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23.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20.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24.xml"/>
  <Override ContentType="application/vnd.openxmlformats-officedocument.spreadsheetml.worksheet+xml" PartName="/xl/worksheets/sheet9.xml"/>
  <Override ContentType="application/vnd.openxmlformats-officedocument.spreadsheetml.worksheet+xml" PartName="/xl/worksheets/sheet22.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3.xml"/>
  <Override ContentType="application/vnd.openxmlformats-officedocument.drawing+xml" PartName="/xl/drawings/drawing21.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24.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openxmlformats-officedocument.drawing+xml" PartName="/xl/drawings/drawing20.xml"/>
  <Override ContentType="application/vnd.openxmlformats-officedocument.drawing+xml" PartName="/xl/drawings/drawing22.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5.xml"/>
  <Override ContentType="application/vnd.openxmlformats-officedocument.spreadsheetml.comments+xml" PartName="/xl/comments7.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6.xml"/>
  <Override ContentType="application/vnd.openxmlformats-officedocument.spreadsheetml.comments+xml" PartName="/xl/comments13.xml"/>
  <Override ContentType="application/vnd.openxmlformats-officedocument.spreadsheetml.comments+xml" PartName="/xl/comments4.xml"/>
  <Override ContentType="application/vnd.openxmlformats-officedocument.spreadsheetml.comments+xml" PartName="/xl/comments2.xml"/>
  <Override ContentType="application/vnd.openxmlformats-officedocument.spreadsheetml.comments+xml" PartName="/xl/comments8.xml"/>
  <Override ContentType="application/vnd.openxmlformats-officedocument.spreadsheetml.comments+xml" PartName="/xl/comments14.xml"/>
  <Override ContentType="application/vnd.openxmlformats-officedocument.spreadsheetml.comments+xml" PartName="/xl/comments11.xml"/>
  <Override ContentType="application/vnd.openxmlformats-officedocument.spreadsheetml.comments+xml" PartName="/xl/comments12.xml"/>
  <Override ContentType="application/vnd.openxmlformats-officedocument.spreadsheetml.comments+xml" PartName="/xl/comments5.xml"/>
  <Override ContentType="application/vnd.openxmlformats-officedocument.spreadsheetml.comments+xml" PartName="/xl/comments1.xml"/>
  <Override ContentType="application/vnd.openxmlformats-officedocument.spreadsheetml.comments+xml" PartName="/xl/comments16.xml"/>
  <Override ContentType="application/vnd.openxmlformats-officedocument.spreadsheetml.comments+xml" PartName="/xl/comments3.xml"/>
  <Override ContentType="application/vnd.openxmlformats-officedocument.drawingml.chart+xml" PartName="/xl/charts/chart1.xml"/>
  <Override ContentType="application/vnd.openxmlformats-officedocument.drawingml.chart+xml" PartName="/xl/charts/chart6.xml"/>
  <Override ContentType="application/vnd.openxmlformats-officedocument.drawingml.chart+xml" PartName="/xl/charts/chart4.xml"/>
  <Override ContentType="application/vnd.openxmlformats-officedocument.drawingml.chart+xml" PartName="/xl/charts/chart5.xml"/>
  <Override ContentType="application/vnd.openxmlformats-officedocument.drawingml.chart+xml" PartName="/xl/charts/chart3.xml"/>
  <Override ContentType="application/vnd.openxmlformats-officedocument.drawingml.chart+xml" PartName="/xl/charts/chart2.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leiame" sheetId="1" r:id="rId4"/>
    <sheet state="visible" name="portfólio" sheetId="2" r:id="rId5"/>
    <sheet state="hidden" name="summary" sheetId="3" r:id="rId6"/>
    <sheet state="hidden" name="rendimentos" sheetId="4" r:id="rId7"/>
    <sheet state="visible" name="op.normal" sheetId="5" r:id="rId8"/>
    <sheet state="visible" name="op.daytrade" sheetId="6" r:id="rId9"/>
    <sheet state="visible" name="proventos" sheetId="7" r:id="rId10"/>
    <sheet state="hidden" name="caixa" sheetId="8" r:id="rId11"/>
    <sheet state="visible" name="radar" sheetId="9" r:id="rId12"/>
    <sheet state="visible" name="alocação" sheetId="10" r:id="rId13"/>
    <sheet state="visible" name="extratos" sheetId="11" r:id="rId14"/>
    <sheet state="visible" name="darf" sheetId="12" r:id="rId15"/>
    <sheet state="hidden" name="dirpf" sheetId="13" r:id="rId16"/>
    <sheet state="visible" name="config.parâmetros" sheetId="14" r:id="rId17"/>
    <sheet state="visible" name="config.outros" sheetId="15" r:id="rId18"/>
    <sheet state="visible" name="config.carteiras" sheetId="16" r:id="rId19"/>
    <sheet state="hidden" name="config.books" sheetId="17" r:id="rId20"/>
    <sheet state="hidden" name="scripts" sheetId="18" r:id="rId21"/>
    <sheet state="hidden" name="portfolio." sheetId="19" r:id="rId22"/>
    <sheet state="hidden" name="ativos." sheetId="20" r:id="rId23"/>
    <sheet state="hidden" name="carteiras." sheetId="21" r:id="rId24"/>
    <sheet state="hidden" name="carteiras.." sheetId="22" r:id="rId25"/>
    <sheet state="hidden" name="fundamentus." sheetId="23" r:id="rId26"/>
    <sheet state="hidden" name="fundsexplorer." sheetId="24" r:id="rId27"/>
  </sheets>
  <definedNames>
    <definedName name="CarteirasMatrizAtivos12">config.carteiras!$FQ$7:$FV$106</definedName>
    <definedName name="CarteirasLista">carteiras.!$AA$6:$AA$20</definedName>
    <definedName name="CarteirasPerfil1">config.carteiras!$M$4</definedName>
    <definedName name="CarteirasNome12">config.carteiras!$FV$2</definedName>
    <definedName name="CarteirasNomeAbreviado15">config.carteiras!$HO$3</definedName>
    <definedName name="CarteirasMatrizAtivosCompleta3">config.carteiras!$AJ$7:$AX$106</definedName>
    <definedName name="CarteirasAtivos">carteiras.!$A$4:$L$264</definedName>
    <definedName name="CarteirasPerfil7">config.carteiras!$CY$4</definedName>
    <definedName name="CarteirasMatrizAtivosCompleta7">config.carteiras!$CR$7:$DF$106</definedName>
    <definedName name="ParametrosURL">carteiras.!$AK$2</definedName>
    <definedName name="IFIXCHANGE">'portfólio'!$BR$81</definedName>
    <definedName name="IBOVCHANGEHISTORICO">'portfólio'!$BU$87:$BU$96</definedName>
    <definedName name="CarteirasNome4">config.carteiras!$BF$2</definedName>
    <definedName name="CarteirasPerfil8">config.carteiras!$DN$4</definedName>
    <definedName name="CarteirasListaCriadasAbreviada">carteiras.!$AF$6:$AF$15</definedName>
    <definedName name="IFIXPRICE">'portfólio'!$BQ$81</definedName>
    <definedName name="CarteirasNomeAbreviado7">config.carteiras!$CY$3</definedName>
    <definedName name="CarteirasNomeAbreviado3">config.carteiras!$AQ$3</definedName>
    <definedName name="AtivosLista">carteiras.!$AH$5:$AH$264</definedName>
    <definedName name="PortfolioOrdenarMatriz">config.books!$CX$5:$DG$574</definedName>
    <definedName name="PortfolioAtivosNovos">config.books!$X$5:$X$574</definedName>
    <definedName name="CarteirasPerfil9">config.carteiras!$EC$4</definedName>
    <definedName name="IBOVPRICE">'portfólio'!$BQ$80</definedName>
    <definedName name="CarteirasNome6">config.carteiras!$CJ$2</definedName>
    <definedName name="CarteirasNome2">config.carteiras!$AB$2</definedName>
    <definedName name="CarteirasMatrizAtivos3">config.carteiras!$AL$7:$AQ$106</definedName>
    <definedName name="CarteirasMatrizAtivos15">config.carteiras!$HJ$7:$HO$106</definedName>
    <definedName name="CarteirasMatrizAtivos10">config.carteiras!$EM$7:$ER$106</definedName>
    <definedName name="CarteirasMatrizAtivosCompleta4">config.carteiras!$AY$7:$BM$106</definedName>
    <definedName name="CarteirasMatrizAtivos2">config.carteiras!$W$7:$AB$106</definedName>
    <definedName name="ParametrosIDAbaCarteira">carteiras.!$AK$3</definedName>
    <definedName name="CarteirasNome9">config.carteiras!$EC$2</definedName>
    <definedName name="CarteirasNome14">config.carteiras!$GZ$2</definedName>
    <definedName name="CarteirasNomeAbreviado10">config.carteiras!$ER$3</definedName>
    <definedName name="CarteirasAtivosEncerrados">carteiras.!$N$4:$Y$264</definedName>
    <definedName name="CarteirasNomeAbreviado4">config.carteiras!$BF$3</definedName>
    <definedName name="CarteirasMatrizAtivos8">config.carteiras!$DI$7:$DN$106</definedName>
    <definedName name="CarteirasListaCriadasPerfis">carteiras.!$AG$6:$AG$15</definedName>
    <definedName name="IBOVCHANGE">'portfólio'!$BR$80</definedName>
    <definedName name="CarteirasMatrizAtivos11">config.carteiras!$FB$7:$FG$106</definedName>
    <definedName name="PortfolioOrdenarAtivos">config.books!$CU$5:$CU$574</definedName>
    <definedName name="CarteirasMatrizAtivos5">config.carteiras!$BP$7:$BU$106</definedName>
    <definedName name="CarteirasNomeAbreviado13">config.carteiras!$GK$3</definedName>
    <definedName name="CarteirasNomeAbreviado14">config.carteiras!$GZ$3</definedName>
    <definedName name="IBOVCHANGEPCT">'portfólio'!$BS$80</definedName>
    <definedName name="CarteirasMatrizAtivosCompleta14">config.carteiras!$GS$7:$HG$106</definedName>
    <definedName name="CarteirasNome15">config.carteiras!$HO$2</definedName>
    <definedName name="CarteirasPerfil5">config.carteiras!$BU$4</definedName>
    <definedName name="ParametrosVersaoPlanilhaLancada">carteiras.!$AK$4</definedName>
    <definedName name="CarteirasPerfil11">config.carteiras!$FG$4</definedName>
    <definedName name="CarteirasNomeAbreviado11">config.carteiras!$FG$3</definedName>
    <definedName name="CarteirasPerfil13">config.carteiras!$GK$4</definedName>
    <definedName name="CarteirasPerfil14">config.carteiras!$GZ$4</definedName>
    <definedName name="CarteirasQuantidadeCriadas">carteiras.!$AE$4</definedName>
    <definedName name="CarteirasMatrizAtivosCompleta9">config.carteiras!$DV$7:$EJ$106</definedName>
    <definedName name="AtivosDados">portfolio.!$A$4:$BP$303</definedName>
    <definedName name="CarteirasMatrizAtivosCompleta8">config.carteiras!$DG$7:$DU$106</definedName>
    <definedName name="CarteirasNome5">config.carteiras!$BU$2</definedName>
    <definedName name="CarteirasListaCriadas">carteiras.!$AE$6:$AE$15</definedName>
    <definedName name="CarteirasMatrizAtivosCompleta13">config.carteiras!$GD$7:$GR$106</definedName>
    <definedName name="CarteirasListaAbreviada">carteiras.!$AB$6:$AB$20</definedName>
    <definedName name="CarteirasPerfil2">config.carteiras!$AB$4</definedName>
    <definedName name="CarteirasMatrizAtivos7">config.carteiras!$CT$7:$CY$106</definedName>
    <definedName name="CarteirasMatrizAtivos4">config.carteiras!$BA$7:$BF$106</definedName>
    <definedName name="CarteirasNome3">config.carteiras!$AQ$2</definedName>
    <definedName name="CarteirasMatrizAtivos9">config.carteiras!$DX$7:$EC$106</definedName>
    <definedName name="CarteirasNomeAbreviado12">config.carteiras!$FV$3</definedName>
    <definedName name="CarteirasNome8">config.carteiras!$DN$2</definedName>
    <definedName name="CarteirasPerfil3">config.carteiras!$AQ$4</definedName>
    <definedName name="MatrizTipoAtivos">radar!$E$5</definedName>
    <definedName name="IFIXCHANGEHISTORICO">'portfólio'!$BU$104:$BU$113</definedName>
    <definedName name="CarteirasNomeAbreviado9">config.carteiras!$EC$3</definedName>
    <definedName name="CarteirasMatrizAtivosCompleta12">config.carteiras!$FO$7:$GC$106</definedName>
    <definedName name="ConfigOn">'config.parâmetros'!$M$5</definedName>
    <definedName name="CarteirasPerfil6">config.carteiras!$CJ$4</definedName>
    <definedName name="CarteirasPerfil12">config.carteiras!$FV$4</definedName>
    <definedName name="CarteirasMatrizAtivosCompleta1">config.carteiras!$F$7:$T$106</definedName>
    <definedName name="PortfolioAtivosClassificados">config.books!$W$5:$W$574</definedName>
    <definedName name="CarteirasMatrizAtivosCompleta6">config.carteiras!$CC$7:$CQ$106</definedName>
    <definedName name="PortfolioAtivosCompleto">config.books!$T$5:$V$574</definedName>
    <definedName name="CarteirasMatrizAtivosCompleta2">config.carteiras!$U$7:$AI$106</definedName>
    <definedName name="CarteirasNomeAbreviado2">config.carteiras!$AB$3</definedName>
    <definedName name="CarteirasNome7">config.carteiras!$CY$2</definedName>
    <definedName name="CarteirasNomeAbreviado5">config.carteiras!$BU$3</definedName>
    <definedName name="CarteirasMatrizAtivosCompleta15">config.carteiras!$HH$7:$HV$106</definedName>
    <definedName name="IFIXCHANGEPCT">'portfólio'!$BS$81</definedName>
    <definedName name="CarteirasMatrizAtivos1">config.carteiras!$H$7:$M$106</definedName>
    <definedName name="CarteirasMatrizAtivos14">config.carteiras!$GU$7:$GZ$106</definedName>
    <definedName name="CarteirasPerfil10">config.carteiras!$ER$4</definedName>
    <definedName name="CarteirasListaComTotal">carteiras.!$AA$5:$AA$20</definedName>
    <definedName name="CarteirasMatrizAtivos6">config.carteiras!$CE$7:$CJ$106</definedName>
    <definedName name="MatrizSelecao">radar!$I$4:$X$4</definedName>
    <definedName name="ProventosSelecao">rendimentos!$K$4:$Z$4</definedName>
    <definedName name="CarteirasMatrizAtivos13">config.carteiras!$GF$7:$GK$106</definedName>
    <definedName name="CarteirasMatrizAtivosCompleta10">config.carteiras!$EK$7:$EY$106</definedName>
    <definedName name="CarteirasNome13">config.carteiras!$GK$2</definedName>
    <definedName name="CarteirasNome11">config.carteiras!$FG$2</definedName>
    <definedName name="CarteirasMatrizAtivosCompleta5">config.carteiras!$BN$7:$CB$106</definedName>
    <definedName name="BalanceAtivos">'alocação'!$B$24:$H$623</definedName>
    <definedName name="CarteirasNomeAbreviado1">config.carteiras!$M$3</definedName>
    <definedName name="CarteirasPerfil4">config.carteiras!$BF$4</definedName>
    <definedName name="PortfolioMatriz">config.books!$I$5:$R$574</definedName>
    <definedName name="ParametrosUltimaExecucao">carteiras.!$AK$5</definedName>
    <definedName name="CarteirasMatrizAtivosCompleta11">config.carteiras!$EZ$7:$FN$106</definedName>
    <definedName name="CarteirasListaCriadasComTotal">carteiras.!$AE$5:$AE$15</definedName>
    <definedName name="PortfolioOrdenarCompleto">config.books!$CU$5:$DG$574</definedName>
    <definedName name="PortfolioOrdenarAtivosCompleto">config.books!$CU$5:$CW$574</definedName>
    <definedName name="CarteirasPerfil15">config.carteiras!$HO$4</definedName>
    <definedName name="CarteirasNomeAbreviado8">config.carteiras!$DN$3</definedName>
    <definedName name="CarteirasNomeAbreviado6">config.carteiras!$CJ$3</definedName>
    <definedName name="CarteirasNome1">config.carteiras!$M$2</definedName>
    <definedName name="CarteirasNome10">config.carteiras!$ER$2</definedName>
    <definedName hidden="1" localSheetId="2" name="Z_74F68D30_D7F0_4E4C_B357_108302572BB3_.wvu.FilterData">summary!$Z$13</definedName>
  </definedNames>
  <calcPr/>
  <customWorkbookViews>
    <customWorkbookView activeSheetId="0" maximized="1" windowHeight="0" windowWidth="0" guid="{74F68D30-D7F0-4E4C-B357-108302572BB3}" name="Filtro 1"/>
  </customWorkbookViews>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B9">
      <text>
        <t xml:space="preserve">Informe aqui a URL da planilha de origem pra importação dos dados</t>
      </text>
    </comment>
    <comment authorId="0" ref="B10">
      <text>
        <t xml:space="preserve">Informe aqui a URL da planilha de origem pra importação dos dados</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U6">
      <text>
        <t xml:space="preserve">Totalização realizada pelas classes configuradas na aba CONFIG.PARÂMETROS mais as classes utilizadas a configuração das carteiras (se configuradas) da aba CONFIG.CARTEIRAS</t>
      </text>
    </comment>
    <comment authorId="0" ref="M10">
      <text>
        <t xml:space="preserve">Este check pode ligar e desligar os cálculos dos books que compõem seu portfólio.
(recurso Alpha)</t>
      </text>
    </comment>
    <comment authorId="0" ref="N10">
      <text>
        <t xml:space="preserve">Configure os books que compõe seu portfólio de investimentos e então aloque cada um dos ativos em um desses books. Faça isso na aba config.books. 
(recurso Alpha)
</t>
      </text>
    </comment>
    <comment authorId="0" ref="M14">
      <text>
        <t xml:space="preserve">Corresponde ao dinheiro "novo" efetivamente aportado. Pode ser considerado como o "real" valor investido.
Dividendos e trades são valores que você recebeu de volta e portanto são descontados do valor investido (do valor de compra dos ativos).
NOS BOOKS O VALOR EM CAIXA ESTÁ INCLUSO, POR ISSO O VALOR PODERÁ DIVERGIR DAS CARTEIRAS.</t>
      </text>
    </comment>
    <comment authorId="0" ref="M15">
      <text>
        <t xml:space="preserve">Nos Books o valor em caixa está incluso. Por isso este valor de mercador poderá divergir do valor de mercado das carteiras.</t>
      </text>
    </comment>
    <comment authorId="0" ref="B20">
      <text>
        <t xml:space="preserve">Este gráfico considera os ativos da classe que está selecionada.
</t>
      </text>
    </comment>
    <comment authorId="0" ref="M20">
      <text>
        <t xml:space="preserve">Este check pode ligar e desligar os cálculos das carteiras que compõem seu portfólio. 
(recurso Alpha)</t>
      </text>
    </comment>
    <comment authorId="0" ref="N20">
      <text>
        <t xml:space="preserve">Configure carteiras com subconjuntos dos seus ativos para analisar o desempenho, o rendimento e os fundamentos. Exemplos de carteiras: Buy and Hold; Small Caps; Dividendos; Indicadas pela Corretora. O mesmo ativo pode estar presente em diferentes carteiras. Então, por exemplo, se um ativo é pagador de dividendos e também é Buy and Hold, coloque ele nas duas carteiras.
(recurso Alpha)</t>
      </text>
    </comment>
    <comment authorId="0" ref="AN20">
      <text>
        <t xml:space="preserve">Ativar ou desativar os cálculos do caixa.</t>
      </text>
    </comment>
    <comment authorId="0" ref="M23">
      <text>
        <t xml:space="preserve">A soma dos pesos das carteiras pode superar 100%, uma vez que certos ativos podem estar repetidos em mais carteiras. O peso normalizado faz a proporção do peso em relação a 100% dando uma indicação melhor do quanto aquela carteira representa no conjunto dos investimentos.</t>
      </text>
    </comment>
    <comment authorId="0" ref="M26">
      <text>
        <t xml:space="preserve">Corresponde ao dinheiro "novo" efetivamente aportado. Pode ser considerado como o "real" valor investido.
Dividendos são considerados "saques" e descontados do valor investido (do valor de compra dos ativos). Trades são considerados reinvestimentos (ou saques) e portanto descontados do valor investido (do valor de compra dos ativos).
AQUI NAS CARTEIRAS O VALOR EM CAIXA NÃO ESTÁ INCLUSO.
</t>
      </text>
    </comment>
    <comment authorId="0" ref="M27">
      <text>
        <t xml:space="preserve">Corresponde ao valor de compra dos ativos
</t>
      </text>
    </comment>
    <comment authorId="0" ref="M28">
      <text>
        <t xml:space="preserve">AQUI NAS CARTEIRAS O VALOR EM CAIXA NÃO ESTÁ INCLUSO.			</t>
      </text>
    </comment>
    <comment authorId="0" ref="M38">
      <text>
        <t xml:space="preserve">Esse cálculo leva em conta o tempo médio do valor investido e o lucro gerado neste período. Então projeta esse resultado para um período de 30 dias e de 360 dias aplicando juros compostos. A rentabilidade é dinâmica e muda conforme vão ocorrendo aportes (que mudam o prazo médio) ou mudanças na lucratividade. Simplificadamente é a lucratividade atual projetada para 30 dias e para 360 dias respectivamente.</t>
      </text>
    </comment>
    <comment authorId="0" ref="N41">
      <text>
        <t xml:space="preserve">Quantidade de ocorrências desse ativo em suas carteiras criadas. Pode ser entendido como número de RECOMENDAÇÕES diferentes.</t>
      </text>
    </comment>
    <comment authorId="0" ref="O41">
      <text>
        <t xml:space="preserve">Percentual de alocação dos ativos selecionados. Esse valor muda dinamicamente conforme o que está sendo exibido.</t>
      </text>
    </comment>
    <comment authorId="0" ref="AJ42">
      <text>
        <t xml:space="preserve">Somente quando as carteiras estão habilitadas. Se aparecer "riscado" é porque este filtro não está sendo aplicado
</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J16">
      <text>
        <t xml:space="preserve">Execute o menu "Atualizar índices/indicadores"
</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s>
  <commentList>
    <comment authorId="0" ref="E1">
      <text>
        <t xml:space="preserve">Ativar ou desativar os cálculos desta aba.</t>
      </text>
    </comment>
    <comment authorId="0" ref="B7">
      <text>
        <t xml:space="preserve">O ano e mes somente será utilizado
se o período personalizado não estiver preenchido com a data de inicio e fim.</t>
      </text>
    </comment>
    <comment authorId="0" ref="D7">
      <text>
        <t xml:space="preserve">Deixe em branco para selecionar o período pelo ano e mês</t>
      </text>
    </comment>
  </commentList>
</comments>
</file>

<file path=xl/comments5.xml><?xml version="1.0" encoding="utf-8"?>
<comments xmlns:r="http://schemas.openxmlformats.org/officeDocument/2006/relationships" xmlns="http://schemas.openxmlformats.org/spreadsheetml/2006/main" xmlns:xr="http://schemas.microsoft.com/office/spreadsheetml/2014/revision">
  <authors>
    <author/>
  </authors>
  <commentList>
    <comment authorId="0" ref="D4">
      <text>
        <t xml:space="preserve">https://www.dlombelloplanilhas.com/ajuda/tipoop-e-eventos
Preencher apenas quando:
C - Compra
V - Venda 
S/I - Split ou Inplit  
AT- Alteração Ticker
BN - Bonificação
AM - Amortização
SUB - Compra de Subscrição
V.SUB - Venda Direito Subscrição
V.SOB - Venda de sobras de S/I ou Cisão
CISÃO - Operação de cisão de capital social
EX.OPC - Venda ou Compra por Exercício de Opção
</t>
      </text>
    </comment>
    <comment authorId="0" ref="E4">
      <text>
        <t xml:space="preserve">Compra (+)
Venda (-)
Para os Tipos de Operações (AM, R.CAP, CISÃO) deixe o valor da Quantidade 0 (zero):
</t>
      </text>
    </comment>
  </commentList>
</comments>
</file>

<file path=xl/comments6.xml><?xml version="1.0" encoding="utf-8"?>
<comments xmlns:r="http://schemas.openxmlformats.org/officeDocument/2006/relationships" xmlns="http://schemas.openxmlformats.org/spreadsheetml/2006/main" xmlns:xr="http://schemas.microsoft.com/office/spreadsheetml/2014/revision">
  <authors>
    <author/>
  </authors>
  <commentList>
    <comment authorId="0" ref="D4">
      <text>
        <t xml:space="preserve">https://www.dlombelloplanilhas.com/ajuda/tipoop-e-eventos
Preencher apenas quando:
C - Compra
V - Venda 
DT- Day Trade
S/I - Split ou Inplit  
AT- Alteração Ticker
BN - Bonificação
AM - Amortização
SUB - Compra de Subscrição
V.SUB - Venda Direito Subscrição
V.SOB - Venda de sobras de S/I ou Cisão
CISÃO - Operação de cião de capital social
EX.OPC - Venda ou Compra por Exercício de Opção</t>
      </text>
    </comment>
    <comment authorId="0" ref="E4">
      <text>
        <t xml:space="preserve">Compra (+)
Venda (-)
Para os Tipos de Operações (AM, R.CAP, CISÃO) deixe o valor da Quantidade 0 (zero):
</t>
      </text>
    </comment>
  </commentList>
</comments>
</file>

<file path=xl/comments7.xml><?xml version="1.0" encoding="utf-8"?>
<comments xmlns:r="http://schemas.openxmlformats.org/officeDocument/2006/relationships" xmlns="http://schemas.openxmlformats.org/spreadsheetml/2006/main" xmlns:xr="http://schemas.microsoft.com/office/spreadsheetml/2014/revision">
  <authors>
    <author/>
  </authors>
  <commentList>
    <comment authorId="0" ref="D4">
      <text>
        <t xml:space="preserve">Nas remessas internacionais preencha aqui o valor em Reais enviado</t>
      </text>
    </comment>
    <comment authorId="0" ref="E4">
      <text>
        <t xml:space="preserve">Preencha essa coluna somente nas remessas internacionais. Registre o valor líquido creditado na corretora.
Esse valor é usado para calcular o valor médio do câmbio nas remessas.
</t>
      </text>
    </comment>
    <comment authorId="0" ref="L4">
      <text>
        <t xml:space="preserve">Selecione aqui os saldos (até 5) que você deseja que sejam exibidos na aba PORTFÓLIO.</t>
      </text>
    </comment>
    <comment authorId="0" ref="AB10">
      <text>
        <t xml:space="preserve">Esta área cinza é usada para o filtro que seleciona o caixa a ser exibido via combo na aba portfólio</t>
      </text>
    </comment>
    <comment authorId="0" ref="AE10">
      <text>
        <t xml:space="preserve">usado para somases na área verde, somar os caixa somente dos usuários ativados na portfólio</t>
      </text>
    </comment>
  </commentList>
</comments>
</file>

<file path=xl/comments8.xml><?xml version="1.0" encoding="utf-8"?>
<comments xmlns:r="http://schemas.openxmlformats.org/officeDocument/2006/relationships" xmlns="http://schemas.openxmlformats.org/spreadsheetml/2006/main" xmlns:xr="http://schemas.microsoft.com/office/spreadsheetml/2014/revision">
  <authors>
    <author/>
  </authors>
  <commentList>
    <comment authorId="0" ref="H1">
      <text>
        <t xml:space="preserve">Ativar ou desativar os cálculos desta aba.</t>
      </text>
    </comment>
    <comment authorId="0" ref="Z4">
      <text>
        <t xml:space="preserve">O preço de entrada deve ser cadastrado na aba config.carteiras. Sugere-se usar o preço do dia da indicação do ativo pela casa de análise ou o preço que você entrou no ativo. Isso vai permitir calcular a performance daquele ativo desde o momento de sua entrada na carteira. SE VOCÊ JÁ TIVER POSIÇÃO NO ATIVO AO INCLUIR ELE EM UMA CARTEIRA DEVERÁ USAR A SUA DATA DE ENTRADA (via menu é possível registrar automaticamente a data de entrada para esses casos).</t>
      </text>
    </comment>
    <comment authorId="0" ref="AS4">
      <text>
        <t xml:space="preserve">Os dados aqui apresentados são importados da aba ALOCAÇÃO. Só serão exibidos se também estiverem sendo exibidos na aba alocação.</t>
      </text>
    </comment>
    <comment authorId="0" ref="H5">
      <text>
        <t xml:space="preserve">Crie uma lista de ativos que estão no seu radar e acompanhe os seus indicadores.</t>
      </text>
    </comment>
    <comment authorId="0" ref="Z5">
      <text>
        <t xml:space="preserve">NC = Não Configurado na aba CONFIG.CARTEIRAS</t>
      </text>
    </comment>
    <comment authorId="0" ref="AE5">
      <text>
        <t xml:space="preserve">NC = Não Configurado na aba CONFIG.CARTEIRAS</t>
      </text>
    </comment>
    <comment authorId="0" ref="AS5">
      <text>
        <t xml:space="preserve">NC = Não Consta na aba ALOCAÇÃO</t>
      </text>
    </comment>
    <comment authorId="0" ref="BV5">
      <text>
        <t xml:space="preserve">Companhias com pequeno valor de mercado podem estar sujeitas a adversidades acima do normal, quanto a questões financeiras, econômicas, politicas e sociais. Por outro lado, empresas com grande valor de mercado podem apresentar maior capacidade de superação em momentos de adversidade.
Nro Acoes * Valor da Acao</t>
      </text>
    </comment>
    <comment authorId="0" ref="BW5">
      <text>
        <t xml:space="preserve">Ativo Circulante e Passivo Circulante</t>
      </text>
    </comment>
    <comment authorId="0" ref="BX5">
      <text>
        <t xml:space="preserve">Relação entre o lucro líquido dos últimos 12 meses e o patrimônio líquido. Ele mostra a rentabilidade que a empresa está gerando sobre o seu próprio patrimônio. Em outras palavras, sobre o capital próprio.</t>
      </text>
    </comment>
    <comment authorId="0" ref="BY5">
      <text>
        <t xml:space="preserve">Dívida bruta total (soma de empréstimos, financiamentos e debêntures de curto e longo prazo) dividido pelo patrimônio líquido. Quanto maior, mais risco a empresa está correndo.</t>
      </text>
    </comment>
    <comment authorId="0" ref="BZ5">
      <text>
        <t xml:space="preserve">A capacidade da companhia apresentar crescimento dos lucros demonstra que a administração e a estratégia de mercado estão, ambas, convergindo para o sucesso do empreendimento, o que fica evidenciado na taxa ascendente dos lucros divulgados.</t>
      </text>
    </comment>
    <comment authorId="0" ref="CA5">
      <text>
        <t xml:space="preserve">Preco / Valor patrimonial
Compara o valor de mercado da empresa com seu valor contábil. Em tese, quanto mais baixo este índice, mais barata é a empresa.
</t>
      </text>
    </comment>
    <comment authorId="0" ref="CB5">
      <text>
        <t xml:space="preserve">Relação entre o valor de mercado da empresa dividido pelo lucro dos últimos 12 meses. O índice P/L indica o número de anos que um investidor levaria para recuperar o capital investido. Em tese, quanto menor esta relação, mais barata está a empresa.</t>
      </text>
    </comment>
    <comment authorId="0" ref="CD5">
      <text>
        <t xml:space="preserve">Representa o volume diário médio negociado nos últimos 21 pregões. Quando maior este volume, maior a liquidez da ação, o que equivale a dizer que essa ação é mais negociada que outra com volume médio inferior. Quanto maior a liquidez, melhor para o investidor.</t>
      </text>
    </comment>
    <comment authorId="0" ref="BK6">
      <text>
        <t xml:space="preserve">Margem de segurança desejada para AÇÃO e STOCKS etc.</t>
      </text>
    </comment>
    <comment authorId="0" ref="BL6">
      <text>
        <t xml:space="preserve">Margem de segurança para FIIs</t>
      </text>
    </comment>
    <comment authorId="0" ref="B7">
      <text>
        <t xml:space="preserve">Quando o ativo está em vermelho significa que ele já foi encerrado em alguma de suas carteiras. Portanto, se suas carteiras são indicações de casas de análise, então significa que uma dessas casas recomendou sair do ativo.</t>
      </text>
    </comment>
    <comment authorId="0" ref="AX7">
      <text>
        <t xml:space="preserve">SP = Sem Posição no ativo</t>
      </text>
    </comment>
    <comment authorId="0" ref="AY7">
      <text>
        <t xml:space="preserve">Diferença do seu preço PM em relação à cotação atual.</t>
      </text>
    </comment>
    <comment authorId="0" ref="BH7">
      <text>
        <t xml:space="preserve">SC = Sem Compras no período selecionado</t>
      </text>
    </comment>
  </commentList>
</comments>
</file>

<file path=xl/comments9.xml><?xml version="1.0" encoding="utf-8"?>
<comments xmlns:r="http://schemas.openxmlformats.org/officeDocument/2006/relationships" xmlns="http://schemas.openxmlformats.org/spreadsheetml/2006/main" xmlns:xr="http://schemas.microsoft.com/office/spreadsheetml/2014/revision">
  <authors>
    <author/>
  </authors>
  <commentList>
    <comment authorId="0" ref="B4">
      <text>
        <t xml:space="preserve">Os books são um recurso disponível apenas para usuários Alpha e com a função ativada na aba PORTFÓLIO</t>
      </text>
    </comment>
    <comment authorId="0" ref="H19">
      <text>
        <t xml:space="preserve">O aporte (se positivo) será distribuído apenas nos ativos com cotação abaixo do valor teto. Os ativos cuja cotação estiver acima do preço teto assumem o status "Aguardar" e são retirados do balanceamento.
SÓ FUNCIONA PARA APORTES POSITIVOS, POIS EM APORTES NEGATIVOS UM ATIVO ACIMA DO PREÇO TETO PODERÁ SER ELENCADO PARA VENDER.
</t>
      </text>
    </comment>
    <comment authorId="0" ref="E20">
      <text>
        <t xml:space="preserve">O valor do aporte pode ser negativo, ou seja, balancear vendendo ativos. Neste caso todos os ativos serão considerados.
</t>
      </text>
    </comment>
    <comment authorId="0" ref="H20">
      <text>
        <t xml:space="preserve">Marque essa opção caso desejar distribuir o aporte: 
- só nos ativos indicados para comprar (quando o aporte é positivo) ou;
- só nos indicados para vender (quando o aporte é negativo).
Regras:
- precisa existir um aporte para a planilha saber se vai "anular" os ativos para venda (quando aporte é positivo) ou para compra (quando o aporte é negativo);
- os ativos inicialmente elencados para venda ou compra (dependendo do aporte) serão "anulados" e o balanceamento será feito com os demais ativos;
- os ativos que sobrarem serão considerados no balanceamento, podendo haver indicação de compra ou venda para eles.
</t>
      </text>
    </comment>
    <comment authorId="0" ref="H22">
      <text>
        <t xml:space="preserve">Diferenças superiores a este percentual serão destacadas. 
DEIXAR ZERO para desativar essa funcionalidade.</t>
      </text>
    </comment>
    <comment authorId="0" ref="J22">
      <text>
        <t xml:space="preserve">Ativos que não estão configurados em CONFIG.CARTEIRAS serão interpretados como ativos que devem ter sua posição zerada.</t>
      </text>
    </comment>
    <comment authorId="0" ref="E23">
      <text>
        <t xml:space="preserve">Valor de mercado a ser perseguido, alvo, objetivo. </t>
      </text>
    </comment>
    <comment authorId="0" ref="G23">
      <text>
        <t xml:space="preserve">Quantidades de venda ou compra inferiores a uma unidade foram desprezadas nas AÇÕES, ETFs e FIIs que não são vendidos de forma fracionada.
</t>
      </text>
    </comment>
    <comment authorId="0" ref="H23">
      <text>
        <t xml:space="preserve">Valor que deve ser comprado ou vendido neste ativo.</t>
      </text>
    </comment>
    <comment authorId="0" ref="K23">
      <text>
        <t xml:space="preserve">Corresponde ao total dos seus investimentos.
</t>
      </text>
    </comment>
    <comment authorId="0" ref="K24">
      <text>
        <t xml:space="preserve">Corresponde ao total do valor de mercado, considerando as classes dos ativos que estão configurados em CONFIG.CARTERIAS. Mesmo que o ativo não figure em nenhuma carteiras. 
Exemplo: se você tem apenas uma carteira com 5 ações. Nesta soma estarão todas as ações do seu portfólio.
</t>
      </text>
    </comment>
    <comment authorId="0" ref="P26">
      <text>
        <t xml:space="preserve">Corresponde ao percentual alocado no momento. Em relação ao total escolhido (selecionado) acima.
</t>
      </text>
    </comment>
    <comment authorId="0" ref="Q26">
      <text>
        <t xml:space="preserve">Valor que precisaria ser comprado ou vendido entre os ativos desta carteira. Para atingir o total que foi escolhido no acima.</t>
      </text>
    </comment>
    <comment authorId="0" ref="K27">
      <text>
        <t xml:space="preserve">Corresponde a todos os ativos que estão configurados em pelo menos uma carteira na aba CONFIG.CARTEIRAS. 
Cada ativo é computado apenas uma vez, mesmo que ele esteja em mais de uma carteira.
</t>
      </text>
    </comment>
    <comment authorId="0" ref="Q27">
      <text>
        <t xml:space="preserve">ABSOLUTO: se um ativo estiver configurado em mais de uma carteira o valor de mercado exato (absoluto) será considerado e a soma dos percentuais das carteiras poderá ser superior ao percentual daqueles ativos no portfólio. 
NORMALIZADO: os percentuais são equalizados de modo a compensar (proporcionalmente) a presença de um mesmo ativo em duas ou mais carteiras.
Sugere-se usar o modo NORMALIZADO.</t>
      </text>
    </comment>
  </commentList>
</comments>
</file>

<file path=xl/comments10.xml><?xml version="1.0" encoding="utf-8"?>
<comments xmlns:r="http://schemas.openxmlformats.org/officeDocument/2006/relationships" xmlns="http://schemas.openxmlformats.org/spreadsheetml/2006/main" xmlns:xr="http://schemas.microsoft.com/office/spreadsheetml/2014/revision">
  <authors>
    <author/>
  </authors>
  <commentList>
    <comment authorId="0" ref="D4">
      <text>
        <t xml:space="preserve">https://www.dlombelloplanilhas.com/ajuda/tipoop-e-eventos
Preencher apenas quando:
C - Compra
V - Venda 
S/I - Split ou Inplit  
AT- Alteração Ticker
BN - Bonificação
AM - Amortização
SUB - Compra de Subscrição
V.SUB - Venda Direito Subscrição
V.SOB - Venda de sobras de S/I ou Cisão
CISÃO - Operação de cisão de capital social
EX.OPC - Venda ou Compra por Exercício de Opção
</t>
      </text>
    </comment>
    <comment authorId="0" ref="E4">
      <text>
        <t xml:space="preserve">Compra (+)
Venda (-)
Para os Tipos de Operações (AM, R.CAP, CISÃO) deixe o valor da Quantidade 0 (zero):
</t>
      </text>
    </comment>
  </commentList>
</comments>
</file>

<file path=xl/comments11.xml><?xml version="1.0" encoding="utf-8"?>
<comments xmlns:r="http://schemas.openxmlformats.org/officeDocument/2006/relationships" xmlns="http://schemas.openxmlformats.org/spreadsheetml/2006/main" xmlns:xr="http://schemas.microsoft.com/office/spreadsheetml/2014/revision">
  <authors>
    <author/>
  </authors>
  <commentList>
    <comment authorId="0" ref="U6">
      <text>
        <t xml:space="preserve">informe na aba config o prejuízo acumulado de anos anteriores</t>
      </text>
    </comment>
    <comment authorId="0" ref="AG6">
      <text>
        <t xml:space="preserve">informe na aba config o prejuízo acumulado de anos anteriores</t>
      </text>
    </comment>
    <comment authorId="0" ref="AO6">
      <text>
        <t xml:space="preserve">informe na aba config o prejuízo acumulado de anos anteriores</t>
      </text>
    </comment>
    <comment authorId="0" ref="AU6">
      <text>
        <t xml:space="preserve">informe na aba config o valor a pagar (saldo), menor que R$10 de anos anteriores</t>
      </text>
    </comment>
    <comment authorId="0" ref="A7">
      <text>
        <t xml:space="preserve">Informe o ano na aba config.parametros</t>
      </text>
    </comment>
  </commentList>
</comments>
</file>

<file path=xl/comments12.xml><?xml version="1.0" encoding="utf-8"?>
<comments xmlns:r="http://schemas.openxmlformats.org/officeDocument/2006/relationships" xmlns="http://schemas.openxmlformats.org/spreadsheetml/2006/main" xmlns:xr="http://schemas.microsoft.com/office/spreadsheetml/2014/revision">
  <authors>
    <author/>
  </authors>
  <commentList>
    <comment authorId="0" ref="A5">
      <text>
        <t xml:space="preserve">Informe aqui o ano que deseja iniciar os cálculos na aba CONFIG.PARÂMETROS
</t>
      </text>
    </comment>
  </commentList>
</comments>
</file>

<file path=xl/comments13.xml><?xml version="1.0" encoding="utf-8"?>
<comments xmlns:r="http://schemas.openxmlformats.org/officeDocument/2006/relationships" xmlns="http://schemas.openxmlformats.org/spreadsheetml/2006/main" xmlns:xr="http://schemas.microsoft.com/office/spreadsheetml/2014/revision">
  <authors>
    <author/>
  </authors>
  <commentList>
    <comment authorId="0" ref="B4">
      <text>
        <t xml:space="preserve">endereço de email para receber notificações diárias</t>
      </text>
    </comment>
    <comment authorId="0" ref="G4">
      <text>
        <t xml:space="preserve">Os ativos destas classes irão compor o subtotal das PRINCIPAIS OPERAÇÕES. </t>
      </text>
    </comment>
    <comment authorId="0" ref="H4">
      <text>
        <t xml:space="preserve">Quando o recurso MULTI CARTEIRAS é utilizado (usuários ALPHA) é possível criar até 4 subtotais pelas classes dos ativos. 
Cadastre aqui a identificação destes subtotais que irão aparecer na aba PORTFÓLIO.
</t>
      </text>
    </comment>
    <comment authorId="0" ref="H6">
      <text>
        <t xml:space="preserve">Configure aqui quais as classes irão contemplar cada uma dos subtotais.
TODAS as classes destas 4 colunas formam o subtotal das OPERAÇÕES COM FUNDOS E RF.
</t>
      </text>
    </comment>
    <comment authorId="0" ref="H30">
      <text>
        <t xml:space="preserve">informe aqui o prejuízo acumulado de anos anteriores
(valor deve ser negativo)
</t>
      </text>
    </comment>
    <comment authorId="0" ref="I30">
      <text>
        <t xml:space="preserve">informe aqui o prejuízo acumulado de anos anteriores
(valor deve ser negativo)</t>
      </text>
    </comment>
    <comment authorId="0" ref="J30">
      <text>
        <t xml:space="preserve">informe aqui o prejuízo acumulado de anos anteriores de FII
(valor deve ser negativo)</t>
      </text>
    </comment>
    <comment authorId="0" ref="K30">
      <text>
        <t xml:space="preserve">informe aqui o valor abaixo de R$ 10,00 de anos anteriores de DARF a pagar</t>
      </text>
    </comment>
    <comment authorId="0" ref="H31">
      <text>
        <t xml:space="preserve">informe aqui o prejuízo acumulado de anos anteriores
(valor deve ser negativo)
</t>
      </text>
    </comment>
    <comment authorId="0" ref="I31">
      <text>
        <t xml:space="preserve">informe aqui o prejuízo acumulado de anos anteriores
(valor deve ser negativo)</t>
      </text>
    </comment>
    <comment authorId="0" ref="J31">
      <text>
        <t xml:space="preserve">informe aqui o prejuízo acumulado de anos anteriores de FII
(valor deve ser negativo)</t>
      </text>
    </comment>
    <comment authorId="0" ref="K31">
      <text>
        <t xml:space="preserve">informe aqui o valor abaixo de R$ 10,00 de anos anteriores de DARF a pagar</t>
      </text>
    </comment>
    <comment authorId="0" ref="H32">
      <text>
        <t xml:space="preserve">informe aqui o prejuízo acumulado de anos anteriores
(valor deve ser negativo)
</t>
      </text>
    </comment>
    <comment authorId="0" ref="I32">
      <text>
        <t xml:space="preserve">informe aqui o prejuízo acumulado de anos anteriores
(valor deve ser negativo)</t>
      </text>
    </comment>
    <comment authorId="0" ref="J32">
      <text>
        <t xml:space="preserve">informe aqui o prejuízo acumulado de anos anteriores de FII
(valor deve ser negativo)</t>
      </text>
    </comment>
    <comment authorId="0" ref="K32">
      <text>
        <t xml:space="preserve">informe aqui o valor abaixo de R$ 10,00 de anos anteriores de DARF a pagar</t>
      </text>
    </comment>
    <comment authorId="0" ref="H33">
      <text>
        <t xml:space="preserve">informe aqui o prejuízo acumulado de anos anteriores
(valor deve ser negativo)
</t>
      </text>
    </comment>
    <comment authorId="0" ref="I33">
      <text>
        <t xml:space="preserve">informe aqui o prejuízo acumulado de anos anteriores
(valor deve ser negativo)</t>
      </text>
    </comment>
    <comment authorId="0" ref="J33">
      <text>
        <t xml:space="preserve">informe aqui o prejuízo acumulado de anos anteriores de FII
(valor deve ser negativo)</t>
      </text>
    </comment>
    <comment authorId="0" ref="K33">
      <text>
        <t xml:space="preserve">informe aqui o valor abaixo de R$ 10,00 de anos anteriores de DARF a pagar</t>
      </text>
    </comment>
    <comment authorId="0" ref="H34">
      <text>
        <t xml:space="preserve">informe aqui o prejuízo acumulado de anos anteriores
(valor deve ser negativo)
</t>
      </text>
    </comment>
    <comment authorId="0" ref="I34">
      <text>
        <t xml:space="preserve">informe aqui o prejuízo acumulado de anos anteriores
(valor deve ser negativo)</t>
      </text>
    </comment>
    <comment authorId="0" ref="J34">
      <text>
        <t xml:space="preserve">informe aqui o prejuízo acumulado de anos anteriores de FII
(valor deve ser negativo)</t>
      </text>
    </comment>
    <comment authorId="0" ref="K34">
      <text>
        <t xml:space="preserve">informe aqui o valor abaixo de R$ 10,00 de anos anteriores de DARF a pagar</t>
      </text>
    </comment>
    <comment authorId="0" ref="H35">
      <text>
        <t xml:space="preserve">informe aqui o prejuízo acumulado de anos anteriores
(valor deve ser negativo)
</t>
      </text>
    </comment>
    <comment authorId="0" ref="I35">
      <text>
        <t xml:space="preserve">informe aqui o prejuízo acumulado de anos anteriores
(valor deve ser negativo)</t>
      </text>
    </comment>
    <comment authorId="0" ref="J35">
      <text>
        <t xml:space="preserve">informe aqui o prejuízo acumulado de anos anteriores de FII
(valor deve ser negativo)</t>
      </text>
    </comment>
    <comment authorId="0" ref="K35">
      <text>
        <t xml:space="preserve">informe aqui o valor abaixo de R$ 10,00 de anos anteriores de DARF a pagar</t>
      </text>
    </comment>
    <comment authorId="0" ref="H36">
      <text>
        <t xml:space="preserve">informe aqui o prejuízo acumulado de anos anteriores
(valor deve ser negativo)
</t>
      </text>
    </comment>
    <comment authorId="0" ref="I36">
      <text>
        <t xml:space="preserve">informe aqui o prejuízo acumulado de anos anteriores
(valor deve ser negativo)</t>
      </text>
    </comment>
    <comment authorId="0" ref="J36">
      <text>
        <t xml:space="preserve">informe aqui o prejuízo acumulado de anos anteriores de FII
(valor deve ser negativo)</t>
      </text>
    </comment>
    <comment authorId="0" ref="K36">
      <text>
        <t xml:space="preserve">informe aqui o valor abaixo de R$ 10,00 de anos anteriores de DARF a pagar</t>
      </text>
    </comment>
  </commentList>
</comments>
</file>

<file path=xl/comments14.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O nome usado  em ativo na aba op.normal para os outros ativos devem ser IGUAIS ao nome na tabela de config
</t>
      </text>
    </comment>
    <comment authorId="0" ref="B3">
      <text>
        <t xml:space="preserve">Nome do ativo a ser usado na aba op.normal
ex.:
CDB-DI-CAIXA
LCI-PRE-INTER
</t>
      </text>
    </comment>
    <comment authorId="0" ref="C3">
      <text>
        <t xml:space="preserve">Classe a ser enquadrada o ativo. ex: 
R.FIXA
R.VARIAVEL
FUNDO
PREVIDENCIA
etc...</t>
      </text>
    </comment>
    <comment authorId="0" ref="D3">
      <text>
        <t xml:space="preserve">Classeificar da setorizaçao quando houver, se nao houver use algo que ajude na divisão da carteira ex.
LCI
CDB
FUNDO
etc...
</t>
      </text>
    </comment>
  </commentList>
</comments>
</file>

<file path=xl/comments15.xml><?xml version="1.0" encoding="utf-8"?>
<comments xmlns:r="http://schemas.openxmlformats.org/officeDocument/2006/relationships" xmlns="http://schemas.openxmlformats.org/spreadsheetml/2006/main" xmlns:xr="http://schemas.microsoft.com/office/spreadsheetml/2014/revision">
  <authors>
    <author/>
  </authors>
  <commentList>
    <comment authorId="0" ref="I5">
      <text>
        <t xml:space="preserve">A soma precisa fechar 100%. Quando não há pesos registrados a planilha considera pesos iguais. Quando apenas alguns ativos têm pesos registrados os demais ativos recebem o saldo (até completar 100%) igualitariamente.</t>
      </text>
    </comment>
    <comment authorId="0" ref="X5">
      <text>
        <t xml:space="preserve">A soma precisa fechar 100%. Quando não há pesos registrados a planilha considera pesos iguais. Quando apenas alguns ativos têm pesos registrados os demais ativos recebem o saldo (até completar 100%) igualitariamente.</t>
      </text>
    </comment>
    <comment authorId="0" ref="AM5">
      <text>
        <t xml:space="preserve">A soma precisa fechar 100%. Quando não há pesos registrados a planilha considera pesos iguais. Quando apenas alguns ativos têm pesos registrados os demais ativos recebem o saldo (até completar 100%) igualitariamente.</t>
      </text>
    </comment>
    <comment authorId="0" ref="BB5">
      <text>
        <t xml:space="preserve">A soma precisa fechar 100%. Quando não há pesos registrados a planilha considera pesos iguais. Quando apenas alguns ativos têm pesos registrados os demais ativos recebem o saldo (até completar 100%) igualitariamente.</t>
      </text>
    </comment>
    <comment authorId="0" ref="BQ5">
      <text>
        <t xml:space="preserve">A soma precisa fechar 100%. Quando não há pesos registrados a planilha considera pesos iguais. Quando apenas alguns ativos têm pesos registrados os demais ativos recebem o saldo (até completar 100%) igualitariamente.</t>
      </text>
    </comment>
    <comment authorId="0" ref="CF5">
      <text>
        <t xml:space="preserve">A soma precisa fechar 100%. Quando não há pesos registrados a planilha considera pesos iguais. Quando apenas alguns ativos têm pesos registrados os demais ativos recebem o saldo (até completar 100%) igualitariamente.</t>
      </text>
    </comment>
    <comment authorId="0" ref="CU5">
      <text>
        <t xml:space="preserve">A soma precisa fechar 100%. Quando não há pesos registrados a planilha considera pesos iguais. Quando apenas alguns ativos têm pesos registrados os demais ativos recebem o saldo (até completar 100%) igualitariamente.</t>
      </text>
    </comment>
    <comment authorId="0" ref="DJ5">
      <text>
        <t xml:space="preserve">A soma precisa fechar 100%. Quando não há pesos registrados a planilha considera pesos iguais. Quando apenas alguns ativos têm pesos registrados os demais ativos recebem o saldo (até completar 100%) igualitariamente.</t>
      </text>
    </comment>
    <comment authorId="0" ref="DY5">
      <text>
        <t xml:space="preserve">A soma precisa fechar 100%. Quando não há pesos registrados a planilha considera pesos iguais. Quando apenas alguns ativos têm pesos registrados os demais ativos recebem o saldo (até completar 100%) igualitariamente.</t>
      </text>
    </comment>
    <comment authorId="0" ref="EN5">
      <text>
        <t xml:space="preserve">A soma precisa fechar 100%. Quando não há pesos registrados a planilha considera pesos iguais. Quando apenas alguns ativos têm pesos registrados os demais ativos recebem o saldo (até completar 100%) igualitariamente.</t>
      </text>
    </comment>
    <comment authorId="0" ref="FC5">
      <text>
        <t xml:space="preserve">A soma precisa fechar 100%. Quando não há pesos registrados a planilha considera pesos iguais. Quando apenas alguns ativos têm pesos registrados os demais ativos recebem o saldo (até completar 100%) igualitariamente.</t>
      </text>
    </comment>
    <comment authorId="0" ref="FR5">
      <text>
        <t xml:space="preserve">A soma precisa fechar 100%. Quando não há pesos registrados a planilha considera pesos iguais. Quando apenas alguns ativos têm pesos registrados os demais ativos recebem o saldo (até completar 100%) igualitariamente.</t>
      </text>
    </comment>
    <comment authorId="0" ref="GG5">
      <text>
        <t xml:space="preserve">A soma precisa fechar 100%. Quando não há pesos registrados a planilha considera pesos iguais. Quando apenas alguns ativos têm pesos registrados os demais ativos recebem o saldo (até completar 100%) igualitariamente.</t>
      </text>
    </comment>
    <comment authorId="0" ref="GV5">
      <text>
        <t xml:space="preserve">A soma precisa fechar 100%. Quando não há pesos registrados a planilha considera pesos iguais. Quando apenas alguns ativos têm pesos registrados os demais ativos recebem o saldo (até completar 100%) igualitariamente.</t>
      </text>
    </comment>
    <comment authorId="0" ref="HK5">
      <text>
        <t xml:space="preserve">A soma precisa fechar 100%. Quando não há pesos registrados a planilha considera pesos iguais. Quando apenas alguns ativos têm pesos registrados os demais ativos recebem o saldo (até completar 100%) igualitariamente.</t>
      </text>
    </comment>
    <comment authorId="0" ref="J6">
      <text>
        <t xml:space="preserve">Se você NÃO TEM POSIÇÃO no ativo pode usar o preço de entrada indicado pela Casa de Análise na data da indicação.
Se você já TEM POSIÇÃO no ativo DEVE usar o seu preço de entrada ou deixar em branco. 
Este dado é apenas INFORMATIVO para aba radar calcular o lucro do ativo desde a entrada na carteira ou desde o momento em que você montou posição.
</t>
      </text>
    </comment>
    <comment authorId="0" ref="K6">
      <text>
        <t xml:space="preserve">Informe o preço teto na moeda base do ativo.
O conceito de preço TETO pode ser interpretado como preço alvo ou como preço máximo para entrar no ativo. Você escolhe qual o conceito que deseja utilizar.
Na aba PORTFÓLIO o preço teto é calculado o upside para o preço teto, cabendo melhor uma interpretação como preço ALVO.
Mas a aba ALOCAÇÃO permite retirar do cálculo, para fins de novos aportes, os ativos que estão acima do preço teto, caso em que o preço teto está sendo considerado como preço máximo para entrar no ativo.
</t>
      </text>
    </comment>
    <comment authorId="0" ref="L6">
      <text>
        <t xml:space="preserve">Se você NÃO TEM POSIÇÃO no ativo pode usar a mesma data da indicação pela Casa de Análise.
Se você já TEM POSIÇÃO no ativo DEVE usar a sua data de entrada ou deixar em branco.
Este dado é usado para calcular a TIR desta carteira. Só serão consideradas as operações entre a data inicial e final no cálculo da TIR.
Quando a data inicial ou final está em branco todas as operações daquele ativo serão consideradas. Tenha cuidado ao incluir este ativo em outra carteira, em outro momento, pois ela passará a contar na TIR desta carteira se as datas estiverem branco. 
</t>
      </text>
    </comment>
    <comment authorId="0" ref="M6">
      <text>
        <t xml:space="preserve">Se você NÃO TEM POSIÇÃO no ativo pode usar a mesma data em que sua Casa de Análise indicou a venda.
Se você TEM POSIÇÃO no ativo DEVE usar a sua data efetiva em que você vendeu o ativo ou deixar em branco.
Este dado é usado para calcular a TIR desta carteira. Só serão consideradas as operações entre a data inicial e final no cálculo da TIR.
Quando a data inicial ou final está em branco todas as operações daquele ativo serão consideradas. Tenha cuidado ao incluir este ativo em outra carteira, em outro momento, pois ela passará a contar na TIR desta carteira se as datas estiverem branco. 
</t>
      </text>
    </comment>
    <comment authorId="0" ref="Y6">
      <text>
        <t xml:space="preserve">Se você NÃO TEM POSIÇÃO no ativo pode usar o preço de entrada indicado pela Casa de Análise na data da indicação.
Se você já TEM POSIÇÃO no ativo DEVE usar o seu preço de entrada ou deixar em branco. 
Este dado é apenas INFORMATIVO para aba radar calcular o lucro do ativo desde a entrada na carteira ou desde o momento em que você montou posição.
</t>
      </text>
    </comment>
    <comment authorId="0" ref="Z6">
      <text>
        <t xml:space="preserve">Informe o preço teto na moeda base do ativo.
O conceito de preço TETO pode ser interpretado como preço alvo ou como preço máximo para entrar no ativo. Você escolhe qual o conceito que deseja utilizar.
Na aba PORTFÓLIO o preço teto é calculado o upside para o preço teto, cabendo melhor uma interpretação como preço ALVO.
Mas a aba ALOCAÇÃO permite retirar do cálculo, para fins de novos aportes, os ativos que estão acima do preço teto, caso em que o preço teto está sendo considerado como preço máximo para entrar no ativo.
</t>
      </text>
    </comment>
    <comment authorId="0" ref="AA6">
      <text>
        <t xml:space="preserve">Se você NÃO TEM POSIÇÃO no ativo pode usar a mesma data da indicação pela Casa de Análise.
Se você já TEM POSIÇÃO no ativo DEVE usar a sua data de entrada ou deixar em branco.
Este dado é usado para calcular a TIR desta carteira. Só serão consideradas as operações entre a data inicial e final no cálculo da TIR.
Quando a data inicial ou final está em branco todas as operações daquele ativo serão consideradas. Tenha cuidado ao incluir este ativo em outra carteira, em outro momento, pois ela passará a contar na TIR desta carteira se as datas estiverem branco. 
</t>
      </text>
    </comment>
    <comment authorId="0" ref="AB6">
      <text>
        <t xml:space="preserve">Se você NÃO TEM POSIÇÃO no ativo pode usar a mesma data em que sua Casa de Análise indicou a venda.
Se você TEM POSIÇÃO no ativo DEVE usar a sua data efetiva em que você vendeu o ativo ou deixar em branco.
Este dado é usado para calcular a TIR desta carteira. Só serão consideradas as operações entre a data inicial e final no cálculo da TIR.
Quando a data inicial ou final está em branco todas as operações daquele ativo serão consideradas. Tenha cuidado ao incluir este ativo em outra carteira, em outro momento, pois ela passará a contar na TIR desta carteira se as datas estiverem branco. 
</t>
      </text>
    </comment>
    <comment authorId="0" ref="AN6">
      <text>
        <t xml:space="preserve">Se você NÃO TEM POSIÇÃO no ativo pode usar o preço de entrada indicado pela Casa de Análise na data da indicação.
Se você já TEM POSIÇÃO no ativo DEVE usar o seu preço de entrada ou deixar em branco. 
Este dado é apenas INFORMATIVO para aba radar calcular o lucro do ativo desde a entrada na carteira ou desde o momento em que você montou posição.
</t>
      </text>
    </comment>
    <comment authorId="0" ref="AO6">
      <text>
        <t xml:space="preserve">Informe o preço teto na moeda base do ativo.
O conceito de preço TETO pode ser interpretado como preço alvo ou como preço máximo para entrar no ativo. Você escolhe qual o conceito que deseja utilizar.
Na aba PORTFÓLIO o preço teto é calculado o upside para o preço teto, cabendo melhor uma interpretação como preço ALVO.
Mas a aba ALOCAÇÃO permite retirar do cálculo, para fins de novos aportes, os ativos que estão acima do preço teto, caso em que o preço teto está sendo considerado como preço máximo para entrar no ativo.
</t>
      </text>
    </comment>
    <comment authorId="0" ref="AP6">
      <text>
        <t xml:space="preserve">Se você NÃO TEM POSIÇÃO no ativo pode usar a mesma data da indicação pela Casa de Análise.
Se você já TEM POSIÇÃO no ativo DEVE usar a sua data de entrada ou deixar em branco.
Este dado é usado para calcular a TIR desta carteira. Só serão consideradas as operações entre a data inicial e final no cálculo da TIR.
Quando a data inicial ou final está em branco todas as operações daquele ativo serão consideradas. Tenha cuidado ao incluir este ativo em outra carteira, em outro momento, pois ela passará a contar na TIR desta carteira se as datas estiverem branco. 
</t>
      </text>
    </comment>
    <comment authorId="0" ref="AQ6">
      <text>
        <t xml:space="preserve">Se você NÃO TEM POSIÇÃO no ativo pode usar a mesma data em que sua Casa de Análise indicou a venda.
Se você TEM POSIÇÃO no ativo DEVE usar a sua data efetiva em que você vendeu o ativo ou deixar em branco.
Este dado é usado para calcular a TIR desta carteira. Só serão consideradas as operações entre a data inicial e final no cálculo da TIR.
Quando a data inicial ou final está em branco todas as operações daquele ativo serão consideradas. Tenha cuidado ao incluir este ativo em outra carteira, em outro momento, pois ela passará a contar na TIR desta carteira se as datas estiverem branco. 
</t>
      </text>
    </comment>
    <comment authorId="0" ref="BC6">
      <text>
        <t xml:space="preserve">Se você NÃO TEM POSIÇÃO no ativo pode usar o preço de entrada indicado pela Casa de Análise na data da indicação.
Se você já TEM POSIÇÃO no ativo DEVE usar o seu preço de entrada ou deixar em branco. 
Este dado é apenas INFORMATIVO para aba radar calcular o lucro do ativo desde a entrada na carteira ou desde o momento em que você montou posição.
</t>
      </text>
    </comment>
    <comment authorId="0" ref="BD6">
      <text>
        <t xml:space="preserve">Informe o preço teto na moeda base do ativo.
O conceito de preço TETO pode ser interpretado como preço alvo ou como preço máximo para entrar no ativo. Você escolhe qual o conceito que deseja utilizar.
Na aba PORTFÓLIO o preço teto é calculado o upside para o preço teto, cabendo melhor uma interpretação como preço ALVO.
Mas a aba ALOCAÇÃO permite retirar do cálculo, para fins de novos aportes, os ativos que estão acima do preço teto, caso em que o preço teto está sendo considerado como preço máximo para entrar no ativo.
</t>
      </text>
    </comment>
    <comment authorId="0" ref="BE6">
      <text>
        <t xml:space="preserve">Se você NÃO TEM POSIÇÃO no ativo pode usar a mesma data da indicação pela Casa de Análise.
Se você já TEM POSIÇÃO no ativo DEVE usar a sua data de entrada ou deixar em branco.
Este dado é usado para calcular a TIR desta carteira. Só serão consideradas as operações entre a data inicial e final no cálculo da TIR.
Quando a data inicial ou final está em branco todas as operações daquele ativo serão consideradas. Tenha cuidado ao incluir este ativo em outra carteira, em outro momento, pois ela passará a contar na TIR desta carteira se as datas estiverem branco. 
</t>
      </text>
    </comment>
    <comment authorId="0" ref="BF6">
      <text>
        <t xml:space="preserve">Se você NÃO TEM POSIÇÃO no ativo pode usar a mesma data em que sua Casa de Análise indicou a venda.
Se você TEM POSIÇÃO no ativo DEVE usar a sua data efetiva em que você vendeu o ativo ou deixar em branco.
Este dado é usado para calcular a TIR desta carteira. Só serão consideradas as operações entre a data inicial e final no cálculo da TIR.
Quando a data inicial ou final está em branco todas as operações daquele ativo serão consideradas. Tenha cuidado ao incluir este ativo em outra carteira, em outro momento, pois ela passará a contar na TIR desta carteira se as datas estiverem branco. 
</t>
      </text>
    </comment>
    <comment authorId="0" ref="BR6">
      <text>
        <t xml:space="preserve">Se você NÃO TEM POSIÇÃO no ativo pode usar o preço de entrada indicado pela Casa de Análise na data da indicação.
Se você já TEM POSIÇÃO no ativo DEVE usar o seu preço de entrada ou deixar em branco. 
Este dado é apenas INFORMATIVO para aba radar calcular o lucro do ativo desde a entrada na carteira ou desde o momento em que você montou posição.
</t>
      </text>
    </comment>
    <comment authorId="0" ref="BS6">
      <text>
        <t xml:space="preserve">Informe o preço teto na moeda base do ativo.
O conceito de preço TETO pode ser interpretado como preço alvo ou como preço máximo para entrar no ativo. Você escolhe qual o conceito que deseja utilizar.
Na aba PORTFÓLIO o preço teto é calculado o upside para o preço teto, cabendo melhor uma interpretação como preço ALVO.
Mas a aba ALOCAÇÃO permite retirar do cálculo, para fins de novos aportes, os ativos que estão acima do preço teto, caso em que o preço teto está sendo considerado como preço máximo para entrar no ativo.
</t>
      </text>
    </comment>
    <comment authorId="0" ref="BT6">
      <text>
        <t xml:space="preserve">Se você NÃO TEM POSIÇÃO no ativo pode usar a mesma data da indicação pela Casa de Análise.
Se você já TEM POSIÇÃO no ativo DEVE usar a sua data de entrada ou deixar em branco.
Este dado é usado para calcular a TIR desta carteira. Só serão consideradas as operações entre a data inicial e final no cálculo da TIR.
Quando a data inicial ou final está em branco todas as operações daquele ativo serão consideradas. Tenha cuidado ao incluir este ativo em outra carteira, em outro momento, pois ela passará a contar na TIR desta carteira se as datas estiverem branco. 
</t>
      </text>
    </comment>
    <comment authorId="0" ref="BU6">
      <text>
        <t xml:space="preserve">Se você NÃO TEM POSIÇÃO no ativo pode usar a mesma data em que sua Casa de Análise indicou a venda.
Se você TEM POSIÇÃO no ativo DEVE usar a sua data efetiva em que você vendeu o ativo ou deixar em branco.
Este dado é usado para calcular a TIR desta carteira. Só serão consideradas as operações entre a data inicial e final no cálculo da TIR.
Quando a data inicial ou final está em branco todas as operações daquele ativo serão consideradas. Tenha cuidado ao incluir este ativo em outra carteira, em outro momento, pois ela passará a contar na TIR desta carteira se as datas estiverem branco. 
</t>
      </text>
    </comment>
    <comment authorId="0" ref="CG6">
      <text>
        <t xml:space="preserve">Se você NÃO TEM POSIÇÃO no ativo pode usar o preço de entrada indicado pela Casa de Análise na data da indicação.
Se você já TEM POSIÇÃO no ativo DEVE usar o seu preço de entrada ou deixar em branco. 
Este dado é apenas INFORMATIVO para aba radar calcular o lucro do ativo desde a entrada na carteira ou desde o momento em que você montou posição.
</t>
      </text>
    </comment>
    <comment authorId="0" ref="CH6">
      <text>
        <t xml:space="preserve">Informe o preço teto na moeda base do ativo.
O conceito de preço TETO pode ser interpretado como preço alvo ou como preço máximo para entrar no ativo. Você escolhe qual o conceito que deseja utilizar.
Na aba PORTFÓLIO o preço teto é calculado o upside para o preço teto, cabendo melhor uma interpretação como preço ALVO.
Mas a aba ALOCAÇÃO permite retirar do cálculo, para fins de novos aportes, os ativos que estão acima do preço teto, caso em que o preço teto está sendo considerado como preço máximo para entrar no ativo.
</t>
      </text>
    </comment>
    <comment authorId="0" ref="CI6">
      <text>
        <t xml:space="preserve">Se você NÃO TEM POSIÇÃO no ativo pode usar a mesma data da indicação pela Casa de Análise.
Se você já TEM POSIÇÃO no ativo DEVE usar a sua data de entrada ou deixar em branco.
Este dado é usado para calcular a TIR desta carteira. Só serão consideradas as operações entre a data inicial e final no cálculo da TIR.
Quando a data inicial ou final está em branco todas as operações daquele ativo serão consideradas. Tenha cuidado ao incluir este ativo em outra carteira, em outro momento, pois ela passará a contar na TIR desta carteira se as datas estiverem branco. 
</t>
      </text>
    </comment>
    <comment authorId="0" ref="CJ6">
      <text>
        <t xml:space="preserve">Se você NÃO TEM POSIÇÃO no ativo pode usar a mesma data em que sua Casa de Análise indicou a venda.
Se você TEM POSIÇÃO no ativo DEVE usar a sua data efetiva em que você vendeu o ativo ou deixar em branco.
Este dado é usado para calcular a TIR desta carteira. Só serão consideradas as operações entre a data inicial e final no cálculo da TIR.
Quando a data inicial ou final está em branco todas as operações daquele ativo serão consideradas. Tenha cuidado ao incluir este ativo em outra carteira, em outro momento, pois ela passará a contar na TIR desta carteira se as datas estiverem branco. 
</t>
      </text>
    </comment>
    <comment authorId="0" ref="CV6">
      <text>
        <t xml:space="preserve">Se você NÃO TEM POSIÇÃO no ativo pode usar o preço de entrada indicado pela Casa de Análise na data da indicação.
Se você já TEM POSIÇÃO no ativo DEVE usar o seu preço de entrada ou deixar em branco. 
Este dado é apenas INFORMATIVO para aba radar calcular o lucro do ativo desde a entrada na carteira ou desde o momento em que você montou posição.
</t>
      </text>
    </comment>
    <comment authorId="0" ref="CW6">
      <text>
        <t xml:space="preserve">Informe o preço teto na moeda base do ativo.
O conceito de preço TETO pode ser interpretado como preço alvo ou como preço máximo para entrar no ativo. Você escolhe qual o conceito que deseja utilizar.
Na aba PORTFÓLIO o preço teto é calculado o upside para o preço teto, cabendo melhor uma interpretação como preço ALVO.
Mas a aba ALOCAÇÃO permite retirar do cálculo, para fins de novos aportes, os ativos que estão acima do preço teto, caso em que o preço teto está sendo considerado como preço máximo para entrar no ativo.
</t>
      </text>
    </comment>
    <comment authorId="0" ref="CX6">
      <text>
        <t xml:space="preserve">Se você NÃO TEM POSIÇÃO no ativo pode usar a mesma data da indicação pela Casa de Análise.
Se você já TEM POSIÇÃO no ativo DEVE usar a sua data de entrada ou deixar em branco.
Este dado é usado para calcular a TIR desta carteira. Só serão consideradas as operações entre a data inicial e final no cálculo da TIR.
Quando a data inicial ou final está em branco todas as operações daquele ativo serão consideradas. Tenha cuidado ao incluir este ativo em outra carteira, em outro momento, pois ela passará a contar na TIR desta carteira se as datas estiverem branco. 
</t>
      </text>
    </comment>
    <comment authorId="0" ref="CY6">
      <text>
        <t xml:space="preserve">Se você NÃO TEM POSIÇÃO no ativo pode usar a mesma data em que sua Casa de Análise indicou a venda.
Se você TEM POSIÇÃO no ativo DEVE usar a sua data efetiva em que você vendeu o ativo ou deixar em branco.
Este dado é usado para calcular a TIR desta carteira. Só serão consideradas as operações entre a data inicial e final no cálculo da TIR.
Quando a data inicial ou final está em branco todas as operações daquele ativo serão consideradas. Tenha cuidado ao incluir este ativo em outra carteira, em outro momento, pois ela passará a contar na TIR desta carteira se as datas estiverem branco. 
</t>
      </text>
    </comment>
    <comment authorId="0" ref="DK6">
      <text>
        <t xml:space="preserve">Se você NÃO TEM POSIÇÃO no ativo pode usar o preço de entrada indicado pela Casa de Análise na data da indicação.
Se você já TEM POSIÇÃO no ativo DEVE usar o seu preço de entrada ou deixar em branco. 
Este dado é apenas INFORMATIVO para aba radar calcular o lucro do ativo desde a entrada na carteira ou desde o momento em que você montou posição.
</t>
      </text>
    </comment>
    <comment authorId="0" ref="DL6">
      <text>
        <t xml:space="preserve">Informe o preço teto na moeda base do ativo.
O conceito de preço TETO pode ser interpretado como preço alvo ou como preço máximo para entrar no ativo. Você escolhe qual o conceito que deseja utilizar.
Na aba PORTFÓLIO o preço teto é calculado o upside para o preço teto, cabendo melhor uma interpretação como preço ALVO.
Mas a aba ALOCAÇÃO permite retirar do cálculo, para fins de novos aportes, os ativos que estão acima do preço teto, caso em que o preço teto está sendo considerado como preço máximo para entrar no ativo.
</t>
      </text>
    </comment>
    <comment authorId="0" ref="DM6">
      <text>
        <t xml:space="preserve">Se você NÃO TEM POSIÇÃO no ativo pode usar a mesma data da indicação pela Casa de Análise.
Se você já TEM POSIÇÃO no ativo DEVE usar a sua data de entrada ou deixar em branco.
Este dado é usado para calcular a TIR desta carteira. Só serão consideradas as operações entre a data inicial e final no cálculo da TIR.
Quando a data inicial ou final está em branco todas as operações daquele ativo serão consideradas. Tenha cuidado ao incluir este ativo em outra carteira, em outro momento, pois ela passará a contar na TIR desta carteira se as datas estiverem branco. 
</t>
      </text>
    </comment>
    <comment authorId="0" ref="DN6">
      <text>
        <t xml:space="preserve">Se você NÃO TEM POSIÇÃO no ativo pode usar a mesma data em que sua Casa de Análise indicou a venda.
Se você TEM POSIÇÃO no ativo DEVE usar a sua data efetiva em que você vendeu o ativo ou deixar em branco.
Este dado é usado para calcular a TIR desta carteira. Só serão consideradas as operações entre a data inicial e final no cálculo da TIR.
Quando a data inicial ou final está em branco todas as operações daquele ativo serão consideradas. Tenha cuidado ao incluir este ativo em outra carteira, em outro momento, pois ela passará a contar na TIR desta carteira se as datas estiverem branco. 
</t>
      </text>
    </comment>
    <comment authorId="0" ref="DZ6">
      <text>
        <t xml:space="preserve">Se você NÃO TEM POSIÇÃO no ativo pode usar o preço de entrada indicado pela Casa de Análise na data da indicação.
Se você já TEM POSIÇÃO no ativo DEVE usar o seu preço de entrada ou deixar em branco. 
Este dado é apenas INFORMATIVO para aba radar calcular o lucro do ativo desde a entrada na carteira ou desde o momento em que você montou posição.
</t>
      </text>
    </comment>
    <comment authorId="0" ref="EA6">
      <text>
        <t xml:space="preserve">Informe o preço teto na moeda base do ativo.
O conceito de preço TETO pode ser interpretado como preço alvo ou como preço máximo para entrar no ativo. Você escolhe qual o conceito que deseja utilizar.
Na aba PORTFÓLIO o preço teto é calculado o upside para o preço teto, cabendo melhor uma interpretação como preço ALVO.
Mas a aba ALOCAÇÃO permite retirar do cálculo, para fins de novos aportes, os ativos que estão acima do preço teto, caso em que o preço teto está sendo considerado como preço máximo para entrar no ativo.
</t>
      </text>
    </comment>
    <comment authorId="0" ref="EB6">
      <text>
        <t xml:space="preserve">Se você NÃO TEM POSIÇÃO no ativo pode usar a mesma data da indicação pela Casa de Análise.
Se você já TEM POSIÇÃO no ativo DEVE usar a sua data de entrada ou deixar em branco.
Este dado é usado para calcular a TIR desta carteira. Só serão consideradas as operações entre a data inicial e final no cálculo da TIR.
Quando a data inicial ou final está em branco todas as operações daquele ativo serão consideradas. Tenha cuidado ao incluir este ativo em outra carteira, em outro momento, pois ela passará a contar na TIR desta carteira se as datas estiverem branco. 
</t>
      </text>
    </comment>
    <comment authorId="0" ref="EC6">
      <text>
        <t xml:space="preserve">Se você NÃO TEM POSIÇÃO no ativo pode usar a mesma data em que sua Casa de Análise indicou a venda.
Se você TEM POSIÇÃO no ativo DEVE usar a sua data efetiva em que você vendeu o ativo ou deixar em branco.
Este dado é usado para calcular a TIR desta carteira. Só serão consideradas as operações entre a data inicial e final no cálculo da TIR.
Quando a data inicial ou final está em branco todas as operações daquele ativo serão consideradas. Tenha cuidado ao incluir este ativo em outra carteira, em outro momento, pois ela passará a contar na TIR desta carteira se as datas estiverem branco. 
</t>
      </text>
    </comment>
    <comment authorId="0" ref="EO6">
      <text>
        <t xml:space="preserve">Se você NÃO TEM POSIÇÃO no ativo pode usar o preço de entrada indicado pela Casa de Análise na data da indicação.
Se você já TEM POSIÇÃO no ativo DEVE usar o seu preço de entrada ou deixar em branco. 
Este dado é apenas INFORMATIVO para aba radar calcular o lucro do ativo desde a entrada na carteira ou desde o momento em que você montou posição.
</t>
      </text>
    </comment>
    <comment authorId="0" ref="EP6">
      <text>
        <t xml:space="preserve">Informe o preço teto na moeda base do ativo.
O conceito de preço TETO pode ser interpretado como preço alvo ou como preço máximo para entrar no ativo. Você escolhe qual o conceito que deseja utilizar.
Na aba PORTFÓLIO o preço teto é calculado o upside para o preço teto, cabendo melhor uma interpretação como preço ALVO.
Mas a aba ALOCAÇÃO permite retirar do cálculo, para fins de novos aportes, os ativos que estão acima do preço teto, caso em que o preço teto está sendo considerado como preço máximo para entrar no ativo.
</t>
      </text>
    </comment>
    <comment authorId="0" ref="EQ6">
      <text>
        <t xml:space="preserve">Se você NÃO TEM POSIÇÃO no ativo pode usar a mesma data da indicação pela Casa de Análise.
Se você já TEM POSIÇÃO no ativo DEVE usar a sua data de entrada ou deixar em branco.
Este dado é usado para calcular a TIR desta carteira. Só serão consideradas as operações entre a data inicial e final no cálculo da TIR.
Quando a data inicial ou final está em branco todas as operações daquele ativo serão consideradas. Tenha cuidado ao incluir este ativo em outra carteira, em outro momento, pois ela passará a contar na TIR desta carteira se as datas estiverem branco. 
</t>
      </text>
    </comment>
    <comment authorId="0" ref="ER6">
      <text>
        <t xml:space="preserve">Se você NÃO TEM POSIÇÃO no ativo pode usar a mesma data em que sua Casa de Análise indicou a venda.
Se você TEM POSIÇÃO no ativo DEVE usar a sua data efetiva em que você vendeu o ativo ou deixar em branco.
Este dado é usado para calcular a TIR desta carteira. Só serão consideradas as operações entre a data inicial e final no cálculo da TIR.
Quando a data inicial ou final está em branco todas as operações daquele ativo serão consideradas. Tenha cuidado ao incluir este ativo em outra carteira, em outro momento, pois ela passará a contar na TIR desta carteira se as datas estiverem branco. 
</t>
      </text>
    </comment>
    <comment authorId="0" ref="FD6">
      <text>
        <t xml:space="preserve">Se você NÃO TEM POSIÇÃO no ativo pode usar o preço de entrada indicado pela Casa de Análise na data da indicação.
Se você já TEM POSIÇÃO no ativo DEVE usar o seu preço de entrada ou deixar em branco. 
Este dado é apenas INFORMATIVO para aba radar calcular o lucro do ativo desde a entrada na carteira ou desde o momento em que você montou posição.
</t>
      </text>
    </comment>
    <comment authorId="0" ref="FE6">
      <text>
        <t xml:space="preserve">Informe o preço teto na moeda base do ativo.
O conceito de preço TETO pode ser interpretado como preço alvo ou como preço máximo para entrar no ativo. Você escolhe qual o conceito que deseja utilizar.
Na aba PORTFÓLIO o preço teto é calculado o upside para o preço teto, cabendo melhor uma interpretação como preço ALVO.
Mas a aba ALOCAÇÃO permite retirar do cálculo, para fins de novos aportes, os ativos que estão acima do preço teto, caso em que o preço teto está sendo considerado como preço máximo para entrar no ativo.
</t>
      </text>
    </comment>
    <comment authorId="0" ref="FF6">
      <text>
        <t xml:space="preserve">Se você NÃO TEM POSIÇÃO no ativo pode usar a mesma data da indicação pela Casa de Análise.
Se você já TEM POSIÇÃO no ativo DEVE usar a sua data de entrada ou deixar em branco.
Este dado é usado para calcular a TIR desta carteira. Só serão consideradas as operações entre a data inicial e final no cálculo da TIR.
Quando a data inicial ou final está em branco todas as operações daquele ativo serão consideradas. Tenha cuidado ao incluir este ativo em outra carteira, em outro momento, pois ela passará a contar na TIR desta carteira se as datas estiverem branco. 
</t>
      </text>
    </comment>
    <comment authorId="0" ref="FG6">
      <text>
        <t xml:space="preserve">Se você NÃO TEM POSIÇÃO no ativo pode usar a mesma data em que sua Casa de Análise indicou a venda.
Se você TEM POSIÇÃO no ativo DEVE usar a sua data efetiva em que você vendeu o ativo ou deixar em branco.
Este dado é usado para calcular a TIR desta carteira. Só serão consideradas as operações entre a data inicial e final no cálculo da TIR.
Quando a data inicial ou final está em branco todas as operações daquele ativo serão consideradas. Tenha cuidado ao incluir este ativo em outra carteira, em outro momento, pois ela passará a contar na TIR desta carteira se as datas estiverem branco. 
</t>
      </text>
    </comment>
    <comment authorId="0" ref="FS6">
      <text>
        <t xml:space="preserve">Se você NÃO TEM POSIÇÃO no ativo pode usar o preço de entrada indicado pela Casa de Análise na data da indicação.
Se você já TEM POSIÇÃO no ativo DEVE usar o seu preço de entrada ou deixar em branco. 
Este dado é apenas INFORMATIVO para aba radar calcular o lucro do ativo desde a entrada na carteira ou desde o momento em que você montou posição.
</t>
      </text>
    </comment>
    <comment authorId="0" ref="FT6">
      <text>
        <t xml:space="preserve">Informe o preço teto na moeda base do ativo.
O conceito de preço TETO pode ser interpretado como preço alvo ou como preço máximo para entrar no ativo. Você escolhe qual o conceito que deseja utilizar.
Na aba PORTFÓLIO o preço teto é calculado o upside para o preço teto, cabendo melhor uma interpretação como preço ALVO.
Mas a aba ALOCAÇÃO permite retirar do cálculo, para fins de novos aportes, os ativos que estão acima do preço teto, caso em que o preço teto está sendo considerado como preço máximo para entrar no ativo.
</t>
      </text>
    </comment>
    <comment authorId="0" ref="FU6">
      <text>
        <t xml:space="preserve">Se você NÃO TEM POSIÇÃO no ativo pode usar a mesma data da indicação pela Casa de Análise.
Se você já TEM POSIÇÃO no ativo DEVE usar a sua data de entrada ou deixar em branco.
Este dado é usado para calcular a TIR desta carteira. Só serão consideradas as operações entre a data inicial e final no cálculo da TIR.
Quando a data inicial ou final está em branco todas as operações daquele ativo serão consideradas. Tenha cuidado ao incluir este ativo em outra carteira, em outro momento, pois ela passará a contar na TIR desta carteira se as datas estiverem branco. 
</t>
      </text>
    </comment>
    <comment authorId="0" ref="FV6">
      <text>
        <t xml:space="preserve">Se você NÃO TEM POSIÇÃO no ativo pode usar a mesma data em que sua Casa de Análise indicou a venda.
Se você TEM POSIÇÃO no ativo DEVE usar a sua data efetiva em que você vendeu o ativo ou deixar em branco.
Este dado é usado para calcular a TIR desta carteira. Só serão consideradas as operações entre a data inicial e final no cálculo da TIR.
Quando a data inicial ou final está em branco todas as operações daquele ativo serão consideradas. Tenha cuidado ao incluir este ativo em outra carteira, em outro momento, pois ela passará a contar na TIR desta carteira se as datas estiverem branco. 
</t>
      </text>
    </comment>
    <comment authorId="0" ref="GH6">
      <text>
        <t xml:space="preserve">Se você NÃO TEM POSIÇÃO no ativo pode usar o preço de entrada indicado pela Casa de Análise na data da indicação.
Se você já TEM POSIÇÃO no ativo DEVE usar o seu preço de entrada ou deixar em branco. 
Este dado é apenas INFORMATIVO para aba radar calcular o lucro do ativo desde a entrada na carteira ou desde o momento em que você montou posição.
</t>
      </text>
    </comment>
    <comment authorId="0" ref="GI6">
      <text>
        <t xml:space="preserve">Informe o preço teto na moeda base do ativo.
O conceito de preço TETO pode ser interpretado como preço alvo ou como preço máximo para entrar no ativo. Você escolhe qual o conceito que deseja utilizar.
Na aba PORTFÓLIO o preço teto é calculado o upside para o preço teto, cabendo melhor uma interpretação como preço ALVO.
Mas a aba ALOCAÇÃO permite retirar do cálculo, para fins de novos aportes, os ativos que estão acima do preço teto, caso em que o preço teto está sendo considerado como preço máximo para entrar no ativo.
</t>
      </text>
    </comment>
    <comment authorId="0" ref="GJ6">
      <text>
        <t xml:space="preserve">Se você NÃO TEM POSIÇÃO no ativo pode usar a mesma data da indicação pela Casa de Análise.
Se você já TEM POSIÇÃO no ativo DEVE usar a sua data de entrada ou deixar em branco.
Este dado é usado para calcular a TIR desta carteira. Só serão consideradas as operações entre a data inicial e final no cálculo da TIR.
Quando a data inicial ou final está em branco todas as operações daquele ativo serão consideradas. Tenha cuidado ao incluir este ativo em outra carteira, em outro momento, pois ela passará a contar na TIR desta carteira se as datas estiverem branco. 
</t>
      </text>
    </comment>
    <comment authorId="0" ref="GK6">
      <text>
        <t xml:space="preserve">Se você NÃO TEM POSIÇÃO no ativo pode usar a mesma data em que sua Casa de Análise indicou a venda.
Se você TEM POSIÇÃO no ativo DEVE usar a sua data efetiva em que você vendeu o ativo ou deixar em branco.
Este dado é usado para calcular a TIR desta carteira. Só serão consideradas as operações entre a data inicial e final no cálculo da TIR.
Quando a data inicial ou final está em branco todas as operações daquele ativo serão consideradas. Tenha cuidado ao incluir este ativo em outra carteira, em outro momento, pois ela passará a contar na TIR desta carteira se as datas estiverem branco. 
</t>
      </text>
    </comment>
    <comment authorId="0" ref="GW6">
      <text>
        <t xml:space="preserve">Se você NÃO TEM POSIÇÃO no ativo pode usar o preço de entrada indicado pela Casa de Análise na data da indicação.
Se você já TEM POSIÇÃO no ativo DEVE usar o seu preço de entrada ou deixar em branco. 
Este dado é apenas INFORMATIVO para aba radar calcular o lucro do ativo desde a entrada na carteira ou desde o momento em que você montou posição.
</t>
      </text>
    </comment>
    <comment authorId="0" ref="GX6">
      <text>
        <t xml:space="preserve">Informe o preço teto na moeda base do ativo.
O conceito de preço TETO pode ser interpretado como preço alvo ou como preço máximo para entrar no ativo. Você escolhe qual o conceito que deseja utilizar.
Na aba PORTFÓLIO o preço teto é calculado o upside para o preço teto, cabendo melhor uma interpretação como preço ALVO.
Mas a aba ALOCAÇÃO permite retirar do cálculo, para fins de novos aportes, os ativos que estão acima do preço teto, caso em que o preço teto está sendo considerado como preço máximo para entrar no ativo.
</t>
      </text>
    </comment>
    <comment authorId="0" ref="GY6">
      <text>
        <t xml:space="preserve">Se você NÃO TEM POSIÇÃO no ativo pode usar a mesma data da indicação pela Casa de Análise.
Se você já TEM POSIÇÃO no ativo DEVE usar a sua data de entrada ou deixar em branco.
Este dado é usado para calcular a TIR desta carteira. Só serão consideradas as operações entre a data inicial e final no cálculo da TIR.
Quando a data inicial ou final está em branco todas as operações daquele ativo serão consideradas. Tenha cuidado ao incluir este ativo em outra carteira, em outro momento, pois ela passará a contar na TIR desta carteira se as datas estiverem branco. 
</t>
      </text>
    </comment>
    <comment authorId="0" ref="GZ6">
      <text>
        <t xml:space="preserve">Se você NÃO TEM POSIÇÃO no ativo pode usar a mesma data em que sua Casa de Análise indicou a venda.
Se você TEM POSIÇÃO no ativo DEVE usar a sua data efetiva em que você vendeu o ativo ou deixar em branco.
Este dado é usado para calcular a TIR desta carteira. Só serão consideradas as operações entre a data inicial e final no cálculo da TIR.
Quando a data inicial ou final está em branco todas as operações daquele ativo serão consideradas. Tenha cuidado ao incluir este ativo em outra carteira, em outro momento, pois ela passará a contar na TIR desta carteira se as datas estiverem branco. 
</t>
      </text>
    </comment>
    <comment authorId="0" ref="HL6">
      <text>
        <t xml:space="preserve">Se você NÃO TEM POSIÇÃO no ativo pode usar o preço de entrada indicado pela Casa de Análise na data da indicação.
Se você já TEM POSIÇÃO no ativo DEVE usar o seu preço de entrada ou deixar em branco. 
Este dado é apenas INFORMATIVO para aba radar calcular o lucro do ativo desde a entrada na carteira ou desde o momento em que você montou posição.
</t>
      </text>
    </comment>
    <comment authorId="0" ref="HM6">
      <text>
        <t xml:space="preserve">Informe o preço teto na moeda base do ativo.
O conceito de preço TETO pode ser interpretado como preço alvo ou como preço máximo para entrar no ativo. Você escolhe qual o conceito que deseja utilizar.
Na aba PORTFÓLIO o preço teto é calculado o upside para o preço teto, cabendo melhor uma interpretação como preço ALVO.
Mas a aba ALOCAÇÃO permite retirar do cálculo, para fins de novos aportes, os ativos que estão acima do preço teto, caso em que o preço teto está sendo considerado como preço máximo para entrar no ativo.
</t>
      </text>
    </comment>
    <comment authorId="0" ref="HN6">
      <text>
        <t xml:space="preserve">Se você NÃO TEM POSIÇÃO no ativo pode usar a mesma data da indicação pela Casa de Análise.
Se você já TEM POSIÇÃO no ativo DEVE usar a sua data de entrada ou deixar em branco.
Este dado é usado para calcular a TIR desta carteira. Só serão consideradas as operações entre a data inicial e final no cálculo da TIR.
Quando a data inicial ou final está em branco todas as operações daquele ativo serão consideradas. Tenha cuidado ao incluir este ativo em outra carteira, em outro momento, pois ela passará a contar na TIR desta carteira se as datas estiverem branco. 
</t>
      </text>
    </comment>
    <comment authorId="0" ref="HO6">
      <text>
        <t xml:space="preserve">Se você NÃO TEM POSIÇÃO no ativo pode usar a mesma data em que sua Casa de Análise indicou a venda.
Se você TEM POSIÇÃO no ativo DEVE usar a sua data efetiva em que você vendeu o ativo ou deixar em branco.
Este dado é usado para calcular a TIR desta carteira. Só serão consideradas as operações entre a data inicial e final no cálculo da TIR.
Quando a data inicial ou final está em branco todas as operações daquele ativo serão consideradas. Tenha cuidado ao incluir este ativo em outra carteira, em outro momento, pois ela passará a contar na TIR desta carteira se as datas estiverem branco. 
</t>
      </text>
    </comment>
    <comment authorId="0" ref="B7">
      <text>
        <t xml:space="preserve">Selecione aqui as carteiras (até 14) que você deseja que sejam exibidas na aba PORTFÓLIO.
(recurso Alpha)</t>
      </text>
    </comment>
    <comment authorId="0" ref="D7">
      <text>
        <t xml:space="preserve">Proporção (peso) que a carteira deve ter em relação ao portfólio (todos os ativos).
Se você não totalizar 100%, o que falta para 100% será automaticamente alocado nos ativos não configurados em nenhuma das carteiras.
O PESO TOTAL (SOMA) NÃO DEVE ULTRAPASSAR 100%
</t>
      </text>
    </comment>
  </commentList>
</comments>
</file>

<file path=xl/comments16.xml><?xml version="1.0" encoding="utf-8"?>
<comments xmlns:r="http://schemas.openxmlformats.org/officeDocument/2006/relationships" xmlns="http://schemas.openxmlformats.org/spreadsheetml/2006/main" xmlns:xr="http://schemas.microsoft.com/office/spreadsheetml/2014/revision">
  <authors>
    <author/>
  </authors>
  <commentList>
    <comment authorId="0" ref="B3">
      <text>
        <t xml:space="preserve">A configuração dos nomes e da quantidade de books (por ora limitado em 10 books) que compõe o seu portfólio é de livre configuração. Os nomes aqui constantes são sugestões.
</t>
      </text>
    </comment>
    <comment authorId="0" ref="C4">
      <text>
        <t xml:space="preserve">
A configuração dos nomes e da quantidade de books (por ora limitado em 10 books) que compõe o seu portfólio é de livre configuração. Os nomes aqui constantes são sugestões.
</t>
      </text>
    </comment>
    <comment authorId="0" ref="E4">
      <text>
        <t xml:space="preserve">Essa configuração é opcional, mas quando preenchida indica que os ativos dessa classe serão automaticamente colocados naquele book no momento que o script de atualização da lista de ativos é rodada, podendo o ativo ser colocado em outro book (ou mais de um) posteriormente.</t>
      </text>
    </comment>
    <comment authorId="0" ref="G4">
      <text>
        <t xml:space="preserve">Cada um dos ativos presentes na sua carteira de investimentos pode ser categorizado em um book ou mais de um book (pesos percentuais). 
Uma ação, por exemplo, é 100% renda variável e, portanto, 100% pertencente ao book de ações. Mas um fundo multimercado, por exemplo, pode ter 20% de tesouro e 50% de ações, 20 % de FIIs e 10% de Criptomoedas.
Somente configurar os percentuais nas células amarelas
</t>
      </text>
    </comment>
    <comment authorId="0" ref="H4">
      <text>
        <t xml:space="preserve">A soma dos pesos precisa fechar 100% para que o ativo seja considerado no portfólio e no gráfico.</t>
      </text>
    </comment>
    <comment authorId="0" ref="B17">
      <text>
        <t xml:space="preserve">Os lucros com trades de ações  e de FIIs, bem como proventos de ações e de FIIs devem ser alocados em pelo menos um book daqueles que você configurou acima.
</t>
      </text>
    </comment>
    <comment authorId="0" ref="C28">
      <text>
        <t xml:space="preserve">Trades com criptos, com minicontratos, com ativos da aba outros, fundos, etc, ou seja, todos os trades não enquadrados nas categorias anteriores.
</t>
      </text>
    </comment>
  </commentList>
</comments>
</file>

<file path=xl/sharedStrings.xml><?xml version="1.0" encoding="utf-8"?>
<sst xmlns="http://schemas.openxmlformats.org/spreadsheetml/2006/main" count="33792" uniqueCount="1076">
  <si>
    <t>PLANILHA DE CONTROLE E GESTÃO DE INVESTIMENTOS</t>
  </si>
  <si>
    <t xml:space="preserve">dlombello®planilhas </t>
  </si>
  <si>
    <t>Esta planilha é desenvolvida e mantida por dlombello planilhas em parceria com mdiemer planilhas</t>
  </si>
  <si>
    <t xml:space="preserve">                                 Versão:</t>
  </si>
  <si>
    <t>v6.4.02</t>
  </si>
  <si>
    <t xml:space="preserve">     Última Versão Disponível:</t>
  </si>
  <si>
    <t xml:space="preserve">                                Download: </t>
  </si>
  <si>
    <t>https://www.dlombelloplanilhas.com</t>
  </si>
  <si>
    <t xml:space="preserve">  URL da Dlombello de origem</t>
  </si>
  <si>
    <t>URL da DiemerPlanilhas</t>
  </si>
  <si>
    <r>
      <rPr>
        <rFont val="Calibri"/>
      </rPr>
      <t xml:space="preserve">Essa planilha foi criada para auxiliá-lo no gerenciamento da sua carteira de investimentos de forma online e atualizada. 
As informações devem ser utilizadas apenas para fins informativos, toda e qualquer informação da planilha não devem ser usadas para fins fiscais.
</t>
    </r>
    <r>
      <rPr>
        <rFont val="Calibri"/>
        <b/>
        <color rgb="FFFF0000"/>
      </rPr>
      <t>NÃO SOLICITAR EDIÇÃO!!! FAVOR LEIA O MANUAL E INSTRUÇÕES DE USO PELO LINK ABAIXO!</t>
    </r>
  </si>
  <si>
    <t>PLAYLIST DE VÍDEOS DE INSTRUÇÃO DE USO</t>
  </si>
  <si>
    <t>Assista os vídeos 2x rápido</t>
  </si>
  <si>
    <t>https://www.youtube.com/c/dlombelloplanilhas/playlists</t>
  </si>
  <si>
    <t>Manual com vídeos</t>
  </si>
  <si>
    <t>https://www.dlombelloplanilhas.com/faq/faq-ebook</t>
  </si>
  <si>
    <t>DOAÇÕES PARA DESENVOLVIMENTO E MANUTENÇÃO DO PROJETO</t>
  </si>
  <si>
    <t>Desenvolvedores</t>
  </si>
  <si>
    <t>Douglas Alves Lombello, Maglan Cristiano Diemer e Mouriac Halen Diemer</t>
  </si>
  <si>
    <t>Caso a planilha lhe seja útil e queira incentivar a manutenção e criação de novas ferramentas, avalie ser um usuário Alpha!</t>
  </si>
  <si>
    <t>WebApp</t>
  </si>
  <si>
    <t>Conhece nosso WebApp</t>
  </si>
  <si>
    <t>app.dlombelloplanilhas.com</t>
  </si>
  <si>
    <t>Usuário Alpha</t>
  </si>
  <si>
    <t>INFORMAÇÕES COMPLEMENTARES</t>
  </si>
  <si>
    <t>Site</t>
  </si>
  <si>
    <t>A planilha está em constante atualização, afim de melhorias e correções de possíveis problemas. 
A versão mais atual estará sempre disponível pelo link abaixo:</t>
  </si>
  <si>
    <t>dlombelloplanilhas.com</t>
  </si>
  <si>
    <t>Formulário Suporte</t>
  </si>
  <si>
    <t>Dúvidas, críticas ou sugestões entre em contato pelo formulário:</t>
  </si>
  <si>
    <t>bit.ly/suporte_dlombelloplanilhas</t>
  </si>
  <si>
    <t>Discord</t>
  </si>
  <si>
    <t>Grupo de usuários e suporte no Discord:</t>
  </si>
  <si>
    <t>https://discord.gg/UFvrHgGQ5A</t>
  </si>
  <si>
    <t>Facebook</t>
  </si>
  <si>
    <t>Grupo de usuários no Facebook:</t>
  </si>
  <si>
    <t>https://www.facebook.com/groups/dlombelloplanilhas</t>
  </si>
  <si>
    <t>Telegram</t>
  </si>
  <si>
    <t>Grupo de usuários no Telegram:</t>
  </si>
  <si>
    <t>https://t.me/dlombelloplanilhas</t>
  </si>
  <si>
    <t>YouTube</t>
  </si>
  <si>
    <t>Se inscreva no canal do YouTube e ative as notificações:</t>
  </si>
  <si>
    <t>https://www.youtube.com/channel/UCYOmBs3ppKsfvm6TVfnkXUQ</t>
  </si>
  <si>
    <t>FONTE DE DADOS EXTERNOS :</t>
  </si>
  <si>
    <t>Google</t>
  </si>
  <si>
    <t>google.com/finance</t>
  </si>
  <si>
    <t>Funds Explorer</t>
  </si>
  <si>
    <t>Fundamentus</t>
  </si>
  <si>
    <t>fundamentus.com.br</t>
  </si>
  <si>
    <t>Versão</t>
  </si>
  <si>
    <t>HISTÓRICO DE ATUALIZAÇÕES</t>
  </si>
  <si>
    <t>v6.0</t>
  </si>
  <si>
    <t>Versão inicial de testes de funções básicas</t>
  </si>
  <si>
    <t>v6.1</t>
  </si>
  <si>
    <t>Versão completa homologada</t>
  </si>
  <si>
    <t>v6.2</t>
  </si>
  <si>
    <t>Atualizações na aba alocação, caixa, gráficos, inclusão das abas Darf e Dirpf</t>
  </si>
  <si>
    <t xml:space="preserve">Obrigado e bons investimentos!!! </t>
  </si>
  <si>
    <t>painel composição do portfólio</t>
  </si>
  <si>
    <t>INDICADORES COMPLEMENTARES</t>
  </si>
  <si>
    <t>SELIC</t>
  </si>
  <si>
    <t>iGP-M</t>
  </si>
  <si>
    <t>IPCA</t>
  </si>
  <si>
    <t>INPC</t>
  </si>
  <si>
    <t>USDBRL</t>
  </si>
  <si>
    <t>INDICADOR</t>
  </si>
  <si>
    <t>Cotação</t>
  </si>
  <si>
    <t>% dia</t>
  </si>
  <si>
    <t>Dias do gráfico:</t>
  </si>
  <si>
    <t>0.52%</t>
  </si>
  <si>
    <t>1.06%</t>
  </si>
  <si>
    <t>+1,04%</t>
  </si>
  <si>
    <t>PORTFÓLIO</t>
  </si>
  <si>
    <t>TOTAL</t>
  </si>
  <si>
    <t>Lucro do dia</t>
  </si>
  <si>
    <t>Principais operações</t>
  </si>
  <si>
    <t>Operações com fundos e Renda Fixa</t>
  </si>
  <si>
    <t>Demais Operações</t>
  </si>
  <si>
    <t>Rentabilidade geral</t>
  </si>
  <si>
    <t>IBOV</t>
  </si>
  <si>
    <t>Ativado?</t>
  </si>
  <si>
    <t>LTN-23</t>
  </si>
  <si>
    <t>LTN-26</t>
  </si>
  <si>
    <t>NTNB-26</t>
  </si>
  <si>
    <t>NTNB-35</t>
  </si>
  <si>
    <t>NTNB-45</t>
  </si>
  <si>
    <t>Investido</t>
  </si>
  <si>
    <t>Atual</t>
  </si>
  <si>
    <t>Lucro</t>
  </si>
  <si>
    <t>Lucro Aberto</t>
  </si>
  <si>
    <t>Swing Trades</t>
  </si>
  <si>
    <t>Day Trades</t>
  </si>
  <si>
    <t>Proventos</t>
  </si>
  <si>
    <t>Lucro total</t>
  </si>
  <si>
    <t xml:space="preserve"> Trades</t>
  </si>
  <si>
    <t>TIR am%</t>
  </si>
  <si>
    <t>TIR aa%</t>
  </si>
  <si>
    <t>IFIX</t>
  </si>
  <si>
    <t>5.14%</t>
  </si>
  <si>
    <t>1.32%</t>
  </si>
  <si>
    <t>5.49%</t>
  </si>
  <si>
    <t>5.74%</t>
  </si>
  <si>
    <t>IBOVESPA</t>
  </si>
  <si>
    <t>gráfico últimos 10 dias</t>
  </si>
  <si>
    <t>BOOKS</t>
  </si>
  <si>
    <t>Multi invest</t>
  </si>
  <si>
    <t>PESO DESEJADO %</t>
  </si>
  <si>
    <t>.DJI</t>
  </si>
  <si>
    <t>PESO ATUAL%</t>
  </si>
  <si>
    <t>.IXIC</t>
  </si>
  <si>
    <t>Só ativos com indicação?</t>
  </si>
  <si>
    <t>FLUXO DE CAIXA</t>
  </si>
  <si>
    <t>VALOR DE MERCADO</t>
  </si>
  <si>
    <t>BTCUSD</t>
  </si>
  <si>
    <t>LUCRO TOTAL
SOBRE O FLUXO DE CAIXA</t>
  </si>
  <si>
    <t>Total ou 
sem carteiras?</t>
  </si>
  <si>
    <t>MAIORES LUCROS/PREJUÍZOS HOJE</t>
  </si>
  <si>
    <t>AÇÃO</t>
  </si>
  <si>
    <t>CARTEIRAS</t>
  </si>
  <si>
    <t>CORRETORA</t>
  </si>
  <si>
    <t>TOTAL
(A+B)</t>
  </si>
  <si>
    <t>BRL
(A)</t>
  </si>
  <si>
    <t>USD
(B)</t>
  </si>
  <si>
    <t/>
  </si>
  <si>
    <t>CONTROLE DO 
SALDO EM CAIXA</t>
  </si>
  <si>
    <t>Saldo Inicial (+)</t>
  </si>
  <si>
    <t>PESO ATUAL %</t>
  </si>
  <si>
    <t>Remessas e saques (+)</t>
  </si>
  <si>
    <t>PESO NO SUBGRUPO %</t>
  </si>
  <si>
    <t>Outros créditos e débitos (+)</t>
  </si>
  <si>
    <t>Proventos recebidos (+)</t>
  </si>
  <si>
    <t>VALOR INVESTIDO</t>
  </si>
  <si>
    <t>Day trade (+)</t>
  </si>
  <si>
    <t>Operações realizadas (-)</t>
  </si>
  <si>
    <t>LUCRO DIA</t>
  </si>
  <si>
    <t>SALDO EM CAIXA (=)</t>
  </si>
  <si>
    <t>PROVENTOS</t>
  </si>
  <si>
    <t xml:space="preserve">REMESSAS PARA INVESTIMENTO </t>
  </si>
  <si>
    <t>SALDO</t>
  </si>
  <si>
    <t>FILTROS</t>
  </si>
  <si>
    <t>TRADES</t>
  </si>
  <si>
    <t>Média Mensal</t>
  </si>
  <si>
    <t>Últimos 12 m</t>
  </si>
  <si>
    <t>LUCRO ABERTO</t>
  </si>
  <si>
    <t>LUCRO TOTAL</t>
  </si>
  <si>
    <t>RENTABILIDADE (TIR)</t>
  </si>
  <si>
    <t>ORDENAMENTO</t>
  </si>
  <si>
    <t>FORMATACAO CONDICIONAL</t>
  </si>
  <si>
    <t>FILTRO DOS ATIVOS</t>
  </si>
  <si>
    <t>GRÁFICO DE MAIORES LUCROS E PREJUÍZOS DO DIA</t>
  </si>
  <si>
    <t>DADOS PARA GERAÇÃO DOS GRÁFICOS</t>
  </si>
  <si>
    <t>GRAFICO EXPOSIÇÃO</t>
  </si>
  <si>
    <t>GRÁFICO LUCROS</t>
  </si>
  <si>
    <t>SELEÇÃO DO GRÁFICO A SER EXIBIDO</t>
  </si>
  <si>
    <t>CÁLCULOS DO PAINEL</t>
  </si>
  <si>
    <t>nome_pregao_portfolio</t>
  </si>
  <si>
    <t>ocorrencias</t>
  </si>
  <si>
    <t>qtd_atual+corretora</t>
  </si>
  <si>
    <t>cotacao</t>
  </si>
  <si>
    <t>pr_teto+upside</t>
  </si>
  <si>
    <t>vlr_investido</t>
  </si>
  <si>
    <t>vlr_mercado</t>
  </si>
  <si>
    <t>lucro_dia+pct</t>
  </si>
  <si>
    <t>lucro_aberto</t>
  </si>
  <si>
    <t>lucro_aberto_pct</t>
  </si>
  <si>
    <t>trades+pct</t>
  </si>
  <si>
    <t>provento+pct</t>
  </si>
  <si>
    <t>lucro_total</t>
  </si>
  <si>
    <t>tir_am+aa</t>
  </si>
  <si>
    <t>dias_pct</t>
  </si>
  <si>
    <t>CARTEIRAS ONDE HÁ EXPOSIÇÃO</t>
  </si>
  <si>
    <t>▼</t>
  </si>
  <si>
    <t>Em x cart.</t>
  </si>
  <si>
    <t>Peso %</t>
  </si>
  <si>
    <t>Custódia</t>
  </si>
  <si>
    <t>PM
(PM Ajust)</t>
  </si>
  <si>
    <t>Preço Teto</t>
  </si>
  <si>
    <t>Valor Investido</t>
  </si>
  <si>
    <t>Valor de Mercado</t>
  </si>
  <si>
    <t>Lucro Dia</t>
  </si>
  <si>
    <t>TIR</t>
  </si>
  <si>
    <t>Setor</t>
  </si>
  <si>
    <t>Desempenho</t>
  </si>
  <si>
    <t>OPÇÕES DE FILTROS</t>
  </si>
  <si>
    <t>EXPOSIÇÃO POR SETOR</t>
  </si>
  <si>
    <t>lucro_dia</t>
  </si>
  <si>
    <t>provento</t>
  </si>
  <si>
    <t>trades</t>
  </si>
  <si>
    <t>ativo</t>
  </si>
  <si>
    <t>classe</t>
  </si>
  <si>
    <t>tir_am</t>
  </si>
  <si>
    <t>lucro_dia_pct</t>
  </si>
  <si>
    <t>upside</t>
  </si>
  <si>
    <t>corretora_investidor</t>
  </si>
  <si>
    <t>provento_avg</t>
  </si>
  <si>
    <t>MAX (+)</t>
  </si>
  <si>
    <t>CLASSE -&gt;</t>
  </si>
  <si>
    <t>PERFIL</t>
  </si>
  <si>
    <t>VALOR MERCADO POR PERFIL</t>
  </si>
  <si>
    <t>LUCRO POR PERFIL</t>
  </si>
  <si>
    <t>NOME DAS CARTEIRAS</t>
  </si>
  <si>
    <t>VALOR MERCADO POR CARTEIRA</t>
  </si>
  <si>
    <t>LUCRO POR CARTEIRA</t>
  </si>
  <si>
    <t>NOME DOS BOOKS</t>
  </si>
  <si>
    <t>VALOR MERCADO POR BOOK</t>
  </si>
  <si>
    <t>LUCRO POR BOOK</t>
  </si>
  <si>
    <t>ATIVO</t>
  </si>
  <si>
    <t>SETOR</t>
  </si>
  <si>
    <t>CLASSE</t>
  </si>
  <si>
    <t>VLR DE MERCADO POR ATIVO</t>
  </si>
  <si>
    <t>LUCRO
POR ATIVO</t>
  </si>
  <si>
    <t>LEGENDA</t>
  </si>
  <si>
    <t>VALOR</t>
  </si>
  <si>
    <t>LISTA GRÁFICOS 1</t>
  </si>
  <si>
    <t>QUERY</t>
  </si>
  <si>
    <t>LUCRO DIA %</t>
  </si>
  <si>
    <t>%</t>
  </si>
  <si>
    <t>Aberto</t>
  </si>
  <si>
    <t>Trades</t>
  </si>
  <si>
    <t>Total</t>
  </si>
  <si>
    <t>Exibir ▶</t>
  </si>
  <si>
    <t>Ativos com posição</t>
  </si>
  <si>
    <t>MAX( -)</t>
  </si>
  <si>
    <t>ATIVOS
5+ e 5- 
NOBLANK</t>
  </si>
  <si>
    <t>LUCRO DIA
5+ NOBLANK</t>
  </si>
  <si>
    <t>LUCRO DIA
5- NOBLANK</t>
  </si>
  <si>
    <t>LUCRO DIA
10 AÇÕES</t>
  </si>
  <si>
    <t>EXPOSIÇÃO POR ATIVO</t>
  </si>
  <si>
    <t>ATIVOS</t>
  </si>
  <si>
    <t>CUSTÓDIA E VALOR DOS ATIVOS POR UNIDADE</t>
  </si>
  <si>
    <t>Gráfico de linha</t>
  </si>
  <si>
    <t>filtrar por classe</t>
  </si>
  <si>
    <t>filtrar por corretora</t>
  </si>
  <si>
    <t>ORDEM</t>
  </si>
  <si>
    <t>NOME DA COLUNA</t>
  </si>
  <si>
    <t>COLUNA</t>
  </si>
  <si>
    <t>ATIVOS ORDENADOS</t>
  </si>
  <si>
    <t>CLASSE ORDENADOS</t>
  </si>
  <si>
    <t>TIR MENSAL</t>
  </si>
  <si>
    <t>PRECO TETO UPSIZE</t>
  </si>
  <si>
    <t>LUCRO DIA ABS</t>
  </si>
  <si>
    <t>SELECTED</t>
  </si>
  <si>
    <t>SUBTOTAL 01</t>
  </si>
  <si>
    <t>GRUPO 01</t>
  </si>
  <si>
    <t>SUBTOTAL 02</t>
  </si>
  <si>
    <t>GRUPO 02</t>
  </si>
  <si>
    <t>SUBTOTAL 03</t>
  </si>
  <si>
    <t>ATIVOS
5+ e 5-</t>
  </si>
  <si>
    <t>LUCRO DIA
5+</t>
  </si>
  <si>
    <t>LUCRO DIA
5-</t>
  </si>
  <si>
    <t>select Col11, sum(Col13) where Col11 is not null group by Col11 label sum(Col13) ''</t>
  </si>
  <si>
    <t>GRUPO</t>
  </si>
  <si>
    <t>CHECK</t>
  </si>
  <si>
    <t>CATEGORIA SUBTOTAL</t>
  </si>
  <si>
    <t>PERFIL CRIADAS</t>
  </si>
  <si>
    <t>CARTEIRAS CRIADAS</t>
  </si>
  <si>
    <t>PESO %</t>
  </si>
  <si>
    <t>PESO 
GRUPO %</t>
  </si>
  <si>
    <t>Valor Aportado</t>
  </si>
  <si>
    <t>Valor Mercado</t>
  </si>
  <si>
    <t>Lucro dia R$</t>
  </si>
  <si>
    <t>Lucro dia %</t>
  </si>
  <si>
    <t>Valor Proventos</t>
  </si>
  <si>
    <t>Valor Trades</t>
  </si>
  <si>
    <t>Lucro Total</t>
  </si>
  <si>
    <t>TIR am</t>
  </si>
  <si>
    <t>TIR aa</t>
  </si>
  <si>
    <t>ORDER</t>
  </si>
  <si>
    <t>RANKING</t>
  </si>
  <si>
    <t>ranking</t>
  </si>
  <si>
    <t>EXPOSIÇÃO POR CLASSE</t>
  </si>
  <si>
    <t>select Col12, sum(Col13) where Col11 is not null group by Col12 label sum(Col13) ''</t>
  </si>
  <si>
    <t>Outros</t>
  </si>
  <si>
    <t>select Col7, Col8 where Col8&gt;0</t>
  </si>
  <si>
    <t>select Col4, Col5 where Col5&gt;0 and Col4 is not null</t>
  </si>
  <si>
    <t>select Col1, Col2 where Col2&gt;0 and Col1 is not null</t>
  </si>
  <si>
    <t>LUCRO ABERTO %</t>
  </si>
  <si>
    <t>LISTA GRÁFICOS 2</t>
  </si>
  <si>
    <t>LUCRO POR ATIVO</t>
  </si>
  <si>
    <t>select Col10, Col14 where Col10 is not null and Col14&lt;&gt;0</t>
  </si>
  <si>
    <t>LUCRO POR SETOR</t>
  </si>
  <si>
    <t>PROVENTOS %</t>
  </si>
  <si>
    <t>provento_pct</t>
  </si>
  <si>
    <t>select Col11, sum(Col14) where Col11 is not null and Col14&lt;&gt;0 group by Col11 label sum(Col14) ''</t>
  </si>
  <si>
    <t>ANUAL %</t>
  </si>
  <si>
    <t>tir</t>
  </si>
  <si>
    <t>LUCRO POR CLASSE</t>
  </si>
  <si>
    <t>select Col12, sum(Col14) where Col12 is not null and Col14&lt;&gt;0 group by Col12 label sum(Col14) ''</t>
  </si>
  <si>
    <t>select Col7, Col9 where Col9&lt;&gt;0 and Col7 is not null</t>
  </si>
  <si>
    <t>VALOR MERCADO</t>
  </si>
  <si>
    <t>select Col4, Col6 where Col6&lt;&gt;0 and Col4 is not null</t>
  </si>
  <si>
    <t>PREÇO TETO %</t>
  </si>
  <si>
    <t>-</t>
  </si>
  <si>
    <t>Sem Book</t>
  </si>
  <si>
    <t>select Col1, Col3 where Col3&lt;&gt;0 and Col1 is not null</t>
  </si>
  <si>
    <t>CARTEIRA</t>
  </si>
  <si>
    <t>PESO GRUPO %</t>
  </si>
  <si>
    <t>ALFABETICA</t>
  </si>
  <si>
    <t>OUTROS</t>
  </si>
  <si>
    <t>FUNDO_RF_1</t>
  </si>
  <si>
    <t>setor</t>
  </si>
  <si>
    <t>FUNDO_RF_2</t>
  </si>
  <si>
    <t>▲</t>
  </si>
  <si>
    <t>desc</t>
  </si>
  <si>
    <t>FUNDO_RF_3</t>
  </si>
  <si>
    <t>asc</t>
  </si>
  <si>
    <t>FUNDO_RF_4</t>
  </si>
  <si>
    <t>PESO NORMALIZADO %</t>
  </si>
  <si>
    <t>PRINCIPAL</t>
  </si>
  <si>
    <t>sem uso no momento</t>
  </si>
  <si>
    <t>ATIVOS SEM CARTEIRA</t>
  </si>
  <si>
    <t>DEMAIS</t>
  </si>
  <si>
    <t>ACAO1</t>
  </si>
  <si>
    <t>day trade</t>
  </si>
  <si>
    <t>USERS SELECIONADOS</t>
  </si>
  <si>
    <t>ACAO2</t>
  </si>
  <si>
    <t>corretora</t>
  </si>
  <si>
    <t>lucro</t>
  </si>
  <si>
    <t>ACAO3</t>
  </si>
  <si>
    <t>ACAO4</t>
  </si>
  <si>
    <t>ACAO5</t>
  </si>
  <si>
    <t>ACAO6</t>
  </si>
  <si>
    <t>ACAO7</t>
  </si>
  <si>
    <t>ACAO8</t>
  </si>
  <si>
    <t>ACAO9</t>
  </si>
  <si>
    <t>ACAO10</t>
  </si>
  <si>
    <t>NADA SEL?</t>
  </si>
  <si>
    <t>INDICADORES</t>
  </si>
  <si>
    <t>Fator FX</t>
  </si>
  <si>
    <t>Changepct_fx</t>
  </si>
  <si>
    <t>BRLUSD</t>
  </si>
  <si>
    <t>PRICE</t>
  </si>
  <si>
    <t>CHANGE</t>
  </si>
  <si>
    <t>CHANGEPCT</t>
  </si>
  <si>
    <t>semana</t>
  </si>
  <si>
    <t>data</t>
  </si>
  <si>
    <t>price</t>
  </si>
  <si>
    <t>change</t>
  </si>
  <si>
    <t>changepct</t>
  </si>
  <si>
    <t>grafico</t>
  </si>
  <si>
    <t>quinta-feira</t>
  </si>
  <si>
    <t>sexta-feira</t>
  </si>
  <si>
    <t>segunda-feira</t>
  </si>
  <si>
    <t>terça-feira</t>
  </si>
  <si>
    <t>quarta-feira</t>
  </si>
  <si>
    <t>sábado</t>
  </si>
  <si>
    <t>painel resumo e indicadores</t>
  </si>
  <si>
    <t>PANORAMA DO DIA</t>
  </si>
  <si>
    <t>RENTABILIDADE DAS CARTEIRAS (TEMPO REAL)</t>
  </si>
  <si>
    <t>RENDA FIXA</t>
  </si>
  <si>
    <t>RENDA VARIÁVEL</t>
  </si>
  <si>
    <t>TOTAL INVESTIDO</t>
  </si>
  <si>
    <t>FX. CAIXA</t>
  </si>
  <si>
    <t>MERCADO</t>
  </si>
  <si>
    <t>RESULTADO BRUTO</t>
  </si>
  <si>
    <t>FUNDOS E RF</t>
  </si>
  <si>
    <t>ABERTO</t>
  </si>
  <si>
    <t>LUCRO DO DIA</t>
  </si>
  <si>
    <t>Rentabilidade
do Porfólio</t>
  </si>
  <si>
    <t>INDICADORES ECONÔMICOS</t>
  </si>
  <si>
    <t>EXPOSIÇÃO POR BOOK</t>
  </si>
  <si>
    <t>BOLSA</t>
  </si>
  <si>
    <t>MÊS</t>
  </si>
  <si>
    <t>CDI</t>
  </si>
  <si>
    <t>Carteiras</t>
  </si>
  <si>
    <t>Reduz</t>
  </si>
  <si>
    <t>TOTAL CARTEIRAS</t>
  </si>
  <si>
    <t>painel proventos recebidos</t>
  </si>
  <si>
    <t>ATIIVADA?</t>
  </si>
  <si>
    <t>Filtro por período</t>
  </si>
  <si>
    <t>Combobox selecao mes/ano</t>
  </si>
  <si>
    <t>Para selecao na query</t>
  </si>
  <si>
    <t>Data inicial</t>
  </si>
  <si>
    <t>Data final</t>
  </si>
  <si>
    <t>Data Inicial</t>
  </si>
  <si>
    <t>Ano</t>
  </si>
  <si>
    <t>Mes</t>
  </si>
  <si>
    <t>Data inicio</t>
  </si>
  <si>
    <t>Data fim</t>
  </si>
  <si>
    <t>Ordenar por:</t>
  </si>
  <si>
    <t>Data</t>
  </si>
  <si>
    <t>Média mensal histórica</t>
  </si>
  <si>
    <t>Últimos 12 meses</t>
  </si>
  <si>
    <t>ENCERRADOS</t>
  </si>
  <si>
    <t>Ativo</t>
  </si>
  <si>
    <t>Evento</t>
  </si>
  <si>
    <t>Valor</t>
  </si>
  <si>
    <t>CHECKS</t>
  </si>
  <si>
    <t>QUERY CARTEIRA</t>
  </si>
  <si>
    <t>registro de operações normais</t>
  </si>
  <si>
    <t>investidor</t>
  </si>
  <si>
    <t>date</t>
  </si>
  <si>
    <t>evento</t>
  </si>
  <si>
    <t>qtd</t>
  </si>
  <si>
    <t>preco</t>
  </si>
  <si>
    <t>taxas</t>
  </si>
  <si>
    <t>irrf</t>
  </si>
  <si>
    <t>moeda</t>
  </si>
  <si>
    <t>observacao</t>
  </si>
  <si>
    <t>market_cod</t>
  </si>
  <si>
    <t>volume</t>
  </si>
  <si>
    <t>lucro_pct</t>
  </si>
  <si>
    <t>fluxo_caixa</t>
  </si>
  <si>
    <t>qtd_atual</t>
  </si>
  <si>
    <t>pm_atual</t>
  </si>
  <si>
    <t>qtd_ant</t>
  </si>
  <si>
    <t>pm_ant</t>
  </si>
  <si>
    <t>ptax</t>
  </si>
  <si>
    <t>pm_fx</t>
  </si>
  <si>
    <t>pm_ptax</t>
  </si>
  <si>
    <t>outros_price</t>
  </si>
  <si>
    <t>reservado</t>
  </si>
  <si>
    <t>id_op</t>
  </si>
  <si>
    <t>categoria_subtotal</t>
  </si>
  <si>
    <t>carteira_1</t>
  </si>
  <si>
    <t>carteira_2</t>
  </si>
  <si>
    <t>carteira_3</t>
  </si>
  <si>
    <t>carteira_4</t>
  </si>
  <si>
    <t>carteira_5</t>
  </si>
  <si>
    <t>carteira_6</t>
  </si>
  <si>
    <t>carteira_7</t>
  </si>
  <si>
    <t>carteira_8</t>
  </si>
  <si>
    <t>carteira_9</t>
  </si>
  <si>
    <t>carteira_10</t>
  </si>
  <si>
    <t>carteira_11</t>
  </si>
  <si>
    <t>carteira_12</t>
  </si>
  <si>
    <t>carteira_13</t>
  </si>
  <si>
    <t>carteira_14</t>
  </si>
  <si>
    <t>carteira_15</t>
  </si>
  <si>
    <t>registro de operações de day trade</t>
  </si>
  <si>
    <t>registro de proventos recebidos</t>
  </si>
  <si>
    <t>valor</t>
  </si>
  <si>
    <t>date_com</t>
  </si>
  <si>
    <t>vlr_bruto</t>
  </si>
  <si>
    <t>irrf_total</t>
  </si>
  <si>
    <t>vlr_liquido</t>
  </si>
  <si>
    <t>registro de movimentações de caixa</t>
  </si>
  <si>
    <t>corretoras</t>
  </si>
  <si>
    <t>fator</t>
  </si>
  <si>
    <t>vlr_liq</t>
  </si>
  <si>
    <t>portfolio</t>
  </si>
  <si>
    <t>saldo_inicial</t>
  </si>
  <si>
    <t>rem/saq</t>
  </si>
  <si>
    <t>cre/deb</t>
  </si>
  <si>
    <t>day tr</t>
  </si>
  <si>
    <t>proventos</t>
  </si>
  <si>
    <t>fx caixa</t>
  </si>
  <si>
    <t>saldo</t>
  </si>
  <si>
    <t>campos</t>
  </si>
  <si>
    <t>coluna</t>
  </si>
  <si>
    <t>ABA ATIVADA E CONFIG ON</t>
  </si>
  <si>
    <t>TOTAL POR</t>
  </si>
  <si>
    <t>SALDO INICIAL</t>
  </si>
  <si>
    <t>REM+SAQ</t>
  </si>
  <si>
    <t>OUTRO CR+DB</t>
  </si>
  <si>
    <t>DAY TRADES</t>
  </si>
  <si>
    <t>FLX CAIXA</t>
  </si>
  <si>
    <t>ATIVADA</t>
  </si>
  <si>
    <t>BRL</t>
  </si>
  <si>
    <t>CONFIG ON</t>
  </si>
  <si>
    <t>USD</t>
  </si>
  <si>
    <t>FUNCIONAL</t>
  </si>
  <si>
    <t>USD * USDBRL</t>
  </si>
  <si>
    <t>COTAÇÃO DOLAR HOJE</t>
  </si>
  <si>
    <t>TOTAL BRL</t>
  </si>
  <si>
    <t>TEM USUÁRIOS?</t>
  </si>
  <si>
    <t>Média:</t>
  </si>
  <si>
    <t>Meses:</t>
  </si>
  <si>
    <t>12 meses:</t>
  </si>
  <si>
    <t>radar</t>
  </si>
  <si>
    <t>acompanhamento de ativos</t>
  </si>
  <si>
    <t>DD</t>
  </si>
  <si>
    <t>ATIVADA?</t>
  </si>
  <si>
    <t>Moeda base:</t>
  </si>
  <si>
    <t>Performance do ativo</t>
  </si>
  <si>
    <t>Cotações do ativos</t>
  </si>
  <si>
    <t>Posição atual</t>
  </si>
  <si>
    <t>Drawdown</t>
  </si>
  <si>
    <t>Indicadores fundamentalistas</t>
  </si>
  <si>
    <t>Análise fundamentalista</t>
  </si>
  <si>
    <t>ORDER BY</t>
  </si>
  <si>
    <t>fator_fx 
(aba radar)</t>
  </si>
  <si>
    <t>Ranking</t>
  </si>
  <si>
    <t>Filtrar ativos:</t>
  </si>
  <si>
    <t>Abertos</t>
  </si>
  <si>
    <t>Watchlist</t>
  </si>
  <si>
    <t>Preço entrada</t>
  </si>
  <si>
    <t>Data entrada</t>
  </si>
  <si>
    <t>Lucro desde entrada</t>
  </si>
  <si>
    <t>Rent. desde entrada</t>
  </si>
  <si>
    <t>Upside</t>
  </si>
  <si>
    <t>Menor valor em 52 semanas</t>
  </si>
  <si>
    <t>Maior valor em 52 semanas</t>
  </si>
  <si>
    <t>Variação da cotação em %</t>
  </si>
  <si>
    <t>Dias:</t>
  </si>
  <si>
    <t>Objetivo
(peso ideal)</t>
  </si>
  <si>
    <t>O que fazer</t>
  </si>
  <si>
    <t>Quant
vender
ou
coprar</t>
  </si>
  <si>
    <t>Usar meu valor de compra:</t>
  </si>
  <si>
    <t>FII</t>
  </si>
  <si>
    <t>P/L</t>
  </si>
  <si>
    <t>ROE</t>
  </si>
  <si>
    <t>DY</t>
  </si>
  <si>
    <t>Mrg. Liq.</t>
  </si>
  <si>
    <t>Mrg Ebit</t>
  </si>
  <si>
    <t>Div.Brut/ Patrim.</t>
  </si>
  <si>
    <t>Cresc. Rec.5a</t>
  </si>
  <si>
    <t>Valor
Mercado
(mi)</t>
  </si>
  <si>
    <t>Liquidez</t>
  </si>
  <si>
    <t>Div Bruta / Patr Liq</t>
  </si>
  <si>
    <t>Cres Rec Líquida        (5 anos)</t>
  </si>
  <si>
    <t>P/VPA</t>
  </si>
  <si>
    <t>PLxPVPA</t>
  </si>
  <si>
    <t>Volume negociado (mi)</t>
  </si>
  <si>
    <t>Growth (G)</t>
  </si>
  <si>
    <t>Payout</t>
  </si>
  <si>
    <t>Earnings Yield   (LPA/P)</t>
  </si>
  <si>
    <t>LPA</t>
  </si>
  <si>
    <t>DRAWDOWN</t>
  </si>
  <si>
    <t>MARGEM</t>
  </si>
  <si>
    <t>ENCERRADO</t>
  </si>
  <si>
    <t>moeda_price</t>
  </si>
  <si>
    <t>ULTIMA COMPRA</t>
  </si>
  <si>
    <t>SETOR E SUBSETOR</t>
  </si>
  <si>
    <t>POSIÇÃO</t>
  </si>
  <si>
    <t>Em x Carteiras</t>
  </si>
  <si>
    <t>1 dia</t>
  </si>
  <si>
    <t>7 dias</t>
  </si>
  <si>
    <t>14 dias</t>
  </si>
  <si>
    <t>28 dias</t>
  </si>
  <si>
    <t>PM</t>
  </si>
  <si>
    <t>Dif %</t>
  </si>
  <si>
    <t>Valor investido</t>
  </si>
  <si>
    <t>Valor mercado</t>
  </si>
  <si>
    <t>Peso atual</t>
  </si>
  <si>
    <t>DY (3M) Média</t>
  </si>
  <si>
    <t>DY (6M) Média</t>
  </si>
  <si>
    <t>DY (12M) Média</t>
  </si>
  <si>
    <t>Vacância Física</t>
  </si>
  <si>
    <t>Vacância Finan</t>
  </si>
  <si>
    <t>fator_fx
(preço teto)</t>
  </si>
  <si>
    <t>Ligado</t>
  </si>
  <si>
    <t>Desligado</t>
  </si>
  <si>
    <t>Margem para máxima</t>
  </si>
  <si>
    <t>&gt; 500 M</t>
  </si>
  <si>
    <t>&gt; 1,5</t>
  </si>
  <si>
    <t>&gt; 15%</t>
  </si>
  <si>
    <t>&lt; 0,5</t>
  </si>
  <si>
    <t>&gt; 5 %</t>
  </si>
  <si>
    <t>&lt; 2</t>
  </si>
  <si>
    <t>&lt; 15</t>
  </si>
  <si>
    <t>&lt; 22,5</t>
  </si>
  <si>
    <t>&gt; 1 M</t>
  </si>
  <si>
    <t>&gt; 5%</t>
  </si>
  <si>
    <t>&gt; 6%</t>
  </si>
  <si>
    <t>&lt; 60%</t>
  </si>
  <si>
    <t>DATA</t>
  </si>
  <si>
    <t>INDICADORES FUNDAMENTALISTAS</t>
  </si>
  <si>
    <t>Cotacao</t>
  </si>
  <si>
    <t>P/VP</t>
  </si>
  <si>
    <t>PSR</t>
  </si>
  <si>
    <t>Div.Yield %</t>
  </si>
  <si>
    <t>P/Ativo</t>
  </si>
  <si>
    <t>P/Cap.Giro</t>
  </si>
  <si>
    <t>P/ Cap.Giro</t>
  </si>
  <si>
    <t>P/EBIT</t>
  </si>
  <si>
    <t>P/Ativ Circ.Liq</t>
  </si>
  <si>
    <t>P/ Ativ.Circ</t>
  </si>
  <si>
    <t>EV/EBIT</t>
  </si>
  <si>
    <t>EV/EBITDA</t>
  </si>
  <si>
    <t>Mrg Ebit %</t>
  </si>
  <si>
    <t>Mrg. Liq. %</t>
  </si>
  <si>
    <t>Liq. Corr.</t>
  </si>
  <si>
    <t>ROIC %</t>
  </si>
  <si>
    <t>ROIC</t>
  </si>
  <si>
    <t>ROE %</t>
  </si>
  <si>
    <t>Liq.2meses</t>
  </si>
  <si>
    <t>Liq.2m</t>
  </si>
  <si>
    <t>Patrim. Liq</t>
  </si>
  <si>
    <t>Cresc. Rec.5a %</t>
  </si>
  <si>
    <t>Preço Atual</t>
  </si>
  <si>
    <t>Liquidez Diária</t>
  </si>
  <si>
    <t>Dividendo</t>
  </si>
  <si>
    <t>Dividend Yield</t>
  </si>
  <si>
    <t>DY (3M) Acumulado</t>
  </si>
  <si>
    <t>DY (3M) Acum</t>
  </si>
  <si>
    <t>DY (6M) Acumulado</t>
  </si>
  <si>
    <t>DY (6M) Acum</t>
  </si>
  <si>
    <t>DY (12M) Acumulado</t>
  </si>
  <si>
    <t>DY (12M) Acum</t>
  </si>
  <si>
    <t>DY Ano</t>
  </si>
  <si>
    <t>Variação Preço</t>
  </si>
  <si>
    <t>Rentab. Período</t>
  </si>
  <si>
    <t>Rentab. Acumulada</t>
  </si>
  <si>
    <t>Rentab. Acum</t>
  </si>
  <si>
    <t>Patrimônio Líq.</t>
  </si>
  <si>
    <t>PL</t>
  </si>
  <si>
    <t>VPA</t>
  </si>
  <si>
    <t>DY Patrimonial</t>
  </si>
  <si>
    <t>Variação Patrimonial</t>
  </si>
  <si>
    <t>Var Patrimonial</t>
  </si>
  <si>
    <t>Rentab. Patr. no Período</t>
  </si>
  <si>
    <t>Rentab. Patr. Período</t>
  </si>
  <si>
    <t>Rentab. Patr. Acumulada</t>
  </si>
  <si>
    <t>Vacância Financeira</t>
  </si>
  <si>
    <t>Quantidade Ativos</t>
  </si>
  <si>
    <t>Quant Ativos</t>
  </si>
  <si>
    <t>QUERY AÇÃO/BDR</t>
  </si>
  <si>
    <t>QUERY FIIs</t>
  </si>
  <si>
    <t>alocação, balanceamento e aportes</t>
  </si>
  <si>
    <t>SE(NÃO($S$20);"";SEERRO(query({portfolio.!A4:D};"select Col1 where Col1 is not null "&amp;SE(NÃO(AE24="");"and (not (Col1 = '"&amp;join("' or Col1 = '";filter($AE$24:$AE;$AE$24:$AE&lt;&gt;""))&amp;"'))";"")&amp;SE(E(J24;NÃO(J23));" and (Col4 = '"&amp;join("' or Col4 = '";filter('portfólio'!$DB68:$DB117;'portfólio'!$DB68:$DB117&lt;&gt;""))&amp;"')";""))))</t>
  </si>
  <si>
    <t>SE(NÃO($S$20);"";SEERRO(query({portfolio.!A4:D};"select Col1 where Col1 is not null "&amp;SE(NÃO(AE24="");"and (not (Col1 = '"&amp;join("' or Col1 = '";filter($AE$24:$AE;$AE$24:$AE&lt;&gt;""))&amp;"'))";"")&amp;" and (Col4 = '"&amp;join("' or Col4 = '";filter('portfólio'!$DC68:$DC117;'portfólio'!$DC68:$DC117&lt;&gt;""))&amp;"')")))</t>
  </si>
  <si>
    <t>META1</t>
  </si>
  <si>
    <t>QUANDO NADA OU SÓ AGUARDAR ESTÁ MARCADO</t>
  </si>
  <si>
    <t>META2</t>
  </si>
  <si>
    <t>QUANDO ESTÁ MARCADO VENDER/COMPRAR</t>
  </si>
  <si>
    <t>objetivo</t>
  </si>
  <si>
    <t>o que fazer</t>
  </si>
  <si>
    <t>SQL</t>
  </si>
  <si>
    <t>alfabética</t>
  </si>
  <si>
    <t>vlr mercado</t>
  </si>
  <si>
    <t>alocação</t>
  </si>
  <si>
    <t>arredondar</t>
  </si>
  <si>
    <t>ETF</t>
  </si>
  <si>
    <t>aguardar acima vlr teto:</t>
  </si>
  <si>
    <t>SELECIONE OS ATIVOS A SEREM CONSIDERADOS NO BALANCEAMENTO</t>
  </si>
  <si>
    <t>não por carteiras</t>
  </si>
  <si>
    <t>absoluto</t>
  </si>
  <si>
    <t>NÃO APORTAR EM? -&gt;</t>
  </si>
  <si>
    <t>SE(U20;O27+(O23*(1-$L$27));W22)</t>
  </si>
  <si>
    <t>valor de mercado:</t>
  </si>
  <si>
    <t>normalizado</t>
  </si>
  <si>
    <t>DOLAR</t>
  </si>
  <si>
    <t>SOMA PESOS</t>
  </si>
  <si>
    <t>arrayformula(SE($AP24:$AP="";"";SE($D$20&lt;0;1;SE($H$19;SEERRO(SE($AX24:$AX&gt;$AY24:$AY;1;0);0);1))))</t>
  </si>
  <si>
    <t>objetivo (valor balanceado)</t>
  </si>
  <si>
    <t>destacar diferenças acima:</t>
  </si>
  <si>
    <t>valor mercado</t>
  </si>
  <si>
    <t>% aloc.</t>
  </si>
  <si>
    <t>vlr não config</t>
  </si>
  <si>
    <t>Ativos com posição, mas não presentes nas carteiras</t>
  </si>
  <si>
    <t>Ativos configurados nas carteiras</t>
  </si>
  <si>
    <t>SOMENTE ATIVOS SELECIONADOS</t>
  </si>
  <si>
    <t>PROCESSAMENTO INICIAL - SOMATÓRIO DOS PERCENTUAIS</t>
  </si>
  <si>
    <t>ANÁLISE PRELIMINAR</t>
  </si>
  <si>
    <t>AJUSTE DA META</t>
  </si>
  <si>
    <t>CÁLCULO META1</t>
  </si>
  <si>
    <t>CÁLCULO META2</t>
  </si>
  <si>
    <t>DADOS FINAIS</t>
  </si>
  <si>
    <t>% atual ► alvo</t>
  </si>
  <si>
    <t>quant</t>
  </si>
  <si>
    <t>ajuste</t>
  </si>
  <si>
    <t>TODOS OS ATIVOS DO PORTFÓLIO (A)</t>
  </si>
  <si>
    <t>ATIVOS SELEC</t>
  </si>
  <si>
    <t>VLR MERC</t>
  </si>
  <si>
    <t>PESO DO ATIVO NA CARTEIRA</t>
  </si>
  <si>
    <t>PREÇO TETO CARTEIRA</t>
  </si>
  <si>
    <t>PESO DA CARTEIRA</t>
  </si>
  <si>
    <t>VALOR MERC</t>
  </si>
  <si>
    <t>NOME CARTEIRA</t>
  </si>
  <si>
    <t>PESOS ALVO (VLR MERC)</t>
  </si>
  <si>
    <t>PESOS APORTES NOVOS</t>
  </si>
  <si>
    <t>APORTES NOVOS NORMALIZADOS</t>
  </si>
  <si>
    <t>VALOR META</t>
  </si>
  <si>
    <t>PREÇO TETO CONSIDERADO</t>
  </si>
  <si>
    <t>COTAÇÃO</t>
  </si>
  <si>
    <t>CONSIDERAR?</t>
  </si>
  <si>
    <t>META REAL</t>
  </si>
  <si>
    <t>O QUE FAZER?</t>
  </si>
  <si>
    <t>META FIXA</t>
  </si>
  <si>
    <t>META MÓVEL</t>
  </si>
  <si>
    <t>SALDO1</t>
  </si>
  <si>
    <t>BAL</t>
  </si>
  <si>
    <t>SALDO2</t>
  </si>
  <si>
    <t>META FINAL</t>
  </si>
  <si>
    <t>% META</t>
  </si>
  <si>
    <t>QUANTIDADE</t>
  </si>
  <si>
    <t>AJUSTE</t>
  </si>
  <si>
    <t>ATIVOS DE CLASSES QUE COMPÕE CARTEIRAS (B)</t>
  </si>
  <si>
    <t>CARTEIRAS CONFIGURADAS</t>
  </si>
  <si>
    <t>% aloc relativo a ▶</t>
  </si>
  <si>
    <t>ativos em carteiras (C)</t>
  </si>
  <si>
    <t>nome da carteira</t>
  </si>
  <si>
    <t>peso</t>
  </si>
  <si>
    <t>TODAS AS CARTEIRAS (C)</t>
  </si>
  <si>
    <t>operações normais</t>
  </si>
  <si>
    <t>tipo</t>
  </si>
  <si>
    <t>arquivo</t>
  </si>
  <si>
    <t>apuração do imposto de renda</t>
  </si>
  <si>
    <t>bens alienados por período</t>
  </si>
  <si>
    <t>dados para gerar o darf</t>
  </si>
  <si>
    <t>VOLUME DE VENDAS (ALIENAÇÃO)  - MENSAL</t>
  </si>
  <si>
    <t>RENDA VARIÁVEL - OPERAÇÕES DAYTRADE</t>
  </si>
  <si>
    <t>RENDA VARIÁVEL - TOTAL</t>
  </si>
  <si>
    <t>FUNDOS IMOBILIÁRIOS - FIIs</t>
  </si>
  <si>
    <t>FII - TOTAL</t>
  </si>
  <si>
    <t>DARF BVMF - TOTAL (RV+FII)</t>
  </si>
  <si>
    <t>INTERNACIONAL</t>
  </si>
  <si>
    <t>CRIPTOMOEDA</t>
  </si>
  <si>
    <t>acao_vol_alienacao</t>
  </si>
  <si>
    <t>etf_vol_alienacao</t>
  </si>
  <si>
    <t>opcao_vol_alienacao</t>
  </si>
  <si>
    <t>vol_alienacao</t>
  </si>
  <si>
    <t>acao_lucro_positivo</t>
  </si>
  <si>
    <t>acao_lucro_negativo</t>
  </si>
  <si>
    <t>isento_acao_20k</t>
  </si>
  <si>
    <t>isento_ativo_lucro</t>
  </si>
  <si>
    <t>acao_lucro</t>
  </si>
  <si>
    <t>etf_lucro</t>
  </si>
  <si>
    <t>ouro_lucro</t>
  </si>
  <si>
    <t>opcao_lucro</t>
  </si>
  <si>
    <t>dolar_fut_lucro</t>
  </si>
  <si>
    <t>indice_fut_lucro</t>
  </si>
  <si>
    <t>outros_fut_lucro</t>
  </si>
  <si>
    <t>termo_lucro</t>
  </si>
  <si>
    <t>nm_lucro</t>
  </si>
  <si>
    <t>nm_tributavel</t>
  </si>
  <si>
    <t>nm_imposto</t>
  </si>
  <si>
    <t>nm_irrf</t>
  </si>
  <si>
    <t>dt_acao_lucro</t>
  </si>
  <si>
    <t>dt_etf_lucro</t>
  </si>
  <si>
    <t>dt_ouro_lucro</t>
  </si>
  <si>
    <t>dt_opcao_lucro</t>
  </si>
  <si>
    <t>dt_dolar_fut_lucro</t>
  </si>
  <si>
    <t>dt_indice_fut_lucro</t>
  </si>
  <si>
    <t>dt_outros_fut_lucro</t>
  </si>
  <si>
    <t>dt_termo_lucro</t>
  </si>
  <si>
    <t>dt_lucro</t>
  </si>
  <si>
    <t>dt_tributavel</t>
  </si>
  <si>
    <t>dt_imposto</t>
  </si>
  <si>
    <t>dt_irrf</t>
  </si>
  <si>
    <t>nm_irrf_saldo</t>
  </si>
  <si>
    <t>dt_irrf_saldo</t>
  </si>
  <si>
    <t>rv_darf</t>
  </si>
  <si>
    <t>fii_lucro</t>
  </si>
  <si>
    <t>fii_tributavel</t>
  </si>
  <si>
    <t>fii_imposto</t>
  </si>
  <si>
    <t>fii_irrf</t>
  </si>
  <si>
    <t>fii_irrf_saldo</t>
  </si>
  <si>
    <t>fii_darf</t>
  </si>
  <si>
    <t>br_darf</t>
  </si>
  <si>
    <t>br_darf_status</t>
  </si>
  <si>
    <t>br_darf_pago</t>
  </si>
  <si>
    <t>inter_vol_alienacao</t>
  </si>
  <si>
    <t>inter_lucro_positivo</t>
  </si>
  <si>
    <t>inter_lucro_negativo</t>
  </si>
  <si>
    <t>inter_lucro</t>
  </si>
  <si>
    <t>inter_irrf</t>
  </si>
  <si>
    <t>inter_darf_status</t>
  </si>
  <si>
    <t>cripto_vol_alienacao</t>
  </si>
  <si>
    <t>cripto_vol_operacao</t>
  </si>
  <si>
    <t>cripto_lucro_positivo</t>
  </si>
  <si>
    <t>cripto_lucro_negativo</t>
  </si>
  <si>
    <t>cripto_lucro</t>
  </si>
  <si>
    <t>cripto_irrf</t>
  </si>
  <si>
    <t>cripto_darf_status</t>
  </si>
  <si>
    <t>ano inícial</t>
  </si>
  <si>
    <t>investidores</t>
  </si>
  <si>
    <t>declaração de renda pessoa física</t>
  </si>
  <si>
    <t>bens e direitos</t>
  </si>
  <si>
    <t>divida e ônus</t>
  </si>
  <si>
    <t>rendimentos isentos</t>
  </si>
  <si>
    <t>tributação exclusiva</t>
  </si>
  <si>
    <t>carne leão</t>
  </si>
  <si>
    <t>ano base</t>
  </si>
  <si>
    <t>codigo</t>
  </si>
  <si>
    <t>localizacao</t>
  </si>
  <si>
    <t>cnpj</t>
  </si>
  <si>
    <t>descricao</t>
  </si>
  <si>
    <t>anterior</t>
  </si>
  <si>
    <t>atual</t>
  </si>
  <si>
    <t>fonte_pagadora</t>
  </si>
  <si>
    <t>configuração dos parâmetros de cálculo</t>
  </si>
  <si>
    <t>configuração da composição dos subtotais</t>
  </si>
  <si>
    <t>ALPHA</t>
  </si>
  <si>
    <t>PLANO</t>
  </si>
  <si>
    <t>Planilha - Configurção Cálculos da Planilha</t>
  </si>
  <si>
    <t>email</t>
  </si>
  <si>
    <t>boolean</t>
  </si>
  <si>
    <t>Quando ligado as operações e proventos serão filtrados pela data de início e fim informadas nas aba config.carteiras para fins de cálculdo da TIR, valor de mercado e valor investido daquela carteira.</t>
  </si>
  <si>
    <r>
      <rPr>
        <rFont val="Calibri"/>
        <i val="0"/>
        <color rgb="FFFFFFFF"/>
        <sz val="9.0"/>
      </rPr>
      <t xml:space="preserve">CLASSES QUE CONTEMPLAM O SUBTOTAL
</t>
    </r>
    <r>
      <rPr>
        <rFont val="Calibri"/>
        <i/>
        <color rgb="FFFFFFFF"/>
        <sz val="9.0"/>
      </rPr>
      <t>Principais operações</t>
    </r>
  </si>
  <si>
    <r>
      <rPr>
        <rFont val="Calibri"/>
        <i val="0"/>
        <color rgb="FFFFFFFF"/>
        <sz val="9.0"/>
      </rPr>
      <t xml:space="preserve">IDENTIFICAÇÃO DOS SUBTOTAIS: </t>
    </r>
    <r>
      <rPr>
        <rFont val="Calibri"/>
        <i/>
        <color rgb="FFFFFFFF"/>
        <sz val="9.0"/>
      </rPr>
      <t xml:space="preserve">Operações com fundos e RF </t>
    </r>
  </si>
  <si>
    <t>ON-OFF</t>
  </si>
  <si>
    <t>RECURSO</t>
  </si>
  <si>
    <t>POSSUI</t>
  </si>
  <si>
    <t>utilizar_service_sheets</t>
  </si>
  <si>
    <t>Otimiza a leitura/escrita. Utilizar caso de lentidão ou muitos dados</t>
  </si>
  <si>
    <r>
      <rPr>
        <rFont val="Calibri"/>
        <sz val="9.0"/>
      </rPr>
      <t xml:space="preserve">Quando desligado as cotações só são atualizadas pelo menu </t>
    </r>
    <r>
      <rPr>
        <rFont val="Calibri"/>
        <i/>
        <sz val="9.0"/>
      </rPr>
      <t>Atualizar Ativos e Cotações</t>
    </r>
  </si>
  <si>
    <t>R.FIXA</t>
  </si>
  <si>
    <t>R.VARIÁVEL</t>
  </si>
  <si>
    <t>FUNDOS</t>
  </si>
  <si>
    <t>EMAIL</t>
  </si>
  <si>
    <r>
      <rPr>
        <rFont val="Calibri"/>
        <i val="0"/>
        <color rgb="FFFFFFFF"/>
        <sz val="9.0"/>
      </rPr>
      <t xml:space="preserve">CLASSES DOS SUBTOTAIS: </t>
    </r>
    <r>
      <rPr>
        <rFont val="Calibri"/>
        <i/>
        <color rgb="FFFFFFFF"/>
        <sz val="9.0"/>
      </rPr>
      <t>Operações com fundos e RF</t>
    </r>
  </si>
  <si>
    <t>MULTICARTEIRAS</t>
  </si>
  <si>
    <t>Configurações de Cálculos das Operações</t>
  </si>
  <si>
    <t>R.VARIAVEL</t>
  </si>
  <si>
    <t>FUNDO</t>
  </si>
  <si>
    <t>calc_por_corretora</t>
  </si>
  <si>
    <t>MULTIINVESTIDOR</t>
  </si>
  <si>
    <t>moeda_base</t>
  </si>
  <si>
    <t>Moeda base de cálculos</t>
  </si>
  <si>
    <t>DEBENTURE</t>
  </si>
  <si>
    <t>FIA</t>
  </si>
  <si>
    <t>cotacao_google</t>
  </si>
  <si>
    <t>Cotação principal do google finance</t>
  </si>
  <si>
    <t>string</t>
  </si>
  <si>
    <t>Moeda base de cálculos da planilha</t>
  </si>
  <si>
    <t>STOCK</t>
  </si>
  <si>
    <t>OURO</t>
  </si>
  <si>
    <t>Cálculo de operações e proventos por corretora</t>
  </si>
  <si>
    <t>Calcular PM e lucros por ativo e corretora. Pode ser usado em conjunto com calc_por_investidor. Se ambos ligados o PM e trades serão calculados por corretora e por investidor. Se somente calc_por_corretora estiver ligado, os operações de corretoras com mesmo nome, mas de investidores diferentes, serão computadas conjuntamente.</t>
  </si>
  <si>
    <t>REIT</t>
  </si>
  <si>
    <t>FI_AGRO</t>
  </si>
  <si>
    <t>classes</t>
  </si>
  <si>
    <t>classes OFICIAIS</t>
  </si>
  <si>
    <t>calc_carteiras_por_datas</t>
  </si>
  <si>
    <t>DEIXAR DESLIGADO - USO FUTURO</t>
  </si>
  <si>
    <t>Unifica compras e vendas no mesmo dia, trata daytrades não lançados corretamente, trata inversões de posição (comprada -&gt; vendida e vice-versa) separando as operações para zerar a posição antes da inversão</t>
  </si>
  <si>
    <t>BDR</t>
  </si>
  <si>
    <t>FI_SET</t>
  </si>
  <si>
    <t>tratar_operacoes</t>
  </si>
  <si>
    <t>Tratar operações</t>
  </si>
  <si>
    <t>int</t>
  </si>
  <si>
    <t xml:space="preserve">Quantidade de dias para a data de liquidação do PTAX </t>
  </si>
  <si>
    <t>AÇÃO.FUT</t>
  </si>
  <si>
    <t>dia_liq_ptax</t>
  </si>
  <si>
    <t>Qtd de dias de liquidação PTAX</t>
  </si>
  <si>
    <t>ETF RF</t>
  </si>
  <si>
    <t>FIDC</t>
  </si>
  <si>
    <t>ETF_US</t>
  </si>
  <si>
    <t>FIP</t>
  </si>
  <si>
    <t>BOI.FUT</t>
  </si>
  <si>
    <t>Configurações Multi Investidor</t>
  </si>
  <si>
    <t>Calcular PM e lucros por ativo e investidor. Pode ser usado em conjunto com calc_por_corretora. Se ambos ligados o PM e trades serão calculados por corretora e por investidor. Se somente calc_por_investidor estiver ligado, as corretoras serão ignoradas e as operações serão separadas só por investidor.</t>
  </si>
  <si>
    <t>STOCK_AU</t>
  </si>
  <si>
    <t>FIP_IE</t>
  </si>
  <si>
    <t>CAF.FUT</t>
  </si>
  <si>
    <t>calc_por_investidor</t>
  </si>
  <si>
    <t>Cálculo de operações por investidor (usuário)</t>
  </si>
  <si>
    <t>Nome abreviado ou iniciais (até 4 letras) do investidor principal ou único</t>
  </si>
  <si>
    <t>STOCK_CA</t>
  </si>
  <si>
    <t>FI_INFRA</t>
  </si>
  <si>
    <t>CRIPTO</t>
  </si>
  <si>
    <t>investidor_1</t>
  </si>
  <si>
    <t>Identificador do investidor principal ou único</t>
  </si>
  <si>
    <t>Nome abreviado ou iniciais (até 4 letras) do segundo investidor</t>
  </si>
  <si>
    <t>STOCK_CH</t>
  </si>
  <si>
    <t>investidor_2</t>
  </si>
  <si>
    <t>Identificador do segundo investidor</t>
  </si>
  <si>
    <t>Nome abreviado ou iniciais (até 4 letras) do terceiro investidor</t>
  </si>
  <si>
    <t>STOCK_DE</t>
  </si>
  <si>
    <t>DOL.FUT</t>
  </si>
  <si>
    <t>investidor_3</t>
  </si>
  <si>
    <t>Identificador do terceiro investidor</t>
  </si>
  <si>
    <t>Nome abreviado ou iniciais (até 4 letras) do quarto investidor</t>
  </si>
  <si>
    <t>STOCK_GB</t>
  </si>
  <si>
    <t>investidor_4</t>
  </si>
  <si>
    <t>Identificador do quarto investidor</t>
  </si>
  <si>
    <t>Nome abreviado ou iniciais (até 4 letras) do quinto investidor</t>
  </si>
  <si>
    <t>OPÇÃO</t>
  </si>
  <si>
    <t>investidor_5</t>
  </si>
  <si>
    <t>Identificador do quinto investidor</t>
  </si>
  <si>
    <t>Nome abreviado ou iniciais (até 4 letras) do sexto investidor</t>
  </si>
  <si>
    <t>ETF_CA</t>
  </si>
  <si>
    <t>investidor_6</t>
  </si>
  <si>
    <t>Identificador do sexto investidor</t>
  </si>
  <si>
    <t>Nome abreviado ou iniciais (até 4 letras) do sétimo investidor</t>
  </si>
  <si>
    <t>ETF_DE</t>
  </si>
  <si>
    <t>investidor_7</t>
  </si>
  <si>
    <t>Identificador do sétimo investidor</t>
  </si>
  <si>
    <t>ETF_GB</t>
  </si>
  <si>
    <t xml:space="preserve">DARF - Configurações de cálculo              </t>
  </si>
  <si>
    <t>ETH.FUT</t>
  </si>
  <si>
    <t>usar_saldo_vd20k</t>
  </si>
  <si>
    <t>Sempre usar o saldo no lucro mensal</t>
  </si>
  <si>
    <t>dt_vd20k</t>
  </si>
  <si>
    <t>Somar vendas de dayrade no limite 20k</t>
  </si>
  <si>
    <t>outros_vd20k</t>
  </si>
  <si>
    <t>Somar vendas de outras classes no limite 20k</t>
  </si>
  <si>
    <t>DARF - Parâmetros iniciais</t>
  </si>
  <si>
    <t>opcoes_vd20k</t>
  </si>
  <si>
    <t>Somar vendas de opções classes no limite 20k</t>
  </si>
  <si>
    <t>trib_normal</t>
  </si>
  <si>
    <t>trib_daytrade</t>
  </si>
  <si>
    <t>trib_fii</t>
  </si>
  <si>
    <t>darf_total</t>
  </si>
  <si>
    <t>vsub_FII</t>
  </si>
  <si>
    <t>Venda de subscrição de FII tributar 20% até 28/09/2021</t>
  </si>
  <si>
    <t>vsub_isento</t>
  </si>
  <si>
    <t>Venda de subscrição de FII como isento até 28/09/2021</t>
  </si>
  <si>
    <t>bdr_like_acao</t>
  </si>
  <si>
    <t xml:space="preserve">Considerar BDR como Ação (isenções) </t>
  </si>
  <si>
    <t>darf_inicio</t>
  </si>
  <si>
    <t>Ano de início dos calculos DARF (ex. 2020)</t>
  </si>
  <si>
    <t xml:space="preserve">DIRPF - Configurações de cálculo              </t>
  </si>
  <si>
    <t>IND.FUT</t>
  </si>
  <si>
    <t>ano_dirpf</t>
  </si>
  <si>
    <t>Ano base de calculos da DIRPF</t>
  </si>
  <si>
    <t>INDICE</t>
  </si>
  <si>
    <t>JUROS.FUT</t>
  </si>
  <si>
    <t>tributavel_normal</t>
  </si>
  <si>
    <t>Parametros que sao usados somente pelo script, ficam ocultos para o usuario</t>
  </si>
  <si>
    <t>MIL.FUT</t>
  </si>
  <si>
    <t>tributavel_daytrade</t>
  </si>
  <si>
    <t>MOEDA</t>
  </si>
  <si>
    <t>tributavel_fii</t>
  </si>
  <si>
    <t>MOEDA.FUT</t>
  </si>
  <si>
    <t>OURO.FUT</t>
  </si>
  <si>
    <t>S&amp;P.FUT</t>
  </si>
  <si>
    <t>SOJ.FUT</t>
  </si>
  <si>
    <t>STOCK_ES</t>
  </si>
  <si>
    <t>STOCK_FR</t>
  </si>
  <si>
    <t>STOCK_HK</t>
  </si>
  <si>
    <t>STOCK_JP</t>
  </si>
  <si>
    <t>STOCK_NL</t>
  </si>
  <si>
    <t>STOCK_SG</t>
  </si>
  <si>
    <t>configuração de outros ativos</t>
  </si>
  <si>
    <t>#</t>
  </si>
  <si>
    <t>subsetor</t>
  </si>
  <si>
    <t>ex:</t>
  </si>
  <si>
    <t>CDB-DI-CAIXA</t>
  </si>
  <si>
    <t>CDB</t>
  </si>
  <si>
    <t>EMERGENCIA</t>
  </si>
  <si>
    <t>PREVI-MM-ICATU</t>
  </si>
  <si>
    <t>PREVDENCIA</t>
  </si>
  <si>
    <t>M.MERCADO</t>
  </si>
  <si>
    <t>LONGO PRAZO</t>
  </si>
  <si>
    <t>configuração das carteiras</t>
  </si>
  <si>
    <t>PESO DA CARTEIRA:</t>
  </si>
  <si>
    <t>NOME REDUZIDO:</t>
  </si>
  <si>
    <t>PERFIL DA CARTEIRA:</t>
  </si>
  <si>
    <t>SOMA</t>
  </si>
  <si>
    <t>ATIVOS     ABERTOS</t>
  </si>
  <si>
    <t>ATIVOS ENCERRADOS</t>
  </si>
  <si>
    <t>PESO</t>
  </si>
  <si>
    <t>PREÇO ENTRADA</t>
  </si>
  <si>
    <t>PREÇO TETO</t>
  </si>
  <si>
    <t>INICIO</t>
  </si>
  <si>
    <t>FIM</t>
  </si>
  <si>
    <t>PESO CART</t>
  </si>
  <si>
    <t>CUSTÓDIA TOTAL</t>
  </si>
  <si>
    <t>Portfólio</t>
  </si>
  <si>
    <t>MENU  CARTEIRAS</t>
  </si>
  <si>
    <t>Abertos (Encerrados)</t>
  </si>
  <si>
    <t>Perfil da Carteira</t>
  </si>
  <si>
    <t>Quant</t>
  </si>
  <si>
    <t>Conservador</t>
  </si>
  <si>
    <t>Arrojado</t>
  </si>
  <si>
    <t>Renda Passiva</t>
  </si>
  <si>
    <t>configuração dos books</t>
  </si>
  <si>
    <t>PORTFÓLIO ESTÁ ATIVADO?</t>
  </si>
  <si>
    <t>TODOS BOOKS CONFIGURADOS?</t>
  </si>
  <si>
    <t>TEM ATIVOS CONFIGURADOS?</t>
  </si>
  <si>
    <t>PORTFÓLIO ESTÁ OPERACIONAL</t>
  </si>
  <si>
    <t>ORDENAR</t>
  </si>
  <si>
    <t>IDENTIFICAÇÃO DOS BOOKS</t>
  </si>
  <si>
    <t>DADOS USADOS PARA FORMATAÇÃO</t>
  </si>
  <si>
    <t>SCRIPT</t>
  </si>
  <si>
    <t>FILTER</t>
  </si>
  <si>
    <t>Estratégia</t>
  </si>
  <si>
    <t>Book</t>
  </si>
  <si>
    <t>Classe</t>
  </si>
  <si>
    <t>Soma %</t>
  </si>
  <si>
    <t>Previdência</t>
  </si>
  <si>
    <t>Fundos</t>
  </si>
  <si>
    <t>Tesouro Direto</t>
  </si>
  <si>
    <t>Ações</t>
  </si>
  <si>
    <t>FIIs</t>
  </si>
  <si>
    <t>Stocks</t>
  </si>
  <si>
    <t>Reits</t>
  </si>
  <si>
    <t>Proteções</t>
  </si>
  <si>
    <t>Criptos</t>
  </si>
  <si>
    <t>LISTA COMPLETA DE ATIVOS</t>
  </si>
  <si>
    <t>FORMATAÇÃO NOVO</t>
  </si>
  <si>
    <t>ATIVOS CLASSIFICADOS</t>
  </si>
  <si>
    <t>ATIVOS NOVOS</t>
  </si>
  <si>
    <t>VALOR APORTADO</t>
  </si>
  <si>
    <t>% Desejado</t>
  </si>
  <si>
    <t>Trades Ação</t>
  </si>
  <si>
    <t>Trades FIIs</t>
  </si>
  <si>
    <t>Proventos Ação</t>
  </si>
  <si>
    <t>Proventos FII</t>
  </si>
  <si>
    <t>Trades Stocks</t>
  </si>
  <si>
    <t>Proventos Stocks</t>
  </si>
  <si>
    <t>Trades Reits</t>
  </si>
  <si>
    <t>Proventos Reits</t>
  </si>
  <si>
    <t>Day Trade</t>
  </si>
  <si>
    <t>Outros Lucros</t>
  </si>
  <si>
    <t>SOMA CAIXAS</t>
  </si>
  <si>
    <t>Caixa único</t>
  </si>
  <si>
    <t>Caixa 01</t>
  </si>
  <si>
    <t>Caixa 02</t>
  </si>
  <si>
    <t>Caixa 03</t>
  </si>
  <si>
    <t>Caixa 04</t>
  </si>
  <si>
    <t>Caixa 05</t>
  </si>
  <si>
    <t>PARAMETROS COMBO</t>
  </si>
  <si>
    <t>A SOMA DOS PERCENTUAIS DEVE SER 100%</t>
  </si>
  <si>
    <t>Renda Fixa</t>
  </si>
  <si>
    <t>Reserva Emergência</t>
  </si>
  <si>
    <t>Renda Variável</t>
  </si>
  <si>
    <t>RESUMO DOS DADOS PARA O PAINEL (TOTAIS)</t>
  </si>
  <si>
    <t>CONFIGURE O BOOK QUE VAI CONTEMPLAR ESTES VALORES</t>
  </si>
  <si>
    <t>Valor aportado</t>
  </si>
  <si>
    <t>Lucro aberto</t>
  </si>
  <si>
    <t>Outros lucros</t>
  </si>
  <si>
    <t>Valores referentes a</t>
  </si>
  <si>
    <t>Book para alocar</t>
  </si>
  <si>
    <t xml:space="preserve"> LUCROS COM AÇÕES</t>
  </si>
  <si>
    <t>RESUMO DOS DADOS PARA O PAINEL (TOTALIZAÇÃO RENDA FIXA E VARIÁVEL)</t>
  </si>
  <si>
    <t>LUCROS COM FIIs</t>
  </si>
  <si>
    <t>Rendimentos</t>
  </si>
  <si>
    <t>LUCRO COM STOCKS</t>
  </si>
  <si>
    <t>LUCRO COM REITs</t>
  </si>
  <si>
    <t>GRÁFICO</t>
  </si>
  <si>
    <t>OUTROS LUCROS</t>
  </si>
  <si>
    <t>Outros trades</t>
  </si>
  <si>
    <t>Caixa</t>
  </si>
  <si>
    <t>Nome dos scripts associados aos botões</t>
  </si>
  <si>
    <t>Para associar um script ao botão</t>
  </si>
  <si>
    <t>md_calcularOperacoesTotal</t>
  </si>
  <si>
    <t>1. clique com botao direito sobre o botão</t>
  </si>
  <si>
    <t>md_calcularProventosTotal</t>
  </si>
  <si>
    <t>2. clique no menu dos 3 pontos do lado direito do botão</t>
  </si>
  <si>
    <t>md_calcularOperacoesProventosTotal</t>
  </si>
  <si>
    <t>3. escolha a opção 'transferir script'</t>
  </si>
  <si>
    <t>md_atualizarAtivos</t>
  </si>
  <si>
    <t>4. digite o nome do script desejado para o botão</t>
  </si>
  <si>
    <t>md_atualizarFundamentus</t>
  </si>
  <si>
    <t>md_calcularAtualizarTudo</t>
  </si>
  <si>
    <t>limparScriptCache</t>
  </si>
  <si>
    <t>DADOS PROCESSADOS PELO BACKEND</t>
  </si>
  <si>
    <t>nome_pregao</t>
  </si>
  <si>
    <t>date_ini</t>
  </si>
  <si>
    <t>fator_pts</t>
  </si>
  <si>
    <t>mini_grafico</t>
  </si>
  <si>
    <t>fator_fx</t>
  </si>
  <si>
    <t>ativo_changepct</t>
  </si>
  <si>
    <t>changepct_fx</t>
  </si>
  <si>
    <t>pr_teto</t>
  </si>
  <si>
    <t>trade_pct</t>
  </si>
  <si>
    <t>pm_ajust</t>
  </si>
  <si>
    <t>ativos_unique</t>
  </si>
  <si>
    <t>origem</t>
  </si>
  <si>
    <t>price_dias</t>
  </si>
  <si>
    <t>changepct_dias</t>
  </si>
  <si>
    <t>ativo+nome_pregao</t>
  </si>
  <si>
    <t>variacao</t>
  </si>
  <si>
    <t>variacaopct</t>
  </si>
  <si>
    <t>preco_dias</t>
  </si>
  <si>
    <t>variacaopct_dias</t>
  </si>
  <si>
    <t>CARTEIRAS ENCERRADAS</t>
  </si>
  <si>
    <t>SELECAO  CARTEIRAS PORTFOLIO</t>
  </si>
  <si>
    <t>Parametros</t>
  </si>
  <si>
    <t>TODAS AS CARTEIRAS CONFIGURADAS</t>
  </si>
  <si>
    <t>URL</t>
  </si>
  <si>
    <t>ENTRADA</t>
  </si>
  <si>
    <t>TETO</t>
  </si>
  <si>
    <t>DATA INICIO</t>
  </si>
  <si>
    <t>DATA FIM</t>
  </si>
  <si>
    <t>PESO ATIVO</t>
  </si>
  <si>
    <t>Entra no cálculo preço teto?</t>
  </si>
  <si>
    <t>query portfolio.
removido, era usado somente na aba carteiras.. substituido as querys por sumifs</t>
  </si>
  <si>
    <t>query operações e proventos
removido, era usado somente na aba carteiras.. substituido as querys por sumifs</t>
  </si>
  <si>
    <t>ABREVIADA</t>
  </si>
  <si>
    <t>CRIADA</t>
  </si>
  <si>
    <t>CARTEIRAS ABREVIADAS CRIADAS</t>
  </si>
  <si>
    <t>ATIVOS TODOS</t>
  </si>
  <si>
    <t>ID config.carteiras</t>
  </si>
  <si>
    <t>Última Versão Lançada</t>
  </si>
  <si>
    <t>TODAS AS CARTEIRAS</t>
  </si>
  <si>
    <t>total</t>
  </si>
  <si>
    <t>-- NAO USAR --</t>
  </si>
  <si>
    <t>Última execução</t>
  </si>
  <si>
    <t>HABILITADA?</t>
  </si>
  <si>
    <t>Papel</t>
  </si>
  <si>
    <t>Código do fundo</t>
  </si>
</sst>
</file>

<file path=xl/styles.xml><?xml version="1.0" encoding="utf-8"?>
<styleSheet xmlns="http://schemas.openxmlformats.org/spreadsheetml/2006/main" xmlns:x14ac="http://schemas.microsoft.com/office/spreadsheetml/2009/9/ac" xmlns:mc="http://schemas.openxmlformats.org/markup-compatibility/2006">
  <numFmts count="23">
    <numFmt numFmtId="164" formatCode="m/d/yyyy h:mm:ss"/>
    <numFmt numFmtId="165" formatCode="#,##0.0"/>
    <numFmt numFmtId="166" formatCode="0.0% &quot;am&quot;"/>
    <numFmt numFmtId="167" formatCode="0.0% &quot;aa&quot;"/>
    <numFmt numFmtId="168" formatCode="#,##0.0000"/>
    <numFmt numFmtId="169" formatCode="0.0%"/>
    <numFmt numFmtId="170" formatCode="#,##0.00;(#,##0.00)"/>
    <numFmt numFmtId="171" formatCode="#,##0.0;(#,##0.0)"/>
    <numFmt numFmtId="172" formatCode="mmm&quot;/&quot;yyyy"/>
    <numFmt numFmtId="173" formatCode="dd&quot;/&quot;mm&quot; &quot;hh&quot;:&quot;mm"/>
    <numFmt numFmtId="174" formatCode="dd/MM/yyyy"/>
    <numFmt numFmtId="175" formatCode="General"/>
    <numFmt numFmtId="176" formatCode="dd/mm/yyyy"/>
    <numFmt numFmtId="177" formatCode="0.0000"/>
    <numFmt numFmtId="178" formatCode="dd&quot;/&quot;mm"/>
    <numFmt numFmtId="179" formatCode="[$R$ -416]#,##0.00"/>
    <numFmt numFmtId="180" formatCode="mmm&quot;-&quot;yy"/>
    <numFmt numFmtId="181" formatCode="yyyy-mm-dd"/>
    <numFmt numFmtId="182" formatCode="#,##0.000"/>
    <numFmt numFmtId="183" formatCode="d/m/yyyy"/>
    <numFmt numFmtId="184" formatCode="yyyy&quot;-&quot;mm&quot;-&quot;dd"/>
    <numFmt numFmtId="185" formatCode="0.0000%"/>
    <numFmt numFmtId="186" formatCode="dd/mm/yyyy hh:mm"/>
  </numFmts>
  <fonts count="163">
    <font>
      <sz val="10.0"/>
      <color rgb="FF000000"/>
      <name val="Arial"/>
    </font>
    <font>
      <sz val="10.0"/>
      <name val="Calibri"/>
    </font>
    <font>
      <name val="Calibri"/>
    </font>
    <font>
      <b/>
      <sz val="14.0"/>
      <color rgb="FF434343"/>
      <name val="Calibri"/>
    </font>
    <font/>
    <font>
      <i/>
      <sz val="18.0"/>
      <color rgb="FF000000"/>
      <name val="Calibri"/>
    </font>
    <font>
      <sz val="24.0"/>
      <color rgb="FF000000"/>
      <name val="Calibri"/>
    </font>
    <font>
      <b/>
      <i/>
      <sz val="10.0"/>
      <color rgb="FF666666"/>
      <name val="Calibri"/>
    </font>
    <font>
      <b/>
      <sz val="10.0"/>
      <name val="Calibri"/>
    </font>
    <font>
      <u/>
      <sz val="10.0"/>
      <color rgb="FF1155CC"/>
      <name val="Calibri"/>
    </font>
    <font>
      <b/>
      <name val="Calibri"/>
    </font>
    <font>
      <u/>
      <sz val="9.0"/>
      <color rgb="FF1155CC"/>
      <name val="Calibri"/>
    </font>
    <font>
      <b/>
      <sz val="12.0"/>
      <color rgb="FF0000FF"/>
      <name val="Calibri"/>
    </font>
    <font>
      <b/>
      <sz val="11.0"/>
      <color rgb="FF0000FF"/>
      <name val="Calibri"/>
    </font>
    <font>
      <u/>
      <color rgb="FF1155CC"/>
      <name val="Calibri"/>
    </font>
    <font>
      <u/>
      <color rgb="FF1155CC"/>
      <name val="Calibri"/>
    </font>
    <font>
      <name val="Arial"/>
    </font>
    <font>
      <b/>
      <u/>
      <color rgb="FF1155CC"/>
      <name val="Calibri"/>
    </font>
    <font>
      <b/>
      <sz val="11.0"/>
      <name val="Calibri"/>
    </font>
    <font>
      <b/>
      <u/>
      <color rgb="FF1155CC"/>
      <name val="Calibri"/>
    </font>
    <font>
      <b/>
      <u/>
      <sz val="9.0"/>
      <color rgb="FF1155CC"/>
      <name val="Calibri"/>
    </font>
    <font>
      <u/>
      <color rgb="FF1155CC"/>
      <name val="Calibri"/>
    </font>
    <font>
      <b/>
      <sz val="14.0"/>
      <color rgb="FF0000FF"/>
      <name val="Calibri"/>
    </font>
    <font>
      <b/>
    </font>
    <font>
      <b/>
      <sz val="14.0"/>
      <color rgb="FFFFFFFF"/>
      <name val="Calibri"/>
    </font>
    <font>
      <b/>
      <sz val="8.0"/>
      <name val="Calibri"/>
    </font>
    <font>
      <u/>
      <sz val="10.0"/>
      <color rgb="FFFFFFFF"/>
      <name val="Calibri"/>
    </font>
    <font>
      <b/>
      <sz val="18.0"/>
      <color rgb="FFFFFFFF"/>
      <name val="Calibri"/>
    </font>
    <font>
      <b/>
      <sz val="16.0"/>
      <color rgb="FFFFFFFF"/>
      <name val="Calibri"/>
    </font>
    <font>
      <b/>
      <sz val="12.0"/>
      <color rgb="FFFFFFFF"/>
      <name val="Calibri"/>
    </font>
    <font>
      <sz val="8.0"/>
      <color rgb="FF000000"/>
      <name val="Calibri"/>
    </font>
    <font>
      <sz val="8.0"/>
      <color rgb="FF999999"/>
      <name val="Calibri"/>
    </font>
    <font>
      <sz val="8.0"/>
      <name val="Calibri"/>
    </font>
    <font>
      <color rgb="FF999999"/>
    </font>
    <font>
      <u/>
      <sz val="10.0"/>
      <color rgb="FFFFFFFF"/>
      <name val="Calibri"/>
    </font>
    <font>
      <b/>
      <color rgb="FF999999"/>
    </font>
    <font>
      <b/>
      <sz val="9.0"/>
      <color rgb="FFFFFFFF"/>
      <name val="Calibri"/>
    </font>
    <font>
      <b/>
      <sz val="11.0"/>
    </font>
    <font>
      <b/>
      <i/>
      <sz val="8.0"/>
      <color rgb="FFEFEFEF"/>
      <name val="Calibri"/>
    </font>
    <font>
      <sz val="11.0"/>
      <color rgb="FFFFFFFF"/>
      <name val="Calibri"/>
    </font>
    <font>
      <b/>
      <sz val="8.0"/>
      <color rgb="FFFFFFFF"/>
      <name val="Calibri"/>
    </font>
    <font>
      <b/>
      <sz val="10.0"/>
      <color rgb="FFFFFFFF"/>
      <name val="Calibri"/>
    </font>
    <font>
      <sz val="8.0"/>
      <color rgb="FFFFFFFF"/>
      <name val="Calibri"/>
    </font>
    <font>
      <b/>
      <sz val="9.0"/>
      <name val="Calibri"/>
    </font>
    <font>
      <b/>
      <i/>
      <sz val="8.0"/>
      <name val="Calibri"/>
    </font>
    <font>
      <b/>
      <sz val="18.0"/>
      <color rgb="FFF3F3F3"/>
      <name val="Calibri"/>
    </font>
    <font>
      <b/>
      <i/>
      <sz val="10.0"/>
      <color rgb="FFF3F3F3"/>
      <name val="Calibri"/>
    </font>
    <font>
      <i/>
      <sz val="8.0"/>
      <color rgb="FFFFFFFF"/>
      <name val="Calibri"/>
    </font>
    <font>
      <sz val="8.0"/>
      <color rgb="FF0000FF"/>
      <name val="Calibri"/>
    </font>
    <font>
      <sz val="7.0"/>
      <name val="Calibri"/>
    </font>
    <font>
      <sz val="6.0"/>
    </font>
    <font>
      <sz val="9.0"/>
      <name val="Calibri"/>
    </font>
    <font>
      <b/>
      <i/>
      <sz val="9.0"/>
      <name val="Calibri"/>
    </font>
    <font>
      <sz val="7.0"/>
      <color rgb="FFFFFFFF"/>
      <name val="Calibri"/>
    </font>
    <font>
      <b/>
      <sz val="11.0"/>
      <color rgb="FFFFFFFF"/>
      <name val="Calibri"/>
    </font>
    <font>
      <b/>
      <color rgb="FF666666"/>
      <name val="Calibri"/>
    </font>
    <font>
      <b/>
      <sz val="9.0"/>
      <color rgb="FF000000"/>
      <name val="Calibri"/>
    </font>
    <font>
      <sz val="11.0"/>
      <name val="Arial"/>
    </font>
    <font>
      <b/>
      <name val="Arial"/>
    </font>
    <font>
      <sz val="9.0"/>
      <color rgb="FF2F5496"/>
      <name val="Calibri"/>
    </font>
    <font>
      <b/>
      <color rgb="FFFFFFFF"/>
    </font>
    <font>
      <sz val="9.0"/>
      <color rgb="FFFFFFFF"/>
      <name val="Calibri"/>
    </font>
    <font>
      <b/>
      <sz val="7.0"/>
      <name val="Calibri"/>
    </font>
    <font>
      <b/>
      <sz val="9.0"/>
      <color rgb="FF2F5496"/>
      <name val="Calibri"/>
    </font>
    <font>
      <color rgb="FF000000"/>
    </font>
    <font>
      <sz val="11.0"/>
      <color rgb="FF000000"/>
      <name val="Arial"/>
    </font>
    <font>
      <sz val="9.0"/>
      <color rgb="FF000000"/>
      <name val="Calibri"/>
    </font>
    <font>
      <b/>
      <color rgb="FF000000"/>
      <name val="Arial"/>
    </font>
    <font>
      <b/>
      <sz val="8.0"/>
      <color rgb="FFFFFFFF"/>
      <name val="Arial"/>
    </font>
    <font>
      <color rgb="FFFFFFFF"/>
    </font>
    <font>
      <sz val="10.0"/>
      <color rgb="FFFFFFFF"/>
      <name val="Calibri"/>
    </font>
    <font>
      <sz val="8.0"/>
    </font>
    <font>
      <sz val="6.0"/>
      <color rgb="FFFFFFFF"/>
      <name val="Calibri"/>
    </font>
    <font>
      <sz val="9.0"/>
      <color rgb="FF999999"/>
      <name val="Calibri"/>
    </font>
    <font>
      <sz val="8.0"/>
      <color rgb="FFD9D9D9"/>
      <name val="Calibri"/>
    </font>
    <font>
      <sz val="8.0"/>
      <color rgb="FFCCCCCC"/>
      <name val="Calibri"/>
    </font>
    <font>
      <sz val="8.0"/>
      <color rgb="FF666666"/>
      <name val="Calibri"/>
    </font>
    <font>
      <sz val="9.0"/>
      <color rgb="FF666666"/>
      <name val="Calibri"/>
    </font>
    <font>
      <b/>
      <sz val="8.0"/>
      <color rgb="FF000000"/>
      <name val="Calibri"/>
    </font>
    <font>
      <b/>
      <sz val="8.0"/>
      <color rgb="FF666666"/>
      <name val="Calibri"/>
    </font>
    <font>
      <sz val="8.0"/>
      <color rgb="FF1155CC"/>
      <name val="Calibri"/>
    </font>
    <font>
      <color rgb="FF1155CC"/>
      <name val="Arial"/>
    </font>
    <font>
      <b/>
      <sz val="6.0"/>
      <color rgb="FFFFFFFF"/>
      <name val="Calibri"/>
    </font>
    <font>
      <b/>
      <sz val="8.0"/>
      <color rgb="FFFF9900"/>
      <name val="Calibri"/>
    </font>
    <font>
      <sz val="8.0"/>
      <color rgb="FF434343"/>
      <name val="Calibri"/>
    </font>
    <font>
      <sz val="8.0"/>
      <color rgb="FF434343"/>
      <name val="Inconsolata"/>
    </font>
    <font>
      <color rgb="FF434343"/>
    </font>
    <font>
      <b/>
      <color rgb="FFFFFFFF"/>
      <name val="Calibri"/>
    </font>
    <font>
      <i/>
      <sz val="8.0"/>
      <name val="Calibri"/>
    </font>
    <font>
      <color rgb="FF434343"/>
      <name val="Arial"/>
    </font>
    <font>
      <b/>
      <sz val="9.0"/>
      <color rgb="FF1155CC"/>
      <name val="Calibri"/>
    </font>
    <font>
      <sz val="12.0"/>
      <color rgb="FFFFFFFF"/>
      <name val="Calibri"/>
    </font>
    <font>
      <u/>
      <sz val="10.0"/>
      <color rgb="FFFFFFFF"/>
      <name val="Calibri"/>
    </font>
    <font>
      <b/>
      <strike/>
      <sz val="12.0"/>
      <color rgb="FFFFFFFF"/>
      <name val="Calibri"/>
    </font>
    <font>
      <b/>
      <strike/>
      <color rgb="FFFFFFFF"/>
    </font>
    <font>
      <strike/>
      <color rgb="FFFFFFFF"/>
    </font>
    <font>
      <b/>
      <sz val="7.0"/>
      <color rgb="FFFFFFFF"/>
      <name val="Calibri"/>
    </font>
    <font>
      <sz val="18.0"/>
      <name val="Calibri"/>
    </font>
    <font>
      <sz val="9.0"/>
      <color rgb="FF1F3864"/>
      <name val="Calibri"/>
    </font>
    <font>
      <sz val="6.0"/>
      <color rgb="FFCCCCCC"/>
    </font>
    <font>
      <sz val="6.0"/>
      <color rgb="FFCCCCCC"/>
      <name val="Arial"/>
    </font>
    <font>
      <i/>
      <sz val="11.0"/>
      <color rgb="FFFFFFFF"/>
      <name val="Calibri"/>
    </font>
    <font>
      <sz val="8.0"/>
      <color rgb="FFB7B7B7"/>
      <name val="Calibri"/>
    </font>
    <font>
      <color rgb="FFB7B7B7"/>
    </font>
    <font>
      <color rgb="FFB7B7B7"/>
      <name val="Arial"/>
    </font>
    <font>
      <sz val="9.0"/>
      <color rgb="FFB7B7B7"/>
      <name val="Calibri"/>
    </font>
    <font>
      <sz val="8.0"/>
      <color rgb="FFB7B7B7"/>
    </font>
    <font>
      <u/>
      <sz val="11.0"/>
      <color rgb="FFFFFFFF"/>
      <name val="Calibri"/>
    </font>
    <font>
      <sz val="9.0"/>
      <color rgb="FF9CDCFE"/>
      <name val="&quot;Droid Sans Mono&quot;"/>
    </font>
    <font>
      <sz val="9.0"/>
      <name val="&quot;Droid Sans Mono&quot;"/>
    </font>
    <font>
      <sz val="8.0"/>
      <color rgb="FF9CDCFE"/>
      <name val="&quot;Droid Sans Mono&quot;"/>
    </font>
    <font>
      <b/>
      <sz val="8.0"/>
      <color rgb="FF0000FF"/>
      <name val="Calibri"/>
    </font>
    <font>
      <i/>
      <u/>
      <color rgb="FFFFFFFF"/>
      <name val="Calibri"/>
    </font>
    <font>
      <i/>
      <u/>
      <color rgb="FFFFFFFF"/>
      <name val="Calibri"/>
    </font>
    <font>
      <u/>
      <sz val="11.0"/>
      <color rgb="FFFFFFFF"/>
      <name val="Calibri"/>
    </font>
    <font>
      <sz val="8.0"/>
      <name val="&quot;Droid Sans Mono&quot;"/>
    </font>
    <font>
      <sz val="8.0"/>
      <name val="Arial"/>
    </font>
    <font>
      <u/>
      <sz val="11.0"/>
      <color rgb="FFFFFFFF"/>
      <name val="Calibri"/>
    </font>
    <font>
      <sz val="9.0"/>
      <color rgb="FF9CDCFE"/>
      <name val="Droid Sans Mono"/>
    </font>
    <font>
      <sz val="8.0"/>
      <color rgb="FF9CDCFE"/>
      <name val="Droid Sans Mono"/>
    </font>
    <font>
      <sz val="8.0"/>
      <name val="Droid Sans Mono"/>
    </font>
    <font>
      <b/>
      <sz val="8.0"/>
      <color rgb="FF9CDCFE"/>
      <name val="Droid Sans Mono"/>
    </font>
    <font>
      <b/>
      <sz val="8.0"/>
      <name val="Arial"/>
    </font>
    <font>
      <b/>
      <sz val="8.0"/>
      <color rgb="FF999999"/>
      <name val="Calibri"/>
    </font>
    <font>
      <b/>
      <color rgb="FFB7B7B7"/>
    </font>
    <font>
      <b/>
      <sz val="6.0"/>
      <color rgb="FF666666"/>
      <name val="Calibri"/>
    </font>
    <font>
      <sz val="9.0"/>
      <color rgb="FF0000FF"/>
      <name val="Calibri"/>
    </font>
    <font>
      <sz val="6.0"/>
      <color rgb="FF666666"/>
      <name val="Calibri"/>
    </font>
    <font>
      <sz val="9.0"/>
    </font>
    <font>
      <u/>
      <sz val="10.0"/>
      <color rgb="FFFFFFFF"/>
      <name val="Calibri"/>
    </font>
    <font>
      <sz val="6.0"/>
      <color rgb="FF000000"/>
      <name val="Calibri"/>
    </font>
    <font>
      <b/>
      <sz val="9.0"/>
      <color rgb="FF1E1E1E"/>
      <name val="Calibri"/>
    </font>
    <font>
      <sz val="7.0"/>
      <color rgb="FF000000"/>
      <name val="Calibri"/>
    </font>
    <font>
      <u/>
      <sz val="10.0"/>
      <color rgb="FFFFFFFF"/>
      <name val="Calibri"/>
    </font>
    <font>
      <b/>
      <sz val="8.0"/>
      <color rgb="FFB7B7B7"/>
      <name val="Calibri"/>
    </font>
    <font>
      <b/>
      <sz val="9.0"/>
    </font>
    <font>
      <sz val="7.0"/>
      <color rgb="FFB7B7B7"/>
      <name val="Calibri"/>
    </font>
    <font>
      <b/>
      <sz val="9.0"/>
      <color rgb="FF0000FF"/>
      <name val="Calibri"/>
    </font>
    <font>
      <b/>
      <sz val="9.0"/>
      <color rgb="FF666666"/>
      <name val="Calibri"/>
    </font>
    <font>
      <sz val="10.0"/>
    </font>
    <font>
      <b/>
      <u/>
      <sz val="7.0"/>
      <color rgb="FFFFFFFF"/>
      <name val="Calibri"/>
    </font>
    <font>
      <sz val="18.0"/>
      <color rgb="FF000000"/>
      <name val="Calibri"/>
    </font>
    <font>
      <sz val="7.0"/>
    </font>
    <font>
      <sz val="7.0"/>
      <color rgb="FF9CDCFE"/>
      <name val="&quot;Droid Sans Mono&quot;"/>
    </font>
    <font>
      <sz val="12.0"/>
      <color rgb="FF434343"/>
      <name val="Calibri"/>
    </font>
    <font>
      <sz val="9.0"/>
      <color rgb="FF434343"/>
      <name val="Calibri"/>
    </font>
    <font>
      <i/>
      <sz val="9.0"/>
      <color rgb="FFFFFFFF"/>
      <name val="Calibri"/>
    </font>
    <font>
      <i/>
      <sz val="10.0"/>
      <color rgb="FFFFFFFF"/>
      <name val="Calibri"/>
    </font>
    <font>
      <b/>
      <sz val="8.0"/>
      <color rgb="FF9CDCFE"/>
      <name val="&quot;Droid Sans Mono&quot;"/>
    </font>
    <font>
      <b/>
      <sz val="9.0"/>
      <color rgb="FF999999"/>
      <name val="Calibri"/>
    </font>
    <font>
      <b/>
      <u/>
      <sz val="12.0"/>
      <color rgb="FFFFFFFF"/>
      <name val="Calibri"/>
    </font>
    <font>
      <b/>
      <sz val="12.0"/>
      <name val="Calibri"/>
    </font>
    <font>
      <u/>
      <sz val="10.0"/>
      <color rgb="FFFFFFFF"/>
      <name val="Calibri"/>
    </font>
    <font>
      <b/>
      <sz val="8.0"/>
      <color rgb="FFFFFFFF"/>
    </font>
    <font>
      <u/>
      <sz val="10.0"/>
      <color rgb="FF0000FF"/>
      <name val="Calibri"/>
    </font>
    <font>
      <u/>
      <sz val="10.0"/>
      <color rgb="FFFFFFFF"/>
      <name val="Calibri"/>
    </font>
    <font>
      <sz val="6.0"/>
      <name val="Arial"/>
    </font>
    <font>
      <b/>
      <sz val="8.0"/>
    </font>
    <font>
      <sz val="8.0"/>
      <color rgb="FFB31412"/>
      <name val="&quot;Roboto Mono&quot;"/>
    </font>
    <font>
      <sz val="8.0"/>
      <color rgb="FFCC4125"/>
      <name val="Calibri"/>
    </font>
    <font>
      <b/>
      <sz val="8.0"/>
      <color rgb="FF434343"/>
      <name val="Calibri"/>
    </font>
    <font>
      <sz val="8.0"/>
      <color rgb="FF434343"/>
    </font>
    <font>
      <sz val="8.0"/>
      <color rgb="FF434343"/>
      <name val="Arial"/>
    </font>
  </fonts>
  <fills count="47">
    <fill>
      <patternFill patternType="none"/>
    </fill>
    <fill>
      <patternFill patternType="lightGray"/>
    </fill>
    <fill>
      <patternFill patternType="solid">
        <fgColor rgb="FFEFEFEF"/>
        <bgColor rgb="FFEFEFEF"/>
      </patternFill>
    </fill>
    <fill>
      <patternFill patternType="solid">
        <fgColor rgb="FFFFFF99"/>
        <bgColor rgb="FFFFFF99"/>
      </patternFill>
    </fill>
    <fill>
      <patternFill patternType="solid">
        <fgColor rgb="FFFCE5CD"/>
        <bgColor rgb="FFFCE5CD"/>
      </patternFill>
    </fill>
    <fill>
      <patternFill patternType="solid">
        <fgColor rgb="FFFFF2CC"/>
        <bgColor rgb="FFFFF2CC"/>
      </patternFill>
    </fill>
    <fill>
      <patternFill patternType="solid">
        <fgColor rgb="FF2F5496"/>
        <bgColor rgb="FF2F5496"/>
      </patternFill>
    </fill>
    <fill>
      <patternFill patternType="solid">
        <fgColor rgb="FFEAD1DC"/>
        <bgColor rgb="FFEAD1DC"/>
      </patternFill>
    </fill>
    <fill>
      <patternFill patternType="solid">
        <fgColor rgb="FF073763"/>
        <bgColor rgb="FF073763"/>
      </patternFill>
    </fill>
    <fill>
      <patternFill patternType="solid">
        <fgColor rgb="FF000000"/>
        <bgColor rgb="FF000000"/>
      </patternFill>
    </fill>
    <fill>
      <patternFill patternType="solid">
        <fgColor rgb="FFD9D9D9"/>
        <bgColor rgb="FFD9D9D9"/>
      </patternFill>
    </fill>
    <fill>
      <patternFill patternType="solid">
        <fgColor rgb="FF1F3864"/>
        <bgColor rgb="FF1F3864"/>
      </patternFill>
    </fill>
    <fill>
      <patternFill patternType="solid">
        <fgColor rgb="FFFFFFFF"/>
        <bgColor rgb="FFFFFFFF"/>
      </patternFill>
    </fill>
    <fill>
      <patternFill patternType="solid">
        <fgColor rgb="FFFF9900"/>
        <bgColor rgb="FFFF9900"/>
      </patternFill>
    </fill>
    <fill>
      <patternFill patternType="solid">
        <fgColor rgb="FF3D85C6"/>
        <bgColor rgb="FF3D85C6"/>
      </patternFill>
    </fill>
    <fill>
      <patternFill patternType="solid">
        <fgColor rgb="FF0D0D0D"/>
        <bgColor rgb="FF0D0D0D"/>
      </patternFill>
    </fill>
    <fill>
      <patternFill patternType="solid">
        <fgColor rgb="FFB7E1CD"/>
        <bgColor rgb="FFB7E1CD"/>
      </patternFill>
    </fill>
    <fill>
      <patternFill patternType="solid">
        <fgColor rgb="FF666666"/>
        <bgColor rgb="FF666666"/>
      </patternFill>
    </fill>
    <fill>
      <patternFill patternType="solid">
        <fgColor rgb="FF0C343D"/>
        <bgColor rgb="FF0C343D"/>
      </patternFill>
    </fill>
    <fill>
      <patternFill patternType="solid">
        <fgColor rgb="FF134F5C"/>
        <bgColor rgb="FF134F5C"/>
      </patternFill>
    </fill>
    <fill>
      <patternFill patternType="solid">
        <fgColor rgb="FFD0E0E3"/>
        <bgColor rgb="FFD0E0E3"/>
      </patternFill>
    </fill>
    <fill>
      <patternFill patternType="solid">
        <fgColor rgb="FF4A3A09"/>
        <bgColor rgb="FF4A3A09"/>
      </patternFill>
    </fill>
    <fill>
      <patternFill patternType="solid">
        <fgColor rgb="FF7F6000"/>
        <bgColor rgb="FF7F6000"/>
      </patternFill>
    </fill>
    <fill>
      <patternFill patternType="solid">
        <fgColor rgb="FFF0E9E1"/>
        <bgColor rgb="FFF0E9E1"/>
      </patternFill>
    </fill>
    <fill>
      <patternFill patternType="solid">
        <fgColor rgb="FFD9EAD3"/>
        <bgColor rgb="FFD9EAD3"/>
      </patternFill>
    </fill>
    <fill>
      <patternFill patternType="solid">
        <fgColor rgb="FF351C75"/>
        <bgColor rgb="FF351C75"/>
      </patternFill>
    </fill>
    <fill>
      <patternFill patternType="solid">
        <fgColor rgb="FF741B47"/>
        <bgColor rgb="FF741B47"/>
      </patternFill>
    </fill>
    <fill>
      <patternFill patternType="solid">
        <fgColor rgb="FF434343"/>
        <bgColor rgb="FF434343"/>
      </patternFill>
    </fill>
    <fill>
      <patternFill patternType="solid">
        <fgColor rgb="FFB7B7B7"/>
        <bgColor rgb="FFB7B7B7"/>
      </patternFill>
    </fill>
    <fill>
      <patternFill patternType="solid">
        <fgColor rgb="FF4A86E8"/>
        <bgColor rgb="FF4A86E8"/>
      </patternFill>
    </fill>
    <fill>
      <patternFill patternType="solid">
        <fgColor rgb="FF38761D"/>
        <bgColor rgb="FF38761D"/>
      </patternFill>
    </fill>
    <fill>
      <patternFill patternType="solid">
        <fgColor rgb="FF0B5394"/>
        <bgColor rgb="FF0B5394"/>
      </patternFill>
    </fill>
    <fill>
      <patternFill patternType="solid">
        <fgColor rgb="FFB6D7A8"/>
        <bgColor rgb="FFB6D7A8"/>
      </patternFill>
    </fill>
    <fill>
      <patternFill patternType="solid">
        <fgColor rgb="FF93C47D"/>
        <bgColor rgb="FF93C47D"/>
      </patternFill>
    </fill>
    <fill>
      <patternFill patternType="solid">
        <fgColor rgb="FFF4CCCC"/>
        <bgColor rgb="FFF4CCCC"/>
      </patternFill>
    </fill>
    <fill>
      <patternFill patternType="solid">
        <fgColor rgb="FF1E1E1E"/>
        <bgColor rgb="FF1E1E1E"/>
      </patternFill>
    </fill>
    <fill>
      <patternFill patternType="solid">
        <fgColor rgb="FFF6B26B"/>
        <bgColor rgb="FFF6B26B"/>
      </patternFill>
    </fill>
    <fill>
      <patternFill patternType="solid">
        <fgColor rgb="FF6FA8DC"/>
        <bgColor rgb="FF6FA8DC"/>
      </patternFill>
    </fill>
    <fill>
      <patternFill patternType="solid">
        <fgColor rgb="FFC9DAF8"/>
        <bgColor rgb="FFC9DAF8"/>
      </patternFill>
    </fill>
    <fill>
      <patternFill patternType="solid">
        <fgColor rgb="FF45818E"/>
        <bgColor rgb="FF45818E"/>
      </patternFill>
    </fill>
    <fill>
      <patternFill patternType="solid">
        <fgColor rgb="FF999999"/>
        <bgColor rgb="FF999999"/>
      </patternFill>
    </fill>
    <fill>
      <patternFill patternType="solid">
        <fgColor rgb="FFCCCCCC"/>
        <bgColor rgb="FFCCCCCC"/>
      </patternFill>
    </fill>
    <fill>
      <patternFill patternType="solid">
        <fgColor rgb="FFFF0000"/>
        <bgColor rgb="FFFF0000"/>
      </patternFill>
    </fill>
    <fill>
      <patternFill patternType="solid">
        <fgColor rgb="FF4472C4"/>
        <bgColor rgb="FF4472C4"/>
      </patternFill>
    </fill>
    <fill>
      <patternFill patternType="solid">
        <fgColor rgb="FF9CC2E5"/>
        <bgColor rgb="FF9CC2E5"/>
      </patternFill>
    </fill>
    <fill>
      <patternFill patternType="solid">
        <fgColor rgb="FFD8D8D8"/>
        <bgColor rgb="FFD8D8D8"/>
      </patternFill>
    </fill>
    <fill>
      <patternFill patternType="solid">
        <fgColor rgb="FFFFFFFE"/>
        <bgColor rgb="FFFFFFFE"/>
      </patternFill>
    </fill>
  </fills>
  <borders count="220">
    <border/>
    <border>
      <left style="thin">
        <color rgb="FFD9D9D9"/>
      </left>
      <right style="thin">
        <color rgb="FFD9D9D9"/>
      </right>
      <top style="thin">
        <color rgb="FFD9D9D9"/>
      </top>
    </border>
    <border>
      <left style="thin">
        <color rgb="FFEFEFEF"/>
      </left>
      <top style="thin">
        <color rgb="FFEFEFEF"/>
      </top>
    </border>
    <border>
      <right style="thin">
        <color rgb="FFEFEFEF"/>
      </right>
      <top style="thin">
        <color rgb="FFEFEFEF"/>
      </top>
    </border>
    <border>
      <left style="thin">
        <color rgb="FFEFEFEF"/>
      </left>
      <right style="thin">
        <color rgb="FFEFEFEF"/>
      </right>
      <top style="thin">
        <color rgb="FFEFEFEF"/>
      </top>
      <bottom style="thin">
        <color rgb="FFEFEFEF"/>
      </bottom>
    </border>
    <border>
      <left style="thin">
        <color rgb="FFEFEFEF"/>
      </left>
      <top style="thin">
        <color rgb="FFEFEFEF"/>
      </top>
      <bottom style="thin">
        <color rgb="FFEFEFEF"/>
      </bottom>
    </border>
    <border>
      <right style="thin">
        <color rgb="FFEFEFEF"/>
      </right>
      <top style="thin">
        <color rgb="FFEFEFEF"/>
      </top>
      <bottom style="thin">
        <color rgb="FFEFEFEF"/>
      </bottom>
    </border>
    <border>
      <left style="thin">
        <color rgb="FFEFEFEF"/>
      </left>
      <right style="thin">
        <color rgb="FFEFEFEF"/>
      </right>
      <top style="thin">
        <color rgb="FFEFEFEF"/>
      </top>
    </border>
    <border>
      <left style="thin">
        <color rgb="FFEFEFEF"/>
      </left>
      <right style="thin">
        <color rgb="FFEFEFEF"/>
      </right>
      <bottom style="thin">
        <color rgb="FFEFEFEF"/>
      </bottom>
    </border>
    <border>
      <right style="thin">
        <color rgb="FFEFEFEF"/>
      </right>
    </border>
    <border>
      <right style="thin">
        <color rgb="FFEFEFEF"/>
      </right>
      <bottom style="thin">
        <color rgb="FFEFEFEF"/>
      </bottom>
    </border>
    <border>
      <left style="thin">
        <color rgb="FFFFFFFF"/>
      </left>
      <top style="thin">
        <color rgb="FFFFFFFF"/>
      </top>
    </border>
    <border>
      <top style="thin">
        <color rgb="FFFFFFFF"/>
      </top>
    </border>
    <border>
      <right style="thin">
        <color rgb="FFFFFFFF"/>
      </right>
      <top style="thin">
        <color rgb="FFFFFFFF"/>
      </top>
    </border>
    <border>
      <left style="thin">
        <color rgb="FFFFFFFF"/>
      </left>
    </border>
    <border>
      <left style="thin">
        <color rgb="FFFFFFFF"/>
      </left>
      <bottom style="thin">
        <color rgb="FFFFFFFF"/>
      </bottom>
    </border>
    <border>
      <bottom style="thin">
        <color rgb="FFFFFFFF"/>
      </bottom>
    </border>
    <border>
      <right style="thin">
        <color rgb="FFFFFFFF"/>
      </right>
      <bottom style="thin">
        <color rgb="FFFFFFFF"/>
      </bottom>
    </border>
    <border>
      <right style="thin">
        <color rgb="FFFFFFFF"/>
      </right>
    </border>
    <border>
      <left style="thin">
        <color rgb="FF000000"/>
      </left>
      <top style="thin">
        <color rgb="FF000000"/>
      </top>
      <bottom style="thin">
        <color rgb="FF000000"/>
      </bottom>
    </border>
    <border>
      <top style="thin">
        <color rgb="FF000000"/>
      </top>
      <bottom style="thin">
        <color rgb="FF000000"/>
      </bottom>
    </border>
    <border>
      <right style="thin">
        <color rgb="FFFFFFFF"/>
      </right>
      <top style="thin">
        <color rgb="FF000000"/>
      </top>
      <bottom style="thin">
        <color rgb="FF000000"/>
      </bottom>
    </border>
    <border>
      <left style="thin">
        <color rgb="FFFFFFFF"/>
      </left>
      <right style="thin">
        <color rgb="FFFFFFFF"/>
      </right>
      <top style="thin">
        <color rgb="FF000000"/>
      </top>
      <bottom style="thin">
        <color rgb="FF000000"/>
      </bottom>
    </border>
    <border>
      <right style="thin">
        <color rgb="FF000000"/>
      </right>
      <top style="thin">
        <color rgb="FF000000"/>
      </top>
      <bottom style="thin">
        <color rgb="FF000000"/>
      </bottom>
    </border>
    <border>
      <left style="thin">
        <color rgb="FFFFFFFF"/>
      </left>
      <top style="thin">
        <color rgb="FF000000"/>
      </top>
      <bottom style="thin">
        <color rgb="FF000000"/>
      </bottom>
    </border>
    <border>
      <top style="thin">
        <color rgb="FF000000"/>
      </top>
    </border>
    <border>
      <right style="thin">
        <color rgb="FFFFFFFF"/>
      </right>
      <top style="thin">
        <color rgb="FF000000"/>
      </top>
    </border>
    <border>
      <left style="thin">
        <color rgb="FFD9D9D9"/>
      </left>
      <right style="thin">
        <color rgb="FFD9D9D9"/>
      </right>
      <top style="thin">
        <color rgb="FFD9D9D9"/>
      </top>
      <bottom style="thin">
        <color rgb="FFD9D9D9"/>
      </bottom>
    </border>
    <border>
      <left style="thin">
        <color rgb="FFD9D9D9"/>
      </left>
      <top style="thin">
        <color rgb="FFD9D9D9"/>
      </top>
      <bottom style="thin">
        <color rgb="FFD9D9D9"/>
      </bottom>
    </border>
    <border>
      <top style="thin">
        <color rgb="FFFFFFFF"/>
      </top>
      <bottom style="thin">
        <color rgb="FFFFFFFF"/>
      </bottom>
    </border>
    <border>
      <right style="thin">
        <color rgb="FFD9D9D9"/>
      </right>
      <top style="thin">
        <color rgb="FFD9D9D9"/>
      </top>
      <bottom style="thin">
        <color rgb="FFD9D9D9"/>
      </bottom>
    </border>
    <border>
      <left style="thin">
        <color rgb="FFB7B7B7"/>
      </left>
      <right style="thin">
        <color rgb="FFB7B7B7"/>
      </right>
      <top style="thin">
        <color rgb="FFB7B7B7"/>
      </top>
      <bottom style="thin">
        <color rgb="FFB7B7B7"/>
      </bottom>
    </border>
    <border>
      <left style="thin">
        <color rgb="FFFFFFFF"/>
      </left>
      <right style="thin">
        <color rgb="FFFFFFFF"/>
      </right>
    </border>
    <border>
      <left style="thin">
        <color rgb="FFFFFFFF"/>
      </left>
      <right style="thin">
        <color rgb="FFFFFFFF"/>
      </right>
      <top style="thin">
        <color rgb="FFFFFFFF"/>
      </top>
    </border>
    <border>
      <left style="thin">
        <color rgb="FFD9D9D9"/>
      </left>
      <top style="thin">
        <color rgb="FFD9D9D9"/>
      </top>
    </border>
    <border>
      <top style="thin">
        <color rgb="FFD9D9D9"/>
      </top>
    </border>
    <border>
      <right style="thin">
        <color rgb="FFD9D9D9"/>
      </right>
      <top style="thin">
        <color rgb="FFD9D9D9"/>
      </top>
    </border>
    <border>
      <left style="thin">
        <color rgb="FF000000"/>
      </left>
      <right style="thin">
        <color rgb="FFD9D9D9"/>
      </right>
      <top style="thin">
        <color rgb="FF000000"/>
      </top>
    </border>
    <border>
      <left style="thin">
        <color rgb="FFD9D9D9"/>
      </left>
      <bottom style="thin">
        <color rgb="FFD9D9D9"/>
      </bottom>
    </border>
    <border>
      <bottom style="thin">
        <color rgb="FFD9D9D9"/>
      </bottom>
    </border>
    <border>
      <right style="thin">
        <color rgb="FFD9D9D9"/>
      </right>
      <bottom style="thin">
        <color rgb="FFD9D9D9"/>
      </bottom>
    </border>
    <border>
      <left style="thin">
        <color rgb="FF000000"/>
      </left>
      <right style="thin">
        <color rgb="FFD9D9D9"/>
      </right>
      <bottom style="thin">
        <color rgb="FFFFFFFF"/>
      </bottom>
    </border>
    <border>
      <left style="thin">
        <color rgb="FF000000"/>
      </left>
      <right style="thin">
        <color rgb="FFFFFFFF"/>
      </right>
      <top style="thin">
        <color rgb="FFFFFFFF"/>
      </top>
      <bottom style="thin">
        <color rgb="FFFFFFFF"/>
      </bottom>
    </border>
    <border>
      <left style="thin">
        <color rgb="FFCCCCCC"/>
      </left>
      <right style="thin">
        <color rgb="FFCCCCCC"/>
      </right>
      <top style="thin">
        <color rgb="FFCCCCCC"/>
      </top>
      <bottom style="thin">
        <color rgb="FFCCCCCC"/>
      </bottom>
    </border>
    <border>
      <left style="thin">
        <color rgb="FFD9D9D9"/>
      </left>
    </border>
    <border>
      <right style="thin">
        <color rgb="FFD9D9D9"/>
      </right>
    </border>
    <border>
      <left style="thin">
        <color rgb="FF000000"/>
      </left>
      <right style="thin">
        <color rgb="FFCCCCCC"/>
      </right>
    </border>
    <border>
      <left style="thin">
        <color rgb="FFCCCCCC"/>
      </left>
      <right style="thin">
        <color rgb="FFCCCCCC"/>
      </right>
      <top style="thin">
        <color rgb="FFCCCCCC"/>
      </top>
    </border>
    <border>
      <left style="thin">
        <color rgb="FF000000"/>
      </left>
      <right style="thin">
        <color rgb="FFCCCCCC"/>
      </right>
      <bottom style="thin">
        <color rgb="FF000000"/>
      </bottom>
    </border>
    <border>
      <left style="thin">
        <color rgb="FFCCCCCC"/>
      </left>
      <right style="thin">
        <color rgb="FFCCCCCC"/>
      </right>
      <bottom style="thin">
        <color rgb="FFCCCCCC"/>
      </bottom>
    </border>
    <border>
      <left style="thin">
        <color rgb="FFD9D9D9"/>
      </left>
      <top style="thin">
        <color rgb="FFD9D9D9"/>
      </top>
      <bottom style="thin">
        <color rgb="FFFFFFFF"/>
      </bottom>
    </border>
    <border>
      <top style="thin">
        <color rgb="FFD9D9D9"/>
      </top>
      <bottom style="thin">
        <color rgb="FFFFFFFF"/>
      </bottom>
    </border>
    <border>
      <right style="thin">
        <color rgb="FFFFFFFF"/>
      </right>
      <top style="thin">
        <color rgb="FF2F5496"/>
      </top>
    </border>
    <border>
      <left style="thin">
        <color rgb="FFFFFFFF"/>
      </left>
      <right style="thin">
        <color rgb="FFFFFFFF"/>
      </right>
      <top style="thin">
        <color rgb="FF2F5496"/>
      </top>
    </border>
    <border>
      <left style="thin">
        <color rgb="FF2F5496"/>
      </left>
      <top style="thin">
        <color rgb="FF2F5496"/>
      </top>
    </border>
    <border>
      <left style="thin">
        <color rgb="FFFFFFFF"/>
      </left>
      <right style="thin">
        <color rgb="FFFFFFFF"/>
      </right>
      <top style="thin">
        <color rgb="FF134F5C"/>
      </top>
    </border>
    <border>
      <top style="thin">
        <color rgb="FF2F5496"/>
      </top>
    </border>
    <border>
      <left style="thin">
        <color rgb="FFCCCCCC"/>
      </left>
      <right style="thin">
        <color rgb="FFCCCCCC"/>
      </right>
    </border>
    <border>
      <left style="thin">
        <color rgb="FF2F5496"/>
      </left>
      <top style="thin">
        <color rgb="FF0C343D"/>
      </top>
      <bottom style="thin">
        <color rgb="FFFFFFFF"/>
      </bottom>
    </border>
    <border>
      <right style="thin">
        <color rgb="FFFFFFFF"/>
      </right>
      <top style="thin">
        <color rgb="FF0C343D"/>
      </top>
      <bottom style="thin">
        <color rgb="FFFFFFFF"/>
      </bottom>
    </border>
    <border>
      <left style="thin">
        <color rgb="FF000000"/>
      </left>
      <right style="thin">
        <color rgb="FFD9D9D9"/>
      </right>
    </border>
    <border>
      <left style="thin">
        <color rgb="FF2F5496"/>
      </left>
    </border>
    <border>
      <right style="thin">
        <color rgb="FFCCCCCC"/>
      </right>
      <top style="thin">
        <color rgb="FFCCCCCC"/>
      </top>
      <bottom style="thin">
        <color rgb="FFCCCCCC"/>
      </bottom>
    </border>
    <border>
      <left style="thin">
        <color rgb="FF2F5496"/>
      </left>
      <top style="thin">
        <color rgb="FFFFFFFF"/>
      </top>
    </border>
    <border>
      <left style="thin">
        <color rgb="FF000000"/>
      </left>
      <right style="thin">
        <color rgb="FFD9D9D9"/>
      </right>
      <bottom style="thin">
        <color rgb="FF000000"/>
      </bottom>
    </border>
    <border>
      <left style="thin">
        <color rgb="FF000000"/>
      </left>
      <right style="thin">
        <color rgb="FFFFFFFF"/>
      </right>
      <top style="thin">
        <color rgb="FF000000"/>
      </top>
      <bottom style="thin">
        <color rgb="FFFFFFFF"/>
      </bottom>
    </border>
    <border>
      <right style="thin">
        <color rgb="FF2F5496"/>
      </right>
      <top style="thin">
        <color rgb="FF2F5496"/>
      </top>
    </border>
    <border>
      <left style="thin">
        <color rgb="FF000000"/>
      </left>
      <right style="thin">
        <color rgb="FFCCCCCC"/>
      </right>
      <bottom style="thin">
        <color rgb="FFFFFFFF"/>
      </bottom>
    </border>
    <border>
      <right style="thin">
        <color rgb="FF2F5496"/>
      </right>
      <top style="thin">
        <color rgb="FFFFFFFF"/>
      </top>
    </border>
    <border>
      <left style="thin">
        <color rgb="FF2F5496"/>
      </left>
      <top style="thin">
        <color rgb="FFFFFFFF"/>
      </top>
      <bottom style="thin">
        <color rgb="FF2F5496"/>
      </bottom>
    </border>
    <border>
      <right style="thin">
        <color rgb="FF2F5496"/>
      </right>
      <top style="thin">
        <color rgb="FFFFFFFF"/>
      </top>
      <bottom style="thin">
        <color rgb="FF2F5496"/>
      </bottom>
    </border>
    <border>
      <right style="thin">
        <color rgb="FFCCCCCC"/>
      </right>
      <top style="thin">
        <color rgb="FFCCCCCC"/>
      </top>
    </border>
    <border>
      <left style="thin">
        <color rgb="FF2F5496"/>
      </left>
      <bottom style="thin">
        <color rgb="FF2F5496"/>
      </bottom>
    </border>
    <border>
      <right style="thin">
        <color rgb="FF2F5496"/>
      </right>
      <bottom style="thin">
        <color rgb="FF2F5496"/>
      </bottom>
    </border>
    <border>
      <right style="thin">
        <color rgb="FFCCCCCC"/>
      </right>
    </border>
    <border>
      <left style="thin">
        <color rgb="FF4A3A09"/>
      </left>
      <top style="thin">
        <color rgb="FF4A3A09"/>
      </top>
      <bottom style="thin">
        <color rgb="FFFFFFFF"/>
      </bottom>
    </border>
    <border>
      <top style="thin">
        <color rgb="FF4A3A09"/>
      </top>
      <bottom style="thin">
        <color rgb="FFFFFFFF"/>
      </bottom>
    </border>
    <border>
      <left style="thin">
        <color rgb="FFFFFFFF"/>
      </left>
      <top style="thin">
        <color rgb="FF134F5C"/>
      </top>
    </border>
    <border>
      <left style="thin">
        <color rgb="FFFFFFFF"/>
      </left>
      <top style="thin">
        <color rgb="FF134F5C"/>
      </top>
      <bottom style="thin">
        <color rgb="FFFFFFFF"/>
      </bottom>
    </border>
    <border>
      <top style="thin">
        <color rgb="FFEFEFEF"/>
      </top>
      <bottom style="thin">
        <color rgb="FFEFEFEF"/>
      </bottom>
    </border>
    <border>
      <left style="thin">
        <color rgb="FF666666"/>
      </left>
      <right style="thin">
        <color rgb="FFFFFFFF"/>
      </right>
    </border>
    <border>
      <left style="thin">
        <color rgb="FFFFFFFF"/>
      </left>
      <right style="thin">
        <color rgb="FF666666"/>
      </right>
    </border>
    <border>
      <left style="thin">
        <color rgb="FF666666"/>
      </left>
      <right style="thin">
        <color rgb="FFFFFFFF"/>
      </right>
      <bottom style="thin">
        <color rgb="FF666666"/>
      </bottom>
    </border>
    <border>
      <left style="thin">
        <color rgb="FFFFFFFF"/>
      </left>
      <right style="thin">
        <color rgb="FFFFFFFF"/>
      </right>
      <bottom style="thin">
        <color rgb="FF666666"/>
      </bottom>
    </border>
    <border>
      <left style="thin">
        <color rgb="FFFFFFFF"/>
      </left>
      <right style="thin">
        <color rgb="FF666666"/>
      </right>
      <bottom style="thin">
        <color rgb="FF666666"/>
      </bottom>
    </border>
    <border>
      <top style="thin">
        <color rgb="FFEFEFEF"/>
      </top>
    </border>
    <border>
      <left style="thin">
        <color rgb="FFFFFFFF"/>
      </left>
      <right style="thin">
        <color rgb="FF999999"/>
      </right>
      <top style="thin">
        <color rgb="FFFFFFFF"/>
      </top>
      <bottom style="thin">
        <color rgb="FF999999"/>
      </bottom>
    </border>
    <border>
      <left style="thin">
        <color rgb="FFEFEFEF"/>
      </left>
      <right style="thin">
        <color rgb="FF999999"/>
      </right>
      <top style="thin">
        <color rgb="FFEFEFEF"/>
      </top>
    </border>
    <border>
      <left style="thin">
        <color rgb="FFFFFFFF"/>
      </left>
      <right style="thin">
        <color rgb="FFFFFFFF"/>
      </right>
      <top style="thin">
        <color rgb="FFFFFFFF"/>
      </top>
      <bottom style="thin">
        <color rgb="FFFFFFFF"/>
      </bottom>
    </border>
    <border>
      <left style="thin">
        <color rgb="FFFFFFFF"/>
      </left>
      <top style="thin">
        <color rgb="FFFFFFFF"/>
      </top>
      <bottom style="thin">
        <color rgb="FFFFFFFF"/>
      </bottom>
    </border>
    <border>
      <right style="thin">
        <color rgb="FFFFFFFF"/>
      </right>
      <top style="thin">
        <color rgb="FFFFFFFF"/>
      </top>
      <bottom style="thin">
        <color rgb="FFFFFFFF"/>
      </bottom>
    </border>
    <border>
      <left style="thin">
        <color rgb="FF434343"/>
      </left>
      <top style="thin">
        <color rgb="FF434343"/>
      </top>
      <bottom style="thin">
        <color rgb="FF434343"/>
      </bottom>
    </border>
    <border>
      <top style="thin">
        <color rgb="FF434343"/>
      </top>
      <bottom style="thin">
        <color rgb="FF434343"/>
      </bottom>
    </border>
    <border>
      <right style="thin">
        <color rgb="FFFFFFFF"/>
      </right>
      <top style="thin">
        <color rgb="FFEFEFEF"/>
      </top>
    </border>
    <border>
      <left style="thin">
        <color rgb="FFEFEFEF"/>
      </left>
    </border>
    <border>
      <left style="thin">
        <color rgb="FFFFFFFF"/>
      </left>
      <right style="thin">
        <color rgb="FF999999"/>
      </right>
      <top style="thin">
        <color rgb="FF999999"/>
      </top>
    </border>
    <border>
      <left style="thin">
        <color rgb="FFEFEFEF"/>
      </left>
      <right style="thin">
        <color rgb="FF999999"/>
      </right>
    </border>
    <border>
      <left style="thin">
        <color rgb="FFEFEFEF"/>
      </left>
      <right style="thin">
        <color rgb="FFEFEFEF"/>
      </right>
      <top style="thin">
        <color rgb="FFEFEFEF"/>
      </top>
      <bottom style="thin">
        <color rgb="FFFFFFFF"/>
      </bottom>
    </border>
    <border>
      <left style="thin">
        <color rgb="FFEFEFEF"/>
      </left>
      <bottom style="thin">
        <color rgb="FFFFFFFF"/>
      </bottom>
    </border>
    <border>
      <left style="thin">
        <color rgb="FFEFEFEF"/>
      </left>
      <right style="thin">
        <color rgb="FFEFEFEF"/>
      </right>
    </border>
    <border>
      <left style="thin">
        <color rgb="FFD9D9D9"/>
      </left>
      <right style="thin">
        <color rgb="FFD9D9D9"/>
      </right>
      <bottom style="thin">
        <color rgb="FFD9D9D9"/>
      </bottom>
    </border>
    <border>
      <right style="thin">
        <color rgb="FFCCCCCC"/>
      </right>
      <bottom style="thin">
        <color rgb="FFCCCCCC"/>
      </bottom>
    </border>
    <border>
      <bottom style="thin">
        <color rgb="FFCCCCCC"/>
      </bottom>
    </border>
    <border>
      <right style="thin">
        <color rgb="FFCCCCCC"/>
      </right>
      <bottom style="thin">
        <color rgb="FFD9D9D9"/>
      </bottom>
    </border>
    <border>
      <left style="thin">
        <color rgb="FFCCCCCC"/>
      </left>
      <top style="thin">
        <color rgb="FFCCCCCC"/>
      </top>
    </border>
    <border>
      <left style="thin">
        <color rgb="FFCCCCCC"/>
      </left>
      <bottom style="thin">
        <color rgb="FFCCCCCC"/>
      </bottom>
    </border>
    <border>
      <left style="thin">
        <color rgb="FFCCCCCC"/>
      </left>
    </border>
    <border>
      <left style="thin">
        <color rgb="FF2F5496"/>
      </left>
      <right style="thin">
        <color rgb="FF2F5496"/>
      </right>
      <top style="thin">
        <color rgb="FF2F5496"/>
      </top>
      <bottom style="thin">
        <color rgb="FF2F5496"/>
      </bottom>
    </border>
    <border>
      <bottom style="thin">
        <color rgb="FF2F5496"/>
      </bottom>
    </border>
    <border>
      <left style="thin">
        <color rgb="FF3D85C6"/>
      </left>
      <top style="thin">
        <color rgb="FF3D85C6"/>
      </top>
      <bottom style="thin">
        <color rgb="FF3D85C6"/>
      </bottom>
    </border>
    <border>
      <top style="thin">
        <color rgb="FF3D85C6"/>
      </top>
      <bottom style="thin">
        <color rgb="FF3D85C6"/>
      </bottom>
    </border>
    <border>
      <right style="thin">
        <color rgb="FF3D85C6"/>
      </right>
      <top style="thin">
        <color rgb="FF3D85C6"/>
      </top>
      <bottom style="thin">
        <color rgb="FF3D85C6"/>
      </bottom>
    </border>
    <border>
      <left style="thin">
        <color rgb="FF3D85C6"/>
      </left>
      <top style="thin">
        <color rgb="FF3D85C6"/>
      </top>
      <bottom style="thin">
        <color rgb="FFFFFFFF"/>
      </bottom>
    </border>
    <border>
      <top style="thin">
        <color rgb="FF3D85C6"/>
      </top>
      <bottom style="thin">
        <color rgb="FFFFFFFF"/>
      </bottom>
    </border>
    <border>
      <right style="thin">
        <color rgb="FF3D85C6"/>
      </right>
      <top style="thin">
        <color rgb="FF3D85C6"/>
      </top>
      <bottom style="thin">
        <color rgb="FFFFFFFF"/>
      </bottom>
    </border>
    <border>
      <left style="thin">
        <color rgb="FF3D85C6"/>
      </left>
      <bottom style="thin">
        <color rgb="FF3D85C6"/>
      </bottom>
    </border>
    <border>
      <right style="thin">
        <color rgb="FF3D85C6"/>
      </right>
      <bottom style="thin">
        <color rgb="FF3D85C6"/>
      </bottom>
    </border>
    <border>
      <bottom style="thin">
        <color rgb="FF3D85C6"/>
      </bottom>
    </border>
    <border>
      <left style="thin">
        <color rgb="FFFFFFFF"/>
      </left>
      <right style="thin">
        <color rgb="FFFFFFFF"/>
      </right>
      <top style="thin">
        <color rgb="FFB7B7B7"/>
      </top>
      <bottom style="thin">
        <color rgb="FFFFFFFF"/>
      </bottom>
    </border>
    <border>
      <left style="thin">
        <color rgb="FFEFEFEF"/>
      </left>
      <bottom style="thin">
        <color rgb="FFEFEFEF"/>
      </bottom>
    </border>
    <border>
      <bottom style="thin">
        <color rgb="FFEFEFEF"/>
      </bottom>
    </border>
    <border>
      <left style="thin">
        <color rgb="FFFFFFFF"/>
      </left>
      <top style="thin">
        <color rgb="FFB7B7B7"/>
      </top>
      <bottom style="thin">
        <color rgb="FFFFFFFF"/>
      </bottom>
    </border>
    <border>
      <right style="thin">
        <color rgb="FFFFFFFF"/>
      </right>
      <top style="thin">
        <color rgb="FFB7B7B7"/>
      </top>
      <bottom style="thin">
        <color rgb="FFFFFFFF"/>
      </bottom>
    </border>
    <border>
      <left style="thin">
        <color rgb="FF3D85C6"/>
      </left>
      <bottom style="thin">
        <color rgb="FFFFFFFF"/>
      </bottom>
    </border>
    <border>
      <top style="thin">
        <color rgb="FFCCCCCC"/>
      </top>
    </border>
    <border>
      <right style="thin">
        <color rgb="FFFFFFFF"/>
      </right>
      <top style="thin">
        <color rgb="FFFFFFFF"/>
      </top>
      <bottom style="thin">
        <color rgb="FF2F5496"/>
      </bottom>
    </border>
    <border>
      <left style="thin">
        <color rgb="FFFFFFFF"/>
      </left>
      <right style="thin">
        <color rgb="FFFFFFFF"/>
      </right>
      <top style="thin">
        <color rgb="FFFFFFFF"/>
      </top>
      <bottom style="thin">
        <color rgb="FF2F5496"/>
      </bottom>
    </border>
    <border>
      <right style="thin">
        <color rgb="FFFFFFFF"/>
      </right>
      <top style="thin">
        <color rgb="FFCCCCCC"/>
      </top>
    </border>
    <border>
      <left style="thin">
        <color rgb="FFFFFFFF"/>
      </left>
      <right style="thin">
        <color rgb="FFFFFFFF"/>
      </right>
      <bottom style="thin">
        <color rgb="FFFFFFFF"/>
      </bottom>
    </border>
    <border>
      <top style="thin">
        <color rgb="FFD9D9D9"/>
      </top>
      <bottom style="thin">
        <color rgb="FFD9D9D9"/>
      </bottom>
    </border>
    <border>
      <left style="thin">
        <color rgb="FFFFFFFF"/>
      </left>
      <right style="thin">
        <color rgb="FFFFFFFF"/>
      </right>
      <bottom style="thin">
        <color rgb="FFCCCCCC"/>
      </bottom>
    </border>
    <border>
      <left style="thin">
        <color rgb="FFB7B7B7"/>
      </left>
      <top style="thin">
        <color rgb="FFB7B7B7"/>
      </top>
      <bottom style="thin">
        <color rgb="FFB7B7B7"/>
      </bottom>
    </border>
    <border>
      <right style="thin">
        <color rgb="FFB7B7B7"/>
      </right>
      <top style="thin">
        <color rgb="FFB7B7B7"/>
      </top>
      <bottom style="thin">
        <color rgb="FFB7B7B7"/>
      </bottom>
    </border>
    <border>
      <left style="thin">
        <color rgb="FFD9D9D9"/>
      </left>
      <top style="thin">
        <color rgb="FFFFFFFF"/>
      </top>
      <bottom style="thin">
        <color rgb="FFD9D9D9"/>
      </bottom>
    </border>
    <border>
      <left style="thin">
        <color rgb="FFFFFFFF"/>
      </left>
      <right style="thin">
        <color rgb="FFFFFFFF"/>
      </right>
      <bottom style="thin">
        <color rgb="FF2F5496"/>
      </bottom>
    </border>
    <border>
      <left style="thin">
        <color rgb="FF2F5496"/>
      </left>
      <right style="thin">
        <color rgb="FFFFFFFF"/>
      </right>
    </border>
    <border>
      <left style="thin">
        <color rgb="FFD9D9D9"/>
      </left>
      <right style="thin">
        <color rgb="FFCCCCCC"/>
      </right>
    </border>
    <border>
      <top style="thin">
        <color rgb="FFCCCCCC"/>
      </top>
      <bottom style="thin">
        <color rgb="FFCCCCCC"/>
      </bottom>
    </border>
    <border>
      <top style="thin">
        <color rgb="FFB7B7B7"/>
      </top>
      <bottom style="thin">
        <color rgb="FFB7B7B7"/>
      </bottom>
    </border>
    <border>
      <left style="thin">
        <color rgb="FF3D85C6"/>
      </left>
      <top style="thin">
        <color rgb="FF3D85C6"/>
      </top>
    </border>
    <border>
      <right style="thin">
        <color rgb="FFFFFFFF"/>
      </right>
      <top style="thin">
        <color rgb="FF3D85C6"/>
      </top>
    </border>
    <border>
      <left style="thin">
        <color rgb="FFFFFFFF"/>
      </left>
      <top style="thin">
        <color rgb="FF3D85C6"/>
      </top>
      <bottom style="thin">
        <color rgb="FFFFFFFF"/>
      </bottom>
    </border>
    <border>
      <right style="thin">
        <color rgb="FFFFFFFF"/>
      </right>
      <top style="thin">
        <color rgb="FF3D85C6"/>
      </top>
      <bottom style="thin">
        <color rgb="FFFFFFFF"/>
      </bottom>
    </border>
    <border>
      <left style="thin">
        <color rgb="FFFFFFFF"/>
      </left>
      <top style="thin">
        <color rgb="FF3D85C6"/>
      </top>
    </border>
    <border>
      <right style="thin">
        <color rgb="FF3D85C6"/>
      </right>
      <top style="thin">
        <color rgb="FF3D85C6"/>
      </top>
    </border>
    <border>
      <top style="thin">
        <color rgb="FF3D85C6"/>
      </top>
    </border>
    <border>
      <left style="thin">
        <color rgb="FF000000"/>
      </left>
      <top style="thin">
        <color rgb="FFB7B7B7"/>
      </top>
      <bottom style="thin">
        <color rgb="FFB7B7B7"/>
      </bottom>
    </border>
    <border>
      <left style="thin">
        <color rgb="FFB7B7B7"/>
      </left>
      <right style="thin">
        <color rgb="FFB7B7B7"/>
      </right>
      <bottom style="thin">
        <color rgb="FFB7B7B7"/>
      </bottom>
    </border>
    <border>
      <right style="thin">
        <color rgb="FF000000"/>
      </right>
      <top style="thin">
        <color rgb="FFB7B7B7"/>
      </top>
      <bottom style="thin">
        <color rgb="FFB7B7B7"/>
      </bottom>
    </border>
    <border>
      <left style="thin">
        <color rgb="FF000000"/>
      </left>
      <right style="thin">
        <color rgb="FFB7B7B7"/>
      </right>
      <top style="thin">
        <color rgb="FFB7B7B7"/>
      </top>
      <bottom style="thin">
        <color rgb="FFB7B7B7"/>
      </bottom>
    </border>
    <border>
      <right style="thin">
        <color rgb="FFCCCCCC"/>
      </right>
      <top style="thin">
        <color rgb="FFB7B7B7"/>
      </top>
      <bottom style="thin">
        <color rgb="FFB7B7B7"/>
      </bottom>
    </border>
    <border>
      <left style="thin">
        <color rgb="FFFFFFFF"/>
      </left>
      <top style="thin">
        <color rgb="FF2F5496"/>
      </top>
      <bottom style="thin">
        <color rgb="FFFFFFFF"/>
      </bottom>
    </border>
    <border>
      <top style="thin">
        <color rgb="FF2F5496"/>
      </top>
      <bottom style="thin">
        <color rgb="FFFFFFFF"/>
      </bottom>
    </border>
    <border>
      <right style="thin">
        <color rgb="FFFFFFFF"/>
      </right>
      <top style="thin">
        <color rgb="FF2F5496"/>
      </top>
      <bottom style="thin">
        <color rgb="FFFFFFFF"/>
      </bottom>
    </border>
    <border>
      <left style="thin">
        <color rgb="FFFFFFFF"/>
      </left>
      <bottom style="thin">
        <color rgb="FFCCCCCC"/>
      </bottom>
    </border>
    <border>
      <left style="thin">
        <color rgb="FFFFFFFF"/>
      </left>
      <top style="thin">
        <color rgb="FFCCCCCC"/>
      </top>
      <bottom style="thin">
        <color rgb="FFFFFFFF"/>
      </bottom>
    </border>
    <border>
      <left style="thin">
        <color rgb="FFFFFFFF"/>
      </left>
      <top style="thin">
        <color rgb="FFCCCCCC"/>
      </top>
    </border>
    <border>
      <left style="thin">
        <color rgb="FFB7B7B7"/>
      </left>
      <right style="thin">
        <color rgb="FFB7B7B7"/>
      </right>
    </border>
    <border>
      <left style="thin">
        <color rgb="FFFFFFFF"/>
      </left>
      <right style="thin">
        <color rgb="FF2F5496"/>
      </right>
    </border>
    <border>
      <left style="thin">
        <color rgb="FFFFFFFF"/>
      </left>
      <top style="thin">
        <color rgb="FFFFFFFF"/>
      </top>
      <bottom style="thin">
        <color rgb="FFCCCCCC"/>
      </bottom>
    </border>
    <border>
      <right style="thin">
        <color rgb="FF2F5496"/>
      </right>
    </border>
    <border>
      <left style="thin">
        <color rgb="FFFFFFFF"/>
      </left>
      <bottom style="thin">
        <color rgb="FF2F5496"/>
      </bottom>
    </border>
    <border>
      <left style="thin">
        <color rgb="FFFFFFFF"/>
      </left>
      <right style="thick">
        <color rgb="FFFFFFFF"/>
      </right>
      <top style="thin">
        <color rgb="FFFFFFFF"/>
      </top>
    </border>
    <border>
      <left style="thin">
        <color rgb="FFCCCCCC"/>
      </left>
      <top style="thin">
        <color rgb="FFCCCCCC"/>
      </top>
      <bottom style="thin">
        <color rgb="FFCCCCCC"/>
      </bottom>
    </border>
    <border>
      <left style="thin">
        <color rgb="FFFFFFFF"/>
      </left>
      <right style="thick">
        <color rgb="FFFFFFFF"/>
      </right>
    </border>
    <border>
      <right style="thin">
        <color rgb="FFD9D9D9"/>
      </right>
      <bottom style="thick">
        <color rgb="FFFFFFFF"/>
      </bottom>
    </border>
    <border>
      <left style="thin">
        <color rgb="FFD9D9D9"/>
      </left>
      <right style="thin">
        <color rgb="FFD9D9D9"/>
      </right>
      <bottom style="thick">
        <color rgb="FFFFFFFF"/>
      </bottom>
    </border>
    <border>
      <left style="thin">
        <color rgb="FFFFFFFF"/>
      </left>
      <right style="thick">
        <color rgb="FFFFFFFF"/>
      </right>
      <bottom style="thin">
        <color rgb="FFFFFFFF"/>
      </bottom>
    </border>
    <border>
      <top style="thick">
        <color rgb="FFFFFFFF"/>
      </top>
      <bottom style="thin">
        <color rgb="FFFFFFFF"/>
      </bottom>
    </border>
    <border>
      <right style="thin">
        <color rgb="FFFFFFFF"/>
      </right>
      <top style="thick">
        <color rgb="FFFFFFFF"/>
      </top>
      <bottom style="thin">
        <color rgb="FFFFFFFF"/>
      </bottom>
    </border>
    <border>
      <left style="thin">
        <color rgb="FF3D85C6"/>
      </left>
      <right style="thin">
        <color rgb="FF3D85C6"/>
      </right>
      <top style="thin">
        <color rgb="FF3D85C6"/>
      </top>
      <bottom style="thin">
        <color rgb="FF3D85C6"/>
      </bottom>
    </border>
    <border>
      <left style="thin">
        <color rgb="FFD9D9D9"/>
      </left>
      <right style="thick">
        <color rgb="FFFFFFFF"/>
      </right>
      <bottom style="thin">
        <color rgb="FFD9D9D9"/>
      </bottom>
    </border>
    <border>
      <left style="thin">
        <color rgb="FF000000"/>
      </left>
      <right style="thin">
        <color rgb="FFFFFFFF"/>
      </right>
      <top style="thin">
        <color rgb="FFFFFFFF"/>
      </top>
      <bottom style="thin">
        <color rgb="FF000000"/>
      </bottom>
    </border>
    <border>
      <left style="thin">
        <color rgb="FFFFFFFF"/>
      </left>
      <right style="thin">
        <color rgb="FFFFFFFF"/>
      </right>
      <top style="thin">
        <color rgb="FFFFFFFF"/>
      </top>
      <bottom style="thin">
        <color rgb="FF000000"/>
      </bottom>
    </border>
    <border>
      <left style="thin">
        <color rgb="FFFFFFFF"/>
      </left>
      <right style="thin">
        <color rgb="FF000000"/>
      </right>
      <top style="thin">
        <color rgb="FFFFFFFF"/>
      </top>
      <bottom style="thin">
        <color rgb="FF000000"/>
      </bottom>
    </border>
    <border>
      <left style="thin">
        <color rgb="FF2F5496"/>
      </left>
      <top style="thin">
        <color rgb="FF2F5496"/>
      </top>
      <bottom style="thin">
        <color rgb="FF2F5496"/>
      </bottom>
    </border>
    <border>
      <top style="thin">
        <color rgb="FF2F5496"/>
      </top>
      <bottom style="thin">
        <color rgb="FF2F5496"/>
      </bottom>
    </border>
    <border>
      <left style="thin">
        <color rgb="FF000000"/>
      </left>
      <right style="thin">
        <color rgb="FFD9D9D9"/>
      </right>
      <top style="thin">
        <color rgb="FFD9D9D9"/>
      </top>
      <bottom style="thin">
        <color rgb="FF000000"/>
      </bottom>
    </border>
    <border>
      <left style="thin">
        <color rgb="FFD9D9D9"/>
      </left>
      <right style="thin">
        <color rgb="FFD9D9D9"/>
      </right>
      <top style="thin">
        <color rgb="FFD9D9D9"/>
      </top>
      <bottom style="thin">
        <color rgb="FF000000"/>
      </bottom>
    </border>
    <border>
      <left style="thin">
        <color rgb="FFD9D9D9"/>
      </left>
      <right style="thin">
        <color rgb="FF000000"/>
      </right>
      <top style="thin">
        <color rgb="FFD9D9D9"/>
      </top>
      <bottom style="thin">
        <color rgb="FF000000"/>
      </bottom>
    </border>
    <border>
      <left style="thin">
        <color rgb="FF2F5496"/>
      </left>
      <top style="thin">
        <color rgb="FFD9D9D9"/>
      </top>
    </border>
    <border>
      <right style="thin">
        <color rgb="FF2F5496"/>
      </right>
      <top style="thin">
        <color rgb="FFD9D9D9"/>
      </top>
    </border>
    <border>
      <left style="thin">
        <color rgb="FFB7B7B7"/>
      </left>
      <top style="thin">
        <color rgb="FFB7B7B7"/>
      </top>
      <bottom style="thin">
        <color rgb="FFD9D9D9"/>
      </bottom>
    </border>
    <border>
      <top style="thin">
        <color rgb="FFB7B7B7"/>
      </top>
      <bottom style="thin">
        <color rgb="FFD9D9D9"/>
      </bottom>
    </border>
    <border>
      <right style="thin">
        <color rgb="FFB7B7B7"/>
      </right>
      <top style="thin">
        <color rgb="FFB7B7B7"/>
      </top>
      <bottom style="thin">
        <color rgb="FFD9D9D9"/>
      </bottom>
    </border>
    <border>
      <left style="thin">
        <color rgb="FF2F5496"/>
      </left>
      <right style="thin">
        <color rgb="FFD9D9D9"/>
      </right>
      <top style="thin">
        <color rgb="FFD9D9D9"/>
      </top>
    </border>
    <border>
      <left style="thin">
        <color rgb="FFB7B7B7"/>
      </left>
      <top style="thin">
        <color rgb="FFB7B7B7"/>
      </top>
    </border>
    <border>
      <top style="thin">
        <color rgb="FFB7B7B7"/>
      </top>
    </border>
    <border>
      <right style="thin">
        <color rgb="FFB7B7B7"/>
      </right>
      <top style="thin">
        <color rgb="FFB7B7B7"/>
      </top>
    </border>
    <border>
      <left style="thin">
        <color rgb="FFB7B7B7"/>
      </left>
      <bottom style="thin">
        <color rgb="FFB7B7B7"/>
      </bottom>
    </border>
    <border>
      <bottom style="thin">
        <color rgb="FFB7B7B7"/>
      </bottom>
    </border>
    <border>
      <right style="thin">
        <color rgb="FFB7B7B7"/>
      </right>
      <bottom style="thin">
        <color rgb="FFB7B7B7"/>
      </bottom>
    </border>
    <border>
      <left style="thin">
        <color rgb="FF2F5496"/>
      </left>
      <bottom style="thin">
        <color rgb="FFD9D9D9"/>
      </bottom>
    </border>
    <border>
      <left style="thin">
        <color rgb="FF2F5496"/>
      </left>
      <right style="thin">
        <color rgb="FFD9D9D9"/>
      </right>
      <bottom style="thin">
        <color rgb="FFD9D9D9"/>
      </bottom>
    </border>
    <border>
      <left style="thin">
        <color rgb="FF2F5496"/>
      </left>
      <bottom style="thin">
        <color rgb="FFFFFFFF"/>
      </bottom>
    </border>
    <border>
      <right style="thin">
        <color rgb="FF2F5496"/>
      </right>
      <bottom style="thin">
        <color rgb="FFFFFFFF"/>
      </bottom>
    </border>
    <border>
      <right style="thin">
        <color rgb="FF2F5496"/>
      </right>
      <bottom style="thin">
        <color rgb="FFD9D9D9"/>
      </bottom>
    </border>
    <border>
      <left style="thin">
        <color rgb="FFD9D9D9"/>
      </left>
      <right style="thin">
        <color rgb="FFD9D9D9"/>
      </right>
    </border>
    <border>
      <right style="thin">
        <color rgb="FFB7B7B7"/>
      </right>
    </border>
    <border>
      <left style="thin">
        <color rgb="FFB7B7B7"/>
      </left>
      <right style="thin">
        <color rgb="FFB7B7B7"/>
      </right>
      <top style="thin">
        <color rgb="FFD9D9D9"/>
      </top>
      <bottom style="thin">
        <color rgb="FFB7B7B7"/>
      </bottom>
    </border>
    <border>
      <right style="thin">
        <color rgb="FFB7B7B7"/>
      </right>
      <top style="thin">
        <color rgb="FFD9D9D9"/>
      </top>
      <bottom style="thin">
        <color rgb="FFB7B7B7"/>
      </bottom>
    </border>
    <border>
      <right style="thin">
        <color rgb="FFCCCCCC"/>
      </right>
      <bottom style="thin">
        <color rgb="FFB7B7B7"/>
      </bottom>
    </border>
    <border>
      <right style="thin">
        <color rgb="FFCCCCCC"/>
      </right>
      <top style="thin">
        <color rgb="FFD9D9D9"/>
      </top>
      <bottom style="thin">
        <color rgb="FFB7B7B7"/>
      </bottom>
    </border>
    <border>
      <top style="thin">
        <color rgb="FFD9D9D9"/>
      </top>
      <bottom style="thin">
        <color rgb="FFB7B7B7"/>
      </bottom>
    </border>
    <border>
      <left style="thin">
        <color rgb="FFFFFFFF"/>
      </left>
      <right style="thin">
        <color rgb="FFD9D9D9"/>
      </right>
      <top style="thin">
        <color rgb="FFD9D9D9"/>
      </top>
    </border>
    <border>
      <left style="thin">
        <color rgb="FFFFFFFF"/>
      </left>
      <right style="thin">
        <color rgb="FFD9D9D9"/>
      </right>
      <bottom style="thin">
        <color rgb="FFD9D9D9"/>
      </bottom>
    </border>
    <border>
      <left style="thin">
        <color rgb="FF2F5496"/>
      </left>
      <top style="thin">
        <color rgb="FF1F3864"/>
      </top>
      <bottom style="thin">
        <color rgb="FF2F5496"/>
      </bottom>
    </border>
    <border>
      <top style="thin">
        <color rgb="FF1F3864"/>
      </top>
      <bottom style="thin">
        <color rgb="FF2F5496"/>
      </bottom>
    </border>
    <border>
      <right style="thin">
        <color rgb="FFFFFFFF"/>
      </right>
      <top style="thin">
        <color rgb="FFB7B7B7"/>
      </top>
      <bottom style="thin">
        <color rgb="FFD9D9D9"/>
      </bottom>
    </border>
    <border>
      <left style="thin">
        <color rgb="FFFFFFFF"/>
      </left>
      <top style="thin">
        <color rgb="FFD9D9D9"/>
      </top>
    </border>
    <border>
      <left style="thin">
        <color rgb="FFFFFFFF"/>
      </left>
      <right style="thin">
        <color rgb="FFD9D9D9"/>
      </right>
      <top style="thin">
        <color rgb="FFD9D9D9"/>
      </top>
      <bottom style="thin">
        <color rgb="FFD9D9D9"/>
      </bottom>
    </border>
    <border>
      <left style="thin">
        <color rgb="FFFFFFFF"/>
      </left>
      <top style="thin">
        <color rgb="FFD9D9D9"/>
      </top>
      <bottom style="thin">
        <color rgb="FFD9D9D9"/>
      </bottom>
    </border>
    <border>
      <left style="thin">
        <color rgb="FF7F6000"/>
      </left>
      <top style="thin">
        <color rgb="FF7F6000"/>
      </top>
      <bottom style="thin">
        <color rgb="FF7F6000"/>
      </bottom>
    </border>
    <border>
      <top style="thin">
        <color rgb="FF7F6000"/>
      </top>
      <bottom style="thin">
        <color rgb="FF7F6000"/>
      </bottom>
    </border>
    <border>
      <right style="thin">
        <color rgb="FF7F6000"/>
      </right>
      <top style="thin">
        <color rgb="FF7F6000"/>
      </top>
      <bottom style="thin">
        <color rgb="FF7F6000"/>
      </bottom>
    </border>
    <border>
      <left style="thin">
        <color rgb="FFFFFFFF"/>
      </left>
      <top style="thin">
        <color rgb="FFB7B7B7"/>
      </top>
    </border>
    <border>
      <left style="thin">
        <color rgb="FF000000"/>
      </left>
      <right style="thin">
        <color rgb="FF000000"/>
      </right>
      <top style="thin">
        <color rgb="FF000000"/>
      </top>
      <bottom style="thin">
        <color rgb="FF000000"/>
      </bottom>
    </border>
    <border>
      <right style="thin">
        <color rgb="FF000000"/>
      </right>
      <top style="thin">
        <color rgb="FF000000"/>
      </top>
      <bottom style="thin">
        <color rgb="FFCCCCCC"/>
      </bottom>
    </border>
    <border>
      <right style="thin">
        <color rgb="FFD9D9D9"/>
      </right>
      <bottom style="thin">
        <color rgb="FFCCCCCC"/>
      </bottom>
    </border>
    <border>
      <left style="thin">
        <color rgb="FFCCCCCC"/>
      </left>
      <right style="thin">
        <color rgb="FFD9D9D9"/>
      </right>
      <bottom style="thin">
        <color rgb="FFD9D9D9"/>
      </bottom>
    </border>
  </borders>
  <cellStyleXfs count="1">
    <xf borderId="0" fillId="0" fontId="0" numFmtId="0" applyAlignment="1" applyFont="1"/>
  </cellStyleXfs>
  <cellXfs count="1530">
    <xf borderId="0" fillId="0" fontId="0" numFmtId="0" xfId="0" applyAlignment="1" applyFont="1">
      <alignment readingOrder="0" shrinkToFit="0" vertical="bottom" wrapText="1"/>
    </xf>
    <xf borderId="1" fillId="0" fontId="1" numFmtId="0" xfId="0" applyAlignment="1" applyBorder="1" applyFont="1">
      <alignment horizontal="center" readingOrder="0" shrinkToFit="0" vertical="center" wrapText="1"/>
    </xf>
    <xf borderId="0" fillId="0" fontId="2" numFmtId="0" xfId="0" applyAlignment="1" applyFont="1">
      <alignment readingOrder="0" shrinkToFit="0" vertical="center" wrapText="1"/>
    </xf>
    <xf borderId="2" fillId="2" fontId="3" numFmtId="0" xfId="0" applyAlignment="1" applyBorder="1" applyFill="1" applyFont="1">
      <alignment horizontal="center" readingOrder="0" shrinkToFit="0" vertical="center" wrapText="1"/>
    </xf>
    <xf borderId="3" fillId="0" fontId="4" numFmtId="0" xfId="0" applyAlignment="1" applyBorder="1" applyFont="1">
      <alignment shrinkToFit="0" wrapText="1"/>
    </xf>
    <xf borderId="0" fillId="0" fontId="5" numFmtId="0" xfId="0" applyAlignment="1" applyFont="1">
      <alignment horizontal="center" readingOrder="0" shrinkToFit="0" vertical="center" wrapText="1"/>
    </xf>
    <xf borderId="0" fillId="0" fontId="6" numFmtId="0" xfId="0" applyAlignment="1" applyFont="1">
      <alignment horizontal="center" readingOrder="0" shrinkToFit="0" vertical="center" wrapText="1"/>
    </xf>
    <xf borderId="0" fillId="0" fontId="7" numFmtId="0" xfId="0" applyAlignment="1" applyFont="1">
      <alignment horizontal="center" readingOrder="0" shrinkToFit="0" vertical="top" wrapText="1"/>
    </xf>
    <xf borderId="4" fillId="0" fontId="8" numFmtId="0" xfId="0" applyAlignment="1" applyBorder="1" applyFont="1">
      <alignment horizontal="center" readingOrder="0" shrinkToFit="0" vertical="center" wrapText="1"/>
    </xf>
    <xf borderId="4" fillId="0" fontId="8" numFmtId="0" xfId="0" applyAlignment="1" applyBorder="1" applyFont="1">
      <alignment horizontal="left" readingOrder="0" shrinkToFit="0" vertical="center" wrapText="1"/>
    </xf>
    <xf borderId="4" fillId="0" fontId="9" numFmtId="0" xfId="0" applyAlignment="1" applyBorder="1" applyFont="1">
      <alignment readingOrder="0" shrinkToFit="0" vertical="center" wrapText="1"/>
    </xf>
    <xf borderId="4" fillId="0" fontId="10" numFmtId="0" xfId="0" applyAlignment="1" applyBorder="1" applyFont="1">
      <alignment horizontal="center" readingOrder="0" shrinkToFit="0" vertical="center" wrapText="1"/>
    </xf>
    <xf borderId="4" fillId="3" fontId="11" numFmtId="0" xfId="0" applyAlignment="1" applyBorder="1" applyFill="1" applyFont="1">
      <alignment horizontal="left" readingOrder="0" shrinkToFit="0" vertical="center" wrapText="1"/>
    </xf>
    <xf borderId="5" fillId="0" fontId="2" numFmtId="0" xfId="0" applyAlignment="1" applyBorder="1" applyFont="1">
      <alignment horizontal="center" readingOrder="0" shrinkToFit="0" vertical="center" wrapText="1"/>
    </xf>
    <xf borderId="6" fillId="0" fontId="4" numFmtId="0" xfId="0" applyAlignment="1" applyBorder="1" applyFont="1">
      <alignment shrinkToFit="0" wrapText="1"/>
    </xf>
    <xf borderId="4" fillId="2" fontId="12" numFmtId="0" xfId="0" applyAlignment="1" applyBorder="1" applyFont="1">
      <alignment horizontal="center" readingOrder="0" shrinkToFit="0" vertical="center" wrapText="1"/>
    </xf>
    <xf borderId="4" fillId="2" fontId="12" numFmtId="0" xfId="0" applyAlignment="1" applyBorder="1" applyFont="1">
      <alignment horizontal="left" readingOrder="0" shrinkToFit="0" vertical="center" wrapText="1"/>
    </xf>
    <xf borderId="4" fillId="4" fontId="13" numFmtId="0" xfId="0" applyAlignment="1" applyBorder="1" applyFill="1" applyFont="1">
      <alignment horizontal="center" shrinkToFit="0" vertical="center" wrapText="1"/>
    </xf>
    <xf borderId="4" fillId="0" fontId="14" numFmtId="0" xfId="0" applyAlignment="1" applyBorder="1" applyFont="1">
      <alignment readingOrder="0" shrinkToFit="0" vertical="center" wrapText="1"/>
    </xf>
    <xf borderId="4" fillId="4" fontId="13" numFmtId="0" xfId="0" applyAlignment="1" applyBorder="1" applyFont="1">
      <alignment horizontal="center" readingOrder="0" shrinkToFit="0" vertical="top" wrapText="1"/>
    </xf>
    <xf borderId="4" fillId="0" fontId="15" numFmtId="0" xfId="0" applyAlignment="1" applyBorder="1" applyFont="1">
      <alignment readingOrder="0" shrinkToFit="0" vertical="center" wrapText="1"/>
    </xf>
    <xf borderId="4" fillId="2" fontId="16" numFmtId="0" xfId="0" applyAlignment="1" applyBorder="1" applyFont="1">
      <alignment shrinkToFit="0" vertical="center" wrapText="1"/>
    </xf>
    <xf borderId="4" fillId="2" fontId="12" numFmtId="0" xfId="0" applyAlignment="1" applyBorder="1" applyFont="1">
      <alignment shrinkToFit="0" vertical="center" wrapText="1"/>
    </xf>
    <xf borderId="7" fillId="5" fontId="10" numFmtId="0" xfId="0" applyAlignment="1" applyBorder="1" applyFill="1" applyFont="1">
      <alignment horizontal="center" readingOrder="0" shrinkToFit="0" vertical="center" wrapText="1"/>
    </xf>
    <xf borderId="4" fillId="5" fontId="2" numFmtId="0" xfId="0" applyAlignment="1" applyBorder="1" applyFont="1">
      <alignment readingOrder="0" shrinkToFit="0" vertical="center" wrapText="1"/>
    </xf>
    <xf borderId="8" fillId="0" fontId="4" numFmtId="0" xfId="0" applyAlignment="1" applyBorder="1" applyFont="1">
      <alignment shrinkToFit="0" wrapText="1"/>
    </xf>
    <xf borderId="4" fillId="5" fontId="10" numFmtId="0" xfId="0" applyAlignment="1" applyBorder="1" applyFont="1">
      <alignment readingOrder="0" shrinkToFit="0" vertical="center" wrapText="1"/>
    </xf>
    <xf borderId="4" fillId="5" fontId="10" numFmtId="0" xfId="0" applyAlignment="1" applyBorder="1" applyFont="1">
      <alignment readingOrder="0" shrinkToFit="0" vertical="bottom" wrapText="1"/>
    </xf>
    <xf borderId="4" fillId="5" fontId="17" numFmtId="0" xfId="0" applyAlignment="1" applyBorder="1" applyFont="1">
      <alignment readingOrder="0" shrinkToFit="0" vertical="top" wrapText="1"/>
    </xf>
    <xf borderId="7" fillId="5" fontId="18" numFmtId="0" xfId="0" applyAlignment="1" applyBorder="1" applyFont="1">
      <alignment horizontal="center" shrinkToFit="0" vertical="center" wrapText="1"/>
    </xf>
    <xf borderId="7" fillId="5" fontId="19" numFmtId="0" xfId="0" applyAlignment="1" applyBorder="1" applyFont="1">
      <alignment shrinkToFit="0" vertical="center" wrapText="1"/>
    </xf>
    <xf borderId="7" fillId="0" fontId="10" numFmtId="0" xfId="0" applyAlignment="1" applyBorder="1" applyFont="1">
      <alignment horizontal="center" shrinkToFit="0" vertical="center" wrapText="1"/>
    </xf>
    <xf borderId="4" fillId="0" fontId="2" numFmtId="0" xfId="0" applyAlignment="1" applyBorder="1" applyFont="1">
      <alignment shrinkToFit="0" vertical="center" wrapText="1"/>
    </xf>
    <xf borderId="4" fillId="0" fontId="20" numFmtId="0" xfId="0" applyAlignment="1" applyBorder="1" applyFont="1">
      <alignment shrinkToFit="0" vertical="center" wrapText="1"/>
    </xf>
    <xf borderId="9" fillId="0" fontId="10" numFmtId="0" xfId="0" applyAlignment="1" applyBorder="1" applyFont="1">
      <alignment horizontal="center" readingOrder="0" shrinkToFit="0" vertical="center" wrapText="1"/>
    </xf>
    <xf borderId="4" fillId="0" fontId="2" numFmtId="0" xfId="0" applyAlignment="1" applyBorder="1" applyFont="1">
      <alignment readingOrder="0" shrinkToFit="0" vertical="center" wrapText="1"/>
    </xf>
    <xf borderId="10" fillId="0" fontId="4" numFmtId="0" xfId="0" applyAlignment="1" applyBorder="1" applyFont="1">
      <alignment shrinkToFit="0" wrapText="1"/>
    </xf>
    <xf borderId="9" fillId="0" fontId="10" numFmtId="0" xfId="0" applyAlignment="1" applyBorder="1" applyFont="1">
      <alignment horizontal="center" shrinkToFit="0" vertical="center" wrapText="1"/>
    </xf>
    <xf borderId="4" fillId="0" fontId="10" numFmtId="0" xfId="0" applyAlignment="1" applyBorder="1" applyFont="1">
      <alignment horizontal="center" shrinkToFit="0" vertical="center" wrapText="1"/>
    </xf>
    <xf borderId="4" fillId="0" fontId="21" numFmtId="0" xfId="0" applyAlignment="1" applyBorder="1" applyFont="1">
      <alignment shrinkToFit="0" vertical="center" wrapText="1"/>
    </xf>
    <xf borderId="4" fillId="2" fontId="10" numFmtId="0" xfId="0" applyAlignment="1" applyBorder="1" applyFont="1">
      <alignment horizontal="center" shrinkToFit="0" vertical="center" wrapText="1"/>
    </xf>
    <xf borderId="4" fillId="2" fontId="22" numFmtId="0" xfId="0" applyAlignment="1" applyBorder="1" applyFont="1">
      <alignment shrinkToFit="0" vertical="center" wrapText="1"/>
    </xf>
    <xf borderId="4" fillId="0" fontId="10" numFmtId="0" xfId="0" applyAlignment="1" applyBorder="1" applyFont="1">
      <alignment horizontal="center" shrinkToFit="0" wrapText="1"/>
    </xf>
    <xf borderId="0" fillId="0" fontId="2" numFmtId="0" xfId="0" applyAlignment="1" applyFont="1">
      <alignment shrinkToFit="0" wrapText="1"/>
    </xf>
    <xf borderId="4" fillId="0" fontId="16" numFmtId="0" xfId="0" applyAlignment="1" applyBorder="1" applyFont="1">
      <alignment shrinkToFit="0" vertical="center" wrapText="1"/>
    </xf>
    <xf borderId="4" fillId="0" fontId="10" numFmtId="0" xfId="0" applyAlignment="1" applyBorder="1" applyFont="1">
      <alignment shrinkToFit="0" vertical="center" wrapText="1"/>
    </xf>
    <xf borderId="0" fillId="0" fontId="16" numFmtId="0" xfId="0" applyAlignment="1" applyFont="1">
      <alignment shrinkToFit="0" vertical="center" wrapText="1"/>
    </xf>
    <xf borderId="0" fillId="0" fontId="10" numFmtId="0" xfId="0" applyAlignment="1" applyFont="1">
      <alignment shrinkToFit="0" vertical="center" wrapText="1"/>
    </xf>
    <xf borderId="0" fillId="0" fontId="23" numFmtId="0" xfId="0" applyAlignment="1" applyFont="1">
      <alignment readingOrder="0" shrinkToFit="0" wrapText="1"/>
    </xf>
    <xf borderId="11" fillId="6" fontId="24" numFmtId="164" xfId="0" applyAlignment="1" applyBorder="1" applyFill="1" applyFont="1" applyNumberFormat="1">
      <alignment horizontal="center" shrinkToFit="0" vertical="center" wrapText="1"/>
    </xf>
    <xf borderId="12" fillId="0" fontId="4" numFmtId="0" xfId="0" applyAlignment="1" applyBorder="1" applyFont="1">
      <alignment shrinkToFit="0" wrapText="1"/>
    </xf>
    <xf borderId="13" fillId="0" fontId="4" numFmtId="0" xfId="0" applyAlignment="1" applyBorder="1" applyFont="1">
      <alignment shrinkToFit="0" wrapText="1"/>
    </xf>
    <xf borderId="0" fillId="0" fontId="25" numFmtId="0" xfId="0" applyAlignment="1" applyFont="1">
      <alignment readingOrder="0" shrinkToFit="0" wrapText="1"/>
    </xf>
    <xf borderId="14" fillId="6" fontId="26" numFmtId="0" xfId="0" applyAlignment="1" applyBorder="1" applyFont="1">
      <alignment horizontal="center" readingOrder="0" shrinkToFit="0" vertical="center" wrapText="1"/>
    </xf>
    <xf borderId="12" fillId="6" fontId="27" numFmtId="0" xfId="0" applyAlignment="1" applyBorder="1" applyFont="1">
      <alignment horizontal="center" readingOrder="0" shrinkToFit="0" vertical="center" wrapText="1"/>
    </xf>
    <xf borderId="12" fillId="6" fontId="28" numFmtId="0" xfId="0" applyAlignment="1" applyBorder="1" applyFont="1">
      <alignment horizontal="center" readingOrder="0" shrinkToFit="0" vertical="center" wrapText="1"/>
    </xf>
    <xf borderId="0" fillId="0" fontId="4" numFmtId="0" xfId="0" applyAlignment="1" applyFont="1">
      <alignment shrinkToFit="0" wrapText="1"/>
    </xf>
    <xf borderId="11" fillId="6" fontId="29" numFmtId="0" xfId="0" applyAlignment="1" applyBorder="1" applyFont="1">
      <alignment horizontal="center" readingOrder="0" shrinkToFit="0" vertical="center" wrapText="1"/>
    </xf>
    <xf borderId="0" fillId="7" fontId="30" numFmtId="0" xfId="0" applyAlignment="1" applyFill="1" applyFont="1">
      <alignment horizontal="right" shrinkToFit="0" wrapText="1"/>
    </xf>
    <xf borderId="0" fillId="5" fontId="31" numFmtId="0" xfId="0" applyAlignment="1" applyFont="1">
      <alignment horizontal="center" shrinkToFit="0" vertical="center" wrapText="1"/>
    </xf>
    <xf borderId="0" fillId="5" fontId="32" numFmtId="0" xfId="0" applyAlignment="1" applyFont="1">
      <alignment horizontal="center" shrinkToFit="0" vertical="center" wrapText="1"/>
    </xf>
    <xf borderId="0" fillId="5" fontId="32" numFmtId="4" xfId="0" applyAlignment="1" applyFont="1" applyNumberFormat="1">
      <alignment horizontal="center" shrinkToFit="0" vertical="center" wrapText="1"/>
    </xf>
    <xf borderId="0" fillId="5" fontId="33" numFmtId="0" xfId="0" applyAlignment="1" applyFont="1">
      <alignment horizontal="center" shrinkToFit="0" wrapText="1"/>
    </xf>
    <xf borderId="0" fillId="5" fontId="4" numFmtId="0" xfId="0" applyAlignment="1" applyFont="1">
      <alignment shrinkToFit="0" wrapText="1"/>
    </xf>
    <xf borderId="0" fillId="5" fontId="4" numFmtId="4" xfId="0" applyAlignment="1" applyFont="1" applyNumberFormat="1">
      <alignment shrinkToFit="0" wrapText="1"/>
    </xf>
    <xf borderId="0" fillId="5" fontId="4" numFmtId="49" xfId="0" applyAlignment="1" applyFont="1" applyNumberFormat="1">
      <alignment shrinkToFit="0" wrapText="1"/>
    </xf>
    <xf borderId="0" fillId="7" fontId="33" numFmtId="0" xfId="0" applyAlignment="1" applyFont="1">
      <alignment horizontal="center" shrinkToFit="0" wrapText="1"/>
    </xf>
    <xf borderId="0" fillId="7" fontId="4" numFmtId="0" xfId="0" applyAlignment="1" applyFont="1">
      <alignment shrinkToFit="0" wrapText="1"/>
    </xf>
    <xf borderId="15" fillId="0" fontId="4" numFmtId="0" xfId="0" applyAlignment="1" applyBorder="1" applyFont="1">
      <alignment shrinkToFit="0" wrapText="1"/>
    </xf>
    <xf borderId="16" fillId="0" fontId="4" numFmtId="0" xfId="0" applyAlignment="1" applyBorder="1" applyFont="1">
      <alignment shrinkToFit="0" wrapText="1"/>
    </xf>
    <xf borderId="17" fillId="0" fontId="4" numFmtId="0" xfId="0" applyAlignment="1" applyBorder="1" applyFont="1">
      <alignment shrinkToFit="0" wrapText="1"/>
    </xf>
    <xf borderId="16" fillId="6" fontId="34" numFmtId="0" xfId="0" applyAlignment="1" applyBorder="1" applyFont="1">
      <alignment horizontal="center" readingOrder="0" shrinkToFit="0" vertical="center" wrapText="1"/>
    </xf>
    <xf borderId="0" fillId="5" fontId="35" numFmtId="0" xfId="0" applyAlignment="1" applyFont="1">
      <alignment horizontal="center" readingOrder="0" shrinkToFit="0" wrapText="1"/>
    </xf>
    <xf borderId="0" fillId="5" fontId="23" numFmtId="0" xfId="0" applyAlignment="1" applyFont="1">
      <alignment readingOrder="0" shrinkToFit="0" wrapText="1"/>
    </xf>
    <xf borderId="0" fillId="5" fontId="23" numFmtId="4" xfId="0" applyAlignment="1" applyFont="1" applyNumberFormat="1">
      <alignment readingOrder="0" shrinkToFit="0" wrapText="1"/>
    </xf>
    <xf borderId="0" fillId="5" fontId="23" numFmtId="49" xfId="0" applyAlignment="1" applyFont="1" applyNumberFormat="1">
      <alignment readingOrder="0" shrinkToFit="0" wrapText="1"/>
    </xf>
    <xf borderId="0" fillId="7" fontId="35" numFmtId="0" xfId="0" applyAlignment="1" applyFont="1">
      <alignment horizontal="center" readingOrder="0" shrinkToFit="0" wrapText="1"/>
    </xf>
    <xf borderId="0" fillId="7" fontId="23" numFmtId="0" xfId="0" applyAlignment="1" applyFont="1">
      <alignment readingOrder="0" shrinkToFit="0" wrapText="1"/>
    </xf>
    <xf borderId="14" fillId="0" fontId="36" numFmtId="0" xfId="0" applyAlignment="1" applyBorder="1" applyFont="1">
      <alignment horizontal="center" readingOrder="0" shrinkToFit="0" vertical="center" wrapText="1"/>
    </xf>
    <xf borderId="0" fillId="0" fontId="36" numFmtId="0" xfId="0" applyAlignment="1" applyFont="1">
      <alignment horizontal="center" readingOrder="0" shrinkToFit="0" vertical="center" wrapText="1"/>
    </xf>
    <xf borderId="0" fillId="0" fontId="37" numFmtId="0" xfId="0" applyAlignment="1" applyFont="1">
      <alignment shrinkToFit="0" wrapText="1"/>
    </xf>
    <xf borderId="0" fillId="8" fontId="38" numFmtId="0" xfId="0" applyAlignment="1" applyFill="1" applyFont="1">
      <alignment horizontal="center" shrinkToFit="0" vertical="center" wrapText="1"/>
    </xf>
    <xf borderId="0" fillId="8" fontId="38" numFmtId="0" xfId="0" applyAlignment="1" applyFont="1">
      <alignment horizontal="center" readingOrder="0" shrinkToFit="0" vertical="center" wrapText="1"/>
    </xf>
    <xf borderId="18" fillId="0" fontId="4" numFmtId="0" xfId="0" applyAlignment="1" applyBorder="1" applyFont="1">
      <alignment shrinkToFit="0" wrapText="1"/>
    </xf>
    <xf borderId="19" fillId="9" fontId="39" numFmtId="0" xfId="0" applyAlignment="1" applyBorder="1" applyFill="1" applyFont="1">
      <alignment horizontal="center" readingOrder="0" shrinkToFit="0" vertical="center" wrapText="1"/>
    </xf>
    <xf borderId="20" fillId="0" fontId="4" numFmtId="0" xfId="0" applyAlignment="1" applyBorder="1" applyFont="1">
      <alignment shrinkToFit="0" wrapText="1"/>
    </xf>
    <xf borderId="21" fillId="0" fontId="4" numFmtId="0" xfId="0" applyAlignment="1" applyBorder="1" applyFont="1">
      <alignment shrinkToFit="0" wrapText="1"/>
    </xf>
    <xf borderId="22" fillId="9" fontId="40" numFmtId="0" xfId="0" applyAlignment="1" applyBorder="1" applyFont="1">
      <alignment horizontal="center" readingOrder="0" shrinkToFit="0" vertical="center" wrapText="1"/>
    </xf>
    <xf borderId="23" fillId="9" fontId="41" numFmtId="0" xfId="0" applyAlignment="1" applyBorder="1" applyFont="1">
      <alignment horizontal="center" readingOrder="0" shrinkToFit="0" vertical="center" wrapText="1"/>
    </xf>
    <xf borderId="19" fillId="9" fontId="41" numFmtId="0" xfId="0" applyAlignment="1" applyBorder="1" applyFont="1">
      <alignment horizontal="left" shrinkToFit="0" vertical="center" wrapText="1"/>
    </xf>
    <xf borderId="24" fillId="9" fontId="41" numFmtId="0" xfId="0" applyAlignment="1" applyBorder="1" applyFont="1">
      <alignment horizontal="center" readingOrder="0" shrinkToFit="0" vertical="center" wrapText="1"/>
    </xf>
    <xf borderId="25" fillId="9" fontId="41" numFmtId="0" xfId="0" applyAlignment="1" applyBorder="1" applyFont="1">
      <alignment horizontal="left" shrinkToFit="0" vertical="center" wrapText="1"/>
    </xf>
    <xf borderId="26" fillId="0" fontId="4" numFmtId="0" xfId="0" applyAlignment="1" applyBorder="1" applyFont="1">
      <alignment shrinkToFit="0" wrapText="1"/>
    </xf>
    <xf borderId="20" fillId="9" fontId="41" numFmtId="0" xfId="0" applyAlignment="1" applyBorder="1" applyFont="1">
      <alignment horizontal="center" readingOrder="0" shrinkToFit="0" vertical="center" wrapText="1"/>
    </xf>
    <xf borderId="27" fillId="6" fontId="42" numFmtId="0" xfId="0" applyAlignment="1" applyBorder="1" applyFont="1">
      <alignment horizontal="center" readingOrder="0" shrinkToFit="0" vertical="center" wrapText="1"/>
    </xf>
    <xf borderId="27" fillId="6" fontId="42" numFmtId="0" xfId="0" applyAlignment="1" applyBorder="1" applyFont="1">
      <alignment horizontal="center" shrinkToFit="0" vertical="center" wrapText="1"/>
    </xf>
    <xf borderId="28" fillId="6" fontId="42" numFmtId="0" xfId="0" applyAlignment="1" applyBorder="1" applyFont="1">
      <alignment horizontal="center" readingOrder="0" shrinkToFit="0" vertical="center" wrapText="1"/>
    </xf>
    <xf borderId="29" fillId="3" fontId="43" numFmtId="0" xfId="0" applyAlignment="1" applyBorder="1" applyFont="1">
      <alignment horizontal="center" readingOrder="0" shrinkToFit="0" vertical="center" wrapText="1"/>
    </xf>
    <xf borderId="0" fillId="10" fontId="44" numFmtId="10" xfId="0" applyAlignment="1" applyFill="1" applyFont="1" applyNumberFormat="1">
      <alignment horizontal="center" readingOrder="0" shrinkToFit="0" vertical="center" wrapText="1"/>
    </xf>
    <xf borderId="0" fillId="10" fontId="44" numFmtId="0" xfId="0" applyAlignment="1" applyFont="1">
      <alignment horizontal="center" readingOrder="0" shrinkToFit="0" vertical="center" wrapText="1"/>
    </xf>
    <xf quotePrefix="1" borderId="0" fillId="10" fontId="44" numFmtId="0" xfId="0" applyAlignment="1" applyFont="1">
      <alignment horizontal="center" readingOrder="0" shrinkToFit="0" vertical="center" wrapText="1"/>
    </xf>
    <xf borderId="0" fillId="10" fontId="44" numFmtId="4" xfId="0" applyAlignment="1" applyFont="1" applyNumberFormat="1">
      <alignment horizontal="center" readingOrder="0" shrinkToFit="0" vertical="center" wrapText="1"/>
    </xf>
    <xf borderId="14" fillId="6" fontId="45" numFmtId="0" xfId="0" applyAlignment="1" applyBorder="1" applyFont="1">
      <alignment horizontal="center" readingOrder="0" shrinkToFit="0" vertical="center" wrapText="1"/>
    </xf>
    <xf borderId="14" fillId="6" fontId="46" numFmtId="0" xfId="0" applyAlignment="1" applyBorder="1" applyFont="1">
      <alignment horizontal="center" shrinkToFit="0" vertical="center" wrapText="1"/>
    </xf>
    <xf borderId="18" fillId="6" fontId="47" numFmtId="0" xfId="0" applyAlignment="1" applyBorder="1" applyFont="1">
      <alignment horizontal="center" shrinkToFit="0" vertical="bottom" wrapText="1"/>
    </xf>
    <xf borderId="0" fillId="6" fontId="46" numFmtId="0" xfId="0" applyAlignment="1" applyFont="1">
      <alignment horizontal="center" readingOrder="0" shrinkToFit="0" vertical="center" wrapText="1"/>
    </xf>
    <xf borderId="14" fillId="6" fontId="46" numFmtId="0" xfId="0" applyAlignment="1" applyBorder="1" applyFont="1">
      <alignment horizontal="center" readingOrder="0" shrinkToFit="0" vertical="center" wrapText="1"/>
    </xf>
    <xf borderId="30" fillId="11" fontId="42" numFmtId="0" xfId="0" applyAlignment="1" applyBorder="1" applyFill="1" applyFont="1">
      <alignment horizontal="center" readingOrder="0" shrinkToFit="0" vertical="center" wrapText="1"/>
    </xf>
    <xf borderId="27" fillId="0" fontId="30" numFmtId="3" xfId="0" applyAlignment="1" applyBorder="1" applyFont="1" applyNumberFormat="1">
      <alignment horizontal="center" shrinkToFit="0" vertical="center" wrapText="1"/>
    </xf>
    <xf borderId="27" fillId="12" fontId="48" numFmtId="10" xfId="0" applyAlignment="1" applyBorder="1" applyFill="1" applyFont="1" applyNumberFormat="1">
      <alignment horizontal="center" readingOrder="0" shrinkToFit="0" vertical="center" wrapText="1"/>
    </xf>
    <xf borderId="28" fillId="0" fontId="49" numFmtId="4" xfId="0" applyAlignment="1" applyBorder="1" applyFont="1" applyNumberFormat="1">
      <alignment horizontal="center" shrinkToFit="0" vertical="center" wrapText="1"/>
    </xf>
    <xf borderId="30" fillId="0" fontId="4" numFmtId="0" xfId="0" applyAlignment="1" applyBorder="1" applyFont="1">
      <alignment shrinkToFit="0" wrapText="1"/>
    </xf>
    <xf borderId="31" fillId="13" fontId="50" numFmtId="0" xfId="0" applyAlignment="1" applyBorder="1" applyFill="1" applyFont="1">
      <alignment horizontal="center" readingOrder="0" shrinkToFit="0" vertical="center" wrapText="1"/>
    </xf>
    <xf borderId="14" fillId="0" fontId="4" numFmtId="0" xfId="0" applyAlignment="1" applyBorder="1" applyFont="1">
      <alignment shrinkToFit="0" wrapText="1"/>
    </xf>
    <xf borderId="32" fillId="6" fontId="47" numFmtId="0" xfId="0" applyAlignment="1" applyBorder="1" applyFont="1">
      <alignment horizontal="center" shrinkToFit="0" wrapText="1"/>
    </xf>
    <xf borderId="18" fillId="6" fontId="47" numFmtId="0" xfId="0" applyAlignment="1" applyBorder="1" applyFont="1">
      <alignment horizontal="center" shrinkToFit="0" wrapText="1"/>
    </xf>
    <xf borderId="18" fillId="6" fontId="47" numFmtId="0" xfId="0" applyAlignment="1" applyBorder="1" applyFont="1">
      <alignment horizontal="center" readingOrder="0" shrinkToFit="0" wrapText="1"/>
    </xf>
    <xf borderId="31" fillId="0" fontId="51" numFmtId="0" xfId="0" applyAlignment="1" applyBorder="1" applyFont="1">
      <alignment horizontal="center" readingOrder="0" shrinkToFit="0" vertical="center" wrapText="1"/>
    </xf>
    <xf borderId="18" fillId="10" fontId="52" numFmtId="165" xfId="0" applyAlignment="1" applyBorder="1" applyFont="1" applyNumberFormat="1">
      <alignment horizontal="center" shrinkToFit="0" vertical="center" wrapText="1"/>
    </xf>
    <xf borderId="18" fillId="10" fontId="52" numFmtId="166" xfId="0" applyAlignment="1" applyBorder="1" applyFont="1" applyNumberFormat="1">
      <alignment horizontal="center" readingOrder="0" shrinkToFit="0" vertical="center" wrapText="1"/>
    </xf>
    <xf borderId="18" fillId="10" fontId="52" numFmtId="167" xfId="0" applyAlignment="1" applyBorder="1" applyFont="1" applyNumberFormat="1">
      <alignment horizontal="center" readingOrder="0" shrinkToFit="0" vertical="center" wrapText="1"/>
    </xf>
    <xf borderId="27" fillId="0" fontId="30" numFmtId="168" xfId="0" applyAlignment="1" applyBorder="1" applyFont="1" applyNumberFormat="1">
      <alignment horizontal="center" shrinkToFit="0" vertical="center" wrapText="1"/>
    </xf>
    <xf borderId="0" fillId="0" fontId="10" numFmtId="4" xfId="0" applyAlignment="1" applyFont="1" applyNumberFormat="1">
      <alignment horizontal="center" shrinkToFit="0" vertical="center" wrapText="1"/>
    </xf>
    <xf borderId="0" fillId="0" fontId="10" numFmtId="169" xfId="0" applyAlignment="1" applyFont="1" applyNumberFormat="1">
      <alignment horizontal="center" shrinkToFit="0" vertical="center" wrapText="1"/>
    </xf>
    <xf borderId="0" fillId="6" fontId="29" numFmtId="0" xfId="0" applyAlignment="1" applyFont="1">
      <alignment horizontal="center" readingOrder="0" shrinkToFit="0" vertical="center" wrapText="1"/>
    </xf>
    <xf borderId="0" fillId="6" fontId="53" numFmtId="0" xfId="0" applyAlignment="1" applyFont="1">
      <alignment horizontal="center" readingOrder="0" shrinkToFit="0" vertical="center" wrapText="1"/>
    </xf>
    <xf borderId="11" fillId="14" fontId="29" numFmtId="0" xfId="0" applyAlignment="1" applyBorder="1" applyFill="1" applyFont="1">
      <alignment horizontal="center" readingOrder="0" shrinkToFit="0" vertical="center" wrapText="1"/>
    </xf>
    <xf borderId="12" fillId="14" fontId="27" numFmtId="0" xfId="0" applyAlignment="1" applyBorder="1" applyFont="1">
      <alignment horizontal="left" readingOrder="0" shrinkToFit="0" vertical="center" wrapText="1"/>
    </xf>
    <xf borderId="13" fillId="14" fontId="41" numFmtId="0" xfId="0" applyAlignment="1" applyBorder="1" applyFont="1">
      <alignment horizontal="center" readingOrder="0" shrinkToFit="0" vertical="center" wrapText="1"/>
    </xf>
    <xf borderId="33" fillId="14" fontId="36" numFmtId="0" xfId="0" applyAlignment="1" applyBorder="1" applyFont="1">
      <alignment horizontal="center" readingOrder="0" shrinkToFit="0" vertical="center" wrapText="1"/>
    </xf>
    <xf borderId="33" fillId="14" fontId="54" numFmtId="0" xfId="0" applyAlignment="1" applyBorder="1" applyFont="1">
      <alignment horizontal="center" shrinkToFit="0" vertical="center" wrapText="1"/>
    </xf>
    <xf borderId="30" fillId="6" fontId="42" numFmtId="0" xfId="0" applyAlignment="1" applyBorder="1" applyFont="1">
      <alignment horizontal="center" readingOrder="0" shrinkToFit="0" vertical="center" wrapText="1"/>
    </xf>
    <xf borderId="0" fillId="2" fontId="55" numFmtId="0" xfId="0" applyAlignment="1" applyFont="1">
      <alignment horizontal="center" readingOrder="0" shrinkToFit="0" vertical="center" wrapText="0"/>
    </xf>
    <xf borderId="32" fillId="0" fontId="4" numFmtId="0" xfId="0" applyAlignment="1" applyBorder="1" applyFont="1">
      <alignment shrinkToFit="0" wrapText="1"/>
    </xf>
    <xf borderId="34" fillId="0" fontId="2" numFmtId="4" xfId="0" applyAlignment="1" applyBorder="1" applyFont="1" applyNumberFormat="1">
      <alignment horizontal="center" shrinkToFit="0" vertical="center" wrapText="1"/>
    </xf>
    <xf borderId="35" fillId="0" fontId="4" numFmtId="0" xfId="0" applyAlignment="1" applyBorder="1" applyFont="1">
      <alignment shrinkToFit="0" wrapText="1"/>
    </xf>
    <xf borderId="36" fillId="0" fontId="4" numFmtId="0" xfId="0" applyAlignment="1" applyBorder="1" applyFont="1">
      <alignment shrinkToFit="0" wrapText="1"/>
    </xf>
    <xf borderId="15" fillId="14" fontId="54" numFmtId="0" xfId="0" applyAlignment="1" applyBorder="1" applyFont="1">
      <alignment horizontal="center" readingOrder="0" shrinkToFit="0" vertical="center" wrapText="1"/>
    </xf>
    <xf borderId="37" fillId="15" fontId="36" numFmtId="9" xfId="0" applyAlignment="1" applyBorder="1" applyFill="1" applyFont="1" applyNumberFormat="1">
      <alignment horizontal="center" readingOrder="0" shrinkToFit="0" vertical="center" wrapText="1"/>
    </xf>
    <xf borderId="0" fillId="16" fontId="43" numFmtId="169" xfId="0" applyAlignment="1" applyFill="1" applyFont="1" applyNumberFormat="1">
      <alignment horizontal="center" shrinkToFit="0" vertical="center" wrapText="1"/>
    </xf>
    <xf borderId="0" fillId="16" fontId="56" numFmtId="169" xfId="0" applyAlignment="1" applyFont="1" applyNumberFormat="1">
      <alignment horizontal="center" shrinkToFit="0" vertical="center" wrapText="1"/>
    </xf>
    <xf borderId="27" fillId="0" fontId="30" numFmtId="0" xfId="0" applyAlignment="1" applyBorder="1" applyFont="1">
      <alignment horizontal="center" shrinkToFit="0" vertical="center" wrapText="1"/>
    </xf>
    <xf borderId="38" fillId="0" fontId="4" numFmtId="0" xfId="0" applyAlignment="1" applyBorder="1" applyFont="1">
      <alignment shrinkToFit="0" wrapText="1"/>
    </xf>
    <xf borderId="39" fillId="0" fontId="4" numFmtId="0" xfId="0" applyAlignment="1" applyBorder="1" applyFont="1">
      <alignment shrinkToFit="0" wrapText="1"/>
    </xf>
    <xf borderId="40" fillId="0" fontId="4" numFmtId="0" xfId="0" applyAlignment="1" applyBorder="1" applyFont="1">
      <alignment shrinkToFit="0" wrapText="1"/>
    </xf>
    <xf borderId="41" fillId="0" fontId="4" numFmtId="0" xfId="0" applyAlignment="1" applyBorder="1" applyFont="1">
      <alignment shrinkToFit="0" wrapText="1"/>
    </xf>
    <xf borderId="31" fillId="13" fontId="50" numFmtId="0" xfId="0" applyAlignment="1" applyBorder="1" applyFont="1">
      <alignment horizontal="center" readingOrder="0" shrinkToFit="0" wrapText="1"/>
    </xf>
    <xf borderId="42" fillId="15" fontId="36" numFmtId="165" xfId="0" applyAlignment="1" applyBorder="1" applyFont="1" applyNumberFormat="1">
      <alignment horizontal="center" readingOrder="0" shrinkToFit="0" vertical="center" wrapText="1"/>
    </xf>
    <xf borderId="43" fillId="2" fontId="43" numFmtId="165" xfId="0" applyAlignment="1" applyBorder="1" applyFont="1" applyNumberFormat="1">
      <alignment horizontal="center" shrinkToFit="0" vertical="center" wrapText="1"/>
    </xf>
    <xf borderId="34" fillId="0" fontId="2" numFmtId="0" xfId="0" applyAlignment="1" applyBorder="1" applyFont="1">
      <alignment horizontal="center" shrinkToFit="0" vertical="center" wrapText="1"/>
    </xf>
    <xf borderId="0" fillId="0" fontId="32" numFmtId="0" xfId="0" applyAlignment="1" applyFont="1">
      <alignment shrinkToFit="0" wrapText="1"/>
    </xf>
    <xf borderId="16" fillId="0" fontId="57" numFmtId="0" xfId="0" applyAlignment="1" applyBorder="1" applyFont="1">
      <alignment horizontal="center" shrinkToFit="0" vertical="center" wrapText="1"/>
    </xf>
    <xf borderId="16" fillId="0" fontId="57" numFmtId="3" xfId="0" applyAlignment="1" applyBorder="1" applyFont="1" applyNumberFormat="1">
      <alignment horizontal="center" shrinkToFit="0" vertical="center" wrapText="1"/>
    </xf>
    <xf borderId="16" fillId="0" fontId="58" numFmtId="0" xfId="0" applyAlignment="1" applyBorder="1" applyFont="1">
      <alignment horizontal="center" shrinkToFit="0" vertical="center" wrapText="1"/>
    </xf>
    <xf borderId="0" fillId="0" fontId="4" numFmtId="170" xfId="0" applyAlignment="1" applyFont="1" applyNumberFormat="1">
      <alignment horizontal="center" shrinkToFit="0" vertical="center" wrapText="1"/>
    </xf>
    <xf borderId="0" fillId="0" fontId="4" numFmtId="0" xfId="0" applyAlignment="1" applyFont="1">
      <alignment horizontal="center" shrinkToFit="0" vertical="center" wrapText="1"/>
    </xf>
    <xf borderId="44" fillId="0" fontId="4" numFmtId="0" xfId="0" applyAlignment="1" applyBorder="1" applyFont="1">
      <alignment shrinkToFit="0" wrapText="1"/>
    </xf>
    <xf borderId="45" fillId="0" fontId="4" numFmtId="0" xfId="0" applyAlignment="1" applyBorder="1" applyFont="1">
      <alignment shrinkToFit="0" wrapText="1"/>
    </xf>
    <xf borderId="14" fillId="14" fontId="54" numFmtId="0" xfId="0" applyAlignment="1" applyBorder="1" applyFont="1">
      <alignment horizontal="center" readingOrder="0" shrinkToFit="0" vertical="center" wrapText="1"/>
    </xf>
    <xf borderId="46" fillId="15" fontId="36" numFmtId="171" xfId="0" applyAlignment="1" applyBorder="1" applyFont="1" applyNumberFormat="1">
      <alignment horizontal="center" shrinkToFit="0" vertical="center" wrapText="1"/>
    </xf>
    <xf borderId="47" fillId="2" fontId="51" numFmtId="171" xfId="0" applyAlignment="1" applyBorder="1" applyFont="1" applyNumberFormat="1">
      <alignment horizontal="center" shrinkToFit="0" vertical="center" wrapText="1"/>
    </xf>
    <xf borderId="0" fillId="7" fontId="30" numFmtId="0" xfId="0" applyAlignment="1" applyFont="1">
      <alignment horizontal="right" readingOrder="0" shrinkToFit="0" wrapText="1"/>
    </xf>
    <xf borderId="48" fillId="15" fontId="36" numFmtId="169" xfId="0" applyAlignment="1" applyBorder="1" applyFont="1" applyNumberFormat="1">
      <alignment horizontal="center" shrinkToFit="0" vertical="center" wrapText="1"/>
    </xf>
    <xf borderId="49" fillId="2" fontId="51" numFmtId="169" xfId="0" applyAlignment="1" applyBorder="1" applyFont="1" applyNumberFormat="1">
      <alignment horizontal="center" shrinkToFit="0" vertical="center" wrapText="1"/>
    </xf>
    <xf borderId="18" fillId="10" fontId="44" numFmtId="10" xfId="0" applyAlignment="1" applyBorder="1" applyFont="1" applyNumberFormat="1">
      <alignment horizontal="center" readingOrder="0" shrinkToFit="0" vertical="center" wrapText="1"/>
    </xf>
    <xf borderId="18" fillId="10" fontId="44" numFmtId="4" xfId="0" applyAlignment="1" applyBorder="1" applyFont="1" applyNumberFormat="1">
      <alignment horizontal="center" readingOrder="0" shrinkToFit="0" vertical="center" wrapText="1"/>
    </xf>
    <xf borderId="0" fillId="0" fontId="59" numFmtId="4" xfId="0" applyAlignment="1" applyFont="1" applyNumberFormat="1">
      <alignment horizontal="center" shrinkToFit="0" vertical="center" wrapText="1"/>
    </xf>
    <xf borderId="0" fillId="0" fontId="60" numFmtId="0" xfId="0" applyAlignment="1" applyFont="1">
      <alignment horizontal="center" readingOrder="0" shrinkToFit="0" vertical="center" wrapText="1"/>
    </xf>
    <xf borderId="0" fillId="0" fontId="23" numFmtId="0" xfId="0" applyAlignment="1" applyFont="1">
      <alignment shrinkToFit="0" wrapText="1"/>
    </xf>
    <xf borderId="29" fillId="17" fontId="40" numFmtId="0" xfId="0" applyAlignment="1" applyBorder="1" applyFill="1" applyFont="1">
      <alignment horizontal="center" readingOrder="0" shrinkToFit="0" vertical="center" wrapText="1"/>
    </xf>
    <xf borderId="29" fillId="0" fontId="4" numFmtId="0" xfId="0" applyAlignment="1" applyBorder="1" applyFont="1">
      <alignment shrinkToFit="0" wrapText="1"/>
    </xf>
    <xf borderId="50" fillId="3" fontId="43" numFmtId="49" xfId="0" applyAlignment="1" applyBorder="1" applyFont="1" applyNumberFormat="1">
      <alignment horizontal="center" readingOrder="0" shrinkToFit="0" vertical="center" wrapText="1"/>
    </xf>
    <xf borderId="51" fillId="0" fontId="4" numFmtId="0" xfId="0" applyAlignment="1" applyBorder="1" applyFont="1">
      <alignment shrinkToFit="0" wrapText="1"/>
    </xf>
    <xf borderId="0" fillId="0" fontId="25" numFmtId="0" xfId="0" applyAlignment="1" applyFont="1">
      <alignment shrinkToFit="0" wrapText="1"/>
    </xf>
    <xf borderId="14" fillId="6" fontId="29" numFmtId="0" xfId="0" applyAlignment="1" applyBorder="1" applyFont="1">
      <alignment horizontal="center" readingOrder="0" shrinkToFit="0" vertical="center" wrapText="1"/>
    </xf>
    <xf borderId="0" fillId="6" fontId="27" numFmtId="0" xfId="0" applyAlignment="1" applyFont="1">
      <alignment horizontal="left" readingOrder="0" shrinkToFit="0" vertical="center" wrapText="1"/>
    </xf>
    <xf borderId="52" fillId="6" fontId="4" numFmtId="0" xfId="0" applyAlignment="1" applyBorder="1" applyFont="1">
      <alignment horizontal="center" readingOrder="0" shrinkToFit="0" vertical="center" wrapText="1"/>
    </xf>
    <xf borderId="53" fillId="6" fontId="4" numFmtId="0" xfId="0" applyAlignment="1" applyBorder="1" applyFont="1">
      <alignment horizontal="center" readingOrder="0" shrinkToFit="0" vertical="center" wrapText="1"/>
    </xf>
    <xf borderId="32" fillId="6" fontId="4" numFmtId="0" xfId="0" applyAlignment="1" applyBorder="1" applyFont="1">
      <alignment horizontal="center" readingOrder="0" shrinkToFit="0" vertical="center" wrapText="1"/>
    </xf>
    <xf borderId="54" fillId="18" fontId="61" numFmtId="0" xfId="0" applyAlignment="1" applyBorder="1" applyFill="1" applyFont="1">
      <alignment horizontal="center" readingOrder="0" shrinkToFit="0" vertical="center" wrapText="1"/>
    </xf>
    <xf borderId="52" fillId="0" fontId="4" numFmtId="0" xfId="0" applyAlignment="1" applyBorder="1" applyFont="1">
      <alignment shrinkToFit="0" wrapText="1"/>
    </xf>
    <xf borderId="55" fillId="18" fontId="61" numFmtId="0" xfId="0" applyAlignment="1" applyBorder="1" applyFont="1">
      <alignment horizontal="center" readingOrder="0" shrinkToFit="0" vertical="center" wrapText="1"/>
    </xf>
    <xf borderId="52" fillId="18" fontId="61" numFmtId="0" xfId="0" applyAlignment="1" applyBorder="1" applyFont="1">
      <alignment horizontal="center" readingOrder="0" shrinkToFit="0" vertical="center" wrapText="1"/>
    </xf>
    <xf borderId="53" fillId="18" fontId="61" numFmtId="0" xfId="0" applyAlignment="1" applyBorder="1" applyFont="1">
      <alignment horizontal="center" readingOrder="0" shrinkToFit="0" vertical="center" wrapText="1"/>
    </xf>
    <xf borderId="56" fillId="18" fontId="61" numFmtId="0" xfId="0" applyAlignment="1" applyBorder="1" applyFont="1">
      <alignment horizontal="center" readingOrder="0" shrinkToFit="0" vertical="center" wrapText="1"/>
    </xf>
    <xf borderId="0" fillId="7" fontId="4" numFmtId="0" xfId="0" applyAlignment="1" applyFont="1">
      <alignment shrinkToFit="0" wrapText="1"/>
    </xf>
    <xf borderId="57" fillId="2" fontId="43" numFmtId="4" xfId="0" applyAlignment="1" applyBorder="1" applyFont="1" applyNumberFormat="1">
      <alignment horizontal="center" readingOrder="0" shrinkToFit="0" textRotation="90" vertical="center" wrapText="1"/>
    </xf>
    <xf borderId="17" fillId="6" fontId="41" numFmtId="0" xfId="0" applyAlignment="1" applyBorder="1" applyFont="1">
      <alignment horizontal="center" readingOrder="0" shrinkToFit="0" vertical="center" wrapText="1"/>
    </xf>
    <xf borderId="17" fillId="6" fontId="36" numFmtId="0" xfId="0" applyAlignment="1" applyBorder="1" applyFont="1">
      <alignment horizontal="center" readingOrder="0" shrinkToFit="0" vertical="center" wrapText="1"/>
    </xf>
    <xf borderId="58" fillId="18" fontId="61" numFmtId="0" xfId="0" applyAlignment="1" applyBorder="1" applyFont="1">
      <alignment horizontal="center" readingOrder="0" shrinkToFit="0" vertical="center" wrapText="1"/>
    </xf>
    <xf borderId="59" fillId="0" fontId="4" numFmtId="0" xfId="0" applyAlignment="1" applyBorder="1" applyFont="1">
      <alignment shrinkToFit="0" wrapText="1"/>
    </xf>
    <xf borderId="30" fillId="3" fontId="62" numFmtId="0" xfId="0" applyAlignment="1" applyBorder="1" applyFont="1">
      <alignment horizontal="center" readingOrder="0" shrinkToFit="0" vertical="center" wrapText="1"/>
    </xf>
    <xf borderId="57" fillId="0" fontId="4" numFmtId="0" xfId="0" applyAlignment="1" applyBorder="1" applyFont="1">
      <alignment shrinkToFit="0" wrapText="1"/>
    </xf>
    <xf borderId="15" fillId="6" fontId="54" numFmtId="0" xfId="0" applyAlignment="1" applyBorder="1" applyFont="1">
      <alignment horizontal="center" readingOrder="0" shrinkToFit="0" vertical="center" wrapText="1"/>
    </xf>
    <xf borderId="60" fillId="15" fontId="36" numFmtId="169" xfId="0" applyAlignment="1" applyBorder="1" applyFont="1" applyNumberFormat="1">
      <alignment horizontal="center" readingOrder="0" shrinkToFit="0" vertical="center" wrapText="1"/>
    </xf>
    <xf borderId="61" fillId="19" fontId="61" numFmtId="0" xfId="0" applyAlignment="1" applyBorder="1" applyFill="1" applyFont="1">
      <alignment horizontal="center" readingOrder="0" shrinkToFit="0" vertical="center" wrapText="1"/>
    </xf>
    <xf borderId="43" fillId="20" fontId="63" numFmtId="4" xfId="0" applyAlignment="1" applyBorder="1" applyFill="1" applyFont="1" applyNumberFormat="1">
      <alignment horizontal="center" readingOrder="0" shrinkToFit="0" vertical="center" wrapText="1"/>
    </xf>
    <xf borderId="62" fillId="20" fontId="63" numFmtId="4" xfId="0" applyAlignment="1" applyBorder="1" applyFont="1" applyNumberFormat="1">
      <alignment horizontal="center" readingOrder="0" shrinkToFit="0" vertical="center" wrapText="1"/>
    </xf>
    <xf borderId="49" fillId="0" fontId="4" numFmtId="0" xfId="0" applyAlignment="1" applyBorder="1" applyFont="1">
      <alignment shrinkToFit="0" wrapText="1"/>
    </xf>
    <xf borderId="63" fillId="19" fontId="61" numFmtId="0" xfId="0" applyAlignment="1" applyBorder="1" applyFont="1">
      <alignment horizontal="center" readingOrder="0" shrinkToFit="0" vertical="center" wrapText="1"/>
    </xf>
    <xf borderId="34" fillId="0" fontId="59" numFmtId="4" xfId="0" applyAlignment="1" applyBorder="1" applyFont="1" applyNumberFormat="1">
      <alignment horizontal="center" shrinkToFit="0" vertical="center" wrapText="1"/>
    </xf>
    <xf borderId="64" fillId="15" fontId="36" numFmtId="169" xfId="0" applyAlignment="1" applyBorder="1" applyFont="1" applyNumberFormat="1">
      <alignment horizontal="center" readingOrder="0" shrinkToFit="0" vertical="center" wrapText="1"/>
    </xf>
    <xf borderId="0" fillId="0" fontId="64" numFmtId="0" xfId="0" applyAlignment="1" applyFont="1">
      <alignment shrinkToFit="0" wrapText="1"/>
    </xf>
    <xf borderId="0" fillId="0" fontId="30" numFmtId="0" xfId="0" applyAlignment="1" applyFont="1">
      <alignment shrinkToFit="0" wrapText="1"/>
    </xf>
    <xf borderId="0" fillId="0" fontId="65" numFmtId="0" xfId="0" applyAlignment="1" applyFont="1">
      <alignment horizontal="center" shrinkToFit="0" vertical="center" wrapText="1"/>
    </xf>
    <xf borderId="0" fillId="0" fontId="65" numFmtId="3" xfId="0" applyAlignment="1" applyFont="1" applyNumberFormat="1">
      <alignment horizontal="center" shrinkToFit="0" vertical="center" wrapText="1"/>
    </xf>
    <xf borderId="0" fillId="0" fontId="64" numFmtId="170" xfId="0" applyAlignment="1" applyFont="1" applyNumberFormat="1">
      <alignment horizontal="center" shrinkToFit="0" vertical="center" wrapText="1"/>
    </xf>
    <xf borderId="0" fillId="0" fontId="64" numFmtId="0" xfId="0" applyAlignment="1" applyFont="1">
      <alignment horizontal="center" shrinkToFit="0" vertical="center" wrapText="1"/>
    </xf>
    <xf borderId="0" fillId="5" fontId="30" numFmtId="0" xfId="0" applyAlignment="1" applyFont="1">
      <alignment horizontal="center" shrinkToFit="0" vertical="center" wrapText="1"/>
    </xf>
    <xf borderId="0" fillId="5" fontId="30" numFmtId="4" xfId="0" applyAlignment="1" applyFont="1" applyNumberFormat="1">
      <alignment horizontal="center" shrinkToFit="0" vertical="center" wrapText="1"/>
    </xf>
    <xf borderId="0" fillId="5" fontId="64" numFmtId="0" xfId="0" applyAlignment="1" applyFont="1">
      <alignment shrinkToFit="0" wrapText="1"/>
    </xf>
    <xf borderId="0" fillId="5" fontId="64" numFmtId="4" xfId="0" applyAlignment="1" applyFont="1" applyNumberFormat="1">
      <alignment shrinkToFit="0" wrapText="1"/>
    </xf>
    <xf borderId="0" fillId="5" fontId="64" numFmtId="49" xfId="0" applyAlignment="1" applyFont="1" applyNumberFormat="1">
      <alignment shrinkToFit="0" wrapText="1"/>
    </xf>
    <xf borderId="0" fillId="7" fontId="64" numFmtId="0" xfId="0" applyAlignment="1" applyFont="1">
      <alignment shrinkToFit="0" wrapText="1"/>
    </xf>
    <xf borderId="65" fillId="15" fontId="36" numFmtId="165" xfId="0" applyAlignment="1" applyBorder="1" applyFont="1" applyNumberFormat="1">
      <alignment horizontal="center" readingOrder="0" shrinkToFit="0" vertical="center" wrapText="1"/>
    </xf>
    <xf borderId="43" fillId="2" fontId="43" numFmtId="165" xfId="0" applyAlignment="1" applyBorder="1" applyFont="1" applyNumberFormat="1">
      <alignment horizontal="center" readingOrder="0" shrinkToFit="0" vertical="center" wrapText="1"/>
    </xf>
    <xf borderId="54" fillId="19" fontId="61" numFmtId="0" xfId="0" applyAlignment="1" applyBorder="1" applyFont="1">
      <alignment horizontal="center" readingOrder="0" shrinkToFit="0" vertical="center" wrapText="1"/>
    </xf>
    <xf borderId="66" fillId="0" fontId="4" numFmtId="0" xfId="0" applyAlignment="1" applyBorder="1" applyFont="1">
      <alignment shrinkToFit="0" wrapText="1"/>
    </xf>
    <xf borderId="67" fillId="15" fontId="36" numFmtId="165" xfId="0" applyAlignment="1" applyBorder="1" applyFont="1" applyNumberFormat="1">
      <alignment horizontal="center" shrinkToFit="0" vertical="center" wrapText="1"/>
    </xf>
    <xf borderId="68" fillId="0" fontId="4" numFmtId="0" xfId="0" applyAlignment="1" applyBorder="1" applyFont="1">
      <alignment shrinkToFit="0" wrapText="1"/>
    </xf>
    <xf borderId="69" fillId="19" fontId="61" numFmtId="0" xfId="0" applyAlignment="1" applyBorder="1" applyFont="1">
      <alignment horizontal="center" readingOrder="0" shrinkToFit="0" vertical="center" wrapText="1"/>
    </xf>
    <xf borderId="70" fillId="0" fontId="4" numFmtId="0" xfId="0" applyAlignment="1" applyBorder="1" applyFont="1">
      <alignment shrinkToFit="0" wrapText="1"/>
    </xf>
    <xf borderId="14" fillId="6" fontId="54" numFmtId="0" xfId="0" applyAlignment="1" applyBorder="1" applyFont="1">
      <alignment horizontal="center" shrinkToFit="0" vertical="center" wrapText="1"/>
    </xf>
    <xf borderId="47" fillId="2" fontId="66" numFmtId="171" xfId="0" applyAlignment="1" applyBorder="1" applyFont="1" applyNumberFormat="1">
      <alignment horizontal="center" readingOrder="0" shrinkToFit="0" vertical="center" wrapText="1"/>
    </xf>
    <xf borderId="47" fillId="2" fontId="51" numFmtId="171" xfId="0" applyAlignment="1" applyBorder="1" applyFont="1" applyNumberFormat="1">
      <alignment horizontal="center" readingOrder="0" shrinkToFit="0" vertical="center" wrapText="1"/>
    </xf>
    <xf borderId="47" fillId="20" fontId="63" numFmtId="4" xfId="0" applyAlignment="1" applyBorder="1" applyFont="1" applyNumberFormat="1">
      <alignment horizontal="center" readingOrder="0" shrinkToFit="0" vertical="center" wrapText="1"/>
    </xf>
    <xf borderId="71" fillId="20" fontId="63" numFmtId="4" xfId="0" applyAlignment="1" applyBorder="1" applyFont="1" applyNumberFormat="1">
      <alignment horizontal="center" readingOrder="0" shrinkToFit="0" vertical="center" wrapText="1"/>
    </xf>
    <xf borderId="0" fillId="5" fontId="4" numFmtId="0" xfId="0" applyAlignment="1" applyFont="1">
      <alignment shrinkToFit="0" wrapText="0"/>
    </xf>
    <xf borderId="67" fillId="15" fontId="36" numFmtId="169" xfId="0" applyAlignment="1" applyBorder="1" applyFont="1" applyNumberFormat="1">
      <alignment horizontal="center" shrinkToFit="0" vertical="center" wrapText="1"/>
    </xf>
    <xf borderId="49" fillId="2" fontId="51" numFmtId="169" xfId="0" applyAlignment="1" applyBorder="1" applyFont="1" applyNumberFormat="1">
      <alignment horizontal="center" readingOrder="0" shrinkToFit="0" vertical="center" wrapText="1"/>
    </xf>
    <xf borderId="72" fillId="0" fontId="4" numFmtId="0" xfId="0" applyAlignment="1" applyBorder="1" applyFont="1">
      <alignment shrinkToFit="0" wrapText="1"/>
    </xf>
    <xf borderId="73" fillId="0" fontId="4" numFmtId="0" xfId="0" applyAlignment="1" applyBorder="1" applyFont="1">
      <alignment shrinkToFit="0" wrapText="1"/>
    </xf>
    <xf borderId="74" fillId="0" fontId="4" numFmtId="0" xfId="0" applyAlignment="1" applyBorder="1" applyFont="1">
      <alignment shrinkToFit="0" wrapText="1"/>
    </xf>
    <xf borderId="0" fillId="5" fontId="4" numFmtId="0" xfId="0" applyAlignment="1" applyFont="1">
      <alignment shrinkToFit="0" wrapText="1"/>
    </xf>
    <xf borderId="0" fillId="5" fontId="33" numFmtId="0" xfId="0" applyAlignment="1" applyFont="1">
      <alignment horizontal="center" shrinkToFit="0" wrapText="1"/>
    </xf>
    <xf borderId="16" fillId="0" fontId="65" numFmtId="0" xfId="0" applyAlignment="1" applyBorder="1" applyFont="1">
      <alignment horizontal="center" shrinkToFit="0" vertical="center" wrapText="1"/>
    </xf>
    <xf borderId="16" fillId="0" fontId="65" numFmtId="3" xfId="0" applyAlignment="1" applyBorder="1" applyFont="1" applyNumberFormat="1">
      <alignment horizontal="center" shrinkToFit="0" vertical="center" wrapText="1"/>
    </xf>
    <xf borderId="16" fillId="0" fontId="67" numFmtId="0" xfId="0" applyAlignment="1" applyBorder="1" applyFont="1">
      <alignment horizontal="center" shrinkToFit="0" vertical="center" wrapText="1"/>
    </xf>
    <xf borderId="0" fillId="0" fontId="64" numFmtId="0" xfId="0" applyAlignment="1" applyFont="1">
      <alignment shrinkToFit="0" wrapText="1"/>
    </xf>
    <xf borderId="15" fillId="6" fontId="54" numFmtId="0" xfId="0" applyAlignment="1" applyBorder="1" applyFont="1">
      <alignment horizontal="center" shrinkToFit="0" vertical="center" wrapText="1"/>
    </xf>
    <xf borderId="41" fillId="15" fontId="36" numFmtId="165" xfId="0" applyAlignment="1" applyBorder="1" applyFont="1" applyNumberFormat="1">
      <alignment horizontal="center" readingOrder="0" shrinkToFit="0" vertical="center" wrapText="1"/>
    </xf>
    <xf borderId="27" fillId="2" fontId="51" numFmtId="165" xfId="0" applyAlignment="1" applyBorder="1" applyFont="1" applyNumberFormat="1">
      <alignment horizontal="center" readingOrder="0" shrinkToFit="0" vertical="center" wrapText="1"/>
    </xf>
    <xf borderId="27" fillId="2" fontId="51" numFmtId="165" xfId="0" applyAlignment="1" applyBorder="1" applyFont="1" applyNumberFormat="1">
      <alignment horizontal="center" shrinkToFit="0" vertical="center" wrapText="1"/>
    </xf>
    <xf borderId="75" fillId="21" fontId="61" numFmtId="0" xfId="0" applyAlignment="1" applyBorder="1" applyFill="1" applyFont="1">
      <alignment horizontal="center" readingOrder="0" shrinkToFit="0" vertical="center" wrapText="1"/>
    </xf>
    <xf borderId="76" fillId="0" fontId="4" numFmtId="0" xfId="0" applyAlignment="1" applyBorder="1" applyFont="1">
      <alignment shrinkToFit="0" wrapText="1"/>
    </xf>
    <xf borderId="77" fillId="18" fontId="61" numFmtId="0" xfId="0" applyAlignment="1" applyBorder="1" applyFont="1">
      <alignment horizontal="center" readingOrder="0" shrinkToFit="0" vertical="center" wrapText="1"/>
    </xf>
    <xf borderId="78" fillId="18" fontId="61" numFmtId="0" xfId="0" applyAlignment="1" applyBorder="1" applyFont="1">
      <alignment horizontal="center" readingOrder="0" shrinkToFit="0" vertical="center" wrapText="1"/>
    </xf>
    <xf borderId="79" fillId="6" fontId="42" numFmtId="0" xfId="0" applyAlignment="1" applyBorder="1" applyFont="1">
      <alignment horizontal="center" readingOrder="0" shrinkToFit="0" vertical="center" wrapText="1"/>
    </xf>
    <xf borderId="79" fillId="0" fontId="4" numFmtId="0" xfId="0" applyAlignment="1" applyBorder="1" applyFont="1">
      <alignment shrinkToFit="0" wrapText="1"/>
    </xf>
    <xf borderId="0" fillId="7" fontId="32" numFmtId="0" xfId="0" applyAlignment="1" applyFont="1">
      <alignment horizontal="right" shrinkToFit="0" vertical="center" wrapText="1"/>
    </xf>
    <xf borderId="12" fillId="22" fontId="42" numFmtId="0" xfId="0" applyAlignment="1" applyBorder="1" applyFill="1" applyFont="1">
      <alignment horizontal="center" readingOrder="0" shrinkToFit="0" vertical="center" wrapText="1"/>
    </xf>
    <xf borderId="49" fillId="23" fontId="63" numFmtId="165" xfId="0" applyAlignment="1" applyBorder="1" applyFill="1" applyFont="1" applyNumberFormat="1">
      <alignment horizontal="center" readingOrder="0" shrinkToFit="0" vertical="center" wrapText="1"/>
    </xf>
    <xf borderId="12" fillId="19" fontId="42" numFmtId="1" xfId="0" applyAlignment="1" applyBorder="1" applyFont="1" applyNumberFormat="1">
      <alignment horizontal="center" readingOrder="0" shrinkToFit="0" vertical="center" wrapText="0"/>
    </xf>
    <xf borderId="57" fillId="20" fontId="63" numFmtId="4" xfId="0" applyAlignment="1" applyBorder="1" applyFont="1" applyNumberFormat="1">
      <alignment horizontal="center" readingOrder="0" shrinkToFit="0" vertical="center" wrapText="1"/>
    </xf>
    <xf borderId="0" fillId="10" fontId="32" numFmtId="0" xfId="0" applyAlignment="1" applyFont="1">
      <alignment shrinkToFit="0" vertical="center" wrapText="0"/>
    </xf>
    <xf borderId="41" fillId="15" fontId="36" numFmtId="165" xfId="0" applyAlignment="1" applyBorder="1" applyFont="1" applyNumberFormat="1">
      <alignment horizontal="center" shrinkToFit="0" vertical="center" wrapText="1"/>
    </xf>
    <xf borderId="12" fillId="22" fontId="42" numFmtId="172" xfId="0" applyAlignment="1" applyBorder="1" applyFont="1" applyNumberFormat="1">
      <alignment horizontal="center" readingOrder="0" shrinkToFit="0" vertical="center" wrapText="1"/>
    </xf>
    <xf borderId="43" fillId="23" fontId="63" numFmtId="165" xfId="0" applyAlignment="1" applyBorder="1" applyFont="1" applyNumberFormat="1">
      <alignment horizontal="center" readingOrder="0" shrinkToFit="0" vertical="center" wrapText="1"/>
    </xf>
    <xf borderId="12" fillId="22" fontId="42" numFmtId="1" xfId="0" applyAlignment="1" applyBorder="1" applyFont="1" applyNumberFormat="1">
      <alignment horizontal="center" readingOrder="0" shrinkToFit="0" vertical="center" wrapText="1"/>
    </xf>
    <xf borderId="0" fillId="5" fontId="32" numFmtId="3" xfId="0" applyAlignment="1" applyFont="1" applyNumberFormat="1">
      <alignment horizontal="center" shrinkToFit="0" vertical="center" wrapText="1"/>
    </xf>
    <xf borderId="80" fillId="17" fontId="41" numFmtId="0" xfId="0" applyAlignment="1" applyBorder="1" applyFont="1">
      <alignment horizontal="center" readingOrder="0" shrinkToFit="0" textRotation="90" vertical="center" wrapText="1"/>
    </xf>
    <xf borderId="32" fillId="17" fontId="41" numFmtId="0" xfId="0" applyAlignment="1" applyBorder="1" applyFont="1">
      <alignment horizontal="center" readingOrder="0" shrinkToFit="0" textRotation="90" vertical="center" wrapText="1"/>
    </xf>
    <xf borderId="81" fillId="17" fontId="41" numFmtId="0" xfId="0" applyAlignment="1" applyBorder="1" applyFont="1">
      <alignment horizontal="center" readingOrder="0" shrinkToFit="0" textRotation="90" vertical="center" wrapText="1"/>
    </xf>
    <xf borderId="12" fillId="22" fontId="42" numFmtId="172" xfId="0" applyAlignment="1" applyBorder="1" applyFont="1" applyNumberFormat="1">
      <alignment horizontal="center" readingOrder="0" shrinkToFit="0" vertical="center" wrapText="1"/>
    </xf>
    <xf borderId="12" fillId="22" fontId="42" numFmtId="1" xfId="0" applyAlignment="1" applyBorder="1" applyFont="1" applyNumberFormat="1">
      <alignment horizontal="center" readingOrder="0" shrinkToFit="0" vertical="center" wrapText="1"/>
    </xf>
    <xf borderId="0" fillId="0" fontId="30" numFmtId="0" xfId="0" applyAlignment="1" applyFont="1">
      <alignment shrinkToFit="0" wrapText="1"/>
    </xf>
    <xf borderId="80" fillId="0" fontId="4" numFmtId="0" xfId="0" applyAlignment="1" applyBorder="1" applyFont="1">
      <alignment shrinkToFit="0" wrapText="1"/>
    </xf>
    <xf borderId="81" fillId="0" fontId="4" numFmtId="0" xfId="0" applyAlignment="1" applyBorder="1" applyFont="1">
      <alignment shrinkToFit="0" wrapText="1"/>
    </xf>
    <xf borderId="0" fillId="0" fontId="42" numFmtId="0" xfId="0" applyAlignment="1" applyFont="1">
      <alignment horizontal="center" shrinkToFit="0" vertical="center" wrapText="1"/>
    </xf>
    <xf borderId="47" fillId="23" fontId="63" numFmtId="165" xfId="0" applyAlignment="1" applyBorder="1" applyFont="1" applyNumberFormat="1">
      <alignment horizontal="center" readingOrder="0" shrinkToFit="0" vertical="center" wrapText="1"/>
    </xf>
    <xf borderId="0" fillId="5" fontId="31" numFmtId="0" xfId="0" applyAlignment="1" applyFont="1">
      <alignment horizontal="center" shrinkToFit="0" wrapText="1"/>
    </xf>
    <xf borderId="0" fillId="5" fontId="30" numFmtId="0" xfId="0" applyAlignment="1" applyFont="1">
      <alignment shrinkToFit="0" wrapText="1"/>
    </xf>
    <xf borderId="0" fillId="5" fontId="30" numFmtId="4" xfId="0" applyAlignment="1" applyFont="1" applyNumberFormat="1">
      <alignment shrinkToFit="0" wrapText="1"/>
    </xf>
    <xf borderId="0" fillId="5" fontId="30" numFmtId="49" xfId="0" applyAlignment="1" applyFont="1" applyNumberFormat="1">
      <alignment shrinkToFit="0" wrapText="1"/>
    </xf>
    <xf borderId="0" fillId="7" fontId="30" numFmtId="0" xfId="0" applyAlignment="1" applyFont="1">
      <alignment shrinkToFit="0" wrapText="1"/>
    </xf>
    <xf borderId="14" fillId="6" fontId="54" numFmtId="0" xfId="0" applyAlignment="1" applyBorder="1" applyFont="1">
      <alignment horizontal="center" readingOrder="0" shrinkToFit="0" vertical="center" wrapText="1"/>
    </xf>
    <xf borderId="46" fillId="15" fontId="68" numFmtId="166" xfId="0" applyAlignment="1" applyBorder="1" applyFont="1" applyNumberFormat="1">
      <alignment horizontal="center" readingOrder="0" shrinkToFit="0" vertical="bottom" wrapText="1"/>
    </xf>
    <xf borderId="47" fillId="2" fontId="30" numFmtId="166" xfId="0" applyAlignment="1" applyBorder="1" applyFont="1" applyNumberFormat="1">
      <alignment horizontal="center" readingOrder="0" shrinkToFit="0" vertical="bottom" wrapText="1"/>
    </xf>
    <xf borderId="47" fillId="2" fontId="30" numFmtId="166" xfId="0" applyAlignment="1" applyBorder="1" applyFont="1" applyNumberFormat="1">
      <alignment horizontal="center" shrinkToFit="0" vertical="bottom" wrapText="1"/>
    </xf>
    <xf borderId="47" fillId="2" fontId="66" numFmtId="166" xfId="0" applyAlignment="1" applyBorder="1" applyFont="1" applyNumberFormat="1">
      <alignment horizontal="center" shrinkToFit="0" vertical="center" wrapText="1"/>
    </xf>
    <xf borderId="79" fillId="24" fontId="42" numFmtId="0" xfId="0" applyAlignment="1" applyBorder="1" applyFill="1" applyFont="1">
      <alignment horizontal="center" shrinkToFit="0" vertical="center" wrapText="1"/>
    </xf>
    <xf borderId="0" fillId="24" fontId="4" numFmtId="0" xfId="0" applyAlignment="1" applyFont="1">
      <alignment shrinkToFit="0" wrapText="1"/>
    </xf>
    <xf borderId="0" fillId="24" fontId="32" numFmtId="0" xfId="0" applyAlignment="1" applyFont="1">
      <alignment horizontal="right" shrinkToFit="0" vertical="center" wrapText="1"/>
    </xf>
    <xf borderId="82" fillId="0" fontId="4" numFmtId="0" xfId="0" applyAlignment="1" applyBorder="1" applyFont="1">
      <alignment shrinkToFit="0" wrapText="1"/>
    </xf>
    <xf borderId="83" fillId="0" fontId="4" numFmtId="0" xfId="0" applyAlignment="1" applyBorder="1" applyFont="1">
      <alignment shrinkToFit="0" wrapText="1"/>
    </xf>
    <xf borderId="84" fillId="0" fontId="4" numFmtId="0" xfId="0" applyAlignment="1" applyBorder="1" applyFont="1">
      <alignment shrinkToFit="0" wrapText="1"/>
    </xf>
    <xf borderId="46" fillId="15" fontId="68" numFmtId="167" xfId="0" applyAlignment="1" applyBorder="1" applyFont="1" applyNumberFormat="1">
      <alignment horizontal="center" readingOrder="0" shrinkToFit="0" vertical="center" wrapText="1"/>
    </xf>
    <xf borderId="49" fillId="2" fontId="30" numFmtId="167" xfId="0" applyAlignment="1" applyBorder="1" applyFont="1" applyNumberFormat="1">
      <alignment horizontal="center" readingOrder="0" shrinkToFit="0" vertical="center" wrapText="1"/>
    </xf>
    <xf borderId="49" fillId="2" fontId="30" numFmtId="167" xfId="0" applyAlignment="1" applyBorder="1" applyFont="1" applyNumberFormat="1">
      <alignment horizontal="center" shrinkToFit="0" vertical="center" wrapText="1"/>
    </xf>
    <xf borderId="49" fillId="2" fontId="66" numFmtId="167" xfId="0" applyAlignment="1" applyBorder="1" applyFont="1" applyNumberFormat="1">
      <alignment horizontal="center" shrinkToFit="0" vertical="center" wrapText="1"/>
    </xf>
    <xf borderId="0" fillId="24" fontId="4" numFmtId="0" xfId="0" applyAlignment="1" applyFont="1">
      <alignment shrinkToFit="0" wrapText="1"/>
    </xf>
    <xf borderId="0" fillId="6" fontId="42" numFmtId="0" xfId="0" applyAlignment="1" applyFont="1">
      <alignment horizontal="center" readingOrder="0" shrinkToFit="0" vertical="center" wrapText="1"/>
    </xf>
    <xf borderId="0" fillId="25" fontId="42" numFmtId="49" xfId="0" applyAlignment="1" applyFill="1" applyFont="1" applyNumberFormat="1">
      <alignment horizontal="center" readingOrder="0" shrinkToFit="0" vertical="center" wrapText="1"/>
    </xf>
    <xf borderId="0" fillId="26" fontId="42" numFmtId="49" xfId="0" applyAlignment="1" applyFill="1" applyFont="1" applyNumberFormat="1">
      <alignment horizontal="center" readingOrder="0" shrinkToFit="0" vertical="center" wrapText="1"/>
    </xf>
    <xf borderId="0" fillId="0" fontId="42" numFmtId="0" xfId="0" applyAlignment="1" applyFont="1">
      <alignment horizontal="center" readingOrder="0" shrinkToFit="0" vertical="center" wrapText="1"/>
    </xf>
    <xf borderId="0" fillId="0" fontId="42" numFmtId="3" xfId="0" applyAlignment="1" applyFont="1" applyNumberFormat="1">
      <alignment horizontal="center" readingOrder="0" shrinkToFit="0" vertical="center" wrapText="1"/>
    </xf>
    <xf borderId="0" fillId="0" fontId="42" numFmtId="167" xfId="0" applyAlignment="1" applyFont="1" applyNumberFormat="1">
      <alignment horizontal="center" shrinkToFit="0" vertical="center" wrapText="1"/>
    </xf>
    <xf borderId="0" fillId="0" fontId="69" numFmtId="0" xfId="0" applyAlignment="1" applyFont="1">
      <alignment readingOrder="0" shrinkToFit="0" wrapText="1"/>
    </xf>
    <xf borderId="0" fillId="0" fontId="69" numFmtId="0" xfId="0" applyAlignment="1" applyFont="1">
      <alignment horizontal="center" readingOrder="0" shrinkToFit="0" vertical="center" wrapText="1"/>
    </xf>
    <xf borderId="0" fillId="0" fontId="69" numFmtId="0" xfId="0" applyAlignment="1" applyFont="1">
      <alignment horizontal="center" shrinkToFit="0" vertical="center" wrapText="1"/>
    </xf>
    <xf borderId="0" fillId="24" fontId="64" numFmtId="0" xfId="0" applyAlignment="1" applyFont="1">
      <alignment shrinkToFit="0" wrapText="1"/>
    </xf>
    <xf borderId="0" fillId="0" fontId="36" numFmtId="0" xfId="0" applyAlignment="1" applyFont="1">
      <alignment horizontal="center" shrinkToFit="0" vertical="center" wrapText="1"/>
    </xf>
    <xf borderId="2" fillId="6" fontId="70" numFmtId="0" xfId="0" applyAlignment="1" applyBorder="1" applyFont="1">
      <alignment horizontal="center" readingOrder="0" shrinkToFit="0" vertical="center" wrapText="1"/>
    </xf>
    <xf borderId="85" fillId="0" fontId="4" numFmtId="0" xfId="0" applyAlignment="1" applyBorder="1" applyFont="1">
      <alignment shrinkToFit="0" wrapText="1"/>
    </xf>
    <xf borderId="0" fillId="0" fontId="40" numFmtId="0" xfId="0" applyAlignment="1" applyFont="1">
      <alignment horizontal="center" shrinkToFit="0" vertical="center" wrapText="1"/>
    </xf>
    <xf borderId="86" fillId="3" fontId="32" numFmtId="0" xfId="0" applyAlignment="1" applyBorder="1" applyFont="1">
      <alignment horizontal="center" readingOrder="0" shrinkToFit="0" vertical="center" wrapText="1"/>
    </xf>
    <xf borderId="13" fillId="6" fontId="61" numFmtId="0" xfId="0" applyAlignment="1" applyBorder="1" applyFont="1">
      <alignment horizontal="center" readingOrder="0" shrinkToFit="0" vertical="center" wrapText="1"/>
    </xf>
    <xf borderId="3" fillId="6" fontId="61" numFmtId="0" xfId="0" applyAlignment="1" applyBorder="1" applyFont="1">
      <alignment horizontal="center" shrinkToFit="0" vertical="center" wrapText="1"/>
    </xf>
    <xf borderId="7" fillId="6" fontId="42" numFmtId="0" xfId="0" applyAlignment="1" applyBorder="1" applyFont="1">
      <alignment horizontal="center" readingOrder="0" shrinkToFit="0" vertical="center" wrapText="1"/>
    </xf>
    <xf borderId="87" fillId="6" fontId="61" numFmtId="0" xfId="0" applyAlignment="1" applyBorder="1" applyFont="1">
      <alignment horizontal="center" shrinkToFit="0" vertical="center" wrapText="1"/>
    </xf>
    <xf borderId="7" fillId="6" fontId="61" numFmtId="0" xfId="0" applyAlignment="1" applyBorder="1" applyFont="1">
      <alignment horizontal="center" readingOrder="0" shrinkToFit="0" vertical="center" wrapText="1"/>
    </xf>
    <xf borderId="7" fillId="6" fontId="61" numFmtId="0" xfId="0" applyAlignment="1" applyBorder="1" applyFont="1">
      <alignment horizontal="center" shrinkToFit="0" vertical="center" wrapText="1"/>
    </xf>
    <xf borderId="5" fillId="6" fontId="61" numFmtId="0" xfId="0" applyAlignment="1" applyBorder="1" applyFont="1">
      <alignment horizontal="center" shrinkToFit="0" vertical="center" wrapText="1"/>
    </xf>
    <xf borderId="5" fillId="6" fontId="61" numFmtId="0" xfId="0" applyAlignment="1" applyBorder="1" applyFont="1">
      <alignment horizontal="center" readingOrder="0" shrinkToFit="0" vertical="center" wrapText="1"/>
    </xf>
    <xf borderId="88" fillId="6" fontId="61" numFmtId="0" xfId="0" applyAlignment="1" applyBorder="1" applyFont="1">
      <alignment horizontal="center" readingOrder="0" shrinkToFit="0" vertical="center" wrapText="1"/>
    </xf>
    <xf borderId="11" fillId="6" fontId="61" numFmtId="0" xfId="0" applyAlignment="1" applyBorder="1" applyFont="1">
      <alignment horizontal="center" readingOrder="0" shrinkToFit="0" vertical="center" wrapText="1"/>
    </xf>
    <xf borderId="89" fillId="6" fontId="42" numFmtId="0" xfId="0" applyAlignment="1" applyBorder="1" applyFont="1">
      <alignment horizontal="center" readingOrder="0" shrinkToFit="0" vertical="center" wrapText="1"/>
    </xf>
    <xf borderId="89" fillId="6" fontId="61" numFmtId="0" xfId="0" applyAlignment="1" applyBorder="1" applyFont="1">
      <alignment horizontal="center" readingOrder="0" shrinkToFit="0" vertical="center" wrapText="1"/>
    </xf>
    <xf borderId="90" fillId="0" fontId="4" numFmtId="0" xfId="0" applyAlignment="1" applyBorder="1" applyFont="1">
      <alignment shrinkToFit="0" wrapText="1"/>
    </xf>
    <xf borderId="91" fillId="27" fontId="29" numFmtId="0" xfId="0" applyAlignment="1" applyBorder="1" applyFill="1" applyFont="1">
      <alignment horizontal="center" readingOrder="0" shrinkToFit="0" vertical="center" wrapText="1"/>
    </xf>
    <xf borderId="92" fillId="0" fontId="4" numFmtId="0" xfId="0" applyAlignment="1" applyBorder="1" applyFont="1">
      <alignment shrinkToFit="0" wrapText="1"/>
    </xf>
    <xf borderId="0" fillId="24" fontId="71" numFmtId="0" xfId="0" applyAlignment="1" applyFont="1">
      <alignment shrinkToFit="0" wrapText="1"/>
    </xf>
    <xf borderId="88" fillId="28" fontId="42" numFmtId="0" xfId="0" applyAlignment="1" applyBorder="1" applyFill="1" applyFont="1">
      <alignment horizontal="center" readingOrder="0" shrinkToFit="0" vertical="center" wrapText="1"/>
    </xf>
    <xf borderId="88" fillId="29" fontId="42" numFmtId="0" xfId="0" applyAlignment="1" applyBorder="1" applyFill="1" applyFont="1">
      <alignment horizontal="center" readingOrder="0" shrinkToFit="0" vertical="center" wrapText="1"/>
    </xf>
    <xf borderId="88" fillId="13" fontId="42" numFmtId="0" xfId="0" applyAlignment="1" applyBorder="1" applyFont="1">
      <alignment horizontal="center" readingOrder="0" shrinkToFit="0" vertical="center" wrapText="1"/>
    </xf>
    <xf borderId="33" fillId="6" fontId="42" numFmtId="0" xfId="0" applyAlignment="1" applyBorder="1" applyFont="1">
      <alignment horizontal="center" readingOrder="0" shrinkToFit="0" vertical="center" wrapText="1"/>
    </xf>
    <xf borderId="33" fillId="6" fontId="72" numFmtId="0" xfId="0" applyAlignment="1" applyBorder="1" applyFont="1">
      <alignment horizontal="center" readingOrder="0" shrinkToFit="0" vertical="center" wrapText="1"/>
    </xf>
    <xf borderId="0" fillId="5" fontId="73" numFmtId="0" xfId="0" applyAlignment="1" applyFont="1">
      <alignment horizontal="center" shrinkToFit="0" vertical="center" wrapText="1"/>
    </xf>
    <xf borderId="3" fillId="6" fontId="42" numFmtId="0" xfId="0" applyAlignment="1" applyBorder="1" applyFont="1">
      <alignment horizontal="center" readingOrder="0" shrinkToFit="0" vertical="center" wrapText="1"/>
    </xf>
    <xf borderId="43" fillId="0" fontId="74" numFmtId="3" xfId="0" applyAlignment="1" applyBorder="1" applyFont="1" applyNumberFormat="1">
      <alignment horizontal="center" readingOrder="0" shrinkToFit="0" vertical="center" wrapText="1"/>
    </xf>
    <xf borderId="3" fillId="6" fontId="42" numFmtId="4" xfId="0" applyAlignment="1" applyBorder="1" applyFont="1" applyNumberFormat="1">
      <alignment horizontal="center" shrinkToFit="0" vertical="center" wrapText="1"/>
    </xf>
    <xf borderId="43" fillId="0" fontId="75" numFmtId="49" xfId="0" applyAlignment="1" applyBorder="1" applyFont="1" applyNumberFormat="1">
      <alignment horizontal="center" readingOrder="0" shrinkToFit="0" vertical="center" wrapText="1"/>
    </xf>
    <xf borderId="3" fillId="13" fontId="42" numFmtId="4" xfId="0" applyAlignment="1" applyBorder="1" applyFont="1" applyNumberFormat="1">
      <alignment horizontal="center" readingOrder="0" shrinkToFit="0" vertical="center" wrapText="1"/>
    </xf>
    <xf borderId="3" fillId="30" fontId="42" numFmtId="0" xfId="0" applyAlignment="1" applyBorder="1" applyFill="1" applyFont="1">
      <alignment horizontal="center" readingOrder="0" shrinkToFit="0" vertical="center" wrapText="1"/>
    </xf>
    <xf borderId="3" fillId="13" fontId="42" numFmtId="0" xfId="0" applyAlignment="1" applyBorder="1" applyFont="1">
      <alignment horizontal="center" readingOrder="0" shrinkToFit="0" vertical="center" wrapText="1"/>
    </xf>
    <xf borderId="3" fillId="19" fontId="42" numFmtId="0" xfId="0" applyAlignment="1" applyBorder="1" applyFont="1">
      <alignment horizontal="center" readingOrder="0" shrinkToFit="0" vertical="center" wrapText="1"/>
    </xf>
    <xf borderId="3" fillId="31" fontId="42" numFmtId="0" xfId="0" applyAlignment="1" applyBorder="1" applyFill="1" applyFont="1">
      <alignment horizontal="center" readingOrder="0" shrinkToFit="0" vertical="center" wrapText="1"/>
    </xf>
    <xf borderId="3" fillId="31" fontId="42" numFmtId="4" xfId="0" applyAlignment="1" applyBorder="1" applyFont="1" applyNumberFormat="1">
      <alignment horizontal="center" readingOrder="0" shrinkToFit="0" vertical="center" wrapText="1"/>
    </xf>
    <xf borderId="93" fillId="31" fontId="42" numFmtId="4" xfId="0" applyAlignment="1" applyBorder="1" applyFont="1" applyNumberFormat="1">
      <alignment horizontal="center" readingOrder="0" shrinkToFit="0" vertical="center" wrapText="1"/>
    </xf>
    <xf borderId="3" fillId="25" fontId="42" numFmtId="49" xfId="0" applyAlignment="1" applyBorder="1" applyFont="1" applyNumberFormat="1">
      <alignment horizontal="center" readingOrder="0" shrinkToFit="0" vertical="center" wrapText="1"/>
    </xf>
    <xf borderId="3" fillId="25" fontId="42" numFmtId="4" xfId="0" applyAlignment="1" applyBorder="1" applyFont="1" applyNumberFormat="1">
      <alignment horizontal="center" readingOrder="0" shrinkToFit="0" vertical="center" wrapText="1"/>
    </xf>
    <xf borderId="3" fillId="26" fontId="42" numFmtId="49" xfId="0" applyAlignment="1" applyBorder="1" applyFont="1" applyNumberFormat="1">
      <alignment horizontal="center" readingOrder="0" shrinkToFit="0" vertical="center" wrapText="1"/>
    </xf>
    <xf borderId="3" fillId="26" fontId="42" numFmtId="4" xfId="0" applyAlignment="1" applyBorder="1" applyFont="1" applyNumberFormat="1">
      <alignment horizontal="center" readingOrder="0" shrinkToFit="0" vertical="center" wrapText="1"/>
    </xf>
    <xf borderId="0" fillId="26" fontId="42" numFmtId="0" xfId="0" applyAlignment="1" applyFont="1">
      <alignment horizontal="center" readingOrder="0" shrinkToFit="0" vertical="center" wrapText="1"/>
    </xf>
    <xf borderId="94" fillId="0" fontId="4" numFmtId="0" xfId="0" applyAlignment="1" applyBorder="1" applyFont="1">
      <alignment shrinkToFit="0" wrapText="1"/>
    </xf>
    <xf borderId="9" fillId="0" fontId="4" numFmtId="0" xfId="0" applyAlignment="1" applyBorder="1" applyFont="1">
      <alignment shrinkToFit="0" wrapText="1"/>
    </xf>
    <xf borderId="95" fillId="3" fontId="49" numFmtId="0" xfId="0" applyAlignment="1" applyBorder="1" applyFont="1">
      <alignment horizontal="center" readingOrder="0" shrinkToFit="0" vertical="center" wrapText="1"/>
    </xf>
    <xf borderId="96" fillId="0" fontId="4" numFmtId="0" xfId="0" applyAlignment="1" applyBorder="1" applyFont="1">
      <alignment shrinkToFit="0" wrapText="1"/>
    </xf>
    <xf borderId="97" fillId="6" fontId="61" numFmtId="0" xfId="0" applyAlignment="1" applyBorder="1" applyFont="1">
      <alignment horizontal="center" shrinkToFit="0" vertical="center" wrapText="1"/>
    </xf>
    <xf borderId="97" fillId="6" fontId="61" numFmtId="0" xfId="0" applyAlignment="1" applyBorder="1" applyFont="1">
      <alignment horizontal="center" readingOrder="0" shrinkToFit="0" vertical="center" wrapText="1"/>
    </xf>
    <xf borderId="98" fillId="6" fontId="61" numFmtId="0" xfId="0" applyAlignment="1" applyBorder="1" applyFont="1">
      <alignment horizontal="center" readingOrder="0" shrinkToFit="0" vertical="center" wrapText="1"/>
    </xf>
    <xf borderId="88" fillId="6" fontId="42" numFmtId="0" xfId="0" applyAlignment="1" applyBorder="1" applyFont="1">
      <alignment horizontal="center" readingOrder="0" shrinkToFit="0" vertical="center" wrapText="1"/>
    </xf>
    <xf borderId="33" fillId="6" fontId="61" numFmtId="0" xfId="0" applyAlignment="1" applyBorder="1" applyFont="1">
      <alignment horizontal="center" readingOrder="0" shrinkToFit="0" vertical="center" wrapText="1"/>
    </xf>
    <xf borderId="89" fillId="6" fontId="61" numFmtId="0" xfId="0" applyAlignment="1" applyBorder="1" applyFont="1">
      <alignment horizontal="center" readingOrder="0" shrinkToFit="0" vertical="center" wrapText="0"/>
    </xf>
    <xf borderId="89" fillId="3" fontId="56" numFmtId="0" xfId="0" applyAlignment="1" applyBorder="1" applyFont="1">
      <alignment horizontal="center" readingOrder="0" shrinkToFit="0" vertical="center" wrapText="1"/>
    </xf>
    <xf borderId="16" fillId="6" fontId="42" numFmtId="0" xfId="0" applyAlignment="1" applyBorder="1" applyFont="1">
      <alignment horizontal="center" readingOrder="0" shrinkToFit="0" vertical="center" wrapText="1"/>
    </xf>
    <xf borderId="10" fillId="6" fontId="42" numFmtId="0" xfId="0" applyAlignment="1" applyBorder="1" applyFont="1">
      <alignment horizontal="center" readingOrder="0" shrinkToFit="0" vertical="center" wrapText="1"/>
    </xf>
    <xf borderId="43" fillId="0" fontId="74" numFmtId="3" xfId="0" applyAlignment="1" applyBorder="1" applyFont="1" applyNumberFormat="1">
      <alignment horizontal="center" shrinkToFit="0" vertical="center" wrapText="1"/>
    </xf>
    <xf borderId="27" fillId="0" fontId="76" numFmtId="170" xfId="0" applyAlignment="1" applyBorder="1" applyFont="1" applyNumberFormat="1">
      <alignment horizontal="center" readingOrder="0" shrinkToFit="0" vertical="center" wrapText="1"/>
    </xf>
    <xf borderId="27" fillId="0" fontId="76" numFmtId="170" xfId="0" applyAlignment="1" applyBorder="1" applyFont="1" applyNumberFormat="1">
      <alignment horizontal="left" readingOrder="0" shrinkToFit="0" vertical="center" wrapText="1"/>
    </xf>
    <xf borderId="0" fillId="7" fontId="31" numFmtId="0" xfId="0" applyAlignment="1" applyFont="1">
      <alignment horizontal="center" readingOrder="0" shrinkToFit="0" vertical="center" wrapText="1"/>
    </xf>
    <xf borderId="88" fillId="6" fontId="72" numFmtId="0" xfId="0" applyAlignment="1" applyBorder="1" applyFont="1">
      <alignment horizontal="center" readingOrder="0" shrinkToFit="0" vertical="center" wrapText="1"/>
    </xf>
    <xf borderId="89" fillId="9" fontId="61" numFmtId="0" xfId="0" applyAlignment="1" applyBorder="1" applyFont="1">
      <alignment horizontal="center" readingOrder="0" shrinkToFit="0" vertical="center" wrapText="1"/>
    </xf>
    <xf borderId="33" fillId="9" fontId="42" numFmtId="9" xfId="0" applyAlignment="1" applyBorder="1" applyFont="1" applyNumberFormat="1">
      <alignment horizontal="center" readingOrder="0" shrinkToFit="0" vertical="center" wrapText="1"/>
    </xf>
    <xf borderId="11" fillId="9" fontId="61" numFmtId="3" xfId="0" applyAlignment="1" applyBorder="1" applyFont="1" applyNumberFormat="1">
      <alignment horizontal="center" readingOrder="0" shrinkToFit="0" vertical="center" wrapText="1"/>
    </xf>
    <xf borderId="33" fillId="9" fontId="61" numFmtId="165" xfId="0" applyAlignment="1" applyBorder="1" applyFont="1" applyNumberFormat="1">
      <alignment horizontal="center" readingOrder="0" shrinkToFit="0" vertical="center" wrapText="1"/>
    </xf>
    <xf borderId="33" fillId="9" fontId="61" numFmtId="165" xfId="0" applyAlignment="1" applyBorder="1" applyFont="1" applyNumberFormat="1">
      <alignment horizontal="center" shrinkToFit="0" vertical="center" wrapText="1"/>
    </xf>
    <xf borderId="33" fillId="9" fontId="61" numFmtId="10" xfId="0" applyAlignment="1" applyBorder="1" applyFont="1" applyNumberFormat="1">
      <alignment horizontal="center" shrinkToFit="0" vertical="center" wrapText="1"/>
    </xf>
    <xf borderId="33" fillId="9" fontId="61" numFmtId="10" xfId="0" applyAlignment="1" applyBorder="1" applyFont="1" applyNumberFormat="1">
      <alignment horizontal="center" readingOrder="0" shrinkToFit="0" vertical="center" wrapText="1"/>
    </xf>
    <xf borderId="88" fillId="9" fontId="61" numFmtId="0" xfId="0" applyAlignment="1" applyBorder="1" applyFont="1">
      <alignment horizontal="center" readingOrder="0" shrinkToFit="0" vertical="center" wrapText="1"/>
    </xf>
    <xf borderId="27" fillId="3" fontId="43" numFmtId="0" xfId="0" applyAlignment="1" applyBorder="1" applyFont="1">
      <alignment horizontal="center" readingOrder="0" shrinkToFit="0" vertical="center" wrapText="1"/>
    </xf>
    <xf borderId="29" fillId="3" fontId="66" numFmtId="0" xfId="0" applyAlignment="1" applyBorder="1" applyFont="1">
      <alignment horizontal="center" readingOrder="0" shrinkToFit="0" vertical="center" wrapText="1"/>
    </xf>
    <xf borderId="14" fillId="6" fontId="70" numFmtId="0" xfId="0" applyAlignment="1" applyBorder="1" applyFont="1">
      <alignment horizontal="center" readingOrder="0" shrinkToFit="0" vertical="center" wrapText="1"/>
    </xf>
    <xf borderId="9" fillId="6" fontId="42" numFmtId="0" xfId="0" applyAlignment="1" applyBorder="1" applyFont="1">
      <alignment horizontal="center" readingOrder="0" shrinkToFit="0" vertical="center" wrapText="1"/>
    </xf>
    <xf borderId="99" fillId="6" fontId="42" numFmtId="0" xfId="0" applyAlignment="1" applyBorder="1" applyFont="1">
      <alignment horizontal="center" shrinkToFit="0" vertical="center" wrapText="1"/>
    </xf>
    <xf borderId="3" fillId="6" fontId="42" numFmtId="0" xfId="0" applyAlignment="1" applyBorder="1" applyFont="1">
      <alignment horizontal="center" shrinkToFit="0" wrapText="1"/>
    </xf>
    <xf borderId="3" fillId="6" fontId="42" numFmtId="4" xfId="0" applyAlignment="1" applyBorder="1" applyFont="1" applyNumberFormat="1">
      <alignment horizontal="center" shrinkToFit="0" wrapText="1"/>
    </xf>
    <xf borderId="0" fillId="13" fontId="42" numFmtId="0" xfId="0" applyAlignment="1" applyFont="1">
      <alignment horizontal="center" readingOrder="0" shrinkToFit="0" vertical="center" wrapText="1"/>
    </xf>
    <xf borderId="0" fillId="30" fontId="42" numFmtId="0" xfId="0" applyAlignment="1" applyFont="1">
      <alignment horizontal="center" readingOrder="0" shrinkToFit="0" vertical="center" wrapText="1"/>
    </xf>
    <xf borderId="0" fillId="19" fontId="42" numFmtId="0" xfId="0" applyAlignment="1" applyFont="1">
      <alignment horizontal="center" readingOrder="0" shrinkToFit="0" vertical="center" wrapText="1"/>
    </xf>
    <xf borderId="0" fillId="31" fontId="42" numFmtId="0" xfId="0" applyAlignment="1" applyFont="1">
      <alignment horizontal="center" readingOrder="0" shrinkToFit="0" vertical="center" wrapText="1"/>
    </xf>
    <xf borderId="0" fillId="31" fontId="42" numFmtId="3" xfId="0" applyAlignment="1" applyFont="1" applyNumberFormat="1">
      <alignment horizontal="center" readingOrder="0" shrinkToFit="0" vertical="center" wrapText="1"/>
    </xf>
    <xf borderId="34" fillId="6" fontId="40" numFmtId="0" xfId="0" applyAlignment="1" applyBorder="1" applyFont="1">
      <alignment horizontal="center" readingOrder="0" shrinkToFit="0" vertical="center" wrapText="1"/>
    </xf>
    <xf borderId="0" fillId="0" fontId="56" numFmtId="3" xfId="0" applyAlignment="1" applyFont="1" applyNumberFormat="1">
      <alignment horizontal="center" readingOrder="0" shrinkToFit="0" vertical="center" wrapText="1"/>
    </xf>
    <xf borderId="100" fillId="12" fontId="66" numFmtId="3" xfId="0" applyAlignment="1" applyBorder="1" applyFont="1" applyNumberFormat="1">
      <alignment horizontal="center" shrinkToFit="0" vertical="center" wrapText="1"/>
    </xf>
    <xf borderId="0" fillId="0" fontId="30" numFmtId="3" xfId="0" applyAlignment="1" applyFont="1" applyNumberFormat="1">
      <alignment horizontal="center" readingOrder="0" shrinkToFit="0" vertical="center" wrapText="1"/>
    </xf>
    <xf borderId="38" fillId="2" fontId="25" numFmtId="0" xfId="0" applyAlignment="1" applyBorder="1" applyFont="1">
      <alignment horizontal="center" shrinkToFit="0" vertical="center" wrapText="1"/>
    </xf>
    <xf borderId="43" fillId="12" fontId="66" numFmtId="49" xfId="0" applyAlignment="1" applyBorder="1" applyFont="1" applyNumberFormat="1">
      <alignment horizontal="center" readingOrder="0" shrinkToFit="0" vertical="center" wrapText="1"/>
    </xf>
    <xf borderId="43" fillId="0" fontId="77" numFmtId="169" xfId="0" applyAlignment="1" applyBorder="1" applyFont="1" applyNumberFormat="1">
      <alignment horizontal="center" shrinkToFit="0" vertical="center" wrapText="1"/>
    </xf>
    <xf borderId="43" fillId="0" fontId="77" numFmtId="49" xfId="0" applyAlignment="1" applyBorder="1" applyFont="1" applyNumberFormat="1">
      <alignment horizontal="center" shrinkToFit="0" vertical="center" wrapText="1"/>
    </xf>
    <xf borderId="43" fillId="0" fontId="76" numFmtId="49" xfId="0" applyAlignment="1" applyBorder="1" applyFont="1" applyNumberFormat="1">
      <alignment horizontal="center" shrinkToFit="0" vertical="center" wrapText="1"/>
    </xf>
    <xf borderId="43" fillId="0" fontId="78" numFmtId="4" xfId="0" applyAlignment="1" applyBorder="1" applyFont="1" applyNumberFormat="1">
      <alignment horizontal="center" shrinkToFit="0" vertical="center" wrapText="1"/>
    </xf>
    <xf borderId="43" fillId="0" fontId="79" numFmtId="170" xfId="0" applyAlignment="1" applyBorder="1" applyFont="1" applyNumberFormat="1">
      <alignment horizontal="center" shrinkToFit="0" vertical="center" wrapText="1"/>
    </xf>
    <xf borderId="43" fillId="0" fontId="77" numFmtId="170" xfId="0" applyAlignment="1" applyBorder="1" applyFont="1" applyNumberFormat="1">
      <alignment horizontal="center" shrinkToFit="0" vertical="center" wrapText="1"/>
    </xf>
    <xf borderId="43" fillId="12" fontId="80" numFmtId="170" xfId="0" applyAlignment="1" applyBorder="1" applyFont="1" applyNumberFormat="1">
      <alignment horizontal="center" shrinkToFit="0" vertical="center" wrapText="1"/>
    </xf>
    <xf borderId="43" fillId="12" fontId="81" numFmtId="10" xfId="0" applyAlignment="1" applyBorder="1" applyFont="1" applyNumberFormat="1">
      <alignment horizontal="center" shrinkToFit="0" vertical="center" wrapText="1"/>
    </xf>
    <xf borderId="43" fillId="0" fontId="51" numFmtId="170" xfId="0" applyAlignment="1" applyBorder="1" applyFont="1" applyNumberFormat="1">
      <alignment horizontal="center" shrinkToFit="0" vertical="center" wrapText="1"/>
    </xf>
    <xf borderId="43" fillId="0" fontId="66" numFmtId="169" xfId="0" applyAlignment="1" applyBorder="1" applyFont="1" applyNumberFormat="1">
      <alignment horizontal="center" shrinkToFit="0" vertical="center" wrapText="1"/>
    </xf>
    <xf borderId="43" fillId="0" fontId="77" numFmtId="4" xfId="0" applyAlignment="1" applyBorder="1" applyFont="1" applyNumberFormat="1">
      <alignment horizontal="center" shrinkToFit="0" vertical="center" wrapText="1"/>
    </xf>
    <xf borderId="43" fillId="0" fontId="77" numFmtId="10" xfId="0" applyAlignment="1" applyBorder="1" applyFont="1" applyNumberFormat="1">
      <alignment horizontal="center" shrinkToFit="0" vertical="center" wrapText="1"/>
    </xf>
    <xf borderId="101" fillId="0" fontId="32" numFmtId="10" xfId="0" applyAlignment="1" applyBorder="1" applyFont="1" applyNumberFormat="1">
      <alignment horizontal="center" shrinkToFit="0" vertical="center" wrapText="1"/>
    </xf>
    <xf borderId="102" fillId="0" fontId="32" numFmtId="10" xfId="0" applyAlignment="1" applyBorder="1" applyFont="1" applyNumberFormat="1">
      <alignment horizontal="center" shrinkToFit="0" vertical="center" wrapText="1"/>
    </xf>
    <xf borderId="101" fillId="0" fontId="4" numFmtId="0" xfId="0" applyAlignment="1" applyBorder="1" applyFont="1">
      <alignment shrinkToFit="0" wrapText="1"/>
    </xf>
    <xf borderId="103" fillId="12" fontId="66" numFmtId="10" xfId="0" applyAlignment="1" applyBorder="1" applyFont="1" applyNumberFormat="1">
      <alignment horizontal="center" shrinkToFit="0" vertical="center" wrapText="1"/>
    </xf>
    <xf borderId="39" fillId="0" fontId="4" numFmtId="4" xfId="0" applyAlignment="1" applyBorder="1" applyFont="1" applyNumberFormat="1">
      <alignment horizontal="center" shrinkToFit="0" vertical="center" wrapText="1"/>
    </xf>
    <xf borderId="103" fillId="0" fontId="4" numFmtId="0" xfId="0" applyAlignment="1" applyBorder="1" applyFont="1">
      <alignment shrinkToFit="0" wrapText="1"/>
    </xf>
    <xf borderId="104" fillId="0" fontId="43" numFmtId="0" xfId="0" applyAlignment="1" applyBorder="1" applyFont="1">
      <alignment horizontal="center" shrinkToFit="0" vertical="center" wrapText="1"/>
    </xf>
    <xf borderId="71" fillId="0" fontId="51" numFmtId="0" xfId="0" applyAlignment="1" applyBorder="1" applyFont="1">
      <alignment horizontal="center" readingOrder="0" shrinkToFit="0" vertical="center" wrapText="1"/>
    </xf>
    <xf borderId="104" fillId="0" fontId="43" numFmtId="2" xfId="0" applyAlignment="1" applyBorder="1" applyFont="1" applyNumberFormat="1">
      <alignment horizontal="center" shrinkToFit="0" vertical="center" wrapText="1"/>
    </xf>
    <xf borderId="0" fillId="0" fontId="4" numFmtId="2" xfId="0" applyAlignment="1" applyFont="1" applyNumberFormat="1">
      <alignment shrinkToFit="0" wrapText="1"/>
    </xf>
    <xf borderId="0" fillId="24" fontId="31" numFmtId="0" xfId="0" applyAlignment="1" applyFont="1">
      <alignment horizontal="center" readingOrder="0" shrinkToFit="0" vertical="center" wrapText="1"/>
    </xf>
    <xf borderId="43" fillId="0" fontId="75" numFmtId="4" xfId="0" applyAlignment="1" applyBorder="1" applyFont="1" applyNumberFormat="1">
      <alignment horizontal="center" shrinkToFit="0" vertical="center" wrapText="1"/>
    </xf>
    <xf borderId="43" fillId="0" fontId="75" numFmtId="3" xfId="0" applyAlignment="1" applyBorder="1" applyFont="1" applyNumberFormat="1">
      <alignment horizontal="center" readingOrder="0" shrinkToFit="0" vertical="center" wrapText="1"/>
    </xf>
    <xf borderId="49" fillId="0" fontId="75" numFmtId="4" xfId="0" applyAlignment="1" applyBorder="1" applyFont="1" applyNumberFormat="1">
      <alignment horizontal="center" shrinkToFit="0" vertical="center" wrapText="1"/>
    </xf>
    <xf borderId="105" fillId="0" fontId="75" numFmtId="4" xfId="0" applyAlignment="1" applyBorder="1" applyFont="1" applyNumberFormat="1">
      <alignment horizontal="center" shrinkToFit="0" vertical="center" wrapText="1"/>
    </xf>
    <xf borderId="100" fillId="0" fontId="75" numFmtId="4" xfId="0" applyAlignment="1" applyBorder="1" applyFont="1" applyNumberFormat="1">
      <alignment horizontal="center" shrinkToFit="0" vertical="center" wrapText="1"/>
    </xf>
    <xf borderId="27" fillId="0" fontId="75" numFmtId="0" xfId="0" applyAlignment="1" applyBorder="1" applyFont="1">
      <alignment horizontal="center" shrinkToFit="0" vertical="center" wrapText="0"/>
    </xf>
    <xf borderId="0" fillId="5" fontId="31" numFmtId="0" xfId="0" applyAlignment="1" applyFont="1">
      <alignment horizontal="center" readingOrder="0" shrinkToFit="0" vertical="center" wrapText="1"/>
    </xf>
    <xf borderId="43" fillId="0" fontId="75" numFmtId="0" xfId="0" applyAlignment="1" applyBorder="1" applyFont="1">
      <alignment horizontal="center" shrinkToFit="0" vertical="center" wrapText="1"/>
    </xf>
    <xf borderId="43" fillId="0" fontId="75" numFmtId="4" xfId="0" applyAlignment="1" applyBorder="1" applyFont="1" applyNumberFormat="1">
      <alignment horizontal="center" readingOrder="0" shrinkToFit="0" vertical="center" wrapText="1"/>
    </xf>
    <xf borderId="27" fillId="0" fontId="74" numFmtId="0" xfId="0" applyAlignment="1" applyBorder="1" applyFont="1">
      <alignment horizontal="center" shrinkToFit="0" vertical="center" wrapText="1"/>
    </xf>
    <xf borderId="27" fillId="0" fontId="74" numFmtId="4" xfId="0" applyAlignment="1" applyBorder="1" applyFont="1" applyNumberFormat="1">
      <alignment horizontal="center" shrinkToFit="0" vertical="center" wrapText="1"/>
    </xf>
    <xf borderId="27" fillId="0" fontId="74" numFmtId="170" xfId="0" applyAlignment="1" applyBorder="1" applyFont="1" applyNumberFormat="1">
      <alignment horizontal="center" shrinkToFit="0" vertical="center" wrapText="1"/>
    </xf>
    <xf borderId="27" fillId="0" fontId="74" numFmtId="49" xfId="0" applyAlignment="1" applyBorder="1" applyFont="1" applyNumberFormat="1">
      <alignment horizontal="center" shrinkToFit="0" vertical="center" wrapText="1"/>
    </xf>
    <xf borderId="27" fillId="5" fontId="31" numFmtId="0" xfId="0" applyAlignment="1" applyBorder="1" applyFont="1">
      <alignment horizontal="center" readingOrder="0" shrinkToFit="0" vertical="center" wrapText="1"/>
    </xf>
    <xf borderId="27" fillId="5" fontId="31" numFmtId="0" xfId="0" applyAlignment="1" applyBorder="1" applyFont="1">
      <alignment horizontal="center" shrinkToFit="0" vertical="center" wrapText="0"/>
    </xf>
    <xf borderId="27" fillId="24" fontId="31" numFmtId="0" xfId="0" applyAlignment="1" applyBorder="1" applyFont="1">
      <alignment horizontal="center" shrinkToFit="0" vertical="center" wrapText="0"/>
    </xf>
    <xf borderId="27" fillId="24" fontId="31" numFmtId="10" xfId="0" applyAlignment="1" applyBorder="1" applyFont="1" applyNumberFormat="1">
      <alignment horizontal="center" shrinkToFit="0" vertical="center" wrapText="0"/>
    </xf>
    <xf borderId="27" fillId="24" fontId="31" numFmtId="4" xfId="0" applyAlignment="1" applyBorder="1" applyFont="1" applyNumberFormat="1">
      <alignment horizontal="center" shrinkToFit="0" vertical="center" wrapText="0"/>
    </xf>
    <xf borderId="27" fillId="32" fontId="31" numFmtId="4" xfId="0" applyAlignment="1" applyBorder="1" applyFill="1" applyFont="1" applyNumberFormat="1">
      <alignment horizontal="center" shrinkToFit="0" vertical="center" wrapText="0"/>
    </xf>
    <xf borderId="27" fillId="32" fontId="31" numFmtId="169" xfId="0" applyAlignment="1" applyBorder="1" applyFont="1" applyNumberFormat="1">
      <alignment horizontal="center" shrinkToFit="0" vertical="center" wrapText="0"/>
    </xf>
    <xf borderId="27" fillId="24" fontId="31" numFmtId="0" xfId="0" applyAlignment="1" applyBorder="1" applyFont="1">
      <alignment horizontal="center" readingOrder="0" shrinkToFit="0" vertical="center" wrapText="0"/>
    </xf>
    <xf borderId="28" fillId="2" fontId="25" numFmtId="0" xfId="0" applyAlignment="1" applyBorder="1" applyFont="1">
      <alignment horizontal="center" shrinkToFit="0" vertical="center" wrapText="1"/>
    </xf>
    <xf borderId="62" fillId="0" fontId="40" numFmtId="0" xfId="0" applyAlignment="1" applyBorder="1" applyFont="1">
      <alignment horizontal="center" readingOrder="0" shrinkToFit="0" vertical="center" wrapText="1"/>
    </xf>
    <xf borderId="106" fillId="0" fontId="43" numFmtId="0" xfId="0" applyAlignment="1" applyBorder="1" applyFont="1">
      <alignment horizontal="center" shrinkToFit="0" vertical="center" wrapText="1"/>
    </xf>
    <xf borderId="74" fillId="0" fontId="51" numFmtId="0" xfId="0" applyAlignment="1" applyBorder="1" applyFont="1">
      <alignment horizontal="center" readingOrder="0" shrinkToFit="0" vertical="center" wrapText="1"/>
    </xf>
    <xf borderId="106" fillId="0" fontId="43" numFmtId="2" xfId="0" applyAlignment="1" applyBorder="1" applyFont="1" applyNumberFormat="1">
      <alignment horizontal="center" shrinkToFit="0" vertical="center" wrapText="1"/>
    </xf>
    <xf borderId="27" fillId="0" fontId="75" numFmtId="4" xfId="0" applyAlignment="1" applyBorder="1" applyFont="1" applyNumberFormat="1">
      <alignment horizontal="center" shrinkToFit="0" vertical="center" wrapText="1"/>
    </xf>
    <xf borderId="27" fillId="0" fontId="74" numFmtId="0" xfId="0" applyAlignment="1" applyBorder="1" applyFont="1">
      <alignment horizontal="center" readingOrder="0" shrinkToFit="0" vertical="center" wrapText="1"/>
    </xf>
    <xf borderId="27" fillId="0" fontId="74" numFmtId="4" xfId="0" applyAlignment="1" applyBorder="1" applyFont="1" applyNumberFormat="1">
      <alignment horizontal="center" readingOrder="0" shrinkToFit="0" vertical="center" wrapText="1"/>
    </xf>
    <xf borderId="62" fillId="0" fontId="32" numFmtId="10" xfId="0" applyAlignment="1" applyBorder="1" applyFont="1" applyNumberFormat="1">
      <alignment horizontal="center" shrinkToFit="0" vertical="center" wrapText="1"/>
    </xf>
    <xf borderId="106" fillId="0" fontId="43" numFmtId="0" xfId="0" applyAlignment="1" applyBorder="1" applyFont="1">
      <alignment horizontal="center" shrinkToFit="0" vertical="center" wrapText="1"/>
    </xf>
    <xf borderId="0" fillId="0" fontId="4" numFmtId="10" xfId="0" applyAlignment="1" applyFont="1" applyNumberFormat="1">
      <alignment shrinkToFit="0" wrapText="1"/>
    </xf>
    <xf borderId="62" fillId="0" fontId="32" numFmtId="0" xfId="0" applyAlignment="1" applyBorder="1" applyFont="1">
      <alignment horizontal="center" shrinkToFit="0" vertical="center" wrapText="1"/>
    </xf>
    <xf borderId="43" fillId="0" fontId="75" numFmtId="3" xfId="0" applyAlignment="1" applyBorder="1" applyFont="1" applyNumberFormat="1">
      <alignment horizontal="center" shrinkToFit="0" vertical="center" wrapText="1"/>
    </xf>
    <xf borderId="74" fillId="12" fontId="66" numFmtId="10" xfId="0" applyAlignment="1" applyBorder="1" applyFont="1" applyNumberFormat="1">
      <alignment horizontal="center" shrinkToFit="0" vertical="center" wrapText="1"/>
    </xf>
    <xf borderId="0" fillId="5" fontId="4" numFmtId="4" xfId="0" applyAlignment="1" applyFont="1" applyNumberFormat="1">
      <alignment readingOrder="0" shrinkToFit="0" wrapText="1"/>
    </xf>
    <xf borderId="0" fillId="7" fontId="33" numFmtId="0" xfId="0" applyAlignment="1" applyFont="1">
      <alignment horizontal="center" shrinkToFit="0" wrapText="1"/>
    </xf>
    <xf borderId="34" fillId="6" fontId="82" numFmtId="0" xfId="0" applyAlignment="1" applyBorder="1" applyFont="1">
      <alignment horizontal="center" readingOrder="0" shrinkToFit="0" vertical="center" wrapText="1"/>
    </xf>
    <xf borderId="34" fillId="6" fontId="82" numFmtId="173" xfId="0" applyAlignment="1" applyBorder="1" applyFont="1" applyNumberFormat="1">
      <alignment horizontal="center" readingOrder="0" shrinkToFit="0" vertical="center" wrapText="1"/>
    </xf>
    <xf borderId="34" fillId="6" fontId="83" numFmtId="0" xfId="0" applyAlignment="1" applyBorder="1" applyFont="1">
      <alignment horizontal="center" readingOrder="0" shrinkToFit="0" vertical="center" wrapText="1"/>
    </xf>
    <xf borderId="43" fillId="12" fontId="66" numFmtId="10" xfId="0" applyAlignment="1" applyBorder="1" applyFont="1" applyNumberFormat="1">
      <alignment horizontal="center" shrinkToFit="0" vertical="center" wrapText="1"/>
    </xf>
    <xf borderId="0" fillId="12" fontId="4" numFmtId="0" xfId="0" applyAlignment="1" applyFont="1">
      <alignment shrinkToFit="0" wrapText="1"/>
    </xf>
    <xf borderId="27" fillId="5" fontId="31" numFmtId="0" xfId="0" applyAlignment="1" applyBorder="1" applyFont="1">
      <alignment horizontal="center" readingOrder="0" shrinkToFit="0" vertical="center" wrapText="0"/>
    </xf>
    <xf borderId="27" fillId="5" fontId="31" numFmtId="0" xfId="0" applyAlignment="1" applyBorder="1" applyFont="1">
      <alignment horizontal="center" readingOrder="0" shrinkToFit="0" vertical="center" wrapText="0"/>
    </xf>
    <xf borderId="27" fillId="24" fontId="31" numFmtId="0" xfId="0" applyAlignment="1" applyBorder="1" applyFont="1">
      <alignment horizontal="center" readingOrder="0" shrinkToFit="0" vertical="center" wrapText="0"/>
    </xf>
    <xf borderId="27" fillId="24" fontId="31" numFmtId="173" xfId="0" applyAlignment="1" applyBorder="1" applyFont="1" applyNumberFormat="1">
      <alignment horizontal="center" shrinkToFit="0" vertical="center" wrapText="0"/>
    </xf>
    <xf borderId="27" fillId="24" fontId="31" numFmtId="166" xfId="0" applyAlignment="1" applyBorder="1" applyFont="1" applyNumberFormat="1">
      <alignment horizontal="center" readingOrder="0" shrinkToFit="0" vertical="center" wrapText="0"/>
    </xf>
    <xf borderId="27" fillId="32" fontId="31" numFmtId="167" xfId="0" applyAlignment="1" applyBorder="1" applyFont="1" applyNumberFormat="1">
      <alignment horizontal="center" readingOrder="0" shrinkToFit="0" vertical="center" wrapText="0"/>
    </xf>
    <xf borderId="0" fillId="7" fontId="4" numFmtId="0" xfId="0" applyAlignment="1" applyFont="1">
      <alignment readingOrder="0" shrinkToFit="0" wrapText="1"/>
    </xf>
    <xf borderId="0" fillId="24" fontId="33" numFmtId="0" xfId="0" applyAlignment="1" applyFont="1">
      <alignment shrinkToFit="0" wrapText="1"/>
    </xf>
    <xf borderId="27" fillId="24" fontId="31" numFmtId="0" xfId="0" applyAlignment="1" applyBorder="1" applyFont="1">
      <alignment horizontal="center" readingOrder="0" shrinkToFit="0" vertical="center" wrapText="1"/>
    </xf>
    <xf borderId="27" fillId="24" fontId="31" numFmtId="10" xfId="0" applyAlignment="1" applyBorder="1" applyFont="1" applyNumberFormat="1">
      <alignment horizontal="center" readingOrder="0" shrinkToFit="0" vertical="center" wrapText="0"/>
    </xf>
    <xf borderId="105" fillId="0" fontId="43" numFmtId="0" xfId="0" applyAlignment="1" applyBorder="1" applyFont="1">
      <alignment horizontal="center" shrinkToFit="0" vertical="center" wrapText="1"/>
    </xf>
    <xf borderId="101" fillId="0" fontId="51" numFmtId="0" xfId="0" applyAlignment="1" applyBorder="1" applyFont="1">
      <alignment horizontal="center" readingOrder="0" shrinkToFit="0" vertical="center" wrapText="1"/>
    </xf>
    <xf borderId="105" fillId="0" fontId="43" numFmtId="0" xfId="0" applyAlignment="1" applyBorder="1" applyFont="1">
      <alignment horizontal="center" shrinkToFit="0" vertical="center" wrapText="1"/>
    </xf>
    <xf borderId="43" fillId="0" fontId="73" numFmtId="169" xfId="0" applyAlignment="1" applyBorder="1" applyFont="1" applyNumberFormat="1">
      <alignment horizontal="center" shrinkToFit="0" vertical="center" wrapText="1"/>
    </xf>
    <xf borderId="0" fillId="0" fontId="4" numFmtId="4" xfId="0" applyAlignment="1" applyFont="1" applyNumberFormat="1">
      <alignment horizontal="center" shrinkToFit="0" vertical="center" wrapText="1"/>
    </xf>
    <xf borderId="27" fillId="33" fontId="31" numFmtId="0" xfId="0" applyAlignment="1" applyBorder="1" applyFill="1" applyFont="1">
      <alignment horizontal="center" readingOrder="0" shrinkToFit="0" vertical="center" wrapText="0"/>
    </xf>
    <xf borderId="27" fillId="33" fontId="31" numFmtId="0" xfId="0" applyAlignment="1" applyBorder="1" applyFont="1">
      <alignment horizontal="center" shrinkToFit="0" vertical="center" wrapText="0"/>
    </xf>
    <xf borderId="27" fillId="33" fontId="31" numFmtId="10" xfId="0" applyAlignment="1" applyBorder="1" applyFont="1" applyNumberFormat="1">
      <alignment horizontal="center" readingOrder="0" shrinkToFit="0" vertical="center" wrapText="0"/>
    </xf>
    <xf borderId="27" fillId="33" fontId="31" numFmtId="173" xfId="0" applyAlignment="1" applyBorder="1" applyFont="1" applyNumberFormat="1">
      <alignment horizontal="center" readingOrder="0" shrinkToFit="0" vertical="center" wrapText="0"/>
    </xf>
    <xf borderId="27" fillId="33" fontId="31" numFmtId="4" xfId="0" applyAlignment="1" applyBorder="1" applyFont="1" applyNumberFormat="1">
      <alignment horizontal="center" shrinkToFit="0" vertical="center" wrapText="0"/>
    </xf>
    <xf borderId="27" fillId="33" fontId="31" numFmtId="10" xfId="0" applyAlignment="1" applyBorder="1" applyFont="1" applyNumberFormat="1">
      <alignment horizontal="center" shrinkToFit="0" vertical="center" wrapText="0"/>
    </xf>
    <xf borderId="27" fillId="33" fontId="31" numFmtId="166" xfId="0" applyAlignment="1" applyBorder="1" applyFont="1" applyNumberFormat="1">
      <alignment horizontal="center" readingOrder="0" shrinkToFit="0" vertical="center" wrapText="0"/>
    </xf>
    <xf borderId="27" fillId="33" fontId="31" numFmtId="167" xfId="0" applyAlignment="1" applyBorder="1" applyFont="1" applyNumberFormat="1">
      <alignment horizontal="center" readingOrder="0" shrinkToFit="0" vertical="center" wrapText="0"/>
    </xf>
    <xf borderId="62" fillId="0" fontId="71" numFmtId="10" xfId="0" applyAlignment="1" applyBorder="1" applyFont="1" applyNumberFormat="1">
      <alignment horizontal="center" shrinkToFit="0" vertical="center" wrapText="1"/>
    </xf>
    <xf borderId="0" fillId="5" fontId="31" numFmtId="0" xfId="0" applyAlignment="1" applyFont="1">
      <alignment horizontal="center" shrinkToFit="0" vertical="center" wrapText="1"/>
    </xf>
    <xf borderId="0" fillId="5" fontId="74" numFmtId="0" xfId="0" applyAlignment="1" applyFont="1">
      <alignment horizontal="center" shrinkToFit="0" vertical="center" wrapText="1"/>
    </xf>
    <xf borderId="0" fillId="5" fontId="74" numFmtId="4" xfId="0" applyAlignment="1" applyFont="1" applyNumberFormat="1">
      <alignment horizontal="center" shrinkToFit="0" vertical="center" wrapText="1"/>
    </xf>
    <xf borderId="30" fillId="0" fontId="74" numFmtId="4" xfId="0" applyAlignment="1" applyBorder="1" applyFont="1" applyNumberFormat="1">
      <alignment horizontal="center" shrinkToFit="0" vertical="center" wrapText="1"/>
    </xf>
    <xf borderId="0" fillId="7" fontId="33" numFmtId="0" xfId="0" applyAlignment="1" applyFont="1">
      <alignment shrinkToFit="0" wrapText="1"/>
    </xf>
    <xf borderId="33" fillId="6" fontId="42" numFmtId="0" xfId="0" applyAlignment="1" applyBorder="1" applyFont="1">
      <alignment horizontal="center" readingOrder="0" shrinkToFit="0" vertical="center" wrapText="0"/>
    </xf>
    <xf borderId="27" fillId="0" fontId="84" numFmtId="2" xfId="0" applyAlignment="1" applyBorder="1" applyFont="1" applyNumberFormat="1">
      <alignment horizontal="center" shrinkToFit="0" vertical="center" wrapText="0"/>
    </xf>
    <xf borderId="62" fillId="0" fontId="71" numFmtId="0" xfId="0" applyAlignment="1" applyBorder="1" applyFont="1">
      <alignment horizontal="center" shrinkToFit="0" vertical="center" wrapText="1"/>
    </xf>
    <xf borderId="100" fillId="0" fontId="74" numFmtId="170" xfId="0" applyAlignment="1" applyBorder="1" applyFont="1" applyNumberFormat="1">
      <alignment horizontal="center" shrinkToFit="0" vertical="center" wrapText="1"/>
    </xf>
    <xf borderId="40" fillId="0" fontId="74" numFmtId="4" xfId="0" applyAlignment="1" applyBorder="1" applyFont="1" applyNumberFormat="1">
      <alignment horizontal="center" shrinkToFit="0" vertical="center" wrapText="1"/>
    </xf>
    <xf borderId="27" fillId="0" fontId="85" numFmtId="0" xfId="0" applyAlignment="1" applyBorder="1" applyFont="1">
      <alignment horizontal="center" readingOrder="0" shrinkToFit="0" vertical="center" wrapText="0"/>
    </xf>
    <xf borderId="27" fillId="0" fontId="85" numFmtId="4" xfId="0" applyAlignment="1" applyBorder="1" applyFont="1" applyNumberFormat="1">
      <alignment horizontal="center" readingOrder="0" shrinkToFit="0" vertical="center" wrapText="0"/>
    </xf>
    <xf borderId="0" fillId="34" fontId="86" numFmtId="3" xfId="0" applyAlignment="1" applyFill="1" applyFont="1" applyNumberFormat="1">
      <alignment shrinkToFit="0" vertical="center" wrapText="0"/>
    </xf>
    <xf borderId="0" fillId="34" fontId="86" numFmtId="0" xfId="0" applyAlignment="1" applyFont="1">
      <alignment shrinkToFit="0" vertical="center" wrapText="0"/>
    </xf>
    <xf borderId="89" fillId="6" fontId="87" numFmtId="0" xfId="0" applyAlignment="1" applyBorder="1" applyFont="1">
      <alignment horizontal="center" readingOrder="0" shrinkToFit="0" vertical="center" wrapText="0"/>
    </xf>
    <xf borderId="90" fillId="6" fontId="42" numFmtId="174" xfId="0" applyAlignment="1" applyBorder="1" applyFont="1" applyNumberFormat="1">
      <alignment horizontal="center" readingOrder="0" shrinkToFit="0" vertical="center" wrapText="0"/>
    </xf>
    <xf borderId="90" fillId="6" fontId="42" numFmtId="0" xfId="0" applyAlignment="1" applyBorder="1" applyFont="1">
      <alignment horizontal="center" shrinkToFit="0" vertical="center" wrapText="0"/>
    </xf>
    <xf borderId="88" fillId="8" fontId="47" numFmtId="0" xfId="0" applyAlignment="1" applyBorder="1" applyFont="1">
      <alignment horizontal="center" readingOrder="0" shrinkToFit="0" vertical="center" wrapText="0"/>
    </xf>
    <xf borderId="0" fillId="34" fontId="86" numFmtId="0" xfId="0" applyAlignment="1" applyFont="1">
      <alignment shrinkToFit="0" vertical="center" wrapText="0"/>
    </xf>
    <xf borderId="33" fillId="6" fontId="72" numFmtId="0" xfId="0" applyAlignment="1" applyBorder="1" applyFont="1">
      <alignment horizontal="center" readingOrder="0" shrinkToFit="0" vertical="center" wrapText="0"/>
    </xf>
    <xf borderId="18" fillId="8" fontId="47" numFmtId="0" xfId="0" applyAlignment="1" applyBorder="1" applyFont="1">
      <alignment horizontal="center" readingOrder="0" shrinkToFit="0" vertical="center" wrapText="0"/>
    </xf>
    <xf borderId="32" fillId="10" fontId="88" numFmtId="168" xfId="0" applyAlignment="1" applyBorder="1" applyFont="1" applyNumberFormat="1">
      <alignment horizontal="center" shrinkToFit="0" vertical="center" wrapText="0"/>
    </xf>
    <xf borderId="27" fillId="0" fontId="84" numFmtId="0" xfId="0" applyAlignment="1" applyBorder="1" applyFont="1">
      <alignment horizontal="center" shrinkToFit="0" vertical="center" wrapText="0"/>
    </xf>
    <xf borderId="18" fillId="34" fontId="89" numFmtId="0" xfId="0" applyAlignment="1" applyBorder="1" applyFont="1">
      <alignment shrinkToFit="0" vertical="center" wrapText="0"/>
    </xf>
    <xf borderId="29" fillId="6" fontId="87" numFmtId="0" xfId="0" applyAlignment="1" applyBorder="1" applyFont="1">
      <alignment horizontal="center" readingOrder="0" shrinkToFit="0" vertical="center" wrapText="0"/>
    </xf>
    <xf borderId="29" fillId="6" fontId="87" numFmtId="0" xfId="0" applyAlignment="1" applyBorder="1" applyFont="1">
      <alignment horizontal="center" shrinkToFit="0" vertical="center" wrapText="0"/>
    </xf>
    <xf borderId="28" fillId="2" fontId="43" numFmtId="0" xfId="0" applyAlignment="1" applyBorder="1" applyFont="1">
      <alignment horizontal="center" shrinkToFit="0" vertical="center" wrapText="1"/>
    </xf>
    <xf borderId="0" fillId="34" fontId="86" numFmtId="4" xfId="0" applyAlignment="1" applyFont="1" applyNumberFormat="1">
      <alignment shrinkToFit="0" vertical="center" wrapText="0"/>
    </xf>
    <xf borderId="11" fillId="6" fontId="42" numFmtId="0" xfId="0" applyAlignment="1" applyBorder="1" applyFont="1">
      <alignment horizontal="center" readingOrder="0" shrinkToFit="0" vertical="center" wrapText="0"/>
    </xf>
    <xf borderId="27" fillId="0" fontId="84" numFmtId="174" xfId="0" applyAlignment="1" applyBorder="1" applyFont="1" applyNumberFormat="1">
      <alignment horizontal="center" shrinkToFit="0" vertical="center" wrapText="0"/>
    </xf>
    <xf borderId="27" fillId="0" fontId="84" numFmtId="4" xfId="0" applyAlignment="1" applyBorder="1" applyFont="1" applyNumberFormat="1">
      <alignment horizontal="center" shrinkToFit="0" vertical="center" wrapText="0"/>
    </xf>
    <xf borderId="27" fillId="0" fontId="86" numFmtId="4" xfId="0" applyAlignment="1" applyBorder="1" applyFont="1" applyNumberFormat="1">
      <alignment shrinkToFit="0" vertical="center" wrapText="0"/>
    </xf>
    <xf borderId="0" fillId="34" fontId="84" numFmtId="3" xfId="0" applyAlignment="1" applyFont="1" applyNumberFormat="1">
      <alignment horizontal="center" readingOrder="0" shrinkToFit="0" vertical="center" wrapText="0"/>
    </xf>
    <xf borderId="0" fillId="34" fontId="86" numFmtId="4" xfId="0" applyAlignment="1" applyFont="1" applyNumberFormat="1">
      <alignment readingOrder="0" shrinkToFit="0" vertical="center" wrapText="0"/>
    </xf>
    <xf borderId="43" fillId="0" fontId="90" numFmtId="10" xfId="0" applyAlignment="1" applyBorder="1" applyFont="1" applyNumberFormat="1">
      <alignment horizontal="center" shrinkToFit="0" vertical="center" wrapText="1"/>
    </xf>
    <xf borderId="0" fillId="0" fontId="91" numFmtId="0" xfId="0" applyAlignment="1" applyFont="1">
      <alignment horizontal="center" readingOrder="0" shrinkToFit="0" vertical="center" wrapText="1"/>
    </xf>
    <xf borderId="54" fillId="6" fontId="92" numFmtId="0" xfId="0" applyAlignment="1" applyBorder="1" applyFont="1">
      <alignment horizontal="center" readingOrder="0" shrinkToFit="0" vertical="center" wrapText="1"/>
    </xf>
    <xf borderId="56" fillId="0" fontId="4" numFmtId="0" xfId="0" applyAlignment="1" applyBorder="1" applyFont="1">
      <alignment shrinkToFit="0" wrapText="1"/>
    </xf>
    <xf borderId="107" fillId="6" fontId="28" numFmtId="0" xfId="0" applyAlignment="1" applyBorder="1" applyFont="1">
      <alignment horizontal="center" readingOrder="0" shrinkToFit="0" vertical="center" wrapText="1"/>
    </xf>
    <xf borderId="54" fillId="6" fontId="28" numFmtId="0" xfId="0" applyAlignment="1" applyBorder="1" applyFont="1">
      <alignment horizontal="center" readingOrder="0" shrinkToFit="0" vertical="center" wrapText="1"/>
    </xf>
    <xf borderId="54" fillId="6" fontId="27" numFmtId="0" xfId="0" applyAlignment="1" applyBorder="1" applyFont="1">
      <alignment horizontal="center" readingOrder="0" shrinkToFit="0" vertical="center" wrapText="1"/>
    </xf>
    <xf borderId="0" fillId="0" fontId="93" numFmtId="0" xfId="0" applyAlignment="1" applyFont="1">
      <alignment horizontal="center" readingOrder="0" shrinkToFit="0" vertical="center" wrapText="1"/>
    </xf>
    <xf borderId="108" fillId="0" fontId="4" numFmtId="0" xfId="0" applyAlignment="1" applyBorder="1" applyFont="1">
      <alignment shrinkToFit="0" wrapText="1"/>
    </xf>
    <xf borderId="0" fillId="0" fontId="29" numFmtId="0" xfId="0" applyAlignment="1" applyFont="1">
      <alignment horizontal="center" readingOrder="0" shrinkToFit="0" vertical="center" wrapText="1"/>
    </xf>
    <xf borderId="0" fillId="0" fontId="53" numFmtId="0" xfId="0" applyAlignment="1" applyFont="1">
      <alignment horizontal="center" readingOrder="0" shrinkToFit="0" vertical="center" wrapText="1"/>
    </xf>
    <xf borderId="109" fillId="14" fontId="29" numFmtId="0" xfId="0" applyAlignment="1" applyBorder="1" applyFont="1">
      <alignment horizontal="center" readingOrder="0" shrinkToFit="0" vertical="center" wrapText="1"/>
    </xf>
    <xf borderId="110" fillId="0" fontId="4" numFmtId="0" xfId="0" applyAlignment="1" applyBorder="1" applyFont="1">
      <alignment shrinkToFit="0" wrapText="1"/>
    </xf>
    <xf borderId="111" fillId="0" fontId="4" numFmtId="0" xfId="0" applyAlignment="1" applyBorder="1" applyFont="1">
      <alignment shrinkToFit="0" wrapText="1"/>
    </xf>
    <xf borderId="11" fillId="14" fontId="27" numFmtId="0" xfId="0" applyAlignment="1" applyBorder="1" applyFont="1">
      <alignment horizontal="center" readingOrder="0" shrinkToFit="0" vertical="center" wrapText="1"/>
    </xf>
    <xf borderId="29" fillId="17" fontId="29" numFmtId="0" xfId="0" applyAlignment="1" applyBorder="1" applyFont="1">
      <alignment horizontal="center" readingOrder="0" shrinkToFit="0" vertical="center" wrapText="1"/>
    </xf>
    <xf borderId="0" fillId="0" fontId="94" numFmtId="0" xfId="0" applyAlignment="1" applyFont="1">
      <alignment horizontal="center" readingOrder="0" shrinkToFit="0" vertical="center" wrapText="0"/>
    </xf>
    <xf borderId="112" fillId="14" fontId="36" numFmtId="164" xfId="0" applyAlignment="1" applyBorder="1" applyFont="1" applyNumberFormat="1">
      <alignment horizontal="center" readingOrder="0" shrinkToFit="0" vertical="center" wrapText="1"/>
    </xf>
    <xf borderId="113" fillId="0" fontId="4" numFmtId="0" xfId="0" applyAlignment="1" applyBorder="1" applyFont="1">
      <alignment shrinkToFit="0" wrapText="1"/>
    </xf>
    <xf borderId="114" fillId="0" fontId="4" numFmtId="0" xfId="0" applyAlignment="1" applyBorder="1" applyFont="1">
      <alignment shrinkToFit="0" wrapText="1"/>
    </xf>
    <xf borderId="0" fillId="0" fontId="95" numFmtId="4" xfId="0" applyAlignment="1" applyFont="1" applyNumberFormat="1">
      <alignment shrinkToFit="0" wrapText="1"/>
    </xf>
    <xf borderId="115" fillId="14" fontId="29" numFmtId="0" xfId="0" applyAlignment="1" applyBorder="1" applyFont="1">
      <alignment horizontal="center" readingOrder="0" shrinkToFit="0" vertical="center" wrapText="1"/>
    </xf>
    <xf borderId="116" fillId="0" fontId="4" numFmtId="0" xfId="0" applyAlignment="1" applyBorder="1" applyFont="1">
      <alignment shrinkToFit="0" wrapText="1"/>
    </xf>
    <xf borderId="115" fillId="14" fontId="96" numFmtId="0" xfId="0" applyAlignment="1" applyBorder="1" applyFont="1">
      <alignment horizontal="center" readingOrder="0" shrinkToFit="0" vertical="center" wrapText="1"/>
    </xf>
    <xf borderId="117" fillId="0" fontId="4" numFmtId="0" xfId="0" applyAlignment="1" applyBorder="1" applyFont="1">
      <alignment shrinkToFit="0" wrapText="1"/>
    </xf>
    <xf borderId="89" fillId="14" fontId="36" numFmtId="0" xfId="0" applyAlignment="1" applyBorder="1" applyFont="1">
      <alignment horizontal="center" readingOrder="0" shrinkToFit="0" vertical="center" wrapText="1"/>
    </xf>
    <xf borderId="0" fillId="0" fontId="10" numFmtId="0" xfId="0" applyAlignment="1" applyFont="1">
      <alignment horizontal="center" readingOrder="0" shrinkToFit="0" vertical="center" wrapText="0"/>
    </xf>
    <xf borderId="33" fillId="14" fontId="36" numFmtId="0" xfId="0" applyAlignment="1" applyBorder="1" applyFont="1">
      <alignment horizontal="center" readingOrder="0" shrinkToFit="0" vertical="center" wrapText="1"/>
    </xf>
    <xf borderId="0" fillId="0" fontId="95" numFmtId="0" xfId="0" applyAlignment="1" applyFont="1">
      <alignment shrinkToFit="0" wrapText="1"/>
    </xf>
    <xf borderId="2" fillId="0" fontId="2" numFmtId="4" xfId="0" applyAlignment="1" applyBorder="1" applyFont="1" applyNumberFormat="1">
      <alignment horizontal="center" shrinkToFit="0" vertical="center" wrapText="1"/>
    </xf>
    <xf borderId="118" fillId="28" fontId="51" numFmtId="170" xfId="0" applyAlignment="1" applyBorder="1" applyFont="1" applyNumberFormat="1">
      <alignment horizontal="center" shrinkToFit="0" vertical="center" wrapText="1"/>
    </xf>
    <xf borderId="119" fillId="0" fontId="4" numFmtId="0" xfId="0" applyAlignment="1" applyBorder="1" applyFont="1">
      <alignment shrinkToFit="0" wrapText="1"/>
    </xf>
    <xf borderId="120" fillId="0" fontId="4" numFmtId="0" xfId="0" applyAlignment="1" applyBorder="1" applyFont="1">
      <alignment shrinkToFit="0" wrapText="1"/>
    </xf>
    <xf borderId="89" fillId="28" fontId="51" numFmtId="169" xfId="0" applyAlignment="1" applyBorder="1" applyFont="1" applyNumberFormat="1">
      <alignment horizontal="center" readingOrder="0" shrinkToFit="0" vertical="center" wrapText="1"/>
    </xf>
    <xf borderId="0" fillId="0" fontId="4" numFmtId="4" xfId="0" applyAlignment="1" applyFont="1" applyNumberFormat="1">
      <alignment shrinkToFit="0" wrapText="1"/>
    </xf>
    <xf borderId="109" fillId="14" fontId="96" numFmtId="0" xfId="0" applyAlignment="1" applyBorder="1" applyFont="1">
      <alignment horizontal="center" readingOrder="0" shrinkToFit="0" vertical="center" wrapText="1"/>
    </xf>
    <xf borderId="89" fillId="14" fontId="54" numFmtId="0" xfId="0" applyAlignment="1" applyBorder="1" applyFont="1">
      <alignment horizontal="center" readingOrder="0" shrinkToFit="0" vertical="center" wrapText="1"/>
    </xf>
    <xf borderId="11" fillId="14" fontId="54" numFmtId="0" xfId="0" applyAlignment="1" applyBorder="1" applyFont="1">
      <alignment horizontal="center" readingOrder="0" shrinkToFit="0" vertical="center" wrapText="1"/>
    </xf>
    <xf borderId="2" fillId="0" fontId="2" numFmtId="0" xfId="0" applyAlignment="1" applyBorder="1" applyFont="1">
      <alignment horizontal="center" shrinkToFit="0" vertical="center" wrapText="1"/>
    </xf>
    <xf borderId="121" fillId="28" fontId="51" numFmtId="170" xfId="0" applyAlignment="1" applyBorder="1" applyFont="1" applyNumberFormat="1">
      <alignment horizontal="center" shrinkToFit="0" vertical="center" wrapText="1"/>
    </xf>
    <xf borderId="122" fillId="0" fontId="4" numFmtId="0" xfId="0" applyAlignment="1" applyBorder="1" applyFont="1">
      <alignment shrinkToFit="0" wrapText="1"/>
    </xf>
    <xf borderId="88" fillId="28" fontId="51" numFmtId="10" xfId="0" applyAlignment="1" applyBorder="1" applyFont="1" applyNumberFormat="1">
      <alignment horizontal="center" readingOrder="0" shrinkToFit="0" vertical="center" wrapText="1"/>
    </xf>
    <xf borderId="89" fillId="28" fontId="51" numFmtId="10" xfId="0" applyAlignment="1" applyBorder="1" applyFont="1" applyNumberFormat="1">
      <alignment horizontal="center" readingOrder="0" shrinkToFit="0" vertical="center" wrapText="1"/>
    </xf>
    <xf borderId="123" fillId="14" fontId="54" numFmtId="0" xfId="0" applyAlignment="1" applyBorder="1" applyFont="1">
      <alignment horizontal="center" readingOrder="0" shrinkToFit="0" vertical="center" wrapText="1"/>
    </xf>
    <xf borderId="0" fillId="6" fontId="40" numFmtId="0" xfId="0" applyAlignment="1" applyFont="1">
      <alignment horizontal="center" readingOrder="0" shrinkToFit="0" vertical="center" wrapText="1"/>
    </xf>
    <xf borderId="18" fillId="10" fontId="52" numFmtId="166" xfId="0" applyAlignment="1" applyBorder="1" applyFont="1" applyNumberFormat="1">
      <alignment horizontal="center" readingOrder="0" shrinkToFit="0" vertical="center" wrapText="1"/>
    </xf>
    <xf borderId="124" fillId="28" fontId="97" numFmtId="170" xfId="0" applyAlignment="1" applyBorder="1" applyFont="1" applyNumberFormat="1">
      <alignment horizontal="center" shrinkToFit="0" vertical="center" wrapText="1"/>
    </xf>
    <xf borderId="124" fillId="0" fontId="4" numFmtId="0" xfId="0" applyAlignment="1" applyBorder="1" applyFont="1">
      <alignment shrinkToFit="0" wrapText="1"/>
    </xf>
    <xf borderId="71" fillId="0" fontId="4" numFmtId="0" xfId="0" applyAlignment="1" applyBorder="1" applyFont="1">
      <alignment shrinkToFit="0" wrapText="1"/>
    </xf>
    <xf borderId="88" fillId="14" fontId="36" numFmtId="0" xfId="0" applyAlignment="1" applyBorder="1" applyFont="1">
      <alignment horizontal="center" readingOrder="0" shrinkToFit="0" vertical="center" wrapText="1"/>
    </xf>
    <xf borderId="69" fillId="6" fontId="36" numFmtId="0" xfId="0" applyAlignment="1" applyBorder="1" applyFont="1">
      <alignment horizontal="center" readingOrder="0" shrinkToFit="0" vertical="center" wrapText="1"/>
    </xf>
    <xf borderId="125" fillId="0" fontId="4" numFmtId="0" xfId="0" applyAlignment="1" applyBorder="1" applyFont="1">
      <alignment shrinkToFit="0" wrapText="1"/>
    </xf>
    <xf borderId="126" fillId="6" fontId="36" numFmtId="0" xfId="0" applyAlignment="1" applyBorder="1" applyFont="1">
      <alignment horizontal="center" readingOrder="0" shrinkToFit="0" vertical="center" wrapText="1"/>
    </xf>
    <xf borderId="71" fillId="28" fontId="51" numFmtId="10" xfId="0" applyAlignment="1" applyBorder="1" applyFont="1" applyNumberFormat="1">
      <alignment horizontal="center" shrinkToFit="0" vertical="center" wrapText="1"/>
    </xf>
    <xf borderId="127" fillId="28" fontId="51" numFmtId="10" xfId="0" applyAlignment="1" applyBorder="1" applyFont="1" applyNumberFormat="1">
      <alignment horizontal="center" shrinkToFit="0" vertical="center" wrapText="1"/>
    </xf>
    <xf borderId="0" fillId="28" fontId="98" numFmtId="172" xfId="0" applyAlignment="1" applyFont="1" applyNumberFormat="1">
      <alignment horizontal="center" readingOrder="0" shrinkToFit="0" vertical="center" wrapText="1"/>
    </xf>
    <xf borderId="99" fillId="28" fontId="51" numFmtId="10" xfId="0" applyAlignment="1" applyBorder="1" applyFont="1" applyNumberFormat="1">
      <alignment horizontal="center" readingOrder="0" shrinkToFit="0" vertical="center" wrapText="1"/>
    </xf>
    <xf borderId="123" fillId="14" fontId="41" numFmtId="0" xfId="0" applyAlignment="1" applyBorder="1" applyFont="1">
      <alignment horizontal="center" readingOrder="0" shrinkToFit="0" vertical="center" wrapText="1"/>
    </xf>
    <xf borderId="89" fillId="6" fontId="82" numFmtId="0" xfId="0" applyAlignment="1" applyBorder="1" applyFont="1">
      <alignment horizontal="center" readingOrder="0" shrinkToFit="0" vertical="center" wrapText="1"/>
    </xf>
    <xf borderId="43" fillId="0" fontId="99" numFmtId="0" xfId="0" applyAlignment="1" applyBorder="1" applyFont="1">
      <alignment horizontal="center" shrinkToFit="0" vertical="center" wrapText="1"/>
    </xf>
    <xf borderId="43" fillId="0" fontId="99" numFmtId="0" xfId="0" applyAlignment="1" applyBorder="1" applyFont="1">
      <alignment horizontal="center" readingOrder="0" shrinkToFit="0" vertical="center" wrapText="1"/>
    </xf>
    <xf borderId="43" fillId="0" fontId="99" numFmtId="166" xfId="0" applyAlignment="1" applyBorder="1" applyFont="1" applyNumberFormat="1">
      <alignment horizontal="center" shrinkToFit="0" vertical="center" wrapText="1"/>
    </xf>
    <xf borderId="43" fillId="0" fontId="99" numFmtId="169" xfId="0" applyAlignment="1" applyBorder="1" applyFont="1" applyNumberFormat="1">
      <alignment horizontal="center" shrinkToFit="0" vertical="center" wrapText="1"/>
    </xf>
    <xf borderId="43" fillId="0" fontId="100" numFmtId="0" xfId="0" applyAlignment="1" applyBorder="1" applyFont="1">
      <alignment horizontal="center" shrinkToFit="0" wrapText="1"/>
    </xf>
    <xf borderId="62" fillId="0" fontId="100" numFmtId="167" xfId="0" applyAlignment="1" applyBorder="1" applyFont="1" applyNumberFormat="1">
      <alignment horizontal="center" shrinkToFit="0" wrapText="1"/>
    </xf>
    <xf borderId="0" fillId="0" fontId="32" numFmtId="0" xfId="0" applyAlignment="1" applyFont="1">
      <alignment shrinkToFit="0" wrapText="1"/>
    </xf>
    <xf borderId="54" fillId="6" fontId="101" numFmtId="0" xfId="0" applyAlignment="1" applyBorder="1" applyFont="1">
      <alignment horizontal="center" shrinkToFit="0" vertical="center" wrapText="1"/>
    </xf>
    <xf borderId="27" fillId="0" fontId="102" numFmtId="0" xfId="0" applyAlignment="1" applyBorder="1" applyFont="1">
      <alignment horizontal="center" readingOrder="0" shrinkToFit="0" vertical="center" wrapText="0"/>
    </xf>
    <xf borderId="0" fillId="0" fontId="103" numFmtId="0" xfId="0" applyAlignment="1" applyFont="1">
      <alignment shrinkToFit="0" wrapText="1"/>
    </xf>
    <xf borderId="0" fillId="0" fontId="4" numFmtId="174" xfId="0" applyAlignment="1" applyFont="1" applyNumberFormat="1">
      <alignment shrinkToFit="0" wrapText="1"/>
    </xf>
    <xf borderId="0" fillId="0" fontId="32" numFmtId="0" xfId="0" applyAlignment="1" applyFont="1">
      <alignment horizontal="center" shrinkToFit="0" vertical="center" wrapText="1"/>
    </xf>
    <xf borderId="0" fillId="0" fontId="4" numFmtId="0" xfId="0" applyAlignment="1" applyFont="1">
      <alignment horizontal="center" shrinkToFit="0" vertical="center" wrapText="1"/>
    </xf>
    <xf borderId="0" fillId="0" fontId="104" numFmtId="0" xfId="0" applyAlignment="1" applyFont="1">
      <alignment shrinkToFit="0" vertical="center" wrapText="1"/>
    </xf>
    <xf borderId="89" fillId="6" fontId="29" numFmtId="0" xfId="0" applyAlignment="1" applyBorder="1" applyFont="1">
      <alignment horizontal="center" readingOrder="0" shrinkToFit="0" vertical="center" wrapText="1"/>
    </xf>
    <xf borderId="11" fillId="6" fontId="29" numFmtId="0" xfId="0" applyAlignment="1" applyBorder="1" applyFont="1">
      <alignment horizontal="center" readingOrder="0" shrinkToFit="0" vertical="center" wrapText="1"/>
    </xf>
    <xf borderId="33" fillId="6" fontId="70" numFmtId="0" xfId="0" applyAlignment="1" applyBorder="1" applyFont="1">
      <alignment horizontal="center" readingOrder="0" shrinkToFit="0" vertical="center" wrapText="1"/>
    </xf>
    <xf borderId="0" fillId="0" fontId="51" numFmtId="0" xfId="0" applyAlignment="1" applyFont="1">
      <alignment shrinkToFit="0" wrapText="1"/>
    </xf>
    <xf borderId="0" fillId="6" fontId="61" numFmtId="0" xfId="0" applyAlignment="1" applyFont="1">
      <alignment horizontal="center" readingOrder="0" shrinkToFit="0" vertical="center" wrapText="1"/>
    </xf>
    <xf borderId="89" fillId="6" fontId="61" numFmtId="0" xfId="0" applyAlignment="1" applyBorder="1" applyFont="1">
      <alignment horizontal="center" shrinkToFit="0" vertical="center" wrapText="1"/>
    </xf>
    <xf borderId="32" fillId="6" fontId="36" numFmtId="0" xfId="0" applyAlignment="1" applyBorder="1" applyFont="1">
      <alignment horizontal="center" readingOrder="0" shrinkToFit="0" vertical="center" wrapText="1"/>
    </xf>
    <xf borderId="32" fillId="6" fontId="36" numFmtId="0" xfId="0" applyAlignment="1" applyBorder="1" applyFont="1">
      <alignment horizontal="center" shrinkToFit="0" vertical="center" wrapText="1"/>
    </xf>
    <xf borderId="33" fillId="6" fontId="61" numFmtId="0" xfId="0" applyAlignment="1" applyBorder="1" applyFont="1">
      <alignment horizontal="center" readingOrder="0" shrinkToFit="0" vertical="center" wrapText="1"/>
    </xf>
    <xf borderId="33" fillId="6" fontId="61" numFmtId="174" xfId="0" applyAlignment="1" applyBorder="1" applyFont="1" applyNumberFormat="1">
      <alignment horizontal="center" readingOrder="0" shrinkToFit="0" vertical="center" wrapText="1"/>
    </xf>
    <xf borderId="128" fillId="0" fontId="4" numFmtId="0" xfId="0" applyAlignment="1" applyBorder="1" applyFont="1">
      <alignment shrinkToFit="0" wrapText="1"/>
    </xf>
    <xf borderId="31" fillId="0" fontId="105" numFmtId="14" xfId="0" applyAlignment="1" applyBorder="1" applyFont="1" applyNumberFormat="1">
      <alignment horizontal="center" shrinkToFit="0" vertical="center" wrapText="1"/>
    </xf>
    <xf borderId="43" fillId="3" fontId="51" numFmtId="0" xfId="0" applyAlignment="1" applyBorder="1" applyFont="1">
      <alignment horizontal="center" readingOrder="0" shrinkToFit="0" vertical="center" wrapText="1"/>
    </xf>
    <xf borderId="43" fillId="3" fontId="51" numFmtId="174" xfId="0" applyAlignment="1" applyBorder="1" applyFont="1" applyNumberFormat="1">
      <alignment horizontal="center" readingOrder="0" shrinkToFit="0" vertical="center" wrapText="1"/>
    </xf>
    <xf borderId="0" fillId="0" fontId="51" numFmtId="0" xfId="0" applyAlignment="1" applyFont="1">
      <alignment horizontal="center" shrinkToFit="0" vertical="center" wrapText="1"/>
    </xf>
    <xf borderId="0" fillId="0" fontId="51" numFmtId="0" xfId="0" applyAlignment="1" applyFont="1">
      <alignment horizontal="center" readingOrder="0" shrinkToFit="0" vertical="center" wrapText="1"/>
    </xf>
    <xf borderId="16" fillId="0" fontId="104" numFmtId="0" xfId="0" applyAlignment="1" applyBorder="1" applyFont="1">
      <alignment shrinkToFit="0" vertical="center" wrapText="1"/>
    </xf>
    <xf borderId="0" fillId="0" fontId="105" numFmtId="0" xfId="0" applyAlignment="1" applyFont="1">
      <alignment shrinkToFit="0" wrapText="1"/>
    </xf>
    <xf borderId="15" fillId="6" fontId="61" numFmtId="0" xfId="0" applyAlignment="1" applyBorder="1" applyFont="1">
      <alignment horizontal="center" readingOrder="0" shrinkToFit="0" vertical="center" wrapText="1"/>
    </xf>
    <xf borderId="15" fillId="3" fontId="51" numFmtId="0" xfId="0" applyAlignment="1" applyBorder="1" applyFont="1">
      <alignment horizontal="center" readingOrder="0" shrinkToFit="0" vertical="center" wrapText="1"/>
    </xf>
    <xf borderId="11" fillId="6" fontId="36" numFmtId="0" xfId="0" applyAlignment="1" applyBorder="1" applyFont="1">
      <alignment horizontal="center" readingOrder="0" shrinkToFit="0" vertical="center" wrapText="1"/>
    </xf>
    <xf borderId="33" fillId="6" fontId="36" numFmtId="0" xfId="0" applyAlignment="1" applyBorder="1" applyFont="1">
      <alignment horizontal="center" readingOrder="0" shrinkToFit="0" vertical="center" wrapText="1"/>
    </xf>
    <xf borderId="33" fillId="6" fontId="36" numFmtId="172" xfId="0" applyAlignment="1" applyBorder="1" applyFont="1" applyNumberFormat="1">
      <alignment horizontal="center" shrinkToFit="0" vertical="center" wrapText="1"/>
    </xf>
    <xf borderId="33" fillId="6" fontId="41" numFmtId="49" xfId="0" applyAlignment="1" applyBorder="1" applyFont="1" applyNumberFormat="1">
      <alignment horizontal="center" readingOrder="0" shrinkToFit="0" vertical="center" wrapText="1"/>
    </xf>
    <xf borderId="33" fillId="6" fontId="41" numFmtId="49" xfId="0" applyAlignment="1" applyBorder="1" applyFont="1" applyNumberFormat="1">
      <alignment horizontal="center" shrinkToFit="0" vertical="center" wrapText="1"/>
    </xf>
    <xf borderId="32" fillId="6" fontId="36" numFmtId="172" xfId="0" applyAlignment="1" applyBorder="1" applyFont="1" applyNumberFormat="1">
      <alignment horizontal="center" shrinkToFit="0" vertical="center" wrapText="1"/>
    </xf>
    <xf borderId="28" fillId="9" fontId="61" numFmtId="0" xfId="0" applyAlignment="1" applyBorder="1" applyFont="1">
      <alignment horizontal="center" readingOrder="0" shrinkToFit="0" vertical="center" wrapText="1"/>
    </xf>
    <xf borderId="129" fillId="0" fontId="4" numFmtId="0" xfId="0" applyAlignment="1" applyBorder="1" applyFont="1">
      <alignment shrinkToFit="0" wrapText="1"/>
    </xf>
    <xf borderId="27" fillId="9" fontId="61" numFmtId="2" xfId="0" applyAlignment="1" applyBorder="1" applyFont="1" applyNumberFormat="1">
      <alignment horizontal="center" readingOrder="0" shrinkToFit="0" vertical="center" wrapText="1"/>
    </xf>
    <xf borderId="0" fillId="6" fontId="36" numFmtId="0" xfId="0" applyAlignment="1" applyFont="1">
      <alignment horizontal="center" readingOrder="0" shrinkToFit="0" vertical="center" wrapText="1"/>
    </xf>
    <xf borderId="0" fillId="9" fontId="61" numFmtId="4" xfId="0" applyAlignment="1" applyFont="1" applyNumberFormat="1">
      <alignment horizontal="center" shrinkToFit="0" vertical="center" wrapText="1"/>
    </xf>
    <xf borderId="33" fillId="9" fontId="61" numFmtId="4" xfId="0" applyAlignment="1" applyBorder="1" applyFont="1" applyNumberFormat="1">
      <alignment horizontal="center" shrinkToFit="0" vertical="center" wrapText="1"/>
    </xf>
    <xf borderId="88" fillId="9" fontId="61" numFmtId="4" xfId="0" applyAlignment="1" applyBorder="1" applyFont="1" applyNumberFormat="1">
      <alignment horizontal="center" shrinkToFit="0" vertical="center" wrapText="1"/>
    </xf>
    <xf borderId="130" fillId="0" fontId="4" numFmtId="0" xfId="0" applyAlignment="1" applyBorder="1" applyFont="1">
      <alignment shrinkToFit="0" wrapText="1"/>
    </xf>
    <xf borderId="27" fillId="0" fontId="102" numFmtId="0" xfId="0" applyAlignment="1" applyBorder="1" applyFont="1">
      <alignment horizontal="left" shrinkToFit="0" vertical="center" wrapText="0"/>
    </xf>
    <xf borderId="0" fillId="0" fontId="25" numFmtId="0" xfId="0" applyAlignment="1" applyFont="1">
      <alignment horizontal="center" readingOrder="0" shrinkToFit="0" vertical="center" wrapText="1"/>
    </xf>
    <xf borderId="27" fillId="2" fontId="51" numFmtId="0" xfId="0" applyAlignment="1" applyBorder="1" applyFont="1">
      <alignment horizontal="center" shrinkToFit="0" vertical="center" wrapText="1"/>
    </xf>
    <xf borderId="40" fillId="0" fontId="51" numFmtId="174" xfId="0" applyAlignment="1" applyBorder="1" applyFont="1" applyNumberFormat="1">
      <alignment horizontal="center" shrinkToFit="0" vertical="center" wrapText="1"/>
    </xf>
    <xf borderId="100" fillId="0" fontId="51" numFmtId="0" xfId="0" applyAlignment="1" applyBorder="1" applyFont="1">
      <alignment horizontal="center" shrinkToFit="0" vertical="center" wrapText="1"/>
    </xf>
    <xf borderId="100" fillId="0" fontId="51" numFmtId="2" xfId="0" applyAlignment="1" applyBorder="1" applyFont="1" applyNumberFormat="1">
      <alignment horizontal="center" shrinkToFit="0" vertical="center" wrapText="1"/>
    </xf>
    <xf borderId="0" fillId="0" fontId="32" numFmtId="0" xfId="0" applyAlignment="1" applyFont="1">
      <alignment horizontal="center" readingOrder="0" shrinkToFit="0" vertical="center" wrapText="1"/>
    </xf>
    <xf borderId="27" fillId="2" fontId="56" numFmtId="0" xfId="0" applyAlignment="1" applyBorder="1" applyFont="1">
      <alignment horizontal="center" readingOrder="0" shrinkToFit="0" vertical="center" wrapText="1"/>
    </xf>
    <xf borderId="27" fillId="2" fontId="66" numFmtId="4" xfId="0" applyAlignment="1" applyBorder="1" applyFont="1" applyNumberFormat="1">
      <alignment horizontal="center" shrinkToFit="0" vertical="center" wrapText="1"/>
    </xf>
    <xf borderId="27" fillId="2" fontId="61" numFmtId="4" xfId="0" applyAlignment="1" applyBorder="1" applyFont="1" applyNumberFormat="1">
      <alignment horizontal="center" shrinkToFit="0" vertical="center" wrapText="1"/>
    </xf>
    <xf borderId="101" fillId="0" fontId="51" numFmtId="4" xfId="0" applyAlignment="1" applyBorder="1" applyFont="1" applyNumberFormat="1">
      <alignment horizontal="center" shrinkToFit="0" vertical="center" wrapText="1"/>
    </xf>
    <xf borderId="49" fillId="0" fontId="51" numFmtId="4" xfId="0" applyAlignment="1" applyBorder="1" applyFont="1" applyNumberFormat="1">
      <alignment horizontal="center" shrinkToFit="0" vertical="center" wrapText="1"/>
    </xf>
    <xf borderId="49" fillId="2" fontId="66" numFmtId="4" xfId="0" applyAlignment="1" applyBorder="1" applyFont="1" applyNumberFormat="1">
      <alignment horizontal="center" shrinkToFit="0" vertical="center" wrapText="1"/>
    </xf>
    <xf borderId="27" fillId="0" fontId="102" numFmtId="0" xfId="0" applyAlignment="1" applyBorder="1" applyFont="1">
      <alignment horizontal="center" shrinkToFit="0" vertical="center" wrapText="0"/>
    </xf>
    <xf borderId="30" fillId="0" fontId="51" numFmtId="174" xfId="0" applyAlignment="1" applyBorder="1" applyFont="1" applyNumberFormat="1">
      <alignment horizontal="center" shrinkToFit="0" vertical="center" wrapText="1"/>
    </xf>
    <xf borderId="27" fillId="0" fontId="51" numFmtId="0" xfId="0" applyAlignment="1" applyBorder="1" applyFont="1">
      <alignment horizontal="center" shrinkToFit="0" vertical="center" wrapText="1"/>
    </xf>
    <xf borderId="27" fillId="0" fontId="51" numFmtId="2" xfId="0" applyAlignment="1" applyBorder="1" applyFont="1" applyNumberFormat="1">
      <alignment horizontal="center" shrinkToFit="0" vertical="center" wrapText="1"/>
    </xf>
    <xf borderId="27" fillId="2" fontId="56" numFmtId="0" xfId="0" applyAlignment="1" applyBorder="1" applyFont="1">
      <alignment horizontal="center" shrinkToFit="0" vertical="center" wrapText="1"/>
    </xf>
    <xf borderId="27" fillId="0" fontId="106" numFmtId="0" xfId="0" applyAlignment="1" applyBorder="1" applyFont="1">
      <alignment horizontal="center" shrinkToFit="0" vertical="center" wrapText="0"/>
    </xf>
    <xf borderId="27" fillId="0" fontId="51" numFmtId="174" xfId="0" applyAlignment="1" applyBorder="1" applyFont="1" applyNumberFormat="1">
      <alignment horizontal="center" shrinkToFit="0" vertical="center" wrapText="1"/>
    </xf>
    <xf borderId="0" fillId="0" fontId="106" numFmtId="0" xfId="0" applyAlignment="1" applyFont="1">
      <alignment horizontal="center" shrinkToFit="0" vertical="center" wrapText="0"/>
    </xf>
    <xf borderId="54" fillId="6" fontId="28" numFmtId="175" xfId="0" applyAlignment="1" applyBorder="1" applyFont="1" applyNumberFormat="1">
      <alignment horizontal="center" readingOrder="0" shrinkToFit="0" vertical="center" wrapText="1"/>
    </xf>
    <xf borderId="0" fillId="6" fontId="107" numFmtId="0" xfId="0" applyAlignment="1" applyFont="1">
      <alignment horizontal="center" shrinkToFit="0" vertical="center" wrapText="1"/>
    </xf>
    <xf borderId="0" fillId="6" fontId="108" numFmtId="0" xfId="0" applyAlignment="1" applyFont="1">
      <alignment horizontal="center" readingOrder="0" shrinkToFit="0" vertical="center" wrapText="0"/>
    </xf>
    <xf borderId="0" fillId="6" fontId="108" numFmtId="0" xfId="0" applyAlignment="1" applyFont="1">
      <alignment horizontal="center" readingOrder="0" shrinkToFit="0" vertical="center" wrapText="1"/>
    </xf>
    <xf borderId="0" fillId="0" fontId="109" numFmtId="0" xfId="0" applyAlignment="1" applyFont="1">
      <alignment horizontal="center" readingOrder="0" shrinkToFit="0" vertical="center" wrapText="1"/>
    </xf>
    <xf borderId="0" fillId="0" fontId="109" numFmtId="175" xfId="0" applyAlignment="1" applyFont="1" applyNumberFormat="1">
      <alignment horizontal="center" readingOrder="0" shrinkToFit="0" vertical="center" wrapText="1"/>
    </xf>
    <xf borderId="0" fillId="0" fontId="25" numFmtId="2" xfId="0" applyAlignment="1" applyFont="1" applyNumberFormat="1">
      <alignment horizontal="center" readingOrder="0" shrinkToFit="0" vertical="center" wrapText="1"/>
    </xf>
    <xf borderId="0" fillId="0" fontId="109" numFmtId="0" xfId="0" applyAlignment="1" applyFont="1">
      <alignment horizontal="center" readingOrder="0" shrinkToFit="0" vertical="center" wrapText="0"/>
    </xf>
    <xf borderId="0" fillId="0" fontId="109" numFmtId="10" xfId="0" applyAlignment="1" applyFont="1" applyNumberFormat="1">
      <alignment horizontal="center" readingOrder="0" shrinkToFit="0" vertical="center" wrapText="1"/>
    </xf>
    <xf borderId="47" fillId="35" fontId="110" numFmtId="0" xfId="0" applyAlignment="1" applyBorder="1" applyFill="1" applyFont="1">
      <alignment horizontal="center" readingOrder="0" shrinkToFit="0" vertical="center" wrapText="1"/>
    </xf>
    <xf borderId="57" fillId="35" fontId="110" numFmtId="0" xfId="0" applyAlignment="1" applyBorder="1" applyFont="1">
      <alignment horizontal="center" readingOrder="0" shrinkToFit="0" vertical="center" wrapText="1"/>
    </xf>
    <xf borderId="57" fillId="35" fontId="110" numFmtId="175" xfId="0" applyAlignment="1" applyBorder="1" applyFont="1" applyNumberFormat="1">
      <alignment horizontal="center" readingOrder="0" shrinkToFit="0" vertical="center" wrapText="1"/>
    </xf>
    <xf borderId="49" fillId="0" fontId="40" numFmtId="2" xfId="0" applyAlignment="1" applyBorder="1" applyFont="1" applyNumberFormat="1">
      <alignment horizontal="center" readingOrder="0" shrinkToFit="0" vertical="center" wrapText="1"/>
    </xf>
    <xf borderId="57" fillId="35" fontId="110" numFmtId="0" xfId="0" applyAlignment="1" applyBorder="1" applyFont="1">
      <alignment horizontal="center" readingOrder="0" shrinkToFit="0" vertical="center" wrapText="0"/>
    </xf>
    <xf borderId="27" fillId="3" fontId="111" numFmtId="0" xfId="0" applyAlignment="1" applyBorder="1" applyFont="1">
      <alignment horizontal="center" readingOrder="0" shrinkToFit="0" vertical="center" wrapText="1"/>
    </xf>
    <xf borderId="27" fillId="3" fontId="25" numFmtId="0" xfId="0" applyAlignment="1" applyBorder="1" applyFont="1">
      <alignment horizontal="center" readingOrder="0" shrinkToFit="0" vertical="center" wrapText="1"/>
    </xf>
    <xf borderId="27" fillId="3" fontId="32" numFmtId="176" xfId="0" applyAlignment="1" applyBorder="1" applyFont="1" applyNumberFormat="1">
      <alignment horizontal="center" readingOrder="0" shrinkToFit="0" vertical="center" wrapText="1"/>
    </xf>
    <xf borderId="27" fillId="3" fontId="32" numFmtId="175" xfId="0" applyAlignment="1" applyBorder="1" applyFont="1" applyNumberFormat="1">
      <alignment horizontal="center" readingOrder="0" shrinkToFit="0" vertical="center" wrapText="1"/>
    </xf>
    <xf borderId="27" fillId="3" fontId="48" numFmtId="175" xfId="0" applyAlignment="1" applyBorder="1" applyFont="1" applyNumberFormat="1">
      <alignment horizontal="center" readingOrder="0" shrinkToFit="0" vertical="center" wrapText="1"/>
    </xf>
    <xf borderId="27" fillId="3" fontId="30" numFmtId="4" xfId="0" applyAlignment="1" applyBorder="1" applyFont="1" applyNumberFormat="1">
      <alignment horizontal="center" readingOrder="0" shrinkToFit="0" vertical="center" wrapText="1"/>
    </xf>
    <xf borderId="27" fillId="3" fontId="76" numFmtId="4" xfId="0" applyAlignment="1" applyBorder="1" applyFont="1" applyNumberFormat="1">
      <alignment horizontal="center" readingOrder="0" shrinkToFit="0" vertical="center" wrapText="1"/>
    </xf>
    <xf borderId="27" fillId="3" fontId="30" numFmtId="175" xfId="0" applyAlignment="1" applyBorder="1" applyFont="1" applyNumberFormat="1">
      <alignment horizontal="center" readingOrder="0" shrinkToFit="0" vertical="center" wrapText="1"/>
    </xf>
    <xf borderId="27" fillId="3" fontId="32" numFmtId="0" xfId="0" applyAlignment="1" applyBorder="1" applyFont="1">
      <alignment horizontal="center" readingOrder="0" shrinkToFit="0" vertical="center" wrapText="1"/>
    </xf>
    <xf borderId="0" fillId="0" fontId="40" numFmtId="2" xfId="0" applyAlignment="1" applyFont="1" applyNumberFormat="1">
      <alignment horizontal="center" readingOrder="0" shrinkToFit="0" vertical="center" wrapText="1"/>
    </xf>
    <xf borderId="43" fillId="10" fontId="40" numFmtId="2" xfId="0" applyAlignment="1" applyBorder="1" applyFont="1" applyNumberFormat="1">
      <alignment horizontal="center" readingOrder="0" shrinkToFit="0" vertical="center" wrapText="1"/>
    </xf>
    <xf borderId="43" fillId="10" fontId="32" numFmtId="4" xfId="0" applyAlignment="1" applyBorder="1" applyFont="1" applyNumberFormat="1">
      <alignment horizontal="center" readingOrder="0" shrinkToFit="0" vertical="center" wrapText="0"/>
    </xf>
    <xf borderId="43" fillId="10" fontId="32" numFmtId="4" xfId="0" applyAlignment="1" applyBorder="1" applyFont="1" applyNumberFormat="1">
      <alignment horizontal="center" readingOrder="0" shrinkToFit="0" vertical="center" wrapText="1"/>
    </xf>
    <xf borderId="43" fillId="10" fontId="48" numFmtId="4" xfId="0" applyAlignment="1" applyBorder="1" applyFont="1" applyNumberFormat="1">
      <alignment horizontal="center" readingOrder="0" shrinkToFit="0" vertical="center" wrapText="1"/>
    </xf>
    <xf borderId="43" fillId="10" fontId="48" numFmtId="10" xfId="0" applyAlignment="1" applyBorder="1" applyFont="1" applyNumberFormat="1">
      <alignment horizontal="center" readingOrder="0" shrinkToFit="0" vertical="center" wrapText="1"/>
    </xf>
    <xf borderId="43" fillId="10" fontId="30" numFmtId="2" xfId="0" applyAlignment="1" applyBorder="1" applyFont="1" applyNumberFormat="1">
      <alignment horizontal="center" readingOrder="0" shrinkToFit="0" vertical="center" wrapText="1"/>
    </xf>
    <xf borderId="43" fillId="10" fontId="30" numFmtId="4" xfId="0" applyAlignment="1" applyBorder="1" applyFont="1" applyNumberFormat="1">
      <alignment horizontal="center" readingOrder="0" shrinkToFit="0" vertical="center" wrapText="1"/>
    </xf>
    <xf borderId="43" fillId="10" fontId="32" numFmtId="177" xfId="0" applyAlignment="1" applyBorder="1" applyFont="1" applyNumberFormat="1">
      <alignment horizontal="center" readingOrder="0" shrinkToFit="0" vertical="center" wrapText="1"/>
    </xf>
    <xf borderId="43" fillId="10" fontId="30" numFmtId="177" xfId="0" applyAlignment="1" applyBorder="1" applyFont="1" applyNumberFormat="1">
      <alignment horizontal="center" readingOrder="0" shrinkToFit="0" vertical="center" wrapText="1"/>
    </xf>
    <xf borderId="43" fillId="10" fontId="30" numFmtId="0" xfId="0" applyAlignment="1" applyBorder="1" applyFont="1">
      <alignment horizontal="center" readingOrder="0" shrinkToFit="0" vertical="center" wrapText="0"/>
    </xf>
    <xf borderId="43" fillId="10" fontId="30" numFmtId="0" xfId="0" applyAlignment="1" applyBorder="1" applyFont="1">
      <alignment horizontal="center" readingOrder="0" shrinkToFit="0" vertical="center" wrapText="1"/>
    </xf>
    <xf borderId="0" fillId="6" fontId="112" numFmtId="0" xfId="0" applyAlignment="1" applyFont="1">
      <alignment horizontal="center" shrinkToFit="0" vertical="center" wrapText="1"/>
    </xf>
    <xf borderId="0" fillId="6" fontId="113" numFmtId="0" xfId="0" applyAlignment="1" applyFont="1">
      <alignment shrinkToFit="0" vertical="center" wrapText="1"/>
    </xf>
    <xf borderId="0" fillId="6" fontId="114" numFmtId="0" xfId="0" applyAlignment="1" applyFont="1">
      <alignment horizontal="center" readingOrder="0" shrinkToFit="0" vertical="center" wrapText="1"/>
    </xf>
    <xf borderId="0" fillId="6" fontId="108" numFmtId="3" xfId="0" applyAlignment="1" applyFont="1" applyNumberFormat="1">
      <alignment horizontal="center" readingOrder="0" shrinkToFit="0" vertical="center" wrapText="1"/>
    </xf>
    <xf borderId="0" fillId="0" fontId="110" numFmtId="0" xfId="0" applyAlignment="1" applyFont="1">
      <alignment horizontal="center" readingOrder="0" shrinkToFit="0" vertical="center" wrapText="1"/>
    </xf>
    <xf borderId="0" fillId="0" fontId="110" numFmtId="175" xfId="0" applyAlignment="1" applyFont="1" applyNumberFormat="1">
      <alignment horizontal="center" readingOrder="0" shrinkToFit="0" vertical="center" wrapText="1"/>
    </xf>
    <xf borderId="0" fillId="0" fontId="115" numFmtId="0" xfId="0" applyAlignment="1" applyFont="1">
      <alignment horizontal="center" readingOrder="0" shrinkToFit="0" vertical="center" wrapText="1"/>
    </xf>
    <xf borderId="0" fillId="0" fontId="110" numFmtId="10" xfId="0" applyAlignment="1" applyFont="1" applyNumberFormat="1">
      <alignment horizontal="center" readingOrder="0" shrinkToFit="0" vertical="center" wrapText="1"/>
    </xf>
    <xf borderId="0" fillId="0" fontId="110" numFmtId="0" xfId="0" applyAlignment="1" applyFont="1">
      <alignment horizontal="center" readingOrder="0" shrinkToFit="0" vertical="center" wrapText="0"/>
    </xf>
    <xf borderId="0" fillId="0" fontId="110" numFmtId="3" xfId="0" applyAlignment="1" applyFont="1" applyNumberFormat="1">
      <alignment horizontal="center" readingOrder="0" shrinkToFit="0" vertical="center" wrapText="1"/>
    </xf>
    <xf borderId="47" fillId="35" fontId="110" numFmtId="175" xfId="0" applyAlignment="1" applyBorder="1" applyFont="1" applyNumberFormat="1">
      <alignment horizontal="center" readingOrder="0" shrinkToFit="0" vertical="center" wrapText="1"/>
    </xf>
    <xf borderId="43" fillId="0" fontId="115" numFmtId="0" xfId="0" applyAlignment="1" applyBorder="1" applyFont="1">
      <alignment horizontal="center" readingOrder="0" shrinkToFit="0" vertical="center" wrapText="1"/>
    </xf>
    <xf borderId="43" fillId="35" fontId="110" numFmtId="0" xfId="0" applyAlignment="1" applyBorder="1" applyFont="1">
      <alignment horizontal="center" readingOrder="0" shrinkToFit="0" vertical="center" wrapText="1"/>
    </xf>
    <xf borderId="43" fillId="35" fontId="110" numFmtId="10" xfId="0" applyAlignment="1" applyBorder="1" applyFont="1" applyNumberFormat="1">
      <alignment horizontal="center" readingOrder="0" shrinkToFit="0" vertical="center" wrapText="1"/>
    </xf>
    <xf borderId="43" fillId="35" fontId="110" numFmtId="0" xfId="0" applyAlignment="1" applyBorder="1" applyFont="1">
      <alignment horizontal="center" readingOrder="0" shrinkToFit="0" vertical="center" wrapText="0"/>
    </xf>
    <xf borderId="43" fillId="35" fontId="110" numFmtId="3" xfId="0" applyAlignment="1" applyBorder="1" applyFont="1" applyNumberFormat="1">
      <alignment horizontal="center" readingOrder="0" shrinkToFit="0" vertical="center" wrapText="1"/>
    </xf>
    <xf borderId="0" fillId="35" fontId="110" numFmtId="0" xfId="0" applyAlignment="1" applyFont="1">
      <alignment horizontal="center" readingOrder="0" shrinkToFit="0" vertical="center" wrapText="1"/>
    </xf>
    <xf borderId="27" fillId="3" fontId="32" numFmtId="14" xfId="0" applyAlignment="1" applyBorder="1" applyFont="1" applyNumberFormat="1">
      <alignment horizontal="center" readingOrder="0" shrinkToFit="0" vertical="center" wrapText="1"/>
    </xf>
    <xf borderId="27" fillId="3" fontId="116" numFmtId="0" xfId="0" applyAlignment="1" applyBorder="1" applyFont="1">
      <alignment horizontal="center" readingOrder="0" shrinkToFit="0" vertical="center" wrapText="1"/>
    </xf>
    <xf borderId="43" fillId="10" fontId="32" numFmtId="168" xfId="0" applyAlignment="1" applyBorder="1" applyFont="1" applyNumberFormat="1">
      <alignment horizontal="center" readingOrder="0" shrinkToFit="0" vertical="center" wrapText="1"/>
    </xf>
    <xf borderId="43" fillId="10" fontId="30" numFmtId="168" xfId="0" applyAlignment="1" applyBorder="1" applyFont="1" applyNumberFormat="1">
      <alignment horizontal="center" readingOrder="0" shrinkToFit="0" vertical="center" wrapText="1"/>
    </xf>
    <xf borderId="43" fillId="10" fontId="30" numFmtId="3" xfId="0" applyAlignment="1" applyBorder="1" applyFont="1" applyNumberFormat="1">
      <alignment horizontal="center" readingOrder="0" shrinkToFit="0" vertical="center" wrapText="1"/>
    </xf>
    <xf borderId="0" fillId="10" fontId="30" numFmtId="0" xfId="0" applyAlignment="1" applyFont="1">
      <alignment horizontal="center" readingOrder="0" shrinkToFit="0" vertical="center" wrapText="1"/>
    </xf>
    <xf borderId="54" fillId="6" fontId="117" numFmtId="0" xfId="0" applyAlignment="1" applyBorder="1" applyFont="1">
      <alignment horizontal="center" readingOrder="0" shrinkToFit="0" vertical="center" wrapText="1"/>
    </xf>
    <xf borderId="0" fillId="6" fontId="27" numFmtId="0" xfId="0" applyAlignment="1" applyFont="1">
      <alignment horizontal="center" readingOrder="0" shrinkToFit="0" vertical="center" wrapText="1"/>
    </xf>
    <xf borderId="0" fillId="0" fontId="118" numFmtId="0" xfId="0" applyAlignment="1" applyFont="1">
      <alignment horizontal="center" readingOrder="0" shrinkToFit="0" vertical="center" wrapText="1"/>
    </xf>
    <xf borderId="0" fillId="0" fontId="118" numFmtId="4" xfId="0" applyAlignment="1" applyFont="1" applyNumberFormat="1">
      <alignment horizontal="center" readingOrder="0" shrinkToFit="0" vertical="center" wrapText="1"/>
    </xf>
    <xf borderId="47" fillId="35" fontId="119" numFmtId="0" xfId="0" applyAlignment="1" applyBorder="1" applyFont="1">
      <alignment horizontal="center" readingOrder="0" shrinkToFit="0" vertical="center" wrapText="1"/>
    </xf>
    <xf borderId="43" fillId="0" fontId="120" numFmtId="0" xfId="0" applyAlignment="1" applyBorder="1" applyFont="1">
      <alignment shrinkToFit="0" wrapText="1"/>
    </xf>
    <xf borderId="43" fillId="35" fontId="119" numFmtId="0" xfId="0" applyAlignment="1" applyBorder="1" applyFont="1">
      <alignment horizontal="center" readingOrder="0" shrinkToFit="0" vertical="center" wrapText="1"/>
    </xf>
    <xf borderId="43" fillId="35" fontId="119" numFmtId="4" xfId="0" applyAlignment="1" applyBorder="1" applyFont="1" applyNumberFormat="1">
      <alignment horizontal="center" readingOrder="0" shrinkToFit="0" vertical="center" wrapText="1"/>
    </xf>
    <xf borderId="27" fillId="3" fontId="32" numFmtId="4" xfId="0" applyAlignment="1" applyBorder="1" applyFont="1" applyNumberFormat="1">
      <alignment horizontal="center" readingOrder="0" shrinkToFit="0" vertical="center" wrapText="1"/>
    </xf>
    <xf borderId="0" fillId="0" fontId="32" numFmtId="0" xfId="0" applyAlignment="1" applyFont="1">
      <alignment shrinkToFit="0" vertical="center" wrapText="1"/>
    </xf>
    <xf borderId="0" fillId="6" fontId="28" numFmtId="0" xfId="0" applyAlignment="1" applyFont="1">
      <alignment horizontal="center" readingOrder="0" shrinkToFit="0" vertical="center" wrapText="1"/>
    </xf>
    <xf borderId="0" fillId="0" fontId="16" numFmtId="0" xfId="0" applyAlignment="1" applyFont="1">
      <alignment shrinkToFit="0" vertical="bottom" wrapText="1"/>
    </xf>
    <xf borderId="61" fillId="6" fontId="28" numFmtId="0" xfId="0" applyAlignment="1" applyBorder="1" applyFont="1">
      <alignment horizontal="center" readingOrder="0" shrinkToFit="0" vertical="center" wrapText="1"/>
    </xf>
    <xf borderId="0" fillId="0" fontId="71" numFmtId="0" xfId="0" applyAlignment="1" applyFont="1">
      <alignment readingOrder="0" shrinkToFit="0" wrapText="0"/>
    </xf>
    <xf borderId="0" fillId="0" fontId="31" numFmtId="0" xfId="0" applyAlignment="1" applyFont="1">
      <alignment horizontal="center" shrinkToFit="0" vertical="center" wrapText="1"/>
    </xf>
    <xf borderId="0" fillId="0" fontId="42" numFmtId="0" xfId="0" applyAlignment="1" applyFont="1">
      <alignment shrinkToFit="0" wrapText="1"/>
    </xf>
    <xf borderId="47" fillId="35" fontId="121" numFmtId="0" xfId="0" applyAlignment="1" applyBorder="1" applyFont="1">
      <alignment horizontal="center" readingOrder="0" shrinkToFit="0" vertical="center" wrapText="1"/>
    </xf>
    <xf borderId="104" fillId="35" fontId="121" numFmtId="0" xfId="0" applyAlignment="1" applyBorder="1" applyFont="1">
      <alignment horizontal="center" readingOrder="0" shrinkToFit="0" vertical="center" wrapText="1"/>
    </xf>
    <xf borderId="0" fillId="0" fontId="122" numFmtId="0" xfId="0" applyAlignment="1" applyFont="1">
      <alignment shrinkToFit="0" vertical="bottom" wrapText="1"/>
    </xf>
    <xf borderId="0" fillId="0" fontId="40" numFmtId="0" xfId="0" applyAlignment="1" applyFont="1">
      <alignment shrinkToFit="0" wrapText="1"/>
    </xf>
    <xf borderId="0" fillId="0" fontId="23" numFmtId="0" xfId="0" applyAlignment="1" applyFont="1">
      <alignment shrinkToFit="0" wrapText="1"/>
    </xf>
    <xf borderId="31" fillId="24" fontId="123" numFmtId="0" xfId="0" applyAlignment="1" applyBorder="1" applyFont="1">
      <alignment horizontal="center" readingOrder="0" shrinkToFit="0" vertical="center" wrapText="1"/>
    </xf>
    <xf borderId="0" fillId="0" fontId="124" numFmtId="0" xfId="0" applyAlignment="1" applyFont="1">
      <alignment readingOrder="0" shrinkToFit="0" wrapText="1"/>
    </xf>
    <xf borderId="131" fillId="36" fontId="125" numFmtId="0" xfId="0" applyAlignment="1" applyBorder="1" applyFill="1" applyFont="1">
      <alignment horizontal="center" readingOrder="0" shrinkToFit="0" vertical="center" wrapText="1"/>
    </xf>
    <xf borderId="132" fillId="0" fontId="4" numFmtId="0" xfId="0" applyAlignment="1" applyBorder="1" applyFont="1">
      <alignment shrinkToFit="0" wrapText="1"/>
    </xf>
    <xf borderId="31" fillId="33" fontId="79" numFmtId="0" xfId="0" applyAlignment="1" applyBorder="1" applyFont="1">
      <alignment horizontal="center" shrinkToFit="0" vertical="center" wrapText="1"/>
    </xf>
    <xf borderId="0" fillId="33" fontId="79" numFmtId="0" xfId="0" applyAlignment="1" applyFont="1">
      <alignment horizontal="center" shrinkToFit="0" vertical="center" wrapText="1"/>
    </xf>
    <xf borderId="0" fillId="33" fontId="79" numFmtId="0" xfId="0" applyAlignment="1" applyFont="1">
      <alignment horizontal="center" readingOrder="0" shrinkToFit="0" vertical="center" wrapText="1"/>
    </xf>
    <xf borderId="27" fillId="3" fontId="126" numFmtId="0" xfId="0" applyAlignment="1" applyBorder="1" applyFont="1">
      <alignment horizontal="center" readingOrder="0" shrinkToFit="0" vertical="center" wrapText="1"/>
    </xf>
    <xf borderId="27" fillId="3" fontId="51" numFmtId="174" xfId="0" applyAlignment="1" applyBorder="1" applyFont="1" applyNumberFormat="1">
      <alignment horizontal="center" readingOrder="0" shrinkToFit="0" vertical="center" wrapText="1"/>
    </xf>
    <xf borderId="27" fillId="3" fontId="51" numFmtId="0" xfId="0" applyAlignment="1" applyBorder="1" applyFont="1">
      <alignment horizontal="center" readingOrder="0" shrinkToFit="0" vertical="center" wrapText="1"/>
    </xf>
    <xf borderId="27" fillId="3" fontId="66" numFmtId="4" xfId="0" applyAlignment="1" applyBorder="1" applyFont="1" applyNumberFormat="1">
      <alignment horizontal="center" readingOrder="0" shrinkToFit="0" vertical="center" wrapText="1"/>
    </xf>
    <xf borderId="27" fillId="3" fontId="51" numFmtId="4" xfId="0" applyAlignment="1" applyBorder="1" applyFont="1" applyNumberFormat="1">
      <alignment horizontal="center" readingOrder="0" shrinkToFit="0" vertical="center" wrapText="0"/>
    </xf>
    <xf borderId="27" fillId="3" fontId="51" numFmtId="4" xfId="0" applyAlignment="1" applyBorder="1" applyFont="1" applyNumberFormat="1">
      <alignment horizontal="center" readingOrder="0" shrinkToFit="0" vertical="center" wrapText="1"/>
    </xf>
    <xf borderId="27" fillId="3" fontId="66" numFmtId="49" xfId="0" applyAlignment="1" applyBorder="1" applyFont="1" applyNumberFormat="1">
      <alignment horizontal="center" readingOrder="0" shrinkToFit="0" vertical="center" wrapText="1"/>
    </xf>
    <xf borderId="31" fillId="20" fontId="31" numFmtId="0" xfId="0" applyAlignment="1" applyBorder="1" applyFont="1">
      <alignment horizontal="center" readingOrder="0" shrinkToFit="0" vertical="center" wrapText="1"/>
    </xf>
    <xf borderId="31" fillId="0" fontId="31" numFmtId="49" xfId="0" applyAlignment="1" applyBorder="1" applyFont="1" applyNumberFormat="1">
      <alignment horizontal="center" shrinkToFit="0" vertical="center" wrapText="1"/>
    </xf>
    <xf borderId="0" fillId="0" fontId="103" numFmtId="0" xfId="0" applyAlignment="1" applyFont="1">
      <alignment readingOrder="0" shrinkToFit="0" wrapText="1"/>
    </xf>
    <xf borderId="31" fillId="36" fontId="127" numFmtId="0" xfId="0" applyAlignment="1" applyBorder="1" applyFont="1">
      <alignment horizontal="center" shrinkToFit="0" vertical="center" wrapText="1"/>
    </xf>
    <xf borderId="31" fillId="4" fontId="31" numFmtId="0" xfId="0" applyAlignment="1" applyBorder="1" applyFont="1">
      <alignment horizontal="center" readingOrder="0" shrinkToFit="0" vertical="center" wrapText="1"/>
    </xf>
    <xf borderId="31" fillId="24" fontId="31" numFmtId="0" xfId="0" applyAlignment="1" applyBorder="1" applyFont="1">
      <alignment horizontal="center" readingOrder="0" shrinkToFit="0" vertical="center" wrapText="1"/>
    </xf>
    <xf borderId="31" fillId="24" fontId="31" numFmtId="4" xfId="0" applyAlignment="1" applyBorder="1" applyFont="1" applyNumberFormat="1">
      <alignment horizontal="center" shrinkToFit="0" vertical="center" wrapText="1"/>
    </xf>
    <xf borderId="31" fillId="20" fontId="31" numFmtId="0" xfId="0" applyAlignment="1" applyBorder="1" applyFont="1">
      <alignment horizontal="center" shrinkToFit="0" vertical="center" wrapText="1"/>
    </xf>
    <xf borderId="31" fillId="36" fontId="127" numFmtId="0" xfId="0" applyAlignment="1" applyBorder="1" applyFont="1">
      <alignment horizontal="center" readingOrder="0" shrinkToFit="0" vertical="center" wrapText="1"/>
    </xf>
    <xf borderId="27" fillId="3" fontId="126" numFmtId="4" xfId="0" applyAlignment="1" applyBorder="1" applyFont="1" applyNumberFormat="1">
      <alignment horizontal="center" readingOrder="0" shrinkToFit="0" vertical="center" wrapText="1"/>
    </xf>
    <xf borderId="31" fillId="37" fontId="127" numFmtId="0" xfId="0" applyAlignment="1" applyBorder="1" applyFill="1" applyFont="1">
      <alignment horizontal="center" shrinkToFit="0" vertical="center" wrapText="1"/>
    </xf>
    <xf borderId="31" fillId="38" fontId="31" numFmtId="168" xfId="0" applyAlignment="1" applyBorder="1" applyFill="1" applyFont="1" applyNumberFormat="1">
      <alignment horizontal="center" readingOrder="0" shrinkToFit="0" vertical="center" wrapText="1"/>
    </xf>
    <xf borderId="0" fillId="0" fontId="102" numFmtId="0" xfId="0" applyAlignment="1" applyFont="1">
      <alignment horizontal="center" readingOrder="0" shrinkToFit="0" wrapText="1"/>
    </xf>
    <xf borderId="27" fillId="2" fontId="31" numFmtId="49" xfId="0" applyAlignment="1" applyBorder="1" applyFont="1" applyNumberFormat="1">
      <alignment horizontal="center" readingOrder="0" shrinkToFit="0" vertical="center" wrapText="1"/>
    </xf>
    <xf borderId="27" fillId="2" fontId="31" numFmtId="0" xfId="0" applyAlignment="1" applyBorder="1" applyFont="1">
      <alignment horizontal="center" readingOrder="0" shrinkToFit="0" vertical="center" wrapText="1"/>
    </xf>
    <xf borderId="27" fillId="12" fontId="31" numFmtId="0" xfId="0" applyAlignment="1" applyBorder="1" applyFont="1">
      <alignment horizontal="center" readingOrder="0" shrinkToFit="0" vertical="center" wrapText="1"/>
    </xf>
    <xf borderId="31" fillId="5" fontId="31" numFmtId="0" xfId="0" applyAlignment="1" applyBorder="1" applyFont="1">
      <alignment horizontal="center" readingOrder="0" shrinkToFit="0" vertical="center" wrapText="0"/>
    </xf>
    <xf borderId="31" fillId="5" fontId="31" numFmtId="0" xfId="0" applyAlignment="1" applyBorder="1" applyFont="1">
      <alignment horizontal="center" readingOrder="0" shrinkToFit="0" vertical="center" wrapText="1"/>
    </xf>
    <xf borderId="27" fillId="12" fontId="31" numFmtId="0" xfId="0" applyAlignment="1" applyBorder="1" applyFont="1">
      <alignment horizontal="left" readingOrder="0" shrinkToFit="0" vertical="center" wrapText="0"/>
    </xf>
    <xf borderId="27" fillId="12" fontId="31" numFmtId="170" xfId="0" applyAlignment="1" applyBorder="1" applyFont="1" applyNumberFormat="1">
      <alignment horizontal="center" shrinkToFit="0" vertical="center" wrapText="1"/>
    </xf>
    <xf borderId="27" fillId="12" fontId="31" numFmtId="3" xfId="0" applyAlignment="1" applyBorder="1" applyFont="1" applyNumberFormat="1">
      <alignment horizontal="center" shrinkToFit="0" vertical="center" wrapText="1"/>
    </xf>
    <xf borderId="27" fillId="12" fontId="31" numFmtId="172" xfId="0" applyAlignment="1" applyBorder="1" applyFont="1" applyNumberFormat="1">
      <alignment horizontal="center" shrinkToFit="0" vertical="center" wrapText="1"/>
    </xf>
    <xf borderId="0" fillId="0" fontId="128" numFmtId="0" xfId="0" applyAlignment="1" applyFont="1">
      <alignment horizontal="center" shrinkToFit="0" vertical="center" wrapText="1"/>
    </xf>
    <xf borderId="27" fillId="12" fontId="31" numFmtId="1" xfId="0" applyAlignment="1" applyBorder="1" applyFont="1" applyNumberFormat="1">
      <alignment horizontal="center" shrinkToFit="0" vertical="center" wrapText="1"/>
    </xf>
    <xf borderId="27" fillId="12" fontId="31" numFmtId="1" xfId="0" applyAlignment="1" applyBorder="1" applyFont="1" applyNumberFormat="1">
      <alignment horizontal="center" shrinkToFit="0" vertical="center" wrapText="1"/>
    </xf>
    <xf borderId="27" fillId="12" fontId="31" numFmtId="4" xfId="0" applyAlignment="1" applyBorder="1" applyFont="1" applyNumberFormat="1">
      <alignment horizontal="center" shrinkToFit="0" vertical="center" wrapText="1"/>
    </xf>
    <xf borderId="0" fillId="0" fontId="102" numFmtId="0" xfId="0" applyAlignment="1" applyFont="1">
      <alignment readingOrder="0" shrinkToFit="0" wrapText="1"/>
    </xf>
    <xf borderId="0" fillId="0" fontId="102" numFmtId="0" xfId="0" applyAlignment="1" applyFont="1">
      <alignment readingOrder="0" shrinkToFit="0" wrapText="0"/>
    </xf>
    <xf borderId="0" fillId="6" fontId="129" numFmtId="0" xfId="0" applyAlignment="1" applyFont="1">
      <alignment horizontal="center" readingOrder="0" shrinkToFit="0" vertical="center" wrapText="0"/>
    </xf>
    <xf borderId="61" fillId="6" fontId="29" numFmtId="0" xfId="0" applyAlignment="1" applyBorder="1" applyFont="1">
      <alignment horizontal="center" readingOrder="0" shrinkToFit="0" vertical="center" wrapText="1"/>
    </xf>
    <xf borderId="56" fillId="6" fontId="28" numFmtId="0" xfId="0" applyAlignment="1" applyBorder="1" applyFont="1">
      <alignment horizontal="center" readingOrder="0" shrinkToFit="0" vertical="center" wrapText="1"/>
    </xf>
    <xf borderId="31" fillId="0" fontId="102" numFmtId="0" xfId="0" applyAlignment="1" applyBorder="1" applyFont="1">
      <alignment horizontal="center" readingOrder="0" shrinkToFit="0" vertical="center" wrapText="1"/>
    </xf>
    <xf borderId="108" fillId="6" fontId="28" numFmtId="0" xfId="0" applyAlignment="1" applyBorder="1" applyFont="1">
      <alignment horizontal="center" readingOrder="0" shrinkToFit="0" vertical="center" wrapText="1"/>
    </xf>
    <xf borderId="31" fillId="0" fontId="102" numFmtId="10" xfId="0" applyAlignment="1" applyBorder="1" applyFont="1" applyNumberFormat="1">
      <alignment horizontal="center" readingOrder="0" shrinkToFit="0" vertical="center" wrapText="1"/>
    </xf>
    <xf borderId="0" fillId="0" fontId="32" numFmtId="2" xfId="0" applyAlignment="1" applyFont="1" applyNumberFormat="1">
      <alignment horizontal="center" shrinkToFit="0" vertical="center" wrapText="1"/>
    </xf>
    <xf borderId="0" fillId="0" fontId="4" numFmtId="0" xfId="0" applyAlignment="1" applyFont="1">
      <alignment horizontal="center" readingOrder="0" shrinkToFit="0" vertical="center" wrapText="1"/>
    </xf>
    <xf borderId="0" fillId="0" fontId="32" numFmtId="4" xfId="0" applyAlignment="1" applyFont="1" applyNumberFormat="1">
      <alignment horizontal="center" readingOrder="0" shrinkToFit="0" vertical="center" wrapText="1"/>
    </xf>
    <xf borderId="0" fillId="0" fontId="4" numFmtId="174" xfId="0" applyAlignment="1" applyFont="1" applyNumberFormat="1">
      <alignment horizontal="center" shrinkToFit="0" vertical="center" wrapText="1"/>
    </xf>
    <xf borderId="120" fillId="0" fontId="32" numFmtId="0" xfId="0" applyAlignment="1" applyBorder="1" applyFont="1">
      <alignment horizontal="center" shrinkToFit="0" vertical="center" wrapText="1"/>
    </xf>
    <xf borderId="0" fillId="0" fontId="32" numFmtId="0" xfId="0" applyAlignment="1" applyFont="1">
      <alignment readingOrder="0" shrinkToFit="0" wrapText="1"/>
    </xf>
    <xf borderId="11" fillId="6" fontId="42" numFmtId="0" xfId="0" applyAlignment="1" applyBorder="1" applyFont="1">
      <alignment horizontal="center" readingOrder="0" shrinkToFit="0" vertical="center" wrapText="1"/>
    </xf>
    <xf borderId="133" fillId="3" fontId="32" numFmtId="0" xfId="0" applyAlignment="1" applyBorder="1" applyFont="1">
      <alignment horizontal="center" readingOrder="0" shrinkToFit="0" vertical="center" wrapText="1"/>
    </xf>
    <xf borderId="12" fillId="6" fontId="29" numFmtId="0" xfId="0" applyAlignment="1" applyBorder="1" applyFont="1">
      <alignment horizontal="center" readingOrder="0" shrinkToFit="0" vertical="center" wrapText="1"/>
    </xf>
    <xf borderId="0" fillId="6" fontId="4" numFmtId="0" xfId="0" applyAlignment="1" applyFont="1">
      <alignment readingOrder="0" shrinkToFit="0" vertical="center" wrapText="1"/>
    </xf>
    <xf borderId="134" fillId="6" fontId="4" numFmtId="0" xfId="0" applyAlignment="1" applyBorder="1" applyFont="1">
      <alignment readingOrder="0" shrinkToFit="0" vertical="center" wrapText="1"/>
    </xf>
    <xf borderId="89" fillId="39" fontId="61" numFmtId="0" xfId="0" applyAlignment="1" applyBorder="1" applyFill="1" applyFont="1">
      <alignment horizontal="center" readingOrder="0" shrinkToFit="0" vertical="center" wrapText="1"/>
    </xf>
    <xf borderId="88" fillId="39" fontId="61" numFmtId="0" xfId="0" applyAlignment="1" applyBorder="1" applyFont="1">
      <alignment horizontal="center" readingOrder="0" shrinkToFit="0" vertical="center" wrapText="1"/>
    </xf>
    <xf borderId="89" fillId="39" fontId="61" numFmtId="0" xfId="0" applyAlignment="1" applyBorder="1" applyFont="1">
      <alignment horizontal="center" readingOrder="0" shrinkToFit="0" vertical="center" wrapText="0"/>
    </xf>
    <xf borderId="85" fillId="6" fontId="39" numFmtId="0" xfId="0" applyAlignment="1" applyBorder="1" applyFont="1">
      <alignment horizontal="center" readingOrder="0" shrinkToFit="0" vertical="center" wrapText="1"/>
    </xf>
    <xf borderId="0" fillId="0" fontId="16" numFmtId="0" xfId="0" applyAlignment="1" applyFont="1">
      <alignment shrinkToFit="0" vertical="bottom" wrapText="1"/>
    </xf>
    <xf borderId="89" fillId="14" fontId="39" numFmtId="177" xfId="0" applyAlignment="1" applyBorder="1" applyFont="1" applyNumberFormat="1">
      <alignment horizontal="center" readingOrder="0" shrinkToFit="0" vertical="center" wrapText="1"/>
    </xf>
    <xf borderId="0" fillId="0" fontId="4" numFmtId="177" xfId="0" applyAlignment="1" applyFont="1" applyNumberFormat="1">
      <alignment shrinkToFit="0" wrapText="1"/>
    </xf>
    <xf borderId="89" fillId="14" fontId="39" numFmtId="2" xfId="0" applyAlignment="1" applyBorder="1" applyFont="1" applyNumberFormat="1">
      <alignment horizontal="center" readingOrder="0" shrinkToFit="0" vertical="center" wrapText="1"/>
    </xf>
    <xf borderId="0" fillId="0" fontId="4" numFmtId="2" xfId="0" applyAlignment="1" applyFont="1" applyNumberFormat="1">
      <alignment shrinkToFit="0" wrapText="1"/>
    </xf>
    <xf borderId="12" fillId="19" fontId="39" numFmtId="1" xfId="0" applyAlignment="1" applyBorder="1" applyFont="1" applyNumberFormat="1">
      <alignment horizontal="center" readingOrder="0" shrinkToFit="0" vertical="center" wrapText="0"/>
    </xf>
    <xf borderId="27" fillId="3" fontId="51" numFmtId="0" xfId="0" applyAlignment="1" applyBorder="1" applyFont="1">
      <alignment readingOrder="0" shrinkToFit="0" wrapText="1"/>
    </xf>
    <xf borderId="89" fillId="17" fontId="39" numFmtId="0" xfId="0" applyAlignment="1" applyBorder="1" applyFont="1">
      <alignment horizontal="center" readingOrder="0" shrinkToFit="0" vertical="center" wrapText="1"/>
    </xf>
    <xf borderId="5" fillId="17" fontId="91" numFmtId="0" xfId="0" applyAlignment="1" applyBorder="1" applyFont="1">
      <alignment horizontal="center" readingOrder="0" shrinkToFit="0" vertical="center" wrapText="1"/>
    </xf>
    <xf borderId="0" fillId="6" fontId="42" numFmtId="2" xfId="0" applyAlignment="1" applyFont="1" applyNumberFormat="1">
      <alignment horizontal="center" readingOrder="0" shrinkToFit="0" vertical="center" wrapText="1"/>
    </xf>
    <xf borderId="27" fillId="0" fontId="30" numFmtId="0" xfId="0" applyAlignment="1" applyBorder="1" applyFont="1">
      <alignment horizontal="center" shrinkToFit="0" vertical="center" wrapText="0"/>
    </xf>
    <xf borderId="28" fillId="3" fontId="49" numFmtId="0" xfId="0" applyAlignment="1" applyBorder="1" applyFont="1">
      <alignment horizontal="center" readingOrder="0" shrinkToFit="0" vertical="center" wrapText="1"/>
    </xf>
    <xf borderId="12" fillId="6" fontId="42" numFmtId="0" xfId="0" applyAlignment="1" applyBorder="1" applyFont="1">
      <alignment horizontal="center" readingOrder="0" shrinkToFit="0" vertical="center" wrapText="1"/>
    </xf>
    <xf borderId="28" fillId="3" fontId="32" numFmtId="0" xfId="0" applyAlignment="1" applyBorder="1" applyFont="1">
      <alignment horizontal="center" readingOrder="0" shrinkToFit="0" vertical="center" wrapText="1"/>
    </xf>
    <xf borderId="0" fillId="6" fontId="61" numFmtId="0" xfId="0" applyAlignment="1" applyFont="1">
      <alignment horizontal="center" readingOrder="0" shrinkToFit="0" vertical="center" wrapText="1"/>
    </xf>
    <xf borderId="135" fillId="6" fontId="61" numFmtId="0" xfId="0" applyAlignment="1" applyBorder="1" applyFont="1">
      <alignment horizontal="center" readingOrder="0" shrinkToFit="0" vertical="center" wrapText="1"/>
    </xf>
    <xf borderId="32" fillId="6" fontId="61" numFmtId="0" xfId="0" applyAlignment="1" applyBorder="1" applyFont="1">
      <alignment horizontal="center" readingOrder="0" shrinkToFit="0" vertical="center" wrapText="1"/>
    </xf>
    <xf borderId="33" fillId="39" fontId="61" numFmtId="0" xfId="0" applyAlignment="1" applyBorder="1" applyFont="1">
      <alignment horizontal="center" readingOrder="0" shrinkToFit="0" vertical="center" wrapText="1"/>
    </xf>
    <xf borderId="33" fillId="39" fontId="61" numFmtId="0" xfId="0" applyAlignment="1" applyBorder="1" applyFont="1">
      <alignment horizontal="center" readingOrder="0" shrinkToFit="0" vertical="center" wrapText="0"/>
    </xf>
    <xf borderId="3" fillId="6" fontId="61" numFmtId="0" xfId="0" applyAlignment="1" applyBorder="1" applyFont="1">
      <alignment horizontal="center" readingOrder="0" shrinkToFit="0" vertical="center" wrapText="1"/>
    </xf>
    <xf borderId="13" fillId="6" fontId="61" numFmtId="178" xfId="0" applyAlignment="1" applyBorder="1" applyFont="1" applyNumberFormat="1">
      <alignment horizontal="center" readingOrder="0" shrinkToFit="0" vertical="center" wrapText="1"/>
    </xf>
    <xf borderId="1" fillId="3" fontId="32" numFmtId="0" xfId="0" applyAlignment="1" applyBorder="1" applyFont="1">
      <alignment horizontal="center" readingOrder="0" shrinkToFit="0" vertical="center" wrapText="1"/>
    </xf>
    <xf borderId="11" fillId="14" fontId="61" numFmtId="177" xfId="0" applyAlignment="1" applyBorder="1" applyFont="1" applyNumberFormat="1">
      <alignment horizontal="center" readingOrder="0" shrinkToFit="0" vertical="center" wrapText="1"/>
    </xf>
    <xf borderId="33" fillId="14" fontId="61" numFmtId="0" xfId="0" applyAlignment="1" applyBorder="1" applyFont="1">
      <alignment horizontal="center" readingOrder="0" shrinkToFit="0" vertical="center" wrapText="1"/>
    </xf>
    <xf borderId="11" fillId="14" fontId="61" numFmtId="2" xfId="0" applyAlignment="1" applyBorder="1" applyFont="1" applyNumberFormat="1">
      <alignment horizontal="center" readingOrder="0" shrinkToFit="0" vertical="center" wrapText="1"/>
    </xf>
    <xf borderId="11" fillId="14" fontId="39" numFmtId="0" xfId="0" applyAlignment="1" applyBorder="1" applyFont="1">
      <alignment horizontal="center" readingOrder="0" shrinkToFit="0" vertical="center" wrapText="1"/>
    </xf>
    <xf borderId="33" fillId="6" fontId="53" numFmtId="0" xfId="0" applyAlignment="1" applyBorder="1" applyFont="1">
      <alignment horizontal="center" readingOrder="0" shrinkToFit="0" vertical="center" wrapText="1"/>
    </xf>
    <xf borderId="0" fillId="3" fontId="51" numFmtId="0" xfId="0" applyAlignment="1" applyFont="1">
      <alignment readingOrder="0" shrinkToFit="0" wrapText="1"/>
    </xf>
    <xf borderId="33" fillId="19" fontId="61" numFmtId="0" xfId="0" applyAlignment="1" applyBorder="1" applyFont="1">
      <alignment horizontal="center" shrinkToFit="0" vertical="center" wrapText="1"/>
    </xf>
    <xf borderId="88" fillId="19" fontId="61" numFmtId="4" xfId="0" applyAlignment="1" applyBorder="1" applyFont="1" applyNumberFormat="1">
      <alignment horizontal="center" readingOrder="0" shrinkToFit="0" vertical="center" wrapText="1"/>
    </xf>
    <xf borderId="128" fillId="19" fontId="61" numFmtId="4" xfId="0" applyAlignment="1" applyBorder="1" applyFont="1" applyNumberFormat="1">
      <alignment horizontal="center" readingOrder="0" shrinkToFit="0" vertical="center" wrapText="1"/>
    </xf>
    <xf borderId="33" fillId="40" fontId="82" numFmtId="0" xfId="0" applyAlignment="1" applyBorder="1" applyFill="1" applyFont="1">
      <alignment horizontal="center" readingOrder="0" shrinkToFit="0" vertical="center" wrapText="1"/>
    </xf>
    <xf borderId="32" fillId="40" fontId="42" numFmtId="0" xfId="0" applyAlignment="1" applyBorder="1" applyFont="1">
      <alignment horizontal="center" readingOrder="0" shrinkToFit="0" vertical="center" wrapText="1"/>
    </xf>
    <xf borderId="33" fillId="6" fontId="42" numFmtId="4" xfId="0" applyAlignment="1" applyBorder="1" applyFont="1" applyNumberFormat="1">
      <alignment horizontal="center" readingOrder="0" shrinkToFit="0" vertical="center" wrapText="0"/>
    </xf>
    <xf borderId="99" fillId="6" fontId="42" numFmtId="0" xfId="0" applyAlignment="1" applyBorder="1" applyFont="1">
      <alignment horizontal="center" readingOrder="0" shrinkToFit="0" vertical="center" wrapText="1"/>
    </xf>
    <xf borderId="1" fillId="0" fontId="30" numFmtId="0" xfId="0" applyAlignment="1" applyBorder="1" applyFont="1">
      <alignment horizontal="center" shrinkToFit="0" vertical="center" wrapText="0"/>
    </xf>
    <xf borderId="135" fillId="0" fontId="4" numFmtId="0" xfId="0" applyAlignment="1" applyBorder="1" applyFont="1">
      <alignment shrinkToFit="0" wrapText="1"/>
    </xf>
    <xf borderId="100" fillId="0" fontId="4" numFmtId="0" xfId="0" applyAlignment="1" applyBorder="1" applyFont="1">
      <alignment shrinkToFit="0" wrapText="1"/>
    </xf>
    <xf borderId="33" fillId="3" fontId="32" numFmtId="9" xfId="0" applyAlignment="1" applyBorder="1" applyFont="1" applyNumberFormat="1">
      <alignment horizontal="center" readingOrder="0" shrinkToFit="0" vertical="center" wrapText="1"/>
    </xf>
    <xf borderId="14" fillId="6" fontId="42" numFmtId="0" xfId="0" applyAlignment="1" applyBorder="1" applyFont="1">
      <alignment horizontal="center" readingOrder="0" shrinkToFit="0" vertical="center" wrapText="1"/>
    </xf>
    <xf borderId="99" fillId="0" fontId="4" numFmtId="0" xfId="0" applyAlignment="1" applyBorder="1" applyFont="1">
      <alignment shrinkToFit="0" wrapText="1"/>
    </xf>
    <xf borderId="14" fillId="6" fontId="61" numFmtId="0" xfId="0" applyAlignment="1" applyBorder="1" applyFont="1">
      <alignment horizontal="center" readingOrder="0" shrinkToFit="0" vertical="center" wrapText="1"/>
    </xf>
    <xf borderId="32" fillId="6" fontId="42" numFmtId="0" xfId="0" applyAlignment="1" applyBorder="1" applyFont="1">
      <alignment horizontal="center" readingOrder="0" shrinkToFit="0" vertical="center" wrapText="1"/>
    </xf>
    <xf borderId="124" fillId="3" fontId="32" numFmtId="0" xfId="0" applyAlignment="1" applyBorder="1" applyFont="1">
      <alignment horizontal="center" readingOrder="0" shrinkToFit="0" vertical="center" wrapText="1"/>
    </xf>
    <xf borderId="33" fillId="14" fontId="61" numFmtId="2" xfId="0" applyAlignment="1" applyBorder="1" applyFont="1" applyNumberFormat="1">
      <alignment horizontal="center" readingOrder="0" shrinkToFit="0" vertical="center" wrapText="1"/>
    </xf>
    <xf borderId="11" fillId="6" fontId="61" numFmtId="0" xfId="0" applyAlignment="1" applyBorder="1" applyFont="1">
      <alignment horizontal="center" shrinkToFit="0" vertical="center" wrapText="1"/>
    </xf>
    <xf borderId="33" fillId="13" fontId="82" numFmtId="10" xfId="0" applyAlignment="1" applyBorder="1" applyFont="1" applyNumberFormat="1">
      <alignment horizontal="center" shrinkToFit="0" vertical="center" wrapText="1"/>
    </xf>
    <xf borderId="33" fillId="13" fontId="82" numFmtId="0" xfId="0" applyAlignment="1" applyBorder="1" applyFont="1">
      <alignment horizontal="center" readingOrder="0" shrinkToFit="0" vertical="center" wrapText="1"/>
    </xf>
    <xf borderId="102" fillId="0" fontId="4" numFmtId="0" xfId="0" applyAlignment="1" applyBorder="1" applyFont="1">
      <alignment shrinkToFit="0" wrapText="1"/>
    </xf>
    <xf borderId="88" fillId="14" fontId="61" numFmtId="177" xfId="0" applyAlignment="1" applyBorder="1" applyFont="1" applyNumberFormat="1">
      <alignment horizontal="center" readingOrder="0" shrinkToFit="0" vertical="center" wrapText="1"/>
    </xf>
    <xf borderId="88" fillId="14" fontId="61" numFmtId="0" xfId="0" applyAlignment="1" applyBorder="1" applyFont="1">
      <alignment horizontal="center" readingOrder="0" shrinkToFit="0" vertical="center" wrapText="1"/>
    </xf>
    <xf borderId="89" fillId="19" fontId="42" numFmtId="4" xfId="0" applyAlignment="1" applyBorder="1" applyFont="1" applyNumberFormat="1">
      <alignment horizontal="center" readingOrder="0" shrinkToFit="0" vertical="center" wrapText="1"/>
    </xf>
    <xf borderId="33" fillId="40" fontId="42" numFmtId="0" xfId="0" applyAlignment="1" applyBorder="1" applyFont="1">
      <alignment horizontal="center" readingOrder="0" shrinkToFit="0" vertical="center" wrapText="1"/>
    </xf>
    <xf borderId="33" fillId="6" fontId="42" numFmtId="174" xfId="0" applyAlignment="1" applyBorder="1" applyFont="1" applyNumberFormat="1">
      <alignment horizontal="center" readingOrder="0" shrinkToFit="0" vertical="center" wrapText="1"/>
    </xf>
    <xf borderId="27" fillId="0" fontId="130" numFmtId="0" xfId="0" applyAlignment="1" applyBorder="1" applyFont="1">
      <alignment horizontal="left" shrinkToFit="0" vertical="center" wrapText="0"/>
    </xf>
    <xf borderId="27" fillId="0" fontId="30" numFmtId="0" xfId="0" applyAlignment="1" applyBorder="1" applyFont="1">
      <alignment horizontal="center" readingOrder="0" shrinkToFit="0" vertical="center" wrapText="0"/>
    </xf>
    <xf borderId="0" fillId="0" fontId="32" numFmtId="0" xfId="0" applyAlignment="1" applyFont="1">
      <alignment horizontal="center" readingOrder="0" shrinkToFit="0" vertical="center" wrapText="1"/>
    </xf>
    <xf borderId="27" fillId="2" fontId="36" numFmtId="0" xfId="0" applyAlignment="1" applyBorder="1" applyFont="1">
      <alignment horizontal="center" shrinkToFit="0" vertical="center" wrapText="1"/>
    </xf>
    <xf borderId="27" fillId="2" fontId="43" numFmtId="0" xfId="0" applyAlignment="1" applyBorder="1" applyFont="1">
      <alignment horizontal="center" shrinkToFit="0" vertical="center" wrapText="1"/>
    </xf>
    <xf borderId="27" fillId="3" fontId="131" numFmtId="0" xfId="0" applyAlignment="1" applyBorder="1" applyFont="1">
      <alignment horizontal="center" readingOrder="0" shrinkToFit="0" vertical="center" wrapText="1"/>
    </xf>
    <xf borderId="105" fillId="0" fontId="76" numFmtId="170" xfId="0" applyAlignment="1" applyBorder="1" applyFont="1" applyNumberFormat="1">
      <alignment horizontal="center" shrinkToFit="0" vertical="center" wrapText="1"/>
    </xf>
    <xf borderId="102" fillId="0" fontId="76" numFmtId="174" xfId="0" applyAlignment="1" applyBorder="1" applyFont="1" applyNumberFormat="1">
      <alignment horizontal="center" shrinkToFit="0" vertical="center" wrapText="1"/>
    </xf>
    <xf borderId="102" fillId="0" fontId="76" numFmtId="10" xfId="0" applyAlignment="1" applyBorder="1" applyFont="1" applyNumberFormat="1">
      <alignment horizontal="center" shrinkToFit="0" vertical="center" wrapText="1"/>
    </xf>
    <xf borderId="101" fillId="0" fontId="76" numFmtId="10" xfId="0" applyAlignment="1" applyBorder="1" applyFont="1" applyNumberFormat="1">
      <alignment horizontal="center" shrinkToFit="0" vertical="center" wrapText="1"/>
    </xf>
    <xf borderId="105" fillId="0" fontId="43" numFmtId="170" xfId="0" applyAlignment="1" applyBorder="1" applyFont="1" applyNumberFormat="1">
      <alignment horizontal="center" shrinkToFit="0" vertical="center" wrapText="1"/>
    </xf>
    <xf borderId="38" fillId="0" fontId="77" numFmtId="4" xfId="0" applyAlignment="1" applyBorder="1" applyFont="1" applyNumberFormat="1">
      <alignment horizontal="center" shrinkToFit="0" vertical="center" wrapText="0"/>
    </xf>
    <xf borderId="40" fillId="0" fontId="61" numFmtId="10" xfId="0" applyAlignment="1" applyBorder="1" applyFont="1" applyNumberFormat="1">
      <alignment horizontal="center" shrinkToFit="0" vertical="center" wrapText="0"/>
    </xf>
    <xf borderId="49" fillId="0" fontId="73" numFmtId="4" xfId="0" applyAlignment="1" applyBorder="1" applyFont="1" applyNumberFormat="1">
      <alignment horizontal="center" shrinkToFit="0" vertical="center" wrapText="1"/>
    </xf>
    <xf borderId="105" fillId="0" fontId="56" numFmtId="170" xfId="0" applyAlignment="1" applyBorder="1" applyFont="1" applyNumberFormat="1">
      <alignment horizontal="center" shrinkToFit="0" vertical="center" wrapText="1"/>
    </xf>
    <xf borderId="49" fillId="0" fontId="73" numFmtId="10" xfId="0" applyAlignment="1" applyBorder="1" applyFont="1" applyNumberFormat="1">
      <alignment horizontal="center" shrinkToFit="0" vertical="center" wrapText="1"/>
    </xf>
    <xf borderId="43" fillId="0" fontId="73" numFmtId="10" xfId="0" applyAlignment="1" applyBorder="1" applyFont="1" applyNumberFormat="1">
      <alignment horizontal="center" shrinkToFit="0" vertical="center" wrapText="1"/>
    </xf>
    <xf borderId="39" fillId="12" fontId="51" numFmtId="4" xfId="0" applyAlignment="1" applyBorder="1" applyFont="1" applyNumberFormat="1">
      <alignment shrinkToFit="0" vertical="center" wrapText="1"/>
    </xf>
    <xf borderId="136" fillId="0" fontId="16" numFmtId="170" xfId="0" applyAlignment="1" applyBorder="1" applyFont="1" applyNumberFormat="1">
      <alignment shrinkToFit="0" vertical="bottom" wrapText="1"/>
    </xf>
    <xf borderId="100" fillId="12" fontId="73" numFmtId="10" xfId="0" applyAlignment="1" applyBorder="1" applyFont="1" applyNumberFormat="1">
      <alignment horizontal="center" shrinkToFit="0" vertical="center" wrapText="1"/>
    </xf>
    <xf borderId="100" fillId="12" fontId="73" numFmtId="4" xfId="0" applyAlignment="1" applyBorder="1" applyFont="1" applyNumberFormat="1">
      <alignment horizontal="center" shrinkToFit="0" vertical="center" wrapText="1"/>
    </xf>
    <xf borderId="100" fillId="12" fontId="73" numFmtId="49" xfId="0" applyAlignment="1" applyBorder="1" applyFont="1" applyNumberFormat="1">
      <alignment horizontal="center" shrinkToFit="0" vertical="center" wrapText="1"/>
    </xf>
    <xf borderId="0" fillId="0" fontId="4" numFmtId="49" xfId="0" applyAlignment="1" applyFont="1" applyNumberFormat="1">
      <alignment shrinkToFit="0" wrapText="1"/>
    </xf>
    <xf borderId="100" fillId="0" fontId="73" numFmtId="4" xfId="0" applyAlignment="1" applyBorder="1" applyFont="1" applyNumberFormat="1">
      <alignment horizontal="center" shrinkToFit="0" vertical="center" wrapText="1"/>
    </xf>
    <xf borderId="100" fillId="0" fontId="73" numFmtId="10" xfId="0" applyAlignment="1" applyBorder="1" applyFont="1" applyNumberFormat="1">
      <alignment horizontal="center" shrinkToFit="0" vertical="center" wrapText="1"/>
    </xf>
    <xf borderId="40" fillId="0" fontId="73" numFmtId="10" xfId="0" applyAlignment="1" applyBorder="1" applyFont="1" applyNumberFormat="1">
      <alignment horizontal="center" shrinkToFit="0" vertical="center" wrapText="1"/>
    </xf>
    <xf borderId="40" fillId="0" fontId="73" numFmtId="49" xfId="0" applyAlignment="1" applyBorder="1" applyFont="1" applyNumberFormat="1">
      <alignment horizontal="center" shrinkToFit="0" vertical="center" wrapText="1"/>
    </xf>
    <xf borderId="49" fillId="0" fontId="73" numFmtId="170" xfId="0" applyAlignment="1" applyBorder="1" applyFont="1" applyNumberFormat="1">
      <alignment horizontal="center" shrinkToFit="0" vertical="center" wrapText="1"/>
    </xf>
    <xf borderId="49" fillId="0" fontId="66" numFmtId="170" xfId="0" applyAlignment="1" applyBorder="1" applyFont="1" applyNumberFormat="1">
      <alignment horizontal="center" shrinkToFit="0" vertical="center" wrapText="1"/>
    </xf>
    <xf borderId="49" fillId="0" fontId="132" numFmtId="174" xfId="0" applyAlignment="1" applyBorder="1" applyFont="1" applyNumberFormat="1">
      <alignment horizontal="center" shrinkToFit="0" vertical="center" wrapText="1"/>
    </xf>
    <xf borderId="100" fillId="0" fontId="51" numFmtId="170" xfId="0" applyAlignment="1" applyBorder="1" applyFont="1" applyNumberFormat="1">
      <alignment horizontal="center" shrinkToFit="0" vertical="center" wrapText="1"/>
    </xf>
    <xf borderId="100" fillId="0" fontId="51" numFmtId="10" xfId="0" applyAlignment="1" applyBorder="1" applyFont="1" applyNumberFormat="1">
      <alignment horizontal="center" shrinkToFit="0" vertical="center" wrapText="1"/>
    </xf>
    <xf borderId="43" fillId="0" fontId="66" numFmtId="0" xfId="0" applyAlignment="1" applyBorder="1" applyFont="1">
      <alignment horizontal="center" shrinkToFit="0" vertical="center" wrapText="1"/>
    </xf>
    <xf borderId="43" fillId="0" fontId="66" numFmtId="4" xfId="0" applyAlignment="1" applyBorder="1" applyFont="1" applyNumberFormat="1">
      <alignment horizontal="center" shrinkToFit="0" vertical="center" wrapText="1"/>
    </xf>
    <xf borderId="43" fillId="0" fontId="66" numFmtId="0" xfId="0" applyAlignment="1" applyBorder="1" applyFont="1">
      <alignment horizontal="center" readingOrder="0" shrinkToFit="0" vertical="center" wrapText="1"/>
    </xf>
    <xf borderId="43" fillId="0" fontId="66" numFmtId="10" xfId="0" applyAlignment="1" applyBorder="1" applyFont="1" applyNumberFormat="1">
      <alignment horizontal="center" shrinkToFit="0" vertical="center" wrapText="1"/>
    </xf>
    <xf borderId="43" fillId="0" fontId="32" numFmtId="170" xfId="0" applyAlignment="1" applyBorder="1" applyFont="1" applyNumberFormat="1">
      <alignment horizontal="center" shrinkToFit="0" vertical="center" wrapText="1"/>
    </xf>
    <xf borderId="43" fillId="0" fontId="32" numFmtId="174" xfId="0" applyAlignment="1" applyBorder="1" applyFont="1" applyNumberFormat="1">
      <alignment horizontal="center" shrinkToFit="0" vertical="center" wrapText="1"/>
    </xf>
    <xf borderId="40" fillId="0" fontId="51" numFmtId="4" xfId="0" applyAlignment="1" applyBorder="1" applyFont="1" applyNumberFormat="1">
      <alignment horizontal="center" shrinkToFit="0" vertical="center" wrapText="1"/>
    </xf>
    <xf borderId="100" fillId="0" fontId="32" numFmtId="10" xfId="0" applyAlignment="1" applyBorder="1" applyFont="1" applyNumberFormat="1">
      <alignment horizontal="center" shrinkToFit="0" vertical="center" wrapText="1"/>
    </xf>
    <xf borderId="105" fillId="0" fontId="31" numFmtId="170" xfId="0" applyAlignment="1" applyBorder="1" applyFont="1" applyNumberFormat="1">
      <alignment horizontal="center" shrinkToFit="0" vertical="center" wrapText="1"/>
    </xf>
    <xf borderId="102" fillId="0" fontId="31" numFmtId="174" xfId="0" applyAlignment="1" applyBorder="1" applyFont="1" applyNumberFormat="1">
      <alignment horizontal="center" shrinkToFit="0" vertical="center" wrapText="1"/>
    </xf>
    <xf borderId="137" fillId="0" fontId="31" numFmtId="10" xfId="0" applyAlignment="1" applyBorder="1" applyFont="1" applyNumberFormat="1">
      <alignment horizontal="center" shrinkToFit="0" vertical="center" wrapText="1"/>
    </xf>
    <xf borderId="62" fillId="0" fontId="31" numFmtId="10" xfId="0" applyAlignment="1" applyBorder="1" applyFont="1" applyNumberFormat="1">
      <alignment horizontal="center" shrinkToFit="0" vertical="center" wrapText="1"/>
    </xf>
    <xf borderId="43" fillId="0" fontId="66" numFmtId="170" xfId="0" applyAlignment="1" applyBorder="1" applyFont="1" applyNumberFormat="1">
      <alignment horizontal="center" shrinkToFit="0" vertical="center" wrapText="1"/>
    </xf>
    <xf borderId="43" fillId="0" fontId="132" numFmtId="174" xfId="0" applyAlignment="1" applyBorder="1" applyFont="1" applyNumberFormat="1">
      <alignment horizontal="center" shrinkToFit="0" vertical="center" wrapText="1"/>
    </xf>
    <xf borderId="27" fillId="0" fontId="51" numFmtId="170" xfId="0" applyAlignment="1" applyBorder="1" applyFont="1" applyNumberFormat="1">
      <alignment horizontal="center" shrinkToFit="0" vertical="center" wrapText="1"/>
    </xf>
    <xf borderId="27" fillId="0" fontId="51" numFmtId="10" xfId="0" applyAlignment="1" applyBorder="1" applyFont="1" applyNumberFormat="1">
      <alignment horizontal="center" shrinkToFit="0" vertical="center" wrapText="1"/>
    </xf>
    <xf borderId="30" fillId="0" fontId="51" numFmtId="4" xfId="0" applyAlignment="1" applyBorder="1" applyFont="1" applyNumberFormat="1">
      <alignment horizontal="center" shrinkToFit="0" vertical="center" wrapText="1"/>
    </xf>
    <xf borderId="27" fillId="3" fontId="131" numFmtId="0" xfId="0" applyAlignment="1" applyBorder="1" applyFont="1">
      <alignment horizontal="center" shrinkToFit="0" vertical="center" wrapText="1"/>
    </xf>
    <xf borderId="27" fillId="0" fontId="30" numFmtId="0" xfId="0" applyAlignment="1" applyBorder="1" applyFont="1">
      <alignment horizontal="left" readingOrder="0" shrinkToFit="0" vertical="center" wrapText="0"/>
    </xf>
    <xf borderId="54" fillId="6" fontId="133" numFmtId="0" xfId="0" applyAlignment="1" applyBorder="1" applyFont="1">
      <alignment horizontal="center" readingOrder="0" shrinkToFit="0" vertical="center" wrapText="1"/>
    </xf>
    <xf borderId="0" fillId="6" fontId="28" numFmtId="4" xfId="0" applyAlignment="1" applyFont="1" applyNumberFormat="1">
      <alignment horizontal="center" readingOrder="0" shrinkToFit="0" vertical="center" wrapText="1"/>
    </xf>
    <xf borderId="0" fillId="0" fontId="29" numFmtId="4" xfId="0" applyAlignment="1" applyFont="1" applyNumberFormat="1">
      <alignment horizontal="center" readingOrder="0" shrinkToFit="0" vertical="center" wrapText="1"/>
    </xf>
    <xf borderId="0" fillId="0" fontId="4" numFmtId="0" xfId="0" applyAlignment="1" applyFont="1">
      <alignment horizontal="center" shrinkToFit="0" wrapText="0"/>
    </xf>
    <xf borderId="0" fillId="0" fontId="4" numFmtId="0" xfId="0" applyAlignment="1" applyFont="1">
      <alignment shrinkToFit="0" wrapText="0"/>
    </xf>
    <xf borderId="0" fillId="0" fontId="4" numFmtId="4" xfId="0" applyAlignment="1" applyFont="1" applyNumberFormat="1">
      <alignment shrinkToFit="0" wrapText="0"/>
    </xf>
    <xf borderId="0" fillId="0" fontId="4" numFmtId="0" xfId="0" applyAlignment="1" applyFont="1">
      <alignment readingOrder="0" shrinkToFit="0" wrapText="1"/>
    </xf>
    <xf borderId="0" fillId="0" fontId="102" numFmtId="0" xfId="0" applyAlignment="1" applyFont="1">
      <alignment horizontal="center" readingOrder="0" shrinkToFit="0" wrapText="0"/>
    </xf>
    <xf borderId="0" fillId="0" fontId="102" numFmtId="0" xfId="0" applyAlignment="1" applyFont="1">
      <alignment horizontal="left" shrinkToFit="0" wrapText="0"/>
    </xf>
    <xf borderId="0" fillId="0" fontId="102" numFmtId="0" xfId="0" applyAlignment="1" applyFont="1">
      <alignment horizontal="left" shrinkToFit="0" wrapText="1"/>
    </xf>
    <xf borderId="0" fillId="0" fontId="102" numFmtId="0" xfId="0" applyAlignment="1" applyFont="1">
      <alignment shrinkToFit="0" wrapText="0"/>
    </xf>
    <xf borderId="0" fillId="0" fontId="102" numFmtId="0" xfId="0" applyAlignment="1" applyFont="1">
      <alignment horizontal="center" shrinkToFit="0" wrapText="0"/>
    </xf>
    <xf borderId="0" fillId="0" fontId="102" numFmtId="10" xfId="0" applyAlignment="1" applyFont="1" applyNumberFormat="1">
      <alignment horizontal="center" shrinkToFit="0" wrapText="0"/>
    </xf>
    <xf borderId="0" fillId="0" fontId="102" numFmtId="4" xfId="0" applyAlignment="1" applyFont="1" applyNumberFormat="1">
      <alignment horizontal="center" shrinkToFit="0" wrapText="0"/>
    </xf>
    <xf borderId="0" fillId="0" fontId="102" numFmtId="168" xfId="0" applyAlignment="1" applyFont="1" applyNumberFormat="1">
      <alignment horizontal="center" shrinkToFit="0" wrapText="0"/>
    </xf>
    <xf borderId="0" fillId="0" fontId="71" numFmtId="0" xfId="0" applyAlignment="1" applyFont="1">
      <alignment shrinkToFit="0" wrapText="0"/>
    </xf>
    <xf borderId="0" fillId="0" fontId="32" numFmtId="0" xfId="0" applyAlignment="1" applyFont="1">
      <alignment horizontal="center" shrinkToFit="0" wrapText="0"/>
    </xf>
    <xf borderId="0" fillId="0" fontId="32" numFmtId="4" xfId="0" applyAlignment="1" applyFont="1" applyNumberFormat="1">
      <alignment horizontal="center" shrinkToFit="0" wrapText="0"/>
    </xf>
    <xf borderId="0" fillId="0" fontId="32" numFmtId="4" xfId="0" applyAlignment="1" applyFont="1" applyNumberFormat="1">
      <alignment shrinkToFit="0" wrapText="0"/>
    </xf>
    <xf borderId="0" fillId="0" fontId="32" numFmtId="0" xfId="0" applyAlignment="1" applyFont="1">
      <alignment shrinkToFit="0" wrapText="0"/>
    </xf>
    <xf borderId="0" fillId="0" fontId="102" numFmtId="49" xfId="0" applyAlignment="1" applyFont="1" applyNumberFormat="1">
      <alignment horizontal="center" shrinkToFit="0" wrapText="0"/>
    </xf>
    <xf borderId="31" fillId="0" fontId="102" numFmtId="4" xfId="0" applyAlignment="1" applyBorder="1" applyFont="1" applyNumberFormat="1">
      <alignment horizontal="center" shrinkToFit="0" vertical="center" wrapText="0"/>
    </xf>
    <xf borderId="131" fillId="0" fontId="102" numFmtId="49" xfId="0" applyAlignment="1" applyBorder="1" applyFont="1" applyNumberFormat="1">
      <alignment shrinkToFit="0" vertical="center" wrapText="0"/>
    </xf>
    <xf borderId="138" fillId="0" fontId="4" numFmtId="0" xfId="0" applyAlignment="1" applyBorder="1" applyFont="1">
      <alignment shrinkToFit="0" wrapText="1"/>
    </xf>
    <xf borderId="0" fillId="0" fontId="16" numFmtId="49" xfId="0" applyAlignment="1" applyFont="1" applyNumberFormat="1">
      <alignment shrinkToFit="0" vertical="center" wrapText="0"/>
    </xf>
    <xf borderId="0" fillId="0" fontId="16" numFmtId="10" xfId="0" applyAlignment="1" applyFont="1" applyNumberFormat="1">
      <alignment shrinkToFit="0" vertical="center" wrapText="0"/>
    </xf>
    <xf borderId="0" fillId="0" fontId="102" numFmtId="49" xfId="0" applyAlignment="1" applyFont="1" applyNumberFormat="1">
      <alignment horizontal="center" shrinkToFit="0" wrapText="1"/>
    </xf>
    <xf borderId="0" fillId="0" fontId="2" numFmtId="0" xfId="0" applyAlignment="1" applyFont="1">
      <alignment horizontal="center" shrinkToFit="0" wrapText="1"/>
    </xf>
    <xf borderId="0" fillId="0" fontId="16" numFmtId="4" xfId="0" applyAlignment="1" applyFont="1" applyNumberFormat="1">
      <alignment shrinkToFit="0" vertical="center" wrapText="0"/>
    </xf>
    <xf borderId="139" fillId="14" fontId="36" numFmtId="0" xfId="0" applyAlignment="1" applyBorder="1" applyFont="1">
      <alignment horizontal="center" readingOrder="0" shrinkToFit="0" vertical="center" wrapText="1"/>
    </xf>
    <xf borderId="140" fillId="0" fontId="4" numFmtId="0" xfId="0" applyAlignment="1" applyBorder="1" applyFont="1">
      <alignment shrinkToFit="0" wrapText="1"/>
    </xf>
    <xf borderId="141" fillId="14" fontId="36" numFmtId="0" xfId="0" applyAlignment="1" applyBorder="1" applyFont="1">
      <alignment horizontal="center" readingOrder="0" shrinkToFit="0" vertical="center" wrapText="1"/>
    </xf>
    <xf borderId="142" fillId="0" fontId="4" numFmtId="0" xfId="0" applyAlignment="1" applyBorder="1" applyFont="1">
      <alignment shrinkToFit="0" wrapText="1"/>
    </xf>
    <xf borderId="143" fillId="14" fontId="36" numFmtId="0" xfId="0" applyAlignment="1" applyBorder="1" applyFont="1">
      <alignment horizontal="center" readingOrder="0" shrinkToFit="0" vertical="center" wrapText="1"/>
    </xf>
    <xf borderId="144" fillId="0" fontId="4" numFmtId="0" xfId="0" applyAlignment="1" applyBorder="1" applyFont="1">
      <alignment shrinkToFit="0" wrapText="1"/>
    </xf>
    <xf borderId="145" fillId="0" fontId="4" numFmtId="0" xfId="0" applyAlignment="1" applyBorder="1" applyFont="1">
      <alignment shrinkToFit="0" wrapText="1"/>
    </xf>
    <xf borderId="31" fillId="0" fontId="134" numFmtId="0" xfId="0" applyAlignment="1" applyBorder="1" applyFont="1">
      <alignment horizontal="center" readingOrder="0" shrinkToFit="0" vertical="center" wrapText="0"/>
    </xf>
    <xf borderId="146" fillId="9" fontId="36" numFmtId="0" xfId="0" applyAlignment="1" applyBorder="1" applyFont="1">
      <alignment horizontal="center" readingOrder="0" shrinkToFit="0" vertical="center" wrapText="1"/>
    </xf>
    <xf borderId="147" fillId="9" fontId="36" numFmtId="169" xfId="0" applyAlignment="1" applyBorder="1" applyFont="1" applyNumberFormat="1">
      <alignment horizontal="center" readingOrder="0" shrinkToFit="0" vertical="center" wrapText="1"/>
    </xf>
    <xf borderId="147" fillId="9" fontId="36" numFmtId="0" xfId="0" applyAlignment="1" applyBorder="1" applyFont="1">
      <alignment horizontal="center" shrinkToFit="0" vertical="center" wrapText="1"/>
    </xf>
    <xf borderId="31" fillId="9" fontId="36" numFmtId="0" xfId="0" applyAlignment="1" applyBorder="1" applyFont="1">
      <alignment horizontal="center" readingOrder="0" shrinkToFit="0" vertical="center" wrapText="1"/>
    </xf>
    <xf borderId="131" fillId="9" fontId="36" numFmtId="0" xfId="0" applyAlignment="1" applyBorder="1" applyFont="1">
      <alignment horizontal="center" shrinkToFit="0" vertical="center" wrapText="1"/>
    </xf>
    <xf borderId="148" fillId="0" fontId="4" numFmtId="0" xfId="0" applyAlignment="1" applyBorder="1" applyFont="1">
      <alignment shrinkToFit="0" wrapText="1"/>
    </xf>
    <xf borderId="0" fillId="0" fontId="135" numFmtId="0" xfId="0" applyAlignment="1" applyFont="1">
      <alignment shrinkToFit="0" vertical="center" wrapText="1"/>
    </xf>
    <xf borderId="149" fillId="9" fontId="36" numFmtId="169" xfId="0" applyAlignment="1" applyBorder="1" applyFont="1" applyNumberFormat="1">
      <alignment horizontal="center" readingOrder="0" shrinkToFit="0" vertical="center" wrapText="1"/>
    </xf>
    <xf borderId="31" fillId="9" fontId="36" numFmtId="4" xfId="0" applyAlignment="1" applyBorder="1" applyFont="1" applyNumberFormat="1">
      <alignment horizontal="center" shrinkToFit="0" vertical="center" wrapText="1"/>
    </xf>
    <xf borderId="138" fillId="9" fontId="36" numFmtId="0" xfId="0" applyAlignment="1" applyBorder="1" applyFont="1">
      <alignment horizontal="center" shrinkToFit="0" vertical="center" wrapText="1"/>
    </xf>
    <xf borderId="138" fillId="9" fontId="36" numFmtId="0" xfId="0" applyAlignment="1" applyBorder="1" applyFont="1">
      <alignment horizontal="center" readingOrder="0" shrinkToFit="0" vertical="center" wrapText="1"/>
    </xf>
    <xf borderId="148" fillId="9" fontId="36" numFmtId="0" xfId="0" applyAlignment="1" applyBorder="1" applyFont="1">
      <alignment horizontal="center" shrinkToFit="0" vertical="center" wrapText="1"/>
    </xf>
    <xf borderId="31" fillId="0" fontId="102" numFmtId="0" xfId="0" applyAlignment="1" applyBorder="1" applyFont="1">
      <alignment horizontal="center" readingOrder="0" shrinkToFit="0" vertical="center" wrapText="0"/>
    </xf>
    <xf borderId="31" fillId="0" fontId="102" numFmtId="0" xfId="0" applyAlignment="1" applyBorder="1" applyFont="1">
      <alignment horizontal="center" shrinkToFit="0" vertical="center" wrapText="0"/>
    </xf>
    <xf borderId="131" fillId="16" fontId="56" numFmtId="0" xfId="0" applyAlignment="1" applyBorder="1" applyFont="1">
      <alignment horizontal="center" readingOrder="0" shrinkToFit="0" vertical="center" wrapText="1"/>
    </xf>
    <xf borderId="31" fillId="0" fontId="51" numFmtId="169" xfId="0" applyAlignment="1" applyBorder="1" applyFont="1" applyNumberFormat="1">
      <alignment horizontal="center" shrinkToFit="0" vertical="center" wrapText="1"/>
    </xf>
    <xf borderId="31" fillId="0" fontId="51" numFmtId="4" xfId="0" applyAlignment="1" applyBorder="1" applyFont="1" applyNumberFormat="1">
      <alignment horizontal="center" shrinkToFit="0" vertical="center" wrapText="1"/>
    </xf>
    <xf borderId="31" fillId="0" fontId="51" numFmtId="0" xfId="0" applyAlignment="1" applyBorder="1" applyFont="1">
      <alignment horizontal="center" shrinkToFit="0" vertical="center" wrapText="1"/>
    </xf>
    <xf borderId="131" fillId="0" fontId="51" numFmtId="0" xfId="0" applyAlignment="1" applyBorder="1" applyFont="1">
      <alignment horizontal="center" shrinkToFit="0" vertical="center" wrapText="1"/>
    </xf>
    <xf borderId="0" fillId="0" fontId="128" numFmtId="0" xfId="0" applyAlignment="1" applyFont="1">
      <alignment shrinkToFit="0" vertical="center" wrapText="1"/>
    </xf>
    <xf borderId="31" fillId="2" fontId="77" numFmtId="169" xfId="0" applyAlignment="1" applyBorder="1" applyFont="1" applyNumberFormat="1">
      <alignment horizontal="center" shrinkToFit="0" vertical="center" wrapText="1"/>
    </xf>
    <xf borderId="31" fillId="2" fontId="77" numFmtId="4" xfId="0" applyAlignment="1" applyBorder="1" applyFont="1" applyNumberFormat="1">
      <alignment horizontal="center" shrinkToFit="0" vertical="center" wrapText="1"/>
    </xf>
    <xf borderId="131" fillId="2" fontId="77" numFmtId="0" xfId="0" applyAlignment="1" applyBorder="1" applyFont="1">
      <alignment horizontal="center" shrinkToFit="0" vertical="center" wrapText="1"/>
    </xf>
    <xf borderId="150" fillId="0" fontId="4" numFmtId="0" xfId="0" applyAlignment="1" applyBorder="1" applyFont="1">
      <alignment shrinkToFit="0" wrapText="1"/>
    </xf>
    <xf borderId="31" fillId="2" fontId="77" numFmtId="0" xfId="0" applyAlignment="1" applyBorder="1" applyFont="1">
      <alignment horizontal="center" shrinkToFit="0" vertical="center" wrapText="1"/>
    </xf>
    <xf borderId="31" fillId="0" fontId="105" numFmtId="4" xfId="0" applyAlignment="1" applyBorder="1" applyFont="1" applyNumberFormat="1">
      <alignment horizontal="center" readingOrder="0" shrinkToFit="0" vertical="center" wrapText="1"/>
    </xf>
    <xf borderId="31" fillId="0" fontId="102" numFmtId="4" xfId="0" applyAlignment="1" applyBorder="1" applyFont="1" applyNumberFormat="1">
      <alignment horizontal="center" readingOrder="0" shrinkToFit="0" vertical="center" wrapText="0"/>
    </xf>
    <xf borderId="0" fillId="0" fontId="2" numFmtId="10" xfId="0" applyAlignment="1" applyFont="1" applyNumberFormat="1">
      <alignment horizontal="center" shrinkToFit="0" wrapText="1"/>
    </xf>
    <xf borderId="151" fillId="6" fontId="61" numFmtId="0" xfId="0" applyAlignment="1" applyBorder="1" applyFont="1">
      <alignment horizontal="center" readingOrder="0" shrinkToFit="0" vertical="center" wrapText="1"/>
    </xf>
    <xf borderId="152" fillId="0" fontId="4" numFmtId="0" xfId="0" applyAlignment="1" applyBorder="1" applyFont="1">
      <alignment shrinkToFit="0" wrapText="1"/>
    </xf>
    <xf borderId="153" fillId="0" fontId="4" numFmtId="0" xfId="0" applyAlignment="1" applyBorder="1" applyFont="1">
      <alignment shrinkToFit="0" wrapText="1"/>
    </xf>
    <xf borderId="27" fillId="3" fontId="4" numFmtId="0" xfId="0" applyAlignment="1" applyBorder="1" applyFont="1">
      <alignment readingOrder="0" shrinkToFit="0" vertical="center" wrapText="1"/>
    </xf>
    <xf borderId="11" fillId="6" fontId="91" numFmtId="0" xfId="0" applyAlignment="1" applyBorder="1" applyFont="1">
      <alignment horizontal="center" readingOrder="0" shrinkToFit="0" vertical="center" wrapText="1"/>
    </xf>
    <xf borderId="31" fillId="0" fontId="136" numFmtId="0" xfId="0" applyAlignment="1" applyBorder="1" applyFont="1">
      <alignment horizontal="center" readingOrder="0" shrinkToFit="0" vertical="center" wrapText="0"/>
    </xf>
    <xf borderId="31" fillId="0" fontId="102" numFmtId="0" xfId="0" applyAlignment="1" applyBorder="1" applyFont="1">
      <alignment horizontal="left" readingOrder="0" shrinkToFit="0" vertical="center" wrapText="0"/>
    </xf>
    <xf borderId="31" fillId="24" fontId="102" numFmtId="0" xfId="0" applyAlignment="1" applyBorder="1" applyFont="1">
      <alignment horizontal="center" shrinkToFit="0" vertical="center" wrapText="0"/>
    </xf>
    <xf borderId="0" fillId="0" fontId="102" numFmtId="4" xfId="0" applyAlignment="1" applyFont="1" applyNumberFormat="1">
      <alignment horizontal="center" shrinkToFit="0" vertical="center" wrapText="0"/>
    </xf>
    <xf borderId="31" fillId="0" fontId="102" numFmtId="49" xfId="0" applyAlignment="1" applyBorder="1" applyFont="1" applyNumberFormat="1">
      <alignment horizontal="center" shrinkToFit="0" vertical="center" wrapText="0"/>
    </xf>
    <xf borderId="0" fillId="0" fontId="16" numFmtId="4" xfId="0" applyAlignment="1" applyFont="1" applyNumberFormat="1">
      <alignment readingOrder="0" shrinkToFit="0" vertical="center" wrapText="0"/>
    </xf>
    <xf borderId="0" fillId="10" fontId="137" numFmtId="4" xfId="0" applyAlignment="1" applyFont="1" applyNumberFormat="1">
      <alignment horizontal="center" readingOrder="0" shrinkToFit="0" vertical="center" wrapText="1"/>
    </xf>
    <xf borderId="14" fillId="6" fontId="61" numFmtId="4" xfId="0" applyAlignment="1" applyBorder="1" applyFont="1" applyNumberFormat="1">
      <alignment horizontal="center" readingOrder="0" shrinkToFit="0" vertical="center" wrapText="1"/>
    </xf>
    <xf borderId="154" fillId="3" fontId="43" numFmtId="4" xfId="0" applyAlignment="1" applyBorder="1" applyFont="1" applyNumberFormat="1">
      <alignment horizontal="center" readingOrder="0" shrinkToFit="0" vertical="center" wrapText="1"/>
    </xf>
    <xf borderId="11" fillId="6" fontId="61" numFmtId="0" xfId="0" applyAlignment="1" applyBorder="1" applyFont="1">
      <alignment horizontal="center" readingOrder="0" shrinkToFit="0" vertical="center" wrapText="1"/>
    </xf>
    <xf borderId="31" fillId="0" fontId="102" numFmtId="168" xfId="0" applyAlignment="1" applyBorder="1" applyFont="1" applyNumberFormat="1">
      <alignment horizontal="center" readingOrder="0" shrinkToFit="0" vertical="center" wrapText="0"/>
    </xf>
    <xf borderId="31" fillId="0" fontId="102" numFmtId="168" xfId="0" applyAlignment="1" applyBorder="1" applyFont="1" applyNumberFormat="1">
      <alignment horizontal="center" shrinkToFit="0" vertical="center" wrapText="0"/>
    </xf>
    <xf borderId="0" fillId="0" fontId="16" numFmtId="49" xfId="0" applyAlignment="1" applyFont="1" applyNumberFormat="1">
      <alignment readingOrder="0" shrinkToFit="0" vertical="center" wrapText="0"/>
    </xf>
    <xf borderId="14" fillId="3" fontId="30" numFmtId="0" xfId="0" applyAlignment="1" applyBorder="1" applyFont="1">
      <alignment horizontal="center" readingOrder="0" shrinkToFit="0" vertical="center" wrapText="1"/>
    </xf>
    <xf borderId="27" fillId="3" fontId="51" numFmtId="169" xfId="0" applyAlignment="1" applyBorder="1" applyFont="1" applyNumberFormat="1">
      <alignment horizontal="center" readingOrder="0" shrinkToFit="0" vertical="center" wrapText="1"/>
    </xf>
    <xf borderId="13" fillId="6" fontId="61" numFmtId="0" xfId="0" applyAlignment="1" applyBorder="1" applyFont="1">
      <alignment horizontal="center" readingOrder="0" shrinkToFit="0" vertical="center" wrapText="1"/>
    </xf>
    <xf borderId="131" fillId="0" fontId="102" numFmtId="0" xfId="0" applyAlignment="1" applyBorder="1" applyFont="1">
      <alignment horizontal="center" readingOrder="0" shrinkToFit="0" vertical="center" wrapText="0"/>
    </xf>
    <xf borderId="0" fillId="0" fontId="102" numFmtId="0" xfId="0" applyAlignment="1" applyFont="1">
      <alignment horizontal="center" readingOrder="0" shrinkToFit="0" vertical="center" wrapText="0"/>
    </xf>
    <xf borderId="132" fillId="0" fontId="102" numFmtId="0" xfId="0" applyAlignment="1" applyBorder="1" applyFont="1">
      <alignment horizontal="center" readingOrder="0" shrinkToFit="0" vertical="center" wrapText="0"/>
    </xf>
    <xf borderId="0" fillId="0" fontId="102" numFmtId="49" xfId="0" applyAlignment="1" applyFont="1" applyNumberFormat="1">
      <alignment horizontal="center" readingOrder="0" shrinkToFit="0" vertical="center" wrapText="0"/>
    </xf>
    <xf borderId="131" fillId="0" fontId="102" numFmtId="4" xfId="0" applyAlignment="1" applyBorder="1" applyFont="1" applyNumberFormat="1">
      <alignment horizontal="center" shrinkToFit="0" vertical="center" wrapText="0"/>
    </xf>
    <xf borderId="131" fillId="0" fontId="102" numFmtId="49" xfId="0" applyAlignment="1" applyBorder="1" applyFont="1" applyNumberFormat="1">
      <alignment horizontal="center" shrinkToFit="0" vertical="center" wrapText="0"/>
    </xf>
    <xf borderId="0" fillId="0" fontId="102" numFmtId="49" xfId="0" applyAlignment="1" applyFont="1" applyNumberFormat="1">
      <alignment horizontal="center" readingOrder="0" shrinkToFit="0" vertical="center" wrapText="1"/>
    </xf>
    <xf borderId="155" fillId="6" fontId="61" numFmtId="170" xfId="0" applyAlignment="1" applyBorder="1" applyFont="1" applyNumberFormat="1">
      <alignment horizontal="center" readingOrder="0" shrinkToFit="0" vertical="center" wrapText="1"/>
    </xf>
    <xf borderId="89" fillId="16" fontId="66" numFmtId="170" xfId="0" applyAlignment="1" applyBorder="1" applyFont="1" applyNumberFormat="1">
      <alignment horizontal="center" readingOrder="0" shrinkToFit="0" vertical="center" wrapText="1"/>
    </xf>
    <xf borderId="147" fillId="41" fontId="138" numFmtId="4" xfId="0" applyAlignment="1" applyBorder="1" applyFill="1" applyFont="1" applyNumberFormat="1">
      <alignment horizontal="center" shrinkToFit="0" vertical="center" wrapText="1"/>
    </xf>
    <xf borderId="147" fillId="41" fontId="138" numFmtId="169" xfId="0" applyAlignment="1" applyBorder="1" applyFont="1" applyNumberFormat="1">
      <alignment horizontal="center" readingOrder="0" shrinkToFit="0" vertical="center" wrapText="1"/>
    </xf>
    <xf borderId="147" fillId="41" fontId="138" numFmtId="4" xfId="0" applyAlignment="1" applyBorder="1" applyFont="1" applyNumberFormat="1">
      <alignment horizontal="center" readingOrder="0" shrinkToFit="0" vertical="center" wrapText="1"/>
    </xf>
    <xf borderId="31" fillId="0" fontId="102" numFmtId="10" xfId="0" applyAlignment="1" applyBorder="1" applyFont="1" applyNumberFormat="1">
      <alignment horizontal="center" readingOrder="0" shrinkToFit="0" vertical="center" wrapText="0"/>
    </xf>
    <xf borderId="31" fillId="4" fontId="102" numFmtId="0" xfId="0" applyAlignment="1" applyBorder="1" applyFont="1">
      <alignment horizontal="center" readingOrder="0" shrinkToFit="0" vertical="center" wrapText="0"/>
    </xf>
    <xf borderId="31" fillId="4" fontId="102" numFmtId="4" xfId="0" applyAlignment="1" applyBorder="1" applyFont="1" applyNumberFormat="1">
      <alignment horizontal="center" readingOrder="0" shrinkToFit="0" vertical="center" wrapText="0"/>
    </xf>
    <xf borderId="31" fillId="0" fontId="102" numFmtId="10" xfId="0" applyAlignment="1" applyBorder="1" applyFont="1" applyNumberFormat="1">
      <alignment horizontal="center" shrinkToFit="0" vertical="center" wrapText="0"/>
    </xf>
    <xf borderId="88" fillId="2" fontId="43" numFmtId="0" xfId="0" applyAlignment="1" applyBorder="1" applyFont="1">
      <alignment horizontal="center" shrinkToFit="0" vertical="center" wrapText="0"/>
    </xf>
    <xf borderId="62" fillId="2" fontId="73" numFmtId="170" xfId="0" applyAlignment="1" applyBorder="1" applyFont="1" applyNumberFormat="1">
      <alignment horizontal="center" shrinkToFit="0" vertical="center" wrapText="1"/>
    </xf>
    <xf borderId="43" fillId="0" fontId="73" numFmtId="170" xfId="0" applyAlignment="1" applyBorder="1" applyFont="1" applyNumberFormat="1">
      <alignment horizontal="center" shrinkToFit="0" vertical="center" wrapText="1"/>
    </xf>
    <xf borderId="43" fillId="0" fontId="73" numFmtId="49" xfId="0" applyAlignment="1" applyBorder="1" applyFont="1" applyNumberFormat="1">
      <alignment horizontal="center" shrinkToFit="0" vertical="center" wrapText="1"/>
    </xf>
    <xf borderId="43" fillId="0" fontId="73" numFmtId="4" xfId="0" applyAlignment="1" applyBorder="1" applyFont="1" applyNumberFormat="1">
      <alignment horizontal="center" shrinkToFit="0" vertical="center" wrapText="1"/>
    </xf>
    <xf borderId="0" fillId="0" fontId="4" numFmtId="0" xfId="0" applyAlignment="1" applyFont="1">
      <alignment shrinkToFit="0" vertical="center" wrapText="1"/>
    </xf>
    <xf borderId="156" fillId="6" fontId="61" numFmtId="170" xfId="0" applyAlignment="1" applyBorder="1" applyFont="1" applyNumberFormat="1">
      <alignment horizontal="center" readingOrder="0" shrinkToFit="0" vertical="center" wrapText="1"/>
    </xf>
    <xf borderId="12" fillId="16" fontId="66" numFmtId="170" xfId="0" applyAlignment="1" applyBorder="1" applyFont="1" applyNumberFormat="1">
      <alignment horizontal="center" readingOrder="0" shrinkToFit="0" vertical="center" wrapText="1"/>
    </xf>
    <xf borderId="157" fillId="41" fontId="138" numFmtId="4" xfId="0" applyAlignment="1" applyBorder="1" applyFont="1" applyNumberFormat="1">
      <alignment horizontal="center" shrinkToFit="0" vertical="center" wrapText="1"/>
    </xf>
    <xf borderId="147" fillId="41" fontId="138" numFmtId="169" xfId="0" applyAlignment="1" applyBorder="1" applyFont="1" applyNumberFormat="1">
      <alignment horizontal="center" shrinkToFit="0" vertical="center" wrapText="1"/>
    </xf>
    <xf borderId="0" fillId="0" fontId="4" numFmtId="0" xfId="0" applyAlignment="1" applyFont="1">
      <alignment shrinkToFit="0" vertical="center" wrapText="0"/>
    </xf>
    <xf borderId="0" fillId="0" fontId="102" numFmtId="0" xfId="0" applyAlignment="1" applyFont="1">
      <alignment shrinkToFit="0" vertical="center" wrapText="0"/>
    </xf>
    <xf borderId="0" fillId="0" fontId="71" numFmtId="0" xfId="0" applyAlignment="1" applyFont="1">
      <alignment shrinkToFit="0" vertical="center" wrapText="0"/>
    </xf>
    <xf borderId="31" fillId="4" fontId="102" numFmtId="0" xfId="0" applyAlignment="1" applyBorder="1" applyFont="1">
      <alignment horizontal="center" shrinkToFit="0" vertical="center" wrapText="0"/>
    </xf>
    <xf borderId="31" fillId="4" fontId="102" numFmtId="4" xfId="0" applyAlignment="1" applyBorder="1" applyFont="1" applyNumberFormat="1">
      <alignment horizontal="center" shrinkToFit="0" vertical="center" wrapText="0"/>
    </xf>
    <xf borderId="0" fillId="0" fontId="102" numFmtId="49" xfId="0" applyAlignment="1" applyFont="1" applyNumberFormat="1">
      <alignment horizontal="center" shrinkToFit="0" vertical="center" wrapText="0"/>
    </xf>
    <xf borderId="31" fillId="24" fontId="102" numFmtId="4" xfId="0" applyAlignment="1" applyBorder="1" applyFont="1" applyNumberFormat="1">
      <alignment horizontal="center" shrinkToFit="0" vertical="center" wrapText="0"/>
    </xf>
    <xf borderId="31" fillId="4" fontId="102" numFmtId="10" xfId="0" applyAlignment="1" applyBorder="1" applyFont="1" applyNumberFormat="1">
      <alignment horizontal="center" shrinkToFit="0" vertical="center" wrapText="0"/>
    </xf>
    <xf borderId="31" fillId="5" fontId="102" numFmtId="4" xfId="0" applyAlignment="1" applyBorder="1" applyFont="1" applyNumberFormat="1">
      <alignment horizontal="center" shrinkToFit="0" vertical="center" wrapText="0"/>
    </xf>
    <xf borderId="0" fillId="0" fontId="102" numFmtId="49" xfId="0" applyAlignment="1" applyFont="1" applyNumberFormat="1">
      <alignment horizontal="center" shrinkToFit="0" vertical="center" wrapText="1"/>
    </xf>
    <xf borderId="88" fillId="0" fontId="51" numFmtId="0" xfId="0" applyAlignment="1" applyBorder="1" applyFont="1">
      <alignment horizontal="center" shrinkToFit="0" vertical="center" wrapText="0"/>
    </xf>
    <xf borderId="89" fillId="6" fontId="61" numFmtId="0" xfId="0" applyAlignment="1" applyBorder="1" applyFont="1">
      <alignment horizontal="center" readingOrder="0" shrinkToFit="0" vertical="center" wrapText="1"/>
    </xf>
    <xf borderId="90" fillId="6" fontId="61" numFmtId="0" xfId="0" applyAlignment="1" applyBorder="1" applyFont="1">
      <alignment horizontal="center" readingOrder="0" shrinkToFit="0" vertical="center" wrapText="1"/>
    </xf>
    <xf borderId="137" fillId="3" fontId="66" numFmtId="0" xfId="0" applyAlignment="1" applyBorder="1" applyFont="1">
      <alignment horizontal="center" readingOrder="0" shrinkToFit="0" vertical="center" wrapText="1"/>
    </xf>
    <xf borderId="62" fillId="0" fontId="4" numFmtId="0" xfId="0" applyAlignment="1" applyBorder="1" applyFont="1">
      <alignment shrinkToFit="0" wrapText="1"/>
    </xf>
    <xf borderId="32" fillId="6" fontId="61" numFmtId="0" xfId="0" applyAlignment="1" applyBorder="1" applyFont="1">
      <alignment horizontal="center" readingOrder="0" shrinkToFit="0" vertical="center" wrapText="1"/>
    </xf>
    <xf borderId="158" fillId="6" fontId="61" numFmtId="0" xfId="0" applyAlignment="1" applyBorder="1" applyFont="1">
      <alignment horizontal="center" readingOrder="0" shrinkToFit="0" vertical="center" wrapText="1"/>
    </xf>
    <xf borderId="31" fillId="16" fontId="66" numFmtId="170" xfId="0" applyAlignment="1" applyBorder="1" applyFont="1" applyNumberFormat="1">
      <alignment horizontal="center" readingOrder="0" shrinkToFit="0" vertical="center" wrapText="1"/>
    </xf>
    <xf borderId="31" fillId="41" fontId="138" numFmtId="169" xfId="0" applyAlignment="1" applyBorder="1" applyFont="1" applyNumberFormat="1">
      <alignment horizontal="center" shrinkToFit="0" vertical="center" wrapText="1"/>
    </xf>
    <xf borderId="31" fillId="41" fontId="138" numFmtId="4" xfId="0" applyAlignment="1" applyBorder="1" applyFont="1" applyNumberFormat="1">
      <alignment horizontal="center" shrinkToFit="0" vertical="center" wrapText="1"/>
    </xf>
    <xf borderId="31" fillId="3" fontId="138" numFmtId="168" xfId="0" applyAlignment="1" applyBorder="1" applyFont="1" applyNumberFormat="1">
      <alignment horizontal="center" readingOrder="0" shrinkToFit="0" vertical="center" wrapText="1"/>
    </xf>
    <xf borderId="89" fillId="6" fontId="61" numFmtId="170" xfId="0" applyAlignment="1" applyBorder="1" applyFont="1" applyNumberFormat="1">
      <alignment horizontal="center" readingOrder="0" shrinkToFit="0" vertical="center" wrapText="1"/>
    </xf>
    <xf borderId="31" fillId="16" fontId="66" numFmtId="170" xfId="0" applyAlignment="1" applyBorder="1" applyFont="1" applyNumberFormat="1">
      <alignment horizontal="center" shrinkToFit="0" vertical="center" wrapText="1"/>
    </xf>
    <xf borderId="31" fillId="2" fontId="138" numFmtId="169" xfId="0" applyAlignment="1" applyBorder="1" applyFont="1" applyNumberFormat="1">
      <alignment horizontal="center" shrinkToFit="0" vertical="center" wrapText="1"/>
    </xf>
    <xf borderId="43" fillId="0" fontId="73" numFmtId="179" xfId="0" applyAlignment="1" applyBorder="1" applyFont="1" applyNumberFormat="1">
      <alignment horizontal="center" shrinkToFit="0" vertical="center" wrapText="1"/>
    </xf>
    <xf borderId="159" fillId="6" fontId="61" numFmtId="170" xfId="0" applyAlignment="1" applyBorder="1" applyFont="1" applyNumberFormat="1">
      <alignment horizontal="center" readingOrder="0" shrinkToFit="0" vertical="center" wrapText="1"/>
    </xf>
    <xf borderId="0" fillId="0" fontId="69" numFmtId="10" xfId="0" applyAlignment="1" applyFont="1" applyNumberFormat="1">
      <alignment horizontal="center" readingOrder="0" shrinkToFit="0" wrapText="1"/>
    </xf>
    <xf borderId="0" fillId="9" fontId="4" numFmtId="0" xfId="0" applyAlignment="1" applyFont="1">
      <alignment shrinkToFit="0" wrapText="1"/>
    </xf>
    <xf borderId="61" fillId="0" fontId="4" numFmtId="0" xfId="0" applyAlignment="1" applyBorder="1" applyFont="1">
      <alignment shrinkToFit="0" wrapText="1"/>
    </xf>
    <xf borderId="160" fillId="0" fontId="4" numFmtId="0" xfId="0" applyAlignment="1" applyBorder="1" applyFont="1">
      <alignment shrinkToFit="0" wrapText="1"/>
    </xf>
    <xf borderId="0" fillId="0" fontId="4" numFmtId="175" xfId="0" applyAlignment="1" applyFont="1" applyNumberFormat="1">
      <alignment shrinkToFit="0" wrapText="1"/>
    </xf>
    <xf borderId="0" fillId="0" fontId="118" numFmtId="174" xfId="0" applyAlignment="1" applyFont="1" applyNumberFormat="1">
      <alignment horizontal="center" readingOrder="0" shrinkToFit="0" vertical="center" wrapText="1"/>
    </xf>
    <xf borderId="27" fillId="3" fontId="32" numFmtId="174" xfId="0" applyAlignment="1" applyBorder="1" applyFont="1" applyNumberFormat="1">
      <alignment horizontal="center" readingOrder="0" shrinkToFit="0" vertical="center" wrapText="1"/>
    </xf>
    <xf borderId="11" fillId="6" fontId="28" numFmtId="0" xfId="0" applyAlignment="1" applyBorder="1" applyFont="1">
      <alignment horizontal="center" readingOrder="0" shrinkToFit="0" vertical="center" wrapText="1"/>
    </xf>
    <xf borderId="11" fillId="6" fontId="28" numFmtId="175" xfId="0" applyAlignment="1" applyBorder="1" applyFont="1" applyNumberFormat="1">
      <alignment horizontal="center" readingOrder="0" shrinkToFit="0" vertical="center" wrapText="1"/>
    </xf>
    <xf borderId="0" fillId="0" fontId="139" numFmtId="0" xfId="0" applyAlignment="1" applyFont="1">
      <alignment shrinkToFit="0" wrapText="1"/>
    </xf>
    <xf borderId="0" fillId="0" fontId="41" numFmtId="0" xfId="0" applyAlignment="1" applyFont="1">
      <alignment horizontal="center" readingOrder="0" shrinkToFit="0" vertical="center" wrapText="1"/>
    </xf>
    <xf borderId="0" fillId="0" fontId="1" numFmtId="4" xfId="0" applyAlignment="1" applyFont="1" applyNumberFormat="1">
      <alignment horizontal="center" readingOrder="0" shrinkToFit="0" vertical="center" wrapText="1"/>
    </xf>
    <xf borderId="89" fillId="8" fontId="41" numFmtId="0" xfId="0" applyAlignment="1" applyBorder="1" applyFont="1">
      <alignment horizontal="center" readingOrder="0" shrinkToFit="0" vertical="center" wrapText="1"/>
    </xf>
    <xf borderId="89" fillId="11" fontId="41" numFmtId="0" xfId="0" applyAlignment="1" applyBorder="1" applyFont="1">
      <alignment horizontal="center" readingOrder="0" shrinkToFit="0" vertical="center" wrapText="1"/>
    </xf>
    <xf borderId="11" fillId="8" fontId="41" numFmtId="0" xfId="0" applyAlignment="1" applyBorder="1" applyFont="1">
      <alignment horizontal="center" readingOrder="0" shrinkToFit="0" vertical="center" wrapText="1"/>
    </xf>
    <xf borderId="14" fillId="8" fontId="41" numFmtId="0" xfId="0" applyAlignment="1" applyBorder="1" applyFont="1">
      <alignment horizontal="center" readingOrder="0" shrinkToFit="0" vertical="center" wrapText="1"/>
    </xf>
    <xf borderId="161" fillId="6" fontId="140" numFmtId="0" xfId="0" applyAlignment="1" applyBorder="1" applyFont="1">
      <alignment horizontal="center" readingOrder="0" shrinkToFit="0" vertical="center" wrapText="1"/>
    </xf>
    <xf borderId="33" fillId="8" fontId="82" numFmtId="0" xfId="0" applyAlignment="1" applyBorder="1" applyFont="1">
      <alignment horizontal="center" readingOrder="0" shrinkToFit="0" vertical="center" wrapText="1"/>
    </xf>
    <xf borderId="33" fillId="42" fontId="82" numFmtId="0" xfId="0" applyAlignment="1" applyBorder="1" applyFill="1" applyFont="1">
      <alignment horizontal="center" readingOrder="0" shrinkToFit="0" vertical="center" wrapText="1"/>
    </xf>
    <xf borderId="11" fillId="8" fontId="82" numFmtId="0" xfId="0" applyAlignment="1" applyBorder="1" applyFont="1">
      <alignment horizontal="center" readingOrder="0" shrinkToFit="0" vertical="center" wrapText="1"/>
    </xf>
    <xf borderId="32" fillId="6" fontId="41" numFmtId="0" xfId="0" applyAlignment="1" applyBorder="1" applyFont="1">
      <alignment horizontal="center" readingOrder="0" shrinkToFit="0" vertical="center" wrapText="1"/>
    </xf>
    <xf borderId="0" fillId="0" fontId="36" numFmtId="180" xfId="0" applyAlignment="1" applyFont="1" applyNumberFormat="1">
      <alignment horizontal="center" readingOrder="0" shrinkToFit="0" vertical="center" wrapText="1"/>
    </xf>
    <xf borderId="27" fillId="43" fontId="36" numFmtId="180" xfId="0" applyAlignment="1" applyBorder="1" applyFill="1" applyFont="1" applyNumberFormat="1">
      <alignment horizontal="center" readingOrder="0" shrinkToFit="0" vertical="center" wrapText="1"/>
    </xf>
    <xf borderId="27" fillId="2" fontId="32" numFmtId="4" xfId="0" applyAlignment="1" applyBorder="1" applyFont="1" applyNumberFormat="1">
      <alignment horizontal="center" readingOrder="0" shrinkToFit="0" vertical="center" wrapText="1"/>
    </xf>
    <xf borderId="27" fillId="44" fontId="32" numFmtId="4" xfId="0" applyAlignment="1" applyBorder="1" applyFill="1" applyFont="1" applyNumberFormat="1">
      <alignment horizontal="center" readingOrder="0" shrinkToFit="0" vertical="center" wrapText="1"/>
    </xf>
    <xf borderId="27" fillId="45" fontId="32" numFmtId="4" xfId="0" applyAlignment="1" applyBorder="1" applyFill="1" applyFont="1" applyNumberFormat="1">
      <alignment horizontal="center" readingOrder="0" shrinkToFit="0" vertical="center" wrapText="1"/>
    </xf>
    <xf borderId="27" fillId="44" fontId="25" numFmtId="4" xfId="0" applyAlignment="1" applyBorder="1" applyFont="1" applyNumberFormat="1">
      <alignment horizontal="center" readingOrder="0" shrinkToFit="0" vertical="center" wrapText="1"/>
    </xf>
    <xf borderId="27" fillId="2" fontId="25" numFmtId="4" xfId="0" applyAlignment="1" applyBorder="1" applyFont="1" applyNumberFormat="1">
      <alignment horizontal="center" readingOrder="0" shrinkToFit="0" vertical="center" wrapText="1"/>
    </xf>
    <xf borderId="27" fillId="3" fontId="25" numFmtId="4" xfId="0" applyAlignment="1" applyBorder="1" applyFont="1" applyNumberFormat="1">
      <alignment horizontal="center" readingOrder="0" shrinkToFit="0" vertical="center" wrapText="1"/>
    </xf>
    <xf borderId="0" fillId="45" fontId="8" numFmtId="0" xfId="0" applyAlignment="1" applyFont="1">
      <alignment horizontal="center" readingOrder="0" shrinkToFit="0" vertical="center" wrapText="1"/>
    </xf>
    <xf borderId="0" fillId="6" fontId="41" numFmtId="175" xfId="0" applyAlignment="1" applyFont="1" applyNumberFormat="1">
      <alignment horizontal="center" readingOrder="0" shrinkToFit="0" vertical="center" wrapText="1"/>
    </xf>
    <xf borderId="0" fillId="6" fontId="41" numFmtId="0" xfId="0" applyAlignment="1" applyFont="1">
      <alignment horizontal="center" readingOrder="0" shrinkToFit="0" vertical="center" wrapText="1"/>
    </xf>
    <xf borderId="0" fillId="0" fontId="71" numFmtId="0" xfId="0" applyAlignment="1" applyFont="1">
      <alignment horizontal="center" readingOrder="0" shrinkToFit="0" vertical="center" wrapText="1"/>
    </xf>
    <xf borderId="0" fillId="28" fontId="141" numFmtId="175" xfId="0" applyAlignment="1" applyFont="1" applyNumberFormat="1">
      <alignment readingOrder="0" shrinkToFit="0" textRotation="90" vertical="center" wrapText="1"/>
    </xf>
    <xf borderId="0" fillId="6" fontId="28" numFmtId="175" xfId="0" applyAlignment="1" applyFont="1" applyNumberFormat="1">
      <alignment horizontal="center" readingOrder="0" shrinkToFit="0" vertical="center" wrapText="1"/>
    </xf>
    <xf borderId="0" fillId="0" fontId="142" numFmtId="0" xfId="0" applyAlignment="1" applyFont="1">
      <alignment horizontal="center" readingOrder="0" shrinkToFit="0" vertical="center" wrapText="1"/>
    </xf>
    <xf borderId="0" fillId="28" fontId="141" numFmtId="0" xfId="0" applyAlignment="1" applyFont="1">
      <alignment horizontal="left" readingOrder="0" shrinkToFit="0" textRotation="90" vertical="center" wrapText="1"/>
    </xf>
    <xf borderId="0" fillId="0" fontId="110" numFmtId="0" xfId="0" applyAlignment="1" applyFont="1">
      <alignment horizontal="left" readingOrder="0" shrinkToFit="0" vertical="center" wrapText="1"/>
    </xf>
    <xf borderId="0" fillId="0" fontId="143" numFmtId="0" xfId="0" applyAlignment="1" applyFont="1">
      <alignment horizontal="center" readingOrder="0" shrinkToFit="0" vertical="center" wrapText="1"/>
    </xf>
    <xf borderId="47" fillId="35" fontId="110" numFmtId="0" xfId="0" applyAlignment="1" applyBorder="1" applyFont="1">
      <alignment horizontal="left" readingOrder="0" shrinkToFit="0" vertical="center" wrapText="1"/>
    </xf>
    <xf borderId="47" fillId="35" fontId="143" numFmtId="0" xfId="0" applyAlignment="1" applyBorder="1" applyFont="1">
      <alignment horizontal="center" readingOrder="0" shrinkToFit="0" vertical="center" wrapText="1"/>
    </xf>
    <xf borderId="27" fillId="0" fontId="71" numFmtId="0" xfId="0" applyAlignment="1" applyBorder="1" applyFont="1">
      <alignment horizontal="center" readingOrder="0" shrinkToFit="0" vertical="center" wrapText="1"/>
    </xf>
    <xf borderId="27" fillId="0" fontId="71" numFmtId="0" xfId="0" applyAlignment="1" applyBorder="1" applyFont="1">
      <alignment horizontal="left" readingOrder="0" shrinkToFit="0" vertical="center" wrapText="1"/>
    </xf>
    <xf borderId="27" fillId="0" fontId="71" numFmtId="0" xfId="0" applyAlignment="1" applyBorder="1" applyFont="1">
      <alignment horizontal="center" readingOrder="0" shrinkToFit="0" vertical="center" wrapText="1"/>
    </xf>
    <xf borderId="0" fillId="0" fontId="71" numFmtId="0" xfId="0" applyAlignment="1" applyFont="1">
      <alignment horizontal="center" readingOrder="0" shrinkToFit="0" vertical="center" wrapText="1"/>
    </xf>
    <xf borderId="27" fillId="0" fontId="71" numFmtId="181" xfId="0" applyAlignment="1" applyBorder="1" applyFont="1" applyNumberFormat="1">
      <alignment horizontal="center" readingOrder="0" shrinkToFit="0" vertical="center" wrapText="1"/>
    </xf>
    <xf borderId="0" fillId="28" fontId="16" numFmtId="0" xfId="0" applyAlignment="1" applyFont="1">
      <alignment shrinkToFit="0" wrapText="1"/>
    </xf>
    <xf borderId="0" fillId="28" fontId="71" numFmtId="0" xfId="0" applyAlignment="1" applyFont="1">
      <alignment horizontal="left" readingOrder="0" shrinkToFit="0" vertical="center" wrapText="1"/>
    </xf>
    <xf borderId="0" fillId="0" fontId="71" numFmtId="0" xfId="0" applyAlignment="1" applyFont="1">
      <alignment horizontal="center" shrinkToFit="0" vertical="center" wrapText="1"/>
    </xf>
    <xf borderId="0" fillId="28" fontId="71" numFmtId="0" xfId="0" applyAlignment="1" applyFont="1">
      <alignment horizontal="left" shrinkToFit="0" vertical="center" wrapText="1"/>
    </xf>
    <xf borderId="27" fillId="0" fontId="71" numFmtId="0" xfId="0" applyAlignment="1" applyBorder="1" applyFont="1">
      <alignment horizontal="center" shrinkToFit="0" vertical="center" wrapText="1"/>
    </xf>
    <xf borderId="0" fillId="28" fontId="16" numFmtId="0" xfId="0" applyAlignment="1" applyFont="1">
      <alignment shrinkToFit="0" wrapText="1"/>
    </xf>
    <xf borderId="27" fillId="0" fontId="71" numFmtId="0" xfId="0" applyAlignment="1" applyBorder="1" applyFont="1">
      <alignment horizontal="left" shrinkToFit="0" vertical="center" wrapText="1"/>
    </xf>
    <xf borderId="0" fillId="6" fontId="24" numFmtId="0" xfId="0" applyAlignment="1" applyFont="1">
      <alignment horizontal="center" readingOrder="0" shrinkToFit="0" vertical="center" wrapText="1"/>
    </xf>
    <xf borderId="0" fillId="0" fontId="144" numFmtId="0" xfId="0" applyAlignment="1" applyFont="1">
      <alignment horizontal="center" readingOrder="0" shrinkToFit="0" vertical="center" wrapText="1"/>
    </xf>
    <xf borderId="0" fillId="0" fontId="29" numFmtId="0" xfId="0" applyAlignment="1" applyFont="1">
      <alignment horizontal="center" readingOrder="0" shrinkToFit="0" vertical="center" wrapText="1"/>
    </xf>
    <xf borderId="31" fillId="13" fontId="71" numFmtId="0" xfId="0" applyAlignment="1" applyBorder="1" applyFont="1">
      <alignment horizontal="center" readingOrder="0" shrinkToFit="0" vertical="center" wrapText="1"/>
    </xf>
    <xf borderId="31" fillId="0" fontId="49" numFmtId="0" xfId="0" applyAlignment="1" applyBorder="1" applyFont="1">
      <alignment horizontal="center" readingOrder="0" shrinkToFit="0" vertical="center" wrapText="1"/>
    </xf>
    <xf borderId="0" fillId="0" fontId="29" numFmtId="0" xfId="0" applyAlignment="1" applyFont="1">
      <alignment horizontal="left" readingOrder="0" shrinkToFit="0" vertical="center" wrapText="1"/>
    </xf>
    <xf borderId="43" fillId="10" fontId="43" numFmtId="0" xfId="0" applyAlignment="1" applyBorder="1" applyFont="1">
      <alignment horizontal="center" readingOrder="0" shrinkToFit="0" vertical="center" wrapText="1"/>
    </xf>
    <xf borderId="129" fillId="3" fontId="51" numFmtId="0" xfId="0" applyAlignment="1" applyBorder="1" applyFont="1">
      <alignment horizontal="left" readingOrder="0" shrinkToFit="0" vertical="center" wrapText="0"/>
    </xf>
    <xf borderId="27" fillId="0" fontId="51" numFmtId="0" xfId="0" applyAlignment="1" applyBorder="1" applyFont="1">
      <alignment readingOrder="0" shrinkToFit="0" vertical="center" wrapText="1"/>
    </xf>
    <xf borderId="0" fillId="0" fontId="145" numFmtId="0" xfId="0" applyAlignment="1" applyFont="1">
      <alignment horizontal="center" shrinkToFit="0" vertical="center" wrapText="1"/>
    </xf>
    <xf borderId="162" fillId="6" fontId="146" numFmtId="0" xfId="0" applyAlignment="1" applyBorder="1" applyFont="1">
      <alignment horizontal="center" readingOrder="0" shrinkToFit="0" vertical="center" wrapText="1"/>
    </xf>
    <xf borderId="29" fillId="14" fontId="146" numFmtId="0" xfId="0" applyAlignment="1" applyBorder="1" applyFont="1">
      <alignment horizontal="center" readingOrder="0" shrinkToFit="0" vertical="center" wrapText="1"/>
    </xf>
    <xf borderId="0" fillId="0" fontId="147" numFmtId="0" xfId="0" applyAlignment="1" applyFont="1">
      <alignment horizontal="center" readingOrder="0" shrinkToFit="0" vertical="center" wrapText="1"/>
    </xf>
    <xf borderId="0" fillId="13" fontId="71" numFmtId="0" xfId="0" applyAlignment="1" applyFont="1">
      <alignment horizontal="center" readingOrder="0" shrinkToFit="0" vertical="center" wrapText="1"/>
    </xf>
    <xf borderId="163" fillId="10" fontId="43" numFmtId="0" xfId="0" applyAlignment="1" applyBorder="1" applyFont="1">
      <alignment horizontal="center" readingOrder="0" shrinkToFit="0" vertical="center" wrapText="1"/>
    </xf>
    <xf borderId="27" fillId="12" fontId="51" numFmtId="0" xfId="0" applyAlignment="1" applyBorder="1" applyFont="1">
      <alignment horizontal="left" readingOrder="0" shrinkToFit="0" vertical="center" wrapText="1"/>
    </xf>
    <xf borderId="27" fillId="0" fontId="51" numFmtId="0" xfId="0" applyAlignment="1" applyBorder="1" applyFont="1">
      <alignment horizontal="left" readingOrder="0" shrinkToFit="0" vertical="center" wrapText="1"/>
    </xf>
    <xf borderId="0" fillId="0" fontId="145" numFmtId="0" xfId="0" applyAlignment="1" applyFont="1">
      <alignment horizontal="center" readingOrder="0" shrinkToFit="0" vertical="center" wrapText="1"/>
    </xf>
    <xf borderId="164" fillId="0" fontId="4" numFmtId="0" xfId="0" applyAlignment="1" applyBorder="1" applyFont="1">
      <alignment shrinkToFit="0" wrapText="1"/>
    </xf>
    <xf borderId="165" fillId="3" fontId="51" numFmtId="0" xfId="0" applyAlignment="1" applyBorder="1" applyFont="1">
      <alignment horizontal="center" readingOrder="0" shrinkToFit="0" vertical="center" wrapText="1"/>
    </xf>
    <xf borderId="166" fillId="3" fontId="51" numFmtId="0" xfId="0" applyAlignment="1" applyBorder="1" applyFont="1">
      <alignment horizontal="center" readingOrder="0" shrinkToFit="0" vertical="center" wrapText="1"/>
    </xf>
    <xf borderId="0" fillId="41" fontId="142" numFmtId="0" xfId="0" applyAlignment="1" applyFont="1">
      <alignment horizontal="center" readingOrder="0" shrinkToFit="0" vertical="center" wrapText="1"/>
    </xf>
    <xf borderId="167" fillId="0" fontId="4" numFmtId="0" xfId="0" applyAlignment="1" applyBorder="1" applyFont="1">
      <alignment shrinkToFit="0" wrapText="1"/>
    </xf>
    <xf borderId="168" fillId="14" fontId="146" numFmtId="0" xfId="0" applyAlignment="1" applyBorder="1" applyFont="1">
      <alignment horizontal="center" readingOrder="0" shrinkToFit="0" vertical="center" wrapText="1"/>
    </xf>
    <xf borderId="168" fillId="0" fontId="4" numFmtId="0" xfId="0" applyAlignment="1" applyBorder="1" applyFont="1">
      <alignment shrinkToFit="0" wrapText="1"/>
    </xf>
    <xf borderId="169" fillId="0" fontId="4" numFmtId="0" xfId="0" applyAlignment="1" applyBorder="1" applyFont="1">
      <alignment shrinkToFit="0" wrapText="1"/>
    </xf>
    <xf borderId="170" fillId="14" fontId="36" numFmtId="0" xfId="0" applyAlignment="1" applyBorder="1" applyFont="1">
      <alignment horizontal="center" readingOrder="0" shrinkToFit="0" vertical="center" wrapText="1"/>
    </xf>
    <xf borderId="170" fillId="14" fontId="36" numFmtId="0" xfId="0" applyAlignment="1" applyBorder="1" applyFont="1">
      <alignment horizontal="left" readingOrder="0" shrinkToFit="0" vertical="center" wrapText="0"/>
    </xf>
    <xf borderId="30" fillId="14" fontId="36" numFmtId="0" xfId="0" applyAlignment="1" applyBorder="1" applyFont="1">
      <alignment horizontal="center" readingOrder="0" shrinkToFit="0" vertical="center" wrapText="1"/>
    </xf>
    <xf borderId="171" fillId="3" fontId="51" numFmtId="0" xfId="0" applyAlignment="1" applyBorder="1" applyFont="1">
      <alignment horizontal="center" readingOrder="0" shrinkToFit="0" vertical="center" wrapText="1"/>
    </xf>
    <xf borderId="40" fillId="3" fontId="51" numFmtId="0" xfId="0" applyAlignment="1" applyBorder="1" applyFont="1">
      <alignment horizontal="center" readingOrder="0" shrinkToFit="0" vertical="center" wrapText="1"/>
    </xf>
    <xf borderId="100" fillId="3" fontId="51" numFmtId="0" xfId="0" applyAlignment="1" applyBorder="1" applyFont="1">
      <alignment horizontal="center" readingOrder="0" shrinkToFit="0" vertical="center" wrapText="1"/>
    </xf>
    <xf borderId="0" fillId="0" fontId="43" numFmtId="0" xfId="0" applyAlignment="1" applyFont="1">
      <alignment horizontal="center" readingOrder="0" shrinkToFit="0" vertical="center" wrapText="1"/>
    </xf>
    <xf borderId="49" fillId="10" fontId="43" numFmtId="0" xfId="0" applyAlignment="1" applyBorder="1" applyFont="1">
      <alignment horizontal="center" readingOrder="0" shrinkToFit="0" vertical="center" wrapText="1"/>
    </xf>
    <xf borderId="100" fillId="3" fontId="32" numFmtId="0" xfId="0" applyAlignment="1" applyBorder="1" applyFont="1">
      <alignment horizontal="center" readingOrder="0" shrinkToFit="0" vertical="center" wrapText="1"/>
    </xf>
    <xf borderId="100" fillId="0" fontId="51" numFmtId="0" xfId="0" applyAlignment="1" applyBorder="1" applyFont="1">
      <alignment horizontal="left" readingOrder="0" shrinkToFit="0" vertical="center" wrapText="1"/>
    </xf>
    <xf borderId="27" fillId="0" fontId="43" numFmtId="0" xfId="0" applyAlignment="1" applyBorder="1" applyFont="1">
      <alignment horizontal="left" readingOrder="0" shrinkToFit="0" vertical="center" wrapText="1"/>
    </xf>
    <xf borderId="30" fillId="3" fontId="51" numFmtId="0" xfId="0" applyAlignment="1" applyBorder="1" applyFont="1">
      <alignment horizontal="center" readingOrder="0" shrinkToFit="0" vertical="center" wrapText="1"/>
    </xf>
    <xf borderId="30" fillId="0" fontId="51" numFmtId="0" xfId="0" applyAlignment="1" applyBorder="1" applyFont="1">
      <alignment horizontal="left" readingOrder="0" shrinkToFit="0" vertical="center" wrapText="1"/>
    </xf>
    <xf borderId="30" fillId="3" fontId="51" numFmtId="49" xfId="0" applyAlignment="1" applyBorder="1" applyFont="1" applyNumberFormat="1">
      <alignment horizontal="center" readingOrder="0" shrinkToFit="0" vertical="center" wrapText="1"/>
    </xf>
    <xf borderId="0" fillId="0" fontId="51" numFmtId="0" xfId="0" applyAlignment="1" applyFont="1">
      <alignment horizontal="left" readingOrder="0" shrinkToFit="0" vertical="center" wrapText="1"/>
    </xf>
    <xf borderId="0" fillId="14" fontId="36" numFmtId="0" xfId="0" applyAlignment="1" applyFont="1">
      <alignment horizontal="center" shrinkToFit="0" vertical="center" wrapText="1"/>
    </xf>
    <xf borderId="0" fillId="0" fontId="145" numFmtId="0" xfId="0" applyAlignment="1" applyFont="1">
      <alignment horizontal="center" shrinkToFit="0" vertical="center" wrapText="1"/>
    </xf>
    <xf borderId="172" fillId="35" fontId="148" numFmtId="0" xfId="0" applyAlignment="1" applyBorder="1" applyFont="1">
      <alignment horizontal="center" readingOrder="0" shrinkToFit="0" vertical="center" wrapText="1"/>
    </xf>
    <xf borderId="173" fillId="35" fontId="148" numFmtId="0" xfId="0" applyAlignment="1" applyBorder="1" applyFont="1">
      <alignment horizontal="center" readingOrder="0" shrinkToFit="0" vertical="center" wrapText="1"/>
    </xf>
    <xf borderId="174" fillId="35" fontId="148" numFmtId="0" xfId="0" applyAlignment="1" applyBorder="1" applyFont="1">
      <alignment horizontal="center" shrinkToFit="0" vertical="center" wrapText="1"/>
    </xf>
    <xf borderId="49" fillId="2" fontId="51" numFmtId="49" xfId="0" applyAlignment="1" applyBorder="1" applyFont="1" applyNumberFormat="1">
      <alignment horizontal="center" shrinkToFit="0" vertical="center" wrapText="1"/>
    </xf>
    <xf borderId="43" fillId="2" fontId="51" numFmtId="49" xfId="0" applyAlignment="1" applyBorder="1" applyFont="1" applyNumberFormat="1">
      <alignment horizontal="center" shrinkToFit="0" vertical="center" wrapText="1"/>
    </xf>
    <xf borderId="49" fillId="10" fontId="149" numFmtId="0" xfId="0" applyAlignment="1" applyBorder="1" applyFont="1">
      <alignment horizontal="center" readingOrder="0" shrinkToFit="0" vertical="center" wrapText="1"/>
    </xf>
    <xf borderId="30" fillId="2" fontId="73" numFmtId="0" xfId="0" applyAlignment="1" applyBorder="1" applyFont="1">
      <alignment horizontal="center" readingOrder="0" shrinkToFit="0" vertical="center" wrapText="1"/>
    </xf>
    <xf borderId="27" fillId="0" fontId="73" numFmtId="0" xfId="0" applyAlignment="1" applyBorder="1" applyFont="1">
      <alignment horizontal="left" readingOrder="0" shrinkToFit="0" vertical="center" wrapText="1"/>
    </xf>
    <xf borderId="0" fillId="0" fontId="43" numFmtId="0" xfId="0" applyAlignment="1" applyFont="1">
      <alignment horizontal="left" readingOrder="0" shrinkToFit="0" vertical="center" wrapText="1"/>
    </xf>
    <xf borderId="175" fillId="6" fontId="24" numFmtId="0" xfId="0" applyAlignment="1" applyBorder="1" applyFont="1">
      <alignment horizontal="center" readingOrder="0" shrinkToFit="0" vertical="center" wrapText="1"/>
    </xf>
    <xf borderId="176" fillId="0" fontId="4" numFmtId="0" xfId="0" applyAlignment="1" applyBorder="1" applyFont="1">
      <alignment shrinkToFit="0" wrapText="1"/>
    </xf>
    <xf borderId="177" fillId="35" fontId="110" numFmtId="0" xfId="0" applyAlignment="1" applyBorder="1" applyFont="1">
      <alignment horizontal="center" readingOrder="0" shrinkToFit="0" vertical="center" wrapText="1"/>
    </xf>
    <xf borderId="178" fillId="35" fontId="110" numFmtId="0" xfId="0" applyAlignment="1" applyBorder="1" applyFont="1">
      <alignment horizontal="center" readingOrder="0" shrinkToFit="0" vertical="center" wrapText="1"/>
    </xf>
    <xf borderId="179" fillId="35" fontId="110" numFmtId="0" xfId="0" applyAlignment="1" applyBorder="1" applyFont="1">
      <alignment horizontal="center" readingOrder="0" shrinkToFit="0" vertical="center" wrapText="1"/>
    </xf>
    <xf borderId="100" fillId="10" fontId="51" numFmtId="0" xfId="0" applyAlignment="1" applyBorder="1" applyFont="1">
      <alignment horizontal="center" readingOrder="0" shrinkToFit="0" vertical="center" wrapText="1"/>
    </xf>
    <xf borderId="100" fillId="2" fontId="51" numFmtId="0" xfId="0" applyAlignment="1" applyBorder="1" applyFont="1">
      <alignment horizontal="left" readingOrder="0" shrinkToFit="0" vertical="center" wrapText="1"/>
    </xf>
    <xf borderId="27" fillId="10" fontId="51" numFmtId="0" xfId="0" applyAlignment="1" applyBorder="1" applyFont="1">
      <alignment horizontal="center" readingOrder="0" shrinkToFit="0" vertical="center" wrapText="1"/>
    </xf>
    <xf borderId="27" fillId="2" fontId="51" numFmtId="0" xfId="0" applyAlignment="1" applyBorder="1" applyFont="1">
      <alignment horizontal="left" readingOrder="0" shrinkToFit="0" vertical="center" wrapText="1"/>
    </xf>
    <xf borderId="27" fillId="3" fontId="51" numFmtId="0" xfId="0" applyAlignment="1" applyBorder="1" applyFont="1">
      <alignment horizontal="left" readingOrder="0" shrinkToFit="0" vertical="center" wrapText="1"/>
    </xf>
    <xf borderId="27" fillId="3" fontId="51" numFmtId="0" xfId="0" applyAlignment="1" applyBorder="1" applyFont="1">
      <alignment horizontal="left" shrinkToFit="0" vertical="center" wrapText="1"/>
    </xf>
    <xf borderId="0" fillId="10" fontId="51" numFmtId="0" xfId="0" applyAlignment="1" applyFont="1">
      <alignment horizontal="center" readingOrder="0" shrinkToFit="0" vertical="center" wrapText="1"/>
    </xf>
    <xf borderId="0" fillId="3" fontId="51" numFmtId="0" xfId="0" applyAlignment="1" applyFont="1">
      <alignment horizontal="left" readingOrder="0" shrinkToFit="0" vertical="center" wrapText="1"/>
    </xf>
    <xf borderId="0" fillId="3" fontId="51" numFmtId="0" xfId="0" applyAlignment="1" applyFont="1">
      <alignment horizontal="left" shrinkToFit="0" vertical="center" wrapText="1"/>
    </xf>
    <xf borderId="0" fillId="0" fontId="30" numFmtId="0" xfId="0" applyAlignment="1" applyFont="1">
      <alignment horizontal="center" shrinkToFit="0" vertical="center" wrapText="1"/>
    </xf>
    <xf borderId="0" fillId="12" fontId="30" numFmtId="0" xfId="0" applyAlignment="1" applyFont="1">
      <alignment horizontal="center" shrinkToFit="0" vertical="center" wrapText="1"/>
    </xf>
    <xf borderId="0" fillId="12" fontId="30" numFmtId="169" xfId="0" applyAlignment="1" applyFont="1" applyNumberFormat="1">
      <alignment horizontal="center" shrinkToFit="0" vertical="center" wrapText="1"/>
    </xf>
    <xf borderId="180" fillId="6" fontId="28" numFmtId="0" xfId="0" applyAlignment="1" applyBorder="1" applyFont="1">
      <alignment horizontal="center" readingOrder="0" shrinkToFit="0" vertical="center" wrapText="1"/>
    </xf>
    <xf borderId="181" fillId="0" fontId="4" numFmtId="0" xfId="0" applyAlignment="1" applyBorder="1" applyFont="1">
      <alignment shrinkToFit="0" wrapText="1"/>
    </xf>
    <xf borderId="180" fillId="6" fontId="150" numFmtId="0" xfId="0" applyAlignment="1" applyBorder="1" applyFont="1">
      <alignment horizontal="center" readingOrder="0" shrinkToFit="0" vertical="center" wrapText="1"/>
    </xf>
    <xf borderId="182" fillId="3" fontId="151" numFmtId="0" xfId="0" applyAlignment="1" applyBorder="1" applyFont="1">
      <alignment horizontal="center" readingOrder="0" shrinkToFit="0" vertical="center" wrapText="0"/>
    </xf>
    <xf borderId="183" fillId="0" fontId="4" numFmtId="0" xfId="0" applyAlignment="1" applyBorder="1" applyFont="1">
      <alignment shrinkToFit="0" wrapText="1"/>
    </xf>
    <xf borderId="184" fillId="0" fontId="4" numFmtId="0" xfId="0" applyAlignment="1" applyBorder="1" applyFont="1">
      <alignment shrinkToFit="0" wrapText="1"/>
    </xf>
    <xf borderId="131" fillId="3" fontId="151" numFmtId="0" xfId="0" applyAlignment="1" applyBorder="1" applyFont="1">
      <alignment horizontal="center" readingOrder="0" shrinkToFit="0" vertical="center" wrapText="0"/>
    </xf>
    <xf borderId="0" fillId="0" fontId="151" numFmtId="0" xfId="0" applyAlignment="1" applyFont="1">
      <alignment horizontal="center" shrinkToFit="0" vertical="center" wrapText="1"/>
    </xf>
    <xf borderId="0" fillId="0" fontId="151" numFmtId="0" xfId="0" applyAlignment="1" applyFont="1">
      <alignment horizontal="center" readingOrder="0" shrinkToFit="0" vertical="center" wrapText="0"/>
    </xf>
    <xf borderId="180" fillId="6" fontId="40" numFmtId="0" xfId="0" applyAlignment="1" applyBorder="1" applyFont="1">
      <alignment horizontal="center" readingOrder="0" shrinkToFit="0" vertical="center" wrapText="1"/>
    </xf>
    <xf borderId="185" fillId="6" fontId="41" numFmtId="169" xfId="0" applyAlignment="1" applyBorder="1" applyFont="1" applyNumberFormat="1">
      <alignment horizontal="center" readingOrder="0" shrinkToFit="0" vertical="center" wrapText="1"/>
    </xf>
    <xf borderId="35" fillId="6" fontId="40" numFmtId="0" xfId="0" applyAlignment="1" applyBorder="1" applyFont="1">
      <alignment horizontal="center" readingOrder="0" shrinkToFit="0" vertical="center" wrapText="1"/>
    </xf>
    <xf borderId="186" fillId="3" fontId="1" numFmtId="0" xfId="0" applyAlignment="1" applyBorder="1" applyFont="1">
      <alignment horizontal="center" readingOrder="0" shrinkToFit="0" vertical="center" wrapText="0"/>
    </xf>
    <xf borderId="187" fillId="0" fontId="4" numFmtId="0" xfId="0" applyAlignment="1" applyBorder="1" applyFont="1">
      <alignment shrinkToFit="0" wrapText="1"/>
    </xf>
    <xf borderId="188" fillId="0" fontId="4" numFmtId="0" xfId="0" applyAlignment="1" applyBorder="1" applyFont="1">
      <alignment shrinkToFit="0" wrapText="1"/>
    </xf>
    <xf borderId="63" fillId="6" fontId="40" numFmtId="0" xfId="0" applyAlignment="1" applyBorder="1" applyFont="1">
      <alignment horizontal="center" readingOrder="0" shrinkToFit="0" vertical="center" wrapText="1"/>
    </xf>
    <xf borderId="185" fillId="6" fontId="70" numFmtId="169" xfId="0" applyAlignment="1" applyBorder="1" applyFont="1" applyNumberFormat="1">
      <alignment horizontal="center" readingOrder="0" shrinkToFit="0" vertical="center" wrapText="1"/>
    </xf>
    <xf borderId="189" fillId="3" fontId="1" numFmtId="0" xfId="0" applyAlignment="1" applyBorder="1" applyFont="1">
      <alignment horizontal="center" readingOrder="0" shrinkToFit="0" vertical="center" wrapText="0"/>
    </xf>
    <xf borderId="190" fillId="0" fontId="4" numFmtId="0" xfId="0" applyAlignment="1" applyBorder="1" applyFont="1">
      <alignment shrinkToFit="0" wrapText="1"/>
    </xf>
    <xf borderId="191" fillId="0" fontId="4" numFmtId="0" xfId="0" applyAlignment="1" applyBorder="1" applyFont="1">
      <alignment shrinkToFit="0" wrapText="1"/>
    </xf>
    <xf borderId="0" fillId="0" fontId="1" numFmtId="0" xfId="0" applyAlignment="1" applyFont="1">
      <alignment horizontal="center" shrinkToFit="0" vertical="center" wrapText="1"/>
    </xf>
    <xf borderId="185" fillId="6" fontId="41" numFmtId="10" xfId="0" applyAlignment="1" applyBorder="1" applyFont="1" applyNumberFormat="1">
      <alignment horizontal="center" readingOrder="0" shrinkToFit="0" vertical="center" wrapText="1"/>
    </xf>
    <xf borderId="0" fillId="0" fontId="1" numFmtId="0" xfId="0" applyAlignment="1" applyFont="1">
      <alignment horizontal="center" readingOrder="0" shrinkToFit="0" vertical="center" wrapText="0"/>
    </xf>
    <xf borderId="192" fillId="0" fontId="4" numFmtId="0" xfId="0" applyAlignment="1" applyBorder="1" applyFont="1">
      <alignment shrinkToFit="0" wrapText="1"/>
    </xf>
    <xf borderId="193" fillId="0" fontId="4" numFmtId="0" xfId="0" applyAlignment="1" applyBorder="1" applyFont="1">
      <alignment shrinkToFit="0" wrapText="1"/>
    </xf>
    <xf borderId="11" fillId="6" fontId="40" numFmtId="0" xfId="0" applyAlignment="1" applyBorder="1" applyFont="1">
      <alignment horizontal="center" readingOrder="0" shrinkToFit="0" vertical="center" wrapText="1"/>
    </xf>
    <xf borderId="187" fillId="3" fontId="1" numFmtId="0" xfId="0" applyAlignment="1" applyBorder="1" applyFont="1">
      <alignment horizontal="center" readingOrder="0" shrinkToFit="0" vertical="center" wrapText="0"/>
    </xf>
    <xf borderId="194" fillId="0" fontId="4" numFmtId="0" xfId="0" applyAlignment="1" applyBorder="1" applyFont="1">
      <alignment shrinkToFit="0" wrapText="1"/>
    </xf>
    <xf borderId="195" fillId="0" fontId="4" numFmtId="0" xfId="0" applyAlignment="1" applyBorder="1" applyFont="1">
      <alignment shrinkToFit="0" wrapText="1"/>
    </xf>
    <xf borderId="0" fillId="0" fontId="1" numFmtId="0" xfId="0" applyAlignment="1" applyFont="1">
      <alignment horizontal="center" shrinkToFit="0" vertical="center" wrapText="0"/>
    </xf>
    <xf borderId="63" fillId="6" fontId="152" numFmtId="0" xfId="0" applyAlignment="1" applyBorder="1" applyFont="1">
      <alignment horizontal="center" readingOrder="0" shrinkToFit="0" vertical="center" wrapText="0"/>
    </xf>
    <xf borderId="192" fillId="6" fontId="40" numFmtId="0" xfId="0" applyAlignment="1" applyBorder="1" applyFont="1">
      <alignment horizontal="center" readingOrder="0" shrinkToFit="0" vertical="center" wrapText="1"/>
    </xf>
    <xf borderId="196" fillId="0" fontId="4" numFmtId="0" xfId="0" applyAlignment="1" applyBorder="1" applyFont="1">
      <alignment shrinkToFit="0" wrapText="1"/>
    </xf>
    <xf borderId="39" fillId="6" fontId="40" numFmtId="169" xfId="0" applyAlignment="1" applyBorder="1" applyFont="1" applyNumberFormat="1">
      <alignment horizontal="center" readingOrder="0" shrinkToFit="0" vertical="center" wrapText="1"/>
    </xf>
    <xf borderId="89" fillId="14" fontId="40" numFmtId="0" xfId="0" applyAlignment="1" applyBorder="1" applyFont="1">
      <alignment horizontal="center" readingOrder="0" shrinkToFit="0" vertical="center" wrapText="1"/>
    </xf>
    <xf borderId="15" fillId="6" fontId="40" numFmtId="0" xfId="0" applyAlignment="1" applyBorder="1" applyFont="1">
      <alignment horizontal="center" readingOrder="0" shrinkToFit="0" vertical="center" wrapText="1"/>
    </xf>
    <xf borderId="197" fillId="6" fontId="82" numFmtId="0" xfId="0" applyAlignment="1" applyBorder="1" applyFont="1">
      <alignment horizontal="center" readingOrder="0" shrinkToFit="0" vertical="center" wrapText="1"/>
    </xf>
    <xf borderId="17" fillId="6" fontId="40" numFmtId="0" xfId="0" applyAlignment="1" applyBorder="1" applyFont="1">
      <alignment horizontal="center" readingOrder="0" shrinkToFit="0" vertical="center" wrapText="1"/>
    </xf>
    <xf borderId="192" fillId="6" fontId="70" numFmtId="0" xfId="0" applyAlignment="1" applyBorder="1" applyFont="1">
      <alignment horizontal="center" readingOrder="0" shrinkToFit="0" vertical="center" wrapText="1"/>
    </xf>
    <xf borderId="39" fillId="6" fontId="40" numFmtId="10" xfId="0" applyAlignment="1" applyBorder="1" applyFont="1" applyNumberFormat="1">
      <alignment horizontal="center" readingOrder="0" shrinkToFit="0" vertical="center" wrapText="1"/>
    </xf>
    <xf borderId="0" fillId="0" fontId="153" numFmtId="0" xfId="0" applyAlignment="1" applyFont="1">
      <alignment horizontal="center" readingOrder="0" shrinkToFit="0" vertical="center" wrapText="1"/>
    </xf>
    <xf borderId="61" fillId="6" fontId="40" numFmtId="0" xfId="0" applyAlignment="1" applyBorder="1" applyFont="1">
      <alignment horizontal="center" readingOrder="0" shrinkToFit="0" vertical="center" wrapText="1"/>
    </xf>
    <xf borderId="27" fillId="6" fontId="40" numFmtId="0" xfId="0" applyAlignment="1" applyBorder="1" applyFont="1">
      <alignment horizontal="center" readingOrder="0" shrinkToFit="0" vertical="center" wrapText="1"/>
    </xf>
    <xf borderId="18" fillId="14" fontId="40" numFmtId="0" xfId="0" applyAlignment="1" applyBorder="1" applyFont="1">
      <alignment horizontal="center" shrinkToFit="0" vertical="center" wrapText="1"/>
    </xf>
    <xf borderId="32" fillId="14" fontId="40" numFmtId="0" xfId="0" applyAlignment="1" applyBorder="1" applyFont="1">
      <alignment horizontal="center" shrinkToFit="0" vertical="center" wrapText="1"/>
    </xf>
    <xf borderId="0" fillId="6" fontId="82" numFmtId="182" xfId="0" applyAlignment="1" applyFont="1" applyNumberFormat="1">
      <alignment horizontal="center" shrinkToFit="0" vertical="center" wrapText="1"/>
    </xf>
    <xf borderId="0" fillId="6" fontId="82" numFmtId="3" xfId="0" applyAlignment="1" applyFont="1" applyNumberFormat="1">
      <alignment horizontal="center" shrinkToFit="0" vertical="center" wrapText="1"/>
    </xf>
    <xf borderId="197" fillId="6" fontId="82" numFmtId="4" xfId="0" applyAlignment="1" applyBorder="1" applyFont="1" applyNumberFormat="1">
      <alignment horizontal="center" readingOrder="0" shrinkToFit="0" vertical="center" wrapText="1"/>
    </xf>
    <xf borderId="197" fillId="0" fontId="4" numFmtId="0" xfId="0" applyAlignment="1" applyBorder="1" applyFont="1">
      <alignment shrinkToFit="0" wrapText="1"/>
    </xf>
    <xf borderId="27" fillId="6" fontId="40" numFmtId="10" xfId="0" applyAlignment="1" applyBorder="1" applyFont="1" applyNumberFormat="1">
      <alignment horizontal="center" readingOrder="0" shrinkToFit="0" vertical="center" wrapText="1"/>
    </xf>
    <xf borderId="135" fillId="6" fontId="41" numFmtId="0" xfId="0" applyAlignment="1" applyBorder="1" applyFont="1">
      <alignment horizontal="center" readingOrder="0" shrinkToFit="0" vertical="center" wrapText="1"/>
    </xf>
    <xf borderId="14" fillId="6" fontId="40" numFmtId="0" xfId="0" applyAlignment="1" applyBorder="1" applyFont="1">
      <alignment horizontal="center" readingOrder="0" shrinkToFit="0" vertical="center" wrapText="1"/>
    </xf>
    <xf borderId="158" fillId="6" fontId="40" numFmtId="0" xfId="0" applyAlignment="1" applyBorder="1" applyFont="1">
      <alignment horizontal="center" readingOrder="0" shrinkToFit="0" vertical="center" wrapText="1"/>
    </xf>
    <xf borderId="198" fillId="0" fontId="25" numFmtId="0" xfId="0" applyAlignment="1" applyBorder="1" applyFont="1">
      <alignment horizontal="center" shrinkToFit="0" vertical="center" wrapText="1"/>
    </xf>
    <xf borderId="199" fillId="3" fontId="32" numFmtId="0" xfId="0" applyAlignment="1" applyBorder="1" applyFont="1">
      <alignment horizontal="center" readingOrder="0" shrinkToFit="0" vertical="center" wrapText="1"/>
    </xf>
    <xf borderId="200" fillId="3" fontId="32" numFmtId="169" xfId="0" applyAlignment="1" applyBorder="1" applyFont="1" applyNumberFormat="1">
      <alignment horizontal="center" readingOrder="0" shrinkToFit="0" vertical="center" wrapText="1"/>
    </xf>
    <xf borderId="200" fillId="3" fontId="32" numFmtId="4" xfId="0" applyAlignment="1" applyBorder="1" applyFont="1" applyNumberFormat="1">
      <alignment horizontal="center" readingOrder="0" shrinkToFit="0" vertical="center" wrapText="1"/>
    </xf>
    <xf borderId="201" fillId="3" fontId="32" numFmtId="14" xfId="0" applyAlignment="1" applyBorder="1" applyFont="1" applyNumberFormat="1">
      <alignment horizontal="center" readingOrder="0" shrinkToFit="0" vertical="center" wrapText="1"/>
    </xf>
    <xf borderId="0" fillId="10" fontId="25" numFmtId="182" xfId="0" applyAlignment="1" applyFont="1" applyNumberFormat="1">
      <alignment horizontal="center" shrinkToFit="0" vertical="center" wrapText="0"/>
    </xf>
    <xf borderId="0" fillId="10" fontId="25" numFmtId="4" xfId="0" applyAlignment="1" applyFont="1" applyNumberFormat="1">
      <alignment horizontal="center" shrinkToFit="0" vertical="center" wrapText="0"/>
    </xf>
    <xf borderId="0" fillId="10" fontId="25" numFmtId="0" xfId="0" applyAlignment="1" applyFont="1">
      <alignment horizontal="center" shrinkToFit="0" vertical="center" wrapText="0"/>
    </xf>
    <xf borderId="101" fillId="10" fontId="25" numFmtId="0" xfId="0" applyAlignment="1" applyBorder="1" applyFont="1">
      <alignment horizontal="center" shrinkToFit="0" vertical="center" wrapText="0"/>
    </xf>
    <xf borderId="147" fillId="3" fontId="32" numFmtId="0" xfId="0" applyAlignment="1" applyBorder="1" applyFont="1">
      <alignment horizontal="center" readingOrder="0" shrinkToFit="0" vertical="center" wrapText="1"/>
    </xf>
    <xf borderId="191" fillId="3" fontId="32" numFmtId="4" xfId="0" applyAlignment="1" applyBorder="1" applyFont="1" applyNumberFormat="1">
      <alignment horizontal="center" readingOrder="0" shrinkToFit="0" vertical="center" wrapText="1"/>
    </xf>
    <xf borderId="191" fillId="3" fontId="32" numFmtId="174" xfId="0" applyAlignment="1" applyBorder="1" applyFont="1" applyNumberFormat="1">
      <alignment horizontal="center" readingOrder="0" shrinkToFit="0" vertical="center" wrapText="1"/>
    </xf>
    <xf borderId="190" fillId="3" fontId="32" numFmtId="174" xfId="0" applyAlignment="1" applyBorder="1" applyFont="1" applyNumberFormat="1">
      <alignment horizontal="center" readingOrder="0" shrinkToFit="0" vertical="center" wrapText="1"/>
    </xf>
    <xf borderId="191" fillId="3" fontId="32" numFmtId="174" xfId="0" applyAlignment="1" applyBorder="1" applyFont="1" applyNumberFormat="1">
      <alignment horizontal="center" readingOrder="0" shrinkToFit="0" vertical="center" wrapText="1"/>
    </xf>
    <xf borderId="200" fillId="3" fontId="32" numFmtId="0" xfId="0" applyAlignment="1" applyBorder="1" applyFont="1">
      <alignment horizontal="center" readingOrder="0" shrinkToFit="0" vertical="center" wrapText="1"/>
    </xf>
    <xf borderId="200" fillId="3" fontId="32" numFmtId="174" xfId="0" applyAlignment="1" applyBorder="1" applyFont="1" applyNumberFormat="1">
      <alignment horizontal="center" shrinkToFit="0" vertical="center" wrapText="1"/>
    </xf>
    <xf borderId="147" fillId="3" fontId="30" numFmtId="0" xfId="0" applyAlignment="1" applyBorder="1" applyFont="1">
      <alignment horizontal="center" readingOrder="0" shrinkToFit="0" vertical="center" wrapText="1"/>
    </xf>
    <xf borderId="201" fillId="3" fontId="32" numFmtId="174" xfId="0" applyAlignment="1" applyBorder="1" applyFont="1" applyNumberFormat="1">
      <alignment horizontal="center" shrinkToFit="0" vertical="center" wrapText="1"/>
    </xf>
    <xf borderId="200" fillId="3" fontId="32" numFmtId="4" xfId="0" applyAlignment="1" applyBorder="1" applyFont="1" applyNumberFormat="1">
      <alignment horizontal="center" readingOrder="0" shrinkToFit="0" vertical="center" wrapText="1"/>
    </xf>
    <xf borderId="200" fillId="3" fontId="32" numFmtId="174" xfId="0" applyAlignment="1" applyBorder="1" applyFont="1" applyNumberFormat="1">
      <alignment horizontal="center" readingOrder="0" shrinkToFit="0" vertical="center" wrapText="1"/>
    </xf>
    <xf borderId="202" fillId="3" fontId="32" numFmtId="174" xfId="0" applyAlignment="1" applyBorder="1" applyFont="1" applyNumberFormat="1">
      <alignment horizontal="center" readingOrder="0" shrinkToFit="0" vertical="center" wrapText="1"/>
    </xf>
    <xf borderId="200" fillId="3" fontId="32" numFmtId="14" xfId="0" applyAlignment="1" applyBorder="1" applyFont="1" applyNumberFormat="1">
      <alignment horizontal="center" readingOrder="0" shrinkToFit="0" vertical="center" wrapText="1"/>
    </xf>
    <xf borderId="202" fillId="3" fontId="32" numFmtId="174" xfId="0" applyAlignment="1" applyBorder="1" applyFont="1" applyNumberFormat="1">
      <alignment horizontal="center" shrinkToFit="0" vertical="center" wrapText="1"/>
    </xf>
    <xf borderId="200" fillId="3" fontId="32" numFmtId="10" xfId="0" applyAlignment="1" applyBorder="1" applyFont="1" applyNumberFormat="1">
      <alignment horizontal="center" readingOrder="0" shrinkToFit="0" vertical="center" wrapText="1"/>
    </xf>
    <xf borderId="191" fillId="3" fontId="32" numFmtId="0" xfId="0" applyAlignment="1" applyBorder="1" applyFont="1">
      <alignment horizontal="center" readingOrder="0" shrinkToFit="0" vertical="center" wrapText="1"/>
    </xf>
    <xf borderId="191" fillId="3" fontId="32" numFmtId="4" xfId="0" applyAlignment="1" applyBorder="1" applyFont="1" applyNumberFormat="1">
      <alignment horizontal="center" readingOrder="0" shrinkToFit="0" vertical="center" wrapText="1"/>
    </xf>
    <xf borderId="203" fillId="3" fontId="32" numFmtId="174" xfId="0" applyAlignment="1" applyBorder="1" applyFont="1" applyNumberFormat="1">
      <alignment horizontal="center" shrinkToFit="0" vertical="center" wrapText="1"/>
    </xf>
    <xf borderId="203" fillId="3" fontId="32" numFmtId="174" xfId="0" applyAlignment="1" applyBorder="1" applyFont="1" applyNumberFormat="1">
      <alignment horizontal="center" readingOrder="0" shrinkToFit="0" vertical="center" wrapText="1"/>
    </xf>
    <xf borderId="0" fillId="0" fontId="25" numFmtId="0" xfId="0" applyAlignment="1" applyFont="1">
      <alignment horizontal="center" shrinkToFit="0" vertical="center" wrapText="1"/>
    </xf>
    <xf borderId="0" fillId="0" fontId="41" numFmtId="0" xfId="0" applyAlignment="1" applyFont="1">
      <alignment horizontal="center" shrinkToFit="0" vertical="center" wrapText="1"/>
    </xf>
    <xf borderId="158" fillId="0" fontId="4" numFmtId="0" xfId="0" applyAlignment="1" applyBorder="1" applyFont="1">
      <alignment shrinkToFit="0" wrapText="1"/>
    </xf>
    <xf borderId="74" fillId="10" fontId="25" numFmtId="182" xfId="0" applyAlignment="1" applyBorder="1" applyFont="1" applyNumberFormat="1">
      <alignment horizontal="center" shrinkToFit="0" vertical="center" wrapText="0"/>
    </xf>
    <xf borderId="74" fillId="10" fontId="25" numFmtId="4" xfId="0" applyAlignment="1" applyBorder="1" applyFont="1" applyNumberFormat="1">
      <alignment horizontal="center" shrinkToFit="0" vertical="center" wrapText="0"/>
    </xf>
    <xf borderId="74" fillId="10" fontId="25" numFmtId="0" xfId="0" applyAlignment="1" applyBorder="1" applyFont="1">
      <alignment horizontal="center" shrinkToFit="0" vertical="center" wrapText="0"/>
    </xf>
    <xf borderId="101" fillId="10" fontId="25" numFmtId="0" xfId="0" applyAlignment="1" applyBorder="1" applyFont="1">
      <alignment horizontal="center" shrinkToFit="0" vertical="center" wrapText="0"/>
    </xf>
    <xf borderId="191" fillId="3" fontId="32" numFmtId="169" xfId="0" applyAlignment="1" applyBorder="1" applyFont="1" applyNumberFormat="1">
      <alignment horizontal="center" readingOrder="0" shrinkToFit="0" vertical="center" wrapText="1"/>
    </xf>
    <xf borderId="74" fillId="10" fontId="25" numFmtId="0" xfId="0" applyAlignment="1" applyBorder="1" applyFont="1">
      <alignment horizontal="center" shrinkToFit="0" vertical="center" wrapText="0"/>
    </xf>
    <xf borderId="0" fillId="10" fontId="25" numFmtId="0" xfId="0" applyAlignment="1" applyFont="1">
      <alignment horizontal="center" shrinkToFit="0" vertical="center" wrapText="0"/>
    </xf>
    <xf borderId="200" fillId="3" fontId="32" numFmtId="169" xfId="0" applyAlignment="1" applyBorder="1" applyFont="1" applyNumberFormat="1">
      <alignment horizontal="center" readingOrder="0" shrinkToFit="0" vertical="center" wrapText="1"/>
    </xf>
    <xf borderId="190" fillId="3" fontId="32" numFmtId="174" xfId="0" applyAlignment="1" applyBorder="1" applyFont="1" applyNumberFormat="1">
      <alignment horizontal="center" shrinkToFit="0" vertical="center" wrapText="1"/>
    </xf>
    <xf borderId="62" fillId="10" fontId="25" numFmtId="0" xfId="0" applyAlignment="1" applyBorder="1" applyFont="1">
      <alignment horizontal="center" shrinkToFit="0" vertical="center" wrapText="0"/>
    </xf>
    <xf borderId="191" fillId="3" fontId="32" numFmtId="14" xfId="0" applyAlignment="1" applyBorder="1" applyFont="1" applyNumberFormat="1">
      <alignment horizontal="center" readingOrder="0" shrinkToFit="0" vertical="center" wrapText="1"/>
    </xf>
    <xf borderId="190" fillId="3" fontId="32" numFmtId="174" xfId="0" applyAlignment="1" applyBorder="1" applyFont="1" applyNumberFormat="1">
      <alignment horizontal="center" readingOrder="0" shrinkToFit="0" vertical="center" wrapText="1"/>
    </xf>
    <xf borderId="190" fillId="3" fontId="32" numFmtId="174" xfId="0" applyAlignment="1" applyBorder="1" applyFont="1" applyNumberFormat="1">
      <alignment horizontal="center" shrinkToFit="0" vertical="center" wrapText="1"/>
    </xf>
    <xf borderId="191" fillId="3" fontId="32" numFmtId="169" xfId="0" applyAlignment="1" applyBorder="1" applyFont="1" applyNumberFormat="1">
      <alignment horizontal="center" readingOrder="0" shrinkToFit="0" vertical="center" wrapText="1"/>
    </xf>
    <xf borderId="201" fillId="3" fontId="32" numFmtId="174" xfId="0" applyAlignment="1" applyBorder="1" applyFont="1" applyNumberFormat="1">
      <alignment horizontal="center" readingOrder="0" shrinkToFit="0" vertical="center" wrapText="1"/>
    </xf>
    <xf borderId="131" fillId="16" fontId="154" numFmtId="0" xfId="0" applyAlignment="1" applyBorder="1" applyFont="1">
      <alignment horizontal="center" shrinkToFit="0" vertical="center" wrapText="1"/>
    </xf>
    <xf borderId="43" fillId="3" fontId="32" numFmtId="169" xfId="0" applyAlignment="1" applyBorder="1" applyFont="1" applyNumberFormat="1">
      <alignment horizontal="center" readingOrder="0" shrinkToFit="0" vertical="center" wrapText="1"/>
    </xf>
    <xf borderId="43" fillId="10" fontId="32" numFmtId="0" xfId="0" applyAlignment="1" applyBorder="1" applyFont="1">
      <alignment horizontal="center" shrinkToFit="0" vertical="center" wrapText="1"/>
    </xf>
    <xf borderId="198" fillId="0" fontId="32" numFmtId="0" xfId="0" applyAlignment="1" applyBorder="1" applyFont="1">
      <alignment horizontal="center" shrinkToFit="0" vertical="center" wrapText="1"/>
    </xf>
    <xf borderId="74" fillId="10" fontId="32" numFmtId="182" xfId="0" applyAlignment="1" applyBorder="1" applyFont="1" applyNumberFormat="1">
      <alignment horizontal="center" shrinkToFit="0" vertical="center" wrapText="0"/>
    </xf>
    <xf borderId="74" fillId="10" fontId="32" numFmtId="4" xfId="0" applyAlignment="1" applyBorder="1" applyFont="1" applyNumberFormat="1">
      <alignment horizontal="center" shrinkToFit="0" vertical="center" wrapText="0"/>
    </xf>
    <xf borderId="101" fillId="10" fontId="32" numFmtId="0" xfId="0" applyAlignment="1" applyBorder="1" applyFont="1">
      <alignment horizontal="center" shrinkToFit="0" vertical="center" wrapText="0"/>
    </xf>
    <xf borderId="191" fillId="3" fontId="32" numFmtId="174" xfId="0" applyAlignment="1" applyBorder="1" applyFont="1" applyNumberFormat="1">
      <alignment horizontal="center" shrinkToFit="0" vertical="center" wrapText="1"/>
    </xf>
    <xf borderId="191" fillId="3" fontId="32" numFmtId="4" xfId="0" applyAlignment="1" applyBorder="1" applyFont="1" applyNumberFormat="1">
      <alignment horizontal="center" shrinkToFit="0" vertical="center" wrapText="1"/>
    </xf>
    <xf borderId="43" fillId="10" fontId="25" numFmtId="0" xfId="0" applyAlignment="1" applyBorder="1" applyFont="1">
      <alignment horizontal="center" shrinkToFit="0" vertical="center" wrapText="1"/>
    </xf>
    <xf borderId="189" fillId="3" fontId="32" numFmtId="174" xfId="0" applyAlignment="1" applyBorder="1" applyFont="1" applyNumberFormat="1">
      <alignment horizontal="center" readingOrder="0" shrinkToFit="0" vertical="center" wrapText="1"/>
    </xf>
    <xf borderId="191" fillId="3" fontId="32" numFmtId="176" xfId="0" applyAlignment="1" applyBorder="1" applyFont="1" applyNumberFormat="1">
      <alignment horizontal="center" readingOrder="0" shrinkToFit="0" vertical="center" wrapText="1"/>
    </xf>
    <xf borderId="191" fillId="3" fontId="32" numFmtId="0" xfId="0" applyAlignment="1" applyBorder="1" applyFont="1">
      <alignment horizontal="center" readingOrder="0" shrinkToFit="0" vertical="center" wrapText="1"/>
    </xf>
    <xf borderId="191" fillId="3" fontId="30" numFmtId="0" xfId="0" applyAlignment="1" applyBorder="1" applyFont="1">
      <alignment horizontal="center" readingOrder="0" shrinkToFit="0" vertical="center" wrapText="1"/>
    </xf>
    <xf borderId="191" fillId="3" fontId="32" numFmtId="169" xfId="0" applyAlignment="1" applyBorder="1" applyFont="1" applyNumberFormat="1">
      <alignment horizontal="center" shrinkToFit="0" vertical="center" wrapText="1"/>
    </xf>
    <xf borderId="200" fillId="3" fontId="32" numFmtId="169" xfId="0" applyAlignment="1" applyBorder="1" applyFont="1" applyNumberFormat="1">
      <alignment horizontal="center" shrinkToFit="0" vertical="center" wrapText="1"/>
    </xf>
    <xf borderId="31" fillId="3" fontId="32" numFmtId="0" xfId="0" applyAlignment="1" applyBorder="1" applyFont="1">
      <alignment horizontal="center" readingOrder="0" shrinkToFit="0" vertical="center" wrapText="1"/>
    </xf>
    <xf borderId="132" fillId="3" fontId="32" numFmtId="4" xfId="0" applyAlignment="1" applyBorder="1" applyFont="1" applyNumberFormat="1">
      <alignment horizontal="center" readingOrder="0" shrinkToFit="0" vertical="center" wrapText="1"/>
    </xf>
    <xf borderId="132" fillId="3" fontId="32" numFmtId="174" xfId="0" applyAlignment="1" applyBorder="1" applyFont="1" applyNumberFormat="1">
      <alignment horizontal="center" readingOrder="0" shrinkToFit="0" vertical="center" wrapText="1"/>
    </xf>
    <xf borderId="138" fillId="3" fontId="32" numFmtId="174" xfId="0" applyAlignment="1" applyBorder="1" applyFont="1" applyNumberFormat="1">
      <alignment horizontal="center" readingOrder="0" shrinkToFit="0" vertical="center" wrapText="1"/>
    </xf>
    <xf borderId="201" fillId="3" fontId="32" numFmtId="14" xfId="0" applyAlignment="1" applyBorder="1" applyFont="1" applyNumberFormat="1">
      <alignment horizontal="center" shrinkToFit="0" vertical="center" wrapText="1"/>
    </xf>
    <xf borderId="200" fillId="3" fontId="32" numFmtId="174" xfId="0" applyAlignment="1" applyBorder="1" applyFont="1" applyNumberFormat="1">
      <alignment horizontal="center" readingOrder="0" shrinkToFit="0" vertical="center" wrapText="1"/>
    </xf>
    <xf borderId="191" fillId="3" fontId="32" numFmtId="0" xfId="0" applyAlignment="1" applyBorder="1" applyFont="1">
      <alignment horizontal="center" shrinkToFit="0" vertical="center" wrapText="1"/>
    </xf>
    <xf borderId="191" fillId="3" fontId="32" numFmtId="169" xfId="0" applyAlignment="1" applyBorder="1" applyFont="1" applyNumberFormat="1">
      <alignment horizontal="center" shrinkToFit="0" vertical="center" wrapText="1"/>
    </xf>
    <xf borderId="200" fillId="3" fontId="32" numFmtId="0" xfId="0" applyAlignment="1" applyBorder="1" applyFont="1">
      <alignment horizontal="center" shrinkToFit="0" vertical="center" wrapText="1"/>
    </xf>
    <xf borderId="202" fillId="3" fontId="32" numFmtId="174" xfId="0" applyAlignment="1" applyBorder="1" applyFont="1" applyNumberFormat="1">
      <alignment horizontal="center" readingOrder="0" shrinkToFit="0" vertical="center" wrapText="1"/>
    </xf>
    <xf borderId="47" fillId="3" fontId="32" numFmtId="169" xfId="0" applyAlignment="1" applyBorder="1" applyFont="1" applyNumberFormat="1">
      <alignment horizontal="center" readingOrder="0" shrinkToFit="0" vertical="center" wrapText="1"/>
    </xf>
    <xf borderId="47" fillId="10" fontId="25" numFmtId="0" xfId="0" applyAlignment="1" applyBorder="1" applyFont="1">
      <alignment horizontal="center" shrinkToFit="0" vertical="center" wrapText="1"/>
    </xf>
    <xf borderId="201" fillId="3" fontId="32" numFmtId="174" xfId="0" applyAlignment="1" applyBorder="1" applyFont="1" applyNumberFormat="1">
      <alignment horizontal="center" readingOrder="0" shrinkToFit="0" vertical="center" wrapText="1"/>
    </xf>
    <xf borderId="200" fillId="3" fontId="32" numFmtId="169" xfId="0" applyAlignment="1" applyBorder="1" applyFont="1" applyNumberFormat="1">
      <alignment horizontal="center" shrinkToFit="0" vertical="center" wrapText="1"/>
    </xf>
    <xf borderId="34" fillId="6" fontId="41" numFmtId="0" xfId="0" applyAlignment="1" applyBorder="1" applyFont="1">
      <alignment horizontal="center" readingOrder="0" shrinkToFit="0" vertical="center" wrapText="1"/>
    </xf>
    <xf borderId="204" fillId="6" fontId="41" numFmtId="0" xfId="0" applyAlignment="1" applyBorder="1" applyFont="1">
      <alignment horizontal="center" readingOrder="0" shrinkToFit="0" vertical="center" wrapText="1"/>
    </xf>
    <xf borderId="205" fillId="0" fontId="4" numFmtId="0" xfId="0" applyAlignment="1" applyBorder="1" applyFont="1">
      <alignment shrinkToFit="0" wrapText="1"/>
    </xf>
    <xf borderId="199" fillId="3" fontId="32" numFmtId="0" xfId="0" applyAlignment="1" applyBorder="1" applyFont="1">
      <alignment horizontal="center" shrinkToFit="0" vertical="center" wrapText="1"/>
    </xf>
    <xf borderId="200" fillId="3" fontId="32" numFmtId="4" xfId="0" applyAlignment="1" applyBorder="1" applyFont="1" applyNumberFormat="1">
      <alignment horizontal="center" shrinkToFit="0" vertical="center" wrapText="1"/>
    </xf>
    <xf borderId="28" fillId="3" fontId="8" numFmtId="0" xfId="0" applyAlignment="1" applyBorder="1" applyFont="1">
      <alignment horizontal="center" readingOrder="0" shrinkToFit="0" vertical="center" wrapText="1"/>
    </xf>
    <xf borderId="49" fillId="10" fontId="8" numFmtId="0" xfId="0" applyAlignment="1" applyBorder="1" applyFont="1">
      <alignment horizontal="center" shrinkToFit="0" vertical="center" wrapText="1"/>
    </xf>
    <xf borderId="198" fillId="0" fontId="8" numFmtId="0" xfId="0" applyAlignment="1" applyBorder="1" applyFont="1">
      <alignment horizontal="center" shrinkToFit="0" vertical="center" wrapText="1"/>
    </xf>
    <xf borderId="147" fillId="3" fontId="8" numFmtId="0" xfId="0" applyAlignment="1" applyBorder="1" applyFont="1">
      <alignment horizontal="center" readingOrder="0" shrinkToFit="0" vertical="center" wrapText="1"/>
    </xf>
    <xf borderId="191" fillId="3" fontId="8" numFmtId="169" xfId="0" applyAlignment="1" applyBorder="1" applyFont="1" applyNumberFormat="1">
      <alignment horizontal="center" shrinkToFit="0" vertical="center" wrapText="1"/>
    </xf>
    <xf borderId="191" fillId="3" fontId="8" numFmtId="4" xfId="0" applyAlignment="1" applyBorder="1" applyFont="1" applyNumberFormat="1">
      <alignment horizontal="center" readingOrder="0" shrinkToFit="0" vertical="center" wrapText="1"/>
    </xf>
    <xf borderId="201" fillId="3" fontId="32" numFmtId="176" xfId="0" applyAlignment="1" applyBorder="1" applyFont="1" applyNumberFormat="1">
      <alignment horizontal="center" readingOrder="0" shrinkToFit="0" vertical="center" wrapText="1"/>
    </xf>
    <xf borderId="147" fillId="3" fontId="32" numFmtId="0" xfId="0" applyAlignment="1" applyBorder="1" applyFont="1">
      <alignment horizontal="center" shrinkToFit="0" vertical="center" wrapText="1"/>
    </xf>
    <xf borderId="147" fillId="3" fontId="32" numFmtId="4" xfId="0" applyAlignment="1" applyBorder="1" applyFont="1" applyNumberFormat="1">
      <alignment horizontal="center" readingOrder="0" shrinkToFit="0" vertical="center" wrapText="1"/>
    </xf>
    <xf borderId="147" fillId="3" fontId="32" numFmtId="174" xfId="0" applyAlignment="1" applyBorder="1" applyFont="1" applyNumberFormat="1">
      <alignment horizontal="center" readingOrder="0" shrinkToFit="0" vertical="center" wrapText="1"/>
    </xf>
    <xf borderId="201" fillId="3" fontId="32" numFmtId="183" xfId="0" applyAlignment="1" applyBorder="1" applyFont="1" applyNumberFormat="1">
      <alignment horizontal="center" readingOrder="0" shrinkToFit="0" vertical="center" wrapText="1"/>
    </xf>
    <xf borderId="43" fillId="10" fontId="25" numFmtId="0" xfId="0" applyAlignment="1" applyBorder="1" applyFont="1">
      <alignment horizontal="center" shrinkToFit="0" vertical="center" wrapText="0"/>
    </xf>
    <xf borderId="147" fillId="3" fontId="32" numFmtId="169" xfId="0" applyAlignment="1" applyBorder="1" applyFont="1" applyNumberFormat="1">
      <alignment horizontal="center" readingOrder="0" shrinkToFit="0" vertical="center" wrapText="1"/>
    </xf>
    <xf borderId="147" fillId="3" fontId="32" numFmtId="4" xfId="0" applyAlignment="1" applyBorder="1" applyFont="1" applyNumberFormat="1">
      <alignment horizontal="center" shrinkToFit="0" vertical="center" wrapText="1"/>
    </xf>
    <xf borderId="191" fillId="3" fontId="32" numFmtId="10" xfId="0" applyAlignment="1" applyBorder="1" applyFont="1" applyNumberFormat="1">
      <alignment horizontal="center" readingOrder="0" shrinkToFit="0" vertical="center" wrapText="1"/>
    </xf>
    <xf borderId="199" fillId="3" fontId="30" numFmtId="0" xfId="0" applyAlignment="1" applyBorder="1" applyFont="1">
      <alignment horizontal="center" readingOrder="0" shrinkToFit="0" vertical="center" wrapText="1"/>
    </xf>
    <xf borderId="191" fillId="3" fontId="32" numFmtId="10" xfId="0" applyAlignment="1" applyBorder="1" applyFont="1" applyNumberFormat="1">
      <alignment horizontal="center" shrinkToFit="0" vertical="center" wrapText="1"/>
    </xf>
    <xf borderId="0" fillId="0" fontId="78" numFmtId="0" xfId="0" applyAlignment="1" applyFont="1">
      <alignment horizontal="center" readingOrder="0" shrinkToFit="0" vertical="center" wrapText="1"/>
    </xf>
    <xf borderId="0" fillId="12" fontId="78" numFmtId="0" xfId="0" applyAlignment="1" applyFont="1">
      <alignment horizontal="center" readingOrder="0" shrinkToFit="0" vertical="center" wrapText="1"/>
    </xf>
    <xf borderId="88" fillId="0" fontId="78" numFmtId="0" xfId="0" applyAlignment="1" applyBorder="1" applyFont="1">
      <alignment horizontal="center" readingOrder="0" shrinkToFit="0" vertical="center" wrapText="1"/>
    </xf>
    <xf borderId="191" fillId="3" fontId="32" numFmtId="14" xfId="0" applyAlignment="1" applyBorder="1" applyFont="1" applyNumberFormat="1">
      <alignment horizontal="center" shrinkToFit="0" vertical="center" wrapText="1"/>
    </xf>
    <xf borderId="200" fillId="3" fontId="32" numFmtId="10" xfId="0" applyAlignment="1" applyBorder="1" applyFont="1" applyNumberFormat="1">
      <alignment horizontal="center" shrinkToFit="0" vertical="center" wrapText="1"/>
    </xf>
    <xf borderId="147" fillId="3" fontId="32" numFmtId="10" xfId="0" applyAlignment="1" applyBorder="1" applyFont="1" applyNumberFormat="1">
      <alignment horizontal="center" readingOrder="0" shrinkToFit="0" vertical="center" wrapText="1"/>
    </xf>
    <xf borderId="161" fillId="6" fontId="155" numFmtId="0" xfId="0" applyAlignment="1" applyBorder="1" applyFont="1">
      <alignment horizontal="center" readingOrder="0" shrinkToFit="0" vertical="center" wrapText="1"/>
    </xf>
    <xf borderId="108" fillId="6" fontId="70" numFmtId="0" xfId="0" applyAlignment="1" applyBorder="1" applyFont="1">
      <alignment horizontal="center" readingOrder="0" shrinkToFit="0" vertical="center" wrapText="1"/>
    </xf>
    <xf borderId="206" fillId="6" fontId="27" numFmtId="0" xfId="0" applyAlignment="1" applyBorder="1" applyFont="1">
      <alignment horizontal="center" readingOrder="0" shrinkToFit="0" vertical="center" wrapText="1"/>
    </xf>
    <xf borderId="207" fillId="0" fontId="4" numFmtId="0" xfId="0" applyAlignment="1" applyBorder="1" applyFont="1">
      <alignment shrinkToFit="0" wrapText="1"/>
    </xf>
    <xf borderId="0" fillId="0" fontId="71" numFmtId="0" xfId="0" applyAlignment="1" applyFont="1">
      <alignment shrinkToFit="0" wrapText="1"/>
    </xf>
    <xf borderId="0" fillId="0" fontId="71" numFmtId="0" xfId="0" applyAlignment="1" applyFont="1">
      <alignment shrinkToFit="0" wrapText="1"/>
    </xf>
    <xf borderId="28" fillId="6" fontId="40" numFmtId="4" xfId="0" applyAlignment="1" applyBorder="1" applyFont="1" applyNumberFormat="1">
      <alignment horizontal="center" shrinkToFit="0" vertical="center" wrapText="1"/>
    </xf>
    <xf borderId="18" fillId="0" fontId="116" numFmtId="4" xfId="0" applyAlignment="1" applyBorder="1" applyFont="1" applyNumberFormat="1">
      <alignment shrinkToFit="0" vertical="center" wrapText="1"/>
    </xf>
    <xf borderId="183" fillId="6" fontId="40" numFmtId="4" xfId="0" applyAlignment="1" applyBorder="1" applyFont="1" applyNumberFormat="1">
      <alignment horizontal="center" shrinkToFit="0" vertical="center" wrapText="1"/>
    </xf>
    <xf borderId="208" fillId="0" fontId="4" numFmtId="0" xfId="0" applyAlignment="1" applyBorder="1" applyFont="1">
      <alignment shrinkToFit="0" wrapText="1"/>
    </xf>
    <xf borderId="183" fillId="6" fontId="40" numFmtId="4" xfId="0" applyAlignment="1" applyBorder="1" applyFont="1" applyNumberFormat="1">
      <alignment horizontal="center" readingOrder="0" shrinkToFit="0" vertical="center" wrapText="1"/>
    </xf>
    <xf borderId="0" fillId="0" fontId="116" numFmtId="4" xfId="0" applyAlignment="1" applyFont="1" applyNumberFormat="1">
      <alignment shrinkToFit="0" vertical="center" wrapText="1"/>
    </xf>
    <xf borderId="27" fillId="0" fontId="75" numFmtId="0" xfId="0" applyAlignment="1" applyBorder="1" applyFont="1">
      <alignment horizontal="center" shrinkToFit="0" vertical="center" wrapText="1"/>
    </xf>
    <xf borderId="27" fillId="0" fontId="75" numFmtId="0" xfId="0" applyAlignment="1" applyBorder="1" applyFont="1">
      <alignment horizontal="center" readingOrder="0" shrinkToFit="0" vertical="center" wrapText="1"/>
    </xf>
    <xf borderId="0" fillId="0" fontId="71" numFmtId="4" xfId="0" applyAlignment="1" applyFont="1" applyNumberFormat="1">
      <alignment shrinkToFit="0" wrapText="1"/>
    </xf>
    <xf borderId="0" fillId="0" fontId="156" numFmtId="0" xfId="0" applyAlignment="1" applyFont="1">
      <alignment horizontal="center" readingOrder="0" shrinkToFit="0" vertical="center" wrapText="1"/>
    </xf>
    <xf borderId="0" fillId="0" fontId="156" numFmtId="0" xfId="0" applyAlignment="1" applyFont="1">
      <alignment horizontal="center" shrinkToFit="0" vertical="center" wrapText="1"/>
    </xf>
    <xf borderId="18" fillId="0" fontId="156" numFmtId="0" xfId="0" applyAlignment="1" applyBorder="1" applyFont="1">
      <alignment horizontal="center" shrinkToFit="0" vertical="center" wrapText="1"/>
    </xf>
    <xf borderId="18" fillId="0" fontId="156" numFmtId="4" xfId="0" applyAlignment="1" applyBorder="1" applyFont="1" applyNumberFormat="1">
      <alignment horizontal="center" shrinkToFit="0" vertical="center" wrapText="1"/>
    </xf>
    <xf borderId="0" fillId="0" fontId="156" numFmtId="4" xfId="0" applyAlignment="1" applyFont="1" applyNumberFormat="1">
      <alignment horizontal="center" shrinkToFit="0" vertical="center" wrapText="1"/>
    </xf>
    <xf borderId="0" fillId="0" fontId="50" numFmtId="4" xfId="0" applyAlignment="1" applyFont="1" applyNumberFormat="1">
      <alignment horizontal="center" shrinkToFit="0" wrapText="1"/>
    </xf>
    <xf borderId="11" fillId="6" fontId="54" numFmtId="0" xfId="0" applyAlignment="1" applyBorder="1" applyFont="1">
      <alignment horizontal="center" readingOrder="0" shrinkToFit="0" vertical="center" wrapText="1"/>
    </xf>
    <xf borderId="89" fillId="6" fontId="40" numFmtId="0" xfId="0" applyAlignment="1" applyBorder="1" applyFont="1">
      <alignment horizontal="center" readingOrder="0" shrinkToFit="0" vertical="center" wrapText="1"/>
    </xf>
    <xf borderId="88" fillId="6" fontId="40" numFmtId="0" xfId="0" applyAlignment="1" applyBorder="1" applyFont="1">
      <alignment horizontal="center" readingOrder="0" shrinkToFit="0" vertical="center" wrapText="1"/>
    </xf>
    <xf borderId="0" fillId="0" fontId="75" numFmtId="4" xfId="0" applyAlignment="1" applyFont="1" applyNumberFormat="1">
      <alignment horizontal="center" shrinkToFit="0" vertical="center" wrapText="1"/>
    </xf>
    <xf borderId="27" fillId="12" fontId="75" numFmtId="168" xfId="0" applyAlignment="1" applyBorder="1" applyFont="1" applyNumberFormat="1">
      <alignment horizontal="center" shrinkToFit="0" vertical="center" wrapText="1"/>
    </xf>
    <xf borderId="209" fillId="6" fontId="41" numFmtId="0" xfId="0" applyAlignment="1" applyBorder="1" applyFont="1">
      <alignment horizontal="center" readingOrder="0" shrinkToFit="0" vertical="center" wrapText="1"/>
    </xf>
    <xf borderId="88" fillId="6" fontId="41" numFmtId="0" xfId="0" applyAlignment="1" applyBorder="1" applyFont="1">
      <alignment horizontal="center" readingOrder="0" shrinkToFit="0" vertical="center" wrapText="1"/>
    </xf>
    <xf borderId="35" fillId="6" fontId="41" numFmtId="0" xfId="0" applyAlignment="1" applyBorder="1" applyFont="1">
      <alignment horizontal="center" readingOrder="0" shrinkToFit="0" vertical="center" wrapText="1"/>
    </xf>
    <xf borderId="210" fillId="6" fontId="41" numFmtId="0" xfId="0" applyAlignment="1" applyBorder="1" applyFont="1">
      <alignment horizontal="center" readingOrder="0" shrinkToFit="0" vertical="center" wrapText="1"/>
    </xf>
    <xf borderId="211" fillId="6" fontId="41" numFmtId="0" xfId="0" applyAlignment="1" applyBorder="1" applyFont="1">
      <alignment horizontal="center" readingOrder="0" shrinkToFit="0" vertical="center" wrapText="1"/>
    </xf>
    <xf borderId="210" fillId="6" fontId="40" numFmtId="0" xfId="0" applyAlignment="1" applyBorder="1" applyFont="1">
      <alignment horizontal="center" readingOrder="0" shrinkToFit="0" vertical="center" wrapText="1"/>
    </xf>
    <xf borderId="205" fillId="6" fontId="40" numFmtId="0" xfId="0" applyAlignment="1" applyBorder="1" applyFont="1">
      <alignment horizontal="center" readingOrder="0" shrinkToFit="0" vertical="center" wrapText="1"/>
    </xf>
    <xf borderId="100" fillId="6" fontId="40" numFmtId="0" xfId="0" applyAlignment="1" applyBorder="1" applyFont="1">
      <alignment horizontal="center" readingOrder="0" shrinkToFit="0" vertical="center" wrapText="1"/>
    </xf>
    <xf borderId="0" fillId="0" fontId="40" numFmtId="0" xfId="0" applyAlignment="1" applyFont="1">
      <alignment horizontal="center" readingOrder="0" shrinkToFit="0" vertical="center" wrapText="1"/>
    </xf>
    <xf borderId="30" fillId="6" fontId="40" numFmtId="0" xfId="0" applyAlignment="1" applyBorder="1" applyFont="1">
      <alignment horizontal="center" readingOrder="0" shrinkToFit="0" vertical="center" wrapText="1"/>
    </xf>
    <xf borderId="211" fillId="6" fontId="40" numFmtId="0" xfId="0" applyAlignment="1" applyBorder="1" applyFont="1">
      <alignment horizontal="center" readingOrder="0" shrinkToFit="0" vertical="center" wrapText="1"/>
    </xf>
    <xf borderId="0" fillId="0" fontId="71" numFmtId="0" xfId="0" applyAlignment="1" applyFont="1">
      <alignment shrinkToFit="0" wrapText="1"/>
    </xf>
    <xf borderId="29" fillId="9" fontId="42" numFmtId="3" xfId="0" applyAlignment="1" applyBorder="1" applyFont="1" applyNumberFormat="1">
      <alignment horizontal="center" readingOrder="0" shrinkToFit="0" vertical="center" wrapText="1"/>
    </xf>
    <xf borderId="88" fillId="9" fontId="61" numFmtId="10" xfId="0" applyAlignment="1" applyBorder="1" applyFont="1" applyNumberFormat="1">
      <alignment horizontal="center" readingOrder="0" shrinkToFit="0" vertical="center" wrapText="1"/>
    </xf>
    <xf borderId="90" fillId="9" fontId="61" numFmtId="3" xfId="0" applyAlignment="1" applyBorder="1" applyFont="1" applyNumberFormat="1">
      <alignment horizontal="center" readingOrder="0" shrinkToFit="0" vertical="center" wrapText="1"/>
    </xf>
    <xf borderId="38" fillId="2" fontId="43" numFmtId="4" xfId="0" applyAlignment="1" applyBorder="1" applyFont="1" applyNumberFormat="1">
      <alignment horizontal="center" shrinkToFit="0" vertical="center" wrapText="1"/>
    </xf>
    <xf borderId="47" fillId="2" fontId="51" numFmtId="169" xfId="0" applyAlignment="1" applyBorder="1" applyFont="1" applyNumberFormat="1">
      <alignment horizontal="center" shrinkToFit="0" vertical="center" wrapText="1"/>
    </xf>
    <xf borderId="49" fillId="3" fontId="138" numFmtId="10" xfId="0" applyAlignment="1" applyBorder="1" applyFont="1" applyNumberFormat="1">
      <alignment horizontal="center" readingOrder="0" shrinkToFit="0" vertical="center" wrapText="1"/>
    </xf>
    <xf borderId="43" fillId="3" fontId="138" numFmtId="10" xfId="0" applyAlignment="1" applyBorder="1" applyFont="1" applyNumberFormat="1">
      <alignment horizontal="center" readingOrder="0" shrinkToFit="0" vertical="center" wrapText="1"/>
    </xf>
    <xf borderId="30" fillId="0" fontId="75" numFmtId="4" xfId="0" applyAlignment="1" applyBorder="1" applyFont="1" applyNumberFormat="1">
      <alignment horizontal="center" readingOrder="0" shrinkToFit="0" vertical="center" wrapText="1"/>
    </xf>
    <xf borderId="27" fillId="0" fontId="75" numFmtId="4" xfId="0" applyAlignment="1" applyBorder="1" applyFont="1" applyNumberFormat="1">
      <alignment horizontal="center" readingOrder="0" shrinkToFit="0" vertical="center" wrapText="1"/>
    </xf>
    <xf borderId="27" fillId="12" fontId="75" numFmtId="4" xfId="0" applyAlignment="1" applyBorder="1" applyFont="1" applyNumberFormat="1">
      <alignment horizontal="center" shrinkToFit="0" vertical="center" wrapText="1"/>
    </xf>
    <xf borderId="30" fillId="0" fontId="75" numFmtId="4" xfId="0" applyAlignment="1" applyBorder="1" applyFont="1" applyNumberFormat="1">
      <alignment horizontal="center" shrinkToFit="0" vertical="center" wrapText="1"/>
    </xf>
    <xf borderId="30" fillId="0" fontId="75" numFmtId="169" xfId="0" applyAlignment="1" applyBorder="1" applyFont="1" applyNumberFormat="1">
      <alignment horizontal="center" readingOrder="0" shrinkToFit="0" vertical="center" wrapText="1"/>
    </xf>
    <xf borderId="27" fillId="0" fontId="75" numFmtId="10" xfId="0" applyAlignment="1" applyBorder="1" applyFont="1" applyNumberFormat="1">
      <alignment horizontal="center" shrinkToFit="0" vertical="center" wrapText="1"/>
    </xf>
    <xf borderId="27" fillId="0" fontId="75" numFmtId="3" xfId="0" applyAlignment="1" applyBorder="1" applyFont="1" applyNumberFormat="1">
      <alignment horizontal="center" readingOrder="0" shrinkToFit="0" vertical="center" wrapText="1"/>
    </xf>
    <xf borderId="40" fillId="0" fontId="75" numFmtId="4" xfId="0" applyAlignment="1" applyBorder="1" applyFont="1" applyNumberFormat="1">
      <alignment horizontal="center" shrinkToFit="0" vertical="center" wrapText="1"/>
    </xf>
    <xf borderId="38" fillId="3" fontId="51" numFmtId="0" xfId="0" applyAlignment="1" applyBorder="1" applyFont="1">
      <alignment horizontal="center" readingOrder="0" shrinkToFit="0" vertical="center" wrapText="1"/>
    </xf>
    <xf borderId="105" fillId="3" fontId="51" numFmtId="0" xfId="0" applyAlignment="1" applyBorder="1" applyFont="1">
      <alignment horizontal="center" readingOrder="0" shrinkToFit="0" vertical="center" wrapText="0"/>
    </xf>
    <xf borderId="105" fillId="3" fontId="51" numFmtId="10" xfId="0" applyAlignment="1" applyBorder="1" applyFont="1" applyNumberFormat="1">
      <alignment horizontal="center" readingOrder="0" shrinkToFit="0" vertical="center" wrapText="1"/>
    </xf>
    <xf borderId="105" fillId="3" fontId="51" numFmtId="0" xfId="0" applyAlignment="1" applyBorder="1" applyFont="1">
      <alignment horizontal="center" readingOrder="0" shrinkToFit="0" vertical="center" wrapText="1"/>
    </xf>
    <xf borderId="30" fillId="0" fontId="75" numFmtId="169" xfId="0" applyAlignment="1" applyBorder="1" applyFont="1" applyNumberFormat="1">
      <alignment horizontal="center" shrinkToFit="0" vertical="center" wrapText="1"/>
    </xf>
    <xf borderId="28" fillId="3" fontId="51" numFmtId="0" xfId="0" applyAlignment="1" applyBorder="1" applyFont="1">
      <alignment horizontal="center" readingOrder="0" shrinkToFit="0" vertical="center" wrapText="1"/>
    </xf>
    <xf borderId="163" fillId="3" fontId="51" numFmtId="0" xfId="0" applyAlignment="1" applyBorder="1" applyFont="1">
      <alignment horizontal="center" readingOrder="0" shrinkToFit="0" vertical="center" wrapText="0"/>
    </xf>
    <xf borderId="105" fillId="3" fontId="51" numFmtId="169" xfId="0" applyAlignment="1" applyBorder="1" applyFont="1" applyNumberFormat="1">
      <alignment horizontal="center" readingOrder="0" shrinkToFit="0" vertical="center" wrapText="1"/>
    </xf>
    <xf borderId="0" fillId="0" fontId="30" numFmtId="4" xfId="0" applyAlignment="1" applyFont="1" applyNumberFormat="1">
      <alignment horizontal="center" shrinkToFit="0" vertical="center" wrapText="1"/>
    </xf>
    <xf borderId="212" fillId="22" fontId="29" numFmtId="0" xfId="0" applyAlignment="1" applyBorder="1" applyFont="1">
      <alignment horizontal="center" readingOrder="0" shrinkToFit="0" vertical="center" wrapText="1"/>
    </xf>
    <xf borderId="213" fillId="0" fontId="4" numFmtId="0" xfId="0" applyAlignment="1" applyBorder="1" applyFont="1">
      <alignment shrinkToFit="0" wrapText="1"/>
    </xf>
    <xf borderId="214" fillId="0" fontId="4" numFmtId="0" xfId="0" applyAlignment="1" applyBorder="1" applyFont="1">
      <alignment shrinkToFit="0" wrapText="1"/>
    </xf>
    <xf borderId="215" fillId="6" fontId="54" numFmtId="0" xfId="0" applyAlignment="1" applyBorder="1" applyFont="1">
      <alignment horizontal="center" readingOrder="0" shrinkToFit="0" vertical="center" wrapText="1"/>
    </xf>
    <xf borderId="100" fillId="0" fontId="75" numFmtId="4" xfId="0" applyAlignment="1" applyBorder="1" applyFont="1" applyNumberFormat="1">
      <alignment horizontal="center" readingOrder="0" shrinkToFit="0" vertical="center" wrapText="1"/>
    </xf>
    <xf borderId="44" fillId="6" fontId="40" numFmtId="0" xfId="0" applyAlignment="1" applyBorder="1" applyFont="1">
      <alignment horizontal="center" readingOrder="0" shrinkToFit="0" vertical="center" wrapText="1"/>
    </xf>
    <xf borderId="1" fillId="2" fontId="51" numFmtId="170" xfId="0" applyAlignment="1" applyBorder="1" applyFont="1" applyNumberFormat="1">
      <alignment horizontal="center" readingOrder="0" shrinkToFit="0" vertical="center" wrapText="1"/>
    </xf>
    <xf borderId="28" fillId="2" fontId="51" numFmtId="170" xfId="0" applyAlignment="1" applyBorder="1" applyFont="1" applyNumberFormat="1">
      <alignment horizontal="center" readingOrder="0" shrinkToFit="0" vertical="center" wrapText="1"/>
    </xf>
    <xf borderId="163" fillId="3" fontId="51" numFmtId="0" xfId="0" applyAlignment="1" applyBorder="1" applyFont="1">
      <alignment horizontal="center" readingOrder="0" shrinkToFit="0" vertical="center" wrapText="1"/>
    </xf>
    <xf borderId="137" fillId="0" fontId="4" numFmtId="0" xfId="0" applyAlignment="1" applyBorder="1" applyFont="1">
      <alignment shrinkToFit="0" wrapText="1"/>
    </xf>
    <xf borderId="0" fillId="0" fontId="75" numFmtId="4" xfId="0" applyAlignment="1" applyFont="1" applyNumberFormat="1">
      <alignment horizontal="center" readingOrder="0" shrinkToFit="0" vertical="center" wrapText="1"/>
    </xf>
    <xf borderId="43" fillId="0" fontId="75" numFmtId="169" xfId="0" applyAlignment="1" applyBorder="1" applyFont="1" applyNumberFormat="1">
      <alignment horizontal="center" shrinkToFit="0" vertical="center" wrapText="1"/>
    </xf>
    <xf borderId="43" fillId="0" fontId="75" numFmtId="10" xfId="0" applyAlignment="1" applyBorder="1" applyFont="1" applyNumberFormat="1">
      <alignment horizontal="center" shrinkToFit="0" vertical="center" wrapText="1"/>
    </xf>
    <xf borderId="43" fillId="0" fontId="75" numFmtId="169" xfId="0" applyAlignment="1" applyBorder="1" applyFont="1" applyNumberFormat="1">
      <alignment horizontal="center" readingOrder="0" shrinkToFit="0" vertical="center" wrapText="1"/>
    </xf>
    <xf borderId="34" fillId="2" fontId="51" numFmtId="170" xfId="0" applyAlignment="1" applyBorder="1" applyFont="1" applyNumberFormat="1">
      <alignment horizontal="center" readingOrder="0" shrinkToFit="0" vertical="center" wrapText="1"/>
    </xf>
    <xf borderId="0" fillId="0" fontId="51" numFmtId="0" xfId="0" applyAlignment="1" applyFont="1">
      <alignment horizontal="center" shrinkToFit="0" vertical="center" wrapText="1"/>
    </xf>
    <xf borderId="43" fillId="3" fontId="138" numFmtId="169" xfId="0" applyAlignment="1" applyBorder="1" applyFont="1" applyNumberFormat="1">
      <alignment horizontal="center" readingOrder="0" shrinkToFit="0" vertical="center" wrapText="1"/>
    </xf>
    <xf borderId="0" fillId="0" fontId="157" numFmtId="0" xfId="0" applyAlignment="1" applyFont="1">
      <alignment horizontal="left" readingOrder="0" shrinkToFit="0" vertical="center" wrapText="1"/>
    </xf>
    <xf borderId="0" fillId="46" fontId="158" numFmtId="0" xfId="0" applyAlignment="1" applyFill="1" applyFont="1">
      <alignment horizontal="left" readingOrder="0" shrinkToFit="0" vertical="center" wrapText="1"/>
    </xf>
    <xf borderId="0" fillId="0" fontId="71" numFmtId="0" xfId="0" applyAlignment="1" applyFont="1">
      <alignment horizontal="left" readingOrder="0" shrinkToFit="0" vertical="center" wrapText="1"/>
    </xf>
    <xf borderId="0" fillId="0" fontId="71" numFmtId="0" xfId="0" applyAlignment="1" applyFont="1">
      <alignment horizontal="left" shrinkToFit="0" vertical="center" wrapText="1"/>
    </xf>
    <xf borderId="0" fillId="46" fontId="158" numFmtId="0" xfId="0" applyAlignment="1" applyFont="1">
      <alignment readingOrder="0" shrinkToFit="0" wrapText="1"/>
    </xf>
    <xf borderId="102" fillId="29" fontId="42" numFmtId="0" xfId="0" applyAlignment="1" applyBorder="1" applyFont="1">
      <alignment horizontal="center" readingOrder="0" shrinkToFit="0" vertical="center" wrapText="0"/>
    </xf>
    <xf borderId="101" fillId="29" fontId="42" numFmtId="0" xfId="0" applyAlignment="1" applyBorder="1" applyFont="1">
      <alignment horizontal="center" readingOrder="0" shrinkToFit="0" vertical="center" wrapText="0"/>
    </xf>
    <xf borderId="0" fillId="29" fontId="42" numFmtId="0" xfId="0" applyAlignment="1" applyFont="1">
      <alignment horizontal="center" readingOrder="0" shrinkToFit="0" vertical="center" wrapText="0"/>
    </xf>
    <xf borderId="0" fillId="29" fontId="42" numFmtId="10" xfId="0" applyAlignment="1" applyFont="1" applyNumberFormat="1">
      <alignment horizontal="center" readingOrder="0" shrinkToFit="0" vertical="center" wrapText="0"/>
    </xf>
    <xf borderId="20" fillId="9" fontId="16" numFmtId="4" xfId="0" applyAlignment="1" applyBorder="1" applyFont="1" applyNumberFormat="1">
      <alignment shrinkToFit="0" vertical="center" wrapText="0"/>
    </xf>
    <xf borderId="105" fillId="6" fontId="42" numFmtId="0" xfId="0" applyAlignment="1" applyBorder="1" applyFont="1">
      <alignment horizontal="center" readingOrder="0" shrinkToFit="0" vertical="center" wrapText="0"/>
    </xf>
    <xf borderId="102" fillId="6" fontId="42" numFmtId="4" xfId="0" applyAlignment="1" applyBorder="1" applyFont="1" applyNumberFormat="1">
      <alignment horizontal="center" readingOrder="0" shrinkToFit="0" vertical="center" wrapText="0"/>
    </xf>
    <xf borderId="102" fillId="6" fontId="42" numFmtId="0" xfId="0" applyAlignment="1" applyBorder="1" applyFont="1">
      <alignment horizontal="center" readingOrder="0" shrinkToFit="0" vertical="center" wrapText="0"/>
    </xf>
    <xf borderId="102" fillId="6" fontId="42" numFmtId="10" xfId="0" applyAlignment="1" applyBorder="1" applyFont="1" applyNumberFormat="1">
      <alignment horizontal="center" readingOrder="0" shrinkToFit="0" vertical="center" wrapText="0"/>
    </xf>
    <xf borderId="102" fillId="6" fontId="42" numFmtId="49" xfId="0" applyAlignment="1" applyBorder="1" applyFont="1" applyNumberFormat="1">
      <alignment horizontal="center" readingOrder="0" shrinkToFit="0" vertical="center" wrapText="0"/>
    </xf>
    <xf borderId="0" fillId="6" fontId="42" numFmtId="0" xfId="0" applyAlignment="1" applyFont="1">
      <alignment horizontal="center" readingOrder="0" shrinkToFit="0" vertical="center" wrapText="0"/>
    </xf>
    <xf borderId="0" fillId="0" fontId="32" numFmtId="0" xfId="0" applyAlignment="1" applyFont="1">
      <alignment horizontal="center" readingOrder="0" shrinkToFit="0" vertical="center" wrapText="0"/>
    </xf>
    <xf borderId="0" fillId="0" fontId="32" numFmtId="3" xfId="0" applyAlignment="1" applyFont="1" applyNumberFormat="1">
      <alignment horizontal="center" readingOrder="0" shrinkToFit="0" vertical="center" wrapText="0"/>
    </xf>
    <xf borderId="18" fillId="6" fontId="42" numFmtId="0" xfId="0" applyAlignment="1" applyBorder="1" applyFont="1">
      <alignment horizontal="center" shrinkToFit="0" vertical="center" wrapText="0"/>
    </xf>
    <xf borderId="32" fillId="6" fontId="42" numFmtId="0" xfId="0" applyAlignment="1" applyBorder="1" applyFont="1">
      <alignment horizontal="center" shrinkToFit="0" vertical="center" wrapText="0"/>
    </xf>
    <xf borderId="32" fillId="6" fontId="42" numFmtId="0" xfId="0" applyAlignment="1" applyBorder="1" applyFont="1">
      <alignment horizontal="center" readingOrder="0" shrinkToFit="0" vertical="center" wrapText="0"/>
    </xf>
    <xf borderId="32" fillId="6" fontId="42" numFmtId="184" xfId="0" applyAlignment="1" applyBorder="1" applyFont="1" applyNumberFormat="1">
      <alignment horizontal="center" shrinkToFit="0" vertical="center" wrapText="0"/>
    </xf>
    <xf borderId="32" fillId="6" fontId="42" numFmtId="2" xfId="0" applyAlignment="1" applyBorder="1" applyFont="1" applyNumberFormat="1">
      <alignment horizontal="center" shrinkToFit="0" vertical="center" wrapText="0"/>
    </xf>
    <xf borderId="14" fillId="6" fontId="42" numFmtId="0" xfId="0" applyAlignment="1" applyBorder="1" applyFont="1">
      <alignment horizontal="center" shrinkToFit="0" vertical="center" wrapText="0"/>
    </xf>
    <xf borderId="216" fillId="9" fontId="32" numFmtId="4" xfId="0" applyAlignment="1" applyBorder="1" applyFont="1" applyNumberFormat="1">
      <alignment shrinkToFit="0" vertical="center" wrapText="0"/>
    </xf>
    <xf borderId="18" fillId="6" fontId="42" numFmtId="4" xfId="0" applyAlignment="1" applyBorder="1" applyFont="1" applyNumberFormat="1">
      <alignment horizontal="center" shrinkToFit="0" vertical="center" wrapText="0"/>
    </xf>
    <xf borderId="32" fillId="6" fontId="42" numFmtId="4" xfId="0" applyAlignment="1" applyBorder="1" applyFont="1" applyNumberFormat="1">
      <alignment horizontal="center" shrinkToFit="0" vertical="center" wrapText="0"/>
    </xf>
    <xf borderId="32" fillId="6" fontId="42" numFmtId="10" xfId="0" applyAlignment="1" applyBorder="1" applyFont="1" applyNumberFormat="1">
      <alignment horizontal="center" shrinkToFit="0" vertical="center" wrapText="0"/>
    </xf>
    <xf borderId="32" fillId="6" fontId="42" numFmtId="10" xfId="0" applyAlignment="1" applyBorder="1" applyFont="1" applyNumberFormat="1">
      <alignment horizontal="center" readingOrder="0" shrinkToFit="0" vertical="center" wrapText="0"/>
    </xf>
    <xf borderId="32" fillId="6" fontId="42" numFmtId="168" xfId="0" applyAlignment="1" applyBorder="1" applyFont="1" applyNumberFormat="1">
      <alignment horizontal="center" shrinkToFit="0" vertical="center" wrapText="0"/>
    </xf>
    <xf borderId="32" fillId="6" fontId="42" numFmtId="185" xfId="0" applyAlignment="1" applyBorder="1" applyFont="1" applyNumberFormat="1">
      <alignment horizontal="center" shrinkToFit="0" vertical="center" wrapText="0"/>
    </xf>
    <xf borderId="33" fillId="30" fontId="42" numFmtId="0" xfId="0" applyAlignment="1" applyBorder="1" applyFont="1">
      <alignment horizontal="center" readingOrder="0" shrinkToFit="0" vertical="center" wrapText="1"/>
    </xf>
    <xf borderId="33" fillId="30" fontId="42" numFmtId="4" xfId="0" applyAlignment="1" applyBorder="1" applyFont="1" applyNumberFormat="1">
      <alignment horizontal="center" readingOrder="0" shrinkToFit="0" vertical="center" wrapText="1"/>
    </xf>
    <xf borderId="33" fillId="13" fontId="42" numFmtId="49" xfId="0" applyAlignment="1" applyBorder="1" applyFont="1" applyNumberFormat="1">
      <alignment horizontal="center" readingOrder="0" shrinkToFit="0" vertical="center" wrapText="1"/>
    </xf>
    <xf borderId="33" fillId="13" fontId="42" numFmtId="10" xfId="0" applyAlignment="1" applyBorder="1" applyFont="1" applyNumberFormat="1">
      <alignment horizontal="center" readingOrder="0" shrinkToFit="0" vertical="center" wrapText="1"/>
    </xf>
    <xf borderId="33" fillId="13" fontId="42" numFmtId="0" xfId="0" applyAlignment="1" applyBorder="1" applyFont="1">
      <alignment horizontal="center" readingOrder="0" shrinkToFit="0" vertical="center" wrapText="1"/>
    </xf>
    <xf borderId="33" fillId="13" fontId="42" numFmtId="169" xfId="0" applyAlignment="1" applyBorder="1" applyFont="1" applyNumberFormat="1">
      <alignment horizontal="center" readingOrder="0" shrinkToFit="0" vertical="center" wrapText="1"/>
    </xf>
    <xf borderId="13" fillId="13" fontId="42" numFmtId="0" xfId="0" applyAlignment="1" applyBorder="1" applyFont="1">
      <alignment horizontal="center" readingOrder="0" shrinkToFit="0" vertical="center" wrapText="1"/>
    </xf>
    <xf borderId="13" fillId="13" fontId="42" numFmtId="169" xfId="0" applyAlignment="1" applyBorder="1" applyFont="1" applyNumberFormat="1">
      <alignment horizontal="center" readingOrder="0" shrinkToFit="0" vertical="center" wrapText="1"/>
    </xf>
    <xf borderId="13" fillId="13" fontId="42" numFmtId="4" xfId="0" applyAlignment="1" applyBorder="1" applyFont="1" applyNumberFormat="1">
      <alignment horizontal="center" readingOrder="0" shrinkToFit="0" vertical="center" wrapText="1"/>
    </xf>
    <xf borderId="43" fillId="0" fontId="32" numFmtId="0" xfId="0" applyAlignment="1" applyBorder="1" applyFont="1">
      <alignment horizontal="center" readingOrder="0" shrinkToFit="0" vertical="center" wrapText="0"/>
    </xf>
    <xf borderId="43" fillId="0" fontId="32" numFmtId="4" xfId="0" applyAlignment="1" applyBorder="1" applyFont="1" applyNumberFormat="1">
      <alignment horizontal="center" readingOrder="0" shrinkToFit="0" vertical="center" wrapText="0"/>
    </xf>
    <xf borderId="43" fillId="0" fontId="32" numFmtId="4" xfId="0" applyAlignment="1" applyBorder="1" applyFont="1" applyNumberFormat="1">
      <alignment readingOrder="0" shrinkToFit="0" vertical="center" wrapText="0"/>
    </xf>
    <xf borderId="43" fillId="0" fontId="32" numFmtId="49" xfId="0" applyAlignment="1" applyBorder="1" applyFont="1" applyNumberFormat="1">
      <alignment horizontal="center" readingOrder="0" shrinkToFit="0" vertical="center" wrapText="0"/>
    </xf>
    <xf borderId="43" fillId="24" fontId="32" numFmtId="0" xfId="0" applyAlignment="1" applyBorder="1" applyFont="1">
      <alignment horizontal="center" readingOrder="0" shrinkToFit="0" vertical="center" wrapText="0"/>
    </xf>
    <xf borderId="43" fillId="24" fontId="32" numFmtId="4" xfId="0" applyAlignment="1" applyBorder="1" applyFont="1" applyNumberFormat="1">
      <alignment horizontal="center" readingOrder="0" shrinkToFit="0" vertical="center" wrapText="0"/>
    </xf>
    <xf borderId="43" fillId="38" fontId="32" numFmtId="2" xfId="0" applyAlignment="1" applyBorder="1" applyFont="1" applyNumberFormat="1">
      <alignment horizontal="center" readingOrder="0" shrinkToFit="0" vertical="center" wrapText="0"/>
    </xf>
    <xf borderId="43" fillId="10" fontId="32" numFmtId="2" xfId="0" applyAlignment="1" applyBorder="1" applyFont="1" applyNumberFormat="1">
      <alignment horizontal="center" readingOrder="0" shrinkToFit="0" vertical="center" wrapText="0"/>
    </xf>
    <xf borderId="43" fillId="4" fontId="32" numFmtId="2" xfId="0" applyAlignment="1" applyBorder="1" applyFont="1" applyNumberFormat="1">
      <alignment horizontal="center" readingOrder="0" shrinkToFit="0" vertical="center" wrapText="0"/>
    </xf>
    <xf borderId="43" fillId="4" fontId="32" numFmtId="10" xfId="0" applyAlignment="1" applyBorder="1" applyFont="1" applyNumberFormat="1">
      <alignment horizontal="center" readingOrder="0" shrinkToFit="0" vertical="center" wrapText="0"/>
    </xf>
    <xf borderId="163" fillId="4" fontId="32" numFmtId="4" xfId="0" applyAlignment="1" applyBorder="1" applyFont="1" applyNumberFormat="1">
      <alignment horizontal="center" readingOrder="0" shrinkToFit="0" vertical="center" wrapText="0"/>
    </xf>
    <xf borderId="163" fillId="28" fontId="32" numFmtId="2" xfId="0" applyAlignment="1" applyBorder="1" applyFont="1" applyNumberFormat="1">
      <alignment horizontal="center" readingOrder="0" shrinkToFit="0" vertical="center" wrapText="0"/>
    </xf>
    <xf borderId="43" fillId="0" fontId="32" numFmtId="10" xfId="0" applyAlignment="1" applyBorder="1" applyFont="1" applyNumberFormat="1">
      <alignment horizontal="center" readingOrder="0" shrinkToFit="0" vertical="center" wrapText="0"/>
    </xf>
    <xf borderId="23" fillId="9" fontId="2" numFmtId="4" xfId="0" applyAlignment="1" applyBorder="1" applyFont="1" applyNumberFormat="1">
      <alignment shrinkToFit="0" vertical="center" wrapText="0"/>
    </xf>
    <xf borderId="62" fillId="10" fontId="32" numFmtId="4" xfId="0" applyAlignment="1" applyBorder="1" applyFont="1" applyNumberFormat="1">
      <alignment horizontal="center" shrinkToFit="0" vertical="center" wrapText="0"/>
    </xf>
    <xf borderId="43" fillId="10" fontId="32" numFmtId="4" xfId="0" applyAlignment="1" applyBorder="1" applyFont="1" applyNumberFormat="1">
      <alignment horizontal="center" shrinkToFit="0" vertical="center" wrapText="0"/>
    </xf>
    <xf borderId="43" fillId="24" fontId="159" numFmtId="4" xfId="0" applyAlignment="1" applyBorder="1" applyFont="1" applyNumberFormat="1">
      <alignment horizontal="center" shrinkToFit="0" vertical="center" wrapText="0"/>
    </xf>
    <xf borderId="43" fillId="24" fontId="159" numFmtId="10" xfId="0" applyAlignment="1" applyBorder="1" applyFont="1" applyNumberFormat="1">
      <alignment horizontal="center" shrinkToFit="0" vertical="center" wrapText="0"/>
    </xf>
    <xf borderId="43" fillId="5" fontId="32" numFmtId="4" xfId="0" applyAlignment="1" applyBorder="1" applyFont="1" applyNumberFormat="1">
      <alignment horizontal="center" shrinkToFit="0" vertical="center" wrapText="0"/>
    </xf>
    <xf borderId="43" fillId="5" fontId="32" numFmtId="10" xfId="0" applyAlignment="1" applyBorder="1" applyFont="1" applyNumberFormat="1">
      <alignment horizontal="center" shrinkToFit="0" vertical="center" wrapText="0"/>
    </xf>
    <xf borderId="43" fillId="12" fontId="32" numFmtId="10" xfId="0" applyAlignment="1" applyBorder="1" applyFont="1" applyNumberFormat="1">
      <alignment horizontal="center" shrinkToFit="0" vertical="center" wrapText="0"/>
    </xf>
    <xf borderId="43" fillId="12" fontId="2" numFmtId="168" xfId="0" applyAlignment="1" applyBorder="1" applyFont="1" applyNumberFormat="1">
      <alignment shrinkToFit="0" vertical="center" wrapText="0"/>
    </xf>
    <xf borderId="43" fillId="0" fontId="32" numFmtId="168" xfId="0" applyAlignment="1" applyBorder="1" applyFont="1" applyNumberFormat="1">
      <alignment horizontal="center" shrinkToFit="0" vertical="center" wrapText="0"/>
    </xf>
    <xf borderId="43" fillId="12" fontId="32" numFmtId="185" xfId="0" applyAlignment="1" applyBorder="1" applyFont="1" applyNumberFormat="1">
      <alignment horizontal="center" shrinkToFit="0" vertical="center" wrapText="0"/>
    </xf>
    <xf borderId="43" fillId="12" fontId="32" numFmtId="4" xfId="0" applyAlignment="1" applyBorder="1" applyFont="1" applyNumberFormat="1">
      <alignment horizontal="center" shrinkToFit="0" vertical="center" wrapText="0"/>
    </xf>
    <xf borderId="43" fillId="12" fontId="32" numFmtId="0" xfId="0" applyAlignment="1" applyBorder="1" applyFont="1">
      <alignment horizontal="center" shrinkToFit="0" vertical="center" wrapText="0"/>
    </xf>
    <xf borderId="43" fillId="12" fontId="32" numFmtId="49" xfId="0" applyAlignment="1" applyBorder="1" applyFont="1" applyNumberFormat="1">
      <alignment horizontal="center" shrinkToFit="0" vertical="center" wrapText="0"/>
    </xf>
    <xf borderId="43" fillId="12" fontId="32" numFmtId="169" xfId="0" applyAlignment="1" applyBorder="1" applyFont="1" applyNumberFormat="1">
      <alignment horizontal="center" shrinkToFit="0" vertical="center" wrapText="0"/>
    </xf>
    <xf borderId="43" fillId="0" fontId="32" numFmtId="184" xfId="0" applyAlignment="1" applyBorder="1" applyFont="1" applyNumberFormat="1">
      <alignment horizontal="center" readingOrder="0" shrinkToFit="0" vertical="center" wrapText="0"/>
    </xf>
    <xf borderId="43" fillId="0" fontId="32" numFmtId="174" xfId="0" applyAlignment="1" applyBorder="1" applyFont="1" applyNumberFormat="1">
      <alignment horizontal="center" readingOrder="0" shrinkToFit="0" vertical="center" wrapText="0"/>
    </xf>
    <xf borderId="43" fillId="24" fontId="32" numFmtId="0" xfId="0" applyAlignment="1" applyBorder="1" applyFont="1">
      <alignment horizontal="center" readingOrder="0" shrinkToFit="0" vertical="center" wrapText="0"/>
    </xf>
    <xf borderId="43" fillId="0" fontId="32" numFmtId="0" xfId="0" applyAlignment="1" applyBorder="1" applyFont="1">
      <alignment horizontal="center" shrinkToFit="0" vertical="center" wrapText="0"/>
    </xf>
    <xf borderId="43" fillId="0" fontId="32" numFmtId="4" xfId="0" applyAlignment="1" applyBorder="1" applyFont="1" applyNumberFormat="1">
      <alignment horizontal="center" shrinkToFit="0" vertical="center" wrapText="0"/>
    </xf>
    <xf borderId="43" fillId="0" fontId="32" numFmtId="4" xfId="0" applyAlignment="1" applyBorder="1" applyFont="1" applyNumberFormat="1">
      <alignment shrinkToFit="0" vertical="center" wrapText="0"/>
    </xf>
    <xf borderId="43" fillId="0" fontId="32" numFmtId="184" xfId="0" applyAlignment="1" applyBorder="1" applyFont="1" applyNumberFormat="1">
      <alignment horizontal="center" shrinkToFit="0" vertical="center" wrapText="0"/>
    </xf>
    <xf borderId="43" fillId="24" fontId="32" numFmtId="0" xfId="0" applyAlignment="1" applyBorder="1" applyFont="1">
      <alignment horizontal="center" shrinkToFit="0" vertical="center" wrapText="0"/>
    </xf>
    <xf borderId="43" fillId="24" fontId="32" numFmtId="4" xfId="0" applyAlignment="1" applyBorder="1" applyFont="1" applyNumberFormat="1">
      <alignment horizontal="center" shrinkToFit="0" vertical="center" wrapText="0"/>
    </xf>
    <xf borderId="43" fillId="38" fontId="32" numFmtId="2" xfId="0" applyAlignment="1" applyBorder="1" applyFont="1" applyNumberFormat="1">
      <alignment horizontal="center" shrinkToFit="0" vertical="center" wrapText="0"/>
    </xf>
    <xf borderId="43" fillId="10" fontId="32" numFmtId="2" xfId="0" applyAlignment="1" applyBorder="1" applyFont="1" applyNumberFormat="1">
      <alignment horizontal="center" shrinkToFit="0" vertical="center" wrapText="0"/>
    </xf>
    <xf borderId="43" fillId="4" fontId="32" numFmtId="2" xfId="0" applyAlignment="1" applyBorder="1" applyFont="1" applyNumberFormat="1">
      <alignment horizontal="center" shrinkToFit="0" vertical="center" wrapText="0"/>
    </xf>
    <xf borderId="43" fillId="4" fontId="32" numFmtId="10" xfId="0" applyAlignment="1" applyBorder="1" applyFont="1" applyNumberFormat="1">
      <alignment horizontal="center" shrinkToFit="0" vertical="center" wrapText="0"/>
    </xf>
    <xf borderId="163" fillId="4" fontId="32" numFmtId="4" xfId="0" applyAlignment="1" applyBorder="1" applyFont="1" applyNumberFormat="1">
      <alignment horizontal="center" shrinkToFit="0" vertical="center" wrapText="0"/>
    </xf>
    <xf borderId="163" fillId="28" fontId="32" numFmtId="2" xfId="0" applyAlignment="1" applyBorder="1" applyFont="1" applyNumberFormat="1">
      <alignment horizontal="center" shrinkToFit="0" vertical="center" wrapText="0"/>
    </xf>
    <xf borderId="43" fillId="0" fontId="32" numFmtId="10" xfId="0" applyAlignment="1" applyBorder="1" applyFont="1" applyNumberFormat="1">
      <alignment horizontal="center" shrinkToFit="0" vertical="center" wrapText="0"/>
    </xf>
    <xf borderId="217" fillId="9" fontId="2" numFmtId="4" xfId="0" applyAlignment="1" applyBorder="1" applyFont="1" applyNumberFormat="1">
      <alignment shrinkToFit="0" vertical="center" wrapText="0"/>
    </xf>
    <xf borderId="0" fillId="9" fontId="32" numFmtId="0" xfId="0" applyAlignment="1" applyFont="1">
      <alignment shrinkToFit="0" vertical="center" wrapText="1"/>
    </xf>
    <xf borderId="0" fillId="0" fontId="32" numFmtId="10" xfId="0" applyAlignment="1" applyFont="1" applyNumberFormat="1">
      <alignment horizontal="center" readingOrder="0" shrinkToFit="0" vertical="center" wrapText="1"/>
    </xf>
    <xf borderId="18" fillId="6" fontId="42" numFmtId="0" xfId="0" applyAlignment="1" applyBorder="1" applyFont="1">
      <alignment horizontal="center" readingOrder="0" shrinkToFit="0" vertical="center" wrapText="0"/>
    </xf>
    <xf borderId="14" fillId="6" fontId="42" numFmtId="0" xfId="0" applyAlignment="1" applyBorder="1" applyFont="1">
      <alignment horizontal="center" readingOrder="0" shrinkToFit="0" vertical="center" wrapText="0"/>
    </xf>
    <xf borderId="0" fillId="6" fontId="42" numFmtId="0" xfId="0" applyAlignment="1" applyFont="1">
      <alignment horizontal="center" readingOrder="0" shrinkToFit="0" vertical="center" wrapText="0"/>
    </xf>
    <xf borderId="0" fillId="6" fontId="42" numFmtId="168" xfId="0" applyAlignment="1" applyFont="1" applyNumberFormat="1">
      <alignment horizontal="center" readingOrder="0" shrinkToFit="0" vertical="center" wrapText="0"/>
    </xf>
    <xf borderId="0" fillId="6" fontId="42" numFmtId="10" xfId="0" applyAlignment="1" applyFont="1" applyNumberFormat="1">
      <alignment horizontal="center" readingOrder="0" shrinkToFit="0" vertical="center" wrapText="0"/>
    </xf>
    <xf borderId="0" fillId="0" fontId="32" numFmtId="0" xfId="0" applyAlignment="1" applyFont="1">
      <alignment horizontal="center" readingOrder="0" shrinkToFit="0" vertical="center" wrapText="0"/>
    </xf>
    <xf borderId="0" fillId="0" fontId="32" numFmtId="10" xfId="0" applyAlignment="1" applyFont="1" applyNumberFormat="1">
      <alignment horizontal="center" shrinkToFit="0" vertical="center" wrapText="1"/>
    </xf>
    <xf borderId="0" fillId="0" fontId="32" numFmtId="0" xfId="0" applyAlignment="1" applyFont="1">
      <alignment horizontal="center" readingOrder="0" shrinkToFit="0" vertical="center" wrapText="1"/>
    </xf>
    <xf borderId="0" fillId="0" fontId="32" numFmtId="0" xfId="0" applyAlignment="1" applyFont="1">
      <alignment horizontal="center" shrinkToFit="0" vertical="center" wrapText="0"/>
    </xf>
    <xf borderId="28" fillId="6" fontId="41" numFmtId="0" xfId="0" applyAlignment="1" applyBorder="1" applyFont="1">
      <alignment horizontal="center" readingOrder="0" shrinkToFit="0" vertical="center" wrapText="0"/>
    </xf>
    <xf borderId="0" fillId="5" fontId="84" numFmtId="3" xfId="0" applyAlignment="1" applyFont="1" applyNumberFormat="1">
      <alignment horizontal="center" readingOrder="0" shrinkToFit="0" vertical="center" wrapText="0"/>
    </xf>
    <xf borderId="28" fillId="6" fontId="87" numFmtId="0" xfId="0" applyAlignment="1" applyBorder="1" applyFont="1">
      <alignment horizontal="center" readingOrder="0" shrinkToFit="0" vertical="center" wrapText="0"/>
    </xf>
    <xf borderId="0" fillId="5" fontId="160" numFmtId="0" xfId="0" applyAlignment="1" applyFont="1">
      <alignment horizontal="center" shrinkToFit="0" vertical="center" wrapText="0"/>
    </xf>
    <xf borderId="89" fillId="6" fontId="41" numFmtId="0" xfId="0" applyAlignment="1" applyBorder="1" applyFont="1">
      <alignment horizontal="center" readingOrder="0" shrinkToFit="0" vertical="center" wrapText="0"/>
    </xf>
    <xf borderId="0" fillId="5" fontId="84" numFmtId="0" xfId="0" applyAlignment="1" applyFont="1">
      <alignment horizontal="left" readingOrder="0" shrinkToFit="0" vertical="center" wrapText="0"/>
    </xf>
    <xf borderId="27" fillId="6" fontId="42" numFmtId="0" xfId="0" applyAlignment="1" applyBorder="1" applyFont="1">
      <alignment horizontal="center" readingOrder="0" shrinkToFit="0" vertical="center" wrapText="0"/>
    </xf>
    <xf borderId="27" fillId="6" fontId="42" numFmtId="1" xfId="0" applyAlignment="1" applyBorder="1" applyFont="1" applyNumberFormat="1">
      <alignment horizontal="center" readingOrder="0" shrinkToFit="0" vertical="center" wrapText="0"/>
    </xf>
    <xf borderId="28" fillId="6" fontId="42" numFmtId="0" xfId="0" applyAlignment="1" applyBorder="1" applyFont="1">
      <alignment horizontal="center" readingOrder="0" shrinkToFit="0" vertical="center" wrapText="0"/>
    </xf>
    <xf borderId="88" fillId="6" fontId="42" numFmtId="0" xfId="0" applyAlignment="1" applyBorder="1" applyFont="1">
      <alignment horizontal="center" readingOrder="0" shrinkToFit="0" vertical="center" wrapText="0"/>
    </xf>
    <xf borderId="40" fillId="6" fontId="42" numFmtId="0" xfId="0" applyAlignment="1" applyBorder="1" applyFont="1">
      <alignment horizontal="center" readingOrder="0" shrinkToFit="0" vertical="center" wrapText="0"/>
    </xf>
    <xf borderId="39" fillId="6" fontId="42" numFmtId="0" xfId="0" applyAlignment="1" applyBorder="1" applyFont="1">
      <alignment horizontal="center" readingOrder="0" shrinkToFit="0" vertical="center" wrapText="0"/>
    </xf>
    <xf borderId="27" fillId="0" fontId="84" numFmtId="2" xfId="0" applyAlignment="1" applyBorder="1" applyFont="1" applyNumberFormat="1">
      <alignment horizontal="left" readingOrder="0" shrinkToFit="0" vertical="center" wrapText="0"/>
    </xf>
    <xf borderId="1" fillId="6" fontId="42" numFmtId="0" xfId="0" applyAlignment="1" applyBorder="1" applyFont="1">
      <alignment horizontal="center" readingOrder="0" shrinkToFit="0" vertical="center" wrapText="1"/>
    </xf>
    <xf borderId="1" fillId="6" fontId="42" numFmtId="2" xfId="0" applyAlignment="1" applyBorder="1" applyFont="1" applyNumberFormat="1">
      <alignment horizontal="center" readingOrder="0" shrinkToFit="0" vertical="center" wrapText="1"/>
    </xf>
    <xf borderId="197" fillId="6" fontId="42" numFmtId="0" xfId="0" applyAlignment="1" applyBorder="1" applyFont="1">
      <alignment horizontal="center" readingOrder="0" shrinkToFit="0" vertical="center" wrapText="1"/>
    </xf>
    <xf borderId="0" fillId="5" fontId="84" numFmtId="3" xfId="0" applyAlignment="1" applyFont="1" applyNumberFormat="1">
      <alignment horizontal="center" readingOrder="0" shrinkToFit="0" vertical="center" wrapText="1"/>
    </xf>
    <xf borderId="45" fillId="6" fontId="42" numFmtId="0" xfId="0" applyAlignment="1" applyBorder="1" applyFont="1">
      <alignment horizontal="center" readingOrder="0" shrinkToFit="0" vertical="center" wrapText="1"/>
    </xf>
    <xf borderId="218" fillId="6" fontId="42" numFmtId="0" xfId="0" applyAlignment="1" applyBorder="1" applyFont="1">
      <alignment horizontal="center" readingOrder="0" shrinkToFit="0" vertical="center" wrapText="1"/>
    </xf>
    <xf borderId="197" fillId="6" fontId="42" numFmtId="2" xfId="0" applyAlignment="1" applyBorder="1" applyFont="1" applyNumberFormat="1">
      <alignment horizontal="center" readingOrder="0" shrinkToFit="0" vertical="center" wrapText="1"/>
    </xf>
    <xf borderId="0" fillId="5" fontId="160" numFmtId="0" xfId="0" applyAlignment="1" applyFont="1">
      <alignment horizontal="center" shrinkToFit="0" vertical="center" wrapText="1"/>
    </xf>
    <xf borderId="0" fillId="5" fontId="84" numFmtId="0" xfId="0" applyAlignment="1" applyFont="1">
      <alignment horizontal="left" readingOrder="0" shrinkToFit="0" vertical="center" wrapText="1"/>
    </xf>
    <xf borderId="27" fillId="0" fontId="84" numFmtId="0" xfId="0" applyAlignment="1" applyBorder="1" applyFont="1">
      <alignment horizontal="left" readingOrder="0" shrinkToFit="0" vertical="center" wrapText="0"/>
    </xf>
    <xf borderId="28" fillId="0" fontId="84" numFmtId="0" xfId="0" applyAlignment="1" applyBorder="1" applyFont="1">
      <alignment horizontal="center" shrinkToFit="0" vertical="center" wrapText="0"/>
    </xf>
    <xf borderId="28" fillId="0" fontId="161" numFmtId="0" xfId="0" applyAlignment="1" applyBorder="1" applyFont="1">
      <alignment horizontal="center" shrinkToFit="0" vertical="center" wrapText="0"/>
    </xf>
    <xf borderId="43" fillId="0" fontId="84" numFmtId="0" xfId="0" applyAlignment="1" applyBorder="1" applyFont="1">
      <alignment horizontal="center" shrinkToFit="0" vertical="center" wrapText="0"/>
    </xf>
    <xf borderId="43" fillId="0" fontId="84" numFmtId="174" xfId="0" applyAlignment="1" applyBorder="1" applyFont="1" applyNumberFormat="1">
      <alignment horizontal="center" shrinkToFit="0" vertical="center" wrapText="0"/>
    </xf>
    <xf borderId="40" fillId="0" fontId="84" numFmtId="0" xfId="0" applyAlignment="1" applyBorder="1" applyFont="1">
      <alignment horizontal="center" shrinkToFit="0" vertical="center" wrapText="0"/>
    </xf>
    <xf borderId="219" fillId="0" fontId="84" numFmtId="0" xfId="0" applyAlignment="1" applyBorder="1" applyFont="1">
      <alignment horizontal="center" readingOrder="0" shrinkToFit="0" vertical="center" wrapText="0"/>
    </xf>
    <xf borderId="43" fillId="0" fontId="162" numFmtId="0" xfId="0" applyAlignment="1" applyBorder="1" applyFont="1">
      <alignment horizontal="center" shrinkToFit="0" vertical="center" wrapText="0"/>
    </xf>
    <xf borderId="43" fillId="0" fontId="84" numFmtId="4" xfId="0" applyAlignment="1" applyBorder="1" applyFont="1" applyNumberFormat="1">
      <alignment horizontal="center" shrinkToFit="0" vertical="center" wrapText="0"/>
    </xf>
    <xf borderId="28" fillId="0" fontId="84" numFmtId="0" xfId="0" applyAlignment="1" applyBorder="1" applyFont="1">
      <alignment horizontal="center" readingOrder="0" shrinkToFit="0" vertical="center" wrapText="0"/>
    </xf>
    <xf borderId="27" fillId="0" fontId="84" numFmtId="0" xfId="0" applyAlignment="1" applyBorder="1" applyFont="1">
      <alignment horizontal="center" readingOrder="0" shrinkToFit="0" vertical="center" wrapText="0"/>
    </xf>
    <xf borderId="27" fillId="0" fontId="85" numFmtId="0" xfId="0" applyAlignment="1" applyBorder="1" applyFont="1">
      <alignment horizontal="center" shrinkToFit="0" vertical="center" wrapText="0"/>
    </xf>
    <xf borderId="27" fillId="0" fontId="84" numFmtId="176" xfId="0" applyAlignment="1" applyBorder="1" applyFont="1" applyNumberFormat="1">
      <alignment horizontal="left" readingOrder="0" shrinkToFit="0" vertical="center" wrapText="0"/>
    </xf>
    <xf borderId="0" fillId="5" fontId="160" numFmtId="0" xfId="0" applyAlignment="1" applyFont="1">
      <alignment horizontal="center" readingOrder="0" shrinkToFit="0" vertical="center" wrapText="0"/>
    </xf>
    <xf borderId="0" fillId="0" fontId="86" numFmtId="0" xfId="0" applyAlignment="1" applyFont="1">
      <alignment shrinkToFit="0" vertical="center" wrapText="1"/>
    </xf>
    <xf borderId="0" fillId="0" fontId="86" numFmtId="4" xfId="0" applyAlignment="1" applyFont="1" applyNumberFormat="1">
      <alignment shrinkToFit="0" vertical="center" wrapText="0"/>
    </xf>
    <xf borderId="219" fillId="0" fontId="84" numFmtId="0" xfId="0" applyAlignment="1" applyBorder="1" applyFont="1">
      <alignment horizontal="center" shrinkToFit="0" vertical="center" wrapText="0"/>
    </xf>
    <xf borderId="216" fillId="6" fontId="61" numFmtId="0" xfId="0" applyAlignment="1" applyBorder="1" applyFont="1">
      <alignment horizontal="center" shrinkToFit="0" wrapText="1"/>
    </xf>
    <xf borderId="33" fillId="6" fontId="61" numFmtId="0" xfId="0" applyAlignment="1" applyBorder="1" applyFont="1">
      <alignment horizontal="center" readingOrder="0" shrinkToFit="0" vertical="center" wrapText="0"/>
    </xf>
    <xf borderId="34" fillId="6" fontId="61" numFmtId="0" xfId="0" applyAlignment="1" applyBorder="1" applyFont="1">
      <alignment horizontal="center" readingOrder="0" shrinkToFit="0" vertical="center" wrapText="1"/>
    </xf>
    <xf borderId="34" fillId="13" fontId="61" numFmtId="0" xfId="0" applyAlignment="1" applyBorder="1" applyFont="1">
      <alignment horizontal="center" readingOrder="0" shrinkToFit="0" vertical="center" wrapText="1"/>
    </xf>
    <xf borderId="34" fillId="29" fontId="61" numFmtId="0" xfId="0" applyAlignment="1" applyBorder="1" applyFont="1">
      <alignment horizontal="center" readingOrder="0" shrinkToFit="0" vertical="center" wrapText="1"/>
    </xf>
    <xf borderId="0" fillId="0" fontId="51" numFmtId="0" xfId="0" applyAlignment="1" applyFont="1">
      <alignment horizontal="center" shrinkToFit="0" wrapText="1"/>
    </xf>
    <xf borderId="0" fillId="5" fontId="51" numFmtId="4" xfId="0" applyAlignment="1" applyFont="1" applyNumberFormat="1">
      <alignment horizontal="center" shrinkToFit="0" vertical="center" wrapText="1"/>
    </xf>
    <xf borderId="0" fillId="38" fontId="51" numFmtId="4" xfId="0" applyAlignment="1" applyFont="1" applyNumberFormat="1">
      <alignment horizontal="center" shrinkToFit="0" vertical="center" wrapText="1"/>
    </xf>
    <xf borderId="0" fillId="24" fontId="51" numFmtId="10" xfId="0" applyAlignment="1" applyFont="1" applyNumberFormat="1">
      <alignment horizontal="center" shrinkToFit="0" vertical="center" wrapText="1"/>
    </xf>
    <xf borderId="0" fillId="24" fontId="51" numFmtId="10" xfId="0" applyAlignment="1" applyFont="1" applyNumberFormat="1">
      <alignment horizontal="center" readingOrder="0" shrinkToFit="0" vertical="center" wrapText="1"/>
    </xf>
    <xf borderId="0" fillId="0" fontId="25" numFmtId="186" xfId="0" applyAlignment="1" applyFont="1" applyNumberFormat="1">
      <alignment horizontal="center" readingOrder="0" shrinkToFit="0" vertical="center" wrapText="1"/>
    </xf>
    <xf borderId="0" fillId="0" fontId="32" numFmtId="0" xfId="0" applyAlignment="1" applyFont="1">
      <alignment horizontal="center" shrinkToFit="0" vertical="center" wrapText="1"/>
    </xf>
    <xf borderId="0" fillId="0" fontId="32" numFmtId="186" xfId="0" applyAlignment="1" applyFont="1" applyNumberFormat="1">
      <alignment horizontal="center" readingOrder="0" shrinkToFit="0" vertical="center" wrapText="1"/>
    </xf>
  </cellXfs>
  <cellStyles count="1">
    <cellStyle xfId="0" name="Normal" builtinId="0"/>
  </cellStyles>
  <dxfs count="89">
    <dxf>
      <font>
        <color rgb="FFFFFFFF"/>
      </font>
      <fill>
        <patternFill patternType="solid">
          <fgColor rgb="FFCC0000"/>
          <bgColor rgb="FFCC0000"/>
        </patternFill>
      </fill>
      <border/>
    </dxf>
    <dxf>
      <font>
        <color rgb="FFFFFFFF"/>
      </font>
      <fill>
        <patternFill patternType="solid">
          <fgColor rgb="FFFF0000"/>
          <bgColor rgb="FFFF0000"/>
        </patternFill>
      </fill>
      <border/>
    </dxf>
    <dxf>
      <font>
        <color rgb="FFFF0000"/>
      </font>
      <fill>
        <patternFill patternType="none"/>
      </fill>
      <border/>
    </dxf>
    <dxf>
      <font>
        <color rgb="FF0000FF"/>
      </font>
      <fill>
        <patternFill patternType="none"/>
      </fill>
      <border/>
    </dxf>
    <dxf>
      <font/>
      <fill>
        <patternFill patternType="solid">
          <fgColor rgb="FFEFEFEF"/>
          <bgColor rgb="FFEFEFEF"/>
        </patternFill>
      </fill>
      <border/>
    </dxf>
    <dxf>
      <font>
        <color rgb="FFFFFFFF"/>
      </font>
      <fill>
        <patternFill patternType="solid">
          <fgColor rgb="FF666666"/>
          <bgColor rgb="FF666666"/>
        </patternFill>
      </fill>
      <border/>
    </dxf>
    <dxf>
      <font>
        <color rgb="FFFFFFFF"/>
      </font>
      <fill>
        <patternFill patternType="solid">
          <fgColor rgb="FFFF9900"/>
          <bgColor rgb="FFFF9900"/>
        </patternFill>
      </fill>
      <border/>
    </dxf>
    <dxf>
      <font>
        <color rgb="FFFF0000"/>
      </font>
      <fill>
        <patternFill patternType="solid">
          <fgColor rgb="FFEFEFEF"/>
          <bgColor rgb="FFEFEFEF"/>
        </patternFill>
      </fill>
      <border/>
    </dxf>
    <dxf>
      <font>
        <b/>
        <color rgb="FF1C4587"/>
      </font>
      <fill>
        <patternFill patternType="solid">
          <fgColor rgb="FFEFEFEF"/>
          <bgColor rgb="FFEFEFEF"/>
        </patternFill>
      </fill>
      <border/>
    </dxf>
    <dxf>
      <font>
        <color rgb="FFFF0000"/>
      </font>
      <fill>
        <patternFill patternType="solid">
          <fgColor rgb="FFB7B7B7"/>
          <bgColor rgb="FFB7B7B7"/>
        </patternFill>
      </fill>
      <border/>
    </dxf>
    <dxf>
      <font>
        <b/>
        <color rgb="FF1C4587"/>
      </font>
      <fill>
        <patternFill patternType="solid">
          <fgColor rgb="FFB7B7B7"/>
          <bgColor rgb="FFB7B7B7"/>
        </patternFill>
      </fill>
      <border/>
    </dxf>
    <dxf>
      <font>
        <color rgb="FFFFFFFF"/>
      </font>
      <fill>
        <patternFill patternType="solid">
          <fgColor rgb="FFFFFFFF"/>
          <bgColor rgb="FFFFFFFF"/>
        </patternFill>
      </fill>
      <border/>
    </dxf>
    <dxf>
      <font>
        <b/>
        <color rgb="FFFFFFFF"/>
      </font>
      <fill>
        <patternFill patternType="solid">
          <fgColor rgb="FFFF0000"/>
          <bgColor rgb="FFFF0000"/>
        </patternFill>
      </fill>
      <border/>
    </dxf>
    <dxf>
      <font>
        <b/>
        <color rgb="FFFF0000"/>
      </font>
      <fill>
        <patternFill patternType="solid">
          <fgColor rgb="FFFFFFFF"/>
          <bgColor rgb="FFFFFFFF"/>
        </patternFill>
      </fill>
      <border/>
    </dxf>
    <dxf>
      <font>
        <color rgb="FFFF0000"/>
      </font>
      <fill>
        <patternFill patternType="solid">
          <fgColor rgb="FFFFFFFF"/>
          <bgColor rgb="FFFFFFFF"/>
        </patternFill>
      </fill>
      <border/>
    </dxf>
    <dxf>
      <font>
        <b/>
        <color rgb="FF1155CC"/>
      </font>
      <fill>
        <patternFill patternType="solid">
          <fgColor rgb="FFFFFFFF"/>
          <bgColor rgb="FFFFFFFF"/>
        </patternFill>
      </fill>
      <border/>
    </dxf>
    <dxf>
      <font/>
      <fill>
        <patternFill patternType="solid">
          <fgColor rgb="FFD0E0E3"/>
          <bgColor rgb="FFD0E0E3"/>
        </patternFill>
      </fill>
      <border/>
    </dxf>
    <dxf>
      <font/>
      <fill>
        <patternFill patternType="solid">
          <fgColor rgb="FFA2C4C9"/>
          <bgColor rgb="FFA2C4C9"/>
        </patternFill>
      </fill>
      <border/>
    </dxf>
    <dxf>
      <font>
        <color rgb="FF000000"/>
      </font>
      <fill>
        <patternFill patternType="solid">
          <fgColor rgb="FF76A5AF"/>
          <bgColor rgb="FF76A5AF"/>
        </patternFill>
      </fill>
      <border/>
    </dxf>
    <dxf>
      <font>
        <b/>
        <color rgb="FF38761D"/>
      </font>
      <fill>
        <patternFill patternType="none"/>
      </fill>
      <border/>
    </dxf>
    <dxf>
      <font>
        <b/>
        <color rgb="FF85200C"/>
      </font>
      <fill>
        <patternFill patternType="none"/>
      </fill>
      <border/>
    </dxf>
    <dxf>
      <font/>
      <fill>
        <patternFill patternType="none"/>
      </fill>
      <border/>
    </dxf>
    <dxf>
      <font>
        <b/>
        <color rgb="FF1155CC"/>
      </font>
      <fill>
        <patternFill patternType="none"/>
      </fill>
      <border/>
    </dxf>
    <dxf>
      <font>
        <b/>
        <color rgb="FFFF0000"/>
      </font>
      <fill>
        <patternFill patternType="none"/>
      </fill>
      <border/>
    </dxf>
    <dxf>
      <font>
        <b/>
        <color rgb="FFFF0000"/>
      </font>
      <fill>
        <patternFill patternType="solid">
          <fgColor rgb="FFEFEFEF"/>
          <bgColor rgb="FFEFEFEF"/>
        </patternFill>
      </fill>
      <border/>
    </dxf>
    <dxf>
      <font>
        <color rgb="FFFFFFFF"/>
      </font>
      <fill>
        <patternFill patternType="solid">
          <fgColor rgb="FF999999"/>
          <bgColor rgb="FF999999"/>
        </patternFill>
      </fill>
      <border/>
    </dxf>
    <dxf>
      <font>
        <b/>
        <color rgb="FF0000FF"/>
      </font>
      <fill>
        <patternFill patternType="solid">
          <fgColor rgb="FFB7B7B7"/>
          <bgColor rgb="FFB7B7B7"/>
        </patternFill>
      </fill>
      <border/>
    </dxf>
    <dxf>
      <font>
        <color rgb="FFFFFFFF"/>
      </font>
      <fill>
        <patternFill patternType="solid">
          <fgColor rgb="FF980000"/>
          <bgColor rgb="FF980000"/>
        </patternFill>
      </fill>
      <border/>
    </dxf>
    <dxf>
      <font>
        <color rgb="FFFFFFFF"/>
      </font>
      <fill>
        <patternFill patternType="solid">
          <fgColor rgb="FF1155CC"/>
          <bgColor rgb="FF1155CC"/>
        </patternFill>
      </fill>
      <border/>
    </dxf>
    <dxf>
      <font>
        <color rgb="FFFF9900"/>
      </font>
      <fill>
        <patternFill patternType="solid">
          <fgColor rgb="FF1155CC"/>
          <bgColor rgb="FF1155CC"/>
        </patternFill>
      </fill>
      <border/>
    </dxf>
    <dxf>
      <font>
        <b/>
        <color rgb="FF000000"/>
      </font>
      <fill>
        <patternFill patternType="solid">
          <fgColor rgb="FFB7B7B7"/>
          <bgColor rgb="FFB7B7B7"/>
        </patternFill>
      </fill>
      <border/>
    </dxf>
    <dxf>
      <font>
        <b/>
        <color rgb="FF2F5496"/>
      </font>
      <fill>
        <patternFill patternType="solid">
          <fgColor rgb="FFB7B7B7"/>
          <bgColor rgb="FFB7B7B7"/>
        </patternFill>
      </fill>
      <border/>
    </dxf>
    <dxf>
      <font>
        <b/>
        <color rgb="FF2F5496"/>
      </font>
      <fill>
        <patternFill patternType="solid">
          <fgColor rgb="FFEFEFEF"/>
          <bgColor rgb="FFEFEFEF"/>
        </patternFill>
      </fill>
      <border/>
    </dxf>
    <dxf>
      <font>
        <color rgb="FFFFFFFF"/>
      </font>
      <fill>
        <patternFill patternType="solid">
          <fgColor rgb="FF1F3864"/>
          <bgColor rgb="FF1F3864"/>
        </patternFill>
      </fill>
      <border/>
    </dxf>
    <dxf>
      <font>
        <strike/>
        <color rgb="FF000000"/>
      </font>
      <fill>
        <patternFill patternType="solid">
          <fgColor rgb="FFFFFF99"/>
          <bgColor rgb="FFFFFF99"/>
        </patternFill>
      </fill>
      <border/>
    </dxf>
    <dxf>
      <font>
        <color rgb="FF000000"/>
      </font>
      <fill>
        <patternFill patternType="solid">
          <fgColor rgb="FFB7B7B7"/>
          <bgColor rgb="FFB7B7B7"/>
        </patternFill>
      </fill>
      <border/>
    </dxf>
    <dxf>
      <font>
        <color rgb="FFFF0000"/>
      </font>
      <fill>
        <patternFill patternType="solid">
          <fgColor rgb="FFD9D9D9"/>
          <bgColor rgb="FFD9D9D9"/>
        </patternFill>
      </fill>
      <border/>
    </dxf>
    <dxf>
      <font>
        <color rgb="FF2F5496"/>
      </font>
      <fill>
        <patternFill patternType="solid">
          <fgColor rgb="FFD9D9D9"/>
          <bgColor rgb="FFD9D9D9"/>
        </patternFill>
      </fill>
      <border/>
    </dxf>
    <dxf>
      <font>
        <color rgb="FF000000"/>
      </font>
      <fill>
        <patternFill patternType="solid">
          <fgColor rgb="FF000000"/>
          <bgColor rgb="FF000000"/>
        </patternFill>
      </fill>
      <border/>
    </dxf>
    <dxf>
      <font>
        <color rgb="FF2F5496"/>
      </font>
      <fill>
        <patternFill patternType="solid">
          <fgColor rgb="FFB7B7B7"/>
          <bgColor rgb="FFB7B7B7"/>
        </patternFill>
      </fill>
      <border/>
    </dxf>
    <dxf>
      <font>
        <color rgb="FFEFEFEF"/>
      </font>
      <fill>
        <patternFill patternType="solid">
          <fgColor rgb="FFEFEFEF"/>
          <bgColor rgb="FFEFEFEF"/>
        </patternFill>
      </fill>
      <border/>
    </dxf>
    <dxf>
      <font>
        <color rgb="FFFF9900"/>
      </font>
      <fill>
        <patternFill patternType="solid">
          <fgColor rgb="FF666666"/>
          <bgColor rgb="FF666666"/>
        </patternFill>
      </fill>
      <border/>
    </dxf>
    <dxf>
      <font>
        <color rgb="FFFFFFFF"/>
      </font>
      <fill>
        <patternFill patternType="solid">
          <fgColor rgb="FF000000"/>
          <bgColor rgb="FF000000"/>
        </patternFill>
      </fill>
      <border/>
    </dxf>
    <dxf>
      <font>
        <color rgb="FFFFFFFF"/>
      </font>
      <fill>
        <patternFill patternType="solid">
          <fgColor rgb="FFF1C232"/>
          <bgColor rgb="FFF1C232"/>
        </patternFill>
      </fill>
      <border/>
    </dxf>
    <dxf>
      <font>
        <color rgb="FFFFFFFF"/>
      </font>
      <fill>
        <patternFill patternType="solid">
          <fgColor rgb="FF5B0F00"/>
          <bgColor rgb="FF5B0F00"/>
        </patternFill>
      </fill>
      <border/>
    </dxf>
    <dxf>
      <font>
        <color rgb="FFFFFFFF"/>
      </font>
      <fill>
        <patternFill patternType="solid">
          <fgColor rgb="FF9900FF"/>
          <bgColor rgb="FF9900FF"/>
        </patternFill>
      </fill>
      <border/>
    </dxf>
    <dxf>
      <font>
        <color rgb="FFFFFFFF"/>
      </font>
      <fill>
        <patternFill patternType="solid">
          <fgColor rgb="FF2F5496"/>
          <bgColor rgb="FF2F5496"/>
        </patternFill>
      </fill>
      <border/>
    </dxf>
    <dxf>
      <font>
        <color rgb="FFB7B7B7"/>
      </font>
      <fill>
        <patternFill patternType="solid">
          <fgColor rgb="FFD9D9D9"/>
          <bgColor rgb="FFD9D9D9"/>
        </patternFill>
      </fill>
      <border/>
    </dxf>
    <dxf>
      <font>
        <color rgb="FFFF0000"/>
      </font>
      <fill>
        <patternFill patternType="solid">
          <fgColor rgb="FFD8D8D8"/>
          <bgColor rgb="FFD8D8D8"/>
        </patternFill>
      </fill>
      <border/>
    </dxf>
    <dxf>
      <font>
        <color rgb="FF0000FF"/>
      </font>
      <fill>
        <patternFill patternType="solid">
          <fgColor rgb="FFFFFF99"/>
          <bgColor rgb="FFFFFF99"/>
        </patternFill>
      </fill>
      <border/>
    </dxf>
    <dxf>
      <font>
        <color rgb="FFFF0000"/>
      </font>
      <fill>
        <patternFill patternType="solid">
          <fgColor rgb="FFFFFF99"/>
          <bgColor rgb="FFFFFF99"/>
        </patternFill>
      </fill>
      <border/>
    </dxf>
    <dxf>
      <font>
        <color rgb="FF0000FF"/>
      </font>
      <fill>
        <patternFill patternType="solid">
          <fgColor rgb="FFD9D9D9"/>
          <bgColor rgb="FFD9D9D9"/>
        </patternFill>
      </fill>
      <border/>
    </dxf>
    <dxf>
      <font>
        <color rgb="FFFFFFFF"/>
      </font>
      <fill>
        <patternFill patternType="solid">
          <fgColor rgb="FF274E13"/>
          <bgColor rgb="FF274E13"/>
        </patternFill>
      </fill>
      <border/>
    </dxf>
    <dxf>
      <font>
        <color rgb="FF0D0D0D"/>
      </font>
      <fill>
        <patternFill patternType="solid">
          <fgColor rgb="FFFFFF00"/>
          <bgColor rgb="FFFFFF00"/>
        </patternFill>
      </fill>
      <border/>
    </dxf>
    <dxf>
      <font>
        <color rgb="FF000000"/>
      </font>
      <fill>
        <patternFill patternType="solid">
          <fgColor rgb="FF999999"/>
          <bgColor rgb="FF999999"/>
        </patternFill>
      </fill>
      <border/>
    </dxf>
    <dxf>
      <font>
        <color rgb="FF000000"/>
      </font>
      <fill>
        <patternFill patternType="solid">
          <fgColor rgb="FFFFFF00"/>
          <bgColor rgb="FFFFFF00"/>
        </patternFill>
      </fill>
      <border/>
    </dxf>
    <dxf>
      <font>
        <color rgb="FF434343"/>
      </font>
      <fill>
        <patternFill patternType="solid">
          <fgColor rgb="FFD9D9D9"/>
          <bgColor rgb="FFD9D9D9"/>
        </patternFill>
      </fill>
      <border/>
    </dxf>
    <dxf>
      <font>
        <color rgb="FF000000"/>
      </font>
      <fill>
        <patternFill patternType="solid">
          <fgColor rgb="FFD9D9D9"/>
          <bgColor rgb="FFD9D9D9"/>
        </patternFill>
      </fill>
      <border/>
    </dxf>
    <dxf>
      <font>
        <color rgb="FF0D0D0D"/>
      </font>
      <fill>
        <patternFill patternType="solid">
          <fgColor rgb="FFD9D9D9"/>
          <bgColor rgb="FFD9D9D9"/>
        </patternFill>
      </fill>
      <border/>
    </dxf>
    <dxf>
      <font>
        <color rgb="FF999999"/>
      </font>
      <fill>
        <patternFill patternType="solid">
          <fgColor rgb="FFFFFFFF"/>
          <bgColor rgb="FFFFFFFF"/>
        </patternFill>
      </fill>
      <border/>
    </dxf>
    <dxf>
      <font>
        <b/>
        <color rgb="FFCC0000"/>
      </font>
      <fill>
        <patternFill patternType="solid">
          <fgColor rgb="FFFFFFFF"/>
          <bgColor rgb="FFFFFFFF"/>
        </patternFill>
      </fill>
      <border/>
    </dxf>
    <dxf>
      <font>
        <b/>
        <color rgb="FFFFFFFF"/>
      </font>
      <fill>
        <patternFill patternType="solid">
          <fgColor rgb="FFCC0000"/>
          <bgColor rgb="FFCC0000"/>
        </patternFill>
      </fill>
      <border/>
    </dxf>
    <dxf>
      <font>
        <b/>
        <color rgb="FFFFFFFF"/>
      </font>
      <fill>
        <patternFill patternType="solid">
          <fgColor rgb="FFE69138"/>
          <bgColor rgb="FFE69138"/>
        </patternFill>
      </fill>
      <border/>
    </dxf>
    <dxf>
      <font>
        <b/>
        <color rgb="FF7F6000"/>
      </font>
      <fill>
        <patternFill patternType="solid">
          <fgColor rgb="FF93C47D"/>
          <bgColor rgb="FF93C47D"/>
        </patternFill>
      </fill>
      <border/>
    </dxf>
    <dxf>
      <font>
        <b/>
        <color rgb="FFFFE599"/>
      </font>
      <fill>
        <patternFill patternType="solid">
          <fgColor rgb="FF38761D"/>
          <bgColor rgb="FF38761D"/>
        </patternFill>
      </fill>
      <border/>
    </dxf>
    <dxf>
      <font>
        <color rgb="FF0000FF"/>
      </font>
      <fill>
        <patternFill patternType="solid">
          <fgColor rgb="FFFFFFFF"/>
          <bgColor rgb="FFFFFFFF"/>
        </patternFill>
      </fill>
      <border/>
    </dxf>
    <dxf>
      <font>
        <color rgb="FFCCCCCC"/>
      </font>
      <fill>
        <patternFill patternType="solid">
          <fgColor rgb="FFFFFFFF"/>
          <bgColor rgb="FFFFFFFF"/>
        </patternFill>
      </fill>
      <border/>
    </dxf>
    <dxf>
      <font>
        <b/>
        <color rgb="FF0000FF"/>
      </font>
      <fill>
        <patternFill patternType="solid">
          <fgColor rgb="FFFFFFFF"/>
          <bgColor rgb="FFFFFFFF"/>
        </patternFill>
      </fill>
      <border/>
    </dxf>
    <dxf>
      <font>
        <color rgb="FF0D0D0D"/>
      </font>
      <fill>
        <patternFill patternType="solid">
          <fgColor rgb="FFA2C4C9"/>
          <bgColor rgb="FFA2C4C9"/>
        </patternFill>
      </fill>
      <border/>
    </dxf>
    <dxf>
      <font>
        <color rgb="FF0D0D0D"/>
      </font>
      <fill>
        <patternFill patternType="solid">
          <fgColor rgb="FF76A5AF"/>
          <bgColor rgb="FF76A5AF"/>
        </patternFill>
      </fill>
      <border/>
    </dxf>
    <dxf>
      <font>
        <color rgb="FF000000"/>
      </font>
      <fill>
        <patternFill patternType="solid">
          <fgColor rgb="FFB7E1CD"/>
          <bgColor rgb="FFB7E1CD"/>
        </patternFill>
      </fill>
      <border/>
    </dxf>
    <dxf>
      <font>
        <color rgb="FF0D0D0D"/>
      </font>
      <fill>
        <patternFill patternType="solid">
          <fgColor rgb="FFD0E0E3"/>
          <bgColor rgb="FFD0E0E3"/>
        </patternFill>
      </fill>
      <border/>
    </dxf>
    <dxf>
      <font>
        <color rgb="FFF3F3F3"/>
      </font>
      <fill>
        <patternFill patternType="solid">
          <fgColor rgb="FFF3F3F3"/>
          <bgColor rgb="FFF3F3F3"/>
        </patternFill>
      </fill>
      <border/>
    </dxf>
    <dxf>
      <font>
        <b/>
        <color rgb="FFA61C00"/>
      </font>
      <fill>
        <patternFill patternType="solid">
          <fgColor rgb="FFFFFFFF"/>
          <bgColor rgb="FFFFFFFF"/>
        </patternFill>
      </fill>
      <border/>
    </dxf>
    <dxf>
      <font>
        <color rgb="FFCC0000"/>
      </font>
      <fill>
        <patternFill patternType="solid">
          <fgColor rgb="FFFFFFFF"/>
          <bgColor rgb="FFFFFFFF"/>
        </patternFill>
      </fill>
      <border/>
    </dxf>
    <dxf>
      <font>
        <b/>
        <color rgb="FFE69138"/>
      </font>
      <fill>
        <patternFill patternType="solid">
          <fgColor rgb="FFFFFFFF"/>
          <bgColor rgb="FFFFFFFF"/>
        </patternFill>
      </fill>
      <border/>
    </dxf>
    <dxf>
      <font>
        <color rgb="FFF1C232"/>
      </font>
      <fill>
        <patternFill patternType="solid">
          <fgColor rgb="FFFFFFFF"/>
          <bgColor rgb="FFFFFFFF"/>
        </patternFill>
      </fill>
      <border/>
    </dxf>
    <dxf>
      <font>
        <b/>
        <color rgb="FF6AA84F"/>
      </font>
      <fill>
        <patternFill patternType="solid">
          <fgColor rgb="FFFFFFFF"/>
          <bgColor rgb="FFFFFFFF"/>
        </patternFill>
      </fill>
      <border/>
    </dxf>
    <dxf>
      <font/>
      <fill>
        <patternFill patternType="solid">
          <fgColor rgb="FFFCE5CD"/>
          <bgColor rgb="FFFCE5CD"/>
        </patternFill>
      </fill>
      <border/>
    </dxf>
    <dxf>
      <font>
        <b/>
        <color rgb="FF000000"/>
      </font>
      <fill>
        <patternFill patternType="solid">
          <fgColor rgb="FFFFFFFF"/>
          <bgColor rgb="FFFFFFFF"/>
        </patternFill>
      </fill>
      <border/>
    </dxf>
    <dxf>
      <font>
        <b/>
        <color rgb="FFFF9900"/>
      </font>
      <fill>
        <patternFill patternType="solid">
          <fgColor rgb="FF1155CC"/>
          <bgColor rgb="FF1155CC"/>
        </patternFill>
      </fill>
      <border/>
    </dxf>
    <dxf>
      <font>
        <color rgb="FF0000FF"/>
      </font>
      <fill>
        <patternFill patternType="solid">
          <fgColor rgb="FFEFEFEF"/>
          <bgColor rgb="FFEFEFEF"/>
        </patternFill>
      </fill>
      <border/>
    </dxf>
    <dxf>
      <font/>
      <fill>
        <patternFill patternType="solid">
          <fgColor rgb="FFCC0000"/>
          <bgColor rgb="FFCC0000"/>
        </patternFill>
      </fill>
      <border/>
    </dxf>
    <dxf>
      <font>
        <color rgb="FF999999"/>
      </font>
      <fill>
        <patternFill patternType="none"/>
      </fill>
      <border/>
    </dxf>
    <dxf>
      <font>
        <b/>
        <color rgb="FFD9D9D9"/>
      </font>
      <fill>
        <patternFill patternType="solid">
          <fgColor rgb="FFEFEFEF"/>
          <bgColor rgb="FFEFEFEF"/>
        </patternFill>
      </fill>
      <border/>
    </dxf>
    <dxf>
      <font>
        <b/>
        <color rgb="FFEFEFEF"/>
      </font>
      <fill>
        <patternFill patternType="solid">
          <fgColor rgb="FFEFEFEF"/>
          <bgColor rgb="FFEFEFEF"/>
        </patternFill>
      </fill>
      <border/>
    </dxf>
    <dxf>
      <font>
        <color rgb="FFB7B7B7"/>
      </font>
      <fill>
        <patternFill patternType="solid">
          <fgColor rgb="FFEFEFEF"/>
          <bgColor rgb="FFEFEFEF"/>
        </patternFill>
      </fill>
      <border/>
    </dxf>
    <dxf>
      <font>
        <color rgb="FFFFFFFF"/>
      </font>
      <fill>
        <patternFill patternType="solid">
          <fgColor rgb="FF93C47D"/>
          <bgColor rgb="FF93C47D"/>
        </patternFill>
      </fill>
      <border/>
    </dxf>
    <dxf>
      <font>
        <strike/>
        <color rgb="FF000000"/>
      </font>
      <fill>
        <patternFill patternType="solid">
          <fgColor rgb="FFEFEFEF"/>
          <bgColor rgb="FFEFEFEF"/>
        </patternFill>
      </fill>
      <border/>
    </dxf>
  </dxfs>
</styleSheet>
</file>

<file path=xl/_rels/workbook.xml.rels><?xml version="1.0" encoding="UTF-8" standalone="yes"?><Relationships xmlns="http://schemas.openxmlformats.org/package/2006/relationships"><Relationship Id="rId20" Type="http://schemas.openxmlformats.org/officeDocument/2006/relationships/worksheet" Target="worksheets/sheet17.xml"/><Relationship Id="rId22" Type="http://schemas.openxmlformats.org/officeDocument/2006/relationships/worksheet" Target="worksheets/sheet19.xml"/><Relationship Id="rId21" Type="http://schemas.openxmlformats.org/officeDocument/2006/relationships/worksheet" Target="worksheets/sheet18.xml"/><Relationship Id="rId24" Type="http://schemas.openxmlformats.org/officeDocument/2006/relationships/worksheet" Target="worksheets/sheet21.xml"/><Relationship Id="rId23" Type="http://schemas.openxmlformats.org/officeDocument/2006/relationships/worksheet" Target="worksheets/sheet20.xml"/><Relationship Id="rId1" Type="http://schemas.openxmlformats.org/officeDocument/2006/relationships/styles" Target="styles.xml"/><Relationship Id="rId2" Type="http://schemas.openxmlformats.org/officeDocument/2006/relationships/sharedStrings" Target="sharedStrings.xml"/><Relationship Id="rId3" Type="http://schemas.microsoft.com/office/2017/10/relationships/person" Target="persons/person.xml"/><Relationship Id="rId4" Type="http://schemas.openxmlformats.org/officeDocument/2006/relationships/worksheet" Target="worksheets/sheet1.xml"/><Relationship Id="rId9" Type="http://schemas.openxmlformats.org/officeDocument/2006/relationships/worksheet" Target="worksheets/sheet6.xml"/><Relationship Id="rId26" Type="http://schemas.openxmlformats.org/officeDocument/2006/relationships/worksheet" Target="worksheets/sheet23.xml"/><Relationship Id="rId25" Type="http://schemas.openxmlformats.org/officeDocument/2006/relationships/worksheet" Target="worksheets/sheet22.xml"/><Relationship Id="rId27" Type="http://schemas.openxmlformats.org/officeDocument/2006/relationships/worksheet" Target="worksheets/sheet24.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19" Type="http://schemas.openxmlformats.org/officeDocument/2006/relationships/worksheet" Target="worksheets/sheet16.xml"/><Relationship Id="rId18" Type="http://schemas.openxmlformats.org/officeDocument/2006/relationships/worksheet" Target="worksheets/sheet15.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pieChart>
        <c:varyColors val="1"/>
        <c:ser>
          <c:idx val="0"/>
          <c:order val="0"/>
          <c:dPt>
            <c:idx val="0"/>
          </c:dPt>
          <c:dPt>
            <c:idx val="1"/>
          </c:dPt>
          <c:dPt>
            <c:idx val="2"/>
          </c:dPt>
          <c:dPt>
            <c:idx val="3"/>
          </c:dPt>
          <c:dPt>
            <c:idx val="4"/>
          </c:dPt>
          <c:dPt>
            <c:idx val="5"/>
          </c:dPt>
          <c:dPt>
            <c:idx val="6"/>
          </c:dPt>
          <c:dPt>
            <c:idx val="7"/>
          </c:dPt>
          <c:dPt>
            <c:idx val="8"/>
          </c:dPt>
          <c:dPt>
            <c:idx val="9"/>
          </c:dPt>
          <c:dPt>
            <c:idx val="10"/>
          </c:dPt>
          <c:dPt>
            <c:idx val="11"/>
          </c:dPt>
          <c:dPt>
            <c:idx val="12"/>
          </c:dPt>
          <c:dPt>
            <c:idx val="13"/>
          </c:dPt>
          <c:dPt>
            <c:idx val="14"/>
          </c:dPt>
          <c:dPt>
            <c:idx val="15"/>
          </c:dPt>
          <c:dPt>
            <c:idx val="16"/>
          </c:dPt>
          <c:dPt>
            <c:idx val="17"/>
          </c:dPt>
          <c:dPt>
            <c:idx val="18"/>
          </c:dPt>
          <c:dPt>
            <c:idx val="19"/>
          </c:dPt>
          <c:dPt>
            <c:idx val="20"/>
          </c:dPt>
          <c:dPt>
            <c:idx val="21"/>
          </c:dPt>
          <c:dPt>
            <c:idx val="22"/>
          </c:dPt>
          <c:dPt>
            <c:idx val="23"/>
          </c:dPt>
          <c:dPt>
            <c:idx val="24"/>
          </c:dPt>
          <c:dPt>
            <c:idx val="25"/>
          </c:dPt>
          <c:dPt>
            <c:idx val="26"/>
          </c:dPt>
          <c:dPt>
            <c:idx val="27"/>
          </c:dPt>
          <c:dPt>
            <c:idx val="28"/>
          </c:dPt>
          <c:dPt>
            <c:idx val="29"/>
          </c:dPt>
          <c:dPt>
            <c:idx val="30"/>
          </c:dPt>
          <c:dPt>
            <c:idx val="31"/>
          </c:dPt>
          <c:dPt>
            <c:idx val="32"/>
          </c:dPt>
          <c:dPt>
            <c:idx val="33"/>
          </c:dPt>
          <c:dPt>
            <c:idx val="34"/>
          </c:dPt>
          <c:dPt>
            <c:idx val="35"/>
          </c:dPt>
          <c:dPt>
            <c:idx val="36"/>
          </c:dPt>
          <c:dPt>
            <c:idx val="37"/>
          </c:dPt>
          <c:dPt>
            <c:idx val="38"/>
          </c:dPt>
          <c:dPt>
            <c:idx val="39"/>
          </c:dPt>
          <c:dPt>
            <c:idx val="40"/>
          </c:dPt>
          <c:dPt>
            <c:idx val="41"/>
          </c:dPt>
          <c:dPt>
            <c:idx val="42"/>
          </c:dPt>
          <c:dPt>
            <c:idx val="43"/>
          </c:dPt>
          <c:dPt>
            <c:idx val="44"/>
          </c:dPt>
          <c:dPt>
            <c:idx val="45"/>
          </c:dPt>
          <c:dPt>
            <c:idx val="46"/>
          </c:dPt>
          <c:dPt>
            <c:idx val="47"/>
          </c:dPt>
          <c:dPt>
            <c:idx val="48"/>
          </c:dPt>
          <c:dPt>
            <c:idx val="49"/>
          </c:dPt>
          <c:dPt>
            <c:idx val="50"/>
          </c:dPt>
          <c:dPt>
            <c:idx val="51"/>
          </c:dPt>
          <c:dPt>
            <c:idx val="52"/>
          </c:dPt>
          <c:dPt>
            <c:idx val="53"/>
          </c:dPt>
          <c:dPt>
            <c:idx val="54"/>
          </c:dPt>
          <c:dPt>
            <c:idx val="55"/>
          </c:dPt>
          <c:dPt>
            <c:idx val="56"/>
          </c:dPt>
          <c:dPt>
            <c:idx val="57"/>
          </c:dPt>
          <c:dPt>
            <c:idx val="58"/>
          </c:dPt>
          <c:dPt>
            <c:idx val="59"/>
          </c:dPt>
          <c:dPt>
            <c:idx val="60"/>
          </c:dPt>
          <c:dPt>
            <c:idx val="61"/>
          </c:dPt>
          <c:dPt>
            <c:idx val="62"/>
          </c:dPt>
          <c:dPt>
            <c:idx val="63"/>
          </c:dPt>
          <c:dPt>
            <c:idx val="64"/>
          </c:dPt>
          <c:dPt>
            <c:idx val="65"/>
          </c:dPt>
          <c:dPt>
            <c:idx val="66"/>
          </c:dPt>
          <c:dPt>
            <c:idx val="67"/>
          </c:dPt>
          <c:dPt>
            <c:idx val="68"/>
          </c:dPt>
          <c:dPt>
            <c:idx val="69"/>
          </c:dPt>
          <c:dPt>
            <c:idx val="70"/>
          </c:dPt>
          <c:dPt>
            <c:idx val="71"/>
          </c:dPt>
          <c:dPt>
            <c:idx val="72"/>
          </c:dPt>
          <c:dPt>
            <c:idx val="73"/>
          </c:dPt>
          <c:dPt>
            <c:idx val="74"/>
          </c:dPt>
          <c:dPt>
            <c:idx val="75"/>
          </c:dPt>
          <c:dPt>
            <c:idx val="76"/>
          </c:dPt>
          <c:dPt>
            <c:idx val="77"/>
          </c:dPt>
          <c:dPt>
            <c:idx val="78"/>
          </c:dPt>
          <c:dPt>
            <c:idx val="79"/>
          </c:dPt>
          <c:dPt>
            <c:idx val="80"/>
          </c:dPt>
          <c:dPt>
            <c:idx val="81"/>
          </c:dPt>
          <c:dPt>
            <c:idx val="82"/>
          </c:dPt>
          <c:dPt>
            <c:idx val="83"/>
          </c:dPt>
          <c:dPt>
            <c:idx val="84"/>
          </c:dPt>
          <c:dPt>
            <c:idx val="85"/>
          </c:dPt>
          <c:dPt>
            <c:idx val="86"/>
          </c:dPt>
          <c:dPt>
            <c:idx val="87"/>
          </c:dPt>
          <c:dPt>
            <c:idx val="88"/>
          </c:dPt>
          <c:dPt>
            <c:idx val="89"/>
          </c:dPt>
          <c:dPt>
            <c:idx val="90"/>
          </c:dPt>
          <c:dPt>
            <c:idx val="91"/>
          </c:dPt>
          <c:dPt>
            <c:idx val="92"/>
          </c:dPt>
          <c:dPt>
            <c:idx val="93"/>
          </c:dPt>
          <c:dPt>
            <c:idx val="94"/>
          </c:dPt>
          <c:dPt>
            <c:idx val="95"/>
          </c:dPt>
          <c:dPt>
            <c:idx val="96"/>
          </c:dPt>
          <c:dPt>
            <c:idx val="97"/>
          </c:dPt>
          <c:dPt>
            <c:idx val="98"/>
          </c:dPt>
          <c:dPt>
            <c:idx val="99"/>
          </c:dPt>
          <c:dPt>
            <c:idx val="100"/>
          </c:dPt>
          <c:dPt>
            <c:idx val="101"/>
          </c:dPt>
          <c:dPt>
            <c:idx val="102"/>
          </c:dPt>
          <c:dPt>
            <c:idx val="103"/>
          </c:dPt>
          <c:dPt>
            <c:idx val="104"/>
          </c:dPt>
          <c:dPt>
            <c:idx val="105"/>
          </c:dPt>
          <c:dPt>
            <c:idx val="106"/>
          </c:dPt>
          <c:dPt>
            <c:idx val="107"/>
          </c:dPt>
          <c:dPt>
            <c:idx val="108"/>
          </c:dPt>
          <c:dPt>
            <c:idx val="109"/>
          </c:dPt>
          <c:dPt>
            <c:idx val="110"/>
          </c:dPt>
          <c:dPt>
            <c:idx val="111"/>
          </c:dPt>
          <c:dPt>
            <c:idx val="112"/>
          </c:dPt>
          <c:dPt>
            <c:idx val="113"/>
          </c:dPt>
          <c:dPt>
            <c:idx val="114"/>
          </c:dPt>
          <c:dPt>
            <c:idx val="115"/>
          </c:dPt>
          <c:dPt>
            <c:idx val="116"/>
          </c:dPt>
          <c:dPt>
            <c:idx val="117"/>
          </c:dPt>
          <c:dPt>
            <c:idx val="118"/>
          </c:dPt>
          <c:dPt>
            <c:idx val="119"/>
          </c:dPt>
          <c:dPt>
            <c:idx val="120"/>
          </c:dPt>
          <c:dPt>
            <c:idx val="121"/>
          </c:dPt>
          <c:dPt>
            <c:idx val="122"/>
          </c:dPt>
          <c:dPt>
            <c:idx val="123"/>
          </c:dPt>
          <c:dPt>
            <c:idx val="124"/>
          </c:dPt>
          <c:dPt>
            <c:idx val="125"/>
          </c:dPt>
          <c:dPt>
            <c:idx val="126"/>
          </c:dPt>
          <c:dPt>
            <c:idx val="127"/>
          </c:dPt>
          <c:dPt>
            <c:idx val="128"/>
          </c:dPt>
          <c:dPt>
            <c:idx val="129"/>
          </c:dPt>
          <c:dPt>
            <c:idx val="130"/>
          </c:dPt>
          <c:dPt>
            <c:idx val="131"/>
          </c:dPt>
          <c:dPt>
            <c:idx val="132"/>
          </c:dPt>
          <c:dPt>
            <c:idx val="133"/>
          </c:dPt>
          <c:dPt>
            <c:idx val="134"/>
          </c:dPt>
          <c:dPt>
            <c:idx val="135"/>
          </c:dPt>
          <c:dPt>
            <c:idx val="136"/>
          </c:dPt>
          <c:dPt>
            <c:idx val="137"/>
          </c:dPt>
          <c:dPt>
            <c:idx val="138"/>
          </c:dPt>
          <c:dPt>
            <c:idx val="139"/>
          </c:dPt>
          <c:dPt>
            <c:idx val="140"/>
          </c:dPt>
          <c:dPt>
            <c:idx val="141"/>
          </c:dPt>
          <c:dPt>
            <c:idx val="142"/>
          </c:dPt>
          <c:dPt>
            <c:idx val="143"/>
          </c:dPt>
          <c:dPt>
            <c:idx val="144"/>
          </c:dPt>
          <c:dPt>
            <c:idx val="145"/>
          </c:dPt>
          <c:dPt>
            <c:idx val="146"/>
          </c:dPt>
          <c:dPt>
            <c:idx val="147"/>
          </c:dPt>
          <c:dPt>
            <c:idx val="148"/>
          </c:dPt>
          <c:dPt>
            <c:idx val="149"/>
          </c:dPt>
          <c:dPt>
            <c:idx val="150"/>
          </c:dPt>
          <c:dPt>
            <c:idx val="151"/>
          </c:dPt>
          <c:dPt>
            <c:idx val="152"/>
          </c:dPt>
          <c:dPt>
            <c:idx val="153"/>
          </c:dPt>
          <c:dPt>
            <c:idx val="154"/>
          </c:dPt>
          <c:dPt>
            <c:idx val="155"/>
          </c:dPt>
          <c:dPt>
            <c:idx val="156"/>
          </c:dPt>
          <c:dPt>
            <c:idx val="157"/>
          </c:dPt>
          <c:dPt>
            <c:idx val="158"/>
          </c:dPt>
          <c:dPt>
            <c:idx val="159"/>
          </c:dPt>
          <c:dPt>
            <c:idx val="160"/>
          </c:dPt>
          <c:dPt>
            <c:idx val="161"/>
          </c:dPt>
          <c:dPt>
            <c:idx val="162"/>
          </c:dPt>
          <c:dPt>
            <c:idx val="163"/>
          </c:dPt>
          <c:dPt>
            <c:idx val="164"/>
          </c:dPt>
          <c:dPt>
            <c:idx val="165"/>
          </c:dPt>
          <c:dPt>
            <c:idx val="166"/>
          </c:dPt>
          <c:dPt>
            <c:idx val="167"/>
          </c:dPt>
          <c:dPt>
            <c:idx val="168"/>
          </c:dPt>
          <c:dPt>
            <c:idx val="169"/>
          </c:dPt>
          <c:dPt>
            <c:idx val="170"/>
          </c:dPt>
          <c:dPt>
            <c:idx val="171"/>
          </c:dPt>
          <c:dPt>
            <c:idx val="172"/>
          </c:dPt>
          <c:dPt>
            <c:idx val="173"/>
          </c:dPt>
          <c:dPt>
            <c:idx val="174"/>
          </c:dPt>
          <c:dPt>
            <c:idx val="175"/>
          </c:dPt>
          <c:dPt>
            <c:idx val="176"/>
          </c:dPt>
          <c:dPt>
            <c:idx val="177"/>
          </c:dPt>
          <c:dPt>
            <c:idx val="178"/>
          </c:dPt>
          <c:dPt>
            <c:idx val="179"/>
          </c:dPt>
          <c:dPt>
            <c:idx val="180"/>
          </c:dPt>
          <c:dPt>
            <c:idx val="181"/>
          </c:dPt>
          <c:dPt>
            <c:idx val="182"/>
          </c:dPt>
          <c:dPt>
            <c:idx val="183"/>
          </c:dPt>
          <c:dPt>
            <c:idx val="184"/>
          </c:dPt>
          <c:dPt>
            <c:idx val="185"/>
          </c:dPt>
          <c:dPt>
            <c:idx val="186"/>
          </c:dPt>
          <c:dPt>
            <c:idx val="187"/>
          </c:dPt>
          <c:dPt>
            <c:idx val="188"/>
          </c:dPt>
          <c:dPt>
            <c:idx val="189"/>
          </c:dPt>
          <c:dPt>
            <c:idx val="190"/>
          </c:dPt>
          <c:dPt>
            <c:idx val="191"/>
          </c:dPt>
          <c:dPt>
            <c:idx val="192"/>
          </c:dPt>
          <c:dPt>
            <c:idx val="193"/>
          </c:dPt>
          <c:dPt>
            <c:idx val="194"/>
          </c:dPt>
          <c:dPt>
            <c:idx val="195"/>
          </c:dPt>
          <c:dPt>
            <c:idx val="196"/>
          </c:dPt>
          <c:dPt>
            <c:idx val="197"/>
          </c:dPt>
          <c:dPt>
            <c:idx val="198"/>
          </c:dPt>
          <c:dPt>
            <c:idx val="199"/>
          </c:dPt>
          <c:dPt>
            <c:idx val="200"/>
          </c:dPt>
          <c:dPt>
            <c:idx val="201"/>
          </c:dPt>
          <c:dPt>
            <c:idx val="202"/>
          </c:dPt>
          <c:dPt>
            <c:idx val="203"/>
          </c:dPt>
          <c:dPt>
            <c:idx val="204"/>
          </c:dPt>
          <c:dPt>
            <c:idx val="205"/>
          </c:dPt>
          <c:dPt>
            <c:idx val="206"/>
          </c:dPt>
          <c:dPt>
            <c:idx val="207"/>
          </c:dPt>
          <c:dPt>
            <c:idx val="208"/>
          </c:dPt>
          <c:dPt>
            <c:idx val="209"/>
          </c:dPt>
          <c:dPt>
            <c:idx val="210"/>
          </c:dPt>
          <c:dPt>
            <c:idx val="211"/>
          </c:dPt>
          <c:dPt>
            <c:idx val="212"/>
          </c:dPt>
          <c:dPt>
            <c:idx val="213"/>
          </c:dPt>
          <c:dPt>
            <c:idx val="214"/>
          </c:dPt>
          <c:dPt>
            <c:idx val="215"/>
          </c:dPt>
          <c:dPt>
            <c:idx val="216"/>
          </c:dPt>
          <c:dPt>
            <c:idx val="217"/>
          </c:dPt>
          <c:dPt>
            <c:idx val="218"/>
          </c:dPt>
          <c:dPt>
            <c:idx val="219"/>
          </c:dPt>
          <c:dPt>
            <c:idx val="220"/>
          </c:dPt>
          <c:dPt>
            <c:idx val="221"/>
          </c:dPt>
          <c:dPt>
            <c:idx val="222"/>
          </c:dPt>
          <c:dPt>
            <c:idx val="223"/>
          </c:dPt>
          <c:dPt>
            <c:idx val="224"/>
          </c:dPt>
          <c:dPt>
            <c:idx val="225"/>
          </c:dPt>
          <c:dPt>
            <c:idx val="226"/>
          </c:dPt>
          <c:dPt>
            <c:idx val="227"/>
          </c:dPt>
          <c:dPt>
            <c:idx val="228"/>
          </c:dPt>
          <c:dPt>
            <c:idx val="229"/>
          </c:dPt>
          <c:dPt>
            <c:idx val="230"/>
          </c:dPt>
          <c:dPt>
            <c:idx val="231"/>
          </c:dPt>
          <c:dPt>
            <c:idx val="232"/>
          </c:dPt>
          <c:dPt>
            <c:idx val="233"/>
          </c:dPt>
          <c:dPt>
            <c:idx val="234"/>
          </c:dPt>
          <c:dPt>
            <c:idx val="235"/>
          </c:dPt>
          <c:dPt>
            <c:idx val="236"/>
          </c:dPt>
          <c:dPt>
            <c:idx val="237"/>
          </c:dPt>
          <c:dPt>
            <c:idx val="238"/>
          </c:dPt>
          <c:dPt>
            <c:idx val="239"/>
          </c:dPt>
          <c:dPt>
            <c:idx val="240"/>
          </c:dPt>
          <c:dPt>
            <c:idx val="241"/>
          </c:dPt>
          <c:dPt>
            <c:idx val="242"/>
          </c:dPt>
          <c:dPt>
            <c:idx val="243"/>
          </c:dPt>
          <c:dPt>
            <c:idx val="244"/>
          </c:dPt>
          <c:dPt>
            <c:idx val="245"/>
          </c:dPt>
          <c:dPt>
            <c:idx val="246"/>
          </c:dPt>
          <c:dPt>
            <c:idx val="247"/>
          </c:dPt>
          <c:dPt>
            <c:idx val="248"/>
          </c:dPt>
          <c:dPt>
            <c:idx val="249"/>
          </c:dPt>
          <c:dPt>
            <c:idx val="250"/>
          </c:dPt>
          <c:dPt>
            <c:idx val="251"/>
          </c:dPt>
          <c:dPt>
            <c:idx val="252"/>
          </c:dPt>
          <c:dPt>
            <c:idx val="253"/>
          </c:dPt>
          <c:dPt>
            <c:idx val="254"/>
          </c:dPt>
          <c:dPt>
            <c:idx val="255"/>
          </c:dPt>
          <c:dPt>
            <c:idx val="256"/>
          </c:dPt>
          <c:dPt>
            <c:idx val="257"/>
          </c:dPt>
          <c:dPt>
            <c:idx val="258"/>
          </c:dPt>
          <c:dPt>
            <c:idx val="259"/>
          </c:dPt>
          <c:dPt>
            <c:idx val="260"/>
          </c:dPt>
          <c:dPt>
            <c:idx val="261"/>
          </c:dPt>
          <c:dPt>
            <c:idx val="262"/>
          </c:dPt>
          <c:dPt>
            <c:idx val="263"/>
          </c:dPt>
          <c:dPt>
            <c:idx val="264"/>
          </c:dPt>
          <c:dPt>
            <c:idx val="265"/>
          </c:dPt>
          <c:dPt>
            <c:idx val="266"/>
          </c:dPt>
          <c:dPt>
            <c:idx val="267"/>
          </c:dPt>
          <c:dPt>
            <c:idx val="268"/>
          </c:dPt>
          <c:dPt>
            <c:idx val="269"/>
          </c:dPt>
          <c:dPt>
            <c:idx val="270"/>
          </c:dPt>
          <c:dPt>
            <c:idx val="271"/>
          </c:dPt>
          <c:dPt>
            <c:idx val="272"/>
          </c:dPt>
          <c:dPt>
            <c:idx val="273"/>
          </c:dPt>
          <c:dPt>
            <c:idx val="274"/>
          </c:dPt>
          <c:dPt>
            <c:idx val="275"/>
          </c:dPt>
          <c:dPt>
            <c:idx val="276"/>
          </c:dPt>
          <c:dPt>
            <c:idx val="277"/>
          </c:dPt>
          <c:dPt>
            <c:idx val="278"/>
          </c:dPt>
          <c:dPt>
            <c:idx val="279"/>
          </c:dPt>
          <c:dPt>
            <c:idx val="280"/>
          </c:dPt>
          <c:dPt>
            <c:idx val="281"/>
          </c:dPt>
          <c:dPt>
            <c:idx val="282"/>
          </c:dPt>
          <c:dPt>
            <c:idx val="283"/>
          </c:dPt>
          <c:dPt>
            <c:idx val="284"/>
          </c:dPt>
          <c:dPt>
            <c:idx val="285"/>
          </c:dPt>
          <c:dPt>
            <c:idx val="286"/>
          </c:dPt>
          <c:dPt>
            <c:idx val="287"/>
          </c:dPt>
          <c:dPt>
            <c:idx val="288"/>
          </c:dPt>
          <c:dPt>
            <c:idx val="289"/>
          </c:dPt>
          <c:dPt>
            <c:idx val="290"/>
          </c:dPt>
          <c:dPt>
            <c:idx val="291"/>
          </c:dPt>
          <c:dPt>
            <c:idx val="292"/>
          </c:dPt>
          <c:dPt>
            <c:idx val="293"/>
          </c:dPt>
          <c:dPt>
            <c:idx val="294"/>
          </c:dPt>
          <c:dPt>
            <c:idx val="295"/>
          </c:dPt>
          <c:dPt>
            <c:idx val="296"/>
          </c:dPt>
          <c:dPt>
            <c:idx val="297"/>
          </c:dPt>
          <c:dPt>
            <c:idx val="298"/>
          </c:dPt>
          <c:dPt>
            <c:idx val="299"/>
          </c:dPt>
          <c:dLbls>
            <c:showLegendKey val="0"/>
            <c:showVal val="0"/>
            <c:showCatName val="0"/>
            <c:showSerName val="0"/>
            <c:showPercent val="0"/>
            <c:showBubbleSize val="0"/>
            <c:showLeaderLines val="1"/>
          </c:dLbls>
          <c:cat>
            <c:strRef>
              <c:f>'portfólio'!$CM$44:$CM$343</c:f>
            </c:strRef>
          </c:cat>
          <c:val>
            <c:numRef>
              <c:f>'portfólio'!$CN$44:$CN$343</c:f>
              <c:numCache/>
            </c:numRef>
          </c:val>
        </c:ser>
        <c:dLbls>
          <c:showLegendKey val="0"/>
          <c:showVal val="0"/>
          <c:showCatName val="0"/>
          <c:showSerName val="0"/>
          <c:showPercent val="0"/>
          <c:showBubbleSize val="0"/>
        </c:dLbls>
        <c:firstSliceAng val="0"/>
      </c:pieChart>
    </c:plotArea>
    <c:legend>
      <c:legendPos val="r"/>
      <c:overlay val="0"/>
      <c:txPr>
        <a:bodyPr/>
        <a:lstStyle/>
        <a:p>
          <a:pPr lvl="0">
            <a:defRPr b="0" sz="800">
              <a:solidFill>
                <a:srgbClr val="0D0D0D"/>
              </a:solidFill>
              <a:latin typeface="Roboto"/>
            </a:defRPr>
          </a:pPr>
        </a:p>
      </c:txPr>
    </c:legend>
    <c:plotVisOnly val="0"/>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barChart>
        <c:barDir val="col"/>
        <c:ser>
          <c:idx val="0"/>
          <c:order val="0"/>
          <c:cat>
            <c:strRef>
              <c:f>'portfólio'!$CO$44:$CO$343</c:f>
            </c:strRef>
          </c:cat>
          <c:val>
            <c:numRef>
              <c:f>'portfólio'!$CP$44:$CP$343</c:f>
              <c:numCache/>
            </c:numRef>
          </c:val>
        </c:ser>
        <c:axId val="1316435651"/>
        <c:axId val="24634476"/>
      </c:barChart>
      <c:catAx>
        <c:axId val="1316435651"/>
        <c:scaling>
          <c:orientation val="minMax"/>
        </c:scaling>
        <c:delete val="0"/>
        <c:axPos val="b"/>
        <c:title>
          <c:tx>
            <c:rich>
              <a:bodyPr/>
              <a:lstStyle/>
              <a:p>
                <a:pPr lvl="0">
                  <a:defRPr b="0">
                    <a:solidFill>
                      <a:srgbClr val="000000"/>
                    </a:solidFill>
                    <a:latin typeface="Roboto"/>
                  </a:defRPr>
                </a:pPr>
                <a:r>
                  <a:rPr b="0">
                    <a:solidFill>
                      <a:srgbClr val="000000"/>
                    </a:solidFill>
                    <a:latin typeface="Roboto"/>
                  </a:rPr>
                  <a:t/>
                </a:r>
              </a:p>
            </c:rich>
          </c:tx>
          <c:overlay val="0"/>
        </c:title>
        <c:numFmt formatCode="General" sourceLinked="1"/>
        <c:majorTickMark val="none"/>
        <c:minorTickMark val="none"/>
        <c:spPr/>
        <c:txPr>
          <a:bodyPr/>
          <a:lstStyle/>
          <a:p>
            <a:pPr lvl="0">
              <a:defRPr b="0">
                <a:solidFill>
                  <a:srgbClr val="000000"/>
                </a:solidFill>
                <a:latin typeface="Roboto"/>
              </a:defRPr>
            </a:pPr>
          </a:p>
        </c:txPr>
        <c:crossAx val="24634476"/>
      </c:catAx>
      <c:valAx>
        <c:axId val="24634476"/>
        <c:scaling>
          <c:orientation val="minMax"/>
        </c:scaling>
        <c:delete val="0"/>
        <c:axPos val="l"/>
        <c:tickLblPos val="nextTo"/>
        <c:spPr>
          <a:ln>
            <a:noFill/>
          </a:ln>
        </c:spPr>
        <c:crossAx val="1316435651"/>
      </c:valAx>
    </c:plotArea>
    <c:legend>
      <c:legendPos val="r"/>
      <c:overlay val="0"/>
      <c:txPr>
        <a:bodyPr/>
        <a:lstStyle/>
        <a:p>
          <a:pPr lvl="0">
            <a:defRPr b="0">
              <a:solidFill>
                <a:srgbClr val="000000"/>
              </a:solidFill>
              <a:latin typeface="Roboto"/>
            </a:defRPr>
          </a:pPr>
        </a:p>
      </c:txPr>
    </c:legend>
    <c:plotVisOnly val="0"/>
  </c:chart>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pieChart>
        <c:varyColors val="1"/>
        <c:ser>
          <c:idx val="0"/>
          <c:order val="0"/>
          <c:tx>
            <c:strRef>
              <c:f>config.books!$BO$26:$BO$27</c:f>
            </c:strRef>
          </c:tx>
          <c:dPt>
            <c:idx val="0"/>
            <c:spPr>
              <a:solidFill>
                <a:srgbClr val="4285F4"/>
              </a:solidFill>
              <a:ln cmpd="sng" w="9525">
                <a:solidFill>
                  <a:srgbClr val="CCCCCC"/>
                </a:solidFill>
              </a:ln>
            </c:spPr>
          </c:dPt>
          <c:dPt>
            <c:idx val="1"/>
          </c:dPt>
          <c:dPt>
            <c:idx val="2"/>
          </c:dPt>
          <c:dPt>
            <c:idx val="3"/>
          </c:dPt>
          <c:dPt>
            <c:idx val="4"/>
          </c:dPt>
          <c:dPt>
            <c:idx val="5"/>
          </c:dPt>
          <c:dPt>
            <c:idx val="6"/>
          </c:dPt>
          <c:dPt>
            <c:idx val="7"/>
          </c:dPt>
          <c:dPt>
            <c:idx val="8"/>
          </c:dPt>
          <c:dPt>
            <c:idx val="9"/>
          </c:dPt>
          <c:dPt>
            <c:idx val="10"/>
          </c:dPt>
          <c:dLbls>
            <c:showLegendKey val="0"/>
            <c:showVal val="0"/>
            <c:showCatName val="0"/>
            <c:showSerName val="0"/>
            <c:showPercent val="1"/>
            <c:showBubbleSize val="0"/>
            <c:showLeaderLines val="1"/>
          </c:dLbls>
          <c:cat>
            <c:strRef>
              <c:f>config.books!$BN$28:$BN$38</c:f>
            </c:strRef>
          </c:cat>
          <c:val>
            <c:numRef>
              <c:f>config.books!$BO$28:$BO$38</c:f>
              <c:numCache/>
            </c:numRef>
          </c:val>
        </c:ser>
        <c:dLbls>
          <c:showLegendKey val="0"/>
          <c:showVal val="0"/>
          <c:showCatName val="0"/>
          <c:showSerName val="0"/>
          <c:showPercent val="0"/>
          <c:showBubbleSize val="0"/>
        </c:dLbls>
        <c:firstSliceAng val="0"/>
      </c:pieChart>
    </c:plotArea>
    <c:legend>
      <c:legendPos val="r"/>
      <c:overlay val="0"/>
      <c:txPr>
        <a:bodyPr/>
        <a:lstStyle/>
        <a:p>
          <a:pPr lvl="0">
            <a:defRPr b="0" sz="1000">
              <a:solidFill>
                <a:srgbClr val="000000"/>
              </a:solidFill>
              <a:latin typeface="Roboto"/>
            </a:defRPr>
          </a:pPr>
        </a:p>
      </c:txPr>
    </c:legend>
    <c:plotVisOnly val="0"/>
  </c:chart>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pieChart>
        <c:varyColors val="1"/>
        <c:ser>
          <c:idx val="0"/>
          <c:order val="0"/>
          <c:tx>
            <c:strRef>
              <c:f>config.books!$BR$22:$BR$23</c:f>
            </c:strRef>
          </c:tx>
          <c:dPt>
            <c:idx val="0"/>
            <c:spPr>
              <a:solidFill>
                <a:srgbClr val="666666"/>
              </a:solidFill>
            </c:spPr>
          </c:dPt>
          <c:dLbls>
            <c:showLegendKey val="0"/>
            <c:showVal val="0"/>
            <c:showCatName val="1"/>
            <c:showSerName val="0"/>
            <c:showPercent val="0"/>
            <c:showBubbleSize val="0"/>
            <c:showLeaderLines val="1"/>
          </c:dLbls>
          <c:cat>
            <c:strRef>
              <c:f>config.books!$BN$24</c:f>
            </c:strRef>
          </c:cat>
          <c:val>
            <c:numRef>
              <c:f>config.books!$BR$24</c:f>
              <c:numCache/>
            </c:numRef>
          </c:val>
        </c:ser>
        <c:dLbls>
          <c:showLegendKey val="0"/>
          <c:showVal val="0"/>
          <c:showCatName val="0"/>
          <c:showSerName val="0"/>
          <c:showPercent val="0"/>
          <c:showBubbleSize val="0"/>
        </c:dLbls>
        <c:firstSliceAng val="0"/>
      </c:pieChart>
    </c:plotArea>
    <c:plotVisOnly val="0"/>
  </c:chart>
  <c:spPr>
    <a:solidFill>
      <a:srgbClr val="FFFFFF">
        <a:alpha val="0"/>
      </a:srgbClr>
    </a:solidFill>
  </c:spPr>
</c:chartSpace>
</file>

<file path=xl/charts/chart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barChart>
        <c:barDir val="bar"/>
        <c:grouping val="stacked"/>
        <c:ser>
          <c:idx val="0"/>
          <c:order val="0"/>
          <c:cat>
            <c:strRef>
              <c:f>'portfólio'!$BS$44:$BS$54</c:f>
            </c:strRef>
          </c:cat>
          <c:val>
            <c:numRef>
              <c:f>'portfólio'!$BT$44:$BT$54</c:f>
              <c:numCache/>
            </c:numRef>
          </c:val>
        </c:ser>
        <c:ser>
          <c:idx val="1"/>
          <c:order val="1"/>
          <c:cat>
            <c:strRef>
              <c:f>'portfólio'!$BS$44:$BS$54</c:f>
            </c:strRef>
          </c:cat>
          <c:val>
            <c:numRef>
              <c:f>'portfólio'!$BU$44:$BU$54</c:f>
              <c:numCache/>
            </c:numRef>
          </c:val>
        </c:ser>
        <c:overlap val="100"/>
        <c:axId val="917690730"/>
        <c:axId val="1339531200"/>
      </c:barChart>
      <c:catAx>
        <c:axId val="917690730"/>
        <c:scaling>
          <c:orientation val="maxMin"/>
        </c:scaling>
        <c:delete val="0"/>
        <c:axPos val="l"/>
        <c:title>
          <c:tx>
            <c:rich>
              <a:bodyPr/>
              <a:lstStyle/>
              <a:p>
                <a:pPr lvl="0">
                  <a:defRPr b="0">
                    <a:solidFill>
                      <a:srgbClr val="000000"/>
                    </a:solidFill>
                    <a:latin typeface="Roboto"/>
                  </a:defRPr>
                </a:pPr>
                <a:r>
                  <a:rPr b="0">
                    <a:solidFill>
                      <a:srgbClr val="000000"/>
                    </a:solidFill>
                    <a:latin typeface="Roboto"/>
                  </a:rPr>
                  <a:t/>
                </a:r>
              </a:p>
            </c:rich>
          </c:tx>
          <c:overlay val="0"/>
        </c:title>
        <c:numFmt formatCode="General" sourceLinked="1"/>
        <c:majorTickMark val="none"/>
        <c:minorTickMark val="none"/>
        <c:spPr/>
        <c:txPr>
          <a:bodyPr/>
          <a:lstStyle/>
          <a:p>
            <a:pPr lvl="0">
              <a:defRPr b="0" sz="1000">
                <a:solidFill>
                  <a:srgbClr val="000000"/>
                </a:solidFill>
                <a:latin typeface="Roboto"/>
              </a:defRPr>
            </a:pPr>
          </a:p>
        </c:txPr>
        <c:crossAx val="1339531200"/>
      </c:catAx>
      <c:valAx>
        <c:axId val="1339531200"/>
        <c:scaling>
          <c:orientation val="minMax"/>
        </c:scaling>
        <c:delete val="0"/>
        <c:axPos val="b"/>
        <c:tickLblPos val="nextTo"/>
        <c:spPr>
          <a:ln>
            <a:noFill/>
          </a:ln>
        </c:spPr>
        <c:crossAx val="917690730"/>
        <c:crosses val="max"/>
      </c:valAx>
    </c:plotArea>
    <c:plotVisOnly val="0"/>
  </c:chart>
</c:chartSpace>
</file>

<file path=xl/charts/chart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barChart>
        <c:barDir val="col"/>
        <c:ser>
          <c:idx val="0"/>
          <c:order val="0"/>
          <c:cat>
            <c:strRef>
              <c:f>summary!$D$43:$D$53</c:f>
            </c:strRef>
          </c:cat>
          <c:val>
            <c:numRef>
              <c:f>summary!$E$43:$E$53</c:f>
              <c:numCache/>
            </c:numRef>
          </c:val>
        </c:ser>
        <c:axId val="1010989558"/>
        <c:axId val="1974519332"/>
      </c:barChart>
      <c:catAx>
        <c:axId val="1010989558"/>
        <c:scaling>
          <c:orientation val="minMax"/>
        </c:scaling>
        <c:delete val="0"/>
        <c:axPos val="b"/>
        <c:title>
          <c:tx>
            <c:rich>
              <a:bodyPr/>
              <a:lstStyle/>
              <a:p>
                <a:pPr lvl="0">
                  <a:defRPr b="0">
                    <a:solidFill>
                      <a:srgbClr val="000000"/>
                    </a:solidFill>
                    <a:latin typeface="Roboto"/>
                  </a:defRPr>
                </a:pPr>
                <a:r>
                  <a:rPr b="0">
                    <a:solidFill>
                      <a:srgbClr val="000000"/>
                    </a:solidFill>
                    <a:latin typeface="Roboto"/>
                  </a:rPr>
                  <a:t/>
                </a:r>
              </a:p>
            </c:rich>
          </c:tx>
          <c:overlay val="0"/>
        </c:title>
        <c:numFmt formatCode="General" sourceLinked="1"/>
        <c:majorTickMark val="none"/>
        <c:minorTickMark val="none"/>
        <c:spPr/>
        <c:txPr>
          <a:bodyPr/>
          <a:lstStyle/>
          <a:p>
            <a:pPr lvl="0">
              <a:defRPr b="0">
                <a:solidFill>
                  <a:srgbClr val="000000"/>
                </a:solidFill>
                <a:latin typeface="Roboto"/>
              </a:defRPr>
            </a:pPr>
          </a:p>
        </c:txPr>
        <c:crossAx val="1974519332"/>
      </c:catAx>
      <c:valAx>
        <c:axId val="1974519332"/>
        <c:scaling>
          <c:orientation val="minMax"/>
        </c:scaling>
        <c:delete val="0"/>
        <c:axPos val="l"/>
        <c:tickLblPos val="nextTo"/>
        <c:spPr>
          <a:ln>
            <a:noFill/>
          </a:ln>
        </c:spPr>
        <c:crossAx val="1010989558"/>
      </c:valAx>
    </c:plotArea>
    <c:legend>
      <c:legendPos val="r"/>
      <c:overlay val="0"/>
      <c:txPr>
        <a:bodyPr/>
        <a:lstStyle/>
        <a:p>
          <a:pPr lvl="0">
            <a:defRPr b="0">
              <a:solidFill>
                <a:srgbClr val="000000"/>
              </a:solidFill>
              <a:latin typeface="Roboto"/>
            </a:defRPr>
          </a:pPr>
        </a:p>
      </c:txPr>
    </c:legend>
    <c:plotVisOnly val="0"/>
  </c:chart>
</c:chartSpac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 Id="rId2" Type="http://schemas.openxmlformats.org/officeDocument/2006/relationships/chart" Target="../charts/chart4.xml"/><Relationship Id="rId3" Type="http://schemas.openxmlformats.org/officeDocument/2006/relationships/chart" Target="../charts/chart5.xml"/><Relationship Id="rId4" Type="http://schemas.openxmlformats.org/officeDocument/2006/relationships/chart" Target="../charts/chart6.xml"/></Relationships>
</file>

<file path=xl/drawings/_rels/drawing18.xml.rels><?xml version="1.0" encoding="UTF-8" standalone="yes"?><Relationships xmlns="http://schemas.openxmlformats.org/package/2006/relationships"><Relationship Id="rId1" Type="http://schemas.openxmlformats.org/officeDocument/2006/relationships/image" Target="../media/image5.png"/><Relationship Id="rId2" Type="http://schemas.openxmlformats.org/officeDocument/2006/relationships/image" Target="../media/image6.png"/><Relationship Id="rId3" Type="http://schemas.openxmlformats.org/officeDocument/2006/relationships/image" Target="../media/image7.png"/><Relationship Id="rId4" Type="http://schemas.openxmlformats.org/officeDocument/2006/relationships/image" Target="../media/image2.png"/><Relationship Id="rId5" Type="http://schemas.openxmlformats.org/officeDocument/2006/relationships/image" Target="../media/image4.png"/><Relationship Id="rId6" Type="http://schemas.openxmlformats.org/officeDocument/2006/relationships/image" Target="../media/image1.png"/><Relationship Id="rId7"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38</xdr:col>
      <xdr:colOff>142875</xdr:colOff>
      <xdr:row>41</xdr:row>
      <xdr:rowOff>0</xdr:rowOff>
    </xdr:from>
    <xdr:ext cx="3057525" cy="2171700"/>
    <xdr:graphicFrame>
      <xdr:nvGraphicFramePr>
        <xdr:cNvPr id="1" name="Chart 1" title="Gráfico"/>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38</xdr:col>
      <xdr:colOff>142875</xdr:colOff>
      <xdr:row>50</xdr:row>
      <xdr:rowOff>0</xdr:rowOff>
    </xdr:from>
    <xdr:ext cx="3057525" cy="2314575"/>
    <xdr:graphicFrame>
      <xdr:nvGraphicFramePr>
        <xdr:cNvPr id="2" name="Chart 2" title="Gráfico"/>
        <xdr:cNvGraphicFramePr/>
      </xdr:nvGraphicFramePr>
      <xdr:xfrm>
        <a:off x="0" y="0"/>
        <a:ext cx="0" cy="0"/>
      </xdr:xfrm>
      <a:graphic>
        <a:graphicData uri="http://schemas.openxmlformats.org/drawingml/2006/chart">
          <c:chart r:id="rId2"/>
        </a:graphicData>
      </a:graphic>
    </xdr:graphicFrame>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13</xdr:col>
      <xdr:colOff>76200</xdr:colOff>
      <xdr:row>15</xdr:row>
      <xdr:rowOff>266700</xdr:rowOff>
    </xdr:from>
    <xdr:ext cx="4848225" cy="3438525"/>
    <xdr:graphicFrame>
      <xdr:nvGraphicFramePr>
        <xdr:cNvPr id="3" name="Chart 3" title="Gráfico"/>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15</xdr:col>
      <xdr:colOff>133350</xdr:colOff>
      <xdr:row>19</xdr:row>
      <xdr:rowOff>180975</xdr:rowOff>
    </xdr:from>
    <xdr:ext cx="3705225" cy="1771650"/>
    <xdr:graphicFrame>
      <xdr:nvGraphicFramePr>
        <xdr:cNvPr id="4" name="Chart 4" title="Gráfico"/>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1</xdr:col>
      <xdr:colOff>0</xdr:colOff>
      <xdr:row>20</xdr:row>
      <xdr:rowOff>0</xdr:rowOff>
    </xdr:from>
    <xdr:ext cx="2076450" cy="2571750"/>
    <xdr:graphicFrame>
      <xdr:nvGraphicFramePr>
        <xdr:cNvPr id="5" name="Chart 5" title="Gráfico"/>
        <xdr:cNvGraphicFramePr/>
      </xdr:nvGraphicFramePr>
      <xdr:xfrm>
        <a:off x="0" y="0"/>
        <a:ext cx="0" cy="0"/>
      </xdr:xfrm>
      <a:graphic>
        <a:graphicData uri="http://schemas.openxmlformats.org/drawingml/2006/chart">
          <c:chart r:id="rId3"/>
        </a:graphicData>
      </a:graphic>
    </xdr:graphicFrame>
    <xdr:clientData fLocksWithSheet="0"/>
  </xdr:oneCellAnchor>
  <xdr:oneCellAnchor>
    <xdr:from>
      <xdr:col>13</xdr:col>
      <xdr:colOff>76200</xdr:colOff>
      <xdr:row>4</xdr:row>
      <xdr:rowOff>9525</xdr:rowOff>
    </xdr:from>
    <xdr:ext cx="4848225" cy="1943100"/>
    <xdr:graphicFrame>
      <xdr:nvGraphicFramePr>
        <xdr:cNvPr id="6" name="Chart 6" title="Gráfico"/>
        <xdr:cNvGraphicFramePr/>
      </xdr:nvGraphicFramePr>
      <xdr:xfrm>
        <a:off x="0" y="0"/>
        <a:ext cx="0" cy="0"/>
      </xdr:xfrm>
      <a:graphic>
        <a:graphicData uri="http://schemas.openxmlformats.org/drawingml/2006/chart">
          <c:chart r:id="rId4"/>
        </a:graphicData>
      </a:graphic>
    </xdr:graphicFrame>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xdr:colOff>
      <xdr:row>0</xdr:row>
      <xdr:rowOff>47625</xdr:rowOff>
    </xdr:from>
    <xdr:ext cx="2400300" cy="295275"/>
    <xdr:pic>
      <xdr:nvPicPr>
        <xdr:cNvPr id="0" name="image5.png" title="Imagem"/>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0</xdr:colOff>
      <xdr:row>2</xdr:row>
      <xdr:rowOff>133350</xdr:rowOff>
    </xdr:from>
    <xdr:ext cx="2390775" cy="295275"/>
    <xdr:pic>
      <xdr:nvPicPr>
        <xdr:cNvPr id="0" name="image6.png" title="Imagem"/>
        <xdr:cNvPicPr preferRelativeResize="0"/>
      </xdr:nvPicPr>
      <xdr:blipFill>
        <a:blip cstate="print" r:embed="rId2"/>
        <a:stretch>
          <a:fillRect/>
        </a:stretch>
      </xdr:blipFill>
      <xdr:spPr>
        <a:prstGeom prst="rect">
          <a:avLst/>
        </a:prstGeom>
        <a:noFill/>
      </xdr:spPr>
    </xdr:pic>
    <xdr:clientData fLocksWithSheet="0"/>
  </xdr:oneCellAnchor>
  <xdr:oneCellAnchor>
    <xdr:from>
      <xdr:col>0</xdr:col>
      <xdr:colOff>9525</xdr:colOff>
      <xdr:row>5</xdr:row>
      <xdr:rowOff>19050</xdr:rowOff>
    </xdr:from>
    <xdr:ext cx="2400300" cy="295275"/>
    <xdr:pic>
      <xdr:nvPicPr>
        <xdr:cNvPr id="0" name="image7.png" title="Imagem"/>
        <xdr:cNvPicPr preferRelativeResize="0"/>
      </xdr:nvPicPr>
      <xdr:blipFill>
        <a:blip cstate="print" r:embed="rId3"/>
        <a:stretch>
          <a:fillRect/>
        </a:stretch>
      </xdr:blipFill>
      <xdr:spPr>
        <a:prstGeom prst="rect">
          <a:avLst/>
        </a:prstGeom>
        <a:noFill/>
      </xdr:spPr>
    </xdr:pic>
    <xdr:clientData fLocksWithSheet="0"/>
  </xdr:oneCellAnchor>
  <xdr:oneCellAnchor>
    <xdr:from>
      <xdr:col>1</xdr:col>
      <xdr:colOff>180975</xdr:colOff>
      <xdr:row>0</xdr:row>
      <xdr:rowOff>47625</xdr:rowOff>
    </xdr:from>
    <xdr:ext cx="2400300" cy="295275"/>
    <xdr:pic>
      <xdr:nvPicPr>
        <xdr:cNvPr id="0" name="image2.png" title="Imagem"/>
        <xdr:cNvPicPr preferRelativeResize="0"/>
      </xdr:nvPicPr>
      <xdr:blipFill>
        <a:blip cstate="print" r:embed="rId4"/>
        <a:stretch>
          <a:fillRect/>
        </a:stretch>
      </xdr:blipFill>
      <xdr:spPr>
        <a:prstGeom prst="rect">
          <a:avLst/>
        </a:prstGeom>
        <a:noFill/>
      </xdr:spPr>
    </xdr:pic>
    <xdr:clientData fLocksWithSheet="0"/>
  </xdr:oneCellAnchor>
  <xdr:oneCellAnchor>
    <xdr:from>
      <xdr:col>1</xdr:col>
      <xdr:colOff>180975</xdr:colOff>
      <xdr:row>2</xdr:row>
      <xdr:rowOff>133350</xdr:rowOff>
    </xdr:from>
    <xdr:ext cx="2400300" cy="295275"/>
    <xdr:pic>
      <xdr:nvPicPr>
        <xdr:cNvPr id="0" name="image4.png" title="Imagem"/>
        <xdr:cNvPicPr preferRelativeResize="0"/>
      </xdr:nvPicPr>
      <xdr:blipFill>
        <a:blip cstate="print" r:embed="rId5"/>
        <a:stretch>
          <a:fillRect/>
        </a:stretch>
      </xdr:blipFill>
      <xdr:spPr>
        <a:prstGeom prst="rect">
          <a:avLst/>
        </a:prstGeom>
        <a:noFill/>
      </xdr:spPr>
    </xdr:pic>
    <xdr:clientData fLocksWithSheet="0"/>
  </xdr:oneCellAnchor>
  <xdr:oneCellAnchor>
    <xdr:from>
      <xdr:col>1</xdr:col>
      <xdr:colOff>180975</xdr:colOff>
      <xdr:row>5</xdr:row>
      <xdr:rowOff>19050</xdr:rowOff>
    </xdr:from>
    <xdr:ext cx="2400300" cy="295275"/>
    <xdr:pic>
      <xdr:nvPicPr>
        <xdr:cNvPr id="0" name="image1.png" title="Imagem"/>
        <xdr:cNvPicPr preferRelativeResize="0"/>
      </xdr:nvPicPr>
      <xdr:blipFill>
        <a:blip cstate="print" r:embed="rId6"/>
        <a:stretch>
          <a:fillRect/>
        </a:stretch>
      </xdr:blipFill>
      <xdr:spPr>
        <a:prstGeom prst="rect">
          <a:avLst/>
        </a:prstGeom>
        <a:noFill/>
      </xdr:spPr>
    </xdr:pic>
    <xdr:clientData fLocksWithSheet="0"/>
  </xdr:oneCellAnchor>
  <xdr:oneCellAnchor>
    <xdr:from>
      <xdr:col>0</xdr:col>
      <xdr:colOff>0</xdr:colOff>
      <xdr:row>7</xdr:row>
      <xdr:rowOff>104775</xdr:rowOff>
    </xdr:from>
    <xdr:ext cx="2400300" cy="285750"/>
    <xdr:pic>
      <xdr:nvPicPr>
        <xdr:cNvPr id="0" name="image3.png" title="Imagem"/>
        <xdr:cNvPicPr preferRelativeResize="0"/>
      </xdr:nvPicPr>
      <xdr:blipFill>
        <a:blip cstate="print" r:embed="rId7"/>
        <a:stretch>
          <a:fillRect/>
        </a:stretch>
      </xdr:blipFill>
      <xdr:spPr>
        <a:prstGeom prst="rect">
          <a:avLst/>
        </a:prstGeom>
        <a:noFill/>
      </xdr:spPr>
    </xdr:pic>
    <xdr:clientData fLocksWithSheet="0"/>
  </xdr:oneCellAnchor>
</xdr:wsD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worksheets/_rels/sheet1.xml.rels><?xml version="1.0" encoding="UTF-8" standalone="yes"?><Relationships xmlns="http://schemas.openxmlformats.org/package/2006/relationships"><Relationship Id="rId11" Type="http://schemas.openxmlformats.org/officeDocument/2006/relationships/hyperlink" Target="https://www.youtube.com/channel/UCYOmBs3ppKsfvm6TVfnkXUQ" TargetMode="External"/><Relationship Id="rId10" Type="http://schemas.openxmlformats.org/officeDocument/2006/relationships/hyperlink" Target="https://t.me/dlombelloplanilhas" TargetMode="External"/><Relationship Id="rId13" Type="http://schemas.openxmlformats.org/officeDocument/2006/relationships/hyperlink" Target="http://fundamentus.com.br" TargetMode="External"/><Relationship Id="rId12" Type="http://schemas.openxmlformats.org/officeDocument/2006/relationships/hyperlink" Target="http://google.com/finance" TargetMode="External"/><Relationship Id="rId1" Type="http://schemas.openxmlformats.org/officeDocument/2006/relationships/comments" Target="../comments1.xml"/><Relationship Id="rId2" Type="http://schemas.openxmlformats.org/officeDocument/2006/relationships/hyperlink" Target="https://www.dlombelloplanilhas.com/" TargetMode="External"/><Relationship Id="rId3" Type="http://schemas.openxmlformats.org/officeDocument/2006/relationships/hyperlink" Target="https://www.youtube.com/c/dlombelloplanilhas/playlists" TargetMode="External"/><Relationship Id="rId4" Type="http://schemas.openxmlformats.org/officeDocument/2006/relationships/hyperlink" Target="https://www.dlombelloplanilhas.com/faq/faq-ebook" TargetMode="External"/><Relationship Id="rId9" Type="http://schemas.openxmlformats.org/officeDocument/2006/relationships/hyperlink" Target="https://www.facebook.com/groups/dlombelloplanilhas" TargetMode="External"/><Relationship Id="rId15" Type="http://schemas.openxmlformats.org/officeDocument/2006/relationships/vmlDrawing" Target="../drawings/vmlDrawing1.vml"/><Relationship Id="rId14" Type="http://schemas.openxmlformats.org/officeDocument/2006/relationships/drawing" Target="../drawings/drawing1.xml"/><Relationship Id="rId5" Type="http://schemas.openxmlformats.org/officeDocument/2006/relationships/hyperlink" Target="http://app.dlombelloplanilhas.com/" TargetMode="External"/><Relationship Id="rId6" Type="http://schemas.openxmlformats.org/officeDocument/2006/relationships/hyperlink" Target="http://dlombelloplanilhas.com" TargetMode="External"/><Relationship Id="rId7" Type="http://schemas.openxmlformats.org/officeDocument/2006/relationships/hyperlink" Target="http://bit.ly/suporte_dlombelloplanilhas" TargetMode="External"/><Relationship Id="rId8" Type="http://schemas.openxmlformats.org/officeDocument/2006/relationships/hyperlink" Target="https://discord.gg/UFvrHgGQ5A" TargetMode="Externa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2.xml"/><Relationship Id="rId3"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3.xml"/><Relationship Id="rId3" Type="http://schemas.openxmlformats.org/officeDocument/2006/relationships/vmlDrawing" Target="../drawings/vmlDrawing3.vml"/></Relationships>
</file>

<file path=xl/worksheets/_rels/sheet4.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drawing" Target="../drawings/drawing4.xml"/><Relationship Id="rId3" Type="http://schemas.openxmlformats.org/officeDocument/2006/relationships/vmlDrawing" Target="../drawings/vmlDrawing4.vml"/></Relationships>
</file>

<file path=xl/worksheets/_rels/sheet5.xml.rels><?xml version="1.0" encoding="UTF-8" standalone="yes"?><Relationships xmlns="http://schemas.openxmlformats.org/package/2006/relationships"><Relationship Id="rId1" Type="http://schemas.openxmlformats.org/officeDocument/2006/relationships/comments" Target="../comments5.xml"/><Relationship Id="rId2" Type="http://schemas.openxmlformats.org/officeDocument/2006/relationships/drawing" Target="../drawings/drawing5.xml"/><Relationship Id="rId3" Type="http://schemas.openxmlformats.org/officeDocument/2006/relationships/vmlDrawing" Target="../drawings/vmlDrawing5.vml"/></Relationships>
</file>

<file path=xl/worksheets/_rels/sheet6.xml.rels><?xml version="1.0" encoding="UTF-8" standalone="yes"?><Relationships xmlns="http://schemas.openxmlformats.org/package/2006/relationships"><Relationship Id="rId1" Type="http://schemas.openxmlformats.org/officeDocument/2006/relationships/comments" Target="../comments6.xml"/><Relationship Id="rId2" Type="http://schemas.openxmlformats.org/officeDocument/2006/relationships/drawing" Target="../drawings/drawing6.xml"/><Relationship Id="rId3" Type="http://schemas.openxmlformats.org/officeDocument/2006/relationships/vmlDrawing" Target="../drawings/vmlDrawing6.v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comments" Target="../comments7.xml"/><Relationship Id="rId2" Type="http://schemas.openxmlformats.org/officeDocument/2006/relationships/drawing" Target="../drawings/drawing8.xml"/><Relationship Id="rId3" Type="http://schemas.openxmlformats.org/officeDocument/2006/relationships/vmlDrawing" Target="../drawings/vmlDrawing7.vml"/></Relationships>
</file>

<file path=xl/worksheets/_rels/sheet9.xml.rels><?xml version="1.0" encoding="UTF-8" standalone="yes"?><Relationships xmlns="http://schemas.openxmlformats.org/package/2006/relationships"><Relationship Id="rId1" Type="http://schemas.openxmlformats.org/officeDocument/2006/relationships/comments" Target="../comments8.xml"/><Relationship Id="rId2" Type="http://schemas.openxmlformats.org/officeDocument/2006/relationships/drawing" Target="../drawings/drawing9.xml"/><Relationship Id="rId3" Type="http://schemas.openxmlformats.org/officeDocument/2006/relationships/vmlDrawing" Target="../drawings/vmlDrawing8.vml"/></Relationships>
</file>

<file path=xl/worksheets/_rels/sheet10.xml.rels><?xml version="1.0" encoding="UTF-8" standalone="yes"?><Relationships xmlns="http://schemas.openxmlformats.org/package/2006/relationships"><Relationship Id="rId1" Type="http://schemas.openxmlformats.org/officeDocument/2006/relationships/comments" Target="../comments9.xml"/><Relationship Id="rId2" Type="http://schemas.openxmlformats.org/officeDocument/2006/relationships/drawing" Target="../drawings/drawing10.xml"/><Relationship Id="rId3" Type="http://schemas.openxmlformats.org/officeDocument/2006/relationships/vmlDrawing" Target="../drawings/vmlDrawing9.vml"/></Relationships>
</file>

<file path=xl/worksheets/_rels/sheet11.xml.rels><?xml version="1.0" encoding="UTF-8" standalone="yes"?><Relationships xmlns="http://schemas.openxmlformats.org/package/2006/relationships"><Relationship Id="rId1" Type="http://schemas.openxmlformats.org/officeDocument/2006/relationships/comments" Target="../comments10.xml"/><Relationship Id="rId2" Type="http://schemas.openxmlformats.org/officeDocument/2006/relationships/drawing" Target="../drawings/drawing11.xml"/><Relationship Id="rId3" Type="http://schemas.openxmlformats.org/officeDocument/2006/relationships/vmlDrawing" Target="../drawings/vmlDrawing10.vml"/></Relationships>
</file>

<file path=xl/worksheets/_rels/sheet12.xml.rels><?xml version="1.0" encoding="UTF-8" standalone="yes"?><Relationships xmlns="http://schemas.openxmlformats.org/package/2006/relationships"><Relationship Id="rId1" Type="http://schemas.openxmlformats.org/officeDocument/2006/relationships/comments" Target="../comments11.xml"/><Relationship Id="rId2" Type="http://schemas.openxmlformats.org/officeDocument/2006/relationships/drawing" Target="../drawings/drawing12.xml"/><Relationship Id="rId3" Type="http://schemas.openxmlformats.org/officeDocument/2006/relationships/vmlDrawing" Target="../drawings/vmlDrawing11.vml"/></Relationships>
</file>

<file path=xl/worksheets/_rels/sheet13.xml.rels><?xml version="1.0" encoding="UTF-8" standalone="yes"?><Relationships xmlns="http://schemas.openxmlformats.org/package/2006/relationships"><Relationship Id="rId1" Type="http://schemas.openxmlformats.org/officeDocument/2006/relationships/comments" Target="../comments12.xml"/><Relationship Id="rId2" Type="http://schemas.openxmlformats.org/officeDocument/2006/relationships/drawing" Target="../drawings/drawing13.xml"/><Relationship Id="rId3" Type="http://schemas.openxmlformats.org/officeDocument/2006/relationships/vmlDrawing" Target="../drawings/vmlDrawing12.vml"/></Relationships>
</file>

<file path=xl/worksheets/_rels/sheet14.xml.rels><?xml version="1.0" encoding="UTF-8" standalone="yes"?><Relationships xmlns="http://schemas.openxmlformats.org/package/2006/relationships"><Relationship Id="rId1" Type="http://schemas.openxmlformats.org/officeDocument/2006/relationships/comments" Target="../comments13.xml"/><Relationship Id="rId2" Type="http://schemas.openxmlformats.org/officeDocument/2006/relationships/drawing" Target="../drawings/drawing14.xml"/><Relationship Id="rId3" Type="http://schemas.openxmlformats.org/officeDocument/2006/relationships/vmlDrawing" Target="../drawings/vmlDrawing13.vml"/></Relationships>
</file>

<file path=xl/worksheets/_rels/sheet15.xml.rels><?xml version="1.0" encoding="UTF-8" standalone="yes"?><Relationships xmlns="http://schemas.openxmlformats.org/package/2006/relationships"><Relationship Id="rId1" Type="http://schemas.openxmlformats.org/officeDocument/2006/relationships/comments" Target="../comments14.xml"/><Relationship Id="rId2" Type="http://schemas.openxmlformats.org/officeDocument/2006/relationships/drawing" Target="../drawings/drawing15.xml"/><Relationship Id="rId3" Type="http://schemas.openxmlformats.org/officeDocument/2006/relationships/vmlDrawing" Target="../drawings/vmlDrawing14.vml"/></Relationships>
</file>

<file path=xl/worksheets/_rels/sheet16.xml.rels><?xml version="1.0" encoding="UTF-8" standalone="yes"?><Relationships xmlns="http://schemas.openxmlformats.org/package/2006/relationships"><Relationship Id="rId1" Type="http://schemas.openxmlformats.org/officeDocument/2006/relationships/comments" Target="../comments15.xml"/><Relationship Id="rId2" Type="http://schemas.openxmlformats.org/officeDocument/2006/relationships/drawing" Target="../drawings/drawing16.xml"/><Relationship Id="rId3" Type="http://schemas.openxmlformats.org/officeDocument/2006/relationships/vmlDrawing" Target="../drawings/vmlDrawing15.vml"/></Relationships>
</file>

<file path=xl/worksheets/_rels/sheet17.xml.rels><?xml version="1.0" encoding="UTF-8" standalone="yes"?><Relationships xmlns="http://schemas.openxmlformats.org/package/2006/relationships"><Relationship Id="rId1" Type="http://schemas.openxmlformats.org/officeDocument/2006/relationships/comments" Target="../comments16.xml"/><Relationship Id="rId2" Type="http://schemas.openxmlformats.org/officeDocument/2006/relationships/drawing" Target="../drawings/drawing17.xml"/><Relationship Id="rId3" Type="http://schemas.openxmlformats.org/officeDocument/2006/relationships/vmlDrawing" Target="../drawings/vmlDrawing16.v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sheetPr>
  <sheetViews>
    <sheetView showGridLines="0" workbookViewId="0"/>
  </sheetViews>
  <sheetFormatPr customHeight="1" defaultColWidth="15.13" defaultRowHeight="15.75"/>
  <cols>
    <col customWidth="1" min="1" max="1" width="21.0"/>
    <col customWidth="1" min="2" max="2" width="86.5"/>
  </cols>
  <sheetData>
    <row r="1" hidden="1">
      <c r="A1" s="1"/>
      <c r="B1" s="2"/>
    </row>
    <row r="2" ht="7.5" customHeight="1">
      <c r="A2" s="3" t="s">
        <v>0</v>
      </c>
      <c r="B2" s="4"/>
    </row>
    <row r="3">
      <c r="A3" s="5" t="s">
        <v>1</v>
      </c>
    </row>
    <row r="4" ht="7.5" customHeight="1">
      <c r="A4" s="6"/>
    </row>
    <row r="5" ht="21.75" customHeight="1">
      <c r="A5" s="7" t="s">
        <v>2</v>
      </c>
    </row>
    <row r="6">
      <c r="A6" s="8" t="s">
        <v>3</v>
      </c>
      <c r="B6" s="9" t="s">
        <v>4</v>
      </c>
    </row>
    <row r="7">
      <c r="A7" s="8" t="s">
        <v>5</v>
      </c>
      <c r="B7" s="9" t="str">
        <f>IF($B$6&lt;carteiras.!$AK$4,"Existe(m) atualização(ões). A última versão é "&amp;carteiras.!AK4&amp;". Acesse o menu dlombello -&gt; Verificar atualizações",carteiras.!AK4)</f>
        <v/>
      </c>
    </row>
    <row r="8">
      <c r="A8" s="8" t="s">
        <v>6</v>
      </c>
      <c r="B8" s="10" t="s">
        <v>7</v>
      </c>
    </row>
    <row r="9">
      <c r="A9" s="11" t="s">
        <v>8</v>
      </c>
      <c r="B9" s="12"/>
    </row>
    <row r="10">
      <c r="A10" s="11" t="s">
        <v>9</v>
      </c>
      <c r="B10" s="12"/>
    </row>
    <row r="11">
      <c r="A11" s="13" t="s">
        <v>10</v>
      </c>
      <c r="B11" s="14"/>
    </row>
    <row r="12" ht="15.0" customHeight="1">
      <c r="A12" s="15"/>
      <c r="B12" s="16" t="s">
        <v>11</v>
      </c>
    </row>
    <row r="13">
      <c r="A13" s="17" t="s">
        <v>12</v>
      </c>
      <c r="B13" s="18" t="s">
        <v>13</v>
      </c>
    </row>
    <row r="14">
      <c r="A14" s="19" t="s">
        <v>14</v>
      </c>
      <c r="B14" s="20" t="s">
        <v>15</v>
      </c>
    </row>
    <row r="15">
      <c r="A15" s="21"/>
      <c r="B15" s="22" t="s">
        <v>16</v>
      </c>
    </row>
    <row r="16">
      <c r="A16" s="23" t="s">
        <v>17</v>
      </c>
      <c r="B16" s="24" t="s">
        <v>18</v>
      </c>
    </row>
    <row r="17">
      <c r="A17" s="25"/>
      <c r="B17" s="26" t="s">
        <v>19</v>
      </c>
    </row>
    <row r="18">
      <c r="A18" s="23" t="s">
        <v>20</v>
      </c>
      <c r="B18" s="27" t="s">
        <v>21</v>
      </c>
    </row>
    <row r="19">
      <c r="A19" s="25"/>
      <c r="B19" s="28" t="s">
        <v>22</v>
      </c>
    </row>
    <row r="20">
      <c r="A20" s="29" t="s">
        <v>23</v>
      </c>
      <c r="B20" s="30" t="str">
        <f>HYPERLINK("https://www.dlombelloplanilhas.com/planos","https://www.dlombelloplanilhas.com/planos")</f>
        <v>https://www.dlombelloplanilhas.com/planos</v>
      </c>
    </row>
    <row r="21">
      <c r="A21" s="25"/>
      <c r="B21" s="25"/>
    </row>
    <row r="22">
      <c r="A22" s="21"/>
      <c r="B22" s="22" t="s">
        <v>24</v>
      </c>
    </row>
    <row r="23">
      <c r="A23" s="31" t="s">
        <v>25</v>
      </c>
      <c r="B23" s="32" t="s">
        <v>26</v>
      </c>
    </row>
    <row r="24">
      <c r="A24" s="25"/>
      <c r="B24" s="33" t="s">
        <v>27</v>
      </c>
    </row>
    <row r="25">
      <c r="A25" s="34" t="s">
        <v>28</v>
      </c>
      <c r="B25" s="35" t="s">
        <v>29</v>
      </c>
    </row>
    <row r="26">
      <c r="A26" s="36"/>
      <c r="B26" s="33" t="s">
        <v>30</v>
      </c>
    </row>
    <row r="27">
      <c r="A27" s="34" t="s">
        <v>31</v>
      </c>
      <c r="B27" s="35" t="s">
        <v>32</v>
      </c>
    </row>
    <row r="28">
      <c r="A28" s="36"/>
      <c r="B28" s="33" t="s">
        <v>33</v>
      </c>
    </row>
    <row r="29">
      <c r="A29" s="37" t="s">
        <v>34</v>
      </c>
      <c r="B29" s="35" t="s">
        <v>35</v>
      </c>
    </row>
    <row r="30">
      <c r="A30" s="36"/>
      <c r="B30" s="33" t="s">
        <v>36</v>
      </c>
    </row>
    <row r="31">
      <c r="A31" s="37" t="s">
        <v>37</v>
      </c>
      <c r="B31" s="35" t="s">
        <v>38</v>
      </c>
    </row>
    <row r="32">
      <c r="A32" s="36"/>
      <c r="B32" s="33" t="s">
        <v>39</v>
      </c>
    </row>
    <row r="33">
      <c r="A33" s="31" t="s">
        <v>40</v>
      </c>
      <c r="B33" s="35" t="s">
        <v>41</v>
      </c>
    </row>
    <row r="34">
      <c r="A34" s="25"/>
      <c r="B34" s="33" t="s">
        <v>42</v>
      </c>
    </row>
    <row r="35">
      <c r="A35" s="21"/>
      <c r="B35" s="22" t="s">
        <v>43</v>
      </c>
    </row>
    <row r="36">
      <c r="A36" s="38" t="s">
        <v>44</v>
      </c>
      <c r="B36" s="39" t="s">
        <v>45</v>
      </c>
    </row>
    <row r="37">
      <c r="A37" s="38" t="s">
        <v>46</v>
      </c>
      <c r="B37" s="39" t="str">
        <f>HYPERLINK("www.fundsexplorer.com.br","fundsexplorer.com.br")</f>
        <v>fundsexplorer.com.br</v>
      </c>
    </row>
    <row r="38">
      <c r="A38" s="38" t="s">
        <v>47</v>
      </c>
      <c r="B38" s="39" t="s">
        <v>48</v>
      </c>
    </row>
    <row r="39">
      <c r="A39" s="40" t="s">
        <v>49</v>
      </c>
      <c r="B39" s="41" t="s">
        <v>50</v>
      </c>
    </row>
    <row r="40">
      <c r="A40" s="11" t="s">
        <v>51</v>
      </c>
      <c r="B40" s="35" t="s">
        <v>52</v>
      </c>
    </row>
    <row r="41">
      <c r="A41" s="11" t="s">
        <v>53</v>
      </c>
      <c r="B41" s="35" t="s">
        <v>54</v>
      </c>
    </row>
    <row r="42">
      <c r="A42" s="42" t="s">
        <v>55</v>
      </c>
      <c r="B42" s="43" t="s">
        <v>56</v>
      </c>
    </row>
    <row r="43">
      <c r="A43" s="44"/>
      <c r="B43" s="45" t="s">
        <v>57</v>
      </c>
    </row>
    <row r="44">
      <c r="A44" s="46"/>
      <c r="B44" s="47"/>
    </row>
  </sheetData>
  <mergeCells count="15">
    <mergeCell ref="A20:A21"/>
    <mergeCell ref="B20:B21"/>
    <mergeCell ref="A23:A24"/>
    <mergeCell ref="A25:A26"/>
    <mergeCell ref="A27:A28"/>
    <mergeCell ref="A29:A30"/>
    <mergeCell ref="A31:A32"/>
    <mergeCell ref="A33:A34"/>
    <mergeCell ref="A2:B2"/>
    <mergeCell ref="A3:B3"/>
    <mergeCell ref="A4:B4"/>
    <mergeCell ref="A5:B5"/>
    <mergeCell ref="A11:B11"/>
    <mergeCell ref="A16:A17"/>
    <mergeCell ref="A18:A19"/>
  </mergeCells>
  <conditionalFormatting sqref="B7">
    <cfRule type="beginsWith" dxfId="0" priority="1" operator="beginsWith" text="Existe">
      <formula>LEFT((B7),LEN("Existe"))=("Existe")</formula>
    </cfRule>
  </conditionalFormatting>
  <hyperlinks>
    <hyperlink r:id="rId2" ref="B8"/>
    <hyperlink r:id="rId3" ref="B13"/>
    <hyperlink r:id="rId4" ref="B14"/>
    <hyperlink r:id="rId5" ref="B19"/>
    <hyperlink r:id="rId6" ref="B24"/>
    <hyperlink r:id="rId7" ref="B26"/>
    <hyperlink r:id="rId8" ref="B28"/>
    <hyperlink r:id="rId9" ref="B30"/>
    <hyperlink r:id="rId10" ref="B32"/>
    <hyperlink r:id="rId11" ref="B34"/>
    <hyperlink r:id="rId12" ref="B36"/>
    <hyperlink r:id="rId13" ref="B38"/>
  </hyperlinks>
  <drawing r:id="rId14"/>
  <legacyDrawing r:id="rId15"/>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heetPr>
  <sheetViews>
    <sheetView showGridLines="0" workbookViewId="0"/>
  </sheetViews>
  <sheetFormatPr customHeight="1" defaultColWidth="15.13" defaultRowHeight="15.75" outlineLevelCol="1" outlineLevelRow="1"/>
  <cols>
    <col customWidth="1" hidden="1" min="1" max="1" width="2.63" outlineLevel="1"/>
    <col customWidth="1" hidden="1" min="2" max="11" width="3.13" outlineLevel="1"/>
    <col collapsed="1" customWidth="1" min="12" max="12" width="2.63"/>
    <col customWidth="1" min="13" max="13" width="15.13"/>
    <col customWidth="1" min="14" max="15" width="5.13"/>
    <col customWidth="1" min="16" max="16" width="10.13"/>
    <col customWidth="1" min="17" max="17" width="9.13"/>
    <col customWidth="1" min="18" max="32" width="7.88"/>
    <col customWidth="1" hidden="1" min="33" max="38" width="7.88" outlineLevel="1"/>
    <col collapsed="1" customWidth="1" min="39" max="39" width="2.0"/>
    <col customWidth="1" min="40" max="42" width="10.13"/>
    <col customWidth="1" min="43" max="43" width="10.0"/>
    <col customWidth="1" hidden="1" min="44" max="45" width="10.13" outlineLevel="1"/>
    <col collapsed="1" customWidth="1" min="46" max="46" width="1.88"/>
    <col customWidth="1" hidden="1" min="47" max="47" width="3.38"/>
    <col customWidth="1" hidden="1" min="48" max="50" width="11.0"/>
    <col customWidth="1" hidden="1" min="51" max="51" width="3.38"/>
    <col customWidth="1" hidden="1" min="52" max="53" width="8.88"/>
    <col customWidth="1" hidden="1" min="54" max="58" width="9.25"/>
    <col customWidth="1" hidden="1" min="59" max="59" width="3.13"/>
    <col customWidth="1" hidden="1" min="60" max="65" width="9.0"/>
    <col customWidth="1" hidden="1" min="66" max="67" width="3.38"/>
    <col customWidth="1" hidden="1" min="68" max="75" width="8.5"/>
    <col customWidth="1" hidden="1" min="76" max="76" width="3.38"/>
    <col customWidth="1" hidden="1" min="77" max="94" width="9.0"/>
    <col customWidth="1" hidden="1" min="95" max="95" width="3.38"/>
    <col customWidth="1" hidden="1" min="96" max="96" width="23.25"/>
    <col customWidth="1" hidden="1" min="97" max="97" width="32.5"/>
    <col customWidth="1" hidden="1" min="98" max="98" width="3.13"/>
    <col customWidth="1" hidden="1" min="99" max="99" width="3.38"/>
    <col customWidth="1" hidden="1" min="100" max="120" width="8.5"/>
    <col customWidth="1" hidden="1" min="121" max="121" width="8.13"/>
  </cols>
  <sheetData>
    <row r="1" ht="12.75" customHeight="1">
      <c r="A1" s="48"/>
      <c r="B1" s="49">
        <f>NOW()</f>
        <v>46092.90079</v>
      </c>
      <c r="C1" s="50"/>
      <c r="D1" s="50"/>
      <c r="E1" s="50"/>
      <c r="F1" s="50"/>
      <c r="G1" s="50"/>
      <c r="H1" s="50"/>
      <c r="I1" s="50"/>
      <c r="J1" s="50"/>
      <c r="K1" s="51"/>
      <c r="L1" s="52"/>
      <c r="M1" s="53" t="str">
        <f>HYPERLINK("bit.ly/dlombelloplanilhas","dlombello®planilhas "&amp;leiame!B6)</f>
        <v>dlombello®planilhas v6.4.02</v>
      </c>
      <c r="Q1" s="54" t="str">
        <f>image("https://lh3.googleusercontent.com/fife/ABSRlIoRwkeqx455dMEAYIU3xM0jhiUWm9uF-SD8X-Y9BIuGyWBXBzbKRightO43rRoubfFk-TFbf_xIiuBaYvAW1dxafrf53XjdNoAN3pQzhDpBGay5lR8Na1lz6HsodfG-8o8Pnde0ca6e0rgrocdmN_xaCzfb5w0EhjEVhqAXuuzbPjcBPGos2EoF8Ftmiy1oCDFF0BND-SYre6Yvd3OC"&amp;"QFkx-bgLzPG2Ex8Qaq2V7fuLzPsBNpeNYlvatsHS2tqct-7DTs_CGURMTvFAIG6oCs02BPqK64Gjlby59YLyTSuX1leLv2nU3inB_mwaV9vvTpvCIbH2HugPP13V6gQNVMysPsqY8snYckzDe1ko1i-LSOA9tfUJMJTYzSO0emPxZ8k4CdrYvWKg1WvNQbR8fbrrq0K6Nb8YEWBsbVJQjBQ0aaJlj9zXg3vxrdgQTpo5pj8at-L8Ddw488HtYnT"&amp;"PepdXIphaOgX_BGK2oytIxUG8-L17hq9DrH7t8kLnnNA1qabqHJbAwjDU1fmbvBtHrL4Mm-XCkv5JnziYdMj1V6IcDFRLFnnTCM70VkTP0vZlde2BGbfonjDeANHP3128HQVVZ7mZgeGZ_WZGbPjOI8WdZh9N0ZGcOwDqDIdnSE3O37DgjFLA_U_NbruqnDmLZPDpoRGEhXB1T5Tn42k3yPtGErHfdNQKLxEnNqDkV7DsRj8wsj3Lvryo9fu-lZ"&amp;"UiW3QtuiXOgBjS=ft")</f>
        <v/>
      </c>
      <c r="R1" s="55" t="s">
        <v>58</v>
      </c>
      <c r="S1" s="50"/>
      <c r="T1" s="50"/>
      <c r="U1" s="50"/>
      <c r="V1" s="50"/>
      <c r="W1" s="50"/>
      <c r="X1" s="50"/>
      <c r="Y1" s="50"/>
      <c r="Z1" s="50"/>
      <c r="AA1" s="50"/>
      <c r="AB1" s="50"/>
      <c r="AC1" s="50"/>
      <c r="AD1" s="50"/>
      <c r="AE1" s="50"/>
      <c r="AF1" s="50"/>
      <c r="AG1" s="50"/>
      <c r="AH1" s="50"/>
      <c r="AI1" s="50"/>
      <c r="AJ1" s="50"/>
      <c r="AK1" s="50"/>
      <c r="AL1" s="50"/>
      <c r="AM1" s="56"/>
      <c r="AN1" s="57" t="s">
        <v>59</v>
      </c>
      <c r="AO1" s="50"/>
      <c r="AP1" s="50"/>
      <c r="AQ1" s="50"/>
      <c r="AR1" s="50"/>
      <c r="AS1" s="50"/>
      <c r="AT1" s="48"/>
      <c r="AU1" s="58"/>
      <c r="AV1" s="58"/>
      <c r="AW1" s="58"/>
      <c r="AX1" s="58"/>
      <c r="AY1" s="58"/>
      <c r="AZ1" s="58"/>
      <c r="BA1" s="58"/>
      <c r="BB1" s="58"/>
      <c r="BC1" s="58"/>
      <c r="BD1" s="58"/>
      <c r="BE1" s="58"/>
      <c r="BF1" s="58"/>
      <c r="BG1" s="58"/>
      <c r="BH1" s="58"/>
      <c r="BI1" s="58"/>
      <c r="BJ1" s="58"/>
      <c r="BK1" s="58"/>
      <c r="BL1" s="58"/>
      <c r="BM1" s="58"/>
      <c r="BN1" s="58"/>
      <c r="BO1" s="59"/>
      <c r="BP1" s="60"/>
      <c r="BQ1" s="61"/>
      <c r="BR1" s="61"/>
      <c r="BS1" s="60"/>
      <c r="BT1" s="60"/>
      <c r="BU1" s="61"/>
      <c r="BV1" s="60"/>
      <c r="BW1" s="60"/>
      <c r="BX1" s="62"/>
      <c r="BY1" s="63"/>
      <c r="BZ1" s="63"/>
      <c r="CA1" s="63"/>
      <c r="CB1" s="63"/>
      <c r="CC1" s="63"/>
      <c r="CD1" s="63"/>
      <c r="CE1" s="63"/>
      <c r="CF1" s="63"/>
      <c r="CG1" s="63"/>
      <c r="CH1" s="63"/>
      <c r="CI1" s="63"/>
      <c r="CJ1" s="63"/>
      <c r="CK1" s="64"/>
      <c r="CL1" s="64"/>
      <c r="CM1" s="65"/>
      <c r="CN1" s="64"/>
      <c r="CO1" s="65"/>
      <c r="CP1" s="64"/>
      <c r="CQ1" s="63"/>
      <c r="CR1" s="63"/>
      <c r="CS1" s="63"/>
      <c r="CT1" s="63"/>
      <c r="CU1" s="66"/>
      <c r="CV1" s="67"/>
      <c r="CW1" s="67"/>
      <c r="CX1" s="67"/>
      <c r="CY1" s="67"/>
      <c r="CZ1" s="67"/>
      <c r="DA1" s="67"/>
      <c r="DB1" s="67"/>
      <c r="DC1" s="67"/>
      <c r="DD1" s="67"/>
      <c r="DE1" s="67"/>
      <c r="DF1" s="67"/>
      <c r="DG1" s="67"/>
      <c r="DH1" s="67"/>
      <c r="DI1" s="67"/>
      <c r="DJ1" s="67"/>
      <c r="DK1" s="67"/>
      <c r="DL1" s="67"/>
      <c r="DM1" s="67"/>
      <c r="DN1" s="67"/>
      <c r="DO1" s="67"/>
      <c r="DP1" s="67"/>
      <c r="DQ1" s="67"/>
    </row>
    <row r="2" ht="12.75" customHeight="1">
      <c r="A2" s="48"/>
      <c r="B2" s="68"/>
      <c r="C2" s="69"/>
      <c r="D2" s="69"/>
      <c r="E2" s="69"/>
      <c r="F2" s="69"/>
      <c r="G2" s="69"/>
      <c r="H2" s="69"/>
      <c r="I2" s="69"/>
      <c r="J2" s="69"/>
      <c r="K2" s="70"/>
      <c r="L2" s="52"/>
      <c r="M2" s="68"/>
      <c r="N2" s="69"/>
      <c r="O2" s="69"/>
      <c r="P2" s="69"/>
      <c r="Q2" s="71" t="str">
        <f>HYPERLINK("https://sites.google.com/view/diemerplanilhas/Videos","youtube")</f>
        <v>youtube</v>
      </c>
      <c r="R2" s="69"/>
      <c r="S2" s="69"/>
      <c r="T2" s="69"/>
      <c r="U2" s="69"/>
      <c r="V2" s="69"/>
      <c r="W2" s="69"/>
      <c r="X2" s="69"/>
      <c r="Y2" s="69"/>
      <c r="Z2" s="69"/>
      <c r="AA2" s="69"/>
      <c r="AB2" s="69"/>
      <c r="AC2" s="69"/>
      <c r="AD2" s="69"/>
      <c r="AE2" s="69"/>
      <c r="AF2" s="69"/>
      <c r="AG2" s="69"/>
      <c r="AH2" s="69"/>
      <c r="AI2" s="69"/>
      <c r="AJ2" s="69"/>
      <c r="AK2" s="69"/>
      <c r="AL2" s="69"/>
      <c r="AM2" s="48"/>
      <c r="AN2" s="68"/>
      <c r="AO2" s="69"/>
      <c r="AP2" s="69"/>
      <c r="AQ2" s="69"/>
      <c r="AR2" s="69"/>
      <c r="AS2" s="69"/>
      <c r="AT2" s="48"/>
      <c r="AU2" s="58"/>
      <c r="AV2" s="58"/>
      <c r="AW2" s="58"/>
      <c r="AX2" s="58"/>
      <c r="AY2" s="58"/>
      <c r="AZ2" s="58"/>
      <c r="BA2" s="58"/>
      <c r="BB2" s="58"/>
      <c r="BC2" s="58"/>
      <c r="BD2" s="58"/>
      <c r="BE2" s="58"/>
      <c r="BF2" s="58"/>
      <c r="BG2" s="58"/>
      <c r="BH2" s="58"/>
      <c r="BI2" s="58"/>
      <c r="BJ2" s="58"/>
      <c r="BK2" s="58"/>
      <c r="BL2" s="58"/>
      <c r="BM2" s="58"/>
      <c r="BN2" s="58"/>
      <c r="BO2" s="72"/>
      <c r="BP2" s="73"/>
      <c r="BQ2" s="74"/>
      <c r="BR2" s="74"/>
      <c r="BS2" s="73"/>
      <c r="BT2" s="73"/>
      <c r="BU2" s="74"/>
      <c r="BV2" s="73"/>
      <c r="BW2" s="73"/>
      <c r="BX2" s="72"/>
      <c r="BY2" s="73"/>
      <c r="BZ2" s="73"/>
      <c r="CA2" s="73"/>
      <c r="CB2" s="73"/>
      <c r="CC2" s="73"/>
      <c r="CD2" s="73"/>
      <c r="CE2" s="73"/>
      <c r="CF2" s="73"/>
      <c r="CG2" s="73"/>
      <c r="CH2" s="73"/>
      <c r="CI2" s="73"/>
      <c r="CJ2" s="73"/>
      <c r="CK2" s="74"/>
      <c r="CL2" s="74"/>
      <c r="CM2" s="75"/>
      <c r="CN2" s="74"/>
      <c r="CO2" s="75"/>
      <c r="CP2" s="74"/>
      <c r="CQ2" s="73"/>
      <c r="CR2" s="73"/>
      <c r="CS2" s="73"/>
      <c r="CT2" s="73"/>
      <c r="CU2" s="76"/>
      <c r="CV2" s="77"/>
      <c r="CW2" s="77"/>
      <c r="CX2" s="77"/>
      <c r="CY2" s="77"/>
      <c r="CZ2" s="77"/>
      <c r="DA2" s="77"/>
      <c r="DB2" s="77"/>
      <c r="DC2" s="77"/>
      <c r="DD2" s="77"/>
      <c r="DE2" s="77"/>
      <c r="DF2" s="77"/>
      <c r="DG2" s="77"/>
      <c r="DH2" s="77"/>
      <c r="DI2" s="77"/>
      <c r="DJ2" s="77"/>
      <c r="DK2" s="77"/>
      <c r="DL2" s="77"/>
      <c r="DM2" s="77"/>
      <c r="DN2" s="77"/>
      <c r="DO2" s="77"/>
      <c r="DP2" s="77"/>
      <c r="DQ2" s="77"/>
    </row>
    <row r="3" ht="3.75" customHeight="1">
      <c r="A3" s="48"/>
      <c r="B3" s="48"/>
      <c r="C3" s="48"/>
      <c r="D3" s="48"/>
      <c r="E3" s="48"/>
      <c r="F3" s="48"/>
      <c r="G3" s="48"/>
      <c r="H3" s="48"/>
      <c r="I3" s="48"/>
      <c r="J3" s="48"/>
      <c r="K3" s="48"/>
      <c r="L3" s="48"/>
      <c r="M3" s="48"/>
      <c r="N3" s="48"/>
      <c r="O3" s="48"/>
      <c r="P3" s="48"/>
      <c r="Q3" s="48"/>
      <c r="R3" s="78"/>
      <c r="S3" s="79"/>
      <c r="T3" s="48"/>
      <c r="U3" s="48"/>
      <c r="V3" s="48"/>
      <c r="W3" s="48"/>
      <c r="X3" s="48"/>
      <c r="Y3" s="48"/>
      <c r="Z3" s="48"/>
      <c r="AA3" s="48"/>
      <c r="AB3" s="48"/>
      <c r="AC3" s="48"/>
      <c r="AD3" s="48"/>
      <c r="AE3" s="48"/>
      <c r="AF3" s="80"/>
      <c r="AG3" s="80"/>
      <c r="AH3" s="80"/>
      <c r="AI3" s="80"/>
      <c r="AJ3" s="80"/>
      <c r="AK3" s="80"/>
      <c r="AL3" s="80"/>
      <c r="AM3" s="48"/>
      <c r="AN3" s="48"/>
      <c r="AO3" s="48"/>
      <c r="AP3" s="48"/>
      <c r="AQ3" s="48"/>
      <c r="AR3" s="48"/>
      <c r="AS3" s="48"/>
      <c r="AT3" s="48"/>
      <c r="AU3" s="58"/>
      <c r="AV3" s="58"/>
      <c r="AW3" s="58"/>
      <c r="AX3" s="58"/>
      <c r="AY3" s="58"/>
      <c r="AZ3" s="58"/>
      <c r="BA3" s="58"/>
      <c r="BB3" s="58"/>
      <c r="BC3" s="58"/>
      <c r="BD3" s="58"/>
      <c r="BE3" s="58"/>
      <c r="BF3" s="58"/>
      <c r="BG3" s="58"/>
      <c r="BH3" s="58"/>
      <c r="BI3" s="58"/>
      <c r="BJ3" s="58"/>
      <c r="BK3" s="58"/>
      <c r="BL3" s="58"/>
      <c r="BM3" s="58"/>
      <c r="BN3" s="58"/>
      <c r="BO3" s="72"/>
      <c r="BP3" s="73"/>
      <c r="BQ3" s="74"/>
      <c r="BR3" s="74"/>
      <c r="BS3" s="73"/>
      <c r="BT3" s="73"/>
      <c r="BU3" s="74"/>
      <c r="BV3" s="73"/>
      <c r="BW3" s="73"/>
      <c r="BX3" s="72"/>
      <c r="BY3" s="73"/>
      <c r="BZ3" s="73"/>
      <c r="CA3" s="73"/>
      <c r="CB3" s="73"/>
      <c r="CC3" s="73"/>
      <c r="CD3" s="73"/>
      <c r="CE3" s="73"/>
      <c r="CF3" s="73"/>
      <c r="CG3" s="73"/>
      <c r="CH3" s="73"/>
      <c r="CI3" s="73"/>
      <c r="CJ3" s="73"/>
      <c r="CK3" s="74"/>
      <c r="CL3" s="74"/>
      <c r="CM3" s="75"/>
      <c r="CN3" s="74"/>
      <c r="CO3" s="75"/>
      <c r="CP3" s="74"/>
      <c r="CQ3" s="73"/>
      <c r="CR3" s="73"/>
      <c r="CS3" s="73"/>
      <c r="CT3" s="73"/>
      <c r="CU3" s="76"/>
      <c r="CV3" s="77"/>
      <c r="CW3" s="77"/>
      <c r="CX3" s="77"/>
      <c r="CY3" s="77"/>
      <c r="CZ3" s="77"/>
      <c r="DA3" s="77"/>
      <c r="DB3" s="77"/>
      <c r="DC3" s="77"/>
      <c r="DD3" s="77"/>
      <c r="DE3" s="77"/>
      <c r="DF3" s="77"/>
      <c r="DG3" s="77"/>
      <c r="DH3" s="77"/>
      <c r="DI3" s="77"/>
      <c r="DJ3" s="77"/>
      <c r="DK3" s="77"/>
      <c r="DL3" s="77"/>
      <c r="DM3" s="77"/>
      <c r="DN3" s="77"/>
      <c r="DO3" s="77"/>
      <c r="DP3" s="77"/>
      <c r="DQ3" s="77"/>
    </row>
    <row r="4" ht="15.75" customHeight="1">
      <c r="A4" s="48"/>
      <c r="B4" s="81" t="s">
        <v>60</v>
      </c>
      <c r="D4" s="82" t="s">
        <v>61</v>
      </c>
      <c r="F4" s="82" t="s">
        <v>62</v>
      </c>
      <c r="H4" s="81" t="s">
        <v>63</v>
      </c>
      <c r="J4" s="82" t="s">
        <v>64</v>
      </c>
      <c r="K4" s="83"/>
      <c r="L4" s="52"/>
      <c r="M4" s="84" t="str">
        <f>"Você tem o plano: "&amp;IF('config.parâmetros'!O2="GRATUITO","GRATUITO", IF('config.parâmetros'!O2="","&lt;aguarde leitura, tecle F5&gt;", IF(MID('config.parâmetros'!O2,1,10)="UALN_001_2","PREMIUM", IF(MID('config.parâmetros'!O2,1,10)="UALN_001_I","ULTIMATE", IF(MID('config.parâmetros'!O2,1,10)="STARTER_01","STARTER", IF(MID('config.parâmetros'!O2,1,10)="PREMIUM_01","PREMIUM", IF(MID('config.parâmetros'!O2,1,10)="ULTIMATE_0","ULTIMATE", IF(MID('config.parâmetros'!O2,1,10)="MULTI_03_L","MULTI INVESTIDOR", IF(MID('config.parâmetros'!O2,1,10)="MULTI_05_L","MULTI INVESTIDOR","PERSONALIZADO")))))))))</f>
        <v>Você tem o plano: &lt;aguarde leitura, tecle F5&gt;</v>
      </c>
      <c r="N4" s="85"/>
      <c r="O4" s="85"/>
      <c r="P4" s="86"/>
      <c r="Q4" s="87" t="str">
        <f>IF(AV11,"INVESTIDOR ▶","Conheça ▶")</f>
        <v>Conheça ▶</v>
      </c>
      <c r="R4" s="88" t="b">
        <v>1</v>
      </c>
      <c r="S4" s="89" t="str">
        <f>IF(NOT(AV11),"  Carteiras",IF('config.parâmetros'!B17="","","Investidor "&amp;'config.parâmetros'!B17))</f>
        <v>  Carteiras</v>
      </c>
      <c r="T4" s="86"/>
      <c r="U4" s="88" t="b">
        <v>1</v>
      </c>
      <c r="V4" s="89" t="str">
        <f>IF(NOT(AV11),"     Books",IF('config.parâmetros'!B18="","","Investidor "&amp;'config.parâmetros'!B18))</f>
        <v>     Books</v>
      </c>
      <c r="W4" s="86"/>
      <c r="X4" s="88" t="b">
        <v>1</v>
      </c>
      <c r="Y4" s="89" t="str">
        <f>IF(NOT(AV11),"Multi investidor",IF('config.parâmetros'!B19="","","Investidor "&amp;'config.parâmetros'!B19))</f>
        <v>Multi investidor</v>
      </c>
      <c r="Z4" s="86"/>
      <c r="AA4" s="88" t="b">
        <v>1</v>
      </c>
      <c r="AB4" s="89" t="str">
        <f>IF(NOT(AV11),"  Summary",IF('config.parâmetros'!B20="","","Investidor "&amp;'config.parâmetros'!B20))</f>
        <v>  Summary</v>
      </c>
      <c r="AC4" s="86"/>
      <c r="AD4" s="90" t="b">
        <v>1</v>
      </c>
      <c r="AE4" s="91" t="str">
        <f>IF(NOT(AV11),"DARF/DIRF",IF('config.parâmetros'!B21="","","Investidor "&amp;'config.parâmetros'!B21))</f>
        <v>DARF/DIRF</v>
      </c>
      <c r="AF4" s="92"/>
      <c r="AG4" s="93" t="b">
        <v>1</v>
      </c>
      <c r="AH4" s="91" t="str">
        <f>IF(NOT(AV11),"Sistema Web",IF('config.parâmetros'!B22="","","Investidor "&amp;'config.parâmetros'!B22))</f>
        <v>Sistema Web</v>
      </c>
      <c r="AI4" s="92"/>
      <c r="AJ4" s="93" t="b">
        <v>1</v>
      </c>
      <c r="AK4" s="91" t="str">
        <f>IF(NOT(AV11),"      Caixa",IF('config.parâmetros'!B23="","","Investidor "&amp;'config.parâmetros'!B23))</f>
        <v>      Caixa</v>
      </c>
      <c r="AL4" s="92"/>
      <c r="AM4" s="48"/>
      <c r="AN4" s="94" t="s">
        <v>65</v>
      </c>
      <c r="AO4" s="94" t="s">
        <v>66</v>
      </c>
      <c r="AP4" s="94" t="s">
        <v>67</v>
      </c>
      <c r="AQ4" s="95" t="str">
        <f>CONCATENATE("% ",$AS$4," dias")</f>
        <v>% 30 dias</v>
      </c>
      <c r="AR4" s="96" t="s">
        <v>68</v>
      </c>
      <c r="AS4" s="97">
        <v>30.0</v>
      </c>
      <c r="AT4" s="48"/>
      <c r="AU4" s="58"/>
      <c r="AV4" s="58"/>
      <c r="AW4" s="58"/>
      <c r="AX4" s="58"/>
      <c r="AY4" s="58"/>
      <c r="AZ4" s="58"/>
      <c r="BA4" s="58"/>
      <c r="BB4" s="58"/>
      <c r="BC4" s="58"/>
      <c r="BD4" s="58"/>
      <c r="BE4" s="58"/>
      <c r="BF4" s="58"/>
      <c r="BG4" s="58"/>
      <c r="BH4" s="58"/>
      <c r="BI4" s="58"/>
      <c r="BJ4" s="58"/>
      <c r="BK4" s="58"/>
      <c r="BL4" s="58"/>
      <c r="BM4" s="58"/>
      <c r="BN4" s="58"/>
      <c r="BO4" s="72"/>
      <c r="BP4" s="73"/>
      <c r="BQ4" s="74"/>
      <c r="BR4" s="74"/>
      <c r="BS4" s="73"/>
      <c r="BT4" s="73"/>
      <c r="BU4" s="74"/>
      <c r="BV4" s="73"/>
      <c r="BW4" s="73"/>
      <c r="BX4" s="72"/>
      <c r="BY4" s="73"/>
      <c r="BZ4" s="73"/>
      <c r="CA4" s="73"/>
      <c r="CB4" s="73"/>
      <c r="CC4" s="73"/>
      <c r="CD4" s="73"/>
      <c r="CE4" s="73"/>
      <c r="CF4" s="73"/>
      <c r="CG4" s="73"/>
      <c r="CH4" s="73"/>
      <c r="CI4" s="73"/>
      <c r="CJ4" s="73"/>
      <c r="CK4" s="74"/>
      <c r="CL4" s="74"/>
      <c r="CM4" s="75"/>
      <c r="CN4" s="74"/>
      <c r="CO4" s="75"/>
      <c r="CP4" s="74"/>
      <c r="CQ4" s="73"/>
      <c r="CR4" s="73"/>
      <c r="CS4" s="73"/>
      <c r="CT4" s="73"/>
      <c r="CU4" s="76"/>
      <c r="CV4" s="77"/>
      <c r="CW4" s="77"/>
      <c r="CX4" s="77"/>
      <c r="CY4" s="77"/>
      <c r="CZ4" s="77"/>
      <c r="DA4" s="77"/>
      <c r="DB4" s="77"/>
      <c r="DC4" s="77"/>
      <c r="DD4" s="77"/>
      <c r="DE4" s="77"/>
      <c r="DF4" s="77"/>
      <c r="DG4" s="77"/>
      <c r="DH4" s="77"/>
      <c r="DI4" s="77"/>
      <c r="DJ4" s="77"/>
      <c r="DK4" s="77"/>
      <c r="DL4" s="77"/>
      <c r="DM4" s="77"/>
      <c r="DN4" s="77"/>
      <c r="DO4" s="77"/>
      <c r="DP4" s="77"/>
      <c r="DQ4" s="77"/>
    </row>
    <row r="5" ht="3.75" customHeight="1" outlineLevel="1">
      <c r="A5" s="48"/>
      <c r="B5" s="98">
        <v>0.1275</v>
      </c>
      <c r="C5" s="83"/>
      <c r="D5" s="99" t="s">
        <v>69</v>
      </c>
      <c r="E5" s="83"/>
      <c r="F5" s="99" t="s">
        <v>70</v>
      </c>
      <c r="G5" s="83"/>
      <c r="H5" s="100" t="s">
        <v>71</v>
      </c>
      <c r="I5" s="83"/>
      <c r="J5" s="101">
        <f>BT81</f>
        <v>5.19280091</v>
      </c>
      <c r="K5" s="83"/>
      <c r="L5" s="52"/>
      <c r="M5" s="48"/>
      <c r="N5" s="48"/>
      <c r="O5" s="48"/>
      <c r="P5" s="48"/>
      <c r="Q5" s="48"/>
      <c r="R5" s="48"/>
      <c r="S5" s="48"/>
      <c r="T5" s="48"/>
      <c r="U5" s="48"/>
      <c r="V5" s="48"/>
      <c r="W5" s="48"/>
      <c r="X5" s="48"/>
      <c r="Y5" s="48"/>
      <c r="Z5" s="48"/>
      <c r="AA5" s="48"/>
      <c r="AB5" s="48"/>
      <c r="AC5" s="48"/>
      <c r="AD5" s="48"/>
      <c r="AE5" s="48"/>
      <c r="AF5" s="48"/>
      <c r="AG5" s="48"/>
      <c r="AH5" s="48"/>
      <c r="AI5" s="48"/>
      <c r="AJ5" s="48"/>
      <c r="AK5" s="48"/>
      <c r="AL5" s="48"/>
      <c r="AM5" s="48"/>
      <c r="AN5" s="48"/>
      <c r="AO5" s="48"/>
      <c r="AP5" s="48"/>
      <c r="AQ5" s="48"/>
      <c r="AR5" s="48"/>
      <c r="AS5" s="48"/>
      <c r="AT5" s="48"/>
      <c r="AU5" s="58"/>
      <c r="AV5" s="58"/>
      <c r="AW5" s="58"/>
      <c r="AX5" s="58"/>
      <c r="AY5" s="58"/>
      <c r="AZ5" s="58"/>
      <c r="BA5" s="58"/>
      <c r="BB5" s="58"/>
      <c r="BC5" s="58"/>
      <c r="BD5" s="58"/>
      <c r="BE5" s="58"/>
      <c r="BF5" s="58"/>
      <c r="BG5" s="58"/>
      <c r="BH5" s="58"/>
      <c r="BI5" s="58"/>
      <c r="BJ5" s="58"/>
      <c r="BK5" s="58"/>
      <c r="BL5" s="58"/>
      <c r="BM5" s="58"/>
      <c r="BN5" s="58"/>
      <c r="BO5" s="72"/>
      <c r="BP5" s="73"/>
      <c r="BQ5" s="74"/>
      <c r="BR5" s="74"/>
      <c r="BS5" s="73"/>
      <c r="BT5" s="73"/>
      <c r="BU5" s="74"/>
      <c r="BV5" s="73"/>
      <c r="BW5" s="73"/>
      <c r="BX5" s="72"/>
      <c r="BY5" s="73"/>
      <c r="BZ5" s="73"/>
      <c r="CA5" s="73"/>
      <c r="CB5" s="73"/>
      <c r="CC5" s="73"/>
      <c r="CD5" s="73"/>
      <c r="CE5" s="73"/>
      <c r="CF5" s="73"/>
      <c r="CG5" s="73"/>
      <c r="CH5" s="73"/>
      <c r="CI5" s="73"/>
      <c r="CJ5" s="73"/>
      <c r="CK5" s="74"/>
      <c r="CL5" s="74"/>
      <c r="CM5" s="75"/>
      <c r="CN5" s="74"/>
      <c r="CO5" s="75"/>
      <c r="CP5" s="74"/>
      <c r="CQ5" s="73"/>
      <c r="CR5" s="73"/>
      <c r="CS5" s="73"/>
      <c r="CT5" s="73"/>
      <c r="CU5" s="76"/>
      <c r="CV5" s="77"/>
      <c r="CW5" s="77"/>
      <c r="CX5" s="77"/>
      <c r="CY5" s="77"/>
      <c r="CZ5" s="77"/>
      <c r="DA5" s="77"/>
      <c r="DB5" s="77"/>
      <c r="DC5" s="77"/>
      <c r="DD5" s="77"/>
      <c r="DE5" s="77"/>
      <c r="DF5" s="77"/>
      <c r="DG5" s="77"/>
      <c r="DH5" s="77"/>
      <c r="DI5" s="77"/>
      <c r="DJ5" s="77"/>
      <c r="DK5" s="77"/>
      <c r="DL5" s="77"/>
      <c r="DM5" s="77"/>
      <c r="DN5" s="77"/>
      <c r="DO5" s="77"/>
      <c r="DP5" s="77"/>
      <c r="DQ5" s="77"/>
    </row>
    <row r="6" ht="15.75" customHeight="1" outlineLevel="1">
      <c r="A6" s="48"/>
      <c r="B6" s="69"/>
      <c r="C6" s="70"/>
      <c r="D6" s="69"/>
      <c r="E6" s="70"/>
      <c r="F6" s="69"/>
      <c r="G6" s="70"/>
      <c r="H6" s="69"/>
      <c r="I6" s="70"/>
      <c r="J6" s="69"/>
      <c r="K6" s="70"/>
      <c r="L6" s="52"/>
      <c r="M6" s="102" t="s">
        <v>72</v>
      </c>
      <c r="P6" s="83"/>
      <c r="Q6" s="103" t="s">
        <v>73</v>
      </c>
      <c r="S6" s="83"/>
      <c r="T6" s="104" t="s">
        <v>74</v>
      </c>
      <c r="U6" s="105" t="s">
        <v>75</v>
      </c>
      <c r="AA6" s="83"/>
      <c r="AB6" s="106" t="s">
        <v>76</v>
      </c>
      <c r="AG6" s="83"/>
      <c r="AH6" s="106" t="s">
        <v>77</v>
      </c>
      <c r="AJ6" s="83"/>
      <c r="AK6" s="106" t="s">
        <v>78</v>
      </c>
      <c r="AL6" s="83"/>
      <c r="AM6" s="48"/>
      <c r="AN6" s="107" t="s">
        <v>79</v>
      </c>
      <c r="AO6" s="108">
        <f>IBOVPRICE</f>
        <v>183969.34</v>
      </c>
      <c r="AP6" s="109">
        <f>IF(NOT(ConfigOn),"",IBOVCHANGEPCT/100)</f>
        <v>0.0028</v>
      </c>
      <c r="AQ6" s="109">
        <f>IFERROR(__xludf.DUMMYFUNCTION("IF(NOT(ConfigOn),"""",IFERROR(AO6/INDEX(IFERROR(GOOGLEFINANCE(""INDEXBVMF:""&amp;AN6,""price"",TODAY()-$AS$4,TODAY(),1),IFERROR(GOOGLEFINANCE(""BVMF:""&amp;AN6,""price"",TODAY()-$AS$4,TODAY(),1),GOOGLEFINANCE(AN6,""price"",TODAY()-$AS$4,TODAY(),1))),2,2)-1))"),-0.012198217203877815)</f>
        <v>-0.0121982172</v>
      </c>
      <c r="AR6" s="110" t="str">
        <f>IFERROR(__xludf.DUMMYFUNCTION("IF(NOT(ConfigOn),"""",IFERROR(SPARKLINE(GOOGLEFINANCE(""INDEXBVMF:""&amp;AN6,""price"",TODAY()-$AS$4,TODAY()))))"),"")</f>
        <v/>
      </c>
      <c r="AS6" s="111"/>
      <c r="AT6" s="48"/>
      <c r="AU6" s="58"/>
      <c r="AV6" s="112" t="s">
        <v>80</v>
      </c>
      <c r="AW6" s="58"/>
      <c r="AX6" s="58"/>
      <c r="AY6" s="58"/>
      <c r="AZ6" s="58"/>
      <c r="BA6" s="58"/>
      <c r="BB6" s="58"/>
      <c r="BC6" s="58"/>
      <c r="BD6" s="58"/>
      <c r="BE6" s="58"/>
      <c r="BF6" s="58"/>
      <c r="BG6" s="58"/>
      <c r="BH6" s="58"/>
      <c r="BI6" s="58"/>
      <c r="BJ6" s="58"/>
      <c r="BK6" s="58"/>
      <c r="BL6" s="58"/>
      <c r="BM6" s="58"/>
      <c r="BN6" s="58"/>
      <c r="BO6" s="72"/>
      <c r="BP6" s="73"/>
      <c r="BQ6" s="74"/>
      <c r="BR6" s="74"/>
      <c r="BS6" s="73"/>
      <c r="BT6" s="73"/>
      <c r="BU6" s="74"/>
      <c r="BV6" s="73"/>
      <c r="BW6" s="73"/>
      <c r="BX6" s="72"/>
      <c r="BY6" s="73"/>
      <c r="BZ6" s="73"/>
      <c r="CA6" s="73"/>
      <c r="CB6" s="73"/>
      <c r="CC6" s="73"/>
      <c r="CD6" s="73"/>
      <c r="CE6" s="73"/>
      <c r="CF6" s="73"/>
      <c r="CG6" s="73"/>
      <c r="CH6" s="73"/>
      <c r="CI6" s="73"/>
      <c r="CJ6" s="73"/>
      <c r="CK6" s="74"/>
      <c r="CL6" s="74"/>
      <c r="CM6" s="75"/>
      <c r="CN6" s="74"/>
      <c r="CO6" s="75"/>
      <c r="CP6" s="74"/>
      <c r="CQ6" s="73"/>
      <c r="CR6" s="73"/>
      <c r="CS6" s="73"/>
      <c r="CT6" s="73"/>
      <c r="CU6" s="76"/>
      <c r="CV6" s="77"/>
      <c r="CW6" s="77"/>
      <c r="CX6" s="77"/>
      <c r="CY6" s="77"/>
      <c r="CZ6" s="77"/>
      <c r="DA6" s="77"/>
      <c r="DB6" s="77"/>
      <c r="DC6" s="77"/>
      <c r="DD6" s="77"/>
      <c r="DE6" s="77"/>
      <c r="DF6" s="77"/>
      <c r="DG6" s="77"/>
      <c r="DH6" s="77"/>
      <c r="DI6" s="77"/>
      <c r="DJ6" s="77"/>
      <c r="DK6" s="77"/>
      <c r="DL6" s="77"/>
      <c r="DM6" s="77"/>
      <c r="DN6" s="77"/>
      <c r="DO6" s="77"/>
      <c r="DP6" s="77"/>
      <c r="DQ6" s="77"/>
    </row>
    <row r="7" ht="15.75" customHeight="1" outlineLevel="1">
      <c r="A7" s="48"/>
      <c r="B7" s="82" t="s">
        <v>81</v>
      </c>
      <c r="D7" s="82" t="s">
        <v>82</v>
      </c>
      <c r="F7" s="82" t="s">
        <v>83</v>
      </c>
      <c r="H7" s="82" t="s">
        <v>84</v>
      </c>
      <c r="J7" s="82" t="s">
        <v>85</v>
      </c>
      <c r="K7" s="83"/>
      <c r="L7" s="52"/>
      <c r="M7" s="113"/>
      <c r="P7" s="83"/>
      <c r="Q7" s="114" t="s">
        <v>86</v>
      </c>
      <c r="R7" s="115" t="s">
        <v>87</v>
      </c>
      <c r="S7" s="115" t="s">
        <v>88</v>
      </c>
      <c r="T7" s="83"/>
      <c r="U7" s="115" t="s">
        <v>86</v>
      </c>
      <c r="V7" s="115" t="s">
        <v>87</v>
      </c>
      <c r="W7" s="115" t="s">
        <v>89</v>
      </c>
      <c r="X7" s="115" t="s">
        <v>90</v>
      </c>
      <c r="Y7" s="115" t="s">
        <v>91</v>
      </c>
      <c r="Z7" s="115" t="s">
        <v>92</v>
      </c>
      <c r="AA7" s="116" t="s">
        <v>93</v>
      </c>
      <c r="AB7" s="115" t="s">
        <v>86</v>
      </c>
      <c r="AC7" s="115" t="s">
        <v>87</v>
      </c>
      <c r="AD7" s="115" t="s">
        <v>89</v>
      </c>
      <c r="AE7" s="116" t="s">
        <v>94</v>
      </c>
      <c r="AF7" s="115" t="s">
        <v>92</v>
      </c>
      <c r="AG7" s="116" t="s">
        <v>93</v>
      </c>
      <c r="AH7" s="115" t="s">
        <v>86</v>
      </c>
      <c r="AI7" s="115" t="s">
        <v>87</v>
      </c>
      <c r="AJ7" s="116" t="s">
        <v>93</v>
      </c>
      <c r="AK7" s="116" t="s">
        <v>95</v>
      </c>
      <c r="AL7" s="116" t="s">
        <v>96</v>
      </c>
      <c r="AM7" s="48"/>
      <c r="AN7" s="107" t="s">
        <v>97</v>
      </c>
      <c r="AO7" s="108">
        <f>IFIXPRICE</f>
        <v>3873.59</v>
      </c>
      <c r="AP7" s="109">
        <f>IF(NOT(ConfigOn),"",IFIXCHANGEPCT/100)</f>
        <v>-0.0007</v>
      </c>
      <c r="AQ7" s="109">
        <f>IFERROR(__xludf.DUMMYFUNCTION("IF(NOT(ConfigOn),"""",IFERROR(AO7/INDEX(IFERROR(GOOGLEFINANCE(""INDEXBVMF:""&amp;AN7,""price"",TODAY()-$AS$4,TODAY(),1),IFERROR(GOOGLEFINANCE(""BVMF:""&amp;AN7,""price"",TODAY()-$AS$4,TODAY(),1),GOOGLEFINANCE(AN7,""price"",TODAY()-$AS$4,TODAY(),1))),2,2)-1))"),0.007839290639163776)</f>
        <v>0.007839290639</v>
      </c>
      <c r="AR7" s="110" t="str">
        <f>IFERROR(__xludf.DUMMYFUNCTION("IF(NOT(ConfigOn),"""",IFERROR(SPARKLINE(GOOGLEFINANCE(""INDEXBVMF:""&amp;AN7,""price"",TODAY()-$AS$4,TODAY()))))"),"")</f>
        <v/>
      </c>
      <c r="AS7" s="111"/>
      <c r="AT7" s="48"/>
      <c r="AU7" s="58"/>
      <c r="AV7" s="117" t="b">
        <f>config.books!$BU$1</f>
        <v>0</v>
      </c>
      <c r="AW7" s="58"/>
      <c r="AX7" s="58"/>
      <c r="AY7" s="58"/>
      <c r="AZ7" s="58"/>
      <c r="BA7" s="58"/>
      <c r="BB7" s="58"/>
      <c r="BC7" s="58"/>
      <c r="BD7" s="58"/>
      <c r="BE7" s="58"/>
      <c r="BF7" s="58"/>
      <c r="BG7" s="58"/>
      <c r="BH7" s="58"/>
      <c r="BI7" s="58"/>
      <c r="BJ7" s="58"/>
      <c r="BK7" s="58"/>
      <c r="BL7" s="58"/>
      <c r="BM7" s="58"/>
      <c r="BN7" s="58"/>
      <c r="BO7" s="72"/>
      <c r="BP7" s="73"/>
      <c r="BQ7" s="74"/>
      <c r="BR7" s="74"/>
      <c r="BS7" s="73"/>
      <c r="BT7" s="73"/>
      <c r="BU7" s="74"/>
      <c r="BV7" s="73"/>
      <c r="BW7" s="73"/>
      <c r="BX7" s="72"/>
      <c r="BY7" s="73"/>
      <c r="BZ7" s="73"/>
      <c r="CA7" s="73"/>
      <c r="CB7" s="73"/>
      <c r="CC7" s="73"/>
      <c r="CD7" s="73"/>
      <c r="CE7" s="73"/>
      <c r="CF7" s="73"/>
      <c r="CG7" s="73"/>
      <c r="CH7" s="73"/>
      <c r="CI7" s="73"/>
      <c r="CJ7" s="73"/>
      <c r="CK7" s="74"/>
      <c r="CL7" s="74"/>
      <c r="CM7" s="75"/>
      <c r="CN7" s="74"/>
      <c r="CO7" s="75"/>
      <c r="CP7" s="74"/>
      <c r="CQ7" s="73"/>
      <c r="CR7" s="73"/>
      <c r="CS7" s="73"/>
      <c r="CT7" s="73"/>
      <c r="CU7" s="76"/>
      <c r="CV7" s="77"/>
      <c r="CW7" s="77"/>
      <c r="CX7" s="77"/>
      <c r="CY7" s="77"/>
      <c r="CZ7" s="77"/>
      <c r="DA7" s="77"/>
      <c r="DB7" s="77"/>
      <c r="DC7" s="77"/>
      <c r="DD7" s="77"/>
      <c r="DE7" s="77"/>
      <c r="DF7" s="77"/>
      <c r="DG7" s="77"/>
      <c r="DH7" s="77"/>
      <c r="DI7" s="77"/>
      <c r="DJ7" s="77"/>
      <c r="DK7" s="77"/>
      <c r="DL7" s="77"/>
      <c r="DM7" s="77"/>
      <c r="DN7" s="77"/>
      <c r="DO7" s="77"/>
      <c r="DP7" s="77"/>
      <c r="DQ7" s="77"/>
    </row>
    <row r="8" ht="15.75" customHeight="1" outlineLevel="1">
      <c r="A8" s="48"/>
      <c r="B8" s="99" t="s">
        <v>98</v>
      </c>
      <c r="C8" s="83"/>
      <c r="D8" s="99" t="s">
        <v>99</v>
      </c>
      <c r="E8" s="83"/>
      <c r="F8" s="99" t="s">
        <v>100</v>
      </c>
      <c r="G8" s="83"/>
      <c r="H8" s="99" t="s">
        <v>101</v>
      </c>
      <c r="I8" s="83"/>
      <c r="J8" s="99" t="s">
        <v>101</v>
      </c>
      <c r="K8" s="83"/>
      <c r="L8" s="52"/>
      <c r="M8" s="113"/>
      <c r="P8" s="83"/>
      <c r="Q8" s="118">
        <f t="shared" ref="Q8:R8" si="1">DF63</f>
        <v>0</v>
      </c>
      <c r="R8" s="118">
        <f t="shared" si="1"/>
        <v>0</v>
      </c>
      <c r="S8" s="118">
        <f>DM63</f>
        <v>0</v>
      </c>
      <c r="T8" s="118">
        <f>DH63</f>
        <v>0</v>
      </c>
      <c r="U8" s="118">
        <f t="shared" ref="U8:V8" si="2">DF60</f>
        <v>0</v>
      </c>
      <c r="V8" s="118">
        <f t="shared" si="2"/>
        <v>0</v>
      </c>
      <c r="W8" s="118">
        <f>DL60</f>
        <v>0</v>
      </c>
      <c r="X8" s="118">
        <f>DK60-Y8</f>
        <v>0</v>
      </c>
      <c r="Y8" s="118">
        <f>DN65</f>
        <v>0</v>
      </c>
      <c r="Z8" s="118">
        <f>DJ60</f>
        <v>0</v>
      </c>
      <c r="AA8" s="118">
        <f>DM60</f>
        <v>0</v>
      </c>
      <c r="AB8" s="118">
        <f>$DF$61</f>
        <v>0</v>
      </c>
      <c r="AC8" s="118">
        <f>$DG$61</f>
        <v>0</v>
      </c>
      <c r="AD8" s="118">
        <f>DL61</f>
        <v>0</v>
      </c>
      <c r="AE8" s="118">
        <f>DK61</f>
        <v>0</v>
      </c>
      <c r="AF8" s="118">
        <f>DJ61</f>
        <v>0</v>
      </c>
      <c r="AG8" s="118">
        <f>$DM$61</f>
        <v>0</v>
      </c>
      <c r="AH8" s="118">
        <f>$DF$62</f>
        <v>0</v>
      </c>
      <c r="AI8" s="118">
        <f>DG62</f>
        <v>0</v>
      </c>
      <c r="AJ8" s="118">
        <f>DM62</f>
        <v>0</v>
      </c>
      <c r="AK8" s="119">
        <f t="shared" ref="AK8:AL8" si="3">DN63</f>
        <v>-0.001414936773</v>
      </c>
      <c r="AL8" s="120">
        <f t="shared" si="3"/>
        <v>-0.01684772746</v>
      </c>
      <c r="AM8" s="48"/>
      <c r="AN8" s="107" t="str">
        <f>"USD"&amp;'config.parâmetros'!$B$8</f>
        <v>USDBRL</v>
      </c>
      <c r="AO8" s="121">
        <f>BT81</f>
        <v>5.19280091</v>
      </c>
      <c r="AP8" s="109">
        <f>IFERROR(__xludf.DUMMYFUNCTION("IF(NOT(ConfigOn),"""",IFERROR(AO8/INDEX(SORT(GOOGLEFINANCE(AN8,""price"",TODAY()-3,TODAY(),1),1,0),2,2)-1))"),0.005596721470206623)</f>
        <v>0.00559672147</v>
      </c>
      <c r="AQ8" s="109">
        <f>IFERROR(__xludf.DUMMYFUNCTION("IF(NOT(ConfigOn),"""",IFERROR(AO8/INDEX(GOOGLEFINANCE(AN8,""price"",TODAY()-$AS$4,TODAY(),1),2,2)-1))"),2.3131789814301307E-4)</f>
        <v>0.0002313178981</v>
      </c>
      <c r="AR8" s="110" t="str">
        <f>IFERROR(__xludf.DUMMYFUNCTION("IF(NOT(ConfigOn),"""",IFERROR(SPARKLINE(GOOGLEFINANCE(AN8,""price"",TODAY()-$AS$4,TODAY()))))"),"")</f>
        <v/>
      </c>
      <c r="AS8" s="111"/>
      <c r="AT8" s="48"/>
      <c r="AU8" s="58"/>
      <c r="AV8" s="117" t="b">
        <f>AND($M$20,ConfigOn,carteiras.!$AE$4&gt;0)</f>
        <v>0</v>
      </c>
      <c r="AW8" s="58"/>
      <c r="AX8" s="58"/>
      <c r="AY8" s="58"/>
      <c r="AZ8" s="58"/>
      <c r="BA8" s="58"/>
      <c r="BB8" s="58"/>
      <c r="BC8" s="58"/>
      <c r="BD8" s="58"/>
      <c r="BE8" s="58"/>
      <c r="BF8" s="58"/>
      <c r="BG8" s="58"/>
      <c r="BH8" s="58"/>
      <c r="BI8" s="58"/>
      <c r="BJ8" s="58"/>
      <c r="BK8" s="58"/>
      <c r="BL8" s="58"/>
      <c r="BM8" s="58"/>
      <c r="BN8" s="58"/>
      <c r="BO8" s="72"/>
      <c r="BP8" s="73"/>
      <c r="BQ8" s="74"/>
      <c r="BR8" s="74"/>
      <c r="BS8" s="73"/>
      <c r="BT8" s="73"/>
      <c r="BU8" s="74"/>
      <c r="BV8" s="73"/>
      <c r="BW8" s="73"/>
      <c r="BX8" s="72"/>
      <c r="BY8" s="73"/>
      <c r="BZ8" s="73"/>
      <c r="CA8" s="73"/>
      <c r="CB8" s="73"/>
      <c r="CC8" s="73"/>
      <c r="CD8" s="73"/>
      <c r="CE8" s="73"/>
      <c r="CF8" s="73"/>
      <c r="CG8" s="73"/>
      <c r="CH8" s="73"/>
      <c r="CI8" s="73"/>
      <c r="CJ8" s="73"/>
      <c r="CK8" s="74"/>
      <c r="CL8" s="74"/>
      <c r="CM8" s="75"/>
      <c r="CN8" s="74"/>
      <c r="CO8" s="75"/>
      <c r="CP8" s="74"/>
      <c r="CQ8" s="73"/>
      <c r="CR8" s="73"/>
      <c r="CS8" s="73"/>
      <c r="CT8" s="73"/>
      <c r="CU8" s="76"/>
      <c r="CV8" s="77"/>
      <c r="CW8" s="77"/>
      <c r="CX8" s="77"/>
      <c r="CY8" s="77"/>
      <c r="CZ8" s="77"/>
      <c r="DA8" s="77"/>
      <c r="DB8" s="77"/>
      <c r="DC8" s="77"/>
      <c r="DD8" s="77"/>
      <c r="DE8" s="77"/>
      <c r="DF8" s="77"/>
      <c r="DG8" s="77"/>
      <c r="DH8" s="77"/>
      <c r="DI8" s="77"/>
      <c r="DJ8" s="77"/>
      <c r="DK8" s="77"/>
      <c r="DL8" s="77"/>
      <c r="DM8" s="77"/>
      <c r="DN8" s="77"/>
      <c r="DO8" s="77"/>
      <c r="DP8" s="77"/>
      <c r="DQ8" s="77"/>
    </row>
    <row r="9" ht="7.5" customHeight="1" collapsed="1">
      <c r="A9" s="48"/>
      <c r="B9" s="48"/>
      <c r="C9" s="48"/>
      <c r="D9" s="48"/>
      <c r="E9" s="48"/>
      <c r="F9" s="48"/>
      <c r="G9" s="48"/>
      <c r="H9" s="48"/>
      <c r="I9" s="48"/>
      <c r="J9" s="48"/>
      <c r="K9" s="48"/>
      <c r="L9" s="52"/>
      <c r="M9" s="48"/>
      <c r="N9" s="48"/>
      <c r="O9" s="48"/>
      <c r="P9" s="48"/>
      <c r="Q9" s="122"/>
      <c r="R9" s="122"/>
      <c r="S9" s="122"/>
      <c r="T9" s="122"/>
      <c r="U9" s="122"/>
      <c r="V9" s="122"/>
      <c r="W9" s="122"/>
      <c r="X9" s="122"/>
      <c r="Y9" s="122"/>
      <c r="Z9" s="122"/>
      <c r="AA9" s="122"/>
      <c r="AB9" s="122"/>
      <c r="AC9" s="122"/>
      <c r="AD9" s="122"/>
      <c r="AE9" s="122"/>
      <c r="AF9" s="122"/>
      <c r="AG9" s="123"/>
      <c r="AH9" s="123"/>
      <c r="AI9" s="48"/>
      <c r="AJ9" s="48"/>
      <c r="AK9" s="48"/>
      <c r="AL9" s="48"/>
      <c r="AM9" s="48"/>
      <c r="AN9" s="48"/>
      <c r="AO9" s="48"/>
      <c r="AP9" s="48"/>
      <c r="AQ9" s="48"/>
      <c r="AR9" s="48"/>
      <c r="AS9" s="48"/>
      <c r="AT9" s="48"/>
      <c r="AU9" s="58"/>
      <c r="AV9" s="58"/>
      <c r="AW9" s="58"/>
      <c r="AX9" s="58"/>
      <c r="AY9" s="58"/>
      <c r="AZ9" s="58"/>
      <c r="BA9" s="58"/>
      <c r="BB9" s="58"/>
      <c r="BC9" s="58"/>
      <c r="BD9" s="58"/>
      <c r="BE9" s="58"/>
      <c r="BF9" s="58"/>
      <c r="BG9" s="58"/>
      <c r="BH9" s="58"/>
      <c r="BI9" s="58"/>
      <c r="BJ9" s="58"/>
      <c r="BK9" s="58"/>
      <c r="BL9" s="58"/>
      <c r="BM9" s="58"/>
      <c r="BN9" s="58"/>
      <c r="BO9" s="72"/>
      <c r="BP9" s="73"/>
      <c r="BQ9" s="74"/>
      <c r="BR9" s="74"/>
      <c r="BS9" s="73"/>
      <c r="BT9" s="73"/>
      <c r="BU9" s="74"/>
      <c r="BV9" s="73"/>
      <c r="BW9" s="73"/>
      <c r="BX9" s="72"/>
      <c r="BY9" s="73"/>
      <c r="BZ9" s="73"/>
      <c r="CA9" s="73"/>
      <c r="CB9" s="73"/>
      <c r="CC9" s="73"/>
      <c r="CD9" s="73"/>
      <c r="CE9" s="73"/>
      <c r="CF9" s="73"/>
      <c r="CG9" s="73"/>
      <c r="CH9" s="73"/>
      <c r="CI9" s="73"/>
      <c r="CJ9" s="73"/>
      <c r="CK9" s="74"/>
      <c r="CL9" s="74"/>
      <c r="CM9" s="75"/>
      <c r="CN9" s="74"/>
      <c r="CO9" s="75"/>
      <c r="CP9" s="74"/>
      <c r="CQ9" s="73"/>
      <c r="CR9" s="73"/>
      <c r="CS9" s="73"/>
      <c r="CT9" s="73"/>
      <c r="CU9" s="76"/>
      <c r="CV9" s="77"/>
      <c r="CW9" s="77"/>
      <c r="CX9" s="77"/>
      <c r="CY9" s="77"/>
      <c r="CZ9" s="77"/>
      <c r="DA9" s="77"/>
      <c r="DB9" s="77"/>
      <c r="DC9" s="77"/>
      <c r="DD9" s="77"/>
      <c r="DE9" s="77"/>
      <c r="DF9" s="77"/>
      <c r="DG9" s="77"/>
      <c r="DH9" s="77"/>
      <c r="DI9" s="77"/>
      <c r="DJ9" s="77"/>
      <c r="DK9" s="77"/>
      <c r="DL9" s="77"/>
      <c r="DM9" s="77"/>
      <c r="DN9" s="77"/>
      <c r="DO9" s="77"/>
      <c r="DP9" s="77"/>
      <c r="DQ9" s="77"/>
    </row>
    <row r="10" ht="15.75" hidden="1" customHeight="1" outlineLevel="1">
      <c r="A10" s="48"/>
      <c r="B10" s="124" t="s">
        <v>102</v>
      </c>
      <c r="H10" s="125" t="s">
        <v>103</v>
      </c>
      <c r="L10" s="52"/>
      <c r="M10" s="126" t="b">
        <v>0</v>
      </c>
      <c r="N10" s="127" t="s">
        <v>104</v>
      </c>
      <c r="O10" s="50"/>
      <c r="P10" s="51"/>
      <c r="Q10" s="128" t="s">
        <v>73</v>
      </c>
      <c r="R10" s="129" t="str">
        <f>IFERROR(__xludf.DUMMYFUNCTION("IF(NOT($AV$7),"""",IFERROR(TRANSPOSE(query({config.books!BN5:BV14;config.books!BN22:BV24},""select Col2 where Col2 is not null and Col4&lt;&gt;0 order by Col9""))))"),"")</f>
        <v/>
      </c>
      <c r="S10" s="129"/>
      <c r="T10" s="129"/>
      <c r="U10" s="129"/>
      <c r="V10" s="129"/>
      <c r="W10" s="129"/>
      <c r="X10" s="129"/>
      <c r="Y10" s="129"/>
      <c r="Z10" s="129"/>
      <c r="AA10" s="129"/>
      <c r="AB10" s="129"/>
      <c r="AC10" s="129"/>
      <c r="AD10" s="129"/>
      <c r="AE10" s="129"/>
      <c r="AF10" s="130"/>
      <c r="AG10" s="130"/>
      <c r="AH10" s="130"/>
      <c r="AI10" s="130"/>
      <c r="AJ10" s="130"/>
      <c r="AK10" s="130"/>
      <c r="AL10" s="130"/>
      <c r="AM10" s="48"/>
      <c r="AN10" s="131" t="s">
        <v>79</v>
      </c>
      <c r="AO10" s="108">
        <f t="shared" ref="AO10:AQ10" si="4">AO6</f>
        <v>183969.34</v>
      </c>
      <c r="AP10" s="109">
        <f t="shared" si="4"/>
        <v>0.0028</v>
      </c>
      <c r="AQ10" s="109">
        <f t="shared" si="4"/>
        <v>-0.0121982172</v>
      </c>
      <c r="AR10" s="110" t="str">
        <f>IFERROR(__xludf.DUMMYFUNCTION("IF(NOT(ConfigOn),"""",IFERROR(SPARKLINE(GOOGLEFINANCE(""INDEXBVMF:""&amp;AN10,""price"",TODAY()-$AS$4,TODAY()))))"),"")</f>
        <v/>
      </c>
      <c r="AS10" s="111"/>
      <c r="AU10" s="58"/>
      <c r="AV10" s="112" t="s">
        <v>105</v>
      </c>
      <c r="AW10" s="58"/>
      <c r="AX10" s="58"/>
      <c r="AY10" s="58"/>
      <c r="AZ10" s="58"/>
      <c r="BA10" s="58"/>
      <c r="BB10" s="58"/>
      <c r="BC10" s="58"/>
      <c r="BD10" s="58"/>
      <c r="BE10" s="58"/>
      <c r="BF10" s="58"/>
      <c r="BG10" s="58"/>
      <c r="BH10" s="58"/>
      <c r="BI10" s="58"/>
      <c r="BJ10" s="58"/>
      <c r="BK10" s="58"/>
      <c r="BL10" s="58"/>
      <c r="BM10" s="58"/>
      <c r="BN10" s="58"/>
      <c r="BO10" s="72"/>
      <c r="BP10" s="73"/>
      <c r="BQ10" s="74"/>
      <c r="BR10" s="74"/>
      <c r="BS10" s="73"/>
      <c r="BT10" s="73"/>
      <c r="BU10" s="74"/>
      <c r="BV10" s="73"/>
      <c r="BW10" s="73"/>
      <c r="BX10" s="72"/>
      <c r="BY10" s="73"/>
      <c r="BZ10" s="73"/>
      <c r="CA10" s="73"/>
      <c r="CB10" s="73"/>
      <c r="CC10" s="73"/>
      <c r="CD10" s="73"/>
      <c r="CE10" s="73"/>
      <c r="CF10" s="73"/>
      <c r="CG10" s="73"/>
      <c r="CH10" s="73"/>
      <c r="CI10" s="73"/>
      <c r="CJ10" s="73"/>
      <c r="CK10" s="74"/>
      <c r="CL10" s="74"/>
      <c r="CM10" s="75"/>
      <c r="CN10" s="74"/>
      <c r="CO10" s="75"/>
      <c r="CP10" s="74"/>
      <c r="CQ10" s="73"/>
      <c r="CR10" s="73"/>
      <c r="CS10" s="73"/>
      <c r="CT10" s="73"/>
      <c r="CU10" s="76"/>
      <c r="CV10" s="77"/>
      <c r="CW10" s="77"/>
      <c r="CX10" s="77"/>
      <c r="CY10" s="77"/>
      <c r="CZ10" s="77"/>
      <c r="DA10" s="77"/>
      <c r="DB10" s="77"/>
      <c r="DC10" s="77"/>
      <c r="DD10" s="77"/>
      <c r="DE10" s="77"/>
      <c r="DF10" s="77"/>
      <c r="DG10" s="77"/>
      <c r="DH10" s="77"/>
      <c r="DI10" s="77"/>
      <c r="DJ10" s="77"/>
      <c r="DK10" s="77"/>
      <c r="DL10" s="77"/>
      <c r="DM10" s="77"/>
      <c r="DN10" s="77"/>
      <c r="DO10" s="77"/>
      <c r="DP10" s="77"/>
      <c r="DQ10" s="77"/>
    </row>
    <row r="11" ht="15.75" hidden="1" customHeight="1" outlineLevel="1">
      <c r="A11" s="48"/>
      <c r="B11" s="132" t="str">
        <f>IF(NOT(ConfigOn),"",IFERROR(TEXT(IBOVPRICE,"#,##0.00"),""))</f>
        <v>183.969,34</v>
      </c>
      <c r="G11" s="132" t="str">
        <f>IF(NOT(ConfigOn),"",TEXT(IBOVCHANGE,"#,##0.00")&amp;" ("&amp;TEXT(IBOVCHANGEPCT,"#,##0.00")&amp;"%)")</f>
        <v>522,34 (0,28%)</v>
      </c>
      <c r="L11" s="52"/>
      <c r="M11" s="68"/>
      <c r="N11" s="69"/>
      <c r="O11" s="69"/>
      <c r="P11" s="70"/>
      <c r="Q11" s="83"/>
      <c r="R11" s="133"/>
      <c r="S11" s="133"/>
      <c r="T11" s="133"/>
      <c r="U11" s="133"/>
      <c r="V11" s="133"/>
      <c r="W11" s="133"/>
      <c r="X11" s="133"/>
      <c r="Y11" s="133"/>
      <c r="Z11" s="133"/>
      <c r="AA11" s="133"/>
      <c r="AB11" s="133"/>
      <c r="AC11" s="133"/>
      <c r="AD11" s="133"/>
      <c r="AE11" s="133"/>
      <c r="AF11" s="133"/>
      <c r="AG11" s="133"/>
      <c r="AH11" s="133"/>
      <c r="AI11" s="133"/>
      <c r="AJ11" s="133"/>
      <c r="AK11" s="133"/>
      <c r="AL11" s="133"/>
      <c r="AM11" s="48"/>
      <c r="AN11" s="131" t="s">
        <v>97</v>
      </c>
      <c r="AO11" s="108">
        <f t="shared" ref="AO11:AQ11" si="5">AO7</f>
        <v>3873.59</v>
      </c>
      <c r="AP11" s="109">
        <f t="shared" si="5"/>
        <v>-0.0007</v>
      </c>
      <c r="AQ11" s="109">
        <f t="shared" si="5"/>
        <v>0.007839290639</v>
      </c>
      <c r="AR11" s="110" t="str">
        <f>IFERROR(__xludf.DUMMYFUNCTION("IF(NOT(ConfigOn),"""",IFERROR(SPARKLINE(GOOGLEFINANCE(""INDEXBVMF:""&amp;AN11,""price"",TODAY()-$AS$4,TODAY()))))"),"")</f>
        <v/>
      </c>
      <c r="AS11" s="111"/>
      <c r="AT11" s="48"/>
      <c r="AU11" s="58"/>
      <c r="AV11" s="117" t="str">
        <f>'config.parâmetros'!P7</f>
        <v/>
      </c>
      <c r="AW11" s="58"/>
      <c r="AX11" s="58"/>
      <c r="AY11" s="58"/>
      <c r="AZ11" s="58"/>
      <c r="BA11" s="58"/>
      <c r="BB11" s="58"/>
      <c r="BC11" s="58"/>
      <c r="BD11" s="58"/>
      <c r="BE11" s="58"/>
      <c r="BF11" s="58"/>
      <c r="BG11" s="58"/>
      <c r="BH11" s="58"/>
      <c r="BI11" s="58"/>
      <c r="BJ11" s="58"/>
      <c r="BK11" s="58"/>
      <c r="BL11" s="58"/>
      <c r="BM11" s="58"/>
      <c r="BN11" s="58"/>
      <c r="BO11" s="72"/>
      <c r="BP11" s="73"/>
      <c r="BQ11" s="74"/>
      <c r="BR11" s="74"/>
      <c r="BS11" s="73"/>
      <c r="BT11" s="73"/>
      <c r="BU11" s="74"/>
      <c r="BV11" s="73"/>
      <c r="BW11" s="73"/>
      <c r="BX11" s="72"/>
      <c r="BY11" s="73"/>
      <c r="BZ11" s="73"/>
      <c r="CA11" s="73"/>
      <c r="CB11" s="73"/>
      <c r="CC11" s="73"/>
      <c r="CD11" s="73"/>
      <c r="CE11" s="73"/>
      <c r="CF11" s="73"/>
      <c r="CG11" s="73"/>
      <c r="CH11" s="73"/>
      <c r="CI11" s="73"/>
      <c r="CJ11" s="73"/>
      <c r="CK11" s="74"/>
      <c r="CL11" s="74"/>
      <c r="CM11" s="75"/>
      <c r="CN11" s="74"/>
      <c r="CO11" s="75"/>
      <c r="CP11" s="74"/>
      <c r="CQ11" s="73"/>
      <c r="CR11" s="73"/>
      <c r="CS11" s="73"/>
      <c r="CT11" s="73"/>
      <c r="CU11" s="76"/>
      <c r="CV11" s="77"/>
      <c r="CW11" s="77"/>
      <c r="CX11" s="77"/>
      <c r="CY11" s="77"/>
      <c r="CZ11" s="77"/>
      <c r="DA11" s="77"/>
      <c r="DB11" s="77"/>
      <c r="DC11" s="77"/>
      <c r="DD11" s="77"/>
      <c r="DE11" s="77"/>
      <c r="DF11" s="77"/>
      <c r="DG11" s="77"/>
      <c r="DH11" s="77"/>
      <c r="DI11" s="77"/>
      <c r="DJ11" s="77"/>
      <c r="DK11" s="77"/>
      <c r="DL11" s="77"/>
      <c r="DM11" s="77"/>
      <c r="DN11" s="77"/>
      <c r="DO11" s="77"/>
      <c r="DP11" s="77"/>
      <c r="DQ11" s="77"/>
    </row>
    <row r="12" ht="15.75" hidden="1" customHeight="1" outlineLevel="1">
      <c r="A12" s="48"/>
      <c r="B12" s="134" t="str">
        <f>IFERROR(__xludf.DUMMYFUNCTION("IF(NOT(ConfigOn),"""",IFERROR(SPARKLINE(IBOVCHANGEHISTORICO,{""charttype"",""column"";""negcolor"",""red""}),""Dados não disponíveis no momento""))"),"")</f>
        <v/>
      </c>
      <c r="C12" s="135"/>
      <c r="D12" s="135"/>
      <c r="E12" s="135"/>
      <c r="F12" s="135"/>
      <c r="G12" s="135"/>
      <c r="H12" s="135"/>
      <c r="I12" s="135"/>
      <c r="J12" s="135"/>
      <c r="K12" s="136"/>
      <c r="L12" s="52"/>
      <c r="M12" s="137" t="s">
        <v>106</v>
      </c>
      <c r="N12" s="69"/>
      <c r="O12" s="69"/>
      <c r="P12" s="70"/>
      <c r="Q12" s="138" t="str">
        <f>IF(NOT(config.books!$BU$1),"","100%")</f>
        <v/>
      </c>
      <c r="R12" s="139" t="str">
        <f>IFERROR(__xludf.DUMMYFUNCTION("IF(NOT($AV$7),"""",IFERROR(TRANSPOSE(query({config.books!BN5:BV14;config.books!BN22:BV24},""select Col3 where Col2 is not null and Col4&lt;&gt;0 order by Col9""))))"),"")</f>
        <v/>
      </c>
      <c r="S12" s="139"/>
      <c r="T12" s="139"/>
      <c r="U12" s="139"/>
      <c r="V12" s="140"/>
      <c r="W12" s="139"/>
      <c r="X12" s="139"/>
      <c r="Y12" s="139"/>
      <c r="Z12" s="139"/>
      <c r="AA12" s="139"/>
      <c r="AB12" s="139"/>
      <c r="AC12" s="139"/>
      <c r="AD12" s="139"/>
      <c r="AE12" s="139"/>
      <c r="AF12" s="139"/>
      <c r="AG12" s="139"/>
      <c r="AH12" s="139"/>
      <c r="AI12" s="139"/>
      <c r="AJ12" s="139"/>
      <c r="AK12" s="139"/>
      <c r="AL12" s="139"/>
      <c r="AM12" s="48"/>
      <c r="AN12" s="131" t="s">
        <v>107</v>
      </c>
      <c r="AO12" s="141">
        <f>IFERROR(__xludf.DUMMYFUNCTION("IF(NOT(ConfigOn),"""",IFERROR(GOOGLEFINANCE(AN12)))"),47417.27)</f>
        <v>47417.27</v>
      </c>
      <c r="AP12" s="109">
        <f>IFERROR(__xludf.DUMMYFUNCTION("IF(NOT(ConfigOn),"""",IFERROR(AO12/INDEX(SORT(GOOGLEFINANCE(AN12,""price"",TODAY()-3,TODAY(),1),1,0),2,2)-1))"),-0.006062904203220976)</f>
        <v>-0.006062904203</v>
      </c>
      <c r="AQ12" s="109">
        <f>IFERROR(__xludf.DUMMYFUNCTION("IF(NOT(ConfigOn),"""",IFERROR(AO12/INDEX(GOOGLEFINANCE(AN12,""price"",TODAY()-$AS$4,TODAY(),1),2,2)-1))"),-0.0542246499362633)</f>
        <v>-0.05422464994</v>
      </c>
      <c r="AR12" s="110" t="str">
        <f>IFERROR(__xludf.DUMMYFUNCTION("IF(NOT(ConfigOn),"""",IFERROR(SPARKLINE(GOOGLEFINANCE(AN12,""price"",TODAY()-$AS$4,TODAY()))))"),"")</f>
        <v/>
      </c>
      <c r="AS12" s="111"/>
      <c r="AT12" s="48"/>
      <c r="AU12" s="58"/>
      <c r="AV12" s="58"/>
      <c r="AW12" s="58"/>
      <c r="AX12" s="58"/>
      <c r="AY12" s="58"/>
      <c r="AZ12" s="58"/>
      <c r="BA12" s="58"/>
      <c r="BB12" s="58"/>
      <c r="BC12" s="58"/>
      <c r="BD12" s="58"/>
      <c r="BE12" s="58"/>
      <c r="BF12" s="58"/>
      <c r="BG12" s="58"/>
      <c r="BH12" s="58"/>
      <c r="BI12" s="58"/>
      <c r="BJ12" s="58"/>
      <c r="BK12" s="58"/>
      <c r="BL12" s="58"/>
      <c r="BM12" s="58"/>
      <c r="BN12" s="58"/>
      <c r="BO12" s="72"/>
      <c r="BP12" s="73"/>
      <c r="BQ12" s="74"/>
      <c r="BR12" s="74"/>
      <c r="BS12" s="73"/>
      <c r="BT12" s="73"/>
      <c r="BU12" s="74"/>
      <c r="BV12" s="73"/>
      <c r="BW12" s="73"/>
      <c r="BX12" s="72"/>
      <c r="BY12" s="73"/>
      <c r="BZ12" s="73"/>
      <c r="CA12" s="73"/>
      <c r="CB12" s="73"/>
      <c r="CC12" s="73"/>
      <c r="CD12" s="73"/>
      <c r="CE12" s="73"/>
      <c r="CF12" s="73"/>
      <c r="CG12" s="73"/>
      <c r="CH12" s="73"/>
      <c r="CI12" s="73"/>
      <c r="CJ12" s="73"/>
      <c r="CK12" s="74"/>
      <c r="CL12" s="74"/>
      <c r="CM12" s="75"/>
      <c r="CN12" s="74"/>
      <c r="CO12" s="75"/>
      <c r="CP12" s="74"/>
      <c r="CQ12" s="73"/>
      <c r="CR12" s="73"/>
      <c r="CS12" s="73"/>
      <c r="CT12" s="73"/>
      <c r="CU12" s="76"/>
      <c r="CV12" s="77"/>
      <c r="CW12" s="77"/>
      <c r="CX12" s="77"/>
      <c r="CY12" s="77"/>
      <c r="CZ12" s="77"/>
      <c r="DA12" s="77"/>
      <c r="DB12" s="77"/>
      <c r="DC12" s="77"/>
      <c r="DD12" s="77"/>
      <c r="DE12" s="77"/>
      <c r="DF12" s="77"/>
      <c r="DG12" s="77"/>
      <c r="DH12" s="77"/>
      <c r="DI12" s="77"/>
      <c r="DJ12" s="77"/>
      <c r="DK12" s="77"/>
      <c r="DL12" s="77"/>
      <c r="DM12" s="77"/>
      <c r="DN12" s="77"/>
      <c r="DO12" s="77"/>
      <c r="DP12" s="77"/>
      <c r="DQ12" s="77"/>
    </row>
    <row r="13" ht="15.75" hidden="1" customHeight="1" outlineLevel="1">
      <c r="A13" s="48"/>
      <c r="B13" s="142"/>
      <c r="C13" s="143"/>
      <c r="D13" s="143"/>
      <c r="E13" s="143"/>
      <c r="F13" s="143"/>
      <c r="G13" s="143"/>
      <c r="H13" s="143"/>
      <c r="I13" s="143"/>
      <c r="J13" s="143"/>
      <c r="K13" s="144"/>
      <c r="L13" s="52"/>
      <c r="M13" s="137" t="s">
        <v>108</v>
      </c>
      <c r="N13" s="69"/>
      <c r="O13" s="69"/>
      <c r="P13" s="70"/>
      <c r="Q13" s="145"/>
      <c r="R13" s="139" t="str">
        <f>IFERROR(__xludf.DUMMYFUNCTION("IF(NOT($AV$7),"""",IFERROR(TRANSPOSE(query({config.books!BN5:BV14;config.books!BN22:BV24},""select Col6,Col4,Col5 where Col2 is not null and Col4&lt;&gt;0 order by Col9""))))"),"")</f>
        <v/>
      </c>
      <c r="S13" s="139"/>
      <c r="T13" s="139"/>
      <c r="U13" s="139"/>
      <c r="V13" s="139"/>
      <c r="W13" s="139"/>
      <c r="X13" s="139"/>
      <c r="Y13" s="139"/>
      <c r="Z13" s="139"/>
      <c r="AA13" s="139"/>
      <c r="AB13" s="139"/>
      <c r="AC13" s="139"/>
      <c r="AD13" s="139"/>
      <c r="AE13" s="139"/>
      <c r="AF13" s="139"/>
      <c r="AG13" s="139"/>
      <c r="AH13" s="139"/>
      <c r="AI13" s="139"/>
      <c r="AJ13" s="139"/>
      <c r="AK13" s="139"/>
      <c r="AL13" s="139"/>
      <c r="AM13" s="48"/>
      <c r="AN13" s="131" t="s">
        <v>109</v>
      </c>
      <c r="AO13" s="141">
        <f>IFERROR(__xludf.DUMMYFUNCTION("IF(NOT(ConfigOn),"""",IFERROR(GOOGLEFINANCE(AN13)))"),22716.14)</f>
        <v>22716.14</v>
      </c>
      <c r="AP13" s="109">
        <f>IFERROR(__xludf.DUMMYFUNCTION("IF(NOT(ConfigOn),"""",IFERROR(AO13/INDEX(SORT(GOOGLEFINANCE(AN13,""price"",TODAY()-3,TODAY(),1),1,0),2,2)-1))"),0.0)</f>
        <v>0</v>
      </c>
      <c r="AQ13" s="109">
        <f>IFERROR(__xludf.DUMMYFUNCTION("IF(NOT(ConfigOn),"""",IFERROR(AO13/INDEX(GOOGLEFINANCE(AN13,""price"",TODAY()-$AS$4,TODAY(),1),2,2)-1))"),-0.022485365986951833)</f>
        <v>-0.02248536599</v>
      </c>
      <c r="AR13" s="110" t="str">
        <f>IFERROR(__xludf.DUMMYFUNCTION("IF(NOT(ConfigOn),"""",IFERROR(SPARKLINE(GOOGLEFINANCE(AN13,""price"",TODAY()-$AS$4,TODAY()))))"),"")</f>
        <v/>
      </c>
      <c r="AS13" s="111"/>
      <c r="AT13" s="48"/>
      <c r="AU13" s="58"/>
      <c r="AV13" s="146" t="s">
        <v>110</v>
      </c>
      <c r="AW13" s="58"/>
      <c r="AX13" s="58"/>
      <c r="AY13" s="58"/>
      <c r="AZ13" s="58"/>
      <c r="BA13" s="58"/>
      <c r="BB13" s="58"/>
      <c r="BC13" s="58"/>
      <c r="BD13" s="58"/>
      <c r="BE13" s="58"/>
      <c r="BF13" s="58"/>
      <c r="BG13" s="58"/>
      <c r="BH13" s="58"/>
      <c r="BI13" s="58"/>
      <c r="BJ13" s="58"/>
      <c r="BK13" s="58"/>
      <c r="BL13" s="58"/>
      <c r="BM13" s="58"/>
      <c r="BN13" s="58"/>
      <c r="BO13" s="72"/>
      <c r="BP13" s="73"/>
      <c r="BQ13" s="74"/>
      <c r="BR13" s="74"/>
      <c r="BS13" s="73"/>
      <c r="BT13" s="73"/>
      <c r="BU13" s="74"/>
      <c r="BV13" s="73"/>
      <c r="BW13" s="73"/>
      <c r="BX13" s="72"/>
      <c r="BY13" s="73"/>
      <c r="BZ13" s="73"/>
      <c r="CA13" s="73"/>
      <c r="CB13" s="73"/>
      <c r="CC13" s="73"/>
      <c r="CD13" s="73"/>
      <c r="CE13" s="73"/>
      <c r="CF13" s="73"/>
      <c r="CG13" s="73"/>
      <c r="CH13" s="73"/>
      <c r="CI13" s="73"/>
      <c r="CJ13" s="73"/>
      <c r="CK13" s="74"/>
      <c r="CL13" s="74"/>
      <c r="CM13" s="75"/>
      <c r="CN13" s="74"/>
      <c r="CO13" s="75"/>
      <c r="CP13" s="74"/>
      <c r="CQ13" s="73"/>
      <c r="CR13" s="73"/>
      <c r="CS13" s="73"/>
      <c r="CT13" s="73"/>
      <c r="CU13" s="76"/>
      <c r="CV13" s="77"/>
      <c r="CW13" s="77"/>
      <c r="CX13" s="77"/>
      <c r="CY13" s="77"/>
      <c r="CZ13" s="77"/>
      <c r="DA13" s="77"/>
      <c r="DB13" s="77"/>
      <c r="DC13" s="77"/>
      <c r="DD13" s="77"/>
      <c r="DE13" s="77"/>
      <c r="DF13" s="77"/>
      <c r="DG13" s="77"/>
      <c r="DH13" s="77"/>
      <c r="DI13" s="77"/>
      <c r="DJ13" s="77"/>
      <c r="DK13" s="77"/>
      <c r="DL13" s="77"/>
      <c r="DM13" s="77"/>
      <c r="DN13" s="77"/>
      <c r="DO13" s="77"/>
      <c r="DP13" s="77"/>
      <c r="DQ13" s="77"/>
    </row>
    <row r="14" ht="15.75" hidden="1" customHeight="1" outlineLevel="1">
      <c r="A14" s="48"/>
      <c r="B14" s="124" t="s">
        <v>97</v>
      </c>
      <c r="H14" s="125" t="s">
        <v>103</v>
      </c>
      <c r="L14" s="52"/>
      <c r="M14" s="137" t="s">
        <v>111</v>
      </c>
      <c r="N14" s="69"/>
      <c r="O14" s="69"/>
      <c r="P14" s="70"/>
      <c r="Q14" s="147" t="str">
        <f>IF(NOT(config.books!$BU$1),"",IFERROR(SUM(config.books!BQ22:BQ24),0))</f>
        <v/>
      </c>
      <c r="R14" s="148"/>
      <c r="S14" s="148"/>
      <c r="T14" s="148"/>
      <c r="U14" s="148"/>
      <c r="V14" s="148"/>
      <c r="W14" s="148"/>
      <c r="X14" s="148"/>
      <c r="Y14" s="148"/>
      <c r="Z14" s="148"/>
      <c r="AA14" s="148"/>
      <c r="AB14" s="148"/>
      <c r="AC14" s="148"/>
      <c r="AD14" s="148"/>
      <c r="AE14" s="148"/>
      <c r="AF14" s="148"/>
      <c r="AG14" s="148"/>
      <c r="AH14" s="148"/>
      <c r="AI14" s="148"/>
      <c r="AJ14" s="148"/>
      <c r="AK14" s="148"/>
      <c r="AL14" s="148"/>
      <c r="AM14" s="48"/>
      <c r="AN14" s="131" t="str">
        <f>"USD"&amp;'config.parâmetros'!$B$8</f>
        <v>USDBRL</v>
      </c>
      <c r="AO14" s="121">
        <f t="shared" ref="AO14:AQ14" si="6">AO8</f>
        <v>5.19280091</v>
      </c>
      <c r="AP14" s="109">
        <f t="shared" si="6"/>
        <v>0.00559672147</v>
      </c>
      <c r="AQ14" s="109">
        <f t="shared" si="6"/>
        <v>0.0002313178981</v>
      </c>
      <c r="AR14" s="110" t="str">
        <f>IFERROR(__xludf.DUMMYFUNCTION("IF(NOT(ConfigOn),"""",IFERROR(SPARKLINE(GOOGLEFINANCE(AN14,""price"",TODAY()-$AS$4,TODAY()))))"),"")</f>
        <v/>
      </c>
      <c r="AS14" s="111"/>
      <c r="AT14" s="48"/>
      <c r="AU14" s="58"/>
      <c r="AV14" s="117" t="b">
        <f>IF(AJ42="Ativos com posição",FALSE,TRUE)</f>
        <v>0</v>
      </c>
      <c r="AW14" s="58"/>
      <c r="AX14" s="58"/>
      <c r="AY14" s="58"/>
      <c r="AZ14" s="58"/>
      <c r="BA14" s="58"/>
      <c r="BB14" s="58"/>
      <c r="BC14" s="58"/>
      <c r="BD14" s="58"/>
      <c r="BE14" s="58"/>
      <c r="BF14" s="58"/>
      <c r="BG14" s="58"/>
      <c r="BH14" s="58"/>
      <c r="BI14" s="58"/>
      <c r="BJ14" s="58"/>
      <c r="BK14" s="58"/>
      <c r="BL14" s="58"/>
      <c r="BM14" s="58"/>
      <c r="BN14" s="58"/>
      <c r="BO14" s="72"/>
      <c r="BP14" s="73"/>
      <c r="BQ14" s="74"/>
      <c r="BR14" s="74"/>
      <c r="BS14" s="73"/>
      <c r="BT14" s="73"/>
      <c r="BU14" s="74"/>
      <c r="BV14" s="73"/>
      <c r="BW14" s="73"/>
      <c r="BX14" s="72"/>
      <c r="BY14" s="73"/>
      <c r="BZ14" s="73"/>
      <c r="CA14" s="73"/>
      <c r="CB14" s="73"/>
      <c r="CC14" s="73"/>
      <c r="CD14" s="73"/>
      <c r="CE14" s="73"/>
      <c r="CF14" s="73"/>
      <c r="CG14" s="73"/>
      <c r="CH14" s="73"/>
      <c r="CI14" s="73"/>
      <c r="CJ14" s="73"/>
      <c r="CK14" s="74"/>
      <c r="CL14" s="74"/>
      <c r="CM14" s="75"/>
      <c r="CN14" s="74"/>
      <c r="CO14" s="75"/>
      <c r="CP14" s="74"/>
      <c r="CQ14" s="73"/>
      <c r="CR14" s="73"/>
      <c r="CS14" s="73"/>
      <c r="CT14" s="73"/>
      <c r="CU14" s="76"/>
      <c r="CV14" s="77"/>
      <c r="CW14" s="77"/>
      <c r="CX14" s="77"/>
      <c r="CY14" s="77"/>
      <c r="CZ14" s="77"/>
      <c r="DA14" s="77"/>
      <c r="DB14" s="77"/>
      <c r="DC14" s="77"/>
      <c r="DD14" s="77"/>
      <c r="DE14" s="77"/>
      <c r="DF14" s="77"/>
      <c r="DG14" s="77"/>
      <c r="DH14" s="77"/>
      <c r="DI14" s="77"/>
      <c r="DJ14" s="77"/>
      <c r="DK14" s="77"/>
      <c r="DL14" s="77"/>
      <c r="DM14" s="77"/>
      <c r="DN14" s="77"/>
      <c r="DO14" s="77"/>
      <c r="DP14" s="77"/>
      <c r="DQ14" s="77"/>
    </row>
    <row r="15" ht="15.75" hidden="1" customHeight="1" outlineLevel="1">
      <c r="A15" s="48"/>
      <c r="B15" s="132" t="str">
        <f>IF(NOT(ConfigOn),"",IFERROR(TEXT(IFIXPRICE,"#,##0.00"),""))</f>
        <v>3.873,59</v>
      </c>
      <c r="G15" s="132" t="str">
        <f>IF(NOT(ConfigOn),"",TEXT(IFIXCHANGE,"#,##0.00")&amp;" ("&amp;TEXT(IFIXCHANGEPCT,"0.00")&amp;"%)")</f>
        <v>-2,86 (-0,07%)</v>
      </c>
      <c r="L15" s="52"/>
      <c r="M15" s="137" t="s">
        <v>112</v>
      </c>
      <c r="N15" s="69"/>
      <c r="O15" s="69"/>
      <c r="P15" s="70"/>
      <c r="Q15" s="147" t="str">
        <f>IF(NOT(config.books!$BU$1),"",IFERROR(SUM(config.books!BR22:BR24),0))</f>
        <v/>
      </c>
      <c r="R15" s="148"/>
      <c r="S15" s="148"/>
      <c r="T15" s="148"/>
      <c r="U15" s="148"/>
      <c r="V15" s="148"/>
      <c r="W15" s="148"/>
      <c r="X15" s="148"/>
      <c r="Y15" s="148"/>
      <c r="Z15" s="148"/>
      <c r="AA15" s="148"/>
      <c r="AB15" s="148"/>
      <c r="AC15" s="148"/>
      <c r="AD15" s="148"/>
      <c r="AE15" s="148"/>
      <c r="AF15" s="148"/>
      <c r="AG15" s="148"/>
      <c r="AH15" s="148"/>
      <c r="AI15" s="148"/>
      <c r="AJ15" s="148"/>
      <c r="AK15" s="148"/>
      <c r="AL15" s="148"/>
      <c r="AM15" s="48"/>
      <c r="AN15" s="131" t="s">
        <v>113</v>
      </c>
      <c r="AO15" s="141">
        <f>IFERROR(__xludf.DUMMYFUNCTION("IF(NOT(ConfigOn),"""",IFERROR(GOOGLEFINANCE(AN15)))"),70264.21)</f>
        <v>70264.21</v>
      </c>
      <c r="AP15" s="109">
        <f>IFERROR(__xludf.DUMMYFUNCTION("IF(NOT(ConfigOn),"""",IFERROR(AO15/INDEX(SORT(GOOGLEFINANCE(AN15,""price"",TODAY()-3,TODAY(),1),1,0),2,2)-1))"),0.004717571308724411)</f>
        <v>0.004717571309</v>
      </c>
      <c r="AQ15" s="109">
        <f>IFERROR(__xludf.DUMMYFUNCTION("IF(NOT(ConfigOn),"""",IFERROR(AO15/INDEX(GOOGLEFINANCE(AN15,""price"",TODAY()-$AS$4,TODAY(),1),2,2)-1))"),-0.010452577450401956)</f>
        <v>-0.01045257745</v>
      </c>
      <c r="AR15" s="110" t="str">
        <f>IFERROR(__xludf.DUMMYFUNCTION("IF(NOT(ConfigOn),"""",IFERROR(SPARKLINE(GOOGLEFINANCE(AN15,""price"",TODAY()-$AS$4,TODAY()))))"),"")</f>
        <v/>
      </c>
      <c r="AS15" s="111"/>
      <c r="AT15" s="48"/>
      <c r="AU15" s="58"/>
      <c r="AV15" s="58"/>
      <c r="AW15" s="58"/>
      <c r="AX15" s="58"/>
      <c r="AY15" s="58"/>
      <c r="AZ15" s="58"/>
      <c r="BA15" s="58"/>
      <c r="BB15" s="58"/>
      <c r="BC15" s="58"/>
      <c r="BD15" s="58"/>
      <c r="BE15" s="58"/>
      <c r="BF15" s="58"/>
      <c r="BG15" s="58"/>
      <c r="BH15" s="58"/>
      <c r="BI15" s="58"/>
      <c r="BJ15" s="58"/>
      <c r="BK15" s="58"/>
      <c r="BL15" s="58"/>
      <c r="BM15" s="58"/>
      <c r="BN15" s="58"/>
      <c r="BO15" s="72"/>
      <c r="BP15" s="73"/>
      <c r="BQ15" s="74"/>
      <c r="BR15" s="74"/>
      <c r="BS15" s="73"/>
      <c r="BT15" s="73"/>
      <c r="BU15" s="74"/>
      <c r="BV15" s="73"/>
      <c r="BW15" s="73"/>
      <c r="BX15" s="72"/>
      <c r="BY15" s="73"/>
      <c r="BZ15" s="73"/>
      <c r="CA15" s="73"/>
      <c r="CB15" s="73"/>
      <c r="CC15" s="73"/>
      <c r="CD15" s="73"/>
      <c r="CE15" s="73"/>
      <c r="CF15" s="73"/>
      <c r="CG15" s="73"/>
      <c r="CH15" s="73"/>
      <c r="CI15" s="73"/>
      <c r="CJ15" s="73"/>
      <c r="CK15" s="74"/>
      <c r="CL15" s="74"/>
      <c r="CM15" s="75"/>
      <c r="CN15" s="74"/>
      <c r="CO15" s="75"/>
      <c r="CP15" s="74"/>
      <c r="CQ15" s="73"/>
      <c r="CR15" s="73"/>
      <c r="CS15" s="73"/>
      <c r="CT15" s="73"/>
      <c r="CU15" s="76"/>
      <c r="CV15" s="77"/>
      <c r="CW15" s="77"/>
      <c r="CX15" s="77"/>
      <c r="CY15" s="77"/>
      <c r="CZ15" s="77"/>
      <c r="DA15" s="77"/>
      <c r="DB15" s="77"/>
      <c r="DC15" s="77"/>
      <c r="DD15" s="77"/>
      <c r="DE15" s="77"/>
      <c r="DF15" s="77"/>
      <c r="DG15" s="77"/>
      <c r="DH15" s="77"/>
      <c r="DI15" s="77"/>
      <c r="DJ15" s="77"/>
      <c r="DK15" s="77"/>
      <c r="DL15" s="77"/>
      <c r="DM15" s="77"/>
      <c r="DN15" s="77"/>
      <c r="DO15" s="77"/>
      <c r="DP15" s="77"/>
      <c r="DQ15" s="77"/>
    </row>
    <row r="16" ht="3.75" hidden="1" customHeight="1" outlineLevel="1">
      <c r="B16" s="149" t="str">
        <f>IFERROR(__xludf.DUMMYFUNCTION("IF(NOT(ConfigOn),"""",IFERROR(SPARKLINE(IFIXCHANGEHISTORICO,{""charttype"",""column"";""negcolor"",""red""}),""Dados não disponíveis no momento""))"),"")</f>
        <v/>
      </c>
      <c r="C16" s="135"/>
      <c r="D16" s="135"/>
      <c r="E16" s="135"/>
      <c r="F16" s="135"/>
      <c r="G16" s="135"/>
      <c r="H16" s="135"/>
      <c r="I16" s="135"/>
      <c r="J16" s="135"/>
      <c r="K16" s="136"/>
      <c r="L16" s="150"/>
      <c r="M16" s="151"/>
      <c r="N16" s="151"/>
      <c r="O16" s="151"/>
      <c r="P16" s="152"/>
      <c r="Q16" s="153"/>
      <c r="R16" s="154"/>
      <c r="S16" s="154"/>
      <c r="T16" s="154"/>
      <c r="U16" s="154"/>
      <c r="V16" s="154"/>
      <c r="W16" s="154"/>
      <c r="X16" s="154"/>
      <c r="Y16" s="154"/>
      <c r="Z16" s="154"/>
      <c r="AA16" s="154"/>
      <c r="AB16" s="154"/>
      <c r="AC16" s="154"/>
      <c r="AD16" s="154"/>
      <c r="AE16" s="154"/>
      <c r="AF16" s="155"/>
      <c r="AG16" s="155"/>
      <c r="AH16" s="155"/>
      <c r="AI16" s="155"/>
      <c r="AJ16" s="155"/>
      <c r="AK16" s="155"/>
      <c r="AL16" s="155"/>
      <c r="AM16" s="56"/>
      <c r="AN16" s="56"/>
      <c r="AO16" s="56"/>
      <c r="AP16" s="56"/>
      <c r="AQ16" s="56"/>
      <c r="AR16" s="56"/>
      <c r="AS16" s="56"/>
      <c r="AT16" s="56"/>
      <c r="AU16" s="58"/>
      <c r="AV16" s="58"/>
      <c r="AW16" s="58"/>
      <c r="AX16" s="58"/>
      <c r="AY16" s="58"/>
      <c r="AZ16" s="58"/>
      <c r="BA16" s="58"/>
      <c r="BB16" s="58"/>
      <c r="BC16" s="58"/>
      <c r="BD16" s="58"/>
      <c r="BE16" s="58"/>
      <c r="BF16" s="58"/>
      <c r="BG16" s="58"/>
      <c r="BH16" s="58"/>
      <c r="BI16" s="58"/>
      <c r="BJ16" s="58"/>
      <c r="BK16" s="58"/>
      <c r="BL16" s="58"/>
      <c r="BM16" s="58"/>
      <c r="BN16" s="58"/>
      <c r="BO16" s="59"/>
      <c r="BP16" s="60"/>
      <c r="BQ16" s="61"/>
      <c r="BR16" s="61"/>
      <c r="BS16" s="60"/>
      <c r="BT16" s="60"/>
      <c r="BU16" s="61"/>
      <c r="BV16" s="60"/>
      <c r="BW16" s="60"/>
      <c r="BX16" s="62"/>
      <c r="BY16" s="63"/>
      <c r="BZ16" s="63"/>
      <c r="CA16" s="63"/>
      <c r="CB16" s="63"/>
      <c r="CC16" s="63"/>
      <c r="CD16" s="63"/>
      <c r="CE16" s="63"/>
      <c r="CF16" s="63"/>
      <c r="CG16" s="63"/>
      <c r="CH16" s="63"/>
      <c r="CI16" s="63"/>
      <c r="CJ16" s="63"/>
      <c r="CK16" s="64"/>
      <c r="CL16" s="64"/>
      <c r="CM16" s="65"/>
      <c r="CN16" s="64"/>
      <c r="CO16" s="65"/>
      <c r="CP16" s="64"/>
      <c r="CQ16" s="63"/>
      <c r="CR16" s="63"/>
      <c r="CS16" s="63"/>
      <c r="CT16" s="63"/>
      <c r="CU16" s="66"/>
      <c r="CV16" s="67"/>
      <c r="CW16" s="67"/>
      <c r="CX16" s="67"/>
      <c r="CY16" s="67"/>
      <c r="CZ16" s="67"/>
      <c r="DA16" s="67"/>
      <c r="DB16" s="67"/>
      <c r="DC16" s="67"/>
      <c r="DD16" s="67"/>
      <c r="DE16" s="67"/>
      <c r="DF16" s="67"/>
      <c r="DG16" s="67"/>
      <c r="DH16" s="67"/>
      <c r="DI16" s="67"/>
      <c r="DJ16" s="67"/>
      <c r="DK16" s="67"/>
      <c r="DL16" s="67"/>
      <c r="DM16" s="67"/>
      <c r="DN16" s="67"/>
      <c r="DO16" s="67"/>
      <c r="DP16" s="67"/>
      <c r="DQ16" s="67"/>
    </row>
    <row r="17" ht="15.75" hidden="1" customHeight="1" outlineLevel="1">
      <c r="A17" s="48"/>
      <c r="B17" s="156"/>
      <c r="K17" s="157"/>
      <c r="L17" s="52"/>
      <c r="M17" s="158" t="s">
        <v>114</v>
      </c>
      <c r="P17" s="83"/>
      <c r="Q17" s="159" t="str">
        <f>IF(NOT(config.books!$BU$1),"",SUM(config.books!BT22:BT24))</f>
        <v/>
      </c>
      <c r="R17" s="160" t="str">
        <f>IFERROR(__xludf.DUMMYFUNCTION("IF(NOT($AV$7),"""",IFERROR(TRANSPOSE(query({config.books!BN5:BV14;config.books!BN22:BV24},""select Col7,Col8 where Col2 is not null and Col4&lt;&gt;0 order by Col9""))))"),"")</f>
        <v/>
      </c>
      <c r="S17" s="160"/>
      <c r="T17" s="160"/>
      <c r="U17" s="160"/>
      <c r="V17" s="160"/>
      <c r="W17" s="160"/>
      <c r="X17" s="160"/>
      <c r="Y17" s="160"/>
      <c r="Z17" s="160"/>
      <c r="AA17" s="160"/>
      <c r="AB17" s="160"/>
      <c r="AC17" s="160"/>
      <c r="AD17" s="160"/>
      <c r="AE17" s="160"/>
      <c r="AF17" s="160"/>
      <c r="AG17" s="160"/>
      <c r="AH17" s="160"/>
      <c r="AI17" s="160"/>
      <c r="AJ17" s="160"/>
      <c r="AK17" s="160"/>
      <c r="AL17" s="160"/>
      <c r="AM17" s="48"/>
      <c r="AN17" s="82" t="str">
        <f t="shared" ref="AN17:AN18" si="7">B4</f>
        <v>SELIC</v>
      </c>
      <c r="AO17" s="81" t="str">
        <f t="shared" ref="AO17:AO18" si="8">B7</f>
        <v>LTN-23</v>
      </c>
      <c r="AP17" s="81" t="str">
        <f t="shared" ref="AP17:AP18" si="9">D7</f>
        <v>LTN-26</v>
      </c>
      <c r="AQ17" s="82" t="str">
        <f>F7</f>
        <v>NTNB-26</v>
      </c>
      <c r="AR17" s="81" t="str">
        <f t="shared" ref="AR17:AR18" si="10">H7</f>
        <v>NTNB-35</v>
      </c>
      <c r="AS17" s="81" t="str">
        <f t="shared" ref="AS17:AS18" si="11">J7</f>
        <v>NTNB-45</v>
      </c>
      <c r="AT17" s="56"/>
      <c r="AU17" s="58"/>
      <c r="AV17" s="146" t="s">
        <v>115</v>
      </c>
      <c r="AW17" s="58"/>
      <c r="AX17" s="161"/>
      <c r="AY17" s="58"/>
      <c r="AZ17" s="58"/>
      <c r="BA17" s="58"/>
      <c r="BB17" s="58"/>
      <c r="BC17" s="58"/>
      <c r="BD17" s="58"/>
      <c r="BE17" s="58"/>
      <c r="BF17" s="58"/>
      <c r="BG17" s="58"/>
      <c r="BH17" s="58"/>
      <c r="BI17" s="58"/>
      <c r="BJ17" s="58"/>
      <c r="BK17" s="58"/>
      <c r="BL17" s="58"/>
      <c r="BM17" s="58"/>
      <c r="BN17" s="58"/>
      <c r="BO17" s="72"/>
      <c r="BP17" s="73"/>
      <c r="BQ17" s="74"/>
      <c r="BR17" s="74"/>
      <c r="BS17" s="73"/>
      <c r="BT17" s="73"/>
      <c r="BU17" s="74"/>
      <c r="BV17" s="73"/>
      <c r="BW17" s="73"/>
      <c r="BX17" s="72"/>
      <c r="BY17" s="73"/>
      <c r="BZ17" s="73"/>
      <c r="CA17" s="73"/>
      <c r="CB17" s="73"/>
      <c r="CC17" s="73"/>
      <c r="CD17" s="73"/>
      <c r="CE17" s="73"/>
      <c r="CF17" s="73"/>
      <c r="CG17" s="73"/>
      <c r="CH17" s="73"/>
      <c r="CI17" s="73"/>
      <c r="CJ17" s="73"/>
      <c r="CK17" s="74"/>
      <c r="CL17" s="74"/>
      <c r="CM17" s="75"/>
      <c r="CN17" s="74"/>
      <c r="CO17" s="75"/>
      <c r="CP17" s="74"/>
      <c r="CQ17" s="73"/>
      <c r="CR17" s="73"/>
      <c r="CS17" s="73"/>
      <c r="CT17" s="73"/>
      <c r="CU17" s="76"/>
      <c r="CV17" s="77"/>
      <c r="CW17" s="77"/>
      <c r="CX17" s="77"/>
      <c r="CY17" s="77"/>
      <c r="CZ17" s="77"/>
      <c r="DA17" s="77"/>
      <c r="DB17" s="77"/>
      <c r="DC17" s="77"/>
      <c r="DD17" s="77"/>
      <c r="DE17" s="77"/>
      <c r="DF17" s="77"/>
      <c r="DG17" s="77"/>
      <c r="DH17" s="77"/>
      <c r="DI17" s="77"/>
      <c r="DJ17" s="77"/>
      <c r="DK17" s="77"/>
      <c r="DL17" s="77"/>
      <c r="DM17" s="77"/>
      <c r="DN17" s="77"/>
      <c r="DO17" s="77"/>
      <c r="DP17" s="77"/>
      <c r="DQ17" s="77"/>
    </row>
    <row r="18" ht="15.75" hidden="1" customHeight="1" outlineLevel="1">
      <c r="A18" s="48"/>
      <c r="B18" s="142"/>
      <c r="C18" s="143"/>
      <c r="D18" s="143"/>
      <c r="E18" s="143"/>
      <c r="F18" s="143"/>
      <c r="G18" s="143"/>
      <c r="H18" s="143"/>
      <c r="I18" s="143"/>
      <c r="J18" s="143"/>
      <c r="K18" s="144"/>
      <c r="L18" s="52"/>
      <c r="M18" s="68"/>
      <c r="N18" s="69"/>
      <c r="O18" s="69"/>
      <c r="P18" s="70"/>
      <c r="Q18" s="162" t="str">
        <f>IF(NOT($AV$7),"",IFERROR(Q17/Q15,""))</f>
        <v/>
      </c>
      <c r="R18" s="163"/>
      <c r="S18" s="163"/>
      <c r="T18" s="163"/>
      <c r="U18" s="163"/>
      <c r="V18" s="163"/>
      <c r="W18" s="163"/>
      <c r="X18" s="163"/>
      <c r="Y18" s="163"/>
      <c r="Z18" s="163"/>
      <c r="AA18" s="163"/>
      <c r="AB18" s="163"/>
      <c r="AC18" s="163"/>
      <c r="AD18" s="163"/>
      <c r="AE18" s="163"/>
      <c r="AF18" s="163"/>
      <c r="AG18" s="163"/>
      <c r="AH18" s="163"/>
      <c r="AI18" s="163"/>
      <c r="AJ18" s="163"/>
      <c r="AK18" s="163"/>
      <c r="AL18" s="163"/>
      <c r="AM18" s="48"/>
      <c r="AN18" s="164">
        <f t="shared" si="7"/>
        <v>0.1275</v>
      </c>
      <c r="AO18" s="165" t="str">
        <f t="shared" si="8"/>
        <v>5.14%</v>
      </c>
      <c r="AP18" s="165" t="str">
        <f t="shared" si="9"/>
        <v>1.32%</v>
      </c>
      <c r="AQ18" s="165" t="str">
        <f>H8</f>
        <v>5.74%</v>
      </c>
      <c r="AR18" s="165" t="str">
        <f t="shared" si="10"/>
        <v>5.74%</v>
      </c>
      <c r="AS18" s="101" t="str">
        <f t="shared" si="11"/>
        <v>5.74%</v>
      </c>
      <c r="AT18" s="56"/>
      <c r="AU18" s="58"/>
      <c r="AV18" s="117" t="b">
        <f>OR(CW63,carteiras.!$AE$4=0,NOT(M20))</f>
        <v>1</v>
      </c>
      <c r="AW18" s="58"/>
      <c r="AX18" s="58"/>
      <c r="AY18" s="58"/>
      <c r="AZ18" s="58"/>
      <c r="BA18" s="58"/>
      <c r="BB18" s="58"/>
      <c r="BC18" s="58"/>
      <c r="BD18" s="58"/>
      <c r="BE18" s="58"/>
      <c r="BF18" s="58"/>
      <c r="BG18" s="58"/>
      <c r="BH18" s="58"/>
      <c r="BI18" s="58"/>
      <c r="BJ18" s="58"/>
      <c r="BK18" s="58"/>
      <c r="BL18" s="58"/>
      <c r="BM18" s="58"/>
      <c r="BN18" s="58"/>
      <c r="BO18" s="72"/>
      <c r="BP18" s="73"/>
      <c r="BQ18" s="74"/>
      <c r="BR18" s="74"/>
      <c r="BS18" s="73"/>
      <c r="BT18" s="73"/>
      <c r="BU18" s="74"/>
      <c r="BV18" s="73"/>
      <c r="BW18" s="73"/>
      <c r="BX18" s="72"/>
      <c r="BY18" s="73"/>
      <c r="BZ18" s="73"/>
      <c r="CA18" s="73"/>
      <c r="CB18" s="73"/>
      <c r="CC18" s="73"/>
      <c r="CD18" s="73"/>
      <c r="CE18" s="73"/>
      <c r="CF18" s="73"/>
      <c r="CG18" s="73"/>
      <c r="CH18" s="73"/>
      <c r="CI18" s="73"/>
      <c r="CJ18" s="73"/>
      <c r="CK18" s="74"/>
      <c r="CL18" s="74"/>
      <c r="CM18" s="75"/>
      <c r="CN18" s="74"/>
      <c r="CO18" s="75"/>
      <c r="CP18" s="74"/>
      <c r="CQ18" s="73"/>
      <c r="CR18" s="73"/>
      <c r="CS18" s="73"/>
      <c r="CT18" s="73"/>
      <c r="CU18" s="76"/>
      <c r="CV18" s="77"/>
      <c r="CW18" s="77"/>
      <c r="CX18" s="77"/>
      <c r="CY18" s="77"/>
      <c r="CZ18" s="77"/>
      <c r="DA18" s="77"/>
      <c r="DB18" s="77"/>
      <c r="DC18" s="77"/>
      <c r="DD18" s="77"/>
      <c r="DE18" s="77"/>
      <c r="DF18" s="77"/>
      <c r="DG18" s="77"/>
      <c r="DH18" s="77"/>
      <c r="DI18" s="77"/>
      <c r="DJ18" s="77"/>
      <c r="DK18" s="77"/>
      <c r="DL18" s="77"/>
      <c r="DM18" s="77"/>
      <c r="DN18" s="77"/>
      <c r="DO18" s="77"/>
      <c r="DP18" s="77"/>
      <c r="DQ18" s="77"/>
    </row>
    <row r="19" ht="7.5" customHeight="1" collapsed="1">
      <c r="A19" s="48"/>
      <c r="B19" s="166"/>
      <c r="C19" s="166"/>
      <c r="D19" s="166"/>
      <c r="E19" s="166"/>
      <c r="F19" s="166"/>
      <c r="G19" s="166"/>
      <c r="H19" s="166"/>
      <c r="I19" s="166"/>
      <c r="J19" s="166"/>
      <c r="K19" s="166"/>
      <c r="L19" s="52"/>
      <c r="M19" s="48"/>
      <c r="N19" s="48"/>
      <c r="O19" s="48"/>
      <c r="P19" s="48"/>
      <c r="Q19" s="48"/>
      <c r="R19" s="48"/>
      <c r="S19" s="167"/>
      <c r="T19" s="167"/>
      <c r="U19" s="167"/>
      <c r="V19" s="167"/>
      <c r="W19" s="167"/>
      <c r="X19" s="167"/>
      <c r="Y19" s="167"/>
      <c r="Z19" s="167"/>
      <c r="AA19" s="167"/>
      <c r="AB19" s="167"/>
      <c r="AC19" s="48"/>
      <c r="AD19" s="48"/>
      <c r="AE19" s="48"/>
      <c r="AF19" s="48"/>
      <c r="AG19" s="48"/>
      <c r="AH19" s="48"/>
      <c r="AI19" s="48"/>
      <c r="AJ19" s="48"/>
      <c r="AK19" s="48"/>
      <c r="AL19" s="48"/>
      <c r="AM19" s="48"/>
      <c r="AN19" s="48"/>
      <c r="AO19" s="48"/>
      <c r="AP19" s="48"/>
      <c r="AQ19" s="48"/>
      <c r="AR19" s="48"/>
      <c r="AS19" s="48"/>
      <c r="AT19" s="56"/>
      <c r="AU19" s="58"/>
      <c r="AV19" s="58"/>
      <c r="AW19" s="58"/>
      <c r="AX19" s="58"/>
      <c r="AY19" s="58"/>
      <c r="AZ19" s="58"/>
      <c r="BA19" s="58"/>
      <c r="BB19" s="58"/>
      <c r="BC19" s="58"/>
      <c r="BD19" s="58"/>
      <c r="BE19" s="58"/>
      <c r="BF19" s="58"/>
      <c r="BG19" s="58"/>
      <c r="BH19" s="58"/>
      <c r="BI19" s="58"/>
      <c r="BJ19" s="58"/>
      <c r="BK19" s="58"/>
      <c r="BL19" s="58"/>
      <c r="BM19" s="58"/>
      <c r="BN19" s="58"/>
      <c r="BO19" s="72"/>
      <c r="BP19" s="73"/>
      <c r="BQ19" s="74"/>
      <c r="BR19" s="74"/>
      <c r="BS19" s="73"/>
      <c r="BT19" s="73"/>
      <c r="BU19" s="74"/>
      <c r="BV19" s="73"/>
      <c r="BW19" s="73"/>
      <c r="BX19" s="72"/>
      <c r="BY19" s="73"/>
      <c r="BZ19" s="73"/>
      <c r="CA19" s="73"/>
      <c r="CB19" s="73"/>
      <c r="CC19" s="73"/>
      <c r="CD19" s="73"/>
      <c r="CE19" s="73"/>
      <c r="CF19" s="73"/>
      <c r="CG19" s="73"/>
      <c r="CH19" s="73"/>
      <c r="CI19" s="73"/>
      <c r="CJ19" s="73"/>
      <c r="CK19" s="74"/>
      <c r="CL19" s="74"/>
      <c r="CM19" s="75"/>
      <c r="CN19" s="74"/>
      <c r="CO19" s="75"/>
      <c r="CP19" s="74"/>
      <c r="CQ19" s="73"/>
      <c r="CR19" s="73"/>
      <c r="CS19" s="73"/>
      <c r="CT19" s="73"/>
      <c r="CU19" s="76"/>
      <c r="CV19" s="77"/>
      <c r="CW19" s="77"/>
      <c r="CX19" s="77"/>
      <c r="CY19" s="77"/>
      <c r="CZ19" s="77"/>
      <c r="DA19" s="77"/>
      <c r="DB19" s="77"/>
      <c r="DC19" s="77"/>
      <c r="DD19" s="77"/>
      <c r="DE19" s="77"/>
      <c r="DF19" s="77"/>
      <c r="DG19" s="77"/>
      <c r="DH19" s="77"/>
      <c r="DI19" s="77"/>
      <c r="DJ19" s="77"/>
      <c r="DK19" s="77"/>
      <c r="DL19" s="77"/>
      <c r="DM19" s="77"/>
      <c r="DN19" s="77"/>
      <c r="DO19" s="77"/>
      <c r="DP19" s="77"/>
      <c r="DQ19" s="77"/>
    </row>
    <row r="20" ht="18.0" hidden="1" customHeight="1" outlineLevel="1">
      <c r="A20" s="168"/>
      <c r="B20" s="169" t="s">
        <v>116</v>
      </c>
      <c r="C20" s="170"/>
      <c r="D20" s="170"/>
      <c r="E20" s="170"/>
      <c r="F20" s="170"/>
      <c r="G20" s="170"/>
      <c r="H20" s="170"/>
      <c r="I20" s="171" t="s">
        <v>117</v>
      </c>
      <c r="J20" s="172"/>
      <c r="K20" s="172"/>
      <c r="L20" s="173"/>
      <c r="M20" s="174" t="b">
        <v>1</v>
      </c>
      <c r="N20" s="175" t="s">
        <v>118</v>
      </c>
      <c r="P20" s="83"/>
      <c r="Q20" s="176" t="b">
        <v>1</v>
      </c>
      <c r="R20" s="177" t="b">
        <v>0</v>
      </c>
      <c r="S20" s="177" t="b">
        <v>0</v>
      </c>
      <c r="T20" s="177" t="b">
        <v>0</v>
      </c>
      <c r="U20" s="177" t="b">
        <v>0</v>
      </c>
      <c r="V20" s="177" t="b">
        <v>0</v>
      </c>
      <c r="W20" s="177" t="b">
        <v>0</v>
      </c>
      <c r="X20" s="177" t="b">
        <v>0</v>
      </c>
      <c r="Y20" s="177" t="b">
        <v>0</v>
      </c>
      <c r="Z20" s="177" t="b">
        <v>0</v>
      </c>
      <c r="AA20" s="177" t="b">
        <v>0</v>
      </c>
      <c r="AB20" s="177" t="b">
        <v>0</v>
      </c>
      <c r="AC20" s="177" t="b">
        <v>0</v>
      </c>
      <c r="AD20" s="177" t="b">
        <v>0</v>
      </c>
      <c r="AE20" s="177" t="b">
        <v>0</v>
      </c>
      <c r="AF20" s="176" t="b">
        <v>0</v>
      </c>
      <c r="AG20" s="178" t="b">
        <v>0</v>
      </c>
      <c r="AH20" s="178" t="b">
        <v>0</v>
      </c>
      <c r="AI20" s="178" t="b">
        <v>0</v>
      </c>
      <c r="AJ20" s="178" t="b">
        <v>0</v>
      </c>
      <c r="AK20" s="178" t="b">
        <v>0</v>
      </c>
      <c r="AL20" s="178" t="b">
        <v>0</v>
      </c>
      <c r="AM20" s="56"/>
      <c r="AN20" s="179" t="b">
        <v>0</v>
      </c>
      <c r="AO20" s="180"/>
      <c r="AP20" s="181" t="s">
        <v>119</v>
      </c>
      <c r="AQ20" s="182" t="s">
        <v>120</v>
      </c>
      <c r="AR20" s="183" t="s">
        <v>121</v>
      </c>
      <c r="AS20" s="184" t="s">
        <v>122</v>
      </c>
      <c r="AT20" s="48"/>
      <c r="AU20" s="58"/>
      <c r="AV20" s="58"/>
      <c r="AW20" s="58"/>
      <c r="AX20" s="58"/>
      <c r="AY20" s="58"/>
      <c r="AZ20" s="58"/>
      <c r="BA20" s="58"/>
      <c r="BB20" s="58"/>
      <c r="BC20" s="58"/>
      <c r="BD20" s="58"/>
      <c r="BE20" s="58"/>
      <c r="BF20" s="58"/>
      <c r="BG20" s="58"/>
      <c r="BH20" s="58"/>
      <c r="BI20" s="58"/>
      <c r="BJ20" s="58"/>
      <c r="BK20" s="58"/>
      <c r="BL20" s="58"/>
      <c r="BM20" s="58"/>
      <c r="BN20" s="58"/>
      <c r="BO20" s="59"/>
      <c r="BP20" s="60"/>
      <c r="BQ20" s="61"/>
      <c r="BR20" s="61"/>
      <c r="BS20" s="60"/>
      <c r="BT20" s="60"/>
      <c r="BU20" s="61"/>
      <c r="BV20" s="60"/>
      <c r="BW20" s="60"/>
      <c r="BX20" s="62"/>
      <c r="BY20" s="63"/>
      <c r="BZ20" s="63"/>
      <c r="CA20" s="63"/>
      <c r="CB20" s="63"/>
      <c r="CC20" s="63"/>
      <c r="CD20" s="63"/>
      <c r="CE20" s="63"/>
      <c r="CF20" s="63"/>
      <c r="CG20" s="63"/>
      <c r="CH20" s="63"/>
      <c r="CI20" s="63"/>
      <c r="CJ20" s="63"/>
      <c r="CK20" s="64"/>
      <c r="CL20" s="64"/>
      <c r="CM20" s="65"/>
      <c r="CN20" s="64"/>
      <c r="CO20" s="65"/>
      <c r="CP20" s="64"/>
      <c r="CQ20" s="63"/>
      <c r="CR20" s="63"/>
      <c r="CS20" s="63"/>
      <c r="CT20" s="63"/>
      <c r="CU20" s="66"/>
      <c r="CV20" s="67"/>
      <c r="CW20" s="67"/>
      <c r="CX20" s="67"/>
      <c r="CY20" s="67"/>
      <c r="CZ20" s="67"/>
      <c r="DA20" s="67"/>
      <c r="DB20" s="67"/>
      <c r="DC20" s="67"/>
      <c r="DD20" s="67"/>
      <c r="DE20" s="67"/>
      <c r="DF20" s="67"/>
      <c r="DG20" s="67"/>
      <c r="DH20" s="67"/>
      <c r="DI20" s="67"/>
      <c r="DJ20" s="67"/>
      <c r="DK20" s="67"/>
      <c r="DL20" s="67"/>
      <c r="DM20" s="67"/>
      <c r="DN20" s="67"/>
      <c r="DO20" s="185"/>
      <c r="DP20" s="67"/>
      <c r="DQ20" s="67"/>
    </row>
    <row r="21" ht="22.5" hidden="1" customHeight="1" outlineLevel="1">
      <c r="A21" s="168"/>
      <c r="B21" s="186" t="str">
        <f t="array" ref="B21:K21">TRANSPOSE(BW44:BW53)</f>
        <v/>
      </c>
      <c r="C21" s="186" t="s">
        <v>123</v>
      </c>
      <c r="D21" s="186" t="s">
        <v>123</v>
      </c>
      <c r="E21" s="186" t="s">
        <v>123</v>
      </c>
      <c r="F21" s="186" t="s">
        <v>123</v>
      </c>
      <c r="G21" s="186" t="s">
        <v>123</v>
      </c>
      <c r="H21" s="186" t="s">
        <v>123</v>
      </c>
      <c r="I21" s="186" t="s">
        <v>123</v>
      </c>
      <c r="J21" s="186" t="s">
        <v>123</v>
      </c>
      <c r="K21" s="186" t="s">
        <v>123</v>
      </c>
      <c r="L21" s="173"/>
      <c r="M21" s="68"/>
      <c r="N21" s="69"/>
      <c r="O21" s="69"/>
      <c r="P21" s="70"/>
      <c r="Q21" s="187" t="str">
        <f>IFERROR(__xludf.DUMMYFUNCTION("TRANSPOSE(IFERROR(query({CZ44:DP53;CZ55:DP58;CZ60:DP63},""select Col1,Col5,Col3,Col4 where Col1&lt;&gt;'' and Col1&lt;&gt;'-' order by Col17"",0)))"),"")</f>
        <v/>
      </c>
      <c r="R21" s="188"/>
      <c r="S21" s="188"/>
      <c r="T21" s="188"/>
      <c r="U21" s="188"/>
      <c r="V21" s="188"/>
      <c r="W21" s="188"/>
      <c r="X21" s="188"/>
      <c r="Y21" s="188"/>
      <c r="Z21" s="188"/>
      <c r="AA21" s="188"/>
      <c r="AB21" s="188"/>
      <c r="AC21" s="188"/>
      <c r="AD21" s="188"/>
      <c r="AE21" s="188"/>
      <c r="AF21" s="188"/>
      <c r="AG21" s="188"/>
      <c r="AH21" s="188"/>
      <c r="AI21" s="188"/>
      <c r="AJ21" s="188"/>
      <c r="AK21" s="188"/>
      <c r="AL21" s="188"/>
      <c r="AM21" s="56"/>
      <c r="AN21" s="189" t="s">
        <v>124</v>
      </c>
      <c r="AO21" s="190"/>
      <c r="AP21" s="191"/>
      <c r="AQ21" s="83"/>
      <c r="AR21" s="133"/>
      <c r="AT21" s="48"/>
      <c r="AU21" s="58"/>
      <c r="AV21" s="58"/>
      <c r="AW21" s="58"/>
      <c r="AX21" s="58"/>
      <c r="AY21" s="58"/>
      <c r="AZ21" s="58"/>
      <c r="BA21" s="58"/>
      <c r="BB21" s="58"/>
      <c r="BC21" s="58"/>
      <c r="BD21" s="58"/>
      <c r="BE21" s="58"/>
      <c r="BF21" s="58"/>
      <c r="BG21" s="58"/>
      <c r="BH21" s="58"/>
      <c r="BI21" s="58"/>
      <c r="BJ21" s="58"/>
      <c r="BK21" s="58"/>
      <c r="BL21" s="58"/>
      <c r="BM21" s="58"/>
      <c r="BN21" s="58"/>
      <c r="BO21" s="59"/>
      <c r="BP21" s="60"/>
      <c r="BQ21" s="61"/>
      <c r="BR21" s="61"/>
      <c r="BS21" s="60"/>
      <c r="BT21" s="60"/>
      <c r="BU21" s="61"/>
      <c r="BV21" s="60"/>
      <c r="BW21" s="60"/>
      <c r="BX21" s="62"/>
      <c r="BY21" s="63"/>
      <c r="BZ21" s="63"/>
      <c r="CA21" s="63"/>
      <c r="CB21" s="63"/>
      <c r="CC21" s="63"/>
      <c r="CD21" s="63"/>
      <c r="CE21" s="63"/>
      <c r="CF21" s="63"/>
      <c r="CG21" s="63"/>
      <c r="CH21" s="63"/>
      <c r="CI21" s="63"/>
      <c r="CJ21" s="63"/>
      <c r="CK21" s="64"/>
      <c r="CL21" s="64"/>
      <c r="CM21" s="65"/>
      <c r="CN21" s="64"/>
      <c r="CO21" s="65"/>
      <c r="CP21" s="64"/>
      <c r="CQ21" s="63"/>
      <c r="CR21" s="63"/>
      <c r="CS21" s="63"/>
      <c r="CT21" s="63"/>
      <c r="CU21" s="66"/>
      <c r="CV21" s="67"/>
      <c r="CW21" s="67"/>
      <c r="CX21" s="67"/>
      <c r="CY21" s="67"/>
      <c r="CZ21" s="67"/>
      <c r="DA21" s="67"/>
      <c r="DB21" s="67"/>
      <c r="DC21" s="67"/>
      <c r="DD21" s="67"/>
      <c r="DE21" s="67"/>
      <c r="DF21" s="67"/>
      <c r="DG21" s="67"/>
      <c r="DH21" s="67"/>
      <c r="DI21" s="67"/>
      <c r="DJ21" s="67"/>
      <c r="DK21" s="67"/>
      <c r="DL21" s="67"/>
      <c r="DM21" s="67"/>
      <c r="DN21" s="67"/>
      <c r="DO21" s="67"/>
      <c r="DP21" s="67"/>
      <c r="DQ21" s="67"/>
    </row>
    <row r="22" ht="15.75" hidden="1" customHeight="1" outlineLevel="1">
      <c r="A22" s="168"/>
      <c r="B22" s="192"/>
      <c r="C22" s="192"/>
      <c r="D22" s="192"/>
      <c r="E22" s="192"/>
      <c r="F22" s="192"/>
      <c r="G22" s="192"/>
      <c r="H22" s="192"/>
      <c r="I22" s="192"/>
      <c r="J22" s="192"/>
      <c r="K22" s="192"/>
      <c r="L22" s="173"/>
      <c r="M22" s="193" t="s">
        <v>106</v>
      </c>
      <c r="N22" s="69"/>
      <c r="O22" s="69"/>
      <c r="P22" s="70"/>
      <c r="Q22" s="194"/>
      <c r="R22" s="139"/>
      <c r="S22" s="139"/>
      <c r="T22" s="139"/>
      <c r="U22" s="139"/>
      <c r="V22" s="139"/>
      <c r="W22" s="139"/>
      <c r="X22" s="139"/>
      <c r="Y22" s="139"/>
      <c r="Z22" s="139"/>
      <c r="AA22" s="139"/>
      <c r="AB22" s="139"/>
      <c r="AC22" s="139"/>
      <c r="AD22" s="139"/>
      <c r="AE22" s="139"/>
      <c r="AF22" s="139"/>
      <c r="AG22" s="139"/>
      <c r="AH22" s="139"/>
      <c r="AI22" s="139"/>
      <c r="AJ22" s="139"/>
      <c r="AK22" s="139"/>
      <c r="AL22" s="139"/>
      <c r="AM22" s="56"/>
      <c r="AN22" s="195" t="s">
        <v>125</v>
      </c>
      <c r="AP22" s="196" t="str">
        <f>IFERROR(__xludf.DUMMYFUNCTION("IF(NOT(caixa!$AC$7),"""",SUM(IFERROR(FILTER(caixa!$O$5:$O$24,caixa!$M$5:$M$24=VLOOKUP($AP$21,caixa!$AB$10:$AD$29,2,FALSE),caixa!$N$5:$N$24=VLOOKUP($AP$21,caixa!$AB$10:$AD$29,3,FALSE)),0)))"),"")</f>
        <v/>
      </c>
      <c r="AQ22" s="196" t="str">
        <f>caixa!AE8</f>
        <v/>
      </c>
      <c r="AR22" s="197" t="str">
        <f>caixa!AE5</f>
        <v/>
      </c>
      <c r="AS22" s="196" t="str">
        <f>caixa!AE6</f>
        <v/>
      </c>
      <c r="AT22" s="48"/>
      <c r="AU22" s="58"/>
      <c r="AV22" s="58"/>
      <c r="AW22" s="58"/>
      <c r="AX22" s="58"/>
      <c r="AY22" s="58"/>
      <c r="AZ22" s="58"/>
      <c r="BA22" s="58"/>
      <c r="BB22" s="58"/>
      <c r="BC22" s="58"/>
      <c r="BD22" s="58"/>
      <c r="BE22" s="58"/>
      <c r="BF22" s="58"/>
      <c r="BG22" s="58"/>
      <c r="BH22" s="58"/>
      <c r="BI22" s="58"/>
      <c r="BJ22" s="58"/>
      <c r="BK22" s="58"/>
      <c r="BL22" s="58"/>
      <c r="BM22" s="58"/>
      <c r="BN22" s="58"/>
      <c r="BO22" s="59"/>
      <c r="BP22" s="60"/>
      <c r="BQ22" s="61"/>
      <c r="BR22" s="61"/>
      <c r="BS22" s="60"/>
      <c r="BT22" s="60"/>
      <c r="BU22" s="61"/>
      <c r="BV22" s="60"/>
      <c r="BW22" s="60"/>
      <c r="BX22" s="62"/>
      <c r="BY22" s="63"/>
      <c r="BZ22" s="63"/>
      <c r="CA22" s="63"/>
      <c r="CB22" s="63"/>
      <c r="CC22" s="63"/>
      <c r="CD22" s="63"/>
      <c r="CE22" s="63"/>
      <c r="CF22" s="63"/>
      <c r="CG22" s="63"/>
      <c r="CH22" s="63"/>
      <c r="CI22" s="63"/>
      <c r="CJ22" s="63"/>
      <c r="CK22" s="64"/>
      <c r="CL22" s="64"/>
      <c r="CM22" s="65"/>
      <c r="CN22" s="64"/>
      <c r="CO22" s="65"/>
      <c r="CP22" s="64"/>
      <c r="CQ22" s="63"/>
      <c r="CR22" s="63"/>
      <c r="CS22" s="63"/>
      <c r="CT22" s="63"/>
      <c r="CU22" s="66"/>
      <c r="CV22" s="67"/>
      <c r="CW22" s="67"/>
      <c r="CX22" s="67"/>
      <c r="CY22" s="67"/>
      <c r="CZ22" s="67"/>
      <c r="DA22" s="67"/>
      <c r="DB22" s="67"/>
      <c r="DC22" s="67"/>
      <c r="DD22" s="67"/>
      <c r="DE22" s="67"/>
      <c r="DF22" s="67"/>
      <c r="DG22" s="67"/>
      <c r="DH22" s="67"/>
      <c r="DI22" s="67"/>
      <c r="DJ22" s="67"/>
      <c r="DK22" s="67"/>
      <c r="DL22" s="67"/>
      <c r="DM22" s="67"/>
      <c r="DN22" s="67"/>
      <c r="DO22" s="67"/>
      <c r="DP22" s="67"/>
      <c r="DQ22" s="67"/>
    </row>
    <row r="23" ht="15.75" hidden="1" customHeight="1" outlineLevel="1">
      <c r="A23" s="168"/>
      <c r="B23" s="198"/>
      <c r="C23" s="198"/>
      <c r="D23" s="198"/>
      <c r="E23" s="198"/>
      <c r="F23" s="198"/>
      <c r="G23" s="198"/>
      <c r="H23" s="198"/>
      <c r="I23" s="198"/>
      <c r="J23" s="198"/>
      <c r="K23" s="198"/>
      <c r="L23" s="173"/>
      <c r="M23" s="193" t="s">
        <v>126</v>
      </c>
      <c r="N23" s="69"/>
      <c r="O23" s="69"/>
      <c r="P23" s="70"/>
      <c r="Q23" s="194"/>
      <c r="R23" s="139"/>
      <c r="S23" s="139"/>
      <c r="T23" s="139"/>
      <c r="U23" s="139"/>
      <c r="V23" s="139"/>
      <c r="W23" s="139"/>
      <c r="X23" s="139"/>
      <c r="Y23" s="139"/>
      <c r="Z23" s="139"/>
      <c r="AA23" s="139"/>
      <c r="AB23" s="139"/>
      <c r="AC23" s="139"/>
      <c r="AD23" s="139"/>
      <c r="AE23" s="139"/>
      <c r="AF23" s="139"/>
      <c r="AG23" s="139"/>
      <c r="AH23" s="139"/>
      <c r="AI23" s="139"/>
      <c r="AJ23" s="139"/>
      <c r="AK23" s="139"/>
      <c r="AL23" s="139"/>
      <c r="AM23" s="56"/>
      <c r="AN23" s="199" t="s">
        <v>127</v>
      </c>
      <c r="AO23" s="50"/>
      <c r="AP23" s="196" t="str">
        <f>IFERROR(__xludf.DUMMYFUNCTION("IF(NOT(caixa!$AC$7),"""",SUM(IFERROR(FILTER(caixa!$R$5:$R$24,caixa!$M$5:$M$24=VLOOKUP($AP$21,caixa!$AB$10:$AD$29,2,FALSE),caixa!$N$5:$N$24=VLOOKUP($AP$21,caixa!$AB$10:$AD$29,3,FALSE)),0)))"),"")</f>
        <v/>
      </c>
      <c r="AQ23" s="196" t="str">
        <f>caixa!AF8</f>
        <v/>
      </c>
      <c r="AR23" s="197" t="str">
        <f>caixa!AF5</f>
        <v/>
      </c>
      <c r="AS23" s="196" t="str">
        <f>caixa!AF6</f>
        <v/>
      </c>
      <c r="AT23" s="48"/>
      <c r="AU23" s="58"/>
      <c r="AV23" s="58"/>
      <c r="AW23" s="58"/>
      <c r="AX23" s="58"/>
      <c r="AY23" s="58"/>
      <c r="AZ23" s="58"/>
      <c r="BA23" s="58"/>
      <c r="BB23" s="58"/>
      <c r="BC23" s="58"/>
      <c r="BD23" s="58"/>
      <c r="BE23" s="58"/>
      <c r="BF23" s="58"/>
      <c r="BG23" s="58"/>
      <c r="BH23" s="58"/>
      <c r="BI23" s="58"/>
      <c r="BJ23" s="58"/>
      <c r="BK23" s="58"/>
      <c r="BL23" s="58"/>
      <c r="BM23" s="58"/>
      <c r="BN23" s="58"/>
      <c r="BO23" s="59"/>
      <c r="BP23" s="60"/>
      <c r="BQ23" s="61"/>
      <c r="BR23" s="61"/>
      <c r="BS23" s="60"/>
      <c r="BT23" s="60"/>
      <c r="BU23" s="61"/>
      <c r="BV23" s="60"/>
      <c r="BW23" s="60"/>
      <c r="BX23" s="62"/>
      <c r="BY23" s="63"/>
      <c r="BZ23" s="63"/>
      <c r="CA23" s="63"/>
      <c r="CB23" s="63"/>
      <c r="CC23" s="63"/>
      <c r="CD23" s="63"/>
      <c r="CE23" s="63"/>
      <c r="CF23" s="63"/>
      <c r="CG23" s="63"/>
      <c r="CH23" s="63"/>
      <c r="CI23" s="63"/>
      <c r="CJ23" s="63"/>
      <c r="CK23" s="64"/>
      <c r="CL23" s="64"/>
      <c r="CM23" s="65"/>
      <c r="CN23" s="64"/>
      <c r="CO23" s="65"/>
      <c r="CP23" s="64"/>
      <c r="CQ23" s="63"/>
      <c r="CR23" s="63"/>
      <c r="CS23" s="63"/>
      <c r="CT23" s="63"/>
      <c r="CU23" s="66"/>
      <c r="CV23" s="67"/>
      <c r="CW23" s="67"/>
      <c r="CX23" s="67"/>
      <c r="CY23" s="185"/>
      <c r="CZ23" s="67"/>
      <c r="DA23" s="67"/>
      <c r="DB23" s="67"/>
      <c r="DC23" s="67"/>
      <c r="DD23" s="67"/>
      <c r="DE23" s="67"/>
      <c r="DF23" s="67"/>
      <c r="DG23" s="67"/>
      <c r="DH23" s="67"/>
      <c r="DI23" s="67"/>
      <c r="DJ23" s="67"/>
      <c r="DK23" s="67"/>
      <c r="DL23" s="67"/>
      <c r="DM23" s="67"/>
      <c r="DN23" s="67"/>
      <c r="DO23" s="67"/>
      <c r="DP23" s="67"/>
      <c r="DQ23" s="67"/>
    </row>
    <row r="24" ht="15.75" hidden="1" customHeight="1" outlineLevel="1">
      <c r="A24" s="168"/>
      <c r="B24" s="200" t="str">
        <f>IFERROR(__xludf.DUMMYFUNCTION("TRANSPOSE(SPARKLINE({BV44:BV53},{""charttype"",""column"";""negcolor"",""red""}))"),"")</f>
        <v/>
      </c>
      <c r="C24" s="135"/>
      <c r="D24" s="135"/>
      <c r="E24" s="135"/>
      <c r="F24" s="135"/>
      <c r="G24" s="135"/>
      <c r="H24" s="135"/>
      <c r="I24" s="135"/>
      <c r="J24" s="135"/>
      <c r="K24" s="136"/>
      <c r="L24" s="173"/>
      <c r="M24" s="193" t="s">
        <v>128</v>
      </c>
      <c r="N24" s="69"/>
      <c r="O24" s="69"/>
      <c r="P24" s="69"/>
      <c r="Q24" s="201"/>
      <c r="R24" s="139"/>
      <c r="S24" s="139"/>
      <c r="T24" s="139"/>
      <c r="U24" s="139"/>
      <c r="V24" s="139"/>
      <c r="W24" s="139"/>
      <c r="X24" s="139"/>
      <c r="Y24" s="139"/>
      <c r="Z24" s="139"/>
      <c r="AA24" s="139"/>
      <c r="AB24" s="139"/>
      <c r="AC24" s="139"/>
      <c r="AD24" s="139"/>
      <c r="AE24" s="139"/>
      <c r="AF24" s="139"/>
      <c r="AG24" s="139"/>
      <c r="AH24" s="139"/>
      <c r="AI24" s="139"/>
      <c r="AJ24" s="139"/>
      <c r="AK24" s="139"/>
      <c r="AL24" s="139"/>
      <c r="AM24" s="56"/>
      <c r="AN24" s="199" t="s">
        <v>129</v>
      </c>
      <c r="AO24" s="50"/>
      <c r="AP24" s="196" t="str">
        <f>IFERROR(__xludf.DUMMYFUNCTION("IF(NOT(caixa!$AC$7),"""",SUM(IFERROR(FILTER(caixa!$S$5:$S$24,caixa!$M$5:$M$24=VLOOKUP($AP$21,caixa!$AB$10:$AD$29,2,FALSE),caixa!$N$5:$N$24=VLOOKUP($AP$21,caixa!$AB$10:$AD$29,3,FALSE)),0)))"),"")</f>
        <v/>
      </c>
      <c r="AQ24" s="196" t="str">
        <f>caixa!AG8</f>
        <v/>
      </c>
      <c r="AR24" s="197" t="str">
        <f>caixa!AG5</f>
        <v/>
      </c>
      <c r="AS24" s="196" t="str">
        <f>caixa!AG6</f>
        <v/>
      </c>
      <c r="AU24" s="58"/>
      <c r="AV24" s="58"/>
      <c r="AW24" s="58"/>
      <c r="AX24" s="58"/>
      <c r="AY24" s="58"/>
      <c r="AZ24" s="58"/>
      <c r="BA24" s="58"/>
      <c r="BB24" s="58"/>
      <c r="BC24" s="58"/>
      <c r="BD24" s="58"/>
      <c r="BE24" s="58"/>
      <c r="BF24" s="58"/>
      <c r="BG24" s="58"/>
      <c r="BH24" s="58"/>
      <c r="BI24" s="58"/>
      <c r="BJ24" s="58"/>
      <c r="BK24" s="58"/>
      <c r="BL24" s="58"/>
      <c r="BM24" s="58"/>
      <c r="BN24" s="58"/>
      <c r="BO24" s="59"/>
      <c r="BP24" s="60"/>
      <c r="BQ24" s="61"/>
      <c r="BR24" s="61"/>
      <c r="BS24" s="60"/>
      <c r="BT24" s="60"/>
      <c r="BU24" s="61"/>
      <c r="BV24" s="60"/>
      <c r="BW24" s="60"/>
      <c r="BX24" s="62"/>
      <c r="BY24" s="63"/>
      <c r="BZ24" s="63"/>
      <c r="CA24" s="63"/>
      <c r="CB24" s="63"/>
      <c r="CC24" s="63"/>
      <c r="CD24" s="63"/>
      <c r="CE24" s="63"/>
      <c r="CF24" s="63"/>
      <c r="CG24" s="63"/>
      <c r="CH24" s="63"/>
      <c r="CI24" s="63"/>
      <c r="CJ24" s="63"/>
      <c r="CK24" s="64"/>
      <c r="CL24" s="64"/>
      <c r="CM24" s="65"/>
      <c r="CN24" s="64"/>
      <c r="CO24" s="65"/>
      <c r="CP24" s="64"/>
      <c r="CQ24" s="63"/>
      <c r="CR24" s="63"/>
      <c r="CS24" s="63"/>
      <c r="CT24" s="63"/>
      <c r="CU24" s="66"/>
      <c r="CV24" s="67"/>
      <c r="CW24" s="67"/>
      <c r="CX24" s="67"/>
      <c r="CY24" s="67"/>
      <c r="CZ24" s="67"/>
      <c r="DA24" s="67"/>
      <c r="DB24" s="67"/>
      <c r="DC24" s="67"/>
      <c r="DD24" s="67"/>
      <c r="DE24" s="67"/>
      <c r="DF24" s="67"/>
      <c r="DG24" s="67"/>
      <c r="DH24" s="67"/>
      <c r="DI24" s="67"/>
      <c r="DJ24" s="67"/>
      <c r="DK24" s="67"/>
      <c r="DL24" s="67"/>
      <c r="DM24" s="67"/>
      <c r="DN24" s="67"/>
      <c r="DO24" s="67"/>
      <c r="DP24" s="67"/>
      <c r="DQ24" s="67"/>
    </row>
    <row r="25" ht="3.75" hidden="1" customHeight="1" outlineLevel="1">
      <c r="A25" s="202"/>
      <c r="B25" s="156"/>
      <c r="K25" s="157"/>
      <c r="L25" s="203"/>
      <c r="M25" s="204"/>
      <c r="N25" s="204"/>
      <c r="O25" s="204"/>
      <c r="P25" s="205"/>
      <c r="Q25" s="206"/>
      <c r="R25" s="202"/>
      <c r="S25" s="206"/>
      <c r="T25" s="206"/>
      <c r="U25" s="206"/>
      <c r="V25" s="206"/>
      <c r="W25" s="206"/>
      <c r="X25" s="206"/>
      <c r="Y25" s="206"/>
      <c r="Z25" s="206"/>
      <c r="AA25" s="206"/>
      <c r="AB25" s="206"/>
      <c r="AC25" s="206"/>
      <c r="AD25" s="206"/>
      <c r="AE25" s="206"/>
      <c r="AF25" s="207"/>
      <c r="AG25" s="207"/>
      <c r="AH25" s="207"/>
      <c r="AI25" s="207"/>
      <c r="AJ25" s="207"/>
      <c r="AK25" s="207"/>
      <c r="AL25" s="207"/>
      <c r="AM25" s="207"/>
      <c r="AN25" s="207"/>
      <c r="AO25" s="207"/>
      <c r="AP25" s="207"/>
      <c r="AQ25" s="207"/>
      <c r="AR25" s="207"/>
      <c r="AS25" s="207"/>
      <c r="AT25" s="207"/>
      <c r="AU25" s="58"/>
      <c r="AV25" s="58"/>
      <c r="AW25" s="58"/>
      <c r="AX25" s="58"/>
      <c r="AY25" s="58"/>
      <c r="AZ25" s="58"/>
      <c r="BA25" s="58"/>
      <c r="BB25" s="58"/>
      <c r="BC25" s="58"/>
      <c r="BD25" s="58"/>
      <c r="BE25" s="58"/>
      <c r="BF25" s="58"/>
      <c r="BG25" s="58"/>
      <c r="BH25" s="58"/>
      <c r="BI25" s="58"/>
      <c r="BJ25" s="58"/>
      <c r="BK25" s="58"/>
      <c r="BL25" s="58"/>
      <c r="BM25" s="58"/>
      <c r="BN25" s="58"/>
      <c r="BO25" s="59"/>
      <c r="BP25" s="208"/>
      <c r="BQ25" s="209"/>
      <c r="BR25" s="209"/>
      <c r="BS25" s="208"/>
      <c r="BT25" s="208"/>
      <c r="BU25" s="209"/>
      <c r="BV25" s="208"/>
      <c r="BW25" s="208"/>
      <c r="BX25" s="62"/>
      <c r="BY25" s="210"/>
      <c r="BZ25" s="210"/>
      <c r="CA25" s="210"/>
      <c r="CB25" s="210"/>
      <c r="CC25" s="210"/>
      <c r="CD25" s="210"/>
      <c r="CE25" s="210"/>
      <c r="CF25" s="210"/>
      <c r="CG25" s="210"/>
      <c r="CH25" s="210"/>
      <c r="CI25" s="210"/>
      <c r="CJ25" s="210"/>
      <c r="CK25" s="211"/>
      <c r="CL25" s="211"/>
      <c r="CM25" s="212"/>
      <c r="CN25" s="211"/>
      <c r="CO25" s="212"/>
      <c r="CP25" s="211"/>
      <c r="CQ25" s="210"/>
      <c r="CR25" s="210"/>
      <c r="CS25" s="210"/>
      <c r="CT25" s="210"/>
      <c r="CU25" s="66"/>
      <c r="CV25" s="213"/>
      <c r="CW25" s="213"/>
      <c r="CX25" s="213"/>
      <c r="CY25" s="213"/>
      <c r="CZ25" s="213"/>
      <c r="DA25" s="213"/>
      <c r="DB25" s="213"/>
      <c r="DC25" s="213"/>
      <c r="DD25" s="213"/>
      <c r="DE25" s="213"/>
      <c r="DF25" s="213"/>
      <c r="DG25" s="213"/>
      <c r="DH25" s="213"/>
      <c r="DI25" s="213"/>
      <c r="DJ25" s="213"/>
      <c r="DK25" s="213"/>
      <c r="DL25" s="213"/>
      <c r="DM25" s="213"/>
      <c r="DN25" s="213"/>
      <c r="DO25" s="213"/>
      <c r="DP25" s="213"/>
      <c r="DQ25" s="213"/>
    </row>
    <row r="26" ht="15.75" hidden="1" customHeight="1" outlineLevel="1">
      <c r="A26" s="168"/>
      <c r="B26" s="156"/>
      <c r="K26" s="157"/>
      <c r="L26" s="173"/>
      <c r="M26" s="193" t="s">
        <v>111</v>
      </c>
      <c r="N26" s="69"/>
      <c r="O26" s="69"/>
      <c r="P26" s="69"/>
      <c r="Q26" s="214" t="str">
        <f>IFERROR(__xludf.DUMMYFUNCTION("TRANSPOSE(IFERROR(query({CZ44:DP53;CZ55:DP58;CZ60:DP63},""select Col6,Col7,Col8 where Col1&lt;&gt;'' and Col1&lt;&gt;'-' order by Col17"",0)))"),"")</f>
        <v/>
      </c>
      <c r="R26" s="215"/>
      <c r="S26" s="215"/>
      <c r="T26" s="215"/>
      <c r="U26" s="215"/>
      <c r="V26" s="215"/>
      <c r="W26" s="215"/>
      <c r="X26" s="215"/>
      <c r="Y26" s="148"/>
      <c r="Z26" s="148"/>
      <c r="AA26" s="148"/>
      <c r="AB26" s="148"/>
      <c r="AC26" s="148"/>
      <c r="AD26" s="148"/>
      <c r="AE26" s="148"/>
      <c r="AF26" s="148"/>
      <c r="AG26" s="148"/>
      <c r="AH26" s="148"/>
      <c r="AI26" s="148"/>
      <c r="AJ26" s="148"/>
      <c r="AK26" s="148"/>
      <c r="AL26" s="148"/>
      <c r="AM26" s="56"/>
      <c r="AN26" s="216" t="s">
        <v>130</v>
      </c>
      <c r="AO26" s="217"/>
      <c r="AP26" s="196" t="str">
        <f>IFERROR(__xludf.DUMMYFUNCTION("IF(NOT(caixa!$AC$7),"""",SUM(IFERROR(FILTER(caixa!$U$5:$U$24,caixa!$M$5:$M$24=VLOOKUP($AP$21,caixa!$AB$10:$AD$29,2,FALSE),caixa!$N$5:$N$24=VLOOKUP($AP$21,caixa!$AB$10:$AD$29,3,FALSE)),0)))"),"")</f>
        <v/>
      </c>
      <c r="AQ26" s="196" t="str">
        <f>caixa!AI8</f>
        <v/>
      </c>
      <c r="AR26" s="197" t="str">
        <f>caixa!AI5</f>
        <v/>
      </c>
      <c r="AS26" s="196" t="str">
        <f>caixa!AI6</f>
        <v/>
      </c>
      <c r="AT26" s="56"/>
      <c r="AU26" s="58"/>
      <c r="AV26" s="58"/>
      <c r="AW26" s="58"/>
      <c r="AX26" s="58"/>
      <c r="AY26" s="58"/>
      <c r="AZ26" s="58"/>
      <c r="BA26" s="58"/>
      <c r="BB26" s="58"/>
      <c r="BC26" s="58"/>
      <c r="BD26" s="58"/>
      <c r="BE26" s="58"/>
      <c r="BF26" s="58"/>
      <c r="BG26" s="58"/>
      <c r="BH26" s="58"/>
      <c r="BI26" s="58"/>
      <c r="BJ26" s="58"/>
      <c r="BK26" s="58"/>
      <c r="BL26" s="58"/>
      <c r="BM26" s="58"/>
      <c r="BN26" s="58"/>
      <c r="BO26" s="59"/>
      <c r="BP26" s="60"/>
      <c r="BQ26" s="61"/>
      <c r="BR26" s="61"/>
      <c r="BS26" s="60"/>
      <c r="BT26" s="60"/>
      <c r="BU26" s="61"/>
      <c r="BV26" s="60"/>
      <c r="BW26" s="60"/>
      <c r="BX26" s="62"/>
      <c r="BY26" s="63"/>
      <c r="BZ26" s="63"/>
      <c r="CA26" s="63"/>
      <c r="CB26" s="63"/>
      <c r="CC26" s="63"/>
      <c r="CD26" s="63"/>
      <c r="CE26" s="63"/>
      <c r="CF26" s="63"/>
      <c r="CG26" s="63"/>
      <c r="CH26" s="63"/>
      <c r="CI26" s="63"/>
      <c r="CJ26" s="63"/>
      <c r="CK26" s="64"/>
      <c r="CL26" s="64"/>
      <c r="CM26" s="65"/>
      <c r="CN26" s="64"/>
      <c r="CO26" s="65"/>
      <c r="CP26" s="64"/>
      <c r="CQ26" s="63"/>
      <c r="CR26" s="63"/>
      <c r="CS26" s="63"/>
      <c r="CT26" s="63"/>
      <c r="CU26" s="66"/>
      <c r="CV26" s="67"/>
      <c r="CW26" s="67"/>
      <c r="CX26" s="67"/>
      <c r="CY26" s="67"/>
      <c r="CZ26" s="67"/>
      <c r="DA26" s="67"/>
      <c r="DB26" s="67"/>
      <c r="DC26" s="67"/>
      <c r="DD26" s="67"/>
      <c r="DE26" s="67"/>
      <c r="DF26" s="67"/>
      <c r="DG26" s="67"/>
      <c r="DH26" s="67"/>
      <c r="DI26" s="67"/>
      <c r="DJ26" s="67"/>
      <c r="DK26" s="67"/>
      <c r="DL26" s="67"/>
      <c r="DM26" s="67"/>
      <c r="DN26" s="67"/>
      <c r="DO26" s="67"/>
      <c r="DP26" s="67"/>
      <c r="DQ26" s="67"/>
    </row>
    <row r="27" ht="15.75" hidden="1" customHeight="1" outlineLevel="1">
      <c r="A27" s="168"/>
      <c r="B27" s="156"/>
      <c r="K27" s="157"/>
      <c r="L27" s="173"/>
      <c r="M27" s="193" t="s">
        <v>131</v>
      </c>
      <c r="N27" s="69"/>
      <c r="O27" s="69"/>
      <c r="P27" s="70"/>
      <c r="Q27" s="218"/>
      <c r="R27" s="215"/>
      <c r="S27" s="215"/>
      <c r="T27" s="215"/>
      <c r="U27" s="215"/>
      <c r="V27" s="215"/>
      <c r="W27" s="215"/>
      <c r="X27" s="215"/>
      <c r="Y27" s="148"/>
      <c r="Z27" s="148"/>
      <c r="AA27" s="148"/>
      <c r="AB27" s="148"/>
      <c r="AC27" s="148"/>
      <c r="AD27" s="148"/>
      <c r="AE27" s="148"/>
      <c r="AF27" s="148"/>
      <c r="AG27" s="148"/>
      <c r="AH27" s="148"/>
      <c r="AI27" s="148"/>
      <c r="AJ27" s="148"/>
      <c r="AK27" s="148"/>
      <c r="AL27" s="148"/>
      <c r="AM27" s="56"/>
      <c r="AN27" s="199" t="s">
        <v>132</v>
      </c>
      <c r="AO27" s="219"/>
      <c r="AP27" s="196" t="str">
        <f>IFERROR(__xludf.DUMMYFUNCTION("IF(NOT(caixa!$AC$7),"""",SUM(IFERROR(FILTER(caixa!$T$5:$T$24,caixa!$M$5:$M$24=VLOOKUP($AP$21,caixa!$AB$10:$AD$29,2,FALSE),caixa!$N$5:$N$24=VLOOKUP($AP$21,caixa!$AB$10:$AD$29,3,FALSE)),0)))"),"")</f>
        <v/>
      </c>
      <c r="AQ27" s="196" t="str">
        <f>caixa!AH8</f>
        <v/>
      </c>
      <c r="AR27" s="197" t="str">
        <f>caixa!AH5</f>
        <v/>
      </c>
      <c r="AS27" s="196" t="str">
        <f>caixa!AH6</f>
        <v/>
      </c>
      <c r="AT27" s="56"/>
      <c r="AU27" s="58"/>
      <c r="AV27" s="58"/>
      <c r="AW27" s="58"/>
      <c r="AX27" s="58"/>
      <c r="AY27" s="58"/>
      <c r="AZ27" s="58"/>
      <c r="BA27" s="58"/>
      <c r="BB27" s="58"/>
      <c r="BC27" s="58"/>
      <c r="BD27" s="58"/>
      <c r="BE27" s="58"/>
      <c r="BF27" s="58"/>
      <c r="BG27" s="58"/>
      <c r="BH27" s="58"/>
      <c r="BI27" s="58"/>
      <c r="BJ27" s="58"/>
      <c r="BK27" s="58"/>
      <c r="BL27" s="58"/>
      <c r="BM27" s="58"/>
      <c r="BN27" s="58"/>
      <c r="BO27" s="59"/>
      <c r="BP27" s="60"/>
      <c r="BQ27" s="61"/>
      <c r="BR27" s="61"/>
      <c r="BS27" s="60"/>
      <c r="BT27" s="60"/>
      <c r="BU27" s="61"/>
      <c r="BV27" s="60"/>
      <c r="BW27" s="60"/>
      <c r="BX27" s="62"/>
      <c r="BY27" s="63"/>
      <c r="BZ27" s="63"/>
      <c r="CA27" s="63"/>
      <c r="CB27" s="63"/>
      <c r="CC27" s="63"/>
      <c r="CD27" s="63"/>
      <c r="CE27" s="63"/>
      <c r="CF27" s="63"/>
      <c r="CG27" s="63"/>
      <c r="CH27" s="63"/>
      <c r="CI27" s="63"/>
      <c r="CJ27" s="63"/>
      <c r="CK27" s="64"/>
      <c r="CL27" s="64"/>
      <c r="CM27" s="65"/>
      <c r="CN27" s="64"/>
      <c r="CO27" s="65"/>
      <c r="CP27" s="64"/>
      <c r="CQ27" s="63"/>
      <c r="CR27" s="63"/>
      <c r="CS27" s="63"/>
      <c r="CT27" s="63"/>
      <c r="CU27" s="66"/>
      <c r="CV27" s="67"/>
      <c r="CW27" s="67"/>
      <c r="CX27" s="67"/>
      <c r="CY27" s="67"/>
      <c r="CZ27" s="67"/>
      <c r="DA27" s="67"/>
      <c r="DB27" s="67"/>
      <c r="DC27" s="67"/>
      <c r="DD27" s="67"/>
      <c r="DE27" s="67"/>
      <c r="DF27" s="67"/>
      <c r="DG27" s="67"/>
      <c r="DH27" s="67"/>
      <c r="DI27" s="67"/>
      <c r="DJ27" s="67"/>
      <c r="DK27" s="67"/>
      <c r="DL27" s="67"/>
      <c r="DM27" s="67"/>
      <c r="DN27" s="67"/>
      <c r="DO27" s="67"/>
      <c r="DP27" s="67"/>
      <c r="DQ27" s="67"/>
    </row>
    <row r="28" ht="15.75" hidden="1" customHeight="1" outlineLevel="1">
      <c r="A28" s="168"/>
      <c r="B28" s="156"/>
      <c r="K28" s="157"/>
      <c r="L28" s="173"/>
      <c r="M28" s="193" t="s">
        <v>112</v>
      </c>
      <c r="N28" s="69"/>
      <c r="O28" s="69"/>
      <c r="P28" s="70"/>
      <c r="Q28" s="218"/>
      <c r="R28" s="215"/>
      <c r="S28" s="215"/>
      <c r="T28" s="215"/>
      <c r="U28" s="215"/>
      <c r="V28" s="215"/>
      <c r="W28" s="215"/>
      <c r="X28" s="215"/>
      <c r="Y28" s="148"/>
      <c r="Z28" s="148"/>
      <c r="AA28" s="148"/>
      <c r="AB28" s="148"/>
      <c r="AC28" s="148"/>
      <c r="AD28" s="148"/>
      <c r="AE28" s="148"/>
      <c r="AF28" s="148"/>
      <c r="AG28" s="148"/>
      <c r="AH28" s="148"/>
      <c r="AI28" s="148"/>
      <c r="AJ28" s="148"/>
      <c r="AK28" s="148"/>
      <c r="AL28" s="148"/>
      <c r="AM28" s="56"/>
      <c r="AN28" s="220" t="s">
        <v>133</v>
      </c>
      <c r="AO28" s="221"/>
      <c r="AP28" s="196" t="str">
        <f>IFERROR(__xludf.DUMMYFUNCTION("IF(NOT(caixa!$AC$7),"""",SUM(IFERROR(FILTER(caixa!$V$5:$V$24,caixa!$M$5:$M$24=VLOOKUP($AP$21,caixa!$AB$10:$AD$29,2,FALSE),caixa!$N$5:$N$24=VLOOKUP($AP$21,caixa!$AB$10:$AD$29,3,FALSE)),0)))"),"")</f>
        <v/>
      </c>
      <c r="AQ28" s="196" t="str">
        <f>caixa!AJ8</f>
        <v/>
      </c>
      <c r="AR28" s="197" t="str">
        <f>caixa!AJ5</f>
        <v/>
      </c>
      <c r="AS28" s="196" t="str">
        <f>caixa!AJ6</f>
        <v/>
      </c>
      <c r="AT28" s="56"/>
      <c r="AU28" s="58"/>
      <c r="AV28" s="58"/>
      <c r="AW28" s="58"/>
      <c r="AX28" s="58"/>
      <c r="AY28" s="58"/>
      <c r="AZ28" s="58"/>
      <c r="BA28" s="58"/>
      <c r="BB28" s="58"/>
      <c r="BC28" s="58"/>
      <c r="BD28" s="58"/>
      <c r="BE28" s="58"/>
      <c r="BF28" s="58"/>
      <c r="BG28" s="58"/>
      <c r="BH28" s="58"/>
      <c r="BI28" s="58"/>
      <c r="BJ28" s="58"/>
      <c r="BK28" s="58"/>
      <c r="BL28" s="58"/>
      <c r="BM28" s="58"/>
      <c r="BN28" s="58"/>
      <c r="BO28" s="59"/>
      <c r="BP28" s="60"/>
      <c r="BQ28" s="61"/>
      <c r="BR28" s="61"/>
      <c r="BS28" s="60"/>
      <c r="BT28" s="60"/>
      <c r="BU28" s="61"/>
      <c r="BV28" s="60"/>
      <c r="BW28" s="60"/>
      <c r="BX28" s="62"/>
      <c r="BY28" s="63"/>
      <c r="BZ28" s="63"/>
      <c r="CA28" s="63"/>
      <c r="CB28" s="63"/>
      <c r="CC28" s="63"/>
      <c r="CD28" s="63"/>
      <c r="CE28" s="63"/>
      <c r="CF28" s="63"/>
      <c r="CG28" s="63"/>
      <c r="CH28" s="63"/>
      <c r="CI28" s="63"/>
      <c r="CJ28" s="63"/>
      <c r="CK28" s="64"/>
      <c r="CL28" s="64"/>
      <c r="CM28" s="65"/>
      <c r="CN28" s="64"/>
      <c r="CO28" s="65"/>
      <c r="CP28" s="64"/>
      <c r="CQ28" s="63"/>
      <c r="CR28" s="63"/>
      <c r="CS28" s="63"/>
      <c r="CT28" s="63"/>
      <c r="CU28" s="66"/>
      <c r="CV28" s="67"/>
      <c r="CW28" s="67"/>
      <c r="CX28" s="67"/>
      <c r="CY28" s="67"/>
      <c r="CZ28" s="67"/>
      <c r="DA28" s="67"/>
      <c r="DB28" s="67"/>
      <c r="DC28" s="67"/>
      <c r="DD28" s="67"/>
      <c r="DE28" s="67"/>
      <c r="DF28" s="67"/>
      <c r="DG28" s="67"/>
      <c r="DH28" s="67"/>
      <c r="DI28" s="67"/>
      <c r="DJ28" s="67"/>
      <c r="DK28" s="67"/>
      <c r="DL28" s="67"/>
      <c r="DM28" s="67"/>
      <c r="DN28" s="67"/>
      <c r="DO28" s="67"/>
      <c r="DP28" s="67"/>
      <c r="DQ28" s="67"/>
    </row>
    <row r="29" ht="3.75" hidden="1" customHeight="1" outlineLevel="1">
      <c r="B29" s="156"/>
      <c r="K29" s="157"/>
      <c r="L29" s="150"/>
      <c r="M29" s="151"/>
      <c r="N29" s="151"/>
      <c r="O29" s="151"/>
      <c r="P29" s="152"/>
      <c r="Q29" s="153"/>
      <c r="R29" s="154"/>
      <c r="S29" s="154"/>
      <c r="T29" s="154"/>
      <c r="U29" s="154"/>
      <c r="V29" s="154"/>
      <c r="W29" s="154"/>
      <c r="X29" s="154"/>
      <c r="Y29" s="154"/>
      <c r="Z29" s="154"/>
      <c r="AA29" s="154"/>
      <c r="AB29" s="154"/>
      <c r="AC29" s="154"/>
      <c r="AD29" s="154"/>
      <c r="AE29" s="154"/>
      <c r="AF29" s="155"/>
      <c r="AG29" s="155"/>
      <c r="AH29" s="155"/>
      <c r="AI29" s="155"/>
      <c r="AJ29" s="155"/>
      <c r="AK29" s="155"/>
      <c r="AL29" s="155"/>
      <c r="AM29" s="56"/>
      <c r="AN29" s="56"/>
      <c r="AO29" s="56"/>
      <c r="AP29" s="56"/>
      <c r="AQ29" s="56"/>
      <c r="AR29" s="56"/>
      <c r="AS29" s="56"/>
      <c r="AT29" s="56"/>
      <c r="AU29" s="58"/>
      <c r="AV29" s="58"/>
      <c r="AW29" s="58"/>
      <c r="AX29" s="58"/>
      <c r="AY29" s="58"/>
      <c r="AZ29" s="58"/>
      <c r="BA29" s="58"/>
      <c r="BB29" s="58"/>
      <c r="BC29" s="58"/>
      <c r="BD29" s="58"/>
      <c r="BE29" s="58"/>
      <c r="BF29" s="58"/>
      <c r="BG29" s="58"/>
      <c r="BH29" s="58"/>
      <c r="BI29" s="58"/>
      <c r="BJ29" s="58"/>
      <c r="BK29" s="58"/>
      <c r="BL29" s="58"/>
      <c r="BM29" s="58"/>
      <c r="BN29" s="58"/>
      <c r="BO29" s="59"/>
      <c r="BP29" s="60"/>
      <c r="BQ29" s="61"/>
      <c r="BR29" s="61"/>
      <c r="BS29" s="60"/>
      <c r="BT29" s="60"/>
      <c r="BU29" s="61"/>
      <c r="BV29" s="60"/>
      <c r="BW29" s="60"/>
      <c r="BX29" s="62"/>
      <c r="BY29" s="63"/>
      <c r="BZ29" s="63"/>
      <c r="CA29" s="63"/>
      <c r="CB29" s="63"/>
      <c r="CC29" s="63"/>
      <c r="CD29" s="63"/>
      <c r="CE29" s="63"/>
      <c r="CF29" s="63"/>
      <c r="CG29" s="63"/>
      <c r="CH29" s="63"/>
      <c r="CI29" s="63"/>
      <c r="CJ29" s="63"/>
      <c r="CK29" s="64"/>
      <c r="CL29" s="64"/>
      <c r="CM29" s="65"/>
      <c r="CN29" s="64"/>
      <c r="CO29" s="65"/>
      <c r="CP29" s="64"/>
      <c r="CQ29" s="63"/>
      <c r="CR29" s="63"/>
      <c r="CS29" s="63"/>
      <c r="CT29" s="63"/>
      <c r="CU29" s="66"/>
      <c r="CV29" s="67"/>
      <c r="CW29" s="67"/>
      <c r="CX29" s="67"/>
      <c r="CY29" s="67"/>
      <c r="CZ29" s="67"/>
      <c r="DA29" s="67"/>
      <c r="DB29" s="67"/>
      <c r="DC29" s="67"/>
      <c r="DD29" s="67"/>
      <c r="DE29" s="67"/>
      <c r="DF29" s="67"/>
      <c r="DG29" s="67"/>
      <c r="DH29" s="67"/>
      <c r="DI29" s="67"/>
      <c r="DJ29" s="67"/>
      <c r="DK29" s="67"/>
      <c r="DL29" s="67"/>
      <c r="DM29" s="67"/>
      <c r="DN29" s="67"/>
      <c r="DO29" s="67"/>
      <c r="DP29" s="67"/>
      <c r="DQ29" s="67"/>
    </row>
    <row r="30" ht="15.75" hidden="1" customHeight="1" outlineLevel="1">
      <c r="A30" s="168"/>
      <c r="B30" s="156"/>
      <c r="K30" s="157"/>
      <c r="L30" s="173"/>
      <c r="M30" s="222" t="s">
        <v>134</v>
      </c>
      <c r="P30" s="83"/>
      <c r="Q30" s="159" t="str">
        <f>IFERROR(__xludf.DUMMYFUNCTION("TRANSPOSE(IFERROR(query({CZ44:DP53;CZ55:DP58;CZ60:DP63},""select Col9,Col10 where Col1&lt;&gt;'' and Col1&lt;&gt;'-' order by Col17"",0)))"),"")</f>
        <v/>
      </c>
      <c r="R30" s="223"/>
      <c r="S30" s="224"/>
      <c r="T30" s="224"/>
      <c r="U30" s="224"/>
      <c r="V30" s="224"/>
      <c r="W30" s="224"/>
      <c r="X30" s="160"/>
      <c r="Y30" s="160"/>
      <c r="Z30" s="160"/>
      <c r="AA30" s="160"/>
      <c r="AB30" s="160"/>
      <c r="AC30" s="160"/>
      <c r="AD30" s="160"/>
      <c r="AE30" s="160"/>
      <c r="AF30" s="160"/>
      <c r="AG30" s="160"/>
      <c r="AH30" s="160"/>
      <c r="AI30" s="160"/>
      <c r="AJ30" s="160"/>
      <c r="AK30" s="160"/>
      <c r="AL30" s="160"/>
      <c r="AM30" s="56"/>
      <c r="AN30" s="216" t="s">
        <v>135</v>
      </c>
      <c r="AO30" s="217"/>
      <c r="AP30" s="225" t="str">
        <f>IFERROR(__xludf.DUMMYFUNCTION("IF(NOT(caixa!$AC$7),"""",SUM(IFERROR(FILTER(caixa!$W$5:$W$24,caixa!$M$5:$M$24=VLOOKUP($AP$21,caixa!$AB$10:$AD$29,2,FALSE),caixa!$N$5:$N$24=VLOOKUP($AP$21,caixa!$AB$10:$AD$29,3,FALSE)),0)))"),"")</f>
        <v/>
      </c>
      <c r="AQ30" s="225" t="str">
        <f>caixa!AK8</f>
        <v/>
      </c>
      <c r="AR30" s="226" t="str">
        <f>caixa!AK5</f>
        <v/>
      </c>
      <c r="AS30" s="225" t="str">
        <f>caixa!AK6</f>
        <v/>
      </c>
      <c r="AT30" s="56"/>
      <c r="AU30" s="58"/>
      <c r="AV30" s="58"/>
      <c r="AW30" s="58"/>
      <c r="AX30" s="58"/>
      <c r="AY30" s="58"/>
      <c r="AZ30" s="58"/>
      <c r="BA30" s="58"/>
      <c r="BB30" s="58"/>
      <c r="BC30" s="58"/>
      <c r="BD30" s="58"/>
      <c r="BE30" s="58"/>
      <c r="BF30" s="58"/>
      <c r="BG30" s="58"/>
      <c r="BH30" s="58"/>
      <c r="BI30" s="58"/>
      <c r="BJ30" s="58"/>
      <c r="BK30" s="58"/>
      <c r="BL30" s="58"/>
      <c r="BM30" s="58"/>
      <c r="BN30" s="58"/>
      <c r="BO30" s="59"/>
      <c r="BP30" s="60"/>
      <c r="BQ30" s="61"/>
      <c r="BR30" s="61"/>
      <c r="BS30" s="60"/>
      <c r="BT30" s="60"/>
      <c r="BU30" s="61"/>
      <c r="BV30" s="60"/>
      <c r="BW30" s="60"/>
      <c r="BX30" s="62"/>
      <c r="BY30" s="227"/>
      <c r="BZ30" s="63"/>
      <c r="CA30" s="63"/>
      <c r="CB30" s="63"/>
      <c r="CC30" s="63"/>
      <c r="CD30" s="63"/>
      <c r="CE30" s="63"/>
      <c r="CF30" s="63"/>
      <c r="CG30" s="63"/>
      <c r="CH30" s="63"/>
      <c r="CI30" s="63"/>
      <c r="CJ30" s="63"/>
      <c r="CK30" s="64"/>
      <c r="CL30" s="64"/>
      <c r="CM30" s="65"/>
      <c r="CN30" s="64"/>
      <c r="CO30" s="65"/>
      <c r="CP30" s="64"/>
      <c r="CQ30" s="63"/>
      <c r="CR30" s="63"/>
      <c r="CS30" s="63"/>
      <c r="CT30" s="63"/>
      <c r="CU30" s="66"/>
      <c r="CV30" s="67"/>
      <c r="CW30" s="67"/>
      <c r="CX30" s="67"/>
      <c r="CY30" s="67"/>
      <c r="CZ30" s="67"/>
      <c r="DA30" s="67"/>
      <c r="DB30" s="67"/>
      <c r="DC30" s="67"/>
      <c r="DD30" s="67"/>
      <c r="DE30" s="67"/>
      <c r="DF30" s="67"/>
      <c r="DG30" s="67"/>
      <c r="DH30" s="67"/>
      <c r="DI30" s="67"/>
      <c r="DJ30" s="67"/>
      <c r="DK30" s="67"/>
      <c r="DL30" s="67"/>
      <c r="DM30" s="67"/>
      <c r="DN30" s="67"/>
      <c r="DO30" s="67"/>
      <c r="DP30" s="67"/>
      <c r="DQ30" s="67"/>
    </row>
    <row r="31" ht="15.75" hidden="1" customHeight="1" outlineLevel="1">
      <c r="A31" s="168"/>
      <c r="B31" s="156"/>
      <c r="K31" s="157"/>
      <c r="L31" s="173"/>
      <c r="M31" s="68"/>
      <c r="N31" s="69"/>
      <c r="O31" s="69"/>
      <c r="P31" s="70"/>
      <c r="Q31" s="228"/>
      <c r="R31" s="229"/>
      <c r="S31" s="229"/>
      <c r="T31" s="229"/>
      <c r="U31" s="229"/>
      <c r="V31" s="229"/>
      <c r="W31" s="229"/>
      <c r="X31" s="229"/>
      <c r="Y31" s="163"/>
      <c r="Z31" s="163"/>
      <c r="AA31" s="163"/>
      <c r="AB31" s="163"/>
      <c r="AC31" s="163"/>
      <c r="AD31" s="163"/>
      <c r="AE31" s="163"/>
      <c r="AF31" s="163"/>
      <c r="AG31" s="163"/>
      <c r="AH31" s="163"/>
      <c r="AI31" s="163"/>
      <c r="AJ31" s="163"/>
      <c r="AK31" s="163"/>
      <c r="AL31" s="163"/>
      <c r="AM31" s="56"/>
      <c r="AN31" s="230"/>
      <c r="AO31" s="231"/>
      <c r="AP31" s="198"/>
      <c r="AQ31" s="198"/>
      <c r="AR31" s="232"/>
      <c r="AS31" s="198"/>
      <c r="AT31" s="56"/>
      <c r="AU31" s="58"/>
      <c r="AV31" s="58"/>
      <c r="AW31" s="58"/>
      <c r="AX31" s="58"/>
      <c r="AY31" s="58"/>
      <c r="AZ31" s="58"/>
      <c r="BA31" s="58"/>
      <c r="BB31" s="58"/>
      <c r="BC31" s="58"/>
      <c r="BD31" s="58"/>
      <c r="BE31" s="58"/>
      <c r="BF31" s="58"/>
      <c r="BG31" s="58"/>
      <c r="BH31" s="58"/>
      <c r="BI31" s="58"/>
      <c r="BJ31" s="58"/>
      <c r="BK31" s="58"/>
      <c r="BL31" s="58"/>
      <c r="BM31" s="58"/>
      <c r="BN31" s="58"/>
      <c r="BO31" s="59"/>
      <c r="BP31" s="233"/>
      <c r="BQ31" s="64"/>
      <c r="BR31" s="64"/>
      <c r="BS31" s="233"/>
      <c r="BT31" s="233"/>
      <c r="BU31" s="64"/>
      <c r="BV31" s="233"/>
      <c r="BW31" s="233"/>
      <c r="BX31" s="234"/>
      <c r="BY31" s="233"/>
      <c r="BZ31" s="233"/>
      <c r="CA31" s="233"/>
      <c r="CB31" s="233"/>
      <c r="CC31" s="233"/>
      <c r="CD31" s="233"/>
      <c r="CE31" s="233"/>
      <c r="CF31" s="233"/>
      <c r="CG31" s="233"/>
      <c r="CH31" s="233"/>
      <c r="CI31" s="233"/>
      <c r="CJ31" s="233"/>
      <c r="CK31" s="64"/>
      <c r="CL31" s="64"/>
      <c r="CM31" s="65"/>
      <c r="CN31" s="64"/>
      <c r="CO31" s="65"/>
      <c r="CP31" s="64"/>
      <c r="CQ31" s="63"/>
      <c r="CR31" s="63"/>
      <c r="CS31" s="63"/>
      <c r="CT31" s="63"/>
      <c r="CU31" s="66"/>
      <c r="CV31" s="67"/>
      <c r="CW31" s="67"/>
      <c r="CX31" s="67"/>
      <c r="CY31" s="67"/>
      <c r="CZ31" s="67"/>
      <c r="DA31" s="67"/>
      <c r="DB31" s="67"/>
      <c r="DC31" s="67"/>
      <c r="DD31" s="67"/>
      <c r="DE31" s="67"/>
      <c r="DF31" s="67"/>
      <c r="DG31" s="67"/>
      <c r="DH31" s="67"/>
      <c r="DI31" s="67"/>
      <c r="DJ31" s="67"/>
      <c r="DK31" s="67"/>
      <c r="DL31" s="67"/>
      <c r="DM31" s="67"/>
      <c r="DN31" s="185"/>
      <c r="DO31" s="67"/>
      <c r="DP31" s="67"/>
      <c r="DQ31" s="67"/>
    </row>
    <row r="32" ht="3.75" hidden="1" customHeight="1" outlineLevel="1">
      <c r="A32" s="202"/>
      <c r="B32" s="156"/>
      <c r="K32" s="157"/>
      <c r="L32" s="203"/>
      <c r="M32" s="235"/>
      <c r="N32" s="235"/>
      <c r="O32" s="235"/>
      <c r="P32" s="236"/>
      <c r="Q32" s="237"/>
      <c r="R32" s="206"/>
      <c r="S32" s="206"/>
      <c r="T32" s="206"/>
      <c r="U32" s="206"/>
      <c r="V32" s="206"/>
      <c r="W32" s="206"/>
      <c r="X32" s="206"/>
      <c r="Y32" s="206"/>
      <c r="Z32" s="206"/>
      <c r="AA32" s="206"/>
      <c r="AB32" s="206"/>
      <c r="AC32" s="206"/>
      <c r="AD32" s="206"/>
      <c r="AE32" s="206"/>
      <c r="AF32" s="207"/>
      <c r="AG32" s="207"/>
      <c r="AH32" s="207"/>
      <c r="AI32" s="207"/>
      <c r="AJ32" s="207"/>
      <c r="AK32" s="207"/>
      <c r="AL32" s="207"/>
      <c r="AM32" s="207"/>
      <c r="AN32" s="207"/>
      <c r="AO32" s="207"/>
      <c r="AP32" s="207"/>
      <c r="AQ32" s="207"/>
      <c r="AR32" s="207"/>
      <c r="AS32" s="207"/>
      <c r="AT32" s="238"/>
      <c r="AU32" s="58"/>
      <c r="AV32" s="58"/>
      <c r="AW32" s="58"/>
      <c r="AX32" s="58"/>
      <c r="AY32" s="58"/>
      <c r="AZ32" s="58"/>
      <c r="BA32" s="58"/>
      <c r="BB32" s="58"/>
      <c r="BC32" s="58"/>
      <c r="BD32" s="58"/>
      <c r="BE32" s="58"/>
      <c r="BF32" s="58"/>
      <c r="BG32" s="58"/>
      <c r="BH32" s="58"/>
      <c r="BI32" s="58"/>
      <c r="BJ32" s="58"/>
      <c r="BK32" s="58"/>
      <c r="BL32" s="58"/>
      <c r="BM32" s="58"/>
      <c r="BN32" s="58"/>
      <c r="BO32" s="59"/>
      <c r="BP32" s="208"/>
      <c r="BQ32" s="209"/>
      <c r="BR32" s="209"/>
      <c r="BS32" s="208"/>
      <c r="BT32" s="208"/>
      <c r="BU32" s="209"/>
      <c r="BV32" s="208"/>
      <c r="BW32" s="208"/>
      <c r="BX32" s="62"/>
      <c r="BY32" s="210"/>
      <c r="BZ32" s="210"/>
      <c r="CA32" s="210"/>
      <c r="CB32" s="210"/>
      <c r="CC32" s="210"/>
      <c r="CD32" s="210"/>
      <c r="CE32" s="210"/>
      <c r="CF32" s="210"/>
      <c r="CG32" s="210"/>
      <c r="CH32" s="210"/>
      <c r="CI32" s="210"/>
      <c r="CJ32" s="210"/>
      <c r="CK32" s="211"/>
      <c r="CL32" s="211"/>
      <c r="CM32" s="212"/>
      <c r="CN32" s="211"/>
      <c r="CO32" s="212"/>
      <c r="CP32" s="211"/>
      <c r="CQ32" s="210"/>
      <c r="CR32" s="210"/>
      <c r="CS32" s="210"/>
      <c r="CT32" s="210"/>
      <c r="CU32" s="66"/>
      <c r="CV32" s="213"/>
      <c r="CW32" s="213"/>
      <c r="CX32" s="213"/>
      <c r="CY32" s="213"/>
      <c r="CZ32" s="213"/>
      <c r="DA32" s="213"/>
      <c r="DB32" s="213"/>
      <c r="DC32" s="213"/>
      <c r="DD32" s="213"/>
      <c r="DE32" s="213"/>
      <c r="DF32" s="213"/>
      <c r="DG32" s="213"/>
      <c r="DH32" s="213"/>
      <c r="DI32" s="213"/>
      <c r="DJ32" s="213"/>
      <c r="DK32" s="213"/>
      <c r="DL32" s="213"/>
      <c r="DM32" s="213"/>
      <c r="DN32" s="213"/>
      <c r="DO32" s="213"/>
      <c r="DP32" s="213"/>
      <c r="DQ32" s="213"/>
    </row>
    <row r="33" ht="15.75" hidden="1" customHeight="1" outlineLevel="1">
      <c r="A33" s="168"/>
      <c r="B33" s="156"/>
      <c r="K33" s="157"/>
      <c r="L33" s="173"/>
      <c r="M33" s="239" t="s">
        <v>136</v>
      </c>
      <c r="N33" s="69"/>
      <c r="O33" s="69"/>
      <c r="P33" s="70"/>
      <c r="Q33" s="240" t="str">
        <f>IFERROR(__xludf.DUMMYFUNCTION("TRANSPOSE(IFERROR(query({CZ44:DP53;CZ55:DP58;CZ60:DP63},""select Col11,Col12,Col13,Col14 where Col1&lt;&gt;'' and Col1&lt;&gt;'-' order by Col17"",0)))"),"")</f>
        <v/>
      </c>
      <c r="R33" s="241"/>
      <c r="S33" s="241"/>
      <c r="T33" s="241"/>
      <c r="U33" s="241"/>
      <c r="V33" s="241"/>
      <c r="W33" s="242"/>
      <c r="X33" s="241"/>
      <c r="Y33" s="242"/>
      <c r="Z33" s="242"/>
      <c r="AA33" s="242"/>
      <c r="AB33" s="242"/>
      <c r="AC33" s="242"/>
      <c r="AD33" s="242"/>
      <c r="AE33" s="242"/>
      <c r="AF33" s="242"/>
      <c r="AG33" s="242"/>
      <c r="AH33" s="242"/>
      <c r="AI33" s="242"/>
      <c r="AJ33" s="242"/>
      <c r="AK33" s="242"/>
      <c r="AL33" s="242"/>
      <c r="AN33" s="243" t="s">
        <v>137</v>
      </c>
      <c r="AO33" s="244"/>
      <c r="AP33" s="244"/>
      <c r="AQ33" s="244"/>
      <c r="AR33" s="245" t="s">
        <v>119</v>
      </c>
      <c r="AS33" s="246" t="s">
        <v>138</v>
      </c>
      <c r="AU33" s="58"/>
      <c r="AV33" s="247" t="s">
        <v>139</v>
      </c>
      <c r="AW33" s="248"/>
      <c r="AX33" s="248"/>
      <c r="AY33" s="248"/>
      <c r="AZ33" s="248"/>
      <c r="BA33" s="248"/>
      <c r="BB33" s="248"/>
      <c r="BC33" s="248"/>
      <c r="BD33" s="248"/>
      <c r="BE33" s="248"/>
      <c r="BF33" s="248"/>
      <c r="BG33" s="248"/>
      <c r="BH33" s="248"/>
      <c r="BI33" s="248"/>
      <c r="BJ33" s="248"/>
      <c r="BK33" s="248"/>
      <c r="BL33" s="248"/>
      <c r="BM33" s="248"/>
      <c r="BN33" s="249"/>
      <c r="BO33" s="59"/>
      <c r="BP33" s="60"/>
      <c r="BQ33" s="61"/>
      <c r="BR33" s="61"/>
      <c r="BS33" s="60"/>
      <c r="BT33" s="60"/>
      <c r="BU33" s="61"/>
      <c r="BV33" s="60"/>
      <c r="BW33" s="60"/>
      <c r="BX33" s="62"/>
      <c r="BY33" s="63"/>
      <c r="BZ33" s="63"/>
      <c r="CA33" s="63"/>
      <c r="CB33" s="63"/>
      <c r="CC33" s="63"/>
      <c r="CD33" s="63"/>
      <c r="CE33" s="63"/>
      <c r="CF33" s="63"/>
      <c r="CG33" s="63"/>
      <c r="CH33" s="63"/>
      <c r="CI33" s="63"/>
      <c r="CJ33" s="63"/>
      <c r="CK33" s="64"/>
      <c r="CL33" s="64"/>
      <c r="CM33" s="65"/>
      <c r="CN33" s="64"/>
      <c r="CO33" s="65"/>
      <c r="CP33" s="64"/>
      <c r="CQ33" s="63"/>
      <c r="CR33" s="63"/>
      <c r="CS33" s="63"/>
      <c r="CT33" s="63"/>
      <c r="CU33" s="66"/>
      <c r="CV33" s="67"/>
      <c r="CW33" s="67"/>
      <c r="CX33" s="67"/>
      <c r="CY33" s="67"/>
      <c r="CZ33" s="67"/>
      <c r="DA33" s="67"/>
      <c r="DB33" s="67"/>
      <c r="DC33" s="67"/>
      <c r="DD33" s="67"/>
      <c r="DE33" s="67"/>
      <c r="DF33" s="67"/>
      <c r="DG33" s="67"/>
      <c r="DH33" s="67"/>
      <c r="DI33" s="67"/>
      <c r="DJ33" s="67"/>
      <c r="DK33" s="67"/>
      <c r="DL33" s="67"/>
      <c r="DM33" s="67"/>
      <c r="DN33" s="67"/>
      <c r="DO33" s="67"/>
      <c r="DP33" s="67"/>
      <c r="DQ33" s="67"/>
    </row>
    <row r="34" ht="15.75" hidden="1" customHeight="1" outlineLevel="1">
      <c r="A34" s="56"/>
      <c r="B34" s="156"/>
      <c r="K34" s="157"/>
      <c r="L34" s="150"/>
      <c r="M34" s="193" t="s">
        <v>140</v>
      </c>
      <c r="N34" s="69"/>
      <c r="O34" s="69"/>
      <c r="P34" s="70"/>
      <c r="Q34" s="240"/>
      <c r="R34" s="241"/>
      <c r="S34" s="241"/>
      <c r="T34" s="241"/>
      <c r="U34" s="241"/>
      <c r="V34" s="241"/>
      <c r="W34" s="241"/>
      <c r="X34" s="241"/>
      <c r="Y34" s="242"/>
      <c r="Z34" s="242"/>
      <c r="AA34" s="242"/>
      <c r="AB34" s="242"/>
      <c r="AC34" s="242"/>
      <c r="AD34" s="242"/>
      <c r="AE34" s="242"/>
      <c r="AF34" s="242"/>
      <c r="AG34" s="242"/>
      <c r="AH34" s="242"/>
      <c r="AI34" s="242"/>
      <c r="AJ34" s="242"/>
      <c r="AK34" s="242"/>
      <c r="AL34" s="242"/>
      <c r="AN34" s="250" t="s">
        <v>141</v>
      </c>
      <c r="AO34" s="251" t="str">
        <f>caixa!Z16</f>
        <v/>
      </c>
      <c r="AP34" s="250" t="s">
        <v>142</v>
      </c>
      <c r="AQ34" s="251" t="str">
        <f>caixa!Z24</f>
        <v/>
      </c>
      <c r="AR34" s="252" t="str">
        <f t="array" ref="AR34:AS36">caixa!Y30:Z32</f>
        <v/>
      </c>
      <c r="AS34" s="253"/>
      <c r="AT34" s="56"/>
      <c r="AU34" s="58"/>
      <c r="AV34" s="254" t="str">
        <f>IFERROR(__xludf.DUMMYFUNCTION("IFERROR("" and (""&amp;AZ42&amp;""='""&amp;join(""' or ""&amp;AZ42&amp;""='"",QUERY({BH44:BH343},""select Col1 where Col1 is not null""))&amp;""') "")"),"")</f>
        <v/>
      </c>
      <c r="BN34" s="249"/>
      <c r="BO34" s="59"/>
      <c r="BP34" s="60"/>
      <c r="BQ34" s="61"/>
      <c r="BR34" s="61"/>
      <c r="BS34" s="60"/>
      <c r="BT34" s="60"/>
      <c r="BU34" s="61"/>
      <c r="BV34" s="60"/>
      <c r="BW34" s="60"/>
      <c r="BX34" s="62"/>
      <c r="BY34" s="63"/>
      <c r="BZ34" s="63"/>
      <c r="CA34" s="63"/>
      <c r="CB34" s="63"/>
      <c r="CC34" s="63"/>
      <c r="CD34" s="63"/>
      <c r="CE34" s="63"/>
      <c r="CF34" s="63"/>
      <c r="CG34" s="63"/>
      <c r="CH34" s="63"/>
      <c r="CI34" s="63"/>
      <c r="CJ34" s="63"/>
      <c r="CK34" s="64"/>
      <c r="CL34" s="64"/>
      <c r="CM34" s="65"/>
      <c r="CN34" s="64"/>
      <c r="CO34" s="65"/>
      <c r="CP34" s="64"/>
      <c r="CQ34" s="63"/>
      <c r="CR34" s="63"/>
      <c r="CS34" s="63"/>
      <c r="CT34" s="63"/>
      <c r="CU34" s="66"/>
      <c r="CV34" s="67"/>
      <c r="CW34" s="67"/>
      <c r="CX34" s="67"/>
      <c r="CY34" s="67"/>
      <c r="CZ34" s="67"/>
      <c r="DA34" s="67"/>
      <c r="DB34" s="67"/>
      <c r="DC34" s="67"/>
      <c r="DD34" s="67"/>
      <c r="DE34" s="67"/>
      <c r="DF34" s="67"/>
      <c r="DG34" s="67"/>
      <c r="DH34" s="67"/>
      <c r="DI34" s="67"/>
      <c r="DJ34" s="67"/>
      <c r="DK34" s="67"/>
      <c r="DL34" s="67"/>
      <c r="DM34" s="67"/>
      <c r="DN34" s="67"/>
      <c r="DO34" s="67"/>
      <c r="DP34" s="67"/>
      <c r="DQ34" s="67"/>
    </row>
    <row r="35" ht="15.75" hidden="1" customHeight="1" outlineLevel="1">
      <c r="A35" s="56"/>
      <c r="B35" s="142"/>
      <c r="C35" s="143"/>
      <c r="D35" s="143"/>
      <c r="E35" s="143"/>
      <c r="F35" s="143"/>
      <c r="G35" s="143"/>
      <c r="H35" s="143"/>
      <c r="I35" s="143"/>
      <c r="J35" s="143"/>
      <c r="K35" s="144"/>
      <c r="L35" s="150"/>
      <c r="M35" s="239" t="s">
        <v>143</v>
      </c>
      <c r="N35" s="69"/>
      <c r="O35" s="69"/>
      <c r="P35" s="70"/>
      <c r="Q35" s="255"/>
      <c r="R35" s="241"/>
      <c r="S35" s="241"/>
      <c r="T35" s="241"/>
      <c r="U35" s="241"/>
      <c r="V35" s="241"/>
      <c r="W35" s="241"/>
      <c r="X35" s="241"/>
      <c r="Y35" s="242"/>
      <c r="Z35" s="242"/>
      <c r="AA35" s="242"/>
      <c r="AB35" s="242"/>
      <c r="AC35" s="242"/>
      <c r="AD35" s="242"/>
      <c r="AE35" s="242"/>
      <c r="AF35" s="242"/>
      <c r="AG35" s="242"/>
      <c r="AH35" s="242"/>
      <c r="AI35" s="242"/>
      <c r="AJ35" s="242"/>
      <c r="AK35" s="242"/>
      <c r="AL35" s="242"/>
      <c r="AM35" s="56"/>
      <c r="AN35" s="256">
        <f t="array" ref="AN35:AO36">caixa!Y18:Z19</f>
        <v>46112</v>
      </c>
      <c r="AO35" s="257" t="s">
        <v>123</v>
      </c>
      <c r="AP35" s="258">
        <f t="array" ref="AP35:AQ36">caixa!Y25:Z26</f>
        <v>2026</v>
      </c>
      <c r="AQ35" s="257" t="s">
        <v>123</v>
      </c>
      <c r="AR35" s="252"/>
      <c r="AS35" s="225"/>
      <c r="AT35" s="56"/>
      <c r="AU35" s="58"/>
      <c r="AV35" s="254" t="str">
        <f>IFERROR(__xludf.DUMMYFUNCTION("IFERROR("" and (""&amp;$BA$42&amp;"" like '""&amp;join(""' or ""&amp;$BA$42&amp;"" like '"",Filter($AI$44:$AI$62,($AJ$44:$AJ$62=TRUE)*($AI$44:$AI$62&lt;&gt;"""")))&amp;""') "","" and ""&amp;$BA$42&amp;""='***###@@@'"")")," and Col4='***###@@@'")</f>
        <v> and Col4='***###@@@'</v>
      </c>
      <c r="BN35" s="249"/>
      <c r="BO35" s="59"/>
      <c r="BP35" s="233"/>
      <c r="BQ35" s="259"/>
      <c r="BR35" s="64"/>
      <c r="BS35" s="60"/>
      <c r="BT35" s="60"/>
      <c r="BU35" s="61"/>
      <c r="BV35" s="60"/>
      <c r="BW35" s="60"/>
      <c r="BX35" s="62"/>
      <c r="BY35" s="63"/>
      <c r="BZ35" s="63"/>
      <c r="CA35" s="63"/>
      <c r="CB35" s="63"/>
      <c r="CC35" s="63"/>
      <c r="CD35" s="63"/>
      <c r="CE35" s="63"/>
      <c r="CF35" s="63"/>
      <c r="CG35" s="63"/>
      <c r="CH35" s="63"/>
      <c r="CI35" s="63"/>
      <c r="CJ35" s="63"/>
      <c r="CK35" s="64"/>
      <c r="CL35" s="64"/>
      <c r="CM35" s="65"/>
      <c r="CN35" s="64"/>
      <c r="CO35" s="65"/>
      <c r="CP35" s="64"/>
      <c r="CQ35" s="63"/>
      <c r="CR35" s="63"/>
      <c r="CS35" s="63"/>
      <c r="CT35" s="63"/>
      <c r="CU35" s="66"/>
      <c r="CV35" s="67"/>
      <c r="CW35" s="67"/>
      <c r="CX35" s="67"/>
      <c r="CY35" s="67"/>
      <c r="CZ35" s="67"/>
      <c r="DA35" s="67"/>
      <c r="DB35" s="67"/>
      <c r="DC35" s="67"/>
      <c r="DD35" s="67"/>
      <c r="DE35" s="67"/>
      <c r="DF35" s="67"/>
      <c r="DG35" s="67"/>
      <c r="DH35" s="67"/>
      <c r="DI35" s="67"/>
      <c r="DJ35" s="67"/>
      <c r="DK35" s="67"/>
      <c r="DL35" s="67"/>
      <c r="DM35" s="67"/>
      <c r="DN35" s="67"/>
      <c r="DO35" s="67"/>
      <c r="DP35" s="67"/>
      <c r="DQ35" s="67"/>
    </row>
    <row r="36" ht="15.75" hidden="1" customHeight="1" outlineLevel="1">
      <c r="A36" s="56"/>
      <c r="B36" s="260" t="str">
        <f t="array" ref="B36:K36">TRANSPOSE(BS44:BS53)</f>
        <v/>
      </c>
      <c r="C36" s="261"/>
      <c r="D36" s="261"/>
      <c r="E36" s="261"/>
      <c r="F36" s="261"/>
      <c r="G36" s="261"/>
      <c r="H36" s="261"/>
      <c r="I36" s="261"/>
      <c r="J36" s="261"/>
      <c r="K36" s="262"/>
      <c r="L36" s="150"/>
      <c r="M36" s="239" t="s">
        <v>144</v>
      </c>
      <c r="N36" s="69"/>
      <c r="O36" s="69"/>
      <c r="P36" s="70"/>
      <c r="Q36" s="240"/>
      <c r="R36" s="241"/>
      <c r="S36" s="241"/>
      <c r="T36" s="241"/>
      <c r="U36" s="241"/>
      <c r="V36" s="241"/>
      <c r="W36" s="241"/>
      <c r="X36" s="241"/>
      <c r="Y36" s="242"/>
      <c r="Z36" s="242"/>
      <c r="AA36" s="242"/>
      <c r="AB36" s="242"/>
      <c r="AC36" s="242"/>
      <c r="AD36" s="242"/>
      <c r="AE36" s="242"/>
      <c r="AF36" s="242"/>
      <c r="AG36" s="242"/>
      <c r="AH36" s="242"/>
      <c r="AI36" s="242"/>
      <c r="AJ36" s="242"/>
      <c r="AK36" s="242"/>
      <c r="AL36" s="242"/>
      <c r="AM36" s="56"/>
      <c r="AN36" s="263">
        <v>46081.0</v>
      </c>
      <c r="AO36" s="257" t="s">
        <v>123</v>
      </c>
      <c r="AP36" s="264">
        <v>2025.0</v>
      </c>
      <c r="AQ36" s="257" t="s">
        <v>123</v>
      </c>
      <c r="AR36" s="252"/>
      <c r="AS36" s="225"/>
      <c r="AT36" s="56"/>
      <c r="AU36" s="58"/>
      <c r="AV36" s="254" t="str">
        <f>IFERROR(__xludf.DUMMYFUNCTION("IFERROR("" and (""&amp;$BF$42&amp;"" like '""&amp;join(""' or ""&amp;$BF$42&amp;"" like '"",Filter($AK$44:$AK$62,($AL$44:$AL$62=TRUE)*($AK$44:$AK$62&lt;&gt;"""")))&amp;""') "",$BF$42&amp;""='***###@@@'"")"),"Col20='***###@@@'")</f>
        <v>Col20='***###@@@'</v>
      </c>
      <c r="BN36" s="249"/>
      <c r="BO36" s="59"/>
      <c r="BP36" s="60"/>
      <c r="BQ36" s="259"/>
      <c r="BR36" s="61"/>
      <c r="BS36" s="60"/>
      <c r="BT36" s="60"/>
      <c r="BU36" s="61"/>
      <c r="BV36" s="60"/>
      <c r="BW36" s="60"/>
      <c r="BX36" s="62"/>
      <c r="BY36" s="63"/>
      <c r="BZ36" s="63"/>
      <c r="CA36" s="63"/>
      <c r="CB36" s="63"/>
      <c r="CC36" s="63"/>
      <c r="CD36" s="63"/>
      <c r="CE36" s="63"/>
      <c r="CF36" s="63"/>
      <c r="CG36" s="63"/>
      <c r="CH36" s="63"/>
      <c r="CI36" s="63"/>
      <c r="CJ36" s="63"/>
      <c r="CK36" s="64"/>
      <c r="CL36" s="64"/>
      <c r="CM36" s="65"/>
      <c r="CN36" s="64"/>
      <c r="CO36" s="65"/>
      <c r="CP36" s="64"/>
      <c r="CQ36" s="63"/>
      <c r="CR36" s="63"/>
      <c r="CS36" s="63"/>
      <c r="CT36" s="63"/>
      <c r="CU36" s="66"/>
      <c r="CV36" s="67"/>
      <c r="CW36" s="67"/>
      <c r="CX36" s="67"/>
      <c r="CY36" s="67"/>
      <c r="CZ36" s="67"/>
      <c r="DA36" s="67"/>
      <c r="DB36" s="67"/>
      <c r="DC36" s="67"/>
      <c r="DD36" s="67"/>
      <c r="DE36" s="67"/>
      <c r="DF36" s="67"/>
      <c r="DG36" s="67"/>
      <c r="DH36" s="67"/>
      <c r="DI36" s="67"/>
      <c r="DJ36" s="67"/>
      <c r="DK36" s="67"/>
      <c r="DL36" s="67"/>
      <c r="DM36" s="67"/>
      <c r="DN36" s="67"/>
      <c r="DO36" s="67"/>
      <c r="DP36" s="67"/>
      <c r="DQ36" s="67"/>
    </row>
    <row r="37" ht="3.75" hidden="1" customHeight="1" outlineLevel="1">
      <c r="A37" s="265"/>
      <c r="B37" s="266"/>
      <c r="C37" s="133"/>
      <c r="D37" s="133"/>
      <c r="E37" s="133"/>
      <c r="F37" s="133"/>
      <c r="G37" s="133"/>
      <c r="H37" s="133"/>
      <c r="I37" s="133"/>
      <c r="J37" s="133"/>
      <c r="K37" s="267"/>
      <c r="L37" s="265"/>
      <c r="M37" s="268" t="str">
        <f>("Col"&amp;MATCH(M$40,portfolio.!$A$3:DQ$3,0))</f>
        <v>Col68</v>
      </c>
      <c r="N37" s="268" t="str">
        <f>("Col"&amp;MATCH(N$40,portfolio.!$A$3:$BO$3,0))</f>
        <v>Col54</v>
      </c>
      <c r="O37" s="268"/>
      <c r="P37" s="268" t="str">
        <f>("Col"&amp;MATCH(P$40,portfolio.!$A$3:$BO$3,0))</f>
        <v>Col56</v>
      </c>
      <c r="Q37" s="268" t="str">
        <f>("Col"&amp;MATCH(Q$40,portfolio.!$A$3:$BO$3,0))</f>
        <v>Col64</v>
      </c>
      <c r="R37" s="268" t="str">
        <f>("Col"&amp;MATCH(R$40,portfolio.!$A$3:$BO$3,0))</f>
        <v>Col39</v>
      </c>
      <c r="S37" s="268" t="str">
        <f>("Col"&amp;MATCH(S$40,portfolio.!$A$3:$BO$3,0))</f>
        <v>Col58</v>
      </c>
      <c r="T37" s="268" t="str">
        <f>("Col"&amp;MATCH(T$40,portfolio.!$A$3:$BO$3,0))</f>
        <v>Col15</v>
      </c>
      <c r="U37" s="268" t="str">
        <f>("Col"&amp;MATCH(U$40,portfolio.!$A$3:$BO$3,0))</f>
        <v>Col40</v>
      </c>
      <c r="V37" s="268" t="str">
        <f>("Col"&amp;MATCH(V$40,portfolio.!$A$3:$BO$3,0))</f>
        <v>Col60</v>
      </c>
      <c r="W37" s="268"/>
      <c r="X37" s="268" t="str">
        <f>("Col"&amp;MATCH(X$40,portfolio.!$A$3:$BO$3,0))</f>
        <v>Col43</v>
      </c>
      <c r="Y37" s="268" t="str">
        <f>("Col"&amp;MATCH(Y$40,portfolio.!$A$3:$BO$3,0))</f>
        <v>Col44</v>
      </c>
      <c r="Z37" s="268" t="str">
        <f>("Col"&amp;MATCH(Z$40,portfolio.!$A$3:$BO$3,0))</f>
        <v>Col61</v>
      </c>
      <c r="AA37" s="268" t="str">
        <f>("Col"&amp;MATCH(AA$40,portfolio.!$A$3:$BO$3,0))</f>
        <v>Col63</v>
      </c>
      <c r="AB37" s="268" t="str">
        <f>("Col"&amp;MATCH(AB$40,portfolio.!$A$3:$BO$3,0))</f>
        <v>Col67</v>
      </c>
      <c r="AC37" s="268" t="str">
        <f>("Col"&amp;MATCH(AC$40,portfolio.!$A$3:$BO$3,0))</f>
        <v>Col66</v>
      </c>
      <c r="AD37" s="268" t="str">
        <f>("Col"&amp;MATCH(AD$40,portfolio.!$A$3:$BO$3,0))</f>
        <v>Col7</v>
      </c>
      <c r="AE37" s="268"/>
      <c r="AF37" s="268" t="str">
        <f>("Col"&amp;MATCH(AF$40,portfolio.!$A$3:$BO$3,0))</f>
        <v>Col45</v>
      </c>
      <c r="AG37" s="268"/>
      <c r="AH37" s="268"/>
      <c r="AI37" s="268"/>
      <c r="AJ37" s="268"/>
      <c r="AK37" s="268"/>
      <c r="AL37" s="268"/>
      <c r="AM37" s="203"/>
      <c r="AN37" s="263">
        <f t="array" ref="AN37:AO37">caixa!Y20:Z20</f>
        <v>46053</v>
      </c>
      <c r="AO37" s="269" t="s">
        <v>123</v>
      </c>
      <c r="AP37" s="264">
        <f t="array" ref="AP37:AQ37">caixa!Y27:Z27</f>
        <v>2024</v>
      </c>
      <c r="AQ37" s="269" t="s">
        <v>123</v>
      </c>
      <c r="AR37" s="252" t="str">
        <f t="array" ref="AR37:AS38">caixa!Y33:Z34</f>
        <v/>
      </c>
      <c r="AS37" s="225"/>
      <c r="AT37" s="203"/>
      <c r="AU37" s="58"/>
      <c r="AV37" s="58"/>
      <c r="AW37" s="58"/>
      <c r="AX37" s="58"/>
      <c r="AY37" s="58"/>
      <c r="AZ37" s="58"/>
      <c r="BA37" s="58"/>
      <c r="BB37" s="58"/>
      <c r="BC37" s="58"/>
      <c r="BD37" s="58"/>
      <c r="BE37" s="58"/>
      <c r="BF37" s="58"/>
      <c r="BG37" s="58"/>
      <c r="BH37" s="58"/>
      <c r="BI37" s="58"/>
      <c r="BJ37" s="58"/>
      <c r="BK37" s="58"/>
      <c r="BL37" s="58"/>
      <c r="BM37" s="58"/>
      <c r="BN37" s="58"/>
      <c r="BO37" s="270"/>
      <c r="BP37" s="60"/>
      <c r="BQ37" s="61"/>
      <c r="BR37" s="61"/>
      <c r="BS37" s="271"/>
      <c r="BT37" s="271"/>
      <c r="BU37" s="272"/>
      <c r="BV37" s="271"/>
      <c r="BW37" s="271"/>
      <c r="BX37" s="270"/>
      <c r="BY37" s="271"/>
      <c r="BZ37" s="271"/>
      <c r="CA37" s="271"/>
      <c r="CB37" s="271"/>
      <c r="CC37" s="271"/>
      <c r="CD37" s="271"/>
      <c r="CE37" s="271"/>
      <c r="CF37" s="271"/>
      <c r="CG37" s="271"/>
      <c r="CH37" s="271"/>
      <c r="CI37" s="271"/>
      <c r="CJ37" s="271"/>
      <c r="CK37" s="272"/>
      <c r="CL37" s="272"/>
      <c r="CM37" s="273"/>
      <c r="CN37" s="272"/>
      <c r="CO37" s="273"/>
      <c r="CP37" s="272"/>
      <c r="CQ37" s="63"/>
      <c r="CR37" s="63"/>
      <c r="CS37" s="63"/>
      <c r="CT37" s="63"/>
      <c r="CU37" s="66"/>
      <c r="CV37" s="213"/>
      <c r="CW37" s="213"/>
      <c r="CX37" s="213"/>
      <c r="CY37" s="213"/>
      <c r="CZ37" s="213"/>
      <c r="DA37" s="213"/>
      <c r="DB37" s="213"/>
      <c r="DC37" s="213"/>
      <c r="DD37" s="213"/>
      <c r="DE37" s="213"/>
      <c r="DF37" s="213"/>
      <c r="DG37" s="213"/>
      <c r="DH37" s="213"/>
      <c r="DI37" s="213"/>
      <c r="DJ37" s="213"/>
      <c r="DK37" s="213"/>
      <c r="DL37" s="213"/>
      <c r="DM37" s="213"/>
      <c r="DN37" s="213"/>
      <c r="DO37" s="274"/>
      <c r="DP37" s="274"/>
      <c r="DQ37" s="274"/>
    </row>
    <row r="38" ht="12.0" hidden="1" customHeight="1" outlineLevel="1">
      <c r="A38" s="56"/>
      <c r="B38" s="266"/>
      <c r="C38" s="133"/>
      <c r="D38" s="133"/>
      <c r="E38" s="133"/>
      <c r="F38" s="133"/>
      <c r="G38" s="133"/>
      <c r="H38" s="133"/>
      <c r="I38" s="133"/>
      <c r="J38" s="133"/>
      <c r="K38" s="267"/>
      <c r="L38" s="150"/>
      <c r="M38" s="275" t="s">
        <v>145</v>
      </c>
      <c r="Q38" s="276" t="str">
        <f>IFERROR(__xludf.DUMMYFUNCTION("TRANSPOSE(IFERROR(query({CZ44:DP53;CZ55:DP58;CZ60:DP63},""select Col15, Col16 where Col1&lt;&gt;'' and Col1&lt;&gt;'-' order by Col17"",0)))"),"")</f>
        <v/>
      </c>
      <c r="R38" s="277"/>
      <c r="S38" s="277"/>
      <c r="T38" s="277"/>
      <c r="U38" s="277"/>
      <c r="V38" s="277"/>
      <c r="W38" s="277"/>
      <c r="X38" s="277"/>
      <c r="Y38" s="278"/>
      <c r="Z38" s="278"/>
      <c r="AA38" s="278"/>
      <c r="AB38" s="278"/>
      <c r="AC38" s="278"/>
      <c r="AD38" s="278"/>
      <c r="AE38" s="278"/>
      <c r="AF38" s="278"/>
      <c r="AG38" s="279"/>
      <c r="AH38" s="279"/>
      <c r="AI38" s="279"/>
      <c r="AJ38" s="279"/>
      <c r="AK38" s="279"/>
      <c r="AL38" s="279"/>
      <c r="AM38" s="56"/>
      <c r="AO38" s="198"/>
      <c r="AQ38" s="198"/>
      <c r="AS38" s="192"/>
      <c r="AT38" s="56"/>
      <c r="AU38" s="280"/>
      <c r="AV38" s="281"/>
      <c r="AW38" s="281"/>
      <c r="AX38" s="281"/>
      <c r="AY38" s="280"/>
      <c r="AZ38" s="281"/>
      <c r="BA38" s="281"/>
      <c r="BB38" s="281"/>
      <c r="BC38" s="281"/>
      <c r="BD38" s="281"/>
      <c r="BE38" s="281"/>
      <c r="BF38" s="281"/>
      <c r="BG38" s="282"/>
      <c r="BH38" s="282"/>
      <c r="BI38" s="282"/>
      <c r="BJ38" s="282"/>
      <c r="BK38" s="282"/>
      <c r="BL38" s="282"/>
      <c r="BM38" s="282"/>
      <c r="BN38" s="282"/>
      <c r="BO38" s="59"/>
      <c r="BP38" s="60"/>
      <c r="BQ38" s="61"/>
      <c r="BR38" s="61"/>
      <c r="BS38" s="63"/>
      <c r="BT38" s="63"/>
      <c r="BU38" s="64"/>
      <c r="BV38" s="63"/>
      <c r="BW38" s="63"/>
      <c r="BX38" s="62"/>
      <c r="BY38" s="63"/>
      <c r="BZ38" s="63"/>
      <c r="CA38" s="63"/>
      <c r="CB38" s="63"/>
      <c r="CC38" s="63"/>
      <c r="CD38" s="63"/>
      <c r="CE38" s="63"/>
      <c r="CF38" s="63"/>
      <c r="CG38" s="63"/>
      <c r="CH38" s="63"/>
      <c r="CI38" s="63"/>
      <c r="CJ38" s="63"/>
      <c r="CK38" s="63"/>
      <c r="CL38" s="63"/>
      <c r="CM38" s="63"/>
      <c r="CN38" s="63"/>
      <c r="CO38" s="63"/>
      <c r="CP38" s="63"/>
      <c r="CQ38" s="63"/>
      <c r="CR38" s="63"/>
      <c r="CS38" s="63"/>
      <c r="CT38" s="63"/>
      <c r="CU38" s="66"/>
      <c r="CV38" s="67"/>
      <c r="CW38" s="67"/>
      <c r="CX38" s="67"/>
      <c r="CY38" s="67"/>
      <c r="CZ38" s="67"/>
      <c r="DA38" s="67"/>
      <c r="DB38" s="67"/>
      <c r="DC38" s="67"/>
      <c r="DD38" s="67"/>
      <c r="DE38" s="67"/>
      <c r="DF38" s="67"/>
      <c r="DG38" s="67"/>
      <c r="DH38" s="67"/>
      <c r="DI38" s="67"/>
      <c r="DJ38" s="67"/>
      <c r="DK38" s="67"/>
      <c r="DL38" s="67"/>
      <c r="DM38" s="67"/>
      <c r="DN38" s="67"/>
      <c r="DO38" s="67"/>
      <c r="DP38" s="67"/>
      <c r="DQ38" s="67"/>
    </row>
    <row r="39" ht="15.75" hidden="1" customHeight="1" outlineLevel="1">
      <c r="A39" s="56"/>
      <c r="B39" s="283"/>
      <c r="C39" s="284"/>
      <c r="D39" s="284"/>
      <c r="E39" s="284"/>
      <c r="F39" s="284"/>
      <c r="G39" s="284"/>
      <c r="H39" s="284"/>
      <c r="I39" s="284"/>
      <c r="J39" s="284"/>
      <c r="K39" s="285"/>
      <c r="L39" s="150"/>
      <c r="M39" s="113"/>
      <c r="Q39" s="286"/>
      <c r="R39" s="287"/>
      <c r="S39" s="287"/>
      <c r="T39" s="287"/>
      <c r="U39" s="287"/>
      <c r="V39" s="287"/>
      <c r="W39" s="287"/>
      <c r="X39" s="287"/>
      <c r="Y39" s="288"/>
      <c r="Z39" s="288"/>
      <c r="AA39" s="288"/>
      <c r="AB39" s="288"/>
      <c r="AC39" s="288"/>
      <c r="AD39" s="288"/>
      <c r="AE39" s="288"/>
      <c r="AF39" s="288"/>
      <c r="AG39" s="289"/>
      <c r="AH39" s="289"/>
      <c r="AI39" s="289"/>
      <c r="AJ39" s="289"/>
      <c r="AK39" s="289"/>
      <c r="AL39" s="289"/>
      <c r="AM39" s="56"/>
      <c r="AN39" s="263">
        <f t="array" ref="AN39:AO39">caixa!Y21:Z21</f>
        <v>46022</v>
      </c>
      <c r="AO39" s="257" t="s">
        <v>123</v>
      </c>
      <c r="AP39" s="264">
        <f t="array" ref="AP39:AQ39">caixa!Y28:Z28</f>
        <v>2023</v>
      </c>
      <c r="AQ39" s="257" t="s">
        <v>123</v>
      </c>
      <c r="AR39" s="252" t="str">
        <f t="array" ref="AR39:AS39">caixa!Y34:Z34</f>
        <v/>
      </c>
      <c r="AS39" s="225"/>
      <c r="AT39" s="56"/>
      <c r="AU39" s="290"/>
      <c r="AV39" s="291" t="s">
        <v>146</v>
      </c>
      <c r="AY39" s="290"/>
      <c r="AZ39" s="291" t="s">
        <v>147</v>
      </c>
      <c r="BG39" s="282"/>
      <c r="BH39" s="291" t="s">
        <v>148</v>
      </c>
      <c r="BN39" s="282"/>
      <c r="BO39" s="59"/>
      <c r="BP39" s="291" t="s">
        <v>149</v>
      </c>
      <c r="BX39" s="62"/>
      <c r="BY39" s="291" t="s">
        <v>150</v>
      </c>
      <c r="CL39" s="83"/>
      <c r="CM39" s="292" t="s">
        <v>151</v>
      </c>
      <c r="CN39" s="83"/>
      <c r="CO39" s="293" t="s">
        <v>152</v>
      </c>
      <c r="CQ39" s="63"/>
      <c r="CR39" s="291" t="s">
        <v>153</v>
      </c>
      <c r="CT39" s="63"/>
      <c r="CU39" s="66"/>
      <c r="CV39" s="291" t="s">
        <v>154</v>
      </c>
      <c r="DQ39" s="67"/>
    </row>
    <row r="40" ht="3.75" hidden="1" customHeight="1" outlineLevel="1">
      <c r="A40" s="238"/>
      <c r="B40" s="238"/>
      <c r="C40" s="238"/>
      <c r="D40" s="238"/>
      <c r="E40" s="238"/>
      <c r="F40" s="238"/>
      <c r="G40" s="238"/>
      <c r="H40" s="238"/>
      <c r="I40" s="238"/>
      <c r="J40" s="238"/>
      <c r="K40" s="238"/>
      <c r="L40" s="203"/>
      <c r="M40" s="294" t="s">
        <v>155</v>
      </c>
      <c r="N40" s="294" t="s">
        <v>156</v>
      </c>
      <c r="O40" s="294"/>
      <c r="P40" s="295" t="s">
        <v>157</v>
      </c>
      <c r="Q40" s="294" t="str">
        <f>if(Q41="PM","pm_atual","pm_ajust")</f>
        <v>pm_ajust</v>
      </c>
      <c r="R40" s="294" t="s">
        <v>158</v>
      </c>
      <c r="S40" s="294" t="s">
        <v>159</v>
      </c>
      <c r="T40" s="294" t="s">
        <v>160</v>
      </c>
      <c r="U40" s="294" t="s">
        <v>161</v>
      </c>
      <c r="V40" s="294" t="s">
        <v>162</v>
      </c>
      <c r="W40" s="296"/>
      <c r="X40" s="294" t="s">
        <v>163</v>
      </c>
      <c r="Y40" s="294" t="s">
        <v>164</v>
      </c>
      <c r="Z40" s="294" t="s">
        <v>165</v>
      </c>
      <c r="AA40" s="297" t="s">
        <v>166</v>
      </c>
      <c r="AB40" s="297" t="s">
        <v>167</v>
      </c>
      <c r="AC40" s="294" t="s">
        <v>168</v>
      </c>
      <c r="AD40" s="294" t="str">
        <f>IF(AD41="Setor","setor","subsetor")</f>
        <v>setor</v>
      </c>
      <c r="AE40" s="294"/>
      <c r="AF40" s="298" t="s">
        <v>169</v>
      </c>
      <c r="AG40" s="299"/>
      <c r="AH40" s="299"/>
      <c r="AI40" s="299"/>
      <c r="AJ40" s="299"/>
      <c r="AK40" s="299"/>
      <c r="AL40" s="299"/>
      <c r="AM40" s="238"/>
      <c r="AN40" s="238"/>
      <c r="AO40" s="238"/>
      <c r="AP40" s="238"/>
      <c r="AQ40" s="238"/>
      <c r="AR40" s="238"/>
      <c r="AS40" s="238"/>
      <c r="AT40" s="238"/>
      <c r="AU40" s="300"/>
      <c r="AV40" s="282"/>
      <c r="AW40" s="282"/>
      <c r="AX40" s="282"/>
      <c r="AY40" s="282"/>
      <c r="AZ40" s="282"/>
      <c r="BA40" s="282"/>
      <c r="BB40" s="282"/>
      <c r="BC40" s="282"/>
      <c r="BD40" s="282"/>
      <c r="BE40" s="282"/>
      <c r="BF40" s="282"/>
      <c r="BG40" s="282"/>
      <c r="BH40" s="282"/>
      <c r="BI40" s="282"/>
      <c r="BJ40" s="282"/>
      <c r="BK40" s="282"/>
      <c r="BL40" s="282"/>
      <c r="BM40" s="282"/>
      <c r="BN40" s="282"/>
      <c r="BO40" s="59"/>
      <c r="BP40" s="208"/>
      <c r="BQ40" s="209"/>
      <c r="BR40" s="209"/>
      <c r="BS40" s="208"/>
      <c r="BT40" s="63"/>
      <c r="BU40" s="64"/>
      <c r="BV40" s="63"/>
      <c r="BW40" s="63"/>
      <c r="BX40" s="62"/>
      <c r="BY40" s="63"/>
      <c r="BZ40" s="63"/>
      <c r="CA40" s="63"/>
      <c r="CB40" s="63"/>
      <c r="CC40" s="63"/>
      <c r="CD40" s="63"/>
      <c r="CE40" s="63"/>
      <c r="CF40" s="63"/>
      <c r="CG40" s="63"/>
      <c r="CH40" s="63"/>
      <c r="CI40" s="63"/>
      <c r="CJ40" s="63"/>
      <c r="CK40" s="63"/>
      <c r="CL40" s="63"/>
      <c r="CM40" s="63"/>
      <c r="CN40" s="63"/>
      <c r="CO40" s="63"/>
      <c r="CP40" s="63"/>
      <c r="CQ40" s="63"/>
      <c r="CR40" s="63"/>
      <c r="CS40" s="63"/>
      <c r="CT40" s="63"/>
      <c r="CU40" s="66"/>
      <c r="CV40" s="213"/>
      <c r="CW40" s="213"/>
      <c r="CX40" s="213"/>
      <c r="CY40" s="213"/>
      <c r="CZ40" s="213"/>
      <c r="DA40" s="213"/>
      <c r="DB40" s="213"/>
      <c r="DC40" s="213"/>
      <c r="DD40" s="213"/>
      <c r="DE40" s="213"/>
      <c r="DF40" s="213"/>
      <c r="DG40" s="213"/>
      <c r="DH40" s="213"/>
      <c r="DI40" s="213"/>
      <c r="DJ40" s="213"/>
      <c r="DK40" s="213"/>
      <c r="DL40" s="213"/>
      <c r="DM40" s="213"/>
      <c r="DN40" s="213"/>
      <c r="DO40" s="213"/>
      <c r="DP40" s="213"/>
      <c r="DQ40" s="213"/>
    </row>
    <row r="41" ht="18.75" customHeight="1">
      <c r="A41" s="301"/>
      <c r="B41" s="302" t="s">
        <v>170</v>
      </c>
      <c r="C41" s="303"/>
      <c r="D41" s="303"/>
      <c r="E41" s="303"/>
      <c r="F41" s="303"/>
      <c r="G41" s="303"/>
      <c r="H41" s="303"/>
      <c r="I41" s="303"/>
      <c r="J41" s="303"/>
      <c r="K41" s="4"/>
      <c r="L41" s="304"/>
      <c r="M41" s="305" t="s">
        <v>171</v>
      </c>
      <c r="N41" s="306" t="s">
        <v>172</v>
      </c>
      <c r="O41" s="306" t="s">
        <v>173</v>
      </c>
      <c r="P41" s="307" t="s">
        <v>174</v>
      </c>
      <c r="Q41" s="308" t="s">
        <v>175</v>
      </c>
      <c r="R41" s="309" t="s">
        <v>66</v>
      </c>
      <c r="S41" s="310" t="s">
        <v>176</v>
      </c>
      <c r="T41" s="310" t="s">
        <v>177</v>
      </c>
      <c r="U41" s="311" t="s">
        <v>178</v>
      </c>
      <c r="V41" s="312" t="s">
        <v>179</v>
      </c>
      <c r="W41" s="14"/>
      <c r="X41" s="313" t="str">
        <f>IFERROR(__xludf.DUMMYFUNCTION("""Lucros | Média Mensal Proventos: ""&amp;IF(ConfigOn,TEXT(IFERROR(query({AtivosDados},""select sum(""&amp;BH42&amp;"") where Col1 is not null ""&amp;AV34&amp;AV35&amp;AV36&amp;"" label sum(""&amp;BH42&amp;"") ''""),0),""#,###,##0.00""),"""")"),"Lucros | Média Mensal Proventos: 0,00")</f>
        <v>Lucros | Média Mensal Proventos: 0,00</v>
      </c>
      <c r="Y41" s="248"/>
      <c r="Z41" s="248"/>
      <c r="AA41" s="248"/>
      <c r="AB41" s="248"/>
      <c r="AC41" s="314" t="s">
        <v>180</v>
      </c>
      <c r="AD41" s="315" t="s">
        <v>181</v>
      </c>
      <c r="AE41" s="51"/>
      <c r="AF41" s="316" t="s">
        <v>182</v>
      </c>
      <c r="AG41" s="170"/>
      <c r="AH41" s="170"/>
      <c r="AI41" s="317" t="s">
        <v>183</v>
      </c>
      <c r="AJ41" s="170"/>
      <c r="AK41" s="170"/>
      <c r="AL41" s="318"/>
      <c r="AM41" s="56"/>
      <c r="AN41" s="319" t="s">
        <v>184</v>
      </c>
      <c r="AO41" s="320"/>
      <c r="AP41" s="320"/>
      <c r="AQ41" s="320"/>
      <c r="AT41" s="56"/>
      <c r="AU41" s="321"/>
      <c r="AV41" s="322" t="s">
        <v>185</v>
      </c>
      <c r="AW41" s="322" t="s">
        <v>186</v>
      </c>
      <c r="AX41" s="322" t="s">
        <v>187</v>
      </c>
      <c r="AY41" s="281"/>
      <c r="AZ41" s="323" t="s">
        <v>188</v>
      </c>
      <c r="BA41" s="323" t="s">
        <v>189</v>
      </c>
      <c r="BB41" s="324" t="s">
        <v>190</v>
      </c>
      <c r="BC41" s="323" t="s">
        <v>187</v>
      </c>
      <c r="BD41" s="323" t="s">
        <v>191</v>
      </c>
      <c r="BE41" s="324" t="s">
        <v>192</v>
      </c>
      <c r="BF41" s="322" t="s">
        <v>193</v>
      </c>
      <c r="BG41" s="290"/>
      <c r="BH41" s="322" t="s">
        <v>194</v>
      </c>
      <c r="BI41" s="325"/>
      <c r="BJ41" s="325"/>
      <c r="BK41" s="325"/>
      <c r="BL41" s="326"/>
      <c r="BM41" s="326"/>
      <c r="BN41" s="282"/>
      <c r="BO41" s="327"/>
      <c r="BP41" s="328" t="s">
        <v>195</v>
      </c>
      <c r="BQ41" s="329">
        <f>IF(ConfigOn,COUNTIFS(portfolio.!$D$4:$D343,$BT$41,portfolio.!$AO$4:$AO343,"&gt;=0"),0)</f>
        <v>0</v>
      </c>
      <c r="BR41" s="329">
        <f>IF(NOT(ConfigOn),"",IF(BQ41+BQ42&lt;10,BQ41,IF(BQ42&lt;5,10-BQ42,IF(BQ41&lt;5,BQ41,5))))</f>
        <v>0</v>
      </c>
      <c r="BS41" s="330" t="s">
        <v>196</v>
      </c>
      <c r="BT41" s="331" t="str">
        <f>I20</f>
        <v>AÇÃO</v>
      </c>
      <c r="BU41" s="332"/>
      <c r="BV41" s="333"/>
      <c r="BW41" s="333"/>
      <c r="BX41" s="234"/>
      <c r="BY41" s="334" t="s">
        <v>197</v>
      </c>
      <c r="BZ41" s="334" t="s">
        <v>198</v>
      </c>
      <c r="CA41" s="334" t="s">
        <v>199</v>
      </c>
      <c r="CB41" s="333" t="s">
        <v>200</v>
      </c>
      <c r="CC41" s="333" t="s">
        <v>201</v>
      </c>
      <c r="CD41" s="333" t="s">
        <v>202</v>
      </c>
      <c r="CE41" s="335" t="s">
        <v>203</v>
      </c>
      <c r="CF41" s="335" t="s">
        <v>204</v>
      </c>
      <c r="CG41" s="335" t="s">
        <v>205</v>
      </c>
      <c r="CH41" s="336" t="s">
        <v>206</v>
      </c>
      <c r="CI41" s="336" t="s">
        <v>207</v>
      </c>
      <c r="CJ41" s="336" t="s">
        <v>208</v>
      </c>
      <c r="CK41" s="337" t="s">
        <v>209</v>
      </c>
      <c r="CL41" s="338" t="s">
        <v>210</v>
      </c>
      <c r="CM41" s="339" t="s">
        <v>211</v>
      </c>
      <c r="CN41" s="340" t="s">
        <v>212</v>
      </c>
      <c r="CO41" s="341" t="s">
        <v>211</v>
      </c>
      <c r="CP41" s="342" t="s">
        <v>212</v>
      </c>
      <c r="CQ41" s="63"/>
      <c r="CR41" s="343" t="s">
        <v>213</v>
      </c>
      <c r="CS41" s="343" t="s">
        <v>214</v>
      </c>
      <c r="CT41" s="63"/>
      <c r="CU41" s="66"/>
      <c r="CV41" s="66"/>
      <c r="CW41" s="66"/>
      <c r="CX41" s="66"/>
      <c r="CY41" s="66"/>
      <c r="CZ41" s="66"/>
      <c r="DA41" s="66"/>
      <c r="DB41" s="66"/>
      <c r="DC41" s="66"/>
      <c r="DD41" s="66"/>
      <c r="DE41" s="66"/>
      <c r="DF41" s="66"/>
      <c r="DG41" s="66"/>
      <c r="DH41" s="66"/>
      <c r="DI41" s="66"/>
      <c r="DJ41" s="66"/>
      <c r="DK41" s="66"/>
      <c r="DL41" s="66"/>
      <c r="DM41" s="66"/>
      <c r="DN41" s="66"/>
      <c r="DO41" s="66"/>
      <c r="DP41" s="66"/>
      <c r="DQ41" s="67"/>
    </row>
    <row r="42" ht="18.75" customHeight="1">
      <c r="A42" s="301"/>
      <c r="B42" s="344"/>
      <c r="K42" s="345"/>
      <c r="L42" s="304"/>
      <c r="M42" s="346" t="s">
        <v>215</v>
      </c>
      <c r="N42" s="70"/>
      <c r="O42" s="70"/>
      <c r="P42" s="36"/>
      <c r="Q42" s="25"/>
      <c r="R42" s="347"/>
      <c r="S42" s="25"/>
      <c r="T42" s="25"/>
      <c r="U42" s="25"/>
      <c r="V42" s="348" t="str">
        <f>'config.parâmetros'!B8</f>
        <v>BRL</v>
      </c>
      <c r="W42" s="348" t="s">
        <v>216</v>
      </c>
      <c r="X42" s="349" t="s">
        <v>217</v>
      </c>
      <c r="Y42" s="349" t="s">
        <v>216</v>
      </c>
      <c r="Z42" s="349" t="s">
        <v>218</v>
      </c>
      <c r="AA42" s="350" t="s">
        <v>92</v>
      </c>
      <c r="AB42" s="350" t="s">
        <v>219</v>
      </c>
      <c r="AC42" s="351" t="str">
        <f>"% am"&amp;"
% aa"</f>
        <v>% am
% aa</v>
      </c>
      <c r="AD42" s="68"/>
      <c r="AE42" s="70"/>
      <c r="AF42" s="352" t="str">
        <f>AF43&amp;" dias (%)"</f>
        <v>30 dias (%)</v>
      </c>
      <c r="AG42" s="353" t="str">
        <f>"Gráfico "&amp;AF43&amp;" dias"</f>
        <v>Gráfico 30 dias</v>
      </c>
      <c r="AH42" s="318"/>
      <c r="AI42" s="317" t="s">
        <v>220</v>
      </c>
      <c r="AJ42" s="354" t="s">
        <v>221</v>
      </c>
      <c r="AK42" s="170"/>
      <c r="AL42" s="170"/>
      <c r="AU42" s="321"/>
      <c r="AV42" s="322" t="str">
        <f>"Col"&amp;MATCH(AV41,portfolio.!$A$3:$BO$3,0)</f>
        <v>Col41</v>
      </c>
      <c r="AW42" s="322" t="str">
        <f>"Col"&amp;MATCH(AW41,portfolio.!$A$3:$BO$3,0)</f>
        <v>Col50</v>
      </c>
      <c r="AX42" s="322" t="str">
        <f>"Col"&amp;MATCH(AX41,portfolio.!$A$3:$BO$3,0)</f>
        <v>Col52</v>
      </c>
      <c r="AY42" s="281"/>
      <c r="AZ42" s="322" t="str">
        <f>"Col"&amp;MATCH(AZ41,portfolio.!$A$3:$BO$3,0)</f>
        <v>Col1</v>
      </c>
      <c r="BA42" s="322" t="str">
        <f>"Col"&amp;MATCH(BA41,portfolio.!$A$3:$BO$3,0)</f>
        <v>Col4</v>
      </c>
      <c r="BB42" s="355" t="str">
        <f>"Col"&amp;MATCH(BB41,portfolio.!$A$3:$BO$3,0)</f>
        <v>Col65</v>
      </c>
      <c r="BC42" s="355" t="str">
        <f>"Col"&amp;MATCH(BC41,portfolio.!$A$3:$BO$3,0)</f>
        <v>Col52</v>
      </c>
      <c r="BD42" s="355" t="str">
        <f>"Col"&amp;MATCH(BD41,portfolio.!$A$3:$BO$3,0)</f>
        <v>Col42</v>
      </c>
      <c r="BE42" s="355" t="str">
        <f>"Col"&amp;MATCH(BE41,portfolio.!$A$3:$BO$3,0)</f>
        <v>Col57</v>
      </c>
      <c r="BF42" s="322" t="str">
        <f>"Col"&amp;MATCH(BF41,portfolio.!$A$3:$BO$3,0)</f>
        <v>Col20</v>
      </c>
      <c r="BG42" s="290"/>
      <c r="BH42" s="322" t="str">
        <f>"Col"&amp;MATCH(BH41,portfolio.!$A$3:$BO$3,0)</f>
        <v>Col51</v>
      </c>
      <c r="BI42" s="325"/>
      <c r="BJ42" s="325"/>
      <c r="BK42" s="325"/>
      <c r="BL42" s="325"/>
      <c r="BM42" s="325"/>
      <c r="BN42" s="282"/>
      <c r="BO42" s="327"/>
      <c r="BP42" s="356" t="s">
        <v>222</v>
      </c>
      <c r="BQ42" s="329">
        <f>IF(ConfigOn,COUNTIFS(portfolio.!$D$4:$D343,$BT$41,portfolio.!$AO$4:$AO343,"&lt;0"),0)</f>
        <v>0</v>
      </c>
      <c r="BR42" s="357">
        <f>IF(NOT(ConfigOn),"",IF(BQ42+BQ41&lt;10,BQ42,IF(BQ41&lt;5,10-BQ41,IF(BQ42&lt;5,BQ42,5))))</f>
        <v>0</v>
      </c>
      <c r="BS42" s="334" t="s">
        <v>223</v>
      </c>
      <c r="BT42" s="334" t="s">
        <v>224</v>
      </c>
      <c r="BU42" s="332" t="s">
        <v>225</v>
      </c>
      <c r="BV42" s="333" t="s">
        <v>226</v>
      </c>
      <c r="BW42" s="333" t="s">
        <v>226</v>
      </c>
      <c r="BX42" s="234"/>
      <c r="BY42" s="36"/>
      <c r="BZ42" s="36"/>
      <c r="CA42" s="36"/>
      <c r="CB42" s="36"/>
      <c r="CC42" s="36"/>
      <c r="CD42" s="36"/>
      <c r="CE42" s="36"/>
      <c r="CF42" s="36"/>
      <c r="CG42" s="36"/>
      <c r="CH42" s="36"/>
      <c r="CI42" s="36"/>
      <c r="CJ42" s="36"/>
      <c r="CK42" s="36"/>
      <c r="CL42" s="70"/>
      <c r="CM42" s="36"/>
      <c r="CN42" s="36"/>
      <c r="CO42" s="36"/>
      <c r="CP42" s="36"/>
      <c r="CQ42" s="63"/>
      <c r="CR42" s="358" t="s">
        <v>227</v>
      </c>
      <c r="CS42" s="359" t="str">
        <f>"select Col10, Col13 where Col10 is not null"</f>
        <v>select Col10, Col13 where Col10 is not null</v>
      </c>
      <c r="CT42" s="63"/>
      <c r="CU42" s="66"/>
      <c r="CV42" s="185"/>
      <c r="CW42" s="67"/>
      <c r="CX42" s="67"/>
      <c r="CY42" s="67"/>
      <c r="CZ42" s="360">
        <v>1.0</v>
      </c>
      <c r="DA42" s="360">
        <v>2.0</v>
      </c>
      <c r="DB42" s="360">
        <v>3.0</v>
      </c>
      <c r="DC42" s="360">
        <v>4.0</v>
      </c>
      <c r="DD42" s="360">
        <v>5.0</v>
      </c>
      <c r="DE42" s="360">
        <v>6.0</v>
      </c>
      <c r="DF42" s="360">
        <v>7.0</v>
      </c>
      <c r="DG42" s="360">
        <v>8.0</v>
      </c>
      <c r="DH42" s="360">
        <v>9.0</v>
      </c>
      <c r="DI42" s="360">
        <v>10.0</v>
      </c>
      <c r="DJ42" s="360">
        <v>11.0</v>
      </c>
      <c r="DK42" s="360">
        <v>12.0</v>
      </c>
      <c r="DL42" s="360">
        <v>13.0</v>
      </c>
      <c r="DM42" s="360">
        <v>14.0</v>
      </c>
      <c r="DN42" s="360">
        <v>15.0</v>
      </c>
      <c r="DO42" s="360">
        <v>16.0</v>
      </c>
      <c r="DP42" s="360">
        <v>17.0</v>
      </c>
      <c r="DQ42" s="67"/>
    </row>
    <row r="43" ht="18.75" customHeight="1">
      <c r="A43" s="301"/>
      <c r="B43" s="361" t="str">
        <f t="array" ref="B43">IF(AV8,TRANSPOSE(CarteirasListaCriadasAbreviada),"")</f>
        <v/>
      </c>
      <c r="C43" s="361"/>
      <c r="D43" s="361"/>
      <c r="E43" s="361"/>
      <c r="F43" s="361"/>
      <c r="G43" s="361"/>
      <c r="H43" s="361"/>
      <c r="I43" s="361"/>
      <c r="J43" s="361"/>
      <c r="K43" s="361"/>
      <c r="L43" s="304"/>
      <c r="M43" s="362" t="s">
        <v>228</v>
      </c>
      <c r="N43" s="318"/>
      <c r="O43" s="363">
        <f>IF(ConfigOn,SUM(O44:O343),"")</f>
        <v>0</v>
      </c>
      <c r="P43" s="364" t="s">
        <v>229</v>
      </c>
      <c r="Q43" s="50"/>
      <c r="R43" s="50"/>
      <c r="S43" s="51"/>
      <c r="T43" s="365">
        <f>IF(ConfigOn,SUM(T44:T343),"")</f>
        <v>0</v>
      </c>
      <c r="U43" s="365">
        <f>IF(ConfigOn,SUM(U44:U343),"")</f>
        <v>0</v>
      </c>
      <c r="V43" s="366">
        <f>IFERROR(__xludf.DUMMYFUNCTION("IF(ConfigOn,IFERROR(query({AtivosDados},""select sum(""&amp;AV42&amp;"") where Col1 is not null ""&amp;AV34&amp;AV35&amp;AV36&amp;"" label sum(""&amp;AV42&amp;"") ''""),0),"""")"),0.0)</f>
        <v>0</v>
      </c>
      <c r="W43" s="367">
        <f>IF(ConfigOn,IFERROR(V43/T43,0),"")</f>
        <v>0</v>
      </c>
      <c r="X43" s="366">
        <f>IF(ConfigOn,SUM(X44:X343),"")</f>
        <v>0</v>
      </c>
      <c r="Y43" s="368">
        <f>IF(ConfigOn,IFERROR(X43/U43,0),"")</f>
        <v>0</v>
      </c>
      <c r="Z43" s="365">
        <f>IFERROR(__xludf.DUMMYFUNCTION("IF(ConfigOn,IFERROR(query({AtivosDados},""select sum(""&amp;AX42&amp;"") where Col1 is not null ""&amp;AV34&amp;AV35&amp;AV36&amp;"" label sum(""&amp;AX42&amp;"") ''""),0),"""")"),0.0)</f>
        <v>0</v>
      </c>
      <c r="AA43" s="366">
        <f>IFERROR(__xludf.DUMMYFUNCTION("IF(ConfigOn,IFERROR(query({AtivosDados},""select sum(""&amp;AW42&amp;"") where Col1 is not null ""&amp;AV34&amp;AV35&amp;AV36&amp;"" label sum(""&amp;AW42&amp;"") ''""),0),"""")"),0.0)</f>
        <v>0</v>
      </c>
      <c r="AB43" s="365">
        <f>IF(ConfigOn,AA43+Z43+X43,"")</f>
        <v>0</v>
      </c>
      <c r="AC43" s="369"/>
      <c r="AD43" s="362"/>
      <c r="AE43" s="318"/>
      <c r="AF43" s="370">
        <v>30.0</v>
      </c>
      <c r="AG43" s="371" t="s">
        <v>230</v>
      </c>
      <c r="AH43" s="170"/>
      <c r="AI43" s="372" t="s">
        <v>231</v>
      </c>
      <c r="AJ43" s="83"/>
      <c r="AK43" s="372" t="s">
        <v>232</v>
      </c>
      <c r="AL43" s="83"/>
      <c r="AU43" s="321"/>
      <c r="AV43" s="328" t="s">
        <v>233</v>
      </c>
      <c r="AW43" s="328" t="s">
        <v>234</v>
      </c>
      <c r="AX43" s="328" t="s">
        <v>235</v>
      </c>
      <c r="AY43" s="281"/>
      <c r="AZ43" s="328" t="s">
        <v>236</v>
      </c>
      <c r="BA43" s="328" t="s">
        <v>237</v>
      </c>
      <c r="BB43" s="373" t="s">
        <v>238</v>
      </c>
      <c r="BC43" s="373"/>
      <c r="BD43" s="373" t="s">
        <v>134</v>
      </c>
      <c r="BE43" s="373" t="s">
        <v>239</v>
      </c>
      <c r="BF43" s="374" t="s">
        <v>240</v>
      </c>
      <c r="BG43" s="290"/>
      <c r="BH43" s="325" t="s">
        <v>241</v>
      </c>
      <c r="BI43" s="325" t="s">
        <v>242</v>
      </c>
      <c r="BJ43" s="325" t="s">
        <v>243</v>
      </c>
      <c r="BK43" s="325" t="s">
        <v>244</v>
      </c>
      <c r="BL43" s="325" t="s">
        <v>245</v>
      </c>
      <c r="BM43" s="325" t="s">
        <v>246</v>
      </c>
      <c r="BN43" s="282"/>
      <c r="BO43" s="327"/>
      <c r="BP43" s="375" t="s">
        <v>247</v>
      </c>
      <c r="BQ43" s="376" t="s">
        <v>248</v>
      </c>
      <c r="BR43" s="376" t="s">
        <v>249</v>
      </c>
      <c r="BS43" s="345"/>
      <c r="BT43" s="345"/>
      <c r="BU43" s="345"/>
      <c r="BV43" s="345"/>
      <c r="BW43" s="345"/>
      <c r="BX43" s="234"/>
      <c r="BY43" s="377">
        <v>1.0</v>
      </c>
      <c r="BZ43" s="377">
        <v>2.0</v>
      </c>
      <c r="CA43" s="377">
        <v>3.0</v>
      </c>
      <c r="CB43" s="378">
        <v>4.0</v>
      </c>
      <c r="CC43" s="378">
        <v>5.0</v>
      </c>
      <c r="CD43" s="378">
        <v>6.0</v>
      </c>
      <c r="CE43" s="379">
        <v>7.0</v>
      </c>
      <c r="CF43" s="379">
        <v>8.0</v>
      </c>
      <c r="CG43" s="379">
        <v>9.0</v>
      </c>
      <c r="CH43" s="380">
        <v>10.0</v>
      </c>
      <c r="CI43" s="380">
        <v>11.0</v>
      </c>
      <c r="CJ43" s="380">
        <v>12.0</v>
      </c>
      <c r="CK43" s="381">
        <v>13.0</v>
      </c>
      <c r="CL43" s="381">
        <v>14.0</v>
      </c>
      <c r="CM43" s="292" t="str">
        <f>AN41</f>
        <v>EXPOSIÇÃO POR SETOR</v>
      </c>
      <c r="CO43" s="293" t="str">
        <f>AN50</f>
        <v>LUCRO POR SETOR</v>
      </c>
      <c r="CQ43" s="63"/>
      <c r="CR43" s="358" t="str">
        <f>"EXPOSIÇÃO POR "&amp;UPPER(AD41)</f>
        <v>EXPOSIÇÃO POR SETOR</v>
      </c>
      <c r="CS43" s="359" t="s">
        <v>250</v>
      </c>
      <c r="CT43" s="63"/>
      <c r="CU43" s="66"/>
      <c r="CV43" s="382" t="s">
        <v>251</v>
      </c>
      <c r="CW43" s="382" t="s">
        <v>252</v>
      </c>
      <c r="CX43" s="382" t="s">
        <v>253</v>
      </c>
      <c r="CY43" s="382" t="s">
        <v>254</v>
      </c>
      <c r="CZ43" s="382" t="s">
        <v>255</v>
      </c>
      <c r="DA43" s="382"/>
      <c r="DB43" s="382" t="s">
        <v>256</v>
      </c>
      <c r="DC43" s="382" t="s">
        <v>257</v>
      </c>
      <c r="DD43" s="382" t="s">
        <v>106</v>
      </c>
      <c r="DE43" s="382" t="s">
        <v>258</v>
      </c>
      <c r="DF43" s="382" t="s">
        <v>177</v>
      </c>
      <c r="DG43" s="382" t="s">
        <v>259</v>
      </c>
      <c r="DH43" s="382" t="s">
        <v>260</v>
      </c>
      <c r="DI43" s="382" t="s">
        <v>261</v>
      </c>
      <c r="DJ43" s="382" t="s">
        <v>262</v>
      </c>
      <c r="DK43" s="382" t="s">
        <v>263</v>
      </c>
      <c r="DL43" s="382" t="s">
        <v>89</v>
      </c>
      <c r="DM43" s="382" t="s">
        <v>264</v>
      </c>
      <c r="DN43" s="382" t="s">
        <v>265</v>
      </c>
      <c r="DO43" s="382" t="s">
        <v>266</v>
      </c>
      <c r="DP43" s="382" t="s">
        <v>267</v>
      </c>
      <c r="DQ43" s="67"/>
    </row>
    <row r="44" ht="22.5" customHeight="1">
      <c r="A44" s="383"/>
      <c r="B44" s="384" t="str">
        <f>IFERROR(__xludf.DUMMYFUNCTION("IF(B$43="""","""",IF($AZ44="""","""",IFERROR(Query({CarteirasAtivos},""Select Col3 where Col1 = '""&amp;$AZ44&amp;""'and Col2 = '""&amp;S$21&amp;""'""))))"),"")</f>
        <v/>
      </c>
      <c r="C44" s="384" t="str">
        <f>IFERROR(__xludf.DUMMYFUNCTION("IF(C$43="""","""",IF($AZ44="""","""",IFERROR(Query({CarteirasAtivos},""Select Col3 where Col1 = '""&amp;$AZ44&amp;""'and Col2 = '""&amp;T$21&amp;""'""))))"),"")</f>
        <v/>
      </c>
      <c r="D44" s="384" t="str">
        <f>IFERROR(__xludf.DUMMYFUNCTION("IF(D$43="""","""",IF($AZ44="""","""",IFERROR(Query({CarteirasAtivos},""Select Col3 where Col1 = '""&amp;$AZ44&amp;""'and Col2 = '""&amp;U$21&amp;""'""))))"),"")</f>
        <v/>
      </c>
      <c r="E44" s="384" t="str">
        <f>IFERROR(__xludf.DUMMYFUNCTION("IF(E$43="""","""",IF($AZ44="""","""",IFERROR(Query({CarteirasAtivos},""Select Col3 where Col1 = '""&amp;$AZ44&amp;""'and Col2 = '""&amp;V$21&amp;""'""))))"),"")</f>
        <v/>
      </c>
      <c r="F44" s="384" t="str">
        <f>IFERROR(__xludf.DUMMYFUNCTION("IF(F$43="""","""",IF($AZ44="""","""",IFERROR(Query({CarteirasAtivos},""Select Col3 where Col1 = '""&amp;$AZ44&amp;""'and Col2 = '""&amp;W$21&amp;""'""))))"),"")</f>
        <v/>
      </c>
      <c r="G44" s="384" t="str">
        <f>IFERROR(__xludf.DUMMYFUNCTION("IF(G$43="""","""",IF($AZ44="""","""",IFERROR(Query({CarteirasAtivos},""Select Col3 where Col1 = '""&amp;$AZ44&amp;""'and Col2 = '""&amp;X$21&amp;""'""))))"),"")</f>
        <v/>
      </c>
      <c r="H44" s="384" t="str">
        <f>IFERROR(__xludf.DUMMYFUNCTION("IF(H$43="""","""",IF($AZ44="""","""",IFERROR(Query({CarteirasAtivos},""Select Col3 where Col1 = '""&amp;$AZ44&amp;""'and Col2 = '""&amp;Y$21&amp;""'""))))"),"")</f>
        <v/>
      </c>
      <c r="I44" s="384" t="str">
        <f>IFERROR(__xludf.DUMMYFUNCTION("IF(I$43="""","""",IF($AZ44="""","""",IFERROR(Query({CarteirasAtivos},""Select Col3 where Col1 = '""&amp;$AZ44&amp;""'and Col2 = '""&amp;Z$21&amp;""'""))))"),"")</f>
        <v/>
      </c>
      <c r="J44" s="384" t="str">
        <f>IFERROR(__xludf.DUMMYFUNCTION("IF(J$43="""","""",IF($AZ44="""","""",IFERROR(Query({CarteirasAtivos},""Select Col3 where Col1 = '""&amp;$AZ44&amp;""'and Col2 = '""&amp;AA$21&amp;""'""))))"),"")</f>
        <v/>
      </c>
      <c r="K44" s="384" t="str">
        <f>IFERROR(__xludf.DUMMYFUNCTION("IF(K$43="""","""",IF($AZ44="""","""",IFERROR(Query({CarteirasAtivos},""Select Col3 where Col1 = '""&amp;$AZ44&amp;""'and Col2 = '""&amp;AB$21&amp;""'""))))"),"")</f>
        <v/>
      </c>
      <c r="L44" s="385">
        <v>1.0</v>
      </c>
      <c r="M44" s="386" t="str">
        <f>IFERROR(__xludf.DUMMYFUNCTION("IF(NOT(ConfigOn),"""",IFERROR(query({AtivosDados},""select ""&amp;join("","",$M$37:$N$37)&amp;"" where Col1 is not null ""&amp;AV34&amp;AV35&amp;AV36&amp;IFERROR(VLOOKUP($M$42,'portfólio'!AV44:AX56,3, FALSE)))))"),"")</f>
        <v/>
      </c>
      <c r="N44" s="387"/>
      <c r="O44" s="388" t="str">
        <f t="array" ref="O44:O343">IF(M44:M343="","",IFERROR(U44:U343/SUM($U44:$U343),""))</f>
        <v/>
      </c>
      <c r="P44" s="389" t="str">
        <f>IFERROR(__xludf.DUMMYFUNCTION("IF(NOT(ConfigOn),"""",IFERROR(query({AtivosDados},""select ""&amp;join("","",$P$37:$V$37)&amp;"" where Col1 is not null ""&amp;AV34&amp;AV35&amp;AV36&amp;IFERROR(VLOOKUP($M$42,'portfólio'!AV44:AX56,3, FALSE)))))"),"")</f>
        <v/>
      </c>
      <c r="Q44" s="390"/>
      <c r="R44" s="391"/>
      <c r="S44" s="392"/>
      <c r="T44" s="393"/>
      <c r="U44" s="393"/>
      <c r="V44" s="394"/>
      <c r="W44" s="395" t="str">
        <f>IFERROR(__xludf.DUMMYFUNCTION("IF(M44="""","""",sparkline(IFERROR(BF44*100/MAX($BF$44:$BF343),0),{""charttype"",""bar"";""max"",100;""color1"",IF(BD44&gt;=0,""#4760a5"",""red"")}))"),"")</f>
        <v/>
      </c>
      <c r="X44" s="396" t="str">
        <f>IFERROR(__xludf.DUMMYFUNCTION("IF(NOT(ConfigOn),"""",IFERROR(query({AtivosDados},""select ""&amp;join("","",$X$37:$AD$37)&amp;"" where Col1 is not null ""&amp;AV34&amp;AV35&amp;AV36&amp;IFERROR(VLOOKUP($M$42,'portfólio'!AV44:AX56,3, FALSE)))))"),"")</f>
        <v/>
      </c>
      <c r="Y44" s="397"/>
      <c r="Z44" s="398"/>
      <c r="AA44" s="399"/>
      <c r="AB44" s="393"/>
      <c r="AC44" s="400"/>
      <c r="AD44" s="401"/>
      <c r="AE44" s="402"/>
      <c r="AF44" s="403" t="str">
        <f>IFERROR(__xludf.DUMMYFUNCTION("IF(NOT(ConfigOn),"""",IFERROR(query({AtivosDados},""select ""&amp;join("","",$AF$37)&amp;"" where Col1 is not null ""&amp;AV34&amp;AV35&amp;AV36&amp;IFERROR(VLOOKUP($M$42,'portfólio'!AV44:AX56,3, FALSE)))))"),"")</f>
        <v/>
      </c>
      <c r="AG44" s="404" t="str">
        <f>IFERROR(__xludf.DUMMYFUNCTION("IF($M44="""","""",IFERROR(sparkline(query(GOOGLEFINANCE($AZ44,""price"",TODAY()-$AF$43,TODAY(),1),""select Col2 label Col2 ''""),IF($AG$43=""Gráfico de barras"",{""charttype"",""column"";""highcolor"",""red""},{""chartype"",""line""}))))"),"")</f>
        <v/>
      </c>
      <c r="AH44" s="405"/>
      <c r="AI44" s="406" t="str">
        <f t="array" ref="AI44">SORT(UNIQUE(portfolio.!D4:D343))</f>
        <v/>
      </c>
      <c r="AJ44" s="407" t="b">
        <v>1</v>
      </c>
      <c r="AK44" s="408" t="str">
        <f t="array" ref="AK44">SORT(UNIQUE(portfolio.!T4:T343))</f>
        <v/>
      </c>
      <c r="AL44" s="407" t="b">
        <v>1</v>
      </c>
      <c r="AM44" s="56"/>
      <c r="AT44" s="409"/>
      <c r="AU44" s="410">
        <v>1.0</v>
      </c>
      <c r="AV44" s="411" t="s">
        <v>268</v>
      </c>
      <c r="AW44" s="412" t="s">
        <v>269</v>
      </c>
      <c r="AX44" s="412" t="str">
        <f>"order by Col"&amp;MATCH(AW44,portfolio.!$A$3:$BO$3,0)&amp;" "&amp;IFERROR(VLOOKUP($M$41,$AV$57:$AX$58,3, FALSE),"")</f>
        <v>order by Col53 asc</v>
      </c>
      <c r="AY44" s="410">
        <v>1.0</v>
      </c>
      <c r="AZ44" s="413" t="str">
        <f>IFERROR(__xludf.DUMMYFUNCTION("IFERROR(query({AtivosDados},""select ""&amp;JOIN("","",$AZ$42:$BE$42)&amp;"" where Col1 is not null ""&amp;AV34&amp;AV35&amp;AV36&amp;IFERROR(VLOOKUP($M$42,'portfólio'!AV44:AX56,3, FALSE))))"),"")</f>
        <v/>
      </c>
      <c r="BA44" s="414"/>
      <c r="BB44" s="415"/>
      <c r="BC44" s="415"/>
      <c r="BD44" s="415"/>
      <c r="BE44" s="415"/>
      <c r="BF44" s="415" t="str">
        <f t="array" ref="BF44:BF343">IF(AZ44:AZ343="","",abs(BD44:BD343))</f>
        <v/>
      </c>
      <c r="BG44" s="410">
        <v>1.0</v>
      </c>
      <c r="BH44" s="416" t="str">
        <f>IFERROR(__xludf.DUMMYFUNCTION("IF($AV$18,{AtivosLista},UNIQUE(IFERROR(QUERY({BI44:BI343;BJ44:BJ343;BK44:BK343;BL44:BL343;BM44:BM343},""select Col1 where Col1 is not null limit 300""))))"),"")</f>
        <v/>
      </c>
      <c r="BI44" s="416" t="str">
        <f>IFERROR(__xludf.DUMMYFUNCTION("IF(AV18,"""",IF(CW60,IFERROR(FILTER(portfolio.!A4:A303,portfolio.!U4:U303=CX60)),""""))"),"")</f>
        <v/>
      </c>
      <c r="BJ44" s="416" t="str">
        <f>IFERROR(__xludf.DUMMYFUNCTION("IF(AV18,"""",IF(NOT(CW60),unique(IFERROR(query(IF($AV$14,{CarteirasAtivos},{CarteirasAtivos;CarteirasAtivosEncerrados}),""Select Col1 where Col1 is not null and (Col2 = '""&amp;join(""' or Col2 = '"",filter(CZ44:CZ53,CW44:CW53))&amp;""') order by Col3 limit 300"""&amp;"))),""""))"),"")</f>
        <v/>
      </c>
      <c r="BK44" s="416" t="str">
        <f>IFERROR(__xludf.DUMMYFUNCTION("IF(AV18,"""",IF(CW61,IFERROR(FILTER(portfolio.!A4:A303,(portfolio.!U4:U303=CX55)+(portfolio.!U4:U303=CX56)+(portfolio.!U4:U303=CX57)+(portfolio.!U4:U303=CX58))),""""))"),"")</f>
        <v/>
      </c>
      <c r="BL44" s="416" t="str">
        <f>IFERROR(__xludf.DUMMYFUNCTION("IF(AV18,"""",IF(NOT(CW61),IFERROR(query({IF(CW55,IFERROR(filter(portfolio.!A4:A303,portfolio.!U4:U303=CX55)),{""""});IF(CW56,IFERROR(filter(portfolio.!A4:A303,portfolio.!U4:U303=CX56)),{""""});IF(CW57,IFERROR(filter(portfolio.!A4:A303,portfolio.!U4:U303=C"&amp;"X57)),{""""});IF(CW58,IFERROR(filter(portfolio.!A4:A303,portfolio.!U4:U303=CX58)),{""""})},""select Col1 where Col1 is not null"")),""""))"),"")</f>
        <v/>
      </c>
      <c r="BM44" s="416" t="str">
        <f>IFERROR(__xludf.DUMMYFUNCTION("IF(AV18,"""",IF(CW62,IFERROR(FILTER(portfolio.!A4:A303,portfolio.!U4:U303=CX62)),""""))"),"")</f>
        <v/>
      </c>
      <c r="BN44" s="282"/>
      <c r="BO44" s="417">
        <v>1.0</v>
      </c>
      <c r="BP44" s="418" t="str">
        <f>IFERROR(__xludf.DUMMYFUNCTION("IF(NOT(ConfigOn),query({BP65:BQ74},""select Col1, Col2 where Col2 &gt;= 0 ORDER BY Col2 DESC"",0),IFERROR(query({AtivosDados},""select Col""&amp;MATCH(""ativo"",portfolio.!$A$3:DQ$3,0)&amp;"",Col""&amp;MATCH(""lucro_dia"",portfolio.!$A$3:DQ$3,0)&amp;"" where Col""&amp;MATCH(""c"&amp;"lasse"",portfolio.!$A$3:DQ$3,0)&amp;""='""&amp;$BT$41&amp;""' and Col""&amp;MATCH(""lucro_dia"",portfolio.!$A$3:DQ$3,0)&amp;""&gt;=0 ORDER BY Col""&amp;MATCH(""lucro_dia"",portfolio.!$A$3:DQ$3,0)&amp;"" DESC LIMIT ""&amp;BR41)))"),"")</f>
        <v/>
      </c>
      <c r="BQ44" s="411"/>
      <c r="BR44" s="419"/>
      <c r="BS44" s="418" t="str">
        <f>IFERROR(__xludf.DUMMYFUNCTION("IFERROR(query({IFERROR(query({BP44:BR53},""select Col1, Col2, Col3 where Col1 is not null""),{"""","""",""""});IFERROR(query({BP54:BR63},""select Col1, Col2, Col3 where Col1 is not null""),{"""","""",""""})},""select Col1,Col2,Col3 where Col1 is not null"&amp;"""))"),"")</f>
        <v/>
      </c>
      <c r="BT44" s="411"/>
      <c r="BU44" s="411"/>
      <c r="BV44" s="411">
        <f t="shared" ref="BV44:BV53" si="12">IF(AND(BT44="",BU44=""),0,IF(BT44="",BU44,BT44))</f>
        <v>0</v>
      </c>
      <c r="BW44" s="411" t="str">
        <f t="shared" ref="BW44:BW53" si="13">IF(BV44=0,"",BV44)</f>
        <v/>
      </c>
      <c r="BX44" s="417">
        <v>1.0</v>
      </c>
      <c r="BY44" s="420" t="str">
        <f t="array" ref="BY44:BY46">sort(unique({CY44:CY53;CY55:CY58}))</f>
        <v/>
      </c>
      <c r="BZ44" s="421">
        <f t="array" ref="BZ44:BZ58">IF(AV8="","",IF(BY44:BY58="",0,SUMIF(CY44:CY58,CONCAT("=",BY44:BY58),DG44:DG58)))</f>
        <v>0</v>
      </c>
      <c r="CA44" s="421">
        <f t="array" ref="CA44:CA58">IF(AV8="","",IF(BY44:BY58="",0,SUMIF(CY44:CY58,CONCAT("=",BY44:BY58),DM44:DM58)))</f>
        <v>0</v>
      </c>
      <c r="CB44" s="422" t="str">
        <f t="array" ref="CB44:CB57">{CZ44:CZ53;CZ55:CZ58}</f>
        <v/>
      </c>
      <c r="CC44" s="421" t="str">
        <f t="array" ref="CC44:CC57">{DG44:DG53;DG55:DG58}</f>
        <v/>
      </c>
      <c r="CD44" s="421" t="str">
        <f t="array" ref="CD44:CD57">{DM44:DM53;DM55:DM58}</f>
        <v/>
      </c>
      <c r="CE44" s="422" t="str">
        <f t="array" ref="CE44:CG54">config.books!BN28:BP38</f>
        <v/>
      </c>
      <c r="CF44" s="421"/>
      <c r="CG44" s="421"/>
      <c r="CH44" s="422" t="str">
        <f t="array" ref="CH44:CH343">AZ44:AZ343</f>
        <v/>
      </c>
      <c r="CI44" s="422" t="str">
        <f t="array" ref="CI44:CI343">AD44:AD343</f>
        <v/>
      </c>
      <c r="CJ44" s="422" t="str">
        <f t="array" ref="CJ44:CJ343">BA44:BA343</f>
        <v/>
      </c>
      <c r="CK44" s="421" t="str">
        <f t="array" ref="CK44:CK343">U44:U343</f>
        <v/>
      </c>
      <c r="CL44" s="421" t="str">
        <f t="array" ref="CL44:CL343">IF(CH44:CH343="","",VLOOKUP(CH44:CH343,AtivosDados,MATCH("lucro_total",portfolio.!$A$3:DQ$3,0),FALSE))</f>
        <v/>
      </c>
      <c r="CM44" s="423" t="str">
        <f>IFERROR(__xludf.DUMMYFUNCTION("IFERROR(query({BY44:CL343},VLOOKUP(CM43,CR42:CS54,2,0)))"),"")</f>
        <v/>
      </c>
      <c r="CN44" s="421"/>
      <c r="CO44" s="423" t="str">
        <f>IFERROR(__xludf.DUMMYFUNCTION("IFERROR(query({BY44:CL343},VLOOKUP(CO43,CR42:CS54,2,0)))"),"")</f>
        <v/>
      </c>
      <c r="CP44" s="421"/>
      <c r="CQ44" s="63"/>
      <c r="CR44" s="358" t="s">
        <v>270</v>
      </c>
      <c r="CS44" s="359" t="s">
        <v>271</v>
      </c>
      <c r="CT44" s="63"/>
      <c r="CU44" s="360">
        <v>1.0</v>
      </c>
      <c r="CV44" s="424" t="s">
        <v>118</v>
      </c>
      <c r="CW44" s="425" t="str">
        <f>IFERROR(__xludf.DUMMYFUNCTION("IFERROR(query({$Q$20:$AL$20},""select Col""&amp;MATCH(CZ44,$Q$21:$AL$21,0)))"),"")</f>
        <v/>
      </c>
      <c r="CX44" s="425"/>
      <c r="CY44" s="424" t="str">
        <f t="array" ref="CY44">if(AV8,CarteirasListaCriadasPerfis,"")</f>
        <v/>
      </c>
      <c r="CZ44" s="426" t="str">
        <f t="array" ref="CZ44">IF(AV8,CarteirasListaCriadas,"")</f>
        <v/>
      </c>
      <c r="DA44" s="427"/>
      <c r="DB44" s="427" t="str">
        <f t="shared" ref="DB44:DB53" si="14">IFERROR(DG44/$DG$63,"")</f>
        <v/>
      </c>
      <c r="DC44" s="427" t="str">
        <f t="shared" ref="DC44:DC53" si="15">IFERROR(DB44/SUM($DB$44:$DB$53),"")</f>
        <v/>
      </c>
      <c r="DD44" s="427" t="str">
        <f t="array" ref="DD44">IF(NOT($AV$8),"",IF(CZ44="","",VLOOKUP(CZ44,config.carteiras!$C$9:$D$23,2,FALSE)))</f>
        <v/>
      </c>
      <c r="DE44" s="428" t="str">
        <f t="shared" ref="DE44:DE53" si="16">IF($CZ44="","",DF44-DK44-DJ44)</f>
        <v/>
      </c>
      <c r="DF44" s="429" t="str">
        <f t="array" ref="DF44">IF($CZ44="","",VLOOKUP($CZ44,carteiras..!$B$2:$I$16,2,FALSE))</f>
        <v/>
      </c>
      <c r="DG44" s="429" t="str">
        <f t="array" ref="DG44">IF($CZ44="","",VLOOKUP($CZ44,carteiras..!$B$2:$I$16,3,FALSE))</f>
        <v/>
      </c>
      <c r="DH44" s="429" t="str">
        <f t="array" ref="DH44">IF($CZ44="","",VLOOKUP($CZ44,carteiras..!$B$2:$I$16,4,FALSE))</f>
        <v/>
      </c>
      <c r="DI44" s="427" t="str">
        <f t="shared" ref="DI44:DI53" si="17">IF($CZ44="","",IFERROR(DH44/DF44,0))</f>
        <v/>
      </c>
      <c r="DJ44" s="429" t="str">
        <f t="array" ref="DJ44">IF($CZ44="","",VLOOKUP($CZ44,carteiras..!$B$2:$I$16,5,FALSE))</f>
        <v/>
      </c>
      <c r="DK44" s="429" t="str">
        <f t="array" ref="DK44">IF($CZ44="","",VLOOKUP($CZ44,carteiras..!$B$2:$I$16,6,FALSE))</f>
        <v/>
      </c>
      <c r="DL44" s="428">
        <f>IF(ConfigOn,DG44-DF44,0)</f>
        <v>0</v>
      </c>
      <c r="DM44" s="428" t="str">
        <f t="shared" ref="DM44:DM53" si="18">IF($CZ44="","",SUM(DJ44:DL44))</f>
        <v/>
      </c>
      <c r="DN44" s="430" t="str">
        <f t="array" ref="DN44">IF($CZ44="","",VLOOKUP($CZ44,carteiras..!$B$2:$I$16,7,FALSE))</f>
        <v/>
      </c>
      <c r="DO44" s="430" t="str">
        <f t="array" ref="DO44">IF($CZ44="","",VLOOKUP($CZ44,carteiras..!$B$2:$I$16,8,FALSE))</f>
        <v/>
      </c>
      <c r="DP44" s="431">
        <v>2.0</v>
      </c>
      <c r="DQ44" s="67"/>
    </row>
    <row r="45" ht="22.5" customHeight="1">
      <c r="A45" s="383"/>
      <c r="B45" s="384" t="str">
        <f>IFERROR(__xludf.DUMMYFUNCTION("IF(B$43="""","""",IF($AZ45="""","""",IFERROR(Query({CarteirasAtivos},""Select Col3 where Col1 = '""&amp;$AZ45&amp;""'and Col2 = '""&amp;S$21&amp;""'""))))"),"")</f>
        <v/>
      </c>
      <c r="C45" s="384" t="str">
        <f>IFERROR(__xludf.DUMMYFUNCTION("IF(C$43="""","""",IF($AZ45="""","""",IFERROR(Query({CarteirasAtivos},""Select Col3 where Col1 = '""&amp;$AZ45&amp;""'and Col2 = '""&amp;T$21&amp;""'""))))"),"")</f>
        <v/>
      </c>
      <c r="D45" s="384" t="str">
        <f>IFERROR(__xludf.DUMMYFUNCTION("IF(D$43="""","""",IF($AZ45="""","""",IFERROR(Query({CarteirasAtivos},""Select Col3 where Col1 = '""&amp;$AZ45&amp;""'and Col2 = '""&amp;U$21&amp;""'""))))"),"")</f>
        <v/>
      </c>
      <c r="E45" s="384" t="str">
        <f>IFERROR(__xludf.DUMMYFUNCTION("IF(E$43="""","""",IF($AZ45="""","""",IFERROR(Query({CarteirasAtivos},""Select Col3 where Col1 = '""&amp;$AZ45&amp;""'and Col2 = '""&amp;V$21&amp;""'""))))"),"")</f>
        <v/>
      </c>
      <c r="F45" s="384" t="str">
        <f>IFERROR(__xludf.DUMMYFUNCTION("IF(F$43="""","""",IF($AZ45="""","""",IFERROR(Query({CarteirasAtivos},""Select Col3 where Col1 = '""&amp;$AZ45&amp;""'and Col2 = '""&amp;W$21&amp;""'""))))"),"")</f>
        <v/>
      </c>
      <c r="G45" s="384" t="str">
        <f>IFERROR(__xludf.DUMMYFUNCTION("IF(G$43="""","""",IF($AZ45="""","""",IFERROR(Query({CarteirasAtivos},""Select Col3 where Col1 = '""&amp;$AZ45&amp;""'and Col2 = '""&amp;X$21&amp;""'""))))"),"")</f>
        <v/>
      </c>
      <c r="H45" s="384" t="str">
        <f>IFERROR(__xludf.DUMMYFUNCTION("IF(H$43="""","""",IF($AZ45="""","""",IFERROR(Query({CarteirasAtivos},""Select Col3 where Col1 = '""&amp;$AZ45&amp;""'and Col2 = '""&amp;Y$21&amp;""'""))))"),"")</f>
        <v/>
      </c>
      <c r="I45" s="384" t="str">
        <f>IFERROR(__xludf.DUMMYFUNCTION("IF(I$43="""","""",IF($AZ45="""","""",IFERROR(Query({CarteirasAtivos},""Select Col3 where Col1 = '""&amp;$AZ45&amp;""'and Col2 = '""&amp;Z$21&amp;""'""))))"),"")</f>
        <v/>
      </c>
      <c r="J45" s="384" t="str">
        <f>IFERROR(__xludf.DUMMYFUNCTION("IF(J$43="""","""",IF($AZ45="""","""",IFERROR(Query({CarteirasAtivos},""Select Col3 where Col1 = '""&amp;$AZ45&amp;""'and Col2 = '""&amp;AA$21&amp;""'""))))"),"")</f>
        <v/>
      </c>
      <c r="K45" s="384" t="str">
        <f>IFERROR(__xludf.DUMMYFUNCTION("IF(K$43="""","""",IF($AZ45="""","""",IFERROR(Query({CarteirasAtivos},""Select Col3 where Col1 = '""&amp;$AZ45&amp;""'and Col2 = '""&amp;AB$21&amp;""'""))))"),"")</f>
        <v/>
      </c>
      <c r="L45" s="385">
        <v>2.0</v>
      </c>
      <c r="M45" s="432"/>
      <c r="N45" s="387"/>
      <c r="O45" s="388" t="s">
        <v>123</v>
      </c>
      <c r="P45" s="389"/>
      <c r="Q45" s="390"/>
      <c r="R45" s="391"/>
      <c r="S45" s="392"/>
      <c r="T45" s="393"/>
      <c r="U45" s="393"/>
      <c r="V45" s="394"/>
      <c r="W45" s="395" t="str">
        <f>IFERROR(__xludf.DUMMYFUNCTION("IF(M45="""","""",sparkline(IFERROR(BF45*100/MAX($BF$44:$BF$153),0),{""charttype"",""bar"";""max"",100;""color1"",IF(BD45&gt;=0,""#4760a5"",""red"")}))"),"")</f>
        <v/>
      </c>
      <c r="X45" s="396"/>
      <c r="Y45" s="397"/>
      <c r="Z45" s="398"/>
      <c r="AA45" s="399"/>
      <c r="AB45" s="393"/>
      <c r="AC45" s="433"/>
      <c r="AD45" s="401"/>
      <c r="AE45" s="402"/>
      <c r="AF45" s="403"/>
      <c r="AG45" s="404" t="str">
        <f>IFERROR(__xludf.DUMMYFUNCTION("IF($M45="""","""",IFERROR(sparkline(query(GOOGLEFINANCE($AZ45,""price"",TODAY()-$AF$43,TODAY(),1),""select Col2 label Col2 ''""),IF($AG$43=""Gráfico de barras"",{""charttype"",""column"";""highcolor"",""red""},{""chartype"",""line""}))))"),"")</f>
        <v/>
      </c>
      <c r="AH45" s="405"/>
      <c r="AI45" s="434"/>
      <c r="AJ45" s="435" t="b">
        <v>1</v>
      </c>
      <c r="AK45" s="436"/>
      <c r="AL45" s="435" t="b">
        <v>1</v>
      </c>
      <c r="AU45" s="410">
        <v>2.0</v>
      </c>
      <c r="AV45" s="411" t="s">
        <v>134</v>
      </c>
      <c r="AW45" s="412" t="s">
        <v>185</v>
      </c>
      <c r="AX45" s="412" t="str">
        <f>"order by Col"&amp;MATCH(AW45,portfolio.!$A$3:$BO$3,0)&amp;" "&amp;IFERROR(VLOOKUP($M$41,$AV$57:$AX$58,3, FALSE),"")</f>
        <v>order by Col41 asc</v>
      </c>
      <c r="AY45" s="410">
        <v>2.0</v>
      </c>
      <c r="AZ45" s="411"/>
      <c r="BA45" s="411"/>
      <c r="BB45" s="437"/>
      <c r="BC45" s="437"/>
      <c r="BD45" s="437"/>
      <c r="BE45" s="437"/>
      <c r="BF45" s="415" t="s">
        <v>123</v>
      </c>
      <c r="BG45" s="410">
        <v>2.0</v>
      </c>
      <c r="BH45" s="416"/>
      <c r="BI45" s="416"/>
      <c r="BJ45" s="416"/>
      <c r="BK45" s="416"/>
      <c r="BL45" s="416"/>
      <c r="BM45" s="416"/>
      <c r="BN45" s="282"/>
      <c r="BO45" s="417">
        <v>2.0</v>
      </c>
      <c r="BP45" s="418"/>
      <c r="BQ45" s="411"/>
      <c r="BR45" s="419"/>
      <c r="BS45" s="418"/>
      <c r="BT45" s="411"/>
      <c r="BU45" s="411"/>
      <c r="BV45" s="411">
        <f t="shared" si="12"/>
        <v>0</v>
      </c>
      <c r="BW45" s="411" t="str">
        <f t="shared" si="13"/>
        <v/>
      </c>
      <c r="BX45" s="417">
        <v>2.0</v>
      </c>
      <c r="BY45" s="438" t="s">
        <v>272</v>
      </c>
      <c r="BZ45" s="439">
        <v>0.0</v>
      </c>
      <c r="CA45" s="439">
        <v>0.0</v>
      </c>
      <c r="CB45" s="422"/>
      <c r="CC45" s="421" t="s">
        <v>123</v>
      </c>
      <c r="CD45" s="421" t="s">
        <v>123</v>
      </c>
      <c r="CE45" s="422"/>
      <c r="CF45" s="421"/>
      <c r="CG45" s="421"/>
      <c r="CH45" s="422"/>
      <c r="CI45" s="422"/>
      <c r="CJ45" s="422"/>
      <c r="CK45" s="421"/>
      <c r="CL45" s="421" t="s">
        <v>123</v>
      </c>
      <c r="CM45" s="423"/>
      <c r="CN45" s="421"/>
      <c r="CO45" s="423"/>
      <c r="CP45" s="421"/>
      <c r="CQ45" s="63"/>
      <c r="CR45" s="358" t="str">
        <f>if(AV7,"EXPOSIÇÃO POR BOOK","")</f>
        <v/>
      </c>
      <c r="CS45" s="359" t="s">
        <v>273</v>
      </c>
      <c r="CT45" s="63"/>
      <c r="CU45" s="360">
        <v>2.0</v>
      </c>
      <c r="CV45" s="424" t="s">
        <v>118</v>
      </c>
      <c r="CW45" s="425" t="str">
        <f>IFERROR(__xludf.DUMMYFUNCTION("IFERROR(query({$Q$20:$AL$20},""select Col""&amp;MATCH(CZ45,$Q$21:$AL$21,0)))"),"")</f>
        <v/>
      </c>
      <c r="CX45" s="425"/>
      <c r="CY45" s="424"/>
      <c r="CZ45" s="426"/>
      <c r="DA45" s="427"/>
      <c r="DB45" s="427" t="str">
        <f t="shared" si="14"/>
        <v/>
      </c>
      <c r="DC45" s="427" t="str">
        <f t="shared" si="15"/>
        <v/>
      </c>
      <c r="DD45" s="427" t="str">
        <f t="array" ref="DD45">IF(NOT($AV$8),"",IF(CZ45="","",VLOOKUP(CZ45,config.carteiras!$C$9:$D$23,2,FALSE)))</f>
        <v/>
      </c>
      <c r="DE45" s="428" t="str">
        <f t="shared" si="16"/>
        <v/>
      </c>
      <c r="DF45" s="429" t="str">
        <f t="array" ref="DF45">IF($CZ45="","",VLOOKUP($CZ45,carteiras..!$B$2:$I$16,2,FALSE))</f>
        <v/>
      </c>
      <c r="DG45" s="429" t="str">
        <f t="array" ref="DG45">IF($CZ45="","",VLOOKUP($CZ45,carteiras..!$B$2:$I$16,3,FALSE))</f>
        <v/>
      </c>
      <c r="DH45" s="429" t="str">
        <f t="array" ref="DH45">IF($CZ45="","",VLOOKUP($CZ45,carteiras..!$B$2:$I$16,4,FALSE))</f>
        <v/>
      </c>
      <c r="DI45" s="427" t="str">
        <f t="shared" si="17"/>
        <v/>
      </c>
      <c r="DJ45" s="429" t="str">
        <f t="array" ref="DJ45">IF($CZ45="","",VLOOKUP($CZ45,carteiras..!$B$2:$I$16,5,FALSE))</f>
        <v/>
      </c>
      <c r="DK45" s="429" t="str">
        <f t="array" ref="DK45">IF($CZ45="","",VLOOKUP($CZ45,carteiras..!$B$2:$I$16,6,FALSE))</f>
        <v/>
      </c>
      <c r="DL45" s="428">
        <f>IF(ConfigOn,DG45-DF45,0)</f>
        <v>0</v>
      </c>
      <c r="DM45" s="428" t="str">
        <f t="shared" si="18"/>
        <v/>
      </c>
      <c r="DN45" s="430" t="str">
        <f t="array" ref="DN45">IF($CZ45="","",VLOOKUP($CZ45,carteiras..!$B$2:$I$16,7,FALSE))</f>
        <v/>
      </c>
      <c r="DO45" s="430" t="str">
        <f t="array" ref="DO45">IF($CZ45="","",VLOOKUP($CZ45,carteiras..!$B$2:$I$16,8,FALSE))</f>
        <v/>
      </c>
      <c r="DP45" s="431">
        <v>2.0</v>
      </c>
      <c r="DQ45" s="67"/>
    </row>
    <row r="46" ht="22.5" customHeight="1">
      <c r="A46" s="383"/>
      <c r="B46" s="384" t="str">
        <f>IFERROR(__xludf.DUMMYFUNCTION("IF(B$43="""","""",IF($AZ46="""","""",IFERROR(Query({CarteirasAtivos},""Select Col3 where Col1 = '""&amp;$AZ46&amp;""'and Col2 = '""&amp;S$21&amp;""'""))))"),"")</f>
        <v/>
      </c>
      <c r="C46" s="384" t="str">
        <f>IFERROR(__xludf.DUMMYFUNCTION("IF(C$43="""","""",IF($AZ46="""","""",IFERROR(Query({CarteirasAtivos},""Select Col3 where Col1 = '""&amp;$AZ46&amp;""'and Col2 = '""&amp;T$21&amp;""'""))))"),"")</f>
        <v/>
      </c>
      <c r="D46" s="384" t="str">
        <f>IFERROR(__xludf.DUMMYFUNCTION("IF(D$43="""","""",IF($AZ46="""","""",IFERROR(Query({CarteirasAtivos},""Select Col3 where Col1 = '""&amp;$AZ46&amp;""'and Col2 = '""&amp;U$21&amp;""'""))))"),"")</f>
        <v/>
      </c>
      <c r="E46" s="384" t="str">
        <f>IFERROR(__xludf.DUMMYFUNCTION("IF(E$43="""","""",IF($AZ46="""","""",IFERROR(Query({CarteirasAtivos},""Select Col3 where Col1 = '""&amp;$AZ46&amp;""'and Col2 = '""&amp;V$21&amp;""'""))))"),"")</f>
        <v/>
      </c>
      <c r="F46" s="384" t="str">
        <f>IFERROR(__xludf.DUMMYFUNCTION("IF(F$43="""","""",IF($AZ46="""","""",IFERROR(Query({CarteirasAtivos},""Select Col3 where Col1 = '""&amp;$AZ46&amp;""'and Col2 = '""&amp;W$21&amp;""'""))))"),"")</f>
        <v/>
      </c>
      <c r="G46" s="384" t="str">
        <f>IFERROR(__xludf.DUMMYFUNCTION("IF(G$43="""","""",IF($AZ46="""","""",IFERROR(Query({CarteirasAtivos},""Select Col3 where Col1 = '""&amp;$AZ46&amp;""'and Col2 = '""&amp;X$21&amp;""'""))))"),"")</f>
        <v/>
      </c>
      <c r="H46" s="384" t="str">
        <f>IFERROR(__xludf.DUMMYFUNCTION("IF(H$43="""","""",IF($AZ46="""","""",IFERROR(Query({CarteirasAtivos},""Select Col3 where Col1 = '""&amp;$AZ46&amp;""'and Col2 = '""&amp;Y$21&amp;""'""))))"),"")</f>
        <v/>
      </c>
      <c r="I46" s="384" t="str">
        <f>IFERROR(__xludf.DUMMYFUNCTION("IF(I$43="""","""",IF($AZ46="""","""",IFERROR(Query({CarteirasAtivos},""Select Col3 where Col1 = '""&amp;$AZ46&amp;""'and Col2 = '""&amp;Z$21&amp;""'""))))"),"")</f>
        <v/>
      </c>
      <c r="J46" s="384" t="str">
        <f>IFERROR(__xludf.DUMMYFUNCTION("IF(J$43="""","""",IF($AZ46="""","""",IFERROR(Query({CarteirasAtivos},""Select Col3 where Col1 = '""&amp;$AZ46&amp;""'and Col2 = '""&amp;AA$21&amp;""'""))))"),"")</f>
        <v/>
      </c>
      <c r="K46" s="384" t="str">
        <f>IFERROR(__xludf.DUMMYFUNCTION("IF(K$43="""","""",IF($AZ46="""","""",IFERROR(Query({CarteirasAtivos},""Select Col3 where Col1 = '""&amp;$AZ46&amp;""'and Col2 = '""&amp;AB$21&amp;""'""))))"),"")</f>
        <v/>
      </c>
      <c r="L46" s="385">
        <v>3.0</v>
      </c>
      <c r="M46" s="432"/>
      <c r="N46" s="387"/>
      <c r="O46" s="388" t="s">
        <v>123</v>
      </c>
      <c r="P46" s="389"/>
      <c r="Q46" s="390"/>
      <c r="R46" s="391"/>
      <c r="S46" s="392"/>
      <c r="T46" s="393"/>
      <c r="U46" s="393"/>
      <c r="V46" s="394"/>
      <c r="W46" s="395" t="str">
        <f>IFERROR(__xludf.DUMMYFUNCTION("IF(M46="""","""",sparkline(IFERROR(BF46*100/MAX($BF$44:$BF$153),0),{""charttype"",""bar"";""max"",100;""color1"",IF(BD46&gt;=0,""#4760a5"",""red"")}))"),"")</f>
        <v/>
      </c>
      <c r="X46" s="396"/>
      <c r="Y46" s="397"/>
      <c r="Z46" s="398"/>
      <c r="AA46" s="399"/>
      <c r="AB46" s="393"/>
      <c r="AC46" s="440"/>
      <c r="AD46" s="401"/>
      <c r="AE46" s="402"/>
      <c r="AF46" s="403"/>
      <c r="AG46" s="404" t="str">
        <f>IFERROR(__xludf.DUMMYFUNCTION("IF($M46="""","""",IFERROR(sparkline(query(GOOGLEFINANCE($AZ46,""price"",TODAY()-$AF$43,TODAY(),1),""select Col2 label Col2 ''""),IF($AG$43=""Gráfico de barras"",{""charttype"",""column"";""highcolor"",""red""},{""chartype"",""line""}))))"),"")</f>
        <v/>
      </c>
      <c r="AH46" s="405"/>
      <c r="AI46" s="434"/>
      <c r="AJ46" s="435" t="b">
        <v>1</v>
      </c>
      <c r="AK46" s="441"/>
      <c r="AL46" s="435" t="b">
        <v>1</v>
      </c>
      <c r="AM46" s="442"/>
      <c r="AU46" s="410">
        <v>3.0</v>
      </c>
      <c r="AV46" s="411" t="s">
        <v>215</v>
      </c>
      <c r="AW46" s="412" t="s">
        <v>191</v>
      </c>
      <c r="AX46" s="412" t="str">
        <f>"order by Col"&amp;MATCH(AW46,portfolio.!$A$3:$BO$3,0)&amp;" "&amp;IFERROR(VLOOKUP($M$41,$AV$57:$AX$58,3, FALSE),"")</f>
        <v>order by Col42 asc</v>
      </c>
      <c r="AY46" s="410">
        <v>3.0</v>
      </c>
      <c r="AZ46" s="411"/>
      <c r="BA46" s="411"/>
      <c r="BB46" s="437"/>
      <c r="BC46" s="437"/>
      <c r="BD46" s="437"/>
      <c r="BE46" s="437"/>
      <c r="BF46" s="415" t="s">
        <v>123</v>
      </c>
      <c r="BG46" s="410">
        <v>3.0</v>
      </c>
      <c r="BH46" s="416"/>
      <c r="BI46" s="416"/>
      <c r="BJ46" s="416"/>
      <c r="BK46" s="416"/>
      <c r="BL46" s="416"/>
      <c r="BM46" s="416"/>
      <c r="BN46" s="282"/>
      <c r="BO46" s="417">
        <v>3.0</v>
      </c>
      <c r="BP46" s="418"/>
      <c r="BQ46" s="411"/>
      <c r="BR46" s="419"/>
      <c r="BS46" s="418"/>
      <c r="BT46" s="411"/>
      <c r="BU46" s="411"/>
      <c r="BV46" s="411">
        <f t="shared" si="12"/>
        <v>0</v>
      </c>
      <c r="BW46" s="411" t="str">
        <f t="shared" si="13"/>
        <v/>
      </c>
      <c r="BX46" s="417">
        <v>3.0</v>
      </c>
      <c r="BY46" s="420"/>
      <c r="BZ46" s="421">
        <v>0.0</v>
      </c>
      <c r="CA46" s="421">
        <v>0.0</v>
      </c>
      <c r="CB46" s="422"/>
      <c r="CC46" s="421" t="s">
        <v>123</v>
      </c>
      <c r="CD46" s="421" t="s">
        <v>123</v>
      </c>
      <c r="CE46" s="422"/>
      <c r="CF46" s="421"/>
      <c r="CG46" s="421"/>
      <c r="CH46" s="422"/>
      <c r="CI46" s="422"/>
      <c r="CJ46" s="422"/>
      <c r="CK46" s="421"/>
      <c r="CL46" s="421" t="s">
        <v>123</v>
      </c>
      <c r="CM46" s="423"/>
      <c r="CN46" s="421"/>
      <c r="CO46" s="423"/>
      <c r="CP46" s="421"/>
      <c r="CQ46" s="63"/>
      <c r="CR46" s="358" t="str">
        <f>if(AV8,"EXPOSIÇÃO POR CARTEIRA","")</f>
        <v/>
      </c>
      <c r="CS46" s="359" t="s">
        <v>274</v>
      </c>
      <c r="CT46" s="63"/>
      <c r="CU46" s="360">
        <v>3.0</v>
      </c>
      <c r="CV46" s="424" t="s">
        <v>118</v>
      </c>
      <c r="CW46" s="425" t="str">
        <f>IFERROR(__xludf.DUMMYFUNCTION("IFERROR(query({$Q$20:$AL$20},""select Col""&amp;MATCH(CZ46,$Q$21:$AL$21,0)))"),"")</f>
        <v/>
      </c>
      <c r="CX46" s="425"/>
      <c r="CY46" s="424"/>
      <c r="CZ46" s="426"/>
      <c r="DA46" s="427"/>
      <c r="DB46" s="427" t="str">
        <f t="shared" si="14"/>
        <v/>
      </c>
      <c r="DC46" s="427" t="str">
        <f t="shared" si="15"/>
        <v/>
      </c>
      <c r="DD46" s="427" t="str">
        <f t="array" ref="DD46">IF(NOT($AV$8),"",IF(CZ46="","",VLOOKUP(CZ46,config.carteiras!$C$9:$D$23,2,FALSE)))</f>
        <v/>
      </c>
      <c r="DE46" s="428" t="str">
        <f t="shared" si="16"/>
        <v/>
      </c>
      <c r="DF46" s="429" t="str">
        <f t="array" ref="DF46">IF($CZ46="","",VLOOKUP($CZ46,carteiras..!$B$2:$I$16,2,FALSE))</f>
        <v/>
      </c>
      <c r="DG46" s="429" t="str">
        <f t="array" ref="DG46">IF($CZ46="","",VLOOKUP($CZ46,carteiras..!$B$2:$I$16,3,FALSE))</f>
        <v/>
      </c>
      <c r="DH46" s="429" t="str">
        <f t="array" ref="DH46">IF($CZ46="","",VLOOKUP($CZ46,carteiras..!$B$2:$I$16,4,FALSE))</f>
        <v/>
      </c>
      <c r="DI46" s="427" t="str">
        <f t="shared" si="17"/>
        <v/>
      </c>
      <c r="DJ46" s="429" t="str">
        <f t="array" ref="DJ46">IF($CZ46="","",VLOOKUP($CZ46,carteiras..!$B$2:$I$16,5,FALSE))</f>
        <v/>
      </c>
      <c r="DK46" s="429" t="str">
        <f t="array" ref="DK46">IF($CZ46="","",VLOOKUP($CZ46,carteiras..!$B$2:$I$16,6,FALSE))</f>
        <v/>
      </c>
      <c r="DL46" s="428">
        <f>IF(ConfigOn,DG46-DF46,0)</f>
        <v>0</v>
      </c>
      <c r="DM46" s="428" t="str">
        <f t="shared" si="18"/>
        <v/>
      </c>
      <c r="DN46" s="430" t="str">
        <f t="array" ref="DN46">IF($CZ46="","",VLOOKUP($CZ46,carteiras..!$B$2:$I$16,7,FALSE))</f>
        <v/>
      </c>
      <c r="DO46" s="430" t="str">
        <f t="array" ref="DO46">IF($CZ46="","",VLOOKUP($CZ46,carteiras..!$B$2:$I$16,8,FALSE))</f>
        <v/>
      </c>
      <c r="DP46" s="431">
        <v>2.0</v>
      </c>
      <c r="DQ46" s="67"/>
    </row>
    <row r="47" ht="22.5" customHeight="1">
      <c r="A47" s="383"/>
      <c r="B47" s="384" t="str">
        <f>IFERROR(__xludf.DUMMYFUNCTION("IF(B$43="""","""",IF($AZ47="""","""",IFERROR(Query({CarteirasAtivos},""Select Col3 where Col1 = '""&amp;$AZ47&amp;""'and Col2 = '""&amp;S$21&amp;""'""))))"),"")</f>
        <v/>
      </c>
      <c r="C47" s="384" t="str">
        <f>IFERROR(__xludf.DUMMYFUNCTION("IF(C$43="""","""",IF($AZ47="""","""",IFERROR(Query({CarteirasAtivos},""Select Col3 where Col1 = '""&amp;$AZ47&amp;""'and Col2 = '""&amp;T$21&amp;""'""))))"),"")</f>
        <v/>
      </c>
      <c r="D47" s="384" t="str">
        <f>IFERROR(__xludf.DUMMYFUNCTION("IF(D$43="""","""",IF($AZ47="""","""",IFERROR(Query({CarteirasAtivos},""Select Col3 where Col1 = '""&amp;$AZ47&amp;""'and Col2 = '""&amp;U$21&amp;""'""))))"),"")</f>
        <v/>
      </c>
      <c r="E47" s="384" t="str">
        <f>IFERROR(__xludf.DUMMYFUNCTION("IF(E$43="""","""",IF($AZ47="""","""",IFERROR(Query({CarteirasAtivos},""Select Col3 where Col1 = '""&amp;$AZ47&amp;""'and Col2 = '""&amp;V$21&amp;""'""))))"),"")</f>
        <v/>
      </c>
      <c r="F47" s="384" t="str">
        <f>IFERROR(__xludf.DUMMYFUNCTION("IF(F$43="""","""",IF($AZ47="""","""",IFERROR(Query({CarteirasAtivos},""Select Col3 where Col1 = '""&amp;$AZ47&amp;""'and Col2 = '""&amp;W$21&amp;""'""))))"),"")</f>
        <v/>
      </c>
      <c r="G47" s="384" t="str">
        <f>IFERROR(__xludf.DUMMYFUNCTION("IF(G$43="""","""",IF($AZ47="""","""",IFERROR(Query({CarteirasAtivos},""Select Col3 where Col1 = '""&amp;$AZ47&amp;""'and Col2 = '""&amp;X$21&amp;""'""))))"),"")</f>
        <v/>
      </c>
      <c r="H47" s="384" t="str">
        <f>IFERROR(__xludf.DUMMYFUNCTION("IF(H$43="""","""",IF($AZ47="""","""",IFERROR(Query({CarteirasAtivos},""Select Col3 where Col1 = '""&amp;$AZ47&amp;""'and Col2 = '""&amp;Y$21&amp;""'""))))"),"")</f>
        <v/>
      </c>
      <c r="I47" s="384" t="str">
        <f>IFERROR(__xludf.DUMMYFUNCTION("IF(I$43="""","""",IF($AZ47="""","""",IFERROR(Query({CarteirasAtivos},""Select Col3 where Col1 = '""&amp;$AZ47&amp;""'and Col2 = '""&amp;Z$21&amp;""'""))))"),"")</f>
        <v/>
      </c>
      <c r="J47" s="384" t="str">
        <f>IFERROR(__xludf.DUMMYFUNCTION("IF(J$43="""","""",IF($AZ47="""","""",IFERROR(Query({CarteirasAtivos},""Select Col3 where Col1 = '""&amp;$AZ47&amp;""'and Col2 = '""&amp;AA$21&amp;""'""))))"),"")</f>
        <v/>
      </c>
      <c r="K47" s="384" t="str">
        <f>IFERROR(__xludf.DUMMYFUNCTION("IF(K$43="""","""",IF($AZ47="""","""",IFERROR(Query({CarteirasAtivos},""Select Col3 where Col1 = '""&amp;$AZ47&amp;""'and Col2 = '""&amp;AB$21&amp;""'""))))"),"")</f>
        <v/>
      </c>
      <c r="L47" s="385">
        <v>4.0</v>
      </c>
      <c r="M47" s="432"/>
      <c r="N47" s="387"/>
      <c r="O47" s="388" t="s">
        <v>123</v>
      </c>
      <c r="P47" s="389"/>
      <c r="Q47" s="390"/>
      <c r="R47" s="391"/>
      <c r="S47" s="392"/>
      <c r="T47" s="393"/>
      <c r="U47" s="393"/>
      <c r="V47" s="394"/>
      <c r="W47" s="395" t="str">
        <f>IFERROR(__xludf.DUMMYFUNCTION("IF(M47="""","""",sparkline(IFERROR(BF47*100/MAX($BF$44:$BF$153),0),{""charttype"",""bar"";""max"",100;""color1"",IF(BD47&gt;=0,""#4760a5"",""red"")}))"),"")</f>
        <v/>
      </c>
      <c r="X47" s="396"/>
      <c r="Y47" s="397"/>
      <c r="Z47" s="398"/>
      <c r="AA47" s="399"/>
      <c r="AB47" s="393"/>
      <c r="AC47" s="440"/>
      <c r="AD47" s="401"/>
      <c r="AE47" s="402"/>
      <c r="AF47" s="403"/>
      <c r="AG47" s="404" t="str">
        <f>IFERROR(__xludf.DUMMYFUNCTION("IF($M47="""","""",IFERROR(sparkline(query(GOOGLEFINANCE($AZ47,""price"",TODAY()-$AF$43,TODAY(),1),""select Col2 label Col2 ''""),IF($AG$43=""Gráfico de barras"",{""charttype"",""column"";""highcolor"",""red""},{""chartype"",""line""}))))"),"")</f>
        <v/>
      </c>
      <c r="AH47" s="405"/>
      <c r="AI47" s="434"/>
      <c r="AJ47" s="435" t="b">
        <v>1</v>
      </c>
      <c r="AK47" s="441"/>
      <c r="AL47" s="435" t="b">
        <v>1</v>
      </c>
      <c r="AM47" s="442"/>
      <c r="AU47" s="410">
        <v>4.0</v>
      </c>
      <c r="AV47" s="411" t="s">
        <v>143</v>
      </c>
      <c r="AW47" s="412" t="s">
        <v>163</v>
      </c>
      <c r="AX47" s="412" t="str">
        <f>"order by Col"&amp;MATCH(AW47,portfolio.!$A$3:$BO$3,0)&amp;" "&amp;IFERROR(VLOOKUP($M$41,$AV$57:$AX$58,3, FALSE),"")</f>
        <v>order by Col43 asc</v>
      </c>
      <c r="AY47" s="410">
        <v>4.0</v>
      </c>
      <c r="AZ47" s="411"/>
      <c r="BA47" s="411"/>
      <c r="BB47" s="437"/>
      <c r="BC47" s="437"/>
      <c r="BD47" s="437"/>
      <c r="BE47" s="437"/>
      <c r="BF47" s="415" t="s">
        <v>123</v>
      </c>
      <c r="BG47" s="410">
        <v>4.0</v>
      </c>
      <c r="BH47" s="416"/>
      <c r="BI47" s="416"/>
      <c r="BJ47" s="416"/>
      <c r="BK47" s="416"/>
      <c r="BL47" s="416"/>
      <c r="BM47" s="416"/>
      <c r="BN47" s="282"/>
      <c r="BO47" s="417">
        <v>4.0</v>
      </c>
      <c r="BP47" s="418"/>
      <c r="BQ47" s="411"/>
      <c r="BR47" s="419"/>
      <c r="BS47" s="418"/>
      <c r="BT47" s="411"/>
      <c r="BU47" s="411"/>
      <c r="BV47" s="411">
        <f t="shared" si="12"/>
        <v>0</v>
      </c>
      <c r="BW47" s="411" t="str">
        <f t="shared" si="13"/>
        <v/>
      </c>
      <c r="BX47" s="417">
        <v>4.0</v>
      </c>
      <c r="BY47" s="420"/>
      <c r="BZ47" s="421">
        <v>0.0</v>
      </c>
      <c r="CA47" s="421">
        <v>0.0</v>
      </c>
      <c r="CB47" s="422"/>
      <c r="CC47" s="421" t="s">
        <v>123</v>
      </c>
      <c r="CD47" s="421" t="s">
        <v>123</v>
      </c>
      <c r="CE47" s="422"/>
      <c r="CF47" s="421"/>
      <c r="CG47" s="421"/>
      <c r="CH47" s="422"/>
      <c r="CI47" s="422"/>
      <c r="CJ47" s="422"/>
      <c r="CK47" s="421"/>
      <c r="CL47" s="421" t="s">
        <v>123</v>
      </c>
      <c r="CM47" s="423"/>
      <c r="CN47" s="421"/>
      <c r="CO47" s="423"/>
      <c r="CP47" s="421"/>
      <c r="CQ47" s="63"/>
      <c r="CR47" s="358" t="str">
        <f>if(AV8,"EXPOSIÇÃO POR PERFIL DE CARTEIRA","")</f>
        <v/>
      </c>
      <c r="CS47" s="359" t="s">
        <v>275</v>
      </c>
      <c r="CT47" s="63"/>
      <c r="CU47" s="360">
        <v>4.0</v>
      </c>
      <c r="CV47" s="424" t="s">
        <v>118</v>
      </c>
      <c r="CW47" s="425" t="str">
        <f>IFERROR(__xludf.DUMMYFUNCTION("IFERROR(query({$Q$20:$AL$20},""select Col""&amp;MATCH(CZ47,$Q$21:$AL$21,0)))"),"")</f>
        <v/>
      </c>
      <c r="CX47" s="425"/>
      <c r="CY47" s="424"/>
      <c r="CZ47" s="426"/>
      <c r="DA47" s="427"/>
      <c r="DB47" s="427" t="str">
        <f t="shared" si="14"/>
        <v/>
      </c>
      <c r="DC47" s="427" t="str">
        <f t="shared" si="15"/>
        <v/>
      </c>
      <c r="DD47" s="427" t="str">
        <f t="array" ref="DD47">IF(NOT($AV$8),"",IF(CZ47="","",VLOOKUP(CZ47,config.carteiras!$C$9:$D$23,2,FALSE)))</f>
        <v/>
      </c>
      <c r="DE47" s="428" t="str">
        <f t="shared" si="16"/>
        <v/>
      </c>
      <c r="DF47" s="429" t="str">
        <f t="array" ref="DF47">IF($CZ47="","",VLOOKUP($CZ47,carteiras..!$B$2:$I$16,2,FALSE))</f>
        <v/>
      </c>
      <c r="DG47" s="429" t="str">
        <f t="array" ref="DG47">IF($CZ47="","",VLOOKUP($CZ47,carteiras..!$B$2:$I$16,3,FALSE))</f>
        <v/>
      </c>
      <c r="DH47" s="429" t="str">
        <f t="array" ref="DH47">IF($CZ47="","",VLOOKUP($CZ47,carteiras..!$B$2:$I$16,4,FALSE))</f>
        <v/>
      </c>
      <c r="DI47" s="427" t="str">
        <f t="shared" si="17"/>
        <v/>
      </c>
      <c r="DJ47" s="429" t="str">
        <f t="array" ref="DJ47">IF($CZ47="","",VLOOKUP($CZ47,carteiras..!$B$2:$I$16,5,FALSE))</f>
        <v/>
      </c>
      <c r="DK47" s="429" t="str">
        <f t="array" ref="DK47">IF($CZ47="","",VLOOKUP($CZ47,carteiras..!$B$2:$I$16,6,FALSE))</f>
        <v/>
      </c>
      <c r="DL47" s="428">
        <f>IF(ConfigOn,DG47-DF47,0)</f>
        <v>0</v>
      </c>
      <c r="DM47" s="428" t="str">
        <f t="shared" si="18"/>
        <v/>
      </c>
      <c r="DN47" s="430" t="str">
        <f t="array" ref="DN47">IF($CZ47="","",VLOOKUP($CZ47,carteiras..!$B$2:$I$16,7,FALSE))</f>
        <v/>
      </c>
      <c r="DO47" s="430" t="str">
        <f t="array" ref="DO47">IF($CZ47="","",VLOOKUP($CZ47,carteiras..!$B$2:$I$16,8,FALSE))</f>
        <v/>
      </c>
      <c r="DP47" s="431">
        <v>2.0</v>
      </c>
      <c r="DQ47" s="67"/>
    </row>
    <row r="48" ht="22.5" customHeight="1">
      <c r="A48" s="383"/>
      <c r="B48" s="384" t="str">
        <f>IFERROR(__xludf.DUMMYFUNCTION("IF(B$43="""","""",IF($AZ48="""","""",IFERROR(Query({CarteirasAtivos},""Select Col3 where Col1 = '""&amp;$AZ48&amp;""'and Col2 = '""&amp;S$21&amp;""'""))))"),"")</f>
        <v/>
      </c>
      <c r="C48" s="384" t="str">
        <f>IFERROR(__xludf.DUMMYFUNCTION("IF(C$43="""","""",IF($AZ48="""","""",IFERROR(Query({CarteirasAtivos},""Select Col3 where Col1 = '""&amp;$AZ48&amp;""'and Col2 = '""&amp;T$21&amp;""'""))))"),"")</f>
        <v/>
      </c>
      <c r="D48" s="384" t="str">
        <f>IFERROR(__xludf.DUMMYFUNCTION("IF(D$43="""","""",IF($AZ48="""","""",IFERROR(Query({CarteirasAtivos},""Select Col3 where Col1 = '""&amp;$AZ48&amp;""'and Col2 = '""&amp;U$21&amp;""'""))))"),"")</f>
        <v/>
      </c>
      <c r="E48" s="384" t="str">
        <f>IFERROR(__xludf.DUMMYFUNCTION("IF(E$43="""","""",IF($AZ48="""","""",IFERROR(Query({CarteirasAtivos},""Select Col3 where Col1 = '""&amp;$AZ48&amp;""'and Col2 = '""&amp;V$21&amp;""'""))))"),"")</f>
        <v/>
      </c>
      <c r="F48" s="384" t="str">
        <f>IFERROR(__xludf.DUMMYFUNCTION("IF(F$43="""","""",IF($AZ48="""","""",IFERROR(Query({CarteirasAtivos},""Select Col3 where Col1 = '""&amp;$AZ48&amp;""'and Col2 = '""&amp;W$21&amp;""'""))))"),"")</f>
        <v/>
      </c>
      <c r="G48" s="384" t="str">
        <f>IFERROR(__xludf.DUMMYFUNCTION("IF(G$43="""","""",IF($AZ48="""","""",IFERROR(Query({CarteirasAtivos},""Select Col3 where Col1 = '""&amp;$AZ48&amp;""'and Col2 = '""&amp;X$21&amp;""'""))))"),"")</f>
        <v/>
      </c>
      <c r="H48" s="384" t="str">
        <f>IFERROR(__xludf.DUMMYFUNCTION("IF(H$43="""","""",IF($AZ48="""","""",IFERROR(Query({CarteirasAtivos},""Select Col3 where Col1 = '""&amp;$AZ48&amp;""'and Col2 = '""&amp;Y$21&amp;""'""))))"),"")</f>
        <v/>
      </c>
      <c r="I48" s="384" t="str">
        <f>IFERROR(__xludf.DUMMYFUNCTION("IF(I$43="""","""",IF($AZ48="""","""",IFERROR(Query({CarteirasAtivos},""Select Col3 where Col1 = '""&amp;$AZ48&amp;""'and Col2 = '""&amp;Z$21&amp;""'""))))"),"")</f>
        <v/>
      </c>
      <c r="J48" s="384" t="str">
        <f>IFERROR(__xludf.DUMMYFUNCTION("IF(J$43="""","""",IF($AZ48="""","""",IFERROR(Query({CarteirasAtivos},""Select Col3 where Col1 = '""&amp;$AZ48&amp;""'and Col2 = '""&amp;AA$21&amp;""'""))))"),"")</f>
        <v/>
      </c>
      <c r="K48" s="384" t="str">
        <f>IFERROR(__xludf.DUMMYFUNCTION("IF(K$43="""","""",IF($AZ48="""","""",IFERROR(Query({CarteirasAtivos},""Select Col3 where Col1 = '""&amp;$AZ48&amp;""'and Col2 = '""&amp;AB$21&amp;""'""))))"),"")</f>
        <v/>
      </c>
      <c r="L48" s="385">
        <v>5.0</v>
      </c>
      <c r="M48" s="432"/>
      <c r="N48" s="387"/>
      <c r="O48" s="388" t="s">
        <v>123</v>
      </c>
      <c r="P48" s="389"/>
      <c r="Q48" s="390"/>
      <c r="R48" s="391"/>
      <c r="S48" s="392"/>
      <c r="T48" s="393"/>
      <c r="U48" s="393"/>
      <c r="V48" s="394"/>
      <c r="W48" s="395" t="str">
        <f>IFERROR(__xludf.DUMMYFUNCTION("IF(M48="""","""",sparkline(IFERROR(BF48*100/MAX($BF$44:$BF$153),0),{""charttype"",""bar"";""max"",100;""color1"",IF(BD48&gt;=0,""#4760a5"",""red"")}))"),"")</f>
        <v/>
      </c>
      <c r="X48" s="396"/>
      <c r="Y48" s="397"/>
      <c r="Z48" s="398"/>
      <c r="AA48" s="399"/>
      <c r="AB48" s="393"/>
      <c r="AC48" s="443"/>
      <c r="AD48" s="401"/>
      <c r="AE48" s="402"/>
      <c r="AF48" s="403"/>
      <c r="AG48" s="404" t="str">
        <f>IFERROR(__xludf.DUMMYFUNCTION("IF($M48="""","""",IFERROR(sparkline(query(GOOGLEFINANCE($AZ48,""price"",TODAY()-$AF$43,TODAY(),1),""select Col2 label Col2 ''""),IF($AG$43=""Gráfico de barras"",{""charttype"",""column"";""highcolor"",""red""},{""chartype"",""line""}))))"),"")</f>
        <v/>
      </c>
      <c r="AH48" s="405"/>
      <c r="AI48" s="434"/>
      <c r="AJ48" s="435" t="b">
        <v>1</v>
      </c>
      <c r="AK48" s="441"/>
      <c r="AL48" s="435" t="b">
        <v>1</v>
      </c>
      <c r="AU48" s="410">
        <v>5.0</v>
      </c>
      <c r="AV48" s="411" t="s">
        <v>276</v>
      </c>
      <c r="AW48" s="444" t="s">
        <v>164</v>
      </c>
      <c r="AX48" s="412" t="str">
        <f>"order by Col"&amp;MATCH(AW48,portfolio.!$A$3:$BO$3,0)&amp;" "&amp;IFERROR(VLOOKUP($M$41,$AV$57:$AX$58,3, FALSE),"")</f>
        <v>order by Col44 asc</v>
      </c>
      <c r="AY48" s="410">
        <v>5.0</v>
      </c>
      <c r="AZ48" s="411"/>
      <c r="BA48" s="411"/>
      <c r="BB48" s="437"/>
      <c r="BC48" s="437"/>
      <c r="BD48" s="437"/>
      <c r="BE48" s="437"/>
      <c r="BF48" s="415" t="s">
        <v>123</v>
      </c>
      <c r="BG48" s="410">
        <v>5.0</v>
      </c>
      <c r="BH48" s="416"/>
      <c r="BI48" s="416"/>
      <c r="BJ48" s="416"/>
      <c r="BK48" s="416"/>
      <c r="BL48" s="416"/>
      <c r="BM48" s="416"/>
      <c r="BN48" s="282"/>
      <c r="BO48" s="417">
        <v>5.0</v>
      </c>
      <c r="BP48" s="418"/>
      <c r="BQ48" s="411"/>
      <c r="BR48" s="419"/>
      <c r="BS48" s="418"/>
      <c r="BT48" s="411"/>
      <c r="BU48" s="411"/>
      <c r="BV48" s="411">
        <f t="shared" si="12"/>
        <v>0</v>
      </c>
      <c r="BW48" s="411" t="str">
        <f t="shared" si="13"/>
        <v/>
      </c>
      <c r="BX48" s="417">
        <v>5.0</v>
      </c>
      <c r="BY48" s="420"/>
      <c r="BZ48" s="421">
        <v>0.0</v>
      </c>
      <c r="CA48" s="421">
        <v>0.0</v>
      </c>
      <c r="CB48" s="422"/>
      <c r="CC48" s="421" t="s">
        <v>123</v>
      </c>
      <c r="CD48" s="421" t="s">
        <v>123</v>
      </c>
      <c r="CE48" s="422"/>
      <c r="CF48" s="421"/>
      <c r="CG48" s="421"/>
      <c r="CH48" s="422"/>
      <c r="CI48" s="422"/>
      <c r="CJ48" s="422"/>
      <c r="CK48" s="421"/>
      <c r="CL48" s="421" t="s">
        <v>123</v>
      </c>
      <c r="CM48" s="423"/>
      <c r="CN48" s="421"/>
      <c r="CO48" s="423"/>
      <c r="CP48" s="421"/>
      <c r="CQ48" s="63"/>
      <c r="CR48" s="343" t="s">
        <v>277</v>
      </c>
      <c r="CS48" s="343" t="s">
        <v>214</v>
      </c>
      <c r="CT48" s="63"/>
      <c r="CU48" s="360">
        <v>5.0</v>
      </c>
      <c r="CV48" s="424" t="s">
        <v>118</v>
      </c>
      <c r="CW48" s="425" t="str">
        <f>IFERROR(__xludf.DUMMYFUNCTION("IFERROR(query({$Q$20:$AL$20},""select Col""&amp;MATCH(CZ48,$Q$21:$AL$21,0)))"),"")</f>
        <v/>
      </c>
      <c r="CX48" s="425"/>
      <c r="CY48" s="424"/>
      <c r="CZ48" s="426"/>
      <c r="DA48" s="427"/>
      <c r="DB48" s="427" t="str">
        <f t="shared" si="14"/>
        <v/>
      </c>
      <c r="DC48" s="427" t="str">
        <f t="shared" si="15"/>
        <v/>
      </c>
      <c r="DD48" s="427" t="str">
        <f t="array" ref="DD48">IF(NOT($AV$8),"",IF(CZ48="","",VLOOKUP(CZ48,config.carteiras!$C$9:$D$23,2,FALSE)))</f>
        <v/>
      </c>
      <c r="DE48" s="428" t="str">
        <f t="shared" si="16"/>
        <v/>
      </c>
      <c r="DF48" s="429" t="str">
        <f t="array" ref="DF48">IF($CZ48="","",VLOOKUP($CZ48,carteiras..!$B$2:$I$16,2,FALSE))</f>
        <v/>
      </c>
      <c r="DG48" s="429" t="str">
        <f t="array" ref="DG48">IF($CZ48="","",VLOOKUP($CZ48,carteiras..!$B$2:$I$16,3,FALSE))</f>
        <v/>
      </c>
      <c r="DH48" s="429" t="str">
        <f t="array" ref="DH48">IF($CZ48="","",VLOOKUP($CZ48,carteiras..!$B$2:$I$16,4,FALSE))</f>
        <v/>
      </c>
      <c r="DI48" s="427" t="str">
        <f t="shared" si="17"/>
        <v/>
      </c>
      <c r="DJ48" s="429" t="str">
        <f t="array" ref="DJ48">IF($CZ48="","",VLOOKUP($CZ48,carteiras..!$B$2:$I$16,5,FALSE))</f>
        <v/>
      </c>
      <c r="DK48" s="429" t="str">
        <f t="array" ref="DK48">IF($CZ48="","",VLOOKUP($CZ48,carteiras..!$B$2:$I$16,6,FALSE))</f>
        <v/>
      </c>
      <c r="DL48" s="428">
        <f>IF(ConfigOn,DG48-DF48,0)</f>
        <v>0</v>
      </c>
      <c r="DM48" s="428" t="str">
        <f t="shared" si="18"/>
        <v/>
      </c>
      <c r="DN48" s="430" t="str">
        <f t="array" ref="DN48">IF($CZ48="","",VLOOKUP($CZ48,carteiras..!$B$2:$I$16,7,FALSE))</f>
        <v/>
      </c>
      <c r="DO48" s="430" t="str">
        <f t="array" ref="DO48">IF($CZ48="","",VLOOKUP($CZ48,carteiras..!$B$2:$I$16,8,FALSE))</f>
        <v/>
      </c>
      <c r="DP48" s="431">
        <v>2.0</v>
      </c>
      <c r="DQ48" s="67"/>
    </row>
    <row r="49" ht="22.5" customHeight="1">
      <c r="A49" s="383"/>
      <c r="B49" s="384" t="str">
        <f>IFERROR(__xludf.DUMMYFUNCTION("IF(B$43="""","""",IF($AZ49="""","""",IFERROR(Query({CarteirasAtivos},""Select Col3 where Col1 = '""&amp;$AZ49&amp;""'and Col2 = '""&amp;S$21&amp;""'""))))"),"")</f>
        <v/>
      </c>
      <c r="C49" s="384" t="str">
        <f>IFERROR(__xludf.DUMMYFUNCTION("IF(C$43="""","""",IF($AZ49="""","""",IFERROR(Query({CarteirasAtivos},""Select Col3 where Col1 = '""&amp;$AZ49&amp;""'and Col2 = '""&amp;T$21&amp;""'""))))"),"")</f>
        <v/>
      </c>
      <c r="D49" s="384" t="str">
        <f>IFERROR(__xludf.DUMMYFUNCTION("IF(D$43="""","""",IF($AZ49="""","""",IFERROR(Query({CarteirasAtivos},""Select Col3 where Col1 = '""&amp;$AZ49&amp;""'and Col2 = '""&amp;U$21&amp;""'""))))"),"")</f>
        <v/>
      </c>
      <c r="E49" s="384" t="str">
        <f>IFERROR(__xludf.DUMMYFUNCTION("IF(E$43="""","""",IF($AZ49="""","""",IFERROR(Query({CarteirasAtivos},""Select Col3 where Col1 = '""&amp;$AZ49&amp;""'and Col2 = '""&amp;V$21&amp;""'""))))"),"")</f>
        <v/>
      </c>
      <c r="F49" s="384" t="str">
        <f>IFERROR(__xludf.DUMMYFUNCTION("IF(F$43="""","""",IF($AZ49="""","""",IFERROR(Query({CarteirasAtivos},""Select Col3 where Col1 = '""&amp;$AZ49&amp;""'and Col2 = '""&amp;W$21&amp;""'""))))"),"")</f>
        <v/>
      </c>
      <c r="G49" s="384" t="str">
        <f>IFERROR(__xludf.DUMMYFUNCTION("IF(G$43="""","""",IF($AZ49="""","""",IFERROR(Query({CarteirasAtivos},""Select Col3 where Col1 = '""&amp;$AZ49&amp;""'and Col2 = '""&amp;X$21&amp;""'""))))"),"")</f>
        <v/>
      </c>
      <c r="H49" s="384" t="str">
        <f>IFERROR(__xludf.DUMMYFUNCTION("IF(H$43="""","""",IF($AZ49="""","""",IFERROR(Query({CarteirasAtivos},""Select Col3 where Col1 = '""&amp;$AZ49&amp;""'and Col2 = '""&amp;Y$21&amp;""'""))))"),"")</f>
        <v/>
      </c>
      <c r="I49" s="384" t="str">
        <f>IFERROR(__xludf.DUMMYFUNCTION("IF(I$43="""","""",IF($AZ49="""","""",IFERROR(Query({CarteirasAtivos},""Select Col3 where Col1 = '""&amp;$AZ49&amp;""'and Col2 = '""&amp;Z$21&amp;""'""))))"),"")</f>
        <v/>
      </c>
      <c r="J49" s="384" t="str">
        <f>IFERROR(__xludf.DUMMYFUNCTION("IF(J$43="""","""",IF($AZ49="""","""",IFERROR(Query({CarteirasAtivos},""Select Col3 where Col1 = '""&amp;$AZ49&amp;""'and Col2 = '""&amp;AA$21&amp;""'""))))"),"")</f>
        <v/>
      </c>
      <c r="K49" s="384" t="str">
        <f>IFERROR(__xludf.DUMMYFUNCTION("IF(K$43="""","""",IF($AZ49="""","""",IFERROR(Query({CarteirasAtivos},""Select Col3 where Col1 = '""&amp;$AZ49&amp;""'and Col2 = '""&amp;AB$21&amp;""'""))))"),"")</f>
        <v/>
      </c>
      <c r="L49" s="385">
        <v>6.0</v>
      </c>
      <c r="M49" s="432"/>
      <c r="N49" s="387"/>
      <c r="O49" s="388" t="s">
        <v>123</v>
      </c>
      <c r="P49" s="389"/>
      <c r="Q49" s="390"/>
      <c r="R49" s="391"/>
      <c r="S49" s="392"/>
      <c r="T49" s="393"/>
      <c r="U49" s="393"/>
      <c r="V49" s="394"/>
      <c r="W49" s="395" t="str">
        <f>IFERROR(__xludf.DUMMYFUNCTION("IF(M49="""","""",sparkline(IFERROR(BF49*100/MAX($BF$44:$BF$153),0),{""charttype"",""bar"";""max"",100;""color1"",IF(BD49&gt;=0,""#4760a5"",""red"")}))"),"")</f>
        <v/>
      </c>
      <c r="X49" s="396"/>
      <c r="Y49" s="397"/>
      <c r="Z49" s="398"/>
      <c r="AA49" s="399"/>
      <c r="AB49" s="393"/>
      <c r="AC49" s="440"/>
      <c r="AD49" s="401"/>
      <c r="AE49" s="402"/>
      <c r="AF49" s="403"/>
      <c r="AG49" s="404" t="str">
        <f>IFERROR(__xludf.DUMMYFUNCTION("IF($M49="""","""",IFERROR(sparkline(query(GOOGLEFINANCE($AZ49,""price"",TODAY()-$AF$43,TODAY(),1),""select Col2 label Col2 ''""),IF($AG$43=""Gráfico de barras"",{""charttype"",""column"";""highcolor"",""red""},{""chartype"",""line""}))))"),"")</f>
        <v/>
      </c>
      <c r="AH49" s="405"/>
      <c r="AI49" s="434"/>
      <c r="AJ49" s="435" t="b">
        <v>1</v>
      </c>
      <c r="AK49" s="441"/>
      <c r="AL49" s="435" t="b">
        <v>1</v>
      </c>
      <c r="AM49" s="442"/>
      <c r="AU49" s="410">
        <v>6.0</v>
      </c>
      <c r="AV49" s="411" t="s">
        <v>136</v>
      </c>
      <c r="AW49" s="412" t="s">
        <v>186</v>
      </c>
      <c r="AX49" s="412" t="str">
        <f>"order by Col"&amp;MATCH(AW49,portfolio.!$A$3:$BO$3,0)&amp;" "&amp;IFERROR(VLOOKUP($M$41,$AV$57:$AX$58,3, FALSE),"")</f>
        <v>order by Col50 asc</v>
      </c>
      <c r="AY49" s="410">
        <v>6.0</v>
      </c>
      <c r="AZ49" s="411"/>
      <c r="BA49" s="411"/>
      <c r="BB49" s="437"/>
      <c r="BC49" s="437"/>
      <c r="BD49" s="437"/>
      <c r="BE49" s="437"/>
      <c r="BF49" s="415" t="s">
        <v>123</v>
      </c>
      <c r="BG49" s="410">
        <v>6.0</v>
      </c>
      <c r="BH49" s="416"/>
      <c r="BI49" s="416"/>
      <c r="BJ49" s="416"/>
      <c r="BK49" s="416"/>
      <c r="BL49" s="416"/>
      <c r="BM49" s="416"/>
      <c r="BN49" s="282"/>
      <c r="BO49" s="417">
        <v>6.0</v>
      </c>
      <c r="BP49" s="418"/>
      <c r="BQ49" s="411"/>
      <c r="BR49" s="419"/>
      <c r="BS49" s="418"/>
      <c r="BT49" s="411"/>
      <c r="BU49" s="411"/>
      <c r="BV49" s="411">
        <f t="shared" si="12"/>
        <v>0</v>
      </c>
      <c r="BW49" s="411" t="str">
        <f t="shared" si="13"/>
        <v/>
      </c>
      <c r="BX49" s="417">
        <v>6.0</v>
      </c>
      <c r="BY49" s="420"/>
      <c r="BZ49" s="421">
        <v>0.0</v>
      </c>
      <c r="CA49" s="421">
        <v>0.0</v>
      </c>
      <c r="CB49" s="422"/>
      <c r="CC49" s="421" t="s">
        <v>123</v>
      </c>
      <c r="CD49" s="421" t="s">
        <v>123</v>
      </c>
      <c r="CE49" s="422"/>
      <c r="CF49" s="421"/>
      <c r="CG49" s="421"/>
      <c r="CH49" s="422"/>
      <c r="CI49" s="422"/>
      <c r="CJ49" s="422"/>
      <c r="CK49" s="421"/>
      <c r="CL49" s="421" t="s">
        <v>123</v>
      </c>
      <c r="CM49" s="423"/>
      <c r="CN49" s="421"/>
      <c r="CO49" s="423"/>
      <c r="CP49" s="421"/>
      <c r="CQ49" s="63"/>
      <c r="CR49" s="358" t="s">
        <v>278</v>
      </c>
      <c r="CS49" s="359" t="s">
        <v>279</v>
      </c>
      <c r="CT49" s="63"/>
      <c r="CU49" s="360">
        <v>6.0</v>
      </c>
      <c r="CV49" s="424" t="s">
        <v>118</v>
      </c>
      <c r="CW49" s="425" t="str">
        <f>IFERROR(__xludf.DUMMYFUNCTION("IFERROR(query({$Q$20:$AL$20},""select Col""&amp;MATCH(CZ49,$Q$21:$AL$21,0)))"),"")</f>
        <v/>
      </c>
      <c r="CX49" s="425"/>
      <c r="CY49" s="424"/>
      <c r="CZ49" s="426"/>
      <c r="DA49" s="427"/>
      <c r="DB49" s="427" t="str">
        <f t="shared" si="14"/>
        <v/>
      </c>
      <c r="DC49" s="427" t="str">
        <f t="shared" si="15"/>
        <v/>
      </c>
      <c r="DD49" s="427" t="str">
        <f t="array" ref="DD49">IF(NOT($AV$8),"",IF(CZ49="","",VLOOKUP(CZ49,config.carteiras!$C$9:$D$23,2,FALSE)))</f>
        <v/>
      </c>
      <c r="DE49" s="428" t="str">
        <f t="shared" si="16"/>
        <v/>
      </c>
      <c r="DF49" s="429" t="str">
        <f t="array" ref="DF49">IF($CZ49="","",VLOOKUP($CZ49,carteiras..!$B$2:$I$16,2,FALSE))</f>
        <v/>
      </c>
      <c r="DG49" s="429" t="str">
        <f t="array" ref="DG49">IF($CZ49="","",VLOOKUP($CZ49,carteiras..!$B$2:$I$16,3,FALSE))</f>
        <v/>
      </c>
      <c r="DH49" s="429" t="str">
        <f t="array" ref="DH49">IF($CZ49="","",VLOOKUP($CZ49,carteiras..!$B$2:$I$16,4,FALSE))</f>
        <v/>
      </c>
      <c r="DI49" s="427" t="str">
        <f t="shared" si="17"/>
        <v/>
      </c>
      <c r="DJ49" s="429" t="str">
        <f t="array" ref="DJ49">IF($CZ49="","",VLOOKUP($CZ49,carteiras..!$B$2:$I$16,5,FALSE))</f>
        <v/>
      </c>
      <c r="DK49" s="429" t="str">
        <f t="array" ref="DK49">IF($CZ49="","",VLOOKUP($CZ49,carteiras..!$B$2:$I$16,6,FALSE))</f>
        <v/>
      </c>
      <c r="DL49" s="428">
        <f>IF(ConfigOn,DG49-DF49,0)</f>
        <v>0</v>
      </c>
      <c r="DM49" s="428" t="str">
        <f t="shared" si="18"/>
        <v/>
      </c>
      <c r="DN49" s="430" t="str">
        <f t="array" ref="DN49">IF($CZ49="","",VLOOKUP($CZ49,carteiras..!$B$2:$I$16,7,FALSE))</f>
        <v/>
      </c>
      <c r="DO49" s="430" t="str">
        <f t="array" ref="DO49">IF($CZ49="","",VLOOKUP($CZ49,carteiras..!$B$2:$I$16,8,FALSE))</f>
        <v/>
      </c>
      <c r="DP49" s="431">
        <v>2.0</v>
      </c>
      <c r="DQ49" s="67"/>
    </row>
    <row r="50" ht="22.5" customHeight="1">
      <c r="A50" s="383"/>
      <c r="B50" s="384" t="str">
        <f>IFERROR(__xludf.DUMMYFUNCTION("IF(B$43="""","""",IF($AZ50="""","""",IFERROR(Query({CarteirasAtivos},""Select Col3 where Col1 = '""&amp;$AZ50&amp;""'and Col2 = '""&amp;S$21&amp;""'""))))"),"")</f>
        <v/>
      </c>
      <c r="C50" s="384" t="str">
        <f>IFERROR(__xludf.DUMMYFUNCTION("IF(C$43="""","""",IF($AZ50="""","""",IFERROR(Query({CarteirasAtivos},""Select Col3 where Col1 = '""&amp;$AZ50&amp;""'and Col2 = '""&amp;T$21&amp;""'""))))"),"")</f>
        <v/>
      </c>
      <c r="D50" s="384" t="str">
        <f>IFERROR(__xludf.DUMMYFUNCTION("IF(D$43="""","""",IF($AZ50="""","""",IFERROR(Query({CarteirasAtivos},""Select Col3 where Col1 = '""&amp;$AZ50&amp;""'and Col2 = '""&amp;U$21&amp;""'""))))"),"")</f>
        <v/>
      </c>
      <c r="E50" s="384" t="str">
        <f>IFERROR(__xludf.DUMMYFUNCTION("IF(E$43="""","""",IF($AZ50="""","""",IFERROR(Query({CarteirasAtivos},""Select Col3 where Col1 = '""&amp;$AZ50&amp;""'and Col2 = '""&amp;V$21&amp;""'""))))"),"")</f>
        <v/>
      </c>
      <c r="F50" s="384" t="str">
        <f>IFERROR(__xludf.DUMMYFUNCTION("IF(F$43="""","""",IF($AZ50="""","""",IFERROR(Query({CarteirasAtivos},""Select Col3 where Col1 = '""&amp;$AZ50&amp;""'and Col2 = '""&amp;W$21&amp;""'""))))"),"")</f>
        <v/>
      </c>
      <c r="G50" s="384" t="str">
        <f>IFERROR(__xludf.DUMMYFUNCTION("IF(G$43="""","""",IF($AZ50="""","""",IFERROR(Query({CarteirasAtivos},""Select Col3 where Col1 = '""&amp;$AZ50&amp;""'and Col2 = '""&amp;X$21&amp;""'""))))"),"")</f>
        <v/>
      </c>
      <c r="H50" s="384" t="str">
        <f>IFERROR(__xludf.DUMMYFUNCTION("IF(H$43="""","""",IF($AZ50="""","""",IFERROR(Query({CarteirasAtivos},""Select Col3 where Col1 = '""&amp;$AZ50&amp;""'and Col2 = '""&amp;Y$21&amp;""'""))))"),"")</f>
        <v/>
      </c>
      <c r="I50" s="384" t="str">
        <f>IFERROR(__xludf.DUMMYFUNCTION("IF(I$43="""","""",IF($AZ50="""","""",IFERROR(Query({CarteirasAtivos},""Select Col3 where Col1 = '""&amp;$AZ50&amp;""'and Col2 = '""&amp;Z$21&amp;""'""))))"),"")</f>
        <v/>
      </c>
      <c r="J50" s="384" t="str">
        <f>IFERROR(__xludf.DUMMYFUNCTION("IF(J$43="""","""",IF($AZ50="""","""",IFERROR(Query({CarteirasAtivos},""Select Col3 where Col1 = '""&amp;$AZ50&amp;""'and Col2 = '""&amp;AA$21&amp;""'""))))"),"")</f>
        <v/>
      </c>
      <c r="K50" s="384" t="str">
        <f>IFERROR(__xludf.DUMMYFUNCTION("IF(K$43="""","""",IF($AZ50="""","""",IFERROR(Query({CarteirasAtivos},""Select Col3 where Col1 = '""&amp;$AZ50&amp;""'and Col2 = '""&amp;AB$21&amp;""'""))))"),"")</f>
        <v/>
      </c>
      <c r="L50" s="385">
        <v>7.0</v>
      </c>
      <c r="M50" s="432"/>
      <c r="N50" s="387"/>
      <c r="O50" s="388" t="s">
        <v>123</v>
      </c>
      <c r="P50" s="389"/>
      <c r="Q50" s="390"/>
      <c r="R50" s="391"/>
      <c r="S50" s="392"/>
      <c r="T50" s="393"/>
      <c r="U50" s="393"/>
      <c r="V50" s="394"/>
      <c r="W50" s="395" t="str">
        <f>IFERROR(__xludf.DUMMYFUNCTION("IF(M50="""","""",sparkline(IFERROR(BF50*100/MAX($BF$44:$BF$153),0),{""charttype"",""bar"";""max"",100;""color1"",IF(BD50&gt;=0,""#4760a5"",""red"")}))"),"")</f>
        <v/>
      </c>
      <c r="X50" s="396"/>
      <c r="Y50" s="397"/>
      <c r="Z50" s="398"/>
      <c r="AA50" s="399"/>
      <c r="AB50" s="393"/>
      <c r="AC50" s="440"/>
      <c r="AD50" s="401"/>
      <c r="AE50" s="402"/>
      <c r="AF50" s="403"/>
      <c r="AG50" s="404" t="str">
        <f>IFERROR(__xludf.DUMMYFUNCTION("IF($M50="""","""",IFERROR(sparkline(query(GOOGLEFINANCE($AZ50,""price"",TODAY()-$AF$43,TODAY(),1),""select Col2 label Col2 ''""),IF($AG$43=""Gráfico de barras"",{""charttype"",""column"";""highcolor"",""red""},{""chartype"",""line""}))))"),"")</f>
        <v/>
      </c>
      <c r="AH50" s="405"/>
      <c r="AI50" s="434"/>
      <c r="AJ50" s="435" t="b">
        <v>1</v>
      </c>
      <c r="AK50" s="441"/>
      <c r="AL50" s="435" t="b">
        <v>1</v>
      </c>
      <c r="AM50" s="442"/>
      <c r="AN50" s="319" t="s">
        <v>280</v>
      </c>
      <c r="AO50" s="320"/>
      <c r="AP50" s="320"/>
      <c r="AQ50" s="320"/>
      <c r="AU50" s="410">
        <v>7.0</v>
      </c>
      <c r="AV50" s="411" t="s">
        <v>281</v>
      </c>
      <c r="AW50" s="412" t="s">
        <v>282</v>
      </c>
      <c r="AX50" s="412" t="str">
        <f>"order by Col"&amp;MATCH(AW50,portfolio.!$A$3:$BO$3,0)&amp;" "&amp;IFERROR(VLOOKUP($M$41,$AV$57:$AX$58,3, FALSE),"")</f>
        <v>order by Col62 asc</v>
      </c>
      <c r="AY50" s="410">
        <v>7.0</v>
      </c>
      <c r="AZ50" s="411"/>
      <c r="BA50" s="411"/>
      <c r="BB50" s="437"/>
      <c r="BC50" s="437"/>
      <c r="BD50" s="437"/>
      <c r="BE50" s="437"/>
      <c r="BF50" s="415" t="s">
        <v>123</v>
      </c>
      <c r="BG50" s="410">
        <v>7.0</v>
      </c>
      <c r="BH50" s="416"/>
      <c r="BI50" s="416"/>
      <c r="BJ50" s="416"/>
      <c r="BK50" s="416"/>
      <c r="BL50" s="416"/>
      <c r="BM50" s="416"/>
      <c r="BN50" s="282"/>
      <c r="BO50" s="417">
        <v>7.0</v>
      </c>
      <c r="BP50" s="418"/>
      <c r="BQ50" s="411"/>
      <c r="BR50" s="419"/>
      <c r="BS50" s="418"/>
      <c r="BT50" s="411"/>
      <c r="BU50" s="411"/>
      <c r="BV50" s="411">
        <f t="shared" si="12"/>
        <v>0</v>
      </c>
      <c r="BW50" s="411" t="str">
        <f t="shared" si="13"/>
        <v/>
      </c>
      <c r="BX50" s="417">
        <v>7.0</v>
      </c>
      <c r="BY50" s="420"/>
      <c r="BZ50" s="421">
        <v>0.0</v>
      </c>
      <c r="CA50" s="421">
        <v>0.0</v>
      </c>
      <c r="CB50" s="422"/>
      <c r="CC50" s="421" t="s">
        <v>123</v>
      </c>
      <c r="CD50" s="421" t="s">
        <v>123</v>
      </c>
      <c r="CE50" s="422"/>
      <c r="CF50" s="421"/>
      <c r="CG50" s="421"/>
      <c r="CH50" s="422"/>
      <c r="CI50" s="422"/>
      <c r="CJ50" s="422"/>
      <c r="CK50" s="421"/>
      <c r="CL50" s="421" t="s">
        <v>123</v>
      </c>
      <c r="CM50" s="423"/>
      <c r="CN50" s="421"/>
      <c r="CO50" s="423"/>
      <c r="CP50" s="421"/>
      <c r="CQ50" s="63"/>
      <c r="CR50" s="358" t="str">
        <f>"LUCRO POR "&amp;UPPER(AD41)</f>
        <v>LUCRO POR SETOR</v>
      </c>
      <c r="CS50" s="359" t="s">
        <v>283</v>
      </c>
      <c r="CT50" s="63"/>
      <c r="CU50" s="360">
        <v>7.0</v>
      </c>
      <c r="CV50" s="424" t="s">
        <v>118</v>
      </c>
      <c r="CW50" s="425" t="str">
        <f>IFERROR(__xludf.DUMMYFUNCTION("IFERROR(query({$Q$20:$AL$20},""select Col""&amp;MATCH(CZ50,$Q$21:$AL$21,0)))"),"")</f>
        <v/>
      </c>
      <c r="CX50" s="425"/>
      <c r="CY50" s="424"/>
      <c r="CZ50" s="426"/>
      <c r="DA50" s="427"/>
      <c r="DB50" s="427" t="str">
        <f t="shared" si="14"/>
        <v/>
      </c>
      <c r="DC50" s="427" t="str">
        <f t="shared" si="15"/>
        <v/>
      </c>
      <c r="DD50" s="427" t="str">
        <f t="array" ref="DD50">IF(NOT($AV$8),"",IF(CZ50="","",VLOOKUP(CZ50,config.carteiras!$C$9:$D$23,2,FALSE)))</f>
        <v/>
      </c>
      <c r="DE50" s="428" t="str">
        <f t="shared" si="16"/>
        <v/>
      </c>
      <c r="DF50" s="429" t="str">
        <f t="array" ref="DF50">IF($CZ50="","",VLOOKUP($CZ50,carteiras..!$B$2:$I$16,2,FALSE))</f>
        <v/>
      </c>
      <c r="DG50" s="429" t="str">
        <f t="array" ref="DG50">IF($CZ50="","",VLOOKUP($CZ50,carteiras..!$B$2:$I$16,3,FALSE))</f>
        <v/>
      </c>
      <c r="DH50" s="429" t="str">
        <f t="array" ref="DH50">IF($CZ50="","",VLOOKUP($CZ50,carteiras..!$B$2:$I$16,4,FALSE))</f>
        <v/>
      </c>
      <c r="DI50" s="427" t="str">
        <f t="shared" si="17"/>
        <v/>
      </c>
      <c r="DJ50" s="429" t="str">
        <f t="array" ref="DJ50">IF($CZ50="","",VLOOKUP($CZ50,carteiras..!$B$2:$I$16,5,FALSE))</f>
        <v/>
      </c>
      <c r="DK50" s="429" t="str">
        <f t="array" ref="DK50">IF($CZ50="","",VLOOKUP($CZ50,carteiras..!$B$2:$I$16,6,FALSE))</f>
        <v/>
      </c>
      <c r="DL50" s="428">
        <f>IF(ConfigOn,DG50-DF50,0)</f>
        <v>0</v>
      </c>
      <c r="DM50" s="428" t="str">
        <f t="shared" si="18"/>
        <v/>
      </c>
      <c r="DN50" s="430" t="str">
        <f t="array" ref="DN50">IF($CZ50="","",VLOOKUP($CZ50,carteiras..!$B$2:$I$16,7,FALSE))</f>
        <v/>
      </c>
      <c r="DO50" s="430" t="str">
        <f t="array" ref="DO50">IF($CZ50="","",VLOOKUP($CZ50,carteiras..!$B$2:$I$16,8,FALSE))</f>
        <v/>
      </c>
      <c r="DP50" s="431">
        <v>2.0</v>
      </c>
      <c r="DQ50" s="67"/>
    </row>
    <row r="51" ht="22.5" customHeight="1">
      <c r="A51" s="383"/>
      <c r="B51" s="384" t="str">
        <f>IFERROR(__xludf.DUMMYFUNCTION("IF(B$43="""","""",IF($AZ51="""","""",IFERROR(Query({CarteirasAtivos},""Select Col3 where Col1 = '""&amp;$AZ51&amp;""'and Col2 = '""&amp;S$21&amp;""'""))))"),"")</f>
        <v/>
      </c>
      <c r="C51" s="384" t="str">
        <f>IFERROR(__xludf.DUMMYFUNCTION("IF(C$43="""","""",IF($AZ51="""","""",IFERROR(Query({CarteirasAtivos},""Select Col3 where Col1 = '""&amp;$AZ51&amp;""'and Col2 = '""&amp;T$21&amp;""'""))))"),"")</f>
        <v/>
      </c>
      <c r="D51" s="384" t="str">
        <f>IFERROR(__xludf.DUMMYFUNCTION("IF(D$43="""","""",IF($AZ51="""","""",IFERROR(Query({CarteirasAtivos},""Select Col3 where Col1 = '""&amp;$AZ51&amp;""'and Col2 = '""&amp;U$21&amp;""'""))))"),"")</f>
        <v/>
      </c>
      <c r="E51" s="384" t="str">
        <f>IFERROR(__xludf.DUMMYFUNCTION("IF(E$43="""","""",IF($AZ51="""","""",IFERROR(Query({CarteirasAtivos},""Select Col3 where Col1 = '""&amp;$AZ51&amp;""'and Col2 = '""&amp;V$21&amp;""'""))))"),"")</f>
        <v/>
      </c>
      <c r="F51" s="384" t="str">
        <f>IFERROR(__xludf.DUMMYFUNCTION("IF(F$43="""","""",IF($AZ51="""","""",IFERROR(Query({CarteirasAtivos},""Select Col3 where Col1 = '""&amp;$AZ51&amp;""'and Col2 = '""&amp;W$21&amp;""'""))))"),"")</f>
        <v/>
      </c>
      <c r="G51" s="384" t="str">
        <f>IFERROR(__xludf.DUMMYFUNCTION("IF(G$43="""","""",IF($AZ51="""","""",IFERROR(Query({CarteirasAtivos},""Select Col3 where Col1 = '""&amp;$AZ51&amp;""'and Col2 = '""&amp;X$21&amp;""'""))))"),"")</f>
        <v/>
      </c>
      <c r="H51" s="384" t="str">
        <f>IFERROR(__xludf.DUMMYFUNCTION("IF(H$43="""","""",IF($AZ51="""","""",IFERROR(Query({CarteirasAtivos},""Select Col3 where Col1 = '""&amp;$AZ51&amp;""'and Col2 = '""&amp;Y$21&amp;""'""))))"),"")</f>
        <v/>
      </c>
      <c r="I51" s="384" t="str">
        <f>IFERROR(__xludf.DUMMYFUNCTION("IF(I$43="""","""",IF($AZ51="""","""",IFERROR(Query({CarteirasAtivos},""Select Col3 where Col1 = '""&amp;$AZ51&amp;""'and Col2 = '""&amp;Z$21&amp;""'""))))"),"")</f>
        <v/>
      </c>
      <c r="J51" s="384" t="str">
        <f>IFERROR(__xludf.DUMMYFUNCTION("IF(J$43="""","""",IF($AZ51="""","""",IFERROR(Query({CarteirasAtivos},""Select Col3 where Col1 = '""&amp;$AZ51&amp;""'and Col2 = '""&amp;AA$21&amp;""'""))))"),"")</f>
        <v/>
      </c>
      <c r="K51" s="384" t="str">
        <f>IFERROR(__xludf.DUMMYFUNCTION("IF(K$43="""","""",IF($AZ51="""","""",IFERROR(Query({CarteirasAtivos},""Select Col3 where Col1 = '""&amp;$AZ51&amp;""'and Col2 = '""&amp;AB$21&amp;""'""))))"),"")</f>
        <v/>
      </c>
      <c r="L51" s="385">
        <v>8.0</v>
      </c>
      <c r="M51" s="432"/>
      <c r="N51" s="387"/>
      <c r="O51" s="388" t="s">
        <v>123</v>
      </c>
      <c r="P51" s="389"/>
      <c r="Q51" s="390"/>
      <c r="R51" s="391"/>
      <c r="S51" s="392"/>
      <c r="T51" s="393"/>
      <c r="U51" s="393"/>
      <c r="V51" s="394"/>
      <c r="W51" s="395" t="str">
        <f>IFERROR(__xludf.DUMMYFUNCTION("IF(M51="""","""",sparkline(IFERROR(BF51*100/MAX($BF$44:$BF$153),0),{""charttype"",""bar"";""max"",100;""color1"",IF(BD51&gt;=0,""#4760a5"",""red"")}))"),"")</f>
        <v/>
      </c>
      <c r="X51" s="396"/>
      <c r="Y51" s="397"/>
      <c r="Z51" s="398"/>
      <c r="AA51" s="399"/>
      <c r="AB51" s="393"/>
      <c r="AC51" s="440"/>
      <c r="AD51" s="401"/>
      <c r="AE51" s="402"/>
      <c r="AF51" s="403"/>
      <c r="AG51" s="404" t="str">
        <f>IFERROR(__xludf.DUMMYFUNCTION("IF($M51="""","""",IFERROR(sparkline(query(GOOGLEFINANCE($AZ51,""price"",TODAY()-$AF$43,TODAY(),1),""select Col2 label Col2 ''""),IF($AG$43=""Gráfico de barras"",{""charttype"",""column"";""highcolor"",""red""},{""chartype"",""line""}))))"),"")</f>
        <v/>
      </c>
      <c r="AH51" s="405"/>
      <c r="AI51" s="434"/>
      <c r="AJ51" s="435" t="b">
        <v>1</v>
      </c>
      <c r="AK51" s="441"/>
      <c r="AL51" s="435" t="b">
        <v>1</v>
      </c>
      <c r="AM51" s="442"/>
      <c r="AU51" s="410">
        <v>8.0</v>
      </c>
      <c r="AV51" s="411" t="s">
        <v>284</v>
      </c>
      <c r="AW51" s="412" t="s">
        <v>285</v>
      </c>
      <c r="AX51" s="412" t="str">
        <f>"order by Col"&amp;MATCH(AW51,portfolio.!$A$3:$BO$3,0)&amp;" "&amp;IFERROR(VLOOKUP($M$41,$AV$57:$AX$58,3, FALSE),"")</f>
        <v>order by Col37 asc</v>
      </c>
      <c r="AY51" s="410">
        <v>8.0</v>
      </c>
      <c r="AZ51" s="411"/>
      <c r="BA51" s="411"/>
      <c r="BB51" s="437"/>
      <c r="BC51" s="437"/>
      <c r="BD51" s="437"/>
      <c r="BE51" s="437"/>
      <c r="BF51" s="415" t="s">
        <v>123</v>
      </c>
      <c r="BG51" s="410">
        <v>8.0</v>
      </c>
      <c r="BH51" s="416"/>
      <c r="BI51" s="416"/>
      <c r="BJ51" s="416"/>
      <c r="BK51" s="416"/>
      <c r="BL51" s="416"/>
      <c r="BM51" s="416"/>
      <c r="BN51" s="282"/>
      <c r="BO51" s="417">
        <v>8.0</v>
      </c>
      <c r="BP51" s="418"/>
      <c r="BQ51" s="411"/>
      <c r="BR51" s="419"/>
      <c r="BS51" s="418"/>
      <c r="BT51" s="411"/>
      <c r="BU51" s="411"/>
      <c r="BV51" s="411">
        <f t="shared" si="12"/>
        <v>0</v>
      </c>
      <c r="BW51" s="411" t="str">
        <f t="shared" si="13"/>
        <v/>
      </c>
      <c r="BX51" s="417">
        <v>8.0</v>
      </c>
      <c r="BY51" s="420"/>
      <c r="BZ51" s="421">
        <v>0.0</v>
      </c>
      <c r="CA51" s="421">
        <v>0.0</v>
      </c>
      <c r="CB51" s="422"/>
      <c r="CC51" s="421" t="s">
        <v>123</v>
      </c>
      <c r="CD51" s="421" t="s">
        <v>123</v>
      </c>
      <c r="CE51" s="422"/>
      <c r="CF51" s="421"/>
      <c r="CG51" s="421"/>
      <c r="CH51" s="422"/>
      <c r="CI51" s="422"/>
      <c r="CJ51" s="422"/>
      <c r="CK51" s="421"/>
      <c r="CL51" s="421" t="s">
        <v>123</v>
      </c>
      <c r="CM51" s="423"/>
      <c r="CN51" s="421"/>
      <c r="CO51" s="423"/>
      <c r="CP51" s="421"/>
      <c r="CQ51" s="63"/>
      <c r="CR51" s="358" t="s">
        <v>286</v>
      </c>
      <c r="CS51" s="359" t="s">
        <v>287</v>
      </c>
      <c r="CT51" s="63"/>
      <c r="CU51" s="360">
        <v>8.0</v>
      </c>
      <c r="CV51" s="424" t="s">
        <v>118</v>
      </c>
      <c r="CW51" s="425" t="str">
        <f>IFERROR(__xludf.DUMMYFUNCTION("IFERROR(query({$Q$20:$AL$20},""select Col""&amp;MATCH(CZ51,$Q$21:$AL$21,0)))"),"")</f>
        <v/>
      </c>
      <c r="CX51" s="425"/>
      <c r="CY51" s="424"/>
      <c r="CZ51" s="426"/>
      <c r="DA51" s="427"/>
      <c r="DB51" s="427" t="str">
        <f t="shared" si="14"/>
        <v/>
      </c>
      <c r="DC51" s="427" t="str">
        <f t="shared" si="15"/>
        <v/>
      </c>
      <c r="DD51" s="427" t="str">
        <f t="array" ref="DD51">IF(NOT($AV$8),"",IF(CZ51="","",VLOOKUP(CZ51,config.carteiras!$C$9:$D$23,2,FALSE)))</f>
        <v/>
      </c>
      <c r="DE51" s="428" t="str">
        <f t="shared" si="16"/>
        <v/>
      </c>
      <c r="DF51" s="429" t="str">
        <f t="array" ref="DF51">IF($CZ51="","",VLOOKUP($CZ51,carteiras..!$B$2:$I$16,2,FALSE))</f>
        <v/>
      </c>
      <c r="DG51" s="429" t="str">
        <f t="array" ref="DG51">IF($CZ51="","",VLOOKUP($CZ51,carteiras..!$B$2:$I$16,3,FALSE))</f>
        <v/>
      </c>
      <c r="DH51" s="429" t="str">
        <f t="array" ref="DH51">IF($CZ51="","",VLOOKUP($CZ51,carteiras..!$B$2:$I$16,4,FALSE))</f>
        <v/>
      </c>
      <c r="DI51" s="427" t="str">
        <f t="shared" si="17"/>
        <v/>
      </c>
      <c r="DJ51" s="429" t="str">
        <f t="array" ref="DJ51">IF($CZ51="","",VLOOKUP($CZ51,carteiras..!$B$2:$I$16,5,FALSE))</f>
        <v/>
      </c>
      <c r="DK51" s="429" t="str">
        <f t="array" ref="DK51">IF($CZ51="","",VLOOKUP($CZ51,carteiras..!$B$2:$I$16,6,FALSE))</f>
        <v/>
      </c>
      <c r="DL51" s="428">
        <f>IF(ConfigOn,DG51-DF51,0)</f>
        <v>0</v>
      </c>
      <c r="DM51" s="428" t="str">
        <f t="shared" si="18"/>
        <v/>
      </c>
      <c r="DN51" s="430" t="str">
        <f t="array" ref="DN51">IF($CZ51="","",VLOOKUP($CZ51,carteiras..!$B$2:$I$16,7,FALSE))</f>
        <v/>
      </c>
      <c r="DO51" s="430" t="str">
        <f t="array" ref="DO51">IF($CZ51="","",VLOOKUP($CZ51,carteiras..!$B$2:$I$16,8,FALSE))</f>
        <v/>
      </c>
      <c r="DP51" s="431">
        <v>2.0</v>
      </c>
      <c r="DQ51" s="67"/>
    </row>
    <row r="52" ht="22.5" customHeight="1">
      <c r="A52" s="383"/>
      <c r="B52" s="384" t="str">
        <f>IFERROR(__xludf.DUMMYFUNCTION("IF(B$43="""","""",IF($AZ52="""","""",IFERROR(Query({CarteirasAtivos},""Select Col3 where Col1 = '""&amp;$AZ52&amp;""'and Col2 = '""&amp;S$21&amp;""'""))))"),"")</f>
        <v/>
      </c>
      <c r="C52" s="384" t="str">
        <f>IFERROR(__xludf.DUMMYFUNCTION("IF(C$43="""","""",IF($AZ52="""","""",IFERROR(Query({CarteirasAtivos},""Select Col3 where Col1 = '""&amp;$AZ52&amp;""'and Col2 = '""&amp;T$21&amp;""'""))))"),"")</f>
        <v/>
      </c>
      <c r="D52" s="384" t="str">
        <f>IFERROR(__xludf.DUMMYFUNCTION("IF(D$43="""","""",IF($AZ52="""","""",IFERROR(Query({CarteirasAtivos},""Select Col3 where Col1 = '""&amp;$AZ52&amp;""'and Col2 = '""&amp;U$21&amp;""'""))))"),"")</f>
        <v/>
      </c>
      <c r="E52" s="384" t="str">
        <f>IFERROR(__xludf.DUMMYFUNCTION("IF(E$43="""","""",IF($AZ52="""","""",IFERROR(Query({CarteirasAtivos},""Select Col3 where Col1 = '""&amp;$AZ52&amp;""'and Col2 = '""&amp;V$21&amp;""'""))))"),"")</f>
        <v/>
      </c>
      <c r="F52" s="384" t="str">
        <f>IFERROR(__xludf.DUMMYFUNCTION("IF(F$43="""","""",IF($AZ52="""","""",IFERROR(Query({CarteirasAtivos},""Select Col3 where Col1 = '""&amp;$AZ52&amp;""'and Col2 = '""&amp;W$21&amp;""'""))))"),"")</f>
        <v/>
      </c>
      <c r="G52" s="384" t="str">
        <f>IFERROR(__xludf.DUMMYFUNCTION("IF(G$43="""","""",IF($AZ52="""","""",IFERROR(Query({CarteirasAtivos},""Select Col3 where Col1 = '""&amp;$AZ52&amp;""'and Col2 = '""&amp;X$21&amp;""'""))))"),"")</f>
        <v/>
      </c>
      <c r="H52" s="384" t="str">
        <f>IFERROR(__xludf.DUMMYFUNCTION("IF(H$43="""","""",IF($AZ52="""","""",IFERROR(Query({CarteirasAtivos},""Select Col3 where Col1 = '""&amp;$AZ52&amp;""'and Col2 = '""&amp;Y$21&amp;""'""))))"),"")</f>
        <v/>
      </c>
      <c r="I52" s="384" t="str">
        <f>IFERROR(__xludf.DUMMYFUNCTION("IF(I$43="""","""",IF($AZ52="""","""",IFERROR(Query({CarteirasAtivos},""Select Col3 where Col1 = '""&amp;$AZ52&amp;""'and Col2 = '""&amp;Z$21&amp;""'""))))"),"")</f>
        <v/>
      </c>
      <c r="J52" s="384" t="str">
        <f>IFERROR(__xludf.DUMMYFUNCTION("IF(J$43="""","""",IF($AZ52="""","""",IFERROR(Query({CarteirasAtivos},""Select Col3 where Col1 = '""&amp;$AZ52&amp;""'and Col2 = '""&amp;AA$21&amp;""'""))))"),"")</f>
        <v/>
      </c>
      <c r="K52" s="384" t="str">
        <f>IFERROR(__xludf.DUMMYFUNCTION("IF(K$43="""","""",IF($AZ52="""","""",IFERROR(Query({CarteirasAtivos},""Select Col3 where Col1 = '""&amp;$AZ52&amp;""'and Col2 = '""&amp;AB$21&amp;""'""))))"),"")</f>
        <v/>
      </c>
      <c r="L52" s="385">
        <v>9.0</v>
      </c>
      <c r="M52" s="432"/>
      <c r="N52" s="387"/>
      <c r="O52" s="388" t="s">
        <v>123</v>
      </c>
      <c r="P52" s="389"/>
      <c r="Q52" s="390"/>
      <c r="R52" s="391"/>
      <c r="S52" s="392"/>
      <c r="T52" s="393"/>
      <c r="U52" s="393"/>
      <c r="V52" s="394"/>
      <c r="W52" s="395" t="str">
        <f>IFERROR(__xludf.DUMMYFUNCTION("IF(M52="""","""",sparkline(IFERROR(BF52*100/MAX($BF$44:$BF$153),0),{""charttype"",""bar"";""max"",100;""color1"",IF(BD52&gt;=0,""#4760a5"",""red"")}))"),"")</f>
        <v/>
      </c>
      <c r="X52" s="396"/>
      <c r="Y52" s="397"/>
      <c r="Z52" s="398"/>
      <c r="AA52" s="399"/>
      <c r="AB52" s="393"/>
      <c r="AC52" s="440"/>
      <c r="AD52" s="401"/>
      <c r="AE52" s="402"/>
      <c r="AF52" s="403"/>
      <c r="AG52" s="404" t="str">
        <f>IFERROR(__xludf.DUMMYFUNCTION("IF($M52="""","""",IFERROR(sparkline(query(GOOGLEFINANCE($AZ52,""price"",TODAY()-$AF$43,TODAY(),1),""select Col2 label Col2 ''""),IF($AG$43=""Gráfico de barras"",{""charttype"",""column"";""highcolor"",""red""},{""chartype"",""line""}))))"),"")</f>
        <v/>
      </c>
      <c r="AH52" s="405"/>
      <c r="AI52" s="434"/>
      <c r="AJ52" s="435" t="b">
        <v>1</v>
      </c>
      <c r="AK52" s="441"/>
      <c r="AL52" s="435" t="b">
        <v>1</v>
      </c>
      <c r="AU52" s="410">
        <v>9.0</v>
      </c>
      <c r="AV52" s="411" t="s">
        <v>131</v>
      </c>
      <c r="AW52" s="412" t="s">
        <v>160</v>
      </c>
      <c r="AX52" s="412" t="str">
        <f>"order by Col"&amp;MATCH(AW52,portfolio.!$A$3:$BO$3,0)&amp;" "&amp;IFERROR(VLOOKUP($M$41,$AV$57:$AX$58,3, FALSE),"")</f>
        <v>order by Col15 asc</v>
      </c>
      <c r="AY52" s="410">
        <v>9.0</v>
      </c>
      <c r="AZ52" s="411"/>
      <c r="BA52" s="411"/>
      <c r="BB52" s="437"/>
      <c r="BC52" s="437"/>
      <c r="BD52" s="437"/>
      <c r="BE52" s="437"/>
      <c r="BF52" s="415" t="s">
        <v>123</v>
      </c>
      <c r="BG52" s="410">
        <v>9.0</v>
      </c>
      <c r="BH52" s="416"/>
      <c r="BI52" s="416"/>
      <c r="BJ52" s="416"/>
      <c r="BK52" s="416"/>
      <c r="BL52" s="416"/>
      <c r="BM52" s="416"/>
      <c r="BN52" s="282"/>
      <c r="BO52" s="417">
        <v>9.0</v>
      </c>
      <c r="BP52" s="418"/>
      <c r="BQ52" s="411"/>
      <c r="BR52" s="419"/>
      <c r="BS52" s="418"/>
      <c r="BT52" s="411"/>
      <c r="BU52" s="419"/>
      <c r="BV52" s="411">
        <f t="shared" si="12"/>
        <v>0</v>
      </c>
      <c r="BW52" s="411" t="str">
        <f t="shared" si="13"/>
        <v/>
      </c>
      <c r="BX52" s="417">
        <v>9.0</v>
      </c>
      <c r="BY52" s="420"/>
      <c r="BZ52" s="421">
        <v>0.0</v>
      </c>
      <c r="CA52" s="421">
        <v>0.0</v>
      </c>
      <c r="CB52" s="422"/>
      <c r="CC52" s="421" t="s">
        <v>123</v>
      </c>
      <c r="CD52" s="421" t="s">
        <v>123</v>
      </c>
      <c r="CE52" s="422"/>
      <c r="CF52" s="421"/>
      <c r="CG52" s="421"/>
      <c r="CH52" s="422"/>
      <c r="CI52" s="422"/>
      <c r="CJ52" s="422"/>
      <c r="CK52" s="421"/>
      <c r="CL52" s="421" t="s">
        <v>123</v>
      </c>
      <c r="CM52" s="423"/>
      <c r="CN52" s="421"/>
      <c r="CO52" s="423"/>
      <c r="CP52" s="421"/>
      <c r="CQ52" s="63"/>
      <c r="CR52" s="358" t="str">
        <f>if(AV7,"LUCRO POR BOOK","")</f>
        <v/>
      </c>
      <c r="CS52" s="359" t="s">
        <v>288</v>
      </c>
      <c r="CT52" s="63"/>
      <c r="CU52" s="360">
        <v>9.0</v>
      </c>
      <c r="CV52" s="424" t="s">
        <v>118</v>
      </c>
      <c r="CW52" s="425" t="str">
        <f>IFERROR(__xludf.DUMMYFUNCTION("IFERROR(query({$Q$20:$AL$20},""select Col""&amp;MATCH(CZ52,$Q$21:$AL$21,0)))"),"")</f>
        <v/>
      </c>
      <c r="CX52" s="425"/>
      <c r="CY52" s="424"/>
      <c r="CZ52" s="426"/>
      <c r="DA52" s="427"/>
      <c r="DB52" s="427" t="str">
        <f t="shared" si="14"/>
        <v/>
      </c>
      <c r="DC52" s="427" t="str">
        <f t="shared" si="15"/>
        <v/>
      </c>
      <c r="DD52" s="427" t="str">
        <f t="array" ref="DD52">IF(NOT($AV$8),"",IF(CZ52="","",VLOOKUP(CZ52,config.carteiras!$C$9:$D$23,2,FALSE)))</f>
        <v/>
      </c>
      <c r="DE52" s="428" t="str">
        <f t="shared" si="16"/>
        <v/>
      </c>
      <c r="DF52" s="429" t="str">
        <f t="array" ref="DF52">IF($CZ52="","",VLOOKUP($CZ52,carteiras..!$B$2:$I$16,2,FALSE))</f>
        <v/>
      </c>
      <c r="DG52" s="429" t="str">
        <f t="array" ref="DG52">IF($CZ52="","",VLOOKUP($CZ52,carteiras..!$B$2:$I$16,3,FALSE))</f>
        <v/>
      </c>
      <c r="DH52" s="429" t="str">
        <f t="array" ref="DH52">IF($CZ52="","",VLOOKUP($CZ52,carteiras..!$B$2:$I$16,4,FALSE))</f>
        <v/>
      </c>
      <c r="DI52" s="427" t="str">
        <f t="shared" si="17"/>
        <v/>
      </c>
      <c r="DJ52" s="429" t="str">
        <f t="array" ref="DJ52">IF($CZ52="","",VLOOKUP($CZ52,carteiras..!$B$2:$I$16,5,FALSE))</f>
        <v/>
      </c>
      <c r="DK52" s="429" t="str">
        <f t="array" ref="DK52">IF($CZ52="","",VLOOKUP($CZ52,carteiras..!$B$2:$I$16,6,FALSE))</f>
        <v/>
      </c>
      <c r="DL52" s="428">
        <f>IF(ConfigOn,DG52-DF52,0)</f>
        <v>0</v>
      </c>
      <c r="DM52" s="428" t="str">
        <f t="shared" si="18"/>
        <v/>
      </c>
      <c r="DN52" s="430" t="str">
        <f t="array" ref="DN52">IF($CZ52="","",VLOOKUP($CZ52,carteiras..!$B$2:$I$16,7,FALSE))</f>
        <v/>
      </c>
      <c r="DO52" s="430" t="str">
        <f t="array" ref="DO52">IF($CZ52="","",VLOOKUP($CZ52,carteiras..!$B$2:$I$16,8,FALSE))</f>
        <v/>
      </c>
      <c r="DP52" s="431">
        <v>2.0</v>
      </c>
      <c r="DQ52" s="67"/>
    </row>
    <row r="53" ht="22.5" customHeight="1">
      <c r="A53" s="383"/>
      <c r="B53" s="384" t="str">
        <f>IFERROR(__xludf.DUMMYFUNCTION("IF(B$43="""","""",IF($AZ53="""","""",IFERROR(Query({CarteirasAtivos},""Select Col3 where Col1 = '""&amp;$AZ53&amp;""'and Col2 = '""&amp;S$21&amp;""'""))))"),"")</f>
        <v/>
      </c>
      <c r="C53" s="384" t="str">
        <f>IFERROR(__xludf.DUMMYFUNCTION("IF(C$43="""","""",IF($AZ53="""","""",IFERROR(Query({CarteirasAtivos},""Select Col3 where Col1 = '""&amp;$AZ53&amp;""'and Col2 = '""&amp;T$21&amp;""'""))))"),"")</f>
        <v/>
      </c>
      <c r="D53" s="384" t="str">
        <f>IFERROR(__xludf.DUMMYFUNCTION("IF(D$43="""","""",IF($AZ53="""","""",IFERROR(Query({CarteirasAtivos},""Select Col3 where Col1 = '""&amp;$AZ53&amp;""'and Col2 = '""&amp;U$21&amp;""'""))))"),"")</f>
        <v/>
      </c>
      <c r="E53" s="384" t="str">
        <f>IFERROR(__xludf.DUMMYFUNCTION("IF(E$43="""","""",IF($AZ53="""","""",IFERROR(Query({CarteirasAtivos},""Select Col3 where Col1 = '""&amp;$AZ53&amp;""'and Col2 = '""&amp;V$21&amp;""'""))))"),"")</f>
        <v/>
      </c>
      <c r="F53" s="384" t="str">
        <f>IFERROR(__xludf.DUMMYFUNCTION("IF(F$43="""","""",IF($AZ53="""","""",IFERROR(Query({CarteirasAtivos},""Select Col3 where Col1 = '""&amp;$AZ53&amp;""'and Col2 = '""&amp;W$21&amp;""'""))))"),"")</f>
        <v/>
      </c>
      <c r="G53" s="384" t="str">
        <f>IFERROR(__xludf.DUMMYFUNCTION("IF(G$43="""","""",IF($AZ53="""","""",IFERROR(Query({CarteirasAtivos},""Select Col3 where Col1 = '""&amp;$AZ53&amp;""'and Col2 = '""&amp;X$21&amp;""'""))))"),"")</f>
        <v/>
      </c>
      <c r="H53" s="384" t="str">
        <f>IFERROR(__xludf.DUMMYFUNCTION("IF(H$43="""","""",IF($AZ53="""","""",IFERROR(Query({CarteirasAtivos},""Select Col3 where Col1 = '""&amp;$AZ53&amp;""'and Col2 = '""&amp;Y$21&amp;""'""))))"),"")</f>
        <v/>
      </c>
      <c r="I53" s="384" t="str">
        <f>IFERROR(__xludf.DUMMYFUNCTION("IF(I$43="""","""",IF($AZ53="""","""",IFERROR(Query({CarteirasAtivos},""Select Col3 where Col1 = '""&amp;$AZ53&amp;""'and Col2 = '""&amp;Z$21&amp;""'""))))"),"")</f>
        <v/>
      </c>
      <c r="J53" s="384" t="str">
        <f>IFERROR(__xludf.DUMMYFUNCTION("IF(J$43="""","""",IF($AZ53="""","""",IFERROR(Query({CarteirasAtivos},""Select Col3 where Col1 = '""&amp;$AZ53&amp;""'and Col2 = '""&amp;AA$21&amp;""'""))))"),"")</f>
        <v/>
      </c>
      <c r="K53" s="384" t="str">
        <f>IFERROR(__xludf.DUMMYFUNCTION("IF(K$43="""","""",IF($AZ53="""","""",IFERROR(Query({CarteirasAtivos},""Select Col3 where Col1 = '""&amp;$AZ53&amp;""'and Col2 = '""&amp;AB$21&amp;""'""))))"),"")</f>
        <v/>
      </c>
      <c r="L53" s="385">
        <v>10.0</v>
      </c>
      <c r="M53" s="432"/>
      <c r="N53" s="387"/>
      <c r="O53" s="388" t="s">
        <v>123</v>
      </c>
      <c r="P53" s="389"/>
      <c r="Q53" s="390"/>
      <c r="R53" s="391"/>
      <c r="S53" s="392"/>
      <c r="T53" s="393"/>
      <c r="U53" s="393"/>
      <c r="V53" s="394"/>
      <c r="W53" s="395" t="str">
        <f>IFERROR(__xludf.DUMMYFUNCTION("IF(M53="""","""",sparkline(IFERROR(BF53*100/MAX($BF$44:$BF$153),0),{""charttype"",""bar"";""max"",100;""color1"",IF(BD53&gt;=0,""#4760a5"",""red"")}))"),"")</f>
        <v/>
      </c>
      <c r="X53" s="396"/>
      <c r="Y53" s="397"/>
      <c r="Z53" s="398"/>
      <c r="AA53" s="399"/>
      <c r="AB53" s="393"/>
      <c r="AC53" s="440"/>
      <c r="AD53" s="401"/>
      <c r="AE53" s="402"/>
      <c r="AF53" s="403"/>
      <c r="AG53" s="404" t="str">
        <f>IFERROR(__xludf.DUMMYFUNCTION("IF($M53="""","""",IFERROR(sparkline(query(GOOGLEFINANCE($AZ53,""price"",TODAY()-$AF$43,TODAY(),1),""select Col2 label Col2 ''""),IF($AG$43=""Gráfico de barras"",{""charttype"",""column"";""highcolor"",""red""},{""chartype"",""line""}))))"),"")</f>
        <v/>
      </c>
      <c r="AH53" s="405"/>
      <c r="AI53" s="434"/>
      <c r="AJ53" s="435" t="b">
        <v>1</v>
      </c>
      <c r="AK53" s="441"/>
      <c r="AL53" s="435" t="b">
        <v>1</v>
      </c>
      <c r="AM53" s="56"/>
      <c r="AU53" s="410">
        <v>10.0</v>
      </c>
      <c r="AV53" s="411" t="s">
        <v>289</v>
      </c>
      <c r="AW53" s="419" t="s">
        <v>161</v>
      </c>
      <c r="AX53" s="412" t="str">
        <f>"order by Col"&amp;MATCH(AW53,portfolio.!$A$3:$BO$3,0)&amp;" "&amp;IFERROR(VLOOKUP($M$41,$AV$57:$AX$58,3, FALSE),"")</f>
        <v>order by Col40 asc</v>
      </c>
      <c r="AY53" s="410">
        <v>10.0</v>
      </c>
      <c r="AZ53" s="411"/>
      <c r="BA53" s="411"/>
      <c r="BB53" s="437"/>
      <c r="BC53" s="437"/>
      <c r="BD53" s="437"/>
      <c r="BE53" s="437"/>
      <c r="BF53" s="415" t="s">
        <v>123</v>
      </c>
      <c r="BG53" s="410">
        <v>10.0</v>
      </c>
      <c r="BH53" s="416"/>
      <c r="BI53" s="416"/>
      <c r="BJ53" s="416"/>
      <c r="BK53" s="416"/>
      <c r="BL53" s="416"/>
      <c r="BM53" s="416"/>
      <c r="BN53" s="282"/>
      <c r="BO53" s="417">
        <v>10.0</v>
      </c>
      <c r="BP53" s="418"/>
      <c r="BQ53" s="411"/>
      <c r="BR53" s="419"/>
      <c r="BS53" s="418"/>
      <c r="BT53" s="411"/>
      <c r="BU53" s="419"/>
      <c r="BV53" s="411">
        <f t="shared" si="12"/>
        <v>0</v>
      </c>
      <c r="BW53" s="411" t="str">
        <f t="shared" si="13"/>
        <v/>
      </c>
      <c r="BX53" s="417">
        <v>10.0</v>
      </c>
      <c r="BY53" s="420"/>
      <c r="BZ53" s="421">
        <v>0.0</v>
      </c>
      <c r="CA53" s="421">
        <v>0.0</v>
      </c>
      <c r="CB53" s="422"/>
      <c r="CC53" s="421" t="s">
        <v>123</v>
      </c>
      <c r="CD53" s="421" t="s">
        <v>123</v>
      </c>
      <c r="CE53" s="422"/>
      <c r="CF53" s="421"/>
      <c r="CG53" s="421"/>
      <c r="CH53" s="422"/>
      <c r="CI53" s="422"/>
      <c r="CJ53" s="422"/>
      <c r="CK53" s="421"/>
      <c r="CL53" s="421" t="s">
        <v>123</v>
      </c>
      <c r="CM53" s="423"/>
      <c r="CN53" s="421"/>
      <c r="CO53" s="423"/>
      <c r="CP53" s="421"/>
      <c r="CQ53" s="63"/>
      <c r="CR53" s="358" t="str">
        <f>IF(AV8,"LUCRO POR CARTEIRA","")</f>
        <v/>
      </c>
      <c r="CS53" s="359" t="s">
        <v>290</v>
      </c>
      <c r="CT53" s="63"/>
      <c r="CU53" s="360">
        <v>10.0</v>
      </c>
      <c r="CV53" s="424" t="s">
        <v>118</v>
      </c>
      <c r="CW53" s="425" t="str">
        <f>IFERROR(__xludf.DUMMYFUNCTION("IFERROR(query({$Q$20:$AL$20},""select Col""&amp;MATCH(CZ53,$Q$21:$AL$21,0)))"),"")</f>
        <v/>
      </c>
      <c r="CX53" s="425"/>
      <c r="CY53" s="424"/>
      <c r="CZ53" s="426"/>
      <c r="DA53" s="427"/>
      <c r="DB53" s="427" t="str">
        <f t="shared" si="14"/>
        <v/>
      </c>
      <c r="DC53" s="427" t="str">
        <f t="shared" si="15"/>
        <v/>
      </c>
      <c r="DD53" s="427" t="str">
        <f t="array" ref="DD53">IF(NOT($AV$8),"",IF(CZ53="","",VLOOKUP(CZ53,config.carteiras!$C$9:$D$23,2,FALSE)))</f>
        <v/>
      </c>
      <c r="DE53" s="428" t="str">
        <f t="shared" si="16"/>
        <v/>
      </c>
      <c r="DF53" s="429" t="str">
        <f t="array" ref="DF53">IF($CZ53="","",VLOOKUP($CZ53,carteiras..!$B$2:$I$16,2,FALSE))</f>
        <v/>
      </c>
      <c r="DG53" s="429" t="str">
        <f t="array" ref="DG53">IF($CZ53="","",VLOOKUP($CZ53,carteiras..!$B$2:$I$16,3,FALSE))</f>
        <v/>
      </c>
      <c r="DH53" s="429" t="str">
        <f t="array" ref="DH53">IF($CZ53="","",VLOOKUP($CZ53,carteiras..!$B$2:$I$16,4,FALSE))</f>
        <v/>
      </c>
      <c r="DI53" s="427" t="str">
        <f t="shared" si="17"/>
        <v/>
      </c>
      <c r="DJ53" s="429" t="str">
        <f t="array" ref="DJ53">IF($CZ53="","",VLOOKUP($CZ53,carteiras..!$B$2:$I$16,5,FALSE))</f>
        <v/>
      </c>
      <c r="DK53" s="429" t="str">
        <f t="array" ref="DK53">IF($CZ53="","",VLOOKUP($CZ53,carteiras..!$B$2:$I$16,6,FALSE))</f>
        <v/>
      </c>
      <c r="DL53" s="428">
        <f>IF(ConfigOn,DG53-DF53,0)</f>
        <v>0</v>
      </c>
      <c r="DM53" s="428" t="str">
        <f t="shared" si="18"/>
        <v/>
      </c>
      <c r="DN53" s="430" t="str">
        <f t="array" ref="DN53">IF($CZ53="","",VLOOKUP($CZ53,carteiras..!$B$2:$I$16,7,FALSE))</f>
        <v/>
      </c>
      <c r="DO53" s="430" t="str">
        <f t="array" ref="DO53">IF($CZ53="","",VLOOKUP($CZ53,carteiras..!$B$2:$I$16,8,FALSE))</f>
        <v/>
      </c>
      <c r="DP53" s="431">
        <v>2.0</v>
      </c>
      <c r="DQ53" s="67"/>
    </row>
    <row r="54" ht="22.5" customHeight="1">
      <c r="A54" s="383"/>
      <c r="B54" s="384" t="str">
        <f>IFERROR(__xludf.DUMMYFUNCTION("IF(B$43="""","""",IF($AZ54="""","""",IFERROR(Query({CarteirasAtivos},""Select Col3 where Col1 = '""&amp;$AZ54&amp;""'and Col2 = '""&amp;S$21&amp;""'""))))"),"")</f>
        <v/>
      </c>
      <c r="C54" s="384" t="str">
        <f>IFERROR(__xludf.DUMMYFUNCTION("IF(C$43="""","""",IF($AZ54="""","""",IFERROR(Query({CarteirasAtivos},""Select Col3 where Col1 = '""&amp;$AZ54&amp;""'and Col2 = '""&amp;T$21&amp;""'""))))"),"")</f>
        <v/>
      </c>
      <c r="D54" s="384" t="str">
        <f>IFERROR(__xludf.DUMMYFUNCTION("IF(D$43="""","""",IF($AZ54="""","""",IFERROR(Query({CarteirasAtivos},""Select Col3 where Col1 = '""&amp;$AZ54&amp;""'and Col2 = '""&amp;U$21&amp;""'""))))"),"")</f>
        <v/>
      </c>
      <c r="E54" s="384" t="str">
        <f>IFERROR(__xludf.DUMMYFUNCTION("IF(E$43="""","""",IF($AZ54="""","""",IFERROR(Query({CarteirasAtivos},""Select Col3 where Col1 = '""&amp;$AZ54&amp;""'and Col2 = '""&amp;V$21&amp;""'""))))"),"")</f>
        <v/>
      </c>
      <c r="F54" s="384" t="str">
        <f>IFERROR(__xludf.DUMMYFUNCTION("IF(F$43="""","""",IF($AZ54="""","""",IFERROR(Query({CarteirasAtivos},""Select Col3 where Col1 = '""&amp;$AZ54&amp;""'and Col2 = '""&amp;W$21&amp;""'""))))"),"")</f>
        <v/>
      </c>
      <c r="G54" s="384" t="str">
        <f>IFERROR(__xludf.DUMMYFUNCTION("IF(G$43="""","""",IF($AZ54="""","""",IFERROR(Query({CarteirasAtivos},""Select Col3 where Col1 = '""&amp;$AZ54&amp;""'and Col2 = '""&amp;X$21&amp;""'""))))"),"")</f>
        <v/>
      </c>
      <c r="H54" s="384" t="str">
        <f>IFERROR(__xludf.DUMMYFUNCTION("IF(H$43="""","""",IF($AZ54="""","""",IFERROR(Query({CarteirasAtivos},""Select Col3 where Col1 = '""&amp;$AZ54&amp;""'and Col2 = '""&amp;Y$21&amp;""'""))))"),"")</f>
        <v/>
      </c>
      <c r="I54" s="384" t="str">
        <f>IFERROR(__xludf.DUMMYFUNCTION("IF(I$43="""","""",IF($AZ54="""","""",IFERROR(Query({CarteirasAtivos},""Select Col3 where Col1 = '""&amp;$AZ54&amp;""'and Col2 = '""&amp;Z$21&amp;""'""))))"),"")</f>
        <v/>
      </c>
      <c r="J54" s="384" t="str">
        <f>IFERROR(__xludf.DUMMYFUNCTION("IF(J$43="""","""",IF($AZ54="""","""",IFERROR(Query({CarteirasAtivos},""Select Col3 where Col1 = '""&amp;$AZ54&amp;""'and Col2 = '""&amp;AA$21&amp;""'""))))"),"")</f>
        <v/>
      </c>
      <c r="K54" s="384" t="str">
        <f>IFERROR(__xludf.DUMMYFUNCTION("IF(K$43="""","""",IF($AZ54="""","""",IFERROR(Query({CarteirasAtivos},""Select Col3 where Col1 = '""&amp;$AZ54&amp;""'and Col2 = '""&amp;AB$21&amp;""'""))))"),"")</f>
        <v/>
      </c>
      <c r="L54" s="385">
        <v>11.0</v>
      </c>
      <c r="M54" s="432"/>
      <c r="N54" s="387"/>
      <c r="O54" s="388" t="s">
        <v>123</v>
      </c>
      <c r="P54" s="389"/>
      <c r="Q54" s="390"/>
      <c r="R54" s="391"/>
      <c r="S54" s="392"/>
      <c r="T54" s="393"/>
      <c r="U54" s="393"/>
      <c r="V54" s="394"/>
      <c r="W54" s="395" t="str">
        <f>IFERROR(__xludf.DUMMYFUNCTION("IF(M54="""","""",sparkline(IFERROR(BF54*100/MAX($BF$44:$BF$153),0),{""charttype"",""bar"";""max"",100;""color1"",IF(BD54&gt;=0,""#4760a5"",""red"")}))"),"")</f>
        <v/>
      </c>
      <c r="X54" s="396"/>
      <c r="Y54" s="397"/>
      <c r="Z54" s="398"/>
      <c r="AA54" s="399"/>
      <c r="AB54" s="393"/>
      <c r="AC54" s="433"/>
      <c r="AD54" s="401"/>
      <c r="AE54" s="402"/>
      <c r="AF54" s="445"/>
      <c r="AG54" s="404" t="str">
        <f>IFERROR(__xludf.DUMMYFUNCTION("IF($M54="""","""",IFERROR(sparkline(query(GOOGLEFINANCE($AZ54,""price"",TODAY()-$AF$43,TODAY(),1),""select Col2 label Col2 ''""),IF($AG$43=""Gráfico de barras"",{""charttype"",""column"";""highcolor"",""red""},{""chartype"",""line""}))))"),"")</f>
        <v/>
      </c>
      <c r="AH54" s="405"/>
      <c r="AI54" s="434"/>
      <c r="AJ54" s="435" t="b">
        <v>1</v>
      </c>
      <c r="AK54" s="441"/>
      <c r="AL54" s="435" t="b">
        <v>1</v>
      </c>
      <c r="AU54" s="410">
        <v>11.0</v>
      </c>
      <c r="AV54" s="411" t="s">
        <v>291</v>
      </c>
      <c r="AW54" s="419" t="s">
        <v>192</v>
      </c>
      <c r="AX54" s="412" t="str">
        <f>"order by Col"&amp;MATCH(AW54,portfolio.!$A$3:$BO$3,0)&amp;" "&amp;IFERROR(VLOOKUP($M$41,$AV$57:$AX$58,3, FALSE),"")</f>
        <v>order by Col57 asc</v>
      </c>
      <c r="AY54" s="410">
        <v>11.0</v>
      </c>
      <c r="AZ54" s="411"/>
      <c r="BA54" s="411"/>
      <c r="BB54" s="437"/>
      <c r="BC54" s="437"/>
      <c r="BD54" s="437"/>
      <c r="BE54" s="437"/>
      <c r="BF54" s="415" t="s">
        <v>123</v>
      </c>
      <c r="BG54" s="410">
        <v>11.0</v>
      </c>
      <c r="BH54" s="416"/>
      <c r="BI54" s="416"/>
      <c r="BJ54" s="416"/>
      <c r="BK54" s="416"/>
      <c r="BL54" s="416"/>
      <c r="BM54" s="416"/>
      <c r="BN54" s="282"/>
      <c r="BO54" s="417">
        <v>1.0</v>
      </c>
      <c r="BP54" s="418" t="str">
        <f>IFERROR(__xludf.DUMMYFUNCTION("IF(NOT(ConfigOn),query({BP65:BQ74},""select Col1 where Col2 &lt;= 0 ORDER BY Col2 DESC"",0),IFERROR(query({AtivosDados},CONCAT(""select Col""&amp;MATCH(""ativo"",portfolio.!$A$3:DQ$3,0)&amp;"" where Col""&amp;MATCH(""classe"",portfolio.!$A$3:DQ$3,0)&amp;""='""&amp;$BT$41&amp;""' AN"&amp;"D Col""&amp;MATCH(""lucro_dia"",portfolio.!$A$3:DQ$3,0)&amp;""&lt;0 ORDER BY Col""&amp;MATCH(""lucro_dia"",portfolio.!$A$3:DQ$3,0)&amp;"" desc limit 10 OFFSET "",BQ42-BR42),0)))"),"")</f>
        <v/>
      </c>
      <c r="BQ54" s="411"/>
      <c r="BR54" s="419" t="str">
        <f>IFERROR(__xludf.DUMMYFUNCTION("IF(NOT(ConfigOn),query({BP65:BQ74},""select Col2 where Col2 &lt;= 0 ORDER BY Col2 DESC"",0),IFERROR(query({AtivosDados},CONCAT(""select Col""&amp;MATCH(""lucro_dia"",portfolio.!$A$3:DQ$3,0)&amp;"" where Col""&amp;MATCH(""classe"",portfolio.!$A$3:DQ$3,0)&amp;""='""&amp;BT41&amp;""' "&amp;"AND Col""&amp;MATCH(""lucro_dia"",portfolio.!$A$3:DQ$3,0)&amp;""&lt;0 ORDER BY Col""&amp;MATCH(""lucro_dia"",portfolio.!$A$3:DQ$3,0)&amp;"" DESC limit 10 OFFSET "",BQ42-BR42),0)))"),"")</f>
        <v/>
      </c>
      <c r="BS54" s="63"/>
      <c r="BT54" s="63"/>
      <c r="BU54" s="446"/>
      <c r="BV54" s="63"/>
      <c r="BW54" s="63"/>
      <c r="BX54" s="417">
        <v>11.0</v>
      </c>
      <c r="BY54" s="420"/>
      <c r="BZ54" s="421">
        <v>0.0</v>
      </c>
      <c r="CA54" s="421">
        <v>0.0</v>
      </c>
      <c r="CB54" s="422" t="s">
        <v>292</v>
      </c>
      <c r="CC54" s="421">
        <v>0.0</v>
      </c>
      <c r="CD54" s="421">
        <v>0.0</v>
      </c>
      <c r="CE54" s="422" t="s">
        <v>293</v>
      </c>
      <c r="CF54" s="421">
        <v>0.0</v>
      </c>
      <c r="CG54" s="421">
        <v>0.0</v>
      </c>
      <c r="CH54" s="422"/>
      <c r="CI54" s="422"/>
      <c r="CJ54" s="422"/>
      <c r="CK54" s="421"/>
      <c r="CL54" s="421" t="s">
        <v>123</v>
      </c>
      <c r="CM54" s="423"/>
      <c r="CN54" s="421"/>
      <c r="CO54" s="423"/>
      <c r="CP54" s="421"/>
      <c r="CQ54" s="63"/>
      <c r="CR54" s="358" t="str">
        <f>IF(AV8,"LUCRO POR PERFIL DE CARTEIRA","")</f>
        <v/>
      </c>
      <c r="CS54" s="359" t="s">
        <v>294</v>
      </c>
      <c r="CT54" s="63"/>
      <c r="CU54" s="447"/>
      <c r="CV54" s="382" t="s">
        <v>251</v>
      </c>
      <c r="CW54" s="382" t="s">
        <v>252</v>
      </c>
      <c r="CX54" s="382" t="s">
        <v>253</v>
      </c>
      <c r="CY54" s="382" t="s">
        <v>254</v>
      </c>
      <c r="CZ54" s="382" t="s">
        <v>295</v>
      </c>
      <c r="DA54" s="382"/>
      <c r="DB54" s="382" t="s">
        <v>256</v>
      </c>
      <c r="DC54" s="448" t="s">
        <v>296</v>
      </c>
      <c r="DD54" s="449"/>
      <c r="DE54" s="382" t="s">
        <v>258</v>
      </c>
      <c r="DF54" s="450" t="s">
        <v>160</v>
      </c>
      <c r="DG54" s="450" t="s">
        <v>161</v>
      </c>
      <c r="DH54" s="450" t="s">
        <v>185</v>
      </c>
      <c r="DI54" s="382" t="s">
        <v>261</v>
      </c>
      <c r="DJ54" s="382" t="s">
        <v>262</v>
      </c>
      <c r="DK54" s="382" t="s">
        <v>263</v>
      </c>
      <c r="DL54" s="382" t="s">
        <v>89</v>
      </c>
      <c r="DM54" s="382" t="s">
        <v>264</v>
      </c>
      <c r="DN54" s="382" t="s">
        <v>265</v>
      </c>
      <c r="DO54" s="382" t="s">
        <v>266</v>
      </c>
      <c r="DP54" s="382" t="s">
        <v>267</v>
      </c>
      <c r="DQ54" s="67"/>
    </row>
    <row r="55" ht="22.5" customHeight="1">
      <c r="A55" s="383"/>
      <c r="B55" s="384" t="str">
        <f>IFERROR(__xludf.DUMMYFUNCTION("IF(B$43="""","""",IF($AZ55="""","""",IFERROR(Query({CarteirasAtivos},""Select Col3 where Col1 = '""&amp;$AZ55&amp;""'and Col2 = '""&amp;S$21&amp;""'""))))"),"")</f>
        <v/>
      </c>
      <c r="C55" s="384" t="str">
        <f>IFERROR(__xludf.DUMMYFUNCTION("IF(C$43="""","""",IF($AZ55="""","""",IFERROR(Query({CarteirasAtivos},""Select Col3 where Col1 = '""&amp;$AZ55&amp;""'and Col2 = '""&amp;T$21&amp;""'""))))"),"")</f>
        <v/>
      </c>
      <c r="D55" s="384" t="str">
        <f>IFERROR(__xludf.DUMMYFUNCTION("IF(D$43="""","""",IF($AZ55="""","""",IFERROR(Query({CarteirasAtivos},""Select Col3 where Col1 = '""&amp;$AZ55&amp;""'and Col2 = '""&amp;U$21&amp;""'""))))"),"")</f>
        <v/>
      </c>
      <c r="E55" s="384" t="str">
        <f>IFERROR(__xludf.DUMMYFUNCTION("IF(E$43="""","""",IF($AZ55="""","""",IFERROR(Query({CarteirasAtivos},""Select Col3 where Col1 = '""&amp;$AZ55&amp;""'and Col2 = '""&amp;V$21&amp;""'""))))"),"")</f>
        <v/>
      </c>
      <c r="F55" s="384" t="str">
        <f>IFERROR(__xludf.DUMMYFUNCTION("IF(F$43="""","""",IF($AZ55="""","""",IFERROR(Query({CarteirasAtivos},""Select Col3 where Col1 = '""&amp;$AZ55&amp;""'and Col2 = '""&amp;W$21&amp;""'""))))"),"")</f>
        <v/>
      </c>
      <c r="G55" s="384" t="str">
        <f>IFERROR(__xludf.DUMMYFUNCTION("IF(G$43="""","""",IF($AZ55="""","""",IFERROR(Query({CarteirasAtivos},""Select Col3 where Col1 = '""&amp;$AZ55&amp;""'and Col2 = '""&amp;X$21&amp;""'""))))"),"")</f>
        <v/>
      </c>
      <c r="H55" s="384" t="str">
        <f>IFERROR(__xludf.DUMMYFUNCTION("IF(H$43="""","""",IF($AZ55="""","""",IFERROR(Query({CarteirasAtivos},""Select Col3 where Col1 = '""&amp;$AZ55&amp;""'and Col2 = '""&amp;Y$21&amp;""'""))))"),"")</f>
        <v/>
      </c>
      <c r="I55" s="384" t="str">
        <f>IFERROR(__xludf.DUMMYFUNCTION("IF(I$43="""","""",IF($AZ55="""","""",IFERROR(Query({CarteirasAtivos},""Select Col3 where Col1 = '""&amp;$AZ55&amp;""'and Col2 = '""&amp;Z$21&amp;""'""))))"),"")</f>
        <v/>
      </c>
      <c r="J55" s="384" t="str">
        <f>IFERROR(__xludf.DUMMYFUNCTION("IF(J$43="""","""",IF($AZ55="""","""",IFERROR(Query({CarteirasAtivos},""Select Col3 where Col1 = '""&amp;$AZ55&amp;""'and Col2 = '""&amp;AA$21&amp;""'""))))"),"")</f>
        <v/>
      </c>
      <c r="K55" s="384" t="str">
        <f>IFERROR(__xludf.DUMMYFUNCTION("IF(K$43="""","""",IF($AZ55="""","""",IFERROR(Query({CarteirasAtivos},""Select Col3 where Col1 = '""&amp;$AZ55&amp;""'and Col2 = '""&amp;AB$21&amp;""'""))))"),"")</f>
        <v/>
      </c>
      <c r="L55" s="385">
        <v>12.0</v>
      </c>
      <c r="M55" s="432"/>
      <c r="N55" s="387"/>
      <c r="O55" s="388" t="s">
        <v>123</v>
      </c>
      <c r="P55" s="389"/>
      <c r="Q55" s="390"/>
      <c r="R55" s="391"/>
      <c r="S55" s="392"/>
      <c r="T55" s="393"/>
      <c r="U55" s="393"/>
      <c r="V55" s="394"/>
      <c r="W55" s="395" t="str">
        <f>IFERROR(__xludf.DUMMYFUNCTION("IF(M55="""","""",sparkline(IFERROR(BF55*100/MAX($BF$44:$BF$153),0),{""charttype"",""bar"";""max"",100;""color1"",IF(BD55&gt;=0,""#4760a5"",""red"")}))"),"")</f>
        <v/>
      </c>
      <c r="X55" s="396"/>
      <c r="Y55" s="397"/>
      <c r="Z55" s="398"/>
      <c r="AA55" s="399"/>
      <c r="AB55" s="393"/>
      <c r="AC55" s="433"/>
      <c r="AD55" s="401"/>
      <c r="AE55" s="402"/>
      <c r="AF55" s="451"/>
      <c r="AG55" s="404" t="str">
        <f>IFERROR(__xludf.DUMMYFUNCTION("IF($M55="""","""",IFERROR(sparkline(query(GOOGLEFINANCE($AZ55,""price"",TODAY()-$AF$43,TODAY(),1),""select Col2 label Col2 ''""),IF($AG$43=""Gráfico de barras"",{""charttype"",""column"";""highcolor"",""red""},{""chartype"",""line""}))))"),"")</f>
        <v/>
      </c>
      <c r="AH55" s="405"/>
      <c r="AI55" s="434"/>
      <c r="AJ55" s="435" t="b">
        <v>1</v>
      </c>
      <c r="AK55" s="441"/>
      <c r="AL55" s="435" t="b">
        <v>1</v>
      </c>
      <c r="AM55" s="442"/>
      <c r="AU55" s="410">
        <v>12.0</v>
      </c>
      <c r="AV55" s="411" t="s">
        <v>297</v>
      </c>
      <c r="AW55" s="419" t="s">
        <v>188</v>
      </c>
      <c r="AX55" s="412" t="str">
        <f>"order by Col"&amp;MATCH("classe",portfolio.!$A$3:$BO$3,0)&amp;", Col"&amp;MATCH(AW55,portfolio.!$A$3:$BO$3,0)&amp;" "&amp;IFERROR(VLOOKUP($M$41,$AV$57:$AX$58,3, FALSE),"")</f>
        <v>order by Col4, Col1 asc</v>
      </c>
      <c r="AY55" s="410">
        <v>12.0</v>
      </c>
      <c r="AZ55" s="411"/>
      <c r="BA55" s="411"/>
      <c r="BB55" s="437"/>
      <c r="BC55" s="437"/>
      <c r="BD55" s="437"/>
      <c r="BE55" s="437"/>
      <c r="BF55" s="415" t="s">
        <v>123</v>
      </c>
      <c r="BG55" s="410">
        <v>12.0</v>
      </c>
      <c r="BH55" s="416"/>
      <c r="BI55" s="416"/>
      <c r="BJ55" s="416"/>
      <c r="BK55" s="416"/>
      <c r="BL55" s="416"/>
      <c r="BM55" s="416"/>
      <c r="BN55" s="282"/>
      <c r="BO55" s="417">
        <v>2.0</v>
      </c>
      <c r="BP55" s="418"/>
      <c r="BQ55" s="411"/>
      <c r="BR55" s="411"/>
      <c r="BS55" s="63"/>
      <c r="BT55" s="63"/>
      <c r="BU55" s="64"/>
      <c r="BV55" s="63"/>
      <c r="BW55" s="63"/>
      <c r="BX55" s="417">
        <v>12.0</v>
      </c>
      <c r="BY55" s="420"/>
      <c r="BZ55" s="421">
        <v>0.0</v>
      </c>
      <c r="CA55" s="421">
        <v>0.0</v>
      </c>
      <c r="CB55" s="422" t="s">
        <v>292</v>
      </c>
      <c r="CC55" s="421">
        <v>0.0</v>
      </c>
      <c r="CD55" s="421">
        <v>0.0</v>
      </c>
      <c r="CE55" s="452"/>
      <c r="CF55" s="452"/>
      <c r="CG55" s="452"/>
      <c r="CH55" s="422"/>
      <c r="CI55" s="422"/>
      <c r="CJ55" s="422"/>
      <c r="CK55" s="421"/>
      <c r="CL55" s="421" t="s">
        <v>123</v>
      </c>
      <c r="CM55" s="423"/>
      <c r="CN55" s="421"/>
      <c r="CO55" s="423"/>
      <c r="CP55" s="421"/>
      <c r="CQ55" s="63"/>
      <c r="CR55" s="63"/>
      <c r="CS55" s="63"/>
      <c r="CT55" s="63"/>
      <c r="CU55" s="360">
        <v>11.0</v>
      </c>
      <c r="CV55" s="453" t="s">
        <v>298</v>
      </c>
      <c r="CW55" s="425" t="b">
        <f>IFERROR(__xludf.DUMMYFUNCTION("IFERROR(query({$Q$20:$AL$20},""select Col""&amp;MATCH(CZ55,$Q$21:$AL$21,0)),FALSE)"),FALSE)</f>
        <v>0</v>
      </c>
      <c r="CX55" s="454" t="s">
        <v>299</v>
      </c>
      <c r="CY55" s="424" t="s">
        <v>272</v>
      </c>
      <c r="CZ55" s="455" t="str">
        <f>IF(AV8,IF(DF55&lt;&gt;0,UPPER('config.parâmetros'!H5),"-"),"-")</f>
        <v>-</v>
      </c>
      <c r="DA55" s="427"/>
      <c r="DB55" s="427" t="str">
        <f t="shared" ref="DB55:DB58" si="19">IFERROR(DG55/$DG$63,"")</f>
        <v/>
      </c>
      <c r="DC55" s="427" t="str">
        <f t="shared" ref="DC55:DC58" si="20">IFERROR(DB55/SUM($DB$55:$DB$58),"")</f>
        <v/>
      </c>
      <c r="DD55" s="456"/>
      <c r="DE55" s="428">
        <f t="shared" ref="DE55:DE58" si="21">DF55-DJ55-DK55</f>
        <v>0</v>
      </c>
      <c r="DF55" s="429">
        <f>IF(ConfigOn,IFERROR(IFERROR(SUMIFS(portfolio.!$O$4:$O$303,portfolio.!$U$4:$U$303,CX55),0),0))</f>
        <v>0</v>
      </c>
      <c r="DG55" s="429">
        <f>IF(ConfigOn,IFERROR(IFERROR(SUMIFS(portfolio.!$AN$4:$AN$303,portfolio.!$U$4:$U$303,CX55),0),0))</f>
        <v>0</v>
      </c>
      <c r="DH55" s="429">
        <f>IF(ConfigOn,IFERROR(IFERROR(SUMIFS(portfolio.!$AO$4:$AO$303,portfolio.!$U$4:$U$303,CX55),0),0))</f>
        <v>0</v>
      </c>
      <c r="DI55" s="427">
        <f t="shared" ref="DI55:DI58" si="22">IFERROR(DH55/DF55,0)</f>
        <v>0</v>
      </c>
      <c r="DJ55" s="429">
        <f>IF(ConfigOn,IFERROR(IFERROR(SUMIFS(proventos!$Q$4:$Q343,proventos!$S$4:$S343,CX55),0),0))</f>
        <v>0</v>
      </c>
      <c r="DK55" s="429">
        <f>IF(ConfigOn,IFERROR(SUMIFS(op.normal!$P$4:$P343,op.normal!$AD$4:$AD343,CX55),0))</f>
        <v>0</v>
      </c>
      <c r="DL55" s="428">
        <f>IF(ConfigOn,DG55-DF55,0)</f>
        <v>0</v>
      </c>
      <c r="DM55" s="428">
        <f t="shared" ref="DM55:DM58" si="23">SUM(DJ55:DL55)</f>
        <v>0</v>
      </c>
      <c r="DN55" s="457" t="str">
        <f>IF(AV8,((1+DO55)^(1/12))-1,"-")</f>
        <v>-</v>
      </c>
      <c r="DO55" s="458">
        <v>0.032616840959633776</v>
      </c>
      <c r="DP55" s="431">
        <v>4.0</v>
      </c>
      <c r="DQ55" s="459"/>
    </row>
    <row r="56" ht="22.5" customHeight="1">
      <c r="A56" s="383"/>
      <c r="B56" s="384" t="str">
        <f>IFERROR(__xludf.DUMMYFUNCTION("IF(B$43="""","""",IF($AZ56="""","""",IFERROR(Query({CarteirasAtivos},""Select Col3 where Col1 = '""&amp;$AZ56&amp;""'and Col2 = '""&amp;S$21&amp;""'""))))"),"")</f>
        <v/>
      </c>
      <c r="C56" s="384" t="str">
        <f>IFERROR(__xludf.DUMMYFUNCTION("IF(C$43="""","""",IF($AZ56="""","""",IFERROR(Query({CarteirasAtivos},""Select Col3 where Col1 = '""&amp;$AZ56&amp;""'and Col2 = '""&amp;T$21&amp;""'""))))"),"")</f>
        <v/>
      </c>
      <c r="D56" s="384" t="str">
        <f>IFERROR(__xludf.DUMMYFUNCTION("IF(D$43="""","""",IF($AZ56="""","""",IFERROR(Query({CarteirasAtivos},""Select Col3 where Col1 = '""&amp;$AZ56&amp;""'and Col2 = '""&amp;U$21&amp;""'""))))"),"")</f>
        <v/>
      </c>
      <c r="E56" s="384" t="str">
        <f>IFERROR(__xludf.DUMMYFUNCTION("IF(E$43="""","""",IF($AZ56="""","""",IFERROR(Query({CarteirasAtivos},""Select Col3 where Col1 = '""&amp;$AZ56&amp;""'and Col2 = '""&amp;V$21&amp;""'""))))"),"")</f>
        <v/>
      </c>
      <c r="F56" s="384" t="str">
        <f>IFERROR(__xludf.DUMMYFUNCTION("IF(F$43="""","""",IF($AZ56="""","""",IFERROR(Query({CarteirasAtivos},""Select Col3 where Col1 = '""&amp;$AZ56&amp;""'and Col2 = '""&amp;W$21&amp;""'""))))"),"")</f>
        <v/>
      </c>
      <c r="G56" s="384" t="str">
        <f>IFERROR(__xludf.DUMMYFUNCTION("IF(G$43="""","""",IF($AZ56="""","""",IFERROR(Query({CarteirasAtivos},""Select Col3 where Col1 = '""&amp;$AZ56&amp;""'and Col2 = '""&amp;X$21&amp;""'""))))"),"")</f>
        <v/>
      </c>
      <c r="H56" s="384" t="str">
        <f>IFERROR(__xludf.DUMMYFUNCTION("IF(H$43="""","""",IF($AZ56="""","""",IFERROR(Query({CarteirasAtivos},""Select Col3 where Col1 = '""&amp;$AZ56&amp;""'and Col2 = '""&amp;Y$21&amp;""'""))))"),"")</f>
        <v/>
      </c>
      <c r="I56" s="384" t="str">
        <f>IFERROR(__xludf.DUMMYFUNCTION("IF(I$43="""","""",IF($AZ56="""","""",IFERROR(Query({CarteirasAtivos},""Select Col3 where Col1 = '""&amp;$AZ56&amp;""'and Col2 = '""&amp;Z$21&amp;""'""))))"),"")</f>
        <v/>
      </c>
      <c r="J56" s="384" t="str">
        <f>IFERROR(__xludf.DUMMYFUNCTION("IF(J$43="""","""",IF($AZ56="""","""",IFERROR(Query({CarteirasAtivos},""Select Col3 where Col1 = '""&amp;$AZ56&amp;""'and Col2 = '""&amp;AA$21&amp;""'""))))"),"")</f>
        <v/>
      </c>
      <c r="K56" s="384" t="str">
        <f>IFERROR(__xludf.DUMMYFUNCTION("IF(K$43="""","""",IF($AZ56="""","""",IFERROR(Query({CarteirasAtivos},""Select Col3 where Col1 = '""&amp;$AZ56&amp;""'and Col2 = '""&amp;AB$21&amp;""'""))))"),"")</f>
        <v/>
      </c>
      <c r="L56" s="385">
        <v>13.0</v>
      </c>
      <c r="M56" s="432"/>
      <c r="N56" s="387"/>
      <c r="O56" s="388" t="s">
        <v>123</v>
      </c>
      <c r="P56" s="389"/>
      <c r="Q56" s="390"/>
      <c r="R56" s="391"/>
      <c r="S56" s="392"/>
      <c r="T56" s="393"/>
      <c r="U56" s="393"/>
      <c r="V56" s="394"/>
      <c r="W56" s="395" t="str">
        <f>IFERROR(__xludf.DUMMYFUNCTION("IF(M56="""","""",sparkline(IFERROR(BF56*100/MAX($BF$44:$BF$153),0),{""charttype"",""bar"";""max"",100;""color1"",IF(BD56&gt;=0,""#4760a5"",""red"")}))"),"")</f>
        <v/>
      </c>
      <c r="X56" s="396"/>
      <c r="Y56" s="397"/>
      <c r="Z56" s="398"/>
      <c r="AA56" s="399"/>
      <c r="AB56" s="393"/>
      <c r="AC56" s="433"/>
      <c r="AD56" s="401"/>
      <c r="AE56" s="402"/>
      <c r="AF56" s="403"/>
      <c r="AG56" s="404" t="str">
        <f>IFERROR(__xludf.DUMMYFUNCTION("IF($M56="""","""",IFERROR(sparkline(query(GOOGLEFINANCE($AZ56,""price"",TODAY()-$AF$43,TODAY(),1),""select Col2 label Col2 ''""),IF($AG$43=""Gráfico de barras"",{""charttype"",""column"";""highcolor"",""red""},{""chartype"",""line""}))))"),"")</f>
        <v/>
      </c>
      <c r="AH56" s="405"/>
      <c r="AI56" s="434"/>
      <c r="AJ56" s="435" t="b">
        <v>1</v>
      </c>
      <c r="AK56" s="441"/>
      <c r="AL56" s="435" t="b">
        <v>1</v>
      </c>
      <c r="AM56" s="442"/>
      <c r="AU56" s="410">
        <v>13.0</v>
      </c>
      <c r="AV56" s="419" t="s">
        <v>207</v>
      </c>
      <c r="AW56" s="419" t="s">
        <v>300</v>
      </c>
      <c r="AX56" s="412" t="str">
        <f>"order by Col"&amp;MATCH(AW56,portfolio.!$A$3:$BO$3,0)&amp;" "&amp;IFERROR(VLOOKUP($M$41,$AV$57:$AX$58,3, FALSE),"")</f>
        <v>order by Col7 asc</v>
      </c>
      <c r="AY56" s="410">
        <v>13.0</v>
      </c>
      <c r="AZ56" s="411"/>
      <c r="BA56" s="411"/>
      <c r="BB56" s="437"/>
      <c r="BC56" s="437"/>
      <c r="BD56" s="437"/>
      <c r="BE56" s="437"/>
      <c r="BF56" s="415" t="s">
        <v>123</v>
      </c>
      <c r="BG56" s="410">
        <v>13.0</v>
      </c>
      <c r="BH56" s="416"/>
      <c r="BI56" s="416"/>
      <c r="BJ56" s="416"/>
      <c r="BK56" s="416"/>
      <c r="BL56" s="416"/>
      <c r="BM56" s="416"/>
      <c r="BN56" s="282"/>
      <c r="BO56" s="417">
        <v>3.0</v>
      </c>
      <c r="BP56" s="418"/>
      <c r="BQ56" s="411"/>
      <c r="BR56" s="411"/>
      <c r="BS56" s="63"/>
      <c r="BT56" s="63"/>
      <c r="BU56" s="64"/>
      <c r="BV56" s="63"/>
      <c r="BW56" s="63"/>
      <c r="BX56" s="417">
        <v>13.0</v>
      </c>
      <c r="BY56" s="420"/>
      <c r="BZ56" s="421">
        <v>0.0</v>
      </c>
      <c r="CA56" s="421">
        <v>0.0</v>
      </c>
      <c r="CB56" s="422" t="s">
        <v>292</v>
      </c>
      <c r="CC56" s="421">
        <v>0.0</v>
      </c>
      <c r="CD56" s="421">
        <v>0.0</v>
      </c>
      <c r="CE56" s="452"/>
      <c r="CF56" s="452"/>
      <c r="CG56" s="452"/>
      <c r="CH56" s="422"/>
      <c r="CI56" s="422"/>
      <c r="CJ56" s="422"/>
      <c r="CK56" s="421"/>
      <c r="CL56" s="421" t="s">
        <v>123</v>
      </c>
      <c r="CM56" s="423"/>
      <c r="CN56" s="421"/>
      <c r="CO56" s="423"/>
      <c r="CP56" s="421"/>
      <c r="CQ56" s="63"/>
      <c r="CR56" s="63"/>
      <c r="CS56" s="63"/>
      <c r="CT56" s="63"/>
      <c r="CU56" s="360">
        <v>12.0</v>
      </c>
      <c r="CV56" s="453" t="s">
        <v>298</v>
      </c>
      <c r="CW56" s="425" t="b">
        <f>IFERROR(__xludf.DUMMYFUNCTION("IFERROR(query({$Q$20:$AL$20},""select Col""&amp;MATCH(CZ56,$Q$21:$AL$21,0)),FALSE)"),FALSE)</f>
        <v>0</v>
      </c>
      <c r="CX56" s="454" t="s">
        <v>301</v>
      </c>
      <c r="CY56" s="424" t="s">
        <v>272</v>
      </c>
      <c r="CZ56" s="455" t="str">
        <f>IF(AV8,IF(DF56&lt;&gt;0,UPPER('config.parâmetros'!I5),"-"),"-")</f>
        <v>-</v>
      </c>
      <c r="DA56" s="427"/>
      <c r="DB56" s="427" t="str">
        <f t="shared" si="19"/>
        <v/>
      </c>
      <c r="DC56" s="427" t="str">
        <f t="shared" si="20"/>
        <v/>
      </c>
      <c r="DD56" s="456"/>
      <c r="DE56" s="428">
        <f t="shared" si="21"/>
        <v>0</v>
      </c>
      <c r="DF56" s="429">
        <f>IF(ConfigOn,IFERROR(IFERROR(SUMIFS(portfolio.!$O$4:$O$303,portfolio.!$U$4:$U$303,CX56),0),0))</f>
        <v>0</v>
      </c>
      <c r="DG56" s="429">
        <f>IF(ConfigOn,IFERROR(IFERROR(SUMIFS(portfolio.!$AN$4:$AN$303,portfolio.!$U$4:$U$303,CX56),0),0))</f>
        <v>0</v>
      </c>
      <c r="DH56" s="429">
        <f>IF(ConfigOn,IFERROR(IFERROR(SUMIFS(portfolio.!$AO$4:$AO$303,portfolio.!$U$4:$U$303,CX56),0),0))</f>
        <v>0</v>
      </c>
      <c r="DI56" s="427">
        <f t="shared" si="22"/>
        <v>0</v>
      </c>
      <c r="DJ56" s="429">
        <f>IF(ConfigOn,IFERROR(IFERROR(SUMIFS(proventos!$Q$4:$Q343,proventos!$S$4:$S343,CX56),0),0))</f>
        <v>0</v>
      </c>
      <c r="DK56" s="429">
        <f>IF(ConfigOn,IFERROR(SUMIFS(op.normal!$P$4:$P343,op.normal!$AD$4:$AD343,CX56),0))</f>
        <v>0</v>
      </c>
      <c r="DL56" s="428">
        <f>IF(ConfigOn,DG56-DF56,0)</f>
        <v>0</v>
      </c>
      <c r="DM56" s="428">
        <f t="shared" si="23"/>
        <v>0</v>
      </c>
      <c r="DN56" s="457" t="str">
        <f>IF(AV8,((1+DO56)^(1/12))-1,"-")</f>
        <v>-</v>
      </c>
      <c r="DO56" s="458">
        <v>0.0</v>
      </c>
      <c r="DP56" s="431">
        <v>4.0</v>
      </c>
      <c r="DQ56" s="459"/>
    </row>
    <row r="57" ht="22.5" customHeight="1">
      <c r="A57" s="383"/>
      <c r="B57" s="384" t="str">
        <f>IFERROR(__xludf.DUMMYFUNCTION("IF(B$43="""","""",IF($AZ57="""","""",IFERROR(Query({CarteirasAtivos},""Select Col3 where Col1 = '""&amp;$AZ57&amp;""'and Col2 = '""&amp;S$21&amp;""'""))))"),"")</f>
        <v/>
      </c>
      <c r="C57" s="384" t="str">
        <f>IFERROR(__xludf.DUMMYFUNCTION("IF(C$43="""","""",IF($AZ57="""","""",IFERROR(Query({CarteirasAtivos},""Select Col3 where Col1 = '""&amp;$AZ57&amp;""'and Col2 = '""&amp;T$21&amp;""'""))))"),"")</f>
        <v/>
      </c>
      <c r="D57" s="384" t="str">
        <f>IFERROR(__xludf.DUMMYFUNCTION("IF(D$43="""","""",IF($AZ57="""","""",IFERROR(Query({CarteirasAtivos},""Select Col3 where Col1 = '""&amp;$AZ57&amp;""'and Col2 = '""&amp;U$21&amp;""'""))))"),"")</f>
        <v/>
      </c>
      <c r="E57" s="384" t="str">
        <f>IFERROR(__xludf.DUMMYFUNCTION("IF(E$43="""","""",IF($AZ57="""","""",IFERROR(Query({CarteirasAtivos},""Select Col3 where Col1 = '""&amp;$AZ57&amp;""'and Col2 = '""&amp;V$21&amp;""'""))))"),"")</f>
        <v/>
      </c>
      <c r="F57" s="384" t="str">
        <f>IFERROR(__xludf.DUMMYFUNCTION("IF(F$43="""","""",IF($AZ57="""","""",IFERROR(Query({CarteirasAtivos},""Select Col3 where Col1 = '""&amp;$AZ57&amp;""'and Col2 = '""&amp;W$21&amp;""'""))))"),"")</f>
        <v/>
      </c>
      <c r="G57" s="384" t="str">
        <f>IFERROR(__xludf.DUMMYFUNCTION("IF(G$43="""","""",IF($AZ57="""","""",IFERROR(Query({CarteirasAtivos},""Select Col3 where Col1 = '""&amp;$AZ57&amp;""'and Col2 = '""&amp;X$21&amp;""'""))))"),"")</f>
        <v/>
      </c>
      <c r="H57" s="384" t="str">
        <f>IFERROR(__xludf.DUMMYFUNCTION("IF(H$43="""","""",IF($AZ57="""","""",IFERROR(Query({CarteirasAtivos},""Select Col3 where Col1 = '""&amp;$AZ57&amp;""'and Col2 = '""&amp;Y$21&amp;""'""))))"),"")</f>
        <v/>
      </c>
      <c r="I57" s="384" t="str">
        <f>IFERROR(__xludf.DUMMYFUNCTION("IF(I$43="""","""",IF($AZ57="""","""",IFERROR(Query({CarteirasAtivos},""Select Col3 where Col1 = '""&amp;$AZ57&amp;""'and Col2 = '""&amp;Z$21&amp;""'""))))"),"")</f>
        <v/>
      </c>
      <c r="J57" s="384" t="str">
        <f>IFERROR(__xludf.DUMMYFUNCTION("IF(J$43="""","""",IF($AZ57="""","""",IFERROR(Query({CarteirasAtivos},""Select Col3 where Col1 = '""&amp;$AZ57&amp;""'and Col2 = '""&amp;AA$21&amp;""'""))))"),"")</f>
        <v/>
      </c>
      <c r="K57" s="384" t="str">
        <f>IFERROR(__xludf.DUMMYFUNCTION("IF(K$43="""","""",IF($AZ57="""","""",IFERROR(Query({CarteirasAtivos},""Select Col3 where Col1 = '""&amp;$AZ57&amp;""'and Col2 = '""&amp;AB$21&amp;""'""))))"),"")</f>
        <v/>
      </c>
      <c r="L57" s="385">
        <v>14.0</v>
      </c>
      <c r="M57" s="432"/>
      <c r="N57" s="387"/>
      <c r="O57" s="388" t="s">
        <v>123</v>
      </c>
      <c r="P57" s="389"/>
      <c r="Q57" s="390"/>
      <c r="R57" s="391"/>
      <c r="S57" s="392"/>
      <c r="T57" s="393"/>
      <c r="U57" s="393"/>
      <c r="V57" s="394"/>
      <c r="W57" s="395" t="str">
        <f>IFERROR(__xludf.DUMMYFUNCTION("IF(M57="""","""",sparkline(IFERROR(BF57*100/MAX($BF$44:$BF$153),0),{""charttype"",""bar"";""max"",100;""color1"",IF(BD57&gt;=0,""#4760a5"",""red"")}))"),"")</f>
        <v/>
      </c>
      <c r="X57" s="396"/>
      <c r="Y57" s="397"/>
      <c r="Z57" s="398"/>
      <c r="AA57" s="399"/>
      <c r="AB57" s="393"/>
      <c r="AC57" s="443"/>
      <c r="AD57" s="401"/>
      <c r="AE57" s="402"/>
      <c r="AF57" s="403"/>
      <c r="AG57" s="404" t="str">
        <f>IFERROR(__xludf.DUMMYFUNCTION("IF($M57="""","""",IFERROR(sparkline(query(GOOGLEFINANCE($AZ57,""price"",TODAY()-$AF$43,TODAY(),1),""select Col2 label Col2 ''""),IF($AG$43=""Gráfico de barras"",{""charttype"",""column"";""highcolor"",""red""},{""chartype"",""line""}))))"),"")</f>
        <v/>
      </c>
      <c r="AH57" s="405"/>
      <c r="AI57" s="434"/>
      <c r="AJ57" s="435" t="b">
        <v>1</v>
      </c>
      <c r="AK57" s="441"/>
      <c r="AL57" s="435" t="b">
        <v>1</v>
      </c>
      <c r="AU57" s="460"/>
      <c r="AV57" s="411" t="s">
        <v>302</v>
      </c>
      <c r="AW57" s="411"/>
      <c r="AX57" s="411" t="s">
        <v>303</v>
      </c>
      <c r="AY57" s="410">
        <v>14.0</v>
      </c>
      <c r="AZ57" s="411"/>
      <c r="BA57" s="411"/>
      <c r="BB57" s="437"/>
      <c r="BC57" s="437"/>
      <c r="BD57" s="437"/>
      <c r="BE57" s="437"/>
      <c r="BF57" s="415" t="s">
        <v>123</v>
      </c>
      <c r="BG57" s="410">
        <v>14.0</v>
      </c>
      <c r="BH57" s="416"/>
      <c r="BI57" s="416"/>
      <c r="BJ57" s="416"/>
      <c r="BK57" s="416"/>
      <c r="BL57" s="416"/>
      <c r="BM57" s="416"/>
      <c r="BN57" s="282"/>
      <c r="BO57" s="417">
        <v>4.0</v>
      </c>
      <c r="BP57" s="418"/>
      <c r="BQ57" s="411"/>
      <c r="BR57" s="411"/>
      <c r="BS57" s="63"/>
      <c r="BT57" s="63"/>
      <c r="BU57" s="64"/>
      <c r="BV57" s="63"/>
      <c r="BW57" s="63"/>
      <c r="BX57" s="417">
        <v>14.0</v>
      </c>
      <c r="BY57" s="420"/>
      <c r="BZ57" s="421">
        <v>0.0</v>
      </c>
      <c r="CA57" s="421">
        <v>0.0</v>
      </c>
      <c r="CB57" s="422" t="s">
        <v>292</v>
      </c>
      <c r="CC57" s="421">
        <v>0.0</v>
      </c>
      <c r="CD57" s="421">
        <v>0.0</v>
      </c>
      <c r="CE57" s="452"/>
      <c r="CF57" s="452"/>
      <c r="CG57" s="452"/>
      <c r="CH57" s="422"/>
      <c r="CI57" s="422"/>
      <c r="CJ57" s="422"/>
      <c r="CK57" s="421"/>
      <c r="CL57" s="421" t="s">
        <v>123</v>
      </c>
      <c r="CM57" s="423"/>
      <c r="CN57" s="421"/>
      <c r="CO57" s="423"/>
      <c r="CP57" s="421"/>
      <c r="CQ57" s="63"/>
      <c r="CR57" s="63"/>
      <c r="CS57" s="63"/>
      <c r="CT57" s="63"/>
      <c r="CU57" s="360">
        <v>13.0</v>
      </c>
      <c r="CV57" s="453" t="s">
        <v>298</v>
      </c>
      <c r="CW57" s="425" t="b">
        <f>IFERROR(__xludf.DUMMYFUNCTION("IFERROR(query({$Q$20:$AL$20},""select Col""&amp;MATCH(CZ57,$Q$21:$AL$21,0)),FALSE)"),FALSE)</f>
        <v>0</v>
      </c>
      <c r="CX57" s="454" t="s">
        <v>304</v>
      </c>
      <c r="CY57" s="424" t="s">
        <v>272</v>
      </c>
      <c r="CZ57" s="455" t="str">
        <f>IF(AV8,IF(DF57&lt;&gt;0,UPPER('config.parâmetros'!J5),"-"),"-")</f>
        <v>-</v>
      </c>
      <c r="DA57" s="427"/>
      <c r="DB57" s="427" t="str">
        <f t="shared" si="19"/>
        <v/>
      </c>
      <c r="DC57" s="427" t="str">
        <f t="shared" si="20"/>
        <v/>
      </c>
      <c r="DD57" s="456"/>
      <c r="DE57" s="428">
        <f t="shared" si="21"/>
        <v>0</v>
      </c>
      <c r="DF57" s="429">
        <f>IF(ConfigOn,IFERROR(IFERROR(SUMIFS(portfolio.!$O$4:$O$303,portfolio.!$U$4:$U$303,CX57),0),0))</f>
        <v>0</v>
      </c>
      <c r="DG57" s="429">
        <f>IF(ConfigOn,IFERROR(IFERROR(SUMIFS(portfolio.!$AN$4:$AN$303,portfolio.!$U$4:$U$303,CX57),0),0))</f>
        <v>0</v>
      </c>
      <c r="DH57" s="429">
        <f>IF(ConfigOn,IFERROR(IFERROR(SUMIFS(portfolio.!$AO$4:$AO$303,portfolio.!$U$4:$U$303,CX57),0),0))</f>
        <v>0</v>
      </c>
      <c r="DI57" s="427">
        <f t="shared" si="22"/>
        <v>0</v>
      </c>
      <c r="DJ57" s="429">
        <f>IF(ConfigOn,IFERROR(IFERROR(SUMIFS(proventos!$Q$4:$Q343,proventos!$S$4:$S343,CX57),0),0))</f>
        <v>0</v>
      </c>
      <c r="DK57" s="429">
        <f>IF(ConfigOn,IFERROR(SUMIFS(op.normal!$P$4:$P343,op.normal!$AD$4:$AD343,CX57),0))</f>
        <v>0</v>
      </c>
      <c r="DL57" s="428">
        <f>IF(ConfigOn,DG57-DF57,0)</f>
        <v>0</v>
      </c>
      <c r="DM57" s="428">
        <f t="shared" si="23"/>
        <v>0</v>
      </c>
      <c r="DN57" s="457" t="str">
        <f>IF(AV8,((1+DO57)^(1/12))-1,"-")</f>
        <v>-</v>
      </c>
      <c r="DO57" s="458">
        <v>0.12725653995230007</v>
      </c>
      <c r="DP57" s="431">
        <v>4.0</v>
      </c>
      <c r="DQ57" s="459"/>
    </row>
    <row r="58" ht="22.5" customHeight="1">
      <c r="A58" s="383"/>
      <c r="B58" s="384" t="str">
        <f>IFERROR(__xludf.DUMMYFUNCTION("IF(B$43="""","""",IF($AZ58="""","""",IFERROR(Query({CarteirasAtivos},""Select Col3 where Col1 = '""&amp;$AZ58&amp;""'and Col2 = '""&amp;S$21&amp;""'""))))"),"")</f>
        <v/>
      </c>
      <c r="C58" s="384" t="str">
        <f>IFERROR(__xludf.DUMMYFUNCTION("IF(C$43="""","""",IF($AZ58="""","""",IFERROR(Query({CarteirasAtivos},""Select Col3 where Col1 = '""&amp;$AZ58&amp;""'and Col2 = '""&amp;T$21&amp;""'""))))"),"")</f>
        <v/>
      </c>
      <c r="D58" s="384" t="str">
        <f>IFERROR(__xludf.DUMMYFUNCTION("IF(D$43="""","""",IF($AZ58="""","""",IFERROR(Query({CarteirasAtivos},""Select Col3 where Col1 = '""&amp;$AZ58&amp;""'and Col2 = '""&amp;U$21&amp;""'""))))"),"")</f>
        <v/>
      </c>
      <c r="E58" s="384" t="str">
        <f>IFERROR(__xludf.DUMMYFUNCTION("IF(E$43="""","""",IF($AZ58="""","""",IFERROR(Query({CarteirasAtivos},""Select Col3 where Col1 = '""&amp;$AZ58&amp;""'and Col2 = '""&amp;V$21&amp;""'""))))"),"")</f>
        <v/>
      </c>
      <c r="F58" s="384" t="str">
        <f>IFERROR(__xludf.DUMMYFUNCTION("IF(F$43="""","""",IF($AZ58="""","""",IFERROR(Query({CarteirasAtivos},""Select Col3 where Col1 = '""&amp;$AZ58&amp;""'and Col2 = '""&amp;W$21&amp;""'""))))"),"")</f>
        <v/>
      </c>
      <c r="G58" s="384" t="str">
        <f>IFERROR(__xludf.DUMMYFUNCTION("IF(G$43="""","""",IF($AZ58="""","""",IFERROR(Query({CarteirasAtivos},""Select Col3 where Col1 = '""&amp;$AZ58&amp;""'and Col2 = '""&amp;X$21&amp;""'""))))"),"")</f>
        <v/>
      </c>
      <c r="H58" s="384" t="str">
        <f>IFERROR(__xludf.DUMMYFUNCTION("IF(H$43="""","""",IF($AZ58="""","""",IFERROR(Query({CarteirasAtivos},""Select Col3 where Col1 = '""&amp;$AZ58&amp;""'and Col2 = '""&amp;Y$21&amp;""'""))))"),"")</f>
        <v/>
      </c>
      <c r="I58" s="384" t="str">
        <f>IFERROR(__xludf.DUMMYFUNCTION("IF(I$43="""","""",IF($AZ58="""","""",IFERROR(Query({CarteirasAtivos},""Select Col3 where Col1 = '""&amp;$AZ58&amp;""'and Col2 = '""&amp;Z$21&amp;""'""))))"),"")</f>
        <v/>
      </c>
      <c r="J58" s="384" t="str">
        <f>IFERROR(__xludf.DUMMYFUNCTION("IF(J$43="""","""",IF($AZ58="""","""",IFERROR(Query({CarteirasAtivos},""Select Col3 where Col1 = '""&amp;$AZ58&amp;""'and Col2 = '""&amp;AA$21&amp;""'""))))"),"")</f>
        <v/>
      </c>
      <c r="K58" s="384" t="str">
        <f>IFERROR(__xludf.DUMMYFUNCTION("IF(K$43="""","""",IF($AZ58="""","""",IFERROR(Query({CarteirasAtivos},""Select Col3 where Col1 = '""&amp;$AZ58&amp;""'and Col2 = '""&amp;AB$21&amp;""'""))))"),"")</f>
        <v/>
      </c>
      <c r="L58" s="385">
        <v>15.0</v>
      </c>
      <c r="M58" s="432"/>
      <c r="N58" s="387"/>
      <c r="O58" s="388" t="s">
        <v>123</v>
      </c>
      <c r="P58" s="389"/>
      <c r="Q58" s="390"/>
      <c r="R58" s="391"/>
      <c r="S58" s="392"/>
      <c r="T58" s="393"/>
      <c r="U58" s="393"/>
      <c r="V58" s="394"/>
      <c r="W58" s="395" t="str">
        <f>IFERROR(__xludf.DUMMYFUNCTION("IF(M58="""","""",sparkline(IFERROR(BF58*100/MAX($BF$44:$BF$153),0),{""charttype"",""bar"";""max"",100;""color1"",IF(BD58&gt;=0,""#4760a5"",""red"")}))"),"")</f>
        <v/>
      </c>
      <c r="X58" s="396"/>
      <c r="Y58" s="397"/>
      <c r="Z58" s="398"/>
      <c r="AA58" s="399"/>
      <c r="AB58" s="393"/>
      <c r="AC58" s="440"/>
      <c r="AD58" s="401"/>
      <c r="AE58" s="402"/>
      <c r="AF58" s="403"/>
      <c r="AG58" s="404" t="str">
        <f>IFERROR(__xludf.DUMMYFUNCTION("IF($M58="""","""",IFERROR(sparkline(query(GOOGLEFINANCE($AZ58,""price"",TODAY()-$AF$43,TODAY(),1),""select Col2 label Col2 ''""),IF($AG$43=""Gráfico de barras"",{""charttype"",""column"";""highcolor"",""red""},{""chartype"",""line""}))))"),"")</f>
        <v/>
      </c>
      <c r="AH58" s="405"/>
      <c r="AI58" s="434"/>
      <c r="AJ58" s="435" t="b">
        <v>1</v>
      </c>
      <c r="AK58" s="441"/>
      <c r="AL58" s="435" t="b">
        <v>1</v>
      </c>
      <c r="AM58" s="442"/>
      <c r="AU58" s="460"/>
      <c r="AV58" s="411" t="s">
        <v>171</v>
      </c>
      <c r="AW58" s="411"/>
      <c r="AX58" s="411" t="s">
        <v>305</v>
      </c>
      <c r="AY58" s="410">
        <v>15.0</v>
      </c>
      <c r="AZ58" s="411"/>
      <c r="BA58" s="411"/>
      <c r="BB58" s="437"/>
      <c r="BC58" s="437"/>
      <c r="BD58" s="437"/>
      <c r="BE58" s="437"/>
      <c r="BF58" s="415" t="s">
        <v>123</v>
      </c>
      <c r="BG58" s="410">
        <v>15.0</v>
      </c>
      <c r="BH58" s="416"/>
      <c r="BI58" s="416"/>
      <c r="BJ58" s="416"/>
      <c r="BK58" s="416"/>
      <c r="BL58" s="416"/>
      <c r="BM58" s="416"/>
      <c r="BN58" s="282"/>
      <c r="BO58" s="417">
        <v>5.0</v>
      </c>
      <c r="BP58" s="418"/>
      <c r="BQ58" s="411"/>
      <c r="BR58" s="411"/>
      <c r="BS58" s="63"/>
      <c r="BT58" s="63"/>
      <c r="BU58" s="64"/>
      <c r="BV58" s="63"/>
      <c r="BW58" s="63"/>
      <c r="BX58" s="417">
        <v>15.0</v>
      </c>
      <c r="BY58" s="420"/>
      <c r="BZ58" s="421">
        <v>0.0</v>
      </c>
      <c r="CA58" s="421">
        <v>0.0</v>
      </c>
      <c r="CB58" s="422"/>
      <c r="CC58" s="421"/>
      <c r="CD58" s="421"/>
      <c r="CE58" s="452"/>
      <c r="CF58" s="452"/>
      <c r="CG58" s="452"/>
      <c r="CH58" s="422"/>
      <c r="CI58" s="422"/>
      <c r="CJ58" s="422"/>
      <c r="CK58" s="421"/>
      <c r="CL58" s="421" t="s">
        <v>123</v>
      </c>
      <c r="CM58" s="423"/>
      <c r="CN58" s="421"/>
      <c r="CO58" s="423"/>
      <c r="CP58" s="421"/>
      <c r="CQ58" s="63"/>
      <c r="CR58" s="63"/>
      <c r="CS58" s="63"/>
      <c r="CT58" s="63"/>
      <c r="CU58" s="360">
        <v>14.0</v>
      </c>
      <c r="CV58" s="453" t="s">
        <v>298</v>
      </c>
      <c r="CW58" s="425" t="b">
        <f>IFERROR(__xludf.DUMMYFUNCTION("IFERROR(query({$Q$20:$AL$20},""select Col""&amp;MATCH(CZ58,$Q$21:$AL$21,0)),FALSE)"),FALSE)</f>
        <v>0</v>
      </c>
      <c r="CX58" s="454" t="s">
        <v>306</v>
      </c>
      <c r="CY58" s="424" t="s">
        <v>272</v>
      </c>
      <c r="CZ58" s="455" t="str">
        <f>IF(AV8,IF(DF58&lt;&gt;0,UPPER('config.parâmetros'!K5),"-"),"-")</f>
        <v>-</v>
      </c>
      <c r="DA58" s="427"/>
      <c r="DB58" s="427" t="str">
        <f t="shared" si="19"/>
        <v/>
      </c>
      <c r="DC58" s="427" t="str">
        <f t="shared" si="20"/>
        <v/>
      </c>
      <c r="DD58" s="456"/>
      <c r="DE58" s="428">
        <f t="shared" si="21"/>
        <v>0</v>
      </c>
      <c r="DF58" s="429">
        <f>IF(ConfigOn,IFERROR(IFERROR(SUMIFS(portfolio.!$O$4:$O$303,portfolio.!$U$4:$U$303,CX58),0),0))</f>
        <v>0</v>
      </c>
      <c r="DG58" s="429">
        <f>IF(ConfigOn,IFERROR(IFERROR(SUMIFS(portfolio.!$AN$4:$AN$303,portfolio.!$U$4:$U$303,CX58),0),0))</f>
        <v>0</v>
      </c>
      <c r="DH58" s="429">
        <f>IF(ConfigOn,IFERROR(IFERROR(SUMIFS(portfolio.!$AO$4:$AO$303,portfolio.!$U$4:$U$303,CX58),0),0))</f>
        <v>0</v>
      </c>
      <c r="DI58" s="427">
        <f t="shared" si="22"/>
        <v>0</v>
      </c>
      <c r="DJ58" s="429">
        <f>IF(ConfigOn,IFERROR(IFERROR(SUMIFS(proventos!$Q$4:$Q343,proventos!$S$4:$S343,CX58),0),0))</f>
        <v>0</v>
      </c>
      <c r="DK58" s="429">
        <f>IF(ConfigOn,IFERROR(SUMIFS(op.normal!$P$4:$P343,op.normal!$AD$4:$AD343,CX58),0))</f>
        <v>0</v>
      </c>
      <c r="DL58" s="428">
        <f>IF(ConfigOn,DG58-DF58,0)</f>
        <v>0</v>
      </c>
      <c r="DM58" s="428">
        <f t="shared" si="23"/>
        <v>0</v>
      </c>
      <c r="DN58" s="457" t="str">
        <f>IF(AV8,((1+DO58)^(1/12))-1,"-")</f>
        <v>-</v>
      </c>
      <c r="DO58" s="458">
        <v>0.0</v>
      </c>
      <c r="DP58" s="431">
        <v>4.0</v>
      </c>
      <c r="DQ58" s="459"/>
    </row>
    <row r="59" ht="22.5" customHeight="1">
      <c r="A59" s="383"/>
      <c r="B59" s="384" t="str">
        <f>IFERROR(__xludf.DUMMYFUNCTION("IF(B$43="""","""",IF($AZ59="""","""",IFERROR(Query({CarteirasAtivos},""Select Col3 where Col1 = '""&amp;$AZ59&amp;""'and Col2 = '""&amp;S$21&amp;""'""))))"),"")</f>
        <v/>
      </c>
      <c r="C59" s="384" t="str">
        <f>IFERROR(__xludf.DUMMYFUNCTION("IF(C$43="""","""",IF($AZ59="""","""",IFERROR(Query({CarteirasAtivos},""Select Col3 where Col1 = '""&amp;$AZ59&amp;""'and Col2 = '""&amp;T$21&amp;""'""))))"),"")</f>
        <v/>
      </c>
      <c r="D59" s="384" t="str">
        <f>IFERROR(__xludf.DUMMYFUNCTION("IF(D$43="""","""",IF($AZ59="""","""",IFERROR(Query({CarteirasAtivos},""Select Col3 where Col1 = '""&amp;$AZ59&amp;""'and Col2 = '""&amp;U$21&amp;""'""))))"),"")</f>
        <v/>
      </c>
      <c r="E59" s="384" t="str">
        <f>IFERROR(__xludf.DUMMYFUNCTION("IF(E$43="""","""",IF($AZ59="""","""",IFERROR(Query({CarteirasAtivos},""Select Col3 where Col1 = '""&amp;$AZ59&amp;""'and Col2 = '""&amp;V$21&amp;""'""))))"),"")</f>
        <v/>
      </c>
      <c r="F59" s="384" t="str">
        <f>IFERROR(__xludf.DUMMYFUNCTION("IF(F$43="""","""",IF($AZ59="""","""",IFERROR(Query({CarteirasAtivos},""Select Col3 where Col1 = '""&amp;$AZ59&amp;""'and Col2 = '""&amp;W$21&amp;""'""))))"),"")</f>
        <v/>
      </c>
      <c r="G59" s="384" t="str">
        <f>IFERROR(__xludf.DUMMYFUNCTION("IF(G$43="""","""",IF($AZ59="""","""",IFERROR(Query({CarteirasAtivos},""Select Col3 where Col1 = '""&amp;$AZ59&amp;""'and Col2 = '""&amp;X$21&amp;""'""))))"),"")</f>
        <v/>
      </c>
      <c r="H59" s="384" t="str">
        <f>IFERROR(__xludf.DUMMYFUNCTION("IF(H$43="""","""",IF($AZ59="""","""",IFERROR(Query({CarteirasAtivos},""Select Col3 where Col1 = '""&amp;$AZ59&amp;""'and Col2 = '""&amp;Y$21&amp;""'""))))"),"")</f>
        <v/>
      </c>
      <c r="I59" s="384" t="str">
        <f>IFERROR(__xludf.DUMMYFUNCTION("IF(I$43="""","""",IF($AZ59="""","""",IFERROR(Query({CarteirasAtivos},""Select Col3 where Col1 = '""&amp;$AZ59&amp;""'and Col2 = '""&amp;Z$21&amp;""'""))))"),"")</f>
        <v/>
      </c>
      <c r="J59" s="384" t="str">
        <f>IFERROR(__xludf.DUMMYFUNCTION("IF(J$43="""","""",IF($AZ59="""","""",IFERROR(Query({CarteirasAtivos},""Select Col3 where Col1 = '""&amp;$AZ59&amp;""'and Col2 = '""&amp;AA$21&amp;""'""))))"),"")</f>
        <v/>
      </c>
      <c r="K59" s="384" t="str">
        <f>IFERROR(__xludf.DUMMYFUNCTION("IF(K$43="""","""",IF($AZ59="""","""",IFERROR(Query({CarteirasAtivos},""Select Col3 where Col1 = '""&amp;$AZ59&amp;""'and Col2 = '""&amp;AB$21&amp;""'""))))"),"")</f>
        <v/>
      </c>
      <c r="L59" s="385">
        <v>16.0</v>
      </c>
      <c r="M59" s="432"/>
      <c r="N59" s="387"/>
      <c r="O59" s="388" t="s">
        <v>123</v>
      </c>
      <c r="P59" s="389"/>
      <c r="Q59" s="390"/>
      <c r="R59" s="391"/>
      <c r="S59" s="392"/>
      <c r="T59" s="393"/>
      <c r="U59" s="393"/>
      <c r="V59" s="394"/>
      <c r="W59" s="395" t="str">
        <f>IFERROR(__xludf.DUMMYFUNCTION("IF(M59="""","""",sparkline(IFERROR(BF59*100/MAX($BF$44:$BF$153),0),{""charttype"",""bar"";""max"",100;""color1"",IF(BD59&gt;=0,""#4760a5"",""red"")}))"),"")</f>
        <v/>
      </c>
      <c r="X59" s="396"/>
      <c r="Y59" s="397"/>
      <c r="Z59" s="398"/>
      <c r="AA59" s="399"/>
      <c r="AB59" s="393"/>
      <c r="AC59" s="440"/>
      <c r="AD59" s="401"/>
      <c r="AE59" s="402"/>
      <c r="AF59" s="403"/>
      <c r="AG59" s="404" t="str">
        <f>IFERROR(__xludf.DUMMYFUNCTION("IF($M59="""","""",IFERROR(sparkline(query(GOOGLEFINANCE($AZ59,""price"",TODAY()-$AF$43,TODAY(),1),""select Col2 label Col2 ''""),IF($AG$43=""Gráfico de barras"",{""charttype"",""column"";""highcolor"",""red""},{""chartype"",""line""}))))"),"")</f>
        <v/>
      </c>
      <c r="AH59" s="405"/>
      <c r="AI59" s="434"/>
      <c r="AJ59" s="435" t="b">
        <v>1</v>
      </c>
      <c r="AK59" s="441"/>
      <c r="AL59" s="435" t="b">
        <v>1</v>
      </c>
      <c r="AM59" s="442"/>
      <c r="AU59" s="281"/>
      <c r="AV59" s="281"/>
      <c r="AW59" s="281"/>
      <c r="AX59" s="281"/>
      <c r="AY59" s="410">
        <v>16.0</v>
      </c>
      <c r="AZ59" s="411"/>
      <c r="BA59" s="411"/>
      <c r="BB59" s="437"/>
      <c r="BC59" s="437"/>
      <c r="BD59" s="437"/>
      <c r="BE59" s="437"/>
      <c r="BF59" s="415" t="s">
        <v>123</v>
      </c>
      <c r="BG59" s="410">
        <v>16.0</v>
      </c>
      <c r="BH59" s="416"/>
      <c r="BI59" s="416"/>
      <c r="BJ59" s="416"/>
      <c r="BK59" s="416"/>
      <c r="BL59" s="416"/>
      <c r="BM59" s="416"/>
      <c r="BN59" s="282"/>
      <c r="BO59" s="417">
        <v>6.0</v>
      </c>
      <c r="BP59" s="418"/>
      <c r="BQ59" s="411"/>
      <c r="BR59" s="411"/>
      <c r="BS59" s="63"/>
      <c r="BT59" s="63"/>
      <c r="BU59" s="64"/>
      <c r="BV59" s="63"/>
      <c r="BW59" s="63"/>
      <c r="BX59" s="62"/>
      <c r="BY59" s="452"/>
      <c r="BZ59" s="452"/>
      <c r="CA59" s="452"/>
      <c r="CB59" s="452"/>
      <c r="CC59" s="452"/>
      <c r="CD59" s="452"/>
      <c r="CE59" s="452"/>
      <c r="CF59" s="452"/>
      <c r="CG59" s="452"/>
      <c r="CH59" s="422"/>
      <c r="CI59" s="422"/>
      <c r="CJ59" s="422"/>
      <c r="CK59" s="421"/>
      <c r="CL59" s="421" t="s">
        <v>123</v>
      </c>
      <c r="CM59" s="423"/>
      <c r="CN59" s="421"/>
      <c r="CO59" s="423"/>
      <c r="CP59" s="421"/>
      <c r="CQ59" s="63"/>
      <c r="CR59" s="63"/>
      <c r="CS59" s="63"/>
      <c r="CT59" s="63"/>
      <c r="CU59" s="447"/>
      <c r="CV59" s="382" t="s">
        <v>251</v>
      </c>
      <c r="CW59" s="382" t="s">
        <v>252</v>
      </c>
      <c r="CX59" s="382" t="s">
        <v>253</v>
      </c>
      <c r="CY59" s="382" t="s">
        <v>254</v>
      </c>
      <c r="CZ59" s="382" t="s">
        <v>295</v>
      </c>
      <c r="DA59" s="382"/>
      <c r="DB59" s="382" t="s">
        <v>256</v>
      </c>
      <c r="DC59" s="448" t="s">
        <v>307</v>
      </c>
      <c r="DD59" s="449"/>
      <c r="DE59" s="382" t="s">
        <v>258</v>
      </c>
      <c r="DF59" s="382" t="s">
        <v>177</v>
      </c>
      <c r="DG59" s="382" t="s">
        <v>259</v>
      </c>
      <c r="DH59" s="382" t="s">
        <v>260</v>
      </c>
      <c r="DI59" s="382" t="s">
        <v>261</v>
      </c>
      <c r="DJ59" s="382" t="s">
        <v>262</v>
      </c>
      <c r="DK59" s="382" t="s">
        <v>263</v>
      </c>
      <c r="DL59" s="382" t="s">
        <v>89</v>
      </c>
      <c r="DM59" s="382" t="s">
        <v>264</v>
      </c>
      <c r="DN59" s="382" t="s">
        <v>265</v>
      </c>
      <c r="DO59" s="382" t="s">
        <v>266</v>
      </c>
      <c r="DP59" s="382" t="s">
        <v>267</v>
      </c>
      <c r="DQ59" s="67"/>
    </row>
    <row r="60" ht="22.5" customHeight="1">
      <c r="A60" s="383"/>
      <c r="B60" s="384" t="str">
        <f>IFERROR(__xludf.DUMMYFUNCTION("IF(B$43="""","""",IF($AZ60="""","""",IFERROR(Query({CarteirasAtivos},""Select Col3 where Col1 = '""&amp;$AZ60&amp;""'and Col2 = '""&amp;S$21&amp;""'""))))"),"")</f>
        <v/>
      </c>
      <c r="C60" s="384" t="str">
        <f>IFERROR(__xludf.DUMMYFUNCTION("IF(C$43="""","""",IF($AZ60="""","""",IFERROR(Query({CarteirasAtivos},""Select Col3 where Col1 = '""&amp;$AZ60&amp;""'and Col2 = '""&amp;T$21&amp;""'""))))"),"")</f>
        <v/>
      </c>
      <c r="D60" s="384" t="str">
        <f>IFERROR(__xludf.DUMMYFUNCTION("IF(D$43="""","""",IF($AZ60="""","""",IFERROR(Query({CarteirasAtivos},""Select Col3 where Col1 = '""&amp;$AZ60&amp;""'and Col2 = '""&amp;U$21&amp;""'""))))"),"")</f>
        <v/>
      </c>
      <c r="E60" s="384" t="str">
        <f>IFERROR(__xludf.DUMMYFUNCTION("IF(E$43="""","""",IF($AZ60="""","""",IFERROR(Query({CarteirasAtivos},""Select Col3 where Col1 = '""&amp;$AZ60&amp;""'and Col2 = '""&amp;V$21&amp;""'""))))"),"")</f>
        <v/>
      </c>
      <c r="F60" s="384" t="str">
        <f>IFERROR(__xludf.DUMMYFUNCTION("IF(F$43="""","""",IF($AZ60="""","""",IFERROR(Query({CarteirasAtivos},""Select Col3 where Col1 = '""&amp;$AZ60&amp;""'and Col2 = '""&amp;W$21&amp;""'""))))"),"")</f>
        <v/>
      </c>
      <c r="G60" s="384" t="str">
        <f>IFERROR(__xludf.DUMMYFUNCTION("IF(G$43="""","""",IF($AZ60="""","""",IFERROR(Query({CarteirasAtivos},""Select Col3 where Col1 = '""&amp;$AZ60&amp;""'and Col2 = '""&amp;X$21&amp;""'""))))"),"")</f>
        <v/>
      </c>
      <c r="H60" s="384" t="str">
        <f>IFERROR(__xludf.DUMMYFUNCTION("IF(H$43="""","""",IF($AZ60="""","""",IFERROR(Query({CarteirasAtivos},""Select Col3 where Col1 = '""&amp;$AZ60&amp;""'and Col2 = '""&amp;Y$21&amp;""'""))))"),"")</f>
        <v/>
      </c>
      <c r="I60" s="384" t="str">
        <f>IFERROR(__xludf.DUMMYFUNCTION("IF(I$43="""","""",IF($AZ60="""","""",IFERROR(Query({CarteirasAtivos},""Select Col3 where Col1 = '""&amp;$AZ60&amp;""'and Col2 = '""&amp;Z$21&amp;""'""))))"),"")</f>
        <v/>
      </c>
      <c r="J60" s="384" t="str">
        <f>IFERROR(__xludf.DUMMYFUNCTION("IF(J$43="""","""",IF($AZ60="""","""",IFERROR(Query({CarteirasAtivos},""Select Col3 where Col1 = '""&amp;$AZ60&amp;""'and Col2 = '""&amp;AA$21&amp;""'""))))"),"")</f>
        <v/>
      </c>
      <c r="K60" s="384" t="str">
        <f>IFERROR(__xludf.DUMMYFUNCTION("IF(K$43="""","""",IF($AZ60="""","""",IFERROR(Query({CarteirasAtivos},""Select Col3 where Col1 = '""&amp;$AZ60&amp;""'and Col2 = '""&amp;AB$21&amp;""'""))))"),"")</f>
        <v/>
      </c>
      <c r="L60" s="385">
        <v>17.0</v>
      </c>
      <c r="M60" s="432"/>
      <c r="N60" s="387"/>
      <c r="O60" s="388" t="s">
        <v>123</v>
      </c>
      <c r="P60" s="389"/>
      <c r="Q60" s="390"/>
      <c r="R60" s="391"/>
      <c r="S60" s="392"/>
      <c r="T60" s="393"/>
      <c r="U60" s="393"/>
      <c r="V60" s="394"/>
      <c r="W60" s="395" t="str">
        <f>IFERROR(__xludf.DUMMYFUNCTION("IF(M60="""","""",sparkline(IFERROR(BF60*100/MAX($BF$44:$BF$153),0),{""charttype"",""bar"";""max"",100;""color1"",IF(BD60&gt;=0,""#4760a5"",""red"")}))"),"")</f>
        <v/>
      </c>
      <c r="X60" s="396"/>
      <c r="Y60" s="397"/>
      <c r="Z60" s="398"/>
      <c r="AA60" s="399"/>
      <c r="AB60" s="393"/>
      <c r="AC60" s="440"/>
      <c r="AD60" s="401"/>
      <c r="AE60" s="402"/>
      <c r="AF60" s="403"/>
      <c r="AG60" s="404" t="str">
        <f>IFERROR(__xludf.DUMMYFUNCTION("IF($M60="""","""",IFERROR(sparkline(query(GOOGLEFINANCE($AZ60,""price"",TODAY()-$AF$43,TODAY(),1),""select Col2 label Col2 ''""),IF($AG$43=""Gráfico de barras"",{""charttype"",""column"";""highcolor"",""red""},{""chartype"",""line""}))))"),"")</f>
        <v/>
      </c>
      <c r="AH60" s="405"/>
      <c r="AI60" s="434"/>
      <c r="AJ60" s="435" t="b">
        <v>1</v>
      </c>
      <c r="AK60" s="441"/>
      <c r="AL60" s="435" t="b">
        <v>1</v>
      </c>
      <c r="AM60" s="442"/>
      <c r="AU60" s="281"/>
      <c r="AV60" s="281"/>
      <c r="AW60" s="281"/>
      <c r="AX60" s="281"/>
      <c r="AY60" s="410">
        <v>17.0</v>
      </c>
      <c r="AZ60" s="411"/>
      <c r="BA60" s="411"/>
      <c r="BB60" s="437"/>
      <c r="BC60" s="437"/>
      <c r="BD60" s="437"/>
      <c r="BE60" s="437"/>
      <c r="BF60" s="415" t="s">
        <v>123</v>
      </c>
      <c r="BG60" s="410">
        <v>17.0</v>
      </c>
      <c r="BH60" s="416"/>
      <c r="BI60" s="416"/>
      <c r="BJ60" s="416"/>
      <c r="BK60" s="416"/>
      <c r="BL60" s="416"/>
      <c r="BM60" s="416"/>
      <c r="BN60" s="282"/>
      <c r="BO60" s="417">
        <v>7.0</v>
      </c>
      <c r="BP60" s="418"/>
      <c r="BQ60" s="411"/>
      <c r="BR60" s="411"/>
      <c r="BS60" s="63"/>
      <c r="BT60" s="63"/>
      <c r="BU60" s="64"/>
      <c r="BV60" s="63"/>
      <c r="BW60" s="63"/>
      <c r="BX60" s="62"/>
      <c r="BY60" s="452"/>
      <c r="BZ60" s="452"/>
      <c r="CA60" s="452"/>
      <c r="CB60" s="452"/>
      <c r="CC60" s="452"/>
      <c r="CD60" s="452"/>
      <c r="CE60" s="452"/>
      <c r="CF60" s="452"/>
      <c r="CG60" s="452"/>
      <c r="CH60" s="422"/>
      <c r="CI60" s="422"/>
      <c r="CJ60" s="422"/>
      <c r="CK60" s="421"/>
      <c r="CL60" s="421" t="s">
        <v>123</v>
      </c>
      <c r="CM60" s="423"/>
      <c r="CN60" s="421"/>
      <c r="CO60" s="423"/>
      <c r="CP60" s="421"/>
      <c r="CQ60" s="63"/>
      <c r="CR60" s="63"/>
      <c r="CS60" s="63"/>
      <c r="CT60" s="63"/>
      <c r="CU60" s="360">
        <v>15.0</v>
      </c>
      <c r="CV60" s="424" t="s">
        <v>118</v>
      </c>
      <c r="CW60" s="425" t="str">
        <f>IFERROR(__xludf.DUMMYFUNCTION("IFERROR(query({$Q$20:$AL$20},""select Col""&amp;MATCH(CZ60,$Q$21:$AL$21,0)))"),"")</f>
        <v/>
      </c>
      <c r="CX60" s="454" t="s">
        <v>308</v>
      </c>
      <c r="CY60" s="424" t="s">
        <v>309</v>
      </c>
      <c r="CZ60" s="461" t="str">
        <f>IF(AV8,IF(ConfigOn,"PRINCIPAIS OPERAÇÕES","-"),"-")</f>
        <v>-</v>
      </c>
      <c r="DA60" s="427"/>
      <c r="DB60" s="427" t="str">
        <f t="shared" ref="DB60:DB61" si="24">IFERROR(DG60/$DG$63,"")</f>
        <v/>
      </c>
      <c r="DC60" s="462">
        <v>1.0</v>
      </c>
      <c r="DD60" s="427">
        <f>SUM(DD44:DD53)</f>
        <v>0</v>
      </c>
      <c r="DE60" s="428">
        <f>DF60-DJ60-DK60</f>
        <v>0</v>
      </c>
      <c r="DF60" s="429">
        <f>IF(ConfigOn,IFERROR(IFERROR(SUMIFS(portfolio.!$O$4:$O$303,portfolio.!$U$4:$U$303,CX60),0),0))</f>
        <v>0</v>
      </c>
      <c r="DG60" s="429">
        <f>IF(ConfigOn,IFERROR(IFERROR(SUMIFS(portfolio.!$AN$4:$AN$303,portfolio.!$U$4:$U$303,CX60),0),0))</f>
        <v>0</v>
      </c>
      <c r="DH60" s="429">
        <f>IF(ConfigOn,IFERROR(IFERROR(SUMIFS(portfolio.!$AO$4:$AO$303,portfolio.!$U$4:$U$303,CX60),0),0))</f>
        <v>0</v>
      </c>
      <c r="DI60" s="427">
        <f>IFERROR(DH60/DF60,0)</f>
        <v>0</v>
      </c>
      <c r="DJ60" s="429">
        <f>IF(ConfigOn,IFERROR(IFERROR(SUMIFS(proventos!$Q$4:$Q343,proventos!$S$4:$S343,CX60),0),0))</f>
        <v>0</v>
      </c>
      <c r="DK60" s="429">
        <f>IF(ConfigOn,IFERROR(SUMIFS(op.normal!$P$4:$P343,op.normal!$AD$4:$AD343,CX60),0)+DN65)</f>
        <v>0</v>
      </c>
      <c r="DL60" s="428">
        <f>IF(ConfigOn,DG60-DF60,0)</f>
        <v>0</v>
      </c>
      <c r="DM60" s="428">
        <f>SUM(DJ60:DL60)</f>
        <v>0</v>
      </c>
      <c r="DN60" s="457" t="str">
        <f>IF(AV8,((1+DO60)^(1/12))-1,"-")</f>
        <v>-</v>
      </c>
      <c r="DO60" s="458">
        <v>-0.02773055429353587</v>
      </c>
      <c r="DP60" s="431">
        <v>1.0</v>
      </c>
      <c r="DQ60" s="459"/>
    </row>
    <row r="61" ht="22.5" customHeight="1">
      <c r="A61" s="383"/>
      <c r="B61" s="384" t="str">
        <f>IFERROR(__xludf.DUMMYFUNCTION("IF(B$43="""","""",IF($AZ61="""","""",IFERROR(Query({CarteirasAtivos},""Select Col3 where Col1 = '""&amp;$AZ61&amp;""'and Col2 = '""&amp;S$21&amp;""'""))))"),"")</f>
        <v/>
      </c>
      <c r="C61" s="384" t="str">
        <f>IFERROR(__xludf.DUMMYFUNCTION("IF(C$43="""","""",IF($AZ61="""","""",IFERROR(Query({CarteirasAtivos},""Select Col3 where Col1 = '""&amp;$AZ61&amp;""'and Col2 = '""&amp;T$21&amp;""'""))))"),"")</f>
        <v/>
      </c>
      <c r="D61" s="384" t="str">
        <f>IFERROR(__xludf.DUMMYFUNCTION("IF(D$43="""","""",IF($AZ61="""","""",IFERROR(Query({CarteirasAtivos},""Select Col3 where Col1 = '""&amp;$AZ61&amp;""'and Col2 = '""&amp;U$21&amp;""'""))))"),"")</f>
        <v/>
      </c>
      <c r="E61" s="384" t="str">
        <f>IFERROR(__xludf.DUMMYFUNCTION("IF(E$43="""","""",IF($AZ61="""","""",IFERROR(Query({CarteirasAtivos},""Select Col3 where Col1 = '""&amp;$AZ61&amp;""'and Col2 = '""&amp;V$21&amp;""'""))))"),"")</f>
        <v/>
      </c>
      <c r="F61" s="384" t="str">
        <f>IFERROR(__xludf.DUMMYFUNCTION("IF(F$43="""","""",IF($AZ61="""","""",IFERROR(Query({CarteirasAtivos},""Select Col3 where Col1 = '""&amp;$AZ61&amp;""'and Col2 = '""&amp;W$21&amp;""'""))))"),"")</f>
        <v/>
      </c>
      <c r="G61" s="384" t="str">
        <f>IFERROR(__xludf.DUMMYFUNCTION("IF(G$43="""","""",IF($AZ61="""","""",IFERROR(Query({CarteirasAtivos},""Select Col3 where Col1 = '""&amp;$AZ61&amp;""'and Col2 = '""&amp;X$21&amp;""'""))))"),"")</f>
        <v/>
      </c>
      <c r="H61" s="384" t="str">
        <f>IFERROR(__xludf.DUMMYFUNCTION("IF(H$43="""","""",IF($AZ61="""","""",IFERROR(Query({CarteirasAtivos},""Select Col3 where Col1 = '""&amp;$AZ61&amp;""'and Col2 = '""&amp;Y$21&amp;""'""))))"),"")</f>
        <v/>
      </c>
      <c r="I61" s="384" t="str">
        <f>IFERROR(__xludf.DUMMYFUNCTION("IF(I$43="""","""",IF($AZ61="""","""",IFERROR(Query({CarteirasAtivos},""Select Col3 where Col1 = '""&amp;$AZ61&amp;""'and Col2 = '""&amp;Z$21&amp;""'""))))"),"")</f>
        <v/>
      </c>
      <c r="J61" s="384" t="str">
        <f>IFERROR(__xludf.DUMMYFUNCTION("IF(J$43="""","""",IF($AZ61="""","""",IFERROR(Query({CarteirasAtivos},""Select Col3 where Col1 = '""&amp;$AZ61&amp;""'and Col2 = '""&amp;AA$21&amp;""'""))))"),"")</f>
        <v/>
      </c>
      <c r="K61" s="384" t="str">
        <f>IFERROR(__xludf.DUMMYFUNCTION("IF(K$43="""","""",IF($AZ61="""","""",IFERROR(Query({CarteirasAtivos},""Select Col3 where Col1 = '""&amp;$AZ61&amp;""'and Col2 = '""&amp;AB$21&amp;""'""))))"),"")</f>
        <v/>
      </c>
      <c r="L61" s="385">
        <v>18.0</v>
      </c>
      <c r="M61" s="432"/>
      <c r="N61" s="387"/>
      <c r="O61" s="388" t="s">
        <v>123</v>
      </c>
      <c r="P61" s="389"/>
      <c r="Q61" s="390"/>
      <c r="R61" s="391"/>
      <c r="S61" s="392"/>
      <c r="T61" s="393"/>
      <c r="U61" s="393"/>
      <c r="V61" s="394"/>
      <c r="W61" s="395" t="str">
        <f>IFERROR(__xludf.DUMMYFUNCTION("IF(M61="""","""",sparkline(IFERROR(BF61*100/MAX($BF$44:$BF$153),0),{""charttype"",""bar"";""max"",100;""color1"",IF(BD61&gt;=0,""#4760a5"",""red"")}))"),"")</f>
        <v/>
      </c>
      <c r="X61" s="396"/>
      <c r="Y61" s="397"/>
      <c r="Z61" s="398"/>
      <c r="AA61" s="399"/>
      <c r="AB61" s="393"/>
      <c r="AC61" s="440"/>
      <c r="AD61" s="401"/>
      <c r="AE61" s="402"/>
      <c r="AF61" s="403"/>
      <c r="AG61" s="404" t="str">
        <f>IFERROR(__xludf.DUMMYFUNCTION("IF($M61="""","""",IFERROR(sparkline(query(GOOGLEFINANCE($AZ61,""price"",TODAY()-$AF$43,TODAY(),1),""select Col2 label Col2 ''""),IF($AG$43=""Gráfico de barras"",{""charttype"",""column"";""highcolor"",""red""},{""chartype"",""line""}))))"),"")</f>
        <v/>
      </c>
      <c r="AH61" s="405"/>
      <c r="AI61" s="434"/>
      <c r="AJ61" s="435" t="b">
        <v>1</v>
      </c>
      <c r="AK61" s="441"/>
      <c r="AL61" s="435" t="b">
        <v>1</v>
      </c>
      <c r="AU61" s="281"/>
      <c r="AV61" s="281"/>
      <c r="AW61" s="281"/>
      <c r="AX61" s="281"/>
      <c r="AY61" s="410">
        <v>18.0</v>
      </c>
      <c r="AZ61" s="411"/>
      <c r="BA61" s="411"/>
      <c r="BB61" s="437"/>
      <c r="BC61" s="437"/>
      <c r="BD61" s="437"/>
      <c r="BE61" s="437"/>
      <c r="BF61" s="415" t="s">
        <v>123</v>
      </c>
      <c r="BG61" s="410">
        <v>18.0</v>
      </c>
      <c r="BH61" s="416"/>
      <c r="BI61" s="416"/>
      <c r="BJ61" s="416"/>
      <c r="BK61" s="416"/>
      <c r="BL61" s="416"/>
      <c r="BM61" s="416"/>
      <c r="BN61" s="282"/>
      <c r="BO61" s="417">
        <v>8.0</v>
      </c>
      <c r="BP61" s="418"/>
      <c r="BQ61" s="411"/>
      <c r="BR61" s="411"/>
      <c r="BS61" s="63"/>
      <c r="BT61" s="63"/>
      <c r="BU61" s="64"/>
      <c r="BV61" s="63"/>
      <c r="BW61" s="63"/>
      <c r="BX61" s="62"/>
      <c r="BY61" s="452"/>
      <c r="BZ61" s="452"/>
      <c r="CA61" s="452"/>
      <c r="CB61" s="452"/>
      <c r="CC61" s="452"/>
      <c r="CD61" s="452"/>
      <c r="CE61" s="452"/>
      <c r="CF61" s="452"/>
      <c r="CG61" s="452"/>
      <c r="CH61" s="422"/>
      <c r="CI61" s="422"/>
      <c r="CJ61" s="422"/>
      <c r="CK61" s="421"/>
      <c r="CL61" s="421" t="s">
        <v>123</v>
      </c>
      <c r="CM61" s="423"/>
      <c r="CN61" s="421"/>
      <c r="CO61" s="423"/>
      <c r="CP61" s="421"/>
      <c r="CQ61" s="63"/>
      <c r="CR61" s="63"/>
      <c r="CS61" s="63"/>
      <c r="CT61" s="63"/>
      <c r="CU61" s="360">
        <v>16.0</v>
      </c>
      <c r="CV61" s="424" t="s">
        <v>298</v>
      </c>
      <c r="CW61" s="425" t="str">
        <f>IFERROR(__xludf.DUMMYFUNCTION("IFERROR(query({$Q$20:$AL$20},""select Col""&amp;MATCH(CZ61,$Q$21:$AL$21,0)))"),"")</f>
        <v/>
      </c>
      <c r="CX61" s="425"/>
      <c r="CY61" s="424" t="s">
        <v>309</v>
      </c>
      <c r="CZ61" s="461" t="str">
        <f>IF(AV8,IF(DF61&lt;&gt;0,"FUNDOS E R.FIXA","-"),"-")</f>
        <v>-</v>
      </c>
      <c r="DA61" s="427"/>
      <c r="DB61" s="427" t="str">
        <f t="shared" si="24"/>
        <v/>
      </c>
      <c r="DC61" s="462">
        <v>1.0</v>
      </c>
      <c r="DD61" s="427"/>
      <c r="DE61" s="428">
        <f t="shared" ref="DE61:DJ61" si="25">SUM(DE55:DE58)</f>
        <v>0</v>
      </c>
      <c r="DF61" s="429">
        <f t="shared" si="25"/>
        <v>0</v>
      </c>
      <c r="DG61" s="429">
        <f t="shared" si="25"/>
        <v>0</v>
      </c>
      <c r="DH61" s="429">
        <f t="shared" si="25"/>
        <v>0</v>
      </c>
      <c r="DI61" s="427">
        <f t="shared" si="25"/>
        <v>0</v>
      </c>
      <c r="DJ61" s="429">
        <f t="shared" si="25"/>
        <v>0</v>
      </c>
      <c r="DK61" s="429">
        <f>IF(ConfigOn,SUM(DK55:DK58),0)</f>
        <v>0</v>
      </c>
      <c r="DL61" s="428">
        <f>SUM(DL55:DL58)</f>
        <v>0</v>
      </c>
      <c r="DM61" s="428">
        <f>IF(ConfigOn,SUM(DM55:DM58),0)</f>
        <v>0</v>
      </c>
      <c r="DN61" s="457" t="str">
        <f>IF(AV8,((1+DO61)^(1/12))-1,"-")</f>
        <v>-</v>
      </c>
      <c r="DO61" s="458">
        <v>0.03664555645450024</v>
      </c>
      <c r="DP61" s="431">
        <v>3.0</v>
      </c>
      <c r="DQ61" s="459"/>
    </row>
    <row r="62" ht="22.5" customHeight="1">
      <c r="A62" s="383"/>
      <c r="B62" s="384" t="str">
        <f>IFERROR(__xludf.DUMMYFUNCTION("IF(B$43="""","""",IF($AZ62="""","""",IFERROR(Query({CarteirasAtivos},""Select Col3 where Col1 = '""&amp;$AZ62&amp;""'and Col2 = '""&amp;S$21&amp;""'""))))"),"")</f>
        <v/>
      </c>
      <c r="C62" s="384" t="str">
        <f>IFERROR(__xludf.DUMMYFUNCTION("IF(C$43="""","""",IF($AZ62="""","""",IFERROR(Query({CarteirasAtivos},""Select Col3 where Col1 = '""&amp;$AZ62&amp;""'and Col2 = '""&amp;T$21&amp;""'""))))"),"")</f>
        <v/>
      </c>
      <c r="D62" s="384" t="str">
        <f>IFERROR(__xludf.DUMMYFUNCTION("IF(D$43="""","""",IF($AZ62="""","""",IFERROR(Query({CarteirasAtivos},""Select Col3 where Col1 = '""&amp;$AZ62&amp;""'and Col2 = '""&amp;U$21&amp;""'""))))"),"")</f>
        <v/>
      </c>
      <c r="E62" s="384" t="str">
        <f>IFERROR(__xludf.DUMMYFUNCTION("IF(E$43="""","""",IF($AZ62="""","""",IFERROR(Query({CarteirasAtivos},""Select Col3 where Col1 = '""&amp;$AZ62&amp;""'and Col2 = '""&amp;V$21&amp;""'""))))"),"")</f>
        <v/>
      </c>
      <c r="F62" s="384" t="str">
        <f>IFERROR(__xludf.DUMMYFUNCTION("IF(F$43="""","""",IF($AZ62="""","""",IFERROR(Query({CarteirasAtivos},""Select Col3 where Col1 = '""&amp;$AZ62&amp;""'and Col2 = '""&amp;W$21&amp;""'""))))"),"")</f>
        <v/>
      </c>
      <c r="G62" s="384" t="str">
        <f>IFERROR(__xludf.DUMMYFUNCTION("IF(G$43="""","""",IF($AZ62="""","""",IFERROR(Query({CarteirasAtivos},""Select Col3 where Col1 = '""&amp;$AZ62&amp;""'and Col2 = '""&amp;X$21&amp;""'""))))"),"")</f>
        <v/>
      </c>
      <c r="H62" s="384" t="str">
        <f>IFERROR(__xludf.DUMMYFUNCTION("IF(H$43="""","""",IF($AZ62="""","""",IFERROR(Query({CarteirasAtivos},""Select Col3 where Col1 = '""&amp;$AZ62&amp;""'and Col2 = '""&amp;Y$21&amp;""'""))))"),"")</f>
        <v/>
      </c>
      <c r="I62" s="384" t="str">
        <f>IFERROR(__xludf.DUMMYFUNCTION("IF(I$43="""","""",IF($AZ62="""","""",IFERROR(Query({CarteirasAtivos},""Select Col3 where Col1 = '""&amp;$AZ62&amp;""'and Col2 = '""&amp;Z$21&amp;""'""))))"),"")</f>
        <v/>
      </c>
      <c r="J62" s="384" t="str">
        <f>IFERROR(__xludf.DUMMYFUNCTION("IF(J$43="""","""",IF($AZ62="""","""",IFERROR(Query({CarteirasAtivos},""Select Col3 where Col1 = '""&amp;$AZ62&amp;""'and Col2 = '""&amp;AA$21&amp;""'""))))"),"")</f>
        <v/>
      </c>
      <c r="K62" s="384" t="str">
        <f>IFERROR(__xludf.DUMMYFUNCTION("IF(K$43="""","""",IF($AZ62="""","""",IFERROR(Query({CarteirasAtivos},""Select Col3 where Col1 = '""&amp;$AZ62&amp;""'and Col2 = '""&amp;AB$21&amp;""'""))))"),"")</f>
        <v/>
      </c>
      <c r="L62" s="385">
        <v>19.0</v>
      </c>
      <c r="M62" s="432"/>
      <c r="N62" s="387"/>
      <c r="O62" s="388" t="s">
        <v>123</v>
      </c>
      <c r="P62" s="389"/>
      <c r="Q62" s="390"/>
      <c r="R62" s="391"/>
      <c r="S62" s="392"/>
      <c r="T62" s="393"/>
      <c r="U62" s="393"/>
      <c r="V62" s="394"/>
      <c r="W62" s="395" t="str">
        <f>IFERROR(__xludf.DUMMYFUNCTION("IF(M62="""","""",sparkline(IFERROR(BF62*100/MAX($BF$44:$BF$153),0),{""charttype"",""bar"";""max"",100;""color1"",IF(BD62&gt;=0,""#4760a5"",""red"")}))"),"")</f>
        <v/>
      </c>
      <c r="X62" s="396"/>
      <c r="Y62" s="397"/>
      <c r="Z62" s="398"/>
      <c r="AA62" s="399"/>
      <c r="AB62" s="393"/>
      <c r="AC62" s="440"/>
      <c r="AD62" s="401"/>
      <c r="AE62" s="402"/>
      <c r="AF62" s="403"/>
      <c r="AG62" s="404" t="str">
        <f>IFERROR(__xludf.DUMMYFUNCTION("IF($M62="""","""",IFERROR(sparkline(query(GOOGLEFINANCE($AZ62,""price"",TODAY()-$AF$43,TODAY(),1),""select Col2 label Col2 ''""),IF($AG$43=""Gráfico de barras"",{""charttype"",""column"";""highcolor"",""red""},{""chartype"",""line""}))))"),"")</f>
        <v/>
      </c>
      <c r="AH62" s="405"/>
      <c r="AI62" s="463"/>
      <c r="AJ62" s="464" t="b">
        <v>1</v>
      </c>
      <c r="AK62" s="465"/>
      <c r="AL62" s="464" t="b">
        <v>1</v>
      </c>
      <c r="AM62" s="56"/>
      <c r="AU62" s="281"/>
      <c r="AV62" s="281"/>
      <c r="AW62" s="281"/>
      <c r="AX62" s="281"/>
      <c r="AY62" s="410">
        <v>19.0</v>
      </c>
      <c r="AZ62" s="411"/>
      <c r="BA62" s="411"/>
      <c r="BB62" s="437"/>
      <c r="BC62" s="437"/>
      <c r="BD62" s="437"/>
      <c r="BE62" s="437"/>
      <c r="BF62" s="415" t="s">
        <v>123</v>
      </c>
      <c r="BG62" s="410">
        <v>19.0</v>
      </c>
      <c r="BH62" s="416"/>
      <c r="BI62" s="416"/>
      <c r="BJ62" s="416"/>
      <c r="BK62" s="416"/>
      <c r="BL62" s="416"/>
      <c r="BM62" s="416"/>
      <c r="BN62" s="282"/>
      <c r="BO62" s="417">
        <v>9.0</v>
      </c>
      <c r="BP62" s="418"/>
      <c r="BQ62" s="411"/>
      <c r="BR62" s="411"/>
      <c r="BS62" s="63"/>
      <c r="BT62" s="63"/>
      <c r="BU62" s="64"/>
      <c r="BV62" s="63"/>
      <c r="BW62" s="63"/>
      <c r="BX62" s="62"/>
      <c r="BY62" s="452"/>
      <c r="BZ62" s="452"/>
      <c r="CA62" s="452"/>
      <c r="CB62" s="452"/>
      <c r="CC62" s="452"/>
      <c r="CD62" s="452"/>
      <c r="CE62" s="452"/>
      <c r="CF62" s="452"/>
      <c r="CG62" s="452"/>
      <c r="CH62" s="422"/>
      <c r="CI62" s="422"/>
      <c r="CJ62" s="422"/>
      <c r="CK62" s="421"/>
      <c r="CL62" s="421" t="s">
        <v>123</v>
      </c>
      <c r="CM62" s="423"/>
      <c r="CN62" s="421"/>
      <c r="CO62" s="423"/>
      <c r="CP62" s="421"/>
      <c r="CQ62" s="63"/>
      <c r="CR62" s="63"/>
      <c r="CS62" s="63"/>
      <c r="CT62" s="63"/>
      <c r="CU62" s="360">
        <v>17.0</v>
      </c>
      <c r="CV62" s="424" t="s">
        <v>310</v>
      </c>
      <c r="CW62" s="425" t="str">
        <f>IFERROR(__xludf.DUMMYFUNCTION("IFERROR(query({$Q$20:$AL$20},""select Col""&amp;MATCH(CZ62,$Q$21:$AL$21,0)))"),"")</f>
        <v/>
      </c>
      <c r="CX62" s="454" t="s">
        <v>311</v>
      </c>
      <c r="CY62" s="424" t="s">
        <v>309</v>
      </c>
      <c r="CZ62" s="461" t="str">
        <f>IF(AV8,IF(OR(SUM(DE62:DH62)&lt;&gt;0,SUM(DJ62:DM62)&lt;&gt;0),"DEMAIS OPERAÇÕES","-"),"-")</f>
        <v>-</v>
      </c>
      <c r="DA62" s="427"/>
      <c r="DB62" s="427">
        <f>1-DB61-DB60</f>
        <v>1</v>
      </c>
      <c r="DC62" s="431" t="s">
        <v>292</v>
      </c>
      <c r="DD62" s="427"/>
      <c r="DE62" s="428">
        <f>trunc(DF62-DJ62-DK62,2)</f>
        <v>0</v>
      </c>
      <c r="DF62" s="429">
        <f t="shared" ref="DF62:DH62" si="26">TRUNC(DF63-DF61-DF60,2)</f>
        <v>0</v>
      </c>
      <c r="DG62" s="429">
        <f t="shared" si="26"/>
        <v>0</v>
      </c>
      <c r="DH62" s="429">
        <f t="shared" si="26"/>
        <v>0</v>
      </c>
      <c r="DI62" s="427">
        <f>IFERROR(DH62/DF62,0)</f>
        <v>0</v>
      </c>
      <c r="DJ62" s="429">
        <f t="shared" ref="DJ62:DM62" si="27">TRUNC(DJ63-DJ61-DJ60,2)</f>
        <v>0</v>
      </c>
      <c r="DK62" s="429">
        <f t="shared" si="27"/>
        <v>0</v>
      </c>
      <c r="DL62" s="428">
        <f t="shared" si="27"/>
        <v>0</v>
      </c>
      <c r="DM62" s="428">
        <f t="shared" si="27"/>
        <v>0</v>
      </c>
      <c r="DN62" s="457" t="str">
        <f>IF(AV8,((1+DO62)^(1/12))-1,"-")</f>
        <v>-</v>
      </c>
      <c r="DO62" s="458">
        <v>-0.7067682754364554</v>
      </c>
      <c r="DP62" s="431">
        <v>5.0</v>
      </c>
      <c r="DQ62" s="459"/>
    </row>
    <row r="63" ht="22.5" customHeight="1">
      <c r="A63" s="383"/>
      <c r="B63" s="384" t="str">
        <f>IFERROR(__xludf.DUMMYFUNCTION("IF(B$43="""","""",IF($AZ63="""","""",IFERROR(Query({CarteirasAtivos},""Select Col3 where Col1 = '""&amp;$AZ63&amp;""'and Col2 = '""&amp;S$21&amp;""'""))))"),"")</f>
        <v/>
      </c>
      <c r="C63" s="384" t="str">
        <f>IFERROR(__xludf.DUMMYFUNCTION("IF(C$43="""","""",IF($AZ63="""","""",IFERROR(Query({CarteirasAtivos},""Select Col3 where Col1 = '""&amp;$AZ63&amp;""'and Col2 = '""&amp;T$21&amp;""'""))))"),"")</f>
        <v/>
      </c>
      <c r="D63" s="384" t="str">
        <f>IFERROR(__xludf.DUMMYFUNCTION("IF(D$43="""","""",IF($AZ63="""","""",IFERROR(Query({CarteirasAtivos},""Select Col3 where Col1 = '""&amp;$AZ63&amp;""'and Col2 = '""&amp;U$21&amp;""'""))))"),"")</f>
        <v/>
      </c>
      <c r="E63" s="384" t="str">
        <f>IFERROR(__xludf.DUMMYFUNCTION("IF(E$43="""","""",IF($AZ63="""","""",IFERROR(Query({CarteirasAtivos},""Select Col3 where Col1 = '""&amp;$AZ63&amp;""'and Col2 = '""&amp;V$21&amp;""'""))))"),"")</f>
        <v/>
      </c>
      <c r="F63" s="384" t="str">
        <f>IFERROR(__xludf.DUMMYFUNCTION("IF(F$43="""","""",IF($AZ63="""","""",IFERROR(Query({CarteirasAtivos},""Select Col3 where Col1 = '""&amp;$AZ63&amp;""'and Col2 = '""&amp;W$21&amp;""'""))))"),"")</f>
        <v/>
      </c>
      <c r="G63" s="384" t="str">
        <f>IFERROR(__xludf.DUMMYFUNCTION("IF(G$43="""","""",IF($AZ63="""","""",IFERROR(Query({CarteirasAtivos},""Select Col3 where Col1 = '""&amp;$AZ63&amp;""'and Col2 = '""&amp;X$21&amp;""'""))))"),"")</f>
        <v/>
      </c>
      <c r="H63" s="384" t="str">
        <f>IFERROR(__xludf.DUMMYFUNCTION("IF(H$43="""","""",IF($AZ63="""","""",IFERROR(Query({CarteirasAtivos},""Select Col3 where Col1 = '""&amp;$AZ63&amp;""'and Col2 = '""&amp;Y$21&amp;""'""))))"),"")</f>
        <v/>
      </c>
      <c r="I63" s="384" t="str">
        <f>IFERROR(__xludf.DUMMYFUNCTION("IF(I$43="""","""",IF($AZ63="""","""",IFERROR(Query({CarteirasAtivos},""Select Col3 where Col1 = '""&amp;$AZ63&amp;""'and Col2 = '""&amp;Z$21&amp;""'""))))"),"")</f>
        <v/>
      </c>
      <c r="J63" s="384" t="str">
        <f>IFERROR(__xludf.DUMMYFUNCTION("IF(J$43="""","""",IF($AZ63="""","""",IFERROR(Query({CarteirasAtivos},""Select Col3 where Col1 = '""&amp;$AZ63&amp;""'and Col2 = '""&amp;AA$21&amp;""'""))))"),"")</f>
        <v/>
      </c>
      <c r="K63" s="384" t="str">
        <f>IFERROR(__xludf.DUMMYFUNCTION("IF(K$43="""","""",IF($AZ63="""","""",IFERROR(Query({CarteirasAtivos},""Select Col3 where Col1 = '""&amp;$AZ63&amp;""'and Col2 = '""&amp;AB$21&amp;""'""))))"),"")</f>
        <v/>
      </c>
      <c r="L63" s="385">
        <v>20.0</v>
      </c>
      <c r="M63" s="432"/>
      <c r="N63" s="387"/>
      <c r="O63" s="388" t="s">
        <v>123</v>
      </c>
      <c r="P63" s="389"/>
      <c r="Q63" s="390"/>
      <c r="R63" s="391"/>
      <c r="S63" s="392"/>
      <c r="T63" s="393"/>
      <c r="U63" s="393"/>
      <c r="V63" s="394"/>
      <c r="W63" s="395" t="str">
        <f>IFERROR(__xludf.DUMMYFUNCTION("IF(M63="""","""",sparkline(IFERROR(BF63*100/MAX($BF$44:$BF$153),0),{""charttype"",""bar"";""max"",100;""color1"",IF(BD63&gt;=0,""#4760a5"",""red"")}))"),"")</f>
        <v/>
      </c>
      <c r="X63" s="396"/>
      <c r="Y63" s="466"/>
      <c r="Z63" s="398"/>
      <c r="AA63" s="399"/>
      <c r="AB63" s="393"/>
      <c r="AC63" s="433"/>
      <c r="AD63" s="401"/>
      <c r="AE63" s="402"/>
      <c r="AF63" s="403"/>
      <c r="AG63" s="404" t="str">
        <f>IFERROR(__xludf.DUMMYFUNCTION("IF($M63="""","""",IFERROR(sparkline(query(GOOGLEFINANCE($AZ63,""price"",TODAY()-$AF$43,TODAY(),1),""select Col2 label Col2 ''""),IF($AG$43=""Gráfico de barras"",{""charttype"",""column"";""highcolor"",""red""},{""chartype"",""line""}))))"),"")</f>
        <v/>
      </c>
      <c r="AH63" s="405"/>
      <c r="AI63" s="467"/>
      <c r="AJ63" s="467"/>
      <c r="AK63" s="467"/>
      <c r="AL63" s="467"/>
      <c r="AN63" s="56"/>
      <c r="AU63" s="281"/>
      <c r="AV63" s="281"/>
      <c r="AW63" s="281"/>
      <c r="AX63" s="281"/>
      <c r="AY63" s="410">
        <v>20.0</v>
      </c>
      <c r="AZ63" s="411"/>
      <c r="BA63" s="411"/>
      <c r="BB63" s="437"/>
      <c r="BC63" s="437"/>
      <c r="BD63" s="437"/>
      <c r="BE63" s="437"/>
      <c r="BF63" s="415" t="s">
        <v>123</v>
      </c>
      <c r="BG63" s="410">
        <v>20.0</v>
      </c>
      <c r="BH63" s="416"/>
      <c r="BI63" s="416"/>
      <c r="BJ63" s="416"/>
      <c r="BK63" s="416"/>
      <c r="BL63" s="416"/>
      <c r="BM63" s="416"/>
      <c r="BN63" s="282"/>
      <c r="BO63" s="417">
        <v>10.0</v>
      </c>
      <c r="BP63" s="418"/>
      <c r="BQ63" s="411"/>
      <c r="BR63" s="411"/>
      <c r="BS63" s="63"/>
      <c r="BT63" s="63"/>
      <c r="BU63" s="64"/>
      <c r="BV63" s="63"/>
      <c r="BW63" s="63"/>
      <c r="BX63" s="62"/>
      <c r="BY63" s="452"/>
      <c r="BZ63" s="452"/>
      <c r="CA63" s="452"/>
      <c r="CB63" s="452"/>
      <c r="CC63" s="452"/>
      <c r="CD63" s="452"/>
      <c r="CE63" s="452"/>
      <c r="CF63" s="452"/>
      <c r="CG63" s="452"/>
      <c r="CH63" s="422"/>
      <c r="CI63" s="422"/>
      <c r="CJ63" s="422"/>
      <c r="CK63" s="421"/>
      <c r="CL63" s="421" t="s">
        <v>123</v>
      </c>
      <c r="CM63" s="423"/>
      <c r="CN63" s="421"/>
      <c r="CO63" s="423"/>
      <c r="CP63" s="421"/>
      <c r="CQ63" s="63"/>
      <c r="CR63" s="63"/>
      <c r="CS63" s="63"/>
      <c r="CT63" s="63"/>
      <c r="CU63" s="447"/>
      <c r="CV63" s="453" t="s">
        <v>73</v>
      </c>
      <c r="CW63" s="425" t="str">
        <f>IFERROR(__xludf.DUMMYFUNCTION("IFERROR(query({$Q$20:$AL$20},""select Col""&amp;MATCH(CZ63,$Q$21:$AL$21,0)))"),"")</f>
        <v/>
      </c>
      <c r="CX63" s="425"/>
      <c r="CY63" s="424" t="s">
        <v>309</v>
      </c>
      <c r="CZ63" s="468" t="str">
        <f>IF(AV8,"TOTAL","-")</f>
        <v>-</v>
      </c>
      <c r="DA63" s="469"/>
      <c r="DB63" s="470">
        <f>IF(ConfigOn,100%,"")</f>
        <v>1</v>
      </c>
      <c r="DC63" s="468" t="s">
        <v>292</v>
      </c>
      <c r="DD63" s="471"/>
      <c r="DE63" s="472">
        <f>IF(ConfigOn,DF63-DJ63-DK63,"")</f>
        <v>0</v>
      </c>
      <c r="DF63" s="472">
        <f>IF(ConfigOn,SUM(portfolio.!O4:O343),"")</f>
        <v>0</v>
      </c>
      <c r="DG63" s="472">
        <f>IF(ConfigOn,SUM(portfolio.!AN4:AN343),"")</f>
        <v>0</v>
      </c>
      <c r="DH63" s="472">
        <f>IF(ConfigOn,SUM(portfolio.!AO4:AO343),"")</f>
        <v>0</v>
      </c>
      <c r="DI63" s="473" t="str">
        <f>IFERROR(DH63/DF63,"")</f>
        <v/>
      </c>
      <c r="DJ63" s="472">
        <f>IF(ConfigOn,SUM(proventos!Q5:Q343),"")</f>
        <v>0</v>
      </c>
      <c r="DK63" s="472">
        <f>IF(ConfigOn,SUM(op.normal!P5:P343)+DN65,"")</f>
        <v>0</v>
      </c>
      <c r="DL63" s="472">
        <f>IF(ConfigOn,DG63-DF63,"")</f>
        <v>0</v>
      </c>
      <c r="DM63" s="472">
        <f>IF(ConfigOn,DJ63+DK63+DL63,"")</f>
        <v>0</v>
      </c>
      <c r="DN63" s="474">
        <f>IF(ConfigOn,((1+DO63)^(1/12))-1,"-")</f>
        <v>-0.001414936773</v>
      </c>
      <c r="DO63" s="475">
        <v>-0.016847727463031995</v>
      </c>
      <c r="DP63" s="468">
        <v>0.0</v>
      </c>
      <c r="DQ63" s="67"/>
    </row>
    <row r="64" ht="22.5" customHeight="1">
      <c r="A64" s="383"/>
      <c r="B64" s="384" t="str">
        <f>IFERROR(__xludf.DUMMYFUNCTION("IF(B$43="""","""",IF($AZ64="""","""",IFERROR(Query({CarteirasAtivos},""Select Col3 where Col1 = '""&amp;$AZ64&amp;""'and Col2 = '""&amp;S$21&amp;""'""))))"),"")</f>
        <v/>
      </c>
      <c r="C64" s="384" t="str">
        <f>IFERROR(__xludf.DUMMYFUNCTION("IF(C$43="""","""",IF($AZ64="""","""",IFERROR(Query({CarteirasAtivos},""Select Col3 where Col1 = '""&amp;$AZ64&amp;""'and Col2 = '""&amp;T$21&amp;""'""))))"),"")</f>
        <v/>
      </c>
      <c r="D64" s="384" t="str">
        <f>IFERROR(__xludf.DUMMYFUNCTION("IF(D$43="""","""",IF($AZ64="""","""",IFERROR(Query({CarteirasAtivos},""Select Col3 where Col1 = '""&amp;$AZ64&amp;""'and Col2 = '""&amp;U$21&amp;""'""))))"),"")</f>
        <v/>
      </c>
      <c r="E64" s="384" t="str">
        <f>IFERROR(__xludf.DUMMYFUNCTION("IF(E$43="""","""",IF($AZ64="""","""",IFERROR(Query({CarteirasAtivos},""Select Col3 where Col1 = '""&amp;$AZ64&amp;""'and Col2 = '""&amp;V$21&amp;""'""))))"),"")</f>
        <v/>
      </c>
      <c r="F64" s="384" t="str">
        <f>IFERROR(__xludf.DUMMYFUNCTION("IF(F$43="""","""",IF($AZ64="""","""",IFERROR(Query({CarteirasAtivos},""Select Col3 where Col1 = '""&amp;$AZ64&amp;""'and Col2 = '""&amp;W$21&amp;""'""))))"),"")</f>
        <v/>
      </c>
      <c r="G64" s="384" t="str">
        <f>IFERROR(__xludf.DUMMYFUNCTION("IF(G$43="""","""",IF($AZ64="""","""",IFERROR(Query({CarteirasAtivos},""Select Col3 where Col1 = '""&amp;$AZ64&amp;""'and Col2 = '""&amp;X$21&amp;""'""))))"),"")</f>
        <v/>
      </c>
      <c r="H64" s="384" t="str">
        <f>IFERROR(__xludf.DUMMYFUNCTION("IF(H$43="""","""",IF($AZ64="""","""",IFERROR(Query({CarteirasAtivos},""Select Col3 where Col1 = '""&amp;$AZ64&amp;""'and Col2 = '""&amp;Y$21&amp;""'""))))"),"")</f>
        <v/>
      </c>
      <c r="I64" s="384" t="str">
        <f>IFERROR(__xludf.DUMMYFUNCTION("IF(I$43="""","""",IF($AZ64="""","""",IFERROR(Query({CarteirasAtivos},""Select Col3 where Col1 = '""&amp;$AZ64&amp;""'and Col2 = '""&amp;Z$21&amp;""'""))))"),"")</f>
        <v/>
      </c>
      <c r="J64" s="384" t="str">
        <f>IFERROR(__xludf.DUMMYFUNCTION("IF(J$43="""","""",IF($AZ64="""","""",IFERROR(Query({CarteirasAtivos},""Select Col3 where Col1 = '""&amp;$AZ64&amp;""'and Col2 = '""&amp;AA$21&amp;""'""))))"),"")</f>
        <v/>
      </c>
      <c r="K64" s="384" t="str">
        <f>IFERROR(__xludf.DUMMYFUNCTION("IF(K$43="""","""",IF($AZ64="""","""",IFERROR(Query({CarteirasAtivos},""Select Col3 where Col1 = '""&amp;$AZ64&amp;""'and Col2 = '""&amp;AB$21&amp;""'""))))"),"")</f>
        <v/>
      </c>
      <c r="L64" s="385">
        <v>21.0</v>
      </c>
      <c r="M64" s="432"/>
      <c r="N64" s="387"/>
      <c r="O64" s="388" t="s">
        <v>123</v>
      </c>
      <c r="P64" s="389"/>
      <c r="Q64" s="390"/>
      <c r="R64" s="391"/>
      <c r="S64" s="392"/>
      <c r="T64" s="393"/>
      <c r="U64" s="393"/>
      <c r="V64" s="394"/>
      <c r="W64" s="395" t="str">
        <f>IFERROR(__xludf.DUMMYFUNCTION("IF(M64="""","""",sparkline(IFERROR(BF64*100/MAX($BF$44:$BF$153),0),{""charttype"",""bar"";""max"",100;""color1"",IF(BD64&gt;=0,""#4760a5"",""red"")}))"),"")</f>
        <v/>
      </c>
      <c r="X64" s="396"/>
      <c r="Y64" s="466"/>
      <c r="Z64" s="398"/>
      <c r="AA64" s="399"/>
      <c r="AB64" s="393"/>
      <c r="AC64" s="476"/>
      <c r="AD64" s="401"/>
      <c r="AE64" s="402"/>
      <c r="AF64" s="403"/>
      <c r="AG64" s="404" t="str">
        <f>IFERROR(__xludf.DUMMYFUNCTION("IF($M64="""","""",IFERROR(sparkline(query(GOOGLEFINANCE($AZ64,""price"",TODAY()-$AF$43,TODAY(),1),""select Col2 label Col2 ''""),IF($AG$43=""Gráfico de barras"",{""charttype"",""column"";""highcolor"",""red""},{""chartype"",""line""}))))"),"")</f>
        <v/>
      </c>
      <c r="AH64" s="405"/>
      <c r="AI64" s="467"/>
      <c r="AJ64" s="467"/>
      <c r="AK64" s="467"/>
      <c r="AL64" s="467"/>
      <c r="AM64" s="442"/>
      <c r="AN64" s="56"/>
      <c r="AU64" s="281"/>
      <c r="AV64" s="281"/>
      <c r="AW64" s="281"/>
      <c r="AX64" s="281"/>
      <c r="AY64" s="410">
        <v>21.0</v>
      </c>
      <c r="AZ64" s="411"/>
      <c r="BA64" s="411"/>
      <c r="BB64" s="437"/>
      <c r="BC64" s="437"/>
      <c r="BD64" s="437"/>
      <c r="BE64" s="437"/>
      <c r="BF64" s="415" t="s">
        <v>123</v>
      </c>
      <c r="BG64" s="410">
        <v>21.0</v>
      </c>
      <c r="BH64" s="416"/>
      <c r="BI64" s="416"/>
      <c r="BJ64" s="416"/>
      <c r="BK64" s="416"/>
      <c r="BL64" s="416"/>
      <c r="BM64" s="416"/>
      <c r="BN64" s="282"/>
      <c r="BO64" s="477"/>
      <c r="BP64" s="478"/>
      <c r="BQ64" s="479"/>
      <c r="BR64" s="479"/>
      <c r="BS64" s="63"/>
      <c r="BT64" s="63"/>
      <c r="BU64" s="64"/>
      <c r="BV64" s="63"/>
      <c r="BW64" s="63"/>
      <c r="BX64" s="62"/>
      <c r="BY64" s="452"/>
      <c r="BZ64" s="452"/>
      <c r="CA64" s="452"/>
      <c r="CB64" s="452"/>
      <c r="CC64" s="452"/>
      <c r="CD64" s="452"/>
      <c r="CE64" s="452"/>
      <c r="CF64" s="452"/>
      <c r="CG64" s="452"/>
      <c r="CH64" s="422"/>
      <c r="CI64" s="422"/>
      <c r="CJ64" s="422"/>
      <c r="CK64" s="421"/>
      <c r="CL64" s="421" t="s">
        <v>123</v>
      </c>
      <c r="CM64" s="423"/>
      <c r="CN64" s="421"/>
      <c r="CO64" s="423"/>
      <c r="CP64" s="421"/>
      <c r="CQ64" s="63"/>
      <c r="CR64" s="63"/>
      <c r="CS64" s="63"/>
      <c r="CT64" s="63"/>
      <c r="CU64" s="447"/>
      <c r="CV64" s="447"/>
      <c r="CW64" s="447"/>
      <c r="CX64" s="447"/>
      <c r="CY64" s="447"/>
      <c r="CZ64" s="447"/>
      <c r="DA64" s="447"/>
      <c r="DB64" s="447"/>
      <c r="DC64" s="447"/>
      <c r="DD64" s="447"/>
      <c r="DE64" s="447"/>
      <c r="DF64" s="447"/>
      <c r="DG64" s="447"/>
      <c r="DH64" s="447"/>
      <c r="DI64" s="447"/>
      <c r="DJ64" s="447"/>
      <c r="DK64" s="447"/>
      <c r="DL64" s="67"/>
      <c r="DM64" s="67"/>
      <c r="DN64" s="67"/>
      <c r="DO64" s="67"/>
      <c r="DP64" s="67"/>
      <c r="DQ64" s="67"/>
    </row>
    <row r="65" ht="22.5" customHeight="1">
      <c r="A65" s="383"/>
      <c r="B65" s="384" t="str">
        <f>IFERROR(__xludf.DUMMYFUNCTION("IF(B$43="""","""",IF($AZ65="""","""",IFERROR(Query({CarteirasAtivos},""Select Col3 where Col1 = '""&amp;$AZ65&amp;""'and Col2 = '""&amp;S$21&amp;""'""))))"),"")</f>
        <v/>
      </c>
      <c r="C65" s="384" t="str">
        <f>IFERROR(__xludf.DUMMYFUNCTION("IF(C$43="""","""",IF($AZ65="""","""",IFERROR(Query({CarteirasAtivos},""Select Col3 where Col1 = '""&amp;$AZ65&amp;""'and Col2 = '""&amp;T$21&amp;""'""))))"),"")</f>
        <v/>
      </c>
      <c r="D65" s="384" t="str">
        <f>IFERROR(__xludf.DUMMYFUNCTION("IF(D$43="""","""",IF($AZ65="""","""",IFERROR(Query({CarteirasAtivos},""Select Col3 where Col1 = '""&amp;$AZ65&amp;""'and Col2 = '""&amp;U$21&amp;""'""))))"),"")</f>
        <v/>
      </c>
      <c r="E65" s="384" t="str">
        <f>IFERROR(__xludf.DUMMYFUNCTION("IF(E$43="""","""",IF($AZ65="""","""",IFERROR(Query({CarteirasAtivos},""Select Col3 where Col1 = '""&amp;$AZ65&amp;""'and Col2 = '""&amp;V$21&amp;""'""))))"),"")</f>
        <v/>
      </c>
      <c r="F65" s="384" t="str">
        <f>IFERROR(__xludf.DUMMYFUNCTION("IF(F$43="""","""",IF($AZ65="""","""",IFERROR(Query({CarteirasAtivos},""Select Col3 where Col1 = '""&amp;$AZ65&amp;""'and Col2 = '""&amp;W$21&amp;""'""))))"),"")</f>
        <v/>
      </c>
      <c r="G65" s="384" t="str">
        <f>IFERROR(__xludf.DUMMYFUNCTION("IF(G$43="""","""",IF($AZ65="""","""",IFERROR(Query({CarteirasAtivos},""Select Col3 where Col1 = '""&amp;$AZ65&amp;""'and Col2 = '""&amp;X$21&amp;""'""))))"),"")</f>
        <v/>
      </c>
      <c r="H65" s="384" t="str">
        <f>IFERROR(__xludf.DUMMYFUNCTION("IF(H$43="""","""",IF($AZ65="""","""",IFERROR(Query({CarteirasAtivos},""Select Col3 where Col1 = '""&amp;$AZ65&amp;""'and Col2 = '""&amp;Y$21&amp;""'""))))"),"")</f>
        <v/>
      </c>
      <c r="I65" s="384" t="str">
        <f>IFERROR(__xludf.DUMMYFUNCTION("IF(I$43="""","""",IF($AZ65="""","""",IFERROR(Query({CarteirasAtivos},""Select Col3 where Col1 = '""&amp;$AZ65&amp;""'and Col2 = '""&amp;Z$21&amp;""'""))))"),"")</f>
        <v/>
      </c>
      <c r="J65" s="384" t="str">
        <f>IFERROR(__xludf.DUMMYFUNCTION("IF(J$43="""","""",IF($AZ65="""","""",IFERROR(Query({CarteirasAtivos},""Select Col3 where Col1 = '""&amp;$AZ65&amp;""'and Col2 = '""&amp;AA$21&amp;""'""))))"),"")</f>
        <v/>
      </c>
      <c r="K65" s="384" t="str">
        <f>IFERROR(__xludf.DUMMYFUNCTION("IF(K$43="""","""",IF($AZ65="""","""",IFERROR(Query({CarteirasAtivos},""Select Col3 where Col1 = '""&amp;$AZ65&amp;""'and Col2 = '""&amp;AB$21&amp;""'""))))"),"")</f>
        <v/>
      </c>
      <c r="L65" s="385">
        <v>22.0</v>
      </c>
      <c r="M65" s="432"/>
      <c r="N65" s="387"/>
      <c r="O65" s="388" t="s">
        <v>123</v>
      </c>
      <c r="P65" s="389"/>
      <c r="Q65" s="390"/>
      <c r="R65" s="391"/>
      <c r="S65" s="392"/>
      <c r="T65" s="393"/>
      <c r="U65" s="393"/>
      <c r="V65" s="394"/>
      <c r="W65" s="395" t="str">
        <f>IFERROR(__xludf.DUMMYFUNCTION("IF(M65="""","""",sparkline(IFERROR(BF65*100/MAX($BF$44:$BF$153),0),{""charttype"",""bar"";""max"",100;""color1"",IF(BD65&gt;=0,""#4760a5"",""red"")}))"),"")</f>
        <v/>
      </c>
      <c r="X65" s="396"/>
      <c r="Y65" s="466"/>
      <c r="Z65" s="398"/>
      <c r="AA65" s="399"/>
      <c r="AB65" s="393"/>
      <c r="AC65" s="476"/>
      <c r="AD65" s="401"/>
      <c r="AE65" s="402"/>
      <c r="AF65" s="403"/>
      <c r="AG65" s="404" t="str">
        <f>IFERROR(__xludf.DUMMYFUNCTION("IF($M65="""","""",IFERROR(sparkline(query(GOOGLEFINANCE($AZ65,""price"",TODAY()-$AF$43,TODAY(),1),""select Col2 label Col2 ''""),IF($AG$43=""Gráfico de barras"",{""charttype"",""column"";""highcolor"",""red""},{""chartype"",""line""}))))"),"")</f>
        <v/>
      </c>
      <c r="AH65" s="405"/>
      <c r="AI65" s="467"/>
      <c r="AJ65" s="467"/>
      <c r="AK65" s="467"/>
      <c r="AL65" s="467"/>
      <c r="AM65" s="442"/>
      <c r="AN65" s="56"/>
      <c r="AU65" s="281"/>
      <c r="AV65" s="281"/>
      <c r="AW65" s="281"/>
      <c r="AX65" s="281"/>
      <c r="AY65" s="410">
        <v>22.0</v>
      </c>
      <c r="AZ65" s="411"/>
      <c r="BA65" s="411"/>
      <c r="BB65" s="437"/>
      <c r="BC65" s="437"/>
      <c r="BD65" s="437"/>
      <c r="BE65" s="437"/>
      <c r="BF65" s="415" t="s">
        <v>123</v>
      </c>
      <c r="BG65" s="410">
        <v>22.0</v>
      </c>
      <c r="BH65" s="416"/>
      <c r="BI65" s="416"/>
      <c r="BJ65" s="416"/>
      <c r="BK65" s="416"/>
      <c r="BL65" s="416"/>
      <c r="BM65" s="416"/>
      <c r="BN65" s="282"/>
      <c r="BO65" s="477"/>
      <c r="BP65" s="422" t="s">
        <v>312</v>
      </c>
      <c r="BQ65" s="480">
        <v>100.0</v>
      </c>
      <c r="BR65" s="479"/>
      <c r="BS65" s="63"/>
      <c r="BT65" s="63"/>
      <c r="BU65" s="64"/>
      <c r="BV65" s="63"/>
      <c r="BW65" s="63"/>
      <c r="BX65" s="62"/>
      <c r="BY65" s="452"/>
      <c r="BZ65" s="452"/>
      <c r="CA65" s="452"/>
      <c r="CB65" s="452"/>
      <c r="CC65" s="452"/>
      <c r="CD65" s="452"/>
      <c r="CE65" s="452"/>
      <c r="CF65" s="452"/>
      <c r="CG65" s="452"/>
      <c r="CH65" s="422"/>
      <c r="CI65" s="422"/>
      <c r="CJ65" s="422"/>
      <c r="CK65" s="421"/>
      <c r="CL65" s="421" t="s">
        <v>123</v>
      </c>
      <c r="CM65" s="423"/>
      <c r="CN65" s="421"/>
      <c r="CO65" s="423"/>
      <c r="CP65" s="421"/>
      <c r="CQ65" s="63"/>
      <c r="CR65" s="63"/>
      <c r="CS65" s="63"/>
      <c r="CT65" s="63"/>
      <c r="CU65" s="447"/>
      <c r="CV65" s="447"/>
      <c r="CW65" s="447"/>
      <c r="CX65" s="447"/>
      <c r="CY65" s="447"/>
      <c r="CZ65" s="447"/>
      <c r="DA65" s="447"/>
      <c r="DB65" s="447"/>
      <c r="DC65" s="447"/>
      <c r="DD65" s="447"/>
      <c r="DE65" s="447"/>
      <c r="DF65" s="447"/>
      <c r="DG65" s="447"/>
      <c r="DH65" s="447"/>
      <c r="DI65" s="447"/>
      <c r="DJ65" s="447"/>
      <c r="DK65" s="447"/>
      <c r="DL65" s="481"/>
      <c r="DM65" s="482" t="s">
        <v>313</v>
      </c>
      <c r="DN65" s="483">
        <f>SUM(DN67:DN86)</f>
        <v>0</v>
      </c>
      <c r="DO65" s="67"/>
      <c r="DP65" s="325" t="s">
        <v>314</v>
      </c>
      <c r="DQ65" s="67"/>
    </row>
    <row r="66" ht="22.5" customHeight="1">
      <c r="A66" s="383"/>
      <c r="B66" s="384" t="str">
        <f>IFERROR(__xludf.DUMMYFUNCTION("IF(B$43="""","""",IF($AZ66="""","""",IFERROR(Query({CarteirasAtivos},""Select Col3 where Col1 = '""&amp;$AZ66&amp;""'and Col2 = '""&amp;S$21&amp;""'""))))"),"")</f>
        <v/>
      </c>
      <c r="C66" s="384" t="str">
        <f>IFERROR(__xludf.DUMMYFUNCTION("IF(C$43="""","""",IF($AZ66="""","""",IFERROR(Query({CarteirasAtivos},""Select Col3 where Col1 = '""&amp;$AZ66&amp;""'and Col2 = '""&amp;T$21&amp;""'""))))"),"")</f>
        <v/>
      </c>
      <c r="D66" s="384" t="str">
        <f>IFERROR(__xludf.DUMMYFUNCTION("IF(D$43="""","""",IF($AZ66="""","""",IFERROR(Query({CarteirasAtivos},""Select Col3 where Col1 = '""&amp;$AZ66&amp;""'and Col2 = '""&amp;U$21&amp;""'""))))"),"")</f>
        <v/>
      </c>
      <c r="E66" s="384" t="str">
        <f>IFERROR(__xludf.DUMMYFUNCTION("IF(E$43="""","""",IF($AZ66="""","""",IFERROR(Query({CarteirasAtivos},""Select Col3 where Col1 = '""&amp;$AZ66&amp;""'and Col2 = '""&amp;V$21&amp;""'""))))"),"")</f>
        <v/>
      </c>
      <c r="F66" s="384" t="str">
        <f>IFERROR(__xludf.DUMMYFUNCTION("IF(F$43="""","""",IF($AZ66="""","""",IFERROR(Query({CarteirasAtivos},""Select Col3 where Col1 = '""&amp;$AZ66&amp;""'and Col2 = '""&amp;W$21&amp;""'""))))"),"")</f>
        <v/>
      </c>
      <c r="G66" s="384" t="str">
        <f>IFERROR(__xludf.DUMMYFUNCTION("IF(G$43="""","""",IF($AZ66="""","""",IFERROR(Query({CarteirasAtivos},""Select Col3 where Col1 = '""&amp;$AZ66&amp;""'and Col2 = '""&amp;X$21&amp;""'""))))"),"")</f>
        <v/>
      </c>
      <c r="H66" s="384" t="str">
        <f>IFERROR(__xludf.DUMMYFUNCTION("IF(H$43="""","""",IF($AZ66="""","""",IFERROR(Query({CarteirasAtivos},""Select Col3 where Col1 = '""&amp;$AZ66&amp;""'and Col2 = '""&amp;Y$21&amp;""'""))))"),"")</f>
        <v/>
      </c>
      <c r="I66" s="384" t="str">
        <f>IFERROR(__xludf.DUMMYFUNCTION("IF(I$43="""","""",IF($AZ66="""","""",IFERROR(Query({CarteirasAtivos},""Select Col3 where Col1 = '""&amp;$AZ66&amp;""'and Col2 = '""&amp;Z$21&amp;""'""))))"),"")</f>
        <v/>
      </c>
      <c r="J66" s="384" t="str">
        <f>IFERROR(__xludf.DUMMYFUNCTION("IF(J$43="""","""",IF($AZ66="""","""",IFERROR(Query({CarteirasAtivos},""Select Col3 where Col1 = '""&amp;$AZ66&amp;""'and Col2 = '""&amp;AA$21&amp;""'""))))"),"")</f>
        <v/>
      </c>
      <c r="K66" s="384" t="str">
        <f>IFERROR(__xludf.DUMMYFUNCTION("IF(K$43="""","""",IF($AZ66="""","""",IFERROR(Query({CarteirasAtivos},""Select Col3 where Col1 = '""&amp;$AZ66&amp;""'and Col2 = '""&amp;AB$21&amp;""'""))))"),"")</f>
        <v/>
      </c>
      <c r="L66" s="385">
        <v>23.0</v>
      </c>
      <c r="M66" s="432"/>
      <c r="N66" s="387"/>
      <c r="O66" s="388" t="s">
        <v>123</v>
      </c>
      <c r="P66" s="389"/>
      <c r="Q66" s="390"/>
      <c r="R66" s="391"/>
      <c r="S66" s="392"/>
      <c r="T66" s="393"/>
      <c r="U66" s="393"/>
      <c r="V66" s="394"/>
      <c r="W66" s="395" t="str">
        <f>IFERROR(__xludf.DUMMYFUNCTION("IF(M66="""","""",sparkline(IFERROR(BF66*100/MAX($BF$44:$BF$153),0),{""charttype"",""bar"";""max"",100;""color1"",IF(BD66&gt;=0,""#4760a5"",""red"")}))"),"")</f>
        <v/>
      </c>
      <c r="X66" s="396"/>
      <c r="Y66" s="466"/>
      <c r="Z66" s="398"/>
      <c r="AA66" s="399"/>
      <c r="AB66" s="393"/>
      <c r="AC66" s="484"/>
      <c r="AD66" s="401"/>
      <c r="AE66" s="402"/>
      <c r="AF66" s="403"/>
      <c r="AG66" s="404" t="str">
        <f>IFERROR(__xludf.DUMMYFUNCTION("IF($M66="""","""",IFERROR(sparkline(query(GOOGLEFINANCE($AZ66,""price"",TODAY()-$AF$43,TODAY(),1),""select Col2 label Col2 ''""),IF($AG$43=""Gráfico de barras"",{""charttype"",""column"";""highcolor"",""red""},{""chartype"",""line""}))))"),"")</f>
        <v/>
      </c>
      <c r="AH66" s="405"/>
      <c r="AI66" s="467"/>
      <c r="AJ66" s="467"/>
      <c r="AK66" s="467"/>
      <c r="AL66" s="467"/>
      <c r="AN66" s="56"/>
      <c r="AU66" s="281"/>
      <c r="AV66" s="281"/>
      <c r="AW66" s="281"/>
      <c r="AX66" s="281"/>
      <c r="AY66" s="410">
        <v>23.0</v>
      </c>
      <c r="AZ66" s="411"/>
      <c r="BA66" s="411"/>
      <c r="BB66" s="437"/>
      <c r="BC66" s="437"/>
      <c r="BD66" s="437"/>
      <c r="BE66" s="437"/>
      <c r="BF66" s="415" t="s">
        <v>123</v>
      </c>
      <c r="BG66" s="410">
        <v>23.0</v>
      </c>
      <c r="BH66" s="416"/>
      <c r="BI66" s="416"/>
      <c r="BJ66" s="416"/>
      <c r="BK66" s="416"/>
      <c r="BL66" s="416"/>
      <c r="BM66" s="416"/>
      <c r="BN66" s="282"/>
      <c r="BO66" s="477"/>
      <c r="BP66" s="485" t="s">
        <v>315</v>
      </c>
      <c r="BQ66" s="486">
        <v>200.0</v>
      </c>
      <c r="BR66" s="479"/>
      <c r="BS66" s="63"/>
      <c r="BT66" s="63"/>
      <c r="BU66" s="64"/>
      <c r="BV66" s="63"/>
      <c r="BW66" s="63"/>
      <c r="BX66" s="62"/>
      <c r="BY66" s="452"/>
      <c r="BZ66" s="452"/>
      <c r="CA66" s="452"/>
      <c r="CB66" s="452"/>
      <c r="CC66" s="452"/>
      <c r="CD66" s="452"/>
      <c r="CE66" s="452"/>
      <c r="CF66" s="452"/>
      <c r="CG66" s="452"/>
      <c r="CH66" s="422"/>
      <c r="CI66" s="422"/>
      <c r="CJ66" s="422"/>
      <c r="CK66" s="421"/>
      <c r="CL66" s="421" t="s">
        <v>123</v>
      </c>
      <c r="CM66" s="423"/>
      <c r="CN66" s="421"/>
      <c r="CO66" s="423"/>
      <c r="CP66" s="421"/>
      <c r="CQ66" s="63"/>
      <c r="CR66" s="63"/>
      <c r="CS66" s="63"/>
      <c r="CT66" s="63"/>
      <c r="CU66" s="447"/>
      <c r="CV66" s="447"/>
      <c r="CW66" s="447"/>
      <c r="CX66" s="447"/>
      <c r="CY66" s="447"/>
      <c r="CZ66" s="447"/>
      <c r="DA66" s="447"/>
      <c r="DB66" s="447"/>
      <c r="DC66" s="447"/>
      <c r="DD66" s="447"/>
      <c r="DE66" s="447"/>
      <c r="DF66" s="447"/>
      <c r="DG66" s="447"/>
      <c r="DH66" s="447"/>
      <c r="DI66" s="447"/>
      <c r="DJ66" s="447"/>
      <c r="DK66" s="447"/>
      <c r="DL66" s="481"/>
      <c r="DM66" s="482" t="s">
        <v>316</v>
      </c>
      <c r="DN66" s="482" t="s">
        <v>317</v>
      </c>
      <c r="DO66" s="67"/>
      <c r="DP66" s="133"/>
      <c r="DQ66" s="67"/>
    </row>
    <row r="67" ht="22.5" customHeight="1">
      <c r="A67" s="383"/>
      <c r="B67" s="384" t="str">
        <f>IFERROR(__xludf.DUMMYFUNCTION("IF(B$43="""","""",IF($AZ67="""","""",IFERROR(Query({CarteirasAtivos},""Select Col3 where Col1 = '""&amp;$AZ67&amp;""'and Col2 = '""&amp;S$21&amp;""'""))))"),"")</f>
        <v/>
      </c>
      <c r="C67" s="384" t="str">
        <f>IFERROR(__xludf.DUMMYFUNCTION("IF(C$43="""","""",IF($AZ67="""","""",IFERROR(Query({CarteirasAtivos},""Select Col3 where Col1 = '""&amp;$AZ67&amp;""'and Col2 = '""&amp;T$21&amp;""'""))))"),"")</f>
        <v/>
      </c>
      <c r="D67" s="384" t="str">
        <f>IFERROR(__xludf.DUMMYFUNCTION("IF(D$43="""","""",IF($AZ67="""","""",IFERROR(Query({CarteirasAtivos},""Select Col3 where Col1 = '""&amp;$AZ67&amp;""'and Col2 = '""&amp;U$21&amp;""'""))))"),"")</f>
        <v/>
      </c>
      <c r="E67" s="384" t="str">
        <f>IFERROR(__xludf.DUMMYFUNCTION("IF(E$43="""","""",IF($AZ67="""","""",IFERROR(Query({CarteirasAtivos},""Select Col3 where Col1 = '""&amp;$AZ67&amp;""'and Col2 = '""&amp;V$21&amp;""'""))))"),"")</f>
        <v/>
      </c>
      <c r="F67" s="384" t="str">
        <f>IFERROR(__xludf.DUMMYFUNCTION("IF(F$43="""","""",IF($AZ67="""","""",IFERROR(Query({CarteirasAtivos},""Select Col3 where Col1 = '""&amp;$AZ67&amp;""'and Col2 = '""&amp;W$21&amp;""'""))))"),"")</f>
        <v/>
      </c>
      <c r="G67" s="384" t="str">
        <f>IFERROR(__xludf.DUMMYFUNCTION("IF(G$43="""","""",IF($AZ67="""","""",IFERROR(Query({CarteirasAtivos},""Select Col3 where Col1 = '""&amp;$AZ67&amp;""'and Col2 = '""&amp;X$21&amp;""'""))))"),"")</f>
        <v/>
      </c>
      <c r="H67" s="384" t="str">
        <f>IFERROR(__xludf.DUMMYFUNCTION("IF(H$43="""","""",IF($AZ67="""","""",IFERROR(Query({CarteirasAtivos},""Select Col3 where Col1 = '""&amp;$AZ67&amp;""'and Col2 = '""&amp;Y$21&amp;""'""))))"),"")</f>
        <v/>
      </c>
      <c r="I67" s="384" t="str">
        <f>IFERROR(__xludf.DUMMYFUNCTION("IF(I$43="""","""",IF($AZ67="""","""",IFERROR(Query({CarteirasAtivos},""Select Col3 where Col1 = '""&amp;$AZ67&amp;""'and Col2 = '""&amp;Z$21&amp;""'""))))"),"")</f>
        <v/>
      </c>
      <c r="J67" s="384" t="str">
        <f>IFERROR(__xludf.DUMMYFUNCTION("IF(J$43="""","""",IF($AZ67="""","""",IFERROR(Query({CarteirasAtivos},""Select Col3 where Col1 = '""&amp;$AZ67&amp;""'and Col2 = '""&amp;AA$21&amp;""'""))))"),"")</f>
        <v/>
      </c>
      <c r="K67" s="384" t="str">
        <f>IFERROR(__xludf.DUMMYFUNCTION("IF(K$43="""","""",IF($AZ67="""","""",IFERROR(Query({CarteirasAtivos},""Select Col3 where Col1 = '""&amp;$AZ67&amp;""'and Col2 = '""&amp;AB$21&amp;""'""))))"),"")</f>
        <v/>
      </c>
      <c r="L67" s="385">
        <v>24.0</v>
      </c>
      <c r="M67" s="432"/>
      <c r="N67" s="387"/>
      <c r="O67" s="388" t="s">
        <v>123</v>
      </c>
      <c r="P67" s="389"/>
      <c r="Q67" s="390"/>
      <c r="R67" s="391"/>
      <c r="S67" s="392"/>
      <c r="T67" s="393"/>
      <c r="U67" s="393"/>
      <c r="V67" s="394"/>
      <c r="W67" s="395" t="str">
        <f>IFERROR(__xludf.DUMMYFUNCTION("IF(M67="""","""",sparkline(IFERROR(BF67*100/MAX($BF$44:$BF$153),0),{""charttype"",""bar"";""max"",100;""color1"",IF(BD67&gt;=0,""#4760a5"",""red"")}))"),"")</f>
        <v/>
      </c>
      <c r="X67" s="396"/>
      <c r="Y67" s="466"/>
      <c r="Z67" s="398"/>
      <c r="AA67" s="399"/>
      <c r="AB67" s="393"/>
      <c r="AC67" s="476"/>
      <c r="AD67" s="401"/>
      <c r="AE67" s="402"/>
      <c r="AF67" s="403"/>
      <c r="AG67" s="404" t="str">
        <f>IFERROR(__xludf.DUMMYFUNCTION("IF($M67="""","""",IFERROR(sparkline(query(GOOGLEFINANCE($AZ67,""price"",TODAY()-$AF$43,TODAY(),1),""select Col2 label Col2 ''""),IF($AG$43=""Gráfico de barras"",{""charttype"",""column"";""highcolor"",""red""},{""chartype"",""line""}))))"),"")</f>
        <v/>
      </c>
      <c r="AH67" s="405"/>
      <c r="AI67" s="467"/>
      <c r="AJ67" s="467"/>
      <c r="AK67" s="467"/>
      <c r="AL67" s="467"/>
      <c r="AM67" s="442"/>
      <c r="AN67" s="56"/>
      <c r="AU67" s="281"/>
      <c r="AV67" s="281"/>
      <c r="AW67" s="281"/>
      <c r="AX67" s="281"/>
      <c r="AY67" s="410">
        <v>24.0</v>
      </c>
      <c r="AZ67" s="411"/>
      <c r="BA67" s="411"/>
      <c r="BB67" s="437"/>
      <c r="BC67" s="437"/>
      <c r="BD67" s="437"/>
      <c r="BE67" s="437"/>
      <c r="BF67" s="415" t="s">
        <v>123</v>
      </c>
      <c r="BG67" s="410">
        <v>24.0</v>
      </c>
      <c r="BH67" s="416"/>
      <c r="BI67" s="416"/>
      <c r="BJ67" s="416"/>
      <c r="BK67" s="416"/>
      <c r="BL67" s="416"/>
      <c r="BM67" s="416"/>
      <c r="BN67" s="282"/>
      <c r="BO67" s="477"/>
      <c r="BP67" s="485" t="s">
        <v>318</v>
      </c>
      <c r="BQ67" s="486">
        <v>300.0</v>
      </c>
      <c r="BR67" s="479"/>
      <c r="BS67" s="63"/>
      <c r="BT67" s="63"/>
      <c r="BU67" s="64"/>
      <c r="BV67" s="63"/>
      <c r="BW67" s="63"/>
      <c r="BX67" s="62"/>
      <c r="BY67" s="452"/>
      <c r="BZ67" s="452"/>
      <c r="CA67" s="452"/>
      <c r="CB67" s="452"/>
      <c r="CC67" s="452"/>
      <c r="CD67" s="452"/>
      <c r="CE67" s="452"/>
      <c r="CF67" s="452"/>
      <c r="CG67" s="452"/>
      <c r="CH67" s="422"/>
      <c r="CI67" s="422"/>
      <c r="CJ67" s="422"/>
      <c r="CK67" s="421"/>
      <c r="CL67" s="421" t="s">
        <v>123</v>
      </c>
      <c r="CM67" s="423"/>
      <c r="CN67" s="421"/>
      <c r="CO67" s="423"/>
      <c r="CP67" s="421"/>
      <c r="CQ67" s="63"/>
      <c r="CR67" s="63"/>
      <c r="CS67" s="63"/>
      <c r="CT67" s="63"/>
      <c r="CU67" s="447"/>
      <c r="CV67" s="447"/>
      <c r="CW67" s="447"/>
      <c r="CX67" s="447"/>
      <c r="CY67" s="447"/>
      <c r="CZ67" s="447"/>
      <c r="DA67" s="447"/>
      <c r="DB67" s="447"/>
      <c r="DC67" s="447"/>
      <c r="DD67" s="447"/>
      <c r="DE67" s="447"/>
      <c r="DF67" s="447"/>
      <c r="DG67" s="447"/>
      <c r="DH67" s="447"/>
      <c r="DI67" s="447"/>
      <c r="DJ67" s="447"/>
      <c r="DK67" s="447"/>
      <c r="DL67" s="360">
        <v>1.0</v>
      </c>
      <c r="DM67" s="487" t="str">
        <f t="array" ref="DM67">sort(unique(op.daytrade!AC5:AC343),0,0)</f>
        <v/>
      </c>
      <c r="DN67" s="483" t="str">
        <f>IF(DM67="","",IFERROR(SUMIFS(op.daytrade!$P$5:$P343,op.daytrade!$AC$5:$AC343,DM67),0))</f>
        <v/>
      </c>
      <c r="DO67" s="67"/>
      <c r="DP67" s="488" t="str">
        <f t="array" ref="DP67:DP73">{IF('portfólio'!R4,'config.parâmetros'!B17,"");
IF('portfólio'!U4,'config.parâmetros'!B18,"");
IF('portfólio'!X4,'config.parâmetros'!B19,"");
IF('portfólio'!AA4,'config.parâmetros'!B20,"");
IF('portfólio'!AD4,'config.parâmetros'!B21,"");
IF('portfólio'!AG4,'config.parâmetros'!B22,"");
IF('portfólio'!AJ4,'config.parâmetros'!B23,"")}</f>
        <v/>
      </c>
      <c r="DQ67" s="67"/>
    </row>
    <row r="68" ht="22.5" customHeight="1">
      <c r="A68" s="383"/>
      <c r="B68" s="384" t="str">
        <f>IFERROR(__xludf.DUMMYFUNCTION("IF(B$43="""","""",IF($AZ68="""","""",IFERROR(Query({CarteirasAtivos},""Select Col3 where Col1 = '""&amp;$AZ68&amp;""'and Col2 = '""&amp;S$21&amp;""'""))))"),"")</f>
        <v/>
      </c>
      <c r="C68" s="384" t="str">
        <f>IFERROR(__xludf.DUMMYFUNCTION("IF(C$43="""","""",IF($AZ68="""","""",IFERROR(Query({CarteirasAtivos},""Select Col3 where Col1 = '""&amp;$AZ68&amp;""'and Col2 = '""&amp;T$21&amp;""'""))))"),"")</f>
        <v/>
      </c>
      <c r="D68" s="384" t="str">
        <f>IFERROR(__xludf.DUMMYFUNCTION("IF(D$43="""","""",IF($AZ68="""","""",IFERROR(Query({CarteirasAtivos},""Select Col3 where Col1 = '""&amp;$AZ68&amp;""'and Col2 = '""&amp;U$21&amp;""'""))))"),"")</f>
        <v/>
      </c>
      <c r="E68" s="384" t="str">
        <f>IFERROR(__xludf.DUMMYFUNCTION("IF(E$43="""","""",IF($AZ68="""","""",IFERROR(Query({CarteirasAtivos},""Select Col3 where Col1 = '""&amp;$AZ68&amp;""'and Col2 = '""&amp;V$21&amp;""'""))))"),"")</f>
        <v/>
      </c>
      <c r="F68" s="384" t="str">
        <f>IFERROR(__xludf.DUMMYFUNCTION("IF(F$43="""","""",IF($AZ68="""","""",IFERROR(Query({CarteirasAtivos},""Select Col3 where Col1 = '""&amp;$AZ68&amp;""'and Col2 = '""&amp;W$21&amp;""'""))))"),"")</f>
        <v/>
      </c>
      <c r="G68" s="384" t="str">
        <f>IFERROR(__xludf.DUMMYFUNCTION("IF(G$43="""","""",IF($AZ68="""","""",IFERROR(Query({CarteirasAtivos},""Select Col3 where Col1 = '""&amp;$AZ68&amp;""'and Col2 = '""&amp;X$21&amp;""'""))))"),"")</f>
        <v/>
      </c>
      <c r="H68" s="384" t="str">
        <f>IFERROR(__xludf.DUMMYFUNCTION("IF(H$43="""","""",IF($AZ68="""","""",IFERROR(Query({CarteirasAtivos},""Select Col3 where Col1 = '""&amp;$AZ68&amp;""'and Col2 = '""&amp;Y$21&amp;""'""))))"),"")</f>
        <v/>
      </c>
      <c r="I68" s="384" t="str">
        <f>IFERROR(__xludf.DUMMYFUNCTION("IF(I$43="""","""",IF($AZ68="""","""",IFERROR(Query({CarteirasAtivos},""Select Col3 where Col1 = '""&amp;$AZ68&amp;""'and Col2 = '""&amp;Z$21&amp;""'""))))"),"")</f>
        <v/>
      </c>
      <c r="J68" s="384" t="str">
        <f>IFERROR(__xludf.DUMMYFUNCTION("IF(J$43="""","""",IF($AZ68="""","""",IFERROR(Query({CarteirasAtivos},""Select Col3 where Col1 = '""&amp;$AZ68&amp;""'and Col2 = '""&amp;AA$21&amp;""'""))))"),"")</f>
        <v/>
      </c>
      <c r="K68" s="384" t="str">
        <f>IFERROR(__xludf.DUMMYFUNCTION("IF(K$43="""","""",IF($AZ68="""","""",IFERROR(Query({CarteirasAtivos},""Select Col3 where Col1 = '""&amp;$AZ68&amp;""'and Col2 = '""&amp;AB$21&amp;""'""))))"),"")</f>
        <v/>
      </c>
      <c r="L68" s="385">
        <v>25.0</v>
      </c>
      <c r="M68" s="432"/>
      <c r="N68" s="387"/>
      <c r="O68" s="388" t="s">
        <v>123</v>
      </c>
      <c r="P68" s="389"/>
      <c r="Q68" s="390"/>
      <c r="R68" s="391"/>
      <c r="S68" s="392"/>
      <c r="T68" s="393"/>
      <c r="U68" s="393"/>
      <c r="V68" s="394"/>
      <c r="W68" s="395" t="str">
        <f>IFERROR(__xludf.DUMMYFUNCTION("IF(M68="""","""",sparkline(IFERROR(BF68*100/MAX($BF$44:$BF$153),0),{""charttype"",""bar"";""max"",100;""color1"",IF(BD68&gt;=0,""#4760a5"",""red"")}))"),"")</f>
        <v/>
      </c>
      <c r="X68" s="396"/>
      <c r="Y68" s="466"/>
      <c r="Z68" s="398"/>
      <c r="AA68" s="399"/>
      <c r="AB68" s="393"/>
      <c r="AC68" s="476"/>
      <c r="AD68" s="401"/>
      <c r="AE68" s="402"/>
      <c r="AF68" s="403"/>
      <c r="AG68" s="404" t="str">
        <f>IFERROR(__xludf.DUMMYFUNCTION("IF($M68="""","""",IFERROR(sparkline(query(GOOGLEFINANCE($AZ68,""price"",TODAY()-$AF$43,TODAY(),1),""select Col2 label Col2 ''""),IF($AG$43=""Gráfico de barras"",{""charttype"",""column"";""highcolor"",""red""},{""chartype"",""line""}))))"),"")</f>
        <v/>
      </c>
      <c r="AH68" s="405"/>
      <c r="AI68" s="467"/>
      <c r="AJ68" s="467"/>
      <c r="AK68" s="467"/>
      <c r="AL68" s="467"/>
      <c r="AM68" s="442"/>
      <c r="AN68" s="56"/>
      <c r="AU68" s="281"/>
      <c r="AV68" s="281"/>
      <c r="AW68" s="281"/>
      <c r="AX68" s="281"/>
      <c r="AY68" s="410">
        <v>25.0</v>
      </c>
      <c r="AZ68" s="411"/>
      <c r="BA68" s="411"/>
      <c r="BB68" s="437"/>
      <c r="BC68" s="437"/>
      <c r="BD68" s="437"/>
      <c r="BE68" s="437"/>
      <c r="BF68" s="415" t="s">
        <v>123</v>
      </c>
      <c r="BG68" s="410">
        <v>25.0</v>
      </c>
      <c r="BH68" s="416"/>
      <c r="BI68" s="416"/>
      <c r="BJ68" s="416"/>
      <c r="BK68" s="416"/>
      <c r="BL68" s="416"/>
      <c r="BM68" s="416"/>
      <c r="BN68" s="282"/>
      <c r="BO68" s="477"/>
      <c r="BP68" s="485" t="s">
        <v>319</v>
      </c>
      <c r="BQ68" s="486">
        <v>400.0</v>
      </c>
      <c r="BR68" s="479"/>
      <c r="BS68" s="63"/>
      <c r="BT68" s="63"/>
      <c r="BU68" s="64"/>
      <c r="BV68" s="63"/>
      <c r="BW68" s="63"/>
      <c r="BX68" s="62"/>
      <c r="BY68" s="452"/>
      <c r="BZ68" s="452"/>
      <c r="CA68" s="452"/>
      <c r="CB68" s="452"/>
      <c r="CC68" s="452"/>
      <c r="CD68" s="452"/>
      <c r="CE68" s="452"/>
      <c r="CF68" s="452"/>
      <c r="CG68" s="452"/>
      <c r="CH68" s="422"/>
      <c r="CI68" s="422"/>
      <c r="CJ68" s="422"/>
      <c r="CK68" s="421"/>
      <c r="CL68" s="421" t="s">
        <v>123</v>
      </c>
      <c r="CM68" s="423"/>
      <c r="CN68" s="421"/>
      <c r="CO68" s="423"/>
      <c r="CP68" s="421"/>
      <c r="CQ68" s="63"/>
      <c r="CR68" s="63"/>
      <c r="CS68" s="63"/>
      <c r="CT68" s="63"/>
      <c r="CU68" s="447"/>
      <c r="CV68" s="447"/>
      <c r="CW68" s="447"/>
      <c r="CX68" s="447"/>
      <c r="CY68" s="447"/>
      <c r="CZ68" s="447"/>
      <c r="DA68" s="447"/>
      <c r="DB68" s="447"/>
      <c r="DC68" s="447"/>
      <c r="DD68" s="447"/>
      <c r="DE68" s="447"/>
      <c r="DF68" s="447"/>
      <c r="DG68" s="447"/>
      <c r="DH68" s="447"/>
      <c r="DI68" s="447"/>
      <c r="DJ68" s="447"/>
      <c r="DK68" s="447"/>
      <c r="DL68" s="360">
        <v>2.0</v>
      </c>
      <c r="DM68" s="487"/>
      <c r="DN68" s="483" t="str">
        <f>IF(DM68="","",IFERROR(SUMIFS(op.daytrade!$P$5:$P343,op.daytrade!$AC$5:$AC343,DM68),0))</f>
        <v/>
      </c>
      <c r="DO68" s="67"/>
      <c r="DP68" s="488"/>
      <c r="DQ68" s="67"/>
    </row>
    <row r="69" ht="22.5" customHeight="1">
      <c r="A69" s="383"/>
      <c r="B69" s="384" t="str">
        <f>IFERROR(__xludf.DUMMYFUNCTION("IF(B$43="""","""",IF($AZ69="""","""",IFERROR(Query({CarteirasAtivos},""Select Col3 where Col1 = '""&amp;$AZ69&amp;""'and Col2 = '""&amp;S$21&amp;""'""))))"),"")</f>
        <v/>
      </c>
      <c r="C69" s="384" t="str">
        <f>IFERROR(__xludf.DUMMYFUNCTION("IF(C$43="""","""",IF($AZ69="""","""",IFERROR(Query({CarteirasAtivos},""Select Col3 where Col1 = '""&amp;$AZ69&amp;""'and Col2 = '""&amp;T$21&amp;""'""))))"),"")</f>
        <v/>
      </c>
      <c r="D69" s="384" t="str">
        <f>IFERROR(__xludf.DUMMYFUNCTION("IF(D$43="""","""",IF($AZ69="""","""",IFERROR(Query({CarteirasAtivos},""Select Col3 where Col1 = '""&amp;$AZ69&amp;""'and Col2 = '""&amp;U$21&amp;""'""))))"),"")</f>
        <v/>
      </c>
      <c r="E69" s="384" t="str">
        <f>IFERROR(__xludf.DUMMYFUNCTION("IF(E$43="""","""",IF($AZ69="""","""",IFERROR(Query({CarteirasAtivos},""Select Col3 where Col1 = '""&amp;$AZ69&amp;""'and Col2 = '""&amp;V$21&amp;""'""))))"),"")</f>
        <v/>
      </c>
      <c r="F69" s="384" t="str">
        <f>IFERROR(__xludf.DUMMYFUNCTION("IF(F$43="""","""",IF($AZ69="""","""",IFERROR(Query({CarteirasAtivos},""Select Col3 where Col1 = '""&amp;$AZ69&amp;""'and Col2 = '""&amp;W$21&amp;""'""))))"),"")</f>
        <v/>
      </c>
      <c r="G69" s="384" t="str">
        <f>IFERROR(__xludf.DUMMYFUNCTION("IF(G$43="""","""",IF($AZ69="""","""",IFERROR(Query({CarteirasAtivos},""Select Col3 where Col1 = '""&amp;$AZ69&amp;""'and Col2 = '""&amp;X$21&amp;""'""))))"),"")</f>
        <v/>
      </c>
      <c r="H69" s="384" t="str">
        <f>IFERROR(__xludf.DUMMYFUNCTION("IF(H$43="""","""",IF($AZ69="""","""",IFERROR(Query({CarteirasAtivos},""Select Col3 where Col1 = '""&amp;$AZ69&amp;""'and Col2 = '""&amp;Y$21&amp;""'""))))"),"")</f>
        <v/>
      </c>
      <c r="I69" s="384" t="str">
        <f>IFERROR(__xludf.DUMMYFUNCTION("IF(I$43="""","""",IF($AZ69="""","""",IFERROR(Query({CarteirasAtivos},""Select Col3 where Col1 = '""&amp;$AZ69&amp;""'and Col2 = '""&amp;Z$21&amp;""'""))))"),"")</f>
        <v/>
      </c>
      <c r="J69" s="384" t="str">
        <f>IFERROR(__xludf.DUMMYFUNCTION("IF(J$43="""","""",IF($AZ69="""","""",IFERROR(Query({CarteirasAtivos},""Select Col3 where Col1 = '""&amp;$AZ69&amp;""'and Col2 = '""&amp;AA$21&amp;""'""))))"),"")</f>
        <v/>
      </c>
      <c r="K69" s="384" t="str">
        <f>IFERROR(__xludf.DUMMYFUNCTION("IF(K$43="""","""",IF($AZ69="""","""",IFERROR(Query({CarteirasAtivos},""Select Col3 where Col1 = '""&amp;$AZ69&amp;""'and Col2 = '""&amp;AB$21&amp;""'""))))"),"")</f>
        <v/>
      </c>
      <c r="L69" s="385">
        <v>26.0</v>
      </c>
      <c r="M69" s="432"/>
      <c r="N69" s="387"/>
      <c r="O69" s="388" t="s">
        <v>123</v>
      </c>
      <c r="P69" s="389"/>
      <c r="Q69" s="390"/>
      <c r="R69" s="391"/>
      <c r="S69" s="392"/>
      <c r="T69" s="393"/>
      <c r="U69" s="393"/>
      <c r="V69" s="394"/>
      <c r="W69" s="395" t="str">
        <f>IFERROR(__xludf.DUMMYFUNCTION("IF(M69="""","""",sparkline(IFERROR(BF69*100/MAX($BF$44:$BF$153),0),{""charttype"",""bar"";""max"",100;""color1"",IF(BD69&gt;=0,""#4760a5"",""red"")}))"),"")</f>
        <v/>
      </c>
      <c r="X69" s="396"/>
      <c r="Y69" s="466"/>
      <c r="Z69" s="398"/>
      <c r="AA69" s="399"/>
      <c r="AB69" s="393"/>
      <c r="AC69" s="476"/>
      <c r="AD69" s="401"/>
      <c r="AE69" s="402"/>
      <c r="AF69" s="403"/>
      <c r="AG69" s="404" t="str">
        <f>IFERROR(__xludf.DUMMYFUNCTION("IF($M69="""","""",IFERROR(sparkline(query(GOOGLEFINANCE($AZ69,""price"",TODAY()-$AF$43,TODAY(),1),""select Col2 label Col2 ''""),IF($AG$43=""Gráfico de barras"",{""charttype"",""column"";""highcolor"",""red""},{""chartype"",""line""}))))"),"")</f>
        <v/>
      </c>
      <c r="AH69" s="405"/>
      <c r="AI69" s="467"/>
      <c r="AJ69" s="467"/>
      <c r="AK69" s="467"/>
      <c r="AL69" s="467"/>
      <c r="AM69" s="442"/>
      <c r="AN69" s="56"/>
      <c r="AU69" s="281"/>
      <c r="AV69" s="281"/>
      <c r="AW69" s="281"/>
      <c r="AX69" s="281"/>
      <c r="AY69" s="410">
        <v>26.0</v>
      </c>
      <c r="AZ69" s="411"/>
      <c r="BA69" s="411"/>
      <c r="BB69" s="437"/>
      <c r="BC69" s="437"/>
      <c r="BD69" s="437"/>
      <c r="BE69" s="437"/>
      <c r="BF69" s="415" t="s">
        <v>123</v>
      </c>
      <c r="BG69" s="410">
        <v>26.0</v>
      </c>
      <c r="BH69" s="416"/>
      <c r="BI69" s="416"/>
      <c r="BJ69" s="416"/>
      <c r="BK69" s="416"/>
      <c r="BL69" s="416"/>
      <c r="BM69" s="416"/>
      <c r="BN69" s="282"/>
      <c r="BO69" s="477"/>
      <c r="BP69" s="485" t="s">
        <v>320</v>
      </c>
      <c r="BQ69" s="486">
        <v>500.0</v>
      </c>
      <c r="BR69" s="479"/>
      <c r="BS69" s="63"/>
      <c r="BT69" s="63"/>
      <c r="BU69" s="64"/>
      <c r="BV69" s="63"/>
      <c r="BW69" s="63"/>
      <c r="BX69" s="62"/>
      <c r="BY69" s="452"/>
      <c r="BZ69" s="452"/>
      <c r="CA69" s="452"/>
      <c r="CB69" s="452"/>
      <c r="CC69" s="452"/>
      <c r="CD69" s="452"/>
      <c r="CE69" s="452"/>
      <c r="CF69" s="452"/>
      <c r="CG69" s="452"/>
      <c r="CH69" s="422"/>
      <c r="CI69" s="422"/>
      <c r="CJ69" s="422"/>
      <c r="CK69" s="421"/>
      <c r="CL69" s="421" t="s">
        <v>123</v>
      </c>
      <c r="CM69" s="423"/>
      <c r="CN69" s="421"/>
      <c r="CO69" s="423"/>
      <c r="CP69" s="421"/>
      <c r="CQ69" s="63"/>
      <c r="CR69" s="63"/>
      <c r="CS69" s="63"/>
      <c r="CT69" s="63"/>
      <c r="CU69" s="447"/>
      <c r="CV69" s="447"/>
      <c r="CW69" s="447"/>
      <c r="CX69" s="447"/>
      <c r="CY69" s="447"/>
      <c r="CZ69" s="447"/>
      <c r="DA69" s="447"/>
      <c r="DB69" s="447"/>
      <c r="DC69" s="447"/>
      <c r="DD69" s="447"/>
      <c r="DE69" s="447"/>
      <c r="DF69" s="447"/>
      <c r="DG69" s="447"/>
      <c r="DH69" s="447"/>
      <c r="DI69" s="447"/>
      <c r="DJ69" s="447"/>
      <c r="DK69" s="447"/>
      <c r="DL69" s="360">
        <v>3.0</v>
      </c>
      <c r="DM69" s="487"/>
      <c r="DN69" s="483" t="str">
        <f>IF(DM69="","",IFERROR(SUMIFS(op.daytrade!$P$5:$P343,op.daytrade!$AC$5:$AC343,DM69),0))</f>
        <v/>
      </c>
      <c r="DO69" s="67"/>
      <c r="DP69" s="488"/>
      <c r="DQ69" s="67"/>
    </row>
    <row r="70" ht="22.5" customHeight="1">
      <c r="A70" s="383"/>
      <c r="B70" s="384" t="str">
        <f>IFERROR(__xludf.DUMMYFUNCTION("IF(B$43="""","""",IF($AZ70="""","""",IFERROR(Query({CarteirasAtivos},""Select Col3 where Col1 = '""&amp;$AZ70&amp;""'and Col2 = '""&amp;S$21&amp;""'""))))"),"")</f>
        <v/>
      </c>
      <c r="C70" s="384" t="str">
        <f>IFERROR(__xludf.DUMMYFUNCTION("IF(C$43="""","""",IF($AZ70="""","""",IFERROR(Query({CarteirasAtivos},""Select Col3 where Col1 = '""&amp;$AZ70&amp;""'and Col2 = '""&amp;T$21&amp;""'""))))"),"")</f>
        <v/>
      </c>
      <c r="D70" s="384" t="str">
        <f>IFERROR(__xludf.DUMMYFUNCTION("IF(D$43="""","""",IF($AZ70="""","""",IFERROR(Query({CarteirasAtivos},""Select Col3 where Col1 = '""&amp;$AZ70&amp;""'and Col2 = '""&amp;U$21&amp;""'""))))"),"")</f>
        <v/>
      </c>
      <c r="E70" s="384" t="str">
        <f>IFERROR(__xludf.DUMMYFUNCTION("IF(E$43="""","""",IF($AZ70="""","""",IFERROR(Query({CarteirasAtivos},""Select Col3 where Col1 = '""&amp;$AZ70&amp;""'and Col2 = '""&amp;V$21&amp;""'""))))"),"")</f>
        <v/>
      </c>
      <c r="F70" s="384" t="str">
        <f>IFERROR(__xludf.DUMMYFUNCTION("IF(F$43="""","""",IF($AZ70="""","""",IFERROR(Query({CarteirasAtivos},""Select Col3 where Col1 = '""&amp;$AZ70&amp;""'and Col2 = '""&amp;W$21&amp;""'""))))"),"")</f>
        <v/>
      </c>
      <c r="G70" s="384" t="str">
        <f>IFERROR(__xludf.DUMMYFUNCTION("IF(G$43="""","""",IF($AZ70="""","""",IFERROR(Query({CarteirasAtivos},""Select Col3 where Col1 = '""&amp;$AZ70&amp;""'and Col2 = '""&amp;X$21&amp;""'""))))"),"")</f>
        <v/>
      </c>
      <c r="H70" s="384" t="str">
        <f>IFERROR(__xludf.DUMMYFUNCTION("IF(H$43="""","""",IF($AZ70="""","""",IFERROR(Query({CarteirasAtivos},""Select Col3 where Col1 = '""&amp;$AZ70&amp;""'and Col2 = '""&amp;Y$21&amp;""'""))))"),"")</f>
        <v/>
      </c>
      <c r="I70" s="384" t="str">
        <f>IFERROR(__xludf.DUMMYFUNCTION("IF(I$43="""","""",IF($AZ70="""","""",IFERROR(Query({CarteirasAtivos},""Select Col3 where Col1 = '""&amp;$AZ70&amp;""'and Col2 = '""&amp;Z$21&amp;""'""))))"),"")</f>
        <v/>
      </c>
      <c r="J70" s="384" t="str">
        <f>IFERROR(__xludf.DUMMYFUNCTION("IF(J$43="""","""",IF($AZ70="""","""",IFERROR(Query({CarteirasAtivos},""Select Col3 where Col1 = '""&amp;$AZ70&amp;""'and Col2 = '""&amp;AA$21&amp;""'""))))"),"")</f>
        <v/>
      </c>
      <c r="K70" s="384" t="str">
        <f>IFERROR(__xludf.DUMMYFUNCTION("IF(K$43="""","""",IF($AZ70="""","""",IFERROR(Query({CarteirasAtivos},""Select Col3 where Col1 = '""&amp;$AZ70&amp;""'and Col2 = '""&amp;AB$21&amp;""'""))))"),"")</f>
        <v/>
      </c>
      <c r="L70" s="385">
        <v>27.0</v>
      </c>
      <c r="M70" s="432"/>
      <c r="N70" s="387"/>
      <c r="O70" s="388" t="s">
        <v>123</v>
      </c>
      <c r="P70" s="389"/>
      <c r="Q70" s="390"/>
      <c r="R70" s="391"/>
      <c r="S70" s="392"/>
      <c r="T70" s="393"/>
      <c r="U70" s="393"/>
      <c r="V70" s="394"/>
      <c r="W70" s="395" t="str">
        <f>IFERROR(__xludf.DUMMYFUNCTION("IF(M70="""","""",sparkline(IFERROR(BF70*100/MAX($BF$44:$BF$153),0),{""charttype"",""bar"";""max"",100;""color1"",IF(BD70&gt;=0,""#4760a5"",""red"")}))"),"")</f>
        <v/>
      </c>
      <c r="X70" s="396"/>
      <c r="Y70" s="466"/>
      <c r="Z70" s="398"/>
      <c r="AA70" s="399"/>
      <c r="AB70" s="393"/>
      <c r="AC70" s="476"/>
      <c r="AD70" s="401"/>
      <c r="AE70" s="402"/>
      <c r="AF70" s="403"/>
      <c r="AG70" s="404" t="str">
        <f>IFERROR(__xludf.DUMMYFUNCTION("IF($M70="""","""",IFERROR(sparkline(query(GOOGLEFINANCE($AZ70,""price"",TODAY()-$AF$43,TODAY(),1),""select Col2 label Col2 ''""),IF($AG$43=""Gráfico de barras"",{""charttype"",""column"";""highcolor"",""red""},{""chartype"",""line""}))))"),"")</f>
        <v/>
      </c>
      <c r="AH70" s="405"/>
      <c r="AI70" s="467"/>
      <c r="AJ70" s="467"/>
      <c r="AK70" s="467"/>
      <c r="AL70" s="467"/>
      <c r="AN70" s="56"/>
      <c r="AU70" s="281"/>
      <c r="AV70" s="281"/>
      <c r="AW70" s="281"/>
      <c r="AX70" s="281"/>
      <c r="AY70" s="410">
        <v>27.0</v>
      </c>
      <c r="AZ70" s="411"/>
      <c r="BA70" s="411"/>
      <c r="BB70" s="437"/>
      <c r="BC70" s="437"/>
      <c r="BD70" s="437"/>
      <c r="BE70" s="437"/>
      <c r="BF70" s="415" t="s">
        <v>123</v>
      </c>
      <c r="BG70" s="410">
        <v>27.0</v>
      </c>
      <c r="BH70" s="416"/>
      <c r="BI70" s="416"/>
      <c r="BJ70" s="416"/>
      <c r="BK70" s="416"/>
      <c r="BL70" s="416"/>
      <c r="BM70" s="416"/>
      <c r="BN70" s="282"/>
      <c r="BO70" s="477"/>
      <c r="BP70" s="485" t="s">
        <v>321</v>
      </c>
      <c r="BQ70" s="486">
        <v>-100.0</v>
      </c>
      <c r="BR70" s="479"/>
      <c r="BS70" s="63"/>
      <c r="BT70" s="63"/>
      <c r="BU70" s="64"/>
      <c r="BV70" s="63"/>
      <c r="BW70" s="63"/>
      <c r="BX70" s="62"/>
      <c r="BY70" s="452"/>
      <c r="BZ70" s="452"/>
      <c r="CA70" s="452"/>
      <c r="CB70" s="452"/>
      <c r="CC70" s="452"/>
      <c r="CD70" s="452"/>
      <c r="CE70" s="452"/>
      <c r="CF70" s="452"/>
      <c r="CG70" s="452"/>
      <c r="CH70" s="422"/>
      <c r="CI70" s="422"/>
      <c r="CJ70" s="422"/>
      <c r="CK70" s="421"/>
      <c r="CL70" s="421" t="s">
        <v>123</v>
      </c>
      <c r="CM70" s="423"/>
      <c r="CN70" s="421"/>
      <c r="CO70" s="423"/>
      <c r="CP70" s="421"/>
      <c r="CQ70" s="63"/>
      <c r="CR70" s="63"/>
      <c r="CS70" s="63"/>
      <c r="CT70" s="63"/>
      <c r="CU70" s="447"/>
      <c r="CV70" s="447"/>
      <c r="CW70" s="447"/>
      <c r="CX70" s="447"/>
      <c r="CY70" s="447"/>
      <c r="CZ70" s="447"/>
      <c r="DA70" s="447"/>
      <c r="DB70" s="447"/>
      <c r="DC70" s="447"/>
      <c r="DD70" s="447"/>
      <c r="DE70" s="447"/>
      <c r="DF70" s="447"/>
      <c r="DG70" s="447"/>
      <c r="DH70" s="447"/>
      <c r="DI70" s="447"/>
      <c r="DJ70" s="447"/>
      <c r="DK70" s="447"/>
      <c r="DL70" s="360">
        <v>4.0</v>
      </c>
      <c r="DM70" s="487"/>
      <c r="DN70" s="483" t="str">
        <f>IF(DM70="","",IFERROR(SUMIFS(op.daytrade!$P$5:$P343,op.daytrade!$AC$5:$AC343,DM70),0))</f>
        <v/>
      </c>
      <c r="DO70" s="67"/>
      <c r="DP70" s="488"/>
      <c r="DQ70" s="67"/>
    </row>
    <row r="71" ht="22.5" customHeight="1">
      <c r="A71" s="383"/>
      <c r="B71" s="384" t="str">
        <f>IFERROR(__xludf.DUMMYFUNCTION("IF(B$43="""","""",IF($AZ71="""","""",IFERROR(Query({CarteirasAtivos},""Select Col3 where Col1 = '""&amp;$AZ71&amp;""'and Col2 = '""&amp;S$21&amp;""'""))))"),"")</f>
        <v/>
      </c>
      <c r="C71" s="384" t="str">
        <f>IFERROR(__xludf.DUMMYFUNCTION("IF(C$43="""","""",IF($AZ71="""","""",IFERROR(Query({CarteirasAtivos},""Select Col3 where Col1 = '""&amp;$AZ71&amp;""'and Col2 = '""&amp;T$21&amp;""'""))))"),"")</f>
        <v/>
      </c>
      <c r="D71" s="384" t="str">
        <f>IFERROR(__xludf.DUMMYFUNCTION("IF(D$43="""","""",IF($AZ71="""","""",IFERROR(Query({CarteirasAtivos},""Select Col3 where Col1 = '""&amp;$AZ71&amp;""'and Col2 = '""&amp;U$21&amp;""'""))))"),"")</f>
        <v/>
      </c>
      <c r="E71" s="384" t="str">
        <f>IFERROR(__xludf.DUMMYFUNCTION("IF(E$43="""","""",IF($AZ71="""","""",IFERROR(Query({CarteirasAtivos},""Select Col3 where Col1 = '""&amp;$AZ71&amp;""'and Col2 = '""&amp;V$21&amp;""'""))))"),"")</f>
        <v/>
      </c>
      <c r="F71" s="384" t="str">
        <f>IFERROR(__xludf.DUMMYFUNCTION("IF(F$43="""","""",IF($AZ71="""","""",IFERROR(Query({CarteirasAtivos},""Select Col3 where Col1 = '""&amp;$AZ71&amp;""'and Col2 = '""&amp;W$21&amp;""'""))))"),"")</f>
        <v/>
      </c>
      <c r="G71" s="384" t="str">
        <f>IFERROR(__xludf.DUMMYFUNCTION("IF(G$43="""","""",IF($AZ71="""","""",IFERROR(Query({CarteirasAtivos},""Select Col3 where Col1 = '""&amp;$AZ71&amp;""'and Col2 = '""&amp;X$21&amp;""'""))))"),"")</f>
        <v/>
      </c>
      <c r="H71" s="384" t="str">
        <f>IFERROR(__xludf.DUMMYFUNCTION("IF(H$43="""","""",IF($AZ71="""","""",IFERROR(Query({CarteirasAtivos},""Select Col3 where Col1 = '""&amp;$AZ71&amp;""'and Col2 = '""&amp;Y$21&amp;""'""))))"),"")</f>
        <v/>
      </c>
      <c r="I71" s="384" t="str">
        <f>IFERROR(__xludf.DUMMYFUNCTION("IF(I$43="""","""",IF($AZ71="""","""",IFERROR(Query({CarteirasAtivos},""Select Col3 where Col1 = '""&amp;$AZ71&amp;""'and Col2 = '""&amp;Z$21&amp;""'""))))"),"")</f>
        <v/>
      </c>
      <c r="J71" s="384" t="str">
        <f>IFERROR(__xludf.DUMMYFUNCTION("IF(J$43="""","""",IF($AZ71="""","""",IFERROR(Query({CarteirasAtivos},""Select Col3 where Col1 = '""&amp;$AZ71&amp;""'and Col2 = '""&amp;AA$21&amp;""'""))))"),"")</f>
        <v/>
      </c>
      <c r="K71" s="384" t="str">
        <f>IFERROR(__xludf.DUMMYFUNCTION("IF(K$43="""","""",IF($AZ71="""","""",IFERROR(Query({CarteirasAtivos},""Select Col3 where Col1 = '""&amp;$AZ71&amp;""'and Col2 = '""&amp;AB$21&amp;""'""))))"),"")</f>
        <v/>
      </c>
      <c r="L71" s="385">
        <v>28.0</v>
      </c>
      <c r="M71" s="432"/>
      <c r="N71" s="387"/>
      <c r="O71" s="388" t="s">
        <v>123</v>
      </c>
      <c r="P71" s="389"/>
      <c r="Q71" s="390"/>
      <c r="R71" s="391"/>
      <c r="S71" s="392"/>
      <c r="T71" s="393"/>
      <c r="U71" s="393"/>
      <c r="V71" s="394"/>
      <c r="W71" s="395" t="str">
        <f>IFERROR(__xludf.DUMMYFUNCTION("IF(M71="""","""",sparkline(IFERROR(BF71*100/MAX($BF$44:$BF$153),0),{""charttype"",""bar"";""max"",100;""color1"",IF(BD71&gt;=0,""#4760a5"",""red"")}))"),"")</f>
        <v/>
      </c>
      <c r="X71" s="396"/>
      <c r="Y71" s="466"/>
      <c r="Z71" s="398"/>
      <c r="AA71" s="399"/>
      <c r="AB71" s="393"/>
      <c r="AC71" s="476"/>
      <c r="AD71" s="401"/>
      <c r="AE71" s="402"/>
      <c r="AF71" s="403"/>
      <c r="AG71" s="404" t="str">
        <f>IFERROR(__xludf.DUMMYFUNCTION("IF($M71="""","""",IFERROR(sparkline(query(GOOGLEFINANCE($AZ71,""price"",TODAY()-$AF$43,TODAY(),1),""select Col2 label Col2 ''""),IF($AG$43=""Gráfico de barras"",{""charttype"",""column"";""highcolor"",""red""},{""chartype"",""line""}))))"),"")</f>
        <v/>
      </c>
      <c r="AH71" s="405"/>
      <c r="AI71" s="467"/>
      <c r="AJ71" s="467"/>
      <c r="AK71" s="467"/>
      <c r="AL71" s="467"/>
      <c r="AM71" s="56"/>
      <c r="AN71" s="56"/>
      <c r="AU71" s="281"/>
      <c r="AV71" s="281"/>
      <c r="AW71" s="281"/>
      <c r="AX71" s="281"/>
      <c r="AY71" s="410">
        <v>28.0</v>
      </c>
      <c r="AZ71" s="411"/>
      <c r="BA71" s="411"/>
      <c r="BB71" s="437"/>
      <c r="BC71" s="437"/>
      <c r="BD71" s="437"/>
      <c r="BE71" s="437"/>
      <c r="BF71" s="415" t="s">
        <v>123</v>
      </c>
      <c r="BG71" s="410">
        <v>28.0</v>
      </c>
      <c r="BH71" s="416"/>
      <c r="BI71" s="416"/>
      <c r="BJ71" s="416"/>
      <c r="BK71" s="416"/>
      <c r="BL71" s="416"/>
      <c r="BM71" s="416"/>
      <c r="BN71" s="282"/>
      <c r="BO71" s="477"/>
      <c r="BP71" s="485" t="s">
        <v>322</v>
      </c>
      <c r="BQ71" s="486">
        <v>-200.0</v>
      </c>
      <c r="BR71" s="479"/>
      <c r="BS71" s="63"/>
      <c r="BT71" s="63"/>
      <c r="BU71" s="64"/>
      <c r="BV71" s="63"/>
      <c r="BW71" s="63"/>
      <c r="BX71" s="62"/>
      <c r="BY71" s="452"/>
      <c r="BZ71" s="452"/>
      <c r="CA71" s="452"/>
      <c r="CB71" s="452"/>
      <c r="CC71" s="452"/>
      <c r="CD71" s="452"/>
      <c r="CE71" s="452"/>
      <c r="CF71" s="452"/>
      <c r="CG71" s="452"/>
      <c r="CH71" s="422"/>
      <c r="CI71" s="422"/>
      <c r="CJ71" s="422"/>
      <c r="CK71" s="421"/>
      <c r="CL71" s="421" t="s">
        <v>123</v>
      </c>
      <c r="CM71" s="423"/>
      <c r="CN71" s="421"/>
      <c r="CO71" s="423"/>
      <c r="CP71" s="421"/>
      <c r="CQ71" s="63"/>
      <c r="CR71" s="63"/>
      <c r="CS71" s="63"/>
      <c r="CT71" s="63"/>
      <c r="CU71" s="447"/>
      <c r="CV71" s="447"/>
      <c r="CW71" s="447"/>
      <c r="CX71" s="447"/>
      <c r="CY71" s="447"/>
      <c r="CZ71" s="447"/>
      <c r="DA71" s="447"/>
      <c r="DB71" s="447"/>
      <c r="DC71" s="447"/>
      <c r="DD71" s="447"/>
      <c r="DE71" s="447"/>
      <c r="DF71" s="447"/>
      <c r="DG71" s="447"/>
      <c r="DH71" s="447"/>
      <c r="DI71" s="447"/>
      <c r="DJ71" s="447"/>
      <c r="DK71" s="447"/>
      <c r="DL71" s="360">
        <v>5.0</v>
      </c>
      <c r="DM71" s="487"/>
      <c r="DN71" s="483" t="str">
        <f>IF(DM71="","",IFERROR(SUMIFS(op.daytrade!$P$5:$P343,op.daytrade!$AC$5:$AC343,DM71),0))</f>
        <v/>
      </c>
      <c r="DO71" s="67"/>
      <c r="DP71" s="488"/>
      <c r="DQ71" s="67"/>
    </row>
    <row r="72" ht="22.5" customHeight="1">
      <c r="A72" s="383"/>
      <c r="B72" s="384" t="str">
        <f>IFERROR(__xludf.DUMMYFUNCTION("IF(B$43="""","""",IF($AZ72="""","""",IFERROR(Query({CarteirasAtivos},""Select Col3 where Col1 = '""&amp;$AZ72&amp;""'and Col2 = '""&amp;S$21&amp;""'""))))"),"")</f>
        <v/>
      </c>
      <c r="C72" s="384" t="str">
        <f>IFERROR(__xludf.DUMMYFUNCTION("IF(C$43="""","""",IF($AZ72="""","""",IFERROR(Query({CarteirasAtivos},""Select Col3 where Col1 = '""&amp;$AZ72&amp;""'and Col2 = '""&amp;T$21&amp;""'""))))"),"")</f>
        <v/>
      </c>
      <c r="D72" s="384" t="str">
        <f>IFERROR(__xludf.DUMMYFUNCTION("IF(D$43="""","""",IF($AZ72="""","""",IFERROR(Query({CarteirasAtivos},""Select Col3 where Col1 = '""&amp;$AZ72&amp;""'and Col2 = '""&amp;U$21&amp;""'""))))"),"")</f>
        <v/>
      </c>
      <c r="E72" s="384" t="str">
        <f>IFERROR(__xludf.DUMMYFUNCTION("IF(E$43="""","""",IF($AZ72="""","""",IFERROR(Query({CarteirasAtivos},""Select Col3 where Col1 = '""&amp;$AZ72&amp;""'and Col2 = '""&amp;V$21&amp;""'""))))"),"")</f>
        <v/>
      </c>
      <c r="F72" s="384" t="str">
        <f>IFERROR(__xludf.DUMMYFUNCTION("IF(F$43="""","""",IF($AZ72="""","""",IFERROR(Query({CarteirasAtivos},""Select Col3 where Col1 = '""&amp;$AZ72&amp;""'and Col2 = '""&amp;W$21&amp;""'""))))"),"")</f>
        <v/>
      </c>
      <c r="G72" s="384" t="str">
        <f>IFERROR(__xludf.DUMMYFUNCTION("IF(G$43="""","""",IF($AZ72="""","""",IFERROR(Query({CarteirasAtivos},""Select Col3 where Col1 = '""&amp;$AZ72&amp;""'and Col2 = '""&amp;X$21&amp;""'""))))"),"")</f>
        <v/>
      </c>
      <c r="H72" s="384" t="str">
        <f>IFERROR(__xludf.DUMMYFUNCTION("IF(H$43="""","""",IF($AZ72="""","""",IFERROR(Query({CarteirasAtivos},""Select Col3 where Col1 = '""&amp;$AZ72&amp;""'and Col2 = '""&amp;Y$21&amp;""'""))))"),"")</f>
        <v/>
      </c>
      <c r="I72" s="384" t="str">
        <f>IFERROR(__xludf.DUMMYFUNCTION("IF(I$43="""","""",IF($AZ72="""","""",IFERROR(Query({CarteirasAtivos},""Select Col3 where Col1 = '""&amp;$AZ72&amp;""'and Col2 = '""&amp;Z$21&amp;""'""))))"),"")</f>
        <v/>
      </c>
      <c r="J72" s="384" t="str">
        <f>IFERROR(__xludf.DUMMYFUNCTION("IF(J$43="""","""",IF($AZ72="""","""",IFERROR(Query({CarteirasAtivos},""Select Col3 where Col1 = '""&amp;$AZ72&amp;""'and Col2 = '""&amp;AA$21&amp;""'""))))"),"")</f>
        <v/>
      </c>
      <c r="K72" s="384" t="str">
        <f>IFERROR(__xludf.DUMMYFUNCTION("IF(K$43="""","""",IF($AZ72="""","""",IFERROR(Query({CarteirasAtivos},""Select Col3 where Col1 = '""&amp;$AZ72&amp;""'and Col2 = '""&amp;AB$21&amp;""'""))))"),"")</f>
        <v/>
      </c>
      <c r="L72" s="385">
        <v>29.0</v>
      </c>
      <c r="M72" s="432"/>
      <c r="N72" s="387"/>
      <c r="O72" s="388" t="s">
        <v>123</v>
      </c>
      <c r="P72" s="389"/>
      <c r="Q72" s="390"/>
      <c r="R72" s="391"/>
      <c r="S72" s="392"/>
      <c r="T72" s="393"/>
      <c r="U72" s="393"/>
      <c r="V72" s="394"/>
      <c r="W72" s="395" t="str">
        <f>IFERROR(__xludf.DUMMYFUNCTION("IF(M72="""","""",sparkline(IFERROR(BF72*100/MAX($BF$44:$BF$153),0),{""charttype"",""bar"";""max"",100;""color1"",IF(BD72&gt;=0,""#4760a5"",""red"")}))"),"")</f>
        <v/>
      </c>
      <c r="X72" s="396"/>
      <c r="Y72" s="466"/>
      <c r="Z72" s="398"/>
      <c r="AA72" s="399"/>
      <c r="AB72" s="393"/>
      <c r="AC72" s="476"/>
      <c r="AD72" s="401"/>
      <c r="AE72" s="402"/>
      <c r="AF72" s="403"/>
      <c r="AG72" s="404" t="str">
        <f>IFERROR(__xludf.DUMMYFUNCTION("IF($M72="""","""",IFERROR(sparkline(query(GOOGLEFINANCE($AZ72,""price"",TODAY()-$AF$43,TODAY(),1),""select Col2 label Col2 ''""),IF($AG$43=""Gráfico de barras"",{""charttype"",""column"";""highcolor"",""red""},{""chartype"",""line""}))))"),"")</f>
        <v/>
      </c>
      <c r="AH72" s="405"/>
      <c r="AI72" s="467"/>
      <c r="AJ72" s="467"/>
      <c r="AK72" s="467"/>
      <c r="AL72" s="467"/>
      <c r="AM72" s="442"/>
      <c r="AN72" s="56"/>
      <c r="AU72" s="281"/>
      <c r="AV72" s="281"/>
      <c r="AW72" s="281"/>
      <c r="AX72" s="281"/>
      <c r="AY72" s="410">
        <v>29.0</v>
      </c>
      <c r="AZ72" s="411"/>
      <c r="BA72" s="411"/>
      <c r="BB72" s="437"/>
      <c r="BC72" s="437"/>
      <c r="BD72" s="437"/>
      <c r="BE72" s="437"/>
      <c r="BF72" s="415" t="s">
        <v>123</v>
      </c>
      <c r="BG72" s="410">
        <v>29.0</v>
      </c>
      <c r="BH72" s="416"/>
      <c r="BI72" s="416"/>
      <c r="BJ72" s="416"/>
      <c r="BK72" s="416"/>
      <c r="BL72" s="416"/>
      <c r="BM72" s="416"/>
      <c r="BN72" s="282"/>
      <c r="BO72" s="477"/>
      <c r="BP72" s="485" t="s">
        <v>323</v>
      </c>
      <c r="BQ72" s="486">
        <v>-300.0</v>
      </c>
      <c r="BR72" s="479"/>
      <c r="BS72" s="63"/>
      <c r="BT72" s="63"/>
      <c r="BU72" s="64"/>
      <c r="BV72" s="63"/>
      <c r="BW72" s="63"/>
      <c r="BX72" s="62"/>
      <c r="BY72" s="452"/>
      <c r="BZ72" s="452"/>
      <c r="CA72" s="452"/>
      <c r="CB72" s="452"/>
      <c r="CC72" s="452"/>
      <c r="CD72" s="452"/>
      <c r="CE72" s="452"/>
      <c r="CF72" s="452"/>
      <c r="CG72" s="452"/>
      <c r="CH72" s="422"/>
      <c r="CI72" s="422"/>
      <c r="CJ72" s="422"/>
      <c r="CK72" s="421"/>
      <c r="CL72" s="421" t="s">
        <v>123</v>
      </c>
      <c r="CM72" s="423"/>
      <c r="CN72" s="421"/>
      <c r="CO72" s="423"/>
      <c r="CP72" s="421"/>
      <c r="CQ72" s="63"/>
      <c r="CR72" s="63"/>
      <c r="CS72" s="63"/>
      <c r="CT72" s="63"/>
      <c r="CU72" s="447"/>
      <c r="CV72" s="447"/>
      <c r="CW72" s="447"/>
      <c r="CX72" s="447"/>
      <c r="CY72" s="447"/>
      <c r="CZ72" s="447"/>
      <c r="DA72" s="447"/>
      <c r="DB72" s="447"/>
      <c r="DC72" s="447"/>
      <c r="DD72" s="447"/>
      <c r="DE72" s="447"/>
      <c r="DF72" s="447"/>
      <c r="DG72" s="447"/>
      <c r="DH72" s="447"/>
      <c r="DI72" s="447"/>
      <c r="DJ72" s="447"/>
      <c r="DK72" s="447"/>
      <c r="DL72" s="360">
        <v>6.0</v>
      </c>
      <c r="DM72" s="487"/>
      <c r="DN72" s="483" t="str">
        <f>IF(DM72="","",IFERROR(SUMIFS(op.daytrade!$P$5:$P343,op.daytrade!$AC$5:$AC343,DM72),0))</f>
        <v/>
      </c>
      <c r="DO72" s="67"/>
      <c r="DP72" s="488"/>
      <c r="DQ72" s="67"/>
    </row>
    <row r="73" ht="22.5" customHeight="1">
      <c r="A73" s="383"/>
      <c r="B73" s="384" t="str">
        <f>IFERROR(__xludf.DUMMYFUNCTION("IF(B$43="""","""",IF($AZ73="""","""",IFERROR(Query({CarteirasAtivos},""Select Col3 where Col1 = '""&amp;$AZ73&amp;""'and Col2 = '""&amp;S$21&amp;""'""))))"),"")</f>
        <v/>
      </c>
      <c r="C73" s="384" t="str">
        <f>IFERROR(__xludf.DUMMYFUNCTION("IF(C$43="""","""",IF($AZ73="""","""",IFERROR(Query({CarteirasAtivos},""Select Col3 where Col1 = '""&amp;$AZ73&amp;""'and Col2 = '""&amp;T$21&amp;""'""))))"),"")</f>
        <v/>
      </c>
      <c r="D73" s="384" t="str">
        <f>IFERROR(__xludf.DUMMYFUNCTION("IF(D$43="""","""",IF($AZ73="""","""",IFERROR(Query({CarteirasAtivos},""Select Col3 where Col1 = '""&amp;$AZ73&amp;""'and Col2 = '""&amp;U$21&amp;""'""))))"),"")</f>
        <v/>
      </c>
      <c r="E73" s="384" t="str">
        <f>IFERROR(__xludf.DUMMYFUNCTION("IF(E$43="""","""",IF($AZ73="""","""",IFERROR(Query({CarteirasAtivos},""Select Col3 where Col1 = '""&amp;$AZ73&amp;""'and Col2 = '""&amp;V$21&amp;""'""))))"),"")</f>
        <v/>
      </c>
      <c r="F73" s="384" t="str">
        <f>IFERROR(__xludf.DUMMYFUNCTION("IF(F$43="""","""",IF($AZ73="""","""",IFERROR(Query({CarteirasAtivos},""Select Col3 where Col1 = '""&amp;$AZ73&amp;""'and Col2 = '""&amp;W$21&amp;""'""))))"),"")</f>
        <v/>
      </c>
      <c r="G73" s="384" t="str">
        <f>IFERROR(__xludf.DUMMYFUNCTION("IF(G$43="""","""",IF($AZ73="""","""",IFERROR(Query({CarteirasAtivos},""Select Col3 where Col1 = '""&amp;$AZ73&amp;""'and Col2 = '""&amp;X$21&amp;""'""))))"),"")</f>
        <v/>
      </c>
      <c r="H73" s="384" t="str">
        <f>IFERROR(__xludf.DUMMYFUNCTION("IF(H$43="""","""",IF($AZ73="""","""",IFERROR(Query({CarteirasAtivos},""Select Col3 where Col1 = '""&amp;$AZ73&amp;""'and Col2 = '""&amp;Y$21&amp;""'""))))"),"")</f>
        <v/>
      </c>
      <c r="I73" s="384" t="str">
        <f>IFERROR(__xludf.DUMMYFUNCTION("IF(I$43="""","""",IF($AZ73="""","""",IFERROR(Query({CarteirasAtivos},""Select Col3 where Col1 = '""&amp;$AZ73&amp;""'and Col2 = '""&amp;Z$21&amp;""'""))))"),"")</f>
        <v/>
      </c>
      <c r="J73" s="384" t="str">
        <f>IFERROR(__xludf.DUMMYFUNCTION("IF(J$43="""","""",IF($AZ73="""","""",IFERROR(Query({CarteirasAtivos},""Select Col3 where Col1 = '""&amp;$AZ73&amp;""'and Col2 = '""&amp;AA$21&amp;""'""))))"),"")</f>
        <v/>
      </c>
      <c r="K73" s="384" t="str">
        <f>IFERROR(__xludf.DUMMYFUNCTION("IF(K$43="""","""",IF($AZ73="""","""",IFERROR(Query({CarteirasAtivos},""Select Col3 where Col1 = '""&amp;$AZ73&amp;""'and Col2 = '""&amp;AB$21&amp;""'""))))"),"")</f>
        <v/>
      </c>
      <c r="L73" s="385">
        <v>30.0</v>
      </c>
      <c r="M73" s="432"/>
      <c r="N73" s="387"/>
      <c r="O73" s="388" t="s">
        <v>123</v>
      </c>
      <c r="P73" s="389"/>
      <c r="Q73" s="390"/>
      <c r="R73" s="391"/>
      <c r="S73" s="392"/>
      <c r="T73" s="393"/>
      <c r="U73" s="393"/>
      <c r="V73" s="394"/>
      <c r="W73" s="395" t="str">
        <f>IFERROR(__xludf.DUMMYFUNCTION("IF(M73="""","""",sparkline(IFERROR(BF73*100/MAX($BF$44:$BF$153),0),{""charttype"",""bar"";""max"",100;""color1"",IF(BD73&gt;=0,""#4760a5"",""red"")}))"),"")</f>
        <v/>
      </c>
      <c r="X73" s="396"/>
      <c r="Y73" s="466"/>
      <c r="Z73" s="398"/>
      <c r="AA73" s="399"/>
      <c r="AB73" s="393"/>
      <c r="AC73" s="476"/>
      <c r="AD73" s="401"/>
      <c r="AE73" s="402"/>
      <c r="AF73" s="403"/>
      <c r="AG73" s="404" t="str">
        <f>IFERROR(__xludf.DUMMYFUNCTION("IF($M73="""","""",IFERROR(sparkline(query(GOOGLEFINANCE($AZ73,""price"",TODAY()-$AF$43,TODAY(),1),""select Col2 label Col2 ''""),IF($AG$43=""Gráfico de barras"",{""charttype"",""column"";""highcolor"",""red""},{""chartype"",""line""}))))"),"")</f>
        <v/>
      </c>
      <c r="AH73" s="405"/>
      <c r="AI73" s="467"/>
      <c r="AJ73" s="467"/>
      <c r="AK73" s="467"/>
      <c r="AL73" s="467"/>
      <c r="AM73" s="442"/>
      <c r="AN73" s="56"/>
      <c r="AU73" s="281"/>
      <c r="AV73" s="281"/>
      <c r="AW73" s="281"/>
      <c r="AX73" s="281"/>
      <c r="AY73" s="410">
        <v>30.0</v>
      </c>
      <c r="AZ73" s="411"/>
      <c r="BA73" s="411"/>
      <c r="BB73" s="437"/>
      <c r="BC73" s="437"/>
      <c r="BD73" s="437"/>
      <c r="BE73" s="437"/>
      <c r="BF73" s="415" t="s">
        <v>123</v>
      </c>
      <c r="BG73" s="410">
        <v>30.0</v>
      </c>
      <c r="BH73" s="416"/>
      <c r="BI73" s="416"/>
      <c r="BJ73" s="416"/>
      <c r="BK73" s="416"/>
      <c r="BL73" s="416"/>
      <c r="BM73" s="416"/>
      <c r="BN73" s="282"/>
      <c r="BO73" s="477"/>
      <c r="BP73" s="485" t="s">
        <v>324</v>
      </c>
      <c r="BQ73" s="486">
        <v>-400.0</v>
      </c>
      <c r="BR73" s="479"/>
      <c r="BS73" s="63"/>
      <c r="BT73" s="63"/>
      <c r="BU73" s="64"/>
      <c r="BV73" s="63"/>
      <c r="BW73" s="63"/>
      <c r="BX73" s="62"/>
      <c r="BY73" s="452"/>
      <c r="BZ73" s="452"/>
      <c r="CA73" s="452"/>
      <c r="CB73" s="452"/>
      <c r="CC73" s="452"/>
      <c r="CD73" s="452"/>
      <c r="CE73" s="452"/>
      <c r="CF73" s="452"/>
      <c r="CG73" s="452"/>
      <c r="CH73" s="422"/>
      <c r="CI73" s="422"/>
      <c r="CJ73" s="422"/>
      <c r="CK73" s="421"/>
      <c r="CL73" s="421" t="s">
        <v>123</v>
      </c>
      <c r="CM73" s="423"/>
      <c r="CN73" s="421"/>
      <c r="CO73" s="423"/>
      <c r="CP73" s="421"/>
      <c r="CQ73" s="63"/>
      <c r="CR73" s="63"/>
      <c r="CS73" s="63"/>
      <c r="CT73" s="63"/>
      <c r="CU73" s="447"/>
      <c r="CV73" s="447"/>
      <c r="CW73" s="447"/>
      <c r="CX73" s="447"/>
      <c r="CY73" s="447"/>
      <c r="CZ73" s="447"/>
      <c r="DA73" s="447"/>
      <c r="DB73" s="447"/>
      <c r="DC73" s="447"/>
      <c r="DD73" s="447"/>
      <c r="DE73" s="447"/>
      <c r="DF73" s="447"/>
      <c r="DG73" s="447"/>
      <c r="DH73" s="447"/>
      <c r="DI73" s="447"/>
      <c r="DJ73" s="447"/>
      <c r="DK73" s="447"/>
      <c r="DL73" s="360">
        <v>7.0</v>
      </c>
      <c r="DM73" s="487"/>
      <c r="DN73" s="483" t="str">
        <f>IF(DM73="","",IFERROR(SUMIFS(op.daytrade!$P$5:$P343,op.daytrade!$AC$5:$AC343,DM73),0))</f>
        <v/>
      </c>
      <c r="DO73" s="67"/>
      <c r="DP73" s="488"/>
      <c r="DQ73" s="67"/>
    </row>
    <row r="74" ht="22.5" customHeight="1">
      <c r="A74" s="383"/>
      <c r="B74" s="384" t="str">
        <f>IFERROR(__xludf.DUMMYFUNCTION("IF(B$43="""","""",IF($AZ74="""","""",IFERROR(Query({CarteirasAtivos},""Select Col3 where Col1 = '""&amp;$AZ74&amp;""'and Col2 = '""&amp;S$21&amp;""'""))))"),"")</f>
        <v/>
      </c>
      <c r="C74" s="384" t="str">
        <f>IFERROR(__xludf.DUMMYFUNCTION("IF(C$43="""","""",IF($AZ74="""","""",IFERROR(Query({CarteirasAtivos},""Select Col3 where Col1 = '""&amp;$AZ74&amp;""'and Col2 = '""&amp;T$21&amp;""'""))))"),"")</f>
        <v/>
      </c>
      <c r="D74" s="384" t="str">
        <f>IFERROR(__xludf.DUMMYFUNCTION("IF(D$43="""","""",IF($AZ74="""","""",IFERROR(Query({CarteirasAtivos},""Select Col3 where Col1 = '""&amp;$AZ74&amp;""'and Col2 = '""&amp;U$21&amp;""'""))))"),"")</f>
        <v/>
      </c>
      <c r="E74" s="384" t="str">
        <f>IFERROR(__xludf.DUMMYFUNCTION("IF(E$43="""","""",IF($AZ74="""","""",IFERROR(Query({CarteirasAtivos},""Select Col3 where Col1 = '""&amp;$AZ74&amp;""'and Col2 = '""&amp;V$21&amp;""'""))))"),"")</f>
        <v/>
      </c>
      <c r="F74" s="384" t="str">
        <f>IFERROR(__xludf.DUMMYFUNCTION("IF(F$43="""","""",IF($AZ74="""","""",IFERROR(Query({CarteirasAtivos},""Select Col3 where Col1 = '""&amp;$AZ74&amp;""'and Col2 = '""&amp;W$21&amp;""'""))))"),"")</f>
        <v/>
      </c>
      <c r="G74" s="384" t="str">
        <f>IFERROR(__xludf.DUMMYFUNCTION("IF(G$43="""","""",IF($AZ74="""","""",IFERROR(Query({CarteirasAtivos},""Select Col3 where Col1 = '""&amp;$AZ74&amp;""'and Col2 = '""&amp;X$21&amp;""'""))))"),"")</f>
        <v/>
      </c>
      <c r="H74" s="384" t="str">
        <f>IFERROR(__xludf.DUMMYFUNCTION("IF(H$43="""","""",IF($AZ74="""","""",IFERROR(Query({CarteirasAtivos},""Select Col3 where Col1 = '""&amp;$AZ74&amp;""'and Col2 = '""&amp;Y$21&amp;""'""))))"),"")</f>
        <v/>
      </c>
      <c r="I74" s="384" t="str">
        <f>IFERROR(__xludf.DUMMYFUNCTION("IF(I$43="""","""",IF($AZ74="""","""",IFERROR(Query({CarteirasAtivos},""Select Col3 where Col1 = '""&amp;$AZ74&amp;""'and Col2 = '""&amp;Z$21&amp;""'""))))"),"")</f>
        <v/>
      </c>
      <c r="J74" s="384" t="str">
        <f>IFERROR(__xludf.DUMMYFUNCTION("IF(J$43="""","""",IF($AZ74="""","""",IFERROR(Query({CarteirasAtivos},""Select Col3 where Col1 = '""&amp;$AZ74&amp;""'and Col2 = '""&amp;AA$21&amp;""'""))))"),"")</f>
        <v/>
      </c>
      <c r="K74" s="384" t="str">
        <f>IFERROR(__xludf.DUMMYFUNCTION("IF(K$43="""","""",IF($AZ74="""","""",IFERROR(Query({CarteirasAtivos},""Select Col3 where Col1 = '""&amp;$AZ74&amp;""'and Col2 = '""&amp;AB$21&amp;""'""))))"),"")</f>
        <v/>
      </c>
      <c r="L74" s="385">
        <v>31.0</v>
      </c>
      <c r="M74" s="432"/>
      <c r="N74" s="387"/>
      <c r="O74" s="388" t="s">
        <v>123</v>
      </c>
      <c r="P74" s="389"/>
      <c r="Q74" s="390"/>
      <c r="R74" s="391"/>
      <c r="S74" s="392"/>
      <c r="T74" s="393"/>
      <c r="U74" s="393"/>
      <c r="V74" s="394"/>
      <c r="W74" s="395" t="str">
        <f>IFERROR(__xludf.DUMMYFUNCTION("IF(M74="""","""",sparkline(IFERROR(BF74*100/MAX($BF$44:$BF$153),0),{""charttype"",""bar"";""max"",100;""color1"",IF(BD74&gt;=0,""#4760a5"",""red"")}))"),"")</f>
        <v/>
      </c>
      <c r="X74" s="396"/>
      <c r="Y74" s="466"/>
      <c r="Z74" s="398"/>
      <c r="AA74" s="399"/>
      <c r="AB74" s="393"/>
      <c r="AC74" s="476"/>
      <c r="AD74" s="401"/>
      <c r="AE74" s="402"/>
      <c r="AF74" s="403"/>
      <c r="AG74" s="404" t="str">
        <f>IFERROR(__xludf.DUMMYFUNCTION("IF($M74="""","""",IFERROR(sparkline(query(GOOGLEFINANCE($AZ74,""price"",TODAY()-$AF$43,TODAY(),1),""select Col2 label Col2 ''""),IF($AG$43=""Gráfico de barras"",{""charttype"",""column"";""highcolor"",""red""},{""chartype"",""line""}))))"),"")</f>
        <v/>
      </c>
      <c r="AH74" s="405"/>
      <c r="AI74" s="467"/>
      <c r="AJ74" s="467"/>
      <c r="AK74" s="467"/>
      <c r="AL74" s="467"/>
      <c r="AM74" s="442"/>
      <c r="AN74" s="56"/>
      <c r="AU74" s="281"/>
      <c r="AV74" s="281"/>
      <c r="AW74" s="281"/>
      <c r="AX74" s="281"/>
      <c r="AY74" s="410">
        <v>31.0</v>
      </c>
      <c r="AZ74" s="411"/>
      <c r="BA74" s="411"/>
      <c r="BB74" s="437"/>
      <c r="BC74" s="437"/>
      <c r="BD74" s="437"/>
      <c r="BE74" s="437"/>
      <c r="BF74" s="415" t="s">
        <v>123</v>
      </c>
      <c r="BG74" s="410">
        <v>31.0</v>
      </c>
      <c r="BH74" s="416"/>
      <c r="BI74" s="416"/>
      <c r="BJ74" s="416"/>
      <c r="BK74" s="416"/>
      <c r="BL74" s="416"/>
      <c r="BM74" s="416"/>
      <c r="BN74" s="282"/>
      <c r="BO74" s="477"/>
      <c r="BP74" s="485" t="s">
        <v>325</v>
      </c>
      <c r="BQ74" s="486">
        <v>-500.0</v>
      </c>
      <c r="BR74" s="479"/>
      <c r="BS74" s="63"/>
      <c r="BT74" s="63"/>
      <c r="BU74" s="64"/>
      <c r="BV74" s="63"/>
      <c r="BW74" s="63"/>
      <c r="BX74" s="62"/>
      <c r="BY74" s="452"/>
      <c r="BZ74" s="452"/>
      <c r="CA74" s="452"/>
      <c r="CB74" s="452"/>
      <c r="CC74" s="452"/>
      <c r="CD74" s="452"/>
      <c r="CE74" s="452"/>
      <c r="CF74" s="452"/>
      <c r="CG74" s="452"/>
      <c r="CH74" s="422"/>
      <c r="CI74" s="422"/>
      <c r="CJ74" s="422"/>
      <c r="CK74" s="421"/>
      <c r="CL74" s="421" t="s">
        <v>123</v>
      </c>
      <c r="CM74" s="423"/>
      <c r="CN74" s="421"/>
      <c r="CO74" s="423"/>
      <c r="CP74" s="421"/>
      <c r="CQ74" s="63"/>
      <c r="CR74" s="63"/>
      <c r="CS74" s="63"/>
      <c r="CT74" s="63"/>
      <c r="CU74" s="447"/>
      <c r="CV74" s="447"/>
      <c r="CW74" s="447"/>
      <c r="CX74" s="447"/>
      <c r="CY74" s="447"/>
      <c r="CZ74" s="447"/>
      <c r="DA74" s="447"/>
      <c r="DB74" s="447"/>
      <c r="DC74" s="447"/>
      <c r="DD74" s="447"/>
      <c r="DE74" s="447"/>
      <c r="DF74" s="447"/>
      <c r="DG74" s="447"/>
      <c r="DH74" s="447"/>
      <c r="DI74" s="447"/>
      <c r="DJ74" s="447"/>
      <c r="DK74" s="447"/>
      <c r="DL74" s="360">
        <v>8.0</v>
      </c>
      <c r="DM74" s="487"/>
      <c r="DN74" s="483" t="str">
        <f>IF(DM74="","",IFERROR(SUMIFS(op.daytrade!$P$5:$P343,op.daytrade!$AC$5:$AC343,DM74),0))</f>
        <v/>
      </c>
      <c r="DO74" s="67"/>
      <c r="DP74" s="67"/>
      <c r="DQ74" s="67"/>
    </row>
    <row r="75" ht="22.5" customHeight="1">
      <c r="A75" s="383"/>
      <c r="B75" s="384" t="str">
        <f>IFERROR(__xludf.DUMMYFUNCTION("IF(B$43="""","""",IF($AZ75="""","""",IFERROR(Query({CarteirasAtivos},""Select Col3 where Col1 = '""&amp;$AZ75&amp;""'and Col2 = '""&amp;S$21&amp;""'""))))"),"")</f>
        <v/>
      </c>
      <c r="C75" s="384" t="str">
        <f>IFERROR(__xludf.DUMMYFUNCTION("IF(C$43="""","""",IF($AZ75="""","""",IFERROR(Query({CarteirasAtivos},""Select Col3 where Col1 = '""&amp;$AZ75&amp;""'and Col2 = '""&amp;T$21&amp;""'""))))"),"")</f>
        <v/>
      </c>
      <c r="D75" s="384" t="str">
        <f>IFERROR(__xludf.DUMMYFUNCTION("IF(D$43="""","""",IF($AZ75="""","""",IFERROR(Query({CarteirasAtivos},""Select Col3 where Col1 = '""&amp;$AZ75&amp;""'and Col2 = '""&amp;U$21&amp;""'""))))"),"")</f>
        <v/>
      </c>
      <c r="E75" s="384" t="str">
        <f>IFERROR(__xludf.DUMMYFUNCTION("IF(E$43="""","""",IF($AZ75="""","""",IFERROR(Query({CarteirasAtivos},""Select Col3 where Col1 = '""&amp;$AZ75&amp;""'and Col2 = '""&amp;V$21&amp;""'""))))"),"")</f>
        <v/>
      </c>
      <c r="F75" s="384" t="str">
        <f>IFERROR(__xludf.DUMMYFUNCTION("IF(F$43="""","""",IF($AZ75="""","""",IFERROR(Query({CarteirasAtivos},""Select Col3 where Col1 = '""&amp;$AZ75&amp;""'and Col2 = '""&amp;W$21&amp;""'""))))"),"")</f>
        <v/>
      </c>
      <c r="G75" s="384" t="str">
        <f>IFERROR(__xludf.DUMMYFUNCTION("IF(G$43="""","""",IF($AZ75="""","""",IFERROR(Query({CarteirasAtivos},""Select Col3 where Col1 = '""&amp;$AZ75&amp;""'and Col2 = '""&amp;X$21&amp;""'""))))"),"")</f>
        <v/>
      </c>
      <c r="H75" s="384" t="str">
        <f>IFERROR(__xludf.DUMMYFUNCTION("IF(H$43="""","""",IF($AZ75="""","""",IFERROR(Query({CarteirasAtivos},""Select Col3 where Col1 = '""&amp;$AZ75&amp;""'and Col2 = '""&amp;Y$21&amp;""'""))))"),"")</f>
        <v/>
      </c>
      <c r="I75" s="384" t="str">
        <f>IFERROR(__xludf.DUMMYFUNCTION("IF(I$43="""","""",IF($AZ75="""","""",IFERROR(Query({CarteirasAtivos},""Select Col3 where Col1 = '""&amp;$AZ75&amp;""'and Col2 = '""&amp;Z$21&amp;""'""))))"),"")</f>
        <v/>
      </c>
      <c r="J75" s="384" t="str">
        <f>IFERROR(__xludf.DUMMYFUNCTION("IF(J$43="""","""",IF($AZ75="""","""",IFERROR(Query({CarteirasAtivos},""Select Col3 where Col1 = '""&amp;$AZ75&amp;""'and Col2 = '""&amp;AA$21&amp;""'""))))"),"")</f>
        <v/>
      </c>
      <c r="K75" s="384" t="str">
        <f>IFERROR(__xludf.DUMMYFUNCTION("IF(K$43="""","""",IF($AZ75="""","""",IFERROR(Query({CarteirasAtivos},""Select Col3 where Col1 = '""&amp;$AZ75&amp;""'and Col2 = '""&amp;AB$21&amp;""'""))))"),"")</f>
        <v/>
      </c>
      <c r="L75" s="385">
        <v>32.0</v>
      </c>
      <c r="M75" s="432"/>
      <c r="N75" s="387"/>
      <c r="O75" s="388" t="s">
        <v>123</v>
      </c>
      <c r="P75" s="389"/>
      <c r="Q75" s="390"/>
      <c r="R75" s="391"/>
      <c r="S75" s="392"/>
      <c r="T75" s="393"/>
      <c r="U75" s="393"/>
      <c r="V75" s="394"/>
      <c r="W75" s="395" t="str">
        <f>IFERROR(__xludf.DUMMYFUNCTION("IF(M75="""","""",sparkline(IFERROR(BF75*100/MAX($BF$44:$BF$153),0),{""charttype"",""bar"";""max"",100;""color1"",IF(BD75&gt;=0,""#4760a5"",""red"")}))"),"")</f>
        <v/>
      </c>
      <c r="X75" s="396"/>
      <c r="Y75" s="466"/>
      <c r="Z75" s="398"/>
      <c r="AA75" s="399"/>
      <c r="AB75" s="393"/>
      <c r="AC75" s="476"/>
      <c r="AD75" s="401"/>
      <c r="AE75" s="402"/>
      <c r="AF75" s="403"/>
      <c r="AG75" s="404" t="str">
        <f>IFERROR(__xludf.DUMMYFUNCTION("IF($M75="""","""",IFERROR(sparkline(query(GOOGLEFINANCE($AZ75,""price"",TODAY()-$AF$43,TODAY(),1),""select Col2 label Col2 ''""),IF($AG$43=""Gráfico de barras"",{""charttype"",""column"";""highcolor"",""red""},{""chartype"",""line""}))))"),"")</f>
        <v/>
      </c>
      <c r="AH75" s="405"/>
      <c r="AI75" s="467"/>
      <c r="AJ75" s="467"/>
      <c r="AK75" s="467"/>
      <c r="AL75" s="467"/>
      <c r="AM75" s="442"/>
      <c r="AN75" s="56"/>
      <c r="AU75" s="281"/>
      <c r="AV75" s="281"/>
      <c r="AW75" s="281"/>
      <c r="AX75" s="281"/>
      <c r="AY75" s="410">
        <v>32.0</v>
      </c>
      <c r="AZ75" s="411"/>
      <c r="BA75" s="411"/>
      <c r="BB75" s="437"/>
      <c r="BC75" s="437"/>
      <c r="BD75" s="437"/>
      <c r="BE75" s="437"/>
      <c r="BF75" s="415" t="s">
        <v>123</v>
      </c>
      <c r="BG75" s="410">
        <v>32.0</v>
      </c>
      <c r="BH75" s="416"/>
      <c r="BI75" s="416"/>
      <c r="BJ75" s="416"/>
      <c r="BK75" s="416"/>
      <c r="BL75" s="416"/>
      <c r="BM75" s="416"/>
      <c r="BN75" s="282"/>
      <c r="BO75" s="477"/>
      <c r="BP75" s="478"/>
      <c r="BQ75" s="479"/>
      <c r="BR75" s="479"/>
      <c r="BS75" s="63"/>
      <c r="BT75" s="63"/>
      <c r="BU75" s="64"/>
      <c r="BV75" s="63"/>
      <c r="BW75" s="63"/>
      <c r="BX75" s="62"/>
      <c r="BY75" s="452"/>
      <c r="BZ75" s="452"/>
      <c r="CA75" s="452"/>
      <c r="CB75" s="452"/>
      <c r="CC75" s="452"/>
      <c r="CD75" s="452"/>
      <c r="CE75" s="452"/>
      <c r="CF75" s="452"/>
      <c r="CG75" s="452"/>
      <c r="CH75" s="422"/>
      <c r="CI75" s="422"/>
      <c r="CJ75" s="422"/>
      <c r="CK75" s="421"/>
      <c r="CL75" s="421" t="s">
        <v>123</v>
      </c>
      <c r="CM75" s="423"/>
      <c r="CN75" s="421"/>
      <c r="CO75" s="423"/>
      <c r="CP75" s="421"/>
      <c r="CQ75" s="63"/>
      <c r="CR75" s="63"/>
      <c r="CS75" s="63"/>
      <c r="CT75" s="63"/>
      <c r="CU75" s="447"/>
      <c r="CV75" s="447"/>
      <c r="CW75" s="447"/>
      <c r="CX75" s="447"/>
      <c r="CY75" s="447"/>
      <c r="CZ75" s="447"/>
      <c r="DA75" s="447"/>
      <c r="DB75" s="447"/>
      <c r="DC75" s="447"/>
      <c r="DD75" s="447"/>
      <c r="DE75" s="447"/>
      <c r="DF75" s="447"/>
      <c r="DG75" s="447"/>
      <c r="DH75" s="447"/>
      <c r="DI75" s="447"/>
      <c r="DJ75" s="447"/>
      <c r="DK75" s="447"/>
      <c r="DL75" s="360">
        <v>9.0</v>
      </c>
      <c r="DM75" s="487"/>
      <c r="DN75" s="483" t="str">
        <f>IF(DM75="","",IFERROR(SUMIFS(op.daytrade!$P$5:$P343,op.daytrade!$AC$5:$AC343,DM75),0))</f>
        <v/>
      </c>
      <c r="DO75" s="67"/>
      <c r="DP75" s="482" t="s">
        <v>326</v>
      </c>
      <c r="DQ75" s="67"/>
    </row>
    <row r="76" ht="22.5" customHeight="1">
      <c r="A76" s="383"/>
      <c r="B76" s="384" t="str">
        <f>IFERROR(__xludf.DUMMYFUNCTION("IF(B$43="""","""",IF($AZ76="""","""",IFERROR(Query({CarteirasAtivos},""Select Col3 where Col1 = '""&amp;$AZ76&amp;""'and Col2 = '""&amp;S$21&amp;""'""))))"),"")</f>
        <v/>
      </c>
      <c r="C76" s="384" t="str">
        <f>IFERROR(__xludf.DUMMYFUNCTION("IF(C$43="""","""",IF($AZ76="""","""",IFERROR(Query({CarteirasAtivos},""Select Col3 where Col1 = '""&amp;$AZ76&amp;""'and Col2 = '""&amp;T$21&amp;""'""))))"),"")</f>
        <v/>
      </c>
      <c r="D76" s="384" t="str">
        <f>IFERROR(__xludf.DUMMYFUNCTION("IF(D$43="""","""",IF($AZ76="""","""",IFERROR(Query({CarteirasAtivos},""Select Col3 where Col1 = '""&amp;$AZ76&amp;""'and Col2 = '""&amp;U$21&amp;""'""))))"),"")</f>
        <v/>
      </c>
      <c r="E76" s="384" t="str">
        <f>IFERROR(__xludf.DUMMYFUNCTION("IF(E$43="""","""",IF($AZ76="""","""",IFERROR(Query({CarteirasAtivos},""Select Col3 where Col1 = '""&amp;$AZ76&amp;""'and Col2 = '""&amp;V$21&amp;""'""))))"),"")</f>
        <v/>
      </c>
      <c r="F76" s="384" t="str">
        <f>IFERROR(__xludf.DUMMYFUNCTION("IF(F$43="""","""",IF($AZ76="""","""",IFERROR(Query({CarteirasAtivos},""Select Col3 where Col1 = '""&amp;$AZ76&amp;""'and Col2 = '""&amp;W$21&amp;""'""))))"),"")</f>
        <v/>
      </c>
      <c r="G76" s="384" t="str">
        <f>IFERROR(__xludf.DUMMYFUNCTION("IF(G$43="""","""",IF($AZ76="""","""",IFERROR(Query({CarteirasAtivos},""Select Col3 where Col1 = '""&amp;$AZ76&amp;""'and Col2 = '""&amp;X$21&amp;""'""))))"),"")</f>
        <v/>
      </c>
      <c r="H76" s="384" t="str">
        <f>IFERROR(__xludf.DUMMYFUNCTION("IF(H$43="""","""",IF($AZ76="""","""",IFERROR(Query({CarteirasAtivos},""Select Col3 where Col1 = '""&amp;$AZ76&amp;""'and Col2 = '""&amp;Y$21&amp;""'""))))"),"")</f>
        <v/>
      </c>
      <c r="I76" s="384" t="str">
        <f>IFERROR(__xludf.DUMMYFUNCTION("IF(I$43="""","""",IF($AZ76="""","""",IFERROR(Query({CarteirasAtivos},""Select Col3 where Col1 = '""&amp;$AZ76&amp;""'and Col2 = '""&amp;Z$21&amp;""'""))))"),"")</f>
        <v/>
      </c>
      <c r="J76" s="384" t="str">
        <f>IFERROR(__xludf.DUMMYFUNCTION("IF(J$43="""","""",IF($AZ76="""","""",IFERROR(Query({CarteirasAtivos},""Select Col3 where Col1 = '""&amp;$AZ76&amp;""'and Col2 = '""&amp;AA$21&amp;""'""))))"),"")</f>
        <v/>
      </c>
      <c r="K76" s="384" t="str">
        <f>IFERROR(__xludf.DUMMYFUNCTION("IF(K$43="""","""",IF($AZ76="""","""",IFERROR(Query({CarteirasAtivos},""Select Col3 where Col1 = '""&amp;$AZ76&amp;""'and Col2 = '""&amp;AB$21&amp;""'""))))"),"")</f>
        <v/>
      </c>
      <c r="L76" s="385">
        <v>33.0</v>
      </c>
      <c r="M76" s="432"/>
      <c r="N76" s="387"/>
      <c r="O76" s="388" t="s">
        <v>123</v>
      </c>
      <c r="P76" s="389"/>
      <c r="Q76" s="390"/>
      <c r="R76" s="391"/>
      <c r="S76" s="392"/>
      <c r="T76" s="393"/>
      <c r="U76" s="393"/>
      <c r="V76" s="394"/>
      <c r="W76" s="395" t="str">
        <f>IFERROR(__xludf.DUMMYFUNCTION("IF(M76="""","""",sparkline(IFERROR(BF76*100/MAX($BF$44:$BF$153),0),{""charttype"",""bar"";""max"",100;""color1"",IF(BD76&gt;=0,""#4760a5"",""red"")}))"),"")</f>
        <v/>
      </c>
      <c r="X76" s="396"/>
      <c r="Y76" s="466"/>
      <c r="Z76" s="398"/>
      <c r="AA76" s="399"/>
      <c r="AB76" s="393"/>
      <c r="AC76" s="476"/>
      <c r="AD76" s="401"/>
      <c r="AE76" s="402"/>
      <c r="AF76" s="403"/>
      <c r="AG76" s="404" t="str">
        <f>IFERROR(__xludf.DUMMYFUNCTION("IF($M76="""","""",IFERROR(sparkline(query(GOOGLEFINANCE($AZ76,""price"",TODAY()-$AF$43,TODAY(),1),""select Col2 label Col2 ''""),IF($AG$43=""Gráfico de barras"",{""charttype"",""column"";""highcolor"",""red""},{""chartype"",""line""}))))"),"")</f>
        <v/>
      </c>
      <c r="AH76" s="405"/>
      <c r="AI76" s="467"/>
      <c r="AJ76" s="467"/>
      <c r="AK76" s="467"/>
      <c r="AL76" s="467"/>
      <c r="AM76" s="442"/>
      <c r="AN76" s="56"/>
      <c r="AU76" s="281"/>
      <c r="AV76" s="281"/>
      <c r="AW76" s="281"/>
      <c r="AX76" s="281"/>
      <c r="AY76" s="410">
        <v>33.0</v>
      </c>
      <c r="AZ76" s="411"/>
      <c r="BA76" s="411"/>
      <c r="BB76" s="437"/>
      <c r="BC76" s="437"/>
      <c r="BD76" s="437"/>
      <c r="BE76" s="437"/>
      <c r="BF76" s="415" t="s">
        <v>123</v>
      </c>
      <c r="BG76" s="410">
        <v>33.0</v>
      </c>
      <c r="BH76" s="416"/>
      <c r="BI76" s="416"/>
      <c r="BJ76" s="416"/>
      <c r="BK76" s="416"/>
      <c r="BL76" s="416"/>
      <c r="BM76" s="416"/>
      <c r="BN76" s="282"/>
      <c r="BO76" s="489"/>
      <c r="BP76" s="489"/>
      <c r="BQ76" s="489"/>
      <c r="BR76" s="489"/>
      <c r="BS76" s="489"/>
      <c r="BT76" s="489"/>
      <c r="BU76" s="489"/>
      <c r="BV76" s="489"/>
      <c r="BW76" s="63"/>
      <c r="BX76" s="62"/>
      <c r="BY76" s="452"/>
      <c r="BZ76" s="452"/>
      <c r="CA76" s="452"/>
      <c r="CB76" s="452"/>
      <c r="CC76" s="452"/>
      <c r="CD76" s="452"/>
      <c r="CE76" s="452"/>
      <c r="CF76" s="452"/>
      <c r="CG76" s="452"/>
      <c r="CH76" s="422"/>
      <c r="CI76" s="422"/>
      <c r="CJ76" s="422"/>
      <c r="CK76" s="421"/>
      <c r="CL76" s="421" t="s">
        <v>123</v>
      </c>
      <c r="CM76" s="423"/>
      <c r="CN76" s="421"/>
      <c r="CO76" s="423"/>
      <c r="CP76" s="421"/>
      <c r="CQ76" s="63"/>
      <c r="CR76" s="63"/>
      <c r="CS76" s="63"/>
      <c r="CT76" s="63"/>
      <c r="CU76" s="447"/>
      <c r="CV76" s="447"/>
      <c r="CW76" s="447"/>
      <c r="CX76" s="447"/>
      <c r="CY76" s="447"/>
      <c r="CZ76" s="447"/>
      <c r="DA76" s="447"/>
      <c r="DB76" s="447"/>
      <c r="DC76" s="447"/>
      <c r="DD76" s="447"/>
      <c r="DE76" s="447"/>
      <c r="DF76" s="447"/>
      <c r="DG76" s="447"/>
      <c r="DH76" s="447"/>
      <c r="DI76" s="447"/>
      <c r="DJ76" s="447"/>
      <c r="DK76" s="447"/>
      <c r="DL76" s="360">
        <v>10.0</v>
      </c>
      <c r="DM76" s="487"/>
      <c r="DN76" s="483" t="str">
        <f>IF(DM76="","",IFERROR(SUMIFS(op.daytrade!$P$5:$P343,op.daytrade!$AC$5:$AC343,DM76),0))</f>
        <v/>
      </c>
      <c r="DO76" s="67"/>
      <c r="DP76" s="488" t="b">
        <f>COUNTIF(DP67:DP73,"?*")=0</f>
        <v>1</v>
      </c>
      <c r="DQ76" s="67"/>
    </row>
    <row r="77" ht="22.5" customHeight="1">
      <c r="A77" s="383"/>
      <c r="B77" s="384" t="str">
        <f>IFERROR(__xludf.DUMMYFUNCTION("IF(B$43="""","""",IF($AZ77="""","""",IFERROR(Query({CarteirasAtivos},""Select Col3 where Col1 = '""&amp;$AZ77&amp;""'and Col2 = '""&amp;S$21&amp;""'""))))"),"")</f>
        <v/>
      </c>
      <c r="C77" s="384" t="str">
        <f>IFERROR(__xludf.DUMMYFUNCTION("IF(C$43="""","""",IF($AZ77="""","""",IFERROR(Query({CarteirasAtivos},""Select Col3 where Col1 = '""&amp;$AZ77&amp;""'and Col2 = '""&amp;T$21&amp;""'""))))"),"")</f>
        <v/>
      </c>
      <c r="D77" s="384" t="str">
        <f>IFERROR(__xludf.DUMMYFUNCTION("IF(D$43="""","""",IF($AZ77="""","""",IFERROR(Query({CarteirasAtivos},""Select Col3 where Col1 = '""&amp;$AZ77&amp;""'and Col2 = '""&amp;U$21&amp;""'""))))"),"")</f>
        <v/>
      </c>
      <c r="E77" s="384" t="str">
        <f>IFERROR(__xludf.DUMMYFUNCTION("IF(E$43="""","""",IF($AZ77="""","""",IFERROR(Query({CarteirasAtivos},""Select Col3 where Col1 = '""&amp;$AZ77&amp;""'and Col2 = '""&amp;V$21&amp;""'""))))"),"")</f>
        <v/>
      </c>
      <c r="F77" s="384" t="str">
        <f>IFERROR(__xludf.DUMMYFUNCTION("IF(F$43="""","""",IF($AZ77="""","""",IFERROR(Query({CarteirasAtivos},""Select Col3 where Col1 = '""&amp;$AZ77&amp;""'and Col2 = '""&amp;W$21&amp;""'""))))"),"")</f>
        <v/>
      </c>
      <c r="G77" s="384" t="str">
        <f>IFERROR(__xludf.DUMMYFUNCTION("IF(G$43="""","""",IF($AZ77="""","""",IFERROR(Query({CarteirasAtivos},""Select Col3 where Col1 = '""&amp;$AZ77&amp;""'and Col2 = '""&amp;X$21&amp;""'""))))"),"")</f>
        <v/>
      </c>
      <c r="H77" s="384" t="str">
        <f>IFERROR(__xludf.DUMMYFUNCTION("IF(H$43="""","""",IF($AZ77="""","""",IFERROR(Query({CarteirasAtivos},""Select Col3 where Col1 = '""&amp;$AZ77&amp;""'and Col2 = '""&amp;Y$21&amp;""'""))))"),"")</f>
        <v/>
      </c>
      <c r="I77" s="384" t="str">
        <f>IFERROR(__xludf.DUMMYFUNCTION("IF(I$43="""","""",IF($AZ77="""","""",IFERROR(Query({CarteirasAtivos},""Select Col3 where Col1 = '""&amp;$AZ77&amp;""'and Col2 = '""&amp;Z$21&amp;""'""))))"),"")</f>
        <v/>
      </c>
      <c r="J77" s="384" t="str">
        <f>IFERROR(__xludf.DUMMYFUNCTION("IF(J$43="""","""",IF($AZ77="""","""",IFERROR(Query({CarteirasAtivos},""Select Col3 where Col1 = '""&amp;$AZ77&amp;""'and Col2 = '""&amp;AA$21&amp;""'""))))"),"")</f>
        <v/>
      </c>
      <c r="K77" s="384" t="str">
        <f>IFERROR(__xludf.DUMMYFUNCTION("IF(K$43="""","""",IF($AZ77="""","""",IFERROR(Query({CarteirasAtivos},""Select Col3 where Col1 = '""&amp;$AZ77&amp;""'and Col2 = '""&amp;AB$21&amp;""'""))))"),"")</f>
        <v/>
      </c>
      <c r="L77" s="385">
        <v>34.0</v>
      </c>
      <c r="M77" s="432"/>
      <c r="N77" s="387"/>
      <c r="O77" s="388" t="s">
        <v>123</v>
      </c>
      <c r="P77" s="389"/>
      <c r="Q77" s="390"/>
      <c r="R77" s="391"/>
      <c r="S77" s="392"/>
      <c r="T77" s="393"/>
      <c r="U77" s="393"/>
      <c r="V77" s="394"/>
      <c r="W77" s="395" t="str">
        <f>IFERROR(__xludf.DUMMYFUNCTION("IF(M77="""","""",sparkline(IFERROR(BF77*100/MAX($BF$44:$BF$153),0),{""charttype"",""bar"";""max"",100;""color1"",IF(BD77&gt;=0,""#4760a5"",""red"")}))"),"")</f>
        <v/>
      </c>
      <c r="X77" s="396"/>
      <c r="Y77" s="466"/>
      <c r="Z77" s="398"/>
      <c r="AA77" s="399"/>
      <c r="AB77" s="393"/>
      <c r="AC77" s="476"/>
      <c r="AD77" s="401"/>
      <c r="AE77" s="402"/>
      <c r="AF77" s="403"/>
      <c r="AG77" s="404" t="str">
        <f>IFERROR(__xludf.DUMMYFUNCTION("IF($M77="""","""",IFERROR(sparkline(query(GOOGLEFINANCE($AZ77,""price"",TODAY()-$AF$43,TODAY(),1),""select Col2 label Col2 ''""),IF($AG$43=""Gráfico de barras"",{""charttype"",""column"";""highcolor"",""red""},{""chartype"",""line""}))))"),"")</f>
        <v/>
      </c>
      <c r="AH77" s="405"/>
      <c r="AI77" s="467"/>
      <c r="AJ77" s="467"/>
      <c r="AK77" s="467"/>
      <c r="AL77" s="467"/>
      <c r="AM77" s="442"/>
      <c r="AN77" s="56"/>
      <c r="AU77" s="281"/>
      <c r="AV77" s="281"/>
      <c r="AW77" s="281"/>
      <c r="AX77" s="281"/>
      <c r="AY77" s="410">
        <v>34.0</v>
      </c>
      <c r="AZ77" s="411"/>
      <c r="BA77" s="411"/>
      <c r="BB77" s="437"/>
      <c r="BC77" s="437"/>
      <c r="BD77" s="437"/>
      <c r="BE77" s="437"/>
      <c r="BF77" s="415" t="s">
        <v>123</v>
      </c>
      <c r="BG77" s="410">
        <v>34.0</v>
      </c>
      <c r="BH77" s="416"/>
      <c r="BI77" s="416"/>
      <c r="BJ77" s="416"/>
      <c r="BK77" s="416"/>
      <c r="BL77" s="416"/>
      <c r="BM77" s="416"/>
      <c r="BN77" s="282"/>
      <c r="BO77" s="490"/>
      <c r="BP77" s="491" t="s">
        <v>327</v>
      </c>
      <c r="BQ77" s="318"/>
      <c r="BR77" s="492">
        <f>today()</f>
        <v>46092</v>
      </c>
      <c r="BS77" s="493">
        <f>IF(WEEKDAY(BR77)=7,1,IF(WEEKDAY(BR77)=1,2,0))</f>
        <v>0</v>
      </c>
      <c r="BT77" s="494" t="s">
        <v>328</v>
      </c>
      <c r="BU77" s="494" t="s">
        <v>329</v>
      </c>
      <c r="BV77" s="489"/>
      <c r="BW77" s="63"/>
      <c r="BX77" s="62"/>
      <c r="BY77" s="452"/>
      <c r="BZ77" s="452"/>
      <c r="CA77" s="452"/>
      <c r="CB77" s="452"/>
      <c r="CC77" s="452"/>
      <c r="CD77" s="452"/>
      <c r="CE77" s="452"/>
      <c r="CF77" s="452"/>
      <c r="CG77" s="452"/>
      <c r="CH77" s="422"/>
      <c r="CI77" s="422"/>
      <c r="CJ77" s="422"/>
      <c r="CK77" s="421"/>
      <c r="CL77" s="421" t="s">
        <v>123</v>
      </c>
      <c r="CM77" s="423"/>
      <c r="CN77" s="421"/>
      <c r="CO77" s="423"/>
      <c r="CP77" s="421"/>
      <c r="CQ77" s="63"/>
      <c r="CR77" s="63"/>
      <c r="CS77" s="63"/>
      <c r="CT77" s="63"/>
      <c r="CU77" s="447"/>
      <c r="CV77" s="447"/>
      <c r="CW77" s="447"/>
      <c r="CX77" s="447"/>
      <c r="CY77" s="447"/>
      <c r="CZ77" s="447"/>
      <c r="DA77" s="447"/>
      <c r="DB77" s="447"/>
      <c r="DC77" s="447"/>
      <c r="DD77" s="447"/>
      <c r="DE77" s="447"/>
      <c r="DF77" s="447"/>
      <c r="DG77" s="447"/>
      <c r="DH77" s="447"/>
      <c r="DI77" s="447"/>
      <c r="DJ77" s="447"/>
      <c r="DK77" s="447"/>
      <c r="DL77" s="360">
        <v>11.0</v>
      </c>
      <c r="DM77" s="487"/>
      <c r="DN77" s="483" t="str">
        <f>IF(DM77="","",IFERROR(SUMIFS(op.daytrade!$P$5:$P343,op.daytrade!$AC$5:$AC343,DM77),0))</f>
        <v/>
      </c>
      <c r="DO77" s="67"/>
      <c r="DP77" s="67"/>
      <c r="DQ77" s="67"/>
    </row>
    <row r="78" ht="22.5" customHeight="1">
      <c r="A78" s="383"/>
      <c r="B78" s="384" t="str">
        <f>IFERROR(__xludf.DUMMYFUNCTION("IF(B$43="""","""",IF($AZ78="""","""",IFERROR(Query({CarteirasAtivos},""Select Col3 where Col1 = '""&amp;$AZ78&amp;""'and Col2 = '""&amp;S$21&amp;""'""))))"),"")</f>
        <v/>
      </c>
      <c r="C78" s="384" t="str">
        <f>IFERROR(__xludf.DUMMYFUNCTION("IF(C$43="""","""",IF($AZ78="""","""",IFERROR(Query({CarteirasAtivos},""Select Col3 where Col1 = '""&amp;$AZ78&amp;""'and Col2 = '""&amp;T$21&amp;""'""))))"),"")</f>
        <v/>
      </c>
      <c r="D78" s="384" t="str">
        <f>IFERROR(__xludf.DUMMYFUNCTION("IF(D$43="""","""",IF($AZ78="""","""",IFERROR(Query({CarteirasAtivos},""Select Col3 where Col1 = '""&amp;$AZ78&amp;""'and Col2 = '""&amp;U$21&amp;""'""))))"),"")</f>
        <v/>
      </c>
      <c r="E78" s="384" t="str">
        <f>IFERROR(__xludf.DUMMYFUNCTION("IF(E$43="""","""",IF($AZ78="""","""",IFERROR(Query({CarteirasAtivos},""Select Col3 where Col1 = '""&amp;$AZ78&amp;""'and Col2 = '""&amp;V$21&amp;""'""))))"),"")</f>
        <v/>
      </c>
      <c r="F78" s="384" t="str">
        <f>IFERROR(__xludf.DUMMYFUNCTION("IF(F$43="""","""",IF($AZ78="""","""",IFERROR(Query({CarteirasAtivos},""Select Col3 where Col1 = '""&amp;$AZ78&amp;""'and Col2 = '""&amp;W$21&amp;""'""))))"),"")</f>
        <v/>
      </c>
      <c r="G78" s="384" t="str">
        <f>IFERROR(__xludf.DUMMYFUNCTION("IF(G$43="""","""",IF($AZ78="""","""",IFERROR(Query({CarteirasAtivos},""Select Col3 where Col1 = '""&amp;$AZ78&amp;""'and Col2 = '""&amp;X$21&amp;""'""))))"),"")</f>
        <v/>
      </c>
      <c r="H78" s="384" t="str">
        <f>IFERROR(__xludf.DUMMYFUNCTION("IF(H$43="""","""",IF($AZ78="""","""",IFERROR(Query({CarteirasAtivos},""Select Col3 where Col1 = '""&amp;$AZ78&amp;""'and Col2 = '""&amp;Y$21&amp;""'""))))"),"")</f>
        <v/>
      </c>
      <c r="I78" s="384" t="str">
        <f>IFERROR(__xludf.DUMMYFUNCTION("IF(I$43="""","""",IF($AZ78="""","""",IFERROR(Query({CarteirasAtivos},""Select Col3 where Col1 = '""&amp;$AZ78&amp;""'and Col2 = '""&amp;Z$21&amp;""'""))))"),"")</f>
        <v/>
      </c>
      <c r="J78" s="384" t="str">
        <f>IFERROR(__xludf.DUMMYFUNCTION("IF(J$43="""","""",IF($AZ78="""","""",IFERROR(Query({CarteirasAtivos},""Select Col3 where Col1 = '""&amp;$AZ78&amp;""'and Col2 = '""&amp;AA$21&amp;""'""))))"),"")</f>
        <v/>
      </c>
      <c r="K78" s="384" t="str">
        <f>IFERROR(__xludf.DUMMYFUNCTION("IF(K$43="""","""",IF($AZ78="""","""",IFERROR(Query({CarteirasAtivos},""Select Col3 where Col1 = '""&amp;$AZ78&amp;""'and Col2 = '""&amp;AB$21&amp;""'""))))"),"")</f>
        <v/>
      </c>
      <c r="L78" s="385">
        <v>35.0</v>
      </c>
      <c r="M78" s="432"/>
      <c r="N78" s="387"/>
      <c r="O78" s="388" t="s">
        <v>123</v>
      </c>
      <c r="P78" s="389"/>
      <c r="Q78" s="390"/>
      <c r="R78" s="391"/>
      <c r="S78" s="392"/>
      <c r="T78" s="393"/>
      <c r="U78" s="393"/>
      <c r="V78" s="394"/>
      <c r="W78" s="395" t="str">
        <f>IFERROR(__xludf.DUMMYFUNCTION("IF(M78="""","""",sparkline(IFERROR(BF78*100/MAX($BF$44:$BF$153),0),{""charttype"",""bar"";""max"",100;""color1"",IF(BD78&gt;=0,""#4760a5"",""red"")}))"),"")</f>
        <v/>
      </c>
      <c r="X78" s="396"/>
      <c r="Y78" s="466"/>
      <c r="Z78" s="398"/>
      <c r="AA78" s="399"/>
      <c r="AB78" s="393"/>
      <c r="AC78" s="476"/>
      <c r="AD78" s="401"/>
      <c r="AE78" s="402"/>
      <c r="AF78" s="403"/>
      <c r="AG78" s="404" t="str">
        <f>IFERROR(__xludf.DUMMYFUNCTION("IF($M78="""","""",IFERROR(sparkline(query(GOOGLEFINANCE($AZ78,""price"",TODAY()-$AF$43,TODAY(),1),""select Col2 label Col2 ''""),IF($AG$43=""Gráfico de barras"",{""charttype"",""column"";""highcolor"",""red""},{""chartype"",""line""}))))"),"")</f>
        <v/>
      </c>
      <c r="AH78" s="405"/>
      <c r="AI78" s="467"/>
      <c r="AJ78" s="467"/>
      <c r="AK78" s="467"/>
      <c r="AL78" s="467"/>
      <c r="AM78" s="442"/>
      <c r="AN78" s="56"/>
      <c r="AU78" s="281"/>
      <c r="AV78" s="281"/>
      <c r="AW78" s="281"/>
      <c r="AX78" s="281"/>
      <c r="AY78" s="410">
        <v>35.0</v>
      </c>
      <c r="AZ78" s="411"/>
      <c r="BA78" s="411"/>
      <c r="BB78" s="437"/>
      <c r="BC78" s="437"/>
      <c r="BD78" s="437"/>
      <c r="BE78" s="437"/>
      <c r="BF78" s="415" t="s">
        <v>123</v>
      </c>
      <c r="BG78" s="410">
        <v>35.0</v>
      </c>
      <c r="BH78" s="416"/>
      <c r="BI78" s="416"/>
      <c r="BJ78" s="416"/>
      <c r="BK78" s="416"/>
      <c r="BL78" s="416"/>
      <c r="BM78" s="416"/>
      <c r="BN78" s="282"/>
      <c r="BO78" s="495"/>
      <c r="BP78" s="496"/>
      <c r="BQ78" s="496"/>
      <c r="BR78" s="496"/>
      <c r="BS78" s="496"/>
      <c r="BT78" s="497" t="s">
        <v>330</v>
      </c>
      <c r="BU78" s="497" t="s">
        <v>330</v>
      </c>
      <c r="BV78" s="489"/>
      <c r="BW78" s="63"/>
      <c r="BX78" s="62"/>
      <c r="BY78" s="452"/>
      <c r="BZ78" s="452"/>
      <c r="CA78" s="452"/>
      <c r="CB78" s="452"/>
      <c r="CC78" s="452"/>
      <c r="CD78" s="452"/>
      <c r="CE78" s="452"/>
      <c r="CF78" s="452"/>
      <c r="CG78" s="452"/>
      <c r="CH78" s="422"/>
      <c r="CI78" s="422"/>
      <c r="CJ78" s="422"/>
      <c r="CK78" s="421"/>
      <c r="CL78" s="421" t="s">
        <v>123</v>
      </c>
      <c r="CM78" s="423"/>
      <c r="CN78" s="421"/>
      <c r="CO78" s="423"/>
      <c r="CP78" s="421"/>
      <c r="CQ78" s="63"/>
      <c r="CR78" s="63"/>
      <c r="CS78" s="63"/>
      <c r="CT78" s="63"/>
      <c r="CU78" s="447"/>
      <c r="CV78" s="447"/>
      <c r="CW78" s="447"/>
      <c r="CX78" s="447"/>
      <c r="CY78" s="447"/>
      <c r="CZ78" s="447"/>
      <c r="DA78" s="447"/>
      <c r="DB78" s="447"/>
      <c r="DC78" s="447"/>
      <c r="DD78" s="447"/>
      <c r="DE78" s="447"/>
      <c r="DF78" s="447"/>
      <c r="DG78" s="447"/>
      <c r="DH78" s="447"/>
      <c r="DI78" s="447"/>
      <c r="DJ78" s="447"/>
      <c r="DK78" s="447"/>
      <c r="DL78" s="360">
        <v>12.0</v>
      </c>
      <c r="DM78" s="487"/>
      <c r="DN78" s="483" t="str">
        <f>IF(DM78="","",IFERROR(SUMIFS(op.daytrade!$P$5:$P343,op.daytrade!$AC$5:$AC343,DM78),0))</f>
        <v/>
      </c>
      <c r="DO78" s="67"/>
      <c r="DP78" s="67"/>
      <c r="DQ78" s="67"/>
    </row>
    <row r="79" ht="22.5" customHeight="1">
      <c r="A79" s="383"/>
      <c r="B79" s="384" t="str">
        <f>IFERROR(__xludf.DUMMYFUNCTION("IF(B$43="""","""",IF($AZ79="""","""",IFERROR(Query({CarteirasAtivos},""Select Col3 where Col1 = '""&amp;$AZ79&amp;""'and Col2 = '""&amp;S$21&amp;""'""))))"),"")</f>
        <v/>
      </c>
      <c r="C79" s="384" t="str">
        <f>IFERROR(__xludf.DUMMYFUNCTION("IF(C$43="""","""",IF($AZ79="""","""",IFERROR(Query({CarteirasAtivos},""Select Col3 where Col1 = '""&amp;$AZ79&amp;""'and Col2 = '""&amp;T$21&amp;""'""))))"),"")</f>
        <v/>
      </c>
      <c r="D79" s="384" t="str">
        <f>IFERROR(__xludf.DUMMYFUNCTION("IF(D$43="""","""",IF($AZ79="""","""",IFERROR(Query({CarteirasAtivos},""Select Col3 where Col1 = '""&amp;$AZ79&amp;""'and Col2 = '""&amp;U$21&amp;""'""))))"),"")</f>
        <v/>
      </c>
      <c r="E79" s="384" t="str">
        <f>IFERROR(__xludf.DUMMYFUNCTION("IF(E$43="""","""",IF($AZ79="""","""",IFERROR(Query({CarteirasAtivos},""Select Col3 where Col1 = '""&amp;$AZ79&amp;""'and Col2 = '""&amp;V$21&amp;""'""))))"),"")</f>
        <v/>
      </c>
      <c r="F79" s="384" t="str">
        <f>IFERROR(__xludf.DUMMYFUNCTION("IF(F$43="""","""",IF($AZ79="""","""",IFERROR(Query({CarteirasAtivos},""Select Col3 where Col1 = '""&amp;$AZ79&amp;""'and Col2 = '""&amp;W$21&amp;""'""))))"),"")</f>
        <v/>
      </c>
      <c r="G79" s="384" t="str">
        <f>IFERROR(__xludf.DUMMYFUNCTION("IF(G$43="""","""",IF($AZ79="""","""",IFERROR(Query({CarteirasAtivos},""Select Col3 where Col1 = '""&amp;$AZ79&amp;""'and Col2 = '""&amp;X$21&amp;""'""))))"),"")</f>
        <v/>
      </c>
      <c r="H79" s="384" t="str">
        <f>IFERROR(__xludf.DUMMYFUNCTION("IF(H$43="""","""",IF($AZ79="""","""",IFERROR(Query({CarteirasAtivos},""Select Col3 where Col1 = '""&amp;$AZ79&amp;""'and Col2 = '""&amp;Y$21&amp;""'""))))"),"")</f>
        <v/>
      </c>
      <c r="I79" s="384" t="str">
        <f>IFERROR(__xludf.DUMMYFUNCTION("IF(I$43="""","""",IF($AZ79="""","""",IFERROR(Query({CarteirasAtivos},""Select Col3 where Col1 = '""&amp;$AZ79&amp;""'and Col2 = '""&amp;Z$21&amp;""'""))))"),"")</f>
        <v/>
      </c>
      <c r="J79" s="384" t="str">
        <f>IFERROR(__xludf.DUMMYFUNCTION("IF(J$43="""","""",IF($AZ79="""","""",IFERROR(Query({CarteirasAtivos},""Select Col3 where Col1 = '""&amp;$AZ79&amp;""'and Col2 = '""&amp;AA$21&amp;""'""))))"),"")</f>
        <v/>
      </c>
      <c r="K79" s="384" t="str">
        <f>IFERROR(__xludf.DUMMYFUNCTION("IF(K$43="""","""",IF($AZ79="""","""",IFERROR(Query({CarteirasAtivos},""Select Col3 where Col1 = '""&amp;$AZ79&amp;""'and Col2 = '""&amp;AB$21&amp;""'""))))"),"")</f>
        <v/>
      </c>
      <c r="L79" s="385">
        <v>36.0</v>
      </c>
      <c r="M79" s="432"/>
      <c r="N79" s="387"/>
      <c r="O79" s="388" t="s">
        <v>123</v>
      </c>
      <c r="P79" s="389"/>
      <c r="Q79" s="390"/>
      <c r="R79" s="391"/>
      <c r="S79" s="392"/>
      <c r="T79" s="393"/>
      <c r="U79" s="393"/>
      <c r="V79" s="394"/>
      <c r="W79" s="395" t="str">
        <f>IFERROR(__xludf.DUMMYFUNCTION("IF(M79="""","""",sparkline(IFERROR(BF79*100/MAX($BF$44:$BF$153),0),{""charttype"",""bar"";""max"",100;""color1"",IF(BD79&gt;=0,""#4760a5"",""red"")}))"),"")</f>
        <v/>
      </c>
      <c r="X79" s="396"/>
      <c r="Y79" s="466"/>
      <c r="Z79" s="398"/>
      <c r="AA79" s="399"/>
      <c r="AB79" s="393"/>
      <c r="AC79" s="476"/>
      <c r="AD79" s="401"/>
      <c r="AE79" s="402"/>
      <c r="AF79" s="403"/>
      <c r="AG79" s="404" t="str">
        <f>IFERROR(__xludf.DUMMYFUNCTION("IF($M79="""","""",IFERROR(sparkline(query(GOOGLEFINANCE($AZ79,""price"",TODAY()-$AF$43,TODAY(),1),""select Col2 label Col2 ''""),IF($AG$43=""Gráfico de barras"",{""charttype"",""column"";""highcolor"",""red""},{""chartype"",""line""}))))"),"")</f>
        <v/>
      </c>
      <c r="AH79" s="405"/>
      <c r="AI79" s="467"/>
      <c r="AJ79" s="467"/>
      <c r="AK79" s="467"/>
      <c r="AL79" s="467"/>
      <c r="AM79" s="442"/>
      <c r="AN79" s="56"/>
      <c r="AU79" s="281"/>
      <c r="AV79" s="281"/>
      <c r="AW79" s="281"/>
      <c r="AX79" s="281"/>
      <c r="AY79" s="410">
        <v>36.0</v>
      </c>
      <c r="AZ79" s="411"/>
      <c r="BA79" s="411"/>
      <c r="BB79" s="437"/>
      <c r="BC79" s="437"/>
      <c r="BD79" s="437"/>
      <c r="BE79" s="437"/>
      <c r="BF79" s="415" t="s">
        <v>123</v>
      </c>
      <c r="BG79" s="410">
        <v>36.0</v>
      </c>
      <c r="BH79" s="416"/>
      <c r="BI79" s="416"/>
      <c r="BJ79" s="416"/>
      <c r="BK79" s="416"/>
      <c r="BL79" s="416"/>
      <c r="BM79" s="416"/>
      <c r="BN79" s="282"/>
      <c r="BO79" s="495"/>
      <c r="BP79" s="482" t="s">
        <v>65</v>
      </c>
      <c r="BQ79" s="482" t="s">
        <v>331</v>
      </c>
      <c r="BR79" s="482" t="s">
        <v>332</v>
      </c>
      <c r="BS79" s="482" t="s">
        <v>333</v>
      </c>
      <c r="BT79" s="498">
        <f>IFERROR(__xludf.DUMMYFUNCTION("googlefinance(""BRLUSD"")"),0.1925743)</f>
        <v>0.1925743</v>
      </c>
      <c r="BU79" s="498">
        <f>IFERROR(__xludf.DUMMYFUNCTION("IFERROR(INDEX(SORT(GOOGLEFINANCE(""BRLUSD"",""price"",TODAY()-3,TODAY(),1),1,0),2,2),BT79)"),0.1936521)</f>
        <v>0.1936521</v>
      </c>
      <c r="BV79" s="489"/>
      <c r="BW79" s="63"/>
      <c r="BX79" s="62"/>
      <c r="BY79" s="452"/>
      <c r="BZ79" s="452"/>
      <c r="CA79" s="452"/>
      <c r="CB79" s="452"/>
      <c r="CC79" s="452"/>
      <c r="CD79" s="452"/>
      <c r="CE79" s="452"/>
      <c r="CF79" s="452"/>
      <c r="CG79" s="452"/>
      <c r="CH79" s="422"/>
      <c r="CI79" s="422"/>
      <c r="CJ79" s="422"/>
      <c r="CK79" s="421"/>
      <c r="CL79" s="421" t="s">
        <v>123</v>
      </c>
      <c r="CM79" s="423"/>
      <c r="CN79" s="421"/>
      <c r="CO79" s="423"/>
      <c r="CP79" s="421"/>
      <c r="CQ79" s="63"/>
      <c r="CR79" s="63"/>
      <c r="CS79" s="63"/>
      <c r="CT79" s="63"/>
      <c r="CU79" s="447"/>
      <c r="CV79" s="447"/>
      <c r="CW79" s="447"/>
      <c r="CX79" s="447"/>
      <c r="CY79" s="447"/>
      <c r="CZ79" s="447"/>
      <c r="DA79" s="447"/>
      <c r="DB79" s="447"/>
      <c r="DC79" s="447"/>
      <c r="DD79" s="447"/>
      <c r="DE79" s="447"/>
      <c r="DF79" s="447"/>
      <c r="DG79" s="447"/>
      <c r="DH79" s="447"/>
      <c r="DI79" s="447"/>
      <c r="DJ79" s="447"/>
      <c r="DK79" s="447"/>
      <c r="DL79" s="360">
        <v>13.0</v>
      </c>
      <c r="DM79" s="487"/>
      <c r="DN79" s="483" t="str">
        <f>IF(DM79="","",IFERROR(SUMIFS(op.daytrade!$P$5:$P343,op.daytrade!$AC$5:$AC343,DM79),0))</f>
        <v/>
      </c>
      <c r="DO79" s="67"/>
      <c r="DP79" s="67"/>
      <c r="DQ79" s="67"/>
    </row>
    <row r="80" ht="22.5" customHeight="1">
      <c r="A80" s="383"/>
      <c r="B80" s="384" t="str">
        <f>IFERROR(__xludf.DUMMYFUNCTION("IF(B$43="""","""",IF($AZ80="""","""",IFERROR(Query({CarteirasAtivos},""Select Col3 where Col1 = '""&amp;$AZ80&amp;""'and Col2 = '""&amp;S$21&amp;""'""))))"),"")</f>
        <v/>
      </c>
      <c r="C80" s="384" t="str">
        <f>IFERROR(__xludf.DUMMYFUNCTION("IF(C$43="""","""",IF($AZ80="""","""",IFERROR(Query({CarteirasAtivos},""Select Col3 where Col1 = '""&amp;$AZ80&amp;""'and Col2 = '""&amp;T$21&amp;""'""))))"),"")</f>
        <v/>
      </c>
      <c r="D80" s="384" t="str">
        <f>IFERROR(__xludf.DUMMYFUNCTION("IF(D$43="""","""",IF($AZ80="""","""",IFERROR(Query({CarteirasAtivos},""Select Col3 where Col1 = '""&amp;$AZ80&amp;""'and Col2 = '""&amp;U$21&amp;""'""))))"),"")</f>
        <v/>
      </c>
      <c r="E80" s="384" t="str">
        <f>IFERROR(__xludf.DUMMYFUNCTION("IF(E$43="""","""",IF($AZ80="""","""",IFERROR(Query({CarteirasAtivos},""Select Col3 where Col1 = '""&amp;$AZ80&amp;""'and Col2 = '""&amp;V$21&amp;""'""))))"),"")</f>
        <v/>
      </c>
      <c r="F80" s="384" t="str">
        <f>IFERROR(__xludf.DUMMYFUNCTION("IF(F$43="""","""",IF($AZ80="""","""",IFERROR(Query({CarteirasAtivos},""Select Col3 where Col1 = '""&amp;$AZ80&amp;""'and Col2 = '""&amp;W$21&amp;""'""))))"),"")</f>
        <v/>
      </c>
      <c r="G80" s="384" t="str">
        <f>IFERROR(__xludf.DUMMYFUNCTION("IF(G$43="""","""",IF($AZ80="""","""",IFERROR(Query({CarteirasAtivos},""Select Col3 where Col1 = '""&amp;$AZ80&amp;""'and Col2 = '""&amp;X$21&amp;""'""))))"),"")</f>
        <v/>
      </c>
      <c r="H80" s="384" t="str">
        <f>IFERROR(__xludf.DUMMYFUNCTION("IF(H$43="""","""",IF($AZ80="""","""",IFERROR(Query({CarteirasAtivos},""Select Col3 where Col1 = '""&amp;$AZ80&amp;""'and Col2 = '""&amp;Y$21&amp;""'""))))"),"")</f>
        <v/>
      </c>
      <c r="I80" s="384" t="str">
        <f>IFERROR(__xludf.DUMMYFUNCTION("IF(I$43="""","""",IF($AZ80="""","""",IFERROR(Query({CarteirasAtivos},""Select Col3 where Col1 = '""&amp;$AZ80&amp;""'and Col2 = '""&amp;Z$21&amp;""'""))))"),"")</f>
        <v/>
      </c>
      <c r="J80" s="384" t="str">
        <f>IFERROR(__xludf.DUMMYFUNCTION("IF(J$43="""","""",IF($AZ80="""","""",IFERROR(Query({CarteirasAtivos},""Select Col3 where Col1 = '""&amp;$AZ80&amp;""'and Col2 = '""&amp;AA$21&amp;""'""))))"),"")</f>
        <v/>
      </c>
      <c r="K80" s="384" t="str">
        <f>IFERROR(__xludf.DUMMYFUNCTION("IF(K$43="""","""",IF($AZ80="""","""",IFERROR(Query({CarteirasAtivos},""Select Col3 where Col1 = '""&amp;$AZ80&amp;""'and Col2 = '""&amp;AB$21&amp;""'""))))"),"")</f>
        <v/>
      </c>
      <c r="L80" s="385">
        <v>37.0</v>
      </c>
      <c r="M80" s="432"/>
      <c r="N80" s="387"/>
      <c r="O80" s="388" t="s">
        <v>123</v>
      </c>
      <c r="P80" s="389"/>
      <c r="Q80" s="390"/>
      <c r="R80" s="391"/>
      <c r="S80" s="392"/>
      <c r="T80" s="393"/>
      <c r="U80" s="393"/>
      <c r="V80" s="394"/>
      <c r="W80" s="395" t="str">
        <f>IFERROR(__xludf.DUMMYFUNCTION("IF(M80="""","""",sparkline(IFERROR(BF80*100/MAX($BF$44:$BF$153),0),{""charttype"",""bar"";""max"",100;""color1"",IF(BD80&gt;=0,""#4760a5"",""red"")}))"),"")</f>
        <v/>
      </c>
      <c r="X80" s="396"/>
      <c r="Y80" s="466"/>
      <c r="Z80" s="398"/>
      <c r="AA80" s="399"/>
      <c r="AB80" s="393"/>
      <c r="AC80" s="476"/>
      <c r="AD80" s="401"/>
      <c r="AE80" s="402"/>
      <c r="AF80" s="403"/>
      <c r="AG80" s="404" t="str">
        <f>IFERROR(__xludf.DUMMYFUNCTION("IF($M80="""","""",IFERROR(sparkline(query(GOOGLEFINANCE($AZ80,""price"",TODAY()-$AF$43,TODAY(),1),""select Col2 label Col2 ''""),IF($AG$43=""Gráfico de barras"",{""charttype"",""column"";""highcolor"",""red""},{""chartype"",""line""}))))"),"")</f>
        <v/>
      </c>
      <c r="AH80" s="405"/>
      <c r="AI80" s="467"/>
      <c r="AJ80" s="467"/>
      <c r="AK80" s="467"/>
      <c r="AL80" s="467"/>
      <c r="AM80" s="442"/>
      <c r="AN80" s="56"/>
      <c r="AU80" s="281"/>
      <c r="AV80" s="281"/>
      <c r="AW80" s="281"/>
      <c r="AX80" s="281"/>
      <c r="AY80" s="410">
        <v>37.0</v>
      </c>
      <c r="AZ80" s="411"/>
      <c r="BA80" s="411"/>
      <c r="BB80" s="437"/>
      <c r="BC80" s="437"/>
      <c r="BD80" s="437"/>
      <c r="BE80" s="437"/>
      <c r="BF80" s="415" t="s">
        <v>123</v>
      </c>
      <c r="BG80" s="410">
        <v>37.0</v>
      </c>
      <c r="BH80" s="416"/>
      <c r="BI80" s="416"/>
      <c r="BJ80" s="416"/>
      <c r="BK80" s="416"/>
      <c r="BL80" s="416"/>
      <c r="BM80" s="416"/>
      <c r="BN80" s="282"/>
      <c r="BO80" s="490"/>
      <c r="BP80" s="482" t="s">
        <v>79</v>
      </c>
      <c r="BQ80" s="499">
        <f>IFERROR(__xludf.DUMMYFUNCTION("IF(NOT(ConfigOn),"""",googlefinance(""INDEXBVMF:""&amp;$BP80,BQ$79))"),183969.34)</f>
        <v>183969.34</v>
      </c>
      <c r="BR80" s="499">
        <f>IFERROR(__xludf.DUMMYFUNCTION("IF(NOT(ConfigOn),"""",googlefinance(""INDEXBVMF:""&amp;$BP80,BR$79))"),522.34)</f>
        <v>522.34</v>
      </c>
      <c r="BS80" s="499">
        <f>IFERROR(__xludf.DUMMYFUNCTION("IF(NOT(ConfigOn),"""",googlefinance(""INDEXBVMF:""&amp;$BP80,BS$79))"),0.28)</f>
        <v>0.28</v>
      </c>
      <c r="BT80" s="497" t="s">
        <v>330</v>
      </c>
      <c r="BU80" s="497" t="s">
        <v>330</v>
      </c>
      <c r="BV80" s="489"/>
      <c r="BW80" s="63"/>
      <c r="BX80" s="62"/>
      <c r="BY80" s="452"/>
      <c r="BZ80" s="452"/>
      <c r="CA80" s="452"/>
      <c r="CB80" s="452"/>
      <c r="CC80" s="452"/>
      <c r="CD80" s="452"/>
      <c r="CE80" s="452"/>
      <c r="CF80" s="452"/>
      <c r="CG80" s="452"/>
      <c r="CH80" s="422"/>
      <c r="CI80" s="422"/>
      <c r="CJ80" s="422"/>
      <c r="CK80" s="421"/>
      <c r="CL80" s="421" t="s">
        <v>123</v>
      </c>
      <c r="CM80" s="423"/>
      <c r="CN80" s="421"/>
      <c r="CO80" s="423"/>
      <c r="CP80" s="421"/>
      <c r="CQ80" s="63"/>
      <c r="CR80" s="63"/>
      <c r="CS80" s="63"/>
      <c r="CT80" s="63"/>
      <c r="CU80" s="447"/>
      <c r="CV80" s="447"/>
      <c r="CW80" s="447"/>
      <c r="CX80" s="447"/>
      <c r="CY80" s="447"/>
      <c r="CZ80" s="447"/>
      <c r="DA80" s="447"/>
      <c r="DB80" s="447"/>
      <c r="DC80" s="447"/>
      <c r="DD80" s="447"/>
      <c r="DE80" s="447"/>
      <c r="DF80" s="447"/>
      <c r="DG80" s="447"/>
      <c r="DH80" s="447"/>
      <c r="DI80" s="447"/>
      <c r="DJ80" s="447"/>
      <c r="DK80" s="447"/>
      <c r="DL80" s="360">
        <v>14.0</v>
      </c>
      <c r="DM80" s="487"/>
      <c r="DN80" s="483" t="str">
        <f>IF(DM80="","",IFERROR(SUMIFS(op.daytrade!$P$5:$P343,op.daytrade!$AC$5:$AC343,DM80),0))</f>
        <v/>
      </c>
      <c r="DO80" s="67"/>
      <c r="DP80" s="67"/>
      <c r="DQ80" s="67"/>
    </row>
    <row r="81" ht="22.5" customHeight="1">
      <c r="A81" s="383"/>
      <c r="B81" s="384" t="str">
        <f>IFERROR(__xludf.DUMMYFUNCTION("IF(B$43="""","""",IF($AZ81="""","""",IFERROR(Query({CarteirasAtivos},""Select Col3 where Col1 = '""&amp;$AZ81&amp;""'and Col2 = '""&amp;S$21&amp;""'""))))"),"")</f>
        <v/>
      </c>
      <c r="C81" s="384" t="str">
        <f>IFERROR(__xludf.DUMMYFUNCTION("IF(C$43="""","""",IF($AZ81="""","""",IFERROR(Query({CarteirasAtivos},""Select Col3 where Col1 = '""&amp;$AZ81&amp;""'and Col2 = '""&amp;T$21&amp;""'""))))"),"")</f>
        <v/>
      </c>
      <c r="D81" s="384" t="str">
        <f>IFERROR(__xludf.DUMMYFUNCTION("IF(D$43="""","""",IF($AZ81="""","""",IFERROR(Query({CarteirasAtivos},""Select Col3 where Col1 = '""&amp;$AZ81&amp;""'and Col2 = '""&amp;U$21&amp;""'""))))"),"")</f>
        <v/>
      </c>
      <c r="E81" s="384" t="str">
        <f>IFERROR(__xludf.DUMMYFUNCTION("IF(E$43="""","""",IF($AZ81="""","""",IFERROR(Query({CarteirasAtivos},""Select Col3 where Col1 = '""&amp;$AZ81&amp;""'and Col2 = '""&amp;V$21&amp;""'""))))"),"")</f>
        <v/>
      </c>
      <c r="F81" s="384" t="str">
        <f>IFERROR(__xludf.DUMMYFUNCTION("IF(F$43="""","""",IF($AZ81="""","""",IFERROR(Query({CarteirasAtivos},""Select Col3 where Col1 = '""&amp;$AZ81&amp;""'and Col2 = '""&amp;W$21&amp;""'""))))"),"")</f>
        <v/>
      </c>
      <c r="G81" s="384" t="str">
        <f>IFERROR(__xludf.DUMMYFUNCTION("IF(G$43="""","""",IF($AZ81="""","""",IFERROR(Query({CarteirasAtivos},""Select Col3 where Col1 = '""&amp;$AZ81&amp;""'and Col2 = '""&amp;X$21&amp;""'""))))"),"")</f>
        <v/>
      </c>
      <c r="H81" s="384" t="str">
        <f>IFERROR(__xludf.DUMMYFUNCTION("IF(H$43="""","""",IF($AZ81="""","""",IFERROR(Query({CarteirasAtivos},""Select Col3 where Col1 = '""&amp;$AZ81&amp;""'and Col2 = '""&amp;Y$21&amp;""'""))))"),"")</f>
        <v/>
      </c>
      <c r="I81" s="384" t="str">
        <f>IFERROR(__xludf.DUMMYFUNCTION("IF(I$43="""","""",IF($AZ81="""","""",IFERROR(Query({CarteirasAtivos},""Select Col3 where Col1 = '""&amp;$AZ81&amp;""'and Col2 = '""&amp;Z$21&amp;""'""))))"),"")</f>
        <v/>
      </c>
      <c r="J81" s="384" t="str">
        <f>IFERROR(__xludf.DUMMYFUNCTION("IF(J$43="""","""",IF($AZ81="""","""",IFERROR(Query({CarteirasAtivos},""Select Col3 where Col1 = '""&amp;$AZ81&amp;""'and Col2 = '""&amp;AA$21&amp;""'""))))"),"")</f>
        <v/>
      </c>
      <c r="K81" s="384" t="str">
        <f>IFERROR(__xludf.DUMMYFUNCTION("IF(K$43="""","""",IF($AZ81="""","""",IFERROR(Query({CarteirasAtivos},""Select Col3 where Col1 = '""&amp;$AZ81&amp;""'and Col2 = '""&amp;AB$21&amp;""'""))))"),"")</f>
        <v/>
      </c>
      <c r="L81" s="385">
        <v>38.0</v>
      </c>
      <c r="M81" s="432"/>
      <c r="N81" s="387"/>
      <c r="O81" s="388" t="s">
        <v>123</v>
      </c>
      <c r="P81" s="389"/>
      <c r="Q81" s="390"/>
      <c r="R81" s="391"/>
      <c r="S81" s="392"/>
      <c r="T81" s="393"/>
      <c r="U81" s="393"/>
      <c r="V81" s="394"/>
      <c r="W81" s="395" t="str">
        <f>IFERROR(__xludf.DUMMYFUNCTION("IF(M81="""","""",sparkline(IFERROR(BF81*100/MAX($BF$44:$BF$153),0),{""charttype"",""bar"";""max"",100;""color1"",IF(BD81&gt;=0,""#4760a5"",""red"")}))"),"")</f>
        <v/>
      </c>
      <c r="X81" s="396"/>
      <c r="Y81" s="466"/>
      <c r="Z81" s="398"/>
      <c r="AA81" s="399"/>
      <c r="AB81" s="393"/>
      <c r="AC81" s="476"/>
      <c r="AD81" s="401"/>
      <c r="AE81" s="402"/>
      <c r="AF81" s="403"/>
      <c r="AG81" s="404" t="str">
        <f>IFERROR(__xludf.DUMMYFUNCTION("IF($M81="""","""",IFERROR(sparkline(query(GOOGLEFINANCE($AZ81,""price"",TODAY()-$AF$43,TODAY(),1),""select Col2 label Col2 ''""),IF($AG$43=""Gráfico de barras"",{""charttype"",""column"";""highcolor"",""red""},{""chartype"",""line""}))))"),"")</f>
        <v/>
      </c>
      <c r="AH81" s="405"/>
      <c r="AI81" s="467"/>
      <c r="AJ81" s="467"/>
      <c r="AK81" s="467"/>
      <c r="AL81" s="467"/>
      <c r="AM81" s="442"/>
      <c r="AN81" s="56"/>
      <c r="AU81" s="281"/>
      <c r="AV81" s="281"/>
      <c r="AW81" s="281"/>
      <c r="AX81" s="281"/>
      <c r="AY81" s="410">
        <v>38.0</v>
      </c>
      <c r="AZ81" s="411"/>
      <c r="BA81" s="411"/>
      <c r="BB81" s="437"/>
      <c r="BC81" s="437"/>
      <c r="BD81" s="437"/>
      <c r="BE81" s="437"/>
      <c r="BF81" s="415" t="s">
        <v>123</v>
      </c>
      <c r="BG81" s="410">
        <v>38.0</v>
      </c>
      <c r="BH81" s="416"/>
      <c r="BI81" s="416"/>
      <c r="BJ81" s="416"/>
      <c r="BK81" s="416"/>
      <c r="BL81" s="416"/>
      <c r="BM81" s="416"/>
      <c r="BN81" s="282"/>
      <c r="BO81" s="490"/>
      <c r="BP81" s="482" t="s">
        <v>97</v>
      </c>
      <c r="BQ81" s="499">
        <f>IFERROR(__xludf.DUMMYFUNCTION("IF(NOT(ConfigOn),"""",googlefinance(""INDEXBVMF:""&amp;$BP81,BQ$79))"),3873.59)</f>
        <v>3873.59</v>
      </c>
      <c r="BR81" s="499">
        <f>IFERROR(__xludf.DUMMYFUNCTION("IF(NOT(ConfigOn),"""",googlefinance(""INDEXBVMF:""&amp;$BP81,BR$79))"),-2.86)</f>
        <v>-2.86</v>
      </c>
      <c r="BS81" s="499">
        <f>IFERROR(__xludf.DUMMYFUNCTION("IF(NOT(ConfigOn),"""",googlefinance(""INDEXBVMF:""&amp;$BP81,BS$79))"),-0.07)</f>
        <v>-0.07</v>
      </c>
      <c r="BT81" s="498">
        <f>IFERROR(__xludf.DUMMYFUNCTION("googlefinance(""USDBRL"")"),5.19280091)</f>
        <v>5.19280091</v>
      </c>
      <c r="BU81" s="498">
        <f>IFERROR(__xludf.DUMMYFUNCTION("IFERROR(INDEX(SORT(GOOGLEFINANCE(""USDBRL"",""price"",TODAY()-3,TODAY(),1),1,0),2,2),BT81)"),5.1639)</f>
        <v>5.1639</v>
      </c>
      <c r="BV81" s="489"/>
      <c r="BW81" s="63"/>
      <c r="BX81" s="62"/>
      <c r="BY81" s="452"/>
      <c r="BZ81" s="452"/>
      <c r="CA81" s="452"/>
      <c r="CB81" s="452"/>
      <c r="CC81" s="452"/>
      <c r="CD81" s="452"/>
      <c r="CE81" s="452"/>
      <c r="CF81" s="452"/>
      <c r="CG81" s="452"/>
      <c r="CH81" s="422"/>
      <c r="CI81" s="422"/>
      <c r="CJ81" s="422"/>
      <c r="CK81" s="421"/>
      <c r="CL81" s="421" t="s">
        <v>123</v>
      </c>
      <c r="CM81" s="423"/>
      <c r="CN81" s="421"/>
      <c r="CO81" s="423"/>
      <c r="CP81" s="421"/>
      <c r="CQ81" s="63"/>
      <c r="CR81" s="63"/>
      <c r="CS81" s="63"/>
      <c r="CT81" s="63"/>
      <c r="CU81" s="447"/>
      <c r="CV81" s="447"/>
      <c r="CW81" s="447"/>
      <c r="CX81" s="447"/>
      <c r="CY81" s="447"/>
      <c r="CZ81" s="447"/>
      <c r="DA81" s="447"/>
      <c r="DB81" s="447"/>
      <c r="DC81" s="447"/>
      <c r="DD81" s="447"/>
      <c r="DE81" s="447"/>
      <c r="DF81" s="447"/>
      <c r="DG81" s="447"/>
      <c r="DH81" s="447"/>
      <c r="DI81" s="447"/>
      <c r="DJ81" s="447"/>
      <c r="DK81" s="447"/>
      <c r="DL81" s="360">
        <v>15.0</v>
      </c>
      <c r="DM81" s="487"/>
      <c r="DN81" s="483" t="str">
        <f>IF(DM81="","",IFERROR(SUMIFS(op.daytrade!$P$5:$P343,op.daytrade!$AC$5:$AC343,DM81),0))</f>
        <v/>
      </c>
      <c r="DO81" s="67"/>
      <c r="DP81" s="67"/>
      <c r="DQ81" s="67"/>
    </row>
    <row r="82" ht="22.5" customHeight="1">
      <c r="A82" s="383"/>
      <c r="B82" s="384" t="str">
        <f>IFERROR(__xludf.DUMMYFUNCTION("IF(B$43="""","""",IF($AZ82="""","""",IFERROR(Query({CarteirasAtivos},""Select Col3 where Col1 = '""&amp;$AZ82&amp;""'and Col2 = '""&amp;S$21&amp;""'""))))"),"")</f>
        <v/>
      </c>
      <c r="C82" s="384" t="str">
        <f>IFERROR(__xludf.DUMMYFUNCTION("IF(C$43="""","""",IF($AZ82="""","""",IFERROR(Query({CarteirasAtivos},""Select Col3 where Col1 = '""&amp;$AZ82&amp;""'and Col2 = '""&amp;T$21&amp;""'""))))"),"")</f>
        <v/>
      </c>
      <c r="D82" s="384" t="str">
        <f>IFERROR(__xludf.DUMMYFUNCTION("IF(D$43="""","""",IF($AZ82="""","""",IFERROR(Query({CarteirasAtivos},""Select Col3 where Col1 = '""&amp;$AZ82&amp;""'and Col2 = '""&amp;U$21&amp;""'""))))"),"")</f>
        <v/>
      </c>
      <c r="E82" s="384" t="str">
        <f>IFERROR(__xludf.DUMMYFUNCTION("IF(E$43="""","""",IF($AZ82="""","""",IFERROR(Query({CarteirasAtivos},""Select Col3 where Col1 = '""&amp;$AZ82&amp;""'and Col2 = '""&amp;V$21&amp;""'""))))"),"")</f>
        <v/>
      </c>
      <c r="F82" s="384" t="str">
        <f>IFERROR(__xludf.DUMMYFUNCTION("IF(F$43="""","""",IF($AZ82="""","""",IFERROR(Query({CarteirasAtivos},""Select Col3 where Col1 = '""&amp;$AZ82&amp;""'and Col2 = '""&amp;W$21&amp;""'""))))"),"")</f>
        <v/>
      </c>
      <c r="G82" s="384" t="str">
        <f>IFERROR(__xludf.DUMMYFUNCTION("IF(G$43="""","""",IF($AZ82="""","""",IFERROR(Query({CarteirasAtivos},""Select Col3 where Col1 = '""&amp;$AZ82&amp;""'and Col2 = '""&amp;X$21&amp;""'""))))"),"")</f>
        <v/>
      </c>
      <c r="H82" s="384" t="str">
        <f>IFERROR(__xludf.DUMMYFUNCTION("IF(H$43="""","""",IF($AZ82="""","""",IFERROR(Query({CarteirasAtivos},""Select Col3 where Col1 = '""&amp;$AZ82&amp;""'and Col2 = '""&amp;Y$21&amp;""'""))))"),"")</f>
        <v/>
      </c>
      <c r="I82" s="384" t="str">
        <f>IFERROR(__xludf.DUMMYFUNCTION("IF(I$43="""","""",IF($AZ82="""","""",IFERROR(Query({CarteirasAtivos},""Select Col3 where Col1 = '""&amp;$AZ82&amp;""'and Col2 = '""&amp;Z$21&amp;""'""))))"),"")</f>
        <v/>
      </c>
      <c r="J82" s="384" t="str">
        <f>IFERROR(__xludf.DUMMYFUNCTION("IF(J$43="""","""",IF($AZ82="""","""",IFERROR(Query({CarteirasAtivos},""Select Col3 where Col1 = '""&amp;$AZ82&amp;""'and Col2 = '""&amp;AA$21&amp;""'""))))"),"")</f>
        <v/>
      </c>
      <c r="K82" s="384" t="str">
        <f>IFERROR(__xludf.DUMMYFUNCTION("IF(K$43="""","""",IF($AZ82="""","""",IFERROR(Query({CarteirasAtivos},""Select Col3 where Col1 = '""&amp;$AZ82&amp;""'and Col2 = '""&amp;AB$21&amp;""'""))))"),"")</f>
        <v/>
      </c>
      <c r="L82" s="385">
        <v>39.0</v>
      </c>
      <c r="M82" s="432"/>
      <c r="N82" s="387"/>
      <c r="O82" s="388" t="s">
        <v>123</v>
      </c>
      <c r="P82" s="389"/>
      <c r="Q82" s="390"/>
      <c r="R82" s="391"/>
      <c r="S82" s="392"/>
      <c r="T82" s="393"/>
      <c r="U82" s="393"/>
      <c r="V82" s="394"/>
      <c r="W82" s="395" t="str">
        <f>IFERROR(__xludf.DUMMYFUNCTION("IF(M82="""","""",sparkline(IFERROR(BF82*100/MAX($BF$44:$BF$153),0),{""charttype"",""bar"";""max"",100;""color1"",IF(BD82&gt;=0,""#4760a5"",""red"")}))"),"")</f>
        <v/>
      </c>
      <c r="X82" s="396"/>
      <c r="Y82" s="466"/>
      <c r="Z82" s="398"/>
      <c r="AA82" s="399"/>
      <c r="AB82" s="393"/>
      <c r="AC82" s="476"/>
      <c r="AD82" s="401"/>
      <c r="AE82" s="402"/>
      <c r="AF82" s="403"/>
      <c r="AG82" s="404" t="str">
        <f>IFERROR(__xludf.DUMMYFUNCTION("IF($M82="""","""",IFERROR(sparkline(query(GOOGLEFINANCE($AZ82,""price"",TODAY()-$AF$43,TODAY(),1),""select Col2 label Col2 ''""),IF($AG$43=""Gráfico de barras"",{""charttype"",""column"";""highcolor"",""red""},{""chartype"",""line""}))))"),"")</f>
        <v/>
      </c>
      <c r="AH82" s="405"/>
      <c r="AI82" s="467"/>
      <c r="AJ82" s="467"/>
      <c r="AK82" s="467"/>
      <c r="AL82" s="467"/>
      <c r="AM82" s="442"/>
      <c r="AN82" s="56"/>
      <c r="AU82" s="281"/>
      <c r="AV82" s="281"/>
      <c r="AW82" s="281"/>
      <c r="AX82" s="281"/>
      <c r="AY82" s="410">
        <v>39.0</v>
      </c>
      <c r="AZ82" s="411"/>
      <c r="BA82" s="411"/>
      <c r="BB82" s="437"/>
      <c r="BC82" s="437"/>
      <c r="BD82" s="437"/>
      <c r="BE82" s="437"/>
      <c r="BF82" s="415" t="s">
        <v>123</v>
      </c>
      <c r="BG82" s="410">
        <v>39.0</v>
      </c>
      <c r="BH82" s="416"/>
      <c r="BI82" s="416"/>
      <c r="BJ82" s="416"/>
      <c r="BK82" s="416"/>
      <c r="BL82" s="416"/>
      <c r="BM82" s="416"/>
      <c r="BN82" s="282"/>
      <c r="BO82" s="495"/>
      <c r="BP82" s="495"/>
      <c r="BQ82" s="495"/>
      <c r="BR82" s="495"/>
      <c r="BS82" s="495"/>
      <c r="BT82" s="495"/>
      <c r="BU82" s="495"/>
      <c r="BV82" s="489"/>
      <c r="BW82" s="63"/>
      <c r="BX82" s="62"/>
      <c r="BY82" s="452"/>
      <c r="BZ82" s="452"/>
      <c r="CA82" s="452"/>
      <c r="CB82" s="452"/>
      <c r="CC82" s="452"/>
      <c r="CD82" s="452"/>
      <c r="CE82" s="452"/>
      <c r="CF82" s="452"/>
      <c r="CG82" s="452"/>
      <c r="CH82" s="422"/>
      <c r="CI82" s="422"/>
      <c r="CJ82" s="422"/>
      <c r="CK82" s="421"/>
      <c r="CL82" s="421" t="s">
        <v>123</v>
      </c>
      <c r="CM82" s="423"/>
      <c r="CN82" s="421"/>
      <c r="CO82" s="423"/>
      <c r="CP82" s="421"/>
      <c r="CQ82" s="63"/>
      <c r="CR82" s="63"/>
      <c r="CS82" s="63"/>
      <c r="CT82" s="63"/>
      <c r="CU82" s="447"/>
      <c r="CV82" s="447"/>
      <c r="CW82" s="447"/>
      <c r="CX82" s="447"/>
      <c r="CY82" s="447"/>
      <c r="CZ82" s="447"/>
      <c r="DA82" s="447"/>
      <c r="DB82" s="447"/>
      <c r="DC82" s="447"/>
      <c r="DD82" s="447"/>
      <c r="DE82" s="447"/>
      <c r="DF82" s="447"/>
      <c r="DG82" s="447"/>
      <c r="DH82" s="447"/>
      <c r="DI82" s="447"/>
      <c r="DJ82" s="447"/>
      <c r="DK82" s="447"/>
      <c r="DL82" s="360">
        <v>16.0</v>
      </c>
      <c r="DM82" s="487"/>
      <c r="DN82" s="483" t="str">
        <f>IF(DM82="","",IFERROR(SUMIFS(op.daytrade!$P$5:$P343,op.daytrade!$AC$5:$AC343,DM82),0))</f>
        <v/>
      </c>
      <c r="DO82" s="67"/>
      <c r="DP82" s="67"/>
      <c r="DQ82" s="67"/>
    </row>
    <row r="83" ht="22.5" customHeight="1">
      <c r="A83" s="383"/>
      <c r="B83" s="384" t="str">
        <f>IFERROR(__xludf.DUMMYFUNCTION("IF(B$43="""","""",IF($AZ83="""","""",IFERROR(Query({CarteirasAtivos},""Select Col3 where Col1 = '""&amp;$AZ83&amp;""'and Col2 = '""&amp;S$21&amp;""'""))))"),"")</f>
        <v/>
      </c>
      <c r="C83" s="384" t="str">
        <f>IFERROR(__xludf.DUMMYFUNCTION("IF(C$43="""","""",IF($AZ83="""","""",IFERROR(Query({CarteirasAtivos},""Select Col3 where Col1 = '""&amp;$AZ83&amp;""'and Col2 = '""&amp;T$21&amp;""'""))))"),"")</f>
        <v/>
      </c>
      <c r="D83" s="384" t="str">
        <f>IFERROR(__xludf.DUMMYFUNCTION("IF(D$43="""","""",IF($AZ83="""","""",IFERROR(Query({CarteirasAtivos},""Select Col3 where Col1 = '""&amp;$AZ83&amp;""'and Col2 = '""&amp;U$21&amp;""'""))))"),"")</f>
        <v/>
      </c>
      <c r="E83" s="384" t="str">
        <f>IFERROR(__xludf.DUMMYFUNCTION("IF(E$43="""","""",IF($AZ83="""","""",IFERROR(Query({CarteirasAtivos},""Select Col3 where Col1 = '""&amp;$AZ83&amp;""'and Col2 = '""&amp;V$21&amp;""'""))))"),"")</f>
        <v/>
      </c>
      <c r="F83" s="384" t="str">
        <f>IFERROR(__xludf.DUMMYFUNCTION("IF(F$43="""","""",IF($AZ83="""","""",IFERROR(Query({CarteirasAtivos},""Select Col3 where Col1 = '""&amp;$AZ83&amp;""'and Col2 = '""&amp;W$21&amp;""'""))))"),"")</f>
        <v/>
      </c>
      <c r="G83" s="384" t="str">
        <f>IFERROR(__xludf.DUMMYFUNCTION("IF(G$43="""","""",IF($AZ83="""","""",IFERROR(Query({CarteirasAtivos},""Select Col3 where Col1 = '""&amp;$AZ83&amp;""'and Col2 = '""&amp;X$21&amp;""'""))))"),"")</f>
        <v/>
      </c>
      <c r="H83" s="384" t="str">
        <f>IFERROR(__xludf.DUMMYFUNCTION("IF(H$43="""","""",IF($AZ83="""","""",IFERROR(Query({CarteirasAtivos},""Select Col3 where Col1 = '""&amp;$AZ83&amp;""'and Col2 = '""&amp;Y$21&amp;""'""))))"),"")</f>
        <v/>
      </c>
      <c r="I83" s="384" t="str">
        <f>IFERROR(__xludf.DUMMYFUNCTION("IF(I$43="""","""",IF($AZ83="""","""",IFERROR(Query({CarteirasAtivos},""Select Col3 where Col1 = '""&amp;$AZ83&amp;""'and Col2 = '""&amp;Z$21&amp;""'""))))"),"")</f>
        <v/>
      </c>
      <c r="J83" s="384" t="str">
        <f>IFERROR(__xludf.DUMMYFUNCTION("IF(J$43="""","""",IF($AZ83="""","""",IFERROR(Query({CarteirasAtivos},""Select Col3 where Col1 = '""&amp;$AZ83&amp;""'and Col2 = '""&amp;AA$21&amp;""'""))))"),"")</f>
        <v/>
      </c>
      <c r="K83" s="384" t="str">
        <f>IFERROR(__xludf.DUMMYFUNCTION("IF(K$43="""","""",IF($AZ83="""","""",IFERROR(Query({CarteirasAtivos},""Select Col3 where Col1 = '""&amp;$AZ83&amp;""'and Col2 = '""&amp;AB$21&amp;""'""))))"),"")</f>
        <v/>
      </c>
      <c r="L83" s="385">
        <v>40.0</v>
      </c>
      <c r="M83" s="432"/>
      <c r="N83" s="387"/>
      <c r="O83" s="388" t="s">
        <v>123</v>
      </c>
      <c r="P83" s="389"/>
      <c r="Q83" s="390"/>
      <c r="R83" s="391"/>
      <c r="S83" s="392"/>
      <c r="T83" s="393"/>
      <c r="U83" s="393"/>
      <c r="V83" s="394"/>
      <c r="W83" s="395" t="str">
        <f>IFERROR(__xludf.DUMMYFUNCTION("IF(M83="""","""",sparkline(IFERROR(BF83*100/MAX($BF$44:$BF$153),0),{""charttype"",""bar"";""max"",100;""color1"",IF(BD83&gt;=0,""#4760a5"",""red"")}))"),"")</f>
        <v/>
      </c>
      <c r="X83" s="396"/>
      <c r="Y83" s="466"/>
      <c r="Z83" s="398"/>
      <c r="AA83" s="399"/>
      <c r="AB83" s="393"/>
      <c r="AC83" s="476"/>
      <c r="AD83" s="401"/>
      <c r="AE83" s="402"/>
      <c r="AF83" s="403"/>
      <c r="AG83" s="404" t="str">
        <f>IFERROR(__xludf.DUMMYFUNCTION("IF($M83="""","""",IFERROR(sparkline(query(GOOGLEFINANCE($AZ83,""price"",TODAY()-$AF$43,TODAY(),1),""select Col2 label Col2 ''""),IF($AG$43=""Gráfico de barras"",{""charttype"",""column"";""highcolor"",""red""},{""chartype"",""line""}))))"),"")</f>
        <v/>
      </c>
      <c r="AH83" s="405"/>
      <c r="AI83" s="467"/>
      <c r="AJ83" s="467"/>
      <c r="AK83" s="467"/>
      <c r="AL83" s="467"/>
      <c r="AM83" s="442"/>
      <c r="AN83" s="56"/>
      <c r="AU83" s="281"/>
      <c r="AV83" s="281"/>
      <c r="AW83" s="281"/>
      <c r="AX83" s="281"/>
      <c r="AY83" s="410">
        <v>40.0</v>
      </c>
      <c r="AZ83" s="411"/>
      <c r="BA83" s="411"/>
      <c r="BB83" s="437"/>
      <c r="BC83" s="437"/>
      <c r="BD83" s="437"/>
      <c r="BE83" s="437"/>
      <c r="BF83" s="415" t="s">
        <v>123</v>
      </c>
      <c r="BG83" s="410">
        <v>40.0</v>
      </c>
      <c r="BH83" s="416"/>
      <c r="BI83" s="416"/>
      <c r="BJ83" s="416"/>
      <c r="BK83" s="416"/>
      <c r="BL83" s="416"/>
      <c r="BM83" s="416"/>
      <c r="BN83" s="282"/>
      <c r="BO83" s="500"/>
      <c r="BP83" s="501" t="s">
        <v>79</v>
      </c>
      <c r="BQ83" s="502">
        <f>COUNTA(BQ86:BQ98)-2</f>
        <v>10</v>
      </c>
      <c r="BR83" s="502"/>
      <c r="BS83" s="502"/>
      <c r="BT83" s="502"/>
      <c r="BU83" s="502"/>
      <c r="BV83" s="489"/>
      <c r="BW83" s="63"/>
      <c r="BX83" s="62"/>
      <c r="BY83" s="452"/>
      <c r="BZ83" s="452"/>
      <c r="CA83" s="452"/>
      <c r="CB83" s="452"/>
      <c r="CC83" s="452"/>
      <c r="CD83" s="452"/>
      <c r="CE83" s="452"/>
      <c r="CF83" s="452"/>
      <c r="CG83" s="452"/>
      <c r="CH83" s="422"/>
      <c r="CI83" s="422"/>
      <c r="CJ83" s="422"/>
      <c r="CK83" s="421"/>
      <c r="CL83" s="421" t="s">
        <v>123</v>
      </c>
      <c r="CM83" s="423"/>
      <c r="CN83" s="421"/>
      <c r="CO83" s="423"/>
      <c r="CP83" s="421"/>
      <c r="CQ83" s="63"/>
      <c r="CR83" s="63"/>
      <c r="CS83" s="63"/>
      <c r="CT83" s="63"/>
      <c r="CU83" s="447"/>
      <c r="CV83" s="447"/>
      <c r="CW83" s="447"/>
      <c r="CX83" s="447"/>
      <c r="CY83" s="447"/>
      <c r="CZ83" s="447"/>
      <c r="DA83" s="447"/>
      <c r="DB83" s="447"/>
      <c r="DC83" s="447"/>
      <c r="DD83" s="447"/>
      <c r="DE83" s="447"/>
      <c r="DF83" s="447"/>
      <c r="DG83" s="447"/>
      <c r="DH83" s="447"/>
      <c r="DI83" s="447"/>
      <c r="DJ83" s="447"/>
      <c r="DK83" s="447"/>
      <c r="DL83" s="360">
        <v>17.0</v>
      </c>
      <c r="DM83" s="487"/>
      <c r="DN83" s="483" t="str">
        <f>IF(DM83="","",IFERROR(SUMIFS(op.daytrade!$P$5:$P343,op.daytrade!$AC$5:$AC343,DM83),0))</f>
        <v/>
      </c>
      <c r="DO83" s="67"/>
      <c r="DP83" s="67"/>
      <c r="DQ83" s="67"/>
    </row>
    <row r="84" ht="22.5" customHeight="1">
      <c r="A84" s="383"/>
      <c r="B84" s="384" t="str">
        <f>IFERROR(__xludf.DUMMYFUNCTION("IF(B$43="""","""",IF($AZ84="""","""",IFERROR(Query({CarteirasAtivos},""Select Col3 where Col1 = '""&amp;$AZ84&amp;""'and Col2 = '""&amp;S$21&amp;""'""))))"),"")</f>
        <v/>
      </c>
      <c r="C84" s="384" t="str">
        <f>IFERROR(__xludf.DUMMYFUNCTION("IF(C$43="""","""",IF($AZ84="""","""",IFERROR(Query({CarteirasAtivos},""Select Col3 where Col1 = '""&amp;$AZ84&amp;""'and Col2 = '""&amp;T$21&amp;""'""))))"),"")</f>
        <v/>
      </c>
      <c r="D84" s="384" t="str">
        <f>IFERROR(__xludf.DUMMYFUNCTION("IF(D$43="""","""",IF($AZ84="""","""",IFERROR(Query({CarteirasAtivos},""Select Col3 where Col1 = '""&amp;$AZ84&amp;""'and Col2 = '""&amp;U$21&amp;""'""))))"),"")</f>
        <v/>
      </c>
      <c r="E84" s="384" t="str">
        <f>IFERROR(__xludf.DUMMYFUNCTION("IF(E$43="""","""",IF($AZ84="""","""",IFERROR(Query({CarteirasAtivos},""Select Col3 where Col1 = '""&amp;$AZ84&amp;""'and Col2 = '""&amp;V$21&amp;""'""))))"),"")</f>
        <v/>
      </c>
      <c r="F84" s="384" t="str">
        <f>IFERROR(__xludf.DUMMYFUNCTION("IF(F$43="""","""",IF($AZ84="""","""",IFERROR(Query({CarteirasAtivos},""Select Col3 where Col1 = '""&amp;$AZ84&amp;""'and Col2 = '""&amp;W$21&amp;""'""))))"),"")</f>
        <v/>
      </c>
      <c r="G84" s="384" t="str">
        <f>IFERROR(__xludf.DUMMYFUNCTION("IF(G$43="""","""",IF($AZ84="""","""",IFERROR(Query({CarteirasAtivos},""Select Col3 where Col1 = '""&amp;$AZ84&amp;""'and Col2 = '""&amp;X$21&amp;""'""))))"),"")</f>
        <v/>
      </c>
      <c r="H84" s="384" t="str">
        <f>IFERROR(__xludf.DUMMYFUNCTION("IF(H$43="""","""",IF($AZ84="""","""",IFERROR(Query({CarteirasAtivos},""Select Col3 where Col1 = '""&amp;$AZ84&amp;""'and Col2 = '""&amp;Y$21&amp;""'""))))"),"")</f>
        <v/>
      </c>
      <c r="I84" s="384" t="str">
        <f>IFERROR(__xludf.DUMMYFUNCTION("IF(I$43="""","""",IF($AZ84="""","""",IFERROR(Query({CarteirasAtivos},""Select Col3 where Col1 = '""&amp;$AZ84&amp;""'and Col2 = '""&amp;Z$21&amp;""'""))))"),"")</f>
        <v/>
      </c>
      <c r="J84" s="384" t="str">
        <f>IFERROR(__xludf.DUMMYFUNCTION("IF(J$43="""","""",IF($AZ84="""","""",IFERROR(Query({CarteirasAtivos},""Select Col3 where Col1 = '""&amp;$AZ84&amp;""'and Col2 = '""&amp;AA$21&amp;""'""))))"),"")</f>
        <v/>
      </c>
      <c r="K84" s="384" t="str">
        <f>IFERROR(__xludf.DUMMYFUNCTION("IF(K$43="""","""",IF($AZ84="""","""",IFERROR(Query({CarteirasAtivos},""Select Col3 where Col1 = '""&amp;$AZ84&amp;""'and Col2 = '""&amp;AB$21&amp;""'""))))"),"")</f>
        <v/>
      </c>
      <c r="L84" s="385">
        <v>41.0</v>
      </c>
      <c r="M84" s="432"/>
      <c r="N84" s="387"/>
      <c r="O84" s="388" t="s">
        <v>123</v>
      </c>
      <c r="P84" s="389"/>
      <c r="Q84" s="390"/>
      <c r="R84" s="391"/>
      <c r="S84" s="392"/>
      <c r="T84" s="393"/>
      <c r="U84" s="393"/>
      <c r="V84" s="394"/>
      <c r="W84" s="395" t="str">
        <f>IFERROR(__xludf.DUMMYFUNCTION("IF(M84="""","""",sparkline(IFERROR(BF84*100/MAX($BF$44:$BF$153),0),{""charttype"",""bar"";""max"",100;""color1"",IF(BD84&gt;=0,""#4760a5"",""red"")}))"),"")</f>
        <v/>
      </c>
      <c r="X84" s="396"/>
      <c r="Y84" s="466"/>
      <c r="Z84" s="398"/>
      <c r="AA84" s="399"/>
      <c r="AB84" s="393"/>
      <c r="AC84" s="476"/>
      <c r="AD84" s="401"/>
      <c r="AE84" s="402"/>
      <c r="AF84" s="403"/>
      <c r="AG84" s="404" t="str">
        <f>IFERROR(__xludf.DUMMYFUNCTION("IF($M84="""","""",IFERROR(sparkline(query(GOOGLEFINANCE($AZ84,""price"",TODAY()-$AF$43,TODAY(),1),""select Col2 label Col2 ''""),IF($AG$43=""Gráfico de barras"",{""charttype"",""column"";""highcolor"",""red""},{""chartype"",""line""}))))"),"")</f>
        <v/>
      </c>
      <c r="AH84" s="405"/>
      <c r="AI84" s="467"/>
      <c r="AJ84" s="467"/>
      <c r="AK84" s="467"/>
      <c r="AL84" s="467"/>
      <c r="AM84" s="442"/>
      <c r="AN84" s="56"/>
      <c r="AU84" s="281"/>
      <c r="AV84" s="281"/>
      <c r="AW84" s="281"/>
      <c r="AX84" s="281"/>
      <c r="AY84" s="410">
        <v>41.0</v>
      </c>
      <c r="AZ84" s="411"/>
      <c r="BA84" s="411"/>
      <c r="BB84" s="437"/>
      <c r="BC84" s="437"/>
      <c r="BD84" s="437"/>
      <c r="BE84" s="437"/>
      <c r="BF84" s="415" t="s">
        <v>123</v>
      </c>
      <c r="BG84" s="410">
        <v>41.0</v>
      </c>
      <c r="BH84" s="416"/>
      <c r="BI84" s="416"/>
      <c r="BJ84" s="416"/>
      <c r="BK84" s="416"/>
      <c r="BL84" s="416"/>
      <c r="BM84" s="416"/>
      <c r="BN84" s="282"/>
      <c r="BO84" s="495"/>
      <c r="BP84" s="496"/>
      <c r="BQ84" s="496"/>
      <c r="BR84" s="496"/>
      <c r="BS84" s="496"/>
      <c r="BT84" s="496"/>
      <c r="BU84" s="496"/>
      <c r="BV84" s="489"/>
      <c r="BW84" s="63"/>
      <c r="BX84" s="62"/>
      <c r="BY84" s="452"/>
      <c r="BZ84" s="452"/>
      <c r="CA84" s="452"/>
      <c r="CB84" s="452"/>
      <c r="CC84" s="452"/>
      <c r="CD84" s="452"/>
      <c r="CE84" s="452"/>
      <c r="CF84" s="452"/>
      <c r="CG84" s="452"/>
      <c r="CH84" s="422"/>
      <c r="CI84" s="422"/>
      <c r="CJ84" s="422"/>
      <c r="CK84" s="421"/>
      <c r="CL84" s="421" t="s">
        <v>123</v>
      </c>
      <c r="CM84" s="423"/>
      <c r="CN84" s="421"/>
      <c r="CO84" s="423"/>
      <c r="CP84" s="421"/>
      <c r="CQ84" s="63"/>
      <c r="CR84" s="63"/>
      <c r="CS84" s="63"/>
      <c r="CT84" s="63"/>
      <c r="CU84" s="447"/>
      <c r="CV84" s="447"/>
      <c r="CW84" s="447"/>
      <c r="CX84" s="447"/>
      <c r="CY84" s="447"/>
      <c r="CZ84" s="447"/>
      <c r="DA84" s="447"/>
      <c r="DB84" s="447"/>
      <c r="DC84" s="447"/>
      <c r="DD84" s="447"/>
      <c r="DE84" s="447"/>
      <c r="DF84" s="447"/>
      <c r="DG84" s="447"/>
      <c r="DH84" s="447"/>
      <c r="DI84" s="447"/>
      <c r="DJ84" s="447"/>
      <c r="DK84" s="447"/>
      <c r="DL84" s="360">
        <v>18.0</v>
      </c>
      <c r="DM84" s="487"/>
      <c r="DN84" s="483" t="str">
        <f>IF(DM84="","",IFERROR(SUMIFS(op.daytrade!$P$5:$P343,op.daytrade!$AC$5:$AC343,DM84),0))</f>
        <v/>
      </c>
      <c r="DO84" s="67"/>
      <c r="DP84" s="67"/>
      <c r="DQ84" s="67"/>
    </row>
    <row r="85" ht="22.5" customHeight="1">
      <c r="A85" s="383"/>
      <c r="B85" s="384" t="str">
        <f>IFERROR(__xludf.DUMMYFUNCTION("IF(B$43="""","""",IF($AZ85="""","""",IFERROR(Query({CarteirasAtivos},""Select Col3 where Col1 = '""&amp;$AZ85&amp;""'and Col2 = '""&amp;S$21&amp;""'""))))"),"")</f>
        <v/>
      </c>
      <c r="C85" s="384" t="str">
        <f>IFERROR(__xludf.DUMMYFUNCTION("IF(C$43="""","""",IF($AZ85="""","""",IFERROR(Query({CarteirasAtivos},""Select Col3 where Col1 = '""&amp;$AZ85&amp;""'and Col2 = '""&amp;T$21&amp;""'""))))"),"")</f>
        <v/>
      </c>
      <c r="D85" s="384" t="str">
        <f>IFERROR(__xludf.DUMMYFUNCTION("IF(D$43="""","""",IF($AZ85="""","""",IFERROR(Query({CarteirasAtivos},""Select Col3 where Col1 = '""&amp;$AZ85&amp;""'and Col2 = '""&amp;U$21&amp;""'""))))"),"")</f>
        <v/>
      </c>
      <c r="E85" s="384" t="str">
        <f>IFERROR(__xludf.DUMMYFUNCTION("IF(E$43="""","""",IF($AZ85="""","""",IFERROR(Query({CarteirasAtivos},""Select Col3 where Col1 = '""&amp;$AZ85&amp;""'and Col2 = '""&amp;V$21&amp;""'""))))"),"")</f>
        <v/>
      </c>
      <c r="F85" s="384" t="str">
        <f>IFERROR(__xludf.DUMMYFUNCTION("IF(F$43="""","""",IF($AZ85="""","""",IFERROR(Query({CarteirasAtivos},""Select Col3 where Col1 = '""&amp;$AZ85&amp;""'and Col2 = '""&amp;W$21&amp;""'""))))"),"")</f>
        <v/>
      </c>
      <c r="G85" s="384" t="str">
        <f>IFERROR(__xludf.DUMMYFUNCTION("IF(G$43="""","""",IF($AZ85="""","""",IFERROR(Query({CarteirasAtivos},""Select Col3 where Col1 = '""&amp;$AZ85&amp;""'and Col2 = '""&amp;X$21&amp;""'""))))"),"")</f>
        <v/>
      </c>
      <c r="H85" s="384" t="str">
        <f>IFERROR(__xludf.DUMMYFUNCTION("IF(H$43="""","""",IF($AZ85="""","""",IFERROR(Query({CarteirasAtivos},""Select Col3 where Col1 = '""&amp;$AZ85&amp;""'and Col2 = '""&amp;Y$21&amp;""'""))))"),"")</f>
        <v/>
      </c>
      <c r="I85" s="384" t="str">
        <f>IFERROR(__xludf.DUMMYFUNCTION("IF(I$43="""","""",IF($AZ85="""","""",IFERROR(Query({CarteirasAtivos},""Select Col3 where Col1 = '""&amp;$AZ85&amp;""'and Col2 = '""&amp;Z$21&amp;""'""))))"),"")</f>
        <v/>
      </c>
      <c r="J85" s="384" t="str">
        <f>IFERROR(__xludf.DUMMYFUNCTION("IF(J$43="""","""",IF($AZ85="""","""",IFERROR(Query({CarteirasAtivos},""Select Col3 where Col1 = '""&amp;$AZ85&amp;""'and Col2 = '""&amp;AA$21&amp;""'""))))"),"")</f>
        <v/>
      </c>
      <c r="K85" s="384" t="str">
        <f>IFERROR(__xludf.DUMMYFUNCTION("IF(K$43="""","""",IF($AZ85="""","""",IFERROR(Query({CarteirasAtivos},""Select Col3 where Col1 = '""&amp;$AZ85&amp;""'and Col2 = '""&amp;AB$21&amp;""'""))))"),"")</f>
        <v/>
      </c>
      <c r="L85" s="385">
        <v>42.0</v>
      </c>
      <c r="M85" s="503"/>
      <c r="N85" s="387"/>
      <c r="O85" s="388" t="s">
        <v>123</v>
      </c>
      <c r="P85" s="389"/>
      <c r="Q85" s="390"/>
      <c r="R85" s="391"/>
      <c r="S85" s="392"/>
      <c r="T85" s="393"/>
      <c r="U85" s="393"/>
      <c r="V85" s="394"/>
      <c r="W85" s="395" t="str">
        <f>IFERROR(__xludf.DUMMYFUNCTION("IF(M85="""","""",sparkline(IFERROR(BF85*100/MAX($BF$44:$BF$153),0),{""charttype"",""bar"";""max"",100;""color1"",IF(BD85&gt;=0,""#4760a5"",""red"")}))"),"")</f>
        <v/>
      </c>
      <c r="X85" s="396"/>
      <c r="Y85" s="466"/>
      <c r="Z85" s="398"/>
      <c r="AA85" s="399"/>
      <c r="AB85" s="393"/>
      <c r="AC85" s="476"/>
      <c r="AD85" s="401"/>
      <c r="AE85" s="402"/>
      <c r="AF85" s="403"/>
      <c r="AG85" s="404" t="str">
        <f>IFERROR(__xludf.DUMMYFUNCTION("IF($M85="""","""",IFERROR(sparkline(query(GOOGLEFINANCE($AZ85,""price"",TODAY()-$AF$43,TODAY(),1),""select Col2 label Col2 ''""),IF($AG$43=""Gráfico de barras"",{""charttype"",""column"";""highcolor"",""red""},{""chartype"",""line""}))))"),"")</f>
        <v/>
      </c>
      <c r="AH85" s="405"/>
      <c r="AI85" s="467"/>
      <c r="AJ85" s="467"/>
      <c r="AK85" s="467"/>
      <c r="AL85" s="467"/>
      <c r="AM85" s="442"/>
      <c r="AN85" s="56"/>
      <c r="AU85" s="281"/>
      <c r="AV85" s="281"/>
      <c r="AW85" s="281"/>
      <c r="AX85" s="281"/>
      <c r="AY85" s="410">
        <v>42.0</v>
      </c>
      <c r="AZ85" s="411"/>
      <c r="BA85" s="411"/>
      <c r="BB85" s="437"/>
      <c r="BC85" s="437"/>
      <c r="BD85" s="437"/>
      <c r="BE85" s="437"/>
      <c r="BF85" s="415" t="s">
        <v>123</v>
      </c>
      <c r="BG85" s="410">
        <v>42.0</v>
      </c>
      <c r="BH85" s="416"/>
      <c r="BI85" s="416"/>
      <c r="BJ85" s="416"/>
      <c r="BK85" s="416"/>
      <c r="BL85" s="416"/>
      <c r="BM85" s="416"/>
      <c r="BN85" s="282"/>
      <c r="BO85" s="495"/>
      <c r="BP85" s="482" t="s">
        <v>334</v>
      </c>
      <c r="BQ85" s="482" t="s">
        <v>335</v>
      </c>
      <c r="BR85" s="482" t="s">
        <v>336</v>
      </c>
      <c r="BS85" s="482" t="s">
        <v>337</v>
      </c>
      <c r="BT85" s="482" t="s">
        <v>338</v>
      </c>
      <c r="BU85" s="482" t="s">
        <v>339</v>
      </c>
      <c r="BV85" s="489"/>
      <c r="BW85" s="63"/>
      <c r="BX85" s="62"/>
      <c r="BY85" s="452"/>
      <c r="BZ85" s="452"/>
      <c r="CA85" s="452"/>
      <c r="CB85" s="452"/>
      <c r="CC85" s="452"/>
      <c r="CD85" s="452"/>
      <c r="CE85" s="452"/>
      <c r="CF85" s="452"/>
      <c r="CG85" s="452"/>
      <c r="CH85" s="422"/>
      <c r="CI85" s="422"/>
      <c r="CJ85" s="422"/>
      <c r="CK85" s="421"/>
      <c r="CL85" s="421" t="s">
        <v>123</v>
      </c>
      <c r="CM85" s="423"/>
      <c r="CN85" s="421"/>
      <c r="CO85" s="423"/>
      <c r="CP85" s="421"/>
      <c r="CQ85" s="63"/>
      <c r="CR85" s="63"/>
      <c r="CS85" s="63"/>
      <c r="CT85" s="63"/>
      <c r="CU85" s="447"/>
      <c r="CV85" s="447"/>
      <c r="CW85" s="447"/>
      <c r="CX85" s="447"/>
      <c r="CY85" s="447"/>
      <c r="CZ85" s="447"/>
      <c r="DA85" s="447"/>
      <c r="DB85" s="447"/>
      <c r="DC85" s="447"/>
      <c r="DD85" s="447"/>
      <c r="DE85" s="447"/>
      <c r="DF85" s="447"/>
      <c r="DG85" s="447"/>
      <c r="DH85" s="447"/>
      <c r="DI85" s="447"/>
      <c r="DJ85" s="447"/>
      <c r="DK85" s="447"/>
      <c r="DL85" s="360">
        <v>19.0</v>
      </c>
      <c r="DM85" s="487"/>
      <c r="DN85" s="483" t="str">
        <f>IF(DM85="","",IFERROR(SUMIFS(op.daytrade!$P$5:$P343,op.daytrade!$AC$5:$AC343,DM85),0))</f>
        <v/>
      </c>
      <c r="DO85" s="67"/>
      <c r="DP85" s="67"/>
      <c r="DQ85" s="67"/>
    </row>
    <row r="86" ht="22.5" customHeight="1">
      <c r="A86" s="383"/>
      <c r="B86" s="384" t="str">
        <f>IFERROR(__xludf.DUMMYFUNCTION("IF(B$43="""","""",IF($AZ86="""","""",IFERROR(Query({CarteirasAtivos},""Select Col3 where Col1 = '""&amp;$AZ86&amp;""'and Col2 = '""&amp;S$21&amp;""'""))))"),"")</f>
        <v/>
      </c>
      <c r="C86" s="384" t="str">
        <f>IFERROR(__xludf.DUMMYFUNCTION("IF(C$43="""","""",IF($AZ86="""","""",IFERROR(Query({CarteirasAtivos},""Select Col3 where Col1 = '""&amp;$AZ86&amp;""'and Col2 = '""&amp;T$21&amp;""'""))))"),"")</f>
        <v/>
      </c>
      <c r="D86" s="384" t="str">
        <f>IFERROR(__xludf.DUMMYFUNCTION("IF(D$43="""","""",IF($AZ86="""","""",IFERROR(Query({CarteirasAtivos},""Select Col3 where Col1 = '""&amp;$AZ86&amp;""'and Col2 = '""&amp;U$21&amp;""'""))))"),"")</f>
        <v/>
      </c>
      <c r="E86" s="384" t="str">
        <f>IFERROR(__xludf.DUMMYFUNCTION("IF(E$43="""","""",IF($AZ86="""","""",IFERROR(Query({CarteirasAtivos},""Select Col3 where Col1 = '""&amp;$AZ86&amp;""'and Col2 = '""&amp;V$21&amp;""'""))))"),"")</f>
        <v/>
      </c>
      <c r="F86" s="384" t="str">
        <f>IFERROR(__xludf.DUMMYFUNCTION("IF(F$43="""","""",IF($AZ86="""","""",IFERROR(Query({CarteirasAtivos},""Select Col3 where Col1 = '""&amp;$AZ86&amp;""'and Col2 = '""&amp;W$21&amp;""'""))))"),"")</f>
        <v/>
      </c>
      <c r="G86" s="384" t="str">
        <f>IFERROR(__xludf.DUMMYFUNCTION("IF(G$43="""","""",IF($AZ86="""","""",IFERROR(Query({CarteirasAtivos},""Select Col3 where Col1 = '""&amp;$AZ86&amp;""'and Col2 = '""&amp;X$21&amp;""'""))))"),"")</f>
        <v/>
      </c>
      <c r="H86" s="384" t="str">
        <f>IFERROR(__xludf.DUMMYFUNCTION("IF(H$43="""","""",IF($AZ86="""","""",IFERROR(Query({CarteirasAtivos},""Select Col3 where Col1 = '""&amp;$AZ86&amp;""'and Col2 = '""&amp;Y$21&amp;""'""))))"),"")</f>
        <v/>
      </c>
      <c r="I86" s="384" t="str">
        <f>IFERROR(__xludf.DUMMYFUNCTION("IF(I$43="""","""",IF($AZ86="""","""",IFERROR(Query({CarteirasAtivos},""Select Col3 where Col1 = '""&amp;$AZ86&amp;""'and Col2 = '""&amp;Z$21&amp;""'""))))"),"")</f>
        <v/>
      </c>
      <c r="J86" s="384" t="str">
        <f>IFERROR(__xludf.DUMMYFUNCTION("IF(J$43="""","""",IF($AZ86="""","""",IFERROR(Query({CarteirasAtivos},""Select Col3 where Col1 = '""&amp;$AZ86&amp;""'and Col2 = '""&amp;AA$21&amp;""'""))))"),"")</f>
        <v/>
      </c>
      <c r="K86" s="384" t="str">
        <f>IFERROR(__xludf.DUMMYFUNCTION("IF(K$43="""","""",IF($AZ86="""","""",IFERROR(Query({CarteirasAtivos},""Select Col3 where Col1 = '""&amp;$AZ86&amp;""'and Col2 = '""&amp;AB$21&amp;""'""))))"),"")</f>
        <v/>
      </c>
      <c r="L86" s="385">
        <v>43.0</v>
      </c>
      <c r="M86" s="503"/>
      <c r="N86" s="387"/>
      <c r="O86" s="388" t="s">
        <v>123</v>
      </c>
      <c r="P86" s="389"/>
      <c r="Q86" s="390"/>
      <c r="R86" s="391"/>
      <c r="S86" s="392"/>
      <c r="T86" s="393"/>
      <c r="U86" s="393"/>
      <c r="V86" s="394"/>
      <c r="W86" s="395" t="str">
        <f>IFERROR(__xludf.DUMMYFUNCTION("IF(M86="""","""",sparkline(IFERROR(BF86*100/MAX($BF$44:$BF$153),0),{""charttype"",""bar"";""max"",100;""color1"",IF(BD86&gt;=0,""#4760a5"",""red"")}))"),"")</f>
        <v/>
      </c>
      <c r="X86" s="396"/>
      <c r="Y86" s="466"/>
      <c r="Z86" s="398"/>
      <c r="AA86" s="399"/>
      <c r="AB86" s="393"/>
      <c r="AC86" s="476"/>
      <c r="AD86" s="401"/>
      <c r="AE86" s="402"/>
      <c r="AF86" s="403"/>
      <c r="AG86" s="404" t="str">
        <f>IFERROR(__xludf.DUMMYFUNCTION("IF($M86="""","""",IFERROR(sparkline(query(GOOGLEFINANCE($AZ86,""price"",TODAY()-$AF$43,TODAY(),1),""select Col2 label Col2 ''""),IF($AG$43=""Gráfico de barras"",{""charttype"",""column"";""highcolor"",""red""},{""chartype"",""line""}))))"),"")</f>
        <v/>
      </c>
      <c r="AH86" s="405"/>
      <c r="AI86" s="467"/>
      <c r="AJ86" s="467"/>
      <c r="AK86" s="467"/>
      <c r="AL86" s="467"/>
      <c r="AM86" s="442"/>
      <c r="AN86" s="56"/>
      <c r="AU86" s="281"/>
      <c r="AV86" s="281"/>
      <c r="AW86" s="281"/>
      <c r="AX86" s="281"/>
      <c r="AY86" s="410">
        <v>43.0</v>
      </c>
      <c r="AZ86" s="411"/>
      <c r="BA86" s="411"/>
      <c r="BB86" s="437"/>
      <c r="BC86" s="437"/>
      <c r="BD86" s="437"/>
      <c r="BE86" s="437"/>
      <c r="BF86" s="415" t="s">
        <v>123</v>
      </c>
      <c r="BG86" s="410">
        <v>43.0</v>
      </c>
      <c r="BH86" s="416"/>
      <c r="BI86" s="416"/>
      <c r="BJ86" s="416"/>
      <c r="BK86" s="416"/>
      <c r="BL86" s="416"/>
      <c r="BM86" s="416"/>
      <c r="BN86" s="282"/>
      <c r="BO86" s="504"/>
      <c r="BP86" s="505" t="str">
        <f t="array" ref="BP86:BP98">IF(NOT(ConfigOn),"",TEXT(BQ86:BQ98,"dddd"))</f>
        <v>quarta-feira</v>
      </c>
      <c r="BQ86" s="506">
        <f>IFERROR(__xludf.DUMMYFUNCTION("IF(NOT(ConfigOn),"""",IFERROR(query({GOOGLEFINANCE(""INDEXBVMF:""&amp;$BP$83,""price"",$BR$77-14,$BR$77);IF($BS$77=0,$BR$77,""""),IF($BS$77=0,GoogleFinance(""INDEXBVMF:""&amp;$BP$83),"""")}, ""select Col1, Col2 label Col1 '', Col2 ''"")))"),46078.705555555556)</f>
        <v>46078.70556</v>
      </c>
      <c r="BR86" s="499">
        <f>IFERROR(__xludf.DUMMYFUNCTION("""COMPUTED_VALUE"""),191247.46)</f>
        <v>191247.46</v>
      </c>
      <c r="BS86" s="499"/>
      <c r="BT86" s="507"/>
      <c r="BU86" s="508"/>
      <c r="BV86" s="489"/>
      <c r="BW86" s="63"/>
      <c r="BX86" s="62"/>
      <c r="BY86" s="452"/>
      <c r="BZ86" s="452"/>
      <c r="CA86" s="452"/>
      <c r="CB86" s="452"/>
      <c r="CC86" s="452"/>
      <c r="CD86" s="452"/>
      <c r="CE86" s="452"/>
      <c r="CF86" s="452"/>
      <c r="CG86" s="452"/>
      <c r="CH86" s="422"/>
      <c r="CI86" s="422"/>
      <c r="CJ86" s="422"/>
      <c r="CK86" s="421"/>
      <c r="CL86" s="421" t="s">
        <v>123</v>
      </c>
      <c r="CM86" s="423"/>
      <c r="CN86" s="421"/>
      <c r="CO86" s="423"/>
      <c r="CP86" s="421"/>
      <c r="CQ86" s="63"/>
      <c r="CR86" s="63"/>
      <c r="CS86" s="63"/>
      <c r="CT86" s="63"/>
      <c r="CU86" s="447"/>
      <c r="CV86" s="447"/>
      <c r="CW86" s="447"/>
      <c r="CX86" s="447"/>
      <c r="CY86" s="447"/>
      <c r="CZ86" s="447"/>
      <c r="DA86" s="447"/>
      <c r="DB86" s="447"/>
      <c r="DC86" s="447"/>
      <c r="DD86" s="447"/>
      <c r="DE86" s="447"/>
      <c r="DF86" s="447"/>
      <c r="DG86" s="447"/>
      <c r="DH86" s="447"/>
      <c r="DI86" s="447"/>
      <c r="DJ86" s="447"/>
      <c r="DK86" s="447"/>
      <c r="DL86" s="360">
        <v>20.0</v>
      </c>
      <c r="DM86" s="487"/>
      <c r="DN86" s="483" t="str">
        <f>IF(DM86="","",IFERROR(SUMIFS(op.daytrade!$P$5:$P343,op.daytrade!$AC$5:$AC343,DM86),0))</f>
        <v/>
      </c>
      <c r="DO86" s="67"/>
      <c r="DP86" s="67"/>
      <c r="DQ86" s="67"/>
    </row>
    <row r="87" ht="22.5" customHeight="1">
      <c r="A87" s="383"/>
      <c r="B87" s="384" t="str">
        <f>IFERROR(__xludf.DUMMYFUNCTION("IF(B$43="""","""",IF($AZ87="""","""",IFERROR(Query({CarteirasAtivos},""Select Col3 where Col1 = '""&amp;$AZ87&amp;""'and Col2 = '""&amp;S$21&amp;""'""))))"),"")</f>
        <v/>
      </c>
      <c r="C87" s="384" t="str">
        <f>IFERROR(__xludf.DUMMYFUNCTION("IF(C$43="""","""",IF($AZ87="""","""",IFERROR(Query({CarteirasAtivos},""Select Col3 where Col1 = '""&amp;$AZ87&amp;""'and Col2 = '""&amp;T$21&amp;""'""))))"),"")</f>
        <v/>
      </c>
      <c r="D87" s="384" t="str">
        <f>IFERROR(__xludf.DUMMYFUNCTION("IF(D$43="""","""",IF($AZ87="""","""",IFERROR(Query({CarteirasAtivos},""Select Col3 where Col1 = '""&amp;$AZ87&amp;""'and Col2 = '""&amp;U$21&amp;""'""))))"),"")</f>
        <v/>
      </c>
      <c r="E87" s="384" t="str">
        <f>IFERROR(__xludf.DUMMYFUNCTION("IF(E$43="""","""",IF($AZ87="""","""",IFERROR(Query({CarteirasAtivos},""Select Col3 where Col1 = '""&amp;$AZ87&amp;""'and Col2 = '""&amp;V$21&amp;""'""))))"),"")</f>
        <v/>
      </c>
      <c r="F87" s="384" t="str">
        <f>IFERROR(__xludf.DUMMYFUNCTION("IF(F$43="""","""",IF($AZ87="""","""",IFERROR(Query({CarteirasAtivos},""Select Col3 where Col1 = '""&amp;$AZ87&amp;""'and Col2 = '""&amp;W$21&amp;""'""))))"),"")</f>
        <v/>
      </c>
      <c r="G87" s="384" t="str">
        <f>IFERROR(__xludf.DUMMYFUNCTION("IF(G$43="""","""",IF($AZ87="""","""",IFERROR(Query({CarteirasAtivos},""Select Col3 where Col1 = '""&amp;$AZ87&amp;""'and Col2 = '""&amp;X$21&amp;""'""))))"),"")</f>
        <v/>
      </c>
      <c r="H87" s="384" t="str">
        <f>IFERROR(__xludf.DUMMYFUNCTION("IF(H$43="""","""",IF($AZ87="""","""",IFERROR(Query({CarteirasAtivos},""Select Col3 where Col1 = '""&amp;$AZ87&amp;""'and Col2 = '""&amp;Y$21&amp;""'""))))"),"")</f>
        <v/>
      </c>
      <c r="I87" s="384" t="str">
        <f>IFERROR(__xludf.DUMMYFUNCTION("IF(I$43="""","""",IF($AZ87="""","""",IFERROR(Query({CarteirasAtivos},""Select Col3 where Col1 = '""&amp;$AZ87&amp;""'and Col2 = '""&amp;Z$21&amp;""'""))))"),"")</f>
        <v/>
      </c>
      <c r="J87" s="384" t="str">
        <f>IFERROR(__xludf.DUMMYFUNCTION("IF(J$43="""","""",IF($AZ87="""","""",IFERROR(Query({CarteirasAtivos},""Select Col3 where Col1 = '""&amp;$AZ87&amp;""'and Col2 = '""&amp;AA$21&amp;""'""))))"),"")</f>
        <v/>
      </c>
      <c r="K87" s="384" t="str">
        <f>IFERROR(__xludf.DUMMYFUNCTION("IF(K$43="""","""",IF($AZ87="""","""",IFERROR(Query({CarteirasAtivos},""Select Col3 where Col1 = '""&amp;$AZ87&amp;""'and Col2 = '""&amp;AB$21&amp;""'""))))"),"")</f>
        <v/>
      </c>
      <c r="L87" s="385">
        <v>44.0</v>
      </c>
      <c r="M87" s="503"/>
      <c r="N87" s="387"/>
      <c r="O87" s="388" t="s">
        <v>123</v>
      </c>
      <c r="P87" s="389"/>
      <c r="Q87" s="390"/>
      <c r="R87" s="391"/>
      <c r="S87" s="392"/>
      <c r="T87" s="393"/>
      <c r="U87" s="393"/>
      <c r="V87" s="394"/>
      <c r="W87" s="395" t="str">
        <f>IFERROR(__xludf.DUMMYFUNCTION("IF(M87="""","""",sparkline(IFERROR(BF87*100/MAX($BF$44:$BF$153),0),{""charttype"",""bar"";""max"",100;""color1"",IF(BD87&gt;=0,""#4760a5"",""red"")}))"),"")</f>
        <v/>
      </c>
      <c r="X87" s="396"/>
      <c r="Y87" s="466"/>
      <c r="Z87" s="398"/>
      <c r="AA87" s="399"/>
      <c r="AB87" s="393"/>
      <c r="AC87" s="476"/>
      <c r="AD87" s="401"/>
      <c r="AE87" s="402"/>
      <c r="AF87" s="403"/>
      <c r="AG87" s="404" t="str">
        <f>IFERROR(__xludf.DUMMYFUNCTION("IF($M87="""","""",IFERROR(sparkline(query(GOOGLEFINANCE($AZ87,""price"",TODAY()-$AF$43,TODAY(),1),""select Col2 label Col2 ''""),IF($AG$43=""Gráfico de barras"",{""charttype"",""column"";""highcolor"",""red""},{""chartype"",""line""}))))"),"")</f>
        <v/>
      </c>
      <c r="AH87" s="405"/>
      <c r="AI87" s="467"/>
      <c r="AJ87" s="467"/>
      <c r="AK87" s="467"/>
      <c r="AL87" s="467"/>
      <c r="AM87" s="442"/>
      <c r="AN87" s="56"/>
      <c r="AU87" s="281"/>
      <c r="AV87" s="281"/>
      <c r="AW87" s="281"/>
      <c r="AX87" s="281"/>
      <c r="AY87" s="410">
        <v>44.0</v>
      </c>
      <c r="AZ87" s="411"/>
      <c r="BA87" s="411"/>
      <c r="BB87" s="437"/>
      <c r="BC87" s="437"/>
      <c r="BD87" s="437"/>
      <c r="BE87" s="437"/>
      <c r="BF87" s="415" t="s">
        <v>123</v>
      </c>
      <c r="BG87" s="410">
        <v>44.0</v>
      </c>
      <c r="BH87" s="416"/>
      <c r="BI87" s="416"/>
      <c r="BJ87" s="416"/>
      <c r="BK87" s="416"/>
      <c r="BL87" s="416"/>
      <c r="BM87" s="416"/>
      <c r="BN87" s="282"/>
      <c r="BO87" s="509">
        <v>1.0</v>
      </c>
      <c r="BP87" s="482" t="s">
        <v>340</v>
      </c>
      <c r="BQ87" s="506">
        <f>IFERROR(__xludf.DUMMYFUNCTION("""COMPUTED_VALUE"""),46079.705555555556)</f>
        <v>46079.70556</v>
      </c>
      <c r="BR87" s="499">
        <f>IFERROR(__xludf.DUMMYFUNCTION("""COMPUTED_VALUE"""),191005.02)</f>
        <v>191005.02</v>
      </c>
      <c r="BS87" s="499">
        <f t="array" ref="BS87:BS98">if(BQ87:BQ98="","",BR87:BR98-BR86:BR97)</f>
        <v>-242.44</v>
      </c>
      <c r="BT87" s="507">
        <f t="array" ref="BT87:BT98">if(BQ87:BQ98="","",((BR87:BR98/BR86:BR97)-1)*100)</f>
        <v>-0.1267676967</v>
      </c>
      <c r="BU87" s="499">
        <f>IFERROR(__xludf.DUMMYFUNCTION("query({BS87:BS98},""select Col1 limit ""&amp;10)"),-242.44000000000233)</f>
        <v>-242.44</v>
      </c>
      <c r="BV87" s="489"/>
      <c r="BW87" s="63"/>
      <c r="BX87" s="62"/>
      <c r="BY87" s="452"/>
      <c r="BZ87" s="452"/>
      <c r="CA87" s="452"/>
      <c r="CB87" s="452"/>
      <c r="CC87" s="452"/>
      <c r="CD87" s="452"/>
      <c r="CE87" s="452"/>
      <c r="CF87" s="452"/>
      <c r="CG87" s="452"/>
      <c r="CH87" s="422"/>
      <c r="CI87" s="422"/>
      <c r="CJ87" s="422"/>
      <c r="CK87" s="421"/>
      <c r="CL87" s="421" t="s">
        <v>123</v>
      </c>
      <c r="CM87" s="423"/>
      <c r="CN87" s="421"/>
      <c r="CO87" s="423"/>
      <c r="CP87" s="421"/>
      <c r="CQ87" s="63"/>
      <c r="CR87" s="63"/>
      <c r="CS87" s="63"/>
      <c r="CT87" s="63"/>
      <c r="CU87" s="447"/>
      <c r="CV87" s="447"/>
      <c r="CW87" s="447"/>
      <c r="CX87" s="447"/>
      <c r="CY87" s="447"/>
      <c r="CZ87" s="447"/>
      <c r="DA87" s="447"/>
      <c r="DB87" s="447"/>
      <c r="DC87" s="447"/>
      <c r="DD87" s="447"/>
      <c r="DE87" s="447"/>
      <c r="DF87" s="447"/>
      <c r="DG87" s="447"/>
      <c r="DH87" s="447"/>
      <c r="DI87" s="447"/>
      <c r="DJ87" s="447"/>
      <c r="DK87" s="447"/>
      <c r="DL87" s="67"/>
      <c r="DM87" s="67"/>
      <c r="DN87" s="67"/>
      <c r="DO87" s="67"/>
      <c r="DP87" s="67"/>
      <c r="DQ87" s="67"/>
    </row>
    <row r="88" ht="22.5" customHeight="1">
      <c r="A88" s="383"/>
      <c r="B88" s="384" t="str">
        <f>IFERROR(__xludf.DUMMYFUNCTION("IF(B$43="""","""",IF($AZ88="""","""",IFERROR(Query({CarteirasAtivos},""Select Col3 where Col1 = '""&amp;$AZ88&amp;""'and Col2 = '""&amp;S$21&amp;""'""))))"),"")</f>
        <v/>
      </c>
      <c r="C88" s="384" t="str">
        <f>IFERROR(__xludf.DUMMYFUNCTION("IF(C$43="""","""",IF($AZ88="""","""",IFERROR(Query({CarteirasAtivos},""Select Col3 where Col1 = '""&amp;$AZ88&amp;""'and Col2 = '""&amp;T$21&amp;""'""))))"),"")</f>
        <v/>
      </c>
      <c r="D88" s="384" t="str">
        <f>IFERROR(__xludf.DUMMYFUNCTION("IF(D$43="""","""",IF($AZ88="""","""",IFERROR(Query({CarteirasAtivos},""Select Col3 where Col1 = '""&amp;$AZ88&amp;""'and Col2 = '""&amp;U$21&amp;""'""))))"),"")</f>
        <v/>
      </c>
      <c r="E88" s="384" t="str">
        <f>IFERROR(__xludf.DUMMYFUNCTION("IF(E$43="""","""",IF($AZ88="""","""",IFERROR(Query({CarteirasAtivos},""Select Col3 where Col1 = '""&amp;$AZ88&amp;""'and Col2 = '""&amp;V$21&amp;""'""))))"),"")</f>
        <v/>
      </c>
      <c r="F88" s="384" t="str">
        <f>IFERROR(__xludf.DUMMYFUNCTION("IF(F$43="""","""",IF($AZ88="""","""",IFERROR(Query({CarteirasAtivos},""Select Col3 where Col1 = '""&amp;$AZ88&amp;""'and Col2 = '""&amp;W$21&amp;""'""))))"),"")</f>
        <v/>
      </c>
      <c r="G88" s="384" t="str">
        <f>IFERROR(__xludf.DUMMYFUNCTION("IF(G$43="""","""",IF($AZ88="""","""",IFERROR(Query({CarteirasAtivos},""Select Col3 where Col1 = '""&amp;$AZ88&amp;""'and Col2 = '""&amp;X$21&amp;""'""))))"),"")</f>
        <v/>
      </c>
      <c r="H88" s="384" t="str">
        <f>IFERROR(__xludf.DUMMYFUNCTION("IF(H$43="""","""",IF($AZ88="""","""",IFERROR(Query({CarteirasAtivos},""Select Col3 where Col1 = '""&amp;$AZ88&amp;""'and Col2 = '""&amp;Y$21&amp;""'""))))"),"")</f>
        <v/>
      </c>
      <c r="I88" s="384" t="str">
        <f>IFERROR(__xludf.DUMMYFUNCTION("IF(I$43="""","""",IF($AZ88="""","""",IFERROR(Query({CarteirasAtivos},""Select Col3 where Col1 = '""&amp;$AZ88&amp;""'and Col2 = '""&amp;Z$21&amp;""'""))))"),"")</f>
        <v/>
      </c>
      <c r="J88" s="384" t="str">
        <f>IFERROR(__xludf.DUMMYFUNCTION("IF(J$43="""","""",IF($AZ88="""","""",IFERROR(Query({CarteirasAtivos},""Select Col3 where Col1 = '""&amp;$AZ88&amp;""'and Col2 = '""&amp;AA$21&amp;""'""))))"),"")</f>
        <v/>
      </c>
      <c r="K88" s="384" t="str">
        <f>IFERROR(__xludf.DUMMYFUNCTION("IF(K$43="""","""",IF($AZ88="""","""",IFERROR(Query({CarteirasAtivos},""Select Col3 where Col1 = '""&amp;$AZ88&amp;""'and Col2 = '""&amp;AB$21&amp;""'""))))"),"")</f>
        <v/>
      </c>
      <c r="L88" s="385">
        <v>45.0</v>
      </c>
      <c r="M88" s="503"/>
      <c r="N88" s="387"/>
      <c r="O88" s="388" t="s">
        <v>123</v>
      </c>
      <c r="P88" s="389"/>
      <c r="Q88" s="390"/>
      <c r="R88" s="391"/>
      <c r="S88" s="392"/>
      <c r="T88" s="393"/>
      <c r="U88" s="393"/>
      <c r="V88" s="394"/>
      <c r="W88" s="395" t="str">
        <f>IFERROR(__xludf.DUMMYFUNCTION("IF(M88="""","""",sparkline(IFERROR(BF88*100/MAX($BF$44:$BF$153),0),{""charttype"",""bar"";""max"",100;""color1"",IF(BD88&gt;=0,""#4760a5"",""red"")}))"),"")</f>
        <v/>
      </c>
      <c r="X88" s="396"/>
      <c r="Y88" s="466"/>
      <c r="Z88" s="398"/>
      <c r="AA88" s="399"/>
      <c r="AB88" s="393"/>
      <c r="AC88" s="476"/>
      <c r="AD88" s="401"/>
      <c r="AE88" s="402"/>
      <c r="AF88" s="403"/>
      <c r="AG88" s="404" t="str">
        <f>IFERROR(__xludf.DUMMYFUNCTION("IF($M88="""","""",IFERROR(sparkline(query(GOOGLEFINANCE($AZ88,""price"",TODAY()-$AF$43,TODAY(),1),""select Col2 label Col2 ''""),IF($AG$43=""Gráfico de barras"",{""charttype"",""column"";""highcolor"",""red""},{""chartype"",""line""}))))"),"")</f>
        <v/>
      </c>
      <c r="AH88" s="405"/>
      <c r="AI88" s="467"/>
      <c r="AJ88" s="467"/>
      <c r="AK88" s="467"/>
      <c r="AL88" s="467"/>
      <c r="AM88" s="442"/>
      <c r="AN88" s="56"/>
      <c r="AU88" s="281"/>
      <c r="AV88" s="281"/>
      <c r="AW88" s="281"/>
      <c r="AX88" s="281"/>
      <c r="AY88" s="410">
        <v>45.0</v>
      </c>
      <c r="AZ88" s="411"/>
      <c r="BA88" s="411"/>
      <c r="BB88" s="437"/>
      <c r="BC88" s="437"/>
      <c r="BD88" s="437"/>
      <c r="BE88" s="437"/>
      <c r="BF88" s="415" t="s">
        <v>123</v>
      </c>
      <c r="BG88" s="410">
        <v>45.0</v>
      </c>
      <c r="BH88" s="416"/>
      <c r="BI88" s="416"/>
      <c r="BJ88" s="416"/>
      <c r="BK88" s="416"/>
      <c r="BL88" s="416"/>
      <c r="BM88" s="416"/>
      <c r="BN88" s="282"/>
      <c r="BO88" s="509">
        <v>2.0</v>
      </c>
      <c r="BP88" s="482" t="s">
        <v>341</v>
      </c>
      <c r="BQ88" s="506">
        <f>IFERROR(__xludf.DUMMYFUNCTION("""COMPUTED_VALUE"""),46080.705555555556)</f>
        <v>46080.70556</v>
      </c>
      <c r="BR88" s="499">
        <f>IFERROR(__xludf.DUMMYFUNCTION("""COMPUTED_VALUE"""),188786.98)</f>
        <v>188786.98</v>
      </c>
      <c r="BS88" s="499">
        <v>-2218.039999999979</v>
      </c>
      <c r="BT88" s="507">
        <v>-1.161246966179208</v>
      </c>
      <c r="BU88" s="499">
        <f>IFERROR(__xludf.DUMMYFUNCTION("""COMPUTED_VALUE"""),-2218.039999999979)</f>
        <v>-2218.04</v>
      </c>
      <c r="BV88" s="489"/>
      <c r="BW88" s="63"/>
      <c r="BX88" s="62"/>
      <c r="BY88" s="452"/>
      <c r="BZ88" s="452"/>
      <c r="CA88" s="452"/>
      <c r="CB88" s="452"/>
      <c r="CC88" s="452"/>
      <c r="CD88" s="452"/>
      <c r="CE88" s="452"/>
      <c r="CF88" s="452"/>
      <c r="CG88" s="452"/>
      <c r="CH88" s="422"/>
      <c r="CI88" s="422"/>
      <c r="CJ88" s="422"/>
      <c r="CK88" s="421"/>
      <c r="CL88" s="421" t="s">
        <v>123</v>
      </c>
      <c r="CM88" s="423"/>
      <c r="CN88" s="421"/>
      <c r="CO88" s="423"/>
      <c r="CP88" s="421"/>
      <c r="CQ88" s="63"/>
      <c r="CR88" s="63"/>
      <c r="CS88" s="63"/>
      <c r="CT88" s="63"/>
      <c r="CU88" s="447"/>
      <c r="CV88" s="447"/>
      <c r="CW88" s="447"/>
      <c r="CX88" s="447"/>
      <c r="CY88" s="447"/>
      <c r="CZ88" s="447"/>
      <c r="DA88" s="447"/>
      <c r="DB88" s="447"/>
      <c r="DC88" s="447"/>
      <c r="DD88" s="447"/>
      <c r="DE88" s="447"/>
      <c r="DF88" s="447"/>
      <c r="DG88" s="447"/>
      <c r="DH88" s="447"/>
      <c r="DI88" s="447"/>
      <c r="DJ88" s="447"/>
      <c r="DK88" s="447"/>
      <c r="DL88" s="67"/>
      <c r="DM88" s="67"/>
      <c r="DN88" s="67"/>
      <c r="DO88" s="67"/>
      <c r="DP88" s="67"/>
      <c r="DQ88" s="67"/>
    </row>
    <row r="89" ht="22.5" customHeight="1">
      <c r="A89" s="383"/>
      <c r="B89" s="384" t="str">
        <f>IFERROR(__xludf.DUMMYFUNCTION("IF(B$43="""","""",IF($AZ89="""","""",IFERROR(Query({CarteirasAtivos},""Select Col3 where Col1 = '""&amp;$AZ89&amp;""'and Col2 = '""&amp;S$21&amp;""'""))))"),"")</f>
        <v/>
      </c>
      <c r="C89" s="384" t="str">
        <f>IFERROR(__xludf.DUMMYFUNCTION("IF(C$43="""","""",IF($AZ89="""","""",IFERROR(Query({CarteirasAtivos},""Select Col3 where Col1 = '""&amp;$AZ89&amp;""'and Col2 = '""&amp;T$21&amp;""'""))))"),"")</f>
        <v/>
      </c>
      <c r="D89" s="384" t="str">
        <f>IFERROR(__xludf.DUMMYFUNCTION("IF(D$43="""","""",IF($AZ89="""","""",IFERROR(Query({CarteirasAtivos},""Select Col3 where Col1 = '""&amp;$AZ89&amp;""'and Col2 = '""&amp;U$21&amp;""'""))))"),"")</f>
        <v/>
      </c>
      <c r="E89" s="384" t="str">
        <f>IFERROR(__xludf.DUMMYFUNCTION("IF(E$43="""","""",IF($AZ89="""","""",IFERROR(Query({CarteirasAtivos},""Select Col3 where Col1 = '""&amp;$AZ89&amp;""'and Col2 = '""&amp;V$21&amp;""'""))))"),"")</f>
        <v/>
      </c>
      <c r="F89" s="384" t="str">
        <f>IFERROR(__xludf.DUMMYFUNCTION("IF(F$43="""","""",IF($AZ89="""","""",IFERROR(Query({CarteirasAtivos},""Select Col3 where Col1 = '""&amp;$AZ89&amp;""'and Col2 = '""&amp;W$21&amp;""'""))))"),"")</f>
        <v/>
      </c>
      <c r="G89" s="384" t="str">
        <f>IFERROR(__xludf.DUMMYFUNCTION("IF(G$43="""","""",IF($AZ89="""","""",IFERROR(Query({CarteirasAtivos},""Select Col3 where Col1 = '""&amp;$AZ89&amp;""'and Col2 = '""&amp;X$21&amp;""'""))))"),"")</f>
        <v/>
      </c>
      <c r="H89" s="384" t="str">
        <f>IFERROR(__xludf.DUMMYFUNCTION("IF(H$43="""","""",IF($AZ89="""","""",IFERROR(Query({CarteirasAtivos},""Select Col3 where Col1 = '""&amp;$AZ89&amp;""'and Col2 = '""&amp;Y$21&amp;""'""))))"),"")</f>
        <v/>
      </c>
      <c r="I89" s="384" t="str">
        <f>IFERROR(__xludf.DUMMYFUNCTION("IF(I$43="""","""",IF($AZ89="""","""",IFERROR(Query({CarteirasAtivos},""Select Col3 where Col1 = '""&amp;$AZ89&amp;""'and Col2 = '""&amp;Z$21&amp;""'""))))"),"")</f>
        <v/>
      </c>
      <c r="J89" s="384" t="str">
        <f>IFERROR(__xludf.DUMMYFUNCTION("IF(J$43="""","""",IF($AZ89="""","""",IFERROR(Query({CarteirasAtivos},""Select Col3 where Col1 = '""&amp;$AZ89&amp;""'and Col2 = '""&amp;AA$21&amp;""'""))))"),"")</f>
        <v/>
      </c>
      <c r="K89" s="384" t="str">
        <f>IFERROR(__xludf.DUMMYFUNCTION("IF(K$43="""","""",IF($AZ89="""","""",IFERROR(Query({CarteirasAtivos},""Select Col3 where Col1 = '""&amp;$AZ89&amp;""'and Col2 = '""&amp;AB$21&amp;""'""))))"),"")</f>
        <v/>
      </c>
      <c r="L89" s="385">
        <v>46.0</v>
      </c>
      <c r="M89" s="503"/>
      <c r="N89" s="387"/>
      <c r="O89" s="388" t="s">
        <v>123</v>
      </c>
      <c r="P89" s="389"/>
      <c r="Q89" s="390"/>
      <c r="R89" s="391"/>
      <c r="S89" s="392"/>
      <c r="T89" s="393"/>
      <c r="U89" s="393"/>
      <c r="V89" s="394"/>
      <c r="W89" s="395" t="str">
        <f>IFERROR(__xludf.DUMMYFUNCTION("IF(M89="""","""",sparkline(IFERROR(BF89*100/MAX($BF$44:$BF$153),0),{""charttype"",""bar"";""max"",100;""color1"",IF(BD89&gt;=0,""#4760a5"",""red"")}))"),"")</f>
        <v/>
      </c>
      <c r="X89" s="396"/>
      <c r="Y89" s="466"/>
      <c r="Z89" s="398"/>
      <c r="AA89" s="399"/>
      <c r="AB89" s="393"/>
      <c r="AC89" s="476"/>
      <c r="AD89" s="401"/>
      <c r="AE89" s="402"/>
      <c r="AF89" s="403"/>
      <c r="AG89" s="404" t="str">
        <f>IFERROR(__xludf.DUMMYFUNCTION("IF($M89="""","""",IFERROR(sparkline(query(GOOGLEFINANCE($AZ89,""price"",TODAY()-$AF$43,TODAY(),1),""select Col2 label Col2 ''""),IF($AG$43=""Gráfico de barras"",{""charttype"",""column"";""highcolor"",""red""},{""chartype"",""line""}))))"),"")</f>
        <v/>
      </c>
      <c r="AH89" s="405"/>
      <c r="AI89" s="467"/>
      <c r="AJ89" s="467"/>
      <c r="AK89" s="467"/>
      <c r="AL89" s="467"/>
      <c r="AM89" s="442"/>
      <c r="AU89" s="281"/>
      <c r="AV89" s="281"/>
      <c r="AW89" s="281"/>
      <c r="AX89" s="281"/>
      <c r="AY89" s="410">
        <v>46.0</v>
      </c>
      <c r="AZ89" s="411"/>
      <c r="BA89" s="411"/>
      <c r="BB89" s="437"/>
      <c r="BC89" s="437"/>
      <c r="BD89" s="437"/>
      <c r="BE89" s="437"/>
      <c r="BF89" s="415" t="s">
        <v>123</v>
      </c>
      <c r="BG89" s="410">
        <v>46.0</v>
      </c>
      <c r="BH89" s="416"/>
      <c r="BI89" s="416"/>
      <c r="BJ89" s="416"/>
      <c r="BK89" s="416"/>
      <c r="BL89" s="416"/>
      <c r="BM89" s="416"/>
      <c r="BN89" s="282"/>
      <c r="BO89" s="509">
        <v>3.0</v>
      </c>
      <c r="BP89" s="482" t="s">
        <v>342</v>
      </c>
      <c r="BQ89" s="506">
        <f>IFERROR(__xludf.DUMMYFUNCTION("""COMPUTED_VALUE"""),46083.705555555556)</f>
        <v>46083.70556</v>
      </c>
      <c r="BR89" s="499">
        <f>IFERROR(__xludf.DUMMYFUNCTION("""COMPUTED_VALUE"""),189307.02)</f>
        <v>189307.02</v>
      </c>
      <c r="BS89" s="499">
        <v>520.039999999979</v>
      </c>
      <c r="BT89" s="507">
        <v>0.2754639117591662</v>
      </c>
      <c r="BU89" s="499">
        <f>IFERROR(__xludf.DUMMYFUNCTION("""COMPUTED_VALUE"""),520.039999999979)</f>
        <v>520.04</v>
      </c>
      <c r="BV89" s="489"/>
      <c r="BW89" s="63"/>
      <c r="BX89" s="62"/>
      <c r="BY89" s="452"/>
      <c r="BZ89" s="452"/>
      <c r="CA89" s="452"/>
      <c r="CB89" s="452"/>
      <c r="CC89" s="452"/>
      <c r="CD89" s="452"/>
      <c r="CE89" s="452"/>
      <c r="CF89" s="452"/>
      <c r="CG89" s="452"/>
      <c r="CH89" s="422"/>
      <c r="CI89" s="422"/>
      <c r="CJ89" s="422"/>
      <c r="CK89" s="421"/>
      <c r="CL89" s="421" t="s">
        <v>123</v>
      </c>
      <c r="CM89" s="423"/>
      <c r="CN89" s="421"/>
      <c r="CO89" s="423"/>
      <c r="CP89" s="421"/>
      <c r="CQ89" s="63"/>
      <c r="CR89" s="63"/>
      <c r="CS89" s="63"/>
      <c r="CT89" s="63"/>
      <c r="CU89" s="447"/>
      <c r="CV89" s="447"/>
      <c r="CW89" s="447"/>
      <c r="CX89" s="447"/>
      <c r="CY89" s="447"/>
      <c r="CZ89" s="447"/>
      <c r="DA89" s="447"/>
      <c r="DB89" s="447"/>
      <c r="DC89" s="447"/>
      <c r="DD89" s="447"/>
      <c r="DE89" s="447"/>
      <c r="DF89" s="447"/>
      <c r="DG89" s="447"/>
      <c r="DH89" s="447"/>
      <c r="DI89" s="447"/>
      <c r="DJ89" s="447"/>
      <c r="DK89" s="447"/>
      <c r="DL89" s="67"/>
      <c r="DM89" s="67"/>
      <c r="DN89" s="67"/>
      <c r="DO89" s="67"/>
      <c r="DP89" s="67"/>
      <c r="DQ89" s="67"/>
    </row>
    <row r="90" ht="22.5" customHeight="1">
      <c r="A90" s="383"/>
      <c r="B90" s="384" t="str">
        <f>IFERROR(__xludf.DUMMYFUNCTION("IF(B$43="""","""",IF($AZ90="""","""",IFERROR(Query({CarteirasAtivos},""Select Col3 where Col1 = '""&amp;$AZ90&amp;""'and Col2 = '""&amp;S$21&amp;""'""))))"),"")</f>
        <v/>
      </c>
      <c r="C90" s="384" t="str">
        <f>IFERROR(__xludf.DUMMYFUNCTION("IF(C$43="""","""",IF($AZ90="""","""",IFERROR(Query({CarteirasAtivos},""Select Col3 where Col1 = '""&amp;$AZ90&amp;""'and Col2 = '""&amp;T$21&amp;""'""))))"),"")</f>
        <v/>
      </c>
      <c r="D90" s="384" t="str">
        <f>IFERROR(__xludf.DUMMYFUNCTION("IF(D$43="""","""",IF($AZ90="""","""",IFERROR(Query({CarteirasAtivos},""Select Col3 where Col1 = '""&amp;$AZ90&amp;""'and Col2 = '""&amp;U$21&amp;""'""))))"),"")</f>
        <v/>
      </c>
      <c r="E90" s="384" t="str">
        <f>IFERROR(__xludf.DUMMYFUNCTION("IF(E$43="""","""",IF($AZ90="""","""",IFERROR(Query({CarteirasAtivos},""Select Col3 where Col1 = '""&amp;$AZ90&amp;""'and Col2 = '""&amp;V$21&amp;""'""))))"),"")</f>
        <v/>
      </c>
      <c r="F90" s="384" t="str">
        <f>IFERROR(__xludf.DUMMYFUNCTION("IF(F$43="""","""",IF($AZ90="""","""",IFERROR(Query({CarteirasAtivos},""Select Col3 where Col1 = '""&amp;$AZ90&amp;""'and Col2 = '""&amp;W$21&amp;""'""))))"),"")</f>
        <v/>
      </c>
      <c r="G90" s="384" t="str">
        <f>IFERROR(__xludf.DUMMYFUNCTION("IF(G$43="""","""",IF($AZ90="""","""",IFERROR(Query({CarteirasAtivos},""Select Col3 where Col1 = '""&amp;$AZ90&amp;""'and Col2 = '""&amp;X$21&amp;""'""))))"),"")</f>
        <v/>
      </c>
      <c r="H90" s="384" t="str">
        <f>IFERROR(__xludf.DUMMYFUNCTION("IF(H$43="""","""",IF($AZ90="""","""",IFERROR(Query({CarteirasAtivos},""Select Col3 where Col1 = '""&amp;$AZ90&amp;""'and Col2 = '""&amp;Y$21&amp;""'""))))"),"")</f>
        <v/>
      </c>
      <c r="I90" s="384" t="str">
        <f>IFERROR(__xludf.DUMMYFUNCTION("IF(I$43="""","""",IF($AZ90="""","""",IFERROR(Query({CarteirasAtivos},""Select Col3 where Col1 = '""&amp;$AZ90&amp;""'and Col2 = '""&amp;Z$21&amp;""'""))))"),"")</f>
        <v/>
      </c>
      <c r="J90" s="384" t="str">
        <f>IFERROR(__xludf.DUMMYFUNCTION("IF(J$43="""","""",IF($AZ90="""","""",IFERROR(Query({CarteirasAtivos},""Select Col3 where Col1 = '""&amp;$AZ90&amp;""'and Col2 = '""&amp;AA$21&amp;""'""))))"),"")</f>
        <v/>
      </c>
      <c r="K90" s="384" t="str">
        <f>IFERROR(__xludf.DUMMYFUNCTION("IF(K$43="""","""",IF($AZ90="""","""",IFERROR(Query({CarteirasAtivos},""Select Col3 where Col1 = '""&amp;$AZ90&amp;""'and Col2 = '""&amp;AB$21&amp;""'""))))"),"")</f>
        <v/>
      </c>
      <c r="L90" s="385">
        <v>47.0</v>
      </c>
      <c r="M90" s="503"/>
      <c r="N90" s="387"/>
      <c r="O90" s="388" t="s">
        <v>123</v>
      </c>
      <c r="P90" s="389"/>
      <c r="Q90" s="390"/>
      <c r="R90" s="391"/>
      <c r="S90" s="392"/>
      <c r="T90" s="393"/>
      <c r="U90" s="393"/>
      <c r="V90" s="394"/>
      <c r="W90" s="395" t="str">
        <f>IFERROR(__xludf.DUMMYFUNCTION("IF(M90="""","""",sparkline(IFERROR(BF90*100/MAX($BF$44:$BF$153),0),{""charttype"",""bar"";""max"",100;""color1"",IF(BD90&gt;=0,""#4760a5"",""red"")}))"),"")</f>
        <v/>
      </c>
      <c r="X90" s="396"/>
      <c r="Y90" s="466"/>
      <c r="Z90" s="398"/>
      <c r="AA90" s="399"/>
      <c r="AB90" s="393"/>
      <c r="AC90" s="476"/>
      <c r="AD90" s="401"/>
      <c r="AE90" s="402"/>
      <c r="AF90" s="403"/>
      <c r="AG90" s="404" t="str">
        <f>IFERROR(__xludf.DUMMYFUNCTION("IF($M90="""","""",IFERROR(sparkline(query(GOOGLEFINANCE($AZ90,""price"",TODAY()-$AF$43,TODAY(),1),""select Col2 label Col2 ''""),IF($AG$43=""Gráfico de barras"",{""charttype"",""column"";""highcolor"",""red""},{""chartype"",""line""}))))"),"")</f>
        <v/>
      </c>
      <c r="AH90" s="405"/>
      <c r="AI90" s="467"/>
      <c r="AJ90" s="467"/>
      <c r="AK90" s="467"/>
      <c r="AL90" s="467"/>
      <c r="AM90" s="442"/>
      <c r="AN90" s="56"/>
      <c r="AU90" s="281"/>
      <c r="AV90" s="281"/>
      <c r="AW90" s="281"/>
      <c r="AX90" s="281"/>
      <c r="AY90" s="410">
        <v>47.0</v>
      </c>
      <c r="AZ90" s="411"/>
      <c r="BA90" s="411"/>
      <c r="BB90" s="437"/>
      <c r="BC90" s="437"/>
      <c r="BD90" s="437"/>
      <c r="BE90" s="437"/>
      <c r="BF90" s="415" t="s">
        <v>123</v>
      </c>
      <c r="BG90" s="410">
        <v>47.0</v>
      </c>
      <c r="BH90" s="416"/>
      <c r="BI90" s="416"/>
      <c r="BJ90" s="416"/>
      <c r="BK90" s="416"/>
      <c r="BL90" s="416"/>
      <c r="BM90" s="416"/>
      <c r="BN90" s="282"/>
      <c r="BO90" s="509">
        <v>4.0</v>
      </c>
      <c r="BP90" s="482" t="s">
        <v>343</v>
      </c>
      <c r="BQ90" s="506">
        <f>IFERROR(__xludf.DUMMYFUNCTION("""COMPUTED_VALUE"""),46084.705555555556)</f>
        <v>46084.70556</v>
      </c>
      <c r="BR90" s="499">
        <f>IFERROR(__xludf.DUMMYFUNCTION("""COMPUTED_VALUE"""),183104.87)</f>
        <v>183104.87</v>
      </c>
      <c r="BS90" s="499">
        <v>-6202.149999999994</v>
      </c>
      <c r="BT90" s="507">
        <v>-3.276238778678142</v>
      </c>
      <c r="BU90" s="499">
        <f>IFERROR(__xludf.DUMMYFUNCTION("""COMPUTED_VALUE"""),-6202.149999999994)</f>
        <v>-6202.15</v>
      </c>
      <c r="BV90" s="489"/>
      <c r="BW90" s="63"/>
      <c r="BX90" s="62"/>
      <c r="BY90" s="452"/>
      <c r="BZ90" s="452"/>
      <c r="CA90" s="452"/>
      <c r="CB90" s="452"/>
      <c r="CC90" s="452"/>
      <c r="CD90" s="452"/>
      <c r="CE90" s="452"/>
      <c r="CF90" s="452"/>
      <c r="CG90" s="452"/>
      <c r="CH90" s="422"/>
      <c r="CI90" s="422"/>
      <c r="CJ90" s="422"/>
      <c r="CK90" s="421"/>
      <c r="CL90" s="421" t="s">
        <v>123</v>
      </c>
      <c r="CM90" s="423"/>
      <c r="CN90" s="421"/>
      <c r="CO90" s="423"/>
      <c r="CP90" s="421"/>
      <c r="CQ90" s="63"/>
      <c r="CR90" s="63"/>
      <c r="CS90" s="63"/>
      <c r="CT90" s="63"/>
      <c r="CU90" s="447"/>
      <c r="CV90" s="447"/>
      <c r="CW90" s="447"/>
      <c r="CX90" s="447"/>
      <c r="CY90" s="447"/>
      <c r="CZ90" s="447"/>
      <c r="DA90" s="447"/>
      <c r="DB90" s="447"/>
      <c r="DC90" s="447"/>
      <c r="DD90" s="447"/>
      <c r="DE90" s="447"/>
      <c r="DF90" s="447"/>
      <c r="DG90" s="447"/>
      <c r="DH90" s="447"/>
      <c r="DI90" s="447"/>
      <c r="DJ90" s="447"/>
      <c r="DK90" s="447"/>
      <c r="DL90" s="67"/>
      <c r="DM90" s="67"/>
      <c r="DN90" s="67"/>
      <c r="DO90" s="67"/>
      <c r="DP90" s="67"/>
      <c r="DQ90" s="67"/>
    </row>
    <row r="91" ht="22.5" customHeight="1">
      <c r="A91" s="383"/>
      <c r="B91" s="384" t="str">
        <f>IFERROR(__xludf.DUMMYFUNCTION("IF(B$43="""","""",IF($AZ91="""","""",IFERROR(Query({CarteirasAtivos},""Select Col3 where Col1 = '""&amp;$AZ91&amp;""'and Col2 = '""&amp;S$21&amp;""'""))))"),"")</f>
        <v/>
      </c>
      <c r="C91" s="384" t="str">
        <f>IFERROR(__xludf.DUMMYFUNCTION("IF(C$43="""","""",IF($AZ91="""","""",IFERROR(Query({CarteirasAtivos},""Select Col3 where Col1 = '""&amp;$AZ91&amp;""'and Col2 = '""&amp;T$21&amp;""'""))))"),"")</f>
        <v/>
      </c>
      <c r="D91" s="384" t="str">
        <f>IFERROR(__xludf.DUMMYFUNCTION("IF(D$43="""","""",IF($AZ91="""","""",IFERROR(Query({CarteirasAtivos},""Select Col3 where Col1 = '""&amp;$AZ91&amp;""'and Col2 = '""&amp;U$21&amp;""'""))))"),"")</f>
        <v/>
      </c>
      <c r="E91" s="384" t="str">
        <f>IFERROR(__xludf.DUMMYFUNCTION("IF(E$43="""","""",IF($AZ91="""","""",IFERROR(Query({CarteirasAtivos},""Select Col3 where Col1 = '""&amp;$AZ91&amp;""'and Col2 = '""&amp;V$21&amp;""'""))))"),"")</f>
        <v/>
      </c>
      <c r="F91" s="384" t="str">
        <f>IFERROR(__xludf.DUMMYFUNCTION("IF(F$43="""","""",IF($AZ91="""","""",IFERROR(Query({CarteirasAtivos},""Select Col3 where Col1 = '""&amp;$AZ91&amp;""'and Col2 = '""&amp;W$21&amp;""'""))))"),"")</f>
        <v/>
      </c>
      <c r="G91" s="384" t="str">
        <f>IFERROR(__xludf.DUMMYFUNCTION("IF(G$43="""","""",IF($AZ91="""","""",IFERROR(Query({CarteirasAtivos},""Select Col3 where Col1 = '""&amp;$AZ91&amp;""'and Col2 = '""&amp;X$21&amp;""'""))))"),"")</f>
        <v/>
      </c>
      <c r="H91" s="384" t="str">
        <f>IFERROR(__xludf.DUMMYFUNCTION("IF(H$43="""","""",IF($AZ91="""","""",IFERROR(Query({CarteirasAtivos},""Select Col3 where Col1 = '""&amp;$AZ91&amp;""'and Col2 = '""&amp;Y$21&amp;""'""))))"),"")</f>
        <v/>
      </c>
      <c r="I91" s="384" t="str">
        <f>IFERROR(__xludf.DUMMYFUNCTION("IF(I$43="""","""",IF($AZ91="""","""",IFERROR(Query({CarteirasAtivos},""Select Col3 where Col1 = '""&amp;$AZ91&amp;""'and Col2 = '""&amp;Z$21&amp;""'""))))"),"")</f>
        <v/>
      </c>
      <c r="J91" s="384" t="str">
        <f>IFERROR(__xludf.DUMMYFUNCTION("IF(J$43="""","""",IF($AZ91="""","""",IFERROR(Query({CarteirasAtivos},""Select Col3 where Col1 = '""&amp;$AZ91&amp;""'and Col2 = '""&amp;AA$21&amp;""'""))))"),"")</f>
        <v/>
      </c>
      <c r="K91" s="384" t="str">
        <f>IFERROR(__xludf.DUMMYFUNCTION("IF(K$43="""","""",IF($AZ91="""","""",IFERROR(Query({CarteirasAtivos},""Select Col3 where Col1 = '""&amp;$AZ91&amp;""'and Col2 = '""&amp;AB$21&amp;""'""))))"),"")</f>
        <v/>
      </c>
      <c r="L91" s="385">
        <v>48.0</v>
      </c>
      <c r="M91" s="503"/>
      <c r="N91" s="387"/>
      <c r="O91" s="388" t="s">
        <v>123</v>
      </c>
      <c r="P91" s="389"/>
      <c r="Q91" s="390"/>
      <c r="R91" s="391"/>
      <c r="S91" s="392"/>
      <c r="T91" s="393"/>
      <c r="U91" s="393"/>
      <c r="V91" s="394"/>
      <c r="W91" s="395" t="str">
        <f>IFERROR(__xludf.DUMMYFUNCTION("IF(M91="""","""",sparkline(IFERROR(BF91*100/MAX($BF$44:$BF$153),0),{""charttype"",""bar"";""max"",100;""color1"",IF(BD91&gt;=0,""#4760a5"",""red"")}))"),"")</f>
        <v/>
      </c>
      <c r="X91" s="396"/>
      <c r="Y91" s="466"/>
      <c r="Z91" s="398"/>
      <c r="AA91" s="399"/>
      <c r="AB91" s="393"/>
      <c r="AC91" s="476"/>
      <c r="AD91" s="401"/>
      <c r="AE91" s="402"/>
      <c r="AF91" s="403"/>
      <c r="AG91" s="404" t="str">
        <f>IFERROR(__xludf.DUMMYFUNCTION("IF($M91="""","""",IFERROR(sparkline(query(GOOGLEFINANCE($AZ91,""price"",TODAY()-$AF$43,TODAY(),1),""select Col2 label Col2 ''""),IF($AG$43=""Gráfico de barras"",{""charttype"",""column"";""highcolor"",""red""},{""chartype"",""line""}))))"),"")</f>
        <v/>
      </c>
      <c r="AH91" s="405"/>
      <c r="AI91" s="467"/>
      <c r="AJ91" s="467"/>
      <c r="AK91" s="467"/>
      <c r="AL91" s="467"/>
      <c r="AM91" s="442"/>
      <c r="AN91" s="56"/>
      <c r="AU91" s="281"/>
      <c r="AV91" s="281"/>
      <c r="AW91" s="281"/>
      <c r="AX91" s="281"/>
      <c r="AY91" s="410">
        <v>48.0</v>
      </c>
      <c r="AZ91" s="411"/>
      <c r="BA91" s="411"/>
      <c r="BB91" s="437"/>
      <c r="BC91" s="437"/>
      <c r="BD91" s="437"/>
      <c r="BE91" s="437"/>
      <c r="BF91" s="415" t="s">
        <v>123</v>
      </c>
      <c r="BG91" s="410">
        <v>48.0</v>
      </c>
      <c r="BH91" s="416"/>
      <c r="BI91" s="416"/>
      <c r="BJ91" s="416"/>
      <c r="BK91" s="416"/>
      <c r="BL91" s="416"/>
      <c r="BM91" s="416"/>
      <c r="BN91" s="282"/>
      <c r="BO91" s="509">
        <v>5.0</v>
      </c>
      <c r="BP91" s="482" t="s">
        <v>344</v>
      </c>
      <c r="BQ91" s="506">
        <f>IFERROR(__xludf.DUMMYFUNCTION("""COMPUTED_VALUE"""),46085.705555555556)</f>
        <v>46085.70556</v>
      </c>
      <c r="BR91" s="499">
        <f>IFERROR(__xludf.DUMMYFUNCTION("""COMPUTED_VALUE"""),185366.44)</f>
        <v>185366.44</v>
      </c>
      <c r="BS91" s="499">
        <v>2261.570000000007</v>
      </c>
      <c r="BT91" s="507">
        <v>1.2351228014853</v>
      </c>
      <c r="BU91" s="499">
        <f>IFERROR(__xludf.DUMMYFUNCTION("""COMPUTED_VALUE"""),2261.570000000007)</f>
        <v>2261.57</v>
      </c>
      <c r="BV91" s="489"/>
      <c r="BW91" s="63"/>
      <c r="BX91" s="62"/>
      <c r="BY91" s="452"/>
      <c r="BZ91" s="452"/>
      <c r="CA91" s="452"/>
      <c r="CB91" s="452"/>
      <c r="CC91" s="452"/>
      <c r="CD91" s="452"/>
      <c r="CE91" s="452"/>
      <c r="CF91" s="452"/>
      <c r="CG91" s="452"/>
      <c r="CH91" s="422"/>
      <c r="CI91" s="422"/>
      <c r="CJ91" s="422"/>
      <c r="CK91" s="421"/>
      <c r="CL91" s="421" t="s">
        <v>123</v>
      </c>
      <c r="CM91" s="423"/>
      <c r="CN91" s="421"/>
      <c r="CO91" s="423"/>
      <c r="CP91" s="421"/>
      <c r="CQ91" s="63"/>
      <c r="CR91" s="63"/>
      <c r="CS91" s="63"/>
      <c r="CT91" s="63"/>
      <c r="CU91" s="447"/>
      <c r="CV91" s="447"/>
      <c r="CW91" s="447"/>
      <c r="CX91" s="447"/>
      <c r="CY91" s="447"/>
      <c r="CZ91" s="447"/>
      <c r="DA91" s="447"/>
      <c r="DB91" s="447"/>
      <c r="DC91" s="447"/>
      <c r="DD91" s="447"/>
      <c r="DE91" s="447"/>
      <c r="DF91" s="447"/>
      <c r="DG91" s="447"/>
      <c r="DH91" s="447"/>
      <c r="DI91" s="447"/>
      <c r="DJ91" s="447"/>
      <c r="DK91" s="447"/>
      <c r="DL91" s="67"/>
      <c r="DM91" s="67"/>
      <c r="DN91" s="67"/>
      <c r="DO91" s="67"/>
      <c r="DP91" s="67"/>
      <c r="DQ91" s="67"/>
    </row>
    <row r="92" ht="22.5" customHeight="1">
      <c r="A92" s="383"/>
      <c r="B92" s="384" t="str">
        <f>IFERROR(__xludf.DUMMYFUNCTION("IF(B$43="""","""",IF($AZ92="""","""",IFERROR(Query({CarteirasAtivos},""Select Col3 where Col1 = '""&amp;$AZ92&amp;""'and Col2 = '""&amp;S$21&amp;""'""))))"),"")</f>
        <v/>
      </c>
      <c r="C92" s="384" t="str">
        <f>IFERROR(__xludf.DUMMYFUNCTION("IF(C$43="""","""",IF($AZ92="""","""",IFERROR(Query({CarteirasAtivos},""Select Col3 where Col1 = '""&amp;$AZ92&amp;""'and Col2 = '""&amp;T$21&amp;""'""))))"),"")</f>
        <v/>
      </c>
      <c r="D92" s="384" t="str">
        <f>IFERROR(__xludf.DUMMYFUNCTION("IF(D$43="""","""",IF($AZ92="""","""",IFERROR(Query({CarteirasAtivos},""Select Col3 where Col1 = '""&amp;$AZ92&amp;""'and Col2 = '""&amp;U$21&amp;""'""))))"),"")</f>
        <v/>
      </c>
      <c r="E92" s="384" t="str">
        <f>IFERROR(__xludf.DUMMYFUNCTION("IF(E$43="""","""",IF($AZ92="""","""",IFERROR(Query({CarteirasAtivos},""Select Col3 where Col1 = '""&amp;$AZ92&amp;""'and Col2 = '""&amp;V$21&amp;""'""))))"),"")</f>
        <v/>
      </c>
      <c r="F92" s="384" t="str">
        <f>IFERROR(__xludf.DUMMYFUNCTION("IF(F$43="""","""",IF($AZ92="""","""",IFERROR(Query({CarteirasAtivos},""Select Col3 where Col1 = '""&amp;$AZ92&amp;""'and Col2 = '""&amp;W$21&amp;""'""))))"),"")</f>
        <v/>
      </c>
      <c r="G92" s="384" t="str">
        <f>IFERROR(__xludf.DUMMYFUNCTION("IF(G$43="""","""",IF($AZ92="""","""",IFERROR(Query({CarteirasAtivos},""Select Col3 where Col1 = '""&amp;$AZ92&amp;""'and Col2 = '""&amp;X$21&amp;""'""))))"),"")</f>
        <v/>
      </c>
      <c r="H92" s="384" t="str">
        <f>IFERROR(__xludf.DUMMYFUNCTION("IF(H$43="""","""",IF($AZ92="""","""",IFERROR(Query({CarteirasAtivos},""Select Col3 where Col1 = '""&amp;$AZ92&amp;""'and Col2 = '""&amp;Y$21&amp;""'""))))"),"")</f>
        <v/>
      </c>
      <c r="I92" s="384" t="str">
        <f>IFERROR(__xludf.DUMMYFUNCTION("IF(I$43="""","""",IF($AZ92="""","""",IFERROR(Query({CarteirasAtivos},""Select Col3 where Col1 = '""&amp;$AZ92&amp;""'and Col2 = '""&amp;Z$21&amp;""'""))))"),"")</f>
        <v/>
      </c>
      <c r="J92" s="384" t="str">
        <f>IFERROR(__xludf.DUMMYFUNCTION("IF(J$43="""","""",IF($AZ92="""","""",IFERROR(Query({CarteirasAtivos},""Select Col3 where Col1 = '""&amp;$AZ92&amp;""'and Col2 = '""&amp;AA$21&amp;""'""))))"),"")</f>
        <v/>
      </c>
      <c r="K92" s="384" t="str">
        <f>IFERROR(__xludf.DUMMYFUNCTION("IF(K$43="""","""",IF($AZ92="""","""",IFERROR(Query({CarteirasAtivos},""Select Col3 where Col1 = '""&amp;$AZ92&amp;""'and Col2 = '""&amp;AB$21&amp;""'""))))"),"")</f>
        <v/>
      </c>
      <c r="L92" s="385">
        <v>49.0</v>
      </c>
      <c r="M92" s="503"/>
      <c r="N92" s="387"/>
      <c r="O92" s="388" t="s">
        <v>123</v>
      </c>
      <c r="P92" s="389"/>
      <c r="Q92" s="390"/>
      <c r="R92" s="391"/>
      <c r="S92" s="392"/>
      <c r="T92" s="393"/>
      <c r="U92" s="393"/>
      <c r="V92" s="394"/>
      <c r="W92" s="395" t="str">
        <f>IFERROR(__xludf.DUMMYFUNCTION("IF(M92="""","""",sparkline(IFERROR(BF92*100/MAX($BF$44:$BF$153),0),{""charttype"",""bar"";""max"",100;""color1"",IF(BD92&gt;=0,""#4760a5"",""red"")}))"),"")</f>
        <v/>
      </c>
      <c r="X92" s="396"/>
      <c r="Y92" s="466"/>
      <c r="Z92" s="398"/>
      <c r="AA92" s="399"/>
      <c r="AB92" s="393"/>
      <c r="AC92" s="476"/>
      <c r="AD92" s="401"/>
      <c r="AE92" s="402"/>
      <c r="AF92" s="403"/>
      <c r="AG92" s="404" t="str">
        <f>IFERROR(__xludf.DUMMYFUNCTION("IF($M92="""","""",IFERROR(sparkline(query(GOOGLEFINANCE($AZ92,""price"",TODAY()-$AF$43,TODAY(),1),""select Col2 label Col2 ''""),IF($AG$43=""Gráfico de barras"",{""charttype"",""column"";""highcolor"",""red""},{""chartype"",""line""}))))"),"")</f>
        <v/>
      </c>
      <c r="AH92" s="405"/>
      <c r="AI92" s="467"/>
      <c r="AJ92" s="467"/>
      <c r="AK92" s="467"/>
      <c r="AL92" s="467"/>
      <c r="AM92" s="442"/>
      <c r="AN92" s="56"/>
      <c r="AU92" s="281"/>
      <c r="AV92" s="281"/>
      <c r="AW92" s="281"/>
      <c r="AX92" s="281"/>
      <c r="AY92" s="410">
        <v>49.0</v>
      </c>
      <c r="AZ92" s="411"/>
      <c r="BA92" s="411"/>
      <c r="BB92" s="437"/>
      <c r="BC92" s="437"/>
      <c r="BD92" s="437"/>
      <c r="BE92" s="437"/>
      <c r="BF92" s="415" t="s">
        <v>123</v>
      </c>
      <c r="BG92" s="410">
        <v>49.0</v>
      </c>
      <c r="BH92" s="416"/>
      <c r="BI92" s="416"/>
      <c r="BJ92" s="416"/>
      <c r="BK92" s="416"/>
      <c r="BL92" s="416"/>
      <c r="BM92" s="416"/>
      <c r="BN92" s="282"/>
      <c r="BO92" s="509">
        <v>6.0</v>
      </c>
      <c r="BP92" s="482" t="s">
        <v>340</v>
      </c>
      <c r="BQ92" s="506">
        <f>IFERROR(__xludf.DUMMYFUNCTION("""COMPUTED_VALUE"""),46086.705555555556)</f>
        <v>46086.70556</v>
      </c>
      <c r="BR92" s="499">
        <f>IFERROR(__xludf.DUMMYFUNCTION("""COMPUTED_VALUE"""),180463.84)</f>
        <v>180463.84</v>
      </c>
      <c r="BS92" s="499">
        <v>-4902.600000000006</v>
      </c>
      <c r="BT92" s="507">
        <v>-2.6448153182420775</v>
      </c>
      <c r="BU92" s="499">
        <f>IFERROR(__xludf.DUMMYFUNCTION("""COMPUTED_VALUE"""),-4902.600000000006)</f>
        <v>-4902.6</v>
      </c>
      <c r="BV92" s="489"/>
      <c r="BW92" s="63"/>
      <c r="BX92" s="62"/>
      <c r="BY92" s="452"/>
      <c r="BZ92" s="452"/>
      <c r="CA92" s="452"/>
      <c r="CB92" s="452"/>
      <c r="CC92" s="452"/>
      <c r="CD92" s="452"/>
      <c r="CE92" s="452"/>
      <c r="CF92" s="452"/>
      <c r="CG92" s="452"/>
      <c r="CH92" s="422"/>
      <c r="CI92" s="422"/>
      <c r="CJ92" s="422"/>
      <c r="CK92" s="421"/>
      <c r="CL92" s="421" t="s">
        <v>123</v>
      </c>
      <c r="CM92" s="423"/>
      <c r="CN92" s="421"/>
      <c r="CO92" s="423"/>
      <c r="CP92" s="421"/>
      <c r="CQ92" s="63"/>
      <c r="CR92" s="63"/>
      <c r="CS92" s="63"/>
      <c r="CT92" s="63"/>
      <c r="CU92" s="447"/>
      <c r="CV92" s="447"/>
      <c r="CW92" s="447"/>
      <c r="CX92" s="447"/>
      <c r="CY92" s="447"/>
      <c r="CZ92" s="447"/>
      <c r="DA92" s="447"/>
      <c r="DB92" s="447"/>
      <c r="DC92" s="447"/>
      <c r="DD92" s="447"/>
      <c r="DE92" s="447"/>
      <c r="DF92" s="447"/>
      <c r="DG92" s="447"/>
      <c r="DH92" s="447"/>
      <c r="DI92" s="447"/>
      <c r="DJ92" s="447"/>
      <c r="DK92" s="447"/>
      <c r="DL92" s="67"/>
      <c r="DM92" s="67"/>
      <c r="DN92" s="67"/>
      <c r="DO92" s="67"/>
      <c r="DP92" s="67"/>
      <c r="DQ92" s="67"/>
    </row>
    <row r="93" ht="22.5" customHeight="1">
      <c r="A93" s="383"/>
      <c r="B93" s="384" t="str">
        <f>IFERROR(__xludf.DUMMYFUNCTION("IF(B$43="""","""",IF($AZ93="""","""",IFERROR(Query({CarteirasAtivos},""Select Col3 where Col1 = '""&amp;$AZ93&amp;""'and Col2 = '""&amp;S$21&amp;""'""))))"),"")</f>
        <v/>
      </c>
      <c r="C93" s="384" t="str">
        <f>IFERROR(__xludf.DUMMYFUNCTION("IF(C$43="""","""",IF($AZ93="""","""",IFERROR(Query({CarteirasAtivos},""Select Col3 where Col1 = '""&amp;$AZ93&amp;""'and Col2 = '""&amp;T$21&amp;""'""))))"),"")</f>
        <v/>
      </c>
      <c r="D93" s="384" t="str">
        <f>IFERROR(__xludf.DUMMYFUNCTION("IF(D$43="""","""",IF($AZ93="""","""",IFERROR(Query({CarteirasAtivos},""Select Col3 where Col1 = '""&amp;$AZ93&amp;""'and Col2 = '""&amp;U$21&amp;""'""))))"),"")</f>
        <v/>
      </c>
      <c r="E93" s="384" t="str">
        <f>IFERROR(__xludf.DUMMYFUNCTION("IF(E$43="""","""",IF($AZ93="""","""",IFERROR(Query({CarteirasAtivos},""Select Col3 where Col1 = '""&amp;$AZ93&amp;""'and Col2 = '""&amp;V$21&amp;""'""))))"),"")</f>
        <v/>
      </c>
      <c r="F93" s="384" t="str">
        <f>IFERROR(__xludf.DUMMYFUNCTION("IF(F$43="""","""",IF($AZ93="""","""",IFERROR(Query({CarteirasAtivos},""Select Col3 where Col1 = '""&amp;$AZ93&amp;""'and Col2 = '""&amp;W$21&amp;""'""))))"),"")</f>
        <v/>
      </c>
      <c r="G93" s="384" t="str">
        <f>IFERROR(__xludf.DUMMYFUNCTION("IF(G$43="""","""",IF($AZ93="""","""",IFERROR(Query({CarteirasAtivos},""Select Col3 where Col1 = '""&amp;$AZ93&amp;""'and Col2 = '""&amp;X$21&amp;""'""))))"),"")</f>
        <v/>
      </c>
      <c r="H93" s="384" t="str">
        <f>IFERROR(__xludf.DUMMYFUNCTION("IF(H$43="""","""",IF($AZ93="""","""",IFERROR(Query({CarteirasAtivos},""Select Col3 where Col1 = '""&amp;$AZ93&amp;""'and Col2 = '""&amp;Y$21&amp;""'""))))"),"")</f>
        <v/>
      </c>
      <c r="I93" s="384" t="str">
        <f>IFERROR(__xludf.DUMMYFUNCTION("IF(I$43="""","""",IF($AZ93="""","""",IFERROR(Query({CarteirasAtivos},""Select Col3 where Col1 = '""&amp;$AZ93&amp;""'and Col2 = '""&amp;Z$21&amp;""'""))))"),"")</f>
        <v/>
      </c>
      <c r="J93" s="384" t="str">
        <f>IFERROR(__xludf.DUMMYFUNCTION("IF(J$43="""","""",IF($AZ93="""","""",IFERROR(Query({CarteirasAtivos},""Select Col3 where Col1 = '""&amp;$AZ93&amp;""'and Col2 = '""&amp;AA$21&amp;""'""))))"),"")</f>
        <v/>
      </c>
      <c r="K93" s="384" t="str">
        <f>IFERROR(__xludf.DUMMYFUNCTION("IF(K$43="""","""",IF($AZ93="""","""",IFERROR(Query({CarteirasAtivos},""Select Col3 where Col1 = '""&amp;$AZ93&amp;""'and Col2 = '""&amp;AB$21&amp;""'""))))"),"")</f>
        <v/>
      </c>
      <c r="L93" s="385">
        <v>50.0</v>
      </c>
      <c r="M93" s="503"/>
      <c r="N93" s="387"/>
      <c r="O93" s="388" t="s">
        <v>123</v>
      </c>
      <c r="P93" s="389"/>
      <c r="Q93" s="390"/>
      <c r="R93" s="391"/>
      <c r="S93" s="392"/>
      <c r="T93" s="393"/>
      <c r="U93" s="393"/>
      <c r="V93" s="394"/>
      <c r="W93" s="395" t="str">
        <f>IFERROR(__xludf.DUMMYFUNCTION("IF(M93="""","""",sparkline(IFERROR(BF93*100/MAX($BF$44:$BF$153),0),{""charttype"",""bar"";""max"",100;""color1"",IF(BD93&gt;=0,""#4760a5"",""red"")}))"),"")</f>
        <v/>
      </c>
      <c r="X93" s="396"/>
      <c r="Y93" s="466"/>
      <c r="Z93" s="398"/>
      <c r="AA93" s="399"/>
      <c r="AB93" s="393"/>
      <c r="AC93" s="476"/>
      <c r="AD93" s="401"/>
      <c r="AE93" s="402"/>
      <c r="AF93" s="403"/>
      <c r="AG93" s="404" t="str">
        <f>IFERROR(__xludf.DUMMYFUNCTION("IF($M93="""","""",IFERROR(sparkline(query(GOOGLEFINANCE($AZ93,""price"",TODAY()-$AF$43,TODAY(),1),""select Col2 label Col2 ''""),IF($AG$43=""Gráfico de barras"",{""charttype"",""column"";""highcolor"",""red""},{""chartype"",""line""}))))"),"")</f>
        <v/>
      </c>
      <c r="AH93" s="405"/>
      <c r="AI93" s="467"/>
      <c r="AJ93" s="467"/>
      <c r="AK93" s="467"/>
      <c r="AL93" s="467"/>
      <c r="AM93" s="442"/>
      <c r="AN93" s="56"/>
      <c r="AU93" s="281"/>
      <c r="AV93" s="281"/>
      <c r="AW93" s="281"/>
      <c r="AX93" s="281"/>
      <c r="AY93" s="410">
        <v>50.0</v>
      </c>
      <c r="AZ93" s="411"/>
      <c r="BA93" s="411"/>
      <c r="BB93" s="437"/>
      <c r="BC93" s="437"/>
      <c r="BD93" s="437"/>
      <c r="BE93" s="437"/>
      <c r="BF93" s="415" t="s">
        <v>123</v>
      </c>
      <c r="BG93" s="410">
        <v>50.0</v>
      </c>
      <c r="BH93" s="416"/>
      <c r="BI93" s="416"/>
      <c r="BJ93" s="416"/>
      <c r="BK93" s="416"/>
      <c r="BL93" s="416"/>
      <c r="BM93" s="416"/>
      <c r="BN93" s="282"/>
      <c r="BO93" s="509">
        <v>7.0</v>
      </c>
      <c r="BP93" s="482" t="s">
        <v>341</v>
      </c>
      <c r="BQ93" s="506">
        <f>IFERROR(__xludf.DUMMYFUNCTION("""COMPUTED_VALUE"""),46087.705555555556)</f>
        <v>46087.70556</v>
      </c>
      <c r="BR93" s="499">
        <f>IFERROR(__xludf.DUMMYFUNCTION("""COMPUTED_VALUE"""),179364.82)</f>
        <v>179364.82</v>
      </c>
      <c r="BS93" s="499">
        <v>-1099.0199999999895</v>
      </c>
      <c r="BT93" s="507">
        <v>-0.6089973481668065</v>
      </c>
      <c r="BU93" s="499">
        <f>IFERROR(__xludf.DUMMYFUNCTION("""COMPUTED_VALUE"""),-1099.0199999999895)</f>
        <v>-1099.02</v>
      </c>
      <c r="BV93" s="489"/>
      <c r="BW93" s="63"/>
      <c r="BX93" s="62"/>
      <c r="BY93" s="452"/>
      <c r="BZ93" s="452"/>
      <c r="CA93" s="452"/>
      <c r="CB93" s="452"/>
      <c r="CC93" s="452"/>
      <c r="CD93" s="452"/>
      <c r="CE93" s="452"/>
      <c r="CF93" s="452"/>
      <c r="CG93" s="452"/>
      <c r="CH93" s="422"/>
      <c r="CI93" s="422"/>
      <c r="CJ93" s="422"/>
      <c r="CK93" s="421"/>
      <c r="CL93" s="421" t="s">
        <v>123</v>
      </c>
      <c r="CM93" s="423"/>
      <c r="CN93" s="421"/>
      <c r="CO93" s="423"/>
      <c r="CP93" s="421"/>
      <c r="CQ93" s="63"/>
      <c r="CR93" s="63"/>
      <c r="CS93" s="63"/>
      <c r="CT93" s="63"/>
      <c r="CU93" s="447"/>
      <c r="CV93" s="447"/>
      <c r="CW93" s="447"/>
      <c r="CX93" s="447"/>
      <c r="CY93" s="447"/>
      <c r="CZ93" s="447"/>
      <c r="DA93" s="447"/>
      <c r="DB93" s="447"/>
      <c r="DC93" s="447"/>
      <c r="DD93" s="447"/>
      <c r="DE93" s="447"/>
      <c r="DF93" s="447"/>
      <c r="DG93" s="447"/>
      <c r="DH93" s="447"/>
      <c r="DI93" s="447"/>
      <c r="DJ93" s="447"/>
      <c r="DK93" s="447"/>
      <c r="DL93" s="67"/>
      <c r="DM93" s="67"/>
      <c r="DN93" s="67"/>
      <c r="DO93" s="67"/>
      <c r="DP93" s="67"/>
      <c r="DQ93" s="67"/>
    </row>
    <row r="94" ht="22.5" customHeight="1">
      <c r="A94" s="383"/>
      <c r="B94" s="384" t="str">
        <f>IFERROR(__xludf.DUMMYFUNCTION("IF(B$43="""","""",IF($AZ94="""","""",IFERROR(Query({CarteirasAtivos},""Select Col3 where Col1 = '""&amp;$AZ94&amp;""'and Col2 = '""&amp;S$21&amp;""'""))))"),"")</f>
        <v/>
      </c>
      <c r="C94" s="384" t="str">
        <f>IFERROR(__xludf.DUMMYFUNCTION("IF(C$43="""","""",IF($AZ94="""","""",IFERROR(Query({CarteirasAtivos},""Select Col3 where Col1 = '""&amp;$AZ94&amp;""'and Col2 = '""&amp;T$21&amp;""'""))))"),"")</f>
        <v/>
      </c>
      <c r="D94" s="384" t="str">
        <f>IFERROR(__xludf.DUMMYFUNCTION("IF(D$43="""","""",IF($AZ94="""","""",IFERROR(Query({CarteirasAtivos},""Select Col3 where Col1 = '""&amp;$AZ94&amp;""'and Col2 = '""&amp;U$21&amp;""'""))))"),"")</f>
        <v/>
      </c>
      <c r="E94" s="384" t="str">
        <f>IFERROR(__xludf.DUMMYFUNCTION("IF(E$43="""","""",IF($AZ94="""","""",IFERROR(Query({CarteirasAtivos},""Select Col3 where Col1 = '""&amp;$AZ94&amp;""'and Col2 = '""&amp;V$21&amp;""'""))))"),"")</f>
        <v/>
      </c>
      <c r="F94" s="384" t="str">
        <f>IFERROR(__xludf.DUMMYFUNCTION("IF(F$43="""","""",IF($AZ94="""","""",IFERROR(Query({CarteirasAtivos},""Select Col3 where Col1 = '""&amp;$AZ94&amp;""'and Col2 = '""&amp;W$21&amp;""'""))))"),"")</f>
        <v/>
      </c>
      <c r="G94" s="384" t="str">
        <f>IFERROR(__xludf.DUMMYFUNCTION("IF(G$43="""","""",IF($AZ94="""","""",IFERROR(Query({CarteirasAtivos},""Select Col3 where Col1 = '""&amp;$AZ94&amp;""'and Col2 = '""&amp;X$21&amp;""'""))))"),"")</f>
        <v/>
      </c>
      <c r="H94" s="384" t="str">
        <f>IFERROR(__xludf.DUMMYFUNCTION("IF(H$43="""","""",IF($AZ94="""","""",IFERROR(Query({CarteirasAtivos},""Select Col3 where Col1 = '""&amp;$AZ94&amp;""'and Col2 = '""&amp;Y$21&amp;""'""))))"),"")</f>
        <v/>
      </c>
      <c r="I94" s="384" t="str">
        <f>IFERROR(__xludf.DUMMYFUNCTION("IF(I$43="""","""",IF($AZ94="""","""",IFERROR(Query({CarteirasAtivos},""Select Col3 where Col1 = '""&amp;$AZ94&amp;""'and Col2 = '""&amp;Z$21&amp;""'""))))"),"")</f>
        <v/>
      </c>
      <c r="J94" s="384" t="str">
        <f>IFERROR(__xludf.DUMMYFUNCTION("IF(J$43="""","""",IF($AZ94="""","""",IFERROR(Query({CarteirasAtivos},""Select Col3 where Col1 = '""&amp;$AZ94&amp;""'and Col2 = '""&amp;AA$21&amp;""'""))))"),"")</f>
        <v/>
      </c>
      <c r="K94" s="384" t="str">
        <f>IFERROR(__xludf.DUMMYFUNCTION("IF(K$43="""","""",IF($AZ94="""","""",IFERROR(Query({CarteirasAtivos},""Select Col3 where Col1 = '""&amp;$AZ94&amp;""'and Col2 = '""&amp;AB$21&amp;""'""))))"),"")</f>
        <v/>
      </c>
      <c r="L94" s="385">
        <v>51.0</v>
      </c>
      <c r="M94" s="503"/>
      <c r="N94" s="387"/>
      <c r="O94" s="388" t="s">
        <v>123</v>
      </c>
      <c r="P94" s="389"/>
      <c r="Q94" s="390"/>
      <c r="R94" s="391"/>
      <c r="S94" s="392"/>
      <c r="T94" s="393"/>
      <c r="U94" s="393"/>
      <c r="V94" s="394"/>
      <c r="W94" s="395" t="str">
        <f>IFERROR(__xludf.DUMMYFUNCTION("IF(M94="""","""",sparkline(IFERROR(BF94*100/MAX($BF$44:$BF$153),0),{""charttype"",""bar"";""max"",100;""color1"",IF(BD94&gt;=0,""#4760a5"",""red"")}))"),"")</f>
        <v/>
      </c>
      <c r="X94" s="396"/>
      <c r="Y94" s="466"/>
      <c r="Z94" s="398"/>
      <c r="AA94" s="399"/>
      <c r="AB94" s="393"/>
      <c r="AC94" s="476"/>
      <c r="AD94" s="401"/>
      <c r="AE94" s="402"/>
      <c r="AF94" s="403"/>
      <c r="AG94" s="404" t="str">
        <f>IFERROR(__xludf.DUMMYFUNCTION("IF($M94="""","""",IFERROR(sparkline(query(GOOGLEFINANCE($AZ94,""price"",TODAY()-$AF$43,TODAY(),1),""select Col2 label Col2 ''""),IF($AG$43=""Gráfico de barras"",{""charttype"",""column"";""highcolor"",""red""},{""chartype"",""line""}))))"),"")</f>
        <v/>
      </c>
      <c r="AH94" s="405"/>
      <c r="AI94" s="467"/>
      <c r="AJ94" s="467"/>
      <c r="AK94" s="467"/>
      <c r="AL94" s="467"/>
      <c r="AM94" s="442"/>
      <c r="AN94" s="56"/>
      <c r="AU94" s="281"/>
      <c r="AV94" s="281"/>
      <c r="AW94" s="281"/>
      <c r="AX94" s="281"/>
      <c r="AY94" s="410">
        <v>51.0</v>
      </c>
      <c r="AZ94" s="411"/>
      <c r="BA94" s="411"/>
      <c r="BB94" s="437"/>
      <c r="BC94" s="437"/>
      <c r="BD94" s="437"/>
      <c r="BE94" s="437"/>
      <c r="BF94" s="415" t="s">
        <v>123</v>
      </c>
      <c r="BG94" s="410">
        <v>51.0</v>
      </c>
      <c r="BH94" s="416"/>
      <c r="BI94" s="416"/>
      <c r="BJ94" s="416"/>
      <c r="BK94" s="416"/>
      <c r="BL94" s="416"/>
      <c r="BM94" s="416"/>
      <c r="BN94" s="282"/>
      <c r="BO94" s="509">
        <v>8.0</v>
      </c>
      <c r="BP94" s="482" t="s">
        <v>342</v>
      </c>
      <c r="BQ94" s="506">
        <f>IFERROR(__xludf.DUMMYFUNCTION("""COMPUTED_VALUE"""),46090.705555555556)</f>
        <v>46090.70556</v>
      </c>
      <c r="BR94" s="499">
        <f>IFERROR(__xludf.DUMMYFUNCTION("""COMPUTED_VALUE"""),180915.36)</f>
        <v>180915.36</v>
      </c>
      <c r="BS94" s="499">
        <v>1550.539999999979</v>
      </c>
      <c r="BT94" s="507">
        <v>0.8644616040090591</v>
      </c>
      <c r="BU94" s="499">
        <f>IFERROR(__xludf.DUMMYFUNCTION("""COMPUTED_VALUE"""),1550.539999999979)</f>
        <v>1550.54</v>
      </c>
      <c r="BV94" s="489"/>
      <c r="BW94" s="63"/>
      <c r="BX94" s="62"/>
      <c r="BY94" s="452"/>
      <c r="BZ94" s="452"/>
      <c r="CA94" s="452"/>
      <c r="CB94" s="452"/>
      <c r="CC94" s="452"/>
      <c r="CD94" s="452"/>
      <c r="CE94" s="452"/>
      <c r="CF94" s="452"/>
      <c r="CG94" s="452"/>
      <c r="CH94" s="422"/>
      <c r="CI94" s="422"/>
      <c r="CJ94" s="422"/>
      <c r="CK94" s="421"/>
      <c r="CL94" s="421" t="s">
        <v>123</v>
      </c>
      <c r="CM94" s="423"/>
      <c r="CN94" s="421"/>
      <c r="CO94" s="423"/>
      <c r="CP94" s="421"/>
      <c r="CQ94" s="63"/>
      <c r="CR94" s="63"/>
      <c r="CS94" s="63"/>
      <c r="CT94" s="63"/>
      <c r="CU94" s="447"/>
      <c r="CV94" s="447"/>
      <c r="CW94" s="447"/>
      <c r="CX94" s="447"/>
      <c r="CY94" s="447"/>
      <c r="CZ94" s="447"/>
      <c r="DA94" s="447"/>
      <c r="DB94" s="447"/>
      <c r="DC94" s="447"/>
      <c r="DD94" s="447"/>
      <c r="DE94" s="447"/>
      <c r="DF94" s="447"/>
      <c r="DG94" s="447"/>
      <c r="DH94" s="447"/>
      <c r="DI94" s="447"/>
      <c r="DJ94" s="447"/>
      <c r="DK94" s="447"/>
      <c r="DL94" s="67"/>
      <c r="DM94" s="67"/>
      <c r="DN94" s="67"/>
      <c r="DO94" s="67"/>
      <c r="DP94" s="67"/>
      <c r="DQ94" s="67"/>
    </row>
    <row r="95" ht="22.5" customHeight="1">
      <c r="A95" s="383"/>
      <c r="B95" s="384" t="str">
        <f>IFERROR(__xludf.DUMMYFUNCTION("IF(B$43="""","""",IF($AZ95="""","""",IFERROR(Query({CarteirasAtivos},""Select Col3 where Col1 = '""&amp;$AZ95&amp;""'and Col2 = '""&amp;S$21&amp;""'""))))"),"")</f>
        <v/>
      </c>
      <c r="C95" s="384" t="str">
        <f>IFERROR(__xludf.DUMMYFUNCTION("IF(C$43="""","""",IF($AZ95="""","""",IFERROR(Query({CarteirasAtivos},""Select Col3 where Col1 = '""&amp;$AZ95&amp;""'and Col2 = '""&amp;T$21&amp;""'""))))"),"")</f>
        <v/>
      </c>
      <c r="D95" s="384" t="str">
        <f>IFERROR(__xludf.DUMMYFUNCTION("IF(D$43="""","""",IF($AZ95="""","""",IFERROR(Query({CarteirasAtivos},""Select Col3 where Col1 = '""&amp;$AZ95&amp;""'and Col2 = '""&amp;U$21&amp;""'""))))"),"")</f>
        <v/>
      </c>
      <c r="E95" s="384" t="str">
        <f>IFERROR(__xludf.DUMMYFUNCTION("IF(E$43="""","""",IF($AZ95="""","""",IFERROR(Query({CarteirasAtivos},""Select Col3 where Col1 = '""&amp;$AZ95&amp;""'and Col2 = '""&amp;V$21&amp;""'""))))"),"")</f>
        <v/>
      </c>
      <c r="F95" s="384" t="str">
        <f>IFERROR(__xludf.DUMMYFUNCTION("IF(F$43="""","""",IF($AZ95="""","""",IFERROR(Query({CarteirasAtivos},""Select Col3 where Col1 = '""&amp;$AZ95&amp;""'and Col2 = '""&amp;W$21&amp;""'""))))"),"")</f>
        <v/>
      </c>
      <c r="G95" s="384" t="str">
        <f>IFERROR(__xludf.DUMMYFUNCTION("IF(G$43="""","""",IF($AZ95="""","""",IFERROR(Query({CarteirasAtivos},""Select Col3 where Col1 = '""&amp;$AZ95&amp;""'and Col2 = '""&amp;X$21&amp;""'""))))"),"")</f>
        <v/>
      </c>
      <c r="H95" s="384" t="str">
        <f>IFERROR(__xludf.DUMMYFUNCTION("IF(H$43="""","""",IF($AZ95="""","""",IFERROR(Query({CarteirasAtivos},""Select Col3 where Col1 = '""&amp;$AZ95&amp;""'and Col2 = '""&amp;Y$21&amp;""'""))))"),"")</f>
        <v/>
      </c>
      <c r="I95" s="384" t="str">
        <f>IFERROR(__xludf.DUMMYFUNCTION("IF(I$43="""","""",IF($AZ95="""","""",IFERROR(Query({CarteirasAtivos},""Select Col3 where Col1 = '""&amp;$AZ95&amp;""'and Col2 = '""&amp;Z$21&amp;""'""))))"),"")</f>
        <v/>
      </c>
      <c r="J95" s="384" t="str">
        <f>IFERROR(__xludf.DUMMYFUNCTION("IF(J$43="""","""",IF($AZ95="""","""",IFERROR(Query({CarteirasAtivos},""Select Col3 where Col1 = '""&amp;$AZ95&amp;""'and Col2 = '""&amp;AA$21&amp;""'""))))"),"")</f>
        <v/>
      </c>
      <c r="K95" s="384" t="str">
        <f>IFERROR(__xludf.DUMMYFUNCTION("IF(K$43="""","""",IF($AZ95="""","""",IFERROR(Query({CarteirasAtivos},""Select Col3 where Col1 = '""&amp;$AZ95&amp;""'and Col2 = '""&amp;AB$21&amp;""'""))))"),"")</f>
        <v/>
      </c>
      <c r="L95" s="385">
        <v>52.0</v>
      </c>
      <c r="M95" s="503"/>
      <c r="N95" s="387"/>
      <c r="O95" s="388" t="s">
        <v>123</v>
      </c>
      <c r="P95" s="389"/>
      <c r="Q95" s="390"/>
      <c r="R95" s="391"/>
      <c r="S95" s="392"/>
      <c r="T95" s="393"/>
      <c r="U95" s="393"/>
      <c r="V95" s="394"/>
      <c r="W95" s="395" t="str">
        <f>IFERROR(__xludf.DUMMYFUNCTION("IF(M95="""","""",sparkline(IFERROR(BF95*100/MAX($BF$44:$BF$153),0),{""charttype"",""bar"";""max"",100;""color1"",IF(BD95&gt;=0,""#4760a5"",""red"")}))"),"")</f>
        <v/>
      </c>
      <c r="X95" s="396"/>
      <c r="Y95" s="466"/>
      <c r="Z95" s="398"/>
      <c r="AA95" s="399"/>
      <c r="AB95" s="393"/>
      <c r="AC95" s="476"/>
      <c r="AD95" s="401"/>
      <c r="AE95" s="402"/>
      <c r="AF95" s="403"/>
      <c r="AG95" s="404" t="str">
        <f>IFERROR(__xludf.DUMMYFUNCTION("IF($M95="""","""",IFERROR(sparkline(query(GOOGLEFINANCE($AZ95,""price"",TODAY()-$AF$43,TODAY(),1),""select Col2 label Col2 ''""),IF($AG$43=""Gráfico de barras"",{""charttype"",""column"";""highcolor"",""red""},{""chartype"",""line""}))))"),"")</f>
        <v/>
      </c>
      <c r="AH95" s="405"/>
      <c r="AI95" s="467"/>
      <c r="AJ95" s="467"/>
      <c r="AK95" s="467"/>
      <c r="AL95" s="467"/>
      <c r="AM95" s="442"/>
      <c r="AN95" s="56"/>
      <c r="AU95" s="281"/>
      <c r="AV95" s="281"/>
      <c r="AW95" s="281"/>
      <c r="AX95" s="281"/>
      <c r="AY95" s="410">
        <v>52.0</v>
      </c>
      <c r="AZ95" s="411"/>
      <c r="BA95" s="411"/>
      <c r="BB95" s="437"/>
      <c r="BC95" s="437"/>
      <c r="BD95" s="437"/>
      <c r="BE95" s="437"/>
      <c r="BF95" s="415" t="s">
        <v>123</v>
      </c>
      <c r="BG95" s="410">
        <v>52.0</v>
      </c>
      <c r="BH95" s="416"/>
      <c r="BI95" s="416"/>
      <c r="BJ95" s="416"/>
      <c r="BK95" s="416"/>
      <c r="BL95" s="416"/>
      <c r="BM95" s="416"/>
      <c r="BN95" s="282"/>
      <c r="BO95" s="509">
        <v>9.0</v>
      </c>
      <c r="BP95" s="482" t="s">
        <v>343</v>
      </c>
      <c r="BQ95" s="506">
        <f>IFERROR(__xludf.DUMMYFUNCTION("""COMPUTED_VALUE"""),46091.705555555556)</f>
        <v>46091.70556</v>
      </c>
      <c r="BR95" s="499">
        <f>IFERROR(__xludf.DUMMYFUNCTION("""COMPUTED_VALUE"""),183447.0)</f>
        <v>183447</v>
      </c>
      <c r="BS95" s="499">
        <v>2531.640000000014</v>
      </c>
      <c r="BT95" s="507">
        <v>1.3993505029092246</v>
      </c>
      <c r="BU95" s="499">
        <f>IFERROR(__xludf.DUMMYFUNCTION("""COMPUTED_VALUE"""),2531.640000000014)</f>
        <v>2531.64</v>
      </c>
      <c r="BV95" s="489"/>
      <c r="BW95" s="63"/>
      <c r="BX95" s="62"/>
      <c r="BY95" s="452"/>
      <c r="BZ95" s="452"/>
      <c r="CA95" s="452"/>
      <c r="CB95" s="452"/>
      <c r="CC95" s="452"/>
      <c r="CD95" s="452"/>
      <c r="CE95" s="452"/>
      <c r="CF95" s="452"/>
      <c r="CG95" s="452"/>
      <c r="CH95" s="422"/>
      <c r="CI95" s="422"/>
      <c r="CJ95" s="422"/>
      <c r="CK95" s="421"/>
      <c r="CL95" s="421" t="s">
        <v>123</v>
      </c>
      <c r="CM95" s="423"/>
      <c r="CN95" s="421"/>
      <c r="CO95" s="423"/>
      <c r="CP95" s="421"/>
      <c r="CQ95" s="63"/>
      <c r="CR95" s="63"/>
      <c r="CS95" s="63"/>
      <c r="CT95" s="63"/>
      <c r="CU95" s="447"/>
      <c r="CV95" s="447"/>
      <c r="CW95" s="447"/>
      <c r="CX95" s="447"/>
      <c r="CY95" s="447"/>
      <c r="CZ95" s="447"/>
      <c r="DA95" s="447"/>
      <c r="DB95" s="447"/>
      <c r="DC95" s="447"/>
      <c r="DD95" s="447"/>
      <c r="DE95" s="447"/>
      <c r="DF95" s="447"/>
      <c r="DG95" s="447"/>
      <c r="DH95" s="447"/>
      <c r="DI95" s="447"/>
      <c r="DJ95" s="447"/>
      <c r="DK95" s="447"/>
      <c r="DL95" s="67"/>
      <c r="DM95" s="67"/>
      <c r="DN95" s="67"/>
      <c r="DO95" s="67"/>
      <c r="DP95" s="67"/>
      <c r="DQ95" s="67"/>
    </row>
    <row r="96" ht="22.5" customHeight="1">
      <c r="A96" s="383"/>
      <c r="B96" s="384" t="str">
        <f>IFERROR(__xludf.DUMMYFUNCTION("IF(B$43="""","""",IF($AZ96="""","""",IFERROR(Query({CarteirasAtivos},""Select Col3 where Col1 = '""&amp;$AZ96&amp;""'and Col2 = '""&amp;S$21&amp;""'""))))"),"")</f>
        <v/>
      </c>
      <c r="C96" s="384" t="str">
        <f>IFERROR(__xludf.DUMMYFUNCTION("IF(C$43="""","""",IF($AZ96="""","""",IFERROR(Query({CarteirasAtivos},""Select Col3 where Col1 = '""&amp;$AZ96&amp;""'and Col2 = '""&amp;T$21&amp;""'""))))"),"")</f>
        <v/>
      </c>
      <c r="D96" s="384" t="str">
        <f>IFERROR(__xludf.DUMMYFUNCTION("IF(D$43="""","""",IF($AZ96="""","""",IFERROR(Query({CarteirasAtivos},""Select Col3 where Col1 = '""&amp;$AZ96&amp;""'and Col2 = '""&amp;U$21&amp;""'""))))"),"")</f>
        <v/>
      </c>
      <c r="E96" s="384" t="str">
        <f>IFERROR(__xludf.DUMMYFUNCTION("IF(E$43="""","""",IF($AZ96="""","""",IFERROR(Query({CarteirasAtivos},""Select Col3 where Col1 = '""&amp;$AZ96&amp;""'and Col2 = '""&amp;V$21&amp;""'""))))"),"")</f>
        <v/>
      </c>
      <c r="F96" s="384" t="str">
        <f>IFERROR(__xludf.DUMMYFUNCTION("IF(F$43="""","""",IF($AZ96="""","""",IFERROR(Query({CarteirasAtivos},""Select Col3 where Col1 = '""&amp;$AZ96&amp;""'and Col2 = '""&amp;W$21&amp;""'""))))"),"")</f>
        <v/>
      </c>
      <c r="G96" s="384" t="str">
        <f>IFERROR(__xludf.DUMMYFUNCTION("IF(G$43="""","""",IF($AZ96="""","""",IFERROR(Query({CarteirasAtivos},""Select Col3 where Col1 = '""&amp;$AZ96&amp;""'and Col2 = '""&amp;X$21&amp;""'""))))"),"")</f>
        <v/>
      </c>
      <c r="H96" s="384" t="str">
        <f>IFERROR(__xludf.DUMMYFUNCTION("IF(H$43="""","""",IF($AZ96="""","""",IFERROR(Query({CarteirasAtivos},""Select Col3 where Col1 = '""&amp;$AZ96&amp;""'and Col2 = '""&amp;Y$21&amp;""'""))))"),"")</f>
        <v/>
      </c>
      <c r="I96" s="384" t="str">
        <f>IFERROR(__xludf.DUMMYFUNCTION("IF(I$43="""","""",IF($AZ96="""","""",IFERROR(Query({CarteirasAtivos},""Select Col3 where Col1 = '""&amp;$AZ96&amp;""'and Col2 = '""&amp;Z$21&amp;""'""))))"),"")</f>
        <v/>
      </c>
      <c r="J96" s="384" t="str">
        <f>IFERROR(__xludf.DUMMYFUNCTION("IF(J$43="""","""",IF($AZ96="""","""",IFERROR(Query({CarteirasAtivos},""Select Col3 where Col1 = '""&amp;$AZ96&amp;""'and Col2 = '""&amp;AA$21&amp;""'""))))"),"")</f>
        <v/>
      </c>
      <c r="K96" s="384" t="str">
        <f>IFERROR(__xludf.DUMMYFUNCTION("IF(K$43="""","""",IF($AZ96="""","""",IFERROR(Query({CarteirasAtivos},""Select Col3 where Col1 = '""&amp;$AZ96&amp;""'and Col2 = '""&amp;AB$21&amp;""'""))))"),"")</f>
        <v/>
      </c>
      <c r="L96" s="385">
        <v>53.0</v>
      </c>
      <c r="M96" s="503"/>
      <c r="N96" s="387"/>
      <c r="O96" s="388" t="s">
        <v>123</v>
      </c>
      <c r="P96" s="389"/>
      <c r="Q96" s="390"/>
      <c r="R96" s="391"/>
      <c r="S96" s="392"/>
      <c r="T96" s="393"/>
      <c r="U96" s="393"/>
      <c r="V96" s="394"/>
      <c r="W96" s="395" t="str">
        <f>IFERROR(__xludf.DUMMYFUNCTION("IF(M96="""","""",sparkline(IFERROR(BF96*100/MAX($BF$44:$BF$153),0),{""charttype"",""bar"";""max"",100;""color1"",IF(BD96&gt;=0,""#4760a5"",""red"")}))"),"")</f>
        <v/>
      </c>
      <c r="X96" s="396"/>
      <c r="Y96" s="466"/>
      <c r="Z96" s="398"/>
      <c r="AA96" s="399"/>
      <c r="AB96" s="393"/>
      <c r="AC96" s="476"/>
      <c r="AD96" s="401"/>
      <c r="AE96" s="402"/>
      <c r="AF96" s="403"/>
      <c r="AG96" s="404" t="str">
        <f>IFERROR(__xludf.DUMMYFUNCTION("IF($M96="""","""",IFERROR(sparkline(query(GOOGLEFINANCE($AZ96,""price"",TODAY()-$AF$43,TODAY(),1),""select Col2 label Col2 ''""),IF($AG$43=""Gráfico de barras"",{""charttype"",""column"";""highcolor"",""red""},{""chartype"",""line""}))))"),"")</f>
        <v/>
      </c>
      <c r="AH96" s="405"/>
      <c r="AI96" s="467"/>
      <c r="AJ96" s="467"/>
      <c r="AK96" s="467"/>
      <c r="AL96" s="467"/>
      <c r="AM96" s="442"/>
      <c r="AN96" s="56"/>
      <c r="AU96" s="281"/>
      <c r="AV96" s="281"/>
      <c r="AW96" s="281"/>
      <c r="AX96" s="281"/>
      <c r="AY96" s="410">
        <v>53.0</v>
      </c>
      <c r="AZ96" s="411"/>
      <c r="BA96" s="411"/>
      <c r="BB96" s="437"/>
      <c r="BC96" s="437"/>
      <c r="BD96" s="437"/>
      <c r="BE96" s="437"/>
      <c r="BF96" s="415" t="s">
        <v>123</v>
      </c>
      <c r="BG96" s="410">
        <v>53.0</v>
      </c>
      <c r="BH96" s="416"/>
      <c r="BI96" s="416"/>
      <c r="BJ96" s="416"/>
      <c r="BK96" s="416"/>
      <c r="BL96" s="416"/>
      <c r="BM96" s="416"/>
      <c r="BN96" s="282"/>
      <c r="BO96" s="509">
        <v>10.0</v>
      </c>
      <c r="BP96" s="482" t="s">
        <v>344</v>
      </c>
      <c r="BQ96" s="506">
        <f>IFERROR(__xludf.DUMMYFUNCTION("""COMPUTED_VALUE"""),46092.705555555556)</f>
        <v>46092.70556</v>
      </c>
      <c r="BR96" s="499">
        <f>IFERROR(__xludf.DUMMYFUNCTION("""COMPUTED_VALUE"""),183969.35)</f>
        <v>183969.35</v>
      </c>
      <c r="BS96" s="499">
        <v>522.3500000000058</v>
      </c>
      <c r="BT96" s="507">
        <v>0.2847416420001414</v>
      </c>
      <c r="BU96" s="499">
        <f>IFERROR(__xludf.DUMMYFUNCTION("""COMPUTED_VALUE"""),522.3500000000058)</f>
        <v>522.35</v>
      </c>
      <c r="BV96" s="489"/>
      <c r="BW96" s="63"/>
      <c r="BX96" s="62"/>
      <c r="BY96" s="452"/>
      <c r="BZ96" s="452"/>
      <c r="CA96" s="452"/>
      <c r="CB96" s="452"/>
      <c r="CC96" s="452"/>
      <c r="CD96" s="452"/>
      <c r="CE96" s="452"/>
      <c r="CF96" s="452"/>
      <c r="CG96" s="452"/>
      <c r="CH96" s="422"/>
      <c r="CI96" s="422"/>
      <c r="CJ96" s="422"/>
      <c r="CK96" s="421"/>
      <c r="CL96" s="421" t="s">
        <v>123</v>
      </c>
      <c r="CM96" s="423"/>
      <c r="CN96" s="421"/>
      <c r="CO96" s="423"/>
      <c r="CP96" s="421"/>
      <c r="CQ96" s="63"/>
      <c r="CR96" s="63"/>
      <c r="CS96" s="63"/>
      <c r="CT96" s="63"/>
      <c r="CU96" s="447"/>
      <c r="CV96" s="447"/>
      <c r="CW96" s="447"/>
      <c r="CX96" s="447"/>
      <c r="CY96" s="447"/>
      <c r="CZ96" s="447"/>
      <c r="DA96" s="447"/>
      <c r="DB96" s="447"/>
      <c r="DC96" s="447"/>
      <c r="DD96" s="447"/>
      <c r="DE96" s="447"/>
      <c r="DF96" s="447"/>
      <c r="DG96" s="447"/>
      <c r="DH96" s="447"/>
      <c r="DI96" s="447"/>
      <c r="DJ96" s="447"/>
      <c r="DK96" s="447"/>
      <c r="DL96" s="67"/>
      <c r="DM96" s="67"/>
      <c r="DN96" s="67"/>
      <c r="DO96" s="67"/>
      <c r="DP96" s="67"/>
      <c r="DQ96" s="67"/>
    </row>
    <row r="97" ht="22.5" customHeight="1">
      <c r="A97" s="383"/>
      <c r="B97" s="384" t="str">
        <f>IFERROR(__xludf.DUMMYFUNCTION("IF(B$43="""","""",IF($AZ97="""","""",IFERROR(Query({CarteirasAtivos},""Select Col3 where Col1 = '""&amp;$AZ97&amp;""'and Col2 = '""&amp;S$21&amp;""'""))))"),"")</f>
        <v/>
      </c>
      <c r="C97" s="384" t="str">
        <f>IFERROR(__xludf.DUMMYFUNCTION("IF(C$43="""","""",IF($AZ97="""","""",IFERROR(Query({CarteirasAtivos},""Select Col3 where Col1 = '""&amp;$AZ97&amp;""'and Col2 = '""&amp;T$21&amp;""'""))))"),"")</f>
        <v/>
      </c>
      <c r="D97" s="384" t="str">
        <f>IFERROR(__xludf.DUMMYFUNCTION("IF(D$43="""","""",IF($AZ97="""","""",IFERROR(Query({CarteirasAtivos},""Select Col3 where Col1 = '""&amp;$AZ97&amp;""'and Col2 = '""&amp;U$21&amp;""'""))))"),"")</f>
        <v/>
      </c>
      <c r="E97" s="384" t="str">
        <f>IFERROR(__xludf.DUMMYFUNCTION("IF(E$43="""","""",IF($AZ97="""","""",IFERROR(Query({CarteirasAtivos},""Select Col3 where Col1 = '""&amp;$AZ97&amp;""'and Col2 = '""&amp;V$21&amp;""'""))))"),"")</f>
        <v/>
      </c>
      <c r="F97" s="384" t="str">
        <f>IFERROR(__xludf.DUMMYFUNCTION("IF(F$43="""","""",IF($AZ97="""","""",IFERROR(Query({CarteirasAtivos},""Select Col3 where Col1 = '""&amp;$AZ97&amp;""'and Col2 = '""&amp;W$21&amp;""'""))))"),"")</f>
        <v/>
      </c>
      <c r="G97" s="384" t="str">
        <f>IFERROR(__xludf.DUMMYFUNCTION("IF(G$43="""","""",IF($AZ97="""","""",IFERROR(Query({CarteirasAtivos},""Select Col3 where Col1 = '""&amp;$AZ97&amp;""'and Col2 = '""&amp;X$21&amp;""'""))))"),"")</f>
        <v/>
      </c>
      <c r="H97" s="384" t="str">
        <f>IFERROR(__xludf.DUMMYFUNCTION("IF(H$43="""","""",IF($AZ97="""","""",IFERROR(Query({CarteirasAtivos},""Select Col3 where Col1 = '""&amp;$AZ97&amp;""'and Col2 = '""&amp;Y$21&amp;""'""))))"),"")</f>
        <v/>
      </c>
      <c r="I97" s="384" t="str">
        <f>IFERROR(__xludf.DUMMYFUNCTION("IF(I$43="""","""",IF($AZ97="""","""",IFERROR(Query({CarteirasAtivos},""Select Col3 where Col1 = '""&amp;$AZ97&amp;""'and Col2 = '""&amp;Z$21&amp;""'""))))"),"")</f>
        <v/>
      </c>
      <c r="J97" s="384" t="str">
        <f>IFERROR(__xludf.DUMMYFUNCTION("IF(J$43="""","""",IF($AZ97="""","""",IFERROR(Query({CarteirasAtivos},""Select Col3 where Col1 = '""&amp;$AZ97&amp;""'and Col2 = '""&amp;AA$21&amp;""'""))))"),"")</f>
        <v/>
      </c>
      <c r="K97" s="384" t="str">
        <f>IFERROR(__xludf.DUMMYFUNCTION("IF(K$43="""","""",IF($AZ97="""","""",IFERROR(Query({CarteirasAtivos},""Select Col3 where Col1 = '""&amp;$AZ97&amp;""'and Col2 = '""&amp;AB$21&amp;""'""))))"),"")</f>
        <v/>
      </c>
      <c r="L97" s="385">
        <v>54.0</v>
      </c>
      <c r="M97" s="503"/>
      <c r="N97" s="387"/>
      <c r="O97" s="388" t="s">
        <v>123</v>
      </c>
      <c r="P97" s="389"/>
      <c r="Q97" s="390"/>
      <c r="R97" s="391"/>
      <c r="S97" s="392"/>
      <c r="T97" s="393"/>
      <c r="U97" s="393"/>
      <c r="V97" s="394"/>
      <c r="W97" s="395" t="str">
        <f>IFERROR(__xludf.DUMMYFUNCTION("IF(M97="""","""",sparkline(IFERROR(BF97*100/MAX($BF$44:$BF$153),0),{""charttype"",""bar"";""max"",100;""color1"",IF(BD97&gt;=0,""#4760a5"",""red"")}))"),"")</f>
        <v/>
      </c>
      <c r="X97" s="396"/>
      <c r="Y97" s="466"/>
      <c r="Z97" s="398"/>
      <c r="AA97" s="399"/>
      <c r="AB97" s="393"/>
      <c r="AC97" s="476"/>
      <c r="AD97" s="401"/>
      <c r="AE97" s="402"/>
      <c r="AF97" s="403"/>
      <c r="AG97" s="404" t="str">
        <f>IFERROR(__xludf.DUMMYFUNCTION("IF($M97="""","""",IFERROR(sparkline(query(GOOGLEFINANCE($AZ97,""price"",TODAY()-$AF$43,TODAY(),1),""select Col2 label Col2 ''""),IF($AG$43=""Gráfico de barras"",{""charttype"",""column"";""highcolor"",""red""},{""chartype"",""line""}))))"),"")</f>
        <v/>
      </c>
      <c r="AH97" s="405"/>
      <c r="AI97" s="467"/>
      <c r="AJ97" s="467"/>
      <c r="AK97" s="467"/>
      <c r="AL97" s="467"/>
      <c r="AM97" s="442"/>
      <c r="AN97" s="56"/>
      <c r="AU97" s="281"/>
      <c r="AV97" s="281"/>
      <c r="AW97" s="281"/>
      <c r="AX97" s="281"/>
      <c r="AY97" s="410">
        <v>54.0</v>
      </c>
      <c r="AZ97" s="411"/>
      <c r="BA97" s="411"/>
      <c r="BB97" s="437"/>
      <c r="BC97" s="437"/>
      <c r="BD97" s="437"/>
      <c r="BE97" s="437"/>
      <c r="BF97" s="415" t="s">
        <v>123</v>
      </c>
      <c r="BG97" s="410">
        <v>54.0</v>
      </c>
      <c r="BH97" s="416"/>
      <c r="BI97" s="416"/>
      <c r="BJ97" s="416"/>
      <c r="BK97" s="416"/>
      <c r="BL97" s="416"/>
      <c r="BM97" s="416"/>
      <c r="BN97" s="282"/>
      <c r="BO97" s="510"/>
      <c r="BP97" s="505" t="s">
        <v>344</v>
      </c>
      <c r="BQ97" s="506">
        <f>IFERROR(__xludf.DUMMYFUNCTION("""COMPUTED_VALUE"""),46092.0)</f>
        <v>46092</v>
      </c>
      <c r="BR97" s="499">
        <f>IFERROR(__xludf.DUMMYFUNCTION("""COMPUTED_VALUE"""),183969.34)</f>
        <v>183969.34</v>
      </c>
      <c r="BS97" s="499">
        <v>-0.010000000009313226</v>
      </c>
      <c r="BT97" s="507">
        <v>-5.435688066324218E-6</v>
      </c>
      <c r="BU97" s="508"/>
      <c r="BV97" s="489"/>
      <c r="BW97" s="63"/>
      <c r="BX97" s="62"/>
      <c r="BY97" s="452"/>
      <c r="BZ97" s="452"/>
      <c r="CA97" s="452"/>
      <c r="CB97" s="452"/>
      <c r="CC97" s="452"/>
      <c r="CD97" s="452"/>
      <c r="CE97" s="452"/>
      <c r="CF97" s="452"/>
      <c r="CG97" s="452"/>
      <c r="CH97" s="422"/>
      <c r="CI97" s="422"/>
      <c r="CJ97" s="422"/>
      <c r="CK97" s="421"/>
      <c r="CL97" s="421" t="s">
        <v>123</v>
      </c>
      <c r="CM97" s="423"/>
      <c r="CN97" s="421"/>
      <c r="CO97" s="423"/>
      <c r="CP97" s="421"/>
      <c r="CQ97" s="63"/>
      <c r="CR97" s="63"/>
      <c r="CS97" s="63"/>
      <c r="CT97" s="63"/>
      <c r="CU97" s="447"/>
      <c r="CV97" s="447"/>
      <c r="CW97" s="447"/>
      <c r="CX97" s="447"/>
      <c r="CY97" s="447"/>
      <c r="CZ97" s="447"/>
      <c r="DA97" s="447"/>
      <c r="DB97" s="447"/>
      <c r="DC97" s="447"/>
      <c r="DD97" s="447"/>
      <c r="DE97" s="447"/>
      <c r="DF97" s="447"/>
      <c r="DG97" s="447"/>
      <c r="DH97" s="447"/>
      <c r="DI97" s="447"/>
      <c r="DJ97" s="447"/>
      <c r="DK97" s="447"/>
      <c r="DL97" s="67"/>
      <c r="DM97" s="67"/>
      <c r="DN97" s="67"/>
      <c r="DO97" s="67"/>
      <c r="DP97" s="67"/>
      <c r="DQ97" s="67"/>
    </row>
    <row r="98" ht="22.5" customHeight="1">
      <c r="A98" s="383"/>
      <c r="B98" s="384" t="str">
        <f>IFERROR(__xludf.DUMMYFUNCTION("IF(B$43="""","""",IF($AZ98="""","""",IFERROR(Query({CarteirasAtivos},""Select Col3 where Col1 = '""&amp;$AZ98&amp;""'and Col2 = '""&amp;S$21&amp;""'""))))"),"")</f>
        <v/>
      </c>
      <c r="C98" s="384" t="str">
        <f>IFERROR(__xludf.DUMMYFUNCTION("IF(C$43="""","""",IF($AZ98="""","""",IFERROR(Query({CarteirasAtivos},""Select Col3 where Col1 = '""&amp;$AZ98&amp;""'and Col2 = '""&amp;T$21&amp;""'""))))"),"")</f>
        <v/>
      </c>
      <c r="D98" s="384" t="str">
        <f>IFERROR(__xludf.DUMMYFUNCTION("IF(D$43="""","""",IF($AZ98="""","""",IFERROR(Query({CarteirasAtivos},""Select Col3 where Col1 = '""&amp;$AZ98&amp;""'and Col2 = '""&amp;U$21&amp;""'""))))"),"")</f>
        <v/>
      </c>
      <c r="E98" s="384" t="str">
        <f>IFERROR(__xludf.DUMMYFUNCTION("IF(E$43="""","""",IF($AZ98="""","""",IFERROR(Query({CarteirasAtivos},""Select Col3 where Col1 = '""&amp;$AZ98&amp;""'and Col2 = '""&amp;V$21&amp;""'""))))"),"")</f>
        <v/>
      </c>
      <c r="F98" s="384" t="str">
        <f>IFERROR(__xludf.DUMMYFUNCTION("IF(F$43="""","""",IF($AZ98="""","""",IFERROR(Query({CarteirasAtivos},""Select Col3 where Col1 = '""&amp;$AZ98&amp;""'and Col2 = '""&amp;W$21&amp;""'""))))"),"")</f>
        <v/>
      </c>
      <c r="G98" s="384" t="str">
        <f>IFERROR(__xludf.DUMMYFUNCTION("IF(G$43="""","""",IF($AZ98="""","""",IFERROR(Query({CarteirasAtivos},""Select Col3 where Col1 = '""&amp;$AZ98&amp;""'and Col2 = '""&amp;X$21&amp;""'""))))"),"")</f>
        <v/>
      </c>
      <c r="H98" s="384" t="str">
        <f>IFERROR(__xludf.DUMMYFUNCTION("IF(H$43="""","""",IF($AZ98="""","""",IFERROR(Query({CarteirasAtivos},""Select Col3 where Col1 = '""&amp;$AZ98&amp;""'and Col2 = '""&amp;Y$21&amp;""'""))))"),"")</f>
        <v/>
      </c>
      <c r="I98" s="384" t="str">
        <f>IFERROR(__xludf.DUMMYFUNCTION("IF(I$43="""","""",IF($AZ98="""","""",IFERROR(Query({CarteirasAtivos},""Select Col3 where Col1 = '""&amp;$AZ98&amp;""'and Col2 = '""&amp;Z$21&amp;""'""))))"),"")</f>
        <v/>
      </c>
      <c r="J98" s="384" t="str">
        <f>IFERROR(__xludf.DUMMYFUNCTION("IF(J$43="""","""",IF($AZ98="""","""",IFERROR(Query({CarteirasAtivos},""Select Col3 where Col1 = '""&amp;$AZ98&amp;""'and Col2 = '""&amp;AA$21&amp;""'""))))"),"")</f>
        <v/>
      </c>
      <c r="K98" s="384" t="str">
        <f>IFERROR(__xludf.DUMMYFUNCTION("IF(K$43="""","""",IF($AZ98="""","""",IFERROR(Query({CarteirasAtivos},""Select Col3 where Col1 = '""&amp;$AZ98&amp;""'and Col2 = '""&amp;AB$21&amp;""'""))))"),"")</f>
        <v/>
      </c>
      <c r="L98" s="385">
        <v>55.0</v>
      </c>
      <c r="M98" s="503"/>
      <c r="N98" s="387"/>
      <c r="O98" s="388" t="s">
        <v>123</v>
      </c>
      <c r="P98" s="389"/>
      <c r="Q98" s="390"/>
      <c r="R98" s="391"/>
      <c r="S98" s="392"/>
      <c r="T98" s="393"/>
      <c r="U98" s="393"/>
      <c r="V98" s="394"/>
      <c r="W98" s="395" t="str">
        <f>IFERROR(__xludf.DUMMYFUNCTION("IF(M98="""","""",sparkline(IFERROR(BF98*100/MAX($BF$44:$BF$153),0),{""charttype"",""bar"";""max"",100;""color1"",IF(BD98&gt;=0,""#4760a5"",""red"")}))"),"")</f>
        <v/>
      </c>
      <c r="X98" s="396"/>
      <c r="Y98" s="466"/>
      <c r="Z98" s="398"/>
      <c r="AA98" s="399"/>
      <c r="AB98" s="393"/>
      <c r="AC98" s="476"/>
      <c r="AD98" s="401"/>
      <c r="AE98" s="402"/>
      <c r="AF98" s="403"/>
      <c r="AG98" s="404" t="str">
        <f>IFERROR(__xludf.DUMMYFUNCTION("IF($M98="""","""",IFERROR(sparkline(query(GOOGLEFINANCE($AZ98,""price"",TODAY()-$AF$43,TODAY(),1),""select Col2 label Col2 ''""),IF($AG$43=""Gráfico de barras"",{""charttype"",""column"";""highcolor"",""red""},{""chartype"",""line""}))))"),"")</f>
        <v/>
      </c>
      <c r="AH98" s="405"/>
      <c r="AI98" s="467"/>
      <c r="AJ98" s="467"/>
      <c r="AK98" s="467"/>
      <c r="AL98" s="467"/>
      <c r="AM98" s="442"/>
      <c r="AN98" s="56"/>
      <c r="AU98" s="281"/>
      <c r="AV98" s="281"/>
      <c r="AW98" s="281"/>
      <c r="AX98" s="281"/>
      <c r="AY98" s="410">
        <v>55.0</v>
      </c>
      <c r="AZ98" s="411"/>
      <c r="BA98" s="411"/>
      <c r="BB98" s="437"/>
      <c r="BC98" s="437"/>
      <c r="BD98" s="437"/>
      <c r="BE98" s="437"/>
      <c r="BF98" s="415" t="s">
        <v>123</v>
      </c>
      <c r="BG98" s="410">
        <v>55.0</v>
      </c>
      <c r="BH98" s="416"/>
      <c r="BI98" s="416"/>
      <c r="BJ98" s="416"/>
      <c r="BK98" s="416"/>
      <c r="BL98" s="416"/>
      <c r="BM98" s="416"/>
      <c r="BN98" s="282"/>
      <c r="BO98" s="504"/>
      <c r="BP98" s="505" t="s">
        <v>345</v>
      </c>
      <c r="BQ98" s="506"/>
      <c r="BR98" s="499"/>
      <c r="BS98" s="499" t="s">
        <v>123</v>
      </c>
      <c r="BT98" s="507" t="s">
        <v>123</v>
      </c>
      <c r="BU98" s="508"/>
      <c r="BV98" s="489"/>
      <c r="BW98" s="63"/>
      <c r="BX98" s="62"/>
      <c r="BY98" s="452"/>
      <c r="BZ98" s="452"/>
      <c r="CA98" s="452"/>
      <c r="CB98" s="452"/>
      <c r="CC98" s="452"/>
      <c r="CD98" s="452"/>
      <c r="CE98" s="452"/>
      <c r="CF98" s="452"/>
      <c r="CG98" s="452"/>
      <c r="CH98" s="422"/>
      <c r="CI98" s="422"/>
      <c r="CJ98" s="422"/>
      <c r="CK98" s="421"/>
      <c r="CL98" s="421" t="s">
        <v>123</v>
      </c>
      <c r="CM98" s="423"/>
      <c r="CN98" s="421"/>
      <c r="CO98" s="423"/>
      <c r="CP98" s="421"/>
      <c r="CQ98" s="63"/>
      <c r="CR98" s="63"/>
      <c r="CS98" s="63"/>
      <c r="CT98" s="63"/>
      <c r="CU98" s="447"/>
      <c r="CV98" s="447"/>
      <c r="CW98" s="447"/>
      <c r="CX98" s="447"/>
      <c r="CY98" s="447"/>
      <c r="CZ98" s="447"/>
      <c r="DA98" s="447"/>
      <c r="DB98" s="447"/>
      <c r="DC98" s="447"/>
      <c r="DD98" s="447"/>
      <c r="DE98" s="447"/>
      <c r="DF98" s="447"/>
      <c r="DG98" s="447"/>
      <c r="DH98" s="447"/>
      <c r="DI98" s="447"/>
      <c r="DJ98" s="447"/>
      <c r="DK98" s="447"/>
      <c r="DL98" s="67"/>
      <c r="DM98" s="67"/>
      <c r="DN98" s="67"/>
      <c r="DO98" s="67"/>
      <c r="DP98" s="67"/>
      <c r="DQ98" s="67"/>
    </row>
    <row r="99" ht="22.5" customHeight="1">
      <c r="A99" s="383"/>
      <c r="B99" s="384" t="str">
        <f>IFERROR(__xludf.DUMMYFUNCTION("IF(B$43="""","""",IF($AZ99="""","""",IFERROR(Query({CarteirasAtivos},""Select Col3 where Col1 = '""&amp;$AZ99&amp;""'and Col2 = '""&amp;S$21&amp;""'""))))"),"")</f>
        <v/>
      </c>
      <c r="C99" s="384" t="str">
        <f>IFERROR(__xludf.DUMMYFUNCTION("IF(C$43="""","""",IF($AZ99="""","""",IFERROR(Query({CarteirasAtivos},""Select Col3 where Col1 = '""&amp;$AZ99&amp;""'and Col2 = '""&amp;T$21&amp;""'""))))"),"")</f>
        <v/>
      </c>
      <c r="D99" s="384" t="str">
        <f>IFERROR(__xludf.DUMMYFUNCTION("IF(D$43="""","""",IF($AZ99="""","""",IFERROR(Query({CarteirasAtivos},""Select Col3 where Col1 = '""&amp;$AZ99&amp;""'and Col2 = '""&amp;U$21&amp;""'""))))"),"")</f>
        <v/>
      </c>
      <c r="E99" s="384" t="str">
        <f>IFERROR(__xludf.DUMMYFUNCTION("IF(E$43="""","""",IF($AZ99="""","""",IFERROR(Query({CarteirasAtivos},""Select Col3 where Col1 = '""&amp;$AZ99&amp;""'and Col2 = '""&amp;V$21&amp;""'""))))"),"")</f>
        <v/>
      </c>
      <c r="F99" s="384" t="str">
        <f>IFERROR(__xludf.DUMMYFUNCTION("IF(F$43="""","""",IF($AZ99="""","""",IFERROR(Query({CarteirasAtivos},""Select Col3 where Col1 = '""&amp;$AZ99&amp;""'and Col2 = '""&amp;W$21&amp;""'""))))"),"")</f>
        <v/>
      </c>
      <c r="G99" s="384" t="str">
        <f>IFERROR(__xludf.DUMMYFUNCTION("IF(G$43="""","""",IF($AZ99="""","""",IFERROR(Query({CarteirasAtivos},""Select Col3 where Col1 = '""&amp;$AZ99&amp;""'and Col2 = '""&amp;X$21&amp;""'""))))"),"")</f>
        <v/>
      </c>
      <c r="H99" s="384" t="str">
        <f>IFERROR(__xludf.DUMMYFUNCTION("IF(H$43="""","""",IF($AZ99="""","""",IFERROR(Query({CarteirasAtivos},""Select Col3 where Col1 = '""&amp;$AZ99&amp;""'and Col2 = '""&amp;Y$21&amp;""'""))))"),"")</f>
        <v/>
      </c>
      <c r="I99" s="384" t="str">
        <f>IFERROR(__xludf.DUMMYFUNCTION("IF(I$43="""","""",IF($AZ99="""","""",IFERROR(Query({CarteirasAtivos},""Select Col3 where Col1 = '""&amp;$AZ99&amp;""'and Col2 = '""&amp;Z$21&amp;""'""))))"),"")</f>
        <v/>
      </c>
      <c r="J99" s="384" t="str">
        <f>IFERROR(__xludf.DUMMYFUNCTION("IF(J$43="""","""",IF($AZ99="""","""",IFERROR(Query({CarteirasAtivos},""Select Col3 where Col1 = '""&amp;$AZ99&amp;""'and Col2 = '""&amp;AA$21&amp;""'""))))"),"")</f>
        <v/>
      </c>
      <c r="K99" s="384" t="str">
        <f>IFERROR(__xludf.DUMMYFUNCTION("IF(K$43="""","""",IF($AZ99="""","""",IFERROR(Query({CarteirasAtivos},""Select Col3 where Col1 = '""&amp;$AZ99&amp;""'and Col2 = '""&amp;AB$21&amp;""'""))))"),"")</f>
        <v/>
      </c>
      <c r="L99" s="385">
        <v>56.0</v>
      </c>
      <c r="M99" s="503"/>
      <c r="N99" s="387"/>
      <c r="O99" s="388" t="s">
        <v>123</v>
      </c>
      <c r="P99" s="389"/>
      <c r="Q99" s="390"/>
      <c r="R99" s="391"/>
      <c r="S99" s="392"/>
      <c r="T99" s="393"/>
      <c r="U99" s="393"/>
      <c r="V99" s="394"/>
      <c r="W99" s="395" t="str">
        <f>IFERROR(__xludf.DUMMYFUNCTION("IF(M99="""","""",sparkline(IFERROR(BF99*100/MAX($BF$44:$BF$153),0),{""charttype"",""bar"";""max"",100;""color1"",IF(BD99&gt;=0,""#4760a5"",""red"")}))"),"")</f>
        <v/>
      </c>
      <c r="X99" s="396"/>
      <c r="Y99" s="466"/>
      <c r="Z99" s="398"/>
      <c r="AA99" s="399"/>
      <c r="AB99" s="393"/>
      <c r="AC99" s="476"/>
      <c r="AD99" s="401"/>
      <c r="AE99" s="402"/>
      <c r="AF99" s="403"/>
      <c r="AG99" s="404" t="str">
        <f>IFERROR(__xludf.DUMMYFUNCTION("IF($M99="""","""",IFERROR(sparkline(query(GOOGLEFINANCE($AZ99,""price"",TODAY()-$AF$43,TODAY(),1),""select Col2 label Col2 ''""),IF($AG$43=""Gráfico de barras"",{""charttype"",""column"";""highcolor"",""red""},{""chartype"",""line""}))))"),"")</f>
        <v/>
      </c>
      <c r="AH99" s="405"/>
      <c r="AI99" s="467"/>
      <c r="AJ99" s="467"/>
      <c r="AK99" s="467"/>
      <c r="AL99" s="467"/>
      <c r="AM99" s="442"/>
      <c r="AN99" s="56"/>
      <c r="AU99" s="281"/>
      <c r="AV99" s="281"/>
      <c r="AW99" s="281"/>
      <c r="AX99" s="281"/>
      <c r="AY99" s="410">
        <v>56.0</v>
      </c>
      <c r="AZ99" s="411"/>
      <c r="BA99" s="411"/>
      <c r="BB99" s="437"/>
      <c r="BC99" s="437"/>
      <c r="BD99" s="437"/>
      <c r="BE99" s="437"/>
      <c r="BF99" s="415" t="s">
        <v>123</v>
      </c>
      <c r="BG99" s="410">
        <v>56.0</v>
      </c>
      <c r="BH99" s="416"/>
      <c r="BI99" s="416"/>
      <c r="BJ99" s="416"/>
      <c r="BK99" s="416"/>
      <c r="BL99" s="416"/>
      <c r="BM99" s="416"/>
      <c r="BN99" s="282"/>
      <c r="BO99" s="504"/>
      <c r="BP99" s="504"/>
      <c r="BQ99" s="504"/>
      <c r="BR99" s="504"/>
      <c r="BS99" s="504"/>
      <c r="BT99" s="504"/>
      <c r="BU99" s="504"/>
      <c r="BV99" s="504"/>
      <c r="BW99" s="63"/>
      <c r="BX99" s="62"/>
      <c r="BY99" s="452"/>
      <c r="BZ99" s="452"/>
      <c r="CA99" s="452"/>
      <c r="CB99" s="452"/>
      <c r="CC99" s="452"/>
      <c r="CD99" s="452"/>
      <c r="CE99" s="452"/>
      <c r="CF99" s="452"/>
      <c r="CG99" s="452"/>
      <c r="CH99" s="422"/>
      <c r="CI99" s="422"/>
      <c r="CJ99" s="422"/>
      <c r="CK99" s="421"/>
      <c r="CL99" s="421" t="s">
        <v>123</v>
      </c>
      <c r="CM99" s="423"/>
      <c r="CN99" s="421"/>
      <c r="CO99" s="423"/>
      <c r="CP99" s="421"/>
      <c r="CQ99" s="63"/>
      <c r="CR99" s="63"/>
      <c r="CS99" s="63"/>
      <c r="CT99" s="63"/>
      <c r="CU99" s="447"/>
      <c r="CV99" s="447"/>
      <c r="CW99" s="447"/>
      <c r="CX99" s="447"/>
      <c r="CY99" s="447"/>
      <c r="CZ99" s="447"/>
      <c r="DA99" s="447"/>
      <c r="DB99" s="447"/>
      <c r="DC99" s="447"/>
      <c r="DD99" s="447"/>
      <c r="DE99" s="447"/>
      <c r="DF99" s="447"/>
      <c r="DG99" s="447"/>
      <c r="DH99" s="447"/>
      <c r="DI99" s="447"/>
      <c r="DJ99" s="447"/>
      <c r="DK99" s="447"/>
      <c r="DL99" s="67"/>
      <c r="DM99" s="67"/>
      <c r="DN99" s="67"/>
      <c r="DO99" s="67"/>
      <c r="DP99" s="67"/>
      <c r="DQ99" s="67"/>
    </row>
    <row r="100" ht="22.5" customHeight="1">
      <c r="A100" s="383"/>
      <c r="B100" s="384" t="str">
        <f>IFERROR(__xludf.DUMMYFUNCTION("IF(B$43="""","""",IF($AZ100="""","""",IFERROR(Query({CarteirasAtivos},""Select Col3 where Col1 = '""&amp;$AZ100&amp;""'and Col2 = '""&amp;S$21&amp;""'""))))"),"")</f>
        <v/>
      </c>
      <c r="C100" s="384" t="str">
        <f>IFERROR(__xludf.DUMMYFUNCTION("IF(C$43="""","""",IF($AZ100="""","""",IFERROR(Query({CarteirasAtivos},""Select Col3 where Col1 = '""&amp;$AZ100&amp;""'and Col2 = '""&amp;T$21&amp;""'""))))"),"")</f>
        <v/>
      </c>
      <c r="D100" s="384" t="str">
        <f>IFERROR(__xludf.DUMMYFUNCTION("IF(D$43="""","""",IF($AZ100="""","""",IFERROR(Query({CarteirasAtivos},""Select Col3 where Col1 = '""&amp;$AZ100&amp;""'and Col2 = '""&amp;U$21&amp;""'""))))"),"")</f>
        <v/>
      </c>
      <c r="E100" s="384" t="str">
        <f>IFERROR(__xludf.DUMMYFUNCTION("IF(E$43="""","""",IF($AZ100="""","""",IFERROR(Query({CarteirasAtivos},""Select Col3 where Col1 = '""&amp;$AZ100&amp;""'and Col2 = '""&amp;V$21&amp;""'""))))"),"")</f>
        <v/>
      </c>
      <c r="F100" s="384" t="str">
        <f>IFERROR(__xludf.DUMMYFUNCTION("IF(F$43="""","""",IF($AZ100="""","""",IFERROR(Query({CarteirasAtivos},""Select Col3 where Col1 = '""&amp;$AZ100&amp;""'and Col2 = '""&amp;W$21&amp;""'""))))"),"")</f>
        <v/>
      </c>
      <c r="G100" s="384" t="str">
        <f>IFERROR(__xludf.DUMMYFUNCTION("IF(G$43="""","""",IF($AZ100="""","""",IFERROR(Query({CarteirasAtivos},""Select Col3 where Col1 = '""&amp;$AZ100&amp;""'and Col2 = '""&amp;X$21&amp;""'""))))"),"")</f>
        <v/>
      </c>
      <c r="H100" s="384" t="str">
        <f>IFERROR(__xludf.DUMMYFUNCTION("IF(H$43="""","""",IF($AZ100="""","""",IFERROR(Query({CarteirasAtivos},""Select Col3 where Col1 = '""&amp;$AZ100&amp;""'and Col2 = '""&amp;Y$21&amp;""'""))))"),"")</f>
        <v/>
      </c>
      <c r="I100" s="384" t="str">
        <f>IFERROR(__xludf.DUMMYFUNCTION("IF(I$43="""","""",IF($AZ100="""","""",IFERROR(Query({CarteirasAtivos},""Select Col3 where Col1 = '""&amp;$AZ100&amp;""'and Col2 = '""&amp;Z$21&amp;""'""))))"),"")</f>
        <v/>
      </c>
      <c r="J100" s="384" t="str">
        <f>IFERROR(__xludf.DUMMYFUNCTION("IF(J$43="""","""",IF($AZ100="""","""",IFERROR(Query({CarteirasAtivos},""Select Col3 where Col1 = '""&amp;$AZ100&amp;""'and Col2 = '""&amp;AA$21&amp;""'""))))"),"")</f>
        <v/>
      </c>
      <c r="K100" s="384" t="str">
        <f>IFERROR(__xludf.DUMMYFUNCTION("IF(K$43="""","""",IF($AZ100="""","""",IFERROR(Query({CarteirasAtivos},""Select Col3 where Col1 = '""&amp;$AZ100&amp;""'and Col2 = '""&amp;AB$21&amp;""'""))))"),"")</f>
        <v/>
      </c>
      <c r="L100" s="385">
        <v>57.0</v>
      </c>
      <c r="M100" s="503"/>
      <c r="N100" s="387"/>
      <c r="O100" s="388" t="s">
        <v>123</v>
      </c>
      <c r="P100" s="389"/>
      <c r="Q100" s="390"/>
      <c r="R100" s="391"/>
      <c r="S100" s="392"/>
      <c r="T100" s="393"/>
      <c r="U100" s="393"/>
      <c r="V100" s="394"/>
      <c r="W100" s="395" t="str">
        <f>IFERROR(__xludf.DUMMYFUNCTION("IF(M100="""","""",sparkline(IFERROR(BF100*100/MAX($BF$44:$BF$153),0),{""charttype"",""bar"";""max"",100;""color1"",IF(BD100&gt;=0,""#4760a5"",""red"")}))"),"")</f>
        <v/>
      </c>
      <c r="X100" s="396"/>
      <c r="Y100" s="466"/>
      <c r="Z100" s="398"/>
      <c r="AA100" s="399"/>
      <c r="AB100" s="393"/>
      <c r="AC100" s="476"/>
      <c r="AD100" s="401"/>
      <c r="AE100" s="402"/>
      <c r="AF100" s="403"/>
      <c r="AG100" s="404" t="str">
        <f>IFERROR(__xludf.DUMMYFUNCTION("IF($M100="""","""",IFERROR(sparkline(query(GOOGLEFINANCE($AZ100,""price"",TODAY()-$AF$43,TODAY(),1),""select Col2 label Col2 ''""),IF($AG$43=""Gráfico de barras"",{""charttype"",""column"";""highcolor"",""red""},{""chartype"",""line""}))))"),"")</f>
        <v/>
      </c>
      <c r="AH100" s="405"/>
      <c r="AI100" s="467"/>
      <c r="AJ100" s="467"/>
      <c r="AK100" s="467"/>
      <c r="AL100" s="467"/>
      <c r="AM100" s="442"/>
      <c r="AN100" s="56"/>
      <c r="AU100" s="281"/>
      <c r="AV100" s="281"/>
      <c r="AW100" s="281"/>
      <c r="AX100" s="281"/>
      <c r="AY100" s="410">
        <v>57.0</v>
      </c>
      <c r="AZ100" s="411"/>
      <c r="BA100" s="411"/>
      <c r="BB100" s="437"/>
      <c r="BC100" s="437"/>
      <c r="BD100" s="437"/>
      <c r="BE100" s="437"/>
      <c r="BF100" s="415" t="s">
        <v>123</v>
      </c>
      <c r="BG100" s="410">
        <v>57.0</v>
      </c>
      <c r="BH100" s="416"/>
      <c r="BI100" s="416"/>
      <c r="BJ100" s="416"/>
      <c r="BK100" s="416"/>
      <c r="BL100" s="416"/>
      <c r="BM100" s="416"/>
      <c r="BN100" s="282"/>
      <c r="BO100" s="490"/>
      <c r="BP100" s="501" t="s">
        <v>97</v>
      </c>
      <c r="BQ100" s="502">
        <f>COUNTA(BQ103:BQ115)-2</f>
        <v>10</v>
      </c>
      <c r="BR100" s="502"/>
      <c r="BS100" s="502"/>
      <c r="BT100" s="502"/>
      <c r="BU100" s="502"/>
      <c r="BV100" s="489"/>
      <c r="BW100" s="63"/>
      <c r="BX100" s="62"/>
      <c r="BY100" s="452"/>
      <c r="BZ100" s="452"/>
      <c r="CA100" s="452"/>
      <c r="CB100" s="452"/>
      <c r="CC100" s="452"/>
      <c r="CD100" s="452"/>
      <c r="CE100" s="452"/>
      <c r="CF100" s="452"/>
      <c r="CG100" s="452"/>
      <c r="CH100" s="422"/>
      <c r="CI100" s="422"/>
      <c r="CJ100" s="422"/>
      <c r="CK100" s="421"/>
      <c r="CL100" s="421" t="s">
        <v>123</v>
      </c>
      <c r="CM100" s="423"/>
      <c r="CN100" s="421"/>
      <c r="CO100" s="423"/>
      <c r="CP100" s="421"/>
      <c r="CQ100" s="63"/>
      <c r="CR100" s="63"/>
      <c r="CS100" s="63"/>
      <c r="CT100" s="63"/>
      <c r="CU100" s="447"/>
      <c r="CV100" s="447"/>
      <c r="CW100" s="447"/>
      <c r="CX100" s="447"/>
      <c r="CY100" s="447"/>
      <c r="CZ100" s="447"/>
      <c r="DA100" s="447"/>
      <c r="DB100" s="447"/>
      <c r="DC100" s="447"/>
      <c r="DD100" s="447"/>
      <c r="DE100" s="447"/>
      <c r="DF100" s="447"/>
      <c r="DG100" s="447"/>
      <c r="DH100" s="447"/>
      <c r="DI100" s="447"/>
      <c r="DJ100" s="447"/>
      <c r="DK100" s="447"/>
      <c r="DL100" s="67"/>
      <c r="DM100" s="67"/>
      <c r="DN100" s="67"/>
      <c r="DO100" s="67"/>
      <c r="DP100" s="67"/>
      <c r="DQ100" s="67"/>
    </row>
    <row r="101" ht="22.5" customHeight="1">
      <c r="A101" s="383"/>
      <c r="B101" s="384" t="str">
        <f>IFERROR(__xludf.DUMMYFUNCTION("IF(B$43="""","""",IF($AZ101="""","""",IFERROR(Query({CarteirasAtivos},""Select Col3 where Col1 = '""&amp;$AZ101&amp;""'and Col2 = '""&amp;S$21&amp;""'""))))"),"")</f>
        <v/>
      </c>
      <c r="C101" s="384" t="str">
        <f>IFERROR(__xludf.DUMMYFUNCTION("IF(C$43="""","""",IF($AZ101="""","""",IFERROR(Query({CarteirasAtivos},""Select Col3 where Col1 = '""&amp;$AZ101&amp;""'and Col2 = '""&amp;T$21&amp;""'""))))"),"")</f>
        <v/>
      </c>
      <c r="D101" s="384" t="str">
        <f>IFERROR(__xludf.DUMMYFUNCTION("IF(D$43="""","""",IF($AZ101="""","""",IFERROR(Query({CarteirasAtivos},""Select Col3 where Col1 = '""&amp;$AZ101&amp;""'and Col2 = '""&amp;U$21&amp;""'""))))"),"")</f>
        <v/>
      </c>
      <c r="E101" s="384" t="str">
        <f>IFERROR(__xludf.DUMMYFUNCTION("IF(E$43="""","""",IF($AZ101="""","""",IFERROR(Query({CarteirasAtivos},""Select Col3 where Col1 = '""&amp;$AZ101&amp;""'and Col2 = '""&amp;V$21&amp;""'""))))"),"")</f>
        <v/>
      </c>
      <c r="F101" s="384" t="str">
        <f>IFERROR(__xludf.DUMMYFUNCTION("IF(F$43="""","""",IF($AZ101="""","""",IFERROR(Query({CarteirasAtivos},""Select Col3 where Col1 = '""&amp;$AZ101&amp;""'and Col2 = '""&amp;W$21&amp;""'""))))"),"")</f>
        <v/>
      </c>
      <c r="G101" s="384" t="str">
        <f>IFERROR(__xludf.DUMMYFUNCTION("IF(G$43="""","""",IF($AZ101="""","""",IFERROR(Query({CarteirasAtivos},""Select Col3 where Col1 = '""&amp;$AZ101&amp;""'and Col2 = '""&amp;X$21&amp;""'""))))"),"")</f>
        <v/>
      </c>
      <c r="H101" s="384" t="str">
        <f>IFERROR(__xludf.DUMMYFUNCTION("IF(H$43="""","""",IF($AZ101="""","""",IFERROR(Query({CarteirasAtivos},""Select Col3 where Col1 = '""&amp;$AZ101&amp;""'and Col2 = '""&amp;Y$21&amp;""'""))))"),"")</f>
        <v/>
      </c>
      <c r="I101" s="384" t="str">
        <f>IFERROR(__xludf.DUMMYFUNCTION("IF(I$43="""","""",IF($AZ101="""","""",IFERROR(Query({CarteirasAtivos},""Select Col3 where Col1 = '""&amp;$AZ101&amp;""'and Col2 = '""&amp;Z$21&amp;""'""))))"),"")</f>
        <v/>
      </c>
      <c r="J101" s="384" t="str">
        <f>IFERROR(__xludf.DUMMYFUNCTION("IF(J$43="""","""",IF($AZ101="""","""",IFERROR(Query({CarteirasAtivos},""Select Col3 where Col1 = '""&amp;$AZ101&amp;""'and Col2 = '""&amp;AA$21&amp;""'""))))"),"")</f>
        <v/>
      </c>
      <c r="K101" s="384" t="str">
        <f>IFERROR(__xludf.DUMMYFUNCTION("IF(K$43="""","""",IF($AZ101="""","""",IFERROR(Query({CarteirasAtivos},""Select Col3 where Col1 = '""&amp;$AZ101&amp;""'and Col2 = '""&amp;AB$21&amp;""'""))))"),"")</f>
        <v/>
      </c>
      <c r="L101" s="385">
        <v>58.0</v>
      </c>
      <c r="M101" s="503"/>
      <c r="N101" s="387"/>
      <c r="O101" s="388" t="s">
        <v>123</v>
      </c>
      <c r="P101" s="389"/>
      <c r="Q101" s="390"/>
      <c r="R101" s="391"/>
      <c r="S101" s="392"/>
      <c r="T101" s="393"/>
      <c r="U101" s="393"/>
      <c r="V101" s="394"/>
      <c r="W101" s="395" t="str">
        <f>IFERROR(__xludf.DUMMYFUNCTION("IF(M101="""","""",sparkline(IFERROR(BF101*100/MAX($BF$44:$BF$153),0),{""charttype"",""bar"";""max"",100;""color1"",IF(BD101&gt;=0,""#4760a5"",""red"")}))"),"")</f>
        <v/>
      </c>
      <c r="X101" s="396"/>
      <c r="Y101" s="466"/>
      <c r="Z101" s="398"/>
      <c r="AA101" s="399"/>
      <c r="AB101" s="393"/>
      <c r="AC101" s="476"/>
      <c r="AD101" s="401"/>
      <c r="AE101" s="402"/>
      <c r="AF101" s="403"/>
      <c r="AG101" s="404" t="str">
        <f>IFERROR(__xludf.DUMMYFUNCTION("IF($M101="""","""",IFERROR(sparkline(query(GOOGLEFINANCE($AZ101,""price"",TODAY()-$AF$43,TODAY(),1),""select Col2 label Col2 ''""),IF($AG$43=""Gráfico de barras"",{""charttype"",""column"";""highcolor"",""red""},{""chartype"",""line""}))))"),"")</f>
        <v/>
      </c>
      <c r="AH101" s="405"/>
      <c r="AI101" s="467"/>
      <c r="AJ101" s="467"/>
      <c r="AK101" s="467"/>
      <c r="AL101" s="467"/>
      <c r="AM101" s="442"/>
      <c r="AN101" s="56"/>
      <c r="AU101" s="281"/>
      <c r="AV101" s="281"/>
      <c r="AW101" s="281"/>
      <c r="AX101" s="281"/>
      <c r="AY101" s="410">
        <v>58.0</v>
      </c>
      <c r="AZ101" s="411"/>
      <c r="BA101" s="411"/>
      <c r="BB101" s="437"/>
      <c r="BC101" s="437"/>
      <c r="BD101" s="437"/>
      <c r="BE101" s="437"/>
      <c r="BF101" s="415" t="s">
        <v>123</v>
      </c>
      <c r="BG101" s="410">
        <v>58.0</v>
      </c>
      <c r="BH101" s="416"/>
      <c r="BI101" s="416"/>
      <c r="BJ101" s="416"/>
      <c r="BK101" s="416"/>
      <c r="BL101" s="416"/>
      <c r="BM101" s="416"/>
      <c r="BN101" s="282"/>
      <c r="BO101" s="489"/>
      <c r="BP101" s="489"/>
      <c r="BQ101" s="489"/>
      <c r="BR101" s="489"/>
      <c r="BS101" s="489"/>
      <c r="BT101" s="489"/>
      <c r="BU101" s="489"/>
      <c r="BV101" s="489"/>
      <c r="BW101" s="63"/>
      <c r="BX101" s="62"/>
      <c r="BY101" s="452"/>
      <c r="BZ101" s="452"/>
      <c r="CA101" s="452"/>
      <c r="CB101" s="452"/>
      <c r="CC101" s="452"/>
      <c r="CD101" s="452"/>
      <c r="CE101" s="452"/>
      <c r="CF101" s="452"/>
      <c r="CG101" s="452"/>
      <c r="CH101" s="422"/>
      <c r="CI101" s="422"/>
      <c r="CJ101" s="422"/>
      <c r="CK101" s="421"/>
      <c r="CL101" s="421" t="s">
        <v>123</v>
      </c>
      <c r="CM101" s="423"/>
      <c r="CN101" s="421"/>
      <c r="CO101" s="423"/>
      <c r="CP101" s="421"/>
      <c r="CQ101" s="63"/>
      <c r="CR101" s="63"/>
      <c r="CS101" s="63"/>
      <c r="CT101" s="63"/>
      <c r="CU101" s="447"/>
      <c r="CV101" s="447"/>
      <c r="CW101" s="447"/>
      <c r="CX101" s="447"/>
      <c r="CY101" s="447"/>
      <c r="CZ101" s="447"/>
      <c r="DA101" s="447"/>
      <c r="DB101" s="447"/>
      <c r="DC101" s="447"/>
      <c r="DD101" s="447"/>
      <c r="DE101" s="447"/>
      <c r="DF101" s="447"/>
      <c r="DG101" s="447"/>
      <c r="DH101" s="447"/>
      <c r="DI101" s="447"/>
      <c r="DJ101" s="447"/>
      <c r="DK101" s="447"/>
      <c r="DL101" s="67"/>
      <c r="DM101" s="67"/>
      <c r="DN101" s="67"/>
      <c r="DO101" s="67"/>
      <c r="DP101" s="67"/>
      <c r="DQ101" s="67"/>
    </row>
    <row r="102" ht="22.5" customHeight="1">
      <c r="A102" s="383"/>
      <c r="B102" s="384" t="str">
        <f>IFERROR(__xludf.DUMMYFUNCTION("IF(B$43="""","""",IF($AZ102="""","""",IFERROR(Query({CarteirasAtivos},""Select Col3 where Col1 = '""&amp;$AZ102&amp;""'and Col2 = '""&amp;S$21&amp;""'""))))"),"")</f>
        <v/>
      </c>
      <c r="C102" s="384" t="str">
        <f>IFERROR(__xludf.DUMMYFUNCTION("IF(C$43="""","""",IF($AZ102="""","""",IFERROR(Query({CarteirasAtivos},""Select Col3 where Col1 = '""&amp;$AZ102&amp;""'and Col2 = '""&amp;T$21&amp;""'""))))"),"")</f>
        <v/>
      </c>
      <c r="D102" s="384" t="str">
        <f>IFERROR(__xludf.DUMMYFUNCTION("IF(D$43="""","""",IF($AZ102="""","""",IFERROR(Query({CarteirasAtivos},""Select Col3 where Col1 = '""&amp;$AZ102&amp;""'and Col2 = '""&amp;U$21&amp;""'""))))"),"")</f>
        <v/>
      </c>
      <c r="E102" s="384" t="str">
        <f>IFERROR(__xludf.DUMMYFUNCTION("IF(E$43="""","""",IF($AZ102="""","""",IFERROR(Query({CarteirasAtivos},""Select Col3 where Col1 = '""&amp;$AZ102&amp;""'and Col2 = '""&amp;V$21&amp;""'""))))"),"")</f>
        <v/>
      </c>
      <c r="F102" s="384" t="str">
        <f>IFERROR(__xludf.DUMMYFUNCTION("IF(F$43="""","""",IF($AZ102="""","""",IFERROR(Query({CarteirasAtivos},""Select Col3 where Col1 = '""&amp;$AZ102&amp;""'and Col2 = '""&amp;W$21&amp;""'""))))"),"")</f>
        <v/>
      </c>
      <c r="G102" s="384" t="str">
        <f>IFERROR(__xludf.DUMMYFUNCTION("IF(G$43="""","""",IF($AZ102="""","""",IFERROR(Query({CarteirasAtivos},""Select Col3 where Col1 = '""&amp;$AZ102&amp;""'and Col2 = '""&amp;X$21&amp;""'""))))"),"")</f>
        <v/>
      </c>
      <c r="H102" s="384" t="str">
        <f>IFERROR(__xludf.DUMMYFUNCTION("IF(H$43="""","""",IF($AZ102="""","""",IFERROR(Query({CarteirasAtivos},""Select Col3 where Col1 = '""&amp;$AZ102&amp;""'and Col2 = '""&amp;Y$21&amp;""'""))))"),"")</f>
        <v/>
      </c>
      <c r="I102" s="384" t="str">
        <f>IFERROR(__xludf.DUMMYFUNCTION("IF(I$43="""","""",IF($AZ102="""","""",IFERROR(Query({CarteirasAtivos},""Select Col3 where Col1 = '""&amp;$AZ102&amp;""'and Col2 = '""&amp;Z$21&amp;""'""))))"),"")</f>
        <v/>
      </c>
      <c r="J102" s="384" t="str">
        <f>IFERROR(__xludf.DUMMYFUNCTION("IF(J$43="""","""",IF($AZ102="""","""",IFERROR(Query({CarteirasAtivos},""Select Col3 where Col1 = '""&amp;$AZ102&amp;""'and Col2 = '""&amp;AA$21&amp;""'""))))"),"")</f>
        <v/>
      </c>
      <c r="K102" s="384" t="str">
        <f>IFERROR(__xludf.DUMMYFUNCTION("IF(K$43="""","""",IF($AZ102="""","""",IFERROR(Query({CarteirasAtivos},""Select Col3 where Col1 = '""&amp;$AZ102&amp;""'and Col2 = '""&amp;AB$21&amp;""'""))))"),"")</f>
        <v/>
      </c>
      <c r="L102" s="385">
        <v>59.0</v>
      </c>
      <c r="M102" s="503"/>
      <c r="N102" s="387"/>
      <c r="O102" s="388" t="s">
        <v>123</v>
      </c>
      <c r="P102" s="389"/>
      <c r="Q102" s="390"/>
      <c r="R102" s="391"/>
      <c r="S102" s="392"/>
      <c r="T102" s="393"/>
      <c r="U102" s="393"/>
      <c r="V102" s="394"/>
      <c r="W102" s="395" t="str">
        <f>IFERROR(__xludf.DUMMYFUNCTION("IF(M102="""","""",sparkline(IFERROR(BF102*100/MAX($BF$44:$BF$153),0),{""charttype"",""bar"";""max"",100;""color1"",IF(BD102&gt;=0,""#4760a5"",""red"")}))"),"")</f>
        <v/>
      </c>
      <c r="X102" s="396"/>
      <c r="Y102" s="466"/>
      <c r="Z102" s="398"/>
      <c r="AA102" s="399"/>
      <c r="AB102" s="393"/>
      <c r="AC102" s="476"/>
      <c r="AD102" s="401"/>
      <c r="AE102" s="402"/>
      <c r="AF102" s="403"/>
      <c r="AG102" s="404" t="str">
        <f>IFERROR(__xludf.DUMMYFUNCTION("IF($M102="""","""",IFERROR(sparkline(query(GOOGLEFINANCE($AZ102,""price"",TODAY()-$AF$43,TODAY(),1),""select Col2 label Col2 ''""),IF($AG$43=""Gráfico de barras"",{""charttype"",""column"";""highcolor"",""red""},{""chartype"",""line""}))))"),"")</f>
        <v/>
      </c>
      <c r="AH102" s="405"/>
      <c r="AI102" s="467"/>
      <c r="AJ102" s="467"/>
      <c r="AK102" s="467"/>
      <c r="AL102" s="467"/>
      <c r="AM102" s="442"/>
      <c r="AN102" s="56"/>
      <c r="AU102" s="281"/>
      <c r="AV102" s="281"/>
      <c r="AW102" s="281"/>
      <c r="AX102" s="281"/>
      <c r="AY102" s="410">
        <v>59.0</v>
      </c>
      <c r="AZ102" s="411"/>
      <c r="BA102" s="411"/>
      <c r="BB102" s="437"/>
      <c r="BC102" s="437"/>
      <c r="BD102" s="437"/>
      <c r="BE102" s="437"/>
      <c r="BF102" s="415" t="s">
        <v>123</v>
      </c>
      <c r="BG102" s="410">
        <v>59.0</v>
      </c>
      <c r="BH102" s="416"/>
      <c r="BI102" s="416"/>
      <c r="BJ102" s="416"/>
      <c r="BK102" s="416"/>
      <c r="BL102" s="416"/>
      <c r="BM102" s="416"/>
      <c r="BN102" s="282"/>
      <c r="BO102" s="490"/>
      <c r="BP102" s="482" t="s">
        <v>334</v>
      </c>
      <c r="BQ102" s="482" t="s">
        <v>335</v>
      </c>
      <c r="BR102" s="482" t="s">
        <v>336</v>
      </c>
      <c r="BS102" s="482" t="s">
        <v>337</v>
      </c>
      <c r="BT102" s="482" t="s">
        <v>338</v>
      </c>
      <c r="BU102" s="482" t="s">
        <v>339</v>
      </c>
      <c r="BV102" s="489"/>
      <c r="BW102" s="63"/>
      <c r="BX102" s="62"/>
      <c r="BY102" s="452"/>
      <c r="BZ102" s="452"/>
      <c r="CA102" s="452"/>
      <c r="CB102" s="452"/>
      <c r="CC102" s="452"/>
      <c r="CD102" s="452"/>
      <c r="CE102" s="452"/>
      <c r="CF102" s="452"/>
      <c r="CG102" s="452"/>
      <c r="CH102" s="422"/>
      <c r="CI102" s="422"/>
      <c r="CJ102" s="422"/>
      <c r="CK102" s="421"/>
      <c r="CL102" s="421" t="s">
        <v>123</v>
      </c>
      <c r="CM102" s="423"/>
      <c r="CN102" s="421"/>
      <c r="CO102" s="423"/>
      <c r="CP102" s="421"/>
      <c r="CQ102" s="63"/>
      <c r="CR102" s="63"/>
      <c r="CS102" s="63"/>
      <c r="CT102" s="63"/>
      <c r="CU102" s="447"/>
      <c r="CV102" s="447"/>
      <c r="CW102" s="447"/>
      <c r="CX102" s="447"/>
      <c r="CY102" s="447"/>
      <c r="CZ102" s="447"/>
      <c r="DA102" s="447"/>
      <c r="DB102" s="447"/>
      <c r="DC102" s="447"/>
      <c r="DD102" s="447"/>
      <c r="DE102" s="447"/>
      <c r="DF102" s="447"/>
      <c r="DG102" s="447"/>
      <c r="DH102" s="447"/>
      <c r="DI102" s="447"/>
      <c r="DJ102" s="447"/>
      <c r="DK102" s="447"/>
      <c r="DL102" s="67"/>
      <c r="DM102" s="67"/>
      <c r="DN102" s="67"/>
      <c r="DO102" s="67"/>
      <c r="DP102" s="67"/>
      <c r="DQ102" s="67"/>
    </row>
    <row r="103" ht="22.5" customHeight="1">
      <c r="A103" s="383"/>
      <c r="B103" s="384" t="str">
        <f>IFERROR(__xludf.DUMMYFUNCTION("IF(B$43="""","""",IF($AZ103="""","""",IFERROR(Query({CarteirasAtivos},""Select Col3 where Col1 = '""&amp;$AZ103&amp;""'and Col2 = '""&amp;S$21&amp;""'""))))"),"")</f>
        <v/>
      </c>
      <c r="C103" s="384" t="str">
        <f>IFERROR(__xludf.DUMMYFUNCTION("IF(C$43="""","""",IF($AZ103="""","""",IFERROR(Query({CarteirasAtivos},""Select Col3 where Col1 = '""&amp;$AZ103&amp;""'and Col2 = '""&amp;T$21&amp;""'""))))"),"")</f>
        <v/>
      </c>
      <c r="D103" s="384" t="str">
        <f>IFERROR(__xludf.DUMMYFUNCTION("IF(D$43="""","""",IF($AZ103="""","""",IFERROR(Query({CarteirasAtivos},""Select Col3 where Col1 = '""&amp;$AZ103&amp;""'and Col2 = '""&amp;U$21&amp;""'""))))"),"")</f>
        <v/>
      </c>
      <c r="E103" s="384" t="str">
        <f>IFERROR(__xludf.DUMMYFUNCTION("IF(E$43="""","""",IF($AZ103="""","""",IFERROR(Query({CarteirasAtivos},""Select Col3 where Col1 = '""&amp;$AZ103&amp;""'and Col2 = '""&amp;V$21&amp;""'""))))"),"")</f>
        <v/>
      </c>
      <c r="F103" s="384" t="str">
        <f>IFERROR(__xludf.DUMMYFUNCTION("IF(F$43="""","""",IF($AZ103="""","""",IFERROR(Query({CarteirasAtivos},""Select Col3 where Col1 = '""&amp;$AZ103&amp;""'and Col2 = '""&amp;W$21&amp;""'""))))"),"")</f>
        <v/>
      </c>
      <c r="G103" s="384" t="str">
        <f>IFERROR(__xludf.DUMMYFUNCTION("IF(G$43="""","""",IF($AZ103="""","""",IFERROR(Query({CarteirasAtivos},""Select Col3 where Col1 = '""&amp;$AZ103&amp;""'and Col2 = '""&amp;X$21&amp;""'""))))"),"")</f>
        <v/>
      </c>
      <c r="H103" s="384" t="str">
        <f>IFERROR(__xludf.DUMMYFUNCTION("IF(H$43="""","""",IF($AZ103="""","""",IFERROR(Query({CarteirasAtivos},""Select Col3 where Col1 = '""&amp;$AZ103&amp;""'and Col2 = '""&amp;Y$21&amp;""'""))))"),"")</f>
        <v/>
      </c>
      <c r="I103" s="384" t="str">
        <f>IFERROR(__xludf.DUMMYFUNCTION("IF(I$43="""","""",IF($AZ103="""","""",IFERROR(Query({CarteirasAtivos},""Select Col3 where Col1 = '""&amp;$AZ103&amp;""'and Col2 = '""&amp;Z$21&amp;""'""))))"),"")</f>
        <v/>
      </c>
      <c r="J103" s="384" t="str">
        <f>IFERROR(__xludf.DUMMYFUNCTION("IF(J$43="""","""",IF($AZ103="""","""",IFERROR(Query({CarteirasAtivos},""Select Col3 where Col1 = '""&amp;$AZ103&amp;""'and Col2 = '""&amp;AA$21&amp;""'""))))"),"")</f>
        <v/>
      </c>
      <c r="K103" s="384" t="str">
        <f>IFERROR(__xludf.DUMMYFUNCTION("IF(K$43="""","""",IF($AZ103="""","""",IFERROR(Query({CarteirasAtivos},""Select Col3 where Col1 = '""&amp;$AZ103&amp;""'and Col2 = '""&amp;AB$21&amp;""'""))))"),"")</f>
        <v/>
      </c>
      <c r="L103" s="385">
        <v>60.0</v>
      </c>
      <c r="M103" s="503"/>
      <c r="N103" s="387"/>
      <c r="O103" s="388" t="s">
        <v>123</v>
      </c>
      <c r="P103" s="389"/>
      <c r="Q103" s="390"/>
      <c r="R103" s="391"/>
      <c r="S103" s="392"/>
      <c r="T103" s="393"/>
      <c r="U103" s="393"/>
      <c r="V103" s="394"/>
      <c r="W103" s="395" t="str">
        <f>IFERROR(__xludf.DUMMYFUNCTION("IF(M103="""","""",sparkline(IFERROR(BF103*100/MAX($BF$44:$BF$153),0),{""charttype"",""bar"";""max"",100;""color1"",IF(BD103&gt;=0,""#4760a5"",""red"")}))"),"")</f>
        <v/>
      </c>
      <c r="X103" s="396"/>
      <c r="Y103" s="466"/>
      <c r="Z103" s="398"/>
      <c r="AA103" s="399"/>
      <c r="AB103" s="393"/>
      <c r="AC103" s="476"/>
      <c r="AD103" s="401"/>
      <c r="AE103" s="402"/>
      <c r="AF103" s="403"/>
      <c r="AG103" s="404" t="str">
        <f>IFERROR(__xludf.DUMMYFUNCTION("IF($M103="""","""",IFERROR(sparkline(query(GOOGLEFINANCE($AZ103,""price"",TODAY()-$AF$43,TODAY(),1),""select Col2 label Col2 ''""),IF($AG$43=""Gráfico de barras"",{""charttype"",""column"";""highcolor"",""red""},{""chartype"",""line""}))))"),"")</f>
        <v/>
      </c>
      <c r="AH103" s="405"/>
      <c r="AI103" s="467"/>
      <c r="AJ103" s="467"/>
      <c r="AK103" s="467"/>
      <c r="AL103" s="467"/>
      <c r="AM103" s="442"/>
      <c r="AN103" s="56"/>
      <c r="AU103" s="281"/>
      <c r="AV103" s="281"/>
      <c r="AW103" s="281"/>
      <c r="AX103" s="281"/>
      <c r="AY103" s="410">
        <v>60.0</v>
      </c>
      <c r="AZ103" s="411"/>
      <c r="BA103" s="411"/>
      <c r="BB103" s="437"/>
      <c r="BC103" s="437"/>
      <c r="BD103" s="437"/>
      <c r="BE103" s="437"/>
      <c r="BF103" s="415" t="s">
        <v>123</v>
      </c>
      <c r="BG103" s="410">
        <v>60.0</v>
      </c>
      <c r="BH103" s="416"/>
      <c r="BI103" s="416"/>
      <c r="BJ103" s="416"/>
      <c r="BK103" s="416"/>
      <c r="BL103" s="416"/>
      <c r="BM103" s="416"/>
      <c r="BN103" s="282"/>
      <c r="BO103" s="490"/>
      <c r="BP103" s="505" t="str">
        <f t="array" ref="BP103:BP115">IF(NOT(ConfigOn),"",TEXT(BQ103:BQ115,"dddd"))</f>
        <v>quarta-feira</v>
      </c>
      <c r="BQ103" s="506">
        <f>IFERROR(__xludf.DUMMYFUNCTION("IF(NOT(ConfigOn),"""",IFERROR(query({GOOGLEFINANCE(""INDEXBVMF:""&amp;$BP$81,""price"",$BR$77-14,$BR$77);IF($BS$77=0,$BR$77,""""),IF($BS$77=0,GoogleFinance(""INDEXBVMF:""&amp;$BP$81),"""")}, ""select Col1, Col2 label Col1 '', Col2 ''"")))"),46078.705555555556)</f>
        <v>46078.70556</v>
      </c>
      <c r="BR103" s="499">
        <f>IFERROR(__xludf.DUMMYFUNCTION("""COMPUTED_VALUE"""),3876.96)</f>
        <v>3876.96</v>
      </c>
      <c r="BS103" s="499"/>
      <c r="BT103" s="507"/>
      <c r="BU103" s="508"/>
      <c r="BV103" s="489"/>
      <c r="BW103" s="63"/>
      <c r="BX103" s="62"/>
      <c r="BY103" s="452"/>
      <c r="BZ103" s="452"/>
      <c r="CA103" s="452"/>
      <c r="CB103" s="452"/>
      <c r="CC103" s="452"/>
      <c r="CD103" s="452"/>
      <c r="CE103" s="452"/>
      <c r="CF103" s="452"/>
      <c r="CG103" s="452"/>
      <c r="CH103" s="422"/>
      <c r="CI103" s="422"/>
      <c r="CJ103" s="422"/>
      <c r="CK103" s="421"/>
      <c r="CL103" s="421" t="s">
        <v>123</v>
      </c>
      <c r="CM103" s="423"/>
      <c r="CN103" s="421"/>
      <c r="CO103" s="423"/>
      <c r="CP103" s="421"/>
      <c r="CQ103" s="63"/>
      <c r="CR103" s="63"/>
      <c r="CS103" s="63"/>
      <c r="CT103" s="63"/>
      <c r="CU103" s="447"/>
      <c r="CV103" s="447"/>
      <c r="CW103" s="447"/>
      <c r="CX103" s="447"/>
      <c r="CY103" s="447"/>
      <c r="CZ103" s="447"/>
      <c r="DA103" s="447"/>
      <c r="DB103" s="447"/>
      <c r="DC103" s="447"/>
      <c r="DD103" s="447"/>
      <c r="DE103" s="447"/>
      <c r="DF103" s="447"/>
      <c r="DG103" s="447"/>
      <c r="DH103" s="447"/>
      <c r="DI103" s="447"/>
      <c r="DJ103" s="447"/>
      <c r="DK103" s="447"/>
      <c r="DL103" s="67"/>
      <c r="DM103" s="67"/>
      <c r="DN103" s="67"/>
      <c r="DO103" s="67"/>
      <c r="DP103" s="67"/>
      <c r="DQ103" s="67"/>
    </row>
    <row r="104" ht="22.5" customHeight="1">
      <c r="A104" s="383"/>
      <c r="B104" s="384" t="str">
        <f>IFERROR(__xludf.DUMMYFUNCTION("IF(B$43="""","""",IF($AZ104="""","""",IFERROR(Query({CarteirasAtivos},""Select Col3 where Col1 = '""&amp;$AZ104&amp;""'and Col2 = '""&amp;S$21&amp;""'""))))"),"")</f>
        <v/>
      </c>
      <c r="C104" s="384" t="str">
        <f>IFERROR(__xludf.DUMMYFUNCTION("IF(C$43="""","""",IF($AZ104="""","""",IFERROR(Query({CarteirasAtivos},""Select Col3 where Col1 = '""&amp;$AZ104&amp;""'and Col2 = '""&amp;T$21&amp;""'""))))"),"")</f>
        <v/>
      </c>
      <c r="D104" s="384" t="str">
        <f>IFERROR(__xludf.DUMMYFUNCTION("IF(D$43="""","""",IF($AZ104="""","""",IFERROR(Query({CarteirasAtivos},""Select Col3 where Col1 = '""&amp;$AZ104&amp;""'and Col2 = '""&amp;U$21&amp;""'""))))"),"")</f>
        <v/>
      </c>
      <c r="E104" s="384" t="str">
        <f>IFERROR(__xludf.DUMMYFUNCTION("IF(E$43="""","""",IF($AZ104="""","""",IFERROR(Query({CarteirasAtivos},""Select Col3 where Col1 = '""&amp;$AZ104&amp;""'and Col2 = '""&amp;V$21&amp;""'""))))"),"")</f>
        <v/>
      </c>
      <c r="F104" s="384" t="str">
        <f>IFERROR(__xludf.DUMMYFUNCTION("IF(F$43="""","""",IF($AZ104="""","""",IFERROR(Query({CarteirasAtivos},""Select Col3 where Col1 = '""&amp;$AZ104&amp;""'and Col2 = '""&amp;W$21&amp;""'""))))"),"")</f>
        <v/>
      </c>
      <c r="G104" s="384" t="str">
        <f>IFERROR(__xludf.DUMMYFUNCTION("IF(G$43="""","""",IF($AZ104="""","""",IFERROR(Query({CarteirasAtivos},""Select Col3 where Col1 = '""&amp;$AZ104&amp;""'and Col2 = '""&amp;X$21&amp;""'""))))"),"")</f>
        <v/>
      </c>
      <c r="H104" s="384" t="str">
        <f>IFERROR(__xludf.DUMMYFUNCTION("IF(H$43="""","""",IF($AZ104="""","""",IFERROR(Query({CarteirasAtivos},""Select Col3 where Col1 = '""&amp;$AZ104&amp;""'and Col2 = '""&amp;Y$21&amp;""'""))))"),"")</f>
        <v/>
      </c>
      <c r="I104" s="384" t="str">
        <f>IFERROR(__xludf.DUMMYFUNCTION("IF(I$43="""","""",IF($AZ104="""","""",IFERROR(Query({CarteirasAtivos},""Select Col3 where Col1 = '""&amp;$AZ104&amp;""'and Col2 = '""&amp;Z$21&amp;""'""))))"),"")</f>
        <v/>
      </c>
      <c r="J104" s="384" t="str">
        <f>IFERROR(__xludf.DUMMYFUNCTION("IF(J$43="""","""",IF($AZ104="""","""",IFERROR(Query({CarteirasAtivos},""Select Col3 where Col1 = '""&amp;$AZ104&amp;""'and Col2 = '""&amp;AA$21&amp;""'""))))"),"")</f>
        <v/>
      </c>
      <c r="K104" s="384" t="str">
        <f>IFERROR(__xludf.DUMMYFUNCTION("IF(K$43="""","""",IF($AZ104="""","""",IFERROR(Query({CarteirasAtivos},""Select Col3 where Col1 = '""&amp;$AZ104&amp;""'and Col2 = '""&amp;AB$21&amp;""'""))))"),"")</f>
        <v/>
      </c>
      <c r="L104" s="385">
        <v>61.0</v>
      </c>
      <c r="M104" s="503"/>
      <c r="N104" s="387"/>
      <c r="O104" s="388" t="s">
        <v>123</v>
      </c>
      <c r="P104" s="389"/>
      <c r="Q104" s="390"/>
      <c r="R104" s="391"/>
      <c r="S104" s="392"/>
      <c r="T104" s="393"/>
      <c r="U104" s="393"/>
      <c r="V104" s="394"/>
      <c r="W104" s="395" t="str">
        <f>IFERROR(__xludf.DUMMYFUNCTION("IF(M104="""","""",sparkline(IFERROR(BF104*100/MAX($BF$44:$BF$153),0),{""charttype"",""bar"";""max"",100;""color1"",IF(BD104&gt;=0,""#4760a5"",""red"")}))"),"")</f>
        <v/>
      </c>
      <c r="X104" s="396"/>
      <c r="Y104" s="466"/>
      <c r="Z104" s="398"/>
      <c r="AA104" s="399"/>
      <c r="AB104" s="393"/>
      <c r="AC104" s="476"/>
      <c r="AD104" s="401"/>
      <c r="AE104" s="402"/>
      <c r="AF104" s="403"/>
      <c r="AG104" s="404" t="str">
        <f>IFERROR(__xludf.DUMMYFUNCTION("IF($M104="""","""",IFERROR(sparkline(query(GOOGLEFINANCE($AZ104,""price"",TODAY()-$AF$43,TODAY(),1),""select Col2 label Col2 ''""),IF($AG$43=""Gráfico de barras"",{""charttype"",""column"";""highcolor"",""red""},{""chartype"",""line""}))))"),"")</f>
        <v/>
      </c>
      <c r="AH104" s="405"/>
      <c r="AI104" s="467"/>
      <c r="AJ104" s="467"/>
      <c r="AK104" s="467"/>
      <c r="AL104" s="467"/>
      <c r="AM104" s="442"/>
      <c r="AN104" s="56"/>
      <c r="AU104" s="281"/>
      <c r="AV104" s="281"/>
      <c r="AW104" s="281"/>
      <c r="AX104" s="281"/>
      <c r="AY104" s="410">
        <v>61.0</v>
      </c>
      <c r="AZ104" s="411"/>
      <c r="BA104" s="411"/>
      <c r="BB104" s="437"/>
      <c r="BC104" s="437"/>
      <c r="BD104" s="437"/>
      <c r="BE104" s="437"/>
      <c r="BF104" s="415" t="s">
        <v>123</v>
      </c>
      <c r="BG104" s="410">
        <v>61.0</v>
      </c>
      <c r="BH104" s="416"/>
      <c r="BI104" s="416"/>
      <c r="BJ104" s="416"/>
      <c r="BK104" s="416"/>
      <c r="BL104" s="416"/>
      <c r="BM104" s="416"/>
      <c r="BN104" s="282"/>
      <c r="BO104" s="509">
        <v>1.0</v>
      </c>
      <c r="BP104" s="482" t="s">
        <v>340</v>
      </c>
      <c r="BQ104" s="506">
        <f>IFERROR(__xludf.DUMMYFUNCTION("""COMPUTED_VALUE"""),46079.705555555556)</f>
        <v>46079.70556</v>
      </c>
      <c r="BR104" s="499">
        <f>IFERROR(__xludf.DUMMYFUNCTION("""COMPUTED_VALUE"""),3885.14)</f>
        <v>3885.14</v>
      </c>
      <c r="BS104" s="499">
        <f t="array" ref="BS104:BS115">if(BQ104:BQ115="","",BR104:BR115-BR103:BR114)</f>
        <v>8.18</v>
      </c>
      <c r="BT104" s="507">
        <f t="array" ref="BT104:BT115">if(BQ104:BQ115="","",((BR104:BR115/BR103:BR114)-1)*100)</f>
        <v>0.2109900541</v>
      </c>
      <c r="BU104" s="499">
        <f>IFERROR(__xludf.DUMMYFUNCTION("query({BS104:BS115},""select Col1 limit ""&amp;10)"),8.179999999999836)</f>
        <v>8.18</v>
      </c>
      <c r="BV104" s="489"/>
      <c r="BW104" s="63"/>
      <c r="BX104" s="62"/>
      <c r="BY104" s="452"/>
      <c r="BZ104" s="452"/>
      <c r="CA104" s="452"/>
      <c r="CB104" s="452"/>
      <c r="CC104" s="452"/>
      <c r="CD104" s="452"/>
      <c r="CE104" s="452"/>
      <c r="CF104" s="452"/>
      <c r="CG104" s="452"/>
      <c r="CH104" s="422"/>
      <c r="CI104" s="422"/>
      <c r="CJ104" s="422"/>
      <c r="CK104" s="421"/>
      <c r="CL104" s="421" t="s">
        <v>123</v>
      </c>
      <c r="CM104" s="423"/>
      <c r="CN104" s="421"/>
      <c r="CO104" s="423"/>
      <c r="CP104" s="421"/>
      <c r="CQ104" s="63"/>
      <c r="CR104" s="63"/>
      <c r="CS104" s="63"/>
      <c r="CT104" s="63"/>
      <c r="CU104" s="447"/>
      <c r="CV104" s="447"/>
      <c r="CW104" s="447"/>
      <c r="CX104" s="447"/>
      <c r="CY104" s="447"/>
      <c r="CZ104" s="447"/>
      <c r="DA104" s="447"/>
      <c r="DB104" s="447"/>
      <c r="DC104" s="447"/>
      <c r="DD104" s="447"/>
      <c r="DE104" s="447"/>
      <c r="DF104" s="447"/>
      <c r="DG104" s="447"/>
      <c r="DH104" s="447"/>
      <c r="DI104" s="447"/>
      <c r="DJ104" s="447"/>
      <c r="DK104" s="447"/>
      <c r="DL104" s="67"/>
      <c r="DM104" s="67"/>
      <c r="DN104" s="67"/>
      <c r="DO104" s="67"/>
      <c r="DP104" s="67"/>
      <c r="DQ104" s="67"/>
    </row>
    <row r="105" ht="22.5" customHeight="1">
      <c r="A105" s="383"/>
      <c r="B105" s="384" t="str">
        <f>IFERROR(__xludf.DUMMYFUNCTION("IF(B$43="""","""",IF($AZ105="""","""",IFERROR(Query({CarteirasAtivos},""Select Col3 where Col1 = '""&amp;$AZ105&amp;""'and Col2 = '""&amp;S$21&amp;""'""))))"),"")</f>
        <v/>
      </c>
      <c r="C105" s="384" t="str">
        <f>IFERROR(__xludf.DUMMYFUNCTION("IF(C$43="""","""",IF($AZ105="""","""",IFERROR(Query({CarteirasAtivos},""Select Col3 where Col1 = '""&amp;$AZ105&amp;""'and Col2 = '""&amp;T$21&amp;""'""))))"),"")</f>
        <v/>
      </c>
      <c r="D105" s="384" t="str">
        <f>IFERROR(__xludf.DUMMYFUNCTION("IF(D$43="""","""",IF($AZ105="""","""",IFERROR(Query({CarteirasAtivos},""Select Col3 where Col1 = '""&amp;$AZ105&amp;""'and Col2 = '""&amp;U$21&amp;""'""))))"),"")</f>
        <v/>
      </c>
      <c r="E105" s="384" t="str">
        <f>IFERROR(__xludf.DUMMYFUNCTION("IF(E$43="""","""",IF($AZ105="""","""",IFERROR(Query({CarteirasAtivos},""Select Col3 where Col1 = '""&amp;$AZ105&amp;""'and Col2 = '""&amp;V$21&amp;""'""))))"),"")</f>
        <v/>
      </c>
      <c r="F105" s="384" t="str">
        <f>IFERROR(__xludf.DUMMYFUNCTION("IF(F$43="""","""",IF($AZ105="""","""",IFERROR(Query({CarteirasAtivos},""Select Col3 where Col1 = '""&amp;$AZ105&amp;""'and Col2 = '""&amp;W$21&amp;""'""))))"),"")</f>
        <v/>
      </c>
      <c r="G105" s="384" t="str">
        <f>IFERROR(__xludf.DUMMYFUNCTION("IF(G$43="""","""",IF($AZ105="""","""",IFERROR(Query({CarteirasAtivos},""Select Col3 where Col1 = '""&amp;$AZ105&amp;""'and Col2 = '""&amp;X$21&amp;""'""))))"),"")</f>
        <v/>
      </c>
      <c r="H105" s="384" t="str">
        <f>IFERROR(__xludf.DUMMYFUNCTION("IF(H$43="""","""",IF($AZ105="""","""",IFERROR(Query({CarteirasAtivos},""Select Col3 where Col1 = '""&amp;$AZ105&amp;""'and Col2 = '""&amp;Y$21&amp;""'""))))"),"")</f>
        <v/>
      </c>
      <c r="I105" s="384" t="str">
        <f>IFERROR(__xludf.DUMMYFUNCTION("IF(I$43="""","""",IF($AZ105="""","""",IFERROR(Query({CarteirasAtivos},""Select Col3 where Col1 = '""&amp;$AZ105&amp;""'and Col2 = '""&amp;Z$21&amp;""'""))))"),"")</f>
        <v/>
      </c>
      <c r="J105" s="384" t="str">
        <f>IFERROR(__xludf.DUMMYFUNCTION("IF(J$43="""","""",IF($AZ105="""","""",IFERROR(Query({CarteirasAtivos},""Select Col3 where Col1 = '""&amp;$AZ105&amp;""'and Col2 = '""&amp;AA$21&amp;""'""))))"),"")</f>
        <v/>
      </c>
      <c r="K105" s="384" t="str">
        <f>IFERROR(__xludf.DUMMYFUNCTION("IF(K$43="""","""",IF($AZ105="""","""",IFERROR(Query({CarteirasAtivos},""Select Col3 where Col1 = '""&amp;$AZ105&amp;""'and Col2 = '""&amp;AB$21&amp;""'""))))"),"")</f>
        <v/>
      </c>
      <c r="L105" s="385">
        <v>62.0</v>
      </c>
      <c r="M105" s="503"/>
      <c r="N105" s="387"/>
      <c r="O105" s="388" t="s">
        <v>123</v>
      </c>
      <c r="P105" s="389"/>
      <c r="Q105" s="390"/>
      <c r="R105" s="391"/>
      <c r="S105" s="392"/>
      <c r="T105" s="393"/>
      <c r="U105" s="393"/>
      <c r="V105" s="394"/>
      <c r="W105" s="395" t="str">
        <f>IFERROR(__xludf.DUMMYFUNCTION("IF(M105="""","""",sparkline(IFERROR(BF105*100/MAX($BF$44:$BF$153),0),{""charttype"",""bar"";""max"",100;""color1"",IF(BD105&gt;=0,""#4760a5"",""red"")}))"),"")</f>
        <v/>
      </c>
      <c r="X105" s="396"/>
      <c r="Y105" s="466"/>
      <c r="Z105" s="398"/>
      <c r="AA105" s="399"/>
      <c r="AB105" s="393"/>
      <c r="AC105" s="476"/>
      <c r="AD105" s="401"/>
      <c r="AE105" s="402"/>
      <c r="AF105" s="403"/>
      <c r="AG105" s="404" t="str">
        <f>IFERROR(__xludf.DUMMYFUNCTION("IF($M105="""","""",IFERROR(sparkline(query(GOOGLEFINANCE($AZ105,""price"",TODAY()-$AF$43,TODAY(),1),""select Col2 label Col2 ''""),IF($AG$43=""Gráfico de barras"",{""charttype"",""column"";""highcolor"",""red""},{""chartype"",""line""}))))"),"")</f>
        <v/>
      </c>
      <c r="AH105" s="405"/>
      <c r="AI105" s="467"/>
      <c r="AJ105" s="467"/>
      <c r="AK105" s="467"/>
      <c r="AL105" s="467"/>
      <c r="AM105" s="442"/>
      <c r="AN105" s="56"/>
      <c r="AU105" s="281"/>
      <c r="AV105" s="281"/>
      <c r="AW105" s="281"/>
      <c r="AX105" s="281"/>
      <c r="AY105" s="410">
        <v>62.0</v>
      </c>
      <c r="AZ105" s="411"/>
      <c r="BA105" s="411"/>
      <c r="BB105" s="437"/>
      <c r="BC105" s="437"/>
      <c r="BD105" s="437"/>
      <c r="BE105" s="437"/>
      <c r="BF105" s="415" t="s">
        <v>123</v>
      </c>
      <c r="BG105" s="410">
        <v>62.0</v>
      </c>
      <c r="BH105" s="416"/>
      <c r="BI105" s="416"/>
      <c r="BJ105" s="416"/>
      <c r="BK105" s="416"/>
      <c r="BL105" s="416"/>
      <c r="BM105" s="416"/>
      <c r="BN105" s="282"/>
      <c r="BO105" s="509">
        <v>2.0</v>
      </c>
      <c r="BP105" s="482" t="s">
        <v>341</v>
      </c>
      <c r="BQ105" s="506">
        <f>IFERROR(__xludf.DUMMYFUNCTION("""COMPUTED_VALUE"""),46080.705555555556)</f>
        <v>46080.70556</v>
      </c>
      <c r="BR105" s="499">
        <f>IFERROR(__xludf.DUMMYFUNCTION("""COMPUTED_VALUE"""),3911.99)</f>
        <v>3911.99</v>
      </c>
      <c r="BS105" s="499">
        <v>26.84999999999991</v>
      </c>
      <c r="BT105" s="507">
        <v>0.6910947868030481</v>
      </c>
      <c r="BU105" s="499">
        <f>IFERROR(__xludf.DUMMYFUNCTION("""COMPUTED_VALUE"""),26.84999999999991)</f>
        <v>26.85</v>
      </c>
      <c r="BV105" s="489"/>
      <c r="BW105" s="63"/>
      <c r="BX105" s="62"/>
      <c r="BY105" s="452"/>
      <c r="BZ105" s="452"/>
      <c r="CA105" s="452"/>
      <c r="CB105" s="452"/>
      <c r="CC105" s="452"/>
      <c r="CD105" s="452"/>
      <c r="CE105" s="452"/>
      <c r="CF105" s="452"/>
      <c r="CG105" s="452"/>
      <c r="CH105" s="422"/>
      <c r="CI105" s="422"/>
      <c r="CJ105" s="422"/>
      <c r="CK105" s="421"/>
      <c r="CL105" s="421" t="s">
        <v>123</v>
      </c>
      <c r="CM105" s="423"/>
      <c r="CN105" s="421"/>
      <c r="CO105" s="423"/>
      <c r="CP105" s="421"/>
      <c r="CQ105" s="63"/>
      <c r="CR105" s="63"/>
      <c r="CS105" s="63"/>
      <c r="CT105" s="63"/>
      <c r="CU105" s="447"/>
      <c r="CV105" s="447"/>
      <c r="CW105" s="447"/>
      <c r="CX105" s="447"/>
      <c r="CY105" s="447"/>
      <c r="CZ105" s="447"/>
      <c r="DA105" s="447"/>
      <c r="DB105" s="447"/>
      <c r="DC105" s="447"/>
      <c r="DD105" s="447"/>
      <c r="DE105" s="447"/>
      <c r="DF105" s="447"/>
      <c r="DG105" s="447"/>
      <c r="DH105" s="447"/>
      <c r="DI105" s="447"/>
      <c r="DJ105" s="447"/>
      <c r="DK105" s="447"/>
      <c r="DL105" s="67"/>
      <c r="DM105" s="67"/>
      <c r="DN105" s="67"/>
      <c r="DO105" s="67"/>
      <c r="DP105" s="67"/>
      <c r="DQ105" s="67"/>
    </row>
    <row r="106" ht="22.5" customHeight="1">
      <c r="A106" s="383"/>
      <c r="B106" s="384" t="str">
        <f>IFERROR(__xludf.DUMMYFUNCTION("IF(B$43="""","""",IF($AZ106="""","""",IFERROR(Query({CarteirasAtivos},""Select Col3 where Col1 = '""&amp;$AZ106&amp;""'and Col2 = '""&amp;S$21&amp;""'""))))"),"")</f>
        <v/>
      </c>
      <c r="C106" s="384" t="str">
        <f>IFERROR(__xludf.DUMMYFUNCTION("IF(C$43="""","""",IF($AZ106="""","""",IFERROR(Query({CarteirasAtivos},""Select Col3 where Col1 = '""&amp;$AZ106&amp;""'and Col2 = '""&amp;T$21&amp;""'""))))"),"")</f>
        <v/>
      </c>
      <c r="D106" s="384" t="str">
        <f>IFERROR(__xludf.DUMMYFUNCTION("IF(D$43="""","""",IF($AZ106="""","""",IFERROR(Query({CarteirasAtivos},""Select Col3 where Col1 = '""&amp;$AZ106&amp;""'and Col2 = '""&amp;U$21&amp;""'""))))"),"")</f>
        <v/>
      </c>
      <c r="E106" s="384" t="str">
        <f>IFERROR(__xludf.DUMMYFUNCTION("IF(E$43="""","""",IF($AZ106="""","""",IFERROR(Query({CarteirasAtivos},""Select Col3 where Col1 = '""&amp;$AZ106&amp;""'and Col2 = '""&amp;V$21&amp;""'""))))"),"")</f>
        <v/>
      </c>
      <c r="F106" s="384" t="str">
        <f>IFERROR(__xludf.DUMMYFUNCTION("IF(F$43="""","""",IF($AZ106="""","""",IFERROR(Query({CarteirasAtivos},""Select Col3 where Col1 = '""&amp;$AZ106&amp;""'and Col2 = '""&amp;W$21&amp;""'""))))"),"")</f>
        <v/>
      </c>
      <c r="G106" s="384" t="str">
        <f>IFERROR(__xludf.DUMMYFUNCTION("IF(G$43="""","""",IF($AZ106="""","""",IFERROR(Query({CarteirasAtivos},""Select Col3 where Col1 = '""&amp;$AZ106&amp;""'and Col2 = '""&amp;X$21&amp;""'""))))"),"")</f>
        <v/>
      </c>
      <c r="H106" s="384" t="str">
        <f>IFERROR(__xludf.DUMMYFUNCTION("IF(H$43="""","""",IF($AZ106="""","""",IFERROR(Query({CarteirasAtivos},""Select Col3 where Col1 = '""&amp;$AZ106&amp;""'and Col2 = '""&amp;Y$21&amp;""'""))))"),"")</f>
        <v/>
      </c>
      <c r="I106" s="384" t="str">
        <f>IFERROR(__xludf.DUMMYFUNCTION("IF(I$43="""","""",IF($AZ106="""","""",IFERROR(Query({CarteirasAtivos},""Select Col3 where Col1 = '""&amp;$AZ106&amp;""'and Col2 = '""&amp;Z$21&amp;""'""))))"),"")</f>
        <v/>
      </c>
      <c r="J106" s="384" t="str">
        <f>IFERROR(__xludf.DUMMYFUNCTION("IF(J$43="""","""",IF($AZ106="""","""",IFERROR(Query({CarteirasAtivos},""Select Col3 where Col1 = '""&amp;$AZ106&amp;""'and Col2 = '""&amp;AA$21&amp;""'""))))"),"")</f>
        <v/>
      </c>
      <c r="K106" s="384" t="str">
        <f>IFERROR(__xludf.DUMMYFUNCTION("IF(K$43="""","""",IF($AZ106="""","""",IFERROR(Query({CarteirasAtivos},""Select Col3 where Col1 = '""&amp;$AZ106&amp;""'and Col2 = '""&amp;AB$21&amp;""'""))))"),"")</f>
        <v/>
      </c>
      <c r="L106" s="385">
        <v>63.0</v>
      </c>
      <c r="M106" s="503"/>
      <c r="N106" s="387"/>
      <c r="O106" s="388" t="s">
        <v>123</v>
      </c>
      <c r="P106" s="389"/>
      <c r="Q106" s="390"/>
      <c r="R106" s="391"/>
      <c r="S106" s="392"/>
      <c r="T106" s="393"/>
      <c r="U106" s="393"/>
      <c r="V106" s="394"/>
      <c r="W106" s="395" t="str">
        <f>IFERROR(__xludf.DUMMYFUNCTION("IF(M106="""","""",sparkline(IFERROR(BF106*100/MAX($BF$44:$BF$153),0),{""charttype"",""bar"";""max"",100;""color1"",IF(BD106&gt;=0,""#4760a5"",""red"")}))"),"")</f>
        <v/>
      </c>
      <c r="X106" s="396"/>
      <c r="Y106" s="466"/>
      <c r="Z106" s="398"/>
      <c r="AA106" s="399"/>
      <c r="AB106" s="393"/>
      <c r="AC106" s="476"/>
      <c r="AD106" s="401"/>
      <c r="AE106" s="402"/>
      <c r="AF106" s="403"/>
      <c r="AG106" s="404" t="str">
        <f>IFERROR(__xludf.DUMMYFUNCTION("IF($M106="""","""",IFERROR(sparkline(query(GOOGLEFINANCE($AZ106,""price"",TODAY()-$AF$43,TODAY(),1),""select Col2 label Col2 ''""),IF($AG$43=""Gráfico de barras"",{""charttype"",""column"";""highcolor"",""red""},{""chartype"",""line""}))))"),"")</f>
        <v/>
      </c>
      <c r="AH106" s="405"/>
      <c r="AI106" s="467"/>
      <c r="AJ106" s="467"/>
      <c r="AK106" s="467"/>
      <c r="AL106" s="467"/>
      <c r="AM106" s="442"/>
      <c r="AN106" s="56"/>
      <c r="AU106" s="281"/>
      <c r="AV106" s="281"/>
      <c r="AW106" s="281"/>
      <c r="AX106" s="281"/>
      <c r="AY106" s="410">
        <v>63.0</v>
      </c>
      <c r="AZ106" s="411"/>
      <c r="BA106" s="411"/>
      <c r="BB106" s="437"/>
      <c r="BC106" s="437"/>
      <c r="BD106" s="437"/>
      <c r="BE106" s="437"/>
      <c r="BF106" s="415" t="s">
        <v>123</v>
      </c>
      <c r="BG106" s="410">
        <v>63.0</v>
      </c>
      <c r="BH106" s="416"/>
      <c r="BI106" s="416"/>
      <c r="BJ106" s="416"/>
      <c r="BK106" s="416"/>
      <c r="BL106" s="416"/>
      <c r="BM106" s="416"/>
      <c r="BN106" s="282"/>
      <c r="BO106" s="509">
        <v>3.0</v>
      </c>
      <c r="BP106" s="482" t="s">
        <v>342</v>
      </c>
      <c r="BQ106" s="506">
        <f>IFERROR(__xludf.DUMMYFUNCTION("""COMPUTED_VALUE"""),46083.705555555556)</f>
        <v>46083.70556</v>
      </c>
      <c r="BR106" s="499">
        <f>IFERROR(__xludf.DUMMYFUNCTION("""COMPUTED_VALUE"""),3906.06)</f>
        <v>3906.06</v>
      </c>
      <c r="BS106" s="499">
        <v>-5.929999999999836</v>
      </c>
      <c r="BT106" s="507">
        <v>-0.15158525456353544</v>
      </c>
      <c r="BU106" s="499">
        <f>IFERROR(__xludf.DUMMYFUNCTION("""COMPUTED_VALUE"""),-5.929999999999836)</f>
        <v>-5.93</v>
      </c>
      <c r="BV106" s="489"/>
      <c r="BW106" s="63"/>
      <c r="BX106" s="62"/>
      <c r="BY106" s="452"/>
      <c r="BZ106" s="452"/>
      <c r="CA106" s="452"/>
      <c r="CB106" s="452"/>
      <c r="CC106" s="452"/>
      <c r="CD106" s="452"/>
      <c r="CE106" s="452"/>
      <c r="CF106" s="452"/>
      <c r="CG106" s="452"/>
      <c r="CH106" s="422"/>
      <c r="CI106" s="422"/>
      <c r="CJ106" s="422"/>
      <c r="CK106" s="421"/>
      <c r="CL106" s="421" t="s">
        <v>123</v>
      </c>
      <c r="CM106" s="423"/>
      <c r="CN106" s="421"/>
      <c r="CO106" s="423"/>
      <c r="CP106" s="421"/>
      <c r="CQ106" s="63"/>
      <c r="CR106" s="63"/>
      <c r="CS106" s="63"/>
      <c r="CT106" s="63"/>
      <c r="CU106" s="447"/>
      <c r="CV106" s="447"/>
      <c r="CW106" s="447"/>
      <c r="CX106" s="447"/>
      <c r="CY106" s="447"/>
      <c r="CZ106" s="447"/>
      <c r="DA106" s="447"/>
      <c r="DB106" s="447"/>
      <c r="DC106" s="447"/>
      <c r="DD106" s="447"/>
      <c r="DE106" s="447"/>
      <c r="DF106" s="447"/>
      <c r="DG106" s="447"/>
      <c r="DH106" s="447"/>
      <c r="DI106" s="447"/>
      <c r="DJ106" s="447"/>
      <c r="DK106" s="447"/>
      <c r="DL106" s="67"/>
      <c r="DM106" s="67"/>
      <c r="DN106" s="67"/>
      <c r="DO106" s="67"/>
      <c r="DP106" s="67"/>
      <c r="DQ106" s="67"/>
    </row>
    <row r="107" ht="22.5" customHeight="1">
      <c r="A107" s="383"/>
      <c r="B107" s="384" t="str">
        <f>IFERROR(__xludf.DUMMYFUNCTION("IF(B$43="""","""",IF($AZ107="""","""",IFERROR(Query({CarteirasAtivos},""Select Col3 where Col1 = '""&amp;$AZ107&amp;""'and Col2 = '""&amp;S$21&amp;""'""))))"),"")</f>
        <v/>
      </c>
      <c r="C107" s="384" t="str">
        <f>IFERROR(__xludf.DUMMYFUNCTION("IF(C$43="""","""",IF($AZ107="""","""",IFERROR(Query({CarteirasAtivos},""Select Col3 where Col1 = '""&amp;$AZ107&amp;""'and Col2 = '""&amp;T$21&amp;""'""))))"),"")</f>
        <v/>
      </c>
      <c r="D107" s="384" t="str">
        <f>IFERROR(__xludf.DUMMYFUNCTION("IF(D$43="""","""",IF($AZ107="""","""",IFERROR(Query({CarteirasAtivos},""Select Col3 where Col1 = '""&amp;$AZ107&amp;""'and Col2 = '""&amp;U$21&amp;""'""))))"),"")</f>
        <v/>
      </c>
      <c r="E107" s="384" t="str">
        <f>IFERROR(__xludf.DUMMYFUNCTION("IF(E$43="""","""",IF($AZ107="""","""",IFERROR(Query({CarteirasAtivos},""Select Col3 where Col1 = '""&amp;$AZ107&amp;""'and Col2 = '""&amp;V$21&amp;""'""))))"),"")</f>
        <v/>
      </c>
      <c r="F107" s="384" t="str">
        <f>IFERROR(__xludf.DUMMYFUNCTION("IF(F$43="""","""",IF($AZ107="""","""",IFERROR(Query({CarteirasAtivos},""Select Col3 where Col1 = '""&amp;$AZ107&amp;""'and Col2 = '""&amp;W$21&amp;""'""))))"),"")</f>
        <v/>
      </c>
      <c r="G107" s="384" t="str">
        <f>IFERROR(__xludf.DUMMYFUNCTION("IF(G$43="""","""",IF($AZ107="""","""",IFERROR(Query({CarteirasAtivos},""Select Col3 where Col1 = '""&amp;$AZ107&amp;""'and Col2 = '""&amp;X$21&amp;""'""))))"),"")</f>
        <v/>
      </c>
      <c r="H107" s="384" t="str">
        <f>IFERROR(__xludf.DUMMYFUNCTION("IF(H$43="""","""",IF($AZ107="""","""",IFERROR(Query({CarteirasAtivos},""Select Col3 where Col1 = '""&amp;$AZ107&amp;""'and Col2 = '""&amp;Y$21&amp;""'""))))"),"")</f>
        <v/>
      </c>
      <c r="I107" s="384" t="str">
        <f>IFERROR(__xludf.DUMMYFUNCTION("IF(I$43="""","""",IF($AZ107="""","""",IFERROR(Query({CarteirasAtivos},""Select Col3 where Col1 = '""&amp;$AZ107&amp;""'and Col2 = '""&amp;Z$21&amp;""'""))))"),"")</f>
        <v/>
      </c>
      <c r="J107" s="384" t="str">
        <f>IFERROR(__xludf.DUMMYFUNCTION("IF(J$43="""","""",IF($AZ107="""","""",IFERROR(Query({CarteirasAtivos},""Select Col3 where Col1 = '""&amp;$AZ107&amp;""'and Col2 = '""&amp;AA$21&amp;""'""))))"),"")</f>
        <v/>
      </c>
      <c r="K107" s="384" t="str">
        <f>IFERROR(__xludf.DUMMYFUNCTION("IF(K$43="""","""",IF($AZ107="""","""",IFERROR(Query({CarteirasAtivos},""Select Col3 where Col1 = '""&amp;$AZ107&amp;""'and Col2 = '""&amp;AB$21&amp;""'""))))"),"")</f>
        <v/>
      </c>
      <c r="L107" s="385">
        <v>64.0</v>
      </c>
      <c r="M107" s="503"/>
      <c r="N107" s="387"/>
      <c r="O107" s="388" t="s">
        <v>123</v>
      </c>
      <c r="P107" s="389"/>
      <c r="Q107" s="390"/>
      <c r="R107" s="391"/>
      <c r="S107" s="392"/>
      <c r="T107" s="393"/>
      <c r="U107" s="393"/>
      <c r="V107" s="394"/>
      <c r="W107" s="395" t="str">
        <f>IFERROR(__xludf.DUMMYFUNCTION("IF(M107="""","""",sparkline(IFERROR(BF107*100/MAX($BF$44:$BF$153),0),{""charttype"",""bar"";""max"",100;""color1"",IF(BD107&gt;=0,""#4760a5"",""red"")}))"),"")</f>
        <v/>
      </c>
      <c r="X107" s="396"/>
      <c r="Y107" s="466"/>
      <c r="Z107" s="398"/>
      <c r="AA107" s="399"/>
      <c r="AB107" s="393"/>
      <c r="AC107" s="476"/>
      <c r="AD107" s="401"/>
      <c r="AE107" s="402"/>
      <c r="AF107" s="403"/>
      <c r="AG107" s="404" t="str">
        <f>IFERROR(__xludf.DUMMYFUNCTION("IF($M107="""","""",IFERROR(sparkline(query(GOOGLEFINANCE($AZ107,""price"",TODAY()-$AF$43,TODAY(),1),""select Col2 label Col2 ''""),IF($AG$43=""Gráfico de barras"",{""charttype"",""column"";""highcolor"",""red""},{""chartype"",""line""}))))"),"")</f>
        <v/>
      </c>
      <c r="AH107" s="405"/>
      <c r="AI107" s="467"/>
      <c r="AJ107" s="467"/>
      <c r="AK107" s="467"/>
      <c r="AL107" s="467"/>
      <c r="AM107" s="442"/>
      <c r="AN107" s="56"/>
      <c r="AU107" s="281"/>
      <c r="AV107" s="281"/>
      <c r="AW107" s="281"/>
      <c r="AX107" s="281"/>
      <c r="AY107" s="410">
        <v>64.0</v>
      </c>
      <c r="AZ107" s="411"/>
      <c r="BA107" s="411"/>
      <c r="BB107" s="437"/>
      <c r="BC107" s="437"/>
      <c r="BD107" s="437"/>
      <c r="BE107" s="437"/>
      <c r="BF107" s="415" t="s">
        <v>123</v>
      </c>
      <c r="BG107" s="410">
        <v>64.0</v>
      </c>
      <c r="BH107" s="416"/>
      <c r="BI107" s="416"/>
      <c r="BJ107" s="416"/>
      <c r="BK107" s="416"/>
      <c r="BL107" s="416"/>
      <c r="BM107" s="416"/>
      <c r="BN107" s="282"/>
      <c r="BO107" s="509">
        <v>4.0</v>
      </c>
      <c r="BP107" s="482" t="s">
        <v>343</v>
      </c>
      <c r="BQ107" s="506">
        <f>IFERROR(__xludf.DUMMYFUNCTION("""COMPUTED_VALUE"""),46084.705555555556)</f>
        <v>46084.70556</v>
      </c>
      <c r="BR107" s="499">
        <f>IFERROR(__xludf.DUMMYFUNCTION("""COMPUTED_VALUE"""),3883.13)</f>
        <v>3883.13</v>
      </c>
      <c r="BS107" s="499">
        <v>-22.929999999999836</v>
      </c>
      <c r="BT107" s="507">
        <v>-0.5870365534579536</v>
      </c>
      <c r="BU107" s="499">
        <f>IFERROR(__xludf.DUMMYFUNCTION("""COMPUTED_VALUE"""),-22.929999999999836)</f>
        <v>-22.93</v>
      </c>
      <c r="BV107" s="489"/>
      <c r="BW107" s="63"/>
      <c r="BX107" s="62"/>
      <c r="BY107" s="452"/>
      <c r="BZ107" s="452"/>
      <c r="CA107" s="452"/>
      <c r="CB107" s="452"/>
      <c r="CC107" s="452"/>
      <c r="CD107" s="452"/>
      <c r="CE107" s="452"/>
      <c r="CF107" s="452"/>
      <c r="CG107" s="452"/>
      <c r="CH107" s="422"/>
      <c r="CI107" s="422"/>
      <c r="CJ107" s="422"/>
      <c r="CK107" s="421"/>
      <c r="CL107" s="421" t="s">
        <v>123</v>
      </c>
      <c r="CM107" s="423"/>
      <c r="CN107" s="421"/>
      <c r="CO107" s="423"/>
      <c r="CP107" s="421"/>
      <c r="CQ107" s="63"/>
      <c r="CR107" s="63"/>
      <c r="CS107" s="63"/>
      <c r="CT107" s="63"/>
      <c r="CU107" s="447"/>
      <c r="CV107" s="447"/>
      <c r="CW107" s="447"/>
      <c r="CX107" s="447"/>
      <c r="CY107" s="447"/>
      <c r="CZ107" s="447"/>
      <c r="DA107" s="447"/>
      <c r="DB107" s="447"/>
      <c r="DC107" s="447"/>
      <c r="DD107" s="447"/>
      <c r="DE107" s="447"/>
      <c r="DF107" s="447"/>
      <c r="DG107" s="447"/>
      <c r="DH107" s="447"/>
      <c r="DI107" s="447"/>
      <c r="DJ107" s="447"/>
      <c r="DK107" s="447"/>
      <c r="DL107" s="67"/>
      <c r="DM107" s="67"/>
      <c r="DN107" s="67"/>
      <c r="DO107" s="67"/>
      <c r="DP107" s="67"/>
      <c r="DQ107" s="67"/>
    </row>
    <row r="108" ht="22.5" customHeight="1">
      <c r="A108" s="383"/>
      <c r="B108" s="384" t="str">
        <f>IFERROR(__xludf.DUMMYFUNCTION("IF(B$43="""","""",IF($AZ108="""","""",IFERROR(Query({CarteirasAtivos},""Select Col3 where Col1 = '""&amp;$AZ108&amp;""'and Col2 = '""&amp;S$21&amp;""'""))))"),"")</f>
        <v/>
      </c>
      <c r="C108" s="384" t="str">
        <f>IFERROR(__xludf.DUMMYFUNCTION("IF(C$43="""","""",IF($AZ108="""","""",IFERROR(Query({CarteirasAtivos},""Select Col3 where Col1 = '""&amp;$AZ108&amp;""'and Col2 = '""&amp;T$21&amp;""'""))))"),"")</f>
        <v/>
      </c>
      <c r="D108" s="384" t="str">
        <f>IFERROR(__xludf.DUMMYFUNCTION("IF(D$43="""","""",IF($AZ108="""","""",IFERROR(Query({CarteirasAtivos},""Select Col3 where Col1 = '""&amp;$AZ108&amp;""'and Col2 = '""&amp;U$21&amp;""'""))))"),"")</f>
        <v/>
      </c>
      <c r="E108" s="384" t="str">
        <f>IFERROR(__xludf.DUMMYFUNCTION("IF(E$43="""","""",IF($AZ108="""","""",IFERROR(Query({CarteirasAtivos},""Select Col3 where Col1 = '""&amp;$AZ108&amp;""'and Col2 = '""&amp;V$21&amp;""'""))))"),"")</f>
        <v/>
      </c>
      <c r="F108" s="384" t="str">
        <f>IFERROR(__xludf.DUMMYFUNCTION("IF(F$43="""","""",IF($AZ108="""","""",IFERROR(Query({CarteirasAtivos},""Select Col3 where Col1 = '""&amp;$AZ108&amp;""'and Col2 = '""&amp;W$21&amp;""'""))))"),"")</f>
        <v/>
      </c>
      <c r="G108" s="384" t="str">
        <f>IFERROR(__xludf.DUMMYFUNCTION("IF(G$43="""","""",IF($AZ108="""","""",IFERROR(Query({CarteirasAtivos},""Select Col3 where Col1 = '""&amp;$AZ108&amp;""'and Col2 = '""&amp;X$21&amp;""'""))))"),"")</f>
        <v/>
      </c>
      <c r="H108" s="384" t="str">
        <f>IFERROR(__xludf.DUMMYFUNCTION("IF(H$43="""","""",IF($AZ108="""","""",IFERROR(Query({CarteirasAtivos},""Select Col3 where Col1 = '""&amp;$AZ108&amp;""'and Col2 = '""&amp;Y$21&amp;""'""))))"),"")</f>
        <v/>
      </c>
      <c r="I108" s="384" t="str">
        <f>IFERROR(__xludf.DUMMYFUNCTION("IF(I$43="""","""",IF($AZ108="""","""",IFERROR(Query({CarteirasAtivos},""Select Col3 where Col1 = '""&amp;$AZ108&amp;""'and Col2 = '""&amp;Z$21&amp;""'""))))"),"")</f>
        <v/>
      </c>
      <c r="J108" s="384" t="str">
        <f>IFERROR(__xludf.DUMMYFUNCTION("IF(J$43="""","""",IF($AZ108="""","""",IFERROR(Query({CarteirasAtivos},""Select Col3 where Col1 = '""&amp;$AZ108&amp;""'and Col2 = '""&amp;AA$21&amp;""'""))))"),"")</f>
        <v/>
      </c>
      <c r="K108" s="384" t="str">
        <f>IFERROR(__xludf.DUMMYFUNCTION("IF(K$43="""","""",IF($AZ108="""","""",IFERROR(Query({CarteirasAtivos},""Select Col3 where Col1 = '""&amp;$AZ108&amp;""'and Col2 = '""&amp;AB$21&amp;""'""))))"),"")</f>
        <v/>
      </c>
      <c r="L108" s="385">
        <v>65.0</v>
      </c>
      <c r="M108" s="503"/>
      <c r="N108" s="387"/>
      <c r="O108" s="388" t="s">
        <v>123</v>
      </c>
      <c r="P108" s="389"/>
      <c r="Q108" s="390"/>
      <c r="R108" s="391"/>
      <c r="S108" s="392"/>
      <c r="T108" s="393"/>
      <c r="U108" s="393"/>
      <c r="V108" s="394"/>
      <c r="W108" s="395" t="str">
        <f>IFERROR(__xludf.DUMMYFUNCTION("IF(M108="""","""",sparkline(IFERROR(BF108*100/MAX($BF$44:$BF$153),0),{""charttype"",""bar"";""max"",100;""color1"",IF(BD108&gt;=0,""#4760a5"",""red"")}))"),"")</f>
        <v/>
      </c>
      <c r="X108" s="396"/>
      <c r="Y108" s="466"/>
      <c r="Z108" s="398"/>
      <c r="AA108" s="399"/>
      <c r="AB108" s="393"/>
      <c r="AC108" s="476"/>
      <c r="AD108" s="401"/>
      <c r="AE108" s="402"/>
      <c r="AF108" s="403"/>
      <c r="AG108" s="404" t="str">
        <f>IFERROR(__xludf.DUMMYFUNCTION("IF($M108="""","""",IFERROR(sparkline(query(GOOGLEFINANCE($AZ108,""price"",TODAY()-$AF$43,TODAY(),1),""select Col2 label Col2 ''""),IF($AG$43=""Gráfico de barras"",{""charttype"",""column"";""highcolor"",""red""},{""chartype"",""line""}))))"),"")</f>
        <v/>
      </c>
      <c r="AH108" s="405"/>
      <c r="AI108" s="467"/>
      <c r="AJ108" s="467"/>
      <c r="AK108" s="467"/>
      <c r="AL108" s="467"/>
      <c r="AM108" s="442"/>
      <c r="AN108" s="56"/>
      <c r="AU108" s="281"/>
      <c r="AV108" s="281"/>
      <c r="AW108" s="281"/>
      <c r="AX108" s="281"/>
      <c r="AY108" s="410">
        <v>65.0</v>
      </c>
      <c r="AZ108" s="411"/>
      <c r="BA108" s="411"/>
      <c r="BB108" s="437"/>
      <c r="BC108" s="437"/>
      <c r="BD108" s="437"/>
      <c r="BE108" s="437"/>
      <c r="BF108" s="415" t="s">
        <v>123</v>
      </c>
      <c r="BG108" s="410">
        <v>65.0</v>
      </c>
      <c r="BH108" s="416"/>
      <c r="BI108" s="416"/>
      <c r="BJ108" s="416"/>
      <c r="BK108" s="416"/>
      <c r="BL108" s="416"/>
      <c r="BM108" s="416"/>
      <c r="BN108" s="282"/>
      <c r="BO108" s="509">
        <v>5.0</v>
      </c>
      <c r="BP108" s="482" t="s">
        <v>344</v>
      </c>
      <c r="BQ108" s="506">
        <f>IFERROR(__xludf.DUMMYFUNCTION("""COMPUTED_VALUE"""),46085.705555555556)</f>
        <v>46085.70556</v>
      </c>
      <c r="BR108" s="499">
        <f>IFERROR(__xludf.DUMMYFUNCTION("""COMPUTED_VALUE"""),3890.89)</f>
        <v>3890.89</v>
      </c>
      <c r="BS108" s="499">
        <v>7.7599999999997635</v>
      </c>
      <c r="BT108" s="507">
        <v>0.19983878984219938</v>
      </c>
      <c r="BU108" s="499">
        <f>IFERROR(__xludf.DUMMYFUNCTION("""COMPUTED_VALUE"""),7.7599999999997635)</f>
        <v>7.76</v>
      </c>
      <c r="BV108" s="489"/>
      <c r="BW108" s="63"/>
      <c r="BX108" s="62"/>
      <c r="BY108" s="452"/>
      <c r="BZ108" s="452"/>
      <c r="CA108" s="452"/>
      <c r="CB108" s="452"/>
      <c r="CC108" s="452"/>
      <c r="CD108" s="452"/>
      <c r="CE108" s="452"/>
      <c r="CF108" s="452"/>
      <c r="CG108" s="452"/>
      <c r="CH108" s="422"/>
      <c r="CI108" s="422"/>
      <c r="CJ108" s="422"/>
      <c r="CK108" s="421"/>
      <c r="CL108" s="421" t="s">
        <v>123</v>
      </c>
      <c r="CM108" s="423"/>
      <c r="CN108" s="421"/>
      <c r="CO108" s="423"/>
      <c r="CP108" s="421"/>
      <c r="CQ108" s="63"/>
      <c r="CR108" s="63"/>
      <c r="CS108" s="63"/>
      <c r="CT108" s="63"/>
      <c r="CU108" s="447"/>
      <c r="CV108" s="447"/>
      <c r="CW108" s="447"/>
      <c r="CX108" s="447"/>
      <c r="CY108" s="447"/>
      <c r="CZ108" s="447"/>
      <c r="DA108" s="447"/>
      <c r="DB108" s="447"/>
      <c r="DC108" s="447"/>
      <c r="DD108" s="447"/>
      <c r="DE108" s="447"/>
      <c r="DF108" s="447"/>
      <c r="DG108" s="447"/>
      <c r="DH108" s="447"/>
      <c r="DI108" s="447"/>
      <c r="DJ108" s="447"/>
      <c r="DK108" s="447"/>
      <c r="DL108" s="447"/>
      <c r="DM108" s="447"/>
      <c r="DN108" s="447"/>
      <c r="DO108" s="67"/>
      <c r="DP108" s="67"/>
      <c r="DQ108" s="67"/>
    </row>
    <row r="109" ht="22.5" customHeight="1">
      <c r="A109" s="383"/>
      <c r="B109" s="384" t="str">
        <f>IFERROR(__xludf.DUMMYFUNCTION("IF(B$43="""","""",IF($AZ109="""","""",IFERROR(Query({CarteirasAtivos},""Select Col3 where Col1 = '""&amp;$AZ109&amp;""'and Col2 = '""&amp;S$21&amp;""'""))))"),"")</f>
        <v/>
      </c>
      <c r="C109" s="384" t="str">
        <f>IFERROR(__xludf.DUMMYFUNCTION("IF(C$43="""","""",IF($AZ109="""","""",IFERROR(Query({CarteirasAtivos},""Select Col3 where Col1 = '""&amp;$AZ109&amp;""'and Col2 = '""&amp;T$21&amp;""'""))))"),"")</f>
        <v/>
      </c>
      <c r="D109" s="384" t="str">
        <f>IFERROR(__xludf.DUMMYFUNCTION("IF(D$43="""","""",IF($AZ109="""","""",IFERROR(Query({CarteirasAtivos},""Select Col3 where Col1 = '""&amp;$AZ109&amp;""'and Col2 = '""&amp;U$21&amp;""'""))))"),"")</f>
        <v/>
      </c>
      <c r="E109" s="384" t="str">
        <f>IFERROR(__xludf.DUMMYFUNCTION("IF(E$43="""","""",IF($AZ109="""","""",IFERROR(Query({CarteirasAtivos},""Select Col3 where Col1 = '""&amp;$AZ109&amp;""'and Col2 = '""&amp;V$21&amp;""'""))))"),"")</f>
        <v/>
      </c>
      <c r="F109" s="384" t="str">
        <f>IFERROR(__xludf.DUMMYFUNCTION("IF(F$43="""","""",IF($AZ109="""","""",IFERROR(Query({CarteirasAtivos},""Select Col3 where Col1 = '""&amp;$AZ109&amp;""'and Col2 = '""&amp;W$21&amp;""'""))))"),"")</f>
        <v/>
      </c>
      <c r="G109" s="384" t="str">
        <f>IFERROR(__xludf.DUMMYFUNCTION("IF(G$43="""","""",IF($AZ109="""","""",IFERROR(Query({CarteirasAtivos},""Select Col3 where Col1 = '""&amp;$AZ109&amp;""'and Col2 = '""&amp;X$21&amp;""'""))))"),"")</f>
        <v/>
      </c>
      <c r="H109" s="384" t="str">
        <f>IFERROR(__xludf.DUMMYFUNCTION("IF(H$43="""","""",IF($AZ109="""","""",IFERROR(Query({CarteirasAtivos},""Select Col3 where Col1 = '""&amp;$AZ109&amp;""'and Col2 = '""&amp;Y$21&amp;""'""))))"),"")</f>
        <v/>
      </c>
      <c r="I109" s="384" t="str">
        <f>IFERROR(__xludf.DUMMYFUNCTION("IF(I$43="""","""",IF($AZ109="""","""",IFERROR(Query({CarteirasAtivos},""Select Col3 where Col1 = '""&amp;$AZ109&amp;""'and Col2 = '""&amp;Z$21&amp;""'""))))"),"")</f>
        <v/>
      </c>
      <c r="J109" s="384" t="str">
        <f>IFERROR(__xludf.DUMMYFUNCTION("IF(J$43="""","""",IF($AZ109="""","""",IFERROR(Query({CarteirasAtivos},""Select Col3 where Col1 = '""&amp;$AZ109&amp;""'and Col2 = '""&amp;AA$21&amp;""'""))))"),"")</f>
        <v/>
      </c>
      <c r="K109" s="384" t="str">
        <f>IFERROR(__xludf.DUMMYFUNCTION("IF(K$43="""","""",IF($AZ109="""","""",IFERROR(Query({CarteirasAtivos},""Select Col3 where Col1 = '""&amp;$AZ109&amp;""'and Col2 = '""&amp;AB$21&amp;""'""))))"),"")</f>
        <v/>
      </c>
      <c r="L109" s="385">
        <v>66.0</v>
      </c>
      <c r="M109" s="503"/>
      <c r="N109" s="387"/>
      <c r="O109" s="388" t="s">
        <v>123</v>
      </c>
      <c r="P109" s="389"/>
      <c r="Q109" s="390"/>
      <c r="R109" s="391"/>
      <c r="S109" s="392"/>
      <c r="T109" s="393"/>
      <c r="U109" s="393"/>
      <c r="V109" s="394"/>
      <c r="W109" s="395" t="str">
        <f>IFERROR(__xludf.DUMMYFUNCTION("IF(M109="""","""",sparkline(IFERROR(BF109*100/MAX($BF$44:$BF$153),0),{""charttype"",""bar"";""max"",100;""color1"",IF(BD109&gt;=0,""#4760a5"",""red"")}))"),"")</f>
        <v/>
      </c>
      <c r="X109" s="396"/>
      <c r="Y109" s="466"/>
      <c r="Z109" s="398"/>
      <c r="AA109" s="399"/>
      <c r="AB109" s="393"/>
      <c r="AC109" s="476"/>
      <c r="AD109" s="401"/>
      <c r="AE109" s="402"/>
      <c r="AF109" s="403"/>
      <c r="AG109" s="404" t="str">
        <f>IFERROR(__xludf.DUMMYFUNCTION("IF($M109="""","""",IFERROR(sparkline(query(GOOGLEFINANCE($AZ109,""price"",TODAY()-$AF$43,TODAY(),1),""select Col2 label Col2 ''""),IF($AG$43=""Gráfico de barras"",{""charttype"",""column"";""highcolor"",""red""},{""chartype"",""line""}))))"),"")</f>
        <v/>
      </c>
      <c r="AH109" s="405"/>
      <c r="AI109" s="467"/>
      <c r="AJ109" s="467"/>
      <c r="AK109" s="467"/>
      <c r="AL109" s="467"/>
      <c r="AM109" s="442"/>
      <c r="AN109" s="442"/>
      <c r="AU109" s="281"/>
      <c r="AV109" s="281"/>
      <c r="AW109" s="281"/>
      <c r="AX109" s="281"/>
      <c r="AY109" s="410">
        <v>66.0</v>
      </c>
      <c r="AZ109" s="411"/>
      <c r="BA109" s="411"/>
      <c r="BB109" s="437"/>
      <c r="BC109" s="437"/>
      <c r="BD109" s="437"/>
      <c r="BE109" s="437"/>
      <c r="BF109" s="415" t="s">
        <v>123</v>
      </c>
      <c r="BG109" s="410">
        <v>66.0</v>
      </c>
      <c r="BH109" s="416"/>
      <c r="BI109" s="416"/>
      <c r="BJ109" s="416"/>
      <c r="BK109" s="416"/>
      <c r="BL109" s="416"/>
      <c r="BM109" s="416"/>
      <c r="BN109" s="282"/>
      <c r="BO109" s="509">
        <v>6.0</v>
      </c>
      <c r="BP109" s="482" t="s">
        <v>340</v>
      </c>
      <c r="BQ109" s="506">
        <f>IFERROR(__xludf.DUMMYFUNCTION("""COMPUTED_VALUE"""),46086.705555555556)</f>
        <v>46086.70556</v>
      </c>
      <c r="BR109" s="499">
        <f>IFERROR(__xludf.DUMMYFUNCTION("""COMPUTED_VALUE"""),3886.14)</f>
        <v>3886.14</v>
      </c>
      <c r="BS109" s="499">
        <v>-4.75</v>
      </c>
      <c r="BT109" s="507">
        <v>-0.12208003824317748</v>
      </c>
      <c r="BU109" s="499">
        <f>IFERROR(__xludf.DUMMYFUNCTION("""COMPUTED_VALUE"""),-4.75)</f>
        <v>-4.75</v>
      </c>
      <c r="BV109" s="489"/>
      <c r="BW109" s="63"/>
      <c r="BX109" s="62"/>
      <c r="BY109" s="452"/>
      <c r="BZ109" s="452"/>
      <c r="CA109" s="452"/>
      <c r="CB109" s="452"/>
      <c r="CC109" s="452"/>
      <c r="CD109" s="452"/>
      <c r="CE109" s="452"/>
      <c r="CF109" s="452"/>
      <c r="CG109" s="452"/>
      <c r="CH109" s="422"/>
      <c r="CI109" s="422"/>
      <c r="CJ109" s="422"/>
      <c r="CK109" s="421"/>
      <c r="CL109" s="421" t="s">
        <v>123</v>
      </c>
      <c r="CM109" s="423"/>
      <c r="CN109" s="421"/>
      <c r="CO109" s="423"/>
      <c r="CP109" s="421"/>
      <c r="CQ109" s="63"/>
      <c r="CR109" s="63"/>
      <c r="CS109" s="63"/>
      <c r="CT109" s="63"/>
      <c r="CU109" s="447"/>
      <c r="CV109" s="447"/>
      <c r="CW109" s="447"/>
      <c r="CX109" s="447"/>
      <c r="CY109" s="447"/>
      <c r="CZ109" s="447"/>
      <c r="DA109" s="447"/>
      <c r="DB109" s="447"/>
      <c r="DC109" s="447"/>
      <c r="DD109" s="447"/>
      <c r="DE109" s="447"/>
      <c r="DF109" s="447"/>
      <c r="DG109" s="447"/>
      <c r="DH109" s="447"/>
      <c r="DI109" s="447"/>
      <c r="DJ109" s="447"/>
      <c r="DK109" s="447"/>
      <c r="DL109" s="67"/>
      <c r="DM109" s="67"/>
      <c r="DN109" s="67"/>
      <c r="DO109" s="67"/>
      <c r="DP109" s="67"/>
      <c r="DQ109" s="67"/>
    </row>
    <row r="110" ht="22.5" customHeight="1">
      <c r="A110" s="383"/>
      <c r="B110" s="384" t="str">
        <f>IFERROR(__xludf.DUMMYFUNCTION("IF(B$43="""","""",IF($AZ110="""","""",IFERROR(Query({CarteirasAtivos},""Select Col3 where Col1 = '""&amp;$AZ110&amp;""'and Col2 = '""&amp;S$21&amp;""'""))))"),"")</f>
        <v/>
      </c>
      <c r="C110" s="384" t="str">
        <f>IFERROR(__xludf.DUMMYFUNCTION("IF(C$43="""","""",IF($AZ110="""","""",IFERROR(Query({CarteirasAtivos},""Select Col3 where Col1 = '""&amp;$AZ110&amp;""'and Col2 = '""&amp;T$21&amp;""'""))))"),"")</f>
        <v/>
      </c>
      <c r="D110" s="384" t="str">
        <f>IFERROR(__xludf.DUMMYFUNCTION("IF(D$43="""","""",IF($AZ110="""","""",IFERROR(Query({CarteirasAtivos},""Select Col3 where Col1 = '""&amp;$AZ110&amp;""'and Col2 = '""&amp;U$21&amp;""'""))))"),"")</f>
        <v/>
      </c>
      <c r="E110" s="384" t="str">
        <f>IFERROR(__xludf.DUMMYFUNCTION("IF(E$43="""","""",IF($AZ110="""","""",IFERROR(Query({CarteirasAtivos},""Select Col3 where Col1 = '""&amp;$AZ110&amp;""'and Col2 = '""&amp;V$21&amp;""'""))))"),"")</f>
        <v/>
      </c>
      <c r="F110" s="384" t="str">
        <f>IFERROR(__xludf.DUMMYFUNCTION("IF(F$43="""","""",IF($AZ110="""","""",IFERROR(Query({CarteirasAtivos},""Select Col3 where Col1 = '""&amp;$AZ110&amp;""'and Col2 = '""&amp;W$21&amp;""'""))))"),"")</f>
        <v/>
      </c>
      <c r="G110" s="384" t="str">
        <f>IFERROR(__xludf.DUMMYFUNCTION("IF(G$43="""","""",IF($AZ110="""","""",IFERROR(Query({CarteirasAtivos},""Select Col3 where Col1 = '""&amp;$AZ110&amp;""'and Col2 = '""&amp;X$21&amp;""'""))))"),"")</f>
        <v/>
      </c>
      <c r="H110" s="384" t="str">
        <f>IFERROR(__xludf.DUMMYFUNCTION("IF(H$43="""","""",IF($AZ110="""","""",IFERROR(Query({CarteirasAtivos},""Select Col3 where Col1 = '""&amp;$AZ110&amp;""'and Col2 = '""&amp;Y$21&amp;""'""))))"),"")</f>
        <v/>
      </c>
      <c r="I110" s="384" t="str">
        <f>IFERROR(__xludf.DUMMYFUNCTION("IF(I$43="""","""",IF($AZ110="""","""",IFERROR(Query({CarteirasAtivos},""Select Col3 where Col1 = '""&amp;$AZ110&amp;""'and Col2 = '""&amp;Z$21&amp;""'""))))"),"")</f>
        <v/>
      </c>
      <c r="J110" s="384" t="str">
        <f>IFERROR(__xludf.DUMMYFUNCTION("IF(J$43="""","""",IF($AZ110="""","""",IFERROR(Query({CarteirasAtivos},""Select Col3 where Col1 = '""&amp;$AZ110&amp;""'and Col2 = '""&amp;AA$21&amp;""'""))))"),"")</f>
        <v/>
      </c>
      <c r="K110" s="384" t="str">
        <f>IFERROR(__xludf.DUMMYFUNCTION("IF(K$43="""","""",IF($AZ110="""","""",IFERROR(Query({CarteirasAtivos},""Select Col3 where Col1 = '""&amp;$AZ110&amp;""'and Col2 = '""&amp;AB$21&amp;""'""))))"),"")</f>
        <v/>
      </c>
      <c r="L110" s="385">
        <v>67.0</v>
      </c>
      <c r="M110" s="503"/>
      <c r="N110" s="387"/>
      <c r="O110" s="388" t="s">
        <v>123</v>
      </c>
      <c r="P110" s="389"/>
      <c r="Q110" s="390"/>
      <c r="R110" s="391"/>
      <c r="S110" s="392"/>
      <c r="T110" s="393"/>
      <c r="U110" s="393"/>
      <c r="V110" s="394"/>
      <c r="W110" s="395" t="str">
        <f>IFERROR(__xludf.DUMMYFUNCTION("IF(M110="""","""",sparkline(IFERROR(BF110*100/MAX($BF$44:$BF$153),0),{""charttype"",""bar"";""max"",100;""color1"",IF(BD110&gt;=0,""#4760a5"",""red"")}))"),"")</f>
        <v/>
      </c>
      <c r="X110" s="396"/>
      <c r="Y110" s="466"/>
      <c r="Z110" s="398"/>
      <c r="AA110" s="399"/>
      <c r="AB110" s="393"/>
      <c r="AC110" s="476"/>
      <c r="AD110" s="401"/>
      <c r="AE110" s="402"/>
      <c r="AF110" s="403"/>
      <c r="AG110" s="404" t="str">
        <f>IFERROR(__xludf.DUMMYFUNCTION("IF($M110="""","""",IFERROR(sparkline(query(GOOGLEFINANCE($AZ110,""price"",TODAY()-$AF$43,TODAY(),1),""select Col2 label Col2 ''""),IF($AG$43=""Gráfico de barras"",{""charttype"",""column"";""highcolor"",""red""},{""chartype"",""line""}))))"),"")</f>
        <v/>
      </c>
      <c r="AH110" s="405"/>
      <c r="AI110" s="467"/>
      <c r="AJ110" s="467"/>
      <c r="AK110" s="467"/>
      <c r="AL110" s="467"/>
      <c r="AM110" s="442"/>
      <c r="AN110" s="442"/>
      <c r="AU110" s="281"/>
      <c r="AV110" s="281"/>
      <c r="AW110" s="281"/>
      <c r="AX110" s="281"/>
      <c r="AY110" s="410">
        <v>67.0</v>
      </c>
      <c r="AZ110" s="411"/>
      <c r="BA110" s="411"/>
      <c r="BB110" s="437"/>
      <c r="BC110" s="437"/>
      <c r="BD110" s="437"/>
      <c r="BE110" s="437"/>
      <c r="BF110" s="415" t="s">
        <v>123</v>
      </c>
      <c r="BG110" s="410">
        <v>67.0</v>
      </c>
      <c r="BH110" s="416"/>
      <c r="BI110" s="416"/>
      <c r="BJ110" s="416"/>
      <c r="BK110" s="416"/>
      <c r="BL110" s="416"/>
      <c r="BM110" s="416"/>
      <c r="BN110" s="282"/>
      <c r="BO110" s="509">
        <v>7.0</v>
      </c>
      <c r="BP110" s="482" t="s">
        <v>341</v>
      </c>
      <c r="BQ110" s="506">
        <f>IFERROR(__xludf.DUMMYFUNCTION("""COMPUTED_VALUE"""),46087.705555555556)</f>
        <v>46087.70556</v>
      </c>
      <c r="BR110" s="499">
        <f>IFERROR(__xludf.DUMMYFUNCTION("""COMPUTED_VALUE"""),3896.62)</f>
        <v>3896.62</v>
      </c>
      <c r="BS110" s="499">
        <v>10.480000000000018</v>
      </c>
      <c r="BT110" s="507">
        <v>0.26967633693073534</v>
      </c>
      <c r="BU110" s="499">
        <f>IFERROR(__xludf.DUMMYFUNCTION("""COMPUTED_VALUE"""),10.480000000000018)</f>
        <v>10.48</v>
      </c>
      <c r="BV110" s="489"/>
      <c r="BW110" s="63"/>
      <c r="BX110" s="62"/>
      <c r="BY110" s="452"/>
      <c r="BZ110" s="452"/>
      <c r="CA110" s="452"/>
      <c r="CB110" s="452"/>
      <c r="CC110" s="452"/>
      <c r="CD110" s="452"/>
      <c r="CE110" s="452"/>
      <c r="CF110" s="452"/>
      <c r="CG110" s="452"/>
      <c r="CH110" s="422"/>
      <c r="CI110" s="422"/>
      <c r="CJ110" s="422"/>
      <c r="CK110" s="421"/>
      <c r="CL110" s="421" t="s">
        <v>123</v>
      </c>
      <c r="CM110" s="423"/>
      <c r="CN110" s="421"/>
      <c r="CO110" s="423"/>
      <c r="CP110" s="421"/>
      <c r="CQ110" s="63"/>
      <c r="CR110" s="63"/>
      <c r="CS110" s="63"/>
      <c r="CT110" s="63"/>
      <c r="CU110" s="447"/>
      <c r="CV110" s="447"/>
      <c r="CW110" s="447"/>
      <c r="CX110" s="447"/>
      <c r="CY110" s="447"/>
      <c r="CZ110" s="447"/>
      <c r="DA110" s="447"/>
      <c r="DB110" s="447"/>
      <c r="DC110" s="447"/>
      <c r="DD110" s="447"/>
      <c r="DE110" s="447"/>
      <c r="DF110" s="447"/>
      <c r="DG110" s="447"/>
      <c r="DH110" s="447"/>
      <c r="DI110" s="447"/>
      <c r="DJ110" s="447"/>
      <c r="DK110" s="447"/>
      <c r="DL110" s="67"/>
      <c r="DM110" s="67"/>
      <c r="DN110" s="67"/>
      <c r="DO110" s="67"/>
      <c r="DP110" s="67"/>
      <c r="DQ110" s="67"/>
    </row>
    <row r="111" ht="22.5" customHeight="1">
      <c r="A111" s="383"/>
      <c r="B111" s="384" t="str">
        <f>IFERROR(__xludf.DUMMYFUNCTION("IF(B$43="""","""",IF($AZ111="""","""",IFERROR(Query({CarteirasAtivos},""Select Col3 where Col1 = '""&amp;$AZ111&amp;""'and Col2 = '""&amp;S$21&amp;""'""))))"),"")</f>
        <v/>
      </c>
      <c r="C111" s="384" t="str">
        <f>IFERROR(__xludf.DUMMYFUNCTION("IF(C$43="""","""",IF($AZ111="""","""",IFERROR(Query({CarteirasAtivos},""Select Col3 where Col1 = '""&amp;$AZ111&amp;""'and Col2 = '""&amp;T$21&amp;""'""))))"),"")</f>
        <v/>
      </c>
      <c r="D111" s="384" t="str">
        <f>IFERROR(__xludf.DUMMYFUNCTION("IF(D$43="""","""",IF($AZ111="""","""",IFERROR(Query({CarteirasAtivos},""Select Col3 where Col1 = '""&amp;$AZ111&amp;""'and Col2 = '""&amp;U$21&amp;""'""))))"),"")</f>
        <v/>
      </c>
      <c r="E111" s="384" t="str">
        <f>IFERROR(__xludf.DUMMYFUNCTION("IF(E$43="""","""",IF($AZ111="""","""",IFERROR(Query({CarteirasAtivos},""Select Col3 where Col1 = '""&amp;$AZ111&amp;""'and Col2 = '""&amp;V$21&amp;""'""))))"),"")</f>
        <v/>
      </c>
      <c r="F111" s="384" t="str">
        <f>IFERROR(__xludf.DUMMYFUNCTION("IF(F$43="""","""",IF($AZ111="""","""",IFERROR(Query({CarteirasAtivos},""Select Col3 where Col1 = '""&amp;$AZ111&amp;""'and Col2 = '""&amp;W$21&amp;""'""))))"),"")</f>
        <v/>
      </c>
      <c r="G111" s="384" t="str">
        <f>IFERROR(__xludf.DUMMYFUNCTION("IF(G$43="""","""",IF($AZ111="""","""",IFERROR(Query({CarteirasAtivos},""Select Col3 where Col1 = '""&amp;$AZ111&amp;""'and Col2 = '""&amp;X$21&amp;""'""))))"),"")</f>
        <v/>
      </c>
      <c r="H111" s="384" t="str">
        <f>IFERROR(__xludf.DUMMYFUNCTION("IF(H$43="""","""",IF($AZ111="""","""",IFERROR(Query({CarteirasAtivos},""Select Col3 where Col1 = '""&amp;$AZ111&amp;""'and Col2 = '""&amp;Y$21&amp;""'""))))"),"")</f>
        <v/>
      </c>
      <c r="I111" s="384" t="str">
        <f>IFERROR(__xludf.DUMMYFUNCTION("IF(I$43="""","""",IF($AZ111="""","""",IFERROR(Query({CarteirasAtivos},""Select Col3 where Col1 = '""&amp;$AZ111&amp;""'and Col2 = '""&amp;Z$21&amp;""'""))))"),"")</f>
        <v/>
      </c>
      <c r="J111" s="384" t="str">
        <f>IFERROR(__xludf.DUMMYFUNCTION("IF(J$43="""","""",IF($AZ111="""","""",IFERROR(Query({CarteirasAtivos},""Select Col3 where Col1 = '""&amp;$AZ111&amp;""'and Col2 = '""&amp;AA$21&amp;""'""))))"),"")</f>
        <v/>
      </c>
      <c r="K111" s="384" t="str">
        <f>IFERROR(__xludf.DUMMYFUNCTION("IF(K$43="""","""",IF($AZ111="""","""",IFERROR(Query({CarteirasAtivos},""Select Col3 where Col1 = '""&amp;$AZ111&amp;""'and Col2 = '""&amp;AB$21&amp;""'""))))"),"")</f>
        <v/>
      </c>
      <c r="L111" s="385">
        <v>68.0</v>
      </c>
      <c r="M111" s="503"/>
      <c r="N111" s="387"/>
      <c r="O111" s="388" t="s">
        <v>123</v>
      </c>
      <c r="P111" s="389"/>
      <c r="Q111" s="390"/>
      <c r="R111" s="391"/>
      <c r="S111" s="392"/>
      <c r="T111" s="393"/>
      <c r="U111" s="393"/>
      <c r="V111" s="394"/>
      <c r="W111" s="395" t="str">
        <f>IFERROR(__xludf.DUMMYFUNCTION("IF(M111="""","""",sparkline(IFERROR(BF111*100/MAX($BF$44:$BF$153),0),{""charttype"",""bar"";""max"",100;""color1"",IF(BD111&gt;=0,""#4760a5"",""red"")}))"),"")</f>
        <v/>
      </c>
      <c r="X111" s="396"/>
      <c r="Y111" s="466"/>
      <c r="Z111" s="398"/>
      <c r="AA111" s="399"/>
      <c r="AB111" s="393"/>
      <c r="AC111" s="476"/>
      <c r="AD111" s="401"/>
      <c r="AE111" s="402"/>
      <c r="AF111" s="403"/>
      <c r="AG111" s="404" t="str">
        <f>IFERROR(__xludf.DUMMYFUNCTION("IF($M111="""","""",IFERROR(sparkline(query(GOOGLEFINANCE($AZ111,""price"",TODAY()-$AF$43,TODAY(),1),""select Col2 label Col2 ''""),IF($AG$43=""Gráfico de barras"",{""charttype"",""column"";""highcolor"",""red""},{""chartype"",""line""}))))"),"")</f>
        <v/>
      </c>
      <c r="AH111" s="405"/>
      <c r="AI111" s="467"/>
      <c r="AJ111" s="467"/>
      <c r="AK111" s="467"/>
      <c r="AL111" s="467"/>
      <c r="AM111" s="442"/>
      <c r="AN111" s="442"/>
      <c r="AU111" s="281"/>
      <c r="AV111" s="281"/>
      <c r="AW111" s="281"/>
      <c r="AX111" s="281"/>
      <c r="AY111" s="410">
        <v>68.0</v>
      </c>
      <c r="AZ111" s="411"/>
      <c r="BA111" s="411"/>
      <c r="BB111" s="437"/>
      <c r="BC111" s="437"/>
      <c r="BD111" s="437"/>
      <c r="BE111" s="437"/>
      <c r="BF111" s="415" t="s">
        <v>123</v>
      </c>
      <c r="BG111" s="410">
        <v>68.0</v>
      </c>
      <c r="BH111" s="416"/>
      <c r="BI111" s="416"/>
      <c r="BJ111" s="416"/>
      <c r="BK111" s="416"/>
      <c r="BL111" s="416"/>
      <c r="BM111" s="416"/>
      <c r="BN111" s="282"/>
      <c r="BO111" s="509">
        <v>8.0</v>
      </c>
      <c r="BP111" s="482" t="s">
        <v>342</v>
      </c>
      <c r="BQ111" s="506">
        <f>IFERROR(__xludf.DUMMYFUNCTION("""COMPUTED_VALUE"""),46090.705555555556)</f>
        <v>46090.70556</v>
      </c>
      <c r="BR111" s="499">
        <f>IFERROR(__xludf.DUMMYFUNCTION("""COMPUTED_VALUE"""),3879.19)</f>
        <v>3879.19</v>
      </c>
      <c r="BS111" s="499">
        <v>-17.429999999999836</v>
      </c>
      <c r="BT111" s="507">
        <v>-0.4473107462364734</v>
      </c>
      <c r="BU111" s="499">
        <f>IFERROR(__xludf.DUMMYFUNCTION("""COMPUTED_VALUE"""),-17.429999999999836)</f>
        <v>-17.43</v>
      </c>
      <c r="BV111" s="489"/>
      <c r="BW111" s="63"/>
      <c r="BX111" s="62"/>
      <c r="BY111" s="452"/>
      <c r="BZ111" s="452"/>
      <c r="CA111" s="452"/>
      <c r="CB111" s="452"/>
      <c r="CC111" s="452"/>
      <c r="CD111" s="452"/>
      <c r="CE111" s="452"/>
      <c r="CF111" s="452"/>
      <c r="CG111" s="452"/>
      <c r="CH111" s="422"/>
      <c r="CI111" s="422"/>
      <c r="CJ111" s="422"/>
      <c r="CK111" s="421"/>
      <c r="CL111" s="421" t="s">
        <v>123</v>
      </c>
      <c r="CM111" s="423"/>
      <c r="CN111" s="421"/>
      <c r="CO111" s="423"/>
      <c r="CP111" s="421"/>
      <c r="CQ111" s="63"/>
      <c r="CR111" s="63"/>
      <c r="CS111" s="63"/>
      <c r="CT111" s="63"/>
      <c r="CU111" s="447"/>
      <c r="CV111" s="447"/>
      <c r="CW111" s="447"/>
      <c r="CX111" s="447"/>
      <c r="CY111" s="447"/>
      <c r="CZ111" s="447"/>
      <c r="DA111" s="447"/>
      <c r="DB111" s="447"/>
      <c r="DC111" s="447"/>
      <c r="DD111" s="447"/>
      <c r="DE111" s="447"/>
      <c r="DF111" s="447"/>
      <c r="DG111" s="447"/>
      <c r="DH111" s="447"/>
      <c r="DI111" s="447"/>
      <c r="DJ111" s="447"/>
      <c r="DK111" s="447"/>
      <c r="DL111" s="67"/>
      <c r="DM111" s="67"/>
      <c r="DN111" s="67"/>
      <c r="DO111" s="67"/>
      <c r="DP111" s="67"/>
      <c r="DQ111" s="67"/>
    </row>
    <row r="112" ht="22.5" customHeight="1">
      <c r="A112" s="383"/>
      <c r="B112" s="384" t="str">
        <f>IFERROR(__xludf.DUMMYFUNCTION("IF(B$43="""","""",IF($AZ112="""","""",IFERROR(Query({CarteirasAtivos},""Select Col3 where Col1 = '""&amp;$AZ112&amp;""'and Col2 = '""&amp;S$21&amp;""'""))))"),"")</f>
        <v/>
      </c>
      <c r="C112" s="384" t="str">
        <f>IFERROR(__xludf.DUMMYFUNCTION("IF(C$43="""","""",IF($AZ112="""","""",IFERROR(Query({CarteirasAtivos},""Select Col3 where Col1 = '""&amp;$AZ112&amp;""'and Col2 = '""&amp;T$21&amp;""'""))))"),"")</f>
        <v/>
      </c>
      <c r="D112" s="384" t="str">
        <f>IFERROR(__xludf.DUMMYFUNCTION("IF(D$43="""","""",IF($AZ112="""","""",IFERROR(Query({CarteirasAtivos},""Select Col3 where Col1 = '""&amp;$AZ112&amp;""'and Col2 = '""&amp;U$21&amp;""'""))))"),"")</f>
        <v/>
      </c>
      <c r="E112" s="384" t="str">
        <f>IFERROR(__xludf.DUMMYFUNCTION("IF(E$43="""","""",IF($AZ112="""","""",IFERROR(Query({CarteirasAtivos},""Select Col3 where Col1 = '""&amp;$AZ112&amp;""'and Col2 = '""&amp;V$21&amp;""'""))))"),"")</f>
        <v/>
      </c>
      <c r="F112" s="384" t="str">
        <f>IFERROR(__xludf.DUMMYFUNCTION("IF(F$43="""","""",IF($AZ112="""","""",IFERROR(Query({CarteirasAtivos},""Select Col3 where Col1 = '""&amp;$AZ112&amp;""'and Col2 = '""&amp;W$21&amp;""'""))))"),"")</f>
        <v/>
      </c>
      <c r="G112" s="384" t="str">
        <f>IFERROR(__xludf.DUMMYFUNCTION("IF(G$43="""","""",IF($AZ112="""","""",IFERROR(Query({CarteirasAtivos},""Select Col3 where Col1 = '""&amp;$AZ112&amp;""'and Col2 = '""&amp;X$21&amp;""'""))))"),"")</f>
        <v/>
      </c>
      <c r="H112" s="384" t="str">
        <f>IFERROR(__xludf.DUMMYFUNCTION("IF(H$43="""","""",IF($AZ112="""","""",IFERROR(Query({CarteirasAtivos},""Select Col3 where Col1 = '""&amp;$AZ112&amp;""'and Col2 = '""&amp;Y$21&amp;""'""))))"),"")</f>
        <v/>
      </c>
      <c r="I112" s="384" t="str">
        <f>IFERROR(__xludf.DUMMYFUNCTION("IF(I$43="""","""",IF($AZ112="""","""",IFERROR(Query({CarteirasAtivos},""Select Col3 where Col1 = '""&amp;$AZ112&amp;""'and Col2 = '""&amp;Z$21&amp;""'""))))"),"")</f>
        <v/>
      </c>
      <c r="J112" s="384" t="str">
        <f>IFERROR(__xludf.DUMMYFUNCTION("IF(J$43="""","""",IF($AZ112="""","""",IFERROR(Query({CarteirasAtivos},""Select Col3 where Col1 = '""&amp;$AZ112&amp;""'and Col2 = '""&amp;AA$21&amp;""'""))))"),"")</f>
        <v/>
      </c>
      <c r="K112" s="384" t="str">
        <f>IFERROR(__xludf.DUMMYFUNCTION("IF(K$43="""","""",IF($AZ112="""","""",IFERROR(Query({CarteirasAtivos},""Select Col3 where Col1 = '""&amp;$AZ112&amp;""'and Col2 = '""&amp;AB$21&amp;""'""))))"),"")</f>
        <v/>
      </c>
      <c r="L112" s="385">
        <v>69.0</v>
      </c>
      <c r="M112" s="503"/>
      <c r="N112" s="387"/>
      <c r="O112" s="388" t="s">
        <v>123</v>
      </c>
      <c r="P112" s="389"/>
      <c r="Q112" s="390"/>
      <c r="R112" s="391"/>
      <c r="S112" s="392"/>
      <c r="T112" s="393"/>
      <c r="U112" s="393"/>
      <c r="V112" s="394"/>
      <c r="W112" s="395" t="str">
        <f>IFERROR(__xludf.DUMMYFUNCTION("IF(M112="""","""",sparkline(IFERROR(BF112*100/MAX($BF$44:$BF$153),0),{""charttype"",""bar"";""max"",100;""color1"",IF(BD112&gt;=0,""#4760a5"",""red"")}))"),"")</f>
        <v/>
      </c>
      <c r="X112" s="396"/>
      <c r="Y112" s="466"/>
      <c r="Z112" s="398"/>
      <c r="AA112" s="399"/>
      <c r="AB112" s="393"/>
      <c r="AC112" s="476"/>
      <c r="AD112" s="401"/>
      <c r="AE112" s="402"/>
      <c r="AF112" s="403"/>
      <c r="AG112" s="404" t="str">
        <f>IFERROR(__xludf.DUMMYFUNCTION("IF($M112="""","""",IFERROR(sparkline(query(GOOGLEFINANCE($AZ112,""price"",TODAY()-$AF$43,TODAY(),1),""select Col2 label Col2 ''""),IF($AG$43=""Gráfico de barras"",{""charttype"",""column"";""highcolor"",""red""},{""chartype"",""line""}))))"),"")</f>
        <v/>
      </c>
      <c r="AH112" s="405"/>
      <c r="AI112" s="467"/>
      <c r="AJ112" s="467"/>
      <c r="AK112" s="467"/>
      <c r="AL112" s="467"/>
      <c r="AM112" s="442"/>
      <c r="AN112" s="442"/>
      <c r="AU112" s="281"/>
      <c r="AV112" s="281"/>
      <c r="AW112" s="281"/>
      <c r="AX112" s="281"/>
      <c r="AY112" s="410">
        <v>69.0</v>
      </c>
      <c r="AZ112" s="411"/>
      <c r="BA112" s="411"/>
      <c r="BB112" s="437"/>
      <c r="BC112" s="437"/>
      <c r="BD112" s="437"/>
      <c r="BE112" s="437"/>
      <c r="BF112" s="415" t="s">
        <v>123</v>
      </c>
      <c r="BG112" s="410">
        <v>69.0</v>
      </c>
      <c r="BH112" s="416"/>
      <c r="BI112" s="416"/>
      <c r="BJ112" s="416"/>
      <c r="BK112" s="416"/>
      <c r="BL112" s="416"/>
      <c r="BM112" s="416"/>
      <c r="BN112" s="282"/>
      <c r="BO112" s="509">
        <v>9.0</v>
      </c>
      <c r="BP112" s="482" t="s">
        <v>343</v>
      </c>
      <c r="BQ112" s="506">
        <f>IFERROR(__xludf.DUMMYFUNCTION("""COMPUTED_VALUE"""),46091.705555555556)</f>
        <v>46091.70556</v>
      </c>
      <c r="BR112" s="499">
        <f>IFERROR(__xludf.DUMMYFUNCTION("""COMPUTED_VALUE"""),3876.45)</f>
        <v>3876.45</v>
      </c>
      <c r="BS112" s="499">
        <v>-2.7400000000002365</v>
      </c>
      <c r="BT112" s="507">
        <v>-0.07063330231311671</v>
      </c>
      <c r="BU112" s="499">
        <f>IFERROR(__xludf.DUMMYFUNCTION("""COMPUTED_VALUE"""),-2.7400000000002365)</f>
        <v>-2.74</v>
      </c>
      <c r="BV112" s="489"/>
      <c r="BW112" s="63"/>
      <c r="BX112" s="62"/>
      <c r="BY112" s="452"/>
      <c r="BZ112" s="452"/>
      <c r="CA112" s="452"/>
      <c r="CB112" s="452"/>
      <c r="CC112" s="452"/>
      <c r="CD112" s="452"/>
      <c r="CE112" s="452"/>
      <c r="CF112" s="452"/>
      <c r="CG112" s="452"/>
      <c r="CH112" s="422"/>
      <c r="CI112" s="422"/>
      <c r="CJ112" s="422"/>
      <c r="CK112" s="421"/>
      <c r="CL112" s="421" t="s">
        <v>123</v>
      </c>
      <c r="CM112" s="423"/>
      <c r="CN112" s="421"/>
      <c r="CO112" s="423"/>
      <c r="CP112" s="421"/>
      <c r="CQ112" s="63"/>
      <c r="CR112" s="63"/>
      <c r="CS112" s="63"/>
      <c r="CT112" s="63"/>
      <c r="CU112" s="447"/>
      <c r="CV112" s="447"/>
      <c r="CW112" s="447"/>
      <c r="CX112" s="447"/>
      <c r="CY112" s="447"/>
      <c r="CZ112" s="447"/>
      <c r="DA112" s="447"/>
      <c r="DB112" s="447"/>
      <c r="DC112" s="447"/>
      <c r="DD112" s="447"/>
      <c r="DE112" s="447"/>
      <c r="DF112" s="447"/>
      <c r="DG112" s="447"/>
      <c r="DH112" s="447"/>
      <c r="DI112" s="447"/>
      <c r="DJ112" s="447"/>
      <c r="DK112" s="447"/>
      <c r="DL112" s="67"/>
      <c r="DM112" s="67"/>
      <c r="DN112" s="67"/>
      <c r="DO112" s="67"/>
      <c r="DP112" s="67"/>
      <c r="DQ112" s="67"/>
    </row>
    <row r="113" ht="22.5" customHeight="1">
      <c r="A113" s="383"/>
      <c r="B113" s="384" t="str">
        <f>IFERROR(__xludf.DUMMYFUNCTION("IF(B$43="""","""",IF($AZ113="""","""",IFERROR(Query({CarteirasAtivos},""Select Col3 where Col1 = '""&amp;$AZ113&amp;""'and Col2 = '""&amp;S$21&amp;""'""))))"),"")</f>
        <v/>
      </c>
      <c r="C113" s="384" t="str">
        <f>IFERROR(__xludf.DUMMYFUNCTION("IF(C$43="""","""",IF($AZ113="""","""",IFERROR(Query({CarteirasAtivos},""Select Col3 where Col1 = '""&amp;$AZ113&amp;""'and Col2 = '""&amp;T$21&amp;""'""))))"),"")</f>
        <v/>
      </c>
      <c r="D113" s="384" t="str">
        <f>IFERROR(__xludf.DUMMYFUNCTION("IF(D$43="""","""",IF($AZ113="""","""",IFERROR(Query({CarteirasAtivos},""Select Col3 where Col1 = '""&amp;$AZ113&amp;""'and Col2 = '""&amp;U$21&amp;""'""))))"),"")</f>
        <v/>
      </c>
      <c r="E113" s="384" t="str">
        <f>IFERROR(__xludf.DUMMYFUNCTION("IF(E$43="""","""",IF($AZ113="""","""",IFERROR(Query({CarteirasAtivos},""Select Col3 where Col1 = '""&amp;$AZ113&amp;""'and Col2 = '""&amp;V$21&amp;""'""))))"),"")</f>
        <v/>
      </c>
      <c r="F113" s="384" t="str">
        <f>IFERROR(__xludf.DUMMYFUNCTION("IF(F$43="""","""",IF($AZ113="""","""",IFERROR(Query({CarteirasAtivos},""Select Col3 where Col1 = '""&amp;$AZ113&amp;""'and Col2 = '""&amp;W$21&amp;""'""))))"),"")</f>
        <v/>
      </c>
      <c r="G113" s="384" t="str">
        <f>IFERROR(__xludf.DUMMYFUNCTION("IF(G$43="""","""",IF($AZ113="""","""",IFERROR(Query({CarteirasAtivos},""Select Col3 where Col1 = '""&amp;$AZ113&amp;""'and Col2 = '""&amp;X$21&amp;""'""))))"),"")</f>
        <v/>
      </c>
      <c r="H113" s="384" t="str">
        <f>IFERROR(__xludf.DUMMYFUNCTION("IF(H$43="""","""",IF($AZ113="""","""",IFERROR(Query({CarteirasAtivos},""Select Col3 where Col1 = '""&amp;$AZ113&amp;""'and Col2 = '""&amp;Y$21&amp;""'""))))"),"")</f>
        <v/>
      </c>
      <c r="I113" s="384" t="str">
        <f>IFERROR(__xludf.DUMMYFUNCTION("IF(I$43="""","""",IF($AZ113="""","""",IFERROR(Query({CarteirasAtivos},""Select Col3 where Col1 = '""&amp;$AZ113&amp;""'and Col2 = '""&amp;Z$21&amp;""'""))))"),"")</f>
        <v/>
      </c>
      <c r="J113" s="384" t="str">
        <f>IFERROR(__xludf.DUMMYFUNCTION("IF(J$43="""","""",IF($AZ113="""","""",IFERROR(Query({CarteirasAtivos},""Select Col3 where Col1 = '""&amp;$AZ113&amp;""'and Col2 = '""&amp;AA$21&amp;""'""))))"),"")</f>
        <v/>
      </c>
      <c r="K113" s="384" t="str">
        <f>IFERROR(__xludf.DUMMYFUNCTION("IF(K$43="""","""",IF($AZ113="""","""",IFERROR(Query({CarteirasAtivos},""Select Col3 where Col1 = '""&amp;$AZ113&amp;""'and Col2 = '""&amp;AB$21&amp;""'""))))"),"")</f>
        <v/>
      </c>
      <c r="L113" s="385">
        <v>70.0</v>
      </c>
      <c r="M113" s="503"/>
      <c r="N113" s="387"/>
      <c r="O113" s="388" t="s">
        <v>123</v>
      </c>
      <c r="P113" s="389"/>
      <c r="Q113" s="390"/>
      <c r="R113" s="391"/>
      <c r="S113" s="392"/>
      <c r="T113" s="393"/>
      <c r="U113" s="393"/>
      <c r="V113" s="394"/>
      <c r="W113" s="395" t="str">
        <f>IFERROR(__xludf.DUMMYFUNCTION("IF(M113="""","""",sparkline(IFERROR(BF113*100/MAX($BF$44:$BF$153),0),{""charttype"",""bar"";""max"",100;""color1"",IF(BD113&gt;=0,""#4760a5"",""red"")}))"),"")</f>
        <v/>
      </c>
      <c r="X113" s="396"/>
      <c r="Y113" s="466"/>
      <c r="Z113" s="398"/>
      <c r="AA113" s="399"/>
      <c r="AB113" s="393"/>
      <c r="AC113" s="476"/>
      <c r="AD113" s="401"/>
      <c r="AE113" s="402"/>
      <c r="AF113" s="403"/>
      <c r="AG113" s="404" t="str">
        <f>IFERROR(__xludf.DUMMYFUNCTION("IF($M113="""","""",IFERROR(sparkline(query(GOOGLEFINANCE($AZ113,""price"",TODAY()-$AF$43,TODAY(),1),""select Col2 label Col2 ''""),IF($AG$43=""Gráfico de barras"",{""charttype"",""column"";""highcolor"",""red""},{""chartype"",""line""}))))"),"")</f>
        <v/>
      </c>
      <c r="AH113" s="405"/>
      <c r="AI113" s="467"/>
      <c r="AJ113" s="467"/>
      <c r="AK113" s="467"/>
      <c r="AL113" s="467"/>
      <c r="AM113" s="442"/>
      <c r="AN113" s="442"/>
      <c r="AU113" s="281"/>
      <c r="AV113" s="281"/>
      <c r="AW113" s="281"/>
      <c r="AX113" s="281"/>
      <c r="AY113" s="410">
        <v>70.0</v>
      </c>
      <c r="AZ113" s="411"/>
      <c r="BA113" s="411"/>
      <c r="BB113" s="437"/>
      <c r="BC113" s="437"/>
      <c r="BD113" s="437"/>
      <c r="BE113" s="437"/>
      <c r="BF113" s="415" t="s">
        <v>123</v>
      </c>
      <c r="BG113" s="410">
        <v>70.0</v>
      </c>
      <c r="BH113" s="416"/>
      <c r="BI113" s="416"/>
      <c r="BJ113" s="416"/>
      <c r="BK113" s="416"/>
      <c r="BL113" s="416"/>
      <c r="BM113" s="416"/>
      <c r="BN113" s="282"/>
      <c r="BO113" s="490"/>
      <c r="BP113" s="482" t="s">
        <v>344</v>
      </c>
      <c r="BQ113" s="506">
        <f>IFERROR(__xludf.DUMMYFUNCTION("""COMPUTED_VALUE"""),46092.705555555556)</f>
        <v>46092.70556</v>
      </c>
      <c r="BR113" s="499">
        <f>IFERROR(__xludf.DUMMYFUNCTION("""COMPUTED_VALUE"""),3873.59)</f>
        <v>3873.59</v>
      </c>
      <c r="BS113" s="499">
        <v>-2.8599999999996726</v>
      </c>
      <c r="BT113" s="507">
        <v>-0.07377884404544677</v>
      </c>
      <c r="BU113" s="499">
        <f>IFERROR(__xludf.DUMMYFUNCTION("""COMPUTED_VALUE"""),-2.8599999999996726)</f>
        <v>-2.86</v>
      </c>
      <c r="BV113" s="489"/>
      <c r="BW113" s="63"/>
      <c r="BX113" s="62"/>
      <c r="BY113" s="452"/>
      <c r="BZ113" s="452"/>
      <c r="CA113" s="452"/>
      <c r="CB113" s="452"/>
      <c r="CC113" s="452"/>
      <c r="CD113" s="452"/>
      <c r="CE113" s="452"/>
      <c r="CF113" s="452"/>
      <c r="CG113" s="452"/>
      <c r="CH113" s="422"/>
      <c r="CI113" s="422"/>
      <c r="CJ113" s="422"/>
      <c r="CK113" s="421"/>
      <c r="CL113" s="421" t="s">
        <v>123</v>
      </c>
      <c r="CM113" s="423"/>
      <c r="CN113" s="421"/>
      <c r="CO113" s="423"/>
      <c r="CP113" s="421"/>
      <c r="CQ113" s="63"/>
      <c r="CR113" s="63"/>
      <c r="CS113" s="63"/>
      <c r="CT113" s="63"/>
      <c r="CU113" s="447"/>
      <c r="CV113" s="447"/>
      <c r="CW113" s="447"/>
      <c r="CX113" s="447"/>
      <c r="CY113" s="447"/>
      <c r="CZ113" s="447"/>
      <c r="DA113" s="447"/>
      <c r="DB113" s="447"/>
      <c r="DC113" s="447"/>
      <c r="DD113" s="447"/>
      <c r="DE113" s="447"/>
      <c r="DF113" s="447"/>
      <c r="DG113" s="447"/>
      <c r="DH113" s="447"/>
      <c r="DI113" s="447"/>
      <c r="DJ113" s="447"/>
      <c r="DK113" s="447"/>
      <c r="DL113" s="67"/>
      <c r="DM113" s="67"/>
      <c r="DN113" s="67"/>
      <c r="DO113" s="67"/>
      <c r="DP113" s="67"/>
      <c r="DQ113" s="67"/>
    </row>
    <row r="114" ht="22.5" customHeight="1">
      <c r="A114" s="383"/>
      <c r="B114" s="384" t="str">
        <f>IFERROR(__xludf.DUMMYFUNCTION("IF(B$43="""","""",IF($AZ114="""","""",IFERROR(Query({CarteirasAtivos},""Select Col3 where Col1 = '""&amp;$AZ114&amp;""'and Col2 = '""&amp;S$21&amp;""'""))))"),"")</f>
        <v/>
      </c>
      <c r="C114" s="384" t="str">
        <f>IFERROR(__xludf.DUMMYFUNCTION("IF(C$43="""","""",IF($AZ114="""","""",IFERROR(Query({CarteirasAtivos},""Select Col3 where Col1 = '""&amp;$AZ114&amp;""'and Col2 = '""&amp;T$21&amp;""'""))))"),"")</f>
        <v/>
      </c>
      <c r="D114" s="384" t="str">
        <f>IFERROR(__xludf.DUMMYFUNCTION("IF(D$43="""","""",IF($AZ114="""","""",IFERROR(Query({CarteirasAtivos},""Select Col3 where Col1 = '""&amp;$AZ114&amp;""'and Col2 = '""&amp;U$21&amp;""'""))))"),"")</f>
        <v/>
      </c>
      <c r="E114" s="384" t="str">
        <f>IFERROR(__xludf.DUMMYFUNCTION("IF(E$43="""","""",IF($AZ114="""","""",IFERROR(Query({CarteirasAtivos},""Select Col3 where Col1 = '""&amp;$AZ114&amp;""'and Col2 = '""&amp;V$21&amp;""'""))))"),"")</f>
        <v/>
      </c>
      <c r="F114" s="384" t="str">
        <f>IFERROR(__xludf.DUMMYFUNCTION("IF(F$43="""","""",IF($AZ114="""","""",IFERROR(Query({CarteirasAtivos},""Select Col3 where Col1 = '""&amp;$AZ114&amp;""'and Col2 = '""&amp;W$21&amp;""'""))))"),"")</f>
        <v/>
      </c>
      <c r="G114" s="384" t="str">
        <f>IFERROR(__xludf.DUMMYFUNCTION("IF(G$43="""","""",IF($AZ114="""","""",IFERROR(Query({CarteirasAtivos},""Select Col3 where Col1 = '""&amp;$AZ114&amp;""'and Col2 = '""&amp;X$21&amp;""'""))))"),"")</f>
        <v/>
      </c>
      <c r="H114" s="384" t="str">
        <f>IFERROR(__xludf.DUMMYFUNCTION("IF(H$43="""","""",IF($AZ114="""","""",IFERROR(Query({CarteirasAtivos},""Select Col3 where Col1 = '""&amp;$AZ114&amp;""'and Col2 = '""&amp;Y$21&amp;""'""))))"),"")</f>
        <v/>
      </c>
      <c r="I114" s="384" t="str">
        <f>IFERROR(__xludf.DUMMYFUNCTION("IF(I$43="""","""",IF($AZ114="""","""",IFERROR(Query({CarteirasAtivos},""Select Col3 where Col1 = '""&amp;$AZ114&amp;""'and Col2 = '""&amp;Z$21&amp;""'""))))"),"")</f>
        <v/>
      </c>
      <c r="J114" s="384" t="str">
        <f>IFERROR(__xludf.DUMMYFUNCTION("IF(J$43="""","""",IF($AZ114="""","""",IFERROR(Query({CarteirasAtivos},""Select Col3 where Col1 = '""&amp;$AZ114&amp;""'and Col2 = '""&amp;AA$21&amp;""'""))))"),"")</f>
        <v/>
      </c>
      <c r="K114" s="384" t="str">
        <f>IFERROR(__xludf.DUMMYFUNCTION("IF(K$43="""","""",IF($AZ114="""","""",IFERROR(Query({CarteirasAtivos},""Select Col3 where Col1 = '""&amp;$AZ114&amp;""'and Col2 = '""&amp;AB$21&amp;""'""))))"),"")</f>
        <v/>
      </c>
      <c r="L114" s="385">
        <v>71.0</v>
      </c>
      <c r="M114" s="503"/>
      <c r="N114" s="387"/>
      <c r="O114" s="388" t="s">
        <v>123</v>
      </c>
      <c r="P114" s="389"/>
      <c r="Q114" s="390"/>
      <c r="R114" s="391"/>
      <c r="S114" s="392"/>
      <c r="T114" s="393"/>
      <c r="U114" s="393"/>
      <c r="V114" s="394"/>
      <c r="W114" s="395" t="str">
        <f>IFERROR(__xludf.DUMMYFUNCTION("IF(M114="""","""",sparkline(IFERROR(BF114*100/MAX($BF$44:$BF$153),0),{""charttype"",""bar"";""max"",100;""color1"",IF(BD114&gt;=0,""#4760a5"",""red"")}))"),"")</f>
        <v/>
      </c>
      <c r="X114" s="396"/>
      <c r="Y114" s="466"/>
      <c r="Z114" s="398"/>
      <c r="AA114" s="399"/>
      <c r="AB114" s="393"/>
      <c r="AC114" s="476"/>
      <c r="AD114" s="401"/>
      <c r="AE114" s="402"/>
      <c r="AF114" s="403"/>
      <c r="AG114" s="404" t="str">
        <f>IFERROR(__xludf.DUMMYFUNCTION("IF($M114="""","""",IFERROR(sparkline(query(GOOGLEFINANCE($AZ114,""price"",TODAY()-$AF$43,TODAY(),1),""select Col2 label Col2 ''""),IF($AG$43=""Gráfico de barras"",{""charttype"",""column"";""highcolor"",""red""},{""chartype"",""line""}))))"),"")</f>
        <v/>
      </c>
      <c r="AH114" s="405"/>
      <c r="AI114" s="467"/>
      <c r="AJ114" s="467"/>
      <c r="AK114" s="467"/>
      <c r="AL114" s="467"/>
      <c r="AM114" s="442"/>
      <c r="AN114" s="442"/>
      <c r="AU114" s="281"/>
      <c r="AV114" s="281"/>
      <c r="AW114" s="281"/>
      <c r="AX114" s="281"/>
      <c r="AY114" s="410">
        <v>71.0</v>
      </c>
      <c r="AZ114" s="411"/>
      <c r="BA114" s="411"/>
      <c r="BB114" s="437"/>
      <c r="BC114" s="437"/>
      <c r="BD114" s="437"/>
      <c r="BE114" s="437"/>
      <c r="BF114" s="415" t="s">
        <v>123</v>
      </c>
      <c r="BG114" s="410">
        <v>71.0</v>
      </c>
      <c r="BH114" s="416"/>
      <c r="BI114" s="416"/>
      <c r="BJ114" s="416"/>
      <c r="BK114" s="416"/>
      <c r="BL114" s="416"/>
      <c r="BM114" s="416"/>
      <c r="BN114" s="282"/>
      <c r="BO114" s="504"/>
      <c r="BP114" s="505" t="s">
        <v>344</v>
      </c>
      <c r="BQ114" s="506">
        <f>IFERROR(__xludf.DUMMYFUNCTION("""COMPUTED_VALUE"""),46092.0)</f>
        <v>46092</v>
      </c>
      <c r="BR114" s="499">
        <f>IFERROR(__xludf.DUMMYFUNCTION("""COMPUTED_VALUE"""),3873.59)</f>
        <v>3873.59</v>
      </c>
      <c r="BS114" s="499">
        <v>0.0</v>
      </c>
      <c r="BT114" s="507">
        <v>0.0</v>
      </c>
      <c r="BU114" s="508"/>
      <c r="BV114" s="489"/>
      <c r="BW114" s="63"/>
      <c r="BX114" s="62"/>
      <c r="BY114" s="452"/>
      <c r="BZ114" s="452"/>
      <c r="CA114" s="452"/>
      <c r="CB114" s="452"/>
      <c r="CC114" s="452"/>
      <c r="CD114" s="452"/>
      <c r="CE114" s="452"/>
      <c r="CF114" s="452"/>
      <c r="CG114" s="452"/>
      <c r="CH114" s="422"/>
      <c r="CI114" s="422"/>
      <c r="CJ114" s="422"/>
      <c r="CK114" s="421"/>
      <c r="CL114" s="421" t="s">
        <v>123</v>
      </c>
      <c r="CM114" s="423"/>
      <c r="CN114" s="421"/>
      <c r="CO114" s="423"/>
      <c r="CP114" s="421"/>
      <c r="CQ114" s="63"/>
      <c r="CR114" s="63"/>
      <c r="CS114" s="63"/>
      <c r="CT114" s="63"/>
      <c r="CU114" s="447"/>
      <c r="CV114" s="447"/>
      <c r="CW114" s="447"/>
      <c r="CX114" s="447"/>
      <c r="CY114" s="447"/>
      <c r="CZ114" s="447"/>
      <c r="DA114" s="447"/>
      <c r="DB114" s="447"/>
      <c r="DC114" s="447"/>
      <c r="DD114" s="447"/>
      <c r="DE114" s="447"/>
      <c r="DF114" s="447"/>
      <c r="DG114" s="447"/>
      <c r="DH114" s="447"/>
      <c r="DI114" s="447"/>
      <c r="DJ114" s="447"/>
      <c r="DK114" s="447"/>
      <c r="DL114" s="67"/>
      <c r="DM114" s="67"/>
      <c r="DN114" s="67"/>
      <c r="DO114" s="67"/>
      <c r="DP114" s="67"/>
      <c r="DQ114" s="67"/>
    </row>
    <row r="115" ht="22.5" customHeight="1">
      <c r="A115" s="383"/>
      <c r="B115" s="384" t="str">
        <f>IFERROR(__xludf.DUMMYFUNCTION("IF(B$43="""","""",IF($AZ115="""","""",IFERROR(Query({CarteirasAtivos},""Select Col3 where Col1 = '""&amp;$AZ115&amp;""'and Col2 = '""&amp;S$21&amp;""'""))))"),"")</f>
        <v/>
      </c>
      <c r="C115" s="384" t="str">
        <f>IFERROR(__xludf.DUMMYFUNCTION("IF(C$43="""","""",IF($AZ115="""","""",IFERROR(Query({CarteirasAtivos},""Select Col3 where Col1 = '""&amp;$AZ115&amp;""'and Col2 = '""&amp;T$21&amp;""'""))))"),"")</f>
        <v/>
      </c>
      <c r="D115" s="384" t="str">
        <f>IFERROR(__xludf.DUMMYFUNCTION("IF(D$43="""","""",IF($AZ115="""","""",IFERROR(Query({CarteirasAtivos},""Select Col3 where Col1 = '""&amp;$AZ115&amp;""'and Col2 = '""&amp;U$21&amp;""'""))))"),"")</f>
        <v/>
      </c>
      <c r="E115" s="384" t="str">
        <f>IFERROR(__xludf.DUMMYFUNCTION("IF(E$43="""","""",IF($AZ115="""","""",IFERROR(Query({CarteirasAtivos},""Select Col3 where Col1 = '""&amp;$AZ115&amp;""'and Col2 = '""&amp;V$21&amp;""'""))))"),"")</f>
        <v/>
      </c>
      <c r="F115" s="384" t="str">
        <f>IFERROR(__xludf.DUMMYFUNCTION("IF(F$43="""","""",IF($AZ115="""","""",IFERROR(Query({CarteirasAtivos},""Select Col3 where Col1 = '""&amp;$AZ115&amp;""'and Col2 = '""&amp;W$21&amp;""'""))))"),"")</f>
        <v/>
      </c>
      <c r="G115" s="384" t="str">
        <f>IFERROR(__xludf.DUMMYFUNCTION("IF(G$43="""","""",IF($AZ115="""","""",IFERROR(Query({CarteirasAtivos},""Select Col3 where Col1 = '""&amp;$AZ115&amp;""'and Col2 = '""&amp;X$21&amp;""'""))))"),"")</f>
        <v/>
      </c>
      <c r="H115" s="384" t="str">
        <f>IFERROR(__xludf.DUMMYFUNCTION("IF(H$43="""","""",IF($AZ115="""","""",IFERROR(Query({CarteirasAtivos},""Select Col3 where Col1 = '""&amp;$AZ115&amp;""'and Col2 = '""&amp;Y$21&amp;""'""))))"),"")</f>
        <v/>
      </c>
      <c r="I115" s="384" t="str">
        <f>IFERROR(__xludf.DUMMYFUNCTION("IF(I$43="""","""",IF($AZ115="""","""",IFERROR(Query({CarteirasAtivos},""Select Col3 where Col1 = '""&amp;$AZ115&amp;""'and Col2 = '""&amp;Z$21&amp;""'""))))"),"")</f>
        <v/>
      </c>
      <c r="J115" s="384" t="str">
        <f>IFERROR(__xludf.DUMMYFUNCTION("IF(J$43="""","""",IF($AZ115="""","""",IFERROR(Query({CarteirasAtivos},""Select Col3 where Col1 = '""&amp;$AZ115&amp;""'and Col2 = '""&amp;AA$21&amp;""'""))))"),"")</f>
        <v/>
      </c>
      <c r="K115" s="384" t="str">
        <f>IFERROR(__xludf.DUMMYFUNCTION("IF(K$43="""","""",IF($AZ115="""","""",IFERROR(Query({CarteirasAtivos},""Select Col3 where Col1 = '""&amp;$AZ115&amp;""'and Col2 = '""&amp;AB$21&amp;""'""))))"),"")</f>
        <v/>
      </c>
      <c r="L115" s="385">
        <v>72.0</v>
      </c>
      <c r="M115" s="503"/>
      <c r="N115" s="387"/>
      <c r="O115" s="388" t="s">
        <v>123</v>
      </c>
      <c r="P115" s="389"/>
      <c r="Q115" s="390"/>
      <c r="R115" s="391"/>
      <c r="S115" s="392"/>
      <c r="T115" s="393"/>
      <c r="U115" s="393"/>
      <c r="V115" s="394"/>
      <c r="W115" s="395" t="str">
        <f>IFERROR(__xludf.DUMMYFUNCTION("IF(M115="""","""",sparkline(IFERROR(BF115*100/MAX($BF$44:$BF$153),0),{""charttype"",""bar"";""max"",100;""color1"",IF(BD115&gt;=0,""#4760a5"",""red"")}))"),"")</f>
        <v/>
      </c>
      <c r="X115" s="396"/>
      <c r="Y115" s="466"/>
      <c r="Z115" s="398"/>
      <c r="AA115" s="399"/>
      <c r="AB115" s="393"/>
      <c r="AC115" s="476"/>
      <c r="AD115" s="401"/>
      <c r="AE115" s="402"/>
      <c r="AF115" s="403"/>
      <c r="AG115" s="404" t="str">
        <f>IFERROR(__xludf.DUMMYFUNCTION("IF($M115="""","""",IFERROR(sparkline(query(GOOGLEFINANCE($AZ115,""price"",TODAY()-$AF$43,TODAY(),1),""select Col2 label Col2 ''""),IF($AG$43=""Gráfico de barras"",{""charttype"",""column"";""highcolor"",""red""},{""chartype"",""line""}))))"),"")</f>
        <v/>
      </c>
      <c r="AH115" s="405"/>
      <c r="AI115" s="467"/>
      <c r="AJ115" s="467"/>
      <c r="AK115" s="467"/>
      <c r="AL115" s="467"/>
      <c r="AM115" s="442"/>
      <c r="AN115" s="442"/>
      <c r="AU115" s="281"/>
      <c r="AV115" s="281"/>
      <c r="AW115" s="281"/>
      <c r="AX115" s="281"/>
      <c r="AY115" s="410">
        <v>72.0</v>
      </c>
      <c r="AZ115" s="411"/>
      <c r="BA115" s="411"/>
      <c r="BB115" s="437"/>
      <c r="BC115" s="437"/>
      <c r="BD115" s="437"/>
      <c r="BE115" s="437"/>
      <c r="BF115" s="415" t="s">
        <v>123</v>
      </c>
      <c r="BG115" s="410">
        <v>72.0</v>
      </c>
      <c r="BH115" s="416"/>
      <c r="BI115" s="416"/>
      <c r="BJ115" s="416"/>
      <c r="BK115" s="416"/>
      <c r="BL115" s="416"/>
      <c r="BM115" s="416"/>
      <c r="BN115" s="282"/>
      <c r="BO115" s="504"/>
      <c r="BP115" s="505" t="s">
        <v>345</v>
      </c>
      <c r="BQ115" s="506"/>
      <c r="BR115" s="499"/>
      <c r="BS115" s="499" t="s">
        <v>123</v>
      </c>
      <c r="BT115" s="507" t="s">
        <v>123</v>
      </c>
      <c r="BU115" s="508"/>
      <c r="BV115" s="489"/>
      <c r="BW115" s="63"/>
      <c r="BX115" s="62"/>
      <c r="BY115" s="452"/>
      <c r="BZ115" s="452"/>
      <c r="CA115" s="452"/>
      <c r="CB115" s="452"/>
      <c r="CC115" s="452"/>
      <c r="CD115" s="452"/>
      <c r="CE115" s="452"/>
      <c r="CF115" s="452"/>
      <c r="CG115" s="452"/>
      <c r="CH115" s="422"/>
      <c r="CI115" s="422"/>
      <c r="CJ115" s="422"/>
      <c r="CK115" s="421"/>
      <c r="CL115" s="421" t="s">
        <v>123</v>
      </c>
      <c r="CM115" s="423"/>
      <c r="CN115" s="421"/>
      <c r="CO115" s="423"/>
      <c r="CP115" s="421"/>
      <c r="CQ115" s="63"/>
      <c r="CR115" s="63"/>
      <c r="CS115" s="63"/>
      <c r="CT115" s="63"/>
      <c r="CU115" s="447"/>
      <c r="CV115" s="447"/>
      <c r="CW115" s="447"/>
      <c r="CX115" s="447"/>
      <c r="CY115" s="447"/>
      <c r="CZ115" s="447"/>
      <c r="DA115" s="447"/>
      <c r="DB115" s="447"/>
      <c r="DC115" s="447"/>
      <c r="DD115" s="447"/>
      <c r="DE115" s="447"/>
      <c r="DF115" s="447"/>
      <c r="DG115" s="447"/>
      <c r="DH115" s="447"/>
      <c r="DI115" s="447"/>
      <c r="DJ115" s="447"/>
      <c r="DK115" s="447"/>
      <c r="DL115" s="67"/>
      <c r="DM115" s="67"/>
      <c r="DN115" s="67"/>
      <c r="DO115" s="67"/>
      <c r="DP115" s="67"/>
      <c r="DQ115" s="67"/>
    </row>
    <row r="116" ht="22.5" customHeight="1">
      <c r="A116" s="383"/>
      <c r="B116" s="384" t="str">
        <f>IFERROR(__xludf.DUMMYFUNCTION("IF(B$43="""","""",IF($AZ116="""","""",IFERROR(Query({CarteirasAtivos},""Select Col3 where Col1 = '""&amp;$AZ116&amp;""'and Col2 = '""&amp;S$21&amp;""'""))))"),"")</f>
        <v/>
      </c>
      <c r="C116" s="384" t="str">
        <f>IFERROR(__xludf.DUMMYFUNCTION("IF(C$43="""","""",IF($AZ116="""","""",IFERROR(Query({CarteirasAtivos},""Select Col3 where Col1 = '""&amp;$AZ116&amp;""'and Col2 = '""&amp;T$21&amp;""'""))))"),"")</f>
        <v/>
      </c>
      <c r="D116" s="384" t="str">
        <f>IFERROR(__xludf.DUMMYFUNCTION("IF(D$43="""","""",IF($AZ116="""","""",IFERROR(Query({CarteirasAtivos},""Select Col3 where Col1 = '""&amp;$AZ116&amp;""'and Col2 = '""&amp;U$21&amp;""'""))))"),"")</f>
        <v/>
      </c>
      <c r="E116" s="384" t="str">
        <f>IFERROR(__xludf.DUMMYFUNCTION("IF(E$43="""","""",IF($AZ116="""","""",IFERROR(Query({CarteirasAtivos},""Select Col3 where Col1 = '""&amp;$AZ116&amp;""'and Col2 = '""&amp;V$21&amp;""'""))))"),"")</f>
        <v/>
      </c>
      <c r="F116" s="384" t="str">
        <f>IFERROR(__xludf.DUMMYFUNCTION("IF(F$43="""","""",IF($AZ116="""","""",IFERROR(Query({CarteirasAtivos},""Select Col3 where Col1 = '""&amp;$AZ116&amp;""'and Col2 = '""&amp;W$21&amp;""'""))))"),"")</f>
        <v/>
      </c>
      <c r="G116" s="384" t="str">
        <f>IFERROR(__xludf.DUMMYFUNCTION("IF(G$43="""","""",IF($AZ116="""","""",IFERROR(Query({CarteirasAtivos},""Select Col3 where Col1 = '""&amp;$AZ116&amp;""'and Col2 = '""&amp;X$21&amp;""'""))))"),"")</f>
        <v/>
      </c>
      <c r="H116" s="384" t="str">
        <f>IFERROR(__xludf.DUMMYFUNCTION("IF(H$43="""","""",IF($AZ116="""","""",IFERROR(Query({CarteirasAtivos},""Select Col3 where Col1 = '""&amp;$AZ116&amp;""'and Col2 = '""&amp;Y$21&amp;""'""))))"),"")</f>
        <v/>
      </c>
      <c r="I116" s="384" t="str">
        <f>IFERROR(__xludf.DUMMYFUNCTION("IF(I$43="""","""",IF($AZ116="""","""",IFERROR(Query({CarteirasAtivos},""Select Col3 where Col1 = '""&amp;$AZ116&amp;""'and Col2 = '""&amp;Z$21&amp;""'""))))"),"")</f>
        <v/>
      </c>
      <c r="J116" s="384" t="str">
        <f>IFERROR(__xludf.DUMMYFUNCTION("IF(J$43="""","""",IF($AZ116="""","""",IFERROR(Query({CarteirasAtivos},""Select Col3 where Col1 = '""&amp;$AZ116&amp;""'and Col2 = '""&amp;AA$21&amp;""'""))))"),"")</f>
        <v/>
      </c>
      <c r="K116" s="384" t="str">
        <f>IFERROR(__xludf.DUMMYFUNCTION("IF(K$43="""","""",IF($AZ116="""","""",IFERROR(Query({CarteirasAtivos},""Select Col3 where Col1 = '""&amp;$AZ116&amp;""'and Col2 = '""&amp;AB$21&amp;""'""))))"),"")</f>
        <v/>
      </c>
      <c r="L116" s="385">
        <v>73.0</v>
      </c>
      <c r="M116" s="503"/>
      <c r="N116" s="387"/>
      <c r="O116" s="388" t="s">
        <v>123</v>
      </c>
      <c r="P116" s="389"/>
      <c r="Q116" s="390"/>
      <c r="R116" s="391"/>
      <c r="S116" s="392"/>
      <c r="T116" s="393"/>
      <c r="U116" s="393"/>
      <c r="V116" s="394"/>
      <c r="W116" s="395" t="str">
        <f>IFERROR(__xludf.DUMMYFUNCTION("IF(M116="""","""",sparkline(IFERROR(BF116*100/MAX($BF$44:$BF$153),0),{""charttype"",""bar"";""max"",100;""color1"",IF(BD116&gt;=0,""#4760a5"",""red"")}))"),"")</f>
        <v/>
      </c>
      <c r="X116" s="396"/>
      <c r="Y116" s="466"/>
      <c r="Z116" s="398"/>
      <c r="AA116" s="399"/>
      <c r="AB116" s="393"/>
      <c r="AC116" s="476"/>
      <c r="AD116" s="401"/>
      <c r="AE116" s="402"/>
      <c r="AF116" s="403"/>
      <c r="AG116" s="404" t="str">
        <f>IFERROR(__xludf.DUMMYFUNCTION("IF($M116="""","""",IFERROR(sparkline(query(GOOGLEFINANCE($AZ116,""price"",TODAY()-$AF$43,TODAY(),1),""select Col2 label Col2 ''""),IF($AG$43=""Gráfico de barras"",{""charttype"",""column"";""highcolor"",""red""},{""chartype"",""line""}))))"),"")</f>
        <v/>
      </c>
      <c r="AH116" s="405"/>
      <c r="AI116" s="467"/>
      <c r="AJ116" s="467"/>
      <c r="AK116" s="467"/>
      <c r="AL116" s="467"/>
      <c r="AM116" s="442"/>
      <c r="AN116" s="442"/>
      <c r="AU116" s="281"/>
      <c r="AV116" s="281"/>
      <c r="AW116" s="281"/>
      <c r="AX116" s="281"/>
      <c r="AY116" s="410">
        <v>73.0</v>
      </c>
      <c r="AZ116" s="411"/>
      <c r="BA116" s="411"/>
      <c r="BB116" s="437"/>
      <c r="BC116" s="437"/>
      <c r="BD116" s="437"/>
      <c r="BE116" s="437"/>
      <c r="BF116" s="415" t="s">
        <v>123</v>
      </c>
      <c r="BG116" s="410">
        <v>73.0</v>
      </c>
      <c r="BH116" s="416"/>
      <c r="BI116" s="416"/>
      <c r="BJ116" s="416"/>
      <c r="BK116" s="416"/>
      <c r="BL116" s="416"/>
      <c r="BM116" s="416"/>
      <c r="BN116" s="282"/>
      <c r="BO116" s="490"/>
      <c r="BP116" s="489"/>
      <c r="BQ116" s="489"/>
      <c r="BR116" s="489"/>
      <c r="BS116" s="489"/>
      <c r="BT116" s="489"/>
      <c r="BU116" s="489"/>
      <c r="BV116" s="489"/>
      <c r="BW116" s="63"/>
      <c r="BX116" s="62"/>
      <c r="BY116" s="452"/>
      <c r="BZ116" s="452"/>
      <c r="CA116" s="452"/>
      <c r="CB116" s="452"/>
      <c r="CC116" s="452"/>
      <c r="CD116" s="452"/>
      <c r="CE116" s="452"/>
      <c r="CF116" s="452"/>
      <c r="CG116" s="452"/>
      <c r="CH116" s="422"/>
      <c r="CI116" s="422"/>
      <c r="CJ116" s="422"/>
      <c r="CK116" s="421"/>
      <c r="CL116" s="421" t="s">
        <v>123</v>
      </c>
      <c r="CM116" s="423"/>
      <c r="CN116" s="421"/>
      <c r="CO116" s="423"/>
      <c r="CP116" s="421"/>
      <c r="CQ116" s="63"/>
      <c r="CR116" s="63"/>
      <c r="CS116" s="63"/>
      <c r="CT116" s="63"/>
      <c r="CU116" s="447"/>
      <c r="CV116" s="447"/>
      <c r="CW116" s="447"/>
      <c r="CX116" s="447"/>
      <c r="CY116" s="447"/>
      <c r="CZ116" s="447"/>
      <c r="DA116" s="447"/>
      <c r="DB116" s="447"/>
      <c r="DC116" s="447"/>
      <c r="DD116" s="447"/>
      <c r="DE116" s="447"/>
      <c r="DF116" s="447"/>
      <c r="DG116" s="447"/>
      <c r="DH116" s="447"/>
      <c r="DI116" s="447"/>
      <c r="DJ116" s="447"/>
      <c r="DK116" s="447"/>
      <c r="DL116" s="67"/>
      <c r="DM116" s="67"/>
      <c r="DN116" s="67"/>
      <c r="DO116" s="67"/>
      <c r="DP116" s="67"/>
      <c r="DQ116" s="67"/>
    </row>
    <row r="117" ht="22.5" customHeight="1">
      <c r="A117" s="383"/>
      <c r="B117" s="384" t="str">
        <f>IFERROR(__xludf.DUMMYFUNCTION("IF(B$43="""","""",IF($AZ117="""","""",IFERROR(Query({CarteirasAtivos},""Select Col3 where Col1 = '""&amp;$AZ117&amp;""'and Col2 = '""&amp;S$21&amp;""'""))))"),"")</f>
        <v/>
      </c>
      <c r="C117" s="384" t="str">
        <f>IFERROR(__xludf.DUMMYFUNCTION("IF(C$43="""","""",IF($AZ117="""","""",IFERROR(Query({CarteirasAtivos},""Select Col3 where Col1 = '""&amp;$AZ117&amp;""'and Col2 = '""&amp;T$21&amp;""'""))))"),"")</f>
        <v/>
      </c>
      <c r="D117" s="384" t="str">
        <f>IFERROR(__xludf.DUMMYFUNCTION("IF(D$43="""","""",IF($AZ117="""","""",IFERROR(Query({CarteirasAtivos},""Select Col3 where Col1 = '""&amp;$AZ117&amp;""'and Col2 = '""&amp;U$21&amp;""'""))))"),"")</f>
        <v/>
      </c>
      <c r="E117" s="384" t="str">
        <f>IFERROR(__xludf.DUMMYFUNCTION("IF(E$43="""","""",IF($AZ117="""","""",IFERROR(Query({CarteirasAtivos},""Select Col3 where Col1 = '""&amp;$AZ117&amp;""'and Col2 = '""&amp;V$21&amp;""'""))))"),"")</f>
        <v/>
      </c>
      <c r="F117" s="384" t="str">
        <f>IFERROR(__xludf.DUMMYFUNCTION("IF(F$43="""","""",IF($AZ117="""","""",IFERROR(Query({CarteirasAtivos},""Select Col3 where Col1 = '""&amp;$AZ117&amp;""'and Col2 = '""&amp;W$21&amp;""'""))))"),"")</f>
        <v/>
      </c>
      <c r="G117" s="384" t="str">
        <f>IFERROR(__xludf.DUMMYFUNCTION("IF(G$43="""","""",IF($AZ117="""","""",IFERROR(Query({CarteirasAtivos},""Select Col3 where Col1 = '""&amp;$AZ117&amp;""'and Col2 = '""&amp;X$21&amp;""'""))))"),"")</f>
        <v/>
      </c>
      <c r="H117" s="384" t="str">
        <f>IFERROR(__xludf.DUMMYFUNCTION("IF(H$43="""","""",IF($AZ117="""","""",IFERROR(Query({CarteirasAtivos},""Select Col3 where Col1 = '""&amp;$AZ117&amp;""'and Col2 = '""&amp;Y$21&amp;""'""))))"),"")</f>
        <v/>
      </c>
      <c r="I117" s="384" t="str">
        <f>IFERROR(__xludf.DUMMYFUNCTION("IF(I$43="""","""",IF($AZ117="""","""",IFERROR(Query({CarteirasAtivos},""Select Col3 where Col1 = '""&amp;$AZ117&amp;""'and Col2 = '""&amp;Z$21&amp;""'""))))"),"")</f>
        <v/>
      </c>
      <c r="J117" s="384" t="str">
        <f>IFERROR(__xludf.DUMMYFUNCTION("IF(J$43="""","""",IF($AZ117="""","""",IFERROR(Query({CarteirasAtivos},""Select Col3 where Col1 = '""&amp;$AZ117&amp;""'and Col2 = '""&amp;AA$21&amp;""'""))))"),"")</f>
        <v/>
      </c>
      <c r="K117" s="384" t="str">
        <f>IFERROR(__xludf.DUMMYFUNCTION("IF(K$43="""","""",IF($AZ117="""","""",IFERROR(Query({CarteirasAtivos},""Select Col3 where Col1 = '""&amp;$AZ117&amp;""'and Col2 = '""&amp;AB$21&amp;""'""))))"),"")</f>
        <v/>
      </c>
      <c r="L117" s="385">
        <v>74.0</v>
      </c>
      <c r="M117" s="503"/>
      <c r="N117" s="387"/>
      <c r="O117" s="388" t="s">
        <v>123</v>
      </c>
      <c r="P117" s="389"/>
      <c r="Q117" s="390"/>
      <c r="R117" s="391"/>
      <c r="S117" s="392"/>
      <c r="T117" s="393"/>
      <c r="U117" s="393"/>
      <c r="V117" s="394"/>
      <c r="W117" s="395" t="str">
        <f>IFERROR(__xludf.DUMMYFUNCTION("IF(M117="""","""",sparkline(IFERROR(BF117*100/MAX($BF$44:$BF$153),0),{""charttype"",""bar"";""max"",100;""color1"",IF(BD117&gt;=0,""#4760a5"",""red"")}))"),"")</f>
        <v/>
      </c>
      <c r="X117" s="396"/>
      <c r="Y117" s="466"/>
      <c r="Z117" s="398"/>
      <c r="AA117" s="399"/>
      <c r="AB117" s="393"/>
      <c r="AC117" s="476"/>
      <c r="AD117" s="401"/>
      <c r="AE117" s="402"/>
      <c r="AF117" s="403"/>
      <c r="AG117" s="404" t="str">
        <f>IFERROR(__xludf.DUMMYFUNCTION("IF($M117="""","""",IFERROR(sparkline(query(GOOGLEFINANCE($AZ117,""price"",TODAY()-$AF$43,TODAY(),1),""select Col2 label Col2 ''""),IF($AG$43=""Gráfico de barras"",{""charttype"",""column"";""highcolor"",""red""},{""chartype"",""line""}))))"),"")</f>
        <v/>
      </c>
      <c r="AH117" s="405"/>
      <c r="AI117" s="467"/>
      <c r="AJ117" s="467"/>
      <c r="AK117" s="467"/>
      <c r="AL117" s="467"/>
      <c r="AM117" s="442"/>
      <c r="AN117" s="442"/>
      <c r="AU117" s="281"/>
      <c r="AV117" s="281"/>
      <c r="AW117" s="281"/>
      <c r="AX117" s="281"/>
      <c r="AY117" s="410">
        <v>74.0</v>
      </c>
      <c r="AZ117" s="411"/>
      <c r="BA117" s="411"/>
      <c r="BB117" s="437"/>
      <c r="BC117" s="437"/>
      <c r="BD117" s="437"/>
      <c r="BE117" s="437"/>
      <c r="BF117" s="415" t="s">
        <v>123</v>
      </c>
      <c r="BG117" s="410">
        <v>74.0</v>
      </c>
      <c r="BH117" s="416"/>
      <c r="BI117" s="416"/>
      <c r="BJ117" s="416"/>
      <c r="BK117" s="416"/>
      <c r="BL117" s="416"/>
      <c r="BM117" s="416"/>
      <c r="BN117" s="282"/>
      <c r="BO117" s="490"/>
      <c r="BP117" s="489"/>
      <c r="BQ117" s="489"/>
      <c r="BR117" s="489"/>
      <c r="BS117" s="489"/>
      <c r="BT117" s="489"/>
      <c r="BU117" s="489"/>
      <c r="BV117" s="489"/>
      <c r="BW117" s="63"/>
      <c r="BX117" s="62"/>
      <c r="BY117" s="452"/>
      <c r="BZ117" s="452"/>
      <c r="CA117" s="452"/>
      <c r="CB117" s="452"/>
      <c r="CC117" s="452"/>
      <c r="CD117" s="452"/>
      <c r="CE117" s="452"/>
      <c r="CF117" s="452"/>
      <c r="CG117" s="452"/>
      <c r="CH117" s="422"/>
      <c r="CI117" s="422"/>
      <c r="CJ117" s="422"/>
      <c r="CK117" s="421"/>
      <c r="CL117" s="421" t="s">
        <v>123</v>
      </c>
      <c r="CM117" s="423"/>
      <c r="CN117" s="421"/>
      <c r="CO117" s="423"/>
      <c r="CP117" s="421"/>
      <c r="CQ117" s="63"/>
      <c r="CR117" s="63"/>
      <c r="CS117" s="63"/>
      <c r="CT117" s="63"/>
      <c r="CU117" s="447"/>
      <c r="CV117" s="447"/>
      <c r="CW117" s="447"/>
      <c r="CX117" s="447"/>
      <c r="CY117" s="447"/>
      <c r="CZ117" s="447"/>
      <c r="DA117" s="447"/>
      <c r="DB117" s="447"/>
      <c r="DC117" s="447"/>
      <c r="DD117" s="447"/>
      <c r="DE117" s="447"/>
      <c r="DF117" s="447"/>
      <c r="DG117" s="447"/>
      <c r="DH117" s="447"/>
      <c r="DI117" s="447"/>
      <c r="DJ117" s="447"/>
      <c r="DK117" s="447"/>
      <c r="DL117" s="67"/>
      <c r="DM117" s="67"/>
      <c r="DN117" s="67"/>
      <c r="DO117" s="67"/>
      <c r="DP117" s="67"/>
      <c r="DQ117" s="67"/>
    </row>
    <row r="118" ht="22.5" customHeight="1">
      <c r="A118" s="383"/>
      <c r="B118" s="384" t="str">
        <f>IFERROR(__xludf.DUMMYFUNCTION("IF(B$43="""","""",IF($AZ118="""","""",IFERROR(Query({CarteirasAtivos},""Select Col3 where Col1 = '""&amp;$AZ118&amp;""'and Col2 = '""&amp;S$21&amp;""'""))))"),"")</f>
        <v/>
      </c>
      <c r="C118" s="384" t="str">
        <f>IFERROR(__xludf.DUMMYFUNCTION("IF(C$43="""","""",IF($AZ118="""","""",IFERROR(Query({CarteirasAtivos},""Select Col3 where Col1 = '""&amp;$AZ118&amp;""'and Col2 = '""&amp;T$21&amp;""'""))))"),"")</f>
        <v/>
      </c>
      <c r="D118" s="384" t="str">
        <f>IFERROR(__xludf.DUMMYFUNCTION("IF(D$43="""","""",IF($AZ118="""","""",IFERROR(Query({CarteirasAtivos},""Select Col3 where Col1 = '""&amp;$AZ118&amp;""'and Col2 = '""&amp;U$21&amp;""'""))))"),"")</f>
        <v/>
      </c>
      <c r="E118" s="384" t="str">
        <f>IFERROR(__xludf.DUMMYFUNCTION("IF(E$43="""","""",IF($AZ118="""","""",IFERROR(Query({CarteirasAtivos},""Select Col3 where Col1 = '""&amp;$AZ118&amp;""'and Col2 = '""&amp;V$21&amp;""'""))))"),"")</f>
        <v/>
      </c>
      <c r="F118" s="384" t="str">
        <f>IFERROR(__xludf.DUMMYFUNCTION("IF(F$43="""","""",IF($AZ118="""","""",IFERROR(Query({CarteirasAtivos},""Select Col3 where Col1 = '""&amp;$AZ118&amp;""'and Col2 = '""&amp;W$21&amp;""'""))))"),"")</f>
        <v/>
      </c>
      <c r="G118" s="384" t="str">
        <f>IFERROR(__xludf.DUMMYFUNCTION("IF(G$43="""","""",IF($AZ118="""","""",IFERROR(Query({CarteirasAtivos},""Select Col3 where Col1 = '""&amp;$AZ118&amp;""'and Col2 = '""&amp;X$21&amp;""'""))))"),"")</f>
        <v/>
      </c>
      <c r="H118" s="384" t="str">
        <f>IFERROR(__xludf.DUMMYFUNCTION("IF(H$43="""","""",IF($AZ118="""","""",IFERROR(Query({CarteirasAtivos},""Select Col3 where Col1 = '""&amp;$AZ118&amp;""'and Col2 = '""&amp;Y$21&amp;""'""))))"),"")</f>
        <v/>
      </c>
      <c r="I118" s="384" t="str">
        <f>IFERROR(__xludf.DUMMYFUNCTION("IF(I$43="""","""",IF($AZ118="""","""",IFERROR(Query({CarteirasAtivos},""Select Col3 where Col1 = '""&amp;$AZ118&amp;""'and Col2 = '""&amp;Z$21&amp;""'""))))"),"")</f>
        <v/>
      </c>
      <c r="J118" s="384" t="str">
        <f>IFERROR(__xludf.DUMMYFUNCTION("IF(J$43="""","""",IF($AZ118="""","""",IFERROR(Query({CarteirasAtivos},""Select Col3 where Col1 = '""&amp;$AZ118&amp;""'and Col2 = '""&amp;AA$21&amp;""'""))))"),"")</f>
        <v/>
      </c>
      <c r="K118" s="384" t="str">
        <f>IFERROR(__xludf.DUMMYFUNCTION("IF(K$43="""","""",IF($AZ118="""","""",IFERROR(Query({CarteirasAtivos},""Select Col3 where Col1 = '""&amp;$AZ118&amp;""'and Col2 = '""&amp;AB$21&amp;""'""))))"),"")</f>
        <v/>
      </c>
      <c r="L118" s="385">
        <v>75.0</v>
      </c>
      <c r="M118" s="503"/>
      <c r="N118" s="387"/>
      <c r="O118" s="388" t="s">
        <v>123</v>
      </c>
      <c r="P118" s="389"/>
      <c r="Q118" s="390"/>
      <c r="R118" s="391"/>
      <c r="S118" s="392"/>
      <c r="T118" s="393"/>
      <c r="U118" s="393"/>
      <c r="V118" s="394"/>
      <c r="W118" s="395" t="str">
        <f>IFERROR(__xludf.DUMMYFUNCTION("IF(M118="""","""",sparkline(IFERROR(BF118*100/MAX($BF$44:$BF$153),0),{""charttype"",""bar"";""max"",100;""color1"",IF(BD118&gt;=0,""#4760a5"",""red"")}))"),"")</f>
        <v/>
      </c>
      <c r="X118" s="396"/>
      <c r="Y118" s="466"/>
      <c r="Z118" s="398"/>
      <c r="AA118" s="399"/>
      <c r="AB118" s="393"/>
      <c r="AC118" s="476"/>
      <c r="AD118" s="401"/>
      <c r="AE118" s="402"/>
      <c r="AF118" s="403"/>
      <c r="AG118" s="404" t="str">
        <f>IFERROR(__xludf.DUMMYFUNCTION("IF($M118="""","""",IFERROR(sparkline(query(GOOGLEFINANCE($AZ118,""price"",TODAY()-$AF$43,TODAY(),1),""select Col2 label Col2 ''""),IF($AG$43=""Gráfico de barras"",{""charttype"",""column"";""highcolor"",""red""},{""chartype"",""line""}))))"),"")</f>
        <v/>
      </c>
      <c r="AH118" s="405"/>
      <c r="AI118" s="467"/>
      <c r="AJ118" s="467"/>
      <c r="AK118" s="467"/>
      <c r="AL118" s="467"/>
      <c r="AM118" s="442"/>
      <c r="AN118" s="442"/>
      <c r="AU118" s="281"/>
      <c r="AV118" s="281"/>
      <c r="AW118" s="281"/>
      <c r="AX118" s="281"/>
      <c r="AY118" s="410">
        <v>75.0</v>
      </c>
      <c r="AZ118" s="411"/>
      <c r="BA118" s="411"/>
      <c r="BB118" s="437"/>
      <c r="BC118" s="437"/>
      <c r="BD118" s="437"/>
      <c r="BE118" s="437"/>
      <c r="BF118" s="415" t="s">
        <v>123</v>
      </c>
      <c r="BG118" s="410">
        <v>75.0</v>
      </c>
      <c r="BH118" s="416"/>
      <c r="BI118" s="416"/>
      <c r="BJ118" s="416"/>
      <c r="BK118" s="416"/>
      <c r="BL118" s="416"/>
      <c r="BM118" s="416"/>
      <c r="BN118" s="282"/>
      <c r="BO118" s="490"/>
      <c r="BP118" s="489"/>
      <c r="BQ118" s="489"/>
      <c r="BR118" s="489"/>
      <c r="BS118" s="489"/>
      <c r="BT118" s="489"/>
      <c r="BU118" s="489"/>
      <c r="BV118" s="489"/>
      <c r="BW118" s="63"/>
      <c r="BX118" s="62"/>
      <c r="BY118" s="452"/>
      <c r="BZ118" s="452"/>
      <c r="CA118" s="452"/>
      <c r="CB118" s="452"/>
      <c r="CC118" s="452"/>
      <c r="CD118" s="452"/>
      <c r="CE118" s="452"/>
      <c r="CF118" s="452"/>
      <c r="CG118" s="452"/>
      <c r="CH118" s="422"/>
      <c r="CI118" s="422"/>
      <c r="CJ118" s="422"/>
      <c r="CK118" s="421"/>
      <c r="CL118" s="421" t="s">
        <v>123</v>
      </c>
      <c r="CM118" s="423"/>
      <c r="CN118" s="421"/>
      <c r="CO118" s="423"/>
      <c r="CP118" s="421"/>
      <c r="CQ118" s="63"/>
      <c r="CR118" s="63"/>
      <c r="CS118" s="63"/>
      <c r="CT118" s="63"/>
      <c r="CU118" s="447"/>
      <c r="CV118" s="447"/>
      <c r="CW118" s="447"/>
      <c r="CX118" s="447"/>
      <c r="CY118" s="447"/>
      <c r="CZ118" s="447"/>
      <c r="DA118" s="447"/>
      <c r="DB118" s="447"/>
      <c r="DC118" s="447"/>
      <c r="DD118" s="447"/>
      <c r="DE118" s="447"/>
      <c r="DF118" s="447"/>
      <c r="DG118" s="447"/>
      <c r="DH118" s="447"/>
      <c r="DI118" s="447"/>
      <c r="DJ118" s="447"/>
      <c r="DK118" s="447"/>
      <c r="DL118" s="67"/>
      <c r="DM118" s="67"/>
      <c r="DN118" s="67"/>
      <c r="DO118" s="67"/>
      <c r="DP118" s="67"/>
      <c r="DQ118" s="67"/>
    </row>
    <row r="119" ht="22.5" customHeight="1">
      <c r="A119" s="383"/>
      <c r="B119" s="384" t="str">
        <f>IFERROR(__xludf.DUMMYFUNCTION("IF(B$43="""","""",IF($AZ119="""","""",IFERROR(Query({CarteirasAtivos},""Select Col3 where Col1 = '""&amp;$AZ119&amp;""'and Col2 = '""&amp;S$21&amp;""'""))))"),"")</f>
        <v/>
      </c>
      <c r="C119" s="384" t="str">
        <f>IFERROR(__xludf.DUMMYFUNCTION("IF(C$43="""","""",IF($AZ119="""","""",IFERROR(Query({CarteirasAtivos},""Select Col3 where Col1 = '""&amp;$AZ119&amp;""'and Col2 = '""&amp;T$21&amp;""'""))))"),"")</f>
        <v/>
      </c>
      <c r="D119" s="384" t="str">
        <f>IFERROR(__xludf.DUMMYFUNCTION("IF(D$43="""","""",IF($AZ119="""","""",IFERROR(Query({CarteirasAtivos},""Select Col3 where Col1 = '""&amp;$AZ119&amp;""'and Col2 = '""&amp;U$21&amp;""'""))))"),"")</f>
        <v/>
      </c>
      <c r="E119" s="384" t="str">
        <f>IFERROR(__xludf.DUMMYFUNCTION("IF(E$43="""","""",IF($AZ119="""","""",IFERROR(Query({CarteirasAtivos},""Select Col3 where Col1 = '""&amp;$AZ119&amp;""'and Col2 = '""&amp;V$21&amp;""'""))))"),"")</f>
        <v/>
      </c>
      <c r="F119" s="384" t="str">
        <f>IFERROR(__xludf.DUMMYFUNCTION("IF(F$43="""","""",IF($AZ119="""","""",IFERROR(Query({CarteirasAtivos},""Select Col3 where Col1 = '""&amp;$AZ119&amp;""'and Col2 = '""&amp;W$21&amp;""'""))))"),"")</f>
        <v/>
      </c>
      <c r="G119" s="384" t="str">
        <f>IFERROR(__xludf.DUMMYFUNCTION("IF(G$43="""","""",IF($AZ119="""","""",IFERROR(Query({CarteirasAtivos},""Select Col3 where Col1 = '""&amp;$AZ119&amp;""'and Col2 = '""&amp;X$21&amp;""'""))))"),"")</f>
        <v/>
      </c>
      <c r="H119" s="384" t="str">
        <f>IFERROR(__xludf.DUMMYFUNCTION("IF(H$43="""","""",IF($AZ119="""","""",IFERROR(Query({CarteirasAtivos},""Select Col3 where Col1 = '""&amp;$AZ119&amp;""'and Col2 = '""&amp;Y$21&amp;""'""))))"),"")</f>
        <v/>
      </c>
      <c r="I119" s="384" t="str">
        <f>IFERROR(__xludf.DUMMYFUNCTION("IF(I$43="""","""",IF($AZ119="""","""",IFERROR(Query({CarteirasAtivos},""Select Col3 where Col1 = '""&amp;$AZ119&amp;""'and Col2 = '""&amp;Z$21&amp;""'""))))"),"")</f>
        <v/>
      </c>
      <c r="J119" s="384" t="str">
        <f>IFERROR(__xludf.DUMMYFUNCTION("IF(J$43="""","""",IF($AZ119="""","""",IFERROR(Query({CarteirasAtivos},""Select Col3 where Col1 = '""&amp;$AZ119&amp;""'and Col2 = '""&amp;AA$21&amp;""'""))))"),"")</f>
        <v/>
      </c>
      <c r="K119" s="384" t="str">
        <f>IFERROR(__xludf.DUMMYFUNCTION("IF(K$43="""","""",IF($AZ119="""","""",IFERROR(Query({CarteirasAtivos},""Select Col3 where Col1 = '""&amp;$AZ119&amp;""'and Col2 = '""&amp;AB$21&amp;""'""))))"),"")</f>
        <v/>
      </c>
      <c r="L119" s="385">
        <v>76.0</v>
      </c>
      <c r="M119" s="503"/>
      <c r="N119" s="387"/>
      <c r="O119" s="388" t="s">
        <v>123</v>
      </c>
      <c r="P119" s="389"/>
      <c r="Q119" s="390"/>
      <c r="R119" s="391"/>
      <c r="S119" s="392"/>
      <c r="T119" s="393"/>
      <c r="U119" s="393"/>
      <c r="V119" s="394"/>
      <c r="W119" s="395" t="str">
        <f>IFERROR(__xludf.DUMMYFUNCTION("IF(M119="""","""",sparkline(IFERROR(BF119*100/MAX($BF$44:$BF$153),0),{""charttype"",""bar"";""max"",100;""color1"",IF(BD119&gt;=0,""#4760a5"",""red"")}))"),"")</f>
        <v/>
      </c>
      <c r="X119" s="396"/>
      <c r="Y119" s="466"/>
      <c r="Z119" s="398"/>
      <c r="AA119" s="399"/>
      <c r="AB119" s="393"/>
      <c r="AC119" s="476"/>
      <c r="AD119" s="401"/>
      <c r="AE119" s="402"/>
      <c r="AF119" s="403"/>
      <c r="AG119" s="404" t="str">
        <f>IFERROR(__xludf.DUMMYFUNCTION("IF($M119="""","""",IFERROR(sparkline(query(GOOGLEFINANCE($AZ119,""price"",TODAY()-$AF$43,TODAY(),1),""select Col2 label Col2 ''""),IF($AG$43=""Gráfico de barras"",{""charttype"",""column"";""highcolor"",""red""},{""chartype"",""line""}))))"),"")</f>
        <v/>
      </c>
      <c r="AH119" s="405"/>
      <c r="AI119" s="467"/>
      <c r="AJ119" s="467"/>
      <c r="AK119" s="467"/>
      <c r="AL119" s="467"/>
      <c r="AM119" s="442"/>
      <c r="AN119" s="442"/>
      <c r="AU119" s="281"/>
      <c r="AV119" s="281"/>
      <c r="AW119" s="281"/>
      <c r="AX119" s="281"/>
      <c r="AY119" s="410">
        <v>76.0</v>
      </c>
      <c r="AZ119" s="411"/>
      <c r="BA119" s="411"/>
      <c r="BB119" s="437"/>
      <c r="BC119" s="437"/>
      <c r="BD119" s="437"/>
      <c r="BE119" s="437"/>
      <c r="BF119" s="415" t="s">
        <v>123</v>
      </c>
      <c r="BG119" s="410">
        <v>76.0</v>
      </c>
      <c r="BH119" s="416"/>
      <c r="BI119" s="416"/>
      <c r="BJ119" s="416"/>
      <c r="BK119" s="416"/>
      <c r="BL119" s="416"/>
      <c r="BM119" s="416"/>
      <c r="BN119" s="282"/>
      <c r="BO119" s="490"/>
      <c r="BP119" s="489"/>
      <c r="BQ119" s="489"/>
      <c r="BR119" s="489"/>
      <c r="BS119" s="489"/>
      <c r="BT119" s="489"/>
      <c r="BU119" s="489"/>
      <c r="BV119" s="489"/>
      <c r="BW119" s="63"/>
      <c r="BX119" s="62"/>
      <c r="BY119" s="452"/>
      <c r="BZ119" s="452"/>
      <c r="CA119" s="452"/>
      <c r="CB119" s="452"/>
      <c r="CC119" s="452"/>
      <c r="CD119" s="452"/>
      <c r="CE119" s="452"/>
      <c r="CF119" s="452"/>
      <c r="CG119" s="452"/>
      <c r="CH119" s="422"/>
      <c r="CI119" s="422"/>
      <c r="CJ119" s="422"/>
      <c r="CK119" s="421"/>
      <c r="CL119" s="421" t="s">
        <v>123</v>
      </c>
      <c r="CM119" s="423"/>
      <c r="CN119" s="421"/>
      <c r="CO119" s="423"/>
      <c r="CP119" s="421"/>
      <c r="CQ119" s="63"/>
      <c r="CR119" s="63"/>
      <c r="CS119" s="63"/>
      <c r="CT119" s="63"/>
      <c r="CU119" s="447"/>
      <c r="CV119" s="447"/>
      <c r="CW119" s="447"/>
      <c r="CX119" s="447"/>
      <c r="CY119" s="447"/>
      <c r="CZ119" s="447"/>
      <c r="DA119" s="447"/>
      <c r="DB119" s="447"/>
      <c r="DC119" s="447"/>
      <c r="DD119" s="447"/>
      <c r="DE119" s="447"/>
      <c r="DF119" s="447"/>
      <c r="DG119" s="447"/>
      <c r="DH119" s="447"/>
      <c r="DI119" s="447"/>
      <c r="DJ119" s="447"/>
      <c r="DK119" s="447"/>
      <c r="DL119" s="67"/>
      <c r="DM119" s="67"/>
      <c r="DN119" s="67"/>
      <c r="DO119" s="67"/>
      <c r="DP119" s="67"/>
      <c r="DQ119" s="67"/>
    </row>
    <row r="120" ht="22.5" customHeight="1">
      <c r="A120" s="383"/>
      <c r="B120" s="384" t="str">
        <f>IFERROR(__xludf.DUMMYFUNCTION("IF(B$43="""","""",IF($AZ120="""","""",IFERROR(Query({CarteirasAtivos},""Select Col3 where Col1 = '""&amp;$AZ120&amp;""'and Col2 = '""&amp;S$21&amp;""'""))))"),"")</f>
        <v/>
      </c>
      <c r="C120" s="384" t="str">
        <f>IFERROR(__xludf.DUMMYFUNCTION("IF(C$43="""","""",IF($AZ120="""","""",IFERROR(Query({CarteirasAtivos},""Select Col3 where Col1 = '""&amp;$AZ120&amp;""'and Col2 = '""&amp;T$21&amp;""'""))))"),"")</f>
        <v/>
      </c>
      <c r="D120" s="384" t="str">
        <f>IFERROR(__xludf.DUMMYFUNCTION("IF(D$43="""","""",IF($AZ120="""","""",IFERROR(Query({CarteirasAtivos},""Select Col3 where Col1 = '""&amp;$AZ120&amp;""'and Col2 = '""&amp;U$21&amp;""'""))))"),"")</f>
        <v/>
      </c>
      <c r="E120" s="384" t="str">
        <f>IFERROR(__xludf.DUMMYFUNCTION("IF(E$43="""","""",IF($AZ120="""","""",IFERROR(Query({CarteirasAtivos},""Select Col3 where Col1 = '""&amp;$AZ120&amp;""'and Col2 = '""&amp;V$21&amp;""'""))))"),"")</f>
        <v/>
      </c>
      <c r="F120" s="384" t="str">
        <f>IFERROR(__xludf.DUMMYFUNCTION("IF(F$43="""","""",IF($AZ120="""","""",IFERROR(Query({CarteirasAtivos},""Select Col3 where Col1 = '""&amp;$AZ120&amp;""'and Col2 = '""&amp;W$21&amp;""'""))))"),"")</f>
        <v/>
      </c>
      <c r="G120" s="384" t="str">
        <f>IFERROR(__xludf.DUMMYFUNCTION("IF(G$43="""","""",IF($AZ120="""","""",IFERROR(Query({CarteirasAtivos},""Select Col3 where Col1 = '""&amp;$AZ120&amp;""'and Col2 = '""&amp;X$21&amp;""'""))))"),"")</f>
        <v/>
      </c>
      <c r="H120" s="384" t="str">
        <f>IFERROR(__xludf.DUMMYFUNCTION("IF(H$43="""","""",IF($AZ120="""","""",IFERROR(Query({CarteirasAtivos},""Select Col3 where Col1 = '""&amp;$AZ120&amp;""'and Col2 = '""&amp;Y$21&amp;""'""))))"),"")</f>
        <v/>
      </c>
      <c r="I120" s="384" t="str">
        <f>IFERROR(__xludf.DUMMYFUNCTION("IF(I$43="""","""",IF($AZ120="""","""",IFERROR(Query({CarteirasAtivos},""Select Col3 where Col1 = '""&amp;$AZ120&amp;""'and Col2 = '""&amp;Z$21&amp;""'""))))"),"")</f>
        <v/>
      </c>
      <c r="J120" s="384" t="str">
        <f>IFERROR(__xludf.DUMMYFUNCTION("IF(J$43="""","""",IF($AZ120="""","""",IFERROR(Query({CarteirasAtivos},""Select Col3 where Col1 = '""&amp;$AZ120&amp;""'and Col2 = '""&amp;AA$21&amp;""'""))))"),"")</f>
        <v/>
      </c>
      <c r="K120" s="384" t="str">
        <f>IFERROR(__xludf.DUMMYFUNCTION("IF(K$43="""","""",IF($AZ120="""","""",IFERROR(Query({CarteirasAtivos},""Select Col3 where Col1 = '""&amp;$AZ120&amp;""'and Col2 = '""&amp;AB$21&amp;""'""))))"),"")</f>
        <v/>
      </c>
      <c r="L120" s="385">
        <v>77.0</v>
      </c>
      <c r="M120" s="503"/>
      <c r="N120" s="387"/>
      <c r="O120" s="388" t="s">
        <v>123</v>
      </c>
      <c r="P120" s="389"/>
      <c r="Q120" s="390"/>
      <c r="R120" s="391"/>
      <c r="S120" s="392"/>
      <c r="T120" s="393"/>
      <c r="U120" s="393"/>
      <c r="V120" s="394"/>
      <c r="W120" s="395" t="str">
        <f>IFERROR(__xludf.DUMMYFUNCTION("IF(M120="""","""",sparkline(IFERROR(BF120*100/MAX($BF$44:$BF$153),0),{""charttype"",""bar"";""max"",100;""color1"",IF(BD120&gt;=0,""#4760a5"",""red"")}))"),"")</f>
        <v/>
      </c>
      <c r="X120" s="396"/>
      <c r="Y120" s="466"/>
      <c r="Z120" s="398"/>
      <c r="AA120" s="399"/>
      <c r="AB120" s="393"/>
      <c r="AC120" s="476"/>
      <c r="AD120" s="401"/>
      <c r="AE120" s="402"/>
      <c r="AF120" s="403"/>
      <c r="AG120" s="404" t="str">
        <f>IFERROR(__xludf.DUMMYFUNCTION("IF($M120="""","""",IFERROR(sparkline(query(GOOGLEFINANCE($AZ120,""price"",TODAY()-$AF$43,TODAY(),1),""select Col2 label Col2 ''""),IF($AG$43=""Gráfico de barras"",{""charttype"",""column"";""highcolor"",""red""},{""chartype"",""line""}))))"),"")</f>
        <v/>
      </c>
      <c r="AH120" s="405"/>
      <c r="AI120" s="467"/>
      <c r="AJ120" s="467"/>
      <c r="AK120" s="467"/>
      <c r="AL120" s="467"/>
      <c r="AM120" s="442"/>
      <c r="AN120" s="442"/>
      <c r="AU120" s="281"/>
      <c r="AV120" s="281"/>
      <c r="AW120" s="281"/>
      <c r="AX120" s="281"/>
      <c r="AY120" s="410">
        <v>77.0</v>
      </c>
      <c r="AZ120" s="411"/>
      <c r="BA120" s="411"/>
      <c r="BB120" s="437"/>
      <c r="BC120" s="437"/>
      <c r="BD120" s="437"/>
      <c r="BE120" s="437"/>
      <c r="BF120" s="415" t="s">
        <v>123</v>
      </c>
      <c r="BG120" s="410">
        <v>77.0</v>
      </c>
      <c r="BH120" s="416"/>
      <c r="BI120" s="416"/>
      <c r="BJ120" s="416"/>
      <c r="BK120" s="416"/>
      <c r="BL120" s="416"/>
      <c r="BM120" s="416"/>
      <c r="BN120" s="282"/>
      <c r="BO120" s="490"/>
      <c r="BP120" s="489"/>
      <c r="BQ120" s="489"/>
      <c r="BR120" s="489"/>
      <c r="BS120" s="489"/>
      <c r="BT120" s="489"/>
      <c r="BU120" s="489"/>
      <c r="BV120" s="489"/>
      <c r="BW120" s="63"/>
      <c r="BX120" s="62"/>
      <c r="BY120" s="452"/>
      <c r="BZ120" s="452"/>
      <c r="CA120" s="452"/>
      <c r="CB120" s="452"/>
      <c r="CC120" s="452"/>
      <c r="CD120" s="452"/>
      <c r="CE120" s="452"/>
      <c r="CF120" s="452"/>
      <c r="CG120" s="452"/>
      <c r="CH120" s="422"/>
      <c r="CI120" s="422"/>
      <c r="CJ120" s="422"/>
      <c r="CK120" s="421"/>
      <c r="CL120" s="421" t="s">
        <v>123</v>
      </c>
      <c r="CM120" s="423"/>
      <c r="CN120" s="421"/>
      <c r="CO120" s="423"/>
      <c r="CP120" s="421"/>
      <c r="CQ120" s="63"/>
      <c r="CR120" s="63"/>
      <c r="CS120" s="63"/>
      <c r="CT120" s="63"/>
      <c r="CU120" s="447"/>
      <c r="CV120" s="447"/>
      <c r="CW120" s="447"/>
      <c r="CX120" s="447"/>
      <c r="CY120" s="447"/>
      <c r="CZ120" s="447"/>
      <c r="DA120" s="447"/>
      <c r="DB120" s="447"/>
      <c r="DC120" s="447"/>
      <c r="DD120" s="447"/>
      <c r="DE120" s="447"/>
      <c r="DF120" s="447"/>
      <c r="DG120" s="447"/>
      <c r="DH120" s="447"/>
      <c r="DI120" s="447"/>
      <c r="DJ120" s="447"/>
      <c r="DK120" s="447"/>
      <c r="DL120" s="67"/>
      <c r="DM120" s="67"/>
      <c r="DN120" s="67"/>
      <c r="DO120" s="67"/>
      <c r="DP120" s="67"/>
      <c r="DQ120" s="67"/>
    </row>
    <row r="121" ht="22.5" customHeight="1">
      <c r="A121" s="383"/>
      <c r="B121" s="384" t="str">
        <f>IFERROR(__xludf.DUMMYFUNCTION("IF(B$43="""","""",IF($AZ121="""","""",IFERROR(Query({CarteirasAtivos},""Select Col3 where Col1 = '""&amp;$AZ121&amp;""'and Col2 = '""&amp;S$21&amp;""'""))))"),"")</f>
        <v/>
      </c>
      <c r="C121" s="384" t="str">
        <f>IFERROR(__xludf.DUMMYFUNCTION("IF(C$43="""","""",IF($AZ121="""","""",IFERROR(Query({CarteirasAtivos},""Select Col3 where Col1 = '""&amp;$AZ121&amp;""'and Col2 = '""&amp;T$21&amp;""'""))))"),"")</f>
        <v/>
      </c>
      <c r="D121" s="384" t="str">
        <f>IFERROR(__xludf.DUMMYFUNCTION("IF(D$43="""","""",IF($AZ121="""","""",IFERROR(Query({CarteirasAtivos},""Select Col3 where Col1 = '""&amp;$AZ121&amp;""'and Col2 = '""&amp;U$21&amp;""'""))))"),"")</f>
        <v/>
      </c>
      <c r="E121" s="384" t="str">
        <f>IFERROR(__xludf.DUMMYFUNCTION("IF(E$43="""","""",IF($AZ121="""","""",IFERROR(Query({CarteirasAtivos},""Select Col3 where Col1 = '""&amp;$AZ121&amp;""'and Col2 = '""&amp;V$21&amp;""'""))))"),"")</f>
        <v/>
      </c>
      <c r="F121" s="384" t="str">
        <f>IFERROR(__xludf.DUMMYFUNCTION("IF(F$43="""","""",IF($AZ121="""","""",IFERROR(Query({CarteirasAtivos},""Select Col3 where Col1 = '""&amp;$AZ121&amp;""'and Col2 = '""&amp;W$21&amp;""'""))))"),"")</f>
        <v/>
      </c>
      <c r="G121" s="384" t="str">
        <f>IFERROR(__xludf.DUMMYFUNCTION("IF(G$43="""","""",IF($AZ121="""","""",IFERROR(Query({CarteirasAtivos},""Select Col3 where Col1 = '""&amp;$AZ121&amp;""'and Col2 = '""&amp;X$21&amp;""'""))))"),"")</f>
        <v/>
      </c>
      <c r="H121" s="384" t="str">
        <f>IFERROR(__xludf.DUMMYFUNCTION("IF(H$43="""","""",IF($AZ121="""","""",IFERROR(Query({CarteirasAtivos},""Select Col3 where Col1 = '""&amp;$AZ121&amp;""'and Col2 = '""&amp;Y$21&amp;""'""))))"),"")</f>
        <v/>
      </c>
      <c r="I121" s="384" t="str">
        <f>IFERROR(__xludf.DUMMYFUNCTION("IF(I$43="""","""",IF($AZ121="""","""",IFERROR(Query({CarteirasAtivos},""Select Col3 where Col1 = '""&amp;$AZ121&amp;""'and Col2 = '""&amp;Z$21&amp;""'""))))"),"")</f>
        <v/>
      </c>
      <c r="J121" s="384" t="str">
        <f>IFERROR(__xludf.DUMMYFUNCTION("IF(J$43="""","""",IF($AZ121="""","""",IFERROR(Query({CarteirasAtivos},""Select Col3 where Col1 = '""&amp;$AZ121&amp;""'and Col2 = '""&amp;AA$21&amp;""'""))))"),"")</f>
        <v/>
      </c>
      <c r="K121" s="384" t="str">
        <f>IFERROR(__xludf.DUMMYFUNCTION("IF(K$43="""","""",IF($AZ121="""","""",IFERROR(Query({CarteirasAtivos},""Select Col3 where Col1 = '""&amp;$AZ121&amp;""'and Col2 = '""&amp;AB$21&amp;""'""))))"),"")</f>
        <v/>
      </c>
      <c r="L121" s="385">
        <v>78.0</v>
      </c>
      <c r="M121" s="503"/>
      <c r="N121" s="387"/>
      <c r="O121" s="388" t="s">
        <v>123</v>
      </c>
      <c r="P121" s="389"/>
      <c r="Q121" s="390"/>
      <c r="R121" s="391"/>
      <c r="S121" s="392"/>
      <c r="T121" s="393"/>
      <c r="U121" s="393"/>
      <c r="V121" s="394"/>
      <c r="W121" s="395" t="str">
        <f>IFERROR(__xludf.DUMMYFUNCTION("IF(M121="""","""",sparkline(IFERROR(BF121*100/MAX($BF$44:$BF$153),0),{""charttype"",""bar"";""max"",100;""color1"",IF(BD121&gt;=0,""#4760a5"",""red"")}))"),"")</f>
        <v/>
      </c>
      <c r="X121" s="396"/>
      <c r="Y121" s="466"/>
      <c r="Z121" s="398"/>
      <c r="AA121" s="399"/>
      <c r="AB121" s="393"/>
      <c r="AC121" s="476"/>
      <c r="AD121" s="401"/>
      <c r="AE121" s="402"/>
      <c r="AF121" s="403"/>
      <c r="AG121" s="404" t="str">
        <f>IFERROR(__xludf.DUMMYFUNCTION("IF($M121="""","""",IFERROR(sparkline(query(GOOGLEFINANCE($AZ121,""price"",TODAY()-$AF$43,TODAY(),1),""select Col2 label Col2 ''""),IF($AG$43=""Gráfico de barras"",{""charttype"",""column"";""highcolor"",""red""},{""chartype"",""line""}))))"),"")</f>
        <v/>
      </c>
      <c r="AH121" s="405"/>
      <c r="AI121" s="467"/>
      <c r="AJ121" s="467"/>
      <c r="AK121" s="467"/>
      <c r="AL121" s="467"/>
      <c r="AM121" s="442"/>
      <c r="AN121" s="442"/>
      <c r="AU121" s="281"/>
      <c r="AV121" s="281"/>
      <c r="AW121" s="281"/>
      <c r="AX121" s="281"/>
      <c r="AY121" s="410">
        <v>78.0</v>
      </c>
      <c r="AZ121" s="411"/>
      <c r="BA121" s="411"/>
      <c r="BB121" s="437"/>
      <c r="BC121" s="437"/>
      <c r="BD121" s="437"/>
      <c r="BE121" s="437"/>
      <c r="BF121" s="415" t="s">
        <v>123</v>
      </c>
      <c r="BG121" s="410">
        <v>78.0</v>
      </c>
      <c r="BH121" s="416"/>
      <c r="BI121" s="416"/>
      <c r="BJ121" s="416"/>
      <c r="BK121" s="416"/>
      <c r="BL121" s="416"/>
      <c r="BM121" s="416"/>
      <c r="BN121" s="282"/>
      <c r="BO121" s="490"/>
      <c r="BP121" s="489"/>
      <c r="BQ121" s="489"/>
      <c r="BR121" s="489"/>
      <c r="BS121" s="489"/>
      <c r="BT121" s="489"/>
      <c r="BU121" s="489"/>
      <c r="BV121" s="489"/>
      <c r="BW121" s="63"/>
      <c r="BX121" s="62"/>
      <c r="BY121" s="452"/>
      <c r="BZ121" s="452"/>
      <c r="CA121" s="452"/>
      <c r="CB121" s="452"/>
      <c r="CC121" s="452"/>
      <c r="CD121" s="452"/>
      <c r="CE121" s="452"/>
      <c r="CF121" s="452"/>
      <c r="CG121" s="452"/>
      <c r="CH121" s="422"/>
      <c r="CI121" s="422"/>
      <c r="CJ121" s="422"/>
      <c r="CK121" s="421"/>
      <c r="CL121" s="421" t="s">
        <v>123</v>
      </c>
      <c r="CM121" s="423"/>
      <c r="CN121" s="421"/>
      <c r="CO121" s="423"/>
      <c r="CP121" s="421"/>
      <c r="CQ121" s="63"/>
      <c r="CR121" s="63"/>
      <c r="CS121" s="63"/>
      <c r="CT121" s="63"/>
      <c r="CU121" s="447"/>
      <c r="CV121" s="447"/>
      <c r="CW121" s="447"/>
      <c r="CX121" s="447"/>
      <c r="CY121" s="447"/>
      <c r="CZ121" s="447"/>
      <c r="DA121" s="447"/>
      <c r="DB121" s="447"/>
      <c r="DC121" s="447"/>
      <c r="DD121" s="447"/>
      <c r="DE121" s="447"/>
      <c r="DF121" s="447"/>
      <c r="DG121" s="447"/>
      <c r="DH121" s="447"/>
      <c r="DI121" s="447"/>
      <c r="DJ121" s="447"/>
      <c r="DK121" s="447"/>
      <c r="DL121" s="67"/>
      <c r="DM121" s="67"/>
      <c r="DN121" s="67"/>
      <c r="DO121" s="67"/>
      <c r="DP121" s="67"/>
      <c r="DQ121" s="67"/>
    </row>
    <row r="122" ht="22.5" customHeight="1">
      <c r="A122" s="383"/>
      <c r="B122" s="384" t="str">
        <f>IFERROR(__xludf.DUMMYFUNCTION("IF(B$43="""","""",IF($AZ122="""","""",IFERROR(Query({CarteirasAtivos},""Select Col3 where Col1 = '""&amp;$AZ122&amp;""'and Col2 = '""&amp;S$21&amp;""'""))))"),"")</f>
        <v/>
      </c>
      <c r="C122" s="384" t="str">
        <f>IFERROR(__xludf.DUMMYFUNCTION("IF(C$43="""","""",IF($AZ122="""","""",IFERROR(Query({CarteirasAtivos},""Select Col3 where Col1 = '""&amp;$AZ122&amp;""'and Col2 = '""&amp;T$21&amp;""'""))))"),"")</f>
        <v/>
      </c>
      <c r="D122" s="384" t="str">
        <f>IFERROR(__xludf.DUMMYFUNCTION("IF(D$43="""","""",IF($AZ122="""","""",IFERROR(Query({CarteirasAtivos},""Select Col3 where Col1 = '""&amp;$AZ122&amp;""'and Col2 = '""&amp;U$21&amp;""'""))))"),"")</f>
        <v/>
      </c>
      <c r="E122" s="384" t="str">
        <f>IFERROR(__xludf.DUMMYFUNCTION("IF(E$43="""","""",IF($AZ122="""","""",IFERROR(Query({CarteirasAtivos},""Select Col3 where Col1 = '""&amp;$AZ122&amp;""'and Col2 = '""&amp;V$21&amp;""'""))))"),"")</f>
        <v/>
      </c>
      <c r="F122" s="384" t="str">
        <f>IFERROR(__xludf.DUMMYFUNCTION("IF(F$43="""","""",IF($AZ122="""","""",IFERROR(Query({CarteirasAtivos},""Select Col3 where Col1 = '""&amp;$AZ122&amp;""'and Col2 = '""&amp;W$21&amp;""'""))))"),"")</f>
        <v/>
      </c>
      <c r="G122" s="384" t="str">
        <f>IFERROR(__xludf.DUMMYFUNCTION("IF(G$43="""","""",IF($AZ122="""","""",IFERROR(Query({CarteirasAtivos},""Select Col3 where Col1 = '""&amp;$AZ122&amp;""'and Col2 = '""&amp;X$21&amp;""'""))))"),"")</f>
        <v/>
      </c>
      <c r="H122" s="384" t="str">
        <f>IFERROR(__xludf.DUMMYFUNCTION("IF(H$43="""","""",IF($AZ122="""","""",IFERROR(Query({CarteirasAtivos},""Select Col3 where Col1 = '""&amp;$AZ122&amp;""'and Col2 = '""&amp;Y$21&amp;""'""))))"),"")</f>
        <v/>
      </c>
      <c r="I122" s="384" t="str">
        <f>IFERROR(__xludf.DUMMYFUNCTION("IF(I$43="""","""",IF($AZ122="""","""",IFERROR(Query({CarteirasAtivos},""Select Col3 where Col1 = '""&amp;$AZ122&amp;""'and Col2 = '""&amp;Z$21&amp;""'""))))"),"")</f>
        <v/>
      </c>
      <c r="J122" s="384" t="str">
        <f>IFERROR(__xludf.DUMMYFUNCTION("IF(J$43="""","""",IF($AZ122="""","""",IFERROR(Query({CarteirasAtivos},""Select Col3 where Col1 = '""&amp;$AZ122&amp;""'and Col2 = '""&amp;AA$21&amp;""'""))))"),"")</f>
        <v/>
      </c>
      <c r="K122" s="384" t="str">
        <f>IFERROR(__xludf.DUMMYFUNCTION("IF(K$43="""","""",IF($AZ122="""","""",IFERROR(Query({CarteirasAtivos},""Select Col3 where Col1 = '""&amp;$AZ122&amp;""'and Col2 = '""&amp;AB$21&amp;""'""))))"),"")</f>
        <v/>
      </c>
      <c r="L122" s="385">
        <v>79.0</v>
      </c>
      <c r="M122" s="503"/>
      <c r="N122" s="387"/>
      <c r="O122" s="388" t="s">
        <v>123</v>
      </c>
      <c r="P122" s="389"/>
      <c r="Q122" s="390"/>
      <c r="R122" s="391"/>
      <c r="S122" s="392"/>
      <c r="T122" s="393"/>
      <c r="U122" s="393"/>
      <c r="V122" s="394"/>
      <c r="W122" s="395" t="str">
        <f>IFERROR(__xludf.DUMMYFUNCTION("IF(M122="""","""",sparkline(IFERROR(BF122*100/MAX($BF$44:$BF$153),0),{""charttype"",""bar"";""max"",100;""color1"",IF(BD122&gt;=0,""#4760a5"",""red"")}))"),"")</f>
        <v/>
      </c>
      <c r="X122" s="396"/>
      <c r="Y122" s="466"/>
      <c r="Z122" s="398"/>
      <c r="AA122" s="399"/>
      <c r="AB122" s="393"/>
      <c r="AC122" s="476"/>
      <c r="AD122" s="401"/>
      <c r="AE122" s="402"/>
      <c r="AF122" s="403"/>
      <c r="AG122" s="404" t="str">
        <f>IFERROR(__xludf.DUMMYFUNCTION("IF($M122="""","""",IFERROR(sparkline(query(GOOGLEFINANCE($AZ122,""price"",TODAY()-$AF$43,TODAY(),1),""select Col2 label Col2 ''""),IF($AG$43=""Gráfico de barras"",{""charttype"",""column"";""highcolor"",""red""},{""chartype"",""line""}))))"),"")</f>
        <v/>
      </c>
      <c r="AH122" s="405"/>
      <c r="AI122" s="467"/>
      <c r="AJ122" s="467"/>
      <c r="AK122" s="467"/>
      <c r="AL122" s="467"/>
      <c r="AM122" s="442"/>
      <c r="AN122" s="442"/>
      <c r="AU122" s="281"/>
      <c r="AV122" s="281"/>
      <c r="AW122" s="281"/>
      <c r="AX122" s="281"/>
      <c r="AY122" s="410">
        <v>79.0</v>
      </c>
      <c r="AZ122" s="411"/>
      <c r="BA122" s="411"/>
      <c r="BB122" s="437"/>
      <c r="BC122" s="437"/>
      <c r="BD122" s="437"/>
      <c r="BE122" s="437"/>
      <c r="BF122" s="415" t="s">
        <v>123</v>
      </c>
      <c r="BG122" s="410">
        <v>79.0</v>
      </c>
      <c r="BH122" s="416"/>
      <c r="BI122" s="416"/>
      <c r="BJ122" s="416"/>
      <c r="BK122" s="416"/>
      <c r="BL122" s="416"/>
      <c r="BM122" s="416"/>
      <c r="BN122" s="282"/>
      <c r="BO122" s="490"/>
      <c r="BP122" s="489"/>
      <c r="BQ122" s="489"/>
      <c r="BR122" s="489"/>
      <c r="BS122" s="489"/>
      <c r="BT122" s="489"/>
      <c r="BU122" s="489"/>
      <c r="BV122" s="489"/>
      <c r="BW122" s="63"/>
      <c r="BX122" s="62"/>
      <c r="BY122" s="452"/>
      <c r="BZ122" s="452"/>
      <c r="CA122" s="452"/>
      <c r="CB122" s="452"/>
      <c r="CC122" s="452"/>
      <c r="CD122" s="452"/>
      <c r="CE122" s="452"/>
      <c r="CF122" s="452"/>
      <c r="CG122" s="452"/>
      <c r="CH122" s="422"/>
      <c r="CI122" s="422"/>
      <c r="CJ122" s="422"/>
      <c r="CK122" s="421"/>
      <c r="CL122" s="421" t="s">
        <v>123</v>
      </c>
      <c r="CM122" s="423"/>
      <c r="CN122" s="421"/>
      <c r="CO122" s="423"/>
      <c r="CP122" s="421"/>
      <c r="CQ122" s="63"/>
      <c r="CR122" s="63"/>
      <c r="CS122" s="63"/>
      <c r="CT122" s="63"/>
      <c r="CU122" s="447"/>
      <c r="CV122" s="447"/>
      <c r="CW122" s="447"/>
      <c r="CX122" s="447"/>
      <c r="CY122" s="447"/>
      <c r="CZ122" s="447"/>
      <c r="DA122" s="447"/>
      <c r="DB122" s="447"/>
      <c r="DC122" s="447"/>
      <c r="DD122" s="447"/>
      <c r="DE122" s="447"/>
      <c r="DF122" s="447"/>
      <c r="DG122" s="447"/>
      <c r="DH122" s="447"/>
      <c r="DI122" s="447"/>
      <c r="DJ122" s="447"/>
      <c r="DK122" s="447"/>
      <c r="DL122" s="67"/>
      <c r="DM122" s="67"/>
      <c r="DN122" s="67"/>
      <c r="DO122" s="67"/>
      <c r="DP122" s="67"/>
      <c r="DQ122" s="67"/>
    </row>
    <row r="123" ht="22.5" customHeight="1">
      <c r="A123" s="383"/>
      <c r="B123" s="384" t="str">
        <f>IFERROR(__xludf.DUMMYFUNCTION("IF(B$43="""","""",IF($AZ123="""","""",IFERROR(Query({CarteirasAtivos},""Select Col3 where Col1 = '""&amp;$AZ123&amp;""'and Col2 = '""&amp;S$21&amp;""'""))))"),"")</f>
        <v/>
      </c>
      <c r="C123" s="384" t="str">
        <f>IFERROR(__xludf.DUMMYFUNCTION("IF(C$43="""","""",IF($AZ123="""","""",IFERROR(Query({CarteirasAtivos},""Select Col3 where Col1 = '""&amp;$AZ123&amp;""'and Col2 = '""&amp;T$21&amp;""'""))))"),"")</f>
        <v/>
      </c>
      <c r="D123" s="384" t="str">
        <f>IFERROR(__xludf.DUMMYFUNCTION("IF(D$43="""","""",IF($AZ123="""","""",IFERROR(Query({CarteirasAtivos},""Select Col3 where Col1 = '""&amp;$AZ123&amp;""'and Col2 = '""&amp;U$21&amp;""'""))))"),"")</f>
        <v/>
      </c>
      <c r="E123" s="384" t="str">
        <f>IFERROR(__xludf.DUMMYFUNCTION("IF(E$43="""","""",IF($AZ123="""","""",IFERROR(Query({CarteirasAtivos},""Select Col3 where Col1 = '""&amp;$AZ123&amp;""'and Col2 = '""&amp;V$21&amp;""'""))))"),"")</f>
        <v/>
      </c>
      <c r="F123" s="384" t="str">
        <f>IFERROR(__xludf.DUMMYFUNCTION("IF(F$43="""","""",IF($AZ123="""","""",IFERROR(Query({CarteirasAtivos},""Select Col3 where Col1 = '""&amp;$AZ123&amp;""'and Col2 = '""&amp;W$21&amp;""'""))))"),"")</f>
        <v/>
      </c>
      <c r="G123" s="384" t="str">
        <f>IFERROR(__xludf.DUMMYFUNCTION("IF(G$43="""","""",IF($AZ123="""","""",IFERROR(Query({CarteirasAtivos},""Select Col3 where Col1 = '""&amp;$AZ123&amp;""'and Col2 = '""&amp;X$21&amp;""'""))))"),"")</f>
        <v/>
      </c>
      <c r="H123" s="384" t="str">
        <f>IFERROR(__xludf.DUMMYFUNCTION("IF(H$43="""","""",IF($AZ123="""","""",IFERROR(Query({CarteirasAtivos},""Select Col3 where Col1 = '""&amp;$AZ123&amp;""'and Col2 = '""&amp;Y$21&amp;""'""))))"),"")</f>
        <v/>
      </c>
      <c r="I123" s="384" t="str">
        <f>IFERROR(__xludf.DUMMYFUNCTION("IF(I$43="""","""",IF($AZ123="""","""",IFERROR(Query({CarteirasAtivos},""Select Col3 where Col1 = '""&amp;$AZ123&amp;""'and Col2 = '""&amp;Z$21&amp;""'""))))"),"")</f>
        <v/>
      </c>
      <c r="J123" s="384" t="str">
        <f>IFERROR(__xludf.DUMMYFUNCTION("IF(J$43="""","""",IF($AZ123="""","""",IFERROR(Query({CarteirasAtivos},""Select Col3 where Col1 = '""&amp;$AZ123&amp;""'and Col2 = '""&amp;AA$21&amp;""'""))))"),"")</f>
        <v/>
      </c>
      <c r="K123" s="384" t="str">
        <f>IFERROR(__xludf.DUMMYFUNCTION("IF(K$43="""","""",IF($AZ123="""","""",IFERROR(Query({CarteirasAtivos},""Select Col3 where Col1 = '""&amp;$AZ123&amp;""'and Col2 = '""&amp;AB$21&amp;""'""))))"),"")</f>
        <v/>
      </c>
      <c r="L123" s="385">
        <v>80.0</v>
      </c>
      <c r="M123" s="503"/>
      <c r="N123" s="387"/>
      <c r="O123" s="388" t="s">
        <v>123</v>
      </c>
      <c r="P123" s="389"/>
      <c r="Q123" s="390"/>
      <c r="R123" s="391"/>
      <c r="S123" s="392"/>
      <c r="T123" s="393"/>
      <c r="U123" s="393"/>
      <c r="V123" s="394"/>
      <c r="W123" s="395" t="str">
        <f>IFERROR(__xludf.DUMMYFUNCTION("IF(M123="""","""",sparkline(IFERROR(BF123*100/MAX($BF$44:$BF$153),0),{""charttype"",""bar"";""max"",100;""color1"",IF(BD123&gt;=0,""#4760a5"",""red"")}))"),"")</f>
        <v/>
      </c>
      <c r="X123" s="396"/>
      <c r="Y123" s="466"/>
      <c r="Z123" s="398"/>
      <c r="AA123" s="399"/>
      <c r="AB123" s="393"/>
      <c r="AC123" s="476"/>
      <c r="AD123" s="401"/>
      <c r="AE123" s="402"/>
      <c r="AF123" s="403"/>
      <c r="AG123" s="404" t="str">
        <f>IFERROR(__xludf.DUMMYFUNCTION("IF($M123="""","""",IFERROR(sparkline(query(GOOGLEFINANCE($AZ123,""price"",TODAY()-$AF$43,TODAY(),1),""select Col2 label Col2 ''""),IF($AG$43=""Gráfico de barras"",{""charttype"",""column"";""highcolor"",""red""},{""chartype"",""line""}))))"),"")</f>
        <v/>
      </c>
      <c r="AH123" s="405"/>
      <c r="AI123" s="467"/>
      <c r="AJ123" s="467"/>
      <c r="AK123" s="467"/>
      <c r="AL123" s="467"/>
      <c r="AM123" s="442"/>
      <c r="AN123" s="442"/>
      <c r="AU123" s="281"/>
      <c r="AV123" s="281"/>
      <c r="AW123" s="281"/>
      <c r="AX123" s="281"/>
      <c r="AY123" s="410">
        <v>80.0</v>
      </c>
      <c r="AZ123" s="411"/>
      <c r="BA123" s="411"/>
      <c r="BB123" s="437"/>
      <c r="BC123" s="437"/>
      <c r="BD123" s="437"/>
      <c r="BE123" s="437"/>
      <c r="BF123" s="415" t="s">
        <v>123</v>
      </c>
      <c r="BG123" s="410">
        <v>80.0</v>
      </c>
      <c r="BH123" s="416"/>
      <c r="BI123" s="416"/>
      <c r="BJ123" s="416"/>
      <c r="BK123" s="416"/>
      <c r="BL123" s="416"/>
      <c r="BM123" s="416"/>
      <c r="BN123" s="282"/>
      <c r="BO123" s="490"/>
      <c r="BP123" s="489"/>
      <c r="BQ123" s="489"/>
      <c r="BR123" s="489"/>
      <c r="BS123" s="489"/>
      <c r="BT123" s="489"/>
      <c r="BU123" s="489"/>
      <c r="BV123" s="489"/>
      <c r="BW123" s="63"/>
      <c r="BX123" s="62"/>
      <c r="BY123" s="452"/>
      <c r="BZ123" s="452"/>
      <c r="CA123" s="452"/>
      <c r="CB123" s="452"/>
      <c r="CC123" s="452"/>
      <c r="CD123" s="452"/>
      <c r="CE123" s="452"/>
      <c r="CF123" s="452"/>
      <c r="CG123" s="452"/>
      <c r="CH123" s="422"/>
      <c r="CI123" s="422"/>
      <c r="CJ123" s="422"/>
      <c r="CK123" s="421"/>
      <c r="CL123" s="421" t="s">
        <v>123</v>
      </c>
      <c r="CM123" s="423"/>
      <c r="CN123" s="421"/>
      <c r="CO123" s="423"/>
      <c r="CP123" s="421"/>
      <c r="CQ123" s="63"/>
      <c r="CR123" s="63"/>
      <c r="CS123" s="63"/>
      <c r="CT123" s="63"/>
      <c r="CU123" s="447"/>
      <c r="CV123" s="447"/>
      <c r="CW123" s="447"/>
      <c r="CX123" s="447"/>
      <c r="CY123" s="447"/>
      <c r="CZ123" s="447"/>
      <c r="DA123" s="447"/>
      <c r="DB123" s="447"/>
      <c r="DC123" s="447"/>
      <c r="DD123" s="447"/>
      <c r="DE123" s="447"/>
      <c r="DF123" s="447"/>
      <c r="DG123" s="447"/>
      <c r="DH123" s="447"/>
      <c r="DI123" s="447"/>
      <c r="DJ123" s="447"/>
      <c r="DK123" s="447"/>
      <c r="DL123" s="67"/>
      <c r="DM123" s="67"/>
      <c r="DN123" s="67"/>
      <c r="DO123" s="67"/>
      <c r="DP123" s="67"/>
      <c r="DQ123" s="67"/>
    </row>
    <row r="124" ht="22.5" customHeight="1">
      <c r="A124" s="383"/>
      <c r="B124" s="384" t="str">
        <f>IFERROR(__xludf.DUMMYFUNCTION("IF(B$43="""","""",IF($AZ124="""","""",IFERROR(Query({CarteirasAtivos},""Select Col3 where Col1 = '""&amp;$AZ124&amp;""'and Col2 = '""&amp;S$21&amp;""'""))))"),"")</f>
        <v/>
      </c>
      <c r="C124" s="384" t="str">
        <f>IFERROR(__xludf.DUMMYFUNCTION("IF(C$43="""","""",IF($AZ124="""","""",IFERROR(Query({CarteirasAtivos},""Select Col3 where Col1 = '""&amp;$AZ124&amp;""'and Col2 = '""&amp;T$21&amp;""'""))))"),"")</f>
        <v/>
      </c>
      <c r="D124" s="384" t="str">
        <f>IFERROR(__xludf.DUMMYFUNCTION("IF(D$43="""","""",IF($AZ124="""","""",IFERROR(Query({CarteirasAtivos},""Select Col3 where Col1 = '""&amp;$AZ124&amp;""'and Col2 = '""&amp;U$21&amp;""'""))))"),"")</f>
        <v/>
      </c>
      <c r="E124" s="384" t="str">
        <f>IFERROR(__xludf.DUMMYFUNCTION("IF(E$43="""","""",IF($AZ124="""","""",IFERROR(Query({CarteirasAtivos},""Select Col3 where Col1 = '""&amp;$AZ124&amp;""'and Col2 = '""&amp;V$21&amp;""'""))))"),"")</f>
        <v/>
      </c>
      <c r="F124" s="384" t="str">
        <f>IFERROR(__xludf.DUMMYFUNCTION("IF(F$43="""","""",IF($AZ124="""","""",IFERROR(Query({CarteirasAtivos},""Select Col3 where Col1 = '""&amp;$AZ124&amp;""'and Col2 = '""&amp;W$21&amp;""'""))))"),"")</f>
        <v/>
      </c>
      <c r="G124" s="384" t="str">
        <f>IFERROR(__xludf.DUMMYFUNCTION("IF(G$43="""","""",IF($AZ124="""","""",IFERROR(Query({CarteirasAtivos},""Select Col3 where Col1 = '""&amp;$AZ124&amp;""'and Col2 = '""&amp;X$21&amp;""'""))))"),"")</f>
        <v/>
      </c>
      <c r="H124" s="384" t="str">
        <f>IFERROR(__xludf.DUMMYFUNCTION("IF(H$43="""","""",IF($AZ124="""","""",IFERROR(Query({CarteirasAtivos},""Select Col3 where Col1 = '""&amp;$AZ124&amp;""'and Col2 = '""&amp;Y$21&amp;""'""))))"),"")</f>
        <v/>
      </c>
      <c r="I124" s="384" t="str">
        <f>IFERROR(__xludf.DUMMYFUNCTION("IF(I$43="""","""",IF($AZ124="""","""",IFERROR(Query({CarteirasAtivos},""Select Col3 where Col1 = '""&amp;$AZ124&amp;""'and Col2 = '""&amp;Z$21&amp;""'""))))"),"")</f>
        <v/>
      </c>
      <c r="J124" s="384" t="str">
        <f>IFERROR(__xludf.DUMMYFUNCTION("IF(J$43="""","""",IF($AZ124="""","""",IFERROR(Query({CarteirasAtivos},""Select Col3 where Col1 = '""&amp;$AZ124&amp;""'and Col2 = '""&amp;AA$21&amp;""'""))))"),"")</f>
        <v/>
      </c>
      <c r="K124" s="384" t="str">
        <f>IFERROR(__xludf.DUMMYFUNCTION("IF(K$43="""","""",IF($AZ124="""","""",IFERROR(Query({CarteirasAtivos},""Select Col3 where Col1 = '""&amp;$AZ124&amp;""'and Col2 = '""&amp;AB$21&amp;""'""))))"),"")</f>
        <v/>
      </c>
      <c r="L124" s="385">
        <v>81.0</v>
      </c>
      <c r="M124" s="503"/>
      <c r="N124" s="387"/>
      <c r="O124" s="388" t="s">
        <v>123</v>
      </c>
      <c r="P124" s="389"/>
      <c r="Q124" s="390"/>
      <c r="R124" s="391"/>
      <c r="S124" s="392"/>
      <c r="T124" s="393"/>
      <c r="U124" s="393"/>
      <c r="V124" s="394"/>
      <c r="W124" s="395" t="str">
        <f>IFERROR(__xludf.DUMMYFUNCTION("IF(M124="""","""",sparkline(IFERROR(BF124*100/MAX($BF$44:$BF$153),0),{""charttype"",""bar"";""max"",100;""color1"",IF(BD124&gt;=0,""#4760a5"",""red"")}))"),"")</f>
        <v/>
      </c>
      <c r="X124" s="396"/>
      <c r="Y124" s="466"/>
      <c r="Z124" s="398"/>
      <c r="AA124" s="399"/>
      <c r="AB124" s="393"/>
      <c r="AC124" s="476"/>
      <c r="AD124" s="401"/>
      <c r="AE124" s="402"/>
      <c r="AF124" s="403"/>
      <c r="AG124" s="404" t="str">
        <f>IFERROR(__xludf.DUMMYFUNCTION("IF($M124="""","""",IFERROR(sparkline(query(GOOGLEFINANCE($AZ124,""price"",TODAY()-$AF$43,TODAY(),1),""select Col2 label Col2 ''""),IF($AG$43=""Gráfico de barras"",{""charttype"",""column"";""highcolor"",""red""},{""chartype"",""line""}))))"),"")</f>
        <v/>
      </c>
      <c r="AH124" s="405"/>
      <c r="AI124" s="467"/>
      <c r="AJ124" s="467"/>
      <c r="AK124" s="467"/>
      <c r="AL124" s="467"/>
      <c r="AM124" s="442"/>
      <c r="AN124" s="442"/>
      <c r="AU124" s="281"/>
      <c r="AV124" s="281"/>
      <c r="AW124" s="281"/>
      <c r="AX124" s="281"/>
      <c r="AY124" s="410">
        <v>81.0</v>
      </c>
      <c r="AZ124" s="411"/>
      <c r="BA124" s="411"/>
      <c r="BB124" s="437"/>
      <c r="BC124" s="437"/>
      <c r="BD124" s="437"/>
      <c r="BE124" s="437"/>
      <c r="BF124" s="415" t="s">
        <v>123</v>
      </c>
      <c r="BG124" s="410">
        <v>81.0</v>
      </c>
      <c r="BH124" s="416"/>
      <c r="BI124" s="416"/>
      <c r="BJ124" s="416"/>
      <c r="BK124" s="416"/>
      <c r="BL124" s="416"/>
      <c r="BM124" s="416"/>
      <c r="BN124" s="282"/>
      <c r="BO124" s="490"/>
      <c r="BP124" s="489"/>
      <c r="BQ124" s="489"/>
      <c r="BR124" s="489"/>
      <c r="BS124" s="489"/>
      <c r="BT124" s="489"/>
      <c r="BU124" s="489"/>
      <c r="BV124" s="489"/>
      <c r="BW124" s="63"/>
      <c r="BX124" s="62"/>
      <c r="BY124" s="452"/>
      <c r="BZ124" s="452"/>
      <c r="CA124" s="452"/>
      <c r="CB124" s="452"/>
      <c r="CC124" s="452"/>
      <c r="CD124" s="452"/>
      <c r="CE124" s="452"/>
      <c r="CF124" s="452"/>
      <c r="CG124" s="452"/>
      <c r="CH124" s="422"/>
      <c r="CI124" s="422"/>
      <c r="CJ124" s="422"/>
      <c r="CK124" s="421"/>
      <c r="CL124" s="421" t="s">
        <v>123</v>
      </c>
      <c r="CM124" s="423"/>
      <c r="CN124" s="421"/>
      <c r="CO124" s="423"/>
      <c r="CP124" s="421"/>
      <c r="CQ124" s="63"/>
      <c r="CR124" s="63"/>
      <c r="CS124" s="63"/>
      <c r="CT124" s="63"/>
      <c r="CU124" s="447"/>
      <c r="CV124" s="447"/>
      <c r="CW124" s="447"/>
      <c r="CX124" s="447"/>
      <c r="CY124" s="447"/>
      <c r="CZ124" s="447"/>
      <c r="DA124" s="447"/>
      <c r="DB124" s="447"/>
      <c r="DC124" s="447"/>
      <c r="DD124" s="447"/>
      <c r="DE124" s="447"/>
      <c r="DF124" s="447"/>
      <c r="DG124" s="447"/>
      <c r="DH124" s="447"/>
      <c r="DI124" s="447"/>
      <c r="DJ124" s="447"/>
      <c r="DK124" s="447"/>
      <c r="DL124" s="67"/>
      <c r="DM124" s="67"/>
      <c r="DN124" s="67"/>
      <c r="DO124" s="67"/>
      <c r="DP124" s="67"/>
      <c r="DQ124" s="67"/>
    </row>
    <row r="125" ht="22.5" customHeight="1">
      <c r="A125" s="383"/>
      <c r="B125" s="384" t="str">
        <f>IFERROR(__xludf.DUMMYFUNCTION("IF(B$43="""","""",IF($AZ125="""","""",IFERROR(Query({CarteirasAtivos},""Select Col3 where Col1 = '""&amp;$AZ125&amp;""'and Col2 = '""&amp;S$21&amp;""'""))))"),"")</f>
        <v/>
      </c>
      <c r="C125" s="384" t="str">
        <f>IFERROR(__xludf.DUMMYFUNCTION("IF(C$43="""","""",IF($AZ125="""","""",IFERROR(Query({CarteirasAtivos},""Select Col3 where Col1 = '""&amp;$AZ125&amp;""'and Col2 = '""&amp;T$21&amp;""'""))))"),"")</f>
        <v/>
      </c>
      <c r="D125" s="384" t="str">
        <f>IFERROR(__xludf.DUMMYFUNCTION("IF(D$43="""","""",IF($AZ125="""","""",IFERROR(Query({CarteirasAtivos},""Select Col3 where Col1 = '""&amp;$AZ125&amp;""'and Col2 = '""&amp;U$21&amp;""'""))))"),"")</f>
        <v/>
      </c>
      <c r="E125" s="384" t="str">
        <f>IFERROR(__xludf.DUMMYFUNCTION("IF(E$43="""","""",IF($AZ125="""","""",IFERROR(Query({CarteirasAtivos},""Select Col3 where Col1 = '""&amp;$AZ125&amp;""'and Col2 = '""&amp;V$21&amp;""'""))))"),"")</f>
        <v/>
      </c>
      <c r="F125" s="384" t="str">
        <f>IFERROR(__xludf.DUMMYFUNCTION("IF(F$43="""","""",IF($AZ125="""","""",IFERROR(Query({CarteirasAtivos},""Select Col3 where Col1 = '""&amp;$AZ125&amp;""'and Col2 = '""&amp;W$21&amp;""'""))))"),"")</f>
        <v/>
      </c>
      <c r="G125" s="384" t="str">
        <f>IFERROR(__xludf.DUMMYFUNCTION("IF(G$43="""","""",IF($AZ125="""","""",IFERROR(Query({CarteirasAtivos},""Select Col3 where Col1 = '""&amp;$AZ125&amp;""'and Col2 = '""&amp;X$21&amp;""'""))))"),"")</f>
        <v/>
      </c>
      <c r="H125" s="384" t="str">
        <f>IFERROR(__xludf.DUMMYFUNCTION("IF(H$43="""","""",IF($AZ125="""","""",IFERROR(Query({CarteirasAtivos},""Select Col3 where Col1 = '""&amp;$AZ125&amp;""'and Col2 = '""&amp;Y$21&amp;""'""))))"),"")</f>
        <v/>
      </c>
      <c r="I125" s="384" t="str">
        <f>IFERROR(__xludf.DUMMYFUNCTION("IF(I$43="""","""",IF($AZ125="""","""",IFERROR(Query({CarteirasAtivos},""Select Col3 where Col1 = '""&amp;$AZ125&amp;""'and Col2 = '""&amp;Z$21&amp;""'""))))"),"")</f>
        <v/>
      </c>
      <c r="J125" s="384" t="str">
        <f>IFERROR(__xludf.DUMMYFUNCTION("IF(J$43="""","""",IF($AZ125="""","""",IFERROR(Query({CarteirasAtivos},""Select Col3 where Col1 = '""&amp;$AZ125&amp;""'and Col2 = '""&amp;AA$21&amp;""'""))))"),"")</f>
        <v/>
      </c>
      <c r="K125" s="384" t="str">
        <f>IFERROR(__xludf.DUMMYFUNCTION("IF(K$43="""","""",IF($AZ125="""","""",IFERROR(Query({CarteirasAtivos},""Select Col3 where Col1 = '""&amp;$AZ125&amp;""'and Col2 = '""&amp;AB$21&amp;""'""))))"),"")</f>
        <v/>
      </c>
      <c r="L125" s="385">
        <v>82.0</v>
      </c>
      <c r="M125" s="503"/>
      <c r="N125" s="387"/>
      <c r="O125" s="388" t="s">
        <v>123</v>
      </c>
      <c r="P125" s="389"/>
      <c r="Q125" s="390"/>
      <c r="R125" s="391"/>
      <c r="S125" s="392"/>
      <c r="T125" s="393"/>
      <c r="U125" s="393"/>
      <c r="V125" s="394"/>
      <c r="W125" s="395" t="str">
        <f>IFERROR(__xludf.DUMMYFUNCTION("IF(M125="""","""",sparkline(IFERROR(BF125*100/MAX($BF$44:$BF$153),0),{""charttype"",""bar"";""max"",100;""color1"",IF(BD125&gt;=0,""#4760a5"",""red"")}))"),"")</f>
        <v/>
      </c>
      <c r="X125" s="396"/>
      <c r="Y125" s="466"/>
      <c r="Z125" s="398"/>
      <c r="AA125" s="399"/>
      <c r="AB125" s="393"/>
      <c r="AC125" s="476"/>
      <c r="AD125" s="401"/>
      <c r="AE125" s="402"/>
      <c r="AF125" s="403"/>
      <c r="AG125" s="404" t="str">
        <f>IFERROR(__xludf.DUMMYFUNCTION("IF($M125="""","""",IFERROR(sparkline(query(GOOGLEFINANCE($AZ125,""price"",TODAY()-$AF$43,TODAY(),1),""select Col2 label Col2 ''""),IF($AG$43=""Gráfico de barras"",{""charttype"",""column"";""highcolor"",""red""},{""chartype"",""line""}))))"),"")</f>
        <v/>
      </c>
      <c r="AH125" s="405"/>
      <c r="AI125" s="467"/>
      <c r="AJ125" s="467"/>
      <c r="AK125" s="467"/>
      <c r="AL125" s="467"/>
      <c r="AM125" s="442"/>
      <c r="AN125" s="442"/>
      <c r="AU125" s="281"/>
      <c r="AV125" s="281"/>
      <c r="AW125" s="281"/>
      <c r="AX125" s="281"/>
      <c r="AY125" s="410">
        <v>82.0</v>
      </c>
      <c r="AZ125" s="411"/>
      <c r="BA125" s="411"/>
      <c r="BB125" s="437"/>
      <c r="BC125" s="437"/>
      <c r="BD125" s="437"/>
      <c r="BE125" s="437"/>
      <c r="BF125" s="415" t="s">
        <v>123</v>
      </c>
      <c r="BG125" s="410">
        <v>82.0</v>
      </c>
      <c r="BH125" s="416"/>
      <c r="BI125" s="416"/>
      <c r="BJ125" s="416"/>
      <c r="BK125" s="416"/>
      <c r="BL125" s="416"/>
      <c r="BM125" s="416"/>
      <c r="BN125" s="282"/>
      <c r="BO125" s="490"/>
      <c r="BP125" s="489"/>
      <c r="BQ125" s="489"/>
      <c r="BR125" s="489"/>
      <c r="BS125" s="489"/>
      <c r="BT125" s="489"/>
      <c r="BU125" s="489"/>
      <c r="BV125" s="489"/>
      <c r="BW125" s="63"/>
      <c r="BX125" s="62"/>
      <c r="BY125" s="452"/>
      <c r="BZ125" s="452"/>
      <c r="CA125" s="452"/>
      <c r="CB125" s="452"/>
      <c r="CC125" s="452"/>
      <c r="CD125" s="452"/>
      <c r="CE125" s="452"/>
      <c r="CF125" s="452"/>
      <c r="CG125" s="452"/>
      <c r="CH125" s="422"/>
      <c r="CI125" s="422"/>
      <c r="CJ125" s="422"/>
      <c r="CK125" s="421"/>
      <c r="CL125" s="421" t="s">
        <v>123</v>
      </c>
      <c r="CM125" s="423"/>
      <c r="CN125" s="421"/>
      <c r="CO125" s="423"/>
      <c r="CP125" s="421"/>
      <c r="CQ125" s="63"/>
      <c r="CR125" s="63"/>
      <c r="CS125" s="63"/>
      <c r="CT125" s="63"/>
      <c r="CU125" s="447"/>
      <c r="CV125" s="447"/>
      <c r="CW125" s="447"/>
      <c r="CX125" s="447"/>
      <c r="CY125" s="447"/>
      <c r="CZ125" s="447"/>
      <c r="DA125" s="447"/>
      <c r="DB125" s="447"/>
      <c r="DC125" s="447"/>
      <c r="DD125" s="447"/>
      <c r="DE125" s="447"/>
      <c r="DF125" s="447"/>
      <c r="DG125" s="447"/>
      <c r="DH125" s="447"/>
      <c r="DI125" s="447"/>
      <c r="DJ125" s="447"/>
      <c r="DK125" s="447"/>
      <c r="DL125" s="67"/>
      <c r="DM125" s="67"/>
      <c r="DN125" s="67"/>
      <c r="DO125" s="67"/>
      <c r="DP125" s="67"/>
      <c r="DQ125" s="67"/>
    </row>
    <row r="126" ht="22.5" customHeight="1">
      <c r="A126" s="383"/>
      <c r="B126" s="384" t="str">
        <f>IFERROR(__xludf.DUMMYFUNCTION("IF(B$43="""","""",IF($AZ126="""","""",IFERROR(Query({CarteirasAtivos},""Select Col3 where Col1 = '""&amp;$AZ126&amp;""'and Col2 = '""&amp;S$21&amp;""'""))))"),"")</f>
        <v/>
      </c>
      <c r="C126" s="384" t="str">
        <f>IFERROR(__xludf.DUMMYFUNCTION("IF(C$43="""","""",IF($AZ126="""","""",IFERROR(Query({CarteirasAtivos},""Select Col3 where Col1 = '""&amp;$AZ126&amp;""'and Col2 = '""&amp;T$21&amp;""'""))))"),"")</f>
        <v/>
      </c>
      <c r="D126" s="384" t="str">
        <f>IFERROR(__xludf.DUMMYFUNCTION("IF(D$43="""","""",IF($AZ126="""","""",IFERROR(Query({CarteirasAtivos},""Select Col3 where Col1 = '""&amp;$AZ126&amp;""'and Col2 = '""&amp;U$21&amp;""'""))))"),"")</f>
        <v/>
      </c>
      <c r="E126" s="384" t="str">
        <f>IFERROR(__xludf.DUMMYFUNCTION("IF(E$43="""","""",IF($AZ126="""","""",IFERROR(Query({CarteirasAtivos},""Select Col3 where Col1 = '""&amp;$AZ126&amp;""'and Col2 = '""&amp;V$21&amp;""'""))))"),"")</f>
        <v/>
      </c>
      <c r="F126" s="384" t="str">
        <f>IFERROR(__xludf.DUMMYFUNCTION("IF(F$43="""","""",IF($AZ126="""","""",IFERROR(Query({CarteirasAtivos},""Select Col3 where Col1 = '""&amp;$AZ126&amp;""'and Col2 = '""&amp;W$21&amp;""'""))))"),"")</f>
        <v/>
      </c>
      <c r="G126" s="384" t="str">
        <f>IFERROR(__xludf.DUMMYFUNCTION("IF(G$43="""","""",IF($AZ126="""","""",IFERROR(Query({CarteirasAtivos},""Select Col3 where Col1 = '""&amp;$AZ126&amp;""'and Col2 = '""&amp;X$21&amp;""'""))))"),"")</f>
        <v/>
      </c>
      <c r="H126" s="384" t="str">
        <f>IFERROR(__xludf.DUMMYFUNCTION("IF(H$43="""","""",IF($AZ126="""","""",IFERROR(Query({CarteirasAtivos},""Select Col3 where Col1 = '""&amp;$AZ126&amp;""'and Col2 = '""&amp;Y$21&amp;""'""))))"),"")</f>
        <v/>
      </c>
      <c r="I126" s="384" t="str">
        <f>IFERROR(__xludf.DUMMYFUNCTION("IF(I$43="""","""",IF($AZ126="""","""",IFERROR(Query({CarteirasAtivos},""Select Col3 where Col1 = '""&amp;$AZ126&amp;""'and Col2 = '""&amp;Z$21&amp;""'""))))"),"")</f>
        <v/>
      </c>
      <c r="J126" s="384" t="str">
        <f>IFERROR(__xludf.DUMMYFUNCTION("IF(J$43="""","""",IF($AZ126="""","""",IFERROR(Query({CarteirasAtivos},""Select Col3 where Col1 = '""&amp;$AZ126&amp;""'and Col2 = '""&amp;AA$21&amp;""'""))))"),"")</f>
        <v/>
      </c>
      <c r="K126" s="384" t="str">
        <f>IFERROR(__xludf.DUMMYFUNCTION("IF(K$43="""","""",IF($AZ126="""","""",IFERROR(Query({CarteirasAtivos},""Select Col3 where Col1 = '""&amp;$AZ126&amp;""'and Col2 = '""&amp;AB$21&amp;""'""))))"),"")</f>
        <v/>
      </c>
      <c r="L126" s="385">
        <v>83.0</v>
      </c>
      <c r="M126" s="503"/>
      <c r="N126" s="387"/>
      <c r="O126" s="388" t="s">
        <v>123</v>
      </c>
      <c r="P126" s="389"/>
      <c r="Q126" s="390"/>
      <c r="R126" s="391"/>
      <c r="S126" s="392"/>
      <c r="T126" s="393"/>
      <c r="U126" s="393"/>
      <c r="V126" s="394"/>
      <c r="W126" s="395" t="str">
        <f>IFERROR(__xludf.DUMMYFUNCTION("IF(M126="""","""",sparkline(IFERROR(BF126*100/MAX($BF$44:$BF$153),0),{""charttype"",""bar"";""max"",100;""color1"",IF(BD126&gt;=0,""#4760a5"",""red"")}))"),"")</f>
        <v/>
      </c>
      <c r="X126" s="396"/>
      <c r="Y126" s="466"/>
      <c r="Z126" s="398"/>
      <c r="AA126" s="399"/>
      <c r="AB126" s="393"/>
      <c r="AC126" s="476"/>
      <c r="AD126" s="401"/>
      <c r="AE126" s="402"/>
      <c r="AF126" s="403"/>
      <c r="AG126" s="404" t="str">
        <f>IFERROR(__xludf.DUMMYFUNCTION("IF($M126="""","""",IFERROR(sparkline(query(GOOGLEFINANCE($AZ126,""price"",TODAY()-$AF$43,TODAY(),1),""select Col2 label Col2 ''""),IF($AG$43=""Gráfico de barras"",{""charttype"",""column"";""highcolor"",""red""},{""chartype"",""line""}))))"),"")</f>
        <v/>
      </c>
      <c r="AH126" s="405"/>
      <c r="AI126" s="467"/>
      <c r="AJ126" s="467"/>
      <c r="AK126" s="467"/>
      <c r="AL126" s="467"/>
      <c r="AM126" s="442"/>
      <c r="AN126" s="442"/>
      <c r="AU126" s="281"/>
      <c r="AV126" s="281"/>
      <c r="AW126" s="281"/>
      <c r="AX126" s="281"/>
      <c r="AY126" s="410">
        <v>83.0</v>
      </c>
      <c r="AZ126" s="411"/>
      <c r="BA126" s="411"/>
      <c r="BB126" s="437"/>
      <c r="BC126" s="437"/>
      <c r="BD126" s="437"/>
      <c r="BE126" s="437"/>
      <c r="BF126" s="415" t="s">
        <v>123</v>
      </c>
      <c r="BG126" s="410">
        <v>83.0</v>
      </c>
      <c r="BH126" s="416"/>
      <c r="BI126" s="416"/>
      <c r="BJ126" s="416"/>
      <c r="BK126" s="416"/>
      <c r="BL126" s="416"/>
      <c r="BM126" s="416"/>
      <c r="BN126" s="282"/>
      <c r="BO126" s="490"/>
      <c r="BP126" s="489"/>
      <c r="BQ126" s="489"/>
      <c r="BR126" s="489"/>
      <c r="BS126" s="489"/>
      <c r="BT126" s="489"/>
      <c r="BU126" s="489"/>
      <c r="BV126" s="489"/>
      <c r="BW126" s="63"/>
      <c r="BX126" s="62"/>
      <c r="BY126" s="452"/>
      <c r="BZ126" s="452"/>
      <c r="CA126" s="452"/>
      <c r="CB126" s="452"/>
      <c r="CC126" s="452"/>
      <c r="CD126" s="452"/>
      <c r="CE126" s="452"/>
      <c r="CF126" s="452"/>
      <c r="CG126" s="452"/>
      <c r="CH126" s="422"/>
      <c r="CI126" s="422"/>
      <c r="CJ126" s="422"/>
      <c r="CK126" s="421"/>
      <c r="CL126" s="421" t="s">
        <v>123</v>
      </c>
      <c r="CM126" s="423"/>
      <c r="CN126" s="421"/>
      <c r="CO126" s="423"/>
      <c r="CP126" s="421"/>
      <c r="CQ126" s="63"/>
      <c r="CR126" s="63"/>
      <c r="CS126" s="63"/>
      <c r="CT126" s="63"/>
      <c r="CU126" s="447"/>
      <c r="CV126" s="447"/>
      <c r="CW126" s="447"/>
      <c r="CX126" s="447"/>
      <c r="CY126" s="447"/>
      <c r="CZ126" s="447"/>
      <c r="DA126" s="447"/>
      <c r="DB126" s="447"/>
      <c r="DC126" s="447"/>
      <c r="DD126" s="447"/>
      <c r="DE126" s="447"/>
      <c r="DF126" s="447"/>
      <c r="DG126" s="447"/>
      <c r="DH126" s="447"/>
      <c r="DI126" s="447"/>
      <c r="DJ126" s="447"/>
      <c r="DK126" s="447"/>
      <c r="DL126" s="67"/>
      <c r="DM126" s="67"/>
      <c r="DN126" s="67"/>
      <c r="DO126" s="67"/>
      <c r="DP126" s="67"/>
      <c r="DQ126" s="67"/>
    </row>
    <row r="127" ht="22.5" customHeight="1">
      <c r="A127" s="383"/>
      <c r="B127" s="384" t="str">
        <f>IFERROR(__xludf.DUMMYFUNCTION("IF(B$43="""","""",IF($AZ127="""","""",IFERROR(Query({CarteirasAtivos},""Select Col3 where Col1 = '""&amp;$AZ127&amp;""'and Col2 = '""&amp;S$21&amp;""'""))))"),"")</f>
        <v/>
      </c>
      <c r="C127" s="384" t="str">
        <f>IFERROR(__xludf.DUMMYFUNCTION("IF(C$43="""","""",IF($AZ127="""","""",IFERROR(Query({CarteirasAtivos},""Select Col3 where Col1 = '""&amp;$AZ127&amp;""'and Col2 = '""&amp;T$21&amp;""'""))))"),"")</f>
        <v/>
      </c>
      <c r="D127" s="384" t="str">
        <f>IFERROR(__xludf.DUMMYFUNCTION("IF(D$43="""","""",IF($AZ127="""","""",IFERROR(Query({CarteirasAtivos},""Select Col3 where Col1 = '""&amp;$AZ127&amp;""'and Col2 = '""&amp;U$21&amp;""'""))))"),"")</f>
        <v/>
      </c>
      <c r="E127" s="384" t="str">
        <f>IFERROR(__xludf.DUMMYFUNCTION("IF(E$43="""","""",IF($AZ127="""","""",IFERROR(Query({CarteirasAtivos},""Select Col3 where Col1 = '""&amp;$AZ127&amp;""'and Col2 = '""&amp;V$21&amp;""'""))))"),"")</f>
        <v/>
      </c>
      <c r="F127" s="384" t="str">
        <f>IFERROR(__xludf.DUMMYFUNCTION("IF(F$43="""","""",IF($AZ127="""","""",IFERROR(Query({CarteirasAtivos},""Select Col3 where Col1 = '""&amp;$AZ127&amp;""'and Col2 = '""&amp;W$21&amp;""'""))))"),"")</f>
        <v/>
      </c>
      <c r="G127" s="384" t="str">
        <f>IFERROR(__xludf.DUMMYFUNCTION("IF(G$43="""","""",IF($AZ127="""","""",IFERROR(Query({CarteirasAtivos},""Select Col3 where Col1 = '""&amp;$AZ127&amp;""'and Col2 = '""&amp;X$21&amp;""'""))))"),"")</f>
        <v/>
      </c>
      <c r="H127" s="384" t="str">
        <f>IFERROR(__xludf.DUMMYFUNCTION("IF(H$43="""","""",IF($AZ127="""","""",IFERROR(Query({CarteirasAtivos},""Select Col3 where Col1 = '""&amp;$AZ127&amp;""'and Col2 = '""&amp;Y$21&amp;""'""))))"),"")</f>
        <v/>
      </c>
      <c r="I127" s="384" t="str">
        <f>IFERROR(__xludf.DUMMYFUNCTION("IF(I$43="""","""",IF($AZ127="""","""",IFERROR(Query({CarteirasAtivos},""Select Col3 where Col1 = '""&amp;$AZ127&amp;""'and Col2 = '""&amp;Z$21&amp;""'""))))"),"")</f>
        <v/>
      </c>
      <c r="J127" s="384" t="str">
        <f>IFERROR(__xludf.DUMMYFUNCTION("IF(J$43="""","""",IF($AZ127="""","""",IFERROR(Query({CarteirasAtivos},""Select Col3 where Col1 = '""&amp;$AZ127&amp;""'and Col2 = '""&amp;AA$21&amp;""'""))))"),"")</f>
        <v/>
      </c>
      <c r="K127" s="384" t="str">
        <f>IFERROR(__xludf.DUMMYFUNCTION("IF(K$43="""","""",IF($AZ127="""","""",IFERROR(Query({CarteirasAtivos},""Select Col3 where Col1 = '""&amp;$AZ127&amp;""'and Col2 = '""&amp;AB$21&amp;""'""))))"),"")</f>
        <v/>
      </c>
      <c r="L127" s="385">
        <v>84.0</v>
      </c>
      <c r="M127" s="503"/>
      <c r="N127" s="387"/>
      <c r="O127" s="388" t="s">
        <v>123</v>
      </c>
      <c r="P127" s="389"/>
      <c r="Q127" s="390"/>
      <c r="R127" s="391"/>
      <c r="S127" s="392"/>
      <c r="T127" s="393"/>
      <c r="U127" s="393"/>
      <c r="V127" s="394"/>
      <c r="W127" s="395" t="str">
        <f>IFERROR(__xludf.DUMMYFUNCTION("IF(M127="""","""",sparkline(IFERROR(BF127*100/MAX($BF$44:$BF$153),0),{""charttype"",""bar"";""max"",100;""color1"",IF(BD127&gt;=0,""#4760a5"",""red"")}))"),"")</f>
        <v/>
      </c>
      <c r="X127" s="396"/>
      <c r="Y127" s="466"/>
      <c r="Z127" s="398"/>
      <c r="AA127" s="399"/>
      <c r="AB127" s="393"/>
      <c r="AC127" s="476"/>
      <c r="AD127" s="401"/>
      <c r="AE127" s="402"/>
      <c r="AF127" s="403"/>
      <c r="AG127" s="404" t="str">
        <f>IFERROR(__xludf.DUMMYFUNCTION("IF($M127="""","""",IFERROR(sparkline(query(GOOGLEFINANCE($AZ127,""price"",TODAY()-$AF$43,TODAY(),1),""select Col2 label Col2 ''""),IF($AG$43=""Gráfico de barras"",{""charttype"",""column"";""highcolor"",""red""},{""chartype"",""line""}))))"),"")</f>
        <v/>
      </c>
      <c r="AH127" s="405"/>
      <c r="AI127" s="467"/>
      <c r="AJ127" s="467"/>
      <c r="AK127" s="467"/>
      <c r="AL127" s="467"/>
      <c r="AM127" s="442"/>
      <c r="AN127" s="442"/>
      <c r="AU127" s="281"/>
      <c r="AV127" s="281"/>
      <c r="AW127" s="281"/>
      <c r="AX127" s="281"/>
      <c r="AY127" s="410">
        <v>84.0</v>
      </c>
      <c r="AZ127" s="411"/>
      <c r="BA127" s="411"/>
      <c r="BB127" s="437"/>
      <c r="BC127" s="437"/>
      <c r="BD127" s="437"/>
      <c r="BE127" s="437"/>
      <c r="BF127" s="415" t="s">
        <v>123</v>
      </c>
      <c r="BG127" s="410">
        <v>84.0</v>
      </c>
      <c r="BH127" s="416"/>
      <c r="BI127" s="416"/>
      <c r="BJ127" s="416"/>
      <c r="BK127" s="416"/>
      <c r="BL127" s="416"/>
      <c r="BM127" s="416"/>
      <c r="BN127" s="282"/>
      <c r="BO127" s="490"/>
      <c r="BP127" s="489"/>
      <c r="BQ127" s="489"/>
      <c r="BR127" s="489"/>
      <c r="BS127" s="489"/>
      <c r="BT127" s="489"/>
      <c r="BU127" s="489"/>
      <c r="BV127" s="489"/>
      <c r="BW127" s="63"/>
      <c r="BX127" s="62"/>
      <c r="BY127" s="452"/>
      <c r="BZ127" s="452"/>
      <c r="CA127" s="452"/>
      <c r="CB127" s="452"/>
      <c r="CC127" s="452"/>
      <c r="CD127" s="452"/>
      <c r="CE127" s="452"/>
      <c r="CF127" s="452"/>
      <c r="CG127" s="452"/>
      <c r="CH127" s="422"/>
      <c r="CI127" s="422"/>
      <c r="CJ127" s="422"/>
      <c r="CK127" s="421"/>
      <c r="CL127" s="421" t="s">
        <v>123</v>
      </c>
      <c r="CM127" s="423"/>
      <c r="CN127" s="421"/>
      <c r="CO127" s="423"/>
      <c r="CP127" s="421"/>
      <c r="CQ127" s="63"/>
      <c r="CR127" s="63"/>
      <c r="CS127" s="63"/>
      <c r="CT127" s="63"/>
      <c r="CU127" s="447"/>
      <c r="CV127" s="447"/>
      <c r="CW127" s="447"/>
      <c r="CX127" s="447"/>
      <c r="CY127" s="447"/>
      <c r="CZ127" s="447"/>
      <c r="DA127" s="447"/>
      <c r="DB127" s="447"/>
      <c r="DC127" s="447"/>
      <c r="DD127" s="447"/>
      <c r="DE127" s="447"/>
      <c r="DF127" s="447"/>
      <c r="DG127" s="447"/>
      <c r="DH127" s="447"/>
      <c r="DI127" s="447"/>
      <c r="DJ127" s="447"/>
      <c r="DK127" s="447"/>
      <c r="DL127" s="67"/>
      <c r="DM127" s="67"/>
      <c r="DN127" s="67"/>
      <c r="DO127" s="67"/>
      <c r="DP127" s="67"/>
      <c r="DQ127" s="67"/>
    </row>
    <row r="128" ht="22.5" customHeight="1">
      <c r="A128" s="383"/>
      <c r="B128" s="384" t="str">
        <f>IFERROR(__xludf.DUMMYFUNCTION("IF(B$43="""","""",IF($AZ128="""","""",IFERROR(Query({CarteirasAtivos},""Select Col3 where Col1 = '""&amp;$AZ128&amp;""'and Col2 = '""&amp;S$21&amp;""'""))))"),"")</f>
        <v/>
      </c>
      <c r="C128" s="384" t="str">
        <f>IFERROR(__xludf.DUMMYFUNCTION("IF(C$43="""","""",IF($AZ128="""","""",IFERROR(Query({CarteirasAtivos},""Select Col3 where Col1 = '""&amp;$AZ128&amp;""'and Col2 = '""&amp;T$21&amp;""'""))))"),"")</f>
        <v/>
      </c>
      <c r="D128" s="384" t="str">
        <f>IFERROR(__xludf.DUMMYFUNCTION("IF(D$43="""","""",IF($AZ128="""","""",IFERROR(Query({CarteirasAtivos},""Select Col3 where Col1 = '""&amp;$AZ128&amp;""'and Col2 = '""&amp;U$21&amp;""'""))))"),"")</f>
        <v/>
      </c>
      <c r="E128" s="384" t="str">
        <f>IFERROR(__xludf.DUMMYFUNCTION("IF(E$43="""","""",IF($AZ128="""","""",IFERROR(Query({CarteirasAtivos},""Select Col3 where Col1 = '""&amp;$AZ128&amp;""'and Col2 = '""&amp;V$21&amp;""'""))))"),"")</f>
        <v/>
      </c>
      <c r="F128" s="384" t="str">
        <f>IFERROR(__xludf.DUMMYFUNCTION("IF(F$43="""","""",IF($AZ128="""","""",IFERROR(Query({CarteirasAtivos},""Select Col3 where Col1 = '""&amp;$AZ128&amp;""'and Col2 = '""&amp;W$21&amp;""'""))))"),"")</f>
        <v/>
      </c>
      <c r="G128" s="384" t="str">
        <f>IFERROR(__xludf.DUMMYFUNCTION("IF(G$43="""","""",IF($AZ128="""","""",IFERROR(Query({CarteirasAtivos},""Select Col3 where Col1 = '""&amp;$AZ128&amp;""'and Col2 = '""&amp;X$21&amp;""'""))))"),"")</f>
        <v/>
      </c>
      <c r="H128" s="384" t="str">
        <f>IFERROR(__xludf.DUMMYFUNCTION("IF(H$43="""","""",IF($AZ128="""","""",IFERROR(Query({CarteirasAtivos},""Select Col3 where Col1 = '""&amp;$AZ128&amp;""'and Col2 = '""&amp;Y$21&amp;""'""))))"),"")</f>
        <v/>
      </c>
      <c r="I128" s="384" t="str">
        <f>IFERROR(__xludf.DUMMYFUNCTION("IF(I$43="""","""",IF($AZ128="""","""",IFERROR(Query({CarteirasAtivos},""Select Col3 where Col1 = '""&amp;$AZ128&amp;""'and Col2 = '""&amp;Z$21&amp;""'""))))"),"")</f>
        <v/>
      </c>
      <c r="J128" s="384" t="str">
        <f>IFERROR(__xludf.DUMMYFUNCTION("IF(J$43="""","""",IF($AZ128="""","""",IFERROR(Query({CarteirasAtivos},""Select Col3 where Col1 = '""&amp;$AZ128&amp;""'and Col2 = '""&amp;AA$21&amp;""'""))))"),"")</f>
        <v/>
      </c>
      <c r="K128" s="384" t="str">
        <f>IFERROR(__xludf.DUMMYFUNCTION("IF(K$43="""","""",IF($AZ128="""","""",IFERROR(Query({CarteirasAtivos},""Select Col3 where Col1 = '""&amp;$AZ128&amp;""'and Col2 = '""&amp;AB$21&amp;""'""))))"),"")</f>
        <v/>
      </c>
      <c r="L128" s="385">
        <v>85.0</v>
      </c>
      <c r="M128" s="503"/>
      <c r="N128" s="387"/>
      <c r="O128" s="388" t="s">
        <v>123</v>
      </c>
      <c r="P128" s="389"/>
      <c r="Q128" s="390"/>
      <c r="R128" s="391"/>
      <c r="S128" s="392"/>
      <c r="T128" s="393"/>
      <c r="U128" s="393"/>
      <c r="V128" s="394"/>
      <c r="W128" s="395" t="str">
        <f>IFERROR(__xludf.DUMMYFUNCTION("IF(M128="""","""",sparkline(IFERROR(BF128*100/MAX($BF$44:$BF$153),0),{""charttype"",""bar"";""max"",100;""color1"",IF(BD128&gt;=0,""#4760a5"",""red"")}))"),"")</f>
        <v/>
      </c>
      <c r="X128" s="396"/>
      <c r="Y128" s="466"/>
      <c r="Z128" s="398"/>
      <c r="AA128" s="399"/>
      <c r="AB128" s="393"/>
      <c r="AC128" s="476"/>
      <c r="AD128" s="401"/>
      <c r="AE128" s="402"/>
      <c r="AF128" s="403"/>
      <c r="AG128" s="404" t="str">
        <f>IFERROR(__xludf.DUMMYFUNCTION("IF($M128="""","""",IFERROR(sparkline(query(GOOGLEFINANCE($AZ128,""price"",TODAY()-$AF$43,TODAY(),1),""select Col2 label Col2 ''""),IF($AG$43=""Gráfico de barras"",{""charttype"",""column"";""highcolor"",""red""},{""chartype"",""line""}))))"),"")</f>
        <v/>
      </c>
      <c r="AH128" s="405"/>
      <c r="AI128" s="467"/>
      <c r="AJ128" s="467"/>
      <c r="AK128" s="467"/>
      <c r="AL128" s="467"/>
      <c r="AM128" s="442"/>
      <c r="AN128" s="442"/>
      <c r="AU128" s="281"/>
      <c r="AV128" s="281"/>
      <c r="AW128" s="281"/>
      <c r="AX128" s="281"/>
      <c r="AY128" s="410">
        <v>85.0</v>
      </c>
      <c r="AZ128" s="411"/>
      <c r="BA128" s="411"/>
      <c r="BB128" s="437"/>
      <c r="BC128" s="437"/>
      <c r="BD128" s="437"/>
      <c r="BE128" s="437"/>
      <c r="BF128" s="415" t="s">
        <v>123</v>
      </c>
      <c r="BG128" s="410">
        <v>85.0</v>
      </c>
      <c r="BH128" s="416"/>
      <c r="BI128" s="416"/>
      <c r="BJ128" s="416"/>
      <c r="BK128" s="416"/>
      <c r="BL128" s="416"/>
      <c r="BM128" s="416"/>
      <c r="BN128" s="282"/>
      <c r="BO128" s="490"/>
      <c r="BP128" s="489"/>
      <c r="BQ128" s="489"/>
      <c r="BR128" s="489"/>
      <c r="BS128" s="489"/>
      <c r="BT128" s="489"/>
      <c r="BU128" s="489"/>
      <c r="BV128" s="489"/>
      <c r="BW128" s="63"/>
      <c r="BX128" s="62"/>
      <c r="BY128" s="452"/>
      <c r="BZ128" s="452"/>
      <c r="CA128" s="452"/>
      <c r="CB128" s="452"/>
      <c r="CC128" s="452"/>
      <c r="CD128" s="452"/>
      <c r="CE128" s="452"/>
      <c r="CF128" s="452"/>
      <c r="CG128" s="452"/>
      <c r="CH128" s="422"/>
      <c r="CI128" s="422"/>
      <c r="CJ128" s="422"/>
      <c r="CK128" s="421"/>
      <c r="CL128" s="421" t="s">
        <v>123</v>
      </c>
      <c r="CM128" s="423"/>
      <c r="CN128" s="421"/>
      <c r="CO128" s="423"/>
      <c r="CP128" s="421"/>
      <c r="CQ128" s="63"/>
      <c r="CR128" s="63"/>
      <c r="CS128" s="63"/>
      <c r="CT128" s="63"/>
      <c r="CU128" s="447"/>
      <c r="CV128" s="447"/>
      <c r="CW128" s="447"/>
      <c r="CX128" s="447"/>
      <c r="CY128" s="447"/>
      <c r="CZ128" s="447"/>
      <c r="DA128" s="447"/>
      <c r="DB128" s="447"/>
      <c r="DC128" s="447"/>
      <c r="DD128" s="447"/>
      <c r="DE128" s="447"/>
      <c r="DF128" s="447"/>
      <c r="DG128" s="447"/>
      <c r="DH128" s="447"/>
      <c r="DI128" s="447"/>
      <c r="DJ128" s="447"/>
      <c r="DK128" s="447"/>
      <c r="DL128" s="67"/>
      <c r="DM128" s="67"/>
      <c r="DN128" s="67"/>
      <c r="DO128" s="67"/>
      <c r="DP128" s="67"/>
      <c r="DQ128" s="67"/>
    </row>
    <row r="129" ht="22.5" customHeight="1">
      <c r="A129" s="383"/>
      <c r="B129" s="384" t="str">
        <f>IFERROR(__xludf.DUMMYFUNCTION("IF(B$43="""","""",IF($AZ129="""","""",IFERROR(Query({CarteirasAtivos},""Select Col3 where Col1 = '""&amp;$AZ129&amp;""'and Col2 = '""&amp;S$21&amp;""'""))))"),"")</f>
        <v/>
      </c>
      <c r="C129" s="384" t="str">
        <f>IFERROR(__xludf.DUMMYFUNCTION("IF(C$43="""","""",IF($AZ129="""","""",IFERROR(Query({CarteirasAtivos},""Select Col3 where Col1 = '""&amp;$AZ129&amp;""'and Col2 = '""&amp;T$21&amp;""'""))))"),"")</f>
        <v/>
      </c>
      <c r="D129" s="384" t="str">
        <f>IFERROR(__xludf.DUMMYFUNCTION("IF(D$43="""","""",IF($AZ129="""","""",IFERROR(Query({CarteirasAtivos},""Select Col3 where Col1 = '""&amp;$AZ129&amp;""'and Col2 = '""&amp;U$21&amp;""'""))))"),"")</f>
        <v/>
      </c>
      <c r="E129" s="384" t="str">
        <f>IFERROR(__xludf.DUMMYFUNCTION("IF(E$43="""","""",IF($AZ129="""","""",IFERROR(Query({CarteirasAtivos},""Select Col3 where Col1 = '""&amp;$AZ129&amp;""'and Col2 = '""&amp;V$21&amp;""'""))))"),"")</f>
        <v/>
      </c>
      <c r="F129" s="384" t="str">
        <f>IFERROR(__xludf.DUMMYFUNCTION("IF(F$43="""","""",IF($AZ129="""","""",IFERROR(Query({CarteirasAtivos},""Select Col3 where Col1 = '""&amp;$AZ129&amp;""'and Col2 = '""&amp;W$21&amp;""'""))))"),"")</f>
        <v/>
      </c>
      <c r="G129" s="384" t="str">
        <f>IFERROR(__xludf.DUMMYFUNCTION("IF(G$43="""","""",IF($AZ129="""","""",IFERROR(Query({CarteirasAtivos},""Select Col3 where Col1 = '""&amp;$AZ129&amp;""'and Col2 = '""&amp;X$21&amp;""'""))))"),"")</f>
        <v/>
      </c>
      <c r="H129" s="384" t="str">
        <f>IFERROR(__xludf.DUMMYFUNCTION("IF(H$43="""","""",IF($AZ129="""","""",IFERROR(Query({CarteirasAtivos},""Select Col3 where Col1 = '""&amp;$AZ129&amp;""'and Col2 = '""&amp;Y$21&amp;""'""))))"),"")</f>
        <v/>
      </c>
      <c r="I129" s="384" t="str">
        <f>IFERROR(__xludf.DUMMYFUNCTION("IF(I$43="""","""",IF($AZ129="""","""",IFERROR(Query({CarteirasAtivos},""Select Col3 where Col1 = '""&amp;$AZ129&amp;""'and Col2 = '""&amp;Z$21&amp;""'""))))"),"")</f>
        <v/>
      </c>
      <c r="J129" s="384" t="str">
        <f>IFERROR(__xludf.DUMMYFUNCTION("IF(J$43="""","""",IF($AZ129="""","""",IFERROR(Query({CarteirasAtivos},""Select Col3 where Col1 = '""&amp;$AZ129&amp;""'and Col2 = '""&amp;AA$21&amp;""'""))))"),"")</f>
        <v/>
      </c>
      <c r="K129" s="384" t="str">
        <f>IFERROR(__xludf.DUMMYFUNCTION("IF(K$43="""","""",IF($AZ129="""","""",IFERROR(Query({CarteirasAtivos},""Select Col3 where Col1 = '""&amp;$AZ129&amp;""'and Col2 = '""&amp;AB$21&amp;""'""))))"),"")</f>
        <v/>
      </c>
      <c r="L129" s="385">
        <v>86.0</v>
      </c>
      <c r="M129" s="503"/>
      <c r="N129" s="387"/>
      <c r="O129" s="388" t="s">
        <v>123</v>
      </c>
      <c r="P129" s="389"/>
      <c r="Q129" s="390"/>
      <c r="R129" s="391"/>
      <c r="S129" s="392"/>
      <c r="T129" s="393"/>
      <c r="U129" s="393"/>
      <c r="V129" s="394"/>
      <c r="W129" s="395" t="str">
        <f>IFERROR(__xludf.DUMMYFUNCTION("IF(M129="""","""",sparkline(IFERROR(BF129*100/MAX($BF$44:$BF$153),0),{""charttype"",""bar"";""max"",100;""color1"",IF(BD129&gt;=0,""#4760a5"",""red"")}))"),"")</f>
        <v/>
      </c>
      <c r="X129" s="396"/>
      <c r="Y129" s="466"/>
      <c r="Z129" s="398"/>
      <c r="AA129" s="399"/>
      <c r="AB129" s="393"/>
      <c r="AC129" s="476"/>
      <c r="AD129" s="401"/>
      <c r="AE129" s="402"/>
      <c r="AF129" s="403"/>
      <c r="AG129" s="404" t="str">
        <f>IFERROR(__xludf.DUMMYFUNCTION("IF($M129="""","""",IFERROR(sparkline(query(GOOGLEFINANCE($AZ129,""price"",TODAY()-$AF$43,TODAY(),1),""select Col2 label Col2 ''""),IF($AG$43=""Gráfico de barras"",{""charttype"",""column"";""highcolor"",""red""},{""chartype"",""line""}))))"),"")</f>
        <v/>
      </c>
      <c r="AH129" s="405"/>
      <c r="AI129" s="467"/>
      <c r="AJ129" s="467"/>
      <c r="AK129" s="467"/>
      <c r="AL129" s="467"/>
      <c r="AM129" s="442"/>
      <c r="AN129" s="442"/>
      <c r="AU129" s="281"/>
      <c r="AV129" s="281"/>
      <c r="AW129" s="281"/>
      <c r="AX129" s="281"/>
      <c r="AY129" s="410">
        <v>86.0</v>
      </c>
      <c r="AZ129" s="411"/>
      <c r="BA129" s="411"/>
      <c r="BB129" s="437"/>
      <c r="BC129" s="437"/>
      <c r="BD129" s="437"/>
      <c r="BE129" s="437"/>
      <c r="BF129" s="415" t="s">
        <v>123</v>
      </c>
      <c r="BG129" s="410">
        <v>86.0</v>
      </c>
      <c r="BH129" s="416"/>
      <c r="BI129" s="416"/>
      <c r="BJ129" s="416"/>
      <c r="BK129" s="416"/>
      <c r="BL129" s="416"/>
      <c r="BM129" s="416"/>
      <c r="BN129" s="282"/>
      <c r="BO129" s="490"/>
      <c r="BP129" s="489"/>
      <c r="BQ129" s="489"/>
      <c r="BR129" s="489"/>
      <c r="BS129" s="489"/>
      <c r="BT129" s="489"/>
      <c r="BU129" s="489"/>
      <c r="BV129" s="489"/>
      <c r="BW129" s="63"/>
      <c r="BX129" s="62"/>
      <c r="BY129" s="452"/>
      <c r="BZ129" s="452"/>
      <c r="CA129" s="452"/>
      <c r="CB129" s="452"/>
      <c r="CC129" s="452"/>
      <c r="CD129" s="452"/>
      <c r="CE129" s="452"/>
      <c r="CF129" s="452"/>
      <c r="CG129" s="452"/>
      <c r="CH129" s="422"/>
      <c r="CI129" s="422"/>
      <c r="CJ129" s="422"/>
      <c r="CK129" s="421"/>
      <c r="CL129" s="421" t="s">
        <v>123</v>
      </c>
      <c r="CM129" s="423"/>
      <c r="CN129" s="421"/>
      <c r="CO129" s="423"/>
      <c r="CP129" s="421"/>
      <c r="CQ129" s="63"/>
      <c r="CR129" s="63"/>
      <c r="CS129" s="63"/>
      <c r="CT129" s="63"/>
      <c r="CU129" s="447"/>
      <c r="CV129" s="447"/>
      <c r="CW129" s="447"/>
      <c r="CX129" s="447"/>
      <c r="CY129" s="447"/>
      <c r="CZ129" s="447"/>
      <c r="DA129" s="447"/>
      <c r="DB129" s="447"/>
      <c r="DC129" s="447"/>
      <c r="DD129" s="447"/>
      <c r="DE129" s="447"/>
      <c r="DF129" s="447"/>
      <c r="DG129" s="447"/>
      <c r="DH129" s="447"/>
      <c r="DI129" s="447"/>
      <c r="DJ129" s="447"/>
      <c r="DK129" s="447"/>
      <c r="DL129" s="67"/>
      <c r="DM129" s="67"/>
      <c r="DN129" s="67"/>
      <c r="DO129" s="67"/>
      <c r="DP129" s="67"/>
      <c r="DQ129" s="67"/>
    </row>
    <row r="130" ht="22.5" customHeight="1">
      <c r="A130" s="383"/>
      <c r="B130" s="384" t="str">
        <f>IFERROR(__xludf.DUMMYFUNCTION("IF(B$43="""","""",IF($AZ130="""","""",IFERROR(Query({CarteirasAtivos},""Select Col3 where Col1 = '""&amp;$AZ130&amp;""'and Col2 = '""&amp;S$21&amp;""'""))))"),"")</f>
        <v/>
      </c>
      <c r="C130" s="384" t="str">
        <f>IFERROR(__xludf.DUMMYFUNCTION("IF(C$43="""","""",IF($AZ130="""","""",IFERROR(Query({CarteirasAtivos},""Select Col3 where Col1 = '""&amp;$AZ130&amp;""'and Col2 = '""&amp;T$21&amp;""'""))))"),"")</f>
        <v/>
      </c>
      <c r="D130" s="384" t="str">
        <f>IFERROR(__xludf.DUMMYFUNCTION("IF(D$43="""","""",IF($AZ130="""","""",IFERROR(Query({CarteirasAtivos},""Select Col3 where Col1 = '""&amp;$AZ130&amp;""'and Col2 = '""&amp;U$21&amp;""'""))))"),"")</f>
        <v/>
      </c>
      <c r="E130" s="384" t="str">
        <f>IFERROR(__xludf.DUMMYFUNCTION("IF(E$43="""","""",IF($AZ130="""","""",IFERROR(Query({CarteirasAtivos},""Select Col3 where Col1 = '""&amp;$AZ130&amp;""'and Col2 = '""&amp;V$21&amp;""'""))))"),"")</f>
        <v/>
      </c>
      <c r="F130" s="384" t="str">
        <f>IFERROR(__xludf.DUMMYFUNCTION("IF(F$43="""","""",IF($AZ130="""","""",IFERROR(Query({CarteirasAtivos},""Select Col3 where Col1 = '""&amp;$AZ130&amp;""'and Col2 = '""&amp;W$21&amp;""'""))))"),"")</f>
        <v/>
      </c>
      <c r="G130" s="384" t="str">
        <f>IFERROR(__xludf.DUMMYFUNCTION("IF(G$43="""","""",IF($AZ130="""","""",IFERROR(Query({CarteirasAtivos},""Select Col3 where Col1 = '""&amp;$AZ130&amp;""'and Col2 = '""&amp;X$21&amp;""'""))))"),"")</f>
        <v/>
      </c>
      <c r="H130" s="384" t="str">
        <f>IFERROR(__xludf.DUMMYFUNCTION("IF(H$43="""","""",IF($AZ130="""","""",IFERROR(Query({CarteirasAtivos},""Select Col3 where Col1 = '""&amp;$AZ130&amp;""'and Col2 = '""&amp;Y$21&amp;""'""))))"),"")</f>
        <v/>
      </c>
      <c r="I130" s="384" t="str">
        <f>IFERROR(__xludf.DUMMYFUNCTION("IF(I$43="""","""",IF($AZ130="""","""",IFERROR(Query({CarteirasAtivos},""Select Col3 where Col1 = '""&amp;$AZ130&amp;""'and Col2 = '""&amp;Z$21&amp;""'""))))"),"")</f>
        <v/>
      </c>
      <c r="J130" s="384" t="str">
        <f>IFERROR(__xludf.DUMMYFUNCTION("IF(J$43="""","""",IF($AZ130="""","""",IFERROR(Query({CarteirasAtivos},""Select Col3 where Col1 = '""&amp;$AZ130&amp;""'and Col2 = '""&amp;AA$21&amp;""'""))))"),"")</f>
        <v/>
      </c>
      <c r="K130" s="384" t="str">
        <f>IFERROR(__xludf.DUMMYFUNCTION("IF(K$43="""","""",IF($AZ130="""","""",IFERROR(Query({CarteirasAtivos},""Select Col3 where Col1 = '""&amp;$AZ130&amp;""'and Col2 = '""&amp;AB$21&amp;""'""))))"),"")</f>
        <v/>
      </c>
      <c r="L130" s="385">
        <v>87.0</v>
      </c>
      <c r="M130" s="503"/>
      <c r="N130" s="387"/>
      <c r="O130" s="388" t="s">
        <v>123</v>
      </c>
      <c r="P130" s="389"/>
      <c r="Q130" s="390"/>
      <c r="R130" s="391"/>
      <c r="S130" s="392"/>
      <c r="T130" s="393"/>
      <c r="U130" s="393"/>
      <c r="V130" s="394"/>
      <c r="W130" s="395" t="str">
        <f>IFERROR(__xludf.DUMMYFUNCTION("IF(M130="""","""",sparkline(IFERROR(BF130*100/MAX($BF$44:$BF$153),0),{""charttype"",""bar"";""max"",100;""color1"",IF(BD130&gt;=0,""#4760a5"",""red"")}))"),"")</f>
        <v/>
      </c>
      <c r="X130" s="396"/>
      <c r="Y130" s="466"/>
      <c r="Z130" s="398"/>
      <c r="AA130" s="399"/>
      <c r="AB130" s="393"/>
      <c r="AC130" s="476"/>
      <c r="AD130" s="401"/>
      <c r="AE130" s="402"/>
      <c r="AF130" s="403"/>
      <c r="AG130" s="404" t="str">
        <f>IFERROR(__xludf.DUMMYFUNCTION("IF($M130="""","""",IFERROR(sparkline(query(GOOGLEFINANCE($AZ130,""price"",TODAY()-$AF$43,TODAY(),1),""select Col2 label Col2 ''""),IF($AG$43=""Gráfico de barras"",{""charttype"",""column"";""highcolor"",""red""},{""chartype"",""line""}))))"),"")</f>
        <v/>
      </c>
      <c r="AH130" s="405"/>
      <c r="AI130" s="467"/>
      <c r="AJ130" s="467"/>
      <c r="AK130" s="467"/>
      <c r="AL130" s="467"/>
      <c r="AM130" s="442"/>
      <c r="AN130" s="442"/>
      <c r="AU130" s="281"/>
      <c r="AV130" s="281"/>
      <c r="AW130" s="281"/>
      <c r="AX130" s="281"/>
      <c r="AY130" s="410">
        <v>87.0</v>
      </c>
      <c r="AZ130" s="411"/>
      <c r="BA130" s="411"/>
      <c r="BB130" s="437"/>
      <c r="BC130" s="437"/>
      <c r="BD130" s="437"/>
      <c r="BE130" s="437"/>
      <c r="BF130" s="415" t="s">
        <v>123</v>
      </c>
      <c r="BG130" s="410">
        <v>87.0</v>
      </c>
      <c r="BH130" s="416"/>
      <c r="BI130" s="416"/>
      <c r="BJ130" s="416"/>
      <c r="BK130" s="416"/>
      <c r="BL130" s="416"/>
      <c r="BM130" s="416"/>
      <c r="BN130" s="282"/>
      <c r="BO130" s="490"/>
      <c r="BP130" s="489"/>
      <c r="BQ130" s="489"/>
      <c r="BR130" s="489"/>
      <c r="BS130" s="489"/>
      <c r="BT130" s="489"/>
      <c r="BU130" s="489"/>
      <c r="BV130" s="489"/>
      <c r="BW130" s="63"/>
      <c r="BX130" s="62"/>
      <c r="BY130" s="452"/>
      <c r="BZ130" s="452"/>
      <c r="CA130" s="452"/>
      <c r="CB130" s="452"/>
      <c r="CC130" s="452"/>
      <c r="CD130" s="452"/>
      <c r="CE130" s="452"/>
      <c r="CF130" s="452"/>
      <c r="CG130" s="452"/>
      <c r="CH130" s="422"/>
      <c r="CI130" s="422"/>
      <c r="CJ130" s="422"/>
      <c r="CK130" s="421"/>
      <c r="CL130" s="421" t="s">
        <v>123</v>
      </c>
      <c r="CM130" s="423"/>
      <c r="CN130" s="421"/>
      <c r="CO130" s="423"/>
      <c r="CP130" s="421"/>
      <c r="CQ130" s="63"/>
      <c r="CR130" s="63"/>
      <c r="CS130" s="63"/>
      <c r="CT130" s="63"/>
      <c r="CU130" s="447"/>
      <c r="CV130" s="447"/>
      <c r="CW130" s="447"/>
      <c r="CX130" s="447"/>
      <c r="CY130" s="447"/>
      <c r="CZ130" s="447"/>
      <c r="DA130" s="447"/>
      <c r="DB130" s="447"/>
      <c r="DC130" s="447"/>
      <c r="DD130" s="447"/>
      <c r="DE130" s="447"/>
      <c r="DF130" s="447"/>
      <c r="DG130" s="447"/>
      <c r="DH130" s="447"/>
      <c r="DI130" s="447"/>
      <c r="DJ130" s="447"/>
      <c r="DK130" s="447"/>
      <c r="DL130" s="67"/>
      <c r="DM130" s="67"/>
      <c r="DN130" s="67"/>
      <c r="DO130" s="67"/>
      <c r="DP130" s="67"/>
      <c r="DQ130" s="67"/>
    </row>
    <row r="131" ht="22.5" customHeight="1">
      <c r="A131" s="383"/>
      <c r="B131" s="384" t="str">
        <f>IFERROR(__xludf.DUMMYFUNCTION("IF(B$43="""","""",IF($AZ131="""","""",IFERROR(Query({CarteirasAtivos},""Select Col3 where Col1 = '""&amp;$AZ131&amp;""'and Col2 = '""&amp;S$21&amp;""'""))))"),"")</f>
        <v/>
      </c>
      <c r="C131" s="384" t="str">
        <f>IFERROR(__xludf.DUMMYFUNCTION("IF(C$43="""","""",IF($AZ131="""","""",IFERROR(Query({CarteirasAtivos},""Select Col3 where Col1 = '""&amp;$AZ131&amp;""'and Col2 = '""&amp;T$21&amp;""'""))))"),"")</f>
        <v/>
      </c>
      <c r="D131" s="384" t="str">
        <f>IFERROR(__xludf.DUMMYFUNCTION("IF(D$43="""","""",IF($AZ131="""","""",IFERROR(Query({CarteirasAtivos},""Select Col3 where Col1 = '""&amp;$AZ131&amp;""'and Col2 = '""&amp;U$21&amp;""'""))))"),"")</f>
        <v/>
      </c>
      <c r="E131" s="384" t="str">
        <f>IFERROR(__xludf.DUMMYFUNCTION("IF(E$43="""","""",IF($AZ131="""","""",IFERROR(Query({CarteirasAtivos},""Select Col3 where Col1 = '""&amp;$AZ131&amp;""'and Col2 = '""&amp;V$21&amp;""'""))))"),"")</f>
        <v/>
      </c>
      <c r="F131" s="384" t="str">
        <f>IFERROR(__xludf.DUMMYFUNCTION("IF(F$43="""","""",IF($AZ131="""","""",IFERROR(Query({CarteirasAtivos},""Select Col3 where Col1 = '""&amp;$AZ131&amp;""'and Col2 = '""&amp;W$21&amp;""'""))))"),"")</f>
        <v/>
      </c>
      <c r="G131" s="384" t="str">
        <f>IFERROR(__xludf.DUMMYFUNCTION("IF(G$43="""","""",IF($AZ131="""","""",IFERROR(Query({CarteirasAtivos},""Select Col3 where Col1 = '""&amp;$AZ131&amp;""'and Col2 = '""&amp;X$21&amp;""'""))))"),"")</f>
        <v/>
      </c>
      <c r="H131" s="384" t="str">
        <f>IFERROR(__xludf.DUMMYFUNCTION("IF(H$43="""","""",IF($AZ131="""","""",IFERROR(Query({CarteirasAtivos},""Select Col3 where Col1 = '""&amp;$AZ131&amp;""'and Col2 = '""&amp;Y$21&amp;""'""))))"),"")</f>
        <v/>
      </c>
      <c r="I131" s="384" t="str">
        <f>IFERROR(__xludf.DUMMYFUNCTION("IF(I$43="""","""",IF($AZ131="""","""",IFERROR(Query({CarteirasAtivos},""Select Col3 where Col1 = '""&amp;$AZ131&amp;""'and Col2 = '""&amp;Z$21&amp;""'""))))"),"")</f>
        <v/>
      </c>
      <c r="J131" s="384" t="str">
        <f>IFERROR(__xludf.DUMMYFUNCTION("IF(J$43="""","""",IF($AZ131="""","""",IFERROR(Query({CarteirasAtivos},""Select Col3 where Col1 = '""&amp;$AZ131&amp;""'and Col2 = '""&amp;AA$21&amp;""'""))))"),"")</f>
        <v/>
      </c>
      <c r="K131" s="384" t="str">
        <f>IFERROR(__xludf.DUMMYFUNCTION("IF(K$43="""","""",IF($AZ131="""","""",IFERROR(Query({CarteirasAtivos},""Select Col3 where Col1 = '""&amp;$AZ131&amp;""'and Col2 = '""&amp;AB$21&amp;""'""))))"),"")</f>
        <v/>
      </c>
      <c r="L131" s="385">
        <v>88.0</v>
      </c>
      <c r="M131" s="503"/>
      <c r="N131" s="387"/>
      <c r="O131" s="388" t="s">
        <v>123</v>
      </c>
      <c r="P131" s="389"/>
      <c r="Q131" s="390"/>
      <c r="R131" s="391"/>
      <c r="S131" s="392"/>
      <c r="T131" s="393"/>
      <c r="U131" s="393"/>
      <c r="V131" s="394"/>
      <c r="W131" s="395" t="str">
        <f>IFERROR(__xludf.DUMMYFUNCTION("IF(M131="""","""",sparkline(IFERROR(BF131*100/MAX($BF$44:$BF$153),0),{""charttype"",""bar"";""max"",100;""color1"",IF(BD131&gt;=0,""#4760a5"",""red"")}))"),"")</f>
        <v/>
      </c>
      <c r="X131" s="396"/>
      <c r="Y131" s="466"/>
      <c r="Z131" s="398"/>
      <c r="AA131" s="399"/>
      <c r="AB131" s="393"/>
      <c r="AC131" s="476"/>
      <c r="AD131" s="401"/>
      <c r="AE131" s="402"/>
      <c r="AF131" s="403"/>
      <c r="AG131" s="404" t="str">
        <f>IFERROR(__xludf.DUMMYFUNCTION("IF($M131="""","""",IFERROR(sparkline(query(GOOGLEFINANCE($AZ131,""price"",TODAY()-$AF$43,TODAY(),1),""select Col2 label Col2 ''""),IF($AG$43=""Gráfico de barras"",{""charttype"",""column"";""highcolor"",""red""},{""chartype"",""line""}))))"),"")</f>
        <v/>
      </c>
      <c r="AH131" s="405"/>
      <c r="AI131" s="467"/>
      <c r="AJ131" s="467"/>
      <c r="AK131" s="467"/>
      <c r="AL131" s="467"/>
      <c r="AM131" s="442"/>
      <c r="AN131" s="442"/>
      <c r="AU131" s="281"/>
      <c r="AV131" s="281"/>
      <c r="AW131" s="281"/>
      <c r="AX131" s="281"/>
      <c r="AY131" s="410">
        <v>88.0</v>
      </c>
      <c r="AZ131" s="411"/>
      <c r="BA131" s="411"/>
      <c r="BB131" s="437"/>
      <c r="BC131" s="437"/>
      <c r="BD131" s="437"/>
      <c r="BE131" s="437"/>
      <c r="BF131" s="415" t="s">
        <v>123</v>
      </c>
      <c r="BG131" s="410">
        <v>88.0</v>
      </c>
      <c r="BH131" s="416"/>
      <c r="BI131" s="416"/>
      <c r="BJ131" s="416"/>
      <c r="BK131" s="416"/>
      <c r="BL131" s="416"/>
      <c r="BM131" s="416"/>
      <c r="BN131" s="282"/>
      <c r="BO131" s="490"/>
      <c r="BP131" s="489"/>
      <c r="BQ131" s="489"/>
      <c r="BR131" s="489"/>
      <c r="BS131" s="489"/>
      <c r="BT131" s="489"/>
      <c r="BU131" s="489"/>
      <c r="BV131" s="489"/>
      <c r="BW131" s="63"/>
      <c r="BX131" s="62"/>
      <c r="BY131" s="452"/>
      <c r="BZ131" s="452"/>
      <c r="CA131" s="452"/>
      <c r="CB131" s="452"/>
      <c r="CC131" s="452"/>
      <c r="CD131" s="452"/>
      <c r="CE131" s="452"/>
      <c r="CF131" s="452"/>
      <c r="CG131" s="452"/>
      <c r="CH131" s="422"/>
      <c r="CI131" s="422"/>
      <c r="CJ131" s="422"/>
      <c r="CK131" s="421"/>
      <c r="CL131" s="421" t="s">
        <v>123</v>
      </c>
      <c r="CM131" s="423"/>
      <c r="CN131" s="421"/>
      <c r="CO131" s="423"/>
      <c r="CP131" s="421"/>
      <c r="CQ131" s="63"/>
      <c r="CR131" s="63"/>
      <c r="CS131" s="63"/>
      <c r="CT131" s="63"/>
      <c r="CU131" s="447"/>
      <c r="CV131" s="447"/>
      <c r="CW131" s="447"/>
      <c r="CX131" s="447"/>
      <c r="CY131" s="447"/>
      <c r="CZ131" s="447"/>
      <c r="DA131" s="447"/>
      <c r="DB131" s="447"/>
      <c r="DC131" s="447"/>
      <c r="DD131" s="447"/>
      <c r="DE131" s="447"/>
      <c r="DF131" s="447"/>
      <c r="DG131" s="447"/>
      <c r="DH131" s="447"/>
      <c r="DI131" s="447"/>
      <c r="DJ131" s="447"/>
      <c r="DK131" s="447"/>
      <c r="DL131" s="67"/>
      <c r="DM131" s="67"/>
      <c r="DN131" s="67"/>
      <c r="DO131" s="67"/>
      <c r="DP131" s="67"/>
      <c r="DQ131" s="67"/>
    </row>
    <row r="132" ht="22.5" customHeight="1">
      <c r="A132" s="383"/>
      <c r="B132" s="384" t="str">
        <f>IFERROR(__xludf.DUMMYFUNCTION("IF(B$43="""","""",IF($AZ132="""","""",IFERROR(Query({CarteirasAtivos},""Select Col3 where Col1 = '""&amp;$AZ132&amp;""'and Col2 = '""&amp;S$21&amp;""'""))))"),"")</f>
        <v/>
      </c>
      <c r="C132" s="384" t="str">
        <f>IFERROR(__xludf.DUMMYFUNCTION("IF(C$43="""","""",IF($AZ132="""","""",IFERROR(Query({CarteirasAtivos},""Select Col3 where Col1 = '""&amp;$AZ132&amp;""'and Col2 = '""&amp;T$21&amp;""'""))))"),"")</f>
        <v/>
      </c>
      <c r="D132" s="384" t="str">
        <f>IFERROR(__xludf.DUMMYFUNCTION("IF(D$43="""","""",IF($AZ132="""","""",IFERROR(Query({CarteirasAtivos},""Select Col3 where Col1 = '""&amp;$AZ132&amp;""'and Col2 = '""&amp;U$21&amp;""'""))))"),"")</f>
        <v/>
      </c>
      <c r="E132" s="384" t="str">
        <f>IFERROR(__xludf.DUMMYFUNCTION("IF(E$43="""","""",IF($AZ132="""","""",IFERROR(Query({CarteirasAtivos},""Select Col3 where Col1 = '""&amp;$AZ132&amp;""'and Col2 = '""&amp;V$21&amp;""'""))))"),"")</f>
        <v/>
      </c>
      <c r="F132" s="384" t="str">
        <f>IFERROR(__xludf.DUMMYFUNCTION("IF(F$43="""","""",IF($AZ132="""","""",IFERROR(Query({CarteirasAtivos},""Select Col3 where Col1 = '""&amp;$AZ132&amp;""'and Col2 = '""&amp;W$21&amp;""'""))))"),"")</f>
        <v/>
      </c>
      <c r="G132" s="384" t="str">
        <f>IFERROR(__xludf.DUMMYFUNCTION("IF(G$43="""","""",IF($AZ132="""","""",IFERROR(Query({CarteirasAtivos},""Select Col3 where Col1 = '""&amp;$AZ132&amp;""'and Col2 = '""&amp;X$21&amp;""'""))))"),"")</f>
        <v/>
      </c>
      <c r="H132" s="384" t="str">
        <f>IFERROR(__xludf.DUMMYFUNCTION("IF(H$43="""","""",IF($AZ132="""","""",IFERROR(Query({CarteirasAtivos},""Select Col3 where Col1 = '""&amp;$AZ132&amp;""'and Col2 = '""&amp;Y$21&amp;""'""))))"),"")</f>
        <v/>
      </c>
      <c r="I132" s="384" t="str">
        <f>IFERROR(__xludf.DUMMYFUNCTION("IF(I$43="""","""",IF($AZ132="""","""",IFERROR(Query({CarteirasAtivos},""Select Col3 where Col1 = '""&amp;$AZ132&amp;""'and Col2 = '""&amp;Z$21&amp;""'""))))"),"")</f>
        <v/>
      </c>
      <c r="J132" s="384" t="str">
        <f>IFERROR(__xludf.DUMMYFUNCTION("IF(J$43="""","""",IF($AZ132="""","""",IFERROR(Query({CarteirasAtivos},""Select Col3 where Col1 = '""&amp;$AZ132&amp;""'and Col2 = '""&amp;AA$21&amp;""'""))))"),"")</f>
        <v/>
      </c>
      <c r="K132" s="384" t="str">
        <f>IFERROR(__xludf.DUMMYFUNCTION("IF(K$43="""","""",IF($AZ132="""","""",IFERROR(Query({CarteirasAtivos},""Select Col3 where Col1 = '""&amp;$AZ132&amp;""'and Col2 = '""&amp;AB$21&amp;""'""))))"),"")</f>
        <v/>
      </c>
      <c r="L132" s="385">
        <v>89.0</v>
      </c>
      <c r="M132" s="503"/>
      <c r="N132" s="387"/>
      <c r="O132" s="388" t="s">
        <v>123</v>
      </c>
      <c r="P132" s="389"/>
      <c r="Q132" s="390"/>
      <c r="R132" s="391"/>
      <c r="S132" s="392"/>
      <c r="T132" s="393"/>
      <c r="U132" s="393"/>
      <c r="V132" s="394"/>
      <c r="W132" s="395" t="str">
        <f>IFERROR(__xludf.DUMMYFUNCTION("IF(M132="""","""",sparkline(IFERROR(BF132*100/MAX($BF$44:$BF$153),0),{""charttype"",""bar"";""max"",100;""color1"",IF(BD132&gt;=0,""#4760a5"",""red"")}))"),"")</f>
        <v/>
      </c>
      <c r="X132" s="396"/>
      <c r="Y132" s="466"/>
      <c r="Z132" s="398"/>
      <c r="AA132" s="399"/>
      <c r="AB132" s="393"/>
      <c r="AC132" s="476"/>
      <c r="AD132" s="401"/>
      <c r="AE132" s="402"/>
      <c r="AF132" s="403"/>
      <c r="AG132" s="404" t="str">
        <f>IFERROR(__xludf.DUMMYFUNCTION("IF($M132="""","""",IFERROR(sparkline(query(GOOGLEFINANCE($AZ132,""price"",TODAY()-$AF$43,TODAY(),1),""select Col2 label Col2 ''""),IF($AG$43=""Gráfico de barras"",{""charttype"",""column"";""highcolor"",""red""},{""chartype"",""line""}))))"),"")</f>
        <v/>
      </c>
      <c r="AH132" s="405"/>
      <c r="AI132" s="467"/>
      <c r="AJ132" s="467"/>
      <c r="AK132" s="467"/>
      <c r="AL132" s="467"/>
      <c r="AM132" s="442"/>
      <c r="AN132" s="442"/>
      <c r="AU132" s="281"/>
      <c r="AV132" s="281"/>
      <c r="AW132" s="281"/>
      <c r="AX132" s="281"/>
      <c r="AY132" s="410">
        <v>89.0</v>
      </c>
      <c r="AZ132" s="411"/>
      <c r="BA132" s="411"/>
      <c r="BB132" s="437"/>
      <c r="BC132" s="437"/>
      <c r="BD132" s="437"/>
      <c r="BE132" s="437"/>
      <c r="BF132" s="415" t="s">
        <v>123</v>
      </c>
      <c r="BG132" s="410">
        <v>89.0</v>
      </c>
      <c r="BH132" s="416"/>
      <c r="BI132" s="416"/>
      <c r="BJ132" s="416"/>
      <c r="BK132" s="416"/>
      <c r="BL132" s="416"/>
      <c r="BM132" s="416"/>
      <c r="BN132" s="282"/>
      <c r="BO132" s="490"/>
      <c r="BP132" s="489"/>
      <c r="BQ132" s="489"/>
      <c r="BR132" s="489"/>
      <c r="BS132" s="489"/>
      <c r="BT132" s="489"/>
      <c r="BU132" s="489"/>
      <c r="BV132" s="489"/>
      <c r="BW132" s="63"/>
      <c r="BX132" s="62"/>
      <c r="BY132" s="452"/>
      <c r="BZ132" s="452"/>
      <c r="CA132" s="452"/>
      <c r="CB132" s="452"/>
      <c r="CC132" s="452"/>
      <c r="CD132" s="452"/>
      <c r="CE132" s="452"/>
      <c r="CF132" s="452"/>
      <c r="CG132" s="452"/>
      <c r="CH132" s="422"/>
      <c r="CI132" s="422"/>
      <c r="CJ132" s="422"/>
      <c r="CK132" s="421"/>
      <c r="CL132" s="421" t="s">
        <v>123</v>
      </c>
      <c r="CM132" s="423"/>
      <c r="CN132" s="421"/>
      <c r="CO132" s="423"/>
      <c r="CP132" s="421"/>
      <c r="CQ132" s="63"/>
      <c r="CR132" s="63"/>
      <c r="CS132" s="63"/>
      <c r="CT132" s="63"/>
      <c r="CU132" s="447"/>
      <c r="CV132" s="447"/>
      <c r="CW132" s="447"/>
      <c r="CX132" s="447"/>
      <c r="CY132" s="447"/>
      <c r="CZ132" s="447"/>
      <c r="DA132" s="447"/>
      <c r="DB132" s="447"/>
      <c r="DC132" s="447"/>
      <c r="DD132" s="447"/>
      <c r="DE132" s="447"/>
      <c r="DF132" s="447"/>
      <c r="DG132" s="447"/>
      <c r="DH132" s="447"/>
      <c r="DI132" s="447"/>
      <c r="DJ132" s="447"/>
      <c r="DK132" s="447"/>
      <c r="DL132" s="67"/>
      <c r="DM132" s="67"/>
      <c r="DN132" s="67"/>
      <c r="DO132" s="67"/>
      <c r="DP132" s="67"/>
      <c r="DQ132" s="67"/>
    </row>
    <row r="133" ht="22.5" customHeight="1">
      <c r="A133" s="383"/>
      <c r="B133" s="384" t="str">
        <f>IFERROR(__xludf.DUMMYFUNCTION("IF(B$43="""","""",IF($AZ133="""","""",IFERROR(Query({CarteirasAtivos},""Select Col3 where Col1 = '""&amp;$AZ133&amp;""'and Col2 = '""&amp;S$21&amp;""'""))))"),"")</f>
        <v/>
      </c>
      <c r="C133" s="384" t="str">
        <f>IFERROR(__xludf.DUMMYFUNCTION("IF(C$43="""","""",IF($AZ133="""","""",IFERROR(Query({CarteirasAtivos},""Select Col3 where Col1 = '""&amp;$AZ133&amp;""'and Col2 = '""&amp;T$21&amp;""'""))))"),"")</f>
        <v/>
      </c>
      <c r="D133" s="384" t="str">
        <f>IFERROR(__xludf.DUMMYFUNCTION("IF(D$43="""","""",IF($AZ133="""","""",IFERROR(Query({CarteirasAtivos},""Select Col3 where Col1 = '""&amp;$AZ133&amp;""'and Col2 = '""&amp;U$21&amp;""'""))))"),"")</f>
        <v/>
      </c>
      <c r="E133" s="384" t="str">
        <f>IFERROR(__xludf.DUMMYFUNCTION("IF(E$43="""","""",IF($AZ133="""","""",IFERROR(Query({CarteirasAtivos},""Select Col3 where Col1 = '""&amp;$AZ133&amp;""'and Col2 = '""&amp;V$21&amp;""'""))))"),"")</f>
        <v/>
      </c>
      <c r="F133" s="384" t="str">
        <f>IFERROR(__xludf.DUMMYFUNCTION("IF(F$43="""","""",IF($AZ133="""","""",IFERROR(Query({CarteirasAtivos},""Select Col3 where Col1 = '""&amp;$AZ133&amp;""'and Col2 = '""&amp;W$21&amp;""'""))))"),"")</f>
        <v/>
      </c>
      <c r="G133" s="384" t="str">
        <f>IFERROR(__xludf.DUMMYFUNCTION("IF(G$43="""","""",IF($AZ133="""","""",IFERROR(Query({CarteirasAtivos},""Select Col3 where Col1 = '""&amp;$AZ133&amp;""'and Col2 = '""&amp;X$21&amp;""'""))))"),"")</f>
        <v/>
      </c>
      <c r="H133" s="384" t="str">
        <f>IFERROR(__xludf.DUMMYFUNCTION("IF(H$43="""","""",IF($AZ133="""","""",IFERROR(Query({CarteirasAtivos},""Select Col3 where Col1 = '""&amp;$AZ133&amp;""'and Col2 = '""&amp;Y$21&amp;""'""))))"),"")</f>
        <v/>
      </c>
      <c r="I133" s="384" t="str">
        <f>IFERROR(__xludf.DUMMYFUNCTION("IF(I$43="""","""",IF($AZ133="""","""",IFERROR(Query({CarteirasAtivos},""Select Col3 where Col1 = '""&amp;$AZ133&amp;""'and Col2 = '""&amp;Z$21&amp;""'""))))"),"")</f>
        <v/>
      </c>
      <c r="J133" s="384" t="str">
        <f>IFERROR(__xludf.DUMMYFUNCTION("IF(J$43="""","""",IF($AZ133="""","""",IFERROR(Query({CarteirasAtivos},""Select Col3 where Col1 = '""&amp;$AZ133&amp;""'and Col2 = '""&amp;AA$21&amp;""'""))))"),"")</f>
        <v/>
      </c>
      <c r="K133" s="384" t="str">
        <f>IFERROR(__xludf.DUMMYFUNCTION("IF(K$43="""","""",IF($AZ133="""","""",IFERROR(Query({CarteirasAtivos},""Select Col3 where Col1 = '""&amp;$AZ133&amp;""'and Col2 = '""&amp;AB$21&amp;""'""))))"),"")</f>
        <v/>
      </c>
      <c r="L133" s="385">
        <v>90.0</v>
      </c>
      <c r="M133" s="503"/>
      <c r="N133" s="387"/>
      <c r="O133" s="388" t="s">
        <v>123</v>
      </c>
      <c r="P133" s="389"/>
      <c r="Q133" s="390"/>
      <c r="R133" s="391"/>
      <c r="S133" s="392"/>
      <c r="T133" s="393"/>
      <c r="U133" s="393"/>
      <c r="V133" s="394"/>
      <c r="W133" s="395" t="str">
        <f>IFERROR(__xludf.DUMMYFUNCTION("IF(M133="""","""",sparkline(IFERROR(BF133*100/MAX($BF$44:$BF$153),0),{""charttype"",""bar"";""max"",100;""color1"",IF(BD133&gt;=0,""#4760a5"",""red"")}))"),"")</f>
        <v/>
      </c>
      <c r="X133" s="396"/>
      <c r="Y133" s="466"/>
      <c r="Z133" s="398"/>
      <c r="AA133" s="399"/>
      <c r="AB133" s="393"/>
      <c r="AC133" s="476"/>
      <c r="AD133" s="401"/>
      <c r="AE133" s="402"/>
      <c r="AF133" s="403"/>
      <c r="AG133" s="404" t="str">
        <f>IFERROR(__xludf.DUMMYFUNCTION("IF($M133="""","""",IFERROR(sparkline(query(GOOGLEFINANCE($AZ133,""price"",TODAY()-$AF$43,TODAY(),1),""select Col2 label Col2 ''""),IF($AG$43=""Gráfico de barras"",{""charttype"",""column"";""highcolor"",""red""},{""chartype"",""line""}))))"),"")</f>
        <v/>
      </c>
      <c r="AH133" s="405"/>
      <c r="AI133" s="467"/>
      <c r="AJ133" s="467"/>
      <c r="AK133" s="467"/>
      <c r="AL133" s="467"/>
      <c r="AM133" s="442"/>
      <c r="AN133" s="442"/>
      <c r="AU133" s="281"/>
      <c r="AV133" s="281"/>
      <c r="AW133" s="281"/>
      <c r="AX133" s="281"/>
      <c r="AY133" s="410">
        <v>90.0</v>
      </c>
      <c r="AZ133" s="411"/>
      <c r="BA133" s="411"/>
      <c r="BB133" s="437"/>
      <c r="BC133" s="437"/>
      <c r="BD133" s="437"/>
      <c r="BE133" s="437"/>
      <c r="BF133" s="415" t="s">
        <v>123</v>
      </c>
      <c r="BG133" s="410">
        <v>90.0</v>
      </c>
      <c r="BH133" s="416"/>
      <c r="BI133" s="416"/>
      <c r="BJ133" s="416"/>
      <c r="BK133" s="416"/>
      <c r="BL133" s="416"/>
      <c r="BM133" s="416"/>
      <c r="BN133" s="282"/>
      <c r="BO133" s="490"/>
      <c r="BP133" s="489"/>
      <c r="BQ133" s="489"/>
      <c r="BR133" s="489"/>
      <c r="BS133" s="489"/>
      <c r="BT133" s="489"/>
      <c r="BU133" s="489"/>
      <c r="BV133" s="489"/>
      <c r="BW133" s="63"/>
      <c r="BX133" s="62"/>
      <c r="BY133" s="452"/>
      <c r="BZ133" s="452"/>
      <c r="CA133" s="452"/>
      <c r="CB133" s="452"/>
      <c r="CC133" s="452"/>
      <c r="CD133" s="452"/>
      <c r="CE133" s="452"/>
      <c r="CF133" s="452"/>
      <c r="CG133" s="452"/>
      <c r="CH133" s="422"/>
      <c r="CI133" s="422"/>
      <c r="CJ133" s="422"/>
      <c r="CK133" s="421"/>
      <c r="CL133" s="421" t="s">
        <v>123</v>
      </c>
      <c r="CM133" s="423"/>
      <c r="CN133" s="421"/>
      <c r="CO133" s="423"/>
      <c r="CP133" s="421"/>
      <c r="CQ133" s="63"/>
      <c r="CR133" s="63"/>
      <c r="CS133" s="63"/>
      <c r="CT133" s="63"/>
      <c r="CU133" s="447"/>
      <c r="CV133" s="447"/>
      <c r="CW133" s="447"/>
      <c r="CX133" s="447"/>
      <c r="CY133" s="447"/>
      <c r="CZ133" s="447"/>
      <c r="DA133" s="447"/>
      <c r="DB133" s="447"/>
      <c r="DC133" s="447"/>
      <c r="DD133" s="447"/>
      <c r="DE133" s="447"/>
      <c r="DF133" s="447"/>
      <c r="DG133" s="447"/>
      <c r="DH133" s="447"/>
      <c r="DI133" s="447"/>
      <c r="DJ133" s="447"/>
      <c r="DK133" s="447"/>
      <c r="DL133" s="67"/>
      <c r="DM133" s="67"/>
      <c r="DN133" s="67"/>
      <c r="DO133" s="67"/>
      <c r="DP133" s="67"/>
      <c r="DQ133" s="67"/>
    </row>
    <row r="134" ht="22.5" customHeight="1">
      <c r="A134" s="383"/>
      <c r="B134" s="384" t="str">
        <f>IFERROR(__xludf.DUMMYFUNCTION("IF(B$43="""","""",IF($AZ134="""","""",IFERROR(Query({CarteirasAtivos},""Select Col3 where Col1 = '""&amp;$AZ134&amp;""'and Col2 = '""&amp;S$21&amp;""'""))))"),"")</f>
        <v/>
      </c>
      <c r="C134" s="384" t="str">
        <f>IFERROR(__xludf.DUMMYFUNCTION("IF(C$43="""","""",IF($AZ134="""","""",IFERROR(Query({CarteirasAtivos},""Select Col3 where Col1 = '""&amp;$AZ134&amp;""'and Col2 = '""&amp;T$21&amp;""'""))))"),"")</f>
        <v/>
      </c>
      <c r="D134" s="384" t="str">
        <f>IFERROR(__xludf.DUMMYFUNCTION("IF(D$43="""","""",IF($AZ134="""","""",IFERROR(Query({CarteirasAtivos},""Select Col3 where Col1 = '""&amp;$AZ134&amp;""'and Col2 = '""&amp;U$21&amp;""'""))))"),"")</f>
        <v/>
      </c>
      <c r="E134" s="384" t="str">
        <f>IFERROR(__xludf.DUMMYFUNCTION("IF(E$43="""","""",IF($AZ134="""","""",IFERROR(Query({CarteirasAtivos},""Select Col3 where Col1 = '""&amp;$AZ134&amp;""'and Col2 = '""&amp;V$21&amp;""'""))))"),"")</f>
        <v/>
      </c>
      <c r="F134" s="384" t="str">
        <f>IFERROR(__xludf.DUMMYFUNCTION("IF(F$43="""","""",IF($AZ134="""","""",IFERROR(Query({CarteirasAtivos},""Select Col3 where Col1 = '""&amp;$AZ134&amp;""'and Col2 = '""&amp;W$21&amp;""'""))))"),"")</f>
        <v/>
      </c>
      <c r="G134" s="384" t="str">
        <f>IFERROR(__xludf.DUMMYFUNCTION("IF(G$43="""","""",IF($AZ134="""","""",IFERROR(Query({CarteirasAtivos},""Select Col3 where Col1 = '""&amp;$AZ134&amp;""'and Col2 = '""&amp;X$21&amp;""'""))))"),"")</f>
        <v/>
      </c>
      <c r="H134" s="384" t="str">
        <f>IFERROR(__xludf.DUMMYFUNCTION("IF(H$43="""","""",IF($AZ134="""","""",IFERROR(Query({CarteirasAtivos},""Select Col3 where Col1 = '""&amp;$AZ134&amp;""'and Col2 = '""&amp;Y$21&amp;""'""))))"),"")</f>
        <v/>
      </c>
      <c r="I134" s="384" t="str">
        <f>IFERROR(__xludf.DUMMYFUNCTION("IF(I$43="""","""",IF($AZ134="""","""",IFERROR(Query({CarteirasAtivos},""Select Col3 where Col1 = '""&amp;$AZ134&amp;""'and Col2 = '""&amp;Z$21&amp;""'""))))"),"")</f>
        <v/>
      </c>
      <c r="J134" s="384" t="str">
        <f>IFERROR(__xludf.DUMMYFUNCTION("IF(J$43="""","""",IF($AZ134="""","""",IFERROR(Query({CarteirasAtivos},""Select Col3 where Col1 = '""&amp;$AZ134&amp;""'and Col2 = '""&amp;AA$21&amp;""'""))))"),"")</f>
        <v/>
      </c>
      <c r="K134" s="384" t="str">
        <f>IFERROR(__xludf.DUMMYFUNCTION("IF(K$43="""","""",IF($AZ134="""","""",IFERROR(Query({CarteirasAtivos},""Select Col3 where Col1 = '""&amp;$AZ134&amp;""'and Col2 = '""&amp;AB$21&amp;""'""))))"),"")</f>
        <v/>
      </c>
      <c r="L134" s="385">
        <v>91.0</v>
      </c>
      <c r="M134" s="503"/>
      <c r="N134" s="387"/>
      <c r="O134" s="388" t="s">
        <v>123</v>
      </c>
      <c r="P134" s="389"/>
      <c r="Q134" s="390"/>
      <c r="R134" s="391"/>
      <c r="S134" s="392"/>
      <c r="T134" s="393"/>
      <c r="U134" s="393"/>
      <c r="V134" s="394"/>
      <c r="W134" s="395" t="str">
        <f>IFERROR(__xludf.DUMMYFUNCTION("IF(M134="""","""",sparkline(IFERROR(BF134*100/MAX($BF$44:$BF$153),0),{""charttype"",""bar"";""max"",100;""color1"",IF(BD134&gt;=0,""#4760a5"",""red"")}))"),"")</f>
        <v/>
      </c>
      <c r="X134" s="396"/>
      <c r="Y134" s="466"/>
      <c r="Z134" s="398"/>
      <c r="AA134" s="399"/>
      <c r="AB134" s="393"/>
      <c r="AC134" s="476"/>
      <c r="AD134" s="401"/>
      <c r="AE134" s="402"/>
      <c r="AF134" s="403"/>
      <c r="AG134" s="404" t="str">
        <f>IFERROR(__xludf.DUMMYFUNCTION("IF($M134="""","""",IFERROR(sparkline(query(GOOGLEFINANCE($AZ134,""price"",TODAY()-$AF$43,TODAY(),1),""select Col2 label Col2 ''""),IF($AG$43=""Gráfico de barras"",{""charttype"",""column"";""highcolor"",""red""},{""chartype"",""line""}))))"),"")</f>
        <v/>
      </c>
      <c r="AH134" s="405"/>
      <c r="AI134" s="467"/>
      <c r="AJ134" s="467"/>
      <c r="AK134" s="467"/>
      <c r="AL134" s="467"/>
      <c r="AM134" s="442"/>
      <c r="AN134" s="442"/>
      <c r="AU134" s="281"/>
      <c r="AV134" s="281"/>
      <c r="AW134" s="281"/>
      <c r="AX134" s="281"/>
      <c r="AY134" s="410">
        <v>91.0</v>
      </c>
      <c r="AZ134" s="411"/>
      <c r="BA134" s="411"/>
      <c r="BB134" s="437"/>
      <c r="BC134" s="437"/>
      <c r="BD134" s="437"/>
      <c r="BE134" s="437"/>
      <c r="BF134" s="415" t="s">
        <v>123</v>
      </c>
      <c r="BG134" s="410">
        <v>91.0</v>
      </c>
      <c r="BH134" s="416"/>
      <c r="BI134" s="416"/>
      <c r="BJ134" s="416"/>
      <c r="BK134" s="416"/>
      <c r="BL134" s="416"/>
      <c r="BM134" s="416"/>
      <c r="BN134" s="282"/>
      <c r="BO134" s="490"/>
      <c r="BP134" s="489"/>
      <c r="BQ134" s="489"/>
      <c r="BR134" s="489"/>
      <c r="BS134" s="489"/>
      <c r="BT134" s="489"/>
      <c r="BU134" s="489"/>
      <c r="BV134" s="489"/>
      <c r="BW134" s="63"/>
      <c r="BX134" s="62"/>
      <c r="BY134" s="452"/>
      <c r="BZ134" s="452"/>
      <c r="CA134" s="452"/>
      <c r="CB134" s="452"/>
      <c r="CC134" s="452"/>
      <c r="CD134" s="452"/>
      <c r="CE134" s="452"/>
      <c r="CF134" s="452"/>
      <c r="CG134" s="452"/>
      <c r="CH134" s="422"/>
      <c r="CI134" s="422"/>
      <c r="CJ134" s="422"/>
      <c r="CK134" s="421"/>
      <c r="CL134" s="421" t="s">
        <v>123</v>
      </c>
      <c r="CM134" s="423"/>
      <c r="CN134" s="421"/>
      <c r="CO134" s="423"/>
      <c r="CP134" s="421"/>
      <c r="CQ134" s="63"/>
      <c r="CR134" s="63"/>
      <c r="CS134" s="63"/>
      <c r="CT134" s="63"/>
      <c r="CU134" s="447"/>
      <c r="CV134" s="447"/>
      <c r="CW134" s="447"/>
      <c r="CX134" s="447"/>
      <c r="CY134" s="447"/>
      <c r="CZ134" s="447"/>
      <c r="DA134" s="447"/>
      <c r="DB134" s="447"/>
      <c r="DC134" s="447"/>
      <c r="DD134" s="447"/>
      <c r="DE134" s="447"/>
      <c r="DF134" s="447"/>
      <c r="DG134" s="447"/>
      <c r="DH134" s="447"/>
      <c r="DI134" s="447"/>
      <c r="DJ134" s="447"/>
      <c r="DK134" s="447"/>
      <c r="DL134" s="67"/>
      <c r="DM134" s="67"/>
      <c r="DN134" s="67"/>
      <c r="DO134" s="67"/>
      <c r="DP134" s="67"/>
      <c r="DQ134" s="67"/>
    </row>
    <row r="135" ht="22.5" customHeight="1">
      <c r="A135" s="383"/>
      <c r="B135" s="384" t="str">
        <f>IFERROR(__xludf.DUMMYFUNCTION("IF(B$43="""","""",IF($AZ135="""","""",IFERROR(Query({CarteirasAtivos},""Select Col3 where Col1 = '""&amp;$AZ135&amp;""'and Col2 = '""&amp;S$21&amp;""'""))))"),"")</f>
        <v/>
      </c>
      <c r="C135" s="384" t="str">
        <f>IFERROR(__xludf.DUMMYFUNCTION("IF(C$43="""","""",IF($AZ135="""","""",IFERROR(Query({CarteirasAtivos},""Select Col3 where Col1 = '""&amp;$AZ135&amp;""'and Col2 = '""&amp;T$21&amp;""'""))))"),"")</f>
        <v/>
      </c>
      <c r="D135" s="384" t="str">
        <f>IFERROR(__xludf.DUMMYFUNCTION("IF(D$43="""","""",IF($AZ135="""","""",IFERROR(Query({CarteirasAtivos},""Select Col3 where Col1 = '""&amp;$AZ135&amp;""'and Col2 = '""&amp;U$21&amp;""'""))))"),"")</f>
        <v/>
      </c>
      <c r="E135" s="384" t="str">
        <f>IFERROR(__xludf.DUMMYFUNCTION("IF(E$43="""","""",IF($AZ135="""","""",IFERROR(Query({CarteirasAtivos},""Select Col3 where Col1 = '""&amp;$AZ135&amp;""'and Col2 = '""&amp;V$21&amp;""'""))))"),"")</f>
        <v/>
      </c>
      <c r="F135" s="384" t="str">
        <f>IFERROR(__xludf.DUMMYFUNCTION("IF(F$43="""","""",IF($AZ135="""","""",IFERROR(Query({CarteirasAtivos},""Select Col3 where Col1 = '""&amp;$AZ135&amp;""'and Col2 = '""&amp;W$21&amp;""'""))))"),"")</f>
        <v/>
      </c>
      <c r="G135" s="384" t="str">
        <f>IFERROR(__xludf.DUMMYFUNCTION("IF(G$43="""","""",IF($AZ135="""","""",IFERROR(Query({CarteirasAtivos},""Select Col3 where Col1 = '""&amp;$AZ135&amp;""'and Col2 = '""&amp;X$21&amp;""'""))))"),"")</f>
        <v/>
      </c>
      <c r="H135" s="384" t="str">
        <f>IFERROR(__xludf.DUMMYFUNCTION("IF(H$43="""","""",IF($AZ135="""","""",IFERROR(Query({CarteirasAtivos},""Select Col3 where Col1 = '""&amp;$AZ135&amp;""'and Col2 = '""&amp;Y$21&amp;""'""))))"),"")</f>
        <v/>
      </c>
      <c r="I135" s="384" t="str">
        <f>IFERROR(__xludf.DUMMYFUNCTION("IF(I$43="""","""",IF($AZ135="""","""",IFERROR(Query({CarteirasAtivos},""Select Col3 where Col1 = '""&amp;$AZ135&amp;""'and Col2 = '""&amp;Z$21&amp;""'""))))"),"")</f>
        <v/>
      </c>
      <c r="J135" s="384" t="str">
        <f>IFERROR(__xludf.DUMMYFUNCTION("IF(J$43="""","""",IF($AZ135="""","""",IFERROR(Query({CarteirasAtivos},""Select Col3 where Col1 = '""&amp;$AZ135&amp;""'and Col2 = '""&amp;AA$21&amp;""'""))))"),"")</f>
        <v/>
      </c>
      <c r="K135" s="384" t="str">
        <f>IFERROR(__xludf.DUMMYFUNCTION("IF(K$43="""","""",IF($AZ135="""","""",IFERROR(Query({CarteirasAtivos},""Select Col3 where Col1 = '""&amp;$AZ135&amp;""'and Col2 = '""&amp;AB$21&amp;""'""))))"),"")</f>
        <v/>
      </c>
      <c r="L135" s="385">
        <v>92.0</v>
      </c>
      <c r="M135" s="503"/>
      <c r="N135" s="387"/>
      <c r="O135" s="388" t="s">
        <v>123</v>
      </c>
      <c r="P135" s="389"/>
      <c r="Q135" s="390"/>
      <c r="R135" s="391"/>
      <c r="S135" s="392"/>
      <c r="T135" s="393"/>
      <c r="U135" s="393"/>
      <c r="V135" s="394"/>
      <c r="W135" s="395" t="str">
        <f>IFERROR(__xludf.DUMMYFUNCTION("IF(M135="""","""",sparkline(IFERROR(BF135*100/MAX($BF$44:$BF$153),0),{""charttype"",""bar"";""max"",100;""color1"",IF(BD135&gt;=0,""#4760a5"",""red"")}))"),"")</f>
        <v/>
      </c>
      <c r="X135" s="396"/>
      <c r="Y135" s="466"/>
      <c r="Z135" s="398"/>
      <c r="AA135" s="399"/>
      <c r="AB135" s="393"/>
      <c r="AC135" s="476"/>
      <c r="AD135" s="401"/>
      <c r="AE135" s="402"/>
      <c r="AF135" s="403"/>
      <c r="AG135" s="404" t="str">
        <f>IFERROR(__xludf.DUMMYFUNCTION("IF($M135="""","""",IFERROR(sparkline(query(GOOGLEFINANCE($AZ135,""price"",TODAY()-$AF$43,TODAY(),1),""select Col2 label Col2 ''""),IF($AG$43=""Gráfico de barras"",{""charttype"",""column"";""highcolor"",""red""},{""chartype"",""line""}))))"),"")</f>
        <v/>
      </c>
      <c r="AH135" s="405"/>
      <c r="AI135" s="467"/>
      <c r="AJ135" s="467"/>
      <c r="AK135" s="467"/>
      <c r="AL135" s="467"/>
      <c r="AM135" s="442"/>
      <c r="AN135" s="442"/>
      <c r="AU135" s="281"/>
      <c r="AV135" s="281"/>
      <c r="AW135" s="281"/>
      <c r="AX135" s="281"/>
      <c r="AY135" s="410">
        <v>92.0</v>
      </c>
      <c r="AZ135" s="411"/>
      <c r="BA135" s="411"/>
      <c r="BB135" s="437"/>
      <c r="BC135" s="437"/>
      <c r="BD135" s="437"/>
      <c r="BE135" s="437"/>
      <c r="BF135" s="415" t="s">
        <v>123</v>
      </c>
      <c r="BG135" s="410">
        <v>92.0</v>
      </c>
      <c r="BH135" s="416"/>
      <c r="BI135" s="416"/>
      <c r="BJ135" s="416"/>
      <c r="BK135" s="416"/>
      <c r="BL135" s="416"/>
      <c r="BM135" s="416"/>
      <c r="BN135" s="282"/>
      <c r="BO135" s="490"/>
      <c r="BP135" s="489"/>
      <c r="BQ135" s="489"/>
      <c r="BR135" s="489"/>
      <c r="BS135" s="489"/>
      <c r="BT135" s="489"/>
      <c r="BU135" s="489"/>
      <c r="BV135" s="489"/>
      <c r="BW135" s="63"/>
      <c r="BX135" s="62"/>
      <c r="BY135" s="452"/>
      <c r="BZ135" s="452"/>
      <c r="CA135" s="452"/>
      <c r="CB135" s="452"/>
      <c r="CC135" s="452"/>
      <c r="CD135" s="452"/>
      <c r="CE135" s="452"/>
      <c r="CF135" s="452"/>
      <c r="CG135" s="452"/>
      <c r="CH135" s="422"/>
      <c r="CI135" s="422"/>
      <c r="CJ135" s="422"/>
      <c r="CK135" s="421"/>
      <c r="CL135" s="421" t="s">
        <v>123</v>
      </c>
      <c r="CM135" s="423"/>
      <c r="CN135" s="421"/>
      <c r="CO135" s="423"/>
      <c r="CP135" s="421"/>
      <c r="CQ135" s="63"/>
      <c r="CR135" s="63"/>
      <c r="CS135" s="63"/>
      <c r="CT135" s="63"/>
      <c r="CU135" s="447"/>
      <c r="CV135" s="447"/>
      <c r="CW135" s="447"/>
      <c r="CX135" s="447"/>
      <c r="CY135" s="447"/>
      <c r="CZ135" s="447"/>
      <c r="DA135" s="447"/>
      <c r="DB135" s="447"/>
      <c r="DC135" s="447"/>
      <c r="DD135" s="447"/>
      <c r="DE135" s="447"/>
      <c r="DF135" s="447"/>
      <c r="DG135" s="447"/>
      <c r="DH135" s="447"/>
      <c r="DI135" s="447"/>
      <c r="DJ135" s="447"/>
      <c r="DK135" s="447"/>
      <c r="DL135" s="67"/>
      <c r="DM135" s="67"/>
      <c r="DN135" s="67"/>
      <c r="DO135" s="67"/>
      <c r="DP135" s="67"/>
      <c r="DQ135" s="67"/>
    </row>
    <row r="136" ht="22.5" customHeight="1">
      <c r="A136" s="383"/>
      <c r="B136" s="384" t="str">
        <f>IFERROR(__xludf.DUMMYFUNCTION("IF(B$43="""","""",IF($AZ136="""","""",IFERROR(Query({CarteirasAtivos},""Select Col3 where Col1 = '""&amp;$AZ136&amp;""'and Col2 = '""&amp;S$21&amp;""'""))))"),"")</f>
        <v/>
      </c>
      <c r="C136" s="384" t="str">
        <f>IFERROR(__xludf.DUMMYFUNCTION("IF(C$43="""","""",IF($AZ136="""","""",IFERROR(Query({CarteirasAtivos},""Select Col3 where Col1 = '""&amp;$AZ136&amp;""'and Col2 = '""&amp;T$21&amp;""'""))))"),"")</f>
        <v/>
      </c>
      <c r="D136" s="384" t="str">
        <f>IFERROR(__xludf.DUMMYFUNCTION("IF(D$43="""","""",IF($AZ136="""","""",IFERROR(Query({CarteirasAtivos},""Select Col3 where Col1 = '""&amp;$AZ136&amp;""'and Col2 = '""&amp;U$21&amp;""'""))))"),"")</f>
        <v/>
      </c>
      <c r="E136" s="384" t="str">
        <f>IFERROR(__xludf.DUMMYFUNCTION("IF(E$43="""","""",IF($AZ136="""","""",IFERROR(Query({CarteirasAtivos},""Select Col3 where Col1 = '""&amp;$AZ136&amp;""'and Col2 = '""&amp;V$21&amp;""'""))))"),"")</f>
        <v/>
      </c>
      <c r="F136" s="384" t="str">
        <f>IFERROR(__xludf.DUMMYFUNCTION("IF(F$43="""","""",IF($AZ136="""","""",IFERROR(Query({CarteirasAtivos},""Select Col3 where Col1 = '""&amp;$AZ136&amp;""'and Col2 = '""&amp;W$21&amp;""'""))))"),"")</f>
        <v/>
      </c>
      <c r="G136" s="384" t="str">
        <f>IFERROR(__xludf.DUMMYFUNCTION("IF(G$43="""","""",IF($AZ136="""","""",IFERROR(Query({CarteirasAtivos},""Select Col3 where Col1 = '""&amp;$AZ136&amp;""'and Col2 = '""&amp;X$21&amp;""'""))))"),"")</f>
        <v/>
      </c>
      <c r="H136" s="384" t="str">
        <f>IFERROR(__xludf.DUMMYFUNCTION("IF(H$43="""","""",IF($AZ136="""","""",IFERROR(Query({CarteirasAtivos},""Select Col3 where Col1 = '""&amp;$AZ136&amp;""'and Col2 = '""&amp;Y$21&amp;""'""))))"),"")</f>
        <v/>
      </c>
      <c r="I136" s="384" t="str">
        <f>IFERROR(__xludf.DUMMYFUNCTION("IF(I$43="""","""",IF($AZ136="""","""",IFERROR(Query({CarteirasAtivos},""Select Col3 where Col1 = '""&amp;$AZ136&amp;""'and Col2 = '""&amp;Z$21&amp;""'""))))"),"")</f>
        <v/>
      </c>
      <c r="J136" s="384" t="str">
        <f>IFERROR(__xludf.DUMMYFUNCTION("IF(J$43="""","""",IF($AZ136="""","""",IFERROR(Query({CarteirasAtivos},""Select Col3 where Col1 = '""&amp;$AZ136&amp;""'and Col2 = '""&amp;AA$21&amp;""'""))))"),"")</f>
        <v/>
      </c>
      <c r="K136" s="384" t="str">
        <f>IFERROR(__xludf.DUMMYFUNCTION("IF(K$43="""","""",IF($AZ136="""","""",IFERROR(Query({CarteirasAtivos},""Select Col3 where Col1 = '""&amp;$AZ136&amp;""'and Col2 = '""&amp;AB$21&amp;""'""))))"),"")</f>
        <v/>
      </c>
      <c r="L136" s="385">
        <v>93.0</v>
      </c>
      <c r="M136" s="503"/>
      <c r="N136" s="387"/>
      <c r="O136" s="388" t="s">
        <v>123</v>
      </c>
      <c r="P136" s="389"/>
      <c r="Q136" s="390"/>
      <c r="R136" s="391"/>
      <c r="S136" s="392"/>
      <c r="T136" s="393"/>
      <c r="U136" s="393"/>
      <c r="V136" s="394"/>
      <c r="W136" s="395" t="str">
        <f>IFERROR(__xludf.DUMMYFUNCTION("IF(M136="""","""",sparkline(IFERROR(BF136*100/MAX($BF$44:$BF$153),0),{""charttype"",""bar"";""max"",100;""color1"",IF(BD136&gt;=0,""#4760a5"",""red"")}))"),"")</f>
        <v/>
      </c>
      <c r="X136" s="396"/>
      <c r="Y136" s="466"/>
      <c r="Z136" s="398"/>
      <c r="AA136" s="399"/>
      <c r="AB136" s="393"/>
      <c r="AC136" s="476"/>
      <c r="AD136" s="401"/>
      <c r="AE136" s="402"/>
      <c r="AF136" s="403"/>
      <c r="AG136" s="404" t="str">
        <f>IFERROR(__xludf.DUMMYFUNCTION("IF($M136="""","""",IFERROR(sparkline(query(GOOGLEFINANCE($AZ136,""price"",TODAY()-$AF$43,TODAY(),1),""select Col2 label Col2 ''""),IF($AG$43=""Gráfico de barras"",{""charttype"",""column"";""highcolor"",""red""},{""chartype"",""line""}))))"),"")</f>
        <v/>
      </c>
      <c r="AH136" s="405"/>
      <c r="AI136" s="467"/>
      <c r="AJ136" s="467"/>
      <c r="AK136" s="467"/>
      <c r="AL136" s="467"/>
      <c r="AM136" s="442"/>
      <c r="AN136" s="442"/>
      <c r="AU136" s="281"/>
      <c r="AV136" s="281"/>
      <c r="AW136" s="281"/>
      <c r="AX136" s="281"/>
      <c r="AY136" s="410">
        <v>93.0</v>
      </c>
      <c r="AZ136" s="411"/>
      <c r="BA136" s="411"/>
      <c r="BB136" s="437"/>
      <c r="BC136" s="437"/>
      <c r="BD136" s="437"/>
      <c r="BE136" s="437"/>
      <c r="BF136" s="415" t="s">
        <v>123</v>
      </c>
      <c r="BG136" s="410">
        <v>93.0</v>
      </c>
      <c r="BH136" s="416"/>
      <c r="BI136" s="416"/>
      <c r="BJ136" s="416"/>
      <c r="BK136" s="416"/>
      <c r="BL136" s="416"/>
      <c r="BM136" s="416"/>
      <c r="BN136" s="282"/>
      <c r="BO136" s="490"/>
      <c r="BP136" s="489"/>
      <c r="BQ136" s="489"/>
      <c r="BR136" s="489"/>
      <c r="BS136" s="489"/>
      <c r="BT136" s="489"/>
      <c r="BU136" s="489"/>
      <c r="BV136" s="489"/>
      <c r="BW136" s="63"/>
      <c r="BX136" s="62"/>
      <c r="BY136" s="452"/>
      <c r="BZ136" s="452"/>
      <c r="CA136" s="452"/>
      <c r="CB136" s="452"/>
      <c r="CC136" s="452"/>
      <c r="CD136" s="452"/>
      <c r="CE136" s="452"/>
      <c r="CF136" s="452"/>
      <c r="CG136" s="452"/>
      <c r="CH136" s="422"/>
      <c r="CI136" s="422"/>
      <c r="CJ136" s="422"/>
      <c r="CK136" s="421"/>
      <c r="CL136" s="421" t="s">
        <v>123</v>
      </c>
      <c r="CM136" s="423"/>
      <c r="CN136" s="421"/>
      <c r="CO136" s="423"/>
      <c r="CP136" s="421"/>
      <c r="CQ136" s="63"/>
      <c r="CR136" s="63"/>
      <c r="CS136" s="63"/>
      <c r="CT136" s="63"/>
      <c r="CU136" s="447"/>
      <c r="CV136" s="447"/>
      <c r="CW136" s="447"/>
      <c r="CX136" s="447"/>
      <c r="CY136" s="447"/>
      <c r="CZ136" s="447"/>
      <c r="DA136" s="447"/>
      <c r="DB136" s="447"/>
      <c r="DC136" s="447"/>
      <c r="DD136" s="447"/>
      <c r="DE136" s="447"/>
      <c r="DF136" s="447"/>
      <c r="DG136" s="447"/>
      <c r="DH136" s="447"/>
      <c r="DI136" s="447"/>
      <c r="DJ136" s="447"/>
      <c r="DK136" s="447"/>
      <c r="DL136" s="67"/>
      <c r="DM136" s="67"/>
      <c r="DN136" s="67"/>
      <c r="DO136" s="67"/>
      <c r="DP136" s="67"/>
      <c r="DQ136" s="67"/>
    </row>
    <row r="137" ht="22.5" customHeight="1">
      <c r="A137" s="383"/>
      <c r="B137" s="384" t="str">
        <f>IFERROR(__xludf.DUMMYFUNCTION("IF(B$43="""","""",IF($AZ137="""","""",IFERROR(Query({CarteirasAtivos},""Select Col3 where Col1 = '""&amp;$AZ137&amp;""'and Col2 = '""&amp;S$21&amp;""'""))))"),"")</f>
        <v/>
      </c>
      <c r="C137" s="384" t="str">
        <f>IFERROR(__xludf.DUMMYFUNCTION("IF(C$43="""","""",IF($AZ137="""","""",IFERROR(Query({CarteirasAtivos},""Select Col3 where Col1 = '""&amp;$AZ137&amp;""'and Col2 = '""&amp;T$21&amp;""'""))))"),"")</f>
        <v/>
      </c>
      <c r="D137" s="384" t="str">
        <f>IFERROR(__xludf.DUMMYFUNCTION("IF(D$43="""","""",IF($AZ137="""","""",IFERROR(Query({CarteirasAtivos},""Select Col3 where Col1 = '""&amp;$AZ137&amp;""'and Col2 = '""&amp;U$21&amp;""'""))))"),"")</f>
        <v/>
      </c>
      <c r="E137" s="384" t="str">
        <f>IFERROR(__xludf.DUMMYFUNCTION("IF(E$43="""","""",IF($AZ137="""","""",IFERROR(Query({CarteirasAtivos},""Select Col3 where Col1 = '""&amp;$AZ137&amp;""'and Col2 = '""&amp;V$21&amp;""'""))))"),"")</f>
        <v/>
      </c>
      <c r="F137" s="384" t="str">
        <f>IFERROR(__xludf.DUMMYFUNCTION("IF(F$43="""","""",IF($AZ137="""","""",IFERROR(Query({CarteirasAtivos},""Select Col3 where Col1 = '""&amp;$AZ137&amp;""'and Col2 = '""&amp;W$21&amp;""'""))))"),"")</f>
        <v/>
      </c>
      <c r="G137" s="384" t="str">
        <f>IFERROR(__xludf.DUMMYFUNCTION("IF(G$43="""","""",IF($AZ137="""","""",IFERROR(Query({CarteirasAtivos},""Select Col3 where Col1 = '""&amp;$AZ137&amp;""'and Col2 = '""&amp;X$21&amp;""'""))))"),"")</f>
        <v/>
      </c>
      <c r="H137" s="384" t="str">
        <f>IFERROR(__xludf.DUMMYFUNCTION("IF(H$43="""","""",IF($AZ137="""","""",IFERROR(Query({CarteirasAtivos},""Select Col3 where Col1 = '""&amp;$AZ137&amp;""'and Col2 = '""&amp;Y$21&amp;""'""))))"),"")</f>
        <v/>
      </c>
      <c r="I137" s="384" t="str">
        <f>IFERROR(__xludf.DUMMYFUNCTION("IF(I$43="""","""",IF($AZ137="""","""",IFERROR(Query({CarteirasAtivos},""Select Col3 where Col1 = '""&amp;$AZ137&amp;""'and Col2 = '""&amp;Z$21&amp;""'""))))"),"")</f>
        <v/>
      </c>
      <c r="J137" s="384" t="str">
        <f>IFERROR(__xludf.DUMMYFUNCTION("IF(J$43="""","""",IF($AZ137="""","""",IFERROR(Query({CarteirasAtivos},""Select Col3 where Col1 = '""&amp;$AZ137&amp;""'and Col2 = '""&amp;AA$21&amp;""'""))))"),"")</f>
        <v/>
      </c>
      <c r="K137" s="384" t="str">
        <f>IFERROR(__xludf.DUMMYFUNCTION("IF(K$43="""","""",IF($AZ137="""","""",IFERROR(Query({CarteirasAtivos},""Select Col3 where Col1 = '""&amp;$AZ137&amp;""'and Col2 = '""&amp;AB$21&amp;""'""))))"),"")</f>
        <v/>
      </c>
      <c r="L137" s="385">
        <v>94.0</v>
      </c>
      <c r="M137" s="503"/>
      <c r="N137" s="387"/>
      <c r="O137" s="388" t="s">
        <v>123</v>
      </c>
      <c r="P137" s="389"/>
      <c r="Q137" s="390"/>
      <c r="R137" s="391"/>
      <c r="S137" s="392"/>
      <c r="T137" s="393"/>
      <c r="U137" s="393"/>
      <c r="V137" s="394"/>
      <c r="W137" s="395" t="str">
        <f>IFERROR(__xludf.DUMMYFUNCTION("IF(M137="""","""",sparkline(IFERROR(BF137*100/MAX($BF$44:$BF$153),0),{""charttype"",""bar"";""max"",100;""color1"",IF(BD137&gt;=0,""#4760a5"",""red"")}))"),"")</f>
        <v/>
      </c>
      <c r="X137" s="396"/>
      <c r="Y137" s="466"/>
      <c r="Z137" s="398"/>
      <c r="AA137" s="399"/>
      <c r="AB137" s="393"/>
      <c r="AC137" s="476"/>
      <c r="AD137" s="401"/>
      <c r="AE137" s="402"/>
      <c r="AF137" s="403"/>
      <c r="AG137" s="404" t="str">
        <f>IFERROR(__xludf.DUMMYFUNCTION("IF($M137="""","""",IFERROR(sparkline(query(GOOGLEFINANCE($AZ137,""price"",TODAY()-$AF$43,TODAY(),1),""select Col2 label Col2 ''""),IF($AG$43=""Gráfico de barras"",{""charttype"",""column"";""highcolor"",""red""},{""chartype"",""line""}))))"),"")</f>
        <v/>
      </c>
      <c r="AH137" s="405"/>
      <c r="AI137" s="467"/>
      <c r="AJ137" s="467"/>
      <c r="AK137" s="467"/>
      <c r="AL137" s="467"/>
      <c r="AM137" s="442"/>
      <c r="AN137" s="442"/>
      <c r="AU137" s="281"/>
      <c r="AV137" s="281"/>
      <c r="AW137" s="281"/>
      <c r="AX137" s="281"/>
      <c r="AY137" s="410">
        <v>94.0</v>
      </c>
      <c r="AZ137" s="411"/>
      <c r="BA137" s="411"/>
      <c r="BB137" s="437"/>
      <c r="BC137" s="437"/>
      <c r="BD137" s="437"/>
      <c r="BE137" s="437"/>
      <c r="BF137" s="415" t="s">
        <v>123</v>
      </c>
      <c r="BG137" s="410">
        <v>94.0</v>
      </c>
      <c r="BH137" s="416"/>
      <c r="BI137" s="416"/>
      <c r="BJ137" s="416"/>
      <c r="BK137" s="416"/>
      <c r="BL137" s="416"/>
      <c r="BM137" s="416"/>
      <c r="BN137" s="282"/>
      <c r="BO137" s="490"/>
      <c r="BP137" s="489"/>
      <c r="BQ137" s="489"/>
      <c r="BR137" s="489"/>
      <c r="BS137" s="489"/>
      <c r="BT137" s="489"/>
      <c r="BU137" s="489"/>
      <c r="BV137" s="489"/>
      <c r="BW137" s="63"/>
      <c r="BX137" s="62"/>
      <c r="BY137" s="452"/>
      <c r="BZ137" s="452"/>
      <c r="CA137" s="452"/>
      <c r="CB137" s="452"/>
      <c r="CC137" s="452"/>
      <c r="CD137" s="452"/>
      <c r="CE137" s="452"/>
      <c r="CF137" s="452"/>
      <c r="CG137" s="452"/>
      <c r="CH137" s="422"/>
      <c r="CI137" s="422"/>
      <c r="CJ137" s="422"/>
      <c r="CK137" s="421"/>
      <c r="CL137" s="421" t="s">
        <v>123</v>
      </c>
      <c r="CM137" s="423"/>
      <c r="CN137" s="421"/>
      <c r="CO137" s="423"/>
      <c r="CP137" s="421"/>
      <c r="CQ137" s="63"/>
      <c r="CR137" s="63"/>
      <c r="CS137" s="63"/>
      <c r="CT137" s="63"/>
      <c r="CU137" s="447"/>
      <c r="CV137" s="447"/>
      <c r="CW137" s="447"/>
      <c r="CX137" s="447"/>
      <c r="CY137" s="447"/>
      <c r="CZ137" s="447"/>
      <c r="DA137" s="447"/>
      <c r="DB137" s="447"/>
      <c r="DC137" s="447"/>
      <c r="DD137" s="447"/>
      <c r="DE137" s="447"/>
      <c r="DF137" s="447"/>
      <c r="DG137" s="447"/>
      <c r="DH137" s="447"/>
      <c r="DI137" s="447"/>
      <c r="DJ137" s="447"/>
      <c r="DK137" s="447"/>
      <c r="DL137" s="67"/>
      <c r="DM137" s="67"/>
      <c r="DN137" s="67"/>
      <c r="DO137" s="67"/>
      <c r="DP137" s="67"/>
      <c r="DQ137" s="67"/>
    </row>
    <row r="138" ht="22.5" customHeight="1">
      <c r="A138" s="383"/>
      <c r="B138" s="384" t="str">
        <f>IFERROR(__xludf.DUMMYFUNCTION("IF(B$43="""","""",IF($AZ138="""","""",IFERROR(Query({CarteirasAtivos},""Select Col3 where Col1 = '""&amp;$AZ138&amp;""'and Col2 = '""&amp;S$21&amp;""'""))))"),"")</f>
        <v/>
      </c>
      <c r="C138" s="384" t="str">
        <f>IFERROR(__xludf.DUMMYFUNCTION("IF(C$43="""","""",IF($AZ138="""","""",IFERROR(Query({CarteirasAtivos},""Select Col3 where Col1 = '""&amp;$AZ138&amp;""'and Col2 = '""&amp;T$21&amp;""'""))))"),"")</f>
        <v/>
      </c>
      <c r="D138" s="384" t="str">
        <f>IFERROR(__xludf.DUMMYFUNCTION("IF(D$43="""","""",IF($AZ138="""","""",IFERROR(Query({CarteirasAtivos},""Select Col3 where Col1 = '""&amp;$AZ138&amp;""'and Col2 = '""&amp;U$21&amp;""'""))))"),"")</f>
        <v/>
      </c>
      <c r="E138" s="384" t="str">
        <f>IFERROR(__xludf.DUMMYFUNCTION("IF(E$43="""","""",IF($AZ138="""","""",IFERROR(Query({CarteirasAtivos},""Select Col3 where Col1 = '""&amp;$AZ138&amp;""'and Col2 = '""&amp;V$21&amp;""'""))))"),"")</f>
        <v/>
      </c>
      <c r="F138" s="384" t="str">
        <f>IFERROR(__xludf.DUMMYFUNCTION("IF(F$43="""","""",IF($AZ138="""","""",IFERROR(Query({CarteirasAtivos},""Select Col3 where Col1 = '""&amp;$AZ138&amp;""'and Col2 = '""&amp;W$21&amp;""'""))))"),"")</f>
        <v/>
      </c>
      <c r="G138" s="384" t="str">
        <f>IFERROR(__xludf.DUMMYFUNCTION("IF(G$43="""","""",IF($AZ138="""","""",IFERROR(Query({CarteirasAtivos},""Select Col3 where Col1 = '""&amp;$AZ138&amp;""'and Col2 = '""&amp;X$21&amp;""'""))))"),"")</f>
        <v/>
      </c>
      <c r="H138" s="384" t="str">
        <f>IFERROR(__xludf.DUMMYFUNCTION("IF(H$43="""","""",IF($AZ138="""","""",IFERROR(Query({CarteirasAtivos},""Select Col3 where Col1 = '""&amp;$AZ138&amp;""'and Col2 = '""&amp;Y$21&amp;""'""))))"),"")</f>
        <v/>
      </c>
      <c r="I138" s="384" t="str">
        <f>IFERROR(__xludf.DUMMYFUNCTION("IF(I$43="""","""",IF($AZ138="""","""",IFERROR(Query({CarteirasAtivos},""Select Col3 where Col1 = '""&amp;$AZ138&amp;""'and Col2 = '""&amp;Z$21&amp;""'""))))"),"")</f>
        <v/>
      </c>
      <c r="J138" s="384" t="str">
        <f>IFERROR(__xludf.DUMMYFUNCTION("IF(J$43="""","""",IF($AZ138="""","""",IFERROR(Query({CarteirasAtivos},""Select Col3 where Col1 = '""&amp;$AZ138&amp;""'and Col2 = '""&amp;AA$21&amp;""'""))))"),"")</f>
        <v/>
      </c>
      <c r="K138" s="384" t="str">
        <f>IFERROR(__xludf.DUMMYFUNCTION("IF(K$43="""","""",IF($AZ138="""","""",IFERROR(Query({CarteirasAtivos},""Select Col3 where Col1 = '""&amp;$AZ138&amp;""'and Col2 = '""&amp;AB$21&amp;""'""))))"),"")</f>
        <v/>
      </c>
      <c r="L138" s="385">
        <v>95.0</v>
      </c>
      <c r="M138" s="503"/>
      <c r="N138" s="387"/>
      <c r="O138" s="388" t="s">
        <v>123</v>
      </c>
      <c r="P138" s="389"/>
      <c r="Q138" s="390"/>
      <c r="R138" s="391"/>
      <c r="S138" s="392"/>
      <c r="T138" s="393"/>
      <c r="U138" s="393"/>
      <c r="V138" s="394"/>
      <c r="W138" s="395" t="str">
        <f>IFERROR(__xludf.DUMMYFUNCTION("IF(M138="""","""",sparkline(IFERROR(BF138*100/MAX($BF$44:$BF$153),0),{""charttype"",""bar"";""max"",100;""color1"",IF(BD138&gt;=0,""#4760a5"",""red"")}))"),"")</f>
        <v/>
      </c>
      <c r="X138" s="396"/>
      <c r="Y138" s="466"/>
      <c r="Z138" s="398"/>
      <c r="AA138" s="399"/>
      <c r="AB138" s="393"/>
      <c r="AC138" s="476"/>
      <c r="AD138" s="401"/>
      <c r="AE138" s="402"/>
      <c r="AF138" s="403"/>
      <c r="AG138" s="404" t="str">
        <f>IFERROR(__xludf.DUMMYFUNCTION("IF($M138="""","""",IFERROR(sparkline(query(GOOGLEFINANCE($AZ138,""price"",TODAY()-$AF$43,TODAY(),1),""select Col2 label Col2 ''""),IF($AG$43=""Gráfico de barras"",{""charttype"",""column"";""highcolor"",""red""},{""chartype"",""line""}))))"),"")</f>
        <v/>
      </c>
      <c r="AH138" s="405"/>
      <c r="AI138" s="467"/>
      <c r="AJ138" s="467"/>
      <c r="AK138" s="467"/>
      <c r="AL138" s="467"/>
      <c r="AM138" s="442"/>
      <c r="AN138" s="442"/>
      <c r="AU138" s="281"/>
      <c r="AV138" s="281"/>
      <c r="AW138" s="281"/>
      <c r="AX138" s="281"/>
      <c r="AY138" s="410">
        <v>95.0</v>
      </c>
      <c r="AZ138" s="411"/>
      <c r="BA138" s="411"/>
      <c r="BB138" s="437"/>
      <c r="BC138" s="437"/>
      <c r="BD138" s="437"/>
      <c r="BE138" s="437"/>
      <c r="BF138" s="415" t="s">
        <v>123</v>
      </c>
      <c r="BG138" s="410">
        <v>95.0</v>
      </c>
      <c r="BH138" s="416"/>
      <c r="BI138" s="416"/>
      <c r="BJ138" s="416"/>
      <c r="BK138" s="416"/>
      <c r="BL138" s="416"/>
      <c r="BM138" s="416"/>
      <c r="BN138" s="282"/>
      <c r="BO138" s="490"/>
      <c r="BP138" s="489"/>
      <c r="BQ138" s="489"/>
      <c r="BR138" s="489"/>
      <c r="BS138" s="489"/>
      <c r="BT138" s="489"/>
      <c r="BU138" s="489"/>
      <c r="BV138" s="489"/>
      <c r="BW138" s="63"/>
      <c r="BX138" s="62"/>
      <c r="BY138" s="452"/>
      <c r="BZ138" s="452"/>
      <c r="CA138" s="452"/>
      <c r="CB138" s="452"/>
      <c r="CC138" s="452"/>
      <c r="CD138" s="452"/>
      <c r="CE138" s="452"/>
      <c r="CF138" s="452"/>
      <c r="CG138" s="452"/>
      <c r="CH138" s="422"/>
      <c r="CI138" s="422"/>
      <c r="CJ138" s="422"/>
      <c r="CK138" s="421"/>
      <c r="CL138" s="421" t="s">
        <v>123</v>
      </c>
      <c r="CM138" s="423"/>
      <c r="CN138" s="421"/>
      <c r="CO138" s="423"/>
      <c r="CP138" s="421"/>
      <c r="CQ138" s="63"/>
      <c r="CR138" s="63"/>
      <c r="CS138" s="63"/>
      <c r="CT138" s="63"/>
      <c r="CU138" s="447"/>
      <c r="CV138" s="447"/>
      <c r="CW138" s="447"/>
      <c r="CX138" s="447"/>
      <c r="CY138" s="447"/>
      <c r="CZ138" s="447"/>
      <c r="DA138" s="447"/>
      <c r="DB138" s="447"/>
      <c r="DC138" s="447"/>
      <c r="DD138" s="447"/>
      <c r="DE138" s="447"/>
      <c r="DF138" s="447"/>
      <c r="DG138" s="447"/>
      <c r="DH138" s="447"/>
      <c r="DI138" s="447"/>
      <c r="DJ138" s="447"/>
      <c r="DK138" s="447"/>
      <c r="DL138" s="67"/>
      <c r="DM138" s="67"/>
      <c r="DN138" s="67"/>
      <c r="DO138" s="67"/>
      <c r="DP138" s="67"/>
      <c r="DQ138" s="67"/>
    </row>
    <row r="139" ht="22.5" customHeight="1">
      <c r="A139" s="383"/>
      <c r="B139" s="384" t="str">
        <f>IFERROR(__xludf.DUMMYFUNCTION("IF(B$43="""","""",IF($AZ139="""","""",IFERROR(Query({CarteirasAtivos},""Select Col3 where Col1 = '""&amp;$AZ139&amp;""'and Col2 = '""&amp;S$21&amp;""'""))))"),"")</f>
        <v/>
      </c>
      <c r="C139" s="384" t="str">
        <f>IFERROR(__xludf.DUMMYFUNCTION("IF(C$43="""","""",IF($AZ139="""","""",IFERROR(Query({CarteirasAtivos},""Select Col3 where Col1 = '""&amp;$AZ139&amp;""'and Col2 = '""&amp;T$21&amp;""'""))))"),"")</f>
        <v/>
      </c>
      <c r="D139" s="384" t="str">
        <f>IFERROR(__xludf.DUMMYFUNCTION("IF(D$43="""","""",IF($AZ139="""","""",IFERROR(Query({CarteirasAtivos},""Select Col3 where Col1 = '""&amp;$AZ139&amp;""'and Col2 = '""&amp;U$21&amp;""'""))))"),"")</f>
        <v/>
      </c>
      <c r="E139" s="384" t="str">
        <f>IFERROR(__xludf.DUMMYFUNCTION("IF(E$43="""","""",IF($AZ139="""","""",IFERROR(Query({CarteirasAtivos},""Select Col3 where Col1 = '""&amp;$AZ139&amp;""'and Col2 = '""&amp;V$21&amp;""'""))))"),"")</f>
        <v/>
      </c>
      <c r="F139" s="384" t="str">
        <f>IFERROR(__xludf.DUMMYFUNCTION("IF(F$43="""","""",IF($AZ139="""","""",IFERROR(Query({CarteirasAtivos},""Select Col3 where Col1 = '""&amp;$AZ139&amp;""'and Col2 = '""&amp;W$21&amp;""'""))))"),"")</f>
        <v/>
      </c>
      <c r="G139" s="384" t="str">
        <f>IFERROR(__xludf.DUMMYFUNCTION("IF(G$43="""","""",IF($AZ139="""","""",IFERROR(Query({CarteirasAtivos},""Select Col3 where Col1 = '""&amp;$AZ139&amp;""'and Col2 = '""&amp;X$21&amp;""'""))))"),"")</f>
        <v/>
      </c>
      <c r="H139" s="384" t="str">
        <f>IFERROR(__xludf.DUMMYFUNCTION("IF(H$43="""","""",IF($AZ139="""","""",IFERROR(Query({CarteirasAtivos},""Select Col3 where Col1 = '""&amp;$AZ139&amp;""'and Col2 = '""&amp;Y$21&amp;""'""))))"),"")</f>
        <v/>
      </c>
      <c r="I139" s="384" t="str">
        <f>IFERROR(__xludf.DUMMYFUNCTION("IF(I$43="""","""",IF($AZ139="""","""",IFERROR(Query({CarteirasAtivos},""Select Col3 where Col1 = '""&amp;$AZ139&amp;""'and Col2 = '""&amp;Z$21&amp;""'""))))"),"")</f>
        <v/>
      </c>
      <c r="J139" s="384" t="str">
        <f>IFERROR(__xludf.DUMMYFUNCTION("IF(J$43="""","""",IF($AZ139="""","""",IFERROR(Query({CarteirasAtivos},""Select Col3 where Col1 = '""&amp;$AZ139&amp;""'and Col2 = '""&amp;AA$21&amp;""'""))))"),"")</f>
        <v/>
      </c>
      <c r="K139" s="384" t="str">
        <f>IFERROR(__xludf.DUMMYFUNCTION("IF(K$43="""","""",IF($AZ139="""","""",IFERROR(Query({CarteirasAtivos},""Select Col3 where Col1 = '""&amp;$AZ139&amp;""'and Col2 = '""&amp;AB$21&amp;""'""))))"),"")</f>
        <v/>
      </c>
      <c r="L139" s="385">
        <v>96.0</v>
      </c>
      <c r="M139" s="503"/>
      <c r="N139" s="387"/>
      <c r="O139" s="388" t="s">
        <v>123</v>
      </c>
      <c r="P139" s="389"/>
      <c r="Q139" s="390"/>
      <c r="R139" s="391"/>
      <c r="S139" s="392"/>
      <c r="T139" s="393"/>
      <c r="U139" s="393"/>
      <c r="V139" s="394"/>
      <c r="W139" s="395" t="str">
        <f>IFERROR(__xludf.DUMMYFUNCTION("IF(M139="""","""",sparkline(IFERROR(BF139*100/MAX($BF$44:$BF$153),0),{""charttype"",""bar"";""max"",100;""color1"",IF(BD139&gt;=0,""#4760a5"",""red"")}))"),"")</f>
        <v/>
      </c>
      <c r="X139" s="396"/>
      <c r="Y139" s="466"/>
      <c r="Z139" s="398"/>
      <c r="AA139" s="399"/>
      <c r="AB139" s="393"/>
      <c r="AC139" s="476"/>
      <c r="AD139" s="401"/>
      <c r="AE139" s="402"/>
      <c r="AF139" s="403"/>
      <c r="AG139" s="404" t="str">
        <f>IFERROR(__xludf.DUMMYFUNCTION("IF($M139="""","""",IFERROR(sparkline(query(GOOGLEFINANCE($AZ139,""price"",TODAY()-$AF$43,TODAY(),1),""select Col2 label Col2 ''""),IF($AG$43=""Gráfico de barras"",{""charttype"",""column"";""highcolor"",""red""},{""chartype"",""line""}))))"),"")</f>
        <v/>
      </c>
      <c r="AH139" s="405"/>
      <c r="AI139" s="467"/>
      <c r="AJ139" s="467"/>
      <c r="AK139" s="467"/>
      <c r="AL139" s="467"/>
      <c r="AM139" s="442"/>
      <c r="AN139" s="442"/>
      <c r="AU139" s="281"/>
      <c r="AV139" s="281"/>
      <c r="AW139" s="281"/>
      <c r="AX139" s="281"/>
      <c r="AY139" s="410">
        <v>96.0</v>
      </c>
      <c r="AZ139" s="411"/>
      <c r="BA139" s="411"/>
      <c r="BB139" s="437"/>
      <c r="BC139" s="437"/>
      <c r="BD139" s="437"/>
      <c r="BE139" s="437"/>
      <c r="BF139" s="415" t="s">
        <v>123</v>
      </c>
      <c r="BG139" s="410">
        <v>96.0</v>
      </c>
      <c r="BH139" s="416"/>
      <c r="BI139" s="416"/>
      <c r="BJ139" s="416"/>
      <c r="BK139" s="416"/>
      <c r="BL139" s="416"/>
      <c r="BM139" s="416"/>
      <c r="BN139" s="282"/>
      <c r="BO139" s="490"/>
      <c r="BP139" s="489"/>
      <c r="BQ139" s="489"/>
      <c r="BR139" s="489"/>
      <c r="BS139" s="489"/>
      <c r="BT139" s="489"/>
      <c r="BU139" s="489"/>
      <c r="BV139" s="489"/>
      <c r="BW139" s="63"/>
      <c r="BX139" s="62"/>
      <c r="BY139" s="452"/>
      <c r="BZ139" s="452"/>
      <c r="CA139" s="452"/>
      <c r="CB139" s="452"/>
      <c r="CC139" s="452"/>
      <c r="CD139" s="452"/>
      <c r="CE139" s="452"/>
      <c r="CF139" s="452"/>
      <c r="CG139" s="452"/>
      <c r="CH139" s="422"/>
      <c r="CI139" s="422"/>
      <c r="CJ139" s="422"/>
      <c r="CK139" s="421"/>
      <c r="CL139" s="421" t="s">
        <v>123</v>
      </c>
      <c r="CM139" s="423"/>
      <c r="CN139" s="421"/>
      <c r="CO139" s="423"/>
      <c r="CP139" s="421"/>
      <c r="CQ139" s="63"/>
      <c r="CR139" s="63"/>
      <c r="CS139" s="63"/>
      <c r="CT139" s="63"/>
      <c r="CU139" s="447"/>
      <c r="CV139" s="447"/>
      <c r="CW139" s="447"/>
      <c r="CX139" s="447"/>
      <c r="CY139" s="447"/>
      <c r="CZ139" s="447"/>
      <c r="DA139" s="447"/>
      <c r="DB139" s="447"/>
      <c r="DC139" s="447"/>
      <c r="DD139" s="447"/>
      <c r="DE139" s="447"/>
      <c r="DF139" s="447"/>
      <c r="DG139" s="447"/>
      <c r="DH139" s="447"/>
      <c r="DI139" s="447"/>
      <c r="DJ139" s="447"/>
      <c r="DK139" s="447"/>
      <c r="DL139" s="67"/>
      <c r="DM139" s="67"/>
      <c r="DN139" s="67"/>
      <c r="DO139" s="67"/>
      <c r="DP139" s="67"/>
      <c r="DQ139" s="67"/>
    </row>
    <row r="140" ht="22.5" customHeight="1">
      <c r="A140" s="383"/>
      <c r="B140" s="384" t="str">
        <f>IFERROR(__xludf.DUMMYFUNCTION("IF(B$43="""","""",IF($AZ140="""","""",IFERROR(Query({CarteirasAtivos},""Select Col3 where Col1 = '""&amp;$AZ140&amp;""'and Col2 = '""&amp;S$21&amp;""'""))))"),"")</f>
        <v/>
      </c>
      <c r="C140" s="384" t="str">
        <f>IFERROR(__xludf.DUMMYFUNCTION("IF(C$43="""","""",IF($AZ140="""","""",IFERROR(Query({CarteirasAtivos},""Select Col3 where Col1 = '""&amp;$AZ140&amp;""'and Col2 = '""&amp;T$21&amp;""'""))))"),"")</f>
        <v/>
      </c>
      <c r="D140" s="384" t="str">
        <f>IFERROR(__xludf.DUMMYFUNCTION("IF(D$43="""","""",IF($AZ140="""","""",IFERROR(Query({CarteirasAtivos},""Select Col3 where Col1 = '""&amp;$AZ140&amp;""'and Col2 = '""&amp;U$21&amp;""'""))))"),"")</f>
        <v/>
      </c>
      <c r="E140" s="384" t="str">
        <f>IFERROR(__xludf.DUMMYFUNCTION("IF(E$43="""","""",IF($AZ140="""","""",IFERROR(Query({CarteirasAtivos},""Select Col3 where Col1 = '""&amp;$AZ140&amp;""'and Col2 = '""&amp;V$21&amp;""'""))))"),"")</f>
        <v/>
      </c>
      <c r="F140" s="384" t="str">
        <f>IFERROR(__xludf.DUMMYFUNCTION("IF(F$43="""","""",IF($AZ140="""","""",IFERROR(Query({CarteirasAtivos},""Select Col3 where Col1 = '""&amp;$AZ140&amp;""'and Col2 = '""&amp;W$21&amp;""'""))))"),"")</f>
        <v/>
      </c>
      <c r="G140" s="384" t="str">
        <f>IFERROR(__xludf.DUMMYFUNCTION("IF(G$43="""","""",IF($AZ140="""","""",IFERROR(Query({CarteirasAtivos},""Select Col3 where Col1 = '""&amp;$AZ140&amp;""'and Col2 = '""&amp;X$21&amp;""'""))))"),"")</f>
        <v/>
      </c>
      <c r="H140" s="384" t="str">
        <f>IFERROR(__xludf.DUMMYFUNCTION("IF(H$43="""","""",IF($AZ140="""","""",IFERROR(Query({CarteirasAtivos},""Select Col3 where Col1 = '""&amp;$AZ140&amp;""'and Col2 = '""&amp;Y$21&amp;""'""))))"),"")</f>
        <v/>
      </c>
      <c r="I140" s="384" t="str">
        <f>IFERROR(__xludf.DUMMYFUNCTION("IF(I$43="""","""",IF($AZ140="""","""",IFERROR(Query({CarteirasAtivos},""Select Col3 where Col1 = '""&amp;$AZ140&amp;""'and Col2 = '""&amp;Z$21&amp;""'""))))"),"")</f>
        <v/>
      </c>
      <c r="J140" s="384" t="str">
        <f>IFERROR(__xludf.DUMMYFUNCTION("IF(J$43="""","""",IF($AZ140="""","""",IFERROR(Query({CarteirasAtivos},""Select Col3 where Col1 = '""&amp;$AZ140&amp;""'and Col2 = '""&amp;AA$21&amp;""'""))))"),"")</f>
        <v/>
      </c>
      <c r="K140" s="384" t="str">
        <f>IFERROR(__xludf.DUMMYFUNCTION("IF(K$43="""","""",IF($AZ140="""","""",IFERROR(Query({CarteirasAtivos},""Select Col3 where Col1 = '""&amp;$AZ140&amp;""'and Col2 = '""&amp;AB$21&amp;""'""))))"),"")</f>
        <v/>
      </c>
      <c r="L140" s="385">
        <v>97.0</v>
      </c>
      <c r="M140" s="503"/>
      <c r="N140" s="387"/>
      <c r="O140" s="388" t="s">
        <v>123</v>
      </c>
      <c r="P140" s="389"/>
      <c r="Q140" s="390"/>
      <c r="R140" s="391"/>
      <c r="S140" s="392"/>
      <c r="T140" s="393"/>
      <c r="U140" s="393"/>
      <c r="V140" s="394"/>
      <c r="W140" s="395" t="str">
        <f>IFERROR(__xludf.DUMMYFUNCTION("IF(M140="""","""",sparkline(IFERROR(BF140*100/MAX($BF$44:$BF$153),0),{""charttype"",""bar"";""max"",100;""color1"",IF(BD140&gt;=0,""#4760a5"",""red"")}))"),"")</f>
        <v/>
      </c>
      <c r="X140" s="396"/>
      <c r="Y140" s="466"/>
      <c r="Z140" s="398"/>
      <c r="AA140" s="399"/>
      <c r="AB140" s="393"/>
      <c r="AC140" s="476"/>
      <c r="AD140" s="401"/>
      <c r="AE140" s="402"/>
      <c r="AF140" s="403"/>
      <c r="AG140" s="404" t="str">
        <f>IFERROR(__xludf.DUMMYFUNCTION("IF($M140="""","""",IFERROR(sparkline(query(GOOGLEFINANCE($AZ140,""price"",TODAY()-$AF$43,TODAY(),1),""select Col2 label Col2 ''""),IF($AG$43=""Gráfico de barras"",{""charttype"",""column"";""highcolor"",""red""},{""chartype"",""line""}))))"),"")</f>
        <v/>
      </c>
      <c r="AH140" s="405"/>
      <c r="AI140" s="467"/>
      <c r="AJ140" s="467"/>
      <c r="AK140" s="467"/>
      <c r="AL140" s="467"/>
      <c r="AM140" s="442"/>
      <c r="AN140" s="442"/>
      <c r="AU140" s="281"/>
      <c r="AV140" s="281"/>
      <c r="AW140" s="281"/>
      <c r="AX140" s="281"/>
      <c r="AY140" s="410">
        <v>97.0</v>
      </c>
      <c r="AZ140" s="411"/>
      <c r="BA140" s="411"/>
      <c r="BB140" s="437"/>
      <c r="BC140" s="437"/>
      <c r="BD140" s="437"/>
      <c r="BE140" s="437"/>
      <c r="BF140" s="415" t="s">
        <v>123</v>
      </c>
      <c r="BG140" s="410">
        <v>97.0</v>
      </c>
      <c r="BH140" s="416"/>
      <c r="BI140" s="416"/>
      <c r="BJ140" s="416"/>
      <c r="BK140" s="416"/>
      <c r="BL140" s="416"/>
      <c r="BM140" s="416"/>
      <c r="BN140" s="282"/>
      <c r="BO140" s="490"/>
      <c r="BP140" s="489"/>
      <c r="BQ140" s="489"/>
      <c r="BR140" s="489"/>
      <c r="BS140" s="489"/>
      <c r="BT140" s="489"/>
      <c r="BU140" s="489"/>
      <c r="BV140" s="489"/>
      <c r="BW140" s="63"/>
      <c r="BX140" s="62"/>
      <c r="BY140" s="452"/>
      <c r="BZ140" s="452"/>
      <c r="CA140" s="452"/>
      <c r="CB140" s="452"/>
      <c r="CC140" s="452"/>
      <c r="CD140" s="452"/>
      <c r="CE140" s="452"/>
      <c r="CF140" s="452"/>
      <c r="CG140" s="452"/>
      <c r="CH140" s="422"/>
      <c r="CI140" s="422"/>
      <c r="CJ140" s="422"/>
      <c r="CK140" s="421"/>
      <c r="CL140" s="421" t="s">
        <v>123</v>
      </c>
      <c r="CM140" s="423"/>
      <c r="CN140" s="421"/>
      <c r="CO140" s="423"/>
      <c r="CP140" s="421"/>
      <c r="CQ140" s="63"/>
      <c r="CR140" s="63"/>
      <c r="CS140" s="63"/>
      <c r="CT140" s="63"/>
      <c r="CU140" s="447"/>
      <c r="CV140" s="447"/>
      <c r="CW140" s="447"/>
      <c r="CX140" s="447"/>
      <c r="CY140" s="447"/>
      <c r="CZ140" s="447"/>
      <c r="DA140" s="447"/>
      <c r="DB140" s="447"/>
      <c r="DC140" s="447"/>
      <c r="DD140" s="447"/>
      <c r="DE140" s="447"/>
      <c r="DF140" s="447"/>
      <c r="DG140" s="447"/>
      <c r="DH140" s="447"/>
      <c r="DI140" s="447"/>
      <c r="DJ140" s="447"/>
      <c r="DK140" s="447"/>
      <c r="DL140" s="67"/>
      <c r="DM140" s="67"/>
      <c r="DN140" s="67"/>
      <c r="DO140" s="67"/>
      <c r="DP140" s="67"/>
      <c r="DQ140" s="67"/>
    </row>
    <row r="141" ht="22.5" customHeight="1">
      <c r="A141" s="383"/>
      <c r="B141" s="384" t="str">
        <f>IFERROR(__xludf.DUMMYFUNCTION("IF(B$43="""","""",IF($AZ141="""","""",IFERROR(Query({CarteirasAtivos},""Select Col3 where Col1 = '""&amp;$AZ141&amp;""'and Col2 = '""&amp;S$21&amp;""'""))))"),"")</f>
        <v/>
      </c>
      <c r="C141" s="384" t="str">
        <f>IFERROR(__xludf.DUMMYFUNCTION("IF(C$43="""","""",IF($AZ141="""","""",IFERROR(Query({CarteirasAtivos},""Select Col3 where Col1 = '""&amp;$AZ141&amp;""'and Col2 = '""&amp;T$21&amp;""'""))))"),"")</f>
        <v/>
      </c>
      <c r="D141" s="384" t="str">
        <f>IFERROR(__xludf.DUMMYFUNCTION("IF(D$43="""","""",IF($AZ141="""","""",IFERROR(Query({CarteirasAtivos},""Select Col3 where Col1 = '""&amp;$AZ141&amp;""'and Col2 = '""&amp;U$21&amp;""'""))))"),"")</f>
        <v/>
      </c>
      <c r="E141" s="384" t="str">
        <f>IFERROR(__xludf.DUMMYFUNCTION("IF(E$43="""","""",IF($AZ141="""","""",IFERROR(Query({CarteirasAtivos},""Select Col3 where Col1 = '""&amp;$AZ141&amp;""'and Col2 = '""&amp;V$21&amp;""'""))))"),"")</f>
        <v/>
      </c>
      <c r="F141" s="384" t="str">
        <f>IFERROR(__xludf.DUMMYFUNCTION("IF(F$43="""","""",IF($AZ141="""","""",IFERROR(Query({CarteirasAtivos},""Select Col3 where Col1 = '""&amp;$AZ141&amp;""'and Col2 = '""&amp;W$21&amp;""'""))))"),"")</f>
        <v/>
      </c>
      <c r="G141" s="384" t="str">
        <f>IFERROR(__xludf.DUMMYFUNCTION("IF(G$43="""","""",IF($AZ141="""","""",IFERROR(Query({CarteirasAtivos},""Select Col3 where Col1 = '""&amp;$AZ141&amp;""'and Col2 = '""&amp;X$21&amp;""'""))))"),"")</f>
        <v/>
      </c>
      <c r="H141" s="384" t="str">
        <f>IFERROR(__xludf.DUMMYFUNCTION("IF(H$43="""","""",IF($AZ141="""","""",IFERROR(Query({CarteirasAtivos},""Select Col3 where Col1 = '""&amp;$AZ141&amp;""'and Col2 = '""&amp;Y$21&amp;""'""))))"),"")</f>
        <v/>
      </c>
      <c r="I141" s="384" t="str">
        <f>IFERROR(__xludf.DUMMYFUNCTION("IF(I$43="""","""",IF($AZ141="""","""",IFERROR(Query({CarteirasAtivos},""Select Col3 where Col1 = '""&amp;$AZ141&amp;""'and Col2 = '""&amp;Z$21&amp;""'""))))"),"")</f>
        <v/>
      </c>
      <c r="J141" s="384" t="str">
        <f>IFERROR(__xludf.DUMMYFUNCTION("IF(J$43="""","""",IF($AZ141="""","""",IFERROR(Query({CarteirasAtivos},""Select Col3 where Col1 = '""&amp;$AZ141&amp;""'and Col2 = '""&amp;AA$21&amp;""'""))))"),"")</f>
        <v/>
      </c>
      <c r="K141" s="384" t="str">
        <f>IFERROR(__xludf.DUMMYFUNCTION("IF(K$43="""","""",IF($AZ141="""","""",IFERROR(Query({CarteirasAtivos},""Select Col3 where Col1 = '""&amp;$AZ141&amp;""'and Col2 = '""&amp;AB$21&amp;""'""))))"),"")</f>
        <v/>
      </c>
      <c r="L141" s="385">
        <v>98.0</v>
      </c>
      <c r="M141" s="503"/>
      <c r="N141" s="387"/>
      <c r="O141" s="388" t="s">
        <v>123</v>
      </c>
      <c r="P141" s="389"/>
      <c r="Q141" s="390"/>
      <c r="R141" s="391"/>
      <c r="S141" s="392"/>
      <c r="T141" s="393"/>
      <c r="U141" s="393"/>
      <c r="V141" s="394"/>
      <c r="W141" s="395" t="str">
        <f>IFERROR(__xludf.DUMMYFUNCTION("IF(M141="""","""",sparkline(IFERROR(BF141*100/MAX($BF$44:$BF$153),0),{""charttype"",""bar"";""max"",100;""color1"",IF(BD141&gt;=0,""#4760a5"",""red"")}))"),"")</f>
        <v/>
      </c>
      <c r="X141" s="396"/>
      <c r="Y141" s="466"/>
      <c r="Z141" s="398"/>
      <c r="AA141" s="399"/>
      <c r="AB141" s="393"/>
      <c r="AC141" s="476"/>
      <c r="AD141" s="401"/>
      <c r="AE141" s="402"/>
      <c r="AF141" s="403"/>
      <c r="AG141" s="404" t="str">
        <f>IFERROR(__xludf.DUMMYFUNCTION("IF($M141="""","""",IFERROR(sparkline(query(GOOGLEFINANCE($AZ141,""price"",TODAY()-$AF$43,TODAY(),1),""select Col2 label Col2 ''""),IF($AG$43=""Gráfico de barras"",{""charttype"",""column"";""highcolor"",""red""},{""chartype"",""line""}))))"),"")</f>
        <v/>
      </c>
      <c r="AH141" s="405"/>
      <c r="AI141" s="467"/>
      <c r="AJ141" s="467"/>
      <c r="AK141" s="467"/>
      <c r="AL141" s="467"/>
      <c r="AM141" s="442"/>
      <c r="AN141" s="442"/>
      <c r="AU141" s="281"/>
      <c r="AV141" s="281"/>
      <c r="AW141" s="281"/>
      <c r="AX141" s="281"/>
      <c r="AY141" s="410">
        <v>98.0</v>
      </c>
      <c r="AZ141" s="411"/>
      <c r="BA141" s="411"/>
      <c r="BB141" s="437"/>
      <c r="BC141" s="437"/>
      <c r="BD141" s="437"/>
      <c r="BE141" s="437"/>
      <c r="BF141" s="415" t="s">
        <v>123</v>
      </c>
      <c r="BG141" s="410">
        <v>98.0</v>
      </c>
      <c r="BH141" s="416"/>
      <c r="BI141" s="416"/>
      <c r="BJ141" s="416"/>
      <c r="BK141" s="416"/>
      <c r="BL141" s="416"/>
      <c r="BM141" s="416"/>
      <c r="BN141" s="282"/>
      <c r="BO141" s="490"/>
      <c r="BP141" s="489"/>
      <c r="BQ141" s="489"/>
      <c r="BR141" s="489"/>
      <c r="BS141" s="489"/>
      <c r="BT141" s="489"/>
      <c r="BU141" s="489"/>
      <c r="BV141" s="489"/>
      <c r="BW141" s="63"/>
      <c r="BX141" s="62"/>
      <c r="BY141" s="452"/>
      <c r="BZ141" s="452"/>
      <c r="CA141" s="452"/>
      <c r="CB141" s="452"/>
      <c r="CC141" s="452"/>
      <c r="CD141" s="452"/>
      <c r="CE141" s="452"/>
      <c r="CF141" s="452"/>
      <c r="CG141" s="452"/>
      <c r="CH141" s="422"/>
      <c r="CI141" s="422"/>
      <c r="CJ141" s="422"/>
      <c r="CK141" s="421"/>
      <c r="CL141" s="421" t="s">
        <v>123</v>
      </c>
      <c r="CM141" s="423"/>
      <c r="CN141" s="421"/>
      <c r="CO141" s="423"/>
      <c r="CP141" s="421"/>
      <c r="CQ141" s="63"/>
      <c r="CR141" s="63"/>
      <c r="CS141" s="63"/>
      <c r="CT141" s="63"/>
      <c r="CU141" s="447"/>
      <c r="CV141" s="447"/>
      <c r="CW141" s="447"/>
      <c r="CX141" s="447"/>
      <c r="CY141" s="447"/>
      <c r="CZ141" s="447"/>
      <c r="DA141" s="447"/>
      <c r="DB141" s="447"/>
      <c r="DC141" s="447"/>
      <c r="DD141" s="447"/>
      <c r="DE141" s="447"/>
      <c r="DF141" s="447"/>
      <c r="DG141" s="447"/>
      <c r="DH141" s="447"/>
      <c r="DI141" s="447"/>
      <c r="DJ141" s="447"/>
      <c r="DK141" s="447"/>
      <c r="DL141" s="67"/>
      <c r="DM141" s="67"/>
      <c r="DN141" s="67"/>
      <c r="DO141" s="67"/>
      <c r="DP141" s="67"/>
      <c r="DQ141" s="67"/>
    </row>
    <row r="142" ht="22.5" customHeight="1">
      <c r="A142" s="383"/>
      <c r="B142" s="384" t="str">
        <f>IFERROR(__xludf.DUMMYFUNCTION("IF(B$43="""","""",IF($AZ142="""","""",IFERROR(Query({CarteirasAtivos},""Select Col3 where Col1 = '""&amp;$AZ142&amp;""'and Col2 = '""&amp;S$21&amp;""'""))))"),"")</f>
        <v/>
      </c>
      <c r="C142" s="384" t="str">
        <f>IFERROR(__xludf.DUMMYFUNCTION("IF(C$43="""","""",IF($AZ142="""","""",IFERROR(Query({CarteirasAtivos},""Select Col3 where Col1 = '""&amp;$AZ142&amp;""'and Col2 = '""&amp;T$21&amp;""'""))))"),"")</f>
        <v/>
      </c>
      <c r="D142" s="384" t="str">
        <f>IFERROR(__xludf.DUMMYFUNCTION("IF(D$43="""","""",IF($AZ142="""","""",IFERROR(Query({CarteirasAtivos},""Select Col3 where Col1 = '""&amp;$AZ142&amp;""'and Col2 = '""&amp;U$21&amp;""'""))))"),"")</f>
        <v/>
      </c>
      <c r="E142" s="384" t="str">
        <f>IFERROR(__xludf.DUMMYFUNCTION("IF(E$43="""","""",IF($AZ142="""","""",IFERROR(Query({CarteirasAtivos},""Select Col3 where Col1 = '""&amp;$AZ142&amp;""'and Col2 = '""&amp;V$21&amp;""'""))))"),"")</f>
        <v/>
      </c>
      <c r="F142" s="384" t="str">
        <f>IFERROR(__xludf.DUMMYFUNCTION("IF(F$43="""","""",IF($AZ142="""","""",IFERROR(Query({CarteirasAtivos},""Select Col3 where Col1 = '""&amp;$AZ142&amp;""'and Col2 = '""&amp;W$21&amp;""'""))))"),"")</f>
        <v/>
      </c>
      <c r="G142" s="384" t="str">
        <f>IFERROR(__xludf.DUMMYFUNCTION("IF(G$43="""","""",IF($AZ142="""","""",IFERROR(Query({CarteirasAtivos},""Select Col3 where Col1 = '""&amp;$AZ142&amp;""'and Col2 = '""&amp;X$21&amp;""'""))))"),"")</f>
        <v/>
      </c>
      <c r="H142" s="384" t="str">
        <f>IFERROR(__xludf.DUMMYFUNCTION("IF(H$43="""","""",IF($AZ142="""","""",IFERROR(Query({CarteirasAtivos},""Select Col3 where Col1 = '""&amp;$AZ142&amp;""'and Col2 = '""&amp;Y$21&amp;""'""))))"),"")</f>
        <v/>
      </c>
      <c r="I142" s="384" t="str">
        <f>IFERROR(__xludf.DUMMYFUNCTION("IF(I$43="""","""",IF($AZ142="""","""",IFERROR(Query({CarteirasAtivos},""Select Col3 where Col1 = '""&amp;$AZ142&amp;""'and Col2 = '""&amp;Z$21&amp;""'""))))"),"")</f>
        <v/>
      </c>
      <c r="J142" s="384" t="str">
        <f>IFERROR(__xludf.DUMMYFUNCTION("IF(J$43="""","""",IF($AZ142="""","""",IFERROR(Query({CarteirasAtivos},""Select Col3 where Col1 = '""&amp;$AZ142&amp;""'and Col2 = '""&amp;AA$21&amp;""'""))))"),"")</f>
        <v/>
      </c>
      <c r="K142" s="384" t="str">
        <f>IFERROR(__xludf.DUMMYFUNCTION("IF(K$43="""","""",IF($AZ142="""","""",IFERROR(Query({CarteirasAtivos},""Select Col3 where Col1 = '""&amp;$AZ142&amp;""'and Col2 = '""&amp;AB$21&amp;""'""))))"),"")</f>
        <v/>
      </c>
      <c r="L142" s="385">
        <v>99.0</v>
      </c>
      <c r="M142" s="503"/>
      <c r="N142" s="387"/>
      <c r="O142" s="388" t="s">
        <v>123</v>
      </c>
      <c r="P142" s="389"/>
      <c r="Q142" s="390"/>
      <c r="R142" s="391"/>
      <c r="S142" s="392"/>
      <c r="T142" s="393"/>
      <c r="U142" s="393"/>
      <c r="V142" s="394"/>
      <c r="W142" s="395" t="str">
        <f>IFERROR(__xludf.DUMMYFUNCTION("IF(M142="""","""",sparkline(IFERROR(BF142*100/MAX($BF$44:$BF$153),0),{""charttype"",""bar"";""max"",100;""color1"",IF(BD142&gt;=0,""#4760a5"",""red"")}))"),"")</f>
        <v/>
      </c>
      <c r="X142" s="396"/>
      <c r="Y142" s="466"/>
      <c r="Z142" s="398"/>
      <c r="AA142" s="399"/>
      <c r="AB142" s="393"/>
      <c r="AC142" s="476"/>
      <c r="AD142" s="401"/>
      <c r="AE142" s="402"/>
      <c r="AF142" s="403"/>
      <c r="AG142" s="404" t="str">
        <f>IFERROR(__xludf.DUMMYFUNCTION("IF($M142="""","""",IFERROR(sparkline(query(GOOGLEFINANCE($AZ142,""price"",TODAY()-$AF$43,TODAY(),1),""select Col2 label Col2 ''""),IF($AG$43=""Gráfico de barras"",{""charttype"",""column"";""highcolor"",""red""},{""chartype"",""line""}))))"),"")</f>
        <v/>
      </c>
      <c r="AH142" s="405"/>
      <c r="AI142" s="467"/>
      <c r="AJ142" s="467"/>
      <c r="AK142" s="467"/>
      <c r="AL142" s="467"/>
      <c r="AM142" s="442"/>
      <c r="AN142" s="442"/>
      <c r="AU142" s="281"/>
      <c r="AV142" s="281"/>
      <c r="AW142" s="281"/>
      <c r="AX142" s="281"/>
      <c r="AY142" s="410">
        <v>99.0</v>
      </c>
      <c r="AZ142" s="411"/>
      <c r="BA142" s="411"/>
      <c r="BB142" s="437"/>
      <c r="BC142" s="437"/>
      <c r="BD142" s="437"/>
      <c r="BE142" s="437"/>
      <c r="BF142" s="415" t="s">
        <v>123</v>
      </c>
      <c r="BG142" s="410">
        <v>99.0</v>
      </c>
      <c r="BH142" s="416"/>
      <c r="BI142" s="416"/>
      <c r="BJ142" s="416"/>
      <c r="BK142" s="416"/>
      <c r="BL142" s="416"/>
      <c r="BM142" s="416"/>
      <c r="BN142" s="282"/>
      <c r="BO142" s="490"/>
      <c r="BP142" s="489"/>
      <c r="BQ142" s="489"/>
      <c r="BR142" s="489"/>
      <c r="BS142" s="489"/>
      <c r="BT142" s="489"/>
      <c r="BU142" s="489"/>
      <c r="BV142" s="489"/>
      <c r="BW142" s="63"/>
      <c r="BX142" s="62"/>
      <c r="BY142" s="452"/>
      <c r="BZ142" s="452"/>
      <c r="CA142" s="452"/>
      <c r="CB142" s="452"/>
      <c r="CC142" s="452"/>
      <c r="CD142" s="452"/>
      <c r="CE142" s="452"/>
      <c r="CF142" s="452"/>
      <c r="CG142" s="452"/>
      <c r="CH142" s="422"/>
      <c r="CI142" s="422"/>
      <c r="CJ142" s="422"/>
      <c r="CK142" s="421"/>
      <c r="CL142" s="421" t="s">
        <v>123</v>
      </c>
      <c r="CM142" s="423"/>
      <c r="CN142" s="421"/>
      <c r="CO142" s="423"/>
      <c r="CP142" s="421"/>
      <c r="CQ142" s="63"/>
      <c r="CR142" s="63"/>
      <c r="CS142" s="63"/>
      <c r="CT142" s="63"/>
      <c r="CU142" s="447"/>
      <c r="CV142" s="447"/>
      <c r="CW142" s="447"/>
      <c r="CX142" s="447"/>
      <c r="CY142" s="447"/>
      <c r="CZ142" s="447"/>
      <c r="DA142" s="447"/>
      <c r="DB142" s="447"/>
      <c r="DC142" s="447"/>
      <c r="DD142" s="447"/>
      <c r="DE142" s="447"/>
      <c r="DF142" s="447"/>
      <c r="DG142" s="447"/>
      <c r="DH142" s="447"/>
      <c r="DI142" s="447"/>
      <c r="DJ142" s="447"/>
      <c r="DK142" s="447"/>
      <c r="DL142" s="67"/>
      <c r="DM142" s="67"/>
      <c r="DN142" s="67"/>
      <c r="DO142" s="67"/>
      <c r="DP142" s="67"/>
      <c r="DQ142" s="67"/>
    </row>
    <row r="143" ht="22.5" customHeight="1">
      <c r="A143" s="383"/>
      <c r="B143" s="384" t="str">
        <f>IFERROR(__xludf.DUMMYFUNCTION("IF(B$43="""","""",IF($AZ143="""","""",IFERROR(Query({CarteirasAtivos},""Select Col3 where Col1 = '""&amp;$AZ143&amp;""'and Col2 = '""&amp;S$21&amp;""'""))))"),"")</f>
        <v/>
      </c>
      <c r="C143" s="384" t="str">
        <f>IFERROR(__xludf.DUMMYFUNCTION("IF(C$43="""","""",IF($AZ143="""","""",IFERROR(Query({CarteirasAtivos},""Select Col3 where Col1 = '""&amp;$AZ143&amp;""'and Col2 = '""&amp;T$21&amp;""'""))))"),"")</f>
        <v/>
      </c>
      <c r="D143" s="384" t="str">
        <f>IFERROR(__xludf.DUMMYFUNCTION("IF(D$43="""","""",IF($AZ143="""","""",IFERROR(Query({CarteirasAtivos},""Select Col3 where Col1 = '""&amp;$AZ143&amp;""'and Col2 = '""&amp;U$21&amp;""'""))))"),"")</f>
        <v/>
      </c>
      <c r="E143" s="384" t="str">
        <f>IFERROR(__xludf.DUMMYFUNCTION("IF(E$43="""","""",IF($AZ143="""","""",IFERROR(Query({CarteirasAtivos},""Select Col3 where Col1 = '""&amp;$AZ143&amp;""'and Col2 = '""&amp;V$21&amp;""'""))))"),"")</f>
        <v/>
      </c>
      <c r="F143" s="384" t="str">
        <f>IFERROR(__xludf.DUMMYFUNCTION("IF(F$43="""","""",IF($AZ143="""","""",IFERROR(Query({CarteirasAtivos},""Select Col3 where Col1 = '""&amp;$AZ143&amp;""'and Col2 = '""&amp;W$21&amp;""'""))))"),"")</f>
        <v/>
      </c>
      <c r="G143" s="384" t="str">
        <f>IFERROR(__xludf.DUMMYFUNCTION("IF(G$43="""","""",IF($AZ143="""","""",IFERROR(Query({CarteirasAtivos},""Select Col3 where Col1 = '""&amp;$AZ143&amp;""'and Col2 = '""&amp;X$21&amp;""'""))))"),"")</f>
        <v/>
      </c>
      <c r="H143" s="384" t="str">
        <f>IFERROR(__xludf.DUMMYFUNCTION("IF(H$43="""","""",IF($AZ143="""","""",IFERROR(Query({CarteirasAtivos},""Select Col3 where Col1 = '""&amp;$AZ143&amp;""'and Col2 = '""&amp;Y$21&amp;""'""))))"),"")</f>
        <v/>
      </c>
      <c r="I143" s="384" t="str">
        <f>IFERROR(__xludf.DUMMYFUNCTION("IF(I$43="""","""",IF($AZ143="""","""",IFERROR(Query({CarteirasAtivos},""Select Col3 where Col1 = '""&amp;$AZ143&amp;""'and Col2 = '""&amp;Z$21&amp;""'""))))"),"")</f>
        <v/>
      </c>
      <c r="J143" s="384" t="str">
        <f>IFERROR(__xludf.DUMMYFUNCTION("IF(J$43="""","""",IF($AZ143="""","""",IFERROR(Query({CarteirasAtivos},""Select Col3 where Col1 = '""&amp;$AZ143&amp;""'and Col2 = '""&amp;AA$21&amp;""'""))))"),"")</f>
        <v/>
      </c>
      <c r="K143" s="384" t="str">
        <f>IFERROR(__xludf.DUMMYFUNCTION("IF(K$43="""","""",IF($AZ143="""","""",IFERROR(Query({CarteirasAtivos},""Select Col3 where Col1 = '""&amp;$AZ143&amp;""'and Col2 = '""&amp;AB$21&amp;""'""))))"),"")</f>
        <v/>
      </c>
      <c r="L143" s="385">
        <v>100.0</v>
      </c>
      <c r="M143" s="503"/>
      <c r="N143" s="387"/>
      <c r="O143" s="388" t="s">
        <v>123</v>
      </c>
      <c r="P143" s="389"/>
      <c r="Q143" s="390"/>
      <c r="R143" s="391"/>
      <c r="S143" s="392"/>
      <c r="T143" s="393"/>
      <c r="U143" s="393"/>
      <c r="V143" s="394"/>
      <c r="W143" s="395" t="str">
        <f>IFERROR(__xludf.DUMMYFUNCTION("IF(M143="""","""",sparkline(IFERROR(BF143*100/MAX($BF$44:$BF$153),0),{""charttype"",""bar"";""max"",100;""color1"",IF(BD143&gt;=0,""#4760a5"",""red"")}))"),"")</f>
        <v/>
      </c>
      <c r="X143" s="396"/>
      <c r="Y143" s="466"/>
      <c r="Z143" s="398"/>
      <c r="AA143" s="399"/>
      <c r="AB143" s="393"/>
      <c r="AC143" s="476"/>
      <c r="AD143" s="401"/>
      <c r="AE143" s="402"/>
      <c r="AF143" s="403"/>
      <c r="AG143" s="404" t="str">
        <f>IFERROR(__xludf.DUMMYFUNCTION("IF($M143="""","""",IFERROR(sparkline(query(GOOGLEFINANCE($AZ143,""price"",TODAY()-$AF$43,TODAY(),1),""select Col2 label Col2 ''""),IF($AG$43=""Gráfico de barras"",{""charttype"",""column"";""highcolor"",""red""},{""chartype"",""line""}))))"),"")</f>
        <v/>
      </c>
      <c r="AH143" s="405"/>
      <c r="AI143" s="467"/>
      <c r="AJ143" s="467"/>
      <c r="AK143" s="467"/>
      <c r="AL143" s="467"/>
      <c r="AM143" s="442"/>
      <c r="AN143" s="442"/>
      <c r="AU143" s="281"/>
      <c r="AV143" s="281"/>
      <c r="AW143" s="281"/>
      <c r="AX143" s="281"/>
      <c r="AY143" s="410">
        <v>100.0</v>
      </c>
      <c r="AZ143" s="411"/>
      <c r="BA143" s="411"/>
      <c r="BB143" s="437"/>
      <c r="BC143" s="437"/>
      <c r="BD143" s="437"/>
      <c r="BE143" s="437"/>
      <c r="BF143" s="415" t="s">
        <v>123</v>
      </c>
      <c r="BG143" s="410">
        <v>100.0</v>
      </c>
      <c r="BH143" s="416"/>
      <c r="BI143" s="416"/>
      <c r="BJ143" s="416"/>
      <c r="BK143" s="416"/>
      <c r="BL143" s="416"/>
      <c r="BM143" s="416"/>
      <c r="BN143" s="282"/>
      <c r="BO143" s="490"/>
      <c r="BP143" s="489"/>
      <c r="BQ143" s="489"/>
      <c r="BR143" s="489"/>
      <c r="BS143" s="489"/>
      <c r="BT143" s="489"/>
      <c r="BU143" s="489"/>
      <c r="BV143" s="489"/>
      <c r="BW143" s="63"/>
      <c r="BX143" s="62"/>
      <c r="BY143" s="452"/>
      <c r="BZ143" s="452"/>
      <c r="CA143" s="452"/>
      <c r="CB143" s="452"/>
      <c r="CC143" s="452"/>
      <c r="CD143" s="452"/>
      <c r="CE143" s="452"/>
      <c r="CF143" s="452"/>
      <c r="CG143" s="452"/>
      <c r="CH143" s="422"/>
      <c r="CI143" s="422"/>
      <c r="CJ143" s="422"/>
      <c r="CK143" s="421"/>
      <c r="CL143" s="421" t="s">
        <v>123</v>
      </c>
      <c r="CM143" s="423"/>
      <c r="CN143" s="421"/>
      <c r="CO143" s="423"/>
      <c r="CP143" s="421"/>
      <c r="CQ143" s="63"/>
      <c r="CR143" s="63"/>
      <c r="CS143" s="63"/>
      <c r="CT143" s="63"/>
      <c r="CU143" s="447"/>
      <c r="CV143" s="447"/>
      <c r="CW143" s="447"/>
      <c r="CX143" s="447"/>
      <c r="CY143" s="447"/>
      <c r="CZ143" s="447"/>
      <c r="DA143" s="447"/>
      <c r="DB143" s="447"/>
      <c r="DC143" s="447"/>
      <c r="DD143" s="447"/>
      <c r="DE143" s="447"/>
      <c r="DF143" s="447"/>
      <c r="DG143" s="447"/>
      <c r="DH143" s="447"/>
      <c r="DI143" s="447"/>
      <c r="DJ143" s="447"/>
      <c r="DK143" s="447"/>
      <c r="DL143" s="67"/>
      <c r="DM143" s="67"/>
      <c r="DN143" s="67"/>
      <c r="DO143" s="67"/>
      <c r="DP143" s="67"/>
      <c r="DQ143" s="67"/>
    </row>
    <row r="144" ht="22.5" customHeight="1">
      <c r="A144" s="383"/>
      <c r="B144" s="384" t="str">
        <f>IFERROR(__xludf.DUMMYFUNCTION("IF(B$43="""","""",IF($AZ144="""","""",IFERROR(Query({CarteirasAtivos},""Select Col3 where Col1 = '""&amp;$AZ144&amp;""'and Col2 = '""&amp;S$21&amp;""'""))))"),"")</f>
        <v/>
      </c>
      <c r="C144" s="384" t="str">
        <f>IFERROR(__xludf.DUMMYFUNCTION("IF(C$43="""","""",IF($AZ144="""","""",IFERROR(Query({CarteirasAtivos},""Select Col3 where Col1 = '""&amp;$AZ144&amp;""'and Col2 = '""&amp;T$21&amp;""'""))))"),"")</f>
        <v/>
      </c>
      <c r="D144" s="384" t="str">
        <f>IFERROR(__xludf.DUMMYFUNCTION("IF(D$43="""","""",IF($AZ144="""","""",IFERROR(Query({CarteirasAtivos},""Select Col3 where Col1 = '""&amp;$AZ144&amp;""'and Col2 = '""&amp;U$21&amp;""'""))))"),"")</f>
        <v/>
      </c>
      <c r="E144" s="384" t="str">
        <f>IFERROR(__xludf.DUMMYFUNCTION("IF(E$43="""","""",IF($AZ144="""","""",IFERROR(Query({CarteirasAtivos},""Select Col3 where Col1 = '""&amp;$AZ144&amp;""'and Col2 = '""&amp;V$21&amp;""'""))))"),"")</f>
        <v/>
      </c>
      <c r="F144" s="384" t="str">
        <f>IFERROR(__xludf.DUMMYFUNCTION("IF(F$43="""","""",IF($AZ144="""","""",IFERROR(Query({CarteirasAtivos},""Select Col3 where Col1 = '""&amp;$AZ144&amp;""'and Col2 = '""&amp;W$21&amp;""'""))))"),"")</f>
        <v/>
      </c>
      <c r="G144" s="384" t="str">
        <f>IFERROR(__xludf.DUMMYFUNCTION("IF(G$43="""","""",IF($AZ144="""","""",IFERROR(Query({CarteirasAtivos},""Select Col3 where Col1 = '""&amp;$AZ144&amp;""'and Col2 = '""&amp;X$21&amp;""'""))))"),"")</f>
        <v/>
      </c>
      <c r="H144" s="384" t="str">
        <f>IFERROR(__xludf.DUMMYFUNCTION("IF(H$43="""","""",IF($AZ144="""","""",IFERROR(Query({CarteirasAtivos},""Select Col3 where Col1 = '""&amp;$AZ144&amp;""'and Col2 = '""&amp;Y$21&amp;""'""))))"),"")</f>
        <v/>
      </c>
      <c r="I144" s="384" t="str">
        <f>IFERROR(__xludf.DUMMYFUNCTION("IF(I$43="""","""",IF($AZ144="""","""",IFERROR(Query({CarteirasAtivos},""Select Col3 where Col1 = '""&amp;$AZ144&amp;""'and Col2 = '""&amp;Z$21&amp;""'""))))"),"")</f>
        <v/>
      </c>
      <c r="J144" s="384" t="str">
        <f>IFERROR(__xludf.DUMMYFUNCTION("IF(J$43="""","""",IF($AZ144="""","""",IFERROR(Query({CarteirasAtivos},""Select Col3 where Col1 = '""&amp;$AZ144&amp;""'and Col2 = '""&amp;AA$21&amp;""'""))))"),"")</f>
        <v/>
      </c>
      <c r="K144" s="384" t="str">
        <f>IFERROR(__xludf.DUMMYFUNCTION("IF(K$43="""","""",IF($AZ144="""","""",IFERROR(Query({CarteirasAtivos},""Select Col3 where Col1 = '""&amp;$AZ144&amp;""'and Col2 = '""&amp;AB$21&amp;""'""))))"),"")</f>
        <v/>
      </c>
      <c r="L144" s="385">
        <v>101.0</v>
      </c>
      <c r="M144" s="503"/>
      <c r="N144" s="387"/>
      <c r="O144" s="388" t="s">
        <v>123</v>
      </c>
      <c r="P144" s="389"/>
      <c r="Q144" s="390"/>
      <c r="R144" s="391"/>
      <c r="S144" s="392"/>
      <c r="T144" s="393"/>
      <c r="U144" s="393"/>
      <c r="V144" s="394"/>
      <c r="W144" s="395" t="str">
        <f>IFERROR(__xludf.DUMMYFUNCTION("IF(M144="""","""",sparkline(IFERROR(BF144*100/MAX($BF$44:$BF$153),0),{""charttype"",""bar"";""max"",100;""color1"",IF(BD144&gt;=0,""#4760a5"",""red"")}))"),"")</f>
        <v/>
      </c>
      <c r="X144" s="396"/>
      <c r="Y144" s="466"/>
      <c r="Z144" s="398"/>
      <c r="AA144" s="399"/>
      <c r="AB144" s="393"/>
      <c r="AC144" s="476"/>
      <c r="AD144" s="401"/>
      <c r="AE144" s="402"/>
      <c r="AF144" s="403"/>
      <c r="AG144" s="404" t="str">
        <f>IFERROR(__xludf.DUMMYFUNCTION("IF($M144="""","""",IFERROR(sparkline(query(GOOGLEFINANCE($AZ144,""price"",TODAY()-$AF$43,TODAY(),1),""select Col2 label Col2 ''""),IF($AG$43=""Gráfico de barras"",{""charttype"",""column"";""highcolor"",""red""},{""chartype"",""line""}))))"),"")</f>
        <v/>
      </c>
      <c r="AH144" s="405"/>
      <c r="AI144" s="467"/>
      <c r="AJ144" s="467"/>
      <c r="AK144" s="467"/>
      <c r="AL144" s="467"/>
      <c r="AM144" s="442"/>
      <c r="AN144" s="442"/>
      <c r="AU144" s="281"/>
      <c r="AV144" s="281"/>
      <c r="AW144" s="281"/>
      <c r="AX144" s="281"/>
      <c r="AY144" s="410">
        <v>101.0</v>
      </c>
      <c r="AZ144" s="411"/>
      <c r="BA144" s="411"/>
      <c r="BB144" s="437"/>
      <c r="BC144" s="437"/>
      <c r="BD144" s="437"/>
      <c r="BE144" s="437"/>
      <c r="BF144" s="415" t="s">
        <v>123</v>
      </c>
      <c r="BG144" s="410">
        <v>101.0</v>
      </c>
      <c r="BH144" s="416"/>
      <c r="BI144" s="416"/>
      <c r="BJ144" s="416"/>
      <c r="BK144" s="416"/>
      <c r="BL144" s="416"/>
      <c r="BM144" s="416"/>
      <c r="BN144" s="282"/>
      <c r="BO144" s="490"/>
      <c r="BP144" s="489"/>
      <c r="BQ144" s="489"/>
      <c r="BR144" s="489"/>
      <c r="BS144" s="489"/>
      <c r="BT144" s="489"/>
      <c r="BU144" s="489"/>
      <c r="BV144" s="489"/>
      <c r="BW144" s="63"/>
      <c r="BX144" s="62"/>
      <c r="BY144" s="452"/>
      <c r="BZ144" s="452"/>
      <c r="CA144" s="452"/>
      <c r="CB144" s="452"/>
      <c r="CC144" s="452"/>
      <c r="CD144" s="452"/>
      <c r="CE144" s="452"/>
      <c r="CF144" s="452"/>
      <c r="CG144" s="452"/>
      <c r="CH144" s="422"/>
      <c r="CI144" s="422"/>
      <c r="CJ144" s="422"/>
      <c r="CK144" s="421"/>
      <c r="CL144" s="421" t="s">
        <v>123</v>
      </c>
      <c r="CM144" s="423"/>
      <c r="CN144" s="421"/>
      <c r="CO144" s="423"/>
      <c r="CP144" s="421"/>
      <c r="CQ144" s="63"/>
      <c r="CR144" s="63"/>
      <c r="CS144" s="63"/>
      <c r="CT144" s="63"/>
      <c r="CU144" s="447"/>
      <c r="CV144" s="447"/>
      <c r="CW144" s="447"/>
      <c r="CX144" s="447"/>
      <c r="CY144" s="447"/>
      <c r="CZ144" s="447"/>
      <c r="DA144" s="447"/>
      <c r="DB144" s="447"/>
      <c r="DC144" s="447"/>
      <c r="DD144" s="447"/>
      <c r="DE144" s="447"/>
      <c r="DF144" s="447"/>
      <c r="DG144" s="447"/>
      <c r="DH144" s="447"/>
      <c r="DI144" s="447"/>
      <c r="DJ144" s="447"/>
      <c r="DK144" s="447"/>
      <c r="DL144" s="67"/>
      <c r="DM144" s="67"/>
      <c r="DN144" s="67"/>
      <c r="DO144" s="67"/>
      <c r="DP144" s="67"/>
      <c r="DQ144" s="67"/>
    </row>
    <row r="145" ht="22.5" customHeight="1">
      <c r="A145" s="383"/>
      <c r="B145" s="384" t="str">
        <f>IFERROR(__xludf.DUMMYFUNCTION("IF(B$43="""","""",IF($AZ145="""","""",IFERROR(Query({CarteirasAtivos},""Select Col3 where Col1 = '""&amp;$AZ145&amp;""'and Col2 = '""&amp;S$21&amp;""'""))))"),"")</f>
        <v/>
      </c>
      <c r="C145" s="384" t="str">
        <f>IFERROR(__xludf.DUMMYFUNCTION("IF(C$43="""","""",IF($AZ145="""","""",IFERROR(Query({CarteirasAtivos},""Select Col3 where Col1 = '""&amp;$AZ145&amp;""'and Col2 = '""&amp;T$21&amp;""'""))))"),"")</f>
        <v/>
      </c>
      <c r="D145" s="384" t="str">
        <f>IFERROR(__xludf.DUMMYFUNCTION("IF(D$43="""","""",IF($AZ145="""","""",IFERROR(Query({CarteirasAtivos},""Select Col3 where Col1 = '""&amp;$AZ145&amp;""'and Col2 = '""&amp;U$21&amp;""'""))))"),"")</f>
        <v/>
      </c>
      <c r="E145" s="384" t="str">
        <f>IFERROR(__xludf.DUMMYFUNCTION("IF(E$43="""","""",IF($AZ145="""","""",IFERROR(Query({CarteirasAtivos},""Select Col3 where Col1 = '""&amp;$AZ145&amp;""'and Col2 = '""&amp;V$21&amp;""'""))))"),"")</f>
        <v/>
      </c>
      <c r="F145" s="384" t="str">
        <f>IFERROR(__xludf.DUMMYFUNCTION("IF(F$43="""","""",IF($AZ145="""","""",IFERROR(Query({CarteirasAtivos},""Select Col3 where Col1 = '""&amp;$AZ145&amp;""'and Col2 = '""&amp;W$21&amp;""'""))))"),"")</f>
        <v/>
      </c>
      <c r="G145" s="384" t="str">
        <f>IFERROR(__xludf.DUMMYFUNCTION("IF(G$43="""","""",IF($AZ145="""","""",IFERROR(Query({CarteirasAtivos},""Select Col3 where Col1 = '""&amp;$AZ145&amp;""'and Col2 = '""&amp;X$21&amp;""'""))))"),"")</f>
        <v/>
      </c>
      <c r="H145" s="384" t="str">
        <f>IFERROR(__xludf.DUMMYFUNCTION("IF(H$43="""","""",IF($AZ145="""","""",IFERROR(Query({CarteirasAtivos},""Select Col3 where Col1 = '""&amp;$AZ145&amp;""'and Col2 = '""&amp;Y$21&amp;""'""))))"),"")</f>
        <v/>
      </c>
      <c r="I145" s="384" t="str">
        <f>IFERROR(__xludf.DUMMYFUNCTION("IF(I$43="""","""",IF($AZ145="""","""",IFERROR(Query({CarteirasAtivos},""Select Col3 where Col1 = '""&amp;$AZ145&amp;""'and Col2 = '""&amp;Z$21&amp;""'""))))"),"")</f>
        <v/>
      </c>
      <c r="J145" s="384" t="str">
        <f>IFERROR(__xludf.DUMMYFUNCTION("IF(J$43="""","""",IF($AZ145="""","""",IFERROR(Query({CarteirasAtivos},""Select Col3 where Col1 = '""&amp;$AZ145&amp;""'and Col2 = '""&amp;AA$21&amp;""'""))))"),"")</f>
        <v/>
      </c>
      <c r="K145" s="384" t="str">
        <f>IFERROR(__xludf.DUMMYFUNCTION("IF(K$43="""","""",IF($AZ145="""","""",IFERROR(Query({CarteirasAtivos},""Select Col3 where Col1 = '""&amp;$AZ145&amp;""'and Col2 = '""&amp;AB$21&amp;""'""))))"),"")</f>
        <v/>
      </c>
      <c r="L145" s="385">
        <v>102.0</v>
      </c>
      <c r="M145" s="503"/>
      <c r="N145" s="387"/>
      <c r="O145" s="388" t="s">
        <v>123</v>
      </c>
      <c r="P145" s="389"/>
      <c r="Q145" s="390"/>
      <c r="R145" s="391"/>
      <c r="S145" s="392"/>
      <c r="T145" s="393"/>
      <c r="U145" s="393"/>
      <c r="V145" s="394"/>
      <c r="W145" s="395" t="str">
        <f>IFERROR(__xludf.DUMMYFUNCTION("IF(M145="""","""",sparkline(IFERROR(BF145*100/MAX($BF$44:$BF$153),0),{""charttype"",""bar"";""max"",100;""color1"",IF(BD145&gt;=0,""#4760a5"",""red"")}))"),"")</f>
        <v/>
      </c>
      <c r="X145" s="396"/>
      <c r="Y145" s="466"/>
      <c r="Z145" s="398"/>
      <c r="AA145" s="399"/>
      <c r="AB145" s="393"/>
      <c r="AC145" s="476"/>
      <c r="AD145" s="401"/>
      <c r="AE145" s="402"/>
      <c r="AF145" s="403"/>
      <c r="AG145" s="404" t="str">
        <f>IFERROR(__xludf.DUMMYFUNCTION("IF($M145="""","""",IFERROR(sparkline(query(GOOGLEFINANCE($AZ145,""price"",TODAY()-$AF$43,TODAY(),1),""select Col2 label Col2 ''""),IF($AG$43=""Gráfico de barras"",{""charttype"",""column"";""highcolor"",""red""},{""chartype"",""line""}))))"),"")</f>
        <v/>
      </c>
      <c r="AH145" s="405"/>
      <c r="AI145" s="467"/>
      <c r="AJ145" s="467"/>
      <c r="AK145" s="467"/>
      <c r="AL145" s="467"/>
      <c r="AM145" s="442"/>
      <c r="AN145" s="442"/>
      <c r="AU145" s="281"/>
      <c r="AV145" s="281"/>
      <c r="AW145" s="281"/>
      <c r="AX145" s="281"/>
      <c r="AY145" s="410">
        <v>102.0</v>
      </c>
      <c r="AZ145" s="411"/>
      <c r="BA145" s="411"/>
      <c r="BB145" s="437"/>
      <c r="BC145" s="437"/>
      <c r="BD145" s="437"/>
      <c r="BE145" s="437"/>
      <c r="BF145" s="415" t="s">
        <v>123</v>
      </c>
      <c r="BG145" s="410">
        <v>102.0</v>
      </c>
      <c r="BH145" s="416"/>
      <c r="BI145" s="416"/>
      <c r="BJ145" s="416"/>
      <c r="BK145" s="416"/>
      <c r="BL145" s="416"/>
      <c r="BM145" s="416"/>
      <c r="BN145" s="282"/>
      <c r="BO145" s="490"/>
      <c r="BP145" s="489"/>
      <c r="BQ145" s="489"/>
      <c r="BR145" s="489"/>
      <c r="BS145" s="489"/>
      <c r="BT145" s="489"/>
      <c r="BU145" s="489"/>
      <c r="BV145" s="489"/>
      <c r="BW145" s="63"/>
      <c r="BX145" s="62"/>
      <c r="BY145" s="452"/>
      <c r="BZ145" s="452"/>
      <c r="CA145" s="452"/>
      <c r="CB145" s="452"/>
      <c r="CC145" s="452"/>
      <c r="CD145" s="452"/>
      <c r="CE145" s="452"/>
      <c r="CF145" s="452"/>
      <c r="CG145" s="452"/>
      <c r="CH145" s="422"/>
      <c r="CI145" s="422"/>
      <c r="CJ145" s="422"/>
      <c r="CK145" s="421"/>
      <c r="CL145" s="421" t="s">
        <v>123</v>
      </c>
      <c r="CM145" s="423"/>
      <c r="CN145" s="421"/>
      <c r="CO145" s="423"/>
      <c r="CP145" s="421"/>
      <c r="CQ145" s="63"/>
      <c r="CR145" s="63"/>
      <c r="CS145" s="63"/>
      <c r="CT145" s="63"/>
      <c r="CU145" s="447"/>
      <c r="CV145" s="447"/>
      <c r="CW145" s="447"/>
      <c r="CX145" s="447"/>
      <c r="CY145" s="447"/>
      <c r="CZ145" s="447"/>
      <c r="DA145" s="447"/>
      <c r="DB145" s="447"/>
      <c r="DC145" s="447"/>
      <c r="DD145" s="447"/>
      <c r="DE145" s="447"/>
      <c r="DF145" s="447"/>
      <c r="DG145" s="447"/>
      <c r="DH145" s="447"/>
      <c r="DI145" s="447"/>
      <c r="DJ145" s="447"/>
      <c r="DK145" s="447"/>
      <c r="DL145" s="67"/>
      <c r="DM145" s="67"/>
      <c r="DN145" s="67"/>
      <c r="DO145" s="67"/>
      <c r="DP145" s="67"/>
      <c r="DQ145" s="67"/>
    </row>
    <row r="146" ht="22.5" customHeight="1">
      <c r="A146" s="383"/>
      <c r="B146" s="384" t="str">
        <f>IFERROR(__xludf.DUMMYFUNCTION("IF(B$43="""","""",IF($AZ146="""","""",IFERROR(Query({CarteirasAtivos},""Select Col3 where Col1 = '""&amp;$AZ146&amp;""'and Col2 = '""&amp;S$21&amp;""'""))))"),"")</f>
        <v/>
      </c>
      <c r="C146" s="384" t="str">
        <f>IFERROR(__xludf.DUMMYFUNCTION("IF(C$43="""","""",IF($AZ146="""","""",IFERROR(Query({CarteirasAtivos},""Select Col3 where Col1 = '""&amp;$AZ146&amp;""'and Col2 = '""&amp;T$21&amp;""'""))))"),"")</f>
        <v/>
      </c>
      <c r="D146" s="384" t="str">
        <f>IFERROR(__xludf.DUMMYFUNCTION("IF(D$43="""","""",IF($AZ146="""","""",IFERROR(Query({CarteirasAtivos},""Select Col3 where Col1 = '""&amp;$AZ146&amp;""'and Col2 = '""&amp;U$21&amp;""'""))))"),"")</f>
        <v/>
      </c>
      <c r="E146" s="384" t="str">
        <f>IFERROR(__xludf.DUMMYFUNCTION("IF(E$43="""","""",IF($AZ146="""","""",IFERROR(Query({CarteirasAtivos},""Select Col3 where Col1 = '""&amp;$AZ146&amp;""'and Col2 = '""&amp;V$21&amp;""'""))))"),"")</f>
        <v/>
      </c>
      <c r="F146" s="384" t="str">
        <f>IFERROR(__xludf.DUMMYFUNCTION("IF(F$43="""","""",IF($AZ146="""","""",IFERROR(Query({CarteirasAtivos},""Select Col3 where Col1 = '""&amp;$AZ146&amp;""'and Col2 = '""&amp;W$21&amp;""'""))))"),"")</f>
        <v/>
      </c>
      <c r="G146" s="384" t="str">
        <f>IFERROR(__xludf.DUMMYFUNCTION("IF(G$43="""","""",IF($AZ146="""","""",IFERROR(Query({CarteirasAtivos},""Select Col3 where Col1 = '""&amp;$AZ146&amp;""'and Col2 = '""&amp;X$21&amp;""'""))))"),"")</f>
        <v/>
      </c>
      <c r="H146" s="384" t="str">
        <f>IFERROR(__xludf.DUMMYFUNCTION("IF(H$43="""","""",IF($AZ146="""","""",IFERROR(Query({CarteirasAtivos},""Select Col3 where Col1 = '""&amp;$AZ146&amp;""'and Col2 = '""&amp;Y$21&amp;""'""))))"),"")</f>
        <v/>
      </c>
      <c r="I146" s="384" t="str">
        <f>IFERROR(__xludf.DUMMYFUNCTION("IF(I$43="""","""",IF($AZ146="""","""",IFERROR(Query({CarteirasAtivos},""Select Col3 where Col1 = '""&amp;$AZ146&amp;""'and Col2 = '""&amp;Z$21&amp;""'""))))"),"")</f>
        <v/>
      </c>
      <c r="J146" s="384" t="str">
        <f>IFERROR(__xludf.DUMMYFUNCTION("IF(J$43="""","""",IF($AZ146="""","""",IFERROR(Query({CarteirasAtivos},""Select Col3 where Col1 = '""&amp;$AZ146&amp;""'and Col2 = '""&amp;AA$21&amp;""'""))))"),"")</f>
        <v/>
      </c>
      <c r="K146" s="384" t="str">
        <f>IFERROR(__xludf.DUMMYFUNCTION("IF(K$43="""","""",IF($AZ146="""","""",IFERROR(Query({CarteirasAtivos},""Select Col3 where Col1 = '""&amp;$AZ146&amp;""'and Col2 = '""&amp;AB$21&amp;""'""))))"),"")</f>
        <v/>
      </c>
      <c r="L146" s="385">
        <v>103.0</v>
      </c>
      <c r="M146" s="503"/>
      <c r="N146" s="387"/>
      <c r="O146" s="388" t="s">
        <v>123</v>
      </c>
      <c r="P146" s="389"/>
      <c r="Q146" s="390"/>
      <c r="R146" s="391"/>
      <c r="S146" s="392"/>
      <c r="T146" s="393"/>
      <c r="U146" s="393"/>
      <c r="V146" s="394"/>
      <c r="W146" s="395" t="str">
        <f>IFERROR(__xludf.DUMMYFUNCTION("IF(M146="""","""",sparkline(IFERROR(BF146*100/MAX($BF$44:$BF$153),0),{""charttype"",""bar"";""max"",100;""color1"",IF(BD146&gt;=0,""#4760a5"",""red"")}))"),"")</f>
        <v/>
      </c>
      <c r="X146" s="396"/>
      <c r="Y146" s="466"/>
      <c r="Z146" s="398"/>
      <c r="AA146" s="399"/>
      <c r="AB146" s="393"/>
      <c r="AC146" s="476"/>
      <c r="AD146" s="401"/>
      <c r="AE146" s="402"/>
      <c r="AF146" s="403"/>
      <c r="AG146" s="404" t="str">
        <f>IFERROR(__xludf.DUMMYFUNCTION("IF($M146="""","""",IFERROR(sparkline(query(GOOGLEFINANCE($AZ146,""price"",TODAY()-$AF$43,TODAY(),1),""select Col2 label Col2 ''""),IF($AG$43=""Gráfico de barras"",{""charttype"",""column"";""highcolor"",""red""},{""chartype"",""line""}))))"),"")</f>
        <v/>
      </c>
      <c r="AH146" s="405"/>
      <c r="AI146" s="467"/>
      <c r="AJ146" s="467"/>
      <c r="AK146" s="467"/>
      <c r="AL146" s="467"/>
      <c r="AM146" s="442"/>
      <c r="AN146" s="442"/>
      <c r="AU146" s="281"/>
      <c r="AV146" s="281"/>
      <c r="AW146" s="281"/>
      <c r="AX146" s="281"/>
      <c r="AY146" s="410">
        <v>103.0</v>
      </c>
      <c r="AZ146" s="411"/>
      <c r="BA146" s="411"/>
      <c r="BB146" s="437"/>
      <c r="BC146" s="437"/>
      <c r="BD146" s="437"/>
      <c r="BE146" s="437"/>
      <c r="BF146" s="415" t="s">
        <v>123</v>
      </c>
      <c r="BG146" s="410">
        <v>103.0</v>
      </c>
      <c r="BH146" s="416"/>
      <c r="BI146" s="416"/>
      <c r="BJ146" s="416"/>
      <c r="BK146" s="416"/>
      <c r="BL146" s="416"/>
      <c r="BM146" s="416"/>
      <c r="BN146" s="282"/>
      <c r="BO146" s="490"/>
      <c r="BP146" s="489"/>
      <c r="BQ146" s="489"/>
      <c r="BR146" s="489"/>
      <c r="BS146" s="489"/>
      <c r="BT146" s="489"/>
      <c r="BU146" s="489"/>
      <c r="BV146" s="489"/>
      <c r="BW146" s="63"/>
      <c r="BX146" s="62"/>
      <c r="BY146" s="452"/>
      <c r="BZ146" s="452"/>
      <c r="CA146" s="452"/>
      <c r="CB146" s="452"/>
      <c r="CC146" s="452"/>
      <c r="CD146" s="452"/>
      <c r="CE146" s="452"/>
      <c r="CF146" s="452"/>
      <c r="CG146" s="452"/>
      <c r="CH146" s="422"/>
      <c r="CI146" s="422"/>
      <c r="CJ146" s="422"/>
      <c r="CK146" s="421"/>
      <c r="CL146" s="421" t="s">
        <v>123</v>
      </c>
      <c r="CM146" s="423"/>
      <c r="CN146" s="421"/>
      <c r="CO146" s="423"/>
      <c r="CP146" s="421"/>
      <c r="CQ146" s="63"/>
      <c r="CR146" s="63"/>
      <c r="CS146" s="63"/>
      <c r="CT146" s="63"/>
      <c r="CU146" s="447"/>
      <c r="CV146" s="447"/>
      <c r="CW146" s="447"/>
      <c r="CX146" s="447"/>
      <c r="CY146" s="447"/>
      <c r="CZ146" s="447"/>
      <c r="DA146" s="447"/>
      <c r="DB146" s="447"/>
      <c r="DC146" s="447"/>
      <c r="DD146" s="447"/>
      <c r="DE146" s="447"/>
      <c r="DF146" s="447"/>
      <c r="DG146" s="447"/>
      <c r="DH146" s="447"/>
      <c r="DI146" s="447"/>
      <c r="DJ146" s="447"/>
      <c r="DK146" s="447"/>
      <c r="DL146" s="67"/>
      <c r="DM146" s="67"/>
      <c r="DN146" s="67"/>
      <c r="DO146" s="67"/>
      <c r="DP146" s="67"/>
      <c r="DQ146" s="67"/>
    </row>
    <row r="147" ht="22.5" customHeight="1">
      <c r="A147" s="383"/>
      <c r="B147" s="384" t="str">
        <f>IFERROR(__xludf.DUMMYFUNCTION("IF(B$43="""","""",IF($AZ147="""","""",IFERROR(Query({CarteirasAtivos},""Select Col3 where Col1 = '""&amp;$AZ147&amp;""'and Col2 = '""&amp;S$21&amp;""'""))))"),"")</f>
        <v/>
      </c>
      <c r="C147" s="384" t="str">
        <f>IFERROR(__xludf.DUMMYFUNCTION("IF(C$43="""","""",IF($AZ147="""","""",IFERROR(Query({CarteirasAtivos},""Select Col3 where Col1 = '""&amp;$AZ147&amp;""'and Col2 = '""&amp;T$21&amp;""'""))))"),"")</f>
        <v/>
      </c>
      <c r="D147" s="384" t="str">
        <f>IFERROR(__xludf.DUMMYFUNCTION("IF(D$43="""","""",IF($AZ147="""","""",IFERROR(Query({CarteirasAtivos},""Select Col3 where Col1 = '""&amp;$AZ147&amp;""'and Col2 = '""&amp;U$21&amp;""'""))))"),"")</f>
        <v/>
      </c>
      <c r="E147" s="384" t="str">
        <f>IFERROR(__xludf.DUMMYFUNCTION("IF(E$43="""","""",IF($AZ147="""","""",IFERROR(Query({CarteirasAtivos},""Select Col3 where Col1 = '""&amp;$AZ147&amp;""'and Col2 = '""&amp;V$21&amp;""'""))))"),"")</f>
        <v/>
      </c>
      <c r="F147" s="384" t="str">
        <f>IFERROR(__xludf.DUMMYFUNCTION("IF(F$43="""","""",IF($AZ147="""","""",IFERROR(Query({CarteirasAtivos},""Select Col3 where Col1 = '""&amp;$AZ147&amp;""'and Col2 = '""&amp;W$21&amp;""'""))))"),"")</f>
        <v/>
      </c>
      <c r="G147" s="384" t="str">
        <f>IFERROR(__xludf.DUMMYFUNCTION("IF(G$43="""","""",IF($AZ147="""","""",IFERROR(Query({CarteirasAtivos},""Select Col3 where Col1 = '""&amp;$AZ147&amp;""'and Col2 = '""&amp;X$21&amp;""'""))))"),"")</f>
        <v/>
      </c>
      <c r="H147" s="384" t="str">
        <f>IFERROR(__xludf.DUMMYFUNCTION("IF(H$43="""","""",IF($AZ147="""","""",IFERROR(Query({CarteirasAtivos},""Select Col3 where Col1 = '""&amp;$AZ147&amp;""'and Col2 = '""&amp;Y$21&amp;""'""))))"),"")</f>
        <v/>
      </c>
      <c r="I147" s="384" t="str">
        <f>IFERROR(__xludf.DUMMYFUNCTION("IF(I$43="""","""",IF($AZ147="""","""",IFERROR(Query({CarteirasAtivos},""Select Col3 where Col1 = '""&amp;$AZ147&amp;""'and Col2 = '""&amp;Z$21&amp;""'""))))"),"")</f>
        <v/>
      </c>
      <c r="J147" s="384" t="str">
        <f>IFERROR(__xludf.DUMMYFUNCTION("IF(J$43="""","""",IF($AZ147="""","""",IFERROR(Query({CarteirasAtivos},""Select Col3 where Col1 = '""&amp;$AZ147&amp;""'and Col2 = '""&amp;AA$21&amp;""'""))))"),"")</f>
        <v/>
      </c>
      <c r="K147" s="384" t="str">
        <f>IFERROR(__xludf.DUMMYFUNCTION("IF(K$43="""","""",IF($AZ147="""","""",IFERROR(Query({CarteirasAtivos},""Select Col3 where Col1 = '""&amp;$AZ147&amp;""'and Col2 = '""&amp;AB$21&amp;""'""))))"),"")</f>
        <v/>
      </c>
      <c r="L147" s="385">
        <v>104.0</v>
      </c>
      <c r="M147" s="503"/>
      <c r="N147" s="387"/>
      <c r="O147" s="388" t="s">
        <v>123</v>
      </c>
      <c r="P147" s="389"/>
      <c r="Q147" s="390"/>
      <c r="R147" s="391"/>
      <c r="S147" s="392"/>
      <c r="T147" s="393"/>
      <c r="U147" s="393"/>
      <c r="V147" s="394"/>
      <c r="W147" s="395" t="str">
        <f>IFERROR(__xludf.DUMMYFUNCTION("IF(M147="""","""",sparkline(IFERROR(BF147*100/MAX($BF$44:$BF$153),0),{""charttype"",""bar"";""max"",100;""color1"",IF(BD147&gt;=0,""#4760a5"",""red"")}))"),"")</f>
        <v/>
      </c>
      <c r="X147" s="396"/>
      <c r="Y147" s="466"/>
      <c r="Z147" s="398"/>
      <c r="AA147" s="399"/>
      <c r="AB147" s="393"/>
      <c r="AC147" s="476"/>
      <c r="AD147" s="401"/>
      <c r="AE147" s="402"/>
      <c r="AF147" s="403"/>
      <c r="AG147" s="404" t="str">
        <f>IFERROR(__xludf.DUMMYFUNCTION("IF($M147="""","""",IFERROR(sparkline(query(GOOGLEFINANCE($AZ147,""price"",TODAY()-$AF$43,TODAY(),1),""select Col2 label Col2 ''""),IF($AG$43=""Gráfico de barras"",{""charttype"",""column"";""highcolor"",""red""},{""chartype"",""line""}))))"),"")</f>
        <v/>
      </c>
      <c r="AH147" s="405"/>
      <c r="AI147" s="467"/>
      <c r="AJ147" s="467"/>
      <c r="AK147" s="467"/>
      <c r="AL147" s="467"/>
      <c r="AM147" s="442"/>
      <c r="AN147" s="442"/>
      <c r="AU147" s="281"/>
      <c r="AV147" s="281"/>
      <c r="AW147" s="281"/>
      <c r="AX147" s="281"/>
      <c r="AY147" s="410">
        <v>104.0</v>
      </c>
      <c r="AZ147" s="411"/>
      <c r="BA147" s="411"/>
      <c r="BB147" s="437"/>
      <c r="BC147" s="437"/>
      <c r="BD147" s="437"/>
      <c r="BE147" s="437"/>
      <c r="BF147" s="415" t="s">
        <v>123</v>
      </c>
      <c r="BG147" s="410">
        <v>104.0</v>
      </c>
      <c r="BH147" s="416"/>
      <c r="BI147" s="416"/>
      <c r="BJ147" s="416"/>
      <c r="BK147" s="416"/>
      <c r="BL147" s="416"/>
      <c r="BM147" s="416"/>
      <c r="BN147" s="282"/>
      <c r="BO147" s="490"/>
      <c r="BP147" s="489"/>
      <c r="BQ147" s="489"/>
      <c r="BR147" s="489"/>
      <c r="BS147" s="489"/>
      <c r="BT147" s="489"/>
      <c r="BU147" s="489"/>
      <c r="BV147" s="489"/>
      <c r="BW147" s="63"/>
      <c r="BX147" s="62"/>
      <c r="BY147" s="452"/>
      <c r="BZ147" s="452"/>
      <c r="CA147" s="452"/>
      <c r="CB147" s="452"/>
      <c r="CC147" s="452"/>
      <c r="CD147" s="452"/>
      <c r="CE147" s="452"/>
      <c r="CF147" s="452"/>
      <c r="CG147" s="452"/>
      <c r="CH147" s="422"/>
      <c r="CI147" s="422"/>
      <c r="CJ147" s="422"/>
      <c r="CK147" s="421"/>
      <c r="CL147" s="421" t="s">
        <v>123</v>
      </c>
      <c r="CM147" s="423"/>
      <c r="CN147" s="421"/>
      <c r="CO147" s="423"/>
      <c r="CP147" s="421"/>
      <c r="CQ147" s="63"/>
      <c r="CR147" s="63"/>
      <c r="CS147" s="63"/>
      <c r="CT147" s="63"/>
      <c r="CU147" s="447"/>
      <c r="CV147" s="447"/>
      <c r="CW147" s="447"/>
      <c r="CX147" s="447"/>
      <c r="CY147" s="447"/>
      <c r="CZ147" s="447"/>
      <c r="DA147" s="447"/>
      <c r="DB147" s="447"/>
      <c r="DC147" s="447"/>
      <c r="DD147" s="447"/>
      <c r="DE147" s="447"/>
      <c r="DF147" s="447"/>
      <c r="DG147" s="447"/>
      <c r="DH147" s="447"/>
      <c r="DI147" s="447"/>
      <c r="DJ147" s="447"/>
      <c r="DK147" s="447"/>
      <c r="DL147" s="67"/>
      <c r="DM147" s="67"/>
      <c r="DN147" s="67"/>
      <c r="DO147" s="67"/>
      <c r="DP147" s="67"/>
      <c r="DQ147" s="67"/>
    </row>
    <row r="148" ht="22.5" customHeight="1">
      <c r="A148" s="383"/>
      <c r="B148" s="384" t="str">
        <f>IFERROR(__xludf.DUMMYFUNCTION("IF(B$43="""","""",IF($AZ148="""","""",IFERROR(Query({CarteirasAtivos},""Select Col3 where Col1 = '""&amp;$AZ148&amp;""'and Col2 = '""&amp;S$21&amp;""'""))))"),"")</f>
        <v/>
      </c>
      <c r="C148" s="384" t="str">
        <f>IFERROR(__xludf.DUMMYFUNCTION("IF(C$43="""","""",IF($AZ148="""","""",IFERROR(Query({CarteirasAtivos},""Select Col3 where Col1 = '""&amp;$AZ148&amp;""'and Col2 = '""&amp;T$21&amp;""'""))))"),"")</f>
        <v/>
      </c>
      <c r="D148" s="384" t="str">
        <f>IFERROR(__xludf.DUMMYFUNCTION("IF(D$43="""","""",IF($AZ148="""","""",IFERROR(Query({CarteirasAtivos},""Select Col3 where Col1 = '""&amp;$AZ148&amp;""'and Col2 = '""&amp;U$21&amp;""'""))))"),"")</f>
        <v/>
      </c>
      <c r="E148" s="384" t="str">
        <f>IFERROR(__xludf.DUMMYFUNCTION("IF(E$43="""","""",IF($AZ148="""","""",IFERROR(Query({CarteirasAtivos},""Select Col3 where Col1 = '""&amp;$AZ148&amp;""'and Col2 = '""&amp;V$21&amp;""'""))))"),"")</f>
        <v/>
      </c>
      <c r="F148" s="384" t="str">
        <f>IFERROR(__xludf.DUMMYFUNCTION("IF(F$43="""","""",IF($AZ148="""","""",IFERROR(Query({CarteirasAtivos},""Select Col3 where Col1 = '""&amp;$AZ148&amp;""'and Col2 = '""&amp;W$21&amp;""'""))))"),"")</f>
        <v/>
      </c>
      <c r="G148" s="384" t="str">
        <f>IFERROR(__xludf.DUMMYFUNCTION("IF(G$43="""","""",IF($AZ148="""","""",IFERROR(Query({CarteirasAtivos},""Select Col3 where Col1 = '""&amp;$AZ148&amp;""'and Col2 = '""&amp;X$21&amp;""'""))))"),"")</f>
        <v/>
      </c>
      <c r="H148" s="384" t="str">
        <f>IFERROR(__xludf.DUMMYFUNCTION("IF(H$43="""","""",IF($AZ148="""","""",IFERROR(Query({CarteirasAtivos},""Select Col3 where Col1 = '""&amp;$AZ148&amp;""'and Col2 = '""&amp;Y$21&amp;""'""))))"),"")</f>
        <v/>
      </c>
      <c r="I148" s="384" t="str">
        <f>IFERROR(__xludf.DUMMYFUNCTION("IF(I$43="""","""",IF($AZ148="""","""",IFERROR(Query({CarteirasAtivos},""Select Col3 where Col1 = '""&amp;$AZ148&amp;""'and Col2 = '""&amp;Z$21&amp;""'""))))"),"")</f>
        <v/>
      </c>
      <c r="J148" s="384" t="str">
        <f>IFERROR(__xludf.DUMMYFUNCTION("IF(J$43="""","""",IF($AZ148="""","""",IFERROR(Query({CarteirasAtivos},""Select Col3 where Col1 = '""&amp;$AZ148&amp;""'and Col2 = '""&amp;AA$21&amp;""'""))))"),"")</f>
        <v/>
      </c>
      <c r="K148" s="384" t="str">
        <f>IFERROR(__xludf.DUMMYFUNCTION("IF(K$43="""","""",IF($AZ148="""","""",IFERROR(Query({CarteirasAtivos},""Select Col3 where Col1 = '""&amp;$AZ148&amp;""'and Col2 = '""&amp;AB$21&amp;""'""))))"),"")</f>
        <v/>
      </c>
      <c r="L148" s="385">
        <v>105.0</v>
      </c>
      <c r="M148" s="503"/>
      <c r="N148" s="387"/>
      <c r="O148" s="388" t="s">
        <v>123</v>
      </c>
      <c r="P148" s="389"/>
      <c r="Q148" s="390"/>
      <c r="R148" s="391"/>
      <c r="S148" s="392"/>
      <c r="T148" s="393"/>
      <c r="U148" s="393"/>
      <c r="V148" s="394"/>
      <c r="W148" s="395" t="str">
        <f>IFERROR(__xludf.DUMMYFUNCTION("IF(M148="""","""",sparkline(IFERROR(BF148*100/MAX($BF$44:$BF$153),0),{""charttype"",""bar"";""max"",100;""color1"",IF(BD148&gt;=0,""#4760a5"",""red"")}))"),"")</f>
        <v/>
      </c>
      <c r="X148" s="396"/>
      <c r="Y148" s="466"/>
      <c r="Z148" s="398"/>
      <c r="AA148" s="399"/>
      <c r="AB148" s="393"/>
      <c r="AC148" s="476"/>
      <c r="AD148" s="401"/>
      <c r="AE148" s="402"/>
      <c r="AF148" s="403"/>
      <c r="AG148" s="404" t="str">
        <f>IFERROR(__xludf.DUMMYFUNCTION("IF($M148="""","""",IFERROR(sparkline(query(GOOGLEFINANCE($AZ148,""price"",TODAY()-$AF$43,TODAY(),1),""select Col2 label Col2 ''""),IF($AG$43=""Gráfico de barras"",{""charttype"",""column"";""highcolor"",""red""},{""chartype"",""line""}))))"),"")</f>
        <v/>
      </c>
      <c r="AH148" s="405"/>
      <c r="AI148" s="467"/>
      <c r="AJ148" s="467"/>
      <c r="AK148" s="467"/>
      <c r="AL148" s="467"/>
      <c r="AM148" s="442"/>
      <c r="AN148" s="442"/>
      <c r="AU148" s="281"/>
      <c r="AV148" s="281"/>
      <c r="AW148" s="281"/>
      <c r="AX148" s="281"/>
      <c r="AY148" s="410">
        <v>105.0</v>
      </c>
      <c r="AZ148" s="411"/>
      <c r="BA148" s="411"/>
      <c r="BB148" s="437"/>
      <c r="BC148" s="437"/>
      <c r="BD148" s="437"/>
      <c r="BE148" s="437"/>
      <c r="BF148" s="415" t="s">
        <v>123</v>
      </c>
      <c r="BG148" s="410">
        <v>105.0</v>
      </c>
      <c r="BH148" s="416"/>
      <c r="BI148" s="416"/>
      <c r="BJ148" s="416"/>
      <c r="BK148" s="416"/>
      <c r="BL148" s="416"/>
      <c r="BM148" s="416"/>
      <c r="BN148" s="282"/>
      <c r="BO148" s="490"/>
      <c r="BP148" s="489"/>
      <c r="BQ148" s="489"/>
      <c r="BR148" s="489"/>
      <c r="BS148" s="489"/>
      <c r="BT148" s="489"/>
      <c r="BU148" s="489"/>
      <c r="BV148" s="489"/>
      <c r="BW148" s="63"/>
      <c r="BX148" s="62"/>
      <c r="BY148" s="452"/>
      <c r="BZ148" s="452"/>
      <c r="CA148" s="452"/>
      <c r="CB148" s="452"/>
      <c r="CC148" s="452"/>
      <c r="CD148" s="452"/>
      <c r="CE148" s="452"/>
      <c r="CF148" s="452"/>
      <c r="CG148" s="452"/>
      <c r="CH148" s="422"/>
      <c r="CI148" s="422"/>
      <c r="CJ148" s="422"/>
      <c r="CK148" s="421"/>
      <c r="CL148" s="421" t="s">
        <v>123</v>
      </c>
      <c r="CM148" s="423"/>
      <c r="CN148" s="421"/>
      <c r="CO148" s="423"/>
      <c r="CP148" s="421"/>
      <c r="CQ148" s="63"/>
      <c r="CR148" s="63"/>
      <c r="CS148" s="63"/>
      <c r="CT148" s="63"/>
      <c r="CU148" s="447"/>
      <c r="CV148" s="447"/>
      <c r="CW148" s="447"/>
      <c r="CX148" s="447"/>
      <c r="CY148" s="447"/>
      <c r="CZ148" s="447"/>
      <c r="DA148" s="447"/>
      <c r="DB148" s="447"/>
      <c r="DC148" s="447"/>
      <c r="DD148" s="447"/>
      <c r="DE148" s="447"/>
      <c r="DF148" s="447"/>
      <c r="DG148" s="447"/>
      <c r="DH148" s="447"/>
      <c r="DI148" s="447"/>
      <c r="DJ148" s="447"/>
      <c r="DK148" s="447"/>
      <c r="DL148" s="67"/>
      <c r="DM148" s="67"/>
      <c r="DN148" s="67"/>
      <c r="DO148" s="67"/>
      <c r="DP148" s="67"/>
      <c r="DQ148" s="67"/>
    </row>
    <row r="149" ht="22.5" customHeight="1">
      <c r="A149" s="383"/>
      <c r="B149" s="384" t="str">
        <f>IFERROR(__xludf.DUMMYFUNCTION("IF(B$43="""","""",IF($AZ149="""","""",IFERROR(Query({CarteirasAtivos},""Select Col3 where Col1 = '""&amp;$AZ149&amp;""'and Col2 = '""&amp;S$21&amp;""'""))))"),"")</f>
        <v/>
      </c>
      <c r="C149" s="384" t="str">
        <f>IFERROR(__xludf.DUMMYFUNCTION("IF(C$43="""","""",IF($AZ149="""","""",IFERROR(Query({CarteirasAtivos},""Select Col3 where Col1 = '""&amp;$AZ149&amp;""'and Col2 = '""&amp;T$21&amp;""'""))))"),"")</f>
        <v/>
      </c>
      <c r="D149" s="384" t="str">
        <f>IFERROR(__xludf.DUMMYFUNCTION("IF(D$43="""","""",IF($AZ149="""","""",IFERROR(Query({CarteirasAtivos},""Select Col3 where Col1 = '""&amp;$AZ149&amp;""'and Col2 = '""&amp;U$21&amp;""'""))))"),"")</f>
        <v/>
      </c>
      <c r="E149" s="384" t="str">
        <f>IFERROR(__xludf.DUMMYFUNCTION("IF(E$43="""","""",IF($AZ149="""","""",IFERROR(Query({CarteirasAtivos},""Select Col3 where Col1 = '""&amp;$AZ149&amp;""'and Col2 = '""&amp;V$21&amp;""'""))))"),"")</f>
        <v/>
      </c>
      <c r="F149" s="384" t="str">
        <f>IFERROR(__xludf.DUMMYFUNCTION("IF(F$43="""","""",IF($AZ149="""","""",IFERROR(Query({CarteirasAtivos},""Select Col3 where Col1 = '""&amp;$AZ149&amp;""'and Col2 = '""&amp;W$21&amp;""'""))))"),"")</f>
        <v/>
      </c>
      <c r="G149" s="384" t="str">
        <f>IFERROR(__xludf.DUMMYFUNCTION("IF(G$43="""","""",IF($AZ149="""","""",IFERROR(Query({CarteirasAtivos},""Select Col3 where Col1 = '""&amp;$AZ149&amp;""'and Col2 = '""&amp;X$21&amp;""'""))))"),"")</f>
        <v/>
      </c>
      <c r="H149" s="384" t="str">
        <f>IFERROR(__xludf.DUMMYFUNCTION("IF(H$43="""","""",IF($AZ149="""","""",IFERROR(Query({CarteirasAtivos},""Select Col3 where Col1 = '""&amp;$AZ149&amp;""'and Col2 = '""&amp;Y$21&amp;""'""))))"),"")</f>
        <v/>
      </c>
      <c r="I149" s="384" t="str">
        <f>IFERROR(__xludf.DUMMYFUNCTION("IF(I$43="""","""",IF($AZ149="""","""",IFERROR(Query({CarteirasAtivos},""Select Col3 where Col1 = '""&amp;$AZ149&amp;""'and Col2 = '""&amp;Z$21&amp;""'""))))"),"")</f>
        <v/>
      </c>
      <c r="J149" s="384" t="str">
        <f>IFERROR(__xludf.DUMMYFUNCTION("IF(J$43="""","""",IF($AZ149="""","""",IFERROR(Query({CarteirasAtivos},""Select Col3 where Col1 = '""&amp;$AZ149&amp;""'and Col2 = '""&amp;AA$21&amp;""'""))))"),"")</f>
        <v/>
      </c>
      <c r="K149" s="384" t="str">
        <f>IFERROR(__xludf.DUMMYFUNCTION("IF(K$43="""","""",IF($AZ149="""","""",IFERROR(Query({CarteirasAtivos},""Select Col3 where Col1 = '""&amp;$AZ149&amp;""'and Col2 = '""&amp;AB$21&amp;""'""))))"),"")</f>
        <v/>
      </c>
      <c r="L149" s="385">
        <v>106.0</v>
      </c>
      <c r="M149" s="503"/>
      <c r="N149" s="387"/>
      <c r="O149" s="388" t="s">
        <v>123</v>
      </c>
      <c r="P149" s="389"/>
      <c r="Q149" s="390"/>
      <c r="R149" s="391"/>
      <c r="S149" s="392"/>
      <c r="T149" s="393"/>
      <c r="U149" s="393"/>
      <c r="V149" s="394"/>
      <c r="W149" s="395" t="str">
        <f>IFERROR(__xludf.DUMMYFUNCTION("IF(M149="""","""",sparkline(IFERROR(BF149*100/MAX($BF$44:$BF$153),0),{""charttype"",""bar"";""max"",100;""color1"",IF(BD149&gt;=0,""#4760a5"",""red"")}))"),"")</f>
        <v/>
      </c>
      <c r="X149" s="396"/>
      <c r="Y149" s="466"/>
      <c r="Z149" s="398"/>
      <c r="AA149" s="399"/>
      <c r="AB149" s="393"/>
      <c r="AC149" s="476"/>
      <c r="AD149" s="401"/>
      <c r="AE149" s="402"/>
      <c r="AF149" s="403"/>
      <c r="AG149" s="404" t="str">
        <f>IFERROR(__xludf.DUMMYFUNCTION("IF($M149="""","""",IFERROR(sparkline(query(GOOGLEFINANCE($AZ149,""price"",TODAY()-$AF$43,TODAY(),1),""select Col2 label Col2 ''""),IF($AG$43=""Gráfico de barras"",{""charttype"",""column"";""highcolor"",""red""},{""chartype"",""line""}))))"),"")</f>
        <v/>
      </c>
      <c r="AH149" s="405"/>
      <c r="AI149" s="467"/>
      <c r="AJ149" s="467"/>
      <c r="AK149" s="467"/>
      <c r="AL149" s="467"/>
      <c r="AM149" s="442"/>
      <c r="AN149" s="442"/>
      <c r="AU149" s="281"/>
      <c r="AV149" s="281"/>
      <c r="AW149" s="281"/>
      <c r="AX149" s="281"/>
      <c r="AY149" s="410">
        <v>106.0</v>
      </c>
      <c r="AZ149" s="411"/>
      <c r="BA149" s="411"/>
      <c r="BB149" s="437"/>
      <c r="BC149" s="437"/>
      <c r="BD149" s="437"/>
      <c r="BE149" s="437"/>
      <c r="BF149" s="415" t="s">
        <v>123</v>
      </c>
      <c r="BG149" s="410">
        <v>106.0</v>
      </c>
      <c r="BH149" s="416"/>
      <c r="BI149" s="416"/>
      <c r="BJ149" s="416"/>
      <c r="BK149" s="416"/>
      <c r="BL149" s="416"/>
      <c r="BM149" s="416"/>
      <c r="BN149" s="282"/>
      <c r="BO149" s="490"/>
      <c r="BP149" s="489"/>
      <c r="BQ149" s="489"/>
      <c r="BR149" s="489"/>
      <c r="BS149" s="489"/>
      <c r="BT149" s="489"/>
      <c r="BU149" s="489"/>
      <c r="BV149" s="489"/>
      <c r="BW149" s="63"/>
      <c r="BX149" s="62"/>
      <c r="BY149" s="452"/>
      <c r="BZ149" s="452"/>
      <c r="CA149" s="452"/>
      <c r="CB149" s="452"/>
      <c r="CC149" s="452"/>
      <c r="CD149" s="452"/>
      <c r="CE149" s="452"/>
      <c r="CF149" s="452"/>
      <c r="CG149" s="452"/>
      <c r="CH149" s="422"/>
      <c r="CI149" s="422"/>
      <c r="CJ149" s="422"/>
      <c r="CK149" s="421"/>
      <c r="CL149" s="421" t="s">
        <v>123</v>
      </c>
      <c r="CM149" s="423"/>
      <c r="CN149" s="421"/>
      <c r="CO149" s="423"/>
      <c r="CP149" s="421"/>
      <c r="CQ149" s="63"/>
      <c r="CR149" s="63"/>
      <c r="CS149" s="63"/>
      <c r="CT149" s="63"/>
      <c r="CU149" s="447"/>
      <c r="CV149" s="447"/>
      <c r="CW149" s="447"/>
      <c r="CX149" s="447"/>
      <c r="CY149" s="447"/>
      <c r="CZ149" s="447"/>
      <c r="DA149" s="447"/>
      <c r="DB149" s="447"/>
      <c r="DC149" s="447"/>
      <c r="DD149" s="447"/>
      <c r="DE149" s="447"/>
      <c r="DF149" s="447"/>
      <c r="DG149" s="447"/>
      <c r="DH149" s="447"/>
      <c r="DI149" s="447"/>
      <c r="DJ149" s="447"/>
      <c r="DK149" s="447"/>
      <c r="DL149" s="67"/>
      <c r="DM149" s="67"/>
      <c r="DN149" s="67"/>
      <c r="DO149" s="67"/>
      <c r="DP149" s="67"/>
      <c r="DQ149" s="67"/>
    </row>
    <row r="150" ht="22.5" customHeight="1">
      <c r="A150" s="383"/>
      <c r="B150" s="384" t="str">
        <f>IFERROR(__xludf.DUMMYFUNCTION("IF(B$43="""","""",IF($AZ150="""","""",IFERROR(Query({CarteirasAtivos},""Select Col3 where Col1 = '""&amp;$AZ150&amp;""'and Col2 = '""&amp;S$21&amp;""'""))))"),"")</f>
        <v/>
      </c>
      <c r="C150" s="384" t="str">
        <f>IFERROR(__xludf.DUMMYFUNCTION("IF(C$43="""","""",IF($AZ150="""","""",IFERROR(Query({CarteirasAtivos},""Select Col3 where Col1 = '""&amp;$AZ150&amp;""'and Col2 = '""&amp;T$21&amp;""'""))))"),"")</f>
        <v/>
      </c>
      <c r="D150" s="384" t="str">
        <f>IFERROR(__xludf.DUMMYFUNCTION("IF(D$43="""","""",IF($AZ150="""","""",IFERROR(Query({CarteirasAtivos},""Select Col3 where Col1 = '""&amp;$AZ150&amp;""'and Col2 = '""&amp;U$21&amp;""'""))))"),"")</f>
        <v/>
      </c>
      <c r="E150" s="384" t="str">
        <f>IFERROR(__xludf.DUMMYFUNCTION("IF(E$43="""","""",IF($AZ150="""","""",IFERROR(Query({CarteirasAtivos},""Select Col3 where Col1 = '""&amp;$AZ150&amp;""'and Col2 = '""&amp;V$21&amp;""'""))))"),"")</f>
        <v/>
      </c>
      <c r="F150" s="384" t="str">
        <f>IFERROR(__xludf.DUMMYFUNCTION("IF(F$43="""","""",IF($AZ150="""","""",IFERROR(Query({CarteirasAtivos},""Select Col3 where Col1 = '""&amp;$AZ150&amp;""'and Col2 = '""&amp;W$21&amp;""'""))))"),"")</f>
        <v/>
      </c>
      <c r="G150" s="384" t="str">
        <f>IFERROR(__xludf.DUMMYFUNCTION("IF(G$43="""","""",IF($AZ150="""","""",IFERROR(Query({CarteirasAtivos},""Select Col3 where Col1 = '""&amp;$AZ150&amp;""'and Col2 = '""&amp;X$21&amp;""'""))))"),"")</f>
        <v/>
      </c>
      <c r="H150" s="384" t="str">
        <f>IFERROR(__xludf.DUMMYFUNCTION("IF(H$43="""","""",IF($AZ150="""","""",IFERROR(Query({CarteirasAtivos},""Select Col3 where Col1 = '""&amp;$AZ150&amp;""'and Col2 = '""&amp;Y$21&amp;""'""))))"),"")</f>
        <v/>
      </c>
      <c r="I150" s="384" t="str">
        <f>IFERROR(__xludf.DUMMYFUNCTION("IF(I$43="""","""",IF($AZ150="""","""",IFERROR(Query({CarteirasAtivos},""Select Col3 where Col1 = '""&amp;$AZ150&amp;""'and Col2 = '""&amp;Z$21&amp;""'""))))"),"")</f>
        <v/>
      </c>
      <c r="J150" s="384" t="str">
        <f>IFERROR(__xludf.DUMMYFUNCTION("IF(J$43="""","""",IF($AZ150="""","""",IFERROR(Query({CarteirasAtivos},""Select Col3 where Col1 = '""&amp;$AZ150&amp;""'and Col2 = '""&amp;AA$21&amp;""'""))))"),"")</f>
        <v/>
      </c>
      <c r="K150" s="384" t="str">
        <f>IFERROR(__xludf.DUMMYFUNCTION("IF(K$43="""","""",IF($AZ150="""","""",IFERROR(Query({CarteirasAtivos},""Select Col3 where Col1 = '""&amp;$AZ150&amp;""'and Col2 = '""&amp;AB$21&amp;""'""))))"),"")</f>
        <v/>
      </c>
      <c r="L150" s="385">
        <v>107.0</v>
      </c>
      <c r="M150" s="503"/>
      <c r="N150" s="387"/>
      <c r="O150" s="388" t="s">
        <v>123</v>
      </c>
      <c r="P150" s="389"/>
      <c r="Q150" s="390"/>
      <c r="R150" s="391"/>
      <c r="S150" s="392"/>
      <c r="T150" s="393"/>
      <c r="U150" s="393"/>
      <c r="V150" s="394"/>
      <c r="W150" s="395" t="str">
        <f>IFERROR(__xludf.DUMMYFUNCTION("IF(M150="""","""",sparkline(IFERROR(BF150*100/MAX($BF$44:$BF$153),0),{""charttype"",""bar"";""max"",100;""color1"",IF(BD150&gt;=0,""#4760a5"",""red"")}))"),"")</f>
        <v/>
      </c>
      <c r="X150" s="396"/>
      <c r="Y150" s="466"/>
      <c r="Z150" s="398"/>
      <c r="AA150" s="399"/>
      <c r="AB150" s="393"/>
      <c r="AC150" s="476"/>
      <c r="AD150" s="401"/>
      <c r="AE150" s="402"/>
      <c r="AF150" s="403"/>
      <c r="AG150" s="404" t="str">
        <f>IFERROR(__xludf.DUMMYFUNCTION("IF($M150="""","""",IFERROR(sparkline(query(GOOGLEFINANCE($AZ150,""price"",TODAY()-$AF$43,TODAY(),1),""select Col2 label Col2 ''""),IF($AG$43=""Gráfico de barras"",{""charttype"",""column"";""highcolor"",""red""},{""chartype"",""line""}))))"),"")</f>
        <v/>
      </c>
      <c r="AH150" s="405"/>
      <c r="AI150" s="467"/>
      <c r="AJ150" s="467"/>
      <c r="AK150" s="467"/>
      <c r="AL150" s="467"/>
      <c r="AM150" s="442"/>
      <c r="AN150" s="442"/>
      <c r="AU150" s="281"/>
      <c r="AV150" s="281"/>
      <c r="AW150" s="281"/>
      <c r="AX150" s="281"/>
      <c r="AY150" s="410">
        <v>107.0</v>
      </c>
      <c r="AZ150" s="411"/>
      <c r="BA150" s="411"/>
      <c r="BB150" s="437"/>
      <c r="BC150" s="437"/>
      <c r="BD150" s="437"/>
      <c r="BE150" s="437"/>
      <c r="BF150" s="415" t="s">
        <v>123</v>
      </c>
      <c r="BG150" s="410">
        <v>107.0</v>
      </c>
      <c r="BH150" s="416"/>
      <c r="BI150" s="416"/>
      <c r="BJ150" s="416"/>
      <c r="BK150" s="416"/>
      <c r="BL150" s="416"/>
      <c r="BM150" s="416"/>
      <c r="BN150" s="282"/>
      <c r="BO150" s="490"/>
      <c r="BP150" s="489"/>
      <c r="BQ150" s="489"/>
      <c r="BR150" s="489"/>
      <c r="BS150" s="489"/>
      <c r="BT150" s="489"/>
      <c r="BU150" s="489"/>
      <c r="BV150" s="489"/>
      <c r="BW150" s="63"/>
      <c r="BX150" s="62"/>
      <c r="BY150" s="452"/>
      <c r="BZ150" s="452"/>
      <c r="CA150" s="452"/>
      <c r="CB150" s="452"/>
      <c r="CC150" s="452"/>
      <c r="CD150" s="452"/>
      <c r="CE150" s="452"/>
      <c r="CF150" s="452"/>
      <c r="CG150" s="452"/>
      <c r="CH150" s="422"/>
      <c r="CI150" s="422"/>
      <c r="CJ150" s="422"/>
      <c r="CK150" s="421"/>
      <c r="CL150" s="421" t="s">
        <v>123</v>
      </c>
      <c r="CM150" s="423"/>
      <c r="CN150" s="421"/>
      <c r="CO150" s="423"/>
      <c r="CP150" s="421"/>
      <c r="CQ150" s="63"/>
      <c r="CR150" s="63"/>
      <c r="CS150" s="63"/>
      <c r="CT150" s="63"/>
      <c r="CU150" s="447"/>
      <c r="CV150" s="447"/>
      <c r="CW150" s="447"/>
      <c r="CX150" s="447"/>
      <c r="CY150" s="447"/>
      <c r="CZ150" s="447"/>
      <c r="DA150" s="447"/>
      <c r="DB150" s="447"/>
      <c r="DC150" s="447"/>
      <c r="DD150" s="447"/>
      <c r="DE150" s="447"/>
      <c r="DF150" s="447"/>
      <c r="DG150" s="447"/>
      <c r="DH150" s="447"/>
      <c r="DI150" s="447"/>
      <c r="DJ150" s="447"/>
      <c r="DK150" s="447"/>
      <c r="DL150" s="67"/>
      <c r="DM150" s="67"/>
      <c r="DN150" s="67"/>
      <c r="DO150" s="67"/>
      <c r="DP150" s="67"/>
      <c r="DQ150" s="67"/>
    </row>
    <row r="151" ht="22.5" customHeight="1">
      <c r="A151" s="383"/>
      <c r="B151" s="384" t="str">
        <f>IFERROR(__xludf.DUMMYFUNCTION("IF(B$43="""","""",IF($AZ151="""","""",IFERROR(Query({CarteirasAtivos},""Select Col3 where Col1 = '""&amp;$AZ151&amp;""'and Col2 = '""&amp;S$21&amp;""'""))))"),"")</f>
        <v/>
      </c>
      <c r="C151" s="384" t="str">
        <f>IFERROR(__xludf.DUMMYFUNCTION("IF(C$43="""","""",IF($AZ151="""","""",IFERROR(Query({CarteirasAtivos},""Select Col3 where Col1 = '""&amp;$AZ151&amp;""'and Col2 = '""&amp;T$21&amp;""'""))))"),"")</f>
        <v/>
      </c>
      <c r="D151" s="384" t="str">
        <f>IFERROR(__xludf.DUMMYFUNCTION("IF(D$43="""","""",IF($AZ151="""","""",IFERROR(Query({CarteirasAtivos},""Select Col3 where Col1 = '""&amp;$AZ151&amp;""'and Col2 = '""&amp;U$21&amp;""'""))))"),"")</f>
        <v/>
      </c>
      <c r="E151" s="384" t="str">
        <f>IFERROR(__xludf.DUMMYFUNCTION("IF(E$43="""","""",IF($AZ151="""","""",IFERROR(Query({CarteirasAtivos},""Select Col3 where Col1 = '""&amp;$AZ151&amp;""'and Col2 = '""&amp;V$21&amp;""'""))))"),"")</f>
        <v/>
      </c>
      <c r="F151" s="384" t="str">
        <f>IFERROR(__xludf.DUMMYFUNCTION("IF(F$43="""","""",IF($AZ151="""","""",IFERROR(Query({CarteirasAtivos},""Select Col3 where Col1 = '""&amp;$AZ151&amp;""'and Col2 = '""&amp;W$21&amp;""'""))))"),"")</f>
        <v/>
      </c>
      <c r="G151" s="384" t="str">
        <f>IFERROR(__xludf.DUMMYFUNCTION("IF(G$43="""","""",IF($AZ151="""","""",IFERROR(Query({CarteirasAtivos},""Select Col3 where Col1 = '""&amp;$AZ151&amp;""'and Col2 = '""&amp;X$21&amp;""'""))))"),"")</f>
        <v/>
      </c>
      <c r="H151" s="384" t="str">
        <f>IFERROR(__xludf.DUMMYFUNCTION("IF(H$43="""","""",IF($AZ151="""","""",IFERROR(Query({CarteirasAtivos},""Select Col3 where Col1 = '""&amp;$AZ151&amp;""'and Col2 = '""&amp;Y$21&amp;""'""))))"),"")</f>
        <v/>
      </c>
      <c r="I151" s="384" t="str">
        <f>IFERROR(__xludf.DUMMYFUNCTION("IF(I$43="""","""",IF($AZ151="""","""",IFERROR(Query({CarteirasAtivos},""Select Col3 where Col1 = '""&amp;$AZ151&amp;""'and Col2 = '""&amp;Z$21&amp;""'""))))"),"")</f>
        <v/>
      </c>
      <c r="J151" s="384" t="str">
        <f>IFERROR(__xludf.DUMMYFUNCTION("IF(J$43="""","""",IF($AZ151="""","""",IFERROR(Query({CarteirasAtivos},""Select Col3 where Col1 = '""&amp;$AZ151&amp;""'and Col2 = '""&amp;AA$21&amp;""'""))))"),"")</f>
        <v/>
      </c>
      <c r="K151" s="384" t="str">
        <f>IFERROR(__xludf.DUMMYFUNCTION("IF(K$43="""","""",IF($AZ151="""","""",IFERROR(Query({CarteirasAtivos},""Select Col3 where Col1 = '""&amp;$AZ151&amp;""'and Col2 = '""&amp;AB$21&amp;""'""))))"),"")</f>
        <v/>
      </c>
      <c r="L151" s="385">
        <v>108.0</v>
      </c>
      <c r="M151" s="503"/>
      <c r="N151" s="387"/>
      <c r="O151" s="388" t="s">
        <v>123</v>
      </c>
      <c r="P151" s="389"/>
      <c r="Q151" s="390"/>
      <c r="R151" s="391"/>
      <c r="S151" s="392"/>
      <c r="T151" s="393"/>
      <c r="U151" s="393"/>
      <c r="V151" s="394"/>
      <c r="W151" s="395" t="str">
        <f>IFERROR(__xludf.DUMMYFUNCTION("IF(M151="""","""",sparkline(IFERROR(BF151*100/MAX($BF$44:$BF$153),0),{""charttype"",""bar"";""max"",100;""color1"",IF(BD151&gt;=0,""#4760a5"",""red"")}))"),"")</f>
        <v/>
      </c>
      <c r="X151" s="396"/>
      <c r="Y151" s="466"/>
      <c r="Z151" s="398"/>
      <c r="AA151" s="399"/>
      <c r="AB151" s="393"/>
      <c r="AC151" s="476"/>
      <c r="AD151" s="401"/>
      <c r="AE151" s="402"/>
      <c r="AF151" s="403"/>
      <c r="AG151" s="404" t="str">
        <f>IFERROR(__xludf.DUMMYFUNCTION("IF($M151="""","""",IFERROR(sparkline(query(GOOGLEFINANCE($AZ151,""price"",TODAY()-$AF$43,TODAY(),1),""select Col2 label Col2 ''""),IF($AG$43=""Gráfico de barras"",{""charttype"",""column"";""highcolor"",""red""},{""chartype"",""line""}))))"),"")</f>
        <v/>
      </c>
      <c r="AH151" s="405"/>
      <c r="AI151" s="467"/>
      <c r="AJ151" s="467"/>
      <c r="AK151" s="467"/>
      <c r="AL151" s="467"/>
      <c r="AM151" s="442"/>
      <c r="AN151" s="442"/>
      <c r="AU151" s="281"/>
      <c r="AV151" s="281"/>
      <c r="AW151" s="281"/>
      <c r="AX151" s="281"/>
      <c r="AY151" s="410">
        <v>108.0</v>
      </c>
      <c r="AZ151" s="411"/>
      <c r="BA151" s="411"/>
      <c r="BB151" s="437"/>
      <c r="BC151" s="437"/>
      <c r="BD151" s="437"/>
      <c r="BE151" s="437"/>
      <c r="BF151" s="415" t="s">
        <v>123</v>
      </c>
      <c r="BG151" s="410">
        <v>108.0</v>
      </c>
      <c r="BH151" s="416"/>
      <c r="BI151" s="416"/>
      <c r="BJ151" s="416"/>
      <c r="BK151" s="416"/>
      <c r="BL151" s="416"/>
      <c r="BM151" s="416"/>
      <c r="BN151" s="282"/>
      <c r="BO151" s="490"/>
      <c r="BP151" s="489"/>
      <c r="BQ151" s="489"/>
      <c r="BR151" s="489"/>
      <c r="BS151" s="489"/>
      <c r="BT151" s="489"/>
      <c r="BU151" s="489"/>
      <c r="BV151" s="489"/>
      <c r="BW151" s="63"/>
      <c r="BX151" s="62"/>
      <c r="BY151" s="452"/>
      <c r="BZ151" s="452"/>
      <c r="CA151" s="452"/>
      <c r="CB151" s="452"/>
      <c r="CC151" s="452"/>
      <c r="CD151" s="452"/>
      <c r="CE151" s="452"/>
      <c r="CF151" s="452"/>
      <c r="CG151" s="452"/>
      <c r="CH151" s="422"/>
      <c r="CI151" s="422"/>
      <c r="CJ151" s="422"/>
      <c r="CK151" s="421"/>
      <c r="CL151" s="421" t="s">
        <v>123</v>
      </c>
      <c r="CM151" s="423"/>
      <c r="CN151" s="421"/>
      <c r="CO151" s="423"/>
      <c r="CP151" s="421"/>
      <c r="CQ151" s="63"/>
      <c r="CR151" s="63"/>
      <c r="CS151" s="63"/>
      <c r="CT151" s="63"/>
      <c r="CU151" s="447"/>
      <c r="CV151" s="447"/>
      <c r="CW151" s="447"/>
      <c r="CX151" s="447"/>
      <c r="CY151" s="447"/>
      <c r="CZ151" s="447"/>
      <c r="DA151" s="447"/>
      <c r="DB151" s="447"/>
      <c r="DC151" s="447"/>
      <c r="DD151" s="447"/>
      <c r="DE151" s="447"/>
      <c r="DF151" s="447"/>
      <c r="DG151" s="447"/>
      <c r="DH151" s="447"/>
      <c r="DI151" s="447"/>
      <c r="DJ151" s="447"/>
      <c r="DK151" s="447"/>
      <c r="DL151" s="67"/>
      <c r="DM151" s="67"/>
      <c r="DN151" s="67"/>
      <c r="DO151" s="67"/>
      <c r="DP151" s="67"/>
      <c r="DQ151" s="67"/>
    </row>
    <row r="152" ht="22.5" customHeight="1">
      <c r="A152" s="383"/>
      <c r="B152" s="384" t="str">
        <f>IFERROR(__xludf.DUMMYFUNCTION("IF(B$43="""","""",IF($AZ152="""","""",IFERROR(Query({CarteirasAtivos},""Select Col3 where Col1 = '""&amp;$AZ152&amp;""'and Col2 = '""&amp;S$21&amp;""'""))))"),"")</f>
        <v/>
      </c>
      <c r="C152" s="384" t="str">
        <f>IFERROR(__xludf.DUMMYFUNCTION("IF(C$43="""","""",IF($AZ152="""","""",IFERROR(Query({CarteirasAtivos},""Select Col3 where Col1 = '""&amp;$AZ152&amp;""'and Col2 = '""&amp;T$21&amp;""'""))))"),"")</f>
        <v/>
      </c>
      <c r="D152" s="384" t="str">
        <f>IFERROR(__xludf.DUMMYFUNCTION("IF(D$43="""","""",IF($AZ152="""","""",IFERROR(Query({CarteirasAtivos},""Select Col3 where Col1 = '""&amp;$AZ152&amp;""'and Col2 = '""&amp;U$21&amp;""'""))))"),"")</f>
        <v/>
      </c>
      <c r="E152" s="384" t="str">
        <f>IFERROR(__xludf.DUMMYFUNCTION("IF(E$43="""","""",IF($AZ152="""","""",IFERROR(Query({CarteirasAtivos},""Select Col3 where Col1 = '""&amp;$AZ152&amp;""'and Col2 = '""&amp;V$21&amp;""'""))))"),"")</f>
        <v/>
      </c>
      <c r="F152" s="384" t="str">
        <f>IFERROR(__xludf.DUMMYFUNCTION("IF(F$43="""","""",IF($AZ152="""","""",IFERROR(Query({CarteirasAtivos},""Select Col3 where Col1 = '""&amp;$AZ152&amp;""'and Col2 = '""&amp;W$21&amp;""'""))))"),"")</f>
        <v/>
      </c>
      <c r="G152" s="384" t="str">
        <f>IFERROR(__xludf.DUMMYFUNCTION("IF(G$43="""","""",IF($AZ152="""","""",IFERROR(Query({CarteirasAtivos},""Select Col3 where Col1 = '""&amp;$AZ152&amp;""'and Col2 = '""&amp;X$21&amp;""'""))))"),"")</f>
        <v/>
      </c>
      <c r="H152" s="384" t="str">
        <f>IFERROR(__xludf.DUMMYFUNCTION("IF(H$43="""","""",IF($AZ152="""","""",IFERROR(Query({CarteirasAtivos},""Select Col3 where Col1 = '""&amp;$AZ152&amp;""'and Col2 = '""&amp;Y$21&amp;""'""))))"),"")</f>
        <v/>
      </c>
      <c r="I152" s="384" t="str">
        <f>IFERROR(__xludf.DUMMYFUNCTION("IF(I$43="""","""",IF($AZ152="""","""",IFERROR(Query({CarteirasAtivos},""Select Col3 where Col1 = '""&amp;$AZ152&amp;""'and Col2 = '""&amp;Z$21&amp;""'""))))"),"")</f>
        <v/>
      </c>
      <c r="J152" s="384" t="str">
        <f>IFERROR(__xludf.DUMMYFUNCTION("IF(J$43="""","""",IF($AZ152="""","""",IFERROR(Query({CarteirasAtivos},""Select Col3 where Col1 = '""&amp;$AZ152&amp;""'and Col2 = '""&amp;AA$21&amp;""'""))))"),"")</f>
        <v/>
      </c>
      <c r="K152" s="384" t="str">
        <f>IFERROR(__xludf.DUMMYFUNCTION("IF(K$43="""","""",IF($AZ152="""","""",IFERROR(Query({CarteirasAtivos},""Select Col3 where Col1 = '""&amp;$AZ152&amp;""'and Col2 = '""&amp;AB$21&amp;""'""))))"),"")</f>
        <v/>
      </c>
      <c r="L152" s="385">
        <v>109.0</v>
      </c>
      <c r="M152" s="503"/>
      <c r="N152" s="387"/>
      <c r="O152" s="388" t="s">
        <v>123</v>
      </c>
      <c r="P152" s="389"/>
      <c r="Q152" s="390"/>
      <c r="R152" s="391"/>
      <c r="S152" s="392"/>
      <c r="T152" s="393"/>
      <c r="U152" s="393"/>
      <c r="V152" s="394"/>
      <c r="W152" s="395" t="str">
        <f>IFERROR(__xludf.DUMMYFUNCTION("IF(M152="""","""",sparkline(IFERROR(BF152*100/MAX($BF$44:$BF$153),0),{""charttype"",""bar"";""max"",100;""color1"",IF(BD152&gt;=0,""#4760a5"",""red"")}))"),"")</f>
        <v/>
      </c>
      <c r="X152" s="396"/>
      <c r="Y152" s="466"/>
      <c r="Z152" s="398"/>
      <c r="AA152" s="399"/>
      <c r="AB152" s="393"/>
      <c r="AC152" s="476"/>
      <c r="AD152" s="401"/>
      <c r="AE152" s="402"/>
      <c r="AF152" s="403"/>
      <c r="AG152" s="404" t="str">
        <f>IFERROR(__xludf.DUMMYFUNCTION("IF($M152="""","""",IFERROR(sparkline(query(GOOGLEFINANCE($AZ152,""price"",TODAY()-$AF$43,TODAY(),1),""select Col2 label Col2 ''""),IF($AG$43=""Gráfico de barras"",{""charttype"",""column"";""highcolor"",""red""},{""chartype"",""line""}))))"),"")</f>
        <v/>
      </c>
      <c r="AH152" s="405"/>
      <c r="AI152" s="467"/>
      <c r="AJ152" s="467"/>
      <c r="AK152" s="467"/>
      <c r="AL152" s="467"/>
      <c r="AM152" s="442"/>
      <c r="AN152" s="442"/>
      <c r="AU152" s="281"/>
      <c r="AV152" s="281"/>
      <c r="AW152" s="281"/>
      <c r="AX152" s="281"/>
      <c r="AY152" s="410">
        <v>109.0</v>
      </c>
      <c r="AZ152" s="411"/>
      <c r="BA152" s="411"/>
      <c r="BB152" s="437"/>
      <c r="BC152" s="437"/>
      <c r="BD152" s="437"/>
      <c r="BE152" s="437"/>
      <c r="BF152" s="415" t="s">
        <v>123</v>
      </c>
      <c r="BG152" s="410">
        <v>109.0</v>
      </c>
      <c r="BH152" s="416"/>
      <c r="BI152" s="416"/>
      <c r="BJ152" s="416"/>
      <c r="BK152" s="416"/>
      <c r="BL152" s="416"/>
      <c r="BM152" s="416"/>
      <c r="BN152" s="282"/>
      <c r="BO152" s="490"/>
      <c r="BP152" s="489"/>
      <c r="BQ152" s="489"/>
      <c r="BR152" s="489"/>
      <c r="BS152" s="489"/>
      <c r="BT152" s="489"/>
      <c r="BU152" s="489"/>
      <c r="BV152" s="489"/>
      <c r="BW152" s="63"/>
      <c r="BX152" s="62"/>
      <c r="BY152" s="452"/>
      <c r="BZ152" s="452"/>
      <c r="CA152" s="452"/>
      <c r="CB152" s="452"/>
      <c r="CC152" s="452"/>
      <c r="CD152" s="452"/>
      <c r="CE152" s="452"/>
      <c r="CF152" s="452"/>
      <c r="CG152" s="452"/>
      <c r="CH152" s="422"/>
      <c r="CI152" s="422"/>
      <c r="CJ152" s="422"/>
      <c r="CK152" s="421"/>
      <c r="CL152" s="421" t="s">
        <v>123</v>
      </c>
      <c r="CM152" s="423"/>
      <c r="CN152" s="421"/>
      <c r="CO152" s="423"/>
      <c r="CP152" s="421"/>
      <c r="CQ152" s="63"/>
      <c r="CR152" s="63"/>
      <c r="CS152" s="63"/>
      <c r="CT152" s="63"/>
      <c r="CU152" s="447"/>
      <c r="CV152" s="447"/>
      <c r="CW152" s="447"/>
      <c r="CX152" s="447"/>
      <c r="CY152" s="447"/>
      <c r="CZ152" s="447"/>
      <c r="DA152" s="447"/>
      <c r="DB152" s="447"/>
      <c r="DC152" s="447"/>
      <c r="DD152" s="447"/>
      <c r="DE152" s="447"/>
      <c r="DF152" s="447"/>
      <c r="DG152" s="447"/>
      <c r="DH152" s="447"/>
      <c r="DI152" s="447"/>
      <c r="DJ152" s="447"/>
      <c r="DK152" s="447"/>
      <c r="DL152" s="67"/>
      <c r="DM152" s="67"/>
      <c r="DN152" s="67"/>
      <c r="DO152" s="67"/>
      <c r="DP152" s="67"/>
      <c r="DQ152" s="67"/>
    </row>
    <row r="153" ht="22.5" customHeight="1">
      <c r="A153" s="383"/>
      <c r="B153" s="384" t="str">
        <f>IFERROR(__xludf.DUMMYFUNCTION("IF(B$43="""","""",IF($AZ153="""","""",IFERROR(Query({CarteirasAtivos},""Select Col3 where Col1 = '""&amp;$AZ153&amp;""'and Col2 = '""&amp;S$21&amp;""'""))))"),"")</f>
        <v/>
      </c>
      <c r="C153" s="384" t="str">
        <f>IFERROR(__xludf.DUMMYFUNCTION("IF(C$43="""","""",IF($AZ153="""","""",IFERROR(Query({CarteirasAtivos},""Select Col3 where Col1 = '""&amp;$AZ153&amp;""'and Col2 = '""&amp;T$21&amp;""'""))))"),"")</f>
        <v/>
      </c>
      <c r="D153" s="384" t="str">
        <f>IFERROR(__xludf.DUMMYFUNCTION("IF(D$43="""","""",IF($AZ153="""","""",IFERROR(Query({CarteirasAtivos},""Select Col3 where Col1 = '""&amp;$AZ153&amp;""'and Col2 = '""&amp;U$21&amp;""'""))))"),"")</f>
        <v/>
      </c>
      <c r="E153" s="384" t="str">
        <f>IFERROR(__xludf.DUMMYFUNCTION("IF(E$43="""","""",IF($AZ153="""","""",IFERROR(Query({CarteirasAtivos},""Select Col3 where Col1 = '""&amp;$AZ153&amp;""'and Col2 = '""&amp;V$21&amp;""'""))))"),"")</f>
        <v/>
      </c>
      <c r="F153" s="384" t="str">
        <f>IFERROR(__xludf.DUMMYFUNCTION("IF(F$43="""","""",IF($AZ153="""","""",IFERROR(Query({CarteirasAtivos},""Select Col3 where Col1 = '""&amp;$AZ153&amp;""'and Col2 = '""&amp;W$21&amp;""'""))))"),"")</f>
        <v/>
      </c>
      <c r="G153" s="384" t="str">
        <f>IFERROR(__xludf.DUMMYFUNCTION("IF(G$43="""","""",IF($AZ153="""","""",IFERROR(Query({CarteirasAtivos},""Select Col3 where Col1 = '""&amp;$AZ153&amp;""'and Col2 = '""&amp;X$21&amp;""'""))))"),"")</f>
        <v/>
      </c>
      <c r="H153" s="384" t="str">
        <f>IFERROR(__xludf.DUMMYFUNCTION("IF(H$43="""","""",IF($AZ153="""","""",IFERROR(Query({CarteirasAtivos},""Select Col3 where Col1 = '""&amp;$AZ153&amp;""'and Col2 = '""&amp;Y$21&amp;""'""))))"),"")</f>
        <v/>
      </c>
      <c r="I153" s="384" t="str">
        <f>IFERROR(__xludf.DUMMYFUNCTION("IF(I$43="""","""",IF($AZ153="""","""",IFERROR(Query({CarteirasAtivos},""Select Col3 where Col1 = '""&amp;$AZ153&amp;""'and Col2 = '""&amp;Z$21&amp;""'""))))"),"")</f>
        <v/>
      </c>
      <c r="J153" s="384" t="str">
        <f>IFERROR(__xludf.DUMMYFUNCTION("IF(J$43="""","""",IF($AZ153="""","""",IFERROR(Query({CarteirasAtivos},""Select Col3 where Col1 = '""&amp;$AZ153&amp;""'and Col2 = '""&amp;AA$21&amp;""'""))))"),"")</f>
        <v/>
      </c>
      <c r="K153" s="384" t="str">
        <f>IFERROR(__xludf.DUMMYFUNCTION("IF(K$43="""","""",IF($AZ153="""","""",IFERROR(Query({CarteirasAtivos},""Select Col3 where Col1 = '""&amp;$AZ153&amp;""'and Col2 = '""&amp;AB$21&amp;""'""))))"),"")</f>
        <v/>
      </c>
      <c r="L153" s="385">
        <v>110.0</v>
      </c>
      <c r="M153" s="503"/>
      <c r="N153" s="387"/>
      <c r="O153" s="388" t="s">
        <v>123</v>
      </c>
      <c r="P153" s="389"/>
      <c r="Q153" s="390"/>
      <c r="R153" s="391"/>
      <c r="S153" s="392"/>
      <c r="T153" s="393"/>
      <c r="U153" s="393"/>
      <c r="V153" s="394"/>
      <c r="W153" s="395" t="str">
        <f>IFERROR(__xludf.DUMMYFUNCTION("IF(M153="""","""",sparkline(IFERROR(BF153*100/MAX($BF$44:$BF$153),0),{""charttype"",""bar"";""max"",100;""color1"",IF(BD153&gt;=0,""#4760a5"",""red"")}))"),"")</f>
        <v/>
      </c>
      <c r="X153" s="396"/>
      <c r="Y153" s="466"/>
      <c r="Z153" s="398"/>
      <c r="AA153" s="399"/>
      <c r="AB153" s="393"/>
      <c r="AC153" s="476"/>
      <c r="AD153" s="401"/>
      <c r="AE153" s="402"/>
      <c r="AF153" s="403"/>
      <c r="AG153" s="404" t="str">
        <f>IFERROR(__xludf.DUMMYFUNCTION("IF($M153="""","""",IFERROR(sparkline(query(GOOGLEFINANCE($AZ153,""price"",TODAY()-$AF$43,TODAY(),1),""select Col2 label Col2 ''""),IF($AG$43=""Gráfico de barras"",{""charttype"",""column"";""highcolor"",""red""},{""chartype"",""line""}))))"),"")</f>
        <v/>
      </c>
      <c r="AH153" s="405"/>
      <c r="AI153" s="467"/>
      <c r="AJ153" s="467"/>
      <c r="AK153" s="467"/>
      <c r="AL153" s="467"/>
      <c r="AM153" s="442"/>
      <c r="AN153" s="442"/>
      <c r="AU153" s="281"/>
      <c r="AV153" s="281"/>
      <c r="AW153" s="281"/>
      <c r="AX153" s="281"/>
      <c r="AY153" s="410">
        <v>110.0</v>
      </c>
      <c r="AZ153" s="411"/>
      <c r="BA153" s="411"/>
      <c r="BB153" s="437"/>
      <c r="BC153" s="437"/>
      <c r="BD153" s="437"/>
      <c r="BE153" s="437"/>
      <c r="BF153" s="415" t="s">
        <v>123</v>
      </c>
      <c r="BG153" s="410">
        <v>110.0</v>
      </c>
      <c r="BH153" s="416"/>
      <c r="BI153" s="416"/>
      <c r="BJ153" s="416"/>
      <c r="BK153" s="416"/>
      <c r="BL153" s="416"/>
      <c r="BM153" s="416"/>
      <c r="BN153" s="282"/>
      <c r="BO153" s="490"/>
      <c r="BP153" s="489"/>
      <c r="BQ153" s="489"/>
      <c r="BR153" s="489"/>
      <c r="BS153" s="489"/>
      <c r="BT153" s="489"/>
      <c r="BU153" s="489"/>
      <c r="BV153" s="489"/>
      <c r="BW153" s="63"/>
      <c r="BX153" s="62"/>
      <c r="BY153" s="452"/>
      <c r="BZ153" s="452"/>
      <c r="CA153" s="452"/>
      <c r="CB153" s="452"/>
      <c r="CC153" s="452"/>
      <c r="CD153" s="452"/>
      <c r="CE153" s="452"/>
      <c r="CF153" s="452"/>
      <c r="CG153" s="452"/>
      <c r="CH153" s="422"/>
      <c r="CI153" s="422"/>
      <c r="CJ153" s="422"/>
      <c r="CK153" s="421"/>
      <c r="CL153" s="421" t="s">
        <v>123</v>
      </c>
      <c r="CM153" s="423"/>
      <c r="CN153" s="421"/>
      <c r="CO153" s="423"/>
      <c r="CP153" s="421"/>
      <c r="CQ153" s="63"/>
      <c r="CR153" s="63"/>
      <c r="CS153" s="63"/>
      <c r="CT153" s="63"/>
      <c r="CU153" s="447"/>
      <c r="CV153" s="447"/>
      <c r="CW153" s="447"/>
      <c r="CX153" s="447"/>
      <c r="CY153" s="447"/>
      <c r="CZ153" s="447"/>
      <c r="DA153" s="447"/>
      <c r="DB153" s="447"/>
      <c r="DC153" s="447"/>
      <c r="DD153" s="447"/>
      <c r="DE153" s="447"/>
      <c r="DF153" s="447"/>
      <c r="DG153" s="447"/>
      <c r="DH153" s="447"/>
      <c r="DI153" s="447"/>
      <c r="DJ153" s="447"/>
      <c r="DK153" s="447"/>
      <c r="DL153" s="67"/>
      <c r="DM153" s="67"/>
      <c r="DN153" s="67"/>
      <c r="DO153" s="67"/>
      <c r="DP153" s="67"/>
      <c r="DQ153" s="67"/>
    </row>
    <row r="154" ht="22.5" customHeight="1">
      <c r="A154" s="383"/>
      <c r="B154" s="384" t="str">
        <f>IFERROR(__xludf.DUMMYFUNCTION("IF(B$43="""","""",IF($AZ154="""","""",IFERROR(Query({CarteirasAtivos},""Select Col3 where Col1 = '""&amp;$AZ154&amp;""'and Col2 = '""&amp;S$21&amp;""'""))))"),"")</f>
        <v/>
      </c>
      <c r="C154" s="384" t="str">
        <f>IFERROR(__xludf.DUMMYFUNCTION("IF(C$43="""","""",IF($AZ154="""","""",IFERROR(Query({CarteirasAtivos},""Select Col3 where Col1 = '""&amp;$AZ154&amp;""'and Col2 = '""&amp;T$21&amp;""'""))))"),"")</f>
        <v/>
      </c>
      <c r="D154" s="384" t="str">
        <f>IFERROR(__xludf.DUMMYFUNCTION("IF(D$43="""","""",IF($AZ154="""","""",IFERROR(Query({CarteirasAtivos},""Select Col3 where Col1 = '""&amp;$AZ154&amp;""'and Col2 = '""&amp;U$21&amp;""'""))))"),"")</f>
        <v/>
      </c>
      <c r="E154" s="384" t="str">
        <f>IFERROR(__xludf.DUMMYFUNCTION("IF(E$43="""","""",IF($AZ154="""","""",IFERROR(Query({CarteirasAtivos},""Select Col3 where Col1 = '""&amp;$AZ154&amp;""'and Col2 = '""&amp;V$21&amp;""'""))))"),"")</f>
        <v/>
      </c>
      <c r="F154" s="384" t="str">
        <f>IFERROR(__xludf.DUMMYFUNCTION("IF(F$43="""","""",IF($AZ154="""","""",IFERROR(Query({CarteirasAtivos},""Select Col3 where Col1 = '""&amp;$AZ154&amp;""'and Col2 = '""&amp;W$21&amp;""'""))))"),"")</f>
        <v/>
      </c>
      <c r="G154" s="384" t="str">
        <f>IFERROR(__xludf.DUMMYFUNCTION("IF(G$43="""","""",IF($AZ154="""","""",IFERROR(Query({CarteirasAtivos},""Select Col3 where Col1 = '""&amp;$AZ154&amp;""'and Col2 = '""&amp;X$21&amp;""'""))))"),"")</f>
        <v/>
      </c>
      <c r="H154" s="384" t="str">
        <f>IFERROR(__xludf.DUMMYFUNCTION("IF(H$43="""","""",IF($AZ154="""","""",IFERROR(Query({CarteirasAtivos},""Select Col3 where Col1 = '""&amp;$AZ154&amp;""'and Col2 = '""&amp;Y$21&amp;""'""))))"),"")</f>
        <v/>
      </c>
      <c r="I154" s="384" t="str">
        <f>IFERROR(__xludf.DUMMYFUNCTION("IF(I$43="""","""",IF($AZ154="""","""",IFERROR(Query({CarteirasAtivos},""Select Col3 where Col1 = '""&amp;$AZ154&amp;""'and Col2 = '""&amp;Z$21&amp;""'""))))"),"")</f>
        <v/>
      </c>
      <c r="J154" s="384" t="str">
        <f>IFERROR(__xludf.DUMMYFUNCTION("IF(J$43="""","""",IF($AZ154="""","""",IFERROR(Query({CarteirasAtivos},""Select Col3 where Col1 = '""&amp;$AZ154&amp;""'and Col2 = '""&amp;AA$21&amp;""'""))))"),"")</f>
        <v/>
      </c>
      <c r="K154" s="384" t="str">
        <f>IFERROR(__xludf.DUMMYFUNCTION("IF(K$43="""","""",IF($AZ154="""","""",IFERROR(Query({CarteirasAtivos},""Select Col3 where Col1 = '""&amp;$AZ154&amp;""'and Col2 = '""&amp;AB$21&amp;""'""))))"),"")</f>
        <v/>
      </c>
      <c r="L154" s="385">
        <v>111.0</v>
      </c>
      <c r="M154" s="503"/>
      <c r="N154" s="387"/>
      <c r="O154" s="388" t="s">
        <v>123</v>
      </c>
      <c r="P154" s="389"/>
      <c r="Q154" s="390"/>
      <c r="R154" s="391"/>
      <c r="S154" s="392"/>
      <c r="T154" s="393"/>
      <c r="U154" s="393"/>
      <c r="V154" s="394"/>
      <c r="W154" s="395" t="str">
        <f>IFERROR(__xludf.DUMMYFUNCTION("IF(M154="""","""",sparkline(IFERROR(BF154*100/MAX($BF$44:$BF$153),0),{""charttype"",""bar"";""max"",100;""color1"",IF(BD154&gt;=0,""#4760a5"",""red"")}))"),"")</f>
        <v/>
      </c>
      <c r="X154" s="396"/>
      <c r="Y154" s="466"/>
      <c r="Z154" s="398"/>
      <c r="AA154" s="399"/>
      <c r="AB154" s="393"/>
      <c r="AC154" s="476"/>
      <c r="AD154" s="401"/>
      <c r="AE154" s="402"/>
      <c r="AF154" s="403"/>
      <c r="AG154" s="404" t="str">
        <f>IFERROR(__xludf.DUMMYFUNCTION("IF($M154="""","""",IFERROR(sparkline(query(GOOGLEFINANCE($AZ154,""price"",TODAY()-$AF$43,TODAY(),1),""select Col2 label Col2 ''""),IF($AG$43=""Gráfico de barras"",{""charttype"",""column"";""highcolor"",""red""},{""chartype"",""line""}))))"),"")</f>
        <v/>
      </c>
      <c r="AH154" s="405"/>
      <c r="AI154" s="467"/>
      <c r="AJ154" s="467"/>
      <c r="AK154" s="467"/>
      <c r="AL154" s="467"/>
      <c r="AM154" s="442"/>
      <c r="AN154" s="442"/>
      <c r="AU154" s="281"/>
      <c r="AV154" s="281"/>
      <c r="AW154" s="281"/>
      <c r="AX154" s="281"/>
      <c r="AY154" s="410">
        <v>111.0</v>
      </c>
      <c r="AZ154" s="411"/>
      <c r="BA154" s="411"/>
      <c r="BB154" s="437"/>
      <c r="BC154" s="437"/>
      <c r="BD154" s="437"/>
      <c r="BE154" s="437"/>
      <c r="BF154" s="415" t="s">
        <v>123</v>
      </c>
      <c r="BG154" s="410">
        <v>111.0</v>
      </c>
      <c r="BH154" s="416"/>
      <c r="BI154" s="416"/>
      <c r="BJ154" s="416"/>
      <c r="BK154" s="416"/>
      <c r="BL154" s="416"/>
      <c r="BM154" s="416"/>
      <c r="BN154" s="282"/>
      <c r="BO154" s="490"/>
      <c r="BP154" s="489"/>
      <c r="BQ154" s="489"/>
      <c r="BR154" s="489"/>
      <c r="BS154" s="489"/>
      <c r="BT154" s="489"/>
      <c r="BU154" s="489"/>
      <c r="BV154" s="489"/>
      <c r="BW154" s="63"/>
      <c r="BX154" s="62"/>
      <c r="BY154" s="452"/>
      <c r="BZ154" s="452"/>
      <c r="CA154" s="452"/>
      <c r="CB154" s="452"/>
      <c r="CC154" s="452"/>
      <c r="CD154" s="452"/>
      <c r="CE154" s="452"/>
      <c r="CF154" s="452"/>
      <c r="CG154" s="452"/>
      <c r="CH154" s="422"/>
      <c r="CI154" s="422"/>
      <c r="CJ154" s="422"/>
      <c r="CK154" s="421"/>
      <c r="CL154" s="421" t="s">
        <v>123</v>
      </c>
      <c r="CM154" s="423"/>
      <c r="CN154" s="421"/>
      <c r="CO154" s="423"/>
      <c r="CP154" s="421"/>
      <c r="CQ154" s="63"/>
      <c r="CR154" s="63"/>
      <c r="CS154" s="63"/>
      <c r="CT154" s="63"/>
      <c r="CU154" s="447"/>
      <c r="CV154" s="447"/>
      <c r="CW154" s="447"/>
      <c r="CX154" s="447"/>
      <c r="CY154" s="447"/>
      <c r="CZ154" s="447"/>
      <c r="DA154" s="447"/>
      <c r="DB154" s="447"/>
      <c r="DC154" s="447"/>
      <c r="DD154" s="447"/>
      <c r="DE154" s="447"/>
      <c r="DF154" s="447"/>
      <c r="DG154" s="447"/>
      <c r="DH154" s="447"/>
      <c r="DI154" s="447"/>
      <c r="DJ154" s="447"/>
      <c r="DK154" s="447"/>
      <c r="DL154" s="67"/>
      <c r="DM154" s="67"/>
      <c r="DN154" s="67"/>
      <c r="DO154" s="67"/>
      <c r="DP154" s="67"/>
      <c r="DQ154" s="67"/>
    </row>
    <row r="155" ht="22.5" customHeight="1">
      <c r="A155" s="383"/>
      <c r="B155" s="384" t="str">
        <f>IFERROR(__xludf.DUMMYFUNCTION("IF(B$43="""","""",IF($AZ155="""","""",IFERROR(Query({CarteirasAtivos},""Select Col3 where Col1 = '""&amp;$AZ155&amp;""'and Col2 = '""&amp;S$21&amp;""'""))))"),"")</f>
        <v/>
      </c>
      <c r="C155" s="384" t="str">
        <f>IFERROR(__xludf.DUMMYFUNCTION("IF(C$43="""","""",IF($AZ155="""","""",IFERROR(Query({CarteirasAtivos},""Select Col3 where Col1 = '""&amp;$AZ155&amp;""'and Col2 = '""&amp;T$21&amp;""'""))))"),"")</f>
        <v/>
      </c>
      <c r="D155" s="384" t="str">
        <f>IFERROR(__xludf.DUMMYFUNCTION("IF(D$43="""","""",IF($AZ155="""","""",IFERROR(Query({CarteirasAtivos},""Select Col3 where Col1 = '""&amp;$AZ155&amp;""'and Col2 = '""&amp;U$21&amp;""'""))))"),"")</f>
        <v/>
      </c>
      <c r="E155" s="384" t="str">
        <f>IFERROR(__xludf.DUMMYFUNCTION("IF(E$43="""","""",IF($AZ155="""","""",IFERROR(Query({CarteirasAtivos},""Select Col3 where Col1 = '""&amp;$AZ155&amp;""'and Col2 = '""&amp;V$21&amp;""'""))))"),"")</f>
        <v/>
      </c>
      <c r="F155" s="384" t="str">
        <f>IFERROR(__xludf.DUMMYFUNCTION("IF(F$43="""","""",IF($AZ155="""","""",IFERROR(Query({CarteirasAtivos},""Select Col3 where Col1 = '""&amp;$AZ155&amp;""'and Col2 = '""&amp;W$21&amp;""'""))))"),"")</f>
        <v/>
      </c>
      <c r="G155" s="384" t="str">
        <f>IFERROR(__xludf.DUMMYFUNCTION("IF(G$43="""","""",IF($AZ155="""","""",IFERROR(Query({CarteirasAtivos},""Select Col3 where Col1 = '""&amp;$AZ155&amp;""'and Col2 = '""&amp;X$21&amp;""'""))))"),"")</f>
        <v/>
      </c>
      <c r="H155" s="384" t="str">
        <f>IFERROR(__xludf.DUMMYFUNCTION("IF(H$43="""","""",IF($AZ155="""","""",IFERROR(Query({CarteirasAtivos},""Select Col3 where Col1 = '""&amp;$AZ155&amp;""'and Col2 = '""&amp;Y$21&amp;""'""))))"),"")</f>
        <v/>
      </c>
      <c r="I155" s="384" t="str">
        <f>IFERROR(__xludf.DUMMYFUNCTION("IF(I$43="""","""",IF($AZ155="""","""",IFERROR(Query({CarteirasAtivos},""Select Col3 where Col1 = '""&amp;$AZ155&amp;""'and Col2 = '""&amp;Z$21&amp;""'""))))"),"")</f>
        <v/>
      </c>
      <c r="J155" s="384" t="str">
        <f>IFERROR(__xludf.DUMMYFUNCTION("IF(J$43="""","""",IF($AZ155="""","""",IFERROR(Query({CarteirasAtivos},""Select Col3 where Col1 = '""&amp;$AZ155&amp;""'and Col2 = '""&amp;AA$21&amp;""'""))))"),"")</f>
        <v/>
      </c>
      <c r="K155" s="384" t="str">
        <f>IFERROR(__xludf.DUMMYFUNCTION("IF(K$43="""","""",IF($AZ155="""","""",IFERROR(Query({CarteirasAtivos},""Select Col3 where Col1 = '""&amp;$AZ155&amp;""'and Col2 = '""&amp;AB$21&amp;""'""))))"),"")</f>
        <v/>
      </c>
      <c r="L155" s="385">
        <v>112.0</v>
      </c>
      <c r="M155" s="503"/>
      <c r="N155" s="387"/>
      <c r="O155" s="388" t="s">
        <v>123</v>
      </c>
      <c r="P155" s="389"/>
      <c r="Q155" s="390"/>
      <c r="R155" s="391"/>
      <c r="S155" s="392"/>
      <c r="T155" s="393"/>
      <c r="U155" s="393"/>
      <c r="V155" s="394"/>
      <c r="W155" s="395" t="str">
        <f>IFERROR(__xludf.DUMMYFUNCTION("IF(M155="""","""",sparkline(IFERROR(BF155*100/MAX($BF$44:$BF$153),0),{""charttype"",""bar"";""max"",100;""color1"",IF(BD155&gt;=0,""#4760a5"",""red"")}))"),"")</f>
        <v/>
      </c>
      <c r="X155" s="396"/>
      <c r="Y155" s="466"/>
      <c r="Z155" s="398"/>
      <c r="AA155" s="399"/>
      <c r="AB155" s="393"/>
      <c r="AC155" s="476"/>
      <c r="AD155" s="401"/>
      <c r="AE155" s="402"/>
      <c r="AF155" s="403"/>
      <c r="AG155" s="404" t="str">
        <f>IFERROR(__xludf.DUMMYFUNCTION("IF($M155="""","""",IFERROR(sparkline(query(GOOGLEFINANCE($AZ155,""price"",TODAY()-$AF$43,TODAY(),1),""select Col2 label Col2 ''""),IF($AG$43=""Gráfico de barras"",{""charttype"",""column"";""highcolor"",""red""},{""chartype"",""line""}))))"),"")</f>
        <v/>
      </c>
      <c r="AH155" s="405"/>
      <c r="AI155" s="467"/>
      <c r="AJ155" s="467"/>
      <c r="AK155" s="467"/>
      <c r="AL155" s="467"/>
      <c r="AM155" s="442"/>
      <c r="AN155" s="442"/>
      <c r="AU155" s="281"/>
      <c r="AV155" s="281"/>
      <c r="AW155" s="281"/>
      <c r="AX155" s="281"/>
      <c r="AY155" s="410">
        <v>112.0</v>
      </c>
      <c r="AZ155" s="411"/>
      <c r="BA155" s="411"/>
      <c r="BB155" s="437"/>
      <c r="BC155" s="437"/>
      <c r="BD155" s="437"/>
      <c r="BE155" s="437"/>
      <c r="BF155" s="415" t="s">
        <v>123</v>
      </c>
      <c r="BG155" s="410">
        <v>112.0</v>
      </c>
      <c r="BH155" s="416"/>
      <c r="BI155" s="416"/>
      <c r="BJ155" s="416"/>
      <c r="BK155" s="416"/>
      <c r="BL155" s="416"/>
      <c r="BM155" s="416"/>
      <c r="BN155" s="282"/>
      <c r="BO155" s="490"/>
      <c r="BP155" s="489"/>
      <c r="BQ155" s="489"/>
      <c r="BR155" s="489"/>
      <c r="BS155" s="489"/>
      <c r="BT155" s="489"/>
      <c r="BU155" s="489"/>
      <c r="BV155" s="489"/>
      <c r="BW155" s="63"/>
      <c r="BX155" s="62"/>
      <c r="BY155" s="452"/>
      <c r="BZ155" s="452"/>
      <c r="CA155" s="452"/>
      <c r="CB155" s="452"/>
      <c r="CC155" s="452"/>
      <c r="CD155" s="452"/>
      <c r="CE155" s="452"/>
      <c r="CF155" s="452"/>
      <c r="CG155" s="452"/>
      <c r="CH155" s="422"/>
      <c r="CI155" s="422"/>
      <c r="CJ155" s="422"/>
      <c r="CK155" s="421"/>
      <c r="CL155" s="421" t="s">
        <v>123</v>
      </c>
      <c r="CM155" s="423"/>
      <c r="CN155" s="421"/>
      <c r="CO155" s="423"/>
      <c r="CP155" s="421"/>
      <c r="CQ155" s="63"/>
      <c r="CR155" s="63"/>
      <c r="CS155" s="63"/>
      <c r="CT155" s="63"/>
      <c r="CU155" s="447"/>
      <c r="CV155" s="447"/>
      <c r="CW155" s="447"/>
      <c r="CX155" s="447"/>
      <c r="CY155" s="447"/>
      <c r="CZ155" s="447"/>
      <c r="DA155" s="447"/>
      <c r="DB155" s="447"/>
      <c r="DC155" s="447"/>
      <c r="DD155" s="447"/>
      <c r="DE155" s="447"/>
      <c r="DF155" s="447"/>
      <c r="DG155" s="447"/>
      <c r="DH155" s="447"/>
      <c r="DI155" s="447"/>
      <c r="DJ155" s="447"/>
      <c r="DK155" s="447"/>
      <c r="DL155" s="67"/>
      <c r="DM155" s="67"/>
      <c r="DN155" s="67"/>
      <c r="DO155" s="67"/>
      <c r="DP155" s="67"/>
      <c r="DQ155" s="67"/>
    </row>
    <row r="156" ht="22.5" customHeight="1">
      <c r="A156" s="383"/>
      <c r="B156" s="384" t="str">
        <f>IFERROR(__xludf.DUMMYFUNCTION("IF(B$43="""","""",IF($AZ156="""","""",IFERROR(Query({CarteirasAtivos},""Select Col3 where Col1 = '""&amp;$AZ156&amp;""'and Col2 = '""&amp;S$21&amp;""'""))))"),"")</f>
        <v/>
      </c>
      <c r="C156" s="384" t="str">
        <f>IFERROR(__xludf.DUMMYFUNCTION("IF(C$43="""","""",IF($AZ156="""","""",IFERROR(Query({CarteirasAtivos},""Select Col3 where Col1 = '""&amp;$AZ156&amp;""'and Col2 = '""&amp;T$21&amp;""'""))))"),"")</f>
        <v/>
      </c>
      <c r="D156" s="384" t="str">
        <f>IFERROR(__xludf.DUMMYFUNCTION("IF(D$43="""","""",IF($AZ156="""","""",IFERROR(Query({CarteirasAtivos},""Select Col3 where Col1 = '""&amp;$AZ156&amp;""'and Col2 = '""&amp;U$21&amp;""'""))))"),"")</f>
        <v/>
      </c>
      <c r="E156" s="384" t="str">
        <f>IFERROR(__xludf.DUMMYFUNCTION("IF(E$43="""","""",IF($AZ156="""","""",IFERROR(Query({CarteirasAtivos},""Select Col3 where Col1 = '""&amp;$AZ156&amp;""'and Col2 = '""&amp;V$21&amp;""'""))))"),"")</f>
        <v/>
      </c>
      <c r="F156" s="384" t="str">
        <f>IFERROR(__xludf.DUMMYFUNCTION("IF(F$43="""","""",IF($AZ156="""","""",IFERROR(Query({CarteirasAtivos},""Select Col3 where Col1 = '""&amp;$AZ156&amp;""'and Col2 = '""&amp;W$21&amp;""'""))))"),"")</f>
        <v/>
      </c>
      <c r="G156" s="384" t="str">
        <f>IFERROR(__xludf.DUMMYFUNCTION("IF(G$43="""","""",IF($AZ156="""","""",IFERROR(Query({CarteirasAtivos},""Select Col3 where Col1 = '""&amp;$AZ156&amp;""'and Col2 = '""&amp;X$21&amp;""'""))))"),"")</f>
        <v/>
      </c>
      <c r="H156" s="384" t="str">
        <f>IFERROR(__xludf.DUMMYFUNCTION("IF(H$43="""","""",IF($AZ156="""","""",IFERROR(Query({CarteirasAtivos},""Select Col3 where Col1 = '""&amp;$AZ156&amp;""'and Col2 = '""&amp;Y$21&amp;""'""))))"),"")</f>
        <v/>
      </c>
      <c r="I156" s="384" t="str">
        <f>IFERROR(__xludf.DUMMYFUNCTION("IF(I$43="""","""",IF($AZ156="""","""",IFERROR(Query({CarteirasAtivos},""Select Col3 where Col1 = '""&amp;$AZ156&amp;""'and Col2 = '""&amp;Z$21&amp;""'""))))"),"")</f>
        <v/>
      </c>
      <c r="J156" s="384" t="str">
        <f>IFERROR(__xludf.DUMMYFUNCTION("IF(J$43="""","""",IF($AZ156="""","""",IFERROR(Query({CarteirasAtivos},""Select Col3 where Col1 = '""&amp;$AZ156&amp;""'and Col2 = '""&amp;AA$21&amp;""'""))))"),"")</f>
        <v/>
      </c>
      <c r="K156" s="384" t="str">
        <f>IFERROR(__xludf.DUMMYFUNCTION("IF(K$43="""","""",IF($AZ156="""","""",IFERROR(Query({CarteirasAtivos},""Select Col3 where Col1 = '""&amp;$AZ156&amp;""'and Col2 = '""&amp;AB$21&amp;""'""))))"),"")</f>
        <v/>
      </c>
      <c r="L156" s="385">
        <v>113.0</v>
      </c>
      <c r="M156" s="503"/>
      <c r="N156" s="387"/>
      <c r="O156" s="388" t="s">
        <v>123</v>
      </c>
      <c r="P156" s="389"/>
      <c r="Q156" s="390"/>
      <c r="R156" s="391"/>
      <c r="S156" s="392"/>
      <c r="T156" s="393"/>
      <c r="U156" s="393"/>
      <c r="V156" s="394"/>
      <c r="W156" s="395" t="str">
        <f>IFERROR(__xludf.DUMMYFUNCTION("IF(M156="""","""",sparkline(IFERROR(BF156*100/MAX($BF$44:$BF$153),0),{""charttype"",""bar"";""max"",100;""color1"",IF(BD156&gt;=0,""#4760a5"",""red"")}))"),"")</f>
        <v/>
      </c>
      <c r="X156" s="396"/>
      <c r="Y156" s="466"/>
      <c r="Z156" s="398"/>
      <c r="AA156" s="399"/>
      <c r="AB156" s="393"/>
      <c r="AC156" s="476"/>
      <c r="AD156" s="401"/>
      <c r="AE156" s="402"/>
      <c r="AF156" s="403"/>
      <c r="AG156" s="404" t="str">
        <f>IFERROR(__xludf.DUMMYFUNCTION("IF($M156="""","""",IFERROR(sparkline(query(GOOGLEFINANCE($AZ156,""price"",TODAY()-$AF$43,TODAY(),1),""select Col2 label Col2 ''""),IF($AG$43=""Gráfico de barras"",{""charttype"",""column"";""highcolor"",""red""},{""chartype"",""line""}))))"),"")</f>
        <v/>
      </c>
      <c r="AH156" s="405"/>
      <c r="AI156" s="467"/>
      <c r="AJ156" s="467"/>
      <c r="AK156" s="467"/>
      <c r="AL156" s="467"/>
      <c r="AM156" s="442"/>
      <c r="AN156" s="442"/>
      <c r="AU156" s="281"/>
      <c r="AV156" s="281"/>
      <c r="AW156" s="281"/>
      <c r="AX156" s="281"/>
      <c r="AY156" s="410">
        <v>113.0</v>
      </c>
      <c r="AZ156" s="411"/>
      <c r="BA156" s="411"/>
      <c r="BB156" s="437"/>
      <c r="BC156" s="437"/>
      <c r="BD156" s="437"/>
      <c r="BE156" s="437"/>
      <c r="BF156" s="415" t="s">
        <v>123</v>
      </c>
      <c r="BG156" s="410">
        <v>113.0</v>
      </c>
      <c r="BH156" s="416"/>
      <c r="BI156" s="416"/>
      <c r="BJ156" s="416"/>
      <c r="BK156" s="416"/>
      <c r="BL156" s="416"/>
      <c r="BM156" s="416"/>
      <c r="BN156" s="282"/>
      <c r="BO156" s="490"/>
      <c r="BP156" s="489"/>
      <c r="BQ156" s="489"/>
      <c r="BR156" s="489"/>
      <c r="BS156" s="489"/>
      <c r="BT156" s="489"/>
      <c r="BU156" s="489"/>
      <c r="BV156" s="489"/>
      <c r="BW156" s="63"/>
      <c r="BX156" s="62"/>
      <c r="BY156" s="452"/>
      <c r="BZ156" s="452"/>
      <c r="CA156" s="452"/>
      <c r="CB156" s="452"/>
      <c r="CC156" s="452"/>
      <c r="CD156" s="452"/>
      <c r="CE156" s="452"/>
      <c r="CF156" s="452"/>
      <c r="CG156" s="452"/>
      <c r="CH156" s="422"/>
      <c r="CI156" s="422"/>
      <c r="CJ156" s="422"/>
      <c r="CK156" s="421"/>
      <c r="CL156" s="421" t="s">
        <v>123</v>
      </c>
      <c r="CM156" s="423"/>
      <c r="CN156" s="421"/>
      <c r="CO156" s="423"/>
      <c r="CP156" s="421"/>
      <c r="CQ156" s="63"/>
      <c r="CR156" s="63"/>
      <c r="CS156" s="63"/>
      <c r="CT156" s="63"/>
      <c r="CU156" s="447"/>
      <c r="CV156" s="447"/>
      <c r="CW156" s="447"/>
      <c r="CX156" s="447"/>
      <c r="CY156" s="447"/>
      <c r="CZ156" s="447"/>
      <c r="DA156" s="447"/>
      <c r="DB156" s="447"/>
      <c r="DC156" s="447"/>
      <c r="DD156" s="447"/>
      <c r="DE156" s="447"/>
      <c r="DF156" s="447"/>
      <c r="DG156" s="447"/>
      <c r="DH156" s="447"/>
      <c r="DI156" s="447"/>
      <c r="DJ156" s="447"/>
      <c r="DK156" s="447"/>
      <c r="DL156" s="67"/>
      <c r="DM156" s="67"/>
      <c r="DN156" s="67"/>
      <c r="DO156" s="67"/>
      <c r="DP156" s="67"/>
      <c r="DQ156" s="67"/>
    </row>
    <row r="157" ht="22.5" customHeight="1">
      <c r="A157" s="383"/>
      <c r="B157" s="384" t="str">
        <f>IFERROR(__xludf.DUMMYFUNCTION("IF(B$43="""","""",IF($AZ157="""","""",IFERROR(Query({CarteirasAtivos},""Select Col3 where Col1 = '""&amp;$AZ157&amp;""'and Col2 = '""&amp;S$21&amp;""'""))))"),"")</f>
        <v/>
      </c>
      <c r="C157" s="384" t="str">
        <f>IFERROR(__xludf.DUMMYFUNCTION("IF(C$43="""","""",IF($AZ157="""","""",IFERROR(Query({CarteirasAtivos},""Select Col3 where Col1 = '""&amp;$AZ157&amp;""'and Col2 = '""&amp;T$21&amp;""'""))))"),"")</f>
        <v/>
      </c>
      <c r="D157" s="384" t="str">
        <f>IFERROR(__xludf.DUMMYFUNCTION("IF(D$43="""","""",IF($AZ157="""","""",IFERROR(Query({CarteirasAtivos},""Select Col3 where Col1 = '""&amp;$AZ157&amp;""'and Col2 = '""&amp;U$21&amp;""'""))))"),"")</f>
        <v/>
      </c>
      <c r="E157" s="384" t="str">
        <f>IFERROR(__xludf.DUMMYFUNCTION("IF(E$43="""","""",IF($AZ157="""","""",IFERROR(Query({CarteirasAtivos},""Select Col3 where Col1 = '""&amp;$AZ157&amp;""'and Col2 = '""&amp;V$21&amp;""'""))))"),"")</f>
        <v/>
      </c>
      <c r="F157" s="384" t="str">
        <f>IFERROR(__xludf.DUMMYFUNCTION("IF(F$43="""","""",IF($AZ157="""","""",IFERROR(Query({CarteirasAtivos},""Select Col3 where Col1 = '""&amp;$AZ157&amp;""'and Col2 = '""&amp;W$21&amp;""'""))))"),"")</f>
        <v/>
      </c>
      <c r="G157" s="384" t="str">
        <f>IFERROR(__xludf.DUMMYFUNCTION("IF(G$43="""","""",IF($AZ157="""","""",IFERROR(Query({CarteirasAtivos},""Select Col3 where Col1 = '""&amp;$AZ157&amp;""'and Col2 = '""&amp;X$21&amp;""'""))))"),"")</f>
        <v/>
      </c>
      <c r="H157" s="384" t="str">
        <f>IFERROR(__xludf.DUMMYFUNCTION("IF(H$43="""","""",IF($AZ157="""","""",IFERROR(Query({CarteirasAtivos},""Select Col3 where Col1 = '""&amp;$AZ157&amp;""'and Col2 = '""&amp;Y$21&amp;""'""))))"),"")</f>
        <v/>
      </c>
      <c r="I157" s="384" t="str">
        <f>IFERROR(__xludf.DUMMYFUNCTION("IF(I$43="""","""",IF($AZ157="""","""",IFERROR(Query({CarteirasAtivos},""Select Col3 where Col1 = '""&amp;$AZ157&amp;""'and Col2 = '""&amp;Z$21&amp;""'""))))"),"")</f>
        <v/>
      </c>
      <c r="J157" s="384" t="str">
        <f>IFERROR(__xludf.DUMMYFUNCTION("IF(J$43="""","""",IF($AZ157="""","""",IFERROR(Query({CarteirasAtivos},""Select Col3 where Col1 = '""&amp;$AZ157&amp;""'and Col2 = '""&amp;AA$21&amp;""'""))))"),"")</f>
        <v/>
      </c>
      <c r="K157" s="384" t="str">
        <f>IFERROR(__xludf.DUMMYFUNCTION("IF(K$43="""","""",IF($AZ157="""","""",IFERROR(Query({CarteirasAtivos},""Select Col3 where Col1 = '""&amp;$AZ157&amp;""'and Col2 = '""&amp;AB$21&amp;""'""))))"),"")</f>
        <v/>
      </c>
      <c r="L157" s="385">
        <v>114.0</v>
      </c>
      <c r="M157" s="503"/>
      <c r="N157" s="387"/>
      <c r="O157" s="388" t="s">
        <v>123</v>
      </c>
      <c r="P157" s="389"/>
      <c r="Q157" s="390"/>
      <c r="R157" s="391"/>
      <c r="S157" s="392"/>
      <c r="T157" s="393"/>
      <c r="U157" s="393"/>
      <c r="V157" s="394"/>
      <c r="W157" s="395" t="str">
        <f>IFERROR(__xludf.DUMMYFUNCTION("IF(M157="""","""",sparkline(IFERROR(BF157*100/MAX($BF$44:$BF$153),0),{""charttype"",""bar"";""max"",100;""color1"",IF(BD157&gt;=0,""#4760a5"",""red"")}))"),"")</f>
        <v/>
      </c>
      <c r="X157" s="396"/>
      <c r="Y157" s="466"/>
      <c r="Z157" s="398"/>
      <c r="AA157" s="399"/>
      <c r="AB157" s="393"/>
      <c r="AC157" s="476"/>
      <c r="AD157" s="401"/>
      <c r="AE157" s="402"/>
      <c r="AF157" s="403"/>
      <c r="AG157" s="404" t="str">
        <f>IFERROR(__xludf.DUMMYFUNCTION("IF($M157="""","""",IFERROR(sparkline(query(GOOGLEFINANCE($AZ157,""price"",TODAY()-$AF$43,TODAY(),1),""select Col2 label Col2 ''""),IF($AG$43=""Gráfico de barras"",{""charttype"",""column"";""highcolor"",""red""},{""chartype"",""line""}))))"),"")</f>
        <v/>
      </c>
      <c r="AH157" s="405"/>
      <c r="AI157" s="467"/>
      <c r="AJ157" s="467"/>
      <c r="AK157" s="467"/>
      <c r="AL157" s="467"/>
      <c r="AM157" s="442"/>
      <c r="AN157" s="442"/>
      <c r="AU157" s="281"/>
      <c r="AV157" s="281"/>
      <c r="AW157" s="281"/>
      <c r="AX157" s="281"/>
      <c r="AY157" s="410">
        <v>114.0</v>
      </c>
      <c r="AZ157" s="411"/>
      <c r="BA157" s="411"/>
      <c r="BB157" s="437"/>
      <c r="BC157" s="437"/>
      <c r="BD157" s="437"/>
      <c r="BE157" s="437"/>
      <c r="BF157" s="415" t="s">
        <v>123</v>
      </c>
      <c r="BG157" s="410">
        <v>114.0</v>
      </c>
      <c r="BH157" s="416"/>
      <c r="BI157" s="416"/>
      <c r="BJ157" s="416"/>
      <c r="BK157" s="416"/>
      <c r="BL157" s="416"/>
      <c r="BM157" s="416"/>
      <c r="BN157" s="282"/>
      <c r="BO157" s="490"/>
      <c r="BP157" s="489"/>
      <c r="BQ157" s="489"/>
      <c r="BR157" s="489"/>
      <c r="BS157" s="489"/>
      <c r="BT157" s="489"/>
      <c r="BU157" s="489"/>
      <c r="BV157" s="489"/>
      <c r="BW157" s="63"/>
      <c r="BX157" s="62"/>
      <c r="BY157" s="452"/>
      <c r="BZ157" s="452"/>
      <c r="CA157" s="452"/>
      <c r="CB157" s="452"/>
      <c r="CC157" s="452"/>
      <c r="CD157" s="452"/>
      <c r="CE157" s="452"/>
      <c r="CF157" s="452"/>
      <c r="CG157" s="452"/>
      <c r="CH157" s="422"/>
      <c r="CI157" s="422"/>
      <c r="CJ157" s="422"/>
      <c r="CK157" s="421"/>
      <c r="CL157" s="421" t="s">
        <v>123</v>
      </c>
      <c r="CM157" s="423"/>
      <c r="CN157" s="421"/>
      <c r="CO157" s="423"/>
      <c r="CP157" s="421"/>
      <c r="CQ157" s="63"/>
      <c r="CR157" s="63"/>
      <c r="CS157" s="63"/>
      <c r="CT157" s="63"/>
      <c r="CU157" s="447"/>
      <c r="CV157" s="447"/>
      <c r="CW157" s="447"/>
      <c r="CX157" s="447"/>
      <c r="CY157" s="447"/>
      <c r="CZ157" s="447"/>
      <c r="DA157" s="447"/>
      <c r="DB157" s="447"/>
      <c r="DC157" s="447"/>
      <c r="DD157" s="447"/>
      <c r="DE157" s="447"/>
      <c r="DF157" s="447"/>
      <c r="DG157" s="447"/>
      <c r="DH157" s="447"/>
      <c r="DI157" s="447"/>
      <c r="DJ157" s="447"/>
      <c r="DK157" s="447"/>
      <c r="DL157" s="67"/>
      <c r="DM157" s="67"/>
      <c r="DN157" s="67"/>
      <c r="DO157" s="67"/>
      <c r="DP157" s="67"/>
      <c r="DQ157" s="67"/>
    </row>
    <row r="158" ht="22.5" customHeight="1">
      <c r="A158" s="383"/>
      <c r="B158" s="384" t="str">
        <f>IFERROR(__xludf.DUMMYFUNCTION("IF(B$43="""","""",IF($AZ158="""","""",IFERROR(Query({CarteirasAtivos},""Select Col3 where Col1 = '""&amp;$AZ158&amp;""'and Col2 = '""&amp;S$21&amp;""'""))))"),"")</f>
        <v/>
      </c>
      <c r="C158" s="384" t="str">
        <f>IFERROR(__xludf.DUMMYFUNCTION("IF(C$43="""","""",IF($AZ158="""","""",IFERROR(Query({CarteirasAtivos},""Select Col3 where Col1 = '""&amp;$AZ158&amp;""'and Col2 = '""&amp;T$21&amp;""'""))))"),"")</f>
        <v/>
      </c>
      <c r="D158" s="384" t="str">
        <f>IFERROR(__xludf.DUMMYFUNCTION("IF(D$43="""","""",IF($AZ158="""","""",IFERROR(Query({CarteirasAtivos},""Select Col3 where Col1 = '""&amp;$AZ158&amp;""'and Col2 = '""&amp;U$21&amp;""'""))))"),"")</f>
        <v/>
      </c>
      <c r="E158" s="384" t="str">
        <f>IFERROR(__xludf.DUMMYFUNCTION("IF(E$43="""","""",IF($AZ158="""","""",IFERROR(Query({CarteirasAtivos},""Select Col3 where Col1 = '""&amp;$AZ158&amp;""'and Col2 = '""&amp;V$21&amp;""'""))))"),"")</f>
        <v/>
      </c>
      <c r="F158" s="384" t="str">
        <f>IFERROR(__xludf.DUMMYFUNCTION("IF(F$43="""","""",IF($AZ158="""","""",IFERROR(Query({CarteirasAtivos},""Select Col3 where Col1 = '""&amp;$AZ158&amp;""'and Col2 = '""&amp;W$21&amp;""'""))))"),"")</f>
        <v/>
      </c>
      <c r="G158" s="384" t="str">
        <f>IFERROR(__xludf.DUMMYFUNCTION("IF(G$43="""","""",IF($AZ158="""","""",IFERROR(Query({CarteirasAtivos},""Select Col3 where Col1 = '""&amp;$AZ158&amp;""'and Col2 = '""&amp;X$21&amp;""'""))))"),"")</f>
        <v/>
      </c>
      <c r="H158" s="384" t="str">
        <f>IFERROR(__xludf.DUMMYFUNCTION("IF(H$43="""","""",IF($AZ158="""","""",IFERROR(Query({CarteirasAtivos},""Select Col3 where Col1 = '""&amp;$AZ158&amp;""'and Col2 = '""&amp;Y$21&amp;""'""))))"),"")</f>
        <v/>
      </c>
      <c r="I158" s="384" t="str">
        <f>IFERROR(__xludf.DUMMYFUNCTION("IF(I$43="""","""",IF($AZ158="""","""",IFERROR(Query({CarteirasAtivos},""Select Col3 where Col1 = '""&amp;$AZ158&amp;""'and Col2 = '""&amp;Z$21&amp;""'""))))"),"")</f>
        <v/>
      </c>
      <c r="J158" s="384" t="str">
        <f>IFERROR(__xludf.DUMMYFUNCTION("IF(J$43="""","""",IF($AZ158="""","""",IFERROR(Query({CarteirasAtivos},""Select Col3 where Col1 = '""&amp;$AZ158&amp;""'and Col2 = '""&amp;AA$21&amp;""'""))))"),"")</f>
        <v/>
      </c>
      <c r="K158" s="384" t="str">
        <f>IFERROR(__xludf.DUMMYFUNCTION("IF(K$43="""","""",IF($AZ158="""","""",IFERROR(Query({CarteirasAtivos},""Select Col3 where Col1 = '""&amp;$AZ158&amp;""'and Col2 = '""&amp;AB$21&amp;""'""))))"),"")</f>
        <v/>
      </c>
      <c r="L158" s="385">
        <v>115.0</v>
      </c>
      <c r="M158" s="503"/>
      <c r="N158" s="387"/>
      <c r="O158" s="388" t="s">
        <v>123</v>
      </c>
      <c r="P158" s="389"/>
      <c r="Q158" s="390"/>
      <c r="R158" s="391"/>
      <c r="S158" s="392"/>
      <c r="T158" s="393"/>
      <c r="U158" s="393"/>
      <c r="V158" s="394"/>
      <c r="W158" s="395" t="str">
        <f>IFERROR(__xludf.DUMMYFUNCTION("IF(M158="""","""",sparkline(IFERROR(BF158*100/MAX($BF$44:$BF$153),0),{""charttype"",""bar"";""max"",100;""color1"",IF(BD158&gt;=0,""#4760a5"",""red"")}))"),"")</f>
        <v/>
      </c>
      <c r="X158" s="396"/>
      <c r="Y158" s="466"/>
      <c r="Z158" s="398"/>
      <c r="AA158" s="399"/>
      <c r="AB158" s="393"/>
      <c r="AC158" s="476"/>
      <c r="AD158" s="401"/>
      <c r="AE158" s="402"/>
      <c r="AF158" s="403"/>
      <c r="AG158" s="404" t="str">
        <f>IFERROR(__xludf.DUMMYFUNCTION("IF($M158="""","""",IFERROR(sparkline(query(GOOGLEFINANCE($AZ158,""price"",TODAY()-$AF$43,TODAY(),1),""select Col2 label Col2 ''""),IF($AG$43=""Gráfico de barras"",{""charttype"",""column"";""highcolor"",""red""},{""chartype"",""line""}))))"),"")</f>
        <v/>
      </c>
      <c r="AH158" s="405"/>
      <c r="AI158" s="467"/>
      <c r="AJ158" s="467"/>
      <c r="AK158" s="467"/>
      <c r="AL158" s="467"/>
      <c r="AM158" s="442"/>
      <c r="AN158" s="442"/>
      <c r="AU158" s="281"/>
      <c r="AV158" s="281"/>
      <c r="AW158" s="281"/>
      <c r="AX158" s="281"/>
      <c r="AY158" s="410">
        <v>115.0</v>
      </c>
      <c r="AZ158" s="411"/>
      <c r="BA158" s="411"/>
      <c r="BB158" s="437"/>
      <c r="BC158" s="437"/>
      <c r="BD158" s="437"/>
      <c r="BE158" s="437"/>
      <c r="BF158" s="415" t="s">
        <v>123</v>
      </c>
      <c r="BG158" s="410">
        <v>115.0</v>
      </c>
      <c r="BH158" s="416"/>
      <c r="BI158" s="416"/>
      <c r="BJ158" s="416"/>
      <c r="BK158" s="416"/>
      <c r="BL158" s="416"/>
      <c r="BM158" s="416"/>
      <c r="BN158" s="282"/>
      <c r="BO158" s="490"/>
      <c r="BP158" s="489"/>
      <c r="BQ158" s="489"/>
      <c r="BR158" s="489"/>
      <c r="BS158" s="489"/>
      <c r="BT158" s="489"/>
      <c r="BU158" s="489"/>
      <c r="BV158" s="489"/>
      <c r="BW158" s="63"/>
      <c r="BX158" s="62"/>
      <c r="BY158" s="452"/>
      <c r="BZ158" s="452"/>
      <c r="CA158" s="452"/>
      <c r="CB158" s="452"/>
      <c r="CC158" s="452"/>
      <c r="CD158" s="452"/>
      <c r="CE158" s="452"/>
      <c r="CF158" s="452"/>
      <c r="CG158" s="452"/>
      <c r="CH158" s="422"/>
      <c r="CI158" s="422"/>
      <c r="CJ158" s="422"/>
      <c r="CK158" s="421"/>
      <c r="CL158" s="421" t="s">
        <v>123</v>
      </c>
      <c r="CM158" s="423"/>
      <c r="CN158" s="421"/>
      <c r="CO158" s="423"/>
      <c r="CP158" s="421"/>
      <c r="CQ158" s="63"/>
      <c r="CR158" s="63"/>
      <c r="CS158" s="63"/>
      <c r="CT158" s="63"/>
      <c r="CU158" s="447"/>
      <c r="CV158" s="447"/>
      <c r="CW158" s="447"/>
      <c r="CX158" s="447"/>
      <c r="CY158" s="447"/>
      <c r="CZ158" s="447"/>
      <c r="DA158" s="447"/>
      <c r="DB158" s="447"/>
      <c r="DC158" s="447"/>
      <c r="DD158" s="447"/>
      <c r="DE158" s="447"/>
      <c r="DF158" s="447"/>
      <c r="DG158" s="447"/>
      <c r="DH158" s="447"/>
      <c r="DI158" s="447"/>
      <c r="DJ158" s="447"/>
      <c r="DK158" s="447"/>
      <c r="DL158" s="67"/>
      <c r="DM158" s="67"/>
      <c r="DN158" s="67"/>
      <c r="DO158" s="67"/>
      <c r="DP158" s="67"/>
      <c r="DQ158" s="67"/>
    </row>
    <row r="159" ht="22.5" customHeight="1">
      <c r="A159" s="383"/>
      <c r="B159" s="384" t="str">
        <f>IFERROR(__xludf.DUMMYFUNCTION("IF(B$43="""","""",IF($AZ159="""","""",IFERROR(Query({CarteirasAtivos},""Select Col3 where Col1 = '""&amp;$AZ159&amp;""'and Col2 = '""&amp;S$21&amp;""'""))))"),"")</f>
        <v/>
      </c>
      <c r="C159" s="384" t="str">
        <f>IFERROR(__xludf.DUMMYFUNCTION("IF(C$43="""","""",IF($AZ159="""","""",IFERROR(Query({CarteirasAtivos},""Select Col3 where Col1 = '""&amp;$AZ159&amp;""'and Col2 = '""&amp;T$21&amp;""'""))))"),"")</f>
        <v/>
      </c>
      <c r="D159" s="384" t="str">
        <f>IFERROR(__xludf.DUMMYFUNCTION("IF(D$43="""","""",IF($AZ159="""","""",IFERROR(Query({CarteirasAtivos},""Select Col3 where Col1 = '""&amp;$AZ159&amp;""'and Col2 = '""&amp;U$21&amp;""'""))))"),"")</f>
        <v/>
      </c>
      <c r="E159" s="384" t="str">
        <f>IFERROR(__xludf.DUMMYFUNCTION("IF(E$43="""","""",IF($AZ159="""","""",IFERROR(Query({CarteirasAtivos},""Select Col3 where Col1 = '""&amp;$AZ159&amp;""'and Col2 = '""&amp;V$21&amp;""'""))))"),"")</f>
        <v/>
      </c>
      <c r="F159" s="384" t="str">
        <f>IFERROR(__xludf.DUMMYFUNCTION("IF(F$43="""","""",IF($AZ159="""","""",IFERROR(Query({CarteirasAtivos},""Select Col3 where Col1 = '""&amp;$AZ159&amp;""'and Col2 = '""&amp;W$21&amp;""'""))))"),"")</f>
        <v/>
      </c>
      <c r="G159" s="384" t="str">
        <f>IFERROR(__xludf.DUMMYFUNCTION("IF(G$43="""","""",IF($AZ159="""","""",IFERROR(Query({CarteirasAtivos},""Select Col3 where Col1 = '""&amp;$AZ159&amp;""'and Col2 = '""&amp;X$21&amp;""'""))))"),"")</f>
        <v/>
      </c>
      <c r="H159" s="384" t="str">
        <f>IFERROR(__xludf.DUMMYFUNCTION("IF(H$43="""","""",IF($AZ159="""","""",IFERROR(Query({CarteirasAtivos},""Select Col3 where Col1 = '""&amp;$AZ159&amp;""'and Col2 = '""&amp;Y$21&amp;""'""))))"),"")</f>
        <v/>
      </c>
      <c r="I159" s="384" t="str">
        <f>IFERROR(__xludf.DUMMYFUNCTION("IF(I$43="""","""",IF($AZ159="""","""",IFERROR(Query({CarteirasAtivos},""Select Col3 where Col1 = '""&amp;$AZ159&amp;""'and Col2 = '""&amp;Z$21&amp;""'""))))"),"")</f>
        <v/>
      </c>
      <c r="J159" s="384" t="str">
        <f>IFERROR(__xludf.DUMMYFUNCTION("IF(J$43="""","""",IF($AZ159="""","""",IFERROR(Query({CarteirasAtivos},""Select Col3 where Col1 = '""&amp;$AZ159&amp;""'and Col2 = '""&amp;AA$21&amp;""'""))))"),"")</f>
        <v/>
      </c>
      <c r="K159" s="384" t="str">
        <f>IFERROR(__xludf.DUMMYFUNCTION("IF(K$43="""","""",IF($AZ159="""","""",IFERROR(Query({CarteirasAtivos},""Select Col3 where Col1 = '""&amp;$AZ159&amp;""'and Col2 = '""&amp;AB$21&amp;""'""))))"),"")</f>
        <v/>
      </c>
      <c r="L159" s="385">
        <v>116.0</v>
      </c>
      <c r="M159" s="503"/>
      <c r="N159" s="387"/>
      <c r="O159" s="388" t="s">
        <v>123</v>
      </c>
      <c r="P159" s="389"/>
      <c r="Q159" s="390"/>
      <c r="R159" s="391"/>
      <c r="S159" s="392"/>
      <c r="T159" s="393"/>
      <c r="U159" s="393"/>
      <c r="V159" s="394"/>
      <c r="W159" s="395" t="str">
        <f>IFERROR(__xludf.DUMMYFUNCTION("IF(M159="""","""",sparkline(IFERROR(BF159*100/MAX($BF$44:$BF$153),0),{""charttype"",""bar"";""max"",100;""color1"",IF(BD159&gt;=0,""#4760a5"",""red"")}))"),"")</f>
        <v/>
      </c>
      <c r="X159" s="396"/>
      <c r="Y159" s="466"/>
      <c r="Z159" s="398"/>
      <c r="AA159" s="399"/>
      <c r="AB159" s="393"/>
      <c r="AC159" s="476"/>
      <c r="AD159" s="401"/>
      <c r="AE159" s="402"/>
      <c r="AF159" s="403"/>
      <c r="AG159" s="404" t="str">
        <f>IFERROR(__xludf.DUMMYFUNCTION("IF($M159="""","""",IFERROR(sparkline(query(GOOGLEFINANCE($AZ159,""price"",TODAY()-$AF$43,TODAY(),1),""select Col2 label Col2 ''""),IF($AG$43=""Gráfico de barras"",{""charttype"",""column"";""highcolor"",""red""},{""chartype"",""line""}))))"),"")</f>
        <v/>
      </c>
      <c r="AH159" s="405"/>
      <c r="AI159" s="467"/>
      <c r="AJ159" s="467"/>
      <c r="AK159" s="467"/>
      <c r="AL159" s="467"/>
      <c r="AM159" s="442"/>
      <c r="AN159" s="442"/>
      <c r="AU159" s="281"/>
      <c r="AV159" s="281"/>
      <c r="AW159" s="281"/>
      <c r="AX159" s="281"/>
      <c r="AY159" s="410">
        <v>116.0</v>
      </c>
      <c r="AZ159" s="411"/>
      <c r="BA159" s="411"/>
      <c r="BB159" s="437"/>
      <c r="BC159" s="437"/>
      <c r="BD159" s="437"/>
      <c r="BE159" s="437"/>
      <c r="BF159" s="415" t="s">
        <v>123</v>
      </c>
      <c r="BG159" s="410">
        <v>116.0</v>
      </c>
      <c r="BH159" s="416"/>
      <c r="BI159" s="416"/>
      <c r="BJ159" s="416"/>
      <c r="BK159" s="416"/>
      <c r="BL159" s="416"/>
      <c r="BM159" s="416"/>
      <c r="BN159" s="282"/>
      <c r="BO159" s="490"/>
      <c r="BP159" s="489"/>
      <c r="BQ159" s="489"/>
      <c r="BR159" s="489"/>
      <c r="BS159" s="489"/>
      <c r="BT159" s="489"/>
      <c r="BU159" s="489"/>
      <c r="BV159" s="489"/>
      <c r="BW159" s="63"/>
      <c r="BX159" s="62"/>
      <c r="BY159" s="452"/>
      <c r="BZ159" s="452"/>
      <c r="CA159" s="452"/>
      <c r="CB159" s="452"/>
      <c r="CC159" s="452"/>
      <c r="CD159" s="452"/>
      <c r="CE159" s="452"/>
      <c r="CF159" s="452"/>
      <c r="CG159" s="452"/>
      <c r="CH159" s="422"/>
      <c r="CI159" s="422"/>
      <c r="CJ159" s="422"/>
      <c r="CK159" s="421"/>
      <c r="CL159" s="421" t="s">
        <v>123</v>
      </c>
      <c r="CM159" s="423"/>
      <c r="CN159" s="421"/>
      <c r="CO159" s="423"/>
      <c r="CP159" s="421"/>
      <c r="CQ159" s="63"/>
      <c r="CR159" s="63"/>
      <c r="CS159" s="63"/>
      <c r="CT159" s="63"/>
      <c r="CU159" s="447"/>
      <c r="CV159" s="447"/>
      <c r="CW159" s="447"/>
      <c r="CX159" s="447"/>
      <c r="CY159" s="447"/>
      <c r="CZ159" s="447"/>
      <c r="DA159" s="447"/>
      <c r="DB159" s="447"/>
      <c r="DC159" s="447"/>
      <c r="DD159" s="447"/>
      <c r="DE159" s="447"/>
      <c r="DF159" s="447"/>
      <c r="DG159" s="447"/>
      <c r="DH159" s="447"/>
      <c r="DI159" s="447"/>
      <c r="DJ159" s="447"/>
      <c r="DK159" s="447"/>
      <c r="DL159" s="67"/>
      <c r="DM159" s="67"/>
      <c r="DN159" s="67"/>
      <c r="DO159" s="67"/>
      <c r="DP159" s="67"/>
      <c r="DQ159" s="67"/>
    </row>
    <row r="160" ht="22.5" customHeight="1">
      <c r="A160" s="383"/>
      <c r="B160" s="384" t="str">
        <f>IFERROR(__xludf.DUMMYFUNCTION("IF(B$43="""","""",IF($AZ160="""","""",IFERROR(Query({CarteirasAtivos},""Select Col3 where Col1 = '""&amp;$AZ160&amp;""'and Col2 = '""&amp;S$21&amp;""'""))))"),"")</f>
        <v/>
      </c>
      <c r="C160" s="384" t="str">
        <f>IFERROR(__xludf.DUMMYFUNCTION("IF(C$43="""","""",IF($AZ160="""","""",IFERROR(Query({CarteirasAtivos},""Select Col3 where Col1 = '""&amp;$AZ160&amp;""'and Col2 = '""&amp;T$21&amp;""'""))))"),"")</f>
        <v/>
      </c>
      <c r="D160" s="384" t="str">
        <f>IFERROR(__xludf.DUMMYFUNCTION("IF(D$43="""","""",IF($AZ160="""","""",IFERROR(Query({CarteirasAtivos},""Select Col3 where Col1 = '""&amp;$AZ160&amp;""'and Col2 = '""&amp;U$21&amp;""'""))))"),"")</f>
        <v/>
      </c>
      <c r="E160" s="384" t="str">
        <f>IFERROR(__xludf.DUMMYFUNCTION("IF(E$43="""","""",IF($AZ160="""","""",IFERROR(Query({CarteirasAtivos},""Select Col3 where Col1 = '""&amp;$AZ160&amp;""'and Col2 = '""&amp;V$21&amp;""'""))))"),"")</f>
        <v/>
      </c>
      <c r="F160" s="384" t="str">
        <f>IFERROR(__xludf.DUMMYFUNCTION("IF(F$43="""","""",IF($AZ160="""","""",IFERROR(Query({CarteirasAtivos},""Select Col3 where Col1 = '""&amp;$AZ160&amp;""'and Col2 = '""&amp;W$21&amp;""'""))))"),"")</f>
        <v/>
      </c>
      <c r="G160" s="384" t="str">
        <f>IFERROR(__xludf.DUMMYFUNCTION("IF(G$43="""","""",IF($AZ160="""","""",IFERROR(Query({CarteirasAtivos},""Select Col3 where Col1 = '""&amp;$AZ160&amp;""'and Col2 = '""&amp;X$21&amp;""'""))))"),"")</f>
        <v/>
      </c>
      <c r="H160" s="384" t="str">
        <f>IFERROR(__xludf.DUMMYFUNCTION("IF(H$43="""","""",IF($AZ160="""","""",IFERROR(Query({CarteirasAtivos},""Select Col3 where Col1 = '""&amp;$AZ160&amp;""'and Col2 = '""&amp;Y$21&amp;""'""))))"),"")</f>
        <v/>
      </c>
      <c r="I160" s="384" t="str">
        <f>IFERROR(__xludf.DUMMYFUNCTION("IF(I$43="""","""",IF($AZ160="""","""",IFERROR(Query({CarteirasAtivos},""Select Col3 where Col1 = '""&amp;$AZ160&amp;""'and Col2 = '""&amp;Z$21&amp;""'""))))"),"")</f>
        <v/>
      </c>
      <c r="J160" s="384" t="str">
        <f>IFERROR(__xludf.DUMMYFUNCTION("IF(J$43="""","""",IF($AZ160="""","""",IFERROR(Query({CarteirasAtivos},""Select Col3 where Col1 = '""&amp;$AZ160&amp;""'and Col2 = '""&amp;AA$21&amp;""'""))))"),"")</f>
        <v/>
      </c>
      <c r="K160" s="384" t="str">
        <f>IFERROR(__xludf.DUMMYFUNCTION("IF(K$43="""","""",IF($AZ160="""","""",IFERROR(Query({CarteirasAtivos},""Select Col3 where Col1 = '""&amp;$AZ160&amp;""'and Col2 = '""&amp;AB$21&amp;""'""))))"),"")</f>
        <v/>
      </c>
      <c r="L160" s="385">
        <v>117.0</v>
      </c>
      <c r="M160" s="503"/>
      <c r="N160" s="387"/>
      <c r="O160" s="388" t="s">
        <v>123</v>
      </c>
      <c r="P160" s="389"/>
      <c r="Q160" s="390"/>
      <c r="R160" s="391"/>
      <c r="S160" s="392"/>
      <c r="T160" s="393"/>
      <c r="U160" s="393"/>
      <c r="V160" s="394"/>
      <c r="W160" s="395" t="str">
        <f>IFERROR(__xludf.DUMMYFUNCTION("IF(M160="""","""",sparkline(IFERROR(BF160*100/MAX($BF$44:$BF$153),0),{""charttype"",""bar"";""max"",100;""color1"",IF(BD160&gt;=0,""#4760a5"",""red"")}))"),"")</f>
        <v/>
      </c>
      <c r="X160" s="396"/>
      <c r="Y160" s="466"/>
      <c r="Z160" s="398"/>
      <c r="AA160" s="399"/>
      <c r="AB160" s="393"/>
      <c r="AC160" s="476"/>
      <c r="AD160" s="401"/>
      <c r="AE160" s="402"/>
      <c r="AF160" s="403"/>
      <c r="AG160" s="404" t="str">
        <f>IFERROR(__xludf.DUMMYFUNCTION("IF($M160="""","""",IFERROR(sparkline(query(GOOGLEFINANCE($AZ160,""price"",TODAY()-$AF$43,TODAY(),1),""select Col2 label Col2 ''""),IF($AG$43=""Gráfico de barras"",{""charttype"",""column"";""highcolor"",""red""},{""chartype"",""line""}))))"),"")</f>
        <v/>
      </c>
      <c r="AH160" s="405"/>
      <c r="AI160" s="467"/>
      <c r="AJ160" s="467"/>
      <c r="AK160" s="467"/>
      <c r="AL160" s="467"/>
      <c r="AM160" s="442"/>
      <c r="AN160" s="442"/>
      <c r="AU160" s="281"/>
      <c r="AV160" s="281"/>
      <c r="AW160" s="281"/>
      <c r="AX160" s="281"/>
      <c r="AY160" s="410">
        <v>117.0</v>
      </c>
      <c r="AZ160" s="411"/>
      <c r="BA160" s="411"/>
      <c r="BB160" s="437"/>
      <c r="BC160" s="437"/>
      <c r="BD160" s="437"/>
      <c r="BE160" s="437"/>
      <c r="BF160" s="415" t="s">
        <v>123</v>
      </c>
      <c r="BG160" s="410">
        <v>117.0</v>
      </c>
      <c r="BH160" s="416"/>
      <c r="BI160" s="416"/>
      <c r="BJ160" s="416"/>
      <c r="BK160" s="416"/>
      <c r="BL160" s="416"/>
      <c r="BM160" s="416"/>
      <c r="BN160" s="282"/>
      <c r="BO160" s="490"/>
      <c r="BP160" s="489"/>
      <c r="BQ160" s="489"/>
      <c r="BR160" s="489"/>
      <c r="BS160" s="489"/>
      <c r="BT160" s="489"/>
      <c r="BU160" s="489"/>
      <c r="BV160" s="489"/>
      <c r="BW160" s="63"/>
      <c r="BX160" s="62"/>
      <c r="BY160" s="452"/>
      <c r="BZ160" s="452"/>
      <c r="CA160" s="452"/>
      <c r="CB160" s="452"/>
      <c r="CC160" s="452"/>
      <c r="CD160" s="452"/>
      <c r="CE160" s="452"/>
      <c r="CF160" s="452"/>
      <c r="CG160" s="452"/>
      <c r="CH160" s="422"/>
      <c r="CI160" s="422"/>
      <c r="CJ160" s="422"/>
      <c r="CK160" s="421"/>
      <c r="CL160" s="421" t="s">
        <v>123</v>
      </c>
      <c r="CM160" s="423"/>
      <c r="CN160" s="421"/>
      <c r="CO160" s="423"/>
      <c r="CP160" s="421"/>
      <c r="CQ160" s="63"/>
      <c r="CR160" s="63"/>
      <c r="CS160" s="63"/>
      <c r="CT160" s="63"/>
      <c r="CU160" s="447"/>
      <c r="CV160" s="447"/>
      <c r="CW160" s="447"/>
      <c r="CX160" s="447"/>
      <c r="CY160" s="447"/>
      <c r="CZ160" s="447"/>
      <c r="DA160" s="447"/>
      <c r="DB160" s="447"/>
      <c r="DC160" s="447"/>
      <c r="DD160" s="447"/>
      <c r="DE160" s="447"/>
      <c r="DF160" s="447"/>
      <c r="DG160" s="447"/>
      <c r="DH160" s="447"/>
      <c r="DI160" s="447"/>
      <c r="DJ160" s="447"/>
      <c r="DK160" s="447"/>
      <c r="DL160" s="67"/>
      <c r="DM160" s="67"/>
      <c r="DN160" s="67"/>
      <c r="DO160" s="67"/>
      <c r="DP160" s="67"/>
      <c r="DQ160" s="67"/>
    </row>
    <row r="161" ht="22.5" customHeight="1">
      <c r="A161" s="383"/>
      <c r="B161" s="384" t="str">
        <f>IFERROR(__xludf.DUMMYFUNCTION("IF(B$43="""","""",IF($AZ161="""","""",IFERROR(Query({CarteirasAtivos},""Select Col3 where Col1 = '""&amp;$AZ161&amp;""'and Col2 = '""&amp;S$21&amp;""'""))))"),"")</f>
        <v/>
      </c>
      <c r="C161" s="384" t="str">
        <f>IFERROR(__xludf.DUMMYFUNCTION("IF(C$43="""","""",IF($AZ161="""","""",IFERROR(Query({CarteirasAtivos},""Select Col3 where Col1 = '""&amp;$AZ161&amp;""'and Col2 = '""&amp;T$21&amp;""'""))))"),"")</f>
        <v/>
      </c>
      <c r="D161" s="384" t="str">
        <f>IFERROR(__xludf.DUMMYFUNCTION("IF(D$43="""","""",IF($AZ161="""","""",IFERROR(Query({CarteirasAtivos},""Select Col3 where Col1 = '""&amp;$AZ161&amp;""'and Col2 = '""&amp;U$21&amp;""'""))))"),"")</f>
        <v/>
      </c>
      <c r="E161" s="384" t="str">
        <f>IFERROR(__xludf.DUMMYFUNCTION("IF(E$43="""","""",IF($AZ161="""","""",IFERROR(Query({CarteirasAtivos},""Select Col3 where Col1 = '""&amp;$AZ161&amp;""'and Col2 = '""&amp;V$21&amp;""'""))))"),"")</f>
        <v/>
      </c>
      <c r="F161" s="384" t="str">
        <f>IFERROR(__xludf.DUMMYFUNCTION("IF(F$43="""","""",IF($AZ161="""","""",IFERROR(Query({CarteirasAtivos},""Select Col3 where Col1 = '""&amp;$AZ161&amp;""'and Col2 = '""&amp;W$21&amp;""'""))))"),"")</f>
        <v/>
      </c>
      <c r="G161" s="384" t="str">
        <f>IFERROR(__xludf.DUMMYFUNCTION("IF(G$43="""","""",IF($AZ161="""","""",IFERROR(Query({CarteirasAtivos},""Select Col3 where Col1 = '""&amp;$AZ161&amp;""'and Col2 = '""&amp;X$21&amp;""'""))))"),"")</f>
        <v/>
      </c>
      <c r="H161" s="384" t="str">
        <f>IFERROR(__xludf.DUMMYFUNCTION("IF(H$43="""","""",IF($AZ161="""","""",IFERROR(Query({CarteirasAtivos},""Select Col3 where Col1 = '""&amp;$AZ161&amp;""'and Col2 = '""&amp;Y$21&amp;""'""))))"),"")</f>
        <v/>
      </c>
      <c r="I161" s="384" t="str">
        <f>IFERROR(__xludf.DUMMYFUNCTION("IF(I$43="""","""",IF($AZ161="""","""",IFERROR(Query({CarteirasAtivos},""Select Col3 where Col1 = '""&amp;$AZ161&amp;""'and Col2 = '""&amp;Z$21&amp;""'""))))"),"")</f>
        <v/>
      </c>
      <c r="J161" s="384" t="str">
        <f>IFERROR(__xludf.DUMMYFUNCTION("IF(J$43="""","""",IF($AZ161="""","""",IFERROR(Query({CarteirasAtivos},""Select Col3 where Col1 = '""&amp;$AZ161&amp;""'and Col2 = '""&amp;AA$21&amp;""'""))))"),"")</f>
        <v/>
      </c>
      <c r="K161" s="384" t="str">
        <f>IFERROR(__xludf.DUMMYFUNCTION("IF(K$43="""","""",IF($AZ161="""","""",IFERROR(Query({CarteirasAtivos},""Select Col3 where Col1 = '""&amp;$AZ161&amp;""'and Col2 = '""&amp;AB$21&amp;""'""))))"),"")</f>
        <v/>
      </c>
      <c r="L161" s="385">
        <v>118.0</v>
      </c>
      <c r="M161" s="503"/>
      <c r="N161" s="387"/>
      <c r="O161" s="388" t="s">
        <v>123</v>
      </c>
      <c r="P161" s="389"/>
      <c r="Q161" s="390"/>
      <c r="R161" s="391"/>
      <c r="S161" s="392"/>
      <c r="T161" s="393"/>
      <c r="U161" s="393"/>
      <c r="V161" s="394"/>
      <c r="W161" s="395" t="str">
        <f>IFERROR(__xludf.DUMMYFUNCTION("IF(M161="""","""",sparkline(IFERROR(BF161*100/MAX($BF$44:$BF$153),0),{""charttype"",""bar"";""max"",100;""color1"",IF(BD161&gt;=0,""#4760a5"",""red"")}))"),"")</f>
        <v/>
      </c>
      <c r="X161" s="396"/>
      <c r="Y161" s="466"/>
      <c r="Z161" s="398"/>
      <c r="AA161" s="399"/>
      <c r="AB161" s="393"/>
      <c r="AC161" s="476"/>
      <c r="AD161" s="401"/>
      <c r="AE161" s="402"/>
      <c r="AF161" s="403"/>
      <c r="AG161" s="404" t="str">
        <f>IFERROR(__xludf.DUMMYFUNCTION("IF($M161="""","""",IFERROR(sparkline(query(GOOGLEFINANCE($AZ161,""price"",TODAY()-$AF$43,TODAY(),1),""select Col2 label Col2 ''""),IF($AG$43=""Gráfico de barras"",{""charttype"",""column"";""highcolor"",""red""},{""chartype"",""line""}))))"),"")</f>
        <v/>
      </c>
      <c r="AH161" s="405"/>
      <c r="AI161" s="467"/>
      <c r="AJ161" s="467"/>
      <c r="AK161" s="467"/>
      <c r="AL161" s="467"/>
      <c r="AM161" s="442"/>
      <c r="AN161" s="442"/>
      <c r="AU161" s="281"/>
      <c r="AV161" s="281"/>
      <c r="AW161" s="281"/>
      <c r="AX161" s="281"/>
      <c r="AY161" s="410">
        <v>118.0</v>
      </c>
      <c r="AZ161" s="411"/>
      <c r="BA161" s="411"/>
      <c r="BB161" s="437"/>
      <c r="BC161" s="437"/>
      <c r="BD161" s="437"/>
      <c r="BE161" s="437"/>
      <c r="BF161" s="415" t="s">
        <v>123</v>
      </c>
      <c r="BG161" s="410">
        <v>118.0</v>
      </c>
      <c r="BH161" s="416"/>
      <c r="BI161" s="416"/>
      <c r="BJ161" s="416"/>
      <c r="BK161" s="416"/>
      <c r="BL161" s="416"/>
      <c r="BM161" s="416"/>
      <c r="BN161" s="282"/>
      <c r="BO161" s="490"/>
      <c r="BP161" s="489"/>
      <c r="BQ161" s="489"/>
      <c r="BR161" s="489"/>
      <c r="BS161" s="489"/>
      <c r="BT161" s="489"/>
      <c r="BU161" s="489"/>
      <c r="BV161" s="489"/>
      <c r="BW161" s="63"/>
      <c r="BX161" s="62"/>
      <c r="BY161" s="452"/>
      <c r="BZ161" s="452"/>
      <c r="CA161" s="452"/>
      <c r="CB161" s="452"/>
      <c r="CC161" s="452"/>
      <c r="CD161" s="452"/>
      <c r="CE161" s="452"/>
      <c r="CF161" s="452"/>
      <c r="CG161" s="452"/>
      <c r="CH161" s="422"/>
      <c r="CI161" s="422"/>
      <c r="CJ161" s="422"/>
      <c r="CK161" s="421"/>
      <c r="CL161" s="421" t="s">
        <v>123</v>
      </c>
      <c r="CM161" s="423"/>
      <c r="CN161" s="421"/>
      <c r="CO161" s="423"/>
      <c r="CP161" s="421"/>
      <c r="CQ161" s="63"/>
      <c r="CR161" s="63"/>
      <c r="CS161" s="63"/>
      <c r="CT161" s="63"/>
      <c r="CU161" s="447"/>
      <c r="CV161" s="447"/>
      <c r="CW161" s="447"/>
      <c r="CX161" s="447"/>
      <c r="CY161" s="447"/>
      <c r="CZ161" s="447"/>
      <c r="DA161" s="447"/>
      <c r="DB161" s="447"/>
      <c r="DC161" s="447"/>
      <c r="DD161" s="447"/>
      <c r="DE161" s="447"/>
      <c r="DF161" s="447"/>
      <c r="DG161" s="447"/>
      <c r="DH161" s="447"/>
      <c r="DI161" s="447"/>
      <c r="DJ161" s="447"/>
      <c r="DK161" s="447"/>
      <c r="DL161" s="67"/>
      <c r="DM161" s="67"/>
      <c r="DN161" s="67"/>
      <c r="DO161" s="67"/>
      <c r="DP161" s="67"/>
      <c r="DQ161" s="67"/>
    </row>
    <row r="162" ht="22.5" customHeight="1">
      <c r="A162" s="383"/>
      <c r="B162" s="384" t="str">
        <f>IFERROR(__xludf.DUMMYFUNCTION("IF(B$43="""","""",IF($AZ162="""","""",IFERROR(Query({CarteirasAtivos},""Select Col3 where Col1 = '""&amp;$AZ162&amp;""'and Col2 = '""&amp;S$21&amp;""'""))))"),"")</f>
        <v/>
      </c>
      <c r="C162" s="384" t="str">
        <f>IFERROR(__xludf.DUMMYFUNCTION("IF(C$43="""","""",IF($AZ162="""","""",IFERROR(Query({CarteirasAtivos},""Select Col3 where Col1 = '""&amp;$AZ162&amp;""'and Col2 = '""&amp;T$21&amp;""'""))))"),"")</f>
        <v/>
      </c>
      <c r="D162" s="384" t="str">
        <f>IFERROR(__xludf.DUMMYFUNCTION("IF(D$43="""","""",IF($AZ162="""","""",IFERROR(Query({CarteirasAtivos},""Select Col3 where Col1 = '""&amp;$AZ162&amp;""'and Col2 = '""&amp;U$21&amp;""'""))))"),"")</f>
        <v/>
      </c>
      <c r="E162" s="384" t="str">
        <f>IFERROR(__xludf.DUMMYFUNCTION("IF(E$43="""","""",IF($AZ162="""","""",IFERROR(Query({CarteirasAtivos},""Select Col3 where Col1 = '""&amp;$AZ162&amp;""'and Col2 = '""&amp;V$21&amp;""'""))))"),"")</f>
        <v/>
      </c>
      <c r="F162" s="384" t="str">
        <f>IFERROR(__xludf.DUMMYFUNCTION("IF(F$43="""","""",IF($AZ162="""","""",IFERROR(Query({CarteirasAtivos},""Select Col3 where Col1 = '""&amp;$AZ162&amp;""'and Col2 = '""&amp;W$21&amp;""'""))))"),"")</f>
        <v/>
      </c>
      <c r="G162" s="384" t="str">
        <f>IFERROR(__xludf.DUMMYFUNCTION("IF(G$43="""","""",IF($AZ162="""","""",IFERROR(Query({CarteirasAtivos},""Select Col3 where Col1 = '""&amp;$AZ162&amp;""'and Col2 = '""&amp;X$21&amp;""'""))))"),"")</f>
        <v/>
      </c>
      <c r="H162" s="384" t="str">
        <f>IFERROR(__xludf.DUMMYFUNCTION("IF(H$43="""","""",IF($AZ162="""","""",IFERROR(Query({CarteirasAtivos},""Select Col3 where Col1 = '""&amp;$AZ162&amp;""'and Col2 = '""&amp;Y$21&amp;""'""))))"),"")</f>
        <v/>
      </c>
      <c r="I162" s="384" t="str">
        <f>IFERROR(__xludf.DUMMYFUNCTION("IF(I$43="""","""",IF($AZ162="""","""",IFERROR(Query({CarteirasAtivos},""Select Col3 where Col1 = '""&amp;$AZ162&amp;""'and Col2 = '""&amp;Z$21&amp;""'""))))"),"")</f>
        <v/>
      </c>
      <c r="J162" s="384" t="str">
        <f>IFERROR(__xludf.DUMMYFUNCTION("IF(J$43="""","""",IF($AZ162="""","""",IFERROR(Query({CarteirasAtivos},""Select Col3 where Col1 = '""&amp;$AZ162&amp;""'and Col2 = '""&amp;AA$21&amp;""'""))))"),"")</f>
        <v/>
      </c>
      <c r="K162" s="384" t="str">
        <f>IFERROR(__xludf.DUMMYFUNCTION("IF(K$43="""","""",IF($AZ162="""","""",IFERROR(Query({CarteirasAtivos},""Select Col3 where Col1 = '""&amp;$AZ162&amp;""'and Col2 = '""&amp;AB$21&amp;""'""))))"),"")</f>
        <v/>
      </c>
      <c r="L162" s="385">
        <v>119.0</v>
      </c>
      <c r="M162" s="503"/>
      <c r="N162" s="387"/>
      <c r="O162" s="388" t="s">
        <v>123</v>
      </c>
      <c r="P162" s="389"/>
      <c r="Q162" s="390"/>
      <c r="R162" s="391"/>
      <c r="S162" s="392"/>
      <c r="T162" s="393"/>
      <c r="U162" s="393"/>
      <c r="V162" s="394"/>
      <c r="W162" s="395" t="str">
        <f>IFERROR(__xludf.DUMMYFUNCTION("IF(M162="""","""",sparkline(IFERROR(BF162*100/MAX($BF$44:$BF$153),0),{""charttype"",""bar"";""max"",100;""color1"",IF(BD162&gt;=0,""#4760a5"",""red"")}))"),"")</f>
        <v/>
      </c>
      <c r="X162" s="396"/>
      <c r="Y162" s="466"/>
      <c r="Z162" s="398"/>
      <c r="AA162" s="399"/>
      <c r="AB162" s="393"/>
      <c r="AC162" s="476"/>
      <c r="AD162" s="401"/>
      <c r="AE162" s="402"/>
      <c r="AF162" s="403"/>
      <c r="AG162" s="404" t="str">
        <f>IFERROR(__xludf.DUMMYFUNCTION("IF($M162="""","""",IFERROR(sparkline(query(GOOGLEFINANCE($AZ162,""price"",TODAY()-$AF$43,TODAY(),1),""select Col2 label Col2 ''""),IF($AG$43=""Gráfico de barras"",{""charttype"",""column"";""highcolor"",""red""},{""chartype"",""line""}))))"),"")</f>
        <v/>
      </c>
      <c r="AH162" s="405"/>
      <c r="AI162" s="467"/>
      <c r="AJ162" s="467"/>
      <c r="AK162" s="467"/>
      <c r="AL162" s="467"/>
      <c r="AM162" s="442"/>
      <c r="AN162" s="442"/>
      <c r="AU162" s="281"/>
      <c r="AV162" s="281"/>
      <c r="AW162" s="281"/>
      <c r="AX162" s="281"/>
      <c r="AY162" s="410">
        <v>119.0</v>
      </c>
      <c r="AZ162" s="411"/>
      <c r="BA162" s="411"/>
      <c r="BB162" s="437"/>
      <c r="BC162" s="437"/>
      <c r="BD162" s="437"/>
      <c r="BE162" s="437"/>
      <c r="BF162" s="415" t="s">
        <v>123</v>
      </c>
      <c r="BG162" s="410">
        <v>119.0</v>
      </c>
      <c r="BH162" s="416"/>
      <c r="BI162" s="416"/>
      <c r="BJ162" s="416"/>
      <c r="BK162" s="416"/>
      <c r="BL162" s="416"/>
      <c r="BM162" s="416"/>
      <c r="BN162" s="282"/>
      <c r="BO162" s="490"/>
      <c r="BP162" s="489"/>
      <c r="BQ162" s="489"/>
      <c r="BR162" s="489"/>
      <c r="BS162" s="489"/>
      <c r="BT162" s="489"/>
      <c r="BU162" s="489"/>
      <c r="BV162" s="489"/>
      <c r="BW162" s="63"/>
      <c r="BX162" s="62"/>
      <c r="BY162" s="452"/>
      <c r="BZ162" s="452"/>
      <c r="CA162" s="452"/>
      <c r="CB162" s="452"/>
      <c r="CC162" s="452"/>
      <c r="CD162" s="452"/>
      <c r="CE162" s="452"/>
      <c r="CF162" s="452"/>
      <c r="CG162" s="452"/>
      <c r="CH162" s="422"/>
      <c r="CI162" s="422"/>
      <c r="CJ162" s="422"/>
      <c r="CK162" s="421"/>
      <c r="CL162" s="421" t="s">
        <v>123</v>
      </c>
      <c r="CM162" s="423"/>
      <c r="CN162" s="421"/>
      <c r="CO162" s="423"/>
      <c r="CP162" s="421"/>
      <c r="CQ162" s="63"/>
      <c r="CR162" s="63"/>
      <c r="CS162" s="63"/>
      <c r="CT162" s="63"/>
      <c r="CU162" s="447"/>
      <c r="CV162" s="447"/>
      <c r="CW162" s="447"/>
      <c r="CX162" s="447"/>
      <c r="CY162" s="447"/>
      <c r="CZ162" s="447"/>
      <c r="DA162" s="447"/>
      <c r="DB162" s="447"/>
      <c r="DC162" s="447"/>
      <c r="DD162" s="447"/>
      <c r="DE162" s="447"/>
      <c r="DF162" s="447"/>
      <c r="DG162" s="447"/>
      <c r="DH162" s="447"/>
      <c r="DI162" s="447"/>
      <c r="DJ162" s="447"/>
      <c r="DK162" s="447"/>
      <c r="DL162" s="67"/>
      <c r="DM162" s="67"/>
      <c r="DN162" s="67"/>
      <c r="DO162" s="67"/>
      <c r="DP162" s="67"/>
      <c r="DQ162" s="67"/>
    </row>
    <row r="163" ht="22.5" customHeight="1">
      <c r="A163" s="383"/>
      <c r="B163" s="384" t="str">
        <f>IFERROR(__xludf.DUMMYFUNCTION("IF(B$43="""","""",IF($AZ163="""","""",IFERROR(Query({CarteirasAtivos},""Select Col3 where Col1 = '""&amp;$AZ163&amp;""'and Col2 = '""&amp;S$21&amp;""'""))))"),"")</f>
        <v/>
      </c>
      <c r="C163" s="384" t="str">
        <f>IFERROR(__xludf.DUMMYFUNCTION("IF(C$43="""","""",IF($AZ163="""","""",IFERROR(Query({CarteirasAtivos},""Select Col3 where Col1 = '""&amp;$AZ163&amp;""'and Col2 = '""&amp;T$21&amp;""'""))))"),"")</f>
        <v/>
      </c>
      <c r="D163" s="384" t="str">
        <f>IFERROR(__xludf.DUMMYFUNCTION("IF(D$43="""","""",IF($AZ163="""","""",IFERROR(Query({CarteirasAtivos},""Select Col3 where Col1 = '""&amp;$AZ163&amp;""'and Col2 = '""&amp;U$21&amp;""'""))))"),"")</f>
        <v/>
      </c>
      <c r="E163" s="384" t="str">
        <f>IFERROR(__xludf.DUMMYFUNCTION("IF(E$43="""","""",IF($AZ163="""","""",IFERROR(Query({CarteirasAtivos},""Select Col3 where Col1 = '""&amp;$AZ163&amp;""'and Col2 = '""&amp;V$21&amp;""'""))))"),"")</f>
        <v/>
      </c>
      <c r="F163" s="384" t="str">
        <f>IFERROR(__xludf.DUMMYFUNCTION("IF(F$43="""","""",IF($AZ163="""","""",IFERROR(Query({CarteirasAtivos},""Select Col3 where Col1 = '""&amp;$AZ163&amp;""'and Col2 = '""&amp;W$21&amp;""'""))))"),"")</f>
        <v/>
      </c>
      <c r="G163" s="384" t="str">
        <f>IFERROR(__xludf.DUMMYFUNCTION("IF(G$43="""","""",IF($AZ163="""","""",IFERROR(Query({CarteirasAtivos},""Select Col3 where Col1 = '""&amp;$AZ163&amp;""'and Col2 = '""&amp;X$21&amp;""'""))))"),"")</f>
        <v/>
      </c>
      <c r="H163" s="384" t="str">
        <f>IFERROR(__xludf.DUMMYFUNCTION("IF(H$43="""","""",IF($AZ163="""","""",IFERROR(Query({CarteirasAtivos},""Select Col3 where Col1 = '""&amp;$AZ163&amp;""'and Col2 = '""&amp;Y$21&amp;""'""))))"),"")</f>
        <v/>
      </c>
      <c r="I163" s="384" t="str">
        <f>IFERROR(__xludf.DUMMYFUNCTION("IF(I$43="""","""",IF($AZ163="""","""",IFERROR(Query({CarteirasAtivos},""Select Col3 where Col1 = '""&amp;$AZ163&amp;""'and Col2 = '""&amp;Z$21&amp;""'""))))"),"")</f>
        <v/>
      </c>
      <c r="J163" s="384" t="str">
        <f>IFERROR(__xludf.DUMMYFUNCTION("IF(J$43="""","""",IF($AZ163="""","""",IFERROR(Query({CarteirasAtivos},""Select Col3 where Col1 = '""&amp;$AZ163&amp;""'and Col2 = '""&amp;AA$21&amp;""'""))))"),"")</f>
        <v/>
      </c>
      <c r="K163" s="384" t="str">
        <f>IFERROR(__xludf.DUMMYFUNCTION("IF(K$43="""","""",IF($AZ163="""","""",IFERROR(Query({CarteirasAtivos},""Select Col3 where Col1 = '""&amp;$AZ163&amp;""'and Col2 = '""&amp;AB$21&amp;""'""))))"),"")</f>
        <v/>
      </c>
      <c r="L163" s="385">
        <v>120.0</v>
      </c>
      <c r="M163" s="503"/>
      <c r="N163" s="387"/>
      <c r="O163" s="388" t="s">
        <v>123</v>
      </c>
      <c r="P163" s="389"/>
      <c r="Q163" s="390"/>
      <c r="R163" s="391"/>
      <c r="S163" s="392"/>
      <c r="T163" s="393"/>
      <c r="U163" s="393"/>
      <c r="V163" s="394"/>
      <c r="W163" s="395" t="str">
        <f>IFERROR(__xludf.DUMMYFUNCTION("IF(M163="""","""",sparkline(IFERROR(BF163*100/MAX($BF$44:$BF$153),0),{""charttype"",""bar"";""max"",100;""color1"",IF(BD163&gt;=0,""#4760a5"",""red"")}))"),"")</f>
        <v/>
      </c>
      <c r="X163" s="396"/>
      <c r="Y163" s="466"/>
      <c r="Z163" s="398"/>
      <c r="AA163" s="399"/>
      <c r="AB163" s="393"/>
      <c r="AC163" s="476"/>
      <c r="AD163" s="401"/>
      <c r="AE163" s="402"/>
      <c r="AF163" s="403"/>
      <c r="AG163" s="404" t="str">
        <f>IFERROR(__xludf.DUMMYFUNCTION("IF($M163="""","""",IFERROR(sparkline(query(GOOGLEFINANCE($AZ163,""price"",TODAY()-$AF$43,TODAY(),1),""select Col2 label Col2 ''""),IF($AG$43=""Gráfico de barras"",{""charttype"",""column"";""highcolor"",""red""},{""chartype"",""line""}))))"),"")</f>
        <v/>
      </c>
      <c r="AH163" s="405"/>
      <c r="AI163" s="467"/>
      <c r="AJ163" s="467"/>
      <c r="AK163" s="467"/>
      <c r="AL163" s="467"/>
      <c r="AM163" s="442"/>
      <c r="AN163" s="442"/>
      <c r="AU163" s="281"/>
      <c r="AV163" s="281"/>
      <c r="AW163" s="281"/>
      <c r="AX163" s="281"/>
      <c r="AY163" s="410">
        <v>120.0</v>
      </c>
      <c r="AZ163" s="411"/>
      <c r="BA163" s="411"/>
      <c r="BB163" s="437"/>
      <c r="BC163" s="437"/>
      <c r="BD163" s="437"/>
      <c r="BE163" s="437"/>
      <c r="BF163" s="415" t="s">
        <v>123</v>
      </c>
      <c r="BG163" s="410">
        <v>120.0</v>
      </c>
      <c r="BH163" s="416"/>
      <c r="BI163" s="416"/>
      <c r="BJ163" s="416"/>
      <c r="BK163" s="416"/>
      <c r="BL163" s="416"/>
      <c r="BM163" s="416"/>
      <c r="BN163" s="282"/>
      <c r="BO163" s="490"/>
      <c r="BP163" s="489"/>
      <c r="BQ163" s="489"/>
      <c r="BR163" s="489"/>
      <c r="BS163" s="489"/>
      <c r="BT163" s="489"/>
      <c r="BU163" s="489"/>
      <c r="BV163" s="489"/>
      <c r="BW163" s="63"/>
      <c r="BX163" s="62"/>
      <c r="BY163" s="452"/>
      <c r="BZ163" s="452"/>
      <c r="CA163" s="452"/>
      <c r="CB163" s="452"/>
      <c r="CC163" s="452"/>
      <c r="CD163" s="452"/>
      <c r="CE163" s="452"/>
      <c r="CF163" s="452"/>
      <c r="CG163" s="452"/>
      <c r="CH163" s="422"/>
      <c r="CI163" s="422"/>
      <c r="CJ163" s="422"/>
      <c r="CK163" s="421"/>
      <c r="CL163" s="421" t="s">
        <v>123</v>
      </c>
      <c r="CM163" s="423"/>
      <c r="CN163" s="421"/>
      <c r="CO163" s="423"/>
      <c r="CP163" s="421"/>
      <c r="CQ163" s="63"/>
      <c r="CR163" s="63"/>
      <c r="CS163" s="63"/>
      <c r="CT163" s="63"/>
      <c r="CU163" s="447"/>
      <c r="CV163" s="447"/>
      <c r="CW163" s="447"/>
      <c r="CX163" s="447"/>
      <c r="CY163" s="447"/>
      <c r="CZ163" s="447"/>
      <c r="DA163" s="447"/>
      <c r="DB163" s="447"/>
      <c r="DC163" s="447"/>
      <c r="DD163" s="447"/>
      <c r="DE163" s="447"/>
      <c r="DF163" s="447"/>
      <c r="DG163" s="447"/>
      <c r="DH163" s="447"/>
      <c r="DI163" s="447"/>
      <c r="DJ163" s="447"/>
      <c r="DK163" s="447"/>
      <c r="DL163" s="67"/>
      <c r="DM163" s="67"/>
      <c r="DN163" s="67"/>
      <c r="DO163" s="67"/>
      <c r="DP163" s="67"/>
      <c r="DQ163" s="67"/>
    </row>
    <row r="164" ht="22.5" customHeight="1">
      <c r="A164" s="383"/>
      <c r="B164" s="384" t="str">
        <f>IFERROR(__xludf.DUMMYFUNCTION("IF(B$43="""","""",IF($AZ164="""","""",IFERROR(Query({CarteirasAtivos},""Select Col3 where Col1 = '""&amp;$AZ164&amp;""'and Col2 = '""&amp;S$21&amp;""'""))))"),"")</f>
        <v/>
      </c>
      <c r="C164" s="384" t="str">
        <f>IFERROR(__xludf.DUMMYFUNCTION("IF(C$43="""","""",IF($AZ164="""","""",IFERROR(Query({CarteirasAtivos},""Select Col3 where Col1 = '""&amp;$AZ164&amp;""'and Col2 = '""&amp;T$21&amp;""'""))))"),"")</f>
        <v/>
      </c>
      <c r="D164" s="384" t="str">
        <f>IFERROR(__xludf.DUMMYFUNCTION("IF(D$43="""","""",IF($AZ164="""","""",IFERROR(Query({CarteirasAtivos},""Select Col3 where Col1 = '""&amp;$AZ164&amp;""'and Col2 = '""&amp;U$21&amp;""'""))))"),"")</f>
        <v/>
      </c>
      <c r="E164" s="384" t="str">
        <f>IFERROR(__xludf.DUMMYFUNCTION("IF(E$43="""","""",IF($AZ164="""","""",IFERROR(Query({CarteirasAtivos},""Select Col3 where Col1 = '""&amp;$AZ164&amp;""'and Col2 = '""&amp;V$21&amp;""'""))))"),"")</f>
        <v/>
      </c>
      <c r="F164" s="384" t="str">
        <f>IFERROR(__xludf.DUMMYFUNCTION("IF(F$43="""","""",IF($AZ164="""","""",IFERROR(Query({CarteirasAtivos},""Select Col3 where Col1 = '""&amp;$AZ164&amp;""'and Col2 = '""&amp;W$21&amp;""'""))))"),"")</f>
        <v/>
      </c>
      <c r="G164" s="384" t="str">
        <f>IFERROR(__xludf.DUMMYFUNCTION("IF(G$43="""","""",IF($AZ164="""","""",IFERROR(Query({CarteirasAtivos},""Select Col3 where Col1 = '""&amp;$AZ164&amp;""'and Col2 = '""&amp;X$21&amp;""'""))))"),"")</f>
        <v/>
      </c>
      <c r="H164" s="384" t="str">
        <f>IFERROR(__xludf.DUMMYFUNCTION("IF(H$43="""","""",IF($AZ164="""","""",IFERROR(Query({CarteirasAtivos},""Select Col3 where Col1 = '""&amp;$AZ164&amp;""'and Col2 = '""&amp;Y$21&amp;""'""))))"),"")</f>
        <v/>
      </c>
      <c r="I164" s="384" t="str">
        <f>IFERROR(__xludf.DUMMYFUNCTION("IF(I$43="""","""",IF($AZ164="""","""",IFERROR(Query({CarteirasAtivos},""Select Col3 where Col1 = '""&amp;$AZ164&amp;""'and Col2 = '""&amp;Z$21&amp;""'""))))"),"")</f>
        <v/>
      </c>
      <c r="J164" s="384" t="str">
        <f>IFERROR(__xludf.DUMMYFUNCTION("IF(J$43="""","""",IF($AZ164="""","""",IFERROR(Query({CarteirasAtivos},""Select Col3 where Col1 = '""&amp;$AZ164&amp;""'and Col2 = '""&amp;AA$21&amp;""'""))))"),"")</f>
        <v/>
      </c>
      <c r="K164" s="384" t="str">
        <f>IFERROR(__xludf.DUMMYFUNCTION("IF(K$43="""","""",IF($AZ164="""","""",IFERROR(Query({CarteirasAtivos},""Select Col3 where Col1 = '""&amp;$AZ164&amp;""'and Col2 = '""&amp;AB$21&amp;""'""))))"),"")</f>
        <v/>
      </c>
      <c r="L164" s="385">
        <v>121.0</v>
      </c>
      <c r="M164" s="503"/>
      <c r="N164" s="387"/>
      <c r="O164" s="388" t="s">
        <v>123</v>
      </c>
      <c r="P164" s="389"/>
      <c r="Q164" s="390"/>
      <c r="R164" s="391"/>
      <c r="S164" s="392"/>
      <c r="T164" s="393"/>
      <c r="U164" s="393"/>
      <c r="V164" s="394"/>
      <c r="W164" s="395" t="str">
        <f>IFERROR(__xludf.DUMMYFUNCTION("IF(M164="""","""",sparkline(IFERROR(BF164*100/MAX($BF$44:$BF$153),0),{""charttype"",""bar"";""max"",100;""color1"",IF(BD164&gt;=0,""#4760a5"",""red"")}))"),"")</f>
        <v/>
      </c>
      <c r="X164" s="396"/>
      <c r="Y164" s="466"/>
      <c r="Z164" s="398"/>
      <c r="AA164" s="399"/>
      <c r="AB164" s="393"/>
      <c r="AC164" s="476"/>
      <c r="AD164" s="401"/>
      <c r="AE164" s="402"/>
      <c r="AF164" s="403"/>
      <c r="AG164" s="404" t="str">
        <f>IFERROR(__xludf.DUMMYFUNCTION("IF($M164="""","""",IFERROR(sparkline(query(GOOGLEFINANCE($AZ164,""price"",TODAY()-$AF$43,TODAY(),1),""select Col2 label Col2 ''""),IF($AG$43=""Gráfico de barras"",{""charttype"",""column"";""highcolor"",""red""},{""chartype"",""line""}))))"),"")</f>
        <v/>
      </c>
      <c r="AH164" s="405"/>
      <c r="AI164" s="467"/>
      <c r="AJ164" s="467"/>
      <c r="AK164" s="467"/>
      <c r="AL164" s="467"/>
      <c r="AM164" s="442"/>
      <c r="AN164" s="442"/>
      <c r="AU164" s="281"/>
      <c r="AV164" s="281"/>
      <c r="AW164" s="281"/>
      <c r="AX164" s="281"/>
      <c r="AY164" s="410">
        <v>121.0</v>
      </c>
      <c r="AZ164" s="411"/>
      <c r="BA164" s="411"/>
      <c r="BB164" s="437"/>
      <c r="BC164" s="437"/>
      <c r="BD164" s="437"/>
      <c r="BE164" s="437"/>
      <c r="BF164" s="415" t="s">
        <v>123</v>
      </c>
      <c r="BG164" s="410">
        <v>121.0</v>
      </c>
      <c r="BH164" s="416"/>
      <c r="BI164" s="416"/>
      <c r="BJ164" s="416"/>
      <c r="BK164" s="416"/>
      <c r="BL164" s="416"/>
      <c r="BM164" s="416"/>
      <c r="BN164" s="282"/>
      <c r="BO164" s="490"/>
      <c r="BP164" s="489"/>
      <c r="BQ164" s="489"/>
      <c r="BR164" s="489"/>
      <c r="BS164" s="489"/>
      <c r="BT164" s="489"/>
      <c r="BU164" s="489"/>
      <c r="BV164" s="489"/>
      <c r="BW164" s="63"/>
      <c r="BX164" s="62"/>
      <c r="BY164" s="452"/>
      <c r="BZ164" s="452"/>
      <c r="CA164" s="452"/>
      <c r="CB164" s="452"/>
      <c r="CC164" s="452"/>
      <c r="CD164" s="452"/>
      <c r="CE164" s="452"/>
      <c r="CF164" s="452"/>
      <c r="CG164" s="452"/>
      <c r="CH164" s="422"/>
      <c r="CI164" s="422"/>
      <c r="CJ164" s="422"/>
      <c r="CK164" s="421"/>
      <c r="CL164" s="421" t="s">
        <v>123</v>
      </c>
      <c r="CM164" s="423"/>
      <c r="CN164" s="421"/>
      <c r="CO164" s="423"/>
      <c r="CP164" s="421"/>
      <c r="CQ164" s="63"/>
      <c r="CR164" s="63"/>
      <c r="CS164" s="63"/>
      <c r="CT164" s="63"/>
      <c r="CU164" s="447"/>
      <c r="CV164" s="447"/>
      <c r="CW164" s="447"/>
      <c r="CX164" s="447"/>
      <c r="CY164" s="447"/>
      <c r="CZ164" s="447"/>
      <c r="DA164" s="447"/>
      <c r="DB164" s="447"/>
      <c r="DC164" s="447"/>
      <c r="DD164" s="447"/>
      <c r="DE164" s="447"/>
      <c r="DF164" s="447"/>
      <c r="DG164" s="447"/>
      <c r="DH164" s="447"/>
      <c r="DI164" s="447"/>
      <c r="DJ164" s="447"/>
      <c r="DK164" s="447"/>
      <c r="DL164" s="67"/>
      <c r="DM164" s="67"/>
      <c r="DN164" s="67"/>
      <c r="DO164" s="67"/>
      <c r="DP164" s="67"/>
      <c r="DQ164" s="67"/>
    </row>
    <row r="165" ht="22.5" customHeight="1">
      <c r="A165" s="383"/>
      <c r="B165" s="384" t="str">
        <f>IFERROR(__xludf.DUMMYFUNCTION("IF(B$43="""","""",IF($AZ165="""","""",IFERROR(Query({CarteirasAtivos},""Select Col3 where Col1 = '""&amp;$AZ165&amp;""'and Col2 = '""&amp;S$21&amp;""'""))))"),"")</f>
        <v/>
      </c>
      <c r="C165" s="384" t="str">
        <f>IFERROR(__xludf.DUMMYFUNCTION("IF(C$43="""","""",IF($AZ165="""","""",IFERROR(Query({CarteirasAtivos},""Select Col3 where Col1 = '""&amp;$AZ165&amp;""'and Col2 = '""&amp;T$21&amp;""'""))))"),"")</f>
        <v/>
      </c>
      <c r="D165" s="384" t="str">
        <f>IFERROR(__xludf.DUMMYFUNCTION("IF(D$43="""","""",IF($AZ165="""","""",IFERROR(Query({CarteirasAtivos},""Select Col3 where Col1 = '""&amp;$AZ165&amp;""'and Col2 = '""&amp;U$21&amp;""'""))))"),"")</f>
        <v/>
      </c>
      <c r="E165" s="384" t="str">
        <f>IFERROR(__xludf.DUMMYFUNCTION("IF(E$43="""","""",IF($AZ165="""","""",IFERROR(Query({CarteirasAtivos},""Select Col3 where Col1 = '""&amp;$AZ165&amp;""'and Col2 = '""&amp;V$21&amp;""'""))))"),"")</f>
        <v/>
      </c>
      <c r="F165" s="384" t="str">
        <f>IFERROR(__xludf.DUMMYFUNCTION("IF(F$43="""","""",IF($AZ165="""","""",IFERROR(Query({CarteirasAtivos},""Select Col3 where Col1 = '""&amp;$AZ165&amp;""'and Col2 = '""&amp;W$21&amp;""'""))))"),"")</f>
        <v/>
      </c>
      <c r="G165" s="384" t="str">
        <f>IFERROR(__xludf.DUMMYFUNCTION("IF(G$43="""","""",IF($AZ165="""","""",IFERROR(Query({CarteirasAtivos},""Select Col3 where Col1 = '""&amp;$AZ165&amp;""'and Col2 = '""&amp;X$21&amp;""'""))))"),"")</f>
        <v/>
      </c>
      <c r="H165" s="384" t="str">
        <f>IFERROR(__xludf.DUMMYFUNCTION("IF(H$43="""","""",IF($AZ165="""","""",IFERROR(Query({CarteirasAtivos},""Select Col3 where Col1 = '""&amp;$AZ165&amp;""'and Col2 = '""&amp;Y$21&amp;""'""))))"),"")</f>
        <v/>
      </c>
      <c r="I165" s="384" t="str">
        <f>IFERROR(__xludf.DUMMYFUNCTION("IF(I$43="""","""",IF($AZ165="""","""",IFERROR(Query({CarteirasAtivos},""Select Col3 where Col1 = '""&amp;$AZ165&amp;""'and Col2 = '""&amp;Z$21&amp;""'""))))"),"")</f>
        <v/>
      </c>
      <c r="J165" s="384" t="str">
        <f>IFERROR(__xludf.DUMMYFUNCTION("IF(J$43="""","""",IF($AZ165="""","""",IFERROR(Query({CarteirasAtivos},""Select Col3 where Col1 = '""&amp;$AZ165&amp;""'and Col2 = '""&amp;AA$21&amp;""'""))))"),"")</f>
        <v/>
      </c>
      <c r="K165" s="384" t="str">
        <f>IFERROR(__xludf.DUMMYFUNCTION("IF(K$43="""","""",IF($AZ165="""","""",IFERROR(Query({CarteirasAtivos},""Select Col3 where Col1 = '""&amp;$AZ165&amp;""'and Col2 = '""&amp;AB$21&amp;""'""))))"),"")</f>
        <v/>
      </c>
      <c r="L165" s="385">
        <v>122.0</v>
      </c>
      <c r="M165" s="503"/>
      <c r="N165" s="387"/>
      <c r="O165" s="388" t="s">
        <v>123</v>
      </c>
      <c r="P165" s="389"/>
      <c r="Q165" s="390"/>
      <c r="R165" s="391"/>
      <c r="S165" s="392"/>
      <c r="T165" s="393"/>
      <c r="U165" s="393"/>
      <c r="V165" s="394"/>
      <c r="W165" s="395" t="str">
        <f>IFERROR(__xludf.DUMMYFUNCTION("IF(M165="""","""",sparkline(IFERROR(BF165*100/MAX($BF$44:$BF$153),0),{""charttype"",""bar"";""max"",100;""color1"",IF(BD165&gt;=0,""#4760a5"",""red"")}))"),"")</f>
        <v/>
      </c>
      <c r="X165" s="396"/>
      <c r="Y165" s="466"/>
      <c r="Z165" s="398"/>
      <c r="AA165" s="399"/>
      <c r="AB165" s="393"/>
      <c r="AC165" s="476"/>
      <c r="AD165" s="401"/>
      <c r="AE165" s="402"/>
      <c r="AF165" s="403"/>
      <c r="AG165" s="404" t="str">
        <f>IFERROR(__xludf.DUMMYFUNCTION("IF($M165="""","""",IFERROR(sparkline(query(GOOGLEFINANCE($AZ165,""price"",TODAY()-$AF$43,TODAY(),1),""select Col2 label Col2 ''""),IF($AG$43=""Gráfico de barras"",{""charttype"",""column"";""highcolor"",""red""},{""chartype"",""line""}))))"),"")</f>
        <v/>
      </c>
      <c r="AH165" s="405"/>
      <c r="AI165" s="467"/>
      <c r="AJ165" s="467"/>
      <c r="AK165" s="467"/>
      <c r="AL165" s="467"/>
      <c r="AM165" s="442"/>
      <c r="AN165" s="442"/>
      <c r="AU165" s="281"/>
      <c r="AV165" s="281"/>
      <c r="AW165" s="281"/>
      <c r="AX165" s="281"/>
      <c r="AY165" s="410">
        <v>122.0</v>
      </c>
      <c r="AZ165" s="411"/>
      <c r="BA165" s="411"/>
      <c r="BB165" s="437"/>
      <c r="BC165" s="437"/>
      <c r="BD165" s="437"/>
      <c r="BE165" s="437"/>
      <c r="BF165" s="415" t="s">
        <v>123</v>
      </c>
      <c r="BG165" s="410">
        <v>122.0</v>
      </c>
      <c r="BH165" s="416"/>
      <c r="BI165" s="416"/>
      <c r="BJ165" s="416"/>
      <c r="BK165" s="416"/>
      <c r="BL165" s="416"/>
      <c r="BM165" s="416"/>
      <c r="BN165" s="282"/>
      <c r="BO165" s="490"/>
      <c r="BP165" s="489"/>
      <c r="BQ165" s="489"/>
      <c r="BR165" s="489"/>
      <c r="BS165" s="489"/>
      <c r="BT165" s="489"/>
      <c r="BU165" s="489"/>
      <c r="BV165" s="489"/>
      <c r="BW165" s="63"/>
      <c r="BX165" s="62"/>
      <c r="BY165" s="452"/>
      <c r="BZ165" s="452"/>
      <c r="CA165" s="452"/>
      <c r="CB165" s="452"/>
      <c r="CC165" s="452"/>
      <c r="CD165" s="452"/>
      <c r="CE165" s="452"/>
      <c r="CF165" s="452"/>
      <c r="CG165" s="452"/>
      <c r="CH165" s="422"/>
      <c r="CI165" s="422"/>
      <c r="CJ165" s="422"/>
      <c r="CK165" s="421"/>
      <c r="CL165" s="421" t="s">
        <v>123</v>
      </c>
      <c r="CM165" s="423"/>
      <c r="CN165" s="421"/>
      <c r="CO165" s="423"/>
      <c r="CP165" s="421"/>
      <c r="CQ165" s="63"/>
      <c r="CR165" s="63"/>
      <c r="CS165" s="63"/>
      <c r="CT165" s="63"/>
      <c r="CU165" s="447"/>
      <c r="CV165" s="447"/>
      <c r="CW165" s="447"/>
      <c r="CX165" s="447"/>
      <c r="CY165" s="447"/>
      <c r="CZ165" s="447"/>
      <c r="DA165" s="447"/>
      <c r="DB165" s="447"/>
      <c r="DC165" s="447"/>
      <c r="DD165" s="447"/>
      <c r="DE165" s="447"/>
      <c r="DF165" s="447"/>
      <c r="DG165" s="447"/>
      <c r="DH165" s="447"/>
      <c r="DI165" s="447"/>
      <c r="DJ165" s="447"/>
      <c r="DK165" s="447"/>
      <c r="DL165" s="67"/>
      <c r="DM165" s="67"/>
      <c r="DN165" s="67"/>
      <c r="DO165" s="67"/>
      <c r="DP165" s="67"/>
      <c r="DQ165" s="67"/>
    </row>
    <row r="166" ht="22.5" customHeight="1">
      <c r="A166" s="383"/>
      <c r="B166" s="384" t="str">
        <f>IFERROR(__xludf.DUMMYFUNCTION("IF(B$43="""","""",IF($AZ166="""","""",IFERROR(Query({CarteirasAtivos},""Select Col3 where Col1 = '""&amp;$AZ166&amp;""'and Col2 = '""&amp;S$21&amp;""'""))))"),"")</f>
        <v/>
      </c>
      <c r="C166" s="384" t="str">
        <f>IFERROR(__xludf.DUMMYFUNCTION("IF(C$43="""","""",IF($AZ166="""","""",IFERROR(Query({CarteirasAtivos},""Select Col3 where Col1 = '""&amp;$AZ166&amp;""'and Col2 = '""&amp;T$21&amp;""'""))))"),"")</f>
        <v/>
      </c>
      <c r="D166" s="384" t="str">
        <f>IFERROR(__xludf.DUMMYFUNCTION("IF(D$43="""","""",IF($AZ166="""","""",IFERROR(Query({CarteirasAtivos},""Select Col3 where Col1 = '""&amp;$AZ166&amp;""'and Col2 = '""&amp;U$21&amp;""'""))))"),"")</f>
        <v/>
      </c>
      <c r="E166" s="384" t="str">
        <f>IFERROR(__xludf.DUMMYFUNCTION("IF(E$43="""","""",IF($AZ166="""","""",IFERROR(Query({CarteirasAtivos},""Select Col3 where Col1 = '""&amp;$AZ166&amp;""'and Col2 = '""&amp;V$21&amp;""'""))))"),"")</f>
        <v/>
      </c>
      <c r="F166" s="384" t="str">
        <f>IFERROR(__xludf.DUMMYFUNCTION("IF(F$43="""","""",IF($AZ166="""","""",IFERROR(Query({CarteirasAtivos},""Select Col3 where Col1 = '""&amp;$AZ166&amp;""'and Col2 = '""&amp;W$21&amp;""'""))))"),"")</f>
        <v/>
      </c>
      <c r="G166" s="384" t="str">
        <f>IFERROR(__xludf.DUMMYFUNCTION("IF(G$43="""","""",IF($AZ166="""","""",IFERROR(Query({CarteirasAtivos},""Select Col3 where Col1 = '""&amp;$AZ166&amp;""'and Col2 = '""&amp;X$21&amp;""'""))))"),"")</f>
        <v/>
      </c>
      <c r="H166" s="384" t="str">
        <f>IFERROR(__xludf.DUMMYFUNCTION("IF(H$43="""","""",IF($AZ166="""","""",IFERROR(Query({CarteirasAtivos},""Select Col3 where Col1 = '""&amp;$AZ166&amp;""'and Col2 = '""&amp;Y$21&amp;""'""))))"),"")</f>
        <v/>
      </c>
      <c r="I166" s="384" t="str">
        <f>IFERROR(__xludf.DUMMYFUNCTION("IF(I$43="""","""",IF($AZ166="""","""",IFERROR(Query({CarteirasAtivos},""Select Col3 where Col1 = '""&amp;$AZ166&amp;""'and Col2 = '""&amp;Z$21&amp;""'""))))"),"")</f>
        <v/>
      </c>
      <c r="J166" s="384" t="str">
        <f>IFERROR(__xludf.DUMMYFUNCTION("IF(J$43="""","""",IF($AZ166="""","""",IFERROR(Query({CarteirasAtivos},""Select Col3 where Col1 = '""&amp;$AZ166&amp;""'and Col2 = '""&amp;AA$21&amp;""'""))))"),"")</f>
        <v/>
      </c>
      <c r="K166" s="384" t="str">
        <f>IFERROR(__xludf.DUMMYFUNCTION("IF(K$43="""","""",IF($AZ166="""","""",IFERROR(Query({CarteirasAtivos},""Select Col3 where Col1 = '""&amp;$AZ166&amp;""'and Col2 = '""&amp;AB$21&amp;""'""))))"),"")</f>
        <v/>
      </c>
      <c r="L166" s="385">
        <v>123.0</v>
      </c>
      <c r="M166" s="503"/>
      <c r="N166" s="387"/>
      <c r="O166" s="388" t="s">
        <v>123</v>
      </c>
      <c r="P166" s="389"/>
      <c r="Q166" s="390"/>
      <c r="R166" s="391"/>
      <c r="S166" s="392"/>
      <c r="T166" s="393"/>
      <c r="U166" s="393"/>
      <c r="V166" s="394"/>
      <c r="W166" s="395" t="str">
        <f>IFERROR(__xludf.DUMMYFUNCTION("IF(M166="""","""",sparkline(IFERROR(BF166*100/MAX($BF$44:$BF$153),0),{""charttype"",""bar"";""max"",100;""color1"",IF(BD166&gt;=0,""#4760a5"",""red"")}))"),"")</f>
        <v/>
      </c>
      <c r="X166" s="396"/>
      <c r="Y166" s="466"/>
      <c r="Z166" s="398"/>
      <c r="AA166" s="399"/>
      <c r="AB166" s="393"/>
      <c r="AC166" s="476"/>
      <c r="AD166" s="401"/>
      <c r="AE166" s="402"/>
      <c r="AF166" s="403"/>
      <c r="AG166" s="404" t="str">
        <f>IFERROR(__xludf.DUMMYFUNCTION("IF($M166="""","""",IFERROR(sparkline(query(GOOGLEFINANCE($AZ166,""price"",TODAY()-$AF$43,TODAY(),1),""select Col2 label Col2 ''""),IF($AG$43=""Gráfico de barras"",{""charttype"",""column"";""highcolor"",""red""},{""chartype"",""line""}))))"),"")</f>
        <v/>
      </c>
      <c r="AH166" s="405"/>
      <c r="AI166" s="467"/>
      <c r="AJ166" s="467"/>
      <c r="AK166" s="467"/>
      <c r="AL166" s="467"/>
      <c r="AM166" s="442"/>
      <c r="AN166" s="442"/>
      <c r="AU166" s="281"/>
      <c r="AV166" s="281"/>
      <c r="AW166" s="281"/>
      <c r="AX166" s="281"/>
      <c r="AY166" s="410">
        <v>123.0</v>
      </c>
      <c r="AZ166" s="411"/>
      <c r="BA166" s="411"/>
      <c r="BB166" s="437"/>
      <c r="BC166" s="437"/>
      <c r="BD166" s="437"/>
      <c r="BE166" s="437"/>
      <c r="BF166" s="415" t="s">
        <v>123</v>
      </c>
      <c r="BG166" s="410">
        <v>123.0</v>
      </c>
      <c r="BH166" s="416"/>
      <c r="BI166" s="416"/>
      <c r="BJ166" s="416"/>
      <c r="BK166" s="416"/>
      <c r="BL166" s="416"/>
      <c r="BM166" s="416"/>
      <c r="BN166" s="282"/>
      <c r="BO166" s="490"/>
      <c r="BP166" s="489"/>
      <c r="BQ166" s="489"/>
      <c r="BR166" s="489"/>
      <c r="BS166" s="489"/>
      <c r="BT166" s="489"/>
      <c r="BU166" s="489"/>
      <c r="BV166" s="489"/>
      <c r="BW166" s="63"/>
      <c r="BX166" s="62"/>
      <c r="BY166" s="452"/>
      <c r="BZ166" s="452"/>
      <c r="CA166" s="452"/>
      <c r="CB166" s="452"/>
      <c r="CC166" s="452"/>
      <c r="CD166" s="452"/>
      <c r="CE166" s="452"/>
      <c r="CF166" s="452"/>
      <c r="CG166" s="452"/>
      <c r="CH166" s="422"/>
      <c r="CI166" s="422"/>
      <c r="CJ166" s="422"/>
      <c r="CK166" s="421"/>
      <c r="CL166" s="421" t="s">
        <v>123</v>
      </c>
      <c r="CM166" s="423"/>
      <c r="CN166" s="421"/>
      <c r="CO166" s="423"/>
      <c r="CP166" s="421"/>
      <c r="CQ166" s="63"/>
      <c r="CR166" s="63"/>
      <c r="CS166" s="63"/>
      <c r="CT166" s="63"/>
      <c r="CU166" s="447"/>
      <c r="CV166" s="447"/>
      <c r="CW166" s="447"/>
      <c r="CX166" s="447"/>
      <c r="CY166" s="447"/>
      <c r="CZ166" s="447"/>
      <c r="DA166" s="447"/>
      <c r="DB166" s="447"/>
      <c r="DC166" s="447"/>
      <c r="DD166" s="447"/>
      <c r="DE166" s="447"/>
      <c r="DF166" s="447"/>
      <c r="DG166" s="447"/>
      <c r="DH166" s="447"/>
      <c r="DI166" s="447"/>
      <c r="DJ166" s="447"/>
      <c r="DK166" s="447"/>
      <c r="DL166" s="67"/>
      <c r="DM166" s="67"/>
      <c r="DN166" s="67"/>
      <c r="DO166" s="67"/>
      <c r="DP166" s="67"/>
      <c r="DQ166" s="67"/>
    </row>
    <row r="167" ht="22.5" customHeight="1">
      <c r="A167" s="383"/>
      <c r="B167" s="384" t="str">
        <f>IFERROR(__xludf.DUMMYFUNCTION("IF(B$43="""","""",IF($AZ167="""","""",IFERROR(Query({CarteirasAtivos},""Select Col3 where Col1 = '""&amp;$AZ167&amp;""'and Col2 = '""&amp;S$21&amp;""'""))))"),"")</f>
        <v/>
      </c>
      <c r="C167" s="384" t="str">
        <f>IFERROR(__xludf.DUMMYFUNCTION("IF(C$43="""","""",IF($AZ167="""","""",IFERROR(Query({CarteirasAtivos},""Select Col3 where Col1 = '""&amp;$AZ167&amp;""'and Col2 = '""&amp;T$21&amp;""'""))))"),"")</f>
        <v/>
      </c>
      <c r="D167" s="384" t="str">
        <f>IFERROR(__xludf.DUMMYFUNCTION("IF(D$43="""","""",IF($AZ167="""","""",IFERROR(Query({CarteirasAtivos},""Select Col3 where Col1 = '""&amp;$AZ167&amp;""'and Col2 = '""&amp;U$21&amp;""'""))))"),"")</f>
        <v/>
      </c>
      <c r="E167" s="384" t="str">
        <f>IFERROR(__xludf.DUMMYFUNCTION("IF(E$43="""","""",IF($AZ167="""","""",IFERROR(Query({CarteirasAtivos},""Select Col3 where Col1 = '""&amp;$AZ167&amp;""'and Col2 = '""&amp;V$21&amp;""'""))))"),"")</f>
        <v/>
      </c>
      <c r="F167" s="384" t="str">
        <f>IFERROR(__xludf.DUMMYFUNCTION("IF(F$43="""","""",IF($AZ167="""","""",IFERROR(Query({CarteirasAtivos},""Select Col3 where Col1 = '""&amp;$AZ167&amp;""'and Col2 = '""&amp;W$21&amp;""'""))))"),"")</f>
        <v/>
      </c>
      <c r="G167" s="384" t="str">
        <f>IFERROR(__xludf.DUMMYFUNCTION("IF(G$43="""","""",IF($AZ167="""","""",IFERROR(Query({CarteirasAtivos},""Select Col3 where Col1 = '""&amp;$AZ167&amp;""'and Col2 = '""&amp;X$21&amp;""'""))))"),"")</f>
        <v/>
      </c>
      <c r="H167" s="384" t="str">
        <f>IFERROR(__xludf.DUMMYFUNCTION("IF(H$43="""","""",IF($AZ167="""","""",IFERROR(Query({CarteirasAtivos},""Select Col3 where Col1 = '""&amp;$AZ167&amp;""'and Col2 = '""&amp;Y$21&amp;""'""))))"),"")</f>
        <v/>
      </c>
      <c r="I167" s="384" t="str">
        <f>IFERROR(__xludf.DUMMYFUNCTION("IF(I$43="""","""",IF($AZ167="""","""",IFERROR(Query({CarteirasAtivos},""Select Col3 where Col1 = '""&amp;$AZ167&amp;""'and Col2 = '""&amp;Z$21&amp;""'""))))"),"")</f>
        <v/>
      </c>
      <c r="J167" s="384" t="str">
        <f>IFERROR(__xludf.DUMMYFUNCTION("IF(J$43="""","""",IF($AZ167="""","""",IFERROR(Query({CarteirasAtivos},""Select Col3 where Col1 = '""&amp;$AZ167&amp;""'and Col2 = '""&amp;AA$21&amp;""'""))))"),"")</f>
        <v/>
      </c>
      <c r="K167" s="384" t="str">
        <f>IFERROR(__xludf.DUMMYFUNCTION("IF(K$43="""","""",IF($AZ167="""","""",IFERROR(Query({CarteirasAtivos},""Select Col3 where Col1 = '""&amp;$AZ167&amp;""'and Col2 = '""&amp;AB$21&amp;""'""))))"),"")</f>
        <v/>
      </c>
      <c r="L167" s="385">
        <v>124.0</v>
      </c>
      <c r="M167" s="503"/>
      <c r="N167" s="387"/>
      <c r="O167" s="388" t="s">
        <v>123</v>
      </c>
      <c r="P167" s="389"/>
      <c r="Q167" s="390"/>
      <c r="R167" s="391"/>
      <c r="S167" s="392"/>
      <c r="T167" s="393"/>
      <c r="U167" s="393"/>
      <c r="V167" s="394"/>
      <c r="W167" s="395" t="str">
        <f>IFERROR(__xludf.DUMMYFUNCTION("IF(M167="""","""",sparkline(IFERROR(BF167*100/MAX($BF$44:$BF$153),0),{""charttype"",""bar"";""max"",100;""color1"",IF(BD167&gt;=0,""#4760a5"",""red"")}))"),"")</f>
        <v/>
      </c>
      <c r="X167" s="396"/>
      <c r="Y167" s="466"/>
      <c r="Z167" s="398"/>
      <c r="AA167" s="399"/>
      <c r="AB167" s="393"/>
      <c r="AC167" s="476"/>
      <c r="AD167" s="401"/>
      <c r="AE167" s="402"/>
      <c r="AF167" s="403"/>
      <c r="AG167" s="404" t="str">
        <f>IFERROR(__xludf.DUMMYFUNCTION("IF($M167="""","""",IFERROR(sparkline(query(GOOGLEFINANCE($AZ167,""price"",TODAY()-$AF$43,TODAY(),1),""select Col2 label Col2 ''""),IF($AG$43=""Gráfico de barras"",{""charttype"",""column"";""highcolor"",""red""},{""chartype"",""line""}))))"),"")</f>
        <v/>
      </c>
      <c r="AH167" s="405"/>
      <c r="AI167" s="467"/>
      <c r="AJ167" s="467"/>
      <c r="AK167" s="467"/>
      <c r="AL167" s="467"/>
      <c r="AM167" s="442"/>
      <c r="AN167" s="442"/>
      <c r="AU167" s="281"/>
      <c r="AV167" s="281"/>
      <c r="AW167" s="281"/>
      <c r="AX167" s="281"/>
      <c r="AY167" s="410">
        <v>124.0</v>
      </c>
      <c r="AZ167" s="411"/>
      <c r="BA167" s="411"/>
      <c r="BB167" s="437"/>
      <c r="BC167" s="437"/>
      <c r="BD167" s="437"/>
      <c r="BE167" s="437"/>
      <c r="BF167" s="415" t="s">
        <v>123</v>
      </c>
      <c r="BG167" s="410">
        <v>124.0</v>
      </c>
      <c r="BH167" s="416"/>
      <c r="BI167" s="416"/>
      <c r="BJ167" s="416"/>
      <c r="BK167" s="416"/>
      <c r="BL167" s="416"/>
      <c r="BM167" s="416"/>
      <c r="BN167" s="282"/>
      <c r="BO167" s="490"/>
      <c r="BP167" s="489"/>
      <c r="BQ167" s="489"/>
      <c r="BR167" s="489"/>
      <c r="BS167" s="489"/>
      <c r="BT167" s="489"/>
      <c r="BU167" s="489"/>
      <c r="BV167" s="489"/>
      <c r="BW167" s="63"/>
      <c r="BX167" s="62"/>
      <c r="BY167" s="452"/>
      <c r="BZ167" s="452"/>
      <c r="CA167" s="452"/>
      <c r="CB167" s="452"/>
      <c r="CC167" s="452"/>
      <c r="CD167" s="452"/>
      <c r="CE167" s="452"/>
      <c r="CF167" s="452"/>
      <c r="CG167" s="452"/>
      <c r="CH167" s="422"/>
      <c r="CI167" s="422"/>
      <c r="CJ167" s="422"/>
      <c r="CK167" s="421"/>
      <c r="CL167" s="421" t="s">
        <v>123</v>
      </c>
      <c r="CM167" s="423"/>
      <c r="CN167" s="421"/>
      <c r="CO167" s="423"/>
      <c r="CP167" s="421"/>
      <c r="CQ167" s="63"/>
      <c r="CR167" s="63"/>
      <c r="CS167" s="63"/>
      <c r="CT167" s="63"/>
      <c r="CU167" s="447"/>
      <c r="CV167" s="447"/>
      <c r="CW167" s="447"/>
      <c r="CX167" s="447"/>
      <c r="CY167" s="447"/>
      <c r="CZ167" s="447"/>
      <c r="DA167" s="447"/>
      <c r="DB167" s="447"/>
      <c r="DC167" s="447"/>
      <c r="DD167" s="447"/>
      <c r="DE167" s="447"/>
      <c r="DF167" s="447"/>
      <c r="DG167" s="447"/>
      <c r="DH167" s="447"/>
      <c r="DI167" s="447"/>
      <c r="DJ167" s="447"/>
      <c r="DK167" s="447"/>
      <c r="DL167" s="67"/>
      <c r="DM167" s="67"/>
      <c r="DN167" s="67"/>
      <c r="DO167" s="67"/>
      <c r="DP167" s="67"/>
      <c r="DQ167" s="67"/>
    </row>
    <row r="168" ht="22.5" customHeight="1">
      <c r="A168" s="383"/>
      <c r="B168" s="384" t="str">
        <f>IFERROR(__xludf.DUMMYFUNCTION("IF(B$43="""","""",IF($AZ168="""","""",IFERROR(Query({CarteirasAtivos},""Select Col3 where Col1 = '""&amp;$AZ168&amp;""'and Col2 = '""&amp;S$21&amp;""'""))))"),"")</f>
        <v/>
      </c>
      <c r="C168" s="384" t="str">
        <f>IFERROR(__xludf.DUMMYFUNCTION("IF(C$43="""","""",IF($AZ168="""","""",IFERROR(Query({CarteirasAtivos},""Select Col3 where Col1 = '""&amp;$AZ168&amp;""'and Col2 = '""&amp;T$21&amp;""'""))))"),"")</f>
        <v/>
      </c>
      <c r="D168" s="384" t="str">
        <f>IFERROR(__xludf.DUMMYFUNCTION("IF(D$43="""","""",IF($AZ168="""","""",IFERROR(Query({CarteirasAtivos},""Select Col3 where Col1 = '""&amp;$AZ168&amp;""'and Col2 = '""&amp;U$21&amp;""'""))))"),"")</f>
        <v/>
      </c>
      <c r="E168" s="384" t="str">
        <f>IFERROR(__xludf.DUMMYFUNCTION("IF(E$43="""","""",IF($AZ168="""","""",IFERROR(Query({CarteirasAtivos},""Select Col3 where Col1 = '""&amp;$AZ168&amp;""'and Col2 = '""&amp;V$21&amp;""'""))))"),"")</f>
        <v/>
      </c>
      <c r="F168" s="384" t="str">
        <f>IFERROR(__xludf.DUMMYFUNCTION("IF(F$43="""","""",IF($AZ168="""","""",IFERROR(Query({CarteirasAtivos},""Select Col3 where Col1 = '""&amp;$AZ168&amp;""'and Col2 = '""&amp;W$21&amp;""'""))))"),"")</f>
        <v/>
      </c>
      <c r="G168" s="384" t="str">
        <f>IFERROR(__xludf.DUMMYFUNCTION("IF(G$43="""","""",IF($AZ168="""","""",IFERROR(Query({CarteirasAtivos},""Select Col3 where Col1 = '""&amp;$AZ168&amp;""'and Col2 = '""&amp;X$21&amp;""'""))))"),"")</f>
        <v/>
      </c>
      <c r="H168" s="384" t="str">
        <f>IFERROR(__xludf.DUMMYFUNCTION("IF(H$43="""","""",IF($AZ168="""","""",IFERROR(Query({CarteirasAtivos},""Select Col3 where Col1 = '""&amp;$AZ168&amp;""'and Col2 = '""&amp;Y$21&amp;""'""))))"),"")</f>
        <v/>
      </c>
      <c r="I168" s="384" t="str">
        <f>IFERROR(__xludf.DUMMYFUNCTION("IF(I$43="""","""",IF($AZ168="""","""",IFERROR(Query({CarteirasAtivos},""Select Col3 where Col1 = '""&amp;$AZ168&amp;""'and Col2 = '""&amp;Z$21&amp;""'""))))"),"")</f>
        <v/>
      </c>
      <c r="J168" s="384" t="str">
        <f>IFERROR(__xludf.DUMMYFUNCTION("IF(J$43="""","""",IF($AZ168="""","""",IFERROR(Query({CarteirasAtivos},""Select Col3 where Col1 = '""&amp;$AZ168&amp;""'and Col2 = '""&amp;AA$21&amp;""'""))))"),"")</f>
        <v/>
      </c>
      <c r="K168" s="384" t="str">
        <f>IFERROR(__xludf.DUMMYFUNCTION("IF(K$43="""","""",IF($AZ168="""","""",IFERROR(Query({CarteirasAtivos},""Select Col3 where Col1 = '""&amp;$AZ168&amp;""'and Col2 = '""&amp;AB$21&amp;""'""))))"),"")</f>
        <v/>
      </c>
      <c r="L168" s="385">
        <v>125.0</v>
      </c>
      <c r="M168" s="503"/>
      <c r="N168" s="387"/>
      <c r="O168" s="388" t="s">
        <v>123</v>
      </c>
      <c r="P168" s="389"/>
      <c r="Q168" s="390"/>
      <c r="R168" s="391"/>
      <c r="S168" s="392"/>
      <c r="T168" s="393"/>
      <c r="U168" s="393"/>
      <c r="V168" s="394"/>
      <c r="W168" s="395" t="str">
        <f>IFERROR(__xludf.DUMMYFUNCTION("IF(M168="""","""",sparkline(IFERROR(BF168*100/MAX($BF$44:$BF$153),0),{""charttype"",""bar"";""max"",100;""color1"",IF(BD168&gt;=0,""#4760a5"",""red"")}))"),"")</f>
        <v/>
      </c>
      <c r="X168" s="396"/>
      <c r="Y168" s="466"/>
      <c r="Z168" s="398"/>
      <c r="AA168" s="399"/>
      <c r="AB168" s="393"/>
      <c r="AC168" s="476"/>
      <c r="AD168" s="401"/>
      <c r="AE168" s="402"/>
      <c r="AF168" s="403"/>
      <c r="AG168" s="404" t="str">
        <f>IFERROR(__xludf.DUMMYFUNCTION("IF($M168="""","""",IFERROR(sparkline(query(GOOGLEFINANCE($AZ168,""price"",TODAY()-$AF$43,TODAY(),1),""select Col2 label Col2 ''""),IF($AG$43=""Gráfico de barras"",{""charttype"",""column"";""highcolor"",""red""},{""chartype"",""line""}))))"),"")</f>
        <v/>
      </c>
      <c r="AH168" s="405"/>
      <c r="AI168" s="467"/>
      <c r="AJ168" s="467"/>
      <c r="AK168" s="467"/>
      <c r="AL168" s="467"/>
      <c r="AM168" s="442"/>
      <c r="AN168" s="442"/>
      <c r="AU168" s="281"/>
      <c r="AV168" s="281"/>
      <c r="AW168" s="281"/>
      <c r="AX168" s="281"/>
      <c r="AY168" s="410">
        <v>125.0</v>
      </c>
      <c r="AZ168" s="411"/>
      <c r="BA168" s="411"/>
      <c r="BB168" s="437"/>
      <c r="BC168" s="437"/>
      <c r="BD168" s="437"/>
      <c r="BE168" s="437"/>
      <c r="BF168" s="415" t="s">
        <v>123</v>
      </c>
      <c r="BG168" s="410">
        <v>125.0</v>
      </c>
      <c r="BH168" s="416"/>
      <c r="BI168" s="416"/>
      <c r="BJ168" s="416"/>
      <c r="BK168" s="416"/>
      <c r="BL168" s="416"/>
      <c r="BM168" s="416"/>
      <c r="BN168" s="282"/>
      <c r="BO168" s="490"/>
      <c r="BP168" s="489"/>
      <c r="BQ168" s="489"/>
      <c r="BR168" s="489"/>
      <c r="BS168" s="489"/>
      <c r="BT168" s="489"/>
      <c r="BU168" s="489"/>
      <c r="BV168" s="489"/>
      <c r="BW168" s="63"/>
      <c r="BX168" s="62"/>
      <c r="BY168" s="452"/>
      <c r="BZ168" s="452"/>
      <c r="CA168" s="452"/>
      <c r="CB168" s="452"/>
      <c r="CC168" s="452"/>
      <c r="CD168" s="452"/>
      <c r="CE168" s="452"/>
      <c r="CF168" s="452"/>
      <c r="CG168" s="452"/>
      <c r="CH168" s="422"/>
      <c r="CI168" s="422"/>
      <c r="CJ168" s="422"/>
      <c r="CK168" s="421"/>
      <c r="CL168" s="421" t="s">
        <v>123</v>
      </c>
      <c r="CM168" s="423"/>
      <c r="CN168" s="421"/>
      <c r="CO168" s="423"/>
      <c r="CP168" s="421"/>
      <c r="CQ168" s="63"/>
      <c r="CR168" s="63"/>
      <c r="CS168" s="63"/>
      <c r="CT168" s="63"/>
      <c r="CU168" s="447"/>
      <c r="CV168" s="447"/>
      <c r="CW168" s="447"/>
      <c r="CX168" s="447"/>
      <c r="CY168" s="447"/>
      <c r="CZ168" s="447"/>
      <c r="DA168" s="447"/>
      <c r="DB168" s="447"/>
      <c r="DC168" s="447"/>
      <c r="DD168" s="447"/>
      <c r="DE168" s="447"/>
      <c r="DF168" s="447"/>
      <c r="DG168" s="447"/>
      <c r="DH168" s="447"/>
      <c r="DI168" s="447"/>
      <c r="DJ168" s="447"/>
      <c r="DK168" s="447"/>
      <c r="DL168" s="67"/>
      <c r="DM168" s="67"/>
      <c r="DN168" s="67"/>
      <c r="DO168" s="67"/>
      <c r="DP168" s="67"/>
      <c r="DQ168" s="67"/>
    </row>
    <row r="169" ht="22.5" customHeight="1">
      <c r="A169" s="383"/>
      <c r="B169" s="384" t="str">
        <f>IFERROR(__xludf.DUMMYFUNCTION("IF(B$43="""","""",IF($AZ169="""","""",IFERROR(Query({CarteirasAtivos},""Select Col3 where Col1 = '""&amp;$AZ169&amp;""'and Col2 = '""&amp;S$21&amp;""'""))))"),"")</f>
        <v/>
      </c>
      <c r="C169" s="384" t="str">
        <f>IFERROR(__xludf.DUMMYFUNCTION("IF(C$43="""","""",IF($AZ169="""","""",IFERROR(Query({CarteirasAtivos},""Select Col3 where Col1 = '""&amp;$AZ169&amp;""'and Col2 = '""&amp;T$21&amp;""'""))))"),"")</f>
        <v/>
      </c>
      <c r="D169" s="384" t="str">
        <f>IFERROR(__xludf.DUMMYFUNCTION("IF(D$43="""","""",IF($AZ169="""","""",IFERROR(Query({CarteirasAtivos},""Select Col3 where Col1 = '""&amp;$AZ169&amp;""'and Col2 = '""&amp;U$21&amp;""'""))))"),"")</f>
        <v/>
      </c>
      <c r="E169" s="384" t="str">
        <f>IFERROR(__xludf.DUMMYFUNCTION("IF(E$43="""","""",IF($AZ169="""","""",IFERROR(Query({CarteirasAtivos},""Select Col3 where Col1 = '""&amp;$AZ169&amp;""'and Col2 = '""&amp;V$21&amp;""'""))))"),"")</f>
        <v/>
      </c>
      <c r="F169" s="384" t="str">
        <f>IFERROR(__xludf.DUMMYFUNCTION("IF(F$43="""","""",IF($AZ169="""","""",IFERROR(Query({CarteirasAtivos},""Select Col3 where Col1 = '""&amp;$AZ169&amp;""'and Col2 = '""&amp;W$21&amp;""'""))))"),"")</f>
        <v/>
      </c>
      <c r="G169" s="384" t="str">
        <f>IFERROR(__xludf.DUMMYFUNCTION("IF(G$43="""","""",IF($AZ169="""","""",IFERROR(Query({CarteirasAtivos},""Select Col3 where Col1 = '""&amp;$AZ169&amp;""'and Col2 = '""&amp;X$21&amp;""'""))))"),"")</f>
        <v/>
      </c>
      <c r="H169" s="384" t="str">
        <f>IFERROR(__xludf.DUMMYFUNCTION("IF(H$43="""","""",IF($AZ169="""","""",IFERROR(Query({CarteirasAtivos},""Select Col3 where Col1 = '""&amp;$AZ169&amp;""'and Col2 = '""&amp;Y$21&amp;""'""))))"),"")</f>
        <v/>
      </c>
      <c r="I169" s="384" t="str">
        <f>IFERROR(__xludf.DUMMYFUNCTION("IF(I$43="""","""",IF($AZ169="""","""",IFERROR(Query({CarteirasAtivos},""Select Col3 where Col1 = '""&amp;$AZ169&amp;""'and Col2 = '""&amp;Z$21&amp;""'""))))"),"")</f>
        <v/>
      </c>
      <c r="J169" s="384" t="str">
        <f>IFERROR(__xludf.DUMMYFUNCTION("IF(J$43="""","""",IF($AZ169="""","""",IFERROR(Query({CarteirasAtivos},""Select Col3 where Col1 = '""&amp;$AZ169&amp;""'and Col2 = '""&amp;AA$21&amp;""'""))))"),"")</f>
        <v/>
      </c>
      <c r="K169" s="384" t="str">
        <f>IFERROR(__xludf.DUMMYFUNCTION("IF(K$43="""","""",IF($AZ169="""","""",IFERROR(Query({CarteirasAtivos},""Select Col3 where Col1 = '""&amp;$AZ169&amp;""'and Col2 = '""&amp;AB$21&amp;""'""))))"),"")</f>
        <v/>
      </c>
      <c r="L169" s="385">
        <v>126.0</v>
      </c>
      <c r="M169" s="503"/>
      <c r="N169" s="387"/>
      <c r="O169" s="388" t="s">
        <v>123</v>
      </c>
      <c r="P169" s="389"/>
      <c r="Q169" s="390"/>
      <c r="R169" s="391"/>
      <c r="S169" s="392"/>
      <c r="T169" s="393"/>
      <c r="U169" s="393"/>
      <c r="V169" s="394"/>
      <c r="W169" s="395" t="str">
        <f>IFERROR(__xludf.DUMMYFUNCTION("IF(M169="""","""",sparkline(IFERROR(BF169*100/MAX($BF$44:$BF$153),0),{""charttype"",""bar"";""max"",100;""color1"",IF(BD169&gt;=0,""#4760a5"",""red"")}))"),"")</f>
        <v/>
      </c>
      <c r="X169" s="396"/>
      <c r="Y169" s="466"/>
      <c r="Z169" s="398"/>
      <c r="AA169" s="399"/>
      <c r="AB169" s="393"/>
      <c r="AC169" s="476"/>
      <c r="AD169" s="401"/>
      <c r="AE169" s="402"/>
      <c r="AF169" s="403"/>
      <c r="AG169" s="404" t="str">
        <f>IFERROR(__xludf.DUMMYFUNCTION("IF($M169="""","""",IFERROR(sparkline(query(GOOGLEFINANCE($AZ169,""price"",TODAY()-$AF$43,TODAY(),1),""select Col2 label Col2 ''""),IF($AG$43=""Gráfico de barras"",{""charttype"",""column"";""highcolor"",""red""},{""chartype"",""line""}))))"),"")</f>
        <v/>
      </c>
      <c r="AH169" s="405"/>
      <c r="AI169" s="467"/>
      <c r="AJ169" s="467"/>
      <c r="AK169" s="467"/>
      <c r="AL169" s="467"/>
      <c r="AM169" s="442"/>
      <c r="AN169" s="442"/>
      <c r="AU169" s="281"/>
      <c r="AV169" s="281"/>
      <c r="AW169" s="281"/>
      <c r="AX169" s="281"/>
      <c r="AY169" s="410">
        <v>126.0</v>
      </c>
      <c r="AZ169" s="411"/>
      <c r="BA169" s="411"/>
      <c r="BB169" s="437"/>
      <c r="BC169" s="437"/>
      <c r="BD169" s="437"/>
      <c r="BE169" s="437"/>
      <c r="BF169" s="415" t="s">
        <v>123</v>
      </c>
      <c r="BG169" s="410">
        <v>126.0</v>
      </c>
      <c r="BH169" s="416"/>
      <c r="BI169" s="416"/>
      <c r="BJ169" s="416"/>
      <c r="BK169" s="416"/>
      <c r="BL169" s="416"/>
      <c r="BM169" s="416"/>
      <c r="BN169" s="282"/>
      <c r="BO169" s="490"/>
      <c r="BP169" s="489"/>
      <c r="BQ169" s="489"/>
      <c r="BR169" s="489"/>
      <c r="BS169" s="489"/>
      <c r="BT169" s="489"/>
      <c r="BU169" s="489"/>
      <c r="BV169" s="489"/>
      <c r="BW169" s="63"/>
      <c r="BX169" s="62"/>
      <c r="BY169" s="452"/>
      <c r="BZ169" s="452"/>
      <c r="CA169" s="452"/>
      <c r="CB169" s="452"/>
      <c r="CC169" s="452"/>
      <c r="CD169" s="452"/>
      <c r="CE169" s="452"/>
      <c r="CF169" s="452"/>
      <c r="CG169" s="452"/>
      <c r="CH169" s="422"/>
      <c r="CI169" s="422"/>
      <c r="CJ169" s="422"/>
      <c r="CK169" s="421"/>
      <c r="CL169" s="421" t="s">
        <v>123</v>
      </c>
      <c r="CM169" s="423"/>
      <c r="CN169" s="421"/>
      <c r="CO169" s="423"/>
      <c r="CP169" s="421"/>
      <c r="CQ169" s="63"/>
      <c r="CR169" s="63"/>
      <c r="CS169" s="63"/>
      <c r="CT169" s="63"/>
      <c r="CU169" s="447"/>
      <c r="CV169" s="447"/>
      <c r="CW169" s="447"/>
      <c r="CX169" s="447"/>
      <c r="CY169" s="447"/>
      <c r="CZ169" s="447"/>
      <c r="DA169" s="447"/>
      <c r="DB169" s="447"/>
      <c r="DC169" s="447"/>
      <c r="DD169" s="447"/>
      <c r="DE169" s="447"/>
      <c r="DF169" s="447"/>
      <c r="DG169" s="447"/>
      <c r="DH169" s="447"/>
      <c r="DI169" s="447"/>
      <c r="DJ169" s="447"/>
      <c r="DK169" s="447"/>
      <c r="DL169" s="67"/>
      <c r="DM169" s="67"/>
      <c r="DN169" s="67"/>
      <c r="DO169" s="67"/>
      <c r="DP169" s="67"/>
      <c r="DQ169" s="67"/>
    </row>
    <row r="170" ht="22.5" customHeight="1">
      <c r="A170" s="383"/>
      <c r="B170" s="384" t="str">
        <f>IFERROR(__xludf.DUMMYFUNCTION("IF(B$43="""","""",IF($AZ170="""","""",IFERROR(Query({CarteirasAtivos},""Select Col3 where Col1 = '""&amp;$AZ170&amp;""'and Col2 = '""&amp;S$21&amp;""'""))))"),"")</f>
        <v/>
      </c>
      <c r="C170" s="384" t="str">
        <f>IFERROR(__xludf.DUMMYFUNCTION("IF(C$43="""","""",IF($AZ170="""","""",IFERROR(Query({CarteirasAtivos},""Select Col3 where Col1 = '""&amp;$AZ170&amp;""'and Col2 = '""&amp;T$21&amp;""'""))))"),"")</f>
        <v/>
      </c>
      <c r="D170" s="384" t="str">
        <f>IFERROR(__xludf.DUMMYFUNCTION("IF(D$43="""","""",IF($AZ170="""","""",IFERROR(Query({CarteirasAtivos},""Select Col3 where Col1 = '""&amp;$AZ170&amp;""'and Col2 = '""&amp;U$21&amp;""'""))))"),"")</f>
        <v/>
      </c>
      <c r="E170" s="384" t="str">
        <f>IFERROR(__xludf.DUMMYFUNCTION("IF(E$43="""","""",IF($AZ170="""","""",IFERROR(Query({CarteirasAtivos},""Select Col3 where Col1 = '""&amp;$AZ170&amp;""'and Col2 = '""&amp;V$21&amp;""'""))))"),"")</f>
        <v/>
      </c>
      <c r="F170" s="384" t="str">
        <f>IFERROR(__xludf.DUMMYFUNCTION("IF(F$43="""","""",IF($AZ170="""","""",IFERROR(Query({CarteirasAtivos},""Select Col3 where Col1 = '""&amp;$AZ170&amp;""'and Col2 = '""&amp;W$21&amp;""'""))))"),"")</f>
        <v/>
      </c>
      <c r="G170" s="384" t="str">
        <f>IFERROR(__xludf.DUMMYFUNCTION("IF(G$43="""","""",IF($AZ170="""","""",IFERROR(Query({CarteirasAtivos},""Select Col3 where Col1 = '""&amp;$AZ170&amp;""'and Col2 = '""&amp;X$21&amp;""'""))))"),"")</f>
        <v/>
      </c>
      <c r="H170" s="384" t="str">
        <f>IFERROR(__xludf.DUMMYFUNCTION("IF(H$43="""","""",IF($AZ170="""","""",IFERROR(Query({CarteirasAtivos},""Select Col3 where Col1 = '""&amp;$AZ170&amp;""'and Col2 = '""&amp;Y$21&amp;""'""))))"),"")</f>
        <v/>
      </c>
      <c r="I170" s="384" t="str">
        <f>IFERROR(__xludf.DUMMYFUNCTION("IF(I$43="""","""",IF($AZ170="""","""",IFERROR(Query({CarteirasAtivos},""Select Col3 where Col1 = '""&amp;$AZ170&amp;""'and Col2 = '""&amp;Z$21&amp;""'""))))"),"")</f>
        <v/>
      </c>
      <c r="J170" s="384" t="str">
        <f>IFERROR(__xludf.DUMMYFUNCTION("IF(J$43="""","""",IF($AZ170="""","""",IFERROR(Query({CarteirasAtivos},""Select Col3 where Col1 = '""&amp;$AZ170&amp;""'and Col2 = '""&amp;AA$21&amp;""'""))))"),"")</f>
        <v/>
      </c>
      <c r="K170" s="384" t="str">
        <f>IFERROR(__xludf.DUMMYFUNCTION("IF(K$43="""","""",IF($AZ170="""","""",IFERROR(Query({CarteirasAtivos},""Select Col3 where Col1 = '""&amp;$AZ170&amp;""'and Col2 = '""&amp;AB$21&amp;""'""))))"),"")</f>
        <v/>
      </c>
      <c r="L170" s="385">
        <v>127.0</v>
      </c>
      <c r="M170" s="503"/>
      <c r="N170" s="387"/>
      <c r="O170" s="388" t="s">
        <v>123</v>
      </c>
      <c r="P170" s="389"/>
      <c r="Q170" s="390"/>
      <c r="R170" s="391"/>
      <c r="S170" s="392"/>
      <c r="T170" s="393"/>
      <c r="U170" s="393"/>
      <c r="V170" s="394"/>
      <c r="W170" s="395" t="str">
        <f>IFERROR(__xludf.DUMMYFUNCTION("IF(M170="""","""",sparkline(IFERROR(BF170*100/MAX($BF$44:$BF$153),0),{""charttype"",""bar"";""max"",100;""color1"",IF(BD170&gt;=0,""#4760a5"",""red"")}))"),"")</f>
        <v/>
      </c>
      <c r="X170" s="396"/>
      <c r="Y170" s="466"/>
      <c r="Z170" s="398"/>
      <c r="AA170" s="399"/>
      <c r="AB170" s="393"/>
      <c r="AC170" s="476"/>
      <c r="AD170" s="401"/>
      <c r="AE170" s="402"/>
      <c r="AF170" s="403"/>
      <c r="AG170" s="404" t="str">
        <f>IFERROR(__xludf.DUMMYFUNCTION("IF($M170="""","""",IFERROR(sparkline(query(GOOGLEFINANCE($AZ170,""price"",TODAY()-$AF$43,TODAY(),1),""select Col2 label Col2 ''""),IF($AG$43=""Gráfico de barras"",{""charttype"",""column"";""highcolor"",""red""},{""chartype"",""line""}))))"),"")</f>
        <v/>
      </c>
      <c r="AH170" s="405"/>
      <c r="AI170" s="467"/>
      <c r="AJ170" s="467"/>
      <c r="AK170" s="467"/>
      <c r="AL170" s="467"/>
      <c r="AM170" s="442"/>
      <c r="AN170" s="442"/>
      <c r="AU170" s="281"/>
      <c r="AV170" s="281"/>
      <c r="AW170" s="281"/>
      <c r="AX170" s="281"/>
      <c r="AY170" s="410">
        <v>127.0</v>
      </c>
      <c r="AZ170" s="411"/>
      <c r="BA170" s="411"/>
      <c r="BB170" s="437"/>
      <c r="BC170" s="437"/>
      <c r="BD170" s="437"/>
      <c r="BE170" s="437"/>
      <c r="BF170" s="415" t="s">
        <v>123</v>
      </c>
      <c r="BG170" s="410">
        <v>127.0</v>
      </c>
      <c r="BH170" s="416"/>
      <c r="BI170" s="416"/>
      <c r="BJ170" s="416"/>
      <c r="BK170" s="416"/>
      <c r="BL170" s="416"/>
      <c r="BM170" s="416"/>
      <c r="BN170" s="282"/>
      <c r="BO170" s="490"/>
      <c r="BP170" s="489"/>
      <c r="BQ170" s="489"/>
      <c r="BR170" s="489"/>
      <c r="BS170" s="489"/>
      <c r="BT170" s="489"/>
      <c r="BU170" s="489"/>
      <c r="BV170" s="489"/>
      <c r="BW170" s="63"/>
      <c r="BX170" s="62"/>
      <c r="BY170" s="452"/>
      <c r="BZ170" s="452"/>
      <c r="CA170" s="452"/>
      <c r="CB170" s="452"/>
      <c r="CC170" s="452"/>
      <c r="CD170" s="452"/>
      <c r="CE170" s="452"/>
      <c r="CF170" s="452"/>
      <c r="CG170" s="452"/>
      <c r="CH170" s="422"/>
      <c r="CI170" s="422"/>
      <c r="CJ170" s="422"/>
      <c r="CK170" s="421"/>
      <c r="CL170" s="421" t="s">
        <v>123</v>
      </c>
      <c r="CM170" s="423"/>
      <c r="CN170" s="421"/>
      <c r="CO170" s="423"/>
      <c r="CP170" s="421"/>
      <c r="CQ170" s="63"/>
      <c r="CR170" s="63"/>
      <c r="CS170" s="63"/>
      <c r="CT170" s="63"/>
      <c r="CU170" s="447"/>
      <c r="CV170" s="447"/>
      <c r="CW170" s="447"/>
      <c r="CX170" s="447"/>
      <c r="CY170" s="447"/>
      <c r="CZ170" s="447"/>
      <c r="DA170" s="447"/>
      <c r="DB170" s="447"/>
      <c r="DC170" s="447"/>
      <c r="DD170" s="447"/>
      <c r="DE170" s="447"/>
      <c r="DF170" s="447"/>
      <c r="DG170" s="447"/>
      <c r="DH170" s="447"/>
      <c r="DI170" s="447"/>
      <c r="DJ170" s="447"/>
      <c r="DK170" s="447"/>
      <c r="DL170" s="67"/>
      <c r="DM170" s="67"/>
      <c r="DN170" s="67"/>
      <c r="DO170" s="67"/>
      <c r="DP170" s="67"/>
      <c r="DQ170" s="67"/>
    </row>
    <row r="171" ht="22.5" customHeight="1">
      <c r="A171" s="383"/>
      <c r="B171" s="384" t="str">
        <f>IFERROR(__xludf.DUMMYFUNCTION("IF(B$43="""","""",IF($AZ171="""","""",IFERROR(Query({CarteirasAtivos},""Select Col3 where Col1 = '""&amp;$AZ171&amp;""'and Col2 = '""&amp;S$21&amp;""'""))))"),"")</f>
        <v/>
      </c>
      <c r="C171" s="384" t="str">
        <f>IFERROR(__xludf.DUMMYFUNCTION("IF(C$43="""","""",IF($AZ171="""","""",IFERROR(Query({CarteirasAtivos},""Select Col3 where Col1 = '""&amp;$AZ171&amp;""'and Col2 = '""&amp;T$21&amp;""'""))))"),"")</f>
        <v/>
      </c>
      <c r="D171" s="384" t="str">
        <f>IFERROR(__xludf.DUMMYFUNCTION("IF(D$43="""","""",IF($AZ171="""","""",IFERROR(Query({CarteirasAtivos},""Select Col3 where Col1 = '""&amp;$AZ171&amp;""'and Col2 = '""&amp;U$21&amp;""'""))))"),"")</f>
        <v/>
      </c>
      <c r="E171" s="384" t="str">
        <f>IFERROR(__xludf.DUMMYFUNCTION("IF(E$43="""","""",IF($AZ171="""","""",IFERROR(Query({CarteirasAtivos},""Select Col3 where Col1 = '""&amp;$AZ171&amp;""'and Col2 = '""&amp;V$21&amp;""'""))))"),"")</f>
        <v/>
      </c>
      <c r="F171" s="384" t="str">
        <f>IFERROR(__xludf.DUMMYFUNCTION("IF(F$43="""","""",IF($AZ171="""","""",IFERROR(Query({CarteirasAtivos},""Select Col3 where Col1 = '""&amp;$AZ171&amp;""'and Col2 = '""&amp;W$21&amp;""'""))))"),"")</f>
        <v/>
      </c>
      <c r="G171" s="384" t="str">
        <f>IFERROR(__xludf.DUMMYFUNCTION("IF(G$43="""","""",IF($AZ171="""","""",IFERROR(Query({CarteirasAtivos},""Select Col3 where Col1 = '""&amp;$AZ171&amp;""'and Col2 = '""&amp;X$21&amp;""'""))))"),"")</f>
        <v/>
      </c>
      <c r="H171" s="384" t="str">
        <f>IFERROR(__xludf.DUMMYFUNCTION("IF(H$43="""","""",IF($AZ171="""","""",IFERROR(Query({CarteirasAtivos},""Select Col3 where Col1 = '""&amp;$AZ171&amp;""'and Col2 = '""&amp;Y$21&amp;""'""))))"),"")</f>
        <v/>
      </c>
      <c r="I171" s="384" t="str">
        <f>IFERROR(__xludf.DUMMYFUNCTION("IF(I$43="""","""",IF($AZ171="""","""",IFERROR(Query({CarteirasAtivos},""Select Col3 where Col1 = '""&amp;$AZ171&amp;""'and Col2 = '""&amp;Z$21&amp;""'""))))"),"")</f>
        <v/>
      </c>
      <c r="J171" s="384" t="str">
        <f>IFERROR(__xludf.DUMMYFUNCTION("IF(J$43="""","""",IF($AZ171="""","""",IFERROR(Query({CarteirasAtivos},""Select Col3 where Col1 = '""&amp;$AZ171&amp;""'and Col2 = '""&amp;AA$21&amp;""'""))))"),"")</f>
        <v/>
      </c>
      <c r="K171" s="384" t="str">
        <f>IFERROR(__xludf.DUMMYFUNCTION("IF(K$43="""","""",IF($AZ171="""","""",IFERROR(Query({CarteirasAtivos},""Select Col3 where Col1 = '""&amp;$AZ171&amp;""'and Col2 = '""&amp;AB$21&amp;""'""))))"),"")</f>
        <v/>
      </c>
      <c r="L171" s="385">
        <v>128.0</v>
      </c>
      <c r="M171" s="503"/>
      <c r="N171" s="387"/>
      <c r="O171" s="388" t="s">
        <v>123</v>
      </c>
      <c r="P171" s="389"/>
      <c r="Q171" s="390"/>
      <c r="R171" s="391"/>
      <c r="S171" s="392"/>
      <c r="T171" s="393"/>
      <c r="U171" s="393"/>
      <c r="V171" s="394"/>
      <c r="W171" s="395" t="str">
        <f>IFERROR(__xludf.DUMMYFUNCTION("IF(M171="""","""",sparkline(IFERROR(BF171*100/MAX($BF$44:$BF$153),0),{""charttype"",""bar"";""max"",100;""color1"",IF(BD171&gt;=0,""#4760a5"",""red"")}))"),"")</f>
        <v/>
      </c>
      <c r="X171" s="396"/>
      <c r="Y171" s="466"/>
      <c r="Z171" s="398"/>
      <c r="AA171" s="399"/>
      <c r="AB171" s="393"/>
      <c r="AC171" s="476"/>
      <c r="AD171" s="401"/>
      <c r="AE171" s="402"/>
      <c r="AF171" s="403"/>
      <c r="AG171" s="404" t="str">
        <f>IFERROR(__xludf.DUMMYFUNCTION("IF($M171="""","""",IFERROR(sparkline(query(GOOGLEFINANCE($AZ171,""price"",TODAY()-$AF$43,TODAY(),1),""select Col2 label Col2 ''""),IF($AG$43=""Gráfico de barras"",{""charttype"",""column"";""highcolor"",""red""},{""chartype"",""line""}))))"),"")</f>
        <v/>
      </c>
      <c r="AH171" s="405"/>
      <c r="AI171" s="467"/>
      <c r="AJ171" s="467"/>
      <c r="AK171" s="467"/>
      <c r="AL171" s="467"/>
      <c r="AM171" s="442"/>
      <c r="AN171" s="442"/>
      <c r="AU171" s="281"/>
      <c r="AV171" s="281"/>
      <c r="AW171" s="281"/>
      <c r="AX171" s="281"/>
      <c r="AY171" s="410">
        <v>128.0</v>
      </c>
      <c r="AZ171" s="411"/>
      <c r="BA171" s="411"/>
      <c r="BB171" s="437"/>
      <c r="BC171" s="437"/>
      <c r="BD171" s="437"/>
      <c r="BE171" s="437"/>
      <c r="BF171" s="415" t="s">
        <v>123</v>
      </c>
      <c r="BG171" s="410">
        <v>128.0</v>
      </c>
      <c r="BH171" s="416"/>
      <c r="BI171" s="416"/>
      <c r="BJ171" s="416"/>
      <c r="BK171" s="416"/>
      <c r="BL171" s="416"/>
      <c r="BM171" s="416"/>
      <c r="BN171" s="282"/>
      <c r="BO171" s="490"/>
      <c r="BP171" s="489"/>
      <c r="BQ171" s="489"/>
      <c r="BR171" s="489"/>
      <c r="BS171" s="489"/>
      <c r="BT171" s="489"/>
      <c r="BU171" s="489"/>
      <c r="BV171" s="489"/>
      <c r="BW171" s="63"/>
      <c r="BX171" s="62"/>
      <c r="BY171" s="452"/>
      <c r="BZ171" s="452"/>
      <c r="CA171" s="452"/>
      <c r="CB171" s="452"/>
      <c r="CC171" s="452"/>
      <c r="CD171" s="452"/>
      <c r="CE171" s="452"/>
      <c r="CF171" s="452"/>
      <c r="CG171" s="452"/>
      <c r="CH171" s="422"/>
      <c r="CI171" s="422"/>
      <c r="CJ171" s="422"/>
      <c r="CK171" s="421"/>
      <c r="CL171" s="421" t="s">
        <v>123</v>
      </c>
      <c r="CM171" s="423"/>
      <c r="CN171" s="421"/>
      <c r="CO171" s="423"/>
      <c r="CP171" s="421"/>
      <c r="CQ171" s="63"/>
      <c r="CR171" s="63"/>
      <c r="CS171" s="63"/>
      <c r="CT171" s="63"/>
      <c r="CU171" s="447"/>
      <c r="CV171" s="447"/>
      <c r="CW171" s="447"/>
      <c r="CX171" s="447"/>
      <c r="CY171" s="447"/>
      <c r="CZ171" s="447"/>
      <c r="DA171" s="447"/>
      <c r="DB171" s="447"/>
      <c r="DC171" s="447"/>
      <c r="DD171" s="447"/>
      <c r="DE171" s="447"/>
      <c r="DF171" s="447"/>
      <c r="DG171" s="447"/>
      <c r="DH171" s="447"/>
      <c r="DI171" s="447"/>
      <c r="DJ171" s="447"/>
      <c r="DK171" s="447"/>
      <c r="DL171" s="67"/>
      <c r="DM171" s="67"/>
      <c r="DN171" s="67"/>
      <c r="DO171" s="67"/>
      <c r="DP171" s="67"/>
      <c r="DQ171" s="67"/>
    </row>
    <row r="172" ht="22.5" customHeight="1">
      <c r="A172" s="383"/>
      <c r="B172" s="384" t="str">
        <f>IFERROR(__xludf.DUMMYFUNCTION("IF(B$43="""","""",IF($AZ172="""","""",IFERROR(Query({CarteirasAtivos},""Select Col3 where Col1 = '""&amp;$AZ172&amp;""'and Col2 = '""&amp;S$21&amp;""'""))))"),"")</f>
        <v/>
      </c>
      <c r="C172" s="384" t="str">
        <f>IFERROR(__xludf.DUMMYFUNCTION("IF(C$43="""","""",IF($AZ172="""","""",IFERROR(Query({CarteirasAtivos},""Select Col3 where Col1 = '""&amp;$AZ172&amp;""'and Col2 = '""&amp;T$21&amp;""'""))))"),"")</f>
        <v/>
      </c>
      <c r="D172" s="384" t="str">
        <f>IFERROR(__xludf.DUMMYFUNCTION("IF(D$43="""","""",IF($AZ172="""","""",IFERROR(Query({CarteirasAtivos},""Select Col3 where Col1 = '""&amp;$AZ172&amp;""'and Col2 = '""&amp;U$21&amp;""'""))))"),"")</f>
        <v/>
      </c>
      <c r="E172" s="384" t="str">
        <f>IFERROR(__xludf.DUMMYFUNCTION("IF(E$43="""","""",IF($AZ172="""","""",IFERROR(Query({CarteirasAtivos},""Select Col3 where Col1 = '""&amp;$AZ172&amp;""'and Col2 = '""&amp;V$21&amp;""'""))))"),"")</f>
        <v/>
      </c>
      <c r="F172" s="384" t="str">
        <f>IFERROR(__xludf.DUMMYFUNCTION("IF(F$43="""","""",IF($AZ172="""","""",IFERROR(Query({CarteirasAtivos},""Select Col3 where Col1 = '""&amp;$AZ172&amp;""'and Col2 = '""&amp;W$21&amp;""'""))))"),"")</f>
        <v/>
      </c>
      <c r="G172" s="384" t="str">
        <f>IFERROR(__xludf.DUMMYFUNCTION("IF(G$43="""","""",IF($AZ172="""","""",IFERROR(Query({CarteirasAtivos},""Select Col3 where Col1 = '""&amp;$AZ172&amp;""'and Col2 = '""&amp;X$21&amp;""'""))))"),"")</f>
        <v/>
      </c>
      <c r="H172" s="384" t="str">
        <f>IFERROR(__xludf.DUMMYFUNCTION("IF(H$43="""","""",IF($AZ172="""","""",IFERROR(Query({CarteirasAtivos},""Select Col3 where Col1 = '""&amp;$AZ172&amp;""'and Col2 = '""&amp;Y$21&amp;""'""))))"),"")</f>
        <v/>
      </c>
      <c r="I172" s="384" t="str">
        <f>IFERROR(__xludf.DUMMYFUNCTION("IF(I$43="""","""",IF($AZ172="""","""",IFERROR(Query({CarteirasAtivos},""Select Col3 where Col1 = '""&amp;$AZ172&amp;""'and Col2 = '""&amp;Z$21&amp;""'""))))"),"")</f>
        <v/>
      </c>
      <c r="J172" s="384" t="str">
        <f>IFERROR(__xludf.DUMMYFUNCTION("IF(J$43="""","""",IF($AZ172="""","""",IFERROR(Query({CarteirasAtivos},""Select Col3 where Col1 = '""&amp;$AZ172&amp;""'and Col2 = '""&amp;AA$21&amp;""'""))))"),"")</f>
        <v/>
      </c>
      <c r="K172" s="384" t="str">
        <f>IFERROR(__xludf.DUMMYFUNCTION("IF(K$43="""","""",IF($AZ172="""","""",IFERROR(Query({CarteirasAtivos},""Select Col3 where Col1 = '""&amp;$AZ172&amp;""'and Col2 = '""&amp;AB$21&amp;""'""))))"),"")</f>
        <v/>
      </c>
      <c r="L172" s="385">
        <v>129.0</v>
      </c>
      <c r="M172" s="503"/>
      <c r="N172" s="387"/>
      <c r="O172" s="388" t="s">
        <v>123</v>
      </c>
      <c r="P172" s="389"/>
      <c r="Q172" s="390"/>
      <c r="R172" s="391"/>
      <c r="S172" s="392"/>
      <c r="T172" s="393"/>
      <c r="U172" s="393"/>
      <c r="V172" s="394"/>
      <c r="W172" s="395" t="str">
        <f>IFERROR(__xludf.DUMMYFUNCTION("IF(M172="""","""",sparkline(IFERROR(BF172*100/MAX($BF$44:$BF$153),0),{""charttype"",""bar"";""max"",100;""color1"",IF(BD172&gt;=0,""#4760a5"",""red"")}))"),"")</f>
        <v/>
      </c>
      <c r="X172" s="396"/>
      <c r="Y172" s="466"/>
      <c r="Z172" s="398"/>
      <c r="AA172" s="399"/>
      <c r="AB172" s="393"/>
      <c r="AC172" s="476"/>
      <c r="AD172" s="401"/>
      <c r="AE172" s="402"/>
      <c r="AF172" s="403"/>
      <c r="AG172" s="404" t="str">
        <f>IFERROR(__xludf.DUMMYFUNCTION("IF($M172="""","""",IFERROR(sparkline(query(GOOGLEFINANCE($AZ172,""price"",TODAY()-$AF$43,TODAY(),1),""select Col2 label Col2 ''""),IF($AG$43=""Gráfico de barras"",{""charttype"",""column"";""highcolor"",""red""},{""chartype"",""line""}))))"),"")</f>
        <v/>
      </c>
      <c r="AH172" s="405"/>
      <c r="AI172" s="467"/>
      <c r="AJ172" s="467"/>
      <c r="AK172" s="467"/>
      <c r="AL172" s="467"/>
      <c r="AM172" s="442"/>
      <c r="AN172" s="442"/>
      <c r="AU172" s="281"/>
      <c r="AV172" s="281"/>
      <c r="AW172" s="281"/>
      <c r="AX172" s="281"/>
      <c r="AY172" s="410">
        <v>129.0</v>
      </c>
      <c r="AZ172" s="411"/>
      <c r="BA172" s="411"/>
      <c r="BB172" s="437"/>
      <c r="BC172" s="437"/>
      <c r="BD172" s="437"/>
      <c r="BE172" s="437"/>
      <c r="BF172" s="415" t="s">
        <v>123</v>
      </c>
      <c r="BG172" s="410">
        <v>129.0</v>
      </c>
      <c r="BH172" s="416"/>
      <c r="BI172" s="416"/>
      <c r="BJ172" s="416"/>
      <c r="BK172" s="416"/>
      <c r="BL172" s="416"/>
      <c r="BM172" s="416"/>
      <c r="BN172" s="282"/>
      <c r="BO172" s="490"/>
      <c r="BP172" s="489"/>
      <c r="BQ172" s="489"/>
      <c r="BR172" s="489"/>
      <c r="BS172" s="489"/>
      <c r="BT172" s="489"/>
      <c r="BU172" s="489"/>
      <c r="BV172" s="489"/>
      <c r="BW172" s="63"/>
      <c r="BX172" s="62"/>
      <c r="BY172" s="452"/>
      <c r="BZ172" s="452"/>
      <c r="CA172" s="452"/>
      <c r="CB172" s="452"/>
      <c r="CC172" s="452"/>
      <c r="CD172" s="452"/>
      <c r="CE172" s="452"/>
      <c r="CF172" s="452"/>
      <c r="CG172" s="452"/>
      <c r="CH172" s="422"/>
      <c r="CI172" s="422"/>
      <c r="CJ172" s="422"/>
      <c r="CK172" s="421"/>
      <c r="CL172" s="421" t="s">
        <v>123</v>
      </c>
      <c r="CM172" s="423"/>
      <c r="CN172" s="421"/>
      <c r="CO172" s="423"/>
      <c r="CP172" s="421"/>
      <c r="CQ172" s="63"/>
      <c r="CR172" s="63"/>
      <c r="CS172" s="63"/>
      <c r="CT172" s="63"/>
      <c r="CU172" s="447"/>
      <c r="CV172" s="447"/>
      <c r="CW172" s="447"/>
      <c r="CX172" s="447"/>
      <c r="CY172" s="447"/>
      <c r="CZ172" s="447"/>
      <c r="DA172" s="447"/>
      <c r="DB172" s="447"/>
      <c r="DC172" s="447"/>
      <c r="DD172" s="447"/>
      <c r="DE172" s="447"/>
      <c r="DF172" s="447"/>
      <c r="DG172" s="447"/>
      <c r="DH172" s="447"/>
      <c r="DI172" s="447"/>
      <c r="DJ172" s="447"/>
      <c r="DK172" s="447"/>
      <c r="DL172" s="67"/>
      <c r="DM172" s="67"/>
      <c r="DN172" s="67"/>
      <c r="DO172" s="67"/>
      <c r="DP172" s="67"/>
      <c r="DQ172" s="67"/>
    </row>
    <row r="173" ht="22.5" customHeight="1">
      <c r="A173" s="383"/>
      <c r="B173" s="384" t="str">
        <f>IFERROR(__xludf.DUMMYFUNCTION("IF(B$43="""","""",IF($AZ173="""","""",IFERROR(Query({CarteirasAtivos},""Select Col3 where Col1 = '""&amp;$AZ173&amp;""'and Col2 = '""&amp;S$21&amp;""'""))))"),"")</f>
        <v/>
      </c>
      <c r="C173" s="384" t="str">
        <f>IFERROR(__xludf.DUMMYFUNCTION("IF(C$43="""","""",IF($AZ173="""","""",IFERROR(Query({CarteirasAtivos},""Select Col3 where Col1 = '""&amp;$AZ173&amp;""'and Col2 = '""&amp;T$21&amp;""'""))))"),"")</f>
        <v/>
      </c>
      <c r="D173" s="384" t="str">
        <f>IFERROR(__xludf.DUMMYFUNCTION("IF(D$43="""","""",IF($AZ173="""","""",IFERROR(Query({CarteirasAtivos},""Select Col3 where Col1 = '""&amp;$AZ173&amp;""'and Col2 = '""&amp;U$21&amp;""'""))))"),"")</f>
        <v/>
      </c>
      <c r="E173" s="384" t="str">
        <f>IFERROR(__xludf.DUMMYFUNCTION("IF(E$43="""","""",IF($AZ173="""","""",IFERROR(Query({CarteirasAtivos},""Select Col3 where Col1 = '""&amp;$AZ173&amp;""'and Col2 = '""&amp;V$21&amp;""'""))))"),"")</f>
        <v/>
      </c>
      <c r="F173" s="384" t="str">
        <f>IFERROR(__xludf.DUMMYFUNCTION("IF(F$43="""","""",IF($AZ173="""","""",IFERROR(Query({CarteirasAtivos},""Select Col3 where Col1 = '""&amp;$AZ173&amp;""'and Col2 = '""&amp;W$21&amp;""'""))))"),"")</f>
        <v/>
      </c>
      <c r="G173" s="384" t="str">
        <f>IFERROR(__xludf.DUMMYFUNCTION("IF(G$43="""","""",IF($AZ173="""","""",IFERROR(Query({CarteirasAtivos},""Select Col3 where Col1 = '""&amp;$AZ173&amp;""'and Col2 = '""&amp;X$21&amp;""'""))))"),"")</f>
        <v/>
      </c>
      <c r="H173" s="384" t="str">
        <f>IFERROR(__xludf.DUMMYFUNCTION("IF(H$43="""","""",IF($AZ173="""","""",IFERROR(Query({CarteirasAtivos},""Select Col3 where Col1 = '""&amp;$AZ173&amp;""'and Col2 = '""&amp;Y$21&amp;""'""))))"),"")</f>
        <v/>
      </c>
      <c r="I173" s="384" t="str">
        <f>IFERROR(__xludf.DUMMYFUNCTION("IF(I$43="""","""",IF($AZ173="""","""",IFERROR(Query({CarteirasAtivos},""Select Col3 where Col1 = '""&amp;$AZ173&amp;""'and Col2 = '""&amp;Z$21&amp;""'""))))"),"")</f>
        <v/>
      </c>
      <c r="J173" s="384" t="str">
        <f>IFERROR(__xludf.DUMMYFUNCTION("IF(J$43="""","""",IF($AZ173="""","""",IFERROR(Query({CarteirasAtivos},""Select Col3 where Col1 = '""&amp;$AZ173&amp;""'and Col2 = '""&amp;AA$21&amp;""'""))))"),"")</f>
        <v/>
      </c>
      <c r="K173" s="384" t="str">
        <f>IFERROR(__xludf.DUMMYFUNCTION("IF(K$43="""","""",IF($AZ173="""","""",IFERROR(Query({CarteirasAtivos},""Select Col3 where Col1 = '""&amp;$AZ173&amp;""'and Col2 = '""&amp;AB$21&amp;""'""))))"),"")</f>
        <v/>
      </c>
      <c r="L173" s="385">
        <v>130.0</v>
      </c>
      <c r="M173" s="503"/>
      <c r="N173" s="387"/>
      <c r="O173" s="388" t="s">
        <v>123</v>
      </c>
      <c r="P173" s="389"/>
      <c r="Q173" s="390"/>
      <c r="R173" s="391"/>
      <c r="S173" s="392"/>
      <c r="T173" s="393"/>
      <c r="U173" s="393"/>
      <c r="V173" s="394"/>
      <c r="W173" s="395" t="str">
        <f>IFERROR(__xludf.DUMMYFUNCTION("IF(M173="""","""",sparkline(IFERROR(BF173*100/MAX($BF$44:$BF$153),0),{""charttype"",""bar"";""max"",100;""color1"",IF(BD173&gt;=0,""#4760a5"",""red"")}))"),"")</f>
        <v/>
      </c>
      <c r="X173" s="396"/>
      <c r="Y173" s="466"/>
      <c r="Z173" s="398"/>
      <c r="AA173" s="399"/>
      <c r="AB173" s="393"/>
      <c r="AC173" s="476"/>
      <c r="AD173" s="401"/>
      <c r="AE173" s="402"/>
      <c r="AF173" s="403"/>
      <c r="AG173" s="404" t="str">
        <f>IFERROR(__xludf.DUMMYFUNCTION("IF($M173="""","""",IFERROR(sparkline(query(GOOGLEFINANCE($AZ173,""price"",TODAY()-$AF$43,TODAY(),1),""select Col2 label Col2 ''""),IF($AG$43=""Gráfico de barras"",{""charttype"",""column"";""highcolor"",""red""},{""chartype"",""line""}))))"),"")</f>
        <v/>
      </c>
      <c r="AH173" s="405"/>
      <c r="AI173" s="467"/>
      <c r="AJ173" s="467"/>
      <c r="AK173" s="467"/>
      <c r="AL173" s="467"/>
      <c r="AM173" s="442"/>
      <c r="AN173" s="442"/>
      <c r="AU173" s="281"/>
      <c r="AV173" s="281"/>
      <c r="AW173" s="281"/>
      <c r="AX173" s="281"/>
      <c r="AY173" s="410">
        <v>130.0</v>
      </c>
      <c r="AZ173" s="411"/>
      <c r="BA173" s="411"/>
      <c r="BB173" s="437"/>
      <c r="BC173" s="437"/>
      <c r="BD173" s="437"/>
      <c r="BE173" s="437"/>
      <c r="BF173" s="415" t="s">
        <v>123</v>
      </c>
      <c r="BG173" s="410">
        <v>130.0</v>
      </c>
      <c r="BH173" s="416"/>
      <c r="BI173" s="416"/>
      <c r="BJ173" s="416"/>
      <c r="BK173" s="416"/>
      <c r="BL173" s="416"/>
      <c r="BM173" s="416"/>
      <c r="BN173" s="282"/>
      <c r="BO173" s="490"/>
      <c r="BP173" s="489"/>
      <c r="BQ173" s="489"/>
      <c r="BR173" s="489"/>
      <c r="BS173" s="489"/>
      <c r="BT173" s="489"/>
      <c r="BU173" s="489"/>
      <c r="BV173" s="489"/>
      <c r="BW173" s="63"/>
      <c r="BX173" s="62"/>
      <c r="BY173" s="452"/>
      <c r="BZ173" s="452"/>
      <c r="CA173" s="452"/>
      <c r="CB173" s="452"/>
      <c r="CC173" s="452"/>
      <c r="CD173" s="452"/>
      <c r="CE173" s="452"/>
      <c r="CF173" s="452"/>
      <c r="CG173" s="452"/>
      <c r="CH173" s="422"/>
      <c r="CI173" s="422"/>
      <c r="CJ173" s="422"/>
      <c r="CK173" s="421"/>
      <c r="CL173" s="421" t="s">
        <v>123</v>
      </c>
      <c r="CM173" s="423"/>
      <c r="CN173" s="421"/>
      <c r="CO173" s="423"/>
      <c r="CP173" s="421"/>
      <c r="CQ173" s="63"/>
      <c r="CR173" s="63"/>
      <c r="CS173" s="63"/>
      <c r="CT173" s="63"/>
      <c r="CU173" s="447"/>
      <c r="CV173" s="447"/>
      <c r="CW173" s="447"/>
      <c r="CX173" s="447"/>
      <c r="CY173" s="447"/>
      <c r="CZ173" s="447"/>
      <c r="DA173" s="447"/>
      <c r="DB173" s="447"/>
      <c r="DC173" s="447"/>
      <c r="DD173" s="447"/>
      <c r="DE173" s="447"/>
      <c r="DF173" s="447"/>
      <c r="DG173" s="447"/>
      <c r="DH173" s="447"/>
      <c r="DI173" s="447"/>
      <c r="DJ173" s="447"/>
      <c r="DK173" s="447"/>
      <c r="DL173" s="67"/>
      <c r="DM173" s="67"/>
      <c r="DN173" s="67"/>
      <c r="DO173" s="67"/>
      <c r="DP173" s="67"/>
      <c r="DQ173" s="67"/>
    </row>
    <row r="174" ht="22.5" customHeight="1">
      <c r="A174" s="383"/>
      <c r="B174" s="384" t="str">
        <f>IFERROR(__xludf.DUMMYFUNCTION("IF(B$43="""","""",IF($AZ174="""","""",IFERROR(Query({CarteirasAtivos},""Select Col3 where Col1 = '""&amp;$AZ174&amp;""'and Col2 = '""&amp;S$21&amp;""'""))))"),"")</f>
        <v/>
      </c>
      <c r="C174" s="384" t="str">
        <f>IFERROR(__xludf.DUMMYFUNCTION("IF(C$43="""","""",IF($AZ174="""","""",IFERROR(Query({CarteirasAtivos},""Select Col3 where Col1 = '""&amp;$AZ174&amp;""'and Col2 = '""&amp;T$21&amp;""'""))))"),"")</f>
        <v/>
      </c>
      <c r="D174" s="384" t="str">
        <f>IFERROR(__xludf.DUMMYFUNCTION("IF(D$43="""","""",IF($AZ174="""","""",IFERROR(Query({CarteirasAtivos},""Select Col3 where Col1 = '""&amp;$AZ174&amp;""'and Col2 = '""&amp;U$21&amp;""'""))))"),"")</f>
        <v/>
      </c>
      <c r="E174" s="384" t="str">
        <f>IFERROR(__xludf.DUMMYFUNCTION("IF(E$43="""","""",IF($AZ174="""","""",IFERROR(Query({CarteirasAtivos},""Select Col3 where Col1 = '""&amp;$AZ174&amp;""'and Col2 = '""&amp;V$21&amp;""'""))))"),"")</f>
        <v/>
      </c>
      <c r="F174" s="384" t="str">
        <f>IFERROR(__xludf.DUMMYFUNCTION("IF(F$43="""","""",IF($AZ174="""","""",IFERROR(Query({CarteirasAtivos},""Select Col3 where Col1 = '""&amp;$AZ174&amp;""'and Col2 = '""&amp;W$21&amp;""'""))))"),"")</f>
        <v/>
      </c>
      <c r="G174" s="384" t="str">
        <f>IFERROR(__xludf.DUMMYFUNCTION("IF(G$43="""","""",IF($AZ174="""","""",IFERROR(Query({CarteirasAtivos},""Select Col3 where Col1 = '""&amp;$AZ174&amp;""'and Col2 = '""&amp;X$21&amp;""'""))))"),"")</f>
        <v/>
      </c>
      <c r="H174" s="384" t="str">
        <f>IFERROR(__xludf.DUMMYFUNCTION("IF(H$43="""","""",IF($AZ174="""","""",IFERROR(Query({CarteirasAtivos},""Select Col3 where Col1 = '""&amp;$AZ174&amp;""'and Col2 = '""&amp;Y$21&amp;""'""))))"),"")</f>
        <v/>
      </c>
      <c r="I174" s="384" t="str">
        <f>IFERROR(__xludf.DUMMYFUNCTION("IF(I$43="""","""",IF($AZ174="""","""",IFERROR(Query({CarteirasAtivos},""Select Col3 where Col1 = '""&amp;$AZ174&amp;""'and Col2 = '""&amp;Z$21&amp;""'""))))"),"")</f>
        <v/>
      </c>
      <c r="J174" s="384" t="str">
        <f>IFERROR(__xludf.DUMMYFUNCTION("IF(J$43="""","""",IF($AZ174="""","""",IFERROR(Query({CarteirasAtivos},""Select Col3 where Col1 = '""&amp;$AZ174&amp;""'and Col2 = '""&amp;AA$21&amp;""'""))))"),"")</f>
        <v/>
      </c>
      <c r="K174" s="384" t="str">
        <f>IFERROR(__xludf.DUMMYFUNCTION("IF(K$43="""","""",IF($AZ174="""","""",IFERROR(Query({CarteirasAtivos},""Select Col3 where Col1 = '""&amp;$AZ174&amp;""'and Col2 = '""&amp;AB$21&amp;""'""))))"),"")</f>
        <v/>
      </c>
      <c r="L174" s="385">
        <v>131.0</v>
      </c>
      <c r="M174" s="503"/>
      <c r="N174" s="387"/>
      <c r="O174" s="388" t="s">
        <v>123</v>
      </c>
      <c r="P174" s="389"/>
      <c r="Q174" s="390"/>
      <c r="R174" s="391"/>
      <c r="S174" s="392"/>
      <c r="T174" s="393"/>
      <c r="U174" s="393"/>
      <c r="V174" s="394"/>
      <c r="W174" s="395" t="str">
        <f>IFERROR(__xludf.DUMMYFUNCTION("IF(M174="""","""",sparkline(IFERROR(BF174*100/MAX($BF$44:$BF$153),0),{""charttype"",""bar"";""max"",100;""color1"",IF(BD174&gt;=0,""#4760a5"",""red"")}))"),"")</f>
        <v/>
      </c>
      <c r="X174" s="396"/>
      <c r="Y174" s="466"/>
      <c r="Z174" s="398"/>
      <c r="AA174" s="399"/>
      <c r="AB174" s="393"/>
      <c r="AC174" s="476"/>
      <c r="AD174" s="401"/>
      <c r="AE174" s="402"/>
      <c r="AF174" s="403"/>
      <c r="AG174" s="404" t="str">
        <f>IFERROR(__xludf.DUMMYFUNCTION("IF($M174="""","""",IFERROR(sparkline(query(GOOGLEFINANCE($AZ174,""price"",TODAY()-$AF$43,TODAY(),1),""select Col2 label Col2 ''""),IF($AG$43=""Gráfico de barras"",{""charttype"",""column"";""highcolor"",""red""},{""chartype"",""line""}))))"),"")</f>
        <v/>
      </c>
      <c r="AH174" s="405"/>
      <c r="AI174" s="467"/>
      <c r="AJ174" s="467"/>
      <c r="AK174" s="467"/>
      <c r="AL174" s="467"/>
      <c r="AM174" s="442"/>
      <c r="AN174" s="442"/>
      <c r="AU174" s="281"/>
      <c r="AV174" s="281"/>
      <c r="AW174" s="281"/>
      <c r="AX174" s="281"/>
      <c r="AY174" s="410">
        <v>131.0</v>
      </c>
      <c r="AZ174" s="411"/>
      <c r="BA174" s="411"/>
      <c r="BB174" s="437"/>
      <c r="BC174" s="437"/>
      <c r="BD174" s="437"/>
      <c r="BE174" s="437"/>
      <c r="BF174" s="415" t="s">
        <v>123</v>
      </c>
      <c r="BG174" s="410">
        <v>131.0</v>
      </c>
      <c r="BH174" s="416"/>
      <c r="BI174" s="416"/>
      <c r="BJ174" s="416"/>
      <c r="BK174" s="416"/>
      <c r="BL174" s="416"/>
      <c r="BM174" s="416"/>
      <c r="BN174" s="282"/>
      <c r="BO174" s="490"/>
      <c r="BP174" s="489"/>
      <c r="BQ174" s="489"/>
      <c r="BR174" s="489"/>
      <c r="BS174" s="489"/>
      <c r="BT174" s="489"/>
      <c r="BU174" s="489"/>
      <c r="BV174" s="489"/>
      <c r="BW174" s="63"/>
      <c r="BX174" s="62"/>
      <c r="BY174" s="452"/>
      <c r="BZ174" s="452"/>
      <c r="CA174" s="452"/>
      <c r="CB174" s="452"/>
      <c r="CC174" s="452"/>
      <c r="CD174" s="452"/>
      <c r="CE174" s="452"/>
      <c r="CF174" s="452"/>
      <c r="CG174" s="452"/>
      <c r="CH174" s="422"/>
      <c r="CI174" s="422"/>
      <c r="CJ174" s="422"/>
      <c r="CK174" s="421"/>
      <c r="CL174" s="421" t="s">
        <v>123</v>
      </c>
      <c r="CM174" s="423"/>
      <c r="CN174" s="421"/>
      <c r="CO174" s="423"/>
      <c r="CP174" s="421"/>
      <c r="CQ174" s="63"/>
      <c r="CR174" s="63"/>
      <c r="CS174" s="63"/>
      <c r="CT174" s="63"/>
      <c r="CU174" s="447"/>
      <c r="CV174" s="447"/>
      <c r="CW174" s="447"/>
      <c r="CX174" s="447"/>
      <c r="CY174" s="447"/>
      <c r="CZ174" s="447"/>
      <c r="DA174" s="447"/>
      <c r="DB174" s="447"/>
      <c r="DC174" s="447"/>
      <c r="DD174" s="447"/>
      <c r="DE174" s="447"/>
      <c r="DF174" s="447"/>
      <c r="DG174" s="447"/>
      <c r="DH174" s="447"/>
      <c r="DI174" s="447"/>
      <c r="DJ174" s="447"/>
      <c r="DK174" s="447"/>
      <c r="DL174" s="67"/>
      <c r="DM174" s="67"/>
      <c r="DN174" s="67"/>
      <c r="DO174" s="67"/>
      <c r="DP174" s="67"/>
      <c r="DQ174" s="67"/>
    </row>
    <row r="175" ht="22.5" customHeight="1">
      <c r="A175" s="383"/>
      <c r="B175" s="384" t="str">
        <f>IFERROR(__xludf.DUMMYFUNCTION("IF(B$43="""","""",IF($AZ175="""","""",IFERROR(Query({CarteirasAtivos},""Select Col3 where Col1 = '""&amp;$AZ175&amp;""'and Col2 = '""&amp;S$21&amp;""'""))))"),"")</f>
        <v/>
      </c>
      <c r="C175" s="384" t="str">
        <f>IFERROR(__xludf.DUMMYFUNCTION("IF(C$43="""","""",IF($AZ175="""","""",IFERROR(Query({CarteirasAtivos},""Select Col3 where Col1 = '""&amp;$AZ175&amp;""'and Col2 = '""&amp;T$21&amp;""'""))))"),"")</f>
        <v/>
      </c>
      <c r="D175" s="384" t="str">
        <f>IFERROR(__xludf.DUMMYFUNCTION("IF(D$43="""","""",IF($AZ175="""","""",IFERROR(Query({CarteirasAtivos},""Select Col3 where Col1 = '""&amp;$AZ175&amp;""'and Col2 = '""&amp;U$21&amp;""'""))))"),"")</f>
        <v/>
      </c>
      <c r="E175" s="384" t="str">
        <f>IFERROR(__xludf.DUMMYFUNCTION("IF(E$43="""","""",IF($AZ175="""","""",IFERROR(Query({CarteirasAtivos},""Select Col3 where Col1 = '""&amp;$AZ175&amp;""'and Col2 = '""&amp;V$21&amp;""'""))))"),"")</f>
        <v/>
      </c>
      <c r="F175" s="384" t="str">
        <f>IFERROR(__xludf.DUMMYFUNCTION("IF(F$43="""","""",IF($AZ175="""","""",IFERROR(Query({CarteirasAtivos},""Select Col3 where Col1 = '""&amp;$AZ175&amp;""'and Col2 = '""&amp;W$21&amp;""'""))))"),"")</f>
        <v/>
      </c>
      <c r="G175" s="384" t="str">
        <f>IFERROR(__xludf.DUMMYFUNCTION("IF(G$43="""","""",IF($AZ175="""","""",IFERROR(Query({CarteirasAtivos},""Select Col3 where Col1 = '""&amp;$AZ175&amp;""'and Col2 = '""&amp;X$21&amp;""'""))))"),"")</f>
        <v/>
      </c>
      <c r="H175" s="384" t="str">
        <f>IFERROR(__xludf.DUMMYFUNCTION("IF(H$43="""","""",IF($AZ175="""","""",IFERROR(Query({CarteirasAtivos},""Select Col3 where Col1 = '""&amp;$AZ175&amp;""'and Col2 = '""&amp;Y$21&amp;""'""))))"),"")</f>
        <v/>
      </c>
      <c r="I175" s="384" t="str">
        <f>IFERROR(__xludf.DUMMYFUNCTION("IF(I$43="""","""",IF($AZ175="""","""",IFERROR(Query({CarteirasAtivos},""Select Col3 where Col1 = '""&amp;$AZ175&amp;""'and Col2 = '""&amp;Z$21&amp;""'""))))"),"")</f>
        <v/>
      </c>
      <c r="J175" s="384" t="str">
        <f>IFERROR(__xludf.DUMMYFUNCTION("IF(J$43="""","""",IF($AZ175="""","""",IFERROR(Query({CarteirasAtivos},""Select Col3 where Col1 = '""&amp;$AZ175&amp;""'and Col2 = '""&amp;AA$21&amp;""'""))))"),"")</f>
        <v/>
      </c>
      <c r="K175" s="384" t="str">
        <f>IFERROR(__xludf.DUMMYFUNCTION("IF(K$43="""","""",IF($AZ175="""","""",IFERROR(Query({CarteirasAtivos},""Select Col3 where Col1 = '""&amp;$AZ175&amp;""'and Col2 = '""&amp;AB$21&amp;""'""))))"),"")</f>
        <v/>
      </c>
      <c r="L175" s="385">
        <v>132.0</v>
      </c>
      <c r="M175" s="503"/>
      <c r="N175" s="387"/>
      <c r="O175" s="388" t="s">
        <v>123</v>
      </c>
      <c r="P175" s="389"/>
      <c r="Q175" s="390"/>
      <c r="R175" s="391"/>
      <c r="S175" s="392"/>
      <c r="T175" s="393"/>
      <c r="U175" s="393"/>
      <c r="V175" s="394"/>
      <c r="W175" s="395" t="str">
        <f>IFERROR(__xludf.DUMMYFUNCTION("IF(M175="""","""",sparkline(IFERROR(BF175*100/MAX($BF$44:$BF$153),0),{""charttype"",""bar"";""max"",100;""color1"",IF(BD175&gt;=0,""#4760a5"",""red"")}))"),"")</f>
        <v/>
      </c>
      <c r="X175" s="396"/>
      <c r="Y175" s="466"/>
      <c r="Z175" s="398"/>
      <c r="AA175" s="399"/>
      <c r="AB175" s="393"/>
      <c r="AC175" s="476"/>
      <c r="AD175" s="401"/>
      <c r="AE175" s="402"/>
      <c r="AF175" s="403"/>
      <c r="AG175" s="404" t="str">
        <f>IFERROR(__xludf.DUMMYFUNCTION("IF($M175="""","""",IFERROR(sparkline(query(GOOGLEFINANCE($AZ175,""price"",TODAY()-$AF$43,TODAY(),1),""select Col2 label Col2 ''""),IF($AG$43=""Gráfico de barras"",{""charttype"",""column"";""highcolor"",""red""},{""chartype"",""line""}))))"),"")</f>
        <v/>
      </c>
      <c r="AH175" s="405"/>
      <c r="AI175" s="467"/>
      <c r="AJ175" s="467"/>
      <c r="AK175" s="467"/>
      <c r="AL175" s="467"/>
      <c r="AM175" s="442"/>
      <c r="AN175" s="442"/>
      <c r="AU175" s="281"/>
      <c r="AV175" s="281"/>
      <c r="AW175" s="281"/>
      <c r="AX175" s="281"/>
      <c r="AY175" s="410">
        <v>132.0</v>
      </c>
      <c r="AZ175" s="411"/>
      <c r="BA175" s="411"/>
      <c r="BB175" s="437"/>
      <c r="BC175" s="437"/>
      <c r="BD175" s="437"/>
      <c r="BE175" s="437"/>
      <c r="BF175" s="415" t="s">
        <v>123</v>
      </c>
      <c r="BG175" s="410">
        <v>132.0</v>
      </c>
      <c r="BH175" s="416"/>
      <c r="BI175" s="416"/>
      <c r="BJ175" s="416"/>
      <c r="BK175" s="416"/>
      <c r="BL175" s="416"/>
      <c r="BM175" s="416"/>
      <c r="BN175" s="282"/>
      <c r="BO175" s="490"/>
      <c r="BP175" s="489"/>
      <c r="BQ175" s="489"/>
      <c r="BR175" s="489"/>
      <c r="BS175" s="489"/>
      <c r="BT175" s="489"/>
      <c r="BU175" s="489"/>
      <c r="BV175" s="489"/>
      <c r="BW175" s="63"/>
      <c r="BX175" s="62"/>
      <c r="BY175" s="452"/>
      <c r="BZ175" s="452"/>
      <c r="CA175" s="452"/>
      <c r="CB175" s="452"/>
      <c r="CC175" s="452"/>
      <c r="CD175" s="452"/>
      <c r="CE175" s="452"/>
      <c r="CF175" s="452"/>
      <c r="CG175" s="452"/>
      <c r="CH175" s="422"/>
      <c r="CI175" s="422"/>
      <c r="CJ175" s="422"/>
      <c r="CK175" s="421"/>
      <c r="CL175" s="421" t="s">
        <v>123</v>
      </c>
      <c r="CM175" s="423"/>
      <c r="CN175" s="421"/>
      <c r="CO175" s="423"/>
      <c r="CP175" s="421"/>
      <c r="CQ175" s="63"/>
      <c r="CR175" s="63"/>
      <c r="CS175" s="63"/>
      <c r="CT175" s="63"/>
      <c r="CU175" s="447"/>
      <c r="CV175" s="447"/>
      <c r="CW175" s="447"/>
      <c r="CX175" s="447"/>
      <c r="CY175" s="447"/>
      <c r="CZ175" s="447"/>
      <c r="DA175" s="447"/>
      <c r="DB175" s="447"/>
      <c r="DC175" s="447"/>
      <c r="DD175" s="447"/>
      <c r="DE175" s="447"/>
      <c r="DF175" s="447"/>
      <c r="DG175" s="447"/>
      <c r="DH175" s="447"/>
      <c r="DI175" s="447"/>
      <c r="DJ175" s="447"/>
      <c r="DK175" s="447"/>
      <c r="DL175" s="67"/>
      <c r="DM175" s="67"/>
      <c r="DN175" s="67"/>
      <c r="DO175" s="67"/>
      <c r="DP175" s="67"/>
      <c r="DQ175" s="67"/>
    </row>
    <row r="176" ht="22.5" customHeight="1">
      <c r="A176" s="383"/>
      <c r="B176" s="384" t="str">
        <f>IFERROR(__xludf.DUMMYFUNCTION("IF(B$43="""","""",IF($AZ176="""","""",IFERROR(Query({CarteirasAtivos},""Select Col3 where Col1 = '""&amp;$AZ176&amp;""'and Col2 = '""&amp;S$21&amp;""'""))))"),"")</f>
        <v/>
      </c>
      <c r="C176" s="384" t="str">
        <f>IFERROR(__xludf.DUMMYFUNCTION("IF(C$43="""","""",IF($AZ176="""","""",IFERROR(Query({CarteirasAtivos},""Select Col3 where Col1 = '""&amp;$AZ176&amp;""'and Col2 = '""&amp;T$21&amp;""'""))))"),"")</f>
        <v/>
      </c>
      <c r="D176" s="384" t="str">
        <f>IFERROR(__xludf.DUMMYFUNCTION("IF(D$43="""","""",IF($AZ176="""","""",IFERROR(Query({CarteirasAtivos},""Select Col3 where Col1 = '""&amp;$AZ176&amp;""'and Col2 = '""&amp;U$21&amp;""'""))))"),"")</f>
        <v/>
      </c>
      <c r="E176" s="384" t="str">
        <f>IFERROR(__xludf.DUMMYFUNCTION("IF(E$43="""","""",IF($AZ176="""","""",IFERROR(Query({CarteirasAtivos},""Select Col3 where Col1 = '""&amp;$AZ176&amp;""'and Col2 = '""&amp;V$21&amp;""'""))))"),"")</f>
        <v/>
      </c>
      <c r="F176" s="384" t="str">
        <f>IFERROR(__xludf.DUMMYFUNCTION("IF(F$43="""","""",IF($AZ176="""","""",IFERROR(Query({CarteirasAtivos},""Select Col3 where Col1 = '""&amp;$AZ176&amp;""'and Col2 = '""&amp;W$21&amp;""'""))))"),"")</f>
        <v/>
      </c>
      <c r="G176" s="384" t="str">
        <f>IFERROR(__xludf.DUMMYFUNCTION("IF(G$43="""","""",IF($AZ176="""","""",IFERROR(Query({CarteirasAtivos},""Select Col3 where Col1 = '""&amp;$AZ176&amp;""'and Col2 = '""&amp;X$21&amp;""'""))))"),"")</f>
        <v/>
      </c>
      <c r="H176" s="384" t="str">
        <f>IFERROR(__xludf.DUMMYFUNCTION("IF(H$43="""","""",IF($AZ176="""","""",IFERROR(Query({CarteirasAtivos},""Select Col3 where Col1 = '""&amp;$AZ176&amp;""'and Col2 = '""&amp;Y$21&amp;""'""))))"),"")</f>
        <v/>
      </c>
      <c r="I176" s="384" t="str">
        <f>IFERROR(__xludf.DUMMYFUNCTION("IF(I$43="""","""",IF($AZ176="""","""",IFERROR(Query({CarteirasAtivos},""Select Col3 where Col1 = '""&amp;$AZ176&amp;""'and Col2 = '""&amp;Z$21&amp;""'""))))"),"")</f>
        <v/>
      </c>
      <c r="J176" s="384" t="str">
        <f>IFERROR(__xludf.DUMMYFUNCTION("IF(J$43="""","""",IF($AZ176="""","""",IFERROR(Query({CarteirasAtivos},""Select Col3 where Col1 = '""&amp;$AZ176&amp;""'and Col2 = '""&amp;AA$21&amp;""'""))))"),"")</f>
        <v/>
      </c>
      <c r="K176" s="384" t="str">
        <f>IFERROR(__xludf.DUMMYFUNCTION("IF(K$43="""","""",IF($AZ176="""","""",IFERROR(Query({CarteirasAtivos},""Select Col3 where Col1 = '""&amp;$AZ176&amp;""'and Col2 = '""&amp;AB$21&amp;""'""))))"),"")</f>
        <v/>
      </c>
      <c r="L176" s="385">
        <v>133.0</v>
      </c>
      <c r="M176" s="503"/>
      <c r="N176" s="387"/>
      <c r="O176" s="388" t="s">
        <v>123</v>
      </c>
      <c r="P176" s="389"/>
      <c r="Q176" s="390"/>
      <c r="R176" s="391"/>
      <c r="S176" s="392"/>
      <c r="T176" s="393"/>
      <c r="U176" s="393"/>
      <c r="V176" s="394"/>
      <c r="W176" s="395" t="str">
        <f>IFERROR(__xludf.DUMMYFUNCTION("IF(M176="""","""",sparkline(IFERROR(BF176*100/MAX($BF$44:$BF$153),0),{""charttype"",""bar"";""max"",100;""color1"",IF(BD176&gt;=0,""#4760a5"",""red"")}))"),"")</f>
        <v/>
      </c>
      <c r="X176" s="396"/>
      <c r="Y176" s="466"/>
      <c r="Z176" s="398"/>
      <c r="AA176" s="399"/>
      <c r="AB176" s="393"/>
      <c r="AC176" s="476"/>
      <c r="AD176" s="401"/>
      <c r="AE176" s="402"/>
      <c r="AF176" s="403"/>
      <c r="AG176" s="404" t="str">
        <f>IFERROR(__xludf.DUMMYFUNCTION("IF($M176="""","""",IFERROR(sparkline(query(GOOGLEFINANCE($AZ176,""price"",TODAY()-$AF$43,TODAY(),1),""select Col2 label Col2 ''""),IF($AG$43=""Gráfico de barras"",{""charttype"",""column"";""highcolor"",""red""},{""chartype"",""line""}))))"),"")</f>
        <v/>
      </c>
      <c r="AH176" s="405"/>
      <c r="AI176" s="467"/>
      <c r="AJ176" s="467"/>
      <c r="AK176" s="467"/>
      <c r="AL176" s="467"/>
      <c r="AM176" s="442"/>
      <c r="AN176" s="442"/>
      <c r="AU176" s="281"/>
      <c r="AV176" s="281"/>
      <c r="AW176" s="281"/>
      <c r="AX176" s="281"/>
      <c r="AY176" s="410">
        <v>133.0</v>
      </c>
      <c r="AZ176" s="411"/>
      <c r="BA176" s="411"/>
      <c r="BB176" s="437"/>
      <c r="BC176" s="437"/>
      <c r="BD176" s="437"/>
      <c r="BE176" s="437"/>
      <c r="BF176" s="415" t="s">
        <v>123</v>
      </c>
      <c r="BG176" s="410">
        <v>133.0</v>
      </c>
      <c r="BH176" s="416"/>
      <c r="BI176" s="416"/>
      <c r="BJ176" s="416"/>
      <c r="BK176" s="416"/>
      <c r="BL176" s="416"/>
      <c r="BM176" s="416"/>
      <c r="BN176" s="282"/>
      <c r="BO176" s="490"/>
      <c r="BP176" s="489"/>
      <c r="BQ176" s="489"/>
      <c r="BR176" s="489"/>
      <c r="BS176" s="489"/>
      <c r="BT176" s="489"/>
      <c r="BU176" s="489"/>
      <c r="BV176" s="489"/>
      <c r="BW176" s="63"/>
      <c r="BX176" s="62"/>
      <c r="BY176" s="452"/>
      <c r="BZ176" s="452"/>
      <c r="CA176" s="452"/>
      <c r="CB176" s="452"/>
      <c r="CC176" s="452"/>
      <c r="CD176" s="452"/>
      <c r="CE176" s="452"/>
      <c r="CF176" s="452"/>
      <c r="CG176" s="452"/>
      <c r="CH176" s="422"/>
      <c r="CI176" s="422"/>
      <c r="CJ176" s="422"/>
      <c r="CK176" s="421"/>
      <c r="CL176" s="421" t="s">
        <v>123</v>
      </c>
      <c r="CM176" s="423"/>
      <c r="CN176" s="421"/>
      <c r="CO176" s="423"/>
      <c r="CP176" s="421"/>
      <c r="CQ176" s="63"/>
      <c r="CR176" s="63"/>
      <c r="CS176" s="63"/>
      <c r="CT176" s="63"/>
      <c r="CU176" s="447"/>
      <c r="CV176" s="447"/>
      <c r="CW176" s="447"/>
      <c r="CX176" s="447"/>
      <c r="CY176" s="447"/>
      <c r="CZ176" s="447"/>
      <c r="DA176" s="447"/>
      <c r="DB176" s="447"/>
      <c r="DC176" s="447"/>
      <c r="DD176" s="447"/>
      <c r="DE176" s="447"/>
      <c r="DF176" s="447"/>
      <c r="DG176" s="447"/>
      <c r="DH176" s="447"/>
      <c r="DI176" s="447"/>
      <c r="DJ176" s="447"/>
      <c r="DK176" s="447"/>
      <c r="DL176" s="67"/>
      <c r="DM176" s="67"/>
      <c r="DN176" s="67"/>
      <c r="DO176" s="67"/>
      <c r="DP176" s="67"/>
      <c r="DQ176" s="67"/>
    </row>
    <row r="177" ht="22.5" customHeight="1">
      <c r="A177" s="383"/>
      <c r="B177" s="384" t="str">
        <f>IFERROR(__xludf.DUMMYFUNCTION("IF(B$43="""","""",IF($AZ177="""","""",IFERROR(Query({CarteirasAtivos},""Select Col3 where Col1 = '""&amp;$AZ177&amp;""'and Col2 = '""&amp;S$21&amp;""'""))))"),"")</f>
        <v/>
      </c>
      <c r="C177" s="384" t="str">
        <f>IFERROR(__xludf.DUMMYFUNCTION("IF(C$43="""","""",IF($AZ177="""","""",IFERROR(Query({CarteirasAtivos},""Select Col3 where Col1 = '""&amp;$AZ177&amp;""'and Col2 = '""&amp;T$21&amp;""'""))))"),"")</f>
        <v/>
      </c>
      <c r="D177" s="384" t="str">
        <f>IFERROR(__xludf.DUMMYFUNCTION("IF(D$43="""","""",IF($AZ177="""","""",IFERROR(Query({CarteirasAtivos},""Select Col3 where Col1 = '""&amp;$AZ177&amp;""'and Col2 = '""&amp;U$21&amp;""'""))))"),"")</f>
        <v/>
      </c>
      <c r="E177" s="384" t="str">
        <f>IFERROR(__xludf.DUMMYFUNCTION("IF(E$43="""","""",IF($AZ177="""","""",IFERROR(Query({CarteirasAtivos},""Select Col3 where Col1 = '""&amp;$AZ177&amp;""'and Col2 = '""&amp;V$21&amp;""'""))))"),"")</f>
        <v/>
      </c>
      <c r="F177" s="384" t="str">
        <f>IFERROR(__xludf.DUMMYFUNCTION("IF(F$43="""","""",IF($AZ177="""","""",IFERROR(Query({CarteirasAtivos},""Select Col3 where Col1 = '""&amp;$AZ177&amp;""'and Col2 = '""&amp;W$21&amp;""'""))))"),"")</f>
        <v/>
      </c>
      <c r="G177" s="384" t="str">
        <f>IFERROR(__xludf.DUMMYFUNCTION("IF(G$43="""","""",IF($AZ177="""","""",IFERROR(Query({CarteirasAtivos},""Select Col3 where Col1 = '""&amp;$AZ177&amp;""'and Col2 = '""&amp;X$21&amp;""'""))))"),"")</f>
        <v/>
      </c>
      <c r="H177" s="384" t="str">
        <f>IFERROR(__xludf.DUMMYFUNCTION("IF(H$43="""","""",IF($AZ177="""","""",IFERROR(Query({CarteirasAtivos},""Select Col3 where Col1 = '""&amp;$AZ177&amp;""'and Col2 = '""&amp;Y$21&amp;""'""))))"),"")</f>
        <v/>
      </c>
      <c r="I177" s="384" t="str">
        <f>IFERROR(__xludf.DUMMYFUNCTION("IF(I$43="""","""",IF($AZ177="""","""",IFERROR(Query({CarteirasAtivos},""Select Col3 where Col1 = '""&amp;$AZ177&amp;""'and Col2 = '""&amp;Z$21&amp;""'""))))"),"")</f>
        <v/>
      </c>
      <c r="J177" s="384" t="str">
        <f>IFERROR(__xludf.DUMMYFUNCTION("IF(J$43="""","""",IF($AZ177="""","""",IFERROR(Query({CarteirasAtivos},""Select Col3 where Col1 = '""&amp;$AZ177&amp;""'and Col2 = '""&amp;AA$21&amp;""'""))))"),"")</f>
        <v/>
      </c>
      <c r="K177" s="384" t="str">
        <f>IFERROR(__xludf.DUMMYFUNCTION("IF(K$43="""","""",IF($AZ177="""","""",IFERROR(Query({CarteirasAtivos},""Select Col3 where Col1 = '""&amp;$AZ177&amp;""'and Col2 = '""&amp;AB$21&amp;""'""))))"),"")</f>
        <v/>
      </c>
      <c r="L177" s="385">
        <v>134.0</v>
      </c>
      <c r="M177" s="503"/>
      <c r="N177" s="387"/>
      <c r="O177" s="388" t="s">
        <v>123</v>
      </c>
      <c r="P177" s="389"/>
      <c r="Q177" s="390"/>
      <c r="R177" s="391"/>
      <c r="S177" s="392"/>
      <c r="T177" s="393"/>
      <c r="U177" s="393"/>
      <c r="V177" s="394"/>
      <c r="W177" s="395" t="str">
        <f>IFERROR(__xludf.DUMMYFUNCTION("IF(M177="""","""",sparkline(IFERROR(BF177*100/MAX($BF$44:$BF$153),0),{""charttype"",""bar"";""max"",100;""color1"",IF(BD177&gt;=0,""#4760a5"",""red"")}))"),"")</f>
        <v/>
      </c>
      <c r="X177" s="396"/>
      <c r="Y177" s="466"/>
      <c r="Z177" s="398"/>
      <c r="AA177" s="399"/>
      <c r="AB177" s="393"/>
      <c r="AC177" s="476"/>
      <c r="AD177" s="401"/>
      <c r="AE177" s="402"/>
      <c r="AF177" s="403"/>
      <c r="AG177" s="404" t="str">
        <f>IFERROR(__xludf.DUMMYFUNCTION("IF($M177="""","""",IFERROR(sparkline(query(GOOGLEFINANCE($AZ177,""price"",TODAY()-$AF$43,TODAY(),1),""select Col2 label Col2 ''""),IF($AG$43=""Gráfico de barras"",{""charttype"",""column"";""highcolor"",""red""},{""chartype"",""line""}))))"),"")</f>
        <v/>
      </c>
      <c r="AH177" s="405"/>
      <c r="AI177" s="467"/>
      <c r="AJ177" s="467"/>
      <c r="AK177" s="467"/>
      <c r="AL177" s="467"/>
      <c r="AM177" s="442"/>
      <c r="AN177" s="442"/>
      <c r="AU177" s="281"/>
      <c r="AV177" s="281"/>
      <c r="AW177" s="281"/>
      <c r="AX177" s="281"/>
      <c r="AY177" s="410">
        <v>134.0</v>
      </c>
      <c r="AZ177" s="411"/>
      <c r="BA177" s="411"/>
      <c r="BB177" s="437"/>
      <c r="BC177" s="437"/>
      <c r="BD177" s="437"/>
      <c r="BE177" s="437"/>
      <c r="BF177" s="415" t="s">
        <v>123</v>
      </c>
      <c r="BG177" s="410">
        <v>134.0</v>
      </c>
      <c r="BH177" s="416"/>
      <c r="BI177" s="416"/>
      <c r="BJ177" s="416"/>
      <c r="BK177" s="416"/>
      <c r="BL177" s="416"/>
      <c r="BM177" s="416"/>
      <c r="BN177" s="282"/>
      <c r="BO177" s="490"/>
      <c r="BP177" s="489"/>
      <c r="BQ177" s="489"/>
      <c r="BR177" s="489"/>
      <c r="BS177" s="489"/>
      <c r="BT177" s="489"/>
      <c r="BU177" s="489"/>
      <c r="BV177" s="489"/>
      <c r="BW177" s="63"/>
      <c r="BX177" s="62"/>
      <c r="BY177" s="452"/>
      <c r="BZ177" s="452"/>
      <c r="CA177" s="452"/>
      <c r="CB177" s="452"/>
      <c r="CC177" s="452"/>
      <c r="CD177" s="452"/>
      <c r="CE177" s="452"/>
      <c r="CF177" s="452"/>
      <c r="CG177" s="452"/>
      <c r="CH177" s="422"/>
      <c r="CI177" s="422"/>
      <c r="CJ177" s="422"/>
      <c r="CK177" s="421"/>
      <c r="CL177" s="421" t="s">
        <v>123</v>
      </c>
      <c r="CM177" s="423"/>
      <c r="CN177" s="421"/>
      <c r="CO177" s="423"/>
      <c r="CP177" s="421"/>
      <c r="CQ177" s="63"/>
      <c r="CR177" s="63"/>
      <c r="CS177" s="63"/>
      <c r="CT177" s="63"/>
      <c r="CU177" s="447"/>
      <c r="CV177" s="447"/>
      <c r="CW177" s="447"/>
      <c r="CX177" s="447"/>
      <c r="CY177" s="447"/>
      <c r="CZ177" s="447"/>
      <c r="DA177" s="447"/>
      <c r="DB177" s="447"/>
      <c r="DC177" s="447"/>
      <c r="DD177" s="447"/>
      <c r="DE177" s="447"/>
      <c r="DF177" s="447"/>
      <c r="DG177" s="447"/>
      <c r="DH177" s="447"/>
      <c r="DI177" s="447"/>
      <c r="DJ177" s="447"/>
      <c r="DK177" s="447"/>
      <c r="DL177" s="67"/>
      <c r="DM177" s="67"/>
      <c r="DN177" s="67"/>
      <c r="DO177" s="67"/>
      <c r="DP177" s="67"/>
      <c r="DQ177" s="67"/>
    </row>
    <row r="178" ht="22.5" customHeight="1">
      <c r="A178" s="383"/>
      <c r="B178" s="384" t="str">
        <f>IFERROR(__xludf.DUMMYFUNCTION("IF(B$43="""","""",IF($AZ178="""","""",IFERROR(Query({CarteirasAtivos},""Select Col3 where Col1 = '""&amp;$AZ178&amp;""'and Col2 = '""&amp;S$21&amp;""'""))))"),"")</f>
        <v/>
      </c>
      <c r="C178" s="384" t="str">
        <f>IFERROR(__xludf.DUMMYFUNCTION("IF(C$43="""","""",IF($AZ178="""","""",IFERROR(Query({CarteirasAtivos},""Select Col3 where Col1 = '""&amp;$AZ178&amp;""'and Col2 = '""&amp;T$21&amp;""'""))))"),"")</f>
        <v/>
      </c>
      <c r="D178" s="384" t="str">
        <f>IFERROR(__xludf.DUMMYFUNCTION("IF(D$43="""","""",IF($AZ178="""","""",IFERROR(Query({CarteirasAtivos},""Select Col3 where Col1 = '""&amp;$AZ178&amp;""'and Col2 = '""&amp;U$21&amp;""'""))))"),"")</f>
        <v/>
      </c>
      <c r="E178" s="384" t="str">
        <f>IFERROR(__xludf.DUMMYFUNCTION("IF(E$43="""","""",IF($AZ178="""","""",IFERROR(Query({CarteirasAtivos},""Select Col3 where Col1 = '""&amp;$AZ178&amp;""'and Col2 = '""&amp;V$21&amp;""'""))))"),"")</f>
        <v/>
      </c>
      <c r="F178" s="384" t="str">
        <f>IFERROR(__xludf.DUMMYFUNCTION("IF(F$43="""","""",IF($AZ178="""","""",IFERROR(Query({CarteirasAtivos},""Select Col3 where Col1 = '""&amp;$AZ178&amp;""'and Col2 = '""&amp;W$21&amp;""'""))))"),"")</f>
        <v/>
      </c>
      <c r="G178" s="384" t="str">
        <f>IFERROR(__xludf.DUMMYFUNCTION("IF(G$43="""","""",IF($AZ178="""","""",IFERROR(Query({CarteirasAtivos},""Select Col3 where Col1 = '""&amp;$AZ178&amp;""'and Col2 = '""&amp;X$21&amp;""'""))))"),"")</f>
        <v/>
      </c>
      <c r="H178" s="384" t="str">
        <f>IFERROR(__xludf.DUMMYFUNCTION("IF(H$43="""","""",IF($AZ178="""","""",IFERROR(Query({CarteirasAtivos},""Select Col3 where Col1 = '""&amp;$AZ178&amp;""'and Col2 = '""&amp;Y$21&amp;""'""))))"),"")</f>
        <v/>
      </c>
      <c r="I178" s="384" t="str">
        <f>IFERROR(__xludf.DUMMYFUNCTION("IF(I$43="""","""",IF($AZ178="""","""",IFERROR(Query({CarteirasAtivos},""Select Col3 where Col1 = '""&amp;$AZ178&amp;""'and Col2 = '""&amp;Z$21&amp;""'""))))"),"")</f>
        <v/>
      </c>
      <c r="J178" s="384" t="str">
        <f>IFERROR(__xludf.DUMMYFUNCTION("IF(J$43="""","""",IF($AZ178="""","""",IFERROR(Query({CarteirasAtivos},""Select Col3 where Col1 = '""&amp;$AZ178&amp;""'and Col2 = '""&amp;AA$21&amp;""'""))))"),"")</f>
        <v/>
      </c>
      <c r="K178" s="384" t="str">
        <f>IFERROR(__xludf.DUMMYFUNCTION("IF(K$43="""","""",IF($AZ178="""","""",IFERROR(Query({CarteirasAtivos},""Select Col3 where Col1 = '""&amp;$AZ178&amp;""'and Col2 = '""&amp;AB$21&amp;""'""))))"),"")</f>
        <v/>
      </c>
      <c r="L178" s="385">
        <v>135.0</v>
      </c>
      <c r="M178" s="503"/>
      <c r="N178" s="387"/>
      <c r="O178" s="388" t="s">
        <v>123</v>
      </c>
      <c r="P178" s="389"/>
      <c r="Q178" s="390"/>
      <c r="R178" s="391"/>
      <c r="S178" s="392"/>
      <c r="T178" s="393"/>
      <c r="U178" s="393"/>
      <c r="V178" s="394"/>
      <c r="W178" s="395" t="str">
        <f>IFERROR(__xludf.DUMMYFUNCTION("IF(M178="""","""",sparkline(IFERROR(BF178*100/MAX($BF$44:$BF$153),0),{""charttype"",""bar"";""max"",100;""color1"",IF(BD178&gt;=0,""#4760a5"",""red"")}))"),"")</f>
        <v/>
      </c>
      <c r="X178" s="396"/>
      <c r="Y178" s="466"/>
      <c r="Z178" s="398"/>
      <c r="AA178" s="399"/>
      <c r="AB178" s="393"/>
      <c r="AC178" s="476"/>
      <c r="AD178" s="401"/>
      <c r="AE178" s="402"/>
      <c r="AF178" s="403"/>
      <c r="AG178" s="404" t="str">
        <f>IFERROR(__xludf.DUMMYFUNCTION("IF($M178="""","""",IFERROR(sparkline(query(GOOGLEFINANCE($AZ178,""price"",TODAY()-$AF$43,TODAY(),1),""select Col2 label Col2 ''""),IF($AG$43=""Gráfico de barras"",{""charttype"",""column"";""highcolor"",""red""},{""chartype"",""line""}))))"),"")</f>
        <v/>
      </c>
      <c r="AH178" s="405"/>
      <c r="AI178" s="467"/>
      <c r="AJ178" s="467"/>
      <c r="AK178" s="467"/>
      <c r="AL178" s="467"/>
      <c r="AM178" s="442"/>
      <c r="AN178" s="442"/>
      <c r="AU178" s="281"/>
      <c r="AV178" s="281"/>
      <c r="AW178" s="281"/>
      <c r="AX178" s="281"/>
      <c r="AY178" s="410">
        <v>135.0</v>
      </c>
      <c r="AZ178" s="411"/>
      <c r="BA178" s="411"/>
      <c r="BB178" s="437"/>
      <c r="BC178" s="437"/>
      <c r="BD178" s="437"/>
      <c r="BE178" s="437"/>
      <c r="BF178" s="415" t="s">
        <v>123</v>
      </c>
      <c r="BG178" s="410">
        <v>135.0</v>
      </c>
      <c r="BH178" s="416"/>
      <c r="BI178" s="416"/>
      <c r="BJ178" s="416"/>
      <c r="BK178" s="416"/>
      <c r="BL178" s="416"/>
      <c r="BM178" s="416"/>
      <c r="BN178" s="282"/>
      <c r="BO178" s="490"/>
      <c r="BP178" s="489"/>
      <c r="BQ178" s="489"/>
      <c r="BR178" s="489"/>
      <c r="BS178" s="489"/>
      <c r="BT178" s="489"/>
      <c r="BU178" s="489"/>
      <c r="BV178" s="489"/>
      <c r="BW178" s="63"/>
      <c r="BX178" s="62"/>
      <c r="BY178" s="452"/>
      <c r="BZ178" s="452"/>
      <c r="CA178" s="452"/>
      <c r="CB178" s="452"/>
      <c r="CC178" s="452"/>
      <c r="CD178" s="452"/>
      <c r="CE178" s="452"/>
      <c r="CF178" s="452"/>
      <c r="CG178" s="452"/>
      <c r="CH178" s="422"/>
      <c r="CI178" s="422"/>
      <c r="CJ178" s="422"/>
      <c r="CK178" s="421"/>
      <c r="CL178" s="421" t="s">
        <v>123</v>
      </c>
      <c r="CM178" s="423"/>
      <c r="CN178" s="421"/>
      <c r="CO178" s="423"/>
      <c r="CP178" s="421"/>
      <c r="CQ178" s="63"/>
      <c r="CR178" s="63"/>
      <c r="CS178" s="63"/>
      <c r="CT178" s="63"/>
      <c r="CU178" s="447"/>
      <c r="CV178" s="447"/>
      <c r="CW178" s="447"/>
      <c r="CX178" s="447"/>
      <c r="CY178" s="447"/>
      <c r="CZ178" s="447"/>
      <c r="DA178" s="447"/>
      <c r="DB178" s="447"/>
      <c r="DC178" s="447"/>
      <c r="DD178" s="447"/>
      <c r="DE178" s="447"/>
      <c r="DF178" s="447"/>
      <c r="DG178" s="447"/>
      <c r="DH178" s="447"/>
      <c r="DI178" s="447"/>
      <c r="DJ178" s="447"/>
      <c r="DK178" s="447"/>
      <c r="DL178" s="67"/>
      <c r="DM178" s="67"/>
      <c r="DN178" s="67"/>
      <c r="DO178" s="67"/>
      <c r="DP178" s="67"/>
      <c r="DQ178" s="67"/>
    </row>
    <row r="179" ht="22.5" customHeight="1">
      <c r="A179" s="383"/>
      <c r="B179" s="384" t="str">
        <f>IFERROR(__xludf.DUMMYFUNCTION("IF(B$43="""","""",IF($AZ179="""","""",IFERROR(Query({CarteirasAtivos},""Select Col3 where Col1 = '""&amp;$AZ179&amp;""'and Col2 = '""&amp;S$21&amp;""'""))))"),"")</f>
        <v/>
      </c>
      <c r="C179" s="384" t="str">
        <f>IFERROR(__xludf.DUMMYFUNCTION("IF(C$43="""","""",IF($AZ179="""","""",IFERROR(Query({CarteirasAtivos},""Select Col3 where Col1 = '""&amp;$AZ179&amp;""'and Col2 = '""&amp;T$21&amp;""'""))))"),"")</f>
        <v/>
      </c>
      <c r="D179" s="384" t="str">
        <f>IFERROR(__xludf.DUMMYFUNCTION("IF(D$43="""","""",IF($AZ179="""","""",IFERROR(Query({CarteirasAtivos},""Select Col3 where Col1 = '""&amp;$AZ179&amp;""'and Col2 = '""&amp;U$21&amp;""'""))))"),"")</f>
        <v/>
      </c>
      <c r="E179" s="384" t="str">
        <f>IFERROR(__xludf.DUMMYFUNCTION("IF(E$43="""","""",IF($AZ179="""","""",IFERROR(Query({CarteirasAtivos},""Select Col3 where Col1 = '""&amp;$AZ179&amp;""'and Col2 = '""&amp;V$21&amp;""'""))))"),"")</f>
        <v/>
      </c>
      <c r="F179" s="384" t="str">
        <f>IFERROR(__xludf.DUMMYFUNCTION("IF(F$43="""","""",IF($AZ179="""","""",IFERROR(Query({CarteirasAtivos},""Select Col3 where Col1 = '""&amp;$AZ179&amp;""'and Col2 = '""&amp;W$21&amp;""'""))))"),"")</f>
        <v/>
      </c>
      <c r="G179" s="384" t="str">
        <f>IFERROR(__xludf.DUMMYFUNCTION("IF(G$43="""","""",IF($AZ179="""","""",IFERROR(Query({CarteirasAtivos},""Select Col3 where Col1 = '""&amp;$AZ179&amp;""'and Col2 = '""&amp;X$21&amp;""'""))))"),"")</f>
        <v/>
      </c>
      <c r="H179" s="384" t="str">
        <f>IFERROR(__xludf.DUMMYFUNCTION("IF(H$43="""","""",IF($AZ179="""","""",IFERROR(Query({CarteirasAtivos},""Select Col3 where Col1 = '""&amp;$AZ179&amp;""'and Col2 = '""&amp;Y$21&amp;""'""))))"),"")</f>
        <v/>
      </c>
      <c r="I179" s="384" t="str">
        <f>IFERROR(__xludf.DUMMYFUNCTION("IF(I$43="""","""",IF($AZ179="""","""",IFERROR(Query({CarteirasAtivos},""Select Col3 where Col1 = '""&amp;$AZ179&amp;""'and Col2 = '""&amp;Z$21&amp;""'""))))"),"")</f>
        <v/>
      </c>
      <c r="J179" s="384" t="str">
        <f>IFERROR(__xludf.DUMMYFUNCTION("IF(J$43="""","""",IF($AZ179="""","""",IFERROR(Query({CarteirasAtivos},""Select Col3 where Col1 = '""&amp;$AZ179&amp;""'and Col2 = '""&amp;AA$21&amp;""'""))))"),"")</f>
        <v/>
      </c>
      <c r="K179" s="384" t="str">
        <f>IFERROR(__xludf.DUMMYFUNCTION("IF(K$43="""","""",IF($AZ179="""","""",IFERROR(Query({CarteirasAtivos},""Select Col3 where Col1 = '""&amp;$AZ179&amp;""'and Col2 = '""&amp;AB$21&amp;""'""))))"),"")</f>
        <v/>
      </c>
      <c r="L179" s="385">
        <v>136.0</v>
      </c>
      <c r="M179" s="503"/>
      <c r="N179" s="387"/>
      <c r="O179" s="388" t="s">
        <v>123</v>
      </c>
      <c r="P179" s="389"/>
      <c r="Q179" s="390"/>
      <c r="R179" s="391"/>
      <c r="S179" s="392"/>
      <c r="T179" s="393"/>
      <c r="U179" s="393"/>
      <c r="V179" s="394"/>
      <c r="W179" s="395" t="str">
        <f>IFERROR(__xludf.DUMMYFUNCTION("IF(M179="""","""",sparkline(IFERROR(BF179*100/MAX($BF$44:$BF$153),0),{""charttype"",""bar"";""max"",100;""color1"",IF(BD179&gt;=0,""#4760a5"",""red"")}))"),"")</f>
        <v/>
      </c>
      <c r="X179" s="396"/>
      <c r="Y179" s="466"/>
      <c r="Z179" s="398"/>
      <c r="AA179" s="399"/>
      <c r="AB179" s="393"/>
      <c r="AC179" s="476"/>
      <c r="AD179" s="401"/>
      <c r="AE179" s="402"/>
      <c r="AF179" s="403"/>
      <c r="AG179" s="404" t="str">
        <f>IFERROR(__xludf.DUMMYFUNCTION("IF($M179="""","""",IFERROR(sparkline(query(GOOGLEFINANCE($AZ179,""price"",TODAY()-$AF$43,TODAY(),1),""select Col2 label Col2 ''""),IF($AG$43=""Gráfico de barras"",{""charttype"",""column"";""highcolor"",""red""},{""chartype"",""line""}))))"),"")</f>
        <v/>
      </c>
      <c r="AH179" s="405"/>
      <c r="AI179" s="467"/>
      <c r="AJ179" s="467"/>
      <c r="AK179" s="467"/>
      <c r="AL179" s="467"/>
      <c r="AM179" s="442"/>
      <c r="AN179" s="442"/>
      <c r="AU179" s="281"/>
      <c r="AV179" s="281"/>
      <c r="AW179" s="281"/>
      <c r="AX179" s="281"/>
      <c r="AY179" s="410">
        <v>136.0</v>
      </c>
      <c r="AZ179" s="411"/>
      <c r="BA179" s="411"/>
      <c r="BB179" s="437"/>
      <c r="BC179" s="437"/>
      <c r="BD179" s="437"/>
      <c r="BE179" s="437"/>
      <c r="BF179" s="415" t="s">
        <v>123</v>
      </c>
      <c r="BG179" s="410">
        <v>136.0</v>
      </c>
      <c r="BH179" s="416"/>
      <c r="BI179" s="416"/>
      <c r="BJ179" s="416"/>
      <c r="BK179" s="416"/>
      <c r="BL179" s="416"/>
      <c r="BM179" s="416"/>
      <c r="BN179" s="282"/>
      <c r="BO179" s="490"/>
      <c r="BP179" s="489"/>
      <c r="BQ179" s="489"/>
      <c r="BR179" s="489"/>
      <c r="BS179" s="489"/>
      <c r="BT179" s="489"/>
      <c r="BU179" s="489"/>
      <c r="BV179" s="489"/>
      <c r="BW179" s="63"/>
      <c r="BX179" s="62"/>
      <c r="BY179" s="452"/>
      <c r="BZ179" s="452"/>
      <c r="CA179" s="452"/>
      <c r="CB179" s="452"/>
      <c r="CC179" s="452"/>
      <c r="CD179" s="452"/>
      <c r="CE179" s="452"/>
      <c r="CF179" s="452"/>
      <c r="CG179" s="452"/>
      <c r="CH179" s="422"/>
      <c r="CI179" s="422"/>
      <c r="CJ179" s="422"/>
      <c r="CK179" s="421"/>
      <c r="CL179" s="421" t="s">
        <v>123</v>
      </c>
      <c r="CM179" s="423"/>
      <c r="CN179" s="421"/>
      <c r="CO179" s="423"/>
      <c r="CP179" s="421"/>
      <c r="CQ179" s="63"/>
      <c r="CR179" s="63"/>
      <c r="CS179" s="63"/>
      <c r="CT179" s="63"/>
      <c r="CU179" s="447"/>
      <c r="CV179" s="447"/>
      <c r="CW179" s="447"/>
      <c r="CX179" s="447"/>
      <c r="CY179" s="447"/>
      <c r="CZ179" s="447"/>
      <c r="DA179" s="447"/>
      <c r="DB179" s="447"/>
      <c r="DC179" s="447"/>
      <c r="DD179" s="447"/>
      <c r="DE179" s="447"/>
      <c r="DF179" s="447"/>
      <c r="DG179" s="447"/>
      <c r="DH179" s="447"/>
      <c r="DI179" s="447"/>
      <c r="DJ179" s="447"/>
      <c r="DK179" s="447"/>
      <c r="DL179" s="67"/>
      <c r="DM179" s="67"/>
      <c r="DN179" s="67"/>
      <c r="DO179" s="67"/>
      <c r="DP179" s="67"/>
      <c r="DQ179" s="67"/>
    </row>
    <row r="180" ht="22.5" customHeight="1">
      <c r="A180" s="383"/>
      <c r="B180" s="384" t="str">
        <f>IFERROR(__xludf.DUMMYFUNCTION("IF(B$43="""","""",IF($AZ180="""","""",IFERROR(Query({CarteirasAtivos},""Select Col3 where Col1 = '""&amp;$AZ180&amp;""'and Col2 = '""&amp;S$21&amp;""'""))))"),"")</f>
        <v/>
      </c>
      <c r="C180" s="384" t="str">
        <f>IFERROR(__xludf.DUMMYFUNCTION("IF(C$43="""","""",IF($AZ180="""","""",IFERROR(Query({CarteirasAtivos},""Select Col3 where Col1 = '""&amp;$AZ180&amp;""'and Col2 = '""&amp;T$21&amp;""'""))))"),"")</f>
        <v/>
      </c>
      <c r="D180" s="384" t="str">
        <f>IFERROR(__xludf.DUMMYFUNCTION("IF(D$43="""","""",IF($AZ180="""","""",IFERROR(Query({CarteirasAtivos},""Select Col3 where Col1 = '""&amp;$AZ180&amp;""'and Col2 = '""&amp;U$21&amp;""'""))))"),"")</f>
        <v/>
      </c>
      <c r="E180" s="384" t="str">
        <f>IFERROR(__xludf.DUMMYFUNCTION("IF(E$43="""","""",IF($AZ180="""","""",IFERROR(Query({CarteirasAtivos},""Select Col3 where Col1 = '""&amp;$AZ180&amp;""'and Col2 = '""&amp;V$21&amp;""'""))))"),"")</f>
        <v/>
      </c>
      <c r="F180" s="384" t="str">
        <f>IFERROR(__xludf.DUMMYFUNCTION("IF(F$43="""","""",IF($AZ180="""","""",IFERROR(Query({CarteirasAtivos},""Select Col3 where Col1 = '""&amp;$AZ180&amp;""'and Col2 = '""&amp;W$21&amp;""'""))))"),"")</f>
        <v/>
      </c>
      <c r="G180" s="384" t="str">
        <f>IFERROR(__xludf.DUMMYFUNCTION("IF(G$43="""","""",IF($AZ180="""","""",IFERROR(Query({CarteirasAtivos},""Select Col3 where Col1 = '""&amp;$AZ180&amp;""'and Col2 = '""&amp;X$21&amp;""'""))))"),"")</f>
        <v/>
      </c>
      <c r="H180" s="384" t="str">
        <f>IFERROR(__xludf.DUMMYFUNCTION("IF(H$43="""","""",IF($AZ180="""","""",IFERROR(Query({CarteirasAtivos},""Select Col3 where Col1 = '""&amp;$AZ180&amp;""'and Col2 = '""&amp;Y$21&amp;""'""))))"),"")</f>
        <v/>
      </c>
      <c r="I180" s="384" t="str">
        <f>IFERROR(__xludf.DUMMYFUNCTION("IF(I$43="""","""",IF($AZ180="""","""",IFERROR(Query({CarteirasAtivos},""Select Col3 where Col1 = '""&amp;$AZ180&amp;""'and Col2 = '""&amp;Z$21&amp;""'""))))"),"")</f>
        <v/>
      </c>
      <c r="J180" s="384" t="str">
        <f>IFERROR(__xludf.DUMMYFUNCTION("IF(J$43="""","""",IF($AZ180="""","""",IFERROR(Query({CarteirasAtivos},""Select Col3 where Col1 = '""&amp;$AZ180&amp;""'and Col2 = '""&amp;AA$21&amp;""'""))))"),"")</f>
        <v/>
      </c>
      <c r="K180" s="384" t="str">
        <f>IFERROR(__xludf.DUMMYFUNCTION("IF(K$43="""","""",IF($AZ180="""","""",IFERROR(Query({CarteirasAtivos},""Select Col3 where Col1 = '""&amp;$AZ180&amp;""'and Col2 = '""&amp;AB$21&amp;""'""))))"),"")</f>
        <v/>
      </c>
      <c r="L180" s="385">
        <v>137.0</v>
      </c>
      <c r="M180" s="503"/>
      <c r="N180" s="387"/>
      <c r="O180" s="388" t="s">
        <v>123</v>
      </c>
      <c r="P180" s="389"/>
      <c r="Q180" s="390"/>
      <c r="R180" s="391"/>
      <c r="S180" s="392"/>
      <c r="T180" s="393"/>
      <c r="U180" s="393"/>
      <c r="V180" s="394"/>
      <c r="W180" s="395" t="str">
        <f>IFERROR(__xludf.DUMMYFUNCTION("IF(M180="""","""",sparkline(IFERROR(BF180*100/MAX($BF$44:$BF$153),0),{""charttype"",""bar"";""max"",100;""color1"",IF(BD180&gt;=0,""#4760a5"",""red"")}))"),"")</f>
        <v/>
      </c>
      <c r="X180" s="396"/>
      <c r="Y180" s="466"/>
      <c r="Z180" s="398"/>
      <c r="AA180" s="399"/>
      <c r="AB180" s="393"/>
      <c r="AC180" s="476"/>
      <c r="AD180" s="401"/>
      <c r="AE180" s="402"/>
      <c r="AF180" s="403"/>
      <c r="AG180" s="404" t="str">
        <f>IFERROR(__xludf.DUMMYFUNCTION("IF($M180="""","""",IFERROR(sparkline(query(GOOGLEFINANCE($AZ180,""price"",TODAY()-$AF$43,TODAY(),1),""select Col2 label Col2 ''""),IF($AG$43=""Gráfico de barras"",{""charttype"",""column"";""highcolor"",""red""},{""chartype"",""line""}))))"),"")</f>
        <v/>
      </c>
      <c r="AH180" s="405"/>
      <c r="AI180" s="467"/>
      <c r="AJ180" s="467"/>
      <c r="AK180" s="467"/>
      <c r="AL180" s="467"/>
      <c r="AM180" s="442"/>
      <c r="AN180" s="442"/>
      <c r="AU180" s="281"/>
      <c r="AV180" s="281"/>
      <c r="AW180" s="281"/>
      <c r="AX180" s="281"/>
      <c r="AY180" s="410">
        <v>137.0</v>
      </c>
      <c r="AZ180" s="411"/>
      <c r="BA180" s="411"/>
      <c r="BB180" s="437"/>
      <c r="BC180" s="437"/>
      <c r="BD180" s="437"/>
      <c r="BE180" s="437"/>
      <c r="BF180" s="415" t="s">
        <v>123</v>
      </c>
      <c r="BG180" s="410">
        <v>137.0</v>
      </c>
      <c r="BH180" s="416"/>
      <c r="BI180" s="416"/>
      <c r="BJ180" s="416"/>
      <c r="BK180" s="416"/>
      <c r="BL180" s="416"/>
      <c r="BM180" s="416"/>
      <c r="BN180" s="282"/>
      <c r="BO180" s="490"/>
      <c r="BP180" s="489"/>
      <c r="BQ180" s="489"/>
      <c r="BR180" s="489"/>
      <c r="BS180" s="489"/>
      <c r="BT180" s="489"/>
      <c r="BU180" s="489"/>
      <c r="BV180" s="489"/>
      <c r="BW180" s="63"/>
      <c r="BX180" s="62"/>
      <c r="BY180" s="452"/>
      <c r="BZ180" s="452"/>
      <c r="CA180" s="452"/>
      <c r="CB180" s="452"/>
      <c r="CC180" s="452"/>
      <c r="CD180" s="452"/>
      <c r="CE180" s="452"/>
      <c r="CF180" s="452"/>
      <c r="CG180" s="452"/>
      <c r="CH180" s="422"/>
      <c r="CI180" s="422"/>
      <c r="CJ180" s="422"/>
      <c r="CK180" s="421"/>
      <c r="CL180" s="421" t="s">
        <v>123</v>
      </c>
      <c r="CM180" s="423"/>
      <c r="CN180" s="421"/>
      <c r="CO180" s="423"/>
      <c r="CP180" s="421"/>
      <c r="CQ180" s="63"/>
      <c r="CR180" s="63"/>
      <c r="CS180" s="63"/>
      <c r="CT180" s="63"/>
      <c r="CU180" s="447"/>
      <c r="CV180" s="447"/>
      <c r="CW180" s="447"/>
      <c r="CX180" s="447"/>
      <c r="CY180" s="447"/>
      <c r="CZ180" s="447"/>
      <c r="DA180" s="447"/>
      <c r="DB180" s="447"/>
      <c r="DC180" s="447"/>
      <c r="DD180" s="447"/>
      <c r="DE180" s="447"/>
      <c r="DF180" s="447"/>
      <c r="DG180" s="447"/>
      <c r="DH180" s="447"/>
      <c r="DI180" s="447"/>
      <c r="DJ180" s="447"/>
      <c r="DK180" s="447"/>
      <c r="DL180" s="67"/>
      <c r="DM180" s="67"/>
      <c r="DN180" s="67"/>
      <c r="DO180" s="67"/>
      <c r="DP180" s="67"/>
      <c r="DQ180" s="67"/>
    </row>
    <row r="181" ht="22.5" customHeight="1">
      <c r="A181" s="383"/>
      <c r="B181" s="384" t="str">
        <f>IFERROR(__xludf.DUMMYFUNCTION("IF(B$43="""","""",IF($AZ181="""","""",IFERROR(Query({CarteirasAtivos},""Select Col3 where Col1 = '""&amp;$AZ181&amp;""'and Col2 = '""&amp;S$21&amp;""'""))))"),"")</f>
        <v/>
      </c>
      <c r="C181" s="384" t="str">
        <f>IFERROR(__xludf.DUMMYFUNCTION("IF(C$43="""","""",IF($AZ181="""","""",IFERROR(Query({CarteirasAtivos},""Select Col3 where Col1 = '""&amp;$AZ181&amp;""'and Col2 = '""&amp;T$21&amp;""'""))))"),"")</f>
        <v/>
      </c>
      <c r="D181" s="384" t="str">
        <f>IFERROR(__xludf.DUMMYFUNCTION("IF(D$43="""","""",IF($AZ181="""","""",IFERROR(Query({CarteirasAtivos},""Select Col3 where Col1 = '""&amp;$AZ181&amp;""'and Col2 = '""&amp;U$21&amp;""'""))))"),"")</f>
        <v/>
      </c>
      <c r="E181" s="384" t="str">
        <f>IFERROR(__xludf.DUMMYFUNCTION("IF(E$43="""","""",IF($AZ181="""","""",IFERROR(Query({CarteirasAtivos},""Select Col3 where Col1 = '""&amp;$AZ181&amp;""'and Col2 = '""&amp;V$21&amp;""'""))))"),"")</f>
        <v/>
      </c>
      <c r="F181" s="384" t="str">
        <f>IFERROR(__xludf.DUMMYFUNCTION("IF(F$43="""","""",IF($AZ181="""","""",IFERROR(Query({CarteirasAtivos},""Select Col3 where Col1 = '""&amp;$AZ181&amp;""'and Col2 = '""&amp;W$21&amp;""'""))))"),"")</f>
        <v/>
      </c>
      <c r="G181" s="384" t="str">
        <f>IFERROR(__xludf.DUMMYFUNCTION("IF(G$43="""","""",IF($AZ181="""","""",IFERROR(Query({CarteirasAtivos},""Select Col3 where Col1 = '""&amp;$AZ181&amp;""'and Col2 = '""&amp;X$21&amp;""'""))))"),"")</f>
        <v/>
      </c>
      <c r="H181" s="384" t="str">
        <f>IFERROR(__xludf.DUMMYFUNCTION("IF(H$43="""","""",IF($AZ181="""","""",IFERROR(Query({CarteirasAtivos},""Select Col3 where Col1 = '""&amp;$AZ181&amp;""'and Col2 = '""&amp;Y$21&amp;""'""))))"),"")</f>
        <v/>
      </c>
      <c r="I181" s="384" t="str">
        <f>IFERROR(__xludf.DUMMYFUNCTION("IF(I$43="""","""",IF($AZ181="""","""",IFERROR(Query({CarteirasAtivos},""Select Col3 where Col1 = '""&amp;$AZ181&amp;""'and Col2 = '""&amp;Z$21&amp;""'""))))"),"")</f>
        <v/>
      </c>
      <c r="J181" s="384" t="str">
        <f>IFERROR(__xludf.DUMMYFUNCTION("IF(J$43="""","""",IF($AZ181="""","""",IFERROR(Query({CarteirasAtivos},""Select Col3 where Col1 = '""&amp;$AZ181&amp;""'and Col2 = '""&amp;AA$21&amp;""'""))))"),"")</f>
        <v/>
      </c>
      <c r="K181" s="384" t="str">
        <f>IFERROR(__xludf.DUMMYFUNCTION("IF(K$43="""","""",IF($AZ181="""","""",IFERROR(Query({CarteirasAtivos},""Select Col3 where Col1 = '""&amp;$AZ181&amp;""'and Col2 = '""&amp;AB$21&amp;""'""))))"),"")</f>
        <v/>
      </c>
      <c r="L181" s="385">
        <v>138.0</v>
      </c>
      <c r="M181" s="503"/>
      <c r="N181" s="387"/>
      <c r="O181" s="388" t="s">
        <v>123</v>
      </c>
      <c r="P181" s="389"/>
      <c r="Q181" s="390"/>
      <c r="R181" s="391"/>
      <c r="S181" s="392"/>
      <c r="T181" s="393"/>
      <c r="U181" s="393"/>
      <c r="V181" s="394"/>
      <c r="W181" s="395" t="str">
        <f>IFERROR(__xludf.DUMMYFUNCTION("IF(M181="""","""",sparkline(IFERROR(BF181*100/MAX($BF$44:$BF$153),0),{""charttype"",""bar"";""max"",100;""color1"",IF(BD181&gt;=0,""#4760a5"",""red"")}))"),"")</f>
        <v/>
      </c>
      <c r="X181" s="396"/>
      <c r="Y181" s="466"/>
      <c r="Z181" s="398"/>
      <c r="AA181" s="399"/>
      <c r="AB181" s="393"/>
      <c r="AC181" s="476"/>
      <c r="AD181" s="401"/>
      <c r="AE181" s="402"/>
      <c r="AF181" s="403"/>
      <c r="AG181" s="404" t="str">
        <f>IFERROR(__xludf.DUMMYFUNCTION("IF($M181="""","""",IFERROR(sparkline(query(GOOGLEFINANCE($AZ181,""price"",TODAY()-$AF$43,TODAY(),1),""select Col2 label Col2 ''""),IF($AG$43=""Gráfico de barras"",{""charttype"",""column"";""highcolor"",""red""},{""chartype"",""line""}))))"),"")</f>
        <v/>
      </c>
      <c r="AH181" s="405"/>
      <c r="AI181" s="467"/>
      <c r="AJ181" s="467"/>
      <c r="AK181" s="467"/>
      <c r="AL181" s="467"/>
      <c r="AM181" s="442"/>
      <c r="AN181" s="442"/>
      <c r="AU181" s="281"/>
      <c r="AV181" s="281"/>
      <c r="AW181" s="281"/>
      <c r="AX181" s="281"/>
      <c r="AY181" s="410">
        <v>138.0</v>
      </c>
      <c r="AZ181" s="411"/>
      <c r="BA181" s="411"/>
      <c r="BB181" s="437"/>
      <c r="BC181" s="437"/>
      <c r="BD181" s="437"/>
      <c r="BE181" s="437"/>
      <c r="BF181" s="415" t="s">
        <v>123</v>
      </c>
      <c r="BG181" s="410">
        <v>138.0</v>
      </c>
      <c r="BH181" s="416"/>
      <c r="BI181" s="416"/>
      <c r="BJ181" s="416"/>
      <c r="BK181" s="416"/>
      <c r="BL181" s="416"/>
      <c r="BM181" s="416"/>
      <c r="BN181" s="282"/>
      <c r="BO181" s="490"/>
      <c r="BP181" s="489"/>
      <c r="BQ181" s="489"/>
      <c r="BR181" s="489"/>
      <c r="BS181" s="489"/>
      <c r="BT181" s="489"/>
      <c r="BU181" s="489"/>
      <c r="BV181" s="489"/>
      <c r="BW181" s="63"/>
      <c r="BX181" s="62"/>
      <c r="BY181" s="452"/>
      <c r="BZ181" s="452"/>
      <c r="CA181" s="452"/>
      <c r="CB181" s="452"/>
      <c r="CC181" s="452"/>
      <c r="CD181" s="452"/>
      <c r="CE181" s="452"/>
      <c r="CF181" s="452"/>
      <c r="CG181" s="452"/>
      <c r="CH181" s="422"/>
      <c r="CI181" s="422"/>
      <c r="CJ181" s="422"/>
      <c r="CK181" s="421"/>
      <c r="CL181" s="421" t="s">
        <v>123</v>
      </c>
      <c r="CM181" s="423"/>
      <c r="CN181" s="421"/>
      <c r="CO181" s="423"/>
      <c r="CP181" s="421"/>
      <c r="CQ181" s="63"/>
      <c r="CR181" s="63"/>
      <c r="CS181" s="63"/>
      <c r="CT181" s="63"/>
      <c r="CU181" s="447"/>
      <c r="CV181" s="447"/>
      <c r="CW181" s="447"/>
      <c r="CX181" s="447"/>
      <c r="CY181" s="447"/>
      <c r="CZ181" s="447"/>
      <c r="DA181" s="447"/>
      <c r="DB181" s="447"/>
      <c r="DC181" s="447"/>
      <c r="DD181" s="447"/>
      <c r="DE181" s="447"/>
      <c r="DF181" s="447"/>
      <c r="DG181" s="447"/>
      <c r="DH181" s="447"/>
      <c r="DI181" s="447"/>
      <c r="DJ181" s="447"/>
      <c r="DK181" s="447"/>
      <c r="DL181" s="67"/>
      <c r="DM181" s="67"/>
      <c r="DN181" s="67"/>
      <c r="DO181" s="67"/>
      <c r="DP181" s="67"/>
      <c r="DQ181" s="67"/>
    </row>
    <row r="182" ht="22.5" customHeight="1">
      <c r="A182" s="383"/>
      <c r="B182" s="384" t="str">
        <f>IFERROR(__xludf.DUMMYFUNCTION("IF(B$43="""","""",IF($AZ182="""","""",IFERROR(Query({CarteirasAtivos},""Select Col3 where Col1 = '""&amp;$AZ182&amp;""'and Col2 = '""&amp;S$21&amp;""'""))))"),"")</f>
        <v/>
      </c>
      <c r="C182" s="384" t="str">
        <f>IFERROR(__xludf.DUMMYFUNCTION("IF(C$43="""","""",IF($AZ182="""","""",IFERROR(Query({CarteirasAtivos},""Select Col3 where Col1 = '""&amp;$AZ182&amp;""'and Col2 = '""&amp;T$21&amp;""'""))))"),"")</f>
        <v/>
      </c>
      <c r="D182" s="384" t="str">
        <f>IFERROR(__xludf.DUMMYFUNCTION("IF(D$43="""","""",IF($AZ182="""","""",IFERROR(Query({CarteirasAtivos},""Select Col3 where Col1 = '""&amp;$AZ182&amp;""'and Col2 = '""&amp;U$21&amp;""'""))))"),"")</f>
        <v/>
      </c>
      <c r="E182" s="384" t="str">
        <f>IFERROR(__xludf.DUMMYFUNCTION("IF(E$43="""","""",IF($AZ182="""","""",IFERROR(Query({CarteirasAtivos},""Select Col3 where Col1 = '""&amp;$AZ182&amp;""'and Col2 = '""&amp;V$21&amp;""'""))))"),"")</f>
        <v/>
      </c>
      <c r="F182" s="384" t="str">
        <f>IFERROR(__xludf.DUMMYFUNCTION("IF(F$43="""","""",IF($AZ182="""","""",IFERROR(Query({CarteirasAtivos},""Select Col3 where Col1 = '""&amp;$AZ182&amp;""'and Col2 = '""&amp;W$21&amp;""'""))))"),"")</f>
        <v/>
      </c>
      <c r="G182" s="384" t="str">
        <f>IFERROR(__xludf.DUMMYFUNCTION("IF(G$43="""","""",IF($AZ182="""","""",IFERROR(Query({CarteirasAtivos},""Select Col3 where Col1 = '""&amp;$AZ182&amp;""'and Col2 = '""&amp;X$21&amp;""'""))))"),"")</f>
        <v/>
      </c>
      <c r="H182" s="384" t="str">
        <f>IFERROR(__xludf.DUMMYFUNCTION("IF(H$43="""","""",IF($AZ182="""","""",IFERROR(Query({CarteirasAtivos},""Select Col3 where Col1 = '""&amp;$AZ182&amp;""'and Col2 = '""&amp;Y$21&amp;""'""))))"),"")</f>
        <v/>
      </c>
      <c r="I182" s="384" t="str">
        <f>IFERROR(__xludf.DUMMYFUNCTION("IF(I$43="""","""",IF($AZ182="""","""",IFERROR(Query({CarteirasAtivos},""Select Col3 where Col1 = '""&amp;$AZ182&amp;""'and Col2 = '""&amp;Z$21&amp;""'""))))"),"")</f>
        <v/>
      </c>
      <c r="J182" s="384" t="str">
        <f>IFERROR(__xludf.DUMMYFUNCTION("IF(J$43="""","""",IF($AZ182="""","""",IFERROR(Query({CarteirasAtivos},""Select Col3 where Col1 = '""&amp;$AZ182&amp;""'and Col2 = '""&amp;AA$21&amp;""'""))))"),"")</f>
        <v/>
      </c>
      <c r="K182" s="384" t="str">
        <f>IFERROR(__xludf.DUMMYFUNCTION("IF(K$43="""","""",IF($AZ182="""","""",IFERROR(Query({CarteirasAtivos},""Select Col3 where Col1 = '""&amp;$AZ182&amp;""'and Col2 = '""&amp;AB$21&amp;""'""))))"),"")</f>
        <v/>
      </c>
      <c r="L182" s="385">
        <v>139.0</v>
      </c>
      <c r="M182" s="503"/>
      <c r="N182" s="387"/>
      <c r="O182" s="388" t="s">
        <v>123</v>
      </c>
      <c r="P182" s="389"/>
      <c r="Q182" s="390"/>
      <c r="R182" s="391"/>
      <c r="S182" s="392"/>
      <c r="T182" s="393"/>
      <c r="U182" s="393"/>
      <c r="V182" s="394"/>
      <c r="W182" s="395" t="str">
        <f>IFERROR(__xludf.DUMMYFUNCTION("IF(M182="""","""",sparkline(IFERROR(BF182*100/MAX($BF$44:$BF$153),0),{""charttype"",""bar"";""max"",100;""color1"",IF(BD182&gt;=0,""#4760a5"",""red"")}))"),"")</f>
        <v/>
      </c>
      <c r="X182" s="396"/>
      <c r="Y182" s="466"/>
      <c r="Z182" s="398"/>
      <c r="AA182" s="399"/>
      <c r="AB182" s="393"/>
      <c r="AC182" s="476"/>
      <c r="AD182" s="401"/>
      <c r="AE182" s="402"/>
      <c r="AF182" s="403"/>
      <c r="AG182" s="404" t="str">
        <f>IFERROR(__xludf.DUMMYFUNCTION("IF($M182="""","""",IFERROR(sparkline(query(GOOGLEFINANCE($AZ182,""price"",TODAY()-$AF$43,TODAY(),1),""select Col2 label Col2 ''""),IF($AG$43=""Gráfico de barras"",{""charttype"",""column"";""highcolor"",""red""},{""chartype"",""line""}))))"),"")</f>
        <v/>
      </c>
      <c r="AH182" s="405"/>
      <c r="AI182" s="467"/>
      <c r="AJ182" s="467"/>
      <c r="AK182" s="467"/>
      <c r="AL182" s="467"/>
      <c r="AM182" s="442"/>
      <c r="AN182" s="442"/>
      <c r="AU182" s="281"/>
      <c r="AV182" s="281"/>
      <c r="AW182" s="281"/>
      <c r="AX182" s="281"/>
      <c r="AY182" s="410">
        <v>139.0</v>
      </c>
      <c r="AZ182" s="411"/>
      <c r="BA182" s="411"/>
      <c r="BB182" s="437"/>
      <c r="BC182" s="437"/>
      <c r="BD182" s="437"/>
      <c r="BE182" s="437"/>
      <c r="BF182" s="415" t="s">
        <v>123</v>
      </c>
      <c r="BG182" s="410">
        <v>139.0</v>
      </c>
      <c r="BH182" s="416"/>
      <c r="BI182" s="416"/>
      <c r="BJ182" s="416"/>
      <c r="BK182" s="416"/>
      <c r="BL182" s="416"/>
      <c r="BM182" s="416"/>
      <c r="BN182" s="282"/>
      <c r="BO182" s="490"/>
      <c r="BP182" s="489"/>
      <c r="BQ182" s="489"/>
      <c r="BR182" s="489"/>
      <c r="BS182" s="489"/>
      <c r="BT182" s="489"/>
      <c r="BU182" s="489"/>
      <c r="BV182" s="489"/>
      <c r="BW182" s="63"/>
      <c r="BX182" s="62"/>
      <c r="BY182" s="452"/>
      <c r="BZ182" s="452"/>
      <c r="CA182" s="452"/>
      <c r="CB182" s="452"/>
      <c r="CC182" s="452"/>
      <c r="CD182" s="452"/>
      <c r="CE182" s="452"/>
      <c r="CF182" s="452"/>
      <c r="CG182" s="452"/>
      <c r="CH182" s="422"/>
      <c r="CI182" s="422"/>
      <c r="CJ182" s="422"/>
      <c r="CK182" s="421"/>
      <c r="CL182" s="421" t="s">
        <v>123</v>
      </c>
      <c r="CM182" s="423"/>
      <c r="CN182" s="421"/>
      <c r="CO182" s="423"/>
      <c r="CP182" s="421"/>
      <c r="CQ182" s="63"/>
      <c r="CR182" s="63"/>
      <c r="CS182" s="63"/>
      <c r="CT182" s="63"/>
      <c r="CU182" s="447"/>
      <c r="CV182" s="447"/>
      <c r="CW182" s="447"/>
      <c r="CX182" s="447"/>
      <c r="CY182" s="447"/>
      <c r="CZ182" s="447"/>
      <c r="DA182" s="447"/>
      <c r="DB182" s="447"/>
      <c r="DC182" s="447"/>
      <c r="DD182" s="447"/>
      <c r="DE182" s="447"/>
      <c r="DF182" s="447"/>
      <c r="DG182" s="447"/>
      <c r="DH182" s="447"/>
      <c r="DI182" s="447"/>
      <c r="DJ182" s="447"/>
      <c r="DK182" s="447"/>
      <c r="DL182" s="67"/>
      <c r="DM182" s="67"/>
      <c r="DN182" s="67"/>
      <c r="DO182" s="67"/>
      <c r="DP182" s="67"/>
      <c r="DQ182" s="67"/>
    </row>
    <row r="183" ht="22.5" customHeight="1">
      <c r="A183" s="383"/>
      <c r="B183" s="384" t="str">
        <f>IFERROR(__xludf.DUMMYFUNCTION("IF(B$43="""","""",IF($AZ183="""","""",IFERROR(Query({CarteirasAtivos},""Select Col3 where Col1 = '""&amp;$AZ183&amp;""'and Col2 = '""&amp;S$21&amp;""'""))))"),"")</f>
        <v/>
      </c>
      <c r="C183" s="384" t="str">
        <f>IFERROR(__xludf.DUMMYFUNCTION("IF(C$43="""","""",IF($AZ183="""","""",IFERROR(Query({CarteirasAtivos},""Select Col3 where Col1 = '""&amp;$AZ183&amp;""'and Col2 = '""&amp;T$21&amp;""'""))))"),"")</f>
        <v/>
      </c>
      <c r="D183" s="384" t="str">
        <f>IFERROR(__xludf.DUMMYFUNCTION("IF(D$43="""","""",IF($AZ183="""","""",IFERROR(Query({CarteirasAtivos},""Select Col3 where Col1 = '""&amp;$AZ183&amp;""'and Col2 = '""&amp;U$21&amp;""'""))))"),"")</f>
        <v/>
      </c>
      <c r="E183" s="384" t="str">
        <f>IFERROR(__xludf.DUMMYFUNCTION("IF(E$43="""","""",IF($AZ183="""","""",IFERROR(Query({CarteirasAtivos},""Select Col3 where Col1 = '""&amp;$AZ183&amp;""'and Col2 = '""&amp;V$21&amp;""'""))))"),"")</f>
        <v/>
      </c>
      <c r="F183" s="384" t="str">
        <f>IFERROR(__xludf.DUMMYFUNCTION("IF(F$43="""","""",IF($AZ183="""","""",IFERROR(Query({CarteirasAtivos},""Select Col3 where Col1 = '""&amp;$AZ183&amp;""'and Col2 = '""&amp;W$21&amp;""'""))))"),"")</f>
        <v/>
      </c>
      <c r="G183" s="384" t="str">
        <f>IFERROR(__xludf.DUMMYFUNCTION("IF(G$43="""","""",IF($AZ183="""","""",IFERROR(Query({CarteirasAtivos},""Select Col3 where Col1 = '""&amp;$AZ183&amp;""'and Col2 = '""&amp;X$21&amp;""'""))))"),"")</f>
        <v/>
      </c>
      <c r="H183" s="384" t="str">
        <f>IFERROR(__xludf.DUMMYFUNCTION("IF(H$43="""","""",IF($AZ183="""","""",IFERROR(Query({CarteirasAtivos},""Select Col3 where Col1 = '""&amp;$AZ183&amp;""'and Col2 = '""&amp;Y$21&amp;""'""))))"),"")</f>
        <v/>
      </c>
      <c r="I183" s="384" t="str">
        <f>IFERROR(__xludf.DUMMYFUNCTION("IF(I$43="""","""",IF($AZ183="""","""",IFERROR(Query({CarteirasAtivos},""Select Col3 where Col1 = '""&amp;$AZ183&amp;""'and Col2 = '""&amp;Z$21&amp;""'""))))"),"")</f>
        <v/>
      </c>
      <c r="J183" s="384" t="str">
        <f>IFERROR(__xludf.DUMMYFUNCTION("IF(J$43="""","""",IF($AZ183="""","""",IFERROR(Query({CarteirasAtivos},""Select Col3 where Col1 = '""&amp;$AZ183&amp;""'and Col2 = '""&amp;AA$21&amp;""'""))))"),"")</f>
        <v/>
      </c>
      <c r="K183" s="384" t="str">
        <f>IFERROR(__xludf.DUMMYFUNCTION("IF(K$43="""","""",IF($AZ183="""","""",IFERROR(Query({CarteirasAtivos},""Select Col3 where Col1 = '""&amp;$AZ183&amp;""'and Col2 = '""&amp;AB$21&amp;""'""))))"),"")</f>
        <v/>
      </c>
      <c r="L183" s="385">
        <v>140.0</v>
      </c>
      <c r="M183" s="503"/>
      <c r="N183" s="387"/>
      <c r="O183" s="388" t="s">
        <v>123</v>
      </c>
      <c r="P183" s="389"/>
      <c r="Q183" s="390"/>
      <c r="R183" s="391"/>
      <c r="S183" s="392"/>
      <c r="T183" s="393"/>
      <c r="U183" s="393"/>
      <c r="V183" s="394"/>
      <c r="W183" s="395" t="str">
        <f>IFERROR(__xludf.DUMMYFUNCTION("IF(M183="""","""",sparkline(IFERROR(BF183*100/MAX($BF$44:$BF$153),0),{""charttype"",""bar"";""max"",100;""color1"",IF(BD183&gt;=0,""#4760a5"",""red"")}))"),"")</f>
        <v/>
      </c>
      <c r="X183" s="396"/>
      <c r="Y183" s="466"/>
      <c r="Z183" s="398"/>
      <c r="AA183" s="399"/>
      <c r="AB183" s="393"/>
      <c r="AC183" s="476"/>
      <c r="AD183" s="401"/>
      <c r="AE183" s="402"/>
      <c r="AF183" s="403"/>
      <c r="AG183" s="404" t="str">
        <f>IFERROR(__xludf.DUMMYFUNCTION("IF($M183="""","""",IFERROR(sparkline(query(GOOGLEFINANCE($AZ183,""price"",TODAY()-$AF$43,TODAY(),1),""select Col2 label Col2 ''""),IF($AG$43=""Gráfico de barras"",{""charttype"",""column"";""highcolor"",""red""},{""chartype"",""line""}))))"),"")</f>
        <v/>
      </c>
      <c r="AH183" s="405"/>
      <c r="AI183" s="467"/>
      <c r="AJ183" s="467"/>
      <c r="AK183" s="467"/>
      <c r="AL183" s="467"/>
      <c r="AM183" s="442"/>
      <c r="AN183" s="442"/>
      <c r="AU183" s="281"/>
      <c r="AV183" s="281"/>
      <c r="AW183" s="281"/>
      <c r="AX183" s="281"/>
      <c r="AY183" s="410">
        <v>140.0</v>
      </c>
      <c r="AZ183" s="411"/>
      <c r="BA183" s="411"/>
      <c r="BB183" s="437"/>
      <c r="BC183" s="437"/>
      <c r="BD183" s="437"/>
      <c r="BE183" s="437"/>
      <c r="BF183" s="415" t="s">
        <v>123</v>
      </c>
      <c r="BG183" s="410">
        <v>140.0</v>
      </c>
      <c r="BH183" s="416"/>
      <c r="BI183" s="416"/>
      <c r="BJ183" s="416"/>
      <c r="BK183" s="416"/>
      <c r="BL183" s="416"/>
      <c r="BM183" s="416"/>
      <c r="BN183" s="282"/>
      <c r="BO183" s="490"/>
      <c r="BP183" s="489"/>
      <c r="BQ183" s="489"/>
      <c r="BR183" s="489"/>
      <c r="BS183" s="489"/>
      <c r="BT183" s="489"/>
      <c r="BU183" s="489"/>
      <c r="BV183" s="489"/>
      <c r="BW183" s="63"/>
      <c r="BX183" s="62"/>
      <c r="BY183" s="452"/>
      <c r="BZ183" s="452"/>
      <c r="CA183" s="452"/>
      <c r="CB183" s="452"/>
      <c r="CC183" s="452"/>
      <c r="CD183" s="452"/>
      <c r="CE183" s="452"/>
      <c r="CF183" s="452"/>
      <c r="CG183" s="452"/>
      <c r="CH183" s="422"/>
      <c r="CI183" s="422"/>
      <c r="CJ183" s="422"/>
      <c r="CK183" s="421"/>
      <c r="CL183" s="421" t="s">
        <v>123</v>
      </c>
      <c r="CM183" s="423"/>
      <c r="CN183" s="421"/>
      <c r="CO183" s="423"/>
      <c r="CP183" s="421"/>
      <c r="CQ183" s="63"/>
      <c r="CR183" s="63"/>
      <c r="CS183" s="63"/>
      <c r="CT183" s="63"/>
      <c r="CU183" s="447"/>
      <c r="CV183" s="447"/>
      <c r="CW183" s="447"/>
      <c r="CX183" s="447"/>
      <c r="CY183" s="447"/>
      <c r="CZ183" s="447"/>
      <c r="DA183" s="447"/>
      <c r="DB183" s="447"/>
      <c r="DC183" s="447"/>
      <c r="DD183" s="447"/>
      <c r="DE183" s="447"/>
      <c r="DF183" s="447"/>
      <c r="DG183" s="447"/>
      <c r="DH183" s="447"/>
      <c r="DI183" s="447"/>
      <c r="DJ183" s="447"/>
      <c r="DK183" s="447"/>
      <c r="DL183" s="67"/>
      <c r="DM183" s="67"/>
      <c r="DN183" s="67"/>
      <c r="DO183" s="67"/>
      <c r="DP183" s="67"/>
      <c r="DQ183" s="67"/>
    </row>
    <row r="184" ht="22.5" customHeight="1">
      <c r="A184" s="383"/>
      <c r="B184" s="384" t="str">
        <f>IFERROR(__xludf.DUMMYFUNCTION("IF(B$43="""","""",IF($AZ184="""","""",IFERROR(Query({CarteirasAtivos},""Select Col3 where Col1 = '""&amp;$AZ184&amp;""'and Col2 = '""&amp;S$21&amp;""'""))))"),"")</f>
        <v/>
      </c>
      <c r="C184" s="384" t="str">
        <f>IFERROR(__xludf.DUMMYFUNCTION("IF(C$43="""","""",IF($AZ184="""","""",IFERROR(Query({CarteirasAtivos},""Select Col3 where Col1 = '""&amp;$AZ184&amp;""'and Col2 = '""&amp;T$21&amp;""'""))))"),"")</f>
        <v/>
      </c>
      <c r="D184" s="384" t="str">
        <f>IFERROR(__xludf.DUMMYFUNCTION("IF(D$43="""","""",IF($AZ184="""","""",IFERROR(Query({CarteirasAtivos},""Select Col3 where Col1 = '""&amp;$AZ184&amp;""'and Col2 = '""&amp;U$21&amp;""'""))))"),"")</f>
        <v/>
      </c>
      <c r="E184" s="384" t="str">
        <f>IFERROR(__xludf.DUMMYFUNCTION("IF(E$43="""","""",IF($AZ184="""","""",IFERROR(Query({CarteirasAtivos},""Select Col3 where Col1 = '""&amp;$AZ184&amp;""'and Col2 = '""&amp;V$21&amp;""'""))))"),"")</f>
        <v/>
      </c>
      <c r="F184" s="384" t="str">
        <f>IFERROR(__xludf.DUMMYFUNCTION("IF(F$43="""","""",IF($AZ184="""","""",IFERROR(Query({CarteirasAtivos},""Select Col3 where Col1 = '""&amp;$AZ184&amp;""'and Col2 = '""&amp;W$21&amp;""'""))))"),"")</f>
        <v/>
      </c>
      <c r="G184" s="384" t="str">
        <f>IFERROR(__xludf.DUMMYFUNCTION("IF(G$43="""","""",IF($AZ184="""","""",IFERROR(Query({CarteirasAtivos},""Select Col3 where Col1 = '""&amp;$AZ184&amp;""'and Col2 = '""&amp;X$21&amp;""'""))))"),"")</f>
        <v/>
      </c>
      <c r="H184" s="384" t="str">
        <f>IFERROR(__xludf.DUMMYFUNCTION("IF(H$43="""","""",IF($AZ184="""","""",IFERROR(Query({CarteirasAtivos},""Select Col3 where Col1 = '""&amp;$AZ184&amp;""'and Col2 = '""&amp;Y$21&amp;""'""))))"),"")</f>
        <v/>
      </c>
      <c r="I184" s="384" t="str">
        <f>IFERROR(__xludf.DUMMYFUNCTION("IF(I$43="""","""",IF($AZ184="""","""",IFERROR(Query({CarteirasAtivos},""Select Col3 where Col1 = '""&amp;$AZ184&amp;""'and Col2 = '""&amp;Z$21&amp;""'""))))"),"")</f>
        <v/>
      </c>
      <c r="J184" s="384" t="str">
        <f>IFERROR(__xludf.DUMMYFUNCTION("IF(J$43="""","""",IF($AZ184="""","""",IFERROR(Query({CarteirasAtivos},""Select Col3 where Col1 = '""&amp;$AZ184&amp;""'and Col2 = '""&amp;AA$21&amp;""'""))))"),"")</f>
        <v/>
      </c>
      <c r="K184" s="384" t="str">
        <f>IFERROR(__xludf.DUMMYFUNCTION("IF(K$43="""","""",IF($AZ184="""","""",IFERROR(Query({CarteirasAtivos},""Select Col3 where Col1 = '""&amp;$AZ184&amp;""'and Col2 = '""&amp;AB$21&amp;""'""))))"),"")</f>
        <v/>
      </c>
      <c r="L184" s="385">
        <v>141.0</v>
      </c>
      <c r="M184" s="503"/>
      <c r="N184" s="387"/>
      <c r="O184" s="388" t="s">
        <v>123</v>
      </c>
      <c r="P184" s="389"/>
      <c r="Q184" s="390"/>
      <c r="R184" s="391"/>
      <c r="S184" s="392"/>
      <c r="T184" s="393"/>
      <c r="U184" s="393"/>
      <c r="V184" s="394"/>
      <c r="W184" s="395" t="str">
        <f>IFERROR(__xludf.DUMMYFUNCTION("IF(M184="""","""",sparkline(IFERROR(BF184*100/MAX($BF$44:$BF$153),0),{""charttype"",""bar"";""max"",100;""color1"",IF(BD184&gt;=0,""#4760a5"",""red"")}))"),"")</f>
        <v/>
      </c>
      <c r="X184" s="396"/>
      <c r="Y184" s="466"/>
      <c r="Z184" s="398"/>
      <c r="AA184" s="399"/>
      <c r="AB184" s="393"/>
      <c r="AC184" s="476"/>
      <c r="AD184" s="401"/>
      <c r="AE184" s="402"/>
      <c r="AF184" s="403"/>
      <c r="AG184" s="404" t="str">
        <f>IFERROR(__xludf.DUMMYFUNCTION("IF($M184="""","""",IFERROR(sparkline(query(GOOGLEFINANCE($AZ184,""price"",TODAY()-$AF$43,TODAY(),1),""select Col2 label Col2 ''""),IF($AG$43=""Gráfico de barras"",{""charttype"",""column"";""highcolor"",""red""},{""chartype"",""line""}))))"),"")</f>
        <v/>
      </c>
      <c r="AH184" s="405"/>
      <c r="AI184" s="467"/>
      <c r="AJ184" s="467"/>
      <c r="AK184" s="467"/>
      <c r="AL184" s="467"/>
      <c r="AM184" s="442"/>
      <c r="AN184" s="442"/>
      <c r="AU184" s="281"/>
      <c r="AV184" s="281"/>
      <c r="AW184" s="281"/>
      <c r="AX184" s="281"/>
      <c r="AY184" s="410">
        <v>141.0</v>
      </c>
      <c r="AZ184" s="411"/>
      <c r="BA184" s="411"/>
      <c r="BB184" s="437"/>
      <c r="BC184" s="437"/>
      <c r="BD184" s="437"/>
      <c r="BE184" s="437"/>
      <c r="BF184" s="415" t="s">
        <v>123</v>
      </c>
      <c r="BG184" s="410">
        <v>141.0</v>
      </c>
      <c r="BH184" s="416"/>
      <c r="BI184" s="416"/>
      <c r="BJ184" s="416"/>
      <c r="BK184" s="416"/>
      <c r="BL184" s="416"/>
      <c r="BM184" s="416"/>
      <c r="BN184" s="282"/>
      <c r="BO184" s="490"/>
      <c r="BP184" s="489"/>
      <c r="BQ184" s="489"/>
      <c r="BR184" s="489"/>
      <c r="BS184" s="489"/>
      <c r="BT184" s="489"/>
      <c r="BU184" s="489"/>
      <c r="BV184" s="489"/>
      <c r="BW184" s="63"/>
      <c r="BX184" s="62"/>
      <c r="BY184" s="452"/>
      <c r="BZ184" s="452"/>
      <c r="CA184" s="452"/>
      <c r="CB184" s="452"/>
      <c r="CC184" s="452"/>
      <c r="CD184" s="452"/>
      <c r="CE184" s="452"/>
      <c r="CF184" s="452"/>
      <c r="CG184" s="452"/>
      <c r="CH184" s="422"/>
      <c r="CI184" s="422"/>
      <c r="CJ184" s="422"/>
      <c r="CK184" s="421"/>
      <c r="CL184" s="421" t="s">
        <v>123</v>
      </c>
      <c r="CM184" s="423"/>
      <c r="CN184" s="421"/>
      <c r="CO184" s="423"/>
      <c r="CP184" s="421"/>
      <c r="CQ184" s="63"/>
      <c r="CR184" s="63"/>
      <c r="CS184" s="63"/>
      <c r="CT184" s="63"/>
      <c r="CU184" s="447"/>
      <c r="CV184" s="447"/>
      <c r="CW184" s="447"/>
      <c r="CX184" s="447"/>
      <c r="CY184" s="447"/>
      <c r="CZ184" s="447"/>
      <c r="DA184" s="447"/>
      <c r="DB184" s="447"/>
      <c r="DC184" s="447"/>
      <c r="DD184" s="447"/>
      <c r="DE184" s="447"/>
      <c r="DF184" s="447"/>
      <c r="DG184" s="447"/>
      <c r="DH184" s="447"/>
      <c r="DI184" s="447"/>
      <c r="DJ184" s="447"/>
      <c r="DK184" s="447"/>
      <c r="DL184" s="67"/>
      <c r="DM184" s="67"/>
      <c r="DN184" s="67"/>
      <c r="DO184" s="67"/>
      <c r="DP184" s="67"/>
      <c r="DQ184" s="67"/>
    </row>
    <row r="185" ht="22.5" customHeight="1">
      <c r="A185" s="383"/>
      <c r="B185" s="384" t="str">
        <f>IFERROR(__xludf.DUMMYFUNCTION("IF(B$43="""","""",IF($AZ185="""","""",IFERROR(Query({CarteirasAtivos},""Select Col3 where Col1 = '""&amp;$AZ185&amp;""'and Col2 = '""&amp;S$21&amp;""'""))))"),"")</f>
        <v/>
      </c>
      <c r="C185" s="384" t="str">
        <f>IFERROR(__xludf.DUMMYFUNCTION("IF(C$43="""","""",IF($AZ185="""","""",IFERROR(Query({CarteirasAtivos},""Select Col3 where Col1 = '""&amp;$AZ185&amp;""'and Col2 = '""&amp;T$21&amp;""'""))))"),"")</f>
        <v/>
      </c>
      <c r="D185" s="384" t="str">
        <f>IFERROR(__xludf.DUMMYFUNCTION("IF(D$43="""","""",IF($AZ185="""","""",IFERROR(Query({CarteirasAtivos},""Select Col3 where Col1 = '""&amp;$AZ185&amp;""'and Col2 = '""&amp;U$21&amp;""'""))))"),"")</f>
        <v/>
      </c>
      <c r="E185" s="384" t="str">
        <f>IFERROR(__xludf.DUMMYFUNCTION("IF(E$43="""","""",IF($AZ185="""","""",IFERROR(Query({CarteirasAtivos},""Select Col3 where Col1 = '""&amp;$AZ185&amp;""'and Col2 = '""&amp;V$21&amp;""'""))))"),"")</f>
        <v/>
      </c>
      <c r="F185" s="384" t="str">
        <f>IFERROR(__xludf.DUMMYFUNCTION("IF(F$43="""","""",IF($AZ185="""","""",IFERROR(Query({CarteirasAtivos},""Select Col3 where Col1 = '""&amp;$AZ185&amp;""'and Col2 = '""&amp;W$21&amp;""'""))))"),"")</f>
        <v/>
      </c>
      <c r="G185" s="384" t="str">
        <f>IFERROR(__xludf.DUMMYFUNCTION("IF(G$43="""","""",IF($AZ185="""","""",IFERROR(Query({CarteirasAtivos},""Select Col3 where Col1 = '""&amp;$AZ185&amp;""'and Col2 = '""&amp;X$21&amp;""'""))))"),"")</f>
        <v/>
      </c>
      <c r="H185" s="384" t="str">
        <f>IFERROR(__xludf.DUMMYFUNCTION("IF(H$43="""","""",IF($AZ185="""","""",IFERROR(Query({CarteirasAtivos},""Select Col3 where Col1 = '""&amp;$AZ185&amp;""'and Col2 = '""&amp;Y$21&amp;""'""))))"),"")</f>
        <v/>
      </c>
      <c r="I185" s="384" t="str">
        <f>IFERROR(__xludf.DUMMYFUNCTION("IF(I$43="""","""",IF($AZ185="""","""",IFERROR(Query({CarteirasAtivos},""Select Col3 where Col1 = '""&amp;$AZ185&amp;""'and Col2 = '""&amp;Z$21&amp;""'""))))"),"")</f>
        <v/>
      </c>
      <c r="J185" s="384" t="str">
        <f>IFERROR(__xludf.DUMMYFUNCTION("IF(J$43="""","""",IF($AZ185="""","""",IFERROR(Query({CarteirasAtivos},""Select Col3 where Col1 = '""&amp;$AZ185&amp;""'and Col2 = '""&amp;AA$21&amp;""'""))))"),"")</f>
        <v/>
      </c>
      <c r="K185" s="384" t="str">
        <f>IFERROR(__xludf.DUMMYFUNCTION("IF(K$43="""","""",IF($AZ185="""","""",IFERROR(Query({CarteirasAtivos},""Select Col3 where Col1 = '""&amp;$AZ185&amp;""'and Col2 = '""&amp;AB$21&amp;""'""))))"),"")</f>
        <v/>
      </c>
      <c r="L185" s="385">
        <v>142.0</v>
      </c>
      <c r="M185" s="503"/>
      <c r="N185" s="387"/>
      <c r="O185" s="388" t="s">
        <v>123</v>
      </c>
      <c r="P185" s="389"/>
      <c r="Q185" s="390"/>
      <c r="R185" s="391"/>
      <c r="S185" s="392"/>
      <c r="T185" s="393"/>
      <c r="U185" s="393"/>
      <c r="V185" s="394"/>
      <c r="W185" s="395" t="str">
        <f>IFERROR(__xludf.DUMMYFUNCTION("IF(M185="""","""",sparkline(IFERROR(BF185*100/MAX($BF$44:$BF$153),0),{""charttype"",""bar"";""max"",100;""color1"",IF(BD185&gt;=0,""#4760a5"",""red"")}))"),"")</f>
        <v/>
      </c>
      <c r="X185" s="396"/>
      <c r="Y185" s="466"/>
      <c r="Z185" s="398"/>
      <c r="AA185" s="399"/>
      <c r="AB185" s="393"/>
      <c r="AC185" s="476"/>
      <c r="AD185" s="401"/>
      <c r="AE185" s="402"/>
      <c r="AF185" s="403"/>
      <c r="AG185" s="404" t="str">
        <f>IFERROR(__xludf.DUMMYFUNCTION("IF($M185="""","""",IFERROR(sparkline(query(GOOGLEFINANCE($AZ185,""price"",TODAY()-$AF$43,TODAY(),1),""select Col2 label Col2 ''""),IF($AG$43=""Gráfico de barras"",{""charttype"",""column"";""highcolor"",""red""},{""chartype"",""line""}))))"),"")</f>
        <v/>
      </c>
      <c r="AH185" s="405"/>
      <c r="AI185" s="467"/>
      <c r="AJ185" s="467"/>
      <c r="AK185" s="467"/>
      <c r="AL185" s="467"/>
      <c r="AM185" s="442"/>
      <c r="AN185" s="442"/>
      <c r="AU185" s="281"/>
      <c r="AV185" s="281"/>
      <c r="AW185" s="281"/>
      <c r="AX185" s="281"/>
      <c r="AY185" s="410">
        <v>142.0</v>
      </c>
      <c r="AZ185" s="411"/>
      <c r="BA185" s="411"/>
      <c r="BB185" s="437"/>
      <c r="BC185" s="437"/>
      <c r="BD185" s="437"/>
      <c r="BE185" s="437"/>
      <c r="BF185" s="415" t="s">
        <v>123</v>
      </c>
      <c r="BG185" s="410">
        <v>142.0</v>
      </c>
      <c r="BH185" s="416"/>
      <c r="BI185" s="416"/>
      <c r="BJ185" s="416"/>
      <c r="BK185" s="416"/>
      <c r="BL185" s="416"/>
      <c r="BM185" s="416"/>
      <c r="BN185" s="282"/>
      <c r="BO185" s="490"/>
      <c r="BP185" s="489"/>
      <c r="BQ185" s="489"/>
      <c r="BR185" s="489"/>
      <c r="BS185" s="489"/>
      <c r="BT185" s="489"/>
      <c r="BU185" s="489"/>
      <c r="BV185" s="489"/>
      <c r="BW185" s="63"/>
      <c r="BX185" s="62"/>
      <c r="BY185" s="452"/>
      <c r="BZ185" s="452"/>
      <c r="CA185" s="452"/>
      <c r="CB185" s="452"/>
      <c r="CC185" s="452"/>
      <c r="CD185" s="452"/>
      <c r="CE185" s="452"/>
      <c r="CF185" s="452"/>
      <c r="CG185" s="452"/>
      <c r="CH185" s="422"/>
      <c r="CI185" s="422"/>
      <c r="CJ185" s="422"/>
      <c r="CK185" s="421"/>
      <c r="CL185" s="421" t="s">
        <v>123</v>
      </c>
      <c r="CM185" s="423"/>
      <c r="CN185" s="421"/>
      <c r="CO185" s="423"/>
      <c r="CP185" s="421"/>
      <c r="CQ185" s="63"/>
      <c r="CR185" s="63"/>
      <c r="CS185" s="63"/>
      <c r="CT185" s="63"/>
      <c r="CU185" s="447"/>
      <c r="CV185" s="447"/>
      <c r="CW185" s="447"/>
      <c r="CX185" s="447"/>
      <c r="CY185" s="447"/>
      <c r="CZ185" s="447"/>
      <c r="DA185" s="447"/>
      <c r="DB185" s="447"/>
      <c r="DC185" s="447"/>
      <c r="DD185" s="447"/>
      <c r="DE185" s="447"/>
      <c r="DF185" s="447"/>
      <c r="DG185" s="447"/>
      <c r="DH185" s="447"/>
      <c r="DI185" s="447"/>
      <c r="DJ185" s="447"/>
      <c r="DK185" s="447"/>
      <c r="DL185" s="67"/>
      <c r="DM185" s="67"/>
      <c r="DN185" s="67"/>
      <c r="DO185" s="67"/>
      <c r="DP185" s="67"/>
      <c r="DQ185" s="67"/>
    </row>
    <row r="186" ht="22.5" customHeight="1">
      <c r="A186" s="383"/>
      <c r="B186" s="384" t="str">
        <f>IFERROR(__xludf.DUMMYFUNCTION("IF(B$43="""","""",IF($AZ186="""","""",IFERROR(Query({CarteirasAtivos},""Select Col3 where Col1 = '""&amp;$AZ186&amp;""'and Col2 = '""&amp;S$21&amp;""'""))))"),"")</f>
        <v/>
      </c>
      <c r="C186" s="384" t="str">
        <f>IFERROR(__xludf.DUMMYFUNCTION("IF(C$43="""","""",IF($AZ186="""","""",IFERROR(Query({CarteirasAtivos},""Select Col3 where Col1 = '""&amp;$AZ186&amp;""'and Col2 = '""&amp;T$21&amp;""'""))))"),"")</f>
        <v/>
      </c>
      <c r="D186" s="384" t="str">
        <f>IFERROR(__xludf.DUMMYFUNCTION("IF(D$43="""","""",IF($AZ186="""","""",IFERROR(Query({CarteirasAtivos},""Select Col3 where Col1 = '""&amp;$AZ186&amp;""'and Col2 = '""&amp;U$21&amp;""'""))))"),"")</f>
        <v/>
      </c>
      <c r="E186" s="384" t="str">
        <f>IFERROR(__xludf.DUMMYFUNCTION("IF(E$43="""","""",IF($AZ186="""","""",IFERROR(Query({CarteirasAtivos},""Select Col3 where Col1 = '""&amp;$AZ186&amp;""'and Col2 = '""&amp;V$21&amp;""'""))))"),"")</f>
        <v/>
      </c>
      <c r="F186" s="384" t="str">
        <f>IFERROR(__xludf.DUMMYFUNCTION("IF(F$43="""","""",IF($AZ186="""","""",IFERROR(Query({CarteirasAtivos},""Select Col3 where Col1 = '""&amp;$AZ186&amp;""'and Col2 = '""&amp;W$21&amp;""'""))))"),"")</f>
        <v/>
      </c>
      <c r="G186" s="384" t="str">
        <f>IFERROR(__xludf.DUMMYFUNCTION("IF(G$43="""","""",IF($AZ186="""","""",IFERROR(Query({CarteirasAtivos},""Select Col3 where Col1 = '""&amp;$AZ186&amp;""'and Col2 = '""&amp;X$21&amp;""'""))))"),"")</f>
        <v/>
      </c>
      <c r="H186" s="384" t="str">
        <f>IFERROR(__xludf.DUMMYFUNCTION("IF(H$43="""","""",IF($AZ186="""","""",IFERROR(Query({CarteirasAtivos},""Select Col3 where Col1 = '""&amp;$AZ186&amp;""'and Col2 = '""&amp;Y$21&amp;""'""))))"),"")</f>
        <v/>
      </c>
      <c r="I186" s="384" t="str">
        <f>IFERROR(__xludf.DUMMYFUNCTION("IF(I$43="""","""",IF($AZ186="""","""",IFERROR(Query({CarteirasAtivos},""Select Col3 where Col1 = '""&amp;$AZ186&amp;""'and Col2 = '""&amp;Z$21&amp;""'""))))"),"")</f>
        <v/>
      </c>
      <c r="J186" s="384" t="str">
        <f>IFERROR(__xludf.DUMMYFUNCTION("IF(J$43="""","""",IF($AZ186="""","""",IFERROR(Query({CarteirasAtivos},""Select Col3 where Col1 = '""&amp;$AZ186&amp;""'and Col2 = '""&amp;AA$21&amp;""'""))))"),"")</f>
        <v/>
      </c>
      <c r="K186" s="384" t="str">
        <f>IFERROR(__xludf.DUMMYFUNCTION("IF(K$43="""","""",IF($AZ186="""","""",IFERROR(Query({CarteirasAtivos},""Select Col3 where Col1 = '""&amp;$AZ186&amp;""'and Col2 = '""&amp;AB$21&amp;""'""))))"),"")</f>
        <v/>
      </c>
      <c r="L186" s="385">
        <v>143.0</v>
      </c>
      <c r="M186" s="503"/>
      <c r="N186" s="387"/>
      <c r="O186" s="388" t="s">
        <v>123</v>
      </c>
      <c r="P186" s="389"/>
      <c r="Q186" s="390"/>
      <c r="R186" s="391"/>
      <c r="S186" s="392"/>
      <c r="T186" s="393"/>
      <c r="U186" s="393"/>
      <c r="V186" s="394"/>
      <c r="W186" s="395" t="str">
        <f>IFERROR(__xludf.DUMMYFUNCTION("IF(M186="""","""",sparkline(IFERROR(BF186*100/MAX($BF$44:$BF$153),0),{""charttype"",""bar"";""max"",100;""color1"",IF(BD186&gt;=0,""#4760a5"",""red"")}))"),"")</f>
        <v/>
      </c>
      <c r="X186" s="396"/>
      <c r="Y186" s="466"/>
      <c r="Z186" s="398"/>
      <c r="AA186" s="399"/>
      <c r="AB186" s="393"/>
      <c r="AC186" s="476"/>
      <c r="AD186" s="401"/>
      <c r="AE186" s="402"/>
      <c r="AF186" s="403"/>
      <c r="AG186" s="404" t="str">
        <f>IFERROR(__xludf.DUMMYFUNCTION("IF($M186="""","""",IFERROR(sparkline(query(GOOGLEFINANCE($AZ186,""price"",TODAY()-$AF$43,TODAY(),1),""select Col2 label Col2 ''""),IF($AG$43=""Gráfico de barras"",{""charttype"",""column"";""highcolor"",""red""},{""chartype"",""line""}))))"),"")</f>
        <v/>
      </c>
      <c r="AH186" s="405"/>
      <c r="AI186" s="467"/>
      <c r="AJ186" s="467"/>
      <c r="AK186" s="467"/>
      <c r="AL186" s="467"/>
      <c r="AM186" s="442"/>
      <c r="AN186" s="442"/>
      <c r="AU186" s="281"/>
      <c r="AV186" s="281"/>
      <c r="AW186" s="281"/>
      <c r="AX186" s="281"/>
      <c r="AY186" s="410">
        <v>143.0</v>
      </c>
      <c r="AZ186" s="411"/>
      <c r="BA186" s="411"/>
      <c r="BB186" s="437"/>
      <c r="BC186" s="437"/>
      <c r="BD186" s="437"/>
      <c r="BE186" s="437"/>
      <c r="BF186" s="415" t="s">
        <v>123</v>
      </c>
      <c r="BG186" s="410">
        <v>143.0</v>
      </c>
      <c r="BH186" s="416"/>
      <c r="BI186" s="416"/>
      <c r="BJ186" s="416"/>
      <c r="BK186" s="416"/>
      <c r="BL186" s="416"/>
      <c r="BM186" s="416"/>
      <c r="BN186" s="282"/>
      <c r="BO186" s="490"/>
      <c r="BP186" s="489"/>
      <c r="BQ186" s="489"/>
      <c r="BR186" s="489"/>
      <c r="BS186" s="489"/>
      <c r="BT186" s="489"/>
      <c r="BU186" s="489"/>
      <c r="BV186" s="489"/>
      <c r="BW186" s="63"/>
      <c r="BX186" s="62"/>
      <c r="BY186" s="452"/>
      <c r="BZ186" s="452"/>
      <c r="CA186" s="452"/>
      <c r="CB186" s="452"/>
      <c r="CC186" s="452"/>
      <c r="CD186" s="452"/>
      <c r="CE186" s="452"/>
      <c r="CF186" s="452"/>
      <c r="CG186" s="452"/>
      <c r="CH186" s="422"/>
      <c r="CI186" s="422"/>
      <c r="CJ186" s="422"/>
      <c r="CK186" s="421"/>
      <c r="CL186" s="421" t="s">
        <v>123</v>
      </c>
      <c r="CM186" s="423"/>
      <c r="CN186" s="421"/>
      <c r="CO186" s="423"/>
      <c r="CP186" s="421"/>
      <c r="CQ186" s="63"/>
      <c r="CR186" s="63"/>
      <c r="CS186" s="63"/>
      <c r="CT186" s="63"/>
      <c r="CU186" s="447"/>
      <c r="CV186" s="447"/>
      <c r="CW186" s="447"/>
      <c r="CX186" s="447"/>
      <c r="CY186" s="447"/>
      <c r="CZ186" s="447"/>
      <c r="DA186" s="447"/>
      <c r="DB186" s="447"/>
      <c r="DC186" s="447"/>
      <c r="DD186" s="447"/>
      <c r="DE186" s="447"/>
      <c r="DF186" s="447"/>
      <c r="DG186" s="447"/>
      <c r="DH186" s="447"/>
      <c r="DI186" s="447"/>
      <c r="DJ186" s="447"/>
      <c r="DK186" s="447"/>
      <c r="DL186" s="67"/>
      <c r="DM186" s="67"/>
      <c r="DN186" s="67"/>
      <c r="DO186" s="67"/>
      <c r="DP186" s="67"/>
      <c r="DQ186" s="67"/>
    </row>
    <row r="187" ht="22.5" customHeight="1">
      <c r="A187" s="383"/>
      <c r="B187" s="384" t="str">
        <f>IFERROR(__xludf.DUMMYFUNCTION("IF(B$43="""","""",IF($AZ187="""","""",IFERROR(Query({CarteirasAtivos},""Select Col3 where Col1 = '""&amp;$AZ187&amp;""'and Col2 = '""&amp;S$21&amp;""'""))))"),"")</f>
        <v/>
      </c>
      <c r="C187" s="384" t="str">
        <f>IFERROR(__xludf.DUMMYFUNCTION("IF(C$43="""","""",IF($AZ187="""","""",IFERROR(Query({CarteirasAtivos},""Select Col3 where Col1 = '""&amp;$AZ187&amp;""'and Col2 = '""&amp;T$21&amp;""'""))))"),"")</f>
        <v/>
      </c>
      <c r="D187" s="384" t="str">
        <f>IFERROR(__xludf.DUMMYFUNCTION("IF(D$43="""","""",IF($AZ187="""","""",IFERROR(Query({CarteirasAtivos},""Select Col3 where Col1 = '""&amp;$AZ187&amp;""'and Col2 = '""&amp;U$21&amp;""'""))))"),"")</f>
        <v/>
      </c>
      <c r="E187" s="384" t="str">
        <f>IFERROR(__xludf.DUMMYFUNCTION("IF(E$43="""","""",IF($AZ187="""","""",IFERROR(Query({CarteirasAtivos},""Select Col3 where Col1 = '""&amp;$AZ187&amp;""'and Col2 = '""&amp;V$21&amp;""'""))))"),"")</f>
        <v/>
      </c>
      <c r="F187" s="384" t="str">
        <f>IFERROR(__xludf.DUMMYFUNCTION("IF(F$43="""","""",IF($AZ187="""","""",IFERROR(Query({CarteirasAtivos},""Select Col3 where Col1 = '""&amp;$AZ187&amp;""'and Col2 = '""&amp;W$21&amp;""'""))))"),"")</f>
        <v/>
      </c>
      <c r="G187" s="384" t="str">
        <f>IFERROR(__xludf.DUMMYFUNCTION("IF(G$43="""","""",IF($AZ187="""","""",IFERROR(Query({CarteirasAtivos},""Select Col3 where Col1 = '""&amp;$AZ187&amp;""'and Col2 = '""&amp;X$21&amp;""'""))))"),"")</f>
        <v/>
      </c>
      <c r="H187" s="384" t="str">
        <f>IFERROR(__xludf.DUMMYFUNCTION("IF(H$43="""","""",IF($AZ187="""","""",IFERROR(Query({CarteirasAtivos},""Select Col3 where Col1 = '""&amp;$AZ187&amp;""'and Col2 = '""&amp;Y$21&amp;""'""))))"),"")</f>
        <v/>
      </c>
      <c r="I187" s="384" t="str">
        <f>IFERROR(__xludf.DUMMYFUNCTION("IF(I$43="""","""",IF($AZ187="""","""",IFERROR(Query({CarteirasAtivos},""Select Col3 where Col1 = '""&amp;$AZ187&amp;""'and Col2 = '""&amp;Z$21&amp;""'""))))"),"")</f>
        <v/>
      </c>
      <c r="J187" s="384" t="str">
        <f>IFERROR(__xludf.DUMMYFUNCTION("IF(J$43="""","""",IF($AZ187="""","""",IFERROR(Query({CarteirasAtivos},""Select Col3 where Col1 = '""&amp;$AZ187&amp;""'and Col2 = '""&amp;AA$21&amp;""'""))))"),"")</f>
        <v/>
      </c>
      <c r="K187" s="384" t="str">
        <f>IFERROR(__xludf.DUMMYFUNCTION("IF(K$43="""","""",IF($AZ187="""","""",IFERROR(Query({CarteirasAtivos},""Select Col3 where Col1 = '""&amp;$AZ187&amp;""'and Col2 = '""&amp;AB$21&amp;""'""))))"),"")</f>
        <v/>
      </c>
      <c r="L187" s="385">
        <v>144.0</v>
      </c>
      <c r="M187" s="503"/>
      <c r="N187" s="387"/>
      <c r="O187" s="388" t="s">
        <v>123</v>
      </c>
      <c r="P187" s="389"/>
      <c r="Q187" s="390"/>
      <c r="R187" s="391"/>
      <c r="S187" s="392"/>
      <c r="T187" s="393"/>
      <c r="U187" s="393"/>
      <c r="V187" s="394"/>
      <c r="W187" s="395" t="str">
        <f>IFERROR(__xludf.DUMMYFUNCTION("IF(M187="""","""",sparkline(IFERROR(BF187*100/MAX($BF$44:$BF$153),0),{""charttype"",""bar"";""max"",100;""color1"",IF(BD187&gt;=0,""#4760a5"",""red"")}))"),"")</f>
        <v/>
      </c>
      <c r="X187" s="396"/>
      <c r="Y187" s="466"/>
      <c r="Z187" s="398"/>
      <c r="AA187" s="399"/>
      <c r="AB187" s="393"/>
      <c r="AC187" s="476"/>
      <c r="AD187" s="401"/>
      <c r="AE187" s="402"/>
      <c r="AF187" s="403"/>
      <c r="AG187" s="404" t="str">
        <f>IFERROR(__xludf.DUMMYFUNCTION("IF($M187="""","""",IFERROR(sparkline(query(GOOGLEFINANCE($AZ187,""price"",TODAY()-$AF$43,TODAY(),1),""select Col2 label Col2 ''""),IF($AG$43=""Gráfico de barras"",{""charttype"",""column"";""highcolor"",""red""},{""chartype"",""line""}))))"),"")</f>
        <v/>
      </c>
      <c r="AH187" s="405"/>
      <c r="AI187" s="467"/>
      <c r="AJ187" s="467"/>
      <c r="AK187" s="467"/>
      <c r="AL187" s="467"/>
      <c r="AM187" s="442"/>
      <c r="AN187" s="442"/>
      <c r="AU187" s="281"/>
      <c r="AV187" s="281"/>
      <c r="AW187" s="281"/>
      <c r="AX187" s="281"/>
      <c r="AY187" s="410">
        <v>144.0</v>
      </c>
      <c r="AZ187" s="411"/>
      <c r="BA187" s="411"/>
      <c r="BB187" s="437"/>
      <c r="BC187" s="437"/>
      <c r="BD187" s="437"/>
      <c r="BE187" s="437"/>
      <c r="BF187" s="415" t="s">
        <v>123</v>
      </c>
      <c r="BG187" s="410">
        <v>144.0</v>
      </c>
      <c r="BH187" s="416"/>
      <c r="BI187" s="416"/>
      <c r="BJ187" s="416"/>
      <c r="BK187" s="416"/>
      <c r="BL187" s="416"/>
      <c r="BM187" s="416"/>
      <c r="BN187" s="282"/>
      <c r="BO187" s="490"/>
      <c r="BP187" s="489"/>
      <c r="BQ187" s="489"/>
      <c r="BR187" s="489"/>
      <c r="BS187" s="489"/>
      <c r="BT187" s="489"/>
      <c r="BU187" s="489"/>
      <c r="BV187" s="489"/>
      <c r="BW187" s="63"/>
      <c r="BX187" s="62"/>
      <c r="BY187" s="452"/>
      <c r="BZ187" s="452"/>
      <c r="CA187" s="452"/>
      <c r="CB187" s="452"/>
      <c r="CC187" s="452"/>
      <c r="CD187" s="452"/>
      <c r="CE187" s="452"/>
      <c r="CF187" s="452"/>
      <c r="CG187" s="452"/>
      <c r="CH187" s="422"/>
      <c r="CI187" s="422"/>
      <c r="CJ187" s="422"/>
      <c r="CK187" s="421"/>
      <c r="CL187" s="421" t="s">
        <v>123</v>
      </c>
      <c r="CM187" s="423"/>
      <c r="CN187" s="421"/>
      <c r="CO187" s="423"/>
      <c r="CP187" s="421"/>
      <c r="CQ187" s="63"/>
      <c r="CR187" s="63"/>
      <c r="CS187" s="63"/>
      <c r="CT187" s="63"/>
      <c r="CU187" s="447"/>
      <c r="CV187" s="447"/>
      <c r="CW187" s="447"/>
      <c r="CX187" s="447"/>
      <c r="CY187" s="447"/>
      <c r="CZ187" s="447"/>
      <c r="DA187" s="447"/>
      <c r="DB187" s="447"/>
      <c r="DC187" s="447"/>
      <c r="DD187" s="447"/>
      <c r="DE187" s="447"/>
      <c r="DF187" s="447"/>
      <c r="DG187" s="447"/>
      <c r="DH187" s="447"/>
      <c r="DI187" s="447"/>
      <c r="DJ187" s="447"/>
      <c r="DK187" s="447"/>
      <c r="DL187" s="67"/>
      <c r="DM187" s="67"/>
      <c r="DN187" s="67"/>
      <c r="DO187" s="67"/>
      <c r="DP187" s="67"/>
      <c r="DQ187" s="67"/>
    </row>
    <row r="188" ht="22.5" customHeight="1">
      <c r="A188" s="383"/>
      <c r="B188" s="384" t="str">
        <f>IFERROR(__xludf.DUMMYFUNCTION("IF(B$43="""","""",IF($AZ188="""","""",IFERROR(Query({CarteirasAtivos},""Select Col3 where Col1 = '""&amp;$AZ188&amp;""'and Col2 = '""&amp;S$21&amp;""'""))))"),"")</f>
        <v/>
      </c>
      <c r="C188" s="384" t="str">
        <f>IFERROR(__xludf.DUMMYFUNCTION("IF(C$43="""","""",IF($AZ188="""","""",IFERROR(Query({CarteirasAtivos},""Select Col3 where Col1 = '""&amp;$AZ188&amp;""'and Col2 = '""&amp;T$21&amp;""'""))))"),"")</f>
        <v/>
      </c>
      <c r="D188" s="384" t="str">
        <f>IFERROR(__xludf.DUMMYFUNCTION("IF(D$43="""","""",IF($AZ188="""","""",IFERROR(Query({CarteirasAtivos},""Select Col3 where Col1 = '""&amp;$AZ188&amp;""'and Col2 = '""&amp;U$21&amp;""'""))))"),"")</f>
        <v/>
      </c>
      <c r="E188" s="384" t="str">
        <f>IFERROR(__xludf.DUMMYFUNCTION("IF(E$43="""","""",IF($AZ188="""","""",IFERROR(Query({CarteirasAtivos},""Select Col3 where Col1 = '""&amp;$AZ188&amp;""'and Col2 = '""&amp;V$21&amp;""'""))))"),"")</f>
        <v/>
      </c>
      <c r="F188" s="384" t="str">
        <f>IFERROR(__xludf.DUMMYFUNCTION("IF(F$43="""","""",IF($AZ188="""","""",IFERROR(Query({CarteirasAtivos},""Select Col3 where Col1 = '""&amp;$AZ188&amp;""'and Col2 = '""&amp;W$21&amp;""'""))))"),"")</f>
        <v/>
      </c>
      <c r="G188" s="384" t="str">
        <f>IFERROR(__xludf.DUMMYFUNCTION("IF(G$43="""","""",IF($AZ188="""","""",IFERROR(Query({CarteirasAtivos},""Select Col3 where Col1 = '""&amp;$AZ188&amp;""'and Col2 = '""&amp;X$21&amp;""'""))))"),"")</f>
        <v/>
      </c>
      <c r="H188" s="384" t="str">
        <f>IFERROR(__xludf.DUMMYFUNCTION("IF(H$43="""","""",IF($AZ188="""","""",IFERROR(Query({CarteirasAtivos},""Select Col3 where Col1 = '""&amp;$AZ188&amp;""'and Col2 = '""&amp;Y$21&amp;""'""))))"),"")</f>
        <v/>
      </c>
      <c r="I188" s="384" t="str">
        <f>IFERROR(__xludf.DUMMYFUNCTION("IF(I$43="""","""",IF($AZ188="""","""",IFERROR(Query({CarteirasAtivos},""Select Col3 where Col1 = '""&amp;$AZ188&amp;""'and Col2 = '""&amp;Z$21&amp;""'""))))"),"")</f>
        <v/>
      </c>
      <c r="J188" s="384" t="str">
        <f>IFERROR(__xludf.DUMMYFUNCTION("IF(J$43="""","""",IF($AZ188="""","""",IFERROR(Query({CarteirasAtivos},""Select Col3 where Col1 = '""&amp;$AZ188&amp;""'and Col2 = '""&amp;AA$21&amp;""'""))))"),"")</f>
        <v/>
      </c>
      <c r="K188" s="384" t="str">
        <f>IFERROR(__xludf.DUMMYFUNCTION("IF(K$43="""","""",IF($AZ188="""","""",IFERROR(Query({CarteirasAtivos},""Select Col3 where Col1 = '""&amp;$AZ188&amp;""'and Col2 = '""&amp;AB$21&amp;""'""))))"),"")</f>
        <v/>
      </c>
      <c r="L188" s="385">
        <v>145.0</v>
      </c>
      <c r="M188" s="503"/>
      <c r="N188" s="387"/>
      <c r="O188" s="388" t="s">
        <v>123</v>
      </c>
      <c r="P188" s="389"/>
      <c r="Q188" s="390"/>
      <c r="R188" s="391"/>
      <c r="S188" s="392"/>
      <c r="T188" s="393"/>
      <c r="U188" s="393"/>
      <c r="V188" s="394"/>
      <c r="W188" s="395" t="str">
        <f>IFERROR(__xludf.DUMMYFUNCTION("IF(M188="""","""",sparkline(IFERROR(BF188*100/MAX($BF$44:$BF$153),0),{""charttype"",""bar"";""max"",100;""color1"",IF(BD188&gt;=0,""#4760a5"",""red"")}))"),"")</f>
        <v/>
      </c>
      <c r="X188" s="396"/>
      <c r="Y188" s="466"/>
      <c r="Z188" s="398"/>
      <c r="AA188" s="399"/>
      <c r="AB188" s="393"/>
      <c r="AC188" s="476"/>
      <c r="AD188" s="401"/>
      <c r="AE188" s="402"/>
      <c r="AF188" s="403"/>
      <c r="AG188" s="404" t="str">
        <f>IFERROR(__xludf.DUMMYFUNCTION("IF($M188="""","""",IFERROR(sparkline(query(GOOGLEFINANCE($AZ188,""price"",TODAY()-$AF$43,TODAY(),1),""select Col2 label Col2 ''""),IF($AG$43=""Gráfico de barras"",{""charttype"",""column"";""highcolor"",""red""},{""chartype"",""line""}))))"),"")</f>
        <v/>
      </c>
      <c r="AH188" s="405"/>
      <c r="AI188" s="467"/>
      <c r="AJ188" s="467"/>
      <c r="AK188" s="467"/>
      <c r="AL188" s="467"/>
      <c r="AM188" s="442"/>
      <c r="AN188" s="442"/>
      <c r="AU188" s="281"/>
      <c r="AV188" s="281"/>
      <c r="AW188" s="281"/>
      <c r="AX188" s="281"/>
      <c r="AY188" s="410">
        <v>145.0</v>
      </c>
      <c r="AZ188" s="411"/>
      <c r="BA188" s="411"/>
      <c r="BB188" s="437"/>
      <c r="BC188" s="437"/>
      <c r="BD188" s="437"/>
      <c r="BE188" s="437"/>
      <c r="BF188" s="415" t="s">
        <v>123</v>
      </c>
      <c r="BG188" s="410">
        <v>145.0</v>
      </c>
      <c r="BH188" s="416"/>
      <c r="BI188" s="416"/>
      <c r="BJ188" s="416"/>
      <c r="BK188" s="416"/>
      <c r="BL188" s="416"/>
      <c r="BM188" s="416"/>
      <c r="BN188" s="282"/>
      <c r="BO188" s="490"/>
      <c r="BP188" s="489"/>
      <c r="BQ188" s="489"/>
      <c r="BR188" s="489"/>
      <c r="BS188" s="489"/>
      <c r="BT188" s="489"/>
      <c r="BU188" s="489"/>
      <c r="BV188" s="489"/>
      <c r="BW188" s="63"/>
      <c r="BX188" s="62"/>
      <c r="BY188" s="452"/>
      <c r="BZ188" s="452"/>
      <c r="CA188" s="452"/>
      <c r="CB188" s="452"/>
      <c r="CC188" s="452"/>
      <c r="CD188" s="452"/>
      <c r="CE188" s="452"/>
      <c r="CF188" s="452"/>
      <c r="CG188" s="452"/>
      <c r="CH188" s="422"/>
      <c r="CI188" s="422"/>
      <c r="CJ188" s="422"/>
      <c r="CK188" s="421"/>
      <c r="CL188" s="421" t="s">
        <v>123</v>
      </c>
      <c r="CM188" s="423"/>
      <c r="CN188" s="421"/>
      <c r="CO188" s="423"/>
      <c r="CP188" s="421"/>
      <c r="CQ188" s="63"/>
      <c r="CR188" s="63"/>
      <c r="CS188" s="63"/>
      <c r="CT188" s="63"/>
      <c r="CU188" s="447"/>
      <c r="CV188" s="447"/>
      <c r="CW188" s="447"/>
      <c r="CX188" s="447"/>
      <c r="CY188" s="447"/>
      <c r="CZ188" s="447"/>
      <c r="DA188" s="447"/>
      <c r="DB188" s="447"/>
      <c r="DC188" s="447"/>
      <c r="DD188" s="447"/>
      <c r="DE188" s="447"/>
      <c r="DF188" s="447"/>
      <c r="DG188" s="447"/>
      <c r="DH188" s="447"/>
      <c r="DI188" s="447"/>
      <c r="DJ188" s="447"/>
      <c r="DK188" s="447"/>
      <c r="DL188" s="67"/>
      <c r="DM188" s="67"/>
      <c r="DN188" s="67"/>
      <c r="DO188" s="67"/>
      <c r="DP188" s="67"/>
      <c r="DQ188" s="67"/>
    </row>
    <row r="189" ht="22.5" customHeight="1">
      <c r="A189" s="383"/>
      <c r="B189" s="384" t="str">
        <f>IFERROR(__xludf.DUMMYFUNCTION("IF(B$43="""","""",IF($AZ189="""","""",IFERROR(Query({CarteirasAtivos},""Select Col3 where Col1 = '""&amp;$AZ189&amp;""'and Col2 = '""&amp;S$21&amp;""'""))))"),"")</f>
        <v/>
      </c>
      <c r="C189" s="384" t="str">
        <f>IFERROR(__xludf.DUMMYFUNCTION("IF(C$43="""","""",IF($AZ189="""","""",IFERROR(Query({CarteirasAtivos},""Select Col3 where Col1 = '""&amp;$AZ189&amp;""'and Col2 = '""&amp;T$21&amp;""'""))))"),"")</f>
        <v/>
      </c>
      <c r="D189" s="384" t="str">
        <f>IFERROR(__xludf.DUMMYFUNCTION("IF(D$43="""","""",IF($AZ189="""","""",IFERROR(Query({CarteirasAtivos},""Select Col3 where Col1 = '""&amp;$AZ189&amp;""'and Col2 = '""&amp;U$21&amp;""'""))))"),"")</f>
        <v/>
      </c>
      <c r="E189" s="384" t="str">
        <f>IFERROR(__xludf.DUMMYFUNCTION("IF(E$43="""","""",IF($AZ189="""","""",IFERROR(Query({CarteirasAtivos},""Select Col3 where Col1 = '""&amp;$AZ189&amp;""'and Col2 = '""&amp;V$21&amp;""'""))))"),"")</f>
        <v/>
      </c>
      <c r="F189" s="384" t="str">
        <f>IFERROR(__xludf.DUMMYFUNCTION("IF(F$43="""","""",IF($AZ189="""","""",IFERROR(Query({CarteirasAtivos},""Select Col3 where Col1 = '""&amp;$AZ189&amp;""'and Col2 = '""&amp;W$21&amp;""'""))))"),"")</f>
        <v/>
      </c>
      <c r="G189" s="384" t="str">
        <f>IFERROR(__xludf.DUMMYFUNCTION("IF(G$43="""","""",IF($AZ189="""","""",IFERROR(Query({CarteirasAtivos},""Select Col3 where Col1 = '""&amp;$AZ189&amp;""'and Col2 = '""&amp;X$21&amp;""'""))))"),"")</f>
        <v/>
      </c>
      <c r="H189" s="384" t="str">
        <f>IFERROR(__xludf.DUMMYFUNCTION("IF(H$43="""","""",IF($AZ189="""","""",IFERROR(Query({CarteirasAtivos},""Select Col3 where Col1 = '""&amp;$AZ189&amp;""'and Col2 = '""&amp;Y$21&amp;""'""))))"),"")</f>
        <v/>
      </c>
      <c r="I189" s="384" t="str">
        <f>IFERROR(__xludf.DUMMYFUNCTION("IF(I$43="""","""",IF($AZ189="""","""",IFERROR(Query({CarteirasAtivos},""Select Col3 where Col1 = '""&amp;$AZ189&amp;""'and Col2 = '""&amp;Z$21&amp;""'""))))"),"")</f>
        <v/>
      </c>
      <c r="J189" s="384" t="str">
        <f>IFERROR(__xludf.DUMMYFUNCTION("IF(J$43="""","""",IF($AZ189="""","""",IFERROR(Query({CarteirasAtivos},""Select Col3 where Col1 = '""&amp;$AZ189&amp;""'and Col2 = '""&amp;AA$21&amp;""'""))))"),"")</f>
        <v/>
      </c>
      <c r="K189" s="384" t="str">
        <f>IFERROR(__xludf.DUMMYFUNCTION("IF(K$43="""","""",IF($AZ189="""","""",IFERROR(Query({CarteirasAtivos},""Select Col3 where Col1 = '""&amp;$AZ189&amp;""'and Col2 = '""&amp;AB$21&amp;""'""))))"),"")</f>
        <v/>
      </c>
      <c r="L189" s="385">
        <v>146.0</v>
      </c>
      <c r="M189" s="503"/>
      <c r="N189" s="387"/>
      <c r="O189" s="388" t="s">
        <v>123</v>
      </c>
      <c r="P189" s="389"/>
      <c r="Q189" s="390"/>
      <c r="R189" s="391"/>
      <c r="S189" s="392"/>
      <c r="T189" s="393"/>
      <c r="U189" s="393"/>
      <c r="V189" s="394"/>
      <c r="W189" s="395" t="str">
        <f>IFERROR(__xludf.DUMMYFUNCTION("IF(M189="""","""",sparkline(IFERROR(BF189*100/MAX($BF$44:$BF$153),0),{""charttype"",""bar"";""max"",100;""color1"",IF(BD189&gt;=0,""#4760a5"",""red"")}))"),"")</f>
        <v/>
      </c>
      <c r="X189" s="396"/>
      <c r="Y189" s="466"/>
      <c r="Z189" s="398"/>
      <c r="AA189" s="399"/>
      <c r="AB189" s="393"/>
      <c r="AC189" s="476"/>
      <c r="AD189" s="401"/>
      <c r="AE189" s="402"/>
      <c r="AF189" s="403"/>
      <c r="AG189" s="404" t="str">
        <f>IFERROR(__xludf.DUMMYFUNCTION("IF($M189="""","""",IFERROR(sparkline(query(GOOGLEFINANCE($AZ189,""price"",TODAY()-$AF$43,TODAY(),1),""select Col2 label Col2 ''""),IF($AG$43=""Gráfico de barras"",{""charttype"",""column"";""highcolor"",""red""},{""chartype"",""line""}))))"),"")</f>
        <v/>
      </c>
      <c r="AH189" s="405"/>
      <c r="AI189" s="467"/>
      <c r="AJ189" s="467"/>
      <c r="AK189" s="467"/>
      <c r="AL189" s="467"/>
      <c r="AM189" s="442"/>
      <c r="AN189" s="442"/>
      <c r="AU189" s="281"/>
      <c r="AV189" s="281"/>
      <c r="AW189" s="281"/>
      <c r="AX189" s="281"/>
      <c r="AY189" s="410">
        <v>146.0</v>
      </c>
      <c r="AZ189" s="411"/>
      <c r="BA189" s="411"/>
      <c r="BB189" s="437"/>
      <c r="BC189" s="437"/>
      <c r="BD189" s="437"/>
      <c r="BE189" s="437"/>
      <c r="BF189" s="415" t="s">
        <v>123</v>
      </c>
      <c r="BG189" s="410">
        <v>146.0</v>
      </c>
      <c r="BH189" s="416"/>
      <c r="BI189" s="416"/>
      <c r="BJ189" s="416"/>
      <c r="BK189" s="416"/>
      <c r="BL189" s="416"/>
      <c r="BM189" s="416"/>
      <c r="BN189" s="282"/>
      <c r="BO189" s="490"/>
      <c r="BP189" s="489"/>
      <c r="BQ189" s="489"/>
      <c r="BR189" s="489"/>
      <c r="BS189" s="489"/>
      <c r="BT189" s="489"/>
      <c r="BU189" s="489"/>
      <c r="BV189" s="489"/>
      <c r="BW189" s="63"/>
      <c r="BX189" s="62"/>
      <c r="BY189" s="452"/>
      <c r="BZ189" s="452"/>
      <c r="CA189" s="452"/>
      <c r="CB189" s="452"/>
      <c r="CC189" s="452"/>
      <c r="CD189" s="452"/>
      <c r="CE189" s="452"/>
      <c r="CF189" s="452"/>
      <c r="CG189" s="452"/>
      <c r="CH189" s="422"/>
      <c r="CI189" s="422"/>
      <c r="CJ189" s="422"/>
      <c r="CK189" s="421"/>
      <c r="CL189" s="421" t="s">
        <v>123</v>
      </c>
      <c r="CM189" s="423"/>
      <c r="CN189" s="421"/>
      <c r="CO189" s="423"/>
      <c r="CP189" s="421"/>
      <c r="CQ189" s="63"/>
      <c r="CR189" s="63"/>
      <c r="CS189" s="63"/>
      <c r="CT189" s="63"/>
      <c r="CU189" s="447"/>
      <c r="CV189" s="447"/>
      <c r="CW189" s="447"/>
      <c r="CX189" s="447"/>
      <c r="CY189" s="447"/>
      <c r="CZ189" s="447"/>
      <c r="DA189" s="447"/>
      <c r="DB189" s="447"/>
      <c r="DC189" s="447"/>
      <c r="DD189" s="447"/>
      <c r="DE189" s="447"/>
      <c r="DF189" s="447"/>
      <c r="DG189" s="447"/>
      <c r="DH189" s="447"/>
      <c r="DI189" s="447"/>
      <c r="DJ189" s="447"/>
      <c r="DK189" s="447"/>
      <c r="DL189" s="67"/>
      <c r="DM189" s="67"/>
      <c r="DN189" s="67"/>
      <c r="DO189" s="67"/>
      <c r="DP189" s="67"/>
      <c r="DQ189" s="67"/>
    </row>
    <row r="190" ht="22.5" customHeight="1">
      <c r="A190" s="383"/>
      <c r="B190" s="384" t="str">
        <f>IFERROR(__xludf.DUMMYFUNCTION("IF(B$43="""","""",IF($AZ190="""","""",IFERROR(Query({CarteirasAtivos},""Select Col3 where Col1 = '""&amp;$AZ190&amp;""'and Col2 = '""&amp;S$21&amp;""'""))))"),"")</f>
        <v/>
      </c>
      <c r="C190" s="384" t="str">
        <f>IFERROR(__xludf.DUMMYFUNCTION("IF(C$43="""","""",IF($AZ190="""","""",IFERROR(Query({CarteirasAtivos},""Select Col3 where Col1 = '""&amp;$AZ190&amp;""'and Col2 = '""&amp;T$21&amp;""'""))))"),"")</f>
        <v/>
      </c>
      <c r="D190" s="384" t="str">
        <f>IFERROR(__xludf.DUMMYFUNCTION("IF(D$43="""","""",IF($AZ190="""","""",IFERROR(Query({CarteirasAtivos},""Select Col3 where Col1 = '""&amp;$AZ190&amp;""'and Col2 = '""&amp;U$21&amp;""'""))))"),"")</f>
        <v/>
      </c>
      <c r="E190" s="384" t="str">
        <f>IFERROR(__xludf.DUMMYFUNCTION("IF(E$43="""","""",IF($AZ190="""","""",IFERROR(Query({CarteirasAtivos},""Select Col3 where Col1 = '""&amp;$AZ190&amp;""'and Col2 = '""&amp;V$21&amp;""'""))))"),"")</f>
        <v/>
      </c>
      <c r="F190" s="384" t="str">
        <f>IFERROR(__xludf.DUMMYFUNCTION("IF(F$43="""","""",IF($AZ190="""","""",IFERROR(Query({CarteirasAtivos},""Select Col3 where Col1 = '""&amp;$AZ190&amp;""'and Col2 = '""&amp;W$21&amp;""'""))))"),"")</f>
        <v/>
      </c>
      <c r="G190" s="384" t="str">
        <f>IFERROR(__xludf.DUMMYFUNCTION("IF(G$43="""","""",IF($AZ190="""","""",IFERROR(Query({CarteirasAtivos},""Select Col3 where Col1 = '""&amp;$AZ190&amp;""'and Col2 = '""&amp;X$21&amp;""'""))))"),"")</f>
        <v/>
      </c>
      <c r="H190" s="384" t="str">
        <f>IFERROR(__xludf.DUMMYFUNCTION("IF(H$43="""","""",IF($AZ190="""","""",IFERROR(Query({CarteirasAtivos},""Select Col3 where Col1 = '""&amp;$AZ190&amp;""'and Col2 = '""&amp;Y$21&amp;""'""))))"),"")</f>
        <v/>
      </c>
      <c r="I190" s="384" t="str">
        <f>IFERROR(__xludf.DUMMYFUNCTION("IF(I$43="""","""",IF($AZ190="""","""",IFERROR(Query({CarteirasAtivos},""Select Col3 where Col1 = '""&amp;$AZ190&amp;""'and Col2 = '""&amp;Z$21&amp;""'""))))"),"")</f>
        <v/>
      </c>
      <c r="J190" s="384" t="str">
        <f>IFERROR(__xludf.DUMMYFUNCTION("IF(J$43="""","""",IF($AZ190="""","""",IFERROR(Query({CarteirasAtivos},""Select Col3 where Col1 = '""&amp;$AZ190&amp;""'and Col2 = '""&amp;AA$21&amp;""'""))))"),"")</f>
        <v/>
      </c>
      <c r="K190" s="384" t="str">
        <f>IFERROR(__xludf.DUMMYFUNCTION("IF(K$43="""","""",IF($AZ190="""","""",IFERROR(Query({CarteirasAtivos},""Select Col3 where Col1 = '""&amp;$AZ190&amp;""'and Col2 = '""&amp;AB$21&amp;""'""))))"),"")</f>
        <v/>
      </c>
      <c r="L190" s="385">
        <v>147.0</v>
      </c>
      <c r="M190" s="503"/>
      <c r="N190" s="387"/>
      <c r="O190" s="388" t="s">
        <v>123</v>
      </c>
      <c r="P190" s="389"/>
      <c r="Q190" s="390"/>
      <c r="R190" s="391"/>
      <c r="S190" s="392"/>
      <c r="T190" s="393"/>
      <c r="U190" s="393"/>
      <c r="V190" s="394"/>
      <c r="W190" s="395" t="str">
        <f>IFERROR(__xludf.DUMMYFUNCTION("IF(M190="""","""",sparkline(IFERROR(BF190*100/MAX($BF$44:$BF$153),0),{""charttype"",""bar"";""max"",100;""color1"",IF(BD190&gt;=0,""#4760a5"",""red"")}))"),"")</f>
        <v/>
      </c>
      <c r="X190" s="396"/>
      <c r="Y190" s="466"/>
      <c r="Z190" s="398"/>
      <c r="AA190" s="399"/>
      <c r="AB190" s="393"/>
      <c r="AC190" s="476"/>
      <c r="AD190" s="401"/>
      <c r="AE190" s="402"/>
      <c r="AF190" s="403"/>
      <c r="AG190" s="404" t="str">
        <f>IFERROR(__xludf.DUMMYFUNCTION("IF($M190="""","""",IFERROR(sparkline(query(GOOGLEFINANCE($AZ190,""price"",TODAY()-$AF$43,TODAY(),1),""select Col2 label Col2 ''""),IF($AG$43=""Gráfico de barras"",{""charttype"",""column"";""highcolor"",""red""},{""chartype"",""line""}))))"),"")</f>
        <v/>
      </c>
      <c r="AH190" s="405"/>
      <c r="AI190" s="467"/>
      <c r="AJ190" s="467"/>
      <c r="AK190" s="467"/>
      <c r="AL190" s="467"/>
      <c r="AM190" s="442"/>
      <c r="AN190" s="442"/>
      <c r="AU190" s="281"/>
      <c r="AV190" s="281"/>
      <c r="AW190" s="281"/>
      <c r="AX190" s="281"/>
      <c r="AY190" s="410">
        <v>147.0</v>
      </c>
      <c r="AZ190" s="411"/>
      <c r="BA190" s="411"/>
      <c r="BB190" s="437"/>
      <c r="BC190" s="437"/>
      <c r="BD190" s="437"/>
      <c r="BE190" s="437"/>
      <c r="BF190" s="415" t="s">
        <v>123</v>
      </c>
      <c r="BG190" s="410">
        <v>147.0</v>
      </c>
      <c r="BH190" s="416"/>
      <c r="BI190" s="416"/>
      <c r="BJ190" s="416"/>
      <c r="BK190" s="416"/>
      <c r="BL190" s="416"/>
      <c r="BM190" s="416"/>
      <c r="BN190" s="282"/>
      <c r="BO190" s="490"/>
      <c r="BP190" s="489"/>
      <c r="BQ190" s="489"/>
      <c r="BR190" s="489"/>
      <c r="BS190" s="489"/>
      <c r="BT190" s="489"/>
      <c r="BU190" s="489"/>
      <c r="BV190" s="489"/>
      <c r="BW190" s="63"/>
      <c r="BX190" s="62"/>
      <c r="BY190" s="452"/>
      <c r="BZ190" s="452"/>
      <c r="CA190" s="452"/>
      <c r="CB190" s="452"/>
      <c r="CC190" s="452"/>
      <c r="CD190" s="452"/>
      <c r="CE190" s="452"/>
      <c r="CF190" s="452"/>
      <c r="CG190" s="452"/>
      <c r="CH190" s="422"/>
      <c r="CI190" s="422"/>
      <c r="CJ190" s="422"/>
      <c r="CK190" s="421"/>
      <c r="CL190" s="421" t="s">
        <v>123</v>
      </c>
      <c r="CM190" s="423"/>
      <c r="CN190" s="421"/>
      <c r="CO190" s="423"/>
      <c r="CP190" s="421"/>
      <c r="CQ190" s="63"/>
      <c r="CR190" s="63"/>
      <c r="CS190" s="63"/>
      <c r="CT190" s="63"/>
      <c r="CU190" s="447"/>
      <c r="CV190" s="447"/>
      <c r="CW190" s="447"/>
      <c r="CX190" s="447"/>
      <c r="CY190" s="447"/>
      <c r="CZ190" s="447"/>
      <c r="DA190" s="447"/>
      <c r="DB190" s="447"/>
      <c r="DC190" s="447"/>
      <c r="DD190" s="447"/>
      <c r="DE190" s="447"/>
      <c r="DF190" s="447"/>
      <c r="DG190" s="447"/>
      <c r="DH190" s="447"/>
      <c r="DI190" s="447"/>
      <c r="DJ190" s="447"/>
      <c r="DK190" s="447"/>
      <c r="DL190" s="67"/>
      <c r="DM190" s="67"/>
      <c r="DN190" s="67"/>
      <c r="DO190" s="67"/>
      <c r="DP190" s="67"/>
      <c r="DQ190" s="67"/>
    </row>
    <row r="191" ht="22.5" customHeight="1">
      <c r="A191" s="383"/>
      <c r="B191" s="384" t="str">
        <f>IFERROR(__xludf.DUMMYFUNCTION("IF(B$43="""","""",IF($AZ191="""","""",IFERROR(Query({CarteirasAtivos},""Select Col3 where Col1 = '""&amp;$AZ191&amp;""'and Col2 = '""&amp;S$21&amp;""'""))))"),"")</f>
        <v/>
      </c>
      <c r="C191" s="384" t="str">
        <f>IFERROR(__xludf.DUMMYFUNCTION("IF(C$43="""","""",IF($AZ191="""","""",IFERROR(Query({CarteirasAtivos},""Select Col3 where Col1 = '""&amp;$AZ191&amp;""'and Col2 = '""&amp;T$21&amp;""'""))))"),"")</f>
        <v/>
      </c>
      <c r="D191" s="384" t="str">
        <f>IFERROR(__xludf.DUMMYFUNCTION("IF(D$43="""","""",IF($AZ191="""","""",IFERROR(Query({CarteirasAtivos},""Select Col3 where Col1 = '""&amp;$AZ191&amp;""'and Col2 = '""&amp;U$21&amp;""'""))))"),"")</f>
        <v/>
      </c>
      <c r="E191" s="384" t="str">
        <f>IFERROR(__xludf.DUMMYFUNCTION("IF(E$43="""","""",IF($AZ191="""","""",IFERROR(Query({CarteirasAtivos},""Select Col3 where Col1 = '""&amp;$AZ191&amp;""'and Col2 = '""&amp;V$21&amp;""'""))))"),"")</f>
        <v/>
      </c>
      <c r="F191" s="384" t="str">
        <f>IFERROR(__xludf.DUMMYFUNCTION("IF(F$43="""","""",IF($AZ191="""","""",IFERROR(Query({CarteirasAtivos},""Select Col3 where Col1 = '""&amp;$AZ191&amp;""'and Col2 = '""&amp;W$21&amp;""'""))))"),"")</f>
        <v/>
      </c>
      <c r="G191" s="384" t="str">
        <f>IFERROR(__xludf.DUMMYFUNCTION("IF(G$43="""","""",IF($AZ191="""","""",IFERROR(Query({CarteirasAtivos},""Select Col3 where Col1 = '""&amp;$AZ191&amp;""'and Col2 = '""&amp;X$21&amp;""'""))))"),"")</f>
        <v/>
      </c>
      <c r="H191" s="384" t="str">
        <f>IFERROR(__xludf.DUMMYFUNCTION("IF(H$43="""","""",IF($AZ191="""","""",IFERROR(Query({CarteirasAtivos},""Select Col3 where Col1 = '""&amp;$AZ191&amp;""'and Col2 = '""&amp;Y$21&amp;""'""))))"),"")</f>
        <v/>
      </c>
      <c r="I191" s="384" t="str">
        <f>IFERROR(__xludf.DUMMYFUNCTION("IF(I$43="""","""",IF($AZ191="""","""",IFERROR(Query({CarteirasAtivos},""Select Col3 where Col1 = '""&amp;$AZ191&amp;""'and Col2 = '""&amp;Z$21&amp;""'""))))"),"")</f>
        <v/>
      </c>
      <c r="J191" s="384" t="str">
        <f>IFERROR(__xludf.DUMMYFUNCTION("IF(J$43="""","""",IF($AZ191="""","""",IFERROR(Query({CarteirasAtivos},""Select Col3 where Col1 = '""&amp;$AZ191&amp;""'and Col2 = '""&amp;AA$21&amp;""'""))))"),"")</f>
        <v/>
      </c>
      <c r="K191" s="384" t="str">
        <f>IFERROR(__xludf.DUMMYFUNCTION("IF(K$43="""","""",IF($AZ191="""","""",IFERROR(Query({CarteirasAtivos},""Select Col3 where Col1 = '""&amp;$AZ191&amp;""'and Col2 = '""&amp;AB$21&amp;""'""))))"),"")</f>
        <v/>
      </c>
      <c r="L191" s="385">
        <v>148.0</v>
      </c>
      <c r="M191" s="503"/>
      <c r="N191" s="387"/>
      <c r="O191" s="388" t="s">
        <v>123</v>
      </c>
      <c r="P191" s="389"/>
      <c r="Q191" s="390"/>
      <c r="R191" s="391"/>
      <c r="S191" s="392"/>
      <c r="T191" s="393"/>
      <c r="U191" s="393"/>
      <c r="V191" s="394"/>
      <c r="W191" s="395" t="str">
        <f>IFERROR(__xludf.DUMMYFUNCTION("IF(M191="""","""",sparkline(IFERROR(BF191*100/MAX($BF$44:$BF$153),0),{""charttype"",""bar"";""max"",100;""color1"",IF(BD191&gt;=0,""#4760a5"",""red"")}))"),"")</f>
        <v/>
      </c>
      <c r="X191" s="396"/>
      <c r="Y191" s="466"/>
      <c r="Z191" s="398"/>
      <c r="AA191" s="399"/>
      <c r="AB191" s="393"/>
      <c r="AC191" s="476"/>
      <c r="AD191" s="401"/>
      <c r="AE191" s="402"/>
      <c r="AF191" s="403"/>
      <c r="AG191" s="404" t="str">
        <f>IFERROR(__xludf.DUMMYFUNCTION("IF($M191="""","""",IFERROR(sparkline(query(GOOGLEFINANCE($AZ191,""price"",TODAY()-$AF$43,TODAY(),1),""select Col2 label Col2 ''""),IF($AG$43=""Gráfico de barras"",{""charttype"",""column"";""highcolor"",""red""},{""chartype"",""line""}))))"),"")</f>
        <v/>
      </c>
      <c r="AH191" s="405"/>
      <c r="AI191" s="467"/>
      <c r="AJ191" s="467"/>
      <c r="AK191" s="467"/>
      <c r="AL191" s="467"/>
      <c r="AM191" s="442"/>
      <c r="AN191" s="442"/>
      <c r="AU191" s="281"/>
      <c r="AV191" s="281"/>
      <c r="AW191" s="281"/>
      <c r="AX191" s="281"/>
      <c r="AY191" s="410">
        <v>148.0</v>
      </c>
      <c r="AZ191" s="411"/>
      <c r="BA191" s="411"/>
      <c r="BB191" s="437"/>
      <c r="BC191" s="437"/>
      <c r="BD191" s="437"/>
      <c r="BE191" s="437"/>
      <c r="BF191" s="415" t="s">
        <v>123</v>
      </c>
      <c r="BG191" s="410">
        <v>148.0</v>
      </c>
      <c r="BH191" s="416"/>
      <c r="BI191" s="416"/>
      <c r="BJ191" s="416"/>
      <c r="BK191" s="416"/>
      <c r="BL191" s="416"/>
      <c r="BM191" s="416"/>
      <c r="BN191" s="282"/>
      <c r="BO191" s="490"/>
      <c r="BP191" s="489"/>
      <c r="BQ191" s="489"/>
      <c r="BR191" s="489"/>
      <c r="BS191" s="489"/>
      <c r="BT191" s="489"/>
      <c r="BU191" s="489"/>
      <c r="BV191" s="489"/>
      <c r="BW191" s="63"/>
      <c r="BX191" s="62"/>
      <c r="BY191" s="452"/>
      <c r="BZ191" s="452"/>
      <c r="CA191" s="452"/>
      <c r="CB191" s="452"/>
      <c r="CC191" s="452"/>
      <c r="CD191" s="452"/>
      <c r="CE191" s="452"/>
      <c r="CF191" s="452"/>
      <c r="CG191" s="452"/>
      <c r="CH191" s="422"/>
      <c r="CI191" s="422"/>
      <c r="CJ191" s="422"/>
      <c r="CK191" s="421"/>
      <c r="CL191" s="421" t="s">
        <v>123</v>
      </c>
      <c r="CM191" s="423"/>
      <c r="CN191" s="421"/>
      <c r="CO191" s="423"/>
      <c r="CP191" s="421"/>
      <c r="CQ191" s="63"/>
      <c r="CR191" s="63"/>
      <c r="CS191" s="63"/>
      <c r="CT191" s="63"/>
      <c r="CU191" s="447"/>
      <c r="CV191" s="447"/>
      <c r="CW191" s="447"/>
      <c r="CX191" s="447"/>
      <c r="CY191" s="447"/>
      <c r="CZ191" s="447"/>
      <c r="DA191" s="447"/>
      <c r="DB191" s="447"/>
      <c r="DC191" s="447"/>
      <c r="DD191" s="447"/>
      <c r="DE191" s="447"/>
      <c r="DF191" s="447"/>
      <c r="DG191" s="447"/>
      <c r="DH191" s="447"/>
      <c r="DI191" s="447"/>
      <c r="DJ191" s="447"/>
      <c r="DK191" s="447"/>
      <c r="DL191" s="67"/>
      <c r="DM191" s="67"/>
      <c r="DN191" s="67"/>
      <c r="DO191" s="67"/>
      <c r="DP191" s="67"/>
      <c r="DQ191" s="67"/>
    </row>
    <row r="192" ht="22.5" customHeight="1">
      <c r="A192" s="383"/>
      <c r="B192" s="384" t="str">
        <f>IFERROR(__xludf.DUMMYFUNCTION("IF(B$43="""","""",IF($AZ192="""","""",IFERROR(Query({CarteirasAtivos},""Select Col3 where Col1 = '""&amp;$AZ192&amp;""'and Col2 = '""&amp;S$21&amp;""'""))))"),"")</f>
        <v/>
      </c>
      <c r="C192" s="384" t="str">
        <f>IFERROR(__xludf.DUMMYFUNCTION("IF(C$43="""","""",IF($AZ192="""","""",IFERROR(Query({CarteirasAtivos},""Select Col3 where Col1 = '""&amp;$AZ192&amp;""'and Col2 = '""&amp;T$21&amp;""'""))))"),"")</f>
        <v/>
      </c>
      <c r="D192" s="384" t="str">
        <f>IFERROR(__xludf.DUMMYFUNCTION("IF(D$43="""","""",IF($AZ192="""","""",IFERROR(Query({CarteirasAtivos},""Select Col3 where Col1 = '""&amp;$AZ192&amp;""'and Col2 = '""&amp;U$21&amp;""'""))))"),"")</f>
        <v/>
      </c>
      <c r="E192" s="384" t="str">
        <f>IFERROR(__xludf.DUMMYFUNCTION("IF(E$43="""","""",IF($AZ192="""","""",IFERROR(Query({CarteirasAtivos},""Select Col3 where Col1 = '""&amp;$AZ192&amp;""'and Col2 = '""&amp;V$21&amp;""'""))))"),"")</f>
        <v/>
      </c>
      <c r="F192" s="384" t="str">
        <f>IFERROR(__xludf.DUMMYFUNCTION("IF(F$43="""","""",IF($AZ192="""","""",IFERROR(Query({CarteirasAtivos},""Select Col3 where Col1 = '""&amp;$AZ192&amp;""'and Col2 = '""&amp;W$21&amp;""'""))))"),"")</f>
        <v/>
      </c>
      <c r="G192" s="384" t="str">
        <f>IFERROR(__xludf.DUMMYFUNCTION("IF(G$43="""","""",IF($AZ192="""","""",IFERROR(Query({CarteirasAtivos},""Select Col3 where Col1 = '""&amp;$AZ192&amp;""'and Col2 = '""&amp;X$21&amp;""'""))))"),"")</f>
        <v/>
      </c>
      <c r="H192" s="384" t="str">
        <f>IFERROR(__xludf.DUMMYFUNCTION("IF(H$43="""","""",IF($AZ192="""","""",IFERROR(Query({CarteirasAtivos},""Select Col3 where Col1 = '""&amp;$AZ192&amp;""'and Col2 = '""&amp;Y$21&amp;""'""))))"),"")</f>
        <v/>
      </c>
      <c r="I192" s="384" t="str">
        <f>IFERROR(__xludf.DUMMYFUNCTION("IF(I$43="""","""",IF($AZ192="""","""",IFERROR(Query({CarteirasAtivos},""Select Col3 where Col1 = '""&amp;$AZ192&amp;""'and Col2 = '""&amp;Z$21&amp;""'""))))"),"")</f>
        <v/>
      </c>
      <c r="J192" s="384" t="str">
        <f>IFERROR(__xludf.DUMMYFUNCTION("IF(J$43="""","""",IF($AZ192="""","""",IFERROR(Query({CarteirasAtivos},""Select Col3 where Col1 = '""&amp;$AZ192&amp;""'and Col2 = '""&amp;AA$21&amp;""'""))))"),"")</f>
        <v/>
      </c>
      <c r="K192" s="384" t="str">
        <f>IFERROR(__xludf.DUMMYFUNCTION("IF(K$43="""","""",IF($AZ192="""","""",IFERROR(Query({CarteirasAtivos},""Select Col3 where Col1 = '""&amp;$AZ192&amp;""'and Col2 = '""&amp;AB$21&amp;""'""))))"),"")</f>
        <v/>
      </c>
      <c r="L192" s="385">
        <v>149.0</v>
      </c>
      <c r="M192" s="503"/>
      <c r="N192" s="387"/>
      <c r="O192" s="388" t="s">
        <v>123</v>
      </c>
      <c r="P192" s="389"/>
      <c r="Q192" s="390"/>
      <c r="R192" s="391"/>
      <c r="S192" s="392"/>
      <c r="T192" s="393"/>
      <c r="U192" s="393"/>
      <c r="V192" s="394"/>
      <c r="W192" s="395" t="str">
        <f>IFERROR(__xludf.DUMMYFUNCTION("IF(M192="""","""",sparkline(IFERROR(BF192*100/MAX($BF$44:$BF$153),0),{""charttype"",""bar"";""max"",100;""color1"",IF(BD192&gt;=0,""#4760a5"",""red"")}))"),"")</f>
        <v/>
      </c>
      <c r="X192" s="396"/>
      <c r="Y192" s="466"/>
      <c r="Z192" s="398"/>
      <c r="AA192" s="399"/>
      <c r="AB192" s="393"/>
      <c r="AC192" s="476"/>
      <c r="AD192" s="401"/>
      <c r="AE192" s="402"/>
      <c r="AF192" s="403"/>
      <c r="AG192" s="404" t="str">
        <f>IFERROR(__xludf.DUMMYFUNCTION("IF($M192="""","""",IFERROR(sparkline(query(GOOGLEFINANCE($AZ192,""price"",TODAY()-$AF$43,TODAY(),1),""select Col2 label Col2 ''""),IF($AG$43=""Gráfico de barras"",{""charttype"",""column"";""highcolor"",""red""},{""chartype"",""line""}))))"),"")</f>
        <v/>
      </c>
      <c r="AH192" s="405"/>
      <c r="AI192" s="467"/>
      <c r="AJ192" s="467"/>
      <c r="AK192" s="467"/>
      <c r="AL192" s="467"/>
      <c r="AM192" s="442"/>
      <c r="AN192" s="442"/>
      <c r="AU192" s="281"/>
      <c r="AV192" s="281"/>
      <c r="AW192" s="281"/>
      <c r="AX192" s="281"/>
      <c r="AY192" s="410">
        <v>149.0</v>
      </c>
      <c r="AZ192" s="411"/>
      <c r="BA192" s="411"/>
      <c r="BB192" s="437"/>
      <c r="BC192" s="437"/>
      <c r="BD192" s="437"/>
      <c r="BE192" s="437"/>
      <c r="BF192" s="415" t="s">
        <v>123</v>
      </c>
      <c r="BG192" s="410">
        <v>149.0</v>
      </c>
      <c r="BH192" s="416"/>
      <c r="BI192" s="416"/>
      <c r="BJ192" s="416"/>
      <c r="BK192" s="416"/>
      <c r="BL192" s="416"/>
      <c r="BM192" s="416"/>
      <c r="BN192" s="282"/>
      <c r="BO192" s="490"/>
      <c r="BP192" s="489"/>
      <c r="BQ192" s="489"/>
      <c r="BR192" s="489"/>
      <c r="BS192" s="489"/>
      <c r="BT192" s="489"/>
      <c r="BU192" s="489"/>
      <c r="BV192" s="489"/>
      <c r="BW192" s="63"/>
      <c r="BX192" s="62"/>
      <c r="BY192" s="452"/>
      <c r="BZ192" s="452"/>
      <c r="CA192" s="452"/>
      <c r="CB192" s="452"/>
      <c r="CC192" s="452"/>
      <c r="CD192" s="452"/>
      <c r="CE192" s="452"/>
      <c r="CF192" s="452"/>
      <c r="CG192" s="452"/>
      <c r="CH192" s="422"/>
      <c r="CI192" s="422"/>
      <c r="CJ192" s="422"/>
      <c r="CK192" s="421"/>
      <c r="CL192" s="421" t="s">
        <v>123</v>
      </c>
      <c r="CM192" s="423"/>
      <c r="CN192" s="421"/>
      <c r="CO192" s="423"/>
      <c r="CP192" s="421"/>
      <c r="CQ192" s="63"/>
      <c r="CR192" s="63"/>
      <c r="CS192" s="63"/>
      <c r="CT192" s="63"/>
      <c r="CU192" s="447"/>
      <c r="CV192" s="447"/>
      <c r="CW192" s="447"/>
      <c r="CX192" s="447"/>
      <c r="CY192" s="447"/>
      <c r="CZ192" s="447"/>
      <c r="DA192" s="447"/>
      <c r="DB192" s="447"/>
      <c r="DC192" s="447"/>
      <c r="DD192" s="447"/>
      <c r="DE192" s="447"/>
      <c r="DF192" s="447"/>
      <c r="DG192" s="447"/>
      <c r="DH192" s="447"/>
      <c r="DI192" s="447"/>
      <c r="DJ192" s="447"/>
      <c r="DK192" s="447"/>
      <c r="DL192" s="67"/>
      <c r="DM192" s="67"/>
      <c r="DN192" s="67"/>
      <c r="DO192" s="67"/>
      <c r="DP192" s="67"/>
      <c r="DQ192" s="67"/>
    </row>
    <row r="193" ht="22.5" customHeight="1">
      <c r="A193" s="383"/>
      <c r="B193" s="384" t="str">
        <f>IFERROR(__xludf.DUMMYFUNCTION("IF(B$43="""","""",IF($AZ193="""","""",IFERROR(Query({CarteirasAtivos},""Select Col3 where Col1 = '""&amp;$AZ193&amp;""'and Col2 = '""&amp;S$21&amp;""'""))))"),"")</f>
        <v/>
      </c>
      <c r="C193" s="384" t="str">
        <f>IFERROR(__xludf.DUMMYFUNCTION("IF(C$43="""","""",IF($AZ193="""","""",IFERROR(Query({CarteirasAtivos},""Select Col3 where Col1 = '""&amp;$AZ193&amp;""'and Col2 = '""&amp;T$21&amp;""'""))))"),"")</f>
        <v/>
      </c>
      <c r="D193" s="384" t="str">
        <f>IFERROR(__xludf.DUMMYFUNCTION("IF(D$43="""","""",IF($AZ193="""","""",IFERROR(Query({CarteirasAtivos},""Select Col3 where Col1 = '""&amp;$AZ193&amp;""'and Col2 = '""&amp;U$21&amp;""'""))))"),"")</f>
        <v/>
      </c>
      <c r="E193" s="384" t="str">
        <f>IFERROR(__xludf.DUMMYFUNCTION("IF(E$43="""","""",IF($AZ193="""","""",IFERROR(Query({CarteirasAtivos},""Select Col3 where Col1 = '""&amp;$AZ193&amp;""'and Col2 = '""&amp;V$21&amp;""'""))))"),"")</f>
        <v/>
      </c>
      <c r="F193" s="384" t="str">
        <f>IFERROR(__xludf.DUMMYFUNCTION("IF(F$43="""","""",IF($AZ193="""","""",IFERROR(Query({CarteirasAtivos},""Select Col3 where Col1 = '""&amp;$AZ193&amp;""'and Col2 = '""&amp;W$21&amp;""'""))))"),"")</f>
        <v/>
      </c>
      <c r="G193" s="384" t="str">
        <f>IFERROR(__xludf.DUMMYFUNCTION("IF(G$43="""","""",IF($AZ193="""","""",IFERROR(Query({CarteirasAtivos},""Select Col3 where Col1 = '""&amp;$AZ193&amp;""'and Col2 = '""&amp;X$21&amp;""'""))))"),"")</f>
        <v/>
      </c>
      <c r="H193" s="384" t="str">
        <f>IFERROR(__xludf.DUMMYFUNCTION("IF(H$43="""","""",IF($AZ193="""","""",IFERROR(Query({CarteirasAtivos},""Select Col3 where Col1 = '""&amp;$AZ193&amp;""'and Col2 = '""&amp;Y$21&amp;""'""))))"),"")</f>
        <v/>
      </c>
      <c r="I193" s="384" t="str">
        <f>IFERROR(__xludf.DUMMYFUNCTION("IF(I$43="""","""",IF($AZ193="""","""",IFERROR(Query({CarteirasAtivos},""Select Col3 where Col1 = '""&amp;$AZ193&amp;""'and Col2 = '""&amp;Z$21&amp;""'""))))"),"")</f>
        <v/>
      </c>
      <c r="J193" s="384" t="str">
        <f>IFERROR(__xludf.DUMMYFUNCTION("IF(J$43="""","""",IF($AZ193="""","""",IFERROR(Query({CarteirasAtivos},""Select Col3 where Col1 = '""&amp;$AZ193&amp;""'and Col2 = '""&amp;AA$21&amp;""'""))))"),"")</f>
        <v/>
      </c>
      <c r="K193" s="384" t="str">
        <f>IFERROR(__xludf.DUMMYFUNCTION("IF(K$43="""","""",IF($AZ193="""","""",IFERROR(Query({CarteirasAtivos},""Select Col3 where Col1 = '""&amp;$AZ193&amp;""'and Col2 = '""&amp;AB$21&amp;""'""))))"),"")</f>
        <v/>
      </c>
      <c r="L193" s="385">
        <v>150.0</v>
      </c>
      <c r="M193" s="503"/>
      <c r="N193" s="387"/>
      <c r="O193" s="388" t="s">
        <v>123</v>
      </c>
      <c r="P193" s="389"/>
      <c r="Q193" s="390"/>
      <c r="R193" s="391"/>
      <c r="S193" s="392"/>
      <c r="T193" s="393"/>
      <c r="U193" s="393"/>
      <c r="V193" s="394"/>
      <c r="W193" s="395" t="str">
        <f>IFERROR(__xludf.DUMMYFUNCTION("IF(M193="""","""",sparkline(IFERROR(BF193*100/MAX($BF$44:$BF$153),0),{""charttype"",""bar"";""max"",100;""color1"",IF(BD193&gt;=0,""#4760a5"",""red"")}))"),"")</f>
        <v/>
      </c>
      <c r="X193" s="396"/>
      <c r="Y193" s="466"/>
      <c r="Z193" s="398"/>
      <c r="AA193" s="399"/>
      <c r="AB193" s="393"/>
      <c r="AC193" s="476"/>
      <c r="AD193" s="401"/>
      <c r="AE193" s="402"/>
      <c r="AF193" s="403"/>
      <c r="AG193" s="404" t="str">
        <f>IFERROR(__xludf.DUMMYFUNCTION("IF($M193="""","""",IFERROR(sparkline(query(GOOGLEFINANCE($AZ193,""price"",TODAY()-$AF$43,TODAY(),1),""select Col2 label Col2 ''""),IF($AG$43=""Gráfico de barras"",{""charttype"",""column"";""highcolor"",""red""},{""chartype"",""line""}))))"),"")</f>
        <v/>
      </c>
      <c r="AH193" s="405"/>
      <c r="AI193" s="467"/>
      <c r="AJ193" s="467"/>
      <c r="AK193" s="467"/>
      <c r="AL193" s="467"/>
      <c r="AM193" s="442"/>
      <c r="AN193" s="442"/>
      <c r="AU193" s="281"/>
      <c r="AV193" s="281"/>
      <c r="AW193" s="281"/>
      <c r="AX193" s="281"/>
      <c r="AY193" s="410">
        <v>150.0</v>
      </c>
      <c r="AZ193" s="411"/>
      <c r="BA193" s="411"/>
      <c r="BB193" s="437"/>
      <c r="BC193" s="437"/>
      <c r="BD193" s="437"/>
      <c r="BE193" s="437"/>
      <c r="BF193" s="415" t="s">
        <v>123</v>
      </c>
      <c r="BG193" s="410">
        <v>150.0</v>
      </c>
      <c r="BH193" s="416"/>
      <c r="BI193" s="416"/>
      <c r="BJ193" s="416"/>
      <c r="BK193" s="416"/>
      <c r="BL193" s="416"/>
      <c r="BM193" s="416"/>
      <c r="BN193" s="282"/>
      <c r="BO193" s="490"/>
      <c r="BP193" s="489"/>
      <c r="BQ193" s="489"/>
      <c r="BR193" s="489"/>
      <c r="BS193" s="489"/>
      <c r="BT193" s="489"/>
      <c r="BU193" s="489"/>
      <c r="BV193" s="489"/>
      <c r="BW193" s="63"/>
      <c r="BX193" s="62"/>
      <c r="BY193" s="452"/>
      <c r="BZ193" s="452"/>
      <c r="CA193" s="452"/>
      <c r="CB193" s="452"/>
      <c r="CC193" s="452"/>
      <c r="CD193" s="452"/>
      <c r="CE193" s="452"/>
      <c r="CF193" s="452"/>
      <c r="CG193" s="452"/>
      <c r="CH193" s="422"/>
      <c r="CI193" s="422"/>
      <c r="CJ193" s="422"/>
      <c r="CK193" s="421"/>
      <c r="CL193" s="421" t="s">
        <v>123</v>
      </c>
      <c r="CM193" s="423"/>
      <c r="CN193" s="421"/>
      <c r="CO193" s="423"/>
      <c r="CP193" s="421"/>
      <c r="CQ193" s="63"/>
      <c r="CR193" s="63"/>
      <c r="CS193" s="63"/>
      <c r="CT193" s="63"/>
      <c r="CU193" s="447"/>
      <c r="CV193" s="447"/>
      <c r="CW193" s="447"/>
      <c r="CX193" s="447"/>
      <c r="CY193" s="447"/>
      <c r="CZ193" s="447"/>
      <c r="DA193" s="447"/>
      <c r="DB193" s="447"/>
      <c r="DC193" s="447"/>
      <c r="DD193" s="447"/>
      <c r="DE193" s="447"/>
      <c r="DF193" s="447"/>
      <c r="DG193" s="447"/>
      <c r="DH193" s="447"/>
      <c r="DI193" s="447"/>
      <c r="DJ193" s="447"/>
      <c r="DK193" s="447"/>
      <c r="DL193" s="67"/>
      <c r="DM193" s="67"/>
      <c r="DN193" s="67"/>
      <c r="DO193" s="67"/>
      <c r="DP193" s="67"/>
      <c r="DQ193" s="67"/>
    </row>
    <row r="194" ht="22.5" customHeight="1">
      <c r="A194" s="383"/>
      <c r="B194" s="384" t="str">
        <f>IFERROR(__xludf.DUMMYFUNCTION("IF(B$43="""","""",IF($AZ194="""","""",IFERROR(Query({CarteirasAtivos},""Select Col3 where Col1 = '""&amp;$AZ194&amp;""'and Col2 = '""&amp;S$21&amp;""'""))))"),"")</f>
        <v/>
      </c>
      <c r="C194" s="384" t="str">
        <f>IFERROR(__xludf.DUMMYFUNCTION("IF(C$43="""","""",IF($AZ194="""","""",IFERROR(Query({CarteirasAtivos},""Select Col3 where Col1 = '""&amp;$AZ194&amp;""'and Col2 = '""&amp;T$21&amp;""'""))))"),"")</f>
        <v/>
      </c>
      <c r="D194" s="384" t="str">
        <f>IFERROR(__xludf.DUMMYFUNCTION("IF(D$43="""","""",IF($AZ194="""","""",IFERROR(Query({CarteirasAtivos},""Select Col3 where Col1 = '""&amp;$AZ194&amp;""'and Col2 = '""&amp;U$21&amp;""'""))))"),"")</f>
        <v/>
      </c>
      <c r="E194" s="384" t="str">
        <f>IFERROR(__xludf.DUMMYFUNCTION("IF(E$43="""","""",IF($AZ194="""","""",IFERROR(Query({CarteirasAtivos},""Select Col3 where Col1 = '""&amp;$AZ194&amp;""'and Col2 = '""&amp;V$21&amp;""'""))))"),"")</f>
        <v/>
      </c>
      <c r="F194" s="384" t="str">
        <f>IFERROR(__xludf.DUMMYFUNCTION("IF(F$43="""","""",IF($AZ194="""","""",IFERROR(Query({CarteirasAtivos},""Select Col3 where Col1 = '""&amp;$AZ194&amp;""'and Col2 = '""&amp;W$21&amp;""'""))))"),"")</f>
        <v/>
      </c>
      <c r="G194" s="384" t="str">
        <f>IFERROR(__xludf.DUMMYFUNCTION("IF(G$43="""","""",IF($AZ194="""","""",IFERROR(Query({CarteirasAtivos},""Select Col3 where Col1 = '""&amp;$AZ194&amp;""'and Col2 = '""&amp;X$21&amp;""'""))))"),"")</f>
        <v/>
      </c>
      <c r="H194" s="384" t="str">
        <f>IFERROR(__xludf.DUMMYFUNCTION("IF(H$43="""","""",IF($AZ194="""","""",IFERROR(Query({CarteirasAtivos},""Select Col3 where Col1 = '""&amp;$AZ194&amp;""'and Col2 = '""&amp;Y$21&amp;""'""))))"),"")</f>
        <v/>
      </c>
      <c r="I194" s="384" t="str">
        <f>IFERROR(__xludf.DUMMYFUNCTION("IF(I$43="""","""",IF($AZ194="""","""",IFERROR(Query({CarteirasAtivos},""Select Col3 where Col1 = '""&amp;$AZ194&amp;""'and Col2 = '""&amp;Z$21&amp;""'""))))"),"")</f>
        <v/>
      </c>
      <c r="J194" s="384" t="str">
        <f>IFERROR(__xludf.DUMMYFUNCTION("IF(J$43="""","""",IF($AZ194="""","""",IFERROR(Query({CarteirasAtivos},""Select Col3 where Col1 = '""&amp;$AZ194&amp;""'and Col2 = '""&amp;AA$21&amp;""'""))))"),"")</f>
        <v/>
      </c>
      <c r="K194" s="384" t="str">
        <f>IFERROR(__xludf.DUMMYFUNCTION("IF(K$43="""","""",IF($AZ194="""","""",IFERROR(Query({CarteirasAtivos},""Select Col3 where Col1 = '""&amp;$AZ194&amp;""'and Col2 = '""&amp;AB$21&amp;""'""))))"),"")</f>
        <v/>
      </c>
      <c r="L194" s="385">
        <v>151.0</v>
      </c>
      <c r="M194" s="503"/>
      <c r="N194" s="387"/>
      <c r="O194" s="388" t="s">
        <v>123</v>
      </c>
      <c r="P194" s="389"/>
      <c r="Q194" s="390"/>
      <c r="R194" s="391"/>
      <c r="S194" s="392"/>
      <c r="T194" s="393"/>
      <c r="U194" s="393"/>
      <c r="V194" s="394"/>
      <c r="W194" s="395" t="str">
        <f>IFERROR(__xludf.DUMMYFUNCTION("IF(M194="""","""",sparkline(IFERROR(BF194*100/MAX($BF$44:$BF$153),0),{""charttype"",""bar"";""max"",100;""color1"",IF(BD194&gt;=0,""#4760a5"",""red"")}))"),"")</f>
        <v/>
      </c>
      <c r="X194" s="396"/>
      <c r="Y194" s="466"/>
      <c r="Z194" s="398"/>
      <c r="AA194" s="399"/>
      <c r="AB194" s="393"/>
      <c r="AC194" s="476"/>
      <c r="AD194" s="401"/>
      <c r="AE194" s="402"/>
      <c r="AF194" s="403"/>
      <c r="AG194" s="404" t="str">
        <f>IFERROR(__xludf.DUMMYFUNCTION("IF($M194="""","""",IFERROR(sparkline(query(GOOGLEFINANCE($AZ194,""price"",TODAY()-$AF$43,TODAY(),1),""select Col2 label Col2 ''""),IF($AG$43=""Gráfico de barras"",{""charttype"",""column"";""highcolor"",""red""},{""chartype"",""line""}))))"),"")</f>
        <v/>
      </c>
      <c r="AH194" s="405"/>
      <c r="AI194" s="467"/>
      <c r="AJ194" s="467"/>
      <c r="AK194" s="467"/>
      <c r="AL194" s="467"/>
      <c r="AM194" s="442"/>
      <c r="AN194" s="442"/>
      <c r="AU194" s="281"/>
      <c r="AV194" s="281"/>
      <c r="AW194" s="281"/>
      <c r="AX194" s="281"/>
      <c r="AY194" s="410">
        <v>151.0</v>
      </c>
      <c r="AZ194" s="411"/>
      <c r="BA194" s="411"/>
      <c r="BB194" s="437"/>
      <c r="BC194" s="437"/>
      <c r="BD194" s="437"/>
      <c r="BE194" s="437"/>
      <c r="BF194" s="415" t="s">
        <v>123</v>
      </c>
      <c r="BG194" s="410">
        <v>151.0</v>
      </c>
      <c r="BH194" s="416"/>
      <c r="BI194" s="416"/>
      <c r="BJ194" s="416"/>
      <c r="BK194" s="416"/>
      <c r="BL194" s="416"/>
      <c r="BM194" s="416"/>
      <c r="BN194" s="282"/>
      <c r="BO194" s="490"/>
      <c r="BP194" s="489"/>
      <c r="BQ194" s="489"/>
      <c r="BR194" s="489"/>
      <c r="BS194" s="489"/>
      <c r="BT194" s="489"/>
      <c r="BU194" s="489"/>
      <c r="BV194" s="489"/>
      <c r="BW194" s="63"/>
      <c r="BX194" s="62"/>
      <c r="BY194" s="452"/>
      <c r="BZ194" s="452"/>
      <c r="CA194" s="452"/>
      <c r="CB194" s="452"/>
      <c r="CC194" s="452"/>
      <c r="CD194" s="452"/>
      <c r="CE194" s="452"/>
      <c r="CF194" s="452"/>
      <c r="CG194" s="452"/>
      <c r="CH194" s="422"/>
      <c r="CI194" s="422"/>
      <c r="CJ194" s="422"/>
      <c r="CK194" s="421"/>
      <c r="CL194" s="421" t="s">
        <v>123</v>
      </c>
      <c r="CM194" s="423"/>
      <c r="CN194" s="421"/>
      <c r="CO194" s="423"/>
      <c r="CP194" s="421"/>
      <c r="CQ194" s="63"/>
      <c r="CR194" s="63"/>
      <c r="CS194" s="63"/>
      <c r="CT194" s="63"/>
      <c r="CU194" s="447"/>
      <c r="CV194" s="447"/>
      <c r="CW194" s="447"/>
      <c r="CX194" s="447"/>
      <c r="CY194" s="447"/>
      <c r="CZ194" s="447"/>
      <c r="DA194" s="447"/>
      <c r="DB194" s="447"/>
      <c r="DC194" s="447"/>
      <c r="DD194" s="447"/>
      <c r="DE194" s="447"/>
      <c r="DF194" s="447"/>
      <c r="DG194" s="447"/>
      <c r="DH194" s="447"/>
      <c r="DI194" s="447"/>
      <c r="DJ194" s="447"/>
      <c r="DK194" s="447"/>
      <c r="DL194" s="67"/>
      <c r="DM194" s="67"/>
      <c r="DN194" s="67"/>
      <c r="DO194" s="67"/>
      <c r="DP194" s="67"/>
      <c r="DQ194" s="67"/>
    </row>
    <row r="195" ht="22.5" customHeight="1">
      <c r="A195" s="383"/>
      <c r="B195" s="384" t="str">
        <f>IFERROR(__xludf.DUMMYFUNCTION("IF(B$43="""","""",IF($AZ195="""","""",IFERROR(Query({CarteirasAtivos},""Select Col3 where Col1 = '""&amp;$AZ195&amp;""'and Col2 = '""&amp;S$21&amp;""'""))))"),"")</f>
        <v/>
      </c>
      <c r="C195" s="384" t="str">
        <f>IFERROR(__xludf.DUMMYFUNCTION("IF(C$43="""","""",IF($AZ195="""","""",IFERROR(Query({CarteirasAtivos},""Select Col3 where Col1 = '""&amp;$AZ195&amp;""'and Col2 = '""&amp;T$21&amp;""'""))))"),"")</f>
        <v/>
      </c>
      <c r="D195" s="384" t="str">
        <f>IFERROR(__xludf.DUMMYFUNCTION("IF(D$43="""","""",IF($AZ195="""","""",IFERROR(Query({CarteirasAtivos},""Select Col3 where Col1 = '""&amp;$AZ195&amp;""'and Col2 = '""&amp;U$21&amp;""'""))))"),"")</f>
        <v/>
      </c>
      <c r="E195" s="384" t="str">
        <f>IFERROR(__xludf.DUMMYFUNCTION("IF(E$43="""","""",IF($AZ195="""","""",IFERROR(Query({CarteirasAtivos},""Select Col3 where Col1 = '""&amp;$AZ195&amp;""'and Col2 = '""&amp;V$21&amp;""'""))))"),"")</f>
        <v/>
      </c>
      <c r="F195" s="384" t="str">
        <f>IFERROR(__xludf.DUMMYFUNCTION("IF(F$43="""","""",IF($AZ195="""","""",IFERROR(Query({CarteirasAtivos},""Select Col3 where Col1 = '""&amp;$AZ195&amp;""'and Col2 = '""&amp;W$21&amp;""'""))))"),"")</f>
        <v/>
      </c>
      <c r="G195" s="384" t="str">
        <f>IFERROR(__xludf.DUMMYFUNCTION("IF(G$43="""","""",IF($AZ195="""","""",IFERROR(Query({CarteirasAtivos},""Select Col3 where Col1 = '""&amp;$AZ195&amp;""'and Col2 = '""&amp;X$21&amp;""'""))))"),"")</f>
        <v/>
      </c>
      <c r="H195" s="384" t="str">
        <f>IFERROR(__xludf.DUMMYFUNCTION("IF(H$43="""","""",IF($AZ195="""","""",IFERROR(Query({CarteirasAtivos},""Select Col3 where Col1 = '""&amp;$AZ195&amp;""'and Col2 = '""&amp;Y$21&amp;""'""))))"),"")</f>
        <v/>
      </c>
      <c r="I195" s="384" t="str">
        <f>IFERROR(__xludf.DUMMYFUNCTION("IF(I$43="""","""",IF($AZ195="""","""",IFERROR(Query({CarteirasAtivos},""Select Col3 where Col1 = '""&amp;$AZ195&amp;""'and Col2 = '""&amp;Z$21&amp;""'""))))"),"")</f>
        <v/>
      </c>
      <c r="J195" s="384" t="str">
        <f>IFERROR(__xludf.DUMMYFUNCTION("IF(J$43="""","""",IF($AZ195="""","""",IFERROR(Query({CarteirasAtivos},""Select Col3 where Col1 = '""&amp;$AZ195&amp;""'and Col2 = '""&amp;AA$21&amp;""'""))))"),"")</f>
        <v/>
      </c>
      <c r="K195" s="384" t="str">
        <f>IFERROR(__xludf.DUMMYFUNCTION("IF(K$43="""","""",IF($AZ195="""","""",IFERROR(Query({CarteirasAtivos},""Select Col3 where Col1 = '""&amp;$AZ195&amp;""'and Col2 = '""&amp;AB$21&amp;""'""))))"),"")</f>
        <v/>
      </c>
      <c r="L195" s="385">
        <v>152.0</v>
      </c>
      <c r="M195" s="503"/>
      <c r="N195" s="387"/>
      <c r="O195" s="388" t="s">
        <v>123</v>
      </c>
      <c r="P195" s="389"/>
      <c r="Q195" s="390"/>
      <c r="R195" s="391"/>
      <c r="S195" s="392"/>
      <c r="T195" s="393"/>
      <c r="U195" s="393"/>
      <c r="V195" s="394"/>
      <c r="W195" s="395" t="str">
        <f>IFERROR(__xludf.DUMMYFUNCTION("IF(M195="""","""",sparkline(IFERROR(BF195*100/MAX($BF$44:$BF$153),0),{""charttype"",""bar"";""max"",100;""color1"",IF(BD195&gt;=0,""#4760a5"",""red"")}))"),"")</f>
        <v/>
      </c>
      <c r="X195" s="396"/>
      <c r="Y195" s="466"/>
      <c r="Z195" s="398"/>
      <c r="AA195" s="399"/>
      <c r="AB195" s="393"/>
      <c r="AC195" s="476"/>
      <c r="AD195" s="401"/>
      <c r="AE195" s="402"/>
      <c r="AF195" s="403"/>
      <c r="AG195" s="404" t="str">
        <f>IFERROR(__xludf.DUMMYFUNCTION("IF($M195="""","""",IFERROR(sparkline(query(GOOGLEFINANCE($AZ195,""price"",TODAY()-$AF$43,TODAY(),1),""select Col2 label Col2 ''""),IF($AG$43=""Gráfico de barras"",{""charttype"",""column"";""highcolor"",""red""},{""chartype"",""line""}))))"),"")</f>
        <v/>
      </c>
      <c r="AH195" s="405"/>
      <c r="AI195" s="467"/>
      <c r="AJ195" s="467"/>
      <c r="AK195" s="467"/>
      <c r="AL195" s="467"/>
      <c r="AM195" s="442"/>
      <c r="AN195" s="442"/>
      <c r="AU195" s="281"/>
      <c r="AV195" s="281"/>
      <c r="AW195" s="281"/>
      <c r="AX195" s="281"/>
      <c r="AY195" s="410">
        <v>152.0</v>
      </c>
      <c r="AZ195" s="411"/>
      <c r="BA195" s="411"/>
      <c r="BB195" s="437"/>
      <c r="BC195" s="437"/>
      <c r="BD195" s="437"/>
      <c r="BE195" s="437"/>
      <c r="BF195" s="415" t="s">
        <v>123</v>
      </c>
      <c r="BG195" s="410">
        <v>152.0</v>
      </c>
      <c r="BH195" s="416"/>
      <c r="BI195" s="416"/>
      <c r="BJ195" s="416"/>
      <c r="BK195" s="416"/>
      <c r="BL195" s="416"/>
      <c r="BM195" s="416"/>
      <c r="BN195" s="282"/>
      <c r="BO195" s="490"/>
      <c r="BP195" s="489"/>
      <c r="BQ195" s="489"/>
      <c r="BR195" s="489"/>
      <c r="BS195" s="489"/>
      <c r="BT195" s="489"/>
      <c r="BU195" s="489"/>
      <c r="BV195" s="489"/>
      <c r="BW195" s="63"/>
      <c r="BX195" s="62"/>
      <c r="BY195" s="452"/>
      <c r="BZ195" s="452"/>
      <c r="CA195" s="452"/>
      <c r="CB195" s="452"/>
      <c r="CC195" s="452"/>
      <c r="CD195" s="452"/>
      <c r="CE195" s="452"/>
      <c r="CF195" s="452"/>
      <c r="CG195" s="452"/>
      <c r="CH195" s="422"/>
      <c r="CI195" s="422"/>
      <c r="CJ195" s="422"/>
      <c r="CK195" s="421"/>
      <c r="CL195" s="421" t="s">
        <v>123</v>
      </c>
      <c r="CM195" s="423"/>
      <c r="CN195" s="421"/>
      <c r="CO195" s="423"/>
      <c r="CP195" s="421"/>
      <c r="CQ195" s="63"/>
      <c r="CR195" s="63"/>
      <c r="CS195" s="63"/>
      <c r="CT195" s="63"/>
      <c r="CU195" s="447"/>
      <c r="CV195" s="447"/>
      <c r="CW195" s="447"/>
      <c r="CX195" s="447"/>
      <c r="CY195" s="447"/>
      <c r="CZ195" s="447"/>
      <c r="DA195" s="447"/>
      <c r="DB195" s="447"/>
      <c r="DC195" s="447"/>
      <c r="DD195" s="447"/>
      <c r="DE195" s="447"/>
      <c r="DF195" s="447"/>
      <c r="DG195" s="447"/>
      <c r="DH195" s="447"/>
      <c r="DI195" s="447"/>
      <c r="DJ195" s="447"/>
      <c r="DK195" s="447"/>
      <c r="DL195" s="67"/>
      <c r="DM195" s="67"/>
      <c r="DN195" s="67"/>
      <c r="DO195" s="67"/>
      <c r="DP195" s="67"/>
      <c r="DQ195" s="67"/>
    </row>
    <row r="196" ht="22.5" customHeight="1">
      <c r="A196" s="383"/>
      <c r="B196" s="384" t="str">
        <f>IFERROR(__xludf.DUMMYFUNCTION("IF(B$43="""","""",IF($AZ196="""","""",IFERROR(Query({CarteirasAtivos},""Select Col3 where Col1 = '""&amp;$AZ196&amp;""'and Col2 = '""&amp;S$21&amp;""'""))))"),"")</f>
        <v/>
      </c>
      <c r="C196" s="384" t="str">
        <f>IFERROR(__xludf.DUMMYFUNCTION("IF(C$43="""","""",IF($AZ196="""","""",IFERROR(Query({CarteirasAtivos},""Select Col3 where Col1 = '""&amp;$AZ196&amp;""'and Col2 = '""&amp;T$21&amp;""'""))))"),"")</f>
        <v/>
      </c>
      <c r="D196" s="384" t="str">
        <f>IFERROR(__xludf.DUMMYFUNCTION("IF(D$43="""","""",IF($AZ196="""","""",IFERROR(Query({CarteirasAtivos},""Select Col3 where Col1 = '""&amp;$AZ196&amp;""'and Col2 = '""&amp;U$21&amp;""'""))))"),"")</f>
        <v/>
      </c>
      <c r="E196" s="384" t="str">
        <f>IFERROR(__xludf.DUMMYFUNCTION("IF(E$43="""","""",IF($AZ196="""","""",IFERROR(Query({CarteirasAtivos},""Select Col3 where Col1 = '""&amp;$AZ196&amp;""'and Col2 = '""&amp;V$21&amp;""'""))))"),"")</f>
        <v/>
      </c>
      <c r="F196" s="384" t="str">
        <f>IFERROR(__xludf.DUMMYFUNCTION("IF(F$43="""","""",IF($AZ196="""","""",IFERROR(Query({CarteirasAtivos},""Select Col3 where Col1 = '""&amp;$AZ196&amp;""'and Col2 = '""&amp;W$21&amp;""'""))))"),"")</f>
        <v/>
      </c>
      <c r="G196" s="384" t="str">
        <f>IFERROR(__xludf.DUMMYFUNCTION("IF(G$43="""","""",IF($AZ196="""","""",IFERROR(Query({CarteirasAtivos},""Select Col3 where Col1 = '""&amp;$AZ196&amp;""'and Col2 = '""&amp;X$21&amp;""'""))))"),"")</f>
        <v/>
      </c>
      <c r="H196" s="384" t="str">
        <f>IFERROR(__xludf.DUMMYFUNCTION("IF(H$43="""","""",IF($AZ196="""","""",IFERROR(Query({CarteirasAtivos},""Select Col3 where Col1 = '""&amp;$AZ196&amp;""'and Col2 = '""&amp;Y$21&amp;""'""))))"),"")</f>
        <v/>
      </c>
      <c r="I196" s="384" t="str">
        <f>IFERROR(__xludf.DUMMYFUNCTION("IF(I$43="""","""",IF($AZ196="""","""",IFERROR(Query({CarteirasAtivos},""Select Col3 where Col1 = '""&amp;$AZ196&amp;""'and Col2 = '""&amp;Z$21&amp;""'""))))"),"")</f>
        <v/>
      </c>
      <c r="J196" s="384" t="str">
        <f>IFERROR(__xludf.DUMMYFUNCTION("IF(J$43="""","""",IF($AZ196="""","""",IFERROR(Query({CarteirasAtivos},""Select Col3 where Col1 = '""&amp;$AZ196&amp;""'and Col2 = '""&amp;AA$21&amp;""'""))))"),"")</f>
        <v/>
      </c>
      <c r="K196" s="384" t="str">
        <f>IFERROR(__xludf.DUMMYFUNCTION("IF(K$43="""","""",IF($AZ196="""","""",IFERROR(Query({CarteirasAtivos},""Select Col3 where Col1 = '""&amp;$AZ196&amp;""'and Col2 = '""&amp;AB$21&amp;""'""))))"),"")</f>
        <v/>
      </c>
      <c r="L196" s="385">
        <v>153.0</v>
      </c>
      <c r="M196" s="503"/>
      <c r="N196" s="387"/>
      <c r="O196" s="388" t="s">
        <v>123</v>
      </c>
      <c r="P196" s="389"/>
      <c r="Q196" s="390"/>
      <c r="R196" s="391"/>
      <c r="S196" s="392"/>
      <c r="T196" s="393"/>
      <c r="U196" s="393"/>
      <c r="V196" s="394"/>
      <c r="W196" s="395" t="str">
        <f>IFERROR(__xludf.DUMMYFUNCTION("IF(M196="""","""",sparkline(IFERROR(BF196*100/MAX($BF$44:$BF$153),0),{""charttype"",""bar"";""max"",100;""color1"",IF(BD196&gt;=0,""#4760a5"",""red"")}))"),"")</f>
        <v/>
      </c>
      <c r="X196" s="396"/>
      <c r="Y196" s="466"/>
      <c r="Z196" s="398"/>
      <c r="AA196" s="399"/>
      <c r="AB196" s="393"/>
      <c r="AC196" s="476"/>
      <c r="AD196" s="401"/>
      <c r="AE196" s="402"/>
      <c r="AF196" s="403"/>
      <c r="AG196" s="404" t="str">
        <f>IFERROR(__xludf.DUMMYFUNCTION("IF($M196="""","""",IFERROR(sparkline(query(GOOGLEFINANCE($AZ196,""price"",TODAY()-$AF$43,TODAY(),1),""select Col2 label Col2 ''""),IF($AG$43=""Gráfico de barras"",{""charttype"",""column"";""highcolor"",""red""},{""chartype"",""line""}))))"),"")</f>
        <v/>
      </c>
      <c r="AH196" s="405"/>
      <c r="AI196" s="467"/>
      <c r="AJ196" s="467"/>
      <c r="AK196" s="467"/>
      <c r="AL196" s="467"/>
      <c r="AM196" s="442"/>
      <c r="AN196" s="442"/>
      <c r="AU196" s="281"/>
      <c r="AV196" s="281"/>
      <c r="AW196" s="281"/>
      <c r="AX196" s="281"/>
      <c r="AY196" s="410">
        <v>153.0</v>
      </c>
      <c r="AZ196" s="411"/>
      <c r="BA196" s="411"/>
      <c r="BB196" s="437"/>
      <c r="BC196" s="437"/>
      <c r="BD196" s="437"/>
      <c r="BE196" s="437"/>
      <c r="BF196" s="415" t="s">
        <v>123</v>
      </c>
      <c r="BG196" s="410">
        <v>153.0</v>
      </c>
      <c r="BH196" s="416"/>
      <c r="BI196" s="416"/>
      <c r="BJ196" s="416"/>
      <c r="BK196" s="416"/>
      <c r="BL196" s="416"/>
      <c r="BM196" s="416"/>
      <c r="BN196" s="282"/>
      <c r="BO196" s="490"/>
      <c r="BP196" s="489"/>
      <c r="BQ196" s="489"/>
      <c r="BR196" s="489"/>
      <c r="BS196" s="489"/>
      <c r="BT196" s="489"/>
      <c r="BU196" s="489"/>
      <c r="BV196" s="489"/>
      <c r="BW196" s="63"/>
      <c r="BX196" s="62"/>
      <c r="BY196" s="452"/>
      <c r="BZ196" s="452"/>
      <c r="CA196" s="452"/>
      <c r="CB196" s="452"/>
      <c r="CC196" s="452"/>
      <c r="CD196" s="452"/>
      <c r="CE196" s="452"/>
      <c r="CF196" s="452"/>
      <c r="CG196" s="452"/>
      <c r="CH196" s="422"/>
      <c r="CI196" s="422"/>
      <c r="CJ196" s="422"/>
      <c r="CK196" s="421"/>
      <c r="CL196" s="421" t="s">
        <v>123</v>
      </c>
      <c r="CM196" s="423"/>
      <c r="CN196" s="421"/>
      <c r="CO196" s="423"/>
      <c r="CP196" s="421"/>
      <c r="CQ196" s="63"/>
      <c r="CR196" s="63"/>
      <c r="CS196" s="63"/>
      <c r="CT196" s="63"/>
      <c r="CU196" s="447"/>
      <c r="CV196" s="447"/>
      <c r="CW196" s="447"/>
      <c r="CX196" s="447"/>
      <c r="CY196" s="447"/>
      <c r="CZ196" s="447"/>
      <c r="DA196" s="447"/>
      <c r="DB196" s="447"/>
      <c r="DC196" s="447"/>
      <c r="DD196" s="447"/>
      <c r="DE196" s="447"/>
      <c r="DF196" s="447"/>
      <c r="DG196" s="447"/>
      <c r="DH196" s="447"/>
      <c r="DI196" s="447"/>
      <c r="DJ196" s="447"/>
      <c r="DK196" s="447"/>
      <c r="DL196" s="67"/>
      <c r="DM196" s="67"/>
      <c r="DN196" s="67"/>
      <c r="DO196" s="67"/>
      <c r="DP196" s="67"/>
      <c r="DQ196" s="67"/>
    </row>
    <row r="197" ht="22.5" customHeight="1">
      <c r="A197" s="383"/>
      <c r="B197" s="384" t="str">
        <f>IFERROR(__xludf.DUMMYFUNCTION("IF(B$43="""","""",IF($AZ197="""","""",IFERROR(Query({CarteirasAtivos},""Select Col3 where Col1 = '""&amp;$AZ197&amp;""'and Col2 = '""&amp;S$21&amp;""'""))))"),"")</f>
        <v/>
      </c>
      <c r="C197" s="384" t="str">
        <f>IFERROR(__xludf.DUMMYFUNCTION("IF(C$43="""","""",IF($AZ197="""","""",IFERROR(Query({CarteirasAtivos},""Select Col3 where Col1 = '""&amp;$AZ197&amp;""'and Col2 = '""&amp;T$21&amp;""'""))))"),"")</f>
        <v/>
      </c>
      <c r="D197" s="384" t="str">
        <f>IFERROR(__xludf.DUMMYFUNCTION("IF(D$43="""","""",IF($AZ197="""","""",IFERROR(Query({CarteirasAtivos},""Select Col3 where Col1 = '""&amp;$AZ197&amp;""'and Col2 = '""&amp;U$21&amp;""'""))))"),"")</f>
        <v/>
      </c>
      <c r="E197" s="384" t="str">
        <f>IFERROR(__xludf.DUMMYFUNCTION("IF(E$43="""","""",IF($AZ197="""","""",IFERROR(Query({CarteirasAtivos},""Select Col3 where Col1 = '""&amp;$AZ197&amp;""'and Col2 = '""&amp;V$21&amp;""'""))))"),"")</f>
        <v/>
      </c>
      <c r="F197" s="384" t="str">
        <f>IFERROR(__xludf.DUMMYFUNCTION("IF(F$43="""","""",IF($AZ197="""","""",IFERROR(Query({CarteirasAtivos},""Select Col3 where Col1 = '""&amp;$AZ197&amp;""'and Col2 = '""&amp;W$21&amp;""'""))))"),"")</f>
        <v/>
      </c>
      <c r="G197" s="384" t="str">
        <f>IFERROR(__xludf.DUMMYFUNCTION("IF(G$43="""","""",IF($AZ197="""","""",IFERROR(Query({CarteirasAtivos},""Select Col3 where Col1 = '""&amp;$AZ197&amp;""'and Col2 = '""&amp;X$21&amp;""'""))))"),"")</f>
        <v/>
      </c>
      <c r="H197" s="384" t="str">
        <f>IFERROR(__xludf.DUMMYFUNCTION("IF(H$43="""","""",IF($AZ197="""","""",IFERROR(Query({CarteirasAtivos},""Select Col3 where Col1 = '""&amp;$AZ197&amp;""'and Col2 = '""&amp;Y$21&amp;""'""))))"),"")</f>
        <v/>
      </c>
      <c r="I197" s="384" t="str">
        <f>IFERROR(__xludf.DUMMYFUNCTION("IF(I$43="""","""",IF($AZ197="""","""",IFERROR(Query({CarteirasAtivos},""Select Col3 where Col1 = '""&amp;$AZ197&amp;""'and Col2 = '""&amp;Z$21&amp;""'""))))"),"")</f>
        <v/>
      </c>
      <c r="J197" s="384" t="str">
        <f>IFERROR(__xludf.DUMMYFUNCTION("IF(J$43="""","""",IF($AZ197="""","""",IFERROR(Query({CarteirasAtivos},""Select Col3 where Col1 = '""&amp;$AZ197&amp;""'and Col2 = '""&amp;AA$21&amp;""'""))))"),"")</f>
        <v/>
      </c>
      <c r="K197" s="384" t="str">
        <f>IFERROR(__xludf.DUMMYFUNCTION("IF(K$43="""","""",IF($AZ197="""","""",IFERROR(Query({CarteirasAtivos},""Select Col3 where Col1 = '""&amp;$AZ197&amp;""'and Col2 = '""&amp;AB$21&amp;""'""))))"),"")</f>
        <v/>
      </c>
      <c r="L197" s="385">
        <v>154.0</v>
      </c>
      <c r="M197" s="503"/>
      <c r="N197" s="387"/>
      <c r="O197" s="388" t="s">
        <v>123</v>
      </c>
      <c r="P197" s="389"/>
      <c r="Q197" s="390"/>
      <c r="R197" s="391"/>
      <c r="S197" s="392"/>
      <c r="T197" s="393"/>
      <c r="U197" s="393"/>
      <c r="V197" s="394"/>
      <c r="W197" s="395" t="str">
        <f>IFERROR(__xludf.DUMMYFUNCTION("IF(M197="""","""",sparkline(IFERROR(BF197*100/MAX($BF$44:$BF$153),0),{""charttype"",""bar"";""max"",100;""color1"",IF(BD197&gt;=0,""#4760a5"",""red"")}))"),"")</f>
        <v/>
      </c>
      <c r="X197" s="396"/>
      <c r="Y197" s="466"/>
      <c r="Z197" s="398"/>
      <c r="AA197" s="399"/>
      <c r="AB197" s="393"/>
      <c r="AC197" s="476"/>
      <c r="AD197" s="401"/>
      <c r="AE197" s="402"/>
      <c r="AF197" s="403"/>
      <c r="AG197" s="404" t="str">
        <f>IFERROR(__xludf.DUMMYFUNCTION("IF($M197="""","""",IFERROR(sparkline(query(GOOGLEFINANCE($AZ197,""price"",TODAY()-$AF$43,TODAY(),1),""select Col2 label Col2 ''""),IF($AG$43=""Gráfico de barras"",{""charttype"",""column"";""highcolor"",""red""},{""chartype"",""line""}))))"),"")</f>
        <v/>
      </c>
      <c r="AH197" s="405"/>
      <c r="AI197" s="467"/>
      <c r="AJ197" s="467"/>
      <c r="AK197" s="467"/>
      <c r="AL197" s="467"/>
      <c r="AM197" s="442"/>
      <c r="AN197" s="442"/>
      <c r="AU197" s="281"/>
      <c r="AV197" s="281"/>
      <c r="AW197" s="281"/>
      <c r="AX197" s="281"/>
      <c r="AY197" s="410">
        <v>154.0</v>
      </c>
      <c r="AZ197" s="411"/>
      <c r="BA197" s="411"/>
      <c r="BB197" s="437"/>
      <c r="BC197" s="437"/>
      <c r="BD197" s="437"/>
      <c r="BE197" s="437"/>
      <c r="BF197" s="415" t="s">
        <v>123</v>
      </c>
      <c r="BG197" s="410">
        <v>154.0</v>
      </c>
      <c r="BH197" s="416"/>
      <c r="BI197" s="416"/>
      <c r="BJ197" s="416"/>
      <c r="BK197" s="416"/>
      <c r="BL197" s="416"/>
      <c r="BM197" s="416"/>
      <c r="BN197" s="282"/>
      <c r="BO197" s="490"/>
      <c r="BP197" s="489"/>
      <c r="BQ197" s="489"/>
      <c r="BR197" s="489"/>
      <c r="BS197" s="489"/>
      <c r="BT197" s="489"/>
      <c r="BU197" s="489"/>
      <c r="BV197" s="489"/>
      <c r="BW197" s="63"/>
      <c r="BX197" s="62"/>
      <c r="BY197" s="452"/>
      <c r="BZ197" s="452"/>
      <c r="CA197" s="452"/>
      <c r="CB197" s="452"/>
      <c r="CC197" s="452"/>
      <c r="CD197" s="452"/>
      <c r="CE197" s="452"/>
      <c r="CF197" s="452"/>
      <c r="CG197" s="452"/>
      <c r="CH197" s="422"/>
      <c r="CI197" s="422"/>
      <c r="CJ197" s="422"/>
      <c r="CK197" s="421"/>
      <c r="CL197" s="421" t="s">
        <v>123</v>
      </c>
      <c r="CM197" s="423"/>
      <c r="CN197" s="421"/>
      <c r="CO197" s="423"/>
      <c r="CP197" s="421"/>
      <c r="CQ197" s="63"/>
      <c r="CR197" s="63"/>
      <c r="CS197" s="63"/>
      <c r="CT197" s="63"/>
      <c r="CU197" s="447"/>
      <c r="CV197" s="447"/>
      <c r="CW197" s="447"/>
      <c r="CX197" s="447"/>
      <c r="CY197" s="447"/>
      <c r="CZ197" s="447"/>
      <c r="DA197" s="447"/>
      <c r="DB197" s="447"/>
      <c r="DC197" s="447"/>
      <c r="DD197" s="447"/>
      <c r="DE197" s="447"/>
      <c r="DF197" s="447"/>
      <c r="DG197" s="447"/>
      <c r="DH197" s="447"/>
      <c r="DI197" s="447"/>
      <c r="DJ197" s="447"/>
      <c r="DK197" s="447"/>
      <c r="DL197" s="67"/>
      <c r="DM197" s="67"/>
      <c r="DN197" s="67"/>
      <c r="DO197" s="67"/>
      <c r="DP197" s="67"/>
      <c r="DQ197" s="67"/>
    </row>
    <row r="198" ht="22.5" customHeight="1">
      <c r="A198" s="383"/>
      <c r="B198" s="384" t="str">
        <f>IFERROR(__xludf.DUMMYFUNCTION("IF(B$43="""","""",IF($AZ198="""","""",IFERROR(Query({CarteirasAtivos},""Select Col3 where Col1 = '""&amp;$AZ198&amp;""'and Col2 = '""&amp;S$21&amp;""'""))))"),"")</f>
        <v/>
      </c>
      <c r="C198" s="384" t="str">
        <f>IFERROR(__xludf.DUMMYFUNCTION("IF(C$43="""","""",IF($AZ198="""","""",IFERROR(Query({CarteirasAtivos},""Select Col3 where Col1 = '""&amp;$AZ198&amp;""'and Col2 = '""&amp;T$21&amp;""'""))))"),"")</f>
        <v/>
      </c>
      <c r="D198" s="384" t="str">
        <f>IFERROR(__xludf.DUMMYFUNCTION("IF(D$43="""","""",IF($AZ198="""","""",IFERROR(Query({CarteirasAtivos},""Select Col3 where Col1 = '""&amp;$AZ198&amp;""'and Col2 = '""&amp;U$21&amp;""'""))))"),"")</f>
        <v/>
      </c>
      <c r="E198" s="384" t="str">
        <f>IFERROR(__xludf.DUMMYFUNCTION("IF(E$43="""","""",IF($AZ198="""","""",IFERROR(Query({CarteirasAtivos},""Select Col3 where Col1 = '""&amp;$AZ198&amp;""'and Col2 = '""&amp;V$21&amp;""'""))))"),"")</f>
        <v/>
      </c>
      <c r="F198" s="384" t="str">
        <f>IFERROR(__xludf.DUMMYFUNCTION("IF(F$43="""","""",IF($AZ198="""","""",IFERROR(Query({CarteirasAtivos},""Select Col3 where Col1 = '""&amp;$AZ198&amp;""'and Col2 = '""&amp;W$21&amp;""'""))))"),"")</f>
        <v/>
      </c>
      <c r="G198" s="384" t="str">
        <f>IFERROR(__xludf.DUMMYFUNCTION("IF(G$43="""","""",IF($AZ198="""","""",IFERROR(Query({CarteirasAtivos},""Select Col3 where Col1 = '""&amp;$AZ198&amp;""'and Col2 = '""&amp;X$21&amp;""'""))))"),"")</f>
        <v/>
      </c>
      <c r="H198" s="384" t="str">
        <f>IFERROR(__xludf.DUMMYFUNCTION("IF(H$43="""","""",IF($AZ198="""","""",IFERROR(Query({CarteirasAtivos},""Select Col3 where Col1 = '""&amp;$AZ198&amp;""'and Col2 = '""&amp;Y$21&amp;""'""))))"),"")</f>
        <v/>
      </c>
      <c r="I198" s="384" t="str">
        <f>IFERROR(__xludf.DUMMYFUNCTION("IF(I$43="""","""",IF($AZ198="""","""",IFERROR(Query({CarteirasAtivos},""Select Col3 where Col1 = '""&amp;$AZ198&amp;""'and Col2 = '""&amp;Z$21&amp;""'""))))"),"")</f>
        <v/>
      </c>
      <c r="J198" s="384" t="str">
        <f>IFERROR(__xludf.DUMMYFUNCTION("IF(J$43="""","""",IF($AZ198="""","""",IFERROR(Query({CarteirasAtivos},""Select Col3 where Col1 = '""&amp;$AZ198&amp;""'and Col2 = '""&amp;AA$21&amp;""'""))))"),"")</f>
        <v/>
      </c>
      <c r="K198" s="384" t="str">
        <f>IFERROR(__xludf.DUMMYFUNCTION("IF(K$43="""","""",IF($AZ198="""","""",IFERROR(Query({CarteirasAtivos},""Select Col3 where Col1 = '""&amp;$AZ198&amp;""'and Col2 = '""&amp;AB$21&amp;""'""))))"),"")</f>
        <v/>
      </c>
      <c r="L198" s="385">
        <v>155.0</v>
      </c>
      <c r="M198" s="503"/>
      <c r="N198" s="387"/>
      <c r="O198" s="388" t="s">
        <v>123</v>
      </c>
      <c r="P198" s="389"/>
      <c r="Q198" s="390"/>
      <c r="R198" s="391"/>
      <c r="S198" s="392"/>
      <c r="T198" s="393"/>
      <c r="U198" s="393"/>
      <c r="V198" s="394"/>
      <c r="W198" s="395" t="str">
        <f>IFERROR(__xludf.DUMMYFUNCTION("IF(M198="""","""",sparkline(IFERROR(BF198*100/MAX($BF$44:$BF$153),0),{""charttype"",""bar"";""max"",100;""color1"",IF(BD198&gt;=0,""#4760a5"",""red"")}))"),"")</f>
        <v/>
      </c>
      <c r="X198" s="396"/>
      <c r="Y198" s="466"/>
      <c r="Z198" s="398"/>
      <c r="AA198" s="399"/>
      <c r="AB198" s="393"/>
      <c r="AC198" s="476"/>
      <c r="AD198" s="401"/>
      <c r="AE198" s="402"/>
      <c r="AF198" s="403"/>
      <c r="AG198" s="404" t="str">
        <f>IFERROR(__xludf.DUMMYFUNCTION("IF($M198="""","""",IFERROR(sparkline(query(GOOGLEFINANCE($AZ198,""price"",TODAY()-$AF$43,TODAY(),1),""select Col2 label Col2 ''""),IF($AG$43=""Gráfico de barras"",{""charttype"",""column"";""highcolor"",""red""},{""chartype"",""line""}))))"),"")</f>
        <v/>
      </c>
      <c r="AH198" s="405"/>
      <c r="AI198" s="467"/>
      <c r="AJ198" s="467"/>
      <c r="AK198" s="467"/>
      <c r="AL198" s="467"/>
      <c r="AM198" s="442"/>
      <c r="AN198" s="442"/>
      <c r="AU198" s="281"/>
      <c r="AV198" s="281"/>
      <c r="AW198" s="281"/>
      <c r="AX198" s="281"/>
      <c r="AY198" s="410">
        <v>155.0</v>
      </c>
      <c r="AZ198" s="411"/>
      <c r="BA198" s="411"/>
      <c r="BB198" s="437"/>
      <c r="BC198" s="437"/>
      <c r="BD198" s="437"/>
      <c r="BE198" s="437"/>
      <c r="BF198" s="415" t="s">
        <v>123</v>
      </c>
      <c r="BG198" s="410">
        <v>155.0</v>
      </c>
      <c r="BH198" s="416"/>
      <c r="BI198" s="416"/>
      <c r="BJ198" s="416"/>
      <c r="BK198" s="416"/>
      <c r="BL198" s="416"/>
      <c r="BM198" s="416"/>
      <c r="BN198" s="282"/>
      <c r="BO198" s="490"/>
      <c r="BP198" s="489"/>
      <c r="BQ198" s="489"/>
      <c r="BR198" s="489"/>
      <c r="BS198" s="489"/>
      <c r="BT198" s="489"/>
      <c r="BU198" s="489"/>
      <c r="BV198" s="489"/>
      <c r="BW198" s="63"/>
      <c r="BX198" s="62"/>
      <c r="BY198" s="452"/>
      <c r="BZ198" s="452"/>
      <c r="CA198" s="452"/>
      <c r="CB198" s="452"/>
      <c r="CC198" s="452"/>
      <c r="CD198" s="452"/>
      <c r="CE198" s="452"/>
      <c r="CF198" s="452"/>
      <c r="CG198" s="452"/>
      <c r="CH198" s="422"/>
      <c r="CI198" s="422"/>
      <c r="CJ198" s="422"/>
      <c r="CK198" s="421"/>
      <c r="CL198" s="421" t="s">
        <v>123</v>
      </c>
      <c r="CM198" s="423"/>
      <c r="CN198" s="421"/>
      <c r="CO198" s="423"/>
      <c r="CP198" s="421"/>
      <c r="CQ198" s="63"/>
      <c r="CR198" s="63"/>
      <c r="CS198" s="63"/>
      <c r="CT198" s="63"/>
      <c r="CU198" s="447"/>
      <c r="CV198" s="447"/>
      <c r="CW198" s="447"/>
      <c r="CX198" s="447"/>
      <c r="CY198" s="447"/>
      <c r="CZ198" s="447"/>
      <c r="DA198" s="447"/>
      <c r="DB198" s="447"/>
      <c r="DC198" s="447"/>
      <c r="DD198" s="447"/>
      <c r="DE198" s="447"/>
      <c r="DF198" s="447"/>
      <c r="DG198" s="447"/>
      <c r="DH198" s="447"/>
      <c r="DI198" s="447"/>
      <c r="DJ198" s="447"/>
      <c r="DK198" s="447"/>
      <c r="DL198" s="67"/>
      <c r="DM198" s="67"/>
      <c r="DN198" s="67"/>
      <c r="DO198" s="67"/>
      <c r="DP198" s="67"/>
      <c r="DQ198" s="67"/>
    </row>
    <row r="199" ht="22.5" customHeight="1">
      <c r="A199" s="383"/>
      <c r="B199" s="384" t="str">
        <f>IFERROR(__xludf.DUMMYFUNCTION("IF(B$43="""","""",IF($AZ199="""","""",IFERROR(Query({CarteirasAtivos},""Select Col3 where Col1 = '""&amp;$AZ199&amp;""'and Col2 = '""&amp;S$21&amp;""'""))))"),"")</f>
        <v/>
      </c>
      <c r="C199" s="384" t="str">
        <f>IFERROR(__xludf.DUMMYFUNCTION("IF(C$43="""","""",IF($AZ199="""","""",IFERROR(Query({CarteirasAtivos},""Select Col3 where Col1 = '""&amp;$AZ199&amp;""'and Col2 = '""&amp;T$21&amp;""'""))))"),"")</f>
        <v/>
      </c>
      <c r="D199" s="384" t="str">
        <f>IFERROR(__xludf.DUMMYFUNCTION("IF(D$43="""","""",IF($AZ199="""","""",IFERROR(Query({CarteirasAtivos},""Select Col3 where Col1 = '""&amp;$AZ199&amp;""'and Col2 = '""&amp;U$21&amp;""'""))))"),"")</f>
        <v/>
      </c>
      <c r="E199" s="384" t="str">
        <f>IFERROR(__xludf.DUMMYFUNCTION("IF(E$43="""","""",IF($AZ199="""","""",IFERROR(Query({CarteirasAtivos},""Select Col3 where Col1 = '""&amp;$AZ199&amp;""'and Col2 = '""&amp;V$21&amp;""'""))))"),"")</f>
        <v/>
      </c>
      <c r="F199" s="384" t="str">
        <f>IFERROR(__xludf.DUMMYFUNCTION("IF(F$43="""","""",IF($AZ199="""","""",IFERROR(Query({CarteirasAtivos},""Select Col3 where Col1 = '""&amp;$AZ199&amp;""'and Col2 = '""&amp;W$21&amp;""'""))))"),"")</f>
        <v/>
      </c>
      <c r="G199" s="384" t="str">
        <f>IFERROR(__xludf.DUMMYFUNCTION("IF(G$43="""","""",IF($AZ199="""","""",IFERROR(Query({CarteirasAtivos},""Select Col3 where Col1 = '""&amp;$AZ199&amp;""'and Col2 = '""&amp;X$21&amp;""'""))))"),"")</f>
        <v/>
      </c>
      <c r="H199" s="384" t="str">
        <f>IFERROR(__xludf.DUMMYFUNCTION("IF(H$43="""","""",IF($AZ199="""","""",IFERROR(Query({CarteirasAtivos},""Select Col3 where Col1 = '""&amp;$AZ199&amp;""'and Col2 = '""&amp;Y$21&amp;""'""))))"),"")</f>
        <v/>
      </c>
      <c r="I199" s="384" t="str">
        <f>IFERROR(__xludf.DUMMYFUNCTION("IF(I$43="""","""",IF($AZ199="""","""",IFERROR(Query({CarteirasAtivos},""Select Col3 where Col1 = '""&amp;$AZ199&amp;""'and Col2 = '""&amp;Z$21&amp;""'""))))"),"")</f>
        <v/>
      </c>
      <c r="J199" s="384" t="str">
        <f>IFERROR(__xludf.DUMMYFUNCTION("IF(J$43="""","""",IF($AZ199="""","""",IFERROR(Query({CarteirasAtivos},""Select Col3 where Col1 = '""&amp;$AZ199&amp;""'and Col2 = '""&amp;AA$21&amp;""'""))))"),"")</f>
        <v/>
      </c>
      <c r="K199" s="384" t="str">
        <f>IFERROR(__xludf.DUMMYFUNCTION("IF(K$43="""","""",IF($AZ199="""","""",IFERROR(Query({CarteirasAtivos},""Select Col3 where Col1 = '""&amp;$AZ199&amp;""'and Col2 = '""&amp;AB$21&amp;""'""))))"),"")</f>
        <v/>
      </c>
      <c r="L199" s="385">
        <v>156.0</v>
      </c>
      <c r="M199" s="503"/>
      <c r="N199" s="387"/>
      <c r="O199" s="388" t="s">
        <v>123</v>
      </c>
      <c r="P199" s="389"/>
      <c r="Q199" s="390"/>
      <c r="R199" s="391"/>
      <c r="S199" s="392"/>
      <c r="T199" s="393"/>
      <c r="U199" s="393"/>
      <c r="V199" s="394"/>
      <c r="W199" s="395" t="str">
        <f>IFERROR(__xludf.DUMMYFUNCTION("IF(M199="""","""",sparkline(IFERROR(BF199*100/MAX($BF$44:$BF$153),0),{""charttype"",""bar"";""max"",100;""color1"",IF(BD199&gt;=0,""#4760a5"",""red"")}))"),"")</f>
        <v/>
      </c>
      <c r="X199" s="396"/>
      <c r="Y199" s="466"/>
      <c r="Z199" s="398"/>
      <c r="AA199" s="399"/>
      <c r="AB199" s="393"/>
      <c r="AC199" s="476"/>
      <c r="AD199" s="401"/>
      <c r="AE199" s="402"/>
      <c r="AF199" s="403"/>
      <c r="AG199" s="404" t="str">
        <f>IFERROR(__xludf.DUMMYFUNCTION("IF($M199="""","""",IFERROR(sparkline(query(GOOGLEFINANCE($AZ199,""price"",TODAY()-$AF$43,TODAY(),1),""select Col2 label Col2 ''""),IF($AG$43=""Gráfico de barras"",{""charttype"",""column"";""highcolor"",""red""},{""chartype"",""line""}))))"),"")</f>
        <v/>
      </c>
      <c r="AH199" s="405"/>
      <c r="AI199" s="467"/>
      <c r="AJ199" s="467"/>
      <c r="AK199" s="467"/>
      <c r="AL199" s="467"/>
      <c r="AM199" s="442"/>
      <c r="AN199" s="442"/>
      <c r="AU199" s="281"/>
      <c r="AV199" s="281"/>
      <c r="AW199" s="281"/>
      <c r="AX199" s="281"/>
      <c r="AY199" s="410">
        <v>156.0</v>
      </c>
      <c r="AZ199" s="411"/>
      <c r="BA199" s="411"/>
      <c r="BB199" s="437"/>
      <c r="BC199" s="437"/>
      <c r="BD199" s="437"/>
      <c r="BE199" s="437"/>
      <c r="BF199" s="415" t="s">
        <v>123</v>
      </c>
      <c r="BG199" s="410">
        <v>156.0</v>
      </c>
      <c r="BH199" s="416"/>
      <c r="BI199" s="416"/>
      <c r="BJ199" s="416"/>
      <c r="BK199" s="416"/>
      <c r="BL199" s="416"/>
      <c r="BM199" s="416"/>
      <c r="BN199" s="282"/>
      <c r="BO199" s="490"/>
      <c r="BP199" s="489"/>
      <c r="BQ199" s="489"/>
      <c r="BR199" s="489"/>
      <c r="BS199" s="489"/>
      <c r="BT199" s="489"/>
      <c r="BU199" s="489"/>
      <c r="BV199" s="489"/>
      <c r="BW199" s="63"/>
      <c r="BX199" s="62"/>
      <c r="BY199" s="452"/>
      <c r="BZ199" s="452"/>
      <c r="CA199" s="452"/>
      <c r="CB199" s="452"/>
      <c r="CC199" s="452"/>
      <c r="CD199" s="452"/>
      <c r="CE199" s="452"/>
      <c r="CF199" s="452"/>
      <c r="CG199" s="452"/>
      <c r="CH199" s="422"/>
      <c r="CI199" s="422"/>
      <c r="CJ199" s="422"/>
      <c r="CK199" s="421"/>
      <c r="CL199" s="421" t="s">
        <v>123</v>
      </c>
      <c r="CM199" s="423"/>
      <c r="CN199" s="421"/>
      <c r="CO199" s="423"/>
      <c r="CP199" s="421"/>
      <c r="CQ199" s="63"/>
      <c r="CR199" s="63"/>
      <c r="CS199" s="63"/>
      <c r="CT199" s="63"/>
      <c r="CU199" s="447"/>
      <c r="CV199" s="447"/>
      <c r="CW199" s="447"/>
      <c r="CX199" s="447"/>
      <c r="CY199" s="447"/>
      <c r="CZ199" s="447"/>
      <c r="DA199" s="447"/>
      <c r="DB199" s="447"/>
      <c r="DC199" s="447"/>
      <c r="DD199" s="447"/>
      <c r="DE199" s="447"/>
      <c r="DF199" s="447"/>
      <c r="DG199" s="447"/>
      <c r="DH199" s="447"/>
      <c r="DI199" s="447"/>
      <c r="DJ199" s="447"/>
      <c r="DK199" s="447"/>
      <c r="DL199" s="67"/>
      <c r="DM199" s="67"/>
      <c r="DN199" s="67"/>
      <c r="DO199" s="67"/>
      <c r="DP199" s="67"/>
      <c r="DQ199" s="67"/>
    </row>
    <row r="200" ht="22.5" customHeight="1">
      <c r="A200" s="383"/>
      <c r="B200" s="384" t="str">
        <f>IFERROR(__xludf.DUMMYFUNCTION("IF(B$43="""","""",IF($AZ200="""","""",IFERROR(Query({CarteirasAtivos},""Select Col3 where Col1 = '""&amp;$AZ200&amp;""'and Col2 = '""&amp;S$21&amp;""'""))))"),"")</f>
        <v/>
      </c>
      <c r="C200" s="384" t="str">
        <f>IFERROR(__xludf.DUMMYFUNCTION("IF(C$43="""","""",IF($AZ200="""","""",IFERROR(Query({CarteirasAtivos},""Select Col3 where Col1 = '""&amp;$AZ200&amp;""'and Col2 = '""&amp;T$21&amp;""'""))))"),"")</f>
        <v/>
      </c>
      <c r="D200" s="384" t="str">
        <f>IFERROR(__xludf.DUMMYFUNCTION("IF(D$43="""","""",IF($AZ200="""","""",IFERROR(Query({CarteirasAtivos},""Select Col3 where Col1 = '""&amp;$AZ200&amp;""'and Col2 = '""&amp;U$21&amp;""'""))))"),"")</f>
        <v/>
      </c>
      <c r="E200" s="384" t="str">
        <f>IFERROR(__xludf.DUMMYFUNCTION("IF(E$43="""","""",IF($AZ200="""","""",IFERROR(Query({CarteirasAtivos},""Select Col3 where Col1 = '""&amp;$AZ200&amp;""'and Col2 = '""&amp;V$21&amp;""'""))))"),"")</f>
        <v/>
      </c>
      <c r="F200" s="384" t="str">
        <f>IFERROR(__xludf.DUMMYFUNCTION("IF(F$43="""","""",IF($AZ200="""","""",IFERROR(Query({CarteirasAtivos},""Select Col3 where Col1 = '""&amp;$AZ200&amp;""'and Col2 = '""&amp;W$21&amp;""'""))))"),"")</f>
        <v/>
      </c>
      <c r="G200" s="384" t="str">
        <f>IFERROR(__xludf.DUMMYFUNCTION("IF(G$43="""","""",IF($AZ200="""","""",IFERROR(Query({CarteirasAtivos},""Select Col3 where Col1 = '""&amp;$AZ200&amp;""'and Col2 = '""&amp;X$21&amp;""'""))))"),"")</f>
        <v/>
      </c>
      <c r="H200" s="384" t="str">
        <f>IFERROR(__xludf.DUMMYFUNCTION("IF(H$43="""","""",IF($AZ200="""","""",IFERROR(Query({CarteirasAtivos},""Select Col3 where Col1 = '""&amp;$AZ200&amp;""'and Col2 = '""&amp;Y$21&amp;""'""))))"),"")</f>
        <v/>
      </c>
      <c r="I200" s="384" t="str">
        <f>IFERROR(__xludf.DUMMYFUNCTION("IF(I$43="""","""",IF($AZ200="""","""",IFERROR(Query({CarteirasAtivos},""Select Col3 where Col1 = '""&amp;$AZ200&amp;""'and Col2 = '""&amp;Z$21&amp;""'""))))"),"")</f>
        <v/>
      </c>
      <c r="J200" s="384" t="str">
        <f>IFERROR(__xludf.DUMMYFUNCTION("IF(J$43="""","""",IF($AZ200="""","""",IFERROR(Query({CarteirasAtivos},""Select Col3 where Col1 = '""&amp;$AZ200&amp;""'and Col2 = '""&amp;AA$21&amp;""'""))))"),"")</f>
        <v/>
      </c>
      <c r="K200" s="384" t="str">
        <f>IFERROR(__xludf.DUMMYFUNCTION("IF(K$43="""","""",IF($AZ200="""","""",IFERROR(Query({CarteirasAtivos},""Select Col3 where Col1 = '""&amp;$AZ200&amp;""'and Col2 = '""&amp;AB$21&amp;""'""))))"),"")</f>
        <v/>
      </c>
      <c r="L200" s="385">
        <v>157.0</v>
      </c>
      <c r="M200" s="503"/>
      <c r="N200" s="387"/>
      <c r="O200" s="388" t="s">
        <v>123</v>
      </c>
      <c r="P200" s="389"/>
      <c r="Q200" s="390"/>
      <c r="R200" s="391"/>
      <c r="S200" s="392"/>
      <c r="T200" s="393"/>
      <c r="U200" s="393"/>
      <c r="V200" s="394"/>
      <c r="W200" s="395" t="str">
        <f>IFERROR(__xludf.DUMMYFUNCTION("IF(M200="""","""",sparkline(IFERROR(BF200*100/MAX($BF$44:$BF$153),0),{""charttype"",""bar"";""max"",100;""color1"",IF(BD200&gt;=0,""#4760a5"",""red"")}))"),"")</f>
        <v/>
      </c>
      <c r="X200" s="396"/>
      <c r="Y200" s="466"/>
      <c r="Z200" s="398"/>
      <c r="AA200" s="399"/>
      <c r="AB200" s="393"/>
      <c r="AC200" s="476"/>
      <c r="AD200" s="401"/>
      <c r="AE200" s="402"/>
      <c r="AF200" s="403"/>
      <c r="AG200" s="404" t="str">
        <f>IFERROR(__xludf.DUMMYFUNCTION("IF($M200="""","""",IFERROR(sparkline(query(GOOGLEFINANCE($AZ200,""price"",TODAY()-$AF$43,TODAY(),1),""select Col2 label Col2 ''""),IF($AG$43=""Gráfico de barras"",{""charttype"",""column"";""highcolor"",""red""},{""chartype"",""line""}))))"),"")</f>
        <v/>
      </c>
      <c r="AH200" s="405"/>
      <c r="AI200" s="467"/>
      <c r="AJ200" s="467"/>
      <c r="AK200" s="467"/>
      <c r="AL200" s="467"/>
      <c r="AM200" s="442"/>
      <c r="AN200" s="442"/>
      <c r="AU200" s="281"/>
      <c r="AV200" s="281"/>
      <c r="AW200" s="281"/>
      <c r="AX200" s="281"/>
      <c r="AY200" s="410">
        <v>157.0</v>
      </c>
      <c r="AZ200" s="411"/>
      <c r="BA200" s="411"/>
      <c r="BB200" s="437"/>
      <c r="BC200" s="437"/>
      <c r="BD200" s="437"/>
      <c r="BE200" s="437"/>
      <c r="BF200" s="415" t="s">
        <v>123</v>
      </c>
      <c r="BG200" s="410">
        <v>157.0</v>
      </c>
      <c r="BH200" s="416"/>
      <c r="BI200" s="416"/>
      <c r="BJ200" s="416"/>
      <c r="BK200" s="416"/>
      <c r="BL200" s="416"/>
      <c r="BM200" s="416"/>
      <c r="BN200" s="282"/>
      <c r="BO200" s="490"/>
      <c r="BP200" s="489"/>
      <c r="BQ200" s="489"/>
      <c r="BR200" s="489"/>
      <c r="BS200" s="489"/>
      <c r="BT200" s="489"/>
      <c r="BU200" s="489"/>
      <c r="BV200" s="489"/>
      <c r="BW200" s="63"/>
      <c r="BX200" s="62"/>
      <c r="BY200" s="452"/>
      <c r="BZ200" s="452"/>
      <c r="CA200" s="452"/>
      <c r="CB200" s="452"/>
      <c r="CC200" s="452"/>
      <c r="CD200" s="452"/>
      <c r="CE200" s="452"/>
      <c r="CF200" s="452"/>
      <c r="CG200" s="452"/>
      <c r="CH200" s="422"/>
      <c r="CI200" s="422"/>
      <c r="CJ200" s="422"/>
      <c r="CK200" s="421"/>
      <c r="CL200" s="421" t="s">
        <v>123</v>
      </c>
      <c r="CM200" s="423"/>
      <c r="CN200" s="421"/>
      <c r="CO200" s="423"/>
      <c r="CP200" s="421"/>
      <c r="CQ200" s="63"/>
      <c r="CR200" s="63"/>
      <c r="CS200" s="63"/>
      <c r="CT200" s="63"/>
      <c r="CU200" s="447"/>
      <c r="CV200" s="447"/>
      <c r="CW200" s="447"/>
      <c r="CX200" s="447"/>
      <c r="CY200" s="447"/>
      <c r="CZ200" s="447"/>
      <c r="DA200" s="447"/>
      <c r="DB200" s="447"/>
      <c r="DC200" s="447"/>
      <c r="DD200" s="447"/>
      <c r="DE200" s="447"/>
      <c r="DF200" s="447"/>
      <c r="DG200" s="447"/>
      <c r="DH200" s="447"/>
      <c r="DI200" s="447"/>
      <c r="DJ200" s="447"/>
      <c r="DK200" s="447"/>
      <c r="DL200" s="67"/>
      <c r="DM200" s="67"/>
      <c r="DN200" s="67"/>
      <c r="DO200" s="67"/>
      <c r="DP200" s="67"/>
      <c r="DQ200" s="67"/>
    </row>
    <row r="201" ht="22.5" customHeight="1">
      <c r="A201" s="383"/>
      <c r="B201" s="384" t="str">
        <f>IFERROR(__xludf.DUMMYFUNCTION("IF(B$43="""","""",IF($AZ201="""","""",IFERROR(Query({CarteirasAtivos},""Select Col3 where Col1 = '""&amp;$AZ201&amp;""'and Col2 = '""&amp;S$21&amp;""'""))))"),"")</f>
        <v/>
      </c>
      <c r="C201" s="384" t="str">
        <f>IFERROR(__xludf.DUMMYFUNCTION("IF(C$43="""","""",IF($AZ201="""","""",IFERROR(Query({CarteirasAtivos},""Select Col3 where Col1 = '""&amp;$AZ201&amp;""'and Col2 = '""&amp;T$21&amp;""'""))))"),"")</f>
        <v/>
      </c>
      <c r="D201" s="384" t="str">
        <f>IFERROR(__xludf.DUMMYFUNCTION("IF(D$43="""","""",IF($AZ201="""","""",IFERROR(Query({CarteirasAtivos},""Select Col3 where Col1 = '""&amp;$AZ201&amp;""'and Col2 = '""&amp;U$21&amp;""'""))))"),"")</f>
        <v/>
      </c>
      <c r="E201" s="384" t="str">
        <f>IFERROR(__xludf.DUMMYFUNCTION("IF(E$43="""","""",IF($AZ201="""","""",IFERROR(Query({CarteirasAtivos},""Select Col3 where Col1 = '""&amp;$AZ201&amp;""'and Col2 = '""&amp;V$21&amp;""'""))))"),"")</f>
        <v/>
      </c>
      <c r="F201" s="384" t="str">
        <f>IFERROR(__xludf.DUMMYFUNCTION("IF(F$43="""","""",IF($AZ201="""","""",IFERROR(Query({CarteirasAtivos},""Select Col3 where Col1 = '""&amp;$AZ201&amp;""'and Col2 = '""&amp;W$21&amp;""'""))))"),"")</f>
        <v/>
      </c>
      <c r="G201" s="384" t="str">
        <f>IFERROR(__xludf.DUMMYFUNCTION("IF(G$43="""","""",IF($AZ201="""","""",IFERROR(Query({CarteirasAtivos},""Select Col3 where Col1 = '""&amp;$AZ201&amp;""'and Col2 = '""&amp;X$21&amp;""'""))))"),"")</f>
        <v/>
      </c>
      <c r="H201" s="384" t="str">
        <f>IFERROR(__xludf.DUMMYFUNCTION("IF(H$43="""","""",IF($AZ201="""","""",IFERROR(Query({CarteirasAtivos},""Select Col3 where Col1 = '""&amp;$AZ201&amp;""'and Col2 = '""&amp;Y$21&amp;""'""))))"),"")</f>
        <v/>
      </c>
      <c r="I201" s="384" t="str">
        <f>IFERROR(__xludf.DUMMYFUNCTION("IF(I$43="""","""",IF($AZ201="""","""",IFERROR(Query({CarteirasAtivos},""Select Col3 where Col1 = '""&amp;$AZ201&amp;""'and Col2 = '""&amp;Z$21&amp;""'""))))"),"")</f>
        <v/>
      </c>
      <c r="J201" s="384" t="str">
        <f>IFERROR(__xludf.DUMMYFUNCTION("IF(J$43="""","""",IF($AZ201="""","""",IFERROR(Query({CarteirasAtivos},""Select Col3 where Col1 = '""&amp;$AZ201&amp;""'and Col2 = '""&amp;AA$21&amp;""'""))))"),"")</f>
        <v/>
      </c>
      <c r="K201" s="384" t="str">
        <f>IFERROR(__xludf.DUMMYFUNCTION("IF(K$43="""","""",IF($AZ201="""","""",IFERROR(Query({CarteirasAtivos},""Select Col3 where Col1 = '""&amp;$AZ201&amp;""'and Col2 = '""&amp;AB$21&amp;""'""))))"),"")</f>
        <v/>
      </c>
      <c r="L201" s="385">
        <v>158.0</v>
      </c>
      <c r="M201" s="503"/>
      <c r="N201" s="387"/>
      <c r="O201" s="388" t="s">
        <v>123</v>
      </c>
      <c r="P201" s="389"/>
      <c r="Q201" s="390"/>
      <c r="R201" s="391"/>
      <c r="S201" s="392"/>
      <c r="T201" s="393"/>
      <c r="U201" s="393"/>
      <c r="V201" s="394"/>
      <c r="W201" s="395" t="str">
        <f>IFERROR(__xludf.DUMMYFUNCTION("IF(M201="""","""",sparkline(IFERROR(BF201*100/MAX($BF$44:$BF$153),0),{""charttype"",""bar"";""max"",100;""color1"",IF(BD201&gt;=0,""#4760a5"",""red"")}))"),"")</f>
        <v/>
      </c>
      <c r="X201" s="396"/>
      <c r="Y201" s="466"/>
      <c r="Z201" s="398"/>
      <c r="AA201" s="399"/>
      <c r="AB201" s="393"/>
      <c r="AC201" s="476"/>
      <c r="AD201" s="401"/>
      <c r="AE201" s="402"/>
      <c r="AF201" s="403"/>
      <c r="AG201" s="404" t="str">
        <f>IFERROR(__xludf.DUMMYFUNCTION("IF($M201="""","""",IFERROR(sparkline(query(GOOGLEFINANCE($AZ201,""price"",TODAY()-$AF$43,TODAY(),1),""select Col2 label Col2 ''""),IF($AG$43=""Gráfico de barras"",{""charttype"",""column"";""highcolor"",""red""},{""chartype"",""line""}))))"),"")</f>
        <v/>
      </c>
      <c r="AH201" s="405"/>
      <c r="AI201" s="467"/>
      <c r="AJ201" s="467"/>
      <c r="AK201" s="467"/>
      <c r="AL201" s="467"/>
      <c r="AM201" s="442"/>
      <c r="AN201" s="442"/>
      <c r="AU201" s="281"/>
      <c r="AV201" s="281"/>
      <c r="AW201" s="281"/>
      <c r="AX201" s="281"/>
      <c r="AY201" s="410">
        <v>158.0</v>
      </c>
      <c r="AZ201" s="411"/>
      <c r="BA201" s="411"/>
      <c r="BB201" s="437"/>
      <c r="BC201" s="437"/>
      <c r="BD201" s="437"/>
      <c r="BE201" s="437"/>
      <c r="BF201" s="415" t="s">
        <v>123</v>
      </c>
      <c r="BG201" s="410">
        <v>158.0</v>
      </c>
      <c r="BH201" s="416"/>
      <c r="BI201" s="416"/>
      <c r="BJ201" s="416"/>
      <c r="BK201" s="416"/>
      <c r="BL201" s="416"/>
      <c r="BM201" s="416"/>
      <c r="BN201" s="282"/>
      <c r="BO201" s="490"/>
      <c r="BP201" s="489"/>
      <c r="BQ201" s="489"/>
      <c r="BR201" s="489"/>
      <c r="BS201" s="489"/>
      <c r="BT201" s="489"/>
      <c r="BU201" s="489"/>
      <c r="BV201" s="489"/>
      <c r="BW201" s="63"/>
      <c r="BX201" s="62"/>
      <c r="BY201" s="452"/>
      <c r="BZ201" s="452"/>
      <c r="CA201" s="452"/>
      <c r="CB201" s="452"/>
      <c r="CC201" s="452"/>
      <c r="CD201" s="452"/>
      <c r="CE201" s="452"/>
      <c r="CF201" s="452"/>
      <c r="CG201" s="452"/>
      <c r="CH201" s="422"/>
      <c r="CI201" s="422"/>
      <c r="CJ201" s="422"/>
      <c r="CK201" s="421"/>
      <c r="CL201" s="421" t="s">
        <v>123</v>
      </c>
      <c r="CM201" s="423"/>
      <c r="CN201" s="421"/>
      <c r="CO201" s="423"/>
      <c r="CP201" s="421"/>
      <c r="CQ201" s="63"/>
      <c r="CR201" s="63"/>
      <c r="CS201" s="63"/>
      <c r="CT201" s="63"/>
      <c r="CU201" s="447"/>
      <c r="CV201" s="447"/>
      <c r="CW201" s="447"/>
      <c r="CX201" s="447"/>
      <c r="CY201" s="447"/>
      <c r="CZ201" s="447"/>
      <c r="DA201" s="447"/>
      <c r="DB201" s="447"/>
      <c r="DC201" s="447"/>
      <c r="DD201" s="447"/>
      <c r="DE201" s="447"/>
      <c r="DF201" s="447"/>
      <c r="DG201" s="447"/>
      <c r="DH201" s="447"/>
      <c r="DI201" s="447"/>
      <c r="DJ201" s="447"/>
      <c r="DK201" s="447"/>
      <c r="DL201" s="67"/>
      <c r="DM201" s="67"/>
      <c r="DN201" s="67"/>
      <c r="DO201" s="67"/>
      <c r="DP201" s="67"/>
      <c r="DQ201" s="67"/>
    </row>
    <row r="202" ht="22.5" customHeight="1">
      <c r="A202" s="383"/>
      <c r="B202" s="384" t="str">
        <f>IFERROR(__xludf.DUMMYFUNCTION("IF(B$43="""","""",IF($AZ202="""","""",IFERROR(Query({CarteirasAtivos},""Select Col3 where Col1 = '""&amp;$AZ202&amp;""'and Col2 = '""&amp;S$21&amp;""'""))))"),"")</f>
        <v/>
      </c>
      <c r="C202" s="384" t="str">
        <f>IFERROR(__xludf.DUMMYFUNCTION("IF(C$43="""","""",IF($AZ202="""","""",IFERROR(Query({CarteirasAtivos},""Select Col3 where Col1 = '""&amp;$AZ202&amp;""'and Col2 = '""&amp;T$21&amp;""'""))))"),"")</f>
        <v/>
      </c>
      <c r="D202" s="384" t="str">
        <f>IFERROR(__xludf.DUMMYFUNCTION("IF(D$43="""","""",IF($AZ202="""","""",IFERROR(Query({CarteirasAtivos},""Select Col3 where Col1 = '""&amp;$AZ202&amp;""'and Col2 = '""&amp;U$21&amp;""'""))))"),"")</f>
        <v/>
      </c>
      <c r="E202" s="384" t="str">
        <f>IFERROR(__xludf.DUMMYFUNCTION("IF(E$43="""","""",IF($AZ202="""","""",IFERROR(Query({CarteirasAtivos},""Select Col3 where Col1 = '""&amp;$AZ202&amp;""'and Col2 = '""&amp;V$21&amp;""'""))))"),"")</f>
        <v/>
      </c>
      <c r="F202" s="384" t="str">
        <f>IFERROR(__xludf.DUMMYFUNCTION("IF(F$43="""","""",IF($AZ202="""","""",IFERROR(Query({CarteirasAtivos},""Select Col3 where Col1 = '""&amp;$AZ202&amp;""'and Col2 = '""&amp;W$21&amp;""'""))))"),"")</f>
        <v/>
      </c>
      <c r="G202" s="384" t="str">
        <f>IFERROR(__xludf.DUMMYFUNCTION("IF(G$43="""","""",IF($AZ202="""","""",IFERROR(Query({CarteirasAtivos},""Select Col3 where Col1 = '""&amp;$AZ202&amp;""'and Col2 = '""&amp;X$21&amp;""'""))))"),"")</f>
        <v/>
      </c>
      <c r="H202" s="384" t="str">
        <f>IFERROR(__xludf.DUMMYFUNCTION("IF(H$43="""","""",IF($AZ202="""","""",IFERROR(Query({CarteirasAtivos},""Select Col3 where Col1 = '""&amp;$AZ202&amp;""'and Col2 = '""&amp;Y$21&amp;""'""))))"),"")</f>
        <v/>
      </c>
      <c r="I202" s="384" t="str">
        <f>IFERROR(__xludf.DUMMYFUNCTION("IF(I$43="""","""",IF($AZ202="""","""",IFERROR(Query({CarteirasAtivos},""Select Col3 where Col1 = '""&amp;$AZ202&amp;""'and Col2 = '""&amp;Z$21&amp;""'""))))"),"")</f>
        <v/>
      </c>
      <c r="J202" s="384" t="str">
        <f>IFERROR(__xludf.DUMMYFUNCTION("IF(J$43="""","""",IF($AZ202="""","""",IFERROR(Query({CarteirasAtivos},""Select Col3 where Col1 = '""&amp;$AZ202&amp;""'and Col2 = '""&amp;AA$21&amp;""'""))))"),"")</f>
        <v/>
      </c>
      <c r="K202" s="384" t="str">
        <f>IFERROR(__xludf.DUMMYFUNCTION("IF(K$43="""","""",IF($AZ202="""","""",IFERROR(Query({CarteirasAtivos},""Select Col3 where Col1 = '""&amp;$AZ202&amp;""'and Col2 = '""&amp;AB$21&amp;""'""))))"),"")</f>
        <v/>
      </c>
      <c r="L202" s="385">
        <v>159.0</v>
      </c>
      <c r="M202" s="503"/>
      <c r="N202" s="387"/>
      <c r="O202" s="388" t="s">
        <v>123</v>
      </c>
      <c r="P202" s="389"/>
      <c r="Q202" s="390"/>
      <c r="R202" s="391"/>
      <c r="S202" s="392"/>
      <c r="T202" s="393"/>
      <c r="U202" s="393"/>
      <c r="V202" s="394"/>
      <c r="W202" s="395" t="str">
        <f>IFERROR(__xludf.DUMMYFUNCTION("IF(M202="""","""",sparkline(IFERROR(BF202*100/MAX($BF$44:$BF$153),0),{""charttype"",""bar"";""max"",100;""color1"",IF(BD202&gt;=0,""#4760a5"",""red"")}))"),"")</f>
        <v/>
      </c>
      <c r="X202" s="396"/>
      <c r="Y202" s="466"/>
      <c r="Z202" s="398"/>
      <c r="AA202" s="399"/>
      <c r="AB202" s="393"/>
      <c r="AC202" s="476"/>
      <c r="AD202" s="401"/>
      <c r="AE202" s="402"/>
      <c r="AF202" s="403"/>
      <c r="AG202" s="404" t="str">
        <f>IFERROR(__xludf.DUMMYFUNCTION("IF($M202="""","""",IFERROR(sparkline(query(GOOGLEFINANCE($AZ202,""price"",TODAY()-$AF$43,TODAY(),1),""select Col2 label Col2 ''""),IF($AG$43=""Gráfico de barras"",{""charttype"",""column"";""highcolor"",""red""},{""chartype"",""line""}))))"),"")</f>
        <v/>
      </c>
      <c r="AH202" s="405"/>
      <c r="AI202" s="467"/>
      <c r="AJ202" s="467"/>
      <c r="AK202" s="467"/>
      <c r="AL202" s="467"/>
      <c r="AM202" s="442"/>
      <c r="AN202" s="442"/>
      <c r="AU202" s="281"/>
      <c r="AV202" s="281"/>
      <c r="AW202" s="281"/>
      <c r="AX202" s="281"/>
      <c r="AY202" s="410">
        <v>159.0</v>
      </c>
      <c r="AZ202" s="411"/>
      <c r="BA202" s="411"/>
      <c r="BB202" s="437"/>
      <c r="BC202" s="437"/>
      <c r="BD202" s="437"/>
      <c r="BE202" s="437"/>
      <c r="BF202" s="415" t="s">
        <v>123</v>
      </c>
      <c r="BG202" s="410">
        <v>159.0</v>
      </c>
      <c r="BH202" s="416"/>
      <c r="BI202" s="416"/>
      <c r="BJ202" s="416"/>
      <c r="BK202" s="416"/>
      <c r="BL202" s="416"/>
      <c r="BM202" s="416"/>
      <c r="BN202" s="282"/>
      <c r="BO202" s="490"/>
      <c r="BP202" s="489"/>
      <c r="BQ202" s="489"/>
      <c r="BR202" s="489"/>
      <c r="BS202" s="489"/>
      <c r="BT202" s="489"/>
      <c r="BU202" s="489"/>
      <c r="BV202" s="489"/>
      <c r="BW202" s="63"/>
      <c r="BX202" s="62"/>
      <c r="BY202" s="452"/>
      <c r="BZ202" s="452"/>
      <c r="CA202" s="452"/>
      <c r="CB202" s="452"/>
      <c r="CC202" s="452"/>
      <c r="CD202" s="452"/>
      <c r="CE202" s="452"/>
      <c r="CF202" s="452"/>
      <c r="CG202" s="452"/>
      <c r="CH202" s="422"/>
      <c r="CI202" s="422"/>
      <c r="CJ202" s="422"/>
      <c r="CK202" s="421"/>
      <c r="CL202" s="421" t="s">
        <v>123</v>
      </c>
      <c r="CM202" s="423"/>
      <c r="CN202" s="421"/>
      <c r="CO202" s="423"/>
      <c r="CP202" s="421"/>
      <c r="CQ202" s="63"/>
      <c r="CR202" s="63"/>
      <c r="CS202" s="63"/>
      <c r="CT202" s="63"/>
      <c r="CU202" s="447"/>
      <c r="CV202" s="447"/>
      <c r="CW202" s="447"/>
      <c r="CX202" s="447"/>
      <c r="CY202" s="447"/>
      <c r="CZ202" s="447"/>
      <c r="DA202" s="447"/>
      <c r="DB202" s="447"/>
      <c r="DC202" s="447"/>
      <c r="DD202" s="447"/>
      <c r="DE202" s="447"/>
      <c r="DF202" s="447"/>
      <c r="DG202" s="447"/>
      <c r="DH202" s="447"/>
      <c r="DI202" s="447"/>
      <c r="DJ202" s="447"/>
      <c r="DK202" s="447"/>
      <c r="DL202" s="67"/>
      <c r="DM202" s="67"/>
      <c r="DN202" s="67"/>
      <c r="DO202" s="67"/>
      <c r="DP202" s="67"/>
      <c r="DQ202" s="67"/>
    </row>
    <row r="203" ht="22.5" customHeight="1">
      <c r="A203" s="383"/>
      <c r="B203" s="384" t="str">
        <f>IFERROR(__xludf.DUMMYFUNCTION("IF(B$43="""","""",IF($AZ203="""","""",IFERROR(Query({CarteirasAtivos},""Select Col3 where Col1 = '""&amp;$AZ203&amp;""'and Col2 = '""&amp;S$21&amp;""'""))))"),"")</f>
        <v/>
      </c>
      <c r="C203" s="384" t="str">
        <f>IFERROR(__xludf.DUMMYFUNCTION("IF(C$43="""","""",IF($AZ203="""","""",IFERROR(Query({CarteirasAtivos},""Select Col3 where Col1 = '""&amp;$AZ203&amp;""'and Col2 = '""&amp;T$21&amp;""'""))))"),"")</f>
        <v/>
      </c>
      <c r="D203" s="384" t="str">
        <f>IFERROR(__xludf.DUMMYFUNCTION("IF(D$43="""","""",IF($AZ203="""","""",IFERROR(Query({CarteirasAtivos},""Select Col3 where Col1 = '""&amp;$AZ203&amp;""'and Col2 = '""&amp;U$21&amp;""'""))))"),"")</f>
        <v/>
      </c>
      <c r="E203" s="384" t="str">
        <f>IFERROR(__xludf.DUMMYFUNCTION("IF(E$43="""","""",IF($AZ203="""","""",IFERROR(Query({CarteirasAtivos},""Select Col3 where Col1 = '""&amp;$AZ203&amp;""'and Col2 = '""&amp;V$21&amp;""'""))))"),"")</f>
        <v/>
      </c>
      <c r="F203" s="384" t="str">
        <f>IFERROR(__xludf.DUMMYFUNCTION("IF(F$43="""","""",IF($AZ203="""","""",IFERROR(Query({CarteirasAtivos},""Select Col3 where Col1 = '""&amp;$AZ203&amp;""'and Col2 = '""&amp;W$21&amp;""'""))))"),"")</f>
        <v/>
      </c>
      <c r="G203" s="384" t="str">
        <f>IFERROR(__xludf.DUMMYFUNCTION("IF(G$43="""","""",IF($AZ203="""","""",IFERROR(Query({CarteirasAtivos},""Select Col3 where Col1 = '""&amp;$AZ203&amp;""'and Col2 = '""&amp;X$21&amp;""'""))))"),"")</f>
        <v/>
      </c>
      <c r="H203" s="384" t="str">
        <f>IFERROR(__xludf.DUMMYFUNCTION("IF(H$43="""","""",IF($AZ203="""","""",IFERROR(Query({CarteirasAtivos},""Select Col3 where Col1 = '""&amp;$AZ203&amp;""'and Col2 = '""&amp;Y$21&amp;""'""))))"),"")</f>
        <v/>
      </c>
      <c r="I203" s="384" t="str">
        <f>IFERROR(__xludf.DUMMYFUNCTION("IF(I$43="""","""",IF($AZ203="""","""",IFERROR(Query({CarteirasAtivos},""Select Col3 where Col1 = '""&amp;$AZ203&amp;""'and Col2 = '""&amp;Z$21&amp;""'""))))"),"")</f>
        <v/>
      </c>
      <c r="J203" s="384" t="str">
        <f>IFERROR(__xludf.DUMMYFUNCTION("IF(J$43="""","""",IF($AZ203="""","""",IFERROR(Query({CarteirasAtivos},""Select Col3 where Col1 = '""&amp;$AZ203&amp;""'and Col2 = '""&amp;AA$21&amp;""'""))))"),"")</f>
        <v/>
      </c>
      <c r="K203" s="384" t="str">
        <f>IFERROR(__xludf.DUMMYFUNCTION("IF(K$43="""","""",IF($AZ203="""","""",IFERROR(Query({CarteirasAtivos},""Select Col3 where Col1 = '""&amp;$AZ203&amp;""'and Col2 = '""&amp;AB$21&amp;""'""))))"),"")</f>
        <v/>
      </c>
      <c r="L203" s="385">
        <v>160.0</v>
      </c>
      <c r="M203" s="503"/>
      <c r="N203" s="387"/>
      <c r="O203" s="388" t="s">
        <v>123</v>
      </c>
      <c r="P203" s="389"/>
      <c r="Q203" s="390"/>
      <c r="R203" s="391"/>
      <c r="S203" s="392"/>
      <c r="T203" s="393"/>
      <c r="U203" s="393"/>
      <c r="V203" s="394"/>
      <c r="W203" s="395" t="str">
        <f>IFERROR(__xludf.DUMMYFUNCTION("IF(M203="""","""",sparkline(IFERROR(BF203*100/MAX($BF$44:$BF$153),0),{""charttype"",""bar"";""max"",100;""color1"",IF(BD203&gt;=0,""#4760a5"",""red"")}))"),"")</f>
        <v/>
      </c>
      <c r="X203" s="396"/>
      <c r="Y203" s="466"/>
      <c r="Z203" s="398"/>
      <c r="AA203" s="399"/>
      <c r="AB203" s="393"/>
      <c r="AC203" s="476"/>
      <c r="AD203" s="401"/>
      <c r="AE203" s="402"/>
      <c r="AF203" s="403"/>
      <c r="AG203" s="404" t="str">
        <f>IFERROR(__xludf.DUMMYFUNCTION("IF($M203="""","""",IFERROR(sparkline(query(GOOGLEFINANCE($AZ203,""price"",TODAY()-$AF$43,TODAY(),1),""select Col2 label Col2 ''""),IF($AG$43=""Gráfico de barras"",{""charttype"",""column"";""highcolor"",""red""},{""chartype"",""line""}))))"),"")</f>
        <v/>
      </c>
      <c r="AH203" s="405"/>
      <c r="AI203" s="467"/>
      <c r="AJ203" s="467"/>
      <c r="AK203" s="467"/>
      <c r="AL203" s="467"/>
      <c r="AM203" s="442"/>
      <c r="AN203" s="442"/>
      <c r="AU203" s="281"/>
      <c r="AV203" s="281"/>
      <c r="AW203" s="281"/>
      <c r="AX203" s="281"/>
      <c r="AY203" s="410">
        <v>160.0</v>
      </c>
      <c r="AZ203" s="411"/>
      <c r="BA203" s="411"/>
      <c r="BB203" s="437"/>
      <c r="BC203" s="437"/>
      <c r="BD203" s="437"/>
      <c r="BE203" s="437"/>
      <c r="BF203" s="415" t="s">
        <v>123</v>
      </c>
      <c r="BG203" s="410">
        <v>160.0</v>
      </c>
      <c r="BH203" s="416"/>
      <c r="BI203" s="416"/>
      <c r="BJ203" s="416"/>
      <c r="BK203" s="416"/>
      <c r="BL203" s="416"/>
      <c r="BM203" s="416"/>
      <c r="BN203" s="282"/>
      <c r="BO203" s="490"/>
      <c r="BP203" s="489"/>
      <c r="BQ203" s="489"/>
      <c r="BR203" s="489"/>
      <c r="BS203" s="489"/>
      <c r="BT203" s="489"/>
      <c r="BU203" s="489"/>
      <c r="BV203" s="489"/>
      <c r="BW203" s="63"/>
      <c r="BX203" s="62"/>
      <c r="BY203" s="452"/>
      <c r="BZ203" s="452"/>
      <c r="CA203" s="452"/>
      <c r="CB203" s="452"/>
      <c r="CC203" s="452"/>
      <c r="CD203" s="452"/>
      <c r="CE203" s="452"/>
      <c r="CF203" s="452"/>
      <c r="CG203" s="452"/>
      <c r="CH203" s="422"/>
      <c r="CI203" s="422"/>
      <c r="CJ203" s="422"/>
      <c r="CK203" s="421"/>
      <c r="CL203" s="421" t="s">
        <v>123</v>
      </c>
      <c r="CM203" s="423"/>
      <c r="CN203" s="421"/>
      <c r="CO203" s="423"/>
      <c r="CP203" s="421"/>
      <c r="CQ203" s="63"/>
      <c r="CR203" s="63"/>
      <c r="CS203" s="63"/>
      <c r="CT203" s="63"/>
      <c r="CU203" s="447"/>
      <c r="CV203" s="447"/>
      <c r="CW203" s="447"/>
      <c r="CX203" s="447"/>
      <c r="CY203" s="447"/>
      <c r="CZ203" s="447"/>
      <c r="DA203" s="447"/>
      <c r="DB203" s="447"/>
      <c r="DC203" s="447"/>
      <c r="DD203" s="447"/>
      <c r="DE203" s="447"/>
      <c r="DF203" s="447"/>
      <c r="DG203" s="447"/>
      <c r="DH203" s="447"/>
      <c r="DI203" s="447"/>
      <c r="DJ203" s="447"/>
      <c r="DK203" s="447"/>
      <c r="DL203" s="67"/>
      <c r="DM203" s="67"/>
      <c r="DN203" s="67"/>
      <c r="DO203" s="67"/>
      <c r="DP203" s="67"/>
      <c r="DQ203" s="67"/>
    </row>
    <row r="204" ht="22.5" customHeight="1">
      <c r="A204" s="383"/>
      <c r="B204" s="384" t="str">
        <f>IFERROR(__xludf.DUMMYFUNCTION("IF(B$43="""","""",IF($AZ204="""","""",IFERROR(Query({CarteirasAtivos},""Select Col3 where Col1 = '""&amp;$AZ204&amp;""'and Col2 = '""&amp;S$21&amp;""'""))))"),"")</f>
        <v/>
      </c>
      <c r="C204" s="384" t="str">
        <f>IFERROR(__xludf.DUMMYFUNCTION("IF(C$43="""","""",IF($AZ204="""","""",IFERROR(Query({CarteirasAtivos},""Select Col3 where Col1 = '""&amp;$AZ204&amp;""'and Col2 = '""&amp;T$21&amp;""'""))))"),"")</f>
        <v/>
      </c>
      <c r="D204" s="384" t="str">
        <f>IFERROR(__xludf.DUMMYFUNCTION("IF(D$43="""","""",IF($AZ204="""","""",IFERROR(Query({CarteirasAtivos},""Select Col3 where Col1 = '""&amp;$AZ204&amp;""'and Col2 = '""&amp;U$21&amp;""'""))))"),"")</f>
        <v/>
      </c>
      <c r="E204" s="384" t="str">
        <f>IFERROR(__xludf.DUMMYFUNCTION("IF(E$43="""","""",IF($AZ204="""","""",IFERROR(Query({CarteirasAtivos},""Select Col3 where Col1 = '""&amp;$AZ204&amp;""'and Col2 = '""&amp;V$21&amp;""'""))))"),"")</f>
        <v/>
      </c>
      <c r="F204" s="384" t="str">
        <f>IFERROR(__xludf.DUMMYFUNCTION("IF(F$43="""","""",IF($AZ204="""","""",IFERROR(Query({CarteirasAtivos},""Select Col3 where Col1 = '""&amp;$AZ204&amp;""'and Col2 = '""&amp;W$21&amp;""'""))))"),"")</f>
        <v/>
      </c>
      <c r="G204" s="384" t="str">
        <f>IFERROR(__xludf.DUMMYFUNCTION("IF(G$43="""","""",IF($AZ204="""","""",IFERROR(Query({CarteirasAtivos},""Select Col3 where Col1 = '""&amp;$AZ204&amp;""'and Col2 = '""&amp;X$21&amp;""'""))))"),"")</f>
        <v/>
      </c>
      <c r="H204" s="384" t="str">
        <f>IFERROR(__xludf.DUMMYFUNCTION("IF(H$43="""","""",IF($AZ204="""","""",IFERROR(Query({CarteirasAtivos},""Select Col3 where Col1 = '""&amp;$AZ204&amp;""'and Col2 = '""&amp;Y$21&amp;""'""))))"),"")</f>
        <v/>
      </c>
      <c r="I204" s="384" t="str">
        <f>IFERROR(__xludf.DUMMYFUNCTION("IF(I$43="""","""",IF($AZ204="""","""",IFERROR(Query({CarteirasAtivos},""Select Col3 where Col1 = '""&amp;$AZ204&amp;""'and Col2 = '""&amp;Z$21&amp;""'""))))"),"")</f>
        <v/>
      </c>
      <c r="J204" s="384" t="str">
        <f>IFERROR(__xludf.DUMMYFUNCTION("IF(J$43="""","""",IF($AZ204="""","""",IFERROR(Query({CarteirasAtivos},""Select Col3 where Col1 = '""&amp;$AZ204&amp;""'and Col2 = '""&amp;AA$21&amp;""'""))))"),"")</f>
        <v/>
      </c>
      <c r="K204" s="384" t="str">
        <f>IFERROR(__xludf.DUMMYFUNCTION("IF(K$43="""","""",IF($AZ204="""","""",IFERROR(Query({CarteirasAtivos},""Select Col3 where Col1 = '""&amp;$AZ204&amp;""'and Col2 = '""&amp;AB$21&amp;""'""))))"),"")</f>
        <v/>
      </c>
      <c r="L204" s="385">
        <v>161.0</v>
      </c>
      <c r="M204" s="503"/>
      <c r="N204" s="387"/>
      <c r="O204" s="388" t="s">
        <v>123</v>
      </c>
      <c r="P204" s="389"/>
      <c r="Q204" s="390"/>
      <c r="R204" s="391"/>
      <c r="S204" s="392"/>
      <c r="T204" s="393"/>
      <c r="U204" s="393"/>
      <c r="V204" s="394"/>
      <c r="W204" s="395" t="str">
        <f>IFERROR(__xludf.DUMMYFUNCTION("IF(M204="""","""",sparkline(IFERROR(BF204*100/MAX($BF$44:$BF$153),0),{""charttype"",""bar"";""max"",100;""color1"",IF(BD204&gt;=0,""#4760a5"",""red"")}))"),"")</f>
        <v/>
      </c>
      <c r="X204" s="396"/>
      <c r="Y204" s="466"/>
      <c r="Z204" s="398"/>
      <c r="AA204" s="399"/>
      <c r="AB204" s="393"/>
      <c r="AC204" s="476"/>
      <c r="AD204" s="401"/>
      <c r="AE204" s="402"/>
      <c r="AF204" s="403"/>
      <c r="AG204" s="404" t="str">
        <f>IFERROR(__xludf.DUMMYFUNCTION("IF($M204="""","""",IFERROR(sparkline(query(GOOGLEFINANCE($AZ204,""price"",TODAY()-$AF$43,TODAY(),1),""select Col2 label Col2 ''""),IF($AG$43=""Gráfico de barras"",{""charttype"",""column"";""highcolor"",""red""},{""chartype"",""line""}))))"),"")</f>
        <v/>
      </c>
      <c r="AH204" s="405"/>
      <c r="AI204" s="467"/>
      <c r="AJ204" s="467"/>
      <c r="AK204" s="467"/>
      <c r="AL204" s="467"/>
      <c r="AM204" s="442"/>
      <c r="AN204" s="442"/>
      <c r="AU204" s="281"/>
      <c r="AV204" s="281"/>
      <c r="AW204" s="281"/>
      <c r="AX204" s="281"/>
      <c r="AY204" s="410">
        <v>161.0</v>
      </c>
      <c r="AZ204" s="411"/>
      <c r="BA204" s="411"/>
      <c r="BB204" s="437"/>
      <c r="BC204" s="437"/>
      <c r="BD204" s="437"/>
      <c r="BE204" s="437"/>
      <c r="BF204" s="415" t="s">
        <v>123</v>
      </c>
      <c r="BG204" s="410">
        <v>161.0</v>
      </c>
      <c r="BH204" s="416"/>
      <c r="BI204" s="416"/>
      <c r="BJ204" s="416"/>
      <c r="BK204" s="416"/>
      <c r="BL204" s="416"/>
      <c r="BM204" s="416"/>
      <c r="BN204" s="282"/>
      <c r="BO204" s="490"/>
      <c r="BP204" s="489"/>
      <c r="BQ204" s="489"/>
      <c r="BR204" s="489"/>
      <c r="BS204" s="489"/>
      <c r="BT204" s="489"/>
      <c r="BU204" s="489"/>
      <c r="BV204" s="489"/>
      <c r="BW204" s="63"/>
      <c r="BX204" s="62"/>
      <c r="BY204" s="452"/>
      <c r="BZ204" s="452"/>
      <c r="CA204" s="452"/>
      <c r="CB204" s="452"/>
      <c r="CC204" s="452"/>
      <c r="CD204" s="452"/>
      <c r="CE204" s="452"/>
      <c r="CF204" s="452"/>
      <c r="CG204" s="452"/>
      <c r="CH204" s="422"/>
      <c r="CI204" s="422"/>
      <c r="CJ204" s="422"/>
      <c r="CK204" s="421"/>
      <c r="CL204" s="421" t="s">
        <v>123</v>
      </c>
      <c r="CM204" s="423"/>
      <c r="CN204" s="421"/>
      <c r="CO204" s="423"/>
      <c r="CP204" s="421"/>
      <c r="CQ204" s="63"/>
      <c r="CR204" s="63"/>
      <c r="CS204" s="63"/>
      <c r="CT204" s="63"/>
      <c r="CU204" s="447"/>
      <c r="CV204" s="447"/>
      <c r="CW204" s="447"/>
      <c r="CX204" s="447"/>
      <c r="CY204" s="447"/>
      <c r="CZ204" s="447"/>
      <c r="DA204" s="447"/>
      <c r="DB204" s="447"/>
      <c r="DC204" s="447"/>
      <c r="DD204" s="447"/>
      <c r="DE204" s="447"/>
      <c r="DF204" s="447"/>
      <c r="DG204" s="447"/>
      <c r="DH204" s="447"/>
      <c r="DI204" s="447"/>
      <c r="DJ204" s="447"/>
      <c r="DK204" s="447"/>
      <c r="DL204" s="67"/>
      <c r="DM204" s="67"/>
      <c r="DN204" s="67"/>
      <c r="DO204" s="67"/>
      <c r="DP204" s="67"/>
      <c r="DQ204" s="67"/>
    </row>
    <row r="205" ht="22.5" customHeight="1">
      <c r="A205" s="383"/>
      <c r="B205" s="384" t="str">
        <f>IFERROR(__xludf.DUMMYFUNCTION("IF(B$43="""","""",IF($AZ205="""","""",IFERROR(Query({CarteirasAtivos},""Select Col3 where Col1 = '""&amp;$AZ205&amp;""'and Col2 = '""&amp;S$21&amp;""'""))))"),"")</f>
        <v/>
      </c>
      <c r="C205" s="384" t="str">
        <f>IFERROR(__xludf.DUMMYFUNCTION("IF(C$43="""","""",IF($AZ205="""","""",IFERROR(Query({CarteirasAtivos},""Select Col3 where Col1 = '""&amp;$AZ205&amp;""'and Col2 = '""&amp;T$21&amp;""'""))))"),"")</f>
        <v/>
      </c>
      <c r="D205" s="384" t="str">
        <f>IFERROR(__xludf.DUMMYFUNCTION("IF(D$43="""","""",IF($AZ205="""","""",IFERROR(Query({CarteirasAtivos},""Select Col3 where Col1 = '""&amp;$AZ205&amp;""'and Col2 = '""&amp;U$21&amp;""'""))))"),"")</f>
        <v/>
      </c>
      <c r="E205" s="384" t="str">
        <f>IFERROR(__xludf.DUMMYFUNCTION("IF(E$43="""","""",IF($AZ205="""","""",IFERROR(Query({CarteirasAtivos},""Select Col3 where Col1 = '""&amp;$AZ205&amp;""'and Col2 = '""&amp;V$21&amp;""'""))))"),"")</f>
        <v/>
      </c>
      <c r="F205" s="384" t="str">
        <f>IFERROR(__xludf.DUMMYFUNCTION("IF(F$43="""","""",IF($AZ205="""","""",IFERROR(Query({CarteirasAtivos},""Select Col3 where Col1 = '""&amp;$AZ205&amp;""'and Col2 = '""&amp;W$21&amp;""'""))))"),"")</f>
        <v/>
      </c>
      <c r="G205" s="384" t="str">
        <f>IFERROR(__xludf.DUMMYFUNCTION("IF(G$43="""","""",IF($AZ205="""","""",IFERROR(Query({CarteirasAtivos},""Select Col3 where Col1 = '""&amp;$AZ205&amp;""'and Col2 = '""&amp;X$21&amp;""'""))))"),"")</f>
        <v/>
      </c>
      <c r="H205" s="384" t="str">
        <f>IFERROR(__xludf.DUMMYFUNCTION("IF(H$43="""","""",IF($AZ205="""","""",IFERROR(Query({CarteirasAtivos},""Select Col3 where Col1 = '""&amp;$AZ205&amp;""'and Col2 = '""&amp;Y$21&amp;""'""))))"),"")</f>
        <v/>
      </c>
      <c r="I205" s="384" t="str">
        <f>IFERROR(__xludf.DUMMYFUNCTION("IF(I$43="""","""",IF($AZ205="""","""",IFERROR(Query({CarteirasAtivos},""Select Col3 where Col1 = '""&amp;$AZ205&amp;""'and Col2 = '""&amp;Z$21&amp;""'""))))"),"")</f>
        <v/>
      </c>
      <c r="J205" s="384" t="str">
        <f>IFERROR(__xludf.DUMMYFUNCTION("IF(J$43="""","""",IF($AZ205="""","""",IFERROR(Query({CarteirasAtivos},""Select Col3 where Col1 = '""&amp;$AZ205&amp;""'and Col2 = '""&amp;AA$21&amp;""'""))))"),"")</f>
        <v/>
      </c>
      <c r="K205" s="384" t="str">
        <f>IFERROR(__xludf.DUMMYFUNCTION("IF(K$43="""","""",IF($AZ205="""","""",IFERROR(Query({CarteirasAtivos},""Select Col3 where Col1 = '""&amp;$AZ205&amp;""'and Col2 = '""&amp;AB$21&amp;""'""))))"),"")</f>
        <v/>
      </c>
      <c r="L205" s="385">
        <v>162.0</v>
      </c>
      <c r="M205" s="503"/>
      <c r="N205" s="387"/>
      <c r="O205" s="388" t="s">
        <v>123</v>
      </c>
      <c r="P205" s="389"/>
      <c r="Q205" s="390"/>
      <c r="R205" s="391"/>
      <c r="S205" s="392"/>
      <c r="T205" s="393"/>
      <c r="U205" s="393"/>
      <c r="V205" s="394"/>
      <c r="W205" s="395" t="str">
        <f>IFERROR(__xludf.DUMMYFUNCTION("IF(M205="""","""",sparkline(IFERROR(BF205*100/MAX($BF$44:$BF$153),0),{""charttype"",""bar"";""max"",100;""color1"",IF(BD205&gt;=0,""#4760a5"",""red"")}))"),"")</f>
        <v/>
      </c>
      <c r="X205" s="396"/>
      <c r="Y205" s="466"/>
      <c r="Z205" s="398"/>
      <c r="AA205" s="399"/>
      <c r="AB205" s="393"/>
      <c r="AC205" s="476"/>
      <c r="AD205" s="401"/>
      <c r="AE205" s="402"/>
      <c r="AF205" s="403"/>
      <c r="AG205" s="404" t="str">
        <f>IFERROR(__xludf.DUMMYFUNCTION("IF($M205="""","""",IFERROR(sparkline(query(GOOGLEFINANCE($AZ205,""price"",TODAY()-$AF$43,TODAY(),1),""select Col2 label Col2 ''""),IF($AG$43=""Gráfico de barras"",{""charttype"",""column"";""highcolor"",""red""},{""chartype"",""line""}))))"),"")</f>
        <v/>
      </c>
      <c r="AH205" s="405"/>
      <c r="AI205" s="467"/>
      <c r="AJ205" s="467"/>
      <c r="AK205" s="467"/>
      <c r="AL205" s="467"/>
      <c r="AM205" s="442"/>
      <c r="AN205" s="442"/>
      <c r="AU205" s="281"/>
      <c r="AV205" s="281"/>
      <c r="AW205" s="281"/>
      <c r="AX205" s="281"/>
      <c r="AY205" s="410">
        <v>162.0</v>
      </c>
      <c r="AZ205" s="411"/>
      <c r="BA205" s="411"/>
      <c r="BB205" s="437"/>
      <c r="BC205" s="437"/>
      <c r="BD205" s="437"/>
      <c r="BE205" s="437"/>
      <c r="BF205" s="415" t="s">
        <v>123</v>
      </c>
      <c r="BG205" s="410">
        <v>162.0</v>
      </c>
      <c r="BH205" s="416"/>
      <c r="BI205" s="416"/>
      <c r="BJ205" s="416"/>
      <c r="BK205" s="416"/>
      <c r="BL205" s="416"/>
      <c r="BM205" s="416"/>
      <c r="BN205" s="282"/>
      <c r="BO205" s="490"/>
      <c r="BP205" s="489"/>
      <c r="BQ205" s="489"/>
      <c r="BR205" s="489"/>
      <c r="BS205" s="489"/>
      <c r="BT205" s="489"/>
      <c r="BU205" s="489"/>
      <c r="BV205" s="489"/>
      <c r="BW205" s="63"/>
      <c r="BX205" s="62"/>
      <c r="BY205" s="452"/>
      <c r="BZ205" s="452"/>
      <c r="CA205" s="452"/>
      <c r="CB205" s="452"/>
      <c r="CC205" s="452"/>
      <c r="CD205" s="452"/>
      <c r="CE205" s="452"/>
      <c r="CF205" s="452"/>
      <c r="CG205" s="452"/>
      <c r="CH205" s="422"/>
      <c r="CI205" s="422"/>
      <c r="CJ205" s="422"/>
      <c r="CK205" s="421"/>
      <c r="CL205" s="421" t="s">
        <v>123</v>
      </c>
      <c r="CM205" s="423"/>
      <c r="CN205" s="421"/>
      <c r="CO205" s="423"/>
      <c r="CP205" s="421"/>
      <c r="CQ205" s="63"/>
      <c r="CR205" s="63"/>
      <c r="CS205" s="63"/>
      <c r="CT205" s="63"/>
      <c r="CU205" s="447"/>
      <c r="CV205" s="447"/>
      <c r="CW205" s="447"/>
      <c r="CX205" s="447"/>
      <c r="CY205" s="447"/>
      <c r="CZ205" s="447"/>
      <c r="DA205" s="447"/>
      <c r="DB205" s="447"/>
      <c r="DC205" s="447"/>
      <c r="DD205" s="447"/>
      <c r="DE205" s="447"/>
      <c r="DF205" s="447"/>
      <c r="DG205" s="447"/>
      <c r="DH205" s="447"/>
      <c r="DI205" s="447"/>
      <c r="DJ205" s="447"/>
      <c r="DK205" s="447"/>
      <c r="DL205" s="67"/>
      <c r="DM205" s="67"/>
      <c r="DN205" s="67"/>
      <c r="DO205" s="67"/>
      <c r="DP205" s="67"/>
      <c r="DQ205" s="67"/>
    </row>
    <row r="206" ht="22.5" customHeight="1">
      <c r="A206" s="383"/>
      <c r="B206" s="384" t="str">
        <f>IFERROR(__xludf.DUMMYFUNCTION("IF(B$43="""","""",IF($AZ206="""","""",IFERROR(Query({CarteirasAtivos},""Select Col3 where Col1 = '""&amp;$AZ206&amp;""'and Col2 = '""&amp;S$21&amp;""'""))))"),"")</f>
        <v/>
      </c>
      <c r="C206" s="384" t="str">
        <f>IFERROR(__xludf.DUMMYFUNCTION("IF(C$43="""","""",IF($AZ206="""","""",IFERROR(Query({CarteirasAtivos},""Select Col3 where Col1 = '""&amp;$AZ206&amp;""'and Col2 = '""&amp;T$21&amp;""'""))))"),"")</f>
        <v/>
      </c>
      <c r="D206" s="384" t="str">
        <f>IFERROR(__xludf.DUMMYFUNCTION("IF(D$43="""","""",IF($AZ206="""","""",IFERROR(Query({CarteirasAtivos},""Select Col3 where Col1 = '""&amp;$AZ206&amp;""'and Col2 = '""&amp;U$21&amp;""'""))))"),"")</f>
        <v/>
      </c>
      <c r="E206" s="384" t="str">
        <f>IFERROR(__xludf.DUMMYFUNCTION("IF(E$43="""","""",IF($AZ206="""","""",IFERROR(Query({CarteirasAtivos},""Select Col3 where Col1 = '""&amp;$AZ206&amp;""'and Col2 = '""&amp;V$21&amp;""'""))))"),"")</f>
        <v/>
      </c>
      <c r="F206" s="384" t="str">
        <f>IFERROR(__xludf.DUMMYFUNCTION("IF(F$43="""","""",IF($AZ206="""","""",IFERROR(Query({CarteirasAtivos},""Select Col3 where Col1 = '""&amp;$AZ206&amp;""'and Col2 = '""&amp;W$21&amp;""'""))))"),"")</f>
        <v/>
      </c>
      <c r="G206" s="384" t="str">
        <f>IFERROR(__xludf.DUMMYFUNCTION("IF(G$43="""","""",IF($AZ206="""","""",IFERROR(Query({CarteirasAtivos},""Select Col3 where Col1 = '""&amp;$AZ206&amp;""'and Col2 = '""&amp;X$21&amp;""'""))))"),"")</f>
        <v/>
      </c>
      <c r="H206" s="384" t="str">
        <f>IFERROR(__xludf.DUMMYFUNCTION("IF(H$43="""","""",IF($AZ206="""","""",IFERROR(Query({CarteirasAtivos},""Select Col3 where Col1 = '""&amp;$AZ206&amp;""'and Col2 = '""&amp;Y$21&amp;""'""))))"),"")</f>
        <v/>
      </c>
      <c r="I206" s="384" t="str">
        <f>IFERROR(__xludf.DUMMYFUNCTION("IF(I$43="""","""",IF($AZ206="""","""",IFERROR(Query({CarteirasAtivos},""Select Col3 where Col1 = '""&amp;$AZ206&amp;""'and Col2 = '""&amp;Z$21&amp;""'""))))"),"")</f>
        <v/>
      </c>
      <c r="J206" s="384" t="str">
        <f>IFERROR(__xludf.DUMMYFUNCTION("IF(J$43="""","""",IF($AZ206="""","""",IFERROR(Query({CarteirasAtivos},""Select Col3 where Col1 = '""&amp;$AZ206&amp;""'and Col2 = '""&amp;AA$21&amp;""'""))))"),"")</f>
        <v/>
      </c>
      <c r="K206" s="384" t="str">
        <f>IFERROR(__xludf.DUMMYFUNCTION("IF(K$43="""","""",IF($AZ206="""","""",IFERROR(Query({CarteirasAtivos},""Select Col3 where Col1 = '""&amp;$AZ206&amp;""'and Col2 = '""&amp;AB$21&amp;""'""))))"),"")</f>
        <v/>
      </c>
      <c r="L206" s="385">
        <v>163.0</v>
      </c>
      <c r="M206" s="503"/>
      <c r="N206" s="387"/>
      <c r="O206" s="388" t="s">
        <v>123</v>
      </c>
      <c r="P206" s="389"/>
      <c r="Q206" s="390"/>
      <c r="R206" s="391"/>
      <c r="S206" s="392"/>
      <c r="T206" s="393"/>
      <c r="U206" s="393"/>
      <c r="V206" s="394"/>
      <c r="W206" s="395" t="str">
        <f>IFERROR(__xludf.DUMMYFUNCTION("IF(M206="""","""",sparkline(IFERROR(BF206*100/MAX($BF$44:$BF$153),0),{""charttype"",""bar"";""max"",100;""color1"",IF(BD206&gt;=0,""#4760a5"",""red"")}))"),"")</f>
        <v/>
      </c>
      <c r="X206" s="396"/>
      <c r="Y206" s="466"/>
      <c r="Z206" s="398"/>
      <c r="AA206" s="399"/>
      <c r="AB206" s="393"/>
      <c r="AC206" s="476"/>
      <c r="AD206" s="401"/>
      <c r="AE206" s="402"/>
      <c r="AF206" s="403"/>
      <c r="AG206" s="404" t="str">
        <f>IFERROR(__xludf.DUMMYFUNCTION("IF($M206="""","""",IFERROR(sparkline(query(GOOGLEFINANCE($AZ206,""price"",TODAY()-$AF$43,TODAY(),1),""select Col2 label Col2 ''""),IF($AG$43=""Gráfico de barras"",{""charttype"",""column"";""highcolor"",""red""},{""chartype"",""line""}))))"),"")</f>
        <v/>
      </c>
      <c r="AH206" s="405"/>
      <c r="AI206" s="467"/>
      <c r="AJ206" s="467"/>
      <c r="AK206" s="467"/>
      <c r="AL206" s="467"/>
      <c r="AM206" s="442"/>
      <c r="AN206" s="442"/>
      <c r="AU206" s="281"/>
      <c r="AV206" s="281"/>
      <c r="AW206" s="281"/>
      <c r="AX206" s="281"/>
      <c r="AY206" s="410">
        <v>163.0</v>
      </c>
      <c r="AZ206" s="411"/>
      <c r="BA206" s="411"/>
      <c r="BB206" s="437"/>
      <c r="BC206" s="437"/>
      <c r="BD206" s="437"/>
      <c r="BE206" s="437"/>
      <c r="BF206" s="415" t="s">
        <v>123</v>
      </c>
      <c r="BG206" s="410">
        <v>163.0</v>
      </c>
      <c r="BH206" s="416"/>
      <c r="BI206" s="416"/>
      <c r="BJ206" s="416"/>
      <c r="BK206" s="416"/>
      <c r="BL206" s="416"/>
      <c r="BM206" s="416"/>
      <c r="BN206" s="282"/>
      <c r="BO206" s="490"/>
      <c r="BP206" s="489"/>
      <c r="BQ206" s="489"/>
      <c r="BR206" s="489"/>
      <c r="BS206" s="489"/>
      <c r="BT206" s="489"/>
      <c r="BU206" s="489"/>
      <c r="BV206" s="489"/>
      <c r="BW206" s="63"/>
      <c r="BX206" s="62"/>
      <c r="BY206" s="452"/>
      <c r="BZ206" s="452"/>
      <c r="CA206" s="452"/>
      <c r="CB206" s="452"/>
      <c r="CC206" s="452"/>
      <c r="CD206" s="452"/>
      <c r="CE206" s="452"/>
      <c r="CF206" s="452"/>
      <c r="CG206" s="452"/>
      <c r="CH206" s="422"/>
      <c r="CI206" s="422"/>
      <c r="CJ206" s="422"/>
      <c r="CK206" s="421"/>
      <c r="CL206" s="421" t="s">
        <v>123</v>
      </c>
      <c r="CM206" s="423"/>
      <c r="CN206" s="421"/>
      <c r="CO206" s="423"/>
      <c r="CP206" s="421"/>
      <c r="CQ206" s="63"/>
      <c r="CR206" s="63"/>
      <c r="CS206" s="63"/>
      <c r="CT206" s="63"/>
      <c r="CU206" s="447"/>
      <c r="CV206" s="447"/>
      <c r="CW206" s="447"/>
      <c r="CX206" s="447"/>
      <c r="CY206" s="447"/>
      <c r="CZ206" s="447"/>
      <c r="DA206" s="447"/>
      <c r="DB206" s="447"/>
      <c r="DC206" s="447"/>
      <c r="DD206" s="447"/>
      <c r="DE206" s="447"/>
      <c r="DF206" s="447"/>
      <c r="DG206" s="447"/>
      <c r="DH206" s="447"/>
      <c r="DI206" s="447"/>
      <c r="DJ206" s="447"/>
      <c r="DK206" s="447"/>
      <c r="DL206" s="67"/>
      <c r="DM206" s="67"/>
      <c r="DN206" s="67"/>
      <c r="DO206" s="67"/>
      <c r="DP206" s="67"/>
      <c r="DQ206" s="67"/>
    </row>
    <row r="207" ht="22.5" customHeight="1">
      <c r="A207" s="383"/>
      <c r="B207" s="384" t="str">
        <f>IFERROR(__xludf.DUMMYFUNCTION("IF(B$43="""","""",IF($AZ207="""","""",IFERROR(Query({CarteirasAtivos},""Select Col3 where Col1 = '""&amp;$AZ207&amp;""'and Col2 = '""&amp;S$21&amp;""'""))))"),"")</f>
        <v/>
      </c>
      <c r="C207" s="384" t="str">
        <f>IFERROR(__xludf.DUMMYFUNCTION("IF(C$43="""","""",IF($AZ207="""","""",IFERROR(Query({CarteirasAtivos},""Select Col3 where Col1 = '""&amp;$AZ207&amp;""'and Col2 = '""&amp;T$21&amp;""'""))))"),"")</f>
        <v/>
      </c>
      <c r="D207" s="384" t="str">
        <f>IFERROR(__xludf.DUMMYFUNCTION("IF(D$43="""","""",IF($AZ207="""","""",IFERROR(Query({CarteirasAtivos},""Select Col3 where Col1 = '""&amp;$AZ207&amp;""'and Col2 = '""&amp;U$21&amp;""'""))))"),"")</f>
        <v/>
      </c>
      <c r="E207" s="384" t="str">
        <f>IFERROR(__xludf.DUMMYFUNCTION("IF(E$43="""","""",IF($AZ207="""","""",IFERROR(Query({CarteirasAtivos},""Select Col3 where Col1 = '""&amp;$AZ207&amp;""'and Col2 = '""&amp;V$21&amp;""'""))))"),"")</f>
        <v/>
      </c>
      <c r="F207" s="384" t="str">
        <f>IFERROR(__xludf.DUMMYFUNCTION("IF(F$43="""","""",IF($AZ207="""","""",IFERROR(Query({CarteirasAtivos},""Select Col3 where Col1 = '""&amp;$AZ207&amp;""'and Col2 = '""&amp;W$21&amp;""'""))))"),"")</f>
        <v/>
      </c>
      <c r="G207" s="384" t="str">
        <f>IFERROR(__xludf.DUMMYFUNCTION("IF(G$43="""","""",IF($AZ207="""","""",IFERROR(Query({CarteirasAtivos},""Select Col3 where Col1 = '""&amp;$AZ207&amp;""'and Col2 = '""&amp;X$21&amp;""'""))))"),"")</f>
        <v/>
      </c>
      <c r="H207" s="384" t="str">
        <f>IFERROR(__xludf.DUMMYFUNCTION("IF(H$43="""","""",IF($AZ207="""","""",IFERROR(Query({CarteirasAtivos},""Select Col3 where Col1 = '""&amp;$AZ207&amp;""'and Col2 = '""&amp;Y$21&amp;""'""))))"),"")</f>
        <v/>
      </c>
      <c r="I207" s="384" t="str">
        <f>IFERROR(__xludf.DUMMYFUNCTION("IF(I$43="""","""",IF($AZ207="""","""",IFERROR(Query({CarteirasAtivos},""Select Col3 where Col1 = '""&amp;$AZ207&amp;""'and Col2 = '""&amp;Z$21&amp;""'""))))"),"")</f>
        <v/>
      </c>
      <c r="J207" s="384" t="str">
        <f>IFERROR(__xludf.DUMMYFUNCTION("IF(J$43="""","""",IF($AZ207="""","""",IFERROR(Query({CarteirasAtivos},""Select Col3 where Col1 = '""&amp;$AZ207&amp;""'and Col2 = '""&amp;AA$21&amp;""'""))))"),"")</f>
        <v/>
      </c>
      <c r="K207" s="384" t="str">
        <f>IFERROR(__xludf.DUMMYFUNCTION("IF(K$43="""","""",IF($AZ207="""","""",IFERROR(Query({CarteirasAtivos},""Select Col3 where Col1 = '""&amp;$AZ207&amp;""'and Col2 = '""&amp;AB$21&amp;""'""))))"),"")</f>
        <v/>
      </c>
      <c r="L207" s="385">
        <v>164.0</v>
      </c>
      <c r="M207" s="503"/>
      <c r="N207" s="387"/>
      <c r="O207" s="388" t="s">
        <v>123</v>
      </c>
      <c r="P207" s="389"/>
      <c r="Q207" s="390"/>
      <c r="R207" s="391"/>
      <c r="S207" s="392"/>
      <c r="T207" s="393"/>
      <c r="U207" s="393"/>
      <c r="V207" s="394"/>
      <c r="W207" s="395" t="str">
        <f>IFERROR(__xludf.DUMMYFUNCTION("IF(M207="""","""",sparkline(IFERROR(BF207*100/MAX($BF$44:$BF$153),0),{""charttype"",""bar"";""max"",100;""color1"",IF(BD207&gt;=0,""#4760a5"",""red"")}))"),"")</f>
        <v/>
      </c>
      <c r="X207" s="396"/>
      <c r="Y207" s="466"/>
      <c r="Z207" s="398"/>
      <c r="AA207" s="399"/>
      <c r="AB207" s="393"/>
      <c r="AC207" s="476"/>
      <c r="AD207" s="401"/>
      <c r="AE207" s="402"/>
      <c r="AF207" s="403"/>
      <c r="AG207" s="404" t="str">
        <f>IFERROR(__xludf.DUMMYFUNCTION("IF($M207="""","""",IFERROR(sparkline(query(GOOGLEFINANCE($AZ207,""price"",TODAY()-$AF$43,TODAY(),1),""select Col2 label Col2 ''""),IF($AG$43=""Gráfico de barras"",{""charttype"",""column"";""highcolor"",""red""},{""chartype"",""line""}))))"),"")</f>
        <v/>
      </c>
      <c r="AH207" s="405"/>
      <c r="AI207" s="467"/>
      <c r="AJ207" s="467"/>
      <c r="AK207" s="467"/>
      <c r="AL207" s="467"/>
      <c r="AM207" s="442"/>
      <c r="AN207" s="442"/>
      <c r="AU207" s="281"/>
      <c r="AV207" s="281"/>
      <c r="AW207" s="281"/>
      <c r="AX207" s="281"/>
      <c r="AY207" s="410">
        <v>164.0</v>
      </c>
      <c r="AZ207" s="411"/>
      <c r="BA207" s="411"/>
      <c r="BB207" s="437"/>
      <c r="BC207" s="437"/>
      <c r="BD207" s="437"/>
      <c r="BE207" s="437"/>
      <c r="BF207" s="415" t="s">
        <v>123</v>
      </c>
      <c r="BG207" s="410">
        <v>164.0</v>
      </c>
      <c r="BH207" s="416"/>
      <c r="BI207" s="416"/>
      <c r="BJ207" s="416"/>
      <c r="BK207" s="416"/>
      <c r="BL207" s="416"/>
      <c r="BM207" s="416"/>
      <c r="BN207" s="282"/>
      <c r="BO207" s="490"/>
      <c r="BP207" s="489"/>
      <c r="BQ207" s="489"/>
      <c r="BR207" s="489"/>
      <c r="BS207" s="489"/>
      <c r="BT207" s="489"/>
      <c r="BU207" s="489"/>
      <c r="BV207" s="489"/>
      <c r="BW207" s="63"/>
      <c r="BX207" s="62"/>
      <c r="BY207" s="452"/>
      <c r="BZ207" s="452"/>
      <c r="CA207" s="452"/>
      <c r="CB207" s="452"/>
      <c r="CC207" s="452"/>
      <c r="CD207" s="452"/>
      <c r="CE207" s="452"/>
      <c r="CF207" s="452"/>
      <c r="CG207" s="452"/>
      <c r="CH207" s="422"/>
      <c r="CI207" s="422"/>
      <c r="CJ207" s="422"/>
      <c r="CK207" s="421"/>
      <c r="CL207" s="421" t="s">
        <v>123</v>
      </c>
      <c r="CM207" s="423"/>
      <c r="CN207" s="421"/>
      <c r="CO207" s="423"/>
      <c r="CP207" s="421"/>
      <c r="CQ207" s="63"/>
      <c r="CR207" s="63"/>
      <c r="CS207" s="63"/>
      <c r="CT207" s="63"/>
      <c r="CU207" s="447"/>
      <c r="CV207" s="447"/>
      <c r="CW207" s="447"/>
      <c r="CX207" s="447"/>
      <c r="CY207" s="447"/>
      <c r="CZ207" s="447"/>
      <c r="DA207" s="447"/>
      <c r="DB207" s="447"/>
      <c r="DC207" s="447"/>
      <c r="DD207" s="447"/>
      <c r="DE207" s="447"/>
      <c r="DF207" s="447"/>
      <c r="DG207" s="447"/>
      <c r="DH207" s="447"/>
      <c r="DI207" s="447"/>
      <c r="DJ207" s="447"/>
      <c r="DK207" s="447"/>
      <c r="DL207" s="67"/>
      <c r="DM207" s="67"/>
      <c r="DN207" s="67"/>
      <c r="DO207" s="67"/>
      <c r="DP207" s="67"/>
      <c r="DQ207" s="67"/>
    </row>
    <row r="208" ht="22.5" customHeight="1">
      <c r="A208" s="383"/>
      <c r="B208" s="384" t="str">
        <f>IFERROR(__xludf.DUMMYFUNCTION("IF(B$43="""","""",IF($AZ208="""","""",IFERROR(Query({CarteirasAtivos},""Select Col3 where Col1 = '""&amp;$AZ208&amp;""'and Col2 = '""&amp;S$21&amp;""'""))))"),"")</f>
        <v/>
      </c>
      <c r="C208" s="384" t="str">
        <f>IFERROR(__xludf.DUMMYFUNCTION("IF(C$43="""","""",IF($AZ208="""","""",IFERROR(Query({CarteirasAtivos},""Select Col3 where Col1 = '""&amp;$AZ208&amp;""'and Col2 = '""&amp;T$21&amp;""'""))))"),"")</f>
        <v/>
      </c>
      <c r="D208" s="384" t="str">
        <f>IFERROR(__xludf.DUMMYFUNCTION("IF(D$43="""","""",IF($AZ208="""","""",IFERROR(Query({CarteirasAtivos},""Select Col3 where Col1 = '""&amp;$AZ208&amp;""'and Col2 = '""&amp;U$21&amp;""'""))))"),"")</f>
        <v/>
      </c>
      <c r="E208" s="384" t="str">
        <f>IFERROR(__xludf.DUMMYFUNCTION("IF(E$43="""","""",IF($AZ208="""","""",IFERROR(Query({CarteirasAtivos},""Select Col3 where Col1 = '""&amp;$AZ208&amp;""'and Col2 = '""&amp;V$21&amp;""'""))))"),"")</f>
        <v/>
      </c>
      <c r="F208" s="384" t="str">
        <f>IFERROR(__xludf.DUMMYFUNCTION("IF(F$43="""","""",IF($AZ208="""","""",IFERROR(Query({CarteirasAtivos},""Select Col3 where Col1 = '""&amp;$AZ208&amp;""'and Col2 = '""&amp;W$21&amp;""'""))))"),"")</f>
        <v/>
      </c>
      <c r="G208" s="384" t="str">
        <f>IFERROR(__xludf.DUMMYFUNCTION("IF(G$43="""","""",IF($AZ208="""","""",IFERROR(Query({CarteirasAtivos},""Select Col3 where Col1 = '""&amp;$AZ208&amp;""'and Col2 = '""&amp;X$21&amp;""'""))))"),"")</f>
        <v/>
      </c>
      <c r="H208" s="384" t="str">
        <f>IFERROR(__xludf.DUMMYFUNCTION("IF(H$43="""","""",IF($AZ208="""","""",IFERROR(Query({CarteirasAtivos},""Select Col3 where Col1 = '""&amp;$AZ208&amp;""'and Col2 = '""&amp;Y$21&amp;""'""))))"),"")</f>
        <v/>
      </c>
      <c r="I208" s="384" t="str">
        <f>IFERROR(__xludf.DUMMYFUNCTION("IF(I$43="""","""",IF($AZ208="""","""",IFERROR(Query({CarteirasAtivos},""Select Col3 where Col1 = '""&amp;$AZ208&amp;""'and Col2 = '""&amp;Z$21&amp;""'""))))"),"")</f>
        <v/>
      </c>
      <c r="J208" s="384" t="str">
        <f>IFERROR(__xludf.DUMMYFUNCTION("IF(J$43="""","""",IF($AZ208="""","""",IFERROR(Query({CarteirasAtivos},""Select Col3 where Col1 = '""&amp;$AZ208&amp;""'and Col2 = '""&amp;AA$21&amp;""'""))))"),"")</f>
        <v/>
      </c>
      <c r="K208" s="384" t="str">
        <f>IFERROR(__xludf.DUMMYFUNCTION("IF(K$43="""","""",IF($AZ208="""","""",IFERROR(Query({CarteirasAtivos},""Select Col3 where Col1 = '""&amp;$AZ208&amp;""'and Col2 = '""&amp;AB$21&amp;""'""))))"),"")</f>
        <v/>
      </c>
      <c r="L208" s="385">
        <v>165.0</v>
      </c>
      <c r="M208" s="503"/>
      <c r="N208" s="387"/>
      <c r="O208" s="388" t="s">
        <v>123</v>
      </c>
      <c r="P208" s="389"/>
      <c r="Q208" s="390"/>
      <c r="R208" s="391"/>
      <c r="S208" s="392"/>
      <c r="T208" s="393"/>
      <c r="U208" s="393"/>
      <c r="V208" s="394"/>
      <c r="W208" s="395" t="str">
        <f>IFERROR(__xludf.DUMMYFUNCTION("IF(M208="""","""",sparkline(IFERROR(BF208*100/MAX($BF$44:$BF$153),0),{""charttype"",""bar"";""max"",100;""color1"",IF(BD208&gt;=0,""#4760a5"",""red"")}))"),"")</f>
        <v/>
      </c>
      <c r="X208" s="396"/>
      <c r="Y208" s="466"/>
      <c r="Z208" s="398"/>
      <c r="AA208" s="399"/>
      <c r="AB208" s="393"/>
      <c r="AC208" s="476"/>
      <c r="AD208" s="401"/>
      <c r="AE208" s="402"/>
      <c r="AF208" s="403"/>
      <c r="AG208" s="404" t="str">
        <f>IFERROR(__xludf.DUMMYFUNCTION("IF($M208="""","""",IFERROR(sparkline(query(GOOGLEFINANCE($AZ208,""price"",TODAY()-$AF$43,TODAY(),1),""select Col2 label Col2 ''""),IF($AG$43=""Gráfico de barras"",{""charttype"",""column"";""highcolor"",""red""},{""chartype"",""line""}))))"),"")</f>
        <v/>
      </c>
      <c r="AH208" s="405"/>
      <c r="AI208" s="467"/>
      <c r="AJ208" s="467"/>
      <c r="AK208" s="467"/>
      <c r="AL208" s="467"/>
      <c r="AM208" s="442"/>
      <c r="AN208" s="442"/>
      <c r="AU208" s="281"/>
      <c r="AV208" s="281"/>
      <c r="AW208" s="281"/>
      <c r="AX208" s="281"/>
      <c r="AY208" s="410">
        <v>165.0</v>
      </c>
      <c r="AZ208" s="411"/>
      <c r="BA208" s="411"/>
      <c r="BB208" s="437"/>
      <c r="BC208" s="437"/>
      <c r="BD208" s="437"/>
      <c r="BE208" s="437"/>
      <c r="BF208" s="415" t="s">
        <v>123</v>
      </c>
      <c r="BG208" s="410">
        <v>165.0</v>
      </c>
      <c r="BH208" s="416"/>
      <c r="BI208" s="416"/>
      <c r="BJ208" s="416"/>
      <c r="BK208" s="416"/>
      <c r="BL208" s="416"/>
      <c r="BM208" s="416"/>
      <c r="BN208" s="282"/>
      <c r="BO208" s="490"/>
      <c r="BP208" s="489"/>
      <c r="BQ208" s="489"/>
      <c r="BR208" s="489"/>
      <c r="BS208" s="489"/>
      <c r="BT208" s="489"/>
      <c r="BU208" s="489"/>
      <c r="BV208" s="489"/>
      <c r="BW208" s="63"/>
      <c r="BX208" s="62"/>
      <c r="BY208" s="452"/>
      <c r="BZ208" s="452"/>
      <c r="CA208" s="452"/>
      <c r="CB208" s="452"/>
      <c r="CC208" s="452"/>
      <c r="CD208" s="452"/>
      <c r="CE208" s="452"/>
      <c r="CF208" s="452"/>
      <c r="CG208" s="452"/>
      <c r="CH208" s="422"/>
      <c r="CI208" s="422"/>
      <c r="CJ208" s="422"/>
      <c r="CK208" s="421"/>
      <c r="CL208" s="421" t="s">
        <v>123</v>
      </c>
      <c r="CM208" s="423"/>
      <c r="CN208" s="421"/>
      <c r="CO208" s="423"/>
      <c r="CP208" s="421"/>
      <c r="CQ208" s="63"/>
      <c r="CR208" s="63"/>
      <c r="CS208" s="63"/>
      <c r="CT208" s="63"/>
      <c r="CU208" s="447"/>
      <c r="CV208" s="447"/>
      <c r="CW208" s="447"/>
      <c r="CX208" s="447"/>
      <c r="CY208" s="447"/>
      <c r="CZ208" s="447"/>
      <c r="DA208" s="447"/>
      <c r="DB208" s="447"/>
      <c r="DC208" s="447"/>
      <c r="DD208" s="447"/>
      <c r="DE208" s="447"/>
      <c r="DF208" s="447"/>
      <c r="DG208" s="447"/>
      <c r="DH208" s="447"/>
      <c r="DI208" s="447"/>
      <c r="DJ208" s="447"/>
      <c r="DK208" s="447"/>
      <c r="DL208" s="67"/>
      <c r="DM208" s="67"/>
      <c r="DN208" s="67"/>
      <c r="DO208" s="67"/>
      <c r="DP208" s="67"/>
      <c r="DQ208" s="67"/>
    </row>
    <row r="209" ht="22.5" customHeight="1">
      <c r="A209" s="383"/>
      <c r="B209" s="384" t="str">
        <f>IFERROR(__xludf.DUMMYFUNCTION("IF(B$43="""","""",IF($AZ209="""","""",IFERROR(Query({CarteirasAtivos},""Select Col3 where Col1 = '""&amp;$AZ209&amp;""'and Col2 = '""&amp;S$21&amp;""'""))))"),"")</f>
        <v/>
      </c>
      <c r="C209" s="384" t="str">
        <f>IFERROR(__xludf.DUMMYFUNCTION("IF(C$43="""","""",IF($AZ209="""","""",IFERROR(Query({CarteirasAtivos},""Select Col3 where Col1 = '""&amp;$AZ209&amp;""'and Col2 = '""&amp;T$21&amp;""'""))))"),"")</f>
        <v/>
      </c>
      <c r="D209" s="384" t="str">
        <f>IFERROR(__xludf.DUMMYFUNCTION("IF(D$43="""","""",IF($AZ209="""","""",IFERROR(Query({CarteirasAtivos},""Select Col3 where Col1 = '""&amp;$AZ209&amp;""'and Col2 = '""&amp;U$21&amp;""'""))))"),"")</f>
        <v/>
      </c>
      <c r="E209" s="384" t="str">
        <f>IFERROR(__xludf.DUMMYFUNCTION("IF(E$43="""","""",IF($AZ209="""","""",IFERROR(Query({CarteirasAtivos},""Select Col3 where Col1 = '""&amp;$AZ209&amp;""'and Col2 = '""&amp;V$21&amp;""'""))))"),"")</f>
        <v/>
      </c>
      <c r="F209" s="384" t="str">
        <f>IFERROR(__xludf.DUMMYFUNCTION("IF(F$43="""","""",IF($AZ209="""","""",IFERROR(Query({CarteirasAtivos},""Select Col3 where Col1 = '""&amp;$AZ209&amp;""'and Col2 = '""&amp;W$21&amp;""'""))))"),"")</f>
        <v/>
      </c>
      <c r="G209" s="384" t="str">
        <f>IFERROR(__xludf.DUMMYFUNCTION("IF(G$43="""","""",IF($AZ209="""","""",IFERROR(Query({CarteirasAtivos},""Select Col3 where Col1 = '""&amp;$AZ209&amp;""'and Col2 = '""&amp;X$21&amp;""'""))))"),"")</f>
        <v/>
      </c>
      <c r="H209" s="384" t="str">
        <f>IFERROR(__xludf.DUMMYFUNCTION("IF(H$43="""","""",IF($AZ209="""","""",IFERROR(Query({CarteirasAtivos},""Select Col3 where Col1 = '""&amp;$AZ209&amp;""'and Col2 = '""&amp;Y$21&amp;""'""))))"),"")</f>
        <v/>
      </c>
      <c r="I209" s="384" t="str">
        <f>IFERROR(__xludf.DUMMYFUNCTION("IF(I$43="""","""",IF($AZ209="""","""",IFERROR(Query({CarteirasAtivos},""Select Col3 where Col1 = '""&amp;$AZ209&amp;""'and Col2 = '""&amp;Z$21&amp;""'""))))"),"")</f>
        <v/>
      </c>
      <c r="J209" s="384" t="str">
        <f>IFERROR(__xludf.DUMMYFUNCTION("IF(J$43="""","""",IF($AZ209="""","""",IFERROR(Query({CarteirasAtivos},""Select Col3 where Col1 = '""&amp;$AZ209&amp;""'and Col2 = '""&amp;AA$21&amp;""'""))))"),"")</f>
        <v/>
      </c>
      <c r="K209" s="384" t="str">
        <f>IFERROR(__xludf.DUMMYFUNCTION("IF(K$43="""","""",IF($AZ209="""","""",IFERROR(Query({CarteirasAtivos},""Select Col3 where Col1 = '""&amp;$AZ209&amp;""'and Col2 = '""&amp;AB$21&amp;""'""))))"),"")</f>
        <v/>
      </c>
      <c r="L209" s="385">
        <v>166.0</v>
      </c>
      <c r="M209" s="503"/>
      <c r="N209" s="387"/>
      <c r="O209" s="388" t="s">
        <v>123</v>
      </c>
      <c r="P209" s="389"/>
      <c r="Q209" s="390"/>
      <c r="R209" s="391"/>
      <c r="S209" s="392"/>
      <c r="T209" s="393"/>
      <c r="U209" s="393"/>
      <c r="V209" s="394"/>
      <c r="W209" s="395" t="str">
        <f>IFERROR(__xludf.DUMMYFUNCTION("IF(M209="""","""",sparkline(IFERROR(BF209*100/MAX($BF$44:$BF$153),0),{""charttype"",""bar"";""max"",100;""color1"",IF(BD209&gt;=0,""#4760a5"",""red"")}))"),"")</f>
        <v/>
      </c>
      <c r="X209" s="396"/>
      <c r="Y209" s="466"/>
      <c r="Z209" s="398"/>
      <c r="AA209" s="399"/>
      <c r="AB209" s="393"/>
      <c r="AC209" s="476"/>
      <c r="AD209" s="401"/>
      <c r="AE209" s="402"/>
      <c r="AF209" s="403"/>
      <c r="AG209" s="404" t="str">
        <f>IFERROR(__xludf.DUMMYFUNCTION("IF($M209="""","""",IFERROR(sparkline(query(GOOGLEFINANCE($AZ209,""price"",TODAY()-$AF$43,TODAY(),1),""select Col2 label Col2 ''""),IF($AG$43=""Gráfico de barras"",{""charttype"",""column"";""highcolor"",""red""},{""chartype"",""line""}))))"),"")</f>
        <v/>
      </c>
      <c r="AH209" s="405"/>
      <c r="AI209" s="467"/>
      <c r="AJ209" s="467"/>
      <c r="AK209" s="467"/>
      <c r="AL209" s="467"/>
      <c r="AM209" s="442"/>
      <c r="AN209" s="442"/>
      <c r="AU209" s="281"/>
      <c r="AV209" s="281"/>
      <c r="AW209" s="281"/>
      <c r="AX209" s="281"/>
      <c r="AY209" s="410">
        <v>166.0</v>
      </c>
      <c r="AZ209" s="411"/>
      <c r="BA209" s="411"/>
      <c r="BB209" s="437"/>
      <c r="BC209" s="437"/>
      <c r="BD209" s="437"/>
      <c r="BE209" s="437"/>
      <c r="BF209" s="415" t="s">
        <v>123</v>
      </c>
      <c r="BG209" s="410">
        <v>166.0</v>
      </c>
      <c r="BH209" s="416"/>
      <c r="BI209" s="416"/>
      <c r="BJ209" s="416"/>
      <c r="BK209" s="416"/>
      <c r="BL209" s="416"/>
      <c r="BM209" s="416"/>
      <c r="BN209" s="282"/>
      <c r="BO209" s="490"/>
      <c r="BP209" s="489"/>
      <c r="BQ209" s="489"/>
      <c r="BR209" s="489"/>
      <c r="BS209" s="489"/>
      <c r="BT209" s="489"/>
      <c r="BU209" s="489"/>
      <c r="BV209" s="489"/>
      <c r="BW209" s="63"/>
      <c r="BX209" s="62"/>
      <c r="BY209" s="452"/>
      <c r="BZ209" s="452"/>
      <c r="CA209" s="452"/>
      <c r="CB209" s="452"/>
      <c r="CC209" s="452"/>
      <c r="CD209" s="452"/>
      <c r="CE209" s="452"/>
      <c r="CF209" s="452"/>
      <c r="CG209" s="452"/>
      <c r="CH209" s="422"/>
      <c r="CI209" s="422"/>
      <c r="CJ209" s="422"/>
      <c r="CK209" s="421"/>
      <c r="CL209" s="421" t="s">
        <v>123</v>
      </c>
      <c r="CM209" s="423"/>
      <c r="CN209" s="421"/>
      <c r="CO209" s="423"/>
      <c r="CP209" s="421"/>
      <c r="CQ209" s="63"/>
      <c r="CR209" s="63"/>
      <c r="CS209" s="63"/>
      <c r="CT209" s="63"/>
      <c r="CU209" s="447"/>
      <c r="CV209" s="447"/>
      <c r="CW209" s="447"/>
      <c r="CX209" s="447"/>
      <c r="CY209" s="447"/>
      <c r="CZ209" s="447"/>
      <c r="DA209" s="447"/>
      <c r="DB209" s="447"/>
      <c r="DC209" s="447"/>
      <c r="DD209" s="447"/>
      <c r="DE209" s="447"/>
      <c r="DF209" s="447"/>
      <c r="DG209" s="447"/>
      <c r="DH209" s="447"/>
      <c r="DI209" s="447"/>
      <c r="DJ209" s="447"/>
      <c r="DK209" s="447"/>
      <c r="DL209" s="67"/>
      <c r="DM209" s="67"/>
      <c r="DN209" s="67"/>
      <c r="DO209" s="67"/>
      <c r="DP209" s="67"/>
      <c r="DQ209" s="67"/>
    </row>
    <row r="210" ht="22.5" customHeight="1">
      <c r="A210" s="383"/>
      <c r="B210" s="384" t="str">
        <f>IFERROR(__xludf.DUMMYFUNCTION("IF(B$43="""","""",IF($AZ210="""","""",IFERROR(Query({CarteirasAtivos},""Select Col3 where Col1 = '""&amp;$AZ210&amp;""'and Col2 = '""&amp;S$21&amp;""'""))))"),"")</f>
        <v/>
      </c>
      <c r="C210" s="384" t="str">
        <f>IFERROR(__xludf.DUMMYFUNCTION("IF(C$43="""","""",IF($AZ210="""","""",IFERROR(Query({CarteirasAtivos},""Select Col3 where Col1 = '""&amp;$AZ210&amp;""'and Col2 = '""&amp;T$21&amp;""'""))))"),"")</f>
        <v/>
      </c>
      <c r="D210" s="384" t="str">
        <f>IFERROR(__xludf.DUMMYFUNCTION("IF(D$43="""","""",IF($AZ210="""","""",IFERROR(Query({CarteirasAtivos},""Select Col3 where Col1 = '""&amp;$AZ210&amp;""'and Col2 = '""&amp;U$21&amp;""'""))))"),"")</f>
        <v/>
      </c>
      <c r="E210" s="384" t="str">
        <f>IFERROR(__xludf.DUMMYFUNCTION("IF(E$43="""","""",IF($AZ210="""","""",IFERROR(Query({CarteirasAtivos},""Select Col3 where Col1 = '""&amp;$AZ210&amp;""'and Col2 = '""&amp;V$21&amp;""'""))))"),"")</f>
        <v/>
      </c>
      <c r="F210" s="384" t="str">
        <f>IFERROR(__xludf.DUMMYFUNCTION("IF(F$43="""","""",IF($AZ210="""","""",IFERROR(Query({CarteirasAtivos},""Select Col3 where Col1 = '""&amp;$AZ210&amp;""'and Col2 = '""&amp;W$21&amp;""'""))))"),"")</f>
        <v/>
      </c>
      <c r="G210" s="384" t="str">
        <f>IFERROR(__xludf.DUMMYFUNCTION("IF(G$43="""","""",IF($AZ210="""","""",IFERROR(Query({CarteirasAtivos},""Select Col3 where Col1 = '""&amp;$AZ210&amp;""'and Col2 = '""&amp;X$21&amp;""'""))))"),"")</f>
        <v/>
      </c>
      <c r="H210" s="384" t="str">
        <f>IFERROR(__xludf.DUMMYFUNCTION("IF(H$43="""","""",IF($AZ210="""","""",IFERROR(Query({CarteirasAtivos},""Select Col3 where Col1 = '""&amp;$AZ210&amp;""'and Col2 = '""&amp;Y$21&amp;""'""))))"),"")</f>
        <v/>
      </c>
      <c r="I210" s="384" t="str">
        <f>IFERROR(__xludf.DUMMYFUNCTION("IF(I$43="""","""",IF($AZ210="""","""",IFERROR(Query({CarteirasAtivos},""Select Col3 where Col1 = '""&amp;$AZ210&amp;""'and Col2 = '""&amp;Z$21&amp;""'""))))"),"")</f>
        <v/>
      </c>
      <c r="J210" s="384" t="str">
        <f>IFERROR(__xludf.DUMMYFUNCTION("IF(J$43="""","""",IF($AZ210="""","""",IFERROR(Query({CarteirasAtivos},""Select Col3 where Col1 = '""&amp;$AZ210&amp;""'and Col2 = '""&amp;AA$21&amp;""'""))))"),"")</f>
        <v/>
      </c>
      <c r="K210" s="384" t="str">
        <f>IFERROR(__xludf.DUMMYFUNCTION("IF(K$43="""","""",IF($AZ210="""","""",IFERROR(Query({CarteirasAtivos},""Select Col3 where Col1 = '""&amp;$AZ210&amp;""'and Col2 = '""&amp;AB$21&amp;""'""))))"),"")</f>
        <v/>
      </c>
      <c r="L210" s="385">
        <v>167.0</v>
      </c>
      <c r="M210" s="503"/>
      <c r="N210" s="387"/>
      <c r="O210" s="388" t="s">
        <v>123</v>
      </c>
      <c r="P210" s="389"/>
      <c r="Q210" s="390"/>
      <c r="R210" s="391"/>
      <c r="S210" s="392"/>
      <c r="T210" s="393"/>
      <c r="U210" s="393"/>
      <c r="V210" s="394"/>
      <c r="W210" s="395" t="str">
        <f>IFERROR(__xludf.DUMMYFUNCTION("IF(M210="""","""",sparkline(IFERROR(BF210*100/MAX($BF$44:$BF$153),0),{""charttype"",""bar"";""max"",100;""color1"",IF(BD210&gt;=0,""#4760a5"",""red"")}))"),"")</f>
        <v/>
      </c>
      <c r="X210" s="396"/>
      <c r="Y210" s="466"/>
      <c r="Z210" s="398"/>
      <c r="AA210" s="399"/>
      <c r="AB210" s="393"/>
      <c r="AC210" s="476"/>
      <c r="AD210" s="401"/>
      <c r="AE210" s="402"/>
      <c r="AF210" s="403"/>
      <c r="AG210" s="404" t="str">
        <f>IFERROR(__xludf.DUMMYFUNCTION("IF($M210="""","""",IFERROR(sparkline(query(GOOGLEFINANCE($AZ210,""price"",TODAY()-$AF$43,TODAY(),1),""select Col2 label Col2 ''""),IF($AG$43=""Gráfico de barras"",{""charttype"",""column"";""highcolor"",""red""},{""chartype"",""line""}))))"),"")</f>
        <v/>
      </c>
      <c r="AH210" s="405"/>
      <c r="AI210" s="467"/>
      <c r="AJ210" s="467"/>
      <c r="AK210" s="467"/>
      <c r="AL210" s="467"/>
      <c r="AM210" s="442"/>
      <c r="AN210" s="442"/>
      <c r="AU210" s="281"/>
      <c r="AV210" s="281"/>
      <c r="AW210" s="281"/>
      <c r="AX210" s="281"/>
      <c r="AY210" s="410">
        <v>167.0</v>
      </c>
      <c r="AZ210" s="411"/>
      <c r="BA210" s="411"/>
      <c r="BB210" s="437"/>
      <c r="BC210" s="437"/>
      <c r="BD210" s="437"/>
      <c r="BE210" s="437"/>
      <c r="BF210" s="415" t="s">
        <v>123</v>
      </c>
      <c r="BG210" s="410">
        <v>167.0</v>
      </c>
      <c r="BH210" s="416"/>
      <c r="BI210" s="416"/>
      <c r="BJ210" s="416"/>
      <c r="BK210" s="416"/>
      <c r="BL210" s="416"/>
      <c r="BM210" s="416"/>
      <c r="BN210" s="282"/>
      <c r="BO210" s="490"/>
      <c r="BP210" s="489"/>
      <c r="BQ210" s="489"/>
      <c r="BR210" s="489"/>
      <c r="BS210" s="489"/>
      <c r="BT210" s="489"/>
      <c r="BU210" s="489"/>
      <c r="BV210" s="489"/>
      <c r="BW210" s="63"/>
      <c r="BX210" s="62"/>
      <c r="BY210" s="452"/>
      <c r="BZ210" s="452"/>
      <c r="CA210" s="452"/>
      <c r="CB210" s="452"/>
      <c r="CC210" s="452"/>
      <c r="CD210" s="452"/>
      <c r="CE210" s="452"/>
      <c r="CF210" s="452"/>
      <c r="CG210" s="452"/>
      <c r="CH210" s="422"/>
      <c r="CI210" s="422"/>
      <c r="CJ210" s="422"/>
      <c r="CK210" s="421"/>
      <c r="CL210" s="421" t="s">
        <v>123</v>
      </c>
      <c r="CM210" s="423"/>
      <c r="CN210" s="421"/>
      <c r="CO210" s="423"/>
      <c r="CP210" s="421"/>
      <c r="CQ210" s="63"/>
      <c r="CR210" s="63"/>
      <c r="CS210" s="63"/>
      <c r="CT210" s="63"/>
      <c r="CU210" s="447"/>
      <c r="CV210" s="447"/>
      <c r="CW210" s="447"/>
      <c r="CX210" s="447"/>
      <c r="CY210" s="447"/>
      <c r="CZ210" s="447"/>
      <c r="DA210" s="447"/>
      <c r="DB210" s="447"/>
      <c r="DC210" s="447"/>
      <c r="DD210" s="447"/>
      <c r="DE210" s="447"/>
      <c r="DF210" s="447"/>
      <c r="DG210" s="447"/>
      <c r="DH210" s="447"/>
      <c r="DI210" s="447"/>
      <c r="DJ210" s="447"/>
      <c r="DK210" s="447"/>
      <c r="DL210" s="67"/>
      <c r="DM210" s="67"/>
      <c r="DN210" s="67"/>
      <c r="DO210" s="67"/>
      <c r="DP210" s="67"/>
      <c r="DQ210" s="67"/>
    </row>
    <row r="211" ht="22.5" customHeight="1">
      <c r="A211" s="383"/>
      <c r="B211" s="384" t="str">
        <f>IFERROR(__xludf.DUMMYFUNCTION("IF(B$43="""","""",IF($AZ211="""","""",IFERROR(Query({CarteirasAtivos},""Select Col3 where Col1 = '""&amp;$AZ211&amp;""'and Col2 = '""&amp;S$21&amp;""'""))))"),"")</f>
        <v/>
      </c>
      <c r="C211" s="384" t="str">
        <f>IFERROR(__xludf.DUMMYFUNCTION("IF(C$43="""","""",IF($AZ211="""","""",IFERROR(Query({CarteirasAtivos},""Select Col3 where Col1 = '""&amp;$AZ211&amp;""'and Col2 = '""&amp;T$21&amp;""'""))))"),"")</f>
        <v/>
      </c>
      <c r="D211" s="384" t="str">
        <f>IFERROR(__xludf.DUMMYFUNCTION("IF(D$43="""","""",IF($AZ211="""","""",IFERROR(Query({CarteirasAtivos},""Select Col3 where Col1 = '""&amp;$AZ211&amp;""'and Col2 = '""&amp;U$21&amp;""'""))))"),"")</f>
        <v/>
      </c>
      <c r="E211" s="384" t="str">
        <f>IFERROR(__xludf.DUMMYFUNCTION("IF(E$43="""","""",IF($AZ211="""","""",IFERROR(Query({CarteirasAtivos},""Select Col3 where Col1 = '""&amp;$AZ211&amp;""'and Col2 = '""&amp;V$21&amp;""'""))))"),"")</f>
        <v/>
      </c>
      <c r="F211" s="384" t="str">
        <f>IFERROR(__xludf.DUMMYFUNCTION("IF(F$43="""","""",IF($AZ211="""","""",IFERROR(Query({CarteirasAtivos},""Select Col3 where Col1 = '""&amp;$AZ211&amp;""'and Col2 = '""&amp;W$21&amp;""'""))))"),"")</f>
        <v/>
      </c>
      <c r="G211" s="384" t="str">
        <f>IFERROR(__xludf.DUMMYFUNCTION("IF(G$43="""","""",IF($AZ211="""","""",IFERROR(Query({CarteirasAtivos},""Select Col3 where Col1 = '""&amp;$AZ211&amp;""'and Col2 = '""&amp;X$21&amp;""'""))))"),"")</f>
        <v/>
      </c>
      <c r="H211" s="384" t="str">
        <f>IFERROR(__xludf.DUMMYFUNCTION("IF(H$43="""","""",IF($AZ211="""","""",IFERROR(Query({CarteirasAtivos},""Select Col3 where Col1 = '""&amp;$AZ211&amp;""'and Col2 = '""&amp;Y$21&amp;""'""))))"),"")</f>
        <v/>
      </c>
      <c r="I211" s="384" t="str">
        <f>IFERROR(__xludf.DUMMYFUNCTION("IF(I$43="""","""",IF($AZ211="""","""",IFERROR(Query({CarteirasAtivos},""Select Col3 where Col1 = '""&amp;$AZ211&amp;""'and Col2 = '""&amp;Z$21&amp;""'""))))"),"")</f>
        <v/>
      </c>
      <c r="J211" s="384" t="str">
        <f>IFERROR(__xludf.DUMMYFUNCTION("IF(J$43="""","""",IF($AZ211="""","""",IFERROR(Query({CarteirasAtivos},""Select Col3 where Col1 = '""&amp;$AZ211&amp;""'and Col2 = '""&amp;AA$21&amp;""'""))))"),"")</f>
        <v/>
      </c>
      <c r="K211" s="384" t="str">
        <f>IFERROR(__xludf.DUMMYFUNCTION("IF(K$43="""","""",IF($AZ211="""","""",IFERROR(Query({CarteirasAtivos},""Select Col3 where Col1 = '""&amp;$AZ211&amp;""'and Col2 = '""&amp;AB$21&amp;""'""))))"),"")</f>
        <v/>
      </c>
      <c r="L211" s="385">
        <v>168.0</v>
      </c>
      <c r="M211" s="503"/>
      <c r="N211" s="387"/>
      <c r="O211" s="388" t="s">
        <v>123</v>
      </c>
      <c r="P211" s="389"/>
      <c r="Q211" s="390"/>
      <c r="R211" s="391"/>
      <c r="S211" s="392"/>
      <c r="T211" s="393"/>
      <c r="U211" s="393"/>
      <c r="V211" s="394"/>
      <c r="W211" s="395" t="str">
        <f>IFERROR(__xludf.DUMMYFUNCTION("IF(M211="""","""",sparkline(IFERROR(BF211*100/MAX($BF$44:$BF$153),0),{""charttype"",""bar"";""max"",100;""color1"",IF(BD211&gt;=0,""#4760a5"",""red"")}))"),"")</f>
        <v/>
      </c>
      <c r="X211" s="396"/>
      <c r="Y211" s="466"/>
      <c r="Z211" s="398"/>
      <c r="AA211" s="399"/>
      <c r="AB211" s="393"/>
      <c r="AC211" s="476"/>
      <c r="AD211" s="401"/>
      <c r="AE211" s="402"/>
      <c r="AF211" s="403"/>
      <c r="AG211" s="404" t="str">
        <f>IFERROR(__xludf.DUMMYFUNCTION("IF($M211="""","""",IFERROR(sparkline(query(GOOGLEFINANCE($AZ211,""price"",TODAY()-$AF$43,TODAY(),1),""select Col2 label Col2 ''""),IF($AG$43=""Gráfico de barras"",{""charttype"",""column"";""highcolor"",""red""},{""chartype"",""line""}))))"),"")</f>
        <v/>
      </c>
      <c r="AH211" s="405"/>
      <c r="AI211" s="467"/>
      <c r="AJ211" s="467"/>
      <c r="AK211" s="467"/>
      <c r="AL211" s="467"/>
      <c r="AM211" s="442"/>
      <c r="AN211" s="442"/>
      <c r="AU211" s="281"/>
      <c r="AV211" s="281"/>
      <c r="AW211" s="281"/>
      <c r="AX211" s="281"/>
      <c r="AY211" s="410">
        <v>168.0</v>
      </c>
      <c r="AZ211" s="411"/>
      <c r="BA211" s="411"/>
      <c r="BB211" s="437"/>
      <c r="BC211" s="437"/>
      <c r="BD211" s="437"/>
      <c r="BE211" s="437"/>
      <c r="BF211" s="415" t="s">
        <v>123</v>
      </c>
      <c r="BG211" s="410">
        <v>168.0</v>
      </c>
      <c r="BH211" s="416"/>
      <c r="BI211" s="416"/>
      <c r="BJ211" s="416"/>
      <c r="BK211" s="416"/>
      <c r="BL211" s="416"/>
      <c r="BM211" s="416"/>
      <c r="BN211" s="282"/>
      <c r="BO211" s="490"/>
      <c r="BP211" s="489"/>
      <c r="BQ211" s="489"/>
      <c r="BR211" s="489"/>
      <c r="BS211" s="489"/>
      <c r="BT211" s="489"/>
      <c r="BU211" s="489"/>
      <c r="BV211" s="489"/>
      <c r="BW211" s="63"/>
      <c r="BX211" s="62"/>
      <c r="BY211" s="452"/>
      <c r="BZ211" s="452"/>
      <c r="CA211" s="452"/>
      <c r="CB211" s="452"/>
      <c r="CC211" s="452"/>
      <c r="CD211" s="452"/>
      <c r="CE211" s="452"/>
      <c r="CF211" s="452"/>
      <c r="CG211" s="452"/>
      <c r="CH211" s="422"/>
      <c r="CI211" s="422"/>
      <c r="CJ211" s="422"/>
      <c r="CK211" s="421"/>
      <c r="CL211" s="421" t="s">
        <v>123</v>
      </c>
      <c r="CM211" s="423"/>
      <c r="CN211" s="421"/>
      <c r="CO211" s="423"/>
      <c r="CP211" s="421"/>
      <c r="CQ211" s="63"/>
      <c r="CR211" s="63"/>
      <c r="CS211" s="63"/>
      <c r="CT211" s="63"/>
      <c r="CU211" s="447"/>
      <c r="CV211" s="447"/>
      <c r="CW211" s="447"/>
      <c r="CX211" s="447"/>
      <c r="CY211" s="447"/>
      <c r="CZ211" s="447"/>
      <c r="DA211" s="447"/>
      <c r="DB211" s="447"/>
      <c r="DC211" s="447"/>
      <c r="DD211" s="447"/>
      <c r="DE211" s="447"/>
      <c r="DF211" s="447"/>
      <c r="DG211" s="447"/>
      <c r="DH211" s="447"/>
      <c r="DI211" s="447"/>
      <c r="DJ211" s="447"/>
      <c r="DK211" s="447"/>
      <c r="DL211" s="67"/>
      <c r="DM211" s="67"/>
      <c r="DN211" s="67"/>
      <c r="DO211" s="67"/>
      <c r="DP211" s="67"/>
      <c r="DQ211" s="67"/>
    </row>
    <row r="212" ht="22.5" customHeight="1">
      <c r="A212" s="383"/>
      <c r="B212" s="384" t="str">
        <f>IFERROR(__xludf.DUMMYFUNCTION("IF(B$43="""","""",IF($AZ212="""","""",IFERROR(Query({CarteirasAtivos},""Select Col3 where Col1 = '""&amp;$AZ212&amp;""'and Col2 = '""&amp;S$21&amp;""'""))))"),"")</f>
        <v/>
      </c>
      <c r="C212" s="384" t="str">
        <f>IFERROR(__xludf.DUMMYFUNCTION("IF(C$43="""","""",IF($AZ212="""","""",IFERROR(Query({CarteirasAtivos},""Select Col3 where Col1 = '""&amp;$AZ212&amp;""'and Col2 = '""&amp;T$21&amp;""'""))))"),"")</f>
        <v/>
      </c>
      <c r="D212" s="384" t="str">
        <f>IFERROR(__xludf.DUMMYFUNCTION("IF(D$43="""","""",IF($AZ212="""","""",IFERROR(Query({CarteirasAtivos},""Select Col3 where Col1 = '""&amp;$AZ212&amp;""'and Col2 = '""&amp;U$21&amp;""'""))))"),"")</f>
        <v/>
      </c>
      <c r="E212" s="384" t="str">
        <f>IFERROR(__xludf.DUMMYFUNCTION("IF(E$43="""","""",IF($AZ212="""","""",IFERROR(Query({CarteirasAtivos},""Select Col3 where Col1 = '""&amp;$AZ212&amp;""'and Col2 = '""&amp;V$21&amp;""'""))))"),"")</f>
        <v/>
      </c>
      <c r="F212" s="384" t="str">
        <f>IFERROR(__xludf.DUMMYFUNCTION("IF(F$43="""","""",IF($AZ212="""","""",IFERROR(Query({CarteirasAtivos},""Select Col3 where Col1 = '""&amp;$AZ212&amp;""'and Col2 = '""&amp;W$21&amp;""'""))))"),"")</f>
        <v/>
      </c>
      <c r="G212" s="384" t="str">
        <f>IFERROR(__xludf.DUMMYFUNCTION("IF(G$43="""","""",IF($AZ212="""","""",IFERROR(Query({CarteirasAtivos},""Select Col3 where Col1 = '""&amp;$AZ212&amp;""'and Col2 = '""&amp;X$21&amp;""'""))))"),"")</f>
        <v/>
      </c>
      <c r="H212" s="384" t="str">
        <f>IFERROR(__xludf.DUMMYFUNCTION("IF(H$43="""","""",IF($AZ212="""","""",IFERROR(Query({CarteirasAtivos},""Select Col3 where Col1 = '""&amp;$AZ212&amp;""'and Col2 = '""&amp;Y$21&amp;""'""))))"),"")</f>
        <v/>
      </c>
      <c r="I212" s="384" t="str">
        <f>IFERROR(__xludf.DUMMYFUNCTION("IF(I$43="""","""",IF($AZ212="""","""",IFERROR(Query({CarteirasAtivos},""Select Col3 where Col1 = '""&amp;$AZ212&amp;""'and Col2 = '""&amp;Z$21&amp;""'""))))"),"")</f>
        <v/>
      </c>
      <c r="J212" s="384" t="str">
        <f>IFERROR(__xludf.DUMMYFUNCTION("IF(J$43="""","""",IF($AZ212="""","""",IFERROR(Query({CarteirasAtivos},""Select Col3 where Col1 = '""&amp;$AZ212&amp;""'and Col2 = '""&amp;AA$21&amp;""'""))))"),"")</f>
        <v/>
      </c>
      <c r="K212" s="384" t="str">
        <f>IFERROR(__xludf.DUMMYFUNCTION("IF(K$43="""","""",IF($AZ212="""","""",IFERROR(Query({CarteirasAtivos},""Select Col3 where Col1 = '""&amp;$AZ212&amp;""'and Col2 = '""&amp;AB$21&amp;""'""))))"),"")</f>
        <v/>
      </c>
      <c r="L212" s="385">
        <v>169.0</v>
      </c>
      <c r="M212" s="503"/>
      <c r="N212" s="387"/>
      <c r="O212" s="388" t="s">
        <v>123</v>
      </c>
      <c r="P212" s="389"/>
      <c r="Q212" s="390"/>
      <c r="R212" s="391"/>
      <c r="S212" s="392"/>
      <c r="T212" s="393"/>
      <c r="U212" s="393"/>
      <c r="V212" s="394"/>
      <c r="W212" s="395" t="str">
        <f>IFERROR(__xludf.DUMMYFUNCTION("IF(M212="""","""",sparkline(IFERROR(BF212*100/MAX($BF$44:$BF$153),0),{""charttype"",""bar"";""max"",100;""color1"",IF(BD212&gt;=0,""#4760a5"",""red"")}))"),"")</f>
        <v/>
      </c>
      <c r="X212" s="396"/>
      <c r="Y212" s="466"/>
      <c r="Z212" s="398"/>
      <c r="AA212" s="399"/>
      <c r="AB212" s="393"/>
      <c r="AC212" s="476"/>
      <c r="AD212" s="401"/>
      <c r="AE212" s="402"/>
      <c r="AF212" s="403"/>
      <c r="AG212" s="404" t="str">
        <f>IFERROR(__xludf.DUMMYFUNCTION("IF($M212="""","""",IFERROR(sparkline(query(GOOGLEFINANCE($AZ212,""price"",TODAY()-$AF$43,TODAY(),1),""select Col2 label Col2 ''""),IF($AG$43=""Gráfico de barras"",{""charttype"",""column"";""highcolor"",""red""},{""chartype"",""line""}))))"),"")</f>
        <v/>
      </c>
      <c r="AH212" s="405"/>
      <c r="AI212" s="467"/>
      <c r="AJ212" s="467"/>
      <c r="AK212" s="467"/>
      <c r="AL212" s="467"/>
      <c r="AM212" s="442"/>
      <c r="AN212" s="442"/>
      <c r="AU212" s="281"/>
      <c r="AV212" s="281"/>
      <c r="AW212" s="281"/>
      <c r="AX212" s="281"/>
      <c r="AY212" s="410">
        <v>169.0</v>
      </c>
      <c r="AZ212" s="411"/>
      <c r="BA212" s="411"/>
      <c r="BB212" s="437"/>
      <c r="BC212" s="437"/>
      <c r="BD212" s="437"/>
      <c r="BE212" s="437"/>
      <c r="BF212" s="415" t="s">
        <v>123</v>
      </c>
      <c r="BG212" s="410">
        <v>169.0</v>
      </c>
      <c r="BH212" s="416"/>
      <c r="BI212" s="416"/>
      <c r="BJ212" s="416"/>
      <c r="BK212" s="416"/>
      <c r="BL212" s="416"/>
      <c r="BM212" s="416"/>
      <c r="BN212" s="282"/>
      <c r="BO212" s="490"/>
      <c r="BP212" s="489"/>
      <c r="BQ212" s="489"/>
      <c r="BR212" s="489"/>
      <c r="BS212" s="489"/>
      <c r="BT212" s="489"/>
      <c r="BU212" s="489"/>
      <c r="BV212" s="489"/>
      <c r="BW212" s="63"/>
      <c r="BX212" s="62"/>
      <c r="BY212" s="452"/>
      <c r="BZ212" s="452"/>
      <c r="CA212" s="452"/>
      <c r="CB212" s="452"/>
      <c r="CC212" s="452"/>
      <c r="CD212" s="452"/>
      <c r="CE212" s="452"/>
      <c r="CF212" s="452"/>
      <c r="CG212" s="452"/>
      <c r="CH212" s="422"/>
      <c r="CI212" s="422"/>
      <c r="CJ212" s="422"/>
      <c r="CK212" s="421"/>
      <c r="CL212" s="421" t="s">
        <v>123</v>
      </c>
      <c r="CM212" s="423"/>
      <c r="CN212" s="421"/>
      <c r="CO212" s="423"/>
      <c r="CP212" s="421"/>
      <c r="CQ212" s="63"/>
      <c r="CR212" s="63"/>
      <c r="CS212" s="63"/>
      <c r="CT212" s="63"/>
      <c r="CU212" s="447"/>
      <c r="CV212" s="447"/>
      <c r="CW212" s="447"/>
      <c r="CX212" s="447"/>
      <c r="CY212" s="447"/>
      <c r="CZ212" s="447"/>
      <c r="DA212" s="447"/>
      <c r="DB212" s="447"/>
      <c r="DC212" s="447"/>
      <c r="DD212" s="447"/>
      <c r="DE212" s="447"/>
      <c r="DF212" s="447"/>
      <c r="DG212" s="447"/>
      <c r="DH212" s="447"/>
      <c r="DI212" s="447"/>
      <c r="DJ212" s="447"/>
      <c r="DK212" s="447"/>
      <c r="DL212" s="67"/>
      <c r="DM212" s="67"/>
      <c r="DN212" s="67"/>
      <c r="DO212" s="67"/>
      <c r="DP212" s="67"/>
      <c r="DQ212" s="67"/>
    </row>
    <row r="213" ht="22.5" customHeight="1">
      <c r="A213" s="383"/>
      <c r="B213" s="384" t="str">
        <f>IFERROR(__xludf.DUMMYFUNCTION("IF(B$43="""","""",IF($AZ213="""","""",IFERROR(Query({CarteirasAtivos},""Select Col3 where Col1 = '""&amp;$AZ213&amp;""'and Col2 = '""&amp;S$21&amp;""'""))))"),"")</f>
        <v/>
      </c>
      <c r="C213" s="384" t="str">
        <f>IFERROR(__xludf.DUMMYFUNCTION("IF(C$43="""","""",IF($AZ213="""","""",IFERROR(Query({CarteirasAtivos},""Select Col3 where Col1 = '""&amp;$AZ213&amp;""'and Col2 = '""&amp;T$21&amp;""'""))))"),"")</f>
        <v/>
      </c>
      <c r="D213" s="384" t="str">
        <f>IFERROR(__xludf.DUMMYFUNCTION("IF(D$43="""","""",IF($AZ213="""","""",IFERROR(Query({CarteirasAtivos},""Select Col3 where Col1 = '""&amp;$AZ213&amp;""'and Col2 = '""&amp;U$21&amp;""'""))))"),"")</f>
        <v/>
      </c>
      <c r="E213" s="384" t="str">
        <f>IFERROR(__xludf.DUMMYFUNCTION("IF(E$43="""","""",IF($AZ213="""","""",IFERROR(Query({CarteirasAtivos},""Select Col3 where Col1 = '""&amp;$AZ213&amp;""'and Col2 = '""&amp;V$21&amp;""'""))))"),"")</f>
        <v/>
      </c>
      <c r="F213" s="384" t="str">
        <f>IFERROR(__xludf.DUMMYFUNCTION("IF(F$43="""","""",IF($AZ213="""","""",IFERROR(Query({CarteirasAtivos},""Select Col3 where Col1 = '""&amp;$AZ213&amp;""'and Col2 = '""&amp;W$21&amp;""'""))))"),"")</f>
        <v/>
      </c>
      <c r="G213" s="384" t="str">
        <f>IFERROR(__xludf.DUMMYFUNCTION("IF(G$43="""","""",IF($AZ213="""","""",IFERROR(Query({CarteirasAtivos},""Select Col3 where Col1 = '""&amp;$AZ213&amp;""'and Col2 = '""&amp;X$21&amp;""'""))))"),"")</f>
        <v/>
      </c>
      <c r="H213" s="384" t="str">
        <f>IFERROR(__xludf.DUMMYFUNCTION("IF(H$43="""","""",IF($AZ213="""","""",IFERROR(Query({CarteirasAtivos},""Select Col3 where Col1 = '""&amp;$AZ213&amp;""'and Col2 = '""&amp;Y$21&amp;""'""))))"),"")</f>
        <v/>
      </c>
      <c r="I213" s="384" t="str">
        <f>IFERROR(__xludf.DUMMYFUNCTION("IF(I$43="""","""",IF($AZ213="""","""",IFERROR(Query({CarteirasAtivos},""Select Col3 where Col1 = '""&amp;$AZ213&amp;""'and Col2 = '""&amp;Z$21&amp;""'""))))"),"")</f>
        <v/>
      </c>
      <c r="J213" s="384" t="str">
        <f>IFERROR(__xludf.DUMMYFUNCTION("IF(J$43="""","""",IF($AZ213="""","""",IFERROR(Query({CarteirasAtivos},""Select Col3 where Col1 = '""&amp;$AZ213&amp;""'and Col2 = '""&amp;AA$21&amp;""'""))))"),"")</f>
        <v/>
      </c>
      <c r="K213" s="384" t="str">
        <f>IFERROR(__xludf.DUMMYFUNCTION("IF(K$43="""","""",IF($AZ213="""","""",IFERROR(Query({CarteirasAtivos},""Select Col3 where Col1 = '""&amp;$AZ213&amp;""'and Col2 = '""&amp;AB$21&amp;""'""))))"),"")</f>
        <v/>
      </c>
      <c r="L213" s="385">
        <v>170.0</v>
      </c>
      <c r="M213" s="503"/>
      <c r="N213" s="387"/>
      <c r="O213" s="388" t="s">
        <v>123</v>
      </c>
      <c r="P213" s="389"/>
      <c r="Q213" s="390"/>
      <c r="R213" s="391"/>
      <c r="S213" s="392"/>
      <c r="T213" s="393"/>
      <c r="U213" s="393"/>
      <c r="V213" s="394"/>
      <c r="W213" s="395" t="str">
        <f>IFERROR(__xludf.DUMMYFUNCTION("IF(M213="""","""",sparkline(IFERROR(BF213*100/MAX($BF$44:$BF$153),0),{""charttype"",""bar"";""max"",100;""color1"",IF(BD213&gt;=0,""#4760a5"",""red"")}))"),"")</f>
        <v/>
      </c>
      <c r="X213" s="396"/>
      <c r="Y213" s="466"/>
      <c r="Z213" s="398"/>
      <c r="AA213" s="399"/>
      <c r="AB213" s="393"/>
      <c r="AC213" s="476"/>
      <c r="AD213" s="401"/>
      <c r="AE213" s="402"/>
      <c r="AF213" s="403"/>
      <c r="AG213" s="404" t="str">
        <f>IFERROR(__xludf.DUMMYFUNCTION("IF($M213="""","""",IFERROR(sparkline(query(GOOGLEFINANCE($AZ213,""price"",TODAY()-$AF$43,TODAY(),1),""select Col2 label Col2 ''""),IF($AG$43=""Gráfico de barras"",{""charttype"",""column"";""highcolor"",""red""},{""chartype"",""line""}))))"),"")</f>
        <v/>
      </c>
      <c r="AH213" s="405"/>
      <c r="AI213" s="467"/>
      <c r="AJ213" s="467"/>
      <c r="AK213" s="467"/>
      <c r="AL213" s="467"/>
      <c r="AM213" s="442"/>
      <c r="AN213" s="442"/>
      <c r="AU213" s="281"/>
      <c r="AV213" s="281"/>
      <c r="AW213" s="281"/>
      <c r="AX213" s="281"/>
      <c r="AY213" s="410">
        <v>170.0</v>
      </c>
      <c r="AZ213" s="411"/>
      <c r="BA213" s="411"/>
      <c r="BB213" s="437"/>
      <c r="BC213" s="437"/>
      <c r="BD213" s="437"/>
      <c r="BE213" s="437"/>
      <c r="BF213" s="415" t="s">
        <v>123</v>
      </c>
      <c r="BG213" s="410">
        <v>170.0</v>
      </c>
      <c r="BH213" s="416"/>
      <c r="BI213" s="416"/>
      <c r="BJ213" s="416"/>
      <c r="BK213" s="416"/>
      <c r="BL213" s="416"/>
      <c r="BM213" s="416"/>
      <c r="BN213" s="282"/>
      <c r="BO213" s="490"/>
      <c r="BP213" s="489"/>
      <c r="BQ213" s="489"/>
      <c r="BR213" s="489"/>
      <c r="BS213" s="489"/>
      <c r="BT213" s="489"/>
      <c r="BU213" s="489"/>
      <c r="BV213" s="489"/>
      <c r="BW213" s="63"/>
      <c r="BX213" s="62"/>
      <c r="BY213" s="452"/>
      <c r="BZ213" s="452"/>
      <c r="CA213" s="452"/>
      <c r="CB213" s="452"/>
      <c r="CC213" s="452"/>
      <c r="CD213" s="452"/>
      <c r="CE213" s="452"/>
      <c r="CF213" s="452"/>
      <c r="CG213" s="452"/>
      <c r="CH213" s="422"/>
      <c r="CI213" s="422"/>
      <c r="CJ213" s="422"/>
      <c r="CK213" s="421"/>
      <c r="CL213" s="421" t="s">
        <v>123</v>
      </c>
      <c r="CM213" s="423"/>
      <c r="CN213" s="421"/>
      <c r="CO213" s="423"/>
      <c r="CP213" s="421"/>
      <c r="CQ213" s="63"/>
      <c r="CR213" s="63"/>
      <c r="CS213" s="63"/>
      <c r="CT213" s="63"/>
      <c r="CU213" s="447"/>
      <c r="CV213" s="447"/>
      <c r="CW213" s="447"/>
      <c r="CX213" s="447"/>
      <c r="CY213" s="447"/>
      <c r="CZ213" s="447"/>
      <c r="DA213" s="447"/>
      <c r="DB213" s="447"/>
      <c r="DC213" s="447"/>
      <c r="DD213" s="447"/>
      <c r="DE213" s="447"/>
      <c r="DF213" s="447"/>
      <c r="DG213" s="447"/>
      <c r="DH213" s="447"/>
      <c r="DI213" s="447"/>
      <c r="DJ213" s="447"/>
      <c r="DK213" s="447"/>
      <c r="DL213" s="67"/>
      <c r="DM213" s="67"/>
      <c r="DN213" s="67"/>
      <c r="DO213" s="67"/>
      <c r="DP213" s="67"/>
      <c r="DQ213" s="67"/>
    </row>
    <row r="214" ht="22.5" customHeight="1">
      <c r="A214" s="383"/>
      <c r="B214" s="384" t="str">
        <f>IFERROR(__xludf.DUMMYFUNCTION("IF(B$43="""","""",IF($AZ214="""","""",IFERROR(Query({CarteirasAtivos},""Select Col3 where Col1 = '""&amp;$AZ214&amp;""'and Col2 = '""&amp;S$21&amp;""'""))))"),"")</f>
        <v/>
      </c>
      <c r="C214" s="384" t="str">
        <f>IFERROR(__xludf.DUMMYFUNCTION("IF(C$43="""","""",IF($AZ214="""","""",IFERROR(Query({CarteirasAtivos},""Select Col3 where Col1 = '""&amp;$AZ214&amp;""'and Col2 = '""&amp;T$21&amp;""'""))))"),"")</f>
        <v/>
      </c>
      <c r="D214" s="384" t="str">
        <f>IFERROR(__xludf.DUMMYFUNCTION("IF(D$43="""","""",IF($AZ214="""","""",IFERROR(Query({CarteirasAtivos},""Select Col3 where Col1 = '""&amp;$AZ214&amp;""'and Col2 = '""&amp;U$21&amp;""'""))))"),"")</f>
        <v/>
      </c>
      <c r="E214" s="384" t="str">
        <f>IFERROR(__xludf.DUMMYFUNCTION("IF(E$43="""","""",IF($AZ214="""","""",IFERROR(Query({CarteirasAtivos},""Select Col3 where Col1 = '""&amp;$AZ214&amp;""'and Col2 = '""&amp;V$21&amp;""'""))))"),"")</f>
        <v/>
      </c>
      <c r="F214" s="384" t="str">
        <f>IFERROR(__xludf.DUMMYFUNCTION("IF(F$43="""","""",IF($AZ214="""","""",IFERROR(Query({CarteirasAtivos},""Select Col3 where Col1 = '""&amp;$AZ214&amp;""'and Col2 = '""&amp;W$21&amp;""'""))))"),"")</f>
        <v/>
      </c>
      <c r="G214" s="384" t="str">
        <f>IFERROR(__xludf.DUMMYFUNCTION("IF(G$43="""","""",IF($AZ214="""","""",IFERROR(Query({CarteirasAtivos},""Select Col3 where Col1 = '""&amp;$AZ214&amp;""'and Col2 = '""&amp;X$21&amp;""'""))))"),"")</f>
        <v/>
      </c>
      <c r="H214" s="384" t="str">
        <f>IFERROR(__xludf.DUMMYFUNCTION("IF(H$43="""","""",IF($AZ214="""","""",IFERROR(Query({CarteirasAtivos},""Select Col3 where Col1 = '""&amp;$AZ214&amp;""'and Col2 = '""&amp;Y$21&amp;""'""))))"),"")</f>
        <v/>
      </c>
      <c r="I214" s="384" t="str">
        <f>IFERROR(__xludf.DUMMYFUNCTION("IF(I$43="""","""",IF($AZ214="""","""",IFERROR(Query({CarteirasAtivos},""Select Col3 where Col1 = '""&amp;$AZ214&amp;""'and Col2 = '""&amp;Z$21&amp;""'""))))"),"")</f>
        <v/>
      </c>
      <c r="J214" s="384" t="str">
        <f>IFERROR(__xludf.DUMMYFUNCTION("IF(J$43="""","""",IF($AZ214="""","""",IFERROR(Query({CarteirasAtivos},""Select Col3 where Col1 = '""&amp;$AZ214&amp;""'and Col2 = '""&amp;AA$21&amp;""'""))))"),"")</f>
        <v/>
      </c>
      <c r="K214" s="384" t="str">
        <f>IFERROR(__xludf.DUMMYFUNCTION("IF(K$43="""","""",IF($AZ214="""","""",IFERROR(Query({CarteirasAtivos},""Select Col3 where Col1 = '""&amp;$AZ214&amp;""'and Col2 = '""&amp;AB$21&amp;""'""))))"),"")</f>
        <v/>
      </c>
      <c r="L214" s="385">
        <v>171.0</v>
      </c>
      <c r="M214" s="503"/>
      <c r="N214" s="387"/>
      <c r="O214" s="388" t="s">
        <v>123</v>
      </c>
      <c r="P214" s="389"/>
      <c r="Q214" s="390"/>
      <c r="R214" s="391"/>
      <c r="S214" s="392"/>
      <c r="T214" s="393"/>
      <c r="U214" s="393"/>
      <c r="V214" s="394"/>
      <c r="W214" s="395" t="str">
        <f>IFERROR(__xludf.DUMMYFUNCTION("IF(M214="""","""",sparkline(IFERROR(BF214*100/MAX($BF$44:$BF$153),0),{""charttype"",""bar"";""max"",100;""color1"",IF(BD214&gt;=0,""#4760a5"",""red"")}))"),"")</f>
        <v/>
      </c>
      <c r="X214" s="396"/>
      <c r="Y214" s="466"/>
      <c r="Z214" s="398"/>
      <c r="AA214" s="399"/>
      <c r="AB214" s="393"/>
      <c r="AC214" s="476"/>
      <c r="AD214" s="401"/>
      <c r="AE214" s="402"/>
      <c r="AF214" s="403"/>
      <c r="AG214" s="404" t="str">
        <f>IFERROR(__xludf.DUMMYFUNCTION("IF($M214="""","""",IFERROR(sparkline(query(GOOGLEFINANCE($AZ214,""price"",TODAY()-$AF$43,TODAY(),1),""select Col2 label Col2 ''""),IF($AG$43=""Gráfico de barras"",{""charttype"",""column"";""highcolor"",""red""},{""chartype"",""line""}))))"),"")</f>
        <v/>
      </c>
      <c r="AH214" s="405"/>
      <c r="AI214" s="467"/>
      <c r="AJ214" s="467"/>
      <c r="AK214" s="467"/>
      <c r="AL214" s="467"/>
      <c r="AM214" s="442"/>
      <c r="AN214" s="442"/>
      <c r="AU214" s="281"/>
      <c r="AV214" s="281"/>
      <c r="AW214" s="281"/>
      <c r="AX214" s="281"/>
      <c r="AY214" s="410">
        <v>171.0</v>
      </c>
      <c r="AZ214" s="411"/>
      <c r="BA214" s="411"/>
      <c r="BB214" s="437"/>
      <c r="BC214" s="437"/>
      <c r="BD214" s="437"/>
      <c r="BE214" s="437"/>
      <c r="BF214" s="415" t="s">
        <v>123</v>
      </c>
      <c r="BG214" s="410">
        <v>171.0</v>
      </c>
      <c r="BH214" s="416"/>
      <c r="BI214" s="416"/>
      <c r="BJ214" s="416"/>
      <c r="BK214" s="416"/>
      <c r="BL214" s="416"/>
      <c r="BM214" s="416"/>
      <c r="BN214" s="282"/>
      <c r="BO214" s="490"/>
      <c r="BP214" s="489"/>
      <c r="BQ214" s="489"/>
      <c r="BR214" s="489"/>
      <c r="BS214" s="489"/>
      <c r="BT214" s="489"/>
      <c r="BU214" s="489"/>
      <c r="BV214" s="489"/>
      <c r="BW214" s="63"/>
      <c r="BX214" s="62"/>
      <c r="BY214" s="452"/>
      <c r="BZ214" s="452"/>
      <c r="CA214" s="452"/>
      <c r="CB214" s="452"/>
      <c r="CC214" s="452"/>
      <c r="CD214" s="452"/>
      <c r="CE214" s="452"/>
      <c r="CF214" s="452"/>
      <c r="CG214" s="452"/>
      <c r="CH214" s="422"/>
      <c r="CI214" s="422"/>
      <c r="CJ214" s="422"/>
      <c r="CK214" s="421"/>
      <c r="CL214" s="421" t="s">
        <v>123</v>
      </c>
      <c r="CM214" s="423"/>
      <c r="CN214" s="421"/>
      <c r="CO214" s="423"/>
      <c r="CP214" s="421"/>
      <c r="CQ214" s="63"/>
      <c r="CR214" s="63"/>
      <c r="CS214" s="63"/>
      <c r="CT214" s="63"/>
      <c r="CU214" s="447"/>
      <c r="CV214" s="447"/>
      <c r="CW214" s="447"/>
      <c r="CX214" s="447"/>
      <c r="CY214" s="447"/>
      <c r="CZ214" s="447"/>
      <c r="DA214" s="447"/>
      <c r="DB214" s="447"/>
      <c r="DC214" s="447"/>
      <c r="DD214" s="447"/>
      <c r="DE214" s="447"/>
      <c r="DF214" s="447"/>
      <c r="DG214" s="447"/>
      <c r="DH214" s="447"/>
      <c r="DI214" s="447"/>
      <c r="DJ214" s="447"/>
      <c r="DK214" s="447"/>
      <c r="DL214" s="67"/>
      <c r="DM214" s="67"/>
      <c r="DN214" s="67"/>
      <c r="DO214" s="67"/>
      <c r="DP214" s="67"/>
      <c r="DQ214" s="67"/>
    </row>
    <row r="215" ht="22.5" customHeight="1">
      <c r="A215" s="383"/>
      <c r="B215" s="384" t="str">
        <f>IFERROR(__xludf.DUMMYFUNCTION("IF(B$43="""","""",IF($AZ215="""","""",IFERROR(Query({CarteirasAtivos},""Select Col3 where Col1 = '""&amp;$AZ215&amp;""'and Col2 = '""&amp;S$21&amp;""'""))))"),"")</f>
        <v/>
      </c>
      <c r="C215" s="384" t="str">
        <f>IFERROR(__xludf.DUMMYFUNCTION("IF(C$43="""","""",IF($AZ215="""","""",IFERROR(Query({CarteirasAtivos},""Select Col3 where Col1 = '""&amp;$AZ215&amp;""'and Col2 = '""&amp;T$21&amp;""'""))))"),"")</f>
        <v/>
      </c>
      <c r="D215" s="384" t="str">
        <f>IFERROR(__xludf.DUMMYFUNCTION("IF(D$43="""","""",IF($AZ215="""","""",IFERROR(Query({CarteirasAtivos},""Select Col3 where Col1 = '""&amp;$AZ215&amp;""'and Col2 = '""&amp;U$21&amp;""'""))))"),"")</f>
        <v/>
      </c>
      <c r="E215" s="384" t="str">
        <f>IFERROR(__xludf.DUMMYFUNCTION("IF(E$43="""","""",IF($AZ215="""","""",IFERROR(Query({CarteirasAtivos},""Select Col3 where Col1 = '""&amp;$AZ215&amp;""'and Col2 = '""&amp;V$21&amp;""'""))))"),"")</f>
        <v/>
      </c>
      <c r="F215" s="384" t="str">
        <f>IFERROR(__xludf.DUMMYFUNCTION("IF(F$43="""","""",IF($AZ215="""","""",IFERROR(Query({CarteirasAtivos},""Select Col3 where Col1 = '""&amp;$AZ215&amp;""'and Col2 = '""&amp;W$21&amp;""'""))))"),"")</f>
        <v/>
      </c>
      <c r="G215" s="384" t="str">
        <f>IFERROR(__xludf.DUMMYFUNCTION("IF(G$43="""","""",IF($AZ215="""","""",IFERROR(Query({CarteirasAtivos},""Select Col3 where Col1 = '""&amp;$AZ215&amp;""'and Col2 = '""&amp;X$21&amp;""'""))))"),"")</f>
        <v/>
      </c>
      <c r="H215" s="384" t="str">
        <f>IFERROR(__xludf.DUMMYFUNCTION("IF(H$43="""","""",IF($AZ215="""","""",IFERROR(Query({CarteirasAtivos},""Select Col3 where Col1 = '""&amp;$AZ215&amp;""'and Col2 = '""&amp;Y$21&amp;""'""))))"),"")</f>
        <v/>
      </c>
      <c r="I215" s="384" t="str">
        <f>IFERROR(__xludf.DUMMYFUNCTION("IF(I$43="""","""",IF($AZ215="""","""",IFERROR(Query({CarteirasAtivos},""Select Col3 where Col1 = '""&amp;$AZ215&amp;""'and Col2 = '""&amp;Z$21&amp;""'""))))"),"")</f>
        <v/>
      </c>
      <c r="J215" s="384" t="str">
        <f>IFERROR(__xludf.DUMMYFUNCTION("IF(J$43="""","""",IF($AZ215="""","""",IFERROR(Query({CarteirasAtivos},""Select Col3 where Col1 = '""&amp;$AZ215&amp;""'and Col2 = '""&amp;AA$21&amp;""'""))))"),"")</f>
        <v/>
      </c>
      <c r="K215" s="384" t="str">
        <f>IFERROR(__xludf.DUMMYFUNCTION("IF(K$43="""","""",IF($AZ215="""","""",IFERROR(Query({CarteirasAtivos},""Select Col3 where Col1 = '""&amp;$AZ215&amp;""'and Col2 = '""&amp;AB$21&amp;""'""))))"),"")</f>
        <v/>
      </c>
      <c r="L215" s="385">
        <v>172.0</v>
      </c>
      <c r="M215" s="503"/>
      <c r="N215" s="387"/>
      <c r="O215" s="388" t="s">
        <v>123</v>
      </c>
      <c r="P215" s="389"/>
      <c r="Q215" s="390"/>
      <c r="R215" s="391"/>
      <c r="S215" s="392"/>
      <c r="T215" s="393"/>
      <c r="U215" s="393"/>
      <c r="V215" s="394"/>
      <c r="W215" s="395" t="str">
        <f>IFERROR(__xludf.DUMMYFUNCTION("IF(M215="""","""",sparkline(IFERROR(BF215*100/MAX($BF$44:$BF$153),0),{""charttype"",""bar"";""max"",100;""color1"",IF(BD215&gt;=0,""#4760a5"",""red"")}))"),"")</f>
        <v/>
      </c>
      <c r="X215" s="396"/>
      <c r="Y215" s="466"/>
      <c r="Z215" s="398"/>
      <c r="AA215" s="399"/>
      <c r="AB215" s="393"/>
      <c r="AC215" s="476"/>
      <c r="AD215" s="401"/>
      <c r="AE215" s="402"/>
      <c r="AF215" s="403"/>
      <c r="AG215" s="404" t="str">
        <f>IFERROR(__xludf.DUMMYFUNCTION("IF($M215="""","""",IFERROR(sparkline(query(GOOGLEFINANCE($AZ215,""price"",TODAY()-$AF$43,TODAY(),1),""select Col2 label Col2 ''""),IF($AG$43=""Gráfico de barras"",{""charttype"",""column"";""highcolor"",""red""},{""chartype"",""line""}))))"),"")</f>
        <v/>
      </c>
      <c r="AH215" s="405"/>
      <c r="AI215" s="467"/>
      <c r="AJ215" s="467"/>
      <c r="AK215" s="467"/>
      <c r="AL215" s="467"/>
      <c r="AM215" s="442"/>
      <c r="AN215" s="442"/>
      <c r="AU215" s="281"/>
      <c r="AV215" s="281"/>
      <c r="AW215" s="281"/>
      <c r="AX215" s="281"/>
      <c r="AY215" s="410">
        <v>172.0</v>
      </c>
      <c r="AZ215" s="411"/>
      <c r="BA215" s="411"/>
      <c r="BB215" s="437"/>
      <c r="BC215" s="437"/>
      <c r="BD215" s="437"/>
      <c r="BE215" s="437"/>
      <c r="BF215" s="415" t="s">
        <v>123</v>
      </c>
      <c r="BG215" s="410">
        <v>172.0</v>
      </c>
      <c r="BH215" s="416"/>
      <c r="BI215" s="416"/>
      <c r="BJ215" s="416"/>
      <c r="BK215" s="416"/>
      <c r="BL215" s="416"/>
      <c r="BM215" s="416"/>
      <c r="BN215" s="282"/>
      <c r="BO215" s="490"/>
      <c r="BP215" s="489"/>
      <c r="BQ215" s="489"/>
      <c r="BR215" s="489"/>
      <c r="BS215" s="489"/>
      <c r="BT215" s="489"/>
      <c r="BU215" s="489"/>
      <c r="BV215" s="489"/>
      <c r="BW215" s="63"/>
      <c r="BX215" s="62"/>
      <c r="BY215" s="452"/>
      <c r="BZ215" s="452"/>
      <c r="CA215" s="452"/>
      <c r="CB215" s="452"/>
      <c r="CC215" s="452"/>
      <c r="CD215" s="452"/>
      <c r="CE215" s="452"/>
      <c r="CF215" s="452"/>
      <c r="CG215" s="452"/>
      <c r="CH215" s="422"/>
      <c r="CI215" s="422"/>
      <c r="CJ215" s="422"/>
      <c r="CK215" s="421"/>
      <c r="CL215" s="421" t="s">
        <v>123</v>
      </c>
      <c r="CM215" s="423"/>
      <c r="CN215" s="421"/>
      <c r="CO215" s="423"/>
      <c r="CP215" s="421"/>
      <c r="CQ215" s="63"/>
      <c r="CR215" s="63"/>
      <c r="CS215" s="63"/>
      <c r="CT215" s="63"/>
      <c r="CU215" s="447"/>
      <c r="CV215" s="447"/>
      <c r="CW215" s="447"/>
      <c r="CX215" s="447"/>
      <c r="CY215" s="447"/>
      <c r="CZ215" s="447"/>
      <c r="DA215" s="447"/>
      <c r="DB215" s="447"/>
      <c r="DC215" s="447"/>
      <c r="DD215" s="447"/>
      <c r="DE215" s="447"/>
      <c r="DF215" s="447"/>
      <c r="DG215" s="447"/>
      <c r="DH215" s="447"/>
      <c r="DI215" s="447"/>
      <c r="DJ215" s="447"/>
      <c r="DK215" s="447"/>
      <c r="DL215" s="67"/>
      <c r="DM215" s="67"/>
      <c r="DN215" s="67"/>
      <c r="DO215" s="67"/>
      <c r="DP215" s="67"/>
      <c r="DQ215" s="67"/>
    </row>
    <row r="216" ht="22.5" customHeight="1">
      <c r="A216" s="383"/>
      <c r="B216" s="384" t="str">
        <f>IFERROR(__xludf.DUMMYFUNCTION("IF(B$43="""","""",IF($AZ216="""","""",IFERROR(Query({CarteirasAtivos},""Select Col3 where Col1 = '""&amp;$AZ216&amp;""'and Col2 = '""&amp;S$21&amp;""'""))))"),"")</f>
        <v/>
      </c>
      <c r="C216" s="384" t="str">
        <f>IFERROR(__xludf.DUMMYFUNCTION("IF(C$43="""","""",IF($AZ216="""","""",IFERROR(Query({CarteirasAtivos},""Select Col3 where Col1 = '""&amp;$AZ216&amp;""'and Col2 = '""&amp;T$21&amp;""'""))))"),"")</f>
        <v/>
      </c>
      <c r="D216" s="384" t="str">
        <f>IFERROR(__xludf.DUMMYFUNCTION("IF(D$43="""","""",IF($AZ216="""","""",IFERROR(Query({CarteirasAtivos},""Select Col3 where Col1 = '""&amp;$AZ216&amp;""'and Col2 = '""&amp;U$21&amp;""'""))))"),"")</f>
        <v/>
      </c>
      <c r="E216" s="384" t="str">
        <f>IFERROR(__xludf.DUMMYFUNCTION("IF(E$43="""","""",IF($AZ216="""","""",IFERROR(Query({CarteirasAtivos},""Select Col3 where Col1 = '""&amp;$AZ216&amp;""'and Col2 = '""&amp;V$21&amp;""'""))))"),"")</f>
        <v/>
      </c>
      <c r="F216" s="384" t="str">
        <f>IFERROR(__xludf.DUMMYFUNCTION("IF(F$43="""","""",IF($AZ216="""","""",IFERROR(Query({CarteirasAtivos},""Select Col3 where Col1 = '""&amp;$AZ216&amp;""'and Col2 = '""&amp;W$21&amp;""'""))))"),"")</f>
        <v/>
      </c>
      <c r="G216" s="384" t="str">
        <f>IFERROR(__xludf.DUMMYFUNCTION("IF(G$43="""","""",IF($AZ216="""","""",IFERROR(Query({CarteirasAtivos},""Select Col3 where Col1 = '""&amp;$AZ216&amp;""'and Col2 = '""&amp;X$21&amp;""'""))))"),"")</f>
        <v/>
      </c>
      <c r="H216" s="384" t="str">
        <f>IFERROR(__xludf.DUMMYFUNCTION("IF(H$43="""","""",IF($AZ216="""","""",IFERROR(Query({CarteirasAtivos},""Select Col3 where Col1 = '""&amp;$AZ216&amp;""'and Col2 = '""&amp;Y$21&amp;""'""))))"),"")</f>
        <v/>
      </c>
      <c r="I216" s="384" t="str">
        <f>IFERROR(__xludf.DUMMYFUNCTION("IF(I$43="""","""",IF($AZ216="""","""",IFERROR(Query({CarteirasAtivos},""Select Col3 where Col1 = '""&amp;$AZ216&amp;""'and Col2 = '""&amp;Z$21&amp;""'""))))"),"")</f>
        <v/>
      </c>
      <c r="J216" s="384" t="str">
        <f>IFERROR(__xludf.DUMMYFUNCTION("IF(J$43="""","""",IF($AZ216="""","""",IFERROR(Query({CarteirasAtivos},""Select Col3 where Col1 = '""&amp;$AZ216&amp;""'and Col2 = '""&amp;AA$21&amp;""'""))))"),"")</f>
        <v/>
      </c>
      <c r="K216" s="384" t="str">
        <f>IFERROR(__xludf.DUMMYFUNCTION("IF(K$43="""","""",IF($AZ216="""","""",IFERROR(Query({CarteirasAtivos},""Select Col3 where Col1 = '""&amp;$AZ216&amp;""'and Col2 = '""&amp;AB$21&amp;""'""))))"),"")</f>
        <v/>
      </c>
      <c r="L216" s="385">
        <v>173.0</v>
      </c>
      <c r="M216" s="503"/>
      <c r="N216" s="387"/>
      <c r="O216" s="388" t="s">
        <v>123</v>
      </c>
      <c r="P216" s="389"/>
      <c r="Q216" s="390"/>
      <c r="R216" s="391"/>
      <c r="S216" s="392"/>
      <c r="T216" s="393"/>
      <c r="U216" s="393"/>
      <c r="V216" s="394"/>
      <c r="W216" s="395" t="str">
        <f>IFERROR(__xludf.DUMMYFUNCTION("IF(M216="""","""",sparkline(IFERROR(BF216*100/MAX($BF$44:$BF$153),0),{""charttype"",""bar"";""max"",100;""color1"",IF(BD216&gt;=0,""#4760a5"",""red"")}))"),"")</f>
        <v/>
      </c>
      <c r="X216" s="396"/>
      <c r="Y216" s="466"/>
      <c r="Z216" s="398"/>
      <c r="AA216" s="399"/>
      <c r="AB216" s="393"/>
      <c r="AC216" s="476"/>
      <c r="AD216" s="401"/>
      <c r="AE216" s="402"/>
      <c r="AF216" s="403"/>
      <c r="AG216" s="404" t="str">
        <f>IFERROR(__xludf.DUMMYFUNCTION("IF($M216="""","""",IFERROR(sparkline(query(GOOGLEFINANCE($AZ216,""price"",TODAY()-$AF$43,TODAY(),1),""select Col2 label Col2 ''""),IF($AG$43=""Gráfico de barras"",{""charttype"",""column"";""highcolor"",""red""},{""chartype"",""line""}))))"),"")</f>
        <v/>
      </c>
      <c r="AH216" s="405"/>
      <c r="AI216" s="467"/>
      <c r="AJ216" s="467"/>
      <c r="AK216" s="467"/>
      <c r="AL216" s="467"/>
      <c r="AM216" s="442"/>
      <c r="AN216" s="442"/>
      <c r="AU216" s="281"/>
      <c r="AV216" s="281"/>
      <c r="AW216" s="281"/>
      <c r="AX216" s="281"/>
      <c r="AY216" s="410">
        <v>173.0</v>
      </c>
      <c r="AZ216" s="411"/>
      <c r="BA216" s="411"/>
      <c r="BB216" s="437"/>
      <c r="BC216" s="437"/>
      <c r="BD216" s="437"/>
      <c r="BE216" s="437"/>
      <c r="BF216" s="415" t="s">
        <v>123</v>
      </c>
      <c r="BG216" s="410">
        <v>173.0</v>
      </c>
      <c r="BH216" s="416"/>
      <c r="BI216" s="416"/>
      <c r="BJ216" s="416"/>
      <c r="BK216" s="416"/>
      <c r="BL216" s="416"/>
      <c r="BM216" s="416"/>
      <c r="BN216" s="282"/>
      <c r="BO216" s="490"/>
      <c r="BP216" s="489"/>
      <c r="BQ216" s="489"/>
      <c r="BR216" s="489"/>
      <c r="BS216" s="489"/>
      <c r="BT216" s="489"/>
      <c r="BU216" s="489"/>
      <c r="BV216" s="489"/>
      <c r="BW216" s="63"/>
      <c r="BX216" s="62"/>
      <c r="BY216" s="452"/>
      <c r="BZ216" s="452"/>
      <c r="CA216" s="452"/>
      <c r="CB216" s="452"/>
      <c r="CC216" s="452"/>
      <c r="CD216" s="452"/>
      <c r="CE216" s="452"/>
      <c r="CF216" s="452"/>
      <c r="CG216" s="452"/>
      <c r="CH216" s="422"/>
      <c r="CI216" s="422"/>
      <c r="CJ216" s="422"/>
      <c r="CK216" s="421"/>
      <c r="CL216" s="421" t="s">
        <v>123</v>
      </c>
      <c r="CM216" s="423"/>
      <c r="CN216" s="421"/>
      <c r="CO216" s="423"/>
      <c r="CP216" s="421"/>
      <c r="CQ216" s="63"/>
      <c r="CR216" s="63"/>
      <c r="CS216" s="63"/>
      <c r="CT216" s="63"/>
      <c r="CU216" s="447"/>
      <c r="CV216" s="447"/>
      <c r="CW216" s="447"/>
      <c r="CX216" s="447"/>
      <c r="CY216" s="447"/>
      <c r="CZ216" s="447"/>
      <c r="DA216" s="447"/>
      <c r="DB216" s="447"/>
      <c r="DC216" s="447"/>
      <c r="DD216" s="447"/>
      <c r="DE216" s="447"/>
      <c r="DF216" s="447"/>
      <c r="DG216" s="447"/>
      <c r="DH216" s="447"/>
      <c r="DI216" s="447"/>
      <c r="DJ216" s="447"/>
      <c r="DK216" s="447"/>
      <c r="DL216" s="67"/>
      <c r="DM216" s="67"/>
      <c r="DN216" s="67"/>
      <c r="DO216" s="67"/>
      <c r="DP216" s="67"/>
      <c r="DQ216" s="67"/>
    </row>
    <row r="217" ht="22.5" customHeight="1">
      <c r="A217" s="383"/>
      <c r="B217" s="384" t="str">
        <f>IFERROR(__xludf.DUMMYFUNCTION("IF(B$43="""","""",IF($AZ217="""","""",IFERROR(Query({CarteirasAtivos},""Select Col3 where Col1 = '""&amp;$AZ217&amp;""'and Col2 = '""&amp;S$21&amp;""'""))))"),"")</f>
        <v/>
      </c>
      <c r="C217" s="384" t="str">
        <f>IFERROR(__xludf.DUMMYFUNCTION("IF(C$43="""","""",IF($AZ217="""","""",IFERROR(Query({CarteirasAtivos},""Select Col3 where Col1 = '""&amp;$AZ217&amp;""'and Col2 = '""&amp;T$21&amp;""'""))))"),"")</f>
        <v/>
      </c>
      <c r="D217" s="384" t="str">
        <f>IFERROR(__xludf.DUMMYFUNCTION("IF(D$43="""","""",IF($AZ217="""","""",IFERROR(Query({CarteirasAtivos},""Select Col3 where Col1 = '""&amp;$AZ217&amp;""'and Col2 = '""&amp;U$21&amp;""'""))))"),"")</f>
        <v/>
      </c>
      <c r="E217" s="384" t="str">
        <f>IFERROR(__xludf.DUMMYFUNCTION("IF(E$43="""","""",IF($AZ217="""","""",IFERROR(Query({CarteirasAtivos},""Select Col3 where Col1 = '""&amp;$AZ217&amp;""'and Col2 = '""&amp;V$21&amp;""'""))))"),"")</f>
        <v/>
      </c>
      <c r="F217" s="384" t="str">
        <f>IFERROR(__xludf.DUMMYFUNCTION("IF(F$43="""","""",IF($AZ217="""","""",IFERROR(Query({CarteirasAtivos},""Select Col3 where Col1 = '""&amp;$AZ217&amp;""'and Col2 = '""&amp;W$21&amp;""'""))))"),"")</f>
        <v/>
      </c>
      <c r="G217" s="384" t="str">
        <f>IFERROR(__xludf.DUMMYFUNCTION("IF(G$43="""","""",IF($AZ217="""","""",IFERROR(Query({CarteirasAtivos},""Select Col3 where Col1 = '""&amp;$AZ217&amp;""'and Col2 = '""&amp;X$21&amp;""'""))))"),"")</f>
        <v/>
      </c>
      <c r="H217" s="384" t="str">
        <f>IFERROR(__xludf.DUMMYFUNCTION("IF(H$43="""","""",IF($AZ217="""","""",IFERROR(Query({CarteirasAtivos},""Select Col3 where Col1 = '""&amp;$AZ217&amp;""'and Col2 = '""&amp;Y$21&amp;""'""))))"),"")</f>
        <v/>
      </c>
      <c r="I217" s="384" t="str">
        <f>IFERROR(__xludf.DUMMYFUNCTION("IF(I$43="""","""",IF($AZ217="""","""",IFERROR(Query({CarteirasAtivos},""Select Col3 where Col1 = '""&amp;$AZ217&amp;""'and Col2 = '""&amp;Z$21&amp;""'""))))"),"")</f>
        <v/>
      </c>
      <c r="J217" s="384" t="str">
        <f>IFERROR(__xludf.DUMMYFUNCTION("IF(J$43="""","""",IF($AZ217="""","""",IFERROR(Query({CarteirasAtivos},""Select Col3 where Col1 = '""&amp;$AZ217&amp;""'and Col2 = '""&amp;AA$21&amp;""'""))))"),"")</f>
        <v/>
      </c>
      <c r="K217" s="384" t="str">
        <f>IFERROR(__xludf.DUMMYFUNCTION("IF(K$43="""","""",IF($AZ217="""","""",IFERROR(Query({CarteirasAtivos},""Select Col3 where Col1 = '""&amp;$AZ217&amp;""'and Col2 = '""&amp;AB$21&amp;""'""))))"),"")</f>
        <v/>
      </c>
      <c r="L217" s="385">
        <v>174.0</v>
      </c>
      <c r="M217" s="503"/>
      <c r="N217" s="387"/>
      <c r="O217" s="388" t="s">
        <v>123</v>
      </c>
      <c r="P217" s="389"/>
      <c r="Q217" s="390"/>
      <c r="R217" s="391"/>
      <c r="S217" s="392"/>
      <c r="T217" s="393"/>
      <c r="U217" s="393"/>
      <c r="V217" s="394"/>
      <c r="W217" s="395" t="str">
        <f>IFERROR(__xludf.DUMMYFUNCTION("IF(M217="""","""",sparkline(IFERROR(BF217*100/MAX($BF$44:$BF$153),0),{""charttype"",""bar"";""max"",100;""color1"",IF(BD217&gt;=0,""#4760a5"",""red"")}))"),"")</f>
        <v/>
      </c>
      <c r="X217" s="396"/>
      <c r="Y217" s="466"/>
      <c r="Z217" s="398"/>
      <c r="AA217" s="399"/>
      <c r="AB217" s="393"/>
      <c r="AC217" s="476"/>
      <c r="AD217" s="401"/>
      <c r="AE217" s="402"/>
      <c r="AF217" s="403"/>
      <c r="AG217" s="404" t="str">
        <f>IFERROR(__xludf.DUMMYFUNCTION("IF($M217="""","""",IFERROR(sparkline(query(GOOGLEFINANCE($AZ217,""price"",TODAY()-$AF$43,TODAY(),1),""select Col2 label Col2 ''""),IF($AG$43=""Gráfico de barras"",{""charttype"",""column"";""highcolor"",""red""},{""chartype"",""line""}))))"),"")</f>
        <v/>
      </c>
      <c r="AH217" s="405"/>
      <c r="AI217" s="467"/>
      <c r="AJ217" s="467"/>
      <c r="AK217" s="467"/>
      <c r="AL217" s="467"/>
      <c r="AM217" s="442"/>
      <c r="AN217" s="442"/>
      <c r="AU217" s="281"/>
      <c r="AV217" s="281"/>
      <c r="AW217" s="281"/>
      <c r="AX217" s="281"/>
      <c r="AY217" s="410">
        <v>174.0</v>
      </c>
      <c r="AZ217" s="411"/>
      <c r="BA217" s="411"/>
      <c r="BB217" s="437"/>
      <c r="BC217" s="437"/>
      <c r="BD217" s="437"/>
      <c r="BE217" s="437"/>
      <c r="BF217" s="415" t="s">
        <v>123</v>
      </c>
      <c r="BG217" s="410">
        <v>174.0</v>
      </c>
      <c r="BH217" s="416"/>
      <c r="BI217" s="416"/>
      <c r="BJ217" s="416"/>
      <c r="BK217" s="416"/>
      <c r="BL217" s="416"/>
      <c r="BM217" s="416"/>
      <c r="BN217" s="282"/>
      <c r="BO217" s="490"/>
      <c r="BP217" s="489"/>
      <c r="BQ217" s="489"/>
      <c r="BR217" s="489"/>
      <c r="BS217" s="489"/>
      <c r="BT217" s="489"/>
      <c r="BU217" s="489"/>
      <c r="BV217" s="489"/>
      <c r="BW217" s="63"/>
      <c r="BX217" s="62"/>
      <c r="BY217" s="452"/>
      <c r="BZ217" s="452"/>
      <c r="CA217" s="452"/>
      <c r="CB217" s="452"/>
      <c r="CC217" s="452"/>
      <c r="CD217" s="452"/>
      <c r="CE217" s="452"/>
      <c r="CF217" s="452"/>
      <c r="CG217" s="452"/>
      <c r="CH217" s="422"/>
      <c r="CI217" s="422"/>
      <c r="CJ217" s="422"/>
      <c r="CK217" s="421"/>
      <c r="CL217" s="421" t="s">
        <v>123</v>
      </c>
      <c r="CM217" s="423"/>
      <c r="CN217" s="421"/>
      <c r="CO217" s="423"/>
      <c r="CP217" s="421"/>
      <c r="CQ217" s="63"/>
      <c r="CR217" s="63"/>
      <c r="CS217" s="63"/>
      <c r="CT217" s="63"/>
      <c r="CU217" s="447"/>
      <c r="CV217" s="447"/>
      <c r="CW217" s="447"/>
      <c r="CX217" s="447"/>
      <c r="CY217" s="447"/>
      <c r="CZ217" s="447"/>
      <c r="DA217" s="447"/>
      <c r="DB217" s="447"/>
      <c r="DC217" s="447"/>
      <c r="DD217" s="447"/>
      <c r="DE217" s="447"/>
      <c r="DF217" s="447"/>
      <c r="DG217" s="447"/>
      <c r="DH217" s="447"/>
      <c r="DI217" s="447"/>
      <c r="DJ217" s="447"/>
      <c r="DK217" s="447"/>
      <c r="DL217" s="67"/>
      <c r="DM217" s="67"/>
      <c r="DN217" s="67"/>
      <c r="DO217" s="67"/>
      <c r="DP217" s="67"/>
      <c r="DQ217" s="67"/>
    </row>
    <row r="218" ht="22.5" customHeight="1">
      <c r="A218" s="383"/>
      <c r="B218" s="384" t="str">
        <f>IFERROR(__xludf.DUMMYFUNCTION("IF(B$43="""","""",IF($AZ218="""","""",IFERROR(Query({CarteirasAtivos},""Select Col3 where Col1 = '""&amp;$AZ218&amp;""'and Col2 = '""&amp;S$21&amp;""'""))))"),"")</f>
        <v/>
      </c>
      <c r="C218" s="384" t="str">
        <f>IFERROR(__xludf.DUMMYFUNCTION("IF(C$43="""","""",IF($AZ218="""","""",IFERROR(Query({CarteirasAtivos},""Select Col3 where Col1 = '""&amp;$AZ218&amp;""'and Col2 = '""&amp;T$21&amp;""'""))))"),"")</f>
        <v/>
      </c>
      <c r="D218" s="384" t="str">
        <f>IFERROR(__xludf.DUMMYFUNCTION("IF(D$43="""","""",IF($AZ218="""","""",IFERROR(Query({CarteirasAtivos},""Select Col3 where Col1 = '""&amp;$AZ218&amp;""'and Col2 = '""&amp;U$21&amp;""'""))))"),"")</f>
        <v/>
      </c>
      <c r="E218" s="384" t="str">
        <f>IFERROR(__xludf.DUMMYFUNCTION("IF(E$43="""","""",IF($AZ218="""","""",IFERROR(Query({CarteirasAtivos},""Select Col3 where Col1 = '""&amp;$AZ218&amp;""'and Col2 = '""&amp;V$21&amp;""'""))))"),"")</f>
        <v/>
      </c>
      <c r="F218" s="384" t="str">
        <f>IFERROR(__xludf.DUMMYFUNCTION("IF(F$43="""","""",IF($AZ218="""","""",IFERROR(Query({CarteirasAtivos},""Select Col3 where Col1 = '""&amp;$AZ218&amp;""'and Col2 = '""&amp;W$21&amp;""'""))))"),"")</f>
        <v/>
      </c>
      <c r="G218" s="384" t="str">
        <f>IFERROR(__xludf.DUMMYFUNCTION("IF(G$43="""","""",IF($AZ218="""","""",IFERROR(Query({CarteirasAtivos},""Select Col3 where Col1 = '""&amp;$AZ218&amp;""'and Col2 = '""&amp;X$21&amp;""'""))))"),"")</f>
        <v/>
      </c>
      <c r="H218" s="384" t="str">
        <f>IFERROR(__xludf.DUMMYFUNCTION("IF(H$43="""","""",IF($AZ218="""","""",IFERROR(Query({CarteirasAtivos},""Select Col3 where Col1 = '""&amp;$AZ218&amp;""'and Col2 = '""&amp;Y$21&amp;""'""))))"),"")</f>
        <v/>
      </c>
      <c r="I218" s="384" t="str">
        <f>IFERROR(__xludf.DUMMYFUNCTION("IF(I$43="""","""",IF($AZ218="""","""",IFERROR(Query({CarteirasAtivos},""Select Col3 where Col1 = '""&amp;$AZ218&amp;""'and Col2 = '""&amp;Z$21&amp;""'""))))"),"")</f>
        <v/>
      </c>
      <c r="J218" s="384" t="str">
        <f>IFERROR(__xludf.DUMMYFUNCTION("IF(J$43="""","""",IF($AZ218="""","""",IFERROR(Query({CarteirasAtivos},""Select Col3 where Col1 = '""&amp;$AZ218&amp;""'and Col2 = '""&amp;AA$21&amp;""'""))))"),"")</f>
        <v/>
      </c>
      <c r="K218" s="384" t="str">
        <f>IFERROR(__xludf.DUMMYFUNCTION("IF(K$43="""","""",IF($AZ218="""","""",IFERROR(Query({CarteirasAtivos},""Select Col3 where Col1 = '""&amp;$AZ218&amp;""'and Col2 = '""&amp;AB$21&amp;""'""))))"),"")</f>
        <v/>
      </c>
      <c r="L218" s="385">
        <v>175.0</v>
      </c>
      <c r="M218" s="503"/>
      <c r="N218" s="387"/>
      <c r="O218" s="388" t="s">
        <v>123</v>
      </c>
      <c r="P218" s="389"/>
      <c r="Q218" s="390"/>
      <c r="R218" s="391"/>
      <c r="S218" s="392"/>
      <c r="T218" s="393"/>
      <c r="U218" s="393"/>
      <c r="V218" s="394"/>
      <c r="W218" s="395" t="str">
        <f>IFERROR(__xludf.DUMMYFUNCTION("IF(M218="""","""",sparkline(IFERROR(BF218*100/MAX($BF$44:$BF$153),0),{""charttype"",""bar"";""max"",100;""color1"",IF(BD218&gt;=0,""#4760a5"",""red"")}))"),"")</f>
        <v/>
      </c>
      <c r="X218" s="396"/>
      <c r="Y218" s="466"/>
      <c r="Z218" s="398"/>
      <c r="AA218" s="399"/>
      <c r="AB218" s="393"/>
      <c r="AC218" s="476"/>
      <c r="AD218" s="401"/>
      <c r="AE218" s="402"/>
      <c r="AF218" s="403"/>
      <c r="AG218" s="404" t="str">
        <f>IFERROR(__xludf.DUMMYFUNCTION("IF($M218="""","""",IFERROR(sparkline(query(GOOGLEFINANCE($AZ218,""price"",TODAY()-$AF$43,TODAY(),1),""select Col2 label Col2 ''""),IF($AG$43=""Gráfico de barras"",{""charttype"",""column"";""highcolor"",""red""},{""chartype"",""line""}))))"),"")</f>
        <v/>
      </c>
      <c r="AH218" s="405"/>
      <c r="AI218" s="467"/>
      <c r="AJ218" s="467"/>
      <c r="AK218" s="467"/>
      <c r="AL218" s="467"/>
      <c r="AM218" s="442"/>
      <c r="AN218" s="442"/>
      <c r="AU218" s="281"/>
      <c r="AV218" s="281"/>
      <c r="AW218" s="281"/>
      <c r="AX218" s="281"/>
      <c r="AY218" s="410">
        <v>175.0</v>
      </c>
      <c r="AZ218" s="411"/>
      <c r="BA218" s="411"/>
      <c r="BB218" s="437"/>
      <c r="BC218" s="437"/>
      <c r="BD218" s="437"/>
      <c r="BE218" s="437"/>
      <c r="BF218" s="415" t="s">
        <v>123</v>
      </c>
      <c r="BG218" s="410">
        <v>175.0</v>
      </c>
      <c r="BH218" s="416"/>
      <c r="BI218" s="416"/>
      <c r="BJ218" s="416"/>
      <c r="BK218" s="416"/>
      <c r="BL218" s="416"/>
      <c r="BM218" s="416"/>
      <c r="BN218" s="282"/>
      <c r="BO218" s="490"/>
      <c r="BP218" s="489"/>
      <c r="BQ218" s="489"/>
      <c r="BR218" s="489"/>
      <c r="BS218" s="489"/>
      <c r="BT218" s="489"/>
      <c r="BU218" s="489"/>
      <c r="BV218" s="489"/>
      <c r="BW218" s="63"/>
      <c r="BX218" s="62"/>
      <c r="BY218" s="452"/>
      <c r="BZ218" s="452"/>
      <c r="CA218" s="452"/>
      <c r="CB218" s="452"/>
      <c r="CC218" s="452"/>
      <c r="CD218" s="452"/>
      <c r="CE218" s="452"/>
      <c r="CF218" s="452"/>
      <c r="CG218" s="452"/>
      <c r="CH218" s="422"/>
      <c r="CI218" s="422"/>
      <c r="CJ218" s="422"/>
      <c r="CK218" s="421"/>
      <c r="CL218" s="421" t="s">
        <v>123</v>
      </c>
      <c r="CM218" s="423"/>
      <c r="CN218" s="421"/>
      <c r="CO218" s="423"/>
      <c r="CP218" s="421"/>
      <c r="CQ218" s="63"/>
      <c r="CR218" s="63"/>
      <c r="CS218" s="63"/>
      <c r="CT218" s="63"/>
      <c r="CU218" s="447"/>
      <c r="CV218" s="447"/>
      <c r="CW218" s="447"/>
      <c r="CX218" s="447"/>
      <c r="CY218" s="447"/>
      <c r="CZ218" s="447"/>
      <c r="DA218" s="447"/>
      <c r="DB218" s="447"/>
      <c r="DC218" s="447"/>
      <c r="DD218" s="447"/>
      <c r="DE218" s="447"/>
      <c r="DF218" s="447"/>
      <c r="DG218" s="447"/>
      <c r="DH218" s="447"/>
      <c r="DI218" s="447"/>
      <c r="DJ218" s="447"/>
      <c r="DK218" s="447"/>
      <c r="DL218" s="67"/>
      <c r="DM218" s="67"/>
      <c r="DN218" s="67"/>
      <c r="DO218" s="67"/>
      <c r="DP218" s="67"/>
      <c r="DQ218" s="67"/>
    </row>
    <row r="219" ht="22.5" customHeight="1">
      <c r="A219" s="383"/>
      <c r="B219" s="384" t="str">
        <f>IFERROR(__xludf.DUMMYFUNCTION("IF(B$43="""","""",IF($AZ219="""","""",IFERROR(Query({CarteirasAtivos},""Select Col3 where Col1 = '""&amp;$AZ219&amp;""'and Col2 = '""&amp;S$21&amp;""'""))))"),"")</f>
        <v/>
      </c>
      <c r="C219" s="384" t="str">
        <f>IFERROR(__xludf.DUMMYFUNCTION("IF(C$43="""","""",IF($AZ219="""","""",IFERROR(Query({CarteirasAtivos},""Select Col3 where Col1 = '""&amp;$AZ219&amp;""'and Col2 = '""&amp;T$21&amp;""'""))))"),"")</f>
        <v/>
      </c>
      <c r="D219" s="384" t="str">
        <f>IFERROR(__xludf.DUMMYFUNCTION("IF(D$43="""","""",IF($AZ219="""","""",IFERROR(Query({CarteirasAtivos},""Select Col3 where Col1 = '""&amp;$AZ219&amp;""'and Col2 = '""&amp;U$21&amp;""'""))))"),"")</f>
        <v/>
      </c>
      <c r="E219" s="384" t="str">
        <f>IFERROR(__xludf.DUMMYFUNCTION("IF(E$43="""","""",IF($AZ219="""","""",IFERROR(Query({CarteirasAtivos},""Select Col3 where Col1 = '""&amp;$AZ219&amp;""'and Col2 = '""&amp;V$21&amp;""'""))))"),"")</f>
        <v/>
      </c>
      <c r="F219" s="384" t="str">
        <f>IFERROR(__xludf.DUMMYFUNCTION("IF(F$43="""","""",IF($AZ219="""","""",IFERROR(Query({CarteirasAtivos},""Select Col3 where Col1 = '""&amp;$AZ219&amp;""'and Col2 = '""&amp;W$21&amp;""'""))))"),"")</f>
        <v/>
      </c>
      <c r="G219" s="384" t="str">
        <f>IFERROR(__xludf.DUMMYFUNCTION("IF(G$43="""","""",IF($AZ219="""","""",IFERROR(Query({CarteirasAtivos},""Select Col3 where Col1 = '""&amp;$AZ219&amp;""'and Col2 = '""&amp;X$21&amp;""'""))))"),"")</f>
        <v/>
      </c>
      <c r="H219" s="384" t="str">
        <f>IFERROR(__xludf.DUMMYFUNCTION("IF(H$43="""","""",IF($AZ219="""","""",IFERROR(Query({CarteirasAtivos},""Select Col3 where Col1 = '""&amp;$AZ219&amp;""'and Col2 = '""&amp;Y$21&amp;""'""))))"),"")</f>
        <v/>
      </c>
      <c r="I219" s="384" t="str">
        <f>IFERROR(__xludf.DUMMYFUNCTION("IF(I$43="""","""",IF($AZ219="""","""",IFERROR(Query({CarteirasAtivos},""Select Col3 where Col1 = '""&amp;$AZ219&amp;""'and Col2 = '""&amp;Z$21&amp;""'""))))"),"")</f>
        <v/>
      </c>
      <c r="J219" s="384" t="str">
        <f>IFERROR(__xludf.DUMMYFUNCTION("IF(J$43="""","""",IF($AZ219="""","""",IFERROR(Query({CarteirasAtivos},""Select Col3 where Col1 = '""&amp;$AZ219&amp;""'and Col2 = '""&amp;AA$21&amp;""'""))))"),"")</f>
        <v/>
      </c>
      <c r="K219" s="384" t="str">
        <f>IFERROR(__xludf.DUMMYFUNCTION("IF(K$43="""","""",IF($AZ219="""","""",IFERROR(Query({CarteirasAtivos},""Select Col3 where Col1 = '""&amp;$AZ219&amp;""'and Col2 = '""&amp;AB$21&amp;""'""))))"),"")</f>
        <v/>
      </c>
      <c r="L219" s="385">
        <v>176.0</v>
      </c>
      <c r="M219" s="503"/>
      <c r="N219" s="387"/>
      <c r="O219" s="388" t="s">
        <v>123</v>
      </c>
      <c r="P219" s="389"/>
      <c r="Q219" s="390"/>
      <c r="R219" s="391"/>
      <c r="S219" s="392"/>
      <c r="T219" s="393"/>
      <c r="U219" s="393"/>
      <c r="V219" s="394"/>
      <c r="W219" s="395" t="str">
        <f>IFERROR(__xludf.DUMMYFUNCTION("IF(M219="""","""",sparkline(IFERROR(BF219*100/MAX($BF$44:$BF$153),0),{""charttype"",""bar"";""max"",100;""color1"",IF(BD219&gt;=0,""#4760a5"",""red"")}))"),"")</f>
        <v/>
      </c>
      <c r="X219" s="396"/>
      <c r="Y219" s="466"/>
      <c r="Z219" s="398"/>
      <c r="AA219" s="399"/>
      <c r="AB219" s="393"/>
      <c r="AC219" s="476"/>
      <c r="AD219" s="401"/>
      <c r="AE219" s="402"/>
      <c r="AF219" s="403"/>
      <c r="AG219" s="404" t="str">
        <f>IFERROR(__xludf.DUMMYFUNCTION("IF($M219="""","""",IFERROR(sparkline(query(GOOGLEFINANCE($AZ219,""price"",TODAY()-$AF$43,TODAY(),1),""select Col2 label Col2 ''""),IF($AG$43=""Gráfico de barras"",{""charttype"",""column"";""highcolor"",""red""},{""chartype"",""line""}))))"),"")</f>
        <v/>
      </c>
      <c r="AH219" s="405"/>
      <c r="AI219" s="467"/>
      <c r="AJ219" s="467"/>
      <c r="AK219" s="467"/>
      <c r="AL219" s="467"/>
      <c r="AM219" s="442"/>
      <c r="AN219" s="442"/>
      <c r="AU219" s="281"/>
      <c r="AV219" s="281"/>
      <c r="AW219" s="281"/>
      <c r="AX219" s="281"/>
      <c r="AY219" s="410">
        <v>176.0</v>
      </c>
      <c r="AZ219" s="411"/>
      <c r="BA219" s="411"/>
      <c r="BB219" s="437"/>
      <c r="BC219" s="437"/>
      <c r="BD219" s="437"/>
      <c r="BE219" s="437"/>
      <c r="BF219" s="415" t="s">
        <v>123</v>
      </c>
      <c r="BG219" s="410">
        <v>176.0</v>
      </c>
      <c r="BH219" s="416"/>
      <c r="BI219" s="416"/>
      <c r="BJ219" s="416"/>
      <c r="BK219" s="416"/>
      <c r="BL219" s="416"/>
      <c r="BM219" s="416"/>
      <c r="BN219" s="282"/>
      <c r="BO219" s="490"/>
      <c r="BP219" s="489"/>
      <c r="BQ219" s="489"/>
      <c r="BR219" s="489"/>
      <c r="BS219" s="489"/>
      <c r="BT219" s="489"/>
      <c r="BU219" s="489"/>
      <c r="BV219" s="489"/>
      <c r="BW219" s="63"/>
      <c r="BX219" s="62"/>
      <c r="BY219" s="452"/>
      <c r="BZ219" s="452"/>
      <c r="CA219" s="452"/>
      <c r="CB219" s="452"/>
      <c r="CC219" s="452"/>
      <c r="CD219" s="452"/>
      <c r="CE219" s="452"/>
      <c r="CF219" s="452"/>
      <c r="CG219" s="452"/>
      <c r="CH219" s="422"/>
      <c r="CI219" s="422"/>
      <c r="CJ219" s="422"/>
      <c r="CK219" s="421"/>
      <c r="CL219" s="421" t="s">
        <v>123</v>
      </c>
      <c r="CM219" s="423"/>
      <c r="CN219" s="421"/>
      <c r="CO219" s="423"/>
      <c r="CP219" s="421"/>
      <c r="CQ219" s="63"/>
      <c r="CR219" s="63"/>
      <c r="CS219" s="63"/>
      <c r="CT219" s="63"/>
      <c r="CU219" s="447"/>
      <c r="CV219" s="447"/>
      <c r="CW219" s="447"/>
      <c r="CX219" s="447"/>
      <c r="CY219" s="447"/>
      <c r="CZ219" s="447"/>
      <c r="DA219" s="447"/>
      <c r="DB219" s="447"/>
      <c r="DC219" s="447"/>
      <c r="DD219" s="447"/>
      <c r="DE219" s="447"/>
      <c r="DF219" s="447"/>
      <c r="DG219" s="447"/>
      <c r="DH219" s="447"/>
      <c r="DI219" s="447"/>
      <c r="DJ219" s="447"/>
      <c r="DK219" s="447"/>
      <c r="DL219" s="67"/>
      <c r="DM219" s="67"/>
      <c r="DN219" s="67"/>
      <c r="DO219" s="67"/>
      <c r="DP219" s="67"/>
      <c r="DQ219" s="67"/>
    </row>
    <row r="220" ht="22.5" customHeight="1">
      <c r="A220" s="383"/>
      <c r="B220" s="384" t="str">
        <f>IFERROR(__xludf.DUMMYFUNCTION("IF(B$43="""","""",IF($AZ220="""","""",IFERROR(Query({CarteirasAtivos},""Select Col3 where Col1 = '""&amp;$AZ220&amp;""'and Col2 = '""&amp;S$21&amp;""'""))))"),"")</f>
        <v/>
      </c>
      <c r="C220" s="384" t="str">
        <f>IFERROR(__xludf.DUMMYFUNCTION("IF(C$43="""","""",IF($AZ220="""","""",IFERROR(Query({CarteirasAtivos},""Select Col3 where Col1 = '""&amp;$AZ220&amp;""'and Col2 = '""&amp;T$21&amp;""'""))))"),"")</f>
        <v/>
      </c>
      <c r="D220" s="384" t="str">
        <f>IFERROR(__xludf.DUMMYFUNCTION("IF(D$43="""","""",IF($AZ220="""","""",IFERROR(Query({CarteirasAtivos},""Select Col3 where Col1 = '""&amp;$AZ220&amp;""'and Col2 = '""&amp;U$21&amp;""'""))))"),"")</f>
        <v/>
      </c>
      <c r="E220" s="384" t="str">
        <f>IFERROR(__xludf.DUMMYFUNCTION("IF(E$43="""","""",IF($AZ220="""","""",IFERROR(Query({CarteirasAtivos},""Select Col3 where Col1 = '""&amp;$AZ220&amp;""'and Col2 = '""&amp;V$21&amp;""'""))))"),"")</f>
        <v/>
      </c>
      <c r="F220" s="384" t="str">
        <f>IFERROR(__xludf.DUMMYFUNCTION("IF(F$43="""","""",IF($AZ220="""","""",IFERROR(Query({CarteirasAtivos},""Select Col3 where Col1 = '""&amp;$AZ220&amp;""'and Col2 = '""&amp;W$21&amp;""'""))))"),"")</f>
        <v/>
      </c>
      <c r="G220" s="384" t="str">
        <f>IFERROR(__xludf.DUMMYFUNCTION("IF(G$43="""","""",IF($AZ220="""","""",IFERROR(Query({CarteirasAtivos},""Select Col3 where Col1 = '""&amp;$AZ220&amp;""'and Col2 = '""&amp;X$21&amp;""'""))))"),"")</f>
        <v/>
      </c>
      <c r="H220" s="384" t="str">
        <f>IFERROR(__xludf.DUMMYFUNCTION("IF(H$43="""","""",IF($AZ220="""","""",IFERROR(Query({CarteirasAtivos},""Select Col3 where Col1 = '""&amp;$AZ220&amp;""'and Col2 = '""&amp;Y$21&amp;""'""))))"),"")</f>
        <v/>
      </c>
      <c r="I220" s="384" t="str">
        <f>IFERROR(__xludf.DUMMYFUNCTION("IF(I$43="""","""",IF($AZ220="""","""",IFERROR(Query({CarteirasAtivos},""Select Col3 where Col1 = '""&amp;$AZ220&amp;""'and Col2 = '""&amp;Z$21&amp;""'""))))"),"")</f>
        <v/>
      </c>
      <c r="J220" s="384" t="str">
        <f>IFERROR(__xludf.DUMMYFUNCTION("IF(J$43="""","""",IF($AZ220="""","""",IFERROR(Query({CarteirasAtivos},""Select Col3 where Col1 = '""&amp;$AZ220&amp;""'and Col2 = '""&amp;AA$21&amp;""'""))))"),"")</f>
        <v/>
      </c>
      <c r="K220" s="384" t="str">
        <f>IFERROR(__xludf.DUMMYFUNCTION("IF(K$43="""","""",IF($AZ220="""","""",IFERROR(Query({CarteirasAtivos},""Select Col3 where Col1 = '""&amp;$AZ220&amp;""'and Col2 = '""&amp;AB$21&amp;""'""))))"),"")</f>
        <v/>
      </c>
      <c r="L220" s="385">
        <v>177.0</v>
      </c>
      <c r="M220" s="503"/>
      <c r="N220" s="387"/>
      <c r="O220" s="388" t="s">
        <v>123</v>
      </c>
      <c r="P220" s="389"/>
      <c r="Q220" s="390"/>
      <c r="R220" s="391"/>
      <c r="S220" s="392"/>
      <c r="T220" s="393"/>
      <c r="U220" s="393"/>
      <c r="V220" s="394"/>
      <c r="W220" s="395" t="str">
        <f>IFERROR(__xludf.DUMMYFUNCTION("IF(M220="""","""",sparkline(IFERROR(BF220*100/MAX($BF$44:$BF$153),0),{""charttype"",""bar"";""max"",100;""color1"",IF(BD220&gt;=0,""#4760a5"",""red"")}))"),"")</f>
        <v/>
      </c>
      <c r="X220" s="396"/>
      <c r="Y220" s="466"/>
      <c r="Z220" s="398"/>
      <c r="AA220" s="399"/>
      <c r="AB220" s="393"/>
      <c r="AC220" s="476"/>
      <c r="AD220" s="401"/>
      <c r="AE220" s="402"/>
      <c r="AF220" s="403"/>
      <c r="AG220" s="404" t="str">
        <f>IFERROR(__xludf.DUMMYFUNCTION("IF($M220="""","""",IFERROR(sparkline(query(GOOGLEFINANCE($AZ220,""price"",TODAY()-$AF$43,TODAY(),1),""select Col2 label Col2 ''""),IF($AG$43=""Gráfico de barras"",{""charttype"",""column"";""highcolor"",""red""},{""chartype"",""line""}))))"),"")</f>
        <v/>
      </c>
      <c r="AH220" s="405"/>
      <c r="AI220" s="467"/>
      <c r="AJ220" s="467"/>
      <c r="AK220" s="467"/>
      <c r="AL220" s="467"/>
      <c r="AM220" s="442"/>
      <c r="AN220" s="442"/>
      <c r="AU220" s="281"/>
      <c r="AV220" s="281"/>
      <c r="AW220" s="281"/>
      <c r="AX220" s="281"/>
      <c r="AY220" s="410">
        <v>177.0</v>
      </c>
      <c r="AZ220" s="411"/>
      <c r="BA220" s="411"/>
      <c r="BB220" s="437"/>
      <c r="BC220" s="437"/>
      <c r="BD220" s="437"/>
      <c r="BE220" s="437"/>
      <c r="BF220" s="415" t="s">
        <v>123</v>
      </c>
      <c r="BG220" s="410">
        <v>177.0</v>
      </c>
      <c r="BH220" s="416"/>
      <c r="BI220" s="416"/>
      <c r="BJ220" s="416"/>
      <c r="BK220" s="416"/>
      <c r="BL220" s="416"/>
      <c r="BM220" s="416"/>
      <c r="BN220" s="282"/>
      <c r="BO220" s="490"/>
      <c r="BP220" s="489"/>
      <c r="BQ220" s="489"/>
      <c r="BR220" s="489"/>
      <c r="BS220" s="489"/>
      <c r="BT220" s="489"/>
      <c r="BU220" s="489"/>
      <c r="BV220" s="489"/>
      <c r="BW220" s="63"/>
      <c r="BX220" s="62"/>
      <c r="BY220" s="452"/>
      <c r="BZ220" s="452"/>
      <c r="CA220" s="452"/>
      <c r="CB220" s="452"/>
      <c r="CC220" s="452"/>
      <c r="CD220" s="452"/>
      <c r="CE220" s="452"/>
      <c r="CF220" s="452"/>
      <c r="CG220" s="452"/>
      <c r="CH220" s="422"/>
      <c r="CI220" s="422"/>
      <c r="CJ220" s="422"/>
      <c r="CK220" s="421"/>
      <c r="CL220" s="421" t="s">
        <v>123</v>
      </c>
      <c r="CM220" s="423"/>
      <c r="CN220" s="421"/>
      <c r="CO220" s="423"/>
      <c r="CP220" s="421"/>
      <c r="CQ220" s="63"/>
      <c r="CR220" s="63"/>
      <c r="CS220" s="63"/>
      <c r="CT220" s="63"/>
      <c r="CU220" s="447"/>
      <c r="CV220" s="447"/>
      <c r="CW220" s="447"/>
      <c r="CX220" s="447"/>
      <c r="CY220" s="447"/>
      <c r="CZ220" s="447"/>
      <c r="DA220" s="447"/>
      <c r="DB220" s="447"/>
      <c r="DC220" s="447"/>
      <c r="DD220" s="447"/>
      <c r="DE220" s="447"/>
      <c r="DF220" s="447"/>
      <c r="DG220" s="447"/>
      <c r="DH220" s="447"/>
      <c r="DI220" s="447"/>
      <c r="DJ220" s="447"/>
      <c r="DK220" s="447"/>
      <c r="DL220" s="67"/>
      <c r="DM220" s="67"/>
      <c r="DN220" s="67"/>
      <c r="DO220" s="67"/>
      <c r="DP220" s="67"/>
      <c r="DQ220" s="67"/>
    </row>
    <row r="221" ht="22.5" customHeight="1">
      <c r="A221" s="383"/>
      <c r="B221" s="384" t="str">
        <f>IFERROR(__xludf.DUMMYFUNCTION("IF(B$43="""","""",IF($AZ221="""","""",IFERROR(Query({CarteirasAtivos},""Select Col3 where Col1 = '""&amp;$AZ221&amp;""'and Col2 = '""&amp;S$21&amp;""'""))))"),"")</f>
        <v/>
      </c>
      <c r="C221" s="384" t="str">
        <f>IFERROR(__xludf.DUMMYFUNCTION("IF(C$43="""","""",IF($AZ221="""","""",IFERROR(Query({CarteirasAtivos},""Select Col3 where Col1 = '""&amp;$AZ221&amp;""'and Col2 = '""&amp;T$21&amp;""'""))))"),"")</f>
        <v/>
      </c>
      <c r="D221" s="384" t="str">
        <f>IFERROR(__xludf.DUMMYFUNCTION("IF(D$43="""","""",IF($AZ221="""","""",IFERROR(Query({CarteirasAtivos},""Select Col3 where Col1 = '""&amp;$AZ221&amp;""'and Col2 = '""&amp;U$21&amp;""'""))))"),"")</f>
        <v/>
      </c>
      <c r="E221" s="384" t="str">
        <f>IFERROR(__xludf.DUMMYFUNCTION("IF(E$43="""","""",IF($AZ221="""","""",IFERROR(Query({CarteirasAtivos},""Select Col3 where Col1 = '""&amp;$AZ221&amp;""'and Col2 = '""&amp;V$21&amp;""'""))))"),"")</f>
        <v/>
      </c>
      <c r="F221" s="384" t="str">
        <f>IFERROR(__xludf.DUMMYFUNCTION("IF(F$43="""","""",IF($AZ221="""","""",IFERROR(Query({CarteirasAtivos},""Select Col3 where Col1 = '""&amp;$AZ221&amp;""'and Col2 = '""&amp;W$21&amp;""'""))))"),"")</f>
        <v/>
      </c>
      <c r="G221" s="384" t="str">
        <f>IFERROR(__xludf.DUMMYFUNCTION("IF(G$43="""","""",IF($AZ221="""","""",IFERROR(Query({CarteirasAtivos},""Select Col3 where Col1 = '""&amp;$AZ221&amp;""'and Col2 = '""&amp;X$21&amp;""'""))))"),"")</f>
        <v/>
      </c>
      <c r="H221" s="384" t="str">
        <f>IFERROR(__xludf.DUMMYFUNCTION("IF(H$43="""","""",IF($AZ221="""","""",IFERROR(Query({CarteirasAtivos},""Select Col3 where Col1 = '""&amp;$AZ221&amp;""'and Col2 = '""&amp;Y$21&amp;""'""))))"),"")</f>
        <v/>
      </c>
      <c r="I221" s="384" t="str">
        <f>IFERROR(__xludf.DUMMYFUNCTION("IF(I$43="""","""",IF($AZ221="""","""",IFERROR(Query({CarteirasAtivos},""Select Col3 where Col1 = '""&amp;$AZ221&amp;""'and Col2 = '""&amp;Z$21&amp;""'""))))"),"")</f>
        <v/>
      </c>
      <c r="J221" s="384" t="str">
        <f>IFERROR(__xludf.DUMMYFUNCTION("IF(J$43="""","""",IF($AZ221="""","""",IFERROR(Query({CarteirasAtivos},""Select Col3 where Col1 = '""&amp;$AZ221&amp;""'and Col2 = '""&amp;AA$21&amp;""'""))))"),"")</f>
        <v/>
      </c>
      <c r="K221" s="384" t="str">
        <f>IFERROR(__xludf.DUMMYFUNCTION("IF(K$43="""","""",IF($AZ221="""","""",IFERROR(Query({CarteirasAtivos},""Select Col3 where Col1 = '""&amp;$AZ221&amp;""'and Col2 = '""&amp;AB$21&amp;""'""))))"),"")</f>
        <v/>
      </c>
      <c r="L221" s="385">
        <v>178.0</v>
      </c>
      <c r="M221" s="503"/>
      <c r="N221" s="387"/>
      <c r="O221" s="388" t="s">
        <v>123</v>
      </c>
      <c r="P221" s="389"/>
      <c r="Q221" s="390"/>
      <c r="R221" s="391"/>
      <c r="S221" s="392"/>
      <c r="T221" s="393"/>
      <c r="U221" s="393"/>
      <c r="V221" s="394"/>
      <c r="W221" s="395" t="str">
        <f>IFERROR(__xludf.DUMMYFUNCTION("IF(M221="""","""",sparkline(IFERROR(BF221*100/MAX($BF$44:$BF$153),0),{""charttype"",""bar"";""max"",100;""color1"",IF(BD221&gt;=0,""#4760a5"",""red"")}))"),"")</f>
        <v/>
      </c>
      <c r="X221" s="396"/>
      <c r="Y221" s="466"/>
      <c r="Z221" s="398"/>
      <c r="AA221" s="399"/>
      <c r="AB221" s="393"/>
      <c r="AC221" s="476"/>
      <c r="AD221" s="401"/>
      <c r="AE221" s="402"/>
      <c r="AF221" s="403"/>
      <c r="AG221" s="404" t="str">
        <f>IFERROR(__xludf.DUMMYFUNCTION("IF($M221="""","""",IFERROR(sparkline(query(GOOGLEFINANCE($AZ221,""price"",TODAY()-$AF$43,TODAY(),1),""select Col2 label Col2 ''""),IF($AG$43=""Gráfico de barras"",{""charttype"",""column"";""highcolor"",""red""},{""chartype"",""line""}))))"),"")</f>
        <v/>
      </c>
      <c r="AH221" s="405"/>
      <c r="AI221" s="467"/>
      <c r="AJ221" s="467"/>
      <c r="AK221" s="467"/>
      <c r="AL221" s="467"/>
      <c r="AM221" s="442"/>
      <c r="AN221" s="442"/>
      <c r="AU221" s="281"/>
      <c r="AV221" s="281"/>
      <c r="AW221" s="281"/>
      <c r="AX221" s="281"/>
      <c r="AY221" s="410">
        <v>178.0</v>
      </c>
      <c r="AZ221" s="411"/>
      <c r="BA221" s="411"/>
      <c r="BB221" s="437"/>
      <c r="BC221" s="437"/>
      <c r="BD221" s="437"/>
      <c r="BE221" s="437"/>
      <c r="BF221" s="415" t="s">
        <v>123</v>
      </c>
      <c r="BG221" s="410">
        <v>178.0</v>
      </c>
      <c r="BH221" s="416"/>
      <c r="BI221" s="416"/>
      <c r="BJ221" s="416"/>
      <c r="BK221" s="416"/>
      <c r="BL221" s="416"/>
      <c r="BM221" s="416"/>
      <c r="BN221" s="282"/>
      <c r="BO221" s="490"/>
      <c r="BP221" s="489"/>
      <c r="BQ221" s="489"/>
      <c r="BR221" s="489"/>
      <c r="BS221" s="489"/>
      <c r="BT221" s="489"/>
      <c r="BU221" s="489"/>
      <c r="BV221" s="489"/>
      <c r="BW221" s="63"/>
      <c r="BX221" s="62"/>
      <c r="BY221" s="452"/>
      <c r="BZ221" s="452"/>
      <c r="CA221" s="452"/>
      <c r="CB221" s="452"/>
      <c r="CC221" s="452"/>
      <c r="CD221" s="452"/>
      <c r="CE221" s="452"/>
      <c r="CF221" s="452"/>
      <c r="CG221" s="452"/>
      <c r="CH221" s="422"/>
      <c r="CI221" s="422"/>
      <c r="CJ221" s="422"/>
      <c r="CK221" s="421"/>
      <c r="CL221" s="421" t="s">
        <v>123</v>
      </c>
      <c r="CM221" s="423"/>
      <c r="CN221" s="421"/>
      <c r="CO221" s="423"/>
      <c r="CP221" s="421"/>
      <c r="CQ221" s="63"/>
      <c r="CR221" s="63"/>
      <c r="CS221" s="63"/>
      <c r="CT221" s="63"/>
      <c r="CU221" s="447"/>
      <c r="CV221" s="447"/>
      <c r="CW221" s="447"/>
      <c r="CX221" s="447"/>
      <c r="CY221" s="447"/>
      <c r="CZ221" s="447"/>
      <c r="DA221" s="447"/>
      <c r="DB221" s="447"/>
      <c r="DC221" s="447"/>
      <c r="DD221" s="447"/>
      <c r="DE221" s="447"/>
      <c r="DF221" s="447"/>
      <c r="DG221" s="447"/>
      <c r="DH221" s="447"/>
      <c r="DI221" s="447"/>
      <c r="DJ221" s="447"/>
      <c r="DK221" s="447"/>
      <c r="DL221" s="67"/>
      <c r="DM221" s="67"/>
      <c r="DN221" s="67"/>
      <c r="DO221" s="67"/>
      <c r="DP221" s="67"/>
      <c r="DQ221" s="67"/>
    </row>
    <row r="222" ht="22.5" customHeight="1">
      <c r="A222" s="383"/>
      <c r="B222" s="384" t="str">
        <f>IFERROR(__xludf.DUMMYFUNCTION("IF(B$43="""","""",IF($AZ222="""","""",IFERROR(Query({CarteirasAtivos},""Select Col3 where Col1 = '""&amp;$AZ222&amp;""'and Col2 = '""&amp;S$21&amp;""'""))))"),"")</f>
        <v/>
      </c>
      <c r="C222" s="384" t="str">
        <f>IFERROR(__xludf.DUMMYFUNCTION("IF(C$43="""","""",IF($AZ222="""","""",IFERROR(Query({CarteirasAtivos},""Select Col3 where Col1 = '""&amp;$AZ222&amp;""'and Col2 = '""&amp;T$21&amp;""'""))))"),"")</f>
        <v/>
      </c>
      <c r="D222" s="384" t="str">
        <f>IFERROR(__xludf.DUMMYFUNCTION("IF(D$43="""","""",IF($AZ222="""","""",IFERROR(Query({CarteirasAtivos},""Select Col3 where Col1 = '""&amp;$AZ222&amp;""'and Col2 = '""&amp;U$21&amp;""'""))))"),"")</f>
        <v/>
      </c>
      <c r="E222" s="384" t="str">
        <f>IFERROR(__xludf.DUMMYFUNCTION("IF(E$43="""","""",IF($AZ222="""","""",IFERROR(Query({CarteirasAtivos},""Select Col3 where Col1 = '""&amp;$AZ222&amp;""'and Col2 = '""&amp;V$21&amp;""'""))))"),"")</f>
        <v/>
      </c>
      <c r="F222" s="384" t="str">
        <f>IFERROR(__xludf.DUMMYFUNCTION("IF(F$43="""","""",IF($AZ222="""","""",IFERROR(Query({CarteirasAtivos},""Select Col3 where Col1 = '""&amp;$AZ222&amp;""'and Col2 = '""&amp;W$21&amp;""'""))))"),"")</f>
        <v/>
      </c>
      <c r="G222" s="384" t="str">
        <f>IFERROR(__xludf.DUMMYFUNCTION("IF(G$43="""","""",IF($AZ222="""","""",IFERROR(Query({CarteirasAtivos},""Select Col3 where Col1 = '""&amp;$AZ222&amp;""'and Col2 = '""&amp;X$21&amp;""'""))))"),"")</f>
        <v/>
      </c>
      <c r="H222" s="384" t="str">
        <f>IFERROR(__xludf.DUMMYFUNCTION("IF(H$43="""","""",IF($AZ222="""","""",IFERROR(Query({CarteirasAtivos},""Select Col3 where Col1 = '""&amp;$AZ222&amp;""'and Col2 = '""&amp;Y$21&amp;""'""))))"),"")</f>
        <v/>
      </c>
      <c r="I222" s="384" t="str">
        <f>IFERROR(__xludf.DUMMYFUNCTION("IF(I$43="""","""",IF($AZ222="""","""",IFERROR(Query({CarteirasAtivos},""Select Col3 where Col1 = '""&amp;$AZ222&amp;""'and Col2 = '""&amp;Z$21&amp;""'""))))"),"")</f>
        <v/>
      </c>
      <c r="J222" s="384" t="str">
        <f>IFERROR(__xludf.DUMMYFUNCTION("IF(J$43="""","""",IF($AZ222="""","""",IFERROR(Query({CarteirasAtivos},""Select Col3 where Col1 = '""&amp;$AZ222&amp;""'and Col2 = '""&amp;AA$21&amp;""'""))))"),"")</f>
        <v/>
      </c>
      <c r="K222" s="384" t="str">
        <f>IFERROR(__xludf.DUMMYFUNCTION("IF(K$43="""","""",IF($AZ222="""","""",IFERROR(Query({CarteirasAtivos},""Select Col3 where Col1 = '""&amp;$AZ222&amp;""'and Col2 = '""&amp;AB$21&amp;""'""))))"),"")</f>
        <v/>
      </c>
      <c r="L222" s="385">
        <v>179.0</v>
      </c>
      <c r="M222" s="503"/>
      <c r="N222" s="387"/>
      <c r="O222" s="388" t="s">
        <v>123</v>
      </c>
      <c r="P222" s="389"/>
      <c r="Q222" s="390"/>
      <c r="R222" s="391"/>
      <c r="S222" s="392"/>
      <c r="T222" s="393"/>
      <c r="U222" s="393"/>
      <c r="V222" s="394"/>
      <c r="W222" s="395" t="str">
        <f>IFERROR(__xludf.DUMMYFUNCTION("IF(M222="""","""",sparkline(IFERROR(BF222*100/MAX($BF$44:$BF$153),0),{""charttype"",""bar"";""max"",100;""color1"",IF(BD222&gt;=0,""#4760a5"",""red"")}))"),"")</f>
        <v/>
      </c>
      <c r="X222" s="396"/>
      <c r="Y222" s="466"/>
      <c r="Z222" s="398"/>
      <c r="AA222" s="399"/>
      <c r="AB222" s="393"/>
      <c r="AC222" s="476"/>
      <c r="AD222" s="401"/>
      <c r="AE222" s="402"/>
      <c r="AF222" s="403"/>
      <c r="AG222" s="404" t="str">
        <f>IFERROR(__xludf.DUMMYFUNCTION("IF($M222="""","""",IFERROR(sparkline(query(GOOGLEFINANCE($AZ222,""price"",TODAY()-$AF$43,TODAY(),1),""select Col2 label Col2 ''""),IF($AG$43=""Gráfico de barras"",{""charttype"",""column"";""highcolor"",""red""},{""chartype"",""line""}))))"),"")</f>
        <v/>
      </c>
      <c r="AH222" s="405"/>
      <c r="AI222" s="467"/>
      <c r="AJ222" s="467"/>
      <c r="AK222" s="467"/>
      <c r="AL222" s="467"/>
      <c r="AM222" s="442"/>
      <c r="AN222" s="442"/>
      <c r="AU222" s="281"/>
      <c r="AV222" s="281"/>
      <c r="AW222" s="281"/>
      <c r="AX222" s="281"/>
      <c r="AY222" s="410">
        <v>179.0</v>
      </c>
      <c r="AZ222" s="411"/>
      <c r="BA222" s="411"/>
      <c r="BB222" s="437"/>
      <c r="BC222" s="437"/>
      <c r="BD222" s="437"/>
      <c r="BE222" s="437"/>
      <c r="BF222" s="415" t="s">
        <v>123</v>
      </c>
      <c r="BG222" s="410">
        <v>179.0</v>
      </c>
      <c r="BH222" s="416"/>
      <c r="BI222" s="416"/>
      <c r="BJ222" s="416"/>
      <c r="BK222" s="416"/>
      <c r="BL222" s="416"/>
      <c r="BM222" s="416"/>
      <c r="BN222" s="282"/>
      <c r="BO222" s="490"/>
      <c r="BP222" s="489"/>
      <c r="BQ222" s="489"/>
      <c r="BR222" s="489"/>
      <c r="BS222" s="489"/>
      <c r="BT222" s="489"/>
      <c r="BU222" s="489"/>
      <c r="BV222" s="489"/>
      <c r="BW222" s="63"/>
      <c r="BX222" s="62"/>
      <c r="BY222" s="452"/>
      <c r="BZ222" s="452"/>
      <c r="CA222" s="452"/>
      <c r="CB222" s="452"/>
      <c r="CC222" s="452"/>
      <c r="CD222" s="452"/>
      <c r="CE222" s="452"/>
      <c r="CF222" s="452"/>
      <c r="CG222" s="452"/>
      <c r="CH222" s="422"/>
      <c r="CI222" s="422"/>
      <c r="CJ222" s="422"/>
      <c r="CK222" s="421"/>
      <c r="CL222" s="421" t="s">
        <v>123</v>
      </c>
      <c r="CM222" s="423"/>
      <c r="CN222" s="421"/>
      <c r="CO222" s="423"/>
      <c r="CP222" s="421"/>
      <c r="CQ222" s="63"/>
      <c r="CR222" s="63"/>
      <c r="CS222" s="63"/>
      <c r="CT222" s="63"/>
      <c r="CU222" s="447"/>
      <c r="CV222" s="447"/>
      <c r="CW222" s="447"/>
      <c r="CX222" s="447"/>
      <c r="CY222" s="447"/>
      <c r="CZ222" s="447"/>
      <c r="DA222" s="447"/>
      <c r="DB222" s="447"/>
      <c r="DC222" s="447"/>
      <c r="DD222" s="447"/>
      <c r="DE222" s="447"/>
      <c r="DF222" s="447"/>
      <c r="DG222" s="447"/>
      <c r="DH222" s="447"/>
      <c r="DI222" s="447"/>
      <c r="DJ222" s="447"/>
      <c r="DK222" s="447"/>
      <c r="DL222" s="67"/>
      <c r="DM222" s="67"/>
      <c r="DN222" s="67"/>
      <c r="DO222" s="67"/>
      <c r="DP222" s="67"/>
      <c r="DQ222" s="67"/>
    </row>
    <row r="223" ht="22.5" customHeight="1">
      <c r="A223" s="383"/>
      <c r="B223" s="384" t="str">
        <f>IFERROR(__xludf.DUMMYFUNCTION("IF(B$43="""","""",IF($AZ223="""","""",IFERROR(Query({CarteirasAtivos},""Select Col3 where Col1 = '""&amp;$AZ223&amp;""'and Col2 = '""&amp;S$21&amp;""'""))))"),"")</f>
        <v/>
      </c>
      <c r="C223" s="384" t="str">
        <f>IFERROR(__xludf.DUMMYFUNCTION("IF(C$43="""","""",IF($AZ223="""","""",IFERROR(Query({CarteirasAtivos},""Select Col3 where Col1 = '""&amp;$AZ223&amp;""'and Col2 = '""&amp;T$21&amp;""'""))))"),"")</f>
        <v/>
      </c>
      <c r="D223" s="384" t="str">
        <f>IFERROR(__xludf.DUMMYFUNCTION("IF(D$43="""","""",IF($AZ223="""","""",IFERROR(Query({CarteirasAtivos},""Select Col3 where Col1 = '""&amp;$AZ223&amp;""'and Col2 = '""&amp;U$21&amp;""'""))))"),"")</f>
        <v/>
      </c>
      <c r="E223" s="384" t="str">
        <f>IFERROR(__xludf.DUMMYFUNCTION("IF(E$43="""","""",IF($AZ223="""","""",IFERROR(Query({CarteirasAtivos},""Select Col3 where Col1 = '""&amp;$AZ223&amp;""'and Col2 = '""&amp;V$21&amp;""'""))))"),"")</f>
        <v/>
      </c>
      <c r="F223" s="384" t="str">
        <f>IFERROR(__xludf.DUMMYFUNCTION("IF(F$43="""","""",IF($AZ223="""","""",IFERROR(Query({CarteirasAtivos},""Select Col3 where Col1 = '""&amp;$AZ223&amp;""'and Col2 = '""&amp;W$21&amp;""'""))))"),"")</f>
        <v/>
      </c>
      <c r="G223" s="384" t="str">
        <f>IFERROR(__xludf.DUMMYFUNCTION("IF(G$43="""","""",IF($AZ223="""","""",IFERROR(Query({CarteirasAtivos},""Select Col3 where Col1 = '""&amp;$AZ223&amp;""'and Col2 = '""&amp;X$21&amp;""'""))))"),"")</f>
        <v/>
      </c>
      <c r="H223" s="384" t="str">
        <f>IFERROR(__xludf.DUMMYFUNCTION("IF(H$43="""","""",IF($AZ223="""","""",IFERROR(Query({CarteirasAtivos},""Select Col3 where Col1 = '""&amp;$AZ223&amp;""'and Col2 = '""&amp;Y$21&amp;""'""))))"),"")</f>
        <v/>
      </c>
      <c r="I223" s="384" t="str">
        <f>IFERROR(__xludf.DUMMYFUNCTION("IF(I$43="""","""",IF($AZ223="""","""",IFERROR(Query({CarteirasAtivos},""Select Col3 where Col1 = '""&amp;$AZ223&amp;""'and Col2 = '""&amp;Z$21&amp;""'""))))"),"")</f>
        <v/>
      </c>
      <c r="J223" s="384" t="str">
        <f>IFERROR(__xludf.DUMMYFUNCTION("IF(J$43="""","""",IF($AZ223="""","""",IFERROR(Query({CarteirasAtivos},""Select Col3 where Col1 = '""&amp;$AZ223&amp;""'and Col2 = '""&amp;AA$21&amp;""'""))))"),"")</f>
        <v/>
      </c>
      <c r="K223" s="384" t="str">
        <f>IFERROR(__xludf.DUMMYFUNCTION("IF(K$43="""","""",IF($AZ223="""","""",IFERROR(Query({CarteirasAtivos},""Select Col3 where Col1 = '""&amp;$AZ223&amp;""'and Col2 = '""&amp;AB$21&amp;""'""))))"),"")</f>
        <v/>
      </c>
      <c r="L223" s="385">
        <v>180.0</v>
      </c>
      <c r="M223" s="503"/>
      <c r="N223" s="387"/>
      <c r="O223" s="388" t="s">
        <v>123</v>
      </c>
      <c r="P223" s="389"/>
      <c r="Q223" s="390"/>
      <c r="R223" s="391"/>
      <c r="S223" s="392"/>
      <c r="T223" s="393"/>
      <c r="U223" s="393"/>
      <c r="V223" s="394"/>
      <c r="W223" s="395" t="str">
        <f>IFERROR(__xludf.DUMMYFUNCTION("IF(M223="""","""",sparkline(IFERROR(BF223*100/MAX($BF$44:$BF$153),0),{""charttype"",""bar"";""max"",100;""color1"",IF(BD223&gt;=0,""#4760a5"",""red"")}))"),"")</f>
        <v/>
      </c>
      <c r="X223" s="396"/>
      <c r="Y223" s="466"/>
      <c r="Z223" s="398"/>
      <c r="AA223" s="399"/>
      <c r="AB223" s="393"/>
      <c r="AC223" s="476"/>
      <c r="AD223" s="401"/>
      <c r="AE223" s="402"/>
      <c r="AF223" s="403"/>
      <c r="AG223" s="404" t="str">
        <f>IFERROR(__xludf.DUMMYFUNCTION("IF($M223="""","""",IFERROR(sparkline(query(GOOGLEFINANCE($AZ223,""price"",TODAY()-$AF$43,TODAY(),1),""select Col2 label Col2 ''""),IF($AG$43=""Gráfico de barras"",{""charttype"",""column"";""highcolor"",""red""},{""chartype"",""line""}))))"),"")</f>
        <v/>
      </c>
      <c r="AH223" s="405"/>
      <c r="AI223" s="467"/>
      <c r="AJ223" s="467"/>
      <c r="AK223" s="467"/>
      <c r="AL223" s="467"/>
      <c r="AM223" s="442"/>
      <c r="AN223" s="442"/>
      <c r="AU223" s="281"/>
      <c r="AV223" s="281"/>
      <c r="AW223" s="281"/>
      <c r="AX223" s="281"/>
      <c r="AY223" s="410">
        <v>180.0</v>
      </c>
      <c r="AZ223" s="411"/>
      <c r="BA223" s="411"/>
      <c r="BB223" s="437"/>
      <c r="BC223" s="437"/>
      <c r="BD223" s="437"/>
      <c r="BE223" s="437"/>
      <c r="BF223" s="415" t="s">
        <v>123</v>
      </c>
      <c r="BG223" s="410">
        <v>180.0</v>
      </c>
      <c r="BH223" s="416"/>
      <c r="BI223" s="416"/>
      <c r="BJ223" s="416"/>
      <c r="BK223" s="416"/>
      <c r="BL223" s="416"/>
      <c r="BM223" s="416"/>
      <c r="BN223" s="282"/>
      <c r="BO223" s="490"/>
      <c r="BP223" s="489"/>
      <c r="BQ223" s="489"/>
      <c r="BR223" s="489"/>
      <c r="BS223" s="489"/>
      <c r="BT223" s="489"/>
      <c r="BU223" s="489"/>
      <c r="BV223" s="489"/>
      <c r="BW223" s="63"/>
      <c r="BX223" s="62"/>
      <c r="BY223" s="452"/>
      <c r="BZ223" s="452"/>
      <c r="CA223" s="452"/>
      <c r="CB223" s="452"/>
      <c r="CC223" s="452"/>
      <c r="CD223" s="452"/>
      <c r="CE223" s="452"/>
      <c r="CF223" s="452"/>
      <c r="CG223" s="452"/>
      <c r="CH223" s="422"/>
      <c r="CI223" s="422"/>
      <c r="CJ223" s="422"/>
      <c r="CK223" s="421"/>
      <c r="CL223" s="421" t="s">
        <v>123</v>
      </c>
      <c r="CM223" s="423"/>
      <c r="CN223" s="421"/>
      <c r="CO223" s="423"/>
      <c r="CP223" s="421"/>
      <c r="CQ223" s="63"/>
      <c r="CR223" s="63"/>
      <c r="CS223" s="63"/>
      <c r="CT223" s="63"/>
      <c r="CU223" s="447"/>
      <c r="CV223" s="447"/>
      <c r="CW223" s="447"/>
      <c r="CX223" s="447"/>
      <c r="CY223" s="447"/>
      <c r="CZ223" s="447"/>
      <c r="DA223" s="447"/>
      <c r="DB223" s="447"/>
      <c r="DC223" s="447"/>
      <c r="DD223" s="447"/>
      <c r="DE223" s="447"/>
      <c r="DF223" s="447"/>
      <c r="DG223" s="447"/>
      <c r="DH223" s="447"/>
      <c r="DI223" s="447"/>
      <c r="DJ223" s="447"/>
      <c r="DK223" s="447"/>
      <c r="DL223" s="67"/>
      <c r="DM223" s="67"/>
      <c r="DN223" s="67"/>
      <c r="DO223" s="67"/>
      <c r="DP223" s="67"/>
      <c r="DQ223" s="67"/>
    </row>
    <row r="224" ht="22.5" customHeight="1">
      <c r="A224" s="383"/>
      <c r="B224" s="384" t="str">
        <f>IFERROR(__xludf.DUMMYFUNCTION("IF(B$43="""","""",IF($AZ224="""","""",IFERROR(Query({CarteirasAtivos},""Select Col3 where Col1 = '""&amp;$AZ224&amp;""'and Col2 = '""&amp;S$21&amp;""'""))))"),"")</f>
        <v/>
      </c>
      <c r="C224" s="384" t="str">
        <f>IFERROR(__xludf.DUMMYFUNCTION("IF(C$43="""","""",IF($AZ224="""","""",IFERROR(Query({CarteirasAtivos},""Select Col3 where Col1 = '""&amp;$AZ224&amp;""'and Col2 = '""&amp;T$21&amp;""'""))))"),"")</f>
        <v/>
      </c>
      <c r="D224" s="384" t="str">
        <f>IFERROR(__xludf.DUMMYFUNCTION("IF(D$43="""","""",IF($AZ224="""","""",IFERROR(Query({CarteirasAtivos},""Select Col3 where Col1 = '""&amp;$AZ224&amp;""'and Col2 = '""&amp;U$21&amp;""'""))))"),"")</f>
        <v/>
      </c>
      <c r="E224" s="384" t="str">
        <f>IFERROR(__xludf.DUMMYFUNCTION("IF(E$43="""","""",IF($AZ224="""","""",IFERROR(Query({CarteirasAtivos},""Select Col3 where Col1 = '""&amp;$AZ224&amp;""'and Col2 = '""&amp;V$21&amp;""'""))))"),"")</f>
        <v/>
      </c>
      <c r="F224" s="384" t="str">
        <f>IFERROR(__xludf.DUMMYFUNCTION("IF(F$43="""","""",IF($AZ224="""","""",IFERROR(Query({CarteirasAtivos},""Select Col3 where Col1 = '""&amp;$AZ224&amp;""'and Col2 = '""&amp;W$21&amp;""'""))))"),"")</f>
        <v/>
      </c>
      <c r="G224" s="384" t="str">
        <f>IFERROR(__xludf.DUMMYFUNCTION("IF(G$43="""","""",IF($AZ224="""","""",IFERROR(Query({CarteirasAtivos},""Select Col3 where Col1 = '""&amp;$AZ224&amp;""'and Col2 = '""&amp;X$21&amp;""'""))))"),"")</f>
        <v/>
      </c>
      <c r="H224" s="384" t="str">
        <f>IFERROR(__xludf.DUMMYFUNCTION("IF(H$43="""","""",IF($AZ224="""","""",IFERROR(Query({CarteirasAtivos},""Select Col3 where Col1 = '""&amp;$AZ224&amp;""'and Col2 = '""&amp;Y$21&amp;""'""))))"),"")</f>
        <v/>
      </c>
      <c r="I224" s="384" t="str">
        <f>IFERROR(__xludf.DUMMYFUNCTION("IF(I$43="""","""",IF($AZ224="""","""",IFERROR(Query({CarteirasAtivos},""Select Col3 where Col1 = '""&amp;$AZ224&amp;""'and Col2 = '""&amp;Z$21&amp;""'""))))"),"")</f>
        <v/>
      </c>
      <c r="J224" s="384" t="str">
        <f>IFERROR(__xludf.DUMMYFUNCTION("IF(J$43="""","""",IF($AZ224="""","""",IFERROR(Query({CarteirasAtivos},""Select Col3 where Col1 = '""&amp;$AZ224&amp;""'and Col2 = '""&amp;AA$21&amp;""'""))))"),"")</f>
        <v/>
      </c>
      <c r="K224" s="384" t="str">
        <f>IFERROR(__xludf.DUMMYFUNCTION("IF(K$43="""","""",IF($AZ224="""","""",IFERROR(Query({CarteirasAtivos},""Select Col3 where Col1 = '""&amp;$AZ224&amp;""'and Col2 = '""&amp;AB$21&amp;""'""))))"),"")</f>
        <v/>
      </c>
      <c r="L224" s="385">
        <v>181.0</v>
      </c>
      <c r="M224" s="503"/>
      <c r="N224" s="387"/>
      <c r="O224" s="388" t="s">
        <v>123</v>
      </c>
      <c r="P224" s="389"/>
      <c r="Q224" s="390"/>
      <c r="R224" s="391"/>
      <c r="S224" s="392"/>
      <c r="T224" s="393"/>
      <c r="U224" s="393"/>
      <c r="V224" s="394"/>
      <c r="W224" s="395" t="str">
        <f>IFERROR(__xludf.DUMMYFUNCTION("IF(M224="""","""",sparkline(IFERROR(BF224*100/MAX($BF$44:$BF$153),0),{""charttype"",""bar"";""max"",100;""color1"",IF(BD224&gt;=0,""#4760a5"",""red"")}))"),"")</f>
        <v/>
      </c>
      <c r="X224" s="396"/>
      <c r="Y224" s="466"/>
      <c r="Z224" s="398"/>
      <c r="AA224" s="399"/>
      <c r="AB224" s="393"/>
      <c r="AC224" s="476"/>
      <c r="AD224" s="401"/>
      <c r="AE224" s="402"/>
      <c r="AF224" s="403"/>
      <c r="AG224" s="404" t="str">
        <f>IFERROR(__xludf.DUMMYFUNCTION("IF($M224="""","""",IFERROR(sparkline(query(GOOGLEFINANCE($AZ224,""price"",TODAY()-$AF$43,TODAY(),1),""select Col2 label Col2 ''""),IF($AG$43=""Gráfico de barras"",{""charttype"",""column"";""highcolor"",""red""},{""chartype"",""line""}))))"),"")</f>
        <v/>
      </c>
      <c r="AH224" s="405"/>
      <c r="AI224" s="467"/>
      <c r="AJ224" s="467"/>
      <c r="AK224" s="467"/>
      <c r="AL224" s="467"/>
      <c r="AM224" s="442"/>
      <c r="AN224" s="442"/>
      <c r="AU224" s="281"/>
      <c r="AV224" s="281"/>
      <c r="AW224" s="281"/>
      <c r="AX224" s="281"/>
      <c r="AY224" s="410">
        <v>181.0</v>
      </c>
      <c r="AZ224" s="411"/>
      <c r="BA224" s="411"/>
      <c r="BB224" s="437"/>
      <c r="BC224" s="437"/>
      <c r="BD224" s="437"/>
      <c r="BE224" s="437"/>
      <c r="BF224" s="415" t="s">
        <v>123</v>
      </c>
      <c r="BG224" s="410">
        <v>181.0</v>
      </c>
      <c r="BH224" s="416"/>
      <c r="BI224" s="416"/>
      <c r="BJ224" s="416"/>
      <c r="BK224" s="416"/>
      <c r="BL224" s="416"/>
      <c r="BM224" s="416"/>
      <c r="BN224" s="282"/>
      <c r="BO224" s="490"/>
      <c r="BP224" s="489"/>
      <c r="BQ224" s="489"/>
      <c r="BR224" s="489"/>
      <c r="BS224" s="489"/>
      <c r="BT224" s="489"/>
      <c r="BU224" s="489"/>
      <c r="BV224" s="489"/>
      <c r="BW224" s="63"/>
      <c r="BX224" s="62"/>
      <c r="BY224" s="452"/>
      <c r="BZ224" s="452"/>
      <c r="CA224" s="452"/>
      <c r="CB224" s="452"/>
      <c r="CC224" s="452"/>
      <c r="CD224" s="452"/>
      <c r="CE224" s="452"/>
      <c r="CF224" s="452"/>
      <c r="CG224" s="452"/>
      <c r="CH224" s="422"/>
      <c r="CI224" s="422"/>
      <c r="CJ224" s="422"/>
      <c r="CK224" s="421"/>
      <c r="CL224" s="421" t="s">
        <v>123</v>
      </c>
      <c r="CM224" s="423"/>
      <c r="CN224" s="421"/>
      <c r="CO224" s="423"/>
      <c r="CP224" s="421"/>
      <c r="CQ224" s="63"/>
      <c r="CR224" s="63"/>
      <c r="CS224" s="63"/>
      <c r="CT224" s="63"/>
      <c r="CU224" s="447"/>
      <c r="CV224" s="447"/>
      <c r="CW224" s="447"/>
      <c r="CX224" s="447"/>
      <c r="CY224" s="447"/>
      <c r="CZ224" s="447"/>
      <c r="DA224" s="447"/>
      <c r="DB224" s="447"/>
      <c r="DC224" s="447"/>
      <c r="DD224" s="447"/>
      <c r="DE224" s="447"/>
      <c r="DF224" s="447"/>
      <c r="DG224" s="447"/>
      <c r="DH224" s="447"/>
      <c r="DI224" s="447"/>
      <c r="DJ224" s="447"/>
      <c r="DK224" s="447"/>
      <c r="DL224" s="67"/>
      <c r="DM224" s="67"/>
      <c r="DN224" s="67"/>
      <c r="DO224" s="67"/>
      <c r="DP224" s="67"/>
      <c r="DQ224" s="67"/>
    </row>
    <row r="225" ht="22.5" customHeight="1">
      <c r="A225" s="383"/>
      <c r="B225" s="384" t="str">
        <f>IFERROR(__xludf.DUMMYFUNCTION("IF(B$43="""","""",IF($AZ225="""","""",IFERROR(Query({CarteirasAtivos},""Select Col3 where Col1 = '""&amp;$AZ225&amp;""'and Col2 = '""&amp;S$21&amp;""'""))))"),"")</f>
        <v/>
      </c>
      <c r="C225" s="384" t="str">
        <f>IFERROR(__xludf.DUMMYFUNCTION("IF(C$43="""","""",IF($AZ225="""","""",IFERROR(Query({CarteirasAtivos},""Select Col3 where Col1 = '""&amp;$AZ225&amp;""'and Col2 = '""&amp;T$21&amp;""'""))))"),"")</f>
        <v/>
      </c>
      <c r="D225" s="384" t="str">
        <f>IFERROR(__xludf.DUMMYFUNCTION("IF(D$43="""","""",IF($AZ225="""","""",IFERROR(Query({CarteirasAtivos},""Select Col3 where Col1 = '""&amp;$AZ225&amp;""'and Col2 = '""&amp;U$21&amp;""'""))))"),"")</f>
        <v/>
      </c>
      <c r="E225" s="384" t="str">
        <f>IFERROR(__xludf.DUMMYFUNCTION("IF(E$43="""","""",IF($AZ225="""","""",IFERROR(Query({CarteirasAtivos},""Select Col3 where Col1 = '""&amp;$AZ225&amp;""'and Col2 = '""&amp;V$21&amp;""'""))))"),"")</f>
        <v/>
      </c>
      <c r="F225" s="384" t="str">
        <f>IFERROR(__xludf.DUMMYFUNCTION("IF(F$43="""","""",IF($AZ225="""","""",IFERROR(Query({CarteirasAtivos},""Select Col3 where Col1 = '""&amp;$AZ225&amp;""'and Col2 = '""&amp;W$21&amp;""'""))))"),"")</f>
        <v/>
      </c>
      <c r="G225" s="384" t="str">
        <f>IFERROR(__xludf.DUMMYFUNCTION("IF(G$43="""","""",IF($AZ225="""","""",IFERROR(Query({CarteirasAtivos},""Select Col3 where Col1 = '""&amp;$AZ225&amp;""'and Col2 = '""&amp;X$21&amp;""'""))))"),"")</f>
        <v/>
      </c>
      <c r="H225" s="384" t="str">
        <f>IFERROR(__xludf.DUMMYFUNCTION("IF(H$43="""","""",IF($AZ225="""","""",IFERROR(Query({CarteirasAtivos},""Select Col3 where Col1 = '""&amp;$AZ225&amp;""'and Col2 = '""&amp;Y$21&amp;""'""))))"),"")</f>
        <v/>
      </c>
      <c r="I225" s="384" t="str">
        <f>IFERROR(__xludf.DUMMYFUNCTION("IF(I$43="""","""",IF($AZ225="""","""",IFERROR(Query({CarteirasAtivos},""Select Col3 where Col1 = '""&amp;$AZ225&amp;""'and Col2 = '""&amp;Z$21&amp;""'""))))"),"")</f>
        <v/>
      </c>
      <c r="J225" s="384" t="str">
        <f>IFERROR(__xludf.DUMMYFUNCTION("IF(J$43="""","""",IF($AZ225="""","""",IFERROR(Query({CarteirasAtivos},""Select Col3 where Col1 = '""&amp;$AZ225&amp;""'and Col2 = '""&amp;AA$21&amp;""'""))))"),"")</f>
        <v/>
      </c>
      <c r="K225" s="384" t="str">
        <f>IFERROR(__xludf.DUMMYFUNCTION("IF(K$43="""","""",IF($AZ225="""","""",IFERROR(Query({CarteirasAtivos},""Select Col3 where Col1 = '""&amp;$AZ225&amp;""'and Col2 = '""&amp;AB$21&amp;""'""))))"),"")</f>
        <v/>
      </c>
      <c r="L225" s="385">
        <v>182.0</v>
      </c>
      <c r="M225" s="503"/>
      <c r="N225" s="387"/>
      <c r="O225" s="388" t="s">
        <v>123</v>
      </c>
      <c r="P225" s="389"/>
      <c r="Q225" s="390"/>
      <c r="R225" s="391"/>
      <c r="S225" s="392"/>
      <c r="T225" s="393"/>
      <c r="U225" s="393"/>
      <c r="V225" s="394"/>
      <c r="W225" s="395" t="str">
        <f>IFERROR(__xludf.DUMMYFUNCTION("IF(M225="""","""",sparkline(IFERROR(BF225*100/MAX($BF$44:$BF$153),0),{""charttype"",""bar"";""max"",100;""color1"",IF(BD225&gt;=0,""#4760a5"",""red"")}))"),"")</f>
        <v/>
      </c>
      <c r="X225" s="396"/>
      <c r="Y225" s="466"/>
      <c r="Z225" s="398"/>
      <c r="AA225" s="399"/>
      <c r="AB225" s="393"/>
      <c r="AC225" s="476"/>
      <c r="AD225" s="401"/>
      <c r="AE225" s="402"/>
      <c r="AF225" s="403"/>
      <c r="AG225" s="404" t="str">
        <f>IFERROR(__xludf.DUMMYFUNCTION("IF($M225="""","""",IFERROR(sparkline(query(GOOGLEFINANCE($AZ225,""price"",TODAY()-$AF$43,TODAY(),1),""select Col2 label Col2 ''""),IF($AG$43=""Gráfico de barras"",{""charttype"",""column"";""highcolor"",""red""},{""chartype"",""line""}))))"),"")</f>
        <v/>
      </c>
      <c r="AH225" s="405"/>
      <c r="AI225" s="467"/>
      <c r="AJ225" s="467"/>
      <c r="AK225" s="467"/>
      <c r="AL225" s="467"/>
      <c r="AM225" s="442"/>
      <c r="AN225" s="442"/>
      <c r="AU225" s="281"/>
      <c r="AV225" s="281"/>
      <c r="AW225" s="281"/>
      <c r="AX225" s="281"/>
      <c r="AY225" s="410">
        <v>182.0</v>
      </c>
      <c r="AZ225" s="411"/>
      <c r="BA225" s="411"/>
      <c r="BB225" s="437"/>
      <c r="BC225" s="437"/>
      <c r="BD225" s="437"/>
      <c r="BE225" s="437"/>
      <c r="BF225" s="415" t="s">
        <v>123</v>
      </c>
      <c r="BG225" s="410">
        <v>182.0</v>
      </c>
      <c r="BH225" s="416"/>
      <c r="BI225" s="416"/>
      <c r="BJ225" s="416"/>
      <c r="BK225" s="416"/>
      <c r="BL225" s="416"/>
      <c r="BM225" s="416"/>
      <c r="BN225" s="282"/>
      <c r="BO225" s="490"/>
      <c r="BP225" s="489"/>
      <c r="BQ225" s="489"/>
      <c r="BR225" s="489"/>
      <c r="BS225" s="489"/>
      <c r="BT225" s="489"/>
      <c r="BU225" s="489"/>
      <c r="BV225" s="489"/>
      <c r="BW225" s="63"/>
      <c r="BX225" s="62"/>
      <c r="BY225" s="452"/>
      <c r="BZ225" s="452"/>
      <c r="CA225" s="452"/>
      <c r="CB225" s="452"/>
      <c r="CC225" s="452"/>
      <c r="CD225" s="452"/>
      <c r="CE225" s="452"/>
      <c r="CF225" s="452"/>
      <c r="CG225" s="452"/>
      <c r="CH225" s="422"/>
      <c r="CI225" s="422"/>
      <c r="CJ225" s="422"/>
      <c r="CK225" s="421"/>
      <c r="CL225" s="421" t="s">
        <v>123</v>
      </c>
      <c r="CM225" s="423"/>
      <c r="CN225" s="421"/>
      <c r="CO225" s="423"/>
      <c r="CP225" s="421"/>
      <c r="CQ225" s="63"/>
      <c r="CR225" s="63"/>
      <c r="CS225" s="63"/>
      <c r="CT225" s="63"/>
      <c r="CU225" s="447"/>
      <c r="CV225" s="447"/>
      <c r="CW225" s="447"/>
      <c r="CX225" s="447"/>
      <c r="CY225" s="447"/>
      <c r="CZ225" s="447"/>
      <c r="DA225" s="447"/>
      <c r="DB225" s="447"/>
      <c r="DC225" s="447"/>
      <c r="DD225" s="447"/>
      <c r="DE225" s="447"/>
      <c r="DF225" s="447"/>
      <c r="DG225" s="447"/>
      <c r="DH225" s="447"/>
      <c r="DI225" s="447"/>
      <c r="DJ225" s="447"/>
      <c r="DK225" s="447"/>
      <c r="DL225" s="67"/>
      <c r="DM225" s="67"/>
      <c r="DN225" s="67"/>
      <c r="DO225" s="67"/>
      <c r="DP225" s="67"/>
      <c r="DQ225" s="67"/>
    </row>
    <row r="226" ht="22.5" customHeight="1">
      <c r="A226" s="383"/>
      <c r="B226" s="384" t="str">
        <f>IFERROR(__xludf.DUMMYFUNCTION("IF(B$43="""","""",IF($AZ226="""","""",IFERROR(Query({CarteirasAtivos},""Select Col3 where Col1 = '""&amp;$AZ226&amp;""'and Col2 = '""&amp;S$21&amp;""'""))))"),"")</f>
        <v/>
      </c>
      <c r="C226" s="384" t="str">
        <f>IFERROR(__xludf.DUMMYFUNCTION("IF(C$43="""","""",IF($AZ226="""","""",IFERROR(Query({CarteirasAtivos},""Select Col3 where Col1 = '""&amp;$AZ226&amp;""'and Col2 = '""&amp;T$21&amp;""'""))))"),"")</f>
        <v/>
      </c>
      <c r="D226" s="384" t="str">
        <f>IFERROR(__xludf.DUMMYFUNCTION("IF(D$43="""","""",IF($AZ226="""","""",IFERROR(Query({CarteirasAtivos},""Select Col3 where Col1 = '""&amp;$AZ226&amp;""'and Col2 = '""&amp;U$21&amp;""'""))))"),"")</f>
        <v/>
      </c>
      <c r="E226" s="384" t="str">
        <f>IFERROR(__xludf.DUMMYFUNCTION("IF(E$43="""","""",IF($AZ226="""","""",IFERROR(Query({CarteirasAtivos},""Select Col3 where Col1 = '""&amp;$AZ226&amp;""'and Col2 = '""&amp;V$21&amp;""'""))))"),"")</f>
        <v/>
      </c>
      <c r="F226" s="384" t="str">
        <f>IFERROR(__xludf.DUMMYFUNCTION("IF(F$43="""","""",IF($AZ226="""","""",IFERROR(Query({CarteirasAtivos},""Select Col3 where Col1 = '""&amp;$AZ226&amp;""'and Col2 = '""&amp;W$21&amp;""'""))))"),"")</f>
        <v/>
      </c>
      <c r="G226" s="384" t="str">
        <f>IFERROR(__xludf.DUMMYFUNCTION("IF(G$43="""","""",IF($AZ226="""","""",IFERROR(Query({CarteirasAtivos},""Select Col3 where Col1 = '""&amp;$AZ226&amp;""'and Col2 = '""&amp;X$21&amp;""'""))))"),"")</f>
        <v/>
      </c>
      <c r="H226" s="384" t="str">
        <f>IFERROR(__xludf.DUMMYFUNCTION("IF(H$43="""","""",IF($AZ226="""","""",IFERROR(Query({CarteirasAtivos},""Select Col3 where Col1 = '""&amp;$AZ226&amp;""'and Col2 = '""&amp;Y$21&amp;""'""))))"),"")</f>
        <v/>
      </c>
      <c r="I226" s="384" t="str">
        <f>IFERROR(__xludf.DUMMYFUNCTION("IF(I$43="""","""",IF($AZ226="""","""",IFERROR(Query({CarteirasAtivos},""Select Col3 where Col1 = '""&amp;$AZ226&amp;""'and Col2 = '""&amp;Z$21&amp;""'""))))"),"")</f>
        <v/>
      </c>
      <c r="J226" s="384" t="str">
        <f>IFERROR(__xludf.DUMMYFUNCTION("IF(J$43="""","""",IF($AZ226="""","""",IFERROR(Query({CarteirasAtivos},""Select Col3 where Col1 = '""&amp;$AZ226&amp;""'and Col2 = '""&amp;AA$21&amp;""'""))))"),"")</f>
        <v/>
      </c>
      <c r="K226" s="384" t="str">
        <f>IFERROR(__xludf.DUMMYFUNCTION("IF(K$43="""","""",IF($AZ226="""","""",IFERROR(Query({CarteirasAtivos},""Select Col3 where Col1 = '""&amp;$AZ226&amp;""'and Col2 = '""&amp;AB$21&amp;""'""))))"),"")</f>
        <v/>
      </c>
      <c r="L226" s="385">
        <v>183.0</v>
      </c>
      <c r="M226" s="503"/>
      <c r="N226" s="387"/>
      <c r="O226" s="388" t="s">
        <v>123</v>
      </c>
      <c r="P226" s="389"/>
      <c r="Q226" s="390"/>
      <c r="R226" s="391"/>
      <c r="S226" s="392"/>
      <c r="T226" s="393"/>
      <c r="U226" s="393"/>
      <c r="V226" s="394"/>
      <c r="W226" s="395" t="str">
        <f>IFERROR(__xludf.DUMMYFUNCTION("IF(M226="""","""",sparkline(IFERROR(BF226*100/MAX($BF$44:$BF$153),0),{""charttype"",""bar"";""max"",100;""color1"",IF(BD226&gt;=0,""#4760a5"",""red"")}))"),"")</f>
        <v/>
      </c>
      <c r="X226" s="396"/>
      <c r="Y226" s="466"/>
      <c r="Z226" s="398"/>
      <c r="AA226" s="399"/>
      <c r="AB226" s="393"/>
      <c r="AC226" s="476"/>
      <c r="AD226" s="401"/>
      <c r="AE226" s="402"/>
      <c r="AF226" s="403"/>
      <c r="AG226" s="404" t="str">
        <f>IFERROR(__xludf.DUMMYFUNCTION("IF($M226="""","""",IFERROR(sparkline(query(GOOGLEFINANCE($AZ226,""price"",TODAY()-$AF$43,TODAY(),1),""select Col2 label Col2 ''""),IF($AG$43=""Gráfico de barras"",{""charttype"",""column"";""highcolor"",""red""},{""chartype"",""line""}))))"),"")</f>
        <v/>
      </c>
      <c r="AH226" s="405"/>
      <c r="AI226" s="467"/>
      <c r="AJ226" s="467"/>
      <c r="AK226" s="467"/>
      <c r="AL226" s="467"/>
      <c r="AM226" s="442"/>
      <c r="AN226" s="442"/>
      <c r="AU226" s="281"/>
      <c r="AV226" s="281"/>
      <c r="AW226" s="281"/>
      <c r="AX226" s="281"/>
      <c r="AY226" s="410">
        <v>183.0</v>
      </c>
      <c r="AZ226" s="411"/>
      <c r="BA226" s="411"/>
      <c r="BB226" s="437"/>
      <c r="BC226" s="437"/>
      <c r="BD226" s="437"/>
      <c r="BE226" s="437"/>
      <c r="BF226" s="415" t="s">
        <v>123</v>
      </c>
      <c r="BG226" s="410">
        <v>183.0</v>
      </c>
      <c r="BH226" s="416"/>
      <c r="BI226" s="416"/>
      <c r="BJ226" s="416"/>
      <c r="BK226" s="416"/>
      <c r="BL226" s="416"/>
      <c r="BM226" s="416"/>
      <c r="BN226" s="282"/>
      <c r="BO226" s="490"/>
      <c r="BP226" s="489"/>
      <c r="BQ226" s="489"/>
      <c r="BR226" s="489"/>
      <c r="BS226" s="489"/>
      <c r="BT226" s="489"/>
      <c r="BU226" s="489"/>
      <c r="BV226" s="489"/>
      <c r="BW226" s="63"/>
      <c r="BX226" s="62"/>
      <c r="BY226" s="452"/>
      <c r="BZ226" s="452"/>
      <c r="CA226" s="452"/>
      <c r="CB226" s="452"/>
      <c r="CC226" s="452"/>
      <c r="CD226" s="452"/>
      <c r="CE226" s="452"/>
      <c r="CF226" s="452"/>
      <c r="CG226" s="452"/>
      <c r="CH226" s="422"/>
      <c r="CI226" s="422"/>
      <c r="CJ226" s="422"/>
      <c r="CK226" s="421"/>
      <c r="CL226" s="421" t="s">
        <v>123</v>
      </c>
      <c r="CM226" s="423"/>
      <c r="CN226" s="421"/>
      <c r="CO226" s="423"/>
      <c r="CP226" s="421"/>
      <c r="CQ226" s="63"/>
      <c r="CR226" s="63"/>
      <c r="CS226" s="63"/>
      <c r="CT226" s="63"/>
      <c r="CU226" s="447"/>
      <c r="CV226" s="447"/>
      <c r="CW226" s="447"/>
      <c r="CX226" s="447"/>
      <c r="CY226" s="447"/>
      <c r="CZ226" s="447"/>
      <c r="DA226" s="447"/>
      <c r="DB226" s="447"/>
      <c r="DC226" s="447"/>
      <c r="DD226" s="447"/>
      <c r="DE226" s="447"/>
      <c r="DF226" s="447"/>
      <c r="DG226" s="447"/>
      <c r="DH226" s="447"/>
      <c r="DI226" s="447"/>
      <c r="DJ226" s="447"/>
      <c r="DK226" s="447"/>
      <c r="DL226" s="67"/>
      <c r="DM226" s="67"/>
      <c r="DN226" s="67"/>
      <c r="DO226" s="67"/>
      <c r="DP226" s="67"/>
      <c r="DQ226" s="67"/>
    </row>
    <row r="227" ht="22.5" customHeight="1">
      <c r="A227" s="383"/>
      <c r="B227" s="384" t="str">
        <f>IFERROR(__xludf.DUMMYFUNCTION("IF(B$43="""","""",IF($AZ227="""","""",IFERROR(Query({CarteirasAtivos},""Select Col3 where Col1 = '""&amp;$AZ227&amp;""'and Col2 = '""&amp;S$21&amp;""'""))))"),"")</f>
        <v/>
      </c>
      <c r="C227" s="384" t="str">
        <f>IFERROR(__xludf.DUMMYFUNCTION("IF(C$43="""","""",IF($AZ227="""","""",IFERROR(Query({CarteirasAtivos},""Select Col3 where Col1 = '""&amp;$AZ227&amp;""'and Col2 = '""&amp;T$21&amp;""'""))))"),"")</f>
        <v/>
      </c>
      <c r="D227" s="384" t="str">
        <f>IFERROR(__xludf.DUMMYFUNCTION("IF(D$43="""","""",IF($AZ227="""","""",IFERROR(Query({CarteirasAtivos},""Select Col3 where Col1 = '""&amp;$AZ227&amp;""'and Col2 = '""&amp;U$21&amp;""'""))))"),"")</f>
        <v/>
      </c>
      <c r="E227" s="384" t="str">
        <f>IFERROR(__xludf.DUMMYFUNCTION("IF(E$43="""","""",IF($AZ227="""","""",IFERROR(Query({CarteirasAtivos},""Select Col3 where Col1 = '""&amp;$AZ227&amp;""'and Col2 = '""&amp;V$21&amp;""'""))))"),"")</f>
        <v/>
      </c>
      <c r="F227" s="384" t="str">
        <f>IFERROR(__xludf.DUMMYFUNCTION("IF(F$43="""","""",IF($AZ227="""","""",IFERROR(Query({CarteirasAtivos},""Select Col3 where Col1 = '""&amp;$AZ227&amp;""'and Col2 = '""&amp;W$21&amp;""'""))))"),"")</f>
        <v/>
      </c>
      <c r="G227" s="384" t="str">
        <f>IFERROR(__xludf.DUMMYFUNCTION("IF(G$43="""","""",IF($AZ227="""","""",IFERROR(Query({CarteirasAtivos},""Select Col3 where Col1 = '""&amp;$AZ227&amp;""'and Col2 = '""&amp;X$21&amp;""'""))))"),"")</f>
        <v/>
      </c>
      <c r="H227" s="384" t="str">
        <f>IFERROR(__xludf.DUMMYFUNCTION("IF(H$43="""","""",IF($AZ227="""","""",IFERROR(Query({CarteirasAtivos},""Select Col3 where Col1 = '""&amp;$AZ227&amp;""'and Col2 = '""&amp;Y$21&amp;""'""))))"),"")</f>
        <v/>
      </c>
      <c r="I227" s="384" t="str">
        <f>IFERROR(__xludf.DUMMYFUNCTION("IF(I$43="""","""",IF($AZ227="""","""",IFERROR(Query({CarteirasAtivos},""Select Col3 where Col1 = '""&amp;$AZ227&amp;""'and Col2 = '""&amp;Z$21&amp;""'""))))"),"")</f>
        <v/>
      </c>
      <c r="J227" s="384" t="str">
        <f>IFERROR(__xludf.DUMMYFUNCTION("IF(J$43="""","""",IF($AZ227="""","""",IFERROR(Query({CarteirasAtivos},""Select Col3 where Col1 = '""&amp;$AZ227&amp;""'and Col2 = '""&amp;AA$21&amp;""'""))))"),"")</f>
        <v/>
      </c>
      <c r="K227" s="384" t="str">
        <f>IFERROR(__xludf.DUMMYFUNCTION("IF(K$43="""","""",IF($AZ227="""","""",IFERROR(Query({CarteirasAtivos},""Select Col3 where Col1 = '""&amp;$AZ227&amp;""'and Col2 = '""&amp;AB$21&amp;""'""))))"),"")</f>
        <v/>
      </c>
      <c r="L227" s="385">
        <v>184.0</v>
      </c>
      <c r="M227" s="503"/>
      <c r="N227" s="387"/>
      <c r="O227" s="388" t="s">
        <v>123</v>
      </c>
      <c r="P227" s="389"/>
      <c r="Q227" s="390"/>
      <c r="R227" s="391"/>
      <c r="S227" s="392"/>
      <c r="T227" s="393"/>
      <c r="U227" s="393"/>
      <c r="V227" s="394"/>
      <c r="W227" s="395" t="str">
        <f>IFERROR(__xludf.DUMMYFUNCTION("IF(M227="""","""",sparkline(IFERROR(BF227*100/MAX($BF$44:$BF$153),0),{""charttype"",""bar"";""max"",100;""color1"",IF(BD227&gt;=0,""#4760a5"",""red"")}))"),"")</f>
        <v/>
      </c>
      <c r="X227" s="396"/>
      <c r="Y227" s="466"/>
      <c r="Z227" s="398"/>
      <c r="AA227" s="399"/>
      <c r="AB227" s="393"/>
      <c r="AC227" s="476"/>
      <c r="AD227" s="401"/>
      <c r="AE227" s="402"/>
      <c r="AF227" s="403"/>
      <c r="AG227" s="404" t="str">
        <f>IFERROR(__xludf.DUMMYFUNCTION("IF($M227="""","""",IFERROR(sparkline(query(GOOGLEFINANCE($AZ227,""price"",TODAY()-$AF$43,TODAY(),1),""select Col2 label Col2 ''""),IF($AG$43=""Gráfico de barras"",{""charttype"",""column"";""highcolor"",""red""},{""chartype"",""line""}))))"),"")</f>
        <v/>
      </c>
      <c r="AH227" s="405"/>
      <c r="AI227" s="467"/>
      <c r="AJ227" s="467"/>
      <c r="AK227" s="467"/>
      <c r="AL227" s="467"/>
      <c r="AM227" s="442"/>
      <c r="AN227" s="442"/>
      <c r="AU227" s="281"/>
      <c r="AV227" s="281"/>
      <c r="AW227" s="281"/>
      <c r="AX227" s="281"/>
      <c r="AY227" s="410">
        <v>184.0</v>
      </c>
      <c r="AZ227" s="411"/>
      <c r="BA227" s="411"/>
      <c r="BB227" s="437"/>
      <c r="BC227" s="437"/>
      <c r="BD227" s="437"/>
      <c r="BE227" s="437"/>
      <c r="BF227" s="415" t="s">
        <v>123</v>
      </c>
      <c r="BG227" s="410">
        <v>184.0</v>
      </c>
      <c r="BH227" s="416"/>
      <c r="BI227" s="416"/>
      <c r="BJ227" s="416"/>
      <c r="BK227" s="416"/>
      <c r="BL227" s="416"/>
      <c r="BM227" s="416"/>
      <c r="BN227" s="282"/>
      <c r="BO227" s="490"/>
      <c r="BP227" s="489"/>
      <c r="BQ227" s="489"/>
      <c r="BR227" s="489"/>
      <c r="BS227" s="489"/>
      <c r="BT227" s="489"/>
      <c r="BU227" s="489"/>
      <c r="BV227" s="489"/>
      <c r="BW227" s="63"/>
      <c r="BX227" s="62"/>
      <c r="BY227" s="452"/>
      <c r="BZ227" s="452"/>
      <c r="CA227" s="452"/>
      <c r="CB227" s="452"/>
      <c r="CC227" s="452"/>
      <c r="CD227" s="452"/>
      <c r="CE227" s="452"/>
      <c r="CF227" s="452"/>
      <c r="CG227" s="452"/>
      <c r="CH227" s="422"/>
      <c r="CI227" s="422"/>
      <c r="CJ227" s="422"/>
      <c r="CK227" s="421"/>
      <c r="CL227" s="421" t="s">
        <v>123</v>
      </c>
      <c r="CM227" s="423"/>
      <c r="CN227" s="421"/>
      <c r="CO227" s="423"/>
      <c r="CP227" s="421"/>
      <c r="CQ227" s="63"/>
      <c r="CR227" s="63"/>
      <c r="CS227" s="63"/>
      <c r="CT227" s="63"/>
      <c r="CU227" s="447"/>
      <c r="CV227" s="447"/>
      <c r="CW227" s="447"/>
      <c r="CX227" s="447"/>
      <c r="CY227" s="447"/>
      <c r="CZ227" s="447"/>
      <c r="DA227" s="447"/>
      <c r="DB227" s="447"/>
      <c r="DC227" s="447"/>
      <c r="DD227" s="447"/>
      <c r="DE227" s="447"/>
      <c r="DF227" s="447"/>
      <c r="DG227" s="447"/>
      <c r="DH227" s="447"/>
      <c r="DI227" s="447"/>
      <c r="DJ227" s="447"/>
      <c r="DK227" s="447"/>
      <c r="DL227" s="67"/>
      <c r="DM227" s="67"/>
      <c r="DN227" s="67"/>
      <c r="DO227" s="67"/>
      <c r="DP227" s="67"/>
      <c r="DQ227" s="67"/>
    </row>
    <row r="228" ht="22.5" customHeight="1">
      <c r="A228" s="383"/>
      <c r="B228" s="384" t="str">
        <f>IFERROR(__xludf.DUMMYFUNCTION("IF(B$43="""","""",IF($AZ228="""","""",IFERROR(Query({CarteirasAtivos},""Select Col3 where Col1 = '""&amp;$AZ228&amp;""'and Col2 = '""&amp;S$21&amp;""'""))))"),"")</f>
        <v/>
      </c>
      <c r="C228" s="384" t="str">
        <f>IFERROR(__xludf.DUMMYFUNCTION("IF(C$43="""","""",IF($AZ228="""","""",IFERROR(Query({CarteirasAtivos},""Select Col3 where Col1 = '""&amp;$AZ228&amp;""'and Col2 = '""&amp;T$21&amp;""'""))))"),"")</f>
        <v/>
      </c>
      <c r="D228" s="384" t="str">
        <f>IFERROR(__xludf.DUMMYFUNCTION("IF(D$43="""","""",IF($AZ228="""","""",IFERROR(Query({CarteirasAtivos},""Select Col3 where Col1 = '""&amp;$AZ228&amp;""'and Col2 = '""&amp;U$21&amp;""'""))))"),"")</f>
        <v/>
      </c>
      <c r="E228" s="384" t="str">
        <f>IFERROR(__xludf.DUMMYFUNCTION("IF(E$43="""","""",IF($AZ228="""","""",IFERROR(Query({CarteirasAtivos},""Select Col3 where Col1 = '""&amp;$AZ228&amp;""'and Col2 = '""&amp;V$21&amp;""'""))))"),"")</f>
        <v/>
      </c>
      <c r="F228" s="384" t="str">
        <f>IFERROR(__xludf.DUMMYFUNCTION("IF(F$43="""","""",IF($AZ228="""","""",IFERROR(Query({CarteirasAtivos},""Select Col3 where Col1 = '""&amp;$AZ228&amp;""'and Col2 = '""&amp;W$21&amp;""'""))))"),"")</f>
        <v/>
      </c>
      <c r="G228" s="384" t="str">
        <f>IFERROR(__xludf.DUMMYFUNCTION("IF(G$43="""","""",IF($AZ228="""","""",IFERROR(Query({CarteirasAtivos},""Select Col3 where Col1 = '""&amp;$AZ228&amp;""'and Col2 = '""&amp;X$21&amp;""'""))))"),"")</f>
        <v/>
      </c>
      <c r="H228" s="384" t="str">
        <f>IFERROR(__xludf.DUMMYFUNCTION("IF(H$43="""","""",IF($AZ228="""","""",IFERROR(Query({CarteirasAtivos},""Select Col3 where Col1 = '""&amp;$AZ228&amp;""'and Col2 = '""&amp;Y$21&amp;""'""))))"),"")</f>
        <v/>
      </c>
      <c r="I228" s="384" t="str">
        <f>IFERROR(__xludf.DUMMYFUNCTION("IF(I$43="""","""",IF($AZ228="""","""",IFERROR(Query({CarteirasAtivos},""Select Col3 where Col1 = '""&amp;$AZ228&amp;""'and Col2 = '""&amp;Z$21&amp;""'""))))"),"")</f>
        <v/>
      </c>
      <c r="J228" s="384" t="str">
        <f>IFERROR(__xludf.DUMMYFUNCTION("IF(J$43="""","""",IF($AZ228="""","""",IFERROR(Query({CarteirasAtivos},""Select Col3 where Col1 = '""&amp;$AZ228&amp;""'and Col2 = '""&amp;AA$21&amp;""'""))))"),"")</f>
        <v/>
      </c>
      <c r="K228" s="384" t="str">
        <f>IFERROR(__xludf.DUMMYFUNCTION("IF(K$43="""","""",IF($AZ228="""","""",IFERROR(Query({CarteirasAtivos},""Select Col3 where Col1 = '""&amp;$AZ228&amp;""'and Col2 = '""&amp;AB$21&amp;""'""))))"),"")</f>
        <v/>
      </c>
      <c r="L228" s="385">
        <v>185.0</v>
      </c>
      <c r="M228" s="503"/>
      <c r="N228" s="387"/>
      <c r="O228" s="388" t="s">
        <v>123</v>
      </c>
      <c r="P228" s="389"/>
      <c r="Q228" s="390"/>
      <c r="R228" s="391"/>
      <c r="S228" s="392"/>
      <c r="T228" s="393"/>
      <c r="U228" s="393"/>
      <c r="V228" s="394"/>
      <c r="W228" s="395" t="str">
        <f>IFERROR(__xludf.DUMMYFUNCTION("IF(M228="""","""",sparkline(IFERROR(BF228*100/MAX($BF$44:$BF$153),0),{""charttype"",""bar"";""max"",100;""color1"",IF(BD228&gt;=0,""#4760a5"",""red"")}))"),"")</f>
        <v/>
      </c>
      <c r="X228" s="396"/>
      <c r="Y228" s="466"/>
      <c r="Z228" s="398"/>
      <c r="AA228" s="399"/>
      <c r="AB228" s="393"/>
      <c r="AC228" s="476"/>
      <c r="AD228" s="401"/>
      <c r="AE228" s="402"/>
      <c r="AF228" s="403"/>
      <c r="AG228" s="404" t="str">
        <f>IFERROR(__xludf.DUMMYFUNCTION("IF($M228="""","""",IFERROR(sparkline(query(GOOGLEFINANCE($AZ228,""price"",TODAY()-$AF$43,TODAY(),1),""select Col2 label Col2 ''""),IF($AG$43=""Gráfico de barras"",{""charttype"",""column"";""highcolor"",""red""},{""chartype"",""line""}))))"),"")</f>
        <v/>
      </c>
      <c r="AH228" s="405"/>
      <c r="AI228" s="467"/>
      <c r="AJ228" s="467"/>
      <c r="AK228" s="467"/>
      <c r="AL228" s="467"/>
      <c r="AM228" s="442"/>
      <c r="AN228" s="442"/>
      <c r="AU228" s="281"/>
      <c r="AV228" s="281"/>
      <c r="AW228" s="281"/>
      <c r="AX228" s="281"/>
      <c r="AY228" s="410">
        <v>185.0</v>
      </c>
      <c r="AZ228" s="411"/>
      <c r="BA228" s="411"/>
      <c r="BB228" s="437"/>
      <c r="BC228" s="437"/>
      <c r="BD228" s="437"/>
      <c r="BE228" s="437"/>
      <c r="BF228" s="415" t="s">
        <v>123</v>
      </c>
      <c r="BG228" s="410">
        <v>185.0</v>
      </c>
      <c r="BH228" s="416"/>
      <c r="BI228" s="416"/>
      <c r="BJ228" s="416"/>
      <c r="BK228" s="416"/>
      <c r="BL228" s="416"/>
      <c r="BM228" s="416"/>
      <c r="BN228" s="282"/>
      <c r="BO228" s="490"/>
      <c r="BP228" s="489"/>
      <c r="BQ228" s="489"/>
      <c r="BR228" s="489"/>
      <c r="BS228" s="489"/>
      <c r="BT228" s="489"/>
      <c r="BU228" s="489"/>
      <c r="BV228" s="489"/>
      <c r="BW228" s="63"/>
      <c r="BX228" s="62"/>
      <c r="BY228" s="452"/>
      <c r="BZ228" s="452"/>
      <c r="CA228" s="452"/>
      <c r="CB228" s="452"/>
      <c r="CC228" s="452"/>
      <c r="CD228" s="452"/>
      <c r="CE228" s="452"/>
      <c r="CF228" s="452"/>
      <c r="CG228" s="452"/>
      <c r="CH228" s="422"/>
      <c r="CI228" s="422"/>
      <c r="CJ228" s="422"/>
      <c r="CK228" s="421"/>
      <c r="CL228" s="421" t="s">
        <v>123</v>
      </c>
      <c r="CM228" s="423"/>
      <c r="CN228" s="421"/>
      <c r="CO228" s="423"/>
      <c r="CP228" s="421"/>
      <c r="CQ228" s="63"/>
      <c r="CR228" s="63"/>
      <c r="CS228" s="63"/>
      <c r="CT228" s="63"/>
      <c r="CU228" s="447"/>
      <c r="CV228" s="447"/>
      <c r="CW228" s="447"/>
      <c r="CX228" s="447"/>
      <c r="CY228" s="447"/>
      <c r="CZ228" s="447"/>
      <c r="DA228" s="447"/>
      <c r="DB228" s="447"/>
      <c r="DC228" s="447"/>
      <c r="DD228" s="447"/>
      <c r="DE228" s="447"/>
      <c r="DF228" s="447"/>
      <c r="DG228" s="447"/>
      <c r="DH228" s="447"/>
      <c r="DI228" s="447"/>
      <c r="DJ228" s="447"/>
      <c r="DK228" s="447"/>
      <c r="DL228" s="67"/>
      <c r="DM228" s="67"/>
      <c r="DN228" s="67"/>
      <c r="DO228" s="67"/>
      <c r="DP228" s="67"/>
      <c r="DQ228" s="67"/>
    </row>
    <row r="229" ht="22.5" customHeight="1">
      <c r="A229" s="383"/>
      <c r="B229" s="384" t="str">
        <f>IFERROR(__xludf.DUMMYFUNCTION("IF(B$43="""","""",IF($AZ229="""","""",IFERROR(Query({CarteirasAtivos},""Select Col3 where Col1 = '""&amp;$AZ229&amp;""'and Col2 = '""&amp;S$21&amp;""'""))))"),"")</f>
        <v/>
      </c>
      <c r="C229" s="384" t="str">
        <f>IFERROR(__xludf.DUMMYFUNCTION("IF(C$43="""","""",IF($AZ229="""","""",IFERROR(Query({CarteirasAtivos},""Select Col3 where Col1 = '""&amp;$AZ229&amp;""'and Col2 = '""&amp;T$21&amp;""'""))))"),"")</f>
        <v/>
      </c>
      <c r="D229" s="384" t="str">
        <f>IFERROR(__xludf.DUMMYFUNCTION("IF(D$43="""","""",IF($AZ229="""","""",IFERROR(Query({CarteirasAtivos},""Select Col3 where Col1 = '""&amp;$AZ229&amp;""'and Col2 = '""&amp;U$21&amp;""'""))))"),"")</f>
        <v/>
      </c>
      <c r="E229" s="384" t="str">
        <f>IFERROR(__xludf.DUMMYFUNCTION("IF(E$43="""","""",IF($AZ229="""","""",IFERROR(Query({CarteirasAtivos},""Select Col3 where Col1 = '""&amp;$AZ229&amp;""'and Col2 = '""&amp;V$21&amp;""'""))))"),"")</f>
        <v/>
      </c>
      <c r="F229" s="384" t="str">
        <f>IFERROR(__xludf.DUMMYFUNCTION("IF(F$43="""","""",IF($AZ229="""","""",IFERROR(Query({CarteirasAtivos},""Select Col3 where Col1 = '""&amp;$AZ229&amp;""'and Col2 = '""&amp;W$21&amp;""'""))))"),"")</f>
        <v/>
      </c>
      <c r="G229" s="384" t="str">
        <f>IFERROR(__xludf.DUMMYFUNCTION("IF(G$43="""","""",IF($AZ229="""","""",IFERROR(Query({CarteirasAtivos},""Select Col3 where Col1 = '""&amp;$AZ229&amp;""'and Col2 = '""&amp;X$21&amp;""'""))))"),"")</f>
        <v/>
      </c>
      <c r="H229" s="384" t="str">
        <f>IFERROR(__xludf.DUMMYFUNCTION("IF(H$43="""","""",IF($AZ229="""","""",IFERROR(Query({CarteirasAtivos},""Select Col3 where Col1 = '""&amp;$AZ229&amp;""'and Col2 = '""&amp;Y$21&amp;""'""))))"),"")</f>
        <v/>
      </c>
      <c r="I229" s="384" t="str">
        <f>IFERROR(__xludf.DUMMYFUNCTION("IF(I$43="""","""",IF($AZ229="""","""",IFERROR(Query({CarteirasAtivos},""Select Col3 where Col1 = '""&amp;$AZ229&amp;""'and Col2 = '""&amp;Z$21&amp;""'""))))"),"")</f>
        <v/>
      </c>
      <c r="J229" s="384" t="str">
        <f>IFERROR(__xludf.DUMMYFUNCTION("IF(J$43="""","""",IF($AZ229="""","""",IFERROR(Query({CarteirasAtivos},""Select Col3 where Col1 = '""&amp;$AZ229&amp;""'and Col2 = '""&amp;AA$21&amp;""'""))))"),"")</f>
        <v/>
      </c>
      <c r="K229" s="384" t="str">
        <f>IFERROR(__xludf.DUMMYFUNCTION("IF(K$43="""","""",IF($AZ229="""","""",IFERROR(Query({CarteirasAtivos},""Select Col3 where Col1 = '""&amp;$AZ229&amp;""'and Col2 = '""&amp;AB$21&amp;""'""))))"),"")</f>
        <v/>
      </c>
      <c r="L229" s="385">
        <v>186.0</v>
      </c>
      <c r="M229" s="503"/>
      <c r="N229" s="387"/>
      <c r="O229" s="388" t="s">
        <v>123</v>
      </c>
      <c r="P229" s="389"/>
      <c r="Q229" s="390"/>
      <c r="R229" s="391"/>
      <c r="S229" s="392"/>
      <c r="T229" s="393"/>
      <c r="U229" s="393"/>
      <c r="V229" s="394"/>
      <c r="W229" s="395" t="str">
        <f>IFERROR(__xludf.DUMMYFUNCTION("IF(M229="""","""",sparkline(IFERROR(BF229*100/MAX($BF$44:$BF$153),0),{""charttype"",""bar"";""max"",100;""color1"",IF(BD229&gt;=0,""#4760a5"",""red"")}))"),"")</f>
        <v/>
      </c>
      <c r="X229" s="396"/>
      <c r="Y229" s="466"/>
      <c r="Z229" s="398"/>
      <c r="AA229" s="399"/>
      <c r="AB229" s="393"/>
      <c r="AC229" s="476"/>
      <c r="AD229" s="401"/>
      <c r="AE229" s="402"/>
      <c r="AF229" s="403"/>
      <c r="AG229" s="404" t="str">
        <f>IFERROR(__xludf.DUMMYFUNCTION("IF($M229="""","""",IFERROR(sparkline(query(GOOGLEFINANCE($AZ229,""price"",TODAY()-$AF$43,TODAY(),1),""select Col2 label Col2 ''""),IF($AG$43=""Gráfico de barras"",{""charttype"",""column"";""highcolor"",""red""},{""chartype"",""line""}))))"),"")</f>
        <v/>
      </c>
      <c r="AH229" s="405"/>
      <c r="AI229" s="467"/>
      <c r="AJ229" s="467"/>
      <c r="AK229" s="467"/>
      <c r="AL229" s="467"/>
      <c r="AM229" s="442"/>
      <c r="AN229" s="442"/>
      <c r="AU229" s="281"/>
      <c r="AV229" s="281"/>
      <c r="AW229" s="281"/>
      <c r="AX229" s="281"/>
      <c r="AY229" s="410">
        <v>186.0</v>
      </c>
      <c r="AZ229" s="411"/>
      <c r="BA229" s="411"/>
      <c r="BB229" s="437"/>
      <c r="BC229" s="437"/>
      <c r="BD229" s="437"/>
      <c r="BE229" s="437"/>
      <c r="BF229" s="415" t="s">
        <v>123</v>
      </c>
      <c r="BG229" s="410">
        <v>186.0</v>
      </c>
      <c r="BH229" s="416"/>
      <c r="BI229" s="416"/>
      <c r="BJ229" s="416"/>
      <c r="BK229" s="416"/>
      <c r="BL229" s="416"/>
      <c r="BM229" s="416"/>
      <c r="BN229" s="282"/>
      <c r="BO229" s="490"/>
      <c r="BP229" s="489"/>
      <c r="BQ229" s="489"/>
      <c r="BR229" s="489"/>
      <c r="BS229" s="489"/>
      <c r="BT229" s="489"/>
      <c r="BU229" s="489"/>
      <c r="BV229" s="489"/>
      <c r="BW229" s="63"/>
      <c r="BX229" s="62"/>
      <c r="BY229" s="452"/>
      <c r="BZ229" s="452"/>
      <c r="CA229" s="452"/>
      <c r="CB229" s="452"/>
      <c r="CC229" s="452"/>
      <c r="CD229" s="452"/>
      <c r="CE229" s="452"/>
      <c r="CF229" s="452"/>
      <c r="CG229" s="452"/>
      <c r="CH229" s="422"/>
      <c r="CI229" s="422"/>
      <c r="CJ229" s="422"/>
      <c r="CK229" s="421"/>
      <c r="CL229" s="421" t="s">
        <v>123</v>
      </c>
      <c r="CM229" s="423"/>
      <c r="CN229" s="421"/>
      <c r="CO229" s="423"/>
      <c r="CP229" s="421"/>
      <c r="CQ229" s="63"/>
      <c r="CR229" s="63"/>
      <c r="CS229" s="63"/>
      <c r="CT229" s="63"/>
      <c r="CU229" s="447"/>
      <c r="CV229" s="447"/>
      <c r="CW229" s="447"/>
      <c r="CX229" s="447"/>
      <c r="CY229" s="447"/>
      <c r="CZ229" s="447"/>
      <c r="DA229" s="447"/>
      <c r="DB229" s="447"/>
      <c r="DC229" s="447"/>
      <c r="DD229" s="447"/>
      <c r="DE229" s="447"/>
      <c r="DF229" s="447"/>
      <c r="DG229" s="447"/>
      <c r="DH229" s="447"/>
      <c r="DI229" s="447"/>
      <c r="DJ229" s="447"/>
      <c r="DK229" s="447"/>
      <c r="DL229" s="67"/>
      <c r="DM229" s="67"/>
      <c r="DN229" s="67"/>
      <c r="DO229" s="67"/>
      <c r="DP229" s="67"/>
      <c r="DQ229" s="67"/>
    </row>
    <row r="230" ht="22.5" customHeight="1">
      <c r="A230" s="383"/>
      <c r="B230" s="384" t="str">
        <f>IFERROR(__xludf.DUMMYFUNCTION("IF(B$43="""","""",IF($AZ230="""","""",IFERROR(Query({CarteirasAtivos},""Select Col3 where Col1 = '""&amp;$AZ230&amp;""'and Col2 = '""&amp;S$21&amp;""'""))))"),"")</f>
        <v/>
      </c>
      <c r="C230" s="384" t="str">
        <f>IFERROR(__xludf.DUMMYFUNCTION("IF(C$43="""","""",IF($AZ230="""","""",IFERROR(Query({CarteirasAtivos},""Select Col3 where Col1 = '""&amp;$AZ230&amp;""'and Col2 = '""&amp;T$21&amp;""'""))))"),"")</f>
        <v/>
      </c>
      <c r="D230" s="384" t="str">
        <f>IFERROR(__xludf.DUMMYFUNCTION("IF(D$43="""","""",IF($AZ230="""","""",IFERROR(Query({CarteirasAtivos},""Select Col3 where Col1 = '""&amp;$AZ230&amp;""'and Col2 = '""&amp;U$21&amp;""'""))))"),"")</f>
        <v/>
      </c>
      <c r="E230" s="384" t="str">
        <f>IFERROR(__xludf.DUMMYFUNCTION("IF(E$43="""","""",IF($AZ230="""","""",IFERROR(Query({CarteirasAtivos},""Select Col3 where Col1 = '""&amp;$AZ230&amp;""'and Col2 = '""&amp;V$21&amp;""'""))))"),"")</f>
        <v/>
      </c>
      <c r="F230" s="384" t="str">
        <f>IFERROR(__xludf.DUMMYFUNCTION("IF(F$43="""","""",IF($AZ230="""","""",IFERROR(Query({CarteirasAtivos},""Select Col3 where Col1 = '""&amp;$AZ230&amp;""'and Col2 = '""&amp;W$21&amp;""'""))))"),"")</f>
        <v/>
      </c>
      <c r="G230" s="384" t="str">
        <f>IFERROR(__xludf.DUMMYFUNCTION("IF(G$43="""","""",IF($AZ230="""","""",IFERROR(Query({CarteirasAtivos},""Select Col3 where Col1 = '""&amp;$AZ230&amp;""'and Col2 = '""&amp;X$21&amp;""'""))))"),"")</f>
        <v/>
      </c>
      <c r="H230" s="384" t="str">
        <f>IFERROR(__xludf.DUMMYFUNCTION("IF(H$43="""","""",IF($AZ230="""","""",IFERROR(Query({CarteirasAtivos},""Select Col3 where Col1 = '""&amp;$AZ230&amp;""'and Col2 = '""&amp;Y$21&amp;""'""))))"),"")</f>
        <v/>
      </c>
      <c r="I230" s="384" t="str">
        <f>IFERROR(__xludf.DUMMYFUNCTION("IF(I$43="""","""",IF($AZ230="""","""",IFERROR(Query({CarteirasAtivos},""Select Col3 where Col1 = '""&amp;$AZ230&amp;""'and Col2 = '""&amp;Z$21&amp;""'""))))"),"")</f>
        <v/>
      </c>
      <c r="J230" s="384" t="str">
        <f>IFERROR(__xludf.DUMMYFUNCTION("IF(J$43="""","""",IF($AZ230="""","""",IFERROR(Query({CarteirasAtivos},""Select Col3 where Col1 = '""&amp;$AZ230&amp;""'and Col2 = '""&amp;AA$21&amp;""'""))))"),"")</f>
        <v/>
      </c>
      <c r="K230" s="384" t="str">
        <f>IFERROR(__xludf.DUMMYFUNCTION("IF(K$43="""","""",IF($AZ230="""","""",IFERROR(Query({CarteirasAtivos},""Select Col3 where Col1 = '""&amp;$AZ230&amp;""'and Col2 = '""&amp;AB$21&amp;""'""))))"),"")</f>
        <v/>
      </c>
      <c r="L230" s="385">
        <v>187.0</v>
      </c>
      <c r="M230" s="503"/>
      <c r="N230" s="387"/>
      <c r="O230" s="388" t="s">
        <v>123</v>
      </c>
      <c r="P230" s="389"/>
      <c r="Q230" s="390"/>
      <c r="R230" s="391"/>
      <c r="S230" s="392"/>
      <c r="T230" s="393"/>
      <c r="U230" s="393"/>
      <c r="V230" s="394"/>
      <c r="W230" s="395" t="str">
        <f>IFERROR(__xludf.DUMMYFUNCTION("IF(M230="""","""",sparkline(IFERROR(BF230*100/MAX($BF$44:$BF$153),0),{""charttype"",""bar"";""max"",100;""color1"",IF(BD230&gt;=0,""#4760a5"",""red"")}))"),"")</f>
        <v/>
      </c>
      <c r="X230" s="396"/>
      <c r="Y230" s="466"/>
      <c r="Z230" s="398"/>
      <c r="AA230" s="399"/>
      <c r="AB230" s="393"/>
      <c r="AC230" s="476"/>
      <c r="AD230" s="401"/>
      <c r="AE230" s="402"/>
      <c r="AF230" s="403"/>
      <c r="AG230" s="404" t="str">
        <f>IFERROR(__xludf.DUMMYFUNCTION("IF($M230="""","""",IFERROR(sparkline(query(GOOGLEFINANCE($AZ230,""price"",TODAY()-$AF$43,TODAY(),1),""select Col2 label Col2 ''""),IF($AG$43=""Gráfico de barras"",{""charttype"",""column"";""highcolor"",""red""},{""chartype"",""line""}))))"),"")</f>
        <v/>
      </c>
      <c r="AH230" s="405"/>
      <c r="AI230" s="467"/>
      <c r="AJ230" s="467"/>
      <c r="AK230" s="467"/>
      <c r="AL230" s="467"/>
      <c r="AM230" s="442"/>
      <c r="AN230" s="442"/>
      <c r="AU230" s="281"/>
      <c r="AV230" s="281"/>
      <c r="AW230" s="281"/>
      <c r="AX230" s="281"/>
      <c r="AY230" s="410">
        <v>187.0</v>
      </c>
      <c r="AZ230" s="411"/>
      <c r="BA230" s="411"/>
      <c r="BB230" s="437"/>
      <c r="BC230" s="437"/>
      <c r="BD230" s="437"/>
      <c r="BE230" s="437"/>
      <c r="BF230" s="415" t="s">
        <v>123</v>
      </c>
      <c r="BG230" s="410">
        <v>187.0</v>
      </c>
      <c r="BH230" s="416"/>
      <c r="BI230" s="416"/>
      <c r="BJ230" s="416"/>
      <c r="BK230" s="416"/>
      <c r="BL230" s="416"/>
      <c r="BM230" s="416"/>
      <c r="BN230" s="282"/>
      <c r="BO230" s="490"/>
      <c r="BP230" s="489"/>
      <c r="BQ230" s="489"/>
      <c r="BR230" s="489"/>
      <c r="BS230" s="489"/>
      <c r="BT230" s="489"/>
      <c r="BU230" s="489"/>
      <c r="BV230" s="489"/>
      <c r="BW230" s="63"/>
      <c r="BX230" s="62"/>
      <c r="BY230" s="452"/>
      <c r="BZ230" s="452"/>
      <c r="CA230" s="452"/>
      <c r="CB230" s="452"/>
      <c r="CC230" s="452"/>
      <c r="CD230" s="452"/>
      <c r="CE230" s="452"/>
      <c r="CF230" s="452"/>
      <c r="CG230" s="452"/>
      <c r="CH230" s="422"/>
      <c r="CI230" s="422"/>
      <c r="CJ230" s="422"/>
      <c r="CK230" s="421"/>
      <c r="CL230" s="421" t="s">
        <v>123</v>
      </c>
      <c r="CM230" s="423"/>
      <c r="CN230" s="421"/>
      <c r="CO230" s="423"/>
      <c r="CP230" s="421"/>
      <c r="CQ230" s="63"/>
      <c r="CR230" s="63"/>
      <c r="CS230" s="63"/>
      <c r="CT230" s="63"/>
      <c r="CU230" s="447"/>
      <c r="CV230" s="447"/>
      <c r="CW230" s="447"/>
      <c r="CX230" s="447"/>
      <c r="CY230" s="447"/>
      <c r="CZ230" s="447"/>
      <c r="DA230" s="447"/>
      <c r="DB230" s="447"/>
      <c r="DC230" s="447"/>
      <c r="DD230" s="447"/>
      <c r="DE230" s="447"/>
      <c r="DF230" s="447"/>
      <c r="DG230" s="447"/>
      <c r="DH230" s="447"/>
      <c r="DI230" s="447"/>
      <c r="DJ230" s="447"/>
      <c r="DK230" s="447"/>
      <c r="DL230" s="67"/>
      <c r="DM230" s="67"/>
      <c r="DN230" s="67"/>
      <c r="DO230" s="67"/>
      <c r="DP230" s="67"/>
      <c r="DQ230" s="67"/>
    </row>
    <row r="231" ht="22.5" customHeight="1">
      <c r="A231" s="383"/>
      <c r="B231" s="384" t="str">
        <f>IFERROR(__xludf.DUMMYFUNCTION("IF(B$43="""","""",IF($AZ231="""","""",IFERROR(Query({CarteirasAtivos},""Select Col3 where Col1 = '""&amp;$AZ231&amp;""'and Col2 = '""&amp;S$21&amp;""'""))))"),"")</f>
        <v/>
      </c>
      <c r="C231" s="384" t="str">
        <f>IFERROR(__xludf.DUMMYFUNCTION("IF(C$43="""","""",IF($AZ231="""","""",IFERROR(Query({CarteirasAtivos},""Select Col3 where Col1 = '""&amp;$AZ231&amp;""'and Col2 = '""&amp;T$21&amp;""'""))))"),"")</f>
        <v/>
      </c>
      <c r="D231" s="384" t="str">
        <f>IFERROR(__xludf.DUMMYFUNCTION("IF(D$43="""","""",IF($AZ231="""","""",IFERROR(Query({CarteirasAtivos},""Select Col3 where Col1 = '""&amp;$AZ231&amp;""'and Col2 = '""&amp;U$21&amp;""'""))))"),"")</f>
        <v/>
      </c>
      <c r="E231" s="384" t="str">
        <f>IFERROR(__xludf.DUMMYFUNCTION("IF(E$43="""","""",IF($AZ231="""","""",IFERROR(Query({CarteirasAtivos},""Select Col3 where Col1 = '""&amp;$AZ231&amp;""'and Col2 = '""&amp;V$21&amp;""'""))))"),"")</f>
        <v/>
      </c>
      <c r="F231" s="384" t="str">
        <f>IFERROR(__xludf.DUMMYFUNCTION("IF(F$43="""","""",IF($AZ231="""","""",IFERROR(Query({CarteirasAtivos},""Select Col3 where Col1 = '""&amp;$AZ231&amp;""'and Col2 = '""&amp;W$21&amp;""'""))))"),"")</f>
        <v/>
      </c>
      <c r="G231" s="384" t="str">
        <f>IFERROR(__xludf.DUMMYFUNCTION("IF(G$43="""","""",IF($AZ231="""","""",IFERROR(Query({CarteirasAtivos},""Select Col3 where Col1 = '""&amp;$AZ231&amp;""'and Col2 = '""&amp;X$21&amp;""'""))))"),"")</f>
        <v/>
      </c>
      <c r="H231" s="384" t="str">
        <f>IFERROR(__xludf.DUMMYFUNCTION("IF(H$43="""","""",IF($AZ231="""","""",IFERROR(Query({CarteirasAtivos},""Select Col3 where Col1 = '""&amp;$AZ231&amp;""'and Col2 = '""&amp;Y$21&amp;""'""))))"),"")</f>
        <v/>
      </c>
      <c r="I231" s="384" t="str">
        <f>IFERROR(__xludf.DUMMYFUNCTION("IF(I$43="""","""",IF($AZ231="""","""",IFERROR(Query({CarteirasAtivos},""Select Col3 where Col1 = '""&amp;$AZ231&amp;""'and Col2 = '""&amp;Z$21&amp;""'""))))"),"")</f>
        <v/>
      </c>
      <c r="J231" s="384" t="str">
        <f>IFERROR(__xludf.DUMMYFUNCTION("IF(J$43="""","""",IF($AZ231="""","""",IFERROR(Query({CarteirasAtivos},""Select Col3 where Col1 = '""&amp;$AZ231&amp;""'and Col2 = '""&amp;AA$21&amp;""'""))))"),"")</f>
        <v/>
      </c>
      <c r="K231" s="384" t="str">
        <f>IFERROR(__xludf.DUMMYFUNCTION("IF(K$43="""","""",IF($AZ231="""","""",IFERROR(Query({CarteirasAtivos},""Select Col3 where Col1 = '""&amp;$AZ231&amp;""'and Col2 = '""&amp;AB$21&amp;""'""))))"),"")</f>
        <v/>
      </c>
      <c r="L231" s="385">
        <v>188.0</v>
      </c>
      <c r="M231" s="503"/>
      <c r="N231" s="387"/>
      <c r="O231" s="388" t="s">
        <v>123</v>
      </c>
      <c r="P231" s="389"/>
      <c r="Q231" s="390"/>
      <c r="R231" s="391"/>
      <c r="S231" s="392"/>
      <c r="T231" s="393"/>
      <c r="U231" s="393"/>
      <c r="V231" s="394"/>
      <c r="W231" s="395" t="str">
        <f>IFERROR(__xludf.DUMMYFUNCTION("IF(M231="""","""",sparkline(IFERROR(BF231*100/MAX($BF$44:$BF$153),0),{""charttype"",""bar"";""max"",100;""color1"",IF(BD231&gt;=0,""#4760a5"",""red"")}))"),"")</f>
        <v/>
      </c>
      <c r="X231" s="396"/>
      <c r="Y231" s="466"/>
      <c r="Z231" s="398"/>
      <c r="AA231" s="399"/>
      <c r="AB231" s="393"/>
      <c r="AC231" s="476"/>
      <c r="AD231" s="401"/>
      <c r="AE231" s="402"/>
      <c r="AF231" s="403"/>
      <c r="AG231" s="404" t="str">
        <f>IFERROR(__xludf.DUMMYFUNCTION("IF($M231="""","""",IFERROR(sparkline(query(GOOGLEFINANCE($AZ231,""price"",TODAY()-$AF$43,TODAY(),1),""select Col2 label Col2 ''""),IF($AG$43=""Gráfico de barras"",{""charttype"",""column"";""highcolor"",""red""},{""chartype"",""line""}))))"),"")</f>
        <v/>
      </c>
      <c r="AH231" s="405"/>
      <c r="AI231" s="467"/>
      <c r="AJ231" s="467"/>
      <c r="AK231" s="467"/>
      <c r="AL231" s="467"/>
      <c r="AM231" s="442"/>
      <c r="AN231" s="442"/>
      <c r="AU231" s="281"/>
      <c r="AV231" s="281"/>
      <c r="AW231" s="281"/>
      <c r="AX231" s="281"/>
      <c r="AY231" s="410">
        <v>188.0</v>
      </c>
      <c r="AZ231" s="411"/>
      <c r="BA231" s="411"/>
      <c r="BB231" s="437"/>
      <c r="BC231" s="437"/>
      <c r="BD231" s="437"/>
      <c r="BE231" s="437"/>
      <c r="BF231" s="415" t="s">
        <v>123</v>
      </c>
      <c r="BG231" s="410">
        <v>188.0</v>
      </c>
      <c r="BH231" s="416"/>
      <c r="BI231" s="416"/>
      <c r="BJ231" s="416"/>
      <c r="BK231" s="416"/>
      <c r="BL231" s="416"/>
      <c r="BM231" s="416"/>
      <c r="BN231" s="282"/>
      <c r="BO231" s="490"/>
      <c r="BP231" s="489"/>
      <c r="BQ231" s="489"/>
      <c r="BR231" s="489"/>
      <c r="BS231" s="489"/>
      <c r="BT231" s="489"/>
      <c r="BU231" s="489"/>
      <c r="BV231" s="489"/>
      <c r="BW231" s="63"/>
      <c r="BX231" s="62"/>
      <c r="BY231" s="452"/>
      <c r="BZ231" s="452"/>
      <c r="CA231" s="452"/>
      <c r="CB231" s="452"/>
      <c r="CC231" s="452"/>
      <c r="CD231" s="452"/>
      <c r="CE231" s="452"/>
      <c r="CF231" s="452"/>
      <c r="CG231" s="452"/>
      <c r="CH231" s="422"/>
      <c r="CI231" s="422"/>
      <c r="CJ231" s="422"/>
      <c r="CK231" s="421"/>
      <c r="CL231" s="421" t="s">
        <v>123</v>
      </c>
      <c r="CM231" s="423"/>
      <c r="CN231" s="421"/>
      <c r="CO231" s="423"/>
      <c r="CP231" s="421"/>
      <c r="CQ231" s="63"/>
      <c r="CR231" s="63"/>
      <c r="CS231" s="63"/>
      <c r="CT231" s="63"/>
      <c r="CU231" s="447"/>
      <c r="CV231" s="447"/>
      <c r="CW231" s="447"/>
      <c r="CX231" s="447"/>
      <c r="CY231" s="447"/>
      <c r="CZ231" s="447"/>
      <c r="DA231" s="447"/>
      <c r="DB231" s="447"/>
      <c r="DC231" s="447"/>
      <c r="DD231" s="447"/>
      <c r="DE231" s="447"/>
      <c r="DF231" s="447"/>
      <c r="DG231" s="447"/>
      <c r="DH231" s="447"/>
      <c r="DI231" s="447"/>
      <c r="DJ231" s="447"/>
      <c r="DK231" s="447"/>
      <c r="DL231" s="67"/>
      <c r="DM231" s="67"/>
      <c r="DN231" s="67"/>
      <c r="DO231" s="67"/>
      <c r="DP231" s="67"/>
      <c r="DQ231" s="67"/>
    </row>
    <row r="232" ht="22.5" customHeight="1">
      <c r="A232" s="383"/>
      <c r="B232" s="384" t="str">
        <f>IFERROR(__xludf.DUMMYFUNCTION("IF(B$43="""","""",IF($AZ232="""","""",IFERROR(Query({CarteirasAtivos},""Select Col3 where Col1 = '""&amp;$AZ232&amp;""'and Col2 = '""&amp;S$21&amp;""'""))))"),"")</f>
        <v/>
      </c>
      <c r="C232" s="384" t="str">
        <f>IFERROR(__xludf.DUMMYFUNCTION("IF(C$43="""","""",IF($AZ232="""","""",IFERROR(Query({CarteirasAtivos},""Select Col3 where Col1 = '""&amp;$AZ232&amp;""'and Col2 = '""&amp;T$21&amp;""'""))))"),"")</f>
        <v/>
      </c>
      <c r="D232" s="384" t="str">
        <f>IFERROR(__xludf.DUMMYFUNCTION("IF(D$43="""","""",IF($AZ232="""","""",IFERROR(Query({CarteirasAtivos},""Select Col3 where Col1 = '""&amp;$AZ232&amp;""'and Col2 = '""&amp;U$21&amp;""'""))))"),"")</f>
        <v/>
      </c>
      <c r="E232" s="384" t="str">
        <f>IFERROR(__xludf.DUMMYFUNCTION("IF(E$43="""","""",IF($AZ232="""","""",IFERROR(Query({CarteirasAtivos},""Select Col3 where Col1 = '""&amp;$AZ232&amp;""'and Col2 = '""&amp;V$21&amp;""'""))))"),"")</f>
        <v/>
      </c>
      <c r="F232" s="384" t="str">
        <f>IFERROR(__xludf.DUMMYFUNCTION("IF(F$43="""","""",IF($AZ232="""","""",IFERROR(Query({CarteirasAtivos},""Select Col3 where Col1 = '""&amp;$AZ232&amp;""'and Col2 = '""&amp;W$21&amp;""'""))))"),"")</f>
        <v/>
      </c>
      <c r="G232" s="384" t="str">
        <f>IFERROR(__xludf.DUMMYFUNCTION("IF(G$43="""","""",IF($AZ232="""","""",IFERROR(Query({CarteirasAtivos},""Select Col3 where Col1 = '""&amp;$AZ232&amp;""'and Col2 = '""&amp;X$21&amp;""'""))))"),"")</f>
        <v/>
      </c>
      <c r="H232" s="384" t="str">
        <f>IFERROR(__xludf.DUMMYFUNCTION("IF(H$43="""","""",IF($AZ232="""","""",IFERROR(Query({CarteirasAtivos},""Select Col3 where Col1 = '""&amp;$AZ232&amp;""'and Col2 = '""&amp;Y$21&amp;""'""))))"),"")</f>
        <v/>
      </c>
      <c r="I232" s="384" t="str">
        <f>IFERROR(__xludf.DUMMYFUNCTION("IF(I$43="""","""",IF($AZ232="""","""",IFERROR(Query({CarteirasAtivos},""Select Col3 where Col1 = '""&amp;$AZ232&amp;""'and Col2 = '""&amp;Z$21&amp;""'""))))"),"")</f>
        <v/>
      </c>
      <c r="J232" s="384" t="str">
        <f>IFERROR(__xludf.DUMMYFUNCTION("IF(J$43="""","""",IF($AZ232="""","""",IFERROR(Query({CarteirasAtivos},""Select Col3 where Col1 = '""&amp;$AZ232&amp;""'and Col2 = '""&amp;AA$21&amp;""'""))))"),"")</f>
        <v/>
      </c>
      <c r="K232" s="384" t="str">
        <f>IFERROR(__xludf.DUMMYFUNCTION("IF(K$43="""","""",IF($AZ232="""","""",IFERROR(Query({CarteirasAtivos},""Select Col3 where Col1 = '""&amp;$AZ232&amp;""'and Col2 = '""&amp;AB$21&amp;""'""))))"),"")</f>
        <v/>
      </c>
      <c r="L232" s="385">
        <v>189.0</v>
      </c>
      <c r="M232" s="503"/>
      <c r="N232" s="387"/>
      <c r="O232" s="388" t="s">
        <v>123</v>
      </c>
      <c r="P232" s="389"/>
      <c r="Q232" s="390"/>
      <c r="R232" s="391"/>
      <c r="S232" s="392"/>
      <c r="T232" s="393"/>
      <c r="U232" s="393"/>
      <c r="V232" s="394"/>
      <c r="W232" s="395" t="str">
        <f>IFERROR(__xludf.DUMMYFUNCTION("IF(M232="""","""",sparkline(IFERROR(BF232*100/MAX($BF$44:$BF$153),0),{""charttype"",""bar"";""max"",100;""color1"",IF(BD232&gt;=0,""#4760a5"",""red"")}))"),"")</f>
        <v/>
      </c>
      <c r="X232" s="396"/>
      <c r="Y232" s="466"/>
      <c r="Z232" s="398"/>
      <c r="AA232" s="399"/>
      <c r="AB232" s="393"/>
      <c r="AC232" s="476"/>
      <c r="AD232" s="401"/>
      <c r="AE232" s="402"/>
      <c r="AF232" s="403"/>
      <c r="AG232" s="404" t="str">
        <f>IFERROR(__xludf.DUMMYFUNCTION("IF($M232="""","""",IFERROR(sparkline(query(GOOGLEFINANCE($AZ232,""price"",TODAY()-$AF$43,TODAY(),1),""select Col2 label Col2 ''""),IF($AG$43=""Gráfico de barras"",{""charttype"",""column"";""highcolor"",""red""},{""chartype"",""line""}))))"),"")</f>
        <v/>
      </c>
      <c r="AH232" s="405"/>
      <c r="AI232" s="467"/>
      <c r="AJ232" s="467"/>
      <c r="AK232" s="467"/>
      <c r="AL232" s="467"/>
      <c r="AM232" s="442"/>
      <c r="AN232" s="442"/>
      <c r="AU232" s="281"/>
      <c r="AV232" s="281"/>
      <c r="AW232" s="281"/>
      <c r="AX232" s="281"/>
      <c r="AY232" s="410">
        <v>189.0</v>
      </c>
      <c r="AZ232" s="411"/>
      <c r="BA232" s="411"/>
      <c r="BB232" s="437"/>
      <c r="BC232" s="437"/>
      <c r="BD232" s="437"/>
      <c r="BE232" s="437"/>
      <c r="BF232" s="415" t="s">
        <v>123</v>
      </c>
      <c r="BG232" s="410">
        <v>189.0</v>
      </c>
      <c r="BH232" s="416"/>
      <c r="BI232" s="416"/>
      <c r="BJ232" s="416"/>
      <c r="BK232" s="416"/>
      <c r="BL232" s="416"/>
      <c r="BM232" s="416"/>
      <c r="BN232" s="282"/>
      <c r="BO232" s="490"/>
      <c r="BP232" s="489"/>
      <c r="BQ232" s="489"/>
      <c r="BR232" s="489"/>
      <c r="BS232" s="489"/>
      <c r="BT232" s="489"/>
      <c r="BU232" s="489"/>
      <c r="BV232" s="489"/>
      <c r="BW232" s="63"/>
      <c r="BX232" s="62"/>
      <c r="BY232" s="452"/>
      <c r="BZ232" s="452"/>
      <c r="CA232" s="452"/>
      <c r="CB232" s="452"/>
      <c r="CC232" s="452"/>
      <c r="CD232" s="452"/>
      <c r="CE232" s="452"/>
      <c r="CF232" s="452"/>
      <c r="CG232" s="452"/>
      <c r="CH232" s="422"/>
      <c r="CI232" s="422"/>
      <c r="CJ232" s="422"/>
      <c r="CK232" s="421"/>
      <c r="CL232" s="421" t="s">
        <v>123</v>
      </c>
      <c r="CM232" s="423"/>
      <c r="CN232" s="421"/>
      <c r="CO232" s="423"/>
      <c r="CP232" s="421"/>
      <c r="CQ232" s="63"/>
      <c r="CR232" s="63"/>
      <c r="CS232" s="63"/>
      <c r="CT232" s="63"/>
      <c r="CU232" s="447"/>
      <c r="CV232" s="447"/>
      <c r="CW232" s="447"/>
      <c r="CX232" s="447"/>
      <c r="CY232" s="447"/>
      <c r="CZ232" s="447"/>
      <c r="DA232" s="447"/>
      <c r="DB232" s="447"/>
      <c r="DC232" s="447"/>
      <c r="DD232" s="447"/>
      <c r="DE232" s="447"/>
      <c r="DF232" s="447"/>
      <c r="DG232" s="447"/>
      <c r="DH232" s="447"/>
      <c r="DI232" s="447"/>
      <c r="DJ232" s="447"/>
      <c r="DK232" s="447"/>
      <c r="DL232" s="67"/>
      <c r="DM232" s="67"/>
      <c r="DN232" s="67"/>
      <c r="DO232" s="67"/>
      <c r="DP232" s="67"/>
      <c r="DQ232" s="67"/>
    </row>
    <row r="233" ht="22.5" customHeight="1">
      <c r="A233" s="383"/>
      <c r="B233" s="384" t="str">
        <f>IFERROR(__xludf.DUMMYFUNCTION("IF(B$43="""","""",IF($AZ233="""","""",IFERROR(Query({CarteirasAtivos},""Select Col3 where Col1 = '""&amp;$AZ233&amp;""'and Col2 = '""&amp;S$21&amp;""'""))))"),"")</f>
        <v/>
      </c>
      <c r="C233" s="384" t="str">
        <f>IFERROR(__xludf.DUMMYFUNCTION("IF(C$43="""","""",IF($AZ233="""","""",IFERROR(Query({CarteirasAtivos},""Select Col3 where Col1 = '""&amp;$AZ233&amp;""'and Col2 = '""&amp;T$21&amp;""'""))))"),"")</f>
        <v/>
      </c>
      <c r="D233" s="384" t="str">
        <f>IFERROR(__xludf.DUMMYFUNCTION("IF(D$43="""","""",IF($AZ233="""","""",IFERROR(Query({CarteirasAtivos},""Select Col3 where Col1 = '""&amp;$AZ233&amp;""'and Col2 = '""&amp;U$21&amp;""'""))))"),"")</f>
        <v/>
      </c>
      <c r="E233" s="384" t="str">
        <f>IFERROR(__xludf.DUMMYFUNCTION("IF(E$43="""","""",IF($AZ233="""","""",IFERROR(Query({CarteirasAtivos},""Select Col3 where Col1 = '""&amp;$AZ233&amp;""'and Col2 = '""&amp;V$21&amp;""'""))))"),"")</f>
        <v/>
      </c>
      <c r="F233" s="384" t="str">
        <f>IFERROR(__xludf.DUMMYFUNCTION("IF(F$43="""","""",IF($AZ233="""","""",IFERROR(Query({CarteirasAtivos},""Select Col3 where Col1 = '""&amp;$AZ233&amp;""'and Col2 = '""&amp;W$21&amp;""'""))))"),"")</f>
        <v/>
      </c>
      <c r="G233" s="384" t="str">
        <f>IFERROR(__xludf.DUMMYFUNCTION("IF(G$43="""","""",IF($AZ233="""","""",IFERROR(Query({CarteirasAtivos},""Select Col3 where Col1 = '""&amp;$AZ233&amp;""'and Col2 = '""&amp;X$21&amp;""'""))))"),"")</f>
        <v/>
      </c>
      <c r="H233" s="384" t="str">
        <f>IFERROR(__xludf.DUMMYFUNCTION("IF(H$43="""","""",IF($AZ233="""","""",IFERROR(Query({CarteirasAtivos},""Select Col3 where Col1 = '""&amp;$AZ233&amp;""'and Col2 = '""&amp;Y$21&amp;""'""))))"),"")</f>
        <v/>
      </c>
      <c r="I233" s="384" t="str">
        <f>IFERROR(__xludf.DUMMYFUNCTION("IF(I$43="""","""",IF($AZ233="""","""",IFERROR(Query({CarteirasAtivos},""Select Col3 where Col1 = '""&amp;$AZ233&amp;""'and Col2 = '""&amp;Z$21&amp;""'""))))"),"")</f>
        <v/>
      </c>
      <c r="J233" s="384" t="str">
        <f>IFERROR(__xludf.DUMMYFUNCTION("IF(J$43="""","""",IF($AZ233="""","""",IFERROR(Query({CarteirasAtivos},""Select Col3 where Col1 = '""&amp;$AZ233&amp;""'and Col2 = '""&amp;AA$21&amp;""'""))))"),"")</f>
        <v/>
      </c>
      <c r="K233" s="384" t="str">
        <f>IFERROR(__xludf.DUMMYFUNCTION("IF(K$43="""","""",IF($AZ233="""","""",IFERROR(Query({CarteirasAtivos},""Select Col3 where Col1 = '""&amp;$AZ233&amp;""'and Col2 = '""&amp;AB$21&amp;""'""))))"),"")</f>
        <v/>
      </c>
      <c r="L233" s="385">
        <v>190.0</v>
      </c>
      <c r="M233" s="503"/>
      <c r="N233" s="387"/>
      <c r="O233" s="388" t="s">
        <v>123</v>
      </c>
      <c r="P233" s="389"/>
      <c r="Q233" s="390"/>
      <c r="R233" s="391"/>
      <c r="S233" s="392"/>
      <c r="T233" s="393"/>
      <c r="U233" s="393"/>
      <c r="V233" s="394"/>
      <c r="W233" s="395" t="str">
        <f>IFERROR(__xludf.DUMMYFUNCTION("IF(M233="""","""",sparkline(IFERROR(BF233*100/MAX($BF$44:$BF$153),0),{""charttype"",""bar"";""max"",100;""color1"",IF(BD233&gt;=0,""#4760a5"",""red"")}))"),"")</f>
        <v/>
      </c>
      <c r="X233" s="396"/>
      <c r="Y233" s="466"/>
      <c r="Z233" s="398"/>
      <c r="AA233" s="399"/>
      <c r="AB233" s="393"/>
      <c r="AC233" s="476"/>
      <c r="AD233" s="401"/>
      <c r="AE233" s="402"/>
      <c r="AF233" s="403"/>
      <c r="AG233" s="404" t="str">
        <f>IFERROR(__xludf.DUMMYFUNCTION("IF($M233="""","""",IFERROR(sparkline(query(GOOGLEFINANCE($AZ233,""price"",TODAY()-$AF$43,TODAY(),1),""select Col2 label Col2 ''""),IF($AG$43=""Gráfico de barras"",{""charttype"",""column"";""highcolor"",""red""},{""chartype"",""line""}))))"),"")</f>
        <v/>
      </c>
      <c r="AH233" s="405"/>
      <c r="AI233" s="467"/>
      <c r="AJ233" s="467"/>
      <c r="AK233" s="467"/>
      <c r="AL233" s="467"/>
      <c r="AM233" s="442"/>
      <c r="AN233" s="442"/>
      <c r="AU233" s="281"/>
      <c r="AV233" s="281"/>
      <c r="AW233" s="281"/>
      <c r="AX233" s="281"/>
      <c r="AY233" s="410">
        <v>190.0</v>
      </c>
      <c r="AZ233" s="411"/>
      <c r="BA233" s="411"/>
      <c r="BB233" s="437"/>
      <c r="BC233" s="437"/>
      <c r="BD233" s="437"/>
      <c r="BE233" s="437"/>
      <c r="BF233" s="415" t="s">
        <v>123</v>
      </c>
      <c r="BG233" s="410">
        <v>190.0</v>
      </c>
      <c r="BH233" s="416"/>
      <c r="BI233" s="416"/>
      <c r="BJ233" s="416"/>
      <c r="BK233" s="416"/>
      <c r="BL233" s="416"/>
      <c r="BM233" s="416"/>
      <c r="BN233" s="282"/>
      <c r="BO233" s="490"/>
      <c r="BP233" s="489"/>
      <c r="BQ233" s="489"/>
      <c r="BR233" s="489"/>
      <c r="BS233" s="489"/>
      <c r="BT233" s="489"/>
      <c r="BU233" s="489"/>
      <c r="BV233" s="489"/>
      <c r="BW233" s="63"/>
      <c r="BX233" s="62"/>
      <c r="BY233" s="452"/>
      <c r="BZ233" s="452"/>
      <c r="CA233" s="452"/>
      <c r="CB233" s="452"/>
      <c r="CC233" s="452"/>
      <c r="CD233" s="452"/>
      <c r="CE233" s="452"/>
      <c r="CF233" s="452"/>
      <c r="CG233" s="452"/>
      <c r="CH233" s="422"/>
      <c r="CI233" s="422"/>
      <c r="CJ233" s="422"/>
      <c r="CK233" s="421"/>
      <c r="CL233" s="421" t="s">
        <v>123</v>
      </c>
      <c r="CM233" s="423"/>
      <c r="CN233" s="421"/>
      <c r="CO233" s="423"/>
      <c r="CP233" s="421"/>
      <c r="CQ233" s="63"/>
      <c r="CR233" s="63"/>
      <c r="CS233" s="63"/>
      <c r="CT233" s="63"/>
      <c r="CU233" s="447"/>
      <c r="CV233" s="447"/>
      <c r="CW233" s="447"/>
      <c r="CX233" s="447"/>
      <c r="CY233" s="447"/>
      <c r="CZ233" s="447"/>
      <c r="DA233" s="447"/>
      <c r="DB233" s="447"/>
      <c r="DC233" s="447"/>
      <c r="DD233" s="447"/>
      <c r="DE233" s="447"/>
      <c r="DF233" s="447"/>
      <c r="DG233" s="447"/>
      <c r="DH233" s="447"/>
      <c r="DI233" s="447"/>
      <c r="DJ233" s="447"/>
      <c r="DK233" s="447"/>
      <c r="DL233" s="67"/>
      <c r="DM233" s="67"/>
      <c r="DN233" s="67"/>
      <c r="DO233" s="67"/>
      <c r="DP233" s="67"/>
      <c r="DQ233" s="67"/>
    </row>
    <row r="234" ht="22.5" customHeight="1">
      <c r="A234" s="383"/>
      <c r="B234" s="384" t="str">
        <f>IFERROR(__xludf.DUMMYFUNCTION("IF(B$43="""","""",IF($AZ234="""","""",IFERROR(Query({CarteirasAtivos},""Select Col3 where Col1 = '""&amp;$AZ234&amp;""'and Col2 = '""&amp;S$21&amp;""'""))))"),"")</f>
        <v/>
      </c>
      <c r="C234" s="384" t="str">
        <f>IFERROR(__xludf.DUMMYFUNCTION("IF(C$43="""","""",IF($AZ234="""","""",IFERROR(Query({CarteirasAtivos},""Select Col3 where Col1 = '""&amp;$AZ234&amp;""'and Col2 = '""&amp;T$21&amp;""'""))))"),"")</f>
        <v/>
      </c>
      <c r="D234" s="384" t="str">
        <f>IFERROR(__xludf.DUMMYFUNCTION("IF(D$43="""","""",IF($AZ234="""","""",IFERROR(Query({CarteirasAtivos},""Select Col3 where Col1 = '""&amp;$AZ234&amp;""'and Col2 = '""&amp;U$21&amp;""'""))))"),"")</f>
        <v/>
      </c>
      <c r="E234" s="384" t="str">
        <f>IFERROR(__xludf.DUMMYFUNCTION("IF(E$43="""","""",IF($AZ234="""","""",IFERROR(Query({CarteirasAtivos},""Select Col3 where Col1 = '""&amp;$AZ234&amp;""'and Col2 = '""&amp;V$21&amp;""'""))))"),"")</f>
        <v/>
      </c>
      <c r="F234" s="384" t="str">
        <f>IFERROR(__xludf.DUMMYFUNCTION("IF(F$43="""","""",IF($AZ234="""","""",IFERROR(Query({CarteirasAtivos},""Select Col3 where Col1 = '""&amp;$AZ234&amp;""'and Col2 = '""&amp;W$21&amp;""'""))))"),"")</f>
        <v/>
      </c>
      <c r="G234" s="384" t="str">
        <f>IFERROR(__xludf.DUMMYFUNCTION("IF(G$43="""","""",IF($AZ234="""","""",IFERROR(Query({CarteirasAtivos},""Select Col3 where Col1 = '""&amp;$AZ234&amp;""'and Col2 = '""&amp;X$21&amp;""'""))))"),"")</f>
        <v/>
      </c>
      <c r="H234" s="384" t="str">
        <f>IFERROR(__xludf.DUMMYFUNCTION("IF(H$43="""","""",IF($AZ234="""","""",IFERROR(Query({CarteirasAtivos},""Select Col3 where Col1 = '""&amp;$AZ234&amp;""'and Col2 = '""&amp;Y$21&amp;""'""))))"),"")</f>
        <v/>
      </c>
      <c r="I234" s="384" t="str">
        <f>IFERROR(__xludf.DUMMYFUNCTION("IF(I$43="""","""",IF($AZ234="""","""",IFERROR(Query({CarteirasAtivos},""Select Col3 where Col1 = '""&amp;$AZ234&amp;""'and Col2 = '""&amp;Z$21&amp;""'""))))"),"")</f>
        <v/>
      </c>
      <c r="J234" s="384" t="str">
        <f>IFERROR(__xludf.DUMMYFUNCTION("IF(J$43="""","""",IF($AZ234="""","""",IFERROR(Query({CarteirasAtivos},""Select Col3 where Col1 = '""&amp;$AZ234&amp;""'and Col2 = '""&amp;AA$21&amp;""'""))))"),"")</f>
        <v/>
      </c>
      <c r="K234" s="384" t="str">
        <f>IFERROR(__xludf.DUMMYFUNCTION("IF(K$43="""","""",IF($AZ234="""","""",IFERROR(Query({CarteirasAtivos},""Select Col3 where Col1 = '""&amp;$AZ234&amp;""'and Col2 = '""&amp;AB$21&amp;""'""))))"),"")</f>
        <v/>
      </c>
      <c r="L234" s="385">
        <v>191.0</v>
      </c>
      <c r="M234" s="503"/>
      <c r="N234" s="387"/>
      <c r="O234" s="388" t="s">
        <v>123</v>
      </c>
      <c r="P234" s="389"/>
      <c r="Q234" s="390"/>
      <c r="R234" s="391"/>
      <c r="S234" s="392"/>
      <c r="T234" s="393"/>
      <c r="U234" s="393"/>
      <c r="V234" s="394"/>
      <c r="W234" s="395" t="str">
        <f>IFERROR(__xludf.DUMMYFUNCTION("IF(M234="""","""",sparkline(IFERROR(BF234*100/MAX($BF$44:$BF$153),0),{""charttype"",""bar"";""max"",100;""color1"",IF(BD234&gt;=0,""#4760a5"",""red"")}))"),"")</f>
        <v/>
      </c>
      <c r="X234" s="396"/>
      <c r="Y234" s="466"/>
      <c r="Z234" s="398"/>
      <c r="AA234" s="399"/>
      <c r="AB234" s="393"/>
      <c r="AC234" s="476"/>
      <c r="AD234" s="401"/>
      <c r="AE234" s="402"/>
      <c r="AF234" s="403"/>
      <c r="AG234" s="404" t="str">
        <f>IFERROR(__xludf.DUMMYFUNCTION("IF($M234="""","""",IFERROR(sparkline(query(GOOGLEFINANCE($AZ234,""price"",TODAY()-$AF$43,TODAY(),1),""select Col2 label Col2 ''""),IF($AG$43=""Gráfico de barras"",{""charttype"",""column"";""highcolor"",""red""},{""chartype"",""line""}))))"),"")</f>
        <v/>
      </c>
      <c r="AH234" s="405"/>
      <c r="AI234" s="467"/>
      <c r="AJ234" s="467"/>
      <c r="AK234" s="467"/>
      <c r="AL234" s="467"/>
      <c r="AM234" s="442"/>
      <c r="AN234" s="442"/>
      <c r="AU234" s="281"/>
      <c r="AV234" s="281"/>
      <c r="AW234" s="281"/>
      <c r="AX234" s="281"/>
      <c r="AY234" s="410">
        <v>191.0</v>
      </c>
      <c r="AZ234" s="411"/>
      <c r="BA234" s="411"/>
      <c r="BB234" s="437"/>
      <c r="BC234" s="437"/>
      <c r="BD234" s="437"/>
      <c r="BE234" s="437"/>
      <c r="BF234" s="415" t="s">
        <v>123</v>
      </c>
      <c r="BG234" s="410">
        <v>191.0</v>
      </c>
      <c r="BH234" s="416"/>
      <c r="BI234" s="416"/>
      <c r="BJ234" s="416"/>
      <c r="BK234" s="416"/>
      <c r="BL234" s="416"/>
      <c r="BM234" s="416"/>
      <c r="BN234" s="282"/>
      <c r="BO234" s="490"/>
      <c r="BP234" s="489"/>
      <c r="BQ234" s="489"/>
      <c r="BR234" s="489"/>
      <c r="BS234" s="489"/>
      <c r="BT234" s="489"/>
      <c r="BU234" s="489"/>
      <c r="BV234" s="489"/>
      <c r="BW234" s="63"/>
      <c r="BX234" s="62"/>
      <c r="BY234" s="452"/>
      <c r="BZ234" s="452"/>
      <c r="CA234" s="452"/>
      <c r="CB234" s="452"/>
      <c r="CC234" s="452"/>
      <c r="CD234" s="452"/>
      <c r="CE234" s="452"/>
      <c r="CF234" s="452"/>
      <c r="CG234" s="452"/>
      <c r="CH234" s="422"/>
      <c r="CI234" s="422"/>
      <c r="CJ234" s="422"/>
      <c r="CK234" s="421"/>
      <c r="CL234" s="421" t="s">
        <v>123</v>
      </c>
      <c r="CM234" s="423"/>
      <c r="CN234" s="421"/>
      <c r="CO234" s="423"/>
      <c r="CP234" s="421"/>
      <c r="CQ234" s="63"/>
      <c r="CR234" s="63"/>
      <c r="CS234" s="63"/>
      <c r="CT234" s="63"/>
      <c r="CU234" s="447"/>
      <c r="CV234" s="447"/>
      <c r="CW234" s="447"/>
      <c r="CX234" s="447"/>
      <c r="CY234" s="447"/>
      <c r="CZ234" s="447"/>
      <c r="DA234" s="447"/>
      <c r="DB234" s="447"/>
      <c r="DC234" s="447"/>
      <c r="DD234" s="447"/>
      <c r="DE234" s="447"/>
      <c r="DF234" s="447"/>
      <c r="DG234" s="447"/>
      <c r="DH234" s="447"/>
      <c r="DI234" s="447"/>
      <c r="DJ234" s="447"/>
      <c r="DK234" s="447"/>
      <c r="DL234" s="67"/>
      <c r="DM234" s="67"/>
      <c r="DN234" s="67"/>
      <c r="DO234" s="67"/>
      <c r="DP234" s="67"/>
      <c r="DQ234" s="67"/>
    </row>
    <row r="235" ht="22.5" customHeight="1">
      <c r="A235" s="383"/>
      <c r="B235" s="384" t="str">
        <f>IFERROR(__xludf.DUMMYFUNCTION("IF(B$43="""","""",IF($AZ235="""","""",IFERROR(Query({CarteirasAtivos},""Select Col3 where Col1 = '""&amp;$AZ235&amp;""'and Col2 = '""&amp;S$21&amp;""'""))))"),"")</f>
        <v/>
      </c>
      <c r="C235" s="384" t="str">
        <f>IFERROR(__xludf.DUMMYFUNCTION("IF(C$43="""","""",IF($AZ235="""","""",IFERROR(Query({CarteirasAtivos},""Select Col3 where Col1 = '""&amp;$AZ235&amp;""'and Col2 = '""&amp;T$21&amp;""'""))))"),"")</f>
        <v/>
      </c>
      <c r="D235" s="384" t="str">
        <f>IFERROR(__xludf.DUMMYFUNCTION("IF(D$43="""","""",IF($AZ235="""","""",IFERROR(Query({CarteirasAtivos},""Select Col3 where Col1 = '""&amp;$AZ235&amp;""'and Col2 = '""&amp;U$21&amp;""'""))))"),"")</f>
        <v/>
      </c>
      <c r="E235" s="384" t="str">
        <f>IFERROR(__xludf.DUMMYFUNCTION("IF(E$43="""","""",IF($AZ235="""","""",IFERROR(Query({CarteirasAtivos},""Select Col3 where Col1 = '""&amp;$AZ235&amp;""'and Col2 = '""&amp;V$21&amp;""'""))))"),"")</f>
        <v/>
      </c>
      <c r="F235" s="384" t="str">
        <f>IFERROR(__xludf.DUMMYFUNCTION("IF(F$43="""","""",IF($AZ235="""","""",IFERROR(Query({CarteirasAtivos},""Select Col3 where Col1 = '""&amp;$AZ235&amp;""'and Col2 = '""&amp;W$21&amp;""'""))))"),"")</f>
        <v/>
      </c>
      <c r="G235" s="384" t="str">
        <f>IFERROR(__xludf.DUMMYFUNCTION("IF(G$43="""","""",IF($AZ235="""","""",IFERROR(Query({CarteirasAtivos},""Select Col3 where Col1 = '""&amp;$AZ235&amp;""'and Col2 = '""&amp;X$21&amp;""'""))))"),"")</f>
        <v/>
      </c>
      <c r="H235" s="384" t="str">
        <f>IFERROR(__xludf.DUMMYFUNCTION("IF(H$43="""","""",IF($AZ235="""","""",IFERROR(Query({CarteirasAtivos},""Select Col3 where Col1 = '""&amp;$AZ235&amp;""'and Col2 = '""&amp;Y$21&amp;""'""))))"),"")</f>
        <v/>
      </c>
      <c r="I235" s="384" t="str">
        <f>IFERROR(__xludf.DUMMYFUNCTION("IF(I$43="""","""",IF($AZ235="""","""",IFERROR(Query({CarteirasAtivos},""Select Col3 where Col1 = '""&amp;$AZ235&amp;""'and Col2 = '""&amp;Z$21&amp;""'""))))"),"")</f>
        <v/>
      </c>
      <c r="J235" s="384" t="str">
        <f>IFERROR(__xludf.DUMMYFUNCTION("IF(J$43="""","""",IF($AZ235="""","""",IFERROR(Query({CarteirasAtivos},""Select Col3 where Col1 = '""&amp;$AZ235&amp;""'and Col2 = '""&amp;AA$21&amp;""'""))))"),"")</f>
        <v/>
      </c>
      <c r="K235" s="384" t="str">
        <f>IFERROR(__xludf.DUMMYFUNCTION("IF(K$43="""","""",IF($AZ235="""","""",IFERROR(Query({CarteirasAtivos},""Select Col3 where Col1 = '""&amp;$AZ235&amp;""'and Col2 = '""&amp;AB$21&amp;""'""))))"),"")</f>
        <v/>
      </c>
      <c r="L235" s="385">
        <v>192.0</v>
      </c>
      <c r="M235" s="503"/>
      <c r="N235" s="387"/>
      <c r="O235" s="388" t="s">
        <v>123</v>
      </c>
      <c r="P235" s="389"/>
      <c r="Q235" s="390"/>
      <c r="R235" s="391"/>
      <c r="S235" s="392"/>
      <c r="T235" s="393"/>
      <c r="U235" s="393"/>
      <c r="V235" s="394"/>
      <c r="W235" s="395" t="str">
        <f>IFERROR(__xludf.DUMMYFUNCTION("IF(M235="""","""",sparkline(IFERROR(BF235*100/MAX($BF$44:$BF$153),0),{""charttype"",""bar"";""max"",100;""color1"",IF(BD235&gt;=0,""#4760a5"",""red"")}))"),"")</f>
        <v/>
      </c>
      <c r="X235" s="396"/>
      <c r="Y235" s="466"/>
      <c r="Z235" s="398"/>
      <c r="AA235" s="399"/>
      <c r="AB235" s="393"/>
      <c r="AC235" s="476"/>
      <c r="AD235" s="401"/>
      <c r="AE235" s="402"/>
      <c r="AF235" s="403"/>
      <c r="AG235" s="404" t="str">
        <f>IFERROR(__xludf.DUMMYFUNCTION("IF($M235="""","""",IFERROR(sparkline(query(GOOGLEFINANCE($AZ235,""price"",TODAY()-$AF$43,TODAY(),1),""select Col2 label Col2 ''""),IF($AG$43=""Gráfico de barras"",{""charttype"",""column"";""highcolor"",""red""},{""chartype"",""line""}))))"),"")</f>
        <v/>
      </c>
      <c r="AH235" s="405"/>
      <c r="AI235" s="467"/>
      <c r="AJ235" s="467"/>
      <c r="AK235" s="467"/>
      <c r="AL235" s="467"/>
      <c r="AM235" s="442"/>
      <c r="AN235" s="442"/>
      <c r="AU235" s="281"/>
      <c r="AV235" s="281"/>
      <c r="AW235" s="281"/>
      <c r="AX235" s="281"/>
      <c r="AY235" s="410">
        <v>192.0</v>
      </c>
      <c r="AZ235" s="411"/>
      <c r="BA235" s="411"/>
      <c r="BB235" s="437"/>
      <c r="BC235" s="437"/>
      <c r="BD235" s="437"/>
      <c r="BE235" s="437"/>
      <c r="BF235" s="415" t="s">
        <v>123</v>
      </c>
      <c r="BG235" s="410">
        <v>192.0</v>
      </c>
      <c r="BH235" s="416"/>
      <c r="BI235" s="416"/>
      <c r="BJ235" s="416"/>
      <c r="BK235" s="416"/>
      <c r="BL235" s="416"/>
      <c r="BM235" s="416"/>
      <c r="BN235" s="282"/>
      <c r="BO235" s="490"/>
      <c r="BP235" s="489"/>
      <c r="BQ235" s="489"/>
      <c r="BR235" s="489"/>
      <c r="BS235" s="489"/>
      <c r="BT235" s="489"/>
      <c r="BU235" s="489"/>
      <c r="BV235" s="489"/>
      <c r="BW235" s="63"/>
      <c r="BX235" s="62"/>
      <c r="BY235" s="452"/>
      <c r="BZ235" s="452"/>
      <c r="CA235" s="452"/>
      <c r="CB235" s="452"/>
      <c r="CC235" s="452"/>
      <c r="CD235" s="452"/>
      <c r="CE235" s="452"/>
      <c r="CF235" s="452"/>
      <c r="CG235" s="452"/>
      <c r="CH235" s="422"/>
      <c r="CI235" s="422"/>
      <c r="CJ235" s="422"/>
      <c r="CK235" s="421"/>
      <c r="CL235" s="421" t="s">
        <v>123</v>
      </c>
      <c r="CM235" s="423"/>
      <c r="CN235" s="421"/>
      <c r="CO235" s="423"/>
      <c r="CP235" s="421"/>
      <c r="CQ235" s="63"/>
      <c r="CR235" s="63"/>
      <c r="CS235" s="63"/>
      <c r="CT235" s="63"/>
      <c r="CU235" s="447"/>
      <c r="CV235" s="447"/>
      <c r="CW235" s="447"/>
      <c r="CX235" s="447"/>
      <c r="CY235" s="447"/>
      <c r="CZ235" s="447"/>
      <c r="DA235" s="447"/>
      <c r="DB235" s="447"/>
      <c r="DC235" s="447"/>
      <c r="DD235" s="447"/>
      <c r="DE235" s="447"/>
      <c r="DF235" s="447"/>
      <c r="DG235" s="447"/>
      <c r="DH235" s="447"/>
      <c r="DI235" s="447"/>
      <c r="DJ235" s="447"/>
      <c r="DK235" s="447"/>
      <c r="DL235" s="67"/>
      <c r="DM235" s="67"/>
      <c r="DN235" s="67"/>
      <c r="DO235" s="67"/>
      <c r="DP235" s="67"/>
      <c r="DQ235" s="67"/>
    </row>
    <row r="236" ht="22.5" customHeight="1">
      <c r="A236" s="383"/>
      <c r="B236" s="384" t="str">
        <f>IFERROR(__xludf.DUMMYFUNCTION("IF(B$43="""","""",IF($AZ236="""","""",IFERROR(Query({CarteirasAtivos},""Select Col3 where Col1 = '""&amp;$AZ236&amp;""'and Col2 = '""&amp;S$21&amp;""'""))))"),"")</f>
        <v/>
      </c>
      <c r="C236" s="384" t="str">
        <f>IFERROR(__xludf.DUMMYFUNCTION("IF(C$43="""","""",IF($AZ236="""","""",IFERROR(Query({CarteirasAtivos},""Select Col3 where Col1 = '""&amp;$AZ236&amp;""'and Col2 = '""&amp;T$21&amp;""'""))))"),"")</f>
        <v/>
      </c>
      <c r="D236" s="384" t="str">
        <f>IFERROR(__xludf.DUMMYFUNCTION("IF(D$43="""","""",IF($AZ236="""","""",IFERROR(Query({CarteirasAtivos},""Select Col3 where Col1 = '""&amp;$AZ236&amp;""'and Col2 = '""&amp;U$21&amp;""'""))))"),"")</f>
        <v/>
      </c>
      <c r="E236" s="384" t="str">
        <f>IFERROR(__xludf.DUMMYFUNCTION("IF(E$43="""","""",IF($AZ236="""","""",IFERROR(Query({CarteirasAtivos},""Select Col3 where Col1 = '""&amp;$AZ236&amp;""'and Col2 = '""&amp;V$21&amp;""'""))))"),"")</f>
        <v/>
      </c>
      <c r="F236" s="384" t="str">
        <f>IFERROR(__xludf.DUMMYFUNCTION("IF(F$43="""","""",IF($AZ236="""","""",IFERROR(Query({CarteirasAtivos},""Select Col3 where Col1 = '""&amp;$AZ236&amp;""'and Col2 = '""&amp;W$21&amp;""'""))))"),"")</f>
        <v/>
      </c>
      <c r="G236" s="384" t="str">
        <f>IFERROR(__xludf.DUMMYFUNCTION("IF(G$43="""","""",IF($AZ236="""","""",IFERROR(Query({CarteirasAtivos},""Select Col3 where Col1 = '""&amp;$AZ236&amp;""'and Col2 = '""&amp;X$21&amp;""'""))))"),"")</f>
        <v/>
      </c>
      <c r="H236" s="384" t="str">
        <f>IFERROR(__xludf.DUMMYFUNCTION("IF(H$43="""","""",IF($AZ236="""","""",IFERROR(Query({CarteirasAtivos},""Select Col3 where Col1 = '""&amp;$AZ236&amp;""'and Col2 = '""&amp;Y$21&amp;""'""))))"),"")</f>
        <v/>
      </c>
      <c r="I236" s="384" t="str">
        <f>IFERROR(__xludf.DUMMYFUNCTION("IF(I$43="""","""",IF($AZ236="""","""",IFERROR(Query({CarteirasAtivos},""Select Col3 where Col1 = '""&amp;$AZ236&amp;""'and Col2 = '""&amp;Z$21&amp;""'""))))"),"")</f>
        <v/>
      </c>
      <c r="J236" s="384" t="str">
        <f>IFERROR(__xludf.DUMMYFUNCTION("IF(J$43="""","""",IF($AZ236="""","""",IFERROR(Query({CarteirasAtivos},""Select Col3 where Col1 = '""&amp;$AZ236&amp;""'and Col2 = '""&amp;AA$21&amp;""'""))))"),"")</f>
        <v/>
      </c>
      <c r="K236" s="384" t="str">
        <f>IFERROR(__xludf.DUMMYFUNCTION("IF(K$43="""","""",IF($AZ236="""","""",IFERROR(Query({CarteirasAtivos},""Select Col3 where Col1 = '""&amp;$AZ236&amp;""'and Col2 = '""&amp;AB$21&amp;""'""))))"),"")</f>
        <v/>
      </c>
      <c r="L236" s="385">
        <v>193.0</v>
      </c>
      <c r="M236" s="503"/>
      <c r="N236" s="387"/>
      <c r="O236" s="388" t="s">
        <v>123</v>
      </c>
      <c r="P236" s="389"/>
      <c r="Q236" s="390"/>
      <c r="R236" s="391"/>
      <c r="S236" s="392"/>
      <c r="T236" s="393"/>
      <c r="U236" s="393"/>
      <c r="V236" s="394"/>
      <c r="W236" s="395" t="str">
        <f>IFERROR(__xludf.DUMMYFUNCTION("IF(M236="""","""",sparkline(IFERROR(BF236*100/MAX($BF$44:$BF$153),0),{""charttype"",""bar"";""max"",100;""color1"",IF(BD236&gt;=0,""#4760a5"",""red"")}))"),"")</f>
        <v/>
      </c>
      <c r="X236" s="396"/>
      <c r="Y236" s="466"/>
      <c r="Z236" s="398"/>
      <c r="AA236" s="399"/>
      <c r="AB236" s="393"/>
      <c r="AC236" s="476"/>
      <c r="AD236" s="401"/>
      <c r="AE236" s="402"/>
      <c r="AF236" s="403"/>
      <c r="AG236" s="404" t="str">
        <f>IFERROR(__xludf.DUMMYFUNCTION("IF($M236="""","""",IFERROR(sparkline(query(GOOGLEFINANCE($AZ236,""price"",TODAY()-$AF$43,TODAY(),1),""select Col2 label Col2 ''""),IF($AG$43=""Gráfico de barras"",{""charttype"",""column"";""highcolor"",""red""},{""chartype"",""line""}))))"),"")</f>
        <v/>
      </c>
      <c r="AH236" s="405"/>
      <c r="AI236" s="467"/>
      <c r="AJ236" s="467"/>
      <c r="AK236" s="467"/>
      <c r="AL236" s="467"/>
      <c r="AM236" s="442"/>
      <c r="AN236" s="442"/>
      <c r="AU236" s="281"/>
      <c r="AV236" s="281"/>
      <c r="AW236" s="281"/>
      <c r="AX236" s="281"/>
      <c r="AY236" s="410">
        <v>193.0</v>
      </c>
      <c r="AZ236" s="411"/>
      <c r="BA236" s="411"/>
      <c r="BB236" s="437"/>
      <c r="BC236" s="437"/>
      <c r="BD236" s="437"/>
      <c r="BE236" s="437"/>
      <c r="BF236" s="415" t="s">
        <v>123</v>
      </c>
      <c r="BG236" s="410">
        <v>193.0</v>
      </c>
      <c r="BH236" s="416"/>
      <c r="BI236" s="416"/>
      <c r="BJ236" s="416"/>
      <c r="BK236" s="416"/>
      <c r="BL236" s="416"/>
      <c r="BM236" s="416"/>
      <c r="BN236" s="282"/>
      <c r="BO236" s="490"/>
      <c r="BP236" s="489"/>
      <c r="BQ236" s="489"/>
      <c r="BR236" s="489"/>
      <c r="BS236" s="489"/>
      <c r="BT236" s="489"/>
      <c r="BU236" s="489"/>
      <c r="BV236" s="489"/>
      <c r="BW236" s="63"/>
      <c r="BX236" s="62"/>
      <c r="BY236" s="452"/>
      <c r="BZ236" s="452"/>
      <c r="CA236" s="452"/>
      <c r="CB236" s="452"/>
      <c r="CC236" s="452"/>
      <c r="CD236" s="452"/>
      <c r="CE236" s="452"/>
      <c r="CF236" s="452"/>
      <c r="CG236" s="452"/>
      <c r="CH236" s="422"/>
      <c r="CI236" s="422"/>
      <c r="CJ236" s="422"/>
      <c r="CK236" s="421"/>
      <c r="CL236" s="421" t="s">
        <v>123</v>
      </c>
      <c r="CM236" s="423"/>
      <c r="CN236" s="421"/>
      <c r="CO236" s="423"/>
      <c r="CP236" s="421"/>
      <c r="CQ236" s="63"/>
      <c r="CR236" s="63"/>
      <c r="CS236" s="63"/>
      <c r="CT236" s="63"/>
      <c r="CU236" s="447"/>
      <c r="CV236" s="447"/>
      <c r="CW236" s="447"/>
      <c r="CX236" s="447"/>
      <c r="CY236" s="447"/>
      <c r="CZ236" s="447"/>
      <c r="DA236" s="447"/>
      <c r="DB236" s="447"/>
      <c r="DC236" s="447"/>
      <c r="DD236" s="447"/>
      <c r="DE236" s="447"/>
      <c r="DF236" s="447"/>
      <c r="DG236" s="447"/>
      <c r="DH236" s="447"/>
      <c r="DI236" s="447"/>
      <c r="DJ236" s="447"/>
      <c r="DK236" s="447"/>
      <c r="DL236" s="67"/>
      <c r="DM236" s="67"/>
      <c r="DN236" s="67"/>
      <c r="DO236" s="67"/>
      <c r="DP236" s="67"/>
      <c r="DQ236" s="67"/>
    </row>
    <row r="237" ht="22.5" customHeight="1">
      <c r="A237" s="383"/>
      <c r="B237" s="384" t="str">
        <f>IFERROR(__xludf.DUMMYFUNCTION("IF(B$43="""","""",IF($AZ237="""","""",IFERROR(Query({CarteirasAtivos},""Select Col3 where Col1 = '""&amp;$AZ237&amp;""'and Col2 = '""&amp;S$21&amp;""'""))))"),"")</f>
        <v/>
      </c>
      <c r="C237" s="384" t="str">
        <f>IFERROR(__xludf.DUMMYFUNCTION("IF(C$43="""","""",IF($AZ237="""","""",IFERROR(Query({CarteirasAtivos},""Select Col3 where Col1 = '""&amp;$AZ237&amp;""'and Col2 = '""&amp;T$21&amp;""'""))))"),"")</f>
        <v/>
      </c>
      <c r="D237" s="384" t="str">
        <f>IFERROR(__xludf.DUMMYFUNCTION("IF(D$43="""","""",IF($AZ237="""","""",IFERROR(Query({CarteirasAtivos},""Select Col3 where Col1 = '""&amp;$AZ237&amp;""'and Col2 = '""&amp;U$21&amp;""'""))))"),"")</f>
        <v/>
      </c>
      <c r="E237" s="384" t="str">
        <f>IFERROR(__xludf.DUMMYFUNCTION("IF(E$43="""","""",IF($AZ237="""","""",IFERROR(Query({CarteirasAtivos},""Select Col3 where Col1 = '""&amp;$AZ237&amp;""'and Col2 = '""&amp;V$21&amp;""'""))))"),"")</f>
        <v/>
      </c>
      <c r="F237" s="384" t="str">
        <f>IFERROR(__xludf.DUMMYFUNCTION("IF(F$43="""","""",IF($AZ237="""","""",IFERROR(Query({CarteirasAtivos},""Select Col3 where Col1 = '""&amp;$AZ237&amp;""'and Col2 = '""&amp;W$21&amp;""'""))))"),"")</f>
        <v/>
      </c>
      <c r="G237" s="384" t="str">
        <f>IFERROR(__xludf.DUMMYFUNCTION("IF(G$43="""","""",IF($AZ237="""","""",IFERROR(Query({CarteirasAtivos},""Select Col3 where Col1 = '""&amp;$AZ237&amp;""'and Col2 = '""&amp;X$21&amp;""'""))))"),"")</f>
        <v/>
      </c>
      <c r="H237" s="384" t="str">
        <f>IFERROR(__xludf.DUMMYFUNCTION("IF(H$43="""","""",IF($AZ237="""","""",IFERROR(Query({CarteirasAtivos},""Select Col3 where Col1 = '""&amp;$AZ237&amp;""'and Col2 = '""&amp;Y$21&amp;""'""))))"),"")</f>
        <v/>
      </c>
      <c r="I237" s="384" t="str">
        <f>IFERROR(__xludf.DUMMYFUNCTION("IF(I$43="""","""",IF($AZ237="""","""",IFERROR(Query({CarteirasAtivos},""Select Col3 where Col1 = '""&amp;$AZ237&amp;""'and Col2 = '""&amp;Z$21&amp;""'""))))"),"")</f>
        <v/>
      </c>
      <c r="J237" s="384" t="str">
        <f>IFERROR(__xludf.DUMMYFUNCTION("IF(J$43="""","""",IF($AZ237="""","""",IFERROR(Query({CarteirasAtivos},""Select Col3 where Col1 = '""&amp;$AZ237&amp;""'and Col2 = '""&amp;AA$21&amp;""'""))))"),"")</f>
        <v/>
      </c>
      <c r="K237" s="384" t="str">
        <f>IFERROR(__xludf.DUMMYFUNCTION("IF(K$43="""","""",IF($AZ237="""","""",IFERROR(Query({CarteirasAtivos},""Select Col3 where Col1 = '""&amp;$AZ237&amp;""'and Col2 = '""&amp;AB$21&amp;""'""))))"),"")</f>
        <v/>
      </c>
      <c r="L237" s="385">
        <v>194.0</v>
      </c>
      <c r="M237" s="503"/>
      <c r="N237" s="387"/>
      <c r="O237" s="388" t="s">
        <v>123</v>
      </c>
      <c r="P237" s="389"/>
      <c r="Q237" s="390"/>
      <c r="R237" s="391"/>
      <c r="S237" s="392"/>
      <c r="T237" s="393"/>
      <c r="U237" s="393"/>
      <c r="V237" s="394"/>
      <c r="W237" s="395" t="str">
        <f>IFERROR(__xludf.DUMMYFUNCTION("IF(M237="""","""",sparkline(IFERROR(BF237*100/MAX($BF$44:$BF$153),0),{""charttype"",""bar"";""max"",100;""color1"",IF(BD237&gt;=0,""#4760a5"",""red"")}))"),"")</f>
        <v/>
      </c>
      <c r="X237" s="396"/>
      <c r="Y237" s="466"/>
      <c r="Z237" s="398"/>
      <c r="AA237" s="399"/>
      <c r="AB237" s="393"/>
      <c r="AC237" s="476"/>
      <c r="AD237" s="401"/>
      <c r="AE237" s="402"/>
      <c r="AF237" s="403"/>
      <c r="AG237" s="404" t="str">
        <f>IFERROR(__xludf.DUMMYFUNCTION("IF($M237="""","""",IFERROR(sparkline(query(GOOGLEFINANCE($AZ237,""price"",TODAY()-$AF$43,TODAY(),1),""select Col2 label Col2 ''""),IF($AG$43=""Gráfico de barras"",{""charttype"",""column"";""highcolor"",""red""},{""chartype"",""line""}))))"),"")</f>
        <v/>
      </c>
      <c r="AH237" s="405"/>
      <c r="AI237" s="467"/>
      <c r="AJ237" s="467"/>
      <c r="AK237" s="467"/>
      <c r="AL237" s="467"/>
      <c r="AM237" s="442"/>
      <c r="AN237" s="442"/>
      <c r="AU237" s="281"/>
      <c r="AV237" s="281"/>
      <c r="AW237" s="281"/>
      <c r="AX237" s="281"/>
      <c r="AY237" s="410">
        <v>194.0</v>
      </c>
      <c r="AZ237" s="411"/>
      <c r="BA237" s="411"/>
      <c r="BB237" s="437"/>
      <c r="BC237" s="437"/>
      <c r="BD237" s="437"/>
      <c r="BE237" s="437"/>
      <c r="BF237" s="415" t="s">
        <v>123</v>
      </c>
      <c r="BG237" s="410">
        <v>194.0</v>
      </c>
      <c r="BH237" s="416"/>
      <c r="BI237" s="416"/>
      <c r="BJ237" s="416"/>
      <c r="BK237" s="416"/>
      <c r="BL237" s="416"/>
      <c r="BM237" s="416"/>
      <c r="BN237" s="282"/>
      <c r="BO237" s="490"/>
      <c r="BP237" s="489"/>
      <c r="BQ237" s="489"/>
      <c r="BR237" s="489"/>
      <c r="BS237" s="489"/>
      <c r="BT237" s="489"/>
      <c r="BU237" s="489"/>
      <c r="BV237" s="489"/>
      <c r="BW237" s="63"/>
      <c r="BX237" s="62"/>
      <c r="BY237" s="452"/>
      <c r="BZ237" s="452"/>
      <c r="CA237" s="452"/>
      <c r="CB237" s="452"/>
      <c r="CC237" s="452"/>
      <c r="CD237" s="452"/>
      <c r="CE237" s="452"/>
      <c r="CF237" s="452"/>
      <c r="CG237" s="452"/>
      <c r="CH237" s="422"/>
      <c r="CI237" s="422"/>
      <c r="CJ237" s="422"/>
      <c r="CK237" s="421"/>
      <c r="CL237" s="421" t="s">
        <v>123</v>
      </c>
      <c r="CM237" s="423"/>
      <c r="CN237" s="421"/>
      <c r="CO237" s="423"/>
      <c r="CP237" s="421"/>
      <c r="CQ237" s="63"/>
      <c r="CR237" s="63"/>
      <c r="CS237" s="63"/>
      <c r="CT237" s="63"/>
      <c r="CU237" s="447"/>
      <c r="CV237" s="447"/>
      <c r="CW237" s="447"/>
      <c r="CX237" s="447"/>
      <c r="CY237" s="447"/>
      <c r="CZ237" s="447"/>
      <c r="DA237" s="447"/>
      <c r="DB237" s="447"/>
      <c r="DC237" s="447"/>
      <c r="DD237" s="447"/>
      <c r="DE237" s="447"/>
      <c r="DF237" s="447"/>
      <c r="DG237" s="447"/>
      <c r="DH237" s="447"/>
      <c r="DI237" s="447"/>
      <c r="DJ237" s="447"/>
      <c r="DK237" s="447"/>
      <c r="DL237" s="67"/>
      <c r="DM237" s="67"/>
      <c r="DN237" s="67"/>
      <c r="DO237" s="67"/>
      <c r="DP237" s="67"/>
      <c r="DQ237" s="67"/>
    </row>
    <row r="238" ht="22.5" customHeight="1">
      <c r="A238" s="383"/>
      <c r="B238" s="384" t="str">
        <f>IFERROR(__xludf.DUMMYFUNCTION("IF(B$43="""","""",IF($AZ238="""","""",IFERROR(Query({CarteirasAtivos},""Select Col3 where Col1 = '""&amp;$AZ238&amp;""'and Col2 = '""&amp;S$21&amp;""'""))))"),"")</f>
        <v/>
      </c>
      <c r="C238" s="384" t="str">
        <f>IFERROR(__xludf.DUMMYFUNCTION("IF(C$43="""","""",IF($AZ238="""","""",IFERROR(Query({CarteirasAtivos},""Select Col3 where Col1 = '""&amp;$AZ238&amp;""'and Col2 = '""&amp;T$21&amp;""'""))))"),"")</f>
        <v/>
      </c>
      <c r="D238" s="384" t="str">
        <f>IFERROR(__xludf.DUMMYFUNCTION("IF(D$43="""","""",IF($AZ238="""","""",IFERROR(Query({CarteirasAtivos},""Select Col3 where Col1 = '""&amp;$AZ238&amp;""'and Col2 = '""&amp;U$21&amp;""'""))))"),"")</f>
        <v/>
      </c>
      <c r="E238" s="384" t="str">
        <f>IFERROR(__xludf.DUMMYFUNCTION("IF(E$43="""","""",IF($AZ238="""","""",IFERROR(Query({CarteirasAtivos},""Select Col3 where Col1 = '""&amp;$AZ238&amp;""'and Col2 = '""&amp;V$21&amp;""'""))))"),"")</f>
        <v/>
      </c>
      <c r="F238" s="384" t="str">
        <f>IFERROR(__xludf.DUMMYFUNCTION("IF(F$43="""","""",IF($AZ238="""","""",IFERROR(Query({CarteirasAtivos},""Select Col3 where Col1 = '""&amp;$AZ238&amp;""'and Col2 = '""&amp;W$21&amp;""'""))))"),"")</f>
        <v/>
      </c>
      <c r="G238" s="384" t="str">
        <f>IFERROR(__xludf.DUMMYFUNCTION("IF(G$43="""","""",IF($AZ238="""","""",IFERROR(Query({CarteirasAtivos},""Select Col3 where Col1 = '""&amp;$AZ238&amp;""'and Col2 = '""&amp;X$21&amp;""'""))))"),"")</f>
        <v/>
      </c>
      <c r="H238" s="384" t="str">
        <f>IFERROR(__xludf.DUMMYFUNCTION("IF(H$43="""","""",IF($AZ238="""","""",IFERROR(Query({CarteirasAtivos},""Select Col3 where Col1 = '""&amp;$AZ238&amp;""'and Col2 = '""&amp;Y$21&amp;""'""))))"),"")</f>
        <v/>
      </c>
      <c r="I238" s="384" t="str">
        <f>IFERROR(__xludf.DUMMYFUNCTION("IF(I$43="""","""",IF($AZ238="""","""",IFERROR(Query({CarteirasAtivos},""Select Col3 where Col1 = '""&amp;$AZ238&amp;""'and Col2 = '""&amp;Z$21&amp;""'""))))"),"")</f>
        <v/>
      </c>
      <c r="J238" s="384" t="str">
        <f>IFERROR(__xludf.DUMMYFUNCTION("IF(J$43="""","""",IF($AZ238="""","""",IFERROR(Query({CarteirasAtivos},""Select Col3 where Col1 = '""&amp;$AZ238&amp;""'and Col2 = '""&amp;AA$21&amp;""'""))))"),"")</f>
        <v/>
      </c>
      <c r="K238" s="384" t="str">
        <f>IFERROR(__xludf.DUMMYFUNCTION("IF(K$43="""","""",IF($AZ238="""","""",IFERROR(Query({CarteirasAtivos},""Select Col3 where Col1 = '""&amp;$AZ238&amp;""'and Col2 = '""&amp;AB$21&amp;""'""))))"),"")</f>
        <v/>
      </c>
      <c r="L238" s="385">
        <v>195.0</v>
      </c>
      <c r="M238" s="503"/>
      <c r="N238" s="387"/>
      <c r="O238" s="388" t="s">
        <v>123</v>
      </c>
      <c r="P238" s="389"/>
      <c r="Q238" s="390"/>
      <c r="R238" s="391"/>
      <c r="S238" s="392"/>
      <c r="T238" s="393"/>
      <c r="U238" s="393"/>
      <c r="V238" s="394"/>
      <c r="W238" s="395" t="str">
        <f>IFERROR(__xludf.DUMMYFUNCTION("IF(M238="""","""",sparkline(IFERROR(BF238*100/MAX($BF$44:$BF$153),0),{""charttype"",""bar"";""max"",100;""color1"",IF(BD238&gt;=0,""#4760a5"",""red"")}))"),"")</f>
        <v/>
      </c>
      <c r="X238" s="396"/>
      <c r="Y238" s="466"/>
      <c r="Z238" s="398"/>
      <c r="AA238" s="399"/>
      <c r="AB238" s="393"/>
      <c r="AC238" s="476"/>
      <c r="AD238" s="401"/>
      <c r="AE238" s="402"/>
      <c r="AF238" s="403"/>
      <c r="AG238" s="404" t="str">
        <f>IFERROR(__xludf.DUMMYFUNCTION("IF($M238="""","""",IFERROR(sparkline(query(GOOGLEFINANCE($AZ238,""price"",TODAY()-$AF$43,TODAY(),1),""select Col2 label Col2 ''""),IF($AG$43=""Gráfico de barras"",{""charttype"",""column"";""highcolor"",""red""},{""chartype"",""line""}))))"),"")</f>
        <v/>
      </c>
      <c r="AH238" s="405"/>
      <c r="AI238" s="467"/>
      <c r="AJ238" s="467"/>
      <c r="AK238" s="467"/>
      <c r="AL238" s="467"/>
      <c r="AM238" s="442"/>
      <c r="AN238" s="442"/>
      <c r="AU238" s="281"/>
      <c r="AV238" s="281"/>
      <c r="AW238" s="281"/>
      <c r="AX238" s="281"/>
      <c r="AY238" s="410">
        <v>195.0</v>
      </c>
      <c r="AZ238" s="411"/>
      <c r="BA238" s="411"/>
      <c r="BB238" s="437"/>
      <c r="BC238" s="437"/>
      <c r="BD238" s="437"/>
      <c r="BE238" s="437"/>
      <c r="BF238" s="415" t="s">
        <v>123</v>
      </c>
      <c r="BG238" s="410">
        <v>195.0</v>
      </c>
      <c r="BH238" s="416"/>
      <c r="BI238" s="416"/>
      <c r="BJ238" s="416"/>
      <c r="BK238" s="416"/>
      <c r="BL238" s="416"/>
      <c r="BM238" s="416"/>
      <c r="BN238" s="282"/>
      <c r="BO238" s="490"/>
      <c r="BP238" s="489"/>
      <c r="BQ238" s="489"/>
      <c r="BR238" s="489"/>
      <c r="BS238" s="489"/>
      <c r="BT238" s="489"/>
      <c r="BU238" s="489"/>
      <c r="BV238" s="489"/>
      <c r="BW238" s="63"/>
      <c r="BX238" s="62"/>
      <c r="BY238" s="452"/>
      <c r="BZ238" s="452"/>
      <c r="CA238" s="452"/>
      <c r="CB238" s="452"/>
      <c r="CC238" s="452"/>
      <c r="CD238" s="452"/>
      <c r="CE238" s="452"/>
      <c r="CF238" s="452"/>
      <c r="CG238" s="452"/>
      <c r="CH238" s="422"/>
      <c r="CI238" s="422"/>
      <c r="CJ238" s="422"/>
      <c r="CK238" s="421"/>
      <c r="CL238" s="421" t="s">
        <v>123</v>
      </c>
      <c r="CM238" s="423"/>
      <c r="CN238" s="421"/>
      <c r="CO238" s="423"/>
      <c r="CP238" s="421"/>
      <c r="CQ238" s="63"/>
      <c r="CR238" s="63"/>
      <c r="CS238" s="63"/>
      <c r="CT238" s="63"/>
      <c r="CU238" s="447"/>
      <c r="CV238" s="447"/>
      <c r="CW238" s="447"/>
      <c r="CX238" s="447"/>
      <c r="CY238" s="447"/>
      <c r="CZ238" s="447"/>
      <c r="DA238" s="447"/>
      <c r="DB238" s="447"/>
      <c r="DC238" s="447"/>
      <c r="DD238" s="447"/>
      <c r="DE238" s="447"/>
      <c r="DF238" s="447"/>
      <c r="DG238" s="447"/>
      <c r="DH238" s="447"/>
      <c r="DI238" s="447"/>
      <c r="DJ238" s="447"/>
      <c r="DK238" s="447"/>
      <c r="DL238" s="67"/>
      <c r="DM238" s="67"/>
      <c r="DN238" s="67"/>
      <c r="DO238" s="67"/>
      <c r="DP238" s="67"/>
      <c r="DQ238" s="67"/>
    </row>
    <row r="239" ht="22.5" customHeight="1">
      <c r="A239" s="383"/>
      <c r="B239" s="384" t="str">
        <f>IFERROR(__xludf.DUMMYFUNCTION("IF(B$43="""","""",IF($AZ239="""","""",IFERROR(Query({CarteirasAtivos},""Select Col3 where Col1 = '""&amp;$AZ239&amp;""'and Col2 = '""&amp;S$21&amp;""'""))))"),"")</f>
        <v/>
      </c>
      <c r="C239" s="384" t="str">
        <f>IFERROR(__xludf.DUMMYFUNCTION("IF(C$43="""","""",IF($AZ239="""","""",IFERROR(Query({CarteirasAtivos},""Select Col3 where Col1 = '""&amp;$AZ239&amp;""'and Col2 = '""&amp;T$21&amp;""'""))))"),"")</f>
        <v/>
      </c>
      <c r="D239" s="384" t="str">
        <f>IFERROR(__xludf.DUMMYFUNCTION("IF(D$43="""","""",IF($AZ239="""","""",IFERROR(Query({CarteirasAtivos},""Select Col3 where Col1 = '""&amp;$AZ239&amp;""'and Col2 = '""&amp;U$21&amp;""'""))))"),"")</f>
        <v/>
      </c>
      <c r="E239" s="384" t="str">
        <f>IFERROR(__xludf.DUMMYFUNCTION("IF(E$43="""","""",IF($AZ239="""","""",IFERROR(Query({CarteirasAtivos},""Select Col3 where Col1 = '""&amp;$AZ239&amp;""'and Col2 = '""&amp;V$21&amp;""'""))))"),"")</f>
        <v/>
      </c>
      <c r="F239" s="384" t="str">
        <f>IFERROR(__xludf.DUMMYFUNCTION("IF(F$43="""","""",IF($AZ239="""","""",IFERROR(Query({CarteirasAtivos},""Select Col3 where Col1 = '""&amp;$AZ239&amp;""'and Col2 = '""&amp;W$21&amp;""'""))))"),"")</f>
        <v/>
      </c>
      <c r="G239" s="384" t="str">
        <f>IFERROR(__xludf.DUMMYFUNCTION("IF(G$43="""","""",IF($AZ239="""","""",IFERROR(Query({CarteirasAtivos},""Select Col3 where Col1 = '""&amp;$AZ239&amp;""'and Col2 = '""&amp;X$21&amp;""'""))))"),"")</f>
        <v/>
      </c>
      <c r="H239" s="384" t="str">
        <f>IFERROR(__xludf.DUMMYFUNCTION("IF(H$43="""","""",IF($AZ239="""","""",IFERROR(Query({CarteirasAtivos},""Select Col3 where Col1 = '""&amp;$AZ239&amp;""'and Col2 = '""&amp;Y$21&amp;""'""))))"),"")</f>
        <v/>
      </c>
      <c r="I239" s="384" t="str">
        <f>IFERROR(__xludf.DUMMYFUNCTION("IF(I$43="""","""",IF($AZ239="""","""",IFERROR(Query({CarteirasAtivos},""Select Col3 where Col1 = '""&amp;$AZ239&amp;""'and Col2 = '""&amp;Z$21&amp;""'""))))"),"")</f>
        <v/>
      </c>
      <c r="J239" s="384" t="str">
        <f>IFERROR(__xludf.DUMMYFUNCTION("IF(J$43="""","""",IF($AZ239="""","""",IFERROR(Query({CarteirasAtivos},""Select Col3 where Col1 = '""&amp;$AZ239&amp;""'and Col2 = '""&amp;AA$21&amp;""'""))))"),"")</f>
        <v/>
      </c>
      <c r="K239" s="384" t="str">
        <f>IFERROR(__xludf.DUMMYFUNCTION("IF(K$43="""","""",IF($AZ239="""","""",IFERROR(Query({CarteirasAtivos},""Select Col3 where Col1 = '""&amp;$AZ239&amp;""'and Col2 = '""&amp;AB$21&amp;""'""))))"),"")</f>
        <v/>
      </c>
      <c r="L239" s="385">
        <v>196.0</v>
      </c>
      <c r="M239" s="503"/>
      <c r="N239" s="387"/>
      <c r="O239" s="388" t="s">
        <v>123</v>
      </c>
      <c r="P239" s="389"/>
      <c r="Q239" s="390"/>
      <c r="R239" s="391"/>
      <c r="S239" s="392"/>
      <c r="T239" s="393"/>
      <c r="U239" s="393"/>
      <c r="V239" s="394"/>
      <c r="W239" s="395" t="str">
        <f>IFERROR(__xludf.DUMMYFUNCTION("IF(M239="""","""",sparkline(IFERROR(BF239*100/MAX($BF$44:$BF$153),0),{""charttype"",""bar"";""max"",100;""color1"",IF(BD239&gt;=0,""#4760a5"",""red"")}))"),"")</f>
        <v/>
      </c>
      <c r="X239" s="396"/>
      <c r="Y239" s="466"/>
      <c r="Z239" s="398"/>
      <c r="AA239" s="399"/>
      <c r="AB239" s="393"/>
      <c r="AC239" s="476"/>
      <c r="AD239" s="401"/>
      <c r="AE239" s="402"/>
      <c r="AF239" s="403"/>
      <c r="AG239" s="404" t="str">
        <f>IFERROR(__xludf.DUMMYFUNCTION("IF($M239="""","""",IFERROR(sparkline(query(GOOGLEFINANCE($AZ239,""price"",TODAY()-$AF$43,TODAY(),1),""select Col2 label Col2 ''""),IF($AG$43=""Gráfico de barras"",{""charttype"",""column"";""highcolor"",""red""},{""chartype"",""line""}))))"),"")</f>
        <v/>
      </c>
      <c r="AH239" s="405"/>
      <c r="AI239" s="467"/>
      <c r="AJ239" s="467"/>
      <c r="AK239" s="467"/>
      <c r="AL239" s="467"/>
      <c r="AM239" s="442"/>
      <c r="AN239" s="442"/>
      <c r="AU239" s="281"/>
      <c r="AV239" s="281"/>
      <c r="AW239" s="281"/>
      <c r="AX239" s="281"/>
      <c r="AY239" s="410">
        <v>196.0</v>
      </c>
      <c r="AZ239" s="411"/>
      <c r="BA239" s="411"/>
      <c r="BB239" s="437"/>
      <c r="BC239" s="437"/>
      <c r="BD239" s="437"/>
      <c r="BE239" s="437"/>
      <c r="BF239" s="415" t="s">
        <v>123</v>
      </c>
      <c r="BG239" s="410">
        <v>196.0</v>
      </c>
      <c r="BH239" s="416"/>
      <c r="BI239" s="416"/>
      <c r="BJ239" s="416"/>
      <c r="BK239" s="416"/>
      <c r="BL239" s="416"/>
      <c r="BM239" s="416"/>
      <c r="BN239" s="282"/>
      <c r="BO239" s="490"/>
      <c r="BP239" s="489"/>
      <c r="BQ239" s="489"/>
      <c r="BR239" s="489"/>
      <c r="BS239" s="489"/>
      <c r="BT239" s="489"/>
      <c r="BU239" s="489"/>
      <c r="BV239" s="489"/>
      <c r="BW239" s="63"/>
      <c r="BX239" s="62"/>
      <c r="BY239" s="452"/>
      <c r="BZ239" s="452"/>
      <c r="CA239" s="452"/>
      <c r="CB239" s="452"/>
      <c r="CC239" s="452"/>
      <c r="CD239" s="452"/>
      <c r="CE239" s="452"/>
      <c r="CF239" s="452"/>
      <c r="CG239" s="452"/>
      <c r="CH239" s="422"/>
      <c r="CI239" s="422"/>
      <c r="CJ239" s="422"/>
      <c r="CK239" s="421"/>
      <c r="CL239" s="421" t="s">
        <v>123</v>
      </c>
      <c r="CM239" s="423"/>
      <c r="CN239" s="421"/>
      <c r="CO239" s="423"/>
      <c r="CP239" s="421"/>
      <c r="CQ239" s="63"/>
      <c r="CR239" s="63"/>
      <c r="CS239" s="63"/>
      <c r="CT239" s="63"/>
      <c r="CU239" s="447"/>
      <c r="CV239" s="447"/>
      <c r="CW239" s="447"/>
      <c r="CX239" s="447"/>
      <c r="CY239" s="447"/>
      <c r="CZ239" s="447"/>
      <c r="DA239" s="447"/>
      <c r="DB239" s="447"/>
      <c r="DC239" s="447"/>
      <c r="DD239" s="447"/>
      <c r="DE239" s="447"/>
      <c r="DF239" s="447"/>
      <c r="DG239" s="447"/>
      <c r="DH239" s="447"/>
      <c r="DI239" s="447"/>
      <c r="DJ239" s="447"/>
      <c r="DK239" s="447"/>
      <c r="DL239" s="67"/>
      <c r="DM239" s="67"/>
      <c r="DN239" s="67"/>
      <c r="DO239" s="67"/>
      <c r="DP239" s="67"/>
      <c r="DQ239" s="67"/>
    </row>
    <row r="240" ht="22.5" customHeight="1">
      <c r="A240" s="383"/>
      <c r="B240" s="384" t="str">
        <f>IFERROR(__xludf.DUMMYFUNCTION("IF(B$43="""","""",IF($AZ240="""","""",IFERROR(Query({CarteirasAtivos},""Select Col3 where Col1 = '""&amp;$AZ240&amp;""'and Col2 = '""&amp;S$21&amp;""'""))))"),"")</f>
        <v/>
      </c>
      <c r="C240" s="384" t="str">
        <f>IFERROR(__xludf.DUMMYFUNCTION("IF(C$43="""","""",IF($AZ240="""","""",IFERROR(Query({CarteirasAtivos},""Select Col3 where Col1 = '""&amp;$AZ240&amp;""'and Col2 = '""&amp;T$21&amp;""'""))))"),"")</f>
        <v/>
      </c>
      <c r="D240" s="384" t="str">
        <f>IFERROR(__xludf.DUMMYFUNCTION("IF(D$43="""","""",IF($AZ240="""","""",IFERROR(Query({CarteirasAtivos},""Select Col3 where Col1 = '""&amp;$AZ240&amp;""'and Col2 = '""&amp;U$21&amp;""'""))))"),"")</f>
        <v/>
      </c>
      <c r="E240" s="384" t="str">
        <f>IFERROR(__xludf.DUMMYFUNCTION("IF(E$43="""","""",IF($AZ240="""","""",IFERROR(Query({CarteirasAtivos},""Select Col3 where Col1 = '""&amp;$AZ240&amp;""'and Col2 = '""&amp;V$21&amp;""'""))))"),"")</f>
        <v/>
      </c>
      <c r="F240" s="384" t="str">
        <f>IFERROR(__xludf.DUMMYFUNCTION("IF(F$43="""","""",IF($AZ240="""","""",IFERROR(Query({CarteirasAtivos},""Select Col3 where Col1 = '""&amp;$AZ240&amp;""'and Col2 = '""&amp;W$21&amp;""'""))))"),"")</f>
        <v/>
      </c>
      <c r="G240" s="384" t="str">
        <f>IFERROR(__xludf.DUMMYFUNCTION("IF(G$43="""","""",IF($AZ240="""","""",IFERROR(Query({CarteirasAtivos},""Select Col3 where Col1 = '""&amp;$AZ240&amp;""'and Col2 = '""&amp;X$21&amp;""'""))))"),"")</f>
        <v/>
      </c>
      <c r="H240" s="384" t="str">
        <f>IFERROR(__xludf.DUMMYFUNCTION("IF(H$43="""","""",IF($AZ240="""","""",IFERROR(Query({CarteirasAtivos},""Select Col3 where Col1 = '""&amp;$AZ240&amp;""'and Col2 = '""&amp;Y$21&amp;""'""))))"),"")</f>
        <v/>
      </c>
      <c r="I240" s="384" t="str">
        <f>IFERROR(__xludf.DUMMYFUNCTION("IF(I$43="""","""",IF($AZ240="""","""",IFERROR(Query({CarteirasAtivos},""Select Col3 where Col1 = '""&amp;$AZ240&amp;""'and Col2 = '""&amp;Z$21&amp;""'""))))"),"")</f>
        <v/>
      </c>
      <c r="J240" s="384" t="str">
        <f>IFERROR(__xludf.DUMMYFUNCTION("IF(J$43="""","""",IF($AZ240="""","""",IFERROR(Query({CarteirasAtivos},""Select Col3 where Col1 = '""&amp;$AZ240&amp;""'and Col2 = '""&amp;AA$21&amp;""'""))))"),"")</f>
        <v/>
      </c>
      <c r="K240" s="384" t="str">
        <f>IFERROR(__xludf.DUMMYFUNCTION("IF(K$43="""","""",IF($AZ240="""","""",IFERROR(Query({CarteirasAtivos},""Select Col3 where Col1 = '""&amp;$AZ240&amp;""'and Col2 = '""&amp;AB$21&amp;""'""))))"),"")</f>
        <v/>
      </c>
      <c r="L240" s="385">
        <v>197.0</v>
      </c>
      <c r="M240" s="503"/>
      <c r="N240" s="387"/>
      <c r="O240" s="388" t="s">
        <v>123</v>
      </c>
      <c r="P240" s="389"/>
      <c r="Q240" s="390"/>
      <c r="R240" s="391"/>
      <c r="S240" s="392"/>
      <c r="T240" s="393"/>
      <c r="U240" s="393"/>
      <c r="V240" s="394"/>
      <c r="W240" s="395" t="str">
        <f>IFERROR(__xludf.DUMMYFUNCTION("IF(M240="""","""",sparkline(IFERROR(BF240*100/MAX($BF$44:$BF$153),0),{""charttype"",""bar"";""max"",100;""color1"",IF(BD240&gt;=0,""#4760a5"",""red"")}))"),"")</f>
        <v/>
      </c>
      <c r="X240" s="396"/>
      <c r="Y240" s="466"/>
      <c r="Z240" s="398"/>
      <c r="AA240" s="399"/>
      <c r="AB240" s="393"/>
      <c r="AC240" s="476"/>
      <c r="AD240" s="401"/>
      <c r="AE240" s="402"/>
      <c r="AF240" s="403"/>
      <c r="AG240" s="404" t="str">
        <f>IFERROR(__xludf.DUMMYFUNCTION("IF($M240="""","""",IFERROR(sparkline(query(GOOGLEFINANCE($AZ240,""price"",TODAY()-$AF$43,TODAY(),1),""select Col2 label Col2 ''""),IF($AG$43=""Gráfico de barras"",{""charttype"",""column"";""highcolor"",""red""},{""chartype"",""line""}))))"),"")</f>
        <v/>
      </c>
      <c r="AH240" s="405"/>
      <c r="AI240" s="467"/>
      <c r="AJ240" s="467"/>
      <c r="AK240" s="467"/>
      <c r="AL240" s="467"/>
      <c r="AM240" s="442"/>
      <c r="AN240" s="442"/>
      <c r="AU240" s="281"/>
      <c r="AV240" s="281"/>
      <c r="AW240" s="281"/>
      <c r="AX240" s="281"/>
      <c r="AY240" s="410">
        <v>197.0</v>
      </c>
      <c r="AZ240" s="411"/>
      <c r="BA240" s="411"/>
      <c r="BB240" s="437"/>
      <c r="BC240" s="437"/>
      <c r="BD240" s="437"/>
      <c r="BE240" s="437"/>
      <c r="BF240" s="415" t="s">
        <v>123</v>
      </c>
      <c r="BG240" s="410">
        <v>197.0</v>
      </c>
      <c r="BH240" s="416"/>
      <c r="BI240" s="416"/>
      <c r="BJ240" s="416"/>
      <c r="BK240" s="416"/>
      <c r="BL240" s="416"/>
      <c r="BM240" s="416"/>
      <c r="BN240" s="282"/>
      <c r="BO240" s="490"/>
      <c r="BP240" s="489"/>
      <c r="BQ240" s="489"/>
      <c r="BR240" s="489"/>
      <c r="BS240" s="489"/>
      <c r="BT240" s="489"/>
      <c r="BU240" s="489"/>
      <c r="BV240" s="489"/>
      <c r="BW240" s="63"/>
      <c r="BX240" s="62"/>
      <c r="BY240" s="452"/>
      <c r="BZ240" s="452"/>
      <c r="CA240" s="452"/>
      <c r="CB240" s="452"/>
      <c r="CC240" s="452"/>
      <c r="CD240" s="452"/>
      <c r="CE240" s="452"/>
      <c r="CF240" s="452"/>
      <c r="CG240" s="452"/>
      <c r="CH240" s="422"/>
      <c r="CI240" s="422"/>
      <c r="CJ240" s="422"/>
      <c r="CK240" s="421"/>
      <c r="CL240" s="421" t="s">
        <v>123</v>
      </c>
      <c r="CM240" s="423"/>
      <c r="CN240" s="421"/>
      <c r="CO240" s="423"/>
      <c r="CP240" s="421"/>
      <c r="CQ240" s="63"/>
      <c r="CR240" s="63"/>
      <c r="CS240" s="63"/>
      <c r="CT240" s="63"/>
      <c r="CU240" s="447"/>
      <c r="CV240" s="447"/>
      <c r="CW240" s="447"/>
      <c r="CX240" s="447"/>
      <c r="CY240" s="447"/>
      <c r="CZ240" s="447"/>
      <c r="DA240" s="447"/>
      <c r="DB240" s="447"/>
      <c r="DC240" s="447"/>
      <c r="DD240" s="447"/>
      <c r="DE240" s="447"/>
      <c r="DF240" s="447"/>
      <c r="DG240" s="447"/>
      <c r="DH240" s="447"/>
      <c r="DI240" s="447"/>
      <c r="DJ240" s="447"/>
      <c r="DK240" s="447"/>
      <c r="DL240" s="67"/>
      <c r="DM240" s="67"/>
      <c r="DN240" s="67"/>
      <c r="DO240" s="67"/>
      <c r="DP240" s="67"/>
      <c r="DQ240" s="67"/>
    </row>
    <row r="241" ht="22.5" customHeight="1">
      <c r="A241" s="383"/>
      <c r="B241" s="384" t="str">
        <f>IFERROR(__xludf.DUMMYFUNCTION("IF(B$43="""","""",IF($AZ241="""","""",IFERROR(Query({CarteirasAtivos},""Select Col3 where Col1 = '""&amp;$AZ241&amp;""'and Col2 = '""&amp;S$21&amp;""'""))))"),"")</f>
        <v/>
      </c>
      <c r="C241" s="384" t="str">
        <f>IFERROR(__xludf.DUMMYFUNCTION("IF(C$43="""","""",IF($AZ241="""","""",IFERROR(Query({CarteirasAtivos},""Select Col3 where Col1 = '""&amp;$AZ241&amp;""'and Col2 = '""&amp;T$21&amp;""'""))))"),"")</f>
        <v/>
      </c>
      <c r="D241" s="384" t="str">
        <f>IFERROR(__xludf.DUMMYFUNCTION("IF(D$43="""","""",IF($AZ241="""","""",IFERROR(Query({CarteirasAtivos},""Select Col3 where Col1 = '""&amp;$AZ241&amp;""'and Col2 = '""&amp;U$21&amp;""'""))))"),"")</f>
        <v/>
      </c>
      <c r="E241" s="384" t="str">
        <f>IFERROR(__xludf.DUMMYFUNCTION("IF(E$43="""","""",IF($AZ241="""","""",IFERROR(Query({CarteirasAtivos},""Select Col3 where Col1 = '""&amp;$AZ241&amp;""'and Col2 = '""&amp;V$21&amp;""'""))))"),"")</f>
        <v/>
      </c>
      <c r="F241" s="384" t="str">
        <f>IFERROR(__xludf.DUMMYFUNCTION("IF(F$43="""","""",IF($AZ241="""","""",IFERROR(Query({CarteirasAtivos},""Select Col3 where Col1 = '""&amp;$AZ241&amp;""'and Col2 = '""&amp;W$21&amp;""'""))))"),"")</f>
        <v/>
      </c>
      <c r="G241" s="384" t="str">
        <f>IFERROR(__xludf.DUMMYFUNCTION("IF(G$43="""","""",IF($AZ241="""","""",IFERROR(Query({CarteirasAtivos},""Select Col3 where Col1 = '""&amp;$AZ241&amp;""'and Col2 = '""&amp;X$21&amp;""'""))))"),"")</f>
        <v/>
      </c>
      <c r="H241" s="384" t="str">
        <f>IFERROR(__xludf.DUMMYFUNCTION("IF(H$43="""","""",IF($AZ241="""","""",IFERROR(Query({CarteirasAtivos},""Select Col3 where Col1 = '""&amp;$AZ241&amp;""'and Col2 = '""&amp;Y$21&amp;""'""))))"),"")</f>
        <v/>
      </c>
      <c r="I241" s="384" t="str">
        <f>IFERROR(__xludf.DUMMYFUNCTION("IF(I$43="""","""",IF($AZ241="""","""",IFERROR(Query({CarteirasAtivos},""Select Col3 where Col1 = '""&amp;$AZ241&amp;""'and Col2 = '""&amp;Z$21&amp;""'""))))"),"")</f>
        <v/>
      </c>
      <c r="J241" s="384" t="str">
        <f>IFERROR(__xludf.DUMMYFUNCTION("IF(J$43="""","""",IF($AZ241="""","""",IFERROR(Query({CarteirasAtivos},""Select Col3 where Col1 = '""&amp;$AZ241&amp;""'and Col2 = '""&amp;AA$21&amp;""'""))))"),"")</f>
        <v/>
      </c>
      <c r="K241" s="384" t="str">
        <f>IFERROR(__xludf.DUMMYFUNCTION("IF(K$43="""","""",IF($AZ241="""","""",IFERROR(Query({CarteirasAtivos},""Select Col3 where Col1 = '""&amp;$AZ241&amp;""'and Col2 = '""&amp;AB$21&amp;""'""))))"),"")</f>
        <v/>
      </c>
      <c r="L241" s="385">
        <v>198.0</v>
      </c>
      <c r="M241" s="503"/>
      <c r="N241" s="387"/>
      <c r="O241" s="388" t="s">
        <v>123</v>
      </c>
      <c r="P241" s="389"/>
      <c r="Q241" s="390"/>
      <c r="R241" s="391"/>
      <c r="S241" s="392"/>
      <c r="T241" s="393"/>
      <c r="U241" s="393"/>
      <c r="V241" s="394"/>
      <c r="W241" s="395" t="str">
        <f>IFERROR(__xludf.DUMMYFUNCTION("IF(M241="""","""",sparkline(IFERROR(BF241*100/MAX($BF$44:$BF$153),0),{""charttype"",""bar"";""max"",100;""color1"",IF(BD241&gt;=0,""#4760a5"",""red"")}))"),"")</f>
        <v/>
      </c>
      <c r="X241" s="396"/>
      <c r="Y241" s="466"/>
      <c r="Z241" s="398"/>
      <c r="AA241" s="399"/>
      <c r="AB241" s="393"/>
      <c r="AC241" s="476"/>
      <c r="AD241" s="401"/>
      <c r="AE241" s="402"/>
      <c r="AF241" s="403"/>
      <c r="AG241" s="404" t="str">
        <f>IFERROR(__xludf.DUMMYFUNCTION("IF($M241="""","""",IFERROR(sparkline(query(GOOGLEFINANCE($AZ241,""price"",TODAY()-$AF$43,TODAY(),1),""select Col2 label Col2 ''""),IF($AG$43=""Gráfico de barras"",{""charttype"",""column"";""highcolor"",""red""},{""chartype"",""line""}))))"),"")</f>
        <v/>
      </c>
      <c r="AH241" s="405"/>
      <c r="AI241" s="467"/>
      <c r="AJ241" s="467"/>
      <c r="AK241" s="467"/>
      <c r="AL241" s="467"/>
      <c r="AM241" s="442"/>
      <c r="AN241" s="442"/>
      <c r="AU241" s="281"/>
      <c r="AV241" s="281"/>
      <c r="AW241" s="281"/>
      <c r="AX241" s="281"/>
      <c r="AY241" s="410">
        <v>198.0</v>
      </c>
      <c r="AZ241" s="411"/>
      <c r="BA241" s="411"/>
      <c r="BB241" s="437"/>
      <c r="BC241" s="437"/>
      <c r="BD241" s="437"/>
      <c r="BE241" s="437"/>
      <c r="BF241" s="415" t="s">
        <v>123</v>
      </c>
      <c r="BG241" s="410">
        <v>198.0</v>
      </c>
      <c r="BH241" s="416"/>
      <c r="BI241" s="416"/>
      <c r="BJ241" s="416"/>
      <c r="BK241" s="416"/>
      <c r="BL241" s="416"/>
      <c r="BM241" s="416"/>
      <c r="BN241" s="282"/>
      <c r="BO241" s="490"/>
      <c r="BP241" s="489"/>
      <c r="BQ241" s="489"/>
      <c r="BR241" s="489"/>
      <c r="BS241" s="489"/>
      <c r="BT241" s="489"/>
      <c r="BU241" s="489"/>
      <c r="BV241" s="489"/>
      <c r="BW241" s="63"/>
      <c r="BX241" s="62"/>
      <c r="BY241" s="452"/>
      <c r="BZ241" s="452"/>
      <c r="CA241" s="452"/>
      <c r="CB241" s="452"/>
      <c r="CC241" s="452"/>
      <c r="CD241" s="452"/>
      <c r="CE241" s="452"/>
      <c r="CF241" s="452"/>
      <c r="CG241" s="452"/>
      <c r="CH241" s="422"/>
      <c r="CI241" s="422"/>
      <c r="CJ241" s="422"/>
      <c r="CK241" s="421"/>
      <c r="CL241" s="421" t="s">
        <v>123</v>
      </c>
      <c r="CM241" s="423"/>
      <c r="CN241" s="421"/>
      <c r="CO241" s="423"/>
      <c r="CP241" s="421"/>
      <c r="CQ241" s="63"/>
      <c r="CR241" s="63"/>
      <c r="CS241" s="63"/>
      <c r="CT241" s="63"/>
      <c r="CU241" s="447"/>
      <c r="CV241" s="447"/>
      <c r="CW241" s="447"/>
      <c r="CX241" s="447"/>
      <c r="CY241" s="447"/>
      <c r="CZ241" s="447"/>
      <c r="DA241" s="447"/>
      <c r="DB241" s="447"/>
      <c r="DC241" s="447"/>
      <c r="DD241" s="447"/>
      <c r="DE241" s="447"/>
      <c r="DF241" s="447"/>
      <c r="DG241" s="447"/>
      <c r="DH241" s="447"/>
      <c r="DI241" s="447"/>
      <c r="DJ241" s="447"/>
      <c r="DK241" s="447"/>
      <c r="DL241" s="67"/>
      <c r="DM241" s="67"/>
      <c r="DN241" s="67"/>
      <c r="DO241" s="67"/>
      <c r="DP241" s="67"/>
      <c r="DQ241" s="67"/>
    </row>
    <row r="242" ht="22.5" customHeight="1">
      <c r="A242" s="383"/>
      <c r="B242" s="384" t="str">
        <f>IFERROR(__xludf.DUMMYFUNCTION("IF(B$43="""","""",IF($AZ242="""","""",IFERROR(Query({CarteirasAtivos},""Select Col3 where Col1 = '""&amp;$AZ242&amp;""'and Col2 = '""&amp;S$21&amp;""'""))))"),"")</f>
        <v/>
      </c>
      <c r="C242" s="384" t="str">
        <f>IFERROR(__xludf.DUMMYFUNCTION("IF(C$43="""","""",IF($AZ242="""","""",IFERROR(Query({CarteirasAtivos},""Select Col3 where Col1 = '""&amp;$AZ242&amp;""'and Col2 = '""&amp;T$21&amp;""'""))))"),"")</f>
        <v/>
      </c>
      <c r="D242" s="384" t="str">
        <f>IFERROR(__xludf.DUMMYFUNCTION("IF(D$43="""","""",IF($AZ242="""","""",IFERROR(Query({CarteirasAtivos},""Select Col3 where Col1 = '""&amp;$AZ242&amp;""'and Col2 = '""&amp;U$21&amp;""'""))))"),"")</f>
        <v/>
      </c>
      <c r="E242" s="384" t="str">
        <f>IFERROR(__xludf.DUMMYFUNCTION("IF(E$43="""","""",IF($AZ242="""","""",IFERROR(Query({CarteirasAtivos},""Select Col3 where Col1 = '""&amp;$AZ242&amp;""'and Col2 = '""&amp;V$21&amp;""'""))))"),"")</f>
        <v/>
      </c>
      <c r="F242" s="384" t="str">
        <f>IFERROR(__xludf.DUMMYFUNCTION("IF(F$43="""","""",IF($AZ242="""","""",IFERROR(Query({CarteirasAtivos},""Select Col3 where Col1 = '""&amp;$AZ242&amp;""'and Col2 = '""&amp;W$21&amp;""'""))))"),"")</f>
        <v/>
      </c>
      <c r="G242" s="384" t="str">
        <f>IFERROR(__xludf.DUMMYFUNCTION("IF(G$43="""","""",IF($AZ242="""","""",IFERROR(Query({CarteirasAtivos},""Select Col3 where Col1 = '""&amp;$AZ242&amp;""'and Col2 = '""&amp;X$21&amp;""'""))))"),"")</f>
        <v/>
      </c>
      <c r="H242" s="384" t="str">
        <f>IFERROR(__xludf.DUMMYFUNCTION("IF(H$43="""","""",IF($AZ242="""","""",IFERROR(Query({CarteirasAtivos},""Select Col3 where Col1 = '""&amp;$AZ242&amp;""'and Col2 = '""&amp;Y$21&amp;""'""))))"),"")</f>
        <v/>
      </c>
      <c r="I242" s="384" t="str">
        <f>IFERROR(__xludf.DUMMYFUNCTION("IF(I$43="""","""",IF($AZ242="""","""",IFERROR(Query({CarteirasAtivos},""Select Col3 where Col1 = '""&amp;$AZ242&amp;""'and Col2 = '""&amp;Z$21&amp;""'""))))"),"")</f>
        <v/>
      </c>
      <c r="J242" s="384" t="str">
        <f>IFERROR(__xludf.DUMMYFUNCTION("IF(J$43="""","""",IF($AZ242="""","""",IFERROR(Query({CarteirasAtivos},""Select Col3 where Col1 = '""&amp;$AZ242&amp;""'and Col2 = '""&amp;AA$21&amp;""'""))))"),"")</f>
        <v/>
      </c>
      <c r="K242" s="384" t="str">
        <f>IFERROR(__xludf.DUMMYFUNCTION("IF(K$43="""","""",IF($AZ242="""","""",IFERROR(Query({CarteirasAtivos},""Select Col3 where Col1 = '""&amp;$AZ242&amp;""'and Col2 = '""&amp;AB$21&amp;""'""))))"),"")</f>
        <v/>
      </c>
      <c r="L242" s="385">
        <v>199.0</v>
      </c>
      <c r="M242" s="503"/>
      <c r="N242" s="387"/>
      <c r="O242" s="388" t="s">
        <v>123</v>
      </c>
      <c r="P242" s="389"/>
      <c r="Q242" s="390"/>
      <c r="R242" s="391"/>
      <c r="S242" s="392"/>
      <c r="T242" s="393"/>
      <c r="U242" s="393"/>
      <c r="V242" s="394"/>
      <c r="W242" s="395" t="str">
        <f>IFERROR(__xludf.DUMMYFUNCTION("IF(M242="""","""",sparkline(IFERROR(BF242*100/MAX($BF$44:$BF$153),0),{""charttype"",""bar"";""max"",100;""color1"",IF(BD242&gt;=0,""#4760a5"",""red"")}))"),"")</f>
        <v/>
      </c>
      <c r="X242" s="396"/>
      <c r="Y242" s="466"/>
      <c r="Z242" s="398"/>
      <c r="AA242" s="399"/>
      <c r="AB242" s="393"/>
      <c r="AC242" s="476"/>
      <c r="AD242" s="401"/>
      <c r="AE242" s="402"/>
      <c r="AF242" s="403"/>
      <c r="AG242" s="404" t="str">
        <f>IFERROR(__xludf.DUMMYFUNCTION("IF($M242="""","""",IFERROR(sparkline(query(GOOGLEFINANCE($AZ242,""price"",TODAY()-$AF$43,TODAY(),1),""select Col2 label Col2 ''""),IF($AG$43=""Gráfico de barras"",{""charttype"",""column"";""highcolor"",""red""},{""chartype"",""line""}))))"),"")</f>
        <v/>
      </c>
      <c r="AH242" s="405"/>
      <c r="AI242" s="467"/>
      <c r="AJ242" s="467"/>
      <c r="AK242" s="467"/>
      <c r="AL242" s="467"/>
      <c r="AM242" s="442"/>
      <c r="AN242" s="442"/>
      <c r="AU242" s="281"/>
      <c r="AV242" s="281"/>
      <c r="AW242" s="281"/>
      <c r="AX242" s="281"/>
      <c r="AY242" s="410">
        <v>199.0</v>
      </c>
      <c r="AZ242" s="411"/>
      <c r="BA242" s="411"/>
      <c r="BB242" s="437"/>
      <c r="BC242" s="437"/>
      <c r="BD242" s="437"/>
      <c r="BE242" s="437"/>
      <c r="BF242" s="415" t="s">
        <v>123</v>
      </c>
      <c r="BG242" s="410">
        <v>199.0</v>
      </c>
      <c r="BH242" s="416"/>
      <c r="BI242" s="416"/>
      <c r="BJ242" s="416"/>
      <c r="BK242" s="416"/>
      <c r="BL242" s="416"/>
      <c r="BM242" s="416"/>
      <c r="BN242" s="282"/>
      <c r="BO242" s="490"/>
      <c r="BP242" s="489"/>
      <c r="BQ242" s="489"/>
      <c r="BR242" s="489"/>
      <c r="BS242" s="489"/>
      <c r="BT242" s="489"/>
      <c r="BU242" s="489"/>
      <c r="BV242" s="489"/>
      <c r="BW242" s="63"/>
      <c r="BX242" s="62"/>
      <c r="BY242" s="452"/>
      <c r="BZ242" s="452"/>
      <c r="CA242" s="452"/>
      <c r="CB242" s="452"/>
      <c r="CC242" s="452"/>
      <c r="CD242" s="452"/>
      <c r="CE242" s="452"/>
      <c r="CF242" s="452"/>
      <c r="CG242" s="452"/>
      <c r="CH242" s="422"/>
      <c r="CI242" s="422"/>
      <c r="CJ242" s="422"/>
      <c r="CK242" s="421"/>
      <c r="CL242" s="421" t="s">
        <v>123</v>
      </c>
      <c r="CM242" s="423"/>
      <c r="CN242" s="421"/>
      <c r="CO242" s="423"/>
      <c r="CP242" s="421"/>
      <c r="CQ242" s="63"/>
      <c r="CR242" s="63"/>
      <c r="CS242" s="63"/>
      <c r="CT242" s="63"/>
      <c r="CU242" s="447"/>
      <c r="CV242" s="447"/>
      <c r="CW242" s="447"/>
      <c r="CX242" s="447"/>
      <c r="CY242" s="447"/>
      <c r="CZ242" s="447"/>
      <c r="DA242" s="447"/>
      <c r="DB242" s="447"/>
      <c r="DC242" s="447"/>
      <c r="DD242" s="447"/>
      <c r="DE242" s="447"/>
      <c r="DF242" s="447"/>
      <c r="DG242" s="447"/>
      <c r="DH242" s="447"/>
      <c r="DI242" s="447"/>
      <c r="DJ242" s="447"/>
      <c r="DK242" s="447"/>
      <c r="DL242" s="67"/>
      <c r="DM242" s="67"/>
      <c r="DN242" s="67"/>
      <c r="DO242" s="67"/>
      <c r="DP242" s="67"/>
      <c r="DQ242" s="67"/>
    </row>
    <row r="243" ht="22.5" customHeight="1">
      <c r="A243" s="383"/>
      <c r="B243" s="384" t="str">
        <f>IFERROR(__xludf.DUMMYFUNCTION("IF(B$43="""","""",IF($AZ243="""","""",IFERROR(Query({CarteirasAtivos},""Select Col3 where Col1 = '""&amp;$AZ243&amp;""'and Col2 = '""&amp;S$21&amp;""'""))))"),"")</f>
        <v/>
      </c>
      <c r="C243" s="384" t="str">
        <f>IFERROR(__xludf.DUMMYFUNCTION("IF(C$43="""","""",IF($AZ243="""","""",IFERROR(Query({CarteirasAtivos},""Select Col3 where Col1 = '""&amp;$AZ243&amp;""'and Col2 = '""&amp;T$21&amp;""'""))))"),"")</f>
        <v/>
      </c>
      <c r="D243" s="384" t="str">
        <f>IFERROR(__xludf.DUMMYFUNCTION("IF(D$43="""","""",IF($AZ243="""","""",IFERROR(Query({CarteirasAtivos},""Select Col3 where Col1 = '""&amp;$AZ243&amp;""'and Col2 = '""&amp;U$21&amp;""'""))))"),"")</f>
        <v/>
      </c>
      <c r="E243" s="384" t="str">
        <f>IFERROR(__xludf.DUMMYFUNCTION("IF(E$43="""","""",IF($AZ243="""","""",IFERROR(Query({CarteirasAtivos},""Select Col3 where Col1 = '""&amp;$AZ243&amp;""'and Col2 = '""&amp;V$21&amp;""'""))))"),"")</f>
        <v/>
      </c>
      <c r="F243" s="384" t="str">
        <f>IFERROR(__xludf.DUMMYFUNCTION("IF(F$43="""","""",IF($AZ243="""","""",IFERROR(Query({CarteirasAtivos},""Select Col3 where Col1 = '""&amp;$AZ243&amp;""'and Col2 = '""&amp;W$21&amp;""'""))))"),"")</f>
        <v/>
      </c>
      <c r="G243" s="384" t="str">
        <f>IFERROR(__xludf.DUMMYFUNCTION("IF(G$43="""","""",IF($AZ243="""","""",IFERROR(Query({CarteirasAtivos},""Select Col3 where Col1 = '""&amp;$AZ243&amp;""'and Col2 = '""&amp;X$21&amp;""'""))))"),"")</f>
        <v/>
      </c>
      <c r="H243" s="384" t="str">
        <f>IFERROR(__xludf.DUMMYFUNCTION("IF(H$43="""","""",IF($AZ243="""","""",IFERROR(Query({CarteirasAtivos},""Select Col3 where Col1 = '""&amp;$AZ243&amp;""'and Col2 = '""&amp;Y$21&amp;""'""))))"),"")</f>
        <v/>
      </c>
      <c r="I243" s="384" t="str">
        <f>IFERROR(__xludf.DUMMYFUNCTION("IF(I$43="""","""",IF($AZ243="""","""",IFERROR(Query({CarteirasAtivos},""Select Col3 where Col1 = '""&amp;$AZ243&amp;""'and Col2 = '""&amp;Z$21&amp;""'""))))"),"")</f>
        <v/>
      </c>
      <c r="J243" s="384" t="str">
        <f>IFERROR(__xludf.DUMMYFUNCTION("IF(J$43="""","""",IF($AZ243="""","""",IFERROR(Query({CarteirasAtivos},""Select Col3 where Col1 = '""&amp;$AZ243&amp;""'and Col2 = '""&amp;AA$21&amp;""'""))))"),"")</f>
        <v/>
      </c>
      <c r="K243" s="384" t="str">
        <f>IFERROR(__xludf.DUMMYFUNCTION("IF(K$43="""","""",IF($AZ243="""","""",IFERROR(Query({CarteirasAtivos},""Select Col3 where Col1 = '""&amp;$AZ243&amp;""'and Col2 = '""&amp;AB$21&amp;""'""))))"),"")</f>
        <v/>
      </c>
      <c r="L243" s="385">
        <v>200.0</v>
      </c>
      <c r="M243" s="503"/>
      <c r="N243" s="387"/>
      <c r="O243" s="388" t="s">
        <v>123</v>
      </c>
      <c r="P243" s="389"/>
      <c r="Q243" s="390"/>
      <c r="R243" s="391"/>
      <c r="S243" s="392"/>
      <c r="T243" s="393"/>
      <c r="U243" s="393"/>
      <c r="V243" s="394"/>
      <c r="W243" s="395" t="str">
        <f>IFERROR(__xludf.DUMMYFUNCTION("IF(M243="""","""",sparkline(IFERROR(BF243*100/MAX($BF$44:$BF$153),0),{""charttype"",""bar"";""max"",100;""color1"",IF(BD243&gt;=0,""#4760a5"",""red"")}))"),"")</f>
        <v/>
      </c>
      <c r="X243" s="396"/>
      <c r="Y243" s="466"/>
      <c r="Z243" s="398"/>
      <c r="AA243" s="399"/>
      <c r="AB243" s="393"/>
      <c r="AC243" s="476"/>
      <c r="AD243" s="401"/>
      <c r="AE243" s="402"/>
      <c r="AF243" s="403"/>
      <c r="AG243" s="404" t="str">
        <f>IFERROR(__xludf.DUMMYFUNCTION("IF($M243="""","""",IFERROR(sparkline(query(GOOGLEFINANCE($AZ243,""price"",TODAY()-$AF$43,TODAY(),1),""select Col2 label Col2 ''""),IF($AG$43=""Gráfico de barras"",{""charttype"",""column"";""highcolor"",""red""},{""chartype"",""line""}))))"),"")</f>
        <v/>
      </c>
      <c r="AH243" s="405"/>
      <c r="AI243" s="467"/>
      <c r="AJ243" s="467"/>
      <c r="AK243" s="467"/>
      <c r="AL243" s="467"/>
      <c r="AM243" s="442"/>
      <c r="AN243" s="442"/>
      <c r="AU243" s="281"/>
      <c r="AV243" s="281"/>
      <c r="AW243" s="281"/>
      <c r="AX243" s="281"/>
      <c r="AY243" s="410">
        <v>200.0</v>
      </c>
      <c r="AZ243" s="411"/>
      <c r="BA243" s="411"/>
      <c r="BB243" s="437"/>
      <c r="BC243" s="437"/>
      <c r="BD243" s="437"/>
      <c r="BE243" s="437"/>
      <c r="BF243" s="415" t="s">
        <v>123</v>
      </c>
      <c r="BG243" s="410">
        <v>200.0</v>
      </c>
      <c r="BH243" s="416"/>
      <c r="BI243" s="416"/>
      <c r="BJ243" s="416"/>
      <c r="BK243" s="416"/>
      <c r="BL243" s="416"/>
      <c r="BM243" s="416"/>
      <c r="BN243" s="282"/>
      <c r="BO243" s="490"/>
      <c r="BP243" s="489"/>
      <c r="BQ243" s="489"/>
      <c r="BR243" s="489"/>
      <c r="BS243" s="489"/>
      <c r="BT243" s="489"/>
      <c r="BU243" s="489"/>
      <c r="BV243" s="489"/>
      <c r="BW243" s="63"/>
      <c r="BX243" s="62"/>
      <c r="BY243" s="452"/>
      <c r="BZ243" s="452"/>
      <c r="CA243" s="452"/>
      <c r="CB243" s="452"/>
      <c r="CC243" s="452"/>
      <c r="CD243" s="452"/>
      <c r="CE243" s="452"/>
      <c r="CF243" s="452"/>
      <c r="CG243" s="452"/>
      <c r="CH243" s="422"/>
      <c r="CI243" s="422"/>
      <c r="CJ243" s="422"/>
      <c r="CK243" s="421"/>
      <c r="CL243" s="421" t="s">
        <v>123</v>
      </c>
      <c r="CM243" s="423"/>
      <c r="CN243" s="421"/>
      <c r="CO243" s="423"/>
      <c r="CP243" s="421"/>
      <c r="CQ243" s="63"/>
      <c r="CR243" s="63"/>
      <c r="CS243" s="63"/>
      <c r="CT243" s="63"/>
      <c r="CU243" s="447"/>
      <c r="CV243" s="447"/>
      <c r="CW243" s="447"/>
      <c r="CX243" s="447"/>
      <c r="CY243" s="447"/>
      <c r="CZ243" s="447"/>
      <c r="DA243" s="447"/>
      <c r="DB243" s="447"/>
      <c r="DC243" s="447"/>
      <c r="DD243" s="447"/>
      <c r="DE243" s="447"/>
      <c r="DF243" s="447"/>
      <c r="DG243" s="447"/>
      <c r="DH243" s="447"/>
      <c r="DI243" s="447"/>
      <c r="DJ243" s="447"/>
      <c r="DK243" s="447"/>
      <c r="DL243" s="67"/>
      <c r="DM243" s="67"/>
      <c r="DN243" s="67"/>
      <c r="DO243" s="67"/>
      <c r="DP243" s="67"/>
      <c r="DQ243" s="67"/>
    </row>
    <row r="244" ht="22.5" customHeight="1">
      <c r="A244" s="383"/>
      <c r="B244" s="384" t="str">
        <f>IFERROR(__xludf.DUMMYFUNCTION("IF(B$43="""","""",IF($AZ244="""","""",IFERROR(Query({CarteirasAtivos},""Select Col3 where Col1 = '""&amp;$AZ244&amp;""'and Col2 = '""&amp;S$21&amp;""'""))))"),"")</f>
        <v/>
      </c>
      <c r="C244" s="384" t="str">
        <f>IFERROR(__xludf.DUMMYFUNCTION("IF(C$43="""","""",IF($AZ244="""","""",IFERROR(Query({CarteirasAtivos},""Select Col3 where Col1 = '""&amp;$AZ244&amp;""'and Col2 = '""&amp;T$21&amp;""'""))))"),"")</f>
        <v/>
      </c>
      <c r="D244" s="384" t="str">
        <f>IFERROR(__xludf.DUMMYFUNCTION("IF(D$43="""","""",IF($AZ244="""","""",IFERROR(Query({CarteirasAtivos},""Select Col3 where Col1 = '""&amp;$AZ244&amp;""'and Col2 = '""&amp;U$21&amp;""'""))))"),"")</f>
        <v/>
      </c>
      <c r="E244" s="384" t="str">
        <f>IFERROR(__xludf.DUMMYFUNCTION("IF(E$43="""","""",IF($AZ244="""","""",IFERROR(Query({CarteirasAtivos},""Select Col3 where Col1 = '""&amp;$AZ244&amp;""'and Col2 = '""&amp;V$21&amp;""'""))))"),"")</f>
        <v/>
      </c>
      <c r="F244" s="384" t="str">
        <f>IFERROR(__xludf.DUMMYFUNCTION("IF(F$43="""","""",IF($AZ244="""","""",IFERROR(Query({CarteirasAtivos},""Select Col3 where Col1 = '""&amp;$AZ244&amp;""'and Col2 = '""&amp;W$21&amp;""'""))))"),"")</f>
        <v/>
      </c>
      <c r="G244" s="384" t="str">
        <f>IFERROR(__xludf.DUMMYFUNCTION("IF(G$43="""","""",IF($AZ244="""","""",IFERROR(Query({CarteirasAtivos},""Select Col3 where Col1 = '""&amp;$AZ244&amp;""'and Col2 = '""&amp;X$21&amp;""'""))))"),"")</f>
        <v/>
      </c>
      <c r="H244" s="384" t="str">
        <f>IFERROR(__xludf.DUMMYFUNCTION("IF(H$43="""","""",IF($AZ244="""","""",IFERROR(Query({CarteirasAtivos},""Select Col3 where Col1 = '""&amp;$AZ244&amp;""'and Col2 = '""&amp;Y$21&amp;""'""))))"),"")</f>
        <v/>
      </c>
      <c r="I244" s="384" t="str">
        <f>IFERROR(__xludf.DUMMYFUNCTION("IF(I$43="""","""",IF($AZ244="""","""",IFERROR(Query({CarteirasAtivos},""Select Col3 where Col1 = '""&amp;$AZ244&amp;""'and Col2 = '""&amp;Z$21&amp;""'""))))"),"")</f>
        <v/>
      </c>
      <c r="J244" s="384" t="str">
        <f>IFERROR(__xludf.DUMMYFUNCTION("IF(J$43="""","""",IF($AZ244="""","""",IFERROR(Query({CarteirasAtivos},""Select Col3 where Col1 = '""&amp;$AZ244&amp;""'and Col2 = '""&amp;AA$21&amp;""'""))))"),"")</f>
        <v/>
      </c>
      <c r="K244" s="384" t="str">
        <f>IFERROR(__xludf.DUMMYFUNCTION("IF(K$43="""","""",IF($AZ244="""","""",IFERROR(Query({CarteirasAtivos},""Select Col3 where Col1 = '""&amp;$AZ244&amp;""'and Col2 = '""&amp;AB$21&amp;""'""))))"),"")</f>
        <v/>
      </c>
      <c r="L244" s="385">
        <v>201.0</v>
      </c>
      <c r="M244" s="503"/>
      <c r="N244" s="387"/>
      <c r="O244" s="388" t="s">
        <v>123</v>
      </c>
      <c r="P244" s="389"/>
      <c r="Q244" s="390"/>
      <c r="R244" s="391"/>
      <c r="S244" s="392"/>
      <c r="T244" s="393"/>
      <c r="U244" s="393"/>
      <c r="V244" s="394"/>
      <c r="W244" s="395" t="str">
        <f>IFERROR(__xludf.DUMMYFUNCTION("IF(M244="""","""",sparkline(IFERROR(BF244*100/MAX($BF$44:$BF$153),0),{""charttype"",""bar"";""max"",100;""color1"",IF(BD244&gt;=0,""#4760a5"",""red"")}))"),"")</f>
        <v/>
      </c>
      <c r="X244" s="396"/>
      <c r="Y244" s="466"/>
      <c r="Z244" s="398"/>
      <c r="AA244" s="399"/>
      <c r="AB244" s="393"/>
      <c r="AC244" s="476"/>
      <c r="AD244" s="401"/>
      <c r="AE244" s="402"/>
      <c r="AF244" s="403"/>
      <c r="AG244" s="404" t="str">
        <f>IFERROR(__xludf.DUMMYFUNCTION("IF($M244="""","""",IFERROR(sparkline(query(GOOGLEFINANCE($AZ244,""price"",TODAY()-$AF$43,TODAY(),1),""select Col2 label Col2 ''""),IF($AG$43=""Gráfico de barras"",{""charttype"",""column"";""highcolor"",""red""},{""chartype"",""line""}))))"),"")</f>
        <v/>
      </c>
      <c r="AH244" s="405"/>
      <c r="AI244" s="467"/>
      <c r="AJ244" s="467"/>
      <c r="AK244" s="467"/>
      <c r="AL244" s="467"/>
      <c r="AM244" s="442"/>
      <c r="AN244" s="442"/>
      <c r="AU244" s="281"/>
      <c r="AV244" s="281"/>
      <c r="AW244" s="281"/>
      <c r="AX244" s="281"/>
      <c r="AY244" s="410">
        <v>201.0</v>
      </c>
      <c r="AZ244" s="411"/>
      <c r="BA244" s="411"/>
      <c r="BB244" s="437"/>
      <c r="BC244" s="437"/>
      <c r="BD244" s="437"/>
      <c r="BE244" s="437"/>
      <c r="BF244" s="415" t="s">
        <v>123</v>
      </c>
      <c r="BG244" s="410">
        <v>201.0</v>
      </c>
      <c r="BH244" s="416"/>
      <c r="BI244" s="416"/>
      <c r="BJ244" s="416"/>
      <c r="BK244" s="416"/>
      <c r="BL244" s="416"/>
      <c r="BM244" s="416"/>
      <c r="BN244" s="282"/>
      <c r="BO244" s="490"/>
      <c r="BP244" s="489"/>
      <c r="BQ244" s="489"/>
      <c r="BR244" s="489"/>
      <c r="BS244" s="489"/>
      <c r="BT244" s="489"/>
      <c r="BU244" s="489"/>
      <c r="BV244" s="489"/>
      <c r="BW244" s="63"/>
      <c r="BX244" s="62"/>
      <c r="BY244" s="452"/>
      <c r="BZ244" s="452"/>
      <c r="CA244" s="452"/>
      <c r="CB244" s="452"/>
      <c r="CC244" s="452"/>
      <c r="CD244" s="452"/>
      <c r="CE244" s="452"/>
      <c r="CF244" s="452"/>
      <c r="CG244" s="452"/>
      <c r="CH244" s="422"/>
      <c r="CI244" s="422"/>
      <c r="CJ244" s="422"/>
      <c r="CK244" s="421"/>
      <c r="CL244" s="421" t="s">
        <v>123</v>
      </c>
      <c r="CM244" s="423"/>
      <c r="CN244" s="421"/>
      <c r="CO244" s="423"/>
      <c r="CP244" s="421"/>
      <c r="CQ244" s="63"/>
      <c r="CR244" s="63"/>
      <c r="CS244" s="63"/>
      <c r="CT244" s="63"/>
      <c r="CU244" s="447"/>
      <c r="CV244" s="447"/>
      <c r="CW244" s="447"/>
      <c r="CX244" s="447"/>
      <c r="CY244" s="447"/>
      <c r="CZ244" s="447"/>
      <c r="DA244" s="447"/>
      <c r="DB244" s="447"/>
      <c r="DC244" s="447"/>
      <c r="DD244" s="447"/>
      <c r="DE244" s="447"/>
      <c r="DF244" s="447"/>
      <c r="DG244" s="447"/>
      <c r="DH244" s="447"/>
      <c r="DI244" s="447"/>
      <c r="DJ244" s="447"/>
      <c r="DK244" s="447"/>
      <c r="DL244" s="67"/>
      <c r="DM244" s="67"/>
      <c r="DN244" s="67"/>
      <c r="DO244" s="67"/>
      <c r="DP244" s="67"/>
      <c r="DQ244" s="67"/>
    </row>
    <row r="245" ht="22.5" customHeight="1">
      <c r="A245" s="383"/>
      <c r="B245" s="384" t="str">
        <f>IFERROR(__xludf.DUMMYFUNCTION("IF(B$43="""","""",IF($AZ245="""","""",IFERROR(Query({CarteirasAtivos},""Select Col3 where Col1 = '""&amp;$AZ245&amp;""'and Col2 = '""&amp;S$21&amp;""'""))))"),"")</f>
        <v/>
      </c>
      <c r="C245" s="384" t="str">
        <f>IFERROR(__xludf.DUMMYFUNCTION("IF(C$43="""","""",IF($AZ245="""","""",IFERROR(Query({CarteirasAtivos},""Select Col3 where Col1 = '""&amp;$AZ245&amp;""'and Col2 = '""&amp;T$21&amp;""'""))))"),"")</f>
        <v/>
      </c>
      <c r="D245" s="384" t="str">
        <f>IFERROR(__xludf.DUMMYFUNCTION("IF(D$43="""","""",IF($AZ245="""","""",IFERROR(Query({CarteirasAtivos},""Select Col3 where Col1 = '""&amp;$AZ245&amp;""'and Col2 = '""&amp;U$21&amp;""'""))))"),"")</f>
        <v/>
      </c>
      <c r="E245" s="384" t="str">
        <f>IFERROR(__xludf.DUMMYFUNCTION("IF(E$43="""","""",IF($AZ245="""","""",IFERROR(Query({CarteirasAtivos},""Select Col3 where Col1 = '""&amp;$AZ245&amp;""'and Col2 = '""&amp;V$21&amp;""'""))))"),"")</f>
        <v/>
      </c>
      <c r="F245" s="384" t="str">
        <f>IFERROR(__xludf.DUMMYFUNCTION("IF(F$43="""","""",IF($AZ245="""","""",IFERROR(Query({CarteirasAtivos},""Select Col3 where Col1 = '""&amp;$AZ245&amp;""'and Col2 = '""&amp;W$21&amp;""'""))))"),"")</f>
        <v/>
      </c>
      <c r="G245" s="384" t="str">
        <f>IFERROR(__xludf.DUMMYFUNCTION("IF(G$43="""","""",IF($AZ245="""","""",IFERROR(Query({CarteirasAtivos},""Select Col3 where Col1 = '""&amp;$AZ245&amp;""'and Col2 = '""&amp;X$21&amp;""'""))))"),"")</f>
        <v/>
      </c>
      <c r="H245" s="384" t="str">
        <f>IFERROR(__xludf.DUMMYFUNCTION("IF(H$43="""","""",IF($AZ245="""","""",IFERROR(Query({CarteirasAtivos},""Select Col3 where Col1 = '""&amp;$AZ245&amp;""'and Col2 = '""&amp;Y$21&amp;""'""))))"),"")</f>
        <v/>
      </c>
      <c r="I245" s="384" t="str">
        <f>IFERROR(__xludf.DUMMYFUNCTION("IF(I$43="""","""",IF($AZ245="""","""",IFERROR(Query({CarteirasAtivos},""Select Col3 where Col1 = '""&amp;$AZ245&amp;""'and Col2 = '""&amp;Z$21&amp;""'""))))"),"")</f>
        <v/>
      </c>
      <c r="J245" s="384" t="str">
        <f>IFERROR(__xludf.DUMMYFUNCTION("IF(J$43="""","""",IF($AZ245="""","""",IFERROR(Query({CarteirasAtivos},""Select Col3 where Col1 = '""&amp;$AZ245&amp;""'and Col2 = '""&amp;AA$21&amp;""'""))))"),"")</f>
        <v/>
      </c>
      <c r="K245" s="384" t="str">
        <f>IFERROR(__xludf.DUMMYFUNCTION("IF(K$43="""","""",IF($AZ245="""","""",IFERROR(Query({CarteirasAtivos},""Select Col3 where Col1 = '""&amp;$AZ245&amp;""'and Col2 = '""&amp;AB$21&amp;""'""))))"),"")</f>
        <v/>
      </c>
      <c r="L245" s="385">
        <v>202.0</v>
      </c>
      <c r="M245" s="503"/>
      <c r="N245" s="387"/>
      <c r="O245" s="388" t="s">
        <v>123</v>
      </c>
      <c r="P245" s="389"/>
      <c r="Q245" s="390"/>
      <c r="R245" s="391"/>
      <c r="S245" s="392"/>
      <c r="T245" s="393"/>
      <c r="U245" s="393"/>
      <c r="V245" s="394"/>
      <c r="W245" s="395" t="str">
        <f>IFERROR(__xludf.DUMMYFUNCTION("IF(M245="""","""",sparkline(IFERROR(BF245*100/MAX($BF$44:$BF$153),0),{""charttype"",""bar"";""max"",100;""color1"",IF(BD245&gt;=0,""#4760a5"",""red"")}))"),"")</f>
        <v/>
      </c>
      <c r="X245" s="396"/>
      <c r="Y245" s="466"/>
      <c r="Z245" s="398"/>
      <c r="AA245" s="399"/>
      <c r="AB245" s="393"/>
      <c r="AC245" s="476"/>
      <c r="AD245" s="401"/>
      <c r="AE245" s="402"/>
      <c r="AF245" s="403"/>
      <c r="AG245" s="404" t="str">
        <f>IFERROR(__xludf.DUMMYFUNCTION("IF($M245="""","""",IFERROR(sparkline(query(GOOGLEFINANCE($AZ245,""price"",TODAY()-$AF$43,TODAY(),1),""select Col2 label Col2 ''""),IF($AG$43=""Gráfico de barras"",{""charttype"",""column"";""highcolor"",""red""},{""chartype"",""line""}))))"),"")</f>
        <v/>
      </c>
      <c r="AH245" s="405"/>
      <c r="AI245" s="467"/>
      <c r="AJ245" s="467"/>
      <c r="AK245" s="467"/>
      <c r="AL245" s="467"/>
      <c r="AM245" s="442"/>
      <c r="AN245" s="442"/>
      <c r="AU245" s="281"/>
      <c r="AV245" s="281"/>
      <c r="AW245" s="281"/>
      <c r="AX245" s="281"/>
      <c r="AY245" s="410">
        <v>202.0</v>
      </c>
      <c r="AZ245" s="411"/>
      <c r="BA245" s="411"/>
      <c r="BB245" s="437"/>
      <c r="BC245" s="437"/>
      <c r="BD245" s="437"/>
      <c r="BE245" s="437"/>
      <c r="BF245" s="415" t="s">
        <v>123</v>
      </c>
      <c r="BG245" s="410">
        <v>202.0</v>
      </c>
      <c r="BH245" s="416"/>
      <c r="BI245" s="416"/>
      <c r="BJ245" s="416"/>
      <c r="BK245" s="416"/>
      <c r="BL245" s="416"/>
      <c r="BM245" s="416"/>
      <c r="BN245" s="282"/>
      <c r="BO245" s="490"/>
      <c r="BP245" s="489"/>
      <c r="BQ245" s="489"/>
      <c r="BR245" s="489"/>
      <c r="BS245" s="489"/>
      <c r="BT245" s="489"/>
      <c r="BU245" s="489"/>
      <c r="BV245" s="489"/>
      <c r="BW245" s="63"/>
      <c r="BX245" s="62"/>
      <c r="BY245" s="452"/>
      <c r="BZ245" s="452"/>
      <c r="CA245" s="452"/>
      <c r="CB245" s="452"/>
      <c r="CC245" s="452"/>
      <c r="CD245" s="452"/>
      <c r="CE245" s="452"/>
      <c r="CF245" s="452"/>
      <c r="CG245" s="452"/>
      <c r="CH245" s="422"/>
      <c r="CI245" s="422"/>
      <c r="CJ245" s="422"/>
      <c r="CK245" s="421"/>
      <c r="CL245" s="421" t="s">
        <v>123</v>
      </c>
      <c r="CM245" s="423"/>
      <c r="CN245" s="421"/>
      <c r="CO245" s="423"/>
      <c r="CP245" s="421"/>
      <c r="CQ245" s="63"/>
      <c r="CR245" s="63"/>
      <c r="CS245" s="63"/>
      <c r="CT245" s="63"/>
      <c r="CU245" s="447"/>
      <c r="CV245" s="447"/>
      <c r="CW245" s="447"/>
      <c r="CX245" s="447"/>
      <c r="CY245" s="447"/>
      <c r="CZ245" s="447"/>
      <c r="DA245" s="447"/>
      <c r="DB245" s="447"/>
      <c r="DC245" s="447"/>
      <c r="DD245" s="447"/>
      <c r="DE245" s="447"/>
      <c r="DF245" s="447"/>
      <c r="DG245" s="447"/>
      <c r="DH245" s="447"/>
      <c r="DI245" s="447"/>
      <c r="DJ245" s="447"/>
      <c r="DK245" s="447"/>
      <c r="DL245" s="67"/>
      <c r="DM245" s="67"/>
      <c r="DN245" s="67"/>
      <c r="DO245" s="67"/>
      <c r="DP245" s="67"/>
      <c r="DQ245" s="67"/>
    </row>
    <row r="246" ht="22.5" customHeight="1">
      <c r="A246" s="383"/>
      <c r="B246" s="384" t="str">
        <f>IFERROR(__xludf.DUMMYFUNCTION("IF(B$43="""","""",IF($AZ246="""","""",IFERROR(Query({CarteirasAtivos},""Select Col3 where Col1 = '""&amp;$AZ246&amp;""'and Col2 = '""&amp;S$21&amp;""'""))))"),"")</f>
        <v/>
      </c>
      <c r="C246" s="384" t="str">
        <f>IFERROR(__xludf.DUMMYFUNCTION("IF(C$43="""","""",IF($AZ246="""","""",IFERROR(Query({CarteirasAtivos},""Select Col3 where Col1 = '""&amp;$AZ246&amp;""'and Col2 = '""&amp;T$21&amp;""'""))))"),"")</f>
        <v/>
      </c>
      <c r="D246" s="384" t="str">
        <f>IFERROR(__xludf.DUMMYFUNCTION("IF(D$43="""","""",IF($AZ246="""","""",IFERROR(Query({CarteirasAtivos},""Select Col3 where Col1 = '""&amp;$AZ246&amp;""'and Col2 = '""&amp;U$21&amp;""'""))))"),"")</f>
        <v/>
      </c>
      <c r="E246" s="384" t="str">
        <f>IFERROR(__xludf.DUMMYFUNCTION("IF(E$43="""","""",IF($AZ246="""","""",IFERROR(Query({CarteirasAtivos},""Select Col3 where Col1 = '""&amp;$AZ246&amp;""'and Col2 = '""&amp;V$21&amp;""'""))))"),"")</f>
        <v/>
      </c>
      <c r="F246" s="384" t="str">
        <f>IFERROR(__xludf.DUMMYFUNCTION("IF(F$43="""","""",IF($AZ246="""","""",IFERROR(Query({CarteirasAtivos},""Select Col3 where Col1 = '""&amp;$AZ246&amp;""'and Col2 = '""&amp;W$21&amp;""'""))))"),"")</f>
        <v/>
      </c>
      <c r="G246" s="384" t="str">
        <f>IFERROR(__xludf.DUMMYFUNCTION("IF(G$43="""","""",IF($AZ246="""","""",IFERROR(Query({CarteirasAtivos},""Select Col3 where Col1 = '""&amp;$AZ246&amp;""'and Col2 = '""&amp;X$21&amp;""'""))))"),"")</f>
        <v/>
      </c>
      <c r="H246" s="384" t="str">
        <f>IFERROR(__xludf.DUMMYFUNCTION("IF(H$43="""","""",IF($AZ246="""","""",IFERROR(Query({CarteirasAtivos},""Select Col3 where Col1 = '""&amp;$AZ246&amp;""'and Col2 = '""&amp;Y$21&amp;""'""))))"),"")</f>
        <v/>
      </c>
      <c r="I246" s="384" t="str">
        <f>IFERROR(__xludf.DUMMYFUNCTION("IF(I$43="""","""",IF($AZ246="""","""",IFERROR(Query({CarteirasAtivos},""Select Col3 where Col1 = '""&amp;$AZ246&amp;""'and Col2 = '""&amp;Z$21&amp;""'""))))"),"")</f>
        <v/>
      </c>
      <c r="J246" s="384" t="str">
        <f>IFERROR(__xludf.DUMMYFUNCTION("IF(J$43="""","""",IF($AZ246="""","""",IFERROR(Query({CarteirasAtivos},""Select Col3 where Col1 = '""&amp;$AZ246&amp;""'and Col2 = '""&amp;AA$21&amp;""'""))))"),"")</f>
        <v/>
      </c>
      <c r="K246" s="384" t="str">
        <f>IFERROR(__xludf.DUMMYFUNCTION("IF(K$43="""","""",IF($AZ246="""","""",IFERROR(Query({CarteirasAtivos},""Select Col3 where Col1 = '""&amp;$AZ246&amp;""'and Col2 = '""&amp;AB$21&amp;""'""))))"),"")</f>
        <v/>
      </c>
      <c r="L246" s="385">
        <v>203.0</v>
      </c>
      <c r="M246" s="503"/>
      <c r="N246" s="387"/>
      <c r="O246" s="388" t="s">
        <v>123</v>
      </c>
      <c r="P246" s="389"/>
      <c r="Q246" s="390"/>
      <c r="R246" s="391"/>
      <c r="S246" s="392"/>
      <c r="T246" s="393"/>
      <c r="U246" s="393"/>
      <c r="V246" s="394"/>
      <c r="W246" s="395" t="str">
        <f>IFERROR(__xludf.DUMMYFUNCTION("IF(M246="""","""",sparkline(IFERROR(BF246*100/MAX($BF$44:$BF$153),0),{""charttype"",""bar"";""max"",100;""color1"",IF(BD246&gt;=0,""#4760a5"",""red"")}))"),"")</f>
        <v/>
      </c>
      <c r="X246" s="396"/>
      <c r="Y246" s="466"/>
      <c r="Z246" s="398"/>
      <c r="AA246" s="399"/>
      <c r="AB246" s="393"/>
      <c r="AC246" s="476"/>
      <c r="AD246" s="401"/>
      <c r="AE246" s="402"/>
      <c r="AF246" s="403"/>
      <c r="AG246" s="404" t="str">
        <f>IFERROR(__xludf.DUMMYFUNCTION("IF($M246="""","""",IFERROR(sparkline(query(GOOGLEFINANCE($AZ246,""price"",TODAY()-$AF$43,TODAY(),1),""select Col2 label Col2 ''""),IF($AG$43=""Gráfico de barras"",{""charttype"",""column"";""highcolor"",""red""},{""chartype"",""line""}))))"),"")</f>
        <v/>
      </c>
      <c r="AH246" s="405"/>
      <c r="AI246" s="467"/>
      <c r="AJ246" s="467"/>
      <c r="AK246" s="467"/>
      <c r="AL246" s="467"/>
      <c r="AM246" s="442"/>
      <c r="AN246" s="442"/>
      <c r="AU246" s="281"/>
      <c r="AV246" s="281"/>
      <c r="AW246" s="281"/>
      <c r="AX246" s="281"/>
      <c r="AY246" s="410">
        <v>203.0</v>
      </c>
      <c r="AZ246" s="411"/>
      <c r="BA246" s="411"/>
      <c r="BB246" s="437"/>
      <c r="BC246" s="437"/>
      <c r="BD246" s="437"/>
      <c r="BE246" s="437"/>
      <c r="BF246" s="415" t="s">
        <v>123</v>
      </c>
      <c r="BG246" s="410">
        <v>203.0</v>
      </c>
      <c r="BH246" s="416"/>
      <c r="BI246" s="416"/>
      <c r="BJ246" s="416"/>
      <c r="BK246" s="416"/>
      <c r="BL246" s="416"/>
      <c r="BM246" s="416"/>
      <c r="BN246" s="282"/>
      <c r="BO246" s="490"/>
      <c r="BP246" s="489"/>
      <c r="BQ246" s="489"/>
      <c r="BR246" s="489"/>
      <c r="BS246" s="489"/>
      <c r="BT246" s="489"/>
      <c r="BU246" s="489"/>
      <c r="BV246" s="489"/>
      <c r="BW246" s="63"/>
      <c r="BX246" s="62"/>
      <c r="BY246" s="452"/>
      <c r="BZ246" s="452"/>
      <c r="CA246" s="452"/>
      <c r="CB246" s="452"/>
      <c r="CC246" s="452"/>
      <c r="CD246" s="452"/>
      <c r="CE246" s="452"/>
      <c r="CF246" s="452"/>
      <c r="CG246" s="452"/>
      <c r="CH246" s="422"/>
      <c r="CI246" s="422"/>
      <c r="CJ246" s="422"/>
      <c r="CK246" s="421"/>
      <c r="CL246" s="421" t="s">
        <v>123</v>
      </c>
      <c r="CM246" s="423"/>
      <c r="CN246" s="421"/>
      <c r="CO246" s="423"/>
      <c r="CP246" s="421"/>
      <c r="CQ246" s="63"/>
      <c r="CR246" s="63"/>
      <c r="CS246" s="63"/>
      <c r="CT246" s="63"/>
      <c r="CU246" s="447"/>
      <c r="CV246" s="447"/>
      <c r="CW246" s="447"/>
      <c r="CX246" s="447"/>
      <c r="CY246" s="447"/>
      <c r="CZ246" s="447"/>
      <c r="DA246" s="447"/>
      <c r="DB246" s="447"/>
      <c r="DC246" s="447"/>
      <c r="DD246" s="447"/>
      <c r="DE246" s="447"/>
      <c r="DF246" s="447"/>
      <c r="DG246" s="447"/>
      <c r="DH246" s="447"/>
      <c r="DI246" s="447"/>
      <c r="DJ246" s="447"/>
      <c r="DK246" s="447"/>
      <c r="DL246" s="67"/>
      <c r="DM246" s="67"/>
      <c r="DN246" s="67"/>
      <c r="DO246" s="67"/>
      <c r="DP246" s="67"/>
      <c r="DQ246" s="67"/>
    </row>
    <row r="247" ht="22.5" customHeight="1">
      <c r="A247" s="383"/>
      <c r="B247" s="384" t="str">
        <f>IFERROR(__xludf.DUMMYFUNCTION("IF(B$43="""","""",IF($AZ247="""","""",IFERROR(Query({CarteirasAtivos},""Select Col3 where Col1 = '""&amp;$AZ247&amp;""'and Col2 = '""&amp;S$21&amp;""'""))))"),"")</f>
        <v/>
      </c>
      <c r="C247" s="384" t="str">
        <f>IFERROR(__xludf.DUMMYFUNCTION("IF(C$43="""","""",IF($AZ247="""","""",IFERROR(Query({CarteirasAtivos},""Select Col3 where Col1 = '""&amp;$AZ247&amp;""'and Col2 = '""&amp;T$21&amp;""'""))))"),"")</f>
        <v/>
      </c>
      <c r="D247" s="384" t="str">
        <f>IFERROR(__xludf.DUMMYFUNCTION("IF(D$43="""","""",IF($AZ247="""","""",IFERROR(Query({CarteirasAtivos},""Select Col3 where Col1 = '""&amp;$AZ247&amp;""'and Col2 = '""&amp;U$21&amp;""'""))))"),"")</f>
        <v/>
      </c>
      <c r="E247" s="384" t="str">
        <f>IFERROR(__xludf.DUMMYFUNCTION("IF(E$43="""","""",IF($AZ247="""","""",IFERROR(Query({CarteirasAtivos},""Select Col3 where Col1 = '""&amp;$AZ247&amp;""'and Col2 = '""&amp;V$21&amp;""'""))))"),"")</f>
        <v/>
      </c>
      <c r="F247" s="384" t="str">
        <f>IFERROR(__xludf.DUMMYFUNCTION("IF(F$43="""","""",IF($AZ247="""","""",IFERROR(Query({CarteirasAtivos},""Select Col3 where Col1 = '""&amp;$AZ247&amp;""'and Col2 = '""&amp;W$21&amp;""'""))))"),"")</f>
        <v/>
      </c>
      <c r="G247" s="384" t="str">
        <f>IFERROR(__xludf.DUMMYFUNCTION("IF(G$43="""","""",IF($AZ247="""","""",IFERROR(Query({CarteirasAtivos},""Select Col3 where Col1 = '""&amp;$AZ247&amp;""'and Col2 = '""&amp;X$21&amp;""'""))))"),"")</f>
        <v/>
      </c>
      <c r="H247" s="384" t="str">
        <f>IFERROR(__xludf.DUMMYFUNCTION("IF(H$43="""","""",IF($AZ247="""","""",IFERROR(Query({CarteirasAtivos},""Select Col3 where Col1 = '""&amp;$AZ247&amp;""'and Col2 = '""&amp;Y$21&amp;""'""))))"),"")</f>
        <v/>
      </c>
      <c r="I247" s="384" t="str">
        <f>IFERROR(__xludf.DUMMYFUNCTION("IF(I$43="""","""",IF($AZ247="""","""",IFERROR(Query({CarteirasAtivos},""Select Col3 where Col1 = '""&amp;$AZ247&amp;""'and Col2 = '""&amp;Z$21&amp;""'""))))"),"")</f>
        <v/>
      </c>
      <c r="J247" s="384" t="str">
        <f>IFERROR(__xludf.DUMMYFUNCTION("IF(J$43="""","""",IF($AZ247="""","""",IFERROR(Query({CarteirasAtivos},""Select Col3 where Col1 = '""&amp;$AZ247&amp;""'and Col2 = '""&amp;AA$21&amp;""'""))))"),"")</f>
        <v/>
      </c>
      <c r="K247" s="384" t="str">
        <f>IFERROR(__xludf.DUMMYFUNCTION("IF(K$43="""","""",IF($AZ247="""","""",IFERROR(Query({CarteirasAtivos},""Select Col3 where Col1 = '""&amp;$AZ247&amp;""'and Col2 = '""&amp;AB$21&amp;""'""))))"),"")</f>
        <v/>
      </c>
      <c r="L247" s="385">
        <v>204.0</v>
      </c>
      <c r="M247" s="503"/>
      <c r="N247" s="387"/>
      <c r="O247" s="388" t="s">
        <v>123</v>
      </c>
      <c r="P247" s="389"/>
      <c r="Q247" s="390"/>
      <c r="R247" s="391"/>
      <c r="S247" s="392"/>
      <c r="T247" s="393"/>
      <c r="U247" s="393"/>
      <c r="V247" s="394"/>
      <c r="W247" s="395" t="str">
        <f>IFERROR(__xludf.DUMMYFUNCTION("IF(M247="""","""",sparkline(IFERROR(BF247*100/MAX($BF$44:$BF$153),0),{""charttype"",""bar"";""max"",100;""color1"",IF(BD247&gt;=0,""#4760a5"",""red"")}))"),"")</f>
        <v/>
      </c>
      <c r="X247" s="396"/>
      <c r="Y247" s="466"/>
      <c r="Z247" s="398"/>
      <c r="AA247" s="399"/>
      <c r="AB247" s="393"/>
      <c r="AC247" s="476"/>
      <c r="AD247" s="401"/>
      <c r="AE247" s="402"/>
      <c r="AF247" s="403"/>
      <c r="AG247" s="404" t="str">
        <f>IFERROR(__xludf.DUMMYFUNCTION("IF($M247="""","""",IFERROR(sparkline(query(GOOGLEFINANCE($AZ247,""price"",TODAY()-$AF$43,TODAY(),1),""select Col2 label Col2 ''""),IF($AG$43=""Gráfico de barras"",{""charttype"",""column"";""highcolor"",""red""},{""chartype"",""line""}))))"),"")</f>
        <v/>
      </c>
      <c r="AH247" s="405"/>
      <c r="AI247" s="467"/>
      <c r="AJ247" s="467"/>
      <c r="AK247" s="467"/>
      <c r="AL247" s="467"/>
      <c r="AM247" s="442"/>
      <c r="AN247" s="442"/>
      <c r="AU247" s="281"/>
      <c r="AV247" s="281"/>
      <c r="AW247" s="281"/>
      <c r="AX247" s="281"/>
      <c r="AY247" s="410">
        <v>204.0</v>
      </c>
      <c r="AZ247" s="411"/>
      <c r="BA247" s="411"/>
      <c r="BB247" s="437"/>
      <c r="BC247" s="437"/>
      <c r="BD247" s="437"/>
      <c r="BE247" s="437"/>
      <c r="BF247" s="415" t="s">
        <v>123</v>
      </c>
      <c r="BG247" s="410">
        <v>204.0</v>
      </c>
      <c r="BH247" s="416"/>
      <c r="BI247" s="416"/>
      <c r="BJ247" s="416"/>
      <c r="BK247" s="416"/>
      <c r="BL247" s="416"/>
      <c r="BM247" s="416"/>
      <c r="BN247" s="282"/>
      <c r="BO247" s="490"/>
      <c r="BP247" s="489"/>
      <c r="BQ247" s="489"/>
      <c r="BR247" s="489"/>
      <c r="BS247" s="489"/>
      <c r="BT247" s="489"/>
      <c r="BU247" s="489"/>
      <c r="BV247" s="489"/>
      <c r="BW247" s="63"/>
      <c r="BX247" s="62"/>
      <c r="BY247" s="452"/>
      <c r="BZ247" s="452"/>
      <c r="CA247" s="452"/>
      <c r="CB247" s="452"/>
      <c r="CC247" s="452"/>
      <c r="CD247" s="452"/>
      <c r="CE247" s="452"/>
      <c r="CF247" s="452"/>
      <c r="CG247" s="452"/>
      <c r="CH247" s="422"/>
      <c r="CI247" s="422"/>
      <c r="CJ247" s="422"/>
      <c r="CK247" s="421"/>
      <c r="CL247" s="421" t="s">
        <v>123</v>
      </c>
      <c r="CM247" s="423"/>
      <c r="CN247" s="421"/>
      <c r="CO247" s="423"/>
      <c r="CP247" s="421"/>
      <c r="CQ247" s="63"/>
      <c r="CR247" s="63"/>
      <c r="CS247" s="63"/>
      <c r="CT247" s="63"/>
      <c r="CU247" s="447"/>
      <c r="CV247" s="447"/>
      <c r="CW247" s="447"/>
      <c r="CX247" s="447"/>
      <c r="CY247" s="447"/>
      <c r="CZ247" s="447"/>
      <c r="DA247" s="447"/>
      <c r="DB247" s="447"/>
      <c r="DC247" s="447"/>
      <c r="DD247" s="447"/>
      <c r="DE247" s="447"/>
      <c r="DF247" s="447"/>
      <c r="DG247" s="447"/>
      <c r="DH247" s="447"/>
      <c r="DI247" s="447"/>
      <c r="DJ247" s="447"/>
      <c r="DK247" s="447"/>
      <c r="DL247" s="67"/>
      <c r="DM247" s="67"/>
      <c r="DN247" s="67"/>
      <c r="DO247" s="67"/>
      <c r="DP247" s="67"/>
      <c r="DQ247" s="67"/>
    </row>
    <row r="248" ht="22.5" customHeight="1">
      <c r="A248" s="383"/>
      <c r="B248" s="384" t="str">
        <f>IFERROR(__xludf.DUMMYFUNCTION("IF(B$43="""","""",IF($AZ248="""","""",IFERROR(Query({CarteirasAtivos},""Select Col3 where Col1 = '""&amp;$AZ248&amp;""'and Col2 = '""&amp;S$21&amp;""'""))))"),"")</f>
        <v/>
      </c>
      <c r="C248" s="384" t="str">
        <f>IFERROR(__xludf.DUMMYFUNCTION("IF(C$43="""","""",IF($AZ248="""","""",IFERROR(Query({CarteirasAtivos},""Select Col3 where Col1 = '""&amp;$AZ248&amp;""'and Col2 = '""&amp;T$21&amp;""'""))))"),"")</f>
        <v/>
      </c>
      <c r="D248" s="384" t="str">
        <f>IFERROR(__xludf.DUMMYFUNCTION("IF(D$43="""","""",IF($AZ248="""","""",IFERROR(Query({CarteirasAtivos},""Select Col3 where Col1 = '""&amp;$AZ248&amp;""'and Col2 = '""&amp;U$21&amp;""'""))))"),"")</f>
        <v/>
      </c>
      <c r="E248" s="384" t="str">
        <f>IFERROR(__xludf.DUMMYFUNCTION("IF(E$43="""","""",IF($AZ248="""","""",IFERROR(Query({CarteirasAtivos},""Select Col3 where Col1 = '""&amp;$AZ248&amp;""'and Col2 = '""&amp;V$21&amp;""'""))))"),"")</f>
        <v/>
      </c>
      <c r="F248" s="384" t="str">
        <f>IFERROR(__xludf.DUMMYFUNCTION("IF(F$43="""","""",IF($AZ248="""","""",IFERROR(Query({CarteirasAtivos},""Select Col3 where Col1 = '""&amp;$AZ248&amp;""'and Col2 = '""&amp;W$21&amp;""'""))))"),"")</f>
        <v/>
      </c>
      <c r="G248" s="384" t="str">
        <f>IFERROR(__xludf.DUMMYFUNCTION("IF(G$43="""","""",IF($AZ248="""","""",IFERROR(Query({CarteirasAtivos},""Select Col3 where Col1 = '""&amp;$AZ248&amp;""'and Col2 = '""&amp;X$21&amp;""'""))))"),"")</f>
        <v/>
      </c>
      <c r="H248" s="384" t="str">
        <f>IFERROR(__xludf.DUMMYFUNCTION("IF(H$43="""","""",IF($AZ248="""","""",IFERROR(Query({CarteirasAtivos},""Select Col3 where Col1 = '""&amp;$AZ248&amp;""'and Col2 = '""&amp;Y$21&amp;""'""))))"),"")</f>
        <v/>
      </c>
      <c r="I248" s="384" t="str">
        <f>IFERROR(__xludf.DUMMYFUNCTION("IF(I$43="""","""",IF($AZ248="""","""",IFERROR(Query({CarteirasAtivos},""Select Col3 where Col1 = '""&amp;$AZ248&amp;""'and Col2 = '""&amp;Z$21&amp;""'""))))"),"")</f>
        <v/>
      </c>
      <c r="J248" s="384" t="str">
        <f>IFERROR(__xludf.DUMMYFUNCTION("IF(J$43="""","""",IF($AZ248="""","""",IFERROR(Query({CarteirasAtivos},""Select Col3 where Col1 = '""&amp;$AZ248&amp;""'and Col2 = '""&amp;AA$21&amp;""'""))))"),"")</f>
        <v/>
      </c>
      <c r="K248" s="384" t="str">
        <f>IFERROR(__xludf.DUMMYFUNCTION("IF(K$43="""","""",IF($AZ248="""","""",IFERROR(Query({CarteirasAtivos},""Select Col3 where Col1 = '""&amp;$AZ248&amp;""'and Col2 = '""&amp;AB$21&amp;""'""))))"),"")</f>
        <v/>
      </c>
      <c r="L248" s="385">
        <v>205.0</v>
      </c>
      <c r="M248" s="503"/>
      <c r="N248" s="387"/>
      <c r="O248" s="388" t="s">
        <v>123</v>
      </c>
      <c r="P248" s="389"/>
      <c r="Q248" s="390"/>
      <c r="R248" s="391"/>
      <c r="S248" s="392"/>
      <c r="T248" s="393"/>
      <c r="U248" s="393"/>
      <c r="V248" s="394"/>
      <c r="W248" s="395" t="str">
        <f>IFERROR(__xludf.DUMMYFUNCTION("IF(M248="""","""",sparkline(IFERROR(BF248*100/MAX($BF$44:$BF$153),0),{""charttype"",""bar"";""max"",100;""color1"",IF(BD248&gt;=0,""#4760a5"",""red"")}))"),"")</f>
        <v/>
      </c>
      <c r="X248" s="396"/>
      <c r="Y248" s="466"/>
      <c r="Z248" s="398"/>
      <c r="AA248" s="399"/>
      <c r="AB248" s="393"/>
      <c r="AC248" s="476"/>
      <c r="AD248" s="401"/>
      <c r="AE248" s="402"/>
      <c r="AF248" s="403"/>
      <c r="AG248" s="404" t="str">
        <f>IFERROR(__xludf.DUMMYFUNCTION("IF($M248="""","""",IFERROR(sparkline(query(GOOGLEFINANCE($AZ248,""price"",TODAY()-$AF$43,TODAY(),1),""select Col2 label Col2 ''""),IF($AG$43=""Gráfico de barras"",{""charttype"",""column"";""highcolor"",""red""},{""chartype"",""line""}))))"),"")</f>
        <v/>
      </c>
      <c r="AH248" s="405"/>
      <c r="AI248" s="467"/>
      <c r="AJ248" s="467"/>
      <c r="AK248" s="467"/>
      <c r="AL248" s="467"/>
      <c r="AM248" s="442"/>
      <c r="AN248" s="442"/>
      <c r="AU248" s="281"/>
      <c r="AV248" s="281"/>
      <c r="AW248" s="281"/>
      <c r="AX248" s="281"/>
      <c r="AY248" s="410">
        <v>205.0</v>
      </c>
      <c r="AZ248" s="411"/>
      <c r="BA248" s="411"/>
      <c r="BB248" s="437"/>
      <c r="BC248" s="437"/>
      <c r="BD248" s="437"/>
      <c r="BE248" s="437"/>
      <c r="BF248" s="415" t="s">
        <v>123</v>
      </c>
      <c r="BG248" s="410">
        <v>205.0</v>
      </c>
      <c r="BH248" s="416"/>
      <c r="BI248" s="416"/>
      <c r="BJ248" s="416"/>
      <c r="BK248" s="416"/>
      <c r="BL248" s="416"/>
      <c r="BM248" s="416"/>
      <c r="BN248" s="282"/>
      <c r="BO248" s="490"/>
      <c r="BP248" s="489"/>
      <c r="BQ248" s="489"/>
      <c r="BR248" s="489"/>
      <c r="BS248" s="489"/>
      <c r="BT248" s="489"/>
      <c r="BU248" s="489"/>
      <c r="BV248" s="489"/>
      <c r="BW248" s="63"/>
      <c r="BX248" s="62"/>
      <c r="BY248" s="452"/>
      <c r="BZ248" s="452"/>
      <c r="CA248" s="452"/>
      <c r="CB248" s="452"/>
      <c r="CC248" s="452"/>
      <c r="CD248" s="452"/>
      <c r="CE248" s="452"/>
      <c r="CF248" s="452"/>
      <c r="CG248" s="452"/>
      <c r="CH248" s="422"/>
      <c r="CI248" s="422"/>
      <c r="CJ248" s="422"/>
      <c r="CK248" s="421"/>
      <c r="CL248" s="421" t="s">
        <v>123</v>
      </c>
      <c r="CM248" s="423"/>
      <c r="CN248" s="421"/>
      <c r="CO248" s="423"/>
      <c r="CP248" s="421"/>
      <c r="CQ248" s="63"/>
      <c r="CR248" s="63"/>
      <c r="CS248" s="63"/>
      <c r="CT248" s="63"/>
      <c r="CU248" s="447"/>
      <c r="CV248" s="447"/>
      <c r="CW248" s="447"/>
      <c r="CX248" s="447"/>
      <c r="CY248" s="447"/>
      <c r="CZ248" s="447"/>
      <c r="DA248" s="447"/>
      <c r="DB248" s="447"/>
      <c r="DC248" s="447"/>
      <c r="DD248" s="447"/>
      <c r="DE248" s="447"/>
      <c r="DF248" s="447"/>
      <c r="DG248" s="447"/>
      <c r="DH248" s="447"/>
      <c r="DI248" s="447"/>
      <c r="DJ248" s="447"/>
      <c r="DK248" s="447"/>
      <c r="DL248" s="67"/>
      <c r="DM248" s="67"/>
      <c r="DN248" s="67"/>
      <c r="DO248" s="67"/>
      <c r="DP248" s="67"/>
      <c r="DQ248" s="67"/>
    </row>
    <row r="249" ht="22.5" customHeight="1">
      <c r="A249" s="383"/>
      <c r="B249" s="384" t="str">
        <f>IFERROR(__xludf.DUMMYFUNCTION("IF(B$43="""","""",IF($AZ249="""","""",IFERROR(Query({CarteirasAtivos},""Select Col3 where Col1 = '""&amp;$AZ249&amp;""'and Col2 = '""&amp;S$21&amp;""'""))))"),"")</f>
        <v/>
      </c>
      <c r="C249" s="384" t="str">
        <f>IFERROR(__xludf.DUMMYFUNCTION("IF(C$43="""","""",IF($AZ249="""","""",IFERROR(Query({CarteirasAtivos},""Select Col3 where Col1 = '""&amp;$AZ249&amp;""'and Col2 = '""&amp;T$21&amp;""'""))))"),"")</f>
        <v/>
      </c>
      <c r="D249" s="384" t="str">
        <f>IFERROR(__xludf.DUMMYFUNCTION("IF(D$43="""","""",IF($AZ249="""","""",IFERROR(Query({CarteirasAtivos},""Select Col3 where Col1 = '""&amp;$AZ249&amp;""'and Col2 = '""&amp;U$21&amp;""'""))))"),"")</f>
        <v/>
      </c>
      <c r="E249" s="384" t="str">
        <f>IFERROR(__xludf.DUMMYFUNCTION("IF(E$43="""","""",IF($AZ249="""","""",IFERROR(Query({CarteirasAtivos},""Select Col3 where Col1 = '""&amp;$AZ249&amp;""'and Col2 = '""&amp;V$21&amp;""'""))))"),"")</f>
        <v/>
      </c>
      <c r="F249" s="384" t="str">
        <f>IFERROR(__xludf.DUMMYFUNCTION("IF(F$43="""","""",IF($AZ249="""","""",IFERROR(Query({CarteirasAtivos},""Select Col3 where Col1 = '""&amp;$AZ249&amp;""'and Col2 = '""&amp;W$21&amp;""'""))))"),"")</f>
        <v/>
      </c>
      <c r="G249" s="384" t="str">
        <f>IFERROR(__xludf.DUMMYFUNCTION("IF(G$43="""","""",IF($AZ249="""","""",IFERROR(Query({CarteirasAtivos},""Select Col3 where Col1 = '""&amp;$AZ249&amp;""'and Col2 = '""&amp;X$21&amp;""'""))))"),"")</f>
        <v/>
      </c>
      <c r="H249" s="384" t="str">
        <f>IFERROR(__xludf.DUMMYFUNCTION("IF(H$43="""","""",IF($AZ249="""","""",IFERROR(Query({CarteirasAtivos},""Select Col3 where Col1 = '""&amp;$AZ249&amp;""'and Col2 = '""&amp;Y$21&amp;""'""))))"),"")</f>
        <v/>
      </c>
      <c r="I249" s="384" t="str">
        <f>IFERROR(__xludf.DUMMYFUNCTION("IF(I$43="""","""",IF($AZ249="""","""",IFERROR(Query({CarteirasAtivos},""Select Col3 where Col1 = '""&amp;$AZ249&amp;""'and Col2 = '""&amp;Z$21&amp;""'""))))"),"")</f>
        <v/>
      </c>
      <c r="J249" s="384" t="str">
        <f>IFERROR(__xludf.DUMMYFUNCTION("IF(J$43="""","""",IF($AZ249="""","""",IFERROR(Query({CarteirasAtivos},""Select Col3 where Col1 = '""&amp;$AZ249&amp;""'and Col2 = '""&amp;AA$21&amp;""'""))))"),"")</f>
        <v/>
      </c>
      <c r="K249" s="384" t="str">
        <f>IFERROR(__xludf.DUMMYFUNCTION("IF(K$43="""","""",IF($AZ249="""","""",IFERROR(Query({CarteirasAtivos},""Select Col3 where Col1 = '""&amp;$AZ249&amp;""'and Col2 = '""&amp;AB$21&amp;""'""))))"),"")</f>
        <v/>
      </c>
      <c r="L249" s="385">
        <v>206.0</v>
      </c>
      <c r="M249" s="503"/>
      <c r="N249" s="387"/>
      <c r="O249" s="388" t="s">
        <v>123</v>
      </c>
      <c r="P249" s="389"/>
      <c r="Q249" s="390"/>
      <c r="R249" s="391"/>
      <c r="S249" s="392"/>
      <c r="T249" s="393"/>
      <c r="U249" s="393"/>
      <c r="V249" s="394"/>
      <c r="W249" s="395" t="str">
        <f>IFERROR(__xludf.DUMMYFUNCTION("IF(M249="""","""",sparkline(IFERROR(BF249*100/MAX($BF$44:$BF$153),0),{""charttype"",""bar"";""max"",100;""color1"",IF(BD249&gt;=0,""#4760a5"",""red"")}))"),"")</f>
        <v/>
      </c>
      <c r="X249" s="396"/>
      <c r="Y249" s="466"/>
      <c r="Z249" s="398"/>
      <c r="AA249" s="399"/>
      <c r="AB249" s="393"/>
      <c r="AC249" s="476"/>
      <c r="AD249" s="401"/>
      <c r="AE249" s="402"/>
      <c r="AF249" s="403"/>
      <c r="AG249" s="404" t="str">
        <f>IFERROR(__xludf.DUMMYFUNCTION("IF($M249="""","""",IFERROR(sparkline(query(GOOGLEFINANCE($AZ249,""price"",TODAY()-$AF$43,TODAY(),1),""select Col2 label Col2 ''""),IF($AG$43=""Gráfico de barras"",{""charttype"",""column"";""highcolor"",""red""},{""chartype"",""line""}))))"),"")</f>
        <v/>
      </c>
      <c r="AH249" s="405"/>
      <c r="AI249" s="467"/>
      <c r="AJ249" s="467"/>
      <c r="AK249" s="467"/>
      <c r="AL249" s="467"/>
      <c r="AM249" s="442"/>
      <c r="AN249" s="442"/>
      <c r="AU249" s="281"/>
      <c r="AV249" s="281"/>
      <c r="AW249" s="281"/>
      <c r="AX249" s="281"/>
      <c r="AY249" s="410">
        <v>206.0</v>
      </c>
      <c r="AZ249" s="411"/>
      <c r="BA249" s="411"/>
      <c r="BB249" s="437"/>
      <c r="BC249" s="437"/>
      <c r="BD249" s="437"/>
      <c r="BE249" s="437"/>
      <c r="BF249" s="415" t="s">
        <v>123</v>
      </c>
      <c r="BG249" s="410">
        <v>206.0</v>
      </c>
      <c r="BH249" s="416"/>
      <c r="BI249" s="416"/>
      <c r="BJ249" s="416"/>
      <c r="BK249" s="416"/>
      <c r="BL249" s="416"/>
      <c r="BM249" s="416"/>
      <c r="BN249" s="282"/>
      <c r="BO249" s="490"/>
      <c r="BP249" s="489"/>
      <c r="BQ249" s="489"/>
      <c r="BR249" s="489"/>
      <c r="BS249" s="489"/>
      <c r="BT249" s="489"/>
      <c r="BU249" s="489"/>
      <c r="BV249" s="489"/>
      <c r="BW249" s="63"/>
      <c r="BX249" s="62"/>
      <c r="BY249" s="452"/>
      <c r="BZ249" s="452"/>
      <c r="CA249" s="452"/>
      <c r="CB249" s="452"/>
      <c r="CC249" s="452"/>
      <c r="CD249" s="452"/>
      <c r="CE249" s="452"/>
      <c r="CF249" s="452"/>
      <c r="CG249" s="452"/>
      <c r="CH249" s="422"/>
      <c r="CI249" s="422"/>
      <c r="CJ249" s="422"/>
      <c r="CK249" s="421"/>
      <c r="CL249" s="421" t="s">
        <v>123</v>
      </c>
      <c r="CM249" s="423"/>
      <c r="CN249" s="421"/>
      <c r="CO249" s="423"/>
      <c r="CP249" s="421"/>
      <c r="CQ249" s="63"/>
      <c r="CR249" s="63"/>
      <c r="CS249" s="63"/>
      <c r="CT249" s="63"/>
      <c r="CU249" s="447"/>
      <c r="CV249" s="447"/>
      <c r="CW249" s="447"/>
      <c r="CX249" s="447"/>
      <c r="CY249" s="447"/>
      <c r="CZ249" s="447"/>
      <c r="DA249" s="447"/>
      <c r="DB249" s="447"/>
      <c r="DC249" s="447"/>
      <c r="DD249" s="447"/>
      <c r="DE249" s="447"/>
      <c r="DF249" s="447"/>
      <c r="DG249" s="447"/>
      <c r="DH249" s="447"/>
      <c r="DI249" s="447"/>
      <c r="DJ249" s="447"/>
      <c r="DK249" s="447"/>
      <c r="DL249" s="67"/>
      <c r="DM249" s="67"/>
      <c r="DN249" s="67"/>
      <c r="DO249" s="67"/>
      <c r="DP249" s="67"/>
      <c r="DQ249" s="67"/>
    </row>
    <row r="250" ht="22.5" customHeight="1">
      <c r="A250" s="383"/>
      <c r="B250" s="384" t="str">
        <f>IFERROR(__xludf.DUMMYFUNCTION("IF(B$43="""","""",IF($AZ250="""","""",IFERROR(Query({CarteirasAtivos},""Select Col3 where Col1 = '""&amp;$AZ250&amp;""'and Col2 = '""&amp;S$21&amp;""'""))))"),"")</f>
        <v/>
      </c>
      <c r="C250" s="384" t="str">
        <f>IFERROR(__xludf.DUMMYFUNCTION("IF(C$43="""","""",IF($AZ250="""","""",IFERROR(Query({CarteirasAtivos},""Select Col3 where Col1 = '""&amp;$AZ250&amp;""'and Col2 = '""&amp;T$21&amp;""'""))))"),"")</f>
        <v/>
      </c>
      <c r="D250" s="384" t="str">
        <f>IFERROR(__xludf.DUMMYFUNCTION("IF(D$43="""","""",IF($AZ250="""","""",IFERROR(Query({CarteirasAtivos},""Select Col3 where Col1 = '""&amp;$AZ250&amp;""'and Col2 = '""&amp;U$21&amp;""'""))))"),"")</f>
        <v/>
      </c>
      <c r="E250" s="384" t="str">
        <f>IFERROR(__xludf.DUMMYFUNCTION("IF(E$43="""","""",IF($AZ250="""","""",IFERROR(Query({CarteirasAtivos},""Select Col3 where Col1 = '""&amp;$AZ250&amp;""'and Col2 = '""&amp;V$21&amp;""'""))))"),"")</f>
        <v/>
      </c>
      <c r="F250" s="384" t="str">
        <f>IFERROR(__xludf.DUMMYFUNCTION("IF(F$43="""","""",IF($AZ250="""","""",IFERROR(Query({CarteirasAtivos},""Select Col3 where Col1 = '""&amp;$AZ250&amp;""'and Col2 = '""&amp;W$21&amp;""'""))))"),"")</f>
        <v/>
      </c>
      <c r="G250" s="384" t="str">
        <f>IFERROR(__xludf.DUMMYFUNCTION("IF(G$43="""","""",IF($AZ250="""","""",IFERROR(Query({CarteirasAtivos},""Select Col3 where Col1 = '""&amp;$AZ250&amp;""'and Col2 = '""&amp;X$21&amp;""'""))))"),"")</f>
        <v/>
      </c>
      <c r="H250" s="384" t="str">
        <f>IFERROR(__xludf.DUMMYFUNCTION("IF(H$43="""","""",IF($AZ250="""","""",IFERROR(Query({CarteirasAtivos},""Select Col3 where Col1 = '""&amp;$AZ250&amp;""'and Col2 = '""&amp;Y$21&amp;""'""))))"),"")</f>
        <v/>
      </c>
      <c r="I250" s="384" t="str">
        <f>IFERROR(__xludf.DUMMYFUNCTION("IF(I$43="""","""",IF($AZ250="""","""",IFERROR(Query({CarteirasAtivos},""Select Col3 where Col1 = '""&amp;$AZ250&amp;""'and Col2 = '""&amp;Z$21&amp;""'""))))"),"")</f>
        <v/>
      </c>
      <c r="J250" s="384" t="str">
        <f>IFERROR(__xludf.DUMMYFUNCTION("IF(J$43="""","""",IF($AZ250="""","""",IFERROR(Query({CarteirasAtivos},""Select Col3 where Col1 = '""&amp;$AZ250&amp;""'and Col2 = '""&amp;AA$21&amp;""'""))))"),"")</f>
        <v/>
      </c>
      <c r="K250" s="384" t="str">
        <f>IFERROR(__xludf.DUMMYFUNCTION("IF(K$43="""","""",IF($AZ250="""","""",IFERROR(Query({CarteirasAtivos},""Select Col3 where Col1 = '""&amp;$AZ250&amp;""'and Col2 = '""&amp;AB$21&amp;""'""))))"),"")</f>
        <v/>
      </c>
      <c r="L250" s="385">
        <v>207.0</v>
      </c>
      <c r="M250" s="503"/>
      <c r="N250" s="387"/>
      <c r="O250" s="388" t="s">
        <v>123</v>
      </c>
      <c r="P250" s="389"/>
      <c r="Q250" s="390"/>
      <c r="R250" s="391"/>
      <c r="S250" s="392"/>
      <c r="T250" s="393"/>
      <c r="U250" s="393"/>
      <c r="V250" s="394"/>
      <c r="W250" s="395" t="str">
        <f>IFERROR(__xludf.DUMMYFUNCTION("IF(M250="""","""",sparkline(IFERROR(BF250*100/MAX($BF$44:$BF$153),0),{""charttype"",""bar"";""max"",100;""color1"",IF(BD250&gt;=0,""#4760a5"",""red"")}))"),"")</f>
        <v/>
      </c>
      <c r="X250" s="396"/>
      <c r="Y250" s="466"/>
      <c r="Z250" s="398"/>
      <c r="AA250" s="399"/>
      <c r="AB250" s="393"/>
      <c r="AC250" s="476"/>
      <c r="AD250" s="401"/>
      <c r="AE250" s="402"/>
      <c r="AF250" s="403"/>
      <c r="AG250" s="404" t="str">
        <f>IFERROR(__xludf.DUMMYFUNCTION("IF($M250="""","""",IFERROR(sparkline(query(GOOGLEFINANCE($AZ250,""price"",TODAY()-$AF$43,TODAY(),1),""select Col2 label Col2 ''""),IF($AG$43=""Gráfico de barras"",{""charttype"",""column"";""highcolor"",""red""},{""chartype"",""line""}))))"),"")</f>
        <v/>
      </c>
      <c r="AH250" s="405"/>
      <c r="AI250" s="467"/>
      <c r="AJ250" s="467"/>
      <c r="AK250" s="467"/>
      <c r="AL250" s="467"/>
      <c r="AM250" s="442"/>
      <c r="AN250" s="442"/>
      <c r="AU250" s="281"/>
      <c r="AV250" s="281"/>
      <c r="AW250" s="281"/>
      <c r="AX250" s="281"/>
      <c r="AY250" s="410">
        <v>207.0</v>
      </c>
      <c r="AZ250" s="411"/>
      <c r="BA250" s="411"/>
      <c r="BB250" s="437"/>
      <c r="BC250" s="437"/>
      <c r="BD250" s="437"/>
      <c r="BE250" s="437"/>
      <c r="BF250" s="415" t="s">
        <v>123</v>
      </c>
      <c r="BG250" s="410">
        <v>207.0</v>
      </c>
      <c r="BH250" s="416"/>
      <c r="BI250" s="416"/>
      <c r="BJ250" s="416"/>
      <c r="BK250" s="416"/>
      <c r="BL250" s="416"/>
      <c r="BM250" s="416"/>
      <c r="BN250" s="282"/>
      <c r="BO250" s="490"/>
      <c r="BP250" s="489"/>
      <c r="BQ250" s="489"/>
      <c r="BR250" s="489"/>
      <c r="BS250" s="489"/>
      <c r="BT250" s="489"/>
      <c r="BU250" s="489"/>
      <c r="BV250" s="489"/>
      <c r="BW250" s="63"/>
      <c r="BX250" s="62"/>
      <c r="BY250" s="452"/>
      <c r="BZ250" s="452"/>
      <c r="CA250" s="452"/>
      <c r="CB250" s="452"/>
      <c r="CC250" s="452"/>
      <c r="CD250" s="452"/>
      <c r="CE250" s="452"/>
      <c r="CF250" s="452"/>
      <c r="CG250" s="452"/>
      <c r="CH250" s="422"/>
      <c r="CI250" s="422"/>
      <c r="CJ250" s="422"/>
      <c r="CK250" s="421"/>
      <c r="CL250" s="421" t="s">
        <v>123</v>
      </c>
      <c r="CM250" s="423"/>
      <c r="CN250" s="421"/>
      <c r="CO250" s="423"/>
      <c r="CP250" s="421"/>
      <c r="CQ250" s="63"/>
      <c r="CR250" s="63"/>
      <c r="CS250" s="63"/>
      <c r="CT250" s="63"/>
      <c r="CU250" s="447"/>
      <c r="CV250" s="447"/>
      <c r="CW250" s="447"/>
      <c r="CX250" s="447"/>
      <c r="CY250" s="447"/>
      <c r="CZ250" s="447"/>
      <c r="DA250" s="447"/>
      <c r="DB250" s="447"/>
      <c r="DC250" s="447"/>
      <c r="DD250" s="447"/>
      <c r="DE250" s="447"/>
      <c r="DF250" s="447"/>
      <c r="DG250" s="447"/>
      <c r="DH250" s="447"/>
      <c r="DI250" s="447"/>
      <c r="DJ250" s="447"/>
      <c r="DK250" s="447"/>
      <c r="DL250" s="67"/>
      <c r="DM250" s="67"/>
      <c r="DN250" s="67"/>
      <c r="DO250" s="67"/>
      <c r="DP250" s="67"/>
      <c r="DQ250" s="67"/>
    </row>
    <row r="251" ht="22.5" customHeight="1">
      <c r="A251" s="383"/>
      <c r="B251" s="384" t="str">
        <f>IFERROR(__xludf.DUMMYFUNCTION("IF(B$43="""","""",IF($AZ251="""","""",IFERROR(Query({CarteirasAtivos},""Select Col3 where Col1 = '""&amp;$AZ251&amp;""'and Col2 = '""&amp;S$21&amp;""'""))))"),"")</f>
        <v/>
      </c>
      <c r="C251" s="384" t="str">
        <f>IFERROR(__xludf.DUMMYFUNCTION("IF(C$43="""","""",IF($AZ251="""","""",IFERROR(Query({CarteirasAtivos},""Select Col3 where Col1 = '""&amp;$AZ251&amp;""'and Col2 = '""&amp;T$21&amp;""'""))))"),"")</f>
        <v/>
      </c>
      <c r="D251" s="384" t="str">
        <f>IFERROR(__xludf.DUMMYFUNCTION("IF(D$43="""","""",IF($AZ251="""","""",IFERROR(Query({CarteirasAtivos},""Select Col3 where Col1 = '""&amp;$AZ251&amp;""'and Col2 = '""&amp;U$21&amp;""'""))))"),"")</f>
        <v/>
      </c>
      <c r="E251" s="384" t="str">
        <f>IFERROR(__xludf.DUMMYFUNCTION("IF(E$43="""","""",IF($AZ251="""","""",IFERROR(Query({CarteirasAtivos},""Select Col3 where Col1 = '""&amp;$AZ251&amp;""'and Col2 = '""&amp;V$21&amp;""'""))))"),"")</f>
        <v/>
      </c>
      <c r="F251" s="384" t="str">
        <f>IFERROR(__xludf.DUMMYFUNCTION("IF(F$43="""","""",IF($AZ251="""","""",IFERROR(Query({CarteirasAtivos},""Select Col3 where Col1 = '""&amp;$AZ251&amp;""'and Col2 = '""&amp;W$21&amp;""'""))))"),"")</f>
        <v/>
      </c>
      <c r="G251" s="384" t="str">
        <f>IFERROR(__xludf.DUMMYFUNCTION("IF(G$43="""","""",IF($AZ251="""","""",IFERROR(Query({CarteirasAtivos},""Select Col3 where Col1 = '""&amp;$AZ251&amp;""'and Col2 = '""&amp;X$21&amp;""'""))))"),"")</f>
        <v/>
      </c>
      <c r="H251" s="384" t="str">
        <f>IFERROR(__xludf.DUMMYFUNCTION("IF(H$43="""","""",IF($AZ251="""","""",IFERROR(Query({CarteirasAtivos},""Select Col3 where Col1 = '""&amp;$AZ251&amp;""'and Col2 = '""&amp;Y$21&amp;""'""))))"),"")</f>
        <v/>
      </c>
      <c r="I251" s="384" t="str">
        <f>IFERROR(__xludf.DUMMYFUNCTION("IF(I$43="""","""",IF($AZ251="""","""",IFERROR(Query({CarteirasAtivos},""Select Col3 where Col1 = '""&amp;$AZ251&amp;""'and Col2 = '""&amp;Z$21&amp;""'""))))"),"")</f>
        <v/>
      </c>
      <c r="J251" s="384" t="str">
        <f>IFERROR(__xludf.DUMMYFUNCTION("IF(J$43="""","""",IF($AZ251="""","""",IFERROR(Query({CarteirasAtivos},""Select Col3 where Col1 = '""&amp;$AZ251&amp;""'and Col2 = '""&amp;AA$21&amp;""'""))))"),"")</f>
        <v/>
      </c>
      <c r="K251" s="384" t="str">
        <f>IFERROR(__xludf.DUMMYFUNCTION("IF(K$43="""","""",IF($AZ251="""","""",IFERROR(Query({CarteirasAtivos},""Select Col3 where Col1 = '""&amp;$AZ251&amp;""'and Col2 = '""&amp;AB$21&amp;""'""))))"),"")</f>
        <v/>
      </c>
      <c r="L251" s="385">
        <v>208.0</v>
      </c>
      <c r="M251" s="503"/>
      <c r="N251" s="387"/>
      <c r="O251" s="388" t="s">
        <v>123</v>
      </c>
      <c r="P251" s="389"/>
      <c r="Q251" s="390"/>
      <c r="R251" s="391"/>
      <c r="S251" s="392"/>
      <c r="T251" s="393"/>
      <c r="U251" s="393"/>
      <c r="V251" s="394"/>
      <c r="W251" s="395" t="str">
        <f>IFERROR(__xludf.DUMMYFUNCTION("IF(M251="""","""",sparkline(IFERROR(BF251*100/MAX($BF$44:$BF$153),0),{""charttype"",""bar"";""max"",100;""color1"",IF(BD251&gt;=0,""#4760a5"",""red"")}))"),"")</f>
        <v/>
      </c>
      <c r="X251" s="396"/>
      <c r="Y251" s="466"/>
      <c r="Z251" s="398"/>
      <c r="AA251" s="399"/>
      <c r="AB251" s="393"/>
      <c r="AC251" s="476"/>
      <c r="AD251" s="401"/>
      <c r="AE251" s="402"/>
      <c r="AF251" s="403"/>
      <c r="AG251" s="404" t="str">
        <f>IFERROR(__xludf.DUMMYFUNCTION("IF($M251="""","""",IFERROR(sparkline(query(GOOGLEFINANCE($AZ251,""price"",TODAY()-$AF$43,TODAY(),1),""select Col2 label Col2 ''""),IF($AG$43=""Gráfico de barras"",{""charttype"",""column"";""highcolor"",""red""},{""chartype"",""line""}))))"),"")</f>
        <v/>
      </c>
      <c r="AH251" s="405"/>
      <c r="AI251" s="467"/>
      <c r="AJ251" s="467"/>
      <c r="AK251" s="467"/>
      <c r="AL251" s="467"/>
      <c r="AM251" s="442"/>
      <c r="AN251" s="442"/>
      <c r="AU251" s="281"/>
      <c r="AV251" s="281"/>
      <c r="AW251" s="281"/>
      <c r="AX251" s="281"/>
      <c r="AY251" s="410">
        <v>208.0</v>
      </c>
      <c r="AZ251" s="411"/>
      <c r="BA251" s="411"/>
      <c r="BB251" s="437"/>
      <c r="BC251" s="437"/>
      <c r="BD251" s="437"/>
      <c r="BE251" s="437"/>
      <c r="BF251" s="415" t="s">
        <v>123</v>
      </c>
      <c r="BG251" s="410">
        <v>208.0</v>
      </c>
      <c r="BH251" s="416"/>
      <c r="BI251" s="416"/>
      <c r="BJ251" s="416"/>
      <c r="BK251" s="416"/>
      <c r="BL251" s="416"/>
      <c r="BM251" s="416"/>
      <c r="BN251" s="282"/>
      <c r="BO251" s="490"/>
      <c r="BP251" s="489"/>
      <c r="BQ251" s="489"/>
      <c r="BR251" s="489"/>
      <c r="BS251" s="489"/>
      <c r="BT251" s="489"/>
      <c r="BU251" s="489"/>
      <c r="BV251" s="489"/>
      <c r="BW251" s="63"/>
      <c r="BX251" s="62"/>
      <c r="BY251" s="452"/>
      <c r="BZ251" s="452"/>
      <c r="CA251" s="452"/>
      <c r="CB251" s="452"/>
      <c r="CC251" s="452"/>
      <c r="CD251" s="452"/>
      <c r="CE251" s="452"/>
      <c r="CF251" s="452"/>
      <c r="CG251" s="452"/>
      <c r="CH251" s="422"/>
      <c r="CI251" s="422"/>
      <c r="CJ251" s="422"/>
      <c r="CK251" s="421"/>
      <c r="CL251" s="421" t="s">
        <v>123</v>
      </c>
      <c r="CM251" s="423"/>
      <c r="CN251" s="421"/>
      <c r="CO251" s="423"/>
      <c r="CP251" s="421"/>
      <c r="CQ251" s="63"/>
      <c r="CR251" s="63"/>
      <c r="CS251" s="63"/>
      <c r="CT251" s="63"/>
      <c r="CU251" s="447"/>
      <c r="CV251" s="447"/>
      <c r="CW251" s="447"/>
      <c r="CX251" s="447"/>
      <c r="CY251" s="447"/>
      <c r="CZ251" s="447"/>
      <c r="DA251" s="447"/>
      <c r="DB251" s="447"/>
      <c r="DC251" s="447"/>
      <c r="DD251" s="447"/>
      <c r="DE251" s="447"/>
      <c r="DF251" s="447"/>
      <c r="DG251" s="447"/>
      <c r="DH251" s="447"/>
      <c r="DI251" s="447"/>
      <c r="DJ251" s="447"/>
      <c r="DK251" s="447"/>
      <c r="DL251" s="67"/>
      <c r="DM251" s="67"/>
      <c r="DN251" s="67"/>
      <c r="DO251" s="67"/>
      <c r="DP251" s="67"/>
      <c r="DQ251" s="67"/>
    </row>
    <row r="252" ht="22.5" customHeight="1">
      <c r="A252" s="383"/>
      <c r="B252" s="384" t="str">
        <f>IFERROR(__xludf.DUMMYFUNCTION("IF(B$43="""","""",IF($AZ252="""","""",IFERROR(Query({CarteirasAtivos},""Select Col3 where Col1 = '""&amp;$AZ252&amp;""'and Col2 = '""&amp;S$21&amp;""'""))))"),"")</f>
        <v/>
      </c>
      <c r="C252" s="384" t="str">
        <f>IFERROR(__xludf.DUMMYFUNCTION("IF(C$43="""","""",IF($AZ252="""","""",IFERROR(Query({CarteirasAtivos},""Select Col3 where Col1 = '""&amp;$AZ252&amp;""'and Col2 = '""&amp;T$21&amp;""'""))))"),"")</f>
        <v/>
      </c>
      <c r="D252" s="384" t="str">
        <f>IFERROR(__xludf.DUMMYFUNCTION("IF(D$43="""","""",IF($AZ252="""","""",IFERROR(Query({CarteirasAtivos},""Select Col3 where Col1 = '""&amp;$AZ252&amp;""'and Col2 = '""&amp;U$21&amp;""'""))))"),"")</f>
        <v/>
      </c>
      <c r="E252" s="384" t="str">
        <f>IFERROR(__xludf.DUMMYFUNCTION("IF(E$43="""","""",IF($AZ252="""","""",IFERROR(Query({CarteirasAtivos},""Select Col3 where Col1 = '""&amp;$AZ252&amp;""'and Col2 = '""&amp;V$21&amp;""'""))))"),"")</f>
        <v/>
      </c>
      <c r="F252" s="384" t="str">
        <f>IFERROR(__xludf.DUMMYFUNCTION("IF(F$43="""","""",IF($AZ252="""","""",IFERROR(Query({CarteirasAtivos},""Select Col3 where Col1 = '""&amp;$AZ252&amp;""'and Col2 = '""&amp;W$21&amp;""'""))))"),"")</f>
        <v/>
      </c>
      <c r="G252" s="384" t="str">
        <f>IFERROR(__xludf.DUMMYFUNCTION("IF(G$43="""","""",IF($AZ252="""","""",IFERROR(Query({CarteirasAtivos},""Select Col3 where Col1 = '""&amp;$AZ252&amp;""'and Col2 = '""&amp;X$21&amp;""'""))))"),"")</f>
        <v/>
      </c>
      <c r="H252" s="384" t="str">
        <f>IFERROR(__xludf.DUMMYFUNCTION("IF(H$43="""","""",IF($AZ252="""","""",IFERROR(Query({CarteirasAtivos},""Select Col3 where Col1 = '""&amp;$AZ252&amp;""'and Col2 = '""&amp;Y$21&amp;""'""))))"),"")</f>
        <v/>
      </c>
      <c r="I252" s="384" t="str">
        <f>IFERROR(__xludf.DUMMYFUNCTION("IF(I$43="""","""",IF($AZ252="""","""",IFERROR(Query({CarteirasAtivos},""Select Col3 where Col1 = '""&amp;$AZ252&amp;""'and Col2 = '""&amp;Z$21&amp;""'""))))"),"")</f>
        <v/>
      </c>
      <c r="J252" s="384" t="str">
        <f>IFERROR(__xludf.DUMMYFUNCTION("IF(J$43="""","""",IF($AZ252="""","""",IFERROR(Query({CarteirasAtivos},""Select Col3 where Col1 = '""&amp;$AZ252&amp;""'and Col2 = '""&amp;AA$21&amp;""'""))))"),"")</f>
        <v/>
      </c>
      <c r="K252" s="384" t="str">
        <f>IFERROR(__xludf.DUMMYFUNCTION("IF(K$43="""","""",IF($AZ252="""","""",IFERROR(Query({CarteirasAtivos},""Select Col3 where Col1 = '""&amp;$AZ252&amp;""'and Col2 = '""&amp;AB$21&amp;""'""))))"),"")</f>
        <v/>
      </c>
      <c r="L252" s="385">
        <v>209.0</v>
      </c>
      <c r="M252" s="503"/>
      <c r="N252" s="387"/>
      <c r="O252" s="388" t="s">
        <v>123</v>
      </c>
      <c r="P252" s="389"/>
      <c r="Q252" s="390"/>
      <c r="R252" s="391"/>
      <c r="S252" s="392"/>
      <c r="T252" s="393"/>
      <c r="U252" s="393"/>
      <c r="V252" s="394"/>
      <c r="W252" s="395" t="str">
        <f>IFERROR(__xludf.DUMMYFUNCTION("IF(M252="""","""",sparkline(IFERROR(BF252*100/MAX($BF$44:$BF$153),0),{""charttype"",""bar"";""max"",100;""color1"",IF(BD252&gt;=0,""#4760a5"",""red"")}))"),"")</f>
        <v/>
      </c>
      <c r="X252" s="396"/>
      <c r="Y252" s="466"/>
      <c r="Z252" s="398"/>
      <c r="AA252" s="399"/>
      <c r="AB252" s="393"/>
      <c r="AC252" s="476"/>
      <c r="AD252" s="401"/>
      <c r="AE252" s="402"/>
      <c r="AF252" s="403"/>
      <c r="AG252" s="404" t="str">
        <f>IFERROR(__xludf.DUMMYFUNCTION("IF($M252="""","""",IFERROR(sparkline(query(GOOGLEFINANCE($AZ252,""price"",TODAY()-$AF$43,TODAY(),1),""select Col2 label Col2 ''""),IF($AG$43=""Gráfico de barras"",{""charttype"",""column"";""highcolor"",""red""},{""chartype"",""line""}))))"),"")</f>
        <v/>
      </c>
      <c r="AH252" s="405"/>
      <c r="AI252" s="467"/>
      <c r="AJ252" s="467"/>
      <c r="AK252" s="467"/>
      <c r="AL252" s="467"/>
      <c r="AM252" s="442"/>
      <c r="AN252" s="442"/>
      <c r="AU252" s="281"/>
      <c r="AV252" s="281"/>
      <c r="AW252" s="281"/>
      <c r="AX252" s="281"/>
      <c r="AY252" s="410">
        <v>209.0</v>
      </c>
      <c r="AZ252" s="411"/>
      <c r="BA252" s="411"/>
      <c r="BB252" s="437"/>
      <c r="BC252" s="437"/>
      <c r="BD252" s="437"/>
      <c r="BE252" s="437"/>
      <c r="BF252" s="415" t="s">
        <v>123</v>
      </c>
      <c r="BG252" s="410">
        <v>209.0</v>
      </c>
      <c r="BH252" s="416"/>
      <c r="BI252" s="416"/>
      <c r="BJ252" s="416"/>
      <c r="BK252" s="416"/>
      <c r="BL252" s="416"/>
      <c r="BM252" s="416"/>
      <c r="BN252" s="282"/>
      <c r="BO252" s="490"/>
      <c r="BP252" s="489"/>
      <c r="BQ252" s="489"/>
      <c r="BR252" s="489"/>
      <c r="BS252" s="489"/>
      <c r="BT252" s="489"/>
      <c r="BU252" s="489"/>
      <c r="BV252" s="489"/>
      <c r="BW252" s="63"/>
      <c r="BX252" s="62"/>
      <c r="BY252" s="452"/>
      <c r="BZ252" s="452"/>
      <c r="CA252" s="452"/>
      <c r="CB252" s="452"/>
      <c r="CC252" s="452"/>
      <c r="CD252" s="452"/>
      <c r="CE252" s="452"/>
      <c r="CF252" s="452"/>
      <c r="CG252" s="452"/>
      <c r="CH252" s="422"/>
      <c r="CI252" s="422"/>
      <c r="CJ252" s="422"/>
      <c r="CK252" s="421"/>
      <c r="CL252" s="421" t="s">
        <v>123</v>
      </c>
      <c r="CM252" s="423"/>
      <c r="CN252" s="421"/>
      <c r="CO252" s="423"/>
      <c r="CP252" s="421"/>
      <c r="CQ252" s="63"/>
      <c r="CR252" s="63"/>
      <c r="CS252" s="63"/>
      <c r="CT252" s="63"/>
      <c r="CU252" s="447"/>
      <c r="CV252" s="447"/>
      <c r="CW252" s="447"/>
      <c r="CX252" s="447"/>
      <c r="CY252" s="447"/>
      <c r="CZ252" s="447"/>
      <c r="DA252" s="447"/>
      <c r="DB252" s="447"/>
      <c r="DC252" s="447"/>
      <c r="DD252" s="447"/>
      <c r="DE252" s="447"/>
      <c r="DF252" s="447"/>
      <c r="DG252" s="447"/>
      <c r="DH252" s="447"/>
      <c r="DI252" s="447"/>
      <c r="DJ252" s="447"/>
      <c r="DK252" s="447"/>
      <c r="DL252" s="67"/>
      <c r="DM252" s="67"/>
      <c r="DN252" s="67"/>
      <c r="DO252" s="67"/>
      <c r="DP252" s="67"/>
      <c r="DQ252" s="67"/>
    </row>
    <row r="253" ht="22.5" customHeight="1">
      <c r="A253" s="383"/>
      <c r="B253" s="384" t="str">
        <f>IFERROR(__xludf.DUMMYFUNCTION("IF(B$43="""","""",IF($AZ253="""","""",IFERROR(Query({CarteirasAtivos},""Select Col3 where Col1 = '""&amp;$AZ253&amp;""'and Col2 = '""&amp;S$21&amp;""'""))))"),"")</f>
        <v/>
      </c>
      <c r="C253" s="384" t="str">
        <f>IFERROR(__xludf.DUMMYFUNCTION("IF(C$43="""","""",IF($AZ253="""","""",IFERROR(Query({CarteirasAtivos},""Select Col3 where Col1 = '""&amp;$AZ253&amp;""'and Col2 = '""&amp;T$21&amp;""'""))))"),"")</f>
        <v/>
      </c>
      <c r="D253" s="384" t="str">
        <f>IFERROR(__xludf.DUMMYFUNCTION("IF(D$43="""","""",IF($AZ253="""","""",IFERROR(Query({CarteirasAtivos},""Select Col3 where Col1 = '""&amp;$AZ253&amp;""'and Col2 = '""&amp;U$21&amp;""'""))))"),"")</f>
        <v/>
      </c>
      <c r="E253" s="384" t="str">
        <f>IFERROR(__xludf.DUMMYFUNCTION("IF(E$43="""","""",IF($AZ253="""","""",IFERROR(Query({CarteirasAtivos},""Select Col3 where Col1 = '""&amp;$AZ253&amp;""'and Col2 = '""&amp;V$21&amp;""'""))))"),"")</f>
        <v/>
      </c>
      <c r="F253" s="384" t="str">
        <f>IFERROR(__xludf.DUMMYFUNCTION("IF(F$43="""","""",IF($AZ253="""","""",IFERROR(Query({CarteirasAtivos},""Select Col3 where Col1 = '""&amp;$AZ253&amp;""'and Col2 = '""&amp;W$21&amp;""'""))))"),"")</f>
        <v/>
      </c>
      <c r="G253" s="384" t="str">
        <f>IFERROR(__xludf.DUMMYFUNCTION("IF(G$43="""","""",IF($AZ253="""","""",IFERROR(Query({CarteirasAtivos},""Select Col3 where Col1 = '""&amp;$AZ253&amp;""'and Col2 = '""&amp;X$21&amp;""'""))))"),"")</f>
        <v/>
      </c>
      <c r="H253" s="384" t="str">
        <f>IFERROR(__xludf.DUMMYFUNCTION("IF(H$43="""","""",IF($AZ253="""","""",IFERROR(Query({CarteirasAtivos},""Select Col3 where Col1 = '""&amp;$AZ253&amp;""'and Col2 = '""&amp;Y$21&amp;""'""))))"),"")</f>
        <v/>
      </c>
      <c r="I253" s="384" t="str">
        <f>IFERROR(__xludf.DUMMYFUNCTION("IF(I$43="""","""",IF($AZ253="""","""",IFERROR(Query({CarteirasAtivos},""Select Col3 where Col1 = '""&amp;$AZ253&amp;""'and Col2 = '""&amp;Z$21&amp;""'""))))"),"")</f>
        <v/>
      </c>
      <c r="J253" s="384" t="str">
        <f>IFERROR(__xludf.DUMMYFUNCTION("IF(J$43="""","""",IF($AZ253="""","""",IFERROR(Query({CarteirasAtivos},""Select Col3 where Col1 = '""&amp;$AZ253&amp;""'and Col2 = '""&amp;AA$21&amp;""'""))))"),"")</f>
        <v/>
      </c>
      <c r="K253" s="384" t="str">
        <f>IFERROR(__xludf.DUMMYFUNCTION("IF(K$43="""","""",IF($AZ253="""","""",IFERROR(Query({CarteirasAtivos},""Select Col3 where Col1 = '""&amp;$AZ253&amp;""'and Col2 = '""&amp;AB$21&amp;""'""))))"),"")</f>
        <v/>
      </c>
      <c r="L253" s="385">
        <v>210.0</v>
      </c>
      <c r="M253" s="503"/>
      <c r="N253" s="387"/>
      <c r="O253" s="388" t="s">
        <v>123</v>
      </c>
      <c r="P253" s="389"/>
      <c r="Q253" s="390"/>
      <c r="R253" s="391"/>
      <c r="S253" s="392"/>
      <c r="T253" s="393"/>
      <c r="U253" s="393"/>
      <c r="V253" s="394"/>
      <c r="W253" s="395" t="str">
        <f>IFERROR(__xludf.DUMMYFUNCTION("IF(M253="""","""",sparkline(IFERROR(BF253*100/MAX($BF$44:$BF$153),0),{""charttype"",""bar"";""max"",100;""color1"",IF(BD253&gt;=0,""#4760a5"",""red"")}))"),"")</f>
        <v/>
      </c>
      <c r="X253" s="396"/>
      <c r="Y253" s="466"/>
      <c r="Z253" s="398"/>
      <c r="AA253" s="399"/>
      <c r="AB253" s="393"/>
      <c r="AC253" s="476"/>
      <c r="AD253" s="401"/>
      <c r="AE253" s="402"/>
      <c r="AF253" s="403"/>
      <c r="AG253" s="404" t="str">
        <f>IFERROR(__xludf.DUMMYFUNCTION("IF($M253="""","""",IFERROR(sparkline(query(GOOGLEFINANCE($AZ253,""price"",TODAY()-$AF$43,TODAY(),1),""select Col2 label Col2 ''""),IF($AG$43=""Gráfico de barras"",{""charttype"",""column"";""highcolor"",""red""},{""chartype"",""line""}))))"),"")</f>
        <v/>
      </c>
      <c r="AH253" s="405"/>
      <c r="AI253" s="467"/>
      <c r="AJ253" s="467"/>
      <c r="AK253" s="467"/>
      <c r="AL253" s="467"/>
      <c r="AM253" s="442"/>
      <c r="AN253" s="442"/>
      <c r="AU253" s="281"/>
      <c r="AV253" s="281"/>
      <c r="AW253" s="281"/>
      <c r="AX253" s="281"/>
      <c r="AY253" s="410">
        <v>210.0</v>
      </c>
      <c r="AZ253" s="411"/>
      <c r="BA253" s="411"/>
      <c r="BB253" s="437"/>
      <c r="BC253" s="437"/>
      <c r="BD253" s="437"/>
      <c r="BE253" s="437"/>
      <c r="BF253" s="415" t="s">
        <v>123</v>
      </c>
      <c r="BG253" s="410">
        <v>210.0</v>
      </c>
      <c r="BH253" s="416"/>
      <c r="BI253" s="416"/>
      <c r="BJ253" s="416"/>
      <c r="BK253" s="416"/>
      <c r="BL253" s="416"/>
      <c r="BM253" s="416"/>
      <c r="BN253" s="282"/>
      <c r="BO253" s="490"/>
      <c r="BP253" s="489"/>
      <c r="BQ253" s="489"/>
      <c r="BR253" s="489"/>
      <c r="BS253" s="489"/>
      <c r="BT253" s="489"/>
      <c r="BU253" s="489"/>
      <c r="BV253" s="489"/>
      <c r="BW253" s="63"/>
      <c r="BX253" s="62"/>
      <c r="BY253" s="452"/>
      <c r="BZ253" s="452"/>
      <c r="CA253" s="452"/>
      <c r="CB253" s="452"/>
      <c r="CC253" s="452"/>
      <c r="CD253" s="452"/>
      <c r="CE253" s="452"/>
      <c r="CF253" s="452"/>
      <c r="CG253" s="452"/>
      <c r="CH253" s="422"/>
      <c r="CI253" s="422"/>
      <c r="CJ253" s="422"/>
      <c r="CK253" s="421"/>
      <c r="CL253" s="421" t="s">
        <v>123</v>
      </c>
      <c r="CM253" s="423"/>
      <c r="CN253" s="421"/>
      <c r="CO253" s="423"/>
      <c r="CP253" s="421"/>
      <c r="CQ253" s="63"/>
      <c r="CR253" s="63"/>
      <c r="CS253" s="63"/>
      <c r="CT253" s="63"/>
      <c r="CU253" s="447"/>
      <c r="CV253" s="447"/>
      <c r="CW253" s="447"/>
      <c r="CX253" s="447"/>
      <c r="CY253" s="447"/>
      <c r="CZ253" s="447"/>
      <c r="DA253" s="447"/>
      <c r="DB253" s="447"/>
      <c r="DC253" s="447"/>
      <c r="DD253" s="447"/>
      <c r="DE253" s="447"/>
      <c r="DF253" s="447"/>
      <c r="DG253" s="447"/>
      <c r="DH253" s="447"/>
      <c r="DI253" s="447"/>
      <c r="DJ253" s="447"/>
      <c r="DK253" s="447"/>
      <c r="DL253" s="67"/>
      <c r="DM253" s="67"/>
      <c r="DN253" s="67"/>
      <c r="DO253" s="67"/>
      <c r="DP253" s="67"/>
      <c r="DQ253" s="67"/>
    </row>
    <row r="254" ht="22.5" customHeight="1">
      <c r="A254" s="383"/>
      <c r="B254" s="384" t="str">
        <f>IFERROR(__xludf.DUMMYFUNCTION("IF(B$43="""","""",IF($AZ254="""","""",IFERROR(Query({CarteirasAtivos},""Select Col3 where Col1 = '""&amp;$AZ254&amp;""'and Col2 = '""&amp;S$21&amp;""'""))))"),"")</f>
        <v/>
      </c>
      <c r="C254" s="384" t="str">
        <f>IFERROR(__xludf.DUMMYFUNCTION("IF(C$43="""","""",IF($AZ254="""","""",IFERROR(Query({CarteirasAtivos},""Select Col3 where Col1 = '""&amp;$AZ254&amp;""'and Col2 = '""&amp;T$21&amp;""'""))))"),"")</f>
        <v/>
      </c>
      <c r="D254" s="384" t="str">
        <f>IFERROR(__xludf.DUMMYFUNCTION("IF(D$43="""","""",IF($AZ254="""","""",IFERROR(Query({CarteirasAtivos},""Select Col3 where Col1 = '""&amp;$AZ254&amp;""'and Col2 = '""&amp;U$21&amp;""'""))))"),"")</f>
        <v/>
      </c>
      <c r="E254" s="384" t="str">
        <f>IFERROR(__xludf.DUMMYFUNCTION("IF(E$43="""","""",IF($AZ254="""","""",IFERROR(Query({CarteirasAtivos},""Select Col3 where Col1 = '""&amp;$AZ254&amp;""'and Col2 = '""&amp;V$21&amp;""'""))))"),"")</f>
        <v/>
      </c>
      <c r="F254" s="384" t="str">
        <f>IFERROR(__xludf.DUMMYFUNCTION("IF(F$43="""","""",IF($AZ254="""","""",IFERROR(Query({CarteirasAtivos},""Select Col3 where Col1 = '""&amp;$AZ254&amp;""'and Col2 = '""&amp;W$21&amp;""'""))))"),"")</f>
        <v/>
      </c>
      <c r="G254" s="384" t="str">
        <f>IFERROR(__xludf.DUMMYFUNCTION("IF(G$43="""","""",IF($AZ254="""","""",IFERROR(Query({CarteirasAtivos},""Select Col3 where Col1 = '""&amp;$AZ254&amp;""'and Col2 = '""&amp;X$21&amp;""'""))))"),"")</f>
        <v/>
      </c>
      <c r="H254" s="384" t="str">
        <f>IFERROR(__xludf.DUMMYFUNCTION("IF(H$43="""","""",IF($AZ254="""","""",IFERROR(Query({CarteirasAtivos},""Select Col3 where Col1 = '""&amp;$AZ254&amp;""'and Col2 = '""&amp;Y$21&amp;""'""))))"),"")</f>
        <v/>
      </c>
      <c r="I254" s="384" t="str">
        <f>IFERROR(__xludf.DUMMYFUNCTION("IF(I$43="""","""",IF($AZ254="""","""",IFERROR(Query({CarteirasAtivos},""Select Col3 where Col1 = '""&amp;$AZ254&amp;""'and Col2 = '""&amp;Z$21&amp;""'""))))"),"")</f>
        <v/>
      </c>
      <c r="J254" s="384" t="str">
        <f>IFERROR(__xludf.DUMMYFUNCTION("IF(J$43="""","""",IF($AZ254="""","""",IFERROR(Query({CarteirasAtivos},""Select Col3 where Col1 = '""&amp;$AZ254&amp;""'and Col2 = '""&amp;AA$21&amp;""'""))))"),"")</f>
        <v/>
      </c>
      <c r="K254" s="384" t="str">
        <f>IFERROR(__xludf.DUMMYFUNCTION("IF(K$43="""","""",IF($AZ254="""","""",IFERROR(Query({CarteirasAtivos},""Select Col3 where Col1 = '""&amp;$AZ254&amp;""'and Col2 = '""&amp;AB$21&amp;""'""))))"),"")</f>
        <v/>
      </c>
      <c r="L254" s="385">
        <v>211.0</v>
      </c>
      <c r="M254" s="503"/>
      <c r="N254" s="387"/>
      <c r="O254" s="388" t="s">
        <v>123</v>
      </c>
      <c r="P254" s="389"/>
      <c r="Q254" s="390"/>
      <c r="R254" s="391"/>
      <c r="S254" s="392"/>
      <c r="T254" s="393"/>
      <c r="U254" s="393"/>
      <c r="V254" s="394"/>
      <c r="W254" s="395" t="str">
        <f>IFERROR(__xludf.DUMMYFUNCTION("IF(M254="""","""",sparkline(IFERROR(BF254*100/MAX($BF$44:$BF$153),0),{""charttype"",""bar"";""max"",100;""color1"",IF(BD254&gt;=0,""#4760a5"",""red"")}))"),"")</f>
        <v/>
      </c>
      <c r="X254" s="396"/>
      <c r="Y254" s="466"/>
      <c r="Z254" s="398"/>
      <c r="AA254" s="399"/>
      <c r="AB254" s="393"/>
      <c r="AC254" s="476"/>
      <c r="AD254" s="401"/>
      <c r="AE254" s="402"/>
      <c r="AF254" s="403"/>
      <c r="AG254" s="404" t="str">
        <f>IFERROR(__xludf.DUMMYFUNCTION("IF($M254="""","""",IFERROR(sparkline(query(GOOGLEFINANCE($AZ254,""price"",TODAY()-$AF$43,TODAY(),1),""select Col2 label Col2 ''""),IF($AG$43=""Gráfico de barras"",{""charttype"",""column"";""highcolor"",""red""},{""chartype"",""line""}))))"),"")</f>
        <v/>
      </c>
      <c r="AH254" s="405"/>
      <c r="AI254" s="467"/>
      <c r="AJ254" s="467"/>
      <c r="AK254" s="467"/>
      <c r="AL254" s="467"/>
      <c r="AM254" s="442"/>
      <c r="AN254" s="442"/>
      <c r="AU254" s="281"/>
      <c r="AV254" s="281"/>
      <c r="AW254" s="281"/>
      <c r="AX254" s="281"/>
      <c r="AY254" s="410">
        <v>211.0</v>
      </c>
      <c r="AZ254" s="411"/>
      <c r="BA254" s="411"/>
      <c r="BB254" s="437"/>
      <c r="BC254" s="437"/>
      <c r="BD254" s="437"/>
      <c r="BE254" s="437"/>
      <c r="BF254" s="415" t="s">
        <v>123</v>
      </c>
      <c r="BG254" s="410">
        <v>211.0</v>
      </c>
      <c r="BH254" s="416"/>
      <c r="BI254" s="416"/>
      <c r="BJ254" s="416"/>
      <c r="BK254" s="416"/>
      <c r="BL254" s="416"/>
      <c r="BM254" s="416"/>
      <c r="BN254" s="282"/>
      <c r="BO254" s="490"/>
      <c r="BP254" s="489"/>
      <c r="BQ254" s="489"/>
      <c r="BR254" s="489"/>
      <c r="BS254" s="489"/>
      <c r="BT254" s="489"/>
      <c r="BU254" s="489"/>
      <c r="BV254" s="489"/>
      <c r="BW254" s="63"/>
      <c r="BX254" s="62"/>
      <c r="BY254" s="452"/>
      <c r="BZ254" s="452"/>
      <c r="CA254" s="452"/>
      <c r="CB254" s="452"/>
      <c r="CC254" s="452"/>
      <c r="CD254" s="452"/>
      <c r="CE254" s="452"/>
      <c r="CF254" s="452"/>
      <c r="CG254" s="452"/>
      <c r="CH254" s="422"/>
      <c r="CI254" s="422"/>
      <c r="CJ254" s="422"/>
      <c r="CK254" s="421"/>
      <c r="CL254" s="421" t="s">
        <v>123</v>
      </c>
      <c r="CM254" s="423"/>
      <c r="CN254" s="421"/>
      <c r="CO254" s="423"/>
      <c r="CP254" s="421"/>
      <c r="CQ254" s="63"/>
      <c r="CR254" s="63"/>
      <c r="CS254" s="63"/>
      <c r="CT254" s="63"/>
      <c r="CU254" s="447"/>
      <c r="CV254" s="447"/>
      <c r="CW254" s="447"/>
      <c r="CX254" s="447"/>
      <c r="CY254" s="447"/>
      <c r="CZ254" s="447"/>
      <c r="DA254" s="447"/>
      <c r="DB254" s="447"/>
      <c r="DC254" s="447"/>
      <c r="DD254" s="447"/>
      <c r="DE254" s="447"/>
      <c r="DF254" s="447"/>
      <c r="DG254" s="447"/>
      <c r="DH254" s="447"/>
      <c r="DI254" s="447"/>
      <c r="DJ254" s="447"/>
      <c r="DK254" s="447"/>
      <c r="DL254" s="67"/>
      <c r="DM254" s="67"/>
      <c r="DN254" s="67"/>
      <c r="DO254" s="67"/>
      <c r="DP254" s="67"/>
      <c r="DQ254" s="67"/>
    </row>
    <row r="255" ht="22.5" customHeight="1">
      <c r="A255" s="383"/>
      <c r="B255" s="384" t="str">
        <f>IFERROR(__xludf.DUMMYFUNCTION("IF(B$43="""","""",IF($AZ255="""","""",IFERROR(Query({CarteirasAtivos},""Select Col3 where Col1 = '""&amp;$AZ255&amp;""'and Col2 = '""&amp;S$21&amp;""'""))))"),"")</f>
        <v/>
      </c>
      <c r="C255" s="384" t="str">
        <f>IFERROR(__xludf.DUMMYFUNCTION("IF(C$43="""","""",IF($AZ255="""","""",IFERROR(Query({CarteirasAtivos},""Select Col3 where Col1 = '""&amp;$AZ255&amp;""'and Col2 = '""&amp;T$21&amp;""'""))))"),"")</f>
        <v/>
      </c>
      <c r="D255" s="384" t="str">
        <f>IFERROR(__xludf.DUMMYFUNCTION("IF(D$43="""","""",IF($AZ255="""","""",IFERROR(Query({CarteirasAtivos},""Select Col3 where Col1 = '""&amp;$AZ255&amp;""'and Col2 = '""&amp;U$21&amp;""'""))))"),"")</f>
        <v/>
      </c>
      <c r="E255" s="384" t="str">
        <f>IFERROR(__xludf.DUMMYFUNCTION("IF(E$43="""","""",IF($AZ255="""","""",IFERROR(Query({CarteirasAtivos},""Select Col3 where Col1 = '""&amp;$AZ255&amp;""'and Col2 = '""&amp;V$21&amp;""'""))))"),"")</f>
        <v/>
      </c>
      <c r="F255" s="384" t="str">
        <f>IFERROR(__xludf.DUMMYFUNCTION("IF(F$43="""","""",IF($AZ255="""","""",IFERROR(Query({CarteirasAtivos},""Select Col3 where Col1 = '""&amp;$AZ255&amp;""'and Col2 = '""&amp;W$21&amp;""'""))))"),"")</f>
        <v/>
      </c>
      <c r="G255" s="384" t="str">
        <f>IFERROR(__xludf.DUMMYFUNCTION("IF(G$43="""","""",IF($AZ255="""","""",IFERROR(Query({CarteirasAtivos},""Select Col3 where Col1 = '""&amp;$AZ255&amp;""'and Col2 = '""&amp;X$21&amp;""'""))))"),"")</f>
        <v/>
      </c>
      <c r="H255" s="384" t="str">
        <f>IFERROR(__xludf.DUMMYFUNCTION("IF(H$43="""","""",IF($AZ255="""","""",IFERROR(Query({CarteirasAtivos},""Select Col3 where Col1 = '""&amp;$AZ255&amp;""'and Col2 = '""&amp;Y$21&amp;""'""))))"),"")</f>
        <v/>
      </c>
      <c r="I255" s="384" t="str">
        <f>IFERROR(__xludf.DUMMYFUNCTION("IF(I$43="""","""",IF($AZ255="""","""",IFERROR(Query({CarteirasAtivos},""Select Col3 where Col1 = '""&amp;$AZ255&amp;""'and Col2 = '""&amp;Z$21&amp;""'""))))"),"")</f>
        <v/>
      </c>
      <c r="J255" s="384" t="str">
        <f>IFERROR(__xludf.DUMMYFUNCTION("IF(J$43="""","""",IF($AZ255="""","""",IFERROR(Query({CarteirasAtivos},""Select Col3 where Col1 = '""&amp;$AZ255&amp;""'and Col2 = '""&amp;AA$21&amp;""'""))))"),"")</f>
        <v/>
      </c>
      <c r="K255" s="384" t="str">
        <f>IFERROR(__xludf.DUMMYFUNCTION("IF(K$43="""","""",IF($AZ255="""","""",IFERROR(Query({CarteirasAtivos},""Select Col3 where Col1 = '""&amp;$AZ255&amp;""'and Col2 = '""&amp;AB$21&amp;""'""))))"),"")</f>
        <v/>
      </c>
      <c r="L255" s="385">
        <v>212.0</v>
      </c>
      <c r="M255" s="503"/>
      <c r="N255" s="387"/>
      <c r="O255" s="388" t="s">
        <v>123</v>
      </c>
      <c r="P255" s="389"/>
      <c r="Q255" s="390"/>
      <c r="R255" s="391"/>
      <c r="S255" s="392"/>
      <c r="T255" s="393"/>
      <c r="U255" s="393"/>
      <c r="V255" s="394"/>
      <c r="W255" s="395" t="str">
        <f>IFERROR(__xludf.DUMMYFUNCTION("IF(M255="""","""",sparkline(IFERROR(BF255*100/MAX($BF$44:$BF$153),0),{""charttype"",""bar"";""max"",100;""color1"",IF(BD255&gt;=0,""#4760a5"",""red"")}))"),"")</f>
        <v/>
      </c>
      <c r="X255" s="396"/>
      <c r="Y255" s="466"/>
      <c r="Z255" s="398"/>
      <c r="AA255" s="399"/>
      <c r="AB255" s="393"/>
      <c r="AC255" s="476"/>
      <c r="AD255" s="401"/>
      <c r="AE255" s="402"/>
      <c r="AF255" s="403"/>
      <c r="AG255" s="404" t="str">
        <f>IFERROR(__xludf.DUMMYFUNCTION("IF($M255="""","""",IFERROR(sparkline(query(GOOGLEFINANCE($AZ255,""price"",TODAY()-$AF$43,TODAY(),1),""select Col2 label Col2 ''""),IF($AG$43=""Gráfico de barras"",{""charttype"",""column"";""highcolor"",""red""},{""chartype"",""line""}))))"),"")</f>
        <v/>
      </c>
      <c r="AH255" s="405"/>
      <c r="AI255" s="467"/>
      <c r="AJ255" s="467"/>
      <c r="AK255" s="467"/>
      <c r="AL255" s="467"/>
      <c r="AM255" s="442"/>
      <c r="AN255" s="442"/>
      <c r="AU255" s="281"/>
      <c r="AV255" s="281"/>
      <c r="AW255" s="281"/>
      <c r="AX255" s="281"/>
      <c r="AY255" s="410">
        <v>212.0</v>
      </c>
      <c r="AZ255" s="411"/>
      <c r="BA255" s="411"/>
      <c r="BB255" s="437"/>
      <c r="BC255" s="437"/>
      <c r="BD255" s="437"/>
      <c r="BE255" s="437"/>
      <c r="BF255" s="415" t="s">
        <v>123</v>
      </c>
      <c r="BG255" s="410">
        <v>212.0</v>
      </c>
      <c r="BH255" s="416"/>
      <c r="BI255" s="416"/>
      <c r="BJ255" s="416"/>
      <c r="BK255" s="416"/>
      <c r="BL255" s="416"/>
      <c r="BM255" s="416"/>
      <c r="BN255" s="282"/>
      <c r="BO255" s="490"/>
      <c r="BP255" s="489"/>
      <c r="BQ255" s="489"/>
      <c r="BR255" s="489"/>
      <c r="BS255" s="489"/>
      <c r="BT255" s="489"/>
      <c r="BU255" s="489"/>
      <c r="BV255" s="489"/>
      <c r="BW255" s="63"/>
      <c r="BX255" s="62"/>
      <c r="BY255" s="452"/>
      <c r="BZ255" s="452"/>
      <c r="CA255" s="452"/>
      <c r="CB255" s="452"/>
      <c r="CC255" s="452"/>
      <c r="CD255" s="452"/>
      <c r="CE255" s="452"/>
      <c r="CF255" s="452"/>
      <c r="CG255" s="452"/>
      <c r="CH255" s="422"/>
      <c r="CI255" s="422"/>
      <c r="CJ255" s="422"/>
      <c r="CK255" s="421"/>
      <c r="CL255" s="421" t="s">
        <v>123</v>
      </c>
      <c r="CM255" s="423"/>
      <c r="CN255" s="421"/>
      <c r="CO255" s="423"/>
      <c r="CP255" s="421"/>
      <c r="CQ255" s="63"/>
      <c r="CR255" s="63"/>
      <c r="CS255" s="63"/>
      <c r="CT255" s="63"/>
      <c r="CU255" s="447"/>
      <c r="CV255" s="447"/>
      <c r="CW255" s="447"/>
      <c r="CX255" s="447"/>
      <c r="CY255" s="447"/>
      <c r="CZ255" s="447"/>
      <c r="DA255" s="447"/>
      <c r="DB255" s="447"/>
      <c r="DC255" s="447"/>
      <c r="DD255" s="447"/>
      <c r="DE255" s="447"/>
      <c r="DF255" s="447"/>
      <c r="DG255" s="447"/>
      <c r="DH255" s="447"/>
      <c r="DI255" s="447"/>
      <c r="DJ255" s="447"/>
      <c r="DK255" s="447"/>
      <c r="DL255" s="67"/>
      <c r="DM255" s="67"/>
      <c r="DN255" s="67"/>
      <c r="DO255" s="67"/>
      <c r="DP255" s="67"/>
      <c r="DQ255" s="67"/>
    </row>
    <row r="256" ht="22.5" customHeight="1">
      <c r="A256" s="383"/>
      <c r="B256" s="384" t="str">
        <f>IFERROR(__xludf.DUMMYFUNCTION("IF(B$43="""","""",IF($AZ256="""","""",IFERROR(Query({CarteirasAtivos},""Select Col3 where Col1 = '""&amp;$AZ256&amp;""'and Col2 = '""&amp;S$21&amp;""'""))))"),"")</f>
        <v/>
      </c>
      <c r="C256" s="384" t="str">
        <f>IFERROR(__xludf.DUMMYFUNCTION("IF(C$43="""","""",IF($AZ256="""","""",IFERROR(Query({CarteirasAtivos},""Select Col3 where Col1 = '""&amp;$AZ256&amp;""'and Col2 = '""&amp;T$21&amp;""'""))))"),"")</f>
        <v/>
      </c>
      <c r="D256" s="384" t="str">
        <f>IFERROR(__xludf.DUMMYFUNCTION("IF(D$43="""","""",IF($AZ256="""","""",IFERROR(Query({CarteirasAtivos},""Select Col3 where Col1 = '""&amp;$AZ256&amp;""'and Col2 = '""&amp;U$21&amp;""'""))))"),"")</f>
        <v/>
      </c>
      <c r="E256" s="384" t="str">
        <f>IFERROR(__xludf.DUMMYFUNCTION("IF(E$43="""","""",IF($AZ256="""","""",IFERROR(Query({CarteirasAtivos},""Select Col3 where Col1 = '""&amp;$AZ256&amp;""'and Col2 = '""&amp;V$21&amp;""'""))))"),"")</f>
        <v/>
      </c>
      <c r="F256" s="384" t="str">
        <f>IFERROR(__xludf.DUMMYFUNCTION("IF(F$43="""","""",IF($AZ256="""","""",IFERROR(Query({CarteirasAtivos},""Select Col3 where Col1 = '""&amp;$AZ256&amp;""'and Col2 = '""&amp;W$21&amp;""'""))))"),"")</f>
        <v/>
      </c>
      <c r="G256" s="384" t="str">
        <f>IFERROR(__xludf.DUMMYFUNCTION("IF(G$43="""","""",IF($AZ256="""","""",IFERROR(Query({CarteirasAtivos},""Select Col3 where Col1 = '""&amp;$AZ256&amp;""'and Col2 = '""&amp;X$21&amp;""'""))))"),"")</f>
        <v/>
      </c>
      <c r="H256" s="384" t="str">
        <f>IFERROR(__xludf.DUMMYFUNCTION("IF(H$43="""","""",IF($AZ256="""","""",IFERROR(Query({CarteirasAtivos},""Select Col3 where Col1 = '""&amp;$AZ256&amp;""'and Col2 = '""&amp;Y$21&amp;""'""))))"),"")</f>
        <v/>
      </c>
      <c r="I256" s="384" t="str">
        <f>IFERROR(__xludf.DUMMYFUNCTION("IF(I$43="""","""",IF($AZ256="""","""",IFERROR(Query({CarteirasAtivos},""Select Col3 where Col1 = '""&amp;$AZ256&amp;""'and Col2 = '""&amp;Z$21&amp;""'""))))"),"")</f>
        <v/>
      </c>
      <c r="J256" s="384" t="str">
        <f>IFERROR(__xludf.DUMMYFUNCTION("IF(J$43="""","""",IF($AZ256="""","""",IFERROR(Query({CarteirasAtivos},""Select Col3 where Col1 = '""&amp;$AZ256&amp;""'and Col2 = '""&amp;AA$21&amp;""'""))))"),"")</f>
        <v/>
      </c>
      <c r="K256" s="384" t="str">
        <f>IFERROR(__xludf.DUMMYFUNCTION("IF(K$43="""","""",IF($AZ256="""","""",IFERROR(Query({CarteirasAtivos},""Select Col3 where Col1 = '""&amp;$AZ256&amp;""'and Col2 = '""&amp;AB$21&amp;""'""))))"),"")</f>
        <v/>
      </c>
      <c r="L256" s="385">
        <v>213.0</v>
      </c>
      <c r="M256" s="503"/>
      <c r="N256" s="387"/>
      <c r="O256" s="388" t="s">
        <v>123</v>
      </c>
      <c r="P256" s="389"/>
      <c r="Q256" s="390"/>
      <c r="R256" s="391"/>
      <c r="S256" s="392"/>
      <c r="T256" s="393"/>
      <c r="U256" s="393"/>
      <c r="V256" s="394"/>
      <c r="W256" s="395" t="str">
        <f>IFERROR(__xludf.DUMMYFUNCTION("IF(M256="""","""",sparkline(IFERROR(BF256*100/MAX($BF$44:$BF$153),0),{""charttype"",""bar"";""max"",100;""color1"",IF(BD256&gt;=0,""#4760a5"",""red"")}))"),"")</f>
        <v/>
      </c>
      <c r="X256" s="396"/>
      <c r="Y256" s="466"/>
      <c r="Z256" s="398"/>
      <c r="AA256" s="399"/>
      <c r="AB256" s="393"/>
      <c r="AC256" s="476"/>
      <c r="AD256" s="401"/>
      <c r="AE256" s="402"/>
      <c r="AF256" s="403"/>
      <c r="AG256" s="404" t="str">
        <f>IFERROR(__xludf.DUMMYFUNCTION("IF($M256="""","""",IFERROR(sparkline(query(GOOGLEFINANCE($AZ256,""price"",TODAY()-$AF$43,TODAY(),1),""select Col2 label Col2 ''""),IF($AG$43=""Gráfico de barras"",{""charttype"",""column"";""highcolor"",""red""},{""chartype"",""line""}))))"),"")</f>
        <v/>
      </c>
      <c r="AH256" s="405"/>
      <c r="AI256" s="467"/>
      <c r="AJ256" s="467"/>
      <c r="AK256" s="467"/>
      <c r="AL256" s="467"/>
      <c r="AM256" s="442"/>
      <c r="AN256" s="442"/>
      <c r="AU256" s="281"/>
      <c r="AV256" s="281"/>
      <c r="AW256" s="281"/>
      <c r="AX256" s="281"/>
      <c r="AY256" s="410">
        <v>213.0</v>
      </c>
      <c r="AZ256" s="411"/>
      <c r="BA256" s="411"/>
      <c r="BB256" s="437"/>
      <c r="BC256" s="437"/>
      <c r="BD256" s="437"/>
      <c r="BE256" s="437"/>
      <c r="BF256" s="415" t="s">
        <v>123</v>
      </c>
      <c r="BG256" s="410">
        <v>213.0</v>
      </c>
      <c r="BH256" s="416"/>
      <c r="BI256" s="416"/>
      <c r="BJ256" s="416"/>
      <c r="BK256" s="416"/>
      <c r="BL256" s="416"/>
      <c r="BM256" s="416"/>
      <c r="BN256" s="282"/>
      <c r="BO256" s="490"/>
      <c r="BP256" s="489"/>
      <c r="BQ256" s="489"/>
      <c r="BR256" s="489"/>
      <c r="BS256" s="489"/>
      <c r="BT256" s="489"/>
      <c r="BU256" s="489"/>
      <c r="BV256" s="489"/>
      <c r="BW256" s="63"/>
      <c r="BX256" s="62"/>
      <c r="BY256" s="452"/>
      <c r="BZ256" s="452"/>
      <c r="CA256" s="452"/>
      <c r="CB256" s="452"/>
      <c r="CC256" s="452"/>
      <c r="CD256" s="452"/>
      <c r="CE256" s="452"/>
      <c r="CF256" s="452"/>
      <c r="CG256" s="452"/>
      <c r="CH256" s="422"/>
      <c r="CI256" s="422"/>
      <c r="CJ256" s="422"/>
      <c r="CK256" s="421"/>
      <c r="CL256" s="421" t="s">
        <v>123</v>
      </c>
      <c r="CM256" s="423"/>
      <c r="CN256" s="421"/>
      <c r="CO256" s="423"/>
      <c r="CP256" s="421"/>
      <c r="CQ256" s="63"/>
      <c r="CR256" s="63"/>
      <c r="CS256" s="63"/>
      <c r="CT256" s="63"/>
      <c r="CU256" s="447"/>
      <c r="CV256" s="447"/>
      <c r="CW256" s="447"/>
      <c r="CX256" s="447"/>
      <c r="CY256" s="447"/>
      <c r="CZ256" s="447"/>
      <c r="DA256" s="447"/>
      <c r="DB256" s="447"/>
      <c r="DC256" s="447"/>
      <c r="DD256" s="447"/>
      <c r="DE256" s="447"/>
      <c r="DF256" s="447"/>
      <c r="DG256" s="447"/>
      <c r="DH256" s="447"/>
      <c r="DI256" s="447"/>
      <c r="DJ256" s="447"/>
      <c r="DK256" s="447"/>
      <c r="DL256" s="67"/>
      <c r="DM256" s="67"/>
      <c r="DN256" s="67"/>
      <c r="DO256" s="67"/>
      <c r="DP256" s="67"/>
      <c r="DQ256" s="67"/>
    </row>
    <row r="257" ht="22.5" customHeight="1">
      <c r="A257" s="383"/>
      <c r="B257" s="384" t="str">
        <f>IFERROR(__xludf.DUMMYFUNCTION("IF(B$43="""","""",IF($AZ257="""","""",IFERROR(Query({CarteirasAtivos},""Select Col3 where Col1 = '""&amp;$AZ257&amp;""'and Col2 = '""&amp;S$21&amp;""'""))))"),"")</f>
        <v/>
      </c>
      <c r="C257" s="384" t="str">
        <f>IFERROR(__xludf.DUMMYFUNCTION("IF(C$43="""","""",IF($AZ257="""","""",IFERROR(Query({CarteirasAtivos},""Select Col3 where Col1 = '""&amp;$AZ257&amp;""'and Col2 = '""&amp;T$21&amp;""'""))))"),"")</f>
        <v/>
      </c>
      <c r="D257" s="384" t="str">
        <f>IFERROR(__xludf.DUMMYFUNCTION("IF(D$43="""","""",IF($AZ257="""","""",IFERROR(Query({CarteirasAtivos},""Select Col3 where Col1 = '""&amp;$AZ257&amp;""'and Col2 = '""&amp;U$21&amp;""'""))))"),"")</f>
        <v/>
      </c>
      <c r="E257" s="384" t="str">
        <f>IFERROR(__xludf.DUMMYFUNCTION("IF(E$43="""","""",IF($AZ257="""","""",IFERROR(Query({CarteirasAtivos},""Select Col3 where Col1 = '""&amp;$AZ257&amp;""'and Col2 = '""&amp;V$21&amp;""'""))))"),"")</f>
        <v/>
      </c>
      <c r="F257" s="384" t="str">
        <f>IFERROR(__xludf.DUMMYFUNCTION("IF(F$43="""","""",IF($AZ257="""","""",IFERROR(Query({CarteirasAtivos},""Select Col3 where Col1 = '""&amp;$AZ257&amp;""'and Col2 = '""&amp;W$21&amp;""'""))))"),"")</f>
        <v/>
      </c>
      <c r="G257" s="384" t="str">
        <f>IFERROR(__xludf.DUMMYFUNCTION("IF(G$43="""","""",IF($AZ257="""","""",IFERROR(Query({CarteirasAtivos},""Select Col3 where Col1 = '""&amp;$AZ257&amp;""'and Col2 = '""&amp;X$21&amp;""'""))))"),"")</f>
        <v/>
      </c>
      <c r="H257" s="384" t="str">
        <f>IFERROR(__xludf.DUMMYFUNCTION("IF(H$43="""","""",IF($AZ257="""","""",IFERROR(Query({CarteirasAtivos},""Select Col3 where Col1 = '""&amp;$AZ257&amp;""'and Col2 = '""&amp;Y$21&amp;""'""))))"),"")</f>
        <v/>
      </c>
      <c r="I257" s="384" t="str">
        <f>IFERROR(__xludf.DUMMYFUNCTION("IF(I$43="""","""",IF($AZ257="""","""",IFERROR(Query({CarteirasAtivos},""Select Col3 where Col1 = '""&amp;$AZ257&amp;""'and Col2 = '""&amp;Z$21&amp;""'""))))"),"")</f>
        <v/>
      </c>
      <c r="J257" s="384" t="str">
        <f>IFERROR(__xludf.DUMMYFUNCTION("IF(J$43="""","""",IF($AZ257="""","""",IFERROR(Query({CarteirasAtivos},""Select Col3 where Col1 = '""&amp;$AZ257&amp;""'and Col2 = '""&amp;AA$21&amp;""'""))))"),"")</f>
        <v/>
      </c>
      <c r="K257" s="384" t="str">
        <f>IFERROR(__xludf.DUMMYFUNCTION("IF(K$43="""","""",IF($AZ257="""","""",IFERROR(Query({CarteirasAtivos},""Select Col3 where Col1 = '""&amp;$AZ257&amp;""'and Col2 = '""&amp;AB$21&amp;""'""))))"),"")</f>
        <v/>
      </c>
      <c r="L257" s="385">
        <v>214.0</v>
      </c>
      <c r="M257" s="503"/>
      <c r="N257" s="387"/>
      <c r="O257" s="388" t="s">
        <v>123</v>
      </c>
      <c r="P257" s="389"/>
      <c r="Q257" s="390"/>
      <c r="R257" s="391"/>
      <c r="S257" s="392"/>
      <c r="T257" s="393"/>
      <c r="U257" s="393"/>
      <c r="V257" s="394"/>
      <c r="W257" s="395" t="str">
        <f>IFERROR(__xludf.DUMMYFUNCTION("IF(M257="""","""",sparkline(IFERROR(BF257*100/MAX($BF$44:$BF$153),0),{""charttype"",""bar"";""max"",100;""color1"",IF(BD257&gt;=0,""#4760a5"",""red"")}))"),"")</f>
        <v/>
      </c>
      <c r="X257" s="396"/>
      <c r="Y257" s="466"/>
      <c r="Z257" s="398"/>
      <c r="AA257" s="399"/>
      <c r="AB257" s="393"/>
      <c r="AC257" s="476"/>
      <c r="AD257" s="401"/>
      <c r="AE257" s="402"/>
      <c r="AF257" s="403"/>
      <c r="AG257" s="404" t="str">
        <f>IFERROR(__xludf.DUMMYFUNCTION("IF($M257="""","""",IFERROR(sparkline(query(GOOGLEFINANCE($AZ257,""price"",TODAY()-$AF$43,TODAY(),1),""select Col2 label Col2 ''""),IF($AG$43=""Gráfico de barras"",{""charttype"",""column"";""highcolor"",""red""},{""chartype"",""line""}))))"),"")</f>
        <v/>
      </c>
      <c r="AH257" s="405"/>
      <c r="AI257" s="467"/>
      <c r="AJ257" s="467"/>
      <c r="AK257" s="467"/>
      <c r="AL257" s="467"/>
      <c r="AM257" s="442"/>
      <c r="AN257" s="442"/>
      <c r="AU257" s="281"/>
      <c r="AV257" s="281"/>
      <c r="AW257" s="281"/>
      <c r="AX257" s="281"/>
      <c r="AY257" s="410">
        <v>214.0</v>
      </c>
      <c r="AZ257" s="411"/>
      <c r="BA257" s="411"/>
      <c r="BB257" s="437"/>
      <c r="BC257" s="437"/>
      <c r="BD257" s="437"/>
      <c r="BE257" s="437"/>
      <c r="BF257" s="415" t="s">
        <v>123</v>
      </c>
      <c r="BG257" s="410">
        <v>214.0</v>
      </c>
      <c r="BH257" s="416"/>
      <c r="BI257" s="416"/>
      <c r="BJ257" s="416"/>
      <c r="BK257" s="416"/>
      <c r="BL257" s="416"/>
      <c r="BM257" s="416"/>
      <c r="BN257" s="282"/>
      <c r="BO257" s="490"/>
      <c r="BP257" s="489"/>
      <c r="BQ257" s="489"/>
      <c r="BR257" s="489"/>
      <c r="BS257" s="489"/>
      <c r="BT257" s="489"/>
      <c r="BU257" s="489"/>
      <c r="BV257" s="489"/>
      <c r="BW257" s="63"/>
      <c r="BX257" s="62"/>
      <c r="BY257" s="452"/>
      <c r="BZ257" s="452"/>
      <c r="CA257" s="452"/>
      <c r="CB257" s="452"/>
      <c r="CC257" s="452"/>
      <c r="CD257" s="452"/>
      <c r="CE257" s="452"/>
      <c r="CF257" s="452"/>
      <c r="CG257" s="452"/>
      <c r="CH257" s="422"/>
      <c r="CI257" s="422"/>
      <c r="CJ257" s="422"/>
      <c r="CK257" s="421"/>
      <c r="CL257" s="421" t="s">
        <v>123</v>
      </c>
      <c r="CM257" s="423"/>
      <c r="CN257" s="421"/>
      <c r="CO257" s="423"/>
      <c r="CP257" s="421"/>
      <c r="CQ257" s="63"/>
      <c r="CR257" s="63"/>
      <c r="CS257" s="63"/>
      <c r="CT257" s="63"/>
      <c r="CU257" s="447"/>
      <c r="CV257" s="447"/>
      <c r="CW257" s="447"/>
      <c r="CX257" s="447"/>
      <c r="CY257" s="447"/>
      <c r="CZ257" s="447"/>
      <c r="DA257" s="447"/>
      <c r="DB257" s="447"/>
      <c r="DC257" s="447"/>
      <c r="DD257" s="447"/>
      <c r="DE257" s="447"/>
      <c r="DF257" s="447"/>
      <c r="DG257" s="447"/>
      <c r="DH257" s="447"/>
      <c r="DI257" s="447"/>
      <c r="DJ257" s="447"/>
      <c r="DK257" s="447"/>
      <c r="DL257" s="67"/>
      <c r="DM257" s="67"/>
      <c r="DN257" s="67"/>
      <c r="DO257" s="67"/>
      <c r="DP257" s="67"/>
      <c r="DQ257" s="67"/>
    </row>
    <row r="258" ht="22.5" customHeight="1">
      <c r="A258" s="383"/>
      <c r="B258" s="384" t="str">
        <f>IFERROR(__xludf.DUMMYFUNCTION("IF(B$43="""","""",IF($AZ258="""","""",IFERROR(Query({CarteirasAtivos},""Select Col3 where Col1 = '""&amp;$AZ258&amp;""'and Col2 = '""&amp;S$21&amp;""'""))))"),"")</f>
        <v/>
      </c>
      <c r="C258" s="384" t="str">
        <f>IFERROR(__xludf.DUMMYFUNCTION("IF(C$43="""","""",IF($AZ258="""","""",IFERROR(Query({CarteirasAtivos},""Select Col3 where Col1 = '""&amp;$AZ258&amp;""'and Col2 = '""&amp;T$21&amp;""'""))))"),"")</f>
        <v/>
      </c>
      <c r="D258" s="384" t="str">
        <f>IFERROR(__xludf.DUMMYFUNCTION("IF(D$43="""","""",IF($AZ258="""","""",IFERROR(Query({CarteirasAtivos},""Select Col3 where Col1 = '""&amp;$AZ258&amp;""'and Col2 = '""&amp;U$21&amp;""'""))))"),"")</f>
        <v/>
      </c>
      <c r="E258" s="384" t="str">
        <f>IFERROR(__xludf.DUMMYFUNCTION("IF(E$43="""","""",IF($AZ258="""","""",IFERROR(Query({CarteirasAtivos},""Select Col3 where Col1 = '""&amp;$AZ258&amp;""'and Col2 = '""&amp;V$21&amp;""'""))))"),"")</f>
        <v/>
      </c>
      <c r="F258" s="384" t="str">
        <f>IFERROR(__xludf.DUMMYFUNCTION("IF(F$43="""","""",IF($AZ258="""","""",IFERROR(Query({CarteirasAtivos},""Select Col3 where Col1 = '""&amp;$AZ258&amp;""'and Col2 = '""&amp;W$21&amp;""'""))))"),"")</f>
        <v/>
      </c>
      <c r="G258" s="384" t="str">
        <f>IFERROR(__xludf.DUMMYFUNCTION("IF(G$43="""","""",IF($AZ258="""","""",IFERROR(Query({CarteirasAtivos},""Select Col3 where Col1 = '""&amp;$AZ258&amp;""'and Col2 = '""&amp;X$21&amp;""'""))))"),"")</f>
        <v/>
      </c>
      <c r="H258" s="384" t="str">
        <f>IFERROR(__xludf.DUMMYFUNCTION("IF(H$43="""","""",IF($AZ258="""","""",IFERROR(Query({CarteirasAtivos},""Select Col3 where Col1 = '""&amp;$AZ258&amp;""'and Col2 = '""&amp;Y$21&amp;""'""))))"),"")</f>
        <v/>
      </c>
      <c r="I258" s="384" t="str">
        <f>IFERROR(__xludf.DUMMYFUNCTION("IF(I$43="""","""",IF($AZ258="""","""",IFERROR(Query({CarteirasAtivos},""Select Col3 where Col1 = '""&amp;$AZ258&amp;""'and Col2 = '""&amp;Z$21&amp;""'""))))"),"")</f>
        <v/>
      </c>
      <c r="J258" s="384" t="str">
        <f>IFERROR(__xludf.DUMMYFUNCTION("IF(J$43="""","""",IF($AZ258="""","""",IFERROR(Query({CarteirasAtivos},""Select Col3 where Col1 = '""&amp;$AZ258&amp;""'and Col2 = '""&amp;AA$21&amp;""'""))))"),"")</f>
        <v/>
      </c>
      <c r="K258" s="384" t="str">
        <f>IFERROR(__xludf.DUMMYFUNCTION("IF(K$43="""","""",IF($AZ258="""","""",IFERROR(Query({CarteirasAtivos},""Select Col3 where Col1 = '""&amp;$AZ258&amp;""'and Col2 = '""&amp;AB$21&amp;""'""))))"),"")</f>
        <v/>
      </c>
      <c r="L258" s="385">
        <v>215.0</v>
      </c>
      <c r="M258" s="503"/>
      <c r="N258" s="387"/>
      <c r="O258" s="388" t="s">
        <v>123</v>
      </c>
      <c r="P258" s="389"/>
      <c r="Q258" s="390"/>
      <c r="R258" s="391"/>
      <c r="S258" s="392"/>
      <c r="T258" s="393"/>
      <c r="U258" s="393"/>
      <c r="V258" s="394"/>
      <c r="W258" s="395" t="str">
        <f>IFERROR(__xludf.DUMMYFUNCTION("IF(M258="""","""",sparkline(IFERROR(BF258*100/MAX($BF$44:$BF$153),0),{""charttype"",""bar"";""max"",100;""color1"",IF(BD258&gt;=0,""#4760a5"",""red"")}))"),"")</f>
        <v/>
      </c>
      <c r="X258" s="396"/>
      <c r="Y258" s="466"/>
      <c r="Z258" s="398"/>
      <c r="AA258" s="399"/>
      <c r="AB258" s="393"/>
      <c r="AC258" s="476"/>
      <c r="AD258" s="401"/>
      <c r="AE258" s="402"/>
      <c r="AF258" s="403"/>
      <c r="AG258" s="404" t="str">
        <f>IFERROR(__xludf.DUMMYFUNCTION("IF($M258="""","""",IFERROR(sparkline(query(GOOGLEFINANCE($AZ258,""price"",TODAY()-$AF$43,TODAY(),1),""select Col2 label Col2 ''""),IF($AG$43=""Gráfico de barras"",{""charttype"",""column"";""highcolor"",""red""},{""chartype"",""line""}))))"),"")</f>
        <v/>
      </c>
      <c r="AH258" s="405"/>
      <c r="AI258" s="467"/>
      <c r="AJ258" s="467"/>
      <c r="AK258" s="467"/>
      <c r="AL258" s="467"/>
      <c r="AM258" s="442"/>
      <c r="AN258" s="442"/>
      <c r="AU258" s="281"/>
      <c r="AV258" s="281"/>
      <c r="AW258" s="281"/>
      <c r="AX258" s="281"/>
      <c r="AY258" s="410">
        <v>215.0</v>
      </c>
      <c r="AZ258" s="411"/>
      <c r="BA258" s="411"/>
      <c r="BB258" s="437"/>
      <c r="BC258" s="437"/>
      <c r="BD258" s="437"/>
      <c r="BE258" s="437"/>
      <c r="BF258" s="415" t="s">
        <v>123</v>
      </c>
      <c r="BG258" s="410">
        <v>215.0</v>
      </c>
      <c r="BH258" s="416"/>
      <c r="BI258" s="416"/>
      <c r="BJ258" s="416"/>
      <c r="BK258" s="416"/>
      <c r="BL258" s="416"/>
      <c r="BM258" s="416"/>
      <c r="BN258" s="282"/>
      <c r="BO258" s="490"/>
      <c r="BP258" s="489"/>
      <c r="BQ258" s="489"/>
      <c r="BR258" s="489"/>
      <c r="BS258" s="489"/>
      <c r="BT258" s="489"/>
      <c r="BU258" s="489"/>
      <c r="BV258" s="489"/>
      <c r="BW258" s="63"/>
      <c r="BX258" s="62"/>
      <c r="BY258" s="452"/>
      <c r="BZ258" s="452"/>
      <c r="CA258" s="452"/>
      <c r="CB258" s="452"/>
      <c r="CC258" s="452"/>
      <c r="CD258" s="452"/>
      <c r="CE258" s="452"/>
      <c r="CF258" s="452"/>
      <c r="CG258" s="452"/>
      <c r="CH258" s="422"/>
      <c r="CI258" s="422"/>
      <c r="CJ258" s="422"/>
      <c r="CK258" s="421"/>
      <c r="CL258" s="421" t="s">
        <v>123</v>
      </c>
      <c r="CM258" s="423"/>
      <c r="CN258" s="421"/>
      <c r="CO258" s="423"/>
      <c r="CP258" s="421"/>
      <c r="CQ258" s="63"/>
      <c r="CR258" s="63"/>
      <c r="CS258" s="63"/>
      <c r="CT258" s="63"/>
      <c r="CU258" s="447"/>
      <c r="CV258" s="447"/>
      <c r="CW258" s="447"/>
      <c r="CX258" s="447"/>
      <c r="CY258" s="447"/>
      <c r="CZ258" s="447"/>
      <c r="DA258" s="447"/>
      <c r="DB258" s="447"/>
      <c r="DC258" s="447"/>
      <c r="DD258" s="447"/>
      <c r="DE258" s="447"/>
      <c r="DF258" s="447"/>
      <c r="DG258" s="447"/>
      <c r="DH258" s="447"/>
      <c r="DI258" s="447"/>
      <c r="DJ258" s="447"/>
      <c r="DK258" s="447"/>
      <c r="DL258" s="67"/>
      <c r="DM258" s="67"/>
      <c r="DN258" s="67"/>
      <c r="DO258" s="67"/>
      <c r="DP258" s="67"/>
      <c r="DQ258" s="67"/>
    </row>
    <row r="259" ht="22.5" customHeight="1">
      <c r="A259" s="383"/>
      <c r="B259" s="384" t="str">
        <f>IFERROR(__xludf.DUMMYFUNCTION("IF(B$43="""","""",IF($AZ259="""","""",IFERROR(Query({CarteirasAtivos},""Select Col3 where Col1 = '""&amp;$AZ259&amp;""'and Col2 = '""&amp;S$21&amp;""'""))))"),"")</f>
        <v/>
      </c>
      <c r="C259" s="384" t="str">
        <f>IFERROR(__xludf.DUMMYFUNCTION("IF(C$43="""","""",IF($AZ259="""","""",IFERROR(Query({CarteirasAtivos},""Select Col3 where Col1 = '""&amp;$AZ259&amp;""'and Col2 = '""&amp;T$21&amp;""'""))))"),"")</f>
        <v/>
      </c>
      <c r="D259" s="384" t="str">
        <f>IFERROR(__xludf.DUMMYFUNCTION("IF(D$43="""","""",IF($AZ259="""","""",IFERROR(Query({CarteirasAtivos},""Select Col3 where Col1 = '""&amp;$AZ259&amp;""'and Col2 = '""&amp;U$21&amp;""'""))))"),"")</f>
        <v/>
      </c>
      <c r="E259" s="384" t="str">
        <f>IFERROR(__xludf.DUMMYFUNCTION("IF(E$43="""","""",IF($AZ259="""","""",IFERROR(Query({CarteirasAtivos},""Select Col3 where Col1 = '""&amp;$AZ259&amp;""'and Col2 = '""&amp;V$21&amp;""'""))))"),"")</f>
        <v/>
      </c>
      <c r="F259" s="384" t="str">
        <f>IFERROR(__xludf.DUMMYFUNCTION("IF(F$43="""","""",IF($AZ259="""","""",IFERROR(Query({CarteirasAtivos},""Select Col3 where Col1 = '""&amp;$AZ259&amp;""'and Col2 = '""&amp;W$21&amp;""'""))))"),"")</f>
        <v/>
      </c>
      <c r="G259" s="384" t="str">
        <f>IFERROR(__xludf.DUMMYFUNCTION("IF(G$43="""","""",IF($AZ259="""","""",IFERROR(Query({CarteirasAtivos},""Select Col3 where Col1 = '""&amp;$AZ259&amp;""'and Col2 = '""&amp;X$21&amp;""'""))))"),"")</f>
        <v/>
      </c>
      <c r="H259" s="384" t="str">
        <f>IFERROR(__xludf.DUMMYFUNCTION("IF(H$43="""","""",IF($AZ259="""","""",IFERROR(Query({CarteirasAtivos},""Select Col3 where Col1 = '""&amp;$AZ259&amp;""'and Col2 = '""&amp;Y$21&amp;""'""))))"),"")</f>
        <v/>
      </c>
      <c r="I259" s="384" t="str">
        <f>IFERROR(__xludf.DUMMYFUNCTION("IF(I$43="""","""",IF($AZ259="""","""",IFERROR(Query({CarteirasAtivos},""Select Col3 where Col1 = '""&amp;$AZ259&amp;""'and Col2 = '""&amp;Z$21&amp;""'""))))"),"")</f>
        <v/>
      </c>
      <c r="J259" s="384" t="str">
        <f>IFERROR(__xludf.DUMMYFUNCTION("IF(J$43="""","""",IF($AZ259="""","""",IFERROR(Query({CarteirasAtivos},""Select Col3 where Col1 = '""&amp;$AZ259&amp;""'and Col2 = '""&amp;AA$21&amp;""'""))))"),"")</f>
        <v/>
      </c>
      <c r="K259" s="384" t="str">
        <f>IFERROR(__xludf.DUMMYFUNCTION("IF(K$43="""","""",IF($AZ259="""","""",IFERROR(Query({CarteirasAtivos},""Select Col3 where Col1 = '""&amp;$AZ259&amp;""'and Col2 = '""&amp;AB$21&amp;""'""))))"),"")</f>
        <v/>
      </c>
      <c r="L259" s="385">
        <v>216.0</v>
      </c>
      <c r="M259" s="503"/>
      <c r="N259" s="387"/>
      <c r="O259" s="388" t="s">
        <v>123</v>
      </c>
      <c r="P259" s="389"/>
      <c r="Q259" s="390"/>
      <c r="R259" s="391"/>
      <c r="S259" s="392"/>
      <c r="T259" s="393"/>
      <c r="U259" s="393"/>
      <c r="V259" s="394"/>
      <c r="W259" s="395" t="str">
        <f>IFERROR(__xludf.DUMMYFUNCTION("IF(M259="""","""",sparkline(IFERROR(BF259*100/MAX($BF$44:$BF$153),0),{""charttype"",""bar"";""max"",100;""color1"",IF(BD259&gt;=0,""#4760a5"",""red"")}))"),"")</f>
        <v/>
      </c>
      <c r="X259" s="396"/>
      <c r="Y259" s="466"/>
      <c r="Z259" s="398"/>
      <c r="AA259" s="399"/>
      <c r="AB259" s="393"/>
      <c r="AC259" s="476"/>
      <c r="AD259" s="401"/>
      <c r="AE259" s="402"/>
      <c r="AF259" s="403"/>
      <c r="AG259" s="404" t="str">
        <f>IFERROR(__xludf.DUMMYFUNCTION("IF($M259="""","""",IFERROR(sparkline(query(GOOGLEFINANCE($AZ259,""price"",TODAY()-$AF$43,TODAY(),1),""select Col2 label Col2 ''""),IF($AG$43=""Gráfico de barras"",{""charttype"",""column"";""highcolor"",""red""},{""chartype"",""line""}))))"),"")</f>
        <v/>
      </c>
      <c r="AH259" s="405"/>
      <c r="AI259" s="467"/>
      <c r="AJ259" s="467"/>
      <c r="AK259" s="467"/>
      <c r="AL259" s="467"/>
      <c r="AM259" s="442"/>
      <c r="AN259" s="442"/>
      <c r="AU259" s="281"/>
      <c r="AV259" s="281"/>
      <c r="AW259" s="281"/>
      <c r="AX259" s="281"/>
      <c r="AY259" s="410">
        <v>216.0</v>
      </c>
      <c r="AZ259" s="411"/>
      <c r="BA259" s="411"/>
      <c r="BB259" s="437"/>
      <c r="BC259" s="437"/>
      <c r="BD259" s="437"/>
      <c r="BE259" s="437"/>
      <c r="BF259" s="415" t="s">
        <v>123</v>
      </c>
      <c r="BG259" s="410">
        <v>216.0</v>
      </c>
      <c r="BH259" s="416"/>
      <c r="BI259" s="416"/>
      <c r="BJ259" s="416"/>
      <c r="BK259" s="416"/>
      <c r="BL259" s="416"/>
      <c r="BM259" s="416"/>
      <c r="BN259" s="282"/>
      <c r="BO259" s="490"/>
      <c r="BP259" s="489"/>
      <c r="BQ259" s="489"/>
      <c r="BR259" s="489"/>
      <c r="BS259" s="489"/>
      <c r="BT259" s="489"/>
      <c r="BU259" s="489"/>
      <c r="BV259" s="489"/>
      <c r="BW259" s="63"/>
      <c r="BX259" s="62"/>
      <c r="BY259" s="452"/>
      <c r="BZ259" s="452"/>
      <c r="CA259" s="452"/>
      <c r="CB259" s="452"/>
      <c r="CC259" s="452"/>
      <c r="CD259" s="452"/>
      <c r="CE259" s="452"/>
      <c r="CF259" s="452"/>
      <c r="CG259" s="452"/>
      <c r="CH259" s="422"/>
      <c r="CI259" s="422"/>
      <c r="CJ259" s="422"/>
      <c r="CK259" s="421"/>
      <c r="CL259" s="421" t="s">
        <v>123</v>
      </c>
      <c r="CM259" s="423"/>
      <c r="CN259" s="421"/>
      <c r="CO259" s="423"/>
      <c r="CP259" s="421"/>
      <c r="CQ259" s="63"/>
      <c r="CR259" s="63"/>
      <c r="CS259" s="63"/>
      <c r="CT259" s="63"/>
      <c r="CU259" s="447"/>
      <c r="CV259" s="447"/>
      <c r="CW259" s="447"/>
      <c r="CX259" s="447"/>
      <c r="CY259" s="447"/>
      <c r="CZ259" s="447"/>
      <c r="DA259" s="447"/>
      <c r="DB259" s="447"/>
      <c r="DC259" s="447"/>
      <c r="DD259" s="447"/>
      <c r="DE259" s="447"/>
      <c r="DF259" s="447"/>
      <c r="DG259" s="447"/>
      <c r="DH259" s="447"/>
      <c r="DI259" s="447"/>
      <c r="DJ259" s="447"/>
      <c r="DK259" s="447"/>
      <c r="DL259" s="67"/>
      <c r="DM259" s="67"/>
      <c r="DN259" s="67"/>
      <c r="DO259" s="67"/>
      <c r="DP259" s="67"/>
      <c r="DQ259" s="67"/>
    </row>
    <row r="260" ht="22.5" customHeight="1">
      <c r="A260" s="383"/>
      <c r="B260" s="384" t="str">
        <f>IFERROR(__xludf.DUMMYFUNCTION("IF(B$43="""","""",IF($AZ260="""","""",IFERROR(Query({CarteirasAtivos},""Select Col3 where Col1 = '""&amp;$AZ260&amp;""'and Col2 = '""&amp;S$21&amp;""'""))))"),"")</f>
        <v/>
      </c>
      <c r="C260" s="384" t="str">
        <f>IFERROR(__xludf.DUMMYFUNCTION("IF(C$43="""","""",IF($AZ260="""","""",IFERROR(Query({CarteirasAtivos},""Select Col3 where Col1 = '""&amp;$AZ260&amp;""'and Col2 = '""&amp;T$21&amp;""'""))))"),"")</f>
        <v/>
      </c>
      <c r="D260" s="384" t="str">
        <f>IFERROR(__xludf.DUMMYFUNCTION("IF(D$43="""","""",IF($AZ260="""","""",IFERROR(Query({CarteirasAtivos},""Select Col3 where Col1 = '""&amp;$AZ260&amp;""'and Col2 = '""&amp;U$21&amp;""'""))))"),"")</f>
        <v/>
      </c>
      <c r="E260" s="384" t="str">
        <f>IFERROR(__xludf.DUMMYFUNCTION("IF(E$43="""","""",IF($AZ260="""","""",IFERROR(Query({CarteirasAtivos},""Select Col3 where Col1 = '""&amp;$AZ260&amp;""'and Col2 = '""&amp;V$21&amp;""'""))))"),"")</f>
        <v/>
      </c>
      <c r="F260" s="384" t="str">
        <f>IFERROR(__xludf.DUMMYFUNCTION("IF(F$43="""","""",IF($AZ260="""","""",IFERROR(Query({CarteirasAtivos},""Select Col3 where Col1 = '""&amp;$AZ260&amp;""'and Col2 = '""&amp;W$21&amp;""'""))))"),"")</f>
        <v/>
      </c>
      <c r="G260" s="384" t="str">
        <f>IFERROR(__xludf.DUMMYFUNCTION("IF(G$43="""","""",IF($AZ260="""","""",IFERROR(Query({CarteirasAtivos},""Select Col3 where Col1 = '""&amp;$AZ260&amp;""'and Col2 = '""&amp;X$21&amp;""'""))))"),"")</f>
        <v/>
      </c>
      <c r="H260" s="384" t="str">
        <f>IFERROR(__xludf.DUMMYFUNCTION("IF(H$43="""","""",IF($AZ260="""","""",IFERROR(Query({CarteirasAtivos},""Select Col3 where Col1 = '""&amp;$AZ260&amp;""'and Col2 = '""&amp;Y$21&amp;""'""))))"),"")</f>
        <v/>
      </c>
      <c r="I260" s="384" t="str">
        <f>IFERROR(__xludf.DUMMYFUNCTION("IF(I$43="""","""",IF($AZ260="""","""",IFERROR(Query({CarteirasAtivos},""Select Col3 where Col1 = '""&amp;$AZ260&amp;""'and Col2 = '""&amp;Z$21&amp;""'""))))"),"")</f>
        <v/>
      </c>
      <c r="J260" s="384" t="str">
        <f>IFERROR(__xludf.DUMMYFUNCTION("IF(J$43="""","""",IF($AZ260="""","""",IFERROR(Query({CarteirasAtivos},""Select Col3 where Col1 = '""&amp;$AZ260&amp;""'and Col2 = '""&amp;AA$21&amp;""'""))))"),"")</f>
        <v/>
      </c>
      <c r="K260" s="384" t="str">
        <f>IFERROR(__xludf.DUMMYFUNCTION("IF(K$43="""","""",IF($AZ260="""","""",IFERROR(Query({CarteirasAtivos},""Select Col3 where Col1 = '""&amp;$AZ260&amp;""'and Col2 = '""&amp;AB$21&amp;""'""))))"),"")</f>
        <v/>
      </c>
      <c r="L260" s="385">
        <v>217.0</v>
      </c>
      <c r="M260" s="503"/>
      <c r="N260" s="387"/>
      <c r="O260" s="388" t="s">
        <v>123</v>
      </c>
      <c r="P260" s="389"/>
      <c r="Q260" s="390"/>
      <c r="R260" s="391"/>
      <c r="S260" s="392"/>
      <c r="T260" s="393"/>
      <c r="U260" s="393"/>
      <c r="V260" s="394"/>
      <c r="W260" s="395" t="str">
        <f>IFERROR(__xludf.DUMMYFUNCTION("IF(M260="""","""",sparkline(IFERROR(BF260*100/MAX($BF$44:$BF$153),0),{""charttype"",""bar"";""max"",100;""color1"",IF(BD260&gt;=0,""#4760a5"",""red"")}))"),"")</f>
        <v/>
      </c>
      <c r="X260" s="396"/>
      <c r="Y260" s="466"/>
      <c r="Z260" s="398"/>
      <c r="AA260" s="399"/>
      <c r="AB260" s="393"/>
      <c r="AC260" s="476"/>
      <c r="AD260" s="401"/>
      <c r="AE260" s="402"/>
      <c r="AF260" s="403"/>
      <c r="AG260" s="404" t="str">
        <f>IFERROR(__xludf.DUMMYFUNCTION("IF($M260="""","""",IFERROR(sparkline(query(GOOGLEFINANCE($AZ260,""price"",TODAY()-$AF$43,TODAY(),1),""select Col2 label Col2 ''""),IF($AG$43=""Gráfico de barras"",{""charttype"",""column"";""highcolor"",""red""},{""chartype"",""line""}))))"),"")</f>
        <v/>
      </c>
      <c r="AH260" s="405"/>
      <c r="AI260" s="467"/>
      <c r="AJ260" s="467"/>
      <c r="AK260" s="467"/>
      <c r="AL260" s="467"/>
      <c r="AM260" s="442"/>
      <c r="AN260" s="442"/>
      <c r="AU260" s="281"/>
      <c r="AV260" s="281"/>
      <c r="AW260" s="281"/>
      <c r="AX260" s="281"/>
      <c r="AY260" s="410">
        <v>217.0</v>
      </c>
      <c r="AZ260" s="411"/>
      <c r="BA260" s="411"/>
      <c r="BB260" s="437"/>
      <c r="BC260" s="437"/>
      <c r="BD260" s="437"/>
      <c r="BE260" s="437"/>
      <c r="BF260" s="415" t="s">
        <v>123</v>
      </c>
      <c r="BG260" s="410">
        <v>217.0</v>
      </c>
      <c r="BH260" s="416"/>
      <c r="BI260" s="416"/>
      <c r="BJ260" s="416"/>
      <c r="BK260" s="416"/>
      <c r="BL260" s="416"/>
      <c r="BM260" s="416"/>
      <c r="BN260" s="282"/>
      <c r="BO260" s="490"/>
      <c r="BP260" s="489"/>
      <c r="BQ260" s="489"/>
      <c r="BR260" s="489"/>
      <c r="BS260" s="489"/>
      <c r="BT260" s="489"/>
      <c r="BU260" s="489"/>
      <c r="BV260" s="489"/>
      <c r="BW260" s="63"/>
      <c r="BX260" s="62"/>
      <c r="BY260" s="452"/>
      <c r="BZ260" s="452"/>
      <c r="CA260" s="452"/>
      <c r="CB260" s="452"/>
      <c r="CC260" s="452"/>
      <c r="CD260" s="452"/>
      <c r="CE260" s="452"/>
      <c r="CF260" s="452"/>
      <c r="CG260" s="452"/>
      <c r="CH260" s="422"/>
      <c r="CI260" s="422"/>
      <c r="CJ260" s="422"/>
      <c r="CK260" s="421"/>
      <c r="CL260" s="421" t="s">
        <v>123</v>
      </c>
      <c r="CM260" s="423"/>
      <c r="CN260" s="421"/>
      <c r="CO260" s="423"/>
      <c r="CP260" s="421"/>
      <c r="CQ260" s="63"/>
      <c r="CR260" s="63"/>
      <c r="CS260" s="63"/>
      <c r="CT260" s="63"/>
      <c r="CU260" s="447"/>
      <c r="CV260" s="447"/>
      <c r="CW260" s="447"/>
      <c r="CX260" s="447"/>
      <c r="CY260" s="447"/>
      <c r="CZ260" s="447"/>
      <c r="DA260" s="447"/>
      <c r="DB260" s="447"/>
      <c r="DC260" s="447"/>
      <c r="DD260" s="447"/>
      <c r="DE260" s="447"/>
      <c r="DF260" s="447"/>
      <c r="DG260" s="447"/>
      <c r="DH260" s="447"/>
      <c r="DI260" s="447"/>
      <c r="DJ260" s="447"/>
      <c r="DK260" s="447"/>
      <c r="DL260" s="67"/>
      <c r="DM260" s="67"/>
      <c r="DN260" s="67"/>
      <c r="DO260" s="67"/>
      <c r="DP260" s="67"/>
      <c r="DQ260" s="67"/>
    </row>
    <row r="261" ht="22.5" customHeight="1">
      <c r="A261" s="383"/>
      <c r="B261" s="384" t="str">
        <f>IFERROR(__xludf.DUMMYFUNCTION("IF(B$43="""","""",IF($AZ261="""","""",IFERROR(Query({CarteirasAtivos},""Select Col3 where Col1 = '""&amp;$AZ261&amp;""'and Col2 = '""&amp;S$21&amp;""'""))))"),"")</f>
        <v/>
      </c>
      <c r="C261" s="384" t="str">
        <f>IFERROR(__xludf.DUMMYFUNCTION("IF(C$43="""","""",IF($AZ261="""","""",IFERROR(Query({CarteirasAtivos},""Select Col3 where Col1 = '""&amp;$AZ261&amp;""'and Col2 = '""&amp;T$21&amp;""'""))))"),"")</f>
        <v/>
      </c>
      <c r="D261" s="384" t="str">
        <f>IFERROR(__xludf.DUMMYFUNCTION("IF(D$43="""","""",IF($AZ261="""","""",IFERROR(Query({CarteirasAtivos},""Select Col3 where Col1 = '""&amp;$AZ261&amp;""'and Col2 = '""&amp;U$21&amp;""'""))))"),"")</f>
        <v/>
      </c>
      <c r="E261" s="384" t="str">
        <f>IFERROR(__xludf.DUMMYFUNCTION("IF(E$43="""","""",IF($AZ261="""","""",IFERROR(Query({CarteirasAtivos},""Select Col3 where Col1 = '""&amp;$AZ261&amp;""'and Col2 = '""&amp;V$21&amp;""'""))))"),"")</f>
        <v/>
      </c>
      <c r="F261" s="384" t="str">
        <f>IFERROR(__xludf.DUMMYFUNCTION("IF(F$43="""","""",IF($AZ261="""","""",IFERROR(Query({CarteirasAtivos},""Select Col3 where Col1 = '""&amp;$AZ261&amp;""'and Col2 = '""&amp;W$21&amp;""'""))))"),"")</f>
        <v/>
      </c>
      <c r="G261" s="384" t="str">
        <f>IFERROR(__xludf.DUMMYFUNCTION("IF(G$43="""","""",IF($AZ261="""","""",IFERROR(Query({CarteirasAtivos},""Select Col3 where Col1 = '""&amp;$AZ261&amp;""'and Col2 = '""&amp;X$21&amp;""'""))))"),"")</f>
        <v/>
      </c>
      <c r="H261" s="384" t="str">
        <f>IFERROR(__xludf.DUMMYFUNCTION("IF(H$43="""","""",IF($AZ261="""","""",IFERROR(Query({CarteirasAtivos},""Select Col3 where Col1 = '""&amp;$AZ261&amp;""'and Col2 = '""&amp;Y$21&amp;""'""))))"),"")</f>
        <v/>
      </c>
      <c r="I261" s="384" t="str">
        <f>IFERROR(__xludf.DUMMYFUNCTION("IF(I$43="""","""",IF($AZ261="""","""",IFERROR(Query({CarteirasAtivos},""Select Col3 where Col1 = '""&amp;$AZ261&amp;""'and Col2 = '""&amp;Z$21&amp;""'""))))"),"")</f>
        <v/>
      </c>
      <c r="J261" s="384" t="str">
        <f>IFERROR(__xludf.DUMMYFUNCTION("IF(J$43="""","""",IF($AZ261="""","""",IFERROR(Query({CarteirasAtivos},""Select Col3 where Col1 = '""&amp;$AZ261&amp;""'and Col2 = '""&amp;AA$21&amp;""'""))))"),"")</f>
        <v/>
      </c>
      <c r="K261" s="384" t="str">
        <f>IFERROR(__xludf.DUMMYFUNCTION("IF(K$43="""","""",IF($AZ261="""","""",IFERROR(Query({CarteirasAtivos},""Select Col3 where Col1 = '""&amp;$AZ261&amp;""'and Col2 = '""&amp;AB$21&amp;""'""))))"),"")</f>
        <v/>
      </c>
      <c r="L261" s="385">
        <v>218.0</v>
      </c>
      <c r="M261" s="503"/>
      <c r="N261" s="387"/>
      <c r="O261" s="388" t="s">
        <v>123</v>
      </c>
      <c r="P261" s="389"/>
      <c r="Q261" s="390"/>
      <c r="R261" s="391"/>
      <c r="S261" s="392"/>
      <c r="T261" s="393"/>
      <c r="U261" s="393"/>
      <c r="V261" s="394"/>
      <c r="W261" s="395" t="str">
        <f>IFERROR(__xludf.DUMMYFUNCTION("IF(M261="""","""",sparkline(IFERROR(BF261*100/MAX($BF$44:$BF$153),0),{""charttype"",""bar"";""max"",100;""color1"",IF(BD261&gt;=0,""#4760a5"",""red"")}))"),"")</f>
        <v/>
      </c>
      <c r="X261" s="396"/>
      <c r="Y261" s="466"/>
      <c r="Z261" s="398"/>
      <c r="AA261" s="399"/>
      <c r="AB261" s="393"/>
      <c r="AC261" s="476"/>
      <c r="AD261" s="401"/>
      <c r="AE261" s="402"/>
      <c r="AF261" s="403"/>
      <c r="AG261" s="404" t="str">
        <f>IFERROR(__xludf.DUMMYFUNCTION("IF($M261="""","""",IFERROR(sparkline(query(GOOGLEFINANCE($AZ261,""price"",TODAY()-$AF$43,TODAY(),1),""select Col2 label Col2 ''""),IF($AG$43=""Gráfico de barras"",{""charttype"",""column"";""highcolor"",""red""},{""chartype"",""line""}))))"),"")</f>
        <v/>
      </c>
      <c r="AH261" s="405"/>
      <c r="AI261" s="467"/>
      <c r="AJ261" s="467"/>
      <c r="AK261" s="467"/>
      <c r="AL261" s="467"/>
      <c r="AM261" s="442"/>
      <c r="AN261" s="442"/>
      <c r="AU261" s="281"/>
      <c r="AV261" s="281"/>
      <c r="AW261" s="281"/>
      <c r="AX261" s="281"/>
      <c r="AY261" s="410">
        <v>218.0</v>
      </c>
      <c r="AZ261" s="411"/>
      <c r="BA261" s="411"/>
      <c r="BB261" s="437"/>
      <c r="BC261" s="437"/>
      <c r="BD261" s="437"/>
      <c r="BE261" s="437"/>
      <c r="BF261" s="415" t="s">
        <v>123</v>
      </c>
      <c r="BG261" s="410">
        <v>218.0</v>
      </c>
      <c r="BH261" s="416"/>
      <c r="BI261" s="416"/>
      <c r="BJ261" s="416"/>
      <c r="BK261" s="416"/>
      <c r="BL261" s="416"/>
      <c r="BM261" s="416"/>
      <c r="BN261" s="282"/>
      <c r="BO261" s="490"/>
      <c r="BP261" s="489"/>
      <c r="BQ261" s="489"/>
      <c r="BR261" s="489"/>
      <c r="BS261" s="489"/>
      <c r="BT261" s="489"/>
      <c r="BU261" s="489"/>
      <c r="BV261" s="489"/>
      <c r="BW261" s="63"/>
      <c r="BX261" s="62"/>
      <c r="BY261" s="452"/>
      <c r="BZ261" s="452"/>
      <c r="CA261" s="452"/>
      <c r="CB261" s="452"/>
      <c r="CC261" s="452"/>
      <c r="CD261" s="452"/>
      <c r="CE261" s="452"/>
      <c r="CF261" s="452"/>
      <c r="CG261" s="452"/>
      <c r="CH261" s="422"/>
      <c r="CI261" s="422"/>
      <c r="CJ261" s="422"/>
      <c r="CK261" s="421"/>
      <c r="CL261" s="421" t="s">
        <v>123</v>
      </c>
      <c r="CM261" s="423"/>
      <c r="CN261" s="421"/>
      <c r="CO261" s="423"/>
      <c r="CP261" s="421"/>
      <c r="CQ261" s="63"/>
      <c r="CR261" s="63"/>
      <c r="CS261" s="63"/>
      <c r="CT261" s="63"/>
      <c r="CU261" s="447"/>
      <c r="CV261" s="447"/>
      <c r="CW261" s="447"/>
      <c r="CX261" s="447"/>
      <c r="CY261" s="447"/>
      <c r="CZ261" s="447"/>
      <c r="DA261" s="447"/>
      <c r="DB261" s="447"/>
      <c r="DC261" s="447"/>
      <c r="DD261" s="447"/>
      <c r="DE261" s="447"/>
      <c r="DF261" s="447"/>
      <c r="DG261" s="447"/>
      <c r="DH261" s="447"/>
      <c r="DI261" s="447"/>
      <c r="DJ261" s="447"/>
      <c r="DK261" s="447"/>
      <c r="DL261" s="67"/>
      <c r="DM261" s="67"/>
      <c r="DN261" s="67"/>
      <c r="DO261" s="67"/>
      <c r="DP261" s="67"/>
      <c r="DQ261" s="67"/>
    </row>
    <row r="262" ht="22.5" customHeight="1">
      <c r="A262" s="383"/>
      <c r="B262" s="384" t="str">
        <f>IFERROR(__xludf.DUMMYFUNCTION("IF(B$43="""","""",IF($AZ262="""","""",IFERROR(Query({CarteirasAtivos},""Select Col3 where Col1 = '""&amp;$AZ262&amp;""'and Col2 = '""&amp;S$21&amp;""'""))))"),"")</f>
        <v/>
      </c>
      <c r="C262" s="384" t="str">
        <f>IFERROR(__xludf.DUMMYFUNCTION("IF(C$43="""","""",IF($AZ262="""","""",IFERROR(Query({CarteirasAtivos},""Select Col3 where Col1 = '""&amp;$AZ262&amp;""'and Col2 = '""&amp;T$21&amp;""'""))))"),"")</f>
        <v/>
      </c>
      <c r="D262" s="384" t="str">
        <f>IFERROR(__xludf.DUMMYFUNCTION("IF(D$43="""","""",IF($AZ262="""","""",IFERROR(Query({CarteirasAtivos},""Select Col3 where Col1 = '""&amp;$AZ262&amp;""'and Col2 = '""&amp;U$21&amp;""'""))))"),"")</f>
        <v/>
      </c>
      <c r="E262" s="384" t="str">
        <f>IFERROR(__xludf.DUMMYFUNCTION("IF(E$43="""","""",IF($AZ262="""","""",IFERROR(Query({CarteirasAtivos},""Select Col3 where Col1 = '""&amp;$AZ262&amp;""'and Col2 = '""&amp;V$21&amp;""'""))))"),"")</f>
        <v/>
      </c>
      <c r="F262" s="384" t="str">
        <f>IFERROR(__xludf.DUMMYFUNCTION("IF(F$43="""","""",IF($AZ262="""","""",IFERROR(Query({CarteirasAtivos},""Select Col3 where Col1 = '""&amp;$AZ262&amp;""'and Col2 = '""&amp;W$21&amp;""'""))))"),"")</f>
        <v/>
      </c>
      <c r="G262" s="384" t="str">
        <f>IFERROR(__xludf.DUMMYFUNCTION("IF(G$43="""","""",IF($AZ262="""","""",IFERROR(Query({CarteirasAtivos},""Select Col3 where Col1 = '""&amp;$AZ262&amp;""'and Col2 = '""&amp;X$21&amp;""'""))))"),"")</f>
        <v/>
      </c>
      <c r="H262" s="384" t="str">
        <f>IFERROR(__xludf.DUMMYFUNCTION("IF(H$43="""","""",IF($AZ262="""","""",IFERROR(Query({CarteirasAtivos},""Select Col3 where Col1 = '""&amp;$AZ262&amp;""'and Col2 = '""&amp;Y$21&amp;""'""))))"),"")</f>
        <v/>
      </c>
      <c r="I262" s="384" t="str">
        <f>IFERROR(__xludf.DUMMYFUNCTION("IF(I$43="""","""",IF($AZ262="""","""",IFERROR(Query({CarteirasAtivos},""Select Col3 where Col1 = '""&amp;$AZ262&amp;""'and Col2 = '""&amp;Z$21&amp;""'""))))"),"")</f>
        <v/>
      </c>
      <c r="J262" s="384" t="str">
        <f>IFERROR(__xludf.DUMMYFUNCTION("IF(J$43="""","""",IF($AZ262="""","""",IFERROR(Query({CarteirasAtivos},""Select Col3 where Col1 = '""&amp;$AZ262&amp;""'and Col2 = '""&amp;AA$21&amp;""'""))))"),"")</f>
        <v/>
      </c>
      <c r="K262" s="384" t="str">
        <f>IFERROR(__xludf.DUMMYFUNCTION("IF(K$43="""","""",IF($AZ262="""","""",IFERROR(Query({CarteirasAtivos},""Select Col3 where Col1 = '""&amp;$AZ262&amp;""'and Col2 = '""&amp;AB$21&amp;""'""))))"),"")</f>
        <v/>
      </c>
      <c r="L262" s="385">
        <v>219.0</v>
      </c>
      <c r="M262" s="503"/>
      <c r="N262" s="387"/>
      <c r="O262" s="388" t="s">
        <v>123</v>
      </c>
      <c r="P262" s="389"/>
      <c r="Q262" s="390"/>
      <c r="R262" s="391"/>
      <c r="S262" s="392"/>
      <c r="T262" s="393"/>
      <c r="U262" s="393"/>
      <c r="V262" s="394"/>
      <c r="W262" s="395" t="str">
        <f>IFERROR(__xludf.DUMMYFUNCTION("IF(M262="""","""",sparkline(IFERROR(BF262*100/MAX($BF$44:$BF$153),0),{""charttype"",""bar"";""max"",100;""color1"",IF(BD262&gt;=0,""#4760a5"",""red"")}))"),"")</f>
        <v/>
      </c>
      <c r="X262" s="396"/>
      <c r="Y262" s="466"/>
      <c r="Z262" s="398"/>
      <c r="AA262" s="399"/>
      <c r="AB262" s="393"/>
      <c r="AC262" s="476"/>
      <c r="AD262" s="401"/>
      <c r="AE262" s="402"/>
      <c r="AF262" s="403"/>
      <c r="AG262" s="404" t="str">
        <f>IFERROR(__xludf.DUMMYFUNCTION("IF($M262="""","""",IFERROR(sparkline(query(GOOGLEFINANCE($AZ262,""price"",TODAY()-$AF$43,TODAY(),1),""select Col2 label Col2 ''""),IF($AG$43=""Gráfico de barras"",{""charttype"",""column"";""highcolor"",""red""},{""chartype"",""line""}))))"),"")</f>
        <v/>
      </c>
      <c r="AH262" s="405"/>
      <c r="AI262" s="467"/>
      <c r="AJ262" s="467"/>
      <c r="AK262" s="467"/>
      <c r="AL262" s="467"/>
      <c r="AM262" s="442"/>
      <c r="AN262" s="442"/>
      <c r="AU262" s="281"/>
      <c r="AV262" s="281"/>
      <c r="AW262" s="281"/>
      <c r="AX262" s="281"/>
      <c r="AY262" s="410">
        <v>219.0</v>
      </c>
      <c r="AZ262" s="411"/>
      <c r="BA262" s="411"/>
      <c r="BB262" s="437"/>
      <c r="BC262" s="437"/>
      <c r="BD262" s="437"/>
      <c r="BE262" s="437"/>
      <c r="BF262" s="415" t="s">
        <v>123</v>
      </c>
      <c r="BG262" s="410">
        <v>219.0</v>
      </c>
      <c r="BH262" s="416"/>
      <c r="BI262" s="416"/>
      <c r="BJ262" s="416"/>
      <c r="BK262" s="416"/>
      <c r="BL262" s="416"/>
      <c r="BM262" s="416"/>
      <c r="BN262" s="282"/>
      <c r="BO262" s="490"/>
      <c r="BP262" s="489"/>
      <c r="BQ262" s="489"/>
      <c r="BR262" s="489"/>
      <c r="BS262" s="489"/>
      <c r="BT262" s="489"/>
      <c r="BU262" s="489"/>
      <c r="BV262" s="489"/>
      <c r="BW262" s="63"/>
      <c r="BX262" s="62"/>
      <c r="BY262" s="452"/>
      <c r="BZ262" s="452"/>
      <c r="CA262" s="452"/>
      <c r="CB262" s="452"/>
      <c r="CC262" s="452"/>
      <c r="CD262" s="452"/>
      <c r="CE262" s="452"/>
      <c r="CF262" s="452"/>
      <c r="CG262" s="452"/>
      <c r="CH262" s="422"/>
      <c r="CI262" s="422"/>
      <c r="CJ262" s="422"/>
      <c r="CK262" s="421"/>
      <c r="CL262" s="421" t="s">
        <v>123</v>
      </c>
      <c r="CM262" s="423"/>
      <c r="CN262" s="421"/>
      <c r="CO262" s="423"/>
      <c r="CP262" s="421"/>
      <c r="CQ262" s="63"/>
      <c r="CR262" s="63"/>
      <c r="CS262" s="63"/>
      <c r="CT262" s="63"/>
      <c r="CU262" s="447"/>
      <c r="CV262" s="447"/>
      <c r="CW262" s="447"/>
      <c r="CX262" s="447"/>
      <c r="CY262" s="447"/>
      <c r="CZ262" s="447"/>
      <c r="DA262" s="447"/>
      <c r="DB262" s="447"/>
      <c r="DC262" s="447"/>
      <c r="DD262" s="447"/>
      <c r="DE262" s="447"/>
      <c r="DF262" s="447"/>
      <c r="DG262" s="447"/>
      <c r="DH262" s="447"/>
      <c r="DI262" s="447"/>
      <c r="DJ262" s="447"/>
      <c r="DK262" s="447"/>
      <c r="DL262" s="67"/>
      <c r="DM262" s="67"/>
      <c r="DN262" s="67"/>
      <c r="DO262" s="67"/>
      <c r="DP262" s="67"/>
      <c r="DQ262" s="67"/>
    </row>
    <row r="263" ht="22.5" customHeight="1">
      <c r="A263" s="383"/>
      <c r="B263" s="384" t="str">
        <f>IFERROR(__xludf.DUMMYFUNCTION("IF(B$43="""","""",IF($AZ263="""","""",IFERROR(Query({CarteirasAtivos},""Select Col3 where Col1 = '""&amp;$AZ263&amp;""'and Col2 = '""&amp;S$21&amp;""'""))))"),"")</f>
        <v/>
      </c>
      <c r="C263" s="384" t="str">
        <f>IFERROR(__xludf.DUMMYFUNCTION("IF(C$43="""","""",IF($AZ263="""","""",IFERROR(Query({CarteirasAtivos},""Select Col3 where Col1 = '""&amp;$AZ263&amp;""'and Col2 = '""&amp;T$21&amp;""'""))))"),"")</f>
        <v/>
      </c>
      <c r="D263" s="384" t="str">
        <f>IFERROR(__xludf.DUMMYFUNCTION("IF(D$43="""","""",IF($AZ263="""","""",IFERROR(Query({CarteirasAtivos},""Select Col3 where Col1 = '""&amp;$AZ263&amp;""'and Col2 = '""&amp;U$21&amp;""'""))))"),"")</f>
        <v/>
      </c>
      <c r="E263" s="384" t="str">
        <f>IFERROR(__xludf.DUMMYFUNCTION("IF(E$43="""","""",IF($AZ263="""","""",IFERROR(Query({CarteirasAtivos},""Select Col3 where Col1 = '""&amp;$AZ263&amp;""'and Col2 = '""&amp;V$21&amp;""'""))))"),"")</f>
        <v/>
      </c>
      <c r="F263" s="384" t="str">
        <f>IFERROR(__xludf.DUMMYFUNCTION("IF(F$43="""","""",IF($AZ263="""","""",IFERROR(Query({CarteirasAtivos},""Select Col3 where Col1 = '""&amp;$AZ263&amp;""'and Col2 = '""&amp;W$21&amp;""'""))))"),"")</f>
        <v/>
      </c>
      <c r="G263" s="384" t="str">
        <f>IFERROR(__xludf.DUMMYFUNCTION("IF(G$43="""","""",IF($AZ263="""","""",IFERROR(Query({CarteirasAtivos},""Select Col3 where Col1 = '""&amp;$AZ263&amp;""'and Col2 = '""&amp;X$21&amp;""'""))))"),"")</f>
        <v/>
      </c>
      <c r="H263" s="384" t="str">
        <f>IFERROR(__xludf.DUMMYFUNCTION("IF(H$43="""","""",IF($AZ263="""","""",IFERROR(Query({CarteirasAtivos},""Select Col3 where Col1 = '""&amp;$AZ263&amp;""'and Col2 = '""&amp;Y$21&amp;""'""))))"),"")</f>
        <v/>
      </c>
      <c r="I263" s="384" t="str">
        <f>IFERROR(__xludf.DUMMYFUNCTION("IF(I$43="""","""",IF($AZ263="""","""",IFERROR(Query({CarteirasAtivos},""Select Col3 where Col1 = '""&amp;$AZ263&amp;""'and Col2 = '""&amp;Z$21&amp;""'""))))"),"")</f>
        <v/>
      </c>
      <c r="J263" s="384" t="str">
        <f>IFERROR(__xludf.DUMMYFUNCTION("IF(J$43="""","""",IF($AZ263="""","""",IFERROR(Query({CarteirasAtivos},""Select Col3 where Col1 = '""&amp;$AZ263&amp;""'and Col2 = '""&amp;AA$21&amp;""'""))))"),"")</f>
        <v/>
      </c>
      <c r="K263" s="384" t="str">
        <f>IFERROR(__xludf.DUMMYFUNCTION("IF(K$43="""","""",IF($AZ263="""","""",IFERROR(Query({CarteirasAtivos},""Select Col3 where Col1 = '""&amp;$AZ263&amp;""'and Col2 = '""&amp;AB$21&amp;""'""))))"),"")</f>
        <v/>
      </c>
      <c r="L263" s="385">
        <v>220.0</v>
      </c>
      <c r="M263" s="503"/>
      <c r="N263" s="387"/>
      <c r="O263" s="388" t="s">
        <v>123</v>
      </c>
      <c r="P263" s="389"/>
      <c r="Q263" s="390"/>
      <c r="R263" s="391"/>
      <c r="S263" s="392"/>
      <c r="T263" s="393"/>
      <c r="U263" s="393"/>
      <c r="V263" s="394"/>
      <c r="W263" s="395" t="str">
        <f>IFERROR(__xludf.DUMMYFUNCTION("IF(M263="""","""",sparkline(IFERROR(BF263*100/MAX($BF$44:$BF$153),0),{""charttype"",""bar"";""max"",100;""color1"",IF(BD263&gt;=0,""#4760a5"",""red"")}))"),"")</f>
        <v/>
      </c>
      <c r="X263" s="396"/>
      <c r="Y263" s="466"/>
      <c r="Z263" s="398"/>
      <c r="AA263" s="399"/>
      <c r="AB263" s="393"/>
      <c r="AC263" s="476"/>
      <c r="AD263" s="401"/>
      <c r="AE263" s="402"/>
      <c r="AF263" s="403"/>
      <c r="AG263" s="404" t="str">
        <f>IFERROR(__xludf.DUMMYFUNCTION("IF($M263="""","""",IFERROR(sparkline(query(GOOGLEFINANCE($AZ263,""price"",TODAY()-$AF$43,TODAY(),1),""select Col2 label Col2 ''""),IF($AG$43=""Gráfico de barras"",{""charttype"",""column"";""highcolor"",""red""},{""chartype"",""line""}))))"),"")</f>
        <v/>
      </c>
      <c r="AH263" s="405"/>
      <c r="AI263" s="467"/>
      <c r="AJ263" s="467"/>
      <c r="AK263" s="467"/>
      <c r="AL263" s="467"/>
      <c r="AM263" s="442"/>
      <c r="AN263" s="442"/>
      <c r="AU263" s="281"/>
      <c r="AV263" s="281"/>
      <c r="AW263" s="281"/>
      <c r="AX263" s="281"/>
      <c r="AY263" s="410">
        <v>220.0</v>
      </c>
      <c r="AZ263" s="411"/>
      <c r="BA263" s="411"/>
      <c r="BB263" s="437"/>
      <c r="BC263" s="437"/>
      <c r="BD263" s="437"/>
      <c r="BE263" s="437"/>
      <c r="BF263" s="415" t="s">
        <v>123</v>
      </c>
      <c r="BG263" s="410">
        <v>220.0</v>
      </c>
      <c r="BH263" s="416"/>
      <c r="BI263" s="416"/>
      <c r="BJ263" s="416"/>
      <c r="BK263" s="416"/>
      <c r="BL263" s="416"/>
      <c r="BM263" s="416"/>
      <c r="BN263" s="282"/>
      <c r="BO263" s="490"/>
      <c r="BP263" s="489"/>
      <c r="BQ263" s="489"/>
      <c r="BR263" s="489"/>
      <c r="BS263" s="489"/>
      <c r="BT263" s="489"/>
      <c r="BU263" s="489"/>
      <c r="BV263" s="489"/>
      <c r="BW263" s="63"/>
      <c r="BX263" s="62"/>
      <c r="BY263" s="452"/>
      <c r="BZ263" s="452"/>
      <c r="CA263" s="452"/>
      <c r="CB263" s="452"/>
      <c r="CC263" s="452"/>
      <c r="CD263" s="452"/>
      <c r="CE263" s="452"/>
      <c r="CF263" s="452"/>
      <c r="CG263" s="452"/>
      <c r="CH263" s="422"/>
      <c r="CI263" s="422"/>
      <c r="CJ263" s="422"/>
      <c r="CK263" s="421"/>
      <c r="CL263" s="421" t="s">
        <v>123</v>
      </c>
      <c r="CM263" s="423"/>
      <c r="CN263" s="421"/>
      <c r="CO263" s="423"/>
      <c r="CP263" s="421"/>
      <c r="CQ263" s="63"/>
      <c r="CR263" s="63"/>
      <c r="CS263" s="63"/>
      <c r="CT263" s="63"/>
      <c r="CU263" s="447"/>
      <c r="CV263" s="447"/>
      <c r="CW263" s="447"/>
      <c r="CX263" s="447"/>
      <c r="CY263" s="447"/>
      <c r="CZ263" s="447"/>
      <c r="DA263" s="447"/>
      <c r="DB263" s="447"/>
      <c r="DC263" s="447"/>
      <c r="DD263" s="447"/>
      <c r="DE263" s="447"/>
      <c r="DF263" s="447"/>
      <c r="DG263" s="447"/>
      <c r="DH263" s="447"/>
      <c r="DI263" s="447"/>
      <c r="DJ263" s="447"/>
      <c r="DK263" s="447"/>
      <c r="DL263" s="67"/>
      <c r="DM263" s="67"/>
      <c r="DN263" s="67"/>
      <c r="DO263" s="67"/>
      <c r="DP263" s="67"/>
      <c r="DQ263" s="67"/>
    </row>
    <row r="264" ht="22.5" customHeight="1">
      <c r="A264" s="383"/>
      <c r="B264" s="384" t="str">
        <f>IFERROR(__xludf.DUMMYFUNCTION("IF(B$43="""","""",IF($AZ264="""","""",IFERROR(Query({CarteirasAtivos},""Select Col3 where Col1 = '""&amp;$AZ264&amp;""'and Col2 = '""&amp;S$21&amp;""'""))))"),"")</f>
        <v/>
      </c>
      <c r="C264" s="384" t="str">
        <f>IFERROR(__xludf.DUMMYFUNCTION("IF(C$43="""","""",IF($AZ264="""","""",IFERROR(Query({CarteirasAtivos},""Select Col3 where Col1 = '""&amp;$AZ264&amp;""'and Col2 = '""&amp;T$21&amp;""'""))))"),"")</f>
        <v/>
      </c>
      <c r="D264" s="384" t="str">
        <f>IFERROR(__xludf.DUMMYFUNCTION("IF(D$43="""","""",IF($AZ264="""","""",IFERROR(Query({CarteirasAtivos},""Select Col3 where Col1 = '""&amp;$AZ264&amp;""'and Col2 = '""&amp;U$21&amp;""'""))))"),"")</f>
        <v/>
      </c>
      <c r="E264" s="384" t="str">
        <f>IFERROR(__xludf.DUMMYFUNCTION("IF(E$43="""","""",IF($AZ264="""","""",IFERROR(Query({CarteirasAtivos},""Select Col3 where Col1 = '""&amp;$AZ264&amp;""'and Col2 = '""&amp;V$21&amp;""'""))))"),"")</f>
        <v/>
      </c>
      <c r="F264" s="384" t="str">
        <f>IFERROR(__xludf.DUMMYFUNCTION("IF(F$43="""","""",IF($AZ264="""","""",IFERROR(Query({CarteirasAtivos},""Select Col3 where Col1 = '""&amp;$AZ264&amp;""'and Col2 = '""&amp;W$21&amp;""'""))))"),"")</f>
        <v/>
      </c>
      <c r="G264" s="384" t="str">
        <f>IFERROR(__xludf.DUMMYFUNCTION("IF(G$43="""","""",IF($AZ264="""","""",IFERROR(Query({CarteirasAtivos},""Select Col3 where Col1 = '""&amp;$AZ264&amp;""'and Col2 = '""&amp;X$21&amp;""'""))))"),"")</f>
        <v/>
      </c>
      <c r="H264" s="384" t="str">
        <f>IFERROR(__xludf.DUMMYFUNCTION("IF(H$43="""","""",IF($AZ264="""","""",IFERROR(Query({CarteirasAtivos},""Select Col3 where Col1 = '""&amp;$AZ264&amp;""'and Col2 = '""&amp;Y$21&amp;""'""))))"),"")</f>
        <v/>
      </c>
      <c r="I264" s="384" t="str">
        <f>IFERROR(__xludf.DUMMYFUNCTION("IF(I$43="""","""",IF($AZ264="""","""",IFERROR(Query({CarteirasAtivos},""Select Col3 where Col1 = '""&amp;$AZ264&amp;""'and Col2 = '""&amp;Z$21&amp;""'""))))"),"")</f>
        <v/>
      </c>
      <c r="J264" s="384" t="str">
        <f>IFERROR(__xludf.DUMMYFUNCTION("IF(J$43="""","""",IF($AZ264="""","""",IFERROR(Query({CarteirasAtivos},""Select Col3 where Col1 = '""&amp;$AZ264&amp;""'and Col2 = '""&amp;AA$21&amp;""'""))))"),"")</f>
        <v/>
      </c>
      <c r="K264" s="384" t="str">
        <f>IFERROR(__xludf.DUMMYFUNCTION("IF(K$43="""","""",IF($AZ264="""","""",IFERROR(Query({CarteirasAtivos},""Select Col3 where Col1 = '""&amp;$AZ264&amp;""'and Col2 = '""&amp;AB$21&amp;""'""))))"),"")</f>
        <v/>
      </c>
      <c r="L264" s="385">
        <v>221.0</v>
      </c>
      <c r="M264" s="503"/>
      <c r="N264" s="387"/>
      <c r="O264" s="388" t="s">
        <v>123</v>
      </c>
      <c r="P264" s="389"/>
      <c r="Q264" s="390"/>
      <c r="R264" s="391"/>
      <c r="S264" s="392"/>
      <c r="T264" s="393"/>
      <c r="U264" s="393"/>
      <c r="V264" s="394"/>
      <c r="W264" s="395" t="str">
        <f>IFERROR(__xludf.DUMMYFUNCTION("IF(M264="""","""",sparkline(IFERROR(BF264*100/MAX($BF$44:$BF$153),0),{""charttype"",""bar"";""max"",100;""color1"",IF(BD264&gt;=0,""#4760a5"",""red"")}))"),"")</f>
        <v/>
      </c>
      <c r="X264" s="396"/>
      <c r="Y264" s="466"/>
      <c r="Z264" s="398"/>
      <c r="AA264" s="399"/>
      <c r="AB264" s="393"/>
      <c r="AC264" s="476"/>
      <c r="AD264" s="401"/>
      <c r="AE264" s="402"/>
      <c r="AF264" s="403"/>
      <c r="AG264" s="404" t="str">
        <f>IFERROR(__xludf.DUMMYFUNCTION("IF($M264="""","""",IFERROR(sparkline(query(GOOGLEFINANCE($AZ264,""price"",TODAY()-$AF$43,TODAY(),1),""select Col2 label Col2 ''""),IF($AG$43=""Gráfico de barras"",{""charttype"",""column"";""highcolor"",""red""},{""chartype"",""line""}))))"),"")</f>
        <v/>
      </c>
      <c r="AH264" s="405"/>
      <c r="AI264" s="467"/>
      <c r="AJ264" s="467"/>
      <c r="AK264" s="467"/>
      <c r="AL264" s="467"/>
      <c r="AM264" s="442"/>
      <c r="AN264" s="442"/>
      <c r="AU264" s="281"/>
      <c r="AV264" s="281"/>
      <c r="AW264" s="281"/>
      <c r="AX264" s="281"/>
      <c r="AY264" s="410">
        <v>221.0</v>
      </c>
      <c r="AZ264" s="411"/>
      <c r="BA264" s="411"/>
      <c r="BB264" s="437"/>
      <c r="BC264" s="437"/>
      <c r="BD264" s="437"/>
      <c r="BE264" s="437"/>
      <c r="BF264" s="415" t="s">
        <v>123</v>
      </c>
      <c r="BG264" s="410">
        <v>221.0</v>
      </c>
      <c r="BH264" s="416"/>
      <c r="BI264" s="416"/>
      <c r="BJ264" s="416"/>
      <c r="BK264" s="416"/>
      <c r="BL264" s="416"/>
      <c r="BM264" s="416"/>
      <c r="BN264" s="282"/>
      <c r="BO264" s="490"/>
      <c r="BP264" s="489"/>
      <c r="BQ264" s="489"/>
      <c r="BR264" s="489"/>
      <c r="BS264" s="489"/>
      <c r="BT264" s="489"/>
      <c r="BU264" s="489"/>
      <c r="BV264" s="489"/>
      <c r="BW264" s="63"/>
      <c r="BX264" s="62"/>
      <c r="BY264" s="452"/>
      <c r="BZ264" s="452"/>
      <c r="CA264" s="452"/>
      <c r="CB264" s="452"/>
      <c r="CC264" s="452"/>
      <c r="CD264" s="452"/>
      <c r="CE264" s="452"/>
      <c r="CF264" s="452"/>
      <c r="CG264" s="452"/>
      <c r="CH264" s="422"/>
      <c r="CI264" s="422"/>
      <c r="CJ264" s="422"/>
      <c r="CK264" s="421"/>
      <c r="CL264" s="421" t="s">
        <v>123</v>
      </c>
      <c r="CM264" s="423"/>
      <c r="CN264" s="421"/>
      <c r="CO264" s="423"/>
      <c r="CP264" s="421"/>
      <c r="CQ264" s="63"/>
      <c r="CR264" s="63"/>
      <c r="CS264" s="63"/>
      <c r="CT264" s="63"/>
      <c r="CU264" s="447"/>
      <c r="CV264" s="447"/>
      <c r="CW264" s="447"/>
      <c r="CX264" s="447"/>
      <c r="CY264" s="447"/>
      <c r="CZ264" s="447"/>
      <c r="DA264" s="447"/>
      <c r="DB264" s="447"/>
      <c r="DC264" s="447"/>
      <c r="DD264" s="447"/>
      <c r="DE264" s="447"/>
      <c r="DF264" s="447"/>
      <c r="DG264" s="447"/>
      <c r="DH264" s="447"/>
      <c r="DI264" s="447"/>
      <c r="DJ264" s="447"/>
      <c r="DK264" s="447"/>
      <c r="DL264" s="67"/>
      <c r="DM264" s="67"/>
      <c r="DN264" s="67"/>
      <c r="DO264" s="67"/>
      <c r="DP264" s="67"/>
      <c r="DQ264" s="67"/>
    </row>
    <row r="265" ht="22.5" customHeight="1">
      <c r="A265" s="383"/>
      <c r="B265" s="384" t="str">
        <f>IFERROR(__xludf.DUMMYFUNCTION("IF(B$43="""","""",IF($AZ265="""","""",IFERROR(Query({CarteirasAtivos},""Select Col3 where Col1 = '""&amp;$AZ265&amp;""'and Col2 = '""&amp;S$21&amp;""'""))))"),"")</f>
        <v/>
      </c>
      <c r="C265" s="384" t="str">
        <f>IFERROR(__xludf.DUMMYFUNCTION("IF(C$43="""","""",IF($AZ265="""","""",IFERROR(Query({CarteirasAtivos},""Select Col3 where Col1 = '""&amp;$AZ265&amp;""'and Col2 = '""&amp;T$21&amp;""'""))))"),"")</f>
        <v/>
      </c>
      <c r="D265" s="384" t="str">
        <f>IFERROR(__xludf.DUMMYFUNCTION("IF(D$43="""","""",IF($AZ265="""","""",IFERROR(Query({CarteirasAtivos},""Select Col3 where Col1 = '""&amp;$AZ265&amp;""'and Col2 = '""&amp;U$21&amp;""'""))))"),"")</f>
        <v/>
      </c>
      <c r="E265" s="384" t="str">
        <f>IFERROR(__xludf.DUMMYFUNCTION("IF(E$43="""","""",IF($AZ265="""","""",IFERROR(Query({CarteirasAtivos},""Select Col3 where Col1 = '""&amp;$AZ265&amp;""'and Col2 = '""&amp;V$21&amp;""'""))))"),"")</f>
        <v/>
      </c>
      <c r="F265" s="384" t="str">
        <f>IFERROR(__xludf.DUMMYFUNCTION("IF(F$43="""","""",IF($AZ265="""","""",IFERROR(Query({CarteirasAtivos},""Select Col3 where Col1 = '""&amp;$AZ265&amp;""'and Col2 = '""&amp;W$21&amp;""'""))))"),"")</f>
        <v/>
      </c>
      <c r="G265" s="384" t="str">
        <f>IFERROR(__xludf.DUMMYFUNCTION("IF(G$43="""","""",IF($AZ265="""","""",IFERROR(Query({CarteirasAtivos},""Select Col3 where Col1 = '""&amp;$AZ265&amp;""'and Col2 = '""&amp;X$21&amp;""'""))))"),"")</f>
        <v/>
      </c>
      <c r="H265" s="384" t="str">
        <f>IFERROR(__xludf.DUMMYFUNCTION("IF(H$43="""","""",IF($AZ265="""","""",IFERROR(Query({CarteirasAtivos},""Select Col3 where Col1 = '""&amp;$AZ265&amp;""'and Col2 = '""&amp;Y$21&amp;""'""))))"),"")</f>
        <v/>
      </c>
      <c r="I265" s="384" t="str">
        <f>IFERROR(__xludf.DUMMYFUNCTION("IF(I$43="""","""",IF($AZ265="""","""",IFERROR(Query({CarteirasAtivos},""Select Col3 where Col1 = '""&amp;$AZ265&amp;""'and Col2 = '""&amp;Z$21&amp;""'""))))"),"")</f>
        <v/>
      </c>
      <c r="J265" s="384" t="str">
        <f>IFERROR(__xludf.DUMMYFUNCTION("IF(J$43="""","""",IF($AZ265="""","""",IFERROR(Query({CarteirasAtivos},""Select Col3 where Col1 = '""&amp;$AZ265&amp;""'and Col2 = '""&amp;AA$21&amp;""'""))))"),"")</f>
        <v/>
      </c>
      <c r="K265" s="384" t="str">
        <f>IFERROR(__xludf.DUMMYFUNCTION("IF(K$43="""","""",IF($AZ265="""","""",IFERROR(Query({CarteirasAtivos},""Select Col3 where Col1 = '""&amp;$AZ265&amp;""'and Col2 = '""&amp;AB$21&amp;""'""))))"),"")</f>
        <v/>
      </c>
      <c r="L265" s="385">
        <v>222.0</v>
      </c>
      <c r="M265" s="503"/>
      <c r="N265" s="387"/>
      <c r="O265" s="388" t="s">
        <v>123</v>
      </c>
      <c r="P265" s="389"/>
      <c r="Q265" s="390"/>
      <c r="R265" s="391"/>
      <c r="S265" s="392"/>
      <c r="T265" s="393"/>
      <c r="U265" s="393"/>
      <c r="V265" s="394"/>
      <c r="W265" s="395" t="str">
        <f>IFERROR(__xludf.DUMMYFUNCTION("IF(M265="""","""",sparkline(IFERROR(BF265*100/MAX($BF$44:$BF$153),0),{""charttype"",""bar"";""max"",100;""color1"",IF(BD265&gt;=0,""#4760a5"",""red"")}))"),"")</f>
        <v/>
      </c>
      <c r="X265" s="396"/>
      <c r="Y265" s="466"/>
      <c r="Z265" s="398"/>
      <c r="AA265" s="399"/>
      <c r="AB265" s="393"/>
      <c r="AC265" s="476"/>
      <c r="AD265" s="401"/>
      <c r="AE265" s="402"/>
      <c r="AF265" s="403"/>
      <c r="AG265" s="404" t="str">
        <f>IFERROR(__xludf.DUMMYFUNCTION("IF($M265="""","""",IFERROR(sparkline(query(GOOGLEFINANCE($AZ265,""price"",TODAY()-$AF$43,TODAY(),1),""select Col2 label Col2 ''""),IF($AG$43=""Gráfico de barras"",{""charttype"",""column"";""highcolor"",""red""},{""chartype"",""line""}))))"),"")</f>
        <v/>
      </c>
      <c r="AH265" s="405"/>
      <c r="AI265" s="467"/>
      <c r="AJ265" s="467"/>
      <c r="AK265" s="467"/>
      <c r="AL265" s="467"/>
      <c r="AM265" s="442"/>
      <c r="AN265" s="442"/>
      <c r="AU265" s="281"/>
      <c r="AV265" s="281"/>
      <c r="AW265" s="281"/>
      <c r="AX265" s="281"/>
      <c r="AY265" s="410">
        <v>222.0</v>
      </c>
      <c r="AZ265" s="411"/>
      <c r="BA265" s="411"/>
      <c r="BB265" s="437"/>
      <c r="BC265" s="437"/>
      <c r="BD265" s="437"/>
      <c r="BE265" s="437"/>
      <c r="BF265" s="415" t="s">
        <v>123</v>
      </c>
      <c r="BG265" s="410">
        <v>222.0</v>
      </c>
      <c r="BH265" s="416"/>
      <c r="BI265" s="416"/>
      <c r="BJ265" s="416"/>
      <c r="BK265" s="416"/>
      <c r="BL265" s="416"/>
      <c r="BM265" s="416"/>
      <c r="BN265" s="282"/>
      <c r="BO265" s="490"/>
      <c r="BP265" s="489"/>
      <c r="BQ265" s="489"/>
      <c r="BR265" s="489"/>
      <c r="BS265" s="489"/>
      <c r="BT265" s="489"/>
      <c r="BU265" s="489"/>
      <c r="BV265" s="489"/>
      <c r="BW265" s="63"/>
      <c r="BX265" s="62"/>
      <c r="BY265" s="452"/>
      <c r="BZ265" s="452"/>
      <c r="CA265" s="452"/>
      <c r="CB265" s="452"/>
      <c r="CC265" s="452"/>
      <c r="CD265" s="452"/>
      <c r="CE265" s="452"/>
      <c r="CF265" s="452"/>
      <c r="CG265" s="452"/>
      <c r="CH265" s="422"/>
      <c r="CI265" s="422"/>
      <c r="CJ265" s="422"/>
      <c r="CK265" s="421"/>
      <c r="CL265" s="421" t="s">
        <v>123</v>
      </c>
      <c r="CM265" s="423"/>
      <c r="CN265" s="421"/>
      <c r="CO265" s="423"/>
      <c r="CP265" s="421"/>
      <c r="CQ265" s="63"/>
      <c r="CR265" s="63"/>
      <c r="CS265" s="63"/>
      <c r="CT265" s="63"/>
      <c r="CU265" s="447"/>
      <c r="CV265" s="447"/>
      <c r="CW265" s="447"/>
      <c r="CX265" s="447"/>
      <c r="CY265" s="447"/>
      <c r="CZ265" s="447"/>
      <c r="DA265" s="447"/>
      <c r="DB265" s="447"/>
      <c r="DC265" s="447"/>
      <c r="DD265" s="447"/>
      <c r="DE265" s="447"/>
      <c r="DF265" s="447"/>
      <c r="DG265" s="447"/>
      <c r="DH265" s="447"/>
      <c r="DI265" s="447"/>
      <c r="DJ265" s="447"/>
      <c r="DK265" s="447"/>
      <c r="DL265" s="67"/>
      <c r="DM265" s="67"/>
      <c r="DN265" s="67"/>
      <c r="DO265" s="67"/>
      <c r="DP265" s="67"/>
      <c r="DQ265" s="67"/>
    </row>
    <row r="266" ht="22.5" customHeight="1">
      <c r="A266" s="383"/>
      <c r="B266" s="384" t="str">
        <f>IFERROR(__xludf.DUMMYFUNCTION("IF(B$43="""","""",IF($AZ266="""","""",IFERROR(Query({CarteirasAtivos},""Select Col3 where Col1 = '""&amp;$AZ266&amp;""'and Col2 = '""&amp;S$21&amp;""'""))))"),"")</f>
        <v/>
      </c>
      <c r="C266" s="384" t="str">
        <f>IFERROR(__xludf.DUMMYFUNCTION("IF(C$43="""","""",IF($AZ266="""","""",IFERROR(Query({CarteirasAtivos},""Select Col3 where Col1 = '""&amp;$AZ266&amp;""'and Col2 = '""&amp;T$21&amp;""'""))))"),"")</f>
        <v/>
      </c>
      <c r="D266" s="384" t="str">
        <f>IFERROR(__xludf.DUMMYFUNCTION("IF(D$43="""","""",IF($AZ266="""","""",IFERROR(Query({CarteirasAtivos},""Select Col3 where Col1 = '""&amp;$AZ266&amp;""'and Col2 = '""&amp;U$21&amp;""'""))))"),"")</f>
        <v/>
      </c>
      <c r="E266" s="384" t="str">
        <f>IFERROR(__xludf.DUMMYFUNCTION("IF(E$43="""","""",IF($AZ266="""","""",IFERROR(Query({CarteirasAtivos},""Select Col3 where Col1 = '""&amp;$AZ266&amp;""'and Col2 = '""&amp;V$21&amp;""'""))))"),"")</f>
        <v/>
      </c>
      <c r="F266" s="384" t="str">
        <f>IFERROR(__xludf.DUMMYFUNCTION("IF(F$43="""","""",IF($AZ266="""","""",IFERROR(Query({CarteirasAtivos},""Select Col3 where Col1 = '""&amp;$AZ266&amp;""'and Col2 = '""&amp;W$21&amp;""'""))))"),"")</f>
        <v/>
      </c>
      <c r="G266" s="384" t="str">
        <f>IFERROR(__xludf.DUMMYFUNCTION("IF(G$43="""","""",IF($AZ266="""","""",IFERROR(Query({CarteirasAtivos},""Select Col3 where Col1 = '""&amp;$AZ266&amp;""'and Col2 = '""&amp;X$21&amp;""'""))))"),"")</f>
        <v/>
      </c>
      <c r="H266" s="384" t="str">
        <f>IFERROR(__xludf.DUMMYFUNCTION("IF(H$43="""","""",IF($AZ266="""","""",IFERROR(Query({CarteirasAtivos},""Select Col3 where Col1 = '""&amp;$AZ266&amp;""'and Col2 = '""&amp;Y$21&amp;""'""))))"),"")</f>
        <v/>
      </c>
      <c r="I266" s="384" t="str">
        <f>IFERROR(__xludf.DUMMYFUNCTION("IF(I$43="""","""",IF($AZ266="""","""",IFERROR(Query({CarteirasAtivos},""Select Col3 where Col1 = '""&amp;$AZ266&amp;""'and Col2 = '""&amp;Z$21&amp;""'""))))"),"")</f>
        <v/>
      </c>
      <c r="J266" s="384" t="str">
        <f>IFERROR(__xludf.DUMMYFUNCTION("IF(J$43="""","""",IF($AZ266="""","""",IFERROR(Query({CarteirasAtivos},""Select Col3 where Col1 = '""&amp;$AZ266&amp;""'and Col2 = '""&amp;AA$21&amp;""'""))))"),"")</f>
        <v/>
      </c>
      <c r="K266" s="384" t="str">
        <f>IFERROR(__xludf.DUMMYFUNCTION("IF(K$43="""","""",IF($AZ266="""","""",IFERROR(Query({CarteirasAtivos},""Select Col3 where Col1 = '""&amp;$AZ266&amp;""'and Col2 = '""&amp;AB$21&amp;""'""))))"),"")</f>
        <v/>
      </c>
      <c r="L266" s="385">
        <v>223.0</v>
      </c>
      <c r="M266" s="503"/>
      <c r="N266" s="387"/>
      <c r="O266" s="388" t="s">
        <v>123</v>
      </c>
      <c r="P266" s="389"/>
      <c r="Q266" s="390"/>
      <c r="R266" s="391"/>
      <c r="S266" s="392"/>
      <c r="T266" s="393"/>
      <c r="U266" s="393"/>
      <c r="V266" s="394"/>
      <c r="W266" s="395" t="str">
        <f>IFERROR(__xludf.DUMMYFUNCTION("IF(M266="""","""",sparkline(IFERROR(BF266*100/MAX($BF$44:$BF$153),0),{""charttype"",""bar"";""max"",100;""color1"",IF(BD266&gt;=0,""#4760a5"",""red"")}))"),"")</f>
        <v/>
      </c>
      <c r="X266" s="396"/>
      <c r="Y266" s="466"/>
      <c r="Z266" s="398"/>
      <c r="AA266" s="399"/>
      <c r="AB266" s="393"/>
      <c r="AC266" s="476"/>
      <c r="AD266" s="401"/>
      <c r="AE266" s="402"/>
      <c r="AF266" s="403"/>
      <c r="AG266" s="404" t="str">
        <f>IFERROR(__xludf.DUMMYFUNCTION("IF($M266="""","""",IFERROR(sparkline(query(GOOGLEFINANCE($AZ266,""price"",TODAY()-$AF$43,TODAY(),1),""select Col2 label Col2 ''""),IF($AG$43=""Gráfico de barras"",{""charttype"",""column"";""highcolor"",""red""},{""chartype"",""line""}))))"),"")</f>
        <v/>
      </c>
      <c r="AH266" s="405"/>
      <c r="AI266" s="467"/>
      <c r="AJ266" s="467"/>
      <c r="AK266" s="467"/>
      <c r="AL266" s="467"/>
      <c r="AM266" s="442"/>
      <c r="AN266" s="442"/>
      <c r="AU266" s="281"/>
      <c r="AV266" s="281"/>
      <c r="AW266" s="281"/>
      <c r="AX266" s="281"/>
      <c r="AY266" s="410">
        <v>223.0</v>
      </c>
      <c r="AZ266" s="411"/>
      <c r="BA266" s="411"/>
      <c r="BB266" s="437"/>
      <c r="BC266" s="437"/>
      <c r="BD266" s="437"/>
      <c r="BE266" s="437"/>
      <c r="BF266" s="415" t="s">
        <v>123</v>
      </c>
      <c r="BG266" s="410">
        <v>223.0</v>
      </c>
      <c r="BH266" s="416"/>
      <c r="BI266" s="416"/>
      <c r="BJ266" s="416"/>
      <c r="BK266" s="416"/>
      <c r="BL266" s="416"/>
      <c r="BM266" s="416"/>
      <c r="BN266" s="282"/>
      <c r="BO266" s="490"/>
      <c r="BP266" s="489"/>
      <c r="BQ266" s="489"/>
      <c r="BR266" s="489"/>
      <c r="BS266" s="489"/>
      <c r="BT266" s="489"/>
      <c r="BU266" s="489"/>
      <c r="BV266" s="489"/>
      <c r="BW266" s="63"/>
      <c r="BX266" s="62"/>
      <c r="BY266" s="452"/>
      <c r="BZ266" s="452"/>
      <c r="CA266" s="452"/>
      <c r="CB266" s="452"/>
      <c r="CC266" s="452"/>
      <c r="CD266" s="452"/>
      <c r="CE266" s="452"/>
      <c r="CF266" s="452"/>
      <c r="CG266" s="452"/>
      <c r="CH266" s="422"/>
      <c r="CI266" s="422"/>
      <c r="CJ266" s="422"/>
      <c r="CK266" s="421"/>
      <c r="CL266" s="421" t="s">
        <v>123</v>
      </c>
      <c r="CM266" s="423"/>
      <c r="CN266" s="421"/>
      <c r="CO266" s="423"/>
      <c r="CP266" s="421"/>
      <c r="CQ266" s="63"/>
      <c r="CR266" s="63"/>
      <c r="CS266" s="63"/>
      <c r="CT266" s="63"/>
      <c r="CU266" s="447"/>
      <c r="CV266" s="447"/>
      <c r="CW266" s="447"/>
      <c r="CX266" s="447"/>
      <c r="CY266" s="447"/>
      <c r="CZ266" s="447"/>
      <c r="DA266" s="447"/>
      <c r="DB266" s="447"/>
      <c r="DC266" s="447"/>
      <c r="DD266" s="447"/>
      <c r="DE266" s="447"/>
      <c r="DF266" s="447"/>
      <c r="DG266" s="447"/>
      <c r="DH266" s="447"/>
      <c r="DI266" s="447"/>
      <c r="DJ266" s="447"/>
      <c r="DK266" s="447"/>
      <c r="DL266" s="67"/>
      <c r="DM266" s="67"/>
      <c r="DN266" s="67"/>
      <c r="DO266" s="67"/>
      <c r="DP266" s="67"/>
      <c r="DQ266" s="67"/>
    </row>
    <row r="267" ht="22.5" customHeight="1">
      <c r="A267" s="383"/>
      <c r="B267" s="384" t="str">
        <f>IFERROR(__xludf.DUMMYFUNCTION("IF(B$43="""","""",IF($AZ267="""","""",IFERROR(Query({CarteirasAtivos},""Select Col3 where Col1 = '""&amp;$AZ267&amp;""'and Col2 = '""&amp;S$21&amp;""'""))))"),"")</f>
        <v/>
      </c>
      <c r="C267" s="384" t="str">
        <f>IFERROR(__xludf.DUMMYFUNCTION("IF(C$43="""","""",IF($AZ267="""","""",IFERROR(Query({CarteirasAtivos},""Select Col3 where Col1 = '""&amp;$AZ267&amp;""'and Col2 = '""&amp;T$21&amp;""'""))))"),"")</f>
        <v/>
      </c>
      <c r="D267" s="384" t="str">
        <f>IFERROR(__xludf.DUMMYFUNCTION("IF(D$43="""","""",IF($AZ267="""","""",IFERROR(Query({CarteirasAtivos},""Select Col3 where Col1 = '""&amp;$AZ267&amp;""'and Col2 = '""&amp;U$21&amp;""'""))))"),"")</f>
        <v/>
      </c>
      <c r="E267" s="384" t="str">
        <f>IFERROR(__xludf.DUMMYFUNCTION("IF(E$43="""","""",IF($AZ267="""","""",IFERROR(Query({CarteirasAtivos},""Select Col3 where Col1 = '""&amp;$AZ267&amp;""'and Col2 = '""&amp;V$21&amp;""'""))))"),"")</f>
        <v/>
      </c>
      <c r="F267" s="384" t="str">
        <f>IFERROR(__xludf.DUMMYFUNCTION("IF(F$43="""","""",IF($AZ267="""","""",IFERROR(Query({CarteirasAtivos},""Select Col3 where Col1 = '""&amp;$AZ267&amp;""'and Col2 = '""&amp;W$21&amp;""'""))))"),"")</f>
        <v/>
      </c>
      <c r="G267" s="384" t="str">
        <f>IFERROR(__xludf.DUMMYFUNCTION("IF(G$43="""","""",IF($AZ267="""","""",IFERROR(Query({CarteirasAtivos},""Select Col3 where Col1 = '""&amp;$AZ267&amp;""'and Col2 = '""&amp;X$21&amp;""'""))))"),"")</f>
        <v/>
      </c>
      <c r="H267" s="384" t="str">
        <f>IFERROR(__xludf.DUMMYFUNCTION("IF(H$43="""","""",IF($AZ267="""","""",IFERROR(Query({CarteirasAtivos},""Select Col3 where Col1 = '""&amp;$AZ267&amp;""'and Col2 = '""&amp;Y$21&amp;""'""))))"),"")</f>
        <v/>
      </c>
      <c r="I267" s="384" t="str">
        <f>IFERROR(__xludf.DUMMYFUNCTION("IF(I$43="""","""",IF($AZ267="""","""",IFERROR(Query({CarteirasAtivos},""Select Col3 where Col1 = '""&amp;$AZ267&amp;""'and Col2 = '""&amp;Z$21&amp;""'""))))"),"")</f>
        <v/>
      </c>
      <c r="J267" s="384" t="str">
        <f>IFERROR(__xludf.DUMMYFUNCTION("IF(J$43="""","""",IF($AZ267="""","""",IFERROR(Query({CarteirasAtivos},""Select Col3 where Col1 = '""&amp;$AZ267&amp;""'and Col2 = '""&amp;AA$21&amp;""'""))))"),"")</f>
        <v/>
      </c>
      <c r="K267" s="384" t="str">
        <f>IFERROR(__xludf.DUMMYFUNCTION("IF(K$43="""","""",IF($AZ267="""","""",IFERROR(Query({CarteirasAtivos},""Select Col3 where Col1 = '""&amp;$AZ267&amp;""'and Col2 = '""&amp;AB$21&amp;""'""))))"),"")</f>
        <v/>
      </c>
      <c r="L267" s="385">
        <v>224.0</v>
      </c>
      <c r="M267" s="503"/>
      <c r="N267" s="387"/>
      <c r="O267" s="388" t="s">
        <v>123</v>
      </c>
      <c r="P267" s="389"/>
      <c r="Q267" s="390"/>
      <c r="R267" s="391"/>
      <c r="S267" s="392"/>
      <c r="T267" s="393"/>
      <c r="U267" s="393"/>
      <c r="V267" s="394"/>
      <c r="W267" s="395" t="str">
        <f>IFERROR(__xludf.DUMMYFUNCTION("IF(M267="""","""",sparkline(IFERROR(BF267*100/MAX($BF$44:$BF$153),0),{""charttype"",""bar"";""max"",100;""color1"",IF(BD267&gt;=0,""#4760a5"",""red"")}))"),"")</f>
        <v/>
      </c>
      <c r="X267" s="396"/>
      <c r="Y267" s="466"/>
      <c r="Z267" s="398"/>
      <c r="AA267" s="399"/>
      <c r="AB267" s="393"/>
      <c r="AC267" s="476"/>
      <c r="AD267" s="401"/>
      <c r="AE267" s="402"/>
      <c r="AF267" s="403"/>
      <c r="AG267" s="404" t="str">
        <f>IFERROR(__xludf.DUMMYFUNCTION("IF($M267="""","""",IFERROR(sparkline(query(GOOGLEFINANCE($AZ267,""price"",TODAY()-$AF$43,TODAY(),1),""select Col2 label Col2 ''""),IF($AG$43=""Gráfico de barras"",{""charttype"",""column"";""highcolor"",""red""},{""chartype"",""line""}))))"),"")</f>
        <v/>
      </c>
      <c r="AH267" s="405"/>
      <c r="AI267" s="467"/>
      <c r="AJ267" s="467"/>
      <c r="AK267" s="467"/>
      <c r="AL267" s="467"/>
      <c r="AM267" s="442"/>
      <c r="AN267" s="442"/>
      <c r="AU267" s="281"/>
      <c r="AV267" s="281"/>
      <c r="AW267" s="281"/>
      <c r="AX267" s="281"/>
      <c r="AY267" s="410">
        <v>224.0</v>
      </c>
      <c r="AZ267" s="411"/>
      <c r="BA267" s="411"/>
      <c r="BB267" s="437"/>
      <c r="BC267" s="437"/>
      <c r="BD267" s="437"/>
      <c r="BE267" s="437"/>
      <c r="BF267" s="415" t="s">
        <v>123</v>
      </c>
      <c r="BG267" s="410">
        <v>224.0</v>
      </c>
      <c r="BH267" s="416"/>
      <c r="BI267" s="416"/>
      <c r="BJ267" s="416"/>
      <c r="BK267" s="416"/>
      <c r="BL267" s="416"/>
      <c r="BM267" s="416"/>
      <c r="BN267" s="282"/>
      <c r="BO267" s="490"/>
      <c r="BP267" s="489"/>
      <c r="BQ267" s="489"/>
      <c r="BR267" s="489"/>
      <c r="BS267" s="489"/>
      <c r="BT267" s="489"/>
      <c r="BU267" s="489"/>
      <c r="BV267" s="489"/>
      <c r="BW267" s="63"/>
      <c r="BX267" s="62"/>
      <c r="BY267" s="452"/>
      <c r="BZ267" s="452"/>
      <c r="CA267" s="452"/>
      <c r="CB267" s="452"/>
      <c r="CC267" s="452"/>
      <c r="CD267" s="452"/>
      <c r="CE267" s="452"/>
      <c r="CF267" s="452"/>
      <c r="CG267" s="452"/>
      <c r="CH267" s="422"/>
      <c r="CI267" s="422"/>
      <c r="CJ267" s="422"/>
      <c r="CK267" s="421"/>
      <c r="CL267" s="421" t="s">
        <v>123</v>
      </c>
      <c r="CM267" s="423"/>
      <c r="CN267" s="421"/>
      <c r="CO267" s="423"/>
      <c r="CP267" s="421"/>
      <c r="CQ267" s="63"/>
      <c r="CR267" s="63"/>
      <c r="CS267" s="63"/>
      <c r="CT267" s="63"/>
      <c r="CU267" s="447"/>
      <c r="CV267" s="447"/>
      <c r="CW267" s="447"/>
      <c r="CX267" s="447"/>
      <c r="CY267" s="447"/>
      <c r="CZ267" s="447"/>
      <c r="DA267" s="447"/>
      <c r="DB267" s="447"/>
      <c r="DC267" s="447"/>
      <c r="DD267" s="447"/>
      <c r="DE267" s="447"/>
      <c r="DF267" s="447"/>
      <c r="DG267" s="447"/>
      <c r="DH267" s="447"/>
      <c r="DI267" s="447"/>
      <c r="DJ267" s="447"/>
      <c r="DK267" s="447"/>
      <c r="DL267" s="67"/>
      <c r="DM267" s="67"/>
      <c r="DN267" s="67"/>
      <c r="DO267" s="67"/>
      <c r="DP267" s="67"/>
      <c r="DQ267" s="67"/>
    </row>
    <row r="268" ht="22.5" customHeight="1">
      <c r="A268" s="383"/>
      <c r="B268" s="384" t="str">
        <f>IFERROR(__xludf.DUMMYFUNCTION("IF(B$43="""","""",IF($AZ268="""","""",IFERROR(Query({CarteirasAtivos},""Select Col3 where Col1 = '""&amp;$AZ268&amp;""'and Col2 = '""&amp;S$21&amp;""'""))))"),"")</f>
        <v/>
      </c>
      <c r="C268" s="384" t="str">
        <f>IFERROR(__xludf.DUMMYFUNCTION("IF(C$43="""","""",IF($AZ268="""","""",IFERROR(Query({CarteirasAtivos},""Select Col3 where Col1 = '""&amp;$AZ268&amp;""'and Col2 = '""&amp;T$21&amp;""'""))))"),"")</f>
        <v/>
      </c>
      <c r="D268" s="384" t="str">
        <f>IFERROR(__xludf.DUMMYFUNCTION("IF(D$43="""","""",IF($AZ268="""","""",IFERROR(Query({CarteirasAtivos},""Select Col3 where Col1 = '""&amp;$AZ268&amp;""'and Col2 = '""&amp;U$21&amp;""'""))))"),"")</f>
        <v/>
      </c>
      <c r="E268" s="384" t="str">
        <f>IFERROR(__xludf.DUMMYFUNCTION("IF(E$43="""","""",IF($AZ268="""","""",IFERROR(Query({CarteirasAtivos},""Select Col3 where Col1 = '""&amp;$AZ268&amp;""'and Col2 = '""&amp;V$21&amp;""'""))))"),"")</f>
        <v/>
      </c>
      <c r="F268" s="384" t="str">
        <f>IFERROR(__xludf.DUMMYFUNCTION("IF(F$43="""","""",IF($AZ268="""","""",IFERROR(Query({CarteirasAtivos},""Select Col3 where Col1 = '""&amp;$AZ268&amp;""'and Col2 = '""&amp;W$21&amp;""'""))))"),"")</f>
        <v/>
      </c>
      <c r="G268" s="384" t="str">
        <f>IFERROR(__xludf.DUMMYFUNCTION("IF(G$43="""","""",IF($AZ268="""","""",IFERROR(Query({CarteirasAtivos},""Select Col3 where Col1 = '""&amp;$AZ268&amp;""'and Col2 = '""&amp;X$21&amp;""'""))))"),"")</f>
        <v/>
      </c>
      <c r="H268" s="384" t="str">
        <f>IFERROR(__xludf.DUMMYFUNCTION("IF(H$43="""","""",IF($AZ268="""","""",IFERROR(Query({CarteirasAtivos},""Select Col3 where Col1 = '""&amp;$AZ268&amp;""'and Col2 = '""&amp;Y$21&amp;""'""))))"),"")</f>
        <v/>
      </c>
      <c r="I268" s="384" t="str">
        <f>IFERROR(__xludf.DUMMYFUNCTION("IF(I$43="""","""",IF($AZ268="""","""",IFERROR(Query({CarteirasAtivos},""Select Col3 where Col1 = '""&amp;$AZ268&amp;""'and Col2 = '""&amp;Z$21&amp;""'""))))"),"")</f>
        <v/>
      </c>
      <c r="J268" s="384" t="str">
        <f>IFERROR(__xludf.DUMMYFUNCTION("IF(J$43="""","""",IF($AZ268="""","""",IFERROR(Query({CarteirasAtivos},""Select Col3 where Col1 = '""&amp;$AZ268&amp;""'and Col2 = '""&amp;AA$21&amp;""'""))))"),"")</f>
        <v/>
      </c>
      <c r="K268" s="384" t="str">
        <f>IFERROR(__xludf.DUMMYFUNCTION("IF(K$43="""","""",IF($AZ268="""","""",IFERROR(Query({CarteirasAtivos},""Select Col3 where Col1 = '""&amp;$AZ268&amp;""'and Col2 = '""&amp;AB$21&amp;""'""))))"),"")</f>
        <v/>
      </c>
      <c r="L268" s="385">
        <v>225.0</v>
      </c>
      <c r="M268" s="503"/>
      <c r="N268" s="387"/>
      <c r="O268" s="388" t="s">
        <v>123</v>
      </c>
      <c r="P268" s="389"/>
      <c r="Q268" s="390"/>
      <c r="R268" s="391"/>
      <c r="S268" s="392"/>
      <c r="T268" s="393"/>
      <c r="U268" s="393"/>
      <c r="V268" s="394"/>
      <c r="W268" s="395" t="str">
        <f>IFERROR(__xludf.DUMMYFUNCTION("IF(M268="""","""",sparkline(IFERROR(BF268*100/MAX($BF$44:$BF$153),0),{""charttype"",""bar"";""max"",100;""color1"",IF(BD268&gt;=0,""#4760a5"",""red"")}))"),"")</f>
        <v/>
      </c>
      <c r="X268" s="396"/>
      <c r="Y268" s="466"/>
      <c r="Z268" s="398"/>
      <c r="AA268" s="399"/>
      <c r="AB268" s="393"/>
      <c r="AC268" s="476"/>
      <c r="AD268" s="401"/>
      <c r="AE268" s="402"/>
      <c r="AF268" s="403"/>
      <c r="AG268" s="404" t="str">
        <f>IFERROR(__xludf.DUMMYFUNCTION("IF($M268="""","""",IFERROR(sparkline(query(GOOGLEFINANCE($AZ268,""price"",TODAY()-$AF$43,TODAY(),1),""select Col2 label Col2 ''""),IF($AG$43=""Gráfico de barras"",{""charttype"",""column"";""highcolor"",""red""},{""chartype"",""line""}))))"),"")</f>
        <v/>
      </c>
      <c r="AH268" s="405"/>
      <c r="AI268" s="467"/>
      <c r="AJ268" s="467"/>
      <c r="AK268" s="467"/>
      <c r="AL268" s="467"/>
      <c r="AM268" s="442"/>
      <c r="AN268" s="442"/>
      <c r="AU268" s="281"/>
      <c r="AV268" s="281"/>
      <c r="AW268" s="281"/>
      <c r="AX268" s="281"/>
      <c r="AY268" s="410">
        <v>225.0</v>
      </c>
      <c r="AZ268" s="411"/>
      <c r="BA268" s="411"/>
      <c r="BB268" s="437"/>
      <c r="BC268" s="437"/>
      <c r="BD268" s="437"/>
      <c r="BE268" s="437"/>
      <c r="BF268" s="415" t="s">
        <v>123</v>
      </c>
      <c r="BG268" s="410">
        <v>225.0</v>
      </c>
      <c r="BH268" s="416"/>
      <c r="BI268" s="416"/>
      <c r="BJ268" s="416"/>
      <c r="BK268" s="416"/>
      <c r="BL268" s="416"/>
      <c r="BM268" s="416"/>
      <c r="BN268" s="282"/>
      <c r="BO268" s="490"/>
      <c r="BP268" s="489"/>
      <c r="BQ268" s="489"/>
      <c r="BR268" s="489"/>
      <c r="BS268" s="489"/>
      <c r="BT268" s="489"/>
      <c r="BU268" s="489"/>
      <c r="BV268" s="489"/>
      <c r="BW268" s="63"/>
      <c r="BX268" s="62"/>
      <c r="BY268" s="452"/>
      <c r="BZ268" s="452"/>
      <c r="CA268" s="452"/>
      <c r="CB268" s="452"/>
      <c r="CC268" s="452"/>
      <c r="CD268" s="452"/>
      <c r="CE268" s="452"/>
      <c r="CF268" s="452"/>
      <c r="CG268" s="452"/>
      <c r="CH268" s="422"/>
      <c r="CI268" s="422"/>
      <c r="CJ268" s="422"/>
      <c r="CK268" s="421"/>
      <c r="CL268" s="421" t="s">
        <v>123</v>
      </c>
      <c r="CM268" s="423"/>
      <c r="CN268" s="421"/>
      <c r="CO268" s="423"/>
      <c r="CP268" s="421"/>
      <c r="CQ268" s="63"/>
      <c r="CR268" s="63"/>
      <c r="CS268" s="63"/>
      <c r="CT268" s="63"/>
      <c r="CU268" s="447"/>
      <c r="CV268" s="447"/>
      <c r="CW268" s="447"/>
      <c r="CX268" s="447"/>
      <c r="CY268" s="447"/>
      <c r="CZ268" s="447"/>
      <c r="DA268" s="447"/>
      <c r="DB268" s="447"/>
      <c r="DC268" s="447"/>
      <c r="DD268" s="447"/>
      <c r="DE268" s="447"/>
      <c r="DF268" s="447"/>
      <c r="DG268" s="447"/>
      <c r="DH268" s="447"/>
      <c r="DI268" s="447"/>
      <c r="DJ268" s="447"/>
      <c r="DK268" s="447"/>
      <c r="DL268" s="67"/>
      <c r="DM268" s="67"/>
      <c r="DN268" s="67"/>
      <c r="DO268" s="67"/>
      <c r="DP268" s="67"/>
      <c r="DQ268" s="67"/>
    </row>
    <row r="269" ht="22.5" customHeight="1">
      <c r="A269" s="383"/>
      <c r="B269" s="384" t="str">
        <f>IFERROR(__xludf.DUMMYFUNCTION("IF(B$43="""","""",IF($AZ269="""","""",IFERROR(Query({CarteirasAtivos},""Select Col3 where Col1 = '""&amp;$AZ269&amp;""'and Col2 = '""&amp;S$21&amp;""'""))))"),"")</f>
        <v/>
      </c>
      <c r="C269" s="384" t="str">
        <f>IFERROR(__xludf.DUMMYFUNCTION("IF(C$43="""","""",IF($AZ269="""","""",IFERROR(Query({CarteirasAtivos},""Select Col3 where Col1 = '""&amp;$AZ269&amp;""'and Col2 = '""&amp;T$21&amp;""'""))))"),"")</f>
        <v/>
      </c>
      <c r="D269" s="384" t="str">
        <f>IFERROR(__xludf.DUMMYFUNCTION("IF(D$43="""","""",IF($AZ269="""","""",IFERROR(Query({CarteirasAtivos},""Select Col3 where Col1 = '""&amp;$AZ269&amp;""'and Col2 = '""&amp;U$21&amp;""'""))))"),"")</f>
        <v/>
      </c>
      <c r="E269" s="384" t="str">
        <f>IFERROR(__xludf.DUMMYFUNCTION("IF(E$43="""","""",IF($AZ269="""","""",IFERROR(Query({CarteirasAtivos},""Select Col3 where Col1 = '""&amp;$AZ269&amp;""'and Col2 = '""&amp;V$21&amp;""'""))))"),"")</f>
        <v/>
      </c>
      <c r="F269" s="384" t="str">
        <f>IFERROR(__xludf.DUMMYFUNCTION("IF(F$43="""","""",IF($AZ269="""","""",IFERROR(Query({CarteirasAtivos},""Select Col3 where Col1 = '""&amp;$AZ269&amp;""'and Col2 = '""&amp;W$21&amp;""'""))))"),"")</f>
        <v/>
      </c>
      <c r="G269" s="384" t="str">
        <f>IFERROR(__xludf.DUMMYFUNCTION("IF(G$43="""","""",IF($AZ269="""","""",IFERROR(Query({CarteirasAtivos},""Select Col3 where Col1 = '""&amp;$AZ269&amp;""'and Col2 = '""&amp;X$21&amp;""'""))))"),"")</f>
        <v/>
      </c>
      <c r="H269" s="384" t="str">
        <f>IFERROR(__xludf.DUMMYFUNCTION("IF(H$43="""","""",IF($AZ269="""","""",IFERROR(Query({CarteirasAtivos},""Select Col3 where Col1 = '""&amp;$AZ269&amp;""'and Col2 = '""&amp;Y$21&amp;""'""))))"),"")</f>
        <v/>
      </c>
      <c r="I269" s="384" t="str">
        <f>IFERROR(__xludf.DUMMYFUNCTION("IF(I$43="""","""",IF($AZ269="""","""",IFERROR(Query({CarteirasAtivos},""Select Col3 where Col1 = '""&amp;$AZ269&amp;""'and Col2 = '""&amp;Z$21&amp;""'""))))"),"")</f>
        <v/>
      </c>
      <c r="J269" s="384" t="str">
        <f>IFERROR(__xludf.DUMMYFUNCTION("IF(J$43="""","""",IF($AZ269="""","""",IFERROR(Query({CarteirasAtivos},""Select Col3 where Col1 = '""&amp;$AZ269&amp;""'and Col2 = '""&amp;AA$21&amp;""'""))))"),"")</f>
        <v/>
      </c>
      <c r="K269" s="384" t="str">
        <f>IFERROR(__xludf.DUMMYFUNCTION("IF(K$43="""","""",IF($AZ269="""","""",IFERROR(Query({CarteirasAtivos},""Select Col3 where Col1 = '""&amp;$AZ269&amp;""'and Col2 = '""&amp;AB$21&amp;""'""))))"),"")</f>
        <v/>
      </c>
      <c r="L269" s="385">
        <v>226.0</v>
      </c>
      <c r="M269" s="503"/>
      <c r="N269" s="387"/>
      <c r="O269" s="388" t="s">
        <v>123</v>
      </c>
      <c r="P269" s="389"/>
      <c r="Q269" s="390"/>
      <c r="R269" s="391"/>
      <c r="S269" s="392"/>
      <c r="T269" s="393"/>
      <c r="U269" s="393"/>
      <c r="V269" s="394"/>
      <c r="W269" s="395" t="str">
        <f>IFERROR(__xludf.DUMMYFUNCTION("IF(M269="""","""",sparkline(IFERROR(BF269*100/MAX($BF$44:$BF$153),0),{""charttype"",""bar"";""max"",100;""color1"",IF(BD269&gt;=0,""#4760a5"",""red"")}))"),"")</f>
        <v/>
      </c>
      <c r="X269" s="396"/>
      <c r="Y269" s="466"/>
      <c r="Z269" s="398"/>
      <c r="AA269" s="399"/>
      <c r="AB269" s="393"/>
      <c r="AC269" s="476"/>
      <c r="AD269" s="401"/>
      <c r="AE269" s="402"/>
      <c r="AF269" s="403"/>
      <c r="AG269" s="404" t="str">
        <f>IFERROR(__xludf.DUMMYFUNCTION("IF($M269="""","""",IFERROR(sparkline(query(GOOGLEFINANCE($AZ269,""price"",TODAY()-$AF$43,TODAY(),1),""select Col2 label Col2 ''""),IF($AG$43=""Gráfico de barras"",{""charttype"",""column"";""highcolor"",""red""},{""chartype"",""line""}))))"),"")</f>
        <v/>
      </c>
      <c r="AH269" s="405"/>
      <c r="AI269" s="467"/>
      <c r="AJ269" s="467"/>
      <c r="AK269" s="467"/>
      <c r="AL269" s="467"/>
      <c r="AM269" s="442"/>
      <c r="AN269" s="442"/>
      <c r="AU269" s="281"/>
      <c r="AV269" s="281"/>
      <c r="AW269" s="281"/>
      <c r="AX269" s="281"/>
      <c r="AY269" s="410">
        <v>226.0</v>
      </c>
      <c r="AZ269" s="411"/>
      <c r="BA269" s="411"/>
      <c r="BB269" s="437"/>
      <c r="BC269" s="437"/>
      <c r="BD269" s="437"/>
      <c r="BE269" s="437"/>
      <c r="BF269" s="415" t="s">
        <v>123</v>
      </c>
      <c r="BG269" s="410">
        <v>226.0</v>
      </c>
      <c r="BH269" s="416"/>
      <c r="BI269" s="416"/>
      <c r="BJ269" s="416"/>
      <c r="BK269" s="416"/>
      <c r="BL269" s="416"/>
      <c r="BM269" s="416"/>
      <c r="BN269" s="282"/>
      <c r="BO269" s="490"/>
      <c r="BP269" s="489"/>
      <c r="BQ269" s="489"/>
      <c r="BR269" s="489"/>
      <c r="BS269" s="489"/>
      <c r="BT269" s="489"/>
      <c r="BU269" s="489"/>
      <c r="BV269" s="489"/>
      <c r="BW269" s="63"/>
      <c r="BX269" s="62"/>
      <c r="BY269" s="452"/>
      <c r="BZ269" s="452"/>
      <c r="CA269" s="452"/>
      <c r="CB269" s="452"/>
      <c r="CC269" s="452"/>
      <c r="CD269" s="452"/>
      <c r="CE269" s="452"/>
      <c r="CF269" s="452"/>
      <c r="CG269" s="452"/>
      <c r="CH269" s="422"/>
      <c r="CI269" s="422"/>
      <c r="CJ269" s="422"/>
      <c r="CK269" s="421"/>
      <c r="CL269" s="421" t="s">
        <v>123</v>
      </c>
      <c r="CM269" s="423"/>
      <c r="CN269" s="421"/>
      <c r="CO269" s="423"/>
      <c r="CP269" s="421"/>
      <c r="CQ269" s="63"/>
      <c r="CR269" s="63"/>
      <c r="CS269" s="63"/>
      <c r="CT269" s="63"/>
      <c r="CU269" s="447"/>
      <c r="CV269" s="447"/>
      <c r="CW269" s="447"/>
      <c r="CX269" s="447"/>
      <c r="CY269" s="447"/>
      <c r="CZ269" s="447"/>
      <c r="DA269" s="447"/>
      <c r="DB269" s="447"/>
      <c r="DC269" s="447"/>
      <c r="DD269" s="447"/>
      <c r="DE269" s="447"/>
      <c r="DF269" s="447"/>
      <c r="DG269" s="447"/>
      <c r="DH269" s="447"/>
      <c r="DI269" s="447"/>
      <c r="DJ269" s="447"/>
      <c r="DK269" s="447"/>
      <c r="DL269" s="67"/>
      <c r="DM269" s="67"/>
      <c r="DN269" s="67"/>
      <c r="DO269" s="67"/>
      <c r="DP269" s="67"/>
      <c r="DQ269" s="67"/>
    </row>
    <row r="270" ht="22.5" customHeight="1">
      <c r="A270" s="383"/>
      <c r="B270" s="384" t="str">
        <f>IFERROR(__xludf.DUMMYFUNCTION("IF(B$43="""","""",IF($AZ270="""","""",IFERROR(Query({CarteirasAtivos},""Select Col3 where Col1 = '""&amp;$AZ270&amp;""'and Col2 = '""&amp;S$21&amp;""'""))))"),"")</f>
        <v/>
      </c>
      <c r="C270" s="384" t="str">
        <f>IFERROR(__xludf.DUMMYFUNCTION("IF(C$43="""","""",IF($AZ270="""","""",IFERROR(Query({CarteirasAtivos},""Select Col3 where Col1 = '""&amp;$AZ270&amp;""'and Col2 = '""&amp;T$21&amp;""'""))))"),"")</f>
        <v/>
      </c>
      <c r="D270" s="384" t="str">
        <f>IFERROR(__xludf.DUMMYFUNCTION("IF(D$43="""","""",IF($AZ270="""","""",IFERROR(Query({CarteirasAtivos},""Select Col3 where Col1 = '""&amp;$AZ270&amp;""'and Col2 = '""&amp;U$21&amp;""'""))))"),"")</f>
        <v/>
      </c>
      <c r="E270" s="384" t="str">
        <f>IFERROR(__xludf.DUMMYFUNCTION("IF(E$43="""","""",IF($AZ270="""","""",IFERROR(Query({CarteirasAtivos},""Select Col3 where Col1 = '""&amp;$AZ270&amp;""'and Col2 = '""&amp;V$21&amp;""'""))))"),"")</f>
        <v/>
      </c>
      <c r="F270" s="384" t="str">
        <f>IFERROR(__xludf.DUMMYFUNCTION("IF(F$43="""","""",IF($AZ270="""","""",IFERROR(Query({CarteirasAtivos},""Select Col3 where Col1 = '""&amp;$AZ270&amp;""'and Col2 = '""&amp;W$21&amp;""'""))))"),"")</f>
        <v/>
      </c>
      <c r="G270" s="384" t="str">
        <f>IFERROR(__xludf.DUMMYFUNCTION("IF(G$43="""","""",IF($AZ270="""","""",IFERROR(Query({CarteirasAtivos},""Select Col3 where Col1 = '""&amp;$AZ270&amp;""'and Col2 = '""&amp;X$21&amp;""'""))))"),"")</f>
        <v/>
      </c>
      <c r="H270" s="384" t="str">
        <f>IFERROR(__xludf.DUMMYFUNCTION("IF(H$43="""","""",IF($AZ270="""","""",IFERROR(Query({CarteirasAtivos},""Select Col3 where Col1 = '""&amp;$AZ270&amp;""'and Col2 = '""&amp;Y$21&amp;""'""))))"),"")</f>
        <v/>
      </c>
      <c r="I270" s="384" t="str">
        <f>IFERROR(__xludf.DUMMYFUNCTION("IF(I$43="""","""",IF($AZ270="""","""",IFERROR(Query({CarteirasAtivos},""Select Col3 where Col1 = '""&amp;$AZ270&amp;""'and Col2 = '""&amp;Z$21&amp;""'""))))"),"")</f>
        <v/>
      </c>
      <c r="J270" s="384" t="str">
        <f>IFERROR(__xludf.DUMMYFUNCTION("IF(J$43="""","""",IF($AZ270="""","""",IFERROR(Query({CarteirasAtivos},""Select Col3 where Col1 = '""&amp;$AZ270&amp;""'and Col2 = '""&amp;AA$21&amp;""'""))))"),"")</f>
        <v/>
      </c>
      <c r="K270" s="384" t="str">
        <f>IFERROR(__xludf.DUMMYFUNCTION("IF(K$43="""","""",IF($AZ270="""","""",IFERROR(Query({CarteirasAtivos},""Select Col3 where Col1 = '""&amp;$AZ270&amp;""'and Col2 = '""&amp;AB$21&amp;""'""))))"),"")</f>
        <v/>
      </c>
      <c r="L270" s="385">
        <v>227.0</v>
      </c>
      <c r="M270" s="503"/>
      <c r="N270" s="387"/>
      <c r="O270" s="388" t="s">
        <v>123</v>
      </c>
      <c r="P270" s="389"/>
      <c r="Q270" s="390"/>
      <c r="R270" s="391"/>
      <c r="S270" s="392"/>
      <c r="T270" s="393"/>
      <c r="U270" s="393"/>
      <c r="V270" s="394"/>
      <c r="W270" s="395" t="str">
        <f>IFERROR(__xludf.DUMMYFUNCTION("IF(M270="""","""",sparkline(IFERROR(BF270*100/MAX($BF$44:$BF$153),0),{""charttype"",""bar"";""max"",100;""color1"",IF(BD270&gt;=0,""#4760a5"",""red"")}))"),"")</f>
        <v/>
      </c>
      <c r="X270" s="396"/>
      <c r="Y270" s="466"/>
      <c r="Z270" s="398"/>
      <c r="AA270" s="399"/>
      <c r="AB270" s="393"/>
      <c r="AC270" s="476"/>
      <c r="AD270" s="401"/>
      <c r="AE270" s="402"/>
      <c r="AF270" s="403"/>
      <c r="AG270" s="404" t="str">
        <f>IFERROR(__xludf.DUMMYFUNCTION("IF($M270="""","""",IFERROR(sparkline(query(GOOGLEFINANCE($AZ270,""price"",TODAY()-$AF$43,TODAY(),1),""select Col2 label Col2 ''""),IF($AG$43=""Gráfico de barras"",{""charttype"",""column"";""highcolor"",""red""},{""chartype"",""line""}))))"),"")</f>
        <v/>
      </c>
      <c r="AH270" s="405"/>
      <c r="AI270" s="467"/>
      <c r="AJ270" s="467"/>
      <c r="AK270" s="467"/>
      <c r="AL270" s="467"/>
      <c r="AM270" s="442"/>
      <c r="AN270" s="442"/>
      <c r="AU270" s="281"/>
      <c r="AV270" s="281"/>
      <c r="AW270" s="281"/>
      <c r="AX270" s="281"/>
      <c r="AY270" s="410">
        <v>227.0</v>
      </c>
      <c r="AZ270" s="411"/>
      <c r="BA270" s="411"/>
      <c r="BB270" s="437"/>
      <c r="BC270" s="437"/>
      <c r="BD270" s="437"/>
      <c r="BE270" s="437"/>
      <c r="BF270" s="415" t="s">
        <v>123</v>
      </c>
      <c r="BG270" s="410">
        <v>227.0</v>
      </c>
      <c r="BH270" s="416"/>
      <c r="BI270" s="416"/>
      <c r="BJ270" s="416"/>
      <c r="BK270" s="416"/>
      <c r="BL270" s="416"/>
      <c r="BM270" s="416"/>
      <c r="BN270" s="282"/>
      <c r="BO270" s="490"/>
      <c r="BP270" s="489"/>
      <c r="BQ270" s="489"/>
      <c r="BR270" s="489"/>
      <c r="BS270" s="489"/>
      <c r="BT270" s="489"/>
      <c r="BU270" s="489"/>
      <c r="BV270" s="489"/>
      <c r="BW270" s="63"/>
      <c r="BX270" s="62"/>
      <c r="BY270" s="452"/>
      <c r="BZ270" s="452"/>
      <c r="CA270" s="452"/>
      <c r="CB270" s="452"/>
      <c r="CC270" s="452"/>
      <c r="CD270" s="452"/>
      <c r="CE270" s="452"/>
      <c r="CF270" s="452"/>
      <c r="CG270" s="452"/>
      <c r="CH270" s="422"/>
      <c r="CI270" s="422"/>
      <c r="CJ270" s="422"/>
      <c r="CK270" s="421"/>
      <c r="CL270" s="421" t="s">
        <v>123</v>
      </c>
      <c r="CM270" s="423"/>
      <c r="CN270" s="421"/>
      <c r="CO270" s="423"/>
      <c r="CP270" s="421"/>
      <c r="CQ270" s="63"/>
      <c r="CR270" s="63"/>
      <c r="CS270" s="63"/>
      <c r="CT270" s="63"/>
      <c r="CU270" s="447"/>
      <c r="CV270" s="447"/>
      <c r="CW270" s="447"/>
      <c r="CX270" s="447"/>
      <c r="CY270" s="447"/>
      <c r="CZ270" s="447"/>
      <c r="DA270" s="447"/>
      <c r="DB270" s="447"/>
      <c r="DC270" s="447"/>
      <c r="DD270" s="447"/>
      <c r="DE270" s="447"/>
      <c r="DF270" s="447"/>
      <c r="DG270" s="447"/>
      <c r="DH270" s="447"/>
      <c r="DI270" s="447"/>
      <c r="DJ270" s="447"/>
      <c r="DK270" s="447"/>
      <c r="DL270" s="67"/>
      <c r="DM270" s="67"/>
      <c r="DN270" s="67"/>
      <c r="DO270" s="67"/>
      <c r="DP270" s="67"/>
      <c r="DQ270" s="67"/>
    </row>
    <row r="271" ht="22.5" customHeight="1">
      <c r="A271" s="383"/>
      <c r="B271" s="384" t="str">
        <f>IFERROR(__xludf.DUMMYFUNCTION("IF(B$43="""","""",IF($AZ271="""","""",IFERROR(Query({CarteirasAtivos},""Select Col3 where Col1 = '""&amp;$AZ271&amp;""'and Col2 = '""&amp;S$21&amp;""'""))))"),"")</f>
        <v/>
      </c>
      <c r="C271" s="384" t="str">
        <f>IFERROR(__xludf.DUMMYFUNCTION("IF(C$43="""","""",IF($AZ271="""","""",IFERROR(Query({CarteirasAtivos},""Select Col3 where Col1 = '""&amp;$AZ271&amp;""'and Col2 = '""&amp;T$21&amp;""'""))))"),"")</f>
        <v/>
      </c>
      <c r="D271" s="384" t="str">
        <f>IFERROR(__xludf.DUMMYFUNCTION("IF(D$43="""","""",IF($AZ271="""","""",IFERROR(Query({CarteirasAtivos},""Select Col3 where Col1 = '""&amp;$AZ271&amp;""'and Col2 = '""&amp;U$21&amp;""'""))))"),"")</f>
        <v/>
      </c>
      <c r="E271" s="384" t="str">
        <f>IFERROR(__xludf.DUMMYFUNCTION("IF(E$43="""","""",IF($AZ271="""","""",IFERROR(Query({CarteirasAtivos},""Select Col3 where Col1 = '""&amp;$AZ271&amp;""'and Col2 = '""&amp;V$21&amp;""'""))))"),"")</f>
        <v/>
      </c>
      <c r="F271" s="384" t="str">
        <f>IFERROR(__xludf.DUMMYFUNCTION("IF(F$43="""","""",IF($AZ271="""","""",IFERROR(Query({CarteirasAtivos},""Select Col3 where Col1 = '""&amp;$AZ271&amp;""'and Col2 = '""&amp;W$21&amp;""'""))))"),"")</f>
        <v/>
      </c>
      <c r="G271" s="384" t="str">
        <f>IFERROR(__xludf.DUMMYFUNCTION("IF(G$43="""","""",IF($AZ271="""","""",IFERROR(Query({CarteirasAtivos},""Select Col3 where Col1 = '""&amp;$AZ271&amp;""'and Col2 = '""&amp;X$21&amp;""'""))))"),"")</f>
        <v/>
      </c>
      <c r="H271" s="384" t="str">
        <f>IFERROR(__xludf.DUMMYFUNCTION("IF(H$43="""","""",IF($AZ271="""","""",IFERROR(Query({CarteirasAtivos},""Select Col3 where Col1 = '""&amp;$AZ271&amp;""'and Col2 = '""&amp;Y$21&amp;""'""))))"),"")</f>
        <v/>
      </c>
      <c r="I271" s="384" t="str">
        <f>IFERROR(__xludf.DUMMYFUNCTION("IF(I$43="""","""",IF($AZ271="""","""",IFERROR(Query({CarteirasAtivos},""Select Col3 where Col1 = '""&amp;$AZ271&amp;""'and Col2 = '""&amp;Z$21&amp;""'""))))"),"")</f>
        <v/>
      </c>
      <c r="J271" s="384" t="str">
        <f>IFERROR(__xludf.DUMMYFUNCTION("IF(J$43="""","""",IF($AZ271="""","""",IFERROR(Query({CarteirasAtivos},""Select Col3 where Col1 = '""&amp;$AZ271&amp;""'and Col2 = '""&amp;AA$21&amp;""'""))))"),"")</f>
        <v/>
      </c>
      <c r="K271" s="384" t="str">
        <f>IFERROR(__xludf.DUMMYFUNCTION("IF(K$43="""","""",IF($AZ271="""","""",IFERROR(Query({CarteirasAtivos},""Select Col3 where Col1 = '""&amp;$AZ271&amp;""'and Col2 = '""&amp;AB$21&amp;""'""))))"),"")</f>
        <v/>
      </c>
      <c r="L271" s="385">
        <v>228.0</v>
      </c>
      <c r="M271" s="503"/>
      <c r="N271" s="387"/>
      <c r="O271" s="388" t="s">
        <v>123</v>
      </c>
      <c r="P271" s="389"/>
      <c r="Q271" s="390"/>
      <c r="R271" s="391"/>
      <c r="S271" s="392"/>
      <c r="T271" s="393"/>
      <c r="U271" s="393"/>
      <c r="V271" s="394"/>
      <c r="W271" s="395" t="str">
        <f>IFERROR(__xludf.DUMMYFUNCTION("IF(M271="""","""",sparkline(IFERROR(BF271*100/MAX($BF$44:$BF$153),0),{""charttype"",""bar"";""max"",100;""color1"",IF(BD271&gt;=0,""#4760a5"",""red"")}))"),"")</f>
        <v/>
      </c>
      <c r="X271" s="396"/>
      <c r="Y271" s="466"/>
      <c r="Z271" s="398"/>
      <c r="AA271" s="399"/>
      <c r="AB271" s="393"/>
      <c r="AC271" s="476"/>
      <c r="AD271" s="401"/>
      <c r="AE271" s="402"/>
      <c r="AF271" s="403"/>
      <c r="AG271" s="404" t="str">
        <f>IFERROR(__xludf.DUMMYFUNCTION("IF($M271="""","""",IFERROR(sparkline(query(GOOGLEFINANCE($AZ271,""price"",TODAY()-$AF$43,TODAY(),1),""select Col2 label Col2 ''""),IF($AG$43=""Gráfico de barras"",{""charttype"",""column"";""highcolor"",""red""},{""chartype"",""line""}))))"),"")</f>
        <v/>
      </c>
      <c r="AH271" s="405"/>
      <c r="AI271" s="467"/>
      <c r="AJ271" s="467"/>
      <c r="AK271" s="467"/>
      <c r="AL271" s="467"/>
      <c r="AM271" s="442"/>
      <c r="AN271" s="442"/>
      <c r="AU271" s="281"/>
      <c r="AV271" s="281"/>
      <c r="AW271" s="281"/>
      <c r="AX271" s="281"/>
      <c r="AY271" s="410">
        <v>228.0</v>
      </c>
      <c r="AZ271" s="411"/>
      <c r="BA271" s="411"/>
      <c r="BB271" s="437"/>
      <c r="BC271" s="437"/>
      <c r="BD271" s="437"/>
      <c r="BE271" s="437"/>
      <c r="BF271" s="415" t="s">
        <v>123</v>
      </c>
      <c r="BG271" s="410">
        <v>228.0</v>
      </c>
      <c r="BH271" s="416"/>
      <c r="BI271" s="416"/>
      <c r="BJ271" s="416"/>
      <c r="BK271" s="416"/>
      <c r="BL271" s="416"/>
      <c r="BM271" s="416"/>
      <c r="BN271" s="282"/>
      <c r="BO271" s="490"/>
      <c r="BP271" s="489"/>
      <c r="BQ271" s="489"/>
      <c r="BR271" s="489"/>
      <c r="BS271" s="489"/>
      <c r="BT271" s="489"/>
      <c r="BU271" s="489"/>
      <c r="BV271" s="489"/>
      <c r="BW271" s="63"/>
      <c r="BX271" s="62"/>
      <c r="BY271" s="452"/>
      <c r="BZ271" s="452"/>
      <c r="CA271" s="452"/>
      <c r="CB271" s="452"/>
      <c r="CC271" s="452"/>
      <c r="CD271" s="452"/>
      <c r="CE271" s="452"/>
      <c r="CF271" s="452"/>
      <c r="CG271" s="452"/>
      <c r="CH271" s="422"/>
      <c r="CI271" s="422"/>
      <c r="CJ271" s="422"/>
      <c r="CK271" s="421"/>
      <c r="CL271" s="421" t="s">
        <v>123</v>
      </c>
      <c r="CM271" s="423"/>
      <c r="CN271" s="421"/>
      <c r="CO271" s="423"/>
      <c r="CP271" s="421"/>
      <c r="CQ271" s="63"/>
      <c r="CR271" s="63"/>
      <c r="CS271" s="63"/>
      <c r="CT271" s="63"/>
      <c r="CU271" s="447"/>
      <c r="CV271" s="447"/>
      <c r="CW271" s="447"/>
      <c r="CX271" s="447"/>
      <c r="CY271" s="447"/>
      <c r="CZ271" s="447"/>
      <c r="DA271" s="447"/>
      <c r="DB271" s="447"/>
      <c r="DC271" s="447"/>
      <c r="DD271" s="447"/>
      <c r="DE271" s="447"/>
      <c r="DF271" s="447"/>
      <c r="DG271" s="447"/>
      <c r="DH271" s="447"/>
      <c r="DI271" s="447"/>
      <c r="DJ271" s="447"/>
      <c r="DK271" s="447"/>
      <c r="DL271" s="67"/>
      <c r="DM271" s="67"/>
      <c r="DN271" s="67"/>
      <c r="DO271" s="67"/>
      <c r="DP271" s="67"/>
      <c r="DQ271" s="67"/>
    </row>
    <row r="272" ht="22.5" customHeight="1">
      <c r="A272" s="383"/>
      <c r="B272" s="384" t="str">
        <f>IFERROR(__xludf.DUMMYFUNCTION("IF(B$43="""","""",IF($AZ272="""","""",IFERROR(Query({CarteirasAtivos},""Select Col3 where Col1 = '""&amp;$AZ272&amp;""'and Col2 = '""&amp;S$21&amp;""'""))))"),"")</f>
        <v/>
      </c>
      <c r="C272" s="384" t="str">
        <f>IFERROR(__xludf.DUMMYFUNCTION("IF(C$43="""","""",IF($AZ272="""","""",IFERROR(Query({CarteirasAtivos},""Select Col3 where Col1 = '""&amp;$AZ272&amp;""'and Col2 = '""&amp;T$21&amp;""'""))))"),"")</f>
        <v/>
      </c>
      <c r="D272" s="384" t="str">
        <f>IFERROR(__xludf.DUMMYFUNCTION("IF(D$43="""","""",IF($AZ272="""","""",IFERROR(Query({CarteirasAtivos},""Select Col3 where Col1 = '""&amp;$AZ272&amp;""'and Col2 = '""&amp;U$21&amp;""'""))))"),"")</f>
        <v/>
      </c>
      <c r="E272" s="384" t="str">
        <f>IFERROR(__xludf.DUMMYFUNCTION("IF(E$43="""","""",IF($AZ272="""","""",IFERROR(Query({CarteirasAtivos},""Select Col3 where Col1 = '""&amp;$AZ272&amp;""'and Col2 = '""&amp;V$21&amp;""'""))))"),"")</f>
        <v/>
      </c>
      <c r="F272" s="384" t="str">
        <f>IFERROR(__xludf.DUMMYFUNCTION("IF(F$43="""","""",IF($AZ272="""","""",IFERROR(Query({CarteirasAtivos},""Select Col3 where Col1 = '""&amp;$AZ272&amp;""'and Col2 = '""&amp;W$21&amp;""'""))))"),"")</f>
        <v/>
      </c>
      <c r="G272" s="384" t="str">
        <f>IFERROR(__xludf.DUMMYFUNCTION("IF(G$43="""","""",IF($AZ272="""","""",IFERROR(Query({CarteirasAtivos},""Select Col3 where Col1 = '""&amp;$AZ272&amp;""'and Col2 = '""&amp;X$21&amp;""'""))))"),"")</f>
        <v/>
      </c>
      <c r="H272" s="384" t="str">
        <f>IFERROR(__xludf.DUMMYFUNCTION("IF(H$43="""","""",IF($AZ272="""","""",IFERROR(Query({CarteirasAtivos},""Select Col3 where Col1 = '""&amp;$AZ272&amp;""'and Col2 = '""&amp;Y$21&amp;""'""))))"),"")</f>
        <v/>
      </c>
      <c r="I272" s="384" t="str">
        <f>IFERROR(__xludf.DUMMYFUNCTION("IF(I$43="""","""",IF($AZ272="""","""",IFERROR(Query({CarteirasAtivos},""Select Col3 where Col1 = '""&amp;$AZ272&amp;""'and Col2 = '""&amp;Z$21&amp;""'""))))"),"")</f>
        <v/>
      </c>
      <c r="J272" s="384" t="str">
        <f>IFERROR(__xludf.DUMMYFUNCTION("IF(J$43="""","""",IF($AZ272="""","""",IFERROR(Query({CarteirasAtivos},""Select Col3 where Col1 = '""&amp;$AZ272&amp;""'and Col2 = '""&amp;AA$21&amp;""'""))))"),"")</f>
        <v/>
      </c>
      <c r="K272" s="384" t="str">
        <f>IFERROR(__xludf.DUMMYFUNCTION("IF(K$43="""","""",IF($AZ272="""","""",IFERROR(Query({CarteirasAtivos},""Select Col3 where Col1 = '""&amp;$AZ272&amp;""'and Col2 = '""&amp;AB$21&amp;""'""))))"),"")</f>
        <v/>
      </c>
      <c r="L272" s="385">
        <v>229.0</v>
      </c>
      <c r="M272" s="503"/>
      <c r="N272" s="387"/>
      <c r="O272" s="388" t="s">
        <v>123</v>
      </c>
      <c r="P272" s="389"/>
      <c r="Q272" s="390"/>
      <c r="R272" s="391"/>
      <c r="S272" s="392"/>
      <c r="T272" s="393"/>
      <c r="U272" s="393"/>
      <c r="V272" s="394"/>
      <c r="W272" s="395" t="str">
        <f>IFERROR(__xludf.DUMMYFUNCTION("IF(M272="""","""",sparkline(IFERROR(BF272*100/MAX($BF$44:$BF$153),0),{""charttype"",""bar"";""max"",100;""color1"",IF(BD272&gt;=0,""#4760a5"",""red"")}))"),"")</f>
        <v/>
      </c>
      <c r="X272" s="396"/>
      <c r="Y272" s="466"/>
      <c r="Z272" s="398"/>
      <c r="AA272" s="399"/>
      <c r="AB272" s="393"/>
      <c r="AC272" s="476"/>
      <c r="AD272" s="401"/>
      <c r="AE272" s="402"/>
      <c r="AF272" s="403"/>
      <c r="AG272" s="404" t="str">
        <f>IFERROR(__xludf.DUMMYFUNCTION("IF($M272="""","""",IFERROR(sparkline(query(GOOGLEFINANCE($AZ272,""price"",TODAY()-$AF$43,TODAY(),1),""select Col2 label Col2 ''""),IF($AG$43=""Gráfico de barras"",{""charttype"",""column"";""highcolor"",""red""},{""chartype"",""line""}))))"),"")</f>
        <v/>
      </c>
      <c r="AH272" s="405"/>
      <c r="AI272" s="467"/>
      <c r="AJ272" s="467"/>
      <c r="AK272" s="467"/>
      <c r="AL272" s="467"/>
      <c r="AM272" s="442"/>
      <c r="AN272" s="442"/>
      <c r="AU272" s="281"/>
      <c r="AV272" s="281"/>
      <c r="AW272" s="281"/>
      <c r="AX272" s="281"/>
      <c r="AY272" s="410">
        <v>229.0</v>
      </c>
      <c r="AZ272" s="411"/>
      <c r="BA272" s="411"/>
      <c r="BB272" s="437"/>
      <c r="BC272" s="437"/>
      <c r="BD272" s="437"/>
      <c r="BE272" s="437"/>
      <c r="BF272" s="415" t="s">
        <v>123</v>
      </c>
      <c r="BG272" s="410">
        <v>229.0</v>
      </c>
      <c r="BH272" s="416"/>
      <c r="BI272" s="416"/>
      <c r="BJ272" s="416"/>
      <c r="BK272" s="416"/>
      <c r="BL272" s="416"/>
      <c r="BM272" s="416"/>
      <c r="BN272" s="282"/>
      <c r="BO272" s="490"/>
      <c r="BP272" s="489"/>
      <c r="BQ272" s="489"/>
      <c r="BR272" s="489"/>
      <c r="BS272" s="489"/>
      <c r="BT272" s="489"/>
      <c r="BU272" s="489"/>
      <c r="BV272" s="489"/>
      <c r="BW272" s="63"/>
      <c r="BX272" s="62"/>
      <c r="BY272" s="452"/>
      <c r="BZ272" s="452"/>
      <c r="CA272" s="452"/>
      <c r="CB272" s="452"/>
      <c r="CC272" s="452"/>
      <c r="CD272" s="452"/>
      <c r="CE272" s="452"/>
      <c r="CF272" s="452"/>
      <c r="CG272" s="452"/>
      <c r="CH272" s="422"/>
      <c r="CI272" s="422"/>
      <c r="CJ272" s="422"/>
      <c r="CK272" s="421"/>
      <c r="CL272" s="421" t="s">
        <v>123</v>
      </c>
      <c r="CM272" s="423"/>
      <c r="CN272" s="421"/>
      <c r="CO272" s="423"/>
      <c r="CP272" s="421"/>
      <c r="CQ272" s="63"/>
      <c r="CR272" s="63"/>
      <c r="CS272" s="63"/>
      <c r="CT272" s="63"/>
      <c r="CU272" s="447"/>
      <c r="CV272" s="447"/>
      <c r="CW272" s="447"/>
      <c r="CX272" s="447"/>
      <c r="CY272" s="447"/>
      <c r="CZ272" s="447"/>
      <c r="DA272" s="447"/>
      <c r="DB272" s="447"/>
      <c r="DC272" s="447"/>
      <c r="DD272" s="447"/>
      <c r="DE272" s="447"/>
      <c r="DF272" s="447"/>
      <c r="DG272" s="447"/>
      <c r="DH272" s="447"/>
      <c r="DI272" s="447"/>
      <c r="DJ272" s="447"/>
      <c r="DK272" s="447"/>
      <c r="DL272" s="67"/>
      <c r="DM272" s="67"/>
      <c r="DN272" s="67"/>
      <c r="DO272" s="67"/>
      <c r="DP272" s="67"/>
      <c r="DQ272" s="67"/>
    </row>
    <row r="273" ht="22.5" customHeight="1">
      <c r="A273" s="383"/>
      <c r="B273" s="384" t="str">
        <f>IFERROR(__xludf.DUMMYFUNCTION("IF(B$43="""","""",IF($AZ273="""","""",IFERROR(Query({CarteirasAtivos},""Select Col3 where Col1 = '""&amp;$AZ273&amp;""'and Col2 = '""&amp;S$21&amp;""'""))))"),"")</f>
        <v/>
      </c>
      <c r="C273" s="384" t="str">
        <f>IFERROR(__xludf.DUMMYFUNCTION("IF(C$43="""","""",IF($AZ273="""","""",IFERROR(Query({CarteirasAtivos},""Select Col3 where Col1 = '""&amp;$AZ273&amp;""'and Col2 = '""&amp;T$21&amp;""'""))))"),"")</f>
        <v/>
      </c>
      <c r="D273" s="384" t="str">
        <f>IFERROR(__xludf.DUMMYFUNCTION("IF(D$43="""","""",IF($AZ273="""","""",IFERROR(Query({CarteirasAtivos},""Select Col3 where Col1 = '""&amp;$AZ273&amp;""'and Col2 = '""&amp;U$21&amp;""'""))))"),"")</f>
        <v/>
      </c>
      <c r="E273" s="384" t="str">
        <f>IFERROR(__xludf.DUMMYFUNCTION("IF(E$43="""","""",IF($AZ273="""","""",IFERROR(Query({CarteirasAtivos},""Select Col3 where Col1 = '""&amp;$AZ273&amp;""'and Col2 = '""&amp;V$21&amp;""'""))))"),"")</f>
        <v/>
      </c>
      <c r="F273" s="384" t="str">
        <f>IFERROR(__xludf.DUMMYFUNCTION("IF(F$43="""","""",IF($AZ273="""","""",IFERROR(Query({CarteirasAtivos},""Select Col3 where Col1 = '""&amp;$AZ273&amp;""'and Col2 = '""&amp;W$21&amp;""'""))))"),"")</f>
        <v/>
      </c>
      <c r="G273" s="384" t="str">
        <f>IFERROR(__xludf.DUMMYFUNCTION("IF(G$43="""","""",IF($AZ273="""","""",IFERROR(Query({CarteirasAtivos},""Select Col3 where Col1 = '""&amp;$AZ273&amp;""'and Col2 = '""&amp;X$21&amp;""'""))))"),"")</f>
        <v/>
      </c>
      <c r="H273" s="384" t="str">
        <f>IFERROR(__xludf.DUMMYFUNCTION("IF(H$43="""","""",IF($AZ273="""","""",IFERROR(Query({CarteirasAtivos},""Select Col3 where Col1 = '""&amp;$AZ273&amp;""'and Col2 = '""&amp;Y$21&amp;""'""))))"),"")</f>
        <v/>
      </c>
      <c r="I273" s="384" t="str">
        <f>IFERROR(__xludf.DUMMYFUNCTION("IF(I$43="""","""",IF($AZ273="""","""",IFERROR(Query({CarteirasAtivos},""Select Col3 where Col1 = '""&amp;$AZ273&amp;""'and Col2 = '""&amp;Z$21&amp;""'""))))"),"")</f>
        <v/>
      </c>
      <c r="J273" s="384" t="str">
        <f>IFERROR(__xludf.DUMMYFUNCTION("IF(J$43="""","""",IF($AZ273="""","""",IFERROR(Query({CarteirasAtivos},""Select Col3 where Col1 = '""&amp;$AZ273&amp;""'and Col2 = '""&amp;AA$21&amp;""'""))))"),"")</f>
        <v/>
      </c>
      <c r="K273" s="384" t="str">
        <f>IFERROR(__xludf.DUMMYFUNCTION("IF(K$43="""","""",IF($AZ273="""","""",IFERROR(Query({CarteirasAtivos},""Select Col3 where Col1 = '""&amp;$AZ273&amp;""'and Col2 = '""&amp;AB$21&amp;""'""))))"),"")</f>
        <v/>
      </c>
      <c r="L273" s="385">
        <v>230.0</v>
      </c>
      <c r="M273" s="503"/>
      <c r="N273" s="387"/>
      <c r="O273" s="388" t="s">
        <v>123</v>
      </c>
      <c r="P273" s="389"/>
      <c r="Q273" s="390"/>
      <c r="R273" s="391"/>
      <c r="S273" s="392"/>
      <c r="T273" s="393"/>
      <c r="U273" s="393"/>
      <c r="V273" s="394"/>
      <c r="W273" s="395" t="str">
        <f>IFERROR(__xludf.DUMMYFUNCTION("IF(M273="""","""",sparkline(IFERROR(BF273*100/MAX($BF$44:$BF$153),0),{""charttype"",""bar"";""max"",100;""color1"",IF(BD273&gt;=0,""#4760a5"",""red"")}))"),"")</f>
        <v/>
      </c>
      <c r="X273" s="396"/>
      <c r="Y273" s="466"/>
      <c r="Z273" s="398"/>
      <c r="AA273" s="399"/>
      <c r="AB273" s="393"/>
      <c r="AC273" s="476"/>
      <c r="AD273" s="401"/>
      <c r="AE273" s="402"/>
      <c r="AF273" s="403"/>
      <c r="AG273" s="404" t="str">
        <f>IFERROR(__xludf.DUMMYFUNCTION("IF($M273="""","""",IFERROR(sparkline(query(GOOGLEFINANCE($AZ273,""price"",TODAY()-$AF$43,TODAY(),1),""select Col2 label Col2 ''""),IF($AG$43=""Gráfico de barras"",{""charttype"",""column"";""highcolor"",""red""},{""chartype"",""line""}))))"),"")</f>
        <v/>
      </c>
      <c r="AH273" s="405"/>
      <c r="AI273" s="467"/>
      <c r="AJ273" s="467"/>
      <c r="AK273" s="467"/>
      <c r="AL273" s="467"/>
      <c r="AM273" s="442"/>
      <c r="AN273" s="442"/>
      <c r="AU273" s="281"/>
      <c r="AV273" s="281"/>
      <c r="AW273" s="281"/>
      <c r="AX273" s="281"/>
      <c r="AY273" s="410">
        <v>230.0</v>
      </c>
      <c r="AZ273" s="411"/>
      <c r="BA273" s="411"/>
      <c r="BB273" s="437"/>
      <c r="BC273" s="437"/>
      <c r="BD273" s="437"/>
      <c r="BE273" s="437"/>
      <c r="BF273" s="415" t="s">
        <v>123</v>
      </c>
      <c r="BG273" s="410">
        <v>230.0</v>
      </c>
      <c r="BH273" s="416"/>
      <c r="BI273" s="416"/>
      <c r="BJ273" s="416"/>
      <c r="BK273" s="416"/>
      <c r="BL273" s="416"/>
      <c r="BM273" s="416"/>
      <c r="BN273" s="282"/>
      <c r="BO273" s="490"/>
      <c r="BP273" s="489"/>
      <c r="BQ273" s="489"/>
      <c r="BR273" s="489"/>
      <c r="BS273" s="489"/>
      <c r="BT273" s="489"/>
      <c r="BU273" s="489"/>
      <c r="BV273" s="489"/>
      <c r="BW273" s="63"/>
      <c r="BX273" s="62"/>
      <c r="BY273" s="452"/>
      <c r="BZ273" s="452"/>
      <c r="CA273" s="452"/>
      <c r="CB273" s="452"/>
      <c r="CC273" s="452"/>
      <c r="CD273" s="452"/>
      <c r="CE273" s="452"/>
      <c r="CF273" s="452"/>
      <c r="CG273" s="452"/>
      <c r="CH273" s="422"/>
      <c r="CI273" s="422"/>
      <c r="CJ273" s="422"/>
      <c r="CK273" s="421"/>
      <c r="CL273" s="421" t="s">
        <v>123</v>
      </c>
      <c r="CM273" s="423"/>
      <c r="CN273" s="421"/>
      <c r="CO273" s="423"/>
      <c r="CP273" s="421"/>
      <c r="CQ273" s="63"/>
      <c r="CR273" s="63"/>
      <c r="CS273" s="63"/>
      <c r="CT273" s="63"/>
      <c r="CU273" s="447"/>
      <c r="CV273" s="447"/>
      <c r="CW273" s="447"/>
      <c r="CX273" s="447"/>
      <c r="CY273" s="447"/>
      <c r="CZ273" s="447"/>
      <c r="DA273" s="447"/>
      <c r="DB273" s="447"/>
      <c r="DC273" s="447"/>
      <c r="DD273" s="447"/>
      <c r="DE273" s="447"/>
      <c r="DF273" s="447"/>
      <c r="DG273" s="447"/>
      <c r="DH273" s="447"/>
      <c r="DI273" s="447"/>
      <c r="DJ273" s="447"/>
      <c r="DK273" s="447"/>
      <c r="DL273" s="67"/>
      <c r="DM273" s="67"/>
      <c r="DN273" s="67"/>
      <c r="DO273" s="67"/>
      <c r="DP273" s="67"/>
      <c r="DQ273" s="67"/>
    </row>
    <row r="274" ht="22.5" customHeight="1">
      <c r="A274" s="383"/>
      <c r="B274" s="384" t="str">
        <f>IFERROR(__xludf.DUMMYFUNCTION("IF(B$43="""","""",IF($AZ274="""","""",IFERROR(Query({CarteirasAtivos},""Select Col3 where Col1 = '""&amp;$AZ274&amp;""'and Col2 = '""&amp;S$21&amp;""'""))))"),"")</f>
        <v/>
      </c>
      <c r="C274" s="384" t="str">
        <f>IFERROR(__xludf.DUMMYFUNCTION("IF(C$43="""","""",IF($AZ274="""","""",IFERROR(Query({CarteirasAtivos},""Select Col3 where Col1 = '""&amp;$AZ274&amp;""'and Col2 = '""&amp;T$21&amp;""'""))))"),"")</f>
        <v/>
      </c>
      <c r="D274" s="384" t="str">
        <f>IFERROR(__xludf.DUMMYFUNCTION("IF(D$43="""","""",IF($AZ274="""","""",IFERROR(Query({CarteirasAtivos},""Select Col3 where Col1 = '""&amp;$AZ274&amp;""'and Col2 = '""&amp;U$21&amp;""'""))))"),"")</f>
        <v/>
      </c>
      <c r="E274" s="384" t="str">
        <f>IFERROR(__xludf.DUMMYFUNCTION("IF(E$43="""","""",IF($AZ274="""","""",IFERROR(Query({CarteirasAtivos},""Select Col3 where Col1 = '""&amp;$AZ274&amp;""'and Col2 = '""&amp;V$21&amp;""'""))))"),"")</f>
        <v/>
      </c>
      <c r="F274" s="384" t="str">
        <f>IFERROR(__xludf.DUMMYFUNCTION("IF(F$43="""","""",IF($AZ274="""","""",IFERROR(Query({CarteirasAtivos},""Select Col3 where Col1 = '""&amp;$AZ274&amp;""'and Col2 = '""&amp;W$21&amp;""'""))))"),"")</f>
        <v/>
      </c>
      <c r="G274" s="384" t="str">
        <f>IFERROR(__xludf.DUMMYFUNCTION("IF(G$43="""","""",IF($AZ274="""","""",IFERROR(Query({CarteirasAtivos},""Select Col3 where Col1 = '""&amp;$AZ274&amp;""'and Col2 = '""&amp;X$21&amp;""'""))))"),"")</f>
        <v/>
      </c>
      <c r="H274" s="384" t="str">
        <f>IFERROR(__xludf.DUMMYFUNCTION("IF(H$43="""","""",IF($AZ274="""","""",IFERROR(Query({CarteirasAtivos},""Select Col3 where Col1 = '""&amp;$AZ274&amp;""'and Col2 = '""&amp;Y$21&amp;""'""))))"),"")</f>
        <v/>
      </c>
      <c r="I274" s="384" t="str">
        <f>IFERROR(__xludf.DUMMYFUNCTION("IF(I$43="""","""",IF($AZ274="""","""",IFERROR(Query({CarteirasAtivos},""Select Col3 where Col1 = '""&amp;$AZ274&amp;""'and Col2 = '""&amp;Z$21&amp;""'""))))"),"")</f>
        <v/>
      </c>
      <c r="J274" s="384" t="str">
        <f>IFERROR(__xludf.DUMMYFUNCTION("IF(J$43="""","""",IF($AZ274="""","""",IFERROR(Query({CarteirasAtivos},""Select Col3 where Col1 = '""&amp;$AZ274&amp;""'and Col2 = '""&amp;AA$21&amp;""'""))))"),"")</f>
        <v/>
      </c>
      <c r="K274" s="384" t="str">
        <f>IFERROR(__xludf.DUMMYFUNCTION("IF(K$43="""","""",IF($AZ274="""","""",IFERROR(Query({CarteirasAtivos},""Select Col3 where Col1 = '""&amp;$AZ274&amp;""'and Col2 = '""&amp;AB$21&amp;""'""))))"),"")</f>
        <v/>
      </c>
      <c r="L274" s="385">
        <v>231.0</v>
      </c>
      <c r="M274" s="503"/>
      <c r="N274" s="387"/>
      <c r="O274" s="388" t="s">
        <v>123</v>
      </c>
      <c r="P274" s="389"/>
      <c r="Q274" s="390"/>
      <c r="R274" s="391"/>
      <c r="S274" s="392"/>
      <c r="T274" s="393"/>
      <c r="U274" s="393"/>
      <c r="V274" s="394"/>
      <c r="W274" s="395" t="str">
        <f>IFERROR(__xludf.DUMMYFUNCTION("IF(M274="""","""",sparkline(IFERROR(BF274*100/MAX($BF$44:$BF$153),0),{""charttype"",""bar"";""max"",100;""color1"",IF(BD274&gt;=0,""#4760a5"",""red"")}))"),"")</f>
        <v/>
      </c>
      <c r="X274" s="396"/>
      <c r="Y274" s="466"/>
      <c r="Z274" s="398"/>
      <c r="AA274" s="399"/>
      <c r="AB274" s="393"/>
      <c r="AC274" s="476"/>
      <c r="AD274" s="401"/>
      <c r="AE274" s="402"/>
      <c r="AF274" s="403"/>
      <c r="AG274" s="404" t="str">
        <f>IFERROR(__xludf.DUMMYFUNCTION("IF($M274="""","""",IFERROR(sparkline(query(GOOGLEFINANCE($AZ274,""price"",TODAY()-$AF$43,TODAY(),1),""select Col2 label Col2 ''""),IF($AG$43=""Gráfico de barras"",{""charttype"",""column"";""highcolor"",""red""},{""chartype"",""line""}))))"),"")</f>
        <v/>
      </c>
      <c r="AH274" s="405"/>
      <c r="AI274" s="467"/>
      <c r="AJ274" s="467"/>
      <c r="AK274" s="467"/>
      <c r="AL274" s="467"/>
      <c r="AM274" s="442"/>
      <c r="AN274" s="442"/>
      <c r="AU274" s="281"/>
      <c r="AV274" s="281"/>
      <c r="AW274" s="281"/>
      <c r="AX274" s="281"/>
      <c r="AY274" s="410">
        <v>231.0</v>
      </c>
      <c r="AZ274" s="411"/>
      <c r="BA274" s="411"/>
      <c r="BB274" s="437"/>
      <c r="BC274" s="437"/>
      <c r="BD274" s="437"/>
      <c r="BE274" s="437"/>
      <c r="BF274" s="415" t="s">
        <v>123</v>
      </c>
      <c r="BG274" s="410">
        <v>231.0</v>
      </c>
      <c r="BH274" s="416"/>
      <c r="BI274" s="416"/>
      <c r="BJ274" s="416"/>
      <c r="BK274" s="416"/>
      <c r="BL274" s="416"/>
      <c r="BM274" s="416"/>
      <c r="BN274" s="282"/>
      <c r="BO274" s="490"/>
      <c r="BP274" s="489"/>
      <c r="BQ274" s="489"/>
      <c r="BR274" s="489"/>
      <c r="BS274" s="489"/>
      <c r="BT274" s="489"/>
      <c r="BU274" s="489"/>
      <c r="BV274" s="489"/>
      <c r="BW274" s="63"/>
      <c r="BX274" s="62"/>
      <c r="BY274" s="452"/>
      <c r="BZ274" s="452"/>
      <c r="CA274" s="452"/>
      <c r="CB274" s="452"/>
      <c r="CC274" s="452"/>
      <c r="CD274" s="452"/>
      <c r="CE274" s="452"/>
      <c r="CF274" s="452"/>
      <c r="CG274" s="452"/>
      <c r="CH274" s="422"/>
      <c r="CI274" s="422"/>
      <c r="CJ274" s="422"/>
      <c r="CK274" s="421"/>
      <c r="CL274" s="421" t="s">
        <v>123</v>
      </c>
      <c r="CM274" s="423"/>
      <c r="CN274" s="421"/>
      <c r="CO274" s="423"/>
      <c r="CP274" s="421"/>
      <c r="CQ274" s="63"/>
      <c r="CR274" s="63"/>
      <c r="CS274" s="63"/>
      <c r="CT274" s="63"/>
      <c r="CU274" s="447"/>
      <c r="CV274" s="447"/>
      <c r="CW274" s="447"/>
      <c r="CX274" s="447"/>
      <c r="CY274" s="447"/>
      <c r="CZ274" s="447"/>
      <c r="DA274" s="447"/>
      <c r="DB274" s="447"/>
      <c r="DC274" s="447"/>
      <c r="DD274" s="447"/>
      <c r="DE274" s="447"/>
      <c r="DF274" s="447"/>
      <c r="DG274" s="447"/>
      <c r="DH274" s="447"/>
      <c r="DI274" s="447"/>
      <c r="DJ274" s="447"/>
      <c r="DK274" s="447"/>
      <c r="DL274" s="67"/>
      <c r="DM274" s="67"/>
      <c r="DN274" s="67"/>
      <c r="DO274" s="67"/>
      <c r="DP274" s="67"/>
      <c r="DQ274" s="67"/>
    </row>
    <row r="275" ht="22.5" customHeight="1">
      <c r="A275" s="383"/>
      <c r="B275" s="384" t="str">
        <f>IFERROR(__xludf.DUMMYFUNCTION("IF(B$43="""","""",IF($AZ275="""","""",IFERROR(Query({CarteirasAtivos},""Select Col3 where Col1 = '""&amp;$AZ275&amp;""'and Col2 = '""&amp;S$21&amp;""'""))))"),"")</f>
        <v/>
      </c>
      <c r="C275" s="384" t="str">
        <f>IFERROR(__xludf.DUMMYFUNCTION("IF(C$43="""","""",IF($AZ275="""","""",IFERROR(Query({CarteirasAtivos},""Select Col3 where Col1 = '""&amp;$AZ275&amp;""'and Col2 = '""&amp;T$21&amp;""'""))))"),"")</f>
        <v/>
      </c>
      <c r="D275" s="384" t="str">
        <f>IFERROR(__xludf.DUMMYFUNCTION("IF(D$43="""","""",IF($AZ275="""","""",IFERROR(Query({CarteirasAtivos},""Select Col3 where Col1 = '""&amp;$AZ275&amp;""'and Col2 = '""&amp;U$21&amp;""'""))))"),"")</f>
        <v/>
      </c>
      <c r="E275" s="384" t="str">
        <f>IFERROR(__xludf.DUMMYFUNCTION("IF(E$43="""","""",IF($AZ275="""","""",IFERROR(Query({CarteirasAtivos},""Select Col3 where Col1 = '""&amp;$AZ275&amp;""'and Col2 = '""&amp;V$21&amp;""'""))))"),"")</f>
        <v/>
      </c>
      <c r="F275" s="384" t="str">
        <f>IFERROR(__xludf.DUMMYFUNCTION("IF(F$43="""","""",IF($AZ275="""","""",IFERROR(Query({CarteirasAtivos},""Select Col3 where Col1 = '""&amp;$AZ275&amp;""'and Col2 = '""&amp;W$21&amp;""'""))))"),"")</f>
        <v/>
      </c>
      <c r="G275" s="384" t="str">
        <f>IFERROR(__xludf.DUMMYFUNCTION("IF(G$43="""","""",IF($AZ275="""","""",IFERROR(Query({CarteirasAtivos},""Select Col3 where Col1 = '""&amp;$AZ275&amp;""'and Col2 = '""&amp;X$21&amp;""'""))))"),"")</f>
        <v/>
      </c>
      <c r="H275" s="384" t="str">
        <f>IFERROR(__xludf.DUMMYFUNCTION("IF(H$43="""","""",IF($AZ275="""","""",IFERROR(Query({CarteirasAtivos},""Select Col3 where Col1 = '""&amp;$AZ275&amp;""'and Col2 = '""&amp;Y$21&amp;""'""))))"),"")</f>
        <v/>
      </c>
      <c r="I275" s="384" t="str">
        <f>IFERROR(__xludf.DUMMYFUNCTION("IF(I$43="""","""",IF($AZ275="""","""",IFERROR(Query({CarteirasAtivos},""Select Col3 where Col1 = '""&amp;$AZ275&amp;""'and Col2 = '""&amp;Z$21&amp;""'""))))"),"")</f>
        <v/>
      </c>
      <c r="J275" s="384" t="str">
        <f>IFERROR(__xludf.DUMMYFUNCTION("IF(J$43="""","""",IF($AZ275="""","""",IFERROR(Query({CarteirasAtivos},""Select Col3 where Col1 = '""&amp;$AZ275&amp;""'and Col2 = '""&amp;AA$21&amp;""'""))))"),"")</f>
        <v/>
      </c>
      <c r="K275" s="384" t="str">
        <f>IFERROR(__xludf.DUMMYFUNCTION("IF(K$43="""","""",IF($AZ275="""","""",IFERROR(Query({CarteirasAtivos},""Select Col3 where Col1 = '""&amp;$AZ275&amp;""'and Col2 = '""&amp;AB$21&amp;""'""))))"),"")</f>
        <v/>
      </c>
      <c r="L275" s="385">
        <v>232.0</v>
      </c>
      <c r="M275" s="503"/>
      <c r="N275" s="387"/>
      <c r="O275" s="388" t="s">
        <v>123</v>
      </c>
      <c r="P275" s="389"/>
      <c r="Q275" s="390"/>
      <c r="R275" s="391"/>
      <c r="S275" s="392"/>
      <c r="T275" s="393"/>
      <c r="U275" s="393"/>
      <c r="V275" s="394"/>
      <c r="W275" s="395" t="str">
        <f>IFERROR(__xludf.DUMMYFUNCTION("IF(M275="""","""",sparkline(IFERROR(BF275*100/MAX($BF$44:$BF$153),0),{""charttype"",""bar"";""max"",100;""color1"",IF(BD275&gt;=0,""#4760a5"",""red"")}))"),"")</f>
        <v/>
      </c>
      <c r="X275" s="396"/>
      <c r="Y275" s="466"/>
      <c r="Z275" s="398"/>
      <c r="AA275" s="399"/>
      <c r="AB275" s="393"/>
      <c r="AC275" s="476"/>
      <c r="AD275" s="401"/>
      <c r="AE275" s="402"/>
      <c r="AF275" s="403"/>
      <c r="AG275" s="404" t="str">
        <f>IFERROR(__xludf.DUMMYFUNCTION("IF($M275="""","""",IFERROR(sparkline(query(GOOGLEFINANCE($AZ275,""price"",TODAY()-$AF$43,TODAY(),1),""select Col2 label Col2 ''""),IF($AG$43=""Gráfico de barras"",{""charttype"",""column"";""highcolor"",""red""},{""chartype"",""line""}))))"),"")</f>
        <v/>
      </c>
      <c r="AH275" s="405"/>
      <c r="AI275" s="467"/>
      <c r="AJ275" s="467"/>
      <c r="AK275" s="467"/>
      <c r="AL275" s="467"/>
      <c r="AM275" s="442"/>
      <c r="AN275" s="442"/>
      <c r="AU275" s="281"/>
      <c r="AV275" s="281"/>
      <c r="AW275" s="281"/>
      <c r="AX275" s="281"/>
      <c r="AY275" s="410">
        <v>232.0</v>
      </c>
      <c r="AZ275" s="411"/>
      <c r="BA275" s="411"/>
      <c r="BB275" s="437"/>
      <c r="BC275" s="437"/>
      <c r="BD275" s="437"/>
      <c r="BE275" s="437"/>
      <c r="BF275" s="415" t="s">
        <v>123</v>
      </c>
      <c r="BG275" s="410">
        <v>232.0</v>
      </c>
      <c r="BH275" s="416"/>
      <c r="BI275" s="416"/>
      <c r="BJ275" s="416"/>
      <c r="BK275" s="416"/>
      <c r="BL275" s="416"/>
      <c r="BM275" s="416"/>
      <c r="BN275" s="282"/>
      <c r="BO275" s="490"/>
      <c r="BP275" s="489"/>
      <c r="BQ275" s="489"/>
      <c r="BR275" s="489"/>
      <c r="BS275" s="489"/>
      <c r="BT275" s="489"/>
      <c r="BU275" s="489"/>
      <c r="BV275" s="489"/>
      <c r="BW275" s="63"/>
      <c r="BX275" s="62"/>
      <c r="BY275" s="452"/>
      <c r="BZ275" s="452"/>
      <c r="CA275" s="452"/>
      <c r="CB275" s="452"/>
      <c r="CC275" s="452"/>
      <c r="CD275" s="452"/>
      <c r="CE275" s="452"/>
      <c r="CF275" s="452"/>
      <c r="CG275" s="452"/>
      <c r="CH275" s="422"/>
      <c r="CI275" s="422"/>
      <c r="CJ275" s="422"/>
      <c r="CK275" s="421"/>
      <c r="CL275" s="421" t="s">
        <v>123</v>
      </c>
      <c r="CM275" s="423"/>
      <c r="CN275" s="421"/>
      <c r="CO275" s="423"/>
      <c r="CP275" s="421"/>
      <c r="CQ275" s="63"/>
      <c r="CR275" s="63"/>
      <c r="CS275" s="63"/>
      <c r="CT275" s="63"/>
      <c r="CU275" s="447"/>
      <c r="CV275" s="447"/>
      <c r="CW275" s="447"/>
      <c r="CX275" s="447"/>
      <c r="CY275" s="447"/>
      <c r="CZ275" s="447"/>
      <c r="DA275" s="447"/>
      <c r="DB275" s="447"/>
      <c r="DC275" s="447"/>
      <c r="DD275" s="447"/>
      <c r="DE275" s="447"/>
      <c r="DF275" s="447"/>
      <c r="DG275" s="447"/>
      <c r="DH275" s="447"/>
      <c r="DI275" s="447"/>
      <c r="DJ275" s="447"/>
      <c r="DK275" s="447"/>
      <c r="DL275" s="67"/>
      <c r="DM275" s="67"/>
      <c r="DN275" s="67"/>
      <c r="DO275" s="67"/>
      <c r="DP275" s="67"/>
      <c r="DQ275" s="67"/>
    </row>
    <row r="276" ht="22.5" customHeight="1">
      <c r="A276" s="383"/>
      <c r="B276" s="384" t="str">
        <f>IFERROR(__xludf.DUMMYFUNCTION("IF(B$43="""","""",IF($AZ276="""","""",IFERROR(Query({CarteirasAtivos},""Select Col3 where Col1 = '""&amp;$AZ276&amp;""'and Col2 = '""&amp;S$21&amp;""'""))))"),"")</f>
        <v/>
      </c>
      <c r="C276" s="384" t="str">
        <f>IFERROR(__xludf.DUMMYFUNCTION("IF(C$43="""","""",IF($AZ276="""","""",IFERROR(Query({CarteirasAtivos},""Select Col3 where Col1 = '""&amp;$AZ276&amp;""'and Col2 = '""&amp;T$21&amp;""'""))))"),"")</f>
        <v/>
      </c>
      <c r="D276" s="384" t="str">
        <f>IFERROR(__xludf.DUMMYFUNCTION("IF(D$43="""","""",IF($AZ276="""","""",IFERROR(Query({CarteirasAtivos},""Select Col3 where Col1 = '""&amp;$AZ276&amp;""'and Col2 = '""&amp;U$21&amp;""'""))))"),"")</f>
        <v/>
      </c>
      <c r="E276" s="384" t="str">
        <f>IFERROR(__xludf.DUMMYFUNCTION("IF(E$43="""","""",IF($AZ276="""","""",IFERROR(Query({CarteirasAtivos},""Select Col3 where Col1 = '""&amp;$AZ276&amp;""'and Col2 = '""&amp;V$21&amp;""'""))))"),"")</f>
        <v/>
      </c>
      <c r="F276" s="384" t="str">
        <f>IFERROR(__xludf.DUMMYFUNCTION("IF(F$43="""","""",IF($AZ276="""","""",IFERROR(Query({CarteirasAtivos},""Select Col3 where Col1 = '""&amp;$AZ276&amp;""'and Col2 = '""&amp;W$21&amp;""'""))))"),"")</f>
        <v/>
      </c>
      <c r="G276" s="384" t="str">
        <f>IFERROR(__xludf.DUMMYFUNCTION("IF(G$43="""","""",IF($AZ276="""","""",IFERROR(Query({CarteirasAtivos},""Select Col3 where Col1 = '""&amp;$AZ276&amp;""'and Col2 = '""&amp;X$21&amp;""'""))))"),"")</f>
        <v/>
      </c>
      <c r="H276" s="384" t="str">
        <f>IFERROR(__xludf.DUMMYFUNCTION("IF(H$43="""","""",IF($AZ276="""","""",IFERROR(Query({CarteirasAtivos},""Select Col3 where Col1 = '""&amp;$AZ276&amp;""'and Col2 = '""&amp;Y$21&amp;""'""))))"),"")</f>
        <v/>
      </c>
      <c r="I276" s="384" t="str">
        <f>IFERROR(__xludf.DUMMYFUNCTION("IF(I$43="""","""",IF($AZ276="""","""",IFERROR(Query({CarteirasAtivos},""Select Col3 where Col1 = '""&amp;$AZ276&amp;""'and Col2 = '""&amp;Z$21&amp;""'""))))"),"")</f>
        <v/>
      </c>
      <c r="J276" s="384" t="str">
        <f>IFERROR(__xludf.DUMMYFUNCTION("IF(J$43="""","""",IF($AZ276="""","""",IFERROR(Query({CarteirasAtivos},""Select Col3 where Col1 = '""&amp;$AZ276&amp;""'and Col2 = '""&amp;AA$21&amp;""'""))))"),"")</f>
        <v/>
      </c>
      <c r="K276" s="384" t="str">
        <f>IFERROR(__xludf.DUMMYFUNCTION("IF(K$43="""","""",IF($AZ276="""","""",IFERROR(Query({CarteirasAtivos},""Select Col3 where Col1 = '""&amp;$AZ276&amp;""'and Col2 = '""&amp;AB$21&amp;""'""))))"),"")</f>
        <v/>
      </c>
      <c r="L276" s="385">
        <v>233.0</v>
      </c>
      <c r="M276" s="503"/>
      <c r="N276" s="387"/>
      <c r="O276" s="388" t="s">
        <v>123</v>
      </c>
      <c r="P276" s="389"/>
      <c r="Q276" s="390"/>
      <c r="R276" s="391"/>
      <c r="S276" s="392"/>
      <c r="T276" s="393"/>
      <c r="U276" s="393"/>
      <c r="V276" s="394"/>
      <c r="W276" s="395" t="str">
        <f>IFERROR(__xludf.DUMMYFUNCTION("IF(M276="""","""",sparkline(IFERROR(BF276*100/MAX($BF$44:$BF$153),0),{""charttype"",""bar"";""max"",100;""color1"",IF(BD276&gt;=0,""#4760a5"",""red"")}))"),"")</f>
        <v/>
      </c>
      <c r="X276" s="396"/>
      <c r="Y276" s="466"/>
      <c r="Z276" s="398"/>
      <c r="AA276" s="399"/>
      <c r="AB276" s="393"/>
      <c r="AC276" s="476"/>
      <c r="AD276" s="401"/>
      <c r="AE276" s="402"/>
      <c r="AF276" s="403"/>
      <c r="AG276" s="404" t="str">
        <f>IFERROR(__xludf.DUMMYFUNCTION("IF($M276="""","""",IFERROR(sparkline(query(GOOGLEFINANCE($AZ276,""price"",TODAY()-$AF$43,TODAY(),1),""select Col2 label Col2 ''""),IF($AG$43=""Gráfico de barras"",{""charttype"",""column"";""highcolor"",""red""},{""chartype"",""line""}))))"),"")</f>
        <v/>
      </c>
      <c r="AH276" s="405"/>
      <c r="AI276" s="467"/>
      <c r="AJ276" s="467"/>
      <c r="AK276" s="467"/>
      <c r="AL276" s="467"/>
      <c r="AM276" s="442"/>
      <c r="AN276" s="442"/>
      <c r="AU276" s="281"/>
      <c r="AV276" s="281"/>
      <c r="AW276" s="281"/>
      <c r="AX276" s="281"/>
      <c r="AY276" s="410">
        <v>233.0</v>
      </c>
      <c r="AZ276" s="411"/>
      <c r="BA276" s="411"/>
      <c r="BB276" s="437"/>
      <c r="BC276" s="437"/>
      <c r="BD276" s="437"/>
      <c r="BE276" s="437"/>
      <c r="BF276" s="415" t="s">
        <v>123</v>
      </c>
      <c r="BG276" s="410">
        <v>233.0</v>
      </c>
      <c r="BH276" s="416"/>
      <c r="BI276" s="416"/>
      <c r="BJ276" s="416"/>
      <c r="BK276" s="416"/>
      <c r="BL276" s="416"/>
      <c r="BM276" s="416"/>
      <c r="BN276" s="282"/>
      <c r="BO276" s="490"/>
      <c r="BP276" s="489"/>
      <c r="BQ276" s="489"/>
      <c r="BR276" s="489"/>
      <c r="BS276" s="489"/>
      <c r="BT276" s="489"/>
      <c r="BU276" s="489"/>
      <c r="BV276" s="489"/>
      <c r="BW276" s="63"/>
      <c r="BX276" s="62"/>
      <c r="BY276" s="452"/>
      <c r="BZ276" s="452"/>
      <c r="CA276" s="452"/>
      <c r="CB276" s="452"/>
      <c r="CC276" s="452"/>
      <c r="CD276" s="452"/>
      <c r="CE276" s="452"/>
      <c r="CF276" s="452"/>
      <c r="CG276" s="452"/>
      <c r="CH276" s="422"/>
      <c r="CI276" s="422"/>
      <c r="CJ276" s="422"/>
      <c r="CK276" s="421"/>
      <c r="CL276" s="421" t="s">
        <v>123</v>
      </c>
      <c r="CM276" s="423"/>
      <c r="CN276" s="421"/>
      <c r="CO276" s="423"/>
      <c r="CP276" s="421"/>
      <c r="CQ276" s="63"/>
      <c r="CR276" s="63"/>
      <c r="CS276" s="63"/>
      <c r="CT276" s="63"/>
      <c r="CU276" s="447"/>
      <c r="CV276" s="447"/>
      <c r="CW276" s="447"/>
      <c r="CX276" s="447"/>
      <c r="CY276" s="447"/>
      <c r="CZ276" s="447"/>
      <c r="DA276" s="447"/>
      <c r="DB276" s="447"/>
      <c r="DC276" s="447"/>
      <c r="DD276" s="447"/>
      <c r="DE276" s="447"/>
      <c r="DF276" s="447"/>
      <c r="DG276" s="447"/>
      <c r="DH276" s="447"/>
      <c r="DI276" s="447"/>
      <c r="DJ276" s="447"/>
      <c r="DK276" s="447"/>
      <c r="DL276" s="67"/>
      <c r="DM276" s="67"/>
      <c r="DN276" s="67"/>
      <c r="DO276" s="67"/>
      <c r="DP276" s="67"/>
      <c r="DQ276" s="67"/>
    </row>
    <row r="277" ht="22.5" customHeight="1">
      <c r="A277" s="383"/>
      <c r="B277" s="384" t="str">
        <f>IFERROR(__xludf.DUMMYFUNCTION("IF(B$43="""","""",IF($AZ277="""","""",IFERROR(Query({CarteirasAtivos},""Select Col3 where Col1 = '""&amp;$AZ277&amp;""'and Col2 = '""&amp;S$21&amp;""'""))))"),"")</f>
        <v/>
      </c>
      <c r="C277" s="384" t="str">
        <f>IFERROR(__xludf.DUMMYFUNCTION("IF(C$43="""","""",IF($AZ277="""","""",IFERROR(Query({CarteirasAtivos},""Select Col3 where Col1 = '""&amp;$AZ277&amp;""'and Col2 = '""&amp;T$21&amp;""'""))))"),"")</f>
        <v/>
      </c>
      <c r="D277" s="384" t="str">
        <f>IFERROR(__xludf.DUMMYFUNCTION("IF(D$43="""","""",IF($AZ277="""","""",IFERROR(Query({CarteirasAtivos},""Select Col3 where Col1 = '""&amp;$AZ277&amp;""'and Col2 = '""&amp;U$21&amp;""'""))))"),"")</f>
        <v/>
      </c>
      <c r="E277" s="384" t="str">
        <f>IFERROR(__xludf.DUMMYFUNCTION("IF(E$43="""","""",IF($AZ277="""","""",IFERROR(Query({CarteirasAtivos},""Select Col3 where Col1 = '""&amp;$AZ277&amp;""'and Col2 = '""&amp;V$21&amp;""'""))))"),"")</f>
        <v/>
      </c>
      <c r="F277" s="384" t="str">
        <f>IFERROR(__xludf.DUMMYFUNCTION("IF(F$43="""","""",IF($AZ277="""","""",IFERROR(Query({CarteirasAtivos},""Select Col3 where Col1 = '""&amp;$AZ277&amp;""'and Col2 = '""&amp;W$21&amp;""'""))))"),"")</f>
        <v/>
      </c>
      <c r="G277" s="384" t="str">
        <f>IFERROR(__xludf.DUMMYFUNCTION("IF(G$43="""","""",IF($AZ277="""","""",IFERROR(Query({CarteirasAtivos},""Select Col3 where Col1 = '""&amp;$AZ277&amp;""'and Col2 = '""&amp;X$21&amp;""'""))))"),"")</f>
        <v/>
      </c>
      <c r="H277" s="384" t="str">
        <f>IFERROR(__xludf.DUMMYFUNCTION("IF(H$43="""","""",IF($AZ277="""","""",IFERROR(Query({CarteirasAtivos},""Select Col3 where Col1 = '""&amp;$AZ277&amp;""'and Col2 = '""&amp;Y$21&amp;""'""))))"),"")</f>
        <v/>
      </c>
      <c r="I277" s="384" t="str">
        <f>IFERROR(__xludf.DUMMYFUNCTION("IF(I$43="""","""",IF($AZ277="""","""",IFERROR(Query({CarteirasAtivos},""Select Col3 where Col1 = '""&amp;$AZ277&amp;""'and Col2 = '""&amp;Z$21&amp;""'""))))"),"")</f>
        <v/>
      </c>
      <c r="J277" s="384" t="str">
        <f>IFERROR(__xludf.DUMMYFUNCTION("IF(J$43="""","""",IF($AZ277="""","""",IFERROR(Query({CarteirasAtivos},""Select Col3 where Col1 = '""&amp;$AZ277&amp;""'and Col2 = '""&amp;AA$21&amp;""'""))))"),"")</f>
        <v/>
      </c>
      <c r="K277" s="384" t="str">
        <f>IFERROR(__xludf.DUMMYFUNCTION("IF(K$43="""","""",IF($AZ277="""","""",IFERROR(Query({CarteirasAtivos},""Select Col3 where Col1 = '""&amp;$AZ277&amp;""'and Col2 = '""&amp;AB$21&amp;""'""))))"),"")</f>
        <v/>
      </c>
      <c r="L277" s="385">
        <v>234.0</v>
      </c>
      <c r="M277" s="503"/>
      <c r="N277" s="387"/>
      <c r="O277" s="388" t="s">
        <v>123</v>
      </c>
      <c r="P277" s="389"/>
      <c r="Q277" s="390"/>
      <c r="R277" s="391"/>
      <c r="S277" s="392"/>
      <c r="T277" s="393"/>
      <c r="U277" s="393"/>
      <c r="V277" s="394"/>
      <c r="W277" s="395" t="str">
        <f>IFERROR(__xludf.DUMMYFUNCTION("IF(M277="""","""",sparkline(IFERROR(BF277*100/MAX($BF$44:$BF$153),0),{""charttype"",""bar"";""max"",100;""color1"",IF(BD277&gt;=0,""#4760a5"",""red"")}))"),"")</f>
        <v/>
      </c>
      <c r="X277" s="396"/>
      <c r="Y277" s="466"/>
      <c r="Z277" s="398"/>
      <c r="AA277" s="399"/>
      <c r="AB277" s="393"/>
      <c r="AC277" s="476"/>
      <c r="AD277" s="401"/>
      <c r="AE277" s="402"/>
      <c r="AF277" s="403"/>
      <c r="AG277" s="404" t="str">
        <f>IFERROR(__xludf.DUMMYFUNCTION("IF($M277="""","""",IFERROR(sparkline(query(GOOGLEFINANCE($AZ277,""price"",TODAY()-$AF$43,TODAY(),1),""select Col2 label Col2 ''""),IF($AG$43=""Gráfico de barras"",{""charttype"",""column"";""highcolor"",""red""},{""chartype"",""line""}))))"),"")</f>
        <v/>
      </c>
      <c r="AH277" s="405"/>
      <c r="AI277" s="467"/>
      <c r="AJ277" s="467"/>
      <c r="AK277" s="467"/>
      <c r="AL277" s="467"/>
      <c r="AM277" s="442"/>
      <c r="AN277" s="442"/>
      <c r="AU277" s="281"/>
      <c r="AV277" s="281"/>
      <c r="AW277" s="281"/>
      <c r="AX277" s="281"/>
      <c r="AY277" s="410">
        <v>234.0</v>
      </c>
      <c r="AZ277" s="411"/>
      <c r="BA277" s="411"/>
      <c r="BB277" s="437"/>
      <c r="BC277" s="437"/>
      <c r="BD277" s="437"/>
      <c r="BE277" s="437"/>
      <c r="BF277" s="415" t="s">
        <v>123</v>
      </c>
      <c r="BG277" s="410">
        <v>234.0</v>
      </c>
      <c r="BH277" s="416"/>
      <c r="BI277" s="416"/>
      <c r="BJ277" s="416"/>
      <c r="BK277" s="416"/>
      <c r="BL277" s="416"/>
      <c r="BM277" s="416"/>
      <c r="BN277" s="282"/>
      <c r="BO277" s="490"/>
      <c r="BP277" s="489"/>
      <c r="BQ277" s="489"/>
      <c r="BR277" s="489"/>
      <c r="BS277" s="489"/>
      <c r="BT277" s="489"/>
      <c r="BU277" s="489"/>
      <c r="BV277" s="489"/>
      <c r="BW277" s="63"/>
      <c r="BX277" s="62"/>
      <c r="BY277" s="452"/>
      <c r="BZ277" s="452"/>
      <c r="CA277" s="452"/>
      <c r="CB277" s="452"/>
      <c r="CC277" s="452"/>
      <c r="CD277" s="452"/>
      <c r="CE277" s="452"/>
      <c r="CF277" s="452"/>
      <c r="CG277" s="452"/>
      <c r="CH277" s="422"/>
      <c r="CI277" s="422"/>
      <c r="CJ277" s="422"/>
      <c r="CK277" s="421"/>
      <c r="CL277" s="421" t="s">
        <v>123</v>
      </c>
      <c r="CM277" s="423"/>
      <c r="CN277" s="421"/>
      <c r="CO277" s="423"/>
      <c r="CP277" s="421"/>
      <c r="CQ277" s="63"/>
      <c r="CR277" s="63"/>
      <c r="CS277" s="63"/>
      <c r="CT277" s="63"/>
      <c r="CU277" s="447"/>
      <c r="CV277" s="447"/>
      <c r="CW277" s="447"/>
      <c r="CX277" s="447"/>
      <c r="CY277" s="447"/>
      <c r="CZ277" s="447"/>
      <c r="DA277" s="447"/>
      <c r="DB277" s="447"/>
      <c r="DC277" s="447"/>
      <c r="DD277" s="447"/>
      <c r="DE277" s="447"/>
      <c r="DF277" s="447"/>
      <c r="DG277" s="447"/>
      <c r="DH277" s="447"/>
      <c r="DI277" s="447"/>
      <c r="DJ277" s="447"/>
      <c r="DK277" s="447"/>
      <c r="DL277" s="67"/>
      <c r="DM277" s="67"/>
      <c r="DN277" s="67"/>
      <c r="DO277" s="67"/>
      <c r="DP277" s="67"/>
      <c r="DQ277" s="67"/>
    </row>
    <row r="278" ht="22.5" customHeight="1">
      <c r="A278" s="383"/>
      <c r="B278" s="384" t="str">
        <f>IFERROR(__xludf.DUMMYFUNCTION("IF(B$43="""","""",IF($AZ278="""","""",IFERROR(Query({CarteirasAtivos},""Select Col3 where Col1 = '""&amp;$AZ278&amp;""'and Col2 = '""&amp;S$21&amp;""'""))))"),"")</f>
        <v/>
      </c>
      <c r="C278" s="384" t="str">
        <f>IFERROR(__xludf.DUMMYFUNCTION("IF(C$43="""","""",IF($AZ278="""","""",IFERROR(Query({CarteirasAtivos},""Select Col3 where Col1 = '""&amp;$AZ278&amp;""'and Col2 = '""&amp;T$21&amp;""'""))))"),"")</f>
        <v/>
      </c>
      <c r="D278" s="384" t="str">
        <f>IFERROR(__xludf.DUMMYFUNCTION("IF(D$43="""","""",IF($AZ278="""","""",IFERROR(Query({CarteirasAtivos},""Select Col3 where Col1 = '""&amp;$AZ278&amp;""'and Col2 = '""&amp;U$21&amp;""'""))))"),"")</f>
        <v/>
      </c>
      <c r="E278" s="384" t="str">
        <f>IFERROR(__xludf.DUMMYFUNCTION("IF(E$43="""","""",IF($AZ278="""","""",IFERROR(Query({CarteirasAtivos},""Select Col3 where Col1 = '""&amp;$AZ278&amp;""'and Col2 = '""&amp;V$21&amp;""'""))))"),"")</f>
        <v/>
      </c>
      <c r="F278" s="384" t="str">
        <f>IFERROR(__xludf.DUMMYFUNCTION("IF(F$43="""","""",IF($AZ278="""","""",IFERROR(Query({CarteirasAtivos},""Select Col3 where Col1 = '""&amp;$AZ278&amp;""'and Col2 = '""&amp;W$21&amp;""'""))))"),"")</f>
        <v/>
      </c>
      <c r="G278" s="384" t="str">
        <f>IFERROR(__xludf.DUMMYFUNCTION("IF(G$43="""","""",IF($AZ278="""","""",IFERROR(Query({CarteirasAtivos},""Select Col3 where Col1 = '""&amp;$AZ278&amp;""'and Col2 = '""&amp;X$21&amp;""'""))))"),"")</f>
        <v/>
      </c>
      <c r="H278" s="384" t="str">
        <f>IFERROR(__xludf.DUMMYFUNCTION("IF(H$43="""","""",IF($AZ278="""","""",IFERROR(Query({CarteirasAtivos},""Select Col3 where Col1 = '""&amp;$AZ278&amp;""'and Col2 = '""&amp;Y$21&amp;""'""))))"),"")</f>
        <v/>
      </c>
      <c r="I278" s="384" t="str">
        <f>IFERROR(__xludf.DUMMYFUNCTION("IF(I$43="""","""",IF($AZ278="""","""",IFERROR(Query({CarteirasAtivos},""Select Col3 where Col1 = '""&amp;$AZ278&amp;""'and Col2 = '""&amp;Z$21&amp;""'""))))"),"")</f>
        <v/>
      </c>
      <c r="J278" s="384" t="str">
        <f>IFERROR(__xludf.DUMMYFUNCTION("IF(J$43="""","""",IF($AZ278="""","""",IFERROR(Query({CarteirasAtivos},""Select Col3 where Col1 = '""&amp;$AZ278&amp;""'and Col2 = '""&amp;AA$21&amp;""'""))))"),"")</f>
        <v/>
      </c>
      <c r="K278" s="384" t="str">
        <f>IFERROR(__xludf.DUMMYFUNCTION("IF(K$43="""","""",IF($AZ278="""","""",IFERROR(Query({CarteirasAtivos},""Select Col3 where Col1 = '""&amp;$AZ278&amp;""'and Col2 = '""&amp;AB$21&amp;""'""))))"),"")</f>
        <v/>
      </c>
      <c r="L278" s="385">
        <v>235.0</v>
      </c>
      <c r="M278" s="503"/>
      <c r="N278" s="387"/>
      <c r="O278" s="388" t="s">
        <v>123</v>
      </c>
      <c r="P278" s="389"/>
      <c r="Q278" s="390"/>
      <c r="R278" s="391"/>
      <c r="S278" s="392"/>
      <c r="T278" s="393"/>
      <c r="U278" s="393"/>
      <c r="V278" s="394"/>
      <c r="W278" s="395" t="str">
        <f>IFERROR(__xludf.DUMMYFUNCTION("IF(M278="""","""",sparkline(IFERROR(BF278*100/MAX($BF$44:$BF$153),0),{""charttype"",""bar"";""max"",100;""color1"",IF(BD278&gt;=0,""#4760a5"",""red"")}))"),"")</f>
        <v/>
      </c>
      <c r="X278" s="396"/>
      <c r="Y278" s="466"/>
      <c r="Z278" s="398"/>
      <c r="AA278" s="399"/>
      <c r="AB278" s="393"/>
      <c r="AC278" s="476"/>
      <c r="AD278" s="401"/>
      <c r="AE278" s="402"/>
      <c r="AF278" s="403"/>
      <c r="AG278" s="404" t="str">
        <f>IFERROR(__xludf.DUMMYFUNCTION("IF($M278="""","""",IFERROR(sparkline(query(GOOGLEFINANCE($AZ278,""price"",TODAY()-$AF$43,TODAY(),1),""select Col2 label Col2 ''""),IF($AG$43=""Gráfico de barras"",{""charttype"",""column"";""highcolor"",""red""},{""chartype"",""line""}))))"),"")</f>
        <v/>
      </c>
      <c r="AH278" s="405"/>
      <c r="AI278" s="467"/>
      <c r="AJ278" s="467"/>
      <c r="AK278" s="467"/>
      <c r="AL278" s="467"/>
      <c r="AM278" s="442"/>
      <c r="AN278" s="442"/>
      <c r="AU278" s="281"/>
      <c r="AV278" s="281"/>
      <c r="AW278" s="281"/>
      <c r="AX278" s="281"/>
      <c r="AY278" s="410">
        <v>235.0</v>
      </c>
      <c r="AZ278" s="411"/>
      <c r="BA278" s="411"/>
      <c r="BB278" s="437"/>
      <c r="BC278" s="437"/>
      <c r="BD278" s="437"/>
      <c r="BE278" s="437"/>
      <c r="BF278" s="415" t="s">
        <v>123</v>
      </c>
      <c r="BG278" s="410">
        <v>235.0</v>
      </c>
      <c r="BH278" s="416"/>
      <c r="BI278" s="416"/>
      <c r="BJ278" s="416"/>
      <c r="BK278" s="416"/>
      <c r="BL278" s="416"/>
      <c r="BM278" s="416"/>
      <c r="BN278" s="282"/>
      <c r="BO278" s="490"/>
      <c r="BP278" s="489"/>
      <c r="BQ278" s="489"/>
      <c r="BR278" s="489"/>
      <c r="BS278" s="489"/>
      <c r="BT278" s="489"/>
      <c r="BU278" s="489"/>
      <c r="BV278" s="489"/>
      <c r="BW278" s="63"/>
      <c r="BX278" s="62"/>
      <c r="BY278" s="452"/>
      <c r="BZ278" s="452"/>
      <c r="CA278" s="452"/>
      <c r="CB278" s="452"/>
      <c r="CC278" s="452"/>
      <c r="CD278" s="452"/>
      <c r="CE278" s="452"/>
      <c r="CF278" s="452"/>
      <c r="CG278" s="452"/>
      <c r="CH278" s="422"/>
      <c r="CI278" s="422"/>
      <c r="CJ278" s="422"/>
      <c r="CK278" s="421"/>
      <c r="CL278" s="421" t="s">
        <v>123</v>
      </c>
      <c r="CM278" s="423"/>
      <c r="CN278" s="421"/>
      <c r="CO278" s="423"/>
      <c r="CP278" s="421"/>
      <c r="CQ278" s="63"/>
      <c r="CR278" s="63"/>
      <c r="CS278" s="63"/>
      <c r="CT278" s="63"/>
      <c r="CU278" s="447"/>
      <c r="CV278" s="447"/>
      <c r="CW278" s="447"/>
      <c r="CX278" s="447"/>
      <c r="CY278" s="447"/>
      <c r="CZ278" s="447"/>
      <c r="DA278" s="447"/>
      <c r="DB278" s="447"/>
      <c r="DC278" s="447"/>
      <c r="DD278" s="447"/>
      <c r="DE278" s="447"/>
      <c r="DF278" s="447"/>
      <c r="DG278" s="447"/>
      <c r="DH278" s="447"/>
      <c r="DI278" s="447"/>
      <c r="DJ278" s="447"/>
      <c r="DK278" s="447"/>
      <c r="DL278" s="67"/>
      <c r="DM278" s="67"/>
      <c r="DN278" s="67"/>
      <c r="DO278" s="67"/>
      <c r="DP278" s="67"/>
      <c r="DQ278" s="67"/>
    </row>
    <row r="279" ht="22.5" customHeight="1">
      <c r="A279" s="383"/>
      <c r="B279" s="384" t="str">
        <f>IFERROR(__xludf.DUMMYFUNCTION("IF(B$43="""","""",IF($AZ279="""","""",IFERROR(Query({CarteirasAtivos},""Select Col3 where Col1 = '""&amp;$AZ279&amp;""'and Col2 = '""&amp;S$21&amp;""'""))))"),"")</f>
        <v/>
      </c>
      <c r="C279" s="384" t="str">
        <f>IFERROR(__xludf.DUMMYFUNCTION("IF(C$43="""","""",IF($AZ279="""","""",IFERROR(Query({CarteirasAtivos},""Select Col3 where Col1 = '""&amp;$AZ279&amp;""'and Col2 = '""&amp;T$21&amp;""'""))))"),"")</f>
        <v/>
      </c>
      <c r="D279" s="384" t="str">
        <f>IFERROR(__xludf.DUMMYFUNCTION("IF(D$43="""","""",IF($AZ279="""","""",IFERROR(Query({CarteirasAtivos},""Select Col3 where Col1 = '""&amp;$AZ279&amp;""'and Col2 = '""&amp;U$21&amp;""'""))))"),"")</f>
        <v/>
      </c>
      <c r="E279" s="384" t="str">
        <f>IFERROR(__xludf.DUMMYFUNCTION("IF(E$43="""","""",IF($AZ279="""","""",IFERROR(Query({CarteirasAtivos},""Select Col3 where Col1 = '""&amp;$AZ279&amp;""'and Col2 = '""&amp;V$21&amp;""'""))))"),"")</f>
        <v/>
      </c>
      <c r="F279" s="384" t="str">
        <f>IFERROR(__xludf.DUMMYFUNCTION("IF(F$43="""","""",IF($AZ279="""","""",IFERROR(Query({CarteirasAtivos},""Select Col3 where Col1 = '""&amp;$AZ279&amp;""'and Col2 = '""&amp;W$21&amp;""'""))))"),"")</f>
        <v/>
      </c>
      <c r="G279" s="384" t="str">
        <f>IFERROR(__xludf.DUMMYFUNCTION("IF(G$43="""","""",IF($AZ279="""","""",IFERROR(Query({CarteirasAtivos},""Select Col3 where Col1 = '""&amp;$AZ279&amp;""'and Col2 = '""&amp;X$21&amp;""'""))))"),"")</f>
        <v/>
      </c>
      <c r="H279" s="384" t="str">
        <f>IFERROR(__xludf.DUMMYFUNCTION("IF(H$43="""","""",IF($AZ279="""","""",IFERROR(Query({CarteirasAtivos},""Select Col3 where Col1 = '""&amp;$AZ279&amp;""'and Col2 = '""&amp;Y$21&amp;""'""))))"),"")</f>
        <v/>
      </c>
      <c r="I279" s="384" t="str">
        <f>IFERROR(__xludf.DUMMYFUNCTION("IF(I$43="""","""",IF($AZ279="""","""",IFERROR(Query({CarteirasAtivos},""Select Col3 where Col1 = '""&amp;$AZ279&amp;""'and Col2 = '""&amp;Z$21&amp;""'""))))"),"")</f>
        <v/>
      </c>
      <c r="J279" s="384" t="str">
        <f>IFERROR(__xludf.DUMMYFUNCTION("IF(J$43="""","""",IF($AZ279="""","""",IFERROR(Query({CarteirasAtivos},""Select Col3 where Col1 = '""&amp;$AZ279&amp;""'and Col2 = '""&amp;AA$21&amp;""'""))))"),"")</f>
        <v/>
      </c>
      <c r="K279" s="384" t="str">
        <f>IFERROR(__xludf.DUMMYFUNCTION("IF(K$43="""","""",IF($AZ279="""","""",IFERROR(Query({CarteirasAtivos},""Select Col3 where Col1 = '""&amp;$AZ279&amp;""'and Col2 = '""&amp;AB$21&amp;""'""))))"),"")</f>
        <v/>
      </c>
      <c r="L279" s="385">
        <v>236.0</v>
      </c>
      <c r="M279" s="503"/>
      <c r="N279" s="387"/>
      <c r="O279" s="388" t="s">
        <v>123</v>
      </c>
      <c r="P279" s="389"/>
      <c r="Q279" s="390"/>
      <c r="R279" s="391"/>
      <c r="S279" s="392"/>
      <c r="T279" s="393"/>
      <c r="U279" s="393"/>
      <c r="V279" s="394"/>
      <c r="W279" s="395" t="str">
        <f>IFERROR(__xludf.DUMMYFUNCTION("IF(M279="""","""",sparkline(IFERROR(BF279*100/MAX($BF$44:$BF$153),0),{""charttype"",""bar"";""max"",100;""color1"",IF(BD279&gt;=0,""#4760a5"",""red"")}))"),"")</f>
        <v/>
      </c>
      <c r="X279" s="396"/>
      <c r="Y279" s="466"/>
      <c r="Z279" s="398"/>
      <c r="AA279" s="399"/>
      <c r="AB279" s="393"/>
      <c r="AC279" s="476"/>
      <c r="AD279" s="401"/>
      <c r="AE279" s="402"/>
      <c r="AF279" s="403"/>
      <c r="AG279" s="404" t="str">
        <f>IFERROR(__xludf.DUMMYFUNCTION("IF($M279="""","""",IFERROR(sparkline(query(GOOGLEFINANCE($AZ279,""price"",TODAY()-$AF$43,TODAY(),1),""select Col2 label Col2 ''""),IF($AG$43=""Gráfico de barras"",{""charttype"",""column"";""highcolor"",""red""},{""chartype"",""line""}))))"),"")</f>
        <v/>
      </c>
      <c r="AH279" s="405"/>
      <c r="AI279" s="467"/>
      <c r="AJ279" s="467"/>
      <c r="AK279" s="467"/>
      <c r="AL279" s="467"/>
      <c r="AM279" s="442"/>
      <c r="AN279" s="442"/>
      <c r="AU279" s="281"/>
      <c r="AV279" s="281"/>
      <c r="AW279" s="281"/>
      <c r="AX279" s="281"/>
      <c r="AY279" s="410">
        <v>236.0</v>
      </c>
      <c r="AZ279" s="411"/>
      <c r="BA279" s="411"/>
      <c r="BB279" s="437"/>
      <c r="BC279" s="437"/>
      <c r="BD279" s="437"/>
      <c r="BE279" s="437"/>
      <c r="BF279" s="415" t="s">
        <v>123</v>
      </c>
      <c r="BG279" s="410">
        <v>236.0</v>
      </c>
      <c r="BH279" s="416"/>
      <c r="BI279" s="416"/>
      <c r="BJ279" s="416"/>
      <c r="BK279" s="416"/>
      <c r="BL279" s="416"/>
      <c r="BM279" s="416"/>
      <c r="BN279" s="282"/>
      <c r="BO279" s="490"/>
      <c r="BP279" s="489"/>
      <c r="BQ279" s="489"/>
      <c r="BR279" s="489"/>
      <c r="BS279" s="489"/>
      <c r="BT279" s="489"/>
      <c r="BU279" s="489"/>
      <c r="BV279" s="489"/>
      <c r="BW279" s="63"/>
      <c r="BX279" s="62"/>
      <c r="BY279" s="452"/>
      <c r="BZ279" s="452"/>
      <c r="CA279" s="452"/>
      <c r="CB279" s="452"/>
      <c r="CC279" s="452"/>
      <c r="CD279" s="452"/>
      <c r="CE279" s="452"/>
      <c r="CF279" s="452"/>
      <c r="CG279" s="452"/>
      <c r="CH279" s="422"/>
      <c r="CI279" s="422"/>
      <c r="CJ279" s="422"/>
      <c r="CK279" s="421"/>
      <c r="CL279" s="421" t="s">
        <v>123</v>
      </c>
      <c r="CM279" s="423"/>
      <c r="CN279" s="421"/>
      <c r="CO279" s="423"/>
      <c r="CP279" s="421"/>
      <c r="CQ279" s="63"/>
      <c r="CR279" s="63"/>
      <c r="CS279" s="63"/>
      <c r="CT279" s="63"/>
      <c r="CU279" s="447"/>
      <c r="CV279" s="447"/>
      <c r="CW279" s="447"/>
      <c r="CX279" s="447"/>
      <c r="CY279" s="447"/>
      <c r="CZ279" s="447"/>
      <c r="DA279" s="447"/>
      <c r="DB279" s="447"/>
      <c r="DC279" s="447"/>
      <c r="DD279" s="447"/>
      <c r="DE279" s="447"/>
      <c r="DF279" s="447"/>
      <c r="DG279" s="447"/>
      <c r="DH279" s="447"/>
      <c r="DI279" s="447"/>
      <c r="DJ279" s="447"/>
      <c r="DK279" s="447"/>
      <c r="DL279" s="67"/>
      <c r="DM279" s="67"/>
      <c r="DN279" s="67"/>
      <c r="DO279" s="67"/>
      <c r="DP279" s="67"/>
      <c r="DQ279" s="67"/>
    </row>
    <row r="280" ht="22.5" customHeight="1">
      <c r="A280" s="383"/>
      <c r="B280" s="384" t="str">
        <f>IFERROR(__xludf.DUMMYFUNCTION("IF(B$43="""","""",IF($AZ280="""","""",IFERROR(Query({CarteirasAtivos},""Select Col3 where Col1 = '""&amp;$AZ280&amp;""'and Col2 = '""&amp;S$21&amp;""'""))))"),"")</f>
        <v/>
      </c>
      <c r="C280" s="384" t="str">
        <f>IFERROR(__xludf.DUMMYFUNCTION("IF(C$43="""","""",IF($AZ280="""","""",IFERROR(Query({CarteirasAtivos},""Select Col3 where Col1 = '""&amp;$AZ280&amp;""'and Col2 = '""&amp;T$21&amp;""'""))))"),"")</f>
        <v/>
      </c>
      <c r="D280" s="384" t="str">
        <f>IFERROR(__xludf.DUMMYFUNCTION("IF(D$43="""","""",IF($AZ280="""","""",IFERROR(Query({CarteirasAtivos},""Select Col3 where Col1 = '""&amp;$AZ280&amp;""'and Col2 = '""&amp;U$21&amp;""'""))))"),"")</f>
        <v/>
      </c>
      <c r="E280" s="384" t="str">
        <f>IFERROR(__xludf.DUMMYFUNCTION("IF(E$43="""","""",IF($AZ280="""","""",IFERROR(Query({CarteirasAtivos},""Select Col3 where Col1 = '""&amp;$AZ280&amp;""'and Col2 = '""&amp;V$21&amp;""'""))))"),"")</f>
        <v/>
      </c>
      <c r="F280" s="384" t="str">
        <f>IFERROR(__xludf.DUMMYFUNCTION("IF(F$43="""","""",IF($AZ280="""","""",IFERROR(Query({CarteirasAtivos},""Select Col3 where Col1 = '""&amp;$AZ280&amp;""'and Col2 = '""&amp;W$21&amp;""'""))))"),"")</f>
        <v/>
      </c>
      <c r="G280" s="384" t="str">
        <f>IFERROR(__xludf.DUMMYFUNCTION("IF(G$43="""","""",IF($AZ280="""","""",IFERROR(Query({CarteirasAtivos},""Select Col3 where Col1 = '""&amp;$AZ280&amp;""'and Col2 = '""&amp;X$21&amp;""'""))))"),"")</f>
        <v/>
      </c>
      <c r="H280" s="384" t="str">
        <f>IFERROR(__xludf.DUMMYFUNCTION("IF(H$43="""","""",IF($AZ280="""","""",IFERROR(Query({CarteirasAtivos},""Select Col3 where Col1 = '""&amp;$AZ280&amp;""'and Col2 = '""&amp;Y$21&amp;""'""))))"),"")</f>
        <v/>
      </c>
      <c r="I280" s="384" t="str">
        <f>IFERROR(__xludf.DUMMYFUNCTION("IF(I$43="""","""",IF($AZ280="""","""",IFERROR(Query({CarteirasAtivos},""Select Col3 where Col1 = '""&amp;$AZ280&amp;""'and Col2 = '""&amp;Z$21&amp;""'""))))"),"")</f>
        <v/>
      </c>
      <c r="J280" s="384" t="str">
        <f>IFERROR(__xludf.DUMMYFUNCTION("IF(J$43="""","""",IF($AZ280="""","""",IFERROR(Query({CarteirasAtivos},""Select Col3 where Col1 = '""&amp;$AZ280&amp;""'and Col2 = '""&amp;AA$21&amp;""'""))))"),"")</f>
        <v/>
      </c>
      <c r="K280" s="384" t="str">
        <f>IFERROR(__xludf.DUMMYFUNCTION("IF(K$43="""","""",IF($AZ280="""","""",IFERROR(Query({CarteirasAtivos},""Select Col3 where Col1 = '""&amp;$AZ280&amp;""'and Col2 = '""&amp;AB$21&amp;""'""))))"),"")</f>
        <v/>
      </c>
      <c r="L280" s="385">
        <v>237.0</v>
      </c>
      <c r="M280" s="503"/>
      <c r="N280" s="387"/>
      <c r="O280" s="388" t="s">
        <v>123</v>
      </c>
      <c r="P280" s="389"/>
      <c r="Q280" s="390"/>
      <c r="R280" s="391"/>
      <c r="S280" s="392"/>
      <c r="T280" s="393"/>
      <c r="U280" s="393"/>
      <c r="V280" s="394"/>
      <c r="W280" s="395" t="str">
        <f>IFERROR(__xludf.DUMMYFUNCTION("IF(M280="""","""",sparkline(IFERROR(BF280*100/MAX($BF$44:$BF$153),0),{""charttype"",""bar"";""max"",100;""color1"",IF(BD280&gt;=0,""#4760a5"",""red"")}))"),"")</f>
        <v/>
      </c>
      <c r="X280" s="396"/>
      <c r="Y280" s="466"/>
      <c r="Z280" s="398"/>
      <c r="AA280" s="399"/>
      <c r="AB280" s="393"/>
      <c r="AC280" s="476"/>
      <c r="AD280" s="401"/>
      <c r="AE280" s="402"/>
      <c r="AF280" s="403"/>
      <c r="AG280" s="404" t="str">
        <f>IFERROR(__xludf.DUMMYFUNCTION("IF($M280="""","""",IFERROR(sparkline(query(GOOGLEFINANCE($AZ280,""price"",TODAY()-$AF$43,TODAY(),1),""select Col2 label Col2 ''""),IF($AG$43=""Gráfico de barras"",{""charttype"",""column"";""highcolor"",""red""},{""chartype"",""line""}))))"),"")</f>
        <v/>
      </c>
      <c r="AH280" s="405"/>
      <c r="AI280" s="467"/>
      <c r="AJ280" s="467"/>
      <c r="AK280" s="467"/>
      <c r="AL280" s="467"/>
      <c r="AM280" s="442"/>
      <c r="AN280" s="442"/>
      <c r="AU280" s="281"/>
      <c r="AV280" s="281"/>
      <c r="AW280" s="281"/>
      <c r="AX280" s="281"/>
      <c r="AY280" s="410">
        <v>237.0</v>
      </c>
      <c r="AZ280" s="411"/>
      <c r="BA280" s="411"/>
      <c r="BB280" s="437"/>
      <c r="BC280" s="437"/>
      <c r="BD280" s="437"/>
      <c r="BE280" s="437"/>
      <c r="BF280" s="415" t="s">
        <v>123</v>
      </c>
      <c r="BG280" s="410">
        <v>237.0</v>
      </c>
      <c r="BH280" s="416"/>
      <c r="BI280" s="416"/>
      <c r="BJ280" s="416"/>
      <c r="BK280" s="416"/>
      <c r="BL280" s="416"/>
      <c r="BM280" s="416"/>
      <c r="BN280" s="282"/>
      <c r="BO280" s="490"/>
      <c r="BP280" s="489"/>
      <c r="BQ280" s="489"/>
      <c r="BR280" s="489"/>
      <c r="BS280" s="489"/>
      <c r="BT280" s="489"/>
      <c r="BU280" s="489"/>
      <c r="BV280" s="489"/>
      <c r="BW280" s="63"/>
      <c r="BX280" s="62"/>
      <c r="BY280" s="452"/>
      <c r="BZ280" s="452"/>
      <c r="CA280" s="452"/>
      <c r="CB280" s="452"/>
      <c r="CC280" s="452"/>
      <c r="CD280" s="452"/>
      <c r="CE280" s="452"/>
      <c r="CF280" s="452"/>
      <c r="CG280" s="452"/>
      <c r="CH280" s="422"/>
      <c r="CI280" s="422"/>
      <c r="CJ280" s="422"/>
      <c r="CK280" s="421"/>
      <c r="CL280" s="421" t="s">
        <v>123</v>
      </c>
      <c r="CM280" s="423"/>
      <c r="CN280" s="421"/>
      <c r="CO280" s="423"/>
      <c r="CP280" s="421"/>
      <c r="CQ280" s="63"/>
      <c r="CR280" s="63"/>
      <c r="CS280" s="63"/>
      <c r="CT280" s="63"/>
      <c r="CU280" s="447"/>
      <c r="CV280" s="447"/>
      <c r="CW280" s="447"/>
      <c r="CX280" s="447"/>
      <c r="CY280" s="447"/>
      <c r="CZ280" s="447"/>
      <c r="DA280" s="447"/>
      <c r="DB280" s="447"/>
      <c r="DC280" s="447"/>
      <c r="DD280" s="447"/>
      <c r="DE280" s="447"/>
      <c r="DF280" s="447"/>
      <c r="DG280" s="447"/>
      <c r="DH280" s="447"/>
      <c r="DI280" s="447"/>
      <c r="DJ280" s="447"/>
      <c r="DK280" s="447"/>
      <c r="DL280" s="67"/>
      <c r="DM280" s="67"/>
      <c r="DN280" s="67"/>
      <c r="DO280" s="67"/>
      <c r="DP280" s="67"/>
      <c r="DQ280" s="67"/>
    </row>
    <row r="281" ht="22.5" customHeight="1">
      <c r="A281" s="383"/>
      <c r="B281" s="384" t="str">
        <f>IFERROR(__xludf.DUMMYFUNCTION("IF(B$43="""","""",IF($AZ281="""","""",IFERROR(Query({CarteirasAtivos},""Select Col3 where Col1 = '""&amp;$AZ281&amp;""'and Col2 = '""&amp;S$21&amp;""'""))))"),"")</f>
        <v/>
      </c>
      <c r="C281" s="384" t="str">
        <f>IFERROR(__xludf.DUMMYFUNCTION("IF(C$43="""","""",IF($AZ281="""","""",IFERROR(Query({CarteirasAtivos},""Select Col3 where Col1 = '""&amp;$AZ281&amp;""'and Col2 = '""&amp;T$21&amp;""'""))))"),"")</f>
        <v/>
      </c>
      <c r="D281" s="384" t="str">
        <f>IFERROR(__xludf.DUMMYFUNCTION("IF(D$43="""","""",IF($AZ281="""","""",IFERROR(Query({CarteirasAtivos},""Select Col3 where Col1 = '""&amp;$AZ281&amp;""'and Col2 = '""&amp;U$21&amp;""'""))))"),"")</f>
        <v/>
      </c>
      <c r="E281" s="384" t="str">
        <f>IFERROR(__xludf.DUMMYFUNCTION("IF(E$43="""","""",IF($AZ281="""","""",IFERROR(Query({CarteirasAtivos},""Select Col3 where Col1 = '""&amp;$AZ281&amp;""'and Col2 = '""&amp;V$21&amp;""'""))))"),"")</f>
        <v/>
      </c>
      <c r="F281" s="384" t="str">
        <f>IFERROR(__xludf.DUMMYFUNCTION("IF(F$43="""","""",IF($AZ281="""","""",IFERROR(Query({CarteirasAtivos},""Select Col3 where Col1 = '""&amp;$AZ281&amp;""'and Col2 = '""&amp;W$21&amp;""'""))))"),"")</f>
        <v/>
      </c>
      <c r="G281" s="384" t="str">
        <f>IFERROR(__xludf.DUMMYFUNCTION("IF(G$43="""","""",IF($AZ281="""","""",IFERROR(Query({CarteirasAtivos},""Select Col3 where Col1 = '""&amp;$AZ281&amp;""'and Col2 = '""&amp;X$21&amp;""'""))))"),"")</f>
        <v/>
      </c>
      <c r="H281" s="384" t="str">
        <f>IFERROR(__xludf.DUMMYFUNCTION("IF(H$43="""","""",IF($AZ281="""","""",IFERROR(Query({CarteirasAtivos},""Select Col3 where Col1 = '""&amp;$AZ281&amp;""'and Col2 = '""&amp;Y$21&amp;""'""))))"),"")</f>
        <v/>
      </c>
      <c r="I281" s="384" t="str">
        <f>IFERROR(__xludf.DUMMYFUNCTION("IF(I$43="""","""",IF($AZ281="""","""",IFERROR(Query({CarteirasAtivos},""Select Col3 where Col1 = '""&amp;$AZ281&amp;""'and Col2 = '""&amp;Z$21&amp;""'""))))"),"")</f>
        <v/>
      </c>
      <c r="J281" s="384" t="str">
        <f>IFERROR(__xludf.DUMMYFUNCTION("IF(J$43="""","""",IF($AZ281="""","""",IFERROR(Query({CarteirasAtivos},""Select Col3 where Col1 = '""&amp;$AZ281&amp;""'and Col2 = '""&amp;AA$21&amp;""'""))))"),"")</f>
        <v/>
      </c>
      <c r="K281" s="384" t="str">
        <f>IFERROR(__xludf.DUMMYFUNCTION("IF(K$43="""","""",IF($AZ281="""","""",IFERROR(Query({CarteirasAtivos},""Select Col3 where Col1 = '""&amp;$AZ281&amp;""'and Col2 = '""&amp;AB$21&amp;""'""))))"),"")</f>
        <v/>
      </c>
      <c r="L281" s="385">
        <v>238.0</v>
      </c>
      <c r="M281" s="503"/>
      <c r="N281" s="387"/>
      <c r="O281" s="388" t="s">
        <v>123</v>
      </c>
      <c r="P281" s="389"/>
      <c r="Q281" s="390"/>
      <c r="R281" s="391"/>
      <c r="S281" s="392"/>
      <c r="T281" s="393"/>
      <c r="U281" s="393"/>
      <c r="V281" s="394"/>
      <c r="W281" s="395" t="str">
        <f>IFERROR(__xludf.DUMMYFUNCTION("IF(M281="""","""",sparkline(IFERROR(BF281*100/MAX($BF$44:$BF$153),0),{""charttype"",""bar"";""max"",100;""color1"",IF(BD281&gt;=0,""#4760a5"",""red"")}))"),"")</f>
        <v/>
      </c>
      <c r="X281" s="396"/>
      <c r="Y281" s="466"/>
      <c r="Z281" s="398"/>
      <c r="AA281" s="399"/>
      <c r="AB281" s="393"/>
      <c r="AC281" s="476"/>
      <c r="AD281" s="401"/>
      <c r="AE281" s="402"/>
      <c r="AF281" s="403"/>
      <c r="AG281" s="404" t="str">
        <f>IFERROR(__xludf.DUMMYFUNCTION("IF($M281="""","""",IFERROR(sparkline(query(GOOGLEFINANCE($AZ281,""price"",TODAY()-$AF$43,TODAY(),1),""select Col2 label Col2 ''""),IF($AG$43=""Gráfico de barras"",{""charttype"",""column"";""highcolor"",""red""},{""chartype"",""line""}))))"),"")</f>
        <v/>
      </c>
      <c r="AH281" s="405"/>
      <c r="AI281" s="467"/>
      <c r="AJ281" s="467"/>
      <c r="AK281" s="467"/>
      <c r="AL281" s="467"/>
      <c r="AM281" s="442"/>
      <c r="AN281" s="442"/>
      <c r="AU281" s="281"/>
      <c r="AV281" s="281"/>
      <c r="AW281" s="281"/>
      <c r="AX281" s="281"/>
      <c r="AY281" s="410">
        <v>238.0</v>
      </c>
      <c r="AZ281" s="411"/>
      <c r="BA281" s="411"/>
      <c r="BB281" s="437"/>
      <c r="BC281" s="437"/>
      <c r="BD281" s="437"/>
      <c r="BE281" s="437"/>
      <c r="BF281" s="415" t="s">
        <v>123</v>
      </c>
      <c r="BG281" s="410">
        <v>238.0</v>
      </c>
      <c r="BH281" s="416"/>
      <c r="BI281" s="416"/>
      <c r="BJ281" s="416"/>
      <c r="BK281" s="416"/>
      <c r="BL281" s="416"/>
      <c r="BM281" s="416"/>
      <c r="BN281" s="282"/>
      <c r="BO281" s="490"/>
      <c r="BP281" s="489"/>
      <c r="BQ281" s="489"/>
      <c r="BR281" s="489"/>
      <c r="BS281" s="489"/>
      <c r="BT281" s="489"/>
      <c r="BU281" s="489"/>
      <c r="BV281" s="489"/>
      <c r="BW281" s="63"/>
      <c r="BX281" s="62"/>
      <c r="BY281" s="452"/>
      <c r="BZ281" s="452"/>
      <c r="CA281" s="452"/>
      <c r="CB281" s="452"/>
      <c r="CC281" s="452"/>
      <c r="CD281" s="452"/>
      <c r="CE281" s="452"/>
      <c r="CF281" s="452"/>
      <c r="CG281" s="452"/>
      <c r="CH281" s="422"/>
      <c r="CI281" s="422"/>
      <c r="CJ281" s="422"/>
      <c r="CK281" s="421"/>
      <c r="CL281" s="421" t="s">
        <v>123</v>
      </c>
      <c r="CM281" s="423"/>
      <c r="CN281" s="421"/>
      <c r="CO281" s="423"/>
      <c r="CP281" s="421"/>
      <c r="CQ281" s="63"/>
      <c r="CR281" s="63"/>
      <c r="CS281" s="63"/>
      <c r="CT281" s="63"/>
      <c r="CU281" s="447"/>
      <c r="CV281" s="447"/>
      <c r="CW281" s="447"/>
      <c r="CX281" s="447"/>
      <c r="CY281" s="447"/>
      <c r="CZ281" s="447"/>
      <c r="DA281" s="447"/>
      <c r="DB281" s="447"/>
      <c r="DC281" s="447"/>
      <c r="DD281" s="447"/>
      <c r="DE281" s="447"/>
      <c r="DF281" s="447"/>
      <c r="DG281" s="447"/>
      <c r="DH281" s="447"/>
      <c r="DI281" s="447"/>
      <c r="DJ281" s="447"/>
      <c r="DK281" s="447"/>
      <c r="DL281" s="67"/>
      <c r="DM281" s="67"/>
      <c r="DN281" s="67"/>
      <c r="DO281" s="67"/>
      <c r="DP281" s="67"/>
      <c r="DQ281" s="67"/>
    </row>
    <row r="282" ht="22.5" customHeight="1">
      <c r="A282" s="383"/>
      <c r="B282" s="384" t="str">
        <f>IFERROR(__xludf.DUMMYFUNCTION("IF(B$43="""","""",IF($AZ282="""","""",IFERROR(Query({CarteirasAtivos},""Select Col3 where Col1 = '""&amp;$AZ282&amp;""'and Col2 = '""&amp;S$21&amp;""'""))))"),"")</f>
        <v/>
      </c>
      <c r="C282" s="384" t="str">
        <f>IFERROR(__xludf.DUMMYFUNCTION("IF(C$43="""","""",IF($AZ282="""","""",IFERROR(Query({CarteirasAtivos},""Select Col3 where Col1 = '""&amp;$AZ282&amp;""'and Col2 = '""&amp;T$21&amp;""'""))))"),"")</f>
        <v/>
      </c>
      <c r="D282" s="384" t="str">
        <f>IFERROR(__xludf.DUMMYFUNCTION("IF(D$43="""","""",IF($AZ282="""","""",IFERROR(Query({CarteirasAtivos},""Select Col3 where Col1 = '""&amp;$AZ282&amp;""'and Col2 = '""&amp;U$21&amp;""'""))))"),"")</f>
        <v/>
      </c>
      <c r="E282" s="384" t="str">
        <f>IFERROR(__xludf.DUMMYFUNCTION("IF(E$43="""","""",IF($AZ282="""","""",IFERROR(Query({CarteirasAtivos},""Select Col3 where Col1 = '""&amp;$AZ282&amp;""'and Col2 = '""&amp;V$21&amp;""'""))))"),"")</f>
        <v/>
      </c>
      <c r="F282" s="384" t="str">
        <f>IFERROR(__xludf.DUMMYFUNCTION("IF(F$43="""","""",IF($AZ282="""","""",IFERROR(Query({CarteirasAtivos},""Select Col3 where Col1 = '""&amp;$AZ282&amp;""'and Col2 = '""&amp;W$21&amp;""'""))))"),"")</f>
        <v/>
      </c>
      <c r="G282" s="384" t="str">
        <f>IFERROR(__xludf.DUMMYFUNCTION("IF(G$43="""","""",IF($AZ282="""","""",IFERROR(Query({CarteirasAtivos},""Select Col3 where Col1 = '""&amp;$AZ282&amp;""'and Col2 = '""&amp;X$21&amp;""'""))))"),"")</f>
        <v/>
      </c>
      <c r="H282" s="384" t="str">
        <f>IFERROR(__xludf.DUMMYFUNCTION("IF(H$43="""","""",IF($AZ282="""","""",IFERROR(Query({CarteirasAtivos},""Select Col3 where Col1 = '""&amp;$AZ282&amp;""'and Col2 = '""&amp;Y$21&amp;""'""))))"),"")</f>
        <v/>
      </c>
      <c r="I282" s="384" t="str">
        <f>IFERROR(__xludf.DUMMYFUNCTION("IF(I$43="""","""",IF($AZ282="""","""",IFERROR(Query({CarteirasAtivos},""Select Col3 where Col1 = '""&amp;$AZ282&amp;""'and Col2 = '""&amp;Z$21&amp;""'""))))"),"")</f>
        <v/>
      </c>
      <c r="J282" s="384" t="str">
        <f>IFERROR(__xludf.DUMMYFUNCTION("IF(J$43="""","""",IF($AZ282="""","""",IFERROR(Query({CarteirasAtivos},""Select Col3 where Col1 = '""&amp;$AZ282&amp;""'and Col2 = '""&amp;AA$21&amp;""'""))))"),"")</f>
        <v/>
      </c>
      <c r="K282" s="384" t="str">
        <f>IFERROR(__xludf.DUMMYFUNCTION("IF(K$43="""","""",IF($AZ282="""","""",IFERROR(Query({CarteirasAtivos},""Select Col3 where Col1 = '""&amp;$AZ282&amp;""'and Col2 = '""&amp;AB$21&amp;""'""))))"),"")</f>
        <v/>
      </c>
      <c r="L282" s="385">
        <v>239.0</v>
      </c>
      <c r="M282" s="503"/>
      <c r="N282" s="387"/>
      <c r="O282" s="388" t="s">
        <v>123</v>
      </c>
      <c r="P282" s="389"/>
      <c r="Q282" s="390"/>
      <c r="R282" s="391"/>
      <c r="S282" s="392"/>
      <c r="T282" s="393"/>
      <c r="U282" s="393"/>
      <c r="V282" s="394"/>
      <c r="W282" s="395" t="str">
        <f>IFERROR(__xludf.DUMMYFUNCTION("IF(M282="""","""",sparkline(IFERROR(BF282*100/MAX($BF$44:$BF$153),0),{""charttype"",""bar"";""max"",100;""color1"",IF(BD282&gt;=0,""#4760a5"",""red"")}))"),"")</f>
        <v/>
      </c>
      <c r="X282" s="396"/>
      <c r="Y282" s="466"/>
      <c r="Z282" s="398"/>
      <c r="AA282" s="399"/>
      <c r="AB282" s="393"/>
      <c r="AC282" s="476"/>
      <c r="AD282" s="401"/>
      <c r="AE282" s="402"/>
      <c r="AF282" s="403"/>
      <c r="AG282" s="404" t="str">
        <f>IFERROR(__xludf.DUMMYFUNCTION("IF($M282="""","""",IFERROR(sparkline(query(GOOGLEFINANCE($AZ282,""price"",TODAY()-$AF$43,TODAY(),1),""select Col2 label Col2 ''""),IF($AG$43=""Gráfico de barras"",{""charttype"",""column"";""highcolor"",""red""},{""chartype"",""line""}))))"),"")</f>
        <v/>
      </c>
      <c r="AH282" s="405"/>
      <c r="AI282" s="467"/>
      <c r="AJ282" s="467"/>
      <c r="AK282" s="467"/>
      <c r="AL282" s="467"/>
      <c r="AM282" s="442"/>
      <c r="AN282" s="442"/>
      <c r="AU282" s="281"/>
      <c r="AV282" s="281"/>
      <c r="AW282" s="281"/>
      <c r="AX282" s="281"/>
      <c r="AY282" s="410">
        <v>239.0</v>
      </c>
      <c r="AZ282" s="411"/>
      <c r="BA282" s="411"/>
      <c r="BB282" s="437"/>
      <c r="BC282" s="437"/>
      <c r="BD282" s="437"/>
      <c r="BE282" s="437"/>
      <c r="BF282" s="415" t="s">
        <v>123</v>
      </c>
      <c r="BG282" s="410">
        <v>239.0</v>
      </c>
      <c r="BH282" s="416"/>
      <c r="BI282" s="416"/>
      <c r="BJ282" s="416"/>
      <c r="BK282" s="416"/>
      <c r="BL282" s="416"/>
      <c r="BM282" s="416"/>
      <c r="BN282" s="282"/>
      <c r="BO282" s="490"/>
      <c r="BP282" s="489"/>
      <c r="BQ282" s="489"/>
      <c r="BR282" s="489"/>
      <c r="BS282" s="489"/>
      <c r="BT282" s="489"/>
      <c r="BU282" s="489"/>
      <c r="BV282" s="489"/>
      <c r="BW282" s="63"/>
      <c r="BX282" s="62"/>
      <c r="BY282" s="452"/>
      <c r="BZ282" s="452"/>
      <c r="CA282" s="452"/>
      <c r="CB282" s="452"/>
      <c r="CC282" s="452"/>
      <c r="CD282" s="452"/>
      <c r="CE282" s="452"/>
      <c r="CF282" s="452"/>
      <c r="CG282" s="452"/>
      <c r="CH282" s="422"/>
      <c r="CI282" s="422"/>
      <c r="CJ282" s="422"/>
      <c r="CK282" s="421"/>
      <c r="CL282" s="421" t="s">
        <v>123</v>
      </c>
      <c r="CM282" s="423"/>
      <c r="CN282" s="421"/>
      <c r="CO282" s="423"/>
      <c r="CP282" s="421"/>
      <c r="CQ282" s="63"/>
      <c r="CR282" s="63"/>
      <c r="CS282" s="63"/>
      <c r="CT282" s="63"/>
      <c r="CU282" s="447"/>
      <c r="CV282" s="447"/>
      <c r="CW282" s="447"/>
      <c r="CX282" s="447"/>
      <c r="CY282" s="447"/>
      <c r="CZ282" s="447"/>
      <c r="DA282" s="447"/>
      <c r="DB282" s="447"/>
      <c r="DC282" s="447"/>
      <c r="DD282" s="447"/>
      <c r="DE282" s="447"/>
      <c r="DF282" s="447"/>
      <c r="DG282" s="447"/>
      <c r="DH282" s="447"/>
      <c r="DI282" s="447"/>
      <c r="DJ282" s="447"/>
      <c r="DK282" s="447"/>
      <c r="DL282" s="67"/>
      <c r="DM282" s="67"/>
      <c r="DN282" s="67"/>
      <c r="DO282" s="67"/>
      <c r="DP282" s="67"/>
      <c r="DQ282" s="67"/>
    </row>
    <row r="283" ht="22.5" customHeight="1">
      <c r="A283" s="383"/>
      <c r="B283" s="384" t="str">
        <f>IFERROR(__xludf.DUMMYFUNCTION("IF(B$43="""","""",IF($AZ283="""","""",IFERROR(Query({CarteirasAtivos},""Select Col3 where Col1 = '""&amp;$AZ283&amp;""'and Col2 = '""&amp;S$21&amp;""'""))))"),"")</f>
        <v/>
      </c>
      <c r="C283" s="384" t="str">
        <f>IFERROR(__xludf.DUMMYFUNCTION("IF(C$43="""","""",IF($AZ283="""","""",IFERROR(Query({CarteirasAtivos},""Select Col3 where Col1 = '""&amp;$AZ283&amp;""'and Col2 = '""&amp;T$21&amp;""'""))))"),"")</f>
        <v/>
      </c>
      <c r="D283" s="384" t="str">
        <f>IFERROR(__xludf.DUMMYFUNCTION("IF(D$43="""","""",IF($AZ283="""","""",IFERROR(Query({CarteirasAtivos},""Select Col3 where Col1 = '""&amp;$AZ283&amp;""'and Col2 = '""&amp;U$21&amp;""'""))))"),"")</f>
        <v/>
      </c>
      <c r="E283" s="384" t="str">
        <f>IFERROR(__xludf.DUMMYFUNCTION("IF(E$43="""","""",IF($AZ283="""","""",IFERROR(Query({CarteirasAtivos},""Select Col3 where Col1 = '""&amp;$AZ283&amp;""'and Col2 = '""&amp;V$21&amp;""'""))))"),"")</f>
        <v/>
      </c>
      <c r="F283" s="384" t="str">
        <f>IFERROR(__xludf.DUMMYFUNCTION("IF(F$43="""","""",IF($AZ283="""","""",IFERROR(Query({CarteirasAtivos},""Select Col3 where Col1 = '""&amp;$AZ283&amp;""'and Col2 = '""&amp;W$21&amp;""'""))))"),"")</f>
        <v/>
      </c>
      <c r="G283" s="384" t="str">
        <f>IFERROR(__xludf.DUMMYFUNCTION("IF(G$43="""","""",IF($AZ283="""","""",IFERROR(Query({CarteirasAtivos},""Select Col3 where Col1 = '""&amp;$AZ283&amp;""'and Col2 = '""&amp;X$21&amp;""'""))))"),"")</f>
        <v/>
      </c>
      <c r="H283" s="384" t="str">
        <f>IFERROR(__xludf.DUMMYFUNCTION("IF(H$43="""","""",IF($AZ283="""","""",IFERROR(Query({CarteirasAtivos},""Select Col3 where Col1 = '""&amp;$AZ283&amp;""'and Col2 = '""&amp;Y$21&amp;""'""))))"),"")</f>
        <v/>
      </c>
      <c r="I283" s="384" t="str">
        <f>IFERROR(__xludf.DUMMYFUNCTION("IF(I$43="""","""",IF($AZ283="""","""",IFERROR(Query({CarteirasAtivos},""Select Col3 where Col1 = '""&amp;$AZ283&amp;""'and Col2 = '""&amp;Z$21&amp;""'""))))"),"")</f>
        <v/>
      </c>
      <c r="J283" s="384" t="str">
        <f>IFERROR(__xludf.DUMMYFUNCTION("IF(J$43="""","""",IF($AZ283="""","""",IFERROR(Query({CarteirasAtivos},""Select Col3 where Col1 = '""&amp;$AZ283&amp;""'and Col2 = '""&amp;AA$21&amp;""'""))))"),"")</f>
        <v/>
      </c>
      <c r="K283" s="384" t="str">
        <f>IFERROR(__xludf.DUMMYFUNCTION("IF(K$43="""","""",IF($AZ283="""","""",IFERROR(Query({CarteirasAtivos},""Select Col3 where Col1 = '""&amp;$AZ283&amp;""'and Col2 = '""&amp;AB$21&amp;""'""))))"),"")</f>
        <v/>
      </c>
      <c r="L283" s="385">
        <v>240.0</v>
      </c>
      <c r="M283" s="503"/>
      <c r="N283" s="387"/>
      <c r="O283" s="388" t="s">
        <v>123</v>
      </c>
      <c r="P283" s="389"/>
      <c r="Q283" s="390"/>
      <c r="R283" s="391"/>
      <c r="S283" s="392"/>
      <c r="T283" s="393"/>
      <c r="U283" s="393"/>
      <c r="V283" s="394"/>
      <c r="W283" s="395" t="str">
        <f>IFERROR(__xludf.DUMMYFUNCTION("IF(M283="""","""",sparkline(IFERROR(BF283*100/MAX($BF$44:$BF$153),0),{""charttype"",""bar"";""max"",100;""color1"",IF(BD283&gt;=0,""#4760a5"",""red"")}))"),"")</f>
        <v/>
      </c>
      <c r="X283" s="396"/>
      <c r="Y283" s="466"/>
      <c r="Z283" s="398"/>
      <c r="AA283" s="399"/>
      <c r="AB283" s="393"/>
      <c r="AC283" s="476"/>
      <c r="AD283" s="401"/>
      <c r="AE283" s="402"/>
      <c r="AF283" s="403"/>
      <c r="AG283" s="404" t="str">
        <f>IFERROR(__xludf.DUMMYFUNCTION("IF($M283="""","""",IFERROR(sparkline(query(GOOGLEFINANCE($AZ283,""price"",TODAY()-$AF$43,TODAY(),1),""select Col2 label Col2 ''""),IF($AG$43=""Gráfico de barras"",{""charttype"",""column"";""highcolor"",""red""},{""chartype"",""line""}))))"),"")</f>
        <v/>
      </c>
      <c r="AH283" s="405"/>
      <c r="AI283" s="467"/>
      <c r="AJ283" s="467"/>
      <c r="AK283" s="467"/>
      <c r="AL283" s="467"/>
      <c r="AM283" s="442"/>
      <c r="AN283" s="442"/>
      <c r="AU283" s="281"/>
      <c r="AV283" s="281"/>
      <c r="AW283" s="281"/>
      <c r="AX283" s="281"/>
      <c r="AY283" s="410">
        <v>240.0</v>
      </c>
      <c r="AZ283" s="411"/>
      <c r="BA283" s="411"/>
      <c r="BB283" s="437"/>
      <c r="BC283" s="437"/>
      <c r="BD283" s="437"/>
      <c r="BE283" s="437"/>
      <c r="BF283" s="415" t="s">
        <v>123</v>
      </c>
      <c r="BG283" s="410">
        <v>240.0</v>
      </c>
      <c r="BH283" s="416"/>
      <c r="BI283" s="416"/>
      <c r="BJ283" s="416"/>
      <c r="BK283" s="416"/>
      <c r="BL283" s="416"/>
      <c r="BM283" s="416"/>
      <c r="BN283" s="282"/>
      <c r="BO283" s="490"/>
      <c r="BP283" s="489"/>
      <c r="BQ283" s="489"/>
      <c r="BR283" s="489"/>
      <c r="BS283" s="489"/>
      <c r="BT283" s="489"/>
      <c r="BU283" s="489"/>
      <c r="BV283" s="489"/>
      <c r="BW283" s="63"/>
      <c r="BX283" s="62"/>
      <c r="BY283" s="452"/>
      <c r="BZ283" s="452"/>
      <c r="CA283" s="452"/>
      <c r="CB283" s="452"/>
      <c r="CC283" s="452"/>
      <c r="CD283" s="452"/>
      <c r="CE283" s="452"/>
      <c r="CF283" s="452"/>
      <c r="CG283" s="452"/>
      <c r="CH283" s="422"/>
      <c r="CI283" s="422"/>
      <c r="CJ283" s="422"/>
      <c r="CK283" s="421"/>
      <c r="CL283" s="421" t="s">
        <v>123</v>
      </c>
      <c r="CM283" s="423"/>
      <c r="CN283" s="421"/>
      <c r="CO283" s="423"/>
      <c r="CP283" s="421"/>
      <c r="CQ283" s="63"/>
      <c r="CR283" s="63"/>
      <c r="CS283" s="63"/>
      <c r="CT283" s="63"/>
      <c r="CU283" s="447"/>
      <c r="CV283" s="447"/>
      <c r="CW283" s="447"/>
      <c r="CX283" s="447"/>
      <c r="CY283" s="447"/>
      <c r="CZ283" s="447"/>
      <c r="DA283" s="447"/>
      <c r="DB283" s="447"/>
      <c r="DC283" s="447"/>
      <c r="DD283" s="447"/>
      <c r="DE283" s="447"/>
      <c r="DF283" s="447"/>
      <c r="DG283" s="447"/>
      <c r="DH283" s="447"/>
      <c r="DI283" s="447"/>
      <c r="DJ283" s="447"/>
      <c r="DK283" s="447"/>
      <c r="DL283" s="67"/>
      <c r="DM283" s="67"/>
      <c r="DN283" s="67"/>
      <c r="DO283" s="67"/>
      <c r="DP283" s="67"/>
      <c r="DQ283" s="67"/>
    </row>
    <row r="284" ht="22.5" customHeight="1">
      <c r="A284" s="383"/>
      <c r="B284" s="384" t="str">
        <f>IFERROR(__xludf.DUMMYFUNCTION("IF(B$43="""","""",IF($AZ284="""","""",IFERROR(Query({CarteirasAtivos},""Select Col3 where Col1 = '""&amp;$AZ284&amp;""'and Col2 = '""&amp;S$21&amp;""'""))))"),"")</f>
        <v/>
      </c>
      <c r="C284" s="384" t="str">
        <f>IFERROR(__xludf.DUMMYFUNCTION("IF(C$43="""","""",IF($AZ284="""","""",IFERROR(Query({CarteirasAtivos},""Select Col3 where Col1 = '""&amp;$AZ284&amp;""'and Col2 = '""&amp;T$21&amp;""'""))))"),"")</f>
        <v/>
      </c>
      <c r="D284" s="384" t="str">
        <f>IFERROR(__xludf.DUMMYFUNCTION("IF(D$43="""","""",IF($AZ284="""","""",IFERROR(Query({CarteirasAtivos},""Select Col3 where Col1 = '""&amp;$AZ284&amp;""'and Col2 = '""&amp;U$21&amp;""'""))))"),"")</f>
        <v/>
      </c>
      <c r="E284" s="384" t="str">
        <f>IFERROR(__xludf.DUMMYFUNCTION("IF(E$43="""","""",IF($AZ284="""","""",IFERROR(Query({CarteirasAtivos},""Select Col3 where Col1 = '""&amp;$AZ284&amp;""'and Col2 = '""&amp;V$21&amp;""'""))))"),"")</f>
        <v/>
      </c>
      <c r="F284" s="384" t="str">
        <f>IFERROR(__xludf.DUMMYFUNCTION("IF(F$43="""","""",IF($AZ284="""","""",IFERROR(Query({CarteirasAtivos},""Select Col3 where Col1 = '""&amp;$AZ284&amp;""'and Col2 = '""&amp;W$21&amp;""'""))))"),"")</f>
        <v/>
      </c>
      <c r="G284" s="384" t="str">
        <f>IFERROR(__xludf.DUMMYFUNCTION("IF(G$43="""","""",IF($AZ284="""","""",IFERROR(Query({CarteirasAtivos},""Select Col3 where Col1 = '""&amp;$AZ284&amp;""'and Col2 = '""&amp;X$21&amp;""'""))))"),"")</f>
        <v/>
      </c>
      <c r="H284" s="384" t="str">
        <f>IFERROR(__xludf.DUMMYFUNCTION("IF(H$43="""","""",IF($AZ284="""","""",IFERROR(Query({CarteirasAtivos},""Select Col3 where Col1 = '""&amp;$AZ284&amp;""'and Col2 = '""&amp;Y$21&amp;""'""))))"),"")</f>
        <v/>
      </c>
      <c r="I284" s="384" t="str">
        <f>IFERROR(__xludf.DUMMYFUNCTION("IF(I$43="""","""",IF($AZ284="""","""",IFERROR(Query({CarteirasAtivos},""Select Col3 where Col1 = '""&amp;$AZ284&amp;""'and Col2 = '""&amp;Z$21&amp;""'""))))"),"")</f>
        <v/>
      </c>
      <c r="J284" s="384" t="str">
        <f>IFERROR(__xludf.DUMMYFUNCTION("IF(J$43="""","""",IF($AZ284="""","""",IFERROR(Query({CarteirasAtivos},""Select Col3 where Col1 = '""&amp;$AZ284&amp;""'and Col2 = '""&amp;AA$21&amp;""'""))))"),"")</f>
        <v/>
      </c>
      <c r="K284" s="384" t="str">
        <f>IFERROR(__xludf.DUMMYFUNCTION("IF(K$43="""","""",IF($AZ284="""","""",IFERROR(Query({CarteirasAtivos},""Select Col3 where Col1 = '""&amp;$AZ284&amp;""'and Col2 = '""&amp;AB$21&amp;""'""))))"),"")</f>
        <v/>
      </c>
      <c r="L284" s="385">
        <v>241.0</v>
      </c>
      <c r="M284" s="503"/>
      <c r="N284" s="387"/>
      <c r="O284" s="388" t="s">
        <v>123</v>
      </c>
      <c r="P284" s="389"/>
      <c r="Q284" s="390"/>
      <c r="R284" s="391"/>
      <c r="S284" s="392"/>
      <c r="T284" s="393"/>
      <c r="U284" s="393"/>
      <c r="V284" s="394"/>
      <c r="W284" s="395" t="str">
        <f>IFERROR(__xludf.DUMMYFUNCTION("IF(M284="""","""",sparkline(IFERROR(BF284*100/MAX($BF$44:$BF$153),0),{""charttype"",""bar"";""max"",100;""color1"",IF(BD284&gt;=0,""#4760a5"",""red"")}))"),"")</f>
        <v/>
      </c>
      <c r="X284" s="396"/>
      <c r="Y284" s="466"/>
      <c r="Z284" s="398"/>
      <c r="AA284" s="399"/>
      <c r="AB284" s="393"/>
      <c r="AC284" s="476"/>
      <c r="AD284" s="401"/>
      <c r="AE284" s="402"/>
      <c r="AF284" s="403"/>
      <c r="AG284" s="404" t="str">
        <f>IFERROR(__xludf.DUMMYFUNCTION("IF($M284="""","""",IFERROR(sparkline(query(GOOGLEFINANCE($AZ284,""price"",TODAY()-$AF$43,TODAY(),1),""select Col2 label Col2 ''""),IF($AG$43=""Gráfico de barras"",{""charttype"",""column"";""highcolor"",""red""},{""chartype"",""line""}))))"),"")</f>
        <v/>
      </c>
      <c r="AH284" s="405"/>
      <c r="AI284" s="467"/>
      <c r="AJ284" s="467"/>
      <c r="AK284" s="467"/>
      <c r="AL284" s="467"/>
      <c r="AM284" s="442"/>
      <c r="AN284" s="442"/>
      <c r="AU284" s="281"/>
      <c r="AV284" s="281"/>
      <c r="AW284" s="281"/>
      <c r="AX284" s="281"/>
      <c r="AY284" s="410">
        <v>241.0</v>
      </c>
      <c r="AZ284" s="411"/>
      <c r="BA284" s="411"/>
      <c r="BB284" s="437"/>
      <c r="BC284" s="437"/>
      <c r="BD284" s="437"/>
      <c r="BE284" s="437"/>
      <c r="BF284" s="415" t="s">
        <v>123</v>
      </c>
      <c r="BG284" s="410">
        <v>241.0</v>
      </c>
      <c r="BH284" s="416"/>
      <c r="BI284" s="416"/>
      <c r="BJ284" s="416"/>
      <c r="BK284" s="416"/>
      <c r="BL284" s="416"/>
      <c r="BM284" s="416"/>
      <c r="BN284" s="282"/>
      <c r="BO284" s="490"/>
      <c r="BP284" s="489"/>
      <c r="BQ284" s="489"/>
      <c r="BR284" s="489"/>
      <c r="BS284" s="489"/>
      <c r="BT284" s="489"/>
      <c r="BU284" s="489"/>
      <c r="BV284" s="489"/>
      <c r="BW284" s="63"/>
      <c r="BX284" s="62"/>
      <c r="BY284" s="452"/>
      <c r="BZ284" s="452"/>
      <c r="CA284" s="452"/>
      <c r="CB284" s="452"/>
      <c r="CC284" s="452"/>
      <c r="CD284" s="452"/>
      <c r="CE284" s="452"/>
      <c r="CF284" s="452"/>
      <c r="CG284" s="452"/>
      <c r="CH284" s="422"/>
      <c r="CI284" s="422"/>
      <c r="CJ284" s="422"/>
      <c r="CK284" s="421"/>
      <c r="CL284" s="421" t="s">
        <v>123</v>
      </c>
      <c r="CM284" s="423"/>
      <c r="CN284" s="421"/>
      <c r="CO284" s="423"/>
      <c r="CP284" s="421"/>
      <c r="CQ284" s="63"/>
      <c r="CR284" s="63"/>
      <c r="CS284" s="63"/>
      <c r="CT284" s="63"/>
      <c r="CU284" s="447"/>
      <c r="CV284" s="447"/>
      <c r="CW284" s="447"/>
      <c r="CX284" s="447"/>
      <c r="CY284" s="447"/>
      <c r="CZ284" s="447"/>
      <c r="DA284" s="447"/>
      <c r="DB284" s="447"/>
      <c r="DC284" s="447"/>
      <c r="DD284" s="447"/>
      <c r="DE284" s="447"/>
      <c r="DF284" s="447"/>
      <c r="DG284" s="447"/>
      <c r="DH284" s="447"/>
      <c r="DI284" s="447"/>
      <c r="DJ284" s="447"/>
      <c r="DK284" s="447"/>
      <c r="DL284" s="67"/>
      <c r="DM284" s="67"/>
      <c r="DN284" s="67"/>
      <c r="DO284" s="67"/>
      <c r="DP284" s="67"/>
      <c r="DQ284" s="67"/>
    </row>
    <row r="285" ht="22.5" customHeight="1">
      <c r="A285" s="383"/>
      <c r="B285" s="384" t="str">
        <f>IFERROR(__xludf.DUMMYFUNCTION("IF(B$43="""","""",IF($AZ285="""","""",IFERROR(Query({CarteirasAtivos},""Select Col3 where Col1 = '""&amp;$AZ285&amp;""'and Col2 = '""&amp;S$21&amp;""'""))))"),"")</f>
        <v/>
      </c>
      <c r="C285" s="384" t="str">
        <f>IFERROR(__xludf.DUMMYFUNCTION("IF(C$43="""","""",IF($AZ285="""","""",IFERROR(Query({CarteirasAtivos},""Select Col3 where Col1 = '""&amp;$AZ285&amp;""'and Col2 = '""&amp;T$21&amp;""'""))))"),"")</f>
        <v/>
      </c>
      <c r="D285" s="384" t="str">
        <f>IFERROR(__xludf.DUMMYFUNCTION("IF(D$43="""","""",IF($AZ285="""","""",IFERROR(Query({CarteirasAtivos},""Select Col3 where Col1 = '""&amp;$AZ285&amp;""'and Col2 = '""&amp;U$21&amp;""'""))))"),"")</f>
        <v/>
      </c>
      <c r="E285" s="384" t="str">
        <f>IFERROR(__xludf.DUMMYFUNCTION("IF(E$43="""","""",IF($AZ285="""","""",IFERROR(Query({CarteirasAtivos},""Select Col3 where Col1 = '""&amp;$AZ285&amp;""'and Col2 = '""&amp;V$21&amp;""'""))))"),"")</f>
        <v/>
      </c>
      <c r="F285" s="384" t="str">
        <f>IFERROR(__xludf.DUMMYFUNCTION("IF(F$43="""","""",IF($AZ285="""","""",IFERROR(Query({CarteirasAtivos},""Select Col3 where Col1 = '""&amp;$AZ285&amp;""'and Col2 = '""&amp;W$21&amp;""'""))))"),"")</f>
        <v/>
      </c>
      <c r="G285" s="384" t="str">
        <f>IFERROR(__xludf.DUMMYFUNCTION("IF(G$43="""","""",IF($AZ285="""","""",IFERROR(Query({CarteirasAtivos},""Select Col3 where Col1 = '""&amp;$AZ285&amp;""'and Col2 = '""&amp;X$21&amp;""'""))))"),"")</f>
        <v/>
      </c>
      <c r="H285" s="384" t="str">
        <f>IFERROR(__xludf.DUMMYFUNCTION("IF(H$43="""","""",IF($AZ285="""","""",IFERROR(Query({CarteirasAtivos},""Select Col3 where Col1 = '""&amp;$AZ285&amp;""'and Col2 = '""&amp;Y$21&amp;""'""))))"),"")</f>
        <v/>
      </c>
      <c r="I285" s="384" t="str">
        <f>IFERROR(__xludf.DUMMYFUNCTION("IF(I$43="""","""",IF($AZ285="""","""",IFERROR(Query({CarteirasAtivos},""Select Col3 where Col1 = '""&amp;$AZ285&amp;""'and Col2 = '""&amp;Z$21&amp;""'""))))"),"")</f>
        <v/>
      </c>
      <c r="J285" s="384" t="str">
        <f>IFERROR(__xludf.DUMMYFUNCTION("IF(J$43="""","""",IF($AZ285="""","""",IFERROR(Query({CarteirasAtivos},""Select Col3 where Col1 = '""&amp;$AZ285&amp;""'and Col2 = '""&amp;AA$21&amp;""'""))))"),"")</f>
        <v/>
      </c>
      <c r="K285" s="384" t="str">
        <f>IFERROR(__xludf.DUMMYFUNCTION("IF(K$43="""","""",IF($AZ285="""","""",IFERROR(Query({CarteirasAtivos},""Select Col3 where Col1 = '""&amp;$AZ285&amp;""'and Col2 = '""&amp;AB$21&amp;""'""))))"),"")</f>
        <v/>
      </c>
      <c r="L285" s="385">
        <v>242.0</v>
      </c>
      <c r="M285" s="503"/>
      <c r="N285" s="387"/>
      <c r="O285" s="388" t="s">
        <v>123</v>
      </c>
      <c r="P285" s="389"/>
      <c r="Q285" s="390"/>
      <c r="R285" s="391"/>
      <c r="S285" s="392"/>
      <c r="T285" s="393"/>
      <c r="U285" s="393"/>
      <c r="V285" s="394"/>
      <c r="W285" s="395" t="str">
        <f>IFERROR(__xludf.DUMMYFUNCTION("IF(M285="""","""",sparkline(IFERROR(BF285*100/MAX($BF$44:$BF$153),0),{""charttype"",""bar"";""max"",100;""color1"",IF(BD285&gt;=0,""#4760a5"",""red"")}))"),"")</f>
        <v/>
      </c>
      <c r="X285" s="396"/>
      <c r="Y285" s="466"/>
      <c r="Z285" s="398"/>
      <c r="AA285" s="399"/>
      <c r="AB285" s="393"/>
      <c r="AC285" s="476"/>
      <c r="AD285" s="401"/>
      <c r="AE285" s="402"/>
      <c r="AF285" s="403"/>
      <c r="AG285" s="404" t="str">
        <f>IFERROR(__xludf.DUMMYFUNCTION("IF($M285="""","""",IFERROR(sparkline(query(GOOGLEFINANCE($AZ285,""price"",TODAY()-$AF$43,TODAY(),1),""select Col2 label Col2 ''""),IF($AG$43=""Gráfico de barras"",{""charttype"",""column"";""highcolor"",""red""},{""chartype"",""line""}))))"),"")</f>
        <v/>
      </c>
      <c r="AH285" s="405"/>
      <c r="AI285" s="467"/>
      <c r="AJ285" s="467"/>
      <c r="AK285" s="467"/>
      <c r="AL285" s="467"/>
      <c r="AM285" s="442"/>
      <c r="AN285" s="442"/>
      <c r="AU285" s="281"/>
      <c r="AV285" s="281"/>
      <c r="AW285" s="281"/>
      <c r="AX285" s="281"/>
      <c r="AY285" s="410">
        <v>242.0</v>
      </c>
      <c r="AZ285" s="411"/>
      <c r="BA285" s="411"/>
      <c r="BB285" s="437"/>
      <c r="BC285" s="437"/>
      <c r="BD285" s="437"/>
      <c r="BE285" s="437"/>
      <c r="BF285" s="415" t="s">
        <v>123</v>
      </c>
      <c r="BG285" s="410">
        <v>242.0</v>
      </c>
      <c r="BH285" s="416"/>
      <c r="BI285" s="416"/>
      <c r="BJ285" s="416"/>
      <c r="BK285" s="416"/>
      <c r="BL285" s="416"/>
      <c r="BM285" s="416"/>
      <c r="BN285" s="282"/>
      <c r="BO285" s="490"/>
      <c r="BP285" s="489"/>
      <c r="BQ285" s="489"/>
      <c r="BR285" s="489"/>
      <c r="BS285" s="489"/>
      <c r="BT285" s="489"/>
      <c r="BU285" s="489"/>
      <c r="BV285" s="489"/>
      <c r="BW285" s="63"/>
      <c r="BX285" s="62"/>
      <c r="BY285" s="452"/>
      <c r="BZ285" s="452"/>
      <c r="CA285" s="452"/>
      <c r="CB285" s="452"/>
      <c r="CC285" s="452"/>
      <c r="CD285" s="452"/>
      <c r="CE285" s="452"/>
      <c r="CF285" s="452"/>
      <c r="CG285" s="452"/>
      <c r="CH285" s="422"/>
      <c r="CI285" s="422"/>
      <c r="CJ285" s="422"/>
      <c r="CK285" s="421"/>
      <c r="CL285" s="421" t="s">
        <v>123</v>
      </c>
      <c r="CM285" s="423"/>
      <c r="CN285" s="421"/>
      <c r="CO285" s="423"/>
      <c r="CP285" s="421"/>
      <c r="CQ285" s="63"/>
      <c r="CR285" s="63"/>
      <c r="CS285" s="63"/>
      <c r="CT285" s="63"/>
      <c r="CU285" s="447"/>
      <c r="CV285" s="447"/>
      <c r="CW285" s="447"/>
      <c r="CX285" s="447"/>
      <c r="CY285" s="447"/>
      <c r="CZ285" s="447"/>
      <c r="DA285" s="447"/>
      <c r="DB285" s="447"/>
      <c r="DC285" s="447"/>
      <c r="DD285" s="447"/>
      <c r="DE285" s="447"/>
      <c r="DF285" s="447"/>
      <c r="DG285" s="447"/>
      <c r="DH285" s="447"/>
      <c r="DI285" s="447"/>
      <c r="DJ285" s="447"/>
      <c r="DK285" s="447"/>
      <c r="DL285" s="67"/>
      <c r="DM285" s="67"/>
      <c r="DN285" s="67"/>
      <c r="DO285" s="67"/>
      <c r="DP285" s="67"/>
      <c r="DQ285" s="67"/>
    </row>
    <row r="286" ht="22.5" customHeight="1">
      <c r="A286" s="383"/>
      <c r="B286" s="384" t="str">
        <f>IFERROR(__xludf.DUMMYFUNCTION("IF(B$43="""","""",IF($AZ286="""","""",IFERROR(Query({CarteirasAtivos},""Select Col3 where Col1 = '""&amp;$AZ286&amp;""'and Col2 = '""&amp;S$21&amp;""'""))))"),"")</f>
        <v/>
      </c>
      <c r="C286" s="384" t="str">
        <f>IFERROR(__xludf.DUMMYFUNCTION("IF(C$43="""","""",IF($AZ286="""","""",IFERROR(Query({CarteirasAtivos},""Select Col3 where Col1 = '""&amp;$AZ286&amp;""'and Col2 = '""&amp;T$21&amp;""'""))))"),"")</f>
        <v/>
      </c>
      <c r="D286" s="384" t="str">
        <f>IFERROR(__xludf.DUMMYFUNCTION("IF(D$43="""","""",IF($AZ286="""","""",IFERROR(Query({CarteirasAtivos},""Select Col3 where Col1 = '""&amp;$AZ286&amp;""'and Col2 = '""&amp;U$21&amp;""'""))))"),"")</f>
        <v/>
      </c>
      <c r="E286" s="384" t="str">
        <f>IFERROR(__xludf.DUMMYFUNCTION("IF(E$43="""","""",IF($AZ286="""","""",IFERROR(Query({CarteirasAtivos},""Select Col3 where Col1 = '""&amp;$AZ286&amp;""'and Col2 = '""&amp;V$21&amp;""'""))))"),"")</f>
        <v/>
      </c>
      <c r="F286" s="384" t="str">
        <f>IFERROR(__xludf.DUMMYFUNCTION("IF(F$43="""","""",IF($AZ286="""","""",IFERROR(Query({CarteirasAtivos},""Select Col3 where Col1 = '""&amp;$AZ286&amp;""'and Col2 = '""&amp;W$21&amp;""'""))))"),"")</f>
        <v/>
      </c>
      <c r="G286" s="384" t="str">
        <f>IFERROR(__xludf.DUMMYFUNCTION("IF(G$43="""","""",IF($AZ286="""","""",IFERROR(Query({CarteirasAtivos},""Select Col3 where Col1 = '""&amp;$AZ286&amp;""'and Col2 = '""&amp;X$21&amp;""'""))))"),"")</f>
        <v/>
      </c>
      <c r="H286" s="384" t="str">
        <f>IFERROR(__xludf.DUMMYFUNCTION("IF(H$43="""","""",IF($AZ286="""","""",IFERROR(Query({CarteirasAtivos},""Select Col3 where Col1 = '""&amp;$AZ286&amp;""'and Col2 = '""&amp;Y$21&amp;""'""))))"),"")</f>
        <v/>
      </c>
      <c r="I286" s="384" t="str">
        <f>IFERROR(__xludf.DUMMYFUNCTION("IF(I$43="""","""",IF($AZ286="""","""",IFERROR(Query({CarteirasAtivos},""Select Col3 where Col1 = '""&amp;$AZ286&amp;""'and Col2 = '""&amp;Z$21&amp;""'""))))"),"")</f>
        <v/>
      </c>
      <c r="J286" s="384" t="str">
        <f>IFERROR(__xludf.DUMMYFUNCTION("IF(J$43="""","""",IF($AZ286="""","""",IFERROR(Query({CarteirasAtivos},""Select Col3 where Col1 = '""&amp;$AZ286&amp;""'and Col2 = '""&amp;AA$21&amp;""'""))))"),"")</f>
        <v/>
      </c>
      <c r="K286" s="384" t="str">
        <f>IFERROR(__xludf.DUMMYFUNCTION("IF(K$43="""","""",IF($AZ286="""","""",IFERROR(Query({CarteirasAtivos},""Select Col3 where Col1 = '""&amp;$AZ286&amp;""'and Col2 = '""&amp;AB$21&amp;""'""))))"),"")</f>
        <v/>
      </c>
      <c r="L286" s="385">
        <v>243.0</v>
      </c>
      <c r="M286" s="503"/>
      <c r="N286" s="387"/>
      <c r="O286" s="388" t="s">
        <v>123</v>
      </c>
      <c r="P286" s="389"/>
      <c r="Q286" s="390"/>
      <c r="R286" s="391"/>
      <c r="S286" s="392"/>
      <c r="T286" s="393"/>
      <c r="U286" s="393"/>
      <c r="V286" s="394"/>
      <c r="W286" s="395" t="str">
        <f>IFERROR(__xludf.DUMMYFUNCTION("IF(M286="""","""",sparkline(IFERROR(BF286*100/MAX($BF$44:$BF$153),0),{""charttype"",""bar"";""max"",100;""color1"",IF(BD286&gt;=0,""#4760a5"",""red"")}))"),"")</f>
        <v/>
      </c>
      <c r="X286" s="396"/>
      <c r="Y286" s="466"/>
      <c r="Z286" s="398"/>
      <c r="AA286" s="399"/>
      <c r="AB286" s="393"/>
      <c r="AC286" s="476"/>
      <c r="AD286" s="401"/>
      <c r="AE286" s="402"/>
      <c r="AF286" s="403"/>
      <c r="AG286" s="404" t="str">
        <f>IFERROR(__xludf.DUMMYFUNCTION("IF($M286="""","""",IFERROR(sparkline(query(GOOGLEFINANCE($AZ286,""price"",TODAY()-$AF$43,TODAY(),1),""select Col2 label Col2 ''""),IF($AG$43=""Gráfico de barras"",{""charttype"",""column"";""highcolor"",""red""},{""chartype"",""line""}))))"),"")</f>
        <v/>
      </c>
      <c r="AH286" s="405"/>
      <c r="AI286" s="467"/>
      <c r="AJ286" s="467"/>
      <c r="AK286" s="467"/>
      <c r="AL286" s="467"/>
      <c r="AM286" s="442"/>
      <c r="AN286" s="442"/>
      <c r="AU286" s="281"/>
      <c r="AV286" s="281"/>
      <c r="AW286" s="281"/>
      <c r="AX286" s="281"/>
      <c r="AY286" s="410">
        <v>243.0</v>
      </c>
      <c r="AZ286" s="411"/>
      <c r="BA286" s="411"/>
      <c r="BB286" s="437"/>
      <c r="BC286" s="437"/>
      <c r="BD286" s="437"/>
      <c r="BE286" s="437"/>
      <c r="BF286" s="415" t="s">
        <v>123</v>
      </c>
      <c r="BG286" s="410">
        <v>243.0</v>
      </c>
      <c r="BH286" s="416"/>
      <c r="BI286" s="416"/>
      <c r="BJ286" s="416"/>
      <c r="BK286" s="416"/>
      <c r="BL286" s="416"/>
      <c r="BM286" s="416"/>
      <c r="BN286" s="282"/>
      <c r="BO286" s="490"/>
      <c r="BP286" s="489"/>
      <c r="BQ286" s="489"/>
      <c r="BR286" s="489"/>
      <c r="BS286" s="489"/>
      <c r="BT286" s="489"/>
      <c r="BU286" s="489"/>
      <c r="BV286" s="489"/>
      <c r="BW286" s="63"/>
      <c r="BX286" s="62"/>
      <c r="BY286" s="452"/>
      <c r="BZ286" s="452"/>
      <c r="CA286" s="452"/>
      <c r="CB286" s="452"/>
      <c r="CC286" s="452"/>
      <c r="CD286" s="452"/>
      <c r="CE286" s="452"/>
      <c r="CF286" s="452"/>
      <c r="CG286" s="452"/>
      <c r="CH286" s="422"/>
      <c r="CI286" s="422"/>
      <c r="CJ286" s="422"/>
      <c r="CK286" s="421"/>
      <c r="CL286" s="421" t="s">
        <v>123</v>
      </c>
      <c r="CM286" s="423"/>
      <c r="CN286" s="421"/>
      <c r="CO286" s="423"/>
      <c r="CP286" s="421"/>
      <c r="CQ286" s="63"/>
      <c r="CR286" s="63"/>
      <c r="CS286" s="63"/>
      <c r="CT286" s="63"/>
      <c r="CU286" s="447"/>
      <c r="CV286" s="447"/>
      <c r="CW286" s="447"/>
      <c r="CX286" s="447"/>
      <c r="CY286" s="447"/>
      <c r="CZ286" s="447"/>
      <c r="DA286" s="447"/>
      <c r="DB286" s="447"/>
      <c r="DC286" s="447"/>
      <c r="DD286" s="447"/>
      <c r="DE286" s="447"/>
      <c r="DF286" s="447"/>
      <c r="DG286" s="447"/>
      <c r="DH286" s="447"/>
      <c r="DI286" s="447"/>
      <c r="DJ286" s="447"/>
      <c r="DK286" s="447"/>
      <c r="DL286" s="67"/>
      <c r="DM286" s="67"/>
      <c r="DN286" s="67"/>
      <c r="DO286" s="67"/>
      <c r="DP286" s="67"/>
      <c r="DQ286" s="67"/>
    </row>
    <row r="287" ht="22.5" customHeight="1">
      <c r="A287" s="383"/>
      <c r="B287" s="384" t="str">
        <f>IFERROR(__xludf.DUMMYFUNCTION("IF(B$43="""","""",IF($AZ287="""","""",IFERROR(Query({CarteirasAtivos},""Select Col3 where Col1 = '""&amp;$AZ287&amp;""'and Col2 = '""&amp;S$21&amp;""'""))))"),"")</f>
        <v/>
      </c>
      <c r="C287" s="384" t="str">
        <f>IFERROR(__xludf.DUMMYFUNCTION("IF(C$43="""","""",IF($AZ287="""","""",IFERROR(Query({CarteirasAtivos},""Select Col3 where Col1 = '""&amp;$AZ287&amp;""'and Col2 = '""&amp;T$21&amp;""'""))))"),"")</f>
        <v/>
      </c>
      <c r="D287" s="384" t="str">
        <f>IFERROR(__xludf.DUMMYFUNCTION("IF(D$43="""","""",IF($AZ287="""","""",IFERROR(Query({CarteirasAtivos},""Select Col3 where Col1 = '""&amp;$AZ287&amp;""'and Col2 = '""&amp;U$21&amp;""'""))))"),"")</f>
        <v/>
      </c>
      <c r="E287" s="384" t="str">
        <f>IFERROR(__xludf.DUMMYFUNCTION("IF(E$43="""","""",IF($AZ287="""","""",IFERROR(Query({CarteirasAtivos},""Select Col3 where Col1 = '""&amp;$AZ287&amp;""'and Col2 = '""&amp;V$21&amp;""'""))))"),"")</f>
        <v/>
      </c>
      <c r="F287" s="384" t="str">
        <f>IFERROR(__xludf.DUMMYFUNCTION("IF(F$43="""","""",IF($AZ287="""","""",IFERROR(Query({CarteirasAtivos},""Select Col3 where Col1 = '""&amp;$AZ287&amp;""'and Col2 = '""&amp;W$21&amp;""'""))))"),"")</f>
        <v/>
      </c>
      <c r="G287" s="384" t="str">
        <f>IFERROR(__xludf.DUMMYFUNCTION("IF(G$43="""","""",IF($AZ287="""","""",IFERROR(Query({CarteirasAtivos},""Select Col3 where Col1 = '""&amp;$AZ287&amp;""'and Col2 = '""&amp;X$21&amp;""'""))))"),"")</f>
        <v/>
      </c>
      <c r="H287" s="384" t="str">
        <f>IFERROR(__xludf.DUMMYFUNCTION("IF(H$43="""","""",IF($AZ287="""","""",IFERROR(Query({CarteirasAtivos},""Select Col3 where Col1 = '""&amp;$AZ287&amp;""'and Col2 = '""&amp;Y$21&amp;""'""))))"),"")</f>
        <v/>
      </c>
      <c r="I287" s="384" t="str">
        <f>IFERROR(__xludf.DUMMYFUNCTION("IF(I$43="""","""",IF($AZ287="""","""",IFERROR(Query({CarteirasAtivos},""Select Col3 where Col1 = '""&amp;$AZ287&amp;""'and Col2 = '""&amp;Z$21&amp;""'""))))"),"")</f>
        <v/>
      </c>
      <c r="J287" s="384" t="str">
        <f>IFERROR(__xludf.DUMMYFUNCTION("IF(J$43="""","""",IF($AZ287="""","""",IFERROR(Query({CarteirasAtivos},""Select Col3 where Col1 = '""&amp;$AZ287&amp;""'and Col2 = '""&amp;AA$21&amp;""'""))))"),"")</f>
        <v/>
      </c>
      <c r="K287" s="384" t="str">
        <f>IFERROR(__xludf.DUMMYFUNCTION("IF(K$43="""","""",IF($AZ287="""","""",IFERROR(Query({CarteirasAtivos},""Select Col3 where Col1 = '""&amp;$AZ287&amp;""'and Col2 = '""&amp;AB$21&amp;""'""))))"),"")</f>
        <v/>
      </c>
      <c r="L287" s="385">
        <v>244.0</v>
      </c>
      <c r="M287" s="503"/>
      <c r="N287" s="387"/>
      <c r="O287" s="388" t="s">
        <v>123</v>
      </c>
      <c r="P287" s="389"/>
      <c r="Q287" s="390"/>
      <c r="R287" s="391"/>
      <c r="S287" s="392"/>
      <c r="T287" s="393"/>
      <c r="U287" s="393"/>
      <c r="V287" s="394"/>
      <c r="W287" s="395" t="str">
        <f>IFERROR(__xludf.DUMMYFUNCTION("IF(M287="""","""",sparkline(IFERROR(BF287*100/MAX($BF$44:$BF$153),0),{""charttype"",""bar"";""max"",100;""color1"",IF(BD287&gt;=0,""#4760a5"",""red"")}))"),"")</f>
        <v/>
      </c>
      <c r="X287" s="396"/>
      <c r="Y287" s="466"/>
      <c r="Z287" s="398"/>
      <c r="AA287" s="399"/>
      <c r="AB287" s="393"/>
      <c r="AC287" s="476"/>
      <c r="AD287" s="401"/>
      <c r="AE287" s="402"/>
      <c r="AF287" s="403"/>
      <c r="AG287" s="404" t="str">
        <f>IFERROR(__xludf.DUMMYFUNCTION("IF($M287="""","""",IFERROR(sparkline(query(GOOGLEFINANCE($AZ287,""price"",TODAY()-$AF$43,TODAY(),1),""select Col2 label Col2 ''""),IF($AG$43=""Gráfico de barras"",{""charttype"",""column"";""highcolor"",""red""},{""chartype"",""line""}))))"),"")</f>
        <v/>
      </c>
      <c r="AH287" s="405"/>
      <c r="AI287" s="467"/>
      <c r="AJ287" s="467"/>
      <c r="AK287" s="467"/>
      <c r="AL287" s="467"/>
      <c r="AM287" s="442"/>
      <c r="AN287" s="442"/>
      <c r="AU287" s="281"/>
      <c r="AV287" s="281"/>
      <c r="AW287" s="281"/>
      <c r="AX287" s="281"/>
      <c r="AY287" s="410">
        <v>244.0</v>
      </c>
      <c r="AZ287" s="411"/>
      <c r="BA287" s="411"/>
      <c r="BB287" s="437"/>
      <c r="BC287" s="437"/>
      <c r="BD287" s="437"/>
      <c r="BE287" s="437"/>
      <c r="BF287" s="415" t="s">
        <v>123</v>
      </c>
      <c r="BG287" s="410">
        <v>244.0</v>
      </c>
      <c r="BH287" s="416"/>
      <c r="BI287" s="416"/>
      <c r="BJ287" s="416"/>
      <c r="BK287" s="416"/>
      <c r="BL287" s="416"/>
      <c r="BM287" s="416"/>
      <c r="BN287" s="282"/>
      <c r="BO287" s="490"/>
      <c r="BP287" s="489"/>
      <c r="BQ287" s="489"/>
      <c r="BR287" s="489"/>
      <c r="BS287" s="489"/>
      <c r="BT287" s="489"/>
      <c r="BU287" s="489"/>
      <c r="BV287" s="489"/>
      <c r="BW287" s="63"/>
      <c r="BX287" s="62"/>
      <c r="BY287" s="452"/>
      <c r="BZ287" s="452"/>
      <c r="CA287" s="452"/>
      <c r="CB287" s="452"/>
      <c r="CC287" s="452"/>
      <c r="CD287" s="452"/>
      <c r="CE287" s="452"/>
      <c r="CF287" s="452"/>
      <c r="CG287" s="452"/>
      <c r="CH287" s="422"/>
      <c r="CI287" s="422"/>
      <c r="CJ287" s="422"/>
      <c r="CK287" s="421"/>
      <c r="CL287" s="421" t="s">
        <v>123</v>
      </c>
      <c r="CM287" s="423"/>
      <c r="CN287" s="421"/>
      <c r="CO287" s="423"/>
      <c r="CP287" s="421"/>
      <c r="CQ287" s="63"/>
      <c r="CR287" s="63"/>
      <c r="CS287" s="63"/>
      <c r="CT287" s="63"/>
      <c r="CU287" s="447"/>
      <c r="CV287" s="447"/>
      <c r="CW287" s="447"/>
      <c r="CX287" s="447"/>
      <c r="CY287" s="447"/>
      <c r="CZ287" s="447"/>
      <c r="DA287" s="447"/>
      <c r="DB287" s="447"/>
      <c r="DC287" s="447"/>
      <c r="DD287" s="447"/>
      <c r="DE287" s="447"/>
      <c r="DF287" s="447"/>
      <c r="DG287" s="447"/>
      <c r="DH287" s="447"/>
      <c r="DI287" s="447"/>
      <c r="DJ287" s="447"/>
      <c r="DK287" s="447"/>
      <c r="DL287" s="67"/>
      <c r="DM287" s="67"/>
      <c r="DN287" s="67"/>
      <c r="DO287" s="67"/>
      <c r="DP287" s="67"/>
      <c r="DQ287" s="67"/>
    </row>
    <row r="288" ht="22.5" customHeight="1">
      <c r="A288" s="383"/>
      <c r="B288" s="384" t="str">
        <f>IFERROR(__xludf.DUMMYFUNCTION("IF(B$43="""","""",IF($AZ288="""","""",IFERROR(Query({CarteirasAtivos},""Select Col3 where Col1 = '""&amp;$AZ288&amp;""'and Col2 = '""&amp;S$21&amp;""'""))))"),"")</f>
        <v/>
      </c>
      <c r="C288" s="384" t="str">
        <f>IFERROR(__xludf.DUMMYFUNCTION("IF(C$43="""","""",IF($AZ288="""","""",IFERROR(Query({CarteirasAtivos},""Select Col3 where Col1 = '""&amp;$AZ288&amp;""'and Col2 = '""&amp;T$21&amp;""'""))))"),"")</f>
        <v/>
      </c>
      <c r="D288" s="384" t="str">
        <f>IFERROR(__xludf.DUMMYFUNCTION("IF(D$43="""","""",IF($AZ288="""","""",IFERROR(Query({CarteirasAtivos},""Select Col3 where Col1 = '""&amp;$AZ288&amp;""'and Col2 = '""&amp;U$21&amp;""'""))))"),"")</f>
        <v/>
      </c>
      <c r="E288" s="384" t="str">
        <f>IFERROR(__xludf.DUMMYFUNCTION("IF(E$43="""","""",IF($AZ288="""","""",IFERROR(Query({CarteirasAtivos},""Select Col3 where Col1 = '""&amp;$AZ288&amp;""'and Col2 = '""&amp;V$21&amp;""'""))))"),"")</f>
        <v/>
      </c>
      <c r="F288" s="384" t="str">
        <f>IFERROR(__xludf.DUMMYFUNCTION("IF(F$43="""","""",IF($AZ288="""","""",IFERROR(Query({CarteirasAtivos},""Select Col3 where Col1 = '""&amp;$AZ288&amp;""'and Col2 = '""&amp;W$21&amp;""'""))))"),"")</f>
        <v/>
      </c>
      <c r="G288" s="384" t="str">
        <f>IFERROR(__xludf.DUMMYFUNCTION("IF(G$43="""","""",IF($AZ288="""","""",IFERROR(Query({CarteirasAtivos},""Select Col3 where Col1 = '""&amp;$AZ288&amp;""'and Col2 = '""&amp;X$21&amp;""'""))))"),"")</f>
        <v/>
      </c>
      <c r="H288" s="384" t="str">
        <f>IFERROR(__xludf.DUMMYFUNCTION("IF(H$43="""","""",IF($AZ288="""","""",IFERROR(Query({CarteirasAtivos},""Select Col3 where Col1 = '""&amp;$AZ288&amp;""'and Col2 = '""&amp;Y$21&amp;""'""))))"),"")</f>
        <v/>
      </c>
      <c r="I288" s="384" t="str">
        <f>IFERROR(__xludf.DUMMYFUNCTION("IF(I$43="""","""",IF($AZ288="""","""",IFERROR(Query({CarteirasAtivos},""Select Col3 where Col1 = '""&amp;$AZ288&amp;""'and Col2 = '""&amp;Z$21&amp;""'""))))"),"")</f>
        <v/>
      </c>
      <c r="J288" s="384" t="str">
        <f>IFERROR(__xludf.DUMMYFUNCTION("IF(J$43="""","""",IF($AZ288="""","""",IFERROR(Query({CarteirasAtivos},""Select Col3 where Col1 = '""&amp;$AZ288&amp;""'and Col2 = '""&amp;AA$21&amp;""'""))))"),"")</f>
        <v/>
      </c>
      <c r="K288" s="384" t="str">
        <f>IFERROR(__xludf.DUMMYFUNCTION("IF(K$43="""","""",IF($AZ288="""","""",IFERROR(Query({CarteirasAtivos},""Select Col3 where Col1 = '""&amp;$AZ288&amp;""'and Col2 = '""&amp;AB$21&amp;""'""))))"),"")</f>
        <v/>
      </c>
      <c r="L288" s="385">
        <v>245.0</v>
      </c>
      <c r="M288" s="503"/>
      <c r="N288" s="387"/>
      <c r="O288" s="388" t="s">
        <v>123</v>
      </c>
      <c r="P288" s="389"/>
      <c r="Q288" s="390"/>
      <c r="R288" s="391"/>
      <c r="S288" s="392"/>
      <c r="T288" s="393"/>
      <c r="U288" s="393"/>
      <c r="V288" s="394"/>
      <c r="W288" s="395" t="str">
        <f>IFERROR(__xludf.DUMMYFUNCTION("IF(M288="""","""",sparkline(IFERROR(BF288*100/MAX($BF$44:$BF$153),0),{""charttype"",""bar"";""max"",100;""color1"",IF(BD288&gt;=0,""#4760a5"",""red"")}))"),"")</f>
        <v/>
      </c>
      <c r="X288" s="396"/>
      <c r="Y288" s="466"/>
      <c r="Z288" s="398"/>
      <c r="AA288" s="399"/>
      <c r="AB288" s="393"/>
      <c r="AC288" s="476"/>
      <c r="AD288" s="401"/>
      <c r="AE288" s="402"/>
      <c r="AF288" s="403"/>
      <c r="AG288" s="404" t="str">
        <f>IFERROR(__xludf.DUMMYFUNCTION("IF($M288="""","""",IFERROR(sparkline(query(GOOGLEFINANCE($AZ288,""price"",TODAY()-$AF$43,TODAY(),1),""select Col2 label Col2 ''""),IF($AG$43=""Gráfico de barras"",{""charttype"",""column"";""highcolor"",""red""},{""chartype"",""line""}))))"),"")</f>
        <v/>
      </c>
      <c r="AH288" s="405"/>
      <c r="AI288" s="467"/>
      <c r="AJ288" s="467"/>
      <c r="AK288" s="467"/>
      <c r="AL288" s="467"/>
      <c r="AM288" s="442"/>
      <c r="AN288" s="442"/>
      <c r="AU288" s="281"/>
      <c r="AV288" s="281"/>
      <c r="AW288" s="281"/>
      <c r="AX288" s="281"/>
      <c r="AY288" s="410">
        <v>245.0</v>
      </c>
      <c r="AZ288" s="411"/>
      <c r="BA288" s="411"/>
      <c r="BB288" s="437"/>
      <c r="BC288" s="437"/>
      <c r="BD288" s="437"/>
      <c r="BE288" s="437"/>
      <c r="BF288" s="415" t="s">
        <v>123</v>
      </c>
      <c r="BG288" s="410">
        <v>245.0</v>
      </c>
      <c r="BH288" s="416"/>
      <c r="BI288" s="416"/>
      <c r="BJ288" s="416"/>
      <c r="BK288" s="416"/>
      <c r="BL288" s="416"/>
      <c r="BM288" s="416"/>
      <c r="BN288" s="282"/>
      <c r="BO288" s="490"/>
      <c r="BP288" s="489"/>
      <c r="BQ288" s="489"/>
      <c r="BR288" s="489"/>
      <c r="BS288" s="489"/>
      <c r="BT288" s="489"/>
      <c r="BU288" s="489"/>
      <c r="BV288" s="489"/>
      <c r="BW288" s="63"/>
      <c r="BX288" s="62"/>
      <c r="BY288" s="452"/>
      <c r="BZ288" s="452"/>
      <c r="CA288" s="452"/>
      <c r="CB288" s="452"/>
      <c r="CC288" s="452"/>
      <c r="CD288" s="452"/>
      <c r="CE288" s="452"/>
      <c r="CF288" s="452"/>
      <c r="CG288" s="452"/>
      <c r="CH288" s="422"/>
      <c r="CI288" s="422"/>
      <c r="CJ288" s="422"/>
      <c r="CK288" s="421"/>
      <c r="CL288" s="421" t="s">
        <v>123</v>
      </c>
      <c r="CM288" s="423"/>
      <c r="CN288" s="421"/>
      <c r="CO288" s="423"/>
      <c r="CP288" s="421"/>
      <c r="CQ288" s="63"/>
      <c r="CR288" s="63"/>
      <c r="CS288" s="63"/>
      <c r="CT288" s="63"/>
      <c r="CU288" s="447"/>
      <c r="CV288" s="447"/>
      <c r="CW288" s="447"/>
      <c r="CX288" s="447"/>
      <c r="CY288" s="447"/>
      <c r="CZ288" s="447"/>
      <c r="DA288" s="447"/>
      <c r="DB288" s="447"/>
      <c r="DC288" s="447"/>
      <c r="DD288" s="447"/>
      <c r="DE288" s="447"/>
      <c r="DF288" s="447"/>
      <c r="DG288" s="447"/>
      <c r="DH288" s="447"/>
      <c r="DI288" s="447"/>
      <c r="DJ288" s="447"/>
      <c r="DK288" s="447"/>
      <c r="DL288" s="67"/>
      <c r="DM288" s="67"/>
      <c r="DN288" s="67"/>
      <c r="DO288" s="67"/>
      <c r="DP288" s="67"/>
      <c r="DQ288" s="67"/>
    </row>
    <row r="289" ht="22.5" customHeight="1">
      <c r="A289" s="383"/>
      <c r="B289" s="384" t="str">
        <f>IFERROR(__xludf.DUMMYFUNCTION("IF(B$43="""","""",IF($AZ289="""","""",IFERROR(Query({CarteirasAtivos},""Select Col3 where Col1 = '""&amp;$AZ289&amp;""'and Col2 = '""&amp;S$21&amp;""'""))))"),"")</f>
        <v/>
      </c>
      <c r="C289" s="384" t="str">
        <f>IFERROR(__xludf.DUMMYFUNCTION("IF(C$43="""","""",IF($AZ289="""","""",IFERROR(Query({CarteirasAtivos},""Select Col3 where Col1 = '""&amp;$AZ289&amp;""'and Col2 = '""&amp;T$21&amp;""'""))))"),"")</f>
        <v/>
      </c>
      <c r="D289" s="384" t="str">
        <f>IFERROR(__xludf.DUMMYFUNCTION("IF(D$43="""","""",IF($AZ289="""","""",IFERROR(Query({CarteirasAtivos},""Select Col3 where Col1 = '""&amp;$AZ289&amp;""'and Col2 = '""&amp;U$21&amp;""'""))))"),"")</f>
        <v/>
      </c>
      <c r="E289" s="384" t="str">
        <f>IFERROR(__xludf.DUMMYFUNCTION("IF(E$43="""","""",IF($AZ289="""","""",IFERROR(Query({CarteirasAtivos},""Select Col3 where Col1 = '""&amp;$AZ289&amp;""'and Col2 = '""&amp;V$21&amp;""'""))))"),"")</f>
        <v/>
      </c>
      <c r="F289" s="384" t="str">
        <f>IFERROR(__xludf.DUMMYFUNCTION("IF(F$43="""","""",IF($AZ289="""","""",IFERROR(Query({CarteirasAtivos},""Select Col3 where Col1 = '""&amp;$AZ289&amp;""'and Col2 = '""&amp;W$21&amp;""'""))))"),"")</f>
        <v/>
      </c>
      <c r="G289" s="384" t="str">
        <f>IFERROR(__xludf.DUMMYFUNCTION("IF(G$43="""","""",IF($AZ289="""","""",IFERROR(Query({CarteirasAtivos},""Select Col3 where Col1 = '""&amp;$AZ289&amp;""'and Col2 = '""&amp;X$21&amp;""'""))))"),"")</f>
        <v/>
      </c>
      <c r="H289" s="384" t="str">
        <f>IFERROR(__xludf.DUMMYFUNCTION("IF(H$43="""","""",IF($AZ289="""","""",IFERROR(Query({CarteirasAtivos},""Select Col3 where Col1 = '""&amp;$AZ289&amp;""'and Col2 = '""&amp;Y$21&amp;""'""))))"),"")</f>
        <v/>
      </c>
      <c r="I289" s="384" t="str">
        <f>IFERROR(__xludf.DUMMYFUNCTION("IF(I$43="""","""",IF($AZ289="""","""",IFERROR(Query({CarteirasAtivos},""Select Col3 where Col1 = '""&amp;$AZ289&amp;""'and Col2 = '""&amp;Z$21&amp;""'""))))"),"")</f>
        <v/>
      </c>
      <c r="J289" s="384" t="str">
        <f>IFERROR(__xludf.DUMMYFUNCTION("IF(J$43="""","""",IF($AZ289="""","""",IFERROR(Query({CarteirasAtivos},""Select Col3 where Col1 = '""&amp;$AZ289&amp;""'and Col2 = '""&amp;AA$21&amp;""'""))))"),"")</f>
        <v/>
      </c>
      <c r="K289" s="384" t="str">
        <f>IFERROR(__xludf.DUMMYFUNCTION("IF(K$43="""","""",IF($AZ289="""","""",IFERROR(Query({CarteirasAtivos},""Select Col3 where Col1 = '""&amp;$AZ289&amp;""'and Col2 = '""&amp;AB$21&amp;""'""))))"),"")</f>
        <v/>
      </c>
      <c r="L289" s="385">
        <v>246.0</v>
      </c>
      <c r="M289" s="503"/>
      <c r="N289" s="387"/>
      <c r="O289" s="388" t="s">
        <v>123</v>
      </c>
      <c r="P289" s="389"/>
      <c r="Q289" s="390"/>
      <c r="R289" s="391"/>
      <c r="S289" s="392"/>
      <c r="T289" s="393"/>
      <c r="U289" s="393"/>
      <c r="V289" s="394"/>
      <c r="W289" s="395" t="str">
        <f>IFERROR(__xludf.DUMMYFUNCTION("IF(M289="""","""",sparkline(IFERROR(BF289*100/MAX($BF$44:$BF$153),0),{""charttype"",""bar"";""max"",100;""color1"",IF(BD289&gt;=0,""#4760a5"",""red"")}))"),"")</f>
        <v/>
      </c>
      <c r="X289" s="396"/>
      <c r="Y289" s="466"/>
      <c r="Z289" s="398"/>
      <c r="AA289" s="399"/>
      <c r="AB289" s="393"/>
      <c r="AC289" s="476"/>
      <c r="AD289" s="401"/>
      <c r="AE289" s="402"/>
      <c r="AF289" s="403"/>
      <c r="AG289" s="404" t="str">
        <f>IFERROR(__xludf.DUMMYFUNCTION("IF($M289="""","""",IFERROR(sparkline(query(GOOGLEFINANCE($AZ289,""price"",TODAY()-$AF$43,TODAY(),1),""select Col2 label Col2 ''""),IF($AG$43=""Gráfico de barras"",{""charttype"",""column"";""highcolor"",""red""},{""chartype"",""line""}))))"),"")</f>
        <v/>
      </c>
      <c r="AH289" s="405"/>
      <c r="AI289" s="467"/>
      <c r="AJ289" s="467"/>
      <c r="AK289" s="467"/>
      <c r="AL289" s="467"/>
      <c r="AM289" s="442"/>
      <c r="AN289" s="442"/>
      <c r="AU289" s="281"/>
      <c r="AV289" s="281"/>
      <c r="AW289" s="281"/>
      <c r="AX289" s="281"/>
      <c r="AY289" s="410">
        <v>246.0</v>
      </c>
      <c r="AZ289" s="411"/>
      <c r="BA289" s="411"/>
      <c r="BB289" s="437"/>
      <c r="BC289" s="437"/>
      <c r="BD289" s="437"/>
      <c r="BE289" s="437"/>
      <c r="BF289" s="415" t="s">
        <v>123</v>
      </c>
      <c r="BG289" s="410">
        <v>246.0</v>
      </c>
      <c r="BH289" s="416"/>
      <c r="BI289" s="416"/>
      <c r="BJ289" s="416"/>
      <c r="BK289" s="416"/>
      <c r="BL289" s="416"/>
      <c r="BM289" s="416"/>
      <c r="BN289" s="282"/>
      <c r="BO289" s="490"/>
      <c r="BP289" s="489"/>
      <c r="BQ289" s="489"/>
      <c r="BR289" s="489"/>
      <c r="BS289" s="489"/>
      <c r="BT289" s="489"/>
      <c r="BU289" s="489"/>
      <c r="BV289" s="489"/>
      <c r="BW289" s="63"/>
      <c r="BX289" s="62"/>
      <c r="BY289" s="452"/>
      <c r="BZ289" s="452"/>
      <c r="CA289" s="452"/>
      <c r="CB289" s="452"/>
      <c r="CC289" s="452"/>
      <c r="CD289" s="452"/>
      <c r="CE289" s="452"/>
      <c r="CF289" s="452"/>
      <c r="CG289" s="452"/>
      <c r="CH289" s="422"/>
      <c r="CI289" s="422"/>
      <c r="CJ289" s="422"/>
      <c r="CK289" s="421"/>
      <c r="CL289" s="421" t="s">
        <v>123</v>
      </c>
      <c r="CM289" s="423"/>
      <c r="CN289" s="421"/>
      <c r="CO289" s="423"/>
      <c r="CP289" s="421"/>
      <c r="CQ289" s="63"/>
      <c r="CR289" s="63"/>
      <c r="CS289" s="63"/>
      <c r="CT289" s="63"/>
      <c r="CU289" s="447"/>
      <c r="CV289" s="447"/>
      <c r="CW289" s="447"/>
      <c r="CX289" s="447"/>
      <c r="CY289" s="447"/>
      <c r="CZ289" s="447"/>
      <c r="DA289" s="447"/>
      <c r="DB289" s="447"/>
      <c r="DC289" s="447"/>
      <c r="DD289" s="447"/>
      <c r="DE289" s="447"/>
      <c r="DF289" s="447"/>
      <c r="DG289" s="447"/>
      <c r="DH289" s="447"/>
      <c r="DI289" s="447"/>
      <c r="DJ289" s="447"/>
      <c r="DK289" s="447"/>
      <c r="DL289" s="67"/>
      <c r="DM289" s="67"/>
      <c r="DN289" s="67"/>
      <c r="DO289" s="67"/>
      <c r="DP289" s="67"/>
      <c r="DQ289" s="67"/>
    </row>
    <row r="290" ht="22.5" customHeight="1">
      <c r="A290" s="383"/>
      <c r="B290" s="384" t="str">
        <f>IFERROR(__xludf.DUMMYFUNCTION("IF(B$43="""","""",IF($AZ290="""","""",IFERROR(Query({CarteirasAtivos},""Select Col3 where Col1 = '""&amp;$AZ290&amp;""'and Col2 = '""&amp;S$21&amp;""'""))))"),"")</f>
        <v/>
      </c>
      <c r="C290" s="384" t="str">
        <f>IFERROR(__xludf.DUMMYFUNCTION("IF(C$43="""","""",IF($AZ290="""","""",IFERROR(Query({CarteirasAtivos},""Select Col3 where Col1 = '""&amp;$AZ290&amp;""'and Col2 = '""&amp;T$21&amp;""'""))))"),"")</f>
        <v/>
      </c>
      <c r="D290" s="384" t="str">
        <f>IFERROR(__xludf.DUMMYFUNCTION("IF(D$43="""","""",IF($AZ290="""","""",IFERROR(Query({CarteirasAtivos},""Select Col3 where Col1 = '""&amp;$AZ290&amp;""'and Col2 = '""&amp;U$21&amp;""'""))))"),"")</f>
        <v/>
      </c>
      <c r="E290" s="384" t="str">
        <f>IFERROR(__xludf.DUMMYFUNCTION("IF(E$43="""","""",IF($AZ290="""","""",IFERROR(Query({CarteirasAtivos},""Select Col3 where Col1 = '""&amp;$AZ290&amp;""'and Col2 = '""&amp;V$21&amp;""'""))))"),"")</f>
        <v/>
      </c>
      <c r="F290" s="384" t="str">
        <f>IFERROR(__xludf.DUMMYFUNCTION("IF(F$43="""","""",IF($AZ290="""","""",IFERROR(Query({CarteirasAtivos},""Select Col3 where Col1 = '""&amp;$AZ290&amp;""'and Col2 = '""&amp;W$21&amp;""'""))))"),"")</f>
        <v/>
      </c>
      <c r="G290" s="384" t="str">
        <f>IFERROR(__xludf.DUMMYFUNCTION("IF(G$43="""","""",IF($AZ290="""","""",IFERROR(Query({CarteirasAtivos},""Select Col3 where Col1 = '""&amp;$AZ290&amp;""'and Col2 = '""&amp;X$21&amp;""'""))))"),"")</f>
        <v/>
      </c>
      <c r="H290" s="384" t="str">
        <f>IFERROR(__xludf.DUMMYFUNCTION("IF(H$43="""","""",IF($AZ290="""","""",IFERROR(Query({CarteirasAtivos},""Select Col3 where Col1 = '""&amp;$AZ290&amp;""'and Col2 = '""&amp;Y$21&amp;""'""))))"),"")</f>
        <v/>
      </c>
      <c r="I290" s="384" t="str">
        <f>IFERROR(__xludf.DUMMYFUNCTION("IF(I$43="""","""",IF($AZ290="""","""",IFERROR(Query({CarteirasAtivos},""Select Col3 where Col1 = '""&amp;$AZ290&amp;""'and Col2 = '""&amp;Z$21&amp;""'""))))"),"")</f>
        <v/>
      </c>
      <c r="J290" s="384" t="str">
        <f>IFERROR(__xludf.DUMMYFUNCTION("IF(J$43="""","""",IF($AZ290="""","""",IFERROR(Query({CarteirasAtivos},""Select Col3 where Col1 = '""&amp;$AZ290&amp;""'and Col2 = '""&amp;AA$21&amp;""'""))))"),"")</f>
        <v/>
      </c>
      <c r="K290" s="384" t="str">
        <f>IFERROR(__xludf.DUMMYFUNCTION("IF(K$43="""","""",IF($AZ290="""","""",IFERROR(Query({CarteirasAtivos},""Select Col3 where Col1 = '""&amp;$AZ290&amp;""'and Col2 = '""&amp;AB$21&amp;""'""))))"),"")</f>
        <v/>
      </c>
      <c r="L290" s="385">
        <v>247.0</v>
      </c>
      <c r="M290" s="503"/>
      <c r="N290" s="387"/>
      <c r="O290" s="388" t="s">
        <v>123</v>
      </c>
      <c r="P290" s="389"/>
      <c r="Q290" s="390"/>
      <c r="R290" s="391"/>
      <c r="S290" s="392"/>
      <c r="T290" s="393"/>
      <c r="U290" s="393"/>
      <c r="V290" s="394"/>
      <c r="W290" s="395" t="str">
        <f>IFERROR(__xludf.DUMMYFUNCTION("IF(M290="""","""",sparkline(IFERROR(BF290*100/MAX($BF$44:$BF$153),0),{""charttype"",""bar"";""max"",100;""color1"",IF(BD290&gt;=0,""#4760a5"",""red"")}))"),"")</f>
        <v/>
      </c>
      <c r="X290" s="396"/>
      <c r="Y290" s="466"/>
      <c r="Z290" s="398"/>
      <c r="AA290" s="399"/>
      <c r="AB290" s="393"/>
      <c r="AC290" s="476"/>
      <c r="AD290" s="401"/>
      <c r="AE290" s="402"/>
      <c r="AF290" s="403"/>
      <c r="AG290" s="404" t="str">
        <f>IFERROR(__xludf.DUMMYFUNCTION("IF($M290="""","""",IFERROR(sparkline(query(GOOGLEFINANCE($AZ290,""price"",TODAY()-$AF$43,TODAY(),1),""select Col2 label Col2 ''""),IF($AG$43=""Gráfico de barras"",{""charttype"",""column"";""highcolor"",""red""},{""chartype"",""line""}))))"),"")</f>
        <v/>
      </c>
      <c r="AH290" s="405"/>
      <c r="AI290" s="467"/>
      <c r="AJ290" s="467"/>
      <c r="AK290" s="467"/>
      <c r="AL290" s="467"/>
      <c r="AM290" s="442"/>
      <c r="AN290" s="442"/>
      <c r="AU290" s="281"/>
      <c r="AV290" s="281"/>
      <c r="AW290" s="281"/>
      <c r="AX290" s="281"/>
      <c r="AY290" s="410">
        <v>247.0</v>
      </c>
      <c r="AZ290" s="411"/>
      <c r="BA290" s="411"/>
      <c r="BB290" s="437"/>
      <c r="BC290" s="437"/>
      <c r="BD290" s="437"/>
      <c r="BE290" s="437"/>
      <c r="BF290" s="415" t="s">
        <v>123</v>
      </c>
      <c r="BG290" s="410">
        <v>247.0</v>
      </c>
      <c r="BH290" s="416"/>
      <c r="BI290" s="416"/>
      <c r="BJ290" s="416"/>
      <c r="BK290" s="416"/>
      <c r="BL290" s="416"/>
      <c r="BM290" s="416"/>
      <c r="BN290" s="282"/>
      <c r="BO290" s="490"/>
      <c r="BP290" s="489"/>
      <c r="BQ290" s="489"/>
      <c r="BR290" s="489"/>
      <c r="BS290" s="489"/>
      <c r="BT290" s="489"/>
      <c r="BU290" s="489"/>
      <c r="BV290" s="489"/>
      <c r="BW290" s="63"/>
      <c r="BX290" s="62"/>
      <c r="BY290" s="452"/>
      <c r="BZ290" s="452"/>
      <c r="CA290" s="452"/>
      <c r="CB290" s="452"/>
      <c r="CC290" s="452"/>
      <c r="CD290" s="452"/>
      <c r="CE290" s="452"/>
      <c r="CF290" s="452"/>
      <c r="CG290" s="452"/>
      <c r="CH290" s="422"/>
      <c r="CI290" s="422"/>
      <c r="CJ290" s="422"/>
      <c r="CK290" s="421"/>
      <c r="CL290" s="421" t="s">
        <v>123</v>
      </c>
      <c r="CM290" s="423"/>
      <c r="CN290" s="421"/>
      <c r="CO290" s="423"/>
      <c r="CP290" s="421"/>
      <c r="CQ290" s="63"/>
      <c r="CR290" s="63"/>
      <c r="CS290" s="63"/>
      <c r="CT290" s="63"/>
      <c r="CU290" s="447"/>
      <c r="CV290" s="447"/>
      <c r="CW290" s="447"/>
      <c r="CX290" s="447"/>
      <c r="CY290" s="447"/>
      <c r="CZ290" s="447"/>
      <c r="DA290" s="447"/>
      <c r="DB290" s="447"/>
      <c r="DC290" s="447"/>
      <c r="DD290" s="447"/>
      <c r="DE290" s="447"/>
      <c r="DF290" s="447"/>
      <c r="DG290" s="447"/>
      <c r="DH290" s="447"/>
      <c r="DI290" s="447"/>
      <c r="DJ290" s="447"/>
      <c r="DK290" s="447"/>
      <c r="DL290" s="67"/>
      <c r="DM290" s="67"/>
      <c r="DN290" s="67"/>
      <c r="DO290" s="67"/>
      <c r="DP290" s="67"/>
      <c r="DQ290" s="67"/>
    </row>
    <row r="291" ht="22.5" customHeight="1">
      <c r="A291" s="383"/>
      <c r="B291" s="384" t="str">
        <f>IFERROR(__xludf.DUMMYFUNCTION("IF(B$43="""","""",IF($AZ291="""","""",IFERROR(Query({CarteirasAtivos},""Select Col3 where Col1 = '""&amp;$AZ291&amp;""'and Col2 = '""&amp;S$21&amp;""'""))))"),"")</f>
        <v/>
      </c>
      <c r="C291" s="384" t="str">
        <f>IFERROR(__xludf.DUMMYFUNCTION("IF(C$43="""","""",IF($AZ291="""","""",IFERROR(Query({CarteirasAtivos},""Select Col3 where Col1 = '""&amp;$AZ291&amp;""'and Col2 = '""&amp;T$21&amp;""'""))))"),"")</f>
        <v/>
      </c>
      <c r="D291" s="384" t="str">
        <f>IFERROR(__xludf.DUMMYFUNCTION("IF(D$43="""","""",IF($AZ291="""","""",IFERROR(Query({CarteirasAtivos},""Select Col3 where Col1 = '""&amp;$AZ291&amp;""'and Col2 = '""&amp;U$21&amp;""'""))))"),"")</f>
        <v/>
      </c>
      <c r="E291" s="384" t="str">
        <f>IFERROR(__xludf.DUMMYFUNCTION("IF(E$43="""","""",IF($AZ291="""","""",IFERROR(Query({CarteirasAtivos},""Select Col3 where Col1 = '""&amp;$AZ291&amp;""'and Col2 = '""&amp;V$21&amp;""'""))))"),"")</f>
        <v/>
      </c>
      <c r="F291" s="384" t="str">
        <f>IFERROR(__xludf.DUMMYFUNCTION("IF(F$43="""","""",IF($AZ291="""","""",IFERROR(Query({CarteirasAtivos},""Select Col3 where Col1 = '""&amp;$AZ291&amp;""'and Col2 = '""&amp;W$21&amp;""'""))))"),"")</f>
        <v/>
      </c>
      <c r="G291" s="384" t="str">
        <f>IFERROR(__xludf.DUMMYFUNCTION("IF(G$43="""","""",IF($AZ291="""","""",IFERROR(Query({CarteirasAtivos},""Select Col3 where Col1 = '""&amp;$AZ291&amp;""'and Col2 = '""&amp;X$21&amp;""'""))))"),"")</f>
        <v/>
      </c>
      <c r="H291" s="384" t="str">
        <f>IFERROR(__xludf.DUMMYFUNCTION("IF(H$43="""","""",IF($AZ291="""","""",IFERROR(Query({CarteirasAtivos},""Select Col3 where Col1 = '""&amp;$AZ291&amp;""'and Col2 = '""&amp;Y$21&amp;""'""))))"),"")</f>
        <v/>
      </c>
      <c r="I291" s="384" t="str">
        <f>IFERROR(__xludf.DUMMYFUNCTION("IF(I$43="""","""",IF($AZ291="""","""",IFERROR(Query({CarteirasAtivos},""Select Col3 where Col1 = '""&amp;$AZ291&amp;""'and Col2 = '""&amp;Z$21&amp;""'""))))"),"")</f>
        <v/>
      </c>
      <c r="J291" s="384" t="str">
        <f>IFERROR(__xludf.DUMMYFUNCTION("IF(J$43="""","""",IF($AZ291="""","""",IFERROR(Query({CarteirasAtivos},""Select Col3 where Col1 = '""&amp;$AZ291&amp;""'and Col2 = '""&amp;AA$21&amp;""'""))))"),"")</f>
        <v/>
      </c>
      <c r="K291" s="384" t="str">
        <f>IFERROR(__xludf.DUMMYFUNCTION("IF(K$43="""","""",IF($AZ291="""","""",IFERROR(Query({CarteirasAtivos},""Select Col3 where Col1 = '""&amp;$AZ291&amp;""'and Col2 = '""&amp;AB$21&amp;""'""))))"),"")</f>
        <v/>
      </c>
      <c r="L291" s="385">
        <v>248.0</v>
      </c>
      <c r="M291" s="503"/>
      <c r="N291" s="387"/>
      <c r="O291" s="388" t="s">
        <v>123</v>
      </c>
      <c r="P291" s="389"/>
      <c r="Q291" s="390"/>
      <c r="R291" s="391"/>
      <c r="S291" s="392"/>
      <c r="T291" s="393"/>
      <c r="U291" s="393"/>
      <c r="V291" s="394"/>
      <c r="W291" s="395" t="str">
        <f>IFERROR(__xludf.DUMMYFUNCTION("IF(M291="""","""",sparkline(IFERROR(BF291*100/MAX($BF$44:$BF$153),0),{""charttype"",""bar"";""max"",100;""color1"",IF(BD291&gt;=0,""#4760a5"",""red"")}))"),"")</f>
        <v/>
      </c>
      <c r="X291" s="396"/>
      <c r="Y291" s="466"/>
      <c r="Z291" s="398"/>
      <c r="AA291" s="399"/>
      <c r="AB291" s="393"/>
      <c r="AC291" s="476"/>
      <c r="AD291" s="401"/>
      <c r="AE291" s="402"/>
      <c r="AF291" s="403"/>
      <c r="AG291" s="404" t="str">
        <f>IFERROR(__xludf.DUMMYFUNCTION("IF($M291="""","""",IFERROR(sparkline(query(GOOGLEFINANCE($AZ291,""price"",TODAY()-$AF$43,TODAY(),1),""select Col2 label Col2 ''""),IF($AG$43=""Gráfico de barras"",{""charttype"",""column"";""highcolor"",""red""},{""chartype"",""line""}))))"),"")</f>
        <v/>
      </c>
      <c r="AH291" s="405"/>
      <c r="AI291" s="467"/>
      <c r="AJ291" s="467"/>
      <c r="AK291" s="467"/>
      <c r="AL291" s="467"/>
      <c r="AM291" s="442"/>
      <c r="AN291" s="442"/>
      <c r="AU291" s="281"/>
      <c r="AV291" s="281"/>
      <c r="AW291" s="281"/>
      <c r="AX291" s="281"/>
      <c r="AY291" s="410">
        <v>248.0</v>
      </c>
      <c r="AZ291" s="411"/>
      <c r="BA291" s="411"/>
      <c r="BB291" s="437"/>
      <c r="BC291" s="437"/>
      <c r="BD291" s="437"/>
      <c r="BE291" s="437"/>
      <c r="BF291" s="415" t="s">
        <v>123</v>
      </c>
      <c r="BG291" s="410">
        <v>248.0</v>
      </c>
      <c r="BH291" s="416"/>
      <c r="BI291" s="416"/>
      <c r="BJ291" s="416"/>
      <c r="BK291" s="416"/>
      <c r="BL291" s="416"/>
      <c r="BM291" s="416"/>
      <c r="BN291" s="282"/>
      <c r="BO291" s="490"/>
      <c r="BP291" s="489"/>
      <c r="BQ291" s="489"/>
      <c r="BR291" s="489"/>
      <c r="BS291" s="489"/>
      <c r="BT291" s="489"/>
      <c r="BU291" s="489"/>
      <c r="BV291" s="489"/>
      <c r="BW291" s="63"/>
      <c r="BX291" s="62"/>
      <c r="BY291" s="452"/>
      <c r="BZ291" s="452"/>
      <c r="CA291" s="452"/>
      <c r="CB291" s="452"/>
      <c r="CC291" s="452"/>
      <c r="CD291" s="452"/>
      <c r="CE291" s="452"/>
      <c r="CF291" s="452"/>
      <c r="CG291" s="452"/>
      <c r="CH291" s="422"/>
      <c r="CI291" s="422"/>
      <c r="CJ291" s="422"/>
      <c r="CK291" s="421"/>
      <c r="CL291" s="421" t="s">
        <v>123</v>
      </c>
      <c r="CM291" s="423"/>
      <c r="CN291" s="421"/>
      <c r="CO291" s="423"/>
      <c r="CP291" s="421"/>
      <c r="CQ291" s="63"/>
      <c r="CR291" s="63"/>
      <c r="CS291" s="63"/>
      <c r="CT291" s="63"/>
      <c r="CU291" s="447"/>
      <c r="CV291" s="447"/>
      <c r="CW291" s="447"/>
      <c r="CX291" s="447"/>
      <c r="CY291" s="447"/>
      <c r="CZ291" s="447"/>
      <c r="DA291" s="447"/>
      <c r="DB291" s="447"/>
      <c r="DC291" s="447"/>
      <c r="DD291" s="447"/>
      <c r="DE291" s="447"/>
      <c r="DF291" s="447"/>
      <c r="DG291" s="447"/>
      <c r="DH291" s="447"/>
      <c r="DI291" s="447"/>
      <c r="DJ291" s="447"/>
      <c r="DK291" s="447"/>
      <c r="DL291" s="67"/>
      <c r="DM291" s="67"/>
      <c r="DN291" s="67"/>
      <c r="DO291" s="67"/>
      <c r="DP291" s="67"/>
      <c r="DQ291" s="67"/>
    </row>
    <row r="292" ht="22.5" customHeight="1">
      <c r="A292" s="383"/>
      <c r="B292" s="384" t="str">
        <f>IFERROR(__xludf.DUMMYFUNCTION("IF(B$43="""","""",IF($AZ292="""","""",IFERROR(Query({CarteirasAtivos},""Select Col3 where Col1 = '""&amp;$AZ292&amp;""'and Col2 = '""&amp;S$21&amp;""'""))))"),"")</f>
        <v/>
      </c>
      <c r="C292" s="384" t="str">
        <f>IFERROR(__xludf.DUMMYFUNCTION("IF(C$43="""","""",IF($AZ292="""","""",IFERROR(Query({CarteirasAtivos},""Select Col3 where Col1 = '""&amp;$AZ292&amp;""'and Col2 = '""&amp;T$21&amp;""'""))))"),"")</f>
        <v/>
      </c>
      <c r="D292" s="384" t="str">
        <f>IFERROR(__xludf.DUMMYFUNCTION("IF(D$43="""","""",IF($AZ292="""","""",IFERROR(Query({CarteirasAtivos},""Select Col3 where Col1 = '""&amp;$AZ292&amp;""'and Col2 = '""&amp;U$21&amp;""'""))))"),"")</f>
        <v/>
      </c>
      <c r="E292" s="384" t="str">
        <f>IFERROR(__xludf.DUMMYFUNCTION("IF(E$43="""","""",IF($AZ292="""","""",IFERROR(Query({CarteirasAtivos},""Select Col3 where Col1 = '""&amp;$AZ292&amp;""'and Col2 = '""&amp;V$21&amp;""'""))))"),"")</f>
        <v/>
      </c>
      <c r="F292" s="384" t="str">
        <f>IFERROR(__xludf.DUMMYFUNCTION("IF(F$43="""","""",IF($AZ292="""","""",IFERROR(Query({CarteirasAtivos},""Select Col3 where Col1 = '""&amp;$AZ292&amp;""'and Col2 = '""&amp;W$21&amp;""'""))))"),"")</f>
        <v/>
      </c>
      <c r="G292" s="384" t="str">
        <f>IFERROR(__xludf.DUMMYFUNCTION("IF(G$43="""","""",IF($AZ292="""","""",IFERROR(Query({CarteirasAtivos},""Select Col3 where Col1 = '""&amp;$AZ292&amp;""'and Col2 = '""&amp;X$21&amp;""'""))))"),"")</f>
        <v/>
      </c>
      <c r="H292" s="384" t="str">
        <f>IFERROR(__xludf.DUMMYFUNCTION("IF(H$43="""","""",IF($AZ292="""","""",IFERROR(Query({CarteirasAtivos},""Select Col3 where Col1 = '""&amp;$AZ292&amp;""'and Col2 = '""&amp;Y$21&amp;""'""))))"),"")</f>
        <v/>
      </c>
      <c r="I292" s="384" t="str">
        <f>IFERROR(__xludf.DUMMYFUNCTION("IF(I$43="""","""",IF($AZ292="""","""",IFERROR(Query({CarteirasAtivos},""Select Col3 where Col1 = '""&amp;$AZ292&amp;""'and Col2 = '""&amp;Z$21&amp;""'""))))"),"")</f>
        <v/>
      </c>
      <c r="J292" s="384" t="str">
        <f>IFERROR(__xludf.DUMMYFUNCTION("IF(J$43="""","""",IF($AZ292="""","""",IFERROR(Query({CarteirasAtivos},""Select Col3 where Col1 = '""&amp;$AZ292&amp;""'and Col2 = '""&amp;AA$21&amp;""'""))))"),"")</f>
        <v/>
      </c>
      <c r="K292" s="384" t="str">
        <f>IFERROR(__xludf.DUMMYFUNCTION("IF(K$43="""","""",IF($AZ292="""","""",IFERROR(Query({CarteirasAtivos},""Select Col3 where Col1 = '""&amp;$AZ292&amp;""'and Col2 = '""&amp;AB$21&amp;""'""))))"),"")</f>
        <v/>
      </c>
      <c r="L292" s="385">
        <v>249.0</v>
      </c>
      <c r="M292" s="503"/>
      <c r="N292" s="387"/>
      <c r="O292" s="388" t="s">
        <v>123</v>
      </c>
      <c r="P292" s="389"/>
      <c r="Q292" s="390"/>
      <c r="R292" s="391"/>
      <c r="S292" s="392"/>
      <c r="T292" s="393"/>
      <c r="U292" s="393"/>
      <c r="V292" s="394"/>
      <c r="W292" s="395" t="str">
        <f>IFERROR(__xludf.DUMMYFUNCTION("IF(M292="""","""",sparkline(IFERROR(BF292*100/MAX($BF$44:$BF$153),0),{""charttype"",""bar"";""max"",100;""color1"",IF(BD292&gt;=0,""#4760a5"",""red"")}))"),"")</f>
        <v/>
      </c>
      <c r="X292" s="396"/>
      <c r="Y292" s="466"/>
      <c r="Z292" s="398"/>
      <c r="AA292" s="399"/>
      <c r="AB292" s="393"/>
      <c r="AC292" s="476"/>
      <c r="AD292" s="401"/>
      <c r="AE292" s="402"/>
      <c r="AF292" s="403"/>
      <c r="AG292" s="404" t="str">
        <f>IFERROR(__xludf.DUMMYFUNCTION("IF($M292="""","""",IFERROR(sparkline(query(GOOGLEFINANCE($AZ292,""price"",TODAY()-$AF$43,TODAY(),1),""select Col2 label Col2 ''""),IF($AG$43=""Gráfico de barras"",{""charttype"",""column"";""highcolor"",""red""},{""chartype"",""line""}))))"),"")</f>
        <v/>
      </c>
      <c r="AH292" s="405"/>
      <c r="AI292" s="467"/>
      <c r="AJ292" s="467"/>
      <c r="AK292" s="467"/>
      <c r="AL292" s="467"/>
      <c r="AM292" s="442"/>
      <c r="AN292" s="442"/>
      <c r="AU292" s="281"/>
      <c r="AV292" s="281"/>
      <c r="AW292" s="281"/>
      <c r="AX292" s="281"/>
      <c r="AY292" s="410">
        <v>249.0</v>
      </c>
      <c r="AZ292" s="411"/>
      <c r="BA292" s="411"/>
      <c r="BB292" s="437"/>
      <c r="BC292" s="437"/>
      <c r="BD292" s="437"/>
      <c r="BE292" s="437"/>
      <c r="BF292" s="415" t="s">
        <v>123</v>
      </c>
      <c r="BG292" s="410">
        <v>249.0</v>
      </c>
      <c r="BH292" s="416"/>
      <c r="BI292" s="416"/>
      <c r="BJ292" s="416"/>
      <c r="BK292" s="416"/>
      <c r="BL292" s="416"/>
      <c r="BM292" s="416"/>
      <c r="BN292" s="282"/>
      <c r="BO292" s="490"/>
      <c r="BP292" s="489"/>
      <c r="BQ292" s="489"/>
      <c r="BR292" s="489"/>
      <c r="BS292" s="489"/>
      <c r="BT292" s="489"/>
      <c r="BU292" s="489"/>
      <c r="BV292" s="489"/>
      <c r="BW292" s="63"/>
      <c r="BX292" s="62"/>
      <c r="BY292" s="452"/>
      <c r="BZ292" s="452"/>
      <c r="CA292" s="452"/>
      <c r="CB292" s="452"/>
      <c r="CC292" s="452"/>
      <c r="CD292" s="452"/>
      <c r="CE292" s="452"/>
      <c r="CF292" s="452"/>
      <c r="CG292" s="452"/>
      <c r="CH292" s="422"/>
      <c r="CI292" s="422"/>
      <c r="CJ292" s="422"/>
      <c r="CK292" s="421"/>
      <c r="CL292" s="421" t="s">
        <v>123</v>
      </c>
      <c r="CM292" s="423"/>
      <c r="CN292" s="421"/>
      <c r="CO292" s="423"/>
      <c r="CP292" s="421"/>
      <c r="CQ292" s="63"/>
      <c r="CR292" s="63"/>
      <c r="CS292" s="63"/>
      <c r="CT292" s="63"/>
      <c r="CU292" s="447"/>
      <c r="CV292" s="447"/>
      <c r="CW292" s="447"/>
      <c r="CX292" s="447"/>
      <c r="CY292" s="447"/>
      <c r="CZ292" s="447"/>
      <c r="DA292" s="447"/>
      <c r="DB292" s="447"/>
      <c r="DC292" s="447"/>
      <c r="DD292" s="447"/>
      <c r="DE292" s="447"/>
      <c r="DF292" s="447"/>
      <c r="DG292" s="447"/>
      <c r="DH292" s="447"/>
      <c r="DI292" s="447"/>
      <c r="DJ292" s="447"/>
      <c r="DK292" s="447"/>
      <c r="DL292" s="67"/>
      <c r="DM292" s="67"/>
      <c r="DN292" s="67"/>
      <c r="DO292" s="67"/>
      <c r="DP292" s="67"/>
      <c r="DQ292" s="67"/>
    </row>
    <row r="293" ht="22.5" customHeight="1">
      <c r="A293" s="383"/>
      <c r="B293" s="384" t="str">
        <f>IFERROR(__xludf.DUMMYFUNCTION("IF(B$43="""","""",IF($AZ293="""","""",IFERROR(Query({CarteirasAtivos},""Select Col3 where Col1 = '""&amp;$AZ293&amp;""'and Col2 = '""&amp;S$21&amp;""'""))))"),"")</f>
        <v/>
      </c>
      <c r="C293" s="384" t="str">
        <f>IFERROR(__xludf.DUMMYFUNCTION("IF(C$43="""","""",IF($AZ293="""","""",IFERROR(Query({CarteirasAtivos},""Select Col3 where Col1 = '""&amp;$AZ293&amp;""'and Col2 = '""&amp;T$21&amp;""'""))))"),"")</f>
        <v/>
      </c>
      <c r="D293" s="384" t="str">
        <f>IFERROR(__xludf.DUMMYFUNCTION("IF(D$43="""","""",IF($AZ293="""","""",IFERROR(Query({CarteirasAtivos},""Select Col3 where Col1 = '""&amp;$AZ293&amp;""'and Col2 = '""&amp;U$21&amp;""'""))))"),"")</f>
        <v/>
      </c>
      <c r="E293" s="384" t="str">
        <f>IFERROR(__xludf.DUMMYFUNCTION("IF(E$43="""","""",IF($AZ293="""","""",IFERROR(Query({CarteirasAtivos},""Select Col3 where Col1 = '""&amp;$AZ293&amp;""'and Col2 = '""&amp;V$21&amp;""'""))))"),"")</f>
        <v/>
      </c>
      <c r="F293" s="384" t="str">
        <f>IFERROR(__xludf.DUMMYFUNCTION("IF(F$43="""","""",IF($AZ293="""","""",IFERROR(Query({CarteirasAtivos},""Select Col3 where Col1 = '""&amp;$AZ293&amp;""'and Col2 = '""&amp;W$21&amp;""'""))))"),"")</f>
        <v/>
      </c>
      <c r="G293" s="384" t="str">
        <f>IFERROR(__xludf.DUMMYFUNCTION("IF(G$43="""","""",IF($AZ293="""","""",IFERROR(Query({CarteirasAtivos},""Select Col3 where Col1 = '""&amp;$AZ293&amp;""'and Col2 = '""&amp;X$21&amp;""'""))))"),"")</f>
        <v/>
      </c>
      <c r="H293" s="384" t="str">
        <f>IFERROR(__xludf.DUMMYFUNCTION("IF(H$43="""","""",IF($AZ293="""","""",IFERROR(Query({CarteirasAtivos},""Select Col3 where Col1 = '""&amp;$AZ293&amp;""'and Col2 = '""&amp;Y$21&amp;""'""))))"),"")</f>
        <v/>
      </c>
      <c r="I293" s="384" t="str">
        <f>IFERROR(__xludf.DUMMYFUNCTION("IF(I$43="""","""",IF($AZ293="""","""",IFERROR(Query({CarteirasAtivos},""Select Col3 where Col1 = '""&amp;$AZ293&amp;""'and Col2 = '""&amp;Z$21&amp;""'""))))"),"")</f>
        <v/>
      </c>
      <c r="J293" s="384" t="str">
        <f>IFERROR(__xludf.DUMMYFUNCTION("IF(J$43="""","""",IF($AZ293="""","""",IFERROR(Query({CarteirasAtivos},""Select Col3 where Col1 = '""&amp;$AZ293&amp;""'and Col2 = '""&amp;AA$21&amp;""'""))))"),"")</f>
        <v/>
      </c>
      <c r="K293" s="384" t="str">
        <f>IFERROR(__xludf.DUMMYFUNCTION("IF(K$43="""","""",IF($AZ293="""","""",IFERROR(Query({CarteirasAtivos},""Select Col3 where Col1 = '""&amp;$AZ293&amp;""'and Col2 = '""&amp;AB$21&amp;""'""))))"),"")</f>
        <v/>
      </c>
      <c r="L293" s="385">
        <v>250.0</v>
      </c>
      <c r="M293" s="503"/>
      <c r="N293" s="387"/>
      <c r="O293" s="388" t="s">
        <v>123</v>
      </c>
      <c r="P293" s="389"/>
      <c r="Q293" s="390"/>
      <c r="R293" s="391"/>
      <c r="S293" s="392"/>
      <c r="T293" s="393"/>
      <c r="U293" s="393"/>
      <c r="V293" s="394"/>
      <c r="W293" s="395" t="str">
        <f>IFERROR(__xludf.DUMMYFUNCTION("IF(M293="""","""",sparkline(IFERROR(BF293*100/MAX($BF$44:$BF$153),0),{""charttype"",""bar"";""max"",100;""color1"",IF(BD293&gt;=0,""#4760a5"",""red"")}))"),"")</f>
        <v/>
      </c>
      <c r="X293" s="396"/>
      <c r="Y293" s="466"/>
      <c r="Z293" s="398"/>
      <c r="AA293" s="399"/>
      <c r="AB293" s="393"/>
      <c r="AC293" s="476"/>
      <c r="AD293" s="401"/>
      <c r="AE293" s="402"/>
      <c r="AF293" s="403"/>
      <c r="AG293" s="404" t="str">
        <f>IFERROR(__xludf.DUMMYFUNCTION("IF($M293="""","""",IFERROR(sparkline(query(GOOGLEFINANCE($AZ293,""price"",TODAY()-$AF$43,TODAY(),1),""select Col2 label Col2 ''""),IF($AG$43=""Gráfico de barras"",{""charttype"",""column"";""highcolor"",""red""},{""chartype"",""line""}))))"),"")</f>
        <v/>
      </c>
      <c r="AH293" s="405"/>
      <c r="AI293" s="467"/>
      <c r="AJ293" s="467"/>
      <c r="AK293" s="467"/>
      <c r="AL293" s="467"/>
      <c r="AM293" s="442"/>
      <c r="AN293" s="442"/>
      <c r="AU293" s="281"/>
      <c r="AV293" s="281"/>
      <c r="AW293" s="281"/>
      <c r="AX293" s="281"/>
      <c r="AY293" s="410">
        <v>250.0</v>
      </c>
      <c r="AZ293" s="411"/>
      <c r="BA293" s="411"/>
      <c r="BB293" s="437"/>
      <c r="BC293" s="437"/>
      <c r="BD293" s="437"/>
      <c r="BE293" s="437"/>
      <c r="BF293" s="415" t="s">
        <v>123</v>
      </c>
      <c r="BG293" s="410">
        <v>250.0</v>
      </c>
      <c r="BH293" s="416"/>
      <c r="BI293" s="416"/>
      <c r="BJ293" s="416"/>
      <c r="BK293" s="416"/>
      <c r="BL293" s="416"/>
      <c r="BM293" s="416"/>
      <c r="BN293" s="282"/>
      <c r="BO293" s="490"/>
      <c r="BP293" s="489"/>
      <c r="BQ293" s="489"/>
      <c r="BR293" s="489"/>
      <c r="BS293" s="489"/>
      <c r="BT293" s="489"/>
      <c r="BU293" s="489"/>
      <c r="BV293" s="489"/>
      <c r="BW293" s="63"/>
      <c r="BX293" s="62"/>
      <c r="BY293" s="452"/>
      <c r="BZ293" s="452"/>
      <c r="CA293" s="452"/>
      <c r="CB293" s="452"/>
      <c r="CC293" s="452"/>
      <c r="CD293" s="452"/>
      <c r="CE293" s="452"/>
      <c r="CF293" s="452"/>
      <c r="CG293" s="452"/>
      <c r="CH293" s="422"/>
      <c r="CI293" s="422"/>
      <c r="CJ293" s="422"/>
      <c r="CK293" s="421"/>
      <c r="CL293" s="421" t="s">
        <v>123</v>
      </c>
      <c r="CM293" s="423"/>
      <c r="CN293" s="421"/>
      <c r="CO293" s="423"/>
      <c r="CP293" s="421"/>
      <c r="CQ293" s="63"/>
      <c r="CR293" s="63"/>
      <c r="CS293" s="63"/>
      <c r="CT293" s="63"/>
      <c r="CU293" s="447"/>
      <c r="CV293" s="447"/>
      <c r="CW293" s="447"/>
      <c r="CX293" s="447"/>
      <c r="CY293" s="447"/>
      <c r="CZ293" s="447"/>
      <c r="DA293" s="447"/>
      <c r="DB293" s="447"/>
      <c r="DC293" s="447"/>
      <c r="DD293" s="447"/>
      <c r="DE293" s="447"/>
      <c r="DF293" s="447"/>
      <c r="DG293" s="447"/>
      <c r="DH293" s="447"/>
      <c r="DI293" s="447"/>
      <c r="DJ293" s="447"/>
      <c r="DK293" s="447"/>
      <c r="DL293" s="67"/>
      <c r="DM293" s="67"/>
      <c r="DN293" s="67"/>
      <c r="DO293" s="67"/>
      <c r="DP293" s="67"/>
      <c r="DQ293" s="67"/>
    </row>
    <row r="294" ht="22.5" customHeight="1">
      <c r="A294" s="383"/>
      <c r="B294" s="384" t="str">
        <f>IFERROR(__xludf.DUMMYFUNCTION("IF(B$43="""","""",IF($AZ294="""","""",IFERROR(Query({CarteirasAtivos},""Select Col3 where Col1 = '""&amp;$AZ294&amp;""'and Col2 = '""&amp;S$21&amp;""'""))))"),"")</f>
        <v/>
      </c>
      <c r="C294" s="384" t="str">
        <f>IFERROR(__xludf.DUMMYFUNCTION("IF(C$43="""","""",IF($AZ294="""","""",IFERROR(Query({CarteirasAtivos},""Select Col3 where Col1 = '""&amp;$AZ294&amp;""'and Col2 = '""&amp;T$21&amp;""'""))))"),"")</f>
        <v/>
      </c>
      <c r="D294" s="384" t="str">
        <f>IFERROR(__xludf.DUMMYFUNCTION("IF(D$43="""","""",IF($AZ294="""","""",IFERROR(Query({CarteirasAtivos},""Select Col3 where Col1 = '""&amp;$AZ294&amp;""'and Col2 = '""&amp;U$21&amp;""'""))))"),"")</f>
        <v/>
      </c>
      <c r="E294" s="384" t="str">
        <f>IFERROR(__xludf.DUMMYFUNCTION("IF(E$43="""","""",IF($AZ294="""","""",IFERROR(Query({CarteirasAtivos},""Select Col3 where Col1 = '""&amp;$AZ294&amp;""'and Col2 = '""&amp;V$21&amp;""'""))))"),"")</f>
        <v/>
      </c>
      <c r="F294" s="384" t="str">
        <f>IFERROR(__xludf.DUMMYFUNCTION("IF(F$43="""","""",IF($AZ294="""","""",IFERROR(Query({CarteirasAtivos},""Select Col3 where Col1 = '""&amp;$AZ294&amp;""'and Col2 = '""&amp;W$21&amp;""'""))))"),"")</f>
        <v/>
      </c>
      <c r="G294" s="384" t="str">
        <f>IFERROR(__xludf.DUMMYFUNCTION("IF(G$43="""","""",IF($AZ294="""","""",IFERROR(Query({CarteirasAtivos},""Select Col3 where Col1 = '""&amp;$AZ294&amp;""'and Col2 = '""&amp;X$21&amp;""'""))))"),"")</f>
        <v/>
      </c>
      <c r="H294" s="384" t="str">
        <f>IFERROR(__xludf.DUMMYFUNCTION("IF(H$43="""","""",IF($AZ294="""","""",IFERROR(Query({CarteirasAtivos},""Select Col3 where Col1 = '""&amp;$AZ294&amp;""'and Col2 = '""&amp;Y$21&amp;""'""))))"),"")</f>
        <v/>
      </c>
      <c r="I294" s="384" t="str">
        <f>IFERROR(__xludf.DUMMYFUNCTION("IF(I$43="""","""",IF($AZ294="""","""",IFERROR(Query({CarteirasAtivos},""Select Col3 where Col1 = '""&amp;$AZ294&amp;""'and Col2 = '""&amp;Z$21&amp;""'""))))"),"")</f>
        <v/>
      </c>
      <c r="J294" s="384" t="str">
        <f>IFERROR(__xludf.DUMMYFUNCTION("IF(J$43="""","""",IF($AZ294="""","""",IFERROR(Query({CarteirasAtivos},""Select Col3 where Col1 = '""&amp;$AZ294&amp;""'and Col2 = '""&amp;AA$21&amp;""'""))))"),"")</f>
        <v/>
      </c>
      <c r="K294" s="384" t="str">
        <f>IFERROR(__xludf.DUMMYFUNCTION("IF(K$43="""","""",IF($AZ294="""","""",IFERROR(Query({CarteirasAtivos},""Select Col3 where Col1 = '""&amp;$AZ294&amp;""'and Col2 = '""&amp;AB$21&amp;""'""))))"),"")</f>
        <v/>
      </c>
      <c r="L294" s="385">
        <v>251.0</v>
      </c>
      <c r="M294" s="503"/>
      <c r="N294" s="387"/>
      <c r="O294" s="388" t="s">
        <v>123</v>
      </c>
      <c r="P294" s="389"/>
      <c r="Q294" s="390"/>
      <c r="R294" s="391"/>
      <c r="S294" s="392"/>
      <c r="T294" s="393"/>
      <c r="U294" s="393"/>
      <c r="V294" s="394"/>
      <c r="W294" s="395" t="str">
        <f>IFERROR(__xludf.DUMMYFUNCTION("IF(M294="""","""",sparkline(IFERROR(BF294*100/MAX($BF$44:$BF$153),0),{""charttype"",""bar"";""max"",100;""color1"",IF(BD294&gt;=0,""#4760a5"",""red"")}))"),"")</f>
        <v/>
      </c>
      <c r="X294" s="396"/>
      <c r="Y294" s="466"/>
      <c r="Z294" s="398"/>
      <c r="AA294" s="399"/>
      <c r="AB294" s="393"/>
      <c r="AC294" s="476"/>
      <c r="AD294" s="401"/>
      <c r="AE294" s="402"/>
      <c r="AF294" s="403"/>
      <c r="AG294" s="404" t="str">
        <f>IFERROR(__xludf.DUMMYFUNCTION("IF($M294="""","""",IFERROR(sparkline(query(GOOGLEFINANCE($AZ294,""price"",TODAY()-$AF$43,TODAY(),1),""select Col2 label Col2 ''""),IF($AG$43=""Gráfico de barras"",{""charttype"",""column"";""highcolor"",""red""},{""chartype"",""line""}))))"),"")</f>
        <v/>
      </c>
      <c r="AH294" s="405"/>
      <c r="AI294" s="467"/>
      <c r="AJ294" s="467"/>
      <c r="AK294" s="467"/>
      <c r="AL294" s="467"/>
      <c r="AM294" s="442"/>
      <c r="AN294" s="442"/>
      <c r="AU294" s="281"/>
      <c r="AV294" s="281"/>
      <c r="AW294" s="281"/>
      <c r="AX294" s="281"/>
      <c r="AY294" s="410">
        <v>251.0</v>
      </c>
      <c r="AZ294" s="411"/>
      <c r="BA294" s="411"/>
      <c r="BB294" s="437"/>
      <c r="BC294" s="437"/>
      <c r="BD294" s="437"/>
      <c r="BE294" s="437"/>
      <c r="BF294" s="415" t="s">
        <v>123</v>
      </c>
      <c r="BG294" s="410">
        <v>251.0</v>
      </c>
      <c r="BH294" s="416"/>
      <c r="BI294" s="416"/>
      <c r="BJ294" s="416"/>
      <c r="BK294" s="416"/>
      <c r="BL294" s="416"/>
      <c r="BM294" s="416"/>
      <c r="BN294" s="282"/>
      <c r="BO294" s="490"/>
      <c r="BP294" s="489"/>
      <c r="BQ294" s="489"/>
      <c r="BR294" s="489"/>
      <c r="BS294" s="489"/>
      <c r="BT294" s="489"/>
      <c r="BU294" s="489"/>
      <c r="BV294" s="489"/>
      <c r="BW294" s="63"/>
      <c r="BX294" s="62"/>
      <c r="BY294" s="452"/>
      <c r="BZ294" s="452"/>
      <c r="CA294" s="452"/>
      <c r="CB294" s="452"/>
      <c r="CC294" s="452"/>
      <c r="CD294" s="452"/>
      <c r="CE294" s="452"/>
      <c r="CF294" s="452"/>
      <c r="CG294" s="452"/>
      <c r="CH294" s="422"/>
      <c r="CI294" s="422"/>
      <c r="CJ294" s="422"/>
      <c r="CK294" s="421"/>
      <c r="CL294" s="421" t="s">
        <v>123</v>
      </c>
      <c r="CM294" s="423"/>
      <c r="CN294" s="421"/>
      <c r="CO294" s="423"/>
      <c r="CP294" s="421"/>
      <c r="CQ294" s="63"/>
      <c r="CR294" s="63"/>
      <c r="CS294" s="63"/>
      <c r="CT294" s="63"/>
      <c r="CU294" s="447"/>
      <c r="CV294" s="447"/>
      <c r="CW294" s="447"/>
      <c r="CX294" s="447"/>
      <c r="CY294" s="447"/>
      <c r="CZ294" s="447"/>
      <c r="DA294" s="447"/>
      <c r="DB294" s="447"/>
      <c r="DC294" s="447"/>
      <c r="DD294" s="447"/>
      <c r="DE294" s="447"/>
      <c r="DF294" s="447"/>
      <c r="DG294" s="447"/>
      <c r="DH294" s="447"/>
      <c r="DI294" s="447"/>
      <c r="DJ294" s="447"/>
      <c r="DK294" s="447"/>
      <c r="DL294" s="67"/>
      <c r="DM294" s="67"/>
      <c r="DN294" s="67"/>
      <c r="DO294" s="67"/>
      <c r="DP294" s="67"/>
      <c r="DQ294" s="67"/>
    </row>
    <row r="295" ht="22.5" customHeight="1">
      <c r="A295" s="383"/>
      <c r="B295" s="384" t="str">
        <f>IFERROR(__xludf.DUMMYFUNCTION("IF(B$43="""","""",IF($AZ295="""","""",IFERROR(Query({CarteirasAtivos},""Select Col3 where Col1 = '""&amp;$AZ295&amp;""'and Col2 = '""&amp;S$21&amp;""'""))))"),"")</f>
        <v/>
      </c>
      <c r="C295" s="384" t="str">
        <f>IFERROR(__xludf.DUMMYFUNCTION("IF(C$43="""","""",IF($AZ295="""","""",IFERROR(Query({CarteirasAtivos},""Select Col3 where Col1 = '""&amp;$AZ295&amp;""'and Col2 = '""&amp;T$21&amp;""'""))))"),"")</f>
        <v/>
      </c>
      <c r="D295" s="384" t="str">
        <f>IFERROR(__xludf.DUMMYFUNCTION("IF(D$43="""","""",IF($AZ295="""","""",IFERROR(Query({CarteirasAtivos},""Select Col3 where Col1 = '""&amp;$AZ295&amp;""'and Col2 = '""&amp;U$21&amp;""'""))))"),"")</f>
        <v/>
      </c>
      <c r="E295" s="384" t="str">
        <f>IFERROR(__xludf.DUMMYFUNCTION("IF(E$43="""","""",IF($AZ295="""","""",IFERROR(Query({CarteirasAtivos},""Select Col3 where Col1 = '""&amp;$AZ295&amp;""'and Col2 = '""&amp;V$21&amp;""'""))))"),"")</f>
        <v/>
      </c>
      <c r="F295" s="384" t="str">
        <f>IFERROR(__xludf.DUMMYFUNCTION("IF(F$43="""","""",IF($AZ295="""","""",IFERROR(Query({CarteirasAtivos},""Select Col3 where Col1 = '""&amp;$AZ295&amp;""'and Col2 = '""&amp;W$21&amp;""'""))))"),"")</f>
        <v/>
      </c>
      <c r="G295" s="384" t="str">
        <f>IFERROR(__xludf.DUMMYFUNCTION("IF(G$43="""","""",IF($AZ295="""","""",IFERROR(Query({CarteirasAtivos},""Select Col3 where Col1 = '""&amp;$AZ295&amp;""'and Col2 = '""&amp;X$21&amp;""'""))))"),"")</f>
        <v/>
      </c>
      <c r="H295" s="384" t="str">
        <f>IFERROR(__xludf.DUMMYFUNCTION("IF(H$43="""","""",IF($AZ295="""","""",IFERROR(Query({CarteirasAtivos},""Select Col3 where Col1 = '""&amp;$AZ295&amp;""'and Col2 = '""&amp;Y$21&amp;""'""))))"),"")</f>
        <v/>
      </c>
      <c r="I295" s="384" t="str">
        <f>IFERROR(__xludf.DUMMYFUNCTION("IF(I$43="""","""",IF($AZ295="""","""",IFERROR(Query({CarteirasAtivos},""Select Col3 where Col1 = '""&amp;$AZ295&amp;""'and Col2 = '""&amp;Z$21&amp;""'""))))"),"")</f>
        <v/>
      </c>
      <c r="J295" s="384" t="str">
        <f>IFERROR(__xludf.DUMMYFUNCTION("IF(J$43="""","""",IF($AZ295="""","""",IFERROR(Query({CarteirasAtivos},""Select Col3 where Col1 = '""&amp;$AZ295&amp;""'and Col2 = '""&amp;AA$21&amp;""'""))))"),"")</f>
        <v/>
      </c>
      <c r="K295" s="384" t="str">
        <f>IFERROR(__xludf.DUMMYFUNCTION("IF(K$43="""","""",IF($AZ295="""","""",IFERROR(Query({CarteirasAtivos},""Select Col3 where Col1 = '""&amp;$AZ295&amp;""'and Col2 = '""&amp;AB$21&amp;""'""))))"),"")</f>
        <v/>
      </c>
      <c r="L295" s="385">
        <v>252.0</v>
      </c>
      <c r="M295" s="503"/>
      <c r="N295" s="387"/>
      <c r="O295" s="388" t="s">
        <v>123</v>
      </c>
      <c r="P295" s="389"/>
      <c r="Q295" s="390"/>
      <c r="R295" s="391"/>
      <c r="S295" s="392"/>
      <c r="T295" s="393"/>
      <c r="U295" s="393"/>
      <c r="V295" s="394"/>
      <c r="W295" s="395" t="str">
        <f>IFERROR(__xludf.DUMMYFUNCTION("IF(M295="""","""",sparkline(IFERROR(BF295*100/MAX($BF$44:$BF$153),0),{""charttype"",""bar"";""max"",100;""color1"",IF(BD295&gt;=0,""#4760a5"",""red"")}))"),"")</f>
        <v/>
      </c>
      <c r="X295" s="396"/>
      <c r="Y295" s="466"/>
      <c r="Z295" s="398"/>
      <c r="AA295" s="399"/>
      <c r="AB295" s="393"/>
      <c r="AC295" s="476"/>
      <c r="AD295" s="401"/>
      <c r="AE295" s="402"/>
      <c r="AF295" s="403"/>
      <c r="AG295" s="404" t="str">
        <f>IFERROR(__xludf.DUMMYFUNCTION("IF($M295="""","""",IFERROR(sparkline(query(GOOGLEFINANCE($AZ295,""price"",TODAY()-$AF$43,TODAY(),1),""select Col2 label Col2 ''""),IF($AG$43=""Gráfico de barras"",{""charttype"",""column"";""highcolor"",""red""},{""chartype"",""line""}))))"),"")</f>
        <v/>
      </c>
      <c r="AH295" s="405"/>
      <c r="AI295" s="467"/>
      <c r="AJ295" s="467"/>
      <c r="AK295" s="467"/>
      <c r="AL295" s="467"/>
      <c r="AM295" s="442"/>
      <c r="AN295" s="442"/>
      <c r="AU295" s="281"/>
      <c r="AV295" s="281"/>
      <c r="AW295" s="281"/>
      <c r="AX295" s="281"/>
      <c r="AY295" s="410">
        <v>252.0</v>
      </c>
      <c r="AZ295" s="411"/>
      <c r="BA295" s="411"/>
      <c r="BB295" s="437"/>
      <c r="BC295" s="437"/>
      <c r="BD295" s="437"/>
      <c r="BE295" s="437"/>
      <c r="BF295" s="415" t="s">
        <v>123</v>
      </c>
      <c r="BG295" s="410">
        <v>252.0</v>
      </c>
      <c r="BH295" s="416"/>
      <c r="BI295" s="416"/>
      <c r="BJ295" s="416"/>
      <c r="BK295" s="416"/>
      <c r="BL295" s="416"/>
      <c r="BM295" s="416"/>
      <c r="BN295" s="282"/>
      <c r="BO295" s="490"/>
      <c r="BP295" s="489"/>
      <c r="BQ295" s="489"/>
      <c r="BR295" s="489"/>
      <c r="BS295" s="489"/>
      <c r="BT295" s="489"/>
      <c r="BU295" s="489"/>
      <c r="BV295" s="489"/>
      <c r="BW295" s="63"/>
      <c r="BX295" s="62"/>
      <c r="BY295" s="452"/>
      <c r="BZ295" s="452"/>
      <c r="CA295" s="452"/>
      <c r="CB295" s="452"/>
      <c r="CC295" s="452"/>
      <c r="CD295" s="452"/>
      <c r="CE295" s="452"/>
      <c r="CF295" s="452"/>
      <c r="CG295" s="452"/>
      <c r="CH295" s="422"/>
      <c r="CI295" s="422"/>
      <c r="CJ295" s="422"/>
      <c r="CK295" s="421"/>
      <c r="CL295" s="421" t="s">
        <v>123</v>
      </c>
      <c r="CM295" s="423"/>
      <c r="CN295" s="421"/>
      <c r="CO295" s="423"/>
      <c r="CP295" s="421"/>
      <c r="CQ295" s="63"/>
      <c r="CR295" s="63"/>
      <c r="CS295" s="63"/>
      <c r="CT295" s="63"/>
      <c r="CU295" s="447"/>
      <c r="CV295" s="447"/>
      <c r="CW295" s="447"/>
      <c r="CX295" s="447"/>
      <c r="CY295" s="447"/>
      <c r="CZ295" s="447"/>
      <c r="DA295" s="447"/>
      <c r="DB295" s="447"/>
      <c r="DC295" s="447"/>
      <c r="DD295" s="447"/>
      <c r="DE295" s="447"/>
      <c r="DF295" s="447"/>
      <c r="DG295" s="447"/>
      <c r="DH295" s="447"/>
      <c r="DI295" s="447"/>
      <c r="DJ295" s="447"/>
      <c r="DK295" s="447"/>
      <c r="DL295" s="67"/>
      <c r="DM295" s="67"/>
      <c r="DN295" s="67"/>
      <c r="DO295" s="67"/>
      <c r="DP295" s="67"/>
      <c r="DQ295" s="67"/>
    </row>
    <row r="296" ht="22.5" customHeight="1">
      <c r="A296" s="383"/>
      <c r="B296" s="384" t="str">
        <f>IFERROR(__xludf.DUMMYFUNCTION("IF(B$43="""","""",IF($AZ296="""","""",IFERROR(Query({CarteirasAtivos},""Select Col3 where Col1 = '""&amp;$AZ296&amp;""'and Col2 = '""&amp;S$21&amp;""'""))))"),"")</f>
        <v/>
      </c>
      <c r="C296" s="384" t="str">
        <f>IFERROR(__xludf.DUMMYFUNCTION("IF(C$43="""","""",IF($AZ296="""","""",IFERROR(Query({CarteirasAtivos},""Select Col3 where Col1 = '""&amp;$AZ296&amp;""'and Col2 = '""&amp;T$21&amp;""'""))))"),"")</f>
        <v/>
      </c>
      <c r="D296" s="384" t="str">
        <f>IFERROR(__xludf.DUMMYFUNCTION("IF(D$43="""","""",IF($AZ296="""","""",IFERROR(Query({CarteirasAtivos},""Select Col3 where Col1 = '""&amp;$AZ296&amp;""'and Col2 = '""&amp;U$21&amp;""'""))))"),"")</f>
        <v/>
      </c>
      <c r="E296" s="384" t="str">
        <f>IFERROR(__xludf.DUMMYFUNCTION("IF(E$43="""","""",IF($AZ296="""","""",IFERROR(Query({CarteirasAtivos},""Select Col3 where Col1 = '""&amp;$AZ296&amp;""'and Col2 = '""&amp;V$21&amp;""'""))))"),"")</f>
        <v/>
      </c>
      <c r="F296" s="384" t="str">
        <f>IFERROR(__xludf.DUMMYFUNCTION("IF(F$43="""","""",IF($AZ296="""","""",IFERROR(Query({CarteirasAtivos},""Select Col3 where Col1 = '""&amp;$AZ296&amp;""'and Col2 = '""&amp;W$21&amp;""'""))))"),"")</f>
        <v/>
      </c>
      <c r="G296" s="384" t="str">
        <f>IFERROR(__xludf.DUMMYFUNCTION("IF(G$43="""","""",IF($AZ296="""","""",IFERROR(Query({CarteirasAtivos},""Select Col3 where Col1 = '""&amp;$AZ296&amp;""'and Col2 = '""&amp;X$21&amp;""'""))))"),"")</f>
        <v/>
      </c>
      <c r="H296" s="384" t="str">
        <f>IFERROR(__xludf.DUMMYFUNCTION("IF(H$43="""","""",IF($AZ296="""","""",IFERROR(Query({CarteirasAtivos},""Select Col3 where Col1 = '""&amp;$AZ296&amp;""'and Col2 = '""&amp;Y$21&amp;""'""))))"),"")</f>
        <v/>
      </c>
      <c r="I296" s="384" t="str">
        <f>IFERROR(__xludf.DUMMYFUNCTION("IF(I$43="""","""",IF($AZ296="""","""",IFERROR(Query({CarteirasAtivos},""Select Col3 where Col1 = '""&amp;$AZ296&amp;""'and Col2 = '""&amp;Z$21&amp;""'""))))"),"")</f>
        <v/>
      </c>
      <c r="J296" s="384" t="str">
        <f>IFERROR(__xludf.DUMMYFUNCTION("IF(J$43="""","""",IF($AZ296="""","""",IFERROR(Query({CarteirasAtivos},""Select Col3 where Col1 = '""&amp;$AZ296&amp;""'and Col2 = '""&amp;AA$21&amp;""'""))))"),"")</f>
        <v/>
      </c>
      <c r="K296" s="384" t="str">
        <f>IFERROR(__xludf.DUMMYFUNCTION("IF(K$43="""","""",IF($AZ296="""","""",IFERROR(Query({CarteirasAtivos},""Select Col3 where Col1 = '""&amp;$AZ296&amp;""'and Col2 = '""&amp;AB$21&amp;""'""))))"),"")</f>
        <v/>
      </c>
      <c r="L296" s="385">
        <v>253.0</v>
      </c>
      <c r="M296" s="503"/>
      <c r="N296" s="387"/>
      <c r="O296" s="388" t="s">
        <v>123</v>
      </c>
      <c r="P296" s="389"/>
      <c r="Q296" s="390"/>
      <c r="R296" s="391"/>
      <c r="S296" s="392"/>
      <c r="T296" s="393"/>
      <c r="U296" s="393"/>
      <c r="V296" s="394"/>
      <c r="W296" s="395" t="str">
        <f>IFERROR(__xludf.DUMMYFUNCTION("IF(M296="""","""",sparkline(IFERROR(BF296*100/MAX($BF$44:$BF$153),0),{""charttype"",""bar"";""max"",100;""color1"",IF(BD296&gt;=0,""#4760a5"",""red"")}))"),"")</f>
        <v/>
      </c>
      <c r="X296" s="396"/>
      <c r="Y296" s="466"/>
      <c r="Z296" s="398"/>
      <c r="AA296" s="399"/>
      <c r="AB296" s="393"/>
      <c r="AC296" s="476"/>
      <c r="AD296" s="401"/>
      <c r="AE296" s="402"/>
      <c r="AF296" s="403"/>
      <c r="AG296" s="404" t="str">
        <f>IFERROR(__xludf.DUMMYFUNCTION("IF($M296="""","""",IFERROR(sparkline(query(GOOGLEFINANCE($AZ296,""price"",TODAY()-$AF$43,TODAY(),1),""select Col2 label Col2 ''""),IF($AG$43=""Gráfico de barras"",{""charttype"",""column"";""highcolor"",""red""},{""chartype"",""line""}))))"),"")</f>
        <v/>
      </c>
      <c r="AH296" s="405"/>
      <c r="AI296" s="467"/>
      <c r="AJ296" s="467"/>
      <c r="AK296" s="467"/>
      <c r="AL296" s="467"/>
      <c r="AM296" s="442"/>
      <c r="AN296" s="442"/>
      <c r="AU296" s="281"/>
      <c r="AV296" s="281"/>
      <c r="AW296" s="281"/>
      <c r="AX296" s="281"/>
      <c r="AY296" s="410">
        <v>253.0</v>
      </c>
      <c r="AZ296" s="411"/>
      <c r="BA296" s="411"/>
      <c r="BB296" s="437"/>
      <c r="BC296" s="437"/>
      <c r="BD296" s="437"/>
      <c r="BE296" s="437"/>
      <c r="BF296" s="415" t="s">
        <v>123</v>
      </c>
      <c r="BG296" s="410">
        <v>253.0</v>
      </c>
      <c r="BH296" s="416"/>
      <c r="BI296" s="416"/>
      <c r="BJ296" s="416"/>
      <c r="BK296" s="416"/>
      <c r="BL296" s="416"/>
      <c r="BM296" s="416"/>
      <c r="BN296" s="282"/>
      <c r="BO296" s="490"/>
      <c r="BP296" s="489"/>
      <c r="BQ296" s="489"/>
      <c r="BR296" s="489"/>
      <c r="BS296" s="489"/>
      <c r="BT296" s="489"/>
      <c r="BU296" s="489"/>
      <c r="BV296" s="489"/>
      <c r="BW296" s="63"/>
      <c r="BX296" s="62"/>
      <c r="BY296" s="452"/>
      <c r="BZ296" s="452"/>
      <c r="CA296" s="452"/>
      <c r="CB296" s="452"/>
      <c r="CC296" s="452"/>
      <c r="CD296" s="452"/>
      <c r="CE296" s="452"/>
      <c r="CF296" s="452"/>
      <c r="CG296" s="452"/>
      <c r="CH296" s="422"/>
      <c r="CI296" s="422"/>
      <c r="CJ296" s="422"/>
      <c r="CK296" s="421"/>
      <c r="CL296" s="421" t="s">
        <v>123</v>
      </c>
      <c r="CM296" s="423"/>
      <c r="CN296" s="421"/>
      <c r="CO296" s="423"/>
      <c r="CP296" s="421"/>
      <c r="CQ296" s="63"/>
      <c r="CR296" s="63"/>
      <c r="CS296" s="63"/>
      <c r="CT296" s="63"/>
      <c r="CU296" s="447"/>
      <c r="CV296" s="447"/>
      <c r="CW296" s="447"/>
      <c r="CX296" s="447"/>
      <c r="CY296" s="447"/>
      <c r="CZ296" s="447"/>
      <c r="DA296" s="447"/>
      <c r="DB296" s="447"/>
      <c r="DC296" s="447"/>
      <c r="DD296" s="447"/>
      <c r="DE296" s="447"/>
      <c r="DF296" s="447"/>
      <c r="DG296" s="447"/>
      <c r="DH296" s="447"/>
      <c r="DI296" s="447"/>
      <c r="DJ296" s="447"/>
      <c r="DK296" s="447"/>
      <c r="DL296" s="67"/>
      <c r="DM296" s="67"/>
      <c r="DN296" s="67"/>
      <c r="DO296" s="67"/>
      <c r="DP296" s="67"/>
      <c r="DQ296" s="67"/>
    </row>
    <row r="297" ht="22.5" customHeight="1">
      <c r="A297" s="383"/>
      <c r="B297" s="384" t="str">
        <f>IFERROR(__xludf.DUMMYFUNCTION("IF(B$43="""","""",IF($AZ297="""","""",IFERROR(Query({CarteirasAtivos},""Select Col3 where Col1 = '""&amp;$AZ297&amp;""'and Col2 = '""&amp;S$21&amp;""'""))))"),"")</f>
        <v/>
      </c>
      <c r="C297" s="384" t="str">
        <f>IFERROR(__xludf.DUMMYFUNCTION("IF(C$43="""","""",IF($AZ297="""","""",IFERROR(Query({CarteirasAtivos},""Select Col3 where Col1 = '""&amp;$AZ297&amp;""'and Col2 = '""&amp;T$21&amp;""'""))))"),"")</f>
        <v/>
      </c>
      <c r="D297" s="384" t="str">
        <f>IFERROR(__xludf.DUMMYFUNCTION("IF(D$43="""","""",IF($AZ297="""","""",IFERROR(Query({CarteirasAtivos},""Select Col3 where Col1 = '""&amp;$AZ297&amp;""'and Col2 = '""&amp;U$21&amp;""'""))))"),"")</f>
        <v/>
      </c>
      <c r="E297" s="384" t="str">
        <f>IFERROR(__xludf.DUMMYFUNCTION("IF(E$43="""","""",IF($AZ297="""","""",IFERROR(Query({CarteirasAtivos},""Select Col3 where Col1 = '""&amp;$AZ297&amp;""'and Col2 = '""&amp;V$21&amp;""'""))))"),"")</f>
        <v/>
      </c>
      <c r="F297" s="384" t="str">
        <f>IFERROR(__xludf.DUMMYFUNCTION("IF(F$43="""","""",IF($AZ297="""","""",IFERROR(Query({CarteirasAtivos},""Select Col3 where Col1 = '""&amp;$AZ297&amp;""'and Col2 = '""&amp;W$21&amp;""'""))))"),"")</f>
        <v/>
      </c>
      <c r="G297" s="384" t="str">
        <f>IFERROR(__xludf.DUMMYFUNCTION("IF(G$43="""","""",IF($AZ297="""","""",IFERROR(Query({CarteirasAtivos},""Select Col3 where Col1 = '""&amp;$AZ297&amp;""'and Col2 = '""&amp;X$21&amp;""'""))))"),"")</f>
        <v/>
      </c>
      <c r="H297" s="384" t="str">
        <f>IFERROR(__xludf.DUMMYFUNCTION("IF(H$43="""","""",IF($AZ297="""","""",IFERROR(Query({CarteirasAtivos},""Select Col3 where Col1 = '""&amp;$AZ297&amp;""'and Col2 = '""&amp;Y$21&amp;""'""))))"),"")</f>
        <v/>
      </c>
      <c r="I297" s="384" t="str">
        <f>IFERROR(__xludf.DUMMYFUNCTION("IF(I$43="""","""",IF($AZ297="""","""",IFERROR(Query({CarteirasAtivos},""Select Col3 where Col1 = '""&amp;$AZ297&amp;""'and Col2 = '""&amp;Z$21&amp;""'""))))"),"")</f>
        <v/>
      </c>
      <c r="J297" s="384" t="str">
        <f>IFERROR(__xludf.DUMMYFUNCTION("IF(J$43="""","""",IF($AZ297="""","""",IFERROR(Query({CarteirasAtivos},""Select Col3 where Col1 = '""&amp;$AZ297&amp;""'and Col2 = '""&amp;AA$21&amp;""'""))))"),"")</f>
        <v/>
      </c>
      <c r="K297" s="384" t="str">
        <f>IFERROR(__xludf.DUMMYFUNCTION("IF(K$43="""","""",IF($AZ297="""","""",IFERROR(Query({CarteirasAtivos},""Select Col3 where Col1 = '""&amp;$AZ297&amp;""'and Col2 = '""&amp;AB$21&amp;""'""))))"),"")</f>
        <v/>
      </c>
      <c r="L297" s="385">
        <v>254.0</v>
      </c>
      <c r="M297" s="503"/>
      <c r="N297" s="387"/>
      <c r="O297" s="388" t="s">
        <v>123</v>
      </c>
      <c r="P297" s="389"/>
      <c r="Q297" s="390"/>
      <c r="R297" s="391"/>
      <c r="S297" s="392"/>
      <c r="T297" s="393"/>
      <c r="U297" s="393"/>
      <c r="V297" s="394"/>
      <c r="W297" s="395" t="str">
        <f>IFERROR(__xludf.DUMMYFUNCTION("IF(M297="""","""",sparkline(IFERROR(BF297*100/MAX($BF$44:$BF$153),0),{""charttype"",""bar"";""max"",100;""color1"",IF(BD297&gt;=0,""#4760a5"",""red"")}))"),"")</f>
        <v/>
      </c>
      <c r="X297" s="396"/>
      <c r="Y297" s="466"/>
      <c r="Z297" s="398"/>
      <c r="AA297" s="399"/>
      <c r="AB297" s="393"/>
      <c r="AC297" s="476"/>
      <c r="AD297" s="401"/>
      <c r="AE297" s="402"/>
      <c r="AF297" s="403"/>
      <c r="AG297" s="404" t="str">
        <f>IFERROR(__xludf.DUMMYFUNCTION("IF($M297="""","""",IFERROR(sparkline(query(GOOGLEFINANCE($AZ297,""price"",TODAY()-$AF$43,TODAY(),1),""select Col2 label Col2 ''""),IF($AG$43=""Gráfico de barras"",{""charttype"",""column"";""highcolor"",""red""},{""chartype"",""line""}))))"),"")</f>
        <v/>
      </c>
      <c r="AH297" s="405"/>
      <c r="AI297" s="467"/>
      <c r="AJ297" s="467"/>
      <c r="AK297" s="467"/>
      <c r="AL297" s="467"/>
      <c r="AM297" s="442"/>
      <c r="AN297" s="442"/>
      <c r="AU297" s="281"/>
      <c r="AV297" s="281"/>
      <c r="AW297" s="281"/>
      <c r="AX297" s="281"/>
      <c r="AY297" s="410">
        <v>254.0</v>
      </c>
      <c r="AZ297" s="411"/>
      <c r="BA297" s="411"/>
      <c r="BB297" s="437"/>
      <c r="BC297" s="437"/>
      <c r="BD297" s="437"/>
      <c r="BE297" s="437"/>
      <c r="BF297" s="415" t="s">
        <v>123</v>
      </c>
      <c r="BG297" s="410">
        <v>254.0</v>
      </c>
      <c r="BH297" s="416"/>
      <c r="BI297" s="416"/>
      <c r="BJ297" s="416"/>
      <c r="BK297" s="416"/>
      <c r="BL297" s="416"/>
      <c r="BM297" s="416"/>
      <c r="BN297" s="282"/>
      <c r="BO297" s="490"/>
      <c r="BP297" s="489"/>
      <c r="BQ297" s="489"/>
      <c r="BR297" s="489"/>
      <c r="BS297" s="489"/>
      <c r="BT297" s="489"/>
      <c r="BU297" s="489"/>
      <c r="BV297" s="489"/>
      <c r="BW297" s="63"/>
      <c r="BX297" s="62"/>
      <c r="BY297" s="452"/>
      <c r="BZ297" s="452"/>
      <c r="CA297" s="452"/>
      <c r="CB297" s="452"/>
      <c r="CC297" s="452"/>
      <c r="CD297" s="452"/>
      <c r="CE297" s="452"/>
      <c r="CF297" s="452"/>
      <c r="CG297" s="452"/>
      <c r="CH297" s="422"/>
      <c r="CI297" s="422"/>
      <c r="CJ297" s="422"/>
      <c r="CK297" s="421"/>
      <c r="CL297" s="421" t="s">
        <v>123</v>
      </c>
      <c r="CM297" s="423"/>
      <c r="CN297" s="421"/>
      <c r="CO297" s="423"/>
      <c r="CP297" s="421"/>
      <c r="CQ297" s="63"/>
      <c r="CR297" s="63"/>
      <c r="CS297" s="63"/>
      <c r="CT297" s="63"/>
      <c r="CU297" s="447"/>
      <c r="CV297" s="447"/>
      <c r="CW297" s="447"/>
      <c r="CX297" s="447"/>
      <c r="CY297" s="447"/>
      <c r="CZ297" s="447"/>
      <c r="DA297" s="447"/>
      <c r="DB297" s="447"/>
      <c r="DC297" s="447"/>
      <c r="DD297" s="447"/>
      <c r="DE297" s="447"/>
      <c r="DF297" s="447"/>
      <c r="DG297" s="447"/>
      <c r="DH297" s="447"/>
      <c r="DI297" s="447"/>
      <c r="DJ297" s="447"/>
      <c r="DK297" s="447"/>
      <c r="DL297" s="67"/>
      <c r="DM297" s="67"/>
      <c r="DN297" s="67"/>
      <c r="DO297" s="67"/>
      <c r="DP297" s="67"/>
      <c r="DQ297" s="67"/>
    </row>
    <row r="298" ht="22.5" customHeight="1">
      <c r="A298" s="383"/>
      <c r="B298" s="384" t="str">
        <f>IFERROR(__xludf.DUMMYFUNCTION("IF(B$43="""","""",IF($AZ298="""","""",IFERROR(Query({CarteirasAtivos},""Select Col3 where Col1 = '""&amp;$AZ298&amp;""'and Col2 = '""&amp;S$21&amp;""'""))))"),"")</f>
        <v/>
      </c>
      <c r="C298" s="384" t="str">
        <f>IFERROR(__xludf.DUMMYFUNCTION("IF(C$43="""","""",IF($AZ298="""","""",IFERROR(Query({CarteirasAtivos},""Select Col3 where Col1 = '""&amp;$AZ298&amp;""'and Col2 = '""&amp;T$21&amp;""'""))))"),"")</f>
        <v/>
      </c>
      <c r="D298" s="384" t="str">
        <f>IFERROR(__xludf.DUMMYFUNCTION("IF(D$43="""","""",IF($AZ298="""","""",IFERROR(Query({CarteirasAtivos},""Select Col3 where Col1 = '""&amp;$AZ298&amp;""'and Col2 = '""&amp;U$21&amp;""'""))))"),"")</f>
        <v/>
      </c>
      <c r="E298" s="384" t="str">
        <f>IFERROR(__xludf.DUMMYFUNCTION("IF(E$43="""","""",IF($AZ298="""","""",IFERROR(Query({CarteirasAtivos},""Select Col3 where Col1 = '""&amp;$AZ298&amp;""'and Col2 = '""&amp;V$21&amp;""'""))))"),"")</f>
        <v/>
      </c>
      <c r="F298" s="384" t="str">
        <f>IFERROR(__xludf.DUMMYFUNCTION("IF(F$43="""","""",IF($AZ298="""","""",IFERROR(Query({CarteirasAtivos},""Select Col3 where Col1 = '""&amp;$AZ298&amp;""'and Col2 = '""&amp;W$21&amp;""'""))))"),"")</f>
        <v/>
      </c>
      <c r="G298" s="384" t="str">
        <f>IFERROR(__xludf.DUMMYFUNCTION("IF(G$43="""","""",IF($AZ298="""","""",IFERROR(Query({CarteirasAtivos},""Select Col3 where Col1 = '""&amp;$AZ298&amp;""'and Col2 = '""&amp;X$21&amp;""'""))))"),"")</f>
        <v/>
      </c>
      <c r="H298" s="384" t="str">
        <f>IFERROR(__xludf.DUMMYFUNCTION("IF(H$43="""","""",IF($AZ298="""","""",IFERROR(Query({CarteirasAtivos},""Select Col3 where Col1 = '""&amp;$AZ298&amp;""'and Col2 = '""&amp;Y$21&amp;""'""))))"),"")</f>
        <v/>
      </c>
      <c r="I298" s="384" t="str">
        <f>IFERROR(__xludf.DUMMYFUNCTION("IF(I$43="""","""",IF($AZ298="""","""",IFERROR(Query({CarteirasAtivos},""Select Col3 where Col1 = '""&amp;$AZ298&amp;""'and Col2 = '""&amp;Z$21&amp;""'""))))"),"")</f>
        <v/>
      </c>
      <c r="J298" s="384" t="str">
        <f>IFERROR(__xludf.DUMMYFUNCTION("IF(J$43="""","""",IF($AZ298="""","""",IFERROR(Query({CarteirasAtivos},""Select Col3 where Col1 = '""&amp;$AZ298&amp;""'and Col2 = '""&amp;AA$21&amp;""'""))))"),"")</f>
        <v/>
      </c>
      <c r="K298" s="384" t="str">
        <f>IFERROR(__xludf.DUMMYFUNCTION("IF(K$43="""","""",IF($AZ298="""","""",IFERROR(Query({CarteirasAtivos},""Select Col3 where Col1 = '""&amp;$AZ298&amp;""'and Col2 = '""&amp;AB$21&amp;""'""))))"),"")</f>
        <v/>
      </c>
      <c r="L298" s="385">
        <v>255.0</v>
      </c>
      <c r="M298" s="503"/>
      <c r="N298" s="387"/>
      <c r="O298" s="388" t="s">
        <v>123</v>
      </c>
      <c r="P298" s="389"/>
      <c r="Q298" s="390"/>
      <c r="R298" s="391"/>
      <c r="S298" s="392"/>
      <c r="T298" s="393"/>
      <c r="U298" s="393"/>
      <c r="V298" s="394"/>
      <c r="W298" s="395" t="str">
        <f>IFERROR(__xludf.DUMMYFUNCTION("IF(M298="""","""",sparkline(IFERROR(BF298*100/MAX($BF$44:$BF$153),0),{""charttype"",""bar"";""max"",100;""color1"",IF(BD298&gt;=0,""#4760a5"",""red"")}))"),"")</f>
        <v/>
      </c>
      <c r="X298" s="396"/>
      <c r="Y298" s="466"/>
      <c r="Z298" s="398"/>
      <c r="AA298" s="399"/>
      <c r="AB298" s="393"/>
      <c r="AC298" s="476"/>
      <c r="AD298" s="401"/>
      <c r="AE298" s="402"/>
      <c r="AF298" s="403"/>
      <c r="AG298" s="404" t="str">
        <f>IFERROR(__xludf.DUMMYFUNCTION("IF($M298="""","""",IFERROR(sparkline(query(GOOGLEFINANCE($AZ298,""price"",TODAY()-$AF$43,TODAY(),1),""select Col2 label Col2 ''""),IF($AG$43=""Gráfico de barras"",{""charttype"",""column"";""highcolor"",""red""},{""chartype"",""line""}))))"),"")</f>
        <v/>
      </c>
      <c r="AH298" s="405"/>
      <c r="AI298" s="467"/>
      <c r="AJ298" s="467"/>
      <c r="AK298" s="467"/>
      <c r="AL298" s="467"/>
      <c r="AM298" s="442"/>
      <c r="AN298" s="442"/>
      <c r="AU298" s="281"/>
      <c r="AV298" s="281"/>
      <c r="AW298" s="281"/>
      <c r="AX298" s="281"/>
      <c r="AY298" s="410">
        <v>255.0</v>
      </c>
      <c r="AZ298" s="411"/>
      <c r="BA298" s="411"/>
      <c r="BB298" s="437"/>
      <c r="BC298" s="437"/>
      <c r="BD298" s="437"/>
      <c r="BE298" s="437"/>
      <c r="BF298" s="415" t="s">
        <v>123</v>
      </c>
      <c r="BG298" s="410">
        <v>255.0</v>
      </c>
      <c r="BH298" s="416"/>
      <c r="BI298" s="416"/>
      <c r="BJ298" s="416"/>
      <c r="BK298" s="416"/>
      <c r="BL298" s="416"/>
      <c r="BM298" s="416"/>
      <c r="BN298" s="282"/>
      <c r="BO298" s="490"/>
      <c r="BP298" s="489"/>
      <c r="BQ298" s="489"/>
      <c r="BR298" s="489"/>
      <c r="BS298" s="489"/>
      <c r="BT298" s="489"/>
      <c r="BU298" s="489"/>
      <c r="BV298" s="489"/>
      <c r="BW298" s="63"/>
      <c r="BX298" s="62"/>
      <c r="BY298" s="452"/>
      <c r="BZ298" s="452"/>
      <c r="CA298" s="452"/>
      <c r="CB298" s="452"/>
      <c r="CC298" s="452"/>
      <c r="CD298" s="452"/>
      <c r="CE298" s="452"/>
      <c r="CF298" s="452"/>
      <c r="CG298" s="452"/>
      <c r="CH298" s="422"/>
      <c r="CI298" s="422"/>
      <c r="CJ298" s="422"/>
      <c r="CK298" s="421"/>
      <c r="CL298" s="421" t="s">
        <v>123</v>
      </c>
      <c r="CM298" s="423"/>
      <c r="CN298" s="421"/>
      <c r="CO298" s="423"/>
      <c r="CP298" s="421"/>
      <c r="CQ298" s="63"/>
      <c r="CR298" s="63"/>
      <c r="CS298" s="63"/>
      <c r="CT298" s="63"/>
      <c r="CU298" s="447"/>
      <c r="CV298" s="447"/>
      <c r="CW298" s="447"/>
      <c r="CX298" s="447"/>
      <c r="CY298" s="447"/>
      <c r="CZ298" s="447"/>
      <c r="DA298" s="447"/>
      <c r="DB298" s="447"/>
      <c r="DC298" s="447"/>
      <c r="DD298" s="447"/>
      <c r="DE298" s="447"/>
      <c r="DF298" s="447"/>
      <c r="DG298" s="447"/>
      <c r="DH298" s="447"/>
      <c r="DI298" s="447"/>
      <c r="DJ298" s="447"/>
      <c r="DK298" s="447"/>
      <c r="DL298" s="67"/>
      <c r="DM298" s="67"/>
      <c r="DN298" s="67"/>
      <c r="DO298" s="67"/>
      <c r="DP298" s="67"/>
      <c r="DQ298" s="67"/>
    </row>
    <row r="299" ht="22.5" customHeight="1">
      <c r="A299" s="383"/>
      <c r="B299" s="384" t="str">
        <f>IFERROR(__xludf.DUMMYFUNCTION("IF(B$43="""","""",IF($AZ299="""","""",IFERROR(Query({CarteirasAtivos},""Select Col3 where Col1 = '""&amp;$AZ299&amp;""'and Col2 = '""&amp;S$21&amp;""'""))))"),"")</f>
        <v/>
      </c>
      <c r="C299" s="384" t="str">
        <f>IFERROR(__xludf.DUMMYFUNCTION("IF(C$43="""","""",IF($AZ299="""","""",IFERROR(Query({CarteirasAtivos},""Select Col3 where Col1 = '""&amp;$AZ299&amp;""'and Col2 = '""&amp;T$21&amp;""'""))))"),"")</f>
        <v/>
      </c>
      <c r="D299" s="384" t="str">
        <f>IFERROR(__xludf.DUMMYFUNCTION("IF(D$43="""","""",IF($AZ299="""","""",IFERROR(Query({CarteirasAtivos},""Select Col3 where Col1 = '""&amp;$AZ299&amp;""'and Col2 = '""&amp;U$21&amp;""'""))))"),"")</f>
        <v/>
      </c>
      <c r="E299" s="384" t="str">
        <f>IFERROR(__xludf.DUMMYFUNCTION("IF(E$43="""","""",IF($AZ299="""","""",IFERROR(Query({CarteirasAtivos},""Select Col3 where Col1 = '""&amp;$AZ299&amp;""'and Col2 = '""&amp;V$21&amp;""'""))))"),"")</f>
        <v/>
      </c>
      <c r="F299" s="384" t="str">
        <f>IFERROR(__xludf.DUMMYFUNCTION("IF(F$43="""","""",IF($AZ299="""","""",IFERROR(Query({CarteirasAtivos},""Select Col3 where Col1 = '""&amp;$AZ299&amp;""'and Col2 = '""&amp;W$21&amp;""'""))))"),"")</f>
        <v/>
      </c>
      <c r="G299" s="384" t="str">
        <f>IFERROR(__xludf.DUMMYFUNCTION("IF(G$43="""","""",IF($AZ299="""","""",IFERROR(Query({CarteirasAtivos},""Select Col3 where Col1 = '""&amp;$AZ299&amp;""'and Col2 = '""&amp;X$21&amp;""'""))))"),"")</f>
        <v/>
      </c>
      <c r="H299" s="384" t="str">
        <f>IFERROR(__xludf.DUMMYFUNCTION("IF(H$43="""","""",IF($AZ299="""","""",IFERROR(Query({CarteirasAtivos},""Select Col3 where Col1 = '""&amp;$AZ299&amp;""'and Col2 = '""&amp;Y$21&amp;""'""))))"),"")</f>
        <v/>
      </c>
      <c r="I299" s="384" t="str">
        <f>IFERROR(__xludf.DUMMYFUNCTION("IF(I$43="""","""",IF($AZ299="""","""",IFERROR(Query({CarteirasAtivos},""Select Col3 where Col1 = '""&amp;$AZ299&amp;""'and Col2 = '""&amp;Z$21&amp;""'""))))"),"")</f>
        <v/>
      </c>
      <c r="J299" s="384" t="str">
        <f>IFERROR(__xludf.DUMMYFUNCTION("IF(J$43="""","""",IF($AZ299="""","""",IFERROR(Query({CarteirasAtivos},""Select Col3 where Col1 = '""&amp;$AZ299&amp;""'and Col2 = '""&amp;AA$21&amp;""'""))))"),"")</f>
        <v/>
      </c>
      <c r="K299" s="384" t="str">
        <f>IFERROR(__xludf.DUMMYFUNCTION("IF(K$43="""","""",IF($AZ299="""","""",IFERROR(Query({CarteirasAtivos},""Select Col3 where Col1 = '""&amp;$AZ299&amp;""'and Col2 = '""&amp;AB$21&amp;""'""))))"),"")</f>
        <v/>
      </c>
      <c r="L299" s="385">
        <v>256.0</v>
      </c>
      <c r="M299" s="503"/>
      <c r="N299" s="387"/>
      <c r="O299" s="388" t="s">
        <v>123</v>
      </c>
      <c r="P299" s="389"/>
      <c r="Q299" s="390"/>
      <c r="R299" s="391"/>
      <c r="S299" s="392"/>
      <c r="T299" s="393"/>
      <c r="U299" s="393"/>
      <c r="V299" s="394"/>
      <c r="W299" s="395" t="str">
        <f>IFERROR(__xludf.DUMMYFUNCTION("IF(M299="""","""",sparkline(IFERROR(BF299*100/MAX($BF$44:$BF$153),0),{""charttype"",""bar"";""max"",100;""color1"",IF(BD299&gt;=0,""#4760a5"",""red"")}))"),"")</f>
        <v/>
      </c>
      <c r="X299" s="396"/>
      <c r="Y299" s="466"/>
      <c r="Z299" s="398"/>
      <c r="AA299" s="399"/>
      <c r="AB299" s="393"/>
      <c r="AC299" s="476"/>
      <c r="AD299" s="401"/>
      <c r="AE299" s="402"/>
      <c r="AF299" s="403"/>
      <c r="AG299" s="404" t="str">
        <f>IFERROR(__xludf.DUMMYFUNCTION("IF($M299="""","""",IFERROR(sparkline(query(GOOGLEFINANCE($AZ299,""price"",TODAY()-$AF$43,TODAY(),1),""select Col2 label Col2 ''""),IF($AG$43=""Gráfico de barras"",{""charttype"",""column"";""highcolor"",""red""},{""chartype"",""line""}))))"),"")</f>
        <v/>
      </c>
      <c r="AH299" s="405"/>
      <c r="AI299" s="467"/>
      <c r="AJ299" s="467"/>
      <c r="AK299" s="467"/>
      <c r="AL299" s="467"/>
      <c r="AM299" s="442"/>
      <c r="AN299" s="442"/>
      <c r="AU299" s="281"/>
      <c r="AV299" s="281"/>
      <c r="AW299" s="281"/>
      <c r="AX299" s="281"/>
      <c r="AY299" s="410">
        <v>256.0</v>
      </c>
      <c r="AZ299" s="411"/>
      <c r="BA299" s="411"/>
      <c r="BB299" s="437"/>
      <c r="BC299" s="437"/>
      <c r="BD299" s="437"/>
      <c r="BE299" s="437"/>
      <c r="BF299" s="415" t="s">
        <v>123</v>
      </c>
      <c r="BG299" s="410">
        <v>256.0</v>
      </c>
      <c r="BH299" s="416"/>
      <c r="BI299" s="416"/>
      <c r="BJ299" s="416"/>
      <c r="BK299" s="416"/>
      <c r="BL299" s="416"/>
      <c r="BM299" s="416"/>
      <c r="BN299" s="282"/>
      <c r="BO299" s="490"/>
      <c r="BP299" s="489"/>
      <c r="BQ299" s="489"/>
      <c r="BR299" s="489"/>
      <c r="BS299" s="489"/>
      <c r="BT299" s="489"/>
      <c r="BU299" s="489"/>
      <c r="BV299" s="489"/>
      <c r="BW299" s="63"/>
      <c r="BX299" s="62"/>
      <c r="BY299" s="452"/>
      <c r="BZ299" s="452"/>
      <c r="CA299" s="452"/>
      <c r="CB299" s="452"/>
      <c r="CC299" s="452"/>
      <c r="CD299" s="452"/>
      <c r="CE299" s="452"/>
      <c r="CF299" s="452"/>
      <c r="CG299" s="452"/>
      <c r="CH299" s="422"/>
      <c r="CI299" s="422"/>
      <c r="CJ299" s="422"/>
      <c r="CK299" s="421"/>
      <c r="CL299" s="421" t="s">
        <v>123</v>
      </c>
      <c r="CM299" s="423"/>
      <c r="CN299" s="421"/>
      <c r="CO299" s="423"/>
      <c r="CP299" s="421"/>
      <c r="CQ299" s="63"/>
      <c r="CR299" s="63"/>
      <c r="CS299" s="63"/>
      <c r="CT299" s="63"/>
      <c r="CU299" s="447"/>
      <c r="CV299" s="447"/>
      <c r="CW299" s="447"/>
      <c r="CX299" s="447"/>
      <c r="CY299" s="447"/>
      <c r="CZ299" s="447"/>
      <c r="DA299" s="447"/>
      <c r="DB299" s="447"/>
      <c r="DC299" s="447"/>
      <c r="DD299" s="447"/>
      <c r="DE299" s="447"/>
      <c r="DF299" s="447"/>
      <c r="DG299" s="447"/>
      <c r="DH299" s="447"/>
      <c r="DI299" s="447"/>
      <c r="DJ299" s="447"/>
      <c r="DK299" s="447"/>
      <c r="DL299" s="67"/>
      <c r="DM299" s="67"/>
      <c r="DN299" s="67"/>
      <c r="DO299" s="67"/>
      <c r="DP299" s="67"/>
      <c r="DQ299" s="67"/>
    </row>
    <row r="300" ht="22.5" customHeight="1">
      <c r="A300" s="383"/>
      <c r="B300" s="384" t="str">
        <f>IFERROR(__xludf.DUMMYFUNCTION("IF(B$43="""","""",IF($AZ300="""","""",IFERROR(Query({CarteirasAtivos},""Select Col3 where Col1 = '""&amp;$AZ300&amp;""'and Col2 = '""&amp;S$21&amp;""'""))))"),"")</f>
        <v/>
      </c>
      <c r="C300" s="384" t="str">
        <f>IFERROR(__xludf.DUMMYFUNCTION("IF(C$43="""","""",IF($AZ300="""","""",IFERROR(Query({CarteirasAtivos},""Select Col3 where Col1 = '""&amp;$AZ300&amp;""'and Col2 = '""&amp;T$21&amp;""'""))))"),"")</f>
        <v/>
      </c>
      <c r="D300" s="384" t="str">
        <f>IFERROR(__xludf.DUMMYFUNCTION("IF(D$43="""","""",IF($AZ300="""","""",IFERROR(Query({CarteirasAtivos},""Select Col3 where Col1 = '""&amp;$AZ300&amp;""'and Col2 = '""&amp;U$21&amp;""'""))))"),"")</f>
        <v/>
      </c>
      <c r="E300" s="384" t="str">
        <f>IFERROR(__xludf.DUMMYFUNCTION("IF(E$43="""","""",IF($AZ300="""","""",IFERROR(Query({CarteirasAtivos},""Select Col3 where Col1 = '""&amp;$AZ300&amp;""'and Col2 = '""&amp;V$21&amp;""'""))))"),"")</f>
        <v/>
      </c>
      <c r="F300" s="384" t="str">
        <f>IFERROR(__xludf.DUMMYFUNCTION("IF(F$43="""","""",IF($AZ300="""","""",IFERROR(Query({CarteirasAtivos},""Select Col3 where Col1 = '""&amp;$AZ300&amp;""'and Col2 = '""&amp;W$21&amp;""'""))))"),"")</f>
        <v/>
      </c>
      <c r="G300" s="384" t="str">
        <f>IFERROR(__xludf.DUMMYFUNCTION("IF(G$43="""","""",IF($AZ300="""","""",IFERROR(Query({CarteirasAtivos},""Select Col3 where Col1 = '""&amp;$AZ300&amp;""'and Col2 = '""&amp;X$21&amp;""'""))))"),"")</f>
        <v/>
      </c>
      <c r="H300" s="384" t="str">
        <f>IFERROR(__xludf.DUMMYFUNCTION("IF(H$43="""","""",IF($AZ300="""","""",IFERROR(Query({CarteirasAtivos},""Select Col3 where Col1 = '""&amp;$AZ300&amp;""'and Col2 = '""&amp;Y$21&amp;""'""))))"),"")</f>
        <v/>
      </c>
      <c r="I300" s="384" t="str">
        <f>IFERROR(__xludf.DUMMYFUNCTION("IF(I$43="""","""",IF($AZ300="""","""",IFERROR(Query({CarteirasAtivos},""Select Col3 where Col1 = '""&amp;$AZ300&amp;""'and Col2 = '""&amp;Z$21&amp;""'""))))"),"")</f>
        <v/>
      </c>
      <c r="J300" s="384" t="str">
        <f>IFERROR(__xludf.DUMMYFUNCTION("IF(J$43="""","""",IF($AZ300="""","""",IFERROR(Query({CarteirasAtivos},""Select Col3 where Col1 = '""&amp;$AZ300&amp;""'and Col2 = '""&amp;AA$21&amp;""'""))))"),"")</f>
        <v/>
      </c>
      <c r="K300" s="384" t="str">
        <f>IFERROR(__xludf.DUMMYFUNCTION("IF(K$43="""","""",IF($AZ300="""","""",IFERROR(Query({CarteirasAtivos},""Select Col3 where Col1 = '""&amp;$AZ300&amp;""'and Col2 = '""&amp;AB$21&amp;""'""))))"),"")</f>
        <v/>
      </c>
      <c r="L300" s="385">
        <v>257.0</v>
      </c>
      <c r="M300" s="503"/>
      <c r="N300" s="387"/>
      <c r="O300" s="388" t="s">
        <v>123</v>
      </c>
      <c r="P300" s="389"/>
      <c r="Q300" s="390"/>
      <c r="R300" s="391"/>
      <c r="S300" s="392"/>
      <c r="T300" s="393"/>
      <c r="U300" s="393"/>
      <c r="V300" s="394"/>
      <c r="W300" s="395" t="str">
        <f>IFERROR(__xludf.DUMMYFUNCTION("IF(M300="""","""",sparkline(IFERROR(BF300*100/MAX($BF$44:$BF$153),0),{""charttype"",""bar"";""max"",100;""color1"",IF(BD300&gt;=0,""#4760a5"",""red"")}))"),"")</f>
        <v/>
      </c>
      <c r="X300" s="396"/>
      <c r="Y300" s="466"/>
      <c r="Z300" s="398"/>
      <c r="AA300" s="399"/>
      <c r="AB300" s="393"/>
      <c r="AC300" s="476"/>
      <c r="AD300" s="401"/>
      <c r="AE300" s="402"/>
      <c r="AF300" s="403"/>
      <c r="AG300" s="404" t="str">
        <f>IFERROR(__xludf.DUMMYFUNCTION("IF($M300="""","""",IFERROR(sparkline(query(GOOGLEFINANCE($AZ300,""price"",TODAY()-$AF$43,TODAY(),1),""select Col2 label Col2 ''""),IF($AG$43=""Gráfico de barras"",{""charttype"",""column"";""highcolor"",""red""},{""chartype"",""line""}))))"),"")</f>
        <v/>
      </c>
      <c r="AH300" s="405"/>
      <c r="AI300" s="467"/>
      <c r="AJ300" s="467"/>
      <c r="AK300" s="467"/>
      <c r="AL300" s="467"/>
      <c r="AM300" s="442"/>
      <c r="AN300" s="442"/>
      <c r="AU300" s="281"/>
      <c r="AV300" s="281"/>
      <c r="AW300" s="281"/>
      <c r="AX300" s="281"/>
      <c r="AY300" s="410">
        <v>257.0</v>
      </c>
      <c r="AZ300" s="411"/>
      <c r="BA300" s="411"/>
      <c r="BB300" s="437"/>
      <c r="BC300" s="437"/>
      <c r="BD300" s="437"/>
      <c r="BE300" s="437"/>
      <c r="BF300" s="415" t="s">
        <v>123</v>
      </c>
      <c r="BG300" s="410">
        <v>257.0</v>
      </c>
      <c r="BH300" s="416"/>
      <c r="BI300" s="416"/>
      <c r="BJ300" s="416"/>
      <c r="BK300" s="416"/>
      <c r="BL300" s="416"/>
      <c r="BM300" s="416"/>
      <c r="BN300" s="282"/>
      <c r="BO300" s="490"/>
      <c r="BP300" s="489"/>
      <c r="BQ300" s="489"/>
      <c r="BR300" s="489"/>
      <c r="BS300" s="489"/>
      <c r="BT300" s="489"/>
      <c r="BU300" s="489"/>
      <c r="BV300" s="489"/>
      <c r="BW300" s="63"/>
      <c r="BX300" s="62"/>
      <c r="BY300" s="452"/>
      <c r="BZ300" s="452"/>
      <c r="CA300" s="452"/>
      <c r="CB300" s="452"/>
      <c r="CC300" s="452"/>
      <c r="CD300" s="452"/>
      <c r="CE300" s="452"/>
      <c r="CF300" s="452"/>
      <c r="CG300" s="452"/>
      <c r="CH300" s="422"/>
      <c r="CI300" s="422"/>
      <c r="CJ300" s="422"/>
      <c r="CK300" s="421"/>
      <c r="CL300" s="421" t="s">
        <v>123</v>
      </c>
      <c r="CM300" s="423"/>
      <c r="CN300" s="421"/>
      <c r="CO300" s="423"/>
      <c r="CP300" s="421"/>
      <c r="CQ300" s="63"/>
      <c r="CR300" s="63"/>
      <c r="CS300" s="63"/>
      <c r="CT300" s="63"/>
      <c r="CU300" s="447"/>
      <c r="CV300" s="447"/>
      <c r="CW300" s="447"/>
      <c r="CX300" s="447"/>
      <c r="CY300" s="447"/>
      <c r="CZ300" s="447"/>
      <c r="DA300" s="447"/>
      <c r="DB300" s="447"/>
      <c r="DC300" s="447"/>
      <c r="DD300" s="447"/>
      <c r="DE300" s="447"/>
      <c r="DF300" s="447"/>
      <c r="DG300" s="447"/>
      <c r="DH300" s="447"/>
      <c r="DI300" s="447"/>
      <c r="DJ300" s="447"/>
      <c r="DK300" s="447"/>
      <c r="DL300" s="67"/>
      <c r="DM300" s="67"/>
      <c r="DN300" s="67"/>
      <c r="DO300" s="67"/>
      <c r="DP300" s="67"/>
      <c r="DQ300" s="67"/>
    </row>
    <row r="301" ht="22.5" customHeight="1">
      <c r="A301" s="383"/>
      <c r="B301" s="384" t="str">
        <f>IFERROR(__xludf.DUMMYFUNCTION("IF(B$43="""","""",IF($AZ301="""","""",IFERROR(Query({CarteirasAtivos},""Select Col3 where Col1 = '""&amp;$AZ301&amp;""'and Col2 = '""&amp;S$21&amp;""'""))))"),"")</f>
        <v/>
      </c>
      <c r="C301" s="384" t="str">
        <f>IFERROR(__xludf.DUMMYFUNCTION("IF(C$43="""","""",IF($AZ301="""","""",IFERROR(Query({CarteirasAtivos},""Select Col3 where Col1 = '""&amp;$AZ301&amp;""'and Col2 = '""&amp;T$21&amp;""'""))))"),"")</f>
        <v/>
      </c>
      <c r="D301" s="384" t="str">
        <f>IFERROR(__xludf.DUMMYFUNCTION("IF(D$43="""","""",IF($AZ301="""","""",IFERROR(Query({CarteirasAtivos},""Select Col3 where Col1 = '""&amp;$AZ301&amp;""'and Col2 = '""&amp;U$21&amp;""'""))))"),"")</f>
        <v/>
      </c>
      <c r="E301" s="384" t="str">
        <f>IFERROR(__xludf.DUMMYFUNCTION("IF(E$43="""","""",IF($AZ301="""","""",IFERROR(Query({CarteirasAtivos},""Select Col3 where Col1 = '""&amp;$AZ301&amp;""'and Col2 = '""&amp;V$21&amp;""'""))))"),"")</f>
        <v/>
      </c>
      <c r="F301" s="384" t="str">
        <f>IFERROR(__xludf.DUMMYFUNCTION("IF(F$43="""","""",IF($AZ301="""","""",IFERROR(Query({CarteirasAtivos},""Select Col3 where Col1 = '""&amp;$AZ301&amp;""'and Col2 = '""&amp;W$21&amp;""'""))))"),"")</f>
        <v/>
      </c>
      <c r="G301" s="384" t="str">
        <f>IFERROR(__xludf.DUMMYFUNCTION("IF(G$43="""","""",IF($AZ301="""","""",IFERROR(Query({CarteirasAtivos},""Select Col3 where Col1 = '""&amp;$AZ301&amp;""'and Col2 = '""&amp;X$21&amp;""'""))))"),"")</f>
        <v/>
      </c>
      <c r="H301" s="384" t="str">
        <f>IFERROR(__xludf.DUMMYFUNCTION("IF(H$43="""","""",IF($AZ301="""","""",IFERROR(Query({CarteirasAtivos},""Select Col3 where Col1 = '""&amp;$AZ301&amp;""'and Col2 = '""&amp;Y$21&amp;""'""))))"),"")</f>
        <v/>
      </c>
      <c r="I301" s="384" t="str">
        <f>IFERROR(__xludf.DUMMYFUNCTION("IF(I$43="""","""",IF($AZ301="""","""",IFERROR(Query({CarteirasAtivos},""Select Col3 where Col1 = '""&amp;$AZ301&amp;""'and Col2 = '""&amp;Z$21&amp;""'""))))"),"")</f>
        <v/>
      </c>
      <c r="J301" s="384" t="str">
        <f>IFERROR(__xludf.DUMMYFUNCTION("IF(J$43="""","""",IF($AZ301="""","""",IFERROR(Query({CarteirasAtivos},""Select Col3 where Col1 = '""&amp;$AZ301&amp;""'and Col2 = '""&amp;AA$21&amp;""'""))))"),"")</f>
        <v/>
      </c>
      <c r="K301" s="384" t="str">
        <f>IFERROR(__xludf.DUMMYFUNCTION("IF(K$43="""","""",IF($AZ301="""","""",IFERROR(Query({CarteirasAtivos},""Select Col3 where Col1 = '""&amp;$AZ301&amp;""'and Col2 = '""&amp;AB$21&amp;""'""))))"),"")</f>
        <v/>
      </c>
      <c r="L301" s="385">
        <v>258.0</v>
      </c>
      <c r="M301" s="503"/>
      <c r="N301" s="387"/>
      <c r="O301" s="388" t="s">
        <v>123</v>
      </c>
      <c r="P301" s="389"/>
      <c r="Q301" s="390"/>
      <c r="R301" s="391"/>
      <c r="S301" s="392"/>
      <c r="T301" s="393"/>
      <c r="U301" s="393"/>
      <c r="V301" s="394"/>
      <c r="W301" s="395" t="str">
        <f>IFERROR(__xludf.DUMMYFUNCTION("IF(M301="""","""",sparkline(IFERROR(BF301*100/MAX($BF$44:$BF$153),0),{""charttype"",""bar"";""max"",100;""color1"",IF(BD301&gt;=0,""#4760a5"",""red"")}))"),"")</f>
        <v/>
      </c>
      <c r="X301" s="396"/>
      <c r="Y301" s="466"/>
      <c r="Z301" s="398"/>
      <c r="AA301" s="511"/>
      <c r="AB301" s="393"/>
      <c r="AC301" s="476"/>
      <c r="AD301" s="401"/>
      <c r="AE301" s="402"/>
      <c r="AF301" s="403"/>
      <c r="AG301" s="404" t="str">
        <f>IFERROR(__xludf.DUMMYFUNCTION("IF($M301="""","""",IFERROR(sparkline(query(GOOGLEFINANCE($AZ301,""price"",TODAY()-$AF$43,TODAY(),1),""select Col2 label Col2 ''""),IF($AG$43=""Gráfico de barras"",{""charttype"",""column"";""highcolor"",""red""},{""chartype"",""line""}))))"),"")</f>
        <v/>
      </c>
      <c r="AH301" s="405"/>
      <c r="AI301" s="467"/>
      <c r="AJ301" s="467"/>
      <c r="AK301" s="467"/>
      <c r="AL301" s="467"/>
      <c r="AM301" s="442"/>
      <c r="AN301" s="442"/>
      <c r="AU301" s="281"/>
      <c r="AV301" s="281"/>
      <c r="AW301" s="281"/>
      <c r="AX301" s="281"/>
      <c r="AY301" s="410">
        <v>258.0</v>
      </c>
      <c r="AZ301" s="411"/>
      <c r="BA301" s="411"/>
      <c r="BB301" s="437"/>
      <c r="BC301" s="437"/>
      <c r="BD301" s="437"/>
      <c r="BE301" s="437"/>
      <c r="BF301" s="415" t="s">
        <v>123</v>
      </c>
      <c r="BG301" s="410">
        <v>258.0</v>
      </c>
      <c r="BH301" s="416"/>
      <c r="BI301" s="416"/>
      <c r="BJ301" s="416"/>
      <c r="BK301" s="416"/>
      <c r="BL301" s="416"/>
      <c r="BM301" s="416"/>
      <c r="BN301" s="282"/>
      <c r="BO301" s="490"/>
      <c r="BP301" s="489"/>
      <c r="BQ301" s="489"/>
      <c r="BR301" s="489"/>
      <c r="BS301" s="489"/>
      <c r="BT301" s="489"/>
      <c r="BU301" s="489"/>
      <c r="BV301" s="489"/>
      <c r="BW301" s="63"/>
      <c r="BX301" s="62"/>
      <c r="BY301" s="452"/>
      <c r="BZ301" s="452"/>
      <c r="CA301" s="452"/>
      <c r="CB301" s="452"/>
      <c r="CC301" s="452"/>
      <c r="CD301" s="452"/>
      <c r="CE301" s="452"/>
      <c r="CF301" s="452"/>
      <c r="CG301" s="452"/>
      <c r="CH301" s="422"/>
      <c r="CI301" s="422"/>
      <c r="CJ301" s="422"/>
      <c r="CK301" s="421"/>
      <c r="CL301" s="421" t="s">
        <v>123</v>
      </c>
      <c r="CM301" s="423"/>
      <c r="CN301" s="421"/>
      <c r="CO301" s="423"/>
      <c r="CP301" s="421"/>
      <c r="CQ301" s="63"/>
      <c r="CR301" s="63"/>
      <c r="CS301" s="63"/>
      <c r="CT301" s="63"/>
      <c r="CU301" s="447"/>
      <c r="CV301" s="447"/>
      <c r="CW301" s="447"/>
      <c r="CX301" s="447"/>
      <c r="CY301" s="447"/>
      <c r="CZ301" s="447"/>
      <c r="DA301" s="447"/>
      <c r="DB301" s="447"/>
      <c r="DC301" s="447"/>
      <c r="DD301" s="447"/>
      <c r="DE301" s="447"/>
      <c r="DF301" s="447"/>
      <c r="DG301" s="447"/>
      <c r="DH301" s="447"/>
      <c r="DI301" s="447"/>
      <c r="DJ301" s="447"/>
      <c r="DK301" s="447"/>
      <c r="DL301" s="67"/>
      <c r="DM301" s="67"/>
      <c r="DN301" s="67"/>
      <c r="DO301" s="67"/>
      <c r="DP301" s="67"/>
      <c r="DQ301" s="67"/>
    </row>
    <row r="302" ht="22.5" customHeight="1">
      <c r="A302" s="383"/>
      <c r="B302" s="384" t="str">
        <f>IFERROR(__xludf.DUMMYFUNCTION("IF(B$43="""","""",IF($AZ302="""","""",IFERROR(Query({CarteirasAtivos},""Select Col3 where Col1 = '""&amp;$AZ302&amp;""'and Col2 = '""&amp;S$21&amp;""'""))))"),"")</f>
        <v/>
      </c>
      <c r="C302" s="384" t="str">
        <f>IFERROR(__xludf.DUMMYFUNCTION("IF(C$43="""","""",IF($AZ302="""","""",IFERROR(Query({CarteirasAtivos},""Select Col3 where Col1 = '""&amp;$AZ302&amp;""'and Col2 = '""&amp;T$21&amp;""'""))))"),"")</f>
        <v/>
      </c>
      <c r="D302" s="384" t="str">
        <f>IFERROR(__xludf.DUMMYFUNCTION("IF(D$43="""","""",IF($AZ302="""","""",IFERROR(Query({CarteirasAtivos},""Select Col3 where Col1 = '""&amp;$AZ302&amp;""'and Col2 = '""&amp;U$21&amp;""'""))))"),"")</f>
        <v/>
      </c>
      <c r="E302" s="384" t="str">
        <f>IFERROR(__xludf.DUMMYFUNCTION("IF(E$43="""","""",IF($AZ302="""","""",IFERROR(Query({CarteirasAtivos},""Select Col3 where Col1 = '""&amp;$AZ302&amp;""'and Col2 = '""&amp;V$21&amp;""'""))))"),"")</f>
        <v/>
      </c>
      <c r="F302" s="384" t="str">
        <f>IFERROR(__xludf.DUMMYFUNCTION("IF(F$43="""","""",IF($AZ302="""","""",IFERROR(Query({CarteirasAtivos},""Select Col3 where Col1 = '""&amp;$AZ302&amp;""'and Col2 = '""&amp;W$21&amp;""'""))))"),"")</f>
        <v/>
      </c>
      <c r="G302" s="384" t="str">
        <f>IFERROR(__xludf.DUMMYFUNCTION("IF(G$43="""","""",IF($AZ302="""","""",IFERROR(Query({CarteirasAtivos},""Select Col3 where Col1 = '""&amp;$AZ302&amp;""'and Col2 = '""&amp;X$21&amp;""'""))))"),"")</f>
        <v/>
      </c>
      <c r="H302" s="384" t="str">
        <f>IFERROR(__xludf.DUMMYFUNCTION("IF(H$43="""","""",IF($AZ302="""","""",IFERROR(Query({CarteirasAtivos},""Select Col3 where Col1 = '""&amp;$AZ302&amp;""'and Col2 = '""&amp;Y$21&amp;""'""))))"),"")</f>
        <v/>
      </c>
      <c r="I302" s="384" t="str">
        <f>IFERROR(__xludf.DUMMYFUNCTION("IF(I$43="""","""",IF($AZ302="""","""",IFERROR(Query({CarteirasAtivos},""Select Col3 where Col1 = '""&amp;$AZ302&amp;""'and Col2 = '""&amp;Z$21&amp;""'""))))"),"")</f>
        <v/>
      </c>
      <c r="J302" s="384" t="str">
        <f>IFERROR(__xludf.DUMMYFUNCTION("IF(J$43="""","""",IF($AZ302="""","""",IFERROR(Query({CarteirasAtivos},""Select Col3 where Col1 = '""&amp;$AZ302&amp;""'and Col2 = '""&amp;AA$21&amp;""'""))))"),"")</f>
        <v/>
      </c>
      <c r="K302" s="384" t="str">
        <f>IFERROR(__xludf.DUMMYFUNCTION("IF(K$43="""","""",IF($AZ302="""","""",IFERROR(Query({CarteirasAtivos},""Select Col3 where Col1 = '""&amp;$AZ302&amp;""'and Col2 = '""&amp;AB$21&amp;""'""))))"),"")</f>
        <v/>
      </c>
      <c r="L302" s="385">
        <v>259.0</v>
      </c>
      <c r="M302" s="503"/>
      <c r="N302" s="387"/>
      <c r="O302" s="388" t="s">
        <v>123</v>
      </c>
      <c r="P302" s="389"/>
      <c r="Q302" s="390"/>
      <c r="R302" s="391"/>
      <c r="S302" s="392"/>
      <c r="T302" s="393"/>
      <c r="U302" s="393"/>
      <c r="V302" s="394"/>
      <c r="W302" s="395" t="str">
        <f>IFERROR(__xludf.DUMMYFUNCTION("IF(M302="""","""",sparkline(IFERROR(BF302*100/MAX($BF$44:$BF$153),0),{""charttype"",""bar"";""max"",100;""color1"",IF(BD302&gt;=0,""#4760a5"",""red"")}))"),"")</f>
        <v/>
      </c>
      <c r="X302" s="396"/>
      <c r="Y302" s="466"/>
      <c r="Z302" s="398"/>
      <c r="AA302" s="511"/>
      <c r="AB302" s="393"/>
      <c r="AC302" s="476"/>
      <c r="AD302" s="401"/>
      <c r="AE302" s="402"/>
      <c r="AF302" s="403"/>
      <c r="AG302" s="404" t="str">
        <f>IFERROR(__xludf.DUMMYFUNCTION("IF($M302="""","""",IFERROR(sparkline(query(GOOGLEFINANCE($AZ302,""price"",TODAY()-$AF$43,TODAY(),1),""select Col2 label Col2 ''""),IF($AG$43=""Gráfico de barras"",{""charttype"",""column"";""highcolor"",""red""},{""chartype"",""line""}))))"),"")</f>
        <v/>
      </c>
      <c r="AH302" s="405"/>
      <c r="AI302" s="467"/>
      <c r="AJ302" s="467"/>
      <c r="AK302" s="467"/>
      <c r="AL302" s="467"/>
      <c r="AM302" s="442"/>
      <c r="AN302" s="442"/>
      <c r="AU302" s="281"/>
      <c r="AV302" s="281"/>
      <c r="AW302" s="281"/>
      <c r="AX302" s="281"/>
      <c r="AY302" s="410">
        <v>259.0</v>
      </c>
      <c r="AZ302" s="411"/>
      <c r="BA302" s="411"/>
      <c r="BB302" s="437"/>
      <c r="BC302" s="437"/>
      <c r="BD302" s="437"/>
      <c r="BE302" s="437"/>
      <c r="BF302" s="415" t="s">
        <v>123</v>
      </c>
      <c r="BG302" s="410">
        <v>259.0</v>
      </c>
      <c r="BH302" s="416"/>
      <c r="BI302" s="416"/>
      <c r="BJ302" s="416"/>
      <c r="BK302" s="416"/>
      <c r="BL302" s="416"/>
      <c r="BM302" s="416"/>
      <c r="BN302" s="282"/>
      <c r="BO302" s="490"/>
      <c r="BP302" s="489"/>
      <c r="BQ302" s="489"/>
      <c r="BR302" s="489"/>
      <c r="BS302" s="489"/>
      <c r="BT302" s="489"/>
      <c r="BU302" s="489"/>
      <c r="BV302" s="489"/>
      <c r="BW302" s="63"/>
      <c r="BX302" s="62"/>
      <c r="BY302" s="452"/>
      <c r="BZ302" s="452"/>
      <c r="CA302" s="452"/>
      <c r="CB302" s="452"/>
      <c r="CC302" s="452"/>
      <c r="CD302" s="452"/>
      <c r="CE302" s="452"/>
      <c r="CF302" s="452"/>
      <c r="CG302" s="452"/>
      <c r="CH302" s="422"/>
      <c r="CI302" s="422"/>
      <c r="CJ302" s="422"/>
      <c r="CK302" s="421"/>
      <c r="CL302" s="421" t="s">
        <v>123</v>
      </c>
      <c r="CM302" s="423"/>
      <c r="CN302" s="421"/>
      <c r="CO302" s="423"/>
      <c r="CP302" s="421"/>
      <c r="CQ302" s="63"/>
      <c r="CR302" s="63"/>
      <c r="CS302" s="63"/>
      <c r="CT302" s="63"/>
      <c r="CU302" s="447"/>
      <c r="CV302" s="447"/>
      <c r="CW302" s="447"/>
      <c r="CX302" s="447"/>
      <c r="CY302" s="447"/>
      <c r="CZ302" s="447"/>
      <c r="DA302" s="447"/>
      <c r="DB302" s="447"/>
      <c r="DC302" s="447"/>
      <c r="DD302" s="447"/>
      <c r="DE302" s="447"/>
      <c r="DF302" s="447"/>
      <c r="DG302" s="447"/>
      <c r="DH302" s="447"/>
      <c r="DI302" s="447"/>
      <c r="DJ302" s="447"/>
      <c r="DK302" s="447"/>
      <c r="DL302" s="67"/>
      <c r="DM302" s="67"/>
      <c r="DN302" s="67"/>
      <c r="DO302" s="67"/>
      <c r="DP302" s="67"/>
      <c r="DQ302" s="67"/>
    </row>
    <row r="303" ht="22.5" customHeight="1">
      <c r="A303" s="383"/>
      <c r="B303" s="384" t="str">
        <f>IFERROR(__xludf.DUMMYFUNCTION("IF(B$43="""","""",IF($AZ303="""","""",IFERROR(Query({CarteirasAtivos},""Select Col3 where Col1 = '""&amp;$AZ303&amp;""'and Col2 = '""&amp;S$21&amp;""'""))))"),"")</f>
        <v/>
      </c>
      <c r="C303" s="384" t="str">
        <f>IFERROR(__xludf.DUMMYFUNCTION("IF(C$43="""","""",IF($AZ303="""","""",IFERROR(Query({CarteirasAtivos},""Select Col3 where Col1 = '""&amp;$AZ303&amp;""'and Col2 = '""&amp;T$21&amp;""'""))))"),"")</f>
        <v/>
      </c>
      <c r="D303" s="384" t="str">
        <f>IFERROR(__xludf.DUMMYFUNCTION("IF(D$43="""","""",IF($AZ303="""","""",IFERROR(Query({CarteirasAtivos},""Select Col3 where Col1 = '""&amp;$AZ303&amp;""'and Col2 = '""&amp;U$21&amp;""'""))))"),"")</f>
        <v/>
      </c>
      <c r="E303" s="384" t="str">
        <f>IFERROR(__xludf.DUMMYFUNCTION("IF(E$43="""","""",IF($AZ303="""","""",IFERROR(Query({CarteirasAtivos},""Select Col3 where Col1 = '""&amp;$AZ303&amp;""'and Col2 = '""&amp;V$21&amp;""'""))))"),"")</f>
        <v/>
      </c>
      <c r="F303" s="384" t="str">
        <f>IFERROR(__xludf.DUMMYFUNCTION("IF(F$43="""","""",IF($AZ303="""","""",IFERROR(Query({CarteirasAtivos},""Select Col3 where Col1 = '""&amp;$AZ303&amp;""'and Col2 = '""&amp;W$21&amp;""'""))))"),"")</f>
        <v/>
      </c>
      <c r="G303" s="384" t="str">
        <f>IFERROR(__xludf.DUMMYFUNCTION("IF(G$43="""","""",IF($AZ303="""","""",IFERROR(Query({CarteirasAtivos},""Select Col3 where Col1 = '""&amp;$AZ303&amp;""'and Col2 = '""&amp;X$21&amp;""'""))))"),"")</f>
        <v/>
      </c>
      <c r="H303" s="384" t="str">
        <f>IFERROR(__xludf.DUMMYFUNCTION("IF(H$43="""","""",IF($AZ303="""","""",IFERROR(Query({CarteirasAtivos},""Select Col3 where Col1 = '""&amp;$AZ303&amp;""'and Col2 = '""&amp;Y$21&amp;""'""))))"),"")</f>
        <v/>
      </c>
      <c r="I303" s="384" t="str">
        <f>IFERROR(__xludf.DUMMYFUNCTION("IF(I$43="""","""",IF($AZ303="""","""",IFERROR(Query({CarteirasAtivos},""Select Col3 where Col1 = '""&amp;$AZ303&amp;""'and Col2 = '""&amp;Z$21&amp;""'""))))"),"")</f>
        <v/>
      </c>
      <c r="J303" s="384" t="str">
        <f>IFERROR(__xludf.DUMMYFUNCTION("IF(J$43="""","""",IF($AZ303="""","""",IFERROR(Query({CarteirasAtivos},""Select Col3 where Col1 = '""&amp;$AZ303&amp;""'and Col2 = '""&amp;AA$21&amp;""'""))))"),"")</f>
        <v/>
      </c>
      <c r="K303" s="384" t="str">
        <f>IFERROR(__xludf.DUMMYFUNCTION("IF(K$43="""","""",IF($AZ303="""","""",IFERROR(Query({CarteirasAtivos},""Select Col3 where Col1 = '""&amp;$AZ303&amp;""'and Col2 = '""&amp;AB$21&amp;""'""))))"),"")</f>
        <v/>
      </c>
      <c r="L303" s="385">
        <v>260.0</v>
      </c>
      <c r="M303" s="503"/>
      <c r="N303" s="387"/>
      <c r="O303" s="388" t="s">
        <v>123</v>
      </c>
      <c r="P303" s="389"/>
      <c r="Q303" s="390"/>
      <c r="R303" s="391"/>
      <c r="S303" s="392"/>
      <c r="T303" s="393"/>
      <c r="U303" s="393"/>
      <c r="V303" s="394"/>
      <c r="W303" s="395" t="str">
        <f>IFERROR(__xludf.DUMMYFUNCTION("IF(M303="""","""",sparkline(IFERROR(BF303*100/MAX($BF$44:$BF$153),0),{""charttype"",""bar"";""max"",100;""color1"",IF(BD303&gt;=0,""#4760a5"",""red"")}))"),"")</f>
        <v/>
      </c>
      <c r="X303" s="396"/>
      <c r="Y303" s="466"/>
      <c r="Z303" s="398"/>
      <c r="AA303" s="511"/>
      <c r="AB303" s="393"/>
      <c r="AC303" s="476"/>
      <c r="AD303" s="401"/>
      <c r="AE303" s="402"/>
      <c r="AF303" s="403"/>
      <c r="AG303" s="404" t="str">
        <f>IFERROR(__xludf.DUMMYFUNCTION("IF($M303="""","""",IFERROR(sparkline(query(GOOGLEFINANCE($AZ303,""price"",TODAY()-$AF$43,TODAY(),1),""select Col2 label Col2 ''""),IF($AG$43=""Gráfico de barras"",{""charttype"",""column"";""highcolor"",""red""},{""chartype"",""line""}))))"),"")</f>
        <v/>
      </c>
      <c r="AH303" s="405"/>
      <c r="AI303" s="467"/>
      <c r="AJ303" s="467"/>
      <c r="AK303" s="467"/>
      <c r="AL303" s="467"/>
      <c r="AM303" s="442"/>
      <c r="AN303" s="442"/>
      <c r="AU303" s="281"/>
      <c r="AV303" s="281"/>
      <c r="AW303" s="281"/>
      <c r="AX303" s="281"/>
      <c r="AY303" s="410">
        <v>260.0</v>
      </c>
      <c r="AZ303" s="411"/>
      <c r="BA303" s="411"/>
      <c r="BB303" s="437"/>
      <c r="BC303" s="437"/>
      <c r="BD303" s="437"/>
      <c r="BE303" s="437"/>
      <c r="BF303" s="415" t="s">
        <v>123</v>
      </c>
      <c r="BG303" s="410">
        <v>260.0</v>
      </c>
      <c r="BH303" s="416"/>
      <c r="BI303" s="416"/>
      <c r="BJ303" s="416"/>
      <c r="BK303" s="416"/>
      <c r="BL303" s="416"/>
      <c r="BM303" s="416"/>
      <c r="BN303" s="282"/>
      <c r="BO303" s="490"/>
      <c r="BP303" s="489"/>
      <c r="BQ303" s="489"/>
      <c r="BR303" s="489"/>
      <c r="BS303" s="489"/>
      <c r="BT303" s="489"/>
      <c r="BU303" s="489"/>
      <c r="BV303" s="489"/>
      <c r="BW303" s="63"/>
      <c r="BX303" s="62"/>
      <c r="BY303" s="452"/>
      <c r="BZ303" s="452"/>
      <c r="CA303" s="452"/>
      <c r="CB303" s="452"/>
      <c r="CC303" s="452"/>
      <c r="CD303" s="452"/>
      <c r="CE303" s="452"/>
      <c r="CF303" s="452"/>
      <c r="CG303" s="452"/>
      <c r="CH303" s="422"/>
      <c r="CI303" s="422"/>
      <c r="CJ303" s="422"/>
      <c r="CK303" s="421"/>
      <c r="CL303" s="421" t="s">
        <v>123</v>
      </c>
      <c r="CM303" s="423"/>
      <c r="CN303" s="421"/>
      <c r="CO303" s="423"/>
      <c r="CP303" s="421"/>
      <c r="CQ303" s="63"/>
      <c r="CR303" s="63"/>
      <c r="CS303" s="63"/>
      <c r="CT303" s="63"/>
      <c r="CU303" s="447"/>
      <c r="CV303" s="447"/>
      <c r="CW303" s="447"/>
      <c r="CX303" s="447"/>
      <c r="CY303" s="447"/>
      <c r="CZ303" s="447"/>
      <c r="DA303" s="447"/>
      <c r="DB303" s="447"/>
      <c r="DC303" s="447"/>
      <c r="DD303" s="447"/>
      <c r="DE303" s="447"/>
      <c r="DF303" s="447"/>
      <c r="DG303" s="447"/>
      <c r="DH303" s="447"/>
      <c r="DI303" s="447"/>
      <c r="DJ303" s="447"/>
      <c r="DK303" s="447"/>
      <c r="DL303" s="67"/>
      <c r="DM303" s="67"/>
      <c r="DN303" s="67"/>
      <c r="DO303" s="67"/>
      <c r="DP303" s="67"/>
      <c r="DQ303" s="67"/>
    </row>
    <row r="304" ht="22.5" customHeight="1">
      <c r="A304" s="383"/>
      <c r="B304" s="384" t="str">
        <f>IFERROR(__xludf.DUMMYFUNCTION("IF(B$43="""","""",IF($AZ304="""","""",IFERROR(Query({CarteirasAtivos},""Select Col3 where Col1 = '""&amp;$AZ304&amp;""'and Col2 = '""&amp;S$21&amp;""'""))))"),"")</f>
        <v/>
      </c>
      <c r="C304" s="384" t="str">
        <f>IFERROR(__xludf.DUMMYFUNCTION("IF(C$43="""","""",IF($AZ304="""","""",IFERROR(Query({CarteirasAtivos},""Select Col3 where Col1 = '""&amp;$AZ304&amp;""'and Col2 = '""&amp;T$21&amp;""'""))))"),"")</f>
        <v/>
      </c>
      <c r="D304" s="384" t="str">
        <f>IFERROR(__xludf.DUMMYFUNCTION("IF(D$43="""","""",IF($AZ304="""","""",IFERROR(Query({CarteirasAtivos},""Select Col3 where Col1 = '""&amp;$AZ304&amp;""'and Col2 = '""&amp;U$21&amp;""'""))))"),"")</f>
        <v/>
      </c>
      <c r="E304" s="384" t="str">
        <f>IFERROR(__xludf.DUMMYFUNCTION("IF(E$43="""","""",IF($AZ304="""","""",IFERROR(Query({CarteirasAtivos},""Select Col3 where Col1 = '""&amp;$AZ304&amp;""'and Col2 = '""&amp;V$21&amp;""'""))))"),"")</f>
        <v/>
      </c>
      <c r="F304" s="384" t="str">
        <f>IFERROR(__xludf.DUMMYFUNCTION("IF(F$43="""","""",IF($AZ304="""","""",IFERROR(Query({CarteirasAtivos},""Select Col3 where Col1 = '""&amp;$AZ304&amp;""'and Col2 = '""&amp;W$21&amp;""'""))))"),"")</f>
        <v/>
      </c>
      <c r="G304" s="384" t="str">
        <f>IFERROR(__xludf.DUMMYFUNCTION("IF(G$43="""","""",IF($AZ304="""","""",IFERROR(Query({CarteirasAtivos},""Select Col3 where Col1 = '""&amp;$AZ304&amp;""'and Col2 = '""&amp;X$21&amp;""'""))))"),"")</f>
        <v/>
      </c>
      <c r="H304" s="384" t="str">
        <f>IFERROR(__xludf.DUMMYFUNCTION("IF(H$43="""","""",IF($AZ304="""","""",IFERROR(Query({CarteirasAtivos},""Select Col3 where Col1 = '""&amp;$AZ304&amp;""'and Col2 = '""&amp;Y$21&amp;""'""))))"),"")</f>
        <v/>
      </c>
      <c r="I304" s="384" t="str">
        <f>IFERROR(__xludf.DUMMYFUNCTION("IF(I$43="""","""",IF($AZ304="""","""",IFERROR(Query({CarteirasAtivos},""Select Col3 where Col1 = '""&amp;$AZ304&amp;""'and Col2 = '""&amp;Z$21&amp;""'""))))"),"")</f>
        <v/>
      </c>
      <c r="J304" s="384" t="str">
        <f>IFERROR(__xludf.DUMMYFUNCTION("IF(J$43="""","""",IF($AZ304="""","""",IFERROR(Query({CarteirasAtivos},""Select Col3 where Col1 = '""&amp;$AZ304&amp;""'and Col2 = '""&amp;AA$21&amp;""'""))))"),"")</f>
        <v/>
      </c>
      <c r="K304" s="384" t="str">
        <f>IFERROR(__xludf.DUMMYFUNCTION("IF(K$43="""","""",IF($AZ304="""","""",IFERROR(Query({CarteirasAtivos},""Select Col3 where Col1 = '""&amp;$AZ304&amp;""'and Col2 = '""&amp;AB$21&amp;""'""))))"),"")</f>
        <v/>
      </c>
      <c r="L304" s="385">
        <v>261.0</v>
      </c>
      <c r="M304" s="503"/>
      <c r="N304" s="387"/>
      <c r="O304" s="388" t="s">
        <v>123</v>
      </c>
      <c r="P304" s="389"/>
      <c r="Q304" s="390"/>
      <c r="R304" s="391"/>
      <c r="S304" s="392"/>
      <c r="T304" s="393"/>
      <c r="U304" s="393"/>
      <c r="V304" s="394"/>
      <c r="W304" s="395" t="str">
        <f>IFERROR(__xludf.DUMMYFUNCTION("IF(M304="""","""",sparkline(IFERROR(BF304*100/MAX($BF$44:$BF$153),0),{""charttype"",""bar"";""max"",100;""color1"",IF(BD304&gt;=0,""#4760a5"",""red"")}))"),"")</f>
        <v/>
      </c>
      <c r="X304" s="396"/>
      <c r="Y304" s="466"/>
      <c r="Z304" s="398"/>
      <c r="AA304" s="511"/>
      <c r="AB304" s="393"/>
      <c r="AC304" s="476"/>
      <c r="AD304" s="401"/>
      <c r="AE304" s="402"/>
      <c r="AF304" s="403"/>
      <c r="AG304" s="404" t="str">
        <f>IFERROR(__xludf.DUMMYFUNCTION("IF($M304="""","""",IFERROR(sparkline(query(GOOGLEFINANCE($AZ304,""price"",TODAY()-$AF$43,TODAY(),1),""select Col2 label Col2 ''""),IF($AG$43=""Gráfico de barras"",{""charttype"",""column"";""highcolor"",""red""},{""chartype"",""line""}))))"),"")</f>
        <v/>
      </c>
      <c r="AH304" s="405"/>
      <c r="AI304" s="467"/>
      <c r="AJ304" s="467"/>
      <c r="AK304" s="467"/>
      <c r="AL304" s="467"/>
      <c r="AM304" s="442"/>
      <c r="AN304" s="442"/>
      <c r="AU304" s="281"/>
      <c r="AV304" s="281"/>
      <c r="AW304" s="281"/>
      <c r="AX304" s="281"/>
      <c r="AY304" s="410">
        <v>261.0</v>
      </c>
      <c r="AZ304" s="411"/>
      <c r="BA304" s="411"/>
      <c r="BB304" s="437"/>
      <c r="BC304" s="437"/>
      <c r="BD304" s="437"/>
      <c r="BE304" s="437"/>
      <c r="BF304" s="415" t="s">
        <v>123</v>
      </c>
      <c r="BG304" s="410">
        <v>261.0</v>
      </c>
      <c r="BH304" s="416"/>
      <c r="BI304" s="416"/>
      <c r="BJ304" s="416"/>
      <c r="BK304" s="416"/>
      <c r="BL304" s="416"/>
      <c r="BM304" s="416"/>
      <c r="BN304" s="282"/>
      <c r="BO304" s="490"/>
      <c r="BP304" s="489"/>
      <c r="BQ304" s="489"/>
      <c r="BR304" s="489"/>
      <c r="BS304" s="489"/>
      <c r="BT304" s="489"/>
      <c r="BU304" s="489"/>
      <c r="BV304" s="489"/>
      <c r="BW304" s="63"/>
      <c r="BX304" s="62"/>
      <c r="BY304" s="452"/>
      <c r="BZ304" s="452"/>
      <c r="CA304" s="452"/>
      <c r="CB304" s="452"/>
      <c r="CC304" s="452"/>
      <c r="CD304" s="452"/>
      <c r="CE304" s="452"/>
      <c r="CF304" s="452"/>
      <c r="CG304" s="452"/>
      <c r="CH304" s="422"/>
      <c r="CI304" s="422"/>
      <c r="CJ304" s="422"/>
      <c r="CK304" s="421"/>
      <c r="CL304" s="421" t="s">
        <v>123</v>
      </c>
      <c r="CM304" s="423"/>
      <c r="CN304" s="421"/>
      <c r="CO304" s="423"/>
      <c r="CP304" s="421"/>
      <c r="CQ304" s="63"/>
      <c r="CR304" s="63"/>
      <c r="CS304" s="63"/>
      <c r="CT304" s="63"/>
      <c r="CU304" s="447"/>
      <c r="CV304" s="447"/>
      <c r="CW304" s="447"/>
      <c r="CX304" s="447"/>
      <c r="CY304" s="447"/>
      <c r="CZ304" s="447"/>
      <c r="DA304" s="447"/>
      <c r="DB304" s="447"/>
      <c r="DC304" s="447"/>
      <c r="DD304" s="447"/>
      <c r="DE304" s="447"/>
      <c r="DF304" s="447"/>
      <c r="DG304" s="447"/>
      <c r="DH304" s="447"/>
      <c r="DI304" s="447"/>
      <c r="DJ304" s="447"/>
      <c r="DK304" s="447"/>
      <c r="DL304" s="67"/>
      <c r="DM304" s="67"/>
      <c r="DN304" s="67"/>
      <c r="DO304" s="67"/>
      <c r="DP304" s="67"/>
      <c r="DQ304" s="67"/>
    </row>
    <row r="305" ht="22.5" customHeight="1">
      <c r="A305" s="383"/>
      <c r="B305" s="384" t="str">
        <f>IFERROR(__xludf.DUMMYFUNCTION("IF(B$43="""","""",IF($AZ305="""","""",IFERROR(Query({CarteirasAtivos},""Select Col3 where Col1 = '""&amp;$AZ305&amp;""'and Col2 = '""&amp;S$21&amp;""'""))))"),"")</f>
        <v/>
      </c>
      <c r="C305" s="384" t="str">
        <f>IFERROR(__xludf.DUMMYFUNCTION("IF(C$43="""","""",IF($AZ305="""","""",IFERROR(Query({CarteirasAtivos},""Select Col3 where Col1 = '""&amp;$AZ305&amp;""'and Col2 = '""&amp;T$21&amp;""'""))))"),"")</f>
        <v/>
      </c>
      <c r="D305" s="384" t="str">
        <f>IFERROR(__xludf.DUMMYFUNCTION("IF(D$43="""","""",IF($AZ305="""","""",IFERROR(Query({CarteirasAtivos},""Select Col3 where Col1 = '""&amp;$AZ305&amp;""'and Col2 = '""&amp;U$21&amp;""'""))))"),"")</f>
        <v/>
      </c>
      <c r="E305" s="384" t="str">
        <f>IFERROR(__xludf.DUMMYFUNCTION("IF(E$43="""","""",IF($AZ305="""","""",IFERROR(Query({CarteirasAtivos},""Select Col3 where Col1 = '""&amp;$AZ305&amp;""'and Col2 = '""&amp;V$21&amp;""'""))))"),"")</f>
        <v/>
      </c>
      <c r="F305" s="384" t="str">
        <f>IFERROR(__xludf.DUMMYFUNCTION("IF(F$43="""","""",IF($AZ305="""","""",IFERROR(Query({CarteirasAtivos},""Select Col3 where Col1 = '""&amp;$AZ305&amp;""'and Col2 = '""&amp;W$21&amp;""'""))))"),"")</f>
        <v/>
      </c>
      <c r="G305" s="384" t="str">
        <f>IFERROR(__xludf.DUMMYFUNCTION("IF(G$43="""","""",IF($AZ305="""","""",IFERROR(Query({CarteirasAtivos},""Select Col3 where Col1 = '""&amp;$AZ305&amp;""'and Col2 = '""&amp;X$21&amp;""'""))))"),"")</f>
        <v/>
      </c>
      <c r="H305" s="384" t="str">
        <f>IFERROR(__xludf.DUMMYFUNCTION("IF(H$43="""","""",IF($AZ305="""","""",IFERROR(Query({CarteirasAtivos},""Select Col3 where Col1 = '""&amp;$AZ305&amp;""'and Col2 = '""&amp;Y$21&amp;""'""))))"),"")</f>
        <v/>
      </c>
      <c r="I305" s="384" t="str">
        <f>IFERROR(__xludf.DUMMYFUNCTION("IF(I$43="""","""",IF($AZ305="""","""",IFERROR(Query({CarteirasAtivos},""Select Col3 where Col1 = '""&amp;$AZ305&amp;""'and Col2 = '""&amp;Z$21&amp;""'""))))"),"")</f>
        <v/>
      </c>
      <c r="J305" s="384" t="str">
        <f>IFERROR(__xludf.DUMMYFUNCTION("IF(J$43="""","""",IF($AZ305="""","""",IFERROR(Query({CarteirasAtivos},""Select Col3 where Col1 = '""&amp;$AZ305&amp;""'and Col2 = '""&amp;AA$21&amp;""'""))))"),"")</f>
        <v/>
      </c>
      <c r="K305" s="384" t="str">
        <f>IFERROR(__xludf.DUMMYFUNCTION("IF(K$43="""","""",IF($AZ305="""","""",IFERROR(Query({CarteirasAtivos},""Select Col3 where Col1 = '""&amp;$AZ305&amp;""'and Col2 = '""&amp;AB$21&amp;""'""))))"),"")</f>
        <v/>
      </c>
      <c r="L305" s="385">
        <v>262.0</v>
      </c>
      <c r="M305" s="503"/>
      <c r="N305" s="387"/>
      <c r="O305" s="388" t="s">
        <v>123</v>
      </c>
      <c r="P305" s="389"/>
      <c r="Q305" s="390"/>
      <c r="R305" s="391"/>
      <c r="S305" s="392"/>
      <c r="T305" s="393"/>
      <c r="U305" s="393"/>
      <c r="V305" s="394"/>
      <c r="W305" s="395" t="str">
        <f>IFERROR(__xludf.DUMMYFUNCTION("IF(M305="""","""",sparkline(IFERROR(BF305*100/MAX($BF$44:$BF$153),0),{""charttype"",""bar"";""max"",100;""color1"",IF(BD305&gt;=0,""#4760a5"",""red"")}))"),"")</f>
        <v/>
      </c>
      <c r="X305" s="396"/>
      <c r="Y305" s="466"/>
      <c r="Z305" s="398"/>
      <c r="AA305" s="511"/>
      <c r="AB305" s="393"/>
      <c r="AC305" s="476"/>
      <c r="AD305" s="401"/>
      <c r="AE305" s="402"/>
      <c r="AF305" s="403"/>
      <c r="AG305" s="404" t="str">
        <f>IFERROR(__xludf.DUMMYFUNCTION("IF($M305="""","""",IFERROR(sparkline(query(GOOGLEFINANCE($AZ305,""price"",TODAY()-$AF$43,TODAY(),1),""select Col2 label Col2 ''""),IF($AG$43=""Gráfico de barras"",{""charttype"",""column"";""highcolor"",""red""},{""chartype"",""line""}))))"),"")</f>
        <v/>
      </c>
      <c r="AH305" s="405"/>
      <c r="AI305" s="467"/>
      <c r="AJ305" s="467"/>
      <c r="AK305" s="467"/>
      <c r="AL305" s="467"/>
      <c r="AM305" s="442"/>
      <c r="AN305" s="442"/>
      <c r="AU305" s="281"/>
      <c r="AV305" s="281"/>
      <c r="AW305" s="281"/>
      <c r="AX305" s="281"/>
      <c r="AY305" s="410">
        <v>262.0</v>
      </c>
      <c r="AZ305" s="411"/>
      <c r="BA305" s="411"/>
      <c r="BB305" s="437"/>
      <c r="BC305" s="437"/>
      <c r="BD305" s="437"/>
      <c r="BE305" s="437"/>
      <c r="BF305" s="415" t="s">
        <v>123</v>
      </c>
      <c r="BG305" s="410">
        <v>262.0</v>
      </c>
      <c r="BH305" s="416"/>
      <c r="BI305" s="416"/>
      <c r="BJ305" s="416"/>
      <c r="BK305" s="416"/>
      <c r="BL305" s="416"/>
      <c r="BM305" s="416"/>
      <c r="BN305" s="282"/>
      <c r="BO305" s="490"/>
      <c r="BP305" s="489"/>
      <c r="BQ305" s="489"/>
      <c r="BR305" s="489"/>
      <c r="BS305" s="489"/>
      <c r="BT305" s="489"/>
      <c r="BU305" s="489"/>
      <c r="BV305" s="489"/>
      <c r="BW305" s="63"/>
      <c r="BX305" s="62"/>
      <c r="BY305" s="452"/>
      <c r="BZ305" s="452"/>
      <c r="CA305" s="452"/>
      <c r="CB305" s="452"/>
      <c r="CC305" s="452"/>
      <c r="CD305" s="452"/>
      <c r="CE305" s="452"/>
      <c r="CF305" s="452"/>
      <c r="CG305" s="452"/>
      <c r="CH305" s="422"/>
      <c r="CI305" s="422"/>
      <c r="CJ305" s="422"/>
      <c r="CK305" s="421"/>
      <c r="CL305" s="421" t="s">
        <v>123</v>
      </c>
      <c r="CM305" s="423"/>
      <c r="CN305" s="421"/>
      <c r="CO305" s="423"/>
      <c r="CP305" s="421"/>
      <c r="CQ305" s="63"/>
      <c r="CR305" s="63"/>
      <c r="CS305" s="63"/>
      <c r="CT305" s="63"/>
      <c r="CU305" s="447"/>
      <c r="CV305" s="447"/>
      <c r="CW305" s="447"/>
      <c r="CX305" s="447"/>
      <c r="CY305" s="447"/>
      <c r="CZ305" s="447"/>
      <c r="DA305" s="447"/>
      <c r="DB305" s="447"/>
      <c r="DC305" s="447"/>
      <c r="DD305" s="447"/>
      <c r="DE305" s="447"/>
      <c r="DF305" s="447"/>
      <c r="DG305" s="447"/>
      <c r="DH305" s="447"/>
      <c r="DI305" s="447"/>
      <c r="DJ305" s="447"/>
      <c r="DK305" s="447"/>
      <c r="DL305" s="67"/>
      <c r="DM305" s="67"/>
      <c r="DN305" s="67"/>
      <c r="DO305" s="67"/>
      <c r="DP305" s="67"/>
      <c r="DQ305" s="67"/>
    </row>
    <row r="306" ht="22.5" customHeight="1">
      <c r="A306" s="383"/>
      <c r="B306" s="384" t="str">
        <f>IFERROR(__xludf.DUMMYFUNCTION("IF(B$43="""","""",IF($AZ306="""","""",IFERROR(Query({CarteirasAtivos},""Select Col3 where Col1 = '""&amp;$AZ306&amp;""'and Col2 = '""&amp;S$21&amp;""'""))))"),"")</f>
        <v/>
      </c>
      <c r="C306" s="384" t="str">
        <f>IFERROR(__xludf.DUMMYFUNCTION("IF(C$43="""","""",IF($AZ306="""","""",IFERROR(Query({CarteirasAtivos},""Select Col3 where Col1 = '""&amp;$AZ306&amp;""'and Col2 = '""&amp;T$21&amp;""'""))))"),"")</f>
        <v/>
      </c>
      <c r="D306" s="384" t="str">
        <f>IFERROR(__xludf.DUMMYFUNCTION("IF(D$43="""","""",IF($AZ306="""","""",IFERROR(Query({CarteirasAtivos},""Select Col3 where Col1 = '""&amp;$AZ306&amp;""'and Col2 = '""&amp;U$21&amp;""'""))))"),"")</f>
        <v/>
      </c>
      <c r="E306" s="384" t="str">
        <f>IFERROR(__xludf.DUMMYFUNCTION("IF(E$43="""","""",IF($AZ306="""","""",IFERROR(Query({CarteirasAtivos},""Select Col3 where Col1 = '""&amp;$AZ306&amp;""'and Col2 = '""&amp;V$21&amp;""'""))))"),"")</f>
        <v/>
      </c>
      <c r="F306" s="384" t="str">
        <f>IFERROR(__xludf.DUMMYFUNCTION("IF(F$43="""","""",IF($AZ306="""","""",IFERROR(Query({CarteirasAtivos},""Select Col3 where Col1 = '""&amp;$AZ306&amp;""'and Col2 = '""&amp;W$21&amp;""'""))))"),"")</f>
        <v/>
      </c>
      <c r="G306" s="384" t="str">
        <f>IFERROR(__xludf.DUMMYFUNCTION("IF(G$43="""","""",IF($AZ306="""","""",IFERROR(Query({CarteirasAtivos},""Select Col3 where Col1 = '""&amp;$AZ306&amp;""'and Col2 = '""&amp;X$21&amp;""'""))))"),"")</f>
        <v/>
      </c>
      <c r="H306" s="384" t="str">
        <f>IFERROR(__xludf.DUMMYFUNCTION("IF(H$43="""","""",IF($AZ306="""","""",IFERROR(Query({CarteirasAtivos},""Select Col3 where Col1 = '""&amp;$AZ306&amp;""'and Col2 = '""&amp;Y$21&amp;""'""))))"),"")</f>
        <v/>
      </c>
      <c r="I306" s="384" t="str">
        <f>IFERROR(__xludf.DUMMYFUNCTION("IF(I$43="""","""",IF($AZ306="""","""",IFERROR(Query({CarteirasAtivos},""Select Col3 where Col1 = '""&amp;$AZ306&amp;""'and Col2 = '""&amp;Z$21&amp;""'""))))"),"")</f>
        <v/>
      </c>
      <c r="J306" s="384" t="str">
        <f>IFERROR(__xludf.DUMMYFUNCTION("IF(J$43="""","""",IF($AZ306="""","""",IFERROR(Query({CarteirasAtivos},""Select Col3 where Col1 = '""&amp;$AZ306&amp;""'and Col2 = '""&amp;AA$21&amp;""'""))))"),"")</f>
        <v/>
      </c>
      <c r="K306" s="384" t="str">
        <f>IFERROR(__xludf.DUMMYFUNCTION("IF(K$43="""","""",IF($AZ306="""","""",IFERROR(Query({CarteirasAtivos},""Select Col3 where Col1 = '""&amp;$AZ306&amp;""'and Col2 = '""&amp;AB$21&amp;""'""))))"),"")</f>
        <v/>
      </c>
      <c r="L306" s="385">
        <v>263.0</v>
      </c>
      <c r="M306" s="503"/>
      <c r="N306" s="387"/>
      <c r="O306" s="388" t="s">
        <v>123</v>
      </c>
      <c r="P306" s="389"/>
      <c r="Q306" s="390"/>
      <c r="R306" s="391"/>
      <c r="S306" s="392"/>
      <c r="T306" s="393"/>
      <c r="U306" s="393"/>
      <c r="V306" s="394"/>
      <c r="W306" s="395" t="str">
        <f>IFERROR(__xludf.DUMMYFUNCTION("IF(M306="""","""",sparkline(IFERROR(BF306*100/MAX($BF$44:$BF$153),0),{""charttype"",""bar"";""max"",100;""color1"",IF(BD306&gt;=0,""#4760a5"",""red"")}))"),"")</f>
        <v/>
      </c>
      <c r="X306" s="396"/>
      <c r="Y306" s="466"/>
      <c r="Z306" s="398"/>
      <c r="AA306" s="511"/>
      <c r="AB306" s="393"/>
      <c r="AC306" s="476"/>
      <c r="AD306" s="401"/>
      <c r="AE306" s="402"/>
      <c r="AF306" s="403"/>
      <c r="AG306" s="404" t="str">
        <f>IFERROR(__xludf.DUMMYFUNCTION("IF($M306="""","""",IFERROR(sparkline(query(GOOGLEFINANCE($AZ306,""price"",TODAY()-$AF$43,TODAY(),1),""select Col2 label Col2 ''""),IF($AG$43=""Gráfico de barras"",{""charttype"",""column"";""highcolor"",""red""},{""chartype"",""line""}))))"),"")</f>
        <v/>
      </c>
      <c r="AH306" s="405"/>
      <c r="AI306" s="467"/>
      <c r="AJ306" s="467"/>
      <c r="AK306" s="467"/>
      <c r="AL306" s="467"/>
      <c r="AM306" s="442"/>
      <c r="AN306" s="442"/>
      <c r="AU306" s="281"/>
      <c r="AV306" s="281"/>
      <c r="AW306" s="281"/>
      <c r="AX306" s="281"/>
      <c r="AY306" s="410">
        <v>263.0</v>
      </c>
      <c r="AZ306" s="411"/>
      <c r="BA306" s="411"/>
      <c r="BB306" s="437"/>
      <c r="BC306" s="437"/>
      <c r="BD306" s="437"/>
      <c r="BE306" s="437"/>
      <c r="BF306" s="415" t="s">
        <v>123</v>
      </c>
      <c r="BG306" s="410">
        <v>263.0</v>
      </c>
      <c r="BH306" s="416"/>
      <c r="BI306" s="416"/>
      <c r="BJ306" s="416"/>
      <c r="BK306" s="416"/>
      <c r="BL306" s="416"/>
      <c r="BM306" s="416"/>
      <c r="BN306" s="282"/>
      <c r="BO306" s="490"/>
      <c r="BP306" s="489"/>
      <c r="BQ306" s="489"/>
      <c r="BR306" s="489"/>
      <c r="BS306" s="489"/>
      <c r="BT306" s="489"/>
      <c r="BU306" s="489"/>
      <c r="BV306" s="489"/>
      <c r="BW306" s="63"/>
      <c r="BX306" s="62"/>
      <c r="BY306" s="452"/>
      <c r="BZ306" s="452"/>
      <c r="CA306" s="452"/>
      <c r="CB306" s="452"/>
      <c r="CC306" s="452"/>
      <c r="CD306" s="452"/>
      <c r="CE306" s="452"/>
      <c r="CF306" s="452"/>
      <c r="CG306" s="452"/>
      <c r="CH306" s="422"/>
      <c r="CI306" s="422"/>
      <c r="CJ306" s="422"/>
      <c r="CK306" s="421"/>
      <c r="CL306" s="421" t="s">
        <v>123</v>
      </c>
      <c r="CM306" s="423"/>
      <c r="CN306" s="421"/>
      <c r="CO306" s="423"/>
      <c r="CP306" s="421"/>
      <c r="CQ306" s="63"/>
      <c r="CR306" s="63"/>
      <c r="CS306" s="63"/>
      <c r="CT306" s="63"/>
      <c r="CU306" s="447"/>
      <c r="CV306" s="447"/>
      <c r="CW306" s="447"/>
      <c r="CX306" s="447"/>
      <c r="CY306" s="447"/>
      <c r="CZ306" s="447"/>
      <c r="DA306" s="447"/>
      <c r="DB306" s="447"/>
      <c r="DC306" s="447"/>
      <c r="DD306" s="447"/>
      <c r="DE306" s="447"/>
      <c r="DF306" s="447"/>
      <c r="DG306" s="447"/>
      <c r="DH306" s="447"/>
      <c r="DI306" s="447"/>
      <c r="DJ306" s="447"/>
      <c r="DK306" s="447"/>
      <c r="DL306" s="67"/>
      <c r="DM306" s="67"/>
      <c r="DN306" s="67"/>
      <c r="DO306" s="67"/>
      <c r="DP306" s="67"/>
      <c r="DQ306" s="67"/>
    </row>
    <row r="307" ht="22.5" customHeight="1">
      <c r="A307" s="383"/>
      <c r="B307" s="384" t="str">
        <f>IFERROR(__xludf.DUMMYFUNCTION("IF(B$43="""","""",IF($AZ307="""","""",IFERROR(Query({CarteirasAtivos},""Select Col3 where Col1 = '""&amp;$AZ307&amp;""'and Col2 = '""&amp;S$21&amp;""'""))))"),"")</f>
        <v/>
      </c>
      <c r="C307" s="384" t="str">
        <f>IFERROR(__xludf.DUMMYFUNCTION("IF(C$43="""","""",IF($AZ307="""","""",IFERROR(Query({CarteirasAtivos},""Select Col3 where Col1 = '""&amp;$AZ307&amp;""'and Col2 = '""&amp;T$21&amp;""'""))))"),"")</f>
        <v/>
      </c>
      <c r="D307" s="384" t="str">
        <f>IFERROR(__xludf.DUMMYFUNCTION("IF(D$43="""","""",IF($AZ307="""","""",IFERROR(Query({CarteirasAtivos},""Select Col3 where Col1 = '""&amp;$AZ307&amp;""'and Col2 = '""&amp;U$21&amp;""'""))))"),"")</f>
        <v/>
      </c>
      <c r="E307" s="384" t="str">
        <f>IFERROR(__xludf.DUMMYFUNCTION("IF(E$43="""","""",IF($AZ307="""","""",IFERROR(Query({CarteirasAtivos},""Select Col3 where Col1 = '""&amp;$AZ307&amp;""'and Col2 = '""&amp;V$21&amp;""'""))))"),"")</f>
        <v/>
      </c>
      <c r="F307" s="384" t="str">
        <f>IFERROR(__xludf.DUMMYFUNCTION("IF(F$43="""","""",IF($AZ307="""","""",IFERROR(Query({CarteirasAtivos},""Select Col3 where Col1 = '""&amp;$AZ307&amp;""'and Col2 = '""&amp;W$21&amp;""'""))))"),"")</f>
        <v/>
      </c>
      <c r="G307" s="384" t="str">
        <f>IFERROR(__xludf.DUMMYFUNCTION("IF(G$43="""","""",IF($AZ307="""","""",IFERROR(Query({CarteirasAtivos},""Select Col3 where Col1 = '""&amp;$AZ307&amp;""'and Col2 = '""&amp;X$21&amp;""'""))))"),"")</f>
        <v/>
      </c>
      <c r="H307" s="384" t="str">
        <f>IFERROR(__xludf.DUMMYFUNCTION("IF(H$43="""","""",IF($AZ307="""","""",IFERROR(Query({CarteirasAtivos},""Select Col3 where Col1 = '""&amp;$AZ307&amp;""'and Col2 = '""&amp;Y$21&amp;""'""))))"),"")</f>
        <v/>
      </c>
      <c r="I307" s="384" t="str">
        <f>IFERROR(__xludf.DUMMYFUNCTION("IF(I$43="""","""",IF($AZ307="""","""",IFERROR(Query({CarteirasAtivos},""Select Col3 where Col1 = '""&amp;$AZ307&amp;""'and Col2 = '""&amp;Z$21&amp;""'""))))"),"")</f>
        <v/>
      </c>
      <c r="J307" s="384" t="str">
        <f>IFERROR(__xludf.DUMMYFUNCTION("IF(J$43="""","""",IF($AZ307="""","""",IFERROR(Query({CarteirasAtivos},""Select Col3 where Col1 = '""&amp;$AZ307&amp;""'and Col2 = '""&amp;AA$21&amp;""'""))))"),"")</f>
        <v/>
      </c>
      <c r="K307" s="384" t="str">
        <f>IFERROR(__xludf.DUMMYFUNCTION("IF(K$43="""","""",IF($AZ307="""","""",IFERROR(Query({CarteirasAtivos},""Select Col3 where Col1 = '""&amp;$AZ307&amp;""'and Col2 = '""&amp;AB$21&amp;""'""))))"),"")</f>
        <v/>
      </c>
      <c r="L307" s="385">
        <v>264.0</v>
      </c>
      <c r="M307" s="503"/>
      <c r="N307" s="387"/>
      <c r="O307" s="388" t="s">
        <v>123</v>
      </c>
      <c r="P307" s="389"/>
      <c r="Q307" s="390"/>
      <c r="R307" s="391"/>
      <c r="S307" s="392"/>
      <c r="T307" s="393"/>
      <c r="U307" s="393"/>
      <c r="V307" s="394"/>
      <c r="W307" s="395" t="str">
        <f>IFERROR(__xludf.DUMMYFUNCTION("IF(M307="""","""",sparkline(IFERROR(BF307*100/MAX($BF$44:$BF$153),0),{""charttype"",""bar"";""max"",100;""color1"",IF(BD307&gt;=0,""#4760a5"",""red"")}))"),"")</f>
        <v/>
      </c>
      <c r="X307" s="396"/>
      <c r="Y307" s="466"/>
      <c r="Z307" s="398"/>
      <c r="AA307" s="511"/>
      <c r="AB307" s="393"/>
      <c r="AC307" s="476"/>
      <c r="AD307" s="401"/>
      <c r="AE307" s="402"/>
      <c r="AF307" s="403"/>
      <c r="AG307" s="404" t="str">
        <f>IFERROR(__xludf.DUMMYFUNCTION("IF($M307="""","""",IFERROR(sparkline(query(GOOGLEFINANCE($AZ307,""price"",TODAY()-$AF$43,TODAY(),1),""select Col2 label Col2 ''""),IF($AG$43=""Gráfico de barras"",{""charttype"",""column"";""highcolor"",""red""},{""chartype"",""line""}))))"),"")</f>
        <v/>
      </c>
      <c r="AH307" s="405"/>
      <c r="AI307" s="467"/>
      <c r="AJ307" s="467"/>
      <c r="AK307" s="467"/>
      <c r="AL307" s="467"/>
      <c r="AM307" s="442"/>
      <c r="AN307" s="442"/>
      <c r="AU307" s="281"/>
      <c r="AV307" s="281"/>
      <c r="AW307" s="281"/>
      <c r="AX307" s="281"/>
      <c r="AY307" s="410">
        <v>264.0</v>
      </c>
      <c r="AZ307" s="411"/>
      <c r="BA307" s="411"/>
      <c r="BB307" s="437"/>
      <c r="BC307" s="437"/>
      <c r="BD307" s="437"/>
      <c r="BE307" s="437"/>
      <c r="BF307" s="415" t="s">
        <v>123</v>
      </c>
      <c r="BG307" s="410">
        <v>264.0</v>
      </c>
      <c r="BH307" s="416"/>
      <c r="BI307" s="416"/>
      <c r="BJ307" s="416"/>
      <c r="BK307" s="416"/>
      <c r="BL307" s="416"/>
      <c r="BM307" s="416"/>
      <c r="BN307" s="282"/>
      <c r="BO307" s="490"/>
      <c r="BP307" s="489"/>
      <c r="BQ307" s="489"/>
      <c r="BR307" s="489"/>
      <c r="BS307" s="489"/>
      <c r="BT307" s="489"/>
      <c r="BU307" s="489"/>
      <c r="BV307" s="489"/>
      <c r="BW307" s="63"/>
      <c r="BX307" s="62"/>
      <c r="BY307" s="452"/>
      <c r="BZ307" s="452"/>
      <c r="CA307" s="452"/>
      <c r="CB307" s="452"/>
      <c r="CC307" s="452"/>
      <c r="CD307" s="452"/>
      <c r="CE307" s="452"/>
      <c r="CF307" s="452"/>
      <c r="CG307" s="452"/>
      <c r="CH307" s="422"/>
      <c r="CI307" s="422"/>
      <c r="CJ307" s="422"/>
      <c r="CK307" s="421"/>
      <c r="CL307" s="421" t="s">
        <v>123</v>
      </c>
      <c r="CM307" s="423"/>
      <c r="CN307" s="421"/>
      <c r="CO307" s="423"/>
      <c r="CP307" s="421"/>
      <c r="CQ307" s="63"/>
      <c r="CR307" s="63"/>
      <c r="CS307" s="63"/>
      <c r="CT307" s="63"/>
      <c r="CU307" s="447"/>
      <c r="CV307" s="447"/>
      <c r="CW307" s="447"/>
      <c r="CX307" s="447"/>
      <c r="CY307" s="447"/>
      <c r="CZ307" s="447"/>
      <c r="DA307" s="447"/>
      <c r="DB307" s="447"/>
      <c r="DC307" s="447"/>
      <c r="DD307" s="447"/>
      <c r="DE307" s="447"/>
      <c r="DF307" s="447"/>
      <c r="DG307" s="447"/>
      <c r="DH307" s="447"/>
      <c r="DI307" s="447"/>
      <c r="DJ307" s="447"/>
      <c r="DK307" s="447"/>
      <c r="DL307" s="67"/>
      <c r="DM307" s="67"/>
      <c r="DN307" s="67"/>
      <c r="DO307" s="67"/>
      <c r="DP307" s="67"/>
      <c r="DQ307" s="67"/>
    </row>
    <row r="308" ht="22.5" customHeight="1">
      <c r="A308" s="383"/>
      <c r="B308" s="384" t="str">
        <f>IFERROR(__xludf.DUMMYFUNCTION("IF(B$43="""","""",IF($AZ308="""","""",IFERROR(Query({CarteirasAtivos},""Select Col3 where Col1 = '""&amp;$AZ308&amp;""'and Col2 = '""&amp;S$21&amp;""'""))))"),"")</f>
        <v/>
      </c>
      <c r="C308" s="384" t="str">
        <f>IFERROR(__xludf.DUMMYFUNCTION("IF(C$43="""","""",IF($AZ308="""","""",IFERROR(Query({CarteirasAtivos},""Select Col3 where Col1 = '""&amp;$AZ308&amp;""'and Col2 = '""&amp;T$21&amp;""'""))))"),"")</f>
        <v/>
      </c>
      <c r="D308" s="384" t="str">
        <f>IFERROR(__xludf.DUMMYFUNCTION("IF(D$43="""","""",IF($AZ308="""","""",IFERROR(Query({CarteirasAtivos},""Select Col3 where Col1 = '""&amp;$AZ308&amp;""'and Col2 = '""&amp;U$21&amp;""'""))))"),"")</f>
        <v/>
      </c>
      <c r="E308" s="384" t="str">
        <f>IFERROR(__xludf.DUMMYFUNCTION("IF(E$43="""","""",IF($AZ308="""","""",IFERROR(Query({CarteirasAtivos},""Select Col3 where Col1 = '""&amp;$AZ308&amp;""'and Col2 = '""&amp;V$21&amp;""'""))))"),"")</f>
        <v/>
      </c>
      <c r="F308" s="384" t="str">
        <f>IFERROR(__xludf.DUMMYFUNCTION("IF(F$43="""","""",IF($AZ308="""","""",IFERROR(Query({CarteirasAtivos},""Select Col3 where Col1 = '""&amp;$AZ308&amp;""'and Col2 = '""&amp;W$21&amp;""'""))))"),"")</f>
        <v/>
      </c>
      <c r="G308" s="384" t="str">
        <f>IFERROR(__xludf.DUMMYFUNCTION("IF(G$43="""","""",IF($AZ308="""","""",IFERROR(Query({CarteirasAtivos},""Select Col3 where Col1 = '""&amp;$AZ308&amp;""'and Col2 = '""&amp;X$21&amp;""'""))))"),"")</f>
        <v/>
      </c>
      <c r="H308" s="384" t="str">
        <f>IFERROR(__xludf.DUMMYFUNCTION("IF(H$43="""","""",IF($AZ308="""","""",IFERROR(Query({CarteirasAtivos},""Select Col3 where Col1 = '""&amp;$AZ308&amp;""'and Col2 = '""&amp;Y$21&amp;""'""))))"),"")</f>
        <v/>
      </c>
      <c r="I308" s="384" t="str">
        <f>IFERROR(__xludf.DUMMYFUNCTION("IF(I$43="""","""",IF($AZ308="""","""",IFERROR(Query({CarteirasAtivos},""Select Col3 where Col1 = '""&amp;$AZ308&amp;""'and Col2 = '""&amp;Z$21&amp;""'""))))"),"")</f>
        <v/>
      </c>
      <c r="J308" s="384" t="str">
        <f>IFERROR(__xludf.DUMMYFUNCTION("IF(J$43="""","""",IF($AZ308="""","""",IFERROR(Query({CarteirasAtivos},""Select Col3 where Col1 = '""&amp;$AZ308&amp;""'and Col2 = '""&amp;AA$21&amp;""'""))))"),"")</f>
        <v/>
      </c>
      <c r="K308" s="384" t="str">
        <f>IFERROR(__xludf.DUMMYFUNCTION("IF(K$43="""","""",IF($AZ308="""","""",IFERROR(Query({CarteirasAtivos},""Select Col3 where Col1 = '""&amp;$AZ308&amp;""'and Col2 = '""&amp;AB$21&amp;""'""))))"),"")</f>
        <v/>
      </c>
      <c r="L308" s="385">
        <v>265.0</v>
      </c>
      <c r="M308" s="503"/>
      <c r="N308" s="387"/>
      <c r="O308" s="388" t="s">
        <v>123</v>
      </c>
      <c r="P308" s="389"/>
      <c r="Q308" s="390"/>
      <c r="R308" s="391"/>
      <c r="S308" s="392"/>
      <c r="T308" s="393"/>
      <c r="U308" s="393"/>
      <c r="V308" s="394"/>
      <c r="W308" s="395" t="str">
        <f>IFERROR(__xludf.DUMMYFUNCTION("IF(M308="""","""",sparkline(IFERROR(BF308*100/MAX($BF$44:$BF$153),0),{""charttype"",""bar"";""max"",100;""color1"",IF(BD308&gt;=0,""#4760a5"",""red"")}))"),"")</f>
        <v/>
      </c>
      <c r="X308" s="396"/>
      <c r="Y308" s="466"/>
      <c r="Z308" s="398"/>
      <c r="AA308" s="511"/>
      <c r="AB308" s="393"/>
      <c r="AC308" s="476"/>
      <c r="AD308" s="401"/>
      <c r="AE308" s="402"/>
      <c r="AF308" s="403"/>
      <c r="AG308" s="404" t="str">
        <f>IFERROR(__xludf.DUMMYFUNCTION("IF($M308="""","""",IFERROR(sparkline(query(GOOGLEFINANCE($AZ308,""price"",TODAY()-$AF$43,TODAY(),1),""select Col2 label Col2 ''""),IF($AG$43=""Gráfico de barras"",{""charttype"",""column"";""highcolor"",""red""},{""chartype"",""line""}))))"),"")</f>
        <v/>
      </c>
      <c r="AH308" s="405"/>
      <c r="AI308" s="467"/>
      <c r="AJ308" s="467"/>
      <c r="AK308" s="467"/>
      <c r="AL308" s="467"/>
      <c r="AM308" s="442"/>
      <c r="AN308" s="442"/>
      <c r="AU308" s="281"/>
      <c r="AV308" s="281"/>
      <c r="AW308" s="281"/>
      <c r="AX308" s="281"/>
      <c r="AY308" s="410">
        <v>265.0</v>
      </c>
      <c r="AZ308" s="411"/>
      <c r="BA308" s="411"/>
      <c r="BB308" s="437"/>
      <c r="BC308" s="437"/>
      <c r="BD308" s="437"/>
      <c r="BE308" s="437"/>
      <c r="BF308" s="415" t="s">
        <v>123</v>
      </c>
      <c r="BG308" s="410">
        <v>265.0</v>
      </c>
      <c r="BH308" s="416"/>
      <c r="BI308" s="416"/>
      <c r="BJ308" s="416"/>
      <c r="BK308" s="416"/>
      <c r="BL308" s="416"/>
      <c r="BM308" s="416"/>
      <c r="BN308" s="282"/>
      <c r="BO308" s="490"/>
      <c r="BP308" s="489"/>
      <c r="BQ308" s="489"/>
      <c r="BR308" s="489"/>
      <c r="BS308" s="489"/>
      <c r="BT308" s="489"/>
      <c r="BU308" s="489"/>
      <c r="BV308" s="489"/>
      <c r="BW308" s="63"/>
      <c r="BX308" s="62"/>
      <c r="BY308" s="452"/>
      <c r="BZ308" s="452"/>
      <c r="CA308" s="452"/>
      <c r="CB308" s="452"/>
      <c r="CC308" s="452"/>
      <c r="CD308" s="452"/>
      <c r="CE308" s="452"/>
      <c r="CF308" s="452"/>
      <c r="CG308" s="452"/>
      <c r="CH308" s="422"/>
      <c r="CI308" s="422"/>
      <c r="CJ308" s="422"/>
      <c r="CK308" s="421"/>
      <c r="CL308" s="421" t="s">
        <v>123</v>
      </c>
      <c r="CM308" s="423"/>
      <c r="CN308" s="421"/>
      <c r="CO308" s="423"/>
      <c r="CP308" s="421"/>
      <c r="CQ308" s="63"/>
      <c r="CR308" s="63"/>
      <c r="CS308" s="63"/>
      <c r="CT308" s="63"/>
      <c r="CU308" s="447"/>
      <c r="CV308" s="447"/>
      <c r="CW308" s="447"/>
      <c r="CX308" s="447"/>
      <c r="CY308" s="447"/>
      <c r="CZ308" s="447"/>
      <c r="DA308" s="447"/>
      <c r="DB308" s="447"/>
      <c r="DC308" s="447"/>
      <c r="DD308" s="447"/>
      <c r="DE308" s="447"/>
      <c r="DF308" s="447"/>
      <c r="DG308" s="447"/>
      <c r="DH308" s="447"/>
      <c r="DI308" s="447"/>
      <c r="DJ308" s="447"/>
      <c r="DK308" s="447"/>
      <c r="DL308" s="67"/>
      <c r="DM308" s="67"/>
      <c r="DN308" s="67"/>
      <c r="DO308" s="67"/>
      <c r="DP308" s="67"/>
      <c r="DQ308" s="67"/>
    </row>
    <row r="309" ht="22.5" customHeight="1">
      <c r="A309" s="383"/>
      <c r="B309" s="384" t="str">
        <f>IFERROR(__xludf.DUMMYFUNCTION("IF(B$43="""","""",IF($AZ309="""","""",IFERROR(Query({CarteirasAtivos},""Select Col3 where Col1 = '""&amp;$AZ309&amp;""'and Col2 = '""&amp;S$21&amp;""'""))))"),"")</f>
        <v/>
      </c>
      <c r="C309" s="384" t="str">
        <f>IFERROR(__xludf.DUMMYFUNCTION("IF(C$43="""","""",IF($AZ309="""","""",IFERROR(Query({CarteirasAtivos},""Select Col3 where Col1 = '""&amp;$AZ309&amp;""'and Col2 = '""&amp;T$21&amp;""'""))))"),"")</f>
        <v/>
      </c>
      <c r="D309" s="384" t="str">
        <f>IFERROR(__xludf.DUMMYFUNCTION("IF(D$43="""","""",IF($AZ309="""","""",IFERROR(Query({CarteirasAtivos},""Select Col3 where Col1 = '""&amp;$AZ309&amp;""'and Col2 = '""&amp;U$21&amp;""'""))))"),"")</f>
        <v/>
      </c>
      <c r="E309" s="384" t="str">
        <f>IFERROR(__xludf.DUMMYFUNCTION("IF(E$43="""","""",IF($AZ309="""","""",IFERROR(Query({CarteirasAtivos},""Select Col3 where Col1 = '""&amp;$AZ309&amp;""'and Col2 = '""&amp;V$21&amp;""'""))))"),"")</f>
        <v/>
      </c>
      <c r="F309" s="384" t="str">
        <f>IFERROR(__xludf.DUMMYFUNCTION("IF(F$43="""","""",IF($AZ309="""","""",IFERROR(Query({CarteirasAtivos},""Select Col3 where Col1 = '""&amp;$AZ309&amp;""'and Col2 = '""&amp;W$21&amp;""'""))))"),"")</f>
        <v/>
      </c>
      <c r="G309" s="384" t="str">
        <f>IFERROR(__xludf.DUMMYFUNCTION("IF(G$43="""","""",IF($AZ309="""","""",IFERROR(Query({CarteirasAtivos},""Select Col3 where Col1 = '""&amp;$AZ309&amp;""'and Col2 = '""&amp;X$21&amp;""'""))))"),"")</f>
        <v/>
      </c>
      <c r="H309" s="384" t="str">
        <f>IFERROR(__xludf.DUMMYFUNCTION("IF(H$43="""","""",IF($AZ309="""","""",IFERROR(Query({CarteirasAtivos},""Select Col3 where Col1 = '""&amp;$AZ309&amp;""'and Col2 = '""&amp;Y$21&amp;""'""))))"),"")</f>
        <v/>
      </c>
      <c r="I309" s="384" t="str">
        <f>IFERROR(__xludf.DUMMYFUNCTION("IF(I$43="""","""",IF($AZ309="""","""",IFERROR(Query({CarteirasAtivos},""Select Col3 where Col1 = '""&amp;$AZ309&amp;""'and Col2 = '""&amp;Z$21&amp;""'""))))"),"")</f>
        <v/>
      </c>
      <c r="J309" s="384" t="str">
        <f>IFERROR(__xludf.DUMMYFUNCTION("IF(J$43="""","""",IF($AZ309="""","""",IFERROR(Query({CarteirasAtivos},""Select Col3 where Col1 = '""&amp;$AZ309&amp;""'and Col2 = '""&amp;AA$21&amp;""'""))))"),"")</f>
        <v/>
      </c>
      <c r="K309" s="384" t="str">
        <f>IFERROR(__xludf.DUMMYFUNCTION("IF(K$43="""","""",IF($AZ309="""","""",IFERROR(Query({CarteirasAtivos},""Select Col3 where Col1 = '""&amp;$AZ309&amp;""'and Col2 = '""&amp;AB$21&amp;""'""))))"),"")</f>
        <v/>
      </c>
      <c r="L309" s="385">
        <v>266.0</v>
      </c>
      <c r="M309" s="503"/>
      <c r="N309" s="387"/>
      <c r="O309" s="388" t="s">
        <v>123</v>
      </c>
      <c r="P309" s="389"/>
      <c r="Q309" s="390"/>
      <c r="R309" s="391"/>
      <c r="S309" s="392"/>
      <c r="T309" s="393"/>
      <c r="U309" s="393"/>
      <c r="V309" s="394"/>
      <c r="W309" s="395" t="str">
        <f>IFERROR(__xludf.DUMMYFUNCTION("IF(M309="""","""",sparkline(IFERROR(BF309*100/MAX($BF$44:$BF$153),0),{""charttype"",""bar"";""max"",100;""color1"",IF(BD309&gt;=0,""#4760a5"",""red"")}))"),"")</f>
        <v/>
      </c>
      <c r="X309" s="396"/>
      <c r="Y309" s="466"/>
      <c r="Z309" s="398"/>
      <c r="AA309" s="511"/>
      <c r="AB309" s="393"/>
      <c r="AC309" s="476"/>
      <c r="AD309" s="401"/>
      <c r="AE309" s="402"/>
      <c r="AF309" s="403"/>
      <c r="AG309" s="404" t="str">
        <f>IFERROR(__xludf.DUMMYFUNCTION("IF($M309="""","""",IFERROR(sparkline(query(GOOGLEFINANCE($AZ309,""price"",TODAY()-$AF$43,TODAY(),1),""select Col2 label Col2 ''""),IF($AG$43=""Gráfico de barras"",{""charttype"",""column"";""highcolor"",""red""},{""chartype"",""line""}))))"),"")</f>
        <v/>
      </c>
      <c r="AH309" s="405"/>
      <c r="AI309" s="467"/>
      <c r="AJ309" s="467"/>
      <c r="AK309" s="467"/>
      <c r="AL309" s="467"/>
      <c r="AM309" s="442"/>
      <c r="AN309" s="442"/>
      <c r="AU309" s="281"/>
      <c r="AV309" s="281"/>
      <c r="AW309" s="281"/>
      <c r="AX309" s="281"/>
      <c r="AY309" s="410">
        <v>266.0</v>
      </c>
      <c r="AZ309" s="411"/>
      <c r="BA309" s="411"/>
      <c r="BB309" s="437"/>
      <c r="BC309" s="437"/>
      <c r="BD309" s="437"/>
      <c r="BE309" s="437"/>
      <c r="BF309" s="415" t="s">
        <v>123</v>
      </c>
      <c r="BG309" s="410">
        <v>266.0</v>
      </c>
      <c r="BH309" s="416"/>
      <c r="BI309" s="416"/>
      <c r="BJ309" s="416"/>
      <c r="BK309" s="416"/>
      <c r="BL309" s="416"/>
      <c r="BM309" s="416"/>
      <c r="BN309" s="282"/>
      <c r="BO309" s="490"/>
      <c r="BP309" s="489"/>
      <c r="BQ309" s="489"/>
      <c r="BR309" s="489"/>
      <c r="BS309" s="489"/>
      <c r="BT309" s="489"/>
      <c r="BU309" s="489"/>
      <c r="BV309" s="489"/>
      <c r="BW309" s="63"/>
      <c r="BX309" s="62"/>
      <c r="BY309" s="452"/>
      <c r="BZ309" s="452"/>
      <c r="CA309" s="452"/>
      <c r="CB309" s="452"/>
      <c r="CC309" s="452"/>
      <c r="CD309" s="452"/>
      <c r="CE309" s="452"/>
      <c r="CF309" s="452"/>
      <c r="CG309" s="452"/>
      <c r="CH309" s="422"/>
      <c r="CI309" s="422"/>
      <c r="CJ309" s="422"/>
      <c r="CK309" s="421"/>
      <c r="CL309" s="421" t="s">
        <v>123</v>
      </c>
      <c r="CM309" s="423"/>
      <c r="CN309" s="421"/>
      <c r="CO309" s="423"/>
      <c r="CP309" s="421"/>
      <c r="CQ309" s="63"/>
      <c r="CR309" s="63"/>
      <c r="CS309" s="63"/>
      <c r="CT309" s="63"/>
      <c r="CU309" s="447"/>
      <c r="CV309" s="447"/>
      <c r="CW309" s="447"/>
      <c r="CX309" s="447"/>
      <c r="CY309" s="447"/>
      <c r="CZ309" s="447"/>
      <c r="DA309" s="447"/>
      <c r="DB309" s="447"/>
      <c r="DC309" s="447"/>
      <c r="DD309" s="447"/>
      <c r="DE309" s="447"/>
      <c r="DF309" s="447"/>
      <c r="DG309" s="447"/>
      <c r="DH309" s="447"/>
      <c r="DI309" s="447"/>
      <c r="DJ309" s="447"/>
      <c r="DK309" s="447"/>
      <c r="DL309" s="67"/>
      <c r="DM309" s="67"/>
      <c r="DN309" s="67"/>
      <c r="DO309" s="67"/>
      <c r="DP309" s="67"/>
      <c r="DQ309" s="67"/>
    </row>
    <row r="310" ht="22.5" customHeight="1">
      <c r="A310" s="383"/>
      <c r="B310" s="384" t="str">
        <f>IFERROR(__xludf.DUMMYFUNCTION("IF(B$43="""","""",IF($AZ310="""","""",IFERROR(Query({CarteirasAtivos},""Select Col3 where Col1 = '""&amp;$AZ310&amp;""'and Col2 = '""&amp;S$21&amp;""'""))))"),"")</f>
        <v/>
      </c>
      <c r="C310" s="384" t="str">
        <f>IFERROR(__xludf.DUMMYFUNCTION("IF(C$43="""","""",IF($AZ310="""","""",IFERROR(Query({CarteirasAtivos},""Select Col3 where Col1 = '""&amp;$AZ310&amp;""'and Col2 = '""&amp;T$21&amp;""'""))))"),"")</f>
        <v/>
      </c>
      <c r="D310" s="384" t="str">
        <f>IFERROR(__xludf.DUMMYFUNCTION("IF(D$43="""","""",IF($AZ310="""","""",IFERROR(Query({CarteirasAtivos},""Select Col3 where Col1 = '""&amp;$AZ310&amp;""'and Col2 = '""&amp;U$21&amp;""'""))))"),"")</f>
        <v/>
      </c>
      <c r="E310" s="384" t="str">
        <f>IFERROR(__xludf.DUMMYFUNCTION("IF(E$43="""","""",IF($AZ310="""","""",IFERROR(Query({CarteirasAtivos},""Select Col3 where Col1 = '""&amp;$AZ310&amp;""'and Col2 = '""&amp;V$21&amp;""'""))))"),"")</f>
        <v/>
      </c>
      <c r="F310" s="384" t="str">
        <f>IFERROR(__xludf.DUMMYFUNCTION("IF(F$43="""","""",IF($AZ310="""","""",IFERROR(Query({CarteirasAtivos},""Select Col3 where Col1 = '""&amp;$AZ310&amp;""'and Col2 = '""&amp;W$21&amp;""'""))))"),"")</f>
        <v/>
      </c>
      <c r="G310" s="384" t="str">
        <f>IFERROR(__xludf.DUMMYFUNCTION("IF(G$43="""","""",IF($AZ310="""","""",IFERROR(Query({CarteirasAtivos},""Select Col3 where Col1 = '""&amp;$AZ310&amp;""'and Col2 = '""&amp;X$21&amp;""'""))))"),"")</f>
        <v/>
      </c>
      <c r="H310" s="384" t="str">
        <f>IFERROR(__xludf.DUMMYFUNCTION("IF(H$43="""","""",IF($AZ310="""","""",IFERROR(Query({CarteirasAtivos},""Select Col3 where Col1 = '""&amp;$AZ310&amp;""'and Col2 = '""&amp;Y$21&amp;""'""))))"),"")</f>
        <v/>
      </c>
      <c r="I310" s="384" t="str">
        <f>IFERROR(__xludf.DUMMYFUNCTION("IF(I$43="""","""",IF($AZ310="""","""",IFERROR(Query({CarteirasAtivos},""Select Col3 where Col1 = '""&amp;$AZ310&amp;""'and Col2 = '""&amp;Z$21&amp;""'""))))"),"")</f>
        <v/>
      </c>
      <c r="J310" s="384" t="str">
        <f>IFERROR(__xludf.DUMMYFUNCTION("IF(J$43="""","""",IF($AZ310="""","""",IFERROR(Query({CarteirasAtivos},""Select Col3 where Col1 = '""&amp;$AZ310&amp;""'and Col2 = '""&amp;AA$21&amp;""'""))))"),"")</f>
        <v/>
      </c>
      <c r="K310" s="384" t="str">
        <f>IFERROR(__xludf.DUMMYFUNCTION("IF(K$43="""","""",IF($AZ310="""","""",IFERROR(Query({CarteirasAtivos},""Select Col3 where Col1 = '""&amp;$AZ310&amp;""'and Col2 = '""&amp;AB$21&amp;""'""))))"),"")</f>
        <v/>
      </c>
      <c r="L310" s="385">
        <v>267.0</v>
      </c>
      <c r="M310" s="503"/>
      <c r="N310" s="387"/>
      <c r="O310" s="388" t="s">
        <v>123</v>
      </c>
      <c r="P310" s="389"/>
      <c r="Q310" s="390"/>
      <c r="R310" s="391"/>
      <c r="S310" s="392"/>
      <c r="T310" s="393"/>
      <c r="U310" s="393"/>
      <c r="V310" s="394"/>
      <c r="W310" s="395" t="str">
        <f>IFERROR(__xludf.DUMMYFUNCTION("IF(M310="""","""",sparkline(IFERROR(BF310*100/MAX($BF$44:$BF$153),0),{""charttype"",""bar"";""max"",100;""color1"",IF(BD310&gt;=0,""#4760a5"",""red"")}))"),"")</f>
        <v/>
      </c>
      <c r="X310" s="396"/>
      <c r="Y310" s="466"/>
      <c r="Z310" s="398"/>
      <c r="AA310" s="511"/>
      <c r="AB310" s="393"/>
      <c r="AC310" s="476"/>
      <c r="AD310" s="401"/>
      <c r="AE310" s="402"/>
      <c r="AF310" s="403"/>
      <c r="AG310" s="404" t="str">
        <f>IFERROR(__xludf.DUMMYFUNCTION("IF($M310="""","""",IFERROR(sparkline(query(GOOGLEFINANCE($AZ310,""price"",TODAY()-$AF$43,TODAY(),1),""select Col2 label Col2 ''""),IF($AG$43=""Gráfico de barras"",{""charttype"",""column"";""highcolor"",""red""},{""chartype"",""line""}))))"),"")</f>
        <v/>
      </c>
      <c r="AH310" s="405"/>
      <c r="AI310" s="467"/>
      <c r="AJ310" s="467"/>
      <c r="AK310" s="467"/>
      <c r="AL310" s="467"/>
      <c r="AM310" s="442"/>
      <c r="AN310" s="442"/>
      <c r="AU310" s="281"/>
      <c r="AV310" s="281"/>
      <c r="AW310" s="281"/>
      <c r="AX310" s="281"/>
      <c r="AY310" s="410">
        <v>267.0</v>
      </c>
      <c r="AZ310" s="411"/>
      <c r="BA310" s="411"/>
      <c r="BB310" s="437"/>
      <c r="BC310" s="437"/>
      <c r="BD310" s="437"/>
      <c r="BE310" s="437"/>
      <c r="BF310" s="415" t="s">
        <v>123</v>
      </c>
      <c r="BG310" s="410">
        <v>267.0</v>
      </c>
      <c r="BH310" s="416"/>
      <c r="BI310" s="416"/>
      <c r="BJ310" s="416"/>
      <c r="BK310" s="416"/>
      <c r="BL310" s="416"/>
      <c r="BM310" s="416"/>
      <c r="BN310" s="282"/>
      <c r="BO310" s="490"/>
      <c r="BP310" s="489"/>
      <c r="BQ310" s="489"/>
      <c r="BR310" s="489"/>
      <c r="BS310" s="489"/>
      <c r="BT310" s="489"/>
      <c r="BU310" s="489"/>
      <c r="BV310" s="489"/>
      <c r="BW310" s="63"/>
      <c r="BX310" s="62"/>
      <c r="BY310" s="452"/>
      <c r="BZ310" s="452"/>
      <c r="CA310" s="452"/>
      <c r="CB310" s="452"/>
      <c r="CC310" s="452"/>
      <c r="CD310" s="452"/>
      <c r="CE310" s="452"/>
      <c r="CF310" s="452"/>
      <c r="CG310" s="452"/>
      <c r="CH310" s="422"/>
      <c r="CI310" s="422"/>
      <c r="CJ310" s="422"/>
      <c r="CK310" s="421"/>
      <c r="CL310" s="421" t="s">
        <v>123</v>
      </c>
      <c r="CM310" s="423"/>
      <c r="CN310" s="421"/>
      <c r="CO310" s="423"/>
      <c r="CP310" s="421"/>
      <c r="CQ310" s="63"/>
      <c r="CR310" s="63"/>
      <c r="CS310" s="63"/>
      <c r="CT310" s="63"/>
      <c r="CU310" s="447"/>
      <c r="CV310" s="447"/>
      <c r="CW310" s="447"/>
      <c r="CX310" s="447"/>
      <c r="CY310" s="447"/>
      <c r="CZ310" s="447"/>
      <c r="DA310" s="447"/>
      <c r="DB310" s="447"/>
      <c r="DC310" s="447"/>
      <c r="DD310" s="447"/>
      <c r="DE310" s="447"/>
      <c r="DF310" s="447"/>
      <c r="DG310" s="447"/>
      <c r="DH310" s="447"/>
      <c r="DI310" s="447"/>
      <c r="DJ310" s="447"/>
      <c r="DK310" s="447"/>
      <c r="DL310" s="67"/>
      <c r="DM310" s="67"/>
      <c r="DN310" s="67"/>
      <c r="DO310" s="67"/>
      <c r="DP310" s="67"/>
      <c r="DQ310" s="67"/>
    </row>
    <row r="311" ht="22.5" customHeight="1">
      <c r="A311" s="383"/>
      <c r="B311" s="384" t="str">
        <f>IFERROR(__xludf.DUMMYFUNCTION("IF(B$43="""","""",IF($AZ311="""","""",IFERROR(Query({CarteirasAtivos},""Select Col3 where Col1 = '""&amp;$AZ311&amp;""'and Col2 = '""&amp;S$21&amp;""'""))))"),"")</f>
        <v/>
      </c>
      <c r="C311" s="384" t="str">
        <f>IFERROR(__xludf.DUMMYFUNCTION("IF(C$43="""","""",IF($AZ311="""","""",IFERROR(Query({CarteirasAtivos},""Select Col3 where Col1 = '""&amp;$AZ311&amp;""'and Col2 = '""&amp;T$21&amp;""'""))))"),"")</f>
        <v/>
      </c>
      <c r="D311" s="384" t="str">
        <f>IFERROR(__xludf.DUMMYFUNCTION("IF(D$43="""","""",IF($AZ311="""","""",IFERROR(Query({CarteirasAtivos},""Select Col3 where Col1 = '""&amp;$AZ311&amp;""'and Col2 = '""&amp;U$21&amp;""'""))))"),"")</f>
        <v/>
      </c>
      <c r="E311" s="384" t="str">
        <f>IFERROR(__xludf.DUMMYFUNCTION("IF(E$43="""","""",IF($AZ311="""","""",IFERROR(Query({CarteirasAtivos},""Select Col3 where Col1 = '""&amp;$AZ311&amp;""'and Col2 = '""&amp;V$21&amp;""'""))))"),"")</f>
        <v/>
      </c>
      <c r="F311" s="384" t="str">
        <f>IFERROR(__xludf.DUMMYFUNCTION("IF(F$43="""","""",IF($AZ311="""","""",IFERROR(Query({CarteirasAtivos},""Select Col3 where Col1 = '""&amp;$AZ311&amp;""'and Col2 = '""&amp;W$21&amp;""'""))))"),"")</f>
        <v/>
      </c>
      <c r="G311" s="384" t="str">
        <f>IFERROR(__xludf.DUMMYFUNCTION("IF(G$43="""","""",IF($AZ311="""","""",IFERROR(Query({CarteirasAtivos},""Select Col3 where Col1 = '""&amp;$AZ311&amp;""'and Col2 = '""&amp;X$21&amp;""'""))))"),"")</f>
        <v/>
      </c>
      <c r="H311" s="384" t="str">
        <f>IFERROR(__xludf.DUMMYFUNCTION("IF(H$43="""","""",IF($AZ311="""","""",IFERROR(Query({CarteirasAtivos},""Select Col3 where Col1 = '""&amp;$AZ311&amp;""'and Col2 = '""&amp;Y$21&amp;""'""))))"),"")</f>
        <v/>
      </c>
      <c r="I311" s="384" t="str">
        <f>IFERROR(__xludf.DUMMYFUNCTION("IF(I$43="""","""",IF($AZ311="""","""",IFERROR(Query({CarteirasAtivos},""Select Col3 where Col1 = '""&amp;$AZ311&amp;""'and Col2 = '""&amp;Z$21&amp;""'""))))"),"")</f>
        <v/>
      </c>
      <c r="J311" s="384" t="str">
        <f>IFERROR(__xludf.DUMMYFUNCTION("IF(J$43="""","""",IF($AZ311="""","""",IFERROR(Query({CarteirasAtivos},""Select Col3 where Col1 = '""&amp;$AZ311&amp;""'and Col2 = '""&amp;AA$21&amp;""'""))))"),"")</f>
        <v/>
      </c>
      <c r="K311" s="384" t="str">
        <f>IFERROR(__xludf.DUMMYFUNCTION("IF(K$43="""","""",IF($AZ311="""","""",IFERROR(Query({CarteirasAtivos},""Select Col3 where Col1 = '""&amp;$AZ311&amp;""'and Col2 = '""&amp;AB$21&amp;""'""))))"),"")</f>
        <v/>
      </c>
      <c r="L311" s="385">
        <v>268.0</v>
      </c>
      <c r="M311" s="503"/>
      <c r="N311" s="387"/>
      <c r="O311" s="388" t="s">
        <v>123</v>
      </c>
      <c r="P311" s="389"/>
      <c r="Q311" s="390"/>
      <c r="R311" s="391"/>
      <c r="S311" s="392"/>
      <c r="T311" s="393"/>
      <c r="U311" s="393"/>
      <c r="V311" s="394"/>
      <c r="W311" s="395" t="str">
        <f>IFERROR(__xludf.DUMMYFUNCTION("IF(M311="""","""",sparkline(IFERROR(BF311*100/MAX($BF$44:$BF$153),0),{""charttype"",""bar"";""max"",100;""color1"",IF(BD311&gt;=0,""#4760a5"",""red"")}))"),"")</f>
        <v/>
      </c>
      <c r="X311" s="396"/>
      <c r="Y311" s="466"/>
      <c r="Z311" s="398"/>
      <c r="AA311" s="511"/>
      <c r="AB311" s="393"/>
      <c r="AC311" s="476"/>
      <c r="AD311" s="401"/>
      <c r="AE311" s="402"/>
      <c r="AF311" s="403"/>
      <c r="AG311" s="404" t="str">
        <f>IFERROR(__xludf.DUMMYFUNCTION("IF($M311="""","""",IFERROR(sparkline(query(GOOGLEFINANCE($AZ311,""price"",TODAY()-$AF$43,TODAY(),1),""select Col2 label Col2 ''""),IF($AG$43=""Gráfico de barras"",{""charttype"",""column"";""highcolor"",""red""},{""chartype"",""line""}))))"),"")</f>
        <v/>
      </c>
      <c r="AH311" s="405"/>
      <c r="AI311" s="467"/>
      <c r="AJ311" s="467"/>
      <c r="AK311" s="467"/>
      <c r="AL311" s="467"/>
      <c r="AM311" s="442"/>
      <c r="AN311" s="442"/>
      <c r="AU311" s="281"/>
      <c r="AV311" s="281"/>
      <c r="AW311" s="281"/>
      <c r="AX311" s="281"/>
      <c r="AY311" s="410">
        <v>268.0</v>
      </c>
      <c r="AZ311" s="411"/>
      <c r="BA311" s="411"/>
      <c r="BB311" s="437"/>
      <c r="BC311" s="437"/>
      <c r="BD311" s="437"/>
      <c r="BE311" s="437"/>
      <c r="BF311" s="415" t="s">
        <v>123</v>
      </c>
      <c r="BG311" s="410">
        <v>268.0</v>
      </c>
      <c r="BH311" s="416"/>
      <c r="BI311" s="416"/>
      <c r="BJ311" s="416"/>
      <c r="BK311" s="416"/>
      <c r="BL311" s="416"/>
      <c r="BM311" s="416"/>
      <c r="BN311" s="282"/>
      <c r="BO311" s="490"/>
      <c r="BP311" s="489"/>
      <c r="BQ311" s="489"/>
      <c r="BR311" s="489"/>
      <c r="BS311" s="489"/>
      <c r="BT311" s="489"/>
      <c r="BU311" s="489"/>
      <c r="BV311" s="489"/>
      <c r="BW311" s="63"/>
      <c r="BX311" s="62"/>
      <c r="BY311" s="452"/>
      <c r="BZ311" s="452"/>
      <c r="CA311" s="452"/>
      <c r="CB311" s="452"/>
      <c r="CC311" s="452"/>
      <c r="CD311" s="452"/>
      <c r="CE311" s="452"/>
      <c r="CF311" s="452"/>
      <c r="CG311" s="452"/>
      <c r="CH311" s="422"/>
      <c r="CI311" s="422"/>
      <c r="CJ311" s="422"/>
      <c r="CK311" s="421"/>
      <c r="CL311" s="421" t="s">
        <v>123</v>
      </c>
      <c r="CM311" s="423"/>
      <c r="CN311" s="421"/>
      <c r="CO311" s="423"/>
      <c r="CP311" s="421"/>
      <c r="CQ311" s="63"/>
      <c r="CR311" s="63"/>
      <c r="CS311" s="63"/>
      <c r="CT311" s="63"/>
      <c r="CU311" s="447"/>
      <c r="CV311" s="447"/>
      <c r="CW311" s="447"/>
      <c r="CX311" s="447"/>
      <c r="CY311" s="447"/>
      <c r="CZ311" s="447"/>
      <c r="DA311" s="447"/>
      <c r="DB311" s="447"/>
      <c r="DC311" s="447"/>
      <c r="DD311" s="447"/>
      <c r="DE311" s="447"/>
      <c r="DF311" s="447"/>
      <c r="DG311" s="447"/>
      <c r="DH311" s="447"/>
      <c r="DI311" s="447"/>
      <c r="DJ311" s="447"/>
      <c r="DK311" s="447"/>
      <c r="DL311" s="67"/>
      <c r="DM311" s="67"/>
      <c r="DN311" s="67"/>
      <c r="DO311" s="67"/>
      <c r="DP311" s="67"/>
      <c r="DQ311" s="67"/>
    </row>
    <row r="312" ht="22.5" customHeight="1">
      <c r="A312" s="383"/>
      <c r="B312" s="384" t="str">
        <f>IFERROR(__xludf.DUMMYFUNCTION("IF(B$43="""","""",IF($AZ312="""","""",IFERROR(Query({CarteirasAtivos},""Select Col3 where Col1 = '""&amp;$AZ312&amp;""'and Col2 = '""&amp;S$21&amp;""'""))))"),"")</f>
        <v/>
      </c>
      <c r="C312" s="384" t="str">
        <f>IFERROR(__xludf.DUMMYFUNCTION("IF(C$43="""","""",IF($AZ312="""","""",IFERROR(Query({CarteirasAtivos},""Select Col3 where Col1 = '""&amp;$AZ312&amp;""'and Col2 = '""&amp;T$21&amp;""'""))))"),"")</f>
        <v/>
      </c>
      <c r="D312" s="384" t="str">
        <f>IFERROR(__xludf.DUMMYFUNCTION("IF(D$43="""","""",IF($AZ312="""","""",IFERROR(Query({CarteirasAtivos},""Select Col3 where Col1 = '""&amp;$AZ312&amp;""'and Col2 = '""&amp;U$21&amp;""'""))))"),"")</f>
        <v/>
      </c>
      <c r="E312" s="384" t="str">
        <f>IFERROR(__xludf.DUMMYFUNCTION("IF(E$43="""","""",IF($AZ312="""","""",IFERROR(Query({CarteirasAtivos},""Select Col3 where Col1 = '""&amp;$AZ312&amp;""'and Col2 = '""&amp;V$21&amp;""'""))))"),"")</f>
        <v/>
      </c>
      <c r="F312" s="384" t="str">
        <f>IFERROR(__xludf.DUMMYFUNCTION("IF(F$43="""","""",IF($AZ312="""","""",IFERROR(Query({CarteirasAtivos},""Select Col3 where Col1 = '""&amp;$AZ312&amp;""'and Col2 = '""&amp;W$21&amp;""'""))))"),"")</f>
        <v/>
      </c>
      <c r="G312" s="384" t="str">
        <f>IFERROR(__xludf.DUMMYFUNCTION("IF(G$43="""","""",IF($AZ312="""","""",IFERROR(Query({CarteirasAtivos},""Select Col3 where Col1 = '""&amp;$AZ312&amp;""'and Col2 = '""&amp;X$21&amp;""'""))))"),"")</f>
        <v/>
      </c>
      <c r="H312" s="384" t="str">
        <f>IFERROR(__xludf.DUMMYFUNCTION("IF(H$43="""","""",IF($AZ312="""","""",IFERROR(Query({CarteirasAtivos},""Select Col3 where Col1 = '""&amp;$AZ312&amp;""'and Col2 = '""&amp;Y$21&amp;""'""))))"),"")</f>
        <v/>
      </c>
      <c r="I312" s="384" t="str">
        <f>IFERROR(__xludf.DUMMYFUNCTION("IF(I$43="""","""",IF($AZ312="""","""",IFERROR(Query({CarteirasAtivos},""Select Col3 where Col1 = '""&amp;$AZ312&amp;""'and Col2 = '""&amp;Z$21&amp;""'""))))"),"")</f>
        <v/>
      </c>
      <c r="J312" s="384" t="str">
        <f>IFERROR(__xludf.DUMMYFUNCTION("IF(J$43="""","""",IF($AZ312="""","""",IFERROR(Query({CarteirasAtivos},""Select Col3 where Col1 = '""&amp;$AZ312&amp;""'and Col2 = '""&amp;AA$21&amp;""'""))))"),"")</f>
        <v/>
      </c>
      <c r="K312" s="384" t="str">
        <f>IFERROR(__xludf.DUMMYFUNCTION("IF(K$43="""","""",IF($AZ312="""","""",IFERROR(Query({CarteirasAtivos},""Select Col3 where Col1 = '""&amp;$AZ312&amp;""'and Col2 = '""&amp;AB$21&amp;""'""))))"),"")</f>
        <v/>
      </c>
      <c r="L312" s="385">
        <v>269.0</v>
      </c>
      <c r="M312" s="503"/>
      <c r="N312" s="387"/>
      <c r="O312" s="388" t="s">
        <v>123</v>
      </c>
      <c r="P312" s="389"/>
      <c r="Q312" s="390"/>
      <c r="R312" s="391"/>
      <c r="S312" s="392"/>
      <c r="T312" s="393"/>
      <c r="U312" s="393"/>
      <c r="V312" s="394"/>
      <c r="W312" s="395" t="str">
        <f>IFERROR(__xludf.DUMMYFUNCTION("IF(M312="""","""",sparkline(IFERROR(BF312*100/MAX($BF$44:$BF$153),0),{""charttype"",""bar"";""max"",100;""color1"",IF(BD312&gt;=0,""#4760a5"",""red"")}))"),"")</f>
        <v/>
      </c>
      <c r="X312" s="396"/>
      <c r="Y312" s="466"/>
      <c r="Z312" s="398"/>
      <c r="AA312" s="511"/>
      <c r="AB312" s="393"/>
      <c r="AC312" s="476"/>
      <c r="AD312" s="401"/>
      <c r="AE312" s="402"/>
      <c r="AF312" s="403"/>
      <c r="AG312" s="404" t="str">
        <f>IFERROR(__xludf.DUMMYFUNCTION("IF($M312="""","""",IFERROR(sparkline(query(GOOGLEFINANCE($AZ312,""price"",TODAY()-$AF$43,TODAY(),1),""select Col2 label Col2 ''""),IF($AG$43=""Gráfico de barras"",{""charttype"",""column"";""highcolor"",""red""},{""chartype"",""line""}))))"),"")</f>
        <v/>
      </c>
      <c r="AH312" s="405"/>
      <c r="AI312" s="467"/>
      <c r="AJ312" s="467"/>
      <c r="AK312" s="467"/>
      <c r="AL312" s="467"/>
      <c r="AM312" s="442"/>
      <c r="AN312" s="442"/>
      <c r="AU312" s="281"/>
      <c r="AV312" s="281"/>
      <c r="AW312" s="281"/>
      <c r="AX312" s="281"/>
      <c r="AY312" s="410">
        <v>269.0</v>
      </c>
      <c r="AZ312" s="411"/>
      <c r="BA312" s="411"/>
      <c r="BB312" s="437"/>
      <c r="BC312" s="437"/>
      <c r="BD312" s="437"/>
      <c r="BE312" s="437"/>
      <c r="BF312" s="415" t="s">
        <v>123</v>
      </c>
      <c r="BG312" s="410">
        <v>269.0</v>
      </c>
      <c r="BH312" s="416"/>
      <c r="BI312" s="416"/>
      <c r="BJ312" s="416"/>
      <c r="BK312" s="416"/>
      <c r="BL312" s="416"/>
      <c r="BM312" s="416"/>
      <c r="BN312" s="282"/>
      <c r="BO312" s="490"/>
      <c r="BP312" s="489"/>
      <c r="BQ312" s="489"/>
      <c r="BR312" s="489"/>
      <c r="BS312" s="489"/>
      <c r="BT312" s="489"/>
      <c r="BU312" s="489"/>
      <c r="BV312" s="489"/>
      <c r="BW312" s="63"/>
      <c r="BX312" s="62"/>
      <c r="BY312" s="452"/>
      <c r="BZ312" s="452"/>
      <c r="CA312" s="452"/>
      <c r="CB312" s="452"/>
      <c r="CC312" s="452"/>
      <c r="CD312" s="452"/>
      <c r="CE312" s="452"/>
      <c r="CF312" s="452"/>
      <c r="CG312" s="452"/>
      <c r="CH312" s="422"/>
      <c r="CI312" s="422"/>
      <c r="CJ312" s="422"/>
      <c r="CK312" s="421"/>
      <c r="CL312" s="421" t="s">
        <v>123</v>
      </c>
      <c r="CM312" s="423"/>
      <c r="CN312" s="421"/>
      <c r="CO312" s="423"/>
      <c r="CP312" s="421"/>
      <c r="CQ312" s="63"/>
      <c r="CR312" s="63"/>
      <c r="CS312" s="63"/>
      <c r="CT312" s="63"/>
      <c r="CU312" s="447"/>
      <c r="CV312" s="447"/>
      <c r="CW312" s="447"/>
      <c r="CX312" s="447"/>
      <c r="CY312" s="447"/>
      <c r="CZ312" s="447"/>
      <c r="DA312" s="447"/>
      <c r="DB312" s="447"/>
      <c r="DC312" s="447"/>
      <c r="DD312" s="447"/>
      <c r="DE312" s="447"/>
      <c r="DF312" s="447"/>
      <c r="DG312" s="447"/>
      <c r="DH312" s="447"/>
      <c r="DI312" s="447"/>
      <c r="DJ312" s="447"/>
      <c r="DK312" s="447"/>
      <c r="DL312" s="67"/>
      <c r="DM312" s="67"/>
      <c r="DN312" s="67"/>
      <c r="DO312" s="67"/>
      <c r="DP312" s="67"/>
      <c r="DQ312" s="67"/>
    </row>
    <row r="313" ht="22.5" customHeight="1">
      <c r="A313" s="383"/>
      <c r="B313" s="384" t="str">
        <f>IFERROR(__xludf.DUMMYFUNCTION("IF(B$43="""","""",IF($AZ313="""","""",IFERROR(Query({CarteirasAtivos},""Select Col3 where Col1 = '""&amp;$AZ313&amp;""'and Col2 = '""&amp;S$21&amp;""'""))))"),"")</f>
        <v/>
      </c>
      <c r="C313" s="384" t="str">
        <f>IFERROR(__xludf.DUMMYFUNCTION("IF(C$43="""","""",IF($AZ313="""","""",IFERROR(Query({CarteirasAtivos},""Select Col3 where Col1 = '""&amp;$AZ313&amp;""'and Col2 = '""&amp;T$21&amp;""'""))))"),"")</f>
        <v/>
      </c>
      <c r="D313" s="384" t="str">
        <f>IFERROR(__xludf.DUMMYFUNCTION("IF(D$43="""","""",IF($AZ313="""","""",IFERROR(Query({CarteirasAtivos},""Select Col3 where Col1 = '""&amp;$AZ313&amp;""'and Col2 = '""&amp;U$21&amp;""'""))))"),"")</f>
        <v/>
      </c>
      <c r="E313" s="384" t="str">
        <f>IFERROR(__xludf.DUMMYFUNCTION("IF(E$43="""","""",IF($AZ313="""","""",IFERROR(Query({CarteirasAtivos},""Select Col3 where Col1 = '""&amp;$AZ313&amp;""'and Col2 = '""&amp;V$21&amp;""'""))))"),"")</f>
        <v/>
      </c>
      <c r="F313" s="384" t="str">
        <f>IFERROR(__xludf.DUMMYFUNCTION("IF(F$43="""","""",IF($AZ313="""","""",IFERROR(Query({CarteirasAtivos},""Select Col3 where Col1 = '""&amp;$AZ313&amp;""'and Col2 = '""&amp;W$21&amp;""'""))))"),"")</f>
        <v/>
      </c>
      <c r="G313" s="384" t="str">
        <f>IFERROR(__xludf.DUMMYFUNCTION("IF(G$43="""","""",IF($AZ313="""","""",IFERROR(Query({CarteirasAtivos},""Select Col3 where Col1 = '""&amp;$AZ313&amp;""'and Col2 = '""&amp;X$21&amp;""'""))))"),"")</f>
        <v/>
      </c>
      <c r="H313" s="384" t="str">
        <f>IFERROR(__xludf.DUMMYFUNCTION("IF(H$43="""","""",IF($AZ313="""","""",IFERROR(Query({CarteirasAtivos},""Select Col3 where Col1 = '""&amp;$AZ313&amp;""'and Col2 = '""&amp;Y$21&amp;""'""))))"),"")</f>
        <v/>
      </c>
      <c r="I313" s="384" t="str">
        <f>IFERROR(__xludf.DUMMYFUNCTION("IF(I$43="""","""",IF($AZ313="""","""",IFERROR(Query({CarteirasAtivos},""Select Col3 where Col1 = '""&amp;$AZ313&amp;""'and Col2 = '""&amp;Z$21&amp;""'""))))"),"")</f>
        <v/>
      </c>
      <c r="J313" s="384" t="str">
        <f>IFERROR(__xludf.DUMMYFUNCTION("IF(J$43="""","""",IF($AZ313="""","""",IFERROR(Query({CarteirasAtivos},""Select Col3 where Col1 = '""&amp;$AZ313&amp;""'and Col2 = '""&amp;AA$21&amp;""'""))))"),"")</f>
        <v/>
      </c>
      <c r="K313" s="384" t="str">
        <f>IFERROR(__xludf.DUMMYFUNCTION("IF(K$43="""","""",IF($AZ313="""","""",IFERROR(Query({CarteirasAtivos},""Select Col3 where Col1 = '""&amp;$AZ313&amp;""'and Col2 = '""&amp;AB$21&amp;""'""))))"),"")</f>
        <v/>
      </c>
      <c r="L313" s="385">
        <v>270.0</v>
      </c>
      <c r="M313" s="503"/>
      <c r="N313" s="387"/>
      <c r="O313" s="388" t="s">
        <v>123</v>
      </c>
      <c r="P313" s="389"/>
      <c r="Q313" s="390"/>
      <c r="R313" s="391"/>
      <c r="S313" s="392"/>
      <c r="T313" s="393"/>
      <c r="U313" s="393"/>
      <c r="V313" s="394"/>
      <c r="W313" s="395" t="str">
        <f>IFERROR(__xludf.DUMMYFUNCTION("IF(M313="""","""",sparkline(IFERROR(BF313*100/MAX($BF$44:$BF$153),0),{""charttype"",""bar"";""max"",100;""color1"",IF(BD313&gt;=0,""#4760a5"",""red"")}))"),"")</f>
        <v/>
      </c>
      <c r="X313" s="396"/>
      <c r="Y313" s="466"/>
      <c r="Z313" s="398"/>
      <c r="AA313" s="511"/>
      <c r="AB313" s="393"/>
      <c r="AC313" s="476"/>
      <c r="AD313" s="401"/>
      <c r="AE313" s="402"/>
      <c r="AF313" s="403"/>
      <c r="AG313" s="404" t="str">
        <f>IFERROR(__xludf.DUMMYFUNCTION("IF($M313="""","""",IFERROR(sparkline(query(GOOGLEFINANCE($AZ313,""price"",TODAY()-$AF$43,TODAY(),1),""select Col2 label Col2 ''""),IF($AG$43=""Gráfico de barras"",{""charttype"",""column"";""highcolor"",""red""},{""chartype"",""line""}))))"),"")</f>
        <v/>
      </c>
      <c r="AH313" s="405"/>
      <c r="AI313" s="467"/>
      <c r="AJ313" s="467"/>
      <c r="AK313" s="467"/>
      <c r="AL313" s="467"/>
      <c r="AM313" s="442"/>
      <c r="AN313" s="442"/>
      <c r="AU313" s="281"/>
      <c r="AV313" s="281"/>
      <c r="AW313" s="281"/>
      <c r="AX313" s="281"/>
      <c r="AY313" s="410">
        <v>270.0</v>
      </c>
      <c r="AZ313" s="411"/>
      <c r="BA313" s="411"/>
      <c r="BB313" s="437"/>
      <c r="BC313" s="437"/>
      <c r="BD313" s="437"/>
      <c r="BE313" s="437"/>
      <c r="BF313" s="415" t="s">
        <v>123</v>
      </c>
      <c r="BG313" s="410">
        <v>270.0</v>
      </c>
      <c r="BH313" s="416"/>
      <c r="BI313" s="416"/>
      <c r="BJ313" s="416"/>
      <c r="BK313" s="416"/>
      <c r="BL313" s="416"/>
      <c r="BM313" s="416"/>
      <c r="BN313" s="282"/>
      <c r="BO313" s="490"/>
      <c r="BP313" s="489"/>
      <c r="BQ313" s="489"/>
      <c r="BR313" s="489"/>
      <c r="BS313" s="489"/>
      <c r="BT313" s="489"/>
      <c r="BU313" s="489"/>
      <c r="BV313" s="489"/>
      <c r="BW313" s="63"/>
      <c r="BX313" s="62"/>
      <c r="BY313" s="452"/>
      <c r="BZ313" s="452"/>
      <c r="CA313" s="452"/>
      <c r="CB313" s="452"/>
      <c r="CC313" s="452"/>
      <c r="CD313" s="452"/>
      <c r="CE313" s="452"/>
      <c r="CF313" s="452"/>
      <c r="CG313" s="452"/>
      <c r="CH313" s="422"/>
      <c r="CI313" s="422"/>
      <c r="CJ313" s="422"/>
      <c r="CK313" s="421"/>
      <c r="CL313" s="421" t="s">
        <v>123</v>
      </c>
      <c r="CM313" s="423"/>
      <c r="CN313" s="421"/>
      <c r="CO313" s="423"/>
      <c r="CP313" s="421"/>
      <c r="CQ313" s="63"/>
      <c r="CR313" s="63"/>
      <c r="CS313" s="63"/>
      <c r="CT313" s="63"/>
      <c r="CU313" s="447"/>
      <c r="CV313" s="447"/>
      <c r="CW313" s="447"/>
      <c r="CX313" s="447"/>
      <c r="CY313" s="447"/>
      <c r="CZ313" s="447"/>
      <c r="DA313" s="447"/>
      <c r="DB313" s="447"/>
      <c r="DC313" s="447"/>
      <c r="DD313" s="447"/>
      <c r="DE313" s="447"/>
      <c r="DF313" s="447"/>
      <c r="DG313" s="447"/>
      <c r="DH313" s="447"/>
      <c r="DI313" s="447"/>
      <c r="DJ313" s="447"/>
      <c r="DK313" s="447"/>
      <c r="DL313" s="67"/>
      <c r="DM313" s="67"/>
      <c r="DN313" s="67"/>
      <c r="DO313" s="67"/>
      <c r="DP313" s="67"/>
      <c r="DQ313" s="67"/>
    </row>
    <row r="314" ht="22.5" customHeight="1">
      <c r="A314" s="383"/>
      <c r="B314" s="384" t="str">
        <f>IFERROR(__xludf.DUMMYFUNCTION("IF(B$43="""","""",IF($AZ314="""","""",IFERROR(Query({CarteirasAtivos},""Select Col3 where Col1 = '""&amp;$AZ314&amp;""'and Col2 = '""&amp;S$21&amp;""'""))))"),"")</f>
        <v/>
      </c>
      <c r="C314" s="384" t="str">
        <f>IFERROR(__xludf.DUMMYFUNCTION("IF(C$43="""","""",IF($AZ314="""","""",IFERROR(Query({CarteirasAtivos},""Select Col3 where Col1 = '""&amp;$AZ314&amp;""'and Col2 = '""&amp;T$21&amp;""'""))))"),"")</f>
        <v/>
      </c>
      <c r="D314" s="384" t="str">
        <f>IFERROR(__xludf.DUMMYFUNCTION("IF(D$43="""","""",IF($AZ314="""","""",IFERROR(Query({CarteirasAtivos},""Select Col3 where Col1 = '""&amp;$AZ314&amp;""'and Col2 = '""&amp;U$21&amp;""'""))))"),"")</f>
        <v/>
      </c>
      <c r="E314" s="384" t="str">
        <f>IFERROR(__xludf.DUMMYFUNCTION("IF(E$43="""","""",IF($AZ314="""","""",IFERROR(Query({CarteirasAtivos},""Select Col3 where Col1 = '""&amp;$AZ314&amp;""'and Col2 = '""&amp;V$21&amp;""'""))))"),"")</f>
        <v/>
      </c>
      <c r="F314" s="384" t="str">
        <f>IFERROR(__xludf.DUMMYFUNCTION("IF(F$43="""","""",IF($AZ314="""","""",IFERROR(Query({CarteirasAtivos},""Select Col3 where Col1 = '""&amp;$AZ314&amp;""'and Col2 = '""&amp;W$21&amp;""'""))))"),"")</f>
        <v/>
      </c>
      <c r="G314" s="384" t="str">
        <f>IFERROR(__xludf.DUMMYFUNCTION("IF(G$43="""","""",IF($AZ314="""","""",IFERROR(Query({CarteirasAtivos},""Select Col3 where Col1 = '""&amp;$AZ314&amp;""'and Col2 = '""&amp;X$21&amp;""'""))))"),"")</f>
        <v/>
      </c>
      <c r="H314" s="384" t="str">
        <f>IFERROR(__xludf.DUMMYFUNCTION("IF(H$43="""","""",IF($AZ314="""","""",IFERROR(Query({CarteirasAtivos},""Select Col3 where Col1 = '""&amp;$AZ314&amp;""'and Col2 = '""&amp;Y$21&amp;""'""))))"),"")</f>
        <v/>
      </c>
      <c r="I314" s="384" t="str">
        <f>IFERROR(__xludf.DUMMYFUNCTION("IF(I$43="""","""",IF($AZ314="""","""",IFERROR(Query({CarteirasAtivos},""Select Col3 where Col1 = '""&amp;$AZ314&amp;""'and Col2 = '""&amp;Z$21&amp;""'""))))"),"")</f>
        <v/>
      </c>
      <c r="J314" s="384" t="str">
        <f>IFERROR(__xludf.DUMMYFUNCTION("IF(J$43="""","""",IF($AZ314="""","""",IFERROR(Query({CarteirasAtivos},""Select Col3 where Col1 = '""&amp;$AZ314&amp;""'and Col2 = '""&amp;AA$21&amp;""'""))))"),"")</f>
        <v/>
      </c>
      <c r="K314" s="384" t="str">
        <f>IFERROR(__xludf.DUMMYFUNCTION("IF(K$43="""","""",IF($AZ314="""","""",IFERROR(Query({CarteirasAtivos},""Select Col3 where Col1 = '""&amp;$AZ314&amp;""'and Col2 = '""&amp;AB$21&amp;""'""))))"),"")</f>
        <v/>
      </c>
      <c r="L314" s="385">
        <v>271.0</v>
      </c>
      <c r="M314" s="503"/>
      <c r="N314" s="387"/>
      <c r="O314" s="388" t="s">
        <v>123</v>
      </c>
      <c r="P314" s="389"/>
      <c r="Q314" s="390"/>
      <c r="R314" s="391"/>
      <c r="S314" s="392"/>
      <c r="T314" s="393"/>
      <c r="U314" s="393"/>
      <c r="V314" s="394"/>
      <c r="W314" s="395" t="str">
        <f>IFERROR(__xludf.DUMMYFUNCTION("IF(M314="""","""",sparkline(IFERROR(BF314*100/MAX($BF$44:$BF$153),0),{""charttype"",""bar"";""max"",100;""color1"",IF(BD314&gt;=0,""#4760a5"",""red"")}))"),"")</f>
        <v/>
      </c>
      <c r="X314" s="396"/>
      <c r="Y314" s="466"/>
      <c r="Z314" s="398"/>
      <c r="AA314" s="511"/>
      <c r="AB314" s="393"/>
      <c r="AC314" s="476"/>
      <c r="AD314" s="401"/>
      <c r="AE314" s="402"/>
      <c r="AF314" s="403"/>
      <c r="AG314" s="404" t="str">
        <f>IFERROR(__xludf.DUMMYFUNCTION("IF($M314="""","""",IFERROR(sparkline(query(GOOGLEFINANCE($AZ314,""price"",TODAY()-$AF$43,TODAY(),1),""select Col2 label Col2 ''""),IF($AG$43=""Gráfico de barras"",{""charttype"",""column"";""highcolor"",""red""},{""chartype"",""line""}))))"),"")</f>
        <v/>
      </c>
      <c r="AH314" s="405"/>
      <c r="AI314" s="467"/>
      <c r="AJ314" s="467"/>
      <c r="AK314" s="467"/>
      <c r="AL314" s="467"/>
      <c r="AM314" s="442"/>
      <c r="AN314" s="442"/>
      <c r="AU314" s="281"/>
      <c r="AV314" s="281"/>
      <c r="AW314" s="281"/>
      <c r="AX314" s="281"/>
      <c r="AY314" s="410">
        <v>271.0</v>
      </c>
      <c r="AZ314" s="411"/>
      <c r="BA314" s="411"/>
      <c r="BB314" s="437"/>
      <c r="BC314" s="437"/>
      <c r="BD314" s="437"/>
      <c r="BE314" s="437"/>
      <c r="BF314" s="415" t="s">
        <v>123</v>
      </c>
      <c r="BG314" s="410">
        <v>271.0</v>
      </c>
      <c r="BH314" s="416"/>
      <c r="BI314" s="416"/>
      <c r="BJ314" s="416"/>
      <c r="BK314" s="416"/>
      <c r="BL314" s="416"/>
      <c r="BM314" s="416"/>
      <c r="BN314" s="282"/>
      <c r="BO314" s="490"/>
      <c r="BP314" s="489"/>
      <c r="BQ314" s="489"/>
      <c r="BR314" s="489"/>
      <c r="BS314" s="489"/>
      <c r="BT314" s="489"/>
      <c r="BU314" s="489"/>
      <c r="BV314" s="489"/>
      <c r="BW314" s="63"/>
      <c r="BX314" s="62"/>
      <c r="BY314" s="452"/>
      <c r="BZ314" s="452"/>
      <c r="CA314" s="452"/>
      <c r="CB314" s="452"/>
      <c r="CC314" s="452"/>
      <c r="CD314" s="452"/>
      <c r="CE314" s="452"/>
      <c r="CF314" s="452"/>
      <c r="CG314" s="452"/>
      <c r="CH314" s="422"/>
      <c r="CI314" s="422"/>
      <c r="CJ314" s="422"/>
      <c r="CK314" s="421"/>
      <c r="CL314" s="421" t="s">
        <v>123</v>
      </c>
      <c r="CM314" s="423"/>
      <c r="CN314" s="421"/>
      <c r="CO314" s="423"/>
      <c r="CP314" s="421"/>
      <c r="CQ314" s="63"/>
      <c r="CR314" s="63"/>
      <c r="CS314" s="63"/>
      <c r="CT314" s="63"/>
      <c r="CU314" s="447"/>
      <c r="CV314" s="447"/>
      <c r="CW314" s="447"/>
      <c r="CX314" s="447"/>
      <c r="CY314" s="447"/>
      <c r="CZ314" s="447"/>
      <c r="DA314" s="447"/>
      <c r="DB314" s="447"/>
      <c r="DC314" s="447"/>
      <c r="DD314" s="447"/>
      <c r="DE314" s="447"/>
      <c r="DF314" s="447"/>
      <c r="DG314" s="447"/>
      <c r="DH314" s="447"/>
      <c r="DI314" s="447"/>
      <c r="DJ314" s="447"/>
      <c r="DK314" s="447"/>
      <c r="DL314" s="67"/>
      <c r="DM314" s="67"/>
      <c r="DN314" s="67"/>
      <c r="DO314" s="67"/>
      <c r="DP314" s="67"/>
      <c r="DQ314" s="67"/>
    </row>
    <row r="315" ht="22.5" customHeight="1">
      <c r="A315" s="383"/>
      <c r="B315" s="384" t="str">
        <f>IFERROR(__xludf.DUMMYFUNCTION("IF(B$43="""","""",IF($AZ315="""","""",IFERROR(Query({CarteirasAtivos},""Select Col3 where Col1 = '""&amp;$AZ315&amp;""'and Col2 = '""&amp;S$21&amp;""'""))))"),"")</f>
        <v/>
      </c>
      <c r="C315" s="384" t="str">
        <f>IFERROR(__xludf.DUMMYFUNCTION("IF(C$43="""","""",IF($AZ315="""","""",IFERROR(Query({CarteirasAtivos},""Select Col3 where Col1 = '""&amp;$AZ315&amp;""'and Col2 = '""&amp;T$21&amp;""'""))))"),"")</f>
        <v/>
      </c>
      <c r="D315" s="384" t="str">
        <f>IFERROR(__xludf.DUMMYFUNCTION("IF(D$43="""","""",IF($AZ315="""","""",IFERROR(Query({CarteirasAtivos},""Select Col3 where Col1 = '""&amp;$AZ315&amp;""'and Col2 = '""&amp;U$21&amp;""'""))))"),"")</f>
        <v/>
      </c>
      <c r="E315" s="384" t="str">
        <f>IFERROR(__xludf.DUMMYFUNCTION("IF(E$43="""","""",IF($AZ315="""","""",IFERROR(Query({CarteirasAtivos},""Select Col3 where Col1 = '""&amp;$AZ315&amp;""'and Col2 = '""&amp;V$21&amp;""'""))))"),"")</f>
        <v/>
      </c>
      <c r="F315" s="384" t="str">
        <f>IFERROR(__xludf.DUMMYFUNCTION("IF(F$43="""","""",IF($AZ315="""","""",IFERROR(Query({CarteirasAtivos},""Select Col3 where Col1 = '""&amp;$AZ315&amp;""'and Col2 = '""&amp;W$21&amp;""'""))))"),"")</f>
        <v/>
      </c>
      <c r="G315" s="384" t="str">
        <f>IFERROR(__xludf.DUMMYFUNCTION("IF(G$43="""","""",IF($AZ315="""","""",IFERROR(Query({CarteirasAtivos},""Select Col3 where Col1 = '""&amp;$AZ315&amp;""'and Col2 = '""&amp;X$21&amp;""'""))))"),"")</f>
        <v/>
      </c>
      <c r="H315" s="384" t="str">
        <f>IFERROR(__xludf.DUMMYFUNCTION("IF(H$43="""","""",IF($AZ315="""","""",IFERROR(Query({CarteirasAtivos},""Select Col3 where Col1 = '""&amp;$AZ315&amp;""'and Col2 = '""&amp;Y$21&amp;""'""))))"),"")</f>
        <v/>
      </c>
      <c r="I315" s="384" t="str">
        <f>IFERROR(__xludf.DUMMYFUNCTION("IF(I$43="""","""",IF($AZ315="""","""",IFERROR(Query({CarteirasAtivos},""Select Col3 where Col1 = '""&amp;$AZ315&amp;""'and Col2 = '""&amp;Z$21&amp;""'""))))"),"")</f>
        <v/>
      </c>
      <c r="J315" s="384" t="str">
        <f>IFERROR(__xludf.DUMMYFUNCTION("IF(J$43="""","""",IF($AZ315="""","""",IFERROR(Query({CarteirasAtivos},""Select Col3 where Col1 = '""&amp;$AZ315&amp;""'and Col2 = '""&amp;AA$21&amp;""'""))))"),"")</f>
        <v/>
      </c>
      <c r="K315" s="384" t="str">
        <f>IFERROR(__xludf.DUMMYFUNCTION("IF(K$43="""","""",IF($AZ315="""","""",IFERROR(Query({CarteirasAtivos},""Select Col3 where Col1 = '""&amp;$AZ315&amp;""'and Col2 = '""&amp;AB$21&amp;""'""))))"),"")</f>
        <v/>
      </c>
      <c r="L315" s="385">
        <v>272.0</v>
      </c>
      <c r="M315" s="503"/>
      <c r="N315" s="387"/>
      <c r="O315" s="388" t="s">
        <v>123</v>
      </c>
      <c r="P315" s="389"/>
      <c r="Q315" s="390"/>
      <c r="R315" s="391"/>
      <c r="S315" s="392"/>
      <c r="T315" s="393"/>
      <c r="U315" s="393"/>
      <c r="V315" s="394"/>
      <c r="W315" s="395" t="str">
        <f>IFERROR(__xludf.DUMMYFUNCTION("IF(M315="""","""",sparkline(IFERROR(BF315*100/MAX($BF$44:$BF$153),0),{""charttype"",""bar"";""max"",100;""color1"",IF(BD315&gt;=0,""#4760a5"",""red"")}))"),"")</f>
        <v/>
      </c>
      <c r="X315" s="396"/>
      <c r="Y315" s="466"/>
      <c r="Z315" s="398"/>
      <c r="AA315" s="511"/>
      <c r="AB315" s="393"/>
      <c r="AC315" s="476"/>
      <c r="AD315" s="401"/>
      <c r="AE315" s="402"/>
      <c r="AF315" s="403"/>
      <c r="AG315" s="404" t="str">
        <f>IFERROR(__xludf.DUMMYFUNCTION("IF($M315="""","""",IFERROR(sparkline(query(GOOGLEFINANCE($AZ315,""price"",TODAY()-$AF$43,TODAY(),1),""select Col2 label Col2 ''""),IF($AG$43=""Gráfico de barras"",{""charttype"",""column"";""highcolor"",""red""},{""chartype"",""line""}))))"),"")</f>
        <v/>
      </c>
      <c r="AH315" s="405"/>
      <c r="AI315" s="467"/>
      <c r="AJ315" s="467"/>
      <c r="AK315" s="467"/>
      <c r="AL315" s="467"/>
      <c r="AM315" s="442"/>
      <c r="AN315" s="442"/>
      <c r="AU315" s="281"/>
      <c r="AV315" s="281"/>
      <c r="AW315" s="281"/>
      <c r="AX315" s="281"/>
      <c r="AY315" s="410">
        <v>272.0</v>
      </c>
      <c r="AZ315" s="411"/>
      <c r="BA315" s="411"/>
      <c r="BB315" s="437"/>
      <c r="BC315" s="437"/>
      <c r="BD315" s="437"/>
      <c r="BE315" s="437"/>
      <c r="BF315" s="415" t="s">
        <v>123</v>
      </c>
      <c r="BG315" s="410">
        <v>272.0</v>
      </c>
      <c r="BH315" s="416"/>
      <c r="BI315" s="416"/>
      <c r="BJ315" s="416"/>
      <c r="BK315" s="416"/>
      <c r="BL315" s="416"/>
      <c r="BM315" s="416"/>
      <c r="BN315" s="282"/>
      <c r="BO315" s="490"/>
      <c r="BP315" s="489"/>
      <c r="BQ315" s="489"/>
      <c r="BR315" s="489"/>
      <c r="BS315" s="489"/>
      <c r="BT315" s="489"/>
      <c r="BU315" s="489"/>
      <c r="BV315" s="489"/>
      <c r="BW315" s="63"/>
      <c r="BX315" s="62"/>
      <c r="BY315" s="452"/>
      <c r="BZ315" s="452"/>
      <c r="CA315" s="452"/>
      <c r="CB315" s="452"/>
      <c r="CC315" s="452"/>
      <c r="CD315" s="452"/>
      <c r="CE315" s="452"/>
      <c r="CF315" s="452"/>
      <c r="CG315" s="452"/>
      <c r="CH315" s="422"/>
      <c r="CI315" s="422"/>
      <c r="CJ315" s="422"/>
      <c r="CK315" s="421"/>
      <c r="CL315" s="421" t="s">
        <v>123</v>
      </c>
      <c r="CM315" s="423"/>
      <c r="CN315" s="421"/>
      <c r="CO315" s="423"/>
      <c r="CP315" s="421"/>
      <c r="CQ315" s="63"/>
      <c r="CR315" s="63"/>
      <c r="CS315" s="63"/>
      <c r="CT315" s="63"/>
      <c r="CU315" s="447"/>
      <c r="CV315" s="447"/>
      <c r="CW315" s="447"/>
      <c r="CX315" s="447"/>
      <c r="CY315" s="447"/>
      <c r="CZ315" s="447"/>
      <c r="DA315" s="447"/>
      <c r="DB315" s="447"/>
      <c r="DC315" s="447"/>
      <c r="DD315" s="447"/>
      <c r="DE315" s="447"/>
      <c r="DF315" s="447"/>
      <c r="DG315" s="447"/>
      <c r="DH315" s="447"/>
      <c r="DI315" s="447"/>
      <c r="DJ315" s="447"/>
      <c r="DK315" s="447"/>
      <c r="DL315" s="67"/>
      <c r="DM315" s="67"/>
      <c r="DN315" s="67"/>
      <c r="DO315" s="67"/>
      <c r="DP315" s="67"/>
      <c r="DQ315" s="67"/>
    </row>
    <row r="316" ht="22.5" customHeight="1">
      <c r="A316" s="383"/>
      <c r="B316" s="384" t="str">
        <f>IFERROR(__xludf.DUMMYFUNCTION("IF(B$43="""","""",IF($AZ316="""","""",IFERROR(Query({CarteirasAtivos},""Select Col3 where Col1 = '""&amp;$AZ316&amp;""'and Col2 = '""&amp;S$21&amp;""'""))))"),"")</f>
        <v/>
      </c>
      <c r="C316" s="384" t="str">
        <f>IFERROR(__xludf.DUMMYFUNCTION("IF(C$43="""","""",IF($AZ316="""","""",IFERROR(Query({CarteirasAtivos},""Select Col3 where Col1 = '""&amp;$AZ316&amp;""'and Col2 = '""&amp;T$21&amp;""'""))))"),"")</f>
        <v/>
      </c>
      <c r="D316" s="384" t="str">
        <f>IFERROR(__xludf.DUMMYFUNCTION("IF(D$43="""","""",IF($AZ316="""","""",IFERROR(Query({CarteirasAtivos},""Select Col3 where Col1 = '""&amp;$AZ316&amp;""'and Col2 = '""&amp;U$21&amp;""'""))))"),"")</f>
        <v/>
      </c>
      <c r="E316" s="384" t="str">
        <f>IFERROR(__xludf.DUMMYFUNCTION("IF(E$43="""","""",IF($AZ316="""","""",IFERROR(Query({CarteirasAtivos},""Select Col3 where Col1 = '""&amp;$AZ316&amp;""'and Col2 = '""&amp;V$21&amp;""'""))))"),"")</f>
        <v/>
      </c>
      <c r="F316" s="384" t="str">
        <f>IFERROR(__xludf.DUMMYFUNCTION("IF(F$43="""","""",IF($AZ316="""","""",IFERROR(Query({CarteirasAtivos},""Select Col3 where Col1 = '""&amp;$AZ316&amp;""'and Col2 = '""&amp;W$21&amp;""'""))))"),"")</f>
        <v/>
      </c>
      <c r="G316" s="384" t="str">
        <f>IFERROR(__xludf.DUMMYFUNCTION("IF(G$43="""","""",IF($AZ316="""","""",IFERROR(Query({CarteirasAtivos},""Select Col3 where Col1 = '""&amp;$AZ316&amp;""'and Col2 = '""&amp;X$21&amp;""'""))))"),"")</f>
        <v/>
      </c>
      <c r="H316" s="384" t="str">
        <f>IFERROR(__xludf.DUMMYFUNCTION("IF(H$43="""","""",IF($AZ316="""","""",IFERROR(Query({CarteirasAtivos},""Select Col3 where Col1 = '""&amp;$AZ316&amp;""'and Col2 = '""&amp;Y$21&amp;""'""))))"),"")</f>
        <v/>
      </c>
      <c r="I316" s="384" t="str">
        <f>IFERROR(__xludf.DUMMYFUNCTION("IF(I$43="""","""",IF($AZ316="""","""",IFERROR(Query({CarteirasAtivos},""Select Col3 where Col1 = '""&amp;$AZ316&amp;""'and Col2 = '""&amp;Z$21&amp;""'""))))"),"")</f>
        <v/>
      </c>
      <c r="J316" s="384" t="str">
        <f>IFERROR(__xludf.DUMMYFUNCTION("IF(J$43="""","""",IF($AZ316="""","""",IFERROR(Query({CarteirasAtivos},""Select Col3 where Col1 = '""&amp;$AZ316&amp;""'and Col2 = '""&amp;AA$21&amp;""'""))))"),"")</f>
        <v/>
      </c>
      <c r="K316" s="384" t="str">
        <f>IFERROR(__xludf.DUMMYFUNCTION("IF(K$43="""","""",IF($AZ316="""","""",IFERROR(Query({CarteirasAtivos},""Select Col3 where Col1 = '""&amp;$AZ316&amp;""'and Col2 = '""&amp;AB$21&amp;""'""))))"),"")</f>
        <v/>
      </c>
      <c r="L316" s="385">
        <v>273.0</v>
      </c>
      <c r="M316" s="503"/>
      <c r="N316" s="387"/>
      <c r="O316" s="388" t="s">
        <v>123</v>
      </c>
      <c r="P316" s="389"/>
      <c r="Q316" s="390"/>
      <c r="R316" s="391"/>
      <c r="S316" s="392"/>
      <c r="T316" s="393"/>
      <c r="U316" s="393"/>
      <c r="V316" s="394"/>
      <c r="W316" s="395" t="str">
        <f>IFERROR(__xludf.DUMMYFUNCTION("IF(M316="""","""",sparkline(IFERROR(BF316*100/MAX($BF$44:$BF$153),0),{""charttype"",""bar"";""max"",100;""color1"",IF(BD316&gt;=0,""#4760a5"",""red"")}))"),"")</f>
        <v/>
      </c>
      <c r="X316" s="396"/>
      <c r="Y316" s="466"/>
      <c r="Z316" s="398"/>
      <c r="AA316" s="511"/>
      <c r="AB316" s="393"/>
      <c r="AC316" s="476"/>
      <c r="AD316" s="401"/>
      <c r="AE316" s="402"/>
      <c r="AF316" s="403"/>
      <c r="AG316" s="404" t="str">
        <f>IFERROR(__xludf.DUMMYFUNCTION("IF($M316="""","""",IFERROR(sparkline(query(GOOGLEFINANCE($AZ316,""price"",TODAY()-$AF$43,TODAY(),1),""select Col2 label Col2 ''""),IF($AG$43=""Gráfico de barras"",{""charttype"",""column"";""highcolor"",""red""},{""chartype"",""line""}))))"),"")</f>
        <v/>
      </c>
      <c r="AH316" s="405"/>
      <c r="AI316" s="467"/>
      <c r="AJ316" s="467"/>
      <c r="AK316" s="467"/>
      <c r="AL316" s="467"/>
      <c r="AM316" s="442"/>
      <c r="AN316" s="442"/>
      <c r="AU316" s="281"/>
      <c r="AV316" s="281"/>
      <c r="AW316" s="281"/>
      <c r="AX316" s="281"/>
      <c r="AY316" s="410">
        <v>273.0</v>
      </c>
      <c r="AZ316" s="411"/>
      <c r="BA316" s="411"/>
      <c r="BB316" s="437"/>
      <c r="BC316" s="437"/>
      <c r="BD316" s="437"/>
      <c r="BE316" s="437"/>
      <c r="BF316" s="415" t="s">
        <v>123</v>
      </c>
      <c r="BG316" s="410">
        <v>273.0</v>
      </c>
      <c r="BH316" s="416"/>
      <c r="BI316" s="416"/>
      <c r="BJ316" s="416"/>
      <c r="BK316" s="416"/>
      <c r="BL316" s="416"/>
      <c r="BM316" s="416"/>
      <c r="BN316" s="282"/>
      <c r="BO316" s="490"/>
      <c r="BP316" s="489"/>
      <c r="BQ316" s="489"/>
      <c r="BR316" s="489"/>
      <c r="BS316" s="489"/>
      <c r="BT316" s="489"/>
      <c r="BU316" s="489"/>
      <c r="BV316" s="489"/>
      <c r="BW316" s="63"/>
      <c r="BX316" s="62"/>
      <c r="BY316" s="452"/>
      <c r="BZ316" s="452"/>
      <c r="CA316" s="452"/>
      <c r="CB316" s="452"/>
      <c r="CC316" s="452"/>
      <c r="CD316" s="452"/>
      <c r="CE316" s="452"/>
      <c r="CF316" s="452"/>
      <c r="CG316" s="452"/>
      <c r="CH316" s="422"/>
      <c r="CI316" s="422"/>
      <c r="CJ316" s="422"/>
      <c r="CK316" s="421"/>
      <c r="CL316" s="421" t="s">
        <v>123</v>
      </c>
      <c r="CM316" s="423"/>
      <c r="CN316" s="421"/>
      <c r="CO316" s="423"/>
      <c r="CP316" s="421"/>
      <c r="CQ316" s="63"/>
      <c r="CR316" s="63"/>
      <c r="CS316" s="63"/>
      <c r="CT316" s="63"/>
      <c r="CU316" s="447"/>
      <c r="CV316" s="447"/>
      <c r="CW316" s="447"/>
      <c r="CX316" s="447"/>
      <c r="CY316" s="447"/>
      <c r="CZ316" s="447"/>
      <c r="DA316" s="447"/>
      <c r="DB316" s="447"/>
      <c r="DC316" s="447"/>
      <c r="DD316" s="447"/>
      <c r="DE316" s="447"/>
      <c r="DF316" s="447"/>
      <c r="DG316" s="447"/>
      <c r="DH316" s="447"/>
      <c r="DI316" s="447"/>
      <c r="DJ316" s="447"/>
      <c r="DK316" s="447"/>
      <c r="DL316" s="67"/>
      <c r="DM316" s="67"/>
      <c r="DN316" s="67"/>
      <c r="DO316" s="67"/>
      <c r="DP316" s="67"/>
      <c r="DQ316" s="67"/>
    </row>
    <row r="317" ht="22.5" customHeight="1">
      <c r="A317" s="383"/>
      <c r="B317" s="384" t="str">
        <f>IFERROR(__xludf.DUMMYFUNCTION("IF(B$43="""","""",IF($AZ317="""","""",IFERROR(Query({CarteirasAtivos},""Select Col3 where Col1 = '""&amp;$AZ317&amp;""'and Col2 = '""&amp;S$21&amp;""'""))))"),"")</f>
        <v/>
      </c>
      <c r="C317" s="384" t="str">
        <f>IFERROR(__xludf.DUMMYFUNCTION("IF(C$43="""","""",IF($AZ317="""","""",IFERROR(Query({CarteirasAtivos},""Select Col3 where Col1 = '""&amp;$AZ317&amp;""'and Col2 = '""&amp;T$21&amp;""'""))))"),"")</f>
        <v/>
      </c>
      <c r="D317" s="384" t="str">
        <f>IFERROR(__xludf.DUMMYFUNCTION("IF(D$43="""","""",IF($AZ317="""","""",IFERROR(Query({CarteirasAtivos},""Select Col3 where Col1 = '""&amp;$AZ317&amp;""'and Col2 = '""&amp;U$21&amp;""'""))))"),"")</f>
        <v/>
      </c>
      <c r="E317" s="384" t="str">
        <f>IFERROR(__xludf.DUMMYFUNCTION("IF(E$43="""","""",IF($AZ317="""","""",IFERROR(Query({CarteirasAtivos},""Select Col3 where Col1 = '""&amp;$AZ317&amp;""'and Col2 = '""&amp;V$21&amp;""'""))))"),"")</f>
        <v/>
      </c>
      <c r="F317" s="384" t="str">
        <f>IFERROR(__xludf.DUMMYFUNCTION("IF(F$43="""","""",IF($AZ317="""","""",IFERROR(Query({CarteirasAtivos},""Select Col3 where Col1 = '""&amp;$AZ317&amp;""'and Col2 = '""&amp;W$21&amp;""'""))))"),"")</f>
        <v/>
      </c>
      <c r="G317" s="384" t="str">
        <f>IFERROR(__xludf.DUMMYFUNCTION("IF(G$43="""","""",IF($AZ317="""","""",IFERROR(Query({CarteirasAtivos},""Select Col3 where Col1 = '""&amp;$AZ317&amp;""'and Col2 = '""&amp;X$21&amp;""'""))))"),"")</f>
        <v/>
      </c>
      <c r="H317" s="384" t="str">
        <f>IFERROR(__xludf.DUMMYFUNCTION("IF(H$43="""","""",IF($AZ317="""","""",IFERROR(Query({CarteirasAtivos},""Select Col3 where Col1 = '""&amp;$AZ317&amp;""'and Col2 = '""&amp;Y$21&amp;""'""))))"),"")</f>
        <v/>
      </c>
      <c r="I317" s="384" t="str">
        <f>IFERROR(__xludf.DUMMYFUNCTION("IF(I$43="""","""",IF($AZ317="""","""",IFERROR(Query({CarteirasAtivos},""Select Col3 where Col1 = '""&amp;$AZ317&amp;""'and Col2 = '""&amp;Z$21&amp;""'""))))"),"")</f>
        <v/>
      </c>
      <c r="J317" s="384" t="str">
        <f>IFERROR(__xludf.DUMMYFUNCTION("IF(J$43="""","""",IF($AZ317="""","""",IFERROR(Query({CarteirasAtivos},""Select Col3 where Col1 = '""&amp;$AZ317&amp;""'and Col2 = '""&amp;AA$21&amp;""'""))))"),"")</f>
        <v/>
      </c>
      <c r="K317" s="384" t="str">
        <f>IFERROR(__xludf.DUMMYFUNCTION("IF(K$43="""","""",IF($AZ317="""","""",IFERROR(Query({CarteirasAtivos},""Select Col3 where Col1 = '""&amp;$AZ317&amp;""'and Col2 = '""&amp;AB$21&amp;""'""))))"),"")</f>
        <v/>
      </c>
      <c r="L317" s="385">
        <v>274.0</v>
      </c>
      <c r="M317" s="503"/>
      <c r="N317" s="387"/>
      <c r="O317" s="388" t="s">
        <v>123</v>
      </c>
      <c r="P317" s="389"/>
      <c r="Q317" s="390"/>
      <c r="R317" s="391"/>
      <c r="S317" s="392"/>
      <c r="T317" s="393"/>
      <c r="U317" s="393"/>
      <c r="V317" s="394"/>
      <c r="W317" s="395" t="str">
        <f>IFERROR(__xludf.DUMMYFUNCTION("IF(M317="""","""",sparkline(IFERROR(BF317*100/MAX($BF$44:$BF$153),0),{""charttype"",""bar"";""max"",100;""color1"",IF(BD317&gt;=0,""#4760a5"",""red"")}))"),"")</f>
        <v/>
      </c>
      <c r="X317" s="396"/>
      <c r="Y317" s="466"/>
      <c r="Z317" s="398"/>
      <c r="AA317" s="511"/>
      <c r="AB317" s="393"/>
      <c r="AC317" s="476"/>
      <c r="AD317" s="401"/>
      <c r="AE317" s="402"/>
      <c r="AF317" s="403"/>
      <c r="AG317" s="404" t="str">
        <f>IFERROR(__xludf.DUMMYFUNCTION("IF($M317="""","""",IFERROR(sparkline(query(GOOGLEFINANCE($AZ317,""price"",TODAY()-$AF$43,TODAY(),1),""select Col2 label Col2 ''""),IF($AG$43=""Gráfico de barras"",{""charttype"",""column"";""highcolor"",""red""},{""chartype"",""line""}))))"),"")</f>
        <v/>
      </c>
      <c r="AH317" s="405"/>
      <c r="AI317" s="467"/>
      <c r="AJ317" s="467"/>
      <c r="AK317" s="467"/>
      <c r="AL317" s="467"/>
      <c r="AM317" s="442"/>
      <c r="AN317" s="442"/>
      <c r="AU317" s="281"/>
      <c r="AV317" s="281"/>
      <c r="AW317" s="281"/>
      <c r="AX317" s="281"/>
      <c r="AY317" s="410">
        <v>274.0</v>
      </c>
      <c r="AZ317" s="411"/>
      <c r="BA317" s="411"/>
      <c r="BB317" s="437"/>
      <c r="BC317" s="437"/>
      <c r="BD317" s="437"/>
      <c r="BE317" s="437"/>
      <c r="BF317" s="415" t="s">
        <v>123</v>
      </c>
      <c r="BG317" s="410">
        <v>274.0</v>
      </c>
      <c r="BH317" s="416"/>
      <c r="BI317" s="416"/>
      <c r="BJ317" s="416"/>
      <c r="BK317" s="416"/>
      <c r="BL317" s="416"/>
      <c r="BM317" s="416"/>
      <c r="BN317" s="282"/>
      <c r="BO317" s="490"/>
      <c r="BP317" s="489"/>
      <c r="BQ317" s="489"/>
      <c r="BR317" s="489"/>
      <c r="BS317" s="489"/>
      <c r="BT317" s="489"/>
      <c r="BU317" s="489"/>
      <c r="BV317" s="489"/>
      <c r="BW317" s="63"/>
      <c r="BX317" s="62"/>
      <c r="BY317" s="452"/>
      <c r="BZ317" s="452"/>
      <c r="CA317" s="452"/>
      <c r="CB317" s="452"/>
      <c r="CC317" s="452"/>
      <c r="CD317" s="452"/>
      <c r="CE317" s="452"/>
      <c r="CF317" s="452"/>
      <c r="CG317" s="452"/>
      <c r="CH317" s="422"/>
      <c r="CI317" s="422"/>
      <c r="CJ317" s="422"/>
      <c r="CK317" s="421"/>
      <c r="CL317" s="421" t="s">
        <v>123</v>
      </c>
      <c r="CM317" s="423"/>
      <c r="CN317" s="421"/>
      <c r="CO317" s="423"/>
      <c r="CP317" s="421"/>
      <c r="CQ317" s="63"/>
      <c r="CR317" s="63"/>
      <c r="CS317" s="63"/>
      <c r="CT317" s="63"/>
      <c r="CU317" s="447"/>
      <c r="CV317" s="447"/>
      <c r="CW317" s="447"/>
      <c r="CX317" s="447"/>
      <c r="CY317" s="447"/>
      <c r="CZ317" s="447"/>
      <c r="DA317" s="447"/>
      <c r="DB317" s="447"/>
      <c r="DC317" s="447"/>
      <c r="DD317" s="447"/>
      <c r="DE317" s="447"/>
      <c r="DF317" s="447"/>
      <c r="DG317" s="447"/>
      <c r="DH317" s="447"/>
      <c r="DI317" s="447"/>
      <c r="DJ317" s="447"/>
      <c r="DK317" s="447"/>
      <c r="DL317" s="67"/>
      <c r="DM317" s="67"/>
      <c r="DN317" s="67"/>
      <c r="DO317" s="67"/>
      <c r="DP317" s="67"/>
      <c r="DQ317" s="67"/>
    </row>
    <row r="318" ht="22.5" customHeight="1">
      <c r="A318" s="383"/>
      <c r="B318" s="384" t="str">
        <f>IFERROR(__xludf.DUMMYFUNCTION("IF(B$43="""","""",IF($AZ318="""","""",IFERROR(Query({CarteirasAtivos},""Select Col3 where Col1 = '""&amp;$AZ318&amp;""'and Col2 = '""&amp;S$21&amp;""'""))))"),"")</f>
        <v/>
      </c>
      <c r="C318" s="384" t="str">
        <f>IFERROR(__xludf.DUMMYFUNCTION("IF(C$43="""","""",IF($AZ318="""","""",IFERROR(Query({CarteirasAtivos},""Select Col3 where Col1 = '""&amp;$AZ318&amp;""'and Col2 = '""&amp;T$21&amp;""'""))))"),"")</f>
        <v/>
      </c>
      <c r="D318" s="384" t="str">
        <f>IFERROR(__xludf.DUMMYFUNCTION("IF(D$43="""","""",IF($AZ318="""","""",IFERROR(Query({CarteirasAtivos},""Select Col3 where Col1 = '""&amp;$AZ318&amp;""'and Col2 = '""&amp;U$21&amp;""'""))))"),"")</f>
        <v/>
      </c>
      <c r="E318" s="384" t="str">
        <f>IFERROR(__xludf.DUMMYFUNCTION("IF(E$43="""","""",IF($AZ318="""","""",IFERROR(Query({CarteirasAtivos},""Select Col3 where Col1 = '""&amp;$AZ318&amp;""'and Col2 = '""&amp;V$21&amp;""'""))))"),"")</f>
        <v/>
      </c>
      <c r="F318" s="384" t="str">
        <f>IFERROR(__xludf.DUMMYFUNCTION("IF(F$43="""","""",IF($AZ318="""","""",IFERROR(Query({CarteirasAtivos},""Select Col3 where Col1 = '""&amp;$AZ318&amp;""'and Col2 = '""&amp;W$21&amp;""'""))))"),"")</f>
        <v/>
      </c>
      <c r="G318" s="384" t="str">
        <f>IFERROR(__xludf.DUMMYFUNCTION("IF(G$43="""","""",IF($AZ318="""","""",IFERROR(Query({CarteirasAtivos},""Select Col3 where Col1 = '""&amp;$AZ318&amp;""'and Col2 = '""&amp;X$21&amp;""'""))))"),"")</f>
        <v/>
      </c>
      <c r="H318" s="384" t="str">
        <f>IFERROR(__xludf.DUMMYFUNCTION("IF(H$43="""","""",IF($AZ318="""","""",IFERROR(Query({CarteirasAtivos},""Select Col3 where Col1 = '""&amp;$AZ318&amp;""'and Col2 = '""&amp;Y$21&amp;""'""))))"),"")</f>
        <v/>
      </c>
      <c r="I318" s="384" t="str">
        <f>IFERROR(__xludf.DUMMYFUNCTION("IF(I$43="""","""",IF($AZ318="""","""",IFERROR(Query({CarteirasAtivos},""Select Col3 where Col1 = '""&amp;$AZ318&amp;""'and Col2 = '""&amp;Z$21&amp;""'""))))"),"")</f>
        <v/>
      </c>
      <c r="J318" s="384" t="str">
        <f>IFERROR(__xludf.DUMMYFUNCTION("IF(J$43="""","""",IF($AZ318="""","""",IFERROR(Query({CarteirasAtivos},""Select Col3 where Col1 = '""&amp;$AZ318&amp;""'and Col2 = '""&amp;AA$21&amp;""'""))))"),"")</f>
        <v/>
      </c>
      <c r="K318" s="384" t="str">
        <f>IFERROR(__xludf.DUMMYFUNCTION("IF(K$43="""","""",IF($AZ318="""","""",IFERROR(Query({CarteirasAtivos},""Select Col3 where Col1 = '""&amp;$AZ318&amp;""'and Col2 = '""&amp;AB$21&amp;""'""))))"),"")</f>
        <v/>
      </c>
      <c r="L318" s="385">
        <v>275.0</v>
      </c>
      <c r="M318" s="503"/>
      <c r="N318" s="387"/>
      <c r="O318" s="388" t="s">
        <v>123</v>
      </c>
      <c r="P318" s="389"/>
      <c r="Q318" s="390"/>
      <c r="R318" s="391"/>
      <c r="S318" s="392"/>
      <c r="T318" s="393"/>
      <c r="U318" s="393"/>
      <c r="V318" s="394"/>
      <c r="W318" s="395" t="str">
        <f>IFERROR(__xludf.DUMMYFUNCTION("IF(M318="""","""",sparkline(IFERROR(BF318*100/MAX($BF$44:$BF$153),0),{""charttype"",""bar"";""max"",100;""color1"",IF(BD318&gt;=0,""#4760a5"",""red"")}))"),"")</f>
        <v/>
      </c>
      <c r="X318" s="396"/>
      <c r="Y318" s="466"/>
      <c r="Z318" s="398"/>
      <c r="AA318" s="511"/>
      <c r="AB318" s="393"/>
      <c r="AC318" s="476"/>
      <c r="AD318" s="401"/>
      <c r="AE318" s="402"/>
      <c r="AF318" s="403"/>
      <c r="AG318" s="404" t="str">
        <f>IFERROR(__xludf.DUMMYFUNCTION("IF($M318="""","""",IFERROR(sparkline(query(GOOGLEFINANCE($AZ318,""price"",TODAY()-$AF$43,TODAY(),1),""select Col2 label Col2 ''""),IF($AG$43=""Gráfico de barras"",{""charttype"",""column"";""highcolor"",""red""},{""chartype"",""line""}))))"),"")</f>
        <v/>
      </c>
      <c r="AH318" s="405"/>
      <c r="AI318" s="467"/>
      <c r="AJ318" s="467"/>
      <c r="AK318" s="467"/>
      <c r="AL318" s="467"/>
      <c r="AM318" s="442"/>
      <c r="AN318" s="442"/>
      <c r="AU318" s="281"/>
      <c r="AV318" s="281"/>
      <c r="AW318" s="281"/>
      <c r="AX318" s="281"/>
      <c r="AY318" s="410">
        <v>275.0</v>
      </c>
      <c r="AZ318" s="411"/>
      <c r="BA318" s="411"/>
      <c r="BB318" s="437"/>
      <c r="BC318" s="437"/>
      <c r="BD318" s="437"/>
      <c r="BE318" s="437"/>
      <c r="BF318" s="415" t="s">
        <v>123</v>
      </c>
      <c r="BG318" s="410">
        <v>275.0</v>
      </c>
      <c r="BH318" s="416"/>
      <c r="BI318" s="416"/>
      <c r="BJ318" s="416"/>
      <c r="BK318" s="416"/>
      <c r="BL318" s="416"/>
      <c r="BM318" s="416"/>
      <c r="BN318" s="282"/>
      <c r="BO318" s="490"/>
      <c r="BP318" s="489"/>
      <c r="BQ318" s="489"/>
      <c r="BR318" s="489"/>
      <c r="BS318" s="489"/>
      <c r="BT318" s="489"/>
      <c r="BU318" s="489"/>
      <c r="BV318" s="489"/>
      <c r="BW318" s="63"/>
      <c r="BX318" s="62"/>
      <c r="BY318" s="452"/>
      <c r="BZ318" s="452"/>
      <c r="CA318" s="452"/>
      <c r="CB318" s="452"/>
      <c r="CC318" s="452"/>
      <c r="CD318" s="452"/>
      <c r="CE318" s="452"/>
      <c r="CF318" s="452"/>
      <c r="CG318" s="452"/>
      <c r="CH318" s="422"/>
      <c r="CI318" s="422"/>
      <c r="CJ318" s="422"/>
      <c r="CK318" s="421"/>
      <c r="CL318" s="421" t="s">
        <v>123</v>
      </c>
      <c r="CM318" s="423"/>
      <c r="CN318" s="421"/>
      <c r="CO318" s="423"/>
      <c r="CP318" s="421"/>
      <c r="CQ318" s="63"/>
      <c r="CR318" s="63"/>
      <c r="CS318" s="63"/>
      <c r="CT318" s="63"/>
      <c r="CU318" s="447"/>
      <c r="CV318" s="447"/>
      <c r="CW318" s="447"/>
      <c r="CX318" s="447"/>
      <c r="CY318" s="447"/>
      <c r="CZ318" s="447"/>
      <c r="DA318" s="447"/>
      <c r="DB318" s="447"/>
      <c r="DC318" s="447"/>
      <c r="DD318" s="447"/>
      <c r="DE318" s="447"/>
      <c r="DF318" s="447"/>
      <c r="DG318" s="447"/>
      <c r="DH318" s="447"/>
      <c r="DI318" s="447"/>
      <c r="DJ318" s="447"/>
      <c r="DK318" s="447"/>
      <c r="DL318" s="67"/>
      <c r="DM318" s="67"/>
      <c r="DN318" s="67"/>
      <c r="DO318" s="67"/>
      <c r="DP318" s="67"/>
      <c r="DQ318" s="67"/>
    </row>
    <row r="319" ht="22.5" customHeight="1">
      <c r="A319" s="383"/>
      <c r="B319" s="384" t="str">
        <f>IFERROR(__xludf.DUMMYFUNCTION("IF(B$43="""","""",IF($AZ319="""","""",IFERROR(Query({CarteirasAtivos},""Select Col3 where Col1 = '""&amp;$AZ319&amp;""'and Col2 = '""&amp;S$21&amp;""'""))))"),"")</f>
        <v/>
      </c>
      <c r="C319" s="384" t="str">
        <f>IFERROR(__xludf.DUMMYFUNCTION("IF(C$43="""","""",IF($AZ319="""","""",IFERROR(Query({CarteirasAtivos},""Select Col3 where Col1 = '""&amp;$AZ319&amp;""'and Col2 = '""&amp;T$21&amp;""'""))))"),"")</f>
        <v/>
      </c>
      <c r="D319" s="384" t="str">
        <f>IFERROR(__xludf.DUMMYFUNCTION("IF(D$43="""","""",IF($AZ319="""","""",IFERROR(Query({CarteirasAtivos},""Select Col3 where Col1 = '""&amp;$AZ319&amp;""'and Col2 = '""&amp;U$21&amp;""'""))))"),"")</f>
        <v/>
      </c>
      <c r="E319" s="384" t="str">
        <f>IFERROR(__xludf.DUMMYFUNCTION("IF(E$43="""","""",IF($AZ319="""","""",IFERROR(Query({CarteirasAtivos},""Select Col3 where Col1 = '""&amp;$AZ319&amp;""'and Col2 = '""&amp;V$21&amp;""'""))))"),"")</f>
        <v/>
      </c>
      <c r="F319" s="384" t="str">
        <f>IFERROR(__xludf.DUMMYFUNCTION("IF(F$43="""","""",IF($AZ319="""","""",IFERROR(Query({CarteirasAtivos},""Select Col3 where Col1 = '""&amp;$AZ319&amp;""'and Col2 = '""&amp;W$21&amp;""'""))))"),"")</f>
        <v/>
      </c>
      <c r="G319" s="384" t="str">
        <f>IFERROR(__xludf.DUMMYFUNCTION("IF(G$43="""","""",IF($AZ319="""","""",IFERROR(Query({CarteirasAtivos},""Select Col3 where Col1 = '""&amp;$AZ319&amp;""'and Col2 = '""&amp;X$21&amp;""'""))))"),"")</f>
        <v/>
      </c>
      <c r="H319" s="384" t="str">
        <f>IFERROR(__xludf.DUMMYFUNCTION("IF(H$43="""","""",IF($AZ319="""","""",IFERROR(Query({CarteirasAtivos},""Select Col3 where Col1 = '""&amp;$AZ319&amp;""'and Col2 = '""&amp;Y$21&amp;""'""))))"),"")</f>
        <v/>
      </c>
      <c r="I319" s="384" t="str">
        <f>IFERROR(__xludf.DUMMYFUNCTION("IF(I$43="""","""",IF($AZ319="""","""",IFERROR(Query({CarteirasAtivos},""Select Col3 where Col1 = '""&amp;$AZ319&amp;""'and Col2 = '""&amp;Z$21&amp;""'""))))"),"")</f>
        <v/>
      </c>
      <c r="J319" s="384" t="str">
        <f>IFERROR(__xludf.DUMMYFUNCTION("IF(J$43="""","""",IF($AZ319="""","""",IFERROR(Query({CarteirasAtivos},""Select Col3 where Col1 = '""&amp;$AZ319&amp;""'and Col2 = '""&amp;AA$21&amp;""'""))))"),"")</f>
        <v/>
      </c>
      <c r="K319" s="384" t="str">
        <f>IFERROR(__xludf.DUMMYFUNCTION("IF(K$43="""","""",IF($AZ319="""","""",IFERROR(Query({CarteirasAtivos},""Select Col3 where Col1 = '""&amp;$AZ319&amp;""'and Col2 = '""&amp;AB$21&amp;""'""))))"),"")</f>
        <v/>
      </c>
      <c r="L319" s="385">
        <v>276.0</v>
      </c>
      <c r="M319" s="503"/>
      <c r="N319" s="387"/>
      <c r="O319" s="388" t="s">
        <v>123</v>
      </c>
      <c r="P319" s="389"/>
      <c r="Q319" s="390"/>
      <c r="R319" s="391"/>
      <c r="S319" s="392"/>
      <c r="T319" s="393"/>
      <c r="U319" s="393"/>
      <c r="V319" s="394"/>
      <c r="W319" s="395" t="str">
        <f>IFERROR(__xludf.DUMMYFUNCTION("IF(M319="""","""",sparkline(IFERROR(BF319*100/MAX($BF$44:$BF$153),0),{""charttype"",""bar"";""max"",100;""color1"",IF(BD319&gt;=0,""#4760a5"",""red"")}))"),"")</f>
        <v/>
      </c>
      <c r="X319" s="396"/>
      <c r="Y319" s="466"/>
      <c r="Z319" s="398"/>
      <c r="AA319" s="511"/>
      <c r="AB319" s="393"/>
      <c r="AC319" s="476"/>
      <c r="AD319" s="401"/>
      <c r="AE319" s="402"/>
      <c r="AF319" s="403"/>
      <c r="AG319" s="404" t="str">
        <f>IFERROR(__xludf.DUMMYFUNCTION("IF($M319="""","""",IFERROR(sparkline(query(GOOGLEFINANCE($AZ319,""price"",TODAY()-$AF$43,TODAY(),1),""select Col2 label Col2 ''""),IF($AG$43=""Gráfico de barras"",{""charttype"",""column"";""highcolor"",""red""},{""chartype"",""line""}))))"),"")</f>
        <v/>
      </c>
      <c r="AH319" s="405"/>
      <c r="AI319" s="467"/>
      <c r="AJ319" s="467"/>
      <c r="AK319" s="467"/>
      <c r="AL319" s="467"/>
      <c r="AM319" s="442"/>
      <c r="AN319" s="442"/>
      <c r="AU319" s="281"/>
      <c r="AV319" s="281"/>
      <c r="AW319" s="281"/>
      <c r="AX319" s="281"/>
      <c r="AY319" s="410">
        <v>276.0</v>
      </c>
      <c r="AZ319" s="411"/>
      <c r="BA319" s="411"/>
      <c r="BB319" s="437"/>
      <c r="BC319" s="437"/>
      <c r="BD319" s="437"/>
      <c r="BE319" s="437"/>
      <c r="BF319" s="415" t="s">
        <v>123</v>
      </c>
      <c r="BG319" s="410">
        <v>276.0</v>
      </c>
      <c r="BH319" s="416"/>
      <c r="BI319" s="416"/>
      <c r="BJ319" s="416"/>
      <c r="BK319" s="416"/>
      <c r="BL319" s="416"/>
      <c r="BM319" s="416"/>
      <c r="BN319" s="282"/>
      <c r="BO319" s="490"/>
      <c r="BP319" s="489"/>
      <c r="BQ319" s="489"/>
      <c r="BR319" s="489"/>
      <c r="BS319" s="489"/>
      <c r="BT319" s="489"/>
      <c r="BU319" s="489"/>
      <c r="BV319" s="489"/>
      <c r="BW319" s="63"/>
      <c r="BX319" s="62"/>
      <c r="BY319" s="452"/>
      <c r="BZ319" s="452"/>
      <c r="CA319" s="452"/>
      <c r="CB319" s="452"/>
      <c r="CC319" s="452"/>
      <c r="CD319" s="452"/>
      <c r="CE319" s="452"/>
      <c r="CF319" s="452"/>
      <c r="CG319" s="452"/>
      <c r="CH319" s="422"/>
      <c r="CI319" s="422"/>
      <c r="CJ319" s="422"/>
      <c r="CK319" s="421"/>
      <c r="CL319" s="421" t="s">
        <v>123</v>
      </c>
      <c r="CM319" s="423"/>
      <c r="CN319" s="421"/>
      <c r="CO319" s="423"/>
      <c r="CP319" s="421"/>
      <c r="CQ319" s="63"/>
      <c r="CR319" s="63"/>
      <c r="CS319" s="63"/>
      <c r="CT319" s="63"/>
      <c r="CU319" s="447"/>
      <c r="CV319" s="447"/>
      <c r="CW319" s="447"/>
      <c r="CX319" s="447"/>
      <c r="CY319" s="447"/>
      <c r="CZ319" s="447"/>
      <c r="DA319" s="447"/>
      <c r="DB319" s="447"/>
      <c r="DC319" s="447"/>
      <c r="DD319" s="447"/>
      <c r="DE319" s="447"/>
      <c r="DF319" s="447"/>
      <c r="DG319" s="447"/>
      <c r="DH319" s="447"/>
      <c r="DI319" s="447"/>
      <c r="DJ319" s="447"/>
      <c r="DK319" s="447"/>
      <c r="DL319" s="67"/>
      <c r="DM319" s="67"/>
      <c r="DN319" s="67"/>
      <c r="DO319" s="67"/>
      <c r="DP319" s="67"/>
      <c r="DQ319" s="67"/>
    </row>
    <row r="320" ht="22.5" customHeight="1">
      <c r="A320" s="383"/>
      <c r="B320" s="384" t="str">
        <f>IFERROR(__xludf.DUMMYFUNCTION("IF(B$43="""","""",IF($AZ320="""","""",IFERROR(Query({CarteirasAtivos},""Select Col3 where Col1 = '""&amp;$AZ320&amp;""'and Col2 = '""&amp;S$21&amp;""'""))))"),"")</f>
        <v/>
      </c>
      <c r="C320" s="384" t="str">
        <f>IFERROR(__xludf.DUMMYFUNCTION("IF(C$43="""","""",IF($AZ320="""","""",IFERROR(Query({CarteirasAtivos},""Select Col3 where Col1 = '""&amp;$AZ320&amp;""'and Col2 = '""&amp;T$21&amp;""'""))))"),"")</f>
        <v/>
      </c>
      <c r="D320" s="384" t="str">
        <f>IFERROR(__xludf.DUMMYFUNCTION("IF(D$43="""","""",IF($AZ320="""","""",IFERROR(Query({CarteirasAtivos},""Select Col3 where Col1 = '""&amp;$AZ320&amp;""'and Col2 = '""&amp;U$21&amp;""'""))))"),"")</f>
        <v/>
      </c>
      <c r="E320" s="384" t="str">
        <f>IFERROR(__xludf.DUMMYFUNCTION("IF(E$43="""","""",IF($AZ320="""","""",IFERROR(Query({CarteirasAtivos},""Select Col3 where Col1 = '""&amp;$AZ320&amp;""'and Col2 = '""&amp;V$21&amp;""'""))))"),"")</f>
        <v/>
      </c>
      <c r="F320" s="384" t="str">
        <f>IFERROR(__xludf.DUMMYFUNCTION("IF(F$43="""","""",IF($AZ320="""","""",IFERROR(Query({CarteirasAtivos},""Select Col3 where Col1 = '""&amp;$AZ320&amp;""'and Col2 = '""&amp;W$21&amp;""'""))))"),"")</f>
        <v/>
      </c>
      <c r="G320" s="384" t="str">
        <f>IFERROR(__xludf.DUMMYFUNCTION("IF(G$43="""","""",IF($AZ320="""","""",IFERROR(Query({CarteirasAtivos},""Select Col3 where Col1 = '""&amp;$AZ320&amp;""'and Col2 = '""&amp;X$21&amp;""'""))))"),"")</f>
        <v/>
      </c>
      <c r="H320" s="384" t="str">
        <f>IFERROR(__xludf.DUMMYFUNCTION("IF(H$43="""","""",IF($AZ320="""","""",IFERROR(Query({CarteirasAtivos},""Select Col3 where Col1 = '""&amp;$AZ320&amp;""'and Col2 = '""&amp;Y$21&amp;""'""))))"),"")</f>
        <v/>
      </c>
      <c r="I320" s="384" t="str">
        <f>IFERROR(__xludf.DUMMYFUNCTION("IF(I$43="""","""",IF($AZ320="""","""",IFERROR(Query({CarteirasAtivos},""Select Col3 where Col1 = '""&amp;$AZ320&amp;""'and Col2 = '""&amp;Z$21&amp;""'""))))"),"")</f>
        <v/>
      </c>
      <c r="J320" s="384" t="str">
        <f>IFERROR(__xludf.DUMMYFUNCTION("IF(J$43="""","""",IF($AZ320="""","""",IFERROR(Query({CarteirasAtivos},""Select Col3 where Col1 = '""&amp;$AZ320&amp;""'and Col2 = '""&amp;AA$21&amp;""'""))))"),"")</f>
        <v/>
      </c>
      <c r="K320" s="384" t="str">
        <f>IFERROR(__xludf.DUMMYFUNCTION("IF(K$43="""","""",IF($AZ320="""","""",IFERROR(Query({CarteirasAtivos},""Select Col3 where Col1 = '""&amp;$AZ320&amp;""'and Col2 = '""&amp;AB$21&amp;""'""))))"),"")</f>
        <v/>
      </c>
      <c r="L320" s="385">
        <v>277.0</v>
      </c>
      <c r="M320" s="503"/>
      <c r="N320" s="387"/>
      <c r="O320" s="388" t="s">
        <v>123</v>
      </c>
      <c r="P320" s="389"/>
      <c r="Q320" s="390"/>
      <c r="R320" s="391"/>
      <c r="S320" s="392"/>
      <c r="T320" s="393"/>
      <c r="U320" s="393"/>
      <c r="V320" s="394"/>
      <c r="W320" s="395" t="str">
        <f>IFERROR(__xludf.DUMMYFUNCTION("IF(M320="""","""",sparkline(IFERROR(BF320*100/MAX($BF$44:$BF$153),0),{""charttype"",""bar"";""max"",100;""color1"",IF(BD320&gt;=0,""#4760a5"",""red"")}))"),"")</f>
        <v/>
      </c>
      <c r="X320" s="396"/>
      <c r="Y320" s="466"/>
      <c r="Z320" s="398"/>
      <c r="AA320" s="511"/>
      <c r="AB320" s="393"/>
      <c r="AC320" s="476"/>
      <c r="AD320" s="401"/>
      <c r="AE320" s="402"/>
      <c r="AF320" s="403"/>
      <c r="AG320" s="404" t="str">
        <f>IFERROR(__xludf.DUMMYFUNCTION("IF($M320="""","""",IFERROR(sparkline(query(GOOGLEFINANCE($AZ320,""price"",TODAY()-$AF$43,TODAY(),1),""select Col2 label Col2 ''""),IF($AG$43=""Gráfico de barras"",{""charttype"",""column"";""highcolor"",""red""},{""chartype"",""line""}))))"),"")</f>
        <v/>
      </c>
      <c r="AH320" s="405"/>
      <c r="AI320" s="467"/>
      <c r="AJ320" s="467"/>
      <c r="AK320" s="467"/>
      <c r="AL320" s="467"/>
      <c r="AM320" s="442"/>
      <c r="AN320" s="442"/>
      <c r="AU320" s="281"/>
      <c r="AV320" s="281"/>
      <c r="AW320" s="281"/>
      <c r="AX320" s="281"/>
      <c r="AY320" s="410">
        <v>277.0</v>
      </c>
      <c r="AZ320" s="411"/>
      <c r="BA320" s="411"/>
      <c r="BB320" s="437"/>
      <c r="BC320" s="437"/>
      <c r="BD320" s="437"/>
      <c r="BE320" s="437"/>
      <c r="BF320" s="415" t="s">
        <v>123</v>
      </c>
      <c r="BG320" s="410">
        <v>277.0</v>
      </c>
      <c r="BH320" s="416"/>
      <c r="BI320" s="416"/>
      <c r="BJ320" s="416"/>
      <c r="BK320" s="416"/>
      <c r="BL320" s="416"/>
      <c r="BM320" s="416"/>
      <c r="BN320" s="282"/>
      <c r="BO320" s="490"/>
      <c r="BP320" s="489"/>
      <c r="BQ320" s="489"/>
      <c r="BR320" s="489"/>
      <c r="BS320" s="489"/>
      <c r="BT320" s="489"/>
      <c r="BU320" s="489"/>
      <c r="BV320" s="489"/>
      <c r="BW320" s="63"/>
      <c r="BX320" s="62"/>
      <c r="BY320" s="452"/>
      <c r="BZ320" s="452"/>
      <c r="CA320" s="452"/>
      <c r="CB320" s="452"/>
      <c r="CC320" s="452"/>
      <c r="CD320" s="452"/>
      <c r="CE320" s="452"/>
      <c r="CF320" s="452"/>
      <c r="CG320" s="452"/>
      <c r="CH320" s="422"/>
      <c r="CI320" s="422"/>
      <c r="CJ320" s="422"/>
      <c r="CK320" s="421"/>
      <c r="CL320" s="421" t="s">
        <v>123</v>
      </c>
      <c r="CM320" s="423"/>
      <c r="CN320" s="421"/>
      <c r="CO320" s="423"/>
      <c r="CP320" s="421"/>
      <c r="CQ320" s="63"/>
      <c r="CR320" s="63"/>
      <c r="CS320" s="63"/>
      <c r="CT320" s="63"/>
      <c r="CU320" s="447"/>
      <c r="CV320" s="447"/>
      <c r="CW320" s="447"/>
      <c r="CX320" s="447"/>
      <c r="CY320" s="447"/>
      <c r="CZ320" s="447"/>
      <c r="DA320" s="447"/>
      <c r="DB320" s="447"/>
      <c r="DC320" s="447"/>
      <c r="DD320" s="447"/>
      <c r="DE320" s="447"/>
      <c r="DF320" s="447"/>
      <c r="DG320" s="447"/>
      <c r="DH320" s="447"/>
      <c r="DI320" s="447"/>
      <c r="DJ320" s="447"/>
      <c r="DK320" s="447"/>
      <c r="DL320" s="67"/>
      <c r="DM320" s="67"/>
      <c r="DN320" s="67"/>
      <c r="DO320" s="67"/>
      <c r="DP320" s="67"/>
      <c r="DQ320" s="67"/>
    </row>
    <row r="321" ht="22.5" customHeight="1">
      <c r="A321" s="383"/>
      <c r="B321" s="384" t="str">
        <f>IFERROR(__xludf.DUMMYFUNCTION("IF(B$43="""","""",IF($AZ321="""","""",IFERROR(Query({CarteirasAtivos},""Select Col3 where Col1 = '""&amp;$AZ321&amp;""'and Col2 = '""&amp;S$21&amp;""'""))))"),"")</f>
        <v/>
      </c>
      <c r="C321" s="384" t="str">
        <f>IFERROR(__xludf.DUMMYFUNCTION("IF(C$43="""","""",IF($AZ321="""","""",IFERROR(Query({CarteirasAtivos},""Select Col3 where Col1 = '""&amp;$AZ321&amp;""'and Col2 = '""&amp;T$21&amp;""'""))))"),"")</f>
        <v/>
      </c>
      <c r="D321" s="384" t="str">
        <f>IFERROR(__xludf.DUMMYFUNCTION("IF(D$43="""","""",IF($AZ321="""","""",IFERROR(Query({CarteirasAtivos},""Select Col3 where Col1 = '""&amp;$AZ321&amp;""'and Col2 = '""&amp;U$21&amp;""'""))))"),"")</f>
        <v/>
      </c>
      <c r="E321" s="384" t="str">
        <f>IFERROR(__xludf.DUMMYFUNCTION("IF(E$43="""","""",IF($AZ321="""","""",IFERROR(Query({CarteirasAtivos},""Select Col3 where Col1 = '""&amp;$AZ321&amp;""'and Col2 = '""&amp;V$21&amp;""'""))))"),"")</f>
        <v/>
      </c>
      <c r="F321" s="384" t="str">
        <f>IFERROR(__xludf.DUMMYFUNCTION("IF(F$43="""","""",IF($AZ321="""","""",IFERROR(Query({CarteirasAtivos},""Select Col3 where Col1 = '""&amp;$AZ321&amp;""'and Col2 = '""&amp;W$21&amp;""'""))))"),"")</f>
        <v/>
      </c>
      <c r="G321" s="384" t="str">
        <f>IFERROR(__xludf.DUMMYFUNCTION("IF(G$43="""","""",IF($AZ321="""","""",IFERROR(Query({CarteirasAtivos},""Select Col3 where Col1 = '""&amp;$AZ321&amp;""'and Col2 = '""&amp;X$21&amp;""'""))))"),"")</f>
        <v/>
      </c>
      <c r="H321" s="384" t="str">
        <f>IFERROR(__xludf.DUMMYFUNCTION("IF(H$43="""","""",IF($AZ321="""","""",IFERROR(Query({CarteirasAtivos},""Select Col3 where Col1 = '""&amp;$AZ321&amp;""'and Col2 = '""&amp;Y$21&amp;""'""))))"),"")</f>
        <v/>
      </c>
      <c r="I321" s="384" t="str">
        <f>IFERROR(__xludf.DUMMYFUNCTION("IF(I$43="""","""",IF($AZ321="""","""",IFERROR(Query({CarteirasAtivos},""Select Col3 where Col1 = '""&amp;$AZ321&amp;""'and Col2 = '""&amp;Z$21&amp;""'""))))"),"")</f>
        <v/>
      </c>
      <c r="J321" s="384" t="str">
        <f>IFERROR(__xludf.DUMMYFUNCTION("IF(J$43="""","""",IF($AZ321="""","""",IFERROR(Query({CarteirasAtivos},""Select Col3 where Col1 = '""&amp;$AZ321&amp;""'and Col2 = '""&amp;AA$21&amp;""'""))))"),"")</f>
        <v/>
      </c>
      <c r="K321" s="384" t="str">
        <f>IFERROR(__xludf.DUMMYFUNCTION("IF(K$43="""","""",IF($AZ321="""","""",IFERROR(Query({CarteirasAtivos},""Select Col3 where Col1 = '""&amp;$AZ321&amp;""'and Col2 = '""&amp;AB$21&amp;""'""))))"),"")</f>
        <v/>
      </c>
      <c r="L321" s="385">
        <v>278.0</v>
      </c>
      <c r="M321" s="503"/>
      <c r="N321" s="387"/>
      <c r="O321" s="388" t="s">
        <v>123</v>
      </c>
      <c r="P321" s="389"/>
      <c r="Q321" s="390"/>
      <c r="R321" s="391"/>
      <c r="S321" s="392"/>
      <c r="T321" s="393"/>
      <c r="U321" s="393"/>
      <c r="V321" s="394"/>
      <c r="W321" s="395" t="str">
        <f>IFERROR(__xludf.DUMMYFUNCTION("IF(M321="""","""",sparkline(IFERROR(BF321*100/MAX($BF$44:$BF$153),0),{""charttype"",""bar"";""max"",100;""color1"",IF(BD321&gt;=0,""#4760a5"",""red"")}))"),"")</f>
        <v/>
      </c>
      <c r="X321" s="396"/>
      <c r="Y321" s="466"/>
      <c r="Z321" s="398"/>
      <c r="AA321" s="511"/>
      <c r="AB321" s="393"/>
      <c r="AC321" s="476"/>
      <c r="AD321" s="401"/>
      <c r="AE321" s="402"/>
      <c r="AF321" s="403"/>
      <c r="AG321" s="404" t="str">
        <f>IFERROR(__xludf.DUMMYFUNCTION("IF($M321="""","""",IFERROR(sparkline(query(GOOGLEFINANCE($AZ321,""price"",TODAY()-$AF$43,TODAY(),1),""select Col2 label Col2 ''""),IF($AG$43=""Gráfico de barras"",{""charttype"",""column"";""highcolor"",""red""},{""chartype"",""line""}))))"),"")</f>
        <v/>
      </c>
      <c r="AH321" s="405"/>
      <c r="AI321" s="467"/>
      <c r="AJ321" s="467"/>
      <c r="AK321" s="467"/>
      <c r="AL321" s="467"/>
      <c r="AM321" s="442"/>
      <c r="AN321" s="442"/>
      <c r="AU321" s="281"/>
      <c r="AV321" s="281"/>
      <c r="AW321" s="281"/>
      <c r="AX321" s="281"/>
      <c r="AY321" s="410">
        <v>278.0</v>
      </c>
      <c r="AZ321" s="411"/>
      <c r="BA321" s="411"/>
      <c r="BB321" s="437"/>
      <c r="BC321" s="437"/>
      <c r="BD321" s="437"/>
      <c r="BE321" s="437"/>
      <c r="BF321" s="415" t="s">
        <v>123</v>
      </c>
      <c r="BG321" s="410">
        <v>278.0</v>
      </c>
      <c r="BH321" s="416"/>
      <c r="BI321" s="416"/>
      <c r="BJ321" s="416"/>
      <c r="BK321" s="416"/>
      <c r="BL321" s="416"/>
      <c r="BM321" s="416"/>
      <c r="BN321" s="282"/>
      <c r="BO321" s="490"/>
      <c r="BP321" s="489"/>
      <c r="BQ321" s="489"/>
      <c r="BR321" s="489"/>
      <c r="BS321" s="489"/>
      <c r="BT321" s="489"/>
      <c r="BU321" s="489"/>
      <c r="BV321" s="489"/>
      <c r="BW321" s="63"/>
      <c r="BX321" s="62"/>
      <c r="BY321" s="452"/>
      <c r="BZ321" s="452"/>
      <c r="CA321" s="452"/>
      <c r="CB321" s="452"/>
      <c r="CC321" s="452"/>
      <c r="CD321" s="452"/>
      <c r="CE321" s="452"/>
      <c r="CF321" s="452"/>
      <c r="CG321" s="452"/>
      <c r="CH321" s="422"/>
      <c r="CI321" s="422"/>
      <c r="CJ321" s="422"/>
      <c r="CK321" s="421"/>
      <c r="CL321" s="421" t="s">
        <v>123</v>
      </c>
      <c r="CM321" s="423"/>
      <c r="CN321" s="421"/>
      <c r="CO321" s="423"/>
      <c r="CP321" s="421"/>
      <c r="CQ321" s="63"/>
      <c r="CR321" s="63"/>
      <c r="CS321" s="63"/>
      <c r="CT321" s="63"/>
      <c r="CU321" s="447"/>
      <c r="CV321" s="447"/>
      <c r="CW321" s="447"/>
      <c r="CX321" s="447"/>
      <c r="CY321" s="447"/>
      <c r="CZ321" s="447"/>
      <c r="DA321" s="447"/>
      <c r="DB321" s="447"/>
      <c r="DC321" s="447"/>
      <c r="DD321" s="447"/>
      <c r="DE321" s="447"/>
      <c r="DF321" s="447"/>
      <c r="DG321" s="447"/>
      <c r="DH321" s="447"/>
      <c r="DI321" s="447"/>
      <c r="DJ321" s="447"/>
      <c r="DK321" s="447"/>
      <c r="DL321" s="67"/>
      <c r="DM321" s="67"/>
      <c r="DN321" s="67"/>
      <c r="DO321" s="67"/>
      <c r="DP321" s="67"/>
      <c r="DQ321" s="67"/>
    </row>
    <row r="322" ht="22.5" customHeight="1">
      <c r="A322" s="383"/>
      <c r="B322" s="384" t="str">
        <f>IFERROR(__xludf.DUMMYFUNCTION("IF(B$43="""","""",IF($AZ322="""","""",IFERROR(Query({CarteirasAtivos},""Select Col3 where Col1 = '""&amp;$AZ322&amp;""'and Col2 = '""&amp;S$21&amp;""'""))))"),"")</f>
        <v/>
      </c>
      <c r="C322" s="384" t="str">
        <f>IFERROR(__xludf.DUMMYFUNCTION("IF(C$43="""","""",IF($AZ322="""","""",IFERROR(Query({CarteirasAtivos},""Select Col3 where Col1 = '""&amp;$AZ322&amp;""'and Col2 = '""&amp;T$21&amp;""'""))))"),"")</f>
        <v/>
      </c>
      <c r="D322" s="384" t="str">
        <f>IFERROR(__xludf.DUMMYFUNCTION("IF(D$43="""","""",IF($AZ322="""","""",IFERROR(Query({CarteirasAtivos},""Select Col3 where Col1 = '""&amp;$AZ322&amp;""'and Col2 = '""&amp;U$21&amp;""'""))))"),"")</f>
        <v/>
      </c>
      <c r="E322" s="384" t="str">
        <f>IFERROR(__xludf.DUMMYFUNCTION("IF(E$43="""","""",IF($AZ322="""","""",IFERROR(Query({CarteirasAtivos},""Select Col3 where Col1 = '""&amp;$AZ322&amp;""'and Col2 = '""&amp;V$21&amp;""'""))))"),"")</f>
        <v/>
      </c>
      <c r="F322" s="384" t="str">
        <f>IFERROR(__xludf.DUMMYFUNCTION("IF(F$43="""","""",IF($AZ322="""","""",IFERROR(Query({CarteirasAtivos},""Select Col3 where Col1 = '""&amp;$AZ322&amp;""'and Col2 = '""&amp;W$21&amp;""'""))))"),"")</f>
        <v/>
      </c>
      <c r="G322" s="384" t="str">
        <f>IFERROR(__xludf.DUMMYFUNCTION("IF(G$43="""","""",IF($AZ322="""","""",IFERROR(Query({CarteirasAtivos},""Select Col3 where Col1 = '""&amp;$AZ322&amp;""'and Col2 = '""&amp;X$21&amp;""'""))))"),"")</f>
        <v/>
      </c>
      <c r="H322" s="384" t="str">
        <f>IFERROR(__xludf.DUMMYFUNCTION("IF(H$43="""","""",IF($AZ322="""","""",IFERROR(Query({CarteirasAtivos},""Select Col3 where Col1 = '""&amp;$AZ322&amp;""'and Col2 = '""&amp;Y$21&amp;""'""))))"),"")</f>
        <v/>
      </c>
      <c r="I322" s="384" t="str">
        <f>IFERROR(__xludf.DUMMYFUNCTION("IF(I$43="""","""",IF($AZ322="""","""",IFERROR(Query({CarteirasAtivos},""Select Col3 where Col1 = '""&amp;$AZ322&amp;""'and Col2 = '""&amp;Z$21&amp;""'""))))"),"")</f>
        <v/>
      </c>
      <c r="J322" s="384" t="str">
        <f>IFERROR(__xludf.DUMMYFUNCTION("IF(J$43="""","""",IF($AZ322="""","""",IFERROR(Query({CarteirasAtivos},""Select Col3 where Col1 = '""&amp;$AZ322&amp;""'and Col2 = '""&amp;AA$21&amp;""'""))))"),"")</f>
        <v/>
      </c>
      <c r="K322" s="384" t="str">
        <f>IFERROR(__xludf.DUMMYFUNCTION("IF(K$43="""","""",IF($AZ322="""","""",IFERROR(Query({CarteirasAtivos},""Select Col3 where Col1 = '""&amp;$AZ322&amp;""'and Col2 = '""&amp;AB$21&amp;""'""))))"),"")</f>
        <v/>
      </c>
      <c r="L322" s="385">
        <v>279.0</v>
      </c>
      <c r="M322" s="503"/>
      <c r="N322" s="387"/>
      <c r="O322" s="388" t="s">
        <v>123</v>
      </c>
      <c r="P322" s="389"/>
      <c r="Q322" s="390"/>
      <c r="R322" s="391"/>
      <c r="S322" s="392"/>
      <c r="T322" s="393"/>
      <c r="U322" s="393"/>
      <c r="V322" s="394"/>
      <c r="W322" s="395" t="str">
        <f>IFERROR(__xludf.DUMMYFUNCTION("IF(M322="""","""",sparkline(IFERROR(BF322*100/MAX($BF$44:$BF$153),0),{""charttype"",""bar"";""max"",100;""color1"",IF(BD322&gt;=0,""#4760a5"",""red"")}))"),"")</f>
        <v/>
      </c>
      <c r="X322" s="396"/>
      <c r="Y322" s="466"/>
      <c r="Z322" s="398"/>
      <c r="AA322" s="511"/>
      <c r="AB322" s="393"/>
      <c r="AC322" s="476"/>
      <c r="AD322" s="401"/>
      <c r="AE322" s="402"/>
      <c r="AF322" s="403"/>
      <c r="AG322" s="404" t="str">
        <f>IFERROR(__xludf.DUMMYFUNCTION("IF($M322="""","""",IFERROR(sparkline(query(GOOGLEFINANCE($AZ322,""price"",TODAY()-$AF$43,TODAY(),1),""select Col2 label Col2 ''""),IF($AG$43=""Gráfico de barras"",{""charttype"",""column"";""highcolor"",""red""},{""chartype"",""line""}))))"),"")</f>
        <v/>
      </c>
      <c r="AH322" s="405"/>
      <c r="AI322" s="467"/>
      <c r="AJ322" s="467"/>
      <c r="AK322" s="467"/>
      <c r="AL322" s="467"/>
      <c r="AM322" s="442"/>
      <c r="AN322" s="442"/>
      <c r="AU322" s="281"/>
      <c r="AV322" s="281"/>
      <c r="AW322" s="281"/>
      <c r="AX322" s="281"/>
      <c r="AY322" s="410">
        <v>279.0</v>
      </c>
      <c r="AZ322" s="411"/>
      <c r="BA322" s="411"/>
      <c r="BB322" s="437"/>
      <c r="BC322" s="437"/>
      <c r="BD322" s="437"/>
      <c r="BE322" s="437"/>
      <c r="BF322" s="415" t="s">
        <v>123</v>
      </c>
      <c r="BG322" s="410">
        <v>279.0</v>
      </c>
      <c r="BH322" s="416"/>
      <c r="BI322" s="416"/>
      <c r="BJ322" s="416"/>
      <c r="BK322" s="416"/>
      <c r="BL322" s="416"/>
      <c r="BM322" s="416"/>
      <c r="BN322" s="282"/>
      <c r="BO322" s="490"/>
      <c r="BP322" s="489"/>
      <c r="BQ322" s="489"/>
      <c r="BR322" s="489"/>
      <c r="BS322" s="489"/>
      <c r="BT322" s="489"/>
      <c r="BU322" s="489"/>
      <c r="BV322" s="489"/>
      <c r="BW322" s="63"/>
      <c r="BX322" s="62"/>
      <c r="BY322" s="452"/>
      <c r="BZ322" s="452"/>
      <c r="CA322" s="452"/>
      <c r="CB322" s="452"/>
      <c r="CC322" s="452"/>
      <c r="CD322" s="452"/>
      <c r="CE322" s="452"/>
      <c r="CF322" s="452"/>
      <c r="CG322" s="452"/>
      <c r="CH322" s="422"/>
      <c r="CI322" s="422"/>
      <c r="CJ322" s="422"/>
      <c r="CK322" s="421"/>
      <c r="CL322" s="421" t="s">
        <v>123</v>
      </c>
      <c r="CM322" s="423"/>
      <c r="CN322" s="421"/>
      <c r="CO322" s="423"/>
      <c r="CP322" s="421"/>
      <c r="CQ322" s="63"/>
      <c r="CR322" s="63"/>
      <c r="CS322" s="63"/>
      <c r="CT322" s="63"/>
      <c r="CU322" s="447"/>
      <c r="CV322" s="447"/>
      <c r="CW322" s="447"/>
      <c r="CX322" s="447"/>
      <c r="CY322" s="447"/>
      <c r="CZ322" s="447"/>
      <c r="DA322" s="447"/>
      <c r="DB322" s="447"/>
      <c r="DC322" s="447"/>
      <c r="DD322" s="447"/>
      <c r="DE322" s="447"/>
      <c r="DF322" s="447"/>
      <c r="DG322" s="447"/>
      <c r="DH322" s="447"/>
      <c r="DI322" s="447"/>
      <c r="DJ322" s="447"/>
      <c r="DK322" s="447"/>
      <c r="DL322" s="67"/>
      <c r="DM322" s="67"/>
      <c r="DN322" s="67"/>
      <c r="DO322" s="67"/>
      <c r="DP322" s="67"/>
      <c r="DQ322" s="67"/>
    </row>
    <row r="323" ht="22.5" customHeight="1">
      <c r="A323" s="383"/>
      <c r="B323" s="384" t="str">
        <f>IFERROR(__xludf.DUMMYFUNCTION("IF(B$43="""","""",IF($AZ323="""","""",IFERROR(Query({CarteirasAtivos},""Select Col3 where Col1 = '""&amp;$AZ323&amp;""'and Col2 = '""&amp;S$21&amp;""'""))))"),"")</f>
        <v/>
      </c>
      <c r="C323" s="384" t="str">
        <f>IFERROR(__xludf.DUMMYFUNCTION("IF(C$43="""","""",IF($AZ323="""","""",IFERROR(Query({CarteirasAtivos},""Select Col3 where Col1 = '""&amp;$AZ323&amp;""'and Col2 = '""&amp;T$21&amp;""'""))))"),"")</f>
        <v/>
      </c>
      <c r="D323" s="384" t="str">
        <f>IFERROR(__xludf.DUMMYFUNCTION("IF(D$43="""","""",IF($AZ323="""","""",IFERROR(Query({CarteirasAtivos},""Select Col3 where Col1 = '""&amp;$AZ323&amp;""'and Col2 = '""&amp;U$21&amp;""'""))))"),"")</f>
        <v/>
      </c>
      <c r="E323" s="384" t="str">
        <f>IFERROR(__xludf.DUMMYFUNCTION("IF(E$43="""","""",IF($AZ323="""","""",IFERROR(Query({CarteirasAtivos},""Select Col3 where Col1 = '""&amp;$AZ323&amp;""'and Col2 = '""&amp;V$21&amp;""'""))))"),"")</f>
        <v/>
      </c>
      <c r="F323" s="384" t="str">
        <f>IFERROR(__xludf.DUMMYFUNCTION("IF(F$43="""","""",IF($AZ323="""","""",IFERROR(Query({CarteirasAtivos},""Select Col3 where Col1 = '""&amp;$AZ323&amp;""'and Col2 = '""&amp;W$21&amp;""'""))))"),"")</f>
        <v/>
      </c>
      <c r="G323" s="384" t="str">
        <f>IFERROR(__xludf.DUMMYFUNCTION("IF(G$43="""","""",IF($AZ323="""","""",IFERROR(Query({CarteirasAtivos},""Select Col3 where Col1 = '""&amp;$AZ323&amp;""'and Col2 = '""&amp;X$21&amp;""'""))))"),"")</f>
        <v/>
      </c>
      <c r="H323" s="384" t="str">
        <f>IFERROR(__xludf.DUMMYFUNCTION("IF(H$43="""","""",IF($AZ323="""","""",IFERROR(Query({CarteirasAtivos},""Select Col3 where Col1 = '""&amp;$AZ323&amp;""'and Col2 = '""&amp;Y$21&amp;""'""))))"),"")</f>
        <v/>
      </c>
      <c r="I323" s="384" t="str">
        <f>IFERROR(__xludf.DUMMYFUNCTION("IF(I$43="""","""",IF($AZ323="""","""",IFERROR(Query({CarteirasAtivos},""Select Col3 where Col1 = '""&amp;$AZ323&amp;""'and Col2 = '""&amp;Z$21&amp;""'""))))"),"")</f>
        <v/>
      </c>
      <c r="J323" s="384" t="str">
        <f>IFERROR(__xludf.DUMMYFUNCTION("IF(J$43="""","""",IF($AZ323="""","""",IFERROR(Query({CarteirasAtivos},""Select Col3 where Col1 = '""&amp;$AZ323&amp;""'and Col2 = '""&amp;AA$21&amp;""'""))))"),"")</f>
        <v/>
      </c>
      <c r="K323" s="384" t="str">
        <f>IFERROR(__xludf.DUMMYFUNCTION("IF(K$43="""","""",IF($AZ323="""","""",IFERROR(Query({CarteirasAtivos},""Select Col3 where Col1 = '""&amp;$AZ323&amp;""'and Col2 = '""&amp;AB$21&amp;""'""))))"),"")</f>
        <v/>
      </c>
      <c r="L323" s="385">
        <v>280.0</v>
      </c>
      <c r="M323" s="503"/>
      <c r="N323" s="387"/>
      <c r="O323" s="388" t="s">
        <v>123</v>
      </c>
      <c r="P323" s="389"/>
      <c r="Q323" s="390"/>
      <c r="R323" s="391"/>
      <c r="S323" s="392"/>
      <c r="T323" s="393"/>
      <c r="U323" s="393"/>
      <c r="V323" s="394"/>
      <c r="W323" s="395" t="str">
        <f>IFERROR(__xludf.DUMMYFUNCTION("IF(M323="""","""",sparkline(IFERROR(BF323*100/MAX($BF$44:$BF$153),0),{""charttype"",""bar"";""max"",100;""color1"",IF(BD323&gt;=0,""#4760a5"",""red"")}))"),"")</f>
        <v/>
      </c>
      <c r="X323" s="396"/>
      <c r="Y323" s="466"/>
      <c r="Z323" s="398"/>
      <c r="AA323" s="511"/>
      <c r="AB323" s="393"/>
      <c r="AC323" s="476"/>
      <c r="AD323" s="401"/>
      <c r="AE323" s="402"/>
      <c r="AF323" s="403"/>
      <c r="AG323" s="404" t="str">
        <f>IFERROR(__xludf.DUMMYFUNCTION("IF($M323="""","""",IFERROR(sparkline(query(GOOGLEFINANCE($AZ323,""price"",TODAY()-$AF$43,TODAY(),1),""select Col2 label Col2 ''""),IF($AG$43=""Gráfico de barras"",{""charttype"",""column"";""highcolor"",""red""},{""chartype"",""line""}))))"),"")</f>
        <v/>
      </c>
      <c r="AH323" s="405"/>
      <c r="AI323" s="467"/>
      <c r="AJ323" s="467"/>
      <c r="AK323" s="467"/>
      <c r="AL323" s="467"/>
      <c r="AM323" s="442"/>
      <c r="AN323" s="442"/>
      <c r="AU323" s="281"/>
      <c r="AV323" s="281"/>
      <c r="AW323" s="281"/>
      <c r="AX323" s="281"/>
      <c r="AY323" s="410">
        <v>280.0</v>
      </c>
      <c r="AZ323" s="411"/>
      <c r="BA323" s="411"/>
      <c r="BB323" s="437"/>
      <c r="BC323" s="437"/>
      <c r="BD323" s="437"/>
      <c r="BE323" s="437"/>
      <c r="BF323" s="415" t="s">
        <v>123</v>
      </c>
      <c r="BG323" s="410">
        <v>280.0</v>
      </c>
      <c r="BH323" s="416"/>
      <c r="BI323" s="416"/>
      <c r="BJ323" s="416"/>
      <c r="BK323" s="416"/>
      <c r="BL323" s="416"/>
      <c r="BM323" s="416"/>
      <c r="BN323" s="282"/>
      <c r="BO323" s="490"/>
      <c r="BP323" s="489"/>
      <c r="BQ323" s="489"/>
      <c r="BR323" s="489"/>
      <c r="BS323" s="489"/>
      <c r="BT323" s="489"/>
      <c r="BU323" s="489"/>
      <c r="BV323" s="489"/>
      <c r="BW323" s="63"/>
      <c r="BX323" s="62"/>
      <c r="BY323" s="452"/>
      <c r="BZ323" s="452"/>
      <c r="CA323" s="452"/>
      <c r="CB323" s="452"/>
      <c r="CC323" s="452"/>
      <c r="CD323" s="452"/>
      <c r="CE323" s="452"/>
      <c r="CF323" s="452"/>
      <c r="CG323" s="452"/>
      <c r="CH323" s="422"/>
      <c r="CI323" s="422"/>
      <c r="CJ323" s="422"/>
      <c r="CK323" s="421"/>
      <c r="CL323" s="421" t="s">
        <v>123</v>
      </c>
      <c r="CM323" s="423"/>
      <c r="CN323" s="421"/>
      <c r="CO323" s="423"/>
      <c r="CP323" s="421"/>
      <c r="CQ323" s="63"/>
      <c r="CR323" s="63"/>
      <c r="CS323" s="63"/>
      <c r="CT323" s="63"/>
      <c r="CU323" s="447"/>
      <c r="CV323" s="447"/>
      <c r="CW323" s="447"/>
      <c r="CX323" s="447"/>
      <c r="CY323" s="447"/>
      <c r="CZ323" s="447"/>
      <c r="DA323" s="447"/>
      <c r="DB323" s="447"/>
      <c r="DC323" s="447"/>
      <c r="DD323" s="447"/>
      <c r="DE323" s="447"/>
      <c r="DF323" s="447"/>
      <c r="DG323" s="447"/>
      <c r="DH323" s="447"/>
      <c r="DI323" s="447"/>
      <c r="DJ323" s="447"/>
      <c r="DK323" s="447"/>
      <c r="DL323" s="67"/>
      <c r="DM323" s="67"/>
      <c r="DN323" s="67"/>
      <c r="DO323" s="67"/>
      <c r="DP323" s="67"/>
      <c r="DQ323" s="67"/>
    </row>
    <row r="324" ht="22.5" customHeight="1">
      <c r="A324" s="383"/>
      <c r="B324" s="384" t="str">
        <f>IFERROR(__xludf.DUMMYFUNCTION("IF(B$43="""","""",IF($AZ324="""","""",IFERROR(Query({CarteirasAtivos},""Select Col3 where Col1 = '""&amp;$AZ324&amp;""'and Col2 = '""&amp;S$21&amp;""'""))))"),"")</f>
        <v/>
      </c>
      <c r="C324" s="384" t="str">
        <f>IFERROR(__xludf.DUMMYFUNCTION("IF(C$43="""","""",IF($AZ324="""","""",IFERROR(Query({CarteirasAtivos},""Select Col3 where Col1 = '""&amp;$AZ324&amp;""'and Col2 = '""&amp;T$21&amp;""'""))))"),"")</f>
        <v/>
      </c>
      <c r="D324" s="384" t="str">
        <f>IFERROR(__xludf.DUMMYFUNCTION("IF(D$43="""","""",IF($AZ324="""","""",IFERROR(Query({CarteirasAtivos},""Select Col3 where Col1 = '""&amp;$AZ324&amp;""'and Col2 = '""&amp;U$21&amp;""'""))))"),"")</f>
        <v/>
      </c>
      <c r="E324" s="384" t="str">
        <f>IFERROR(__xludf.DUMMYFUNCTION("IF(E$43="""","""",IF($AZ324="""","""",IFERROR(Query({CarteirasAtivos},""Select Col3 where Col1 = '""&amp;$AZ324&amp;""'and Col2 = '""&amp;V$21&amp;""'""))))"),"")</f>
        <v/>
      </c>
      <c r="F324" s="384" t="str">
        <f>IFERROR(__xludf.DUMMYFUNCTION("IF(F$43="""","""",IF($AZ324="""","""",IFERROR(Query({CarteirasAtivos},""Select Col3 where Col1 = '""&amp;$AZ324&amp;""'and Col2 = '""&amp;W$21&amp;""'""))))"),"")</f>
        <v/>
      </c>
      <c r="G324" s="384" t="str">
        <f>IFERROR(__xludf.DUMMYFUNCTION("IF(G$43="""","""",IF($AZ324="""","""",IFERROR(Query({CarteirasAtivos},""Select Col3 where Col1 = '""&amp;$AZ324&amp;""'and Col2 = '""&amp;X$21&amp;""'""))))"),"")</f>
        <v/>
      </c>
      <c r="H324" s="384" t="str">
        <f>IFERROR(__xludf.DUMMYFUNCTION("IF(H$43="""","""",IF($AZ324="""","""",IFERROR(Query({CarteirasAtivos},""Select Col3 where Col1 = '""&amp;$AZ324&amp;""'and Col2 = '""&amp;Y$21&amp;""'""))))"),"")</f>
        <v/>
      </c>
      <c r="I324" s="384" t="str">
        <f>IFERROR(__xludf.DUMMYFUNCTION("IF(I$43="""","""",IF($AZ324="""","""",IFERROR(Query({CarteirasAtivos},""Select Col3 where Col1 = '""&amp;$AZ324&amp;""'and Col2 = '""&amp;Z$21&amp;""'""))))"),"")</f>
        <v/>
      </c>
      <c r="J324" s="384" t="str">
        <f>IFERROR(__xludf.DUMMYFUNCTION("IF(J$43="""","""",IF($AZ324="""","""",IFERROR(Query({CarteirasAtivos},""Select Col3 where Col1 = '""&amp;$AZ324&amp;""'and Col2 = '""&amp;AA$21&amp;""'""))))"),"")</f>
        <v/>
      </c>
      <c r="K324" s="384" t="str">
        <f>IFERROR(__xludf.DUMMYFUNCTION("IF(K$43="""","""",IF($AZ324="""","""",IFERROR(Query({CarteirasAtivos},""Select Col3 where Col1 = '""&amp;$AZ324&amp;""'and Col2 = '""&amp;AB$21&amp;""'""))))"),"")</f>
        <v/>
      </c>
      <c r="L324" s="385">
        <v>281.0</v>
      </c>
      <c r="M324" s="503"/>
      <c r="N324" s="387"/>
      <c r="O324" s="388" t="s">
        <v>123</v>
      </c>
      <c r="P324" s="389"/>
      <c r="Q324" s="390"/>
      <c r="R324" s="391"/>
      <c r="S324" s="392"/>
      <c r="T324" s="393"/>
      <c r="U324" s="393"/>
      <c r="V324" s="394"/>
      <c r="W324" s="395" t="str">
        <f>IFERROR(__xludf.DUMMYFUNCTION("IF(M324="""","""",sparkline(IFERROR(BF324*100/MAX($BF$44:$BF$153),0),{""charttype"",""bar"";""max"",100;""color1"",IF(BD324&gt;=0,""#4760a5"",""red"")}))"),"")</f>
        <v/>
      </c>
      <c r="X324" s="396"/>
      <c r="Y324" s="466"/>
      <c r="Z324" s="398"/>
      <c r="AA324" s="511"/>
      <c r="AB324" s="393"/>
      <c r="AC324" s="476"/>
      <c r="AD324" s="401"/>
      <c r="AE324" s="402"/>
      <c r="AF324" s="403"/>
      <c r="AG324" s="404" t="str">
        <f>IFERROR(__xludf.DUMMYFUNCTION("IF($M324="""","""",IFERROR(sparkline(query(GOOGLEFINANCE($AZ324,""price"",TODAY()-$AF$43,TODAY(),1),""select Col2 label Col2 ''""),IF($AG$43=""Gráfico de barras"",{""charttype"",""column"";""highcolor"",""red""},{""chartype"",""line""}))))"),"")</f>
        <v/>
      </c>
      <c r="AH324" s="405"/>
      <c r="AI324" s="467"/>
      <c r="AJ324" s="467"/>
      <c r="AK324" s="467"/>
      <c r="AL324" s="467"/>
      <c r="AM324" s="442"/>
      <c r="AN324" s="442"/>
      <c r="AU324" s="281"/>
      <c r="AV324" s="281"/>
      <c r="AW324" s="281"/>
      <c r="AX324" s="281"/>
      <c r="AY324" s="410">
        <v>281.0</v>
      </c>
      <c r="AZ324" s="411"/>
      <c r="BA324" s="411"/>
      <c r="BB324" s="437"/>
      <c r="BC324" s="437"/>
      <c r="BD324" s="437"/>
      <c r="BE324" s="437"/>
      <c r="BF324" s="415" t="s">
        <v>123</v>
      </c>
      <c r="BG324" s="410">
        <v>281.0</v>
      </c>
      <c r="BH324" s="416"/>
      <c r="BI324" s="416"/>
      <c r="BJ324" s="416"/>
      <c r="BK324" s="416"/>
      <c r="BL324" s="416"/>
      <c r="BM324" s="416"/>
      <c r="BN324" s="282"/>
      <c r="BO324" s="490"/>
      <c r="BP324" s="489"/>
      <c r="BQ324" s="489"/>
      <c r="BR324" s="489"/>
      <c r="BS324" s="489"/>
      <c r="BT324" s="489"/>
      <c r="BU324" s="489"/>
      <c r="BV324" s="489"/>
      <c r="BW324" s="63"/>
      <c r="BX324" s="62"/>
      <c r="BY324" s="452"/>
      <c r="BZ324" s="452"/>
      <c r="CA324" s="452"/>
      <c r="CB324" s="452"/>
      <c r="CC324" s="452"/>
      <c r="CD324" s="452"/>
      <c r="CE324" s="452"/>
      <c r="CF324" s="452"/>
      <c r="CG324" s="452"/>
      <c r="CH324" s="422"/>
      <c r="CI324" s="422"/>
      <c r="CJ324" s="422"/>
      <c r="CK324" s="421"/>
      <c r="CL324" s="421" t="s">
        <v>123</v>
      </c>
      <c r="CM324" s="423"/>
      <c r="CN324" s="421"/>
      <c r="CO324" s="423"/>
      <c r="CP324" s="421"/>
      <c r="CQ324" s="63"/>
      <c r="CR324" s="63"/>
      <c r="CS324" s="63"/>
      <c r="CT324" s="63"/>
      <c r="CU324" s="447"/>
      <c r="CV324" s="447"/>
      <c r="CW324" s="447"/>
      <c r="CX324" s="447"/>
      <c r="CY324" s="447"/>
      <c r="CZ324" s="447"/>
      <c r="DA324" s="447"/>
      <c r="DB324" s="447"/>
      <c r="DC324" s="447"/>
      <c r="DD324" s="447"/>
      <c r="DE324" s="447"/>
      <c r="DF324" s="447"/>
      <c r="DG324" s="447"/>
      <c r="DH324" s="447"/>
      <c r="DI324" s="447"/>
      <c r="DJ324" s="447"/>
      <c r="DK324" s="447"/>
      <c r="DL324" s="67"/>
      <c r="DM324" s="67"/>
      <c r="DN324" s="67"/>
      <c r="DO324" s="67"/>
      <c r="DP324" s="67"/>
      <c r="DQ324" s="67"/>
    </row>
    <row r="325" ht="22.5" customHeight="1">
      <c r="A325" s="383"/>
      <c r="B325" s="384" t="str">
        <f>IFERROR(__xludf.DUMMYFUNCTION("IF(B$43="""","""",IF($AZ325="""","""",IFERROR(Query({CarteirasAtivos},""Select Col3 where Col1 = '""&amp;$AZ325&amp;""'and Col2 = '""&amp;S$21&amp;""'""))))"),"")</f>
        <v/>
      </c>
      <c r="C325" s="384" t="str">
        <f>IFERROR(__xludf.DUMMYFUNCTION("IF(C$43="""","""",IF($AZ325="""","""",IFERROR(Query({CarteirasAtivos},""Select Col3 where Col1 = '""&amp;$AZ325&amp;""'and Col2 = '""&amp;T$21&amp;""'""))))"),"")</f>
        <v/>
      </c>
      <c r="D325" s="384" t="str">
        <f>IFERROR(__xludf.DUMMYFUNCTION("IF(D$43="""","""",IF($AZ325="""","""",IFERROR(Query({CarteirasAtivos},""Select Col3 where Col1 = '""&amp;$AZ325&amp;""'and Col2 = '""&amp;U$21&amp;""'""))))"),"")</f>
        <v/>
      </c>
      <c r="E325" s="384" t="str">
        <f>IFERROR(__xludf.DUMMYFUNCTION("IF(E$43="""","""",IF($AZ325="""","""",IFERROR(Query({CarteirasAtivos},""Select Col3 where Col1 = '""&amp;$AZ325&amp;""'and Col2 = '""&amp;V$21&amp;""'""))))"),"")</f>
        <v/>
      </c>
      <c r="F325" s="384" t="str">
        <f>IFERROR(__xludf.DUMMYFUNCTION("IF(F$43="""","""",IF($AZ325="""","""",IFERROR(Query({CarteirasAtivos},""Select Col3 where Col1 = '""&amp;$AZ325&amp;""'and Col2 = '""&amp;W$21&amp;""'""))))"),"")</f>
        <v/>
      </c>
      <c r="G325" s="384" t="str">
        <f>IFERROR(__xludf.DUMMYFUNCTION("IF(G$43="""","""",IF($AZ325="""","""",IFERROR(Query({CarteirasAtivos},""Select Col3 where Col1 = '""&amp;$AZ325&amp;""'and Col2 = '""&amp;X$21&amp;""'""))))"),"")</f>
        <v/>
      </c>
      <c r="H325" s="384" t="str">
        <f>IFERROR(__xludf.DUMMYFUNCTION("IF(H$43="""","""",IF($AZ325="""","""",IFERROR(Query({CarteirasAtivos},""Select Col3 where Col1 = '""&amp;$AZ325&amp;""'and Col2 = '""&amp;Y$21&amp;""'""))))"),"")</f>
        <v/>
      </c>
      <c r="I325" s="384" t="str">
        <f>IFERROR(__xludf.DUMMYFUNCTION("IF(I$43="""","""",IF($AZ325="""","""",IFERROR(Query({CarteirasAtivos},""Select Col3 where Col1 = '""&amp;$AZ325&amp;""'and Col2 = '""&amp;Z$21&amp;""'""))))"),"")</f>
        <v/>
      </c>
      <c r="J325" s="384" t="str">
        <f>IFERROR(__xludf.DUMMYFUNCTION("IF(J$43="""","""",IF($AZ325="""","""",IFERROR(Query({CarteirasAtivos},""Select Col3 where Col1 = '""&amp;$AZ325&amp;""'and Col2 = '""&amp;AA$21&amp;""'""))))"),"")</f>
        <v/>
      </c>
      <c r="K325" s="384" t="str">
        <f>IFERROR(__xludf.DUMMYFUNCTION("IF(K$43="""","""",IF($AZ325="""","""",IFERROR(Query({CarteirasAtivos},""Select Col3 where Col1 = '""&amp;$AZ325&amp;""'and Col2 = '""&amp;AB$21&amp;""'""))))"),"")</f>
        <v/>
      </c>
      <c r="L325" s="385">
        <v>282.0</v>
      </c>
      <c r="M325" s="503"/>
      <c r="N325" s="387"/>
      <c r="O325" s="388" t="s">
        <v>123</v>
      </c>
      <c r="P325" s="389"/>
      <c r="Q325" s="390"/>
      <c r="R325" s="391"/>
      <c r="S325" s="392"/>
      <c r="T325" s="393"/>
      <c r="U325" s="393"/>
      <c r="V325" s="394"/>
      <c r="W325" s="395" t="str">
        <f>IFERROR(__xludf.DUMMYFUNCTION("IF(M325="""","""",sparkline(IFERROR(BF325*100/MAX($BF$44:$BF$153),0),{""charttype"",""bar"";""max"",100;""color1"",IF(BD325&gt;=0,""#4760a5"",""red"")}))"),"")</f>
        <v/>
      </c>
      <c r="X325" s="396"/>
      <c r="Y325" s="466"/>
      <c r="Z325" s="398"/>
      <c r="AA325" s="511"/>
      <c r="AB325" s="393"/>
      <c r="AC325" s="476"/>
      <c r="AD325" s="401"/>
      <c r="AE325" s="402"/>
      <c r="AF325" s="403"/>
      <c r="AG325" s="404" t="str">
        <f>IFERROR(__xludf.DUMMYFUNCTION("IF($M325="""","""",IFERROR(sparkline(query(GOOGLEFINANCE($AZ325,""price"",TODAY()-$AF$43,TODAY(),1),""select Col2 label Col2 ''""),IF($AG$43=""Gráfico de barras"",{""charttype"",""column"";""highcolor"",""red""},{""chartype"",""line""}))))"),"")</f>
        <v/>
      </c>
      <c r="AH325" s="405"/>
      <c r="AI325" s="467"/>
      <c r="AJ325" s="467"/>
      <c r="AK325" s="467"/>
      <c r="AL325" s="467"/>
      <c r="AM325" s="442"/>
      <c r="AN325" s="442"/>
      <c r="AU325" s="281"/>
      <c r="AV325" s="281"/>
      <c r="AW325" s="281"/>
      <c r="AX325" s="281"/>
      <c r="AY325" s="410">
        <v>282.0</v>
      </c>
      <c r="AZ325" s="411"/>
      <c r="BA325" s="411"/>
      <c r="BB325" s="437"/>
      <c r="BC325" s="437"/>
      <c r="BD325" s="437"/>
      <c r="BE325" s="437"/>
      <c r="BF325" s="415" t="s">
        <v>123</v>
      </c>
      <c r="BG325" s="410">
        <v>282.0</v>
      </c>
      <c r="BH325" s="416"/>
      <c r="BI325" s="416"/>
      <c r="BJ325" s="416"/>
      <c r="BK325" s="416"/>
      <c r="BL325" s="416"/>
      <c r="BM325" s="416"/>
      <c r="BN325" s="282"/>
      <c r="BO325" s="490"/>
      <c r="BP325" s="489"/>
      <c r="BQ325" s="489"/>
      <c r="BR325" s="489"/>
      <c r="BS325" s="489"/>
      <c r="BT325" s="489"/>
      <c r="BU325" s="489"/>
      <c r="BV325" s="489"/>
      <c r="BW325" s="63"/>
      <c r="BX325" s="62"/>
      <c r="BY325" s="452"/>
      <c r="BZ325" s="452"/>
      <c r="CA325" s="452"/>
      <c r="CB325" s="452"/>
      <c r="CC325" s="452"/>
      <c r="CD325" s="452"/>
      <c r="CE325" s="452"/>
      <c r="CF325" s="452"/>
      <c r="CG325" s="452"/>
      <c r="CH325" s="422"/>
      <c r="CI325" s="422"/>
      <c r="CJ325" s="422"/>
      <c r="CK325" s="421"/>
      <c r="CL325" s="421" t="s">
        <v>123</v>
      </c>
      <c r="CM325" s="423"/>
      <c r="CN325" s="421"/>
      <c r="CO325" s="423"/>
      <c r="CP325" s="421"/>
      <c r="CQ325" s="63"/>
      <c r="CR325" s="63"/>
      <c r="CS325" s="63"/>
      <c r="CT325" s="63"/>
      <c r="CU325" s="447"/>
      <c r="CV325" s="447"/>
      <c r="CW325" s="447"/>
      <c r="CX325" s="447"/>
      <c r="CY325" s="447"/>
      <c r="CZ325" s="447"/>
      <c r="DA325" s="447"/>
      <c r="DB325" s="447"/>
      <c r="DC325" s="447"/>
      <c r="DD325" s="447"/>
      <c r="DE325" s="447"/>
      <c r="DF325" s="447"/>
      <c r="DG325" s="447"/>
      <c r="DH325" s="447"/>
      <c r="DI325" s="447"/>
      <c r="DJ325" s="447"/>
      <c r="DK325" s="447"/>
      <c r="DL325" s="67"/>
      <c r="DM325" s="67"/>
      <c r="DN325" s="67"/>
      <c r="DO325" s="67"/>
      <c r="DP325" s="67"/>
      <c r="DQ325" s="67"/>
    </row>
    <row r="326" ht="22.5" customHeight="1">
      <c r="A326" s="383"/>
      <c r="B326" s="384" t="str">
        <f>IFERROR(__xludf.DUMMYFUNCTION("IF(B$43="""","""",IF($AZ326="""","""",IFERROR(Query({CarteirasAtivos},""Select Col3 where Col1 = '""&amp;$AZ326&amp;""'and Col2 = '""&amp;S$21&amp;""'""))))"),"")</f>
        <v/>
      </c>
      <c r="C326" s="384" t="str">
        <f>IFERROR(__xludf.DUMMYFUNCTION("IF(C$43="""","""",IF($AZ326="""","""",IFERROR(Query({CarteirasAtivos},""Select Col3 where Col1 = '""&amp;$AZ326&amp;""'and Col2 = '""&amp;T$21&amp;""'""))))"),"")</f>
        <v/>
      </c>
      <c r="D326" s="384" t="str">
        <f>IFERROR(__xludf.DUMMYFUNCTION("IF(D$43="""","""",IF($AZ326="""","""",IFERROR(Query({CarteirasAtivos},""Select Col3 where Col1 = '""&amp;$AZ326&amp;""'and Col2 = '""&amp;U$21&amp;""'""))))"),"")</f>
        <v/>
      </c>
      <c r="E326" s="384" t="str">
        <f>IFERROR(__xludf.DUMMYFUNCTION("IF(E$43="""","""",IF($AZ326="""","""",IFERROR(Query({CarteirasAtivos},""Select Col3 where Col1 = '""&amp;$AZ326&amp;""'and Col2 = '""&amp;V$21&amp;""'""))))"),"")</f>
        <v/>
      </c>
      <c r="F326" s="384" t="str">
        <f>IFERROR(__xludf.DUMMYFUNCTION("IF(F$43="""","""",IF($AZ326="""","""",IFERROR(Query({CarteirasAtivos},""Select Col3 where Col1 = '""&amp;$AZ326&amp;""'and Col2 = '""&amp;W$21&amp;""'""))))"),"")</f>
        <v/>
      </c>
      <c r="G326" s="384" t="str">
        <f>IFERROR(__xludf.DUMMYFUNCTION("IF(G$43="""","""",IF($AZ326="""","""",IFERROR(Query({CarteirasAtivos},""Select Col3 where Col1 = '""&amp;$AZ326&amp;""'and Col2 = '""&amp;X$21&amp;""'""))))"),"")</f>
        <v/>
      </c>
      <c r="H326" s="384" t="str">
        <f>IFERROR(__xludf.DUMMYFUNCTION("IF(H$43="""","""",IF($AZ326="""","""",IFERROR(Query({CarteirasAtivos},""Select Col3 where Col1 = '""&amp;$AZ326&amp;""'and Col2 = '""&amp;Y$21&amp;""'""))))"),"")</f>
        <v/>
      </c>
      <c r="I326" s="384" t="str">
        <f>IFERROR(__xludf.DUMMYFUNCTION("IF(I$43="""","""",IF($AZ326="""","""",IFERROR(Query({CarteirasAtivos},""Select Col3 where Col1 = '""&amp;$AZ326&amp;""'and Col2 = '""&amp;Z$21&amp;""'""))))"),"")</f>
        <v/>
      </c>
      <c r="J326" s="384" t="str">
        <f>IFERROR(__xludf.DUMMYFUNCTION("IF(J$43="""","""",IF($AZ326="""","""",IFERROR(Query({CarteirasAtivos},""Select Col3 where Col1 = '""&amp;$AZ326&amp;""'and Col2 = '""&amp;AA$21&amp;""'""))))"),"")</f>
        <v/>
      </c>
      <c r="K326" s="384" t="str">
        <f>IFERROR(__xludf.DUMMYFUNCTION("IF(K$43="""","""",IF($AZ326="""","""",IFERROR(Query({CarteirasAtivos},""Select Col3 where Col1 = '""&amp;$AZ326&amp;""'and Col2 = '""&amp;AB$21&amp;""'""))))"),"")</f>
        <v/>
      </c>
      <c r="L326" s="385">
        <v>283.0</v>
      </c>
      <c r="M326" s="503"/>
      <c r="N326" s="387"/>
      <c r="O326" s="388" t="s">
        <v>123</v>
      </c>
      <c r="P326" s="389"/>
      <c r="Q326" s="390"/>
      <c r="R326" s="391"/>
      <c r="S326" s="392"/>
      <c r="T326" s="393"/>
      <c r="U326" s="393"/>
      <c r="V326" s="394"/>
      <c r="W326" s="395" t="str">
        <f>IFERROR(__xludf.DUMMYFUNCTION("IF(M326="""","""",sparkline(IFERROR(BF326*100/MAX($BF$44:$BF$153),0),{""charttype"",""bar"";""max"",100;""color1"",IF(BD326&gt;=0,""#4760a5"",""red"")}))"),"")</f>
        <v/>
      </c>
      <c r="X326" s="396"/>
      <c r="Y326" s="466"/>
      <c r="Z326" s="398"/>
      <c r="AA326" s="511"/>
      <c r="AB326" s="393"/>
      <c r="AC326" s="476"/>
      <c r="AD326" s="401"/>
      <c r="AE326" s="402"/>
      <c r="AF326" s="403"/>
      <c r="AG326" s="404" t="str">
        <f>IFERROR(__xludf.DUMMYFUNCTION("IF($M326="""","""",IFERROR(sparkline(query(GOOGLEFINANCE($AZ326,""price"",TODAY()-$AF$43,TODAY(),1),""select Col2 label Col2 ''""),IF($AG$43=""Gráfico de barras"",{""charttype"",""column"";""highcolor"",""red""},{""chartype"",""line""}))))"),"")</f>
        <v/>
      </c>
      <c r="AH326" s="405"/>
      <c r="AI326" s="467"/>
      <c r="AJ326" s="467"/>
      <c r="AK326" s="467"/>
      <c r="AL326" s="467"/>
      <c r="AM326" s="442"/>
      <c r="AN326" s="442"/>
      <c r="AU326" s="281"/>
      <c r="AV326" s="281"/>
      <c r="AW326" s="281"/>
      <c r="AX326" s="281"/>
      <c r="AY326" s="410">
        <v>283.0</v>
      </c>
      <c r="AZ326" s="411"/>
      <c r="BA326" s="411"/>
      <c r="BB326" s="437"/>
      <c r="BC326" s="437"/>
      <c r="BD326" s="437"/>
      <c r="BE326" s="437"/>
      <c r="BF326" s="415" t="s">
        <v>123</v>
      </c>
      <c r="BG326" s="410">
        <v>283.0</v>
      </c>
      <c r="BH326" s="416"/>
      <c r="BI326" s="416"/>
      <c r="BJ326" s="416"/>
      <c r="BK326" s="416"/>
      <c r="BL326" s="416"/>
      <c r="BM326" s="416"/>
      <c r="BN326" s="282"/>
      <c r="BO326" s="490"/>
      <c r="BP326" s="489"/>
      <c r="BQ326" s="489"/>
      <c r="BR326" s="489"/>
      <c r="BS326" s="489"/>
      <c r="BT326" s="489"/>
      <c r="BU326" s="489"/>
      <c r="BV326" s="489"/>
      <c r="BW326" s="63"/>
      <c r="BX326" s="62"/>
      <c r="BY326" s="452"/>
      <c r="BZ326" s="452"/>
      <c r="CA326" s="452"/>
      <c r="CB326" s="452"/>
      <c r="CC326" s="452"/>
      <c r="CD326" s="452"/>
      <c r="CE326" s="452"/>
      <c r="CF326" s="452"/>
      <c r="CG326" s="452"/>
      <c r="CH326" s="422"/>
      <c r="CI326" s="422"/>
      <c r="CJ326" s="422"/>
      <c r="CK326" s="421"/>
      <c r="CL326" s="421" t="s">
        <v>123</v>
      </c>
      <c r="CM326" s="423"/>
      <c r="CN326" s="421"/>
      <c r="CO326" s="423"/>
      <c r="CP326" s="421"/>
      <c r="CQ326" s="63"/>
      <c r="CR326" s="63"/>
      <c r="CS326" s="63"/>
      <c r="CT326" s="63"/>
      <c r="CU326" s="447"/>
      <c r="CV326" s="447"/>
      <c r="CW326" s="447"/>
      <c r="CX326" s="447"/>
      <c r="CY326" s="447"/>
      <c r="CZ326" s="447"/>
      <c r="DA326" s="447"/>
      <c r="DB326" s="447"/>
      <c r="DC326" s="447"/>
      <c r="DD326" s="447"/>
      <c r="DE326" s="447"/>
      <c r="DF326" s="447"/>
      <c r="DG326" s="447"/>
      <c r="DH326" s="447"/>
      <c r="DI326" s="447"/>
      <c r="DJ326" s="447"/>
      <c r="DK326" s="447"/>
      <c r="DL326" s="67"/>
      <c r="DM326" s="67"/>
      <c r="DN326" s="67"/>
      <c r="DO326" s="67"/>
      <c r="DP326" s="67"/>
      <c r="DQ326" s="67"/>
    </row>
    <row r="327" ht="22.5" customHeight="1">
      <c r="A327" s="383"/>
      <c r="B327" s="384" t="str">
        <f>IFERROR(__xludf.DUMMYFUNCTION("IF(B$43="""","""",IF($AZ327="""","""",IFERROR(Query({CarteirasAtivos},""Select Col3 where Col1 = '""&amp;$AZ327&amp;""'and Col2 = '""&amp;S$21&amp;""'""))))"),"")</f>
        <v/>
      </c>
      <c r="C327" s="384" t="str">
        <f>IFERROR(__xludf.DUMMYFUNCTION("IF(C$43="""","""",IF($AZ327="""","""",IFERROR(Query({CarteirasAtivos},""Select Col3 where Col1 = '""&amp;$AZ327&amp;""'and Col2 = '""&amp;T$21&amp;""'""))))"),"")</f>
        <v/>
      </c>
      <c r="D327" s="384" t="str">
        <f>IFERROR(__xludf.DUMMYFUNCTION("IF(D$43="""","""",IF($AZ327="""","""",IFERROR(Query({CarteirasAtivos},""Select Col3 where Col1 = '""&amp;$AZ327&amp;""'and Col2 = '""&amp;U$21&amp;""'""))))"),"")</f>
        <v/>
      </c>
      <c r="E327" s="384" t="str">
        <f>IFERROR(__xludf.DUMMYFUNCTION("IF(E$43="""","""",IF($AZ327="""","""",IFERROR(Query({CarteirasAtivos},""Select Col3 where Col1 = '""&amp;$AZ327&amp;""'and Col2 = '""&amp;V$21&amp;""'""))))"),"")</f>
        <v/>
      </c>
      <c r="F327" s="384" t="str">
        <f>IFERROR(__xludf.DUMMYFUNCTION("IF(F$43="""","""",IF($AZ327="""","""",IFERROR(Query({CarteirasAtivos},""Select Col3 where Col1 = '""&amp;$AZ327&amp;""'and Col2 = '""&amp;W$21&amp;""'""))))"),"")</f>
        <v/>
      </c>
      <c r="G327" s="384" t="str">
        <f>IFERROR(__xludf.DUMMYFUNCTION("IF(G$43="""","""",IF($AZ327="""","""",IFERROR(Query({CarteirasAtivos},""Select Col3 where Col1 = '""&amp;$AZ327&amp;""'and Col2 = '""&amp;X$21&amp;""'""))))"),"")</f>
        <v/>
      </c>
      <c r="H327" s="384" t="str">
        <f>IFERROR(__xludf.DUMMYFUNCTION("IF(H$43="""","""",IF($AZ327="""","""",IFERROR(Query({CarteirasAtivos},""Select Col3 where Col1 = '""&amp;$AZ327&amp;""'and Col2 = '""&amp;Y$21&amp;""'""))))"),"")</f>
        <v/>
      </c>
      <c r="I327" s="384" t="str">
        <f>IFERROR(__xludf.DUMMYFUNCTION("IF(I$43="""","""",IF($AZ327="""","""",IFERROR(Query({CarteirasAtivos},""Select Col3 where Col1 = '""&amp;$AZ327&amp;""'and Col2 = '""&amp;Z$21&amp;""'""))))"),"")</f>
        <v/>
      </c>
      <c r="J327" s="384" t="str">
        <f>IFERROR(__xludf.DUMMYFUNCTION("IF(J$43="""","""",IF($AZ327="""","""",IFERROR(Query({CarteirasAtivos},""Select Col3 where Col1 = '""&amp;$AZ327&amp;""'and Col2 = '""&amp;AA$21&amp;""'""))))"),"")</f>
        <v/>
      </c>
      <c r="K327" s="384" t="str">
        <f>IFERROR(__xludf.DUMMYFUNCTION("IF(K$43="""","""",IF($AZ327="""","""",IFERROR(Query({CarteirasAtivos},""Select Col3 where Col1 = '""&amp;$AZ327&amp;""'and Col2 = '""&amp;AB$21&amp;""'""))))"),"")</f>
        <v/>
      </c>
      <c r="L327" s="385">
        <v>284.0</v>
      </c>
      <c r="M327" s="503"/>
      <c r="N327" s="387"/>
      <c r="O327" s="388" t="s">
        <v>123</v>
      </c>
      <c r="P327" s="389"/>
      <c r="Q327" s="390"/>
      <c r="R327" s="391"/>
      <c r="S327" s="392"/>
      <c r="T327" s="393"/>
      <c r="U327" s="393"/>
      <c r="V327" s="394"/>
      <c r="W327" s="395" t="str">
        <f>IFERROR(__xludf.DUMMYFUNCTION("IF(M327="""","""",sparkline(IFERROR(BF327*100/MAX($BF$44:$BF$153),0),{""charttype"",""bar"";""max"",100;""color1"",IF(BD327&gt;=0,""#4760a5"",""red"")}))"),"")</f>
        <v/>
      </c>
      <c r="X327" s="396"/>
      <c r="Y327" s="466"/>
      <c r="Z327" s="398"/>
      <c r="AA327" s="511"/>
      <c r="AB327" s="393"/>
      <c r="AC327" s="476"/>
      <c r="AD327" s="401"/>
      <c r="AE327" s="402"/>
      <c r="AF327" s="403"/>
      <c r="AG327" s="404" t="str">
        <f>IFERROR(__xludf.DUMMYFUNCTION("IF($M327="""","""",IFERROR(sparkline(query(GOOGLEFINANCE($AZ327,""price"",TODAY()-$AF$43,TODAY(),1),""select Col2 label Col2 ''""),IF($AG$43=""Gráfico de barras"",{""charttype"",""column"";""highcolor"",""red""},{""chartype"",""line""}))))"),"")</f>
        <v/>
      </c>
      <c r="AH327" s="405"/>
      <c r="AI327" s="467"/>
      <c r="AJ327" s="467"/>
      <c r="AK327" s="467"/>
      <c r="AL327" s="467"/>
      <c r="AM327" s="442"/>
      <c r="AN327" s="442"/>
      <c r="AU327" s="281"/>
      <c r="AV327" s="281"/>
      <c r="AW327" s="281"/>
      <c r="AX327" s="281"/>
      <c r="AY327" s="410">
        <v>284.0</v>
      </c>
      <c r="AZ327" s="411"/>
      <c r="BA327" s="411"/>
      <c r="BB327" s="437"/>
      <c r="BC327" s="437"/>
      <c r="BD327" s="437"/>
      <c r="BE327" s="437"/>
      <c r="BF327" s="415" t="s">
        <v>123</v>
      </c>
      <c r="BG327" s="410">
        <v>284.0</v>
      </c>
      <c r="BH327" s="416"/>
      <c r="BI327" s="416"/>
      <c r="BJ327" s="416"/>
      <c r="BK327" s="416"/>
      <c r="BL327" s="416"/>
      <c r="BM327" s="416"/>
      <c r="BN327" s="282"/>
      <c r="BO327" s="490"/>
      <c r="BP327" s="489"/>
      <c r="BQ327" s="489"/>
      <c r="BR327" s="489"/>
      <c r="BS327" s="489"/>
      <c r="BT327" s="489"/>
      <c r="BU327" s="489"/>
      <c r="BV327" s="489"/>
      <c r="BW327" s="63"/>
      <c r="BX327" s="62"/>
      <c r="BY327" s="452"/>
      <c r="BZ327" s="452"/>
      <c r="CA327" s="452"/>
      <c r="CB327" s="452"/>
      <c r="CC327" s="452"/>
      <c r="CD327" s="452"/>
      <c r="CE327" s="452"/>
      <c r="CF327" s="452"/>
      <c r="CG327" s="452"/>
      <c r="CH327" s="422"/>
      <c r="CI327" s="422"/>
      <c r="CJ327" s="422"/>
      <c r="CK327" s="421"/>
      <c r="CL327" s="421" t="s">
        <v>123</v>
      </c>
      <c r="CM327" s="423"/>
      <c r="CN327" s="421"/>
      <c r="CO327" s="423"/>
      <c r="CP327" s="421"/>
      <c r="CQ327" s="63"/>
      <c r="CR327" s="63"/>
      <c r="CS327" s="63"/>
      <c r="CT327" s="63"/>
      <c r="CU327" s="447"/>
      <c r="CV327" s="447"/>
      <c r="CW327" s="447"/>
      <c r="CX327" s="447"/>
      <c r="CY327" s="447"/>
      <c r="CZ327" s="447"/>
      <c r="DA327" s="447"/>
      <c r="DB327" s="447"/>
      <c r="DC327" s="447"/>
      <c r="DD327" s="447"/>
      <c r="DE327" s="447"/>
      <c r="DF327" s="447"/>
      <c r="DG327" s="447"/>
      <c r="DH327" s="447"/>
      <c r="DI327" s="447"/>
      <c r="DJ327" s="447"/>
      <c r="DK327" s="447"/>
      <c r="DL327" s="67"/>
      <c r="DM327" s="67"/>
      <c r="DN327" s="67"/>
      <c r="DO327" s="67"/>
      <c r="DP327" s="67"/>
      <c r="DQ327" s="67"/>
    </row>
    <row r="328" ht="22.5" customHeight="1">
      <c r="A328" s="383"/>
      <c r="B328" s="384" t="str">
        <f>IFERROR(__xludf.DUMMYFUNCTION("IF(B$43="""","""",IF($AZ328="""","""",IFERROR(Query({CarteirasAtivos},""Select Col3 where Col1 = '""&amp;$AZ328&amp;""'and Col2 = '""&amp;S$21&amp;""'""))))"),"")</f>
        <v/>
      </c>
      <c r="C328" s="384" t="str">
        <f>IFERROR(__xludf.DUMMYFUNCTION("IF(C$43="""","""",IF($AZ328="""","""",IFERROR(Query({CarteirasAtivos},""Select Col3 where Col1 = '""&amp;$AZ328&amp;""'and Col2 = '""&amp;T$21&amp;""'""))))"),"")</f>
        <v/>
      </c>
      <c r="D328" s="384" t="str">
        <f>IFERROR(__xludf.DUMMYFUNCTION("IF(D$43="""","""",IF($AZ328="""","""",IFERROR(Query({CarteirasAtivos},""Select Col3 where Col1 = '""&amp;$AZ328&amp;""'and Col2 = '""&amp;U$21&amp;""'""))))"),"")</f>
        <v/>
      </c>
      <c r="E328" s="384" t="str">
        <f>IFERROR(__xludf.DUMMYFUNCTION("IF(E$43="""","""",IF($AZ328="""","""",IFERROR(Query({CarteirasAtivos},""Select Col3 where Col1 = '""&amp;$AZ328&amp;""'and Col2 = '""&amp;V$21&amp;""'""))))"),"")</f>
        <v/>
      </c>
      <c r="F328" s="384" t="str">
        <f>IFERROR(__xludf.DUMMYFUNCTION("IF(F$43="""","""",IF($AZ328="""","""",IFERROR(Query({CarteirasAtivos},""Select Col3 where Col1 = '""&amp;$AZ328&amp;""'and Col2 = '""&amp;W$21&amp;""'""))))"),"")</f>
        <v/>
      </c>
      <c r="G328" s="384" t="str">
        <f>IFERROR(__xludf.DUMMYFUNCTION("IF(G$43="""","""",IF($AZ328="""","""",IFERROR(Query({CarteirasAtivos},""Select Col3 where Col1 = '""&amp;$AZ328&amp;""'and Col2 = '""&amp;X$21&amp;""'""))))"),"")</f>
        <v/>
      </c>
      <c r="H328" s="384" t="str">
        <f>IFERROR(__xludf.DUMMYFUNCTION("IF(H$43="""","""",IF($AZ328="""","""",IFERROR(Query({CarteirasAtivos},""Select Col3 where Col1 = '""&amp;$AZ328&amp;""'and Col2 = '""&amp;Y$21&amp;""'""))))"),"")</f>
        <v/>
      </c>
      <c r="I328" s="384" t="str">
        <f>IFERROR(__xludf.DUMMYFUNCTION("IF(I$43="""","""",IF($AZ328="""","""",IFERROR(Query({CarteirasAtivos},""Select Col3 where Col1 = '""&amp;$AZ328&amp;""'and Col2 = '""&amp;Z$21&amp;""'""))))"),"")</f>
        <v/>
      </c>
      <c r="J328" s="384" t="str">
        <f>IFERROR(__xludf.DUMMYFUNCTION("IF(J$43="""","""",IF($AZ328="""","""",IFERROR(Query({CarteirasAtivos},""Select Col3 where Col1 = '""&amp;$AZ328&amp;""'and Col2 = '""&amp;AA$21&amp;""'""))))"),"")</f>
        <v/>
      </c>
      <c r="K328" s="384" t="str">
        <f>IFERROR(__xludf.DUMMYFUNCTION("IF(K$43="""","""",IF($AZ328="""","""",IFERROR(Query({CarteirasAtivos},""Select Col3 where Col1 = '""&amp;$AZ328&amp;""'and Col2 = '""&amp;AB$21&amp;""'""))))"),"")</f>
        <v/>
      </c>
      <c r="L328" s="385">
        <v>285.0</v>
      </c>
      <c r="M328" s="503"/>
      <c r="N328" s="387"/>
      <c r="O328" s="388" t="s">
        <v>123</v>
      </c>
      <c r="P328" s="389"/>
      <c r="Q328" s="390"/>
      <c r="R328" s="391"/>
      <c r="S328" s="392"/>
      <c r="T328" s="393"/>
      <c r="U328" s="393"/>
      <c r="V328" s="394"/>
      <c r="W328" s="395" t="str">
        <f>IFERROR(__xludf.DUMMYFUNCTION("IF(M328="""","""",sparkline(IFERROR(BF328*100/MAX($BF$44:$BF$153),0),{""charttype"",""bar"";""max"",100;""color1"",IF(BD328&gt;=0,""#4760a5"",""red"")}))"),"")</f>
        <v/>
      </c>
      <c r="X328" s="396"/>
      <c r="Y328" s="466"/>
      <c r="Z328" s="398"/>
      <c r="AA328" s="511"/>
      <c r="AB328" s="393"/>
      <c r="AC328" s="476"/>
      <c r="AD328" s="401"/>
      <c r="AE328" s="402"/>
      <c r="AF328" s="403"/>
      <c r="AG328" s="404" t="str">
        <f>IFERROR(__xludf.DUMMYFUNCTION("IF($M328="""","""",IFERROR(sparkline(query(GOOGLEFINANCE($AZ328,""price"",TODAY()-$AF$43,TODAY(),1),""select Col2 label Col2 ''""),IF($AG$43=""Gráfico de barras"",{""charttype"",""column"";""highcolor"",""red""},{""chartype"",""line""}))))"),"")</f>
        <v/>
      </c>
      <c r="AH328" s="405"/>
      <c r="AI328" s="467"/>
      <c r="AJ328" s="467"/>
      <c r="AK328" s="467"/>
      <c r="AL328" s="467"/>
      <c r="AM328" s="442"/>
      <c r="AN328" s="442"/>
      <c r="AU328" s="281"/>
      <c r="AV328" s="281"/>
      <c r="AW328" s="281"/>
      <c r="AX328" s="281"/>
      <c r="AY328" s="410">
        <v>285.0</v>
      </c>
      <c r="AZ328" s="411"/>
      <c r="BA328" s="411"/>
      <c r="BB328" s="437"/>
      <c r="BC328" s="437"/>
      <c r="BD328" s="437"/>
      <c r="BE328" s="437"/>
      <c r="BF328" s="415" t="s">
        <v>123</v>
      </c>
      <c r="BG328" s="410">
        <v>285.0</v>
      </c>
      <c r="BH328" s="416"/>
      <c r="BI328" s="416"/>
      <c r="BJ328" s="416"/>
      <c r="BK328" s="416"/>
      <c r="BL328" s="416"/>
      <c r="BM328" s="416"/>
      <c r="BN328" s="282"/>
      <c r="BO328" s="490"/>
      <c r="BP328" s="489"/>
      <c r="BQ328" s="489"/>
      <c r="BR328" s="489"/>
      <c r="BS328" s="489"/>
      <c r="BT328" s="489"/>
      <c r="BU328" s="489"/>
      <c r="BV328" s="489"/>
      <c r="BW328" s="63"/>
      <c r="BX328" s="62"/>
      <c r="BY328" s="452"/>
      <c r="BZ328" s="452"/>
      <c r="CA328" s="452"/>
      <c r="CB328" s="452"/>
      <c r="CC328" s="452"/>
      <c r="CD328" s="452"/>
      <c r="CE328" s="452"/>
      <c r="CF328" s="452"/>
      <c r="CG328" s="452"/>
      <c r="CH328" s="422"/>
      <c r="CI328" s="422"/>
      <c r="CJ328" s="422"/>
      <c r="CK328" s="421"/>
      <c r="CL328" s="421" t="s">
        <v>123</v>
      </c>
      <c r="CM328" s="423"/>
      <c r="CN328" s="421"/>
      <c r="CO328" s="423"/>
      <c r="CP328" s="421"/>
      <c r="CQ328" s="63"/>
      <c r="CR328" s="63"/>
      <c r="CS328" s="63"/>
      <c r="CT328" s="63"/>
      <c r="CU328" s="447"/>
      <c r="CV328" s="447"/>
      <c r="CW328" s="447"/>
      <c r="CX328" s="447"/>
      <c r="CY328" s="447"/>
      <c r="CZ328" s="447"/>
      <c r="DA328" s="447"/>
      <c r="DB328" s="447"/>
      <c r="DC328" s="447"/>
      <c r="DD328" s="447"/>
      <c r="DE328" s="447"/>
      <c r="DF328" s="447"/>
      <c r="DG328" s="447"/>
      <c r="DH328" s="447"/>
      <c r="DI328" s="447"/>
      <c r="DJ328" s="447"/>
      <c r="DK328" s="447"/>
      <c r="DL328" s="67"/>
      <c r="DM328" s="67"/>
      <c r="DN328" s="67"/>
      <c r="DO328" s="67"/>
      <c r="DP328" s="67"/>
      <c r="DQ328" s="67"/>
    </row>
    <row r="329" ht="22.5" customHeight="1">
      <c r="A329" s="383"/>
      <c r="B329" s="384" t="str">
        <f>IFERROR(__xludf.DUMMYFUNCTION("IF(B$43="""","""",IF($AZ329="""","""",IFERROR(Query({CarteirasAtivos},""Select Col3 where Col1 = '""&amp;$AZ329&amp;""'and Col2 = '""&amp;S$21&amp;""'""))))"),"")</f>
        <v/>
      </c>
      <c r="C329" s="384" t="str">
        <f>IFERROR(__xludf.DUMMYFUNCTION("IF(C$43="""","""",IF($AZ329="""","""",IFERROR(Query({CarteirasAtivos},""Select Col3 where Col1 = '""&amp;$AZ329&amp;""'and Col2 = '""&amp;T$21&amp;""'""))))"),"")</f>
        <v/>
      </c>
      <c r="D329" s="384" t="str">
        <f>IFERROR(__xludf.DUMMYFUNCTION("IF(D$43="""","""",IF($AZ329="""","""",IFERROR(Query({CarteirasAtivos},""Select Col3 where Col1 = '""&amp;$AZ329&amp;""'and Col2 = '""&amp;U$21&amp;""'""))))"),"")</f>
        <v/>
      </c>
      <c r="E329" s="384" t="str">
        <f>IFERROR(__xludf.DUMMYFUNCTION("IF(E$43="""","""",IF($AZ329="""","""",IFERROR(Query({CarteirasAtivos},""Select Col3 where Col1 = '""&amp;$AZ329&amp;""'and Col2 = '""&amp;V$21&amp;""'""))))"),"")</f>
        <v/>
      </c>
      <c r="F329" s="384" t="str">
        <f>IFERROR(__xludf.DUMMYFUNCTION("IF(F$43="""","""",IF($AZ329="""","""",IFERROR(Query({CarteirasAtivos},""Select Col3 where Col1 = '""&amp;$AZ329&amp;""'and Col2 = '""&amp;W$21&amp;""'""))))"),"")</f>
        <v/>
      </c>
      <c r="G329" s="384" t="str">
        <f>IFERROR(__xludf.DUMMYFUNCTION("IF(G$43="""","""",IF($AZ329="""","""",IFERROR(Query({CarteirasAtivos},""Select Col3 where Col1 = '""&amp;$AZ329&amp;""'and Col2 = '""&amp;X$21&amp;""'""))))"),"")</f>
        <v/>
      </c>
      <c r="H329" s="384" t="str">
        <f>IFERROR(__xludf.DUMMYFUNCTION("IF(H$43="""","""",IF($AZ329="""","""",IFERROR(Query({CarteirasAtivos},""Select Col3 where Col1 = '""&amp;$AZ329&amp;""'and Col2 = '""&amp;Y$21&amp;""'""))))"),"")</f>
        <v/>
      </c>
      <c r="I329" s="384" t="str">
        <f>IFERROR(__xludf.DUMMYFUNCTION("IF(I$43="""","""",IF($AZ329="""","""",IFERROR(Query({CarteirasAtivos},""Select Col3 where Col1 = '""&amp;$AZ329&amp;""'and Col2 = '""&amp;Z$21&amp;""'""))))"),"")</f>
        <v/>
      </c>
      <c r="J329" s="384" t="str">
        <f>IFERROR(__xludf.DUMMYFUNCTION("IF(J$43="""","""",IF($AZ329="""","""",IFERROR(Query({CarteirasAtivos},""Select Col3 where Col1 = '""&amp;$AZ329&amp;""'and Col2 = '""&amp;AA$21&amp;""'""))))"),"")</f>
        <v/>
      </c>
      <c r="K329" s="384" t="str">
        <f>IFERROR(__xludf.DUMMYFUNCTION("IF(K$43="""","""",IF($AZ329="""","""",IFERROR(Query({CarteirasAtivos},""Select Col3 where Col1 = '""&amp;$AZ329&amp;""'and Col2 = '""&amp;AB$21&amp;""'""))))"),"")</f>
        <v/>
      </c>
      <c r="L329" s="385">
        <v>286.0</v>
      </c>
      <c r="M329" s="503"/>
      <c r="N329" s="387"/>
      <c r="O329" s="388" t="s">
        <v>123</v>
      </c>
      <c r="P329" s="389"/>
      <c r="Q329" s="390"/>
      <c r="R329" s="391"/>
      <c r="S329" s="392"/>
      <c r="T329" s="393"/>
      <c r="U329" s="393"/>
      <c r="V329" s="394"/>
      <c r="W329" s="395" t="str">
        <f>IFERROR(__xludf.DUMMYFUNCTION("IF(M329="""","""",sparkline(IFERROR(BF329*100/MAX($BF$44:$BF$153),0),{""charttype"",""bar"";""max"",100;""color1"",IF(BD329&gt;=0,""#4760a5"",""red"")}))"),"")</f>
        <v/>
      </c>
      <c r="X329" s="396"/>
      <c r="Y329" s="466"/>
      <c r="Z329" s="398"/>
      <c r="AA329" s="511"/>
      <c r="AB329" s="393"/>
      <c r="AC329" s="476"/>
      <c r="AD329" s="401"/>
      <c r="AE329" s="402"/>
      <c r="AF329" s="403"/>
      <c r="AG329" s="404" t="str">
        <f>IFERROR(__xludf.DUMMYFUNCTION("IF($M329="""","""",IFERROR(sparkline(query(GOOGLEFINANCE($AZ329,""price"",TODAY()-$AF$43,TODAY(),1),""select Col2 label Col2 ''""),IF($AG$43=""Gráfico de barras"",{""charttype"",""column"";""highcolor"",""red""},{""chartype"",""line""}))))"),"")</f>
        <v/>
      </c>
      <c r="AH329" s="405"/>
      <c r="AI329" s="467"/>
      <c r="AJ329" s="467"/>
      <c r="AK329" s="467"/>
      <c r="AL329" s="467"/>
      <c r="AM329" s="442"/>
      <c r="AN329" s="442"/>
      <c r="AU329" s="281"/>
      <c r="AV329" s="281"/>
      <c r="AW329" s="281"/>
      <c r="AX329" s="281"/>
      <c r="AY329" s="410">
        <v>286.0</v>
      </c>
      <c r="AZ329" s="411"/>
      <c r="BA329" s="411"/>
      <c r="BB329" s="437"/>
      <c r="BC329" s="437"/>
      <c r="BD329" s="437"/>
      <c r="BE329" s="437"/>
      <c r="BF329" s="415" t="s">
        <v>123</v>
      </c>
      <c r="BG329" s="410">
        <v>286.0</v>
      </c>
      <c r="BH329" s="416"/>
      <c r="BI329" s="416"/>
      <c r="BJ329" s="416"/>
      <c r="BK329" s="416"/>
      <c r="BL329" s="416"/>
      <c r="BM329" s="416"/>
      <c r="BN329" s="282"/>
      <c r="BO329" s="490"/>
      <c r="BP329" s="489"/>
      <c r="BQ329" s="489"/>
      <c r="BR329" s="489"/>
      <c r="BS329" s="489"/>
      <c r="BT329" s="489"/>
      <c r="BU329" s="489"/>
      <c r="BV329" s="489"/>
      <c r="BW329" s="63"/>
      <c r="BX329" s="62"/>
      <c r="BY329" s="452"/>
      <c r="BZ329" s="452"/>
      <c r="CA329" s="452"/>
      <c r="CB329" s="452"/>
      <c r="CC329" s="452"/>
      <c r="CD329" s="452"/>
      <c r="CE329" s="452"/>
      <c r="CF329" s="452"/>
      <c r="CG329" s="452"/>
      <c r="CH329" s="422"/>
      <c r="CI329" s="422"/>
      <c r="CJ329" s="422"/>
      <c r="CK329" s="421"/>
      <c r="CL329" s="421" t="s">
        <v>123</v>
      </c>
      <c r="CM329" s="423"/>
      <c r="CN329" s="421"/>
      <c r="CO329" s="423"/>
      <c r="CP329" s="421"/>
      <c r="CQ329" s="63"/>
      <c r="CR329" s="63"/>
      <c r="CS329" s="63"/>
      <c r="CT329" s="63"/>
      <c r="CU329" s="447"/>
      <c r="CV329" s="447"/>
      <c r="CW329" s="447"/>
      <c r="CX329" s="447"/>
      <c r="CY329" s="447"/>
      <c r="CZ329" s="447"/>
      <c r="DA329" s="447"/>
      <c r="DB329" s="447"/>
      <c r="DC329" s="447"/>
      <c r="DD329" s="447"/>
      <c r="DE329" s="447"/>
      <c r="DF329" s="447"/>
      <c r="DG329" s="447"/>
      <c r="DH329" s="447"/>
      <c r="DI329" s="447"/>
      <c r="DJ329" s="447"/>
      <c r="DK329" s="447"/>
      <c r="DL329" s="67"/>
      <c r="DM329" s="67"/>
      <c r="DN329" s="67"/>
      <c r="DO329" s="67"/>
      <c r="DP329" s="67"/>
      <c r="DQ329" s="67"/>
    </row>
    <row r="330" ht="22.5" customHeight="1">
      <c r="A330" s="383"/>
      <c r="B330" s="384" t="str">
        <f>IFERROR(__xludf.DUMMYFUNCTION("IF(B$43="""","""",IF($AZ330="""","""",IFERROR(Query({CarteirasAtivos},""Select Col3 where Col1 = '""&amp;$AZ330&amp;""'and Col2 = '""&amp;S$21&amp;""'""))))"),"")</f>
        <v/>
      </c>
      <c r="C330" s="384" t="str">
        <f>IFERROR(__xludf.DUMMYFUNCTION("IF(C$43="""","""",IF($AZ330="""","""",IFERROR(Query({CarteirasAtivos},""Select Col3 where Col1 = '""&amp;$AZ330&amp;""'and Col2 = '""&amp;T$21&amp;""'""))))"),"")</f>
        <v/>
      </c>
      <c r="D330" s="384" t="str">
        <f>IFERROR(__xludf.DUMMYFUNCTION("IF(D$43="""","""",IF($AZ330="""","""",IFERROR(Query({CarteirasAtivos},""Select Col3 where Col1 = '""&amp;$AZ330&amp;""'and Col2 = '""&amp;U$21&amp;""'""))))"),"")</f>
        <v/>
      </c>
      <c r="E330" s="384" t="str">
        <f>IFERROR(__xludf.DUMMYFUNCTION("IF(E$43="""","""",IF($AZ330="""","""",IFERROR(Query({CarteirasAtivos},""Select Col3 where Col1 = '""&amp;$AZ330&amp;""'and Col2 = '""&amp;V$21&amp;""'""))))"),"")</f>
        <v/>
      </c>
      <c r="F330" s="384" t="str">
        <f>IFERROR(__xludf.DUMMYFUNCTION("IF(F$43="""","""",IF($AZ330="""","""",IFERROR(Query({CarteirasAtivos},""Select Col3 where Col1 = '""&amp;$AZ330&amp;""'and Col2 = '""&amp;W$21&amp;""'""))))"),"")</f>
        <v/>
      </c>
      <c r="G330" s="384" t="str">
        <f>IFERROR(__xludf.DUMMYFUNCTION("IF(G$43="""","""",IF($AZ330="""","""",IFERROR(Query({CarteirasAtivos},""Select Col3 where Col1 = '""&amp;$AZ330&amp;""'and Col2 = '""&amp;X$21&amp;""'""))))"),"")</f>
        <v/>
      </c>
      <c r="H330" s="384" t="str">
        <f>IFERROR(__xludf.DUMMYFUNCTION("IF(H$43="""","""",IF($AZ330="""","""",IFERROR(Query({CarteirasAtivos},""Select Col3 where Col1 = '""&amp;$AZ330&amp;""'and Col2 = '""&amp;Y$21&amp;""'""))))"),"")</f>
        <v/>
      </c>
      <c r="I330" s="384" t="str">
        <f>IFERROR(__xludf.DUMMYFUNCTION("IF(I$43="""","""",IF($AZ330="""","""",IFERROR(Query({CarteirasAtivos},""Select Col3 where Col1 = '""&amp;$AZ330&amp;""'and Col2 = '""&amp;Z$21&amp;""'""))))"),"")</f>
        <v/>
      </c>
      <c r="J330" s="384" t="str">
        <f>IFERROR(__xludf.DUMMYFUNCTION("IF(J$43="""","""",IF($AZ330="""","""",IFERROR(Query({CarteirasAtivos},""Select Col3 where Col1 = '""&amp;$AZ330&amp;""'and Col2 = '""&amp;AA$21&amp;""'""))))"),"")</f>
        <v/>
      </c>
      <c r="K330" s="384" t="str">
        <f>IFERROR(__xludf.DUMMYFUNCTION("IF(K$43="""","""",IF($AZ330="""","""",IFERROR(Query({CarteirasAtivos},""Select Col3 where Col1 = '""&amp;$AZ330&amp;""'and Col2 = '""&amp;AB$21&amp;""'""))))"),"")</f>
        <v/>
      </c>
      <c r="L330" s="385">
        <v>287.0</v>
      </c>
      <c r="M330" s="503"/>
      <c r="N330" s="387"/>
      <c r="O330" s="388" t="s">
        <v>123</v>
      </c>
      <c r="P330" s="389"/>
      <c r="Q330" s="390"/>
      <c r="R330" s="391"/>
      <c r="S330" s="392"/>
      <c r="T330" s="393"/>
      <c r="U330" s="393"/>
      <c r="V330" s="394"/>
      <c r="W330" s="395" t="str">
        <f>IFERROR(__xludf.DUMMYFUNCTION("IF(M330="""","""",sparkline(IFERROR(BF330*100/MAX($BF$44:$BF$153),0),{""charttype"",""bar"";""max"",100;""color1"",IF(BD330&gt;=0,""#4760a5"",""red"")}))"),"")</f>
        <v/>
      </c>
      <c r="X330" s="396"/>
      <c r="Y330" s="466"/>
      <c r="Z330" s="398"/>
      <c r="AA330" s="511"/>
      <c r="AB330" s="393"/>
      <c r="AC330" s="476"/>
      <c r="AD330" s="401"/>
      <c r="AE330" s="402"/>
      <c r="AF330" s="403"/>
      <c r="AG330" s="404" t="str">
        <f>IFERROR(__xludf.DUMMYFUNCTION("IF($M330="""","""",IFERROR(sparkline(query(GOOGLEFINANCE($AZ330,""price"",TODAY()-$AF$43,TODAY(),1),""select Col2 label Col2 ''""),IF($AG$43=""Gráfico de barras"",{""charttype"",""column"";""highcolor"",""red""},{""chartype"",""line""}))))"),"")</f>
        <v/>
      </c>
      <c r="AH330" s="405"/>
      <c r="AI330" s="467"/>
      <c r="AJ330" s="467"/>
      <c r="AK330" s="467"/>
      <c r="AL330" s="467"/>
      <c r="AM330" s="442"/>
      <c r="AN330" s="442"/>
      <c r="AU330" s="281"/>
      <c r="AV330" s="281"/>
      <c r="AW330" s="281"/>
      <c r="AX330" s="281"/>
      <c r="AY330" s="410">
        <v>287.0</v>
      </c>
      <c r="AZ330" s="411"/>
      <c r="BA330" s="411"/>
      <c r="BB330" s="437"/>
      <c r="BC330" s="437"/>
      <c r="BD330" s="437"/>
      <c r="BE330" s="437"/>
      <c r="BF330" s="415" t="s">
        <v>123</v>
      </c>
      <c r="BG330" s="410">
        <v>287.0</v>
      </c>
      <c r="BH330" s="416"/>
      <c r="BI330" s="416"/>
      <c r="BJ330" s="416"/>
      <c r="BK330" s="416"/>
      <c r="BL330" s="416"/>
      <c r="BM330" s="416"/>
      <c r="BN330" s="282"/>
      <c r="BO330" s="490"/>
      <c r="BP330" s="489"/>
      <c r="BQ330" s="489"/>
      <c r="BR330" s="489"/>
      <c r="BS330" s="489"/>
      <c r="BT330" s="489"/>
      <c r="BU330" s="489"/>
      <c r="BV330" s="489"/>
      <c r="BW330" s="63"/>
      <c r="BX330" s="62"/>
      <c r="BY330" s="452"/>
      <c r="BZ330" s="452"/>
      <c r="CA330" s="452"/>
      <c r="CB330" s="452"/>
      <c r="CC330" s="452"/>
      <c r="CD330" s="452"/>
      <c r="CE330" s="452"/>
      <c r="CF330" s="452"/>
      <c r="CG330" s="452"/>
      <c r="CH330" s="422"/>
      <c r="CI330" s="422"/>
      <c r="CJ330" s="422"/>
      <c r="CK330" s="421"/>
      <c r="CL330" s="421" t="s">
        <v>123</v>
      </c>
      <c r="CM330" s="423"/>
      <c r="CN330" s="421"/>
      <c r="CO330" s="423"/>
      <c r="CP330" s="421"/>
      <c r="CQ330" s="63"/>
      <c r="CR330" s="63"/>
      <c r="CS330" s="63"/>
      <c r="CT330" s="63"/>
      <c r="CU330" s="447"/>
      <c r="CV330" s="447"/>
      <c r="CW330" s="447"/>
      <c r="CX330" s="447"/>
      <c r="CY330" s="447"/>
      <c r="CZ330" s="447"/>
      <c r="DA330" s="447"/>
      <c r="DB330" s="447"/>
      <c r="DC330" s="447"/>
      <c r="DD330" s="447"/>
      <c r="DE330" s="447"/>
      <c r="DF330" s="447"/>
      <c r="DG330" s="447"/>
      <c r="DH330" s="447"/>
      <c r="DI330" s="447"/>
      <c r="DJ330" s="447"/>
      <c r="DK330" s="447"/>
      <c r="DL330" s="67"/>
      <c r="DM330" s="67"/>
      <c r="DN330" s="67"/>
      <c r="DO330" s="67"/>
      <c r="DP330" s="67"/>
      <c r="DQ330" s="67"/>
    </row>
    <row r="331" ht="22.5" customHeight="1">
      <c r="A331" s="383"/>
      <c r="B331" s="384" t="str">
        <f>IFERROR(__xludf.DUMMYFUNCTION("IF(B$43="""","""",IF($AZ331="""","""",IFERROR(Query({CarteirasAtivos},""Select Col3 where Col1 = '""&amp;$AZ331&amp;""'and Col2 = '""&amp;S$21&amp;""'""))))"),"")</f>
        <v/>
      </c>
      <c r="C331" s="384" t="str">
        <f>IFERROR(__xludf.DUMMYFUNCTION("IF(C$43="""","""",IF($AZ331="""","""",IFERROR(Query({CarteirasAtivos},""Select Col3 where Col1 = '""&amp;$AZ331&amp;""'and Col2 = '""&amp;T$21&amp;""'""))))"),"")</f>
        <v/>
      </c>
      <c r="D331" s="384" t="str">
        <f>IFERROR(__xludf.DUMMYFUNCTION("IF(D$43="""","""",IF($AZ331="""","""",IFERROR(Query({CarteirasAtivos},""Select Col3 where Col1 = '""&amp;$AZ331&amp;""'and Col2 = '""&amp;U$21&amp;""'""))))"),"")</f>
        <v/>
      </c>
      <c r="E331" s="384" t="str">
        <f>IFERROR(__xludf.DUMMYFUNCTION("IF(E$43="""","""",IF($AZ331="""","""",IFERROR(Query({CarteirasAtivos},""Select Col3 where Col1 = '""&amp;$AZ331&amp;""'and Col2 = '""&amp;V$21&amp;""'""))))"),"")</f>
        <v/>
      </c>
      <c r="F331" s="384" t="str">
        <f>IFERROR(__xludf.DUMMYFUNCTION("IF(F$43="""","""",IF($AZ331="""","""",IFERROR(Query({CarteirasAtivos},""Select Col3 where Col1 = '""&amp;$AZ331&amp;""'and Col2 = '""&amp;W$21&amp;""'""))))"),"")</f>
        <v/>
      </c>
      <c r="G331" s="384" t="str">
        <f>IFERROR(__xludf.DUMMYFUNCTION("IF(G$43="""","""",IF($AZ331="""","""",IFERROR(Query({CarteirasAtivos},""Select Col3 where Col1 = '""&amp;$AZ331&amp;""'and Col2 = '""&amp;X$21&amp;""'""))))"),"")</f>
        <v/>
      </c>
      <c r="H331" s="384" t="str">
        <f>IFERROR(__xludf.DUMMYFUNCTION("IF(H$43="""","""",IF($AZ331="""","""",IFERROR(Query({CarteirasAtivos},""Select Col3 where Col1 = '""&amp;$AZ331&amp;""'and Col2 = '""&amp;Y$21&amp;""'""))))"),"")</f>
        <v/>
      </c>
      <c r="I331" s="384" t="str">
        <f>IFERROR(__xludf.DUMMYFUNCTION("IF(I$43="""","""",IF($AZ331="""","""",IFERROR(Query({CarteirasAtivos},""Select Col3 where Col1 = '""&amp;$AZ331&amp;""'and Col2 = '""&amp;Z$21&amp;""'""))))"),"")</f>
        <v/>
      </c>
      <c r="J331" s="384" t="str">
        <f>IFERROR(__xludf.DUMMYFUNCTION("IF(J$43="""","""",IF($AZ331="""","""",IFERROR(Query({CarteirasAtivos},""Select Col3 where Col1 = '""&amp;$AZ331&amp;""'and Col2 = '""&amp;AA$21&amp;""'""))))"),"")</f>
        <v/>
      </c>
      <c r="K331" s="384" t="str">
        <f>IFERROR(__xludf.DUMMYFUNCTION("IF(K$43="""","""",IF($AZ331="""","""",IFERROR(Query({CarteirasAtivos},""Select Col3 where Col1 = '""&amp;$AZ331&amp;""'and Col2 = '""&amp;AB$21&amp;""'""))))"),"")</f>
        <v/>
      </c>
      <c r="L331" s="385">
        <v>288.0</v>
      </c>
      <c r="M331" s="503"/>
      <c r="N331" s="387"/>
      <c r="O331" s="388" t="s">
        <v>123</v>
      </c>
      <c r="P331" s="389"/>
      <c r="Q331" s="390"/>
      <c r="R331" s="391"/>
      <c r="S331" s="392"/>
      <c r="T331" s="393"/>
      <c r="U331" s="393"/>
      <c r="V331" s="394"/>
      <c r="W331" s="395" t="str">
        <f>IFERROR(__xludf.DUMMYFUNCTION("IF(M331="""","""",sparkline(IFERROR(BF331*100/MAX($BF$44:$BF$153),0),{""charttype"",""bar"";""max"",100;""color1"",IF(BD331&gt;=0,""#4760a5"",""red"")}))"),"")</f>
        <v/>
      </c>
      <c r="X331" s="396"/>
      <c r="Y331" s="466"/>
      <c r="Z331" s="398"/>
      <c r="AA331" s="511"/>
      <c r="AB331" s="393"/>
      <c r="AC331" s="476"/>
      <c r="AD331" s="401"/>
      <c r="AE331" s="402"/>
      <c r="AF331" s="403"/>
      <c r="AG331" s="404" t="str">
        <f>IFERROR(__xludf.DUMMYFUNCTION("IF($M331="""","""",IFERROR(sparkline(query(GOOGLEFINANCE($AZ331,""price"",TODAY()-$AF$43,TODAY(),1),""select Col2 label Col2 ''""),IF($AG$43=""Gráfico de barras"",{""charttype"",""column"";""highcolor"",""red""},{""chartype"",""line""}))))"),"")</f>
        <v/>
      </c>
      <c r="AH331" s="405"/>
      <c r="AI331" s="467"/>
      <c r="AJ331" s="467"/>
      <c r="AK331" s="467"/>
      <c r="AL331" s="467"/>
      <c r="AM331" s="442"/>
      <c r="AN331" s="442"/>
      <c r="AU331" s="281"/>
      <c r="AV331" s="281"/>
      <c r="AW331" s="281"/>
      <c r="AX331" s="281"/>
      <c r="AY331" s="410">
        <v>288.0</v>
      </c>
      <c r="AZ331" s="411"/>
      <c r="BA331" s="411"/>
      <c r="BB331" s="437"/>
      <c r="BC331" s="437"/>
      <c r="BD331" s="437"/>
      <c r="BE331" s="437"/>
      <c r="BF331" s="415" t="s">
        <v>123</v>
      </c>
      <c r="BG331" s="410">
        <v>288.0</v>
      </c>
      <c r="BH331" s="416"/>
      <c r="BI331" s="416"/>
      <c r="BJ331" s="416"/>
      <c r="BK331" s="416"/>
      <c r="BL331" s="416"/>
      <c r="BM331" s="416"/>
      <c r="BN331" s="282"/>
      <c r="BO331" s="490"/>
      <c r="BP331" s="489"/>
      <c r="BQ331" s="489"/>
      <c r="BR331" s="489"/>
      <c r="BS331" s="489"/>
      <c r="BT331" s="489"/>
      <c r="BU331" s="489"/>
      <c r="BV331" s="489"/>
      <c r="BW331" s="63"/>
      <c r="BX331" s="62"/>
      <c r="BY331" s="452"/>
      <c r="BZ331" s="452"/>
      <c r="CA331" s="452"/>
      <c r="CB331" s="452"/>
      <c r="CC331" s="452"/>
      <c r="CD331" s="452"/>
      <c r="CE331" s="452"/>
      <c r="CF331" s="452"/>
      <c r="CG331" s="452"/>
      <c r="CH331" s="422"/>
      <c r="CI331" s="422"/>
      <c r="CJ331" s="422"/>
      <c r="CK331" s="421"/>
      <c r="CL331" s="421" t="s">
        <v>123</v>
      </c>
      <c r="CM331" s="423"/>
      <c r="CN331" s="421"/>
      <c r="CO331" s="423"/>
      <c r="CP331" s="421"/>
      <c r="CQ331" s="63"/>
      <c r="CR331" s="63"/>
      <c r="CS331" s="63"/>
      <c r="CT331" s="63"/>
      <c r="CU331" s="447"/>
      <c r="CV331" s="447"/>
      <c r="CW331" s="447"/>
      <c r="CX331" s="447"/>
      <c r="CY331" s="447"/>
      <c r="CZ331" s="447"/>
      <c r="DA331" s="447"/>
      <c r="DB331" s="447"/>
      <c r="DC331" s="447"/>
      <c r="DD331" s="447"/>
      <c r="DE331" s="447"/>
      <c r="DF331" s="447"/>
      <c r="DG331" s="447"/>
      <c r="DH331" s="447"/>
      <c r="DI331" s="447"/>
      <c r="DJ331" s="447"/>
      <c r="DK331" s="447"/>
      <c r="DL331" s="67"/>
      <c r="DM331" s="67"/>
      <c r="DN331" s="67"/>
      <c r="DO331" s="67"/>
      <c r="DP331" s="67"/>
      <c r="DQ331" s="67"/>
    </row>
    <row r="332" ht="22.5" customHeight="1">
      <c r="A332" s="383"/>
      <c r="B332" s="384" t="str">
        <f>IFERROR(__xludf.DUMMYFUNCTION("IF(B$43="""","""",IF($AZ332="""","""",IFERROR(Query({CarteirasAtivos},""Select Col3 where Col1 = '""&amp;$AZ332&amp;""'and Col2 = '""&amp;S$21&amp;""'""))))"),"")</f>
        <v/>
      </c>
      <c r="C332" s="384" t="str">
        <f>IFERROR(__xludf.DUMMYFUNCTION("IF(C$43="""","""",IF($AZ332="""","""",IFERROR(Query({CarteirasAtivos},""Select Col3 where Col1 = '""&amp;$AZ332&amp;""'and Col2 = '""&amp;T$21&amp;""'""))))"),"")</f>
        <v/>
      </c>
      <c r="D332" s="384" t="str">
        <f>IFERROR(__xludf.DUMMYFUNCTION("IF(D$43="""","""",IF($AZ332="""","""",IFERROR(Query({CarteirasAtivos},""Select Col3 where Col1 = '""&amp;$AZ332&amp;""'and Col2 = '""&amp;U$21&amp;""'""))))"),"")</f>
        <v/>
      </c>
      <c r="E332" s="384" t="str">
        <f>IFERROR(__xludf.DUMMYFUNCTION("IF(E$43="""","""",IF($AZ332="""","""",IFERROR(Query({CarteirasAtivos},""Select Col3 where Col1 = '""&amp;$AZ332&amp;""'and Col2 = '""&amp;V$21&amp;""'""))))"),"")</f>
        <v/>
      </c>
      <c r="F332" s="384" t="str">
        <f>IFERROR(__xludf.DUMMYFUNCTION("IF(F$43="""","""",IF($AZ332="""","""",IFERROR(Query({CarteirasAtivos},""Select Col3 where Col1 = '""&amp;$AZ332&amp;""'and Col2 = '""&amp;W$21&amp;""'""))))"),"")</f>
        <v/>
      </c>
      <c r="G332" s="384" t="str">
        <f>IFERROR(__xludf.DUMMYFUNCTION("IF(G$43="""","""",IF($AZ332="""","""",IFERROR(Query({CarteirasAtivos},""Select Col3 where Col1 = '""&amp;$AZ332&amp;""'and Col2 = '""&amp;X$21&amp;""'""))))"),"")</f>
        <v/>
      </c>
      <c r="H332" s="384" t="str">
        <f>IFERROR(__xludf.DUMMYFUNCTION("IF(H$43="""","""",IF($AZ332="""","""",IFERROR(Query({CarteirasAtivos},""Select Col3 where Col1 = '""&amp;$AZ332&amp;""'and Col2 = '""&amp;Y$21&amp;""'""))))"),"")</f>
        <v/>
      </c>
      <c r="I332" s="384" t="str">
        <f>IFERROR(__xludf.DUMMYFUNCTION("IF(I$43="""","""",IF($AZ332="""","""",IFERROR(Query({CarteirasAtivos},""Select Col3 where Col1 = '""&amp;$AZ332&amp;""'and Col2 = '""&amp;Z$21&amp;""'""))))"),"")</f>
        <v/>
      </c>
      <c r="J332" s="384" t="str">
        <f>IFERROR(__xludf.DUMMYFUNCTION("IF(J$43="""","""",IF($AZ332="""","""",IFERROR(Query({CarteirasAtivos},""Select Col3 where Col1 = '""&amp;$AZ332&amp;""'and Col2 = '""&amp;AA$21&amp;""'""))))"),"")</f>
        <v/>
      </c>
      <c r="K332" s="384" t="str">
        <f>IFERROR(__xludf.DUMMYFUNCTION("IF(K$43="""","""",IF($AZ332="""","""",IFERROR(Query({CarteirasAtivos},""Select Col3 where Col1 = '""&amp;$AZ332&amp;""'and Col2 = '""&amp;AB$21&amp;""'""))))"),"")</f>
        <v/>
      </c>
      <c r="L332" s="385">
        <v>289.0</v>
      </c>
      <c r="M332" s="503"/>
      <c r="N332" s="387"/>
      <c r="O332" s="388" t="s">
        <v>123</v>
      </c>
      <c r="P332" s="389"/>
      <c r="Q332" s="390"/>
      <c r="R332" s="391"/>
      <c r="S332" s="392"/>
      <c r="T332" s="393"/>
      <c r="U332" s="393"/>
      <c r="V332" s="394"/>
      <c r="W332" s="395" t="str">
        <f>IFERROR(__xludf.DUMMYFUNCTION("IF(M332="""","""",sparkline(IFERROR(BF332*100/MAX($BF$44:$BF$153),0),{""charttype"",""bar"";""max"",100;""color1"",IF(BD332&gt;=0,""#4760a5"",""red"")}))"),"")</f>
        <v/>
      </c>
      <c r="X332" s="396"/>
      <c r="Y332" s="466"/>
      <c r="Z332" s="398"/>
      <c r="AA332" s="511"/>
      <c r="AB332" s="393"/>
      <c r="AC332" s="476"/>
      <c r="AD332" s="401"/>
      <c r="AE332" s="402"/>
      <c r="AF332" s="403"/>
      <c r="AG332" s="404" t="str">
        <f>IFERROR(__xludf.DUMMYFUNCTION("IF($M332="""","""",IFERROR(sparkline(query(GOOGLEFINANCE($AZ332,""price"",TODAY()-$AF$43,TODAY(),1),""select Col2 label Col2 ''""),IF($AG$43=""Gráfico de barras"",{""charttype"",""column"";""highcolor"",""red""},{""chartype"",""line""}))))"),"")</f>
        <v/>
      </c>
      <c r="AH332" s="405"/>
      <c r="AI332" s="467"/>
      <c r="AJ332" s="467"/>
      <c r="AK332" s="467"/>
      <c r="AL332" s="467"/>
      <c r="AM332" s="442"/>
      <c r="AN332" s="442"/>
      <c r="AU332" s="281"/>
      <c r="AV332" s="281"/>
      <c r="AW332" s="281"/>
      <c r="AX332" s="281"/>
      <c r="AY332" s="410">
        <v>289.0</v>
      </c>
      <c r="AZ332" s="411"/>
      <c r="BA332" s="411"/>
      <c r="BB332" s="437"/>
      <c r="BC332" s="437"/>
      <c r="BD332" s="437"/>
      <c r="BE332" s="437"/>
      <c r="BF332" s="415" t="s">
        <v>123</v>
      </c>
      <c r="BG332" s="410">
        <v>289.0</v>
      </c>
      <c r="BH332" s="416"/>
      <c r="BI332" s="416"/>
      <c r="BJ332" s="416"/>
      <c r="BK332" s="416"/>
      <c r="BL332" s="416"/>
      <c r="BM332" s="416"/>
      <c r="BN332" s="282"/>
      <c r="BO332" s="490"/>
      <c r="BP332" s="489"/>
      <c r="BQ332" s="489"/>
      <c r="BR332" s="489"/>
      <c r="BS332" s="489"/>
      <c r="BT332" s="489"/>
      <c r="BU332" s="489"/>
      <c r="BV332" s="489"/>
      <c r="BW332" s="63"/>
      <c r="BX332" s="62"/>
      <c r="BY332" s="452"/>
      <c r="BZ332" s="452"/>
      <c r="CA332" s="452"/>
      <c r="CB332" s="452"/>
      <c r="CC332" s="452"/>
      <c r="CD332" s="452"/>
      <c r="CE332" s="452"/>
      <c r="CF332" s="452"/>
      <c r="CG332" s="452"/>
      <c r="CH332" s="422"/>
      <c r="CI332" s="422"/>
      <c r="CJ332" s="422"/>
      <c r="CK332" s="421"/>
      <c r="CL332" s="421" t="s">
        <v>123</v>
      </c>
      <c r="CM332" s="423"/>
      <c r="CN332" s="421"/>
      <c r="CO332" s="423"/>
      <c r="CP332" s="421"/>
      <c r="CQ332" s="63"/>
      <c r="CR332" s="63"/>
      <c r="CS332" s="63"/>
      <c r="CT332" s="63"/>
      <c r="CU332" s="447"/>
      <c r="CV332" s="447"/>
      <c r="CW332" s="447"/>
      <c r="CX332" s="447"/>
      <c r="CY332" s="447"/>
      <c r="CZ332" s="447"/>
      <c r="DA332" s="447"/>
      <c r="DB332" s="447"/>
      <c r="DC332" s="447"/>
      <c r="DD332" s="447"/>
      <c r="DE332" s="447"/>
      <c r="DF332" s="447"/>
      <c r="DG332" s="447"/>
      <c r="DH332" s="447"/>
      <c r="DI332" s="447"/>
      <c r="DJ332" s="447"/>
      <c r="DK332" s="447"/>
      <c r="DL332" s="67"/>
      <c r="DM332" s="67"/>
      <c r="DN332" s="67"/>
      <c r="DO332" s="67"/>
      <c r="DP332" s="67"/>
      <c r="DQ332" s="67"/>
    </row>
    <row r="333" ht="22.5" customHeight="1">
      <c r="A333" s="383"/>
      <c r="B333" s="384" t="str">
        <f>IFERROR(__xludf.DUMMYFUNCTION("IF(B$43="""","""",IF($AZ333="""","""",IFERROR(Query({CarteirasAtivos},""Select Col3 where Col1 = '""&amp;$AZ333&amp;""'and Col2 = '""&amp;S$21&amp;""'""))))"),"")</f>
        <v/>
      </c>
      <c r="C333" s="384" t="str">
        <f>IFERROR(__xludf.DUMMYFUNCTION("IF(C$43="""","""",IF($AZ333="""","""",IFERROR(Query({CarteirasAtivos},""Select Col3 where Col1 = '""&amp;$AZ333&amp;""'and Col2 = '""&amp;T$21&amp;""'""))))"),"")</f>
        <v/>
      </c>
      <c r="D333" s="384" t="str">
        <f>IFERROR(__xludf.DUMMYFUNCTION("IF(D$43="""","""",IF($AZ333="""","""",IFERROR(Query({CarteirasAtivos},""Select Col3 where Col1 = '""&amp;$AZ333&amp;""'and Col2 = '""&amp;U$21&amp;""'""))))"),"")</f>
        <v/>
      </c>
      <c r="E333" s="384" t="str">
        <f>IFERROR(__xludf.DUMMYFUNCTION("IF(E$43="""","""",IF($AZ333="""","""",IFERROR(Query({CarteirasAtivos},""Select Col3 where Col1 = '""&amp;$AZ333&amp;""'and Col2 = '""&amp;V$21&amp;""'""))))"),"")</f>
        <v/>
      </c>
      <c r="F333" s="384" t="str">
        <f>IFERROR(__xludf.DUMMYFUNCTION("IF(F$43="""","""",IF($AZ333="""","""",IFERROR(Query({CarteirasAtivos},""Select Col3 where Col1 = '""&amp;$AZ333&amp;""'and Col2 = '""&amp;W$21&amp;""'""))))"),"")</f>
        <v/>
      </c>
      <c r="G333" s="384" t="str">
        <f>IFERROR(__xludf.DUMMYFUNCTION("IF(G$43="""","""",IF($AZ333="""","""",IFERROR(Query({CarteirasAtivos},""Select Col3 where Col1 = '""&amp;$AZ333&amp;""'and Col2 = '""&amp;X$21&amp;""'""))))"),"")</f>
        <v/>
      </c>
      <c r="H333" s="384" t="str">
        <f>IFERROR(__xludf.DUMMYFUNCTION("IF(H$43="""","""",IF($AZ333="""","""",IFERROR(Query({CarteirasAtivos},""Select Col3 where Col1 = '""&amp;$AZ333&amp;""'and Col2 = '""&amp;Y$21&amp;""'""))))"),"")</f>
        <v/>
      </c>
      <c r="I333" s="384" t="str">
        <f>IFERROR(__xludf.DUMMYFUNCTION("IF(I$43="""","""",IF($AZ333="""","""",IFERROR(Query({CarteirasAtivos},""Select Col3 where Col1 = '""&amp;$AZ333&amp;""'and Col2 = '""&amp;Z$21&amp;""'""))))"),"")</f>
        <v/>
      </c>
      <c r="J333" s="384" t="str">
        <f>IFERROR(__xludf.DUMMYFUNCTION("IF(J$43="""","""",IF($AZ333="""","""",IFERROR(Query({CarteirasAtivos},""Select Col3 where Col1 = '""&amp;$AZ333&amp;""'and Col2 = '""&amp;AA$21&amp;""'""))))"),"")</f>
        <v/>
      </c>
      <c r="K333" s="384" t="str">
        <f>IFERROR(__xludf.DUMMYFUNCTION("IF(K$43="""","""",IF($AZ333="""","""",IFERROR(Query({CarteirasAtivos},""Select Col3 where Col1 = '""&amp;$AZ333&amp;""'and Col2 = '""&amp;AB$21&amp;""'""))))"),"")</f>
        <v/>
      </c>
      <c r="L333" s="385">
        <v>290.0</v>
      </c>
      <c r="M333" s="503"/>
      <c r="N333" s="387"/>
      <c r="O333" s="388" t="s">
        <v>123</v>
      </c>
      <c r="P333" s="389"/>
      <c r="Q333" s="390"/>
      <c r="R333" s="391"/>
      <c r="S333" s="392"/>
      <c r="T333" s="393"/>
      <c r="U333" s="393"/>
      <c r="V333" s="394"/>
      <c r="W333" s="395" t="str">
        <f>IFERROR(__xludf.DUMMYFUNCTION("IF(M333="""","""",sparkline(IFERROR(BF333*100/MAX($BF$44:$BF$153),0),{""charttype"",""bar"";""max"",100;""color1"",IF(BD333&gt;=0,""#4760a5"",""red"")}))"),"")</f>
        <v/>
      </c>
      <c r="X333" s="396"/>
      <c r="Y333" s="466"/>
      <c r="Z333" s="398"/>
      <c r="AA333" s="511"/>
      <c r="AB333" s="393"/>
      <c r="AC333" s="476"/>
      <c r="AD333" s="401"/>
      <c r="AE333" s="402"/>
      <c r="AF333" s="403"/>
      <c r="AG333" s="404" t="str">
        <f>IFERROR(__xludf.DUMMYFUNCTION("IF($M333="""","""",IFERROR(sparkline(query(GOOGLEFINANCE($AZ333,""price"",TODAY()-$AF$43,TODAY(),1),""select Col2 label Col2 ''""),IF($AG$43=""Gráfico de barras"",{""charttype"",""column"";""highcolor"",""red""},{""chartype"",""line""}))))"),"")</f>
        <v/>
      </c>
      <c r="AH333" s="405"/>
      <c r="AI333" s="467"/>
      <c r="AJ333" s="467"/>
      <c r="AK333" s="467"/>
      <c r="AL333" s="467"/>
      <c r="AM333" s="442"/>
      <c r="AN333" s="442"/>
      <c r="AU333" s="281"/>
      <c r="AV333" s="281"/>
      <c r="AW333" s="281"/>
      <c r="AX333" s="281"/>
      <c r="AY333" s="410">
        <v>290.0</v>
      </c>
      <c r="AZ333" s="411"/>
      <c r="BA333" s="411"/>
      <c r="BB333" s="437"/>
      <c r="BC333" s="437"/>
      <c r="BD333" s="437"/>
      <c r="BE333" s="437"/>
      <c r="BF333" s="415" t="s">
        <v>123</v>
      </c>
      <c r="BG333" s="410">
        <v>290.0</v>
      </c>
      <c r="BH333" s="416"/>
      <c r="BI333" s="416"/>
      <c r="BJ333" s="416"/>
      <c r="BK333" s="416"/>
      <c r="BL333" s="416"/>
      <c r="BM333" s="416"/>
      <c r="BN333" s="282"/>
      <c r="BO333" s="490"/>
      <c r="BP333" s="489"/>
      <c r="BQ333" s="489"/>
      <c r="BR333" s="489"/>
      <c r="BS333" s="489"/>
      <c r="BT333" s="489"/>
      <c r="BU333" s="489"/>
      <c r="BV333" s="489"/>
      <c r="BW333" s="63"/>
      <c r="BX333" s="62"/>
      <c r="BY333" s="452"/>
      <c r="BZ333" s="452"/>
      <c r="CA333" s="452"/>
      <c r="CB333" s="452"/>
      <c r="CC333" s="452"/>
      <c r="CD333" s="452"/>
      <c r="CE333" s="452"/>
      <c r="CF333" s="452"/>
      <c r="CG333" s="452"/>
      <c r="CH333" s="422"/>
      <c r="CI333" s="422"/>
      <c r="CJ333" s="422"/>
      <c r="CK333" s="421"/>
      <c r="CL333" s="421" t="s">
        <v>123</v>
      </c>
      <c r="CM333" s="423"/>
      <c r="CN333" s="421"/>
      <c r="CO333" s="423"/>
      <c r="CP333" s="421"/>
      <c r="CQ333" s="63"/>
      <c r="CR333" s="63"/>
      <c r="CS333" s="63"/>
      <c r="CT333" s="63"/>
      <c r="CU333" s="447"/>
      <c r="CV333" s="447"/>
      <c r="CW333" s="447"/>
      <c r="CX333" s="447"/>
      <c r="CY333" s="447"/>
      <c r="CZ333" s="447"/>
      <c r="DA333" s="447"/>
      <c r="DB333" s="447"/>
      <c r="DC333" s="447"/>
      <c r="DD333" s="447"/>
      <c r="DE333" s="447"/>
      <c r="DF333" s="447"/>
      <c r="DG333" s="447"/>
      <c r="DH333" s="447"/>
      <c r="DI333" s="447"/>
      <c r="DJ333" s="447"/>
      <c r="DK333" s="447"/>
      <c r="DL333" s="67"/>
      <c r="DM333" s="67"/>
      <c r="DN333" s="67"/>
      <c r="DO333" s="67"/>
      <c r="DP333" s="67"/>
      <c r="DQ333" s="67"/>
    </row>
    <row r="334" ht="22.5" customHeight="1">
      <c r="A334" s="383"/>
      <c r="B334" s="384" t="str">
        <f>IFERROR(__xludf.DUMMYFUNCTION("IF(B$43="""","""",IF($AZ334="""","""",IFERROR(Query({CarteirasAtivos},""Select Col3 where Col1 = '""&amp;$AZ334&amp;""'and Col2 = '""&amp;S$21&amp;""'""))))"),"")</f>
        <v/>
      </c>
      <c r="C334" s="384" t="str">
        <f>IFERROR(__xludf.DUMMYFUNCTION("IF(C$43="""","""",IF($AZ334="""","""",IFERROR(Query({CarteirasAtivos},""Select Col3 where Col1 = '""&amp;$AZ334&amp;""'and Col2 = '""&amp;T$21&amp;""'""))))"),"")</f>
        <v/>
      </c>
      <c r="D334" s="384" t="str">
        <f>IFERROR(__xludf.DUMMYFUNCTION("IF(D$43="""","""",IF($AZ334="""","""",IFERROR(Query({CarteirasAtivos},""Select Col3 where Col1 = '""&amp;$AZ334&amp;""'and Col2 = '""&amp;U$21&amp;""'""))))"),"")</f>
        <v/>
      </c>
      <c r="E334" s="384" t="str">
        <f>IFERROR(__xludf.DUMMYFUNCTION("IF(E$43="""","""",IF($AZ334="""","""",IFERROR(Query({CarteirasAtivos},""Select Col3 where Col1 = '""&amp;$AZ334&amp;""'and Col2 = '""&amp;V$21&amp;""'""))))"),"")</f>
        <v/>
      </c>
      <c r="F334" s="384" t="str">
        <f>IFERROR(__xludf.DUMMYFUNCTION("IF(F$43="""","""",IF($AZ334="""","""",IFERROR(Query({CarteirasAtivos},""Select Col3 where Col1 = '""&amp;$AZ334&amp;""'and Col2 = '""&amp;W$21&amp;""'""))))"),"")</f>
        <v/>
      </c>
      <c r="G334" s="384" t="str">
        <f>IFERROR(__xludf.DUMMYFUNCTION("IF(G$43="""","""",IF($AZ334="""","""",IFERROR(Query({CarteirasAtivos},""Select Col3 where Col1 = '""&amp;$AZ334&amp;""'and Col2 = '""&amp;X$21&amp;""'""))))"),"")</f>
        <v/>
      </c>
      <c r="H334" s="384" t="str">
        <f>IFERROR(__xludf.DUMMYFUNCTION("IF(H$43="""","""",IF($AZ334="""","""",IFERROR(Query({CarteirasAtivos},""Select Col3 where Col1 = '""&amp;$AZ334&amp;""'and Col2 = '""&amp;Y$21&amp;""'""))))"),"")</f>
        <v/>
      </c>
      <c r="I334" s="384" t="str">
        <f>IFERROR(__xludf.DUMMYFUNCTION("IF(I$43="""","""",IF($AZ334="""","""",IFERROR(Query({CarteirasAtivos},""Select Col3 where Col1 = '""&amp;$AZ334&amp;""'and Col2 = '""&amp;Z$21&amp;""'""))))"),"")</f>
        <v/>
      </c>
      <c r="J334" s="384" t="str">
        <f>IFERROR(__xludf.DUMMYFUNCTION("IF(J$43="""","""",IF($AZ334="""","""",IFERROR(Query({CarteirasAtivos},""Select Col3 where Col1 = '""&amp;$AZ334&amp;""'and Col2 = '""&amp;AA$21&amp;""'""))))"),"")</f>
        <v/>
      </c>
      <c r="K334" s="384" t="str">
        <f>IFERROR(__xludf.DUMMYFUNCTION("IF(K$43="""","""",IF($AZ334="""","""",IFERROR(Query({CarteirasAtivos},""Select Col3 where Col1 = '""&amp;$AZ334&amp;""'and Col2 = '""&amp;AB$21&amp;""'""))))"),"")</f>
        <v/>
      </c>
      <c r="L334" s="385">
        <v>291.0</v>
      </c>
      <c r="M334" s="503"/>
      <c r="N334" s="387"/>
      <c r="O334" s="388" t="s">
        <v>123</v>
      </c>
      <c r="P334" s="389"/>
      <c r="Q334" s="390"/>
      <c r="R334" s="391"/>
      <c r="S334" s="392"/>
      <c r="T334" s="393"/>
      <c r="U334" s="393"/>
      <c r="V334" s="394"/>
      <c r="W334" s="395" t="str">
        <f>IFERROR(__xludf.DUMMYFUNCTION("IF(M334="""","""",sparkline(IFERROR(BF334*100/MAX($BF$44:$BF$153),0),{""charttype"",""bar"";""max"",100;""color1"",IF(BD334&gt;=0,""#4760a5"",""red"")}))"),"")</f>
        <v/>
      </c>
      <c r="X334" s="396"/>
      <c r="Y334" s="466"/>
      <c r="Z334" s="398"/>
      <c r="AA334" s="511"/>
      <c r="AB334" s="393"/>
      <c r="AC334" s="476"/>
      <c r="AD334" s="401"/>
      <c r="AE334" s="402"/>
      <c r="AF334" s="403"/>
      <c r="AG334" s="404" t="str">
        <f>IFERROR(__xludf.DUMMYFUNCTION("IF($M334="""","""",IFERROR(sparkline(query(GOOGLEFINANCE($AZ334,""price"",TODAY()-$AF$43,TODAY(),1),""select Col2 label Col2 ''""),IF($AG$43=""Gráfico de barras"",{""charttype"",""column"";""highcolor"",""red""},{""chartype"",""line""}))))"),"")</f>
        <v/>
      </c>
      <c r="AH334" s="405"/>
      <c r="AI334" s="467"/>
      <c r="AJ334" s="467"/>
      <c r="AK334" s="467"/>
      <c r="AL334" s="467"/>
      <c r="AM334" s="442"/>
      <c r="AN334" s="442"/>
      <c r="AU334" s="281"/>
      <c r="AV334" s="281"/>
      <c r="AW334" s="281"/>
      <c r="AX334" s="281"/>
      <c r="AY334" s="410">
        <v>291.0</v>
      </c>
      <c r="AZ334" s="411"/>
      <c r="BA334" s="411"/>
      <c r="BB334" s="437"/>
      <c r="BC334" s="437"/>
      <c r="BD334" s="437"/>
      <c r="BE334" s="437"/>
      <c r="BF334" s="415" t="s">
        <v>123</v>
      </c>
      <c r="BG334" s="410">
        <v>291.0</v>
      </c>
      <c r="BH334" s="416"/>
      <c r="BI334" s="416"/>
      <c r="BJ334" s="416"/>
      <c r="BK334" s="416"/>
      <c r="BL334" s="416"/>
      <c r="BM334" s="416"/>
      <c r="BN334" s="282"/>
      <c r="BO334" s="490"/>
      <c r="BP334" s="489"/>
      <c r="BQ334" s="489"/>
      <c r="BR334" s="489"/>
      <c r="BS334" s="489"/>
      <c r="BT334" s="489"/>
      <c r="BU334" s="489"/>
      <c r="BV334" s="489"/>
      <c r="BW334" s="63"/>
      <c r="BX334" s="62"/>
      <c r="BY334" s="452"/>
      <c r="BZ334" s="452"/>
      <c r="CA334" s="452"/>
      <c r="CB334" s="452"/>
      <c r="CC334" s="452"/>
      <c r="CD334" s="452"/>
      <c r="CE334" s="452"/>
      <c r="CF334" s="452"/>
      <c r="CG334" s="452"/>
      <c r="CH334" s="422"/>
      <c r="CI334" s="422"/>
      <c r="CJ334" s="422"/>
      <c r="CK334" s="421"/>
      <c r="CL334" s="421" t="s">
        <v>123</v>
      </c>
      <c r="CM334" s="423"/>
      <c r="CN334" s="421"/>
      <c r="CO334" s="423"/>
      <c r="CP334" s="421"/>
      <c r="CQ334" s="63"/>
      <c r="CR334" s="63"/>
      <c r="CS334" s="63"/>
      <c r="CT334" s="63"/>
      <c r="CU334" s="447"/>
      <c r="CV334" s="447"/>
      <c r="CW334" s="447"/>
      <c r="CX334" s="447"/>
      <c r="CY334" s="447"/>
      <c r="CZ334" s="447"/>
      <c r="DA334" s="447"/>
      <c r="DB334" s="447"/>
      <c r="DC334" s="447"/>
      <c r="DD334" s="447"/>
      <c r="DE334" s="447"/>
      <c r="DF334" s="447"/>
      <c r="DG334" s="447"/>
      <c r="DH334" s="447"/>
      <c r="DI334" s="447"/>
      <c r="DJ334" s="447"/>
      <c r="DK334" s="447"/>
      <c r="DL334" s="67"/>
      <c r="DM334" s="67"/>
      <c r="DN334" s="67"/>
      <c r="DO334" s="67"/>
      <c r="DP334" s="67"/>
      <c r="DQ334" s="67"/>
    </row>
    <row r="335" ht="22.5" customHeight="1">
      <c r="A335" s="383"/>
      <c r="B335" s="384" t="str">
        <f>IFERROR(__xludf.DUMMYFUNCTION("IF(B$43="""","""",IF($AZ335="""","""",IFERROR(Query({CarteirasAtivos},""Select Col3 where Col1 = '""&amp;$AZ335&amp;""'and Col2 = '""&amp;S$21&amp;""'""))))"),"")</f>
        <v/>
      </c>
      <c r="C335" s="384" t="str">
        <f>IFERROR(__xludf.DUMMYFUNCTION("IF(C$43="""","""",IF($AZ335="""","""",IFERROR(Query({CarteirasAtivos},""Select Col3 where Col1 = '""&amp;$AZ335&amp;""'and Col2 = '""&amp;T$21&amp;""'""))))"),"")</f>
        <v/>
      </c>
      <c r="D335" s="384" t="str">
        <f>IFERROR(__xludf.DUMMYFUNCTION("IF(D$43="""","""",IF($AZ335="""","""",IFERROR(Query({CarteirasAtivos},""Select Col3 where Col1 = '""&amp;$AZ335&amp;""'and Col2 = '""&amp;U$21&amp;""'""))))"),"")</f>
        <v/>
      </c>
      <c r="E335" s="384" t="str">
        <f>IFERROR(__xludf.DUMMYFUNCTION("IF(E$43="""","""",IF($AZ335="""","""",IFERROR(Query({CarteirasAtivos},""Select Col3 where Col1 = '""&amp;$AZ335&amp;""'and Col2 = '""&amp;V$21&amp;""'""))))"),"")</f>
        <v/>
      </c>
      <c r="F335" s="384" t="str">
        <f>IFERROR(__xludf.DUMMYFUNCTION("IF(F$43="""","""",IF($AZ335="""","""",IFERROR(Query({CarteirasAtivos},""Select Col3 where Col1 = '""&amp;$AZ335&amp;""'and Col2 = '""&amp;W$21&amp;""'""))))"),"")</f>
        <v/>
      </c>
      <c r="G335" s="384" t="str">
        <f>IFERROR(__xludf.DUMMYFUNCTION("IF(G$43="""","""",IF($AZ335="""","""",IFERROR(Query({CarteirasAtivos},""Select Col3 where Col1 = '""&amp;$AZ335&amp;""'and Col2 = '""&amp;X$21&amp;""'""))))"),"")</f>
        <v/>
      </c>
      <c r="H335" s="384" t="str">
        <f>IFERROR(__xludf.DUMMYFUNCTION("IF(H$43="""","""",IF($AZ335="""","""",IFERROR(Query({CarteirasAtivos},""Select Col3 where Col1 = '""&amp;$AZ335&amp;""'and Col2 = '""&amp;Y$21&amp;""'""))))"),"")</f>
        <v/>
      </c>
      <c r="I335" s="384" t="str">
        <f>IFERROR(__xludf.DUMMYFUNCTION("IF(I$43="""","""",IF($AZ335="""","""",IFERROR(Query({CarteirasAtivos},""Select Col3 where Col1 = '""&amp;$AZ335&amp;""'and Col2 = '""&amp;Z$21&amp;""'""))))"),"")</f>
        <v/>
      </c>
      <c r="J335" s="384" t="str">
        <f>IFERROR(__xludf.DUMMYFUNCTION("IF(J$43="""","""",IF($AZ335="""","""",IFERROR(Query({CarteirasAtivos},""Select Col3 where Col1 = '""&amp;$AZ335&amp;""'and Col2 = '""&amp;AA$21&amp;""'""))))"),"")</f>
        <v/>
      </c>
      <c r="K335" s="384" t="str">
        <f>IFERROR(__xludf.DUMMYFUNCTION("IF(K$43="""","""",IF($AZ335="""","""",IFERROR(Query({CarteirasAtivos},""Select Col3 where Col1 = '""&amp;$AZ335&amp;""'and Col2 = '""&amp;AB$21&amp;""'""))))"),"")</f>
        <v/>
      </c>
      <c r="L335" s="385">
        <v>292.0</v>
      </c>
      <c r="M335" s="503"/>
      <c r="N335" s="387"/>
      <c r="O335" s="388" t="s">
        <v>123</v>
      </c>
      <c r="P335" s="389"/>
      <c r="Q335" s="390"/>
      <c r="R335" s="391"/>
      <c r="S335" s="392"/>
      <c r="T335" s="393"/>
      <c r="U335" s="393"/>
      <c r="V335" s="394"/>
      <c r="W335" s="395" t="str">
        <f>IFERROR(__xludf.DUMMYFUNCTION("IF(M335="""","""",sparkline(IFERROR(BF335*100/MAX($BF$44:$BF$153),0),{""charttype"",""bar"";""max"",100;""color1"",IF(BD335&gt;=0,""#4760a5"",""red"")}))"),"")</f>
        <v/>
      </c>
      <c r="X335" s="396"/>
      <c r="Y335" s="466"/>
      <c r="Z335" s="398"/>
      <c r="AA335" s="511"/>
      <c r="AB335" s="393"/>
      <c r="AC335" s="476"/>
      <c r="AD335" s="401"/>
      <c r="AE335" s="402"/>
      <c r="AF335" s="403"/>
      <c r="AG335" s="404" t="str">
        <f>IFERROR(__xludf.DUMMYFUNCTION("IF($M335="""","""",IFERROR(sparkline(query(GOOGLEFINANCE($AZ335,""price"",TODAY()-$AF$43,TODAY(),1),""select Col2 label Col2 ''""),IF($AG$43=""Gráfico de barras"",{""charttype"",""column"";""highcolor"",""red""},{""chartype"",""line""}))))"),"")</f>
        <v/>
      </c>
      <c r="AH335" s="405"/>
      <c r="AI335" s="467"/>
      <c r="AJ335" s="467"/>
      <c r="AK335" s="467"/>
      <c r="AL335" s="467"/>
      <c r="AM335" s="442"/>
      <c r="AN335" s="442"/>
      <c r="AU335" s="281"/>
      <c r="AV335" s="281"/>
      <c r="AW335" s="281"/>
      <c r="AX335" s="281"/>
      <c r="AY335" s="410">
        <v>292.0</v>
      </c>
      <c r="AZ335" s="411"/>
      <c r="BA335" s="411"/>
      <c r="BB335" s="437"/>
      <c r="BC335" s="437"/>
      <c r="BD335" s="437"/>
      <c r="BE335" s="437"/>
      <c r="BF335" s="415" t="s">
        <v>123</v>
      </c>
      <c r="BG335" s="410">
        <v>292.0</v>
      </c>
      <c r="BH335" s="416"/>
      <c r="BI335" s="416"/>
      <c r="BJ335" s="416"/>
      <c r="BK335" s="416"/>
      <c r="BL335" s="416"/>
      <c r="BM335" s="416"/>
      <c r="BN335" s="282"/>
      <c r="BO335" s="490"/>
      <c r="BP335" s="489"/>
      <c r="BQ335" s="489"/>
      <c r="BR335" s="489"/>
      <c r="BS335" s="489"/>
      <c r="BT335" s="489"/>
      <c r="BU335" s="489"/>
      <c r="BV335" s="489"/>
      <c r="BW335" s="63"/>
      <c r="BX335" s="62"/>
      <c r="BY335" s="452"/>
      <c r="BZ335" s="452"/>
      <c r="CA335" s="452"/>
      <c r="CB335" s="452"/>
      <c r="CC335" s="452"/>
      <c r="CD335" s="452"/>
      <c r="CE335" s="452"/>
      <c r="CF335" s="452"/>
      <c r="CG335" s="452"/>
      <c r="CH335" s="422"/>
      <c r="CI335" s="422"/>
      <c r="CJ335" s="422"/>
      <c r="CK335" s="421"/>
      <c r="CL335" s="421" t="s">
        <v>123</v>
      </c>
      <c r="CM335" s="423"/>
      <c r="CN335" s="421"/>
      <c r="CO335" s="423"/>
      <c r="CP335" s="421"/>
      <c r="CQ335" s="63"/>
      <c r="CR335" s="63"/>
      <c r="CS335" s="63"/>
      <c r="CT335" s="63"/>
      <c r="CU335" s="447"/>
      <c r="CV335" s="447"/>
      <c r="CW335" s="447"/>
      <c r="CX335" s="447"/>
      <c r="CY335" s="447"/>
      <c r="CZ335" s="447"/>
      <c r="DA335" s="447"/>
      <c r="DB335" s="447"/>
      <c r="DC335" s="447"/>
      <c r="DD335" s="447"/>
      <c r="DE335" s="447"/>
      <c r="DF335" s="447"/>
      <c r="DG335" s="447"/>
      <c r="DH335" s="447"/>
      <c r="DI335" s="447"/>
      <c r="DJ335" s="447"/>
      <c r="DK335" s="447"/>
      <c r="DL335" s="67"/>
      <c r="DM335" s="67"/>
      <c r="DN335" s="67"/>
      <c r="DO335" s="67"/>
      <c r="DP335" s="67"/>
      <c r="DQ335" s="67"/>
    </row>
    <row r="336" ht="22.5" customHeight="1">
      <c r="A336" s="383"/>
      <c r="B336" s="384" t="str">
        <f>IFERROR(__xludf.DUMMYFUNCTION("IF(B$43="""","""",IF($AZ336="""","""",IFERROR(Query({CarteirasAtivos},""Select Col3 where Col1 = '""&amp;$AZ336&amp;""'and Col2 = '""&amp;S$21&amp;""'""))))"),"")</f>
        <v/>
      </c>
      <c r="C336" s="384" t="str">
        <f>IFERROR(__xludf.DUMMYFUNCTION("IF(C$43="""","""",IF($AZ336="""","""",IFERROR(Query({CarteirasAtivos},""Select Col3 where Col1 = '""&amp;$AZ336&amp;""'and Col2 = '""&amp;T$21&amp;""'""))))"),"")</f>
        <v/>
      </c>
      <c r="D336" s="384" t="str">
        <f>IFERROR(__xludf.DUMMYFUNCTION("IF(D$43="""","""",IF($AZ336="""","""",IFERROR(Query({CarteirasAtivos},""Select Col3 where Col1 = '""&amp;$AZ336&amp;""'and Col2 = '""&amp;U$21&amp;""'""))))"),"")</f>
        <v/>
      </c>
      <c r="E336" s="384" t="str">
        <f>IFERROR(__xludf.DUMMYFUNCTION("IF(E$43="""","""",IF($AZ336="""","""",IFERROR(Query({CarteirasAtivos},""Select Col3 where Col1 = '""&amp;$AZ336&amp;""'and Col2 = '""&amp;V$21&amp;""'""))))"),"")</f>
        <v/>
      </c>
      <c r="F336" s="384" t="str">
        <f>IFERROR(__xludf.DUMMYFUNCTION("IF(F$43="""","""",IF($AZ336="""","""",IFERROR(Query({CarteirasAtivos},""Select Col3 where Col1 = '""&amp;$AZ336&amp;""'and Col2 = '""&amp;W$21&amp;""'""))))"),"")</f>
        <v/>
      </c>
      <c r="G336" s="384" t="str">
        <f>IFERROR(__xludf.DUMMYFUNCTION("IF(G$43="""","""",IF($AZ336="""","""",IFERROR(Query({CarteirasAtivos},""Select Col3 where Col1 = '""&amp;$AZ336&amp;""'and Col2 = '""&amp;X$21&amp;""'""))))"),"")</f>
        <v/>
      </c>
      <c r="H336" s="384" t="str">
        <f>IFERROR(__xludf.DUMMYFUNCTION("IF(H$43="""","""",IF($AZ336="""","""",IFERROR(Query({CarteirasAtivos},""Select Col3 where Col1 = '""&amp;$AZ336&amp;""'and Col2 = '""&amp;Y$21&amp;""'""))))"),"")</f>
        <v/>
      </c>
      <c r="I336" s="384" t="str">
        <f>IFERROR(__xludf.DUMMYFUNCTION("IF(I$43="""","""",IF($AZ336="""","""",IFERROR(Query({CarteirasAtivos},""Select Col3 where Col1 = '""&amp;$AZ336&amp;""'and Col2 = '""&amp;Z$21&amp;""'""))))"),"")</f>
        <v/>
      </c>
      <c r="J336" s="384" t="str">
        <f>IFERROR(__xludf.DUMMYFUNCTION("IF(J$43="""","""",IF($AZ336="""","""",IFERROR(Query({CarteirasAtivos},""Select Col3 where Col1 = '""&amp;$AZ336&amp;""'and Col2 = '""&amp;AA$21&amp;""'""))))"),"")</f>
        <v/>
      </c>
      <c r="K336" s="384" t="str">
        <f>IFERROR(__xludf.DUMMYFUNCTION("IF(K$43="""","""",IF($AZ336="""","""",IFERROR(Query({CarteirasAtivos},""Select Col3 where Col1 = '""&amp;$AZ336&amp;""'and Col2 = '""&amp;AB$21&amp;""'""))))"),"")</f>
        <v/>
      </c>
      <c r="L336" s="385">
        <v>293.0</v>
      </c>
      <c r="M336" s="503"/>
      <c r="N336" s="387"/>
      <c r="O336" s="388" t="s">
        <v>123</v>
      </c>
      <c r="P336" s="389"/>
      <c r="Q336" s="390"/>
      <c r="R336" s="391"/>
      <c r="S336" s="392"/>
      <c r="T336" s="393"/>
      <c r="U336" s="393"/>
      <c r="V336" s="394"/>
      <c r="W336" s="395" t="str">
        <f>IFERROR(__xludf.DUMMYFUNCTION("IF(M336="""","""",sparkline(IFERROR(BF336*100/MAX($BF$44:$BF$153),0),{""charttype"",""bar"";""max"",100;""color1"",IF(BD336&gt;=0,""#4760a5"",""red"")}))"),"")</f>
        <v/>
      </c>
      <c r="X336" s="396"/>
      <c r="Y336" s="466"/>
      <c r="Z336" s="398"/>
      <c r="AA336" s="511"/>
      <c r="AB336" s="393"/>
      <c r="AC336" s="476"/>
      <c r="AD336" s="401"/>
      <c r="AE336" s="402"/>
      <c r="AF336" s="403"/>
      <c r="AG336" s="404" t="str">
        <f>IFERROR(__xludf.DUMMYFUNCTION("IF($M336="""","""",IFERROR(sparkline(query(GOOGLEFINANCE($AZ336,""price"",TODAY()-$AF$43,TODAY(),1),""select Col2 label Col2 ''""),IF($AG$43=""Gráfico de barras"",{""charttype"",""column"";""highcolor"",""red""},{""chartype"",""line""}))))"),"")</f>
        <v/>
      </c>
      <c r="AH336" s="405"/>
      <c r="AI336" s="467"/>
      <c r="AJ336" s="467"/>
      <c r="AK336" s="467"/>
      <c r="AL336" s="467"/>
      <c r="AM336" s="442"/>
      <c r="AN336" s="442"/>
      <c r="AU336" s="281"/>
      <c r="AV336" s="281"/>
      <c r="AW336" s="281"/>
      <c r="AX336" s="281"/>
      <c r="AY336" s="410">
        <v>293.0</v>
      </c>
      <c r="AZ336" s="411"/>
      <c r="BA336" s="411"/>
      <c r="BB336" s="437"/>
      <c r="BC336" s="437"/>
      <c r="BD336" s="437"/>
      <c r="BE336" s="437"/>
      <c r="BF336" s="415" t="s">
        <v>123</v>
      </c>
      <c r="BG336" s="410">
        <v>293.0</v>
      </c>
      <c r="BH336" s="416"/>
      <c r="BI336" s="416"/>
      <c r="BJ336" s="416"/>
      <c r="BK336" s="416"/>
      <c r="BL336" s="416"/>
      <c r="BM336" s="416"/>
      <c r="BN336" s="282"/>
      <c r="BO336" s="490"/>
      <c r="BP336" s="489"/>
      <c r="BQ336" s="489"/>
      <c r="BR336" s="489"/>
      <c r="BS336" s="489"/>
      <c r="BT336" s="489"/>
      <c r="BU336" s="489"/>
      <c r="BV336" s="489"/>
      <c r="BW336" s="63"/>
      <c r="BX336" s="62"/>
      <c r="BY336" s="452"/>
      <c r="BZ336" s="452"/>
      <c r="CA336" s="452"/>
      <c r="CB336" s="452"/>
      <c r="CC336" s="452"/>
      <c r="CD336" s="452"/>
      <c r="CE336" s="452"/>
      <c r="CF336" s="452"/>
      <c r="CG336" s="452"/>
      <c r="CH336" s="422"/>
      <c r="CI336" s="422"/>
      <c r="CJ336" s="422"/>
      <c r="CK336" s="421"/>
      <c r="CL336" s="421" t="s">
        <v>123</v>
      </c>
      <c r="CM336" s="423"/>
      <c r="CN336" s="421"/>
      <c r="CO336" s="423"/>
      <c r="CP336" s="421"/>
      <c r="CQ336" s="63"/>
      <c r="CR336" s="63"/>
      <c r="CS336" s="63"/>
      <c r="CT336" s="63"/>
      <c r="CU336" s="447"/>
      <c r="CV336" s="447"/>
      <c r="CW336" s="447"/>
      <c r="CX336" s="447"/>
      <c r="CY336" s="447"/>
      <c r="CZ336" s="447"/>
      <c r="DA336" s="447"/>
      <c r="DB336" s="447"/>
      <c r="DC336" s="447"/>
      <c r="DD336" s="447"/>
      <c r="DE336" s="447"/>
      <c r="DF336" s="447"/>
      <c r="DG336" s="447"/>
      <c r="DH336" s="447"/>
      <c r="DI336" s="447"/>
      <c r="DJ336" s="447"/>
      <c r="DK336" s="447"/>
      <c r="DL336" s="67"/>
      <c r="DM336" s="67"/>
      <c r="DN336" s="67"/>
      <c r="DO336" s="67"/>
      <c r="DP336" s="67"/>
      <c r="DQ336" s="67"/>
    </row>
    <row r="337" ht="22.5" customHeight="1">
      <c r="A337" s="383"/>
      <c r="B337" s="384" t="str">
        <f>IFERROR(__xludf.DUMMYFUNCTION("IF(B$43="""","""",IF($AZ337="""","""",IFERROR(Query({CarteirasAtivos},""Select Col3 where Col1 = '""&amp;$AZ337&amp;""'and Col2 = '""&amp;S$21&amp;""'""))))"),"")</f>
        <v/>
      </c>
      <c r="C337" s="384" t="str">
        <f>IFERROR(__xludf.DUMMYFUNCTION("IF(C$43="""","""",IF($AZ337="""","""",IFERROR(Query({CarteirasAtivos},""Select Col3 where Col1 = '""&amp;$AZ337&amp;""'and Col2 = '""&amp;T$21&amp;""'""))))"),"")</f>
        <v/>
      </c>
      <c r="D337" s="384" t="str">
        <f>IFERROR(__xludf.DUMMYFUNCTION("IF(D$43="""","""",IF($AZ337="""","""",IFERROR(Query({CarteirasAtivos},""Select Col3 where Col1 = '""&amp;$AZ337&amp;""'and Col2 = '""&amp;U$21&amp;""'""))))"),"")</f>
        <v/>
      </c>
      <c r="E337" s="384" t="str">
        <f>IFERROR(__xludf.DUMMYFUNCTION("IF(E$43="""","""",IF($AZ337="""","""",IFERROR(Query({CarteirasAtivos},""Select Col3 where Col1 = '""&amp;$AZ337&amp;""'and Col2 = '""&amp;V$21&amp;""'""))))"),"")</f>
        <v/>
      </c>
      <c r="F337" s="384" t="str">
        <f>IFERROR(__xludf.DUMMYFUNCTION("IF(F$43="""","""",IF($AZ337="""","""",IFERROR(Query({CarteirasAtivos},""Select Col3 where Col1 = '""&amp;$AZ337&amp;""'and Col2 = '""&amp;W$21&amp;""'""))))"),"")</f>
        <v/>
      </c>
      <c r="G337" s="384" t="str">
        <f>IFERROR(__xludf.DUMMYFUNCTION("IF(G$43="""","""",IF($AZ337="""","""",IFERROR(Query({CarteirasAtivos},""Select Col3 where Col1 = '""&amp;$AZ337&amp;""'and Col2 = '""&amp;X$21&amp;""'""))))"),"")</f>
        <v/>
      </c>
      <c r="H337" s="384" t="str">
        <f>IFERROR(__xludf.DUMMYFUNCTION("IF(H$43="""","""",IF($AZ337="""","""",IFERROR(Query({CarteirasAtivos},""Select Col3 where Col1 = '""&amp;$AZ337&amp;""'and Col2 = '""&amp;Y$21&amp;""'""))))"),"")</f>
        <v/>
      </c>
      <c r="I337" s="384" t="str">
        <f>IFERROR(__xludf.DUMMYFUNCTION("IF(I$43="""","""",IF($AZ337="""","""",IFERROR(Query({CarteirasAtivos},""Select Col3 where Col1 = '""&amp;$AZ337&amp;""'and Col2 = '""&amp;Z$21&amp;""'""))))"),"")</f>
        <v/>
      </c>
      <c r="J337" s="384" t="str">
        <f>IFERROR(__xludf.DUMMYFUNCTION("IF(J$43="""","""",IF($AZ337="""","""",IFERROR(Query({CarteirasAtivos},""Select Col3 where Col1 = '""&amp;$AZ337&amp;""'and Col2 = '""&amp;AA$21&amp;""'""))))"),"")</f>
        <v/>
      </c>
      <c r="K337" s="384" t="str">
        <f>IFERROR(__xludf.DUMMYFUNCTION("IF(K$43="""","""",IF($AZ337="""","""",IFERROR(Query({CarteirasAtivos},""Select Col3 where Col1 = '""&amp;$AZ337&amp;""'and Col2 = '""&amp;AB$21&amp;""'""))))"),"")</f>
        <v/>
      </c>
      <c r="L337" s="385">
        <v>294.0</v>
      </c>
      <c r="M337" s="503"/>
      <c r="N337" s="387"/>
      <c r="O337" s="388" t="s">
        <v>123</v>
      </c>
      <c r="P337" s="389"/>
      <c r="Q337" s="390"/>
      <c r="R337" s="391"/>
      <c r="S337" s="392"/>
      <c r="T337" s="393"/>
      <c r="U337" s="393"/>
      <c r="V337" s="394"/>
      <c r="W337" s="395" t="str">
        <f>IFERROR(__xludf.DUMMYFUNCTION("IF(M337="""","""",sparkline(IFERROR(BF337*100/MAX($BF$44:$BF$153),0),{""charttype"",""bar"";""max"",100;""color1"",IF(BD337&gt;=0,""#4760a5"",""red"")}))"),"")</f>
        <v/>
      </c>
      <c r="X337" s="396"/>
      <c r="Y337" s="466"/>
      <c r="Z337" s="398"/>
      <c r="AA337" s="511"/>
      <c r="AB337" s="393"/>
      <c r="AC337" s="476"/>
      <c r="AD337" s="401"/>
      <c r="AE337" s="402"/>
      <c r="AF337" s="403"/>
      <c r="AG337" s="404" t="str">
        <f>IFERROR(__xludf.DUMMYFUNCTION("IF($M337="""","""",IFERROR(sparkline(query(GOOGLEFINANCE($AZ337,""price"",TODAY()-$AF$43,TODAY(),1),""select Col2 label Col2 ''""),IF($AG$43=""Gráfico de barras"",{""charttype"",""column"";""highcolor"",""red""},{""chartype"",""line""}))))"),"")</f>
        <v/>
      </c>
      <c r="AH337" s="405"/>
      <c r="AI337" s="467"/>
      <c r="AJ337" s="467"/>
      <c r="AK337" s="467"/>
      <c r="AL337" s="467"/>
      <c r="AM337" s="442"/>
      <c r="AN337" s="442"/>
      <c r="AU337" s="281"/>
      <c r="AV337" s="281"/>
      <c r="AW337" s="281"/>
      <c r="AX337" s="281"/>
      <c r="AY337" s="410">
        <v>294.0</v>
      </c>
      <c r="AZ337" s="411"/>
      <c r="BA337" s="411"/>
      <c r="BB337" s="437"/>
      <c r="BC337" s="437"/>
      <c r="BD337" s="437"/>
      <c r="BE337" s="437"/>
      <c r="BF337" s="415" t="s">
        <v>123</v>
      </c>
      <c r="BG337" s="410">
        <v>294.0</v>
      </c>
      <c r="BH337" s="416"/>
      <c r="BI337" s="416"/>
      <c r="BJ337" s="416"/>
      <c r="BK337" s="416"/>
      <c r="BL337" s="416"/>
      <c r="BM337" s="416"/>
      <c r="BN337" s="282"/>
      <c r="BO337" s="490"/>
      <c r="BP337" s="489"/>
      <c r="BQ337" s="489"/>
      <c r="BR337" s="489"/>
      <c r="BS337" s="489"/>
      <c r="BT337" s="489"/>
      <c r="BU337" s="489"/>
      <c r="BV337" s="489"/>
      <c r="BW337" s="63"/>
      <c r="BX337" s="62"/>
      <c r="BY337" s="452"/>
      <c r="BZ337" s="452"/>
      <c r="CA337" s="452"/>
      <c r="CB337" s="452"/>
      <c r="CC337" s="452"/>
      <c r="CD337" s="452"/>
      <c r="CE337" s="452"/>
      <c r="CF337" s="452"/>
      <c r="CG337" s="452"/>
      <c r="CH337" s="422"/>
      <c r="CI337" s="422"/>
      <c r="CJ337" s="422"/>
      <c r="CK337" s="421"/>
      <c r="CL337" s="421" t="s">
        <v>123</v>
      </c>
      <c r="CM337" s="423"/>
      <c r="CN337" s="421"/>
      <c r="CO337" s="423"/>
      <c r="CP337" s="421"/>
      <c r="CQ337" s="63"/>
      <c r="CR337" s="63"/>
      <c r="CS337" s="63"/>
      <c r="CT337" s="63"/>
      <c r="CU337" s="447"/>
      <c r="CV337" s="447"/>
      <c r="CW337" s="447"/>
      <c r="CX337" s="447"/>
      <c r="CY337" s="447"/>
      <c r="CZ337" s="447"/>
      <c r="DA337" s="447"/>
      <c r="DB337" s="447"/>
      <c r="DC337" s="447"/>
      <c r="DD337" s="447"/>
      <c r="DE337" s="447"/>
      <c r="DF337" s="447"/>
      <c r="DG337" s="447"/>
      <c r="DH337" s="447"/>
      <c r="DI337" s="447"/>
      <c r="DJ337" s="447"/>
      <c r="DK337" s="447"/>
      <c r="DL337" s="67"/>
      <c r="DM337" s="67"/>
      <c r="DN337" s="67"/>
      <c r="DO337" s="67"/>
      <c r="DP337" s="67"/>
      <c r="DQ337" s="67"/>
    </row>
    <row r="338" ht="22.5" customHeight="1">
      <c r="A338" s="383"/>
      <c r="B338" s="384" t="str">
        <f>IFERROR(__xludf.DUMMYFUNCTION("IF(B$43="""","""",IF($AZ338="""","""",IFERROR(Query({CarteirasAtivos},""Select Col3 where Col1 = '""&amp;$AZ338&amp;""'and Col2 = '""&amp;S$21&amp;""'""))))"),"")</f>
        <v/>
      </c>
      <c r="C338" s="384" t="str">
        <f>IFERROR(__xludf.DUMMYFUNCTION("IF(C$43="""","""",IF($AZ338="""","""",IFERROR(Query({CarteirasAtivos},""Select Col3 where Col1 = '""&amp;$AZ338&amp;""'and Col2 = '""&amp;T$21&amp;""'""))))"),"")</f>
        <v/>
      </c>
      <c r="D338" s="384" t="str">
        <f>IFERROR(__xludf.DUMMYFUNCTION("IF(D$43="""","""",IF($AZ338="""","""",IFERROR(Query({CarteirasAtivos},""Select Col3 where Col1 = '""&amp;$AZ338&amp;""'and Col2 = '""&amp;U$21&amp;""'""))))"),"")</f>
        <v/>
      </c>
      <c r="E338" s="384" t="str">
        <f>IFERROR(__xludf.DUMMYFUNCTION("IF(E$43="""","""",IF($AZ338="""","""",IFERROR(Query({CarteirasAtivos},""Select Col3 where Col1 = '""&amp;$AZ338&amp;""'and Col2 = '""&amp;V$21&amp;""'""))))"),"")</f>
        <v/>
      </c>
      <c r="F338" s="384" t="str">
        <f>IFERROR(__xludf.DUMMYFUNCTION("IF(F$43="""","""",IF($AZ338="""","""",IFERROR(Query({CarteirasAtivos},""Select Col3 where Col1 = '""&amp;$AZ338&amp;""'and Col2 = '""&amp;W$21&amp;""'""))))"),"")</f>
        <v/>
      </c>
      <c r="G338" s="384" t="str">
        <f>IFERROR(__xludf.DUMMYFUNCTION("IF(G$43="""","""",IF($AZ338="""","""",IFERROR(Query({CarteirasAtivos},""Select Col3 where Col1 = '""&amp;$AZ338&amp;""'and Col2 = '""&amp;X$21&amp;""'""))))"),"")</f>
        <v/>
      </c>
      <c r="H338" s="384" t="str">
        <f>IFERROR(__xludf.DUMMYFUNCTION("IF(H$43="""","""",IF($AZ338="""","""",IFERROR(Query({CarteirasAtivos},""Select Col3 where Col1 = '""&amp;$AZ338&amp;""'and Col2 = '""&amp;Y$21&amp;""'""))))"),"")</f>
        <v/>
      </c>
      <c r="I338" s="384" t="str">
        <f>IFERROR(__xludf.DUMMYFUNCTION("IF(I$43="""","""",IF($AZ338="""","""",IFERROR(Query({CarteirasAtivos},""Select Col3 where Col1 = '""&amp;$AZ338&amp;""'and Col2 = '""&amp;Z$21&amp;""'""))))"),"")</f>
        <v/>
      </c>
      <c r="J338" s="384" t="str">
        <f>IFERROR(__xludf.DUMMYFUNCTION("IF(J$43="""","""",IF($AZ338="""","""",IFERROR(Query({CarteirasAtivos},""Select Col3 where Col1 = '""&amp;$AZ338&amp;""'and Col2 = '""&amp;AA$21&amp;""'""))))"),"")</f>
        <v/>
      </c>
      <c r="K338" s="384" t="str">
        <f>IFERROR(__xludf.DUMMYFUNCTION("IF(K$43="""","""",IF($AZ338="""","""",IFERROR(Query({CarteirasAtivos},""Select Col3 where Col1 = '""&amp;$AZ338&amp;""'and Col2 = '""&amp;AB$21&amp;""'""))))"),"")</f>
        <v/>
      </c>
      <c r="L338" s="385">
        <v>295.0</v>
      </c>
      <c r="M338" s="503"/>
      <c r="N338" s="387"/>
      <c r="O338" s="388" t="s">
        <v>123</v>
      </c>
      <c r="P338" s="389"/>
      <c r="Q338" s="390"/>
      <c r="R338" s="391"/>
      <c r="S338" s="392"/>
      <c r="T338" s="393"/>
      <c r="U338" s="393"/>
      <c r="V338" s="394"/>
      <c r="W338" s="395" t="str">
        <f>IFERROR(__xludf.DUMMYFUNCTION("IF(M338="""","""",sparkline(IFERROR(BF338*100/MAX($BF$44:$BF$153),0),{""charttype"",""bar"";""max"",100;""color1"",IF(BD338&gt;=0,""#4760a5"",""red"")}))"),"")</f>
        <v/>
      </c>
      <c r="X338" s="396"/>
      <c r="Y338" s="466"/>
      <c r="Z338" s="398"/>
      <c r="AA338" s="511"/>
      <c r="AB338" s="393"/>
      <c r="AC338" s="476"/>
      <c r="AD338" s="401"/>
      <c r="AE338" s="402"/>
      <c r="AF338" s="403"/>
      <c r="AG338" s="404" t="str">
        <f>IFERROR(__xludf.DUMMYFUNCTION("IF($M338="""","""",IFERROR(sparkline(query(GOOGLEFINANCE($AZ338,""price"",TODAY()-$AF$43,TODAY(),1),""select Col2 label Col2 ''""),IF($AG$43=""Gráfico de barras"",{""charttype"",""column"";""highcolor"",""red""},{""chartype"",""line""}))))"),"")</f>
        <v/>
      </c>
      <c r="AH338" s="405"/>
      <c r="AI338" s="467"/>
      <c r="AJ338" s="467"/>
      <c r="AK338" s="467"/>
      <c r="AL338" s="467"/>
      <c r="AM338" s="442"/>
      <c r="AN338" s="442"/>
      <c r="AU338" s="281"/>
      <c r="AV338" s="281"/>
      <c r="AW338" s="281"/>
      <c r="AX338" s="281"/>
      <c r="AY338" s="410">
        <v>295.0</v>
      </c>
      <c r="AZ338" s="411"/>
      <c r="BA338" s="411"/>
      <c r="BB338" s="437"/>
      <c r="BC338" s="437"/>
      <c r="BD338" s="437"/>
      <c r="BE338" s="437"/>
      <c r="BF338" s="415" t="s">
        <v>123</v>
      </c>
      <c r="BG338" s="410">
        <v>295.0</v>
      </c>
      <c r="BH338" s="416"/>
      <c r="BI338" s="416"/>
      <c r="BJ338" s="416"/>
      <c r="BK338" s="416"/>
      <c r="BL338" s="416"/>
      <c r="BM338" s="416"/>
      <c r="BN338" s="282"/>
      <c r="BO338" s="490"/>
      <c r="BP338" s="489"/>
      <c r="BQ338" s="489"/>
      <c r="BR338" s="489"/>
      <c r="BS338" s="489"/>
      <c r="BT338" s="489"/>
      <c r="BU338" s="489"/>
      <c r="BV338" s="489"/>
      <c r="BW338" s="63"/>
      <c r="BX338" s="62"/>
      <c r="BY338" s="452"/>
      <c r="BZ338" s="452"/>
      <c r="CA338" s="452"/>
      <c r="CB338" s="452"/>
      <c r="CC338" s="452"/>
      <c r="CD338" s="452"/>
      <c r="CE338" s="452"/>
      <c r="CF338" s="452"/>
      <c r="CG338" s="452"/>
      <c r="CH338" s="422"/>
      <c r="CI338" s="422"/>
      <c r="CJ338" s="422"/>
      <c r="CK338" s="421"/>
      <c r="CL338" s="421" t="s">
        <v>123</v>
      </c>
      <c r="CM338" s="423"/>
      <c r="CN338" s="421"/>
      <c r="CO338" s="423"/>
      <c r="CP338" s="421"/>
      <c r="CQ338" s="63"/>
      <c r="CR338" s="63"/>
      <c r="CS338" s="63"/>
      <c r="CT338" s="63"/>
      <c r="CU338" s="447"/>
      <c r="CV338" s="447"/>
      <c r="CW338" s="447"/>
      <c r="CX338" s="447"/>
      <c r="CY338" s="447"/>
      <c r="CZ338" s="447"/>
      <c r="DA338" s="447"/>
      <c r="DB338" s="447"/>
      <c r="DC338" s="447"/>
      <c r="DD338" s="447"/>
      <c r="DE338" s="447"/>
      <c r="DF338" s="447"/>
      <c r="DG338" s="447"/>
      <c r="DH338" s="447"/>
      <c r="DI338" s="447"/>
      <c r="DJ338" s="447"/>
      <c r="DK338" s="447"/>
      <c r="DL338" s="67"/>
      <c r="DM338" s="67"/>
      <c r="DN338" s="67"/>
      <c r="DO338" s="67"/>
      <c r="DP338" s="67"/>
      <c r="DQ338" s="67"/>
    </row>
    <row r="339" ht="22.5" customHeight="1">
      <c r="A339" s="383"/>
      <c r="B339" s="384" t="str">
        <f>IFERROR(__xludf.DUMMYFUNCTION("IF(B$43="""","""",IF($AZ339="""","""",IFERROR(Query({CarteirasAtivos},""Select Col3 where Col1 = '""&amp;$AZ339&amp;""'and Col2 = '""&amp;S$21&amp;""'""))))"),"")</f>
        <v/>
      </c>
      <c r="C339" s="384" t="str">
        <f>IFERROR(__xludf.DUMMYFUNCTION("IF(C$43="""","""",IF($AZ339="""","""",IFERROR(Query({CarteirasAtivos},""Select Col3 where Col1 = '""&amp;$AZ339&amp;""'and Col2 = '""&amp;T$21&amp;""'""))))"),"")</f>
        <v/>
      </c>
      <c r="D339" s="384" t="str">
        <f>IFERROR(__xludf.DUMMYFUNCTION("IF(D$43="""","""",IF($AZ339="""","""",IFERROR(Query({CarteirasAtivos},""Select Col3 where Col1 = '""&amp;$AZ339&amp;""'and Col2 = '""&amp;U$21&amp;""'""))))"),"")</f>
        <v/>
      </c>
      <c r="E339" s="384" t="str">
        <f>IFERROR(__xludf.DUMMYFUNCTION("IF(E$43="""","""",IF($AZ339="""","""",IFERROR(Query({CarteirasAtivos},""Select Col3 where Col1 = '""&amp;$AZ339&amp;""'and Col2 = '""&amp;V$21&amp;""'""))))"),"")</f>
        <v/>
      </c>
      <c r="F339" s="384" t="str">
        <f>IFERROR(__xludf.DUMMYFUNCTION("IF(F$43="""","""",IF($AZ339="""","""",IFERROR(Query({CarteirasAtivos},""Select Col3 where Col1 = '""&amp;$AZ339&amp;""'and Col2 = '""&amp;W$21&amp;""'""))))"),"")</f>
        <v/>
      </c>
      <c r="G339" s="384" t="str">
        <f>IFERROR(__xludf.DUMMYFUNCTION("IF(G$43="""","""",IF($AZ339="""","""",IFERROR(Query({CarteirasAtivos},""Select Col3 where Col1 = '""&amp;$AZ339&amp;""'and Col2 = '""&amp;X$21&amp;""'""))))"),"")</f>
        <v/>
      </c>
      <c r="H339" s="384" t="str">
        <f>IFERROR(__xludf.DUMMYFUNCTION("IF(H$43="""","""",IF($AZ339="""","""",IFERROR(Query({CarteirasAtivos},""Select Col3 where Col1 = '""&amp;$AZ339&amp;""'and Col2 = '""&amp;Y$21&amp;""'""))))"),"")</f>
        <v/>
      </c>
      <c r="I339" s="384" t="str">
        <f>IFERROR(__xludf.DUMMYFUNCTION("IF(I$43="""","""",IF($AZ339="""","""",IFERROR(Query({CarteirasAtivos},""Select Col3 where Col1 = '""&amp;$AZ339&amp;""'and Col2 = '""&amp;Z$21&amp;""'""))))"),"")</f>
        <v/>
      </c>
      <c r="J339" s="384" t="str">
        <f>IFERROR(__xludf.DUMMYFUNCTION("IF(J$43="""","""",IF($AZ339="""","""",IFERROR(Query({CarteirasAtivos},""Select Col3 where Col1 = '""&amp;$AZ339&amp;""'and Col2 = '""&amp;AA$21&amp;""'""))))"),"")</f>
        <v/>
      </c>
      <c r="K339" s="384" t="str">
        <f>IFERROR(__xludf.DUMMYFUNCTION("IF(K$43="""","""",IF($AZ339="""","""",IFERROR(Query({CarteirasAtivos},""Select Col3 where Col1 = '""&amp;$AZ339&amp;""'and Col2 = '""&amp;AB$21&amp;""'""))))"),"")</f>
        <v/>
      </c>
      <c r="L339" s="385">
        <v>296.0</v>
      </c>
      <c r="M339" s="503"/>
      <c r="N339" s="387"/>
      <c r="O339" s="388" t="s">
        <v>123</v>
      </c>
      <c r="P339" s="389"/>
      <c r="Q339" s="390"/>
      <c r="R339" s="391"/>
      <c r="S339" s="392"/>
      <c r="T339" s="393"/>
      <c r="U339" s="393"/>
      <c r="V339" s="394"/>
      <c r="W339" s="395" t="str">
        <f>IFERROR(__xludf.DUMMYFUNCTION("IF(M339="""","""",sparkline(IFERROR(BF339*100/MAX($BF$44:$BF$153),0),{""charttype"",""bar"";""max"",100;""color1"",IF(BD339&gt;=0,""#4760a5"",""red"")}))"),"")</f>
        <v/>
      </c>
      <c r="X339" s="396"/>
      <c r="Y339" s="466"/>
      <c r="Z339" s="398"/>
      <c r="AA339" s="511"/>
      <c r="AB339" s="393"/>
      <c r="AC339" s="476"/>
      <c r="AD339" s="401"/>
      <c r="AE339" s="402"/>
      <c r="AF339" s="403"/>
      <c r="AG339" s="404" t="str">
        <f>IFERROR(__xludf.DUMMYFUNCTION("IF($M339="""","""",IFERROR(sparkline(query(GOOGLEFINANCE($AZ339,""price"",TODAY()-$AF$43,TODAY(),1),""select Col2 label Col2 ''""),IF($AG$43=""Gráfico de barras"",{""charttype"",""column"";""highcolor"",""red""},{""chartype"",""line""}))))"),"")</f>
        <v/>
      </c>
      <c r="AH339" s="405"/>
      <c r="AI339" s="467"/>
      <c r="AJ339" s="467"/>
      <c r="AK339" s="467"/>
      <c r="AL339" s="467"/>
      <c r="AM339" s="442"/>
      <c r="AN339" s="442"/>
      <c r="AU339" s="281"/>
      <c r="AV339" s="281"/>
      <c r="AW339" s="281"/>
      <c r="AX339" s="281"/>
      <c r="AY339" s="410">
        <v>296.0</v>
      </c>
      <c r="AZ339" s="411"/>
      <c r="BA339" s="411"/>
      <c r="BB339" s="437"/>
      <c r="BC339" s="437"/>
      <c r="BD339" s="437"/>
      <c r="BE339" s="437"/>
      <c r="BF339" s="415" t="s">
        <v>123</v>
      </c>
      <c r="BG339" s="410">
        <v>296.0</v>
      </c>
      <c r="BH339" s="416"/>
      <c r="BI339" s="416"/>
      <c r="BJ339" s="416"/>
      <c r="BK339" s="416"/>
      <c r="BL339" s="416"/>
      <c r="BM339" s="416"/>
      <c r="BN339" s="282"/>
      <c r="BO339" s="490"/>
      <c r="BP339" s="489"/>
      <c r="BQ339" s="489"/>
      <c r="BR339" s="489"/>
      <c r="BS339" s="489"/>
      <c r="BT339" s="489"/>
      <c r="BU339" s="489"/>
      <c r="BV339" s="489"/>
      <c r="BW339" s="63"/>
      <c r="BX339" s="62"/>
      <c r="BY339" s="452"/>
      <c r="BZ339" s="452"/>
      <c r="CA339" s="452"/>
      <c r="CB339" s="452"/>
      <c r="CC339" s="452"/>
      <c r="CD339" s="452"/>
      <c r="CE339" s="452"/>
      <c r="CF339" s="452"/>
      <c r="CG339" s="452"/>
      <c r="CH339" s="422"/>
      <c r="CI339" s="422"/>
      <c r="CJ339" s="422"/>
      <c r="CK339" s="421"/>
      <c r="CL339" s="421" t="s">
        <v>123</v>
      </c>
      <c r="CM339" s="423"/>
      <c r="CN339" s="421"/>
      <c r="CO339" s="423"/>
      <c r="CP339" s="421"/>
      <c r="CQ339" s="63"/>
      <c r="CR339" s="63"/>
      <c r="CS339" s="63"/>
      <c r="CT339" s="63"/>
      <c r="CU339" s="447"/>
      <c r="CV339" s="447"/>
      <c r="CW339" s="447"/>
      <c r="CX339" s="447"/>
      <c r="CY339" s="447"/>
      <c r="CZ339" s="447"/>
      <c r="DA339" s="447"/>
      <c r="DB339" s="447"/>
      <c r="DC339" s="447"/>
      <c r="DD339" s="447"/>
      <c r="DE339" s="447"/>
      <c r="DF339" s="447"/>
      <c r="DG339" s="447"/>
      <c r="DH339" s="447"/>
      <c r="DI339" s="447"/>
      <c r="DJ339" s="447"/>
      <c r="DK339" s="447"/>
      <c r="DL339" s="67"/>
      <c r="DM339" s="67"/>
      <c r="DN339" s="67"/>
      <c r="DO339" s="67"/>
      <c r="DP339" s="67"/>
      <c r="DQ339" s="67"/>
    </row>
    <row r="340" ht="22.5" customHeight="1">
      <c r="A340" s="383"/>
      <c r="B340" s="384" t="str">
        <f>IFERROR(__xludf.DUMMYFUNCTION("IF(B$43="""","""",IF($AZ340="""","""",IFERROR(Query({CarteirasAtivos},""Select Col3 where Col1 = '""&amp;$AZ340&amp;""'and Col2 = '""&amp;S$21&amp;""'""))))"),"")</f>
        <v/>
      </c>
      <c r="C340" s="384" t="str">
        <f>IFERROR(__xludf.DUMMYFUNCTION("IF(C$43="""","""",IF($AZ340="""","""",IFERROR(Query({CarteirasAtivos},""Select Col3 where Col1 = '""&amp;$AZ340&amp;""'and Col2 = '""&amp;T$21&amp;""'""))))"),"")</f>
        <v/>
      </c>
      <c r="D340" s="384" t="str">
        <f>IFERROR(__xludf.DUMMYFUNCTION("IF(D$43="""","""",IF($AZ340="""","""",IFERROR(Query({CarteirasAtivos},""Select Col3 where Col1 = '""&amp;$AZ340&amp;""'and Col2 = '""&amp;U$21&amp;""'""))))"),"")</f>
        <v/>
      </c>
      <c r="E340" s="384" t="str">
        <f>IFERROR(__xludf.DUMMYFUNCTION("IF(E$43="""","""",IF($AZ340="""","""",IFERROR(Query({CarteirasAtivos},""Select Col3 where Col1 = '""&amp;$AZ340&amp;""'and Col2 = '""&amp;V$21&amp;""'""))))"),"")</f>
        <v/>
      </c>
      <c r="F340" s="384" t="str">
        <f>IFERROR(__xludf.DUMMYFUNCTION("IF(F$43="""","""",IF($AZ340="""","""",IFERROR(Query({CarteirasAtivos},""Select Col3 where Col1 = '""&amp;$AZ340&amp;""'and Col2 = '""&amp;W$21&amp;""'""))))"),"")</f>
        <v/>
      </c>
      <c r="G340" s="384" t="str">
        <f>IFERROR(__xludf.DUMMYFUNCTION("IF(G$43="""","""",IF($AZ340="""","""",IFERROR(Query({CarteirasAtivos},""Select Col3 where Col1 = '""&amp;$AZ340&amp;""'and Col2 = '""&amp;X$21&amp;""'""))))"),"")</f>
        <v/>
      </c>
      <c r="H340" s="384" t="str">
        <f>IFERROR(__xludf.DUMMYFUNCTION("IF(H$43="""","""",IF($AZ340="""","""",IFERROR(Query({CarteirasAtivos},""Select Col3 where Col1 = '""&amp;$AZ340&amp;""'and Col2 = '""&amp;Y$21&amp;""'""))))"),"")</f>
        <v/>
      </c>
      <c r="I340" s="384" t="str">
        <f>IFERROR(__xludf.DUMMYFUNCTION("IF(I$43="""","""",IF($AZ340="""","""",IFERROR(Query({CarteirasAtivos},""Select Col3 where Col1 = '""&amp;$AZ340&amp;""'and Col2 = '""&amp;Z$21&amp;""'""))))"),"")</f>
        <v/>
      </c>
      <c r="J340" s="384" t="str">
        <f>IFERROR(__xludf.DUMMYFUNCTION("IF(J$43="""","""",IF($AZ340="""","""",IFERROR(Query({CarteirasAtivos},""Select Col3 where Col1 = '""&amp;$AZ340&amp;""'and Col2 = '""&amp;AA$21&amp;""'""))))"),"")</f>
        <v/>
      </c>
      <c r="K340" s="384" t="str">
        <f>IFERROR(__xludf.DUMMYFUNCTION("IF(K$43="""","""",IF($AZ340="""","""",IFERROR(Query({CarteirasAtivos},""Select Col3 where Col1 = '""&amp;$AZ340&amp;""'and Col2 = '""&amp;AB$21&amp;""'""))))"),"")</f>
        <v/>
      </c>
      <c r="L340" s="385">
        <v>297.0</v>
      </c>
      <c r="M340" s="503"/>
      <c r="N340" s="387"/>
      <c r="O340" s="388" t="s">
        <v>123</v>
      </c>
      <c r="P340" s="389"/>
      <c r="Q340" s="390"/>
      <c r="R340" s="391"/>
      <c r="S340" s="392"/>
      <c r="T340" s="393"/>
      <c r="U340" s="393"/>
      <c r="V340" s="394"/>
      <c r="W340" s="395" t="str">
        <f>IFERROR(__xludf.DUMMYFUNCTION("IF(M340="""","""",sparkline(IFERROR(BF340*100/MAX($BF$44:$BF$153),0),{""charttype"",""bar"";""max"",100;""color1"",IF(BD340&gt;=0,""#4760a5"",""red"")}))"),"")</f>
        <v/>
      </c>
      <c r="X340" s="396"/>
      <c r="Y340" s="466"/>
      <c r="Z340" s="398"/>
      <c r="AA340" s="511"/>
      <c r="AB340" s="393"/>
      <c r="AC340" s="476"/>
      <c r="AD340" s="401"/>
      <c r="AE340" s="402"/>
      <c r="AF340" s="403"/>
      <c r="AG340" s="404" t="str">
        <f>IFERROR(__xludf.DUMMYFUNCTION("IF($M340="""","""",IFERROR(sparkline(query(GOOGLEFINANCE($AZ340,""price"",TODAY()-$AF$43,TODAY(),1),""select Col2 label Col2 ''""),IF($AG$43=""Gráfico de barras"",{""charttype"",""column"";""highcolor"",""red""},{""chartype"",""line""}))))"),"")</f>
        <v/>
      </c>
      <c r="AH340" s="405"/>
      <c r="AI340" s="467"/>
      <c r="AJ340" s="467"/>
      <c r="AK340" s="467"/>
      <c r="AL340" s="467"/>
      <c r="AM340" s="442"/>
      <c r="AN340" s="442"/>
      <c r="AU340" s="281"/>
      <c r="AV340" s="281"/>
      <c r="AW340" s="281"/>
      <c r="AX340" s="281"/>
      <c r="AY340" s="410">
        <v>297.0</v>
      </c>
      <c r="AZ340" s="411"/>
      <c r="BA340" s="411"/>
      <c r="BB340" s="437"/>
      <c r="BC340" s="437"/>
      <c r="BD340" s="437"/>
      <c r="BE340" s="437"/>
      <c r="BF340" s="415" t="s">
        <v>123</v>
      </c>
      <c r="BG340" s="410">
        <v>297.0</v>
      </c>
      <c r="BH340" s="416"/>
      <c r="BI340" s="416"/>
      <c r="BJ340" s="416"/>
      <c r="BK340" s="416"/>
      <c r="BL340" s="416"/>
      <c r="BM340" s="416"/>
      <c r="BN340" s="282"/>
      <c r="BO340" s="490"/>
      <c r="BP340" s="489"/>
      <c r="BQ340" s="489"/>
      <c r="BR340" s="489"/>
      <c r="BS340" s="489"/>
      <c r="BT340" s="489"/>
      <c r="BU340" s="489"/>
      <c r="BV340" s="489"/>
      <c r="BW340" s="63"/>
      <c r="BX340" s="62"/>
      <c r="BY340" s="452"/>
      <c r="BZ340" s="452"/>
      <c r="CA340" s="452"/>
      <c r="CB340" s="452"/>
      <c r="CC340" s="452"/>
      <c r="CD340" s="452"/>
      <c r="CE340" s="452"/>
      <c r="CF340" s="452"/>
      <c r="CG340" s="452"/>
      <c r="CH340" s="422"/>
      <c r="CI340" s="422"/>
      <c r="CJ340" s="422"/>
      <c r="CK340" s="421"/>
      <c r="CL340" s="421" t="s">
        <v>123</v>
      </c>
      <c r="CM340" s="423"/>
      <c r="CN340" s="421"/>
      <c r="CO340" s="423"/>
      <c r="CP340" s="421"/>
      <c r="CQ340" s="63"/>
      <c r="CR340" s="63"/>
      <c r="CS340" s="63"/>
      <c r="CT340" s="63"/>
      <c r="CU340" s="447"/>
      <c r="CV340" s="447"/>
      <c r="CW340" s="447"/>
      <c r="CX340" s="447"/>
      <c r="CY340" s="447"/>
      <c r="CZ340" s="447"/>
      <c r="DA340" s="447"/>
      <c r="DB340" s="447"/>
      <c r="DC340" s="447"/>
      <c r="DD340" s="447"/>
      <c r="DE340" s="447"/>
      <c r="DF340" s="447"/>
      <c r="DG340" s="447"/>
      <c r="DH340" s="447"/>
      <c r="DI340" s="447"/>
      <c r="DJ340" s="447"/>
      <c r="DK340" s="447"/>
      <c r="DL340" s="67"/>
      <c r="DM340" s="67"/>
      <c r="DN340" s="67"/>
      <c r="DO340" s="67"/>
      <c r="DP340" s="67"/>
      <c r="DQ340" s="67"/>
    </row>
    <row r="341" ht="22.5" customHeight="1">
      <c r="A341" s="383"/>
      <c r="B341" s="384" t="str">
        <f>IFERROR(__xludf.DUMMYFUNCTION("IF(B$43="""","""",IF($AZ341="""","""",IFERROR(Query({CarteirasAtivos},""Select Col3 where Col1 = '""&amp;$AZ341&amp;""'and Col2 = '""&amp;S$21&amp;""'""))))"),"")</f>
        <v/>
      </c>
      <c r="C341" s="384" t="str">
        <f>IFERROR(__xludf.DUMMYFUNCTION("IF(C$43="""","""",IF($AZ341="""","""",IFERROR(Query({CarteirasAtivos},""Select Col3 where Col1 = '""&amp;$AZ341&amp;""'and Col2 = '""&amp;T$21&amp;""'""))))"),"")</f>
        <v/>
      </c>
      <c r="D341" s="384" t="str">
        <f>IFERROR(__xludf.DUMMYFUNCTION("IF(D$43="""","""",IF($AZ341="""","""",IFERROR(Query({CarteirasAtivos},""Select Col3 where Col1 = '""&amp;$AZ341&amp;""'and Col2 = '""&amp;U$21&amp;""'""))))"),"")</f>
        <v/>
      </c>
      <c r="E341" s="384" t="str">
        <f>IFERROR(__xludf.DUMMYFUNCTION("IF(E$43="""","""",IF($AZ341="""","""",IFERROR(Query({CarteirasAtivos},""Select Col3 where Col1 = '""&amp;$AZ341&amp;""'and Col2 = '""&amp;V$21&amp;""'""))))"),"")</f>
        <v/>
      </c>
      <c r="F341" s="384" t="str">
        <f>IFERROR(__xludf.DUMMYFUNCTION("IF(F$43="""","""",IF($AZ341="""","""",IFERROR(Query({CarteirasAtivos},""Select Col3 where Col1 = '""&amp;$AZ341&amp;""'and Col2 = '""&amp;W$21&amp;""'""))))"),"")</f>
        <v/>
      </c>
      <c r="G341" s="384" t="str">
        <f>IFERROR(__xludf.DUMMYFUNCTION("IF(G$43="""","""",IF($AZ341="""","""",IFERROR(Query({CarteirasAtivos},""Select Col3 where Col1 = '""&amp;$AZ341&amp;""'and Col2 = '""&amp;X$21&amp;""'""))))"),"")</f>
        <v/>
      </c>
      <c r="H341" s="384" t="str">
        <f>IFERROR(__xludf.DUMMYFUNCTION("IF(H$43="""","""",IF($AZ341="""","""",IFERROR(Query({CarteirasAtivos},""Select Col3 where Col1 = '""&amp;$AZ341&amp;""'and Col2 = '""&amp;Y$21&amp;""'""))))"),"")</f>
        <v/>
      </c>
      <c r="I341" s="384" t="str">
        <f>IFERROR(__xludf.DUMMYFUNCTION("IF(I$43="""","""",IF($AZ341="""","""",IFERROR(Query({CarteirasAtivos},""Select Col3 where Col1 = '""&amp;$AZ341&amp;""'and Col2 = '""&amp;Z$21&amp;""'""))))"),"")</f>
        <v/>
      </c>
      <c r="J341" s="384" t="str">
        <f>IFERROR(__xludf.DUMMYFUNCTION("IF(J$43="""","""",IF($AZ341="""","""",IFERROR(Query({CarteirasAtivos},""Select Col3 where Col1 = '""&amp;$AZ341&amp;""'and Col2 = '""&amp;AA$21&amp;""'""))))"),"")</f>
        <v/>
      </c>
      <c r="K341" s="384" t="str">
        <f>IFERROR(__xludf.DUMMYFUNCTION("IF(K$43="""","""",IF($AZ341="""","""",IFERROR(Query({CarteirasAtivos},""Select Col3 where Col1 = '""&amp;$AZ341&amp;""'and Col2 = '""&amp;AB$21&amp;""'""))))"),"")</f>
        <v/>
      </c>
      <c r="L341" s="385">
        <v>298.0</v>
      </c>
      <c r="M341" s="503"/>
      <c r="N341" s="387"/>
      <c r="O341" s="388" t="s">
        <v>123</v>
      </c>
      <c r="P341" s="389"/>
      <c r="Q341" s="390"/>
      <c r="R341" s="391"/>
      <c r="S341" s="392"/>
      <c r="T341" s="393"/>
      <c r="U341" s="393"/>
      <c r="V341" s="394"/>
      <c r="W341" s="395" t="str">
        <f>IFERROR(__xludf.DUMMYFUNCTION("IF(M341="""","""",sparkline(IFERROR(BF341*100/MAX($BF$44:$BF$153),0),{""charttype"",""bar"";""max"",100;""color1"",IF(BD341&gt;=0,""#4760a5"",""red"")}))"),"")</f>
        <v/>
      </c>
      <c r="X341" s="396"/>
      <c r="Y341" s="466"/>
      <c r="Z341" s="398"/>
      <c r="AA341" s="511"/>
      <c r="AB341" s="393"/>
      <c r="AC341" s="476"/>
      <c r="AD341" s="401"/>
      <c r="AE341" s="402"/>
      <c r="AF341" s="403"/>
      <c r="AG341" s="404" t="str">
        <f>IFERROR(__xludf.DUMMYFUNCTION("IF($M341="""","""",IFERROR(sparkline(query(GOOGLEFINANCE($AZ341,""price"",TODAY()-$AF$43,TODAY(),1),""select Col2 label Col2 ''""),IF($AG$43=""Gráfico de barras"",{""charttype"",""column"";""highcolor"",""red""},{""chartype"",""line""}))))"),"")</f>
        <v/>
      </c>
      <c r="AH341" s="405"/>
      <c r="AI341" s="467"/>
      <c r="AJ341" s="467"/>
      <c r="AK341" s="467"/>
      <c r="AL341" s="467"/>
      <c r="AM341" s="442"/>
      <c r="AN341" s="442"/>
      <c r="AU341" s="281"/>
      <c r="AV341" s="281"/>
      <c r="AW341" s="281"/>
      <c r="AX341" s="281"/>
      <c r="AY341" s="410">
        <v>298.0</v>
      </c>
      <c r="AZ341" s="411"/>
      <c r="BA341" s="411"/>
      <c r="BB341" s="437"/>
      <c r="BC341" s="437"/>
      <c r="BD341" s="437"/>
      <c r="BE341" s="437"/>
      <c r="BF341" s="415" t="s">
        <v>123</v>
      </c>
      <c r="BG341" s="410">
        <v>298.0</v>
      </c>
      <c r="BH341" s="416"/>
      <c r="BI341" s="416"/>
      <c r="BJ341" s="416"/>
      <c r="BK341" s="416"/>
      <c r="BL341" s="416"/>
      <c r="BM341" s="416"/>
      <c r="BN341" s="282"/>
      <c r="BO341" s="490"/>
      <c r="BP341" s="489"/>
      <c r="BQ341" s="489"/>
      <c r="BR341" s="489"/>
      <c r="BS341" s="489"/>
      <c r="BT341" s="489"/>
      <c r="BU341" s="489"/>
      <c r="BV341" s="489"/>
      <c r="BW341" s="63"/>
      <c r="BX341" s="62"/>
      <c r="BY341" s="452"/>
      <c r="BZ341" s="452"/>
      <c r="CA341" s="452"/>
      <c r="CB341" s="452"/>
      <c r="CC341" s="452"/>
      <c r="CD341" s="452"/>
      <c r="CE341" s="452"/>
      <c r="CF341" s="452"/>
      <c r="CG341" s="452"/>
      <c r="CH341" s="422"/>
      <c r="CI341" s="422"/>
      <c r="CJ341" s="422"/>
      <c r="CK341" s="421"/>
      <c r="CL341" s="421" t="s">
        <v>123</v>
      </c>
      <c r="CM341" s="423"/>
      <c r="CN341" s="421"/>
      <c r="CO341" s="423"/>
      <c r="CP341" s="421"/>
      <c r="CQ341" s="63"/>
      <c r="CR341" s="63"/>
      <c r="CS341" s="63"/>
      <c r="CT341" s="63"/>
      <c r="CU341" s="447"/>
      <c r="CV341" s="447"/>
      <c r="CW341" s="447"/>
      <c r="CX341" s="447"/>
      <c r="CY341" s="447"/>
      <c r="CZ341" s="447"/>
      <c r="DA341" s="447"/>
      <c r="DB341" s="447"/>
      <c r="DC341" s="447"/>
      <c r="DD341" s="447"/>
      <c r="DE341" s="447"/>
      <c r="DF341" s="447"/>
      <c r="DG341" s="447"/>
      <c r="DH341" s="447"/>
      <c r="DI341" s="447"/>
      <c r="DJ341" s="447"/>
      <c r="DK341" s="447"/>
      <c r="DL341" s="67"/>
      <c r="DM341" s="67"/>
      <c r="DN341" s="67"/>
      <c r="DO341" s="67"/>
      <c r="DP341" s="67"/>
      <c r="DQ341" s="67"/>
    </row>
    <row r="342" ht="22.5" customHeight="1">
      <c r="A342" s="383"/>
      <c r="B342" s="384" t="str">
        <f>IFERROR(__xludf.DUMMYFUNCTION("IF(B$43="""","""",IF($AZ342="""","""",IFERROR(Query({CarteirasAtivos},""Select Col3 where Col1 = '""&amp;$AZ342&amp;""'and Col2 = '""&amp;S$21&amp;""'""))))"),"")</f>
        <v/>
      </c>
      <c r="C342" s="384" t="str">
        <f>IFERROR(__xludf.DUMMYFUNCTION("IF(C$43="""","""",IF($AZ342="""","""",IFERROR(Query({CarteirasAtivos},""Select Col3 where Col1 = '""&amp;$AZ342&amp;""'and Col2 = '""&amp;T$21&amp;""'""))))"),"")</f>
        <v/>
      </c>
      <c r="D342" s="384" t="str">
        <f>IFERROR(__xludf.DUMMYFUNCTION("IF(D$43="""","""",IF($AZ342="""","""",IFERROR(Query({CarteirasAtivos},""Select Col3 where Col1 = '""&amp;$AZ342&amp;""'and Col2 = '""&amp;U$21&amp;""'""))))"),"")</f>
        <v/>
      </c>
      <c r="E342" s="384" t="str">
        <f>IFERROR(__xludf.DUMMYFUNCTION("IF(E$43="""","""",IF($AZ342="""","""",IFERROR(Query({CarteirasAtivos},""Select Col3 where Col1 = '""&amp;$AZ342&amp;""'and Col2 = '""&amp;V$21&amp;""'""))))"),"")</f>
        <v/>
      </c>
      <c r="F342" s="384" t="str">
        <f>IFERROR(__xludf.DUMMYFUNCTION("IF(F$43="""","""",IF($AZ342="""","""",IFERROR(Query({CarteirasAtivos},""Select Col3 where Col1 = '""&amp;$AZ342&amp;""'and Col2 = '""&amp;W$21&amp;""'""))))"),"")</f>
        <v/>
      </c>
      <c r="G342" s="384" t="str">
        <f>IFERROR(__xludf.DUMMYFUNCTION("IF(G$43="""","""",IF($AZ342="""","""",IFERROR(Query({CarteirasAtivos},""Select Col3 where Col1 = '""&amp;$AZ342&amp;""'and Col2 = '""&amp;X$21&amp;""'""))))"),"")</f>
        <v/>
      </c>
      <c r="H342" s="384" t="str">
        <f>IFERROR(__xludf.DUMMYFUNCTION("IF(H$43="""","""",IF($AZ342="""","""",IFERROR(Query({CarteirasAtivos},""Select Col3 where Col1 = '""&amp;$AZ342&amp;""'and Col2 = '""&amp;Y$21&amp;""'""))))"),"")</f>
        <v/>
      </c>
      <c r="I342" s="384" t="str">
        <f>IFERROR(__xludf.DUMMYFUNCTION("IF(I$43="""","""",IF($AZ342="""","""",IFERROR(Query({CarteirasAtivos},""Select Col3 where Col1 = '""&amp;$AZ342&amp;""'and Col2 = '""&amp;Z$21&amp;""'""))))"),"")</f>
        <v/>
      </c>
      <c r="J342" s="384" t="str">
        <f>IFERROR(__xludf.DUMMYFUNCTION("IF(J$43="""","""",IF($AZ342="""","""",IFERROR(Query({CarteirasAtivos},""Select Col3 where Col1 = '""&amp;$AZ342&amp;""'and Col2 = '""&amp;AA$21&amp;""'""))))"),"")</f>
        <v/>
      </c>
      <c r="K342" s="384" t="str">
        <f>IFERROR(__xludf.DUMMYFUNCTION("IF(K$43="""","""",IF($AZ342="""","""",IFERROR(Query({CarteirasAtivos},""Select Col3 where Col1 = '""&amp;$AZ342&amp;""'and Col2 = '""&amp;AB$21&amp;""'""))))"),"")</f>
        <v/>
      </c>
      <c r="L342" s="385">
        <v>299.0</v>
      </c>
      <c r="M342" s="503"/>
      <c r="N342" s="387"/>
      <c r="O342" s="388" t="s">
        <v>123</v>
      </c>
      <c r="P342" s="389"/>
      <c r="Q342" s="390"/>
      <c r="R342" s="391"/>
      <c r="S342" s="392"/>
      <c r="T342" s="393"/>
      <c r="U342" s="393"/>
      <c r="V342" s="394"/>
      <c r="W342" s="395" t="str">
        <f>IFERROR(__xludf.DUMMYFUNCTION("IF(M342="""","""",sparkline(IFERROR(BF342*100/MAX($BF$44:$BF$153),0),{""charttype"",""bar"";""max"",100;""color1"",IF(BD342&gt;=0,""#4760a5"",""red"")}))"),"")</f>
        <v/>
      </c>
      <c r="X342" s="396"/>
      <c r="Y342" s="466"/>
      <c r="Z342" s="398"/>
      <c r="AA342" s="511"/>
      <c r="AB342" s="393"/>
      <c r="AC342" s="476"/>
      <c r="AD342" s="401"/>
      <c r="AE342" s="402"/>
      <c r="AF342" s="403"/>
      <c r="AG342" s="404" t="str">
        <f>IFERROR(__xludf.DUMMYFUNCTION("IF($M342="""","""",IFERROR(sparkline(query(GOOGLEFINANCE($AZ342,""price"",TODAY()-$AF$43,TODAY(),1),""select Col2 label Col2 ''""),IF($AG$43=""Gráfico de barras"",{""charttype"",""column"";""highcolor"",""red""},{""chartype"",""line""}))))"),"")</f>
        <v/>
      </c>
      <c r="AH342" s="405"/>
      <c r="AI342" s="467"/>
      <c r="AJ342" s="467"/>
      <c r="AK342" s="467"/>
      <c r="AL342" s="467"/>
      <c r="AM342" s="442"/>
      <c r="AN342" s="442"/>
      <c r="AU342" s="281"/>
      <c r="AV342" s="281"/>
      <c r="AW342" s="281"/>
      <c r="AX342" s="281"/>
      <c r="AY342" s="410">
        <v>299.0</v>
      </c>
      <c r="AZ342" s="411"/>
      <c r="BA342" s="411"/>
      <c r="BB342" s="437"/>
      <c r="BC342" s="437"/>
      <c r="BD342" s="437"/>
      <c r="BE342" s="437"/>
      <c r="BF342" s="415" t="s">
        <v>123</v>
      </c>
      <c r="BG342" s="410">
        <v>299.0</v>
      </c>
      <c r="BH342" s="416"/>
      <c r="BI342" s="416"/>
      <c r="BJ342" s="416"/>
      <c r="BK342" s="416"/>
      <c r="BL342" s="416"/>
      <c r="BM342" s="416"/>
      <c r="BN342" s="282"/>
      <c r="BO342" s="490"/>
      <c r="BP342" s="489"/>
      <c r="BQ342" s="489"/>
      <c r="BR342" s="489"/>
      <c r="BS342" s="489"/>
      <c r="BT342" s="489"/>
      <c r="BU342" s="489"/>
      <c r="BV342" s="489"/>
      <c r="BW342" s="63"/>
      <c r="BX342" s="62"/>
      <c r="BY342" s="452"/>
      <c r="BZ342" s="452"/>
      <c r="CA342" s="452"/>
      <c r="CB342" s="452"/>
      <c r="CC342" s="452"/>
      <c r="CD342" s="452"/>
      <c r="CE342" s="452"/>
      <c r="CF342" s="452"/>
      <c r="CG342" s="452"/>
      <c r="CH342" s="422"/>
      <c r="CI342" s="422"/>
      <c r="CJ342" s="422"/>
      <c r="CK342" s="421"/>
      <c r="CL342" s="421" t="s">
        <v>123</v>
      </c>
      <c r="CM342" s="423"/>
      <c r="CN342" s="421"/>
      <c r="CO342" s="423"/>
      <c r="CP342" s="421"/>
      <c r="CQ342" s="63"/>
      <c r="CR342" s="63"/>
      <c r="CS342" s="63"/>
      <c r="CT342" s="63"/>
      <c r="CU342" s="447"/>
      <c r="CV342" s="447"/>
      <c r="CW342" s="447"/>
      <c r="CX342" s="447"/>
      <c r="CY342" s="447"/>
      <c r="CZ342" s="447"/>
      <c r="DA342" s="447"/>
      <c r="DB342" s="447"/>
      <c r="DC342" s="447"/>
      <c r="DD342" s="447"/>
      <c r="DE342" s="447"/>
      <c r="DF342" s="447"/>
      <c r="DG342" s="447"/>
      <c r="DH342" s="447"/>
      <c r="DI342" s="447"/>
      <c r="DJ342" s="447"/>
      <c r="DK342" s="447"/>
      <c r="DL342" s="67"/>
      <c r="DM342" s="67"/>
      <c r="DN342" s="67"/>
      <c r="DO342" s="67"/>
      <c r="DP342" s="67"/>
      <c r="DQ342" s="67"/>
    </row>
    <row r="343" ht="22.5" customHeight="1">
      <c r="A343" s="383"/>
      <c r="B343" s="384" t="str">
        <f>IFERROR(__xludf.DUMMYFUNCTION("IF(B$43="""","""",IF($AZ343="""","""",IFERROR(Query({CarteirasAtivos},""Select Col3 where Col1 = '""&amp;$AZ343&amp;""'and Col2 = '""&amp;S$21&amp;""'""))))"),"")</f>
        <v/>
      </c>
      <c r="C343" s="384" t="str">
        <f>IFERROR(__xludf.DUMMYFUNCTION("IF(C$43="""","""",IF($AZ343="""","""",IFERROR(Query({CarteirasAtivos},""Select Col3 where Col1 = '""&amp;$AZ343&amp;""'and Col2 = '""&amp;T$21&amp;""'""))))"),"")</f>
        <v/>
      </c>
      <c r="D343" s="384" t="str">
        <f>IFERROR(__xludf.DUMMYFUNCTION("IF(D$43="""","""",IF($AZ343="""","""",IFERROR(Query({CarteirasAtivos},""Select Col3 where Col1 = '""&amp;$AZ343&amp;""'and Col2 = '""&amp;U$21&amp;""'""))))"),"")</f>
        <v/>
      </c>
      <c r="E343" s="384" t="str">
        <f>IFERROR(__xludf.DUMMYFUNCTION("IF(E$43="""","""",IF($AZ343="""","""",IFERROR(Query({CarteirasAtivos},""Select Col3 where Col1 = '""&amp;$AZ343&amp;""'and Col2 = '""&amp;V$21&amp;""'""))))"),"")</f>
        <v/>
      </c>
      <c r="F343" s="384" t="str">
        <f>IFERROR(__xludf.DUMMYFUNCTION("IF(F$43="""","""",IF($AZ343="""","""",IFERROR(Query({CarteirasAtivos},""Select Col3 where Col1 = '""&amp;$AZ343&amp;""'and Col2 = '""&amp;W$21&amp;""'""))))"),"")</f>
        <v/>
      </c>
      <c r="G343" s="384" t="str">
        <f>IFERROR(__xludf.DUMMYFUNCTION("IF(G$43="""","""",IF($AZ343="""","""",IFERROR(Query({CarteirasAtivos},""Select Col3 where Col1 = '""&amp;$AZ343&amp;""'and Col2 = '""&amp;X$21&amp;""'""))))"),"")</f>
        <v/>
      </c>
      <c r="H343" s="384" t="str">
        <f>IFERROR(__xludf.DUMMYFUNCTION("IF(H$43="""","""",IF($AZ343="""","""",IFERROR(Query({CarteirasAtivos},""Select Col3 where Col1 = '""&amp;$AZ343&amp;""'and Col2 = '""&amp;Y$21&amp;""'""))))"),"")</f>
        <v/>
      </c>
      <c r="I343" s="384" t="str">
        <f>IFERROR(__xludf.DUMMYFUNCTION("IF(I$43="""","""",IF($AZ343="""","""",IFERROR(Query({CarteirasAtivos},""Select Col3 where Col1 = '""&amp;$AZ343&amp;""'and Col2 = '""&amp;Z$21&amp;""'""))))"),"")</f>
        <v/>
      </c>
      <c r="J343" s="384" t="str">
        <f>IFERROR(__xludf.DUMMYFUNCTION("IF(J$43="""","""",IF($AZ343="""","""",IFERROR(Query({CarteirasAtivos},""Select Col3 where Col1 = '""&amp;$AZ343&amp;""'and Col2 = '""&amp;AA$21&amp;""'""))))"),"")</f>
        <v/>
      </c>
      <c r="K343" s="384" t="str">
        <f>IFERROR(__xludf.DUMMYFUNCTION("IF(K$43="""","""",IF($AZ343="""","""",IFERROR(Query({CarteirasAtivos},""Select Col3 where Col1 = '""&amp;$AZ343&amp;""'and Col2 = '""&amp;AB$21&amp;""'""))))"),"")</f>
        <v/>
      </c>
      <c r="L343" s="385">
        <v>300.0</v>
      </c>
      <c r="M343" s="503"/>
      <c r="N343" s="387"/>
      <c r="O343" s="388" t="s">
        <v>123</v>
      </c>
      <c r="P343" s="389"/>
      <c r="Q343" s="390"/>
      <c r="R343" s="391"/>
      <c r="S343" s="392"/>
      <c r="T343" s="393"/>
      <c r="U343" s="393"/>
      <c r="V343" s="394"/>
      <c r="W343" s="395" t="str">
        <f>IFERROR(__xludf.DUMMYFUNCTION("IF(M343="""","""",sparkline(IFERROR(BF343*100/MAX($BF$44:$BF$153),0),{""charttype"",""bar"";""max"",100;""color1"",IF(BD343&gt;=0,""#4760a5"",""red"")}))"),"")</f>
        <v/>
      </c>
      <c r="X343" s="396"/>
      <c r="Y343" s="466"/>
      <c r="Z343" s="398"/>
      <c r="AA343" s="511"/>
      <c r="AB343" s="393"/>
      <c r="AC343" s="476"/>
      <c r="AD343" s="401"/>
      <c r="AE343" s="402"/>
      <c r="AF343" s="403"/>
      <c r="AG343" s="404" t="str">
        <f>IFERROR(__xludf.DUMMYFUNCTION("IF($M343="""","""",IFERROR(sparkline(query(GOOGLEFINANCE($AZ343,""price"",TODAY()-$AF$43,TODAY(),1),""select Col2 label Col2 ''""),IF($AG$43=""Gráfico de barras"",{""charttype"",""column"";""highcolor"",""red""},{""chartype"",""line""}))))"),"")</f>
        <v/>
      </c>
      <c r="AH343" s="405"/>
      <c r="AI343" s="467"/>
      <c r="AJ343" s="467"/>
      <c r="AK343" s="467"/>
      <c r="AL343" s="467"/>
      <c r="AM343" s="442"/>
      <c r="AN343" s="442"/>
      <c r="AU343" s="281"/>
      <c r="AV343" s="281"/>
      <c r="AW343" s="281"/>
      <c r="AX343" s="281"/>
      <c r="AY343" s="410">
        <v>300.0</v>
      </c>
      <c r="AZ343" s="411"/>
      <c r="BA343" s="411"/>
      <c r="BB343" s="437"/>
      <c r="BC343" s="437"/>
      <c r="BD343" s="437"/>
      <c r="BE343" s="437"/>
      <c r="BF343" s="415" t="s">
        <v>123</v>
      </c>
      <c r="BG343" s="410">
        <v>300.0</v>
      </c>
      <c r="BH343" s="416"/>
      <c r="BI343" s="416"/>
      <c r="BJ343" s="416"/>
      <c r="BK343" s="416"/>
      <c r="BL343" s="416"/>
      <c r="BM343" s="416"/>
      <c r="BN343" s="282"/>
      <c r="BO343" s="490"/>
      <c r="BP343" s="489"/>
      <c r="BQ343" s="489"/>
      <c r="BR343" s="489"/>
      <c r="BS343" s="489"/>
      <c r="BT343" s="489"/>
      <c r="BU343" s="489"/>
      <c r="BV343" s="489"/>
      <c r="BW343" s="63"/>
      <c r="BX343" s="62"/>
      <c r="BY343" s="452"/>
      <c r="BZ343" s="452"/>
      <c r="CA343" s="452"/>
      <c r="CB343" s="452"/>
      <c r="CC343" s="452"/>
      <c r="CD343" s="452"/>
      <c r="CE343" s="452"/>
      <c r="CF343" s="452"/>
      <c r="CG343" s="452"/>
      <c r="CH343" s="422"/>
      <c r="CI343" s="422"/>
      <c r="CJ343" s="422"/>
      <c r="CK343" s="421"/>
      <c r="CL343" s="421" t="s">
        <v>123</v>
      </c>
      <c r="CM343" s="423"/>
      <c r="CN343" s="421"/>
      <c r="CO343" s="423"/>
      <c r="CP343" s="421"/>
      <c r="CQ343" s="63"/>
      <c r="CR343" s="63"/>
      <c r="CS343" s="63"/>
      <c r="CT343" s="63"/>
      <c r="CU343" s="447"/>
      <c r="CV343" s="447"/>
      <c r="CW343" s="447"/>
      <c r="CX343" s="447"/>
      <c r="CY343" s="447"/>
      <c r="CZ343" s="447"/>
      <c r="DA343" s="447"/>
      <c r="DB343" s="447"/>
      <c r="DC343" s="447"/>
      <c r="DD343" s="447"/>
      <c r="DE343" s="447"/>
      <c r="DF343" s="447"/>
      <c r="DG343" s="447"/>
      <c r="DH343" s="447"/>
      <c r="DI343" s="447"/>
      <c r="DJ343" s="447"/>
      <c r="DK343" s="447"/>
      <c r="DL343" s="67"/>
      <c r="DM343" s="67"/>
      <c r="DN343" s="67"/>
      <c r="DO343" s="67"/>
      <c r="DP343" s="67"/>
      <c r="DQ343" s="67"/>
    </row>
  </sheetData>
  <mergeCells count="812">
    <mergeCell ref="M4:P4"/>
    <mergeCell ref="S4:T4"/>
    <mergeCell ref="M6:P8"/>
    <mergeCell ref="Q6:S6"/>
    <mergeCell ref="T6:T7"/>
    <mergeCell ref="V4:W4"/>
    <mergeCell ref="Y4:Z4"/>
    <mergeCell ref="U6:AA6"/>
    <mergeCell ref="AH4:AI4"/>
    <mergeCell ref="AK4:AL4"/>
    <mergeCell ref="B1:K2"/>
    <mergeCell ref="M1:P2"/>
    <mergeCell ref="R1:AL2"/>
    <mergeCell ref="AN1:AS2"/>
    <mergeCell ref="B4:C4"/>
    <mergeCell ref="D4:E4"/>
    <mergeCell ref="F4:G4"/>
    <mergeCell ref="H4:I4"/>
    <mergeCell ref="J4:K4"/>
    <mergeCell ref="B5:C6"/>
    <mergeCell ref="D5:E6"/>
    <mergeCell ref="F5:G6"/>
    <mergeCell ref="H5:I6"/>
    <mergeCell ref="J5:K6"/>
    <mergeCell ref="D8:E8"/>
    <mergeCell ref="B10:G10"/>
    <mergeCell ref="H10:K10"/>
    <mergeCell ref="AR8:AS8"/>
    <mergeCell ref="AR10:AS10"/>
    <mergeCell ref="AB4:AC4"/>
    <mergeCell ref="AE4:AF4"/>
    <mergeCell ref="AB6:AG6"/>
    <mergeCell ref="AH6:AJ6"/>
    <mergeCell ref="AK6:AL6"/>
    <mergeCell ref="AR6:AS6"/>
    <mergeCell ref="AR7:AS7"/>
    <mergeCell ref="AA10:AA11"/>
    <mergeCell ref="AB10:AB11"/>
    <mergeCell ref="AC10:AC11"/>
    <mergeCell ref="AD10:AD11"/>
    <mergeCell ref="AE10:AE11"/>
    <mergeCell ref="AF10:AF11"/>
    <mergeCell ref="AG10:AG11"/>
    <mergeCell ref="AH10:AH11"/>
    <mergeCell ref="AI10:AI11"/>
    <mergeCell ref="AJ10:AJ11"/>
    <mergeCell ref="AK10:AK11"/>
    <mergeCell ref="AL10:AL11"/>
    <mergeCell ref="AR11:AS11"/>
    <mergeCell ref="AR12:AS12"/>
    <mergeCell ref="AV34:BM34"/>
    <mergeCell ref="AV35:BM35"/>
    <mergeCell ref="AV36:BM36"/>
    <mergeCell ref="AN30:AO31"/>
    <mergeCell ref="AP30:AP31"/>
    <mergeCell ref="AQ30:AQ31"/>
    <mergeCell ref="AR30:AR31"/>
    <mergeCell ref="AS30:AS31"/>
    <mergeCell ref="AN33:AQ33"/>
    <mergeCell ref="AV33:BM33"/>
    <mergeCell ref="AN21:AO21"/>
    <mergeCell ref="AN22:AO22"/>
    <mergeCell ref="AN23:AO23"/>
    <mergeCell ref="AN24:AO24"/>
    <mergeCell ref="AN26:AO26"/>
    <mergeCell ref="AN27:AO27"/>
    <mergeCell ref="AN28:AO28"/>
    <mergeCell ref="AZ39:BF39"/>
    <mergeCell ref="BH39:BM39"/>
    <mergeCell ref="BP39:BW39"/>
    <mergeCell ref="BY39:CL39"/>
    <mergeCell ref="CM39:CN39"/>
    <mergeCell ref="CO39:CP39"/>
    <mergeCell ref="CR39:CS39"/>
    <mergeCell ref="CV39:DP39"/>
    <mergeCell ref="AN37:AN38"/>
    <mergeCell ref="AO37:AO38"/>
    <mergeCell ref="AP37:AP38"/>
    <mergeCell ref="AQ37:AQ38"/>
    <mergeCell ref="AR37:AR38"/>
    <mergeCell ref="AS37:AS38"/>
    <mergeCell ref="AV39:AX39"/>
    <mergeCell ref="B7:C7"/>
    <mergeCell ref="D7:E7"/>
    <mergeCell ref="F7:G7"/>
    <mergeCell ref="H7:I7"/>
    <mergeCell ref="J7:K7"/>
    <mergeCell ref="B8:C8"/>
    <mergeCell ref="J8:K8"/>
    <mergeCell ref="T10:T11"/>
    <mergeCell ref="U10:U11"/>
    <mergeCell ref="V10:V11"/>
    <mergeCell ref="W10:W11"/>
    <mergeCell ref="X10:X11"/>
    <mergeCell ref="Y10:Y11"/>
    <mergeCell ref="Z10:Z11"/>
    <mergeCell ref="Q10:Q11"/>
    <mergeCell ref="Q12:Q13"/>
    <mergeCell ref="M13:P13"/>
    <mergeCell ref="M14:P14"/>
    <mergeCell ref="M15:P15"/>
    <mergeCell ref="M17:P18"/>
    <mergeCell ref="M20:M21"/>
    <mergeCell ref="N20:P21"/>
    <mergeCell ref="F8:G8"/>
    <mergeCell ref="H8:I8"/>
    <mergeCell ref="M10:M11"/>
    <mergeCell ref="N10:P11"/>
    <mergeCell ref="R10:R11"/>
    <mergeCell ref="S10:S11"/>
    <mergeCell ref="M12:P12"/>
    <mergeCell ref="B11:F11"/>
    <mergeCell ref="G11:K11"/>
    <mergeCell ref="B12:K13"/>
    <mergeCell ref="B14:G14"/>
    <mergeCell ref="H14:K14"/>
    <mergeCell ref="B15:F15"/>
    <mergeCell ref="G15:K15"/>
    <mergeCell ref="AR13:AS13"/>
    <mergeCell ref="AR14:AS14"/>
    <mergeCell ref="AR15:AS15"/>
    <mergeCell ref="AN20:AO20"/>
    <mergeCell ref="AQ20:AQ21"/>
    <mergeCell ref="AR20:AR21"/>
    <mergeCell ref="AS20:AS21"/>
    <mergeCell ref="F21:F23"/>
    <mergeCell ref="G21:G23"/>
    <mergeCell ref="H21:H23"/>
    <mergeCell ref="I21:I23"/>
    <mergeCell ref="J21:J23"/>
    <mergeCell ref="K21:K23"/>
    <mergeCell ref="M22:P22"/>
    <mergeCell ref="M23:P23"/>
    <mergeCell ref="M24:P24"/>
    <mergeCell ref="M26:P26"/>
    <mergeCell ref="M27:P27"/>
    <mergeCell ref="B16:K18"/>
    <mergeCell ref="B20:H20"/>
    <mergeCell ref="I20:K20"/>
    <mergeCell ref="C21:C23"/>
    <mergeCell ref="D21:D23"/>
    <mergeCell ref="E21:E23"/>
    <mergeCell ref="B24:K35"/>
    <mergeCell ref="H36:H39"/>
    <mergeCell ref="I36:I39"/>
    <mergeCell ref="J36:J39"/>
    <mergeCell ref="K36:K39"/>
    <mergeCell ref="B41:K42"/>
    <mergeCell ref="B21:B23"/>
    <mergeCell ref="B36:B39"/>
    <mergeCell ref="C36:C39"/>
    <mergeCell ref="D36:D39"/>
    <mergeCell ref="E36:E39"/>
    <mergeCell ref="F36:F39"/>
    <mergeCell ref="G36:G39"/>
    <mergeCell ref="M28:P28"/>
    <mergeCell ref="M30:P31"/>
    <mergeCell ref="M33:P33"/>
    <mergeCell ref="M34:P34"/>
    <mergeCell ref="M35:P35"/>
    <mergeCell ref="M36:P36"/>
    <mergeCell ref="M38:P39"/>
    <mergeCell ref="CM41:CM42"/>
    <mergeCell ref="CN41:CN42"/>
    <mergeCell ref="CO41:CO42"/>
    <mergeCell ref="CP41:CP42"/>
    <mergeCell ref="CM43:CN43"/>
    <mergeCell ref="CO43:CP43"/>
    <mergeCell ref="CF41:CF42"/>
    <mergeCell ref="CG41:CG42"/>
    <mergeCell ref="CH41:CH42"/>
    <mergeCell ref="CI41:CI42"/>
    <mergeCell ref="CJ41:CJ42"/>
    <mergeCell ref="CK41:CK42"/>
    <mergeCell ref="CL41:CL42"/>
    <mergeCell ref="U41:U42"/>
    <mergeCell ref="V41:W41"/>
    <mergeCell ref="X41:AB41"/>
    <mergeCell ref="AD41:AE42"/>
    <mergeCell ref="AF41:AH41"/>
    <mergeCell ref="AI41:AL41"/>
    <mergeCell ref="AN41:AQ41"/>
    <mergeCell ref="BS42:BS43"/>
    <mergeCell ref="BT42:BT43"/>
    <mergeCell ref="BU42:BU43"/>
    <mergeCell ref="BV42:BV43"/>
    <mergeCell ref="BW42:BW43"/>
    <mergeCell ref="BY41:BY42"/>
    <mergeCell ref="BZ41:BZ42"/>
    <mergeCell ref="CA41:CA42"/>
    <mergeCell ref="CB41:CB42"/>
    <mergeCell ref="CC41:CC42"/>
    <mergeCell ref="CD41:CD42"/>
    <mergeCell ref="CE41:CE42"/>
    <mergeCell ref="M43:N43"/>
    <mergeCell ref="P43:S43"/>
    <mergeCell ref="AD43:AE43"/>
    <mergeCell ref="AG43:AH43"/>
    <mergeCell ref="AI43:AJ43"/>
    <mergeCell ref="AK43:AL43"/>
    <mergeCell ref="N41:N42"/>
    <mergeCell ref="O41:O42"/>
    <mergeCell ref="P41:P42"/>
    <mergeCell ref="Q41:Q42"/>
    <mergeCell ref="R41:R42"/>
    <mergeCell ref="S41:S42"/>
    <mergeCell ref="T41:T42"/>
    <mergeCell ref="AG42:AH42"/>
    <mergeCell ref="AJ42:AL42"/>
    <mergeCell ref="AD44:AE44"/>
    <mergeCell ref="AG44:AH44"/>
    <mergeCell ref="AD45:AE45"/>
    <mergeCell ref="AG45:AH45"/>
    <mergeCell ref="AG46:AH46"/>
    <mergeCell ref="AG49:AH49"/>
    <mergeCell ref="AG50:AH50"/>
    <mergeCell ref="AN50:AQ50"/>
    <mergeCell ref="AD46:AE46"/>
    <mergeCell ref="AD47:AE47"/>
    <mergeCell ref="AG47:AH47"/>
    <mergeCell ref="AD48:AE48"/>
    <mergeCell ref="AG48:AH48"/>
    <mergeCell ref="AD49:AE49"/>
    <mergeCell ref="AD50:AE50"/>
    <mergeCell ref="AD51:AE51"/>
    <mergeCell ref="AG51:AH51"/>
    <mergeCell ref="AD52:AE52"/>
    <mergeCell ref="AG52:AH52"/>
    <mergeCell ref="AD53:AE53"/>
    <mergeCell ref="AG53:AH53"/>
    <mergeCell ref="AG54:AH54"/>
    <mergeCell ref="AD61:AE61"/>
    <mergeCell ref="AD62:AE62"/>
    <mergeCell ref="AD63:AE63"/>
    <mergeCell ref="AD64:AE64"/>
    <mergeCell ref="AD65:AE65"/>
    <mergeCell ref="AD66:AE66"/>
    <mergeCell ref="AD67:AE67"/>
    <mergeCell ref="AD68:AE68"/>
    <mergeCell ref="AD54:AE54"/>
    <mergeCell ref="AD55:AE55"/>
    <mergeCell ref="AD56:AE56"/>
    <mergeCell ref="AD57:AE57"/>
    <mergeCell ref="AD58:AE58"/>
    <mergeCell ref="AD59:AE59"/>
    <mergeCell ref="AD60:AE60"/>
    <mergeCell ref="AG62:AH62"/>
    <mergeCell ref="AG63:AH63"/>
    <mergeCell ref="AG64:AH64"/>
    <mergeCell ref="AG65:AH65"/>
    <mergeCell ref="DP65:DP66"/>
    <mergeCell ref="AG66:AH66"/>
    <mergeCell ref="AD207:AE207"/>
    <mergeCell ref="AD208:AE208"/>
    <mergeCell ref="AD209:AE209"/>
    <mergeCell ref="AD210:AE210"/>
    <mergeCell ref="AD211:AE211"/>
    <mergeCell ref="AD212:AE212"/>
    <mergeCell ref="AD213:AE213"/>
    <mergeCell ref="AD214:AE214"/>
    <mergeCell ref="AD215:AE215"/>
    <mergeCell ref="AD216:AE216"/>
    <mergeCell ref="AD217:AE217"/>
    <mergeCell ref="AD218:AE218"/>
    <mergeCell ref="AD219:AE219"/>
    <mergeCell ref="AD220:AE220"/>
    <mergeCell ref="AD221:AE221"/>
    <mergeCell ref="AD222:AE222"/>
    <mergeCell ref="AD223:AE223"/>
    <mergeCell ref="AD224:AE224"/>
    <mergeCell ref="AD225:AE225"/>
    <mergeCell ref="AD226:AE226"/>
    <mergeCell ref="AD227:AE227"/>
    <mergeCell ref="AD228:AE228"/>
    <mergeCell ref="AD229:AE229"/>
    <mergeCell ref="AD230:AE230"/>
    <mergeCell ref="AD231:AE231"/>
    <mergeCell ref="AD232:AE232"/>
    <mergeCell ref="AD233:AE233"/>
    <mergeCell ref="AD234:AE234"/>
    <mergeCell ref="AD235:AE235"/>
    <mergeCell ref="AD236:AE236"/>
    <mergeCell ref="AD237:AE237"/>
    <mergeCell ref="AD238:AE238"/>
    <mergeCell ref="AD239:AE239"/>
    <mergeCell ref="AD240:AE240"/>
    <mergeCell ref="AD241:AE241"/>
    <mergeCell ref="AD242:AE242"/>
    <mergeCell ref="AD243:AE243"/>
    <mergeCell ref="AD244:AE244"/>
    <mergeCell ref="AD245:AE245"/>
    <mergeCell ref="AD246:AE246"/>
    <mergeCell ref="AD247:AE247"/>
    <mergeCell ref="AD248:AE248"/>
    <mergeCell ref="AD249:AE249"/>
    <mergeCell ref="AD250:AE250"/>
    <mergeCell ref="AD251:AE251"/>
    <mergeCell ref="AD252:AE252"/>
    <mergeCell ref="AD253:AE253"/>
    <mergeCell ref="AD254:AE254"/>
    <mergeCell ref="AD255:AE255"/>
    <mergeCell ref="AD305:AE305"/>
    <mergeCell ref="AD306:AE306"/>
    <mergeCell ref="AD307:AE307"/>
    <mergeCell ref="AD308:AE308"/>
    <mergeCell ref="AD309:AE309"/>
    <mergeCell ref="AD310:AE310"/>
    <mergeCell ref="AD311:AE311"/>
    <mergeCell ref="AD312:AE312"/>
    <mergeCell ref="AD313:AE313"/>
    <mergeCell ref="AD314:AE314"/>
    <mergeCell ref="AD315:AE315"/>
    <mergeCell ref="AD316:AE316"/>
    <mergeCell ref="AD317:AE317"/>
    <mergeCell ref="AD318:AE318"/>
    <mergeCell ref="AD319:AE319"/>
    <mergeCell ref="AD320:AE320"/>
    <mergeCell ref="AD321:AE321"/>
    <mergeCell ref="AD322:AE322"/>
    <mergeCell ref="AD323:AE323"/>
    <mergeCell ref="AD324:AE324"/>
    <mergeCell ref="AD325:AE325"/>
    <mergeCell ref="AD326:AE326"/>
    <mergeCell ref="AD327:AE327"/>
    <mergeCell ref="AD328:AE328"/>
    <mergeCell ref="AD329:AE329"/>
    <mergeCell ref="AD330:AE330"/>
    <mergeCell ref="AD331:AE331"/>
    <mergeCell ref="AD332:AE332"/>
    <mergeCell ref="AD340:AE340"/>
    <mergeCell ref="AD341:AE341"/>
    <mergeCell ref="AD342:AE342"/>
    <mergeCell ref="AD343:AE343"/>
    <mergeCell ref="AD333:AE333"/>
    <mergeCell ref="AD334:AE334"/>
    <mergeCell ref="AD335:AE335"/>
    <mergeCell ref="AD336:AE336"/>
    <mergeCell ref="AD337:AE337"/>
    <mergeCell ref="AD338:AE338"/>
    <mergeCell ref="AD339:AE339"/>
    <mergeCell ref="AD256:AE256"/>
    <mergeCell ref="AD257:AE257"/>
    <mergeCell ref="AD258:AE258"/>
    <mergeCell ref="AD259:AE259"/>
    <mergeCell ref="AD260:AE260"/>
    <mergeCell ref="AD261:AE261"/>
    <mergeCell ref="AD262:AE262"/>
    <mergeCell ref="AD263:AE263"/>
    <mergeCell ref="AD264:AE264"/>
    <mergeCell ref="AD265:AE265"/>
    <mergeCell ref="AD266:AE266"/>
    <mergeCell ref="AD267:AE267"/>
    <mergeCell ref="AD268:AE268"/>
    <mergeCell ref="AD269:AE269"/>
    <mergeCell ref="AD270:AE270"/>
    <mergeCell ref="AD271:AE271"/>
    <mergeCell ref="AD272:AE272"/>
    <mergeCell ref="AD273:AE273"/>
    <mergeCell ref="AD274:AE274"/>
    <mergeCell ref="AD275:AE275"/>
    <mergeCell ref="AD276:AE276"/>
    <mergeCell ref="AD277:AE277"/>
    <mergeCell ref="AD278:AE278"/>
    <mergeCell ref="AD279:AE279"/>
    <mergeCell ref="AD280:AE280"/>
    <mergeCell ref="AD281:AE281"/>
    <mergeCell ref="AD282:AE282"/>
    <mergeCell ref="AD283:AE283"/>
    <mergeCell ref="AD284:AE284"/>
    <mergeCell ref="AD285:AE285"/>
    <mergeCell ref="AD286:AE286"/>
    <mergeCell ref="AD287:AE287"/>
    <mergeCell ref="AD288:AE288"/>
    <mergeCell ref="AD289:AE289"/>
    <mergeCell ref="AD290:AE290"/>
    <mergeCell ref="AD291:AE291"/>
    <mergeCell ref="AD292:AE292"/>
    <mergeCell ref="AD293:AE293"/>
    <mergeCell ref="AD294:AE294"/>
    <mergeCell ref="AD295:AE295"/>
    <mergeCell ref="AD296:AE296"/>
    <mergeCell ref="AD297:AE297"/>
    <mergeCell ref="AD298:AE298"/>
    <mergeCell ref="AD299:AE299"/>
    <mergeCell ref="AD300:AE300"/>
    <mergeCell ref="AD301:AE301"/>
    <mergeCell ref="AD302:AE302"/>
    <mergeCell ref="AD303:AE303"/>
    <mergeCell ref="AD304:AE304"/>
    <mergeCell ref="AG313:AH313"/>
    <mergeCell ref="AG314:AH314"/>
    <mergeCell ref="AG315:AH315"/>
    <mergeCell ref="AG316:AH316"/>
    <mergeCell ref="AG317:AH317"/>
    <mergeCell ref="AG318:AH318"/>
    <mergeCell ref="AG319:AH319"/>
    <mergeCell ref="AG320:AH320"/>
    <mergeCell ref="AG321:AH321"/>
    <mergeCell ref="AG322:AH322"/>
    <mergeCell ref="AG323:AH323"/>
    <mergeCell ref="AG324:AH324"/>
    <mergeCell ref="AG325:AH325"/>
    <mergeCell ref="AG326:AH326"/>
    <mergeCell ref="AG327:AH327"/>
    <mergeCell ref="AG328:AH328"/>
    <mergeCell ref="AG329:AH329"/>
    <mergeCell ref="AG330:AH330"/>
    <mergeCell ref="AG331:AH331"/>
    <mergeCell ref="AG332:AH332"/>
    <mergeCell ref="AG333:AH333"/>
    <mergeCell ref="AG341:AH341"/>
    <mergeCell ref="AG342:AH342"/>
    <mergeCell ref="AG343:AH343"/>
    <mergeCell ref="AG334:AH334"/>
    <mergeCell ref="AG335:AH335"/>
    <mergeCell ref="AG336:AH336"/>
    <mergeCell ref="AG337:AH337"/>
    <mergeCell ref="AG338:AH338"/>
    <mergeCell ref="AG339:AH339"/>
    <mergeCell ref="AG340:AH340"/>
    <mergeCell ref="AG264:AH264"/>
    <mergeCell ref="AG265:AH265"/>
    <mergeCell ref="AG266:AH266"/>
    <mergeCell ref="AG267:AH267"/>
    <mergeCell ref="AG268:AH268"/>
    <mergeCell ref="AG269:AH269"/>
    <mergeCell ref="AG270:AH270"/>
    <mergeCell ref="AG271:AH271"/>
    <mergeCell ref="AG272:AH272"/>
    <mergeCell ref="AG273:AH273"/>
    <mergeCell ref="AG274:AH274"/>
    <mergeCell ref="AG275:AH275"/>
    <mergeCell ref="AG276:AH276"/>
    <mergeCell ref="AG277:AH277"/>
    <mergeCell ref="AG278:AH278"/>
    <mergeCell ref="AG279:AH279"/>
    <mergeCell ref="AG280:AH280"/>
    <mergeCell ref="AG281:AH281"/>
    <mergeCell ref="AG282:AH282"/>
    <mergeCell ref="AG283:AH283"/>
    <mergeCell ref="AG284:AH284"/>
    <mergeCell ref="AG285:AH285"/>
    <mergeCell ref="AG286:AH286"/>
    <mergeCell ref="AG287:AH287"/>
    <mergeCell ref="AG288:AH288"/>
    <mergeCell ref="AG289:AH289"/>
    <mergeCell ref="AG290:AH290"/>
    <mergeCell ref="AG291:AH291"/>
    <mergeCell ref="AG292:AH292"/>
    <mergeCell ref="AG293:AH293"/>
    <mergeCell ref="AG294:AH294"/>
    <mergeCell ref="AG295:AH295"/>
    <mergeCell ref="AG296:AH296"/>
    <mergeCell ref="AG297:AH297"/>
    <mergeCell ref="AG298:AH298"/>
    <mergeCell ref="AG299:AH299"/>
    <mergeCell ref="AG300:AH300"/>
    <mergeCell ref="AG301:AH301"/>
    <mergeCell ref="AG302:AH302"/>
    <mergeCell ref="AG303:AH303"/>
    <mergeCell ref="AG304:AH304"/>
    <mergeCell ref="AG305:AH305"/>
    <mergeCell ref="AG306:AH306"/>
    <mergeCell ref="AG307:AH307"/>
    <mergeCell ref="AG308:AH308"/>
    <mergeCell ref="AG309:AH309"/>
    <mergeCell ref="AG310:AH310"/>
    <mergeCell ref="AG311:AH311"/>
    <mergeCell ref="AG312:AH312"/>
    <mergeCell ref="AG55:AH55"/>
    <mergeCell ref="AG56:AH56"/>
    <mergeCell ref="AG57:AH57"/>
    <mergeCell ref="AG58:AH58"/>
    <mergeCell ref="AG59:AH59"/>
    <mergeCell ref="AG60:AH60"/>
    <mergeCell ref="AG61:AH61"/>
    <mergeCell ref="AG72:AH72"/>
    <mergeCell ref="AG73:AH73"/>
    <mergeCell ref="AG74:AH74"/>
    <mergeCell ref="AG75:AH75"/>
    <mergeCell ref="AG76:AH76"/>
    <mergeCell ref="AG77:AH77"/>
    <mergeCell ref="BP77:BQ77"/>
    <mergeCell ref="AG67:AH67"/>
    <mergeCell ref="AG68:AH68"/>
    <mergeCell ref="AD69:AE69"/>
    <mergeCell ref="AG69:AH69"/>
    <mergeCell ref="AD70:AE70"/>
    <mergeCell ref="AG70:AH70"/>
    <mergeCell ref="AG71:AH71"/>
    <mergeCell ref="AD71:AE71"/>
    <mergeCell ref="AD72:AE72"/>
    <mergeCell ref="AD73:AE73"/>
    <mergeCell ref="AD74:AE74"/>
    <mergeCell ref="AD75:AE75"/>
    <mergeCell ref="AD76:AE76"/>
    <mergeCell ref="AD77:AE77"/>
    <mergeCell ref="AD78:AE78"/>
    <mergeCell ref="AG78:AH78"/>
    <mergeCell ref="AG79:AH79"/>
    <mergeCell ref="AG80:AH80"/>
    <mergeCell ref="AG81:AH81"/>
    <mergeCell ref="AG82:AH82"/>
    <mergeCell ref="AG83:AH83"/>
    <mergeCell ref="AD86:AE86"/>
    <mergeCell ref="AD87:AE87"/>
    <mergeCell ref="AD88:AE88"/>
    <mergeCell ref="AD89:AE89"/>
    <mergeCell ref="AD90:AE90"/>
    <mergeCell ref="AD91:AE91"/>
    <mergeCell ref="AD92:AE92"/>
    <mergeCell ref="AD79:AE79"/>
    <mergeCell ref="AD80:AE80"/>
    <mergeCell ref="AD81:AE81"/>
    <mergeCell ref="AD82:AE82"/>
    <mergeCell ref="AD83:AE83"/>
    <mergeCell ref="AD84:AE84"/>
    <mergeCell ref="AD85:AE85"/>
    <mergeCell ref="AG84:AH84"/>
    <mergeCell ref="AG85:AH85"/>
    <mergeCell ref="AG86:AH86"/>
    <mergeCell ref="AG87:AH87"/>
    <mergeCell ref="AG88:AH88"/>
    <mergeCell ref="AG89:AH89"/>
    <mergeCell ref="AG90:AH90"/>
    <mergeCell ref="AG91:AH91"/>
    <mergeCell ref="AG92:AH92"/>
    <mergeCell ref="AD93:AE93"/>
    <mergeCell ref="AG93:AH93"/>
    <mergeCell ref="AD94:AE94"/>
    <mergeCell ref="AG94:AH94"/>
    <mergeCell ref="AG95:AH95"/>
    <mergeCell ref="AD95:AE95"/>
    <mergeCell ref="AD96:AE96"/>
    <mergeCell ref="AD97:AE97"/>
    <mergeCell ref="AD98:AE98"/>
    <mergeCell ref="AD99:AE99"/>
    <mergeCell ref="AD100:AE100"/>
    <mergeCell ref="AD101:AE101"/>
    <mergeCell ref="AG96:AH96"/>
    <mergeCell ref="AG97:AH97"/>
    <mergeCell ref="AG98:AH98"/>
    <mergeCell ref="AG99:AH99"/>
    <mergeCell ref="AG100:AH100"/>
    <mergeCell ref="AG101:AH101"/>
    <mergeCell ref="AG102:AH102"/>
    <mergeCell ref="AD102:AE102"/>
    <mergeCell ref="AD103:AE103"/>
    <mergeCell ref="AD104:AE104"/>
    <mergeCell ref="AD105:AE105"/>
    <mergeCell ref="AD106:AE106"/>
    <mergeCell ref="AD107:AE107"/>
    <mergeCell ref="AD108:AE108"/>
    <mergeCell ref="AG103:AH103"/>
    <mergeCell ref="AG104:AH104"/>
    <mergeCell ref="AG105:AH105"/>
    <mergeCell ref="AG106:AH106"/>
    <mergeCell ref="AG107:AH107"/>
    <mergeCell ref="AG108:AH108"/>
    <mergeCell ref="AG109:AH109"/>
    <mergeCell ref="AG110:AH110"/>
    <mergeCell ref="AG111:AH111"/>
    <mergeCell ref="AG112:AH112"/>
    <mergeCell ref="AG113:AH113"/>
    <mergeCell ref="AG114:AH114"/>
    <mergeCell ref="AG115:AH115"/>
    <mergeCell ref="AG116:AH116"/>
    <mergeCell ref="AD109:AE109"/>
    <mergeCell ref="AD110:AE110"/>
    <mergeCell ref="AD111:AE111"/>
    <mergeCell ref="AD112:AE112"/>
    <mergeCell ref="AD113:AE113"/>
    <mergeCell ref="AD114:AE114"/>
    <mergeCell ref="AD115:AE115"/>
    <mergeCell ref="AD116:AE116"/>
    <mergeCell ref="AD117:AE117"/>
    <mergeCell ref="AD118:AE118"/>
    <mergeCell ref="AD119:AE119"/>
    <mergeCell ref="AD120:AE120"/>
    <mergeCell ref="AD121:AE121"/>
    <mergeCell ref="AD122:AE122"/>
    <mergeCell ref="AD123:AE123"/>
    <mergeCell ref="AD124:AE124"/>
    <mergeCell ref="AD125:AE125"/>
    <mergeCell ref="AD126:AE126"/>
    <mergeCell ref="AD127:AE127"/>
    <mergeCell ref="AD128:AE128"/>
    <mergeCell ref="AD129:AE129"/>
    <mergeCell ref="AD130:AE130"/>
    <mergeCell ref="AD131:AE131"/>
    <mergeCell ref="AD132:AE132"/>
    <mergeCell ref="AD133:AE133"/>
    <mergeCell ref="AD134:AE134"/>
    <mergeCell ref="AD135:AE135"/>
    <mergeCell ref="AD136:AE136"/>
    <mergeCell ref="AD137:AE137"/>
    <mergeCell ref="AD138:AE138"/>
    <mergeCell ref="AD139:AE139"/>
    <mergeCell ref="AD140:AE140"/>
    <mergeCell ref="AD141:AE141"/>
    <mergeCell ref="AD142:AE142"/>
    <mergeCell ref="AD143:AE143"/>
    <mergeCell ref="AD144:AE144"/>
    <mergeCell ref="AD145:AE145"/>
    <mergeCell ref="AD146:AE146"/>
    <mergeCell ref="AD147:AE147"/>
    <mergeCell ref="AD148:AE148"/>
    <mergeCell ref="AD149:AE149"/>
    <mergeCell ref="AD150:AE150"/>
    <mergeCell ref="AD151:AE151"/>
    <mergeCell ref="AD152:AE152"/>
    <mergeCell ref="AD153:AE153"/>
    <mergeCell ref="AD154:AE154"/>
    <mergeCell ref="AD155:AE155"/>
    <mergeCell ref="AD156:AE156"/>
    <mergeCell ref="AD157:AE157"/>
    <mergeCell ref="AG117:AH117"/>
    <mergeCell ref="AG118:AH118"/>
    <mergeCell ref="AG119:AH119"/>
    <mergeCell ref="AG120:AH120"/>
    <mergeCell ref="AG121:AH121"/>
    <mergeCell ref="AG122:AH122"/>
    <mergeCell ref="AG123:AH123"/>
    <mergeCell ref="AG124:AH124"/>
    <mergeCell ref="AG125:AH125"/>
    <mergeCell ref="AG126:AH126"/>
    <mergeCell ref="AG127:AH127"/>
    <mergeCell ref="AG128:AH128"/>
    <mergeCell ref="AG129:AH129"/>
    <mergeCell ref="AG130:AH130"/>
    <mergeCell ref="AG131:AH131"/>
    <mergeCell ref="AG132:AH132"/>
    <mergeCell ref="AG133:AH133"/>
    <mergeCell ref="AG134:AH134"/>
    <mergeCell ref="AG135:AH135"/>
    <mergeCell ref="AG136:AH136"/>
    <mergeCell ref="AG137:AH137"/>
    <mergeCell ref="AG138:AH138"/>
    <mergeCell ref="AG139:AH139"/>
    <mergeCell ref="AG140:AH140"/>
    <mergeCell ref="AG141:AH141"/>
    <mergeCell ref="AG142:AH142"/>
    <mergeCell ref="AG143:AH143"/>
    <mergeCell ref="AG144:AH144"/>
    <mergeCell ref="AG145:AH145"/>
    <mergeCell ref="AG146:AH146"/>
    <mergeCell ref="AG147:AH147"/>
    <mergeCell ref="AG148:AH148"/>
    <mergeCell ref="AG149:AH149"/>
    <mergeCell ref="AG150:AH150"/>
    <mergeCell ref="AG151:AH151"/>
    <mergeCell ref="AG152:AH152"/>
    <mergeCell ref="AG153:AH153"/>
    <mergeCell ref="AG154:AH154"/>
    <mergeCell ref="AG155:AH155"/>
    <mergeCell ref="AG156:AH156"/>
    <mergeCell ref="AG157:AH157"/>
    <mergeCell ref="AG158:AH158"/>
    <mergeCell ref="AG159:AH159"/>
    <mergeCell ref="AG160:AH160"/>
    <mergeCell ref="AG161:AH161"/>
    <mergeCell ref="AG162:AH162"/>
    <mergeCell ref="AG163:AH163"/>
    <mergeCell ref="AG164:AH164"/>
    <mergeCell ref="AG165:AH165"/>
    <mergeCell ref="AD158:AE158"/>
    <mergeCell ref="AD159:AE159"/>
    <mergeCell ref="AD160:AE160"/>
    <mergeCell ref="AD161:AE161"/>
    <mergeCell ref="AD162:AE162"/>
    <mergeCell ref="AD163:AE163"/>
    <mergeCell ref="AD164:AE164"/>
    <mergeCell ref="AD165:AE165"/>
    <mergeCell ref="AD166:AE166"/>
    <mergeCell ref="AD167:AE167"/>
    <mergeCell ref="AD168:AE168"/>
    <mergeCell ref="AD169:AE169"/>
    <mergeCell ref="AD170:AE170"/>
    <mergeCell ref="AD171:AE171"/>
    <mergeCell ref="AD172:AE172"/>
    <mergeCell ref="AD173:AE173"/>
    <mergeCell ref="AD174:AE174"/>
    <mergeCell ref="AD175:AE175"/>
    <mergeCell ref="AD176:AE176"/>
    <mergeCell ref="AD177:AE177"/>
    <mergeCell ref="AD178:AE178"/>
    <mergeCell ref="AD179:AE179"/>
    <mergeCell ref="AD180:AE180"/>
    <mergeCell ref="AD181:AE181"/>
    <mergeCell ref="AD182:AE182"/>
    <mergeCell ref="AD183:AE183"/>
    <mergeCell ref="AD184:AE184"/>
    <mergeCell ref="AD185:AE185"/>
    <mergeCell ref="AD186:AE186"/>
    <mergeCell ref="AD187:AE187"/>
    <mergeCell ref="AD188:AE188"/>
    <mergeCell ref="AD189:AE189"/>
    <mergeCell ref="AD190:AE190"/>
    <mergeCell ref="AD191:AE191"/>
    <mergeCell ref="AD192:AE192"/>
    <mergeCell ref="AD193:AE193"/>
    <mergeCell ref="AD194:AE194"/>
    <mergeCell ref="AD195:AE195"/>
    <mergeCell ref="AD196:AE196"/>
    <mergeCell ref="AD197:AE197"/>
    <mergeCell ref="AD198:AE198"/>
    <mergeCell ref="AD199:AE199"/>
    <mergeCell ref="AD200:AE200"/>
    <mergeCell ref="AD201:AE201"/>
    <mergeCell ref="AD202:AE202"/>
    <mergeCell ref="AD203:AE203"/>
    <mergeCell ref="AD204:AE204"/>
    <mergeCell ref="AD205:AE205"/>
    <mergeCell ref="AD206:AE206"/>
    <mergeCell ref="AG166:AH166"/>
    <mergeCell ref="AG167:AH167"/>
    <mergeCell ref="AG168:AH168"/>
    <mergeCell ref="AG169:AH169"/>
    <mergeCell ref="AG170:AH170"/>
    <mergeCell ref="AG171:AH171"/>
    <mergeCell ref="AG172:AH172"/>
    <mergeCell ref="AG173:AH173"/>
    <mergeCell ref="AG174:AH174"/>
    <mergeCell ref="AG175:AH175"/>
    <mergeCell ref="AG176:AH176"/>
    <mergeCell ref="AG177:AH177"/>
    <mergeCell ref="AG178:AH178"/>
    <mergeCell ref="AG179:AH179"/>
    <mergeCell ref="AG180:AH180"/>
    <mergeCell ref="AG181:AH181"/>
    <mergeCell ref="AG182:AH182"/>
    <mergeCell ref="AG183:AH183"/>
    <mergeCell ref="AG184:AH184"/>
    <mergeCell ref="AG185:AH185"/>
    <mergeCell ref="AG186:AH186"/>
    <mergeCell ref="AG187:AH187"/>
    <mergeCell ref="AG188:AH188"/>
    <mergeCell ref="AG189:AH189"/>
    <mergeCell ref="AG190:AH190"/>
    <mergeCell ref="AG191:AH191"/>
    <mergeCell ref="AG192:AH192"/>
    <mergeCell ref="AG193:AH193"/>
    <mergeCell ref="AG194:AH194"/>
    <mergeCell ref="AG195:AH195"/>
    <mergeCell ref="AG196:AH196"/>
    <mergeCell ref="AG197:AH197"/>
    <mergeCell ref="AG198:AH198"/>
    <mergeCell ref="AG199:AH199"/>
    <mergeCell ref="AG200:AH200"/>
    <mergeCell ref="AG201:AH201"/>
    <mergeCell ref="AG202:AH202"/>
    <mergeCell ref="AG203:AH203"/>
    <mergeCell ref="AG204:AH204"/>
    <mergeCell ref="AG205:AH205"/>
    <mergeCell ref="AG206:AH206"/>
    <mergeCell ref="AG207:AH207"/>
    <mergeCell ref="AG208:AH208"/>
    <mergeCell ref="AG209:AH209"/>
    <mergeCell ref="AG210:AH210"/>
    <mergeCell ref="AG211:AH211"/>
    <mergeCell ref="AG212:AH212"/>
    <mergeCell ref="AG213:AH213"/>
    <mergeCell ref="AG214:AH214"/>
    <mergeCell ref="AG215:AH215"/>
    <mergeCell ref="AG216:AH216"/>
    <mergeCell ref="AG217:AH217"/>
    <mergeCell ref="AG218:AH218"/>
    <mergeCell ref="AG219:AH219"/>
    <mergeCell ref="AG220:AH220"/>
    <mergeCell ref="AG221:AH221"/>
    <mergeCell ref="AG222:AH222"/>
    <mergeCell ref="AG223:AH223"/>
    <mergeCell ref="AG224:AH224"/>
    <mergeCell ref="AG225:AH225"/>
    <mergeCell ref="AG226:AH226"/>
    <mergeCell ref="AG227:AH227"/>
    <mergeCell ref="AG228:AH228"/>
    <mergeCell ref="AG229:AH229"/>
    <mergeCell ref="AG230:AH230"/>
    <mergeCell ref="AG231:AH231"/>
    <mergeCell ref="AG232:AH232"/>
    <mergeCell ref="AG233:AH233"/>
    <mergeCell ref="AG234:AH234"/>
    <mergeCell ref="AG235:AH235"/>
    <mergeCell ref="AG236:AH236"/>
    <mergeCell ref="AG237:AH237"/>
    <mergeCell ref="AG238:AH238"/>
    <mergeCell ref="AG239:AH239"/>
    <mergeCell ref="AG240:AH240"/>
    <mergeCell ref="AG241:AH241"/>
    <mergeCell ref="AG242:AH242"/>
    <mergeCell ref="AG243:AH243"/>
    <mergeCell ref="AG244:AH244"/>
    <mergeCell ref="AG245:AH245"/>
    <mergeCell ref="AG246:AH246"/>
    <mergeCell ref="AG247:AH247"/>
    <mergeCell ref="AG248:AH248"/>
    <mergeCell ref="AG249:AH249"/>
    <mergeCell ref="AG250:AH250"/>
    <mergeCell ref="AG251:AH251"/>
    <mergeCell ref="AG252:AH252"/>
    <mergeCell ref="AG253:AH253"/>
    <mergeCell ref="AG254:AH254"/>
    <mergeCell ref="AG255:AH255"/>
    <mergeCell ref="AG256:AH256"/>
    <mergeCell ref="AG257:AH257"/>
    <mergeCell ref="AG258:AH258"/>
    <mergeCell ref="AG259:AH259"/>
    <mergeCell ref="AG260:AH260"/>
    <mergeCell ref="AG261:AH261"/>
    <mergeCell ref="AG262:AH262"/>
    <mergeCell ref="AG263:AH263"/>
  </mergeCells>
  <conditionalFormatting sqref="AP6:AQ8 AP10:AQ15">
    <cfRule type="cellIs" dxfId="1" priority="1" operator="lessThan">
      <formula>"-10%"</formula>
    </cfRule>
  </conditionalFormatting>
  <conditionalFormatting sqref="AF44:AF343">
    <cfRule type="cellIs" dxfId="2" priority="2" operator="lessThan">
      <formula>0</formula>
    </cfRule>
  </conditionalFormatting>
  <conditionalFormatting sqref="AF44:AF343">
    <cfRule type="cellIs" dxfId="3" priority="3" operator="greaterThanOrEqual">
      <formula>0</formula>
    </cfRule>
  </conditionalFormatting>
  <conditionalFormatting sqref="M44:M343">
    <cfRule type="containsBlanks" dxfId="4" priority="4">
      <formula>LEN(TRIM(M44))=0</formula>
    </cfRule>
  </conditionalFormatting>
  <conditionalFormatting sqref="M44:M343">
    <cfRule type="expression" dxfId="5" priority="5">
      <formula>IF(BA44="AÇÃO",TRUE)</formula>
    </cfRule>
  </conditionalFormatting>
  <conditionalFormatting sqref="M44:M343">
    <cfRule type="expression" dxfId="6" priority="6">
      <formula>IF(BA44="FII",TRUE)</formula>
    </cfRule>
  </conditionalFormatting>
  <conditionalFormatting sqref="B21:K21">
    <cfRule type="cellIs" dxfId="7" priority="7" operator="lessThan">
      <formula>0</formula>
    </cfRule>
  </conditionalFormatting>
  <conditionalFormatting sqref="B21:K21">
    <cfRule type="cellIs" dxfId="8" priority="8" operator="greaterThanOrEqual">
      <formula>0</formula>
    </cfRule>
  </conditionalFormatting>
  <conditionalFormatting sqref="R30:AL31 R33:AL36 R38:AL39">
    <cfRule type="expression" dxfId="9" priority="9">
      <formula>AND(R30&lt;0,OR(R$21=$CZ$60,R$21=$CZ$61,R$21=$CZ$62))</formula>
    </cfRule>
  </conditionalFormatting>
  <conditionalFormatting sqref="R30:AL31 R33:AL36 R38:AL39">
    <cfRule type="expression" dxfId="10" priority="10">
      <formula>OR(R$21=$CZ$60,R$21=$CZ$61,R$21=$CZ$62)</formula>
    </cfRule>
  </conditionalFormatting>
  <conditionalFormatting sqref="R38:AF39">
    <cfRule type="expression" dxfId="7" priority="11">
      <formula>IF((len(to_text(R38))&gt;1)*(MID(to_text(R38),1,1)="-"), TRUE , FALSE)</formula>
    </cfRule>
  </conditionalFormatting>
  <conditionalFormatting sqref="R30:AL31 R33:AL36 R38:AL39">
    <cfRule type="expression" dxfId="7" priority="12">
      <formula>IF(R30&lt;0,TRUE,FALSE)</formula>
    </cfRule>
  </conditionalFormatting>
  <conditionalFormatting sqref="R30:AL31 R33:AL36 R38:AL39">
    <cfRule type="expression" dxfId="8" priority="13">
      <formula>IF(R30&gt;=0,TRUE,FALSE)</formula>
    </cfRule>
  </conditionalFormatting>
  <conditionalFormatting sqref="Y44:Y343">
    <cfRule type="cellIs" dxfId="11" priority="14" operator="equal">
      <formula>0</formula>
    </cfRule>
  </conditionalFormatting>
  <conditionalFormatting sqref="Y44:Y343">
    <cfRule type="cellIs" dxfId="12" priority="15" operator="lessThanOrEqual">
      <formula>"-10%"</formula>
    </cfRule>
  </conditionalFormatting>
  <conditionalFormatting sqref="Y44:Y343">
    <cfRule type="cellIs" dxfId="13" priority="16" operator="lessThanOrEqual">
      <formula>"-5%"</formula>
    </cfRule>
  </conditionalFormatting>
  <conditionalFormatting sqref="X44:Y343 AB44:AB343">
    <cfRule type="cellIs" dxfId="14" priority="17" operator="lessThan">
      <formula>0</formula>
    </cfRule>
  </conditionalFormatting>
  <conditionalFormatting sqref="X44:Y343 AB44:AB343">
    <cfRule type="cellIs" dxfId="15" priority="18" operator="greaterThan">
      <formula>0</formula>
    </cfRule>
  </conditionalFormatting>
  <conditionalFormatting sqref="N44:N343">
    <cfRule type="cellIs" dxfId="11" priority="19" operator="equal">
      <formula>0</formula>
    </cfRule>
  </conditionalFormatting>
  <conditionalFormatting sqref="N44:N343">
    <cfRule type="cellIs" dxfId="16" priority="20" operator="equal">
      <formula>1</formula>
    </cfRule>
  </conditionalFormatting>
  <conditionalFormatting sqref="N44:N343">
    <cfRule type="cellIs" dxfId="17" priority="21" operator="equal">
      <formula>2</formula>
    </cfRule>
  </conditionalFormatting>
  <conditionalFormatting sqref="N44:N343">
    <cfRule type="cellIs" dxfId="18" priority="22" operator="greaterThanOrEqual">
      <formula>3</formula>
    </cfRule>
  </conditionalFormatting>
  <conditionalFormatting sqref="S44:S343">
    <cfRule type="expression" dxfId="14" priority="23">
      <formula>IF(BE44&lt;0,TRUE)</formula>
    </cfRule>
  </conditionalFormatting>
  <conditionalFormatting sqref="S44:S343">
    <cfRule type="expression" dxfId="15" priority="24">
      <formula>IF(BE44&gt;0,TRUE)</formula>
    </cfRule>
  </conditionalFormatting>
  <conditionalFormatting sqref="B44:K343">
    <cfRule type="colorScale" priority="25">
      <colorScale>
        <cfvo type="min"/>
        <cfvo type="percentile" val="50"/>
        <cfvo type="max"/>
        <color rgb="FF57BB8A"/>
        <color rgb="FFFFFFFF"/>
        <color rgb="FFE67C73"/>
      </colorScale>
    </cfRule>
  </conditionalFormatting>
  <conditionalFormatting sqref="B44:K343">
    <cfRule type="cellIs" dxfId="19" priority="26" operator="lessThan">
      <formula>5</formula>
    </cfRule>
  </conditionalFormatting>
  <conditionalFormatting sqref="B44:K343">
    <cfRule type="cellIs" dxfId="20" priority="27" operator="greaterThanOrEqual">
      <formula>5</formula>
    </cfRule>
  </conditionalFormatting>
  <conditionalFormatting sqref="AC44:AC343">
    <cfRule type="containsBlanks" dxfId="21" priority="28">
      <formula>LEN(TRIM(AC44))=0</formula>
    </cfRule>
  </conditionalFormatting>
  <conditionalFormatting sqref="AC44:AC343">
    <cfRule type="expression" dxfId="22" priority="29">
      <formula>IF(BB44&gt;0,TRUE)</formula>
    </cfRule>
  </conditionalFormatting>
  <conditionalFormatting sqref="AC44:AC343">
    <cfRule type="expression" dxfId="2" priority="30">
      <formula>IF(BB44&lt;=0,TRUE)</formula>
    </cfRule>
  </conditionalFormatting>
  <conditionalFormatting sqref="AC44:AC343">
    <cfRule type="expression" dxfId="23" priority="31">
      <formula>IF(BB44&lt;=0.05,TRUE)</formula>
    </cfRule>
  </conditionalFormatting>
  <conditionalFormatting sqref="AC44:AC343">
    <cfRule type="expression" dxfId="12" priority="32">
      <formula>IF(BB44&lt;=0.1,TRUE)</formula>
    </cfRule>
  </conditionalFormatting>
  <conditionalFormatting sqref="B11:K11 B15 G15">
    <cfRule type="expression" dxfId="8" priority="33">
      <formula>IF(#REF!&gt;0,TRUE)</formula>
    </cfRule>
  </conditionalFormatting>
  <conditionalFormatting sqref="B11:K11 B15 G15">
    <cfRule type="expression" dxfId="24" priority="34">
      <formula>IF(#REF!&lt;0,TRUE)</formula>
    </cfRule>
  </conditionalFormatting>
  <conditionalFormatting sqref="B15:K15">
    <cfRule type="expression" dxfId="8" priority="35">
      <formula>IF(#REF!&gt;=0,TRUE)</formula>
    </cfRule>
  </conditionalFormatting>
  <conditionalFormatting sqref="B15:K15">
    <cfRule type="expression" dxfId="24" priority="36">
      <formula>IF(#REF!&lt;0,TRUE)</formula>
    </cfRule>
  </conditionalFormatting>
  <conditionalFormatting sqref="V44:V343">
    <cfRule type="expression" dxfId="2" priority="37">
      <formula>IF(BD44&lt;0,TRUE)</formula>
    </cfRule>
  </conditionalFormatting>
  <conditionalFormatting sqref="V44:V343">
    <cfRule type="expression" dxfId="22" priority="38">
      <formula>IF(BD44&gt;=0,TRUE)</formula>
    </cfRule>
  </conditionalFormatting>
  <conditionalFormatting sqref="M44:M343">
    <cfRule type="expression" dxfId="25" priority="39">
      <formula>IF(BA44="ETF",TRUE)</formula>
    </cfRule>
  </conditionalFormatting>
  <conditionalFormatting sqref="M44:M343">
    <cfRule type="expression" dxfId="26" priority="40">
      <formula>IF(BA44="BDR",TRUE)</formula>
    </cfRule>
  </conditionalFormatting>
  <conditionalFormatting sqref="M44:M343">
    <cfRule type="expression" dxfId="27" priority="41">
      <formula>IF(BA44="OPÇÃO",TRUE)</formula>
    </cfRule>
  </conditionalFormatting>
  <conditionalFormatting sqref="M44:M343">
    <cfRule type="expression" dxfId="28" priority="42">
      <formula>IF(BA44="STOCK",TRUE)</formula>
    </cfRule>
  </conditionalFormatting>
  <conditionalFormatting sqref="M44:M343">
    <cfRule type="expression" dxfId="29" priority="43">
      <formula>IF(BA44="REIT",TRUE)</formula>
    </cfRule>
  </conditionalFormatting>
  <conditionalFormatting sqref="M44:M343">
    <cfRule type="expression" dxfId="1" priority="44">
      <formula>IF(BA44="CRIPTO",TRUE)</formula>
    </cfRule>
  </conditionalFormatting>
  <conditionalFormatting sqref="R12:AL15">
    <cfRule type="expression" dxfId="30" priority="45">
      <formula>OR(R$10="RENDA FIXA",R$10="RENDA VARIÁVEL",R$10="FALTA BOOK")</formula>
    </cfRule>
  </conditionalFormatting>
  <conditionalFormatting sqref="R17:AL18">
    <cfRule type="expression" dxfId="9" priority="46">
      <formula>AND(R$17&lt;0,OR(R$10="RENDA VARIÁVEL",R$10="RENDA FIXA",R$10="FALTA BOOK"))</formula>
    </cfRule>
  </conditionalFormatting>
  <conditionalFormatting sqref="R17:AL18">
    <cfRule type="expression" dxfId="31" priority="47">
      <formula>AND(R$17&gt;=0,OR(R$10="RENDA VARIÁVEL",R$10="RENDA FIXA",R$10="FALTA BOOK"))</formula>
    </cfRule>
  </conditionalFormatting>
  <conditionalFormatting sqref="R17:AL18">
    <cfRule type="cellIs" dxfId="7" priority="48" operator="lessThan">
      <formula>0</formula>
    </cfRule>
  </conditionalFormatting>
  <conditionalFormatting sqref="R17:AL18">
    <cfRule type="cellIs" dxfId="32" priority="49" operator="greaterThanOrEqual">
      <formula>0</formula>
    </cfRule>
  </conditionalFormatting>
  <conditionalFormatting sqref="M44:M343">
    <cfRule type="notContainsBlanks" dxfId="33" priority="50">
      <formula>LEN(TRIM(M44))&gt;0</formula>
    </cfRule>
  </conditionalFormatting>
  <conditionalFormatting sqref="AJ42">
    <cfRule type="expression" dxfId="34" priority="51">
      <formula>($AV$18)</formula>
    </cfRule>
  </conditionalFormatting>
  <conditionalFormatting sqref="R22:AL24 R26:AL28">
    <cfRule type="expression" dxfId="35" priority="52">
      <formula>OR(R$21=$CZ$60,R$21=$CZ$61,R$21=$CZ$62)</formula>
    </cfRule>
  </conditionalFormatting>
  <conditionalFormatting sqref="S8:T8 W8:AA8 AD8:AG8 AJ8:AL8">
    <cfRule type="cellIs" dxfId="36" priority="53" operator="lessThan">
      <formula>0</formula>
    </cfRule>
  </conditionalFormatting>
  <conditionalFormatting sqref="S8:T8 W8:AA8 AD8:AG8 AJ8:AL8">
    <cfRule type="cellIs" dxfId="37" priority="54" operator="greaterThanOrEqual">
      <formula>0</formula>
    </cfRule>
  </conditionalFormatting>
  <conditionalFormatting sqref="AP6:AQ8 AP10:AQ15">
    <cfRule type="cellIs" dxfId="14" priority="55" operator="lessThan">
      <formula>0</formula>
    </cfRule>
  </conditionalFormatting>
  <conditionalFormatting sqref="Z44:Z343">
    <cfRule type="expression" dxfId="14" priority="56">
      <formula>if($BC44&lt;0,TRUE)</formula>
    </cfRule>
  </conditionalFormatting>
  <conditionalFormatting sqref="Z44:Z343">
    <cfRule type="expression" dxfId="15" priority="57">
      <formula>IF($BC44&gt;0,TRUE)</formula>
    </cfRule>
  </conditionalFormatting>
  <conditionalFormatting sqref="R4 U4 X4 AA4 AJ4 AD4 AG4 AJ4">
    <cfRule type="expression" dxfId="38" priority="58">
      <formula>NOT($AV$11)</formula>
    </cfRule>
  </conditionalFormatting>
  <conditionalFormatting sqref="AA44:AA300">
    <cfRule type="expression" dxfId="15" priority="59">
      <formula>IF(AA44&lt;&gt;"0,00",TRUE)</formula>
    </cfRule>
  </conditionalFormatting>
  <dataValidations>
    <dataValidation type="list" allowBlank="1" sqref="AN41">
      <formula1>$CR$42:$CR$47</formula1>
    </dataValidation>
    <dataValidation type="list" allowBlank="1" showErrorMessage="1" sqref="AJ42">
      <formula1>"Ativos com indicação aberta,Ativos com posição"</formula1>
    </dataValidation>
    <dataValidation type="list" allowBlank="1" sqref="AG43">
      <formula1>"Gráfico de barras,Gráfico de linha"</formula1>
    </dataValidation>
    <dataValidation type="list" allowBlank="1" showErrorMessage="1" sqref="AN50">
      <formula1>$CR$49:$CR$54</formula1>
    </dataValidation>
    <dataValidation type="list" allowBlank="1" sqref="AP21">
      <formula1>caixa!$AB$10:$AB$29</formula1>
    </dataValidation>
    <dataValidation type="list" allowBlank="1" sqref="Q41">
      <formula1>"PM,PM
(PM Ajust)"</formula1>
    </dataValidation>
    <dataValidation type="list" allowBlank="1" sqref="I20">
      <formula1>"AÇÃO,FII,STOCK,REIT,ETF"</formula1>
    </dataValidation>
    <dataValidation type="list" allowBlank="1" sqref="AD41">
      <formula1>"Setor,Subsetor"</formula1>
    </dataValidation>
    <dataValidation type="list" allowBlank="1" sqref="M41">
      <formula1>'portfólio'!$AV$57:$AV$58</formula1>
    </dataValidation>
    <dataValidation type="list" allowBlank="1" sqref="M42">
      <formula1>'portfólio'!$AV$44:$AV$56</formula1>
    </dataValidation>
  </dataValidations>
  <drawing r:id="rId2"/>
  <legacy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showGridLines="0" workbookViewId="0"/>
  </sheetViews>
  <sheetFormatPr customHeight="1" defaultColWidth="15.13" defaultRowHeight="15.75"/>
  <cols>
    <col customWidth="1" min="1" max="1" width="1.13"/>
    <col customWidth="1" min="2" max="6" width="5.5"/>
    <col customWidth="1" min="7" max="7" width="1.13"/>
    <col customWidth="1" min="8" max="13" width="9.63"/>
    <col customWidth="1" min="14" max="14" width="1.13"/>
    <col customWidth="1" min="15" max="24" width="5.75"/>
    <col customWidth="1" min="25" max="25" width="6.38"/>
    <col customWidth="1" min="26" max="26" width="1.13"/>
  </cols>
  <sheetData>
    <row r="1" ht="12.75" customHeight="1">
      <c r="A1" s="512" t="b">
        <f>'portfólio'!AV7</f>
        <v>0</v>
      </c>
      <c r="B1" s="513" t="str">
        <f>HYPERLINK("bit.ly/dlombelloplanilhas","dlombello®planilhas "&amp;leiame!B6)</f>
        <v>dlombello®planilhas v6.4.02</v>
      </c>
      <c r="C1" s="514"/>
      <c r="D1" s="514"/>
      <c r="E1" s="514"/>
      <c r="F1" s="217"/>
      <c r="G1" s="515"/>
      <c r="H1" s="516" t="s">
        <v>346</v>
      </c>
      <c r="I1" s="514"/>
      <c r="J1" s="514"/>
      <c r="K1" s="514"/>
      <c r="L1" s="514"/>
      <c r="M1" s="514"/>
      <c r="N1" s="514"/>
      <c r="O1" s="514"/>
      <c r="P1" s="514"/>
      <c r="Q1" s="514"/>
      <c r="R1" s="514"/>
      <c r="S1" s="514"/>
      <c r="T1" s="217"/>
      <c r="U1" s="517"/>
      <c r="V1" s="514"/>
      <c r="W1" s="514"/>
      <c r="X1" s="514"/>
      <c r="Y1" s="217"/>
    </row>
    <row r="2" ht="12.75" customHeight="1">
      <c r="A2" s="518"/>
      <c r="B2" s="230"/>
      <c r="C2" s="519"/>
      <c r="D2" s="519"/>
      <c r="E2" s="519"/>
      <c r="F2" s="231"/>
      <c r="G2" s="515"/>
      <c r="H2" s="230"/>
      <c r="I2" s="519"/>
      <c r="J2" s="519"/>
      <c r="K2" s="519"/>
      <c r="L2" s="519"/>
      <c r="M2" s="519"/>
      <c r="N2" s="519"/>
      <c r="O2" s="519"/>
      <c r="P2" s="519"/>
      <c r="Q2" s="519"/>
      <c r="R2" s="519"/>
      <c r="S2" s="519"/>
      <c r="T2" s="231"/>
      <c r="U2" s="230"/>
      <c r="V2" s="519"/>
      <c r="W2" s="519"/>
      <c r="X2" s="519"/>
      <c r="Y2" s="231"/>
    </row>
    <row r="3" ht="6.75" customHeight="1">
      <c r="A3" s="518"/>
      <c r="B3" s="520"/>
      <c r="C3" s="520"/>
      <c r="D3" s="520"/>
      <c r="E3" s="520"/>
      <c r="F3" s="521"/>
    </row>
    <row r="4" ht="22.5" customHeight="1">
      <c r="A4" s="518"/>
      <c r="B4" s="522" t="s">
        <v>347</v>
      </c>
      <c r="C4" s="523"/>
      <c r="D4" s="523"/>
      <c r="E4" s="523"/>
      <c r="F4" s="524"/>
      <c r="H4" s="525" t="s">
        <v>72</v>
      </c>
      <c r="I4" s="50"/>
      <c r="J4" s="50"/>
      <c r="K4" s="50"/>
      <c r="L4" s="50"/>
      <c r="M4" s="51"/>
      <c r="O4" s="526" t="s">
        <v>348</v>
      </c>
      <c r="P4" s="170"/>
      <c r="Q4" s="170"/>
      <c r="R4" s="170"/>
      <c r="S4" s="170"/>
      <c r="T4" s="170"/>
      <c r="U4" s="170"/>
      <c r="V4" s="170"/>
      <c r="W4" s="170"/>
      <c r="X4" s="170"/>
      <c r="Y4" s="170"/>
    </row>
    <row r="5" ht="11.25" customHeight="1">
      <c r="A5" s="527"/>
      <c r="B5" s="528">
        <f>NOW()</f>
        <v>46092.90079</v>
      </c>
      <c r="C5" s="529"/>
      <c r="D5" s="529"/>
      <c r="E5" s="529"/>
      <c r="F5" s="530"/>
      <c r="H5" s="68"/>
      <c r="I5" s="69"/>
      <c r="J5" s="69"/>
      <c r="K5" s="69"/>
      <c r="L5" s="69"/>
      <c r="M5" s="70"/>
    </row>
    <row r="6" ht="18.75" customHeight="1">
      <c r="A6" s="531"/>
      <c r="B6" s="532" t="s">
        <v>102</v>
      </c>
      <c r="C6" s="533"/>
      <c r="D6" s="534" t="s">
        <v>103</v>
      </c>
      <c r="E6" s="535"/>
      <c r="F6" s="533"/>
      <c r="H6" s="536" t="s">
        <v>349</v>
      </c>
      <c r="I6" s="318"/>
      <c r="J6" s="536" t="s">
        <v>350</v>
      </c>
      <c r="K6" s="318"/>
      <c r="L6" s="536" t="s">
        <v>351</v>
      </c>
      <c r="M6" s="318"/>
    </row>
    <row r="7" ht="16.5" customHeight="1">
      <c r="A7" s="531"/>
      <c r="B7" s="537" t="str">
        <f>IFERROR(TEXT(IBOVPRICE,"#,##0.00"),"")</f>
        <v>183.969,34</v>
      </c>
      <c r="D7" s="537" t="str">
        <f>TEXT(IBOVCHANGE,"#,##0.00")&amp;" ("&amp;TEXT(IBOVCHANGEPCT,"#,##0.00")&amp;"%)"</f>
        <v>522,34 (0,28%)</v>
      </c>
      <c r="H7" s="538" t="s">
        <v>352</v>
      </c>
      <c r="I7" s="538" t="s">
        <v>353</v>
      </c>
      <c r="J7" s="538" t="s">
        <v>352</v>
      </c>
      <c r="K7" s="538" t="s">
        <v>353</v>
      </c>
      <c r="L7" s="538" t="s">
        <v>352</v>
      </c>
      <c r="M7" s="538" t="s">
        <v>353</v>
      </c>
    </row>
    <row r="8" ht="16.5" customHeight="1">
      <c r="A8" s="539"/>
      <c r="B8" s="540" t="str">
        <f>IFERROR(__xludf.DUMMYFUNCTION("IF(NOT(ConfigOn),"""",IFERROR(SPARKLINE(IBOVCHANGEHISTORICO,{""charttype"",""column"";""negcolor"",""red""}),""Dados não disponíveis no momento""))"),"")</f>
        <v/>
      </c>
      <c r="C8" s="303"/>
      <c r="D8" s="303"/>
      <c r="E8" s="303"/>
      <c r="F8" s="4"/>
      <c r="H8" s="541">
        <f>config.books!BQ22</f>
        <v>0</v>
      </c>
      <c r="I8" s="541" t="str">
        <f>config.books!BR22</f>
        <v/>
      </c>
      <c r="J8" s="541">
        <f>config.books!BQ23</f>
        <v>0</v>
      </c>
      <c r="K8" s="541" t="str">
        <f>config.books!BR23</f>
        <v/>
      </c>
      <c r="L8" s="541" t="str">
        <f>'portfólio'!Q14</f>
        <v/>
      </c>
      <c r="M8" s="541" t="str">
        <f>'portfólio'!Q15</f>
        <v/>
      </c>
    </row>
    <row r="9" ht="16.5" customHeight="1">
      <c r="A9" s="539"/>
      <c r="B9" s="542"/>
      <c r="C9" s="543"/>
      <c r="D9" s="543"/>
      <c r="E9" s="543"/>
      <c r="F9" s="36"/>
      <c r="H9" s="544" t="str">
        <f>config.books!BS22</f>
        <v/>
      </c>
      <c r="I9" s="318"/>
      <c r="J9" s="544" t="str">
        <f>config.books!BS23</f>
        <v/>
      </c>
      <c r="K9" s="318"/>
      <c r="L9" s="544">
        <f>IF(M8=0,"",100%)</f>
        <v>1</v>
      </c>
      <c r="M9" s="318"/>
    </row>
    <row r="10" ht="6.75" customHeight="1">
      <c r="A10" s="539"/>
      <c r="B10" s="545"/>
      <c r="C10" s="545"/>
      <c r="D10" s="545"/>
      <c r="E10" s="545"/>
      <c r="F10" s="545"/>
    </row>
    <row r="11" ht="18.75" customHeight="1">
      <c r="A11" s="539"/>
      <c r="B11" s="532" t="s">
        <v>97</v>
      </c>
      <c r="C11" s="533"/>
      <c r="D11" s="546" t="s">
        <v>103</v>
      </c>
      <c r="E11" s="523"/>
      <c r="F11" s="524"/>
      <c r="H11" s="547" t="s">
        <v>354</v>
      </c>
      <c r="I11" s="170"/>
      <c r="J11" s="170"/>
      <c r="K11" s="170"/>
      <c r="L11" s="170"/>
      <c r="M11" s="318"/>
    </row>
    <row r="12" ht="16.5" customHeight="1">
      <c r="A12" s="539"/>
      <c r="B12" s="537" t="str">
        <f>IFERROR(TEXT(IFIXPRICE,"#,##0.00"),"")</f>
        <v>3.873,59</v>
      </c>
      <c r="D12" s="537" t="str">
        <f>TEXT(IFIXCHANGE,"#,##0.00")&amp;" ("&amp;TEXT(IFIXCHANGEPCT,"0.00")&amp;"%)"</f>
        <v>-2,86 (-0,07%)</v>
      </c>
      <c r="H12" s="538" t="s">
        <v>355</v>
      </c>
      <c r="I12" s="538" t="s">
        <v>136</v>
      </c>
      <c r="J12" s="538" t="s">
        <v>140</v>
      </c>
      <c r="K12" s="538" t="s">
        <v>356</v>
      </c>
      <c r="L12" s="548" t="s">
        <v>144</v>
      </c>
      <c r="M12" s="51"/>
    </row>
    <row r="13" ht="16.5" customHeight="1">
      <c r="A13" s="539"/>
      <c r="B13" s="549" t="str">
        <f>IFERROR(__xludf.DUMMYFUNCTION("IF(NOT(ConfigOn),"""",IFERROR(SPARKLINE(IFIXCHANGEHISTORICO,{""charttype"",""column"";""negcolor"",""red""}),""Dados não disponíveis no momento""))"),"")</f>
        <v/>
      </c>
      <c r="C13" s="303"/>
      <c r="D13" s="303"/>
      <c r="E13" s="303"/>
      <c r="F13" s="4"/>
      <c r="H13" s="541" t="str">
        <f>config.books!BT22</f>
        <v/>
      </c>
      <c r="I13" s="541">
        <f>config.books!BT18+config.books!BU18+config.books!BY18+config.books!CA18</f>
        <v>0</v>
      </c>
      <c r="J13" s="541">
        <f>config.books!BR18+config.books!BS18+config.books!BX18+config.books!BZ18+config.books!CB18+config.books!CC18</f>
        <v>0</v>
      </c>
      <c r="K13" s="541">
        <f>config.books!BT23-J13-I13</f>
        <v>0</v>
      </c>
      <c r="L13" s="550">
        <f>'portfólio'!DM63</f>
        <v>0</v>
      </c>
      <c r="M13" s="551"/>
    </row>
    <row r="14" ht="16.5" customHeight="1">
      <c r="A14" s="539"/>
      <c r="B14" s="542"/>
      <c r="C14" s="543"/>
      <c r="D14" s="543"/>
      <c r="E14" s="543"/>
      <c r="F14" s="36"/>
      <c r="H14" s="552" t="str">
        <f>IFERROR(H13/L8,"")</f>
        <v/>
      </c>
      <c r="I14" s="552" t="str">
        <f>IFERROR(I13/L8,"")</f>
        <v/>
      </c>
      <c r="J14" s="552" t="str">
        <f>IFERROR(J13/L8,"")</f>
        <v/>
      </c>
      <c r="K14" s="552" t="str">
        <f>IFERROR(K13/L8,"")</f>
        <v/>
      </c>
      <c r="L14" s="553" t="str">
        <f>IFERROR(L13/L8,"")</f>
        <v/>
      </c>
      <c r="M14" s="318"/>
    </row>
    <row r="15" ht="6.75" customHeight="1">
      <c r="A15" s="539"/>
    </row>
    <row r="16" ht="22.5" customHeight="1">
      <c r="A16" s="539"/>
      <c r="B16" s="554" t="s">
        <v>357</v>
      </c>
      <c r="C16" s="69"/>
      <c r="D16" s="69"/>
      <c r="E16" s="69"/>
      <c r="F16" s="70"/>
      <c r="H16" s="555" t="s">
        <v>358</v>
      </c>
      <c r="I16" s="556">
        <f>'portfólio'!DN63</f>
        <v>-0.001414936773</v>
      </c>
      <c r="J16" s="124" t="s">
        <v>359</v>
      </c>
      <c r="M16" s="83"/>
      <c r="O16" s="526" t="s">
        <v>360</v>
      </c>
      <c r="P16" s="170"/>
      <c r="Q16" s="170"/>
      <c r="R16" s="170"/>
      <c r="S16" s="170"/>
      <c r="T16" s="170"/>
      <c r="U16" s="170"/>
      <c r="V16" s="170"/>
      <c r="W16" s="170"/>
      <c r="X16" s="170"/>
      <c r="Y16" s="170"/>
    </row>
    <row r="17" ht="16.5" customHeight="1">
      <c r="A17" s="539"/>
      <c r="B17" s="557" t="str">
        <f>'portfólio'!Q30</f>
        <v/>
      </c>
      <c r="C17" s="558"/>
      <c r="D17" s="559"/>
      <c r="E17" s="560" t="s">
        <v>361</v>
      </c>
      <c r="F17" s="560" t="s">
        <v>73</v>
      </c>
      <c r="H17" s="561" t="s">
        <v>362</v>
      </c>
      <c r="I17" s="562"/>
      <c r="J17" s="563" t="s">
        <v>79</v>
      </c>
      <c r="K17" s="563" t="s">
        <v>97</v>
      </c>
      <c r="L17" s="563" t="s">
        <v>363</v>
      </c>
      <c r="M17" s="563" t="s">
        <v>62</v>
      </c>
    </row>
    <row r="18" ht="16.5" customHeight="1">
      <c r="A18" s="539"/>
      <c r="D18" s="232"/>
      <c r="E18" s="564" t="str">
        <f>'portfólio'!R31</f>
        <v/>
      </c>
      <c r="F18" s="565" t="str">
        <f>'portfólio'!Q31</f>
        <v/>
      </c>
      <c r="H18" s="566">
        <v>44682.0</v>
      </c>
      <c r="J18" s="567">
        <v>0.03221291112017499</v>
      </c>
      <c r="K18" s="567">
        <v>0.0026269942426395687</v>
      </c>
      <c r="L18" s="567">
        <v>0.0103</v>
      </c>
      <c r="M18" s="567" t="e">
        <v>#NUM!</v>
      </c>
    </row>
    <row r="19" ht="17.25" customHeight="1">
      <c r="A19" s="539"/>
      <c r="H19" s="566">
        <v>44652.0</v>
      </c>
      <c r="J19" s="567">
        <v>-0.10102584188201569</v>
      </c>
      <c r="K19" s="567">
        <v>0.011903037888663093</v>
      </c>
      <c r="L19" s="567">
        <v>0.0083</v>
      </c>
      <c r="M19" s="567">
        <v>0.0106</v>
      </c>
    </row>
    <row r="20" ht="16.5" customHeight="1">
      <c r="A20" s="539"/>
      <c r="B20" s="568" t="s">
        <v>116</v>
      </c>
      <c r="C20" s="69"/>
      <c r="D20" s="69"/>
      <c r="E20" s="69"/>
      <c r="F20" s="70"/>
      <c r="H20" s="566">
        <v>44621.0</v>
      </c>
      <c r="J20" s="567">
        <v>0.06060525711053377</v>
      </c>
      <c r="K20" s="567">
        <v>0.014161964774776825</v>
      </c>
      <c r="L20" s="567">
        <v>0.009300000000000001</v>
      </c>
      <c r="M20" s="567">
        <v>0.016200000000000003</v>
      </c>
    </row>
    <row r="21">
      <c r="A21" s="539"/>
      <c r="H21" s="566">
        <v>44593.0</v>
      </c>
      <c r="J21" s="567">
        <v>0.0067089013061891745</v>
      </c>
      <c r="K21" s="567">
        <v>-0.012881185103493342</v>
      </c>
      <c r="L21" s="567">
        <v>0.0076</v>
      </c>
      <c r="M21" s="567">
        <v>0.0101</v>
      </c>
    </row>
    <row r="22" ht="15.75" customHeight="1">
      <c r="A22" s="539"/>
      <c r="H22" s="566">
        <v>44562.0</v>
      </c>
      <c r="J22" s="567">
        <v>0.07217950430253195</v>
      </c>
      <c r="K22" s="567">
        <v>0.01920275355776302</v>
      </c>
      <c r="L22" s="567">
        <v>0.0073</v>
      </c>
      <c r="M22" s="567">
        <v>0.0054</v>
      </c>
    </row>
    <row r="23" ht="15.75" customHeight="1">
      <c r="A23" s="539"/>
      <c r="H23" s="566">
        <v>44531.0</v>
      </c>
      <c r="J23" s="567">
        <v>0.028523769808173505</v>
      </c>
      <c r="K23" s="567">
        <v>0.0720356624059828</v>
      </c>
      <c r="L23" s="567">
        <v>0.0077</v>
      </c>
      <c r="M23" s="567">
        <v>0.0073</v>
      </c>
    </row>
    <row r="24" ht="15.75" customHeight="1">
      <c r="A24" s="539"/>
      <c r="H24" s="566">
        <v>44501.0</v>
      </c>
      <c r="J24" s="567">
        <v>-0.015323523444217946</v>
      </c>
      <c r="K24" s="567">
        <v>-0.050140517725867806</v>
      </c>
      <c r="L24" s="567">
        <v>0.0059</v>
      </c>
      <c r="M24" s="567">
        <v>0.0095</v>
      </c>
    </row>
    <row r="25" ht="15.75" customHeight="1">
      <c r="A25" s="539"/>
      <c r="H25" s="566">
        <v>44470.0</v>
      </c>
      <c r="J25" s="567">
        <v>-0.06738211733751431</v>
      </c>
      <c r="K25" s="567">
        <v>-0.014725647814351595</v>
      </c>
      <c r="L25" s="567">
        <v>0.0049</v>
      </c>
      <c r="M25" s="567">
        <v>0.0125</v>
      </c>
    </row>
    <row r="26" ht="15.75" customHeight="1">
      <c r="A26" s="539"/>
      <c r="H26" s="566">
        <v>44440.0</v>
      </c>
      <c r="J26" s="567">
        <v>-0.06568390567515003</v>
      </c>
      <c r="K26" s="567">
        <v>-0.012426177523055859</v>
      </c>
      <c r="L26" s="567">
        <v>0.0044</v>
      </c>
      <c r="M26" s="567">
        <v>0.0116</v>
      </c>
    </row>
    <row r="27" ht="15.75" customHeight="1">
      <c r="A27" s="539"/>
      <c r="H27" s="566">
        <v>44409.0</v>
      </c>
      <c r="J27" s="567">
        <v>-0.024794541916733026</v>
      </c>
      <c r="K27" s="567">
        <v>-0.026301998498647228</v>
      </c>
      <c r="L27" s="567">
        <v>0.0043</v>
      </c>
      <c r="M27" s="567">
        <v>0.0087</v>
      </c>
    </row>
    <row r="28" ht="15.75" customHeight="1">
      <c r="A28" s="539"/>
      <c r="H28" s="566">
        <v>44378.0</v>
      </c>
      <c r="J28" s="567">
        <v>-0.03943944101828045</v>
      </c>
      <c r="K28" s="567">
        <v>0.025129859994409864</v>
      </c>
      <c r="L28" s="567">
        <v>0.0036</v>
      </c>
      <c r="M28" s="567">
        <v>0.0096</v>
      </c>
    </row>
    <row r="29" ht="15.75" customHeight="1">
      <c r="A29" s="539"/>
      <c r="H29" s="566">
        <v>44348.0</v>
      </c>
      <c r="J29" s="567">
        <v>0.0046428345059263965</v>
      </c>
      <c r="K29" s="567">
        <v>-0.021860775583533942</v>
      </c>
      <c r="L29" s="567">
        <v>0.0031</v>
      </c>
      <c r="M29" s="567">
        <v>0.0053</v>
      </c>
    </row>
    <row r="30" ht="15.75" customHeight="1">
      <c r="A30" s="539"/>
      <c r="H30" s="566">
        <v>44317.0</v>
      </c>
      <c r="J30" s="567">
        <v>0.061584268339865744</v>
      </c>
      <c r="K30" s="567">
        <v>-0.015619593520088126</v>
      </c>
      <c r="L30" s="567">
        <v>0.0027</v>
      </c>
      <c r="M30" s="567">
        <v>0.0083</v>
      </c>
    </row>
    <row r="31" ht="15.75" customHeight="1">
      <c r="A31" s="539"/>
      <c r="H31" s="566">
        <v>44287.0</v>
      </c>
      <c r="J31" s="567">
        <v>0.01937685409057388</v>
      </c>
      <c r="K31" s="567">
        <v>0.005051338885825096</v>
      </c>
      <c r="L31" s="567">
        <v>0.0021</v>
      </c>
      <c r="M31" s="567">
        <v>0.0031</v>
      </c>
    </row>
    <row r="32" ht="15.75" customHeight="1">
      <c r="A32" s="539"/>
      <c r="H32" s="566">
        <v>44256.0</v>
      </c>
      <c r="J32" s="567">
        <v>0.05997182714590821</v>
      </c>
      <c r="K32" s="567">
        <v>-0.013774324188558618</v>
      </c>
      <c r="L32" s="567">
        <v>0.002</v>
      </c>
      <c r="M32" s="567">
        <v>0.009300000000000001</v>
      </c>
    </row>
    <row r="33" ht="15.75" customHeight="1">
      <c r="A33" s="539"/>
      <c r="H33" s="566">
        <v>44228.0</v>
      </c>
      <c r="J33" s="567">
        <v>-0.05147965208996008</v>
      </c>
      <c r="K33" s="567">
        <v>0.0024588028963865582</v>
      </c>
      <c r="L33" s="567">
        <v>0.0013</v>
      </c>
      <c r="M33" s="567">
        <v>0.0086</v>
      </c>
    </row>
    <row r="34" hidden="1">
      <c r="A34" s="539"/>
    </row>
    <row r="35" hidden="1">
      <c r="A35" s="539"/>
    </row>
    <row r="36" hidden="1">
      <c r="A36" s="539"/>
      <c r="B36" s="569" t="s">
        <v>332</v>
      </c>
      <c r="C36" s="170"/>
    </row>
    <row r="37" hidden="1">
      <c r="A37" s="539"/>
      <c r="B37" s="569" t="s">
        <v>79</v>
      </c>
      <c r="C37" s="569" t="s">
        <v>97</v>
      </c>
    </row>
    <row r="38" hidden="1">
      <c r="A38" s="539"/>
      <c r="B38" s="570">
        <f>IBOVCHANGE</f>
        <v>522.34</v>
      </c>
      <c r="C38" s="570">
        <f>IFIXCHANGE</f>
        <v>-2.86</v>
      </c>
    </row>
    <row r="39" hidden="1">
      <c r="A39" s="539"/>
    </row>
    <row r="40" hidden="1">
      <c r="A40" s="539"/>
    </row>
    <row r="41" hidden="1">
      <c r="A41" s="539"/>
    </row>
    <row r="42" hidden="1">
      <c r="A42" s="539"/>
      <c r="B42" s="569" t="s">
        <v>364</v>
      </c>
      <c r="D42" s="569" t="s">
        <v>365</v>
      </c>
      <c r="E42" s="569" t="s">
        <v>216</v>
      </c>
    </row>
    <row r="43" hidden="1">
      <c r="A43" s="539"/>
      <c r="B43" s="570" t="str">
        <f t="array" ref="B43:B53">CarteirasListaCriadasComTotal</f>
        <v>TODAS AS CARTEIRAS</v>
      </c>
      <c r="D43" s="571" t="s">
        <v>366</v>
      </c>
      <c r="E43" s="572" t="str">
        <f t="array" ref="E43:E53">{'portfólio'!DN60;'portfólio'!DN44:DN53}</f>
        <v>-</v>
      </c>
    </row>
    <row r="44" hidden="1">
      <c r="A44" s="539"/>
      <c r="B44" s="570"/>
      <c r="D44" s="570" t="str">
        <f t="array" ref="D44:D53">CarteirasListaCriadasAbreviada</f>
        <v/>
      </c>
      <c r="E44" s="573" t="s">
        <v>123</v>
      </c>
    </row>
    <row r="45" hidden="1">
      <c r="A45" s="539"/>
      <c r="B45" s="570"/>
      <c r="D45" s="570"/>
      <c r="E45" s="573" t="s">
        <v>123</v>
      </c>
    </row>
    <row r="46" hidden="1">
      <c r="A46" s="539"/>
      <c r="B46" s="570"/>
      <c r="D46" s="570"/>
      <c r="E46" s="573" t="s">
        <v>123</v>
      </c>
    </row>
    <row r="47" hidden="1">
      <c r="A47" s="539"/>
      <c r="B47" s="570"/>
      <c r="D47" s="570"/>
      <c r="E47" s="573" t="s">
        <v>123</v>
      </c>
    </row>
    <row r="48" hidden="1">
      <c r="A48" s="539"/>
      <c r="B48" s="570"/>
      <c r="D48" s="570"/>
      <c r="E48" s="573" t="s">
        <v>123</v>
      </c>
    </row>
    <row r="49" hidden="1">
      <c r="A49" s="539"/>
      <c r="B49" s="574"/>
      <c r="D49" s="570"/>
      <c r="E49" s="575" t="s">
        <v>123</v>
      </c>
    </row>
    <row r="50" hidden="1">
      <c r="A50" s="539"/>
      <c r="B50" s="574"/>
      <c r="D50" s="570"/>
      <c r="E50" s="575" t="s">
        <v>123</v>
      </c>
    </row>
    <row r="51" hidden="1">
      <c r="A51" s="539"/>
      <c r="B51" s="574"/>
      <c r="D51" s="570"/>
      <c r="E51" s="575" t="s">
        <v>123</v>
      </c>
    </row>
    <row r="52" hidden="1">
      <c r="A52" s="539"/>
      <c r="B52" s="574"/>
      <c r="D52" s="570"/>
      <c r="E52" s="575" t="s">
        <v>123</v>
      </c>
    </row>
    <row r="53" hidden="1">
      <c r="A53" s="539"/>
      <c r="B53" s="574"/>
      <c r="D53" s="570"/>
      <c r="E53" s="575" t="s">
        <v>123</v>
      </c>
    </row>
    <row r="54" hidden="1">
      <c r="A54" s="539"/>
    </row>
    <row r="55" hidden="1">
      <c r="A55" s="539"/>
    </row>
    <row r="56" hidden="1">
      <c r="A56" s="539"/>
    </row>
    <row r="57" hidden="1">
      <c r="A57" s="539"/>
    </row>
    <row r="58" hidden="1">
      <c r="A58" s="539"/>
    </row>
    <row r="59" hidden="1">
      <c r="A59" s="539"/>
    </row>
    <row r="60" hidden="1">
      <c r="A60" s="539"/>
    </row>
    <row r="61" hidden="1">
      <c r="A61" s="539"/>
    </row>
    <row r="62" hidden="1">
      <c r="A62" s="539"/>
    </row>
    <row r="63" hidden="1">
      <c r="A63" s="539"/>
    </row>
    <row r="64" hidden="1">
      <c r="A64" s="539"/>
    </row>
    <row r="65" hidden="1">
      <c r="A65" s="539"/>
    </row>
    <row r="66" hidden="1">
      <c r="A66" s="539"/>
    </row>
    <row r="67" hidden="1">
      <c r="A67" s="539"/>
    </row>
    <row r="68" hidden="1">
      <c r="A68" s="539"/>
    </row>
    <row r="69" hidden="1">
      <c r="A69" s="539"/>
    </row>
    <row r="70" hidden="1">
      <c r="A70" s="539"/>
    </row>
    <row r="71" hidden="1">
      <c r="A71" s="539"/>
    </row>
    <row r="72" hidden="1">
      <c r="A72" s="539"/>
    </row>
    <row r="73" hidden="1">
      <c r="A73" s="539"/>
    </row>
    <row r="74" hidden="1">
      <c r="A74" s="539"/>
    </row>
    <row r="75" hidden="1">
      <c r="A75" s="539"/>
    </row>
    <row r="76" hidden="1">
      <c r="A76" s="539"/>
    </row>
    <row r="77" hidden="1">
      <c r="A77" s="539"/>
    </row>
    <row r="78" hidden="1">
      <c r="A78" s="539"/>
    </row>
    <row r="79" hidden="1">
      <c r="A79" s="539"/>
    </row>
    <row r="80" hidden="1">
      <c r="A80" s="539"/>
    </row>
    <row r="81" hidden="1">
      <c r="A81" s="539"/>
    </row>
    <row r="82" hidden="1">
      <c r="A82" s="539"/>
    </row>
    <row r="83" hidden="1">
      <c r="A83" s="539"/>
    </row>
    <row r="84" hidden="1">
      <c r="A84" s="539"/>
    </row>
    <row r="85" hidden="1">
      <c r="A85" s="539"/>
    </row>
    <row r="86" hidden="1">
      <c r="A86" s="539"/>
    </row>
    <row r="87" hidden="1">
      <c r="A87" s="539"/>
    </row>
    <row r="88" hidden="1">
      <c r="A88" s="539"/>
    </row>
    <row r="89" hidden="1">
      <c r="A89" s="539"/>
    </row>
    <row r="90" hidden="1">
      <c r="A90" s="539"/>
    </row>
    <row r="91" hidden="1">
      <c r="A91" s="539"/>
    </row>
    <row r="92" hidden="1">
      <c r="A92" s="539"/>
    </row>
    <row r="93" hidden="1">
      <c r="A93" s="539"/>
    </row>
    <row r="94" hidden="1">
      <c r="A94" s="539"/>
    </row>
    <row r="95" hidden="1">
      <c r="A95" s="539"/>
    </row>
    <row r="96" hidden="1">
      <c r="A96" s="539"/>
    </row>
    <row r="97" hidden="1">
      <c r="A97" s="539"/>
    </row>
    <row r="98" hidden="1">
      <c r="A98" s="539"/>
    </row>
    <row r="99" hidden="1">
      <c r="A99" s="539"/>
    </row>
    <row r="100" hidden="1">
      <c r="A100" s="539"/>
    </row>
    <row r="101" hidden="1">
      <c r="A101" s="539"/>
    </row>
    <row r="102" hidden="1">
      <c r="A102" s="539"/>
    </row>
    <row r="103" hidden="1">
      <c r="A103" s="539"/>
    </row>
    <row r="104" hidden="1">
      <c r="A104" s="539"/>
    </row>
    <row r="105" hidden="1">
      <c r="A105" s="539"/>
    </row>
    <row r="106" hidden="1">
      <c r="A106" s="539"/>
    </row>
    <row r="107" hidden="1">
      <c r="A107" s="539"/>
    </row>
    <row r="108" hidden="1">
      <c r="A108" s="539"/>
    </row>
    <row r="109" hidden="1">
      <c r="A109" s="539"/>
    </row>
    <row r="110" hidden="1">
      <c r="A110" s="539"/>
    </row>
    <row r="111" hidden="1">
      <c r="A111" s="539"/>
    </row>
    <row r="112" hidden="1">
      <c r="A112" s="539"/>
    </row>
    <row r="113" hidden="1">
      <c r="A113" s="539"/>
    </row>
    <row r="114" hidden="1">
      <c r="A114" s="539"/>
    </row>
    <row r="115" hidden="1">
      <c r="A115" s="539"/>
    </row>
    <row r="116" hidden="1">
      <c r="A116" s="539"/>
    </row>
    <row r="117" hidden="1">
      <c r="A117" s="539"/>
    </row>
    <row r="118" hidden="1">
      <c r="A118" s="539"/>
    </row>
    <row r="119" hidden="1">
      <c r="A119" s="539"/>
    </row>
    <row r="120" hidden="1">
      <c r="A120" s="539"/>
    </row>
    <row r="121" hidden="1">
      <c r="A121" s="539"/>
    </row>
    <row r="122" hidden="1">
      <c r="A122" s="539"/>
    </row>
    <row r="123" hidden="1">
      <c r="A123" s="539"/>
    </row>
    <row r="124" hidden="1">
      <c r="A124" s="539"/>
    </row>
    <row r="125" hidden="1">
      <c r="A125" s="539"/>
    </row>
    <row r="126" hidden="1">
      <c r="A126" s="539"/>
    </row>
    <row r="127" hidden="1">
      <c r="A127" s="539"/>
    </row>
    <row r="128" hidden="1">
      <c r="A128" s="539"/>
    </row>
    <row r="129" hidden="1">
      <c r="A129" s="539"/>
    </row>
    <row r="130" hidden="1">
      <c r="A130" s="539"/>
    </row>
    <row r="131" hidden="1">
      <c r="A131" s="539"/>
    </row>
    <row r="132" hidden="1">
      <c r="A132" s="539"/>
    </row>
    <row r="133" hidden="1">
      <c r="A133" s="539"/>
    </row>
    <row r="134" hidden="1">
      <c r="A134" s="539"/>
    </row>
    <row r="135" hidden="1">
      <c r="A135" s="539"/>
    </row>
    <row r="136" hidden="1">
      <c r="A136" s="539"/>
    </row>
    <row r="137" hidden="1">
      <c r="A137" s="539"/>
    </row>
    <row r="138" hidden="1">
      <c r="A138" s="539"/>
    </row>
    <row r="139" hidden="1">
      <c r="A139" s="539"/>
    </row>
    <row r="140" hidden="1">
      <c r="A140" s="539"/>
    </row>
    <row r="141" hidden="1">
      <c r="A141" s="539"/>
    </row>
    <row r="142" hidden="1">
      <c r="A142" s="539"/>
    </row>
    <row r="143" hidden="1">
      <c r="A143" s="539"/>
    </row>
    <row r="144" hidden="1">
      <c r="A144" s="539"/>
    </row>
    <row r="145" hidden="1">
      <c r="A145" s="539"/>
    </row>
    <row r="146" hidden="1">
      <c r="A146" s="539"/>
    </row>
    <row r="147" hidden="1">
      <c r="A147" s="539"/>
    </row>
    <row r="148" hidden="1">
      <c r="A148" s="539"/>
    </row>
    <row r="149" hidden="1">
      <c r="A149" s="539"/>
    </row>
    <row r="150" hidden="1">
      <c r="A150" s="539"/>
    </row>
    <row r="151" hidden="1">
      <c r="A151" s="539"/>
    </row>
    <row r="152" hidden="1">
      <c r="A152" s="539"/>
    </row>
    <row r="153" hidden="1">
      <c r="A153" s="539"/>
    </row>
    <row r="154" hidden="1">
      <c r="A154" s="539"/>
    </row>
    <row r="155" hidden="1">
      <c r="A155" s="539"/>
    </row>
    <row r="156" hidden="1">
      <c r="A156" s="539"/>
    </row>
    <row r="157" hidden="1">
      <c r="A157" s="539"/>
    </row>
    <row r="158" hidden="1">
      <c r="A158" s="539"/>
    </row>
    <row r="159" hidden="1">
      <c r="A159" s="539"/>
    </row>
    <row r="160" hidden="1">
      <c r="A160" s="539"/>
    </row>
    <row r="161" hidden="1">
      <c r="A161" s="539"/>
    </row>
    <row r="162" hidden="1">
      <c r="A162" s="539"/>
    </row>
    <row r="163" hidden="1">
      <c r="A163" s="539"/>
    </row>
    <row r="164" hidden="1">
      <c r="A164" s="539"/>
    </row>
    <row r="165" hidden="1">
      <c r="A165" s="539"/>
    </row>
    <row r="166" hidden="1">
      <c r="A166" s="539"/>
    </row>
    <row r="167" hidden="1">
      <c r="A167" s="539"/>
    </row>
    <row r="168" hidden="1">
      <c r="A168" s="539"/>
    </row>
    <row r="169" hidden="1">
      <c r="A169" s="539"/>
    </row>
    <row r="170" hidden="1">
      <c r="A170" s="539"/>
    </row>
    <row r="171" hidden="1">
      <c r="A171" s="539"/>
    </row>
    <row r="172" hidden="1">
      <c r="A172" s="539"/>
    </row>
    <row r="173" hidden="1">
      <c r="A173" s="539"/>
    </row>
    <row r="174" hidden="1">
      <c r="A174" s="539"/>
    </row>
    <row r="175" hidden="1">
      <c r="A175" s="539"/>
    </row>
    <row r="176" hidden="1">
      <c r="A176" s="539"/>
    </row>
    <row r="177" hidden="1">
      <c r="A177" s="539"/>
    </row>
    <row r="178" hidden="1">
      <c r="A178" s="539"/>
    </row>
    <row r="179" hidden="1">
      <c r="A179" s="539"/>
    </row>
    <row r="180" hidden="1">
      <c r="A180" s="539"/>
    </row>
    <row r="181" hidden="1">
      <c r="A181" s="539"/>
    </row>
    <row r="182" hidden="1">
      <c r="A182" s="539"/>
    </row>
    <row r="183" hidden="1">
      <c r="A183" s="539"/>
    </row>
    <row r="184" hidden="1">
      <c r="A184" s="539"/>
    </row>
    <row r="185" hidden="1">
      <c r="A185" s="539"/>
    </row>
    <row r="186" hidden="1">
      <c r="A186" s="539"/>
    </row>
    <row r="187" hidden="1">
      <c r="A187" s="539"/>
    </row>
    <row r="188" hidden="1">
      <c r="A188" s="539"/>
    </row>
    <row r="189" hidden="1">
      <c r="A189" s="539"/>
    </row>
    <row r="190" hidden="1">
      <c r="A190" s="539"/>
    </row>
    <row r="191" hidden="1">
      <c r="A191" s="539"/>
    </row>
    <row r="192" hidden="1">
      <c r="A192" s="539"/>
    </row>
    <row r="193" hidden="1">
      <c r="A193" s="539"/>
    </row>
    <row r="194" hidden="1">
      <c r="A194" s="539"/>
    </row>
    <row r="195" hidden="1">
      <c r="A195" s="539"/>
    </row>
    <row r="196" hidden="1">
      <c r="A196" s="539"/>
    </row>
    <row r="197" hidden="1">
      <c r="A197" s="539"/>
    </row>
    <row r="198" hidden="1">
      <c r="A198" s="539"/>
    </row>
    <row r="199" hidden="1">
      <c r="A199" s="539"/>
    </row>
    <row r="200" hidden="1">
      <c r="A200" s="539"/>
    </row>
    <row r="201" hidden="1">
      <c r="A201" s="539"/>
    </row>
    <row r="202" hidden="1">
      <c r="A202" s="539"/>
    </row>
    <row r="203" hidden="1">
      <c r="A203" s="539"/>
    </row>
    <row r="204" hidden="1">
      <c r="A204" s="539"/>
    </row>
    <row r="205" hidden="1">
      <c r="A205" s="539"/>
    </row>
    <row r="206" hidden="1">
      <c r="A206" s="539"/>
    </row>
    <row r="207" hidden="1">
      <c r="A207" s="539"/>
    </row>
    <row r="208" hidden="1">
      <c r="A208" s="539"/>
    </row>
    <row r="209" hidden="1">
      <c r="A209" s="539"/>
    </row>
    <row r="210" hidden="1">
      <c r="A210" s="539"/>
    </row>
    <row r="211" hidden="1">
      <c r="A211" s="539"/>
    </row>
    <row r="212" hidden="1">
      <c r="A212" s="539"/>
    </row>
    <row r="213" hidden="1">
      <c r="A213" s="539"/>
    </row>
    <row r="214" hidden="1">
      <c r="A214" s="539"/>
    </row>
    <row r="215" hidden="1">
      <c r="A215" s="539"/>
    </row>
    <row r="216" hidden="1">
      <c r="A216" s="539"/>
    </row>
    <row r="217" hidden="1">
      <c r="A217" s="539"/>
    </row>
    <row r="218" hidden="1">
      <c r="A218" s="539"/>
    </row>
    <row r="219" hidden="1">
      <c r="A219" s="539"/>
    </row>
    <row r="220" hidden="1">
      <c r="A220" s="539"/>
    </row>
    <row r="221" hidden="1">
      <c r="A221" s="539"/>
    </row>
    <row r="222" hidden="1">
      <c r="A222" s="539"/>
    </row>
    <row r="223" hidden="1">
      <c r="A223" s="539"/>
    </row>
    <row r="224" hidden="1">
      <c r="A224" s="539"/>
    </row>
    <row r="225" hidden="1">
      <c r="A225" s="539"/>
    </row>
    <row r="226" hidden="1">
      <c r="A226" s="539"/>
    </row>
    <row r="227" hidden="1">
      <c r="A227" s="539"/>
    </row>
    <row r="228" hidden="1">
      <c r="A228" s="539"/>
    </row>
    <row r="229" hidden="1">
      <c r="A229" s="539"/>
    </row>
    <row r="230" hidden="1">
      <c r="A230" s="539"/>
    </row>
    <row r="231" hidden="1">
      <c r="A231" s="539"/>
    </row>
    <row r="232" hidden="1">
      <c r="A232" s="539"/>
    </row>
    <row r="233" hidden="1">
      <c r="A233" s="539"/>
    </row>
    <row r="234" hidden="1">
      <c r="A234" s="539"/>
    </row>
    <row r="235" hidden="1">
      <c r="A235" s="539"/>
    </row>
    <row r="236" hidden="1">
      <c r="A236" s="539"/>
    </row>
    <row r="237" hidden="1">
      <c r="A237" s="539"/>
    </row>
    <row r="238" hidden="1">
      <c r="A238" s="539"/>
    </row>
    <row r="239" hidden="1">
      <c r="A239" s="539"/>
    </row>
    <row r="240" hidden="1">
      <c r="A240" s="539"/>
    </row>
    <row r="241" hidden="1">
      <c r="A241" s="539"/>
    </row>
    <row r="242" hidden="1">
      <c r="A242" s="539"/>
    </row>
    <row r="243" hidden="1">
      <c r="A243" s="539"/>
    </row>
    <row r="244" hidden="1">
      <c r="A244" s="539"/>
    </row>
    <row r="245" hidden="1">
      <c r="A245" s="539"/>
    </row>
    <row r="246" hidden="1">
      <c r="A246" s="539"/>
    </row>
    <row r="247" hidden="1">
      <c r="A247" s="539"/>
    </row>
    <row r="248" hidden="1">
      <c r="A248" s="539"/>
    </row>
    <row r="249" hidden="1">
      <c r="A249" s="539"/>
    </row>
    <row r="250" hidden="1">
      <c r="A250" s="539"/>
    </row>
    <row r="251" hidden="1">
      <c r="A251" s="539"/>
    </row>
    <row r="252" hidden="1">
      <c r="A252" s="539"/>
    </row>
    <row r="253" hidden="1">
      <c r="A253" s="539"/>
    </row>
    <row r="254" hidden="1">
      <c r="A254" s="539"/>
    </row>
    <row r="255" hidden="1">
      <c r="A255" s="539"/>
    </row>
    <row r="256" hidden="1">
      <c r="A256" s="539"/>
    </row>
    <row r="257" hidden="1">
      <c r="A257" s="539"/>
    </row>
    <row r="258" hidden="1">
      <c r="A258" s="539"/>
    </row>
    <row r="259" hidden="1">
      <c r="A259" s="539"/>
    </row>
    <row r="260" hidden="1">
      <c r="A260" s="539"/>
    </row>
    <row r="261" hidden="1">
      <c r="A261" s="539"/>
    </row>
    <row r="262" hidden="1">
      <c r="A262" s="539"/>
    </row>
    <row r="263" hidden="1">
      <c r="A263" s="539"/>
    </row>
    <row r="264" hidden="1">
      <c r="A264" s="539"/>
    </row>
    <row r="265" hidden="1">
      <c r="A265" s="539"/>
    </row>
    <row r="266" hidden="1">
      <c r="A266" s="539"/>
    </row>
    <row r="267" hidden="1">
      <c r="A267" s="539"/>
    </row>
    <row r="268" hidden="1">
      <c r="A268" s="539"/>
    </row>
    <row r="269" hidden="1">
      <c r="A269" s="539"/>
    </row>
    <row r="270" hidden="1">
      <c r="A270" s="539"/>
    </row>
    <row r="271" hidden="1">
      <c r="A271" s="539"/>
    </row>
    <row r="272" hidden="1">
      <c r="A272" s="539"/>
    </row>
    <row r="273" hidden="1">
      <c r="A273" s="539"/>
    </row>
    <row r="274" hidden="1">
      <c r="A274" s="539"/>
    </row>
    <row r="275" hidden="1">
      <c r="A275" s="539"/>
    </row>
    <row r="276" hidden="1">
      <c r="A276" s="539"/>
    </row>
    <row r="277" hidden="1">
      <c r="A277" s="539"/>
    </row>
    <row r="278" hidden="1">
      <c r="A278" s="539"/>
    </row>
    <row r="279" hidden="1">
      <c r="A279" s="539"/>
    </row>
    <row r="280" hidden="1">
      <c r="A280" s="539"/>
    </row>
    <row r="281" hidden="1">
      <c r="A281" s="539"/>
    </row>
    <row r="282" hidden="1">
      <c r="A282" s="539"/>
    </row>
    <row r="283" hidden="1">
      <c r="A283" s="539"/>
    </row>
    <row r="284" hidden="1">
      <c r="A284" s="539"/>
    </row>
    <row r="285" hidden="1">
      <c r="A285" s="539"/>
    </row>
    <row r="286" hidden="1">
      <c r="A286" s="539"/>
    </row>
    <row r="287" hidden="1">
      <c r="A287" s="539"/>
    </row>
    <row r="288" hidden="1">
      <c r="A288" s="539"/>
    </row>
    <row r="289" hidden="1">
      <c r="A289" s="539"/>
    </row>
    <row r="290" hidden="1">
      <c r="A290" s="539"/>
    </row>
    <row r="291" hidden="1">
      <c r="A291" s="539"/>
    </row>
    <row r="292" hidden="1">
      <c r="A292" s="539"/>
    </row>
    <row r="293" hidden="1">
      <c r="A293" s="539"/>
    </row>
    <row r="294" hidden="1">
      <c r="A294" s="539"/>
    </row>
    <row r="295" hidden="1">
      <c r="A295" s="539"/>
    </row>
    <row r="296" hidden="1">
      <c r="A296" s="539"/>
    </row>
    <row r="297" hidden="1">
      <c r="A297" s="539"/>
    </row>
    <row r="298" hidden="1">
      <c r="A298" s="539"/>
    </row>
    <row r="299" hidden="1">
      <c r="A299" s="539"/>
    </row>
    <row r="300" hidden="1">
      <c r="A300" s="539"/>
    </row>
    <row r="301" hidden="1">
      <c r="A301" s="539"/>
    </row>
    <row r="302" hidden="1">
      <c r="A302" s="539"/>
    </row>
    <row r="303" hidden="1">
      <c r="A303" s="539"/>
    </row>
    <row r="304" hidden="1">
      <c r="A304" s="539"/>
    </row>
    <row r="305" hidden="1">
      <c r="A305" s="539"/>
    </row>
    <row r="306" hidden="1">
      <c r="A306" s="539"/>
    </row>
    <row r="307" hidden="1">
      <c r="A307" s="539"/>
    </row>
    <row r="308" hidden="1">
      <c r="A308" s="539"/>
    </row>
    <row r="309" hidden="1">
      <c r="A309" s="539"/>
    </row>
    <row r="310" hidden="1">
      <c r="A310" s="539"/>
    </row>
    <row r="311" hidden="1">
      <c r="A311" s="539"/>
    </row>
    <row r="312" hidden="1">
      <c r="A312" s="539"/>
    </row>
    <row r="313" hidden="1">
      <c r="A313" s="539"/>
    </row>
    <row r="314" hidden="1">
      <c r="A314" s="539"/>
    </row>
    <row r="315" hidden="1">
      <c r="A315" s="539"/>
    </row>
    <row r="316" hidden="1">
      <c r="A316" s="539"/>
    </row>
    <row r="317" hidden="1">
      <c r="A317" s="539"/>
    </row>
    <row r="318" hidden="1">
      <c r="A318" s="539"/>
    </row>
    <row r="319" hidden="1">
      <c r="A319" s="539"/>
    </row>
    <row r="320" hidden="1">
      <c r="A320" s="539"/>
    </row>
    <row r="321" hidden="1">
      <c r="A321" s="539"/>
    </row>
    <row r="322" hidden="1">
      <c r="A322" s="539"/>
    </row>
    <row r="323" hidden="1">
      <c r="A323" s="539"/>
    </row>
    <row r="324" hidden="1">
      <c r="A324" s="539"/>
    </row>
    <row r="325" hidden="1">
      <c r="A325" s="539"/>
    </row>
    <row r="326" hidden="1">
      <c r="A326" s="539"/>
    </row>
    <row r="327" hidden="1">
      <c r="A327" s="539"/>
    </row>
    <row r="328" hidden="1">
      <c r="A328" s="539"/>
    </row>
    <row r="329" hidden="1">
      <c r="A329" s="539"/>
    </row>
    <row r="330" hidden="1">
      <c r="A330" s="539"/>
    </row>
    <row r="331" hidden="1">
      <c r="A331" s="539"/>
    </row>
    <row r="332" hidden="1">
      <c r="A332" s="539"/>
    </row>
    <row r="333" hidden="1">
      <c r="A333" s="539"/>
    </row>
    <row r="334" hidden="1">
      <c r="A334" s="539"/>
    </row>
    <row r="335" hidden="1">
      <c r="A335" s="539"/>
    </row>
    <row r="336" hidden="1">
      <c r="A336" s="539"/>
    </row>
    <row r="337" hidden="1">
      <c r="A337" s="539"/>
    </row>
    <row r="338" hidden="1">
      <c r="A338" s="539"/>
    </row>
    <row r="339" hidden="1">
      <c r="A339" s="539"/>
    </row>
    <row r="340" hidden="1">
      <c r="A340" s="539"/>
    </row>
    <row r="341" hidden="1">
      <c r="A341" s="539"/>
    </row>
    <row r="342" hidden="1">
      <c r="A342" s="539"/>
    </row>
    <row r="343" hidden="1">
      <c r="A343" s="539"/>
    </row>
    <row r="344" hidden="1">
      <c r="A344" s="539"/>
    </row>
    <row r="345" hidden="1">
      <c r="A345" s="539"/>
    </row>
    <row r="346" hidden="1">
      <c r="A346" s="539"/>
    </row>
    <row r="347" hidden="1">
      <c r="A347" s="539"/>
    </row>
    <row r="348" hidden="1">
      <c r="A348" s="539"/>
    </row>
    <row r="349" hidden="1">
      <c r="A349" s="539"/>
    </row>
    <row r="350" hidden="1">
      <c r="A350" s="539"/>
    </row>
    <row r="351" hidden="1">
      <c r="A351" s="539"/>
    </row>
    <row r="352" hidden="1">
      <c r="A352" s="539"/>
    </row>
    <row r="353" hidden="1">
      <c r="A353" s="539"/>
    </row>
    <row r="354" hidden="1">
      <c r="A354" s="539"/>
    </row>
    <row r="355" hidden="1">
      <c r="A355" s="539"/>
    </row>
    <row r="356" hidden="1">
      <c r="A356" s="539"/>
    </row>
    <row r="357" hidden="1">
      <c r="A357" s="539"/>
    </row>
    <row r="358" hidden="1">
      <c r="A358" s="539"/>
    </row>
    <row r="359" hidden="1">
      <c r="A359" s="539"/>
    </row>
    <row r="360" hidden="1">
      <c r="A360" s="539"/>
    </row>
    <row r="361" hidden="1">
      <c r="A361" s="539"/>
    </row>
    <row r="362" hidden="1">
      <c r="A362" s="539"/>
    </row>
    <row r="363" hidden="1">
      <c r="A363" s="539"/>
    </row>
    <row r="364" hidden="1">
      <c r="A364" s="539"/>
    </row>
    <row r="365" hidden="1">
      <c r="A365" s="539"/>
    </row>
    <row r="366" hidden="1">
      <c r="A366" s="539"/>
    </row>
    <row r="367" hidden="1">
      <c r="A367" s="539"/>
    </row>
    <row r="368" hidden="1">
      <c r="A368" s="539"/>
    </row>
    <row r="369" hidden="1">
      <c r="A369" s="539"/>
    </row>
    <row r="370" hidden="1">
      <c r="A370" s="539"/>
    </row>
    <row r="371" hidden="1">
      <c r="A371" s="539"/>
    </row>
    <row r="372" hidden="1">
      <c r="A372" s="539"/>
    </row>
    <row r="373" hidden="1">
      <c r="A373" s="539"/>
    </row>
    <row r="374" hidden="1">
      <c r="A374" s="539"/>
    </row>
    <row r="375" hidden="1">
      <c r="A375" s="539"/>
    </row>
    <row r="376" hidden="1">
      <c r="A376" s="539"/>
    </row>
    <row r="377" hidden="1">
      <c r="A377" s="539"/>
    </row>
    <row r="378" hidden="1">
      <c r="A378" s="539"/>
    </row>
    <row r="379" hidden="1">
      <c r="A379" s="539"/>
    </row>
    <row r="380" hidden="1">
      <c r="A380" s="539"/>
    </row>
    <row r="381" hidden="1">
      <c r="A381" s="539"/>
    </row>
    <row r="382" hidden="1">
      <c r="A382" s="539"/>
    </row>
    <row r="383" hidden="1">
      <c r="A383" s="539"/>
    </row>
    <row r="384" hidden="1">
      <c r="A384" s="539"/>
    </row>
    <row r="385" hidden="1">
      <c r="A385" s="539"/>
    </row>
    <row r="386" hidden="1">
      <c r="A386" s="539"/>
    </row>
    <row r="387" hidden="1">
      <c r="A387" s="539"/>
    </row>
    <row r="388" hidden="1">
      <c r="A388" s="539"/>
    </row>
    <row r="389" hidden="1">
      <c r="A389" s="539"/>
    </row>
    <row r="390" hidden="1">
      <c r="A390" s="539"/>
    </row>
    <row r="391" hidden="1">
      <c r="A391" s="539"/>
    </row>
    <row r="392" hidden="1">
      <c r="A392" s="539"/>
    </row>
    <row r="393" hidden="1">
      <c r="A393" s="539"/>
    </row>
    <row r="394" hidden="1">
      <c r="A394" s="539"/>
    </row>
    <row r="395" hidden="1">
      <c r="A395" s="539"/>
    </row>
    <row r="396" hidden="1">
      <c r="A396" s="539"/>
    </row>
    <row r="397" hidden="1">
      <c r="A397" s="539"/>
    </row>
    <row r="398" hidden="1">
      <c r="A398" s="539"/>
    </row>
    <row r="399" hidden="1">
      <c r="A399" s="539"/>
    </row>
    <row r="400" hidden="1">
      <c r="A400" s="539"/>
    </row>
    <row r="401" hidden="1">
      <c r="A401" s="539"/>
    </row>
    <row r="402" hidden="1">
      <c r="A402" s="539"/>
    </row>
    <row r="403" hidden="1">
      <c r="A403" s="539"/>
    </row>
    <row r="404" hidden="1">
      <c r="A404" s="539"/>
    </row>
    <row r="405" hidden="1">
      <c r="A405" s="539"/>
    </row>
    <row r="406" hidden="1">
      <c r="A406" s="539"/>
    </row>
    <row r="407" hidden="1">
      <c r="A407" s="539"/>
    </row>
    <row r="408" hidden="1">
      <c r="A408" s="539"/>
    </row>
    <row r="409" hidden="1">
      <c r="A409" s="539"/>
    </row>
    <row r="410" hidden="1">
      <c r="A410" s="539"/>
    </row>
    <row r="411" hidden="1">
      <c r="A411" s="539"/>
    </row>
    <row r="412" hidden="1">
      <c r="A412" s="539"/>
    </row>
    <row r="413" hidden="1">
      <c r="A413" s="539"/>
    </row>
    <row r="414" hidden="1">
      <c r="A414" s="539"/>
    </row>
    <row r="415" hidden="1">
      <c r="A415" s="539"/>
    </row>
    <row r="416" hidden="1">
      <c r="A416" s="539"/>
    </row>
    <row r="417" hidden="1">
      <c r="A417" s="539"/>
    </row>
    <row r="418" hidden="1">
      <c r="A418" s="539"/>
    </row>
    <row r="419" hidden="1">
      <c r="A419" s="539"/>
    </row>
    <row r="420" hidden="1">
      <c r="A420" s="539"/>
    </row>
    <row r="421" hidden="1">
      <c r="A421" s="539"/>
    </row>
    <row r="422" hidden="1">
      <c r="A422" s="539"/>
    </row>
    <row r="423" hidden="1">
      <c r="A423" s="539"/>
    </row>
    <row r="424" hidden="1">
      <c r="A424" s="539"/>
    </row>
    <row r="425" hidden="1">
      <c r="A425" s="539"/>
    </row>
    <row r="426" hidden="1">
      <c r="A426" s="539"/>
    </row>
    <row r="427" hidden="1">
      <c r="A427" s="539"/>
    </row>
    <row r="428" hidden="1">
      <c r="A428" s="539"/>
    </row>
    <row r="429" hidden="1">
      <c r="A429" s="539"/>
    </row>
    <row r="430" hidden="1">
      <c r="A430" s="539"/>
    </row>
    <row r="431" hidden="1">
      <c r="A431" s="539"/>
    </row>
    <row r="432" hidden="1">
      <c r="A432" s="539"/>
    </row>
    <row r="433" hidden="1">
      <c r="A433" s="539"/>
    </row>
    <row r="434" hidden="1">
      <c r="A434" s="539"/>
    </row>
    <row r="435" hidden="1">
      <c r="A435" s="539"/>
    </row>
    <row r="436" hidden="1">
      <c r="A436" s="539"/>
    </row>
    <row r="437" hidden="1">
      <c r="A437" s="539"/>
    </row>
    <row r="438" hidden="1">
      <c r="A438" s="539"/>
    </row>
    <row r="439" hidden="1">
      <c r="A439" s="539"/>
    </row>
    <row r="440" hidden="1">
      <c r="A440" s="539"/>
    </row>
    <row r="441" hidden="1">
      <c r="A441" s="539"/>
    </row>
    <row r="442" hidden="1">
      <c r="A442" s="539"/>
    </row>
    <row r="443" hidden="1">
      <c r="A443" s="539"/>
    </row>
    <row r="444" hidden="1">
      <c r="A444" s="539"/>
    </row>
    <row r="445" hidden="1">
      <c r="A445" s="539"/>
    </row>
    <row r="446" hidden="1">
      <c r="A446" s="539"/>
    </row>
    <row r="447" hidden="1">
      <c r="A447" s="539"/>
    </row>
    <row r="448" hidden="1">
      <c r="A448" s="539"/>
    </row>
    <row r="449" hidden="1">
      <c r="A449" s="539"/>
    </row>
    <row r="450" hidden="1">
      <c r="A450" s="539"/>
    </row>
    <row r="451" hidden="1">
      <c r="A451" s="539"/>
    </row>
    <row r="452" hidden="1">
      <c r="A452" s="539"/>
    </row>
    <row r="453" hidden="1">
      <c r="A453" s="539"/>
    </row>
    <row r="454" hidden="1">
      <c r="A454" s="539"/>
    </row>
    <row r="455" hidden="1">
      <c r="A455" s="539"/>
    </row>
    <row r="456" hidden="1">
      <c r="A456" s="539"/>
    </row>
    <row r="457" hidden="1">
      <c r="A457" s="539"/>
    </row>
    <row r="458" hidden="1">
      <c r="A458" s="539"/>
    </row>
    <row r="459" hidden="1">
      <c r="A459" s="539"/>
    </row>
    <row r="460" hidden="1">
      <c r="A460" s="539"/>
    </row>
    <row r="461" hidden="1">
      <c r="A461" s="539"/>
    </row>
    <row r="462" hidden="1">
      <c r="A462" s="539"/>
    </row>
    <row r="463" hidden="1">
      <c r="A463" s="539"/>
    </row>
    <row r="464" hidden="1">
      <c r="A464" s="539"/>
    </row>
    <row r="465" hidden="1">
      <c r="A465" s="539"/>
    </row>
    <row r="466" hidden="1">
      <c r="A466" s="539"/>
    </row>
    <row r="467" hidden="1">
      <c r="A467" s="539"/>
    </row>
    <row r="468" hidden="1">
      <c r="A468" s="539"/>
    </row>
    <row r="469" hidden="1">
      <c r="A469" s="539"/>
    </row>
    <row r="470" hidden="1">
      <c r="A470" s="539"/>
    </row>
    <row r="471" hidden="1">
      <c r="A471" s="539"/>
    </row>
    <row r="472" hidden="1">
      <c r="A472" s="539"/>
    </row>
    <row r="473" hidden="1">
      <c r="A473" s="539"/>
    </row>
    <row r="474" hidden="1">
      <c r="A474" s="539"/>
    </row>
    <row r="475" hidden="1">
      <c r="A475" s="539"/>
    </row>
    <row r="476" hidden="1">
      <c r="A476" s="539"/>
    </row>
    <row r="477" hidden="1">
      <c r="A477" s="539"/>
    </row>
    <row r="478" hidden="1">
      <c r="A478" s="539"/>
    </row>
    <row r="479" hidden="1">
      <c r="A479" s="539"/>
    </row>
    <row r="480" hidden="1">
      <c r="A480" s="539"/>
    </row>
    <row r="481" hidden="1">
      <c r="A481" s="539"/>
    </row>
    <row r="482" hidden="1">
      <c r="A482" s="539"/>
    </row>
    <row r="483" hidden="1">
      <c r="A483" s="539"/>
    </row>
    <row r="484" hidden="1">
      <c r="A484" s="539"/>
    </row>
    <row r="485" hidden="1">
      <c r="A485" s="539"/>
    </row>
    <row r="486" hidden="1">
      <c r="A486" s="539"/>
    </row>
    <row r="487" hidden="1">
      <c r="A487" s="539"/>
    </row>
    <row r="488" hidden="1">
      <c r="A488" s="539"/>
    </row>
    <row r="489" hidden="1">
      <c r="A489" s="539"/>
    </row>
    <row r="490" hidden="1">
      <c r="A490" s="539"/>
    </row>
    <row r="491" hidden="1">
      <c r="A491" s="539"/>
    </row>
    <row r="492" hidden="1">
      <c r="A492" s="539"/>
    </row>
    <row r="493" hidden="1">
      <c r="A493" s="539"/>
    </row>
    <row r="494" hidden="1">
      <c r="A494" s="539"/>
    </row>
    <row r="495" hidden="1">
      <c r="A495" s="539"/>
    </row>
    <row r="496" hidden="1">
      <c r="A496" s="539"/>
    </row>
    <row r="497" hidden="1">
      <c r="A497" s="539"/>
    </row>
    <row r="498" hidden="1">
      <c r="A498" s="539"/>
    </row>
    <row r="499" hidden="1">
      <c r="A499" s="539"/>
    </row>
    <row r="500" hidden="1">
      <c r="A500" s="539"/>
    </row>
    <row r="501" hidden="1">
      <c r="A501" s="539"/>
    </row>
    <row r="502" hidden="1">
      <c r="A502" s="539"/>
    </row>
    <row r="503" hidden="1">
      <c r="A503" s="539"/>
    </row>
    <row r="504" hidden="1">
      <c r="A504" s="539"/>
    </row>
    <row r="505" hidden="1">
      <c r="A505" s="539"/>
    </row>
    <row r="506" hidden="1">
      <c r="A506" s="539"/>
    </row>
    <row r="507" hidden="1">
      <c r="A507" s="539"/>
    </row>
    <row r="508" hidden="1">
      <c r="A508" s="539"/>
    </row>
    <row r="509" hidden="1">
      <c r="A509" s="539"/>
    </row>
    <row r="510" hidden="1">
      <c r="A510" s="539"/>
    </row>
    <row r="511" hidden="1">
      <c r="A511" s="539"/>
    </row>
    <row r="512" hidden="1">
      <c r="A512" s="539"/>
    </row>
    <row r="513" hidden="1">
      <c r="A513" s="539"/>
    </row>
    <row r="514" hidden="1">
      <c r="A514" s="539"/>
    </row>
    <row r="515" hidden="1">
      <c r="A515" s="539"/>
    </row>
    <row r="516" hidden="1">
      <c r="A516" s="539"/>
    </row>
    <row r="517" hidden="1">
      <c r="A517" s="539"/>
    </row>
    <row r="518" hidden="1">
      <c r="A518" s="539"/>
    </row>
    <row r="519" hidden="1">
      <c r="A519" s="539"/>
    </row>
    <row r="520" hidden="1">
      <c r="A520" s="539"/>
    </row>
    <row r="521" hidden="1">
      <c r="A521" s="539"/>
    </row>
    <row r="522" hidden="1">
      <c r="A522" s="539"/>
    </row>
    <row r="523" hidden="1">
      <c r="A523" s="539"/>
    </row>
    <row r="524" hidden="1">
      <c r="A524" s="539"/>
    </row>
    <row r="525" hidden="1">
      <c r="A525" s="539"/>
    </row>
    <row r="526" hidden="1">
      <c r="A526" s="539"/>
    </row>
    <row r="527" hidden="1">
      <c r="A527" s="539"/>
    </row>
    <row r="528" hidden="1">
      <c r="A528" s="539"/>
    </row>
    <row r="529" hidden="1">
      <c r="A529" s="539"/>
    </row>
    <row r="530" hidden="1">
      <c r="A530" s="539"/>
    </row>
    <row r="531" hidden="1">
      <c r="A531" s="539"/>
    </row>
    <row r="532" hidden="1">
      <c r="A532" s="539"/>
    </row>
    <row r="533" hidden="1">
      <c r="A533" s="539"/>
    </row>
    <row r="534" hidden="1">
      <c r="A534" s="539"/>
    </row>
    <row r="535" hidden="1">
      <c r="A535" s="539"/>
    </row>
    <row r="536" hidden="1">
      <c r="A536" s="539"/>
    </row>
    <row r="537" hidden="1">
      <c r="A537" s="539"/>
    </row>
    <row r="538" hidden="1">
      <c r="A538" s="539"/>
    </row>
    <row r="539" hidden="1">
      <c r="A539" s="539"/>
    </row>
    <row r="540" hidden="1">
      <c r="A540" s="539"/>
    </row>
    <row r="541" hidden="1">
      <c r="A541" s="539"/>
    </row>
    <row r="542" hidden="1">
      <c r="A542" s="539"/>
    </row>
    <row r="543" hidden="1">
      <c r="A543" s="539"/>
    </row>
    <row r="544" hidden="1">
      <c r="A544" s="539"/>
    </row>
    <row r="545" hidden="1">
      <c r="A545" s="539"/>
    </row>
    <row r="546" hidden="1">
      <c r="A546" s="539"/>
    </row>
    <row r="547" hidden="1">
      <c r="A547" s="539"/>
    </row>
    <row r="548" hidden="1">
      <c r="A548" s="539"/>
    </row>
    <row r="549" hidden="1">
      <c r="A549" s="539"/>
    </row>
    <row r="550" hidden="1">
      <c r="A550" s="539"/>
    </row>
    <row r="551" hidden="1">
      <c r="A551" s="539"/>
    </row>
    <row r="552" hidden="1">
      <c r="A552" s="539"/>
    </row>
    <row r="553" hidden="1">
      <c r="A553" s="539"/>
    </row>
    <row r="554" hidden="1">
      <c r="A554" s="539"/>
    </row>
    <row r="555" hidden="1">
      <c r="A555" s="539"/>
    </row>
  </sheetData>
  <customSheetViews>
    <customSheetView guid="{74F68D30-D7F0-4E4C-B357-108302572BB3}" filter="1" showAutoFilter="1">
      <autoFilter ref="$Z$13"/>
    </customSheetView>
  </customSheetViews>
  <mergeCells count="50">
    <mergeCell ref="B1:F2"/>
    <mergeCell ref="H1:T2"/>
    <mergeCell ref="U1:Y2"/>
    <mergeCell ref="B4:F4"/>
    <mergeCell ref="H4:M5"/>
    <mergeCell ref="O4:Y4"/>
    <mergeCell ref="B5:F5"/>
    <mergeCell ref="B6:C6"/>
    <mergeCell ref="D6:F6"/>
    <mergeCell ref="H6:I6"/>
    <mergeCell ref="J6:K6"/>
    <mergeCell ref="L6:M6"/>
    <mergeCell ref="B7:C7"/>
    <mergeCell ref="D7:F7"/>
    <mergeCell ref="B8:F9"/>
    <mergeCell ref="H9:I9"/>
    <mergeCell ref="J9:K9"/>
    <mergeCell ref="L9:M9"/>
    <mergeCell ref="B11:C11"/>
    <mergeCell ref="D11:F11"/>
    <mergeCell ref="H11:M11"/>
    <mergeCell ref="J16:M16"/>
    <mergeCell ref="O16:Y16"/>
    <mergeCell ref="B12:C12"/>
    <mergeCell ref="D12:F12"/>
    <mergeCell ref="L12:M12"/>
    <mergeCell ref="B13:F14"/>
    <mergeCell ref="L13:M13"/>
    <mergeCell ref="L14:M14"/>
    <mergeCell ref="B16:F16"/>
    <mergeCell ref="B17:D18"/>
    <mergeCell ref="H17:I17"/>
    <mergeCell ref="H18:I18"/>
    <mergeCell ref="H19:I19"/>
    <mergeCell ref="B20:F20"/>
    <mergeCell ref="H20:I20"/>
    <mergeCell ref="H21:I21"/>
    <mergeCell ref="H29:I29"/>
    <mergeCell ref="H30:I30"/>
    <mergeCell ref="H31:I31"/>
    <mergeCell ref="H32:I32"/>
    <mergeCell ref="H33:I33"/>
    <mergeCell ref="B36:C36"/>
    <mergeCell ref="H22:I22"/>
    <mergeCell ref="H23:I23"/>
    <mergeCell ref="H24:I24"/>
    <mergeCell ref="H25:I25"/>
    <mergeCell ref="H26:I26"/>
    <mergeCell ref="H27:I27"/>
    <mergeCell ref="H28:I28"/>
  </mergeCells>
  <conditionalFormatting sqref="I16">
    <cfRule type="cellIs" dxfId="9" priority="1" operator="lessThan">
      <formula>0</formula>
    </cfRule>
  </conditionalFormatting>
  <conditionalFormatting sqref="I16">
    <cfRule type="cellIs" dxfId="39" priority="2" operator="greaterThanOrEqual">
      <formula>0</formula>
    </cfRule>
  </conditionalFormatting>
  <conditionalFormatting sqref="H8:M9 H13:M14">
    <cfRule type="expression" dxfId="40" priority="3">
      <formula>NOT($A$1)</formula>
    </cfRule>
  </conditionalFormatting>
  <conditionalFormatting sqref="H8:H9 I8 J8:J9 K8 L8:L9 M8 H13:L14 B17:D18 E18:F18 J18:M33">
    <cfRule type="cellIs" dxfId="9" priority="4" operator="lessThan">
      <formula>0</formula>
    </cfRule>
  </conditionalFormatting>
  <conditionalFormatting sqref="H8:H9 I8 J8:J9 K8 L8:L9 M8 H13:L14 B17:D18 E18:F18 J18:M33">
    <cfRule type="cellIs" dxfId="10" priority="5" operator="greaterThanOrEqual">
      <formula>0</formula>
    </cfRule>
  </conditionalFormatting>
  <conditionalFormatting sqref="B7:F7">
    <cfRule type="expression" dxfId="8" priority="6">
      <formula>IF($B$38&gt;=0,TRUE,FALSE)</formula>
    </cfRule>
  </conditionalFormatting>
  <conditionalFormatting sqref="B7:F7">
    <cfRule type="expression" dxfId="24" priority="7">
      <formula>IF($B$38&lt;0,TRUE,FALSE)</formula>
    </cfRule>
  </conditionalFormatting>
  <conditionalFormatting sqref="B12:F12">
    <cfRule type="expression" dxfId="8" priority="8">
      <formula>IF($C$38&gt;=0,TRUE)</formula>
    </cfRule>
  </conditionalFormatting>
  <conditionalFormatting sqref="B12:F12">
    <cfRule type="expression" dxfId="24" priority="9">
      <formula>IF($C$38&lt;0,TRUE)</formula>
    </cfRule>
  </conditionalFormatting>
  <drawing r:id="rId2"/>
  <legacyDrawing r:id="rId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showGridLines="0" workbookViewId="0"/>
  </sheetViews>
  <sheetFormatPr customHeight="1" defaultColWidth="15.13" defaultRowHeight="15.75"/>
  <cols>
    <col customWidth="1" min="1" max="1" width="2.63"/>
    <col customWidth="1" min="2" max="5" width="10.75"/>
    <col customWidth="1" min="6" max="6" width="2.63"/>
    <col customWidth="1" min="7" max="9" width="10.75"/>
    <col customWidth="1" min="10" max="26" width="7.88"/>
    <col customWidth="1" min="27" max="27" width="1.13"/>
    <col customWidth="1" hidden="1" min="28" max="31" width="11.75"/>
  </cols>
  <sheetData>
    <row r="1" ht="12.75" customHeight="1">
      <c r="A1" s="576"/>
      <c r="B1" s="513" t="str">
        <f>HYPERLINK("bit.ly/dlombelloplanilhas","dlombello®planilhas "&amp;leiame!B6)</f>
        <v>dlombello®planilhas v6.4.02</v>
      </c>
      <c r="C1" s="514"/>
      <c r="D1" s="514"/>
      <c r="E1" s="124" t="b">
        <v>0</v>
      </c>
      <c r="F1" s="516" t="s">
        <v>367</v>
      </c>
      <c r="G1" s="514"/>
      <c r="H1" s="514"/>
      <c r="I1" s="514"/>
      <c r="J1" s="514"/>
      <c r="K1" s="514"/>
      <c r="L1" s="514"/>
      <c r="M1" s="514"/>
      <c r="N1" s="514"/>
      <c r="O1" s="514"/>
      <c r="P1" s="514"/>
      <c r="Q1" s="514"/>
      <c r="R1" s="514"/>
      <c r="S1" s="514"/>
      <c r="T1" s="514"/>
      <c r="U1" s="514"/>
      <c r="V1" s="514"/>
      <c r="W1" s="514"/>
      <c r="X1" s="577"/>
      <c r="Y1" s="514"/>
      <c r="Z1" s="217"/>
      <c r="AB1" s="578" t="s">
        <v>368</v>
      </c>
      <c r="AC1" s="579"/>
      <c r="AD1" s="579"/>
      <c r="AE1" s="579"/>
    </row>
    <row r="2" ht="12.75" customHeight="1">
      <c r="A2" s="576"/>
      <c r="B2" s="230"/>
      <c r="C2" s="519"/>
      <c r="D2" s="519"/>
      <c r="F2" s="230"/>
      <c r="G2" s="519"/>
      <c r="H2" s="519"/>
      <c r="I2" s="519"/>
      <c r="J2" s="519"/>
      <c r="K2" s="519"/>
      <c r="L2" s="519"/>
      <c r="M2" s="519"/>
      <c r="N2" s="519"/>
      <c r="O2" s="519"/>
      <c r="P2" s="519"/>
      <c r="Q2" s="519"/>
      <c r="R2" s="519"/>
      <c r="S2" s="519"/>
      <c r="T2" s="519"/>
      <c r="U2" s="519"/>
      <c r="V2" s="519"/>
      <c r="W2" s="519"/>
      <c r="X2" s="230"/>
      <c r="Y2" s="519"/>
      <c r="Z2" s="231"/>
      <c r="AB2" s="578" t="b">
        <f>AND($E$1,ConfigOn)</f>
        <v>0</v>
      </c>
      <c r="AC2" s="579"/>
      <c r="AD2" s="579"/>
      <c r="AE2" s="579"/>
    </row>
    <row r="3" ht="6.75" customHeight="1">
      <c r="A3" s="576"/>
      <c r="B3" s="56"/>
      <c r="C3" s="580"/>
      <c r="D3" s="56"/>
      <c r="E3" s="56"/>
      <c r="F3" s="581"/>
      <c r="G3" s="582"/>
      <c r="H3" s="582"/>
      <c r="I3" s="582"/>
      <c r="J3" s="582"/>
      <c r="K3" s="582"/>
      <c r="L3" s="582"/>
      <c r="M3" s="582"/>
      <c r="N3" s="582"/>
      <c r="O3" s="582"/>
      <c r="P3" s="582"/>
      <c r="Q3" s="582"/>
      <c r="R3" s="582"/>
      <c r="S3" s="582"/>
      <c r="T3" s="582"/>
      <c r="U3" s="582"/>
      <c r="V3" s="582"/>
      <c r="W3" s="582"/>
      <c r="X3" s="582"/>
      <c r="Y3" s="582"/>
      <c r="Z3" s="582"/>
      <c r="AB3" s="583"/>
      <c r="AC3" s="579"/>
      <c r="AD3" s="579"/>
      <c r="AE3" s="579"/>
    </row>
    <row r="4" ht="18.0" customHeight="1">
      <c r="A4" s="576"/>
      <c r="B4" s="584" t="s">
        <v>369</v>
      </c>
      <c r="C4" s="170"/>
      <c r="D4" s="170"/>
      <c r="E4" s="318"/>
      <c r="F4" s="581"/>
      <c r="G4" s="585" t="s">
        <v>118</v>
      </c>
      <c r="H4" s="50"/>
      <c r="I4" s="50"/>
      <c r="J4" s="50"/>
      <c r="K4" s="586" t="b">
        <v>0</v>
      </c>
      <c r="L4" s="586" t="b">
        <v>0</v>
      </c>
      <c r="M4" s="586" t="b">
        <v>0</v>
      </c>
      <c r="N4" s="586" t="b">
        <v>0</v>
      </c>
      <c r="O4" s="586" t="b">
        <v>0</v>
      </c>
      <c r="P4" s="586" t="b">
        <v>0</v>
      </c>
      <c r="Q4" s="586" t="b">
        <v>0</v>
      </c>
      <c r="R4" s="586" t="b">
        <v>0</v>
      </c>
      <c r="S4" s="586" t="b">
        <v>0</v>
      </c>
      <c r="T4" s="586" t="b">
        <v>0</v>
      </c>
      <c r="U4" s="586" t="b">
        <v>0</v>
      </c>
      <c r="V4" s="586" t="b">
        <v>0</v>
      </c>
      <c r="W4" s="586" t="b">
        <v>0</v>
      </c>
      <c r="X4" s="586" t="b">
        <v>0</v>
      </c>
      <c r="Y4" s="586" t="b">
        <v>0</v>
      </c>
      <c r="Z4" s="586" t="b">
        <v>0</v>
      </c>
      <c r="AA4" s="587"/>
      <c r="AB4" s="588" t="s">
        <v>370</v>
      </c>
      <c r="AD4" s="588" t="s">
        <v>371</v>
      </c>
    </row>
    <row r="5">
      <c r="A5" s="576"/>
      <c r="B5" s="589" t="str">
        <f>IF(AND(B7="",D7=""),"Digite ano e mês ou digite data de início e fim","Período "&amp;TEXT(AD6,"dd.mm.yyyy")&amp;" a "&amp;TEXT(AE6,"dd.mm.yyyy"))</f>
        <v>Digite ano e mês ou digite data de início e fim</v>
      </c>
      <c r="C5" s="170"/>
      <c r="D5" s="170"/>
      <c r="E5" s="318"/>
      <c r="F5" s="581"/>
      <c r="G5" s="113"/>
      <c r="K5" s="590" t="str">
        <f t="array" ref="K5:U5">TRANSPOSE(CarteirasListaCriadasComTotal)</f>
        <v>TODAS AS CARTEIRAS</v>
      </c>
      <c r="L5" s="591"/>
      <c r="M5" s="591"/>
      <c r="N5" s="591"/>
      <c r="O5" s="591"/>
      <c r="P5" s="591"/>
      <c r="Q5" s="591"/>
      <c r="R5" s="591"/>
      <c r="S5" s="591"/>
      <c r="T5" s="591"/>
      <c r="U5" s="591"/>
      <c r="V5" s="591"/>
      <c r="W5" s="591"/>
      <c r="X5" s="591"/>
      <c r="Y5" s="591"/>
      <c r="Z5" s="591"/>
      <c r="AA5" s="587"/>
      <c r="AB5" s="588" t="s">
        <v>372</v>
      </c>
      <c r="AC5" s="588" t="s">
        <v>373</v>
      </c>
      <c r="AD5" s="588" t="s">
        <v>374</v>
      </c>
      <c r="AE5" s="588" t="s">
        <v>373</v>
      </c>
    </row>
    <row r="6">
      <c r="A6" s="576"/>
      <c r="B6" s="592" t="s">
        <v>375</v>
      </c>
      <c r="C6" s="593" t="s">
        <v>376</v>
      </c>
      <c r="D6" s="592" t="s">
        <v>377</v>
      </c>
      <c r="E6" s="592" t="s">
        <v>378</v>
      </c>
      <c r="F6" s="581"/>
      <c r="G6" s="68"/>
      <c r="H6" s="69"/>
      <c r="I6" s="69"/>
      <c r="J6" s="69"/>
      <c r="K6" s="594"/>
      <c r="L6" s="594"/>
      <c r="M6" s="594"/>
      <c r="N6" s="594"/>
      <c r="O6" s="594"/>
      <c r="P6" s="594"/>
      <c r="Q6" s="594"/>
      <c r="R6" s="594"/>
      <c r="S6" s="594"/>
      <c r="T6" s="594"/>
      <c r="U6" s="594"/>
      <c r="V6" s="594"/>
      <c r="W6" s="594"/>
      <c r="X6" s="594"/>
      <c r="Y6" s="594"/>
      <c r="Z6" s="594"/>
      <c r="AA6" s="587"/>
      <c r="AB6" s="595">
        <f>date(B7,if(C7="Janeiro",1,if(C7="Fevereiro",2,if(C7="Marco",3,if(C7="Abril",4,if(C7="Maio",5,if(C7="Junho",6,if(C7="Julho",7,if(C7="Agosto",8,if(C7="Setembro",9,if(C7="Outubro",10,if(C7="Novembro",11,12))))))))))),1)</f>
        <v>336</v>
      </c>
      <c r="AC6" s="595">
        <f>eomonth(AB6,0)</f>
        <v>366</v>
      </c>
      <c r="AD6" s="595">
        <f>if(D7="",AB6,D7)</f>
        <v>336</v>
      </c>
      <c r="AE6" s="595">
        <f>if(D7="",AC6,E7)</f>
        <v>366</v>
      </c>
    </row>
    <row r="7">
      <c r="A7" s="576"/>
      <c r="B7" s="596"/>
      <c r="C7" s="596"/>
      <c r="D7" s="597"/>
      <c r="E7" s="597"/>
      <c r="F7" s="581"/>
      <c r="G7" s="598"/>
      <c r="H7" s="599"/>
      <c r="I7" s="599"/>
      <c r="J7" s="599"/>
      <c r="K7" s="599"/>
      <c r="L7" s="599"/>
      <c r="M7" s="599"/>
      <c r="N7" s="599"/>
      <c r="O7" s="599"/>
      <c r="P7" s="599"/>
      <c r="Q7" s="599"/>
      <c r="R7" s="599"/>
      <c r="S7" s="599"/>
      <c r="T7" s="599"/>
      <c r="U7" s="599"/>
      <c r="V7" s="599"/>
      <c r="W7" s="599"/>
      <c r="X7" s="599"/>
      <c r="Y7" s="599"/>
      <c r="Z7" s="599"/>
      <c r="AA7" s="587"/>
      <c r="AB7" s="600"/>
      <c r="AC7" s="601"/>
      <c r="AD7" s="601"/>
      <c r="AE7" s="601"/>
    </row>
    <row r="8">
      <c r="A8" s="576"/>
      <c r="B8" s="602" t="s">
        <v>379</v>
      </c>
      <c r="C8" s="70"/>
      <c r="D8" s="603" t="s">
        <v>380</v>
      </c>
      <c r="E8" s="70"/>
      <c r="F8" s="581"/>
      <c r="G8" s="604" t="s">
        <v>381</v>
      </c>
      <c r="H8" s="50"/>
      <c r="I8" s="605" t="s">
        <v>382</v>
      </c>
      <c r="J8" s="606">
        <f>eomonth(today(),-1)</f>
        <v>46081</v>
      </c>
      <c r="K8" s="606">
        <f>eomonth(today(),-2)</f>
        <v>46053</v>
      </c>
      <c r="L8" s="606">
        <f>eomonth(today(),-3)</f>
        <v>46022</v>
      </c>
      <c r="M8" s="606">
        <f>eomonth(today(),-4)</f>
        <v>45991</v>
      </c>
      <c r="N8" s="606">
        <f>eomonth(today(),-5)</f>
        <v>45961</v>
      </c>
      <c r="O8" s="606">
        <f>eomonth(today(),-6)</f>
        <v>45930</v>
      </c>
      <c r="P8" s="606">
        <f>eomonth(today(),-7)</f>
        <v>45900</v>
      </c>
      <c r="Q8" s="606">
        <f>eomonth(today(),-8)</f>
        <v>45869</v>
      </c>
      <c r="R8" s="606">
        <f>eomonth(today(),-9)</f>
        <v>45838</v>
      </c>
      <c r="S8" s="606">
        <f>eomonth(today(),-10)</f>
        <v>45808</v>
      </c>
      <c r="T8" s="606">
        <f>eomonth(today(),-11)</f>
        <v>45777</v>
      </c>
      <c r="U8" s="606">
        <f>eomonth(today(),-12)</f>
        <v>45747</v>
      </c>
      <c r="V8" s="607">
        <f>year(today())</f>
        <v>2026</v>
      </c>
      <c r="W8" s="607">
        <f>year(today())-1</f>
        <v>2025</v>
      </c>
      <c r="X8" s="608">
        <f>year(today())-2</f>
        <v>2024</v>
      </c>
      <c r="Y8" s="607">
        <f>year(today())-3</f>
        <v>2023</v>
      </c>
      <c r="Z8" s="608">
        <f>year(today())-4</f>
        <v>2022</v>
      </c>
      <c r="AA8" s="587"/>
      <c r="AB8" s="609" t="s">
        <v>383</v>
      </c>
      <c r="AC8" s="601"/>
      <c r="AD8" s="601"/>
      <c r="AE8" s="601"/>
    </row>
    <row r="9">
      <c r="A9" s="576"/>
      <c r="B9" s="592" t="s">
        <v>384</v>
      </c>
      <c r="C9" s="593" t="s">
        <v>380</v>
      </c>
      <c r="D9" s="592" t="s">
        <v>385</v>
      </c>
      <c r="E9" s="592" t="s">
        <v>386</v>
      </c>
      <c r="F9" s="581"/>
      <c r="G9" s="68"/>
      <c r="H9" s="69"/>
      <c r="I9" s="594"/>
      <c r="J9" s="594"/>
      <c r="K9" s="594"/>
      <c r="L9" s="594"/>
      <c r="M9" s="594"/>
      <c r="N9" s="594"/>
      <c r="O9" s="594"/>
      <c r="P9" s="594"/>
      <c r="Q9" s="594"/>
      <c r="R9" s="594"/>
      <c r="S9" s="594"/>
      <c r="T9" s="594"/>
      <c r="U9" s="594"/>
      <c r="V9" s="594"/>
      <c r="W9" s="594"/>
      <c r="X9" s="594"/>
      <c r="Y9" s="594"/>
      <c r="Z9" s="594"/>
      <c r="AA9" s="587"/>
      <c r="AB9" s="133"/>
      <c r="AC9" s="601"/>
      <c r="AD9" s="482" t="s">
        <v>387</v>
      </c>
      <c r="AE9" s="496" t="s">
        <v>388</v>
      </c>
    </row>
    <row r="10">
      <c r="A10" s="576"/>
      <c r="B10" s="610"/>
      <c r="C10" s="611"/>
      <c r="D10" s="111"/>
      <c r="E10" s="612">
        <f>sum(E11:E310)</f>
        <v>0</v>
      </c>
      <c r="F10" s="581"/>
      <c r="G10" s="613" t="s">
        <v>206</v>
      </c>
      <c r="H10" s="614">
        <f>SUM(H11:H310)</f>
        <v>0</v>
      </c>
      <c r="I10" s="615">
        <f t="shared" ref="I10:Z10" si="1">sum(I11:I310)</f>
        <v>0</v>
      </c>
      <c r="J10" s="616">
        <f t="shared" si="1"/>
        <v>0</v>
      </c>
      <c r="K10" s="616">
        <f t="shared" si="1"/>
        <v>0</v>
      </c>
      <c r="L10" s="616">
        <f t="shared" si="1"/>
        <v>0</v>
      </c>
      <c r="M10" s="616">
        <f t="shared" si="1"/>
        <v>0</v>
      </c>
      <c r="N10" s="616">
        <f t="shared" si="1"/>
        <v>0</v>
      </c>
      <c r="O10" s="616">
        <f t="shared" si="1"/>
        <v>0</v>
      </c>
      <c r="P10" s="616">
        <f t="shared" si="1"/>
        <v>0</v>
      </c>
      <c r="Q10" s="616">
        <f t="shared" si="1"/>
        <v>0</v>
      </c>
      <c r="R10" s="616">
        <f t="shared" si="1"/>
        <v>0</v>
      </c>
      <c r="S10" s="616">
        <f t="shared" si="1"/>
        <v>0</v>
      </c>
      <c r="T10" s="616">
        <f t="shared" si="1"/>
        <v>0</v>
      </c>
      <c r="U10" s="616">
        <f t="shared" si="1"/>
        <v>0</v>
      </c>
      <c r="V10" s="616">
        <f t="shared" si="1"/>
        <v>0</v>
      </c>
      <c r="W10" s="616">
        <f t="shared" si="1"/>
        <v>0</v>
      </c>
      <c r="X10" s="616">
        <f t="shared" si="1"/>
        <v>0</v>
      </c>
      <c r="Y10" s="616">
        <f t="shared" si="1"/>
        <v>0</v>
      </c>
      <c r="Z10" s="616">
        <f t="shared" si="1"/>
        <v>0</v>
      </c>
      <c r="AA10" s="587"/>
      <c r="AB10" s="617"/>
      <c r="AC10" s="601"/>
      <c r="AD10" s="618" t="str">
        <f>IFERROR(__xludf.DUMMYFUNCTION("IFERROR("" (Col2 = '""&amp;join(""' or Col2 = '"",filter(carteiras.!AE6:AE20, AD12:AD26))&amp;""') "")"),"")</f>
        <v/>
      </c>
      <c r="AE10" s="578" t="str">
        <f>if(AND(AD10="",AD11=false),"Col2 = ''",AD10)</f>
        <v/>
      </c>
    </row>
    <row r="11">
      <c r="A11" s="619">
        <v>1.0</v>
      </c>
      <c r="B11" s="620" t="str">
        <f>IFERROR(__xludf.DUMMYFUNCTION("IF(NOT($AB$2),"""",IFERROR(query({proventos!$B$5:$Q310},""Select Col1, Col2, Col3, Col16 where Col1 is not null and Col2 &gt;= DATE '""&amp;TEXT(AD6,""yyyy-mm-dd"")&amp;""' and Col2 &lt;= date '""&amp;TEXT(AE6,""yyyy-mm-dd"")&amp;""' order by ""&amp;IF(D8=""Data"",""Col2, Col1"","&amp;"""Col1, Col2 asc""),0)))"),"")</f>
        <v/>
      </c>
      <c r="C11" s="621"/>
      <c r="D11" s="622"/>
      <c r="E11" s="623"/>
      <c r="F11" s="624">
        <v>1.0</v>
      </c>
      <c r="G11" s="625" t="str">
        <f t="array" ref="G11">IF(NOT($AB$2),"",AE11:AE370)</f>
        <v/>
      </c>
      <c r="H11" s="626" t="str">
        <f>if(G11="","",IFERROR(VLOOKUP(G11,AtivosDados,MATCH("provento_avg",portfolio.!$A$3:AE$3,0),FALSE),""))</f>
        <v/>
      </c>
      <c r="I11" s="627" t="str">
        <f t="array" ref="I11:I310">IF(G11:G310="","",J11:J310+K11:K310+L11:L310+M11:M310+N11:N310+O11:O310+P11:P310+Q11:Q310+R11:R310+S11:S310+T11:T310+U11:U310)</f>
        <v/>
      </c>
      <c r="J11" s="628" t="str">
        <f>IFERROR(__xludf.DUMMYFUNCTION("IF($G11="""","""",IFERROR(query({proventos!$B$5:$Q310},""Select sum(Col16) where Col1 = '""&amp;$G11&amp;""' and Col2 &gt; date '""&amp;TEXT(K$8,""yyyy-mm-dd"")&amp;""' and Col2 &lt;= date '""&amp;TEXT(J$8,""yyyy-mm-dd"")&amp;""' label sum(Col16) ''"",0)))"),"")</f>
        <v/>
      </c>
      <c r="K11" s="628" t="str">
        <f>IFERROR(__xludf.DUMMYFUNCTION("IF($G11="""","""",IFERROR(query({proventos!$B$5:$Q310},""Select sum(Col16) where Col1 = '""&amp;$G11&amp;""' and Col2 &gt; date '""&amp;TEXT(L$8,""yyyy-mm-dd"")&amp;""' and Col2 &lt;= date '""&amp;TEXT(K$8,""yyyy-mm-dd"")&amp;""' label sum(Col16) ''"",0)))"),"")</f>
        <v/>
      </c>
      <c r="L11" s="628" t="str">
        <f>IFERROR(__xludf.DUMMYFUNCTION("IF($G11="""","""",IFERROR(query({proventos!$B$5:$Q310},""Select sum(Col16) where Col1 = '""&amp;$G11&amp;""' and Col2 &gt; date '""&amp;TEXT(M$8,""yyyy-mm-dd"")&amp;""' and Col2 &lt;= date '""&amp;TEXT(L$8,""yyyy-mm-dd"")&amp;""' label sum(Col16) ''"",0)))"),"")</f>
        <v/>
      </c>
      <c r="M11" s="628" t="str">
        <f>IFERROR(__xludf.DUMMYFUNCTION("IF($G11="""","""",IFERROR(query({proventos!$B$5:$Q310},""Select sum(Col16) where Col1 = '""&amp;$G11&amp;""' and Col2 &gt; date '""&amp;TEXT(N$8,""yyyy-mm-dd"")&amp;""' and Col2 &lt;= date '""&amp;TEXT(M$8,""yyyy-mm-dd"")&amp;""' label sum(Col16) ''"",0)))"),"")</f>
        <v/>
      </c>
      <c r="N11" s="628" t="str">
        <f>IFERROR(__xludf.DUMMYFUNCTION("IF($G11="""","""",IFERROR(query({proventos!$B$5:$Q310},""Select sum(Col16) where Col1 = '""&amp;$G11&amp;""' and Col2 &gt; date '""&amp;TEXT(O$8,""yyyy-mm-dd"")&amp;""' and Col2 &lt;= date '""&amp;TEXT(N$8,""yyyy-mm-dd"")&amp;""' label sum(Col16) ''"",0)))"),"")</f>
        <v/>
      </c>
      <c r="O11" s="628" t="str">
        <f>IFERROR(__xludf.DUMMYFUNCTION("IF($G11="""","""",IFERROR(query({proventos!$B$5:$Q310},""Select sum(Col16) where Col1 = '""&amp;$G11&amp;""' and Col2 &gt; date '""&amp;TEXT(P$8,""yyyy-mm-dd"")&amp;""' and Col2 &lt;= date '""&amp;TEXT(O$8,""yyyy-mm-dd"")&amp;""' label sum(Col16) ''"",0)))"),"")</f>
        <v/>
      </c>
      <c r="P11" s="628" t="str">
        <f>IFERROR(__xludf.DUMMYFUNCTION("IF($G11="""","""",IFERROR(query({proventos!$B$5:$Q310},""Select sum(Col16) where Col1 = '""&amp;$G11&amp;""' and Col2 &gt; date '""&amp;TEXT(Q$8,""yyyy-mm-dd"")&amp;""' and Col2 &lt;= date '""&amp;TEXT(P$8,""yyyy-mm-dd"")&amp;""' label sum(Col16) ''"",0)))"),"")</f>
        <v/>
      </c>
      <c r="Q11" s="628" t="str">
        <f>IFERROR(__xludf.DUMMYFUNCTION("IF($G11="""","""",IFERROR(query({proventos!$B$5:$Q310},""Select sum(Col16) where Col1 = '""&amp;$G11&amp;""' and Col2 &gt; date '""&amp;TEXT(R$8,""yyyy-mm-dd"")&amp;""' and Col2 &lt;= date '""&amp;TEXT(Q$8,""yyyy-mm-dd"")&amp;""' label sum(Col16) ''"",0)))"),"")</f>
        <v/>
      </c>
      <c r="R11" s="628" t="str">
        <f>IFERROR(__xludf.DUMMYFUNCTION("IF($G11="""","""",IFERROR(query({proventos!$B$5:$Q310},""Select sum(Col16) where Col1 = '""&amp;$G11&amp;""' and Col2 &gt; date '""&amp;TEXT(S$8,""yyyy-mm-dd"")&amp;""' and Col2 &lt;= date '""&amp;TEXT(R$8,""yyyy-mm-dd"")&amp;""' label sum(Col16) ''"",0)))"),"")</f>
        <v/>
      </c>
      <c r="S11" s="628" t="str">
        <f>IFERROR(__xludf.DUMMYFUNCTION("IF($G11="""","""",IFERROR(query({proventos!$B$5:$Q310},""Select sum(Col16) where Col1 = '""&amp;$G11&amp;""' and Col2 &gt; date '""&amp;TEXT(T$8,""yyyy-mm-dd"")&amp;""' and Col2 &lt;= date '""&amp;TEXT(S$8,""yyyy-mm-dd"")&amp;""' label sum(Col16) ''"",0)))"),"")</f>
        <v/>
      </c>
      <c r="T11" s="628" t="str">
        <f>IFERROR(__xludf.DUMMYFUNCTION("IF($G11="""","""",IFERROR(query({proventos!$B$5:$Q310},""Select sum(Col16) where Col1 = '""&amp;$G11&amp;""' and Col2 &gt; date '""&amp;TEXT(U$8,""yyyy-mm-dd"")&amp;""' and Col2 &lt;= date '""&amp;TEXT(T$8,""yyyy-mm-dd"")&amp;""' label sum(Col16) ''"",0)))"),"")</f>
        <v/>
      </c>
      <c r="U11" s="629" t="str">
        <f>IFERROR(__xludf.DUMMYFUNCTION("IF($G11="""","""",IFERROR(query({proventos!$B$5:$Q310},""Select sum(Col16) where Col1 = '""&amp;$G11&amp;""' and Col2 &gt; date '""&amp;TEXT(EOMONTH(TODAY(),-13),""yyyy-mm-dd"")&amp;""' and Col2 &lt;= date '""&amp;TEXT(U$8,""yyyy-mm-dd"")&amp;""' label sum(Col16) ''"",0)))"),"")</f>
        <v/>
      </c>
      <c r="V11" s="630" t="str">
        <f>IFERROR(__xludf.DUMMYFUNCTION("IF($G11="""","""",IFERROR(query({proventos!$B$5:$Q310},""Select sum(Col16) where Col1 = '""&amp;$G11&amp;""' and Col2 &gt; date '""&amp;TEXT(DATE(V$8,1,1),""yyyy-mm-dd"")&amp;""' and Col2 &lt;= date '""&amp;TEXT(DATE(V$8,12,31),""yyyy-mm-dd"")&amp;""' label sum(Col16) ''"",0)))"),"")</f>
        <v/>
      </c>
      <c r="W11" s="630" t="str">
        <f>IFERROR(__xludf.DUMMYFUNCTION("IF($G11="""","""",IFERROR(query({proventos!$B$5:$Q310},""Select sum(Col16) where Col1 = '""&amp;$G11&amp;""' and Col2 &gt; date '""&amp;TEXT(DATE(W$8,1,1),""yyyy-mm-dd"")&amp;""' and Col2 &lt;= date '""&amp;TEXT(DATE(W$8,12,31),""yyyy-mm-dd"")&amp;""' label sum(Col16) ''"",0)))"),"")</f>
        <v/>
      </c>
      <c r="X11" s="630" t="str">
        <f>IFERROR(__xludf.DUMMYFUNCTION("IF($G11="""","""",IFERROR(query({proventos!$B$5:$Q310},""Select sum(Col16) where Col1 = '""&amp;$G11&amp;""' and Col2 &gt; date '""&amp;TEXT(DATE(X$8,1,1),""yyyy-mm-dd"")&amp;""' and Col2 &lt;= date '""&amp;TEXT(DATE(X$8,12,31),""yyyy-mm-dd"")&amp;""' label sum(Col16) ''"",0)))"),"")</f>
        <v/>
      </c>
      <c r="Y11" s="630" t="str">
        <f>IFERROR(__xludf.DUMMYFUNCTION("IF($G11="""","""",IFERROR(query({proventos!$B$5:$Q310},""Select sum(Col16) where Col1 = '""&amp;$G11&amp;""' and Col2 &gt; date '""&amp;TEXT(DATE(Y$8,1,1),""yyyy-mm-dd"")&amp;""' and Col2 &lt;= date '""&amp;TEXT(DATE(Y$8,12,31),""yyyy-mm-dd"")&amp;""' label sum(Col16) ''"",0)))"),"")</f>
        <v/>
      </c>
      <c r="Z11" s="630" t="str">
        <f>IFERROR(__xludf.DUMMYFUNCTION("IF($G11="""","""",IFERROR(query({proventos!$B$5:$Q310},""Select sum(Col16) where Col1 = '""&amp;$G11&amp;""' and Col2 &gt; date '""&amp;TEXT(DATE(Z$8,1,1),""yyyy-mm-dd"")&amp;""' and Col2 &lt;= date '""&amp;TEXT(DATE(Z$8,12,31),""yyyy-mm-dd"")&amp;""' label sum(Col16) ''"",0)))"),"")</f>
        <v/>
      </c>
      <c r="AA11" s="587"/>
      <c r="AB11" s="578" t="str">
        <f t="array" ref="AB11:AB310">IF(G11:G310="","",IF(IFERROR(VLOOKUP(G11:G310,CarteirasAtivos,1,FALSE),"")=G11:G310,"",G11:G310))</f>
        <v/>
      </c>
      <c r="AC11" s="601"/>
      <c r="AD11" s="578" t="str">
        <f t="array" ref="AD11">IF(NOT(AB2),"",TRANSPOSE(ProventosSelecao))</f>
        <v/>
      </c>
      <c r="AE11" s="631" t="str">
        <f>IFERROR(__xludf.DUMMYFUNCTION("sortn(unique(IF(AD11=FALSE,IFERROR(query({CarteirasAtivos;CarteirasAtivosEncerrados},CONCATENATE(""Select Col1 where Col1 is not null"",IF(AE10="""","""","" and ""&amp;AE10)),0 )),IFERROR(Query({proventos!B5:C310},""Select Col1 where Col1 is not null and Col2"&amp;" &gt;= date '""&amp;TEXT(EOMONTH(TODAY(),-61),""yyyy-mm-dd"")&amp;""'"")))),300)"),"")</f>
        <v/>
      </c>
    </row>
    <row r="12">
      <c r="A12" s="619">
        <v>2.0</v>
      </c>
      <c r="B12" s="620"/>
      <c r="C12" s="632"/>
      <c r="D12" s="633"/>
      <c r="E12" s="634"/>
      <c r="F12" s="624">
        <v>2.0</v>
      </c>
      <c r="G12" s="635"/>
      <c r="H12" s="626" t="str">
        <f>if(G12="","",IFERROR(VLOOKUP(G12,AtivosDados,MATCH("provento_avg",portfolio.!$A$3:AE$3,0),FALSE),""))</f>
        <v/>
      </c>
      <c r="I12" s="627" t="s">
        <v>123</v>
      </c>
      <c r="J12" s="628" t="str">
        <f>IFERROR(__xludf.DUMMYFUNCTION("IF($G12="""","""",IFERROR(query({proventos!$B$5:$Q310},""Select sum(Col16) where Col1 = '""&amp;$G12&amp;""' and Col2 &gt; date '""&amp;TEXT(K$8,""yyyy-mm-dd"")&amp;""' and Col2 &lt;= date '""&amp;TEXT(J$8,""yyyy-mm-dd"")&amp;""' label sum(Col16) ''"",0)))"),"")</f>
        <v/>
      </c>
      <c r="K12" s="628" t="str">
        <f>IFERROR(__xludf.DUMMYFUNCTION("IF($G12="""","""",IFERROR(query({proventos!$B$5:$Q310},""Select sum(Col16) where Col1 = '""&amp;$G12&amp;""' and Col2 &gt; date '""&amp;TEXT(L$8,""yyyy-mm-dd"")&amp;""' and Col2 &lt;= date '""&amp;TEXT(K$8,""yyyy-mm-dd"")&amp;""' label sum(Col16) ''"",0)))"),"")</f>
        <v/>
      </c>
      <c r="L12" s="628" t="str">
        <f>IFERROR(__xludf.DUMMYFUNCTION("IF($G12="""","""",IFERROR(query({proventos!$B$5:$Q310},""Select sum(Col16) where Col1 = '""&amp;$G12&amp;""' and Col2 &gt; date '""&amp;TEXT(M$8,""yyyy-mm-dd"")&amp;""' and Col2 &lt;= date '""&amp;TEXT(L$8,""yyyy-mm-dd"")&amp;""' label sum(Col16) ''"",0)))"),"")</f>
        <v/>
      </c>
      <c r="M12" s="628" t="str">
        <f>IFERROR(__xludf.DUMMYFUNCTION("IF($G12="""","""",IFERROR(query({proventos!$B$5:$Q310},""Select sum(Col16) where Col1 = '""&amp;$G12&amp;""' and Col2 &gt; date '""&amp;TEXT(N$8,""yyyy-mm-dd"")&amp;""' and Col2 &lt;= date '""&amp;TEXT(M$8,""yyyy-mm-dd"")&amp;""' label sum(Col16) ''"",0)))"),"")</f>
        <v/>
      </c>
      <c r="N12" s="628" t="str">
        <f>IFERROR(__xludf.DUMMYFUNCTION("IF($G12="""","""",IFERROR(query({proventos!$B$5:$Q310},""Select sum(Col16) where Col1 = '""&amp;$G12&amp;""' and Col2 &gt; date '""&amp;TEXT(O$8,""yyyy-mm-dd"")&amp;""' and Col2 &lt;= date '""&amp;TEXT(N$8,""yyyy-mm-dd"")&amp;""' label sum(Col16) ''"",0)))"),"")</f>
        <v/>
      </c>
      <c r="O12" s="628" t="str">
        <f>IFERROR(__xludf.DUMMYFUNCTION("IF($G12="""","""",IFERROR(query({proventos!$B$5:$Q310},""Select sum(Col16) where Col1 = '""&amp;$G12&amp;""' and Col2 &gt; date '""&amp;TEXT(P$8,""yyyy-mm-dd"")&amp;""' and Col2 &lt;= date '""&amp;TEXT(O$8,""yyyy-mm-dd"")&amp;""' label sum(Col16) ''"",0)))"),"")</f>
        <v/>
      </c>
      <c r="P12" s="628" t="str">
        <f>IFERROR(__xludf.DUMMYFUNCTION("IF($G12="""","""",IFERROR(query({proventos!$B$5:$Q310},""Select sum(Col16) where Col1 = '""&amp;$G12&amp;""' and Col2 &gt; date '""&amp;TEXT(Q$8,""yyyy-mm-dd"")&amp;""' and Col2 &lt;= date '""&amp;TEXT(P$8,""yyyy-mm-dd"")&amp;""' label sum(Col16) ''"",0)))"),"")</f>
        <v/>
      </c>
      <c r="Q12" s="628" t="str">
        <f>IFERROR(__xludf.DUMMYFUNCTION("IF($G12="""","""",IFERROR(query({proventos!$B$5:$Q310},""Select sum(Col16) where Col1 = '""&amp;$G12&amp;""' and Col2 &gt; date '""&amp;TEXT(R$8,""yyyy-mm-dd"")&amp;""' and Col2 &lt;= date '""&amp;TEXT(Q$8,""yyyy-mm-dd"")&amp;""' label sum(Col16) ''"",0)))"),"")</f>
        <v/>
      </c>
      <c r="R12" s="628" t="str">
        <f>IFERROR(__xludf.DUMMYFUNCTION("IF($G12="""","""",IFERROR(query({proventos!$B$5:$Q310},""Select sum(Col16) where Col1 = '""&amp;$G12&amp;""' and Col2 &gt; date '""&amp;TEXT(S$8,""yyyy-mm-dd"")&amp;""' and Col2 &lt;= date '""&amp;TEXT(R$8,""yyyy-mm-dd"")&amp;""' label sum(Col16) ''"",0)))"),"")</f>
        <v/>
      </c>
      <c r="S12" s="628" t="str">
        <f>IFERROR(__xludf.DUMMYFUNCTION("IF($G12="""","""",IFERROR(query({proventos!$B$5:$Q310},""Select sum(Col16) where Col1 = '""&amp;$G12&amp;""' and Col2 &gt; date '""&amp;TEXT(T$8,""yyyy-mm-dd"")&amp;""' and Col2 &lt;= date '""&amp;TEXT(S$8,""yyyy-mm-dd"")&amp;""' label sum(Col16) ''"",0)))"),"")</f>
        <v/>
      </c>
      <c r="T12" s="628" t="str">
        <f>IFERROR(__xludf.DUMMYFUNCTION("IF($G12="""","""",IFERROR(query({proventos!$B$5:$Q310},""Select sum(Col16) where Col1 = '""&amp;$G12&amp;""' and Col2 &gt; date '""&amp;TEXT(U$8,""yyyy-mm-dd"")&amp;""' and Col2 &lt;= date '""&amp;TEXT(T$8,""yyyy-mm-dd"")&amp;""' label sum(Col16) ''"",0)))"),"")</f>
        <v/>
      </c>
      <c r="U12" s="629" t="str">
        <f>IFERROR(__xludf.DUMMYFUNCTION("IF($G12="""","""",IFERROR(query({proventos!$B$5:$Q310},""Select sum(Col16) where Col1 = '""&amp;$G12&amp;""' and Col2 &gt; date '""&amp;TEXT(EOMONTH(TODAY(),-13),""yyyy-mm-dd"")&amp;""' and Col2 &lt;= date '""&amp;TEXT(U$8,""yyyy-mm-dd"")&amp;""' label sum(Col16) ''"",0)))"),"")</f>
        <v/>
      </c>
      <c r="V12" s="630" t="str">
        <f>IFERROR(__xludf.DUMMYFUNCTION("IF($G12="""","""",IFERROR(query({proventos!$B$5:$Q310},""Select sum(Col16) where Col1 = '""&amp;$G12&amp;""' and Col2 &gt; date '""&amp;TEXT(DATE(V$8,1,1),""yyyy-mm-dd"")&amp;""' and Col2 &lt;= date '""&amp;TEXT(DATE(V$8,12,31),""yyyy-mm-dd"")&amp;""' label sum(Col16) ''"",0)))"),"")</f>
        <v/>
      </c>
      <c r="W12" s="630" t="str">
        <f>IFERROR(__xludf.DUMMYFUNCTION("IF($G12="""","""",IFERROR(query({proventos!$B$5:$Q310},""Select sum(Col16) where Col1 = '""&amp;$G12&amp;""' and Col2 &gt; date '""&amp;TEXT(DATE(W$8,1,1),""yyyy-mm-dd"")&amp;""' and Col2 &lt;= date '""&amp;TEXT(DATE(W$8,12,31),""yyyy-mm-dd"")&amp;""' label sum(Col16) ''"",0)))"),"")</f>
        <v/>
      </c>
      <c r="X12" s="630" t="str">
        <f>IFERROR(__xludf.DUMMYFUNCTION("IF($G12="""","""",IFERROR(query({proventos!$B$5:$Q310},""Select sum(Col16) where Col1 = '""&amp;$G12&amp;""' and Col2 &gt; date '""&amp;TEXT(DATE(X$8,1,1),""yyyy-mm-dd"")&amp;""' and Col2 &lt;= date '""&amp;TEXT(DATE(X$8,12,31),""yyyy-mm-dd"")&amp;""' label sum(Col16) ''"",0)))"),"")</f>
        <v/>
      </c>
      <c r="Y12" s="630" t="str">
        <f>IFERROR(__xludf.DUMMYFUNCTION("IF($G12="""","""",IFERROR(query({proventos!$B$5:$Q310},""Select sum(Col16) where Col1 = '""&amp;$G12&amp;""' and Col2 &gt; date '""&amp;TEXT(DATE(Y$8,1,1),""yyyy-mm-dd"")&amp;""' and Col2 &lt;= date '""&amp;TEXT(DATE(Y$8,12,31),""yyyy-mm-dd"")&amp;""' label sum(Col16) ''"",0)))"),"")</f>
        <v/>
      </c>
      <c r="Z12" s="630" t="str">
        <f>IFERROR(__xludf.DUMMYFUNCTION("IF($G12="""","""",IFERROR(query({proventos!$B$5:$Q310},""Select sum(Col16) where Col1 = '""&amp;$G12&amp;""' and Col2 &gt; date '""&amp;TEXT(DATE(Z$8,1,1),""yyyy-mm-dd"")&amp;""' and Col2 &lt;= date '""&amp;TEXT(DATE(Z$8,12,31),""yyyy-mm-dd"")&amp;""' label sum(Col16) ''"",0)))"),"")</f>
        <v/>
      </c>
      <c r="AA12" s="587"/>
      <c r="AB12" s="578" t="s">
        <v>123</v>
      </c>
      <c r="AC12" s="601"/>
      <c r="AD12" s="631"/>
      <c r="AE12" s="631"/>
    </row>
    <row r="13">
      <c r="A13" s="619">
        <v>3.0</v>
      </c>
      <c r="B13" s="620"/>
      <c r="C13" s="632"/>
      <c r="D13" s="633"/>
      <c r="E13" s="634"/>
      <c r="F13" s="624">
        <v>3.0</v>
      </c>
      <c r="G13" s="635"/>
      <c r="H13" s="626" t="str">
        <f>if(G13="","",IFERROR(VLOOKUP(G13,AtivosDados,MATCH("provento_avg",portfolio.!$A$3:AE$3,0),FALSE),""))</f>
        <v/>
      </c>
      <c r="I13" s="627" t="s">
        <v>123</v>
      </c>
      <c r="J13" s="628" t="str">
        <f>IFERROR(__xludf.DUMMYFUNCTION("IF($G13="""","""",IFERROR(query({proventos!$B$5:$Q310},""Select sum(Col16) where Col1 = '""&amp;$G13&amp;""' and Col2 &gt; date '""&amp;TEXT(K$8,""yyyy-mm-dd"")&amp;""' and Col2 &lt;= date '""&amp;TEXT(J$8,""yyyy-mm-dd"")&amp;""' label sum(Col16) ''"",0)))"),"")</f>
        <v/>
      </c>
      <c r="K13" s="628" t="str">
        <f>IFERROR(__xludf.DUMMYFUNCTION("IF($G13="""","""",IFERROR(query({proventos!$B$5:$Q310},""Select sum(Col16) where Col1 = '""&amp;$G13&amp;""' and Col2 &gt; date '""&amp;TEXT(L$8,""yyyy-mm-dd"")&amp;""' and Col2 &lt;= date '""&amp;TEXT(K$8,""yyyy-mm-dd"")&amp;""' label sum(Col16) ''"",0)))"),"")</f>
        <v/>
      </c>
      <c r="L13" s="628" t="str">
        <f>IFERROR(__xludf.DUMMYFUNCTION("IF($G13="""","""",IFERROR(query({proventos!$B$5:$Q310},""Select sum(Col16) where Col1 = '""&amp;$G13&amp;""' and Col2 &gt; date '""&amp;TEXT(M$8,""yyyy-mm-dd"")&amp;""' and Col2 &lt;= date '""&amp;TEXT(L$8,""yyyy-mm-dd"")&amp;""' label sum(Col16) ''"",0)))"),"")</f>
        <v/>
      </c>
      <c r="M13" s="628" t="str">
        <f>IFERROR(__xludf.DUMMYFUNCTION("IF($G13="""","""",IFERROR(query({proventos!$B$5:$Q310},""Select sum(Col16) where Col1 = '""&amp;$G13&amp;""' and Col2 &gt; date '""&amp;TEXT(N$8,""yyyy-mm-dd"")&amp;""' and Col2 &lt;= date '""&amp;TEXT(M$8,""yyyy-mm-dd"")&amp;""' label sum(Col16) ''"",0)))"),"")</f>
        <v/>
      </c>
      <c r="N13" s="628" t="str">
        <f>IFERROR(__xludf.DUMMYFUNCTION("IF($G13="""","""",IFERROR(query({proventos!$B$5:$Q310},""Select sum(Col16) where Col1 = '""&amp;$G13&amp;""' and Col2 &gt; date '""&amp;TEXT(O$8,""yyyy-mm-dd"")&amp;""' and Col2 &lt;= date '""&amp;TEXT(N$8,""yyyy-mm-dd"")&amp;""' label sum(Col16) ''"",0)))"),"")</f>
        <v/>
      </c>
      <c r="O13" s="628" t="str">
        <f>IFERROR(__xludf.DUMMYFUNCTION("IF($G13="""","""",IFERROR(query({proventos!$B$5:$Q310},""Select sum(Col16) where Col1 = '""&amp;$G13&amp;""' and Col2 &gt; date '""&amp;TEXT(P$8,""yyyy-mm-dd"")&amp;""' and Col2 &lt;= date '""&amp;TEXT(O$8,""yyyy-mm-dd"")&amp;""' label sum(Col16) ''"",0)))"),"")</f>
        <v/>
      </c>
      <c r="P13" s="628" t="str">
        <f>IFERROR(__xludf.DUMMYFUNCTION("IF($G13="""","""",IFERROR(query({proventos!$B$5:$Q310},""Select sum(Col16) where Col1 = '""&amp;$G13&amp;""' and Col2 &gt; date '""&amp;TEXT(Q$8,""yyyy-mm-dd"")&amp;""' and Col2 &lt;= date '""&amp;TEXT(P$8,""yyyy-mm-dd"")&amp;""' label sum(Col16) ''"",0)))"),"")</f>
        <v/>
      </c>
      <c r="Q13" s="628" t="str">
        <f>IFERROR(__xludf.DUMMYFUNCTION("IF($G13="""","""",IFERROR(query({proventos!$B$5:$Q310},""Select sum(Col16) where Col1 = '""&amp;$G13&amp;""' and Col2 &gt; date '""&amp;TEXT(R$8,""yyyy-mm-dd"")&amp;""' and Col2 &lt;= date '""&amp;TEXT(Q$8,""yyyy-mm-dd"")&amp;""' label sum(Col16) ''"",0)))"),"")</f>
        <v/>
      </c>
      <c r="R13" s="628" t="str">
        <f>IFERROR(__xludf.DUMMYFUNCTION("IF($G13="""","""",IFERROR(query({proventos!$B$5:$Q310},""Select sum(Col16) where Col1 = '""&amp;$G13&amp;""' and Col2 &gt; date '""&amp;TEXT(S$8,""yyyy-mm-dd"")&amp;""' and Col2 &lt;= date '""&amp;TEXT(R$8,""yyyy-mm-dd"")&amp;""' label sum(Col16) ''"",0)))"),"")</f>
        <v/>
      </c>
      <c r="S13" s="628" t="str">
        <f>IFERROR(__xludf.DUMMYFUNCTION("IF($G13="""","""",IFERROR(query({proventos!$B$5:$Q310},""Select sum(Col16) where Col1 = '""&amp;$G13&amp;""' and Col2 &gt; date '""&amp;TEXT(T$8,""yyyy-mm-dd"")&amp;""' and Col2 &lt;= date '""&amp;TEXT(S$8,""yyyy-mm-dd"")&amp;""' label sum(Col16) ''"",0)))"),"")</f>
        <v/>
      </c>
      <c r="T13" s="628" t="str">
        <f>IFERROR(__xludf.DUMMYFUNCTION("IF($G13="""","""",IFERROR(query({proventos!$B$5:$Q310},""Select sum(Col16) where Col1 = '""&amp;$G13&amp;""' and Col2 &gt; date '""&amp;TEXT(U$8,""yyyy-mm-dd"")&amp;""' and Col2 &lt;= date '""&amp;TEXT(T$8,""yyyy-mm-dd"")&amp;""' label sum(Col16) ''"",0)))"),"")</f>
        <v/>
      </c>
      <c r="U13" s="629" t="str">
        <f>IFERROR(__xludf.DUMMYFUNCTION("IF($G13="""","""",IFERROR(query({proventos!$B$5:$Q310},""Select sum(Col16) where Col1 = '""&amp;$G13&amp;""' and Col2 &gt; date '""&amp;TEXT(EOMONTH(TODAY(),-13),""yyyy-mm-dd"")&amp;""' and Col2 &lt;= date '""&amp;TEXT(U$8,""yyyy-mm-dd"")&amp;""' label sum(Col16) ''"",0)))"),"")</f>
        <v/>
      </c>
      <c r="V13" s="630" t="str">
        <f>IFERROR(__xludf.DUMMYFUNCTION("IF($G13="""","""",IFERROR(query({proventos!$B$5:$Q310},""Select sum(Col16) where Col1 = '""&amp;$G13&amp;""' and Col2 &gt; date '""&amp;TEXT(DATE(V$8,1,1),""yyyy-mm-dd"")&amp;""' and Col2 &lt;= date '""&amp;TEXT(DATE(V$8,12,31),""yyyy-mm-dd"")&amp;""' label sum(Col16) ''"",0)))"),"")</f>
        <v/>
      </c>
      <c r="W13" s="630" t="str">
        <f>IFERROR(__xludf.DUMMYFUNCTION("IF($G13="""","""",IFERROR(query({proventos!$B$5:$Q310},""Select sum(Col16) where Col1 = '""&amp;$G13&amp;""' and Col2 &gt; date '""&amp;TEXT(DATE(W$8,1,1),""yyyy-mm-dd"")&amp;""' and Col2 &lt;= date '""&amp;TEXT(DATE(W$8,12,31),""yyyy-mm-dd"")&amp;""' label sum(Col16) ''"",0)))"),"")</f>
        <v/>
      </c>
      <c r="X13" s="630" t="str">
        <f>IFERROR(__xludf.DUMMYFUNCTION("IF($G13="""","""",IFERROR(query({proventos!$B$5:$Q310},""Select sum(Col16) where Col1 = '""&amp;$G13&amp;""' and Col2 &gt; date '""&amp;TEXT(DATE(X$8,1,1),""yyyy-mm-dd"")&amp;""' and Col2 &lt;= date '""&amp;TEXT(DATE(X$8,12,31),""yyyy-mm-dd"")&amp;""' label sum(Col16) ''"",0)))"),"")</f>
        <v/>
      </c>
      <c r="Y13" s="630" t="str">
        <f>IFERROR(__xludf.DUMMYFUNCTION("IF($G13="""","""",IFERROR(query({proventos!$B$5:$Q310},""Select sum(Col16) where Col1 = '""&amp;$G13&amp;""' and Col2 &gt; date '""&amp;TEXT(DATE(Y$8,1,1),""yyyy-mm-dd"")&amp;""' and Col2 &lt;= date '""&amp;TEXT(DATE(Y$8,12,31),""yyyy-mm-dd"")&amp;""' label sum(Col16) ''"",0)))"),"")</f>
        <v/>
      </c>
      <c r="Z13" s="630" t="str">
        <f>IFERROR(__xludf.DUMMYFUNCTION("IF($G13="""","""",IFERROR(query({proventos!$B$5:$Q310},""Select sum(Col16) where Col1 = '""&amp;$G13&amp;""' and Col2 &gt; date '""&amp;TEXT(DATE(Z$8,1,1),""yyyy-mm-dd"")&amp;""' and Col2 &lt;= date '""&amp;TEXT(DATE(Z$8,12,31),""yyyy-mm-dd"")&amp;""' label sum(Col16) ''"",0)))"),"")</f>
        <v/>
      </c>
      <c r="AA13" s="587"/>
      <c r="AB13" s="578" t="s">
        <v>123</v>
      </c>
      <c r="AC13" s="601"/>
      <c r="AD13" s="631"/>
      <c r="AE13" s="631"/>
    </row>
    <row r="14">
      <c r="A14" s="619">
        <v>4.0</v>
      </c>
      <c r="B14" s="620"/>
      <c r="C14" s="632"/>
      <c r="D14" s="633"/>
      <c r="E14" s="634"/>
      <c r="F14" s="624">
        <v>4.0</v>
      </c>
      <c r="G14" s="635"/>
      <c r="H14" s="626" t="str">
        <f>if(G14="","",IFERROR(VLOOKUP(G14,AtivosDados,MATCH("provento_avg",portfolio.!$A$3:AE$3,0),FALSE),""))</f>
        <v/>
      </c>
      <c r="I14" s="627" t="s">
        <v>123</v>
      </c>
      <c r="J14" s="628" t="str">
        <f>IFERROR(__xludf.DUMMYFUNCTION("IF($G14="""","""",IFERROR(query({proventos!$B$5:$Q310},""Select sum(Col16) where Col1 = '""&amp;$G14&amp;""' and Col2 &gt; date '""&amp;TEXT(K$8,""yyyy-mm-dd"")&amp;""' and Col2 &lt;= date '""&amp;TEXT(J$8,""yyyy-mm-dd"")&amp;""' label sum(Col16) ''"",0)))"),"")</f>
        <v/>
      </c>
      <c r="K14" s="628" t="str">
        <f>IFERROR(__xludf.DUMMYFUNCTION("IF($G14="""","""",IFERROR(query({proventos!$B$5:$Q310},""Select sum(Col16) where Col1 = '""&amp;$G14&amp;""' and Col2 &gt; date '""&amp;TEXT(L$8,""yyyy-mm-dd"")&amp;""' and Col2 &lt;= date '""&amp;TEXT(K$8,""yyyy-mm-dd"")&amp;""' label sum(Col16) ''"",0)))"),"")</f>
        <v/>
      </c>
      <c r="L14" s="628" t="str">
        <f>IFERROR(__xludf.DUMMYFUNCTION("IF($G14="""","""",IFERROR(query({proventos!$B$5:$Q310},""Select sum(Col16) where Col1 = '""&amp;$G14&amp;""' and Col2 &gt; date '""&amp;TEXT(M$8,""yyyy-mm-dd"")&amp;""' and Col2 &lt;= date '""&amp;TEXT(L$8,""yyyy-mm-dd"")&amp;""' label sum(Col16) ''"",0)))"),"")</f>
        <v/>
      </c>
      <c r="M14" s="628" t="str">
        <f>IFERROR(__xludf.DUMMYFUNCTION("IF($G14="""","""",IFERROR(query({proventos!$B$5:$Q310},""Select sum(Col16) where Col1 = '""&amp;$G14&amp;""' and Col2 &gt; date '""&amp;TEXT(N$8,""yyyy-mm-dd"")&amp;""' and Col2 &lt;= date '""&amp;TEXT(M$8,""yyyy-mm-dd"")&amp;""' label sum(Col16) ''"",0)))"),"")</f>
        <v/>
      </c>
      <c r="N14" s="628" t="str">
        <f>IFERROR(__xludf.DUMMYFUNCTION("IF($G14="""","""",IFERROR(query({proventos!$B$5:$Q310},""Select sum(Col16) where Col1 = '""&amp;$G14&amp;""' and Col2 &gt; date '""&amp;TEXT(O$8,""yyyy-mm-dd"")&amp;""' and Col2 &lt;= date '""&amp;TEXT(N$8,""yyyy-mm-dd"")&amp;""' label sum(Col16) ''"",0)))"),"")</f>
        <v/>
      </c>
      <c r="O14" s="628" t="str">
        <f>IFERROR(__xludf.DUMMYFUNCTION("IF($G14="""","""",IFERROR(query({proventos!$B$5:$Q310},""Select sum(Col16) where Col1 = '""&amp;$G14&amp;""' and Col2 &gt; date '""&amp;TEXT(P$8,""yyyy-mm-dd"")&amp;""' and Col2 &lt;= date '""&amp;TEXT(O$8,""yyyy-mm-dd"")&amp;""' label sum(Col16) ''"",0)))"),"")</f>
        <v/>
      </c>
      <c r="P14" s="628" t="str">
        <f>IFERROR(__xludf.DUMMYFUNCTION("IF($G14="""","""",IFERROR(query({proventos!$B$5:$Q310},""Select sum(Col16) where Col1 = '""&amp;$G14&amp;""' and Col2 &gt; date '""&amp;TEXT(Q$8,""yyyy-mm-dd"")&amp;""' and Col2 &lt;= date '""&amp;TEXT(P$8,""yyyy-mm-dd"")&amp;""' label sum(Col16) ''"",0)))"),"")</f>
        <v/>
      </c>
      <c r="Q14" s="628" t="str">
        <f>IFERROR(__xludf.DUMMYFUNCTION("IF($G14="""","""",IFERROR(query({proventos!$B$5:$Q310},""Select sum(Col16) where Col1 = '""&amp;$G14&amp;""' and Col2 &gt; date '""&amp;TEXT(R$8,""yyyy-mm-dd"")&amp;""' and Col2 &lt;= date '""&amp;TEXT(Q$8,""yyyy-mm-dd"")&amp;""' label sum(Col16) ''"",0)))"),"")</f>
        <v/>
      </c>
      <c r="R14" s="628" t="str">
        <f>IFERROR(__xludf.DUMMYFUNCTION("IF($G14="""","""",IFERROR(query({proventos!$B$5:$Q310},""Select sum(Col16) where Col1 = '""&amp;$G14&amp;""' and Col2 &gt; date '""&amp;TEXT(S$8,""yyyy-mm-dd"")&amp;""' and Col2 &lt;= date '""&amp;TEXT(R$8,""yyyy-mm-dd"")&amp;""' label sum(Col16) ''"",0)))"),"")</f>
        <v/>
      </c>
      <c r="S14" s="628" t="str">
        <f>IFERROR(__xludf.DUMMYFUNCTION("IF($G14="""","""",IFERROR(query({proventos!$B$5:$Q310},""Select sum(Col16) where Col1 = '""&amp;$G14&amp;""' and Col2 &gt; date '""&amp;TEXT(T$8,""yyyy-mm-dd"")&amp;""' and Col2 &lt;= date '""&amp;TEXT(S$8,""yyyy-mm-dd"")&amp;""' label sum(Col16) ''"",0)))"),"")</f>
        <v/>
      </c>
      <c r="T14" s="628" t="str">
        <f>IFERROR(__xludf.DUMMYFUNCTION("IF($G14="""","""",IFERROR(query({proventos!$B$5:$Q310},""Select sum(Col16) where Col1 = '""&amp;$G14&amp;""' and Col2 &gt; date '""&amp;TEXT(U$8,""yyyy-mm-dd"")&amp;""' and Col2 &lt;= date '""&amp;TEXT(T$8,""yyyy-mm-dd"")&amp;""' label sum(Col16) ''"",0)))"),"")</f>
        <v/>
      </c>
      <c r="U14" s="629" t="str">
        <f>IFERROR(__xludf.DUMMYFUNCTION("IF($G14="""","""",IFERROR(query({proventos!$B$5:$Q310},""Select sum(Col16) where Col1 = '""&amp;$G14&amp;""' and Col2 &gt; date '""&amp;TEXT(EOMONTH(TODAY(),-13),""yyyy-mm-dd"")&amp;""' and Col2 &lt;= date '""&amp;TEXT(U$8,""yyyy-mm-dd"")&amp;""' label sum(Col16) ''"",0)))"),"")</f>
        <v/>
      </c>
      <c r="V14" s="630" t="str">
        <f>IFERROR(__xludf.DUMMYFUNCTION("IF($G14="""","""",IFERROR(query({proventos!$B$5:$Q310},""Select sum(Col16) where Col1 = '""&amp;$G14&amp;""' and Col2 &gt; date '""&amp;TEXT(DATE(V$8,1,1),""yyyy-mm-dd"")&amp;""' and Col2 &lt;= date '""&amp;TEXT(DATE(V$8,12,31),""yyyy-mm-dd"")&amp;""' label sum(Col16) ''"",0)))"),"")</f>
        <v/>
      </c>
      <c r="W14" s="630" t="str">
        <f>IFERROR(__xludf.DUMMYFUNCTION("IF($G14="""","""",IFERROR(query({proventos!$B$5:$Q310},""Select sum(Col16) where Col1 = '""&amp;$G14&amp;""' and Col2 &gt; date '""&amp;TEXT(DATE(W$8,1,1),""yyyy-mm-dd"")&amp;""' and Col2 &lt;= date '""&amp;TEXT(DATE(W$8,12,31),""yyyy-mm-dd"")&amp;""' label sum(Col16) ''"",0)))"),"")</f>
        <v/>
      </c>
      <c r="X14" s="630" t="str">
        <f>IFERROR(__xludf.DUMMYFUNCTION("IF($G14="""","""",IFERROR(query({proventos!$B$5:$Q310},""Select sum(Col16) where Col1 = '""&amp;$G14&amp;""' and Col2 &gt; date '""&amp;TEXT(DATE(X$8,1,1),""yyyy-mm-dd"")&amp;""' and Col2 &lt;= date '""&amp;TEXT(DATE(X$8,12,31),""yyyy-mm-dd"")&amp;""' label sum(Col16) ''"",0)))"),"")</f>
        <v/>
      </c>
      <c r="Y14" s="630" t="str">
        <f>IFERROR(__xludf.DUMMYFUNCTION("IF($G14="""","""",IFERROR(query({proventos!$B$5:$Q310},""Select sum(Col16) where Col1 = '""&amp;$G14&amp;""' and Col2 &gt; date '""&amp;TEXT(DATE(Y$8,1,1),""yyyy-mm-dd"")&amp;""' and Col2 &lt;= date '""&amp;TEXT(DATE(Y$8,12,31),""yyyy-mm-dd"")&amp;""' label sum(Col16) ''"",0)))"),"")</f>
        <v/>
      </c>
      <c r="Z14" s="630" t="str">
        <f>IFERROR(__xludf.DUMMYFUNCTION("IF($G14="""","""",IFERROR(query({proventos!$B$5:$Q310},""Select sum(Col16) where Col1 = '""&amp;$G14&amp;""' and Col2 &gt; date '""&amp;TEXT(DATE(Z$8,1,1),""yyyy-mm-dd"")&amp;""' and Col2 &lt;= date '""&amp;TEXT(DATE(Z$8,12,31),""yyyy-mm-dd"")&amp;""' label sum(Col16) ''"",0)))"),"")</f>
        <v/>
      </c>
      <c r="AA14" s="587"/>
      <c r="AB14" s="578" t="s">
        <v>123</v>
      </c>
      <c r="AC14" s="601"/>
      <c r="AD14" s="631"/>
      <c r="AE14" s="631"/>
    </row>
    <row r="15">
      <c r="A15" s="619">
        <v>5.0</v>
      </c>
      <c r="B15" s="620"/>
      <c r="C15" s="632"/>
      <c r="D15" s="633"/>
      <c r="E15" s="634"/>
      <c r="F15" s="624">
        <v>5.0</v>
      </c>
      <c r="G15" s="635"/>
      <c r="H15" s="626" t="str">
        <f>if(G15="","",IFERROR(VLOOKUP(G15,AtivosDados,MATCH("provento_avg",portfolio.!$A$3:AE$3,0),FALSE),""))</f>
        <v/>
      </c>
      <c r="I15" s="627" t="s">
        <v>123</v>
      </c>
      <c r="J15" s="628" t="str">
        <f>IFERROR(__xludf.DUMMYFUNCTION("IF($G15="""","""",IFERROR(query({proventos!$B$5:$Q310},""Select sum(Col16) where Col1 = '""&amp;$G15&amp;""' and Col2 &gt; date '""&amp;TEXT(K$8,""yyyy-mm-dd"")&amp;""' and Col2 &lt;= date '""&amp;TEXT(J$8,""yyyy-mm-dd"")&amp;""' label sum(Col16) ''"",0)))"),"")</f>
        <v/>
      </c>
      <c r="K15" s="628" t="str">
        <f>IFERROR(__xludf.DUMMYFUNCTION("IF($G15="""","""",IFERROR(query({proventos!$B$5:$Q310},""Select sum(Col16) where Col1 = '""&amp;$G15&amp;""' and Col2 &gt; date '""&amp;TEXT(L$8,""yyyy-mm-dd"")&amp;""' and Col2 &lt;= date '""&amp;TEXT(K$8,""yyyy-mm-dd"")&amp;""' label sum(Col16) ''"",0)))"),"")</f>
        <v/>
      </c>
      <c r="L15" s="628" t="str">
        <f>IFERROR(__xludf.DUMMYFUNCTION("IF($G15="""","""",IFERROR(query({proventos!$B$5:$Q310},""Select sum(Col16) where Col1 = '""&amp;$G15&amp;""' and Col2 &gt; date '""&amp;TEXT(M$8,""yyyy-mm-dd"")&amp;""' and Col2 &lt;= date '""&amp;TEXT(L$8,""yyyy-mm-dd"")&amp;""' label sum(Col16) ''"",0)))"),"")</f>
        <v/>
      </c>
      <c r="M15" s="628" t="str">
        <f>IFERROR(__xludf.DUMMYFUNCTION("IF($G15="""","""",IFERROR(query({proventos!$B$5:$Q310},""Select sum(Col16) where Col1 = '""&amp;$G15&amp;""' and Col2 &gt; date '""&amp;TEXT(N$8,""yyyy-mm-dd"")&amp;""' and Col2 &lt;= date '""&amp;TEXT(M$8,""yyyy-mm-dd"")&amp;""' label sum(Col16) ''"",0)))"),"")</f>
        <v/>
      </c>
      <c r="N15" s="628" t="str">
        <f>IFERROR(__xludf.DUMMYFUNCTION("IF($G15="""","""",IFERROR(query({proventos!$B$5:$Q310},""Select sum(Col16) where Col1 = '""&amp;$G15&amp;""' and Col2 &gt; date '""&amp;TEXT(O$8,""yyyy-mm-dd"")&amp;""' and Col2 &lt;= date '""&amp;TEXT(N$8,""yyyy-mm-dd"")&amp;""' label sum(Col16) ''"",0)))"),"")</f>
        <v/>
      </c>
      <c r="O15" s="628" t="str">
        <f>IFERROR(__xludf.DUMMYFUNCTION("IF($G15="""","""",IFERROR(query({proventos!$B$5:$Q310},""Select sum(Col16) where Col1 = '""&amp;$G15&amp;""' and Col2 &gt; date '""&amp;TEXT(P$8,""yyyy-mm-dd"")&amp;""' and Col2 &lt;= date '""&amp;TEXT(O$8,""yyyy-mm-dd"")&amp;""' label sum(Col16) ''"",0)))"),"")</f>
        <v/>
      </c>
      <c r="P15" s="628" t="str">
        <f>IFERROR(__xludf.DUMMYFUNCTION("IF($G15="""","""",IFERROR(query({proventos!$B$5:$Q310},""Select sum(Col16) where Col1 = '""&amp;$G15&amp;""' and Col2 &gt; date '""&amp;TEXT(Q$8,""yyyy-mm-dd"")&amp;""' and Col2 &lt;= date '""&amp;TEXT(P$8,""yyyy-mm-dd"")&amp;""' label sum(Col16) ''"",0)))"),"")</f>
        <v/>
      </c>
      <c r="Q15" s="628" t="str">
        <f>IFERROR(__xludf.DUMMYFUNCTION("IF($G15="""","""",IFERROR(query({proventos!$B$5:$Q310},""Select sum(Col16) where Col1 = '""&amp;$G15&amp;""' and Col2 &gt; date '""&amp;TEXT(R$8,""yyyy-mm-dd"")&amp;""' and Col2 &lt;= date '""&amp;TEXT(Q$8,""yyyy-mm-dd"")&amp;""' label sum(Col16) ''"",0)))"),"")</f>
        <v/>
      </c>
      <c r="R15" s="628" t="str">
        <f>IFERROR(__xludf.DUMMYFUNCTION("IF($G15="""","""",IFERROR(query({proventos!$B$5:$Q310},""Select sum(Col16) where Col1 = '""&amp;$G15&amp;""' and Col2 &gt; date '""&amp;TEXT(S$8,""yyyy-mm-dd"")&amp;""' and Col2 &lt;= date '""&amp;TEXT(R$8,""yyyy-mm-dd"")&amp;""' label sum(Col16) ''"",0)))"),"")</f>
        <v/>
      </c>
      <c r="S15" s="628" t="str">
        <f>IFERROR(__xludf.DUMMYFUNCTION("IF($G15="""","""",IFERROR(query({proventos!$B$5:$Q310},""Select sum(Col16) where Col1 = '""&amp;$G15&amp;""' and Col2 &gt; date '""&amp;TEXT(T$8,""yyyy-mm-dd"")&amp;""' and Col2 &lt;= date '""&amp;TEXT(S$8,""yyyy-mm-dd"")&amp;""' label sum(Col16) ''"",0)))"),"")</f>
        <v/>
      </c>
      <c r="T15" s="628" t="str">
        <f>IFERROR(__xludf.DUMMYFUNCTION("IF($G15="""","""",IFERROR(query({proventos!$B$5:$Q310},""Select sum(Col16) where Col1 = '""&amp;$G15&amp;""' and Col2 &gt; date '""&amp;TEXT(U$8,""yyyy-mm-dd"")&amp;""' and Col2 &lt;= date '""&amp;TEXT(T$8,""yyyy-mm-dd"")&amp;""' label sum(Col16) ''"",0)))"),"")</f>
        <v/>
      </c>
      <c r="U15" s="629" t="str">
        <f>IFERROR(__xludf.DUMMYFUNCTION("IF($G15="""","""",IFERROR(query({proventos!$B$5:$Q310},""Select sum(Col16) where Col1 = '""&amp;$G15&amp;""' and Col2 &gt; date '""&amp;TEXT(EOMONTH(TODAY(),-13),""yyyy-mm-dd"")&amp;""' and Col2 &lt;= date '""&amp;TEXT(U$8,""yyyy-mm-dd"")&amp;""' label sum(Col16) ''"",0)))"),"")</f>
        <v/>
      </c>
      <c r="V15" s="630" t="str">
        <f>IFERROR(__xludf.DUMMYFUNCTION("IF($G15="""","""",IFERROR(query({proventos!$B$5:$Q310},""Select sum(Col16) where Col1 = '""&amp;$G15&amp;""' and Col2 &gt; date '""&amp;TEXT(DATE(V$8,1,1),""yyyy-mm-dd"")&amp;""' and Col2 &lt;= date '""&amp;TEXT(DATE(V$8,12,31),""yyyy-mm-dd"")&amp;""' label sum(Col16) ''"",0)))"),"")</f>
        <v/>
      </c>
      <c r="W15" s="630" t="str">
        <f>IFERROR(__xludf.DUMMYFUNCTION("IF($G15="""","""",IFERROR(query({proventos!$B$5:$Q310},""Select sum(Col16) where Col1 = '""&amp;$G15&amp;""' and Col2 &gt; date '""&amp;TEXT(DATE(W$8,1,1),""yyyy-mm-dd"")&amp;""' and Col2 &lt;= date '""&amp;TEXT(DATE(W$8,12,31),""yyyy-mm-dd"")&amp;""' label sum(Col16) ''"",0)))"),"")</f>
        <v/>
      </c>
      <c r="X15" s="630" t="str">
        <f>IFERROR(__xludf.DUMMYFUNCTION("IF($G15="""","""",IFERROR(query({proventos!$B$5:$Q310},""Select sum(Col16) where Col1 = '""&amp;$G15&amp;""' and Col2 &gt; date '""&amp;TEXT(DATE(X$8,1,1),""yyyy-mm-dd"")&amp;""' and Col2 &lt;= date '""&amp;TEXT(DATE(X$8,12,31),""yyyy-mm-dd"")&amp;""' label sum(Col16) ''"",0)))"),"")</f>
        <v/>
      </c>
      <c r="Y15" s="630" t="str">
        <f>IFERROR(__xludf.DUMMYFUNCTION("IF($G15="""","""",IFERROR(query({proventos!$B$5:$Q310},""Select sum(Col16) where Col1 = '""&amp;$G15&amp;""' and Col2 &gt; date '""&amp;TEXT(DATE(Y$8,1,1),""yyyy-mm-dd"")&amp;""' and Col2 &lt;= date '""&amp;TEXT(DATE(Y$8,12,31),""yyyy-mm-dd"")&amp;""' label sum(Col16) ''"",0)))"),"")</f>
        <v/>
      </c>
      <c r="Z15" s="630" t="str">
        <f>IFERROR(__xludf.DUMMYFUNCTION("IF($G15="""","""",IFERROR(query({proventos!$B$5:$Q310},""Select sum(Col16) where Col1 = '""&amp;$G15&amp;""' and Col2 &gt; date '""&amp;TEXT(DATE(Z$8,1,1),""yyyy-mm-dd"")&amp;""' and Col2 &lt;= date '""&amp;TEXT(DATE(Z$8,12,31),""yyyy-mm-dd"")&amp;""' label sum(Col16) ''"",0)))"),"")</f>
        <v/>
      </c>
      <c r="AA15" s="587"/>
      <c r="AB15" s="578" t="s">
        <v>123</v>
      </c>
      <c r="AC15" s="601"/>
      <c r="AD15" s="631"/>
      <c r="AE15" s="631"/>
    </row>
    <row r="16">
      <c r="A16" s="619">
        <v>6.0</v>
      </c>
      <c r="B16" s="620"/>
      <c r="C16" s="632"/>
      <c r="D16" s="633"/>
      <c r="E16" s="634"/>
      <c r="F16" s="624">
        <v>6.0</v>
      </c>
      <c r="G16" s="635"/>
      <c r="H16" s="626" t="str">
        <f>if(G16="","",IFERROR(VLOOKUP(G16,AtivosDados,MATCH("provento_avg",portfolio.!$A$3:AE$3,0),FALSE),""))</f>
        <v/>
      </c>
      <c r="I16" s="627" t="s">
        <v>123</v>
      </c>
      <c r="J16" s="628" t="str">
        <f>IFERROR(__xludf.DUMMYFUNCTION("IF($G16="""","""",IFERROR(query({proventos!$B$5:$Q310},""Select sum(Col16) where Col1 = '""&amp;$G16&amp;""' and Col2 &gt; date '""&amp;TEXT(K$8,""yyyy-mm-dd"")&amp;""' and Col2 &lt;= date '""&amp;TEXT(J$8,""yyyy-mm-dd"")&amp;""' label sum(Col16) ''"",0)))"),"")</f>
        <v/>
      </c>
      <c r="K16" s="628" t="str">
        <f>IFERROR(__xludf.DUMMYFUNCTION("IF($G16="""","""",IFERROR(query({proventos!$B$5:$Q310},""Select sum(Col16) where Col1 = '""&amp;$G16&amp;""' and Col2 &gt; date '""&amp;TEXT(L$8,""yyyy-mm-dd"")&amp;""' and Col2 &lt;= date '""&amp;TEXT(K$8,""yyyy-mm-dd"")&amp;""' label sum(Col16) ''"",0)))"),"")</f>
        <v/>
      </c>
      <c r="L16" s="628" t="str">
        <f>IFERROR(__xludf.DUMMYFUNCTION("IF($G16="""","""",IFERROR(query({proventos!$B$5:$Q310},""Select sum(Col16) where Col1 = '""&amp;$G16&amp;""' and Col2 &gt; date '""&amp;TEXT(M$8,""yyyy-mm-dd"")&amp;""' and Col2 &lt;= date '""&amp;TEXT(L$8,""yyyy-mm-dd"")&amp;""' label sum(Col16) ''"",0)))"),"")</f>
        <v/>
      </c>
      <c r="M16" s="628" t="str">
        <f>IFERROR(__xludf.DUMMYFUNCTION("IF($G16="""","""",IFERROR(query({proventos!$B$5:$Q310},""Select sum(Col16) where Col1 = '""&amp;$G16&amp;""' and Col2 &gt; date '""&amp;TEXT(N$8,""yyyy-mm-dd"")&amp;""' and Col2 &lt;= date '""&amp;TEXT(M$8,""yyyy-mm-dd"")&amp;""' label sum(Col16) ''"",0)))"),"")</f>
        <v/>
      </c>
      <c r="N16" s="628" t="str">
        <f>IFERROR(__xludf.DUMMYFUNCTION("IF($G16="""","""",IFERROR(query({proventos!$B$5:$Q310},""Select sum(Col16) where Col1 = '""&amp;$G16&amp;""' and Col2 &gt; date '""&amp;TEXT(O$8,""yyyy-mm-dd"")&amp;""' and Col2 &lt;= date '""&amp;TEXT(N$8,""yyyy-mm-dd"")&amp;""' label sum(Col16) ''"",0)))"),"")</f>
        <v/>
      </c>
      <c r="O16" s="628" t="str">
        <f>IFERROR(__xludf.DUMMYFUNCTION("IF($G16="""","""",IFERROR(query({proventos!$B$5:$Q310},""Select sum(Col16) where Col1 = '""&amp;$G16&amp;""' and Col2 &gt; date '""&amp;TEXT(P$8,""yyyy-mm-dd"")&amp;""' and Col2 &lt;= date '""&amp;TEXT(O$8,""yyyy-mm-dd"")&amp;""' label sum(Col16) ''"",0)))"),"")</f>
        <v/>
      </c>
      <c r="P16" s="628" t="str">
        <f>IFERROR(__xludf.DUMMYFUNCTION("IF($G16="""","""",IFERROR(query({proventos!$B$5:$Q310},""Select sum(Col16) where Col1 = '""&amp;$G16&amp;""' and Col2 &gt; date '""&amp;TEXT(Q$8,""yyyy-mm-dd"")&amp;""' and Col2 &lt;= date '""&amp;TEXT(P$8,""yyyy-mm-dd"")&amp;""' label sum(Col16) ''"",0)))"),"")</f>
        <v/>
      </c>
      <c r="Q16" s="628" t="str">
        <f>IFERROR(__xludf.DUMMYFUNCTION("IF($G16="""","""",IFERROR(query({proventos!$B$5:$Q310},""Select sum(Col16) where Col1 = '""&amp;$G16&amp;""' and Col2 &gt; date '""&amp;TEXT(R$8,""yyyy-mm-dd"")&amp;""' and Col2 &lt;= date '""&amp;TEXT(Q$8,""yyyy-mm-dd"")&amp;""' label sum(Col16) ''"",0)))"),"")</f>
        <v/>
      </c>
      <c r="R16" s="628" t="str">
        <f>IFERROR(__xludf.DUMMYFUNCTION("IF($G16="""","""",IFERROR(query({proventos!$B$5:$Q310},""Select sum(Col16) where Col1 = '""&amp;$G16&amp;""' and Col2 &gt; date '""&amp;TEXT(S$8,""yyyy-mm-dd"")&amp;""' and Col2 &lt;= date '""&amp;TEXT(R$8,""yyyy-mm-dd"")&amp;""' label sum(Col16) ''"",0)))"),"")</f>
        <v/>
      </c>
      <c r="S16" s="628" t="str">
        <f>IFERROR(__xludf.DUMMYFUNCTION("IF($G16="""","""",IFERROR(query({proventos!$B$5:$Q310},""Select sum(Col16) where Col1 = '""&amp;$G16&amp;""' and Col2 &gt; date '""&amp;TEXT(T$8,""yyyy-mm-dd"")&amp;""' and Col2 &lt;= date '""&amp;TEXT(S$8,""yyyy-mm-dd"")&amp;""' label sum(Col16) ''"",0)))"),"")</f>
        <v/>
      </c>
      <c r="T16" s="628" t="str">
        <f>IFERROR(__xludf.DUMMYFUNCTION("IF($G16="""","""",IFERROR(query({proventos!$B$5:$Q310},""Select sum(Col16) where Col1 = '""&amp;$G16&amp;""' and Col2 &gt; date '""&amp;TEXT(U$8,""yyyy-mm-dd"")&amp;""' and Col2 &lt;= date '""&amp;TEXT(T$8,""yyyy-mm-dd"")&amp;""' label sum(Col16) ''"",0)))"),"")</f>
        <v/>
      </c>
      <c r="U16" s="629" t="str">
        <f>IFERROR(__xludf.DUMMYFUNCTION("IF($G16="""","""",IFERROR(query({proventos!$B$5:$Q310},""Select sum(Col16) where Col1 = '""&amp;$G16&amp;""' and Col2 &gt; date '""&amp;TEXT(EOMONTH(TODAY(),-13),""yyyy-mm-dd"")&amp;""' and Col2 &lt;= date '""&amp;TEXT(U$8,""yyyy-mm-dd"")&amp;""' label sum(Col16) ''"",0)))"),"")</f>
        <v/>
      </c>
      <c r="V16" s="630" t="str">
        <f>IFERROR(__xludf.DUMMYFUNCTION("IF($G16="""","""",IFERROR(query({proventos!$B$5:$Q310},""Select sum(Col16) where Col1 = '""&amp;$G16&amp;""' and Col2 &gt; date '""&amp;TEXT(DATE(V$8,1,1),""yyyy-mm-dd"")&amp;""' and Col2 &lt;= date '""&amp;TEXT(DATE(V$8,12,31),""yyyy-mm-dd"")&amp;""' label sum(Col16) ''"",0)))"),"")</f>
        <v/>
      </c>
      <c r="W16" s="630" t="str">
        <f>IFERROR(__xludf.DUMMYFUNCTION("IF($G16="""","""",IFERROR(query({proventos!$B$5:$Q310},""Select sum(Col16) where Col1 = '""&amp;$G16&amp;""' and Col2 &gt; date '""&amp;TEXT(DATE(W$8,1,1),""yyyy-mm-dd"")&amp;""' and Col2 &lt;= date '""&amp;TEXT(DATE(W$8,12,31),""yyyy-mm-dd"")&amp;""' label sum(Col16) ''"",0)))"),"")</f>
        <v/>
      </c>
      <c r="X16" s="630" t="str">
        <f>IFERROR(__xludf.DUMMYFUNCTION("IF($G16="""","""",IFERROR(query({proventos!$B$5:$Q310},""Select sum(Col16) where Col1 = '""&amp;$G16&amp;""' and Col2 &gt; date '""&amp;TEXT(DATE(X$8,1,1),""yyyy-mm-dd"")&amp;""' and Col2 &lt;= date '""&amp;TEXT(DATE(X$8,12,31),""yyyy-mm-dd"")&amp;""' label sum(Col16) ''"",0)))"),"")</f>
        <v/>
      </c>
      <c r="Y16" s="630" t="str">
        <f>IFERROR(__xludf.DUMMYFUNCTION("IF($G16="""","""",IFERROR(query({proventos!$B$5:$Q310},""Select sum(Col16) where Col1 = '""&amp;$G16&amp;""' and Col2 &gt; date '""&amp;TEXT(DATE(Y$8,1,1),""yyyy-mm-dd"")&amp;""' and Col2 &lt;= date '""&amp;TEXT(DATE(Y$8,12,31),""yyyy-mm-dd"")&amp;""' label sum(Col16) ''"",0)))"),"")</f>
        <v/>
      </c>
      <c r="Z16" s="630" t="str">
        <f>IFERROR(__xludf.DUMMYFUNCTION("IF($G16="""","""",IFERROR(query({proventos!$B$5:$Q310},""Select sum(Col16) where Col1 = '""&amp;$G16&amp;""' and Col2 &gt; date '""&amp;TEXT(DATE(Z$8,1,1),""yyyy-mm-dd"")&amp;""' and Col2 &lt;= date '""&amp;TEXT(DATE(Z$8,12,31),""yyyy-mm-dd"")&amp;""' label sum(Col16) ''"",0)))"),"")</f>
        <v/>
      </c>
      <c r="AA16" s="587"/>
      <c r="AB16" s="578" t="s">
        <v>123</v>
      </c>
      <c r="AC16" s="601"/>
      <c r="AD16" s="631"/>
      <c r="AE16" s="631"/>
    </row>
    <row r="17">
      <c r="A17" s="619">
        <v>7.0</v>
      </c>
      <c r="B17" s="620"/>
      <c r="C17" s="632"/>
      <c r="D17" s="633"/>
      <c r="E17" s="634"/>
      <c r="F17" s="624">
        <v>7.0</v>
      </c>
      <c r="G17" s="635"/>
      <c r="H17" s="626" t="str">
        <f>if(G17="","",IFERROR(VLOOKUP(G17,AtivosDados,MATCH("provento_avg",portfolio.!$A$3:AE$3,0),FALSE),""))</f>
        <v/>
      </c>
      <c r="I17" s="627" t="s">
        <v>123</v>
      </c>
      <c r="J17" s="628" t="str">
        <f>IFERROR(__xludf.DUMMYFUNCTION("IF($G17="""","""",IFERROR(query({proventos!$B$5:$Q310},""Select sum(Col16) where Col1 = '""&amp;$G17&amp;""' and Col2 &gt; date '""&amp;TEXT(K$8,""yyyy-mm-dd"")&amp;""' and Col2 &lt;= date '""&amp;TEXT(J$8,""yyyy-mm-dd"")&amp;""' label sum(Col16) ''"",0)))"),"")</f>
        <v/>
      </c>
      <c r="K17" s="628" t="str">
        <f>IFERROR(__xludf.DUMMYFUNCTION("IF($G17="""","""",IFERROR(query({proventos!$B$5:$Q310},""Select sum(Col16) where Col1 = '""&amp;$G17&amp;""' and Col2 &gt; date '""&amp;TEXT(L$8,""yyyy-mm-dd"")&amp;""' and Col2 &lt;= date '""&amp;TEXT(K$8,""yyyy-mm-dd"")&amp;""' label sum(Col16) ''"",0)))"),"")</f>
        <v/>
      </c>
      <c r="L17" s="628" t="str">
        <f>IFERROR(__xludf.DUMMYFUNCTION("IF($G17="""","""",IFERROR(query({proventos!$B$5:$Q310},""Select sum(Col16) where Col1 = '""&amp;$G17&amp;""' and Col2 &gt; date '""&amp;TEXT(M$8,""yyyy-mm-dd"")&amp;""' and Col2 &lt;= date '""&amp;TEXT(L$8,""yyyy-mm-dd"")&amp;""' label sum(Col16) ''"",0)))"),"")</f>
        <v/>
      </c>
      <c r="M17" s="628" t="str">
        <f>IFERROR(__xludf.DUMMYFUNCTION("IF($G17="""","""",IFERROR(query({proventos!$B$5:$Q310},""Select sum(Col16) where Col1 = '""&amp;$G17&amp;""' and Col2 &gt; date '""&amp;TEXT(N$8,""yyyy-mm-dd"")&amp;""' and Col2 &lt;= date '""&amp;TEXT(M$8,""yyyy-mm-dd"")&amp;""' label sum(Col16) ''"",0)))"),"")</f>
        <v/>
      </c>
      <c r="N17" s="628" t="str">
        <f>IFERROR(__xludf.DUMMYFUNCTION("IF($G17="""","""",IFERROR(query({proventos!$B$5:$Q310},""Select sum(Col16) where Col1 = '""&amp;$G17&amp;""' and Col2 &gt; date '""&amp;TEXT(O$8,""yyyy-mm-dd"")&amp;""' and Col2 &lt;= date '""&amp;TEXT(N$8,""yyyy-mm-dd"")&amp;""' label sum(Col16) ''"",0)))"),"")</f>
        <v/>
      </c>
      <c r="O17" s="628" t="str">
        <f>IFERROR(__xludf.DUMMYFUNCTION("IF($G17="""","""",IFERROR(query({proventos!$B$5:$Q310},""Select sum(Col16) where Col1 = '""&amp;$G17&amp;""' and Col2 &gt; date '""&amp;TEXT(P$8,""yyyy-mm-dd"")&amp;""' and Col2 &lt;= date '""&amp;TEXT(O$8,""yyyy-mm-dd"")&amp;""' label sum(Col16) ''"",0)))"),"")</f>
        <v/>
      </c>
      <c r="P17" s="628" t="str">
        <f>IFERROR(__xludf.DUMMYFUNCTION("IF($G17="""","""",IFERROR(query({proventos!$B$5:$Q310},""Select sum(Col16) where Col1 = '""&amp;$G17&amp;""' and Col2 &gt; date '""&amp;TEXT(Q$8,""yyyy-mm-dd"")&amp;""' and Col2 &lt;= date '""&amp;TEXT(P$8,""yyyy-mm-dd"")&amp;""' label sum(Col16) ''"",0)))"),"")</f>
        <v/>
      </c>
      <c r="Q17" s="628" t="str">
        <f>IFERROR(__xludf.DUMMYFUNCTION("IF($G17="""","""",IFERROR(query({proventos!$B$5:$Q310},""Select sum(Col16) where Col1 = '""&amp;$G17&amp;""' and Col2 &gt; date '""&amp;TEXT(R$8,""yyyy-mm-dd"")&amp;""' and Col2 &lt;= date '""&amp;TEXT(Q$8,""yyyy-mm-dd"")&amp;""' label sum(Col16) ''"",0)))"),"")</f>
        <v/>
      </c>
      <c r="R17" s="628" t="str">
        <f>IFERROR(__xludf.DUMMYFUNCTION("IF($G17="""","""",IFERROR(query({proventos!$B$5:$Q310},""Select sum(Col16) where Col1 = '""&amp;$G17&amp;""' and Col2 &gt; date '""&amp;TEXT(S$8,""yyyy-mm-dd"")&amp;""' and Col2 &lt;= date '""&amp;TEXT(R$8,""yyyy-mm-dd"")&amp;""' label sum(Col16) ''"",0)))"),"")</f>
        <v/>
      </c>
      <c r="S17" s="628" t="str">
        <f>IFERROR(__xludf.DUMMYFUNCTION("IF($G17="""","""",IFERROR(query({proventos!$B$5:$Q310},""Select sum(Col16) where Col1 = '""&amp;$G17&amp;""' and Col2 &gt; date '""&amp;TEXT(T$8,""yyyy-mm-dd"")&amp;""' and Col2 &lt;= date '""&amp;TEXT(S$8,""yyyy-mm-dd"")&amp;""' label sum(Col16) ''"",0)))"),"")</f>
        <v/>
      </c>
      <c r="T17" s="628" t="str">
        <f>IFERROR(__xludf.DUMMYFUNCTION("IF($G17="""","""",IFERROR(query({proventos!$B$5:$Q310},""Select sum(Col16) where Col1 = '""&amp;$G17&amp;""' and Col2 &gt; date '""&amp;TEXT(U$8,""yyyy-mm-dd"")&amp;""' and Col2 &lt;= date '""&amp;TEXT(T$8,""yyyy-mm-dd"")&amp;""' label sum(Col16) ''"",0)))"),"")</f>
        <v/>
      </c>
      <c r="U17" s="629" t="str">
        <f>IFERROR(__xludf.DUMMYFUNCTION("IF($G17="""","""",IFERROR(query({proventos!$B$5:$Q310},""Select sum(Col16) where Col1 = '""&amp;$G17&amp;""' and Col2 &gt; date '""&amp;TEXT(EOMONTH(TODAY(),-13),""yyyy-mm-dd"")&amp;""' and Col2 &lt;= date '""&amp;TEXT(U$8,""yyyy-mm-dd"")&amp;""' label sum(Col16) ''"",0)))"),"")</f>
        <v/>
      </c>
      <c r="V17" s="630" t="str">
        <f>IFERROR(__xludf.DUMMYFUNCTION("IF($G17="""","""",IFERROR(query({proventos!$B$5:$Q310},""Select sum(Col16) where Col1 = '""&amp;$G17&amp;""' and Col2 &gt; date '""&amp;TEXT(DATE(V$8,1,1),""yyyy-mm-dd"")&amp;""' and Col2 &lt;= date '""&amp;TEXT(DATE(V$8,12,31),""yyyy-mm-dd"")&amp;""' label sum(Col16) ''"",0)))"),"")</f>
        <v/>
      </c>
      <c r="W17" s="630" t="str">
        <f>IFERROR(__xludf.DUMMYFUNCTION("IF($G17="""","""",IFERROR(query({proventos!$B$5:$Q310},""Select sum(Col16) where Col1 = '""&amp;$G17&amp;""' and Col2 &gt; date '""&amp;TEXT(DATE(W$8,1,1),""yyyy-mm-dd"")&amp;""' and Col2 &lt;= date '""&amp;TEXT(DATE(W$8,12,31),""yyyy-mm-dd"")&amp;""' label sum(Col16) ''"",0)))"),"")</f>
        <v/>
      </c>
      <c r="X17" s="630" t="str">
        <f>IFERROR(__xludf.DUMMYFUNCTION("IF($G17="""","""",IFERROR(query({proventos!$B$5:$Q310},""Select sum(Col16) where Col1 = '""&amp;$G17&amp;""' and Col2 &gt; date '""&amp;TEXT(DATE(X$8,1,1),""yyyy-mm-dd"")&amp;""' and Col2 &lt;= date '""&amp;TEXT(DATE(X$8,12,31),""yyyy-mm-dd"")&amp;""' label sum(Col16) ''"",0)))"),"")</f>
        <v/>
      </c>
      <c r="Y17" s="630" t="str">
        <f>IFERROR(__xludf.DUMMYFUNCTION("IF($G17="""","""",IFERROR(query({proventos!$B$5:$Q310},""Select sum(Col16) where Col1 = '""&amp;$G17&amp;""' and Col2 &gt; date '""&amp;TEXT(DATE(Y$8,1,1),""yyyy-mm-dd"")&amp;""' and Col2 &lt;= date '""&amp;TEXT(DATE(Y$8,12,31),""yyyy-mm-dd"")&amp;""' label sum(Col16) ''"",0)))"),"")</f>
        <v/>
      </c>
      <c r="Z17" s="630" t="str">
        <f>IFERROR(__xludf.DUMMYFUNCTION("IF($G17="""","""",IFERROR(query({proventos!$B$5:$Q310},""Select sum(Col16) where Col1 = '""&amp;$G17&amp;""' and Col2 &gt; date '""&amp;TEXT(DATE(Z$8,1,1),""yyyy-mm-dd"")&amp;""' and Col2 &lt;= date '""&amp;TEXT(DATE(Z$8,12,31),""yyyy-mm-dd"")&amp;""' label sum(Col16) ''"",0)))"),"")</f>
        <v/>
      </c>
      <c r="AA17" s="587"/>
      <c r="AB17" s="578" t="s">
        <v>123</v>
      </c>
      <c r="AC17" s="601"/>
      <c r="AD17" s="631"/>
      <c r="AE17" s="631"/>
    </row>
    <row r="18">
      <c r="A18" s="619">
        <v>8.0</v>
      </c>
      <c r="B18" s="620"/>
      <c r="C18" s="632"/>
      <c r="D18" s="633"/>
      <c r="E18" s="634"/>
      <c r="F18" s="624">
        <v>8.0</v>
      </c>
      <c r="G18" s="635"/>
      <c r="H18" s="626" t="str">
        <f>if(G18="","",IFERROR(VLOOKUP(G18,AtivosDados,MATCH("provento_avg",portfolio.!$A$3:AE$3,0),FALSE),""))</f>
        <v/>
      </c>
      <c r="I18" s="627" t="s">
        <v>123</v>
      </c>
      <c r="J18" s="628" t="str">
        <f>IFERROR(__xludf.DUMMYFUNCTION("IF($G18="""","""",IFERROR(query({proventos!$B$5:$Q310},""Select sum(Col16) where Col1 = '""&amp;$G18&amp;""' and Col2 &gt; date '""&amp;TEXT(K$8,""yyyy-mm-dd"")&amp;""' and Col2 &lt;= date '""&amp;TEXT(J$8,""yyyy-mm-dd"")&amp;""' label sum(Col16) ''"",0)))"),"")</f>
        <v/>
      </c>
      <c r="K18" s="628" t="str">
        <f>IFERROR(__xludf.DUMMYFUNCTION("IF($G18="""","""",IFERROR(query({proventos!$B$5:$Q310},""Select sum(Col16) where Col1 = '""&amp;$G18&amp;""' and Col2 &gt; date '""&amp;TEXT(L$8,""yyyy-mm-dd"")&amp;""' and Col2 &lt;= date '""&amp;TEXT(K$8,""yyyy-mm-dd"")&amp;""' label sum(Col16) ''"",0)))"),"")</f>
        <v/>
      </c>
      <c r="L18" s="628" t="str">
        <f>IFERROR(__xludf.DUMMYFUNCTION("IF($G18="""","""",IFERROR(query({proventos!$B$5:$Q310},""Select sum(Col16) where Col1 = '""&amp;$G18&amp;""' and Col2 &gt; date '""&amp;TEXT(M$8,""yyyy-mm-dd"")&amp;""' and Col2 &lt;= date '""&amp;TEXT(L$8,""yyyy-mm-dd"")&amp;""' label sum(Col16) ''"",0)))"),"")</f>
        <v/>
      </c>
      <c r="M18" s="628" t="str">
        <f>IFERROR(__xludf.DUMMYFUNCTION("IF($G18="""","""",IFERROR(query({proventos!$B$5:$Q310},""Select sum(Col16) where Col1 = '""&amp;$G18&amp;""' and Col2 &gt; date '""&amp;TEXT(N$8,""yyyy-mm-dd"")&amp;""' and Col2 &lt;= date '""&amp;TEXT(M$8,""yyyy-mm-dd"")&amp;""' label sum(Col16) ''"",0)))"),"")</f>
        <v/>
      </c>
      <c r="N18" s="628" t="str">
        <f>IFERROR(__xludf.DUMMYFUNCTION("IF($G18="""","""",IFERROR(query({proventos!$B$5:$Q310},""Select sum(Col16) where Col1 = '""&amp;$G18&amp;""' and Col2 &gt; date '""&amp;TEXT(O$8,""yyyy-mm-dd"")&amp;""' and Col2 &lt;= date '""&amp;TEXT(N$8,""yyyy-mm-dd"")&amp;""' label sum(Col16) ''"",0)))"),"")</f>
        <v/>
      </c>
      <c r="O18" s="628" t="str">
        <f>IFERROR(__xludf.DUMMYFUNCTION("IF($G18="""","""",IFERROR(query({proventos!$B$5:$Q310},""Select sum(Col16) where Col1 = '""&amp;$G18&amp;""' and Col2 &gt; date '""&amp;TEXT(P$8,""yyyy-mm-dd"")&amp;""' and Col2 &lt;= date '""&amp;TEXT(O$8,""yyyy-mm-dd"")&amp;""' label sum(Col16) ''"",0)))"),"")</f>
        <v/>
      </c>
      <c r="P18" s="628" t="str">
        <f>IFERROR(__xludf.DUMMYFUNCTION("IF($G18="""","""",IFERROR(query({proventos!$B$5:$Q310},""Select sum(Col16) where Col1 = '""&amp;$G18&amp;""' and Col2 &gt; date '""&amp;TEXT(Q$8,""yyyy-mm-dd"")&amp;""' and Col2 &lt;= date '""&amp;TEXT(P$8,""yyyy-mm-dd"")&amp;""' label sum(Col16) ''"",0)))"),"")</f>
        <v/>
      </c>
      <c r="Q18" s="628" t="str">
        <f>IFERROR(__xludf.DUMMYFUNCTION("IF($G18="""","""",IFERROR(query({proventos!$B$5:$Q310},""Select sum(Col16) where Col1 = '""&amp;$G18&amp;""' and Col2 &gt; date '""&amp;TEXT(R$8,""yyyy-mm-dd"")&amp;""' and Col2 &lt;= date '""&amp;TEXT(Q$8,""yyyy-mm-dd"")&amp;""' label sum(Col16) ''"",0)))"),"")</f>
        <v/>
      </c>
      <c r="R18" s="628" t="str">
        <f>IFERROR(__xludf.DUMMYFUNCTION("IF($G18="""","""",IFERROR(query({proventos!$B$5:$Q310},""Select sum(Col16) where Col1 = '""&amp;$G18&amp;""' and Col2 &gt; date '""&amp;TEXT(S$8,""yyyy-mm-dd"")&amp;""' and Col2 &lt;= date '""&amp;TEXT(R$8,""yyyy-mm-dd"")&amp;""' label sum(Col16) ''"",0)))"),"")</f>
        <v/>
      </c>
      <c r="S18" s="628" t="str">
        <f>IFERROR(__xludf.DUMMYFUNCTION("IF($G18="""","""",IFERROR(query({proventos!$B$5:$Q310},""Select sum(Col16) where Col1 = '""&amp;$G18&amp;""' and Col2 &gt; date '""&amp;TEXT(T$8,""yyyy-mm-dd"")&amp;""' and Col2 &lt;= date '""&amp;TEXT(S$8,""yyyy-mm-dd"")&amp;""' label sum(Col16) ''"",0)))"),"")</f>
        <v/>
      </c>
      <c r="T18" s="628" t="str">
        <f>IFERROR(__xludf.DUMMYFUNCTION("IF($G18="""","""",IFERROR(query({proventos!$B$5:$Q310},""Select sum(Col16) where Col1 = '""&amp;$G18&amp;""' and Col2 &gt; date '""&amp;TEXT(U$8,""yyyy-mm-dd"")&amp;""' and Col2 &lt;= date '""&amp;TEXT(T$8,""yyyy-mm-dd"")&amp;""' label sum(Col16) ''"",0)))"),"")</f>
        <v/>
      </c>
      <c r="U18" s="629" t="str">
        <f>IFERROR(__xludf.DUMMYFUNCTION("IF($G18="""","""",IFERROR(query({proventos!$B$5:$Q310},""Select sum(Col16) where Col1 = '""&amp;$G18&amp;""' and Col2 &gt; date '""&amp;TEXT(EOMONTH(TODAY(),-13),""yyyy-mm-dd"")&amp;""' and Col2 &lt;= date '""&amp;TEXT(U$8,""yyyy-mm-dd"")&amp;""' label sum(Col16) ''"",0)))"),"")</f>
        <v/>
      </c>
      <c r="V18" s="630" t="str">
        <f>IFERROR(__xludf.DUMMYFUNCTION("IF($G18="""","""",IFERROR(query({proventos!$B$5:$Q310},""Select sum(Col16) where Col1 = '""&amp;$G18&amp;""' and Col2 &gt; date '""&amp;TEXT(DATE(V$8,1,1),""yyyy-mm-dd"")&amp;""' and Col2 &lt;= date '""&amp;TEXT(DATE(V$8,12,31),""yyyy-mm-dd"")&amp;""' label sum(Col16) ''"",0)))"),"")</f>
        <v/>
      </c>
      <c r="W18" s="630" t="str">
        <f>IFERROR(__xludf.DUMMYFUNCTION("IF($G18="""","""",IFERROR(query({proventos!$B$5:$Q310},""Select sum(Col16) where Col1 = '""&amp;$G18&amp;""' and Col2 &gt; date '""&amp;TEXT(DATE(W$8,1,1),""yyyy-mm-dd"")&amp;""' and Col2 &lt;= date '""&amp;TEXT(DATE(W$8,12,31),""yyyy-mm-dd"")&amp;""' label sum(Col16) ''"",0)))"),"")</f>
        <v/>
      </c>
      <c r="X18" s="630" t="str">
        <f>IFERROR(__xludf.DUMMYFUNCTION("IF($G18="""","""",IFERROR(query({proventos!$B$5:$Q310},""Select sum(Col16) where Col1 = '""&amp;$G18&amp;""' and Col2 &gt; date '""&amp;TEXT(DATE(X$8,1,1),""yyyy-mm-dd"")&amp;""' and Col2 &lt;= date '""&amp;TEXT(DATE(X$8,12,31),""yyyy-mm-dd"")&amp;""' label sum(Col16) ''"",0)))"),"")</f>
        <v/>
      </c>
      <c r="Y18" s="630" t="str">
        <f>IFERROR(__xludf.DUMMYFUNCTION("IF($G18="""","""",IFERROR(query({proventos!$B$5:$Q310},""Select sum(Col16) where Col1 = '""&amp;$G18&amp;""' and Col2 &gt; date '""&amp;TEXT(DATE(Y$8,1,1),""yyyy-mm-dd"")&amp;""' and Col2 &lt;= date '""&amp;TEXT(DATE(Y$8,12,31),""yyyy-mm-dd"")&amp;""' label sum(Col16) ''"",0)))"),"")</f>
        <v/>
      </c>
      <c r="Z18" s="630" t="str">
        <f>IFERROR(__xludf.DUMMYFUNCTION("IF($G18="""","""",IFERROR(query({proventos!$B$5:$Q310},""Select sum(Col16) where Col1 = '""&amp;$G18&amp;""' and Col2 &gt; date '""&amp;TEXT(DATE(Z$8,1,1),""yyyy-mm-dd"")&amp;""' and Col2 &lt;= date '""&amp;TEXT(DATE(Z$8,12,31),""yyyy-mm-dd"")&amp;""' label sum(Col16) ''"",0)))"),"")</f>
        <v/>
      </c>
      <c r="AA18" s="587"/>
      <c r="AB18" s="578" t="s">
        <v>123</v>
      </c>
      <c r="AC18" s="601"/>
      <c r="AD18" s="631"/>
      <c r="AE18" s="631"/>
    </row>
    <row r="19">
      <c r="A19" s="619">
        <v>9.0</v>
      </c>
      <c r="B19" s="620"/>
      <c r="C19" s="632"/>
      <c r="D19" s="633"/>
      <c r="E19" s="634"/>
      <c r="F19" s="624">
        <v>9.0</v>
      </c>
      <c r="G19" s="635"/>
      <c r="H19" s="626" t="str">
        <f>if(G19="","",IFERROR(VLOOKUP(G19,AtivosDados,MATCH("provento_avg",portfolio.!$A$3:AE$3,0),FALSE),""))</f>
        <v/>
      </c>
      <c r="I19" s="627" t="s">
        <v>123</v>
      </c>
      <c r="J19" s="628" t="str">
        <f>IFERROR(__xludf.DUMMYFUNCTION("IF($G19="""","""",IFERROR(query({proventos!$B$5:$Q310},""Select sum(Col16) where Col1 = '""&amp;$G19&amp;""' and Col2 &gt; date '""&amp;TEXT(K$8,""yyyy-mm-dd"")&amp;""' and Col2 &lt;= date '""&amp;TEXT(J$8,""yyyy-mm-dd"")&amp;""' label sum(Col16) ''"",0)))"),"")</f>
        <v/>
      </c>
      <c r="K19" s="628" t="str">
        <f>IFERROR(__xludf.DUMMYFUNCTION("IF($G19="""","""",IFERROR(query({proventos!$B$5:$Q310},""Select sum(Col16) where Col1 = '""&amp;$G19&amp;""' and Col2 &gt; date '""&amp;TEXT(L$8,""yyyy-mm-dd"")&amp;""' and Col2 &lt;= date '""&amp;TEXT(K$8,""yyyy-mm-dd"")&amp;""' label sum(Col16) ''"",0)))"),"")</f>
        <v/>
      </c>
      <c r="L19" s="628" t="str">
        <f>IFERROR(__xludf.DUMMYFUNCTION("IF($G19="""","""",IFERROR(query({proventos!$B$5:$Q310},""Select sum(Col16) where Col1 = '""&amp;$G19&amp;""' and Col2 &gt; date '""&amp;TEXT(M$8,""yyyy-mm-dd"")&amp;""' and Col2 &lt;= date '""&amp;TEXT(L$8,""yyyy-mm-dd"")&amp;""' label sum(Col16) ''"",0)))"),"")</f>
        <v/>
      </c>
      <c r="M19" s="628" t="str">
        <f>IFERROR(__xludf.DUMMYFUNCTION("IF($G19="""","""",IFERROR(query({proventos!$B$5:$Q310},""Select sum(Col16) where Col1 = '""&amp;$G19&amp;""' and Col2 &gt; date '""&amp;TEXT(N$8,""yyyy-mm-dd"")&amp;""' and Col2 &lt;= date '""&amp;TEXT(M$8,""yyyy-mm-dd"")&amp;""' label sum(Col16) ''"",0)))"),"")</f>
        <v/>
      </c>
      <c r="N19" s="628" t="str">
        <f>IFERROR(__xludf.DUMMYFUNCTION("IF($G19="""","""",IFERROR(query({proventos!$B$5:$Q310},""Select sum(Col16) where Col1 = '""&amp;$G19&amp;""' and Col2 &gt; date '""&amp;TEXT(O$8,""yyyy-mm-dd"")&amp;""' and Col2 &lt;= date '""&amp;TEXT(N$8,""yyyy-mm-dd"")&amp;""' label sum(Col16) ''"",0)))"),"")</f>
        <v/>
      </c>
      <c r="O19" s="628" t="str">
        <f>IFERROR(__xludf.DUMMYFUNCTION("IF($G19="""","""",IFERROR(query({proventos!$B$5:$Q310},""Select sum(Col16) where Col1 = '""&amp;$G19&amp;""' and Col2 &gt; date '""&amp;TEXT(P$8,""yyyy-mm-dd"")&amp;""' and Col2 &lt;= date '""&amp;TEXT(O$8,""yyyy-mm-dd"")&amp;""' label sum(Col16) ''"",0)))"),"")</f>
        <v/>
      </c>
      <c r="P19" s="628" t="str">
        <f>IFERROR(__xludf.DUMMYFUNCTION("IF($G19="""","""",IFERROR(query({proventos!$B$5:$Q310},""Select sum(Col16) where Col1 = '""&amp;$G19&amp;""' and Col2 &gt; date '""&amp;TEXT(Q$8,""yyyy-mm-dd"")&amp;""' and Col2 &lt;= date '""&amp;TEXT(P$8,""yyyy-mm-dd"")&amp;""' label sum(Col16) ''"",0)))"),"")</f>
        <v/>
      </c>
      <c r="Q19" s="628" t="str">
        <f>IFERROR(__xludf.DUMMYFUNCTION("IF($G19="""","""",IFERROR(query({proventos!$B$5:$Q310},""Select sum(Col16) where Col1 = '""&amp;$G19&amp;""' and Col2 &gt; date '""&amp;TEXT(R$8,""yyyy-mm-dd"")&amp;""' and Col2 &lt;= date '""&amp;TEXT(Q$8,""yyyy-mm-dd"")&amp;""' label sum(Col16) ''"",0)))"),"")</f>
        <v/>
      </c>
      <c r="R19" s="628" t="str">
        <f>IFERROR(__xludf.DUMMYFUNCTION("IF($G19="""","""",IFERROR(query({proventos!$B$5:$Q310},""Select sum(Col16) where Col1 = '""&amp;$G19&amp;""' and Col2 &gt; date '""&amp;TEXT(S$8,""yyyy-mm-dd"")&amp;""' and Col2 &lt;= date '""&amp;TEXT(R$8,""yyyy-mm-dd"")&amp;""' label sum(Col16) ''"",0)))"),"")</f>
        <v/>
      </c>
      <c r="S19" s="628" t="str">
        <f>IFERROR(__xludf.DUMMYFUNCTION("IF($G19="""","""",IFERROR(query({proventos!$B$5:$Q310},""Select sum(Col16) where Col1 = '""&amp;$G19&amp;""' and Col2 &gt; date '""&amp;TEXT(T$8,""yyyy-mm-dd"")&amp;""' and Col2 &lt;= date '""&amp;TEXT(S$8,""yyyy-mm-dd"")&amp;""' label sum(Col16) ''"",0)))"),"")</f>
        <v/>
      </c>
      <c r="T19" s="628" t="str">
        <f>IFERROR(__xludf.DUMMYFUNCTION("IF($G19="""","""",IFERROR(query({proventos!$B$5:$Q310},""Select sum(Col16) where Col1 = '""&amp;$G19&amp;""' and Col2 &gt; date '""&amp;TEXT(U$8,""yyyy-mm-dd"")&amp;""' and Col2 &lt;= date '""&amp;TEXT(T$8,""yyyy-mm-dd"")&amp;""' label sum(Col16) ''"",0)))"),"")</f>
        <v/>
      </c>
      <c r="U19" s="629" t="str">
        <f>IFERROR(__xludf.DUMMYFUNCTION("IF($G19="""","""",IFERROR(query({proventos!$B$5:$Q310},""Select sum(Col16) where Col1 = '""&amp;$G19&amp;""' and Col2 &gt; date '""&amp;TEXT(EOMONTH(TODAY(),-13),""yyyy-mm-dd"")&amp;""' and Col2 &lt;= date '""&amp;TEXT(U$8,""yyyy-mm-dd"")&amp;""' label sum(Col16) ''"",0)))"),"")</f>
        <v/>
      </c>
      <c r="V19" s="630" t="str">
        <f>IFERROR(__xludf.DUMMYFUNCTION("IF($G19="""","""",IFERROR(query({proventos!$B$5:$Q310},""Select sum(Col16) where Col1 = '""&amp;$G19&amp;""' and Col2 &gt; date '""&amp;TEXT(DATE(V$8,1,1),""yyyy-mm-dd"")&amp;""' and Col2 &lt;= date '""&amp;TEXT(DATE(V$8,12,31),""yyyy-mm-dd"")&amp;""' label sum(Col16) ''"",0)))"),"")</f>
        <v/>
      </c>
      <c r="W19" s="630" t="str">
        <f>IFERROR(__xludf.DUMMYFUNCTION("IF($G19="""","""",IFERROR(query({proventos!$B$5:$Q310},""Select sum(Col16) where Col1 = '""&amp;$G19&amp;""' and Col2 &gt; date '""&amp;TEXT(DATE(W$8,1,1),""yyyy-mm-dd"")&amp;""' and Col2 &lt;= date '""&amp;TEXT(DATE(W$8,12,31),""yyyy-mm-dd"")&amp;""' label sum(Col16) ''"",0)))"),"")</f>
        <v/>
      </c>
      <c r="X19" s="630" t="str">
        <f>IFERROR(__xludf.DUMMYFUNCTION("IF($G19="""","""",IFERROR(query({proventos!$B$5:$Q310},""Select sum(Col16) where Col1 = '""&amp;$G19&amp;""' and Col2 &gt; date '""&amp;TEXT(DATE(X$8,1,1),""yyyy-mm-dd"")&amp;""' and Col2 &lt;= date '""&amp;TEXT(DATE(X$8,12,31),""yyyy-mm-dd"")&amp;""' label sum(Col16) ''"",0)))"),"")</f>
        <v/>
      </c>
      <c r="Y19" s="630" t="str">
        <f>IFERROR(__xludf.DUMMYFUNCTION("IF($G19="""","""",IFERROR(query({proventos!$B$5:$Q310},""Select sum(Col16) where Col1 = '""&amp;$G19&amp;""' and Col2 &gt; date '""&amp;TEXT(DATE(Y$8,1,1),""yyyy-mm-dd"")&amp;""' and Col2 &lt;= date '""&amp;TEXT(DATE(Y$8,12,31),""yyyy-mm-dd"")&amp;""' label sum(Col16) ''"",0)))"),"")</f>
        <v/>
      </c>
      <c r="Z19" s="630" t="str">
        <f>IFERROR(__xludf.DUMMYFUNCTION("IF($G19="""","""",IFERROR(query({proventos!$B$5:$Q310},""Select sum(Col16) where Col1 = '""&amp;$G19&amp;""' and Col2 &gt; date '""&amp;TEXT(DATE(Z$8,1,1),""yyyy-mm-dd"")&amp;""' and Col2 &lt;= date '""&amp;TEXT(DATE(Z$8,12,31),""yyyy-mm-dd"")&amp;""' label sum(Col16) ''"",0)))"),"")</f>
        <v/>
      </c>
      <c r="AA19" s="587"/>
      <c r="AB19" s="578" t="s">
        <v>123</v>
      </c>
      <c r="AC19" s="601"/>
      <c r="AD19" s="631"/>
      <c r="AE19" s="631"/>
    </row>
    <row r="20">
      <c r="A20" s="619">
        <v>10.0</v>
      </c>
      <c r="B20" s="620"/>
      <c r="C20" s="632"/>
      <c r="D20" s="633"/>
      <c r="E20" s="634"/>
      <c r="F20" s="624">
        <v>10.0</v>
      </c>
      <c r="G20" s="635"/>
      <c r="H20" s="626" t="str">
        <f>if(G20="","",IFERROR(VLOOKUP(G20,AtivosDados,MATCH("provento_avg",portfolio.!$A$3:AE$3,0),FALSE),""))</f>
        <v/>
      </c>
      <c r="I20" s="627" t="s">
        <v>123</v>
      </c>
      <c r="J20" s="628" t="str">
        <f>IFERROR(__xludf.DUMMYFUNCTION("IF($G20="""","""",IFERROR(query({proventos!$B$5:$Q310},""Select sum(Col16) where Col1 = '""&amp;$G20&amp;""' and Col2 &gt; date '""&amp;TEXT(K$8,""yyyy-mm-dd"")&amp;""' and Col2 &lt;= date '""&amp;TEXT(J$8,""yyyy-mm-dd"")&amp;""' label sum(Col16) ''"",0)))"),"")</f>
        <v/>
      </c>
      <c r="K20" s="628" t="str">
        <f>IFERROR(__xludf.DUMMYFUNCTION("IF($G20="""","""",IFERROR(query({proventos!$B$5:$Q310},""Select sum(Col16) where Col1 = '""&amp;$G20&amp;""' and Col2 &gt; date '""&amp;TEXT(L$8,""yyyy-mm-dd"")&amp;""' and Col2 &lt;= date '""&amp;TEXT(K$8,""yyyy-mm-dd"")&amp;""' label sum(Col16) ''"",0)))"),"")</f>
        <v/>
      </c>
      <c r="L20" s="628" t="str">
        <f>IFERROR(__xludf.DUMMYFUNCTION("IF($G20="""","""",IFERROR(query({proventos!$B$5:$Q310},""Select sum(Col16) where Col1 = '""&amp;$G20&amp;""' and Col2 &gt; date '""&amp;TEXT(M$8,""yyyy-mm-dd"")&amp;""' and Col2 &lt;= date '""&amp;TEXT(L$8,""yyyy-mm-dd"")&amp;""' label sum(Col16) ''"",0)))"),"")</f>
        <v/>
      </c>
      <c r="M20" s="628" t="str">
        <f>IFERROR(__xludf.DUMMYFUNCTION("IF($G20="""","""",IFERROR(query({proventos!$B$5:$Q310},""Select sum(Col16) where Col1 = '""&amp;$G20&amp;""' and Col2 &gt; date '""&amp;TEXT(N$8,""yyyy-mm-dd"")&amp;""' and Col2 &lt;= date '""&amp;TEXT(M$8,""yyyy-mm-dd"")&amp;""' label sum(Col16) ''"",0)))"),"")</f>
        <v/>
      </c>
      <c r="N20" s="628" t="str">
        <f>IFERROR(__xludf.DUMMYFUNCTION("IF($G20="""","""",IFERROR(query({proventos!$B$5:$Q310},""Select sum(Col16) where Col1 = '""&amp;$G20&amp;""' and Col2 &gt; date '""&amp;TEXT(O$8,""yyyy-mm-dd"")&amp;""' and Col2 &lt;= date '""&amp;TEXT(N$8,""yyyy-mm-dd"")&amp;""' label sum(Col16) ''"",0)))"),"")</f>
        <v/>
      </c>
      <c r="O20" s="628" t="str">
        <f>IFERROR(__xludf.DUMMYFUNCTION("IF($G20="""","""",IFERROR(query({proventos!$B$5:$Q310},""Select sum(Col16) where Col1 = '""&amp;$G20&amp;""' and Col2 &gt; date '""&amp;TEXT(P$8,""yyyy-mm-dd"")&amp;""' and Col2 &lt;= date '""&amp;TEXT(O$8,""yyyy-mm-dd"")&amp;""' label sum(Col16) ''"",0)))"),"")</f>
        <v/>
      </c>
      <c r="P20" s="628" t="str">
        <f>IFERROR(__xludf.DUMMYFUNCTION("IF($G20="""","""",IFERROR(query({proventos!$B$5:$Q310},""Select sum(Col16) where Col1 = '""&amp;$G20&amp;""' and Col2 &gt; date '""&amp;TEXT(Q$8,""yyyy-mm-dd"")&amp;""' and Col2 &lt;= date '""&amp;TEXT(P$8,""yyyy-mm-dd"")&amp;""' label sum(Col16) ''"",0)))"),"")</f>
        <v/>
      </c>
      <c r="Q20" s="628" t="str">
        <f>IFERROR(__xludf.DUMMYFUNCTION("IF($G20="""","""",IFERROR(query({proventos!$B$5:$Q310},""Select sum(Col16) where Col1 = '""&amp;$G20&amp;""' and Col2 &gt; date '""&amp;TEXT(R$8,""yyyy-mm-dd"")&amp;""' and Col2 &lt;= date '""&amp;TEXT(Q$8,""yyyy-mm-dd"")&amp;""' label sum(Col16) ''"",0)))"),"")</f>
        <v/>
      </c>
      <c r="R20" s="628" t="str">
        <f>IFERROR(__xludf.DUMMYFUNCTION("IF($G20="""","""",IFERROR(query({proventos!$B$5:$Q310},""Select sum(Col16) where Col1 = '""&amp;$G20&amp;""' and Col2 &gt; date '""&amp;TEXT(S$8,""yyyy-mm-dd"")&amp;""' and Col2 &lt;= date '""&amp;TEXT(R$8,""yyyy-mm-dd"")&amp;""' label sum(Col16) ''"",0)))"),"")</f>
        <v/>
      </c>
      <c r="S20" s="628" t="str">
        <f>IFERROR(__xludf.DUMMYFUNCTION("IF($G20="""","""",IFERROR(query({proventos!$B$5:$Q310},""Select sum(Col16) where Col1 = '""&amp;$G20&amp;""' and Col2 &gt; date '""&amp;TEXT(T$8,""yyyy-mm-dd"")&amp;""' and Col2 &lt;= date '""&amp;TEXT(S$8,""yyyy-mm-dd"")&amp;""' label sum(Col16) ''"",0)))"),"")</f>
        <v/>
      </c>
      <c r="T20" s="628" t="str">
        <f>IFERROR(__xludf.DUMMYFUNCTION("IF($G20="""","""",IFERROR(query({proventos!$B$5:$Q310},""Select sum(Col16) where Col1 = '""&amp;$G20&amp;""' and Col2 &gt; date '""&amp;TEXT(U$8,""yyyy-mm-dd"")&amp;""' and Col2 &lt;= date '""&amp;TEXT(T$8,""yyyy-mm-dd"")&amp;""' label sum(Col16) ''"",0)))"),"")</f>
        <v/>
      </c>
      <c r="U20" s="629" t="str">
        <f>IFERROR(__xludf.DUMMYFUNCTION("IF($G20="""","""",IFERROR(query({proventos!$B$5:$Q310},""Select sum(Col16) where Col1 = '""&amp;$G20&amp;""' and Col2 &gt; date '""&amp;TEXT(EOMONTH(TODAY(),-13),""yyyy-mm-dd"")&amp;""' and Col2 &lt;= date '""&amp;TEXT(U$8,""yyyy-mm-dd"")&amp;""' label sum(Col16) ''"",0)))"),"")</f>
        <v/>
      </c>
      <c r="V20" s="630" t="str">
        <f>IFERROR(__xludf.DUMMYFUNCTION("IF($G20="""","""",IFERROR(query({proventos!$B$5:$Q310},""Select sum(Col16) where Col1 = '""&amp;$G20&amp;""' and Col2 &gt; date '""&amp;TEXT(DATE(V$8,1,1),""yyyy-mm-dd"")&amp;""' and Col2 &lt;= date '""&amp;TEXT(DATE(V$8,12,31),""yyyy-mm-dd"")&amp;""' label sum(Col16) ''"",0)))"),"")</f>
        <v/>
      </c>
      <c r="W20" s="630" t="str">
        <f>IFERROR(__xludf.DUMMYFUNCTION("IF($G20="""","""",IFERROR(query({proventos!$B$5:$Q310},""Select sum(Col16) where Col1 = '""&amp;$G20&amp;""' and Col2 &gt; date '""&amp;TEXT(DATE(W$8,1,1),""yyyy-mm-dd"")&amp;""' and Col2 &lt;= date '""&amp;TEXT(DATE(W$8,12,31),""yyyy-mm-dd"")&amp;""' label sum(Col16) ''"",0)))"),"")</f>
        <v/>
      </c>
      <c r="X20" s="630" t="str">
        <f>IFERROR(__xludf.DUMMYFUNCTION("IF($G20="""","""",IFERROR(query({proventos!$B$5:$Q310},""Select sum(Col16) where Col1 = '""&amp;$G20&amp;""' and Col2 &gt; date '""&amp;TEXT(DATE(X$8,1,1),""yyyy-mm-dd"")&amp;""' and Col2 &lt;= date '""&amp;TEXT(DATE(X$8,12,31),""yyyy-mm-dd"")&amp;""' label sum(Col16) ''"",0)))"),"")</f>
        <v/>
      </c>
      <c r="Y20" s="630" t="str">
        <f>IFERROR(__xludf.DUMMYFUNCTION("IF($G20="""","""",IFERROR(query({proventos!$B$5:$Q310},""Select sum(Col16) where Col1 = '""&amp;$G20&amp;""' and Col2 &gt; date '""&amp;TEXT(DATE(Y$8,1,1),""yyyy-mm-dd"")&amp;""' and Col2 &lt;= date '""&amp;TEXT(DATE(Y$8,12,31),""yyyy-mm-dd"")&amp;""' label sum(Col16) ''"",0)))"),"")</f>
        <v/>
      </c>
      <c r="Z20" s="630" t="str">
        <f>IFERROR(__xludf.DUMMYFUNCTION("IF($G20="""","""",IFERROR(query({proventos!$B$5:$Q310},""Select sum(Col16) where Col1 = '""&amp;$G20&amp;""' and Col2 &gt; date '""&amp;TEXT(DATE(Z$8,1,1),""yyyy-mm-dd"")&amp;""' and Col2 &lt;= date '""&amp;TEXT(DATE(Z$8,12,31),""yyyy-mm-dd"")&amp;""' label sum(Col16) ''"",0)))"),"")</f>
        <v/>
      </c>
      <c r="AA20" s="587"/>
      <c r="AB20" s="578" t="s">
        <v>123</v>
      </c>
      <c r="AC20" s="601"/>
      <c r="AD20" s="631"/>
      <c r="AE20" s="631"/>
    </row>
    <row r="21">
      <c r="A21" s="619">
        <v>11.0</v>
      </c>
      <c r="B21" s="620"/>
      <c r="C21" s="632"/>
      <c r="D21" s="633"/>
      <c r="E21" s="634"/>
      <c r="F21" s="624">
        <v>11.0</v>
      </c>
      <c r="G21" s="635"/>
      <c r="H21" s="626" t="str">
        <f>if(G21="","",IFERROR(VLOOKUP(G21,AtivosDados,MATCH("provento_avg",portfolio.!$A$3:AE$3,0),FALSE),""))</f>
        <v/>
      </c>
      <c r="I21" s="627" t="s">
        <v>123</v>
      </c>
      <c r="J21" s="628" t="str">
        <f>IFERROR(__xludf.DUMMYFUNCTION("IF($G21="""","""",IFERROR(query({proventos!$B$5:$Q310},""Select sum(Col16) where Col1 = '""&amp;$G21&amp;""' and Col2 &gt; date '""&amp;TEXT(K$8,""yyyy-mm-dd"")&amp;""' and Col2 &lt;= date '""&amp;TEXT(J$8,""yyyy-mm-dd"")&amp;""' label sum(Col16) ''"",0)))"),"")</f>
        <v/>
      </c>
      <c r="K21" s="628" t="str">
        <f>IFERROR(__xludf.DUMMYFUNCTION("IF($G21="""","""",IFERROR(query({proventos!$B$5:$Q310},""Select sum(Col16) where Col1 = '""&amp;$G21&amp;""' and Col2 &gt; date '""&amp;TEXT(L$8,""yyyy-mm-dd"")&amp;""' and Col2 &lt;= date '""&amp;TEXT(K$8,""yyyy-mm-dd"")&amp;""' label sum(Col16) ''"",0)))"),"")</f>
        <v/>
      </c>
      <c r="L21" s="628" t="str">
        <f>IFERROR(__xludf.DUMMYFUNCTION("IF($G21="""","""",IFERROR(query({proventos!$B$5:$Q310},""Select sum(Col16) where Col1 = '""&amp;$G21&amp;""' and Col2 &gt; date '""&amp;TEXT(M$8,""yyyy-mm-dd"")&amp;""' and Col2 &lt;= date '""&amp;TEXT(L$8,""yyyy-mm-dd"")&amp;""' label sum(Col16) ''"",0)))"),"")</f>
        <v/>
      </c>
      <c r="M21" s="628" t="str">
        <f>IFERROR(__xludf.DUMMYFUNCTION("IF($G21="""","""",IFERROR(query({proventos!$B$5:$Q310},""Select sum(Col16) where Col1 = '""&amp;$G21&amp;""' and Col2 &gt; date '""&amp;TEXT(N$8,""yyyy-mm-dd"")&amp;""' and Col2 &lt;= date '""&amp;TEXT(M$8,""yyyy-mm-dd"")&amp;""' label sum(Col16) ''"",0)))"),"")</f>
        <v/>
      </c>
      <c r="N21" s="628" t="str">
        <f>IFERROR(__xludf.DUMMYFUNCTION("IF($G21="""","""",IFERROR(query({proventos!$B$5:$Q310},""Select sum(Col16) where Col1 = '""&amp;$G21&amp;""' and Col2 &gt; date '""&amp;TEXT(O$8,""yyyy-mm-dd"")&amp;""' and Col2 &lt;= date '""&amp;TEXT(N$8,""yyyy-mm-dd"")&amp;""' label sum(Col16) ''"",0)))"),"")</f>
        <v/>
      </c>
      <c r="O21" s="628" t="str">
        <f>IFERROR(__xludf.DUMMYFUNCTION("IF($G21="""","""",IFERROR(query({proventos!$B$5:$Q310},""Select sum(Col16) where Col1 = '""&amp;$G21&amp;""' and Col2 &gt; date '""&amp;TEXT(P$8,""yyyy-mm-dd"")&amp;""' and Col2 &lt;= date '""&amp;TEXT(O$8,""yyyy-mm-dd"")&amp;""' label sum(Col16) ''"",0)))"),"")</f>
        <v/>
      </c>
      <c r="P21" s="628" t="str">
        <f>IFERROR(__xludf.DUMMYFUNCTION("IF($G21="""","""",IFERROR(query({proventos!$B$5:$Q310},""Select sum(Col16) where Col1 = '""&amp;$G21&amp;""' and Col2 &gt; date '""&amp;TEXT(Q$8,""yyyy-mm-dd"")&amp;""' and Col2 &lt;= date '""&amp;TEXT(P$8,""yyyy-mm-dd"")&amp;""' label sum(Col16) ''"",0)))"),"")</f>
        <v/>
      </c>
      <c r="Q21" s="628" t="str">
        <f>IFERROR(__xludf.DUMMYFUNCTION("IF($G21="""","""",IFERROR(query({proventos!$B$5:$Q310},""Select sum(Col16) where Col1 = '""&amp;$G21&amp;""' and Col2 &gt; date '""&amp;TEXT(R$8,""yyyy-mm-dd"")&amp;""' and Col2 &lt;= date '""&amp;TEXT(Q$8,""yyyy-mm-dd"")&amp;""' label sum(Col16) ''"",0)))"),"")</f>
        <v/>
      </c>
      <c r="R21" s="628" t="str">
        <f>IFERROR(__xludf.DUMMYFUNCTION("IF($G21="""","""",IFERROR(query({proventos!$B$5:$Q310},""Select sum(Col16) where Col1 = '""&amp;$G21&amp;""' and Col2 &gt; date '""&amp;TEXT(S$8,""yyyy-mm-dd"")&amp;""' and Col2 &lt;= date '""&amp;TEXT(R$8,""yyyy-mm-dd"")&amp;""' label sum(Col16) ''"",0)))"),"")</f>
        <v/>
      </c>
      <c r="S21" s="628" t="str">
        <f>IFERROR(__xludf.DUMMYFUNCTION("IF($G21="""","""",IFERROR(query({proventos!$B$5:$Q310},""Select sum(Col16) where Col1 = '""&amp;$G21&amp;""' and Col2 &gt; date '""&amp;TEXT(T$8,""yyyy-mm-dd"")&amp;""' and Col2 &lt;= date '""&amp;TEXT(S$8,""yyyy-mm-dd"")&amp;""' label sum(Col16) ''"",0)))"),"")</f>
        <v/>
      </c>
      <c r="T21" s="628" t="str">
        <f>IFERROR(__xludf.DUMMYFUNCTION("IF($G21="""","""",IFERROR(query({proventos!$B$5:$Q310},""Select sum(Col16) where Col1 = '""&amp;$G21&amp;""' and Col2 &gt; date '""&amp;TEXT(U$8,""yyyy-mm-dd"")&amp;""' and Col2 &lt;= date '""&amp;TEXT(T$8,""yyyy-mm-dd"")&amp;""' label sum(Col16) ''"",0)))"),"")</f>
        <v/>
      </c>
      <c r="U21" s="629" t="str">
        <f>IFERROR(__xludf.DUMMYFUNCTION("IF($G21="""","""",IFERROR(query({proventos!$B$5:$Q310},""Select sum(Col16) where Col1 = '""&amp;$G21&amp;""' and Col2 &gt; date '""&amp;TEXT(EOMONTH(TODAY(),-13),""yyyy-mm-dd"")&amp;""' and Col2 &lt;= date '""&amp;TEXT(U$8,""yyyy-mm-dd"")&amp;""' label sum(Col16) ''"",0)))"),"")</f>
        <v/>
      </c>
      <c r="V21" s="630" t="str">
        <f>IFERROR(__xludf.DUMMYFUNCTION("IF($G21="""","""",IFERROR(query({proventos!$B$5:$Q310},""Select sum(Col16) where Col1 = '""&amp;$G21&amp;""' and Col2 &gt; date '""&amp;TEXT(DATE(V$8,1,1),""yyyy-mm-dd"")&amp;""' and Col2 &lt;= date '""&amp;TEXT(DATE(V$8,12,31),""yyyy-mm-dd"")&amp;""' label sum(Col16) ''"",0)))"),"")</f>
        <v/>
      </c>
      <c r="W21" s="630" t="str">
        <f>IFERROR(__xludf.DUMMYFUNCTION("IF($G21="""","""",IFERROR(query({proventos!$B$5:$Q310},""Select sum(Col16) where Col1 = '""&amp;$G21&amp;""' and Col2 &gt; date '""&amp;TEXT(DATE(W$8,1,1),""yyyy-mm-dd"")&amp;""' and Col2 &lt;= date '""&amp;TEXT(DATE(W$8,12,31),""yyyy-mm-dd"")&amp;""' label sum(Col16) ''"",0)))"),"")</f>
        <v/>
      </c>
      <c r="X21" s="630" t="str">
        <f>IFERROR(__xludf.DUMMYFUNCTION("IF($G21="""","""",IFERROR(query({proventos!$B$5:$Q310},""Select sum(Col16) where Col1 = '""&amp;$G21&amp;""' and Col2 &gt; date '""&amp;TEXT(DATE(X$8,1,1),""yyyy-mm-dd"")&amp;""' and Col2 &lt;= date '""&amp;TEXT(DATE(X$8,12,31),""yyyy-mm-dd"")&amp;""' label sum(Col16) ''"",0)))"),"")</f>
        <v/>
      </c>
      <c r="Y21" s="630" t="str">
        <f>IFERROR(__xludf.DUMMYFUNCTION("IF($G21="""","""",IFERROR(query({proventos!$B$5:$Q310},""Select sum(Col16) where Col1 = '""&amp;$G21&amp;""' and Col2 &gt; date '""&amp;TEXT(DATE(Y$8,1,1),""yyyy-mm-dd"")&amp;""' and Col2 &lt;= date '""&amp;TEXT(DATE(Y$8,12,31),""yyyy-mm-dd"")&amp;""' label sum(Col16) ''"",0)))"),"")</f>
        <v/>
      </c>
      <c r="Z21" s="630" t="str">
        <f>IFERROR(__xludf.DUMMYFUNCTION("IF($G21="""","""",IFERROR(query({proventos!$B$5:$Q310},""Select sum(Col16) where Col1 = '""&amp;$G21&amp;""' and Col2 &gt; date '""&amp;TEXT(DATE(Z$8,1,1),""yyyy-mm-dd"")&amp;""' and Col2 &lt;= date '""&amp;TEXT(DATE(Z$8,12,31),""yyyy-mm-dd"")&amp;""' label sum(Col16) ''"",0)))"),"")</f>
        <v/>
      </c>
      <c r="AA21" s="587"/>
      <c r="AB21" s="578" t="s">
        <v>123</v>
      </c>
      <c r="AC21" s="601"/>
      <c r="AD21" s="631"/>
      <c r="AE21" s="631"/>
    </row>
    <row r="22">
      <c r="A22" s="619">
        <v>12.0</v>
      </c>
      <c r="B22" s="620"/>
      <c r="C22" s="632"/>
      <c r="D22" s="633"/>
      <c r="E22" s="634"/>
      <c r="F22" s="624">
        <v>12.0</v>
      </c>
      <c r="G22" s="635"/>
      <c r="H22" s="626" t="str">
        <f>if(G22="","",IFERROR(VLOOKUP(G22,AtivosDados,MATCH("provento_avg",portfolio.!$A$3:AE$3,0),FALSE),""))</f>
        <v/>
      </c>
      <c r="I22" s="627" t="s">
        <v>123</v>
      </c>
      <c r="J22" s="628" t="str">
        <f>IFERROR(__xludf.DUMMYFUNCTION("IF($G22="""","""",IFERROR(query({proventos!$B$5:$Q310},""Select sum(Col16) where Col1 = '""&amp;$G22&amp;""' and Col2 &gt; date '""&amp;TEXT(K$8,""yyyy-mm-dd"")&amp;""' and Col2 &lt;= date '""&amp;TEXT(J$8,""yyyy-mm-dd"")&amp;""' label sum(Col16) ''"",0)))"),"")</f>
        <v/>
      </c>
      <c r="K22" s="628" t="str">
        <f>IFERROR(__xludf.DUMMYFUNCTION("IF($G22="""","""",IFERROR(query({proventos!$B$5:$Q310},""Select sum(Col16) where Col1 = '""&amp;$G22&amp;""' and Col2 &gt; date '""&amp;TEXT(L$8,""yyyy-mm-dd"")&amp;""' and Col2 &lt;= date '""&amp;TEXT(K$8,""yyyy-mm-dd"")&amp;""' label sum(Col16) ''"",0)))"),"")</f>
        <v/>
      </c>
      <c r="L22" s="628" t="str">
        <f>IFERROR(__xludf.DUMMYFUNCTION("IF($G22="""","""",IFERROR(query({proventos!$B$5:$Q310},""Select sum(Col16) where Col1 = '""&amp;$G22&amp;""' and Col2 &gt; date '""&amp;TEXT(M$8,""yyyy-mm-dd"")&amp;""' and Col2 &lt;= date '""&amp;TEXT(L$8,""yyyy-mm-dd"")&amp;""' label sum(Col16) ''"",0)))"),"")</f>
        <v/>
      </c>
      <c r="M22" s="628" t="str">
        <f>IFERROR(__xludf.DUMMYFUNCTION("IF($G22="""","""",IFERROR(query({proventos!$B$5:$Q310},""Select sum(Col16) where Col1 = '""&amp;$G22&amp;""' and Col2 &gt; date '""&amp;TEXT(N$8,""yyyy-mm-dd"")&amp;""' and Col2 &lt;= date '""&amp;TEXT(M$8,""yyyy-mm-dd"")&amp;""' label sum(Col16) ''"",0)))"),"")</f>
        <v/>
      </c>
      <c r="N22" s="628" t="str">
        <f>IFERROR(__xludf.DUMMYFUNCTION("IF($G22="""","""",IFERROR(query({proventos!$B$5:$Q310},""Select sum(Col16) where Col1 = '""&amp;$G22&amp;""' and Col2 &gt; date '""&amp;TEXT(O$8,""yyyy-mm-dd"")&amp;""' and Col2 &lt;= date '""&amp;TEXT(N$8,""yyyy-mm-dd"")&amp;""' label sum(Col16) ''"",0)))"),"")</f>
        <v/>
      </c>
      <c r="O22" s="628" t="str">
        <f>IFERROR(__xludf.DUMMYFUNCTION("IF($G22="""","""",IFERROR(query({proventos!$B$5:$Q310},""Select sum(Col16) where Col1 = '""&amp;$G22&amp;""' and Col2 &gt; date '""&amp;TEXT(P$8,""yyyy-mm-dd"")&amp;""' and Col2 &lt;= date '""&amp;TEXT(O$8,""yyyy-mm-dd"")&amp;""' label sum(Col16) ''"",0)))"),"")</f>
        <v/>
      </c>
      <c r="P22" s="628" t="str">
        <f>IFERROR(__xludf.DUMMYFUNCTION("IF($G22="""","""",IFERROR(query({proventos!$B$5:$Q310},""Select sum(Col16) where Col1 = '""&amp;$G22&amp;""' and Col2 &gt; date '""&amp;TEXT(Q$8,""yyyy-mm-dd"")&amp;""' and Col2 &lt;= date '""&amp;TEXT(P$8,""yyyy-mm-dd"")&amp;""' label sum(Col16) ''"",0)))"),"")</f>
        <v/>
      </c>
      <c r="Q22" s="628" t="str">
        <f>IFERROR(__xludf.DUMMYFUNCTION("IF($G22="""","""",IFERROR(query({proventos!$B$5:$Q310},""Select sum(Col16) where Col1 = '""&amp;$G22&amp;""' and Col2 &gt; date '""&amp;TEXT(R$8,""yyyy-mm-dd"")&amp;""' and Col2 &lt;= date '""&amp;TEXT(Q$8,""yyyy-mm-dd"")&amp;""' label sum(Col16) ''"",0)))"),"")</f>
        <v/>
      </c>
      <c r="R22" s="628" t="str">
        <f>IFERROR(__xludf.DUMMYFUNCTION("IF($G22="""","""",IFERROR(query({proventos!$B$5:$Q310},""Select sum(Col16) where Col1 = '""&amp;$G22&amp;""' and Col2 &gt; date '""&amp;TEXT(S$8,""yyyy-mm-dd"")&amp;""' and Col2 &lt;= date '""&amp;TEXT(R$8,""yyyy-mm-dd"")&amp;""' label sum(Col16) ''"",0)))"),"")</f>
        <v/>
      </c>
      <c r="S22" s="628" t="str">
        <f>IFERROR(__xludf.DUMMYFUNCTION("IF($G22="""","""",IFERROR(query({proventos!$B$5:$Q310},""Select sum(Col16) where Col1 = '""&amp;$G22&amp;""' and Col2 &gt; date '""&amp;TEXT(T$8,""yyyy-mm-dd"")&amp;""' and Col2 &lt;= date '""&amp;TEXT(S$8,""yyyy-mm-dd"")&amp;""' label sum(Col16) ''"",0)))"),"")</f>
        <v/>
      </c>
      <c r="T22" s="628" t="str">
        <f>IFERROR(__xludf.DUMMYFUNCTION("IF($G22="""","""",IFERROR(query({proventos!$B$5:$Q310},""Select sum(Col16) where Col1 = '""&amp;$G22&amp;""' and Col2 &gt; date '""&amp;TEXT(U$8,""yyyy-mm-dd"")&amp;""' and Col2 &lt;= date '""&amp;TEXT(T$8,""yyyy-mm-dd"")&amp;""' label sum(Col16) ''"",0)))"),"")</f>
        <v/>
      </c>
      <c r="U22" s="629" t="str">
        <f>IFERROR(__xludf.DUMMYFUNCTION("IF($G22="""","""",IFERROR(query({proventos!$B$5:$Q310},""Select sum(Col16) where Col1 = '""&amp;$G22&amp;""' and Col2 &gt; date '""&amp;TEXT(EOMONTH(TODAY(),-13),""yyyy-mm-dd"")&amp;""' and Col2 &lt;= date '""&amp;TEXT(U$8,""yyyy-mm-dd"")&amp;""' label sum(Col16) ''"",0)))"),"")</f>
        <v/>
      </c>
      <c r="V22" s="630" t="str">
        <f>IFERROR(__xludf.DUMMYFUNCTION("IF($G22="""","""",IFERROR(query({proventos!$B$5:$Q310},""Select sum(Col16) where Col1 = '""&amp;$G22&amp;""' and Col2 &gt; date '""&amp;TEXT(DATE(V$8,1,1),""yyyy-mm-dd"")&amp;""' and Col2 &lt;= date '""&amp;TEXT(DATE(V$8,12,31),""yyyy-mm-dd"")&amp;""' label sum(Col16) ''"",0)))"),"")</f>
        <v/>
      </c>
      <c r="W22" s="630" t="str">
        <f>IFERROR(__xludf.DUMMYFUNCTION("IF($G22="""","""",IFERROR(query({proventos!$B$5:$Q310},""Select sum(Col16) where Col1 = '""&amp;$G22&amp;""' and Col2 &gt; date '""&amp;TEXT(DATE(W$8,1,1),""yyyy-mm-dd"")&amp;""' and Col2 &lt;= date '""&amp;TEXT(DATE(W$8,12,31),""yyyy-mm-dd"")&amp;""' label sum(Col16) ''"",0)))"),"")</f>
        <v/>
      </c>
      <c r="X22" s="630" t="str">
        <f>IFERROR(__xludf.DUMMYFUNCTION("IF($G22="""","""",IFERROR(query({proventos!$B$5:$Q310},""Select sum(Col16) where Col1 = '""&amp;$G22&amp;""' and Col2 &gt; date '""&amp;TEXT(DATE(X$8,1,1),""yyyy-mm-dd"")&amp;""' and Col2 &lt;= date '""&amp;TEXT(DATE(X$8,12,31),""yyyy-mm-dd"")&amp;""' label sum(Col16) ''"",0)))"),"")</f>
        <v/>
      </c>
      <c r="Y22" s="630" t="str">
        <f>IFERROR(__xludf.DUMMYFUNCTION("IF($G22="""","""",IFERROR(query({proventos!$B$5:$Q310},""Select sum(Col16) where Col1 = '""&amp;$G22&amp;""' and Col2 &gt; date '""&amp;TEXT(DATE(Y$8,1,1),""yyyy-mm-dd"")&amp;""' and Col2 &lt;= date '""&amp;TEXT(DATE(Y$8,12,31),""yyyy-mm-dd"")&amp;""' label sum(Col16) ''"",0)))"),"")</f>
        <v/>
      </c>
      <c r="Z22" s="630" t="str">
        <f>IFERROR(__xludf.DUMMYFUNCTION("IF($G22="""","""",IFERROR(query({proventos!$B$5:$Q310},""Select sum(Col16) where Col1 = '""&amp;$G22&amp;""' and Col2 &gt; date '""&amp;TEXT(DATE(Z$8,1,1),""yyyy-mm-dd"")&amp;""' and Col2 &lt;= date '""&amp;TEXT(DATE(Z$8,12,31),""yyyy-mm-dd"")&amp;""' label sum(Col16) ''"",0)))"),"")</f>
        <v/>
      </c>
      <c r="AA22" s="587"/>
      <c r="AB22" s="578" t="s">
        <v>123</v>
      </c>
      <c r="AC22" s="601"/>
      <c r="AD22" s="631"/>
      <c r="AE22" s="631"/>
    </row>
    <row r="23">
      <c r="A23" s="619">
        <v>13.0</v>
      </c>
      <c r="B23" s="620"/>
      <c r="C23" s="632"/>
      <c r="D23" s="633"/>
      <c r="E23" s="634"/>
      <c r="F23" s="624">
        <v>13.0</v>
      </c>
      <c r="G23" s="635"/>
      <c r="H23" s="626" t="str">
        <f>if(G23="","",IFERROR(VLOOKUP(G23,AtivosDados,MATCH("provento_avg",portfolio.!$A$3:AE$3,0),FALSE),""))</f>
        <v/>
      </c>
      <c r="I23" s="627" t="s">
        <v>123</v>
      </c>
      <c r="J23" s="628" t="str">
        <f>IFERROR(__xludf.DUMMYFUNCTION("IF($G23="""","""",IFERROR(query({proventos!$B$5:$Q310},""Select sum(Col16) where Col1 = '""&amp;$G23&amp;""' and Col2 &gt; date '""&amp;TEXT(K$8,""yyyy-mm-dd"")&amp;""' and Col2 &lt;= date '""&amp;TEXT(J$8,""yyyy-mm-dd"")&amp;""' label sum(Col16) ''"",0)))"),"")</f>
        <v/>
      </c>
      <c r="K23" s="628" t="str">
        <f>IFERROR(__xludf.DUMMYFUNCTION("IF($G23="""","""",IFERROR(query({proventos!$B$5:$Q310},""Select sum(Col16) where Col1 = '""&amp;$G23&amp;""' and Col2 &gt; date '""&amp;TEXT(L$8,""yyyy-mm-dd"")&amp;""' and Col2 &lt;= date '""&amp;TEXT(K$8,""yyyy-mm-dd"")&amp;""' label sum(Col16) ''"",0)))"),"")</f>
        <v/>
      </c>
      <c r="L23" s="628" t="str">
        <f>IFERROR(__xludf.DUMMYFUNCTION("IF($G23="""","""",IFERROR(query({proventos!$B$5:$Q310},""Select sum(Col16) where Col1 = '""&amp;$G23&amp;""' and Col2 &gt; date '""&amp;TEXT(M$8,""yyyy-mm-dd"")&amp;""' and Col2 &lt;= date '""&amp;TEXT(L$8,""yyyy-mm-dd"")&amp;""' label sum(Col16) ''"",0)))"),"")</f>
        <v/>
      </c>
      <c r="M23" s="628" t="str">
        <f>IFERROR(__xludf.DUMMYFUNCTION("IF($G23="""","""",IFERROR(query({proventos!$B$5:$Q310},""Select sum(Col16) where Col1 = '""&amp;$G23&amp;""' and Col2 &gt; date '""&amp;TEXT(N$8,""yyyy-mm-dd"")&amp;""' and Col2 &lt;= date '""&amp;TEXT(M$8,""yyyy-mm-dd"")&amp;""' label sum(Col16) ''"",0)))"),"")</f>
        <v/>
      </c>
      <c r="N23" s="628" t="str">
        <f>IFERROR(__xludf.DUMMYFUNCTION("IF($G23="""","""",IFERROR(query({proventos!$B$5:$Q310},""Select sum(Col16) where Col1 = '""&amp;$G23&amp;""' and Col2 &gt; date '""&amp;TEXT(O$8,""yyyy-mm-dd"")&amp;""' and Col2 &lt;= date '""&amp;TEXT(N$8,""yyyy-mm-dd"")&amp;""' label sum(Col16) ''"",0)))"),"")</f>
        <v/>
      </c>
      <c r="O23" s="628" t="str">
        <f>IFERROR(__xludf.DUMMYFUNCTION("IF($G23="""","""",IFERROR(query({proventos!$B$5:$Q310},""Select sum(Col16) where Col1 = '""&amp;$G23&amp;""' and Col2 &gt; date '""&amp;TEXT(P$8,""yyyy-mm-dd"")&amp;""' and Col2 &lt;= date '""&amp;TEXT(O$8,""yyyy-mm-dd"")&amp;""' label sum(Col16) ''"",0)))"),"")</f>
        <v/>
      </c>
      <c r="P23" s="628" t="str">
        <f>IFERROR(__xludf.DUMMYFUNCTION("IF($G23="""","""",IFERROR(query({proventos!$B$5:$Q310},""Select sum(Col16) where Col1 = '""&amp;$G23&amp;""' and Col2 &gt; date '""&amp;TEXT(Q$8,""yyyy-mm-dd"")&amp;""' and Col2 &lt;= date '""&amp;TEXT(P$8,""yyyy-mm-dd"")&amp;""' label sum(Col16) ''"",0)))"),"")</f>
        <v/>
      </c>
      <c r="Q23" s="628" t="str">
        <f>IFERROR(__xludf.DUMMYFUNCTION("IF($G23="""","""",IFERROR(query({proventos!$B$5:$Q310},""Select sum(Col16) where Col1 = '""&amp;$G23&amp;""' and Col2 &gt; date '""&amp;TEXT(R$8,""yyyy-mm-dd"")&amp;""' and Col2 &lt;= date '""&amp;TEXT(Q$8,""yyyy-mm-dd"")&amp;""' label sum(Col16) ''"",0)))"),"")</f>
        <v/>
      </c>
      <c r="R23" s="628" t="str">
        <f>IFERROR(__xludf.DUMMYFUNCTION("IF($G23="""","""",IFERROR(query({proventos!$B$5:$Q310},""Select sum(Col16) where Col1 = '""&amp;$G23&amp;""' and Col2 &gt; date '""&amp;TEXT(S$8,""yyyy-mm-dd"")&amp;""' and Col2 &lt;= date '""&amp;TEXT(R$8,""yyyy-mm-dd"")&amp;""' label sum(Col16) ''"",0)))"),"")</f>
        <v/>
      </c>
      <c r="S23" s="628" t="str">
        <f>IFERROR(__xludf.DUMMYFUNCTION("IF($G23="""","""",IFERROR(query({proventos!$B$5:$Q310},""Select sum(Col16) where Col1 = '""&amp;$G23&amp;""' and Col2 &gt; date '""&amp;TEXT(T$8,""yyyy-mm-dd"")&amp;""' and Col2 &lt;= date '""&amp;TEXT(S$8,""yyyy-mm-dd"")&amp;""' label sum(Col16) ''"",0)))"),"")</f>
        <v/>
      </c>
      <c r="T23" s="628" t="str">
        <f>IFERROR(__xludf.DUMMYFUNCTION("IF($G23="""","""",IFERROR(query({proventos!$B$5:$Q310},""Select sum(Col16) where Col1 = '""&amp;$G23&amp;""' and Col2 &gt; date '""&amp;TEXT(U$8,""yyyy-mm-dd"")&amp;""' and Col2 &lt;= date '""&amp;TEXT(T$8,""yyyy-mm-dd"")&amp;""' label sum(Col16) ''"",0)))"),"")</f>
        <v/>
      </c>
      <c r="U23" s="629" t="str">
        <f>IFERROR(__xludf.DUMMYFUNCTION("IF($G23="""","""",IFERROR(query({proventos!$B$5:$Q310},""Select sum(Col16) where Col1 = '""&amp;$G23&amp;""' and Col2 &gt; date '""&amp;TEXT(EOMONTH(TODAY(),-13),""yyyy-mm-dd"")&amp;""' and Col2 &lt;= date '""&amp;TEXT(U$8,""yyyy-mm-dd"")&amp;""' label sum(Col16) ''"",0)))"),"")</f>
        <v/>
      </c>
      <c r="V23" s="630" t="str">
        <f>IFERROR(__xludf.DUMMYFUNCTION("IF($G23="""","""",IFERROR(query({proventos!$B$5:$Q310},""Select sum(Col16) where Col1 = '""&amp;$G23&amp;""' and Col2 &gt; date '""&amp;TEXT(DATE(V$8,1,1),""yyyy-mm-dd"")&amp;""' and Col2 &lt;= date '""&amp;TEXT(DATE(V$8,12,31),""yyyy-mm-dd"")&amp;""' label sum(Col16) ''"",0)))"),"")</f>
        <v/>
      </c>
      <c r="W23" s="630" t="str">
        <f>IFERROR(__xludf.DUMMYFUNCTION("IF($G23="""","""",IFERROR(query({proventos!$B$5:$Q310},""Select sum(Col16) where Col1 = '""&amp;$G23&amp;""' and Col2 &gt; date '""&amp;TEXT(DATE(W$8,1,1),""yyyy-mm-dd"")&amp;""' and Col2 &lt;= date '""&amp;TEXT(DATE(W$8,12,31),""yyyy-mm-dd"")&amp;""' label sum(Col16) ''"",0)))"),"")</f>
        <v/>
      </c>
      <c r="X23" s="630" t="str">
        <f>IFERROR(__xludf.DUMMYFUNCTION("IF($G23="""","""",IFERROR(query({proventos!$B$5:$Q310},""Select sum(Col16) where Col1 = '""&amp;$G23&amp;""' and Col2 &gt; date '""&amp;TEXT(DATE(X$8,1,1),""yyyy-mm-dd"")&amp;""' and Col2 &lt;= date '""&amp;TEXT(DATE(X$8,12,31),""yyyy-mm-dd"")&amp;""' label sum(Col16) ''"",0)))"),"")</f>
        <v/>
      </c>
      <c r="Y23" s="630" t="str">
        <f>IFERROR(__xludf.DUMMYFUNCTION("IF($G23="""","""",IFERROR(query({proventos!$B$5:$Q310},""Select sum(Col16) where Col1 = '""&amp;$G23&amp;""' and Col2 &gt; date '""&amp;TEXT(DATE(Y$8,1,1),""yyyy-mm-dd"")&amp;""' and Col2 &lt;= date '""&amp;TEXT(DATE(Y$8,12,31),""yyyy-mm-dd"")&amp;""' label sum(Col16) ''"",0)))"),"")</f>
        <v/>
      </c>
      <c r="Z23" s="630" t="str">
        <f>IFERROR(__xludf.DUMMYFUNCTION("IF($G23="""","""",IFERROR(query({proventos!$B$5:$Q310},""Select sum(Col16) where Col1 = '""&amp;$G23&amp;""' and Col2 &gt; date '""&amp;TEXT(DATE(Z$8,1,1),""yyyy-mm-dd"")&amp;""' and Col2 &lt;= date '""&amp;TEXT(DATE(Z$8,12,31),""yyyy-mm-dd"")&amp;""' label sum(Col16) ''"",0)))"),"")</f>
        <v/>
      </c>
      <c r="AA23" s="587"/>
      <c r="AB23" s="578" t="s">
        <v>123</v>
      </c>
      <c r="AC23" s="601"/>
      <c r="AD23" s="631"/>
      <c r="AE23" s="631"/>
    </row>
    <row r="24">
      <c r="A24" s="619">
        <v>14.0</v>
      </c>
      <c r="B24" s="620"/>
      <c r="C24" s="632"/>
      <c r="D24" s="633"/>
      <c r="E24" s="634"/>
      <c r="F24" s="624">
        <v>14.0</v>
      </c>
      <c r="G24" s="635"/>
      <c r="H24" s="626" t="str">
        <f>if(G24="","",IFERROR(VLOOKUP(G24,AtivosDados,MATCH("provento_avg",portfolio.!$A$3:AE$3,0),FALSE),""))</f>
        <v/>
      </c>
      <c r="I24" s="627" t="s">
        <v>123</v>
      </c>
      <c r="J24" s="628" t="str">
        <f>IFERROR(__xludf.DUMMYFUNCTION("IF($G24="""","""",IFERROR(query({proventos!$B$5:$Q310},""Select sum(Col16) where Col1 = '""&amp;$G24&amp;""' and Col2 &gt; date '""&amp;TEXT(K$8,""yyyy-mm-dd"")&amp;""' and Col2 &lt;= date '""&amp;TEXT(J$8,""yyyy-mm-dd"")&amp;""' label sum(Col16) ''"",0)))"),"")</f>
        <v/>
      </c>
      <c r="K24" s="628" t="str">
        <f>IFERROR(__xludf.DUMMYFUNCTION("IF($G24="""","""",IFERROR(query({proventos!$B$5:$Q310},""Select sum(Col16) where Col1 = '""&amp;$G24&amp;""' and Col2 &gt; date '""&amp;TEXT(L$8,""yyyy-mm-dd"")&amp;""' and Col2 &lt;= date '""&amp;TEXT(K$8,""yyyy-mm-dd"")&amp;""' label sum(Col16) ''"",0)))"),"")</f>
        <v/>
      </c>
      <c r="L24" s="628" t="str">
        <f>IFERROR(__xludf.DUMMYFUNCTION("IF($G24="""","""",IFERROR(query({proventos!$B$5:$Q310},""Select sum(Col16) where Col1 = '""&amp;$G24&amp;""' and Col2 &gt; date '""&amp;TEXT(M$8,""yyyy-mm-dd"")&amp;""' and Col2 &lt;= date '""&amp;TEXT(L$8,""yyyy-mm-dd"")&amp;""' label sum(Col16) ''"",0)))"),"")</f>
        <v/>
      </c>
      <c r="M24" s="628" t="str">
        <f>IFERROR(__xludf.DUMMYFUNCTION("IF($G24="""","""",IFERROR(query({proventos!$B$5:$Q310},""Select sum(Col16) where Col1 = '""&amp;$G24&amp;""' and Col2 &gt; date '""&amp;TEXT(N$8,""yyyy-mm-dd"")&amp;""' and Col2 &lt;= date '""&amp;TEXT(M$8,""yyyy-mm-dd"")&amp;""' label sum(Col16) ''"",0)))"),"")</f>
        <v/>
      </c>
      <c r="N24" s="628" t="str">
        <f>IFERROR(__xludf.DUMMYFUNCTION("IF($G24="""","""",IFERROR(query({proventos!$B$5:$Q310},""Select sum(Col16) where Col1 = '""&amp;$G24&amp;""' and Col2 &gt; date '""&amp;TEXT(O$8,""yyyy-mm-dd"")&amp;""' and Col2 &lt;= date '""&amp;TEXT(N$8,""yyyy-mm-dd"")&amp;""' label sum(Col16) ''"",0)))"),"")</f>
        <v/>
      </c>
      <c r="O24" s="628" t="str">
        <f>IFERROR(__xludf.DUMMYFUNCTION("IF($G24="""","""",IFERROR(query({proventos!$B$5:$Q310},""Select sum(Col16) where Col1 = '""&amp;$G24&amp;""' and Col2 &gt; date '""&amp;TEXT(P$8,""yyyy-mm-dd"")&amp;""' and Col2 &lt;= date '""&amp;TEXT(O$8,""yyyy-mm-dd"")&amp;""' label sum(Col16) ''"",0)))"),"")</f>
        <v/>
      </c>
      <c r="P24" s="628" t="str">
        <f>IFERROR(__xludf.DUMMYFUNCTION("IF($G24="""","""",IFERROR(query({proventos!$B$5:$Q310},""Select sum(Col16) where Col1 = '""&amp;$G24&amp;""' and Col2 &gt; date '""&amp;TEXT(Q$8,""yyyy-mm-dd"")&amp;""' and Col2 &lt;= date '""&amp;TEXT(P$8,""yyyy-mm-dd"")&amp;""' label sum(Col16) ''"",0)))"),"")</f>
        <v/>
      </c>
      <c r="Q24" s="628" t="str">
        <f>IFERROR(__xludf.DUMMYFUNCTION("IF($G24="""","""",IFERROR(query({proventos!$B$5:$Q310},""Select sum(Col16) where Col1 = '""&amp;$G24&amp;""' and Col2 &gt; date '""&amp;TEXT(R$8,""yyyy-mm-dd"")&amp;""' and Col2 &lt;= date '""&amp;TEXT(Q$8,""yyyy-mm-dd"")&amp;""' label sum(Col16) ''"",0)))"),"")</f>
        <v/>
      </c>
      <c r="R24" s="628" t="str">
        <f>IFERROR(__xludf.DUMMYFUNCTION("IF($G24="""","""",IFERROR(query({proventos!$B$5:$Q310},""Select sum(Col16) where Col1 = '""&amp;$G24&amp;""' and Col2 &gt; date '""&amp;TEXT(S$8,""yyyy-mm-dd"")&amp;""' and Col2 &lt;= date '""&amp;TEXT(R$8,""yyyy-mm-dd"")&amp;""' label sum(Col16) ''"",0)))"),"")</f>
        <v/>
      </c>
      <c r="S24" s="628" t="str">
        <f>IFERROR(__xludf.DUMMYFUNCTION("IF($G24="""","""",IFERROR(query({proventos!$B$5:$Q310},""Select sum(Col16) where Col1 = '""&amp;$G24&amp;""' and Col2 &gt; date '""&amp;TEXT(T$8,""yyyy-mm-dd"")&amp;""' and Col2 &lt;= date '""&amp;TEXT(S$8,""yyyy-mm-dd"")&amp;""' label sum(Col16) ''"",0)))"),"")</f>
        <v/>
      </c>
      <c r="T24" s="628" t="str">
        <f>IFERROR(__xludf.DUMMYFUNCTION("IF($G24="""","""",IFERROR(query({proventos!$B$5:$Q310},""Select sum(Col16) where Col1 = '""&amp;$G24&amp;""' and Col2 &gt; date '""&amp;TEXT(U$8,""yyyy-mm-dd"")&amp;""' and Col2 &lt;= date '""&amp;TEXT(T$8,""yyyy-mm-dd"")&amp;""' label sum(Col16) ''"",0)))"),"")</f>
        <v/>
      </c>
      <c r="U24" s="629" t="str">
        <f>IFERROR(__xludf.DUMMYFUNCTION("IF($G24="""","""",IFERROR(query({proventos!$B$5:$Q310},""Select sum(Col16) where Col1 = '""&amp;$G24&amp;""' and Col2 &gt; date '""&amp;TEXT(EOMONTH(TODAY(),-13),""yyyy-mm-dd"")&amp;""' and Col2 &lt;= date '""&amp;TEXT(U$8,""yyyy-mm-dd"")&amp;""' label sum(Col16) ''"",0)))"),"")</f>
        <v/>
      </c>
      <c r="V24" s="630" t="str">
        <f>IFERROR(__xludf.DUMMYFUNCTION("IF($G24="""","""",IFERROR(query({proventos!$B$5:$Q310},""Select sum(Col16) where Col1 = '""&amp;$G24&amp;""' and Col2 &gt; date '""&amp;TEXT(DATE(V$8,1,1),""yyyy-mm-dd"")&amp;""' and Col2 &lt;= date '""&amp;TEXT(DATE(V$8,12,31),""yyyy-mm-dd"")&amp;""' label sum(Col16) ''"",0)))"),"")</f>
        <v/>
      </c>
      <c r="W24" s="630" t="str">
        <f>IFERROR(__xludf.DUMMYFUNCTION("IF($G24="""","""",IFERROR(query({proventos!$B$5:$Q310},""Select sum(Col16) where Col1 = '""&amp;$G24&amp;""' and Col2 &gt; date '""&amp;TEXT(DATE(W$8,1,1),""yyyy-mm-dd"")&amp;""' and Col2 &lt;= date '""&amp;TEXT(DATE(W$8,12,31),""yyyy-mm-dd"")&amp;""' label sum(Col16) ''"",0)))"),"")</f>
        <v/>
      </c>
      <c r="X24" s="630" t="str">
        <f>IFERROR(__xludf.DUMMYFUNCTION("IF($G24="""","""",IFERROR(query({proventos!$B$5:$Q310},""Select sum(Col16) where Col1 = '""&amp;$G24&amp;""' and Col2 &gt; date '""&amp;TEXT(DATE(X$8,1,1),""yyyy-mm-dd"")&amp;""' and Col2 &lt;= date '""&amp;TEXT(DATE(X$8,12,31),""yyyy-mm-dd"")&amp;""' label sum(Col16) ''"",0)))"),"")</f>
        <v/>
      </c>
      <c r="Y24" s="630" t="str">
        <f>IFERROR(__xludf.DUMMYFUNCTION("IF($G24="""","""",IFERROR(query({proventos!$B$5:$Q310},""Select sum(Col16) where Col1 = '""&amp;$G24&amp;""' and Col2 &gt; date '""&amp;TEXT(DATE(Y$8,1,1),""yyyy-mm-dd"")&amp;""' and Col2 &lt;= date '""&amp;TEXT(DATE(Y$8,12,31),""yyyy-mm-dd"")&amp;""' label sum(Col16) ''"",0)))"),"")</f>
        <v/>
      </c>
      <c r="Z24" s="630" t="str">
        <f>IFERROR(__xludf.DUMMYFUNCTION("IF($G24="""","""",IFERROR(query({proventos!$B$5:$Q310},""Select sum(Col16) where Col1 = '""&amp;$G24&amp;""' and Col2 &gt; date '""&amp;TEXT(DATE(Z$8,1,1),""yyyy-mm-dd"")&amp;""' and Col2 &lt;= date '""&amp;TEXT(DATE(Z$8,12,31),""yyyy-mm-dd"")&amp;""' label sum(Col16) ''"",0)))"),"")</f>
        <v/>
      </c>
      <c r="AA24" s="587"/>
      <c r="AB24" s="578" t="s">
        <v>123</v>
      </c>
      <c r="AC24" s="601"/>
      <c r="AD24" s="631"/>
      <c r="AE24" s="631"/>
    </row>
    <row r="25">
      <c r="A25" s="619">
        <v>15.0</v>
      </c>
      <c r="B25" s="620"/>
      <c r="C25" s="632"/>
      <c r="D25" s="633"/>
      <c r="E25" s="634"/>
      <c r="F25" s="624">
        <v>15.0</v>
      </c>
      <c r="G25" s="635"/>
      <c r="H25" s="626" t="str">
        <f>if(G25="","",IFERROR(VLOOKUP(G25,AtivosDados,MATCH("provento_avg",portfolio.!$A$3:AE$3,0),FALSE),""))</f>
        <v/>
      </c>
      <c r="I25" s="627" t="s">
        <v>123</v>
      </c>
      <c r="J25" s="628" t="str">
        <f>IFERROR(__xludf.DUMMYFUNCTION("IF($G25="""","""",IFERROR(query({proventos!$B$5:$Q310},""Select sum(Col16) where Col1 = '""&amp;$G25&amp;""' and Col2 &gt; date '""&amp;TEXT(K$8,""yyyy-mm-dd"")&amp;""' and Col2 &lt;= date '""&amp;TEXT(J$8,""yyyy-mm-dd"")&amp;""' label sum(Col16) ''"",0)))"),"")</f>
        <v/>
      </c>
      <c r="K25" s="628" t="str">
        <f>IFERROR(__xludf.DUMMYFUNCTION("IF($G25="""","""",IFERROR(query({proventos!$B$5:$Q310},""Select sum(Col16) where Col1 = '""&amp;$G25&amp;""' and Col2 &gt; date '""&amp;TEXT(L$8,""yyyy-mm-dd"")&amp;""' and Col2 &lt;= date '""&amp;TEXT(K$8,""yyyy-mm-dd"")&amp;""' label sum(Col16) ''"",0)))"),"")</f>
        <v/>
      </c>
      <c r="L25" s="628" t="str">
        <f>IFERROR(__xludf.DUMMYFUNCTION("IF($G25="""","""",IFERROR(query({proventos!$B$5:$Q310},""Select sum(Col16) where Col1 = '""&amp;$G25&amp;""' and Col2 &gt; date '""&amp;TEXT(M$8,""yyyy-mm-dd"")&amp;""' and Col2 &lt;= date '""&amp;TEXT(L$8,""yyyy-mm-dd"")&amp;""' label sum(Col16) ''"",0)))"),"")</f>
        <v/>
      </c>
      <c r="M25" s="628" t="str">
        <f>IFERROR(__xludf.DUMMYFUNCTION("IF($G25="""","""",IFERROR(query({proventos!$B$5:$Q310},""Select sum(Col16) where Col1 = '""&amp;$G25&amp;""' and Col2 &gt; date '""&amp;TEXT(N$8,""yyyy-mm-dd"")&amp;""' and Col2 &lt;= date '""&amp;TEXT(M$8,""yyyy-mm-dd"")&amp;""' label sum(Col16) ''"",0)))"),"")</f>
        <v/>
      </c>
      <c r="N25" s="628" t="str">
        <f>IFERROR(__xludf.DUMMYFUNCTION("IF($G25="""","""",IFERROR(query({proventos!$B$5:$Q310},""Select sum(Col16) where Col1 = '""&amp;$G25&amp;""' and Col2 &gt; date '""&amp;TEXT(O$8,""yyyy-mm-dd"")&amp;""' and Col2 &lt;= date '""&amp;TEXT(N$8,""yyyy-mm-dd"")&amp;""' label sum(Col16) ''"",0)))"),"")</f>
        <v/>
      </c>
      <c r="O25" s="628" t="str">
        <f>IFERROR(__xludf.DUMMYFUNCTION("IF($G25="""","""",IFERROR(query({proventos!$B$5:$Q310},""Select sum(Col16) where Col1 = '""&amp;$G25&amp;""' and Col2 &gt; date '""&amp;TEXT(P$8,""yyyy-mm-dd"")&amp;""' and Col2 &lt;= date '""&amp;TEXT(O$8,""yyyy-mm-dd"")&amp;""' label sum(Col16) ''"",0)))"),"")</f>
        <v/>
      </c>
      <c r="P25" s="628" t="str">
        <f>IFERROR(__xludf.DUMMYFUNCTION("IF($G25="""","""",IFERROR(query({proventos!$B$5:$Q310},""Select sum(Col16) where Col1 = '""&amp;$G25&amp;""' and Col2 &gt; date '""&amp;TEXT(Q$8,""yyyy-mm-dd"")&amp;""' and Col2 &lt;= date '""&amp;TEXT(P$8,""yyyy-mm-dd"")&amp;""' label sum(Col16) ''"",0)))"),"")</f>
        <v/>
      </c>
      <c r="Q25" s="628" t="str">
        <f>IFERROR(__xludf.DUMMYFUNCTION("IF($G25="""","""",IFERROR(query({proventos!$B$5:$Q310},""Select sum(Col16) where Col1 = '""&amp;$G25&amp;""' and Col2 &gt; date '""&amp;TEXT(R$8,""yyyy-mm-dd"")&amp;""' and Col2 &lt;= date '""&amp;TEXT(Q$8,""yyyy-mm-dd"")&amp;""' label sum(Col16) ''"",0)))"),"")</f>
        <v/>
      </c>
      <c r="R25" s="628" t="str">
        <f>IFERROR(__xludf.DUMMYFUNCTION("IF($G25="""","""",IFERROR(query({proventos!$B$5:$Q310},""Select sum(Col16) where Col1 = '""&amp;$G25&amp;""' and Col2 &gt; date '""&amp;TEXT(S$8,""yyyy-mm-dd"")&amp;""' and Col2 &lt;= date '""&amp;TEXT(R$8,""yyyy-mm-dd"")&amp;""' label sum(Col16) ''"",0)))"),"")</f>
        <v/>
      </c>
      <c r="S25" s="628" t="str">
        <f>IFERROR(__xludf.DUMMYFUNCTION("IF($G25="""","""",IFERROR(query({proventos!$B$5:$Q310},""Select sum(Col16) where Col1 = '""&amp;$G25&amp;""' and Col2 &gt; date '""&amp;TEXT(T$8,""yyyy-mm-dd"")&amp;""' and Col2 &lt;= date '""&amp;TEXT(S$8,""yyyy-mm-dd"")&amp;""' label sum(Col16) ''"",0)))"),"")</f>
        <v/>
      </c>
      <c r="T25" s="628" t="str">
        <f>IFERROR(__xludf.DUMMYFUNCTION("IF($G25="""","""",IFERROR(query({proventos!$B$5:$Q310},""Select sum(Col16) where Col1 = '""&amp;$G25&amp;""' and Col2 &gt; date '""&amp;TEXT(U$8,""yyyy-mm-dd"")&amp;""' and Col2 &lt;= date '""&amp;TEXT(T$8,""yyyy-mm-dd"")&amp;""' label sum(Col16) ''"",0)))"),"")</f>
        <v/>
      </c>
      <c r="U25" s="629" t="str">
        <f>IFERROR(__xludf.DUMMYFUNCTION("IF($G25="""","""",IFERROR(query({proventos!$B$5:$Q310},""Select sum(Col16) where Col1 = '""&amp;$G25&amp;""' and Col2 &gt; date '""&amp;TEXT(EOMONTH(TODAY(),-13),""yyyy-mm-dd"")&amp;""' and Col2 &lt;= date '""&amp;TEXT(U$8,""yyyy-mm-dd"")&amp;""' label sum(Col16) ''"",0)))"),"")</f>
        <v/>
      </c>
      <c r="V25" s="630" t="str">
        <f>IFERROR(__xludf.DUMMYFUNCTION("IF($G25="""","""",IFERROR(query({proventos!$B$5:$Q310},""Select sum(Col16) where Col1 = '""&amp;$G25&amp;""' and Col2 &gt; date '""&amp;TEXT(DATE(V$8,1,1),""yyyy-mm-dd"")&amp;""' and Col2 &lt;= date '""&amp;TEXT(DATE(V$8,12,31),""yyyy-mm-dd"")&amp;""' label sum(Col16) ''"",0)))"),"")</f>
        <v/>
      </c>
      <c r="W25" s="630" t="str">
        <f>IFERROR(__xludf.DUMMYFUNCTION("IF($G25="""","""",IFERROR(query({proventos!$B$5:$Q310},""Select sum(Col16) where Col1 = '""&amp;$G25&amp;""' and Col2 &gt; date '""&amp;TEXT(DATE(W$8,1,1),""yyyy-mm-dd"")&amp;""' and Col2 &lt;= date '""&amp;TEXT(DATE(W$8,12,31),""yyyy-mm-dd"")&amp;""' label sum(Col16) ''"",0)))"),"")</f>
        <v/>
      </c>
      <c r="X25" s="630" t="str">
        <f>IFERROR(__xludf.DUMMYFUNCTION("IF($G25="""","""",IFERROR(query({proventos!$B$5:$Q310},""Select sum(Col16) where Col1 = '""&amp;$G25&amp;""' and Col2 &gt; date '""&amp;TEXT(DATE(X$8,1,1),""yyyy-mm-dd"")&amp;""' and Col2 &lt;= date '""&amp;TEXT(DATE(X$8,12,31),""yyyy-mm-dd"")&amp;""' label sum(Col16) ''"",0)))"),"")</f>
        <v/>
      </c>
      <c r="Y25" s="630" t="str">
        <f>IFERROR(__xludf.DUMMYFUNCTION("IF($G25="""","""",IFERROR(query({proventos!$B$5:$Q310},""Select sum(Col16) where Col1 = '""&amp;$G25&amp;""' and Col2 &gt; date '""&amp;TEXT(DATE(Y$8,1,1),""yyyy-mm-dd"")&amp;""' and Col2 &lt;= date '""&amp;TEXT(DATE(Y$8,12,31),""yyyy-mm-dd"")&amp;""' label sum(Col16) ''"",0)))"),"")</f>
        <v/>
      </c>
      <c r="Z25" s="630" t="str">
        <f>IFERROR(__xludf.DUMMYFUNCTION("IF($G25="""","""",IFERROR(query({proventos!$B$5:$Q310},""Select sum(Col16) where Col1 = '""&amp;$G25&amp;""' and Col2 &gt; date '""&amp;TEXT(DATE(Z$8,1,1),""yyyy-mm-dd"")&amp;""' and Col2 &lt;= date '""&amp;TEXT(DATE(Z$8,12,31),""yyyy-mm-dd"")&amp;""' label sum(Col16) ''"",0)))"),"")</f>
        <v/>
      </c>
      <c r="AA25" s="587"/>
      <c r="AB25" s="578" t="s">
        <v>123</v>
      </c>
      <c r="AC25" s="601"/>
      <c r="AD25" s="631"/>
      <c r="AE25" s="631"/>
    </row>
    <row r="26">
      <c r="A26" s="619">
        <v>16.0</v>
      </c>
      <c r="B26" s="620"/>
      <c r="C26" s="632"/>
      <c r="D26" s="633"/>
      <c r="E26" s="634"/>
      <c r="F26" s="624">
        <v>16.0</v>
      </c>
      <c r="G26" s="635"/>
      <c r="H26" s="626" t="str">
        <f>if(G26="","",IFERROR(VLOOKUP(G26,AtivosDados,MATCH("provento_avg",portfolio.!$A$3:AE$3,0),FALSE),""))</f>
        <v/>
      </c>
      <c r="I26" s="627" t="s">
        <v>123</v>
      </c>
      <c r="J26" s="628" t="str">
        <f>IFERROR(__xludf.DUMMYFUNCTION("IF($G26="""","""",IFERROR(query({proventos!$B$5:$Q310},""Select sum(Col16) where Col1 = '""&amp;$G26&amp;""' and Col2 &gt; date '""&amp;TEXT(K$8,""yyyy-mm-dd"")&amp;""' and Col2 &lt;= date '""&amp;TEXT(J$8,""yyyy-mm-dd"")&amp;""' label sum(Col16) ''"",0)))"),"")</f>
        <v/>
      </c>
      <c r="K26" s="628" t="str">
        <f>IFERROR(__xludf.DUMMYFUNCTION("IF($G26="""","""",IFERROR(query({proventos!$B$5:$Q310},""Select sum(Col16) where Col1 = '""&amp;$G26&amp;""' and Col2 &gt; date '""&amp;TEXT(L$8,""yyyy-mm-dd"")&amp;""' and Col2 &lt;= date '""&amp;TEXT(K$8,""yyyy-mm-dd"")&amp;""' label sum(Col16) ''"",0)))"),"")</f>
        <v/>
      </c>
      <c r="L26" s="628" t="str">
        <f>IFERROR(__xludf.DUMMYFUNCTION("IF($G26="""","""",IFERROR(query({proventos!$B$5:$Q310},""Select sum(Col16) where Col1 = '""&amp;$G26&amp;""' and Col2 &gt; date '""&amp;TEXT(M$8,""yyyy-mm-dd"")&amp;""' and Col2 &lt;= date '""&amp;TEXT(L$8,""yyyy-mm-dd"")&amp;""' label sum(Col16) ''"",0)))"),"")</f>
        <v/>
      </c>
      <c r="M26" s="628" t="str">
        <f>IFERROR(__xludf.DUMMYFUNCTION("IF($G26="""","""",IFERROR(query({proventos!$B$5:$Q310},""Select sum(Col16) where Col1 = '""&amp;$G26&amp;""' and Col2 &gt; date '""&amp;TEXT(N$8,""yyyy-mm-dd"")&amp;""' and Col2 &lt;= date '""&amp;TEXT(M$8,""yyyy-mm-dd"")&amp;""' label sum(Col16) ''"",0)))"),"")</f>
        <v/>
      </c>
      <c r="N26" s="628" t="str">
        <f>IFERROR(__xludf.DUMMYFUNCTION("IF($G26="""","""",IFERROR(query({proventos!$B$5:$Q310},""Select sum(Col16) where Col1 = '""&amp;$G26&amp;""' and Col2 &gt; date '""&amp;TEXT(O$8,""yyyy-mm-dd"")&amp;""' and Col2 &lt;= date '""&amp;TEXT(N$8,""yyyy-mm-dd"")&amp;""' label sum(Col16) ''"",0)))"),"")</f>
        <v/>
      </c>
      <c r="O26" s="628" t="str">
        <f>IFERROR(__xludf.DUMMYFUNCTION("IF($G26="""","""",IFERROR(query({proventos!$B$5:$Q310},""Select sum(Col16) where Col1 = '""&amp;$G26&amp;""' and Col2 &gt; date '""&amp;TEXT(P$8,""yyyy-mm-dd"")&amp;""' and Col2 &lt;= date '""&amp;TEXT(O$8,""yyyy-mm-dd"")&amp;""' label sum(Col16) ''"",0)))"),"")</f>
        <v/>
      </c>
      <c r="P26" s="628" t="str">
        <f>IFERROR(__xludf.DUMMYFUNCTION("IF($G26="""","""",IFERROR(query({proventos!$B$5:$Q310},""Select sum(Col16) where Col1 = '""&amp;$G26&amp;""' and Col2 &gt; date '""&amp;TEXT(Q$8,""yyyy-mm-dd"")&amp;""' and Col2 &lt;= date '""&amp;TEXT(P$8,""yyyy-mm-dd"")&amp;""' label sum(Col16) ''"",0)))"),"")</f>
        <v/>
      </c>
      <c r="Q26" s="628" t="str">
        <f>IFERROR(__xludf.DUMMYFUNCTION("IF($G26="""","""",IFERROR(query({proventos!$B$5:$Q310},""Select sum(Col16) where Col1 = '""&amp;$G26&amp;""' and Col2 &gt; date '""&amp;TEXT(R$8,""yyyy-mm-dd"")&amp;""' and Col2 &lt;= date '""&amp;TEXT(Q$8,""yyyy-mm-dd"")&amp;""' label sum(Col16) ''"",0)))"),"")</f>
        <v/>
      </c>
      <c r="R26" s="628" t="str">
        <f>IFERROR(__xludf.DUMMYFUNCTION("IF($G26="""","""",IFERROR(query({proventos!$B$5:$Q310},""Select sum(Col16) where Col1 = '""&amp;$G26&amp;""' and Col2 &gt; date '""&amp;TEXT(S$8,""yyyy-mm-dd"")&amp;""' and Col2 &lt;= date '""&amp;TEXT(R$8,""yyyy-mm-dd"")&amp;""' label sum(Col16) ''"",0)))"),"")</f>
        <v/>
      </c>
      <c r="S26" s="628" t="str">
        <f>IFERROR(__xludf.DUMMYFUNCTION("IF($G26="""","""",IFERROR(query({proventos!$B$5:$Q310},""Select sum(Col16) where Col1 = '""&amp;$G26&amp;""' and Col2 &gt; date '""&amp;TEXT(T$8,""yyyy-mm-dd"")&amp;""' and Col2 &lt;= date '""&amp;TEXT(S$8,""yyyy-mm-dd"")&amp;""' label sum(Col16) ''"",0)))"),"")</f>
        <v/>
      </c>
      <c r="T26" s="628" t="str">
        <f>IFERROR(__xludf.DUMMYFUNCTION("IF($G26="""","""",IFERROR(query({proventos!$B$5:$Q310},""Select sum(Col16) where Col1 = '""&amp;$G26&amp;""' and Col2 &gt; date '""&amp;TEXT(U$8,""yyyy-mm-dd"")&amp;""' and Col2 &lt;= date '""&amp;TEXT(T$8,""yyyy-mm-dd"")&amp;""' label sum(Col16) ''"",0)))"),"")</f>
        <v/>
      </c>
      <c r="U26" s="629" t="str">
        <f>IFERROR(__xludf.DUMMYFUNCTION("IF($G26="""","""",IFERROR(query({proventos!$B$5:$Q310},""Select sum(Col16) where Col1 = '""&amp;$G26&amp;""' and Col2 &gt; date '""&amp;TEXT(EOMONTH(TODAY(),-13),""yyyy-mm-dd"")&amp;""' and Col2 &lt;= date '""&amp;TEXT(U$8,""yyyy-mm-dd"")&amp;""' label sum(Col16) ''"",0)))"),"")</f>
        <v/>
      </c>
      <c r="V26" s="630" t="str">
        <f>IFERROR(__xludf.DUMMYFUNCTION("IF($G26="""","""",IFERROR(query({proventos!$B$5:$Q310},""Select sum(Col16) where Col1 = '""&amp;$G26&amp;""' and Col2 &gt; date '""&amp;TEXT(DATE(V$8,1,1),""yyyy-mm-dd"")&amp;""' and Col2 &lt;= date '""&amp;TEXT(DATE(V$8,12,31),""yyyy-mm-dd"")&amp;""' label sum(Col16) ''"",0)))"),"")</f>
        <v/>
      </c>
      <c r="W26" s="630" t="str">
        <f>IFERROR(__xludf.DUMMYFUNCTION("IF($G26="""","""",IFERROR(query({proventos!$B$5:$Q310},""Select sum(Col16) where Col1 = '""&amp;$G26&amp;""' and Col2 &gt; date '""&amp;TEXT(DATE(W$8,1,1),""yyyy-mm-dd"")&amp;""' and Col2 &lt;= date '""&amp;TEXT(DATE(W$8,12,31),""yyyy-mm-dd"")&amp;""' label sum(Col16) ''"",0)))"),"")</f>
        <v/>
      </c>
      <c r="X26" s="630" t="str">
        <f>IFERROR(__xludf.DUMMYFUNCTION("IF($G26="""","""",IFERROR(query({proventos!$B$5:$Q310},""Select sum(Col16) where Col1 = '""&amp;$G26&amp;""' and Col2 &gt; date '""&amp;TEXT(DATE(X$8,1,1),""yyyy-mm-dd"")&amp;""' and Col2 &lt;= date '""&amp;TEXT(DATE(X$8,12,31),""yyyy-mm-dd"")&amp;""' label sum(Col16) ''"",0)))"),"")</f>
        <v/>
      </c>
      <c r="Y26" s="630" t="str">
        <f>IFERROR(__xludf.DUMMYFUNCTION("IF($G26="""","""",IFERROR(query({proventos!$B$5:$Q310},""Select sum(Col16) where Col1 = '""&amp;$G26&amp;""' and Col2 &gt; date '""&amp;TEXT(DATE(Y$8,1,1),""yyyy-mm-dd"")&amp;""' and Col2 &lt;= date '""&amp;TEXT(DATE(Y$8,12,31),""yyyy-mm-dd"")&amp;""' label sum(Col16) ''"",0)))"),"")</f>
        <v/>
      </c>
      <c r="Z26" s="630" t="str">
        <f>IFERROR(__xludf.DUMMYFUNCTION("IF($G26="""","""",IFERROR(query({proventos!$B$5:$Q310},""Select sum(Col16) where Col1 = '""&amp;$G26&amp;""' and Col2 &gt; date '""&amp;TEXT(DATE(Z$8,1,1),""yyyy-mm-dd"")&amp;""' and Col2 &lt;= date '""&amp;TEXT(DATE(Z$8,12,31),""yyyy-mm-dd"")&amp;""' label sum(Col16) ''"",0)))"),"")</f>
        <v/>
      </c>
      <c r="AA26" s="587"/>
      <c r="AB26" s="578" t="s">
        <v>123</v>
      </c>
      <c r="AC26" s="601"/>
      <c r="AD26" s="631"/>
      <c r="AE26" s="631"/>
    </row>
    <row r="27">
      <c r="A27" s="619">
        <v>17.0</v>
      </c>
      <c r="B27" s="620"/>
      <c r="C27" s="632"/>
      <c r="D27" s="633"/>
      <c r="E27" s="634"/>
      <c r="F27" s="624">
        <v>17.0</v>
      </c>
      <c r="G27" s="635"/>
      <c r="H27" s="626" t="str">
        <f>if(G27="","",IFERROR(VLOOKUP(G27,AtivosDados,MATCH("provento_avg",portfolio.!$A$3:AE$3,0),FALSE),""))</f>
        <v/>
      </c>
      <c r="I27" s="627" t="s">
        <v>123</v>
      </c>
      <c r="J27" s="628" t="str">
        <f>IFERROR(__xludf.DUMMYFUNCTION("IF($G27="""","""",IFERROR(query({proventos!$B$5:$Q310},""Select sum(Col16) where Col1 = '""&amp;$G27&amp;""' and Col2 &gt; date '""&amp;TEXT(K$8,""yyyy-mm-dd"")&amp;""' and Col2 &lt;= date '""&amp;TEXT(J$8,""yyyy-mm-dd"")&amp;""' label sum(Col16) ''"",0)))"),"")</f>
        <v/>
      </c>
      <c r="K27" s="628" t="str">
        <f>IFERROR(__xludf.DUMMYFUNCTION("IF($G27="""","""",IFERROR(query({proventos!$B$5:$Q310},""Select sum(Col16) where Col1 = '""&amp;$G27&amp;""' and Col2 &gt; date '""&amp;TEXT(L$8,""yyyy-mm-dd"")&amp;""' and Col2 &lt;= date '""&amp;TEXT(K$8,""yyyy-mm-dd"")&amp;""' label sum(Col16) ''"",0)))"),"")</f>
        <v/>
      </c>
      <c r="L27" s="628" t="str">
        <f>IFERROR(__xludf.DUMMYFUNCTION("IF($G27="""","""",IFERROR(query({proventos!$B$5:$Q310},""Select sum(Col16) where Col1 = '""&amp;$G27&amp;""' and Col2 &gt; date '""&amp;TEXT(M$8,""yyyy-mm-dd"")&amp;""' and Col2 &lt;= date '""&amp;TEXT(L$8,""yyyy-mm-dd"")&amp;""' label sum(Col16) ''"",0)))"),"")</f>
        <v/>
      </c>
      <c r="M27" s="628" t="str">
        <f>IFERROR(__xludf.DUMMYFUNCTION("IF($G27="""","""",IFERROR(query({proventos!$B$5:$Q310},""Select sum(Col16) where Col1 = '""&amp;$G27&amp;""' and Col2 &gt; date '""&amp;TEXT(N$8,""yyyy-mm-dd"")&amp;""' and Col2 &lt;= date '""&amp;TEXT(M$8,""yyyy-mm-dd"")&amp;""' label sum(Col16) ''"",0)))"),"")</f>
        <v/>
      </c>
      <c r="N27" s="628" t="str">
        <f>IFERROR(__xludf.DUMMYFUNCTION("IF($G27="""","""",IFERROR(query({proventos!$B$5:$Q310},""Select sum(Col16) where Col1 = '""&amp;$G27&amp;""' and Col2 &gt; date '""&amp;TEXT(O$8,""yyyy-mm-dd"")&amp;""' and Col2 &lt;= date '""&amp;TEXT(N$8,""yyyy-mm-dd"")&amp;""' label sum(Col16) ''"",0)))"),"")</f>
        <v/>
      </c>
      <c r="O27" s="628" t="str">
        <f>IFERROR(__xludf.DUMMYFUNCTION("IF($G27="""","""",IFERROR(query({proventos!$B$5:$Q310},""Select sum(Col16) where Col1 = '""&amp;$G27&amp;""' and Col2 &gt; date '""&amp;TEXT(P$8,""yyyy-mm-dd"")&amp;""' and Col2 &lt;= date '""&amp;TEXT(O$8,""yyyy-mm-dd"")&amp;""' label sum(Col16) ''"",0)))"),"")</f>
        <v/>
      </c>
      <c r="P27" s="628" t="str">
        <f>IFERROR(__xludf.DUMMYFUNCTION("IF($G27="""","""",IFERROR(query({proventos!$B$5:$Q310},""Select sum(Col16) where Col1 = '""&amp;$G27&amp;""' and Col2 &gt; date '""&amp;TEXT(Q$8,""yyyy-mm-dd"")&amp;""' and Col2 &lt;= date '""&amp;TEXT(P$8,""yyyy-mm-dd"")&amp;""' label sum(Col16) ''"",0)))"),"")</f>
        <v/>
      </c>
      <c r="Q27" s="628" t="str">
        <f>IFERROR(__xludf.DUMMYFUNCTION("IF($G27="""","""",IFERROR(query({proventos!$B$5:$Q310},""Select sum(Col16) where Col1 = '""&amp;$G27&amp;""' and Col2 &gt; date '""&amp;TEXT(R$8,""yyyy-mm-dd"")&amp;""' and Col2 &lt;= date '""&amp;TEXT(Q$8,""yyyy-mm-dd"")&amp;""' label sum(Col16) ''"",0)))"),"")</f>
        <v/>
      </c>
      <c r="R27" s="628" t="str">
        <f>IFERROR(__xludf.DUMMYFUNCTION("IF($G27="""","""",IFERROR(query({proventos!$B$5:$Q310},""Select sum(Col16) where Col1 = '""&amp;$G27&amp;""' and Col2 &gt; date '""&amp;TEXT(S$8,""yyyy-mm-dd"")&amp;""' and Col2 &lt;= date '""&amp;TEXT(R$8,""yyyy-mm-dd"")&amp;""' label sum(Col16) ''"",0)))"),"")</f>
        <v/>
      </c>
      <c r="S27" s="628" t="str">
        <f>IFERROR(__xludf.DUMMYFUNCTION("IF($G27="""","""",IFERROR(query({proventos!$B$5:$Q310},""Select sum(Col16) where Col1 = '""&amp;$G27&amp;""' and Col2 &gt; date '""&amp;TEXT(T$8,""yyyy-mm-dd"")&amp;""' and Col2 &lt;= date '""&amp;TEXT(S$8,""yyyy-mm-dd"")&amp;""' label sum(Col16) ''"",0)))"),"")</f>
        <v/>
      </c>
      <c r="T27" s="628" t="str">
        <f>IFERROR(__xludf.DUMMYFUNCTION("IF($G27="""","""",IFERROR(query({proventos!$B$5:$Q310},""Select sum(Col16) where Col1 = '""&amp;$G27&amp;""' and Col2 &gt; date '""&amp;TEXT(U$8,""yyyy-mm-dd"")&amp;""' and Col2 &lt;= date '""&amp;TEXT(T$8,""yyyy-mm-dd"")&amp;""' label sum(Col16) ''"",0)))"),"")</f>
        <v/>
      </c>
      <c r="U27" s="629" t="str">
        <f>IFERROR(__xludf.DUMMYFUNCTION("IF($G27="""","""",IFERROR(query({proventos!$B$5:$Q310},""Select sum(Col16) where Col1 = '""&amp;$G27&amp;""' and Col2 &gt; date '""&amp;TEXT(EOMONTH(TODAY(),-13),""yyyy-mm-dd"")&amp;""' and Col2 &lt;= date '""&amp;TEXT(U$8,""yyyy-mm-dd"")&amp;""' label sum(Col16) ''"",0)))"),"")</f>
        <v/>
      </c>
      <c r="V27" s="630" t="str">
        <f>IFERROR(__xludf.DUMMYFUNCTION("IF($G27="""","""",IFERROR(query({proventos!$B$5:$Q310},""Select sum(Col16) where Col1 = '""&amp;$G27&amp;""' and Col2 &gt; date '""&amp;TEXT(DATE(V$8,1,1),""yyyy-mm-dd"")&amp;""' and Col2 &lt;= date '""&amp;TEXT(DATE(V$8,12,31),""yyyy-mm-dd"")&amp;""' label sum(Col16) ''"",0)))"),"")</f>
        <v/>
      </c>
      <c r="W27" s="630" t="str">
        <f>IFERROR(__xludf.DUMMYFUNCTION("IF($G27="""","""",IFERROR(query({proventos!$B$5:$Q310},""Select sum(Col16) where Col1 = '""&amp;$G27&amp;""' and Col2 &gt; date '""&amp;TEXT(DATE(W$8,1,1),""yyyy-mm-dd"")&amp;""' and Col2 &lt;= date '""&amp;TEXT(DATE(W$8,12,31),""yyyy-mm-dd"")&amp;""' label sum(Col16) ''"",0)))"),"")</f>
        <v/>
      </c>
      <c r="X27" s="630" t="str">
        <f>IFERROR(__xludf.DUMMYFUNCTION("IF($G27="""","""",IFERROR(query({proventos!$B$5:$Q310},""Select sum(Col16) where Col1 = '""&amp;$G27&amp;""' and Col2 &gt; date '""&amp;TEXT(DATE(X$8,1,1),""yyyy-mm-dd"")&amp;""' and Col2 &lt;= date '""&amp;TEXT(DATE(X$8,12,31),""yyyy-mm-dd"")&amp;""' label sum(Col16) ''"",0)))"),"")</f>
        <v/>
      </c>
      <c r="Y27" s="630" t="str">
        <f>IFERROR(__xludf.DUMMYFUNCTION("IF($G27="""","""",IFERROR(query({proventos!$B$5:$Q310},""Select sum(Col16) where Col1 = '""&amp;$G27&amp;""' and Col2 &gt; date '""&amp;TEXT(DATE(Y$8,1,1),""yyyy-mm-dd"")&amp;""' and Col2 &lt;= date '""&amp;TEXT(DATE(Y$8,12,31),""yyyy-mm-dd"")&amp;""' label sum(Col16) ''"",0)))"),"")</f>
        <v/>
      </c>
      <c r="Z27" s="630" t="str">
        <f>IFERROR(__xludf.DUMMYFUNCTION("IF($G27="""","""",IFERROR(query({proventos!$B$5:$Q310},""Select sum(Col16) where Col1 = '""&amp;$G27&amp;""' and Col2 &gt; date '""&amp;TEXT(DATE(Z$8,1,1),""yyyy-mm-dd"")&amp;""' and Col2 &lt;= date '""&amp;TEXT(DATE(Z$8,12,31),""yyyy-mm-dd"")&amp;""' label sum(Col16) ''"",0)))"),"")</f>
        <v/>
      </c>
      <c r="AA27" s="587"/>
      <c r="AB27" s="578" t="s">
        <v>123</v>
      </c>
      <c r="AC27" s="601"/>
      <c r="AD27" s="631"/>
      <c r="AE27" s="631"/>
    </row>
    <row r="28">
      <c r="A28" s="619">
        <v>18.0</v>
      </c>
      <c r="B28" s="620"/>
      <c r="C28" s="632"/>
      <c r="D28" s="633"/>
      <c r="E28" s="634"/>
      <c r="F28" s="624">
        <v>18.0</v>
      </c>
      <c r="G28" s="635"/>
      <c r="H28" s="626" t="str">
        <f>if(G28="","",IFERROR(VLOOKUP(G28,AtivosDados,MATCH("provento_avg",portfolio.!$A$3:AE$3,0),FALSE),""))</f>
        <v/>
      </c>
      <c r="I28" s="627" t="s">
        <v>123</v>
      </c>
      <c r="J28" s="628" t="str">
        <f>IFERROR(__xludf.DUMMYFUNCTION("IF($G28="""","""",IFERROR(query({proventos!$B$5:$Q310},""Select sum(Col16) where Col1 = '""&amp;$G28&amp;""' and Col2 &gt; date '""&amp;TEXT(K$8,""yyyy-mm-dd"")&amp;""' and Col2 &lt;= date '""&amp;TEXT(J$8,""yyyy-mm-dd"")&amp;""' label sum(Col16) ''"",0)))"),"")</f>
        <v/>
      </c>
      <c r="K28" s="628" t="str">
        <f>IFERROR(__xludf.DUMMYFUNCTION("IF($G28="""","""",IFERROR(query({proventos!$B$5:$Q310},""Select sum(Col16) where Col1 = '""&amp;$G28&amp;""' and Col2 &gt; date '""&amp;TEXT(L$8,""yyyy-mm-dd"")&amp;""' and Col2 &lt;= date '""&amp;TEXT(K$8,""yyyy-mm-dd"")&amp;""' label sum(Col16) ''"",0)))"),"")</f>
        <v/>
      </c>
      <c r="L28" s="628" t="str">
        <f>IFERROR(__xludf.DUMMYFUNCTION("IF($G28="""","""",IFERROR(query({proventos!$B$5:$Q310},""Select sum(Col16) where Col1 = '""&amp;$G28&amp;""' and Col2 &gt; date '""&amp;TEXT(M$8,""yyyy-mm-dd"")&amp;""' and Col2 &lt;= date '""&amp;TEXT(L$8,""yyyy-mm-dd"")&amp;""' label sum(Col16) ''"",0)))"),"")</f>
        <v/>
      </c>
      <c r="M28" s="628" t="str">
        <f>IFERROR(__xludf.DUMMYFUNCTION("IF($G28="""","""",IFERROR(query({proventos!$B$5:$Q310},""Select sum(Col16) where Col1 = '""&amp;$G28&amp;""' and Col2 &gt; date '""&amp;TEXT(N$8,""yyyy-mm-dd"")&amp;""' and Col2 &lt;= date '""&amp;TEXT(M$8,""yyyy-mm-dd"")&amp;""' label sum(Col16) ''"",0)))"),"")</f>
        <v/>
      </c>
      <c r="N28" s="628" t="str">
        <f>IFERROR(__xludf.DUMMYFUNCTION("IF($G28="""","""",IFERROR(query({proventos!$B$5:$Q310},""Select sum(Col16) where Col1 = '""&amp;$G28&amp;""' and Col2 &gt; date '""&amp;TEXT(O$8,""yyyy-mm-dd"")&amp;""' and Col2 &lt;= date '""&amp;TEXT(N$8,""yyyy-mm-dd"")&amp;""' label sum(Col16) ''"",0)))"),"")</f>
        <v/>
      </c>
      <c r="O28" s="628" t="str">
        <f>IFERROR(__xludf.DUMMYFUNCTION("IF($G28="""","""",IFERROR(query({proventos!$B$5:$Q310},""Select sum(Col16) where Col1 = '""&amp;$G28&amp;""' and Col2 &gt; date '""&amp;TEXT(P$8,""yyyy-mm-dd"")&amp;""' and Col2 &lt;= date '""&amp;TEXT(O$8,""yyyy-mm-dd"")&amp;""' label sum(Col16) ''"",0)))"),"")</f>
        <v/>
      </c>
      <c r="P28" s="628" t="str">
        <f>IFERROR(__xludf.DUMMYFUNCTION("IF($G28="""","""",IFERROR(query({proventos!$B$5:$Q310},""Select sum(Col16) where Col1 = '""&amp;$G28&amp;""' and Col2 &gt; date '""&amp;TEXT(Q$8,""yyyy-mm-dd"")&amp;""' and Col2 &lt;= date '""&amp;TEXT(P$8,""yyyy-mm-dd"")&amp;""' label sum(Col16) ''"",0)))"),"")</f>
        <v/>
      </c>
      <c r="Q28" s="628" t="str">
        <f>IFERROR(__xludf.DUMMYFUNCTION("IF($G28="""","""",IFERROR(query({proventos!$B$5:$Q310},""Select sum(Col16) where Col1 = '""&amp;$G28&amp;""' and Col2 &gt; date '""&amp;TEXT(R$8,""yyyy-mm-dd"")&amp;""' and Col2 &lt;= date '""&amp;TEXT(Q$8,""yyyy-mm-dd"")&amp;""' label sum(Col16) ''"",0)))"),"")</f>
        <v/>
      </c>
      <c r="R28" s="628" t="str">
        <f>IFERROR(__xludf.DUMMYFUNCTION("IF($G28="""","""",IFERROR(query({proventos!$B$5:$Q310},""Select sum(Col16) where Col1 = '""&amp;$G28&amp;""' and Col2 &gt; date '""&amp;TEXT(S$8,""yyyy-mm-dd"")&amp;""' and Col2 &lt;= date '""&amp;TEXT(R$8,""yyyy-mm-dd"")&amp;""' label sum(Col16) ''"",0)))"),"")</f>
        <v/>
      </c>
      <c r="S28" s="628" t="str">
        <f>IFERROR(__xludf.DUMMYFUNCTION("IF($G28="""","""",IFERROR(query({proventos!$B$5:$Q310},""Select sum(Col16) where Col1 = '""&amp;$G28&amp;""' and Col2 &gt; date '""&amp;TEXT(T$8,""yyyy-mm-dd"")&amp;""' and Col2 &lt;= date '""&amp;TEXT(S$8,""yyyy-mm-dd"")&amp;""' label sum(Col16) ''"",0)))"),"")</f>
        <v/>
      </c>
      <c r="T28" s="628" t="str">
        <f>IFERROR(__xludf.DUMMYFUNCTION("IF($G28="""","""",IFERROR(query({proventos!$B$5:$Q310},""Select sum(Col16) where Col1 = '""&amp;$G28&amp;""' and Col2 &gt; date '""&amp;TEXT(U$8,""yyyy-mm-dd"")&amp;""' and Col2 &lt;= date '""&amp;TEXT(T$8,""yyyy-mm-dd"")&amp;""' label sum(Col16) ''"",0)))"),"")</f>
        <v/>
      </c>
      <c r="U28" s="629" t="str">
        <f>IFERROR(__xludf.DUMMYFUNCTION("IF($G28="""","""",IFERROR(query({proventos!$B$5:$Q310},""Select sum(Col16) where Col1 = '""&amp;$G28&amp;""' and Col2 &gt; date '""&amp;TEXT(EOMONTH(TODAY(),-13),""yyyy-mm-dd"")&amp;""' and Col2 &lt;= date '""&amp;TEXT(U$8,""yyyy-mm-dd"")&amp;""' label sum(Col16) ''"",0)))"),"")</f>
        <v/>
      </c>
      <c r="V28" s="630" t="str">
        <f>IFERROR(__xludf.DUMMYFUNCTION("IF($G28="""","""",IFERROR(query({proventos!$B$5:$Q310},""Select sum(Col16) where Col1 = '""&amp;$G28&amp;""' and Col2 &gt; date '""&amp;TEXT(DATE(V$8,1,1),""yyyy-mm-dd"")&amp;""' and Col2 &lt;= date '""&amp;TEXT(DATE(V$8,12,31),""yyyy-mm-dd"")&amp;""' label sum(Col16) ''"",0)))"),"")</f>
        <v/>
      </c>
      <c r="W28" s="630" t="str">
        <f>IFERROR(__xludf.DUMMYFUNCTION("IF($G28="""","""",IFERROR(query({proventos!$B$5:$Q310},""Select sum(Col16) where Col1 = '""&amp;$G28&amp;""' and Col2 &gt; date '""&amp;TEXT(DATE(W$8,1,1),""yyyy-mm-dd"")&amp;""' and Col2 &lt;= date '""&amp;TEXT(DATE(W$8,12,31),""yyyy-mm-dd"")&amp;""' label sum(Col16) ''"",0)))"),"")</f>
        <v/>
      </c>
      <c r="X28" s="630" t="str">
        <f>IFERROR(__xludf.DUMMYFUNCTION("IF($G28="""","""",IFERROR(query({proventos!$B$5:$Q310},""Select sum(Col16) where Col1 = '""&amp;$G28&amp;""' and Col2 &gt; date '""&amp;TEXT(DATE(X$8,1,1),""yyyy-mm-dd"")&amp;""' and Col2 &lt;= date '""&amp;TEXT(DATE(X$8,12,31),""yyyy-mm-dd"")&amp;""' label sum(Col16) ''"",0)))"),"")</f>
        <v/>
      </c>
      <c r="Y28" s="630" t="str">
        <f>IFERROR(__xludf.DUMMYFUNCTION("IF($G28="""","""",IFERROR(query({proventos!$B$5:$Q310},""Select sum(Col16) where Col1 = '""&amp;$G28&amp;""' and Col2 &gt; date '""&amp;TEXT(DATE(Y$8,1,1),""yyyy-mm-dd"")&amp;""' and Col2 &lt;= date '""&amp;TEXT(DATE(Y$8,12,31),""yyyy-mm-dd"")&amp;""' label sum(Col16) ''"",0)))"),"")</f>
        <v/>
      </c>
      <c r="Z28" s="630" t="str">
        <f>IFERROR(__xludf.DUMMYFUNCTION("IF($G28="""","""",IFERROR(query({proventos!$B$5:$Q310},""Select sum(Col16) where Col1 = '""&amp;$G28&amp;""' and Col2 &gt; date '""&amp;TEXT(DATE(Z$8,1,1),""yyyy-mm-dd"")&amp;""' and Col2 &lt;= date '""&amp;TEXT(DATE(Z$8,12,31),""yyyy-mm-dd"")&amp;""' label sum(Col16) ''"",0)))"),"")</f>
        <v/>
      </c>
      <c r="AA28" s="587"/>
      <c r="AB28" s="578" t="s">
        <v>123</v>
      </c>
      <c r="AC28" s="601"/>
      <c r="AD28" s="631"/>
      <c r="AE28" s="631"/>
    </row>
    <row r="29">
      <c r="A29" s="619">
        <v>19.0</v>
      </c>
      <c r="B29" s="620"/>
      <c r="C29" s="632"/>
      <c r="D29" s="633"/>
      <c r="E29" s="634"/>
      <c r="F29" s="624">
        <v>19.0</v>
      </c>
      <c r="G29" s="635"/>
      <c r="H29" s="626" t="str">
        <f>if(G29="","",IFERROR(VLOOKUP(G29,AtivosDados,MATCH("provento_avg",portfolio.!$A$3:AE$3,0),FALSE),""))</f>
        <v/>
      </c>
      <c r="I29" s="627" t="s">
        <v>123</v>
      </c>
      <c r="J29" s="628" t="str">
        <f>IFERROR(__xludf.DUMMYFUNCTION("IF($G29="""","""",IFERROR(query({proventos!$B$5:$Q310},""Select sum(Col16) where Col1 = '""&amp;$G29&amp;""' and Col2 &gt; date '""&amp;TEXT(K$8,""yyyy-mm-dd"")&amp;""' and Col2 &lt;= date '""&amp;TEXT(J$8,""yyyy-mm-dd"")&amp;""' label sum(Col16) ''"",0)))"),"")</f>
        <v/>
      </c>
      <c r="K29" s="628" t="str">
        <f>IFERROR(__xludf.DUMMYFUNCTION("IF($G29="""","""",IFERROR(query({proventos!$B$5:$Q310},""Select sum(Col16) where Col1 = '""&amp;$G29&amp;""' and Col2 &gt; date '""&amp;TEXT(L$8,""yyyy-mm-dd"")&amp;""' and Col2 &lt;= date '""&amp;TEXT(K$8,""yyyy-mm-dd"")&amp;""' label sum(Col16) ''"",0)))"),"")</f>
        <v/>
      </c>
      <c r="L29" s="628" t="str">
        <f>IFERROR(__xludf.DUMMYFUNCTION("IF($G29="""","""",IFERROR(query({proventos!$B$5:$Q310},""Select sum(Col16) where Col1 = '""&amp;$G29&amp;""' and Col2 &gt; date '""&amp;TEXT(M$8,""yyyy-mm-dd"")&amp;""' and Col2 &lt;= date '""&amp;TEXT(L$8,""yyyy-mm-dd"")&amp;""' label sum(Col16) ''"",0)))"),"")</f>
        <v/>
      </c>
      <c r="M29" s="628" t="str">
        <f>IFERROR(__xludf.DUMMYFUNCTION("IF($G29="""","""",IFERROR(query({proventos!$B$5:$Q310},""Select sum(Col16) where Col1 = '""&amp;$G29&amp;""' and Col2 &gt; date '""&amp;TEXT(N$8,""yyyy-mm-dd"")&amp;""' and Col2 &lt;= date '""&amp;TEXT(M$8,""yyyy-mm-dd"")&amp;""' label sum(Col16) ''"",0)))"),"")</f>
        <v/>
      </c>
      <c r="N29" s="628" t="str">
        <f>IFERROR(__xludf.DUMMYFUNCTION("IF($G29="""","""",IFERROR(query({proventos!$B$5:$Q310},""Select sum(Col16) where Col1 = '""&amp;$G29&amp;""' and Col2 &gt; date '""&amp;TEXT(O$8,""yyyy-mm-dd"")&amp;""' and Col2 &lt;= date '""&amp;TEXT(N$8,""yyyy-mm-dd"")&amp;""' label sum(Col16) ''"",0)))"),"")</f>
        <v/>
      </c>
      <c r="O29" s="628" t="str">
        <f>IFERROR(__xludf.DUMMYFUNCTION("IF($G29="""","""",IFERROR(query({proventos!$B$5:$Q310},""Select sum(Col16) where Col1 = '""&amp;$G29&amp;""' and Col2 &gt; date '""&amp;TEXT(P$8,""yyyy-mm-dd"")&amp;""' and Col2 &lt;= date '""&amp;TEXT(O$8,""yyyy-mm-dd"")&amp;""' label sum(Col16) ''"",0)))"),"")</f>
        <v/>
      </c>
      <c r="P29" s="628" t="str">
        <f>IFERROR(__xludf.DUMMYFUNCTION("IF($G29="""","""",IFERROR(query({proventos!$B$5:$Q310},""Select sum(Col16) where Col1 = '""&amp;$G29&amp;""' and Col2 &gt; date '""&amp;TEXT(Q$8,""yyyy-mm-dd"")&amp;""' and Col2 &lt;= date '""&amp;TEXT(P$8,""yyyy-mm-dd"")&amp;""' label sum(Col16) ''"",0)))"),"")</f>
        <v/>
      </c>
      <c r="Q29" s="628" t="str">
        <f>IFERROR(__xludf.DUMMYFUNCTION("IF($G29="""","""",IFERROR(query({proventos!$B$5:$Q310},""Select sum(Col16) where Col1 = '""&amp;$G29&amp;""' and Col2 &gt; date '""&amp;TEXT(R$8,""yyyy-mm-dd"")&amp;""' and Col2 &lt;= date '""&amp;TEXT(Q$8,""yyyy-mm-dd"")&amp;""' label sum(Col16) ''"",0)))"),"")</f>
        <v/>
      </c>
      <c r="R29" s="628" t="str">
        <f>IFERROR(__xludf.DUMMYFUNCTION("IF($G29="""","""",IFERROR(query({proventos!$B$5:$Q310},""Select sum(Col16) where Col1 = '""&amp;$G29&amp;""' and Col2 &gt; date '""&amp;TEXT(S$8,""yyyy-mm-dd"")&amp;""' and Col2 &lt;= date '""&amp;TEXT(R$8,""yyyy-mm-dd"")&amp;""' label sum(Col16) ''"",0)))"),"")</f>
        <v/>
      </c>
      <c r="S29" s="628" t="str">
        <f>IFERROR(__xludf.DUMMYFUNCTION("IF($G29="""","""",IFERROR(query({proventos!$B$5:$Q310},""Select sum(Col16) where Col1 = '""&amp;$G29&amp;""' and Col2 &gt; date '""&amp;TEXT(T$8,""yyyy-mm-dd"")&amp;""' and Col2 &lt;= date '""&amp;TEXT(S$8,""yyyy-mm-dd"")&amp;""' label sum(Col16) ''"",0)))"),"")</f>
        <v/>
      </c>
      <c r="T29" s="628" t="str">
        <f>IFERROR(__xludf.DUMMYFUNCTION("IF($G29="""","""",IFERROR(query({proventos!$B$5:$Q310},""Select sum(Col16) where Col1 = '""&amp;$G29&amp;""' and Col2 &gt; date '""&amp;TEXT(U$8,""yyyy-mm-dd"")&amp;""' and Col2 &lt;= date '""&amp;TEXT(T$8,""yyyy-mm-dd"")&amp;""' label sum(Col16) ''"",0)))"),"")</f>
        <v/>
      </c>
      <c r="U29" s="629" t="str">
        <f>IFERROR(__xludf.DUMMYFUNCTION("IF($G29="""","""",IFERROR(query({proventos!$B$5:$Q310},""Select sum(Col16) where Col1 = '""&amp;$G29&amp;""' and Col2 &gt; date '""&amp;TEXT(EOMONTH(TODAY(),-13),""yyyy-mm-dd"")&amp;""' and Col2 &lt;= date '""&amp;TEXT(U$8,""yyyy-mm-dd"")&amp;""' label sum(Col16) ''"",0)))"),"")</f>
        <v/>
      </c>
      <c r="V29" s="630" t="str">
        <f>IFERROR(__xludf.DUMMYFUNCTION("IF($G29="""","""",IFERROR(query({proventos!$B$5:$Q310},""Select sum(Col16) where Col1 = '""&amp;$G29&amp;""' and Col2 &gt; date '""&amp;TEXT(DATE(V$8,1,1),""yyyy-mm-dd"")&amp;""' and Col2 &lt;= date '""&amp;TEXT(DATE(V$8,12,31),""yyyy-mm-dd"")&amp;""' label sum(Col16) ''"",0)))"),"")</f>
        <v/>
      </c>
      <c r="W29" s="630" t="str">
        <f>IFERROR(__xludf.DUMMYFUNCTION("IF($G29="""","""",IFERROR(query({proventos!$B$5:$Q310},""Select sum(Col16) where Col1 = '""&amp;$G29&amp;""' and Col2 &gt; date '""&amp;TEXT(DATE(W$8,1,1),""yyyy-mm-dd"")&amp;""' and Col2 &lt;= date '""&amp;TEXT(DATE(W$8,12,31),""yyyy-mm-dd"")&amp;""' label sum(Col16) ''"",0)))"),"")</f>
        <v/>
      </c>
      <c r="X29" s="630" t="str">
        <f>IFERROR(__xludf.DUMMYFUNCTION("IF($G29="""","""",IFERROR(query({proventos!$B$5:$Q310},""Select sum(Col16) where Col1 = '""&amp;$G29&amp;""' and Col2 &gt; date '""&amp;TEXT(DATE(X$8,1,1),""yyyy-mm-dd"")&amp;""' and Col2 &lt;= date '""&amp;TEXT(DATE(X$8,12,31),""yyyy-mm-dd"")&amp;""' label sum(Col16) ''"",0)))"),"")</f>
        <v/>
      </c>
      <c r="Y29" s="630" t="str">
        <f>IFERROR(__xludf.DUMMYFUNCTION("IF($G29="""","""",IFERROR(query({proventos!$B$5:$Q310},""Select sum(Col16) where Col1 = '""&amp;$G29&amp;""' and Col2 &gt; date '""&amp;TEXT(DATE(Y$8,1,1),""yyyy-mm-dd"")&amp;""' and Col2 &lt;= date '""&amp;TEXT(DATE(Y$8,12,31),""yyyy-mm-dd"")&amp;""' label sum(Col16) ''"",0)))"),"")</f>
        <v/>
      </c>
      <c r="Z29" s="630" t="str">
        <f>IFERROR(__xludf.DUMMYFUNCTION("IF($G29="""","""",IFERROR(query({proventos!$B$5:$Q310},""Select sum(Col16) where Col1 = '""&amp;$G29&amp;""' and Col2 &gt; date '""&amp;TEXT(DATE(Z$8,1,1),""yyyy-mm-dd"")&amp;""' and Col2 &lt;= date '""&amp;TEXT(DATE(Z$8,12,31),""yyyy-mm-dd"")&amp;""' label sum(Col16) ''"",0)))"),"")</f>
        <v/>
      </c>
      <c r="AA29" s="587"/>
      <c r="AB29" s="578" t="s">
        <v>123</v>
      </c>
      <c r="AC29" s="601"/>
      <c r="AD29" s="631"/>
      <c r="AE29" s="631"/>
    </row>
    <row r="30">
      <c r="A30" s="619">
        <v>20.0</v>
      </c>
      <c r="B30" s="620"/>
      <c r="C30" s="632"/>
      <c r="D30" s="633"/>
      <c r="E30" s="634"/>
      <c r="F30" s="624">
        <v>20.0</v>
      </c>
      <c r="G30" s="635"/>
      <c r="H30" s="626" t="str">
        <f>if(G30="","",IFERROR(VLOOKUP(G30,AtivosDados,MATCH("provento_avg",portfolio.!$A$3:AE$3,0),FALSE),""))</f>
        <v/>
      </c>
      <c r="I30" s="627" t="s">
        <v>123</v>
      </c>
      <c r="J30" s="628" t="str">
        <f>IFERROR(__xludf.DUMMYFUNCTION("IF($G30="""","""",IFERROR(query({proventos!$B$5:$Q310},""Select sum(Col16) where Col1 = '""&amp;$G30&amp;""' and Col2 &gt; date '""&amp;TEXT(K$8,""yyyy-mm-dd"")&amp;""' and Col2 &lt;= date '""&amp;TEXT(J$8,""yyyy-mm-dd"")&amp;""' label sum(Col16) ''"",0)))"),"")</f>
        <v/>
      </c>
      <c r="K30" s="628" t="str">
        <f>IFERROR(__xludf.DUMMYFUNCTION("IF($G30="""","""",IFERROR(query({proventos!$B$5:$Q310},""Select sum(Col16) where Col1 = '""&amp;$G30&amp;""' and Col2 &gt; date '""&amp;TEXT(L$8,""yyyy-mm-dd"")&amp;""' and Col2 &lt;= date '""&amp;TEXT(K$8,""yyyy-mm-dd"")&amp;""' label sum(Col16) ''"",0)))"),"")</f>
        <v/>
      </c>
      <c r="L30" s="628" t="str">
        <f>IFERROR(__xludf.DUMMYFUNCTION("IF($G30="""","""",IFERROR(query({proventos!$B$5:$Q310},""Select sum(Col16) where Col1 = '""&amp;$G30&amp;""' and Col2 &gt; date '""&amp;TEXT(M$8,""yyyy-mm-dd"")&amp;""' and Col2 &lt;= date '""&amp;TEXT(L$8,""yyyy-mm-dd"")&amp;""' label sum(Col16) ''"",0)))"),"")</f>
        <v/>
      </c>
      <c r="M30" s="628" t="str">
        <f>IFERROR(__xludf.DUMMYFUNCTION("IF($G30="""","""",IFERROR(query({proventos!$B$5:$Q310},""Select sum(Col16) where Col1 = '""&amp;$G30&amp;""' and Col2 &gt; date '""&amp;TEXT(N$8,""yyyy-mm-dd"")&amp;""' and Col2 &lt;= date '""&amp;TEXT(M$8,""yyyy-mm-dd"")&amp;""' label sum(Col16) ''"",0)))"),"")</f>
        <v/>
      </c>
      <c r="N30" s="628" t="str">
        <f>IFERROR(__xludf.DUMMYFUNCTION("IF($G30="""","""",IFERROR(query({proventos!$B$5:$Q310},""Select sum(Col16) where Col1 = '""&amp;$G30&amp;""' and Col2 &gt; date '""&amp;TEXT(O$8,""yyyy-mm-dd"")&amp;""' and Col2 &lt;= date '""&amp;TEXT(N$8,""yyyy-mm-dd"")&amp;""' label sum(Col16) ''"",0)))"),"")</f>
        <v/>
      </c>
      <c r="O30" s="628" t="str">
        <f>IFERROR(__xludf.DUMMYFUNCTION("IF($G30="""","""",IFERROR(query({proventos!$B$5:$Q310},""Select sum(Col16) where Col1 = '""&amp;$G30&amp;""' and Col2 &gt; date '""&amp;TEXT(P$8,""yyyy-mm-dd"")&amp;""' and Col2 &lt;= date '""&amp;TEXT(O$8,""yyyy-mm-dd"")&amp;""' label sum(Col16) ''"",0)))"),"")</f>
        <v/>
      </c>
      <c r="P30" s="628" t="str">
        <f>IFERROR(__xludf.DUMMYFUNCTION("IF($G30="""","""",IFERROR(query({proventos!$B$5:$Q310},""Select sum(Col16) where Col1 = '""&amp;$G30&amp;""' and Col2 &gt; date '""&amp;TEXT(Q$8,""yyyy-mm-dd"")&amp;""' and Col2 &lt;= date '""&amp;TEXT(P$8,""yyyy-mm-dd"")&amp;""' label sum(Col16) ''"",0)))"),"")</f>
        <v/>
      </c>
      <c r="Q30" s="628" t="str">
        <f>IFERROR(__xludf.DUMMYFUNCTION("IF($G30="""","""",IFERROR(query({proventos!$B$5:$Q310},""Select sum(Col16) where Col1 = '""&amp;$G30&amp;""' and Col2 &gt; date '""&amp;TEXT(R$8,""yyyy-mm-dd"")&amp;""' and Col2 &lt;= date '""&amp;TEXT(Q$8,""yyyy-mm-dd"")&amp;""' label sum(Col16) ''"",0)))"),"")</f>
        <v/>
      </c>
      <c r="R30" s="628" t="str">
        <f>IFERROR(__xludf.DUMMYFUNCTION("IF($G30="""","""",IFERROR(query({proventos!$B$5:$Q310},""Select sum(Col16) where Col1 = '""&amp;$G30&amp;""' and Col2 &gt; date '""&amp;TEXT(S$8,""yyyy-mm-dd"")&amp;""' and Col2 &lt;= date '""&amp;TEXT(R$8,""yyyy-mm-dd"")&amp;""' label sum(Col16) ''"",0)))"),"")</f>
        <v/>
      </c>
      <c r="S30" s="628" t="str">
        <f>IFERROR(__xludf.DUMMYFUNCTION("IF($G30="""","""",IFERROR(query({proventos!$B$5:$Q310},""Select sum(Col16) where Col1 = '""&amp;$G30&amp;""' and Col2 &gt; date '""&amp;TEXT(T$8,""yyyy-mm-dd"")&amp;""' and Col2 &lt;= date '""&amp;TEXT(S$8,""yyyy-mm-dd"")&amp;""' label sum(Col16) ''"",0)))"),"")</f>
        <v/>
      </c>
      <c r="T30" s="628" t="str">
        <f>IFERROR(__xludf.DUMMYFUNCTION("IF($G30="""","""",IFERROR(query({proventos!$B$5:$Q310},""Select sum(Col16) where Col1 = '""&amp;$G30&amp;""' and Col2 &gt; date '""&amp;TEXT(U$8,""yyyy-mm-dd"")&amp;""' and Col2 &lt;= date '""&amp;TEXT(T$8,""yyyy-mm-dd"")&amp;""' label sum(Col16) ''"",0)))"),"")</f>
        <v/>
      </c>
      <c r="U30" s="629" t="str">
        <f>IFERROR(__xludf.DUMMYFUNCTION("IF($G30="""","""",IFERROR(query({proventos!$B$5:$Q310},""Select sum(Col16) where Col1 = '""&amp;$G30&amp;""' and Col2 &gt; date '""&amp;TEXT(EOMONTH(TODAY(),-13),""yyyy-mm-dd"")&amp;""' and Col2 &lt;= date '""&amp;TEXT(U$8,""yyyy-mm-dd"")&amp;""' label sum(Col16) ''"",0)))"),"")</f>
        <v/>
      </c>
      <c r="V30" s="630" t="str">
        <f>IFERROR(__xludf.DUMMYFUNCTION("IF($G30="""","""",IFERROR(query({proventos!$B$5:$Q310},""Select sum(Col16) where Col1 = '""&amp;$G30&amp;""' and Col2 &gt; date '""&amp;TEXT(DATE(V$8,1,1),""yyyy-mm-dd"")&amp;""' and Col2 &lt;= date '""&amp;TEXT(DATE(V$8,12,31),""yyyy-mm-dd"")&amp;""' label sum(Col16) ''"",0)))"),"")</f>
        <v/>
      </c>
      <c r="W30" s="630" t="str">
        <f>IFERROR(__xludf.DUMMYFUNCTION("IF($G30="""","""",IFERROR(query({proventos!$B$5:$Q310},""Select sum(Col16) where Col1 = '""&amp;$G30&amp;""' and Col2 &gt; date '""&amp;TEXT(DATE(W$8,1,1),""yyyy-mm-dd"")&amp;""' and Col2 &lt;= date '""&amp;TEXT(DATE(W$8,12,31),""yyyy-mm-dd"")&amp;""' label sum(Col16) ''"",0)))"),"")</f>
        <v/>
      </c>
      <c r="X30" s="630" t="str">
        <f>IFERROR(__xludf.DUMMYFUNCTION("IF($G30="""","""",IFERROR(query({proventos!$B$5:$Q310},""Select sum(Col16) where Col1 = '""&amp;$G30&amp;""' and Col2 &gt; date '""&amp;TEXT(DATE(X$8,1,1),""yyyy-mm-dd"")&amp;""' and Col2 &lt;= date '""&amp;TEXT(DATE(X$8,12,31),""yyyy-mm-dd"")&amp;""' label sum(Col16) ''"",0)))"),"")</f>
        <v/>
      </c>
      <c r="Y30" s="630" t="str">
        <f>IFERROR(__xludf.DUMMYFUNCTION("IF($G30="""","""",IFERROR(query({proventos!$B$5:$Q310},""Select sum(Col16) where Col1 = '""&amp;$G30&amp;""' and Col2 &gt; date '""&amp;TEXT(DATE(Y$8,1,1),""yyyy-mm-dd"")&amp;""' and Col2 &lt;= date '""&amp;TEXT(DATE(Y$8,12,31),""yyyy-mm-dd"")&amp;""' label sum(Col16) ''"",0)))"),"")</f>
        <v/>
      </c>
      <c r="Z30" s="630" t="str">
        <f>IFERROR(__xludf.DUMMYFUNCTION("IF($G30="""","""",IFERROR(query({proventos!$B$5:$Q310},""Select sum(Col16) where Col1 = '""&amp;$G30&amp;""' and Col2 &gt; date '""&amp;TEXT(DATE(Z$8,1,1),""yyyy-mm-dd"")&amp;""' and Col2 &lt;= date '""&amp;TEXT(DATE(Z$8,12,31),""yyyy-mm-dd"")&amp;""' label sum(Col16) ''"",0)))"),"")</f>
        <v/>
      </c>
      <c r="AA30" s="587"/>
      <c r="AB30" s="578" t="s">
        <v>123</v>
      </c>
      <c r="AC30" s="601"/>
      <c r="AD30" s="631"/>
      <c r="AE30" s="631"/>
    </row>
    <row r="31">
      <c r="A31" s="619">
        <v>21.0</v>
      </c>
      <c r="B31" s="620"/>
      <c r="C31" s="632"/>
      <c r="D31" s="633"/>
      <c r="E31" s="634"/>
      <c r="F31" s="624">
        <v>21.0</v>
      </c>
      <c r="G31" s="635"/>
      <c r="H31" s="626" t="str">
        <f>if(G31="","",IFERROR(VLOOKUP(G31,AtivosDados,MATCH("provento_avg",portfolio.!$A$3:AE$3,0),FALSE),""))</f>
        <v/>
      </c>
      <c r="I31" s="627" t="s">
        <v>123</v>
      </c>
      <c r="J31" s="628" t="str">
        <f>IFERROR(__xludf.DUMMYFUNCTION("IF($G31="""","""",IFERROR(query({proventos!$B$5:$Q310},""Select sum(Col16) where Col1 = '""&amp;$G31&amp;""' and Col2 &gt; date '""&amp;TEXT(K$8,""yyyy-mm-dd"")&amp;""' and Col2 &lt;= date '""&amp;TEXT(J$8,""yyyy-mm-dd"")&amp;""' label sum(Col16) ''"",0)))"),"")</f>
        <v/>
      </c>
      <c r="K31" s="628" t="str">
        <f>IFERROR(__xludf.DUMMYFUNCTION("IF($G31="""","""",IFERROR(query({proventos!$B$5:$Q310},""Select sum(Col16) where Col1 = '""&amp;$G31&amp;""' and Col2 &gt; date '""&amp;TEXT(L$8,""yyyy-mm-dd"")&amp;""' and Col2 &lt;= date '""&amp;TEXT(K$8,""yyyy-mm-dd"")&amp;""' label sum(Col16) ''"",0)))"),"")</f>
        <v/>
      </c>
      <c r="L31" s="628" t="str">
        <f>IFERROR(__xludf.DUMMYFUNCTION("IF($G31="""","""",IFERROR(query({proventos!$B$5:$Q310},""Select sum(Col16) where Col1 = '""&amp;$G31&amp;""' and Col2 &gt; date '""&amp;TEXT(M$8,""yyyy-mm-dd"")&amp;""' and Col2 &lt;= date '""&amp;TEXT(L$8,""yyyy-mm-dd"")&amp;""' label sum(Col16) ''"",0)))"),"")</f>
        <v/>
      </c>
      <c r="M31" s="628" t="str">
        <f>IFERROR(__xludf.DUMMYFUNCTION("IF($G31="""","""",IFERROR(query({proventos!$B$5:$Q310},""Select sum(Col16) where Col1 = '""&amp;$G31&amp;""' and Col2 &gt; date '""&amp;TEXT(N$8,""yyyy-mm-dd"")&amp;""' and Col2 &lt;= date '""&amp;TEXT(M$8,""yyyy-mm-dd"")&amp;""' label sum(Col16) ''"",0)))"),"")</f>
        <v/>
      </c>
      <c r="N31" s="628" t="str">
        <f>IFERROR(__xludf.DUMMYFUNCTION("IF($G31="""","""",IFERROR(query({proventos!$B$5:$Q310},""Select sum(Col16) where Col1 = '""&amp;$G31&amp;""' and Col2 &gt; date '""&amp;TEXT(O$8,""yyyy-mm-dd"")&amp;""' and Col2 &lt;= date '""&amp;TEXT(N$8,""yyyy-mm-dd"")&amp;""' label sum(Col16) ''"",0)))"),"")</f>
        <v/>
      </c>
      <c r="O31" s="628" t="str">
        <f>IFERROR(__xludf.DUMMYFUNCTION("IF($G31="""","""",IFERROR(query({proventos!$B$5:$Q310},""Select sum(Col16) where Col1 = '""&amp;$G31&amp;""' and Col2 &gt; date '""&amp;TEXT(P$8,""yyyy-mm-dd"")&amp;""' and Col2 &lt;= date '""&amp;TEXT(O$8,""yyyy-mm-dd"")&amp;""' label sum(Col16) ''"",0)))"),"")</f>
        <v/>
      </c>
      <c r="P31" s="628" t="str">
        <f>IFERROR(__xludf.DUMMYFUNCTION("IF($G31="""","""",IFERROR(query({proventos!$B$5:$Q310},""Select sum(Col16) where Col1 = '""&amp;$G31&amp;""' and Col2 &gt; date '""&amp;TEXT(Q$8,""yyyy-mm-dd"")&amp;""' and Col2 &lt;= date '""&amp;TEXT(P$8,""yyyy-mm-dd"")&amp;""' label sum(Col16) ''"",0)))"),"")</f>
        <v/>
      </c>
      <c r="Q31" s="628" t="str">
        <f>IFERROR(__xludf.DUMMYFUNCTION("IF($G31="""","""",IFERROR(query({proventos!$B$5:$Q310},""Select sum(Col16) where Col1 = '""&amp;$G31&amp;""' and Col2 &gt; date '""&amp;TEXT(R$8,""yyyy-mm-dd"")&amp;""' and Col2 &lt;= date '""&amp;TEXT(Q$8,""yyyy-mm-dd"")&amp;""' label sum(Col16) ''"",0)))"),"")</f>
        <v/>
      </c>
      <c r="R31" s="628" t="str">
        <f>IFERROR(__xludf.DUMMYFUNCTION("IF($G31="""","""",IFERROR(query({proventos!$B$5:$Q310},""Select sum(Col16) where Col1 = '""&amp;$G31&amp;""' and Col2 &gt; date '""&amp;TEXT(S$8,""yyyy-mm-dd"")&amp;""' and Col2 &lt;= date '""&amp;TEXT(R$8,""yyyy-mm-dd"")&amp;""' label sum(Col16) ''"",0)))"),"")</f>
        <v/>
      </c>
      <c r="S31" s="628" t="str">
        <f>IFERROR(__xludf.DUMMYFUNCTION("IF($G31="""","""",IFERROR(query({proventos!$B$5:$Q310},""Select sum(Col16) where Col1 = '""&amp;$G31&amp;""' and Col2 &gt; date '""&amp;TEXT(T$8,""yyyy-mm-dd"")&amp;""' and Col2 &lt;= date '""&amp;TEXT(S$8,""yyyy-mm-dd"")&amp;""' label sum(Col16) ''"",0)))"),"")</f>
        <v/>
      </c>
      <c r="T31" s="628" t="str">
        <f>IFERROR(__xludf.DUMMYFUNCTION("IF($G31="""","""",IFERROR(query({proventos!$B$5:$Q310},""Select sum(Col16) where Col1 = '""&amp;$G31&amp;""' and Col2 &gt; date '""&amp;TEXT(U$8,""yyyy-mm-dd"")&amp;""' and Col2 &lt;= date '""&amp;TEXT(T$8,""yyyy-mm-dd"")&amp;""' label sum(Col16) ''"",0)))"),"")</f>
        <v/>
      </c>
      <c r="U31" s="629" t="str">
        <f>IFERROR(__xludf.DUMMYFUNCTION("IF($G31="""","""",IFERROR(query({proventos!$B$5:$Q310},""Select sum(Col16) where Col1 = '""&amp;$G31&amp;""' and Col2 &gt; date '""&amp;TEXT(EOMONTH(TODAY(),-13),""yyyy-mm-dd"")&amp;""' and Col2 &lt;= date '""&amp;TEXT(U$8,""yyyy-mm-dd"")&amp;""' label sum(Col16) ''"",0)))"),"")</f>
        <v/>
      </c>
      <c r="V31" s="630" t="str">
        <f>IFERROR(__xludf.DUMMYFUNCTION("IF($G31="""","""",IFERROR(query({proventos!$B$5:$Q310},""Select sum(Col16) where Col1 = '""&amp;$G31&amp;""' and Col2 &gt; date '""&amp;TEXT(DATE(V$8,1,1),""yyyy-mm-dd"")&amp;""' and Col2 &lt;= date '""&amp;TEXT(DATE(V$8,12,31),""yyyy-mm-dd"")&amp;""' label sum(Col16) ''"",0)))"),"")</f>
        <v/>
      </c>
      <c r="W31" s="630" t="str">
        <f>IFERROR(__xludf.DUMMYFUNCTION("IF($G31="""","""",IFERROR(query({proventos!$B$5:$Q310},""Select sum(Col16) where Col1 = '""&amp;$G31&amp;""' and Col2 &gt; date '""&amp;TEXT(DATE(W$8,1,1),""yyyy-mm-dd"")&amp;""' and Col2 &lt;= date '""&amp;TEXT(DATE(W$8,12,31),""yyyy-mm-dd"")&amp;""' label sum(Col16) ''"",0)))"),"")</f>
        <v/>
      </c>
      <c r="X31" s="630" t="str">
        <f>IFERROR(__xludf.DUMMYFUNCTION("IF($G31="""","""",IFERROR(query({proventos!$B$5:$Q310},""Select sum(Col16) where Col1 = '""&amp;$G31&amp;""' and Col2 &gt; date '""&amp;TEXT(DATE(X$8,1,1),""yyyy-mm-dd"")&amp;""' and Col2 &lt;= date '""&amp;TEXT(DATE(X$8,12,31),""yyyy-mm-dd"")&amp;""' label sum(Col16) ''"",0)))"),"")</f>
        <v/>
      </c>
      <c r="Y31" s="630" t="str">
        <f>IFERROR(__xludf.DUMMYFUNCTION("IF($G31="""","""",IFERROR(query({proventos!$B$5:$Q310},""Select sum(Col16) where Col1 = '""&amp;$G31&amp;""' and Col2 &gt; date '""&amp;TEXT(DATE(Y$8,1,1),""yyyy-mm-dd"")&amp;""' and Col2 &lt;= date '""&amp;TEXT(DATE(Y$8,12,31),""yyyy-mm-dd"")&amp;""' label sum(Col16) ''"",0)))"),"")</f>
        <v/>
      </c>
      <c r="Z31" s="630" t="str">
        <f>IFERROR(__xludf.DUMMYFUNCTION("IF($G31="""","""",IFERROR(query({proventos!$B$5:$Q310},""Select sum(Col16) where Col1 = '""&amp;$G31&amp;""' and Col2 &gt; date '""&amp;TEXT(DATE(Z$8,1,1),""yyyy-mm-dd"")&amp;""' and Col2 &lt;= date '""&amp;TEXT(DATE(Z$8,12,31),""yyyy-mm-dd"")&amp;""' label sum(Col16) ''"",0)))"),"")</f>
        <v/>
      </c>
      <c r="AA31" s="587"/>
      <c r="AB31" s="578" t="s">
        <v>123</v>
      </c>
      <c r="AC31" s="601"/>
      <c r="AD31" s="631"/>
      <c r="AE31" s="631"/>
    </row>
    <row r="32">
      <c r="A32" s="619">
        <v>22.0</v>
      </c>
      <c r="B32" s="620"/>
      <c r="C32" s="632"/>
      <c r="D32" s="633"/>
      <c r="E32" s="634"/>
      <c r="F32" s="624">
        <v>22.0</v>
      </c>
      <c r="G32" s="635"/>
      <c r="H32" s="626" t="str">
        <f>if(G32="","",IFERROR(VLOOKUP(G32,AtivosDados,MATCH("provento_avg",portfolio.!$A$3:AE$3,0),FALSE),""))</f>
        <v/>
      </c>
      <c r="I32" s="627" t="s">
        <v>123</v>
      </c>
      <c r="J32" s="628" t="str">
        <f>IFERROR(__xludf.DUMMYFUNCTION("IF($G32="""","""",IFERROR(query({proventos!$B$5:$Q310},""Select sum(Col16) where Col1 = '""&amp;$G32&amp;""' and Col2 &gt; date '""&amp;TEXT(K$8,""yyyy-mm-dd"")&amp;""' and Col2 &lt;= date '""&amp;TEXT(J$8,""yyyy-mm-dd"")&amp;""' label sum(Col16) ''"",0)))"),"")</f>
        <v/>
      </c>
      <c r="K32" s="628" t="str">
        <f>IFERROR(__xludf.DUMMYFUNCTION("IF($G32="""","""",IFERROR(query({proventos!$B$5:$Q310},""Select sum(Col16) where Col1 = '""&amp;$G32&amp;""' and Col2 &gt; date '""&amp;TEXT(L$8,""yyyy-mm-dd"")&amp;""' and Col2 &lt;= date '""&amp;TEXT(K$8,""yyyy-mm-dd"")&amp;""' label sum(Col16) ''"",0)))"),"")</f>
        <v/>
      </c>
      <c r="L32" s="628" t="str">
        <f>IFERROR(__xludf.DUMMYFUNCTION("IF($G32="""","""",IFERROR(query({proventos!$B$5:$Q310},""Select sum(Col16) where Col1 = '""&amp;$G32&amp;""' and Col2 &gt; date '""&amp;TEXT(M$8,""yyyy-mm-dd"")&amp;""' and Col2 &lt;= date '""&amp;TEXT(L$8,""yyyy-mm-dd"")&amp;""' label sum(Col16) ''"",0)))"),"")</f>
        <v/>
      </c>
      <c r="M32" s="628" t="str">
        <f>IFERROR(__xludf.DUMMYFUNCTION("IF($G32="""","""",IFERROR(query({proventos!$B$5:$Q310},""Select sum(Col16) where Col1 = '""&amp;$G32&amp;""' and Col2 &gt; date '""&amp;TEXT(N$8,""yyyy-mm-dd"")&amp;""' and Col2 &lt;= date '""&amp;TEXT(M$8,""yyyy-mm-dd"")&amp;""' label sum(Col16) ''"",0)))"),"")</f>
        <v/>
      </c>
      <c r="N32" s="628" t="str">
        <f>IFERROR(__xludf.DUMMYFUNCTION("IF($G32="""","""",IFERROR(query({proventos!$B$5:$Q310},""Select sum(Col16) where Col1 = '""&amp;$G32&amp;""' and Col2 &gt; date '""&amp;TEXT(O$8,""yyyy-mm-dd"")&amp;""' and Col2 &lt;= date '""&amp;TEXT(N$8,""yyyy-mm-dd"")&amp;""' label sum(Col16) ''"",0)))"),"")</f>
        <v/>
      </c>
      <c r="O32" s="628" t="str">
        <f>IFERROR(__xludf.DUMMYFUNCTION("IF($G32="""","""",IFERROR(query({proventos!$B$5:$Q310},""Select sum(Col16) where Col1 = '""&amp;$G32&amp;""' and Col2 &gt; date '""&amp;TEXT(P$8,""yyyy-mm-dd"")&amp;""' and Col2 &lt;= date '""&amp;TEXT(O$8,""yyyy-mm-dd"")&amp;""' label sum(Col16) ''"",0)))"),"")</f>
        <v/>
      </c>
      <c r="P32" s="628" t="str">
        <f>IFERROR(__xludf.DUMMYFUNCTION("IF($G32="""","""",IFERROR(query({proventos!$B$5:$Q310},""Select sum(Col16) where Col1 = '""&amp;$G32&amp;""' and Col2 &gt; date '""&amp;TEXT(Q$8,""yyyy-mm-dd"")&amp;""' and Col2 &lt;= date '""&amp;TEXT(P$8,""yyyy-mm-dd"")&amp;""' label sum(Col16) ''"",0)))"),"")</f>
        <v/>
      </c>
      <c r="Q32" s="628" t="str">
        <f>IFERROR(__xludf.DUMMYFUNCTION("IF($G32="""","""",IFERROR(query({proventos!$B$5:$Q310},""Select sum(Col16) where Col1 = '""&amp;$G32&amp;""' and Col2 &gt; date '""&amp;TEXT(R$8,""yyyy-mm-dd"")&amp;""' and Col2 &lt;= date '""&amp;TEXT(Q$8,""yyyy-mm-dd"")&amp;""' label sum(Col16) ''"",0)))"),"")</f>
        <v/>
      </c>
      <c r="R32" s="628" t="str">
        <f>IFERROR(__xludf.DUMMYFUNCTION("IF($G32="""","""",IFERROR(query({proventos!$B$5:$Q310},""Select sum(Col16) where Col1 = '""&amp;$G32&amp;""' and Col2 &gt; date '""&amp;TEXT(S$8,""yyyy-mm-dd"")&amp;""' and Col2 &lt;= date '""&amp;TEXT(R$8,""yyyy-mm-dd"")&amp;""' label sum(Col16) ''"",0)))"),"")</f>
        <v/>
      </c>
      <c r="S32" s="628" t="str">
        <f>IFERROR(__xludf.DUMMYFUNCTION("IF($G32="""","""",IFERROR(query({proventos!$B$5:$Q310},""Select sum(Col16) where Col1 = '""&amp;$G32&amp;""' and Col2 &gt; date '""&amp;TEXT(T$8,""yyyy-mm-dd"")&amp;""' and Col2 &lt;= date '""&amp;TEXT(S$8,""yyyy-mm-dd"")&amp;""' label sum(Col16) ''"",0)))"),"")</f>
        <v/>
      </c>
      <c r="T32" s="628" t="str">
        <f>IFERROR(__xludf.DUMMYFUNCTION("IF($G32="""","""",IFERROR(query({proventos!$B$5:$Q310},""Select sum(Col16) where Col1 = '""&amp;$G32&amp;""' and Col2 &gt; date '""&amp;TEXT(U$8,""yyyy-mm-dd"")&amp;""' and Col2 &lt;= date '""&amp;TEXT(T$8,""yyyy-mm-dd"")&amp;""' label sum(Col16) ''"",0)))"),"")</f>
        <v/>
      </c>
      <c r="U32" s="629" t="str">
        <f>IFERROR(__xludf.DUMMYFUNCTION("IF($G32="""","""",IFERROR(query({proventos!$B$5:$Q310},""Select sum(Col16) where Col1 = '""&amp;$G32&amp;""' and Col2 &gt; date '""&amp;TEXT(EOMONTH(TODAY(),-13),""yyyy-mm-dd"")&amp;""' and Col2 &lt;= date '""&amp;TEXT(U$8,""yyyy-mm-dd"")&amp;""' label sum(Col16) ''"",0)))"),"")</f>
        <v/>
      </c>
      <c r="V32" s="630" t="str">
        <f>IFERROR(__xludf.DUMMYFUNCTION("IF($G32="""","""",IFERROR(query({proventos!$B$5:$Q310},""Select sum(Col16) where Col1 = '""&amp;$G32&amp;""' and Col2 &gt; date '""&amp;TEXT(DATE(V$8,1,1),""yyyy-mm-dd"")&amp;""' and Col2 &lt;= date '""&amp;TEXT(DATE(V$8,12,31),""yyyy-mm-dd"")&amp;""' label sum(Col16) ''"",0)))"),"")</f>
        <v/>
      </c>
      <c r="W32" s="630" t="str">
        <f>IFERROR(__xludf.DUMMYFUNCTION("IF($G32="""","""",IFERROR(query({proventos!$B$5:$Q310},""Select sum(Col16) where Col1 = '""&amp;$G32&amp;""' and Col2 &gt; date '""&amp;TEXT(DATE(W$8,1,1),""yyyy-mm-dd"")&amp;""' and Col2 &lt;= date '""&amp;TEXT(DATE(W$8,12,31),""yyyy-mm-dd"")&amp;""' label sum(Col16) ''"",0)))"),"")</f>
        <v/>
      </c>
      <c r="X32" s="630" t="str">
        <f>IFERROR(__xludf.DUMMYFUNCTION("IF($G32="""","""",IFERROR(query({proventos!$B$5:$Q310},""Select sum(Col16) where Col1 = '""&amp;$G32&amp;""' and Col2 &gt; date '""&amp;TEXT(DATE(X$8,1,1),""yyyy-mm-dd"")&amp;""' and Col2 &lt;= date '""&amp;TEXT(DATE(X$8,12,31),""yyyy-mm-dd"")&amp;""' label sum(Col16) ''"",0)))"),"")</f>
        <v/>
      </c>
      <c r="Y32" s="630" t="str">
        <f>IFERROR(__xludf.DUMMYFUNCTION("IF($G32="""","""",IFERROR(query({proventos!$B$5:$Q310},""Select sum(Col16) where Col1 = '""&amp;$G32&amp;""' and Col2 &gt; date '""&amp;TEXT(DATE(Y$8,1,1),""yyyy-mm-dd"")&amp;""' and Col2 &lt;= date '""&amp;TEXT(DATE(Y$8,12,31),""yyyy-mm-dd"")&amp;""' label sum(Col16) ''"",0)))"),"")</f>
        <v/>
      </c>
      <c r="Z32" s="630" t="str">
        <f>IFERROR(__xludf.DUMMYFUNCTION("IF($G32="""","""",IFERROR(query({proventos!$B$5:$Q310},""Select sum(Col16) where Col1 = '""&amp;$G32&amp;""' and Col2 &gt; date '""&amp;TEXT(DATE(Z$8,1,1),""yyyy-mm-dd"")&amp;""' and Col2 &lt;= date '""&amp;TEXT(DATE(Z$8,12,31),""yyyy-mm-dd"")&amp;""' label sum(Col16) ''"",0)))"),"")</f>
        <v/>
      </c>
      <c r="AA32" s="587"/>
      <c r="AB32" s="578" t="s">
        <v>123</v>
      </c>
      <c r="AC32" s="601"/>
      <c r="AD32" s="631"/>
      <c r="AE32" s="631"/>
    </row>
    <row r="33">
      <c r="A33" s="619">
        <v>23.0</v>
      </c>
      <c r="B33" s="620"/>
      <c r="C33" s="632"/>
      <c r="D33" s="633"/>
      <c r="E33" s="634"/>
      <c r="F33" s="624">
        <v>23.0</v>
      </c>
      <c r="G33" s="635"/>
      <c r="H33" s="626" t="str">
        <f>if(G33="","",IFERROR(VLOOKUP(G33,AtivosDados,MATCH("provento_avg",portfolio.!$A$3:AE$3,0),FALSE),""))</f>
        <v/>
      </c>
      <c r="I33" s="627" t="s">
        <v>123</v>
      </c>
      <c r="J33" s="628" t="str">
        <f>IFERROR(__xludf.DUMMYFUNCTION("IF($G33="""","""",IFERROR(query({proventos!$B$5:$Q310},""Select sum(Col16) where Col1 = '""&amp;$G33&amp;""' and Col2 &gt; date '""&amp;TEXT(K$8,""yyyy-mm-dd"")&amp;""' and Col2 &lt;= date '""&amp;TEXT(J$8,""yyyy-mm-dd"")&amp;""' label sum(Col16) ''"",0)))"),"")</f>
        <v/>
      </c>
      <c r="K33" s="628" t="str">
        <f>IFERROR(__xludf.DUMMYFUNCTION("IF($G33="""","""",IFERROR(query({proventos!$B$5:$Q310},""Select sum(Col16) where Col1 = '""&amp;$G33&amp;""' and Col2 &gt; date '""&amp;TEXT(L$8,""yyyy-mm-dd"")&amp;""' and Col2 &lt;= date '""&amp;TEXT(K$8,""yyyy-mm-dd"")&amp;""' label sum(Col16) ''"",0)))"),"")</f>
        <v/>
      </c>
      <c r="L33" s="628" t="str">
        <f>IFERROR(__xludf.DUMMYFUNCTION("IF($G33="""","""",IFERROR(query({proventos!$B$5:$Q310},""Select sum(Col16) where Col1 = '""&amp;$G33&amp;""' and Col2 &gt; date '""&amp;TEXT(M$8,""yyyy-mm-dd"")&amp;""' and Col2 &lt;= date '""&amp;TEXT(L$8,""yyyy-mm-dd"")&amp;""' label sum(Col16) ''"",0)))"),"")</f>
        <v/>
      </c>
      <c r="M33" s="628" t="str">
        <f>IFERROR(__xludf.DUMMYFUNCTION("IF($G33="""","""",IFERROR(query({proventos!$B$5:$Q310},""Select sum(Col16) where Col1 = '""&amp;$G33&amp;""' and Col2 &gt; date '""&amp;TEXT(N$8,""yyyy-mm-dd"")&amp;""' and Col2 &lt;= date '""&amp;TEXT(M$8,""yyyy-mm-dd"")&amp;""' label sum(Col16) ''"",0)))"),"")</f>
        <v/>
      </c>
      <c r="N33" s="628" t="str">
        <f>IFERROR(__xludf.DUMMYFUNCTION("IF($G33="""","""",IFERROR(query({proventos!$B$5:$Q310},""Select sum(Col16) where Col1 = '""&amp;$G33&amp;""' and Col2 &gt; date '""&amp;TEXT(O$8,""yyyy-mm-dd"")&amp;""' and Col2 &lt;= date '""&amp;TEXT(N$8,""yyyy-mm-dd"")&amp;""' label sum(Col16) ''"",0)))"),"")</f>
        <v/>
      </c>
      <c r="O33" s="628" t="str">
        <f>IFERROR(__xludf.DUMMYFUNCTION("IF($G33="""","""",IFERROR(query({proventos!$B$5:$Q310},""Select sum(Col16) where Col1 = '""&amp;$G33&amp;""' and Col2 &gt; date '""&amp;TEXT(P$8,""yyyy-mm-dd"")&amp;""' and Col2 &lt;= date '""&amp;TEXT(O$8,""yyyy-mm-dd"")&amp;""' label sum(Col16) ''"",0)))"),"")</f>
        <v/>
      </c>
      <c r="P33" s="628" t="str">
        <f>IFERROR(__xludf.DUMMYFUNCTION("IF($G33="""","""",IFERROR(query({proventos!$B$5:$Q310},""Select sum(Col16) where Col1 = '""&amp;$G33&amp;""' and Col2 &gt; date '""&amp;TEXT(Q$8,""yyyy-mm-dd"")&amp;""' and Col2 &lt;= date '""&amp;TEXT(P$8,""yyyy-mm-dd"")&amp;""' label sum(Col16) ''"",0)))"),"")</f>
        <v/>
      </c>
      <c r="Q33" s="628" t="str">
        <f>IFERROR(__xludf.DUMMYFUNCTION("IF($G33="""","""",IFERROR(query({proventos!$B$5:$Q310},""Select sum(Col16) where Col1 = '""&amp;$G33&amp;""' and Col2 &gt; date '""&amp;TEXT(R$8,""yyyy-mm-dd"")&amp;""' and Col2 &lt;= date '""&amp;TEXT(Q$8,""yyyy-mm-dd"")&amp;""' label sum(Col16) ''"",0)))"),"")</f>
        <v/>
      </c>
      <c r="R33" s="628" t="str">
        <f>IFERROR(__xludf.DUMMYFUNCTION("IF($G33="""","""",IFERROR(query({proventos!$B$5:$Q310},""Select sum(Col16) where Col1 = '""&amp;$G33&amp;""' and Col2 &gt; date '""&amp;TEXT(S$8,""yyyy-mm-dd"")&amp;""' and Col2 &lt;= date '""&amp;TEXT(R$8,""yyyy-mm-dd"")&amp;""' label sum(Col16) ''"",0)))"),"")</f>
        <v/>
      </c>
      <c r="S33" s="628" t="str">
        <f>IFERROR(__xludf.DUMMYFUNCTION("IF($G33="""","""",IFERROR(query({proventos!$B$5:$Q310},""Select sum(Col16) where Col1 = '""&amp;$G33&amp;""' and Col2 &gt; date '""&amp;TEXT(T$8,""yyyy-mm-dd"")&amp;""' and Col2 &lt;= date '""&amp;TEXT(S$8,""yyyy-mm-dd"")&amp;""' label sum(Col16) ''"",0)))"),"")</f>
        <v/>
      </c>
      <c r="T33" s="628" t="str">
        <f>IFERROR(__xludf.DUMMYFUNCTION("IF($G33="""","""",IFERROR(query({proventos!$B$5:$Q310},""Select sum(Col16) where Col1 = '""&amp;$G33&amp;""' and Col2 &gt; date '""&amp;TEXT(U$8,""yyyy-mm-dd"")&amp;""' and Col2 &lt;= date '""&amp;TEXT(T$8,""yyyy-mm-dd"")&amp;""' label sum(Col16) ''"",0)))"),"")</f>
        <v/>
      </c>
      <c r="U33" s="629" t="str">
        <f>IFERROR(__xludf.DUMMYFUNCTION("IF($G33="""","""",IFERROR(query({proventos!$B$5:$Q310},""Select sum(Col16) where Col1 = '""&amp;$G33&amp;""' and Col2 &gt; date '""&amp;TEXT(EOMONTH(TODAY(),-13),""yyyy-mm-dd"")&amp;""' and Col2 &lt;= date '""&amp;TEXT(U$8,""yyyy-mm-dd"")&amp;""' label sum(Col16) ''"",0)))"),"")</f>
        <v/>
      </c>
      <c r="V33" s="630" t="str">
        <f>IFERROR(__xludf.DUMMYFUNCTION("IF($G33="""","""",IFERROR(query({proventos!$B$5:$Q310},""Select sum(Col16) where Col1 = '""&amp;$G33&amp;""' and Col2 &gt; date '""&amp;TEXT(DATE(V$8,1,1),""yyyy-mm-dd"")&amp;""' and Col2 &lt;= date '""&amp;TEXT(DATE(V$8,12,31),""yyyy-mm-dd"")&amp;""' label sum(Col16) ''"",0)))"),"")</f>
        <v/>
      </c>
      <c r="W33" s="630" t="str">
        <f>IFERROR(__xludf.DUMMYFUNCTION("IF($G33="""","""",IFERROR(query({proventos!$B$5:$Q310},""Select sum(Col16) where Col1 = '""&amp;$G33&amp;""' and Col2 &gt; date '""&amp;TEXT(DATE(W$8,1,1),""yyyy-mm-dd"")&amp;""' and Col2 &lt;= date '""&amp;TEXT(DATE(W$8,12,31),""yyyy-mm-dd"")&amp;""' label sum(Col16) ''"",0)))"),"")</f>
        <v/>
      </c>
      <c r="X33" s="630" t="str">
        <f>IFERROR(__xludf.DUMMYFUNCTION("IF($G33="""","""",IFERROR(query({proventos!$B$5:$Q310},""Select sum(Col16) where Col1 = '""&amp;$G33&amp;""' and Col2 &gt; date '""&amp;TEXT(DATE(X$8,1,1),""yyyy-mm-dd"")&amp;""' and Col2 &lt;= date '""&amp;TEXT(DATE(X$8,12,31),""yyyy-mm-dd"")&amp;""' label sum(Col16) ''"",0)))"),"")</f>
        <v/>
      </c>
      <c r="Y33" s="630" t="str">
        <f>IFERROR(__xludf.DUMMYFUNCTION("IF($G33="""","""",IFERROR(query({proventos!$B$5:$Q310},""Select sum(Col16) where Col1 = '""&amp;$G33&amp;""' and Col2 &gt; date '""&amp;TEXT(DATE(Y$8,1,1),""yyyy-mm-dd"")&amp;""' and Col2 &lt;= date '""&amp;TEXT(DATE(Y$8,12,31),""yyyy-mm-dd"")&amp;""' label sum(Col16) ''"",0)))"),"")</f>
        <v/>
      </c>
      <c r="Z33" s="630" t="str">
        <f>IFERROR(__xludf.DUMMYFUNCTION("IF($G33="""","""",IFERROR(query({proventos!$B$5:$Q310},""Select sum(Col16) where Col1 = '""&amp;$G33&amp;""' and Col2 &gt; date '""&amp;TEXT(DATE(Z$8,1,1),""yyyy-mm-dd"")&amp;""' and Col2 &lt;= date '""&amp;TEXT(DATE(Z$8,12,31),""yyyy-mm-dd"")&amp;""' label sum(Col16) ''"",0)))"),"")</f>
        <v/>
      </c>
      <c r="AA33" s="587"/>
      <c r="AB33" s="578" t="s">
        <v>123</v>
      </c>
      <c r="AC33" s="601"/>
      <c r="AD33" s="631"/>
      <c r="AE33" s="631"/>
    </row>
    <row r="34">
      <c r="A34" s="619">
        <v>24.0</v>
      </c>
      <c r="B34" s="620"/>
      <c r="C34" s="632"/>
      <c r="D34" s="633"/>
      <c r="E34" s="634"/>
      <c r="F34" s="624">
        <v>24.0</v>
      </c>
      <c r="G34" s="635"/>
      <c r="H34" s="626" t="str">
        <f>if(G34="","",IFERROR(VLOOKUP(G34,AtivosDados,MATCH("provento_avg",portfolio.!$A$3:AE$3,0),FALSE),""))</f>
        <v/>
      </c>
      <c r="I34" s="627" t="s">
        <v>123</v>
      </c>
      <c r="J34" s="628" t="str">
        <f>IFERROR(__xludf.DUMMYFUNCTION("IF($G34="""","""",IFERROR(query({proventos!$B$5:$Q310},""Select sum(Col16) where Col1 = '""&amp;$G34&amp;""' and Col2 &gt; date '""&amp;TEXT(K$8,""yyyy-mm-dd"")&amp;""' and Col2 &lt;= date '""&amp;TEXT(J$8,""yyyy-mm-dd"")&amp;""' label sum(Col16) ''"",0)))"),"")</f>
        <v/>
      </c>
      <c r="K34" s="628" t="str">
        <f>IFERROR(__xludf.DUMMYFUNCTION("IF($G34="""","""",IFERROR(query({proventos!$B$5:$Q310},""Select sum(Col16) where Col1 = '""&amp;$G34&amp;""' and Col2 &gt; date '""&amp;TEXT(L$8,""yyyy-mm-dd"")&amp;""' and Col2 &lt;= date '""&amp;TEXT(K$8,""yyyy-mm-dd"")&amp;""' label sum(Col16) ''"",0)))"),"")</f>
        <v/>
      </c>
      <c r="L34" s="628" t="str">
        <f>IFERROR(__xludf.DUMMYFUNCTION("IF($G34="""","""",IFERROR(query({proventos!$B$5:$Q310},""Select sum(Col16) where Col1 = '""&amp;$G34&amp;""' and Col2 &gt; date '""&amp;TEXT(M$8,""yyyy-mm-dd"")&amp;""' and Col2 &lt;= date '""&amp;TEXT(L$8,""yyyy-mm-dd"")&amp;""' label sum(Col16) ''"",0)))"),"")</f>
        <v/>
      </c>
      <c r="M34" s="628" t="str">
        <f>IFERROR(__xludf.DUMMYFUNCTION("IF($G34="""","""",IFERROR(query({proventos!$B$5:$Q310},""Select sum(Col16) where Col1 = '""&amp;$G34&amp;""' and Col2 &gt; date '""&amp;TEXT(N$8,""yyyy-mm-dd"")&amp;""' and Col2 &lt;= date '""&amp;TEXT(M$8,""yyyy-mm-dd"")&amp;""' label sum(Col16) ''"",0)))"),"")</f>
        <v/>
      </c>
      <c r="N34" s="628" t="str">
        <f>IFERROR(__xludf.DUMMYFUNCTION("IF($G34="""","""",IFERROR(query({proventos!$B$5:$Q310},""Select sum(Col16) where Col1 = '""&amp;$G34&amp;""' and Col2 &gt; date '""&amp;TEXT(O$8,""yyyy-mm-dd"")&amp;""' and Col2 &lt;= date '""&amp;TEXT(N$8,""yyyy-mm-dd"")&amp;""' label sum(Col16) ''"",0)))"),"")</f>
        <v/>
      </c>
      <c r="O34" s="628" t="str">
        <f>IFERROR(__xludf.DUMMYFUNCTION("IF($G34="""","""",IFERROR(query({proventos!$B$5:$Q310},""Select sum(Col16) where Col1 = '""&amp;$G34&amp;""' and Col2 &gt; date '""&amp;TEXT(P$8,""yyyy-mm-dd"")&amp;""' and Col2 &lt;= date '""&amp;TEXT(O$8,""yyyy-mm-dd"")&amp;""' label sum(Col16) ''"",0)))"),"")</f>
        <v/>
      </c>
      <c r="P34" s="628" t="str">
        <f>IFERROR(__xludf.DUMMYFUNCTION("IF($G34="""","""",IFERROR(query({proventos!$B$5:$Q310},""Select sum(Col16) where Col1 = '""&amp;$G34&amp;""' and Col2 &gt; date '""&amp;TEXT(Q$8,""yyyy-mm-dd"")&amp;""' and Col2 &lt;= date '""&amp;TEXT(P$8,""yyyy-mm-dd"")&amp;""' label sum(Col16) ''"",0)))"),"")</f>
        <v/>
      </c>
      <c r="Q34" s="628" t="str">
        <f>IFERROR(__xludf.DUMMYFUNCTION("IF($G34="""","""",IFERROR(query({proventos!$B$5:$Q310},""Select sum(Col16) where Col1 = '""&amp;$G34&amp;""' and Col2 &gt; date '""&amp;TEXT(R$8,""yyyy-mm-dd"")&amp;""' and Col2 &lt;= date '""&amp;TEXT(Q$8,""yyyy-mm-dd"")&amp;""' label sum(Col16) ''"",0)))"),"")</f>
        <v/>
      </c>
      <c r="R34" s="628" t="str">
        <f>IFERROR(__xludf.DUMMYFUNCTION("IF($G34="""","""",IFERROR(query({proventos!$B$5:$Q310},""Select sum(Col16) where Col1 = '""&amp;$G34&amp;""' and Col2 &gt; date '""&amp;TEXT(S$8,""yyyy-mm-dd"")&amp;""' and Col2 &lt;= date '""&amp;TEXT(R$8,""yyyy-mm-dd"")&amp;""' label sum(Col16) ''"",0)))"),"")</f>
        <v/>
      </c>
      <c r="S34" s="628" t="str">
        <f>IFERROR(__xludf.DUMMYFUNCTION("IF($G34="""","""",IFERROR(query({proventos!$B$5:$Q310},""Select sum(Col16) where Col1 = '""&amp;$G34&amp;""' and Col2 &gt; date '""&amp;TEXT(T$8,""yyyy-mm-dd"")&amp;""' and Col2 &lt;= date '""&amp;TEXT(S$8,""yyyy-mm-dd"")&amp;""' label sum(Col16) ''"",0)))"),"")</f>
        <v/>
      </c>
      <c r="T34" s="628" t="str">
        <f>IFERROR(__xludf.DUMMYFUNCTION("IF($G34="""","""",IFERROR(query({proventos!$B$5:$Q310},""Select sum(Col16) where Col1 = '""&amp;$G34&amp;""' and Col2 &gt; date '""&amp;TEXT(U$8,""yyyy-mm-dd"")&amp;""' and Col2 &lt;= date '""&amp;TEXT(T$8,""yyyy-mm-dd"")&amp;""' label sum(Col16) ''"",0)))"),"")</f>
        <v/>
      </c>
      <c r="U34" s="629" t="str">
        <f>IFERROR(__xludf.DUMMYFUNCTION("IF($G34="""","""",IFERROR(query({proventos!$B$5:$Q310},""Select sum(Col16) where Col1 = '""&amp;$G34&amp;""' and Col2 &gt; date '""&amp;TEXT(EOMONTH(TODAY(),-13),""yyyy-mm-dd"")&amp;""' and Col2 &lt;= date '""&amp;TEXT(U$8,""yyyy-mm-dd"")&amp;""' label sum(Col16) ''"",0)))"),"")</f>
        <v/>
      </c>
      <c r="V34" s="630" t="str">
        <f>IFERROR(__xludf.DUMMYFUNCTION("IF($G34="""","""",IFERROR(query({proventos!$B$5:$Q310},""Select sum(Col16) where Col1 = '""&amp;$G34&amp;""' and Col2 &gt; date '""&amp;TEXT(DATE(V$8,1,1),""yyyy-mm-dd"")&amp;""' and Col2 &lt;= date '""&amp;TEXT(DATE(V$8,12,31),""yyyy-mm-dd"")&amp;""' label sum(Col16) ''"",0)))"),"")</f>
        <v/>
      </c>
      <c r="W34" s="630" t="str">
        <f>IFERROR(__xludf.DUMMYFUNCTION("IF($G34="""","""",IFERROR(query({proventos!$B$5:$Q310},""Select sum(Col16) where Col1 = '""&amp;$G34&amp;""' and Col2 &gt; date '""&amp;TEXT(DATE(W$8,1,1),""yyyy-mm-dd"")&amp;""' and Col2 &lt;= date '""&amp;TEXT(DATE(W$8,12,31),""yyyy-mm-dd"")&amp;""' label sum(Col16) ''"",0)))"),"")</f>
        <v/>
      </c>
      <c r="X34" s="630" t="str">
        <f>IFERROR(__xludf.DUMMYFUNCTION("IF($G34="""","""",IFERROR(query({proventos!$B$5:$Q310},""Select sum(Col16) where Col1 = '""&amp;$G34&amp;""' and Col2 &gt; date '""&amp;TEXT(DATE(X$8,1,1),""yyyy-mm-dd"")&amp;""' and Col2 &lt;= date '""&amp;TEXT(DATE(X$8,12,31),""yyyy-mm-dd"")&amp;""' label sum(Col16) ''"",0)))"),"")</f>
        <v/>
      </c>
      <c r="Y34" s="630" t="str">
        <f>IFERROR(__xludf.DUMMYFUNCTION("IF($G34="""","""",IFERROR(query({proventos!$B$5:$Q310},""Select sum(Col16) where Col1 = '""&amp;$G34&amp;""' and Col2 &gt; date '""&amp;TEXT(DATE(Y$8,1,1),""yyyy-mm-dd"")&amp;""' and Col2 &lt;= date '""&amp;TEXT(DATE(Y$8,12,31),""yyyy-mm-dd"")&amp;""' label sum(Col16) ''"",0)))"),"")</f>
        <v/>
      </c>
      <c r="Z34" s="630" t="str">
        <f>IFERROR(__xludf.DUMMYFUNCTION("IF($G34="""","""",IFERROR(query({proventos!$B$5:$Q310},""Select sum(Col16) where Col1 = '""&amp;$G34&amp;""' and Col2 &gt; date '""&amp;TEXT(DATE(Z$8,1,1),""yyyy-mm-dd"")&amp;""' and Col2 &lt;= date '""&amp;TEXT(DATE(Z$8,12,31),""yyyy-mm-dd"")&amp;""' label sum(Col16) ''"",0)))"),"")</f>
        <v/>
      </c>
      <c r="AA34" s="587"/>
      <c r="AB34" s="578" t="s">
        <v>123</v>
      </c>
      <c r="AC34" s="601"/>
      <c r="AD34" s="631"/>
      <c r="AE34" s="631"/>
    </row>
    <row r="35">
      <c r="A35" s="619">
        <v>25.0</v>
      </c>
      <c r="B35" s="620"/>
      <c r="C35" s="632"/>
      <c r="D35" s="633"/>
      <c r="E35" s="634"/>
      <c r="F35" s="624">
        <v>25.0</v>
      </c>
      <c r="G35" s="635"/>
      <c r="H35" s="626" t="str">
        <f>if(G35="","",IFERROR(VLOOKUP(G35,AtivosDados,MATCH("provento_avg",portfolio.!$A$3:AE$3,0),FALSE),""))</f>
        <v/>
      </c>
      <c r="I35" s="627" t="s">
        <v>123</v>
      </c>
      <c r="J35" s="628" t="str">
        <f>IFERROR(__xludf.DUMMYFUNCTION("IF($G35="""","""",IFERROR(query({proventos!$B$5:$Q310},""Select sum(Col16) where Col1 = '""&amp;$G35&amp;""' and Col2 &gt; date '""&amp;TEXT(K$8,""yyyy-mm-dd"")&amp;""' and Col2 &lt;= date '""&amp;TEXT(J$8,""yyyy-mm-dd"")&amp;""' label sum(Col16) ''"",0)))"),"")</f>
        <v/>
      </c>
      <c r="K35" s="628" t="str">
        <f>IFERROR(__xludf.DUMMYFUNCTION("IF($G35="""","""",IFERROR(query({proventos!$B$5:$Q310},""Select sum(Col16) where Col1 = '""&amp;$G35&amp;""' and Col2 &gt; date '""&amp;TEXT(L$8,""yyyy-mm-dd"")&amp;""' and Col2 &lt;= date '""&amp;TEXT(K$8,""yyyy-mm-dd"")&amp;""' label sum(Col16) ''"",0)))"),"")</f>
        <v/>
      </c>
      <c r="L35" s="628" t="str">
        <f>IFERROR(__xludf.DUMMYFUNCTION("IF($G35="""","""",IFERROR(query({proventos!$B$5:$Q310},""Select sum(Col16) where Col1 = '""&amp;$G35&amp;""' and Col2 &gt; date '""&amp;TEXT(M$8,""yyyy-mm-dd"")&amp;""' and Col2 &lt;= date '""&amp;TEXT(L$8,""yyyy-mm-dd"")&amp;""' label sum(Col16) ''"",0)))"),"")</f>
        <v/>
      </c>
      <c r="M35" s="628" t="str">
        <f>IFERROR(__xludf.DUMMYFUNCTION("IF($G35="""","""",IFERROR(query({proventos!$B$5:$Q310},""Select sum(Col16) where Col1 = '""&amp;$G35&amp;""' and Col2 &gt; date '""&amp;TEXT(N$8,""yyyy-mm-dd"")&amp;""' and Col2 &lt;= date '""&amp;TEXT(M$8,""yyyy-mm-dd"")&amp;""' label sum(Col16) ''"",0)))"),"")</f>
        <v/>
      </c>
      <c r="N35" s="628" t="str">
        <f>IFERROR(__xludf.DUMMYFUNCTION("IF($G35="""","""",IFERROR(query({proventos!$B$5:$Q310},""Select sum(Col16) where Col1 = '""&amp;$G35&amp;""' and Col2 &gt; date '""&amp;TEXT(O$8,""yyyy-mm-dd"")&amp;""' and Col2 &lt;= date '""&amp;TEXT(N$8,""yyyy-mm-dd"")&amp;""' label sum(Col16) ''"",0)))"),"")</f>
        <v/>
      </c>
      <c r="O35" s="628" t="str">
        <f>IFERROR(__xludf.DUMMYFUNCTION("IF($G35="""","""",IFERROR(query({proventos!$B$5:$Q310},""Select sum(Col16) where Col1 = '""&amp;$G35&amp;""' and Col2 &gt; date '""&amp;TEXT(P$8,""yyyy-mm-dd"")&amp;""' and Col2 &lt;= date '""&amp;TEXT(O$8,""yyyy-mm-dd"")&amp;""' label sum(Col16) ''"",0)))"),"")</f>
        <v/>
      </c>
      <c r="P35" s="628" t="str">
        <f>IFERROR(__xludf.DUMMYFUNCTION("IF($G35="""","""",IFERROR(query({proventos!$B$5:$Q310},""Select sum(Col16) where Col1 = '""&amp;$G35&amp;""' and Col2 &gt; date '""&amp;TEXT(Q$8,""yyyy-mm-dd"")&amp;""' and Col2 &lt;= date '""&amp;TEXT(P$8,""yyyy-mm-dd"")&amp;""' label sum(Col16) ''"",0)))"),"")</f>
        <v/>
      </c>
      <c r="Q35" s="628" t="str">
        <f>IFERROR(__xludf.DUMMYFUNCTION("IF($G35="""","""",IFERROR(query({proventos!$B$5:$Q310},""Select sum(Col16) where Col1 = '""&amp;$G35&amp;""' and Col2 &gt; date '""&amp;TEXT(R$8,""yyyy-mm-dd"")&amp;""' and Col2 &lt;= date '""&amp;TEXT(Q$8,""yyyy-mm-dd"")&amp;""' label sum(Col16) ''"",0)))"),"")</f>
        <v/>
      </c>
      <c r="R35" s="628" t="str">
        <f>IFERROR(__xludf.DUMMYFUNCTION("IF($G35="""","""",IFERROR(query({proventos!$B$5:$Q310},""Select sum(Col16) where Col1 = '""&amp;$G35&amp;""' and Col2 &gt; date '""&amp;TEXT(S$8,""yyyy-mm-dd"")&amp;""' and Col2 &lt;= date '""&amp;TEXT(R$8,""yyyy-mm-dd"")&amp;""' label sum(Col16) ''"",0)))"),"")</f>
        <v/>
      </c>
      <c r="S35" s="628" t="str">
        <f>IFERROR(__xludf.DUMMYFUNCTION("IF($G35="""","""",IFERROR(query({proventos!$B$5:$Q310},""Select sum(Col16) where Col1 = '""&amp;$G35&amp;""' and Col2 &gt; date '""&amp;TEXT(T$8,""yyyy-mm-dd"")&amp;""' and Col2 &lt;= date '""&amp;TEXT(S$8,""yyyy-mm-dd"")&amp;""' label sum(Col16) ''"",0)))"),"")</f>
        <v/>
      </c>
      <c r="T35" s="628" t="str">
        <f>IFERROR(__xludf.DUMMYFUNCTION("IF($G35="""","""",IFERROR(query({proventos!$B$5:$Q310},""Select sum(Col16) where Col1 = '""&amp;$G35&amp;""' and Col2 &gt; date '""&amp;TEXT(U$8,""yyyy-mm-dd"")&amp;""' and Col2 &lt;= date '""&amp;TEXT(T$8,""yyyy-mm-dd"")&amp;""' label sum(Col16) ''"",0)))"),"")</f>
        <v/>
      </c>
      <c r="U35" s="629" t="str">
        <f>IFERROR(__xludf.DUMMYFUNCTION("IF($G35="""","""",IFERROR(query({proventos!$B$5:$Q310},""Select sum(Col16) where Col1 = '""&amp;$G35&amp;""' and Col2 &gt; date '""&amp;TEXT(EOMONTH(TODAY(),-13),""yyyy-mm-dd"")&amp;""' and Col2 &lt;= date '""&amp;TEXT(U$8,""yyyy-mm-dd"")&amp;""' label sum(Col16) ''"",0)))"),"")</f>
        <v/>
      </c>
      <c r="V35" s="630" t="str">
        <f>IFERROR(__xludf.DUMMYFUNCTION("IF($G35="""","""",IFERROR(query({proventos!$B$5:$Q310},""Select sum(Col16) where Col1 = '""&amp;$G35&amp;""' and Col2 &gt; date '""&amp;TEXT(DATE(V$8,1,1),""yyyy-mm-dd"")&amp;""' and Col2 &lt;= date '""&amp;TEXT(DATE(V$8,12,31),""yyyy-mm-dd"")&amp;""' label sum(Col16) ''"",0)))"),"")</f>
        <v/>
      </c>
      <c r="W35" s="630" t="str">
        <f>IFERROR(__xludf.DUMMYFUNCTION("IF($G35="""","""",IFERROR(query({proventos!$B$5:$Q310},""Select sum(Col16) where Col1 = '""&amp;$G35&amp;""' and Col2 &gt; date '""&amp;TEXT(DATE(W$8,1,1),""yyyy-mm-dd"")&amp;""' and Col2 &lt;= date '""&amp;TEXT(DATE(W$8,12,31),""yyyy-mm-dd"")&amp;""' label sum(Col16) ''"",0)))"),"")</f>
        <v/>
      </c>
      <c r="X35" s="630" t="str">
        <f>IFERROR(__xludf.DUMMYFUNCTION("IF($G35="""","""",IFERROR(query({proventos!$B$5:$Q310},""Select sum(Col16) where Col1 = '""&amp;$G35&amp;""' and Col2 &gt; date '""&amp;TEXT(DATE(X$8,1,1),""yyyy-mm-dd"")&amp;""' and Col2 &lt;= date '""&amp;TEXT(DATE(X$8,12,31),""yyyy-mm-dd"")&amp;""' label sum(Col16) ''"",0)))"),"")</f>
        <v/>
      </c>
      <c r="Y35" s="630" t="str">
        <f>IFERROR(__xludf.DUMMYFUNCTION("IF($G35="""","""",IFERROR(query({proventos!$B$5:$Q310},""Select sum(Col16) where Col1 = '""&amp;$G35&amp;""' and Col2 &gt; date '""&amp;TEXT(DATE(Y$8,1,1),""yyyy-mm-dd"")&amp;""' and Col2 &lt;= date '""&amp;TEXT(DATE(Y$8,12,31),""yyyy-mm-dd"")&amp;""' label sum(Col16) ''"",0)))"),"")</f>
        <v/>
      </c>
      <c r="Z35" s="630" t="str">
        <f>IFERROR(__xludf.DUMMYFUNCTION("IF($G35="""","""",IFERROR(query({proventos!$B$5:$Q310},""Select sum(Col16) where Col1 = '""&amp;$G35&amp;""' and Col2 &gt; date '""&amp;TEXT(DATE(Z$8,1,1),""yyyy-mm-dd"")&amp;""' and Col2 &lt;= date '""&amp;TEXT(DATE(Z$8,12,31),""yyyy-mm-dd"")&amp;""' label sum(Col16) ''"",0)))"),"")</f>
        <v/>
      </c>
      <c r="AA35" s="587"/>
      <c r="AB35" s="578" t="s">
        <v>123</v>
      </c>
      <c r="AC35" s="601"/>
      <c r="AD35" s="631"/>
      <c r="AE35" s="631"/>
    </row>
    <row r="36">
      <c r="A36" s="619">
        <v>26.0</v>
      </c>
      <c r="B36" s="620"/>
      <c r="C36" s="632"/>
      <c r="D36" s="633"/>
      <c r="E36" s="634"/>
      <c r="F36" s="624">
        <v>26.0</v>
      </c>
      <c r="G36" s="635"/>
      <c r="H36" s="626" t="str">
        <f>if(G36="","",IFERROR(VLOOKUP(G36,AtivosDados,MATCH("provento_avg",portfolio.!$A$3:AE$3,0),FALSE),""))</f>
        <v/>
      </c>
      <c r="I36" s="627" t="s">
        <v>123</v>
      </c>
      <c r="J36" s="628" t="str">
        <f>IFERROR(__xludf.DUMMYFUNCTION("IF($G36="""","""",IFERROR(query({proventos!$B$5:$Q310},""Select sum(Col16) where Col1 = '""&amp;$G36&amp;""' and Col2 &gt; date '""&amp;TEXT(K$8,""yyyy-mm-dd"")&amp;""' and Col2 &lt;= date '""&amp;TEXT(J$8,""yyyy-mm-dd"")&amp;""' label sum(Col16) ''"",0)))"),"")</f>
        <v/>
      </c>
      <c r="K36" s="628" t="str">
        <f>IFERROR(__xludf.DUMMYFUNCTION("IF($G36="""","""",IFERROR(query({proventos!$B$5:$Q310},""Select sum(Col16) where Col1 = '""&amp;$G36&amp;""' and Col2 &gt; date '""&amp;TEXT(L$8,""yyyy-mm-dd"")&amp;""' and Col2 &lt;= date '""&amp;TEXT(K$8,""yyyy-mm-dd"")&amp;""' label sum(Col16) ''"",0)))"),"")</f>
        <v/>
      </c>
      <c r="L36" s="628" t="str">
        <f>IFERROR(__xludf.DUMMYFUNCTION("IF($G36="""","""",IFERROR(query({proventos!$B$5:$Q310},""Select sum(Col16) where Col1 = '""&amp;$G36&amp;""' and Col2 &gt; date '""&amp;TEXT(M$8,""yyyy-mm-dd"")&amp;""' and Col2 &lt;= date '""&amp;TEXT(L$8,""yyyy-mm-dd"")&amp;""' label sum(Col16) ''"",0)))"),"")</f>
        <v/>
      </c>
      <c r="M36" s="628" t="str">
        <f>IFERROR(__xludf.DUMMYFUNCTION("IF($G36="""","""",IFERROR(query({proventos!$B$5:$Q310},""Select sum(Col16) where Col1 = '""&amp;$G36&amp;""' and Col2 &gt; date '""&amp;TEXT(N$8,""yyyy-mm-dd"")&amp;""' and Col2 &lt;= date '""&amp;TEXT(M$8,""yyyy-mm-dd"")&amp;""' label sum(Col16) ''"",0)))"),"")</f>
        <v/>
      </c>
      <c r="N36" s="628" t="str">
        <f>IFERROR(__xludf.DUMMYFUNCTION("IF($G36="""","""",IFERROR(query({proventos!$B$5:$Q310},""Select sum(Col16) where Col1 = '""&amp;$G36&amp;""' and Col2 &gt; date '""&amp;TEXT(O$8,""yyyy-mm-dd"")&amp;""' and Col2 &lt;= date '""&amp;TEXT(N$8,""yyyy-mm-dd"")&amp;""' label sum(Col16) ''"",0)))"),"")</f>
        <v/>
      </c>
      <c r="O36" s="628" t="str">
        <f>IFERROR(__xludf.DUMMYFUNCTION("IF($G36="""","""",IFERROR(query({proventos!$B$5:$Q310},""Select sum(Col16) where Col1 = '""&amp;$G36&amp;""' and Col2 &gt; date '""&amp;TEXT(P$8,""yyyy-mm-dd"")&amp;""' and Col2 &lt;= date '""&amp;TEXT(O$8,""yyyy-mm-dd"")&amp;""' label sum(Col16) ''"",0)))"),"")</f>
        <v/>
      </c>
      <c r="P36" s="628" t="str">
        <f>IFERROR(__xludf.DUMMYFUNCTION("IF($G36="""","""",IFERROR(query({proventos!$B$5:$Q310},""Select sum(Col16) where Col1 = '""&amp;$G36&amp;""' and Col2 &gt; date '""&amp;TEXT(Q$8,""yyyy-mm-dd"")&amp;""' and Col2 &lt;= date '""&amp;TEXT(P$8,""yyyy-mm-dd"")&amp;""' label sum(Col16) ''"",0)))"),"")</f>
        <v/>
      </c>
      <c r="Q36" s="628" t="str">
        <f>IFERROR(__xludf.DUMMYFUNCTION("IF($G36="""","""",IFERROR(query({proventos!$B$5:$Q310},""Select sum(Col16) where Col1 = '""&amp;$G36&amp;""' and Col2 &gt; date '""&amp;TEXT(R$8,""yyyy-mm-dd"")&amp;""' and Col2 &lt;= date '""&amp;TEXT(Q$8,""yyyy-mm-dd"")&amp;""' label sum(Col16) ''"",0)))"),"")</f>
        <v/>
      </c>
      <c r="R36" s="628" t="str">
        <f>IFERROR(__xludf.DUMMYFUNCTION("IF($G36="""","""",IFERROR(query({proventos!$B$5:$Q310},""Select sum(Col16) where Col1 = '""&amp;$G36&amp;""' and Col2 &gt; date '""&amp;TEXT(S$8,""yyyy-mm-dd"")&amp;""' and Col2 &lt;= date '""&amp;TEXT(R$8,""yyyy-mm-dd"")&amp;""' label sum(Col16) ''"",0)))"),"")</f>
        <v/>
      </c>
      <c r="S36" s="628" t="str">
        <f>IFERROR(__xludf.DUMMYFUNCTION("IF($G36="""","""",IFERROR(query({proventos!$B$5:$Q310},""Select sum(Col16) where Col1 = '""&amp;$G36&amp;""' and Col2 &gt; date '""&amp;TEXT(T$8,""yyyy-mm-dd"")&amp;""' and Col2 &lt;= date '""&amp;TEXT(S$8,""yyyy-mm-dd"")&amp;""' label sum(Col16) ''"",0)))"),"")</f>
        <v/>
      </c>
      <c r="T36" s="628" t="str">
        <f>IFERROR(__xludf.DUMMYFUNCTION("IF($G36="""","""",IFERROR(query({proventos!$B$5:$Q310},""Select sum(Col16) where Col1 = '""&amp;$G36&amp;""' and Col2 &gt; date '""&amp;TEXT(U$8,""yyyy-mm-dd"")&amp;""' and Col2 &lt;= date '""&amp;TEXT(T$8,""yyyy-mm-dd"")&amp;""' label sum(Col16) ''"",0)))"),"")</f>
        <v/>
      </c>
      <c r="U36" s="629" t="str">
        <f>IFERROR(__xludf.DUMMYFUNCTION("IF($G36="""","""",IFERROR(query({proventos!$B$5:$Q310},""Select sum(Col16) where Col1 = '""&amp;$G36&amp;""' and Col2 &gt; date '""&amp;TEXT(EOMONTH(TODAY(),-13),""yyyy-mm-dd"")&amp;""' and Col2 &lt;= date '""&amp;TEXT(U$8,""yyyy-mm-dd"")&amp;""' label sum(Col16) ''"",0)))"),"")</f>
        <v/>
      </c>
      <c r="V36" s="630" t="str">
        <f>IFERROR(__xludf.DUMMYFUNCTION("IF($G36="""","""",IFERROR(query({proventos!$B$5:$Q310},""Select sum(Col16) where Col1 = '""&amp;$G36&amp;""' and Col2 &gt; date '""&amp;TEXT(DATE(V$8,1,1),""yyyy-mm-dd"")&amp;""' and Col2 &lt;= date '""&amp;TEXT(DATE(V$8,12,31),""yyyy-mm-dd"")&amp;""' label sum(Col16) ''"",0)))"),"")</f>
        <v/>
      </c>
      <c r="W36" s="630" t="str">
        <f>IFERROR(__xludf.DUMMYFUNCTION("IF($G36="""","""",IFERROR(query({proventos!$B$5:$Q310},""Select sum(Col16) where Col1 = '""&amp;$G36&amp;""' and Col2 &gt; date '""&amp;TEXT(DATE(W$8,1,1),""yyyy-mm-dd"")&amp;""' and Col2 &lt;= date '""&amp;TEXT(DATE(W$8,12,31),""yyyy-mm-dd"")&amp;""' label sum(Col16) ''"",0)))"),"")</f>
        <v/>
      </c>
      <c r="X36" s="630" t="str">
        <f>IFERROR(__xludf.DUMMYFUNCTION("IF($G36="""","""",IFERROR(query({proventos!$B$5:$Q310},""Select sum(Col16) where Col1 = '""&amp;$G36&amp;""' and Col2 &gt; date '""&amp;TEXT(DATE(X$8,1,1),""yyyy-mm-dd"")&amp;""' and Col2 &lt;= date '""&amp;TEXT(DATE(X$8,12,31),""yyyy-mm-dd"")&amp;""' label sum(Col16) ''"",0)))"),"")</f>
        <v/>
      </c>
      <c r="Y36" s="630" t="str">
        <f>IFERROR(__xludf.DUMMYFUNCTION("IF($G36="""","""",IFERROR(query({proventos!$B$5:$Q310},""Select sum(Col16) where Col1 = '""&amp;$G36&amp;""' and Col2 &gt; date '""&amp;TEXT(DATE(Y$8,1,1),""yyyy-mm-dd"")&amp;""' and Col2 &lt;= date '""&amp;TEXT(DATE(Y$8,12,31),""yyyy-mm-dd"")&amp;""' label sum(Col16) ''"",0)))"),"")</f>
        <v/>
      </c>
      <c r="Z36" s="630" t="str">
        <f>IFERROR(__xludf.DUMMYFUNCTION("IF($G36="""","""",IFERROR(query({proventos!$B$5:$Q310},""Select sum(Col16) where Col1 = '""&amp;$G36&amp;""' and Col2 &gt; date '""&amp;TEXT(DATE(Z$8,1,1),""yyyy-mm-dd"")&amp;""' and Col2 &lt;= date '""&amp;TEXT(DATE(Z$8,12,31),""yyyy-mm-dd"")&amp;""' label sum(Col16) ''"",0)))"),"")</f>
        <v/>
      </c>
      <c r="AA36" s="587"/>
      <c r="AB36" s="578" t="s">
        <v>123</v>
      </c>
      <c r="AC36" s="601"/>
      <c r="AD36" s="631"/>
      <c r="AE36" s="631"/>
    </row>
    <row r="37">
      <c r="A37" s="619">
        <v>27.0</v>
      </c>
      <c r="B37" s="620"/>
      <c r="C37" s="632"/>
      <c r="D37" s="633"/>
      <c r="E37" s="634"/>
      <c r="F37" s="624">
        <v>27.0</v>
      </c>
      <c r="G37" s="635"/>
      <c r="H37" s="626" t="str">
        <f>if(G37="","",IFERROR(VLOOKUP(G37,AtivosDados,MATCH("provento_avg",portfolio.!$A$3:AE$3,0),FALSE),""))</f>
        <v/>
      </c>
      <c r="I37" s="627" t="s">
        <v>123</v>
      </c>
      <c r="J37" s="628" t="str">
        <f>IFERROR(__xludf.DUMMYFUNCTION("IF($G37="""","""",IFERROR(query({proventos!$B$5:$Q310},""Select sum(Col16) where Col1 = '""&amp;$G37&amp;""' and Col2 &gt; date '""&amp;TEXT(K$8,""yyyy-mm-dd"")&amp;""' and Col2 &lt;= date '""&amp;TEXT(J$8,""yyyy-mm-dd"")&amp;""' label sum(Col16) ''"",0)))"),"")</f>
        <v/>
      </c>
      <c r="K37" s="628" t="str">
        <f>IFERROR(__xludf.DUMMYFUNCTION("IF($G37="""","""",IFERROR(query({proventos!$B$5:$Q310},""Select sum(Col16) where Col1 = '""&amp;$G37&amp;""' and Col2 &gt; date '""&amp;TEXT(L$8,""yyyy-mm-dd"")&amp;""' and Col2 &lt;= date '""&amp;TEXT(K$8,""yyyy-mm-dd"")&amp;""' label sum(Col16) ''"",0)))"),"")</f>
        <v/>
      </c>
      <c r="L37" s="628" t="str">
        <f>IFERROR(__xludf.DUMMYFUNCTION("IF($G37="""","""",IFERROR(query({proventos!$B$5:$Q310},""Select sum(Col16) where Col1 = '""&amp;$G37&amp;""' and Col2 &gt; date '""&amp;TEXT(M$8,""yyyy-mm-dd"")&amp;""' and Col2 &lt;= date '""&amp;TEXT(L$8,""yyyy-mm-dd"")&amp;""' label sum(Col16) ''"",0)))"),"")</f>
        <v/>
      </c>
      <c r="M37" s="628" t="str">
        <f>IFERROR(__xludf.DUMMYFUNCTION("IF($G37="""","""",IFERROR(query({proventos!$B$5:$Q310},""Select sum(Col16) where Col1 = '""&amp;$G37&amp;""' and Col2 &gt; date '""&amp;TEXT(N$8,""yyyy-mm-dd"")&amp;""' and Col2 &lt;= date '""&amp;TEXT(M$8,""yyyy-mm-dd"")&amp;""' label sum(Col16) ''"",0)))"),"")</f>
        <v/>
      </c>
      <c r="N37" s="628" t="str">
        <f>IFERROR(__xludf.DUMMYFUNCTION("IF($G37="""","""",IFERROR(query({proventos!$B$5:$Q310},""Select sum(Col16) where Col1 = '""&amp;$G37&amp;""' and Col2 &gt; date '""&amp;TEXT(O$8,""yyyy-mm-dd"")&amp;""' and Col2 &lt;= date '""&amp;TEXT(N$8,""yyyy-mm-dd"")&amp;""' label sum(Col16) ''"",0)))"),"")</f>
        <v/>
      </c>
      <c r="O37" s="628" t="str">
        <f>IFERROR(__xludf.DUMMYFUNCTION("IF($G37="""","""",IFERROR(query({proventos!$B$5:$Q310},""Select sum(Col16) where Col1 = '""&amp;$G37&amp;""' and Col2 &gt; date '""&amp;TEXT(P$8,""yyyy-mm-dd"")&amp;""' and Col2 &lt;= date '""&amp;TEXT(O$8,""yyyy-mm-dd"")&amp;""' label sum(Col16) ''"",0)))"),"")</f>
        <v/>
      </c>
      <c r="P37" s="628" t="str">
        <f>IFERROR(__xludf.DUMMYFUNCTION("IF($G37="""","""",IFERROR(query({proventos!$B$5:$Q310},""Select sum(Col16) where Col1 = '""&amp;$G37&amp;""' and Col2 &gt; date '""&amp;TEXT(Q$8,""yyyy-mm-dd"")&amp;""' and Col2 &lt;= date '""&amp;TEXT(P$8,""yyyy-mm-dd"")&amp;""' label sum(Col16) ''"",0)))"),"")</f>
        <v/>
      </c>
      <c r="Q37" s="628" t="str">
        <f>IFERROR(__xludf.DUMMYFUNCTION("IF($G37="""","""",IFERROR(query({proventos!$B$5:$Q310},""Select sum(Col16) where Col1 = '""&amp;$G37&amp;""' and Col2 &gt; date '""&amp;TEXT(R$8,""yyyy-mm-dd"")&amp;""' and Col2 &lt;= date '""&amp;TEXT(Q$8,""yyyy-mm-dd"")&amp;""' label sum(Col16) ''"",0)))"),"")</f>
        <v/>
      </c>
      <c r="R37" s="628" t="str">
        <f>IFERROR(__xludf.DUMMYFUNCTION("IF($G37="""","""",IFERROR(query({proventos!$B$5:$Q310},""Select sum(Col16) where Col1 = '""&amp;$G37&amp;""' and Col2 &gt; date '""&amp;TEXT(S$8,""yyyy-mm-dd"")&amp;""' and Col2 &lt;= date '""&amp;TEXT(R$8,""yyyy-mm-dd"")&amp;""' label sum(Col16) ''"",0)))"),"")</f>
        <v/>
      </c>
      <c r="S37" s="628" t="str">
        <f>IFERROR(__xludf.DUMMYFUNCTION("IF($G37="""","""",IFERROR(query({proventos!$B$5:$Q310},""Select sum(Col16) where Col1 = '""&amp;$G37&amp;""' and Col2 &gt; date '""&amp;TEXT(T$8,""yyyy-mm-dd"")&amp;""' and Col2 &lt;= date '""&amp;TEXT(S$8,""yyyy-mm-dd"")&amp;""' label sum(Col16) ''"",0)))"),"")</f>
        <v/>
      </c>
      <c r="T37" s="628" t="str">
        <f>IFERROR(__xludf.DUMMYFUNCTION("IF($G37="""","""",IFERROR(query({proventos!$B$5:$Q310},""Select sum(Col16) where Col1 = '""&amp;$G37&amp;""' and Col2 &gt; date '""&amp;TEXT(U$8,""yyyy-mm-dd"")&amp;""' and Col2 &lt;= date '""&amp;TEXT(T$8,""yyyy-mm-dd"")&amp;""' label sum(Col16) ''"",0)))"),"")</f>
        <v/>
      </c>
      <c r="U37" s="629" t="str">
        <f>IFERROR(__xludf.DUMMYFUNCTION("IF($G37="""","""",IFERROR(query({proventos!$B$5:$Q310},""Select sum(Col16) where Col1 = '""&amp;$G37&amp;""' and Col2 &gt; date '""&amp;TEXT(EOMONTH(TODAY(),-13),""yyyy-mm-dd"")&amp;""' and Col2 &lt;= date '""&amp;TEXT(U$8,""yyyy-mm-dd"")&amp;""' label sum(Col16) ''"",0)))"),"")</f>
        <v/>
      </c>
      <c r="V37" s="630" t="str">
        <f>IFERROR(__xludf.DUMMYFUNCTION("IF($G37="""","""",IFERROR(query({proventos!$B$5:$Q310},""Select sum(Col16) where Col1 = '""&amp;$G37&amp;""' and Col2 &gt; date '""&amp;TEXT(DATE(V$8,1,1),""yyyy-mm-dd"")&amp;""' and Col2 &lt;= date '""&amp;TEXT(DATE(V$8,12,31),""yyyy-mm-dd"")&amp;""' label sum(Col16) ''"",0)))"),"")</f>
        <v/>
      </c>
      <c r="W37" s="630" t="str">
        <f>IFERROR(__xludf.DUMMYFUNCTION("IF($G37="""","""",IFERROR(query({proventos!$B$5:$Q310},""Select sum(Col16) where Col1 = '""&amp;$G37&amp;""' and Col2 &gt; date '""&amp;TEXT(DATE(W$8,1,1),""yyyy-mm-dd"")&amp;""' and Col2 &lt;= date '""&amp;TEXT(DATE(W$8,12,31),""yyyy-mm-dd"")&amp;""' label sum(Col16) ''"",0)))"),"")</f>
        <v/>
      </c>
      <c r="X37" s="630" t="str">
        <f>IFERROR(__xludf.DUMMYFUNCTION("IF($G37="""","""",IFERROR(query({proventos!$B$5:$Q310},""Select sum(Col16) where Col1 = '""&amp;$G37&amp;""' and Col2 &gt; date '""&amp;TEXT(DATE(X$8,1,1),""yyyy-mm-dd"")&amp;""' and Col2 &lt;= date '""&amp;TEXT(DATE(X$8,12,31),""yyyy-mm-dd"")&amp;""' label sum(Col16) ''"",0)))"),"")</f>
        <v/>
      </c>
      <c r="Y37" s="630" t="str">
        <f>IFERROR(__xludf.DUMMYFUNCTION("IF($G37="""","""",IFERROR(query({proventos!$B$5:$Q310},""Select sum(Col16) where Col1 = '""&amp;$G37&amp;""' and Col2 &gt; date '""&amp;TEXT(DATE(Y$8,1,1),""yyyy-mm-dd"")&amp;""' and Col2 &lt;= date '""&amp;TEXT(DATE(Y$8,12,31),""yyyy-mm-dd"")&amp;""' label sum(Col16) ''"",0)))"),"")</f>
        <v/>
      </c>
      <c r="Z37" s="630" t="str">
        <f>IFERROR(__xludf.DUMMYFUNCTION("IF($G37="""","""",IFERROR(query({proventos!$B$5:$Q310},""Select sum(Col16) where Col1 = '""&amp;$G37&amp;""' and Col2 &gt; date '""&amp;TEXT(DATE(Z$8,1,1),""yyyy-mm-dd"")&amp;""' and Col2 &lt;= date '""&amp;TEXT(DATE(Z$8,12,31),""yyyy-mm-dd"")&amp;""' label sum(Col16) ''"",0)))"),"")</f>
        <v/>
      </c>
      <c r="AA37" s="587"/>
      <c r="AB37" s="578" t="s">
        <v>123</v>
      </c>
      <c r="AC37" s="601"/>
      <c r="AD37" s="636"/>
      <c r="AE37" s="636"/>
    </row>
    <row r="38">
      <c r="A38" s="619">
        <v>28.0</v>
      </c>
      <c r="B38" s="620"/>
      <c r="C38" s="632"/>
      <c r="D38" s="633"/>
      <c r="E38" s="634"/>
      <c r="F38" s="624">
        <v>28.0</v>
      </c>
      <c r="G38" s="635"/>
      <c r="H38" s="626" t="str">
        <f>if(G38="","",IFERROR(VLOOKUP(G38,AtivosDados,MATCH("provento_avg",portfolio.!$A$3:AE$3,0),FALSE),""))</f>
        <v/>
      </c>
      <c r="I38" s="627" t="s">
        <v>123</v>
      </c>
      <c r="J38" s="628" t="str">
        <f>IFERROR(__xludf.DUMMYFUNCTION("IF($G38="""","""",IFERROR(query({proventos!$B$5:$Q310},""Select sum(Col16) where Col1 = '""&amp;$G38&amp;""' and Col2 &gt; date '""&amp;TEXT(K$8,""yyyy-mm-dd"")&amp;""' and Col2 &lt;= date '""&amp;TEXT(J$8,""yyyy-mm-dd"")&amp;""' label sum(Col16) ''"",0)))"),"")</f>
        <v/>
      </c>
      <c r="K38" s="628" t="str">
        <f>IFERROR(__xludf.DUMMYFUNCTION("IF($G38="""","""",IFERROR(query({proventos!$B$5:$Q310},""Select sum(Col16) where Col1 = '""&amp;$G38&amp;""' and Col2 &gt; date '""&amp;TEXT(L$8,""yyyy-mm-dd"")&amp;""' and Col2 &lt;= date '""&amp;TEXT(K$8,""yyyy-mm-dd"")&amp;""' label sum(Col16) ''"",0)))"),"")</f>
        <v/>
      </c>
      <c r="L38" s="628" t="str">
        <f>IFERROR(__xludf.DUMMYFUNCTION("IF($G38="""","""",IFERROR(query({proventos!$B$5:$Q310},""Select sum(Col16) where Col1 = '""&amp;$G38&amp;""' and Col2 &gt; date '""&amp;TEXT(M$8,""yyyy-mm-dd"")&amp;""' and Col2 &lt;= date '""&amp;TEXT(L$8,""yyyy-mm-dd"")&amp;""' label sum(Col16) ''"",0)))"),"")</f>
        <v/>
      </c>
      <c r="M38" s="628" t="str">
        <f>IFERROR(__xludf.DUMMYFUNCTION("IF($G38="""","""",IFERROR(query({proventos!$B$5:$Q310},""Select sum(Col16) where Col1 = '""&amp;$G38&amp;""' and Col2 &gt; date '""&amp;TEXT(N$8,""yyyy-mm-dd"")&amp;""' and Col2 &lt;= date '""&amp;TEXT(M$8,""yyyy-mm-dd"")&amp;""' label sum(Col16) ''"",0)))"),"")</f>
        <v/>
      </c>
      <c r="N38" s="628" t="str">
        <f>IFERROR(__xludf.DUMMYFUNCTION("IF($G38="""","""",IFERROR(query({proventos!$B$5:$Q310},""Select sum(Col16) where Col1 = '""&amp;$G38&amp;""' and Col2 &gt; date '""&amp;TEXT(O$8,""yyyy-mm-dd"")&amp;""' and Col2 &lt;= date '""&amp;TEXT(N$8,""yyyy-mm-dd"")&amp;""' label sum(Col16) ''"",0)))"),"")</f>
        <v/>
      </c>
      <c r="O38" s="628" t="str">
        <f>IFERROR(__xludf.DUMMYFUNCTION("IF($G38="""","""",IFERROR(query({proventos!$B$5:$Q310},""Select sum(Col16) where Col1 = '""&amp;$G38&amp;""' and Col2 &gt; date '""&amp;TEXT(P$8,""yyyy-mm-dd"")&amp;""' and Col2 &lt;= date '""&amp;TEXT(O$8,""yyyy-mm-dd"")&amp;""' label sum(Col16) ''"",0)))"),"")</f>
        <v/>
      </c>
      <c r="P38" s="628" t="str">
        <f>IFERROR(__xludf.DUMMYFUNCTION("IF($G38="""","""",IFERROR(query({proventos!$B$5:$Q310},""Select sum(Col16) where Col1 = '""&amp;$G38&amp;""' and Col2 &gt; date '""&amp;TEXT(Q$8,""yyyy-mm-dd"")&amp;""' and Col2 &lt;= date '""&amp;TEXT(P$8,""yyyy-mm-dd"")&amp;""' label sum(Col16) ''"",0)))"),"")</f>
        <v/>
      </c>
      <c r="Q38" s="628" t="str">
        <f>IFERROR(__xludf.DUMMYFUNCTION("IF($G38="""","""",IFERROR(query({proventos!$B$5:$Q310},""Select sum(Col16) where Col1 = '""&amp;$G38&amp;""' and Col2 &gt; date '""&amp;TEXT(R$8,""yyyy-mm-dd"")&amp;""' and Col2 &lt;= date '""&amp;TEXT(Q$8,""yyyy-mm-dd"")&amp;""' label sum(Col16) ''"",0)))"),"")</f>
        <v/>
      </c>
      <c r="R38" s="628" t="str">
        <f>IFERROR(__xludf.DUMMYFUNCTION("IF($G38="""","""",IFERROR(query({proventos!$B$5:$Q310},""Select sum(Col16) where Col1 = '""&amp;$G38&amp;""' and Col2 &gt; date '""&amp;TEXT(S$8,""yyyy-mm-dd"")&amp;""' and Col2 &lt;= date '""&amp;TEXT(R$8,""yyyy-mm-dd"")&amp;""' label sum(Col16) ''"",0)))"),"")</f>
        <v/>
      </c>
      <c r="S38" s="628" t="str">
        <f>IFERROR(__xludf.DUMMYFUNCTION("IF($G38="""","""",IFERROR(query({proventos!$B$5:$Q310},""Select sum(Col16) where Col1 = '""&amp;$G38&amp;""' and Col2 &gt; date '""&amp;TEXT(T$8,""yyyy-mm-dd"")&amp;""' and Col2 &lt;= date '""&amp;TEXT(S$8,""yyyy-mm-dd"")&amp;""' label sum(Col16) ''"",0)))"),"")</f>
        <v/>
      </c>
      <c r="T38" s="628" t="str">
        <f>IFERROR(__xludf.DUMMYFUNCTION("IF($G38="""","""",IFERROR(query({proventos!$B$5:$Q310},""Select sum(Col16) where Col1 = '""&amp;$G38&amp;""' and Col2 &gt; date '""&amp;TEXT(U$8,""yyyy-mm-dd"")&amp;""' and Col2 &lt;= date '""&amp;TEXT(T$8,""yyyy-mm-dd"")&amp;""' label sum(Col16) ''"",0)))"),"")</f>
        <v/>
      </c>
      <c r="U38" s="629" t="str">
        <f>IFERROR(__xludf.DUMMYFUNCTION("IF($G38="""","""",IFERROR(query({proventos!$B$5:$Q310},""Select sum(Col16) where Col1 = '""&amp;$G38&amp;""' and Col2 &gt; date '""&amp;TEXT(EOMONTH(TODAY(),-13),""yyyy-mm-dd"")&amp;""' and Col2 &lt;= date '""&amp;TEXT(U$8,""yyyy-mm-dd"")&amp;""' label sum(Col16) ''"",0)))"),"")</f>
        <v/>
      </c>
      <c r="V38" s="630" t="str">
        <f>IFERROR(__xludf.DUMMYFUNCTION("IF($G38="""","""",IFERROR(query({proventos!$B$5:$Q310},""Select sum(Col16) where Col1 = '""&amp;$G38&amp;""' and Col2 &gt; date '""&amp;TEXT(DATE(V$8,1,1),""yyyy-mm-dd"")&amp;""' and Col2 &lt;= date '""&amp;TEXT(DATE(V$8,12,31),""yyyy-mm-dd"")&amp;""' label sum(Col16) ''"",0)))"),"")</f>
        <v/>
      </c>
      <c r="W38" s="630" t="str">
        <f>IFERROR(__xludf.DUMMYFUNCTION("IF($G38="""","""",IFERROR(query({proventos!$B$5:$Q310},""Select sum(Col16) where Col1 = '""&amp;$G38&amp;""' and Col2 &gt; date '""&amp;TEXT(DATE(W$8,1,1),""yyyy-mm-dd"")&amp;""' and Col2 &lt;= date '""&amp;TEXT(DATE(W$8,12,31),""yyyy-mm-dd"")&amp;""' label sum(Col16) ''"",0)))"),"")</f>
        <v/>
      </c>
      <c r="X38" s="630" t="str">
        <f>IFERROR(__xludf.DUMMYFUNCTION("IF($G38="""","""",IFERROR(query({proventos!$B$5:$Q310},""Select sum(Col16) where Col1 = '""&amp;$G38&amp;""' and Col2 &gt; date '""&amp;TEXT(DATE(X$8,1,1),""yyyy-mm-dd"")&amp;""' and Col2 &lt;= date '""&amp;TEXT(DATE(X$8,12,31),""yyyy-mm-dd"")&amp;""' label sum(Col16) ''"",0)))"),"")</f>
        <v/>
      </c>
      <c r="Y38" s="630" t="str">
        <f>IFERROR(__xludf.DUMMYFUNCTION("IF($G38="""","""",IFERROR(query({proventos!$B$5:$Q310},""Select sum(Col16) where Col1 = '""&amp;$G38&amp;""' and Col2 &gt; date '""&amp;TEXT(DATE(Y$8,1,1),""yyyy-mm-dd"")&amp;""' and Col2 &lt;= date '""&amp;TEXT(DATE(Y$8,12,31),""yyyy-mm-dd"")&amp;""' label sum(Col16) ''"",0)))"),"")</f>
        <v/>
      </c>
      <c r="Z38" s="630" t="str">
        <f>IFERROR(__xludf.DUMMYFUNCTION("IF($G38="""","""",IFERROR(query({proventos!$B$5:$Q310},""Select sum(Col16) where Col1 = '""&amp;$G38&amp;""' and Col2 &gt; date '""&amp;TEXT(DATE(Z$8,1,1),""yyyy-mm-dd"")&amp;""' and Col2 &lt;= date '""&amp;TEXT(DATE(Z$8,12,31),""yyyy-mm-dd"")&amp;""' label sum(Col16) ''"",0)))"),"")</f>
        <v/>
      </c>
      <c r="AA38" s="587"/>
      <c r="AB38" s="578" t="s">
        <v>123</v>
      </c>
      <c r="AC38" s="601"/>
      <c r="AD38" s="636"/>
      <c r="AE38" s="636"/>
    </row>
    <row r="39">
      <c r="A39" s="619">
        <v>29.0</v>
      </c>
      <c r="B39" s="620"/>
      <c r="C39" s="632"/>
      <c r="D39" s="633"/>
      <c r="E39" s="634"/>
      <c r="F39" s="624">
        <v>29.0</v>
      </c>
      <c r="G39" s="635"/>
      <c r="H39" s="626" t="str">
        <f>if(G39="","",IFERROR(VLOOKUP(G39,AtivosDados,MATCH("provento_avg",portfolio.!$A$3:AE$3,0),FALSE),""))</f>
        <v/>
      </c>
      <c r="I39" s="627" t="s">
        <v>123</v>
      </c>
      <c r="J39" s="628" t="str">
        <f>IFERROR(__xludf.DUMMYFUNCTION("IF($G39="""","""",IFERROR(query({proventos!$B$5:$Q310},""Select sum(Col16) where Col1 = '""&amp;$G39&amp;""' and Col2 &gt; date '""&amp;TEXT(K$8,""yyyy-mm-dd"")&amp;""' and Col2 &lt;= date '""&amp;TEXT(J$8,""yyyy-mm-dd"")&amp;""' label sum(Col16) ''"",0)))"),"")</f>
        <v/>
      </c>
      <c r="K39" s="628" t="str">
        <f>IFERROR(__xludf.DUMMYFUNCTION("IF($G39="""","""",IFERROR(query({proventos!$B$5:$Q310},""Select sum(Col16) where Col1 = '""&amp;$G39&amp;""' and Col2 &gt; date '""&amp;TEXT(L$8,""yyyy-mm-dd"")&amp;""' and Col2 &lt;= date '""&amp;TEXT(K$8,""yyyy-mm-dd"")&amp;""' label sum(Col16) ''"",0)))"),"")</f>
        <v/>
      </c>
      <c r="L39" s="628" t="str">
        <f>IFERROR(__xludf.DUMMYFUNCTION("IF($G39="""","""",IFERROR(query({proventos!$B$5:$Q310},""Select sum(Col16) where Col1 = '""&amp;$G39&amp;""' and Col2 &gt; date '""&amp;TEXT(M$8,""yyyy-mm-dd"")&amp;""' and Col2 &lt;= date '""&amp;TEXT(L$8,""yyyy-mm-dd"")&amp;""' label sum(Col16) ''"",0)))"),"")</f>
        <v/>
      </c>
      <c r="M39" s="628" t="str">
        <f>IFERROR(__xludf.DUMMYFUNCTION("IF($G39="""","""",IFERROR(query({proventos!$B$5:$Q310},""Select sum(Col16) where Col1 = '""&amp;$G39&amp;""' and Col2 &gt; date '""&amp;TEXT(N$8,""yyyy-mm-dd"")&amp;""' and Col2 &lt;= date '""&amp;TEXT(M$8,""yyyy-mm-dd"")&amp;""' label sum(Col16) ''"",0)))"),"")</f>
        <v/>
      </c>
      <c r="N39" s="628" t="str">
        <f>IFERROR(__xludf.DUMMYFUNCTION("IF($G39="""","""",IFERROR(query({proventos!$B$5:$Q310},""Select sum(Col16) where Col1 = '""&amp;$G39&amp;""' and Col2 &gt; date '""&amp;TEXT(O$8,""yyyy-mm-dd"")&amp;""' and Col2 &lt;= date '""&amp;TEXT(N$8,""yyyy-mm-dd"")&amp;""' label sum(Col16) ''"",0)))"),"")</f>
        <v/>
      </c>
      <c r="O39" s="628" t="str">
        <f>IFERROR(__xludf.DUMMYFUNCTION("IF($G39="""","""",IFERROR(query({proventos!$B$5:$Q310},""Select sum(Col16) where Col1 = '""&amp;$G39&amp;""' and Col2 &gt; date '""&amp;TEXT(P$8,""yyyy-mm-dd"")&amp;""' and Col2 &lt;= date '""&amp;TEXT(O$8,""yyyy-mm-dd"")&amp;""' label sum(Col16) ''"",0)))"),"")</f>
        <v/>
      </c>
      <c r="P39" s="628" t="str">
        <f>IFERROR(__xludf.DUMMYFUNCTION("IF($G39="""","""",IFERROR(query({proventos!$B$5:$Q310},""Select sum(Col16) where Col1 = '""&amp;$G39&amp;""' and Col2 &gt; date '""&amp;TEXT(Q$8,""yyyy-mm-dd"")&amp;""' and Col2 &lt;= date '""&amp;TEXT(P$8,""yyyy-mm-dd"")&amp;""' label sum(Col16) ''"",0)))"),"")</f>
        <v/>
      </c>
      <c r="Q39" s="628" t="str">
        <f>IFERROR(__xludf.DUMMYFUNCTION("IF($G39="""","""",IFERROR(query({proventos!$B$5:$Q310},""Select sum(Col16) where Col1 = '""&amp;$G39&amp;""' and Col2 &gt; date '""&amp;TEXT(R$8,""yyyy-mm-dd"")&amp;""' and Col2 &lt;= date '""&amp;TEXT(Q$8,""yyyy-mm-dd"")&amp;""' label sum(Col16) ''"",0)))"),"")</f>
        <v/>
      </c>
      <c r="R39" s="628" t="str">
        <f>IFERROR(__xludf.DUMMYFUNCTION("IF($G39="""","""",IFERROR(query({proventos!$B$5:$Q310},""Select sum(Col16) where Col1 = '""&amp;$G39&amp;""' and Col2 &gt; date '""&amp;TEXT(S$8,""yyyy-mm-dd"")&amp;""' and Col2 &lt;= date '""&amp;TEXT(R$8,""yyyy-mm-dd"")&amp;""' label sum(Col16) ''"",0)))"),"")</f>
        <v/>
      </c>
      <c r="S39" s="628" t="str">
        <f>IFERROR(__xludf.DUMMYFUNCTION("IF($G39="""","""",IFERROR(query({proventos!$B$5:$Q310},""Select sum(Col16) where Col1 = '""&amp;$G39&amp;""' and Col2 &gt; date '""&amp;TEXT(T$8,""yyyy-mm-dd"")&amp;""' and Col2 &lt;= date '""&amp;TEXT(S$8,""yyyy-mm-dd"")&amp;""' label sum(Col16) ''"",0)))"),"")</f>
        <v/>
      </c>
      <c r="T39" s="628" t="str">
        <f>IFERROR(__xludf.DUMMYFUNCTION("IF($G39="""","""",IFERROR(query({proventos!$B$5:$Q310},""Select sum(Col16) where Col1 = '""&amp;$G39&amp;""' and Col2 &gt; date '""&amp;TEXT(U$8,""yyyy-mm-dd"")&amp;""' and Col2 &lt;= date '""&amp;TEXT(T$8,""yyyy-mm-dd"")&amp;""' label sum(Col16) ''"",0)))"),"")</f>
        <v/>
      </c>
      <c r="U39" s="629" t="str">
        <f>IFERROR(__xludf.DUMMYFUNCTION("IF($G39="""","""",IFERROR(query({proventos!$B$5:$Q310},""Select sum(Col16) where Col1 = '""&amp;$G39&amp;""' and Col2 &gt; date '""&amp;TEXT(EOMONTH(TODAY(),-13),""yyyy-mm-dd"")&amp;""' and Col2 &lt;= date '""&amp;TEXT(U$8,""yyyy-mm-dd"")&amp;""' label sum(Col16) ''"",0)))"),"")</f>
        <v/>
      </c>
      <c r="V39" s="630" t="str">
        <f>IFERROR(__xludf.DUMMYFUNCTION("IF($G39="""","""",IFERROR(query({proventos!$B$5:$Q310},""Select sum(Col16) where Col1 = '""&amp;$G39&amp;""' and Col2 &gt; date '""&amp;TEXT(DATE(V$8,1,1),""yyyy-mm-dd"")&amp;""' and Col2 &lt;= date '""&amp;TEXT(DATE(V$8,12,31),""yyyy-mm-dd"")&amp;""' label sum(Col16) ''"",0)))"),"")</f>
        <v/>
      </c>
      <c r="W39" s="630" t="str">
        <f>IFERROR(__xludf.DUMMYFUNCTION("IF($G39="""","""",IFERROR(query({proventos!$B$5:$Q310},""Select sum(Col16) where Col1 = '""&amp;$G39&amp;""' and Col2 &gt; date '""&amp;TEXT(DATE(W$8,1,1),""yyyy-mm-dd"")&amp;""' and Col2 &lt;= date '""&amp;TEXT(DATE(W$8,12,31),""yyyy-mm-dd"")&amp;""' label sum(Col16) ''"",0)))"),"")</f>
        <v/>
      </c>
      <c r="X39" s="630" t="str">
        <f>IFERROR(__xludf.DUMMYFUNCTION("IF($G39="""","""",IFERROR(query({proventos!$B$5:$Q310},""Select sum(Col16) where Col1 = '""&amp;$G39&amp;""' and Col2 &gt; date '""&amp;TEXT(DATE(X$8,1,1),""yyyy-mm-dd"")&amp;""' and Col2 &lt;= date '""&amp;TEXT(DATE(X$8,12,31),""yyyy-mm-dd"")&amp;""' label sum(Col16) ''"",0)))"),"")</f>
        <v/>
      </c>
      <c r="Y39" s="630" t="str">
        <f>IFERROR(__xludf.DUMMYFUNCTION("IF($G39="""","""",IFERROR(query({proventos!$B$5:$Q310},""Select sum(Col16) where Col1 = '""&amp;$G39&amp;""' and Col2 &gt; date '""&amp;TEXT(DATE(Y$8,1,1),""yyyy-mm-dd"")&amp;""' and Col2 &lt;= date '""&amp;TEXT(DATE(Y$8,12,31),""yyyy-mm-dd"")&amp;""' label sum(Col16) ''"",0)))"),"")</f>
        <v/>
      </c>
      <c r="Z39" s="630" t="str">
        <f>IFERROR(__xludf.DUMMYFUNCTION("IF($G39="""","""",IFERROR(query({proventos!$B$5:$Q310},""Select sum(Col16) where Col1 = '""&amp;$G39&amp;""' and Col2 &gt; date '""&amp;TEXT(DATE(Z$8,1,1),""yyyy-mm-dd"")&amp;""' and Col2 &lt;= date '""&amp;TEXT(DATE(Z$8,12,31),""yyyy-mm-dd"")&amp;""' label sum(Col16) ''"",0)))"),"")</f>
        <v/>
      </c>
      <c r="AA39" s="587"/>
      <c r="AB39" s="578" t="s">
        <v>123</v>
      </c>
      <c r="AC39" s="601"/>
      <c r="AD39" s="636"/>
      <c r="AE39" s="636"/>
    </row>
    <row r="40">
      <c r="A40" s="619">
        <v>30.0</v>
      </c>
      <c r="B40" s="620"/>
      <c r="C40" s="632"/>
      <c r="D40" s="633"/>
      <c r="E40" s="634"/>
      <c r="F40" s="624">
        <v>30.0</v>
      </c>
      <c r="G40" s="635"/>
      <c r="H40" s="626" t="str">
        <f>if(G40="","",IFERROR(VLOOKUP(G40,AtivosDados,MATCH("provento_avg",portfolio.!$A$3:AE$3,0),FALSE),""))</f>
        <v/>
      </c>
      <c r="I40" s="627" t="s">
        <v>123</v>
      </c>
      <c r="J40" s="628" t="str">
        <f>IFERROR(__xludf.DUMMYFUNCTION("IF($G40="""","""",IFERROR(query({proventos!$B$5:$Q310},""Select sum(Col16) where Col1 = '""&amp;$G40&amp;""' and Col2 &gt; date '""&amp;TEXT(K$8,""yyyy-mm-dd"")&amp;""' and Col2 &lt;= date '""&amp;TEXT(J$8,""yyyy-mm-dd"")&amp;""' label sum(Col16) ''"",0)))"),"")</f>
        <v/>
      </c>
      <c r="K40" s="628" t="str">
        <f>IFERROR(__xludf.DUMMYFUNCTION("IF($G40="""","""",IFERROR(query({proventos!$B$5:$Q310},""Select sum(Col16) where Col1 = '""&amp;$G40&amp;""' and Col2 &gt; date '""&amp;TEXT(L$8,""yyyy-mm-dd"")&amp;""' and Col2 &lt;= date '""&amp;TEXT(K$8,""yyyy-mm-dd"")&amp;""' label sum(Col16) ''"",0)))"),"")</f>
        <v/>
      </c>
      <c r="L40" s="628" t="str">
        <f>IFERROR(__xludf.DUMMYFUNCTION("IF($G40="""","""",IFERROR(query({proventos!$B$5:$Q310},""Select sum(Col16) where Col1 = '""&amp;$G40&amp;""' and Col2 &gt; date '""&amp;TEXT(M$8,""yyyy-mm-dd"")&amp;""' and Col2 &lt;= date '""&amp;TEXT(L$8,""yyyy-mm-dd"")&amp;""' label sum(Col16) ''"",0)))"),"")</f>
        <v/>
      </c>
      <c r="M40" s="628" t="str">
        <f>IFERROR(__xludf.DUMMYFUNCTION("IF($G40="""","""",IFERROR(query({proventos!$B$5:$Q310},""Select sum(Col16) where Col1 = '""&amp;$G40&amp;""' and Col2 &gt; date '""&amp;TEXT(N$8,""yyyy-mm-dd"")&amp;""' and Col2 &lt;= date '""&amp;TEXT(M$8,""yyyy-mm-dd"")&amp;""' label sum(Col16) ''"",0)))"),"")</f>
        <v/>
      </c>
      <c r="N40" s="628" t="str">
        <f>IFERROR(__xludf.DUMMYFUNCTION("IF($G40="""","""",IFERROR(query({proventos!$B$5:$Q310},""Select sum(Col16) where Col1 = '""&amp;$G40&amp;""' and Col2 &gt; date '""&amp;TEXT(O$8,""yyyy-mm-dd"")&amp;""' and Col2 &lt;= date '""&amp;TEXT(N$8,""yyyy-mm-dd"")&amp;""' label sum(Col16) ''"",0)))"),"")</f>
        <v/>
      </c>
      <c r="O40" s="628" t="str">
        <f>IFERROR(__xludf.DUMMYFUNCTION("IF($G40="""","""",IFERROR(query({proventos!$B$5:$Q310},""Select sum(Col16) where Col1 = '""&amp;$G40&amp;""' and Col2 &gt; date '""&amp;TEXT(P$8,""yyyy-mm-dd"")&amp;""' and Col2 &lt;= date '""&amp;TEXT(O$8,""yyyy-mm-dd"")&amp;""' label sum(Col16) ''"",0)))"),"")</f>
        <v/>
      </c>
      <c r="P40" s="628" t="str">
        <f>IFERROR(__xludf.DUMMYFUNCTION("IF($G40="""","""",IFERROR(query({proventos!$B$5:$Q310},""Select sum(Col16) where Col1 = '""&amp;$G40&amp;""' and Col2 &gt; date '""&amp;TEXT(Q$8,""yyyy-mm-dd"")&amp;""' and Col2 &lt;= date '""&amp;TEXT(P$8,""yyyy-mm-dd"")&amp;""' label sum(Col16) ''"",0)))"),"")</f>
        <v/>
      </c>
      <c r="Q40" s="628" t="str">
        <f>IFERROR(__xludf.DUMMYFUNCTION("IF($G40="""","""",IFERROR(query({proventos!$B$5:$Q310},""Select sum(Col16) where Col1 = '""&amp;$G40&amp;""' and Col2 &gt; date '""&amp;TEXT(R$8,""yyyy-mm-dd"")&amp;""' and Col2 &lt;= date '""&amp;TEXT(Q$8,""yyyy-mm-dd"")&amp;""' label sum(Col16) ''"",0)))"),"")</f>
        <v/>
      </c>
      <c r="R40" s="628" t="str">
        <f>IFERROR(__xludf.DUMMYFUNCTION("IF($G40="""","""",IFERROR(query({proventos!$B$5:$Q310},""Select sum(Col16) where Col1 = '""&amp;$G40&amp;""' and Col2 &gt; date '""&amp;TEXT(S$8,""yyyy-mm-dd"")&amp;""' and Col2 &lt;= date '""&amp;TEXT(R$8,""yyyy-mm-dd"")&amp;""' label sum(Col16) ''"",0)))"),"")</f>
        <v/>
      </c>
      <c r="S40" s="628" t="str">
        <f>IFERROR(__xludf.DUMMYFUNCTION("IF($G40="""","""",IFERROR(query({proventos!$B$5:$Q310},""Select sum(Col16) where Col1 = '""&amp;$G40&amp;""' and Col2 &gt; date '""&amp;TEXT(T$8,""yyyy-mm-dd"")&amp;""' and Col2 &lt;= date '""&amp;TEXT(S$8,""yyyy-mm-dd"")&amp;""' label sum(Col16) ''"",0)))"),"")</f>
        <v/>
      </c>
      <c r="T40" s="628" t="str">
        <f>IFERROR(__xludf.DUMMYFUNCTION("IF($G40="""","""",IFERROR(query({proventos!$B$5:$Q310},""Select sum(Col16) where Col1 = '""&amp;$G40&amp;""' and Col2 &gt; date '""&amp;TEXT(U$8,""yyyy-mm-dd"")&amp;""' and Col2 &lt;= date '""&amp;TEXT(T$8,""yyyy-mm-dd"")&amp;""' label sum(Col16) ''"",0)))"),"")</f>
        <v/>
      </c>
      <c r="U40" s="629" t="str">
        <f>IFERROR(__xludf.DUMMYFUNCTION("IF($G40="""","""",IFERROR(query({proventos!$B$5:$Q310},""Select sum(Col16) where Col1 = '""&amp;$G40&amp;""' and Col2 &gt; date '""&amp;TEXT(EOMONTH(TODAY(),-13),""yyyy-mm-dd"")&amp;""' and Col2 &lt;= date '""&amp;TEXT(U$8,""yyyy-mm-dd"")&amp;""' label sum(Col16) ''"",0)))"),"")</f>
        <v/>
      </c>
      <c r="V40" s="630" t="str">
        <f>IFERROR(__xludf.DUMMYFUNCTION("IF($G40="""","""",IFERROR(query({proventos!$B$5:$Q310},""Select sum(Col16) where Col1 = '""&amp;$G40&amp;""' and Col2 &gt; date '""&amp;TEXT(DATE(V$8,1,1),""yyyy-mm-dd"")&amp;""' and Col2 &lt;= date '""&amp;TEXT(DATE(V$8,12,31),""yyyy-mm-dd"")&amp;""' label sum(Col16) ''"",0)))"),"")</f>
        <v/>
      </c>
      <c r="W40" s="630" t="str">
        <f>IFERROR(__xludf.DUMMYFUNCTION("IF($G40="""","""",IFERROR(query({proventos!$B$5:$Q310},""Select sum(Col16) where Col1 = '""&amp;$G40&amp;""' and Col2 &gt; date '""&amp;TEXT(DATE(W$8,1,1),""yyyy-mm-dd"")&amp;""' and Col2 &lt;= date '""&amp;TEXT(DATE(W$8,12,31),""yyyy-mm-dd"")&amp;""' label sum(Col16) ''"",0)))"),"")</f>
        <v/>
      </c>
      <c r="X40" s="630" t="str">
        <f>IFERROR(__xludf.DUMMYFUNCTION("IF($G40="""","""",IFERROR(query({proventos!$B$5:$Q310},""Select sum(Col16) where Col1 = '""&amp;$G40&amp;""' and Col2 &gt; date '""&amp;TEXT(DATE(X$8,1,1),""yyyy-mm-dd"")&amp;""' and Col2 &lt;= date '""&amp;TEXT(DATE(X$8,12,31),""yyyy-mm-dd"")&amp;""' label sum(Col16) ''"",0)))"),"")</f>
        <v/>
      </c>
      <c r="Y40" s="630" t="str">
        <f>IFERROR(__xludf.DUMMYFUNCTION("IF($G40="""","""",IFERROR(query({proventos!$B$5:$Q310},""Select sum(Col16) where Col1 = '""&amp;$G40&amp;""' and Col2 &gt; date '""&amp;TEXT(DATE(Y$8,1,1),""yyyy-mm-dd"")&amp;""' and Col2 &lt;= date '""&amp;TEXT(DATE(Y$8,12,31),""yyyy-mm-dd"")&amp;""' label sum(Col16) ''"",0)))"),"")</f>
        <v/>
      </c>
      <c r="Z40" s="630" t="str">
        <f>IFERROR(__xludf.DUMMYFUNCTION("IF($G40="""","""",IFERROR(query({proventos!$B$5:$Q310},""Select sum(Col16) where Col1 = '""&amp;$G40&amp;""' and Col2 &gt; date '""&amp;TEXT(DATE(Z$8,1,1),""yyyy-mm-dd"")&amp;""' and Col2 &lt;= date '""&amp;TEXT(DATE(Z$8,12,31),""yyyy-mm-dd"")&amp;""' label sum(Col16) ''"",0)))"),"")</f>
        <v/>
      </c>
      <c r="AA40" s="587"/>
      <c r="AB40" s="578" t="s">
        <v>123</v>
      </c>
      <c r="AC40" s="601"/>
      <c r="AD40" s="636"/>
      <c r="AE40" s="636"/>
    </row>
    <row r="41">
      <c r="A41" s="619">
        <v>31.0</v>
      </c>
      <c r="B41" s="620"/>
      <c r="C41" s="632"/>
      <c r="D41" s="633"/>
      <c r="E41" s="634"/>
      <c r="F41" s="624">
        <v>31.0</v>
      </c>
      <c r="G41" s="635"/>
      <c r="H41" s="626" t="str">
        <f>if(G41="","",IFERROR(VLOOKUP(G41,AtivosDados,MATCH("provento_avg",portfolio.!$A$3:AE$3,0),FALSE),""))</f>
        <v/>
      </c>
      <c r="I41" s="627" t="s">
        <v>123</v>
      </c>
      <c r="J41" s="628" t="str">
        <f>IFERROR(__xludf.DUMMYFUNCTION("IF($G41="""","""",IFERROR(query({proventos!$B$5:$Q310},""Select sum(Col16) where Col1 = '""&amp;$G41&amp;""' and Col2 &gt; date '""&amp;TEXT(K$8,""yyyy-mm-dd"")&amp;""' and Col2 &lt;= date '""&amp;TEXT(J$8,""yyyy-mm-dd"")&amp;""' label sum(Col16) ''"",0)))"),"")</f>
        <v/>
      </c>
      <c r="K41" s="628" t="str">
        <f>IFERROR(__xludf.DUMMYFUNCTION("IF($G41="""","""",IFERROR(query({proventos!$B$5:$Q310},""Select sum(Col16) where Col1 = '""&amp;$G41&amp;""' and Col2 &gt; date '""&amp;TEXT(L$8,""yyyy-mm-dd"")&amp;""' and Col2 &lt;= date '""&amp;TEXT(K$8,""yyyy-mm-dd"")&amp;""' label sum(Col16) ''"",0)))"),"")</f>
        <v/>
      </c>
      <c r="L41" s="628" t="str">
        <f>IFERROR(__xludf.DUMMYFUNCTION("IF($G41="""","""",IFERROR(query({proventos!$B$5:$Q310},""Select sum(Col16) where Col1 = '""&amp;$G41&amp;""' and Col2 &gt; date '""&amp;TEXT(M$8,""yyyy-mm-dd"")&amp;""' and Col2 &lt;= date '""&amp;TEXT(L$8,""yyyy-mm-dd"")&amp;""' label sum(Col16) ''"",0)))"),"")</f>
        <v/>
      </c>
      <c r="M41" s="628" t="str">
        <f>IFERROR(__xludf.DUMMYFUNCTION("IF($G41="""","""",IFERROR(query({proventos!$B$5:$Q310},""Select sum(Col16) where Col1 = '""&amp;$G41&amp;""' and Col2 &gt; date '""&amp;TEXT(N$8,""yyyy-mm-dd"")&amp;""' and Col2 &lt;= date '""&amp;TEXT(M$8,""yyyy-mm-dd"")&amp;""' label sum(Col16) ''"",0)))"),"")</f>
        <v/>
      </c>
      <c r="N41" s="628" t="str">
        <f>IFERROR(__xludf.DUMMYFUNCTION("IF($G41="""","""",IFERROR(query({proventos!$B$5:$Q310},""Select sum(Col16) where Col1 = '""&amp;$G41&amp;""' and Col2 &gt; date '""&amp;TEXT(O$8,""yyyy-mm-dd"")&amp;""' and Col2 &lt;= date '""&amp;TEXT(N$8,""yyyy-mm-dd"")&amp;""' label sum(Col16) ''"",0)))"),"")</f>
        <v/>
      </c>
      <c r="O41" s="628" t="str">
        <f>IFERROR(__xludf.DUMMYFUNCTION("IF($G41="""","""",IFERROR(query({proventos!$B$5:$Q310},""Select sum(Col16) where Col1 = '""&amp;$G41&amp;""' and Col2 &gt; date '""&amp;TEXT(P$8,""yyyy-mm-dd"")&amp;""' and Col2 &lt;= date '""&amp;TEXT(O$8,""yyyy-mm-dd"")&amp;""' label sum(Col16) ''"",0)))"),"")</f>
        <v/>
      </c>
      <c r="P41" s="628" t="str">
        <f>IFERROR(__xludf.DUMMYFUNCTION("IF($G41="""","""",IFERROR(query({proventos!$B$5:$Q310},""Select sum(Col16) where Col1 = '""&amp;$G41&amp;""' and Col2 &gt; date '""&amp;TEXT(Q$8,""yyyy-mm-dd"")&amp;""' and Col2 &lt;= date '""&amp;TEXT(P$8,""yyyy-mm-dd"")&amp;""' label sum(Col16) ''"",0)))"),"")</f>
        <v/>
      </c>
      <c r="Q41" s="628" t="str">
        <f>IFERROR(__xludf.DUMMYFUNCTION("IF($G41="""","""",IFERROR(query({proventos!$B$5:$Q310},""Select sum(Col16) where Col1 = '""&amp;$G41&amp;""' and Col2 &gt; date '""&amp;TEXT(R$8,""yyyy-mm-dd"")&amp;""' and Col2 &lt;= date '""&amp;TEXT(Q$8,""yyyy-mm-dd"")&amp;""' label sum(Col16) ''"",0)))"),"")</f>
        <v/>
      </c>
      <c r="R41" s="628" t="str">
        <f>IFERROR(__xludf.DUMMYFUNCTION("IF($G41="""","""",IFERROR(query({proventos!$B$5:$Q310},""Select sum(Col16) where Col1 = '""&amp;$G41&amp;""' and Col2 &gt; date '""&amp;TEXT(S$8,""yyyy-mm-dd"")&amp;""' and Col2 &lt;= date '""&amp;TEXT(R$8,""yyyy-mm-dd"")&amp;""' label sum(Col16) ''"",0)))"),"")</f>
        <v/>
      </c>
      <c r="S41" s="628" t="str">
        <f>IFERROR(__xludf.DUMMYFUNCTION("IF($G41="""","""",IFERROR(query({proventos!$B$5:$Q310},""Select sum(Col16) where Col1 = '""&amp;$G41&amp;""' and Col2 &gt; date '""&amp;TEXT(T$8,""yyyy-mm-dd"")&amp;""' and Col2 &lt;= date '""&amp;TEXT(S$8,""yyyy-mm-dd"")&amp;""' label sum(Col16) ''"",0)))"),"")</f>
        <v/>
      </c>
      <c r="T41" s="628" t="str">
        <f>IFERROR(__xludf.DUMMYFUNCTION("IF($G41="""","""",IFERROR(query({proventos!$B$5:$Q310},""Select sum(Col16) where Col1 = '""&amp;$G41&amp;""' and Col2 &gt; date '""&amp;TEXT(U$8,""yyyy-mm-dd"")&amp;""' and Col2 &lt;= date '""&amp;TEXT(T$8,""yyyy-mm-dd"")&amp;""' label sum(Col16) ''"",0)))"),"")</f>
        <v/>
      </c>
      <c r="U41" s="629" t="str">
        <f>IFERROR(__xludf.DUMMYFUNCTION("IF($G41="""","""",IFERROR(query({proventos!$B$5:$Q310},""Select sum(Col16) where Col1 = '""&amp;$G41&amp;""' and Col2 &gt; date '""&amp;TEXT(EOMONTH(TODAY(),-13),""yyyy-mm-dd"")&amp;""' and Col2 &lt;= date '""&amp;TEXT(U$8,""yyyy-mm-dd"")&amp;""' label sum(Col16) ''"",0)))"),"")</f>
        <v/>
      </c>
      <c r="V41" s="630" t="str">
        <f>IFERROR(__xludf.DUMMYFUNCTION("IF($G41="""","""",IFERROR(query({proventos!$B$5:$Q310},""Select sum(Col16) where Col1 = '""&amp;$G41&amp;""' and Col2 &gt; date '""&amp;TEXT(DATE(V$8,1,1),""yyyy-mm-dd"")&amp;""' and Col2 &lt;= date '""&amp;TEXT(DATE(V$8,12,31),""yyyy-mm-dd"")&amp;""' label sum(Col16) ''"",0)))"),"")</f>
        <v/>
      </c>
      <c r="W41" s="630" t="str">
        <f>IFERROR(__xludf.DUMMYFUNCTION("IF($G41="""","""",IFERROR(query({proventos!$B$5:$Q310},""Select sum(Col16) where Col1 = '""&amp;$G41&amp;""' and Col2 &gt; date '""&amp;TEXT(DATE(W$8,1,1),""yyyy-mm-dd"")&amp;""' and Col2 &lt;= date '""&amp;TEXT(DATE(W$8,12,31),""yyyy-mm-dd"")&amp;""' label sum(Col16) ''"",0)))"),"")</f>
        <v/>
      </c>
      <c r="X41" s="630" t="str">
        <f>IFERROR(__xludf.DUMMYFUNCTION("IF($G41="""","""",IFERROR(query({proventos!$B$5:$Q310},""Select sum(Col16) where Col1 = '""&amp;$G41&amp;""' and Col2 &gt; date '""&amp;TEXT(DATE(X$8,1,1),""yyyy-mm-dd"")&amp;""' and Col2 &lt;= date '""&amp;TEXT(DATE(X$8,12,31),""yyyy-mm-dd"")&amp;""' label sum(Col16) ''"",0)))"),"")</f>
        <v/>
      </c>
      <c r="Y41" s="630" t="str">
        <f>IFERROR(__xludf.DUMMYFUNCTION("IF($G41="""","""",IFERROR(query({proventos!$B$5:$Q310},""Select sum(Col16) where Col1 = '""&amp;$G41&amp;""' and Col2 &gt; date '""&amp;TEXT(DATE(Y$8,1,1),""yyyy-mm-dd"")&amp;""' and Col2 &lt;= date '""&amp;TEXT(DATE(Y$8,12,31),""yyyy-mm-dd"")&amp;""' label sum(Col16) ''"",0)))"),"")</f>
        <v/>
      </c>
      <c r="Z41" s="630" t="str">
        <f>IFERROR(__xludf.DUMMYFUNCTION("IF($G41="""","""",IFERROR(query({proventos!$B$5:$Q310},""Select sum(Col16) where Col1 = '""&amp;$G41&amp;""' and Col2 &gt; date '""&amp;TEXT(DATE(Z$8,1,1),""yyyy-mm-dd"")&amp;""' and Col2 &lt;= date '""&amp;TEXT(DATE(Z$8,12,31),""yyyy-mm-dd"")&amp;""' label sum(Col16) ''"",0)))"),"")</f>
        <v/>
      </c>
      <c r="AA41" s="587"/>
      <c r="AB41" s="578" t="s">
        <v>123</v>
      </c>
      <c r="AC41" s="601"/>
      <c r="AD41" s="636"/>
      <c r="AE41" s="636"/>
    </row>
    <row r="42">
      <c r="A42" s="619">
        <v>32.0</v>
      </c>
      <c r="B42" s="620"/>
      <c r="C42" s="632"/>
      <c r="D42" s="633"/>
      <c r="E42" s="634"/>
      <c r="F42" s="624">
        <v>32.0</v>
      </c>
      <c r="G42" s="635"/>
      <c r="H42" s="626" t="str">
        <f>if(G42="","",IFERROR(VLOOKUP(G42,AtivosDados,MATCH("provento_avg",portfolio.!$A$3:AE$3,0),FALSE),""))</f>
        <v/>
      </c>
      <c r="I42" s="627" t="s">
        <v>123</v>
      </c>
      <c r="J42" s="628" t="str">
        <f>IFERROR(__xludf.DUMMYFUNCTION("IF($G42="""","""",IFERROR(query({proventos!$B$5:$Q310},""Select sum(Col16) where Col1 = '""&amp;$G42&amp;""' and Col2 &gt; date '""&amp;TEXT(K$8,""yyyy-mm-dd"")&amp;""' and Col2 &lt;= date '""&amp;TEXT(J$8,""yyyy-mm-dd"")&amp;""' label sum(Col16) ''"",0)))"),"")</f>
        <v/>
      </c>
      <c r="K42" s="628" t="str">
        <f>IFERROR(__xludf.DUMMYFUNCTION("IF($G42="""","""",IFERROR(query({proventos!$B$5:$Q310},""Select sum(Col16) where Col1 = '""&amp;$G42&amp;""' and Col2 &gt; date '""&amp;TEXT(L$8,""yyyy-mm-dd"")&amp;""' and Col2 &lt;= date '""&amp;TEXT(K$8,""yyyy-mm-dd"")&amp;""' label sum(Col16) ''"",0)))"),"")</f>
        <v/>
      </c>
      <c r="L42" s="628" t="str">
        <f>IFERROR(__xludf.DUMMYFUNCTION("IF($G42="""","""",IFERROR(query({proventos!$B$5:$Q310},""Select sum(Col16) where Col1 = '""&amp;$G42&amp;""' and Col2 &gt; date '""&amp;TEXT(M$8,""yyyy-mm-dd"")&amp;""' and Col2 &lt;= date '""&amp;TEXT(L$8,""yyyy-mm-dd"")&amp;""' label sum(Col16) ''"",0)))"),"")</f>
        <v/>
      </c>
      <c r="M42" s="628" t="str">
        <f>IFERROR(__xludf.DUMMYFUNCTION("IF($G42="""","""",IFERROR(query({proventos!$B$5:$Q310},""Select sum(Col16) where Col1 = '""&amp;$G42&amp;""' and Col2 &gt; date '""&amp;TEXT(N$8,""yyyy-mm-dd"")&amp;""' and Col2 &lt;= date '""&amp;TEXT(M$8,""yyyy-mm-dd"")&amp;""' label sum(Col16) ''"",0)))"),"")</f>
        <v/>
      </c>
      <c r="N42" s="628" t="str">
        <f>IFERROR(__xludf.DUMMYFUNCTION("IF($G42="""","""",IFERROR(query({proventos!$B$5:$Q310},""Select sum(Col16) where Col1 = '""&amp;$G42&amp;""' and Col2 &gt; date '""&amp;TEXT(O$8,""yyyy-mm-dd"")&amp;""' and Col2 &lt;= date '""&amp;TEXT(N$8,""yyyy-mm-dd"")&amp;""' label sum(Col16) ''"",0)))"),"")</f>
        <v/>
      </c>
      <c r="O42" s="628" t="str">
        <f>IFERROR(__xludf.DUMMYFUNCTION("IF($G42="""","""",IFERROR(query({proventos!$B$5:$Q310},""Select sum(Col16) where Col1 = '""&amp;$G42&amp;""' and Col2 &gt; date '""&amp;TEXT(P$8,""yyyy-mm-dd"")&amp;""' and Col2 &lt;= date '""&amp;TEXT(O$8,""yyyy-mm-dd"")&amp;""' label sum(Col16) ''"",0)))"),"")</f>
        <v/>
      </c>
      <c r="P42" s="628" t="str">
        <f>IFERROR(__xludf.DUMMYFUNCTION("IF($G42="""","""",IFERROR(query({proventos!$B$5:$Q310},""Select sum(Col16) where Col1 = '""&amp;$G42&amp;""' and Col2 &gt; date '""&amp;TEXT(Q$8,""yyyy-mm-dd"")&amp;""' and Col2 &lt;= date '""&amp;TEXT(P$8,""yyyy-mm-dd"")&amp;""' label sum(Col16) ''"",0)))"),"")</f>
        <v/>
      </c>
      <c r="Q42" s="628" t="str">
        <f>IFERROR(__xludf.DUMMYFUNCTION("IF($G42="""","""",IFERROR(query({proventos!$B$5:$Q310},""Select sum(Col16) where Col1 = '""&amp;$G42&amp;""' and Col2 &gt; date '""&amp;TEXT(R$8,""yyyy-mm-dd"")&amp;""' and Col2 &lt;= date '""&amp;TEXT(Q$8,""yyyy-mm-dd"")&amp;""' label sum(Col16) ''"",0)))"),"")</f>
        <v/>
      </c>
      <c r="R42" s="628" t="str">
        <f>IFERROR(__xludf.DUMMYFUNCTION("IF($G42="""","""",IFERROR(query({proventos!$B$5:$Q310},""Select sum(Col16) where Col1 = '""&amp;$G42&amp;""' and Col2 &gt; date '""&amp;TEXT(S$8,""yyyy-mm-dd"")&amp;""' and Col2 &lt;= date '""&amp;TEXT(R$8,""yyyy-mm-dd"")&amp;""' label sum(Col16) ''"",0)))"),"")</f>
        <v/>
      </c>
      <c r="S42" s="628" t="str">
        <f>IFERROR(__xludf.DUMMYFUNCTION("IF($G42="""","""",IFERROR(query({proventos!$B$5:$Q310},""Select sum(Col16) where Col1 = '""&amp;$G42&amp;""' and Col2 &gt; date '""&amp;TEXT(T$8,""yyyy-mm-dd"")&amp;""' and Col2 &lt;= date '""&amp;TEXT(S$8,""yyyy-mm-dd"")&amp;""' label sum(Col16) ''"",0)))"),"")</f>
        <v/>
      </c>
      <c r="T42" s="628" t="str">
        <f>IFERROR(__xludf.DUMMYFUNCTION("IF($G42="""","""",IFERROR(query({proventos!$B$5:$Q310},""Select sum(Col16) where Col1 = '""&amp;$G42&amp;""' and Col2 &gt; date '""&amp;TEXT(U$8,""yyyy-mm-dd"")&amp;""' and Col2 &lt;= date '""&amp;TEXT(T$8,""yyyy-mm-dd"")&amp;""' label sum(Col16) ''"",0)))"),"")</f>
        <v/>
      </c>
      <c r="U42" s="629" t="str">
        <f>IFERROR(__xludf.DUMMYFUNCTION("IF($G42="""","""",IFERROR(query({proventos!$B$5:$Q310},""Select sum(Col16) where Col1 = '""&amp;$G42&amp;""' and Col2 &gt; date '""&amp;TEXT(EOMONTH(TODAY(),-13),""yyyy-mm-dd"")&amp;""' and Col2 &lt;= date '""&amp;TEXT(U$8,""yyyy-mm-dd"")&amp;""' label sum(Col16) ''"",0)))"),"")</f>
        <v/>
      </c>
      <c r="V42" s="630" t="str">
        <f>IFERROR(__xludf.DUMMYFUNCTION("IF($G42="""","""",IFERROR(query({proventos!$B$5:$Q310},""Select sum(Col16) where Col1 = '""&amp;$G42&amp;""' and Col2 &gt; date '""&amp;TEXT(DATE(V$8,1,1),""yyyy-mm-dd"")&amp;""' and Col2 &lt;= date '""&amp;TEXT(DATE(V$8,12,31),""yyyy-mm-dd"")&amp;""' label sum(Col16) ''"",0)))"),"")</f>
        <v/>
      </c>
      <c r="W42" s="630" t="str">
        <f>IFERROR(__xludf.DUMMYFUNCTION("IF($G42="""","""",IFERROR(query({proventos!$B$5:$Q310},""Select sum(Col16) where Col1 = '""&amp;$G42&amp;""' and Col2 &gt; date '""&amp;TEXT(DATE(W$8,1,1),""yyyy-mm-dd"")&amp;""' and Col2 &lt;= date '""&amp;TEXT(DATE(W$8,12,31),""yyyy-mm-dd"")&amp;""' label sum(Col16) ''"",0)))"),"")</f>
        <v/>
      </c>
      <c r="X42" s="630" t="str">
        <f>IFERROR(__xludf.DUMMYFUNCTION("IF($G42="""","""",IFERROR(query({proventos!$B$5:$Q310},""Select sum(Col16) where Col1 = '""&amp;$G42&amp;""' and Col2 &gt; date '""&amp;TEXT(DATE(X$8,1,1),""yyyy-mm-dd"")&amp;""' and Col2 &lt;= date '""&amp;TEXT(DATE(X$8,12,31),""yyyy-mm-dd"")&amp;""' label sum(Col16) ''"",0)))"),"")</f>
        <v/>
      </c>
      <c r="Y42" s="630" t="str">
        <f>IFERROR(__xludf.DUMMYFUNCTION("IF($G42="""","""",IFERROR(query({proventos!$B$5:$Q310},""Select sum(Col16) where Col1 = '""&amp;$G42&amp;""' and Col2 &gt; date '""&amp;TEXT(DATE(Y$8,1,1),""yyyy-mm-dd"")&amp;""' and Col2 &lt;= date '""&amp;TEXT(DATE(Y$8,12,31),""yyyy-mm-dd"")&amp;""' label sum(Col16) ''"",0)))"),"")</f>
        <v/>
      </c>
      <c r="Z42" s="630" t="str">
        <f>IFERROR(__xludf.DUMMYFUNCTION("IF($G42="""","""",IFERROR(query({proventos!$B$5:$Q310},""Select sum(Col16) where Col1 = '""&amp;$G42&amp;""' and Col2 &gt; date '""&amp;TEXT(DATE(Z$8,1,1),""yyyy-mm-dd"")&amp;""' and Col2 &lt;= date '""&amp;TEXT(DATE(Z$8,12,31),""yyyy-mm-dd"")&amp;""' label sum(Col16) ''"",0)))"),"")</f>
        <v/>
      </c>
      <c r="AA42" s="587"/>
      <c r="AB42" s="578" t="s">
        <v>123</v>
      </c>
      <c r="AC42" s="601"/>
      <c r="AD42" s="636"/>
      <c r="AE42" s="636"/>
    </row>
    <row r="43">
      <c r="A43" s="619">
        <v>33.0</v>
      </c>
      <c r="B43" s="620"/>
      <c r="C43" s="632"/>
      <c r="D43" s="633"/>
      <c r="E43" s="634"/>
      <c r="F43" s="624">
        <v>33.0</v>
      </c>
      <c r="G43" s="635"/>
      <c r="H43" s="626" t="str">
        <f>if(G43="","",IFERROR(VLOOKUP(G43,AtivosDados,MATCH("provento_avg",portfolio.!$A$3:AE$3,0),FALSE),""))</f>
        <v/>
      </c>
      <c r="I43" s="627" t="s">
        <v>123</v>
      </c>
      <c r="J43" s="628" t="str">
        <f>IFERROR(__xludf.DUMMYFUNCTION("IF($G43="""","""",IFERROR(query({proventos!$B$5:$Q310},""Select sum(Col16) where Col1 = '""&amp;$G43&amp;""' and Col2 &gt; date '""&amp;TEXT(K$8,""yyyy-mm-dd"")&amp;""' and Col2 &lt;= date '""&amp;TEXT(J$8,""yyyy-mm-dd"")&amp;""' label sum(Col16) ''"",0)))"),"")</f>
        <v/>
      </c>
      <c r="K43" s="628" t="str">
        <f>IFERROR(__xludf.DUMMYFUNCTION("IF($G43="""","""",IFERROR(query({proventos!$B$5:$Q310},""Select sum(Col16) where Col1 = '""&amp;$G43&amp;""' and Col2 &gt; date '""&amp;TEXT(L$8,""yyyy-mm-dd"")&amp;""' and Col2 &lt;= date '""&amp;TEXT(K$8,""yyyy-mm-dd"")&amp;""' label sum(Col16) ''"",0)))"),"")</f>
        <v/>
      </c>
      <c r="L43" s="628" t="str">
        <f>IFERROR(__xludf.DUMMYFUNCTION("IF($G43="""","""",IFERROR(query({proventos!$B$5:$Q310},""Select sum(Col16) where Col1 = '""&amp;$G43&amp;""' and Col2 &gt; date '""&amp;TEXT(M$8,""yyyy-mm-dd"")&amp;""' and Col2 &lt;= date '""&amp;TEXT(L$8,""yyyy-mm-dd"")&amp;""' label sum(Col16) ''"",0)))"),"")</f>
        <v/>
      </c>
      <c r="M43" s="628" t="str">
        <f>IFERROR(__xludf.DUMMYFUNCTION("IF($G43="""","""",IFERROR(query({proventos!$B$5:$Q310},""Select sum(Col16) where Col1 = '""&amp;$G43&amp;""' and Col2 &gt; date '""&amp;TEXT(N$8,""yyyy-mm-dd"")&amp;""' and Col2 &lt;= date '""&amp;TEXT(M$8,""yyyy-mm-dd"")&amp;""' label sum(Col16) ''"",0)))"),"")</f>
        <v/>
      </c>
      <c r="N43" s="628" t="str">
        <f>IFERROR(__xludf.DUMMYFUNCTION("IF($G43="""","""",IFERROR(query({proventos!$B$5:$Q310},""Select sum(Col16) where Col1 = '""&amp;$G43&amp;""' and Col2 &gt; date '""&amp;TEXT(O$8,""yyyy-mm-dd"")&amp;""' and Col2 &lt;= date '""&amp;TEXT(N$8,""yyyy-mm-dd"")&amp;""' label sum(Col16) ''"",0)))"),"")</f>
        <v/>
      </c>
      <c r="O43" s="628" t="str">
        <f>IFERROR(__xludf.DUMMYFUNCTION("IF($G43="""","""",IFERROR(query({proventos!$B$5:$Q310},""Select sum(Col16) where Col1 = '""&amp;$G43&amp;""' and Col2 &gt; date '""&amp;TEXT(P$8,""yyyy-mm-dd"")&amp;""' and Col2 &lt;= date '""&amp;TEXT(O$8,""yyyy-mm-dd"")&amp;""' label sum(Col16) ''"",0)))"),"")</f>
        <v/>
      </c>
      <c r="P43" s="628" t="str">
        <f>IFERROR(__xludf.DUMMYFUNCTION("IF($G43="""","""",IFERROR(query({proventos!$B$5:$Q310},""Select sum(Col16) where Col1 = '""&amp;$G43&amp;""' and Col2 &gt; date '""&amp;TEXT(Q$8,""yyyy-mm-dd"")&amp;""' and Col2 &lt;= date '""&amp;TEXT(P$8,""yyyy-mm-dd"")&amp;""' label sum(Col16) ''"",0)))"),"")</f>
        <v/>
      </c>
      <c r="Q43" s="628" t="str">
        <f>IFERROR(__xludf.DUMMYFUNCTION("IF($G43="""","""",IFERROR(query({proventos!$B$5:$Q310},""Select sum(Col16) where Col1 = '""&amp;$G43&amp;""' and Col2 &gt; date '""&amp;TEXT(R$8,""yyyy-mm-dd"")&amp;""' and Col2 &lt;= date '""&amp;TEXT(Q$8,""yyyy-mm-dd"")&amp;""' label sum(Col16) ''"",0)))"),"")</f>
        <v/>
      </c>
      <c r="R43" s="628" t="str">
        <f>IFERROR(__xludf.DUMMYFUNCTION("IF($G43="""","""",IFERROR(query({proventos!$B$5:$Q310},""Select sum(Col16) where Col1 = '""&amp;$G43&amp;""' and Col2 &gt; date '""&amp;TEXT(S$8,""yyyy-mm-dd"")&amp;""' and Col2 &lt;= date '""&amp;TEXT(R$8,""yyyy-mm-dd"")&amp;""' label sum(Col16) ''"",0)))"),"")</f>
        <v/>
      </c>
      <c r="S43" s="628" t="str">
        <f>IFERROR(__xludf.DUMMYFUNCTION("IF($G43="""","""",IFERROR(query({proventos!$B$5:$Q310},""Select sum(Col16) where Col1 = '""&amp;$G43&amp;""' and Col2 &gt; date '""&amp;TEXT(T$8,""yyyy-mm-dd"")&amp;""' and Col2 &lt;= date '""&amp;TEXT(S$8,""yyyy-mm-dd"")&amp;""' label sum(Col16) ''"",0)))"),"")</f>
        <v/>
      </c>
      <c r="T43" s="628" t="str">
        <f>IFERROR(__xludf.DUMMYFUNCTION("IF($G43="""","""",IFERROR(query({proventos!$B$5:$Q310},""Select sum(Col16) where Col1 = '""&amp;$G43&amp;""' and Col2 &gt; date '""&amp;TEXT(U$8,""yyyy-mm-dd"")&amp;""' and Col2 &lt;= date '""&amp;TEXT(T$8,""yyyy-mm-dd"")&amp;""' label sum(Col16) ''"",0)))"),"")</f>
        <v/>
      </c>
      <c r="U43" s="629" t="str">
        <f>IFERROR(__xludf.DUMMYFUNCTION("IF($G43="""","""",IFERROR(query({proventos!$B$5:$Q310},""Select sum(Col16) where Col1 = '""&amp;$G43&amp;""' and Col2 &gt; date '""&amp;TEXT(EOMONTH(TODAY(),-13),""yyyy-mm-dd"")&amp;""' and Col2 &lt;= date '""&amp;TEXT(U$8,""yyyy-mm-dd"")&amp;""' label sum(Col16) ''"",0)))"),"")</f>
        <v/>
      </c>
      <c r="V43" s="630" t="str">
        <f>IFERROR(__xludf.DUMMYFUNCTION("IF($G43="""","""",IFERROR(query({proventos!$B$5:$Q310},""Select sum(Col16) where Col1 = '""&amp;$G43&amp;""' and Col2 &gt; date '""&amp;TEXT(DATE(V$8,1,1),""yyyy-mm-dd"")&amp;""' and Col2 &lt;= date '""&amp;TEXT(DATE(V$8,12,31),""yyyy-mm-dd"")&amp;""' label sum(Col16) ''"",0)))"),"")</f>
        <v/>
      </c>
      <c r="W43" s="630" t="str">
        <f>IFERROR(__xludf.DUMMYFUNCTION("IF($G43="""","""",IFERROR(query({proventos!$B$5:$Q310},""Select sum(Col16) where Col1 = '""&amp;$G43&amp;""' and Col2 &gt; date '""&amp;TEXT(DATE(W$8,1,1),""yyyy-mm-dd"")&amp;""' and Col2 &lt;= date '""&amp;TEXT(DATE(W$8,12,31),""yyyy-mm-dd"")&amp;""' label sum(Col16) ''"",0)))"),"")</f>
        <v/>
      </c>
      <c r="X43" s="630" t="str">
        <f>IFERROR(__xludf.DUMMYFUNCTION("IF($G43="""","""",IFERROR(query({proventos!$B$5:$Q310},""Select sum(Col16) where Col1 = '""&amp;$G43&amp;""' and Col2 &gt; date '""&amp;TEXT(DATE(X$8,1,1),""yyyy-mm-dd"")&amp;""' and Col2 &lt;= date '""&amp;TEXT(DATE(X$8,12,31),""yyyy-mm-dd"")&amp;""' label sum(Col16) ''"",0)))"),"")</f>
        <v/>
      </c>
      <c r="Y43" s="630" t="str">
        <f>IFERROR(__xludf.DUMMYFUNCTION("IF($G43="""","""",IFERROR(query({proventos!$B$5:$Q310},""Select sum(Col16) where Col1 = '""&amp;$G43&amp;""' and Col2 &gt; date '""&amp;TEXT(DATE(Y$8,1,1),""yyyy-mm-dd"")&amp;""' and Col2 &lt;= date '""&amp;TEXT(DATE(Y$8,12,31),""yyyy-mm-dd"")&amp;""' label sum(Col16) ''"",0)))"),"")</f>
        <v/>
      </c>
      <c r="Z43" s="630" t="str">
        <f>IFERROR(__xludf.DUMMYFUNCTION("IF($G43="""","""",IFERROR(query({proventos!$B$5:$Q310},""Select sum(Col16) where Col1 = '""&amp;$G43&amp;""' and Col2 &gt; date '""&amp;TEXT(DATE(Z$8,1,1),""yyyy-mm-dd"")&amp;""' and Col2 &lt;= date '""&amp;TEXT(DATE(Z$8,12,31),""yyyy-mm-dd"")&amp;""' label sum(Col16) ''"",0)))"),"")</f>
        <v/>
      </c>
      <c r="AA43" s="587"/>
      <c r="AB43" s="578" t="s">
        <v>123</v>
      </c>
      <c r="AC43" s="601"/>
      <c r="AD43" s="636"/>
      <c r="AE43" s="636"/>
    </row>
    <row r="44">
      <c r="A44" s="619">
        <v>34.0</v>
      </c>
      <c r="B44" s="620"/>
      <c r="C44" s="632"/>
      <c r="D44" s="633"/>
      <c r="E44" s="634"/>
      <c r="F44" s="624">
        <v>34.0</v>
      </c>
      <c r="G44" s="635"/>
      <c r="H44" s="626" t="str">
        <f>if(G44="","",IFERROR(VLOOKUP(G44,AtivosDados,MATCH("provento_avg",portfolio.!$A$3:AE$3,0),FALSE),""))</f>
        <v/>
      </c>
      <c r="I44" s="627" t="s">
        <v>123</v>
      </c>
      <c r="J44" s="628" t="str">
        <f>IFERROR(__xludf.DUMMYFUNCTION("IF($G44="""","""",IFERROR(query({proventos!$B$5:$Q310},""Select sum(Col16) where Col1 = '""&amp;$G44&amp;""' and Col2 &gt; date '""&amp;TEXT(K$8,""yyyy-mm-dd"")&amp;""' and Col2 &lt;= date '""&amp;TEXT(J$8,""yyyy-mm-dd"")&amp;""' label sum(Col16) ''"",0)))"),"")</f>
        <v/>
      </c>
      <c r="K44" s="628" t="str">
        <f>IFERROR(__xludf.DUMMYFUNCTION("IF($G44="""","""",IFERROR(query({proventos!$B$5:$Q310},""Select sum(Col16) where Col1 = '""&amp;$G44&amp;""' and Col2 &gt; date '""&amp;TEXT(L$8,""yyyy-mm-dd"")&amp;""' and Col2 &lt;= date '""&amp;TEXT(K$8,""yyyy-mm-dd"")&amp;""' label sum(Col16) ''"",0)))"),"")</f>
        <v/>
      </c>
      <c r="L44" s="628" t="str">
        <f>IFERROR(__xludf.DUMMYFUNCTION("IF($G44="""","""",IFERROR(query({proventos!$B$5:$Q310},""Select sum(Col16) where Col1 = '""&amp;$G44&amp;""' and Col2 &gt; date '""&amp;TEXT(M$8,""yyyy-mm-dd"")&amp;""' and Col2 &lt;= date '""&amp;TEXT(L$8,""yyyy-mm-dd"")&amp;""' label sum(Col16) ''"",0)))"),"")</f>
        <v/>
      </c>
      <c r="M44" s="628" t="str">
        <f>IFERROR(__xludf.DUMMYFUNCTION("IF($G44="""","""",IFERROR(query({proventos!$B$5:$Q310},""Select sum(Col16) where Col1 = '""&amp;$G44&amp;""' and Col2 &gt; date '""&amp;TEXT(N$8,""yyyy-mm-dd"")&amp;""' and Col2 &lt;= date '""&amp;TEXT(M$8,""yyyy-mm-dd"")&amp;""' label sum(Col16) ''"",0)))"),"")</f>
        <v/>
      </c>
      <c r="N44" s="628" t="str">
        <f>IFERROR(__xludf.DUMMYFUNCTION("IF($G44="""","""",IFERROR(query({proventos!$B$5:$Q310},""Select sum(Col16) where Col1 = '""&amp;$G44&amp;""' and Col2 &gt; date '""&amp;TEXT(O$8,""yyyy-mm-dd"")&amp;""' and Col2 &lt;= date '""&amp;TEXT(N$8,""yyyy-mm-dd"")&amp;""' label sum(Col16) ''"",0)))"),"")</f>
        <v/>
      </c>
      <c r="O44" s="628" t="str">
        <f>IFERROR(__xludf.DUMMYFUNCTION("IF($G44="""","""",IFERROR(query({proventos!$B$5:$Q310},""Select sum(Col16) where Col1 = '""&amp;$G44&amp;""' and Col2 &gt; date '""&amp;TEXT(P$8,""yyyy-mm-dd"")&amp;""' and Col2 &lt;= date '""&amp;TEXT(O$8,""yyyy-mm-dd"")&amp;""' label sum(Col16) ''"",0)))"),"")</f>
        <v/>
      </c>
      <c r="P44" s="628" t="str">
        <f>IFERROR(__xludf.DUMMYFUNCTION("IF($G44="""","""",IFERROR(query({proventos!$B$5:$Q310},""Select sum(Col16) where Col1 = '""&amp;$G44&amp;""' and Col2 &gt; date '""&amp;TEXT(Q$8,""yyyy-mm-dd"")&amp;""' and Col2 &lt;= date '""&amp;TEXT(P$8,""yyyy-mm-dd"")&amp;""' label sum(Col16) ''"",0)))"),"")</f>
        <v/>
      </c>
      <c r="Q44" s="628" t="str">
        <f>IFERROR(__xludf.DUMMYFUNCTION("IF($G44="""","""",IFERROR(query({proventos!$B$5:$Q310},""Select sum(Col16) where Col1 = '""&amp;$G44&amp;""' and Col2 &gt; date '""&amp;TEXT(R$8,""yyyy-mm-dd"")&amp;""' and Col2 &lt;= date '""&amp;TEXT(Q$8,""yyyy-mm-dd"")&amp;""' label sum(Col16) ''"",0)))"),"")</f>
        <v/>
      </c>
      <c r="R44" s="628" t="str">
        <f>IFERROR(__xludf.DUMMYFUNCTION("IF($G44="""","""",IFERROR(query({proventos!$B$5:$Q310},""Select sum(Col16) where Col1 = '""&amp;$G44&amp;""' and Col2 &gt; date '""&amp;TEXT(S$8,""yyyy-mm-dd"")&amp;""' and Col2 &lt;= date '""&amp;TEXT(R$8,""yyyy-mm-dd"")&amp;""' label sum(Col16) ''"",0)))"),"")</f>
        <v/>
      </c>
      <c r="S44" s="628" t="str">
        <f>IFERROR(__xludf.DUMMYFUNCTION("IF($G44="""","""",IFERROR(query({proventos!$B$5:$Q310},""Select sum(Col16) where Col1 = '""&amp;$G44&amp;""' and Col2 &gt; date '""&amp;TEXT(T$8,""yyyy-mm-dd"")&amp;""' and Col2 &lt;= date '""&amp;TEXT(S$8,""yyyy-mm-dd"")&amp;""' label sum(Col16) ''"",0)))"),"")</f>
        <v/>
      </c>
      <c r="T44" s="628" t="str">
        <f>IFERROR(__xludf.DUMMYFUNCTION("IF($G44="""","""",IFERROR(query({proventos!$B$5:$Q310},""Select sum(Col16) where Col1 = '""&amp;$G44&amp;""' and Col2 &gt; date '""&amp;TEXT(U$8,""yyyy-mm-dd"")&amp;""' and Col2 &lt;= date '""&amp;TEXT(T$8,""yyyy-mm-dd"")&amp;""' label sum(Col16) ''"",0)))"),"")</f>
        <v/>
      </c>
      <c r="U44" s="629" t="str">
        <f>IFERROR(__xludf.DUMMYFUNCTION("IF($G44="""","""",IFERROR(query({proventos!$B$5:$Q310},""Select sum(Col16) where Col1 = '""&amp;$G44&amp;""' and Col2 &gt; date '""&amp;TEXT(EOMONTH(TODAY(),-13),""yyyy-mm-dd"")&amp;""' and Col2 &lt;= date '""&amp;TEXT(U$8,""yyyy-mm-dd"")&amp;""' label sum(Col16) ''"",0)))"),"")</f>
        <v/>
      </c>
      <c r="V44" s="630" t="str">
        <f>IFERROR(__xludf.DUMMYFUNCTION("IF($G44="""","""",IFERROR(query({proventos!$B$5:$Q310},""Select sum(Col16) where Col1 = '""&amp;$G44&amp;""' and Col2 &gt; date '""&amp;TEXT(DATE(V$8,1,1),""yyyy-mm-dd"")&amp;""' and Col2 &lt;= date '""&amp;TEXT(DATE(V$8,12,31),""yyyy-mm-dd"")&amp;""' label sum(Col16) ''"",0)))"),"")</f>
        <v/>
      </c>
      <c r="W44" s="630" t="str">
        <f>IFERROR(__xludf.DUMMYFUNCTION("IF($G44="""","""",IFERROR(query({proventos!$B$5:$Q310},""Select sum(Col16) where Col1 = '""&amp;$G44&amp;""' and Col2 &gt; date '""&amp;TEXT(DATE(W$8,1,1),""yyyy-mm-dd"")&amp;""' and Col2 &lt;= date '""&amp;TEXT(DATE(W$8,12,31),""yyyy-mm-dd"")&amp;""' label sum(Col16) ''"",0)))"),"")</f>
        <v/>
      </c>
      <c r="X44" s="630" t="str">
        <f>IFERROR(__xludf.DUMMYFUNCTION("IF($G44="""","""",IFERROR(query({proventos!$B$5:$Q310},""Select sum(Col16) where Col1 = '""&amp;$G44&amp;""' and Col2 &gt; date '""&amp;TEXT(DATE(X$8,1,1),""yyyy-mm-dd"")&amp;""' and Col2 &lt;= date '""&amp;TEXT(DATE(X$8,12,31),""yyyy-mm-dd"")&amp;""' label sum(Col16) ''"",0)))"),"")</f>
        <v/>
      </c>
      <c r="Y44" s="630" t="str">
        <f>IFERROR(__xludf.DUMMYFUNCTION("IF($G44="""","""",IFERROR(query({proventos!$B$5:$Q310},""Select sum(Col16) where Col1 = '""&amp;$G44&amp;""' and Col2 &gt; date '""&amp;TEXT(DATE(Y$8,1,1),""yyyy-mm-dd"")&amp;""' and Col2 &lt;= date '""&amp;TEXT(DATE(Y$8,12,31),""yyyy-mm-dd"")&amp;""' label sum(Col16) ''"",0)))"),"")</f>
        <v/>
      </c>
      <c r="Z44" s="630" t="str">
        <f>IFERROR(__xludf.DUMMYFUNCTION("IF($G44="""","""",IFERROR(query({proventos!$B$5:$Q310},""Select sum(Col16) where Col1 = '""&amp;$G44&amp;""' and Col2 &gt; date '""&amp;TEXT(DATE(Z$8,1,1),""yyyy-mm-dd"")&amp;""' and Col2 &lt;= date '""&amp;TEXT(DATE(Z$8,12,31),""yyyy-mm-dd"")&amp;""' label sum(Col16) ''"",0)))"),"")</f>
        <v/>
      </c>
      <c r="AA44" s="587"/>
      <c r="AB44" s="578" t="s">
        <v>123</v>
      </c>
      <c r="AC44" s="601"/>
      <c r="AD44" s="636"/>
      <c r="AE44" s="636"/>
    </row>
    <row r="45">
      <c r="A45" s="619">
        <v>35.0</v>
      </c>
      <c r="B45" s="620"/>
      <c r="C45" s="632"/>
      <c r="D45" s="633"/>
      <c r="E45" s="634"/>
      <c r="F45" s="624">
        <v>35.0</v>
      </c>
      <c r="G45" s="635"/>
      <c r="H45" s="626" t="str">
        <f>if(G45="","",IFERROR(VLOOKUP(G45,AtivosDados,MATCH("provento_avg",portfolio.!$A$3:AE$3,0),FALSE),""))</f>
        <v/>
      </c>
      <c r="I45" s="627" t="s">
        <v>123</v>
      </c>
      <c r="J45" s="628" t="str">
        <f>IFERROR(__xludf.DUMMYFUNCTION("IF($G45="""","""",IFERROR(query({proventos!$B$5:$Q310},""Select sum(Col16) where Col1 = '""&amp;$G45&amp;""' and Col2 &gt; date '""&amp;TEXT(K$8,""yyyy-mm-dd"")&amp;""' and Col2 &lt;= date '""&amp;TEXT(J$8,""yyyy-mm-dd"")&amp;""' label sum(Col16) ''"",0)))"),"")</f>
        <v/>
      </c>
      <c r="K45" s="628" t="str">
        <f>IFERROR(__xludf.DUMMYFUNCTION("IF($G45="""","""",IFERROR(query({proventos!$B$5:$Q310},""Select sum(Col16) where Col1 = '""&amp;$G45&amp;""' and Col2 &gt; date '""&amp;TEXT(L$8,""yyyy-mm-dd"")&amp;""' and Col2 &lt;= date '""&amp;TEXT(K$8,""yyyy-mm-dd"")&amp;""' label sum(Col16) ''"",0)))"),"")</f>
        <v/>
      </c>
      <c r="L45" s="628" t="str">
        <f>IFERROR(__xludf.DUMMYFUNCTION("IF($G45="""","""",IFERROR(query({proventos!$B$5:$Q310},""Select sum(Col16) where Col1 = '""&amp;$G45&amp;""' and Col2 &gt; date '""&amp;TEXT(M$8,""yyyy-mm-dd"")&amp;""' and Col2 &lt;= date '""&amp;TEXT(L$8,""yyyy-mm-dd"")&amp;""' label sum(Col16) ''"",0)))"),"")</f>
        <v/>
      </c>
      <c r="M45" s="628" t="str">
        <f>IFERROR(__xludf.DUMMYFUNCTION("IF($G45="""","""",IFERROR(query({proventos!$B$5:$Q310},""Select sum(Col16) where Col1 = '""&amp;$G45&amp;""' and Col2 &gt; date '""&amp;TEXT(N$8,""yyyy-mm-dd"")&amp;""' and Col2 &lt;= date '""&amp;TEXT(M$8,""yyyy-mm-dd"")&amp;""' label sum(Col16) ''"",0)))"),"")</f>
        <v/>
      </c>
      <c r="N45" s="628" t="str">
        <f>IFERROR(__xludf.DUMMYFUNCTION("IF($G45="""","""",IFERROR(query({proventos!$B$5:$Q310},""Select sum(Col16) where Col1 = '""&amp;$G45&amp;""' and Col2 &gt; date '""&amp;TEXT(O$8,""yyyy-mm-dd"")&amp;""' and Col2 &lt;= date '""&amp;TEXT(N$8,""yyyy-mm-dd"")&amp;""' label sum(Col16) ''"",0)))"),"")</f>
        <v/>
      </c>
      <c r="O45" s="628" t="str">
        <f>IFERROR(__xludf.DUMMYFUNCTION("IF($G45="""","""",IFERROR(query({proventos!$B$5:$Q310},""Select sum(Col16) where Col1 = '""&amp;$G45&amp;""' and Col2 &gt; date '""&amp;TEXT(P$8,""yyyy-mm-dd"")&amp;""' and Col2 &lt;= date '""&amp;TEXT(O$8,""yyyy-mm-dd"")&amp;""' label sum(Col16) ''"",0)))"),"")</f>
        <v/>
      </c>
      <c r="P45" s="628" t="str">
        <f>IFERROR(__xludf.DUMMYFUNCTION("IF($G45="""","""",IFERROR(query({proventos!$B$5:$Q310},""Select sum(Col16) where Col1 = '""&amp;$G45&amp;""' and Col2 &gt; date '""&amp;TEXT(Q$8,""yyyy-mm-dd"")&amp;""' and Col2 &lt;= date '""&amp;TEXT(P$8,""yyyy-mm-dd"")&amp;""' label sum(Col16) ''"",0)))"),"")</f>
        <v/>
      </c>
      <c r="Q45" s="628" t="str">
        <f>IFERROR(__xludf.DUMMYFUNCTION("IF($G45="""","""",IFERROR(query({proventos!$B$5:$Q310},""Select sum(Col16) where Col1 = '""&amp;$G45&amp;""' and Col2 &gt; date '""&amp;TEXT(R$8,""yyyy-mm-dd"")&amp;""' and Col2 &lt;= date '""&amp;TEXT(Q$8,""yyyy-mm-dd"")&amp;""' label sum(Col16) ''"",0)))"),"")</f>
        <v/>
      </c>
      <c r="R45" s="628" t="str">
        <f>IFERROR(__xludf.DUMMYFUNCTION("IF($G45="""","""",IFERROR(query({proventos!$B$5:$Q310},""Select sum(Col16) where Col1 = '""&amp;$G45&amp;""' and Col2 &gt; date '""&amp;TEXT(S$8,""yyyy-mm-dd"")&amp;""' and Col2 &lt;= date '""&amp;TEXT(R$8,""yyyy-mm-dd"")&amp;""' label sum(Col16) ''"",0)))"),"")</f>
        <v/>
      </c>
      <c r="S45" s="628" t="str">
        <f>IFERROR(__xludf.DUMMYFUNCTION("IF($G45="""","""",IFERROR(query({proventos!$B$5:$Q310},""Select sum(Col16) where Col1 = '""&amp;$G45&amp;""' and Col2 &gt; date '""&amp;TEXT(T$8,""yyyy-mm-dd"")&amp;""' and Col2 &lt;= date '""&amp;TEXT(S$8,""yyyy-mm-dd"")&amp;""' label sum(Col16) ''"",0)))"),"")</f>
        <v/>
      </c>
      <c r="T45" s="628" t="str">
        <f>IFERROR(__xludf.DUMMYFUNCTION("IF($G45="""","""",IFERROR(query({proventos!$B$5:$Q310},""Select sum(Col16) where Col1 = '""&amp;$G45&amp;""' and Col2 &gt; date '""&amp;TEXT(U$8,""yyyy-mm-dd"")&amp;""' and Col2 &lt;= date '""&amp;TEXT(T$8,""yyyy-mm-dd"")&amp;""' label sum(Col16) ''"",0)))"),"")</f>
        <v/>
      </c>
      <c r="U45" s="629" t="str">
        <f>IFERROR(__xludf.DUMMYFUNCTION("IF($G45="""","""",IFERROR(query({proventos!$B$5:$Q310},""Select sum(Col16) where Col1 = '""&amp;$G45&amp;""' and Col2 &gt; date '""&amp;TEXT(EOMONTH(TODAY(),-13),""yyyy-mm-dd"")&amp;""' and Col2 &lt;= date '""&amp;TEXT(U$8,""yyyy-mm-dd"")&amp;""' label sum(Col16) ''"",0)))"),"")</f>
        <v/>
      </c>
      <c r="V45" s="630" t="str">
        <f>IFERROR(__xludf.DUMMYFUNCTION("IF($G45="""","""",IFERROR(query({proventos!$B$5:$Q310},""Select sum(Col16) where Col1 = '""&amp;$G45&amp;""' and Col2 &gt; date '""&amp;TEXT(DATE(V$8,1,1),""yyyy-mm-dd"")&amp;""' and Col2 &lt;= date '""&amp;TEXT(DATE(V$8,12,31),""yyyy-mm-dd"")&amp;""' label sum(Col16) ''"",0)))"),"")</f>
        <v/>
      </c>
      <c r="W45" s="630" t="str">
        <f>IFERROR(__xludf.DUMMYFUNCTION("IF($G45="""","""",IFERROR(query({proventos!$B$5:$Q310},""Select sum(Col16) where Col1 = '""&amp;$G45&amp;""' and Col2 &gt; date '""&amp;TEXT(DATE(W$8,1,1),""yyyy-mm-dd"")&amp;""' and Col2 &lt;= date '""&amp;TEXT(DATE(W$8,12,31),""yyyy-mm-dd"")&amp;""' label sum(Col16) ''"",0)))"),"")</f>
        <v/>
      </c>
      <c r="X45" s="630" t="str">
        <f>IFERROR(__xludf.DUMMYFUNCTION("IF($G45="""","""",IFERROR(query({proventos!$B$5:$Q310},""Select sum(Col16) where Col1 = '""&amp;$G45&amp;""' and Col2 &gt; date '""&amp;TEXT(DATE(X$8,1,1),""yyyy-mm-dd"")&amp;""' and Col2 &lt;= date '""&amp;TEXT(DATE(X$8,12,31),""yyyy-mm-dd"")&amp;""' label sum(Col16) ''"",0)))"),"")</f>
        <v/>
      </c>
      <c r="Y45" s="630" t="str">
        <f>IFERROR(__xludf.DUMMYFUNCTION("IF($G45="""","""",IFERROR(query({proventos!$B$5:$Q310},""Select sum(Col16) where Col1 = '""&amp;$G45&amp;""' and Col2 &gt; date '""&amp;TEXT(DATE(Y$8,1,1),""yyyy-mm-dd"")&amp;""' and Col2 &lt;= date '""&amp;TEXT(DATE(Y$8,12,31),""yyyy-mm-dd"")&amp;""' label sum(Col16) ''"",0)))"),"")</f>
        <v/>
      </c>
      <c r="Z45" s="630" t="str">
        <f>IFERROR(__xludf.DUMMYFUNCTION("IF($G45="""","""",IFERROR(query({proventos!$B$5:$Q310},""Select sum(Col16) where Col1 = '""&amp;$G45&amp;""' and Col2 &gt; date '""&amp;TEXT(DATE(Z$8,1,1),""yyyy-mm-dd"")&amp;""' and Col2 &lt;= date '""&amp;TEXT(DATE(Z$8,12,31),""yyyy-mm-dd"")&amp;""' label sum(Col16) ''"",0)))"),"")</f>
        <v/>
      </c>
      <c r="AA45" s="587"/>
      <c r="AB45" s="578" t="s">
        <v>123</v>
      </c>
      <c r="AC45" s="601"/>
      <c r="AD45" s="636"/>
      <c r="AE45" s="636"/>
    </row>
    <row r="46">
      <c r="A46" s="619">
        <v>36.0</v>
      </c>
      <c r="B46" s="620"/>
      <c r="C46" s="632"/>
      <c r="D46" s="633"/>
      <c r="E46" s="634"/>
      <c r="F46" s="624">
        <v>36.0</v>
      </c>
      <c r="G46" s="635"/>
      <c r="H46" s="626" t="str">
        <f>if(G46="","",IFERROR(VLOOKUP(G46,AtivosDados,MATCH("provento_avg",portfolio.!$A$3:AE$3,0),FALSE),""))</f>
        <v/>
      </c>
      <c r="I46" s="627" t="s">
        <v>123</v>
      </c>
      <c r="J46" s="628" t="str">
        <f>IFERROR(__xludf.DUMMYFUNCTION("IF($G46="""","""",IFERROR(query({proventos!$B$5:$Q310},""Select sum(Col16) where Col1 = '""&amp;$G46&amp;""' and Col2 &gt; date '""&amp;TEXT(K$8,""yyyy-mm-dd"")&amp;""' and Col2 &lt;= date '""&amp;TEXT(J$8,""yyyy-mm-dd"")&amp;""' label sum(Col16) ''"",0)))"),"")</f>
        <v/>
      </c>
      <c r="K46" s="628" t="str">
        <f>IFERROR(__xludf.DUMMYFUNCTION("IF($G46="""","""",IFERROR(query({proventos!$B$5:$Q310},""Select sum(Col16) where Col1 = '""&amp;$G46&amp;""' and Col2 &gt; date '""&amp;TEXT(L$8,""yyyy-mm-dd"")&amp;""' and Col2 &lt;= date '""&amp;TEXT(K$8,""yyyy-mm-dd"")&amp;""' label sum(Col16) ''"",0)))"),"")</f>
        <v/>
      </c>
      <c r="L46" s="628" t="str">
        <f>IFERROR(__xludf.DUMMYFUNCTION("IF($G46="""","""",IFERROR(query({proventos!$B$5:$Q310},""Select sum(Col16) where Col1 = '""&amp;$G46&amp;""' and Col2 &gt; date '""&amp;TEXT(M$8,""yyyy-mm-dd"")&amp;""' and Col2 &lt;= date '""&amp;TEXT(L$8,""yyyy-mm-dd"")&amp;""' label sum(Col16) ''"",0)))"),"")</f>
        <v/>
      </c>
      <c r="M46" s="628" t="str">
        <f>IFERROR(__xludf.DUMMYFUNCTION("IF($G46="""","""",IFERROR(query({proventos!$B$5:$Q310},""Select sum(Col16) where Col1 = '""&amp;$G46&amp;""' and Col2 &gt; date '""&amp;TEXT(N$8,""yyyy-mm-dd"")&amp;""' and Col2 &lt;= date '""&amp;TEXT(M$8,""yyyy-mm-dd"")&amp;""' label sum(Col16) ''"",0)))"),"")</f>
        <v/>
      </c>
      <c r="N46" s="628" t="str">
        <f>IFERROR(__xludf.DUMMYFUNCTION("IF($G46="""","""",IFERROR(query({proventos!$B$5:$Q310},""Select sum(Col16) where Col1 = '""&amp;$G46&amp;""' and Col2 &gt; date '""&amp;TEXT(O$8,""yyyy-mm-dd"")&amp;""' and Col2 &lt;= date '""&amp;TEXT(N$8,""yyyy-mm-dd"")&amp;""' label sum(Col16) ''"",0)))"),"")</f>
        <v/>
      </c>
      <c r="O46" s="628" t="str">
        <f>IFERROR(__xludf.DUMMYFUNCTION("IF($G46="""","""",IFERROR(query({proventos!$B$5:$Q310},""Select sum(Col16) where Col1 = '""&amp;$G46&amp;""' and Col2 &gt; date '""&amp;TEXT(P$8,""yyyy-mm-dd"")&amp;""' and Col2 &lt;= date '""&amp;TEXT(O$8,""yyyy-mm-dd"")&amp;""' label sum(Col16) ''"",0)))"),"")</f>
        <v/>
      </c>
      <c r="P46" s="628" t="str">
        <f>IFERROR(__xludf.DUMMYFUNCTION("IF($G46="""","""",IFERROR(query({proventos!$B$5:$Q310},""Select sum(Col16) where Col1 = '""&amp;$G46&amp;""' and Col2 &gt; date '""&amp;TEXT(Q$8,""yyyy-mm-dd"")&amp;""' and Col2 &lt;= date '""&amp;TEXT(P$8,""yyyy-mm-dd"")&amp;""' label sum(Col16) ''"",0)))"),"")</f>
        <v/>
      </c>
      <c r="Q46" s="628" t="str">
        <f>IFERROR(__xludf.DUMMYFUNCTION("IF($G46="""","""",IFERROR(query({proventos!$B$5:$Q310},""Select sum(Col16) where Col1 = '""&amp;$G46&amp;""' and Col2 &gt; date '""&amp;TEXT(R$8,""yyyy-mm-dd"")&amp;""' and Col2 &lt;= date '""&amp;TEXT(Q$8,""yyyy-mm-dd"")&amp;""' label sum(Col16) ''"",0)))"),"")</f>
        <v/>
      </c>
      <c r="R46" s="628" t="str">
        <f>IFERROR(__xludf.DUMMYFUNCTION("IF($G46="""","""",IFERROR(query({proventos!$B$5:$Q310},""Select sum(Col16) where Col1 = '""&amp;$G46&amp;""' and Col2 &gt; date '""&amp;TEXT(S$8,""yyyy-mm-dd"")&amp;""' and Col2 &lt;= date '""&amp;TEXT(R$8,""yyyy-mm-dd"")&amp;""' label sum(Col16) ''"",0)))"),"")</f>
        <v/>
      </c>
      <c r="S46" s="628" t="str">
        <f>IFERROR(__xludf.DUMMYFUNCTION("IF($G46="""","""",IFERROR(query({proventos!$B$5:$Q310},""Select sum(Col16) where Col1 = '""&amp;$G46&amp;""' and Col2 &gt; date '""&amp;TEXT(T$8,""yyyy-mm-dd"")&amp;""' and Col2 &lt;= date '""&amp;TEXT(S$8,""yyyy-mm-dd"")&amp;""' label sum(Col16) ''"",0)))"),"")</f>
        <v/>
      </c>
      <c r="T46" s="628" t="str">
        <f>IFERROR(__xludf.DUMMYFUNCTION("IF($G46="""","""",IFERROR(query({proventos!$B$5:$Q310},""Select sum(Col16) where Col1 = '""&amp;$G46&amp;""' and Col2 &gt; date '""&amp;TEXT(U$8,""yyyy-mm-dd"")&amp;""' and Col2 &lt;= date '""&amp;TEXT(T$8,""yyyy-mm-dd"")&amp;""' label sum(Col16) ''"",0)))"),"")</f>
        <v/>
      </c>
      <c r="U46" s="629" t="str">
        <f>IFERROR(__xludf.DUMMYFUNCTION("IF($G46="""","""",IFERROR(query({proventos!$B$5:$Q310},""Select sum(Col16) where Col1 = '""&amp;$G46&amp;""' and Col2 &gt; date '""&amp;TEXT(EOMONTH(TODAY(),-13),""yyyy-mm-dd"")&amp;""' and Col2 &lt;= date '""&amp;TEXT(U$8,""yyyy-mm-dd"")&amp;""' label sum(Col16) ''"",0)))"),"")</f>
        <v/>
      </c>
      <c r="V46" s="630" t="str">
        <f>IFERROR(__xludf.DUMMYFUNCTION("IF($G46="""","""",IFERROR(query({proventos!$B$5:$Q310},""Select sum(Col16) where Col1 = '""&amp;$G46&amp;""' and Col2 &gt; date '""&amp;TEXT(DATE(V$8,1,1),""yyyy-mm-dd"")&amp;""' and Col2 &lt;= date '""&amp;TEXT(DATE(V$8,12,31),""yyyy-mm-dd"")&amp;""' label sum(Col16) ''"",0)))"),"")</f>
        <v/>
      </c>
      <c r="W46" s="630" t="str">
        <f>IFERROR(__xludf.DUMMYFUNCTION("IF($G46="""","""",IFERROR(query({proventos!$B$5:$Q310},""Select sum(Col16) where Col1 = '""&amp;$G46&amp;""' and Col2 &gt; date '""&amp;TEXT(DATE(W$8,1,1),""yyyy-mm-dd"")&amp;""' and Col2 &lt;= date '""&amp;TEXT(DATE(W$8,12,31),""yyyy-mm-dd"")&amp;""' label sum(Col16) ''"",0)))"),"")</f>
        <v/>
      </c>
      <c r="X46" s="630" t="str">
        <f>IFERROR(__xludf.DUMMYFUNCTION("IF($G46="""","""",IFERROR(query({proventos!$B$5:$Q310},""Select sum(Col16) where Col1 = '""&amp;$G46&amp;""' and Col2 &gt; date '""&amp;TEXT(DATE(X$8,1,1),""yyyy-mm-dd"")&amp;""' and Col2 &lt;= date '""&amp;TEXT(DATE(X$8,12,31),""yyyy-mm-dd"")&amp;""' label sum(Col16) ''"",0)))"),"")</f>
        <v/>
      </c>
      <c r="Y46" s="630" t="str">
        <f>IFERROR(__xludf.DUMMYFUNCTION("IF($G46="""","""",IFERROR(query({proventos!$B$5:$Q310},""Select sum(Col16) where Col1 = '""&amp;$G46&amp;""' and Col2 &gt; date '""&amp;TEXT(DATE(Y$8,1,1),""yyyy-mm-dd"")&amp;""' and Col2 &lt;= date '""&amp;TEXT(DATE(Y$8,12,31),""yyyy-mm-dd"")&amp;""' label sum(Col16) ''"",0)))"),"")</f>
        <v/>
      </c>
      <c r="Z46" s="630" t="str">
        <f>IFERROR(__xludf.DUMMYFUNCTION("IF($G46="""","""",IFERROR(query({proventos!$B$5:$Q310},""Select sum(Col16) where Col1 = '""&amp;$G46&amp;""' and Col2 &gt; date '""&amp;TEXT(DATE(Z$8,1,1),""yyyy-mm-dd"")&amp;""' and Col2 &lt;= date '""&amp;TEXT(DATE(Z$8,12,31),""yyyy-mm-dd"")&amp;""' label sum(Col16) ''"",0)))"),"")</f>
        <v/>
      </c>
      <c r="AA46" s="587"/>
      <c r="AB46" s="578" t="s">
        <v>123</v>
      </c>
      <c r="AC46" s="601"/>
      <c r="AD46" s="636"/>
      <c r="AE46" s="636"/>
    </row>
    <row r="47">
      <c r="A47" s="619">
        <v>37.0</v>
      </c>
      <c r="B47" s="620"/>
      <c r="C47" s="632"/>
      <c r="D47" s="633"/>
      <c r="E47" s="634"/>
      <c r="F47" s="624">
        <v>37.0</v>
      </c>
      <c r="G47" s="635"/>
      <c r="H47" s="626" t="str">
        <f>if(G47="","",IFERROR(VLOOKUP(G47,AtivosDados,MATCH("provento_avg",portfolio.!$A$3:AE$3,0),FALSE),""))</f>
        <v/>
      </c>
      <c r="I47" s="627" t="s">
        <v>123</v>
      </c>
      <c r="J47" s="628" t="str">
        <f>IFERROR(__xludf.DUMMYFUNCTION("IF($G47="""","""",IFERROR(query({proventos!$B$5:$Q310},""Select sum(Col16) where Col1 = '""&amp;$G47&amp;""' and Col2 &gt; date '""&amp;TEXT(K$8,""yyyy-mm-dd"")&amp;""' and Col2 &lt;= date '""&amp;TEXT(J$8,""yyyy-mm-dd"")&amp;""' label sum(Col16) ''"",0)))"),"")</f>
        <v/>
      </c>
      <c r="K47" s="628" t="str">
        <f>IFERROR(__xludf.DUMMYFUNCTION("IF($G47="""","""",IFERROR(query({proventos!$B$5:$Q310},""Select sum(Col16) where Col1 = '""&amp;$G47&amp;""' and Col2 &gt; date '""&amp;TEXT(L$8,""yyyy-mm-dd"")&amp;""' and Col2 &lt;= date '""&amp;TEXT(K$8,""yyyy-mm-dd"")&amp;""' label sum(Col16) ''"",0)))"),"")</f>
        <v/>
      </c>
      <c r="L47" s="628" t="str">
        <f>IFERROR(__xludf.DUMMYFUNCTION("IF($G47="""","""",IFERROR(query({proventos!$B$5:$Q310},""Select sum(Col16) where Col1 = '""&amp;$G47&amp;""' and Col2 &gt; date '""&amp;TEXT(M$8,""yyyy-mm-dd"")&amp;""' and Col2 &lt;= date '""&amp;TEXT(L$8,""yyyy-mm-dd"")&amp;""' label sum(Col16) ''"",0)))"),"")</f>
        <v/>
      </c>
      <c r="M47" s="628" t="str">
        <f>IFERROR(__xludf.DUMMYFUNCTION("IF($G47="""","""",IFERROR(query({proventos!$B$5:$Q310},""Select sum(Col16) where Col1 = '""&amp;$G47&amp;""' and Col2 &gt; date '""&amp;TEXT(N$8,""yyyy-mm-dd"")&amp;""' and Col2 &lt;= date '""&amp;TEXT(M$8,""yyyy-mm-dd"")&amp;""' label sum(Col16) ''"",0)))"),"")</f>
        <v/>
      </c>
      <c r="N47" s="628" t="str">
        <f>IFERROR(__xludf.DUMMYFUNCTION("IF($G47="""","""",IFERROR(query({proventos!$B$5:$Q310},""Select sum(Col16) where Col1 = '""&amp;$G47&amp;""' and Col2 &gt; date '""&amp;TEXT(O$8,""yyyy-mm-dd"")&amp;""' and Col2 &lt;= date '""&amp;TEXT(N$8,""yyyy-mm-dd"")&amp;""' label sum(Col16) ''"",0)))"),"")</f>
        <v/>
      </c>
      <c r="O47" s="628" t="str">
        <f>IFERROR(__xludf.DUMMYFUNCTION("IF($G47="""","""",IFERROR(query({proventos!$B$5:$Q310},""Select sum(Col16) where Col1 = '""&amp;$G47&amp;""' and Col2 &gt; date '""&amp;TEXT(P$8,""yyyy-mm-dd"")&amp;""' and Col2 &lt;= date '""&amp;TEXT(O$8,""yyyy-mm-dd"")&amp;""' label sum(Col16) ''"",0)))"),"")</f>
        <v/>
      </c>
      <c r="P47" s="628" t="str">
        <f>IFERROR(__xludf.DUMMYFUNCTION("IF($G47="""","""",IFERROR(query({proventos!$B$5:$Q310},""Select sum(Col16) where Col1 = '""&amp;$G47&amp;""' and Col2 &gt; date '""&amp;TEXT(Q$8,""yyyy-mm-dd"")&amp;""' and Col2 &lt;= date '""&amp;TEXT(P$8,""yyyy-mm-dd"")&amp;""' label sum(Col16) ''"",0)))"),"")</f>
        <v/>
      </c>
      <c r="Q47" s="628" t="str">
        <f>IFERROR(__xludf.DUMMYFUNCTION("IF($G47="""","""",IFERROR(query({proventos!$B$5:$Q310},""Select sum(Col16) where Col1 = '""&amp;$G47&amp;""' and Col2 &gt; date '""&amp;TEXT(R$8,""yyyy-mm-dd"")&amp;""' and Col2 &lt;= date '""&amp;TEXT(Q$8,""yyyy-mm-dd"")&amp;""' label sum(Col16) ''"",0)))"),"")</f>
        <v/>
      </c>
      <c r="R47" s="628" t="str">
        <f>IFERROR(__xludf.DUMMYFUNCTION("IF($G47="""","""",IFERROR(query({proventos!$B$5:$Q310},""Select sum(Col16) where Col1 = '""&amp;$G47&amp;""' and Col2 &gt; date '""&amp;TEXT(S$8,""yyyy-mm-dd"")&amp;""' and Col2 &lt;= date '""&amp;TEXT(R$8,""yyyy-mm-dd"")&amp;""' label sum(Col16) ''"",0)))"),"")</f>
        <v/>
      </c>
      <c r="S47" s="628" t="str">
        <f>IFERROR(__xludf.DUMMYFUNCTION("IF($G47="""","""",IFERROR(query({proventos!$B$5:$Q310},""Select sum(Col16) where Col1 = '""&amp;$G47&amp;""' and Col2 &gt; date '""&amp;TEXT(T$8,""yyyy-mm-dd"")&amp;""' and Col2 &lt;= date '""&amp;TEXT(S$8,""yyyy-mm-dd"")&amp;""' label sum(Col16) ''"",0)))"),"")</f>
        <v/>
      </c>
      <c r="T47" s="628" t="str">
        <f>IFERROR(__xludf.DUMMYFUNCTION("IF($G47="""","""",IFERROR(query({proventos!$B$5:$Q310},""Select sum(Col16) where Col1 = '""&amp;$G47&amp;""' and Col2 &gt; date '""&amp;TEXT(U$8,""yyyy-mm-dd"")&amp;""' and Col2 &lt;= date '""&amp;TEXT(T$8,""yyyy-mm-dd"")&amp;""' label sum(Col16) ''"",0)))"),"")</f>
        <v/>
      </c>
      <c r="U47" s="629" t="str">
        <f>IFERROR(__xludf.DUMMYFUNCTION("IF($G47="""","""",IFERROR(query({proventos!$B$5:$Q310},""Select sum(Col16) where Col1 = '""&amp;$G47&amp;""' and Col2 &gt; date '""&amp;TEXT(EOMONTH(TODAY(),-13),""yyyy-mm-dd"")&amp;""' and Col2 &lt;= date '""&amp;TEXT(U$8,""yyyy-mm-dd"")&amp;""' label sum(Col16) ''"",0)))"),"")</f>
        <v/>
      </c>
      <c r="V47" s="630" t="str">
        <f>IFERROR(__xludf.DUMMYFUNCTION("IF($G47="""","""",IFERROR(query({proventos!$B$5:$Q310},""Select sum(Col16) where Col1 = '""&amp;$G47&amp;""' and Col2 &gt; date '""&amp;TEXT(DATE(V$8,1,1),""yyyy-mm-dd"")&amp;""' and Col2 &lt;= date '""&amp;TEXT(DATE(V$8,12,31),""yyyy-mm-dd"")&amp;""' label sum(Col16) ''"",0)))"),"")</f>
        <v/>
      </c>
      <c r="W47" s="630" t="str">
        <f>IFERROR(__xludf.DUMMYFUNCTION("IF($G47="""","""",IFERROR(query({proventos!$B$5:$Q310},""Select sum(Col16) where Col1 = '""&amp;$G47&amp;""' and Col2 &gt; date '""&amp;TEXT(DATE(W$8,1,1),""yyyy-mm-dd"")&amp;""' and Col2 &lt;= date '""&amp;TEXT(DATE(W$8,12,31),""yyyy-mm-dd"")&amp;""' label sum(Col16) ''"",0)))"),"")</f>
        <v/>
      </c>
      <c r="X47" s="630" t="str">
        <f>IFERROR(__xludf.DUMMYFUNCTION("IF($G47="""","""",IFERROR(query({proventos!$B$5:$Q310},""Select sum(Col16) where Col1 = '""&amp;$G47&amp;""' and Col2 &gt; date '""&amp;TEXT(DATE(X$8,1,1),""yyyy-mm-dd"")&amp;""' and Col2 &lt;= date '""&amp;TEXT(DATE(X$8,12,31),""yyyy-mm-dd"")&amp;""' label sum(Col16) ''"",0)))"),"")</f>
        <v/>
      </c>
      <c r="Y47" s="630" t="str">
        <f>IFERROR(__xludf.DUMMYFUNCTION("IF($G47="""","""",IFERROR(query({proventos!$B$5:$Q310},""Select sum(Col16) where Col1 = '""&amp;$G47&amp;""' and Col2 &gt; date '""&amp;TEXT(DATE(Y$8,1,1),""yyyy-mm-dd"")&amp;""' and Col2 &lt;= date '""&amp;TEXT(DATE(Y$8,12,31),""yyyy-mm-dd"")&amp;""' label sum(Col16) ''"",0)))"),"")</f>
        <v/>
      </c>
      <c r="Z47" s="630" t="str">
        <f>IFERROR(__xludf.DUMMYFUNCTION("IF($G47="""","""",IFERROR(query({proventos!$B$5:$Q310},""Select sum(Col16) where Col1 = '""&amp;$G47&amp;""' and Col2 &gt; date '""&amp;TEXT(DATE(Z$8,1,1),""yyyy-mm-dd"")&amp;""' and Col2 &lt;= date '""&amp;TEXT(DATE(Z$8,12,31),""yyyy-mm-dd"")&amp;""' label sum(Col16) ''"",0)))"),"")</f>
        <v/>
      </c>
      <c r="AA47" s="587"/>
      <c r="AB47" s="578" t="s">
        <v>123</v>
      </c>
      <c r="AC47" s="601"/>
      <c r="AD47" s="636"/>
      <c r="AE47" s="636"/>
    </row>
    <row r="48">
      <c r="A48" s="619">
        <v>38.0</v>
      </c>
      <c r="B48" s="620"/>
      <c r="C48" s="632"/>
      <c r="D48" s="633"/>
      <c r="E48" s="634"/>
      <c r="F48" s="624">
        <v>38.0</v>
      </c>
      <c r="G48" s="635"/>
      <c r="H48" s="626" t="str">
        <f>if(G48="","",IFERROR(VLOOKUP(G48,AtivosDados,MATCH("provento_avg",portfolio.!$A$3:AE$3,0),FALSE),""))</f>
        <v/>
      </c>
      <c r="I48" s="627" t="s">
        <v>123</v>
      </c>
      <c r="J48" s="628" t="str">
        <f>IFERROR(__xludf.DUMMYFUNCTION("IF($G48="""","""",IFERROR(query({proventos!$B$5:$Q310},""Select sum(Col16) where Col1 = '""&amp;$G48&amp;""' and Col2 &gt; date '""&amp;TEXT(K$8,""yyyy-mm-dd"")&amp;""' and Col2 &lt;= date '""&amp;TEXT(J$8,""yyyy-mm-dd"")&amp;""' label sum(Col16) ''"",0)))"),"")</f>
        <v/>
      </c>
      <c r="K48" s="628" t="str">
        <f>IFERROR(__xludf.DUMMYFUNCTION("IF($G48="""","""",IFERROR(query({proventos!$B$5:$Q310},""Select sum(Col16) where Col1 = '""&amp;$G48&amp;""' and Col2 &gt; date '""&amp;TEXT(L$8,""yyyy-mm-dd"")&amp;""' and Col2 &lt;= date '""&amp;TEXT(K$8,""yyyy-mm-dd"")&amp;""' label sum(Col16) ''"",0)))"),"")</f>
        <v/>
      </c>
      <c r="L48" s="628" t="str">
        <f>IFERROR(__xludf.DUMMYFUNCTION("IF($G48="""","""",IFERROR(query({proventos!$B$5:$Q310},""Select sum(Col16) where Col1 = '""&amp;$G48&amp;""' and Col2 &gt; date '""&amp;TEXT(M$8,""yyyy-mm-dd"")&amp;""' and Col2 &lt;= date '""&amp;TEXT(L$8,""yyyy-mm-dd"")&amp;""' label sum(Col16) ''"",0)))"),"")</f>
        <v/>
      </c>
      <c r="M48" s="628" t="str">
        <f>IFERROR(__xludf.DUMMYFUNCTION("IF($G48="""","""",IFERROR(query({proventos!$B$5:$Q310},""Select sum(Col16) where Col1 = '""&amp;$G48&amp;""' and Col2 &gt; date '""&amp;TEXT(N$8,""yyyy-mm-dd"")&amp;""' and Col2 &lt;= date '""&amp;TEXT(M$8,""yyyy-mm-dd"")&amp;""' label sum(Col16) ''"",0)))"),"")</f>
        <v/>
      </c>
      <c r="N48" s="628" t="str">
        <f>IFERROR(__xludf.DUMMYFUNCTION("IF($G48="""","""",IFERROR(query({proventos!$B$5:$Q310},""Select sum(Col16) where Col1 = '""&amp;$G48&amp;""' and Col2 &gt; date '""&amp;TEXT(O$8,""yyyy-mm-dd"")&amp;""' and Col2 &lt;= date '""&amp;TEXT(N$8,""yyyy-mm-dd"")&amp;""' label sum(Col16) ''"",0)))"),"")</f>
        <v/>
      </c>
      <c r="O48" s="628" t="str">
        <f>IFERROR(__xludf.DUMMYFUNCTION("IF($G48="""","""",IFERROR(query({proventos!$B$5:$Q310},""Select sum(Col16) where Col1 = '""&amp;$G48&amp;""' and Col2 &gt; date '""&amp;TEXT(P$8,""yyyy-mm-dd"")&amp;""' and Col2 &lt;= date '""&amp;TEXT(O$8,""yyyy-mm-dd"")&amp;""' label sum(Col16) ''"",0)))"),"")</f>
        <v/>
      </c>
      <c r="P48" s="628" t="str">
        <f>IFERROR(__xludf.DUMMYFUNCTION("IF($G48="""","""",IFERROR(query({proventos!$B$5:$Q310},""Select sum(Col16) where Col1 = '""&amp;$G48&amp;""' and Col2 &gt; date '""&amp;TEXT(Q$8,""yyyy-mm-dd"")&amp;""' and Col2 &lt;= date '""&amp;TEXT(P$8,""yyyy-mm-dd"")&amp;""' label sum(Col16) ''"",0)))"),"")</f>
        <v/>
      </c>
      <c r="Q48" s="628" t="str">
        <f>IFERROR(__xludf.DUMMYFUNCTION("IF($G48="""","""",IFERROR(query({proventos!$B$5:$Q310},""Select sum(Col16) where Col1 = '""&amp;$G48&amp;""' and Col2 &gt; date '""&amp;TEXT(R$8,""yyyy-mm-dd"")&amp;""' and Col2 &lt;= date '""&amp;TEXT(Q$8,""yyyy-mm-dd"")&amp;""' label sum(Col16) ''"",0)))"),"")</f>
        <v/>
      </c>
      <c r="R48" s="628" t="str">
        <f>IFERROR(__xludf.DUMMYFUNCTION("IF($G48="""","""",IFERROR(query({proventos!$B$5:$Q310},""Select sum(Col16) where Col1 = '""&amp;$G48&amp;""' and Col2 &gt; date '""&amp;TEXT(S$8,""yyyy-mm-dd"")&amp;""' and Col2 &lt;= date '""&amp;TEXT(R$8,""yyyy-mm-dd"")&amp;""' label sum(Col16) ''"",0)))"),"")</f>
        <v/>
      </c>
      <c r="S48" s="628" t="str">
        <f>IFERROR(__xludf.DUMMYFUNCTION("IF($G48="""","""",IFERROR(query({proventos!$B$5:$Q310},""Select sum(Col16) where Col1 = '""&amp;$G48&amp;""' and Col2 &gt; date '""&amp;TEXT(T$8,""yyyy-mm-dd"")&amp;""' and Col2 &lt;= date '""&amp;TEXT(S$8,""yyyy-mm-dd"")&amp;""' label sum(Col16) ''"",0)))"),"")</f>
        <v/>
      </c>
      <c r="T48" s="628" t="str">
        <f>IFERROR(__xludf.DUMMYFUNCTION("IF($G48="""","""",IFERROR(query({proventos!$B$5:$Q310},""Select sum(Col16) where Col1 = '""&amp;$G48&amp;""' and Col2 &gt; date '""&amp;TEXT(U$8,""yyyy-mm-dd"")&amp;""' and Col2 &lt;= date '""&amp;TEXT(T$8,""yyyy-mm-dd"")&amp;""' label sum(Col16) ''"",0)))"),"")</f>
        <v/>
      </c>
      <c r="U48" s="629" t="str">
        <f>IFERROR(__xludf.DUMMYFUNCTION("IF($G48="""","""",IFERROR(query({proventos!$B$5:$Q310},""Select sum(Col16) where Col1 = '""&amp;$G48&amp;""' and Col2 &gt; date '""&amp;TEXT(EOMONTH(TODAY(),-13),""yyyy-mm-dd"")&amp;""' and Col2 &lt;= date '""&amp;TEXT(U$8,""yyyy-mm-dd"")&amp;""' label sum(Col16) ''"",0)))"),"")</f>
        <v/>
      </c>
      <c r="V48" s="630" t="str">
        <f>IFERROR(__xludf.DUMMYFUNCTION("IF($G48="""","""",IFERROR(query({proventos!$B$5:$Q310},""Select sum(Col16) where Col1 = '""&amp;$G48&amp;""' and Col2 &gt; date '""&amp;TEXT(DATE(V$8,1,1),""yyyy-mm-dd"")&amp;""' and Col2 &lt;= date '""&amp;TEXT(DATE(V$8,12,31),""yyyy-mm-dd"")&amp;""' label sum(Col16) ''"",0)))"),"")</f>
        <v/>
      </c>
      <c r="W48" s="630" t="str">
        <f>IFERROR(__xludf.DUMMYFUNCTION("IF($G48="""","""",IFERROR(query({proventos!$B$5:$Q310},""Select sum(Col16) where Col1 = '""&amp;$G48&amp;""' and Col2 &gt; date '""&amp;TEXT(DATE(W$8,1,1),""yyyy-mm-dd"")&amp;""' and Col2 &lt;= date '""&amp;TEXT(DATE(W$8,12,31),""yyyy-mm-dd"")&amp;""' label sum(Col16) ''"",0)))"),"")</f>
        <v/>
      </c>
      <c r="X48" s="630" t="str">
        <f>IFERROR(__xludf.DUMMYFUNCTION("IF($G48="""","""",IFERROR(query({proventos!$B$5:$Q310},""Select sum(Col16) where Col1 = '""&amp;$G48&amp;""' and Col2 &gt; date '""&amp;TEXT(DATE(X$8,1,1),""yyyy-mm-dd"")&amp;""' and Col2 &lt;= date '""&amp;TEXT(DATE(X$8,12,31),""yyyy-mm-dd"")&amp;""' label sum(Col16) ''"",0)))"),"")</f>
        <v/>
      </c>
      <c r="Y48" s="630" t="str">
        <f>IFERROR(__xludf.DUMMYFUNCTION("IF($G48="""","""",IFERROR(query({proventos!$B$5:$Q310},""Select sum(Col16) where Col1 = '""&amp;$G48&amp;""' and Col2 &gt; date '""&amp;TEXT(DATE(Y$8,1,1),""yyyy-mm-dd"")&amp;""' and Col2 &lt;= date '""&amp;TEXT(DATE(Y$8,12,31),""yyyy-mm-dd"")&amp;""' label sum(Col16) ''"",0)))"),"")</f>
        <v/>
      </c>
      <c r="Z48" s="630" t="str">
        <f>IFERROR(__xludf.DUMMYFUNCTION("IF($G48="""","""",IFERROR(query({proventos!$B$5:$Q310},""Select sum(Col16) where Col1 = '""&amp;$G48&amp;""' and Col2 &gt; date '""&amp;TEXT(DATE(Z$8,1,1),""yyyy-mm-dd"")&amp;""' and Col2 &lt;= date '""&amp;TEXT(DATE(Z$8,12,31),""yyyy-mm-dd"")&amp;""' label sum(Col16) ''"",0)))"),"")</f>
        <v/>
      </c>
      <c r="AA48" s="587"/>
      <c r="AB48" s="578" t="s">
        <v>123</v>
      </c>
      <c r="AC48" s="601"/>
      <c r="AD48" s="636"/>
      <c r="AE48" s="636"/>
    </row>
    <row r="49">
      <c r="A49" s="619">
        <v>39.0</v>
      </c>
      <c r="B49" s="620"/>
      <c r="C49" s="632"/>
      <c r="D49" s="633"/>
      <c r="E49" s="634"/>
      <c r="F49" s="624">
        <v>39.0</v>
      </c>
      <c r="G49" s="635"/>
      <c r="H49" s="626" t="str">
        <f>if(G49="","",IFERROR(VLOOKUP(G49,AtivosDados,MATCH("provento_avg",portfolio.!$A$3:AE$3,0),FALSE),""))</f>
        <v/>
      </c>
      <c r="I49" s="627" t="s">
        <v>123</v>
      </c>
      <c r="J49" s="628" t="str">
        <f>IFERROR(__xludf.DUMMYFUNCTION("IF($G49="""","""",IFERROR(query({proventos!$B$5:$Q310},""Select sum(Col16) where Col1 = '""&amp;$G49&amp;""' and Col2 &gt; date '""&amp;TEXT(K$8,""yyyy-mm-dd"")&amp;""' and Col2 &lt;= date '""&amp;TEXT(J$8,""yyyy-mm-dd"")&amp;""' label sum(Col16) ''"",0)))"),"")</f>
        <v/>
      </c>
      <c r="K49" s="628" t="str">
        <f>IFERROR(__xludf.DUMMYFUNCTION("IF($G49="""","""",IFERROR(query({proventos!$B$5:$Q310},""Select sum(Col16) where Col1 = '""&amp;$G49&amp;""' and Col2 &gt; date '""&amp;TEXT(L$8,""yyyy-mm-dd"")&amp;""' and Col2 &lt;= date '""&amp;TEXT(K$8,""yyyy-mm-dd"")&amp;""' label sum(Col16) ''"",0)))"),"")</f>
        <v/>
      </c>
      <c r="L49" s="628" t="str">
        <f>IFERROR(__xludf.DUMMYFUNCTION("IF($G49="""","""",IFERROR(query({proventos!$B$5:$Q310},""Select sum(Col16) where Col1 = '""&amp;$G49&amp;""' and Col2 &gt; date '""&amp;TEXT(M$8,""yyyy-mm-dd"")&amp;""' and Col2 &lt;= date '""&amp;TEXT(L$8,""yyyy-mm-dd"")&amp;""' label sum(Col16) ''"",0)))"),"")</f>
        <v/>
      </c>
      <c r="M49" s="628" t="str">
        <f>IFERROR(__xludf.DUMMYFUNCTION("IF($G49="""","""",IFERROR(query({proventos!$B$5:$Q310},""Select sum(Col16) where Col1 = '""&amp;$G49&amp;""' and Col2 &gt; date '""&amp;TEXT(N$8,""yyyy-mm-dd"")&amp;""' and Col2 &lt;= date '""&amp;TEXT(M$8,""yyyy-mm-dd"")&amp;""' label sum(Col16) ''"",0)))"),"")</f>
        <v/>
      </c>
      <c r="N49" s="628" t="str">
        <f>IFERROR(__xludf.DUMMYFUNCTION("IF($G49="""","""",IFERROR(query({proventos!$B$5:$Q310},""Select sum(Col16) where Col1 = '""&amp;$G49&amp;""' and Col2 &gt; date '""&amp;TEXT(O$8,""yyyy-mm-dd"")&amp;""' and Col2 &lt;= date '""&amp;TEXT(N$8,""yyyy-mm-dd"")&amp;""' label sum(Col16) ''"",0)))"),"")</f>
        <v/>
      </c>
      <c r="O49" s="628" t="str">
        <f>IFERROR(__xludf.DUMMYFUNCTION("IF($G49="""","""",IFERROR(query({proventos!$B$5:$Q310},""Select sum(Col16) where Col1 = '""&amp;$G49&amp;""' and Col2 &gt; date '""&amp;TEXT(P$8,""yyyy-mm-dd"")&amp;""' and Col2 &lt;= date '""&amp;TEXT(O$8,""yyyy-mm-dd"")&amp;""' label sum(Col16) ''"",0)))"),"")</f>
        <v/>
      </c>
      <c r="P49" s="628" t="str">
        <f>IFERROR(__xludf.DUMMYFUNCTION("IF($G49="""","""",IFERROR(query({proventos!$B$5:$Q310},""Select sum(Col16) where Col1 = '""&amp;$G49&amp;""' and Col2 &gt; date '""&amp;TEXT(Q$8,""yyyy-mm-dd"")&amp;""' and Col2 &lt;= date '""&amp;TEXT(P$8,""yyyy-mm-dd"")&amp;""' label sum(Col16) ''"",0)))"),"")</f>
        <v/>
      </c>
      <c r="Q49" s="628" t="str">
        <f>IFERROR(__xludf.DUMMYFUNCTION("IF($G49="""","""",IFERROR(query({proventos!$B$5:$Q310},""Select sum(Col16) where Col1 = '""&amp;$G49&amp;""' and Col2 &gt; date '""&amp;TEXT(R$8,""yyyy-mm-dd"")&amp;""' and Col2 &lt;= date '""&amp;TEXT(Q$8,""yyyy-mm-dd"")&amp;""' label sum(Col16) ''"",0)))"),"")</f>
        <v/>
      </c>
      <c r="R49" s="628" t="str">
        <f>IFERROR(__xludf.DUMMYFUNCTION("IF($G49="""","""",IFERROR(query({proventos!$B$5:$Q310},""Select sum(Col16) where Col1 = '""&amp;$G49&amp;""' and Col2 &gt; date '""&amp;TEXT(S$8,""yyyy-mm-dd"")&amp;""' and Col2 &lt;= date '""&amp;TEXT(R$8,""yyyy-mm-dd"")&amp;""' label sum(Col16) ''"",0)))"),"")</f>
        <v/>
      </c>
      <c r="S49" s="628" t="str">
        <f>IFERROR(__xludf.DUMMYFUNCTION("IF($G49="""","""",IFERROR(query({proventos!$B$5:$Q310},""Select sum(Col16) where Col1 = '""&amp;$G49&amp;""' and Col2 &gt; date '""&amp;TEXT(T$8,""yyyy-mm-dd"")&amp;""' and Col2 &lt;= date '""&amp;TEXT(S$8,""yyyy-mm-dd"")&amp;""' label sum(Col16) ''"",0)))"),"")</f>
        <v/>
      </c>
      <c r="T49" s="628" t="str">
        <f>IFERROR(__xludf.DUMMYFUNCTION("IF($G49="""","""",IFERROR(query({proventos!$B$5:$Q310},""Select sum(Col16) where Col1 = '""&amp;$G49&amp;""' and Col2 &gt; date '""&amp;TEXT(U$8,""yyyy-mm-dd"")&amp;""' and Col2 &lt;= date '""&amp;TEXT(T$8,""yyyy-mm-dd"")&amp;""' label sum(Col16) ''"",0)))"),"")</f>
        <v/>
      </c>
      <c r="U49" s="629" t="str">
        <f>IFERROR(__xludf.DUMMYFUNCTION("IF($G49="""","""",IFERROR(query({proventos!$B$5:$Q310},""Select sum(Col16) where Col1 = '""&amp;$G49&amp;""' and Col2 &gt; date '""&amp;TEXT(EOMONTH(TODAY(),-13),""yyyy-mm-dd"")&amp;""' and Col2 &lt;= date '""&amp;TEXT(U$8,""yyyy-mm-dd"")&amp;""' label sum(Col16) ''"",0)))"),"")</f>
        <v/>
      </c>
      <c r="V49" s="630" t="str">
        <f>IFERROR(__xludf.DUMMYFUNCTION("IF($G49="""","""",IFERROR(query({proventos!$B$5:$Q310},""Select sum(Col16) where Col1 = '""&amp;$G49&amp;""' and Col2 &gt; date '""&amp;TEXT(DATE(V$8,1,1),""yyyy-mm-dd"")&amp;""' and Col2 &lt;= date '""&amp;TEXT(DATE(V$8,12,31),""yyyy-mm-dd"")&amp;""' label sum(Col16) ''"",0)))"),"")</f>
        <v/>
      </c>
      <c r="W49" s="630" t="str">
        <f>IFERROR(__xludf.DUMMYFUNCTION("IF($G49="""","""",IFERROR(query({proventos!$B$5:$Q310},""Select sum(Col16) where Col1 = '""&amp;$G49&amp;""' and Col2 &gt; date '""&amp;TEXT(DATE(W$8,1,1),""yyyy-mm-dd"")&amp;""' and Col2 &lt;= date '""&amp;TEXT(DATE(W$8,12,31),""yyyy-mm-dd"")&amp;""' label sum(Col16) ''"",0)))"),"")</f>
        <v/>
      </c>
      <c r="X49" s="630" t="str">
        <f>IFERROR(__xludf.DUMMYFUNCTION("IF($G49="""","""",IFERROR(query({proventos!$B$5:$Q310},""Select sum(Col16) where Col1 = '""&amp;$G49&amp;""' and Col2 &gt; date '""&amp;TEXT(DATE(X$8,1,1),""yyyy-mm-dd"")&amp;""' and Col2 &lt;= date '""&amp;TEXT(DATE(X$8,12,31),""yyyy-mm-dd"")&amp;""' label sum(Col16) ''"",0)))"),"")</f>
        <v/>
      </c>
      <c r="Y49" s="630" t="str">
        <f>IFERROR(__xludf.DUMMYFUNCTION("IF($G49="""","""",IFERROR(query({proventos!$B$5:$Q310},""Select sum(Col16) where Col1 = '""&amp;$G49&amp;""' and Col2 &gt; date '""&amp;TEXT(DATE(Y$8,1,1),""yyyy-mm-dd"")&amp;""' and Col2 &lt;= date '""&amp;TEXT(DATE(Y$8,12,31),""yyyy-mm-dd"")&amp;""' label sum(Col16) ''"",0)))"),"")</f>
        <v/>
      </c>
      <c r="Z49" s="630" t="str">
        <f>IFERROR(__xludf.DUMMYFUNCTION("IF($G49="""","""",IFERROR(query({proventos!$B$5:$Q310},""Select sum(Col16) where Col1 = '""&amp;$G49&amp;""' and Col2 &gt; date '""&amp;TEXT(DATE(Z$8,1,1),""yyyy-mm-dd"")&amp;""' and Col2 &lt;= date '""&amp;TEXT(DATE(Z$8,12,31),""yyyy-mm-dd"")&amp;""' label sum(Col16) ''"",0)))"),"")</f>
        <v/>
      </c>
      <c r="AA49" s="587"/>
      <c r="AB49" s="578" t="s">
        <v>123</v>
      </c>
      <c r="AC49" s="601"/>
      <c r="AD49" s="636"/>
      <c r="AE49" s="636"/>
    </row>
    <row r="50">
      <c r="A50" s="619">
        <v>40.0</v>
      </c>
      <c r="B50" s="620"/>
      <c r="C50" s="632"/>
      <c r="D50" s="633"/>
      <c r="E50" s="634"/>
      <c r="F50" s="624">
        <v>40.0</v>
      </c>
      <c r="G50" s="635"/>
      <c r="H50" s="626" t="str">
        <f>if(G50="","",IFERROR(VLOOKUP(G50,AtivosDados,MATCH("provento_avg",portfolio.!$A$3:AE$3,0),FALSE),""))</f>
        <v/>
      </c>
      <c r="I50" s="627" t="s">
        <v>123</v>
      </c>
      <c r="J50" s="628" t="str">
        <f>IFERROR(__xludf.DUMMYFUNCTION("IF($G50="""","""",IFERROR(query({proventos!$B$5:$Q310},""Select sum(Col16) where Col1 = '""&amp;$G50&amp;""' and Col2 &gt; date '""&amp;TEXT(K$8,""yyyy-mm-dd"")&amp;""' and Col2 &lt;= date '""&amp;TEXT(J$8,""yyyy-mm-dd"")&amp;""' label sum(Col16) ''"",0)))"),"")</f>
        <v/>
      </c>
      <c r="K50" s="628" t="str">
        <f>IFERROR(__xludf.DUMMYFUNCTION("IF($G50="""","""",IFERROR(query({proventos!$B$5:$Q310},""Select sum(Col16) where Col1 = '""&amp;$G50&amp;""' and Col2 &gt; date '""&amp;TEXT(L$8,""yyyy-mm-dd"")&amp;""' and Col2 &lt;= date '""&amp;TEXT(K$8,""yyyy-mm-dd"")&amp;""' label sum(Col16) ''"",0)))"),"")</f>
        <v/>
      </c>
      <c r="L50" s="628" t="str">
        <f>IFERROR(__xludf.DUMMYFUNCTION("IF($G50="""","""",IFERROR(query({proventos!$B$5:$Q310},""Select sum(Col16) where Col1 = '""&amp;$G50&amp;""' and Col2 &gt; date '""&amp;TEXT(M$8,""yyyy-mm-dd"")&amp;""' and Col2 &lt;= date '""&amp;TEXT(L$8,""yyyy-mm-dd"")&amp;""' label sum(Col16) ''"",0)))"),"")</f>
        <v/>
      </c>
      <c r="M50" s="628" t="str">
        <f>IFERROR(__xludf.DUMMYFUNCTION("IF($G50="""","""",IFERROR(query({proventos!$B$5:$Q310},""Select sum(Col16) where Col1 = '""&amp;$G50&amp;""' and Col2 &gt; date '""&amp;TEXT(N$8,""yyyy-mm-dd"")&amp;""' and Col2 &lt;= date '""&amp;TEXT(M$8,""yyyy-mm-dd"")&amp;""' label sum(Col16) ''"",0)))"),"")</f>
        <v/>
      </c>
      <c r="N50" s="628" t="str">
        <f>IFERROR(__xludf.DUMMYFUNCTION("IF($G50="""","""",IFERROR(query({proventos!$B$5:$Q310},""Select sum(Col16) where Col1 = '""&amp;$G50&amp;""' and Col2 &gt; date '""&amp;TEXT(O$8,""yyyy-mm-dd"")&amp;""' and Col2 &lt;= date '""&amp;TEXT(N$8,""yyyy-mm-dd"")&amp;""' label sum(Col16) ''"",0)))"),"")</f>
        <v/>
      </c>
      <c r="O50" s="628" t="str">
        <f>IFERROR(__xludf.DUMMYFUNCTION("IF($G50="""","""",IFERROR(query({proventos!$B$5:$Q310},""Select sum(Col16) where Col1 = '""&amp;$G50&amp;""' and Col2 &gt; date '""&amp;TEXT(P$8,""yyyy-mm-dd"")&amp;""' and Col2 &lt;= date '""&amp;TEXT(O$8,""yyyy-mm-dd"")&amp;""' label sum(Col16) ''"",0)))"),"")</f>
        <v/>
      </c>
      <c r="P50" s="628" t="str">
        <f>IFERROR(__xludf.DUMMYFUNCTION("IF($G50="""","""",IFERROR(query({proventos!$B$5:$Q310},""Select sum(Col16) where Col1 = '""&amp;$G50&amp;""' and Col2 &gt; date '""&amp;TEXT(Q$8,""yyyy-mm-dd"")&amp;""' and Col2 &lt;= date '""&amp;TEXT(P$8,""yyyy-mm-dd"")&amp;""' label sum(Col16) ''"",0)))"),"")</f>
        <v/>
      </c>
      <c r="Q50" s="628" t="str">
        <f>IFERROR(__xludf.DUMMYFUNCTION("IF($G50="""","""",IFERROR(query({proventos!$B$5:$Q310},""Select sum(Col16) where Col1 = '""&amp;$G50&amp;""' and Col2 &gt; date '""&amp;TEXT(R$8,""yyyy-mm-dd"")&amp;""' and Col2 &lt;= date '""&amp;TEXT(Q$8,""yyyy-mm-dd"")&amp;""' label sum(Col16) ''"",0)))"),"")</f>
        <v/>
      </c>
      <c r="R50" s="628" t="str">
        <f>IFERROR(__xludf.DUMMYFUNCTION("IF($G50="""","""",IFERROR(query({proventos!$B$5:$Q310},""Select sum(Col16) where Col1 = '""&amp;$G50&amp;""' and Col2 &gt; date '""&amp;TEXT(S$8,""yyyy-mm-dd"")&amp;""' and Col2 &lt;= date '""&amp;TEXT(R$8,""yyyy-mm-dd"")&amp;""' label sum(Col16) ''"",0)))"),"")</f>
        <v/>
      </c>
      <c r="S50" s="628" t="str">
        <f>IFERROR(__xludf.DUMMYFUNCTION("IF($G50="""","""",IFERROR(query({proventos!$B$5:$Q310},""Select sum(Col16) where Col1 = '""&amp;$G50&amp;""' and Col2 &gt; date '""&amp;TEXT(T$8,""yyyy-mm-dd"")&amp;""' and Col2 &lt;= date '""&amp;TEXT(S$8,""yyyy-mm-dd"")&amp;""' label sum(Col16) ''"",0)))"),"")</f>
        <v/>
      </c>
      <c r="T50" s="628" t="str">
        <f>IFERROR(__xludf.DUMMYFUNCTION("IF($G50="""","""",IFERROR(query({proventos!$B$5:$Q310},""Select sum(Col16) where Col1 = '""&amp;$G50&amp;""' and Col2 &gt; date '""&amp;TEXT(U$8,""yyyy-mm-dd"")&amp;""' and Col2 &lt;= date '""&amp;TEXT(T$8,""yyyy-mm-dd"")&amp;""' label sum(Col16) ''"",0)))"),"")</f>
        <v/>
      </c>
      <c r="U50" s="629" t="str">
        <f>IFERROR(__xludf.DUMMYFUNCTION("IF($G50="""","""",IFERROR(query({proventos!$B$5:$Q310},""Select sum(Col16) where Col1 = '""&amp;$G50&amp;""' and Col2 &gt; date '""&amp;TEXT(EOMONTH(TODAY(),-13),""yyyy-mm-dd"")&amp;""' and Col2 &lt;= date '""&amp;TEXT(U$8,""yyyy-mm-dd"")&amp;""' label sum(Col16) ''"",0)))"),"")</f>
        <v/>
      </c>
      <c r="V50" s="630" t="str">
        <f>IFERROR(__xludf.DUMMYFUNCTION("IF($G50="""","""",IFERROR(query({proventos!$B$5:$Q310},""Select sum(Col16) where Col1 = '""&amp;$G50&amp;""' and Col2 &gt; date '""&amp;TEXT(DATE(V$8,1,1),""yyyy-mm-dd"")&amp;""' and Col2 &lt;= date '""&amp;TEXT(DATE(V$8,12,31),""yyyy-mm-dd"")&amp;""' label sum(Col16) ''"",0)))"),"")</f>
        <v/>
      </c>
      <c r="W50" s="630" t="str">
        <f>IFERROR(__xludf.DUMMYFUNCTION("IF($G50="""","""",IFERROR(query({proventos!$B$5:$Q310},""Select sum(Col16) where Col1 = '""&amp;$G50&amp;""' and Col2 &gt; date '""&amp;TEXT(DATE(W$8,1,1),""yyyy-mm-dd"")&amp;""' and Col2 &lt;= date '""&amp;TEXT(DATE(W$8,12,31),""yyyy-mm-dd"")&amp;""' label sum(Col16) ''"",0)))"),"")</f>
        <v/>
      </c>
      <c r="X50" s="630" t="str">
        <f>IFERROR(__xludf.DUMMYFUNCTION("IF($G50="""","""",IFERROR(query({proventos!$B$5:$Q310},""Select sum(Col16) where Col1 = '""&amp;$G50&amp;""' and Col2 &gt; date '""&amp;TEXT(DATE(X$8,1,1),""yyyy-mm-dd"")&amp;""' and Col2 &lt;= date '""&amp;TEXT(DATE(X$8,12,31),""yyyy-mm-dd"")&amp;""' label sum(Col16) ''"",0)))"),"")</f>
        <v/>
      </c>
      <c r="Y50" s="630" t="str">
        <f>IFERROR(__xludf.DUMMYFUNCTION("IF($G50="""","""",IFERROR(query({proventos!$B$5:$Q310},""Select sum(Col16) where Col1 = '""&amp;$G50&amp;""' and Col2 &gt; date '""&amp;TEXT(DATE(Y$8,1,1),""yyyy-mm-dd"")&amp;""' and Col2 &lt;= date '""&amp;TEXT(DATE(Y$8,12,31),""yyyy-mm-dd"")&amp;""' label sum(Col16) ''"",0)))"),"")</f>
        <v/>
      </c>
      <c r="Z50" s="630" t="str">
        <f>IFERROR(__xludf.DUMMYFUNCTION("IF($G50="""","""",IFERROR(query({proventos!$B$5:$Q310},""Select sum(Col16) where Col1 = '""&amp;$G50&amp;""' and Col2 &gt; date '""&amp;TEXT(DATE(Z$8,1,1),""yyyy-mm-dd"")&amp;""' and Col2 &lt;= date '""&amp;TEXT(DATE(Z$8,12,31),""yyyy-mm-dd"")&amp;""' label sum(Col16) ''"",0)))"),"")</f>
        <v/>
      </c>
      <c r="AA50" s="587"/>
      <c r="AB50" s="578" t="s">
        <v>123</v>
      </c>
      <c r="AC50" s="601"/>
      <c r="AD50" s="636"/>
      <c r="AE50" s="636"/>
    </row>
    <row r="51">
      <c r="A51" s="619">
        <v>41.0</v>
      </c>
      <c r="B51" s="620"/>
      <c r="C51" s="632"/>
      <c r="D51" s="633"/>
      <c r="E51" s="634"/>
      <c r="F51" s="624">
        <v>41.0</v>
      </c>
      <c r="G51" s="635"/>
      <c r="H51" s="626" t="str">
        <f>if(G51="","",IFERROR(VLOOKUP(G51,AtivosDados,MATCH("provento_avg",portfolio.!$A$3:AE$3,0),FALSE),""))</f>
        <v/>
      </c>
      <c r="I51" s="627" t="s">
        <v>123</v>
      </c>
      <c r="J51" s="628" t="str">
        <f>IFERROR(__xludf.DUMMYFUNCTION("IF($G51="""","""",IFERROR(query({proventos!$B$5:$Q310},""Select sum(Col16) where Col1 = '""&amp;$G51&amp;""' and Col2 &gt; date '""&amp;TEXT(K$8,""yyyy-mm-dd"")&amp;""' and Col2 &lt;= date '""&amp;TEXT(J$8,""yyyy-mm-dd"")&amp;""' label sum(Col16) ''"",0)))"),"")</f>
        <v/>
      </c>
      <c r="K51" s="628" t="str">
        <f>IFERROR(__xludf.DUMMYFUNCTION("IF($G51="""","""",IFERROR(query({proventos!$B$5:$Q310},""Select sum(Col16) where Col1 = '""&amp;$G51&amp;""' and Col2 &gt; date '""&amp;TEXT(L$8,""yyyy-mm-dd"")&amp;""' and Col2 &lt;= date '""&amp;TEXT(K$8,""yyyy-mm-dd"")&amp;""' label sum(Col16) ''"",0)))"),"")</f>
        <v/>
      </c>
      <c r="L51" s="628" t="str">
        <f>IFERROR(__xludf.DUMMYFUNCTION("IF($G51="""","""",IFERROR(query({proventos!$B$5:$Q310},""Select sum(Col16) where Col1 = '""&amp;$G51&amp;""' and Col2 &gt; date '""&amp;TEXT(M$8,""yyyy-mm-dd"")&amp;""' and Col2 &lt;= date '""&amp;TEXT(L$8,""yyyy-mm-dd"")&amp;""' label sum(Col16) ''"",0)))"),"")</f>
        <v/>
      </c>
      <c r="M51" s="628" t="str">
        <f>IFERROR(__xludf.DUMMYFUNCTION("IF($G51="""","""",IFERROR(query({proventos!$B$5:$Q310},""Select sum(Col16) where Col1 = '""&amp;$G51&amp;""' and Col2 &gt; date '""&amp;TEXT(N$8,""yyyy-mm-dd"")&amp;""' and Col2 &lt;= date '""&amp;TEXT(M$8,""yyyy-mm-dd"")&amp;""' label sum(Col16) ''"",0)))"),"")</f>
        <v/>
      </c>
      <c r="N51" s="628" t="str">
        <f>IFERROR(__xludf.DUMMYFUNCTION("IF($G51="""","""",IFERROR(query({proventos!$B$5:$Q310},""Select sum(Col16) where Col1 = '""&amp;$G51&amp;""' and Col2 &gt; date '""&amp;TEXT(O$8,""yyyy-mm-dd"")&amp;""' and Col2 &lt;= date '""&amp;TEXT(N$8,""yyyy-mm-dd"")&amp;""' label sum(Col16) ''"",0)))"),"")</f>
        <v/>
      </c>
      <c r="O51" s="628" t="str">
        <f>IFERROR(__xludf.DUMMYFUNCTION("IF($G51="""","""",IFERROR(query({proventos!$B$5:$Q310},""Select sum(Col16) where Col1 = '""&amp;$G51&amp;""' and Col2 &gt; date '""&amp;TEXT(P$8,""yyyy-mm-dd"")&amp;""' and Col2 &lt;= date '""&amp;TEXT(O$8,""yyyy-mm-dd"")&amp;""' label sum(Col16) ''"",0)))"),"")</f>
        <v/>
      </c>
      <c r="P51" s="628" t="str">
        <f>IFERROR(__xludf.DUMMYFUNCTION("IF($G51="""","""",IFERROR(query({proventos!$B$5:$Q310},""Select sum(Col16) where Col1 = '""&amp;$G51&amp;""' and Col2 &gt; date '""&amp;TEXT(Q$8,""yyyy-mm-dd"")&amp;""' and Col2 &lt;= date '""&amp;TEXT(P$8,""yyyy-mm-dd"")&amp;""' label sum(Col16) ''"",0)))"),"")</f>
        <v/>
      </c>
      <c r="Q51" s="628" t="str">
        <f>IFERROR(__xludf.DUMMYFUNCTION("IF($G51="""","""",IFERROR(query({proventos!$B$5:$Q310},""Select sum(Col16) where Col1 = '""&amp;$G51&amp;""' and Col2 &gt; date '""&amp;TEXT(R$8,""yyyy-mm-dd"")&amp;""' and Col2 &lt;= date '""&amp;TEXT(Q$8,""yyyy-mm-dd"")&amp;""' label sum(Col16) ''"",0)))"),"")</f>
        <v/>
      </c>
      <c r="R51" s="628" t="str">
        <f>IFERROR(__xludf.DUMMYFUNCTION("IF($G51="""","""",IFERROR(query({proventos!$B$5:$Q310},""Select sum(Col16) where Col1 = '""&amp;$G51&amp;""' and Col2 &gt; date '""&amp;TEXT(S$8,""yyyy-mm-dd"")&amp;""' and Col2 &lt;= date '""&amp;TEXT(R$8,""yyyy-mm-dd"")&amp;""' label sum(Col16) ''"",0)))"),"")</f>
        <v/>
      </c>
      <c r="S51" s="628" t="str">
        <f>IFERROR(__xludf.DUMMYFUNCTION("IF($G51="""","""",IFERROR(query({proventos!$B$5:$Q310},""Select sum(Col16) where Col1 = '""&amp;$G51&amp;""' and Col2 &gt; date '""&amp;TEXT(T$8,""yyyy-mm-dd"")&amp;""' and Col2 &lt;= date '""&amp;TEXT(S$8,""yyyy-mm-dd"")&amp;""' label sum(Col16) ''"",0)))"),"")</f>
        <v/>
      </c>
      <c r="T51" s="628" t="str">
        <f>IFERROR(__xludf.DUMMYFUNCTION("IF($G51="""","""",IFERROR(query({proventos!$B$5:$Q310},""Select sum(Col16) where Col1 = '""&amp;$G51&amp;""' and Col2 &gt; date '""&amp;TEXT(U$8,""yyyy-mm-dd"")&amp;""' and Col2 &lt;= date '""&amp;TEXT(T$8,""yyyy-mm-dd"")&amp;""' label sum(Col16) ''"",0)))"),"")</f>
        <v/>
      </c>
      <c r="U51" s="629" t="str">
        <f>IFERROR(__xludf.DUMMYFUNCTION("IF($G51="""","""",IFERROR(query({proventos!$B$5:$Q310},""Select sum(Col16) where Col1 = '""&amp;$G51&amp;""' and Col2 &gt; date '""&amp;TEXT(EOMONTH(TODAY(),-13),""yyyy-mm-dd"")&amp;""' and Col2 &lt;= date '""&amp;TEXT(U$8,""yyyy-mm-dd"")&amp;""' label sum(Col16) ''"",0)))"),"")</f>
        <v/>
      </c>
      <c r="V51" s="630" t="str">
        <f>IFERROR(__xludf.DUMMYFUNCTION("IF($G51="""","""",IFERROR(query({proventos!$B$5:$Q310},""Select sum(Col16) where Col1 = '""&amp;$G51&amp;""' and Col2 &gt; date '""&amp;TEXT(DATE(V$8,1,1),""yyyy-mm-dd"")&amp;""' and Col2 &lt;= date '""&amp;TEXT(DATE(V$8,12,31),""yyyy-mm-dd"")&amp;""' label sum(Col16) ''"",0)))"),"")</f>
        <v/>
      </c>
      <c r="W51" s="630" t="str">
        <f>IFERROR(__xludf.DUMMYFUNCTION("IF($G51="""","""",IFERROR(query({proventos!$B$5:$Q310},""Select sum(Col16) where Col1 = '""&amp;$G51&amp;""' and Col2 &gt; date '""&amp;TEXT(DATE(W$8,1,1),""yyyy-mm-dd"")&amp;""' and Col2 &lt;= date '""&amp;TEXT(DATE(W$8,12,31),""yyyy-mm-dd"")&amp;""' label sum(Col16) ''"",0)))"),"")</f>
        <v/>
      </c>
      <c r="X51" s="630" t="str">
        <f>IFERROR(__xludf.DUMMYFUNCTION("IF($G51="""","""",IFERROR(query({proventos!$B$5:$Q310},""Select sum(Col16) where Col1 = '""&amp;$G51&amp;""' and Col2 &gt; date '""&amp;TEXT(DATE(X$8,1,1),""yyyy-mm-dd"")&amp;""' and Col2 &lt;= date '""&amp;TEXT(DATE(X$8,12,31),""yyyy-mm-dd"")&amp;""' label sum(Col16) ''"",0)))"),"")</f>
        <v/>
      </c>
      <c r="Y51" s="630" t="str">
        <f>IFERROR(__xludf.DUMMYFUNCTION("IF($G51="""","""",IFERROR(query({proventos!$B$5:$Q310},""Select sum(Col16) where Col1 = '""&amp;$G51&amp;""' and Col2 &gt; date '""&amp;TEXT(DATE(Y$8,1,1),""yyyy-mm-dd"")&amp;""' and Col2 &lt;= date '""&amp;TEXT(DATE(Y$8,12,31),""yyyy-mm-dd"")&amp;""' label sum(Col16) ''"",0)))"),"")</f>
        <v/>
      </c>
      <c r="Z51" s="630" t="str">
        <f>IFERROR(__xludf.DUMMYFUNCTION("IF($G51="""","""",IFERROR(query({proventos!$B$5:$Q310},""Select sum(Col16) where Col1 = '""&amp;$G51&amp;""' and Col2 &gt; date '""&amp;TEXT(DATE(Z$8,1,1),""yyyy-mm-dd"")&amp;""' and Col2 &lt;= date '""&amp;TEXT(DATE(Z$8,12,31),""yyyy-mm-dd"")&amp;""' label sum(Col16) ''"",0)))"),"")</f>
        <v/>
      </c>
      <c r="AA51" s="587"/>
      <c r="AB51" s="578" t="s">
        <v>123</v>
      </c>
      <c r="AC51" s="601"/>
      <c r="AD51" s="636"/>
      <c r="AE51" s="636"/>
    </row>
    <row r="52">
      <c r="A52" s="619">
        <v>42.0</v>
      </c>
      <c r="B52" s="620"/>
      <c r="C52" s="632"/>
      <c r="D52" s="633"/>
      <c r="E52" s="634"/>
      <c r="F52" s="624">
        <v>42.0</v>
      </c>
      <c r="G52" s="635"/>
      <c r="H52" s="626" t="str">
        <f>if(G52="","",IFERROR(VLOOKUP(G52,AtivosDados,MATCH("provento_avg",portfolio.!$A$3:AE$3,0),FALSE),""))</f>
        <v/>
      </c>
      <c r="I52" s="627" t="s">
        <v>123</v>
      </c>
      <c r="J52" s="628" t="str">
        <f>IFERROR(__xludf.DUMMYFUNCTION("IF($G52="""","""",IFERROR(query({proventos!$B$5:$Q310},""Select sum(Col16) where Col1 = '""&amp;$G52&amp;""' and Col2 &gt; date '""&amp;TEXT(K$8,""yyyy-mm-dd"")&amp;""' and Col2 &lt;= date '""&amp;TEXT(J$8,""yyyy-mm-dd"")&amp;""' label sum(Col16) ''"",0)))"),"")</f>
        <v/>
      </c>
      <c r="K52" s="628" t="str">
        <f>IFERROR(__xludf.DUMMYFUNCTION("IF($G52="""","""",IFERROR(query({proventos!$B$5:$Q310},""Select sum(Col16) where Col1 = '""&amp;$G52&amp;""' and Col2 &gt; date '""&amp;TEXT(L$8,""yyyy-mm-dd"")&amp;""' and Col2 &lt;= date '""&amp;TEXT(K$8,""yyyy-mm-dd"")&amp;""' label sum(Col16) ''"",0)))"),"")</f>
        <v/>
      </c>
      <c r="L52" s="628" t="str">
        <f>IFERROR(__xludf.DUMMYFUNCTION("IF($G52="""","""",IFERROR(query({proventos!$B$5:$Q310},""Select sum(Col16) where Col1 = '""&amp;$G52&amp;""' and Col2 &gt; date '""&amp;TEXT(M$8,""yyyy-mm-dd"")&amp;""' and Col2 &lt;= date '""&amp;TEXT(L$8,""yyyy-mm-dd"")&amp;""' label sum(Col16) ''"",0)))"),"")</f>
        <v/>
      </c>
      <c r="M52" s="628" t="str">
        <f>IFERROR(__xludf.DUMMYFUNCTION("IF($G52="""","""",IFERROR(query({proventos!$B$5:$Q310},""Select sum(Col16) where Col1 = '""&amp;$G52&amp;""' and Col2 &gt; date '""&amp;TEXT(N$8,""yyyy-mm-dd"")&amp;""' and Col2 &lt;= date '""&amp;TEXT(M$8,""yyyy-mm-dd"")&amp;""' label sum(Col16) ''"",0)))"),"")</f>
        <v/>
      </c>
      <c r="N52" s="628" t="str">
        <f>IFERROR(__xludf.DUMMYFUNCTION("IF($G52="""","""",IFERROR(query({proventos!$B$5:$Q310},""Select sum(Col16) where Col1 = '""&amp;$G52&amp;""' and Col2 &gt; date '""&amp;TEXT(O$8,""yyyy-mm-dd"")&amp;""' and Col2 &lt;= date '""&amp;TEXT(N$8,""yyyy-mm-dd"")&amp;""' label sum(Col16) ''"",0)))"),"")</f>
        <v/>
      </c>
      <c r="O52" s="628" t="str">
        <f>IFERROR(__xludf.DUMMYFUNCTION("IF($G52="""","""",IFERROR(query({proventos!$B$5:$Q310},""Select sum(Col16) where Col1 = '""&amp;$G52&amp;""' and Col2 &gt; date '""&amp;TEXT(P$8,""yyyy-mm-dd"")&amp;""' and Col2 &lt;= date '""&amp;TEXT(O$8,""yyyy-mm-dd"")&amp;""' label sum(Col16) ''"",0)))"),"")</f>
        <v/>
      </c>
      <c r="P52" s="628" t="str">
        <f>IFERROR(__xludf.DUMMYFUNCTION("IF($G52="""","""",IFERROR(query({proventos!$B$5:$Q310},""Select sum(Col16) where Col1 = '""&amp;$G52&amp;""' and Col2 &gt; date '""&amp;TEXT(Q$8,""yyyy-mm-dd"")&amp;""' and Col2 &lt;= date '""&amp;TEXT(P$8,""yyyy-mm-dd"")&amp;""' label sum(Col16) ''"",0)))"),"")</f>
        <v/>
      </c>
      <c r="Q52" s="628" t="str">
        <f>IFERROR(__xludf.DUMMYFUNCTION("IF($G52="""","""",IFERROR(query({proventos!$B$5:$Q310},""Select sum(Col16) where Col1 = '""&amp;$G52&amp;""' and Col2 &gt; date '""&amp;TEXT(R$8,""yyyy-mm-dd"")&amp;""' and Col2 &lt;= date '""&amp;TEXT(Q$8,""yyyy-mm-dd"")&amp;""' label sum(Col16) ''"",0)))"),"")</f>
        <v/>
      </c>
      <c r="R52" s="628" t="str">
        <f>IFERROR(__xludf.DUMMYFUNCTION("IF($G52="""","""",IFERROR(query({proventos!$B$5:$Q310},""Select sum(Col16) where Col1 = '""&amp;$G52&amp;""' and Col2 &gt; date '""&amp;TEXT(S$8,""yyyy-mm-dd"")&amp;""' and Col2 &lt;= date '""&amp;TEXT(R$8,""yyyy-mm-dd"")&amp;""' label sum(Col16) ''"",0)))"),"")</f>
        <v/>
      </c>
      <c r="S52" s="628" t="str">
        <f>IFERROR(__xludf.DUMMYFUNCTION("IF($G52="""","""",IFERROR(query({proventos!$B$5:$Q310},""Select sum(Col16) where Col1 = '""&amp;$G52&amp;""' and Col2 &gt; date '""&amp;TEXT(T$8,""yyyy-mm-dd"")&amp;""' and Col2 &lt;= date '""&amp;TEXT(S$8,""yyyy-mm-dd"")&amp;""' label sum(Col16) ''"",0)))"),"")</f>
        <v/>
      </c>
      <c r="T52" s="628" t="str">
        <f>IFERROR(__xludf.DUMMYFUNCTION("IF($G52="""","""",IFERROR(query({proventos!$B$5:$Q310},""Select sum(Col16) where Col1 = '""&amp;$G52&amp;""' and Col2 &gt; date '""&amp;TEXT(U$8,""yyyy-mm-dd"")&amp;""' and Col2 &lt;= date '""&amp;TEXT(T$8,""yyyy-mm-dd"")&amp;""' label sum(Col16) ''"",0)))"),"")</f>
        <v/>
      </c>
      <c r="U52" s="629" t="str">
        <f>IFERROR(__xludf.DUMMYFUNCTION("IF($G52="""","""",IFERROR(query({proventos!$B$5:$Q310},""Select sum(Col16) where Col1 = '""&amp;$G52&amp;""' and Col2 &gt; date '""&amp;TEXT(EOMONTH(TODAY(),-13),""yyyy-mm-dd"")&amp;""' and Col2 &lt;= date '""&amp;TEXT(U$8,""yyyy-mm-dd"")&amp;""' label sum(Col16) ''"",0)))"),"")</f>
        <v/>
      </c>
      <c r="V52" s="630" t="str">
        <f>IFERROR(__xludf.DUMMYFUNCTION("IF($G52="""","""",IFERROR(query({proventos!$B$5:$Q310},""Select sum(Col16) where Col1 = '""&amp;$G52&amp;""' and Col2 &gt; date '""&amp;TEXT(DATE(V$8,1,1),""yyyy-mm-dd"")&amp;""' and Col2 &lt;= date '""&amp;TEXT(DATE(V$8,12,31),""yyyy-mm-dd"")&amp;""' label sum(Col16) ''"",0)))"),"")</f>
        <v/>
      </c>
      <c r="W52" s="630" t="str">
        <f>IFERROR(__xludf.DUMMYFUNCTION("IF($G52="""","""",IFERROR(query({proventos!$B$5:$Q310},""Select sum(Col16) where Col1 = '""&amp;$G52&amp;""' and Col2 &gt; date '""&amp;TEXT(DATE(W$8,1,1),""yyyy-mm-dd"")&amp;""' and Col2 &lt;= date '""&amp;TEXT(DATE(W$8,12,31),""yyyy-mm-dd"")&amp;""' label sum(Col16) ''"",0)))"),"")</f>
        <v/>
      </c>
      <c r="X52" s="630" t="str">
        <f>IFERROR(__xludf.DUMMYFUNCTION("IF($G52="""","""",IFERROR(query({proventos!$B$5:$Q310},""Select sum(Col16) where Col1 = '""&amp;$G52&amp;""' and Col2 &gt; date '""&amp;TEXT(DATE(X$8,1,1),""yyyy-mm-dd"")&amp;""' and Col2 &lt;= date '""&amp;TEXT(DATE(X$8,12,31),""yyyy-mm-dd"")&amp;""' label sum(Col16) ''"",0)))"),"")</f>
        <v/>
      </c>
      <c r="Y52" s="630" t="str">
        <f>IFERROR(__xludf.DUMMYFUNCTION("IF($G52="""","""",IFERROR(query({proventos!$B$5:$Q310},""Select sum(Col16) where Col1 = '""&amp;$G52&amp;""' and Col2 &gt; date '""&amp;TEXT(DATE(Y$8,1,1),""yyyy-mm-dd"")&amp;""' and Col2 &lt;= date '""&amp;TEXT(DATE(Y$8,12,31),""yyyy-mm-dd"")&amp;""' label sum(Col16) ''"",0)))"),"")</f>
        <v/>
      </c>
      <c r="Z52" s="630" t="str">
        <f>IFERROR(__xludf.DUMMYFUNCTION("IF($G52="""","""",IFERROR(query({proventos!$B$5:$Q310},""Select sum(Col16) where Col1 = '""&amp;$G52&amp;""' and Col2 &gt; date '""&amp;TEXT(DATE(Z$8,1,1),""yyyy-mm-dd"")&amp;""' and Col2 &lt;= date '""&amp;TEXT(DATE(Z$8,12,31),""yyyy-mm-dd"")&amp;""' label sum(Col16) ''"",0)))"),"")</f>
        <v/>
      </c>
      <c r="AA52" s="587"/>
      <c r="AB52" s="578" t="s">
        <v>123</v>
      </c>
      <c r="AC52" s="601"/>
      <c r="AD52" s="636"/>
      <c r="AE52" s="636"/>
    </row>
    <row r="53">
      <c r="A53" s="619">
        <v>43.0</v>
      </c>
      <c r="B53" s="620"/>
      <c r="C53" s="632"/>
      <c r="D53" s="633"/>
      <c r="E53" s="634"/>
      <c r="F53" s="624">
        <v>43.0</v>
      </c>
      <c r="G53" s="635"/>
      <c r="H53" s="626" t="str">
        <f>if(G53="","",IFERROR(VLOOKUP(G53,AtivosDados,MATCH("provento_avg",portfolio.!$A$3:AE$3,0),FALSE),""))</f>
        <v/>
      </c>
      <c r="I53" s="627" t="s">
        <v>123</v>
      </c>
      <c r="J53" s="628" t="str">
        <f>IFERROR(__xludf.DUMMYFUNCTION("IF($G53="""","""",IFERROR(query({proventos!$B$5:$Q310},""Select sum(Col16) where Col1 = '""&amp;$G53&amp;""' and Col2 &gt; date '""&amp;TEXT(K$8,""yyyy-mm-dd"")&amp;""' and Col2 &lt;= date '""&amp;TEXT(J$8,""yyyy-mm-dd"")&amp;""' label sum(Col16) ''"",0)))"),"")</f>
        <v/>
      </c>
      <c r="K53" s="628" t="str">
        <f>IFERROR(__xludf.DUMMYFUNCTION("IF($G53="""","""",IFERROR(query({proventos!$B$5:$Q310},""Select sum(Col16) where Col1 = '""&amp;$G53&amp;""' and Col2 &gt; date '""&amp;TEXT(L$8,""yyyy-mm-dd"")&amp;""' and Col2 &lt;= date '""&amp;TEXT(K$8,""yyyy-mm-dd"")&amp;""' label sum(Col16) ''"",0)))"),"")</f>
        <v/>
      </c>
      <c r="L53" s="628" t="str">
        <f>IFERROR(__xludf.DUMMYFUNCTION("IF($G53="""","""",IFERROR(query({proventos!$B$5:$Q310},""Select sum(Col16) where Col1 = '""&amp;$G53&amp;""' and Col2 &gt; date '""&amp;TEXT(M$8,""yyyy-mm-dd"")&amp;""' and Col2 &lt;= date '""&amp;TEXT(L$8,""yyyy-mm-dd"")&amp;""' label sum(Col16) ''"",0)))"),"")</f>
        <v/>
      </c>
      <c r="M53" s="628" t="str">
        <f>IFERROR(__xludf.DUMMYFUNCTION("IF($G53="""","""",IFERROR(query({proventos!$B$5:$Q310},""Select sum(Col16) where Col1 = '""&amp;$G53&amp;""' and Col2 &gt; date '""&amp;TEXT(N$8,""yyyy-mm-dd"")&amp;""' and Col2 &lt;= date '""&amp;TEXT(M$8,""yyyy-mm-dd"")&amp;""' label sum(Col16) ''"",0)))"),"")</f>
        <v/>
      </c>
      <c r="N53" s="628" t="str">
        <f>IFERROR(__xludf.DUMMYFUNCTION("IF($G53="""","""",IFERROR(query({proventos!$B$5:$Q310},""Select sum(Col16) where Col1 = '""&amp;$G53&amp;""' and Col2 &gt; date '""&amp;TEXT(O$8,""yyyy-mm-dd"")&amp;""' and Col2 &lt;= date '""&amp;TEXT(N$8,""yyyy-mm-dd"")&amp;""' label sum(Col16) ''"",0)))"),"")</f>
        <v/>
      </c>
      <c r="O53" s="628" t="str">
        <f>IFERROR(__xludf.DUMMYFUNCTION("IF($G53="""","""",IFERROR(query({proventos!$B$5:$Q310},""Select sum(Col16) where Col1 = '""&amp;$G53&amp;""' and Col2 &gt; date '""&amp;TEXT(P$8,""yyyy-mm-dd"")&amp;""' and Col2 &lt;= date '""&amp;TEXT(O$8,""yyyy-mm-dd"")&amp;""' label sum(Col16) ''"",0)))"),"")</f>
        <v/>
      </c>
      <c r="P53" s="628" t="str">
        <f>IFERROR(__xludf.DUMMYFUNCTION("IF($G53="""","""",IFERROR(query({proventos!$B$5:$Q310},""Select sum(Col16) where Col1 = '""&amp;$G53&amp;""' and Col2 &gt; date '""&amp;TEXT(Q$8,""yyyy-mm-dd"")&amp;""' and Col2 &lt;= date '""&amp;TEXT(P$8,""yyyy-mm-dd"")&amp;""' label sum(Col16) ''"",0)))"),"")</f>
        <v/>
      </c>
      <c r="Q53" s="628" t="str">
        <f>IFERROR(__xludf.DUMMYFUNCTION("IF($G53="""","""",IFERROR(query({proventos!$B$5:$Q310},""Select sum(Col16) where Col1 = '""&amp;$G53&amp;""' and Col2 &gt; date '""&amp;TEXT(R$8,""yyyy-mm-dd"")&amp;""' and Col2 &lt;= date '""&amp;TEXT(Q$8,""yyyy-mm-dd"")&amp;""' label sum(Col16) ''"",0)))"),"")</f>
        <v/>
      </c>
      <c r="R53" s="628" t="str">
        <f>IFERROR(__xludf.DUMMYFUNCTION("IF($G53="""","""",IFERROR(query({proventos!$B$5:$Q310},""Select sum(Col16) where Col1 = '""&amp;$G53&amp;""' and Col2 &gt; date '""&amp;TEXT(S$8,""yyyy-mm-dd"")&amp;""' and Col2 &lt;= date '""&amp;TEXT(R$8,""yyyy-mm-dd"")&amp;""' label sum(Col16) ''"",0)))"),"")</f>
        <v/>
      </c>
      <c r="S53" s="628" t="str">
        <f>IFERROR(__xludf.DUMMYFUNCTION("IF($G53="""","""",IFERROR(query({proventos!$B$5:$Q310},""Select sum(Col16) where Col1 = '""&amp;$G53&amp;""' and Col2 &gt; date '""&amp;TEXT(T$8,""yyyy-mm-dd"")&amp;""' and Col2 &lt;= date '""&amp;TEXT(S$8,""yyyy-mm-dd"")&amp;""' label sum(Col16) ''"",0)))"),"")</f>
        <v/>
      </c>
      <c r="T53" s="628" t="str">
        <f>IFERROR(__xludf.DUMMYFUNCTION("IF($G53="""","""",IFERROR(query({proventos!$B$5:$Q310},""Select sum(Col16) where Col1 = '""&amp;$G53&amp;""' and Col2 &gt; date '""&amp;TEXT(U$8,""yyyy-mm-dd"")&amp;""' and Col2 &lt;= date '""&amp;TEXT(T$8,""yyyy-mm-dd"")&amp;""' label sum(Col16) ''"",0)))"),"")</f>
        <v/>
      </c>
      <c r="U53" s="629" t="str">
        <f>IFERROR(__xludf.DUMMYFUNCTION("IF($G53="""","""",IFERROR(query({proventos!$B$5:$Q310},""Select sum(Col16) where Col1 = '""&amp;$G53&amp;""' and Col2 &gt; date '""&amp;TEXT(EOMONTH(TODAY(),-13),""yyyy-mm-dd"")&amp;""' and Col2 &lt;= date '""&amp;TEXT(U$8,""yyyy-mm-dd"")&amp;""' label sum(Col16) ''"",0)))"),"")</f>
        <v/>
      </c>
      <c r="V53" s="630" t="str">
        <f>IFERROR(__xludf.DUMMYFUNCTION("IF($G53="""","""",IFERROR(query({proventos!$B$5:$Q310},""Select sum(Col16) where Col1 = '""&amp;$G53&amp;""' and Col2 &gt; date '""&amp;TEXT(DATE(V$8,1,1),""yyyy-mm-dd"")&amp;""' and Col2 &lt;= date '""&amp;TEXT(DATE(V$8,12,31),""yyyy-mm-dd"")&amp;""' label sum(Col16) ''"",0)))"),"")</f>
        <v/>
      </c>
      <c r="W53" s="630" t="str">
        <f>IFERROR(__xludf.DUMMYFUNCTION("IF($G53="""","""",IFERROR(query({proventos!$B$5:$Q310},""Select sum(Col16) where Col1 = '""&amp;$G53&amp;""' and Col2 &gt; date '""&amp;TEXT(DATE(W$8,1,1),""yyyy-mm-dd"")&amp;""' and Col2 &lt;= date '""&amp;TEXT(DATE(W$8,12,31),""yyyy-mm-dd"")&amp;""' label sum(Col16) ''"",0)))"),"")</f>
        <v/>
      </c>
      <c r="X53" s="630" t="str">
        <f>IFERROR(__xludf.DUMMYFUNCTION("IF($G53="""","""",IFERROR(query({proventos!$B$5:$Q310},""Select sum(Col16) where Col1 = '""&amp;$G53&amp;""' and Col2 &gt; date '""&amp;TEXT(DATE(X$8,1,1),""yyyy-mm-dd"")&amp;""' and Col2 &lt;= date '""&amp;TEXT(DATE(X$8,12,31),""yyyy-mm-dd"")&amp;""' label sum(Col16) ''"",0)))"),"")</f>
        <v/>
      </c>
      <c r="Y53" s="630" t="str">
        <f>IFERROR(__xludf.DUMMYFUNCTION("IF($G53="""","""",IFERROR(query({proventos!$B$5:$Q310},""Select sum(Col16) where Col1 = '""&amp;$G53&amp;""' and Col2 &gt; date '""&amp;TEXT(DATE(Y$8,1,1),""yyyy-mm-dd"")&amp;""' and Col2 &lt;= date '""&amp;TEXT(DATE(Y$8,12,31),""yyyy-mm-dd"")&amp;""' label sum(Col16) ''"",0)))"),"")</f>
        <v/>
      </c>
      <c r="Z53" s="630" t="str">
        <f>IFERROR(__xludf.DUMMYFUNCTION("IF($G53="""","""",IFERROR(query({proventos!$B$5:$Q310},""Select sum(Col16) where Col1 = '""&amp;$G53&amp;""' and Col2 &gt; date '""&amp;TEXT(DATE(Z$8,1,1),""yyyy-mm-dd"")&amp;""' and Col2 &lt;= date '""&amp;TEXT(DATE(Z$8,12,31),""yyyy-mm-dd"")&amp;""' label sum(Col16) ''"",0)))"),"")</f>
        <v/>
      </c>
      <c r="AA53" s="587"/>
      <c r="AB53" s="578" t="s">
        <v>123</v>
      </c>
      <c r="AC53" s="601"/>
      <c r="AD53" s="636"/>
      <c r="AE53" s="636"/>
    </row>
    <row r="54">
      <c r="A54" s="619">
        <v>44.0</v>
      </c>
      <c r="B54" s="620"/>
      <c r="C54" s="632"/>
      <c r="D54" s="633"/>
      <c r="E54" s="634"/>
      <c r="F54" s="624">
        <v>44.0</v>
      </c>
      <c r="G54" s="635"/>
      <c r="H54" s="626" t="str">
        <f>if(G54="","",IFERROR(VLOOKUP(G54,AtivosDados,MATCH("provento_avg",portfolio.!$A$3:AE$3,0),FALSE),""))</f>
        <v/>
      </c>
      <c r="I54" s="627" t="s">
        <v>123</v>
      </c>
      <c r="J54" s="628" t="str">
        <f>IFERROR(__xludf.DUMMYFUNCTION("IF($G54="""","""",IFERROR(query({proventos!$B$5:$Q310},""Select sum(Col16) where Col1 = '""&amp;$G54&amp;""' and Col2 &gt; date '""&amp;TEXT(K$8,""yyyy-mm-dd"")&amp;""' and Col2 &lt;= date '""&amp;TEXT(J$8,""yyyy-mm-dd"")&amp;""' label sum(Col16) ''"",0)))"),"")</f>
        <v/>
      </c>
      <c r="K54" s="628" t="str">
        <f>IFERROR(__xludf.DUMMYFUNCTION("IF($G54="""","""",IFERROR(query({proventos!$B$5:$Q310},""Select sum(Col16) where Col1 = '""&amp;$G54&amp;""' and Col2 &gt; date '""&amp;TEXT(L$8,""yyyy-mm-dd"")&amp;""' and Col2 &lt;= date '""&amp;TEXT(K$8,""yyyy-mm-dd"")&amp;""' label sum(Col16) ''"",0)))"),"")</f>
        <v/>
      </c>
      <c r="L54" s="628" t="str">
        <f>IFERROR(__xludf.DUMMYFUNCTION("IF($G54="""","""",IFERROR(query({proventos!$B$5:$Q310},""Select sum(Col16) where Col1 = '""&amp;$G54&amp;""' and Col2 &gt; date '""&amp;TEXT(M$8,""yyyy-mm-dd"")&amp;""' and Col2 &lt;= date '""&amp;TEXT(L$8,""yyyy-mm-dd"")&amp;""' label sum(Col16) ''"",0)))"),"")</f>
        <v/>
      </c>
      <c r="M54" s="628" t="str">
        <f>IFERROR(__xludf.DUMMYFUNCTION("IF($G54="""","""",IFERROR(query({proventos!$B$5:$Q310},""Select sum(Col16) where Col1 = '""&amp;$G54&amp;""' and Col2 &gt; date '""&amp;TEXT(N$8,""yyyy-mm-dd"")&amp;""' and Col2 &lt;= date '""&amp;TEXT(M$8,""yyyy-mm-dd"")&amp;""' label sum(Col16) ''"",0)))"),"")</f>
        <v/>
      </c>
      <c r="N54" s="628" t="str">
        <f>IFERROR(__xludf.DUMMYFUNCTION("IF($G54="""","""",IFERROR(query({proventos!$B$5:$Q310},""Select sum(Col16) where Col1 = '""&amp;$G54&amp;""' and Col2 &gt; date '""&amp;TEXT(O$8,""yyyy-mm-dd"")&amp;""' and Col2 &lt;= date '""&amp;TEXT(N$8,""yyyy-mm-dd"")&amp;""' label sum(Col16) ''"",0)))"),"")</f>
        <v/>
      </c>
      <c r="O54" s="628" t="str">
        <f>IFERROR(__xludf.DUMMYFUNCTION("IF($G54="""","""",IFERROR(query({proventos!$B$5:$Q310},""Select sum(Col16) where Col1 = '""&amp;$G54&amp;""' and Col2 &gt; date '""&amp;TEXT(P$8,""yyyy-mm-dd"")&amp;""' and Col2 &lt;= date '""&amp;TEXT(O$8,""yyyy-mm-dd"")&amp;""' label sum(Col16) ''"",0)))"),"")</f>
        <v/>
      </c>
      <c r="P54" s="628" t="str">
        <f>IFERROR(__xludf.DUMMYFUNCTION("IF($G54="""","""",IFERROR(query({proventos!$B$5:$Q310},""Select sum(Col16) where Col1 = '""&amp;$G54&amp;""' and Col2 &gt; date '""&amp;TEXT(Q$8,""yyyy-mm-dd"")&amp;""' and Col2 &lt;= date '""&amp;TEXT(P$8,""yyyy-mm-dd"")&amp;""' label sum(Col16) ''"",0)))"),"")</f>
        <v/>
      </c>
      <c r="Q54" s="628" t="str">
        <f>IFERROR(__xludf.DUMMYFUNCTION("IF($G54="""","""",IFERROR(query({proventos!$B$5:$Q310},""Select sum(Col16) where Col1 = '""&amp;$G54&amp;""' and Col2 &gt; date '""&amp;TEXT(R$8,""yyyy-mm-dd"")&amp;""' and Col2 &lt;= date '""&amp;TEXT(Q$8,""yyyy-mm-dd"")&amp;""' label sum(Col16) ''"",0)))"),"")</f>
        <v/>
      </c>
      <c r="R54" s="628" t="str">
        <f>IFERROR(__xludf.DUMMYFUNCTION("IF($G54="""","""",IFERROR(query({proventos!$B$5:$Q310},""Select sum(Col16) where Col1 = '""&amp;$G54&amp;""' and Col2 &gt; date '""&amp;TEXT(S$8,""yyyy-mm-dd"")&amp;""' and Col2 &lt;= date '""&amp;TEXT(R$8,""yyyy-mm-dd"")&amp;""' label sum(Col16) ''"",0)))"),"")</f>
        <v/>
      </c>
      <c r="S54" s="628" t="str">
        <f>IFERROR(__xludf.DUMMYFUNCTION("IF($G54="""","""",IFERROR(query({proventos!$B$5:$Q310},""Select sum(Col16) where Col1 = '""&amp;$G54&amp;""' and Col2 &gt; date '""&amp;TEXT(T$8,""yyyy-mm-dd"")&amp;""' and Col2 &lt;= date '""&amp;TEXT(S$8,""yyyy-mm-dd"")&amp;""' label sum(Col16) ''"",0)))"),"")</f>
        <v/>
      </c>
      <c r="T54" s="628" t="str">
        <f>IFERROR(__xludf.DUMMYFUNCTION("IF($G54="""","""",IFERROR(query({proventos!$B$5:$Q310},""Select sum(Col16) where Col1 = '""&amp;$G54&amp;""' and Col2 &gt; date '""&amp;TEXT(U$8,""yyyy-mm-dd"")&amp;""' and Col2 &lt;= date '""&amp;TEXT(T$8,""yyyy-mm-dd"")&amp;""' label sum(Col16) ''"",0)))"),"")</f>
        <v/>
      </c>
      <c r="U54" s="629" t="str">
        <f>IFERROR(__xludf.DUMMYFUNCTION("IF($G54="""","""",IFERROR(query({proventos!$B$5:$Q310},""Select sum(Col16) where Col1 = '""&amp;$G54&amp;""' and Col2 &gt; date '""&amp;TEXT(EOMONTH(TODAY(),-13),""yyyy-mm-dd"")&amp;""' and Col2 &lt;= date '""&amp;TEXT(U$8,""yyyy-mm-dd"")&amp;""' label sum(Col16) ''"",0)))"),"")</f>
        <v/>
      </c>
      <c r="V54" s="630" t="str">
        <f>IFERROR(__xludf.DUMMYFUNCTION("IF($G54="""","""",IFERROR(query({proventos!$B$5:$Q310},""Select sum(Col16) where Col1 = '""&amp;$G54&amp;""' and Col2 &gt; date '""&amp;TEXT(DATE(V$8,1,1),""yyyy-mm-dd"")&amp;""' and Col2 &lt;= date '""&amp;TEXT(DATE(V$8,12,31),""yyyy-mm-dd"")&amp;""' label sum(Col16) ''"",0)))"),"")</f>
        <v/>
      </c>
      <c r="W54" s="630" t="str">
        <f>IFERROR(__xludf.DUMMYFUNCTION("IF($G54="""","""",IFERROR(query({proventos!$B$5:$Q310},""Select sum(Col16) where Col1 = '""&amp;$G54&amp;""' and Col2 &gt; date '""&amp;TEXT(DATE(W$8,1,1),""yyyy-mm-dd"")&amp;""' and Col2 &lt;= date '""&amp;TEXT(DATE(W$8,12,31),""yyyy-mm-dd"")&amp;""' label sum(Col16) ''"",0)))"),"")</f>
        <v/>
      </c>
      <c r="X54" s="630" t="str">
        <f>IFERROR(__xludf.DUMMYFUNCTION("IF($G54="""","""",IFERROR(query({proventos!$B$5:$Q310},""Select sum(Col16) where Col1 = '""&amp;$G54&amp;""' and Col2 &gt; date '""&amp;TEXT(DATE(X$8,1,1),""yyyy-mm-dd"")&amp;""' and Col2 &lt;= date '""&amp;TEXT(DATE(X$8,12,31),""yyyy-mm-dd"")&amp;""' label sum(Col16) ''"",0)))"),"")</f>
        <v/>
      </c>
      <c r="Y54" s="630" t="str">
        <f>IFERROR(__xludf.DUMMYFUNCTION("IF($G54="""","""",IFERROR(query({proventos!$B$5:$Q310},""Select sum(Col16) where Col1 = '""&amp;$G54&amp;""' and Col2 &gt; date '""&amp;TEXT(DATE(Y$8,1,1),""yyyy-mm-dd"")&amp;""' and Col2 &lt;= date '""&amp;TEXT(DATE(Y$8,12,31),""yyyy-mm-dd"")&amp;""' label sum(Col16) ''"",0)))"),"")</f>
        <v/>
      </c>
      <c r="Z54" s="630" t="str">
        <f>IFERROR(__xludf.DUMMYFUNCTION("IF($G54="""","""",IFERROR(query({proventos!$B$5:$Q310},""Select sum(Col16) where Col1 = '""&amp;$G54&amp;""' and Col2 &gt; date '""&amp;TEXT(DATE(Z$8,1,1),""yyyy-mm-dd"")&amp;""' and Col2 &lt;= date '""&amp;TEXT(DATE(Z$8,12,31),""yyyy-mm-dd"")&amp;""' label sum(Col16) ''"",0)))"),"")</f>
        <v/>
      </c>
      <c r="AA54" s="587"/>
      <c r="AB54" s="578" t="s">
        <v>123</v>
      </c>
      <c r="AC54" s="601"/>
      <c r="AD54" s="636"/>
      <c r="AE54" s="636"/>
    </row>
    <row r="55">
      <c r="A55" s="619">
        <v>45.0</v>
      </c>
      <c r="B55" s="620"/>
      <c r="C55" s="632"/>
      <c r="D55" s="633"/>
      <c r="E55" s="634"/>
      <c r="F55" s="624">
        <v>45.0</v>
      </c>
      <c r="G55" s="635"/>
      <c r="H55" s="626" t="str">
        <f>if(G55="","",IFERROR(VLOOKUP(G55,AtivosDados,MATCH("provento_avg",portfolio.!$A$3:AE$3,0),FALSE),""))</f>
        <v/>
      </c>
      <c r="I55" s="627" t="s">
        <v>123</v>
      </c>
      <c r="J55" s="628" t="str">
        <f>IFERROR(__xludf.DUMMYFUNCTION("IF($G55="""","""",IFERROR(query({proventos!$B$5:$Q310},""Select sum(Col16) where Col1 = '""&amp;$G55&amp;""' and Col2 &gt; date '""&amp;TEXT(K$8,""yyyy-mm-dd"")&amp;""' and Col2 &lt;= date '""&amp;TEXT(J$8,""yyyy-mm-dd"")&amp;""' label sum(Col16) ''"",0)))"),"")</f>
        <v/>
      </c>
      <c r="K55" s="628" t="str">
        <f>IFERROR(__xludf.DUMMYFUNCTION("IF($G55="""","""",IFERROR(query({proventos!$B$5:$Q310},""Select sum(Col16) where Col1 = '""&amp;$G55&amp;""' and Col2 &gt; date '""&amp;TEXT(L$8,""yyyy-mm-dd"")&amp;""' and Col2 &lt;= date '""&amp;TEXT(K$8,""yyyy-mm-dd"")&amp;""' label sum(Col16) ''"",0)))"),"")</f>
        <v/>
      </c>
      <c r="L55" s="628" t="str">
        <f>IFERROR(__xludf.DUMMYFUNCTION("IF($G55="""","""",IFERROR(query({proventos!$B$5:$Q310},""Select sum(Col16) where Col1 = '""&amp;$G55&amp;""' and Col2 &gt; date '""&amp;TEXT(M$8,""yyyy-mm-dd"")&amp;""' and Col2 &lt;= date '""&amp;TEXT(L$8,""yyyy-mm-dd"")&amp;""' label sum(Col16) ''"",0)))"),"")</f>
        <v/>
      </c>
      <c r="M55" s="628" t="str">
        <f>IFERROR(__xludf.DUMMYFUNCTION("IF($G55="""","""",IFERROR(query({proventos!$B$5:$Q310},""Select sum(Col16) where Col1 = '""&amp;$G55&amp;""' and Col2 &gt; date '""&amp;TEXT(N$8,""yyyy-mm-dd"")&amp;""' and Col2 &lt;= date '""&amp;TEXT(M$8,""yyyy-mm-dd"")&amp;""' label sum(Col16) ''"",0)))"),"")</f>
        <v/>
      </c>
      <c r="N55" s="628" t="str">
        <f>IFERROR(__xludf.DUMMYFUNCTION("IF($G55="""","""",IFERROR(query({proventos!$B$5:$Q310},""Select sum(Col16) where Col1 = '""&amp;$G55&amp;""' and Col2 &gt; date '""&amp;TEXT(O$8,""yyyy-mm-dd"")&amp;""' and Col2 &lt;= date '""&amp;TEXT(N$8,""yyyy-mm-dd"")&amp;""' label sum(Col16) ''"",0)))"),"")</f>
        <v/>
      </c>
      <c r="O55" s="628" t="str">
        <f>IFERROR(__xludf.DUMMYFUNCTION("IF($G55="""","""",IFERROR(query({proventos!$B$5:$Q310},""Select sum(Col16) where Col1 = '""&amp;$G55&amp;""' and Col2 &gt; date '""&amp;TEXT(P$8,""yyyy-mm-dd"")&amp;""' and Col2 &lt;= date '""&amp;TEXT(O$8,""yyyy-mm-dd"")&amp;""' label sum(Col16) ''"",0)))"),"")</f>
        <v/>
      </c>
      <c r="P55" s="628" t="str">
        <f>IFERROR(__xludf.DUMMYFUNCTION("IF($G55="""","""",IFERROR(query({proventos!$B$5:$Q310},""Select sum(Col16) where Col1 = '""&amp;$G55&amp;""' and Col2 &gt; date '""&amp;TEXT(Q$8,""yyyy-mm-dd"")&amp;""' and Col2 &lt;= date '""&amp;TEXT(P$8,""yyyy-mm-dd"")&amp;""' label sum(Col16) ''"",0)))"),"")</f>
        <v/>
      </c>
      <c r="Q55" s="628" t="str">
        <f>IFERROR(__xludf.DUMMYFUNCTION("IF($G55="""","""",IFERROR(query({proventos!$B$5:$Q310},""Select sum(Col16) where Col1 = '""&amp;$G55&amp;""' and Col2 &gt; date '""&amp;TEXT(R$8,""yyyy-mm-dd"")&amp;""' and Col2 &lt;= date '""&amp;TEXT(Q$8,""yyyy-mm-dd"")&amp;""' label sum(Col16) ''"",0)))"),"")</f>
        <v/>
      </c>
      <c r="R55" s="628" t="str">
        <f>IFERROR(__xludf.DUMMYFUNCTION("IF($G55="""","""",IFERROR(query({proventos!$B$5:$Q310},""Select sum(Col16) where Col1 = '""&amp;$G55&amp;""' and Col2 &gt; date '""&amp;TEXT(S$8,""yyyy-mm-dd"")&amp;""' and Col2 &lt;= date '""&amp;TEXT(R$8,""yyyy-mm-dd"")&amp;""' label sum(Col16) ''"",0)))"),"")</f>
        <v/>
      </c>
      <c r="S55" s="628" t="str">
        <f>IFERROR(__xludf.DUMMYFUNCTION("IF($G55="""","""",IFERROR(query({proventos!$B$5:$Q310},""Select sum(Col16) where Col1 = '""&amp;$G55&amp;""' and Col2 &gt; date '""&amp;TEXT(T$8,""yyyy-mm-dd"")&amp;""' and Col2 &lt;= date '""&amp;TEXT(S$8,""yyyy-mm-dd"")&amp;""' label sum(Col16) ''"",0)))"),"")</f>
        <v/>
      </c>
      <c r="T55" s="628" t="str">
        <f>IFERROR(__xludf.DUMMYFUNCTION("IF($G55="""","""",IFERROR(query({proventos!$B$5:$Q310},""Select sum(Col16) where Col1 = '""&amp;$G55&amp;""' and Col2 &gt; date '""&amp;TEXT(U$8,""yyyy-mm-dd"")&amp;""' and Col2 &lt;= date '""&amp;TEXT(T$8,""yyyy-mm-dd"")&amp;""' label sum(Col16) ''"",0)))"),"")</f>
        <v/>
      </c>
      <c r="U55" s="629" t="str">
        <f>IFERROR(__xludf.DUMMYFUNCTION("IF($G55="""","""",IFERROR(query({proventos!$B$5:$Q310},""Select sum(Col16) where Col1 = '""&amp;$G55&amp;""' and Col2 &gt; date '""&amp;TEXT(EOMONTH(TODAY(),-13),""yyyy-mm-dd"")&amp;""' and Col2 &lt;= date '""&amp;TEXT(U$8,""yyyy-mm-dd"")&amp;""' label sum(Col16) ''"",0)))"),"")</f>
        <v/>
      </c>
      <c r="V55" s="630" t="str">
        <f>IFERROR(__xludf.DUMMYFUNCTION("IF($G55="""","""",IFERROR(query({proventos!$B$5:$Q310},""Select sum(Col16) where Col1 = '""&amp;$G55&amp;""' and Col2 &gt; date '""&amp;TEXT(DATE(V$8,1,1),""yyyy-mm-dd"")&amp;""' and Col2 &lt;= date '""&amp;TEXT(DATE(V$8,12,31),""yyyy-mm-dd"")&amp;""' label sum(Col16) ''"",0)))"),"")</f>
        <v/>
      </c>
      <c r="W55" s="630" t="str">
        <f>IFERROR(__xludf.DUMMYFUNCTION("IF($G55="""","""",IFERROR(query({proventos!$B$5:$Q310},""Select sum(Col16) where Col1 = '""&amp;$G55&amp;""' and Col2 &gt; date '""&amp;TEXT(DATE(W$8,1,1),""yyyy-mm-dd"")&amp;""' and Col2 &lt;= date '""&amp;TEXT(DATE(W$8,12,31),""yyyy-mm-dd"")&amp;""' label sum(Col16) ''"",0)))"),"")</f>
        <v/>
      </c>
      <c r="X55" s="630" t="str">
        <f>IFERROR(__xludf.DUMMYFUNCTION("IF($G55="""","""",IFERROR(query({proventos!$B$5:$Q310},""Select sum(Col16) where Col1 = '""&amp;$G55&amp;""' and Col2 &gt; date '""&amp;TEXT(DATE(X$8,1,1),""yyyy-mm-dd"")&amp;""' and Col2 &lt;= date '""&amp;TEXT(DATE(X$8,12,31),""yyyy-mm-dd"")&amp;""' label sum(Col16) ''"",0)))"),"")</f>
        <v/>
      </c>
      <c r="Y55" s="630" t="str">
        <f>IFERROR(__xludf.DUMMYFUNCTION("IF($G55="""","""",IFERROR(query({proventos!$B$5:$Q310},""Select sum(Col16) where Col1 = '""&amp;$G55&amp;""' and Col2 &gt; date '""&amp;TEXT(DATE(Y$8,1,1),""yyyy-mm-dd"")&amp;""' and Col2 &lt;= date '""&amp;TEXT(DATE(Y$8,12,31),""yyyy-mm-dd"")&amp;""' label sum(Col16) ''"",0)))"),"")</f>
        <v/>
      </c>
      <c r="Z55" s="630" t="str">
        <f>IFERROR(__xludf.DUMMYFUNCTION("IF($G55="""","""",IFERROR(query({proventos!$B$5:$Q310},""Select sum(Col16) where Col1 = '""&amp;$G55&amp;""' and Col2 &gt; date '""&amp;TEXT(DATE(Z$8,1,1),""yyyy-mm-dd"")&amp;""' and Col2 &lt;= date '""&amp;TEXT(DATE(Z$8,12,31),""yyyy-mm-dd"")&amp;""' label sum(Col16) ''"",0)))"),"")</f>
        <v/>
      </c>
      <c r="AA55" s="587"/>
      <c r="AB55" s="578" t="s">
        <v>123</v>
      </c>
      <c r="AC55" s="601"/>
      <c r="AD55" s="636"/>
      <c r="AE55" s="636"/>
    </row>
    <row r="56">
      <c r="A56" s="619">
        <v>46.0</v>
      </c>
      <c r="B56" s="620"/>
      <c r="C56" s="632"/>
      <c r="D56" s="633"/>
      <c r="E56" s="634"/>
      <c r="F56" s="624">
        <v>46.0</v>
      </c>
      <c r="G56" s="635"/>
      <c r="H56" s="626" t="str">
        <f>if(G56="","",IFERROR(VLOOKUP(G56,AtivosDados,MATCH("provento_avg",portfolio.!$A$3:AE$3,0),FALSE),""))</f>
        <v/>
      </c>
      <c r="I56" s="627" t="s">
        <v>123</v>
      </c>
      <c r="J56" s="628" t="str">
        <f>IFERROR(__xludf.DUMMYFUNCTION("IF($G56="""","""",IFERROR(query({proventos!$B$5:$Q310},""Select sum(Col16) where Col1 = '""&amp;$G56&amp;""' and Col2 &gt; date '""&amp;TEXT(K$8,""yyyy-mm-dd"")&amp;""' and Col2 &lt;= date '""&amp;TEXT(J$8,""yyyy-mm-dd"")&amp;""' label sum(Col16) ''"",0)))"),"")</f>
        <v/>
      </c>
      <c r="K56" s="628" t="str">
        <f>IFERROR(__xludf.DUMMYFUNCTION("IF($G56="""","""",IFERROR(query({proventos!$B$5:$Q310},""Select sum(Col16) where Col1 = '""&amp;$G56&amp;""' and Col2 &gt; date '""&amp;TEXT(L$8,""yyyy-mm-dd"")&amp;""' and Col2 &lt;= date '""&amp;TEXT(K$8,""yyyy-mm-dd"")&amp;""' label sum(Col16) ''"",0)))"),"")</f>
        <v/>
      </c>
      <c r="L56" s="628" t="str">
        <f>IFERROR(__xludf.DUMMYFUNCTION("IF($G56="""","""",IFERROR(query({proventos!$B$5:$Q310},""Select sum(Col16) where Col1 = '""&amp;$G56&amp;""' and Col2 &gt; date '""&amp;TEXT(M$8,""yyyy-mm-dd"")&amp;""' and Col2 &lt;= date '""&amp;TEXT(L$8,""yyyy-mm-dd"")&amp;""' label sum(Col16) ''"",0)))"),"")</f>
        <v/>
      </c>
      <c r="M56" s="628" t="str">
        <f>IFERROR(__xludf.DUMMYFUNCTION("IF($G56="""","""",IFERROR(query({proventos!$B$5:$Q310},""Select sum(Col16) where Col1 = '""&amp;$G56&amp;""' and Col2 &gt; date '""&amp;TEXT(N$8,""yyyy-mm-dd"")&amp;""' and Col2 &lt;= date '""&amp;TEXT(M$8,""yyyy-mm-dd"")&amp;""' label sum(Col16) ''"",0)))"),"")</f>
        <v/>
      </c>
      <c r="N56" s="628" t="str">
        <f>IFERROR(__xludf.DUMMYFUNCTION("IF($G56="""","""",IFERROR(query({proventos!$B$5:$Q310},""Select sum(Col16) where Col1 = '""&amp;$G56&amp;""' and Col2 &gt; date '""&amp;TEXT(O$8,""yyyy-mm-dd"")&amp;""' and Col2 &lt;= date '""&amp;TEXT(N$8,""yyyy-mm-dd"")&amp;""' label sum(Col16) ''"",0)))"),"")</f>
        <v/>
      </c>
      <c r="O56" s="628" t="str">
        <f>IFERROR(__xludf.DUMMYFUNCTION("IF($G56="""","""",IFERROR(query({proventos!$B$5:$Q310},""Select sum(Col16) where Col1 = '""&amp;$G56&amp;""' and Col2 &gt; date '""&amp;TEXT(P$8,""yyyy-mm-dd"")&amp;""' and Col2 &lt;= date '""&amp;TEXT(O$8,""yyyy-mm-dd"")&amp;""' label sum(Col16) ''"",0)))"),"")</f>
        <v/>
      </c>
      <c r="P56" s="628" t="str">
        <f>IFERROR(__xludf.DUMMYFUNCTION("IF($G56="""","""",IFERROR(query({proventos!$B$5:$Q310},""Select sum(Col16) where Col1 = '""&amp;$G56&amp;""' and Col2 &gt; date '""&amp;TEXT(Q$8,""yyyy-mm-dd"")&amp;""' and Col2 &lt;= date '""&amp;TEXT(P$8,""yyyy-mm-dd"")&amp;""' label sum(Col16) ''"",0)))"),"")</f>
        <v/>
      </c>
      <c r="Q56" s="628" t="str">
        <f>IFERROR(__xludf.DUMMYFUNCTION("IF($G56="""","""",IFERROR(query({proventos!$B$5:$Q310},""Select sum(Col16) where Col1 = '""&amp;$G56&amp;""' and Col2 &gt; date '""&amp;TEXT(R$8,""yyyy-mm-dd"")&amp;""' and Col2 &lt;= date '""&amp;TEXT(Q$8,""yyyy-mm-dd"")&amp;""' label sum(Col16) ''"",0)))"),"")</f>
        <v/>
      </c>
      <c r="R56" s="628" t="str">
        <f>IFERROR(__xludf.DUMMYFUNCTION("IF($G56="""","""",IFERROR(query({proventos!$B$5:$Q310},""Select sum(Col16) where Col1 = '""&amp;$G56&amp;""' and Col2 &gt; date '""&amp;TEXT(S$8,""yyyy-mm-dd"")&amp;""' and Col2 &lt;= date '""&amp;TEXT(R$8,""yyyy-mm-dd"")&amp;""' label sum(Col16) ''"",0)))"),"")</f>
        <v/>
      </c>
      <c r="S56" s="628" t="str">
        <f>IFERROR(__xludf.DUMMYFUNCTION("IF($G56="""","""",IFERROR(query({proventos!$B$5:$Q310},""Select sum(Col16) where Col1 = '""&amp;$G56&amp;""' and Col2 &gt; date '""&amp;TEXT(T$8,""yyyy-mm-dd"")&amp;""' and Col2 &lt;= date '""&amp;TEXT(S$8,""yyyy-mm-dd"")&amp;""' label sum(Col16) ''"",0)))"),"")</f>
        <v/>
      </c>
      <c r="T56" s="628" t="str">
        <f>IFERROR(__xludf.DUMMYFUNCTION("IF($G56="""","""",IFERROR(query({proventos!$B$5:$Q310},""Select sum(Col16) where Col1 = '""&amp;$G56&amp;""' and Col2 &gt; date '""&amp;TEXT(U$8,""yyyy-mm-dd"")&amp;""' and Col2 &lt;= date '""&amp;TEXT(T$8,""yyyy-mm-dd"")&amp;""' label sum(Col16) ''"",0)))"),"")</f>
        <v/>
      </c>
      <c r="U56" s="629" t="str">
        <f>IFERROR(__xludf.DUMMYFUNCTION("IF($G56="""","""",IFERROR(query({proventos!$B$5:$Q310},""Select sum(Col16) where Col1 = '""&amp;$G56&amp;""' and Col2 &gt; date '""&amp;TEXT(EOMONTH(TODAY(),-13),""yyyy-mm-dd"")&amp;""' and Col2 &lt;= date '""&amp;TEXT(U$8,""yyyy-mm-dd"")&amp;""' label sum(Col16) ''"",0)))"),"")</f>
        <v/>
      </c>
      <c r="V56" s="630" t="str">
        <f>IFERROR(__xludf.DUMMYFUNCTION("IF($G56="""","""",IFERROR(query({proventos!$B$5:$Q310},""Select sum(Col16) where Col1 = '""&amp;$G56&amp;""' and Col2 &gt; date '""&amp;TEXT(DATE(V$8,1,1),""yyyy-mm-dd"")&amp;""' and Col2 &lt;= date '""&amp;TEXT(DATE(V$8,12,31),""yyyy-mm-dd"")&amp;""' label sum(Col16) ''"",0)))"),"")</f>
        <v/>
      </c>
      <c r="W56" s="630" t="str">
        <f>IFERROR(__xludf.DUMMYFUNCTION("IF($G56="""","""",IFERROR(query({proventos!$B$5:$Q310},""Select sum(Col16) where Col1 = '""&amp;$G56&amp;""' and Col2 &gt; date '""&amp;TEXT(DATE(W$8,1,1),""yyyy-mm-dd"")&amp;""' and Col2 &lt;= date '""&amp;TEXT(DATE(W$8,12,31),""yyyy-mm-dd"")&amp;""' label sum(Col16) ''"",0)))"),"")</f>
        <v/>
      </c>
      <c r="X56" s="630" t="str">
        <f>IFERROR(__xludf.DUMMYFUNCTION("IF($G56="""","""",IFERROR(query({proventos!$B$5:$Q310},""Select sum(Col16) where Col1 = '""&amp;$G56&amp;""' and Col2 &gt; date '""&amp;TEXT(DATE(X$8,1,1),""yyyy-mm-dd"")&amp;""' and Col2 &lt;= date '""&amp;TEXT(DATE(X$8,12,31),""yyyy-mm-dd"")&amp;""' label sum(Col16) ''"",0)))"),"")</f>
        <v/>
      </c>
      <c r="Y56" s="630" t="str">
        <f>IFERROR(__xludf.DUMMYFUNCTION("IF($G56="""","""",IFERROR(query({proventos!$B$5:$Q310},""Select sum(Col16) where Col1 = '""&amp;$G56&amp;""' and Col2 &gt; date '""&amp;TEXT(DATE(Y$8,1,1),""yyyy-mm-dd"")&amp;""' and Col2 &lt;= date '""&amp;TEXT(DATE(Y$8,12,31),""yyyy-mm-dd"")&amp;""' label sum(Col16) ''"",0)))"),"")</f>
        <v/>
      </c>
      <c r="Z56" s="630" t="str">
        <f>IFERROR(__xludf.DUMMYFUNCTION("IF($G56="""","""",IFERROR(query({proventos!$B$5:$Q310},""Select sum(Col16) where Col1 = '""&amp;$G56&amp;""' and Col2 &gt; date '""&amp;TEXT(DATE(Z$8,1,1),""yyyy-mm-dd"")&amp;""' and Col2 &lt;= date '""&amp;TEXT(DATE(Z$8,12,31),""yyyy-mm-dd"")&amp;""' label sum(Col16) ''"",0)))"),"")</f>
        <v/>
      </c>
      <c r="AA56" s="587"/>
      <c r="AB56" s="578" t="s">
        <v>123</v>
      </c>
      <c r="AC56" s="601"/>
      <c r="AD56" s="636"/>
      <c r="AE56" s="636"/>
    </row>
    <row r="57">
      <c r="A57" s="619">
        <v>47.0</v>
      </c>
      <c r="B57" s="620"/>
      <c r="C57" s="632"/>
      <c r="D57" s="633"/>
      <c r="E57" s="634"/>
      <c r="F57" s="624">
        <v>47.0</v>
      </c>
      <c r="G57" s="635"/>
      <c r="H57" s="626" t="str">
        <f>if(G57="","",IFERROR(VLOOKUP(G57,AtivosDados,MATCH("provento_avg",portfolio.!$A$3:AE$3,0),FALSE),""))</f>
        <v/>
      </c>
      <c r="I57" s="627" t="s">
        <v>123</v>
      </c>
      <c r="J57" s="628" t="str">
        <f>IFERROR(__xludf.DUMMYFUNCTION("IF($G57="""","""",IFERROR(query({proventos!$B$5:$Q310},""Select sum(Col16) where Col1 = '""&amp;$G57&amp;""' and Col2 &gt; date '""&amp;TEXT(K$8,""yyyy-mm-dd"")&amp;""' and Col2 &lt;= date '""&amp;TEXT(J$8,""yyyy-mm-dd"")&amp;""' label sum(Col16) ''"",0)))"),"")</f>
        <v/>
      </c>
      <c r="K57" s="628" t="str">
        <f>IFERROR(__xludf.DUMMYFUNCTION("IF($G57="""","""",IFERROR(query({proventos!$B$5:$Q310},""Select sum(Col16) where Col1 = '""&amp;$G57&amp;""' and Col2 &gt; date '""&amp;TEXT(L$8,""yyyy-mm-dd"")&amp;""' and Col2 &lt;= date '""&amp;TEXT(K$8,""yyyy-mm-dd"")&amp;""' label sum(Col16) ''"",0)))"),"")</f>
        <v/>
      </c>
      <c r="L57" s="628" t="str">
        <f>IFERROR(__xludf.DUMMYFUNCTION("IF($G57="""","""",IFERROR(query({proventos!$B$5:$Q310},""Select sum(Col16) where Col1 = '""&amp;$G57&amp;""' and Col2 &gt; date '""&amp;TEXT(M$8,""yyyy-mm-dd"")&amp;""' and Col2 &lt;= date '""&amp;TEXT(L$8,""yyyy-mm-dd"")&amp;""' label sum(Col16) ''"",0)))"),"")</f>
        <v/>
      </c>
      <c r="M57" s="628" t="str">
        <f>IFERROR(__xludf.DUMMYFUNCTION("IF($G57="""","""",IFERROR(query({proventos!$B$5:$Q310},""Select sum(Col16) where Col1 = '""&amp;$G57&amp;""' and Col2 &gt; date '""&amp;TEXT(N$8,""yyyy-mm-dd"")&amp;""' and Col2 &lt;= date '""&amp;TEXT(M$8,""yyyy-mm-dd"")&amp;""' label sum(Col16) ''"",0)))"),"")</f>
        <v/>
      </c>
      <c r="N57" s="628" t="str">
        <f>IFERROR(__xludf.DUMMYFUNCTION("IF($G57="""","""",IFERROR(query({proventos!$B$5:$Q310},""Select sum(Col16) where Col1 = '""&amp;$G57&amp;""' and Col2 &gt; date '""&amp;TEXT(O$8,""yyyy-mm-dd"")&amp;""' and Col2 &lt;= date '""&amp;TEXT(N$8,""yyyy-mm-dd"")&amp;""' label sum(Col16) ''"",0)))"),"")</f>
        <v/>
      </c>
      <c r="O57" s="628" t="str">
        <f>IFERROR(__xludf.DUMMYFUNCTION("IF($G57="""","""",IFERROR(query({proventos!$B$5:$Q310},""Select sum(Col16) where Col1 = '""&amp;$G57&amp;""' and Col2 &gt; date '""&amp;TEXT(P$8,""yyyy-mm-dd"")&amp;""' and Col2 &lt;= date '""&amp;TEXT(O$8,""yyyy-mm-dd"")&amp;""' label sum(Col16) ''"",0)))"),"")</f>
        <v/>
      </c>
      <c r="P57" s="628" t="str">
        <f>IFERROR(__xludf.DUMMYFUNCTION("IF($G57="""","""",IFERROR(query({proventos!$B$5:$Q310},""Select sum(Col16) where Col1 = '""&amp;$G57&amp;""' and Col2 &gt; date '""&amp;TEXT(Q$8,""yyyy-mm-dd"")&amp;""' and Col2 &lt;= date '""&amp;TEXT(P$8,""yyyy-mm-dd"")&amp;""' label sum(Col16) ''"",0)))"),"")</f>
        <v/>
      </c>
      <c r="Q57" s="628" t="str">
        <f>IFERROR(__xludf.DUMMYFUNCTION("IF($G57="""","""",IFERROR(query({proventos!$B$5:$Q310},""Select sum(Col16) where Col1 = '""&amp;$G57&amp;""' and Col2 &gt; date '""&amp;TEXT(R$8,""yyyy-mm-dd"")&amp;""' and Col2 &lt;= date '""&amp;TEXT(Q$8,""yyyy-mm-dd"")&amp;""' label sum(Col16) ''"",0)))"),"")</f>
        <v/>
      </c>
      <c r="R57" s="628" t="str">
        <f>IFERROR(__xludf.DUMMYFUNCTION("IF($G57="""","""",IFERROR(query({proventos!$B$5:$Q310},""Select sum(Col16) where Col1 = '""&amp;$G57&amp;""' and Col2 &gt; date '""&amp;TEXT(S$8,""yyyy-mm-dd"")&amp;""' and Col2 &lt;= date '""&amp;TEXT(R$8,""yyyy-mm-dd"")&amp;""' label sum(Col16) ''"",0)))"),"")</f>
        <v/>
      </c>
      <c r="S57" s="628" t="str">
        <f>IFERROR(__xludf.DUMMYFUNCTION("IF($G57="""","""",IFERROR(query({proventos!$B$5:$Q310},""Select sum(Col16) where Col1 = '""&amp;$G57&amp;""' and Col2 &gt; date '""&amp;TEXT(T$8,""yyyy-mm-dd"")&amp;""' and Col2 &lt;= date '""&amp;TEXT(S$8,""yyyy-mm-dd"")&amp;""' label sum(Col16) ''"",0)))"),"")</f>
        <v/>
      </c>
      <c r="T57" s="628" t="str">
        <f>IFERROR(__xludf.DUMMYFUNCTION("IF($G57="""","""",IFERROR(query({proventos!$B$5:$Q310},""Select sum(Col16) where Col1 = '""&amp;$G57&amp;""' and Col2 &gt; date '""&amp;TEXT(U$8,""yyyy-mm-dd"")&amp;""' and Col2 &lt;= date '""&amp;TEXT(T$8,""yyyy-mm-dd"")&amp;""' label sum(Col16) ''"",0)))"),"")</f>
        <v/>
      </c>
      <c r="U57" s="629" t="str">
        <f>IFERROR(__xludf.DUMMYFUNCTION("IF($G57="""","""",IFERROR(query({proventos!$B$5:$Q310},""Select sum(Col16) where Col1 = '""&amp;$G57&amp;""' and Col2 &gt; date '""&amp;TEXT(EOMONTH(TODAY(),-13),""yyyy-mm-dd"")&amp;""' and Col2 &lt;= date '""&amp;TEXT(U$8,""yyyy-mm-dd"")&amp;""' label sum(Col16) ''"",0)))"),"")</f>
        <v/>
      </c>
      <c r="V57" s="630" t="str">
        <f>IFERROR(__xludf.DUMMYFUNCTION("IF($G57="""","""",IFERROR(query({proventos!$B$5:$Q310},""Select sum(Col16) where Col1 = '""&amp;$G57&amp;""' and Col2 &gt; date '""&amp;TEXT(DATE(V$8,1,1),""yyyy-mm-dd"")&amp;""' and Col2 &lt;= date '""&amp;TEXT(DATE(V$8,12,31),""yyyy-mm-dd"")&amp;""' label sum(Col16) ''"",0)))"),"")</f>
        <v/>
      </c>
      <c r="W57" s="630" t="str">
        <f>IFERROR(__xludf.DUMMYFUNCTION("IF($G57="""","""",IFERROR(query({proventos!$B$5:$Q310},""Select sum(Col16) where Col1 = '""&amp;$G57&amp;""' and Col2 &gt; date '""&amp;TEXT(DATE(W$8,1,1),""yyyy-mm-dd"")&amp;""' and Col2 &lt;= date '""&amp;TEXT(DATE(W$8,12,31),""yyyy-mm-dd"")&amp;""' label sum(Col16) ''"",0)))"),"")</f>
        <v/>
      </c>
      <c r="X57" s="630" t="str">
        <f>IFERROR(__xludf.DUMMYFUNCTION("IF($G57="""","""",IFERROR(query({proventos!$B$5:$Q310},""Select sum(Col16) where Col1 = '""&amp;$G57&amp;""' and Col2 &gt; date '""&amp;TEXT(DATE(X$8,1,1),""yyyy-mm-dd"")&amp;""' and Col2 &lt;= date '""&amp;TEXT(DATE(X$8,12,31),""yyyy-mm-dd"")&amp;""' label sum(Col16) ''"",0)))"),"")</f>
        <v/>
      </c>
      <c r="Y57" s="630" t="str">
        <f>IFERROR(__xludf.DUMMYFUNCTION("IF($G57="""","""",IFERROR(query({proventos!$B$5:$Q310},""Select sum(Col16) where Col1 = '""&amp;$G57&amp;""' and Col2 &gt; date '""&amp;TEXT(DATE(Y$8,1,1),""yyyy-mm-dd"")&amp;""' and Col2 &lt;= date '""&amp;TEXT(DATE(Y$8,12,31),""yyyy-mm-dd"")&amp;""' label sum(Col16) ''"",0)))"),"")</f>
        <v/>
      </c>
      <c r="Z57" s="630" t="str">
        <f>IFERROR(__xludf.DUMMYFUNCTION("IF($G57="""","""",IFERROR(query({proventos!$B$5:$Q310},""Select sum(Col16) where Col1 = '""&amp;$G57&amp;""' and Col2 &gt; date '""&amp;TEXT(DATE(Z$8,1,1),""yyyy-mm-dd"")&amp;""' and Col2 &lt;= date '""&amp;TEXT(DATE(Z$8,12,31),""yyyy-mm-dd"")&amp;""' label sum(Col16) ''"",0)))"),"")</f>
        <v/>
      </c>
      <c r="AA57" s="587"/>
      <c r="AB57" s="578" t="s">
        <v>123</v>
      </c>
      <c r="AC57" s="601"/>
      <c r="AD57" s="636"/>
      <c r="AE57" s="636"/>
    </row>
    <row r="58">
      <c r="A58" s="619">
        <v>48.0</v>
      </c>
      <c r="B58" s="620"/>
      <c r="C58" s="632"/>
      <c r="D58" s="633"/>
      <c r="E58" s="634"/>
      <c r="F58" s="624">
        <v>48.0</v>
      </c>
      <c r="G58" s="635"/>
      <c r="H58" s="626" t="str">
        <f>if(G58="","",IFERROR(VLOOKUP(G58,AtivosDados,MATCH("provento_avg",portfolio.!$A$3:AE$3,0),FALSE),""))</f>
        <v/>
      </c>
      <c r="I58" s="627" t="s">
        <v>123</v>
      </c>
      <c r="J58" s="628" t="str">
        <f>IFERROR(__xludf.DUMMYFUNCTION("IF($G58="""","""",IFERROR(query({proventos!$B$5:$Q310},""Select sum(Col16) where Col1 = '""&amp;$G58&amp;""' and Col2 &gt; date '""&amp;TEXT(K$8,""yyyy-mm-dd"")&amp;""' and Col2 &lt;= date '""&amp;TEXT(J$8,""yyyy-mm-dd"")&amp;""' label sum(Col16) ''"",0)))"),"")</f>
        <v/>
      </c>
      <c r="K58" s="628" t="str">
        <f>IFERROR(__xludf.DUMMYFUNCTION("IF($G58="""","""",IFERROR(query({proventos!$B$5:$Q310},""Select sum(Col16) where Col1 = '""&amp;$G58&amp;""' and Col2 &gt; date '""&amp;TEXT(L$8,""yyyy-mm-dd"")&amp;""' and Col2 &lt;= date '""&amp;TEXT(K$8,""yyyy-mm-dd"")&amp;""' label sum(Col16) ''"",0)))"),"")</f>
        <v/>
      </c>
      <c r="L58" s="628" t="str">
        <f>IFERROR(__xludf.DUMMYFUNCTION("IF($G58="""","""",IFERROR(query({proventos!$B$5:$Q310},""Select sum(Col16) where Col1 = '""&amp;$G58&amp;""' and Col2 &gt; date '""&amp;TEXT(M$8,""yyyy-mm-dd"")&amp;""' and Col2 &lt;= date '""&amp;TEXT(L$8,""yyyy-mm-dd"")&amp;""' label sum(Col16) ''"",0)))"),"")</f>
        <v/>
      </c>
      <c r="M58" s="628" t="str">
        <f>IFERROR(__xludf.DUMMYFUNCTION("IF($G58="""","""",IFERROR(query({proventos!$B$5:$Q310},""Select sum(Col16) where Col1 = '""&amp;$G58&amp;""' and Col2 &gt; date '""&amp;TEXT(N$8,""yyyy-mm-dd"")&amp;""' and Col2 &lt;= date '""&amp;TEXT(M$8,""yyyy-mm-dd"")&amp;""' label sum(Col16) ''"",0)))"),"")</f>
        <v/>
      </c>
      <c r="N58" s="628" t="str">
        <f>IFERROR(__xludf.DUMMYFUNCTION("IF($G58="""","""",IFERROR(query({proventos!$B$5:$Q310},""Select sum(Col16) where Col1 = '""&amp;$G58&amp;""' and Col2 &gt; date '""&amp;TEXT(O$8,""yyyy-mm-dd"")&amp;""' and Col2 &lt;= date '""&amp;TEXT(N$8,""yyyy-mm-dd"")&amp;""' label sum(Col16) ''"",0)))"),"")</f>
        <v/>
      </c>
      <c r="O58" s="628" t="str">
        <f>IFERROR(__xludf.DUMMYFUNCTION("IF($G58="""","""",IFERROR(query({proventos!$B$5:$Q310},""Select sum(Col16) where Col1 = '""&amp;$G58&amp;""' and Col2 &gt; date '""&amp;TEXT(P$8,""yyyy-mm-dd"")&amp;""' and Col2 &lt;= date '""&amp;TEXT(O$8,""yyyy-mm-dd"")&amp;""' label sum(Col16) ''"",0)))"),"")</f>
        <v/>
      </c>
      <c r="P58" s="628" t="str">
        <f>IFERROR(__xludf.DUMMYFUNCTION("IF($G58="""","""",IFERROR(query({proventos!$B$5:$Q310},""Select sum(Col16) where Col1 = '""&amp;$G58&amp;""' and Col2 &gt; date '""&amp;TEXT(Q$8,""yyyy-mm-dd"")&amp;""' and Col2 &lt;= date '""&amp;TEXT(P$8,""yyyy-mm-dd"")&amp;""' label sum(Col16) ''"",0)))"),"")</f>
        <v/>
      </c>
      <c r="Q58" s="628" t="str">
        <f>IFERROR(__xludf.DUMMYFUNCTION("IF($G58="""","""",IFERROR(query({proventos!$B$5:$Q310},""Select sum(Col16) where Col1 = '""&amp;$G58&amp;""' and Col2 &gt; date '""&amp;TEXT(R$8,""yyyy-mm-dd"")&amp;""' and Col2 &lt;= date '""&amp;TEXT(Q$8,""yyyy-mm-dd"")&amp;""' label sum(Col16) ''"",0)))"),"")</f>
        <v/>
      </c>
      <c r="R58" s="628" t="str">
        <f>IFERROR(__xludf.DUMMYFUNCTION("IF($G58="""","""",IFERROR(query({proventos!$B$5:$Q310},""Select sum(Col16) where Col1 = '""&amp;$G58&amp;""' and Col2 &gt; date '""&amp;TEXT(S$8,""yyyy-mm-dd"")&amp;""' and Col2 &lt;= date '""&amp;TEXT(R$8,""yyyy-mm-dd"")&amp;""' label sum(Col16) ''"",0)))"),"")</f>
        <v/>
      </c>
      <c r="S58" s="628" t="str">
        <f>IFERROR(__xludf.DUMMYFUNCTION("IF($G58="""","""",IFERROR(query({proventos!$B$5:$Q310},""Select sum(Col16) where Col1 = '""&amp;$G58&amp;""' and Col2 &gt; date '""&amp;TEXT(T$8,""yyyy-mm-dd"")&amp;""' and Col2 &lt;= date '""&amp;TEXT(S$8,""yyyy-mm-dd"")&amp;""' label sum(Col16) ''"",0)))"),"")</f>
        <v/>
      </c>
      <c r="T58" s="628" t="str">
        <f>IFERROR(__xludf.DUMMYFUNCTION("IF($G58="""","""",IFERROR(query({proventos!$B$5:$Q310},""Select sum(Col16) where Col1 = '""&amp;$G58&amp;""' and Col2 &gt; date '""&amp;TEXT(U$8,""yyyy-mm-dd"")&amp;""' and Col2 &lt;= date '""&amp;TEXT(T$8,""yyyy-mm-dd"")&amp;""' label sum(Col16) ''"",0)))"),"")</f>
        <v/>
      </c>
      <c r="U58" s="629" t="str">
        <f>IFERROR(__xludf.DUMMYFUNCTION("IF($G58="""","""",IFERROR(query({proventos!$B$5:$Q310},""Select sum(Col16) where Col1 = '""&amp;$G58&amp;""' and Col2 &gt; date '""&amp;TEXT(EOMONTH(TODAY(),-13),""yyyy-mm-dd"")&amp;""' and Col2 &lt;= date '""&amp;TEXT(U$8,""yyyy-mm-dd"")&amp;""' label sum(Col16) ''"",0)))"),"")</f>
        <v/>
      </c>
      <c r="V58" s="630" t="str">
        <f>IFERROR(__xludf.DUMMYFUNCTION("IF($G58="""","""",IFERROR(query({proventos!$B$5:$Q310},""Select sum(Col16) where Col1 = '""&amp;$G58&amp;""' and Col2 &gt; date '""&amp;TEXT(DATE(V$8,1,1),""yyyy-mm-dd"")&amp;""' and Col2 &lt;= date '""&amp;TEXT(DATE(V$8,12,31),""yyyy-mm-dd"")&amp;""' label sum(Col16) ''"",0)))"),"")</f>
        <v/>
      </c>
      <c r="W58" s="630" t="str">
        <f>IFERROR(__xludf.DUMMYFUNCTION("IF($G58="""","""",IFERROR(query({proventos!$B$5:$Q310},""Select sum(Col16) where Col1 = '""&amp;$G58&amp;""' and Col2 &gt; date '""&amp;TEXT(DATE(W$8,1,1),""yyyy-mm-dd"")&amp;""' and Col2 &lt;= date '""&amp;TEXT(DATE(W$8,12,31),""yyyy-mm-dd"")&amp;""' label sum(Col16) ''"",0)))"),"")</f>
        <v/>
      </c>
      <c r="X58" s="630" t="str">
        <f>IFERROR(__xludf.DUMMYFUNCTION("IF($G58="""","""",IFERROR(query({proventos!$B$5:$Q310},""Select sum(Col16) where Col1 = '""&amp;$G58&amp;""' and Col2 &gt; date '""&amp;TEXT(DATE(X$8,1,1),""yyyy-mm-dd"")&amp;""' and Col2 &lt;= date '""&amp;TEXT(DATE(X$8,12,31),""yyyy-mm-dd"")&amp;""' label sum(Col16) ''"",0)))"),"")</f>
        <v/>
      </c>
      <c r="Y58" s="630" t="str">
        <f>IFERROR(__xludf.DUMMYFUNCTION("IF($G58="""","""",IFERROR(query({proventos!$B$5:$Q310},""Select sum(Col16) where Col1 = '""&amp;$G58&amp;""' and Col2 &gt; date '""&amp;TEXT(DATE(Y$8,1,1),""yyyy-mm-dd"")&amp;""' and Col2 &lt;= date '""&amp;TEXT(DATE(Y$8,12,31),""yyyy-mm-dd"")&amp;""' label sum(Col16) ''"",0)))"),"")</f>
        <v/>
      </c>
      <c r="Z58" s="630" t="str">
        <f>IFERROR(__xludf.DUMMYFUNCTION("IF($G58="""","""",IFERROR(query({proventos!$B$5:$Q310},""Select sum(Col16) where Col1 = '""&amp;$G58&amp;""' and Col2 &gt; date '""&amp;TEXT(DATE(Z$8,1,1),""yyyy-mm-dd"")&amp;""' and Col2 &lt;= date '""&amp;TEXT(DATE(Z$8,12,31),""yyyy-mm-dd"")&amp;""' label sum(Col16) ''"",0)))"),"")</f>
        <v/>
      </c>
      <c r="AA58" s="587"/>
      <c r="AB58" s="578" t="s">
        <v>123</v>
      </c>
      <c r="AC58" s="601"/>
      <c r="AD58" s="636"/>
      <c r="AE58" s="636"/>
    </row>
    <row r="59">
      <c r="A59" s="619">
        <v>49.0</v>
      </c>
      <c r="B59" s="620"/>
      <c r="C59" s="632"/>
      <c r="D59" s="633"/>
      <c r="E59" s="634"/>
      <c r="F59" s="624">
        <v>49.0</v>
      </c>
      <c r="G59" s="635"/>
      <c r="H59" s="626" t="str">
        <f>if(G59="","",IFERROR(VLOOKUP(G59,AtivosDados,MATCH("provento_avg",portfolio.!$A$3:AE$3,0),FALSE),""))</f>
        <v/>
      </c>
      <c r="I59" s="627" t="s">
        <v>123</v>
      </c>
      <c r="J59" s="628" t="str">
        <f>IFERROR(__xludf.DUMMYFUNCTION("IF($G59="""","""",IFERROR(query({proventos!$B$5:$Q310},""Select sum(Col16) where Col1 = '""&amp;$G59&amp;""' and Col2 &gt; date '""&amp;TEXT(K$8,""yyyy-mm-dd"")&amp;""' and Col2 &lt;= date '""&amp;TEXT(J$8,""yyyy-mm-dd"")&amp;""' label sum(Col16) ''"",0)))"),"")</f>
        <v/>
      </c>
      <c r="K59" s="628" t="str">
        <f>IFERROR(__xludf.DUMMYFUNCTION("IF($G59="""","""",IFERROR(query({proventos!$B$5:$Q310},""Select sum(Col16) where Col1 = '""&amp;$G59&amp;""' and Col2 &gt; date '""&amp;TEXT(L$8,""yyyy-mm-dd"")&amp;""' and Col2 &lt;= date '""&amp;TEXT(K$8,""yyyy-mm-dd"")&amp;""' label sum(Col16) ''"",0)))"),"")</f>
        <v/>
      </c>
      <c r="L59" s="628" t="str">
        <f>IFERROR(__xludf.DUMMYFUNCTION("IF($G59="""","""",IFERROR(query({proventos!$B$5:$Q310},""Select sum(Col16) where Col1 = '""&amp;$G59&amp;""' and Col2 &gt; date '""&amp;TEXT(M$8,""yyyy-mm-dd"")&amp;""' and Col2 &lt;= date '""&amp;TEXT(L$8,""yyyy-mm-dd"")&amp;""' label sum(Col16) ''"",0)))"),"")</f>
        <v/>
      </c>
      <c r="M59" s="628" t="str">
        <f>IFERROR(__xludf.DUMMYFUNCTION("IF($G59="""","""",IFERROR(query({proventos!$B$5:$Q310},""Select sum(Col16) where Col1 = '""&amp;$G59&amp;""' and Col2 &gt; date '""&amp;TEXT(N$8,""yyyy-mm-dd"")&amp;""' and Col2 &lt;= date '""&amp;TEXT(M$8,""yyyy-mm-dd"")&amp;""' label sum(Col16) ''"",0)))"),"")</f>
        <v/>
      </c>
      <c r="N59" s="628" t="str">
        <f>IFERROR(__xludf.DUMMYFUNCTION("IF($G59="""","""",IFERROR(query({proventos!$B$5:$Q310},""Select sum(Col16) where Col1 = '""&amp;$G59&amp;""' and Col2 &gt; date '""&amp;TEXT(O$8,""yyyy-mm-dd"")&amp;""' and Col2 &lt;= date '""&amp;TEXT(N$8,""yyyy-mm-dd"")&amp;""' label sum(Col16) ''"",0)))"),"")</f>
        <v/>
      </c>
      <c r="O59" s="628" t="str">
        <f>IFERROR(__xludf.DUMMYFUNCTION("IF($G59="""","""",IFERROR(query({proventos!$B$5:$Q310},""Select sum(Col16) where Col1 = '""&amp;$G59&amp;""' and Col2 &gt; date '""&amp;TEXT(P$8,""yyyy-mm-dd"")&amp;""' and Col2 &lt;= date '""&amp;TEXT(O$8,""yyyy-mm-dd"")&amp;""' label sum(Col16) ''"",0)))"),"")</f>
        <v/>
      </c>
      <c r="P59" s="628" t="str">
        <f>IFERROR(__xludf.DUMMYFUNCTION("IF($G59="""","""",IFERROR(query({proventos!$B$5:$Q310},""Select sum(Col16) where Col1 = '""&amp;$G59&amp;""' and Col2 &gt; date '""&amp;TEXT(Q$8,""yyyy-mm-dd"")&amp;""' and Col2 &lt;= date '""&amp;TEXT(P$8,""yyyy-mm-dd"")&amp;""' label sum(Col16) ''"",0)))"),"")</f>
        <v/>
      </c>
      <c r="Q59" s="628" t="str">
        <f>IFERROR(__xludf.DUMMYFUNCTION("IF($G59="""","""",IFERROR(query({proventos!$B$5:$Q310},""Select sum(Col16) where Col1 = '""&amp;$G59&amp;""' and Col2 &gt; date '""&amp;TEXT(R$8,""yyyy-mm-dd"")&amp;""' and Col2 &lt;= date '""&amp;TEXT(Q$8,""yyyy-mm-dd"")&amp;""' label sum(Col16) ''"",0)))"),"")</f>
        <v/>
      </c>
      <c r="R59" s="628" t="str">
        <f>IFERROR(__xludf.DUMMYFUNCTION("IF($G59="""","""",IFERROR(query({proventos!$B$5:$Q310},""Select sum(Col16) where Col1 = '""&amp;$G59&amp;""' and Col2 &gt; date '""&amp;TEXT(S$8,""yyyy-mm-dd"")&amp;""' and Col2 &lt;= date '""&amp;TEXT(R$8,""yyyy-mm-dd"")&amp;""' label sum(Col16) ''"",0)))"),"")</f>
        <v/>
      </c>
      <c r="S59" s="628" t="str">
        <f>IFERROR(__xludf.DUMMYFUNCTION("IF($G59="""","""",IFERROR(query({proventos!$B$5:$Q310},""Select sum(Col16) where Col1 = '""&amp;$G59&amp;""' and Col2 &gt; date '""&amp;TEXT(T$8,""yyyy-mm-dd"")&amp;""' and Col2 &lt;= date '""&amp;TEXT(S$8,""yyyy-mm-dd"")&amp;""' label sum(Col16) ''"",0)))"),"")</f>
        <v/>
      </c>
      <c r="T59" s="628" t="str">
        <f>IFERROR(__xludf.DUMMYFUNCTION("IF($G59="""","""",IFERROR(query({proventos!$B$5:$Q310},""Select sum(Col16) where Col1 = '""&amp;$G59&amp;""' and Col2 &gt; date '""&amp;TEXT(U$8,""yyyy-mm-dd"")&amp;""' and Col2 &lt;= date '""&amp;TEXT(T$8,""yyyy-mm-dd"")&amp;""' label sum(Col16) ''"",0)))"),"")</f>
        <v/>
      </c>
      <c r="U59" s="629" t="str">
        <f>IFERROR(__xludf.DUMMYFUNCTION("IF($G59="""","""",IFERROR(query({proventos!$B$5:$Q310},""Select sum(Col16) where Col1 = '""&amp;$G59&amp;""' and Col2 &gt; date '""&amp;TEXT(EOMONTH(TODAY(),-13),""yyyy-mm-dd"")&amp;""' and Col2 &lt;= date '""&amp;TEXT(U$8,""yyyy-mm-dd"")&amp;""' label sum(Col16) ''"",0)))"),"")</f>
        <v/>
      </c>
      <c r="V59" s="630" t="str">
        <f>IFERROR(__xludf.DUMMYFUNCTION("IF($G59="""","""",IFERROR(query({proventos!$B$5:$Q310},""Select sum(Col16) where Col1 = '""&amp;$G59&amp;""' and Col2 &gt; date '""&amp;TEXT(DATE(V$8,1,1),""yyyy-mm-dd"")&amp;""' and Col2 &lt;= date '""&amp;TEXT(DATE(V$8,12,31),""yyyy-mm-dd"")&amp;""' label sum(Col16) ''"",0)))"),"")</f>
        <v/>
      </c>
      <c r="W59" s="630" t="str">
        <f>IFERROR(__xludf.DUMMYFUNCTION("IF($G59="""","""",IFERROR(query({proventos!$B$5:$Q310},""Select sum(Col16) where Col1 = '""&amp;$G59&amp;""' and Col2 &gt; date '""&amp;TEXT(DATE(W$8,1,1),""yyyy-mm-dd"")&amp;""' and Col2 &lt;= date '""&amp;TEXT(DATE(W$8,12,31),""yyyy-mm-dd"")&amp;""' label sum(Col16) ''"",0)))"),"")</f>
        <v/>
      </c>
      <c r="X59" s="630" t="str">
        <f>IFERROR(__xludf.DUMMYFUNCTION("IF($G59="""","""",IFERROR(query({proventos!$B$5:$Q310},""Select sum(Col16) where Col1 = '""&amp;$G59&amp;""' and Col2 &gt; date '""&amp;TEXT(DATE(X$8,1,1),""yyyy-mm-dd"")&amp;""' and Col2 &lt;= date '""&amp;TEXT(DATE(X$8,12,31),""yyyy-mm-dd"")&amp;""' label sum(Col16) ''"",0)))"),"")</f>
        <v/>
      </c>
      <c r="Y59" s="630" t="str">
        <f>IFERROR(__xludf.DUMMYFUNCTION("IF($G59="""","""",IFERROR(query({proventos!$B$5:$Q310},""Select sum(Col16) where Col1 = '""&amp;$G59&amp;""' and Col2 &gt; date '""&amp;TEXT(DATE(Y$8,1,1),""yyyy-mm-dd"")&amp;""' and Col2 &lt;= date '""&amp;TEXT(DATE(Y$8,12,31),""yyyy-mm-dd"")&amp;""' label sum(Col16) ''"",0)))"),"")</f>
        <v/>
      </c>
      <c r="Z59" s="630" t="str">
        <f>IFERROR(__xludf.DUMMYFUNCTION("IF($G59="""","""",IFERROR(query({proventos!$B$5:$Q310},""Select sum(Col16) where Col1 = '""&amp;$G59&amp;""' and Col2 &gt; date '""&amp;TEXT(DATE(Z$8,1,1),""yyyy-mm-dd"")&amp;""' and Col2 &lt;= date '""&amp;TEXT(DATE(Z$8,12,31),""yyyy-mm-dd"")&amp;""' label sum(Col16) ''"",0)))"),"")</f>
        <v/>
      </c>
      <c r="AA59" s="587"/>
      <c r="AB59" s="578" t="s">
        <v>123</v>
      </c>
      <c r="AC59" s="601"/>
      <c r="AD59" s="636"/>
      <c r="AE59" s="636"/>
    </row>
    <row r="60">
      <c r="A60" s="619">
        <v>50.0</v>
      </c>
      <c r="B60" s="620"/>
      <c r="C60" s="632"/>
      <c r="D60" s="633"/>
      <c r="E60" s="634"/>
      <c r="F60" s="624">
        <v>50.0</v>
      </c>
      <c r="G60" s="635"/>
      <c r="H60" s="626" t="str">
        <f>if(G60="","",IFERROR(VLOOKUP(G60,AtivosDados,MATCH("provento_avg",portfolio.!$A$3:AE$3,0),FALSE),""))</f>
        <v/>
      </c>
      <c r="I60" s="627" t="s">
        <v>123</v>
      </c>
      <c r="J60" s="628" t="str">
        <f>IFERROR(__xludf.DUMMYFUNCTION("IF($G60="""","""",IFERROR(query({proventos!$B$5:$Q310},""Select sum(Col16) where Col1 = '""&amp;$G60&amp;""' and Col2 &gt; date '""&amp;TEXT(K$8,""yyyy-mm-dd"")&amp;""' and Col2 &lt;= date '""&amp;TEXT(J$8,""yyyy-mm-dd"")&amp;""' label sum(Col16) ''"",0)))"),"")</f>
        <v/>
      </c>
      <c r="K60" s="628" t="str">
        <f>IFERROR(__xludf.DUMMYFUNCTION("IF($G60="""","""",IFERROR(query({proventos!$B$5:$Q310},""Select sum(Col16) where Col1 = '""&amp;$G60&amp;""' and Col2 &gt; date '""&amp;TEXT(L$8,""yyyy-mm-dd"")&amp;""' and Col2 &lt;= date '""&amp;TEXT(K$8,""yyyy-mm-dd"")&amp;""' label sum(Col16) ''"",0)))"),"")</f>
        <v/>
      </c>
      <c r="L60" s="628" t="str">
        <f>IFERROR(__xludf.DUMMYFUNCTION("IF($G60="""","""",IFERROR(query({proventos!$B$5:$Q310},""Select sum(Col16) where Col1 = '""&amp;$G60&amp;""' and Col2 &gt; date '""&amp;TEXT(M$8,""yyyy-mm-dd"")&amp;""' and Col2 &lt;= date '""&amp;TEXT(L$8,""yyyy-mm-dd"")&amp;""' label sum(Col16) ''"",0)))"),"")</f>
        <v/>
      </c>
      <c r="M60" s="628" t="str">
        <f>IFERROR(__xludf.DUMMYFUNCTION("IF($G60="""","""",IFERROR(query({proventos!$B$5:$Q310},""Select sum(Col16) where Col1 = '""&amp;$G60&amp;""' and Col2 &gt; date '""&amp;TEXT(N$8,""yyyy-mm-dd"")&amp;""' and Col2 &lt;= date '""&amp;TEXT(M$8,""yyyy-mm-dd"")&amp;""' label sum(Col16) ''"",0)))"),"")</f>
        <v/>
      </c>
      <c r="N60" s="628" t="str">
        <f>IFERROR(__xludf.DUMMYFUNCTION("IF($G60="""","""",IFERROR(query({proventos!$B$5:$Q310},""Select sum(Col16) where Col1 = '""&amp;$G60&amp;""' and Col2 &gt; date '""&amp;TEXT(O$8,""yyyy-mm-dd"")&amp;""' and Col2 &lt;= date '""&amp;TEXT(N$8,""yyyy-mm-dd"")&amp;""' label sum(Col16) ''"",0)))"),"")</f>
        <v/>
      </c>
      <c r="O60" s="628" t="str">
        <f>IFERROR(__xludf.DUMMYFUNCTION("IF($G60="""","""",IFERROR(query({proventos!$B$5:$Q310},""Select sum(Col16) where Col1 = '""&amp;$G60&amp;""' and Col2 &gt; date '""&amp;TEXT(P$8,""yyyy-mm-dd"")&amp;""' and Col2 &lt;= date '""&amp;TEXT(O$8,""yyyy-mm-dd"")&amp;""' label sum(Col16) ''"",0)))"),"")</f>
        <v/>
      </c>
      <c r="P60" s="628" t="str">
        <f>IFERROR(__xludf.DUMMYFUNCTION("IF($G60="""","""",IFERROR(query({proventos!$B$5:$Q310},""Select sum(Col16) where Col1 = '""&amp;$G60&amp;""' and Col2 &gt; date '""&amp;TEXT(Q$8,""yyyy-mm-dd"")&amp;""' and Col2 &lt;= date '""&amp;TEXT(P$8,""yyyy-mm-dd"")&amp;""' label sum(Col16) ''"",0)))"),"")</f>
        <v/>
      </c>
      <c r="Q60" s="628" t="str">
        <f>IFERROR(__xludf.DUMMYFUNCTION("IF($G60="""","""",IFERROR(query({proventos!$B$5:$Q310},""Select sum(Col16) where Col1 = '""&amp;$G60&amp;""' and Col2 &gt; date '""&amp;TEXT(R$8,""yyyy-mm-dd"")&amp;""' and Col2 &lt;= date '""&amp;TEXT(Q$8,""yyyy-mm-dd"")&amp;""' label sum(Col16) ''"",0)))"),"")</f>
        <v/>
      </c>
      <c r="R60" s="628" t="str">
        <f>IFERROR(__xludf.DUMMYFUNCTION("IF($G60="""","""",IFERROR(query({proventos!$B$5:$Q310},""Select sum(Col16) where Col1 = '""&amp;$G60&amp;""' and Col2 &gt; date '""&amp;TEXT(S$8,""yyyy-mm-dd"")&amp;""' and Col2 &lt;= date '""&amp;TEXT(R$8,""yyyy-mm-dd"")&amp;""' label sum(Col16) ''"",0)))"),"")</f>
        <v/>
      </c>
      <c r="S60" s="628" t="str">
        <f>IFERROR(__xludf.DUMMYFUNCTION("IF($G60="""","""",IFERROR(query({proventos!$B$5:$Q310},""Select sum(Col16) where Col1 = '""&amp;$G60&amp;""' and Col2 &gt; date '""&amp;TEXT(T$8,""yyyy-mm-dd"")&amp;""' and Col2 &lt;= date '""&amp;TEXT(S$8,""yyyy-mm-dd"")&amp;""' label sum(Col16) ''"",0)))"),"")</f>
        <v/>
      </c>
      <c r="T60" s="628" t="str">
        <f>IFERROR(__xludf.DUMMYFUNCTION("IF($G60="""","""",IFERROR(query({proventos!$B$5:$Q310},""Select sum(Col16) where Col1 = '""&amp;$G60&amp;""' and Col2 &gt; date '""&amp;TEXT(U$8,""yyyy-mm-dd"")&amp;""' and Col2 &lt;= date '""&amp;TEXT(T$8,""yyyy-mm-dd"")&amp;""' label sum(Col16) ''"",0)))"),"")</f>
        <v/>
      </c>
      <c r="U60" s="629" t="str">
        <f>IFERROR(__xludf.DUMMYFUNCTION("IF($G60="""","""",IFERROR(query({proventos!$B$5:$Q310},""Select sum(Col16) where Col1 = '""&amp;$G60&amp;""' and Col2 &gt; date '""&amp;TEXT(EOMONTH(TODAY(),-13),""yyyy-mm-dd"")&amp;""' and Col2 &lt;= date '""&amp;TEXT(U$8,""yyyy-mm-dd"")&amp;""' label sum(Col16) ''"",0)))"),"")</f>
        <v/>
      </c>
      <c r="V60" s="630" t="str">
        <f>IFERROR(__xludf.DUMMYFUNCTION("IF($G60="""","""",IFERROR(query({proventos!$B$5:$Q310},""Select sum(Col16) where Col1 = '""&amp;$G60&amp;""' and Col2 &gt; date '""&amp;TEXT(DATE(V$8,1,1),""yyyy-mm-dd"")&amp;""' and Col2 &lt;= date '""&amp;TEXT(DATE(V$8,12,31),""yyyy-mm-dd"")&amp;""' label sum(Col16) ''"",0)))"),"")</f>
        <v/>
      </c>
      <c r="W60" s="630" t="str">
        <f>IFERROR(__xludf.DUMMYFUNCTION("IF($G60="""","""",IFERROR(query({proventos!$B$5:$Q310},""Select sum(Col16) where Col1 = '""&amp;$G60&amp;""' and Col2 &gt; date '""&amp;TEXT(DATE(W$8,1,1),""yyyy-mm-dd"")&amp;""' and Col2 &lt;= date '""&amp;TEXT(DATE(W$8,12,31),""yyyy-mm-dd"")&amp;""' label sum(Col16) ''"",0)))"),"")</f>
        <v/>
      </c>
      <c r="X60" s="630" t="str">
        <f>IFERROR(__xludf.DUMMYFUNCTION("IF($G60="""","""",IFERROR(query({proventos!$B$5:$Q310},""Select sum(Col16) where Col1 = '""&amp;$G60&amp;""' and Col2 &gt; date '""&amp;TEXT(DATE(X$8,1,1),""yyyy-mm-dd"")&amp;""' and Col2 &lt;= date '""&amp;TEXT(DATE(X$8,12,31),""yyyy-mm-dd"")&amp;""' label sum(Col16) ''"",0)))"),"")</f>
        <v/>
      </c>
      <c r="Y60" s="630" t="str">
        <f>IFERROR(__xludf.DUMMYFUNCTION("IF($G60="""","""",IFERROR(query({proventos!$B$5:$Q310},""Select sum(Col16) where Col1 = '""&amp;$G60&amp;""' and Col2 &gt; date '""&amp;TEXT(DATE(Y$8,1,1),""yyyy-mm-dd"")&amp;""' and Col2 &lt;= date '""&amp;TEXT(DATE(Y$8,12,31),""yyyy-mm-dd"")&amp;""' label sum(Col16) ''"",0)))"),"")</f>
        <v/>
      </c>
      <c r="Z60" s="630" t="str">
        <f>IFERROR(__xludf.DUMMYFUNCTION("IF($G60="""","""",IFERROR(query({proventos!$B$5:$Q310},""Select sum(Col16) where Col1 = '""&amp;$G60&amp;""' and Col2 &gt; date '""&amp;TEXT(DATE(Z$8,1,1),""yyyy-mm-dd"")&amp;""' and Col2 &lt;= date '""&amp;TEXT(DATE(Z$8,12,31),""yyyy-mm-dd"")&amp;""' label sum(Col16) ''"",0)))"),"")</f>
        <v/>
      </c>
      <c r="AA60" s="587"/>
      <c r="AB60" s="578" t="s">
        <v>123</v>
      </c>
      <c r="AC60" s="601"/>
      <c r="AD60" s="636"/>
      <c r="AE60" s="636"/>
    </row>
    <row r="61">
      <c r="A61" s="619">
        <v>51.0</v>
      </c>
      <c r="B61" s="620"/>
      <c r="C61" s="632"/>
      <c r="D61" s="633"/>
      <c r="E61" s="634"/>
      <c r="F61" s="624">
        <v>51.0</v>
      </c>
      <c r="G61" s="635"/>
      <c r="H61" s="626" t="str">
        <f>if(G61="","",IFERROR(VLOOKUP(G61,AtivosDados,MATCH("provento_avg",portfolio.!$A$3:AE$3,0),FALSE),""))</f>
        <v/>
      </c>
      <c r="I61" s="627" t="s">
        <v>123</v>
      </c>
      <c r="J61" s="628" t="str">
        <f>IFERROR(__xludf.DUMMYFUNCTION("IF($G61="""","""",IFERROR(query({proventos!$B$5:$Q310},""Select sum(Col16) where Col1 = '""&amp;$G61&amp;""' and Col2 &gt; date '""&amp;TEXT(K$8,""yyyy-mm-dd"")&amp;""' and Col2 &lt;= date '""&amp;TEXT(J$8,""yyyy-mm-dd"")&amp;""' label sum(Col16) ''"",0)))"),"")</f>
        <v/>
      </c>
      <c r="K61" s="628" t="str">
        <f>IFERROR(__xludf.DUMMYFUNCTION("IF($G61="""","""",IFERROR(query({proventos!$B$5:$Q310},""Select sum(Col16) where Col1 = '""&amp;$G61&amp;""' and Col2 &gt; date '""&amp;TEXT(L$8,""yyyy-mm-dd"")&amp;""' and Col2 &lt;= date '""&amp;TEXT(K$8,""yyyy-mm-dd"")&amp;""' label sum(Col16) ''"",0)))"),"")</f>
        <v/>
      </c>
      <c r="L61" s="628" t="str">
        <f>IFERROR(__xludf.DUMMYFUNCTION("IF($G61="""","""",IFERROR(query({proventos!$B$5:$Q310},""Select sum(Col16) where Col1 = '""&amp;$G61&amp;""' and Col2 &gt; date '""&amp;TEXT(M$8,""yyyy-mm-dd"")&amp;""' and Col2 &lt;= date '""&amp;TEXT(L$8,""yyyy-mm-dd"")&amp;""' label sum(Col16) ''"",0)))"),"")</f>
        <v/>
      </c>
      <c r="M61" s="628" t="str">
        <f>IFERROR(__xludf.DUMMYFUNCTION("IF($G61="""","""",IFERROR(query({proventos!$B$5:$Q310},""Select sum(Col16) where Col1 = '""&amp;$G61&amp;""' and Col2 &gt; date '""&amp;TEXT(N$8,""yyyy-mm-dd"")&amp;""' and Col2 &lt;= date '""&amp;TEXT(M$8,""yyyy-mm-dd"")&amp;""' label sum(Col16) ''"",0)))"),"")</f>
        <v/>
      </c>
      <c r="N61" s="628" t="str">
        <f>IFERROR(__xludf.DUMMYFUNCTION("IF($G61="""","""",IFERROR(query({proventos!$B$5:$Q310},""Select sum(Col16) where Col1 = '""&amp;$G61&amp;""' and Col2 &gt; date '""&amp;TEXT(O$8,""yyyy-mm-dd"")&amp;""' and Col2 &lt;= date '""&amp;TEXT(N$8,""yyyy-mm-dd"")&amp;""' label sum(Col16) ''"",0)))"),"")</f>
        <v/>
      </c>
      <c r="O61" s="628" t="str">
        <f>IFERROR(__xludf.DUMMYFUNCTION("IF($G61="""","""",IFERROR(query({proventos!$B$5:$Q310},""Select sum(Col16) where Col1 = '""&amp;$G61&amp;""' and Col2 &gt; date '""&amp;TEXT(P$8,""yyyy-mm-dd"")&amp;""' and Col2 &lt;= date '""&amp;TEXT(O$8,""yyyy-mm-dd"")&amp;""' label sum(Col16) ''"",0)))"),"")</f>
        <v/>
      </c>
      <c r="P61" s="628" t="str">
        <f>IFERROR(__xludf.DUMMYFUNCTION("IF($G61="""","""",IFERROR(query({proventos!$B$5:$Q310},""Select sum(Col16) where Col1 = '""&amp;$G61&amp;""' and Col2 &gt; date '""&amp;TEXT(Q$8,""yyyy-mm-dd"")&amp;""' and Col2 &lt;= date '""&amp;TEXT(P$8,""yyyy-mm-dd"")&amp;""' label sum(Col16) ''"",0)))"),"")</f>
        <v/>
      </c>
      <c r="Q61" s="628" t="str">
        <f>IFERROR(__xludf.DUMMYFUNCTION("IF($G61="""","""",IFERROR(query({proventos!$B$5:$Q310},""Select sum(Col16) where Col1 = '""&amp;$G61&amp;""' and Col2 &gt; date '""&amp;TEXT(R$8,""yyyy-mm-dd"")&amp;""' and Col2 &lt;= date '""&amp;TEXT(Q$8,""yyyy-mm-dd"")&amp;""' label sum(Col16) ''"",0)))"),"")</f>
        <v/>
      </c>
      <c r="R61" s="628" t="str">
        <f>IFERROR(__xludf.DUMMYFUNCTION("IF($G61="""","""",IFERROR(query({proventos!$B$5:$Q310},""Select sum(Col16) where Col1 = '""&amp;$G61&amp;""' and Col2 &gt; date '""&amp;TEXT(S$8,""yyyy-mm-dd"")&amp;""' and Col2 &lt;= date '""&amp;TEXT(R$8,""yyyy-mm-dd"")&amp;""' label sum(Col16) ''"",0)))"),"")</f>
        <v/>
      </c>
      <c r="S61" s="628" t="str">
        <f>IFERROR(__xludf.DUMMYFUNCTION("IF($G61="""","""",IFERROR(query({proventos!$B$5:$Q310},""Select sum(Col16) where Col1 = '""&amp;$G61&amp;""' and Col2 &gt; date '""&amp;TEXT(T$8,""yyyy-mm-dd"")&amp;""' and Col2 &lt;= date '""&amp;TEXT(S$8,""yyyy-mm-dd"")&amp;""' label sum(Col16) ''"",0)))"),"")</f>
        <v/>
      </c>
      <c r="T61" s="628" t="str">
        <f>IFERROR(__xludf.DUMMYFUNCTION("IF($G61="""","""",IFERROR(query({proventos!$B$5:$Q310},""Select sum(Col16) where Col1 = '""&amp;$G61&amp;""' and Col2 &gt; date '""&amp;TEXT(U$8,""yyyy-mm-dd"")&amp;""' and Col2 &lt;= date '""&amp;TEXT(T$8,""yyyy-mm-dd"")&amp;""' label sum(Col16) ''"",0)))"),"")</f>
        <v/>
      </c>
      <c r="U61" s="629" t="str">
        <f>IFERROR(__xludf.DUMMYFUNCTION("IF($G61="""","""",IFERROR(query({proventos!$B$5:$Q310},""Select sum(Col16) where Col1 = '""&amp;$G61&amp;""' and Col2 &gt; date '""&amp;TEXT(EOMONTH(TODAY(),-13),""yyyy-mm-dd"")&amp;""' and Col2 &lt;= date '""&amp;TEXT(U$8,""yyyy-mm-dd"")&amp;""' label sum(Col16) ''"",0)))"),"")</f>
        <v/>
      </c>
      <c r="V61" s="630" t="str">
        <f>IFERROR(__xludf.DUMMYFUNCTION("IF($G61="""","""",IFERROR(query({proventos!$B$5:$Q310},""Select sum(Col16) where Col1 = '""&amp;$G61&amp;""' and Col2 &gt; date '""&amp;TEXT(DATE(V$8,1,1),""yyyy-mm-dd"")&amp;""' and Col2 &lt;= date '""&amp;TEXT(DATE(V$8,12,31),""yyyy-mm-dd"")&amp;""' label sum(Col16) ''"",0)))"),"")</f>
        <v/>
      </c>
      <c r="W61" s="630" t="str">
        <f>IFERROR(__xludf.DUMMYFUNCTION("IF($G61="""","""",IFERROR(query({proventos!$B$5:$Q310},""Select sum(Col16) where Col1 = '""&amp;$G61&amp;""' and Col2 &gt; date '""&amp;TEXT(DATE(W$8,1,1),""yyyy-mm-dd"")&amp;""' and Col2 &lt;= date '""&amp;TEXT(DATE(W$8,12,31),""yyyy-mm-dd"")&amp;""' label sum(Col16) ''"",0)))"),"")</f>
        <v/>
      </c>
      <c r="X61" s="630" t="str">
        <f>IFERROR(__xludf.DUMMYFUNCTION("IF($G61="""","""",IFERROR(query({proventos!$B$5:$Q310},""Select sum(Col16) where Col1 = '""&amp;$G61&amp;""' and Col2 &gt; date '""&amp;TEXT(DATE(X$8,1,1),""yyyy-mm-dd"")&amp;""' and Col2 &lt;= date '""&amp;TEXT(DATE(X$8,12,31),""yyyy-mm-dd"")&amp;""' label sum(Col16) ''"",0)))"),"")</f>
        <v/>
      </c>
      <c r="Y61" s="630" t="str">
        <f>IFERROR(__xludf.DUMMYFUNCTION("IF($G61="""","""",IFERROR(query({proventos!$B$5:$Q310},""Select sum(Col16) where Col1 = '""&amp;$G61&amp;""' and Col2 &gt; date '""&amp;TEXT(DATE(Y$8,1,1),""yyyy-mm-dd"")&amp;""' and Col2 &lt;= date '""&amp;TEXT(DATE(Y$8,12,31),""yyyy-mm-dd"")&amp;""' label sum(Col16) ''"",0)))"),"")</f>
        <v/>
      </c>
      <c r="Z61" s="630" t="str">
        <f>IFERROR(__xludf.DUMMYFUNCTION("IF($G61="""","""",IFERROR(query({proventos!$B$5:$Q310},""Select sum(Col16) where Col1 = '""&amp;$G61&amp;""' and Col2 &gt; date '""&amp;TEXT(DATE(Z$8,1,1),""yyyy-mm-dd"")&amp;""' and Col2 &lt;= date '""&amp;TEXT(DATE(Z$8,12,31),""yyyy-mm-dd"")&amp;""' label sum(Col16) ''"",0)))"),"")</f>
        <v/>
      </c>
      <c r="AA61" s="587"/>
      <c r="AB61" s="578" t="s">
        <v>123</v>
      </c>
      <c r="AC61" s="601"/>
      <c r="AD61" s="636"/>
      <c r="AE61" s="636"/>
    </row>
    <row r="62">
      <c r="A62" s="619">
        <v>52.0</v>
      </c>
      <c r="B62" s="620"/>
      <c r="C62" s="632"/>
      <c r="D62" s="633"/>
      <c r="E62" s="634"/>
      <c r="F62" s="624">
        <v>52.0</v>
      </c>
      <c r="G62" s="635"/>
      <c r="H62" s="626" t="str">
        <f>if(G62="","",IFERROR(VLOOKUP(G62,AtivosDados,MATCH("provento_avg",portfolio.!$A$3:AE$3,0),FALSE),""))</f>
        <v/>
      </c>
      <c r="I62" s="627" t="s">
        <v>123</v>
      </c>
      <c r="J62" s="628" t="str">
        <f>IFERROR(__xludf.DUMMYFUNCTION("IF($G62="""","""",IFERROR(query({proventos!$B$5:$Q310},""Select sum(Col16) where Col1 = '""&amp;$G62&amp;""' and Col2 &gt; date '""&amp;TEXT(K$8,""yyyy-mm-dd"")&amp;""' and Col2 &lt;= date '""&amp;TEXT(J$8,""yyyy-mm-dd"")&amp;""' label sum(Col16) ''"",0)))"),"")</f>
        <v/>
      </c>
      <c r="K62" s="628" t="str">
        <f>IFERROR(__xludf.DUMMYFUNCTION("IF($G62="""","""",IFERROR(query({proventos!$B$5:$Q310},""Select sum(Col16) where Col1 = '""&amp;$G62&amp;""' and Col2 &gt; date '""&amp;TEXT(L$8,""yyyy-mm-dd"")&amp;""' and Col2 &lt;= date '""&amp;TEXT(K$8,""yyyy-mm-dd"")&amp;""' label sum(Col16) ''"",0)))"),"")</f>
        <v/>
      </c>
      <c r="L62" s="628" t="str">
        <f>IFERROR(__xludf.DUMMYFUNCTION("IF($G62="""","""",IFERROR(query({proventos!$B$5:$Q310},""Select sum(Col16) where Col1 = '""&amp;$G62&amp;""' and Col2 &gt; date '""&amp;TEXT(M$8,""yyyy-mm-dd"")&amp;""' and Col2 &lt;= date '""&amp;TEXT(L$8,""yyyy-mm-dd"")&amp;""' label sum(Col16) ''"",0)))"),"")</f>
        <v/>
      </c>
      <c r="M62" s="628" t="str">
        <f>IFERROR(__xludf.DUMMYFUNCTION("IF($G62="""","""",IFERROR(query({proventos!$B$5:$Q310},""Select sum(Col16) where Col1 = '""&amp;$G62&amp;""' and Col2 &gt; date '""&amp;TEXT(N$8,""yyyy-mm-dd"")&amp;""' and Col2 &lt;= date '""&amp;TEXT(M$8,""yyyy-mm-dd"")&amp;""' label sum(Col16) ''"",0)))"),"")</f>
        <v/>
      </c>
      <c r="N62" s="628" t="str">
        <f>IFERROR(__xludf.DUMMYFUNCTION("IF($G62="""","""",IFERROR(query({proventos!$B$5:$Q310},""Select sum(Col16) where Col1 = '""&amp;$G62&amp;""' and Col2 &gt; date '""&amp;TEXT(O$8,""yyyy-mm-dd"")&amp;""' and Col2 &lt;= date '""&amp;TEXT(N$8,""yyyy-mm-dd"")&amp;""' label sum(Col16) ''"",0)))"),"")</f>
        <v/>
      </c>
      <c r="O62" s="628" t="str">
        <f>IFERROR(__xludf.DUMMYFUNCTION("IF($G62="""","""",IFERROR(query({proventos!$B$5:$Q310},""Select sum(Col16) where Col1 = '""&amp;$G62&amp;""' and Col2 &gt; date '""&amp;TEXT(P$8,""yyyy-mm-dd"")&amp;""' and Col2 &lt;= date '""&amp;TEXT(O$8,""yyyy-mm-dd"")&amp;""' label sum(Col16) ''"",0)))"),"")</f>
        <v/>
      </c>
      <c r="P62" s="628" t="str">
        <f>IFERROR(__xludf.DUMMYFUNCTION("IF($G62="""","""",IFERROR(query({proventos!$B$5:$Q310},""Select sum(Col16) where Col1 = '""&amp;$G62&amp;""' and Col2 &gt; date '""&amp;TEXT(Q$8,""yyyy-mm-dd"")&amp;""' and Col2 &lt;= date '""&amp;TEXT(P$8,""yyyy-mm-dd"")&amp;""' label sum(Col16) ''"",0)))"),"")</f>
        <v/>
      </c>
      <c r="Q62" s="628" t="str">
        <f>IFERROR(__xludf.DUMMYFUNCTION("IF($G62="""","""",IFERROR(query({proventos!$B$5:$Q310},""Select sum(Col16) where Col1 = '""&amp;$G62&amp;""' and Col2 &gt; date '""&amp;TEXT(R$8,""yyyy-mm-dd"")&amp;""' and Col2 &lt;= date '""&amp;TEXT(Q$8,""yyyy-mm-dd"")&amp;""' label sum(Col16) ''"",0)))"),"")</f>
        <v/>
      </c>
      <c r="R62" s="628" t="str">
        <f>IFERROR(__xludf.DUMMYFUNCTION("IF($G62="""","""",IFERROR(query({proventos!$B$5:$Q310},""Select sum(Col16) where Col1 = '""&amp;$G62&amp;""' and Col2 &gt; date '""&amp;TEXT(S$8,""yyyy-mm-dd"")&amp;""' and Col2 &lt;= date '""&amp;TEXT(R$8,""yyyy-mm-dd"")&amp;""' label sum(Col16) ''"",0)))"),"")</f>
        <v/>
      </c>
      <c r="S62" s="628" t="str">
        <f>IFERROR(__xludf.DUMMYFUNCTION("IF($G62="""","""",IFERROR(query({proventos!$B$5:$Q310},""Select sum(Col16) where Col1 = '""&amp;$G62&amp;""' and Col2 &gt; date '""&amp;TEXT(T$8,""yyyy-mm-dd"")&amp;""' and Col2 &lt;= date '""&amp;TEXT(S$8,""yyyy-mm-dd"")&amp;""' label sum(Col16) ''"",0)))"),"")</f>
        <v/>
      </c>
      <c r="T62" s="628" t="str">
        <f>IFERROR(__xludf.DUMMYFUNCTION("IF($G62="""","""",IFERROR(query({proventos!$B$5:$Q310},""Select sum(Col16) where Col1 = '""&amp;$G62&amp;""' and Col2 &gt; date '""&amp;TEXT(U$8,""yyyy-mm-dd"")&amp;""' and Col2 &lt;= date '""&amp;TEXT(T$8,""yyyy-mm-dd"")&amp;""' label sum(Col16) ''"",0)))"),"")</f>
        <v/>
      </c>
      <c r="U62" s="629" t="str">
        <f>IFERROR(__xludf.DUMMYFUNCTION("IF($G62="""","""",IFERROR(query({proventos!$B$5:$Q310},""Select sum(Col16) where Col1 = '""&amp;$G62&amp;""' and Col2 &gt; date '""&amp;TEXT(EOMONTH(TODAY(),-13),""yyyy-mm-dd"")&amp;""' and Col2 &lt;= date '""&amp;TEXT(U$8,""yyyy-mm-dd"")&amp;""' label sum(Col16) ''"",0)))"),"")</f>
        <v/>
      </c>
      <c r="V62" s="630" t="str">
        <f>IFERROR(__xludf.DUMMYFUNCTION("IF($G62="""","""",IFERROR(query({proventos!$B$5:$Q310},""Select sum(Col16) where Col1 = '""&amp;$G62&amp;""' and Col2 &gt; date '""&amp;TEXT(DATE(V$8,1,1),""yyyy-mm-dd"")&amp;""' and Col2 &lt;= date '""&amp;TEXT(DATE(V$8,12,31),""yyyy-mm-dd"")&amp;""' label sum(Col16) ''"",0)))"),"")</f>
        <v/>
      </c>
      <c r="W62" s="630" t="str">
        <f>IFERROR(__xludf.DUMMYFUNCTION("IF($G62="""","""",IFERROR(query({proventos!$B$5:$Q310},""Select sum(Col16) where Col1 = '""&amp;$G62&amp;""' and Col2 &gt; date '""&amp;TEXT(DATE(W$8,1,1),""yyyy-mm-dd"")&amp;""' and Col2 &lt;= date '""&amp;TEXT(DATE(W$8,12,31),""yyyy-mm-dd"")&amp;""' label sum(Col16) ''"",0)))"),"")</f>
        <v/>
      </c>
      <c r="X62" s="630" t="str">
        <f>IFERROR(__xludf.DUMMYFUNCTION("IF($G62="""","""",IFERROR(query({proventos!$B$5:$Q310},""Select sum(Col16) where Col1 = '""&amp;$G62&amp;""' and Col2 &gt; date '""&amp;TEXT(DATE(X$8,1,1),""yyyy-mm-dd"")&amp;""' and Col2 &lt;= date '""&amp;TEXT(DATE(X$8,12,31),""yyyy-mm-dd"")&amp;""' label sum(Col16) ''"",0)))"),"")</f>
        <v/>
      </c>
      <c r="Y62" s="630" t="str">
        <f>IFERROR(__xludf.DUMMYFUNCTION("IF($G62="""","""",IFERROR(query({proventos!$B$5:$Q310},""Select sum(Col16) where Col1 = '""&amp;$G62&amp;""' and Col2 &gt; date '""&amp;TEXT(DATE(Y$8,1,1),""yyyy-mm-dd"")&amp;""' and Col2 &lt;= date '""&amp;TEXT(DATE(Y$8,12,31),""yyyy-mm-dd"")&amp;""' label sum(Col16) ''"",0)))"),"")</f>
        <v/>
      </c>
      <c r="Z62" s="630" t="str">
        <f>IFERROR(__xludf.DUMMYFUNCTION("IF($G62="""","""",IFERROR(query({proventos!$B$5:$Q310},""Select sum(Col16) where Col1 = '""&amp;$G62&amp;""' and Col2 &gt; date '""&amp;TEXT(DATE(Z$8,1,1),""yyyy-mm-dd"")&amp;""' and Col2 &lt;= date '""&amp;TEXT(DATE(Z$8,12,31),""yyyy-mm-dd"")&amp;""' label sum(Col16) ''"",0)))"),"")</f>
        <v/>
      </c>
      <c r="AA62" s="587"/>
      <c r="AB62" s="578" t="s">
        <v>123</v>
      </c>
      <c r="AC62" s="601"/>
      <c r="AD62" s="636"/>
      <c r="AE62" s="636"/>
    </row>
    <row r="63">
      <c r="A63" s="619">
        <v>53.0</v>
      </c>
      <c r="B63" s="620"/>
      <c r="C63" s="632"/>
      <c r="D63" s="633"/>
      <c r="E63" s="634"/>
      <c r="F63" s="624">
        <v>53.0</v>
      </c>
      <c r="G63" s="635"/>
      <c r="H63" s="626" t="str">
        <f>if(G63="","",IFERROR(VLOOKUP(G63,AtivosDados,MATCH("provento_avg",portfolio.!$A$3:AE$3,0),FALSE),""))</f>
        <v/>
      </c>
      <c r="I63" s="627" t="s">
        <v>123</v>
      </c>
      <c r="J63" s="628" t="str">
        <f>IFERROR(__xludf.DUMMYFUNCTION("IF($G63="""","""",IFERROR(query({proventos!$B$5:$Q310},""Select sum(Col16) where Col1 = '""&amp;$G63&amp;""' and Col2 &gt; date '""&amp;TEXT(K$8,""yyyy-mm-dd"")&amp;""' and Col2 &lt;= date '""&amp;TEXT(J$8,""yyyy-mm-dd"")&amp;""' label sum(Col16) ''"",0)))"),"")</f>
        <v/>
      </c>
      <c r="K63" s="628" t="str">
        <f>IFERROR(__xludf.DUMMYFUNCTION("IF($G63="""","""",IFERROR(query({proventos!$B$5:$Q310},""Select sum(Col16) where Col1 = '""&amp;$G63&amp;""' and Col2 &gt; date '""&amp;TEXT(L$8,""yyyy-mm-dd"")&amp;""' and Col2 &lt;= date '""&amp;TEXT(K$8,""yyyy-mm-dd"")&amp;""' label sum(Col16) ''"",0)))"),"")</f>
        <v/>
      </c>
      <c r="L63" s="628" t="str">
        <f>IFERROR(__xludf.DUMMYFUNCTION("IF($G63="""","""",IFERROR(query({proventos!$B$5:$Q310},""Select sum(Col16) where Col1 = '""&amp;$G63&amp;""' and Col2 &gt; date '""&amp;TEXT(M$8,""yyyy-mm-dd"")&amp;""' and Col2 &lt;= date '""&amp;TEXT(L$8,""yyyy-mm-dd"")&amp;""' label sum(Col16) ''"",0)))"),"")</f>
        <v/>
      </c>
      <c r="M63" s="628" t="str">
        <f>IFERROR(__xludf.DUMMYFUNCTION("IF($G63="""","""",IFERROR(query({proventos!$B$5:$Q310},""Select sum(Col16) where Col1 = '""&amp;$G63&amp;""' and Col2 &gt; date '""&amp;TEXT(N$8,""yyyy-mm-dd"")&amp;""' and Col2 &lt;= date '""&amp;TEXT(M$8,""yyyy-mm-dd"")&amp;""' label sum(Col16) ''"",0)))"),"")</f>
        <v/>
      </c>
      <c r="N63" s="628" t="str">
        <f>IFERROR(__xludf.DUMMYFUNCTION("IF($G63="""","""",IFERROR(query({proventos!$B$5:$Q310},""Select sum(Col16) where Col1 = '""&amp;$G63&amp;""' and Col2 &gt; date '""&amp;TEXT(O$8,""yyyy-mm-dd"")&amp;""' and Col2 &lt;= date '""&amp;TEXT(N$8,""yyyy-mm-dd"")&amp;""' label sum(Col16) ''"",0)))"),"")</f>
        <v/>
      </c>
      <c r="O63" s="628" t="str">
        <f>IFERROR(__xludf.DUMMYFUNCTION("IF($G63="""","""",IFERROR(query({proventos!$B$5:$Q310},""Select sum(Col16) where Col1 = '""&amp;$G63&amp;""' and Col2 &gt; date '""&amp;TEXT(P$8,""yyyy-mm-dd"")&amp;""' and Col2 &lt;= date '""&amp;TEXT(O$8,""yyyy-mm-dd"")&amp;""' label sum(Col16) ''"",0)))"),"")</f>
        <v/>
      </c>
      <c r="P63" s="628" t="str">
        <f>IFERROR(__xludf.DUMMYFUNCTION("IF($G63="""","""",IFERROR(query({proventos!$B$5:$Q310},""Select sum(Col16) where Col1 = '""&amp;$G63&amp;""' and Col2 &gt; date '""&amp;TEXT(Q$8,""yyyy-mm-dd"")&amp;""' and Col2 &lt;= date '""&amp;TEXT(P$8,""yyyy-mm-dd"")&amp;""' label sum(Col16) ''"",0)))"),"")</f>
        <v/>
      </c>
      <c r="Q63" s="628" t="str">
        <f>IFERROR(__xludf.DUMMYFUNCTION("IF($G63="""","""",IFERROR(query({proventos!$B$5:$Q310},""Select sum(Col16) where Col1 = '""&amp;$G63&amp;""' and Col2 &gt; date '""&amp;TEXT(R$8,""yyyy-mm-dd"")&amp;""' and Col2 &lt;= date '""&amp;TEXT(Q$8,""yyyy-mm-dd"")&amp;""' label sum(Col16) ''"",0)))"),"")</f>
        <v/>
      </c>
      <c r="R63" s="628" t="str">
        <f>IFERROR(__xludf.DUMMYFUNCTION("IF($G63="""","""",IFERROR(query({proventos!$B$5:$Q310},""Select sum(Col16) where Col1 = '""&amp;$G63&amp;""' and Col2 &gt; date '""&amp;TEXT(S$8,""yyyy-mm-dd"")&amp;""' and Col2 &lt;= date '""&amp;TEXT(R$8,""yyyy-mm-dd"")&amp;""' label sum(Col16) ''"",0)))"),"")</f>
        <v/>
      </c>
      <c r="S63" s="628" t="str">
        <f>IFERROR(__xludf.DUMMYFUNCTION("IF($G63="""","""",IFERROR(query({proventos!$B$5:$Q310},""Select sum(Col16) where Col1 = '""&amp;$G63&amp;""' and Col2 &gt; date '""&amp;TEXT(T$8,""yyyy-mm-dd"")&amp;""' and Col2 &lt;= date '""&amp;TEXT(S$8,""yyyy-mm-dd"")&amp;""' label sum(Col16) ''"",0)))"),"")</f>
        <v/>
      </c>
      <c r="T63" s="628" t="str">
        <f>IFERROR(__xludf.DUMMYFUNCTION("IF($G63="""","""",IFERROR(query({proventos!$B$5:$Q310},""Select sum(Col16) where Col1 = '""&amp;$G63&amp;""' and Col2 &gt; date '""&amp;TEXT(U$8,""yyyy-mm-dd"")&amp;""' and Col2 &lt;= date '""&amp;TEXT(T$8,""yyyy-mm-dd"")&amp;""' label sum(Col16) ''"",0)))"),"")</f>
        <v/>
      </c>
      <c r="U63" s="629" t="str">
        <f>IFERROR(__xludf.DUMMYFUNCTION("IF($G63="""","""",IFERROR(query({proventos!$B$5:$Q310},""Select sum(Col16) where Col1 = '""&amp;$G63&amp;""' and Col2 &gt; date '""&amp;TEXT(EOMONTH(TODAY(),-13),""yyyy-mm-dd"")&amp;""' and Col2 &lt;= date '""&amp;TEXT(U$8,""yyyy-mm-dd"")&amp;""' label sum(Col16) ''"",0)))"),"")</f>
        <v/>
      </c>
      <c r="V63" s="630" t="str">
        <f>IFERROR(__xludf.DUMMYFUNCTION("IF($G63="""","""",IFERROR(query({proventos!$B$5:$Q310},""Select sum(Col16) where Col1 = '""&amp;$G63&amp;""' and Col2 &gt; date '""&amp;TEXT(DATE(V$8,1,1),""yyyy-mm-dd"")&amp;""' and Col2 &lt;= date '""&amp;TEXT(DATE(V$8,12,31),""yyyy-mm-dd"")&amp;""' label sum(Col16) ''"",0)))"),"")</f>
        <v/>
      </c>
      <c r="W63" s="630" t="str">
        <f>IFERROR(__xludf.DUMMYFUNCTION("IF($G63="""","""",IFERROR(query({proventos!$B$5:$Q310},""Select sum(Col16) where Col1 = '""&amp;$G63&amp;""' and Col2 &gt; date '""&amp;TEXT(DATE(W$8,1,1),""yyyy-mm-dd"")&amp;""' and Col2 &lt;= date '""&amp;TEXT(DATE(W$8,12,31),""yyyy-mm-dd"")&amp;""' label sum(Col16) ''"",0)))"),"")</f>
        <v/>
      </c>
      <c r="X63" s="630" t="str">
        <f>IFERROR(__xludf.DUMMYFUNCTION("IF($G63="""","""",IFERROR(query({proventos!$B$5:$Q310},""Select sum(Col16) where Col1 = '""&amp;$G63&amp;""' and Col2 &gt; date '""&amp;TEXT(DATE(X$8,1,1),""yyyy-mm-dd"")&amp;""' and Col2 &lt;= date '""&amp;TEXT(DATE(X$8,12,31),""yyyy-mm-dd"")&amp;""' label sum(Col16) ''"",0)))"),"")</f>
        <v/>
      </c>
      <c r="Y63" s="630" t="str">
        <f>IFERROR(__xludf.DUMMYFUNCTION("IF($G63="""","""",IFERROR(query({proventos!$B$5:$Q310},""Select sum(Col16) where Col1 = '""&amp;$G63&amp;""' and Col2 &gt; date '""&amp;TEXT(DATE(Y$8,1,1),""yyyy-mm-dd"")&amp;""' and Col2 &lt;= date '""&amp;TEXT(DATE(Y$8,12,31),""yyyy-mm-dd"")&amp;""' label sum(Col16) ''"",0)))"),"")</f>
        <v/>
      </c>
      <c r="Z63" s="630" t="str">
        <f>IFERROR(__xludf.DUMMYFUNCTION("IF($G63="""","""",IFERROR(query({proventos!$B$5:$Q310},""Select sum(Col16) where Col1 = '""&amp;$G63&amp;""' and Col2 &gt; date '""&amp;TEXT(DATE(Z$8,1,1),""yyyy-mm-dd"")&amp;""' and Col2 &lt;= date '""&amp;TEXT(DATE(Z$8,12,31),""yyyy-mm-dd"")&amp;""' label sum(Col16) ''"",0)))"),"")</f>
        <v/>
      </c>
      <c r="AA63" s="587"/>
      <c r="AB63" s="578" t="s">
        <v>123</v>
      </c>
      <c r="AC63" s="601"/>
      <c r="AD63" s="636"/>
      <c r="AE63" s="636"/>
    </row>
    <row r="64">
      <c r="A64" s="619">
        <v>54.0</v>
      </c>
      <c r="B64" s="620"/>
      <c r="C64" s="632"/>
      <c r="D64" s="633"/>
      <c r="E64" s="634"/>
      <c r="F64" s="624">
        <v>54.0</v>
      </c>
      <c r="G64" s="635"/>
      <c r="H64" s="626" t="str">
        <f>if(G64="","",IFERROR(VLOOKUP(G64,AtivosDados,MATCH("provento_avg",portfolio.!$A$3:AE$3,0),FALSE),""))</f>
        <v/>
      </c>
      <c r="I64" s="627" t="s">
        <v>123</v>
      </c>
      <c r="J64" s="628" t="str">
        <f>IFERROR(__xludf.DUMMYFUNCTION("IF($G64="""","""",IFERROR(query({proventos!$B$5:$Q310},""Select sum(Col16) where Col1 = '""&amp;$G64&amp;""' and Col2 &gt; date '""&amp;TEXT(K$8,""yyyy-mm-dd"")&amp;""' and Col2 &lt;= date '""&amp;TEXT(J$8,""yyyy-mm-dd"")&amp;""' label sum(Col16) ''"",0)))"),"")</f>
        <v/>
      </c>
      <c r="K64" s="628" t="str">
        <f>IFERROR(__xludf.DUMMYFUNCTION("IF($G64="""","""",IFERROR(query({proventos!$B$5:$Q310},""Select sum(Col16) where Col1 = '""&amp;$G64&amp;""' and Col2 &gt; date '""&amp;TEXT(L$8,""yyyy-mm-dd"")&amp;""' and Col2 &lt;= date '""&amp;TEXT(K$8,""yyyy-mm-dd"")&amp;""' label sum(Col16) ''"",0)))"),"")</f>
        <v/>
      </c>
      <c r="L64" s="628" t="str">
        <f>IFERROR(__xludf.DUMMYFUNCTION("IF($G64="""","""",IFERROR(query({proventos!$B$5:$Q310},""Select sum(Col16) where Col1 = '""&amp;$G64&amp;""' and Col2 &gt; date '""&amp;TEXT(M$8,""yyyy-mm-dd"")&amp;""' and Col2 &lt;= date '""&amp;TEXT(L$8,""yyyy-mm-dd"")&amp;""' label sum(Col16) ''"",0)))"),"")</f>
        <v/>
      </c>
      <c r="M64" s="628" t="str">
        <f>IFERROR(__xludf.DUMMYFUNCTION("IF($G64="""","""",IFERROR(query({proventos!$B$5:$Q310},""Select sum(Col16) where Col1 = '""&amp;$G64&amp;""' and Col2 &gt; date '""&amp;TEXT(N$8,""yyyy-mm-dd"")&amp;""' and Col2 &lt;= date '""&amp;TEXT(M$8,""yyyy-mm-dd"")&amp;""' label sum(Col16) ''"",0)))"),"")</f>
        <v/>
      </c>
      <c r="N64" s="628" t="str">
        <f>IFERROR(__xludf.DUMMYFUNCTION("IF($G64="""","""",IFERROR(query({proventos!$B$5:$Q310},""Select sum(Col16) where Col1 = '""&amp;$G64&amp;""' and Col2 &gt; date '""&amp;TEXT(O$8,""yyyy-mm-dd"")&amp;""' and Col2 &lt;= date '""&amp;TEXT(N$8,""yyyy-mm-dd"")&amp;""' label sum(Col16) ''"",0)))"),"")</f>
        <v/>
      </c>
      <c r="O64" s="628" t="str">
        <f>IFERROR(__xludf.DUMMYFUNCTION("IF($G64="""","""",IFERROR(query({proventos!$B$5:$Q310},""Select sum(Col16) where Col1 = '""&amp;$G64&amp;""' and Col2 &gt; date '""&amp;TEXT(P$8,""yyyy-mm-dd"")&amp;""' and Col2 &lt;= date '""&amp;TEXT(O$8,""yyyy-mm-dd"")&amp;""' label sum(Col16) ''"",0)))"),"")</f>
        <v/>
      </c>
      <c r="P64" s="628" t="str">
        <f>IFERROR(__xludf.DUMMYFUNCTION("IF($G64="""","""",IFERROR(query({proventos!$B$5:$Q310},""Select sum(Col16) where Col1 = '""&amp;$G64&amp;""' and Col2 &gt; date '""&amp;TEXT(Q$8,""yyyy-mm-dd"")&amp;""' and Col2 &lt;= date '""&amp;TEXT(P$8,""yyyy-mm-dd"")&amp;""' label sum(Col16) ''"",0)))"),"")</f>
        <v/>
      </c>
      <c r="Q64" s="628" t="str">
        <f>IFERROR(__xludf.DUMMYFUNCTION("IF($G64="""","""",IFERROR(query({proventos!$B$5:$Q310},""Select sum(Col16) where Col1 = '""&amp;$G64&amp;""' and Col2 &gt; date '""&amp;TEXT(R$8,""yyyy-mm-dd"")&amp;""' and Col2 &lt;= date '""&amp;TEXT(Q$8,""yyyy-mm-dd"")&amp;""' label sum(Col16) ''"",0)))"),"")</f>
        <v/>
      </c>
      <c r="R64" s="628" t="str">
        <f>IFERROR(__xludf.DUMMYFUNCTION("IF($G64="""","""",IFERROR(query({proventos!$B$5:$Q310},""Select sum(Col16) where Col1 = '""&amp;$G64&amp;""' and Col2 &gt; date '""&amp;TEXT(S$8,""yyyy-mm-dd"")&amp;""' and Col2 &lt;= date '""&amp;TEXT(R$8,""yyyy-mm-dd"")&amp;""' label sum(Col16) ''"",0)))"),"")</f>
        <v/>
      </c>
      <c r="S64" s="628" t="str">
        <f>IFERROR(__xludf.DUMMYFUNCTION("IF($G64="""","""",IFERROR(query({proventos!$B$5:$Q310},""Select sum(Col16) where Col1 = '""&amp;$G64&amp;""' and Col2 &gt; date '""&amp;TEXT(T$8,""yyyy-mm-dd"")&amp;""' and Col2 &lt;= date '""&amp;TEXT(S$8,""yyyy-mm-dd"")&amp;""' label sum(Col16) ''"",0)))"),"")</f>
        <v/>
      </c>
      <c r="T64" s="628" t="str">
        <f>IFERROR(__xludf.DUMMYFUNCTION("IF($G64="""","""",IFERROR(query({proventos!$B$5:$Q310},""Select sum(Col16) where Col1 = '""&amp;$G64&amp;""' and Col2 &gt; date '""&amp;TEXT(U$8,""yyyy-mm-dd"")&amp;""' and Col2 &lt;= date '""&amp;TEXT(T$8,""yyyy-mm-dd"")&amp;""' label sum(Col16) ''"",0)))"),"")</f>
        <v/>
      </c>
      <c r="U64" s="629" t="str">
        <f>IFERROR(__xludf.DUMMYFUNCTION("IF($G64="""","""",IFERROR(query({proventos!$B$5:$Q310},""Select sum(Col16) where Col1 = '""&amp;$G64&amp;""' and Col2 &gt; date '""&amp;TEXT(EOMONTH(TODAY(),-13),""yyyy-mm-dd"")&amp;""' and Col2 &lt;= date '""&amp;TEXT(U$8,""yyyy-mm-dd"")&amp;""' label sum(Col16) ''"",0)))"),"")</f>
        <v/>
      </c>
      <c r="V64" s="630" t="str">
        <f>IFERROR(__xludf.DUMMYFUNCTION("IF($G64="""","""",IFERROR(query({proventos!$B$5:$Q310},""Select sum(Col16) where Col1 = '""&amp;$G64&amp;""' and Col2 &gt; date '""&amp;TEXT(DATE(V$8,1,1),""yyyy-mm-dd"")&amp;""' and Col2 &lt;= date '""&amp;TEXT(DATE(V$8,12,31),""yyyy-mm-dd"")&amp;""' label sum(Col16) ''"",0)))"),"")</f>
        <v/>
      </c>
      <c r="W64" s="630" t="str">
        <f>IFERROR(__xludf.DUMMYFUNCTION("IF($G64="""","""",IFERROR(query({proventos!$B$5:$Q310},""Select sum(Col16) where Col1 = '""&amp;$G64&amp;""' and Col2 &gt; date '""&amp;TEXT(DATE(W$8,1,1),""yyyy-mm-dd"")&amp;""' and Col2 &lt;= date '""&amp;TEXT(DATE(W$8,12,31),""yyyy-mm-dd"")&amp;""' label sum(Col16) ''"",0)))"),"")</f>
        <v/>
      </c>
      <c r="X64" s="630" t="str">
        <f>IFERROR(__xludf.DUMMYFUNCTION("IF($G64="""","""",IFERROR(query({proventos!$B$5:$Q310},""Select sum(Col16) where Col1 = '""&amp;$G64&amp;""' and Col2 &gt; date '""&amp;TEXT(DATE(X$8,1,1),""yyyy-mm-dd"")&amp;""' and Col2 &lt;= date '""&amp;TEXT(DATE(X$8,12,31),""yyyy-mm-dd"")&amp;""' label sum(Col16) ''"",0)))"),"")</f>
        <v/>
      </c>
      <c r="Y64" s="630" t="str">
        <f>IFERROR(__xludf.DUMMYFUNCTION("IF($G64="""","""",IFERROR(query({proventos!$B$5:$Q310},""Select sum(Col16) where Col1 = '""&amp;$G64&amp;""' and Col2 &gt; date '""&amp;TEXT(DATE(Y$8,1,1),""yyyy-mm-dd"")&amp;""' and Col2 &lt;= date '""&amp;TEXT(DATE(Y$8,12,31),""yyyy-mm-dd"")&amp;""' label sum(Col16) ''"",0)))"),"")</f>
        <v/>
      </c>
      <c r="Z64" s="630" t="str">
        <f>IFERROR(__xludf.DUMMYFUNCTION("IF($G64="""","""",IFERROR(query({proventos!$B$5:$Q310},""Select sum(Col16) where Col1 = '""&amp;$G64&amp;""' and Col2 &gt; date '""&amp;TEXT(DATE(Z$8,1,1),""yyyy-mm-dd"")&amp;""' and Col2 &lt;= date '""&amp;TEXT(DATE(Z$8,12,31),""yyyy-mm-dd"")&amp;""' label sum(Col16) ''"",0)))"),"")</f>
        <v/>
      </c>
      <c r="AA64" s="587"/>
      <c r="AB64" s="578" t="s">
        <v>123</v>
      </c>
      <c r="AC64" s="601"/>
      <c r="AD64" s="636"/>
      <c r="AE64" s="636"/>
    </row>
    <row r="65">
      <c r="A65" s="619">
        <v>55.0</v>
      </c>
      <c r="B65" s="620"/>
      <c r="C65" s="632"/>
      <c r="D65" s="633"/>
      <c r="E65" s="634"/>
      <c r="F65" s="624">
        <v>55.0</v>
      </c>
      <c r="G65" s="635"/>
      <c r="H65" s="626" t="str">
        <f>if(G65="","",IFERROR(VLOOKUP(G65,AtivosDados,MATCH("provento_avg",portfolio.!$A$3:AE$3,0),FALSE),""))</f>
        <v/>
      </c>
      <c r="I65" s="627" t="s">
        <v>123</v>
      </c>
      <c r="J65" s="628" t="str">
        <f>IFERROR(__xludf.DUMMYFUNCTION("IF($G65="""","""",IFERROR(query({proventos!$B$5:$Q310},""Select sum(Col16) where Col1 = '""&amp;$G65&amp;""' and Col2 &gt; date '""&amp;TEXT(K$8,""yyyy-mm-dd"")&amp;""' and Col2 &lt;= date '""&amp;TEXT(J$8,""yyyy-mm-dd"")&amp;""' label sum(Col16) ''"",0)))"),"")</f>
        <v/>
      </c>
      <c r="K65" s="628" t="str">
        <f>IFERROR(__xludf.DUMMYFUNCTION("IF($G65="""","""",IFERROR(query({proventos!$B$5:$Q310},""Select sum(Col16) where Col1 = '""&amp;$G65&amp;""' and Col2 &gt; date '""&amp;TEXT(L$8,""yyyy-mm-dd"")&amp;""' and Col2 &lt;= date '""&amp;TEXT(K$8,""yyyy-mm-dd"")&amp;""' label sum(Col16) ''"",0)))"),"")</f>
        <v/>
      </c>
      <c r="L65" s="628" t="str">
        <f>IFERROR(__xludf.DUMMYFUNCTION("IF($G65="""","""",IFERROR(query({proventos!$B$5:$Q310},""Select sum(Col16) where Col1 = '""&amp;$G65&amp;""' and Col2 &gt; date '""&amp;TEXT(M$8,""yyyy-mm-dd"")&amp;""' and Col2 &lt;= date '""&amp;TEXT(L$8,""yyyy-mm-dd"")&amp;""' label sum(Col16) ''"",0)))"),"")</f>
        <v/>
      </c>
      <c r="M65" s="628" t="str">
        <f>IFERROR(__xludf.DUMMYFUNCTION("IF($G65="""","""",IFERROR(query({proventos!$B$5:$Q310},""Select sum(Col16) where Col1 = '""&amp;$G65&amp;""' and Col2 &gt; date '""&amp;TEXT(N$8,""yyyy-mm-dd"")&amp;""' and Col2 &lt;= date '""&amp;TEXT(M$8,""yyyy-mm-dd"")&amp;""' label sum(Col16) ''"",0)))"),"")</f>
        <v/>
      </c>
      <c r="N65" s="628" t="str">
        <f>IFERROR(__xludf.DUMMYFUNCTION("IF($G65="""","""",IFERROR(query({proventos!$B$5:$Q310},""Select sum(Col16) where Col1 = '""&amp;$G65&amp;""' and Col2 &gt; date '""&amp;TEXT(O$8,""yyyy-mm-dd"")&amp;""' and Col2 &lt;= date '""&amp;TEXT(N$8,""yyyy-mm-dd"")&amp;""' label sum(Col16) ''"",0)))"),"")</f>
        <v/>
      </c>
      <c r="O65" s="628" t="str">
        <f>IFERROR(__xludf.DUMMYFUNCTION("IF($G65="""","""",IFERROR(query({proventos!$B$5:$Q310},""Select sum(Col16) where Col1 = '""&amp;$G65&amp;""' and Col2 &gt; date '""&amp;TEXT(P$8,""yyyy-mm-dd"")&amp;""' and Col2 &lt;= date '""&amp;TEXT(O$8,""yyyy-mm-dd"")&amp;""' label sum(Col16) ''"",0)))"),"")</f>
        <v/>
      </c>
      <c r="P65" s="628" t="str">
        <f>IFERROR(__xludf.DUMMYFUNCTION("IF($G65="""","""",IFERROR(query({proventos!$B$5:$Q310},""Select sum(Col16) where Col1 = '""&amp;$G65&amp;""' and Col2 &gt; date '""&amp;TEXT(Q$8,""yyyy-mm-dd"")&amp;""' and Col2 &lt;= date '""&amp;TEXT(P$8,""yyyy-mm-dd"")&amp;""' label sum(Col16) ''"",0)))"),"")</f>
        <v/>
      </c>
      <c r="Q65" s="628" t="str">
        <f>IFERROR(__xludf.DUMMYFUNCTION("IF($G65="""","""",IFERROR(query({proventos!$B$5:$Q310},""Select sum(Col16) where Col1 = '""&amp;$G65&amp;""' and Col2 &gt; date '""&amp;TEXT(R$8,""yyyy-mm-dd"")&amp;""' and Col2 &lt;= date '""&amp;TEXT(Q$8,""yyyy-mm-dd"")&amp;""' label sum(Col16) ''"",0)))"),"")</f>
        <v/>
      </c>
      <c r="R65" s="628" t="str">
        <f>IFERROR(__xludf.DUMMYFUNCTION("IF($G65="""","""",IFERROR(query({proventos!$B$5:$Q310},""Select sum(Col16) where Col1 = '""&amp;$G65&amp;""' and Col2 &gt; date '""&amp;TEXT(S$8,""yyyy-mm-dd"")&amp;""' and Col2 &lt;= date '""&amp;TEXT(R$8,""yyyy-mm-dd"")&amp;""' label sum(Col16) ''"",0)))"),"")</f>
        <v/>
      </c>
      <c r="S65" s="628" t="str">
        <f>IFERROR(__xludf.DUMMYFUNCTION("IF($G65="""","""",IFERROR(query({proventos!$B$5:$Q310},""Select sum(Col16) where Col1 = '""&amp;$G65&amp;""' and Col2 &gt; date '""&amp;TEXT(T$8,""yyyy-mm-dd"")&amp;""' and Col2 &lt;= date '""&amp;TEXT(S$8,""yyyy-mm-dd"")&amp;""' label sum(Col16) ''"",0)))"),"")</f>
        <v/>
      </c>
      <c r="T65" s="628" t="str">
        <f>IFERROR(__xludf.DUMMYFUNCTION("IF($G65="""","""",IFERROR(query({proventos!$B$5:$Q310},""Select sum(Col16) where Col1 = '""&amp;$G65&amp;""' and Col2 &gt; date '""&amp;TEXT(U$8,""yyyy-mm-dd"")&amp;""' and Col2 &lt;= date '""&amp;TEXT(T$8,""yyyy-mm-dd"")&amp;""' label sum(Col16) ''"",0)))"),"")</f>
        <v/>
      </c>
      <c r="U65" s="629" t="str">
        <f>IFERROR(__xludf.DUMMYFUNCTION("IF($G65="""","""",IFERROR(query({proventos!$B$5:$Q310},""Select sum(Col16) where Col1 = '""&amp;$G65&amp;""' and Col2 &gt; date '""&amp;TEXT(EOMONTH(TODAY(),-13),""yyyy-mm-dd"")&amp;""' and Col2 &lt;= date '""&amp;TEXT(U$8,""yyyy-mm-dd"")&amp;""' label sum(Col16) ''"",0)))"),"")</f>
        <v/>
      </c>
      <c r="V65" s="630" t="str">
        <f>IFERROR(__xludf.DUMMYFUNCTION("IF($G65="""","""",IFERROR(query({proventos!$B$5:$Q310},""Select sum(Col16) where Col1 = '""&amp;$G65&amp;""' and Col2 &gt; date '""&amp;TEXT(DATE(V$8,1,1),""yyyy-mm-dd"")&amp;""' and Col2 &lt;= date '""&amp;TEXT(DATE(V$8,12,31),""yyyy-mm-dd"")&amp;""' label sum(Col16) ''"",0)))"),"")</f>
        <v/>
      </c>
      <c r="W65" s="630" t="str">
        <f>IFERROR(__xludf.DUMMYFUNCTION("IF($G65="""","""",IFERROR(query({proventos!$B$5:$Q310},""Select sum(Col16) where Col1 = '""&amp;$G65&amp;""' and Col2 &gt; date '""&amp;TEXT(DATE(W$8,1,1),""yyyy-mm-dd"")&amp;""' and Col2 &lt;= date '""&amp;TEXT(DATE(W$8,12,31),""yyyy-mm-dd"")&amp;""' label sum(Col16) ''"",0)))"),"")</f>
        <v/>
      </c>
      <c r="X65" s="630" t="str">
        <f>IFERROR(__xludf.DUMMYFUNCTION("IF($G65="""","""",IFERROR(query({proventos!$B$5:$Q310},""Select sum(Col16) where Col1 = '""&amp;$G65&amp;""' and Col2 &gt; date '""&amp;TEXT(DATE(X$8,1,1),""yyyy-mm-dd"")&amp;""' and Col2 &lt;= date '""&amp;TEXT(DATE(X$8,12,31),""yyyy-mm-dd"")&amp;""' label sum(Col16) ''"",0)))"),"")</f>
        <v/>
      </c>
      <c r="Y65" s="630" t="str">
        <f>IFERROR(__xludf.DUMMYFUNCTION("IF($G65="""","""",IFERROR(query({proventos!$B$5:$Q310},""Select sum(Col16) where Col1 = '""&amp;$G65&amp;""' and Col2 &gt; date '""&amp;TEXT(DATE(Y$8,1,1),""yyyy-mm-dd"")&amp;""' and Col2 &lt;= date '""&amp;TEXT(DATE(Y$8,12,31),""yyyy-mm-dd"")&amp;""' label sum(Col16) ''"",0)))"),"")</f>
        <v/>
      </c>
      <c r="Z65" s="630" t="str">
        <f>IFERROR(__xludf.DUMMYFUNCTION("IF($G65="""","""",IFERROR(query({proventos!$B$5:$Q310},""Select sum(Col16) where Col1 = '""&amp;$G65&amp;""' and Col2 &gt; date '""&amp;TEXT(DATE(Z$8,1,1),""yyyy-mm-dd"")&amp;""' and Col2 &lt;= date '""&amp;TEXT(DATE(Z$8,12,31),""yyyy-mm-dd"")&amp;""' label sum(Col16) ''"",0)))"),"")</f>
        <v/>
      </c>
      <c r="AA65" s="587"/>
      <c r="AB65" s="578" t="s">
        <v>123</v>
      </c>
      <c r="AC65" s="601"/>
      <c r="AD65" s="636"/>
      <c r="AE65" s="636"/>
    </row>
    <row r="66">
      <c r="A66" s="619">
        <v>56.0</v>
      </c>
      <c r="B66" s="620"/>
      <c r="C66" s="632"/>
      <c r="D66" s="633"/>
      <c r="E66" s="634"/>
      <c r="F66" s="624">
        <v>56.0</v>
      </c>
      <c r="G66" s="635"/>
      <c r="H66" s="626" t="str">
        <f>if(G66="","",IFERROR(VLOOKUP(G66,AtivosDados,MATCH("provento_avg",portfolio.!$A$3:AE$3,0),FALSE),""))</f>
        <v/>
      </c>
      <c r="I66" s="627" t="s">
        <v>123</v>
      </c>
      <c r="J66" s="628" t="str">
        <f>IFERROR(__xludf.DUMMYFUNCTION("IF($G66="""","""",IFERROR(query({proventos!$B$5:$Q310},""Select sum(Col16) where Col1 = '""&amp;$G66&amp;""' and Col2 &gt; date '""&amp;TEXT(K$8,""yyyy-mm-dd"")&amp;""' and Col2 &lt;= date '""&amp;TEXT(J$8,""yyyy-mm-dd"")&amp;""' label sum(Col16) ''"",0)))"),"")</f>
        <v/>
      </c>
      <c r="K66" s="628" t="str">
        <f>IFERROR(__xludf.DUMMYFUNCTION("IF($G66="""","""",IFERROR(query({proventos!$B$5:$Q310},""Select sum(Col16) where Col1 = '""&amp;$G66&amp;""' and Col2 &gt; date '""&amp;TEXT(L$8,""yyyy-mm-dd"")&amp;""' and Col2 &lt;= date '""&amp;TEXT(K$8,""yyyy-mm-dd"")&amp;""' label sum(Col16) ''"",0)))"),"")</f>
        <v/>
      </c>
      <c r="L66" s="628" t="str">
        <f>IFERROR(__xludf.DUMMYFUNCTION("IF($G66="""","""",IFERROR(query({proventos!$B$5:$Q310},""Select sum(Col16) where Col1 = '""&amp;$G66&amp;""' and Col2 &gt; date '""&amp;TEXT(M$8,""yyyy-mm-dd"")&amp;""' and Col2 &lt;= date '""&amp;TEXT(L$8,""yyyy-mm-dd"")&amp;""' label sum(Col16) ''"",0)))"),"")</f>
        <v/>
      </c>
      <c r="M66" s="628" t="str">
        <f>IFERROR(__xludf.DUMMYFUNCTION("IF($G66="""","""",IFERROR(query({proventos!$B$5:$Q310},""Select sum(Col16) where Col1 = '""&amp;$G66&amp;""' and Col2 &gt; date '""&amp;TEXT(N$8,""yyyy-mm-dd"")&amp;""' and Col2 &lt;= date '""&amp;TEXT(M$8,""yyyy-mm-dd"")&amp;""' label sum(Col16) ''"",0)))"),"")</f>
        <v/>
      </c>
      <c r="N66" s="628" t="str">
        <f>IFERROR(__xludf.DUMMYFUNCTION("IF($G66="""","""",IFERROR(query({proventos!$B$5:$Q310},""Select sum(Col16) where Col1 = '""&amp;$G66&amp;""' and Col2 &gt; date '""&amp;TEXT(O$8,""yyyy-mm-dd"")&amp;""' and Col2 &lt;= date '""&amp;TEXT(N$8,""yyyy-mm-dd"")&amp;""' label sum(Col16) ''"",0)))"),"")</f>
        <v/>
      </c>
      <c r="O66" s="628" t="str">
        <f>IFERROR(__xludf.DUMMYFUNCTION("IF($G66="""","""",IFERROR(query({proventos!$B$5:$Q310},""Select sum(Col16) where Col1 = '""&amp;$G66&amp;""' and Col2 &gt; date '""&amp;TEXT(P$8,""yyyy-mm-dd"")&amp;""' and Col2 &lt;= date '""&amp;TEXT(O$8,""yyyy-mm-dd"")&amp;""' label sum(Col16) ''"",0)))"),"")</f>
        <v/>
      </c>
      <c r="P66" s="628" t="str">
        <f>IFERROR(__xludf.DUMMYFUNCTION("IF($G66="""","""",IFERROR(query({proventos!$B$5:$Q310},""Select sum(Col16) where Col1 = '""&amp;$G66&amp;""' and Col2 &gt; date '""&amp;TEXT(Q$8,""yyyy-mm-dd"")&amp;""' and Col2 &lt;= date '""&amp;TEXT(P$8,""yyyy-mm-dd"")&amp;""' label sum(Col16) ''"",0)))"),"")</f>
        <v/>
      </c>
      <c r="Q66" s="628" t="str">
        <f>IFERROR(__xludf.DUMMYFUNCTION("IF($G66="""","""",IFERROR(query({proventos!$B$5:$Q310},""Select sum(Col16) where Col1 = '""&amp;$G66&amp;""' and Col2 &gt; date '""&amp;TEXT(R$8,""yyyy-mm-dd"")&amp;""' and Col2 &lt;= date '""&amp;TEXT(Q$8,""yyyy-mm-dd"")&amp;""' label sum(Col16) ''"",0)))"),"")</f>
        <v/>
      </c>
      <c r="R66" s="628" t="str">
        <f>IFERROR(__xludf.DUMMYFUNCTION("IF($G66="""","""",IFERROR(query({proventos!$B$5:$Q310},""Select sum(Col16) where Col1 = '""&amp;$G66&amp;""' and Col2 &gt; date '""&amp;TEXT(S$8,""yyyy-mm-dd"")&amp;""' and Col2 &lt;= date '""&amp;TEXT(R$8,""yyyy-mm-dd"")&amp;""' label sum(Col16) ''"",0)))"),"")</f>
        <v/>
      </c>
      <c r="S66" s="628" t="str">
        <f>IFERROR(__xludf.DUMMYFUNCTION("IF($G66="""","""",IFERROR(query({proventos!$B$5:$Q310},""Select sum(Col16) where Col1 = '""&amp;$G66&amp;""' and Col2 &gt; date '""&amp;TEXT(T$8,""yyyy-mm-dd"")&amp;""' and Col2 &lt;= date '""&amp;TEXT(S$8,""yyyy-mm-dd"")&amp;""' label sum(Col16) ''"",0)))"),"")</f>
        <v/>
      </c>
      <c r="T66" s="628" t="str">
        <f>IFERROR(__xludf.DUMMYFUNCTION("IF($G66="""","""",IFERROR(query({proventos!$B$5:$Q310},""Select sum(Col16) where Col1 = '""&amp;$G66&amp;""' and Col2 &gt; date '""&amp;TEXT(U$8,""yyyy-mm-dd"")&amp;""' and Col2 &lt;= date '""&amp;TEXT(T$8,""yyyy-mm-dd"")&amp;""' label sum(Col16) ''"",0)))"),"")</f>
        <v/>
      </c>
      <c r="U66" s="629" t="str">
        <f>IFERROR(__xludf.DUMMYFUNCTION("IF($G66="""","""",IFERROR(query({proventos!$B$5:$Q310},""Select sum(Col16) where Col1 = '""&amp;$G66&amp;""' and Col2 &gt; date '""&amp;TEXT(EOMONTH(TODAY(),-13),""yyyy-mm-dd"")&amp;""' and Col2 &lt;= date '""&amp;TEXT(U$8,""yyyy-mm-dd"")&amp;""' label sum(Col16) ''"",0)))"),"")</f>
        <v/>
      </c>
      <c r="V66" s="630" t="str">
        <f>IFERROR(__xludf.DUMMYFUNCTION("IF($G66="""","""",IFERROR(query({proventos!$B$5:$Q310},""Select sum(Col16) where Col1 = '""&amp;$G66&amp;""' and Col2 &gt; date '""&amp;TEXT(DATE(V$8,1,1),""yyyy-mm-dd"")&amp;""' and Col2 &lt;= date '""&amp;TEXT(DATE(V$8,12,31),""yyyy-mm-dd"")&amp;""' label sum(Col16) ''"",0)))"),"")</f>
        <v/>
      </c>
      <c r="W66" s="630" t="str">
        <f>IFERROR(__xludf.DUMMYFUNCTION("IF($G66="""","""",IFERROR(query({proventos!$B$5:$Q310},""Select sum(Col16) where Col1 = '""&amp;$G66&amp;""' and Col2 &gt; date '""&amp;TEXT(DATE(W$8,1,1),""yyyy-mm-dd"")&amp;""' and Col2 &lt;= date '""&amp;TEXT(DATE(W$8,12,31),""yyyy-mm-dd"")&amp;""' label sum(Col16) ''"",0)))"),"")</f>
        <v/>
      </c>
      <c r="X66" s="630" t="str">
        <f>IFERROR(__xludf.DUMMYFUNCTION("IF($G66="""","""",IFERROR(query({proventos!$B$5:$Q310},""Select sum(Col16) where Col1 = '""&amp;$G66&amp;""' and Col2 &gt; date '""&amp;TEXT(DATE(X$8,1,1),""yyyy-mm-dd"")&amp;""' and Col2 &lt;= date '""&amp;TEXT(DATE(X$8,12,31),""yyyy-mm-dd"")&amp;""' label sum(Col16) ''"",0)))"),"")</f>
        <v/>
      </c>
      <c r="Y66" s="630" t="str">
        <f>IFERROR(__xludf.DUMMYFUNCTION("IF($G66="""","""",IFERROR(query({proventos!$B$5:$Q310},""Select sum(Col16) where Col1 = '""&amp;$G66&amp;""' and Col2 &gt; date '""&amp;TEXT(DATE(Y$8,1,1),""yyyy-mm-dd"")&amp;""' and Col2 &lt;= date '""&amp;TEXT(DATE(Y$8,12,31),""yyyy-mm-dd"")&amp;""' label sum(Col16) ''"",0)))"),"")</f>
        <v/>
      </c>
      <c r="Z66" s="630" t="str">
        <f>IFERROR(__xludf.DUMMYFUNCTION("IF($G66="""","""",IFERROR(query({proventos!$B$5:$Q310},""Select sum(Col16) where Col1 = '""&amp;$G66&amp;""' and Col2 &gt; date '""&amp;TEXT(DATE(Z$8,1,1),""yyyy-mm-dd"")&amp;""' and Col2 &lt;= date '""&amp;TEXT(DATE(Z$8,12,31),""yyyy-mm-dd"")&amp;""' label sum(Col16) ''"",0)))"),"")</f>
        <v/>
      </c>
      <c r="AA66" s="587"/>
      <c r="AB66" s="578" t="s">
        <v>123</v>
      </c>
      <c r="AC66" s="601"/>
      <c r="AD66" s="636"/>
      <c r="AE66" s="636"/>
    </row>
    <row r="67">
      <c r="A67" s="619">
        <v>57.0</v>
      </c>
      <c r="B67" s="620"/>
      <c r="C67" s="632"/>
      <c r="D67" s="633"/>
      <c r="E67" s="634"/>
      <c r="F67" s="624">
        <v>57.0</v>
      </c>
      <c r="G67" s="635"/>
      <c r="H67" s="626" t="str">
        <f>if(G67="","",IFERROR(VLOOKUP(G67,AtivosDados,MATCH("provento_avg",portfolio.!$A$3:AE$3,0),FALSE),""))</f>
        <v/>
      </c>
      <c r="I67" s="627" t="s">
        <v>123</v>
      </c>
      <c r="J67" s="628" t="str">
        <f>IFERROR(__xludf.DUMMYFUNCTION("IF($G67="""","""",IFERROR(query({proventos!$B$5:$Q310},""Select sum(Col16) where Col1 = '""&amp;$G67&amp;""' and Col2 &gt; date '""&amp;TEXT(K$8,""yyyy-mm-dd"")&amp;""' and Col2 &lt;= date '""&amp;TEXT(J$8,""yyyy-mm-dd"")&amp;""' label sum(Col16) ''"",0)))"),"")</f>
        <v/>
      </c>
      <c r="K67" s="628" t="str">
        <f>IFERROR(__xludf.DUMMYFUNCTION("IF($G67="""","""",IFERROR(query({proventos!$B$5:$Q310},""Select sum(Col16) where Col1 = '""&amp;$G67&amp;""' and Col2 &gt; date '""&amp;TEXT(L$8,""yyyy-mm-dd"")&amp;""' and Col2 &lt;= date '""&amp;TEXT(K$8,""yyyy-mm-dd"")&amp;""' label sum(Col16) ''"",0)))"),"")</f>
        <v/>
      </c>
      <c r="L67" s="628" t="str">
        <f>IFERROR(__xludf.DUMMYFUNCTION("IF($G67="""","""",IFERROR(query({proventos!$B$5:$Q310},""Select sum(Col16) where Col1 = '""&amp;$G67&amp;""' and Col2 &gt; date '""&amp;TEXT(M$8,""yyyy-mm-dd"")&amp;""' and Col2 &lt;= date '""&amp;TEXT(L$8,""yyyy-mm-dd"")&amp;""' label sum(Col16) ''"",0)))"),"")</f>
        <v/>
      </c>
      <c r="M67" s="628" t="str">
        <f>IFERROR(__xludf.DUMMYFUNCTION("IF($G67="""","""",IFERROR(query({proventos!$B$5:$Q310},""Select sum(Col16) where Col1 = '""&amp;$G67&amp;""' and Col2 &gt; date '""&amp;TEXT(N$8,""yyyy-mm-dd"")&amp;""' and Col2 &lt;= date '""&amp;TEXT(M$8,""yyyy-mm-dd"")&amp;""' label sum(Col16) ''"",0)))"),"")</f>
        <v/>
      </c>
      <c r="N67" s="628" t="str">
        <f>IFERROR(__xludf.DUMMYFUNCTION("IF($G67="""","""",IFERROR(query({proventos!$B$5:$Q310},""Select sum(Col16) where Col1 = '""&amp;$G67&amp;""' and Col2 &gt; date '""&amp;TEXT(O$8,""yyyy-mm-dd"")&amp;""' and Col2 &lt;= date '""&amp;TEXT(N$8,""yyyy-mm-dd"")&amp;""' label sum(Col16) ''"",0)))"),"")</f>
        <v/>
      </c>
      <c r="O67" s="628" t="str">
        <f>IFERROR(__xludf.DUMMYFUNCTION("IF($G67="""","""",IFERROR(query({proventos!$B$5:$Q310},""Select sum(Col16) where Col1 = '""&amp;$G67&amp;""' and Col2 &gt; date '""&amp;TEXT(P$8,""yyyy-mm-dd"")&amp;""' and Col2 &lt;= date '""&amp;TEXT(O$8,""yyyy-mm-dd"")&amp;""' label sum(Col16) ''"",0)))"),"")</f>
        <v/>
      </c>
      <c r="P67" s="628" t="str">
        <f>IFERROR(__xludf.DUMMYFUNCTION("IF($G67="""","""",IFERROR(query({proventos!$B$5:$Q310},""Select sum(Col16) where Col1 = '""&amp;$G67&amp;""' and Col2 &gt; date '""&amp;TEXT(Q$8,""yyyy-mm-dd"")&amp;""' and Col2 &lt;= date '""&amp;TEXT(P$8,""yyyy-mm-dd"")&amp;""' label sum(Col16) ''"",0)))"),"")</f>
        <v/>
      </c>
      <c r="Q67" s="628" t="str">
        <f>IFERROR(__xludf.DUMMYFUNCTION("IF($G67="""","""",IFERROR(query({proventos!$B$5:$Q310},""Select sum(Col16) where Col1 = '""&amp;$G67&amp;""' and Col2 &gt; date '""&amp;TEXT(R$8,""yyyy-mm-dd"")&amp;""' and Col2 &lt;= date '""&amp;TEXT(Q$8,""yyyy-mm-dd"")&amp;""' label sum(Col16) ''"",0)))"),"")</f>
        <v/>
      </c>
      <c r="R67" s="628" t="str">
        <f>IFERROR(__xludf.DUMMYFUNCTION("IF($G67="""","""",IFERROR(query({proventos!$B$5:$Q310},""Select sum(Col16) where Col1 = '""&amp;$G67&amp;""' and Col2 &gt; date '""&amp;TEXT(S$8,""yyyy-mm-dd"")&amp;""' and Col2 &lt;= date '""&amp;TEXT(R$8,""yyyy-mm-dd"")&amp;""' label sum(Col16) ''"",0)))"),"")</f>
        <v/>
      </c>
      <c r="S67" s="628" t="str">
        <f>IFERROR(__xludf.DUMMYFUNCTION("IF($G67="""","""",IFERROR(query({proventos!$B$5:$Q310},""Select sum(Col16) where Col1 = '""&amp;$G67&amp;""' and Col2 &gt; date '""&amp;TEXT(T$8,""yyyy-mm-dd"")&amp;""' and Col2 &lt;= date '""&amp;TEXT(S$8,""yyyy-mm-dd"")&amp;""' label sum(Col16) ''"",0)))"),"")</f>
        <v/>
      </c>
      <c r="T67" s="628" t="str">
        <f>IFERROR(__xludf.DUMMYFUNCTION("IF($G67="""","""",IFERROR(query({proventos!$B$5:$Q310},""Select sum(Col16) where Col1 = '""&amp;$G67&amp;""' and Col2 &gt; date '""&amp;TEXT(U$8,""yyyy-mm-dd"")&amp;""' and Col2 &lt;= date '""&amp;TEXT(T$8,""yyyy-mm-dd"")&amp;""' label sum(Col16) ''"",0)))"),"")</f>
        <v/>
      </c>
      <c r="U67" s="629" t="str">
        <f>IFERROR(__xludf.DUMMYFUNCTION("IF($G67="""","""",IFERROR(query({proventos!$B$5:$Q310},""Select sum(Col16) where Col1 = '""&amp;$G67&amp;""' and Col2 &gt; date '""&amp;TEXT(EOMONTH(TODAY(),-13),""yyyy-mm-dd"")&amp;""' and Col2 &lt;= date '""&amp;TEXT(U$8,""yyyy-mm-dd"")&amp;""' label sum(Col16) ''"",0)))"),"")</f>
        <v/>
      </c>
      <c r="V67" s="630" t="str">
        <f>IFERROR(__xludf.DUMMYFUNCTION("IF($G67="""","""",IFERROR(query({proventos!$B$5:$Q310},""Select sum(Col16) where Col1 = '""&amp;$G67&amp;""' and Col2 &gt; date '""&amp;TEXT(DATE(V$8,1,1),""yyyy-mm-dd"")&amp;""' and Col2 &lt;= date '""&amp;TEXT(DATE(V$8,12,31),""yyyy-mm-dd"")&amp;""' label sum(Col16) ''"",0)))"),"")</f>
        <v/>
      </c>
      <c r="W67" s="630" t="str">
        <f>IFERROR(__xludf.DUMMYFUNCTION("IF($G67="""","""",IFERROR(query({proventos!$B$5:$Q310},""Select sum(Col16) where Col1 = '""&amp;$G67&amp;""' and Col2 &gt; date '""&amp;TEXT(DATE(W$8,1,1),""yyyy-mm-dd"")&amp;""' and Col2 &lt;= date '""&amp;TEXT(DATE(W$8,12,31),""yyyy-mm-dd"")&amp;""' label sum(Col16) ''"",0)))"),"")</f>
        <v/>
      </c>
      <c r="X67" s="630" t="str">
        <f>IFERROR(__xludf.DUMMYFUNCTION("IF($G67="""","""",IFERROR(query({proventos!$B$5:$Q310},""Select sum(Col16) where Col1 = '""&amp;$G67&amp;""' and Col2 &gt; date '""&amp;TEXT(DATE(X$8,1,1),""yyyy-mm-dd"")&amp;""' and Col2 &lt;= date '""&amp;TEXT(DATE(X$8,12,31),""yyyy-mm-dd"")&amp;""' label sum(Col16) ''"",0)))"),"")</f>
        <v/>
      </c>
      <c r="Y67" s="630" t="str">
        <f>IFERROR(__xludf.DUMMYFUNCTION("IF($G67="""","""",IFERROR(query({proventos!$B$5:$Q310},""Select sum(Col16) where Col1 = '""&amp;$G67&amp;""' and Col2 &gt; date '""&amp;TEXT(DATE(Y$8,1,1),""yyyy-mm-dd"")&amp;""' and Col2 &lt;= date '""&amp;TEXT(DATE(Y$8,12,31),""yyyy-mm-dd"")&amp;""' label sum(Col16) ''"",0)))"),"")</f>
        <v/>
      </c>
      <c r="Z67" s="630" t="str">
        <f>IFERROR(__xludf.DUMMYFUNCTION("IF($G67="""","""",IFERROR(query({proventos!$B$5:$Q310},""Select sum(Col16) where Col1 = '""&amp;$G67&amp;""' and Col2 &gt; date '""&amp;TEXT(DATE(Z$8,1,1),""yyyy-mm-dd"")&amp;""' and Col2 &lt;= date '""&amp;TEXT(DATE(Z$8,12,31),""yyyy-mm-dd"")&amp;""' label sum(Col16) ''"",0)))"),"")</f>
        <v/>
      </c>
      <c r="AA67" s="587"/>
      <c r="AB67" s="578" t="s">
        <v>123</v>
      </c>
      <c r="AC67" s="601"/>
      <c r="AD67" s="636"/>
      <c r="AE67" s="636"/>
    </row>
    <row r="68">
      <c r="A68" s="619">
        <v>58.0</v>
      </c>
      <c r="B68" s="620"/>
      <c r="C68" s="632"/>
      <c r="D68" s="633"/>
      <c r="E68" s="634"/>
      <c r="F68" s="624">
        <v>58.0</v>
      </c>
      <c r="G68" s="635"/>
      <c r="H68" s="626" t="str">
        <f>if(G68="","",IFERROR(VLOOKUP(G68,AtivosDados,MATCH("provento_avg",portfolio.!$A$3:AE$3,0),FALSE),""))</f>
        <v/>
      </c>
      <c r="I68" s="627" t="s">
        <v>123</v>
      </c>
      <c r="J68" s="628" t="str">
        <f>IFERROR(__xludf.DUMMYFUNCTION("IF($G68="""","""",IFERROR(query({proventos!$B$5:$Q310},""Select sum(Col16) where Col1 = '""&amp;$G68&amp;""' and Col2 &gt; date '""&amp;TEXT(K$8,""yyyy-mm-dd"")&amp;""' and Col2 &lt;= date '""&amp;TEXT(J$8,""yyyy-mm-dd"")&amp;""' label sum(Col16) ''"",0)))"),"")</f>
        <v/>
      </c>
      <c r="K68" s="628" t="str">
        <f>IFERROR(__xludf.DUMMYFUNCTION("IF($G68="""","""",IFERROR(query({proventos!$B$5:$Q310},""Select sum(Col16) where Col1 = '""&amp;$G68&amp;""' and Col2 &gt; date '""&amp;TEXT(L$8,""yyyy-mm-dd"")&amp;""' and Col2 &lt;= date '""&amp;TEXT(K$8,""yyyy-mm-dd"")&amp;""' label sum(Col16) ''"",0)))"),"")</f>
        <v/>
      </c>
      <c r="L68" s="628" t="str">
        <f>IFERROR(__xludf.DUMMYFUNCTION("IF($G68="""","""",IFERROR(query({proventos!$B$5:$Q310},""Select sum(Col16) where Col1 = '""&amp;$G68&amp;""' and Col2 &gt; date '""&amp;TEXT(M$8,""yyyy-mm-dd"")&amp;""' and Col2 &lt;= date '""&amp;TEXT(L$8,""yyyy-mm-dd"")&amp;""' label sum(Col16) ''"",0)))"),"")</f>
        <v/>
      </c>
      <c r="M68" s="628" t="str">
        <f>IFERROR(__xludf.DUMMYFUNCTION("IF($G68="""","""",IFERROR(query({proventos!$B$5:$Q310},""Select sum(Col16) where Col1 = '""&amp;$G68&amp;""' and Col2 &gt; date '""&amp;TEXT(N$8,""yyyy-mm-dd"")&amp;""' and Col2 &lt;= date '""&amp;TEXT(M$8,""yyyy-mm-dd"")&amp;""' label sum(Col16) ''"",0)))"),"")</f>
        <v/>
      </c>
      <c r="N68" s="628" t="str">
        <f>IFERROR(__xludf.DUMMYFUNCTION("IF($G68="""","""",IFERROR(query({proventos!$B$5:$Q310},""Select sum(Col16) where Col1 = '""&amp;$G68&amp;""' and Col2 &gt; date '""&amp;TEXT(O$8,""yyyy-mm-dd"")&amp;""' and Col2 &lt;= date '""&amp;TEXT(N$8,""yyyy-mm-dd"")&amp;""' label sum(Col16) ''"",0)))"),"")</f>
        <v/>
      </c>
      <c r="O68" s="628" t="str">
        <f>IFERROR(__xludf.DUMMYFUNCTION("IF($G68="""","""",IFERROR(query({proventos!$B$5:$Q310},""Select sum(Col16) where Col1 = '""&amp;$G68&amp;""' and Col2 &gt; date '""&amp;TEXT(P$8,""yyyy-mm-dd"")&amp;""' and Col2 &lt;= date '""&amp;TEXT(O$8,""yyyy-mm-dd"")&amp;""' label sum(Col16) ''"",0)))"),"")</f>
        <v/>
      </c>
      <c r="P68" s="628" t="str">
        <f>IFERROR(__xludf.DUMMYFUNCTION("IF($G68="""","""",IFERROR(query({proventos!$B$5:$Q310},""Select sum(Col16) where Col1 = '""&amp;$G68&amp;""' and Col2 &gt; date '""&amp;TEXT(Q$8,""yyyy-mm-dd"")&amp;""' and Col2 &lt;= date '""&amp;TEXT(P$8,""yyyy-mm-dd"")&amp;""' label sum(Col16) ''"",0)))"),"")</f>
        <v/>
      </c>
      <c r="Q68" s="628" t="str">
        <f>IFERROR(__xludf.DUMMYFUNCTION("IF($G68="""","""",IFERROR(query({proventos!$B$5:$Q310},""Select sum(Col16) where Col1 = '""&amp;$G68&amp;""' and Col2 &gt; date '""&amp;TEXT(R$8,""yyyy-mm-dd"")&amp;""' and Col2 &lt;= date '""&amp;TEXT(Q$8,""yyyy-mm-dd"")&amp;""' label sum(Col16) ''"",0)))"),"")</f>
        <v/>
      </c>
      <c r="R68" s="628" t="str">
        <f>IFERROR(__xludf.DUMMYFUNCTION("IF($G68="""","""",IFERROR(query({proventos!$B$5:$Q310},""Select sum(Col16) where Col1 = '""&amp;$G68&amp;""' and Col2 &gt; date '""&amp;TEXT(S$8,""yyyy-mm-dd"")&amp;""' and Col2 &lt;= date '""&amp;TEXT(R$8,""yyyy-mm-dd"")&amp;""' label sum(Col16) ''"",0)))"),"")</f>
        <v/>
      </c>
      <c r="S68" s="628" t="str">
        <f>IFERROR(__xludf.DUMMYFUNCTION("IF($G68="""","""",IFERROR(query({proventos!$B$5:$Q310},""Select sum(Col16) where Col1 = '""&amp;$G68&amp;""' and Col2 &gt; date '""&amp;TEXT(T$8,""yyyy-mm-dd"")&amp;""' and Col2 &lt;= date '""&amp;TEXT(S$8,""yyyy-mm-dd"")&amp;""' label sum(Col16) ''"",0)))"),"")</f>
        <v/>
      </c>
      <c r="T68" s="628" t="str">
        <f>IFERROR(__xludf.DUMMYFUNCTION("IF($G68="""","""",IFERROR(query({proventos!$B$5:$Q310},""Select sum(Col16) where Col1 = '""&amp;$G68&amp;""' and Col2 &gt; date '""&amp;TEXT(U$8,""yyyy-mm-dd"")&amp;""' and Col2 &lt;= date '""&amp;TEXT(T$8,""yyyy-mm-dd"")&amp;""' label sum(Col16) ''"",0)))"),"")</f>
        <v/>
      </c>
      <c r="U68" s="629" t="str">
        <f>IFERROR(__xludf.DUMMYFUNCTION("IF($G68="""","""",IFERROR(query({proventos!$B$5:$Q310},""Select sum(Col16) where Col1 = '""&amp;$G68&amp;""' and Col2 &gt; date '""&amp;TEXT(EOMONTH(TODAY(),-13),""yyyy-mm-dd"")&amp;""' and Col2 &lt;= date '""&amp;TEXT(U$8,""yyyy-mm-dd"")&amp;""' label sum(Col16) ''"",0)))"),"")</f>
        <v/>
      </c>
      <c r="V68" s="630" t="str">
        <f>IFERROR(__xludf.DUMMYFUNCTION("IF($G68="""","""",IFERROR(query({proventos!$B$5:$Q310},""Select sum(Col16) where Col1 = '""&amp;$G68&amp;""' and Col2 &gt; date '""&amp;TEXT(DATE(V$8,1,1),""yyyy-mm-dd"")&amp;""' and Col2 &lt;= date '""&amp;TEXT(DATE(V$8,12,31),""yyyy-mm-dd"")&amp;""' label sum(Col16) ''"",0)))"),"")</f>
        <v/>
      </c>
      <c r="W68" s="630" t="str">
        <f>IFERROR(__xludf.DUMMYFUNCTION("IF($G68="""","""",IFERROR(query({proventos!$B$5:$Q310},""Select sum(Col16) where Col1 = '""&amp;$G68&amp;""' and Col2 &gt; date '""&amp;TEXT(DATE(W$8,1,1),""yyyy-mm-dd"")&amp;""' and Col2 &lt;= date '""&amp;TEXT(DATE(W$8,12,31),""yyyy-mm-dd"")&amp;""' label sum(Col16) ''"",0)))"),"")</f>
        <v/>
      </c>
      <c r="X68" s="630" t="str">
        <f>IFERROR(__xludf.DUMMYFUNCTION("IF($G68="""","""",IFERROR(query({proventos!$B$5:$Q310},""Select sum(Col16) where Col1 = '""&amp;$G68&amp;""' and Col2 &gt; date '""&amp;TEXT(DATE(X$8,1,1),""yyyy-mm-dd"")&amp;""' and Col2 &lt;= date '""&amp;TEXT(DATE(X$8,12,31),""yyyy-mm-dd"")&amp;""' label sum(Col16) ''"",0)))"),"")</f>
        <v/>
      </c>
      <c r="Y68" s="630" t="str">
        <f>IFERROR(__xludf.DUMMYFUNCTION("IF($G68="""","""",IFERROR(query({proventos!$B$5:$Q310},""Select sum(Col16) where Col1 = '""&amp;$G68&amp;""' and Col2 &gt; date '""&amp;TEXT(DATE(Y$8,1,1),""yyyy-mm-dd"")&amp;""' and Col2 &lt;= date '""&amp;TEXT(DATE(Y$8,12,31),""yyyy-mm-dd"")&amp;""' label sum(Col16) ''"",0)))"),"")</f>
        <v/>
      </c>
      <c r="Z68" s="630" t="str">
        <f>IFERROR(__xludf.DUMMYFUNCTION("IF($G68="""","""",IFERROR(query({proventos!$B$5:$Q310},""Select sum(Col16) where Col1 = '""&amp;$G68&amp;""' and Col2 &gt; date '""&amp;TEXT(DATE(Z$8,1,1),""yyyy-mm-dd"")&amp;""' and Col2 &lt;= date '""&amp;TEXT(DATE(Z$8,12,31),""yyyy-mm-dd"")&amp;""' label sum(Col16) ''"",0)))"),"")</f>
        <v/>
      </c>
      <c r="AA68" s="587"/>
      <c r="AB68" s="578" t="s">
        <v>123</v>
      </c>
      <c r="AC68" s="601"/>
      <c r="AD68" s="636"/>
      <c r="AE68" s="636"/>
    </row>
    <row r="69">
      <c r="A69" s="619">
        <v>59.0</v>
      </c>
      <c r="B69" s="620"/>
      <c r="C69" s="632"/>
      <c r="D69" s="633"/>
      <c r="E69" s="634"/>
      <c r="F69" s="624">
        <v>59.0</v>
      </c>
      <c r="G69" s="635"/>
      <c r="H69" s="626" t="str">
        <f>if(G69="","",IFERROR(VLOOKUP(G69,AtivosDados,MATCH("provento_avg",portfolio.!$A$3:AE$3,0),FALSE),""))</f>
        <v/>
      </c>
      <c r="I69" s="627" t="s">
        <v>123</v>
      </c>
      <c r="J69" s="628" t="str">
        <f>IFERROR(__xludf.DUMMYFUNCTION("IF($G69="""","""",IFERROR(query({proventos!$B$5:$Q310},""Select sum(Col16) where Col1 = '""&amp;$G69&amp;""' and Col2 &gt; date '""&amp;TEXT(K$8,""yyyy-mm-dd"")&amp;""' and Col2 &lt;= date '""&amp;TEXT(J$8,""yyyy-mm-dd"")&amp;""' label sum(Col16) ''"",0)))"),"")</f>
        <v/>
      </c>
      <c r="K69" s="628" t="str">
        <f>IFERROR(__xludf.DUMMYFUNCTION("IF($G69="""","""",IFERROR(query({proventos!$B$5:$Q310},""Select sum(Col16) where Col1 = '""&amp;$G69&amp;""' and Col2 &gt; date '""&amp;TEXT(L$8,""yyyy-mm-dd"")&amp;""' and Col2 &lt;= date '""&amp;TEXT(K$8,""yyyy-mm-dd"")&amp;""' label sum(Col16) ''"",0)))"),"")</f>
        <v/>
      </c>
      <c r="L69" s="628" t="str">
        <f>IFERROR(__xludf.DUMMYFUNCTION("IF($G69="""","""",IFERROR(query({proventos!$B$5:$Q310},""Select sum(Col16) where Col1 = '""&amp;$G69&amp;""' and Col2 &gt; date '""&amp;TEXT(M$8,""yyyy-mm-dd"")&amp;""' and Col2 &lt;= date '""&amp;TEXT(L$8,""yyyy-mm-dd"")&amp;""' label sum(Col16) ''"",0)))"),"")</f>
        <v/>
      </c>
      <c r="M69" s="628" t="str">
        <f>IFERROR(__xludf.DUMMYFUNCTION("IF($G69="""","""",IFERROR(query({proventos!$B$5:$Q310},""Select sum(Col16) where Col1 = '""&amp;$G69&amp;""' and Col2 &gt; date '""&amp;TEXT(N$8,""yyyy-mm-dd"")&amp;""' and Col2 &lt;= date '""&amp;TEXT(M$8,""yyyy-mm-dd"")&amp;""' label sum(Col16) ''"",0)))"),"")</f>
        <v/>
      </c>
      <c r="N69" s="628" t="str">
        <f>IFERROR(__xludf.DUMMYFUNCTION("IF($G69="""","""",IFERROR(query({proventos!$B$5:$Q310},""Select sum(Col16) where Col1 = '""&amp;$G69&amp;""' and Col2 &gt; date '""&amp;TEXT(O$8,""yyyy-mm-dd"")&amp;""' and Col2 &lt;= date '""&amp;TEXT(N$8,""yyyy-mm-dd"")&amp;""' label sum(Col16) ''"",0)))"),"")</f>
        <v/>
      </c>
      <c r="O69" s="628" t="str">
        <f>IFERROR(__xludf.DUMMYFUNCTION("IF($G69="""","""",IFERROR(query({proventos!$B$5:$Q310},""Select sum(Col16) where Col1 = '""&amp;$G69&amp;""' and Col2 &gt; date '""&amp;TEXT(P$8,""yyyy-mm-dd"")&amp;""' and Col2 &lt;= date '""&amp;TEXT(O$8,""yyyy-mm-dd"")&amp;""' label sum(Col16) ''"",0)))"),"")</f>
        <v/>
      </c>
      <c r="P69" s="628" t="str">
        <f>IFERROR(__xludf.DUMMYFUNCTION("IF($G69="""","""",IFERROR(query({proventos!$B$5:$Q310},""Select sum(Col16) where Col1 = '""&amp;$G69&amp;""' and Col2 &gt; date '""&amp;TEXT(Q$8,""yyyy-mm-dd"")&amp;""' and Col2 &lt;= date '""&amp;TEXT(P$8,""yyyy-mm-dd"")&amp;""' label sum(Col16) ''"",0)))"),"")</f>
        <v/>
      </c>
      <c r="Q69" s="628" t="str">
        <f>IFERROR(__xludf.DUMMYFUNCTION("IF($G69="""","""",IFERROR(query({proventos!$B$5:$Q310},""Select sum(Col16) where Col1 = '""&amp;$G69&amp;""' and Col2 &gt; date '""&amp;TEXT(R$8,""yyyy-mm-dd"")&amp;""' and Col2 &lt;= date '""&amp;TEXT(Q$8,""yyyy-mm-dd"")&amp;""' label sum(Col16) ''"",0)))"),"")</f>
        <v/>
      </c>
      <c r="R69" s="628" t="str">
        <f>IFERROR(__xludf.DUMMYFUNCTION("IF($G69="""","""",IFERROR(query({proventos!$B$5:$Q310},""Select sum(Col16) where Col1 = '""&amp;$G69&amp;""' and Col2 &gt; date '""&amp;TEXT(S$8,""yyyy-mm-dd"")&amp;""' and Col2 &lt;= date '""&amp;TEXT(R$8,""yyyy-mm-dd"")&amp;""' label sum(Col16) ''"",0)))"),"")</f>
        <v/>
      </c>
      <c r="S69" s="628" t="str">
        <f>IFERROR(__xludf.DUMMYFUNCTION("IF($G69="""","""",IFERROR(query({proventos!$B$5:$Q310},""Select sum(Col16) where Col1 = '""&amp;$G69&amp;""' and Col2 &gt; date '""&amp;TEXT(T$8,""yyyy-mm-dd"")&amp;""' and Col2 &lt;= date '""&amp;TEXT(S$8,""yyyy-mm-dd"")&amp;""' label sum(Col16) ''"",0)))"),"")</f>
        <v/>
      </c>
      <c r="T69" s="628" t="str">
        <f>IFERROR(__xludf.DUMMYFUNCTION("IF($G69="""","""",IFERROR(query({proventos!$B$5:$Q310},""Select sum(Col16) where Col1 = '""&amp;$G69&amp;""' and Col2 &gt; date '""&amp;TEXT(U$8,""yyyy-mm-dd"")&amp;""' and Col2 &lt;= date '""&amp;TEXT(T$8,""yyyy-mm-dd"")&amp;""' label sum(Col16) ''"",0)))"),"")</f>
        <v/>
      </c>
      <c r="U69" s="629" t="str">
        <f>IFERROR(__xludf.DUMMYFUNCTION("IF($G69="""","""",IFERROR(query({proventos!$B$5:$Q310},""Select sum(Col16) where Col1 = '""&amp;$G69&amp;""' and Col2 &gt; date '""&amp;TEXT(EOMONTH(TODAY(),-13),""yyyy-mm-dd"")&amp;""' and Col2 &lt;= date '""&amp;TEXT(U$8,""yyyy-mm-dd"")&amp;""' label sum(Col16) ''"",0)))"),"")</f>
        <v/>
      </c>
      <c r="V69" s="630" t="str">
        <f>IFERROR(__xludf.DUMMYFUNCTION("IF($G69="""","""",IFERROR(query({proventos!$B$5:$Q310},""Select sum(Col16) where Col1 = '""&amp;$G69&amp;""' and Col2 &gt; date '""&amp;TEXT(DATE(V$8,1,1),""yyyy-mm-dd"")&amp;""' and Col2 &lt;= date '""&amp;TEXT(DATE(V$8,12,31),""yyyy-mm-dd"")&amp;""' label sum(Col16) ''"",0)))"),"")</f>
        <v/>
      </c>
      <c r="W69" s="630" t="str">
        <f>IFERROR(__xludf.DUMMYFUNCTION("IF($G69="""","""",IFERROR(query({proventos!$B$5:$Q310},""Select sum(Col16) where Col1 = '""&amp;$G69&amp;""' and Col2 &gt; date '""&amp;TEXT(DATE(W$8,1,1),""yyyy-mm-dd"")&amp;""' and Col2 &lt;= date '""&amp;TEXT(DATE(W$8,12,31),""yyyy-mm-dd"")&amp;""' label sum(Col16) ''"",0)))"),"")</f>
        <v/>
      </c>
      <c r="X69" s="630" t="str">
        <f>IFERROR(__xludf.DUMMYFUNCTION("IF($G69="""","""",IFERROR(query({proventos!$B$5:$Q310},""Select sum(Col16) where Col1 = '""&amp;$G69&amp;""' and Col2 &gt; date '""&amp;TEXT(DATE(X$8,1,1),""yyyy-mm-dd"")&amp;""' and Col2 &lt;= date '""&amp;TEXT(DATE(X$8,12,31),""yyyy-mm-dd"")&amp;""' label sum(Col16) ''"",0)))"),"")</f>
        <v/>
      </c>
      <c r="Y69" s="630" t="str">
        <f>IFERROR(__xludf.DUMMYFUNCTION("IF($G69="""","""",IFERROR(query({proventos!$B$5:$Q310},""Select sum(Col16) where Col1 = '""&amp;$G69&amp;""' and Col2 &gt; date '""&amp;TEXT(DATE(Y$8,1,1),""yyyy-mm-dd"")&amp;""' and Col2 &lt;= date '""&amp;TEXT(DATE(Y$8,12,31),""yyyy-mm-dd"")&amp;""' label sum(Col16) ''"",0)))"),"")</f>
        <v/>
      </c>
      <c r="Z69" s="630" t="str">
        <f>IFERROR(__xludf.DUMMYFUNCTION("IF($G69="""","""",IFERROR(query({proventos!$B$5:$Q310},""Select sum(Col16) where Col1 = '""&amp;$G69&amp;""' and Col2 &gt; date '""&amp;TEXT(DATE(Z$8,1,1),""yyyy-mm-dd"")&amp;""' and Col2 &lt;= date '""&amp;TEXT(DATE(Z$8,12,31),""yyyy-mm-dd"")&amp;""' label sum(Col16) ''"",0)))"),"")</f>
        <v/>
      </c>
      <c r="AA69" s="587"/>
      <c r="AB69" s="578" t="s">
        <v>123</v>
      </c>
      <c r="AC69" s="601"/>
      <c r="AD69" s="636"/>
      <c r="AE69" s="636"/>
    </row>
    <row r="70">
      <c r="A70" s="619">
        <v>60.0</v>
      </c>
      <c r="B70" s="620"/>
      <c r="C70" s="632"/>
      <c r="D70" s="633"/>
      <c r="E70" s="634"/>
      <c r="F70" s="624">
        <v>60.0</v>
      </c>
      <c r="G70" s="635"/>
      <c r="H70" s="626" t="str">
        <f>if(G70="","",IFERROR(VLOOKUP(G70,AtivosDados,MATCH("provento_avg",portfolio.!$A$3:AE$3,0),FALSE),""))</f>
        <v/>
      </c>
      <c r="I70" s="627" t="s">
        <v>123</v>
      </c>
      <c r="J70" s="628" t="str">
        <f>IFERROR(__xludf.DUMMYFUNCTION("IF($G70="""","""",IFERROR(query({proventos!$B$5:$Q310},""Select sum(Col16) where Col1 = '""&amp;$G70&amp;""' and Col2 &gt; date '""&amp;TEXT(K$8,""yyyy-mm-dd"")&amp;""' and Col2 &lt;= date '""&amp;TEXT(J$8,""yyyy-mm-dd"")&amp;""' label sum(Col16) ''"",0)))"),"")</f>
        <v/>
      </c>
      <c r="K70" s="628" t="str">
        <f>IFERROR(__xludf.DUMMYFUNCTION("IF($G70="""","""",IFERROR(query({proventos!$B$5:$Q310},""Select sum(Col16) where Col1 = '""&amp;$G70&amp;""' and Col2 &gt; date '""&amp;TEXT(L$8,""yyyy-mm-dd"")&amp;""' and Col2 &lt;= date '""&amp;TEXT(K$8,""yyyy-mm-dd"")&amp;""' label sum(Col16) ''"",0)))"),"")</f>
        <v/>
      </c>
      <c r="L70" s="628" t="str">
        <f>IFERROR(__xludf.DUMMYFUNCTION("IF($G70="""","""",IFERROR(query({proventos!$B$5:$Q310},""Select sum(Col16) where Col1 = '""&amp;$G70&amp;""' and Col2 &gt; date '""&amp;TEXT(M$8,""yyyy-mm-dd"")&amp;""' and Col2 &lt;= date '""&amp;TEXT(L$8,""yyyy-mm-dd"")&amp;""' label sum(Col16) ''"",0)))"),"")</f>
        <v/>
      </c>
      <c r="M70" s="628" t="str">
        <f>IFERROR(__xludf.DUMMYFUNCTION("IF($G70="""","""",IFERROR(query({proventos!$B$5:$Q310},""Select sum(Col16) where Col1 = '""&amp;$G70&amp;""' and Col2 &gt; date '""&amp;TEXT(N$8,""yyyy-mm-dd"")&amp;""' and Col2 &lt;= date '""&amp;TEXT(M$8,""yyyy-mm-dd"")&amp;""' label sum(Col16) ''"",0)))"),"")</f>
        <v/>
      </c>
      <c r="N70" s="628" t="str">
        <f>IFERROR(__xludf.DUMMYFUNCTION("IF($G70="""","""",IFERROR(query({proventos!$B$5:$Q310},""Select sum(Col16) where Col1 = '""&amp;$G70&amp;""' and Col2 &gt; date '""&amp;TEXT(O$8,""yyyy-mm-dd"")&amp;""' and Col2 &lt;= date '""&amp;TEXT(N$8,""yyyy-mm-dd"")&amp;""' label sum(Col16) ''"",0)))"),"")</f>
        <v/>
      </c>
      <c r="O70" s="628" t="str">
        <f>IFERROR(__xludf.DUMMYFUNCTION("IF($G70="""","""",IFERROR(query({proventos!$B$5:$Q310},""Select sum(Col16) where Col1 = '""&amp;$G70&amp;""' and Col2 &gt; date '""&amp;TEXT(P$8,""yyyy-mm-dd"")&amp;""' and Col2 &lt;= date '""&amp;TEXT(O$8,""yyyy-mm-dd"")&amp;""' label sum(Col16) ''"",0)))"),"")</f>
        <v/>
      </c>
      <c r="P70" s="628" t="str">
        <f>IFERROR(__xludf.DUMMYFUNCTION("IF($G70="""","""",IFERROR(query({proventos!$B$5:$Q310},""Select sum(Col16) where Col1 = '""&amp;$G70&amp;""' and Col2 &gt; date '""&amp;TEXT(Q$8,""yyyy-mm-dd"")&amp;""' and Col2 &lt;= date '""&amp;TEXT(P$8,""yyyy-mm-dd"")&amp;""' label sum(Col16) ''"",0)))"),"")</f>
        <v/>
      </c>
      <c r="Q70" s="628" t="str">
        <f>IFERROR(__xludf.DUMMYFUNCTION("IF($G70="""","""",IFERROR(query({proventos!$B$5:$Q310},""Select sum(Col16) where Col1 = '""&amp;$G70&amp;""' and Col2 &gt; date '""&amp;TEXT(R$8,""yyyy-mm-dd"")&amp;""' and Col2 &lt;= date '""&amp;TEXT(Q$8,""yyyy-mm-dd"")&amp;""' label sum(Col16) ''"",0)))"),"")</f>
        <v/>
      </c>
      <c r="R70" s="628" t="str">
        <f>IFERROR(__xludf.DUMMYFUNCTION("IF($G70="""","""",IFERROR(query({proventos!$B$5:$Q310},""Select sum(Col16) where Col1 = '""&amp;$G70&amp;""' and Col2 &gt; date '""&amp;TEXT(S$8,""yyyy-mm-dd"")&amp;""' and Col2 &lt;= date '""&amp;TEXT(R$8,""yyyy-mm-dd"")&amp;""' label sum(Col16) ''"",0)))"),"")</f>
        <v/>
      </c>
      <c r="S70" s="628" t="str">
        <f>IFERROR(__xludf.DUMMYFUNCTION("IF($G70="""","""",IFERROR(query({proventos!$B$5:$Q310},""Select sum(Col16) where Col1 = '""&amp;$G70&amp;""' and Col2 &gt; date '""&amp;TEXT(T$8,""yyyy-mm-dd"")&amp;""' and Col2 &lt;= date '""&amp;TEXT(S$8,""yyyy-mm-dd"")&amp;""' label sum(Col16) ''"",0)))"),"")</f>
        <v/>
      </c>
      <c r="T70" s="628" t="str">
        <f>IFERROR(__xludf.DUMMYFUNCTION("IF($G70="""","""",IFERROR(query({proventos!$B$5:$Q310},""Select sum(Col16) where Col1 = '""&amp;$G70&amp;""' and Col2 &gt; date '""&amp;TEXT(U$8,""yyyy-mm-dd"")&amp;""' and Col2 &lt;= date '""&amp;TEXT(T$8,""yyyy-mm-dd"")&amp;""' label sum(Col16) ''"",0)))"),"")</f>
        <v/>
      </c>
      <c r="U70" s="629" t="str">
        <f>IFERROR(__xludf.DUMMYFUNCTION("IF($G70="""","""",IFERROR(query({proventos!$B$5:$Q310},""Select sum(Col16) where Col1 = '""&amp;$G70&amp;""' and Col2 &gt; date '""&amp;TEXT(EOMONTH(TODAY(),-13),""yyyy-mm-dd"")&amp;""' and Col2 &lt;= date '""&amp;TEXT(U$8,""yyyy-mm-dd"")&amp;""' label sum(Col16) ''"",0)))"),"")</f>
        <v/>
      </c>
      <c r="V70" s="630" t="str">
        <f>IFERROR(__xludf.DUMMYFUNCTION("IF($G70="""","""",IFERROR(query({proventos!$B$5:$Q310},""Select sum(Col16) where Col1 = '""&amp;$G70&amp;""' and Col2 &gt; date '""&amp;TEXT(DATE(V$8,1,1),""yyyy-mm-dd"")&amp;""' and Col2 &lt;= date '""&amp;TEXT(DATE(V$8,12,31),""yyyy-mm-dd"")&amp;""' label sum(Col16) ''"",0)))"),"")</f>
        <v/>
      </c>
      <c r="W70" s="630" t="str">
        <f>IFERROR(__xludf.DUMMYFUNCTION("IF($G70="""","""",IFERROR(query({proventos!$B$5:$Q310},""Select sum(Col16) where Col1 = '""&amp;$G70&amp;""' and Col2 &gt; date '""&amp;TEXT(DATE(W$8,1,1),""yyyy-mm-dd"")&amp;""' and Col2 &lt;= date '""&amp;TEXT(DATE(W$8,12,31),""yyyy-mm-dd"")&amp;""' label sum(Col16) ''"",0)))"),"")</f>
        <v/>
      </c>
      <c r="X70" s="630" t="str">
        <f>IFERROR(__xludf.DUMMYFUNCTION("IF($G70="""","""",IFERROR(query({proventos!$B$5:$Q310},""Select sum(Col16) where Col1 = '""&amp;$G70&amp;""' and Col2 &gt; date '""&amp;TEXT(DATE(X$8,1,1),""yyyy-mm-dd"")&amp;""' and Col2 &lt;= date '""&amp;TEXT(DATE(X$8,12,31),""yyyy-mm-dd"")&amp;""' label sum(Col16) ''"",0)))"),"")</f>
        <v/>
      </c>
      <c r="Y70" s="630" t="str">
        <f>IFERROR(__xludf.DUMMYFUNCTION("IF($G70="""","""",IFERROR(query({proventos!$B$5:$Q310},""Select sum(Col16) where Col1 = '""&amp;$G70&amp;""' and Col2 &gt; date '""&amp;TEXT(DATE(Y$8,1,1),""yyyy-mm-dd"")&amp;""' and Col2 &lt;= date '""&amp;TEXT(DATE(Y$8,12,31),""yyyy-mm-dd"")&amp;""' label sum(Col16) ''"",0)))"),"")</f>
        <v/>
      </c>
      <c r="Z70" s="630" t="str">
        <f>IFERROR(__xludf.DUMMYFUNCTION("IF($G70="""","""",IFERROR(query({proventos!$B$5:$Q310},""Select sum(Col16) where Col1 = '""&amp;$G70&amp;""' and Col2 &gt; date '""&amp;TEXT(DATE(Z$8,1,1),""yyyy-mm-dd"")&amp;""' and Col2 &lt;= date '""&amp;TEXT(DATE(Z$8,12,31),""yyyy-mm-dd"")&amp;""' label sum(Col16) ''"",0)))"),"")</f>
        <v/>
      </c>
      <c r="AA70" s="587"/>
      <c r="AB70" s="578" t="s">
        <v>123</v>
      </c>
      <c r="AC70" s="601"/>
      <c r="AD70" s="636"/>
      <c r="AE70" s="636"/>
    </row>
    <row r="71">
      <c r="A71" s="619">
        <v>61.0</v>
      </c>
      <c r="B71" s="620"/>
      <c r="C71" s="632"/>
      <c r="D71" s="633"/>
      <c r="E71" s="634"/>
      <c r="F71" s="624">
        <v>61.0</v>
      </c>
      <c r="G71" s="635"/>
      <c r="H71" s="626" t="str">
        <f>if(G71="","",IFERROR(VLOOKUP(G71,AtivosDados,MATCH("provento_avg",portfolio.!$A$3:AE$3,0),FALSE),""))</f>
        <v/>
      </c>
      <c r="I71" s="627" t="s">
        <v>123</v>
      </c>
      <c r="J71" s="628" t="str">
        <f>IFERROR(__xludf.DUMMYFUNCTION("IF($G71="""","""",IFERROR(query({proventos!$B$5:$Q310},""Select sum(Col16) where Col1 = '""&amp;$G71&amp;""' and Col2 &gt; date '""&amp;TEXT(K$8,""yyyy-mm-dd"")&amp;""' and Col2 &lt;= date '""&amp;TEXT(J$8,""yyyy-mm-dd"")&amp;""' label sum(Col16) ''"",0)))"),"")</f>
        <v/>
      </c>
      <c r="K71" s="628" t="str">
        <f>IFERROR(__xludf.DUMMYFUNCTION("IF($G71="""","""",IFERROR(query({proventos!$B$5:$Q310},""Select sum(Col16) where Col1 = '""&amp;$G71&amp;""' and Col2 &gt; date '""&amp;TEXT(L$8,""yyyy-mm-dd"")&amp;""' and Col2 &lt;= date '""&amp;TEXT(K$8,""yyyy-mm-dd"")&amp;""' label sum(Col16) ''"",0)))"),"")</f>
        <v/>
      </c>
      <c r="L71" s="628" t="str">
        <f>IFERROR(__xludf.DUMMYFUNCTION("IF($G71="""","""",IFERROR(query({proventos!$B$5:$Q310},""Select sum(Col16) where Col1 = '""&amp;$G71&amp;""' and Col2 &gt; date '""&amp;TEXT(M$8,""yyyy-mm-dd"")&amp;""' and Col2 &lt;= date '""&amp;TEXT(L$8,""yyyy-mm-dd"")&amp;""' label sum(Col16) ''"",0)))"),"")</f>
        <v/>
      </c>
      <c r="M71" s="628" t="str">
        <f>IFERROR(__xludf.DUMMYFUNCTION("IF($G71="""","""",IFERROR(query({proventos!$B$5:$Q310},""Select sum(Col16) where Col1 = '""&amp;$G71&amp;""' and Col2 &gt; date '""&amp;TEXT(N$8,""yyyy-mm-dd"")&amp;""' and Col2 &lt;= date '""&amp;TEXT(M$8,""yyyy-mm-dd"")&amp;""' label sum(Col16) ''"",0)))"),"")</f>
        <v/>
      </c>
      <c r="N71" s="628" t="str">
        <f>IFERROR(__xludf.DUMMYFUNCTION("IF($G71="""","""",IFERROR(query({proventos!$B$5:$Q310},""Select sum(Col16) where Col1 = '""&amp;$G71&amp;""' and Col2 &gt; date '""&amp;TEXT(O$8,""yyyy-mm-dd"")&amp;""' and Col2 &lt;= date '""&amp;TEXT(N$8,""yyyy-mm-dd"")&amp;""' label sum(Col16) ''"",0)))"),"")</f>
        <v/>
      </c>
      <c r="O71" s="628" t="str">
        <f>IFERROR(__xludf.DUMMYFUNCTION("IF($G71="""","""",IFERROR(query({proventos!$B$5:$Q310},""Select sum(Col16) where Col1 = '""&amp;$G71&amp;""' and Col2 &gt; date '""&amp;TEXT(P$8,""yyyy-mm-dd"")&amp;""' and Col2 &lt;= date '""&amp;TEXT(O$8,""yyyy-mm-dd"")&amp;""' label sum(Col16) ''"",0)))"),"")</f>
        <v/>
      </c>
      <c r="P71" s="628" t="str">
        <f>IFERROR(__xludf.DUMMYFUNCTION("IF($G71="""","""",IFERROR(query({proventos!$B$5:$Q310},""Select sum(Col16) where Col1 = '""&amp;$G71&amp;""' and Col2 &gt; date '""&amp;TEXT(Q$8,""yyyy-mm-dd"")&amp;""' and Col2 &lt;= date '""&amp;TEXT(P$8,""yyyy-mm-dd"")&amp;""' label sum(Col16) ''"",0)))"),"")</f>
        <v/>
      </c>
      <c r="Q71" s="628" t="str">
        <f>IFERROR(__xludf.DUMMYFUNCTION("IF($G71="""","""",IFERROR(query({proventos!$B$5:$Q310},""Select sum(Col16) where Col1 = '""&amp;$G71&amp;""' and Col2 &gt; date '""&amp;TEXT(R$8,""yyyy-mm-dd"")&amp;""' and Col2 &lt;= date '""&amp;TEXT(Q$8,""yyyy-mm-dd"")&amp;""' label sum(Col16) ''"",0)))"),"")</f>
        <v/>
      </c>
      <c r="R71" s="628" t="str">
        <f>IFERROR(__xludf.DUMMYFUNCTION("IF($G71="""","""",IFERROR(query({proventos!$B$5:$Q310},""Select sum(Col16) where Col1 = '""&amp;$G71&amp;""' and Col2 &gt; date '""&amp;TEXT(S$8,""yyyy-mm-dd"")&amp;""' and Col2 &lt;= date '""&amp;TEXT(R$8,""yyyy-mm-dd"")&amp;""' label sum(Col16) ''"",0)))"),"")</f>
        <v/>
      </c>
      <c r="S71" s="628" t="str">
        <f>IFERROR(__xludf.DUMMYFUNCTION("IF($G71="""","""",IFERROR(query({proventos!$B$5:$Q310},""Select sum(Col16) where Col1 = '""&amp;$G71&amp;""' and Col2 &gt; date '""&amp;TEXT(T$8,""yyyy-mm-dd"")&amp;""' and Col2 &lt;= date '""&amp;TEXT(S$8,""yyyy-mm-dd"")&amp;""' label sum(Col16) ''"",0)))"),"")</f>
        <v/>
      </c>
      <c r="T71" s="628" t="str">
        <f>IFERROR(__xludf.DUMMYFUNCTION("IF($G71="""","""",IFERROR(query({proventos!$B$5:$Q310},""Select sum(Col16) where Col1 = '""&amp;$G71&amp;""' and Col2 &gt; date '""&amp;TEXT(U$8,""yyyy-mm-dd"")&amp;""' and Col2 &lt;= date '""&amp;TEXT(T$8,""yyyy-mm-dd"")&amp;""' label sum(Col16) ''"",0)))"),"")</f>
        <v/>
      </c>
      <c r="U71" s="629" t="str">
        <f>IFERROR(__xludf.DUMMYFUNCTION("IF($G71="""","""",IFERROR(query({proventos!$B$5:$Q310},""Select sum(Col16) where Col1 = '""&amp;$G71&amp;""' and Col2 &gt; date '""&amp;TEXT(EOMONTH(TODAY(),-13),""yyyy-mm-dd"")&amp;""' and Col2 &lt;= date '""&amp;TEXT(U$8,""yyyy-mm-dd"")&amp;""' label sum(Col16) ''"",0)))"),"")</f>
        <v/>
      </c>
      <c r="V71" s="630" t="str">
        <f>IFERROR(__xludf.DUMMYFUNCTION("IF($G71="""","""",IFERROR(query({proventos!$B$5:$Q310},""Select sum(Col16) where Col1 = '""&amp;$G71&amp;""' and Col2 &gt; date '""&amp;TEXT(DATE(V$8,1,1),""yyyy-mm-dd"")&amp;""' and Col2 &lt;= date '""&amp;TEXT(DATE(V$8,12,31),""yyyy-mm-dd"")&amp;""' label sum(Col16) ''"",0)))"),"")</f>
        <v/>
      </c>
      <c r="W71" s="630" t="str">
        <f>IFERROR(__xludf.DUMMYFUNCTION("IF($G71="""","""",IFERROR(query({proventos!$B$5:$Q310},""Select sum(Col16) where Col1 = '""&amp;$G71&amp;""' and Col2 &gt; date '""&amp;TEXT(DATE(W$8,1,1),""yyyy-mm-dd"")&amp;""' and Col2 &lt;= date '""&amp;TEXT(DATE(W$8,12,31),""yyyy-mm-dd"")&amp;""' label sum(Col16) ''"",0)))"),"")</f>
        <v/>
      </c>
      <c r="X71" s="630" t="str">
        <f>IFERROR(__xludf.DUMMYFUNCTION("IF($G71="""","""",IFERROR(query({proventos!$B$5:$Q310},""Select sum(Col16) where Col1 = '""&amp;$G71&amp;""' and Col2 &gt; date '""&amp;TEXT(DATE(X$8,1,1),""yyyy-mm-dd"")&amp;""' and Col2 &lt;= date '""&amp;TEXT(DATE(X$8,12,31),""yyyy-mm-dd"")&amp;""' label sum(Col16) ''"",0)))"),"")</f>
        <v/>
      </c>
      <c r="Y71" s="630" t="str">
        <f>IFERROR(__xludf.DUMMYFUNCTION("IF($G71="""","""",IFERROR(query({proventos!$B$5:$Q310},""Select sum(Col16) where Col1 = '""&amp;$G71&amp;""' and Col2 &gt; date '""&amp;TEXT(DATE(Y$8,1,1),""yyyy-mm-dd"")&amp;""' and Col2 &lt;= date '""&amp;TEXT(DATE(Y$8,12,31),""yyyy-mm-dd"")&amp;""' label sum(Col16) ''"",0)))"),"")</f>
        <v/>
      </c>
      <c r="Z71" s="630" t="str">
        <f>IFERROR(__xludf.DUMMYFUNCTION("IF($G71="""","""",IFERROR(query({proventos!$B$5:$Q310},""Select sum(Col16) where Col1 = '""&amp;$G71&amp;""' and Col2 &gt; date '""&amp;TEXT(DATE(Z$8,1,1),""yyyy-mm-dd"")&amp;""' and Col2 &lt;= date '""&amp;TEXT(DATE(Z$8,12,31),""yyyy-mm-dd"")&amp;""' label sum(Col16) ''"",0)))"),"")</f>
        <v/>
      </c>
      <c r="AA71" s="587"/>
      <c r="AB71" s="578" t="s">
        <v>123</v>
      </c>
      <c r="AC71" s="601"/>
      <c r="AD71" s="636"/>
      <c r="AE71" s="636"/>
    </row>
    <row r="72">
      <c r="A72" s="619">
        <v>62.0</v>
      </c>
      <c r="B72" s="620"/>
      <c r="C72" s="632"/>
      <c r="D72" s="633"/>
      <c r="E72" s="634"/>
      <c r="F72" s="624">
        <v>62.0</v>
      </c>
      <c r="G72" s="635"/>
      <c r="H72" s="626" t="str">
        <f>if(G72="","",IFERROR(VLOOKUP(G72,AtivosDados,MATCH("provento_avg",portfolio.!$A$3:AE$3,0),FALSE),""))</f>
        <v/>
      </c>
      <c r="I72" s="627" t="s">
        <v>123</v>
      </c>
      <c r="J72" s="628" t="str">
        <f>IFERROR(__xludf.DUMMYFUNCTION("IF($G72="""","""",IFERROR(query({proventos!$B$5:$Q310},""Select sum(Col16) where Col1 = '""&amp;$G72&amp;""' and Col2 &gt; date '""&amp;TEXT(K$8,""yyyy-mm-dd"")&amp;""' and Col2 &lt;= date '""&amp;TEXT(J$8,""yyyy-mm-dd"")&amp;""' label sum(Col16) ''"",0)))"),"")</f>
        <v/>
      </c>
      <c r="K72" s="628" t="str">
        <f>IFERROR(__xludf.DUMMYFUNCTION("IF($G72="""","""",IFERROR(query({proventos!$B$5:$Q310},""Select sum(Col16) where Col1 = '""&amp;$G72&amp;""' and Col2 &gt; date '""&amp;TEXT(L$8,""yyyy-mm-dd"")&amp;""' and Col2 &lt;= date '""&amp;TEXT(K$8,""yyyy-mm-dd"")&amp;""' label sum(Col16) ''"",0)))"),"")</f>
        <v/>
      </c>
      <c r="L72" s="628" t="str">
        <f>IFERROR(__xludf.DUMMYFUNCTION("IF($G72="""","""",IFERROR(query({proventos!$B$5:$Q310},""Select sum(Col16) where Col1 = '""&amp;$G72&amp;""' and Col2 &gt; date '""&amp;TEXT(M$8,""yyyy-mm-dd"")&amp;""' and Col2 &lt;= date '""&amp;TEXT(L$8,""yyyy-mm-dd"")&amp;""' label sum(Col16) ''"",0)))"),"")</f>
        <v/>
      </c>
      <c r="M72" s="628" t="str">
        <f>IFERROR(__xludf.DUMMYFUNCTION("IF($G72="""","""",IFERROR(query({proventos!$B$5:$Q310},""Select sum(Col16) where Col1 = '""&amp;$G72&amp;""' and Col2 &gt; date '""&amp;TEXT(N$8,""yyyy-mm-dd"")&amp;""' and Col2 &lt;= date '""&amp;TEXT(M$8,""yyyy-mm-dd"")&amp;""' label sum(Col16) ''"",0)))"),"")</f>
        <v/>
      </c>
      <c r="N72" s="628" t="str">
        <f>IFERROR(__xludf.DUMMYFUNCTION("IF($G72="""","""",IFERROR(query({proventos!$B$5:$Q310},""Select sum(Col16) where Col1 = '""&amp;$G72&amp;""' and Col2 &gt; date '""&amp;TEXT(O$8,""yyyy-mm-dd"")&amp;""' and Col2 &lt;= date '""&amp;TEXT(N$8,""yyyy-mm-dd"")&amp;""' label sum(Col16) ''"",0)))"),"")</f>
        <v/>
      </c>
      <c r="O72" s="628" t="str">
        <f>IFERROR(__xludf.DUMMYFUNCTION("IF($G72="""","""",IFERROR(query({proventos!$B$5:$Q310},""Select sum(Col16) where Col1 = '""&amp;$G72&amp;""' and Col2 &gt; date '""&amp;TEXT(P$8,""yyyy-mm-dd"")&amp;""' and Col2 &lt;= date '""&amp;TEXT(O$8,""yyyy-mm-dd"")&amp;""' label sum(Col16) ''"",0)))"),"")</f>
        <v/>
      </c>
      <c r="P72" s="628" t="str">
        <f>IFERROR(__xludf.DUMMYFUNCTION("IF($G72="""","""",IFERROR(query({proventos!$B$5:$Q310},""Select sum(Col16) where Col1 = '""&amp;$G72&amp;""' and Col2 &gt; date '""&amp;TEXT(Q$8,""yyyy-mm-dd"")&amp;""' and Col2 &lt;= date '""&amp;TEXT(P$8,""yyyy-mm-dd"")&amp;""' label sum(Col16) ''"",0)))"),"")</f>
        <v/>
      </c>
      <c r="Q72" s="628" t="str">
        <f>IFERROR(__xludf.DUMMYFUNCTION("IF($G72="""","""",IFERROR(query({proventos!$B$5:$Q310},""Select sum(Col16) where Col1 = '""&amp;$G72&amp;""' and Col2 &gt; date '""&amp;TEXT(R$8,""yyyy-mm-dd"")&amp;""' and Col2 &lt;= date '""&amp;TEXT(Q$8,""yyyy-mm-dd"")&amp;""' label sum(Col16) ''"",0)))"),"")</f>
        <v/>
      </c>
      <c r="R72" s="628" t="str">
        <f>IFERROR(__xludf.DUMMYFUNCTION("IF($G72="""","""",IFERROR(query({proventos!$B$5:$Q310},""Select sum(Col16) where Col1 = '""&amp;$G72&amp;""' and Col2 &gt; date '""&amp;TEXT(S$8,""yyyy-mm-dd"")&amp;""' and Col2 &lt;= date '""&amp;TEXT(R$8,""yyyy-mm-dd"")&amp;""' label sum(Col16) ''"",0)))"),"")</f>
        <v/>
      </c>
      <c r="S72" s="628" t="str">
        <f>IFERROR(__xludf.DUMMYFUNCTION("IF($G72="""","""",IFERROR(query({proventos!$B$5:$Q310},""Select sum(Col16) where Col1 = '""&amp;$G72&amp;""' and Col2 &gt; date '""&amp;TEXT(T$8,""yyyy-mm-dd"")&amp;""' and Col2 &lt;= date '""&amp;TEXT(S$8,""yyyy-mm-dd"")&amp;""' label sum(Col16) ''"",0)))"),"")</f>
        <v/>
      </c>
      <c r="T72" s="628" t="str">
        <f>IFERROR(__xludf.DUMMYFUNCTION("IF($G72="""","""",IFERROR(query({proventos!$B$5:$Q310},""Select sum(Col16) where Col1 = '""&amp;$G72&amp;""' and Col2 &gt; date '""&amp;TEXT(U$8,""yyyy-mm-dd"")&amp;""' and Col2 &lt;= date '""&amp;TEXT(T$8,""yyyy-mm-dd"")&amp;""' label sum(Col16) ''"",0)))"),"")</f>
        <v/>
      </c>
      <c r="U72" s="629" t="str">
        <f>IFERROR(__xludf.DUMMYFUNCTION("IF($G72="""","""",IFERROR(query({proventos!$B$5:$Q310},""Select sum(Col16) where Col1 = '""&amp;$G72&amp;""' and Col2 &gt; date '""&amp;TEXT(EOMONTH(TODAY(),-13),""yyyy-mm-dd"")&amp;""' and Col2 &lt;= date '""&amp;TEXT(U$8,""yyyy-mm-dd"")&amp;""' label sum(Col16) ''"",0)))"),"")</f>
        <v/>
      </c>
      <c r="V72" s="630" t="str">
        <f>IFERROR(__xludf.DUMMYFUNCTION("IF($G72="""","""",IFERROR(query({proventos!$B$5:$Q310},""Select sum(Col16) where Col1 = '""&amp;$G72&amp;""' and Col2 &gt; date '""&amp;TEXT(DATE(V$8,1,1),""yyyy-mm-dd"")&amp;""' and Col2 &lt;= date '""&amp;TEXT(DATE(V$8,12,31),""yyyy-mm-dd"")&amp;""' label sum(Col16) ''"",0)))"),"")</f>
        <v/>
      </c>
      <c r="W72" s="630" t="str">
        <f>IFERROR(__xludf.DUMMYFUNCTION("IF($G72="""","""",IFERROR(query({proventos!$B$5:$Q310},""Select sum(Col16) where Col1 = '""&amp;$G72&amp;""' and Col2 &gt; date '""&amp;TEXT(DATE(W$8,1,1),""yyyy-mm-dd"")&amp;""' and Col2 &lt;= date '""&amp;TEXT(DATE(W$8,12,31),""yyyy-mm-dd"")&amp;""' label sum(Col16) ''"",0)))"),"")</f>
        <v/>
      </c>
      <c r="X72" s="630" t="str">
        <f>IFERROR(__xludf.DUMMYFUNCTION("IF($G72="""","""",IFERROR(query({proventos!$B$5:$Q310},""Select sum(Col16) where Col1 = '""&amp;$G72&amp;""' and Col2 &gt; date '""&amp;TEXT(DATE(X$8,1,1),""yyyy-mm-dd"")&amp;""' and Col2 &lt;= date '""&amp;TEXT(DATE(X$8,12,31),""yyyy-mm-dd"")&amp;""' label sum(Col16) ''"",0)))"),"")</f>
        <v/>
      </c>
      <c r="Y72" s="630" t="str">
        <f>IFERROR(__xludf.DUMMYFUNCTION("IF($G72="""","""",IFERROR(query({proventos!$B$5:$Q310},""Select sum(Col16) where Col1 = '""&amp;$G72&amp;""' and Col2 &gt; date '""&amp;TEXT(DATE(Y$8,1,1),""yyyy-mm-dd"")&amp;""' and Col2 &lt;= date '""&amp;TEXT(DATE(Y$8,12,31),""yyyy-mm-dd"")&amp;""' label sum(Col16) ''"",0)))"),"")</f>
        <v/>
      </c>
      <c r="Z72" s="630" t="str">
        <f>IFERROR(__xludf.DUMMYFUNCTION("IF($G72="""","""",IFERROR(query({proventos!$B$5:$Q310},""Select sum(Col16) where Col1 = '""&amp;$G72&amp;""' and Col2 &gt; date '""&amp;TEXT(DATE(Z$8,1,1),""yyyy-mm-dd"")&amp;""' and Col2 &lt;= date '""&amp;TEXT(DATE(Z$8,12,31),""yyyy-mm-dd"")&amp;""' label sum(Col16) ''"",0)))"),"")</f>
        <v/>
      </c>
      <c r="AA72" s="587"/>
      <c r="AB72" s="578" t="s">
        <v>123</v>
      </c>
      <c r="AC72" s="601"/>
      <c r="AD72" s="636"/>
      <c r="AE72" s="636"/>
    </row>
    <row r="73">
      <c r="A73" s="619">
        <v>63.0</v>
      </c>
      <c r="B73" s="620"/>
      <c r="C73" s="632"/>
      <c r="D73" s="633"/>
      <c r="E73" s="634"/>
      <c r="F73" s="624">
        <v>63.0</v>
      </c>
      <c r="G73" s="635"/>
      <c r="H73" s="626" t="str">
        <f>if(G73="","",IFERROR(VLOOKUP(G73,AtivosDados,MATCH("provento_avg",portfolio.!$A$3:AE$3,0),FALSE),""))</f>
        <v/>
      </c>
      <c r="I73" s="627" t="s">
        <v>123</v>
      </c>
      <c r="J73" s="628" t="str">
        <f>IFERROR(__xludf.DUMMYFUNCTION("IF($G73="""","""",IFERROR(query({proventos!$B$5:$Q310},""Select sum(Col16) where Col1 = '""&amp;$G73&amp;""' and Col2 &gt; date '""&amp;TEXT(K$8,""yyyy-mm-dd"")&amp;""' and Col2 &lt;= date '""&amp;TEXT(J$8,""yyyy-mm-dd"")&amp;""' label sum(Col16) ''"",0)))"),"")</f>
        <v/>
      </c>
      <c r="K73" s="628" t="str">
        <f>IFERROR(__xludf.DUMMYFUNCTION("IF($G73="""","""",IFERROR(query({proventos!$B$5:$Q310},""Select sum(Col16) where Col1 = '""&amp;$G73&amp;""' and Col2 &gt; date '""&amp;TEXT(L$8,""yyyy-mm-dd"")&amp;""' and Col2 &lt;= date '""&amp;TEXT(K$8,""yyyy-mm-dd"")&amp;""' label sum(Col16) ''"",0)))"),"")</f>
        <v/>
      </c>
      <c r="L73" s="628" t="str">
        <f>IFERROR(__xludf.DUMMYFUNCTION("IF($G73="""","""",IFERROR(query({proventos!$B$5:$Q310},""Select sum(Col16) where Col1 = '""&amp;$G73&amp;""' and Col2 &gt; date '""&amp;TEXT(M$8,""yyyy-mm-dd"")&amp;""' and Col2 &lt;= date '""&amp;TEXT(L$8,""yyyy-mm-dd"")&amp;""' label sum(Col16) ''"",0)))"),"")</f>
        <v/>
      </c>
      <c r="M73" s="628" t="str">
        <f>IFERROR(__xludf.DUMMYFUNCTION("IF($G73="""","""",IFERROR(query({proventos!$B$5:$Q310},""Select sum(Col16) where Col1 = '""&amp;$G73&amp;""' and Col2 &gt; date '""&amp;TEXT(N$8,""yyyy-mm-dd"")&amp;""' and Col2 &lt;= date '""&amp;TEXT(M$8,""yyyy-mm-dd"")&amp;""' label sum(Col16) ''"",0)))"),"")</f>
        <v/>
      </c>
      <c r="N73" s="628" t="str">
        <f>IFERROR(__xludf.DUMMYFUNCTION("IF($G73="""","""",IFERROR(query({proventos!$B$5:$Q310},""Select sum(Col16) where Col1 = '""&amp;$G73&amp;""' and Col2 &gt; date '""&amp;TEXT(O$8,""yyyy-mm-dd"")&amp;""' and Col2 &lt;= date '""&amp;TEXT(N$8,""yyyy-mm-dd"")&amp;""' label sum(Col16) ''"",0)))"),"")</f>
        <v/>
      </c>
      <c r="O73" s="628" t="str">
        <f>IFERROR(__xludf.DUMMYFUNCTION("IF($G73="""","""",IFERROR(query({proventos!$B$5:$Q310},""Select sum(Col16) where Col1 = '""&amp;$G73&amp;""' and Col2 &gt; date '""&amp;TEXT(P$8,""yyyy-mm-dd"")&amp;""' and Col2 &lt;= date '""&amp;TEXT(O$8,""yyyy-mm-dd"")&amp;""' label sum(Col16) ''"",0)))"),"")</f>
        <v/>
      </c>
      <c r="P73" s="628" t="str">
        <f>IFERROR(__xludf.DUMMYFUNCTION("IF($G73="""","""",IFERROR(query({proventos!$B$5:$Q310},""Select sum(Col16) where Col1 = '""&amp;$G73&amp;""' and Col2 &gt; date '""&amp;TEXT(Q$8,""yyyy-mm-dd"")&amp;""' and Col2 &lt;= date '""&amp;TEXT(P$8,""yyyy-mm-dd"")&amp;""' label sum(Col16) ''"",0)))"),"")</f>
        <v/>
      </c>
      <c r="Q73" s="628" t="str">
        <f>IFERROR(__xludf.DUMMYFUNCTION("IF($G73="""","""",IFERROR(query({proventos!$B$5:$Q310},""Select sum(Col16) where Col1 = '""&amp;$G73&amp;""' and Col2 &gt; date '""&amp;TEXT(R$8,""yyyy-mm-dd"")&amp;""' and Col2 &lt;= date '""&amp;TEXT(Q$8,""yyyy-mm-dd"")&amp;""' label sum(Col16) ''"",0)))"),"")</f>
        <v/>
      </c>
      <c r="R73" s="628" t="str">
        <f>IFERROR(__xludf.DUMMYFUNCTION("IF($G73="""","""",IFERROR(query({proventos!$B$5:$Q310},""Select sum(Col16) where Col1 = '""&amp;$G73&amp;""' and Col2 &gt; date '""&amp;TEXT(S$8,""yyyy-mm-dd"")&amp;""' and Col2 &lt;= date '""&amp;TEXT(R$8,""yyyy-mm-dd"")&amp;""' label sum(Col16) ''"",0)))"),"")</f>
        <v/>
      </c>
      <c r="S73" s="628" t="str">
        <f>IFERROR(__xludf.DUMMYFUNCTION("IF($G73="""","""",IFERROR(query({proventos!$B$5:$Q310},""Select sum(Col16) where Col1 = '""&amp;$G73&amp;""' and Col2 &gt; date '""&amp;TEXT(T$8,""yyyy-mm-dd"")&amp;""' and Col2 &lt;= date '""&amp;TEXT(S$8,""yyyy-mm-dd"")&amp;""' label sum(Col16) ''"",0)))"),"")</f>
        <v/>
      </c>
      <c r="T73" s="628" t="str">
        <f>IFERROR(__xludf.DUMMYFUNCTION("IF($G73="""","""",IFERROR(query({proventos!$B$5:$Q310},""Select sum(Col16) where Col1 = '""&amp;$G73&amp;""' and Col2 &gt; date '""&amp;TEXT(U$8,""yyyy-mm-dd"")&amp;""' and Col2 &lt;= date '""&amp;TEXT(T$8,""yyyy-mm-dd"")&amp;""' label sum(Col16) ''"",0)))"),"")</f>
        <v/>
      </c>
      <c r="U73" s="629" t="str">
        <f>IFERROR(__xludf.DUMMYFUNCTION("IF($G73="""","""",IFERROR(query({proventos!$B$5:$Q310},""Select sum(Col16) where Col1 = '""&amp;$G73&amp;""' and Col2 &gt; date '""&amp;TEXT(EOMONTH(TODAY(),-13),""yyyy-mm-dd"")&amp;""' and Col2 &lt;= date '""&amp;TEXT(U$8,""yyyy-mm-dd"")&amp;""' label sum(Col16) ''"",0)))"),"")</f>
        <v/>
      </c>
      <c r="V73" s="630" t="str">
        <f>IFERROR(__xludf.DUMMYFUNCTION("IF($G73="""","""",IFERROR(query({proventos!$B$5:$Q310},""Select sum(Col16) where Col1 = '""&amp;$G73&amp;""' and Col2 &gt; date '""&amp;TEXT(DATE(V$8,1,1),""yyyy-mm-dd"")&amp;""' and Col2 &lt;= date '""&amp;TEXT(DATE(V$8,12,31),""yyyy-mm-dd"")&amp;""' label sum(Col16) ''"",0)))"),"")</f>
        <v/>
      </c>
      <c r="W73" s="630" t="str">
        <f>IFERROR(__xludf.DUMMYFUNCTION("IF($G73="""","""",IFERROR(query({proventos!$B$5:$Q310},""Select sum(Col16) where Col1 = '""&amp;$G73&amp;""' and Col2 &gt; date '""&amp;TEXT(DATE(W$8,1,1),""yyyy-mm-dd"")&amp;""' and Col2 &lt;= date '""&amp;TEXT(DATE(W$8,12,31),""yyyy-mm-dd"")&amp;""' label sum(Col16) ''"",0)))"),"")</f>
        <v/>
      </c>
      <c r="X73" s="630" t="str">
        <f>IFERROR(__xludf.DUMMYFUNCTION("IF($G73="""","""",IFERROR(query({proventos!$B$5:$Q310},""Select sum(Col16) where Col1 = '""&amp;$G73&amp;""' and Col2 &gt; date '""&amp;TEXT(DATE(X$8,1,1),""yyyy-mm-dd"")&amp;""' and Col2 &lt;= date '""&amp;TEXT(DATE(X$8,12,31),""yyyy-mm-dd"")&amp;""' label sum(Col16) ''"",0)))"),"")</f>
        <v/>
      </c>
      <c r="Y73" s="630" t="str">
        <f>IFERROR(__xludf.DUMMYFUNCTION("IF($G73="""","""",IFERROR(query({proventos!$B$5:$Q310},""Select sum(Col16) where Col1 = '""&amp;$G73&amp;""' and Col2 &gt; date '""&amp;TEXT(DATE(Y$8,1,1),""yyyy-mm-dd"")&amp;""' and Col2 &lt;= date '""&amp;TEXT(DATE(Y$8,12,31),""yyyy-mm-dd"")&amp;""' label sum(Col16) ''"",0)))"),"")</f>
        <v/>
      </c>
      <c r="Z73" s="630" t="str">
        <f>IFERROR(__xludf.DUMMYFUNCTION("IF($G73="""","""",IFERROR(query({proventos!$B$5:$Q310},""Select sum(Col16) where Col1 = '""&amp;$G73&amp;""' and Col2 &gt; date '""&amp;TEXT(DATE(Z$8,1,1),""yyyy-mm-dd"")&amp;""' and Col2 &lt;= date '""&amp;TEXT(DATE(Z$8,12,31),""yyyy-mm-dd"")&amp;""' label sum(Col16) ''"",0)))"),"")</f>
        <v/>
      </c>
      <c r="AA73" s="587"/>
      <c r="AB73" s="578" t="s">
        <v>123</v>
      </c>
      <c r="AC73" s="601"/>
      <c r="AD73" s="636"/>
      <c r="AE73" s="636"/>
    </row>
    <row r="74">
      <c r="A74" s="619">
        <v>64.0</v>
      </c>
      <c r="B74" s="620"/>
      <c r="C74" s="632"/>
      <c r="D74" s="633"/>
      <c r="E74" s="634"/>
      <c r="F74" s="624">
        <v>64.0</v>
      </c>
      <c r="G74" s="635"/>
      <c r="H74" s="626" t="str">
        <f>if(G74="","",IFERROR(VLOOKUP(G74,AtivosDados,MATCH("provento_avg",portfolio.!$A$3:AE$3,0),FALSE),""))</f>
        <v/>
      </c>
      <c r="I74" s="627" t="s">
        <v>123</v>
      </c>
      <c r="J74" s="628" t="str">
        <f>IFERROR(__xludf.DUMMYFUNCTION("IF($G74="""","""",IFERROR(query({proventos!$B$5:$Q310},""Select sum(Col16) where Col1 = '""&amp;$G74&amp;""' and Col2 &gt; date '""&amp;TEXT(K$8,""yyyy-mm-dd"")&amp;""' and Col2 &lt;= date '""&amp;TEXT(J$8,""yyyy-mm-dd"")&amp;""' label sum(Col16) ''"",0)))"),"")</f>
        <v/>
      </c>
      <c r="K74" s="628" t="str">
        <f>IFERROR(__xludf.DUMMYFUNCTION("IF($G74="""","""",IFERROR(query({proventos!$B$5:$Q310},""Select sum(Col16) where Col1 = '""&amp;$G74&amp;""' and Col2 &gt; date '""&amp;TEXT(L$8,""yyyy-mm-dd"")&amp;""' and Col2 &lt;= date '""&amp;TEXT(K$8,""yyyy-mm-dd"")&amp;""' label sum(Col16) ''"",0)))"),"")</f>
        <v/>
      </c>
      <c r="L74" s="628" t="str">
        <f>IFERROR(__xludf.DUMMYFUNCTION("IF($G74="""","""",IFERROR(query({proventos!$B$5:$Q310},""Select sum(Col16) where Col1 = '""&amp;$G74&amp;""' and Col2 &gt; date '""&amp;TEXT(M$8,""yyyy-mm-dd"")&amp;""' and Col2 &lt;= date '""&amp;TEXT(L$8,""yyyy-mm-dd"")&amp;""' label sum(Col16) ''"",0)))"),"")</f>
        <v/>
      </c>
      <c r="M74" s="628" t="str">
        <f>IFERROR(__xludf.DUMMYFUNCTION("IF($G74="""","""",IFERROR(query({proventos!$B$5:$Q310},""Select sum(Col16) where Col1 = '""&amp;$G74&amp;""' and Col2 &gt; date '""&amp;TEXT(N$8,""yyyy-mm-dd"")&amp;""' and Col2 &lt;= date '""&amp;TEXT(M$8,""yyyy-mm-dd"")&amp;""' label sum(Col16) ''"",0)))"),"")</f>
        <v/>
      </c>
      <c r="N74" s="628" t="str">
        <f>IFERROR(__xludf.DUMMYFUNCTION("IF($G74="""","""",IFERROR(query({proventos!$B$5:$Q310},""Select sum(Col16) where Col1 = '""&amp;$G74&amp;""' and Col2 &gt; date '""&amp;TEXT(O$8,""yyyy-mm-dd"")&amp;""' and Col2 &lt;= date '""&amp;TEXT(N$8,""yyyy-mm-dd"")&amp;""' label sum(Col16) ''"",0)))"),"")</f>
        <v/>
      </c>
      <c r="O74" s="628" t="str">
        <f>IFERROR(__xludf.DUMMYFUNCTION("IF($G74="""","""",IFERROR(query({proventos!$B$5:$Q310},""Select sum(Col16) where Col1 = '""&amp;$G74&amp;""' and Col2 &gt; date '""&amp;TEXT(P$8,""yyyy-mm-dd"")&amp;""' and Col2 &lt;= date '""&amp;TEXT(O$8,""yyyy-mm-dd"")&amp;""' label sum(Col16) ''"",0)))"),"")</f>
        <v/>
      </c>
      <c r="P74" s="628" t="str">
        <f>IFERROR(__xludf.DUMMYFUNCTION("IF($G74="""","""",IFERROR(query({proventos!$B$5:$Q310},""Select sum(Col16) where Col1 = '""&amp;$G74&amp;""' and Col2 &gt; date '""&amp;TEXT(Q$8,""yyyy-mm-dd"")&amp;""' and Col2 &lt;= date '""&amp;TEXT(P$8,""yyyy-mm-dd"")&amp;""' label sum(Col16) ''"",0)))"),"")</f>
        <v/>
      </c>
      <c r="Q74" s="628" t="str">
        <f>IFERROR(__xludf.DUMMYFUNCTION("IF($G74="""","""",IFERROR(query({proventos!$B$5:$Q310},""Select sum(Col16) where Col1 = '""&amp;$G74&amp;""' and Col2 &gt; date '""&amp;TEXT(R$8,""yyyy-mm-dd"")&amp;""' and Col2 &lt;= date '""&amp;TEXT(Q$8,""yyyy-mm-dd"")&amp;""' label sum(Col16) ''"",0)))"),"")</f>
        <v/>
      </c>
      <c r="R74" s="628" t="str">
        <f>IFERROR(__xludf.DUMMYFUNCTION("IF($G74="""","""",IFERROR(query({proventos!$B$5:$Q310},""Select sum(Col16) where Col1 = '""&amp;$G74&amp;""' and Col2 &gt; date '""&amp;TEXT(S$8,""yyyy-mm-dd"")&amp;""' and Col2 &lt;= date '""&amp;TEXT(R$8,""yyyy-mm-dd"")&amp;""' label sum(Col16) ''"",0)))"),"")</f>
        <v/>
      </c>
      <c r="S74" s="628" t="str">
        <f>IFERROR(__xludf.DUMMYFUNCTION("IF($G74="""","""",IFERROR(query({proventos!$B$5:$Q310},""Select sum(Col16) where Col1 = '""&amp;$G74&amp;""' and Col2 &gt; date '""&amp;TEXT(T$8,""yyyy-mm-dd"")&amp;""' and Col2 &lt;= date '""&amp;TEXT(S$8,""yyyy-mm-dd"")&amp;""' label sum(Col16) ''"",0)))"),"")</f>
        <v/>
      </c>
      <c r="T74" s="628" t="str">
        <f>IFERROR(__xludf.DUMMYFUNCTION("IF($G74="""","""",IFERROR(query({proventos!$B$5:$Q310},""Select sum(Col16) where Col1 = '""&amp;$G74&amp;""' and Col2 &gt; date '""&amp;TEXT(U$8,""yyyy-mm-dd"")&amp;""' and Col2 &lt;= date '""&amp;TEXT(T$8,""yyyy-mm-dd"")&amp;""' label sum(Col16) ''"",0)))"),"")</f>
        <v/>
      </c>
      <c r="U74" s="629" t="str">
        <f>IFERROR(__xludf.DUMMYFUNCTION("IF($G74="""","""",IFERROR(query({proventos!$B$5:$Q310},""Select sum(Col16) where Col1 = '""&amp;$G74&amp;""' and Col2 &gt; date '""&amp;TEXT(EOMONTH(TODAY(),-13),""yyyy-mm-dd"")&amp;""' and Col2 &lt;= date '""&amp;TEXT(U$8,""yyyy-mm-dd"")&amp;""' label sum(Col16) ''"",0)))"),"")</f>
        <v/>
      </c>
      <c r="V74" s="630" t="str">
        <f>IFERROR(__xludf.DUMMYFUNCTION("IF($G74="""","""",IFERROR(query({proventos!$B$5:$Q310},""Select sum(Col16) where Col1 = '""&amp;$G74&amp;""' and Col2 &gt; date '""&amp;TEXT(DATE(V$8,1,1),""yyyy-mm-dd"")&amp;""' and Col2 &lt;= date '""&amp;TEXT(DATE(V$8,12,31),""yyyy-mm-dd"")&amp;""' label sum(Col16) ''"",0)))"),"")</f>
        <v/>
      </c>
      <c r="W74" s="630" t="str">
        <f>IFERROR(__xludf.DUMMYFUNCTION("IF($G74="""","""",IFERROR(query({proventos!$B$5:$Q310},""Select sum(Col16) where Col1 = '""&amp;$G74&amp;""' and Col2 &gt; date '""&amp;TEXT(DATE(W$8,1,1),""yyyy-mm-dd"")&amp;""' and Col2 &lt;= date '""&amp;TEXT(DATE(W$8,12,31),""yyyy-mm-dd"")&amp;""' label sum(Col16) ''"",0)))"),"")</f>
        <v/>
      </c>
      <c r="X74" s="630" t="str">
        <f>IFERROR(__xludf.DUMMYFUNCTION("IF($G74="""","""",IFERROR(query({proventos!$B$5:$Q310},""Select sum(Col16) where Col1 = '""&amp;$G74&amp;""' and Col2 &gt; date '""&amp;TEXT(DATE(X$8,1,1),""yyyy-mm-dd"")&amp;""' and Col2 &lt;= date '""&amp;TEXT(DATE(X$8,12,31),""yyyy-mm-dd"")&amp;""' label sum(Col16) ''"",0)))"),"")</f>
        <v/>
      </c>
      <c r="Y74" s="630" t="str">
        <f>IFERROR(__xludf.DUMMYFUNCTION("IF($G74="""","""",IFERROR(query({proventos!$B$5:$Q310},""Select sum(Col16) where Col1 = '""&amp;$G74&amp;""' and Col2 &gt; date '""&amp;TEXT(DATE(Y$8,1,1),""yyyy-mm-dd"")&amp;""' and Col2 &lt;= date '""&amp;TEXT(DATE(Y$8,12,31),""yyyy-mm-dd"")&amp;""' label sum(Col16) ''"",0)))"),"")</f>
        <v/>
      </c>
      <c r="Z74" s="630" t="str">
        <f>IFERROR(__xludf.DUMMYFUNCTION("IF($G74="""","""",IFERROR(query({proventos!$B$5:$Q310},""Select sum(Col16) where Col1 = '""&amp;$G74&amp;""' and Col2 &gt; date '""&amp;TEXT(DATE(Z$8,1,1),""yyyy-mm-dd"")&amp;""' and Col2 &lt;= date '""&amp;TEXT(DATE(Z$8,12,31),""yyyy-mm-dd"")&amp;""' label sum(Col16) ''"",0)))"),"")</f>
        <v/>
      </c>
      <c r="AA74" s="587"/>
      <c r="AB74" s="578" t="s">
        <v>123</v>
      </c>
      <c r="AC74" s="601"/>
      <c r="AD74" s="636"/>
      <c r="AE74" s="636"/>
    </row>
    <row r="75">
      <c r="A75" s="619">
        <v>65.0</v>
      </c>
      <c r="B75" s="620"/>
      <c r="C75" s="632"/>
      <c r="D75" s="633"/>
      <c r="E75" s="634"/>
      <c r="F75" s="624">
        <v>65.0</v>
      </c>
      <c r="G75" s="635"/>
      <c r="H75" s="626" t="str">
        <f>if(G75="","",IFERROR(VLOOKUP(G75,AtivosDados,MATCH("provento_avg",portfolio.!$A$3:AE$3,0),FALSE),""))</f>
        <v/>
      </c>
      <c r="I75" s="627" t="s">
        <v>123</v>
      </c>
      <c r="J75" s="628" t="str">
        <f>IFERROR(__xludf.DUMMYFUNCTION("IF($G75="""","""",IFERROR(query({proventos!$B$5:$Q310},""Select sum(Col16) where Col1 = '""&amp;$G75&amp;""' and Col2 &gt; date '""&amp;TEXT(K$8,""yyyy-mm-dd"")&amp;""' and Col2 &lt;= date '""&amp;TEXT(J$8,""yyyy-mm-dd"")&amp;""' label sum(Col16) ''"",0)))"),"")</f>
        <v/>
      </c>
      <c r="K75" s="628" t="str">
        <f>IFERROR(__xludf.DUMMYFUNCTION("IF($G75="""","""",IFERROR(query({proventos!$B$5:$Q310},""Select sum(Col16) where Col1 = '""&amp;$G75&amp;""' and Col2 &gt; date '""&amp;TEXT(L$8,""yyyy-mm-dd"")&amp;""' and Col2 &lt;= date '""&amp;TEXT(K$8,""yyyy-mm-dd"")&amp;""' label sum(Col16) ''"",0)))"),"")</f>
        <v/>
      </c>
      <c r="L75" s="628" t="str">
        <f>IFERROR(__xludf.DUMMYFUNCTION("IF($G75="""","""",IFERROR(query({proventos!$B$5:$Q310},""Select sum(Col16) where Col1 = '""&amp;$G75&amp;""' and Col2 &gt; date '""&amp;TEXT(M$8,""yyyy-mm-dd"")&amp;""' and Col2 &lt;= date '""&amp;TEXT(L$8,""yyyy-mm-dd"")&amp;""' label sum(Col16) ''"",0)))"),"")</f>
        <v/>
      </c>
      <c r="M75" s="628" t="str">
        <f>IFERROR(__xludf.DUMMYFUNCTION("IF($G75="""","""",IFERROR(query({proventos!$B$5:$Q310},""Select sum(Col16) where Col1 = '""&amp;$G75&amp;""' and Col2 &gt; date '""&amp;TEXT(N$8,""yyyy-mm-dd"")&amp;""' and Col2 &lt;= date '""&amp;TEXT(M$8,""yyyy-mm-dd"")&amp;""' label sum(Col16) ''"",0)))"),"")</f>
        <v/>
      </c>
      <c r="N75" s="628" t="str">
        <f>IFERROR(__xludf.DUMMYFUNCTION("IF($G75="""","""",IFERROR(query({proventos!$B$5:$Q310},""Select sum(Col16) where Col1 = '""&amp;$G75&amp;""' and Col2 &gt; date '""&amp;TEXT(O$8,""yyyy-mm-dd"")&amp;""' and Col2 &lt;= date '""&amp;TEXT(N$8,""yyyy-mm-dd"")&amp;""' label sum(Col16) ''"",0)))"),"")</f>
        <v/>
      </c>
      <c r="O75" s="628" t="str">
        <f>IFERROR(__xludf.DUMMYFUNCTION("IF($G75="""","""",IFERROR(query({proventos!$B$5:$Q310},""Select sum(Col16) where Col1 = '""&amp;$G75&amp;""' and Col2 &gt; date '""&amp;TEXT(P$8,""yyyy-mm-dd"")&amp;""' and Col2 &lt;= date '""&amp;TEXT(O$8,""yyyy-mm-dd"")&amp;""' label sum(Col16) ''"",0)))"),"")</f>
        <v/>
      </c>
      <c r="P75" s="628" t="str">
        <f>IFERROR(__xludf.DUMMYFUNCTION("IF($G75="""","""",IFERROR(query({proventos!$B$5:$Q310},""Select sum(Col16) where Col1 = '""&amp;$G75&amp;""' and Col2 &gt; date '""&amp;TEXT(Q$8,""yyyy-mm-dd"")&amp;""' and Col2 &lt;= date '""&amp;TEXT(P$8,""yyyy-mm-dd"")&amp;""' label sum(Col16) ''"",0)))"),"")</f>
        <v/>
      </c>
      <c r="Q75" s="628" t="str">
        <f>IFERROR(__xludf.DUMMYFUNCTION("IF($G75="""","""",IFERROR(query({proventos!$B$5:$Q310},""Select sum(Col16) where Col1 = '""&amp;$G75&amp;""' and Col2 &gt; date '""&amp;TEXT(R$8,""yyyy-mm-dd"")&amp;""' and Col2 &lt;= date '""&amp;TEXT(Q$8,""yyyy-mm-dd"")&amp;""' label sum(Col16) ''"",0)))"),"")</f>
        <v/>
      </c>
      <c r="R75" s="628" t="str">
        <f>IFERROR(__xludf.DUMMYFUNCTION("IF($G75="""","""",IFERROR(query({proventos!$B$5:$Q310},""Select sum(Col16) where Col1 = '""&amp;$G75&amp;""' and Col2 &gt; date '""&amp;TEXT(S$8,""yyyy-mm-dd"")&amp;""' and Col2 &lt;= date '""&amp;TEXT(R$8,""yyyy-mm-dd"")&amp;""' label sum(Col16) ''"",0)))"),"")</f>
        <v/>
      </c>
      <c r="S75" s="628" t="str">
        <f>IFERROR(__xludf.DUMMYFUNCTION("IF($G75="""","""",IFERROR(query({proventos!$B$5:$Q310},""Select sum(Col16) where Col1 = '""&amp;$G75&amp;""' and Col2 &gt; date '""&amp;TEXT(T$8,""yyyy-mm-dd"")&amp;""' and Col2 &lt;= date '""&amp;TEXT(S$8,""yyyy-mm-dd"")&amp;""' label sum(Col16) ''"",0)))"),"")</f>
        <v/>
      </c>
      <c r="T75" s="628" t="str">
        <f>IFERROR(__xludf.DUMMYFUNCTION("IF($G75="""","""",IFERROR(query({proventos!$B$5:$Q310},""Select sum(Col16) where Col1 = '""&amp;$G75&amp;""' and Col2 &gt; date '""&amp;TEXT(U$8,""yyyy-mm-dd"")&amp;""' and Col2 &lt;= date '""&amp;TEXT(T$8,""yyyy-mm-dd"")&amp;""' label sum(Col16) ''"",0)))"),"")</f>
        <v/>
      </c>
      <c r="U75" s="629" t="str">
        <f>IFERROR(__xludf.DUMMYFUNCTION("IF($G75="""","""",IFERROR(query({proventos!$B$5:$Q310},""Select sum(Col16) where Col1 = '""&amp;$G75&amp;""' and Col2 &gt; date '""&amp;TEXT(EOMONTH(TODAY(),-13),""yyyy-mm-dd"")&amp;""' and Col2 &lt;= date '""&amp;TEXT(U$8,""yyyy-mm-dd"")&amp;""' label sum(Col16) ''"",0)))"),"")</f>
        <v/>
      </c>
      <c r="V75" s="630" t="str">
        <f>IFERROR(__xludf.DUMMYFUNCTION("IF($G75="""","""",IFERROR(query({proventos!$B$5:$Q310},""Select sum(Col16) where Col1 = '""&amp;$G75&amp;""' and Col2 &gt; date '""&amp;TEXT(DATE(V$8,1,1),""yyyy-mm-dd"")&amp;""' and Col2 &lt;= date '""&amp;TEXT(DATE(V$8,12,31),""yyyy-mm-dd"")&amp;""' label sum(Col16) ''"",0)))"),"")</f>
        <v/>
      </c>
      <c r="W75" s="630" t="str">
        <f>IFERROR(__xludf.DUMMYFUNCTION("IF($G75="""","""",IFERROR(query({proventos!$B$5:$Q310},""Select sum(Col16) where Col1 = '""&amp;$G75&amp;""' and Col2 &gt; date '""&amp;TEXT(DATE(W$8,1,1),""yyyy-mm-dd"")&amp;""' and Col2 &lt;= date '""&amp;TEXT(DATE(W$8,12,31),""yyyy-mm-dd"")&amp;""' label sum(Col16) ''"",0)))"),"")</f>
        <v/>
      </c>
      <c r="X75" s="630" t="str">
        <f>IFERROR(__xludf.DUMMYFUNCTION("IF($G75="""","""",IFERROR(query({proventos!$B$5:$Q310},""Select sum(Col16) where Col1 = '""&amp;$G75&amp;""' and Col2 &gt; date '""&amp;TEXT(DATE(X$8,1,1),""yyyy-mm-dd"")&amp;""' and Col2 &lt;= date '""&amp;TEXT(DATE(X$8,12,31),""yyyy-mm-dd"")&amp;""' label sum(Col16) ''"",0)))"),"")</f>
        <v/>
      </c>
      <c r="Y75" s="630" t="str">
        <f>IFERROR(__xludf.DUMMYFUNCTION("IF($G75="""","""",IFERROR(query({proventos!$B$5:$Q310},""Select sum(Col16) where Col1 = '""&amp;$G75&amp;""' and Col2 &gt; date '""&amp;TEXT(DATE(Y$8,1,1),""yyyy-mm-dd"")&amp;""' and Col2 &lt;= date '""&amp;TEXT(DATE(Y$8,12,31),""yyyy-mm-dd"")&amp;""' label sum(Col16) ''"",0)))"),"")</f>
        <v/>
      </c>
      <c r="Z75" s="630" t="str">
        <f>IFERROR(__xludf.DUMMYFUNCTION("IF($G75="""","""",IFERROR(query({proventos!$B$5:$Q310},""Select sum(Col16) where Col1 = '""&amp;$G75&amp;""' and Col2 &gt; date '""&amp;TEXT(DATE(Z$8,1,1),""yyyy-mm-dd"")&amp;""' and Col2 &lt;= date '""&amp;TEXT(DATE(Z$8,12,31),""yyyy-mm-dd"")&amp;""' label sum(Col16) ''"",0)))"),"")</f>
        <v/>
      </c>
      <c r="AA75" s="587"/>
      <c r="AB75" s="578" t="s">
        <v>123</v>
      </c>
      <c r="AC75" s="601"/>
      <c r="AD75" s="636"/>
      <c r="AE75" s="636"/>
    </row>
    <row r="76">
      <c r="A76" s="619">
        <v>66.0</v>
      </c>
      <c r="B76" s="620"/>
      <c r="C76" s="632"/>
      <c r="D76" s="633"/>
      <c r="E76" s="634"/>
      <c r="F76" s="624">
        <v>66.0</v>
      </c>
      <c r="G76" s="635"/>
      <c r="H76" s="626" t="str">
        <f>if(G76="","",IFERROR(VLOOKUP(G76,AtivosDados,MATCH("provento_avg",portfolio.!$A$3:AE$3,0),FALSE),""))</f>
        <v/>
      </c>
      <c r="I76" s="627" t="s">
        <v>123</v>
      </c>
      <c r="J76" s="628" t="str">
        <f>IFERROR(__xludf.DUMMYFUNCTION("IF($G76="""","""",IFERROR(query({proventos!$B$5:$Q310},""Select sum(Col16) where Col1 = '""&amp;$G76&amp;""' and Col2 &gt; date '""&amp;TEXT(K$8,""yyyy-mm-dd"")&amp;""' and Col2 &lt;= date '""&amp;TEXT(J$8,""yyyy-mm-dd"")&amp;""' label sum(Col16) ''"",0)))"),"")</f>
        <v/>
      </c>
      <c r="K76" s="628" t="str">
        <f>IFERROR(__xludf.DUMMYFUNCTION("IF($G76="""","""",IFERROR(query({proventos!$B$5:$Q310},""Select sum(Col16) where Col1 = '""&amp;$G76&amp;""' and Col2 &gt; date '""&amp;TEXT(L$8,""yyyy-mm-dd"")&amp;""' and Col2 &lt;= date '""&amp;TEXT(K$8,""yyyy-mm-dd"")&amp;""' label sum(Col16) ''"",0)))"),"")</f>
        <v/>
      </c>
      <c r="L76" s="628" t="str">
        <f>IFERROR(__xludf.DUMMYFUNCTION("IF($G76="""","""",IFERROR(query({proventos!$B$5:$Q310},""Select sum(Col16) where Col1 = '""&amp;$G76&amp;""' and Col2 &gt; date '""&amp;TEXT(M$8,""yyyy-mm-dd"")&amp;""' and Col2 &lt;= date '""&amp;TEXT(L$8,""yyyy-mm-dd"")&amp;""' label sum(Col16) ''"",0)))"),"")</f>
        <v/>
      </c>
      <c r="M76" s="628" t="str">
        <f>IFERROR(__xludf.DUMMYFUNCTION("IF($G76="""","""",IFERROR(query({proventos!$B$5:$Q310},""Select sum(Col16) where Col1 = '""&amp;$G76&amp;""' and Col2 &gt; date '""&amp;TEXT(N$8,""yyyy-mm-dd"")&amp;""' and Col2 &lt;= date '""&amp;TEXT(M$8,""yyyy-mm-dd"")&amp;""' label sum(Col16) ''"",0)))"),"")</f>
        <v/>
      </c>
      <c r="N76" s="628" t="str">
        <f>IFERROR(__xludf.DUMMYFUNCTION("IF($G76="""","""",IFERROR(query({proventos!$B$5:$Q310},""Select sum(Col16) where Col1 = '""&amp;$G76&amp;""' and Col2 &gt; date '""&amp;TEXT(O$8,""yyyy-mm-dd"")&amp;""' and Col2 &lt;= date '""&amp;TEXT(N$8,""yyyy-mm-dd"")&amp;""' label sum(Col16) ''"",0)))"),"")</f>
        <v/>
      </c>
      <c r="O76" s="628" t="str">
        <f>IFERROR(__xludf.DUMMYFUNCTION("IF($G76="""","""",IFERROR(query({proventos!$B$5:$Q310},""Select sum(Col16) where Col1 = '""&amp;$G76&amp;""' and Col2 &gt; date '""&amp;TEXT(P$8,""yyyy-mm-dd"")&amp;""' and Col2 &lt;= date '""&amp;TEXT(O$8,""yyyy-mm-dd"")&amp;""' label sum(Col16) ''"",0)))"),"")</f>
        <v/>
      </c>
      <c r="P76" s="628" t="str">
        <f>IFERROR(__xludf.DUMMYFUNCTION("IF($G76="""","""",IFERROR(query({proventos!$B$5:$Q310},""Select sum(Col16) where Col1 = '""&amp;$G76&amp;""' and Col2 &gt; date '""&amp;TEXT(Q$8,""yyyy-mm-dd"")&amp;""' and Col2 &lt;= date '""&amp;TEXT(P$8,""yyyy-mm-dd"")&amp;""' label sum(Col16) ''"",0)))"),"")</f>
        <v/>
      </c>
      <c r="Q76" s="628" t="str">
        <f>IFERROR(__xludf.DUMMYFUNCTION("IF($G76="""","""",IFERROR(query({proventos!$B$5:$Q310},""Select sum(Col16) where Col1 = '""&amp;$G76&amp;""' and Col2 &gt; date '""&amp;TEXT(R$8,""yyyy-mm-dd"")&amp;""' and Col2 &lt;= date '""&amp;TEXT(Q$8,""yyyy-mm-dd"")&amp;""' label sum(Col16) ''"",0)))"),"")</f>
        <v/>
      </c>
      <c r="R76" s="628" t="str">
        <f>IFERROR(__xludf.DUMMYFUNCTION("IF($G76="""","""",IFERROR(query({proventos!$B$5:$Q310},""Select sum(Col16) where Col1 = '""&amp;$G76&amp;""' and Col2 &gt; date '""&amp;TEXT(S$8,""yyyy-mm-dd"")&amp;""' and Col2 &lt;= date '""&amp;TEXT(R$8,""yyyy-mm-dd"")&amp;""' label sum(Col16) ''"",0)))"),"")</f>
        <v/>
      </c>
      <c r="S76" s="628" t="str">
        <f>IFERROR(__xludf.DUMMYFUNCTION("IF($G76="""","""",IFERROR(query({proventos!$B$5:$Q310},""Select sum(Col16) where Col1 = '""&amp;$G76&amp;""' and Col2 &gt; date '""&amp;TEXT(T$8,""yyyy-mm-dd"")&amp;""' and Col2 &lt;= date '""&amp;TEXT(S$8,""yyyy-mm-dd"")&amp;""' label sum(Col16) ''"",0)))"),"")</f>
        <v/>
      </c>
      <c r="T76" s="628" t="str">
        <f>IFERROR(__xludf.DUMMYFUNCTION("IF($G76="""","""",IFERROR(query({proventos!$B$5:$Q310},""Select sum(Col16) where Col1 = '""&amp;$G76&amp;""' and Col2 &gt; date '""&amp;TEXT(U$8,""yyyy-mm-dd"")&amp;""' and Col2 &lt;= date '""&amp;TEXT(T$8,""yyyy-mm-dd"")&amp;""' label sum(Col16) ''"",0)))"),"")</f>
        <v/>
      </c>
      <c r="U76" s="629" t="str">
        <f>IFERROR(__xludf.DUMMYFUNCTION("IF($G76="""","""",IFERROR(query({proventos!$B$5:$Q310},""Select sum(Col16) where Col1 = '""&amp;$G76&amp;""' and Col2 &gt; date '""&amp;TEXT(EOMONTH(TODAY(),-13),""yyyy-mm-dd"")&amp;""' and Col2 &lt;= date '""&amp;TEXT(U$8,""yyyy-mm-dd"")&amp;""' label sum(Col16) ''"",0)))"),"")</f>
        <v/>
      </c>
      <c r="V76" s="630" t="str">
        <f>IFERROR(__xludf.DUMMYFUNCTION("IF($G76="""","""",IFERROR(query({proventos!$B$5:$Q310},""Select sum(Col16) where Col1 = '""&amp;$G76&amp;""' and Col2 &gt; date '""&amp;TEXT(DATE(V$8,1,1),""yyyy-mm-dd"")&amp;""' and Col2 &lt;= date '""&amp;TEXT(DATE(V$8,12,31),""yyyy-mm-dd"")&amp;""' label sum(Col16) ''"",0)))"),"")</f>
        <v/>
      </c>
      <c r="W76" s="630" t="str">
        <f>IFERROR(__xludf.DUMMYFUNCTION("IF($G76="""","""",IFERROR(query({proventos!$B$5:$Q310},""Select sum(Col16) where Col1 = '""&amp;$G76&amp;""' and Col2 &gt; date '""&amp;TEXT(DATE(W$8,1,1),""yyyy-mm-dd"")&amp;""' and Col2 &lt;= date '""&amp;TEXT(DATE(W$8,12,31),""yyyy-mm-dd"")&amp;""' label sum(Col16) ''"",0)))"),"")</f>
        <v/>
      </c>
      <c r="X76" s="630" t="str">
        <f>IFERROR(__xludf.DUMMYFUNCTION("IF($G76="""","""",IFERROR(query({proventos!$B$5:$Q310},""Select sum(Col16) where Col1 = '""&amp;$G76&amp;""' and Col2 &gt; date '""&amp;TEXT(DATE(X$8,1,1),""yyyy-mm-dd"")&amp;""' and Col2 &lt;= date '""&amp;TEXT(DATE(X$8,12,31),""yyyy-mm-dd"")&amp;""' label sum(Col16) ''"",0)))"),"")</f>
        <v/>
      </c>
      <c r="Y76" s="630" t="str">
        <f>IFERROR(__xludf.DUMMYFUNCTION("IF($G76="""","""",IFERROR(query({proventos!$B$5:$Q310},""Select sum(Col16) where Col1 = '""&amp;$G76&amp;""' and Col2 &gt; date '""&amp;TEXT(DATE(Y$8,1,1),""yyyy-mm-dd"")&amp;""' and Col2 &lt;= date '""&amp;TEXT(DATE(Y$8,12,31),""yyyy-mm-dd"")&amp;""' label sum(Col16) ''"",0)))"),"")</f>
        <v/>
      </c>
      <c r="Z76" s="630" t="str">
        <f>IFERROR(__xludf.DUMMYFUNCTION("IF($G76="""","""",IFERROR(query({proventos!$B$5:$Q310},""Select sum(Col16) where Col1 = '""&amp;$G76&amp;""' and Col2 &gt; date '""&amp;TEXT(DATE(Z$8,1,1),""yyyy-mm-dd"")&amp;""' and Col2 &lt;= date '""&amp;TEXT(DATE(Z$8,12,31),""yyyy-mm-dd"")&amp;""' label sum(Col16) ''"",0)))"),"")</f>
        <v/>
      </c>
      <c r="AA76" s="587"/>
      <c r="AB76" s="578" t="s">
        <v>123</v>
      </c>
      <c r="AC76" s="601"/>
      <c r="AD76" s="636"/>
      <c r="AE76" s="636"/>
    </row>
    <row r="77">
      <c r="A77" s="619">
        <v>67.0</v>
      </c>
      <c r="B77" s="620"/>
      <c r="C77" s="632"/>
      <c r="D77" s="633"/>
      <c r="E77" s="634"/>
      <c r="F77" s="624">
        <v>67.0</v>
      </c>
      <c r="G77" s="635"/>
      <c r="H77" s="626" t="str">
        <f>if(G77="","",IFERROR(VLOOKUP(G77,AtivosDados,MATCH("provento_avg",portfolio.!$A$3:AE$3,0),FALSE),""))</f>
        <v/>
      </c>
      <c r="I77" s="627" t="s">
        <v>123</v>
      </c>
      <c r="J77" s="628" t="str">
        <f>IFERROR(__xludf.DUMMYFUNCTION("IF($G77="""","""",IFERROR(query({proventos!$B$5:$Q310},""Select sum(Col16) where Col1 = '""&amp;$G77&amp;""' and Col2 &gt; date '""&amp;TEXT(K$8,""yyyy-mm-dd"")&amp;""' and Col2 &lt;= date '""&amp;TEXT(J$8,""yyyy-mm-dd"")&amp;""' label sum(Col16) ''"",0)))"),"")</f>
        <v/>
      </c>
      <c r="K77" s="628" t="str">
        <f>IFERROR(__xludf.DUMMYFUNCTION("IF($G77="""","""",IFERROR(query({proventos!$B$5:$Q310},""Select sum(Col16) where Col1 = '""&amp;$G77&amp;""' and Col2 &gt; date '""&amp;TEXT(L$8,""yyyy-mm-dd"")&amp;""' and Col2 &lt;= date '""&amp;TEXT(K$8,""yyyy-mm-dd"")&amp;""' label sum(Col16) ''"",0)))"),"")</f>
        <v/>
      </c>
      <c r="L77" s="628" t="str">
        <f>IFERROR(__xludf.DUMMYFUNCTION("IF($G77="""","""",IFERROR(query({proventos!$B$5:$Q310},""Select sum(Col16) where Col1 = '""&amp;$G77&amp;""' and Col2 &gt; date '""&amp;TEXT(M$8,""yyyy-mm-dd"")&amp;""' and Col2 &lt;= date '""&amp;TEXT(L$8,""yyyy-mm-dd"")&amp;""' label sum(Col16) ''"",0)))"),"")</f>
        <v/>
      </c>
      <c r="M77" s="628" t="str">
        <f>IFERROR(__xludf.DUMMYFUNCTION("IF($G77="""","""",IFERROR(query({proventos!$B$5:$Q310},""Select sum(Col16) where Col1 = '""&amp;$G77&amp;""' and Col2 &gt; date '""&amp;TEXT(N$8,""yyyy-mm-dd"")&amp;""' and Col2 &lt;= date '""&amp;TEXT(M$8,""yyyy-mm-dd"")&amp;""' label sum(Col16) ''"",0)))"),"")</f>
        <v/>
      </c>
      <c r="N77" s="628" t="str">
        <f>IFERROR(__xludf.DUMMYFUNCTION("IF($G77="""","""",IFERROR(query({proventos!$B$5:$Q310},""Select sum(Col16) where Col1 = '""&amp;$G77&amp;""' and Col2 &gt; date '""&amp;TEXT(O$8,""yyyy-mm-dd"")&amp;""' and Col2 &lt;= date '""&amp;TEXT(N$8,""yyyy-mm-dd"")&amp;""' label sum(Col16) ''"",0)))"),"")</f>
        <v/>
      </c>
      <c r="O77" s="628" t="str">
        <f>IFERROR(__xludf.DUMMYFUNCTION("IF($G77="""","""",IFERROR(query({proventos!$B$5:$Q310},""Select sum(Col16) where Col1 = '""&amp;$G77&amp;""' and Col2 &gt; date '""&amp;TEXT(P$8,""yyyy-mm-dd"")&amp;""' and Col2 &lt;= date '""&amp;TEXT(O$8,""yyyy-mm-dd"")&amp;""' label sum(Col16) ''"",0)))"),"")</f>
        <v/>
      </c>
      <c r="P77" s="628" t="str">
        <f>IFERROR(__xludf.DUMMYFUNCTION("IF($G77="""","""",IFERROR(query({proventos!$B$5:$Q310},""Select sum(Col16) where Col1 = '""&amp;$G77&amp;""' and Col2 &gt; date '""&amp;TEXT(Q$8,""yyyy-mm-dd"")&amp;""' and Col2 &lt;= date '""&amp;TEXT(P$8,""yyyy-mm-dd"")&amp;""' label sum(Col16) ''"",0)))"),"")</f>
        <v/>
      </c>
      <c r="Q77" s="628" t="str">
        <f>IFERROR(__xludf.DUMMYFUNCTION("IF($G77="""","""",IFERROR(query({proventos!$B$5:$Q310},""Select sum(Col16) where Col1 = '""&amp;$G77&amp;""' and Col2 &gt; date '""&amp;TEXT(R$8,""yyyy-mm-dd"")&amp;""' and Col2 &lt;= date '""&amp;TEXT(Q$8,""yyyy-mm-dd"")&amp;""' label sum(Col16) ''"",0)))"),"")</f>
        <v/>
      </c>
      <c r="R77" s="628" t="str">
        <f>IFERROR(__xludf.DUMMYFUNCTION("IF($G77="""","""",IFERROR(query({proventos!$B$5:$Q310},""Select sum(Col16) where Col1 = '""&amp;$G77&amp;""' and Col2 &gt; date '""&amp;TEXT(S$8,""yyyy-mm-dd"")&amp;""' and Col2 &lt;= date '""&amp;TEXT(R$8,""yyyy-mm-dd"")&amp;""' label sum(Col16) ''"",0)))"),"")</f>
        <v/>
      </c>
      <c r="S77" s="628" t="str">
        <f>IFERROR(__xludf.DUMMYFUNCTION("IF($G77="""","""",IFERROR(query({proventos!$B$5:$Q310},""Select sum(Col16) where Col1 = '""&amp;$G77&amp;""' and Col2 &gt; date '""&amp;TEXT(T$8,""yyyy-mm-dd"")&amp;""' and Col2 &lt;= date '""&amp;TEXT(S$8,""yyyy-mm-dd"")&amp;""' label sum(Col16) ''"",0)))"),"")</f>
        <v/>
      </c>
      <c r="T77" s="628" t="str">
        <f>IFERROR(__xludf.DUMMYFUNCTION("IF($G77="""","""",IFERROR(query({proventos!$B$5:$Q310},""Select sum(Col16) where Col1 = '""&amp;$G77&amp;""' and Col2 &gt; date '""&amp;TEXT(U$8,""yyyy-mm-dd"")&amp;""' and Col2 &lt;= date '""&amp;TEXT(T$8,""yyyy-mm-dd"")&amp;""' label sum(Col16) ''"",0)))"),"")</f>
        <v/>
      </c>
      <c r="U77" s="629" t="str">
        <f>IFERROR(__xludf.DUMMYFUNCTION("IF($G77="""","""",IFERROR(query({proventos!$B$5:$Q310},""Select sum(Col16) where Col1 = '""&amp;$G77&amp;""' and Col2 &gt; date '""&amp;TEXT(EOMONTH(TODAY(),-13),""yyyy-mm-dd"")&amp;""' and Col2 &lt;= date '""&amp;TEXT(U$8,""yyyy-mm-dd"")&amp;""' label sum(Col16) ''"",0)))"),"")</f>
        <v/>
      </c>
      <c r="V77" s="630" t="str">
        <f>IFERROR(__xludf.DUMMYFUNCTION("IF($G77="""","""",IFERROR(query({proventos!$B$5:$Q310},""Select sum(Col16) where Col1 = '""&amp;$G77&amp;""' and Col2 &gt; date '""&amp;TEXT(DATE(V$8,1,1),""yyyy-mm-dd"")&amp;""' and Col2 &lt;= date '""&amp;TEXT(DATE(V$8,12,31),""yyyy-mm-dd"")&amp;""' label sum(Col16) ''"",0)))"),"")</f>
        <v/>
      </c>
      <c r="W77" s="630" t="str">
        <f>IFERROR(__xludf.DUMMYFUNCTION("IF($G77="""","""",IFERROR(query({proventos!$B$5:$Q310},""Select sum(Col16) where Col1 = '""&amp;$G77&amp;""' and Col2 &gt; date '""&amp;TEXT(DATE(W$8,1,1),""yyyy-mm-dd"")&amp;""' and Col2 &lt;= date '""&amp;TEXT(DATE(W$8,12,31),""yyyy-mm-dd"")&amp;""' label sum(Col16) ''"",0)))"),"")</f>
        <v/>
      </c>
      <c r="X77" s="630" t="str">
        <f>IFERROR(__xludf.DUMMYFUNCTION("IF($G77="""","""",IFERROR(query({proventos!$B$5:$Q310},""Select sum(Col16) where Col1 = '""&amp;$G77&amp;""' and Col2 &gt; date '""&amp;TEXT(DATE(X$8,1,1),""yyyy-mm-dd"")&amp;""' and Col2 &lt;= date '""&amp;TEXT(DATE(X$8,12,31),""yyyy-mm-dd"")&amp;""' label sum(Col16) ''"",0)))"),"")</f>
        <v/>
      </c>
      <c r="Y77" s="630" t="str">
        <f>IFERROR(__xludf.DUMMYFUNCTION("IF($G77="""","""",IFERROR(query({proventos!$B$5:$Q310},""Select sum(Col16) where Col1 = '""&amp;$G77&amp;""' and Col2 &gt; date '""&amp;TEXT(DATE(Y$8,1,1),""yyyy-mm-dd"")&amp;""' and Col2 &lt;= date '""&amp;TEXT(DATE(Y$8,12,31),""yyyy-mm-dd"")&amp;""' label sum(Col16) ''"",0)))"),"")</f>
        <v/>
      </c>
      <c r="Z77" s="630" t="str">
        <f>IFERROR(__xludf.DUMMYFUNCTION("IF($G77="""","""",IFERROR(query({proventos!$B$5:$Q310},""Select sum(Col16) where Col1 = '""&amp;$G77&amp;""' and Col2 &gt; date '""&amp;TEXT(DATE(Z$8,1,1),""yyyy-mm-dd"")&amp;""' and Col2 &lt;= date '""&amp;TEXT(DATE(Z$8,12,31),""yyyy-mm-dd"")&amp;""' label sum(Col16) ''"",0)))"),"")</f>
        <v/>
      </c>
      <c r="AA77" s="587"/>
      <c r="AB77" s="578" t="s">
        <v>123</v>
      </c>
      <c r="AC77" s="601"/>
      <c r="AD77" s="636"/>
      <c r="AE77" s="636"/>
    </row>
    <row r="78">
      <c r="A78" s="619">
        <v>68.0</v>
      </c>
      <c r="B78" s="620"/>
      <c r="C78" s="632"/>
      <c r="D78" s="633"/>
      <c r="E78" s="634"/>
      <c r="F78" s="624">
        <v>68.0</v>
      </c>
      <c r="G78" s="635"/>
      <c r="H78" s="626" t="str">
        <f>if(G78="","",IFERROR(VLOOKUP(G78,AtivosDados,MATCH("provento_avg",portfolio.!$A$3:AE$3,0),FALSE),""))</f>
        <v/>
      </c>
      <c r="I78" s="627" t="s">
        <v>123</v>
      </c>
      <c r="J78" s="628" t="str">
        <f>IFERROR(__xludf.DUMMYFUNCTION("IF($G78="""","""",IFERROR(query({proventos!$B$5:$Q310},""Select sum(Col16) where Col1 = '""&amp;$G78&amp;""' and Col2 &gt; date '""&amp;TEXT(K$8,""yyyy-mm-dd"")&amp;""' and Col2 &lt;= date '""&amp;TEXT(J$8,""yyyy-mm-dd"")&amp;""' label sum(Col16) ''"",0)))"),"")</f>
        <v/>
      </c>
      <c r="K78" s="628" t="str">
        <f>IFERROR(__xludf.DUMMYFUNCTION("IF($G78="""","""",IFERROR(query({proventos!$B$5:$Q310},""Select sum(Col16) where Col1 = '""&amp;$G78&amp;""' and Col2 &gt; date '""&amp;TEXT(L$8,""yyyy-mm-dd"")&amp;""' and Col2 &lt;= date '""&amp;TEXT(K$8,""yyyy-mm-dd"")&amp;""' label sum(Col16) ''"",0)))"),"")</f>
        <v/>
      </c>
      <c r="L78" s="628" t="str">
        <f>IFERROR(__xludf.DUMMYFUNCTION("IF($G78="""","""",IFERROR(query({proventos!$B$5:$Q310},""Select sum(Col16) where Col1 = '""&amp;$G78&amp;""' and Col2 &gt; date '""&amp;TEXT(M$8,""yyyy-mm-dd"")&amp;""' and Col2 &lt;= date '""&amp;TEXT(L$8,""yyyy-mm-dd"")&amp;""' label sum(Col16) ''"",0)))"),"")</f>
        <v/>
      </c>
      <c r="M78" s="628" t="str">
        <f>IFERROR(__xludf.DUMMYFUNCTION("IF($G78="""","""",IFERROR(query({proventos!$B$5:$Q310},""Select sum(Col16) where Col1 = '""&amp;$G78&amp;""' and Col2 &gt; date '""&amp;TEXT(N$8,""yyyy-mm-dd"")&amp;""' and Col2 &lt;= date '""&amp;TEXT(M$8,""yyyy-mm-dd"")&amp;""' label sum(Col16) ''"",0)))"),"")</f>
        <v/>
      </c>
      <c r="N78" s="628" t="str">
        <f>IFERROR(__xludf.DUMMYFUNCTION("IF($G78="""","""",IFERROR(query({proventos!$B$5:$Q310},""Select sum(Col16) where Col1 = '""&amp;$G78&amp;""' and Col2 &gt; date '""&amp;TEXT(O$8,""yyyy-mm-dd"")&amp;""' and Col2 &lt;= date '""&amp;TEXT(N$8,""yyyy-mm-dd"")&amp;""' label sum(Col16) ''"",0)))"),"")</f>
        <v/>
      </c>
      <c r="O78" s="628" t="str">
        <f>IFERROR(__xludf.DUMMYFUNCTION("IF($G78="""","""",IFERROR(query({proventos!$B$5:$Q310},""Select sum(Col16) where Col1 = '""&amp;$G78&amp;""' and Col2 &gt; date '""&amp;TEXT(P$8,""yyyy-mm-dd"")&amp;""' and Col2 &lt;= date '""&amp;TEXT(O$8,""yyyy-mm-dd"")&amp;""' label sum(Col16) ''"",0)))"),"")</f>
        <v/>
      </c>
      <c r="P78" s="628" t="str">
        <f>IFERROR(__xludf.DUMMYFUNCTION("IF($G78="""","""",IFERROR(query({proventos!$B$5:$Q310},""Select sum(Col16) where Col1 = '""&amp;$G78&amp;""' and Col2 &gt; date '""&amp;TEXT(Q$8,""yyyy-mm-dd"")&amp;""' and Col2 &lt;= date '""&amp;TEXT(P$8,""yyyy-mm-dd"")&amp;""' label sum(Col16) ''"",0)))"),"")</f>
        <v/>
      </c>
      <c r="Q78" s="628" t="str">
        <f>IFERROR(__xludf.DUMMYFUNCTION("IF($G78="""","""",IFERROR(query({proventos!$B$5:$Q310},""Select sum(Col16) where Col1 = '""&amp;$G78&amp;""' and Col2 &gt; date '""&amp;TEXT(R$8,""yyyy-mm-dd"")&amp;""' and Col2 &lt;= date '""&amp;TEXT(Q$8,""yyyy-mm-dd"")&amp;""' label sum(Col16) ''"",0)))"),"")</f>
        <v/>
      </c>
      <c r="R78" s="628" t="str">
        <f>IFERROR(__xludf.DUMMYFUNCTION("IF($G78="""","""",IFERROR(query({proventos!$B$5:$Q310},""Select sum(Col16) where Col1 = '""&amp;$G78&amp;""' and Col2 &gt; date '""&amp;TEXT(S$8,""yyyy-mm-dd"")&amp;""' and Col2 &lt;= date '""&amp;TEXT(R$8,""yyyy-mm-dd"")&amp;""' label sum(Col16) ''"",0)))"),"")</f>
        <v/>
      </c>
      <c r="S78" s="628" t="str">
        <f>IFERROR(__xludf.DUMMYFUNCTION("IF($G78="""","""",IFERROR(query({proventos!$B$5:$Q310},""Select sum(Col16) where Col1 = '""&amp;$G78&amp;""' and Col2 &gt; date '""&amp;TEXT(T$8,""yyyy-mm-dd"")&amp;""' and Col2 &lt;= date '""&amp;TEXT(S$8,""yyyy-mm-dd"")&amp;""' label sum(Col16) ''"",0)))"),"")</f>
        <v/>
      </c>
      <c r="T78" s="628" t="str">
        <f>IFERROR(__xludf.DUMMYFUNCTION("IF($G78="""","""",IFERROR(query({proventos!$B$5:$Q310},""Select sum(Col16) where Col1 = '""&amp;$G78&amp;""' and Col2 &gt; date '""&amp;TEXT(U$8,""yyyy-mm-dd"")&amp;""' and Col2 &lt;= date '""&amp;TEXT(T$8,""yyyy-mm-dd"")&amp;""' label sum(Col16) ''"",0)))"),"")</f>
        <v/>
      </c>
      <c r="U78" s="629" t="str">
        <f>IFERROR(__xludf.DUMMYFUNCTION("IF($G78="""","""",IFERROR(query({proventos!$B$5:$Q310},""Select sum(Col16) where Col1 = '""&amp;$G78&amp;""' and Col2 &gt; date '""&amp;TEXT(EOMONTH(TODAY(),-13),""yyyy-mm-dd"")&amp;""' and Col2 &lt;= date '""&amp;TEXT(U$8,""yyyy-mm-dd"")&amp;""' label sum(Col16) ''"",0)))"),"")</f>
        <v/>
      </c>
      <c r="V78" s="630" t="str">
        <f>IFERROR(__xludf.DUMMYFUNCTION("IF($G78="""","""",IFERROR(query({proventos!$B$5:$Q310},""Select sum(Col16) where Col1 = '""&amp;$G78&amp;""' and Col2 &gt; date '""&amp;TEXT(DATE(V$8,1,1),""yyyy-mm-dd"")&amp;""' and Col2 &lt;= date '""&amp;TEXT(DATE(V$8,12,31),""yyyy-mm-dd"")&amp;""' label sum(Col16) ''"",0)))"),"")</f>
        <v/>
      </c>
      <c r="W78" s="630" t="str">
        <f>IFERROR(__xludf.DUMMYFUNCTION("IF($G78="""","""",IFERROR(query({proventos!$B$5:$Q310},""Select sum(Col16) where Col1 = '""&amp;$G78&amp;""' and Col2 &gt; date '""&amp;TEXT(DATE(W$8,1,1),""yyyy-mm-dd"")&amp;""' and Col2 &lt;= date '""&amp;TEXT(DATE(W$8,12,31),""yyyy-mm-dd"")&amp;""' label sum(Col16) ''"",0)))"),"")</f>
        <v/>
      </c>
      <c r="X78" s="630" t="str">
        <f>IFERROR(__xludf.DUMMYFUNCTION("IF($G78="""","""",IFERROR(query({proventos!$B$5:$Q310},""Select sum(Col16) where Col1 = '""&amp;$G78&amp;""' and Col2 &gt; date '""&amp;TEXT(DATE(X$8,1,1),""yyyy-mm-dd"")&amp;""' and Col2 &lt;= date '""&amp;TEXT(DATE(X$8,12,31),""yyyy-mm-dd"")&amp;""' label sum(Col16) ''"",0)))"),"")</f>
        <v/>
      </c>
      <c r="Y78" s="630" t="str">
        <f>IFERROR(__xludf.DUMMYFUNCTION("IF($G78="""","""",IFERROR(query({proventos!$B$5:$Q310},""Select sum(Col16) where Col1 = '""&amp;$G78&amp;""' and Col2 &gt; date '""&amp;TEXT(DATE(Y$8,1,1),""yyyy-mm-dd"")&amp;""' and Col2 &lt;= date '""&amp;TEXT(DATE(Y$8,12,31),""yyyy-mm-dd"")&amp;""' label sum(Col16) ''"",0)))"),"")</f>
        <v/>
      </c>
      <c r="Z78" s="630" t="str">
        <f>IFERROR(__xludf.DUMMYFUNCTION("IF($G78="""","""",IFERROR(query({proventos!$B$5:$Q310},""Select sum(Col16) where Col1 = '""&amp;$G78&amp;""' and Col2 &gt; date '""&amp;TEXT(DATE(Z$8,1,1),""yyyy-mm-dd"")&amp;""' and Col2 &lt;= date '""&amp;TEXT(DATE(Z$8,12,31),""yyyy-mm-dd"")&amp;""' label sum(Col16) ''"",0)))"),"")</f>
        <v/>
      </c>
      <c r="AA78" s="587"/>
      <c r="AB78" s="578" t="s">
        <v>123</v>
      </c>
      <c r="AC78" s="601"/>
      <c r="AD78" s="636"/>
      <c r="AE78" s="636"/>
    </row>
    <row r="79">
      <c r="A79" s="619">
        <v>69.0</v>
      </c>
      <c r="B79" s="620"/>
      <c r="C79" s="632"/>
      <c r="D79" s="633"/>
      <c r="E79" s="634"/>
      <c r="F79" s="624">
        <v>69.0</v>
      </c>
      <c r="G79" s="635"/>
      <c r="H79" s="626" t="str">
        <f>if(G79="","",IFERROR(VLOOKUP(G79,AtivosDados,MATCH("provento_avg",portfolio.!$A$3:AE$3,0),FALSE),""))</f>
        <v/>
      </c>
      <c r="I79" s="627" t="s">
        <v>123</v>
      </c>
      <c r="J79" s="628" t="str">
        <f>IFERROR(__xludf.DUMMYFUNCTION("IF($G79="""","""",IFERROR(query({proventos!$B$5:$Q310},""Select sum(Col16) where Col1 = '""&amp;$G79&amp;""' and Col2 &gt; date '""&amp;TEXT(K$8,""yyyy-mm-dd"")&amp;""' and Col2 &lt;= date '""&amp;TEXT(J$8,""yyyy-mm-dd"")&amp;""' label sum(Col16) ''"",0)))"),"")</f>
        <v/>
      </c>
      <c r="K79" s="628" t="str">
        <f>IFERROR(__xludf.DUMMYFUNCTION("IF($G79="""","""",IFERROR(query({proventos!$B$5:$Q310},""Select sum(Col16) where Col1 = '""&amp;$G79&amp;""' and Col2 &gt; date '""&amp;TEXT(L$8,""yyyy-mm-dd"")&amp;""' and Col2 &lt;= date '""&amp;TEXT(K$8,""yyyy-mm-dd"")&amp;""' label sum(Col16) ''"",0)))"),"")</f>
        <v/>
      </c>
      <c r="L79" s="628" t="str">
        <f>IFERROR(__xludf.DUMMYFUNCTION("IF($G79="""","""",IFERROR(query({proventos!$B$5:$Q310},""Select sum(Col16) where Col1 = '""&amp;$G79&amp;""' and Col2 &gt; date '""&amp;TEXT(M$8,""yyyy-mm-dd"")&amp;""' and Col2 &lt;= date '""&amp;TEXT(L$8,""yyyy-mm-dd"")&amp;""' label sum(Col16) ''"",0)))"),"")</f>
        <v/>
      </c>
      <c r="M79" s="628" t="str">
        <f>IFERROR(__xludf.DUMMYFUNCTION("IF($G79="""","""",IFERROR(query({proventos!$B$5:$Q310},""Select sum(Col16) where Col1 = '""&amp;$G79&amp;""' and Col2 &gt; date '""&amp;TEXT(N$8,""yyyy-mm-dd"")&amp;""' and Col2 &lt;= date '""&amp;TEXT(M$8,""yyyy-mm-dd"")&amp;""' label sum(Col16) ''"",0)))"),"")</f>
        <v/>
      </c>
      <c r="N79" s="628" t="str">
        <f>IFERROR(__xludf.DUMMYFUNCTION("IF($G79="""","""",IFERROR(query({proventos!$B$5:$Q310},""Select sum(Col16) where Col1 = '""&amp;$G79&amp;""' and Col2 &gt; date '""&amp;TEXT(O$8,""yyyy-mm-dd"")&amp;""' and Col2 &lt;= date '""&amp;TEXT(N$8,""yyyy-mm-dd"")&amp;""' label sum(Col16) ''"",0)))"),"")</f>
        <v/>
      </c>
      <c r="O79" s="628" t="str">
        <f>IFERROR(__xludf.DUMMYFUNCTION("IF($G79="""","""",IFERROR(query({proventos!$B$5:$Q310},""Select sum(Col16) where Col1 = '""&amp;$G79&amp;""' and Col2 &gt; date '""&amp;TEXT(P$8,""yyyy-mm-dd"")&amp;""' and Col2 &lt;= date '""&amp;TEXT(O$8,""yyyy-mm-dd"")&amp;""' label sum(Col16) ''"",0)))"),"")</f>
        <v/>
      </c>
      <c r="P79" s="628" t="str">
        <f>IFERROR(__xludf.DUMMYFUNCTION("IF($G79="""","""",IFERROR(query({proventos!$B$5:$Q310},""Select sum(Col16) where Col1 = '""&amp;$G79&amp;""' and Col2 &gt; date '""&amp;TEXT(Q$8,""yyyy-mm-dd"")&amp;""' and Col2 &lt;= date '""&amp;TEXT(P$8,""yyyy-mm-dd"")&amp;""' label sum(Col16) ''"",0)))"),"")</f>
        <v/>
      </c>
      <c r="Q79" s="628" t="str">
        <f>IFERROR(__xludf.DUMMYFUNCTION("IF($G79="""","""",IFERROR(query({proventos!$B$5:$Q310},""Select sum(Col16) where Col1 = '""&amp;$G79&amp;""' and Col2 &gt; date '""&amp;TEXT(R$8,""yyyy-mm-dd"")&amp;""' and Col2 &lt;= date '""&amp;TEXT(Q$8,""yyyy-mm-dd"")&amp;""' label sum(Col16) ''"",0)))"),"")</f>
        <v/>
      </c>
      <c r="R79" s="628" t="str">
        <f>IFERROR(__xludf.DUMMYFUNCTION("IF($G79="""","""",IFERROR(query({proventos!$B$5:$Q310},""Select sum(Col16) where Col1 = '""&amp;$G79&amp;""' and Col2 &gt; date '""&amp;TEXT(S$8,""yyyy-mm-dd"")&amp;""' and Col2 &lt;= date '""&amp;TEXT(R$8,""yyyy-mm-dd"")&amp;""' label sum(Col16) ''"",0)))"),"")</f>
        <v/>
      </c>
      <c r="S79" s="628" t="str">
        <f>IFERROR(__xludf.DUMMYFUNCTION("IF($G79="""","""",IFERROR(query({proventos!$B$5:$Q310},""Select sum(Col16) where Col1 = '""&amp;$G79&amp;""' and Col2 &gt; date '""&amp;TEXT(T$8,""yyyy-mm-dd"")&amp;""' and Col2 &lt;= date '""&amp;TEXT(S$8,""yyyy-mm-dd"")&amp;""' label sum(Col16) ''"",0)))"),"")</f>
        <v/>
      </c>
      <c r="T79" s="628" t="str">
        <f>IFERROR(__xludf.DUMMYFUNCTION("IF($G79="""","""",IFERROR(query({proventos!$B$5:$Q310},""Select sum(Col16) where Col1 = '""&amp;$G79&amp;""' and Col2 &gt; date '""&amp;TEXT(U$8,""yyyy-mm-dd"")&amp;""' and Col2 &lt;= date '""&amp;TEXT(T$8,""yyyy-mm-dd"")&amp;""' label sum(Col16) ''"",0)))"),"")</f>
        <v/>
      </c>
      <c r="U79" s="629" t="str">
        <f>IFERROR(__xludf.DUMMYFUNCTION("IF($G79="""","""",IFERROR(query({proventos!$B$5:$Q310},""Select sum(Col16) where Col1 = '""&amp;$G79&amp;""' and Col2 &gt; date '""&amp;TEXT(EOMONTH(TODAY(),-13),""yyyy-mm-dd"")&amp;""' and Col2 &lt;= date '""&amp;TEXT(U$8,""yyyy-mm-dd"")&amp;""' label sum(Col16) ''"",0)))"),"")</f>
        <v/>
      </c>
      <c r="V79" s="630" t="str">
        <f>IFERROR(__xludf.DUMMYFUNCTION("IF($G79="""","""",IFERROR(query({proventos!$B$5:$Q310},""Select sum(Col16) where Col1 = '""&amp;$G79&amp;""' and Col2 &gt; date '""&amp;TEXT(DATE(V$8,1,1),""yyyy-mm-dd"")&amp;""' and Col2 &lt;= date '""&amp;TEXT(DATE(V$8,12,31),""yyyy-mm-dd"")&amp;""' label sum(Col16) ''"",0)))"),"")</f>
        <v/>
      </c>
      <c r="W79" s="630" t="str">
        <f>IFERROR(__xludf.DUMMYFUNCTION("IF($G79="""","""",IFERROR(query({proventos!$B$5:$Q310},""Select sum(Col16) where Col1 = '""&amp;$G79&amp;""' and Col2 &gt; date '""&amp;TEXT(DATE(W$8,1,1),""yyyy-mm-dd"")&amp;""' and Col2 &lt;= date '""&amp;TEXT(DATE(W$8,12,31),""yyyy-mm-dd"")&amp;""' label sum(Col16) ''"",0)))"),"")</f>
        <v/>
      </c>
      <c r="X79" s="630" t="str">
        <f>IFERROR(__xludf.DUMMYFUNCTION("IF($G79="""","""",IFERROR(query({proventos!$B$5:$Q310},""Select sum(Col16) where Col1 = '""&amp;$G79&amp;""' and Col2 &gt; date '""&amp;TEXT(DATE(X$8,1,1),""yyyy-mm-dd"")&amp;""' and Col2 &lt;= date '""&amp;TEXT(DATE(X$8,12,31),""yyyy-mm-dd"")&amp;""' label sum(Col16) ''"",0)))"),"")</f>
        <v/>
      </c>
      <c r="Y79" s="630" t="str">
        <f>IFERROR(__xludf.DUMMYFUNCTION("IF($G79="""","""",IFERROR(query({proventos!$B$5:$Q310},""Select sum(Col16) where Col1 = '""&amp;$G79&amp;""' and Col2 &gt; date '""&amp;TEXT(DATE(Y$8,1,1),""yyyy-mm-dd"")&amp;""' and Col2 &lt;= date '""&amp;TEXT(DATE(Y$8,12,31),""yyyy-mm-dd"")&amp;""' label sum(Col16) ''"",0)))"),"")</f>
        <v/>
      </c>
      <c r="Z79" s="630" t="str">
        <f>IFERROR(__xludf.DUMMYFUNCTION("IF($G79="""","""",IFERROR(query({proventos!$B$5:$Q310},""Select sum(Col16) where Col1 = '""&amp;$G79&amp;""' and Col2 &gt; date '""&amp;TEXT(DATE(Z$8,1,1),""yyyy-mm-dd"")&amp;""' and Col2 &lt;= date '""&amp;TEXT(DATE(Z$8,12,31),""yyyy-mm-dd"")&amp;""' label sum(Col16) ''"",0)))"),"")</f>
        <v/>
      </c>
      <c r="AA79" s="587"/>
      <c r="AB79" s="578" t="s">
        <v>123</v>
      </c>
      <c r="AC79" s="601"/>
      <c r="AD79" s="636"/>
      <c r="AE79" s="636"/>
    </row>
    <row r="80">
      <c r="A80" s="619">
        <v>70.0</v>
      </c>
      <c r="B80" s="620"/>
      <c r="C80" s="632"/>
      <c r="D80" s="633"/>
      <c r="E80" s="634"/>
      <c r="F80" s="624">
        <v>70.0</v>
      </c>
      <c r="G80" s="635"/>
      <c r="H80" s="626" t="str">
        <f>if(G80="","",IFERROR(VLOOKUP(G80,AtivosDados,MATCH("provento_avg",portfolio.!$A$3:AE$3,0),FALSE),""))</f>
        <v/>
      </c>
      <c r="I80" s="627" t="s">
        <v>123</v>
      </c>
      <c r="J80" s="628" t="str">
        <f>IFERROR(__xludf.DUMMYFUNCTION("IF($G80="""","""",IFERROR(query({proventos!$B$5:$Q310},""Select sum(Col16) where Col1 = '""&amp;$G80&amp;""' and Col2 &gt; date '""&amp;TEXT(K$8,""yyyy-mm-dd"")&amp;""' and Col2 &lt;= date '""&amp;TEXT(J$8,""yyyy-mm-dd"")&amp;""' label sum(Col16) ''"",0)))"),"")</f>
        <v/>
      </c>
      <c r="K80" s="628" t="str">
        <f>IFERROR(__xludf.DUMMYFUNCTION("IF($G80="""","""",IFERROR(query({proventos!$B$5:$Q310},""Select sum(Col16) where Col1 = '""&amp;$G80&amp;""' and Col2 &gt; date '""&amp;TEXT(L$8,""yyyy-mm-dd"")&amp;""' and Col2 &lt;= date '""&amp;TEXT(K$8,""yyyy-mm-dd"")&amp;""' label sum(Col16) ''"",0)))"),"")</f>
        <v/>
      </c>
      <c r="L80" s="628" t="str">
        <f>IFERROR(__xludf.DUMMYFUNCTION("IF($G80="""","""",IFERROR(query({proventos!$B$5:$Q310},""Select sum(Col16) where Col1 = '""&amp;$G80&amp;""' and Col2 &gt; date '""&amp;TEXT(M$8,""yyyy-mm-dd"")&amp;""' and Col2 &lt;= date '""&amp;TEXT(L$8,""yyyy-mm-dd"")&amp;""' label sum(Col16) ''"",0)))"),"")</f>
        <v/>
      </c>
      <c r="M80" s="628" t="str">
        <f>IFERROR(__xludf.DUMMYFUNCTION("IF($G80="""","""",IFERROR(query({proventos!$B$5:$Q310},""Select sum(Col16) where Col1 = '""&amp;$G80&amp;""' and Col2 &gt; date '""&amp;TEXT(N$8,""yyyy-mm-dd"")&amp;""' and Col2 &lt;= date '""&amp;TEXT(M$8,""yyyy-mm-dd"")&amp;""' label sum(Col16) ''"",0)))"),"")</f>
        <v/>
      </c>
      <c r="N80" s="628" t="str">
        <f>IFERROR(__xludf.DUMMYFUNCTION("IF($G80="""","""",IFERROR(query({proventos!$B$5:$Q310},""Select sum(Col16) where Col1 = '""&amp;$G80&amp;""' and Col2 &gt; date '""&amp;TEXT(O$8,""yyyy-mm-dd"")&amp;""' and Col2 &lt;= date '""&amp;TEXT(N$8,""yyyy-mm-dd"")&amp;""' label sum(Col16) ''"",0)))"),"")</f>
        <v/>
      </c>
      <c r="O80" s="628" t="str">
        <f>IFERROR(__xludf.DUMMYFUNCTION("IF($G80="""","""",IFERROR(query({proventos!$B$5:$Q310},""Select sum(Col16) where Col1 = '""&amp;$G80&amp;""' and Col2 &gt; date '""&amp;TEXT(P$8,""yyyy-mm-dd"")&amp;""' and Col2 &lt;= date '""&amp;TEXT(O$8,""yyyy-mm-dd"")&amp;""' label sum(Col16) ''"",0)))"),"")</f>
        <v/>
      </c>
      <c r="P80" s="628" t="str">
        <f>IFERROR(__xludf.DUMMYFUNCTION("IF($G80="""","""",IFERROR(query({proventos!$B$5:$Q310},""Select sum(Col16) where Col1 = '""&amp;$G80&amp;""' and Col2 &gt; date '""&amp;TEXT(Q$8,""yyyy-mm-dd"")&amp;""' and Col2 &lt;= date '""&amp;TEXT(P$8,""yyyy-mm-dd"")&amp;""' label sum(Col16) ''"",0)))"),"")</f>
        <v/>
      </c>
      <c r="Q80" s="628" t="str">
        <f>IFERROR(__xludf.DUMMYFUNCTION("IF($G80="""","""",IFERROR(query({proventos!$B$5:$Q310},""Select sum(Col16) where Col1 = '""&amp;$G80&amp;""' and Col2 &gt; date '""&amp;TEXT(R$8,""yyyy-mm-dd"")&amp;""' and Col2 &lt;= date '""&amp;TEXT(Q$8,""yyyy-mm-dd"")&amp;""' label sum(Col16) ''"",0)))"),"")</f>
        <v/>
      </c>
      <c r="R80" s="628" t="str">
        <f>IFERROR(__xludf.DUMMYFUNCTION("IF($G80="""","""",IFERROR(query({proventos!$B$5:$Q310},""Select sum(Col16) where Col1 = '""&amp;$G80&amp;""' and Col2 &gt; date '""&amp;TEXT(S$8,""yyyy-mm-dd"")&amp;""' and Col2 &lt;= date '""&amp;TEXT(R$8,""yyyy-mm-dd"")&amp;""' label sum(Col16) ''"",0)))"),"")</f>
        <v/>
      </c>
      <c r="S80" s="628" t="str">
        <f>IFERROR(__xludf.DUMMYFUNCTION("IF($G80="""","""",IFERROR(query({proventos!$B$5:$Q310},""Select sum(Col16) where Col1 = '""&amp;$G80&amp;""' and Col2 &gt; date '""&amp;TEXT(T$8,""yyyy-mm-dd"")&amp;""' and Col2 &lt;= date '""&amp;TEXT(S$8,""yyyy-mm-dd"")&amp;""' label sum(Col16) ''"",0)))"),"")</f>
        <v/>
      </c>
      <c r="T80" s="628" t="str">
        <f>IFERROR(__xludf.DUMMYFUNCTION("IF($G80="""","""",IFERROR(query({proventos!$B$5:$Q310},""Select sum(Col16) where Col1 = '""&amp;$G80&amp;""' and Col2 &gt; date '""&amp;TEXT(U$8,""yyyy-mm-dd"")&amp;""' and Col2 &lt;= date '""&amp;TEXT(T$8,""yyyy-mm-dd"")&amp;""' label sum(Col16) ''"",0)))"),"")</f>
        <v/>
      </c>
      <c r="U80" s="629" t="str">
        <f>IFERROR(__xludf.DUMMYFUNCTION("IF($G80="""","""",IFERROR(query({proventos!$B$5:$Q310},""Select sum(Col16) where Col1 = '""&amp;$G80&amp;""' and Col2 &gt; date '""&amp;TEXT(EOMONTH(TODAY(),-13),""yyyy-mm-dd"")&amp;""' and Col2 &lt;= date '""&amp;TEXT(U$8,""yyyy-mm-dd"")&amp;""' label sum(Col16) ''"",0)))"),"")</f>
        <v/>
      </c>
      <c r="V80" s="630" t="str">
        <f>IFERROR(__xludf.DUMMYFUNCTION("IF($G80="""","""",IFERROR(query({proventos!$B$5:$Q310},""Select sum(Col16) where Col1 = '""&amp;$G80&amp;""' and Col2 &gt; date '""&amp;TEXT(DATE(V$8,1,1),""yyyy-mm-dd"")&amp;""' and Col2 &lt;= date '""&amp;TEXT(DATE(V$8,12,31),""yyyy-mm-dd"")&amp;""' label sum(Col16) ''"",0)))"),"")</f>
        <v/>
      </c>
      <c r="W80" s="630" t="str">
        <f>IFERROR(__xludf.DUMMYFUNCTION("IF($G80="""","""",IFERROR(query({proventos!$B$5:$Q310},""Select sum(Col16) where Col1 = '""&amp;$G80&amp;""' and Col2 &gt; date '""&amp;TEXT(DATE(W$8,1,1),""yyyy-mm-dd"")&amp;""' and Col2 &lt;= date '""&amp;TEXT(DATE(W$8,12,31),""yyyy-mm-dd"")&amp;""' label sum(Col16) ''"",0)))"),"")</f>
        <v/>
      </c>
      <c r="X80" s="630" t="str">
        <f>IFERROR(__xludf.DUMMYFUNCTION("IF($G80="""","""",IFERROR(query({proventos!$B$5:$Q310},""Select sum(Col16) where Col1 = '""&amp;$G80&amp;""' and Col2 &gt; date '""&amp;TEXT(DATE(X$8,1,1),""yyyy-mm-dd"")&amp;""' and Col2 &lt;= date '""&amp;TEXT(DATE(X$8,12,31),""yyyy-mm-dd"")&amp;""' label sum(Col16) ''"",0)))"),"")</f>
        <v/>
      </c>
      <c r="Y80" s="630" t="str">
        <f>IFERROR(__xludf.DUMMYFUNCTION("IF($G80="""","""",IFERROR(query({proventos!$B$5:$Q310},""Select sum(Col16) where Col1 = '""&amp;$G80&amp;""' and Col2 &gt; date '""&amp;TEXT(DATE(Y$8,1,1),""yyyy-mm-dd"")&amp;""' and Col2 &lt;= date '""&amp;TEXT(DATE(Y$8,12,31),""yyyy-mm-dd"")&amp;""' label sum(Col16) ''"",0)))"),"")</f>
        <v/>
      </c>
      <c r="Z80" s="630" t="str">
        <f>IFERROR(__xludf.DUMMYFUNCTION("IF($G80="""","""",IFERROR(query({proventos!$B$5:$Q310},""Select sum(Col16) where Col1 = '""&amp;$G80&amp;""' and Col2 &gt; date '""&amp;TEXT(DATE(Z$8,1,1),""yyyy-mm-dd"")&amp;""' and Col2 &lt;= date '""&amp;TEXT(DATE(Z$8,12,31),""yyyy-mm-dd"")&amp;""' label sum(Col16) ''"",0)))"),"")</f>
        <v/>
      </c>
      <c r="AA80" s="587"/>
      <c r="AB80" s="578" t="s">
        <v>123</v>
      </c>
      <c r="AC80" s="601"/>
      <c r="AD80" s="636"/>
      <c r="AE80" s="636"/>
    </row>
    <row r="81">
      <c r="A81" s="619">
        <v>71.0</v>
      </c>
      <c r="B81" s="620"/>
      <c r="C81" s="632"/>
      <c r="D81" s="633"/>
      <c r="E81" s="634"/>
      <c r="F81" s="624">
        <v>71.0</v>
      </c>
      <c r="G81" s="635"/>
      <c r="H81" s="626" t="str">
        <f>if(G81="","",IFERROR(VLOOKUP(G81,AtivosDados,MATCH("provento_avg",portfolio.!$A$3:AE$3,0),FALSE),""))</f>
        <v/>
      </c>
      <c r="I81" s="627" t="s">
        <v>123</v>
      </c>
      <c r="J81" s="628" t="str">
        <f>IFERROR(__xludf.DUMMYFUNCTION("IF($G81="""","""",IFERROR(query({proventos!$B$5:$Q310},""Select sum(Col16) where Col1 = '""&amp;$G81&amp;""' and Col2 &gt; date '""&amp;TEXT(K$8,""yyyy-mm-dd"")&amp;""' and Col2 &lt;= date '""&amp;TEXT(J$8,""yyyy-mm-dd"")&amp;""' label sum(Col16) ''"",0)))"),"")</f>
        <v/>
      </c>
      <c r="K81" s="628" t="str">
        <f>IFERROR(__xludf.DUMMYFUNCTION("IF($G81="""","""",IFERROR(query({proventos!$B$5:$Q310},""Select sum(Col16) where Col1 = '""&amp;$G81&amp;""' and Col2 &gt; date '""&amp;TEXT(L$8,""yyyy-mm-dd"")&amp;""' and Col2 &lt;= date '""&amp;TEXT(K$8,""yyyy-mm-dd"")&amp;""' label sum(Col16) ''"",0)))"),"")</f>
        <v/>
      </c>
      <c r="L81" s="628" t="str">
        <f>IFERROR(__xludf.DUMMYFUNCTION("IF($G81="""","""",IFERROR(query({proventos!$B$5:$Q310},""Select sum(Col16) where Col1 = '""&amp;$G81&amp;""' and Col2 &gt; date '""&amp;TEXT(M$8,""yyyy-mm-dd"")&amp;""' and Col2 &lt;= date '""&amp;TEXT(L$8,""yyyy-mm-dd"")&amp;""' label sum(Col16) ''"",0)))"),"")</f>
        <v/>
      </c>
      <c r="M81" s="628" t="str">
        <f>IFERROR(__xludf.DUMMYFUNCTION("IF($G81="""","""",IFERROR(query({proventos!$B$5:$Q310},""Select sum(Col16) where Col1 = '""&amp;$G81&amp;""' and Col2 &gt; date '""&amp;TEXT(N$8,""yyyy-mm-dd"")&amp;""' and Col2 &lt;= date '""&amp;TEXT(M$8,""yyyy-mm-dd"")&amp;""' label sum(Col16) ''"",0)))"),"")</f>
        <v/>
      </c>
      <c r="N81" s="628" t="str">
        <f>IFERROR(__xludf.DUMMYFUNCTION("IF($G81="""","""",IFERROR(query({proventos!$B$5:$Q310},""Select sum(Col16) where Col1 = '""&amp;$G81&amp;""' and Col2 &gt; date '""&amp;TEXT(O$8,""yyyy-mm-dd"")&amp;""' and Col2 &lt;= date '""&amp;TEXT(N$8,""yyyy-mm-dd"")&amp;""' label sum(Col16) ''"",0)))"),"")</f>
        <v/>
      </c>
      <c r="O81" s="628" t="str">
        <f>IFERROR(__xludf.DUMMYFUNCTION("IF($G81="""","""",IFERROR(query({proventos!$B$5:$Q310},""Select sum(Col16) where Col1 = '""&amp;$G81&amp;""' and Col2 &gt; date '""&amp;TEXT(P$8,""yyyy-mm-dd"")&amp;""' and Col2 &lt;= date '""&amp;TEXT(O$8,""yyyy-mm-dd"")&amp;""' label sum(Col16) ''"",0)))"),"")</f>
        <v/>
      </c>
      <c r="P81" s="628" t="str">
        <f>IFERROR(__xludf.DUMMYFUNCTION("IF($G81="""","""",IFERROR(query({proventos!$B$5:$Q310},""Select sum(Col16) where Col1 = '""&amp;$G81&amp;""' and Col2 &gt; date '""&amp;TEXT(Q$8,""yyyy-mm-dd"")&amp;""' and Col2 &lt;= date '""&amp;TEXT(P$8,""yyyy-mm-dd"")&amp;""' label sum(Col16) ''"",0)))"),"")</f>
        <v/>
      </c>
      <c r="Q81" s="628" t="str">
        <f>IFERROR(__xludf.DUMMYFUNCTION("IF($G81="""","""",IFERROR(query({proventos!$B$5:$Q310},""Select sum(Col16) where Col1 = '""&amp;$G81&amp;""' and Col2 &gt; date '""&amp;TEXT(R$8,""yyyy-mm-dd"")&amp;""' and Col2 &lt;= date '""&amp;TEXT(Q$8,""yyyy-mm-dd"")&amp;""' label sum(Col16) ''"",0)))"),"")</f>
        <v/>
      </c>
      <c r="R81" s="628" t="str">
        <f>IFERROR(__xludf.DUMMYFUNCTION("IF($G81="""","""",IFERROR(query({proventos!$B$5:$Q310},""Select sum(Col16) where Col1 = '""&amp;$G81&amp;""' and Col2 &gt; date '""&amp;TEXT(S$8,""yyyy-mm-dd"")&amp;""' and Col2 &lt;= date '""&amp;TEXT(R$8,""yyyy-mm-dd"")&amp;""' label sum(Col16) ''"",0)))"),"")</f>
        <v/>
      </c>
      <c r="S81" s="628" t="str">
        <f>IFERROR(__xludf.DUMMYFUNCTION("IF($G81="""","""",IFERROR(query({proventos!$B$5:$Q310},""Select sum(Col16) where Col1 = '""&amp;$G81&amp;""' and Col2 &gt; date '""&amp;TEXT(T$8,""yyyy-mm-dd"")&amp;""' and Col2 &lt;= date '""&amp;TEXT(S$8,""yyyy-mm-dd"")&amp;""' label sum(Col16) ''"",0)))"),"")</f>
        <v/>
      </c>
      <c r="T81" s="628" t="str">
        <f>IFERROR(__xludf.DUMMYFUNCTION("IF($G81="""","""",IFERROR(query({proventos!$B$5:$Q310},""Select sum(Col16) where Col1 = '""&amp;$G81&amp;""' and Col2 &gt; date '""&amp;TEXT(U$8,""yyyy-mm-dd"")&amp;""' and Col2 &lt;= date '""&amp;TEXT(T$8,""yyyy-mm-dd"")&amp;""' label sum(Col16) ''"",0)))"),"")</f>
        <v/>
      </c>
      <c r="U81" s="629" t="str">
        <f>IFERROR(__xludf.DUMMYFUNCTION("IF($G81="""","""",IFERROR(query({proventos!$B$5:$Q310},""Select sum(Col16) where Col1 = '""&amp;$G81&amp;""' and Col2 &gt; date '""&amp;TEXT(EOMONTH(TODAY(),-13),""yyyy-mm-dd"")&amp;""' and Col2 &lt;= date '""&amp;TEXT(U$8,""yyyy-mm-dd"")&amp;""' label sum(Col16) ''"",0)))"),"")</f>
        <v/>
      </c>
      <c r="V81" s="630" t="str">
        <f>IFERROR(__xludf.DUMMYFUNCTION("IF($G81="""","""",IFERROR(query({proventos!$B$5:$Q310},""Select sum(Col16) where Col1 = '""&amp;$G81&amp;""' and Col2 &gt; date '""&amp;TEXT(DATE(V$8,1,1),""yyyy-mm-dd"")&amp;""' and Col2 &lt;= date '""&amp;TEXT(DATE(V$8,12,31),""yyyy-mm-dd"")&amp;""' label sum(Col16) ''"",0)))"),"")</f>
        <v/>
      </c>
      <c r="W81" s="630" t="str">
        <f>IFERROR(__xludf.DUMMYFUNCTION("IF($G81="""","""",IFERROR(query({proventos!$B$5:$Q310},""Select sum(Col16) where Col1 = '""&amp;$G81&amp;""' and Col2 &gt; date '""&amp;TEXT(DATE(W$8,1,1),""yyyy-mm-dd"")&amp;""' and Col2 &lt;= date '""&amp;TEXT(DATE(W$8,12,31),""yyyy-mm-dd"")&amp;""' label sum(Col16) ''"",0)))"),"")</f>
        <v/>
      </c>
      <c r="X81" s="630" t="str">
        <f>IFERROR(__xludf.DUMMYFUNCTION("IF($G81="""","""",IFERROR(query({proventos!$B$5:$Q310},""Select sum(Col16) where Col1 = '""&amp;$G81&amp;""' and Col2 &gt; date '""&amp;TEXT(DATE(X$8,1,1),""yyyy-mm-dd"")&amp;""' and Col2 &lt;= date '""&amp;TEXT(DATE(X$8,12,31),""yyyy-mm-dd"")&amp;""' label sum(Col16) ''"",0)))"),"")</f>
        <v/>
      </c>
      <c r="Y81" s="630" t="str">
        <f>IFERROR(__xludf.DUMMYFUNCTION("IF($G81="""","""",IFERROR(query({proventos!$B$5:$Q310},""Select sum(Col16) where Col1 = '""&amp;$G81&amp;""' and Col2 &gt; date '""&amp;TEXT(DATE(Y$8,1,1),""yyyy-mm-dd"")&amp;""' and Col2 &lt;= date '""&amp;TEXT(DATE(Y$8,12,31),""yyyy-mm-dd"")&amp;""' label sum(Col16) ''"",0)))"),"")</f>
        <v/>
      </c>
      <c r="Z81" s="630" t="str">
        <f>IFERROR(__xludf.DUMMYFUNCTION("IF($G81="""","""",IFERROR(query({proventos!$B$5:$Q310},""Select sum(Col16) where Col1 = '""&amp;$G81&amp;""' and Col2 &gt; date '""&amp;TEXT(DATE(Z$8,1,1),""yyyy-mm-dd"")&amp;""' and Col2 &lt;= date '""&amp;TEXT(DATE(Z$8,12,31),""yyyy-mm-dd"")&amp;""' label sum(Col16) ''"",0)))"),"")</f>
        <v/>
      </c>
      <c r="AA81" s="587"/>
      <c r="AB81" s="578" t="s">
        <v>123</v>
      </c>
      <c r="AC81" s="601"/>
      <c r="AD81" s="636"/>
      <c r="AE81" s="636"/>
    </row>
    <row r="82">
      <c r="A82" s="619">
        <v>72.0</v>
      </c>
      <c r="B82" s="620"/>
      <c r="C82" s="632"/>
      <c r="D82" s="633"/>
      <c r="E82" s="634"/>
      <c r="F82" s="624">
        <v>72.0</v>
      </c>
      <c r="G82" s="635"/>
      <c r="H82" s="626" t="str">
        <f>if(G82="","",IFERROR(VLOOKUP(G82,AtivosDados,MATCH("provento_avg",portfolio.!$A$3:AE$3,0),FALSE),""))</f>
        <v/>
      </c>
      <c r="I82" s="627" t="s">
        <v>123</v>
      </c>
      <c r="J82" s="628" t="str">
        <f>IFERROR(__xludf.DUMMYFUNCTION("IF($G82="""","""",IFERROR(query({proventos!$B$5:$Q310},""Select sum(Col16) where Col1 = '""&amp;$G82&amp;""' and Col2 &gt; date '""&amp;TEXT(K$8,""yyyy-mm-dd"")&amp;""' and Col2 &lt;= date '""&amp;TEXT(J$8,""yyyy-mm-dd"")&amp;""' label sum(Col16) ''"",0)))"),"")</f>
        <v/>
      </c>
      <c r="K82" s="628" t="str">
        <f>IFERROR(__xludf.DUMMYFUNCTION("IF($G82="""","""",IFERROR(query({proventos!$B$5:$Q310},""Select sum(Col16) where Col1 = '""&amp;$G82&amp;""' and Col2 &gt; date '""&amp;TEXT(L$8,""yyyy-mm-dd"")&amp;""' and Col2 &lt;= date '""&amp;TEXT(K$8,""yyyy-mm-dd"")&amp;""' label sum(Col16) ''"",0)))"),"")</f>
        <v/>
      </c>
      <c r="L82" s="628" t="str">
        <f>IFERROR(__xludf.DUMMYFUNCTION("IF($G82="""","""",IFERROR(query({proventos!$B$5:$Q310},""Select sum(Col16) where Col1 = '""&amp;$G82&amp;""' and Col2 &gt; date '""&amp;TEXT(M$8,""yyyy-mm-dd"")&amp;""' and Col2 &lt;= date '""&amp;TEXT(L$8,""yyyy-mm-dd"")&amp;""' label sum(Col16) ''"",0)))"),"")</f>
        <v/>
      </c>
      <c r="M82" s="628" t="str">
        <f>IFERROR(__xludf.DUMMYFUNCTION("IF($G82="""","""",IFERROR(query({proventos!$B$5:$Q310},""Select sum(Col16) where Col1 = '""&amp;$G82&amp;""' and Col2 &gt; date '""&amp;TEXT(N$8,""yyyy-mm-dd"")&amp;""' and Col2 &lt;= date '""&amp;TEXT(M$8,""yyyy-mm-dd"")&amp;""' label sum(Col16) ''"",0)))"),"")</f>
        <v/>
      </c>
      <c r="N82" s="628" t="str">
        <f>IFERROR(__xludf.DUMMYFUNCTION("IF($G82="""","""",IFERROR(query({proventos!$B$5:$Q310},""Select sum(Col16) where Col1 = '""&amp;$G82&amp;""' and Col2 &gt; date '""&amp;TEXT(O$8,""yyyy-mm-dd"")&amp;""' and Col2 &lt;= date '""&amp;TEXT(N$8,""yyyy-mm-dd"")&amp;""' label sum(Col16) ''"",0)))"),"")</f>
        <v/>
      </c>
      <c r="O82" s="628" t="str">
        <f>IFERROR(__xludf.DUMMYFUNCTION("IF($G82="""","""",IFERROR(query({proventos!$B$5:$Q310},""Select sum(Col16) where Col1 = '""&amp;$G82&amp;""' and Col2 &gt; date '""&amp;TEXT(P$8,""yyyy-mm-dd"")&amp;""' and Col2 &lt;= date '""&amp;TEXT(O$8,""yyyy-mm-dd"")&amp;""' label sum(Col16) ''"",0)))"),"")</f>
        <v/>
      </c>
      <c r="P82" s="628" t="str">
        <f>IFERROR(__xludf.DUMMYFUNCTION("IF($G82="""","""",IFERROR(query({proventos!$B$5:$Q310},""Select sum(Col16) where Col1 = '""&amp;$G82&amp;""' and Col2 &gt; date '""&amp;TEXT(Q$8,""yyyy-mm-dd"")&amp;""' and Col2 &lt;= date '""&amp;TEXT(P$8,""yyyy-mm-dd"")&amp;""' label sum(Col16) ''"",0)))"),"")</f>
        <v/>
      </c>
      <c r="Q82" s="628" t="str">
        <f>IFERROR(__xludf.DUMMYFUNCTION("IF($G82="""","""",IFERROR(query({proventos!$B$5:$Q310},""Select sum(Col16) where Col1 = '""&amp;$G82&amp;""' and Col2 &gt; date '""&amp;TEXT(R$8,""yyyy-mm-dd"")&amp;""' and Col2 &lt;= date '""&amp;TEXT(Q$8,""yyyy-mm-dd"")&amp;""' label sum(Col16) ''"",0)))"),"")</f>
        <v/>
      </c>
      <c r="R82" s="628" t="str">
        <f>IFERROR(__xludf.DUMMYFUNCTION("IF($G82="""","""",IFERROR(query({proventos!$B$5:$Q310},""Select sum(Col16) where Col1 = '""&amp;$G82&amp;""' and Col2 &gt; date '""&amp;TEXT(S$8,""yyyy-mm-dd"")&amp;""' and Col2 &lt;= date '""&amp;TEXT(R$8,""yyyy-mm-dd"")&amp;""' label sum(Col16) ''"",0)))"),"")</f>
        <v/>
      </c>
      <c r="S82" s="628" t="str">
        <f>IFERROR(__xludf.DUMMYFUNCTION("IF($G82="""","""",IFERROR(query({proventos!$B$5:$Q310},""Select sum(Col16) where Col1 = '""&amp;$G82&amp;""' and Col2 &gt; date '""&amp;TEXT(T$8,""yyyy-mm-dd"")&amp;""' and Col2 &lt;= date '""&amp;TEXT(S$8,""yyyy-mm-dd"")&amp;""' label sum(Col16) ''"",0)))"),"")</f>
        <v/>
      </c>
      <c r="T82" s="628" t="str">
        <f>IFERROR(__xludf.DUMMYFUNCTION("IF($G82="""","""",IFERROR(query({proventos!$B$5:$Q310},""Select sum(Col16) where Col1 = '""&amp;$G82&amp;""' and Col2 &gt; date '""&amp;TEXT(U$8,""yyyy-mm-dd"")&amp;""' and Col2 &lt;= date '""&amp;TEXT(T$8,""yyyy-mm-dd"")&amp;""' label sum(Col16) ''"",0)))"),"")</f>
        <v/>
      </c>
      <c r="U82" s="629" t="str">
        <f>IFERROR(__xludf.DUMMYFUNCTION("IF($G82="""","""",IFERROR(query({proventos!$B$5:$Q310},""Select sum(Col16) where Col1 = '""&amp;$G82&amp;""' and Col2 &gt; date '""&amp;TEXT(EOMONTH(TODAY(),-13),""yyyy-mm-dd"")&amp;""' and Col2 &lt;= date '""&amp;TEXT(U$8,""yyyy-mm-dd"")&amp;""' label sum(Col16) ''"",0)))"),"")</f>
        <v/>
      </c>
      <c r="V82" s="630" t="str">
        <f>IFERROR(__xludf.DUMMYFUNCTION("IF($G82="""","""",IFERROR(query({proventos!$B$5:$Q310},""Select sum(Col16) where Col1 = '""&amp;$G82&amp;""' and Col2 &gt; date '""&amp;TEXT(DATE(V$8,1,1),""yyyy-mm-dd"")&amp;""' and Col2 &lt;= date '""&amp;TEXT(DATE(V$8,12,31),""yyyy-mm-dd"")&amp;""' label sum(Col16) ''"",0)))"),"")</f>
        <v/>
      </c>
      <c r="W82" s="630" t="str">
        <f>IFERROR(__xludf.DUMMYFUNCTION("IF($G82="""","""",IFERROR(query({proventos!$B$5:$Q310},""Select sum(Col16) where Col1 = '""&amp;$G82&amp;""' and Col2 &gt; date '""&amp;TEXT(DATE(W$8,1,1),""yyyy-mm-dd"")&amp;""' and Col2 &lt;= date '""&amp;TEXT(DATE(W$8,12,31),""yyyy-mm-dd"")&amp;""' label sum(Col16) ''"",0)))"),"")</f>
        <v/>
      </c>
      <c r="X82" s="630" t="str">
        <f>IFERROR(__xludf.DUMMYFUNCTION("IF($G82="""","""",IFERROR(query({proventos!$B$5:$Q310},""Select sum(Col16) where Col1 = '""&amp;$G82&amp;""' and Col2 &gt; date '""&amp;TEXT(DATE(X$8,1,1),""yyyy-mm-dd"")&amp;""' and Col2 &lt;= date '""&amp;TEXT(DATE(X$8,12,31),""yyyy-mm-dd"")&amp;""' label sum(Col16) ''"",0)))"),"")</f>
        <v/>
      </c>
      <c r="Y82" s="630" t="str">
        <f>IFERROR(__xludf.DUMMYFUNCTION("IF($G82="""","""",IFERROR(query({proventos!$B$5:$Q310},""Select sum(Col16) where Col1 = '""&amp;$G82&amp;""' and Col2 &gt; date '""&amp;TEXT(DATE(Y$8,1,1),""yyyy-mm-dd"")&amp;""' and Col2 &lt;= date '""&amp;TEXT(DATE(Y$8,12,31),""yyyy-mm-dd"")&amp;""' label sum(Col16) ''"",0)))"),"")</f>
        <v/>
      </c>
      <c r="Z82" s="630" t="str">
        <f>IFERROR(__xludf.DUMMYFUNCTION("IF($G82="""","""",IFERROR(query({proventos!$B$5:$Q310},""Select sum(Col16) where Col1 = '""&amp;$G82&amp;""' and Col2 &gt; date '""&amp;TEXT(DATE(Z$8,1,1),""yyyy-mm-dd"")&amp;""' and Col2 &lt;= date '""&amp;TEXT(DATE(Z$8,12,31),""yyyy-mm-dd"")&amp;""' label sum(Col16) ''"",0)))"),"")</f>
        <v/>
      </c>
      <c r="AA82" s="587"/>
      <c r="AB82" s="578" t="s">
        <v>123</v>
      </c>
      <c r="AC82" s="601"/>
      <c r="AD82" s="636"/>
      <c r="AE82" s="636"/>
    </row>
    <row r="83">
      <c r="A83" s="619">
        <v>73.0</v>
      </c>
      <c r="B83" s="620"/>
      <c r="C83" s="632"/>
      <c r="D83" s="633"/>
      <c r="E83" s="634"/>
      <c r="F83" s="624">
        <v>73.0</v>
      </c>
      <c r="G83" s="635"/>
      <c r="H83" s="626" t="str">
        <f>if(G83="","",IFERROR(VLOOKUP(G83,AtivosDados,MATCH("provento_avg",portfolio.!$A$3:AE$3,0),FALSE),""))</f>
        <v/>
      </c>
      <c r="I83" s="627" t="s">
        <v>123</v>
      </c>
      <c r="J83" s="628" t="str">
        <f>IFERROR(__xludf.DUMMYFUNCTION("IF($G83="""","""",IFERROR(query({proventos!$B$5:$Q310},""Select sum(Col16) where Col1 = '""&amp;$G83&amp;""' and Col2 &gt; date '""&amp;TEXT(K$8,""yyyy-mm-dd"")&amp;""' and Col2 &lt;= date '""&amp;TEXT(J$8,""yyyy-mm-dd"")&amp;""' label sum(Col16) ''"",0)))"),"")</f>
        <v/>
      </c>
      <c r="K83" s="628" t="str">
        <f>IFERROR(__xludf.DUMMYFUNCTION("IF($G83="""","""",IFERROR(query({proventos!$B$5:$Q310},""Select sum(Col16) where Col1 = '""&amp;$G83&amp;""' and Col2 &gt; date '""&amp;TEXT(L$8,""yyyy-mm-dd"")&amp;""' and Col2 &lt;= date '""&amp;TEXT(K$8,""yyyy-mm-dd"")&amp;""' label sum(Col16) ''"",0)))"),"")</f>
        <v/>
      </c>
      <c r="L83" s="628" t="str">
        <f>IFERROR(__xludf.DUMMYFUNCTION("IF($G83="""","""",IFERROR(query({proventos!$B$5:$Q310},""Select sum(Col16) where Col1 = '""&amp;$G83&amp;""' and Col2 &gt; date '""&amp;TEXT(M$8,""yyyy-mm-dd"")&amp;""' and Col2 &lt;= date '""&amp;TEXT(L$8,""yyyy-mm-dd"")&amp;""' label sum(Col16) ''"",0)))"),"")</f>
        <v/>
      </c>
      <c r="M83" s="628" t="str">
        <f>IFERROR(__xludf.DUMMYFUNCTION("IF($G83="""","""",IFERROR(query({proventos!$B$5:$Q310},""Select sum(Col16) where Col1 = '""&amp;$G83&amp;""' and Col2 &gt; date '""&amp;TEXT(N$8,""yyyy-mm-dd"")&amp;""' and Col2 &lt;= date '""&amp;TEXT(M$8,""yyyy-mm-dd"")&amp;""' label sum(Col16) ''"",0)))"),"")</f>
        <v/>
      </c>
      <c r="N83" s="628" t="str">
        <f>IFERROR(__xludf.DUMMYFUNCTION("IF($G83="""","""",IFERROR(query({proventos!$B$5:$Q310},""Select sum(Col16) where Col1 = '""&amp;$G83&amp;""' and Col2 &gt; date '""&amp;TEXT(O$8,""yyyy-mm-dd"")&amp;""' and Col2 &lt;= date '""&amp;TEXT(N$8,""yyyy-mm-dd"")&amp;""' label sum(Col16) ''"",0)))"),"")</f>
        <v/>
      </c>
      <c r="O83" s="628" t="str">
        <f>IFERROR(__xludf.DUMMYFUNCTION("IF($G83="""","""",IFERROR(query({proventos!$B$5:$Q310},""Select sum(Col16) where Col1 = '""&amp;$G83&amp;""' and Col2 &gt; date '""&amp;TEXT(P$8,""yyyy-mm-dd"")&amp;""' and Col2 &lt;= date '""&amp;TEXT(O$8,""yyyy-mm-dd"")&amp;""' label sum(Col16) ''"",0)))"),"")</f>
        <v/>
      </c>
      <c r="P83" s="628" t="str">
        <f>IFERROR(__xludf.DUMMYFUNCTION("IF($G83="""","""",IFERROR(query({proventos!$B$5:$Q310},""Select sum(Col16) where Col1 = '""&amp;$G83&amp;""' and Col2 &gt; date '""&amp;TEXT(Q$8,""yyyy-mm-dd"")&amp;""' and Col2 &lt;= date '""&amp;TEXT(P$8,""yyyy-mm-dd"")&amp;""' label sum(Col16) ''"",0)))"),"")</f>
        <v/>
      </c>
      <c r="Q83" s="628" t="str">
        <f>IFERROR(__xludf.DUMMYFUNCTION("IF($G83="""","""",IFERROR(query({proventos!$B$5:$Q310},""Select sum(Col16) where Col1 = '""&amp;$G83&amp;""' and Col2 &gt; date '""&amp;TEXT(R$8,""yyyy-mm-dd"")&amp;""' and Col2 &lt;= date '""&amp;TEXT(Q$8,""yyyy-mm-dd"")&amp;""' label sum(Col16) ''"",0)))"),"")</f>
        <v/>
      </c>
      <c r="R83" s="628" t="str">
        <f>IFERROR(__xludf.DUMMYFUNCTION("IF($G83="""","""",IFERROR(query({proventos!$B$5:$Q310},""Select sum(Col16) where Col1 = '""&amp;$G83&amp;""' and Col2 &gt; date '""&amp;TEXT(S$8,""yyyy-mm-dd"")&amp;""' and Col2 &lt;= date '""&amp;TEXT(R$8,""yyyy-mm-dd"")&amp;""' label sum(Col16) ''"",0)))"),"")</f>
        <v/>
      </c>
      <c r="S83" s="628" t="str">
        <f>IFERROR(__xludf.DUMMYFUNCTION("IF($G83="""","""",IFERROR(query({proventos!$B$5:$Q310},""Select sum(Col16) where Col1 = '""&amp;$G83&amp;""' and Col2 &gt; date '""&amp;TEXT(T$8,""yyyy-mm-dd"")&amp;""' and Col2 &lt;= date '""&amp;TEXT(S$8,""yyyy-mm-dd"")&amp;""' label sum(Col16) ''"",0)))"),"")</f>
        <v/>
      </c>
      <c r="T83" s="628" t="str">
        <f>IFERROR(__xludf.DUMMYFUNCTION("IF($G83="""","""",IFERROR(query({proventos!$B$5:$Q310},""Select sum(Col16) where Col1 = '""&amp;$G83&amp;""' and Col2 &gt; date '""&amp;TEXT(U$8,""yyyy-mm-dd"")&amp;""' and Col2 &lt;= date '""&amp;TEXT(T$8,""yyyy-mm-dd"")&amp;""' label sum(Col16) ''"",0)))"),"")</f>
        <v/>
      </c>
      <c r="U83" s="629" t="str">
        <f>IFERROR(__xludf.DUMMYFUNCTION("IF($G83="""","""",IFERROR(query({proventos!$B$5:$Q310},""Select sum(Col16) where Col1 = '""&amp;$G83&amp;""' and Col2 &gt; date '""&amp;TEXT(EOMONTH(TODAY(),-13),""yyyy-mm-dd"")&amp;""' and Col2 &lt;= date '""&amp;TEXT(U$8,""yyyy-mm-dd"")&amp;""' label sum(Col16) ''"",0)))"),"")</f>
        <v/>
      </c>
      <c r="V83" s="630" t="str">
        <f>IFERROR(__xludf.DUMMYFUNCTION("IF($G83="""","""",IFERROR(query({proventos!$B$5:$Q310},""Select sum(Col16) where Col1 = '""&amp;$G83&amp;""' and Col2 &gt; date '""&amp;TEXT(DATE(V$8,1,1),""yyyy-mm-dd"")&amp;""' and Col2 &lt;= date '""&amp;TEXT(DATE(V$8,12,31),""yyyy-mm-dd"")&amp;""' label sum(Col16) ''"",0)))"),"")</f>
        <v/>
      </c>
      <c r="W83" s="630" t="str">
        <f>IFERROR(__xludf.DUMMYFUNCTION("IF($G83="""","""",IFERROR(query({proventos!$B$5:$Q310},""Select sum(Col16) where Col1 = '""&amp;$G83&amp;""' and Col2 &gt; date '""&amp;TEXT(DATE(W$8,1,1),""yyyy-mm-dd"")&amp;""' and Col2 &lt;= date '""&amp;TEXT(DATE(W$8,12,31),""yyyy-mm-dd"")&amp;""' label sum(Col16) ''"",0)))"),"")</f>
        <v/>
      </c>
      <c r="X83" s="630" t="str">
        <f>IFERROR(__xludf.DUMMYFUNCTION("IF($G83="""","""",IFERROR(query({proventos!$B$5:$Q310},""Select sum(Col16) where Col1 = '""&amp;$G83&amp;""' and Col2 &gt; date '""&amp;TEXT(DATE(X$8,1,1),""yyyy-mm-dd"")&amp;""' and Col2 &lt;= date '""&amp;TEXT(DATE(X$8,12,31),""yyyy-mm-dd"")&amp;""' label sum(Col16) ''"",0)))"),"")</f>
        <v/>
      </c>
      <c r="Y83" s="630" t="str">
        <f>IFERROR(__xludf.DUMMYFUNCTION("IF($G83="""","""",IFERROR(query({proventos!$B$5:$Q310},""Select sum(Col16) where Col1 = '""&amp;$G83&amp;""' and Col2 &gt; date '""&amp;TEXT(DATE(Y$8,1,1),""yyyy-mm-dd"")&amp;""' and Col2 &lt;= date '""&amp;TEXT(DATE(Y$8,12,31),""yyyy-mm-dd"")&amp;""' label sum(Col16) ''"",0)))"),"")</f>
        <v/>
      </c>
      <c r="Z83" s="630" t="str">
        <f>IFERROR(__xludf.DUMMYFUNCTION("IF($G83="""","""",IFERROR(query({proventos!$B$5:$Q310},""Select sum(Col16) where Col1 = '""&amp;$G83&amp;""' and Col2 &gt; date '""&amp;TEXT(DATE(Z$8,1,1),""yyyy-mm-dd"")&amp;""' and Col2 &lt;= date '""&amp;TEXT(DATE(Z$8,12,31),""yyyy-mm-dd"")&amp;""' label sum(Col16) ''"",0)))"),"")</f>
        <v/>
      </c>
      <c r="AA83" s="587"/>
      <c r="AB83" s="578" t="s">
        <v>123</v>
      </c>
      <c r="AC83" s="601"/>
      <c r="AD83" s="636"/>
      <c r="AE83" s="636"/>
    </row>
    <row r="84">
      <c r="A84" s="619">
        <v>74.0</v>
      </c>
      <c r="B84" s="620"/>
      <c r="C84" s="632"/>
      <c r="D84" s="633"/>
      <c r="E84" s="634"/>
      <c r="F84" s="624">
        <v>74.0</v>
      </c>
      <c r="G84" s="635"/>
      <c r="H84" s="626" t="str">
        <f>if(G84="","",IFERROR(VLOOKUP(G84,AtivosDados,MATCH("provento_avg",portfolio.!$A$3:AE$3,0),FALSE),""))</f>
        <v/>
      </c>
      <c r="I84" s="627" t="s">
        <v>123</v>
      </c>
      <c r="J84" s="628" t="str">
        <f>IFERROR(__xludf.DUMMYFUNCTION("IF($G84="""","""",IFERROR(query({proventos!$B$5:$Q310},""Select sum(Col16) where Col1 = '""&amp;$G84&amp;""' and Col2 &gt; date '""&amp;TEXT(K$8,""yyyy-mm-dd"")&amp;""' and Col2 &lt;= date '""&amp;TEXT(J$8,""yyyy-mm-dd"")&amp;""' label sum(Col16) ''"",0)))"),"")</f>
        <v/>
      </c>
      <c r="K84" s="628" t="str">
        <f>IFERROR(__xludf.DUMMYFUNCTION("IF($G84="""","""",IFERROR(query({proventos!$B$5:$Q310},""Select sum(Col16) where Col1 = '""&amp;$G84&amp;""' and Col2 &gt; date '""&amp;TEXT(L$8,""yyyy-mm-dd"")&amp;""' and Col2 &lt;= date '""&amp;TEXT(K$8,""yyyy-mm-dd"")&amp;""' label sum(Col16) ''"",0)))"),"")</f>
        <v/>
      </c>
      <c r="L84" s="628" t="str">
        <f>IFERROR(__xludf.DUMMYFUNCTION("IF($G84="""","""",IFERROR(query({proventos!$B$5:$Q310},""Select sum(Col16) where Col1 = '""&amp;$G84&amp;""' and Col2 &gt; date '""&amp;TEXT(M$8,""yyyy-mm-dd"")&amp;""' and Col2 &lt;= date '""&amp;TEXT(L$8,""yyyy-mm-dd"")&amp;""' label sum(Col16) ''"",0)))"),"")</f>
        <v/>
      </c>
      <c r="M84" s="628" t="str">
        <f>IFERROR(__xludf.DUMMYFUNCTION("IF($G84="""","""",IFERROR(query({proventos!$B$5:$Q310},""Select sum(Col16) where Col1 = '""&amp;$G84&amp;""' and Col2 &gt; date '""&amp;TEXT(N$8,""yyyy-mm-dd"")&amp;""' and Col2 &lt;= date '""&amp;TEXT(M$8,""yyyy-mm-dd"")&amp;""' label sum(Col16) ''"",0)))"),"")</f>
        <v/>
      </c>
      <c r="N84" s="628" t="str">
        <f>IFERROR(__xludf.DUMMYFUNCTION("IF($G84="""","""",IFERROR(query({proventos!$B$5:$Q310},""Select sum(Col16) where Col1 = '""&amp;$G84&amp;""' and Col2 &gt; date '""&amp;TEXT(O$8,""yyyy-mm-dd"")&amp;""' and Col2 &lt;= date '""&amp;TEXT(N$8,""yyyy-mm-dd"")&amp;""' label sum(Col16) ''"",0)))"),"")</f>
        <v/>
      </c>
      <c r="O84" s="628" t="str">
        <f>IFERROR(__xludf.DUMMYFUNCTION("IF($G84="""","""",IFERROR(query({proventos!$B$5:$Q310},""Select sum(Col16) where Col1 = '""&amp;$G84&amp;""' and Col2 &gt; date '""&amp;TEXT(P$8,""yyyy-mm-dd"")&amp;""' and Col2 &lt;= date '""&amp;TEXT(O$8,""yyyy-mm-dd"")&amp;""' label sum(Col16) ''"",0)))"),"")</f>
        <v/>
      </c>
      <c r="P84" s="628" t="str">
        <f>IFERROR(__xludf.DUMMYFUNCTION("IF($G84="""","""",IFERROR(query({proventos!$B$5:$Q310},""Select sum(Col16) where Col1 = '""&amp;$G84&amp;""' and Col2 &gt; date '""&amp;TEXT(Q$8,""yyyy-mm-dd"")&amp;""' and Col2 &lt;= date '""&amp;TEXT(P$8,""yyyy-mm-dd"")&amp;""' label sum(Col16) ''"",0)))"),"")</f>
        <v/>
      </c>
      <c r="Q84" s="628" t="str">
        <f>IFERROR(__xludf.DUMMYFUNCTION("IF($G84="""","""",IFERROR(query({proventos!$B$5:$Q310},""Select sum(Col16) where Col1 = '""&amp;$G84&amp;""' and Col2 &gt; date '""&amp;TEXT(R$8,""yyyy-mm-dd"")&amp;""' and Col2 &lt;= date '""&amp;TEXT(Q$8,""yyyy-mm-dd"")&amp;""' label sum(Col16) ''"",0)))"),"")</f>
        <v/>
      </c>
      <c r="R84" s="628" t="str">
        <f>IFERROR(__xludf.DUMMYFUNCTION("IF($G84="""","""",IFERROR(query({proventos!$B$5:$Q310},""Select sum(Col16) where Col1 = '""&amp;$G84&amp;""' and Col2 &gt; date '""&amp;TEXT(S$8,""yyyy-mm-dd"")&amp;""' and Col2 &lt;= date '""&amp;TEXT(R$8,""yyyy-mm-dd"")&amp;""' label sum(Col16) ''"",0)))"),"")</f>
        <v/>
      </c>
      <c r="S84" s="628" t="str">
        <f>IFERROR(__xludf.DUMMYFUNCTION("IF($G84="""","""",IFERROR(query({proventos!$B$5:$Q310},""Select sum(Col16) where Col1 = '""&amp;$G84&amp;""' and Col2 &gt; date '""&amp;TEXT(T$8,""yyyy-mm-dd"")&amp;""' and Col2 &lt;= date '""&amp;TEXT(S$8,""yyyy-mm-dd"")&amp;""' label sum(Col16) ''"",0)))"),"")</f>
        <v/>
      </c>
      <c r="T84" s="628" t="str">
        <f>IFERROR(__xludf.DUMMYFUNCTION("IF($G84="""","""",IFERROR(query({proventos!$B$5:$Q310},""Select sum(Col16) where Col1 = '""&amp;$G84&amp;""' and Col2 &gt; date '""&amp;TEXT(U$8,""yyyy-mm-dd"")&amp;""' and Col2 &lt;= date '""&amp;TEXT(T$8,""yyyy-mm-dd"")&amp;""' label sum(Col16) ''"",0)))"),"")</f>
        <v/>
      </c>
      <c r="U84" s="629" t="str">
        <f>IFERROR(__xludf.DUMMYFUNCTION("IF($G84="""","""",IFERROR(query({proventos!$B$5:$Q310},""Select sum(Col16) where Col1 = '""&amp;$G84&amp;""' and Col2 &gt; date '""&amp;TEXT(EOMONTH(TODAY(),-13),""yyyy-mm-dd"")&amp;""' and Col2 &lt;= date '""&amp;TEXT(U$8,""yyyy-mm-dd"")&amp;""' label sum(Col16) ''"",0)))"),"")</f>
        <v/>
      </c>
      <c r="V84" s="630" t="str">
        <f>IFERROR(__xludf.DUMMYFUNCTION("IF($G84="""","""",IFERROR(query({proventos!$B$5:$Q310},""Select sum(Col16) where Col1 = '""&amp;$G84&amp;""' and Col2 &gt; date '""&amp;TEXT(DATE(V$8,1,1),""yyyy-mm-dd"")&amp;""' and Col2 &lt;= date '""&amp;TEXT(DATE(V$8,12,31),""yyyy-mm-dd"")&amp;""' label sum(Col16) ''"",0)))"),"")</f>
        <v/>
      </c>
      <c r="W84" s="630" t="str">
        <f>IFERROR(__xludf.DUMMYFUNCTION("IF($G84="""","""",IFERROR(query({proventos!$B$5:$Q310},""Select sum(Col16) where Col1 = '""&amp;$G84&amp;""' and Col2 &gt; date '""&amp;TEXT(DATE(W$8,1,1),""yyyy-mm-dd"")&amp;""' and Col2 &lt;= date '""&amp;TEXT(DATE(W$8,12,31),""yyyy-mm-dd"")&amp;""' label sum(Col16) ''"",0)))"),"")</f>
        <v/>
      </c>
      <c r="X84" s="630" t="str">
        <f>IFERROR(__xludf.DUMMYFUNCTION("IF($G84="""","""",IFERROR(query({proventos!$B$5:$Q310},""Select sum(Col16) where Col1 = '""&amp;$G84&amp;""' and Col2 &gt; date '""&amp;TEXT(DATE(X$8,1,1),""yyyy-mm-dd"")&amp;""' and Col2 &lt;= date '""&amp;TEXT(DATE(X$8,12,31),""yyyy-mm-dd"")&amp;""' label sum(Col16) ''"",0)))"),"")</f>
        <v/>
      </c>
      <c r="Y84" s="630" t="str">
        <f>IFERROR(__xludf.DUMMYFUNCTION("IF($G84="""","""",IFERROR(query({proventos!$B$5:$Q310},""Select sum(Col16) where Col1 = '""&amp;$G84&amp;""' and Col2 &gt; date '""&amp;TEXT(DATE(Y$8,1,1),""yyyy-mm-dd"")&amp;""' and Col2 &lt;= date '""&amp;TEXT(DATE(Y$8,12,31),""yyyy-mm-dd"")&amp;""' label sum(Col16) ''"",0)))"),"")</f>
        <v/>
      </c>
      <c r="Z84" s="630" t="str">
        <f>IFERROR(__xludf.DUMMYFUNCTION("IF($G84="""","""",IFERROR(query({proventos!$B$5:$Q310},""Select sum(Col16) where Col1 = '""&amp;$G84&amp;""' and Col2 &gt; date '""&amp;TEXT(DATE(Z$8,1,1),""yyyy-mm-dd"")&amp;""' and Col2 &lt;= date '""&amp;TEXT(DATE(Z$8,12,31),""yyyy-mm-dd"")&amp;""' label sum(Col16) ''"",0)))"),"")</f>
        <v/>
      </c>
      <c r="AA84" s="587"/>
      <c r="AB84" s="578" t="s">
        <v>123</v>
      </c>
      <c r="AC84" s="601"/>
      <c r="AD84" s="636"/>
      <c r="AE84" s="636"/>
    </row>
    <row r="85">
      <c r="A85" s="619">
        <v>75.0</v>
      </c>
      <c r="B85" s="620"/>
      <c r="C85" s="632"/>
      <c r="D85" s="633"/>
      <c r="E85" s="634"/>
      <c r="F85" s="624">
        <v>75.0</v>
      </c>
      <c r="G85" s="635"/>
      <c r="H85" s="626" t="str">
        <f>if(G85="","",IFERROR(VLOOKUP(G85,AtivosDados,MATCH("provento_avg",portfolio.!$A$3:AE$3,0),FALSE),""))</f>
        <v/>
      </c>
      <c r="I85" s="627" t="s">
        <v>123</v>
      </c>
      <c r="J85" s="628" t="str">
        <f>IFERROR(__xludf.DUMMYFUNCTION("IF($G85="""","""",IFERROR(query({proventos!$B$5:$Q310},""Select sum(Col16) where Col1 = '""&amp;$G85&amp;""' and Col2 &gt; date '""&amp;TEXT(K$8,""yyyy-mm-dd"")&amp;""' and Col2 &lt;= date '""&amp;TEXT(J$8,""yyyy-mm-dd"")&amp;""' label sum(Col16) ''"",0)))"),"")</f>
        <v/>
      </c>
      <c r="K85" s="628" t="str">
        <f>IFERROR(__xludf.DUMMYFUNCTION("IF($G85="""","""",IFERROR(query({proventos!$B$5:$Q310},""Select sum(Col16) where Col1 = '""&amp;$G85&amp;""' and Col2 &gt; date '""&amp;TEXT(L$8,""yyyy-mm-dd"")&amp;""' and Col2 &lt;= date '""&amp;TEXT(K$8,""yyyy-mm-dd"")&amp;""' label sum(Col16) ''"",0)))"),"")</f>
        <v/>
      </c>
      <c r="L85" s="628" t="str">
        <f>IFERROR(__xludf.DUMMYFUNCTION("IF($G85="""","""",IFERROR(query({proventos!$B$5:$Q310},""Select sum(Col16) where Col1 = '""&amp;$G85&amp;""' and Col2 &gt; date '""&amp;TEXT(M$8,""yyyy-mm-dd"")&amp;""' and Col2 &lt;= date '""&amp;TEXT(L$8,""yyyy-mm-dd"")&amp;""' label sum(Col16) ''"",0)))"),"")</f>
        <v/>
      </c>
      <c r="M85" s="628" t="str">
        <f>IFERROR(__xludf.DUMMYFUNCTION("IF($G85="""","""",IFERROR(query({proventos!$B$5:$Q310},""Select sum(Col16) where Col1 = '""&amp;$G85&amp;""' and Col2 &gt; date '""&amp;TEXT(N$8,""yyyy-mm-dd"")&amp;""' and Col2 &lt;= date '""&amp;TEXT(M$8,""yyyy-mm-dd"")&amp;""' label sum(Col16) ''"",0)))"),"")</f>
        <v/>
      </c>
      <c r="N85" s="628" t="str">
        <f>IFERROR(__xludf.DUMMYFUNCTION("IF($G85="""","""",IFERROR(query({proventos!$B$5:$Q310},""Select sum(Col16) where Col1 = '""&amp;$G85&amp;""' and Col2 &gt; date '""&amp;TEXT(O$8,""yyyy-mm-dd"")&amp;""' and Col2 &lt;= date '""&amp;TEXT(N$8,""yyyy-mm-dd"")&amp;""' label sum(Col16) ''"",0)))"),"")</f>
        <v/>
      </c>
      <c r="O85" s="628" t="str">
        <f>IFERROR(__xludf.DUMMYFUNCTION("IF($G85="""","""",IFERROR(query({proventos!$B$5:$Q310},""Select sum(Col16) where Col1 = '""&amp;$G85&amp;""' and Col2 &gt; date '""&amp;TEXT(P$8,""yyyy-mm-dd"")&amp;""' and Col2 &lt;= date '""&amp;TEXT(O$8,""yyyy-mm-dd"")&amp;""' label sum(Col16) ''"",0)))"),"")</f>
        <v/>
      </c>
      <c r="P85" s="628" t="str">
        <f>IFERROR(__xludf.DUMMYFUNCTION("IF($G85="""","""",IFERROR(query({proventos!$B$5:$Q310},""Select sum(Col16) where Col1 = '""&amp;$G85&amp;""' and Col2 &gt; date '""&amp;TEXT(Q$8,""yyyy-mm-dd"")&amp;""' and Col2 &lt;= date '""&amp;TEXT(P$8,""yyyy-mm-dd"")&amp;""' label sum(Col16) ''"",0)))"),"")</f>
        <v/>
      </c>
      <c r="Q85" s="628" t="str">
        <f>IFERROR(__xludf.DUMMYFUNCTION("IF($G85="""","""",IFERROR(query({proventos!$B$5:$Q310},""Select sum(Col16) where Col1 = '""&amp;$G85&amp;""' and Col2 &gt; date '""&amp;TEXT(R$8,""yyyy-mm-dd"")&amp;""' and Col2 &lt;= date '""&amp;TEXT(Q$8,""yyyy-mm-dd"")&amp;""' label sum(Col16) ''"",0)))"),"")</f>
        <v/>
      </c>
      <c r="R85" s="628" t="str">
        <f>IFERROR(__xludf.DUMMYFUNCTION("IF($G85="""","""",IFERROR(query({proventos!$B$5:$Q310},""Select sum(Col16) where Col1 = '""&amp;$G85&amp;""' and Col2 &gt; date '""&amp;TEXT(S$8,""yyyy-mm-dd"")&amp;""' and Col2 &lt;= date '""&amp;TEXT(R$8,""yyyy-mm-dd"")&amp;""' label sum(Col16) ''"",0)))"),"")</f>
        <v/>
      </c>
      <c r="S85" s="628" t="str">
        <f>IFERROR(__xludf.DUMMYFUNCTION("IF($G85="""","""",IFERROR(query({proventos!$B$5:$Q310},""Select sum(Col16) where Col1 = '""&amp;$G85&amp;""' and Col2 &gt; date '""&amp;TEXT(T$8,""yyyy-mm-dd"")&amp;""' and Col2 &lt;= date '""&amp;TEXT(S$8,""yyyy-mm-dd"")&amp;""' label sum(Col16) ''"",0)))"),"")</f>
        <v/>
      </c>
      <c r="T85" s="628" t="str">
        <f>IFERROR(__xludf.DUMMYFUNCTION("IF($G85="""","""",IFERROR(query({proventos!$B$5:$Q310},""Select sum(Col16) where Col1 = '""&amp;$G85&amp;""' and Col2 &gt; date '""&amp;TEXT(U$8,""yyyy-mm-dd"")&amp;""' and Col2 &lt;= date '""&amp;TEXT(T$8,""yyyy-mm-dd"")&amp;""' label sum(Col16) ''"",0)))"),"")</f>
        <v/>
      </c>
      <c r="U85" s="629" t="str">
        <f>IFERROR(__xludf.DUMMYFUNCTION("IF($G85="""","""",IFERROR(query({proventos!$B$5:$Q310},""Select sum(Col16) where Col1 = '""&amp;$G85&amp;""' and Col2 &gt; date '""&amp;TEXT(EOMONTH(TODAY(),-13),""yyyy-mm-dd"")&amp;""' and Col2 &lt;= date '""&amp;TEXT(U$8,""yyyy-mm-dd"")&amp;""' label sum(Col16) ''"",0)))"),"")</f>
        <v/>
      </c>
      <c r="V85" s="630" t="str">
        <f>IFERROR(__xludf.DUMMYFUNCTION("IF($G85="""","""",IFERROR(query({proventos!$B$5:$Q310},""Select sum(Col16) where Col1 = '""&amp;$G85&amp;""' and Col2 &gt; date '""&amp;TEXT(DATE(V$8,1,1),""yyyy-mm-dd"")&amp;""' and Col2 &lt;= date '""&amp;TEXT(DATE(V$8,12,31),""yyyy-mm-dd"")&amp;""' label sum(Col16) ''"",0)))"),"")</f>
        <v/>
      </c>
      <c r="W85" s="630" t="str">
        <f>IFERROR(__xludf.DUMMYFUNCTION("IF($G85="""","""",IFERROR(query({proventos!$B$5:$Q310},""Select sum(Col16) where Col1 = '""&amp;$G85&amp;""' and Col2 &gt; date '""&amp;TEXT(DATE(W$8,1,1),""yyyy-mm-dd"")&amp;""' and Col2 &lt;= date '""&amp;TEXT(DATE(W$8,12,31),""yyyy-mm-dd"")&amp;""' label sum(Col16) ''"",0)))"),"")</f>
        <v/>
      </c>
      <c r="X85" s="630" t="str">
        <f>IFERROR(__xludf.DUMMYFUNCTION("IF($G85="""","""",IFERROR(query({proventos!$B$5:$Q310},""Select sum(Col16) where Col1 = '""&amp;$G85&amp;""' and Col2 &gt; date '""&amp;TEXT(DATE(X$8,1,1),""yyyy-mm-dd"")&amp;""' and Col2 &lt;= date '""&amp;TEXT(DATE(X$8,12,31),""yyyy-mm-dd"")&amp;""' label sum(Col16) ''"",0)))"),"")</f>
        <v/>
      </c>
      <c r="Y85" s="630" t="str">
        <f>IFERROR(__xludf.DUMMYFUNCTION("IF($G85="""","""",IFERROR(query({proventos!$B$5:$Q310},""Select sum(Col16) where Col1 = '""&amp;$G85&amp;""' and Col2 &gt; date '""&amp;TEXT(DATE(Y$8,1,1),""yyyy-mm-dd"")&amp;""' and Col2 &lt;= date '""&amp;TEXT(DATE(Y$8,12,31),""yyyy-mm-dd"")&amp;""' label sum(Col16) ''"",0)))"),"")</f>
        <v/>
      </c>
      <c r="Z85" s="630" t="str">
        <f>IFERROR(__xludf.DUMMYFUNCTION("IF($G85="""","""",IFERROR(query({proventos!$B$5:$Q310},""Select sum(Col16) where Col1 = '""&amp;$G85&amp;""' and Col2 &gt; date '""&amp;TEXT(DATE(Z$8,1,1),""yyyy-mm-dd"")&amp;""' and Col2 &lt;= date '""&amp;TEXT(DATE(Z$8,12,31),""yyyy-mm-dd"")&amp;""' label sum(Col16) ''"",0)))"),"")</f>
        <v/>
      </c>
      <c r="AA85" s="587"/>
      <c r="AB85" s="578" t="s">
        <v>123</v>
      </c>
      <c r="AC85" s="601"/>
      <c r="AD85" s="636"/>
      <c r="AE85" s="636"/>
    </row>
    <row r="86">
      <c r="A86" s="619">
        <v>76.0</v>
      </c>
      <c r="B86" s="620"/>
      <c r="C86" s="632"/>
      <c r="D86" s="633"/>
      <c r="E86" s="634"/>
      <c r="F86" s="624">
        <v>76.0</v>
      </c>
      <c r="G86" s="635"/>
      <c r="H86" s="626" t="str">
        <f>if(G86="","",IFERROR(VLOOKUP(G86,AtivosDados,MATCH("provento_avg",portfolio.!$A$3:AE$3,0),FALSE),""))</f>
        <v/>
      </c>
      <c r="I86" s="627" t="s">
        <v>123</v>
      </c>
      <c r="J86" s="628" t="str">
        <f>IFERROR(__xludf.DUMMYFUNCTION("IF($G86="""","""",IFERROR(query({proventos!$B$5:$Q310},""Select sum(Col16) where Col1 = '""&amp;$G86&amp;""' and Col2 &gt; date '""&amp;TEXT(K$8,""yyyy-mm-dd"")&amp;""' and Col2 &lt;= date '""&amp;TEXT(J$8,""yyyy-mm-dd"")&amp;""' label sum(Col16) ''"",0)))"),"")</f>
        <v/>
      </c>
      <c r="K86" s="628" t="str">
        <f>IFERROR(__xludf.DUMMYFUNCTION("IF($G86="""","""",IFERROR(query({proventos!$B$5:$Q310},""Select sum(Col16) where Col1 = '""&amp;$G86&amp;""' and Col2 &gt; date '""&amp;TEXT(L$8,""yyyy-mm-dd"")&amp;""' and Col2 &lt;= date '""&amp;TEXT(K$8,""yyyy-mm-dd"")&amp;""' label sum(Col16) ''"",0)))"),"")</f>
        <v/>
      </c>
      <c r="L86" s="628" t="str">
        <f>IFERROR(__xludf.DUMMYFUNCTION("IF($G86="""","""",IFERROR(query({proventos!$B$5:$Q310},""Select sum(Col16) where Col1 = '""&amp;$G86&amp;""' and Col2 &gt; date '""&amp;TEXT(M$8,""yyyy-mm-dd"")&amp;""' and Col2 &lt;= date '""&amp;TEXT(L$8,""yyyy-mm-dd"")&amp;""' label sum(Col16) ''"",0)))"),"")</f>
        <v/>
      </c>
      <c r="M86" s="628" t="str">
        <f>IFERROR(__xludf.DUMMYFUNCTION("IF($G86="""","""",IFERROR(query({proventos!$B$5:$Q310},""Select sum(Col16) where Col1 = '""&amp;$G86&amp;""' and Col2 &gt; date '""&amp;TEXT(N$8,""yyyy-mm-dd"")&amp;""' and Col2 &lt;= date '""&amp;TEXT(M$8,""yyyy-mm-dd"")&amp;""' label sum(Col16) ''"",0)))"),"")</f>
        <v/>
      </c>
      <c r="N86" s="628" t="str">
        <f>IFERROR(__xludf.DUMMYFUNCTION("IF($G86="""","""",IFERROR(query({proventos!$B$5:$Q310},""Select sum(Col16) where Col1 = '""&amp;$G86&amp;""' and Col2 &gt; date '""&amp;TEXT(O$8,""yyyy-mm-dd"")&amp;""' and Col2 &lt;= date '""&amp;TEXT(N$8,""yyyy-mm-dd"")&amp;""' label sum(Col16) ''"",0)))"),"")</f>
        <v/>
      </c>
      <c r="O86" s="628" t="str">
        <f>IFERROR(__xludf.DUMMYFUNCTION("IF($G86="""","""",IFERROR(query({proventos!$B$5:$Q310},""Select sum(Col16) where Col1 = '""&amp;$G86&amp;""' and Col2 &gt; date '""&amp;TEXT(P$8,""yyyy-mm-dd"")&amp;""' and Col2 &lt;= date '""&amp;TEXT(O$8,""yyyy-mm-dd"")&amp;""' label sum(Col16) ''"",0)))"),"")</f>
        <v/>
      </c>
      <c r="P86" s="628" t="str">
        <f>IFERROR(__xludf.DUMMYFUNCTION("IF($G86="""","""",IFERROR(query({proventos!$B$5:$Q310},""Select sum(Col16) where Col1 = '""&amp;$G86&amp;""' and Col2 &gt; date '""&amp;TEXT(Q$8,""yyyy-mm-dd"")&amp;""' and Col2 &lt;= date '""&amp;TEXT(P$8,""yyyy-mm-dd"")&amp;""' label sum(Col16) ''"",0)))"),"")</f>
        <v/>
      </c>
      <c r="Q86" s="628" t="str">
        <f>IFERROR(__xludf.DUMMYFUNCTION("IF($G86="""","""",IFERROR(query({proventos!$B$5:$Q310},""Select sum(Col16) where Col1 = '""&amp;$G86&amp;""' and Col2 &gt; date '""&amp;TEXT(R$8,""yyyy-mm-dd"")&amp;""' and Col2 &lt;= date '""&amp;TEXT(Q$8,""yyyy-mm-dd"")&amp;""' label sum(Col16) ''"",0)))"),"")</f>
        <v/>
      </c>
      <c r="R86" s="628" t="str">
        <f>IFERROR(__xludf.DUMMYFUNCTION("IF($G86="""","""",IFERROR(query({proventos!$B$5:$Q310},""Select sum(Col16) where Col1 = '""&amp;$G86&amp;""' and Col2 &gt; date '""&amp;TEXT(S$8,""yyyy-mm-dd"")&amp;""' and Col2 &lt;= date '""&amp;TEXT(R$8,""yyyy-mm-dd"")&amp;""' label sum(Col16) ''"",0)))"),"")</f>
        <v/>
      </c>
      <c r="S86" s="628" t="str">
        <f>IFERROR(__xludf.DUMMYFUNCTION("IF($G86="""","""",IFERROR(query({proventos!$B$5:$Q310},""Select sum(Col16) where Col1 = '""&amp;$G86&amp;""' and Col2 &gt; date '""&amp;TEXT(T$8,""yyyy-mm-dd"")&amp;""' and Col2 &lt;= date '""&amp;TEXT(S$8,""yyyy-mm-dd"")&amp;""' label sum(Col16) ''"",0)))"),"")</f>
        <v/>
      </c>
      <c r="T86" s="628" t="str">
        <f>IFERROR(__xludf.DUMMYFUNCTION("IF($G86="""","""",IFERROR(query({proventos!$B$5:$Q310},""Select sum(Col16) where Col1 = '""&amp;$G86&amp;""' and Col2 &gt; date '""&amp;TEXT(U$8,""yyyy-mm-dd"")&amp;""' and Col2 &lt;= date '""&amp;TEXT(T$8,""yyyy-mm-dd"")&amp;""' label sum(Col16) ''"",0)))"),"")</f>
        <v/>
      </c>
      <c r="U86" s="629" t="str">
        <f>IFERROR(__xludf.DUMMYFUNCTION("IF($G86="""","""",IFERROR(query({proventos!$B$5:$Q310},""Select sum(Col16) where Col1 = '""&amp;$G86&amp;""' and Col2 &gt; date '""&amp;TEXT(EOMONTH(TODAY(),-13),""yyyy-mm-dd"")&amp;""' and Col2 &lt;= date '""&amp;TEXT(U$8,""yyyy-mm-dd"")&amp;""' label sum(Col16) ''"",0)))"),"")</f>
        <v/>
      </c>
      <c r="V86" s="630" t="str">
        <f>IFERROR(__xludf.DUMMYFUNCTION("IF($G86="""","""",IFERROR(query({proventos!$B$5:$Q310},""Select sum(Col16) where Col1 = '""&amp;$G86&amp;""' and Col2 &gt; date '""&amp;TEXT(DATE(V$8,1,1),""yyyy-mm-dd"")&amp;""' and Col2 &lt;= date '""&amp;TEXT(DATE(V$8,12,31),""yyyy-mm-dd"")&amp;""' label sum(Col16) ''"",0)))"),"")</f>
        <v/>
      </c>
      <c r="W86" s="630" t="str">
        <f>IFERROR(__xludf.DUMMYFUNCTION("IF($G86="""","""",IFERROR(query({proventos!$B$5:$Q310},""Select sum(Col16) where Col1 = '""&amp;$G86&amp;""' and Col2 &gt; date '""&amp;TEXT(DATE(W$8,1,1),""yyyy-mm-dd"")&amp;""' and Col2 &lt;= date '""&amp;TEXT(DATE(W$8,12,31),""yyyy-mm-dd"")&amp;""' label sum(Col16) ''"",0)))"),"")</f>
        <v/>
      </c>
      <c r="X86" s="630" t="str">
        <f>IFERROR(__xludf.DUMMYFUNCTION("IF($G86="""","""",IFERROR(query({proventos!$B$5:$Q310},""Select sum(Col16) where Col1 = '""&amp;$G86&amp;""' and Col2 &gt; date '""&amp;TEXT(DATE(X$8,1,1),""yyyy-mm-dd"")&amp;""' and Col2 &lt;= date '""&amp;TEXT(DATE(X$8,12,31),""yyyy-mm-dd"")&amp;""' label sum(Col16) ''"",0)))"),"")</f>
        <v/>
      </c>
      <c r="Y86" s="630" t="str">
        <f>IFERROR(__xludf.DUMMYFUNCTION("IF($G86="""","""",IFERROR(query({proventos!$B$5:$Q310},""Select sum(Col16) where Col1 = '""&amp;$G86&amp;""' and Col2 &gt; date '""&amp;TEXT(DATE(Y$8,1,1),""yyyy-mm-dd"")&amp;""' and Col2 &lt;= date '""&amp;TEXT(DATE(Y$8,12,31),""yyyy-mm-dd"")&amp;""' label sum(Col16) ''"",0)))"),"")</f>
        <v/>
      </c>
      <c r="Z86" s="630" t="str">
        <f>IFERROR(__xludf.DUMMYFUNCTION("IF($G86="""","""",IFERROR(query({proventos!$B$5:$Q310},""Select sum(Col16) where Col1 = '""&amp;$G86&amp;""' and Col2 &gt; date '""&amp;TEXT(DATE(Z$8,1,1),""yyyy-mm-dd"")&amp;""' and Col2 &lt;= date '""&amp;TEXT(DATE(Z$8,12,31),""yyyy-mm-dd"")&amp;""' label sum(Col16) ''"",0)))"),"")</f>
        <v/>
      </c>
      <c r="AA86" s="587"/>
      <c r="AB86" s="578" t="s">
        <v>123</v>
      </c>
      <c r="AC86" s="601"/>
      <c r="AD86" s="636"/>
      <c r="AE86" s="636"/>
    </row>
    <row r="87">
      <c r="A87" s="619">
        <v>77.0</v>
      </c>
      <c r="B87" s="620"/>
      <c r="C87" s="632"/>
      <c r="D87" s="633"/>
      <c r="E87" s="634"/>
      <c r="F87" s="624">
        <v>77.0</v>
      </c>
      <c r="G87" s="635"/>
      <c r="H87" s="626" t="str">
        <f>if(G87="","",IFERROR(VLOOKUP(G87,AtivosDados,MATCH("provento_avg",portfolio.!$A$3:AE$3,0),FALSE),""))</f>
        <v/>
      </c>
      <c r="I87" s="627" t="s">
        <v>123</v>
      </c>
      <c r="J87" s="628" t="str">
        <f>IFERROR(__xludf.DUMMYFUNCTION("IF($G87="""","""",IFERROR(query({proventos!$B$5:$Q310},""Select sum(Col16) where Col1 = '""&amp;$G87&amp;""' and Col2 &gt; date '""&amp;TEXT(K$8,""yyyy-mm-dd"")&amp;""' and Col2 &lt;= date '""&amp;TEXT(J$8,""yyyy-mm-dd"")&amp;""' label sum(Col16) ''"",0)))"),"")</f>
        <v/>
      </c>
      <c r="K87" s="628" t="str">
        <f>IFERROR(__xludf.DUMMYFUNCTION("IF($G87="""","""",IFERROR(query({proventos!$B$5:$Q310},""Select sum(Col16) where Col1 = '""&amp;$G87&amp;""' and Col2 &gt; date '""&amp;TEXT(L$8,""yyyy-mm-dd"")&amp;""' and Col2 &lt;= date '""&amp;TEXT(K$8,""yyyy-mm-dd"")&amp;""' label sum(Col16) ''"",0)))"),"")</f>
        <v/>
      </c>
      <c r="L87" s="628" t="str">
        <f>IFERROR(__xludf.DUMMYFUNCTION("IF($G87="""","""",IFERROR(query({proventos!$B$5:$Q310},""Select sum(Col16) where Col1 = '""&amp;$G87&amp;""' and Col2 &gt; date '""&amp;TEXT(M$8,""yyyy-mm-dd"")&amp;""' and Col2 &lt;= date '""&amp;TEXT(L$8,""yyyy-mm-dd"")&amp;""' label sum(Col16) ''"",0)))"),"")</f>
        <v/>
      </c>
      <c r="M87" s="628" t="str">
        <f>IFERROR(__xludf.DUMMYFUNCTION("IF($G87="""","""",IFERROR(query({proventos!$B$5:$Q310},""Select sum(Col16) where Col1 = '""&amp;$G87&amp;""' and Col2 &gt; date '""&amp;TEXT(N$8,""yyyy-mm-dd"")&amp;""' and Col2 &lt;= date '""&amp;TEXT(M$8,""yyyy-mm-dd"")&amp;""' label sum(Col16) ''"",0)))"),"")</f>
        <v/>
      </c>
      <c r="N87" s="628" t="str">
        <f>IFERROR(__xludf.DUMMYFUNCTION("IF($G87="""","""",IFERROR(query({proventos!$B$5:$Q310},""Select sum(Col16) where Col1 = '""&amp;$G87&amp;""' and Col2 &gt; date '""&amp;TEXT(O$8,""yyyy-mm-dd"")&amp;""' and Col2 &lt;= date '""&amp;TEXT(N$8,""yyyy-mm-dd"")&amp;""' label sum(Col16) ''"",0)))"),"")</f>
        <v/>
      </c>
      <c r="O87" s="628" t="str">
        <f>IFERROR(__xludf.DUMMYFUNCTION("IF($G87="""","""",IFERROR(query({proventos!$B$5:$Q310},""Select sum(Col16) where Col1 = '""&amp;$G87&amp;""' and Col2 &gt; date '""&amp;TEXT(P$8,""yyyy-mm-dd"")&amp;""' and Col2 &lt;= date '""&amp;TEXT(O$8,""yyyy-mm-dd"")&amp;""' label sum(Col16) ''"",0)))"),"")</f>
        <v/>
      </c>
      <c r="P87" s="628" t="str">
        <f>IFERROR(__xludf.DUMMYFUNCTION("IF($G87="""","""",IFERROR(query({proventos!$B$5:$Q310},""Select sum(Col16) where Col1 = '""&amp;$G87&amp;""' and Col2 &gt; date '""&amp;TEXT(Q$8,""yyyy-mm-dd"")&amp;""' and Col2 &lt;= date '""&amp;TEXT(P$8,""yyyy-mm-dd"")&amp;""' label sum(Col16) ''"",0)))"),"")</f>
        <v/>
      </c>
      <c r="Q87" s="628" t="str">
        <f>IFERROR(__xludf.DUMMYFUNCTION("IF($G87="""","""",IFERROR(query({proventos!$B$5:$Q310},""Select sum(Col16) where Col1 = '""&amp;$G87&amp;""' and Col2 &gt; date '""&amp;TEXT(R$8,""yyyy-mm-dd"")&amp;""' and Col2 &lt;= date '""&amp;TEXT(Q$8,""yyyy-mm-dd"")&amp;""' label sum(Col16) ''"",0)))"),"")</f>
        <v/>
      </c>
      <c r="R87" s="628" t="str">
        <f>IFERROR(__xludf.DUMMYFUNCTION("IF($G87="""","""",IFERROR(query({proventos!$B$5:$Q310},""Select sum(Col16) where Col1 = '""&amp;$G87&amp;""' and Col2 &gt; date '""&amp;TEXT(S$8,""yyyy-mm-dd"")&amp;""' and Col2 &lt;= date '""&amp;TEXT(R$8,""yyyy-mm-dd"")&amp;""' label sum(Col16) ''"",0)))"),"")</f>
        <v/>
      </c>
      <c r="S87" s="628" t="str">
        <f>IFERROR(__xludf.DUMMYFUNCTION("IF($G87="""","""",IFERROR(query({proventos!$B$5:$Q310},""Select sum(Col16) where Col1 = '""&amp;$G87&amp;""' and Col2 &gt; date '""&amp;TEXT(T$8,""yyyy-mm-dd"")&amp;""' and Col2 &lt;= date '""&amp;TEXT(S$8,""yyyy-mm-dd"")&amp;""' label sum(Col16) ''"",0)))"),"")</f>
        <v/>
      </c>
      <c r="T87" s="628" t="str">
        <f>IFERROR(__xludf.DUMMYFUNCTION("IF($G87="""","""",IFERROR(query({proventos!$B$5:$Q310},""Select sum(Col16) where Col1 = '""&amp;$G87&amp;""' and Col2 &gt; date '""&amp;TEXT(U$8,""yyyy-mm-dd"")&amp;""' and Col2 &lt;= date '""&amp;TEXT(T$8,""yyyy-mm-dd"")&amp;""' label sum(Col16) ''"",0)))"),"")</f>
        <v/>
      </c>
      <c r="U87" s="629" t="str">
        <f>IFERROR(__xludf.DUMMYFUNCTION("IF($G87="""","""",IFERROR(query({proventos!$B$5:$Q310},""Select sum(Col16) where Col1 = '""&amp;$G87&amp;""' and Col2 &gt; date '""&amp;TEXT(EOMONTH(TODAY(),-13),""yyyy-mm-dd"")&amp;""' and Col2 &lt;= date '""&amp;TEXT(U$8,""yyyy-mm-dd"")&amp;""' label sum(Col16) ''"",0)))"),"")</f>
        <v/>
      </c>
      <c r="V87" s="630" t="str">
        <f>IFERROR(__xludf.DUMMYFUNCTION("IF($G87="""","""",IFERROR(query({proventos!$B$5:$Q310},""Select sum(Col16) where Col1 = '""&amp;$G87&amp;""' and Col2 &gt; date '""&amp;TEXT(DATE(V$8,1,1),""yyyy-mm-dd"")&amp;""' and Col2 &lt;= date '""&amp;TEXT(DATE(V$8,12,31),""yyyy-mm-dd"")&amp;""' label sum(Col16) ''"",0)))"),"")</f>
        <v/>
      </c>
      <c r="W87" s="630" t="str">
        <f>IFERROR(__xludf.DUMMYFUNCTION("IF($G87="""","""",IFERROR(query({proventos!$B$5:$Q310},""Select sum(Col16) where Col1 = '""&amp;$G87&amp;""' and Col2 &gt; date '""&amp;TEXT(DATE(W$8,1,1),""yyyy-mm-dd"")&amp;""' and Col2 &lt;= date '""&amp;TEXT(DATE(W$8,12,31),""yyyy-mm-dd"")&amp;""' label sum(Col16) ''"",0)))"),"")</f>
        <v/>
      </c>
      <c r="X87" s="630" t="str">
        <f>IFERROR(__xludf.DUMMYFUNCTION("IF($G87="""","""",IFERROR(query({proventos!$B$5:$Q310},""Select sum(Col16) where Col1 = '""&amp;$G87&amp;""' and Col2 &gt; date '""&amp;TEXT(DATE(X$8,1,1),""yyyy-mm-dd"")&amp;""' and Col2 &lt;= date '""&amp;TEXT(DATE(X$8,12,31),""yyyy-mm-dd"")&amp;""' label sum(Col16) ''"",0)))"),"")</f>
        <v/>
      </c>
      <c r="Y87" s="630" t="str">
        <f>IFERROR(__xludf.DUMMYFUNCTION("IF($G87="""","""",IFERROR(query({proventos!$B$5:$Q310},""Select sum(Col16) where Col1 = '""&amp;$G87&amp;""' and Col2 &gt; date '""&amp;TEXT(DATE(Y$8,1,1),""yyyy-mm-dd"")&amp;""' and Col2 &lt;= date '""&amp;TEXT(DATE(Y$8,12,31),""yyyy-mm-dd"")&amp;""' label sum(Col16) ''"",0)))"),"")</f>
        <v/>
      </c>
      <c r="Z87" s="630" t="str">
        <f>IFERROR(__xludf.DUMMYFUNCTION("IF($G87="""","""",IFERROR(query({proventos!$B$5:$Q310},""Select sum(Col16) where Col1 = '""&amp;$G87&amp;""' and Col2 &gt; date '""&amp;TEXT(DATE(Z$8,1,1),""yyyy-mm-dd"")&amp;""' and Col2 &lt;= date '""&amp;TEXT(DATE(Z$8,12,31),""yyyy-mm-dd"")&amp;""' label sum(Col16) ''"",0)))"),"")</f>
        <v/>
      </c>
      <c r="AA87" s="587"/>
      <c r="AB87" s="578" t="s">
        <v>123</v>
      </c>
      <c r="AC87" s="601"/>
      <c r="AD87" s="636"/>
      <c r="AE87" s="636"/>
    </row>
    <row r="88">
      <c r="A88" s="619">
        <v>78.0</v>
      </c>
      <c r="B88" s="620"/>
      <c r="C88" s="632"/>
      <c r="D88" s="633"/>
      <c r="E88" s="634"/>
      <c r="F88" s="624">
        <v>78.0</v>
      </c>
      <c r="G88" s="635"/>
      <c r="H88" s="626" t="str">
        <f>if(G88="","",IFERROR(VLOOKUP(G88,AtivosDados,MATCH("provento_avg",portfolio.!$A$3:AE$3,0),FALSE),""))</f>
        <v/>
      </c>
      <c r="I88" s="627" t="s">
        <v>123</v>
      </c>
      <c r="J88" s="628" t="str">
        <f>IFERROR(__xludf.DUMMYFUNCTION("IF($G88="""","""",IFERROR(query({proventos!$B$5:$Q310},""Select sum(Col16) where Col1 = '""&amp;$G88&amp;""' and Col2 &gt; date '""&amp;TEXT(K$8,""yyyy-mm-dd"")&amp;""' and Col2 &lt;= date '""&amp;TEXT(J$8,""yyyy-mm-dd"")&amp;""' label sum(Col16) ''"",0)))"),"")</f>
        <v/>
      </c>
      <c r="K88" s="628" t="str">
        <f>IFERROR(__xludf.DUMMYFUNCTION("IF($G88="""","""",IFERROR(query({proventos!$B$5:$Q310},""Select sum(Col16) where Col1 = '""&amp;$G88&amp;""' and Col2 &gt; date '""&amp;TEXT(L$8,""yyyy-mm-dd"")&amp;""' and Col2 &lt;= date '""&amp;TEXT(K$8,""yyyy-mm-dd"")&amp;""' label sum(Col16) ''"",0)))"),"")</f>
        <v/>
      </c>
      <c r="L88" s="628" t="str">
        <f>IFERROR(__xludf.DUMMYFUNCTION("IF($G88="""","""",IFERROR(query({proventos!$B$5:$Q310},""Select sum(Col16) where Col1 = '""&amp;$G88&amp;""' and Col2 &gt; date '""&amp;TEXT(M$8,""yyyy-mm-dd"")&amp;""' and Col2 &lt;= date '""&amp;TEXT(L$8,""yyyy-mm-dd"")&amp;""' label sum(Col16) ''"",0)))"),"")</f>
        <v/>
      </c>
      <c r="M88" s="628" t="str">
        <f>IFERROR(__xludf.DUMMYFUNCTION("IF($G88="""","""",IFERROR(query({proventos!$B$5:$Q310},""Select sum(Col16) where Col1 = '""&amp;$G88&amp;""' and Col2 &gt; date '""&amp;TEXT(N$8,""yyyy-mm-dd"")&amp;""' and Col2 &lt;= date '""&amp;TEXT(M$8,""yyyy-mm-dd"")&amp;""' label sum(Col16) ''"",0)))"),"")</f>
        <v/>
      </c>
      <c r="N88" s="628" t="str">
        <f>IFERROR(__xludf.DUMMYFUNCTION("IF($G88="""","""",IFERROR(query({proventos!$B$5:$Q310},""Select sum(Col16) where Col1 = '""&amp;$G88&amp;""' and Col2 &gt; date '""&amp;TEXT(O$8,""yyyy-mm-dd"")&amp;""' and Col2 &lt;= date '""&amp;TEXT(N$8,""yyyy-mm-dd"")&amp;""' label sum(Col16) ''"",0)))"),"")</f>
        <v/>
      </c>
      <c r="O88" s="628" t="str">
        <f>IFERROR(__xludf.DUMMYFUNCTION("IF($G88="""","""",IFERROR(query({proventos!$B$5:$Q310},""Select sum(Col16) where Col1 = '""&amp;$G88&amp;""' and Col2 &gt; date '""&amp;TEXT(P$8,""yyyy-mm-dd"")&amp;""' and Col2 &lt;= date '""&amp;TEXT(O$8,""yyyy-mm-dd"")&amp;""' label sum(Col16) ''"",0)))"),"")</f>
        <v/>
      </c>
      <c r="P88" s="628" t="str">
        <f>IFERROR(__xludf.DUMMYFUNCTION("IF($G88="""","""",IFERROR(query({proventos!$B$5:$Q310},""Select sum(Col16) where Col1 = '""&amp;$G88&amp;""' and Col2 &gt; date '""&amp;TEXT(Q$8,""yyyy-mm-dd"")&amp;""' and Col2 &lt;= date '""&amp;TEXT(P$8,""yyyy-mm-dd"")&amp;""' label sum(Col16) ''"",0)))"),"")</f>
        <v/>
      </c>
      <c r="Q88" s="628" t="str">
        <f>IFERROR(__xludf.DUMMYFUNCTION("IF($G88="""","""",IFERROR(query({proventos!$B$5:$Q310},""Select sum(Col16) where Col1 = '""&amp;$G88&amp;""' and Col2 &gt; date '""&amp;TEXT(R$8,""yyyy-mm-dd"")&amp;""' and Col2 &lt;= date '""&amp;TEXT(Q$8,""yyyy-mm-dd"")&amp;""' label sum(Col16) ''"",0)))"),"")</f>
        <v/>
      </c>
      <c r="R88" s="628" t="str">
        <f>IFERROR(__xludf.DUMMYFUNCTION("IF($G88="""","""",IFERROR(query({proventos!$B$5:$Q310},""Select sum(Col16) where Col1 = '""&amp;$G88&amp;""' and Col2 &gt; date '""&amp;TEXT(S$8,""yyyy-mm-dd"")&amp;""' and Col2 &lt;= date '""&amp;TEXT(R$8,""yyyy-mm-dd"")&amp;""' label sum(Col16) ''"",0)))"),"")</f>
        <v/>
      </c>
      <c r="S88" s="628" t="str">
        <f>IFERROR(__xludf.DUMMYFUNCTION("IF($G88="""","""",IFERROR(query({proventos!$B$5:$Q310},""Select sum(Col16) where Col1 = '""&amp;$G88&amp;""' and Col2 &gt; date '""&amp;TEXT(T$8,""yyyy-mm-dd"")&amp;""' and Col2 &lt;= date '""&amp;TEXT(S$8,""yyyy-mm-dd"")&amp;""' label sum(Col16) ''"",0)))"),"")</f>
        <v/>
      </c>
      <c r="T88" s="628" t="str">
        <f>IFERROR(__xludf.DUMMYFUNCTION("IF($G88="""","""",IFERROR(query({proventos!$B$5:$Q310},""Select sum(Col16) where Col1 = '""&amp;$G88&amp;""' and Col2 &gt; date '""&amp;TEXT(U$8,""yyyy-mm-dd"")&amp;""' and Col2 &lt;= date '""&amp;TEXT(T$8,""yyyy-mm-dd"")&amp;""' label sum(Col16) ''"",0)))"),"")</f>
        <v/>
      </c>
      <c r="U88" s="629" t="str">
        <f>IFERROR(__xludf.DUMMYFUNCTION("IF($G88="""","""",IFERROR(query({proventos!$B$5:$Q310},""Select sum(Col16) where Col1 = '""&amp;$G88&amp;""' and Col2 &gt; date '""&amp;TEXT(EOMONTH(TODAY(),-13),""yyyy-mm-dd"")&amp;""' and Col2 &lt;= date '""&amp;TEXT(U$8,""yyyy-mm-dd"")&amp;""' label sum(Col16) ''"",0)))"),"")</f>
        <v/>
      </c>
      <c r="V88" s="630" t="str">
        <f>IFERROR(__xludf.DUMMYFUNCTION("IF($G88="""","""",IFERROR(query({proventos!$B$5:$Q310},""Select sum(Col16) where Col1 = '""&amp;$G88&amp;""' and Col2 &gt; date '""&amp;TEXT(DATE(V$8,1,1),""yyyy-mm-dd"")&amp;""' and Col2 &lt;= date '""&amp;TEXT(DATE(V$8,12,31),""yyyy-mm-dd"")&amp;""' label sum(Col16) ''"",0)))"),"")</f>
        <v/>
      </c>
      <c r="W88" s="630" t="str">
        <f>IFERROR(__xludf.DUMMYFUNCTION("IF($G88="""","""",IFERROR(query({proventos!$B$5:$Q310},""Select sum(Col16) where Col1 = '""&amp;$G88&amp;""' and Col2 &gt; date '""&amp;TEXT(DATE(W$8,1,1),""yyyy-mm-dd"")&amp;""' and Col2 &lt;= date '""&amp;TEXT(DATE(W$8,12,31),""yyyy-mm-dd"")&amp;""' label sum(Col16) ''"",0)))"),"")</f>
        <v/>
      </c>
      <c r="X88" s="630" t="str">
        <f>IFERROR(__xludf.DUMMYFUNCTION("IF($G88="""","""",IFERROR(query({proventos!$B$5:$Q310},""Select sum(Col16) where Col1 = '""&amp;$G88&amp;""' and Col2 &gt; date '""&amp;TEXT(DATE(X$8,1,1),""yyyy-mm-dd"")&amp;""' and Col2 &lt;= date '""&amp;TEXT(DATE(X$8,12,31),""yyyy-mm-dd"")&amp;""' label sum(Col16) ''"",0)))"),"")</f>
        <v/>
      </c>
      <c r="Y88" s="630" t="str">
        <f>IFERROR(__xludf.DUMMYFUNCTION("IF($G88="""","""",IFERROR(query({proventos!$B$5:$Q310},""Select sum(Col16) where Col1 = '""&amp;$G88&amp;""' and Col2 &gt; date '""&amp;TEXT(DATE(Y$8,1,1),""yyyy-mm-dd"")&amp;""' and Col2 &lt;= date '""&amp;TEXT(DATE(Y$8,12,31),""yyyy-mm-dd"")&amp;""' label sum(Col16) ''"",0)))"),"")</f>
        <v/>
      </c>
      <c r="Z88" s="630" t="str">
        <f>IFERROR(__xludf.DUMMYFUNCTION("IF($G88="""","""",IFERROR(query({proventos!$B$5:$Q310},""Select sum(Col16) where Col1 = '""&amp;$G88&amp;""' and Col2 &gt; date '""&amp;TEXT(DATE(Z$8,1,1),""yyyy-mm-dd"")&amp;""' and Col2 &lt;= date '""&amp;TEXT(DATE(Z$8,12,31),""yyyy-mm-dd"")&amp;""' label sum(Col16) ''"",0)))"),"")</f>
        <v/>
      </c>
      <c r="AA88" s="587"/>
      <c r="AB88" s="578" t="s">
        <v>123</v>
      </c>
      <c r="AC88" s="601"/>
      <c r="AD88" s="636"/>
      <c r="AE88" s="636"/>
    </row>
    <row r="89">
      <c r="A89" s="619">
        <v>79.0</v>
      </c>
      <c r="B89" s="620"/>
      <c r="C89" s="632"/>
      <c r="D89" s="633"/>
      <c r="E89" s="634"/>
      <c r="F89" s="624">
        <v>79.0</v>
      </c>
      <c r="G89" s="635"/>
      <c r="H89" s="626" t="str">
        <f>if(G89="","",IFERROR(VLOOKUP(G89,AtivosDados,MATCH("provento_avg",portfolio.!$A$3:AE$3,0),FALSE),""))</f>
        <v/>
      </c>
      <c r="I89" s="627" t="s">
        <v>123</v>
      </c>
      <c r="J89" s="628" t="str">
        <f>IFERROR(__xludf.DUMMYFUNCTION("IF($G89="""","""",IFERROR(query({proventos!$B$5:$Q310},""Select sum(Col16) where Col1 = '""&amp;$G89&amp;""' and Col2 &gt; date '""&amp;TEXT(K$8,""yyyy-mm-dd"")&amp;""' and Col2 &lt;= date '""&amp;TEXT(J$8,""yyyy-mm-dd"")&amp;""' label sum(Col16) ''"",0)))"),"")</f>
        <v/>
      </c>
      <c r="K89" s="628" t="str">
        <f>IFERROR(__xludf.DUMMYFUNCTION("IF($G89="""","""",IFERROR(query({proventos!$B$5:$Q310},""Select sum(Col16) where Col1 = '""&amp;$G89&amp;""' and Col2 &gt; date '""&amp;TEXT(L$8,""yyyy-mm-dd"")&amp;""' and Col2 &lt;= date '""&amp;TEXT(K$8,""yyyy-mm-dd"")&amp;""' label sum(Col16) ''"",0)))"),"")</f>
        <v/>
      </c>
      <c r="L89" s="628" t="str">
        <f>IFERROR(__xludf.DUMMYFUNCTION("IF($G89="""","""",IFERROR(query({proventos!$B$5:$Q310},""Select sum(Col16) where Col1 = '""&amp;$G89&amp;""' and Col2 &gt; date '""&amp;TEXT(M$8,""yyyy-mm-dd"")&amp;""' and Col2 &lt;= date '""&amp;TEXT(L$8,""yyyy-mm-dd"")&amp;""' label sum(Col16) ''"",0)))"),"")</f>
        <v/>
      </c>
      <c r="M89" s="628" t="str">
        <f>IFERROR(__xludf.DUMMYFUNCTION("IF($G89="""","""",IFERROR(query({proventos!$B$5:$Q310},""Select sum(Col16) where Col1 = '""&amp;$G89&amp;""' and Col2 &gt; date '""&amp;TEXT(N$8,""yyyy-mm-dd"")&amp;""' and Col2 &lt;= date '""&amp;TEXT(M$8,""yyyy-mm-dd"")&amp;""' label sum(Col16) ''"",0)))"),"")</f>
        <v/>
      </c>
      <c r="N89" s="628" t="str">
        <f>IFERROR(__xludf.DUMMYFUNCTION("IF($G89="""","""",IFERROR(query({proventos!$B$5:$Q310},""Select sum(Col16) where Col1 = '""&amp;$G89&amp;""' and Col2 &gt; date '""&amp;TEXT(O$8,""yyyy-mm-dd"")&amp;""' and Col2 &lt;= date '""&amp;TEXT(N$8,""yyyy-mm-dd"")&amp;""' label sum(Col16) ''"",0)))"),"")</f>
        <v/>
      </c>
      <c r="O89" s="628" t="str">
        <f>IFERROR(__xludf.DUMMYFUNCTION("IF($G89="""","""",IFERROR(query({proventos!$B$5:$Q310},""Select sum(Col16) where Col1 = '""&amp;$G89&amp;""' and Col2 &gt; date '""&amp;TEXT(P$8,""yyyy-mm-dd"")&amp;""' and Col2 &lt;= date '""&amp;TEXT(O$8,""yyyy-mm-dd"")&amp;""' label sum(Col16) ''"",0)))"),"")</f>
        <v/>
      </c>
      <c r="P89" s="628" t="str">
        <f>IFERROR(__xludf.DUMMYFUNCTION("IF($G89="""","""",IFERROR(query({proventos!$B$5:$Q310},""Select sum(Col16) where Col1 = '""&amp;$G89&amp;""' and Col2 &gt; date '""&amp;TEXT(Q$8,""yyyy-mm-dd"")&amp;""' and Col2 &lt;= date '""&amp;TEXT(P$8,""yyyy-mm-dd"")&amp;""' label sum(Col16) ''"",0)))"),"")</f>
        <v/>
      </c>
      <c r="Q89" s="628" t="str">
        <f>IFERROR(__xludf.DUMMYFUNCTION("IF($G89="""","""",IFERROR(query({proventos!$B$5:$Q310},""Select sum(Col16) where Col1 = '""&amp;$G89&amp;""' and Col2 &gt; date '""&amp;TEXT(R$8,""yyyy-mm-dd"")&amp;""' and Col2 &lt;= date '""&amp;TEXT(Q$8,""yyyy-mm-dd"")&amp;""' label sum(Col16) ''"",0)))"),"")</f>
        <v/>
      </c>
      <c r="R89" s="628" t="str">
        <f>IFERROR(__xludf.DUMMYFUNCTION("IF($G89="""","""",IFERROR(query({proventos!$B$5:$Q310},""Select sum(Col16) where Col1 = '""&amp;$G89&amp;""' and Col2 &gt; date '""&amp;TEXT(S$8,""yyyy-mm-dd"")&amp;""' and Col2 &lt;= date '""&amp;TEXT(R$8,""yyyy-mm-dd"")&amp;""' label sum(Col16) ''"",0)))"),"")</f>
        <v/>
      </c>
      <c r="S89" s="628" t="str">
        <f>IFERROR(__xludf.DUMMYFUNCTION("IF($G89="""","""",IFERROR(query({proventos!$B$5:$Q310},""Select sum(Col16) where Col1 = '""&amp;$G89&amp;""' and Col2 &gt; date '""&amp;TEXT(T$8,""yyyy-mm-dd"")&amp;""' and Col2 &lt;= date '""&amp;TEXT(S$8,""yyyy-mm-dd"")&amp;""' label sum(Col16) ''"",0)))"),"")</f>
        <v/>
      </c>
      <c r="T89" s="628" t="str">
        <f>IFERROR(__xludf.DUMMYFUNCTION("IF($G89="""","""",IFERROR(query({proventos!$B$5:$Q310},""Select sum(Col16) where Col1 = '""&amp;$G89&amp;""' and Col2 &gt; date '""&amp;TEXT(U$8,""yyyy-mm-dd"")&amp;""' and Col2 &lt;= date '""&amp;TEXT(T$8,""yyyy-mm-dd"")&amp;""' label sum(Col16) ''"",0)))"),"")</f>
        <v/>
      </c>
      <c r="U89" s="629" t="str">
        <f>IFERROR(__xludf.DUMMYFUNCTION("IF($G89="""","""",IFERROR(query({proventos!$B$5:$Q310},""Select sum(Col16) where Col1 = '""&amp;$G89&amp;""' and Col2 &gt; date '""&amp;TEXT(EOMONTH(TODAY(),-13),""yyyy-mm-dd"")&amp;""' and Col2 &lt;= date '""&amp;TEXT(U$8,""yyyy-mm-dd"")&amp;""' label sum(Col16) ''"",0)))"),"")</f>
        <v/>
      </c>
      <c r="V89" s="630" t="str">
        <f>IFERROR(__xludf.DUMMYFUNCTION("IF($G89="""","""",IFERROR(query({proventos!$B$5:$Q310},""Select sum(Col16) where Col1 = '""&amp;$G89&amp;""' and Col2 &gt; date '""&amp;TEXT(DATE(V$8,1,1),""yyyy-mm-dd"")&amp;""' and Col2 &lt;= date '""&amp;TEXT(DATE(V$8,12,31),""yyyy-mm-dd"")&amp;""' label sum(Col16) ''"",0)))"),"")</f>
        <v/>
      </c>
      <c r="W89" s="630" t="str">
        <f>IFERROR(__xludf.DUMMYFUNCTION("IF($G89="""","""",IFERROR(query({proventos!$B$5:$Q310},""Select sum(Col16) where Col1 = '""&amp;$G89&amp;""' and Col2 &gt; date '""&amp;TEXT(DATE(W$8,1,1),""yyyy-mm-dd"")&amp;""' and Col2 &lt;= date '""&amp;TEXT(DATE(W$8,12,31),""yyyy-mm-dd"")&amp;""' label sum(Col16) ''"",0)))"),"")</f>
        <v/>
      </c>
      <c r="X89" s="630" t="str">
        <f>IFERROR(__xludf.DUMMYFUNCTION("IF($G89="""","""",IFERROR(query({proventos!$B$5:$Q310},""Select sum(Col16) where Col1 = '""&amp;$G89&amp;""' and Col2 &gt; date '""&amp;TEXT(DATE(X$8,1,1),""yyyy-mm-dd"")&amp;""' and Col2 &lt;= date '""&amp;TEXT(DATE(X$8,12,31),""yyyy-mm-dd"")&amp;""' label sum(Col16) ''"",0)))"),"")</f>
        <v/>
      </c>
      <c r="Y89" s="630" t="str">
        <f>IFERROR(__xludf.DUMMYFUNCTION("IF($G89="""","""",IFERROR(query({proventos!$B$5:$Q310},""Select sum(Col16) where Col1 = '""&amp;$G89&amp;""' and Col2 &gt; date '""&amp;TEXT(DATE(Y$8,1,1),""yyyy-mm-dd"")&amp;""' and Col2 &lt;= date '""&amp;TEXT(DATE(Y$8,12,31),""yyyy-mm-dd"")&amp;""' label sum(Col16) ''"",0)))"),"")</f>
        <v/>
      </c>
      <c r="Z89" s="630" t="str">
        <f>IFERROR(__xludf.DUMMYFUNCTION("IF($G89="""","""",IFERROR(query({proventos!$B$5:$Q310},""Select sum(Col16) where Col1 = '""&amp;$G89&amp;""' and Col2 &gt; date '""&amp;TEXT(DATE(Z$8,1,1),""yyyy-mm-dd"")&amp;""' and Col2 &lt;= date '""&amp;TEXT(DATE(Z$8,12,31),""yyyy-mm-dd"")&amp;""' label sum(Col16) ''"",0)))"),"")</f>
        <v/>
      </c>
      <c r="AA89" s="587"/>
      <c r="AB89" s="578" t="s">
        <v>123</v>
      </c>
      <c r="AC89" s="601"/>
      <c r="AD89" s="636"/>
      <c r="AE89" s="636"/>
    </row>
    <row r="90">
      <c r="A90" s="619">
        <v>80.0</v>
      </c>
      <c r="B90" s="620"/>
      <c r="C90" s="632"/>
      <c r="D90" s="633"/>
      <c r="E90" s="634"/>
      <c r="F90" s="624">
        <v>80.0</v>
      </c>
      <c r="G90" s="635"/>
      <c r="H90" s="626" t="str">
        <f>if(G90="","",IFERROR(VLOOKUP(G90,AtivosDados,MATCH("provento_avg",portfolio.!$A$3:AE$3,0),FALSE),""))</f>
        <v/>
      </c>
      <c r="I90" s="627" t="s">
        <v>123</v>
      </c>
      <c r="J90" s="628" t="str">
        <f>IFERROR(__xludf.DUMMYFUNCTION("IF($G90="""","""",IFERROR(query({proventos!$B$5:$Q310},""Select sum(Col16) where Col1 = '""&amp;$G90&amp;""' and Col2 &gt; date '""&amp;TEXT(K$8,""yyyy-mm-dd"")&amp;""' and Col2 &lt;= date '""&amp;TEXT(J$8,""yyyy-mm-dd"")&amp;""' label sum(Col16) ''"",0)))"),"")</f>
        <v/>
      </c>
      <c r="K90" s="628" t="str">
        <f>IFERROR(__xludf.DUMMYFUNCTION("IF($G90="""","""",IFERROR(query({proventos!$B$5:$Q310},""Select sum(Col16) where Col1 = '""&amp;$G90&amp;""' and Col2 &gt; date '""&amp;TEXT(L$8,""yyyy-mm-dd"")&amp;""' and Col2 &lt;= date '""&amp;TEXT(K$8,""yyyy-mm-dd"")&amp;""' label sum(Col16) ''"",0)))"),"")</f>
        <v/>
      </c>
      <c r="L90" s="628" t="str">
        <f>IFERROR(__xludf.DUMMYFUNCTION("IF($G90="""","""",IFERROR(query({proventos!$B$5:$Q310},""Select sum(Col16) where Col1 = '""&amp;$G90&amp;""' and Col2 &gt; date '""&amp;TEXT(M$8,""yyyy-mm-dd"")&amp;""' and Col2 &lt;= date '""&amp;TEXT(L$8,""yyyy-mm-dd"")&amp;""' label sum(Col16) ''"",0)))"),"")</f>
        <v/>
      </c>
      <c r="M90" s="628" t="str">
        <f>IFERROR(__xludf.DUMMYFUNCTION("IF($G90="""","""",IFERROR(query({proventos!$B$5:$Q310},""Select sum(Col16) where Col1 = '""&amp;$G90&amp;""' and Col2 &gt; date '""&amp;TEXT(N$8,""yyyy-mm-dd"")&amp;""' and Col2 &lt;= date '""&amp;TEXT(M$8,""yyyy-mm-dd"")&amp;""' label sum(Col16) ''"",0)))"),"")</f>
        <v/>
      </c>
      <c r="N90" s="628" t="str">
        <f>IFERROR(__xludf.DUMMYFUNCTION("IF($G90="""","""",IFERROR(query({proventos!$B$5:$Q310},""Select sum(Col16) where Col1 = '""&amp;$G90&amp;""' and Col2 &gt; date '""&amp;TEXT(O$8,""yyyy-mm-dd"")&amp;""' and Col2 &lt;= date '""&amp;TEXT(N$8,""yyyy-mm-dd"")&amp;""' label sum(Col16) ''"",0)))"),"")</f>
        <v/>
      </c>
      <c r="O90" s="628" t="str">
        <f>IFERROR(__xludf.DUMMYFUNCTION("IF($G90="""","""",IFERROR(query({proventos!$B$5:$Q310},""Select sum(Col16) where Col1 = '""&amp;$G90&amp;""' and Col2 &gt; date '""&amp;TEXT(P$8,""yyyy-mm-dd"")&amp;""' and Col2 &lt;= date '""&amp;TEXT(O$8,""yyyy-mm-dd"")&amp;""' label sum(Col16) ''"",0)))"),"")</f>
        <v/>
      </c>
      <c r="P90" s="628" t="str">
        <f>IFERROR(__xludf.DUMMYFUNCTION("IF($G90="""","""",IFERROR(query({proventos!$B$5:$Q310},""Select sum(Col16) where Col1 = '""&amp;$G90&amp;""' and Col2 &gt; date '""&amp;TEXT(Q$8,""yyyy-mm-dd"")&amp;""' and Col2 &lt;= date '""&amp;TEXT(P$8,""yyyy-mm-dd"")&amp;""' label sum(Col16) ''"",0)))"),"")</f>
        <v/>
      </c>
      <c r="Q90" s="628" t="str">
        <f>IFERROR(__xludf.DUMMYFUNCTION("IF($G90="""","""",IFERROR(query({proventos!$B$5:$Q310},""Select sum(Col16) where Col1 = '""&amp;$G90&amp;""' and Col2 &gt; date '""&amp;TEXT(R$8,""yyyy-mm-dd"")&amp;""' and Col2 &lt;= date '""&amp;TEXT(Q$8,""yyyy-mm-dd"")&amp;""' label sum(Col16) ''"",0)))"),"")</f>
        <v/>
      </c>
      <c r="R90" s="628" t="str">
        <f>IFERROR(__xludf.DUMMYFUNCTION("IF($G90="""","""",IFERROR(query({proventos!$B$5:$Q310},""Select sum(Col16) where Col1 = '""&amp;$G90&amp;""' and Col2 &gt; date '""&amp;TEXT(S$8,""yyyy-mm-dd"")&amp;""' and Col2 &lt;= date '""&amp;TEXT(R$8,""yyyy-mm-dd"")&amp;""' label sum(Col16) ''"",0)))"),"")</f>
        <v/>
      </c>
      <c r="S90" s="628" t="str">
        <f>IFERROR(__xludf.DUMMYFUNCTION("IF($G90="""","""",IFERROR(query({proventos!$B$5:$Q310},""Select sum(Col16) where Col1 = '""&amp;$G90&amp;""' and Col2 &gt; date '""&amp;TEXT(T$8,""yyyy-mm-dd"")&amp;""' and Col2 &lt;= date '""&amp;TEXT(S$8,""yyyy-mm-dd"")&amp;""' label sum(Col16) ''"",0)))"),"")</f>
        <v/>
      </c>
      <c r="T90" s="628" t="str">
        <f>IFERROR(__xludf.DUMMYFUNCTION("IF($G90="""","""",IFERROR(query({proventos!$B$5:$Q310},""Select sum(Col16) where Col1 = '""&amp;$G90&amp;""' and Col2 &gt; date '""&amp;TEXT(U$8,""yyyy-mm-dd"")&amp;""' and Col2 &lt;= date '""&amp;TEXT(T$8,""yyyy-mm-dd"")&amp;""' label sum(Col16) ''"",0)))"),"")</f>
        <v/>
      </c>
      <c r="U90" s="629" t="str">
        <f>IFERROR(__xludf.DUMMYFUNCTION("IF($G90="""","""",IFERROR(query({proventos!$B$5:$Q310},""Select sum(Col16) where Col1 = '""&amp;$G90&amp;""' and Col2 &gt; date '""&amp;TEXT(EOMONTH(TODAY(),-13),""yyyy-mm-dd"")&amp;""' and Col2 &lt;= date '""&amp;TEXT(U$8,""yyyy-mm-dd"")&amp;""' label sum(Col16) ''"",0)))"),"")</f>
        <v/>
      </c>
      <c r="V90" s="630" t="str">
        <f>IFERROR(__xludf.DUMMYFUNCTION("IF($G90="""","""",IFERROR(query({proventos!$B$5:$Q310},""Select sum(Col16) where Col1 = '""&amp;$G90&amp;""' and Col2 &gt; date '""&amp;TEXT(DATE(V$8,1,1),""yyyy-mm-dd"")&amp;""' and Col2 &lt;= date '""&amp;TEXT(DATE(V$8,12,31),""yyyy-mm-dd"")&amp;""' label sum(Col16) ''"",0)))"),"")</f>
        <v/>
      </c>
      <c r="W90" s="630" t="str">
        <f>IFERROR(__xludf.DUMMYFUNCTION("IF($G90="""","""",IFERROR(query({proventos!$B$5:$Q310},""Select sum(Col16) where Col1 = '""&amp;$G90&amp;""' and Col2 &gt; date '""&amp;TEXT(DATE(W$8,1,1),""yyyy-mm-dd"")&amp;""' and Col2 &lt;= date '""&amp;TEXT(DATE(W$8,12,31),""yyyy-mm-dd"")&amp;""' label sum(Col16) ''"",0)))"),"")</f>
        <v/>
      </c>
      <c r="X90" s="630" t="str">
        <f>IFERROR(__xludf.DUMMYFUNCTION("IF($G90="""","""",IFERROR(query({proventos!$B$5:$Q310},""Select sum(Col16) where Col1 = '""&amp;$G90&amp;""' and Col2 &gt; date '""&amp;TEXT(DATE(X$8,1,1),""yyyy-mm-dd"")&amp;""' and Col2 &lt;= date '""&amp;TEXT(DATE(X$8,12,31),""yyyy-mm-dd"")&amp;""' label sum(Col16) ''"",0)))"),"")</f>
        <v/>
      </c>
      <c r="Y90" s="630" t="str">
        <f>IFERROR(__xludf.DUMMYFUNCTION("IF($G90="""","""",IFERROR(query({proventos!$B$5:$Q310},""Select sum(Col16) where Col1 = '""&amp;$G90&amp;""' and Col2 &gt; date '""&amp;TEXT(DATE(Y$8,1,1),""yyyy-mm-dd"")&amp;""' and Col2 &lt;= date '""&amp;TEXT(DATE(Y$8,12,31),""yyyy-mm-dd"")&amp;""' label sum(Col16) ''"",0)))"),"")</f>
        <v/>
      </c>
      <c r="Z90" s="630" t="str">
        <f>IFERROR(__xludf.DUMMYFUNCTION("IF($G90="""","""",IFERROR(query({proventos!$B$5:$Q310},""Select sum(Col16) where Col1 = '""&amp;$G90&amp;""' and Col2 &gt; date '""&amp;TEXT(DATE(Z$8,1,1),""yyyy-mm-dd"")&amp;""' and Col2 &lt;= date '""&amp;TEXT(DATE(Z$8,12,31),""yyyy-mm-dd"")&amp;""' label sum(Col16) ''"",0)))"),"")</f>
        <v/>
      </c>
      <c r="AA90" s="587"/>
      <c r="AB90" s="578" t="s">
        <v>123</v>
      </c>
      <c r="AC90" s="601"/>
      <c r="AD90" s="636"/>
      <c r="AE90" s="636"/>
    </row>
    <row r="91">
      <c r="A91" s="619">
        <v>81.0</v>
      </c>
      <c r="B91" s="620"/>
      <c r="C91" s="632"/>
      <c r="D91" s="633"/>
      <c r="E91" s="634"/>
      <c r="F91" s="624">
        <v>81.0</v>
      </c>
      <c r="G91" s="635"/>
      <c r="H91" s="626" t="str">
        <f>if(G91="","",IFERROR(VLOOKUP(G91,AtivosDados,MATCH("provento_avg",portfolio.!$A$3:AE$3,0),FALSE),""))</f>
        <v/>
      </c>
      <c r="I91" s="627" t="s">
        <v>123</v>
      </c>
      <c r="J91" s="628" t="str">
        <f>IFERROR(__xludf.DUMMYFUNCTION("IF($G91="""","""",IFERROR(query({proventos!$B$5:$Q310},""Select sum(Col16) where Col1 = '""&amp;$G91&amp;""' and Col2 &gt; date '""&amp;TEXT(K$8,""yyyy-mm-dd"")&amp;""' and Col2 &lt;= date '""&amp;TEXT(J$8,""yyyy-mm-dd"")&amp;""' label sum(Col16) ''"",0)))"),"")</f>
        <v/>
      </c>
      <c r="K91" s="628" t="str">
        <f>IFERROR(__xludf.DUMMYFUNCTION("IF($G91="""","""",IFERROR(query({proventos!$B$5:$Q310},""Select sum(Col16) where Col1 = '""&amp;$G91&amp;""' and Col2 &gt; date '""&amp;TEXT(L$8,""yyyy-mm-dd"")&amp;""' and Col2 &lt;= date '""&amp;TEXT(K$8,""yyyy-mm-dd"")&amp;""' label sum(Col16) ''"",0)))"),"")</f>
        <v/>
      </c>
      <c r="L91" s="628" t="str">
        <f>IFERROR(__xludf.DUMMYFUNCTION("IF($G91="""","""",IFERROR(query({proventos!$B$5:$Q310},""Select sum(Col16) where Col1 = '""&amp;$G91&amp;""' and Col2 &gt; date '""&amp;TEXT(M$8,""yyyy-mm-dd"")&amp;""' and Col2 &lt;= date '""&amp;TEXT(L$8,""yyyy-mm-dd"")&amp;""' label sum(Col16) ''"",0)))"),"")</f>
        <v/>
      </c>
      <c r="M91" s="628" t="str">
        <f>IFERROR(__xludf.DUMMYFUNCTION("IF($G91="""","""",IFERROR(query({proventos!$B$5:$Q310},""Select sum(Col16) where Col1 = '""&amp;$G91&amp;""' and Col2 &gt; date '""&amp;TEXT(N$8,""yyyy-mm-dd"")&amp;""' and Col2 &lt;= date '""&amp;TEXT(M$8,""yyyy-mm-dd"")&amp;""' label sum(Col16) ''"",0)))"),"")</f>
        <v/>
      </c>
      <c r="N91" s="628" t="str">
        <f>IFERROR(__xludf.DUMMYFUNCTION("IF($G91="""","""",IFERROR(query({proventos!$B$5:$Q310},""Select sum(Col16) where Col1 = '""&amp;$G91&amp;""' and Col2 &gt; date '""&amp;TEXT(O$8,""yyyy-mm-dd"")&amp;""' and Col2 &lt;= date '""&amp;TEXT(N$8,""yyyy-mm-dd"")&amp;""' label sum(Col16) ''"",0)))"),"")</f>
        <v/>
      </c>
      <c r="O91" s="628" t="str">
        <f>IFERROR(__xludf.DUMMYFUNCTION("IF($G91="""","""",IFERROR(query({proventos!$B$5:$Q310},""Select sum(Col16) where Col1 = '""&amp;$G91&amp;""' and Col2 &gt; date '""&amp;TEXT(P$8,""yyyy-mm-dd"")&amp;""' and Col2 &lt;= date '""&amp;TEXT(O$8,""yyyy-mm-dd"")&amp;""' label sum(Col16) ''"",0)))"),"")</f>
        <v/>
      </c>
      <c r="P91" s="628" t="str">
        <f>IFERROR(__xludf.DUMMYFUNCTION("IF($G91="""","""",IFERROR(query({proventos!$B$5:$Q310},""Select sum(Col16) where Col1 = '""&amp;$G91&amp;""' and Col2 &gt; date '""&amp;TEXT(Q$8,""yyyy-mm-dd"")&amp;""' and Col2 &lt;= date '""&amp;TEXT(P$8,""yyyy-mm-dd"")&amp;""' label sum(Col16) ''"",0)))"),"")</f>
        <v/>
      </c>
      <c r="Q91" s="628" t="str">
        <f>IFERROR(__xludf.DUMMYFUNCTION("IF($G91="""","""",IFERROR(query({proventos!$B$5:$Q310},""Select sum(Col16) where Col1 = '""&amp;$G91&amp;""' and Col2 &gt; date '""&amp;TEXT(R$8,""yyyy-mm-dd"")&amp;""' and Col2 &lt;= date '""&amp;TEXT(Q$8,""yyyy-mm-dd"")&amp;""' label sum(Col16) ''"",0)))"),"")</f>
        <v/>
      </c>
      <c r="R91" s="628" t="str">
        <f>IFERROR(__xludf.DUMMYFUNCTION("IF($G91="""","""",IFERROR(query({proventos!$B$5:$Q310},""Select sum(Col16) where Col1 = '""&amp;$G91&amp;""' and Col2 &gt; date '""&amp;TEXT(S$8,""yyyy-mm-dd"")&amp;""' and Col2 &lt;= date '""&amp;TEXT(R$8,""yyyy-mm-dd"")&amp;""' label sum(Col16) ''"",0)))"),"")</f>
        <v/>
      </c>
      <c r="S91" s="628" t="str">
        <f>IFERROR(__xludf.DUMMYFUNCTION("IF($G91="""","""",IFERROR(query({proventos!$B$5:$Q310},""Select sum(Col16) where Col1 = '""&amp;$G91&amp;""' and Col2 &gt; date '""&amp;TEXT(T$8,""yyyy-mm-dd"")&amp;""' and Col2 &lt;= date '""&amp;TEXT(S$8,""yyyy-mm-dd"")&amp;""' label sum(Col16) ''"",0)))"),"")</f>
        <v/>
      </c>
      <c r="T91" s="628" t="str">
        <f>IFERROR(__xludf.DUMMYFUNCTION("IF($G91="""","""",IFERROR(query({proventos!$B$5:$Q310},""Select sum(Col16) where Col1 = '""&amp;$G91&amp;""' and Col2 &gt; date '""&amp;TEXT(U$8,""yyyy-mm-dd"")&amp;""' and Col2 &lt;= date '""&amp;TEXT(T$8,""yyyy-mm-dd"")&amp;""' label sum(Col16) ''"",0)))"),"")</f>
        <v/>
      </c>
      <c r="U91" s="629" t="str">
        <f>IFERROR(__xludf.DUMMYFUNCTION("IF($G91="""","""",IFERROR(query({proventos!$B$5:$Q310},""Select sum(Col16) where Col1 = '""&amp;$G91&amp;""' and Col2 &gt; date '""&amp;TEXT(EOMONTH(TODAY(),-13),""yyyy-mm-dd"")&amp;""' and Col2 &lt;= date '""&amp;TEXT(U$8,""yyyy-mm-dd"")&amp;""' label sum(Col16) ''"",0)))"),"")</f>
        <v/>
      </c>
      <c r="V91" s="630" t="str">
        <f>IFERROR(__xludf.DUMMYFUNCTION("IF($G91="""","""",IFERROR(query({proventos!$B$5:$Q310},""Select sum(Col16) where Col1 = '""&amp;$G91&amp;""' and Col2 &gt; date '""&amp;TEXT(DATE(V$8,1,1),""yyyy-mm-dd"")&amp;""' and Col2 &lt;= date '""&amp;TEXT(DATE(V$8,12,31),""yyyy-mm-dd"")&amp;""' label sum(Col16) ''"",0)))"),"")</f>
        <v/>
      </c>
      <c r="W91" s="630" t="str">
        <f>IFERROR(__xludf.DUMMYFUNCTION("IF($G91="""","""",IFERROR(query({proventos!$B$5:$Q310},""Select sum(Col16) where Col1 = '""&amp;$G91&amp;""' and Col2 &gt; date '""&amp;TEXT(DATE(W$8,1,1),""yyyy-mm-dd"")&amp;""' and Col2 &lt;= date '""&amp;TEXT(DATE(W$8,12,31),""yyyy-mm-dd"")&amp;""' label sum(Col16) ''"",0)))"),"")</f>
        <v/>
      </c>
      <c r="X91" s="630" t="str">
        <f>IFERROR(__xludf.DUMMYFUNCTION("IF($G91="""","""",IFERROR(query({proventos!$B$5:$Q310},""Select sum(Col16) where Col1 = '""&amp;$G91&amp;""' and Col2 &gt; date '""&amp;TEXT(DATE(X$8,1,1),""yyyy-mm-dd"")&amp;""' and Col2 &lt;= date '""&amp;TEXT(DATE(X$8,12,31),""yyyy-mm-dd"")&amp;""' label sum(Col16) ''"",0)))"),"")</f>
        <v/>
      </c>
      <c r="Y91" s="630" t="str">
        <f>IFERROR(__xludf.DUMMYFUNCTION("IF($G91="""","""",IFERROR(query({proventos!$B$5:$Q310},""Select sum(Col16) where Col1 = '""&amp;$G91&amp;""' and Col2 &gt; date '""&amp;TEXT(DATE(Y$8,1,1),""yyyy-mm-dd"")&amp;""' and Col2 &lt;= date '""&amp;TEXT(DATE(Y$8,12,31),""yyyy-mm-dd"")&amp;""' label sum(Col16) ''"",0)))"),"")</f>
        <v/>
      </c>
      <c r="Z91" s="630" t="str">
        <f>IFERROR(__xludf.DUMMYFUNCTION("IF($G91="""","""",IFERROR(query({proventos!$B$5:$Q310},""Select sum(Col16) where Col1 = '""&amp;$G91&amp;""' and Col2 &gt; date '""&amp;TEXT(DATE(Z$8,1,1),""yyyy-mm-dd"")&amp;""' and Col2 &lt;= date '""&amp;TEXT(DATE(Z$8,12,31),""yyyy-mm-dd"")&amp;""' label sum(Col16) ''"",0)))"),"")</f>
        <v/>
      </c>
      <c r="AA91" s="587"/>
      <c r="AB91" s="578" t="s">
        <v>123</v>
      </c>
      <c r="AC91" s="601"/>
      <c r="AD91" s="636"/>
      <c r="AE91" s="636"/>
    </row>
    <row r="92">
      <c r="A92" s="619">
        <v>82.0</v>
      </c>
      <c r="B92" s="620"/>
      <c r="C92" s="632"/>
      <c r="D92" s="633"/>
      <c r="E92" s="634"/>
      <c r="F92" s="624">
        <v>82.0</v>
      </c>
      <c r="G92" s="635"/>
      <c r="H92" s="626" t="str">
        <f>if(G92="","",IFERROR(VLOOKUP(G92,AtivosDados,MATCH("provento_avg",portfolio.!$A$3:AE$3,0),FALSE),""))</f>
        <v/>
      </c>
      <c r="I92" s="627" t="s">
        <v>123</v>
      </c>
      <c r="J92" s="628" t="str">
        <f>IFERROR(__xludf.DUMMYFUNCTION("IF($G92="""","""",IFERROR(query({proventos!$B$5:$Q310},""Select sum(Col16) where Col1 = '""&amp;$G92&amp;""' and Col2 &gt; date '""&amp;TEXT(K$8,""yyyy-mm-dd"")&amp;""' and Col2 &lt;= date '""&amp;TEXT(J$8,""yyyy-mm-dd"")&amp;""' label sum(Col16) ''"",0)))"),"")</f>
        <v/>
      </c>
      <c r="K92" s="628" t="str">
        <f>IFERROR(__xludf.DUMMYFUNCTION("IF($G92="""","""",IFERROR(query({proventos!$B$5:$Q310},""Select sum(Col16) where Col1 = '""&amp;$G92&amp;""' and Col2 &gt; date '""&amp;TEXT(L$8,""yyyy-mm-dd"")&amp;""' and Col2 &lt;= date '""&amp;TEXT(K$8,""yyyy-mm-dd"")&amp;""' label sum(Col16) ''"",0)))"),"")</f>
        <v/>
      </c>
      <c r="L92" s="628" t="str">
        <f>IFERROR(__xludf.DUMMYFUNCTION("IF($G92="""","""",IFERROR(query({proventos!$B$5:$Q310},""Select sum(Col16) where Col1 = '""&amp;$G92&amp;""' and Col2 &gt; date '""&amp;TEXT(M$8,""yyyy-mm-dd"")&amp;""' and Col2 &lt;= date '""&amp;TEXT(L$8,""yyyy-mm-dd"")&amp;""' label sum(Col16) ''"",0)))"),"")</f>
        <v/>
      </c>
      <c r="M92" s="628" t="str">
        <f>IFERROR(__xludf.DUMMYFUNCTION("IF($G92="""","""",IFERROR(query({proventos!$B$5:$Q310},""Select sum(Col16) where Col1 = '""&amp;$G92&amp;""' and Col2 &gt; date '""&amp;TEXT(N$8,""yyyy-mm-dd"")&amp;""' and Col2 &lt;= date '""&amp;TEXT(M$8,""yyyy-mm-dd"")&amp;""' label sum(Col16) ''"",0)))"),"")</f>
        <v/>
      </c>
      <c r="N92" s="628" t="str">
        <f>IFERROR(__xludf.DUMMYFUNCTION("IF($G92="""","""",IFERROR(query({proventos!$B$5:$Q310},""Select sum(Col16) where Col1 = '""&amp;$G92&amp;""' and Col2 &gt; date '""&amp;TEXT(O$8,""yyyy-mm-dd"")&amp;""' and Col2 &lt;= date '""&amp;TEXT(N$8,""yyyy-mm-dd"")&amp;""' label sum(Col16) ''"",0)))"),"")</f>
        <v/>
      </c>
      <c r="O92" s="628" t="str">
        <f>IFERROR(__xludf.DUMMYFUNCTION("IF($G92="""","""",IFERROR(query({proventos!$B$5:$Q310},""Select sum(Col16) where Col1 = '""&amp;$G92&amp;""' and Col2 &gt; date '""&amp;TEXT(P$8,""yyyy-mm-dd"")&amp;""' and Col2 &lt;= date '""&amp;TEXT(O$8,""yyyy-mm-dd"")&amp;""' label sum(Col16) ''"",0)))"),"")</f>
        <v/>
      </c>
      <c r="P92" s="628" t="str">
        <f>IFERROR(__xludf.DUMMYFUNCTION("IF($G92="""","""",IFERROR(query({proventos!$B$5:$Q310},""Select sum(Col16) where Col1 = '""&amp;$G92&amp;""' and Col2 &gt; date '""&amp;TEXT(Q$8,""yyyy-mm-dd"")&amp;""' and Col2 &lt;= date '""&amp;TEXT(P$8,""yyyy-mm-dd"")&amp;""' label sum(Col16) ''"",0)))"),"")</f>
        <v/>
      </c>
      <c r="Q92" s="628" t="str">
        <f>IFERROR(__xludf.DUMMYFUNCTION("IF($G92="""","""",IFERROR(query({proventos!$B$5:$Q310},""Select sum(Col16) where Col1 = '""&amp;$G92&amp;""' and Col2 &gt; date '""&amp;TEXT(R$8,""yyyy-mm-dd"")&amp;""' and Col2 &lt;= date '""&amp;TEXT(Q$8,""yyyy-mm-dd"")&amp;""' label sum(Col16) ''"",0)))"),"")</f>
        <v/>
      </c>
      <c r="R92" s="628" t="str">
        <f>IFERROR(__xludf.DUMMYFUNCTION("IF($G92="""","""",IFERROR(query({proventos!$B$5:$Q310},""Select sum(Col16) where Col1 = '""&amp;$G92&amp;""' and Col2 &gt; date '""&amp;TEXT(S$8,""yyyy-mm-dd"")&amp;""' and Col2 &lt;= date '""&amp;TEXT(R$8,""yyyy-mm-dd"")&amp;""' label sum(Col16) ''"",0)))"),"")</f>
        <v/>
      </c>
      <c r="S92" s="628" t="str">
        <f>IFERROR(__xludf.DUMMYFUNCTION("IF($G92="""","""",IFERROR(query({proventos!$B$5:$Q310},""Select sum(Col16) where Col1 = '""&amp;$G92&amp;""' and Col2 &gt; date '""&amp;TEXT(T$8,""yyyy-mm-dd"")&amp;""' and Col2 &lt;= date '""&amp;TEXT(S$8,""yyyy-mm-dd"")&amp;""' label sum(Col16) ''"",0)))"),"")</f>
        <v/>
      </c>
      <c r="T92" s="628" t="str">
        <f>IFERROR(__xludf.DUMMYFUNCTION("IF($G92="""","""",IFERROR(query({proventos!$B$5:$Q310},""Select sum(Col16) where Col1 = '""&amp;$G92&amp;""' and Col2 &gt; date '""&amp;TEXT(U$8,""yyyy-mm-dd"")&amp;""' and Col2 &lt;= date '""&amp;TEXT(T$8,""yyyy-mm-dd"")&amp;""' label sum(Col16) ''"",0)))"),"")</f>
        <v/>
      </c>
      <c r="U92" s="629" t="str">
        <f>IFERROR(__xludf.DUMMYFUNCTION("IF($G92="""","""",IFERROR(query({proventos!$B$5:$Q310},""Select sum(Col16) where Col1 = '""&amp;$G92&amp;""' and Col2 &gt; date '""&amp;TEXT(EOMONTH(TODAY(),-13),""yyyy-mm-dd"")&amp;""' and Col2 &lt;= date '""&amp;TEXT(U$8,""yyyy-mm-dd"")&amp;""' label sum(Col16) ''"",0)))"),"")</f>
        <v/>
      </c>
      <c r="V92" s="630" t="str">
        <f>IFERROR(__xludf.DUMMYFUNCTION("IF($G92="""","""",IFERROR(query({proventos!$B$5:$Q310},""Select sum(Col16) where Col1 = '""&amp;$G92&amp;""' and Col2 &gt; date '""&amp;TEXT(DATE(V$8,1,1),""yyyy-mm-dd"")&amp;""' and Col2 &lt;= date '""&amp;TEXT(DATE(V$8,12,31),""yyyy-mm-dd"")&amp;""' label sum(Col16) ''"",0)))"),"")</f>
        <v/>
      </c>
      <c r="W92" s="630" t="str">
        <f>IFERROR(__xludf.DUMMYFUNCTION("IF($G92="""","""",IFERROR(query({proventos!$B$5:$Q310},""Select sum(Col16) where Col1 = '""&amp;$G92&amp;""' and Col2 &gt; date '""&amp;TEXT(DATE(W$8,1,1),""yyyy-mm-dd"")&amp;""' and Col2 &lt;= date '""&amp;TEXT(DATE(W$8,12,31),""yyyy-mm-dd"")&amp;""' label sum(Col16) ''"",0)))"),"")</f>
        <v/>
      </c>
      <c r="X92" s="630" t="str">
        <f>IFERROR(__xludf.DUMMYFUNCTION("IF($G92="""","""",IFERROR(query({proventos!$B$5:$Q310},""Select sum(Col16) where Col1 = '""&amp;$G92&amp;""' and Col2 &gt; date '""&amp;TEXT(DATE(X$8,1,1),""yyyy-mm-dd"")&amp;""' and Col2 &lt;= date '""&amp;TEXT(DATE(X$8,12,31),""yyyy-mm-dd"")&amp;""' label sum(Col16) ''"",0)))"),"")</f>
        <v/>
      </c>
      <c r="Y92" s="630" t="str">
        <f>IFERROR(__xludf.DUMMYFUNCTION("IF($G92="""","""",IFERROR(query({proventos!$B$5:$Q310},""Select sum(Col16) where Col1 = '""&amp;$G92&amp;""' and Col2 &gt; date '""&amp;TEXT(DATE(Y$8,1,1),""yyyy-mm-dd"")&amp;""' and Col2 &lt;= date '""&amp;TEXT(DATE(Y$8,12,31),""yyyy-mm-dd"")&amp;""' label sum(Col16) ''"",0)))"),"")</f>
        <v/>
      </c>
      <c r="Z92" s="630" t="str">
        <f>IFERROR(__xludf.DUMMYFUNCTION("IF($G92="""","""",IFERROR(query({proventos!$B$5:$Q310},""Select sum(Col16) where Col1 = '""&amp;$G92&amp;""' and Col2 &gt; date '""&amp;TEXT(DATE(Z$8,1,1),""yyyy-mm-dd"")&amp;""' and Col2 &lt;= date '""&amp;TEXT(DATE(Z$8,12,31),""yyyy-mm-dd"")&amp;""' label sum(Col16) ''"",0)))"),"")</f>
        <v/>
      </c>
      <c r="AA92" s="587"/>
      <c r="AB92" s="578" t="s">
        <v>123</v>
      </c>
      <c r="AC92" s="601"/>
      <c r="AD92" s="636"/>
      <c r="AE92" s="636"/>
    </row>
    <row r="93">
      <c r="A93" s="619">
        <v>83.0</v>
      </c>
      <c r="B93" s="620"/>
      <c r="C93" s="632"/>
      <c r="D93" s="633"/>
      <c r="E93" s="634"/>
      <c r="F93" s="624">
        <v>83.0</v>
      </c>
      <c r="G93" s="635"/>
      <c r="H93" s="626" t="str">
        <f>if(G93="","",IFERROR(VLOOKUP(G93,AtivosDados,MATCH("provento_avg",portfolio.!$A$3:AE$3,0),FALSE),""))</f>
        <v/>
      </c>
      <c r="I93" s="627" t="s">
        <v>123</v>
      </c>
      <c r="J93" s="628" t="str">
        <f>IFERROR(__xludf.DUMMYFUNCTION("IF($G93="""","""",IFERROR(query({proventos!$B$5:$Q310},""Select sum(Col16) where Col1 = '""&amp;$G93&amp;""' and Col2 &gt; date '""&amp;TEXT(K$8,""yyyy-mm-dd"")&amp;""' and Col2 &lt;= date '""&amp;TEXT(J$8,""yyyy-mm-dd"")&amp;""' label sum(Col16) ''"",0)))"),"")</f>
        <v/>
      </c>
      <c r="K93" s="628" t="str">
        <f>IFERROR(__xludf.DUMMYFUNCTION("IF($G93="""","""",IFERROR(query({proventos!$B$5:$Q310},""Select sum(Col16) where Col1 = '""&amp;$G93&amp;""' and Col2 &gt; date '""&amp;TEXT(L$8,""yyyy-mm-dd"")&amp;""' and Col2 &lt;= date '""&amp;TEXT(K$8,""yyyy-mm-dd"")&amp;""' label sum(Col16) ''"",0)))"),"")</f>
        <v/>
      </c>
      <c r="L93" s="628" t="str">
        <f>IFERROR(__xludf.DUMMYFUNCTION("IF($G93="""","""",IFERROR(query({proventos!$B$5:$Q310},""Select sum(Col16) where Col1 = '""&amp;$G93&amp;""' and Col2 &gt; date '""&amp;TEXT(M$8,""yyyy-mm-dd"")&amp;""' and Col2 &lt;= date '""&amp;TEXT(L$8,""yyyy-mm-dd"")&amp;""' label sum(Col16) ''"",0)))"),"")</f>
        <v/>
      </c>
      <c r="M93" s="628" t="str">
        <f>IFERROR(__xludf.DUMMYFUNCTION("IF($G93="""","""",IFERROR(query({proventos!$B$5:$Q310},""Select sum(Col16) where Col1 = '""&amp;$G93&amp;""' and Col2 &gt; date '""&amp;TEXT(N$8,""yyyy-mm-dd"")&amp;""' and Col2 &lt;= date '""&amp;TEXT(M$8,""yyyy-mm-dd"")&amp;""' label sum(Col16) ''"",0)))"),"")</f>
        <v/>
      </c>
      <c r="N93" s="628" t="str">
        <f>IFERROR(__xludf.DUMMYFUNCTION("IF($G93="""","""",IFERROR(query({proventos!$B$5:$Q310},""Select sum(Col16) where Col1 = '""&amp;$G93&amp;""' and Col2 &gt; date '""&amp;TEXT(O$8,""yyyy-mm-dd"")&amp;""' and Col2 &lt;= date '""&amp;TEXT(N$8,""yyyy-mm-dd"")&amp;""' label sum(Col16) ''"",0)))"),"")</f>
        <v/>
      </c>
      <c r="O93" s="628" t="str">
        <f>IFERROR(__xludf.DUMMYFUNCTION("IF($G93="""","""",IFERROR(query({proventos!$B$5:$Q310},""Select sum(Col16) where Col1 = '""&amp;$G93&amp;""' and Col2 &gt; date '""&amp;TEXT(P$8,""yyyy-mm-dd"")&amp;""' and Col2 &lt;= date '""&amp;TEXT(O$8,""yyyy-mm-dd"")&amp;""' label sum(Col16) ''"",0)))"),"")</f>
        <v/>
      </c>
      <c r="P93" s="628" t="str">
        <f>IFERROR(__xludf.DUMMYFUNCTION("IF($G93="""","""",IFERROR(query({proventos!$B$5:$Q310},""Select sum(Col16) where Col1 = '""&amp;$G93&amp;""' and Col2 &gt; date '""&amp;TEXT(Q$8,""yyyy-mm-dd"")&amp;""' and Col2 &lt;= date '""&amp;TEXT(P$8,""yyyy-mm-dd"")&amp;""' label sum(Col16) ''"",0)))"),"")</f>
        <v/>
      </c>
      <c r="Q93" s="628" t="str">
        <f>IFERROR(__xludf.DUMMYFUNCTION("IF($G93="""","""",IFERROR(query({proventos!$B$5:$Q310},""Select sum(Col16) where Col1 = '""&amp;$G93&amp;""' and Col2 &gt; date '""&amp;TEXT(R$8,""yyyy-mm-dd"")&amp;""' and Col2 &lt;= date '""&amp;TEXT(Q$8,""yyyy-mm-dd"")&amp;""' label sum(Col16) ''"",0)))"),"")</f>
        <v/>
      </c>
      <c r="R93" s="628" t="str">
        <f>IFERROR(__xludf.DUMMYFUNCTION("IF($G93="""","""",IFERROR(query({proventos!$B$5:$Q310},""Select sum(Col16) where Col1 = '""&amp;$G93&amp;""' and Col2 &gt; date '""&amp;TEXT(S$8,""yyyy-mm-dd"")&amp;""' and Col2 &lt;= date '""&amp;TEXT(R$8,""yyyy-mm-dd"")&amp;""' label sum(Col16) ''"",0)))"),"")</f>
        <v/>
      </c>
      <c r="S93" s="628" t="str">
        <f>IFERROR(__xludf.DUMMYFUNCTION("IF($G93="""","""",IFERROR(query({proventos!$B$5:$Q310},""Select sum(Col16) where Col1 = '""&amp;$G93&amp;""' and Col2 &gt; date '""&amp;TEXT(T$8,""yyyy-mm-dd"")&amp;""' and Col2 &lt;= date '""&amp;TEXT(S$8,""yyyy-mm-dd"")&amp;""' label sum(Col16) ''"",0)))"),"")</f>
        <v/>
      </c>
      <c r="T93" s="628" t="str">
        <f>IFERROR(__xludf.DUMMYFUNCTION("IF($G93="""","""",IFERROR(query({proventos!$B$5:$Q310},""Select sum(Col16) where Col1 = '""&amp;$G93&amp;""' and Col2 &gt; date '""&amp;TEXT(U$8,""yyyy-mm-dd"")&amp;""' and Col2 &lt;= date '""&amp;TEXT(T$8,""yyyy-mm-dd"")&amp;""' label sum(Col16) ''"",0)))"),"")</f>
        <v/>
      </c>
      <c r="U93" s="629" t="str">
        <f>IFERROR(__xludf.DUMMYFUNCTION("IF($G93="""","""",IFERROR(query({proventos!$B$5:$Q310},""Select sum(Col16) where Col1 = '""&amp;$G93&amp;""' and Col2 &gt; date '""&amp;TEXT(EOMONTH(TODAY(),-13),""yyyy-mm-dd"")&amp;""' and Col2 &lt;= date '""&amp;TEXT(U$8,""yyyy-mm-dd"")&amp;""' label sum(Col16) ''"",0)))"),"")</f>
        <v/>
      </c>
      <c r="V93" s="630" t="str">
        <f>IFERROR(__xludf.DUMMYFUNCTION("IF($G93="""","""",IFERROR(query({proventos!$B$5:$Q310},""Select sum(Col16) where Col1 = '""&amp;$G93&amp;""' and Col2 &gt; date '""&amp;TEXT(DATE(V$8,1,1),""yyyy-mm-dd"")&amp;""' and Col2 &lt;= date '""&amp;TEXT(DATE(V$8,12,31),""yyyy-mm-dd"")&amp;""' label sum(Col16) ''"",0)))"),"")</f>
        <v/>
      </c>
      <c r="W93" s="630" t="str">
        <f>IFERROR(__xludf.DUMMYFUNCTION("IF($G93="""","""",IFERROR(query({proventos!$B$5:$Q310},""Select sum(Col16) where Col1 = '""&amp;$G93&amp;""' and Col2 &gt; date '""&amp;TEXT(DATE(W$8,1,1),""yyyy-mm-dd"")&amp;""' and Col2 &lt;= date '""&amp;TEXT(DATE(W$8,12,31),""yyyy-mm-dd"")&amp;""' label sum(Col16) ''"",0)))"),"")</f>
        <v/>
      </c>
      <c r="X93" s="630" t="str">
        <f>IFERROR(__xludf.DUMMYFUNCTION("IF($G93="""","""",IFERROR(query({proventos!$B$5:$Q310},""Select sum(Col16) where Col1 = '""&amp;$G93&amp;""' and Col2 &gt; date '""&amp;TEXT(DATE(X$8,1,1),""yyyy-mm-dd"")&amp;""' and Col2 &lt;= date '""&amp;TEXT(DATE(X$8,12,31),""yyyy-mm-dd"")&amp;""' label sum(Col16) ''"",0)))"),"")</f>
        <v/>
      </c>
      <c r="Y93" s="630" t="str">
        <f>IFERROR(__xludf.DUMMYFUNCTION("IF($G93="""","""",IFERROR(query({proventos!$B$5:$Q310},""Select sum(Col16) where Col1 = '""&amp;$G93&amp;""' and Col2 &gt; date '""&amp;TEXT(DATE(Y$8,1,1),""yyyy-mm-dd"")&amp;""' and Col2 &lt;= date '""&amp;TEXT(DATE(Y$8,12,31),""yyyy-mm-dd"")&amp;""' label sum(Col16) ''"",0)))"),"")</f>
        <v/>
      </c>
      <c r="Z93" s="630" t="str">
        <f>IFERROR(__xludf.DUMMYFUNCTION("IF($G93="""","""",IFERROR(query({proventos!$B$5:$Q310},""Select sum(Col16) where Col1 = '""&amp;$G93&amp;""' and Col2 &gt; date '""&amp;TEXT(DATE(Z$8,1,1),""yyyy-mm-dd"")&amp;""' and Col2 &lt;= date '""&amp;TEXT(DATE(Z$8,12,31),""yyyy-mm-dd"")&amp;""' label sum(Col16) ''"",0)))"),"")</f>
        <v/>
      </c>
      <c r="AA93" s="587"/>
      <c r="AB93" s="578" t="s">
        <v>123</v>
      </c>
      <c r="AC93" s="601"/>
      <c r="AD93" s="636"/>
      <c r="AE93" s="636"/>
    </row>
    <row r="94">
      <c r="A94" s="619">
        <v>84.0</v>
      </c>
      <c r="B94" s="620"/>
      <c r="C94" s="632"/>
      <c r="D94" s="633"/>
      <c r="E94" s="634"/>
      <c r="F94" s="624">
        <v>84.0</v>
      </c>
      <c r="G94" s="635"/>
      <c r="H94" s="626" t="str">
        <f>if(G94="","",IFERROR(VLOOKUP(G94,AtivosDados,MATCH("provento_avg",portfolio.!$A$3:AE$3,0),FALSE),""))</f>
        <v/>
      </c>
      <c r="I94" s="627" t="s">
        <v>123</v>
      </c>
      <c r="J94" s="628" t="str">
        <f>IFERROR(__xludf.DUMMYFUNCTION("IF($G94="""","""",IFERROR(query({proventos!$B$5:$Q310},""Select sum(Col16) where Col1 = '""&amp;$G94&amp;""' and Col2 &gt; date '""&amp;TEXT(K$8,""yyyy-mm-dd"")&amp;""' and Col2 &lt;= date '""&amp;TEXT(J$8,""yyyy-mm-dd"")&amp;""' label sum(Col16) ''"",0)))"),"")</f>
        <v/>
      </c>
      <c r="K94" s="628" t="str">
        <f>IFERROR(__xludf.DUMMYFUNCTION("IF($G94="""","""",IFERROR(query({proventos!$B$5:$Q310},""Select sum(Col16) where Col1 = '""&amp;$G94&amp;""' and Col2 &gt; date '""&amp;TEXT(L$8,""yyyy-mm-dd"")&amp;""' and Col2 &lt;= date '""&amp;TEXT(K$8,""yyyy-mm-dd"")&amp;""' label sum(Col16) ''"",0)))"),"")</f>
        <v/>
      </c>
      <c r="L94" s="628" t="str">
        <f>IFERROR(__xludf.DUMMYFUNCTION("IF($G94="""","""",IFERROR(query({proventos!$B$5:$Q310},""Select sum(Col16) where Col1 = '""&amp;$G94&amp;""' and Col2 &gt; date '""&amp;TEXT(M$8,""yyyy-mm-dd"")&amp;""' and Col2 &lt;= date '""&amp;TEXT(L$8,""yyyy-mm-dd"")&amp;""' label sum(Col16) ''"",0)))"),"")</f>
        <v/>
      </c>
      <c r="M94" s="628" t="str">
        <f>IFERROR(__xludf.DUMMYFUNCTION("IF($G94="""","""",IFERROR(query({proventos!$B$5:$Q310},""Select sum(Col16) where Col1 = '""&amp;$G94&amp;""' and Col2 &gt; date '""&amp;TEXT(N$8,""yyyy-mm-dd"")&amp;""' and Col2 &lt;= date '""&amp;TEXT(M$8,""yyyy-mm-dd"")&amp;""' label sum(Col16) ''"",0)))"),"")</f>
        <v/>
      </c>
      <c r="N94" s="628" t="str">
        <f>IFERROR(__xludf.DUMMYFUNCTION("IF($G94="""","""",IFERROR(query({proventos!$B$5:$Q310},""Select sum(Col16) where Col1 = '""&amp;$G94&amp;""' and Col2 &gt; date '""&amp;TEXT(O$8,""yyyy-mm-dd"")&amp;""' and Col2 &lt;= date '""&amp;TEXT(N$8,""yyyy-mm-dd"")&amp;""' label sum(Col16) ''"",0)))"),"")</f>
        <v/>
      </c>
      <c r="O94" s="628" t="str">
        <f>IFERROR(__xludf.DUMMYFUNCTION("IF($G94="""","""",IFERROR(query({proventos!$B$5:$Q310},""Select sum(Col16) where Col1 = '""&amp;$G94&amp;""' and Col2 &gt; date '""&amp;TEXT(P$8,""yyyy-mm-dd"")&amp;""' and Col2 &lt;= date '""&amp;TEXT(O$8,""yyyy-mm-dd"")&amp;""' label sum(Col16) ''"",0)))"),"")</f>
        <v/>
      </c>
      <c r="P94" s="628" t="str">
        <f>IFERROR(__xludf.DUMMYFUNCTION("IF($G94="""","""",IFERROR(query({proventos!$B$5:$Q310},""Select sum(Col16) where Col1 = '""&amp;$G94&amp;""' and Col2 &gt; date '""&amp;TEXT(Q$8,""yyyy-mm-dd"")&amp;""' and Col2 &lt;= date '""&amp;TEXT(P$8,""yyyy-mm-dd"")&amp;""' label sum(Col16) ''"",0)))"),"")</f>
        <v/>
      </c>
      <c r="Q94" s="628" t="str">
        <f>IFERROR(__xludf.DUMMYFUNCTION("IF($G94="""","""",IFERROR(query({proventos!$B$5:$Q310},""Select sum(Col16) where Col1 = '""&amp;$G94&amp;""' and Col2 &gt; date '""&amp;TEXT(R$8,""yyyy-mm-dd"")&amp;""' and Col2 &lt;= date '""&amp;TEXT(Q$8,""yyyy-mm-dd"")&amp;""' label sum(Col16) ''"",0)))"),"")</f>
        <v/>
      </c>
      <c r="R94" s="628" t="str">
        <f>IFERROR(__xludf.DUMMYFUNCTION("IF($G94="""","""",IFERROR(query({proventos!$B$5:$Q310},""Select sum(Col16) where Col1 = '""&amp;$G94&amp;""' and Col2 &gt; date '""&amp;TEXT(S$8,""yyyy-mm-dd"")&amp;""' and Col2 &lt;= date '""&amp;TEXT(R$8,""yyyy-mm-dd"")&amp;""' label sum(Col16) ''"",0)))"),"")</f>
        <v/>
      </c>
      <c r="S94" s="628" t="str">
        <f>IFERROR(__xludf.DUMMYFUNCTION("IF($G94="""","""",IFERROR(query({proventos!$B$5:$Q310},""Select sum(Col16) where Col1 = '""&amp;$G94&amp;""' and Col2 &gt; date '""&amp;TEXT(T$8,""yyyy-mm-dd"")&amp;""' and Col2 &lt;= date '""&amp;TEXT(S$8,""yyyy-mm-dd"")&amp;""' label sum(Col16) ''"",0)))"),"")</f>
        <v/>
      </c>
      <c r="T94" s="628" t="str">
        <f>IFERROR(__xludf.DUMMYFUNCTION("IF($G94="""","""",IFERROR(query({proventos!$B$5:$Q310},""Select sum(Col16) where Col1 = '""&amp;$G94&amp;""' and Col2 &gt; date '""&amp;TEXT(U$8,""yyyy-mm-dd"")&amp;""' and Col2 &lt;= date '""&amp;TEXT(T$8,""yyyy-mm-dd"")&amp;""' label sum(Col16) ''"",0)))"),"")</f>
        <v/>
      </c>
      <c r="U94" s="629" t="str">
        <f>IFERROR(__xludf.DUMMYFUNCTION("IF($G94="""","""",IFERROR(query({proventos!$B$5:$Q310},""Select sum(Col16) where Col1 = '""&amp;$G94&amp;""' and Col2 &gt; date '""&amp;TEXT(EOMONTH(TODAY(),-13),""yyyy-mm-dd"")&amp;""' and Col2 &lt;= date '""&amp;TEXT(U$8,""yyyy-mm-dd"")&amp;""' label sum(Col16) ''"",0)))"),"")</f>
        <v/>
      </c>
      <c r="V94" s="630" t="str">
        <f>IFERROR(__xludf.DUMMYFUNCTION("IF($G94="""","""",IFERROR(query({proventos!$B$5:$Q310},""Select sum(Col16) where Col1 = '""&amp;$G94&amp;""' and Col2 &gt; date '""&amp;TEXT(DATE(V$8,1,1),""yyyy-mm-dd"")&amp;""' and Col2 &lt;= date '""&amp;TEXT(DATE(V$8,12,31),""yyyy-mm-dd"")&amp;""' label sum(Col16) ''"",0)))"),"")</f>
        <v/>
      </c>
      <c r="W94" s="630" t="str">
        <f>IFERROR(__xludf.DUMMYFUNCTION("IF($G94="""","""",IFERROR(query({proventos!$B$5:$Q310},""Select sum(Col16) where Col1 = '""&amp;$G94&amp;""' and Col2 &gt; date '""&amp;TEXT(DATE(W$8,1,1),""yyyy-mm-dd"")&amp;""' and Col2 &lt;= date '""&amp;TEXT(DATE(W$8,12,31),""yyyy-mm-dd"")&amp;""' label sum(Col16) ''"",0)))"),"")</f>
        <v/>
      </c>
      <c r="X94" s="630" t="str">
        <f>IFERROR(__xludf.DUMMYFUNCTION("IF($G94="""","""",IFERROR(query({proventos!$B$5:$Q310},""Select sum(Col16) where Col1 = '""&amp;$G94&amp;""' and Col2 &gt; date '""&amp;TEXT(DATE(X$8,1,1),""yyyy-mm-dd"")&amp;""' and Col2 &lt;= date '""&amp;TEXT(DATE(X$8,12,31),""yyyy-mm-dd"")&amp;""' label sum(Col16) ''"",0)))"),"")</f>
        <v/>
      </c>
      <c r="Y94" s="630" t="str">
        <f>IFERROR(__xludf.DUMMYFUNCTION("IF($G94="""","""",IFERROR(query({proventos!$B$5:$Q310},""Select sum(Col16) where Col1 = '""&amp;$G94&amp;""' and Col2 &gt; date '""&amp;TEXT(DATE(Y$8,1,1),""yyyy-mm-dd"")&amp;""' and Col2 &lt;= date '""&amp;TEXT(DATE(Y$8,12,31),""yyyy-mm-dd"")&amp;""' label sum(Col16) ''"",0)))"),"")</f>
        <v/>
      </c>
      <c r="Z94" s="630" t="str">
        <f>IFERROR(__xludf.DUMMYFUNCTION("IF($G94="""","""",IFERROR(query({proventos!$B$5:$Q310},""Select sum(Col16) where Col1 = '""&amp;$G94&amp;""' and Col2 &gt; date '""&amp;TEXT(DATE(Z$8,1,1),""yyyy-mm-dd"")&amp;""' and Col2 &lt;= date '""&amp;TEXT(DATE(Z$8,12,31),""yyyy-mm-dd"")&amp;""' label sum(Col16) ''"",0)))"),"")</f>
        <v/>
      </c>
      <c r="AA94" s="587"/>
      <c r="AB94" s="578" t="s">
        <v>123</v>
      </c>
      <c r="AC94" s="601"/>
      <c r="AD94" s="636"/>
      <c r="AE94" s="636"/>
    </row>
    <row r="95">
      <c r="A95" s="619">
        <v>85.0</v>
      </c>
      <c r="B95" s="620"/>
      <c r="C95" s="632"/>
      <c r="D95" s="633"/>
      <c r="E95" s="634"/>
      <c r="F95" s="624">
        <v>85.0</v>
      </c>
      <c r="G95" s="635"/>
      <c r="H95" s="626" t="str">
        <f>if(G95="","",IFERROR(VLOOKUP(G95,AtivosDados,MATCH("provento_avg",portfolio.!$A$3:AE$3,0),FALSE),""))</f>
        <v/>
      </c>
      <c r="I95" s="627" t="s">
        <v>123</v>
      </c>
      <c r="J95" s="628" t="str">
        <f>IFERROR(__xludf.DUMMYFUNCTION("IF($G95="""","""",IFERROR(query({proventos!$B$5:$Q310},""Select sum(Col16) where Col1 = '""&amp;$G95&amp;""' and Col2 &gt; date '""&amp;TEXT(K$8,""yyyy-mm-dd"")&amp;""' and Col2 &lt;= date '""&amp;TEXT(J$8,""yyyy-mm-dd"")&amp;""' label sum(Col16) ''"",0)))"),"")</f>
        <v/>
      </c>
      <c r="K95" s="628" t="str">
        <f>IFERROR(__xludf.DUMMYFUNCTION("IF($G95="""","""",IFERROR(query({proventos!$B$5:$Q310},""Select sum(Col16) where Col1 = '""&amp;$G95&amp;""' and Col2 &gt; date '""&amp;TEXT(L$8,""yyyy-mm-dd"")&amp;""' and Col2 &lt;= date '""&amp;TEXT(K$8,""yyyy-mm-dd"")&amp;""' label sum(Col16) ''"",0)))"),"")</f>
        <v/>
      </c>
      <c r="L95" s="628" t="str">
        <f>IFERROR(__xludf.DUMMYFUNCTION("IF($G95="""","""",IFERROR(query({proventos!$B$5:$Q310},""Select sum(Col16) where Col1 = '""&amp;$G95&amp;""' and Col2 &gt; date '""&amp;TEXT(M$8,""yyyy-mm-dd"")&amp;""' and Col2 &lt;= date '""&amp;TEXT(L$8,""yyyy-mm-dd"")&amp;""' label sum(Col16) ''"",0)))"),"")</f>
        <v/>
      </c>
      <c r="M95" s="628" t="str">
        <f>IFERROR(__xludf.DUMMYFUNCTION("IF($G95="""","""",IFERROR(query({proventos!$B$5:$Q310},""Select sum(Col16) where Col1 = '""&amp;$G95&amp;""' and Col2 &gt; date '""&amp;TEXT(N$8,""yyyy-mm-dd"")&amp;""' and Col2 &lt;= date '""&amp;TEXT(M$8,""yyyy-mm-dd"")&amp;""' label sum(Col16) ''"",0)))"),"")</f>
        <v/>
      </c>
      <c r="N95" s="628" t="str">
        <f>IFERROR(__xludf.DUMMYFUNCTION("IF($G95="""","""",IFERROR(query({proventos!$B$5:$Q310},""Select sum(Col16) where Col1 = '""&amp;$G95&amp;""' and Col2 &gt; date '""&amp;TEXT(O$8,""yyyy-mm-dd"")&amp;""' and Col2 &lt;= date '""&amp;TEXT(N$8,""yyyy-mm-dd"")&amp;""' label sum(Col16) ''"",0)))"),"")</f>
        <v/>
      </c>
      <c r="O95" s="628" t="str">
        <f>IFERROR(__xludf.DUMMYFUNCTION("IF($G95="""","""",IFERROR(query({proventos!$B$5:$Q310},""Select sum(Col16) where Col1 = '""&amp;$G95&amp;""' and Col2 &gt; date '""&amp;TEXT(P$8,""yyyy-mm-dd"")&amp;""' and Col2 &lt;= date '""&amp;TEXT(O$8,""yyyy-mm-dd"")&amp;""' label sum(Col16) ''"",0)))"),"")</f>
        <v/>
      </c>
      <c r="P95" s="628" t="str">
        <f>IFERROR(__xludf.DUMMYFUNCTION("IF($G95="""","""",IFERROR(query({proventos!$B$5:$Q310},""Select sum(Col16) where Col1 = '""&amp;$G95&amp;""' and Col2 &gt; date '""&amp;TEXT(Q$8,""yyyy-mm-dd"")&amp;""' and Col2 &lt;= date '""&amp;TEXT(P$8,""yyyy-mm-dd"")&amp;""' label sum(Col16) ''"",0)))"),"")</f>
        <v/>
      </c>
      <c r="Q95" s="628" t="str">
        <f>IFERROR(__xludf.DUMMYFUNCTION("IF($G95="""","""",IFERROR(query({proventos!$B$5:$Q310},""Select sum(Col16) where Col1 = '""&amp;$G95&amp;""' and Col2 &gt; date '""&amp;TEXT(R$8,""yyyy-mm-dd"")&amp;""' and Col2 &lt;= date '""&amp;TEXT(Q$8,""yyyy-mm-dd"")&amp;""' label sum(Col16) ''"",0)))"),"")</f>
        <v/>
      </c>
      <c r="R95" s="628" t="str">
        <f>IFERROR(__xludf.DUMMYFUNCTION("IF($G95="""","""",IFERROR(query({proventos!$B$5:$Q310},""Select sum(Col16) where Col1 = '""&amp;$G95&amp;""' and Col2 &gt; date '""&amp;TEXT(S$8,""yyyy-mm-dd"")&amp;""' and Col2 &lt;= date '""&amp;TEXT(R$8,""yyyy-mm-dd"")&amp;""' label sum(Col16) ''"",0)))"),"")</f>
        <v/>
      </c>
      <c r="S95" s="628" t="str">
        <f>IFERROR(__xludf.DUMMYFUNCTION("IF($G95="""","""",IFERROR(query({proventos!$B$5:$Q310},""Select sum(Col16) where Col1 = '""&amp;$G95&amp;""' and Col2 &gt; date '""&amp;TEXT(T$8,""yyyy-mm-dd"")&amp;""' and Col2 &lt;= date '""&amp;TEXT(S$8,""yyyy-mm-dd"")&amp;""' label sum(Col16) ''"",0)))"),"")</f>
        <v/>
      </c>
      <c r="T95" s="628" t="str">
        <f>IFERROR(__xludf.DUMMYFUNCTION("IF($G95="""","""",IFERROR(query({proventos!$B$5:$Q310},""Select sum(Col16) where Col1 = '""&amp;$G95&amp;""' and Col2 &gt; date '""&amp;TEXT(U$8,""yyyy-mm-dd"")&amp;""' and Col2 &lt;= date '""&amp;TEXT(T$8,""yyyy-mm-dd"")&amp;""' label sum(Col16) ''"",0)))"),"")</f>
        <v/>
      </c>
      <c r="U95" s="629" t="str">
        <f>IFERROR(__xludf.DUMMYFUNCTION("IF($G95="""","""",IFERROR(query({proventos!$B$5:$Q310},""Select sum(Col16) where Col1 = '""&amp;$G95&amp;""' and Col2 &gt; date '""&amp;TEXT(EOMONTH(TODAY(),-13),""yyyy-mm-dd"")&amp;""' and Col2 &lt;= date '""&amp;TEXT(U$8,""yyyy-mm-dd"")&amp;""' label sum(Col16) ''"",0)))"),"")</f>
        <v/>
      </c>
      <c r="V95" s="630" t="str">
        <f>IFERROR(__xludf.DUMMYFUNCTION("IF($G95="""","""",IFERROR(query({proventos!$B$5:$Q310},""Select sum(Col16) where Col1 = '""&amp;$G95&amp;""' and Col2 &gt; date '""&amp;TEXT(DATE(V$8,1,1),""yyyy-mm-dd"")&amp;""' and Col2 &lt;= date '""&amp;TEXT(DATE(V$8,12,31),""yyyy-mm-dd"")&amp;""' label sum(Col16) ''"",0)))"),"")</f>
        <v/>
      </c>
      <c r="W95" s="630" t="str">
        <f>IFERROR(__xludf.DUMMYFUNCTION("IF($G95="""","""",IFERROR(query({proventos!$B$5:$Q310},""Select sum(Col16) where Col1 = '""&amp;$G95&amp;""' and Col2 &gt; date '""&amp;TEXT(DATE(W$8,1,1),""yyyy-mm-dd"")&amp;""' and Col2 &lt;= date '""&amp;TEXT(DATE(W$8,12,31),""yyyy-mm-dd"")&amp;""' label sum(Col16) ''"",0)))"),"")</f>
        <v/>
      </c>
      <c r="X95" s="630" t="str">
        <f>IFERROR(__xludf.DUMMYFUNCTION("IF($G95="""","""",IFERROR(query({proventos!$B$5:$Q310},""Select sum(Col16) where Col1 = '""&amp;$G95&amp;""' and Col2 &gt; date '""&amp;TEXT(DATE(X$8,1,1),""yyyy-mm-dd"")&amp;""' and Col2 &lt;= date '""&amp;TEXT(DATE(X$8,12,31),""yyyy-mm-dd"")&amp;""' label sum(Col16) ''"",0)))"),"")</f>
        <v/>
      </c>
      <c r="Y95" s="630" t="str">
        <f>IFERROR(__xludf.DUMMYFUNCTION("IF($G95="""","""",IFERROR(query({proventos!$B$5:$Q310},""Select sum(Col16) where Col1 = '""&amp;$G95&amp;""' and Col2 &gt; date '""&amp;TEXT(DATE(Y$8,1,1),""yyyy-mm-dd"")&amp;""' and Col2 &lt;= date '""&amp;TEXT(DATE(Y$8,12,31),""yyyy-mm-dd"")&amp;""' label sum(Col16) ''"",0)))"),"")</f>
        <v/>
      </c>
      <c r="Z95" s="630" t="str">
        <f>IFERROR(__xludf.DUMMYFUNCTION("IF($G95="""","""",IFERROR(query({proventos!$B$5:$Q310},""Select sum(Col16) where Col1 = '""&amp;$G95&amp;""' and Col2 &gt; date '""&amp;TEXT(DATE(Z$8,1,1),""yyyy-mm-dd"")&amp;""' and Col2 &lt;= date '""&amp;TEXT(DATE(Z$8,12,31),""yyyy-mm-dd"")&amp;""' label sum(Col16) ''"",0)))"),"")</f>
        <v/>
      </c>
      <c r="AA95" s="587"/>
      <c r="AB95" s="578" t="s">
        <v>123</v>
      </c>
      <c r="AC95" s="601"/>
      <c r="AD95" s="636"/>
      <c r="AE95" s="636"/>
    </row>
    <row r="96">
      <c r="A96" s="619">
        <v>86.0</v>
      </c>
      <c r="B96" s="620"/>
      <c r="C96" s="632"/>
      <c r="D96" s="633"/>
      <c r="E96" s="634"/>
      <c r="F96" s="624">
        <v>86.0</v>
      </c>
      <c r="G96" s="635"/>
      <c r="H96" s="626" t="str">
        <f>if(G96="","",IFERROR(VLOOKUP(G96,AtivosDados,MATCH("provento_avg",portfolio.!$A$3:AE$3,0),FALSE),""))</f>
        <v/>
      </c>
      <c r="I96" s="627" t="s">
        <v>123</v>
      </c>
      <c r="J96" s="628" t="str">
        <f>IFERROR(__xludf.DUMMYFUNCTION("IF($G96="""","""",IFERROR(query({proventos!$B$5:$Q310},""Select sum(Col16) where Col1 = '""&amp;$G96&amp;""' and Col2 &gt; date '""&amp;TEXT(K$8,""yyyy-mm-dd"")&amp;""' and Col2 &lt;= date '""&amp;TEXT(J$8,""yyyy-mm-dd"")&amp;""' label sum(Col16) ''"",0)))"),"")</f>
        <v/>
      </c>
      <c r="K96" s="628" t="str">
        <f>IFERROR(__xludf.DUMMYFUNCTION("IF($G96="""","""",IFERROR(query({proventos!$B$5:$Q310},""Select sum(Col16) where Col1 = '""&amp;$G96&amp;""' and Col2 &gt; date '""&amp;TEXT(L$8,""yyyy-mm-dd"")&amp;""' and Col2 &lt;= date '""&amp;TEXT(K$8,""yyyy-mm-dd"")&amp;""' label sum(Col16) ''"",0)))"),"")</f>
        <v/>
      </c>
      <c r="L96" s="628" t="str">
        <f>IFERROR(__xludf.DUMMYFUNCTION("IF($G96="""","""",IFERROR(query({proventos!$B$5:$Q310},""Select sum(Col16) where Col1 = '""&amp;$G96&amp;""' and Col2 &gt; date '""&amp;TEXT(M$8,""yyyy-mm-dd"")&amp;""' and Col2 &lt;= date '""&amp;TEXT(L$8,""yyyy-mm-dd"")&amp;""' label sum(Col16) ''"",0)))"),"")</f>
        <v/>
      </c>
      <c r="M96" s="628" t="str">
        <f>IFERROR(__xludf.DUMMYFUNCTION("IF($G96="""","""",IFERROR(query({proventos!$B$5:$Q310},""Select sum(Col16) where Col1 = '""&amp;$G96&amp;""' and Col2 &gt; date '""&amp;TEXT(N$8,""yyyy-mm-dd"")&amp;""' and Col2 &lt;= date '""&amp;TEXT(M$8,""yyyy-mm-dd"")&amp;""' label sum(Col16) ''"",0)))"),"")</f>
        <v/>
      </c>
      <c r="N96" s="628" t="str">
        <f>IFERROR(__xludf.DUMMYFUNCTION("IF($G96="""","""",IFERROR(query({proventos!$B$5:$Q310},""Select sum(Col16) where Col1 = '""&amp;$G96&amp;""' and Col2 &gt; date '""&amp;TEXT(O$8,""yyyy-mm-dd"")&amp;""' and Col2 &lt;= date '""&amp;TEXT(N$8,""yyyy-mm-dd"")&amp;""' label sum(Col16) ''"",0)))"),"")</f>
        <v/>
      </c>
      <c r="O96" s="628" t="str">
        <f>IFERROR(__xludf.DUMMYFUNCTION("IF($G96="""","""",IFERROR(query({proventos!$B$5:$Q310},""Select sum(Col16) where Col1 = '""&amp;$G96&amp;""' and Col2 &gt; date '""&amp;TEXT(P$8,""yyyy-mm-dd"")&amp;""' and Col2 &lt;= date '""&amp;TEXT(O$8,""yyyy-mm-dd"")&amp;""' label sum(Col16) ''"",0)))"),"")</f>
        <v/>
      </c>
      <c r="P96" s="628" t="str">
        <f>IFERROR(__xludf.DUMMYFUNCTION("IF($G96="""","""",IFERROR(query({proventos!$B$5:$Q310},""Select sum(Col16) where Col1 = '""&amp;$G96&amp;""' and Col2 &gt; date '""&amp;TEXT(Q$8,""yyyy-mm-dd"")&amp;""' and Col2 &lt;= date '""&amp;TEXT(P$8,""yyyy-mm-dd"")&amp;""' label sum(Col16) ''"",0)))"),"")</f>
        <v/>
      </c>
      <c r="Q96" s="628" t="str">
        <f>IFERROR(__xludf.DUMMYFUNCTION("IF($G96="""","""",IFERROR(query({proventos!$B$5:$Q310},""Select sum(Col16) where Col1 = '""&amp;$G96&amp;""' and Col2 &gt; date '""&amp;TEXT(R$8,""yyyy-mm-dd"")&amp;""' and Col2 &lt;= date '""&amp;TEXT(Q$8,""yyyy-mm-dd"")&amp;""' label sum(Col16) ''"",0)))"),"")</f>
        <v/>
      </c>
      <c r="R96" s="628" t="str">
        <f>IFERROR(__xludf.DUMMYFUNCTION("IF($G96="""","""",IFERROR(query({proventos!$B$5:$Q310},""Select sum(Col16) where Col1 = '""&amp;$G96&amp;""' and Col2 &gt; date '""&amp;TEXT(S$8,""yyyy-mm-dd"")&amp;""' and Col2 &lt;= date '""&amp;TEXT(R$8,""yyyy-mm-dd"")&amp;""' label sum(Col16) ''"",0)))"),"")</f>
        <v/>
      </c>
      <c r="S96" s="628" t="str">
        <f>IFERROR(__xludf.DUMMYFUNCTION("IF($G96="""","""",IFERROR(query({proventos!$B$5:$Q310},""Select sum(Col16) where Col1 = '""&amp;$G96&amp;""' and Col2 &gt; date '""&amp;TEXT(T$8,""yyyy-mm-dd"")&amp;""' and Col2 &lt;= date '""&amp;TEXT(S$8,""yyyy-mm-dd"")&amp;""' label sum(Col16) ''"",0)))"),"")</f>
        <v/>
      </c>
      <c r="T96" s="628" t="str">
        <f>IFERROR(__xludf.DUMMYFUNCTION("IF($G96="""","""",IFERROR(query({proventos!$B$5:$Q310},""Select sum(Col16) where Col1 = '""&amp;$G96&amp;""' and Col2 &gt; date '""&amp;TEXT(U$8,""yyyy-mm-dd"")&amp;""' and Col2 &lt;= date '""&amp;TEXT(T$8,""yyyy-mm-dd"")&amp;""' label sum(Col16) ''"",0)))"),"")</f>
        <v/>
      </c>
      <c r="U96" s="629" t="str">
        <f>IFERROR(__xludf.DUMMYFUNCTION("IF($G96="""","""",IFERROR(query({proventos!$B$5:$Q310},""Select sum(Col16) where Col1 = '""&amp;$G96&amp;""' and Col2 &gt; date '""&amp;TEXT(EOMONTH(TODAY(),-13),""yyyy-mm-dd"")&amp;""' and Col2 &lt;= date '""&amp;TEXT(U$8,""yyyy-mm-dd"")&amp;""' label sum(Col16) ''"",0)))"),"")</f>
        <v/>
      </c>
      <c r="V96" s="630" t="str">
        <f>IFERROR(__xludf.DUMMYFUNCTION("IF($G96="""","""",IFERROR(query({proventos!$B$5:$Q310},""Select sum(Col16) where Col1 = '""&amp;$G96&amp;""' and Col2 &gt; date '""&amp;TEXT(DATE(V$8,1,1),""yyyy-mm-dd"")&amp;""' and Col2 &lt;= date '""&amp;TEXT(DATE(V$8,12,31),""yyyy-mm-dd"")&amp;""' label sum(Col16) ''"",0)))"),"")</f>
        <v/>
      </c>
      <c r="W96" s="630" t="str">
        <f>IFERROR(__xludf.DUMMYFUNCTION("IF($G96="""","""",IFERROR(query({proventos!$B$5:$Q310},""Select sum(Col16) where Col1 = '""&amp;$G96&amp;""' and Col2 &gt; date '""&amp;TEXT(DATE(W$8,1,1),""yyyy-mm-dd"")&amp;""' and Col2 &lt;= date '""&amp;TEXT(DATE(W$8,12,31),""yyyy-mm-dd"")&amp;""' label sum(Col16) ''"",0)))"),"")</f>
        <v/>
      </c>
      <c r="X96" s="630" t="str">
        <f>IFERROR(__xludf.DUMMYFUNCTION("IF($G96="""","""",IFERROR(query({proventos!$B$5:$Q310},""Select sum(Col16) where Col1 = '""&amp;$G96&amp;""' and Col2 &gt; date '""&amp;TEXT(DATE(X$8,1,1),""yyyy-mm-dd"")&amp;""' and Col2 &lt;= date '""&amp;TEXT(DATE(X$8,12,31),""yyyy-mm-dd"")&amp;""' label sum(Col16) ''"",0)))"),"")</f>
        <v/>
      </c>
      <c r="Y96" s="630" t="str">
        <f>IFERROR(__xludf.DUMMYFUNCTION("IF($G96="""","""",IFERROR(query({proventos!$B$5:$Q310},""Select sum(Col16) where Col1 = '""&amp;$G96&amp;""' and Col2 &gt; date '""&amp;TEXT(DATE(Y$8,1,1),""yyyy-mm-dd"")&amp;""' and Col2 &lt;= date '""&amp;TEXT(DATE(Y$8,12,31),""yyyy-mm-dd"")&amp;""' label sum(Col16) ''"",0)))"),"")</f>
        <v/>
      </c>
      <c r="Z96" s="630" t="str">
        <f>IFERROR(__xludf.DUMMYFUNCTION("IF($G96="""","""",IFERROR(query({proventos!$B$5:$Q310},""Select sum(Col16) where Col1 = '""&amp;$G96&amp;""' and Col2 &gt; date '""&amp;TEXT(DATE(Z$8,1,1),""yyyy-mm-dd"")&amp;""' and Col2 &lt;= date '""&amp;TEXT(DATE(Z$8,12,31),""yyyy-mm-dd"")&amp;""' label sum(Col16) ''"",0)))"),"")</f>
        <v/>
      </c>
      <c r="AA96" s="587"/>
      <c r="AB96" s="578" t="s">
        <v>123</v>
      </c>
      <c r="AC96" s="601"/>
      <c r="AD96" s="636"/>
      <c r="AE96" s="636"/>
    </row>
    <row r="97">
      <c r="A97" s="619">
        <v>87.0</v>
      </c>
      <c r="B97" s="620"/>
      <c r="C97" s="632"/>
      <c r="D97" s="633"/>
      <c r="E97" s="634"/>
      <c r="F97" s="624">
        <v>87.0</v>
      </c>
      <c r="G97" s="635"/>
      <c r="H97" s="626" t="str">
        <f>if(G97="","",IFERROR(VLOOKUP(G97,AtivosDados,MATCH("provento_avg",portfolio.!$A$3:AE$3,0),FALSE),""))</f>
        <v/>
      </c>
      <c r="I97" s="627" t="s">
        <v>123</v>
      </c>
      <c r="J97" s="628" t="str">
        <f>IFERROR(__xludf.DUMMYFUNCTION("IF($G97="""","""",IFERROR(query({proventos!$B$5:$Q310},""Select sum(Col16) where Col1 = '""&amp;$G97&amp;""' and Col2 &gt; date '""&amp;TEXT(K$8,""yyyy-mm-dd"")&amp;""' and Col2 &lt;= date '""&amp;TEXT(J$8,""yyyy-mm-dd"")&amp;""' label sum(Col16) ''"",0)))"),"")</f>
        <v/>
      </c>
      <c r="K97" s="628" t="str">
        <f>IFERROR(__xludf.DUMMYFUNCTION("IF($G97="""","""",IFERROR(query({proventos!$B$5:$Q310},""Select sum(Col16) where Col1 = '""&amp;$G97&amp;""' and Col2 &gt; date '""&amp;TEXT(L$8,""yyyy-mm-dd"")&amp;""' and Col2 &lt;= date '""&amp;TEXT(K$8,""yyyy-mm-dd"")&amp;""' label sum(Col16) ''"",0)))"),"")</f>
        <v/>
      </c>
      <c r="L97" s="628" t="str">
        <f>IFERROR(__xludf.DUMMYFUNCTION("IF($G97="""","""",IFERROR(query({proventos!$B$5:$Q310},""Select sum(Col16) where Col1 = '""&amp;$G97&amp;""' and Col2 &gt; date '""&amp;TEXT(M$8,""yyyy-mm-dd"")&amp;""' and Col2 &lt;= date '""&amp;TEXT(L$8,""yyyy-mm-dd"")&amp;""' label sum(Col16) ''"",0)))"),"")</f>
        <v/>
      </c>
      <c r="M97" s="628" t="str">
        <f>IFERROR(__xludf.DUMMYFUNCTION("IF($G97="""","""",IFERROR(query({proventos!$B$5:$Q310},""Select sum(Col16) where Col1 = '""&amp;$G97&amp;""' and Col2 &gt; date '""&amp;TEXT(N$8,""yyyy-mm-dd"")&amp;""' and Col2 &lt;= date '""&amp;TEXT(M$8,""yyyy-mm-dd"")&amp;""' label sum(Col16) ''"",0)))"),"")</f>
        <v/>
      </c>
      <c r="N97" s="628" t="str">
        <f>IFERROR(__xludf.DUMMYFUNCTION("IF($G97="""","""",IFERROR(query({proventos!$B$5:$Q310},""Select sum(Col16) where Col1 = '""&amp;$G97&amp;""' and Col2 &gt; date '""&amp;TEXT(O$8,""yyyy-mm-dd"")&amp;""' and Col2 &lt;= date '""&amp;TEXT(N$8,""yyyy-mm-dd"")&amp;""' label sum(Col16) ''"",0)))"),"")</f>
        <v/>
      </c>
      <c r="O97" s="628" t="str">
        <f>IFERROR(__xludf.DUMMYFUNCTION("IF($G97="""","""",IFERROR(query({proventos!$B$5:$Q310},""Select sum(Col16) where Col1 = '""&amp;$G97&amp;""' and Col2 &gt; date '""&amp;TEXT(P$8,""yyyy-mm-dd"")&amp;""' and Col2 &lt;= date '""&amp;TEXT(O$8,""yyyy-mm-dd"")&amp;""' label sum(Col16) ''"",0)))"),"")</f>
        <v/>
      </c>
      <c r="P97" s="628" t="str">
        <f>IFERROR(__xludf.DUMMYFUNCTION("IF($G97="""","""",IFERROR(query({proventos!$B$5:$Q310},""Select sum(Col16) where Col1 = '""&amp;$G97&amp;""' and Col2 &gt; date '""&amp;TEXT(Q$8,""yyyy-mm-dd"")&amp;""' and Col2 &lt;= date '""&amp;TEXT(P$8,""yyyy-mm-dd"")&amp;""' label sum(Col16) ''"",0)))"),"")</f>
        <v/>
      </c>
      <c r="Q97" s="628" t="str">
        <f>IFERROR(__xludf.DUMMYFUNCTION("IF($G97="""","""",IFERROR(query({proventos!$B$5:$Q310},""Select sum(Col16) where Col1 = '""&amp;$G97&amp;""' and Col2 &gt; date '""&amp;TEXT(R$8,""yyyy-mm-dd"")&amp;""' and Col2 &lt;= date '""&amp;TEXT(Q$8,""yyyy-mm-dd"")&amp;""' label sum(Col16) ''"",0)))"),"")</f>
        <v/>
      </c>
      <c r="R97" s="628" t="str">
        <f>IFERROR(__xludf.DUMMYFUNCTION("IF($G97="""","""",IFERROR(query({proventos!$B$5:$Q310},""Select sum(Col16) where Col1 = '""&amp;$G97&amp;""' and Col2 &gt; date '""&amp;TEXT(S$8,""yyyy-mm-dd"")&amp;""' and Col2 &lt;= date '""&amp;TEXT(R$8,""yyyy-mm-dd"")&amp;""' label sum(Col16) ''"",0)))"),"")</f>
        <v/>
      </c>
      <c r="S97" s="628" t="str">
        <f>IFERROR(__xludf.DUMMYFUNCTION("IF($G97="""","""",IFERROR(query({proventos!$B$5:$Q310},""Select sum(Col16) where Col1 = '""&amp;$G97&amp;""' and Col2 &gt; date '""&amp;TEXT(T$8,""yyyy-mm-dd"")&amp;""' and Col2 &lt;= date '""&amp;TEXT(S$8,""yyyy-mm-dd"")&amp;""' label sum(Col16) ''"",0)))"),"")</f>
        <v/>
      </c>
      <c r="T97" s="628" t="str">
        <f>IFERROR(__xludf.DUMMYFUNCTION("IF($G97="""","""",IFERROR(query({proventos!$B$5:$Q310},""Select sum(Col16) where Col1 = '""&amp;$G97&amp;""' and Col2 &gt; date '""&amp;TEXT(U$8,""yyyy-mm-dd"")&amp;""' and Col2 &lt;= date '""&amp;TEXT(T$8,""yyyy-mm-dd"")&amp;""' label sum(Col16) ''"",0)))"),"")</f>
        <v/>
      </c>
      <c r="U97" s="629" t="str">
        <f>IFERROR(__xludf.DUMMYFUNCTION("IF($G97="""","""",IFERROR(query({proventos!$B$5:$Q310},""Select sum(Col16) where Col1 = '""&amp;$G97&amp;""' and Col2 &gt; date '""&amp;TEXT(EOMONTH(TODAY(),-13),""yyyy-mm-dd"")&amp;""' and Col2 &lt;= date '""&amp;TEXT(U$8,""yyyy-mm-dd"")&amp;""' label sum(Col16) ''"",0)))"),"")</f>
        <v/>
      </c>
      <c r="V97" s="630" t="str">
        <f>IFERROR(__xludf.DUMMYFUNCTION("IF($G97="""","""",IFERROR(query({proventos!$B$5:$Q310},""Select sum(Col16) where Col1 = '""&amp;$G97&amp;""' and Col2 &gt; date '""&amp;TEXT(DATE(V$8,1,1),""yyyy-mm-dd"")&amp;""' and Col2 &lt;= date '""&amp;TEXT(DATE(V$8,12,31),""yyyy-mm-dd"")&amp;""' label sum(Col16) ''"",0)))"),"")</f>
        <v/>
      </c>
      <c r="W97" s="630" t="str">
        <f>IFERROR(__xludf.DUMMYFUNCTION("IF($G97="""","""",IFERROR(query({proventos!$B$5:$Q310},""Select sum(Col16) where Col1 = '""&amp;$G97&amp;""' and Col2 &gt; date '""&amp;TEXT(DATE(W$8,1,1),""yyyy-mm-dd"")&amp;""' and Col2 &lt;= date '""&amp;TEXT(DATE(W$8,12,31),""yyyy-mm-dd"")&amp;""' label sum(Col16) ''"",0)))"),"")</f>
        <v/>
      </c>
      <c r="X97" s="630" t="str">
        <f>IFERROR(__xludf.DUMMYFUNCTION("IF($G97="""","""",IFERROR(query({proventos!$B$5:$Q310},""Select sum(Col16) where Col1 = '""&amp;$G97&amp;""' and Col2 &gt; date '""&amp;TEXT(DATE(X$8,1,1),""yyyy-mm-dd"")&amp;""' and Col2 &lt;= date '""&amp;TEXT(DATE(X$8,12,31),""yyyy-mm-dd"")&amp;""' label sum(Col16) ''"",0)))"),"")</f>
        <v/>
      </c>
      <c r="Y97" s="630" t="str">
        <f>IFERROR(__xludf.DUMMYFUNCTION("IF($G97="""","""",IFERROR(query({proventos!$B$5:$Q310},""Select sum(Col16) where Col1 = '""&amp;$G97&amp;""' and Col2 &gt; date '""&amp;TEXT(DATE(Y$8,1,1),""yyyy-mm-dd"")&amp;""' and Col2 &lt;= date '""&amp;TEXT(DATE(Y$8,12,31),""yyyy-mm-dd"")&amp;""' label sum(Col16) ''"",0)))"),"")</f>
        <v/>
      </c>
      <c r="Z97" s="630" t="str">
        <f>IFERROR(__xludf.DUMMYFUNCTION("IF($G97="""","""",IFERROR(query({proventos!$B$5:$Q310},""Select sum(Col16) where Col1 = '""&amp;$G97&amp;""' and Col2 &gt; date '""&amp;TEXT(DATE(Z$8,1,1),""yyyy-mm-dd"")&amp;""' and Col2 &lt;= date '""&amp;TEXT(DATE(Z$8,12,31),""yyyy-mm-dd"")&amp;""' label sum(Col16) ''"",0)))"),"")</f>
        <v/>
      </c>
      <c r="AA97" s="587"/>
      <c r="AB97" s="578" t="s">
        <v>123</v>
      </c>
      <c r="AC97" s="601"/>
      <c r="AD97" s="636"/>
      <c r="AE97" s="636"/>
    </row>
    <row r="98">
      <c r="A98" s="619">
        <v>88.0</v>
      </c>
      <c r="B98" s="620"/>
      <c r="C98" s="632"/>
      <c r="D98" s="633"/>
      <c r="E98" s="634"/>
      <c r="F98" s="624">
        <v>88.0</v>
      </c>
      <c r="G98" s="635"/>
      <c r="H98" s="626" t="str">
        <f>if(G98="","",IFERROR(VLOOKUP(G98,AtivosDados,MATCH("provento_avg",portfolio.!$A$3:AE$3,0),FALSE),""))</f>
        <v/>
      </c>
      <c r="I98" s="627" t="s">
        <v>123</v>
      </c>
      <c r="J98" s="628" t="str">
        <f>IFERROR(__xludf.DUMMYFUNCTION("IF($G98="""","""",IFERROR(query({proventos!$B$5:$Q310},""Select sum(Col16) where Col1 = '""&amp;$G98&amp;""' and Col2 &gt; date '""&amp;TEXT(K$8,""yyyy-mm-dd"")&amp;""' and Col2 &lt;= date '""&amp;TEXT(J$8,""yyyy-mm-dd"")&amp;""' label sum(Col16) ''"",0)))"),"")</f>
        <v/>
      </c>
      <c r="K98" s="628" t="str">
        <f>IFERROR(__xludf.DUMMYFUNCTION("IF($G98="""","""",IFERROR(query({proventos!$B$5:$Q310},""Select sum(Col16) where Col1 = '""&amp;$G98&amp;""' and Col2 &gt; date '""&amp;TEXT(L$8,""yyyy-mm-dd"")&amp;""' and Col2 &lt;= date '""&amp;TEXT(K$8,""yyyy-mm-dd"")&amp;""' label sum(Col16) ''"",0)))"),"")</f>
        <v/>
      </c>
      <c r="L98" s="628" t="str">
        <f>IFERROR(__xludf.DUMMYFUNCTION("IF($G98="""","""",IFERROR(query({proventos!$B$5:$Q310},""Select sum(Col16) where Col1 = '""&amp;$G98&amp;""' and Col2 &gt; date '""&amp;TEXT(M$8,""yyyy-mm-dd"")&amp;""' and Col2 &lt;= date '""&amp;TEXT(L$8,""yyyy-mm-dd"")&amp;""' label sum(Col16) ''"",0)))"),"")</f>
        <v/>
      </c>
      <c r="M98" s="628" t="str">
        <f>IFERROR(__xludf.DUMMYFUNCTION("IF($G98="""","""",IFERROR(query({proventos!$B$5:$Q310},""Select sum(Col16) where Col1 = '""&amp;$G98&amp;""' and Col2 &gt; date '""&amp;TEXT(N$8,""yyyy-mm-dd"")&amp;""' and Col2 &lt;= date '""&amp;TEXT(M$8,""yyyy-mm-dd"")&amp;""' label sum(Col16) ''"",0)))"),"")</f>
        <v/>
      </c>
      <c r="N98" s="628" t="str">
        <f>IFERROR(__xludf.DUMMYFUNCTION("IF($G98="""","""",IFERROR(query({proventos!$B$5:$Q310},""Select sum(Col16) where Col1 = '""&amp;$G98&amp;""' and Col2 &gt; date '""&amp;TEXT(O$8,""yyyy-mm-dd"")&amp;""' and Col2 &lt;= date '""&amp;TEXT(N$8,""yyyy-mm-dd"")&amp;""' label sum(Col16) ''"",0)))"),"")</f>
        <v/>
      </c>
      <c r="O98" s="628" t="str">
        <f>IFERROR(__xludf.DUMMYFUNCTION("IF($G98="""","""",IFERROR(query({proventos!$B$5:$Q310},""Select sum(Col16) where Col1 = '""&amp;$G98&amp;""' and Col2 &gt; date '""&amp;TEXT(P$8,""yyyy-mm-dd"")&amp;""' and Col2 &lt;= date '""&amp;TEXT(O$8,""yyyy-mm-dd"")&amp;""' label sum(Col16) ''"",0)))"),"")</f>
        <v/>
      </c>
      <c r="P98" s="628" t="str">
        <f>IFERROR(__xludf.DUMMYFUNCTION("IF($G98="""","""",IFERROR(query({proventos!$B$5:$Q310},""Select sum(Col16) where Col1 = '""&amp;$G98&amp;""' and Col2 &gt; date '""&amp;TEXT(Q$8,""yyyy-mm-dd"")&amp;""' and Col2 &lt;= date '""&amp;TEXT(P$8,""yyyy-mm-dd"")&amp;""' label sum(Col16) ''"",0)))"),"")</f>
        <v/>
      </c>
      <c r="Q98" s="628" t="str">
        <f>IFERROR(__xludf.DUMMYFUNCTION("IF($G98="""","""",IFERROR(query({proventos!$B$5:$Q310},""Select sum(Col16) where Col1 = '""&amp;$G98&amp;""' and Col2 &gt; date '""&amp;TEXT(R$8,""yyyy-mm-dd"")&amp;""' and Col2 &lt;= date '""&amp;TEXT(Q$8,""yyyy-mm-dd"")&amp;""' label sum(Col16) ''"",0)))"),"")</f>
        <v/>
      </c>
      <c r="R98" s="628" t="str">
        <f>IFERROR(__xludf.DUMMYFUNCTION("IF($G98="""","""",IFERROR(query({proventos!$B$5:$Q310},""Select sum(Col16) where Col1 = '""&amp;$G98&amp;""' and Col2 &gt; date '""&amp;TEXT(S$8,""yyyy-mm-dd"")&amp;""' and Col2 &lt;= date '""&amp;TEXT(R$8,""yyyy-mm-dd"")&amp;""' label sum(Col16) ''"",0)))"),"")</f>
        <v/>
      </c>
      <c r="S98" s="628" t="str">
        <f>IFERROR(__xludf.DUMMYFUNCTION("IF($G98="""","""",IFERROR(query({proventos!$B$5:$Q310},""Select sum(Col16) where Col1 = '""&amp;$G98&amp;""' and Col2 &gt; date '""&amp;TEXT(T$8,""yyyy-mm-dd"")&amp;""' and Col2 &lt;= date '""&amp;TEXT(S$8,""yyyy-mm-dd"")&amp;""' label sum(Col16) ''"",0)))"),"")</f>
        <v/>
      </c>
      <c r="T98" s="628" t="str">
        <f>IFERROR(__xludf.DUMMYFUNCTION("IF($G98="""","""",IFERROR(query({proventos!$B$5:$Q310},""Select sum(Col16) where Col1 = '""&amp;$G98&amp;""' and Col2 &gt; date '""&amp;TEXT(U$8,""yyyy-mm-dd"")&amp;""' and Col2 &lt;= date '""&amp;TEXT(T$8,""yyyy-mm-dd"")&amp;""' label sum(Col16) ''"",0)))"),"")</f>
        <v/>
      </c>
      <c r="U98" s="629" t="str">
        <f>IFERROR(__xludf.DUMMYFUNCTION("IF($G98="""","""",IFERROR(query({proventos!$B$5:$Q310},""Select sum(Col16) where Col1 = '""&amp;$G98&amp;""' and Col2 &gt; date '""&amp;TEXT(EOMONTH(TODAY(),-13),""yyyy-mm-dd"")&amp;""' and Col2 &lt;= date '""&amp;TEXT(U$8,""yyyy-mm-dd"")&amp;""' label sum(Col16) ''"",0)))"),"")</f>
        <v/>
      </c>
      <c r="V98" s="630" t="str">
        <f>IFERROR(__xludf.DUMMYFUNCTION("IF($G98="""","""",IFERROR(query({proventos!$B$5:$Q310},""Select sum(Col16) where Col1 = '""&amp;$G98&amp;""' and Col2 &gt; date '""&amp;TEXT(DATE(V$8,1,1),""yyyy-mm-dd"")&amp;""' and Col2 &lt;= date '""&amp;TEXT(DATE(V$8,12,31),""yyyy-mm-dd"")&amp;""' label sum(Col16) ''"",0)))"),"")</f>
        <v/>
      </c>
      <c r="W98" s="630" t="str">
        <f>IFERROR(__xludf.DUMMYFUNCTION("IF($G98="""","""",IFERROR(query({proventos!$B$5:$Q310},""Select sum(Col16) where Col1 = '""&amp;$G98&amp;""' and Col2 &gt; date '""&amp;TEXT(DATE(W$8,1,1),""yyyy-mm-dd"")&amp;""' and Col2 &lt;= date '""&amp;TEXT(DATE(W$8,12,31),""yyyy-mm-dd"")&amp;""' label sum(Col16) ''"",0)))"),"")</f>
        <v/>
      </c>
      <c r="X98" s="630" t="str">
        <f>IFERROR(__xludf.DUMMYFUNCTION("IF($G98="""","""",IFERROR(query({proventos!$B$5:$Q310},""Select sum(Col16) where Col1 = '""&amp;$G98&amp;""' and Col2 &gt; date '""&amp;TEXT(DATE(X$8,1,1),""yyyy-mm-dd"")&amp;""' and Col2 &lt;= date '""&amp;TEXT(DATE(X$8,12,31),""yyyy-mm-dd"")&amp;""' label sum(Col16) ''"",0)))"),"")</f>
        <v/>
      </c>
      <c r="Y98" s="630" t="str">
        <f>IFERROR(__xludf.DUMMYFUNCTION("IF($G98="""","""",IFERROR(query({proventos!$B$5:$Q310},""Select sum(Col16) where Col1 = '""&amp;$G98&amp;""' and Col2 &gt; date '""&amp;TEXT(DATE(Y$8,1,1),""yyyy-mm-dd"")&amp;""' and Col2 &lt;= date '""&amp;TEXT(DATE(Y$8,12,31),""yyyy-mm-dd"")&amp;""' label sum(Col16) ''"",0)))"),"")</f>
        <v/>
      </c>
      <c r="Z98" s="630" t="str">
        <f>IFERROR(__xludf.DUMMYFUNCTION("IF($G98="""","""",IFERROR(query({proventos!$B$5:$Q310},""Select sum(Col16) where Col1 = '""&amp;$G98&amp;""' and Col2 &gt; date '""&amp;TEXT(DATE(Z$8,1,1),""yyyy-mm-dd"")&amp;""' and Col2 &lt;= date '""&amp;TEXT(DATE(Z$8,12,31),""yyyy-mm-dd"")&amp;""' label sum(Col16) ''"",0)))"),"")</f>
        <v/>
      </c>
      <c r="AA98" s="587"/>
      <c r="AB98" s="578" t="s">
        <v>123</v>
      </c>
      <c r="AC98" s="601"/>
      <c r="AD98" s="636"/>
      <c r="AE98" s="636"/>
    </row>
    <row r="99">
      <c r="A99" s="619">
        <v>89.0</v>
      </c>
      <c r="B99" s="620"/>
      <c r="C99" s="632"/>
      <c r="D99" s="633"/>
      <c r="E99" s="634"/>
      <c r="F99" s="624">
        <v>89.0</v>
      </c>
      <c r="G99" s="635"/>
      <c r="H99" s="626" t="str">
        <f>if(G99="","",IFERROR(VLOOKUP(G99,AtivosDados,MATCH("provento_avg",portfolio.!$A$3:AE$3,0),FALSE),""))</f>
        <v/>
      </c>
      <c r="I99" s="627" t="s">
        <v>123</v>
      </c>
      <c r="J99" s="628" t="str">
        <f>IFERROR(__xludf.DUMMYFUNCTION("IF($G99="""","""",IFERROR(query({proventos!$B$5:$Q310},""Select sum(Col16) where Col1 = '""&amp;$G99&amp;""' and Col2 &gt; date '""&amp;TEXT(K$8,""yyyy-mm-dd"")&amp;""' and Col2 &lt;= date '""&amp;TEXT(J$8,""yyyy-mm-dd"")&amp;""' label sum(Col16) ''"",0)))"),"")</f>
        <v/>
      </c>
      <c r="K99" s="628" t="str">
        <f>IFERROR(__xludf.DUMMYFUNCTION("IF($G99="""","""",IFERROR(query({proventos!$B$5:$Q310},""Select sum(Col16) where Col1 = '""&amp;$G99&amp;""' and Col2 &gt; date '""&amp;TEXT(L$8,""yyyy-mm-dd"")&amp;""' and Col2 &lt;= date '""&amp;TEXT(K$8,""yyyy-mm-dd"")&amp;""' label sum(Col16) ''"",0)))"),"")</f>
        <v/>
      </c>
      <c r="L99" s="628" t="str">
        <f>IFERROR(__xludf.DUMMYFUNCTION("IF($G99="""","""",IFERROR(query({proventos!$B$5:$Q310},""Select sum(Col16) where Col1 = '""&amp;$G99&amp;""' and Col2 &gt; date '""&amp;TEXT(M$8,""yyyy-mm-dd"")&amp;""' and Col2 &lt;= date '""&amp;TEXT(L$8,""yyyy-mm-dd"")&amp;""' label sum(Col16) ''"",0)))"),"")</f>
        <v/>
      </c>
      <c r="M99" s="628" t="str">
        <f>IFERROR(__xludf.DUMMYFUNCTION("IF($G99="""","""",IFERROR(query({proventos!$B$5:$Q310},""Select sum(Col16) where Col1 = '""&amp;$G99&amp;""' and Col2 &gt; date '""&amp;TEXT(N$8,""yyyy-mm-dd"")&amp;""' and Col2 &lt;= date '""&amp;TEXT(M$8,""yyyy-mm-dd"")&amp;""' label sum(Col16) ''"",0)))"),"")</f>
        <v/>
      </c>
      <c r="N99" s="628" t="str">
        <f>IFERROR(__xludf.DUMMYFUNCTION("IF($G99="""","""",IFERROR(query({proventos!$B$5:$Q310},""Select sum(Col16) where Col1 = '""&amp;$G99&amp;""' and Col2 &gt; date '""&amp;TEXT(O$8,""yyyy-mm-dd"")&amp;""' and Col2 &lt;= date '""&amp;TEXT(N$8,""yyyy-mm-dd"")&amp;""' label sum(Col16) ''"",0)))"),"")</f>
        <v/>
      </c>
      <c r="O99" s="628" t="str">
        <f>IFERROR(__xludf.DUMMYFUNCTION("IF($G99="""","""",IFERROR(query({proventos!$B$5:$Q310},""Select sum(Col16) where Col1 = '""&amp;$G99&amp;""' and Col2 &gt; date '""&amp;TEXT(P$8,""yyyy-mm-dd"")&amp;""' and Col2 &lt;= date '""&amp;TEXT(O$8,""yyyy-mm-dd"")&amp;""' label sum(Col16) ''"",0)))"),"")</f>
        <v/>
      </c>
      <c r="P99" s="628" t="str">
        <f>IFERROR(__xludf.DUMMYFUNCTION("IF($G99="""","""",IFERROR(query({proventos!$B$5:$Q310},""Select sum(Col16) where Col1 = '""&amp;$G99&amp;""' and Col2 &gt; date '""&amp;TEXT(Q$8,""yyyy-mm-dd"")&amp;""' and Col2 &lt;= date '""&amp;TEXT(P$8,""yyyy-mm-dd"")&amp;""' label sum(Col16) ''"",0)))"),"")</f>
        <v/>
      </c>
      <c r="Q99" s="628" t="str">
        <f>IFERROR(__xludf.DUMMYFUNCTION("IF($G99="""","""",IFERROR(query({proventos!$B$5:$Q310},""Select sum(Col16) where Col1 = '""&amp;$G99&amp;""' and Col2 &gt; date '""&amp;TEXT(R$8,""yyyy-mm-dd"")&amp;""' and Col2 &lt;= date '""&amp;TEXT(Q$8,""yyyy-mm-dd"")&amp;""' label sum(Col16) ''"",0)))"),"")</f>
        <v/>
      </c>
      <c r="R99" s="628" t="str">
        <f>IFERROR(__xludf.DUMMYFUNCTION("IF($G99="""","""",IFERROR(query({proventos!$B$5:$Q310},""Select sum(Col16) where Col1 = '""&amp;$G99&amp;""' and Col2 &gt; date '""&amp;TEXT(S$8,""yyyy-mm-dd"")&amp;""' and Col2 &lt;= date '""&amp;TEXT(R$8,""yyyy-mm-dd"")&amp;""' label sum(Col16) ''"",0)))"),"")</f>
        <v/>
      </c>
      <c r="S99" s="628" t="str">
        <f>IFERROR(__xludf.DUMMYFUNCTION("IF($G99="""","""",IFERROR(query({proventos!$B$5:$Q310},""Select sum(Col16) where Col1 = '""&amp;$G99&amp;""' and Col2 &gt; date '""&amp;TEXT(T$8,""yyyy-mm-dd"")&amp;""' and Col2 &lt;= date '""&amp;TEXT(S$8,""yyyy-mm-dd"")&amp;""' label sum(Col16) ''"",0)))"),"")</f>
        <v/>
      </c>
      <c r="T99" s="628" t="str">
        <f>IFERROR(__xludf.DUMMYFUNCTION("IF($G99="""","""",IFERROR(query({proventos!$B$5:$Q310},""Select sum(Col16) where Col1 = '""&amp;$G99&amp;""' and Col2 &gt; date '""&amp;TEXT(U$8,""yyyy-mm-dd"")&amp;""' and Col2 &lt;= date '""&amp;TEXT(T$8,""yyyy-mm-dd"")&amp;""' label sum(Col16) ''"",0)))"),"")</f>
        <v/>
      </c>
      <c r="U99" s="629" t="str">
        <f>IFERROR(__xludf.DUMMYFUNCTION("IF($G99="""","""",IFERROR(query({proventos!$B$5:$Q310},""Select sum(Col16) where Col1 = '""&amp;$G99&amp;""' and Col2 &gt; date '""&amp;TEXT(EOMONTH(TODAY(),-13),""yyyy-mm-dd"")&amp;""' and Col2 &lt;= date '""&amp;TEXT(U$8,""yyyy-mm-dd"")&amp;""' label sum(Col16) ''"",0)))"),"")</f>
        <v/>
      </c>
      <c r="V99" s="630" t="str">
        <f>IFERROR(__xludf.DUMMYFUNCTION("IF($G99="""","""",IFERROR(query({proventos!$B$5:$Q310},""Select sum(Col16) where Col1 = '""&amp;$G99&amp;""' and Col2 &gt; date '""&amp;TEXT(DATE(V$8,1,1),""yyyy-mm-dd"")&amp;""' and Col2 &lt;= date '""&amp;TEXT(DATE(V$8,12,31),""yyyy-mm-dd"")&amp;""' label sum(Col16) ''"",0)))"),"")</f>
        <v/>
      </c>
      <c r="W99" s="630" t="str">
        <f>IFERROR(__xludf.DUMMYFUNCTION("IF($G99="""","""",IFERROR(query({proventos!$B$5:$Q310},""Select sum(Col16) where Col1 = '""&amp;$G99&amp;""' and Col2 &gt; date '""&amp;TEXT(DATE(W$8,1,1),""yyyy-mm-dd"")&amp;""' and Col2 &lt;= date '""&amp;TEXT(DATE(W$8,12,31),""yyyy-mm-dd"")&amp;""' label sum(Col16) ''"",0)))"),"")</f>
        <v/>
      </c>
      <c r="X99" s="630" t="str">
        <f>IFERROR(__xludf.DUMMYFUNCTION("IF($G99="""","""",IFERROR(query({proventos!$B$5:$Q310},""Select sum(Col16) where Col1 = '""&amp;$G99&amp;""' and Col2 &gt; date '""&amp;TEXT(DATE(X$8,1,1),""yyyy-mm-dd"")&amp;""' and Col2 &lt;= date '""&amp;TEXT(DATE(X$8,12,31),""yyyy-mm-dd"")&amp;""' label sum(Col16) ''"",0)))"),"")</f>
        <v/>
      </c>
      <c r="Y99" s="630" t="str">
        <f>IFERROR(__xludf.DUMMYFUNCTION("IF($G99="""","""",IFERROR(query({proventos!$B$5:$Q310},""Select sum(Col16) where Col1 = '""&amp;$G99&amp;""' and Col2 &gt; date '""&amp;TEXT(DATE(Y$8,1,1),""yyyy-mm-dd"")&amp;""' and Col2 &lt;= date '""&amp;TEXT(DATE(Y$8,12,31),""yyyy-mm-dd"")&amp;""' label sum(Col16) ''"",0)))"),"")</f>
        <v/>
      </c>
      <c r="Z99" s="630" t="str">
        <f>IFERROR(__xludf.DUMMYFUNCTION("IF($G99="""","""",IFERROR(query({proventos!$B$5:$Q310},""Select sum(Col16) where Col1 = '""&amp;$G99&amp;""' and Col2 &gt; date '""&amp;TEXT(DATE(Z$8,1,1),""yyyy-mm-dd"")&amp;""' and Col2 &lt;= date '""&amp;TEXT(DATE(Z$8,12,31),""yyyy-mm-dd"")&amp;""' label sum(Col16) ''"",0)))"),"")</f>
        <v/>
      </c>
      <c r="AA99" s="587"/>
      <c r="AB99" s="578" t="s">
        <v>123</v>
      </c>
      <c r="AC99" s="601"/>
      <c r="AD99" s="636"/>
      <c r="AE99" s="636"/>
    </row>
    <row r="100">
      <c r="A100" s="619">
        <v>90.0</v>
      </c>
      <c r="B100" s="620"/>
      <c r="C100" s="632"/>
      <c r="D100" s="633"/>
      <c r="E100" s="634"/>
      <c r="F100" s="624">
        <v>90.0</v>
      </c>
      <c r="G100" s="635"/>
      <c r="H100" s="626" t="str">
        <f>if(G100="","",IFERROR(VLOOKUP(G100,AtivosDados,MATCH("provento_avg",portfolio.!$A$3:AE$3,0),FALSE),""))</f>
        <v/>
      </c>
      <c r="I100" s="627" t="s">
        <v>123</v>
      </c>
      <c r="J100" s="628" t="str">
        <f>IFERROR(__xludf.DUMMYFUNCTION("IF($G100="""","""",IFERROR(query({proventos!$B$5:$Q310},""Select sum(Col16) where Col1 = '""&amp;$G100&amp;""' and Col2 &gt; date '""&amp;TEXT(K$8,""yyyy-mm-dd"")&amp;""' and Col2 &lt;= date '""&amp;TEXT(J$8,""yyyy-mm-dd"")&amp;""' label sum(Col16) ''"",0)))"),"")</f>
        <v/>
      </c>
      <c r="K100" s="628" t="str">
        <f>IFERROR(__xludf.DUMMYFUNCTION("IF($G100="""","""",IFERROR(query({proventos!$B$5:$Q310},""Select sum(Col16) where Col1 = '""&amp;$G100&amp;""' and Col2 &gt; date '""&amp;TEXT(L$8,""yyyy-mm-dd"")&amp;""' and Col2 &lt;= date '""&amp;TEXT(K$8,""yyyy-mm-dd"")&amp;""' label sum(Col16) ''"",0)))"),"")</f>
        <v/>
      </c>
      <c r="L100" s="628" t="str">
        <f>IFERROR(__xludf.DUMMYFUNCTION("IF($G100="""","""",IFERROR(query({proventos!$B$5:$Q310},""Select sum(Col16) where Col1 = '""&amp;$G100&amp;""' and Col2 &gt; date '""&amp;TEXT(M$8,""yyyy-mm-dd"")&amp;""' and Col2 &lt;= date '""&amp;TEXT(L$8,""yyyy-mm-dd"")&amp;""' label sum(Col16) ''"",0)))"),"")</f>
        <v/>
      </c>
      <c r="M100" s="628" t="str">
        <f>IFERROR(__xludf.DUMMYFUNCTION("IF($G100="""","""",IFERROR(query({proventos!$B$5:$Q310},""Select sum(Col16) where Col1 = '""&amp;$G100&amp;""' and Col2 &gt; date '""&amp;TEXT(N$8,""yyyy-mm-dd"")&amp;""' and Col2 &lt;= date '""&amp;TEXT(M$8,""yyyy-mm-dd"")&amp;""' label sum(Col16) ''"",0)))"),"")</f>
        <v/>
      </c>
      <c r="N100" s="628" t="str">
        <f>IFERROR(__xludf.DUMMYFUNCTION("IF($G100="""","""",IFERROR(query({proventos!$B$5:$Q310},""Select sum(Col16) where Col1 = '""&amp;$G100&amp;""' and Col2 &gt; date '""&amp;TEXT(O$8,""yyyy-mm-dd"")&amp;""' and Col2 &lt;= date '""&amp;TEXT(N$8,""yyyy-mm-dd"")&amp;""' label sum(Col16) ''"",0)))"),"")</f>
        <v/>
      </c>
      <c r="O100" s="628" t="str">
        <f>IFERROR(__xludf.DUMMYFUNCTION("IF($G100="""","""",IFERROR(query({proventos!$B$5:$Q310},""Select sum(Col16) where Col1 = '""&amp;$G100&amp;""' and Col2 &gt; date '""&amp;TEXT(P$8,""yyyy-mm-dd"")&amp;""' and Col2 &lt;= date '""&amp;TEXT(O$8,""yyyy-mm-dd"")&amp;""' label sum(Col16) ''"",0)))"),"")</f>
        <v/>
      </c>
      <c r="P100" s="628" t="str">
        <f>IFERROR(__xludf.DUMMYFUNCTION("IF($G100="""","""",IFERROR(query({proventos!$B$5:$Q310},""Select sum(Col16) where Col1 = '""&amp;$G100&amp;""' and Col2 &gt; date '""&amp;TEXT(Q$8,""yyyy-mm-dd"")&amp;""' and Col2 &lt;= date '""&amp;TEXT(P$8,""yyyy-mm-dd"")&amp;""' label sum(Col16) ''"",0)))"),"")</f>
        <v/>
      </c>
      <c r="Q100" s="628" t="str">
        <f>IFERROR(__xludf.DUMMYFUNCTION("IF($G100="""","""",IFERROR(query({proventos!$B$5:$Q310},""Select sum(Col16) where Col1 = '""&amp;$G100&amp;""' and Col2 &gt; date '""&amp;TEXT(R$8,""yyyy-mm-dd"")&amp;""' and Col2 &lt;= date '""&amp;TEXT(Q$8,""yyyy-mm-dd"")&amp;""' label sum(Col16) ''"",0)))"),"")</f>
        <v/>
      </c>
      <c r="R100" s="628" t="str">
        <f>IFERROR(__xludf.DUMMYFUNCTION("IF($G100="""","""",IFERROR(query({proventos!$B$5:$Q310},""Select sum(Col16) where Col1 = '""&amp;$G100&amp;""' and Col2 &gt; date '""&amp;TEXT(S$8,""yyyy-mm-dd"")&amp;""' and Col2 &lt;= date '""&amp;TEXT(R$8,""yyyy-mm-dd"")&amp;""' label sum(Col16) ''"",0)))"),"")</f>
        <v/>
      </c>
      <c r="S100" s="628" t="str">
        <f>IFERROR(__xludf.DUMMYFUNCTION("IF($G100="""","""",IFERROR(query({proventos!$B$5:$Q310},""Select sum(Col16) where Col1 = '""&amp;$G100&amp;""' and Col2 &gt; date '""&amp;TEXT(T$8,""yyyy-mm-dd"")&amp;""' and Col2 &lt;= date '""&amp;TEXT(S$8,""yyyy-mm-dd"")&amp;""' label sum(Col16) ''"",0)))"),"")</f>
        <v/>
      </c>
      <c r="T100" s="628" t="str">
        <f>IFERROR(__xludf.DUMMYFUNCTION("IF($G100="""","""",IFERROR(query({proventos!$B$5:$Q310},""Select sum(Col16) where Col1 = '""&amp;$G100&amp;""' and Col2 &gt; date '""&amp;TEXT(U$8,""yyyy-mm-dd"")&amp;""' and Col2 &lt;= date '""&amp;TEXT(T$8,""yyyy-mm-dd"")&amp;""' label sum(Col16) ''"",0)))"),"")</f>
        <v/>
      </c>
      <c r="U100" s="629" t="str">
        <f>IFERROR(__xludf.DUMMYFUNCTION("IF($G100="""","""",IFERROR(query({proventos!$B$5:$Q310},""Select sum(Col16) where Col1 = '""&amp;$G100&amp;""' and Col2 &gt; date '""&amp;TEXT(EOMONTH(TODAY(),-13),""yyyy-mm-dd"")&amp;""' and Col2 &lt;= date '""&amp;TEXT(U$8,""yyyy-mm-dd"")&amp;""' label sum(Col16) ''"",0)))"),"")</f>
        <v/>
      </c>
      <c r="V100" s="630" t="str">
        <f>IFERROR(__xludf.DUMMYFUNCTION("IF($G100="""","""",IFERROR(query({proventos!$B$5:$Q310},""Select sum(Col16) where Col1 = '""&amp;$G100&amp;""' and Col2 &gt; date '""&amp;TEXT(DATE(V$8,1,1),""yyyy-mm-dd"")&amp;""' and Col2 &lt;= date '""&amp;TEXT(DATE(V$8,12,31),""yyyy-mm-dd"")&amp;""' label sum(Col16) ''"",0)))"),"")</f>
        <v/>
      </c>
      <c r="W100" s="630" t="str">
        <f>IFERROR(__xludf.DUMMYFUNCTION("IF($G100="""","""",IFERROR(query({proventos!$B$5:$Q310},""Select sum(Col16) where Col1 = '""&amp;$G100&amp;""' and Col2 &gt; date '""&amp;TEXT(DATE(W$8,1,1),""yyyy-mm-dd"")&amp;""' and Col2 &lt;= date '""&amp;TEXT(DATE(W$8,12,31),""yyyy-mm-dd"")&amp;""' label sum(Col16) ''"",0)))"),"")</f>
        <v/>
      </c>
      <c r="X100" s="630" t="str">
        <f>IFERROR(__xludf.DUMMYFUNCTION("IF($G100="""","""",IFERROR(query({proventos!$B$5:$Q310},""Select sum(Col16) where Col1 = '""&amp;$G100&amp;""' and Col2 &gt; date '""&amp;TEXT(DATE(X$8,1,1),""yyyy-mm-dd"")&amp;""' and Col2 &lt;= date '""&amp;TEXT(DATE(X$8,12,31),""yyyy-mm-dd"")&amp;""' label sum(Col16) ''"",0)))"),"")</f>
        <v/>
      </c>
      <c r="Y100" s="630" t="str">
        <f>IFERROR(__xludf.DUMMYFUNCTION("IF($G100="""","""",IFERROR(query({proventos!$B$5:$Q310},""Select sum(Col16) where Col1 = '""&amp;$G100&amp;""' and Col2 &gt; date '""&amp;TEXT(DATE(Y$8,1,1),""yyyy-mm-dd"")&amp;""' and Col2 &lt;= date '""&amp;TEXT(DATE(Y$8,12,31),""yyyy-mm-dd"")&amp;""' label sum(Col16) ''"",0)))"),"")</f>
        <v/>
      </c>
      <c r="Z100" s="630" t="str">
        <f>IFERROR(__xludf.DUMMYFUNCTION("IF($G100="""","""",IFERROR(query({proventos!$B$5:$Q310},""Select sum(Col16) where Col1 = '""&amp;$G100&amp;""' and Col2 &gt; date '""&amp;TEXT(DATE(Z$8,1,1),""yyyy-mm-dd"")&amp;""' and Col2 &lt;= date '""&amp;TEXT(DATE(Z$8,12,31),""yyyy-mm-dd"")&amp;""' label sum(Col16) ''"",0)))"),"")</f>
        <v/>
      </c>
      <c r="AA100" s="587"/>
      <c r="AB100" s="578" t="s">
        <v>123</v>
      </c>
      <c r="AC100" s="601"/>
      <c r="AD100" s="636"/>
      <c r="AE100" s="636"/>
    </row>
    <row r="101">
      <c r="A101" s="619">
        <v>91.0</v>
      </c>
      <c r="B101" s="620"/>
      <c r="C101" s="632"/>
      <c r="D101" s="633"/>
      <c r="E101" s="634"/>
      <c r="F101" s="624">
        <v>91.0</v>
      </c>
      <c r="G101" s="635"/>
      <c r="H101" s="626" t="str">
        <f>if(G101="","",IFERROR(VLOOKUP(G101,AtivosDados,MATCH("provento_avg",portfolio.!$A$3:AE$3,0),FALSE),""))</f>
        <v/>
      </c>
      <c r="I101" s="627" t="s">
        <v>123</v>
      </c>
      <c r="J101" s="628" t="str">
        <f>IFERROR(__xludf.DUMMYFUNCTION("IF($G101="""","""",IFERROR(query({proventos!$B$5:$Q310},""Select sum(Col16) where Col1 = '""&amp;$G101&amp;""' and Col2 &gt; date '""&amp;TEXT(K$8,""yyyy-mm-dd"")&amp;""' and Col2 &lt;= date '""&amp;TEXT(J$8,""yyyy-mm-dd"")&amp;""' label sum(Col16) ''"",0)))"),"")</f>
        <v/>
      </c>
      <c r="K101" s="628" t="str">
        <f>IFERROR(__xludf.DUMMYFUNCTION("IF($G101="""","""",IFERROR(query({proventos!$B$5:$Q310},""Select sum(Col16) where Col1 = '""&amp;$G101&amp;""' and Col2 &gt; date '""&amp;TEXT(L$8,""yyyy-mm-dd"")&amp;""' and Col2 &lt;= date '""&amp;TEXT(K$8,""yyyy-mm-dd"")&amp;""' label sum(Col16) ''"",0)))"),"")</f>
        <v/>
      </c>
      <c r="L101" s="628" t="str">
        <f>IFERROR(__xludf.DUMMYFUNCTION("IF($G101="""","""",IFERROR(query({proventos!$B$5:$Q310},""Select sum(Col16) where Col1 = '""&amp;$G101&amp;""' and Col2 &gt; date '""&amp;TEXT(M$8,""yyyy-mm-dd"")&amp;""' and Col2 &lt;= date '""&amp;TEXT(L$8,""yyyy-mm-dd"")&amp;""' label sum(Col16) ''"",0)))"),"")</f>
        <v/>
      </c>
      <c r="M101" s="628" t="str">
        <f>IFERROR(__xludf.DUMMYFUNCTION("IF($G101="""","""",IFERROR(query({proventos!$B$5:$Q310},""Select sum(Col16) where Col1 = '""&amp;$G101&amp;""' and Col2 &gt; date '""&amp;TEXT(N$8,""yyyy-mm-dd"")&amp;""' and Col2 &lt;= date '""&amp;TEXT(M$8,""yyyy-mm-dd"")&amp;""' label sum(Col16) ''"",0)))"),"")</f>
        <v/>
      </c>
      <c r="N101" s="628" t="str">
        <f>IFERROR(__xludf.DUMMYFUNCTION("IF($G101="""","""",IFERROR(query({proventos!$B$5:$Q310},""Select sum(Col16) where Col1 = '""&amp;$G101&amp;""' and Col2 &gt; date '""&amp;TEXT(O$8,""yyyy-mm-dd"")&amp;""' and Col2 &lt;= date '""&amp;TEXT(N$8,""yyyy-mm-dd"")&amp;""' label sum(Col16) ''"",0)))"),"")</f>
        <v/>
      </c>
      <c r="O101" s="628" t="str">
        <f>IFERROR(__xludf.DUMMYFUNCTION("IF($G101="""","""",IFERROR(query({proventos!$B$5:$Q310},""Select sum(Col16) where Col1 = '""&amp;$G101&amp;""' and Col2 &gt; date '""&amp;TEXT(P$8,""yyyy-mm-dd"")&amp;""' and Col2 &lt;= date '""&amp;TEXT(O$8,""yyyy-mm-dd"")&amp;""' label sum(Col16) ''"",0)))"),"")</f>
        <v/>
      </c>
      <c r="P101" s="628" t="str">
        <f>IFERROR(__xludf.DUMMYFUNCTION("IF($G101="""","""",IFERROR(query({proventos!$B$5:$Q310},""Select sum(Col16) where Col1 = '""&amp;$G101&amp;""' and Col2 &gt; date '""&amp;TEXT(Q$8,""yyyy-mm-dd"")&amp;""' and Col2 &lt;= date '""&amp;TEXT(P$8,""yyyy-mm-dd"")&amp;""' label sum(Col16) ''"",0)))"),"")</f>
        <v/>
      </c>
      <c r="Q101" s="628" t="str">
        <f>IFERROR(__xludf.DUMMYFUNCTION("IF($G101="""","""",IFERROR(query({proventos!$B$5:$Q310},""Select sum(Col16) where Col1 = '""&amp;$G101&amp;""' and Col2 &gt; date '""&amp;TEXT(R$8,""yyyy-mm-dd"")&amp;""' and Col2 &lt;= date '""&amp;TEXT(Q$8,""yyyy-mm-dd"")&amp;""' label sum(Col16) ''"",0)))"),"")</f>
        <v/>
      </c>
      <c r="R101" s="628" t="str">
        <f>IFERROR(__xludf.DUMMYFUNCTION("IF($G101="""","""",IFERROR(query({proventos!$B$5:$Q310},""Select sum(Col16) where Col1 = '""&amp;$G101&amp;""' and Col2 &gt; date '""&amp;TEXT(S$8,""yyyy-mm-dd"")&amp;""' and Col2 &lt;= date '""&amp;TEXT(R$8,""yyyy-mm-dd"")&amp;""' label sum(Col16) ''"",0)))"),"")</f>
        <v/>
      </c>
      <c r="S101" s="628" t="str">
        <f>IFERROR(__xludf.DUMMYFUNCTION("IF($G101="""","""",IFERROR(query({proventos!$B$5:$Q310},""Select sum(Col16) where Col1 = '""&amp;$G101&amp;""' and Col2 &gt; date '""&amp;TEXT(T$8,""yyyy-mm-dd"")&amp;""' and Col2 &lt;= date '""&amp;TEXT(S$8,""yyyy-mm-dd"")&amp;""' label sum(Col16) ''"",0)))"),"")</f>
        <v/>
      </c>
      <c r="T101" s="628" t="str">
        <f>IFERROR(__xludf.DUMMYFUNCTION("IF($G101="""","""",IFERROR(query({proventos!$B$5:$Q310},""Select sum(Col16) where Col1 = '""&amp;$G101&amp;""' and Col2 &gt; date '""&amp;TEXT(U$8,""yyyy-mm-dd"")&amp;""' and Col2 &lt;= date '""&amp;TEXT(T$8,""yyyy-mm-dd"")&amp;""' label sum(Col16) ''"",0)))"),"")</f>
        <v/>
      </c>
      <c r="U101" s="629" t="str">
        <f>IFERROR(__xludf.DUMMYFUNCTION("IF($G101="""","""",IFERROR(query({proventos!$B$5:$Q310},""Select sum(Col16) where Col1 = '""&amp;$G101&amp;""' and Col2 &gt; date '""&amp;TEXT(EOMONTH(TODAY(),-13),""yyyy-mm-dd"")&amp;""' and Col2 &lt;= date '""&amp;TEXT(U$8,""yyyy-mm-dd"")&amp;""' label sum(Col16) ''"",0)))"),"")</f>
        <v/>
      </c>
      <c r="V101" s="630" t="str">
        <f>IFERROR(__xludf.DUMMYFUNCTION("IF($G101="""","""",IFERROR(query({proventos!$B$5:$Q310},""Select sum(Col16) where Col1 = '""&amp;$G101&amp;""' and Col2 &gt; date '""&amp;TEXT(DATE(V$8,1,1),""yyyy-mm-dd"")&amp;""' and Col2 &lt;= date '""&amp;TEXT(DATE(V$8,12,31),""yyyy-mm-dd"")&amp;""' label sum(Col16) ''"",0)))"),"")</f>
        <v/>
      </c>
      <c r="W101" s="630" t="str">
        <f>IFERROR(__xludf.DUMMYFUNCTION("IF($G101="""","""",IFERROR(query({proventos!$B$5:$Q310},""Select sum(Col16) where Col1 = '""&amp;$G101&amp;""' and Col2 &gt; date '""&amp;TEXT(DATE(W$8,1,1),""yyyy-mm-dd"")&amp;""' and Col2 &lt;= date '""&amp;TEXT(DATE(W$8,12,31),""yyyy-mm-dd"")&amp;""' label sum(Col16) ''"",0)))"),"")</f>
        <v/>
      </c>
      <c r="X101" s="630" t="str">
        <f>IFERROR(__xludf.DUMMYFUNCTION("IF($G101="""","""",IFERROR(query({proventos!$B$5:$Q310},""Select sum(Col16) where Col1 = '""&amp;$G101&amp;""' and Col2 &gt; date '""&amp;TEXT(DATE(X$8,1,1),""yyyy-mm-dd"")&amp;""' and Col2 &lt;= date '""&amp;TEXT(DATE(X$8,12,31),""yyyy-mm-dd"")&amp;""' label sum(Col16) ''"",0)))"),"")</f>
        <v/>
      </c>
      <c r="Y101" s="630" t="str">
        <f>IFERROR(__xludf.DUMMYFUNCTION("IF($G101="""","""",IFERROR(query({proventos!$B$5:$Q310},""Select sum(Col16) where Col1 = '""&amp;$G101&amp;""' and Col2 &gt; date '""&amp;TEXT(DATE(Y$8,1,1),""yyyy-mm-dd"")&amp;""' and Col2 &lt;= date '""&amp;TEXT(DATE(Y$8,12,31),""yyyy-mm-dd"")&amp;""' label sum(Col16) ''"",0)))"),"")</f>
        <v/>
      </c>
      <c r="Z101" s="630" t="str">
        <f>IFERROR(__xludf.DUMMYFUNCTION("IF($G101="""","""",IFERROR(query({proventos!$B$5:$Q310},""Select sum(Col16) where Col1 = '""&amp;$G101&amp;""' and Col2 &gt; date '""&amp;TEXT(DATE(Z$8,1,1),""yyyy-mm-dd"")&amp;""' and Col2 &lt;= date '""&amp;TEXT(DATE(Z$8,12,31),""yyyy-mm-dd"")&amp;""' label sum(Col16) ''"",0)))"),"")</f>
        <v/>
      </c>
      <c r="AA101" s="587"/>
      <c r="AB101" s="578" t="s">
        <v>123</v>
      </c>
      <c r="AC101" s="601"/>
      <c r="AD101" s="636"/>
      <c r="AE101" s="636"/>
    </row>
    <row r="102">
      <c r="A102" s="619">
        <v>92.0</v>
      </c>
      <c r="B102" s="620"/>
      <c r="C102" s="632"/>
      <c r="D102" s="633"/>
      <c r="E102" s="634"/>
      <c r="F102" s="624">
        <v>92.0</v>
      </c>
      <c r="G102" s="635"/>
      <c r="H102" s="626" t="str">
        <f>if(G102="","",IFERROR(VLOOKUP(G102,AtivosDados,MATCH("provento_avg",portfolio.!$A$3:AE$3,0),FALSE),""))</f>
        <v/>
      </c>
      <c r="I102" s="627" t="s">
        <v>123</v>
      </c>
      <c r="J102" s="628" t="str">
        <f>IFERROR(__xludf.DUMMYFUNCTION("IF($G102="""","""",IFERROR(query({proventos!$B$5:$Q310},""Select sum(Col16) where Col1 = '""&amp;$G102&amp;""' and Col2 &gt; date '""&amp;TEXT(K$8,""yyyy-mm-dd"")&amp;""' and Col2 &lt;= date '""&amp;TEXT(J$8,""yyyy-mm-dd"")&amp;""' label sum(Col16) ''"",0)))"),"")</f>
        <v/>
      </c>
      <c r="K102" s="628" t="str">
        <f>IFERROR(__xludf.DUMMYFUNCTION("IF($G102="""","""",IFERROR(query({proventos!$B$5:$Q310},""Select sum(Col16) where Col1 = '""&amp;$G102&amp;""' and Col2 &gt; date '""&amp;TEXT(L$8,""yyyy-mm-dd"")&amp;""' and Col2 &lt;= date '""&amp;TEXT(K$8,""yyyy-mm-dd"")&amp;""' label sum(Col16) ''"",0)))"),"")</f>
        <v/>
      </c>
      <c r="L102" s="628" t="str">
        <f>IFERROR(__xludf.DUMMYFUNCTION("IF($G102="""","""",IFERROR(query({proventos!$B$5:$Q310},""Select sum(Col16) where Col1 = '""&amp;$G102&amp;""' and Col2 &gt; date '""&amp;TEXT(M$8,""yyyy-mm-dd"")&amp;""' and Col2 &lt;= date '""&amp;TEXT(L$8,""yyyy-mm-dd"")&amp;""' label sum(Col16) ''"",0)))"),"")</f>
        <v/>
      </c>
      <c r="M102" s="628" t="str">
        <f>IFERROR(__xludf.DUMMYFUNCTION("IF($G102="""","""",IFERROR(query({proventos!$B$5:$Q310},""Select sum(Col16) where Col1 = '""&amp;$G102&amp;""' and Col2 &gt; date '""&amp;TEXT(N$8,""yyyy-mm-dd"")&amp;""' and Col2 &lt;= date '""&amp;TEXT(M$8,""yyyy-mm-dd"")&amp;""' label sum(Col16) ''"",0)))"),"")</f>
        <v/>
      </c>
      <c r="N102" s="628" t="str">
        <f>IFERROR(__xludf.DUMMYFUNCTION("IF($G102="""","""",IFERROR(query({proventos!$B$5:$Q310},""Select sum(Col16) where Col1 = '""&amp;$G102&amp;""' and Col2 &gt; date '""&amp;TEXT(O$8,""yyyy-mm-dd"")&amp;""' and Col2 &lt;= date '""&amp;TEXT(N$8,""yyyy-mm-dd"")&amp;""' label sum(Col16) ''"",0)))"),"")</f>
        <v/>
      </c>
      <c r="O102" s="628" t="str">
        <f>IFERROR(__xludf.DUMMYFUNCTION("IF($G102="""","""",IFERROR(query({proventos!$B$5:$Q310},""Select sum(Col16) where Col1 = '""&amp;$G102&amp;""' and Col2 &gt; date '""&amp;TEXT(P$8,""yyyy-mm-dd"")&amp;""' and Col2 &lt;= date '""&amp;TEXT(O$8,""yyyy-mm-dd"")&amp;""' label sum(Col16) ''"",0)))"),"")</f>
        <v/>
      </c>
      <c r="P102" s="628" t="str">
        <f>IFERROR(__xludf.DUMMYFUNCTION("IF($G102="""","""",IFERROR(query({proventos!$B$5:$Q310},""Select sum(Col16) where Col1 = '""&amp;$G102&amp;""' and Col2 &gt; date '""&amp;TEXT(Q$8,""yyyy-mm-dd"")&amp;""' and Col2 &lt;= date '""&amp;TEXT(P$8,""yyyy-mm-dd"")&amp;""' label sum(Col16) ''"",0)))"),"")</f>
        <v/>
      </c>
      <c r="Q102" s="628" t="str">
        <f>IFERROR(__xludf.DUMMYFUNCTION("IF($G102="""","""",IFERROR(query({proventos!$B$5:$Q310},""Select sum(Col16) where Col1 = '""&amp;$G102&amp;""' and Col2 &gt; date '""&amp;TEXT(R$8,""yyyy-mm-dd"")&amp;""' and Col2 &lt;= date '""&amp;TEXT(Q$8,""yyyy-mm-dd"")&amp;""' label sum(Col16) ''"",0)))"),"")</f>
        <v/>
      </c>
      <c r="R102" s="628" t="str">
        <f>IFERROR(__xludf.DUMMYFUNCTION("IF($G102="""","""",IFERROR(query({proventos!$B$5:$Q310},""Select sum(Col16) where Col1 = '""&amp;$G102&amp;""' and Col2 &gt; date '""&amp;TEXT(S$8,""yyyy-mm-dd"")&amp;""' and Col2 &lt;= date '""&amp;TEXT(R$8,""yyyy-mm-dd"")&amp;""' label sum(Col16) ''"",0)))"),"")</f>
        <v/>
      </c>
      <c r="S102" s="628" t="str">
        <f>IFERROR(__xludf.DUMMYFUNCTION("IF($G102="""","""",IFERROR(query({proventos!$B$5:$Q310},""Select sum(Col16) where Col1 = '""&amp;$G102&amp;""' and Col2 &gt; date '""&amp;TEXT(T$8,""yyyy-mm-dd"")&amp;""' and Col2 &lt;= date '""&amp;TEXT(S$8,""yyyy-mm-dd"")&amp;""' label sum(Col16) ''"",0)))"),"")</f>
        <v/>
      </c>
      <c r="T102" s="628" t="str">
        <f>IFERROR(__xludf.DUMMYFUNCTION("IF($G102="""","""",IFERROR(query({proventos!$B$5:$Q310},""Select sum(Col16) where Col1 = '""&amp;$G102&amp;""' and Col2 &gt; date '""&amp;TEXT(U$8,""yyyy-mm-dd"")&amp;""' and Col2 &lt;= date '""&amp;TEXT(T$8,""yyyy-mm-dd"")&amp;""' label sum(Col16) ''"",0)))"),"")</f>
        <v/>
      </c>
      <c r="U102" s="629" t="str">
        <f>IFERROR(__xludf.DUMMYFUNCTION("IF($G102="""","""",IFERROR(query({proventos!$B$5:$Q310},""Select sum(Col16) where Col1 = '""&amp;$G102&amp;""' and Col2 &gt; date '""&amp;TEXT(EOMONTH(TODAY(),-13),""yyyy-mm-dd"")&amp;""' and Col2 &lt;= date '""&amp;TEXT(U$8,""yyyy-mm-dd"")&amp;""' label sum(Col16) ''"",0)))"),"")</f>
        <v/>
      </c>
      <c r="V102" s="630" t="str">
        <f>IFERROR(__xludf.DUMMYFUNCTION("IF($G102="""","""",IFERROR(query({proventos!$B$5:$Q310},""Select sum(Col16) where Col1 = '""&amp;$G102&amp;""' and Col2 &gt; date '""&amp;TEXT(DATE(V$8,1,1),""yyyy-mm-dd"")&amp;""' and Col2 &lt;= date '""&amp;TEXT(DATE(V$8,12,31),""yyyy-mm-dd"")&amp;""' label sum(Col16) ''"",0)))"),"")</f>
        <v/>
      </c>
      <c r="W102" s="630" t="str">
        <f>IFERROR(__xludf.DUMMYFUNCTION("IF($G102="""","""",IFERROR(query({proventos!$B$5:$Q310},""Select sum(Col16) where Col1 = '""&amp;$G102&amp;""' and Col2 &gt; date '""&amp;TEXT(DATE(W$8,1,1),""yyyy-mm-dd"")&amp;""' and Col2 &lt;= date '""&amp;TEXT(DATE(W$8,12,31),""yyyy-mm-dd"")&amp;""' label sum(Col16) ''"",0)))"),"")</f>
        <v/>
      </c>
      <c r="X102" s="630" t="str">
        <f>IFERROR(__xludf.DUMMYFUNCTION("IF($G102="""","""",IFERROR(query({proventos!$B$5:$Q310},""Select sum(Col16) where Col1 = '""&amp;$G102&amp;""' and Col2 &gt; date '""&amp;TEXT(DATE(X$8,1,1),""yyyy-mm-dd"")&amp;""' and Col2 &lt;= date '""&amp;TEXT(DATE(X$8,12,31),""yyyy-mm-dd"")&amp;""' label sum(Col16) ''"",0)))"),"")</f>
        <v/>
      </c>
      <c r="Y102" s="630" t="str">
        <f>IFERROR(__xludf.DUMMYFUNCTION("IF($G102="""","""",IFERROR(query({proventos!$B$5:$Q310},""Select sum(Col16) where Col1 = '""&amp;$G102&amp;""' and Col2 &gt; date '""&amp;TEXT(DATE(Y$8,1,1),""yyyy-mm-dd"")&amp;""' and Col2 &lt;= date '""&amp;TEXT(DATE(Y$8,12,31),""yyyy-mm-dd"")&amp;""' label sum(Col16) ''"",0)))"),"")</f>
        <v/>
      </c>
      <c r="Z102" s="630" t="str">
        <f>IFERROR(__xludf.DUMMYFUNCTION("IF($G102="""","""",IFERROR(query({proventos!$B$5:$Q310},""Select sum(Col16) where Col1 = '""&amp;$G102&amp;""' and Col2 &gt; date '""&amp;TEXT(DATE(Z$8,1,1),""yyyy-mm-dd"")&amp;""' and Col2 &lt;= date '""&amp;TEXT(DATE(Z$8,12,31),""yyyy-mm-dd"")&amp;""' label sum(Col16) ''"",0)))"),"")</f>
        <v/>
      </c>
      <c r="AA102" s="587"/>
      <c r="AB102" s="578" t="s">
        <v>123</v>
      </c>
      <c r="AC102" s="601"/>
      <c r="AD102" s="636"/>
      <c r="AE102" s="636"/>
    </row>
    <row r="103">
      <c r="A103" s="619">
        <v>93.0</v>
      </c>
      <c r="B103" s="620"/>
      <c r="C103" s="632"/>
      <c r="D103" s="633"/>
      <c r="E103" s="634"/>
      <c r="F103" s="624">
        <v>93.0</v>
      </c>
      <c r="G103" s="635"/>
      <c r="H103" s="626" t="str">
        <f>if(G103="","",IFERROR(VLOOKUP(G103,AtivosDados,MATCH("provento_avg",portfolio.!$A$3:AE$3,0),FALSE),""))</f>
        <v/>
      </c>
      <c r="I103" s="627" t="s">
        <v>123</v>
      </c>
      <c r="J103" s="628" t="str">
        <f>IFERROR(__xludf.DUMMYFUNCTION("IF($G103="""","""",IFERROR(query({proventos!$B$5:$Q310},""Select sum(Col16) where Col1 = '""&amp;$G103&amp;""' and Col2 &gt; date '""&amp;TEXT(K$8,""yyyy-mm-dd"")&amp;""' and Col2 &lt;= date '""&amp;TEXT(J$8,""yyyy-mm-dd"")&amp;""' label sum(Col16) ''"",0)))"),"")</f>
        <v/>
      </c>
      <c r="K103" s="628" t="str">
        <f>IFERROR(__xludf.DUMMYFUNCTION("IF($G103="""","""",IFERROR(query({proventos!$B$5:$Q310},""Select sum(Col16) where Col1 = '""&amp;$G103&amp;""' and Col2 &gt; date '""&amp;TEXT(L$8,""yyyy-mm-dd"")&amp;""' and Col2 &lt;= date '""&amp;TEXT(K$8,""yyyy-mm-dd"")&amp;""' label sum(Col16) ''"",0)))"),"")</f>
        <v/>
      </c>
      <c r="L103" s="628" t="str">
        <f>IFERROR(__xludf.DUMMYFUNCTION("IF($G103="""","""",IFERROR(query({proventos!$B$5:$Q310},""Select sum(Col16) where Col1 = '""&amp;$G103&amp;""' and Col2 &gt; date '""&amp;TEXT(M$8,""yyyy-mm-dd"")&amp;""' and Col2 &lt;= date '""&amp;TEXT(L$8,""yyyy-mm-dd"")&amp;""' label sum(Col16) ''"",0)))"),"")</f>
        <v/>
      </c>
      <c r="M103" s="628" t="str">
        <f>IFERROR(__xludf.DUMMYFUNCTION("IF($G103="""","""",IFERROR(query({proventos!$B$5:$Q310},""Select sum(Col16) where Col1 = '""&amp;$G103&amp;""' and Col2 &gt; date '""&amp;TEXT(N$8,""yyyy-mm-dd"")&amp;""' and Col2 &lt;= date '""&amp;TEXT(M$8,""yyyy-mm-dd"")&amp;""' label sum(Col16) ''"",0)))"),"")</f>
        <v/>
      </c>
      <c r="N103" s="628" t="str">
        <f>IFERROR(__xludf.DUMMYFUNCTION("IF($G103="""","""",IFERROR(query({proventos!$B$5:$Q310},""Select sum(Col16) where Col1 = '""&amp;$G103&amp;""' and Col2 &gt; date '""&amp;TEXT(O$8,""yyyy-mm-dd"")&amp;""' and Col2 &lt;= date '""&amp;TEXT(N$8,""yyyy-mm-dd"")&amp;""' label sum(Col16) ''"",0)))"),"")</f>
        <v/>
      </c>
      <c r="O103" s="628" t="str">
        <f>IFERROR(__xludf.DUMMYFUNCTION("IF($G103="""","""",IFERROR(query({proventos!$B$5:$Q310},""Select sum(Col16) where Col1 = '""&amp;$G103&amp;""' and Col2 &gt; date '""&amp;TEXT(P$8,""yyyy-mm-dd"")&amp;""' and Col2 &lt;= date '""&amp;TEXT(O$8,""yyyy-mm-dd"")&amp;""' label sum(Col16) ''"",0)))"),"")</f>
        <v/>
      </c>
      <c r="P103" s="628" t="str">
        <f>IFERROR(__xludf.DUMMYFUNCTION("IF($G103="""","""",IFERROR(query({proventos!$B$5:$Q310},""Select sum(Col16) where Col1 = '""&amp;$G103&amp;""' and Col2 &gt; date '""&amp;TEXT(Q$8,""yyyy-mm-dd"")&amp;""' and Col2 &lt;= date '""&amp;TEXT(P$8,""yyyy-mm-dd"")&amp;""' label sum(Col16) ''"",0)))"),"")</f>
        <v/>
      </c>
      <c r="Q103" s="628" t="str">
        <f>IFERROR(__xludf.DUMMYFUNCTION("IF($G103="""","""",IFERROR(query({proventos!$B$5:$Q310},""Select sum(Col16) where Col1 = '""&amp;$G103&amp;""' and Col2 &gt; date '""&amp;TEXT(R$8,""yyyy-mm-dd"")&amp;""' and Col2 &lt;= date '""&amp;TEXT(Q$8,""yyyy-mm-dd"")&amp;""' label sum(Col16) ''"",0)))"),"")</f>
        <v/>
      </c>
      <c r="R103" s="628" t="str">
        <f>IFERROR(__xludf.DUMMYFUNCTION("IF($G103="""","""",IFERROR(query({proventos!$B$5:$Q310},""Select sum(Col16) where Col1 = '""&amp;$G103&amp;""' and Col2 &gt; date '""&amp;TEXT(S$8,""yyyy-mm-dd"")&amp;""' and Col2 &lt;= date '""&amp;TEXT(R$8,""yyyy-mm-dd"")&amp;""' label sum(Col16) ''"",0)))"),"")</f>
        <v/>
      </c>
      <c r="S103" s="628" t="str">
        <f>IFERROR(__xludf.DUMMYFUNCTION("IF($G103="""","""",IFERROR(query({proventos!$B$5:$Q310},""Select sum(Col16) where Col1 = '""&amp;$G103&amp;""' and Col2 &gt; date '""&amp;TEXT(T$8,""yyyy-mm-dd"")&amp;""' and Col2 &lt;= date '""&amp;TEXT(S$8,""yyyy-mm-dd"")&amp;""' label sum(Col16) ''"",0)))"),"")</f>
        <v/>
      </c>
      <c r="T103" s="628" t="str">
        <f>IFERROR(__xludf.DUMMYFUNCTION("IF($G103="""","""",IFERROR(query({proventos!$B$5:$Q310},""Select sum(Col16) where Col1 = '""&amp;$G103&amp;""' and Col2 &gt; date '""&amp;TEXT(U$8,""yyyy-mm-dd"")&amp;""' and Col2 &lt;= date '""&amp;TEXT(T$8,""yyyy-mm-dd"")&amp;""' label sum(Col16) ''"",0)))"),"")</f>
        <v/>
      </c>
      <c r="U103" s="629" t="str">
        <f>IFERROR(__xludf.DUMMYFUNCTION("IF($G103="""","""",IFERROR(query({proventos!$B$5:$Q310},""Select sum(Col16) where Col1 = '""&amp;$G103&amp;""' and Col2 &gt; date '""&amp;TEXT(EOMONTH(TODAY(),-13),""yyyy-mm-dd"")&amp;""' and Col2 &lt;= date '""&amp;TEXT(U$8,""yyyy-mm-dd"")&amp;""' label sum(Col16) ''"",0)))"),"")</f>
        <v/>
      </c>
      <c r="V103" s="630" t="str">
        <f>IFERROR(__xludf.DUMMYFUNCTION("IF($G103="""","""",IFERROR(query({proventos!$B$5:$Q310},""Select sum(Col16) where Col1 = '""&amp;$G103&amp;""' and Col2 &gt; date '""&amp;TEXT(DATE(V$8,1,1),""yyyy-mm-dd"")&amp;""' and Col2 &lt;= date '""&amp;TEXT(DATE(V$8,12,31),""yyyy-mm-dd"")&amp;""' label sum(Col16) ''"",0)))"),"")</f>
        <v/>
      </c>
      <c r="W103" s="630" t="str">
        <f>IFERROR(__xludf.DUMMYFUNCTION("IF($G103="""","""",IFERROR(query({proventos!$B$5:$Q310},""Select sum(Col16) where Col1 = '""&amp;$G103&amp;""' and Col2 &gt; date '""&amp;TEXT(DATE(W$8,1,1),""yyyy-mm-dd"")&amp;""' and Col2 &lt;= date '""&amp;TEXT(DATE(W$8,12,31),""yyyy-mm-dd"")&amp;""' label sum(Col16) ''"",0)))"),"")</f>
        <v/>
      </c>
      <c r="X103" s="630" t="str">
        <f>IFERROR(__xludf.DUMMYFUNCTION("IF($G103="""","""",IFERROR(query({proventos!$B$5:$Q310},""Select sum(Col16) where Col1 = '""&amp;$G103&amp;""' and Col2 &gt; date '""&amp;TEXT(DATE(X$8,1,1),""yyyy-mm-dd"")&amp;""' and Col2 &lt;= date '""&amp;TEXT(DATE(X$8,12,31),""yyyy-mm-dd"")&amp;""' label sum(Col16) ''"",0)))"),"")</f>
        <v/>
      </c>
      <c r="Y103" s="630" t="str">
        <f>IFERROR(__xludf.DUMMYFUNCTION("IF($G103="""","""",IFERROR(query({proventos!$B$5:$Q310},""Select sum(Col16) where Col1 = '""&amp;$G103&amp;""' and Col2 &gt; date '""&amp;TEXT(DATE(Y$8,1,1),""yyyy-mm-dd"")&amp;""' and Col2 &lt;= date '""&amp;TEXT(DATE(Y$8,12,31),""yyyy-mm-dd"")&amp;""' label sum(Col16) ''"",0)))"),"")</f>
        <v/>
      </c>
      <c r="Z103" s="630" t="str">
        <f>IFERROR(__xludf.DUMMYFUNCTION("IF($G103="""","""",IFERROR(query({proventos!$B$5:$Q310},""Select sum(Col16) where Col1 = '""&amp;$G103&amp;""' and Col2 &gt; date '""&amp;TEXT(DATE(Z$8,1,1),""yyyy-mm-dd"")&amp;""' and Col2 &lt;= date '""&amp;TEXT(DATE(Z$8,12,31),""yyyy-mm-dd"")&amp;""' label sum(Col16) ''"",0)))"),"")</f>
        <v/>
      </c>
      <c r="AA103" s="587"/>
      <c r="AB103" s="578" t="s">
        <v>123</v>
      </c>
      <c r="AC103" s="601"/>
      <c r="AD103" s="636"/>
      <c r="AE103" s="636"/>
    </row>
    <row r="104">
      <c r="A104" s="619">
        <v>94.0</v>
      </c>
      <c r="B104" s="620"/>
      <c r="C104" s="632"/>
      <c r="D104" s="633"/>
      <c r="E104" s="634"/>
      <c r="F104" s="624">
        <v>94.0</v>
      </c>
      <c r="G104" s="635"/>
      <c r="H104" s="626" t="str">
        <f>if(G104="","",IFERROR(VLOOKUP(G104,AtivosDados,MATCH("provento_avg",portfolio.!$A$3:AE$3,0),FALSE),""))</f>
        <v/>
      </c>
      <c r="I104" s="627" t="s">
        <v>123</v>
      </c>
      <c r="J104" s="628" t="str">
        <f>IFERROR(__xludf.DUMMYFUNCTION("IF($G104="""","""",IFERROR(query({proventos!$B$5:$Q310},""Select sum(Col16) where Col1 = '""&amp;$G104&amp;""' and Col2 &gt; date '""&amp;TEXT(K$8,""yyyy-mm-dd"")&amp;""' and Col2 &lt;= date '""&amp;TEXT(J$8,""yyyy-mm-dd"")&amp;""' label sum(Col16) ''"",0)))"),"")</f>
        <v/>
      </c>
      <c r="K104" s="628" t="str">
        <f>IFERROR(__xludf.DUMMYFUNCTION("IF($G104="""","""",IFERROR(query({proventos!$B$5:$Q310},""Select sum(Col16) where Col1 = '""&amp;$G104&amp;""' and Col2 &gt; date '""&amp;TEXT(L$8,""yyyy-mm-dd"")&amp;""' and Col2 &lt;= date '""&amp;TEXT(K$8,""yyyy-mm-dd"")&amp;""' label sum(Col16) ''"",0)))"),"")</f>
        <v/>
      </c>
      <c r="L104" s="628" t="str">
        <f>IFERROR(__xludf.DUMMYFUNCTION("IF($G104="""","""",IFERROR(query({proventos!$B$5:$Q310},""Select sum(Col16) where Col1 = '""&amp;$G104&amp;""' and Col2 &gt; date '""&amp;TEXT(M$8,""yyyy-mm-dd"")&amp;""' and Col2 &lt;= date '""&amp;TEXT(L$8,""yyyy-mm-dd"")&amp;""' label sum(Col16) ''"",0)))"),"")</f>
        <v/>
      </c>
      <c r="M104" s="628" t="str">
        <f>IFERROR(__xludf.DUMMYFUNCTION("IF($G104="""","""",IFERROR(query({proventos!$B$5:$Q310},""Select sum(Col16) where Col1 = '""&amp;$G104&amp;""' and Col2 &gt; date '""&amp;TEXT(N$8,""yyyy-mm-dd"")&amp;""' and Col2 &lt;= date '""&amp;TEXT(M$8,""yyyy-mm-dd"")&amp;""' label sum(Col16) ''"",0)))"),"")</f>
        <v/>
      </c>
      <c r="N104" s="628" t="str">
        <f>IFERROR(__xludf.DUMMYFUNCTION("IF($G104="""","""",IFERROR(query({proventos!$B$5:$Q310},""Select sum(Col16) where Col1 = '""&amp;$G104&amp;""' and Col2 &gt; date '""&amp;TEXT(O$8,""yyyy-mm-dd"")&amp;""' and Col2 &lt;= date '""&amp;TEXT(N$8,""yyyy-mm-dd"")&amp;""' label sum(Col16) ''"",0)))"),"")</f>
        <v/>
      </c>
      <c r="O104" s="628" t="str">
        <f>IFERROR(__xludf.DUMMYFUNCTION("IF($G104="""","""",IFERROR(query({proventos!$B$5:$Q310},""Select sum(Col16) where Col1 = '""&amp;$G104&amp;""' and Col2 &gt; date '""&amp;TEXT(P$8,""yyyy-mm-dd"")&amp;""' and Col2 &lt;= date '""&amp;TEXT(O$8,""yyyy-mm-dd"")&amp;""' label sum(Col16) ''"",0)))"),"")</f>
        <v/>
      </c>
      <c r="P104" s="628" t="str">
        <f>IFERROR(__xludf.DUMMYFUNCTION("IF($G104="""","""",IFERROR(query({proventos!$B$5:$Q310},""Select sum(Col16) where Col1 = '""&amp;$G104&amp;""' and Col2 &gt; date '""&amp;TEXT(Q$8,""yyyy-mm-dd"")&amp;""' and Col2 &lt;= date '""&amp;TEXT(P$8,""yyyy-mm-dd"")&amp;""' label sum(Col16) ''"",0)))"),"")</f>
        <v/>
      </c>
      <c r="Q104" s="628" t="str">
        <f>IFERROR(__xludf.DUMMYFUNCTION("IF($G104="""","""",IFERROR(query({proventos!$B$5:$Q310},""Select sum(Col16) where Col1 = '""&amp;$G104&amp;""' and Col2 &gt; date '""&amp;TEXT(R$8,""yyyy-mm-dd"")&amp;""' and Col2 &lt;= date '""&amp;TEXT(Q$8,""yyyy-mm-dd"")&amp;""' label sum(Col16) ''"",0)))"),"")</f>
        <v/>
      </c>
      <c r="R104" s="628" t="str">
        <f>IFERROR(__xludf.DUMMYFUNCTION("IF($G104="""","""",IFERROR(query({proventos!$B$5:$Q310},""Select sum(Col16) where Col1 = '""&amp;$G104&amp;""' and Col2 &gt; date '""&amp;TEXT(S$8,""yyyy-mm-dd"")&amp;""' and Col2 &lt;= date '""&amp;TEXT(R$8,""yyyy-mm-dd"")&amp;""' label sum(Col16) ''"",0)))"),"")</f>
        <v/>
      </c>
      <c r="S104" s="628" t="str">
        <f>IFERROR(__xludf.DUMMYFUNCTION("IF($G104="""","""",IFERROR(query({proventos!$B$5:$Q310},""Select sum(Col16) where Col1 = '""&amp;$G104&amp;""' and Col2 &gt; date '""&amp;TEXT(T$8,""yyyy-mm-dd"")&amp;""' and Col2 &lt;= date '""&amp;TEXT(S$8,""yyyy-mm-dd"")&amp;""' label sum(Col16) ''"",0)))"),"")</f>
        <v/>
      </c>
      <c r="T104" s="628" t="str">
        <f>IFERROR(__xludf.DUMMYFUNCTION("IF($G104="""","""",IFERROR(query({proventos!$B$5:$Q310},""Select sum(Col16) where Col1 = '""&amp;$G104&amp;""' and Col2 &gt; date '""&amp;TEXT(U$8,""yyyy-mm-dd"")&amp;""' and Col2 &lt;= date '""&amp;TEXT(T$8,""yyyy-mm-dd"")&amp;""' label sum(Col16) ''"",0)))"),"")</f>
        <v/>
      </c>
      <c r="U104" s="629" t="str">
        <f>IFERROR(__xludf.DUMMYFUNCTION("IF($G104="""","""",IFERROR(query({proventos!$B$5:$Q310},""Select sum(Col16) where Col1 = '""&amp;$G104&amp;""' and Col2 &gt; date '""&amp;TEXT(EOMONTH(TODAY(),-13),""yyyy-mm-dd"")&amp;""' and Col2 &lt;= date '""&amp;TEXT(U$8,""yyyy-mm-dd"")&amp;""' label sum(Col16) ''"",0)))"),"")</f>
        <v/>
      </c>
      <c r="V104" s="630" t="str">
        <f>IFERROR(__xludf.DUMMYFUNCTION("IF($G104="""","""",IFERROR(query({proventos!$B$5:$Q310},""Select sum(Col16) where Col1 = '""&amp;$G104&amp;""' and Col2 &gt; date '""&amp;TEXT(DATE(V$8,1,1),""yyyy-mm-dd"")&amp;""' and Col2 &lt;= date '""&amp;TEXT(DATE(V$8,12,31),""yyyy-mm-dd"")&amp;""' label sum(Col16) ''"",0)))"),"")</f>
        <v/>
      </c>
      <c r="W104" s="630" t="str">
        <f>IFERROR(__xludf.DUMMYFUNCTION("IF($G104="""","""",IFERROR(query({proventos!$B$5:$Q310},""Select sum(Col16) where Col1 = '""&amp;$G104&amp;""' and Col2 &gt; date '""&amp;TEXT(DATE(W$8,1,1),""yyyy-mm-dd"")&amp;""' and Col2 &lt;= date '""&amp;TEXT(DATE(W$8,12,31),""yyyy-mm-dd"")&amp;""' label sum(Col16) ''"",0)))"),"")</f>
        <v/>
      </c>
      <c r="X104" s="630" t="str">
        <f>IFERROR(__xludf.DUMMYFUNCTION("IF($G104="""","""",IFERROR(query({proventos!$B$5:$Q310},""Select sum(Col16) where Col1 = '""&amp;$G104&amp;""' and Col2 &gt; date '""&amp;TEXT(DATE(X$8,1,1),""yyyy-mm-dd"")&amp;""' and Col2 &lt;= date '""&amp;TEXT(DATE(X$8,12,31),""yyyy-mm-dd"")&amp;""' label sum(Col16) ''"",0)))"),"")</f>
        <v/>
      </c>
      <c r="Y104" s="630" t="str">
        <f>IFERROR(__xludf.DUMMYFUNCTION("IF($G104="""","""",IFERROR(query({proventos!$B$5:$Q310},""Select sum(Col16) where Col1 = '""&amp;$G104&amp;""' and Col2 &gt; date '""&amp;TEXT(DATE(Y$8,1,1),""yyyy-mm-dd"")&amp;""' and Col2 &lt;= date '""&amp;TEXT(DATE(Y$8,12,31),""yyyy-mm-dd"")&amp;""' label sum(Col16) ''"",0)))"),"")</f>
        <v/>
      </c>
      <c r="Z104" s="630" t="str">
        <f>IFERROR(__xludf.DUMMYFUNCTION("IF($G104="""","""",IFERROR(query({proventos!$B$5:$Q310},""Select sum(Col16) where Col1 = '""&amp;$G104&amp;""' and Col2 &gt; date '""&amp;TEXT(DATE(Z$8,1,1),""yyyy-mm-dd"")&amp;""' and Col2 &lt;= date '""&amp;TEXT(DATE(Z$8,12,31),""yyyy-mm-dd"")&amp;""' label sum(Col16) ''"",0)))"),"")</f>
        <v/>
      </c>
      <c r="AA104" s="587"/>
      <c r="AB104" s="578" t="s">
        <v>123</v>
      </c>
      <c r="AC104" s="601"/>
      <c r="AD104" s="636"/>
      <c r="AE104" s="636"/>
    </row>
    <row r="105">
      <c r="A105" s="619">
        <v>95.0</v>
      </c>
      <c r="B105" s="620"/>
      <c r="C105" s="632"/>
      <c r="D105" s="633"/>
      <c r="E105" s="634"/>
      <c r="F105" s="624">
        <v>95.0</v>
      </c>
      <c r="G105" s="635"/>
      <c r="H105" s="626" t="str">
        <f>if(G105="","",IFERROR(VLOOKUP(G105,AtivosDados,MATCH("provento_avg",portfolio.!$A$3:AE$3,0),FALSE),""))</f>
        <v/>
      </c>
      <c r="I105" s="627" t="s">
        <v>123</v>
      </c>
      <c r="J105" s="628" t="str">
        <f>IFERROR(__xludf.DUMMYFUNCTION("IF($G105="""","""",IFERROR(query({proventos!$B$5:$Q310},""Select sum(Col16) where Col1 = '""&amp;$G105&amp;""' and Col2 &gt; date '""&amp;TEXT(K$8,""yyyy-mm-dd"")&amp;""' and Col2 &lt;= date '""&amp;TEXT(J$8,""yyyy-mm-dd"")&amp;""' label sum(Col16) ''"",0)))"),"")</f>
        <v/>
      </c>
      <c r="K105" s="628" t="str">
        <f>IFERROR(__xludf.DUMMYFUNCTION("IF($G105="""","""",IFERROR(query({proventos!$B$5:$Q310},""Select sum(Col16) where Col1 = '""&amp;$G105&amp;""' and Col2 &gt; date '""&amp;TEXT(L$8,""yyyy-mm-dd"")&amp;""' and Col2 &lt;= date '""&amp;TEXT(K$8,""yyyy-mm-dd"")&amp;""' label sum(Col16) ''"",0)))"),"")</f>
        <v/>
      </c>
      <c r="L105" s="628" t="str">
        <f>IFERROR(__xludf.DUMMYFUNCTION("IF($G105="""","""",IFERROR(query({proventos!$B$5:$Q310},""Select sum(Col16) where Col1 = '""&amp;$G105&amp;""' and Col2 &gt; date '""&amp;TEXT(M$8,""yyyy-mm-dd"")&amp;""' and Col2 &lt;= date '""&amp;TEXT(L$8,""yyyy-mm-dd"")&amp;""' label sum(Col16) ''"",0)))"),"")</f>
        <v/>
      </c>
      <c r="M105" s="628" t="str">
        <f>IFERROR(__xludf.DUMMYFUNCTION("IF($G105="""","""",IFERROR(query({proventos!$B$5:$Q310},""Select sum(Col16) where Col1 = '""&amp;$G105&amp;""' and Col2 &gt; date '""&amp;TEXT(N$8,""yyyy-mm-dd"")&amp;""' and Col2 &lt;= date '""&amp;TEXT(M$8,""yyyy-mm-dd"")&amp;""' label sum(Col16) ''"",0)))"),"")</f>
        <v/>
      </c>
      <c r="N105" s="628" t="str">
        <f>IFERROR(__xludf.DUMMYFUNCTION("IF($G105="""","""",IFERROR(query({proventos!$B$5:$Q310},""Select sum(Col16) where Col1 = '""&amp;$G105&amp;""' and Col2 &gt; date '""&amp;TEXT(O$8,""yyyy-mm-dd"")&amp;""' and Col2 &lt;= date '""&amp;TEXT(N$8,""yyyy-mm-dd"")&amp;""' label sum(Col16) ''"",0)))"),"")</f>
        <v/>
      </c>
      <c r="O105" s="628" t="str">
        <f>IFERROR(__xludf.DUMMYFUNCTION("IF($G105="""","""",IFERROR(query({proventos!$B$5:$Q310},""Select sum(Col16) where Col1 = '""&amp;$G105&amp;""' and Col2 &gt; date '""&amp;TEXT(P$8,""yyyy-mm-dd"")&amp;""' and Col2 &lt;= date '""&amp;TEXT(O$8,""yyyy-mm-dd"")&amp;""' label sum(Col16) ''"",0)))"),"")</f>
        <v/>
      </c>
      <c r="P105" s="628" t="str">
        <f>IFERROR(__xludf.DUMMYFUNCTION("IF($G105="""","""",IFERROR(query({proventos!$B$5:$Q310},""Select sum(Col16) where Col1 = '""&amp;$G105&amp;""' and Col2 &gt; date '""&amp;TEXT(Q$8,""yyyy-mm-dd"")&amp;""' and Col2 &lt;= date '""&amp;TEXT(P$8,""yyyy-mm-dd"")&amp;""' label sum(Col16) ''"",0)))"),"")</f>
        <v/>
      </c>
      <c r="Q105" s="628" t="str">
        <f>IFERROR(__xludf.DUMMYFUNCTION("IF($G105="""","""",IFERROR(query({proventos!$B$5:$Q310},""Select sum(Col16) where Col1 = '""&amp;$G105&amp;""' and Col2 &gt; date '""&amp;TEXT(R$8,""yyyy-mm-dd"")&amp;""' and Col2 &lt;= date '""&amp;TEXT(Q$8,""yyyy-mm-dd"")&amp;""' label sum(Col16) ''"",0)))"),"")</f>
        <v/>
      </c>
      <c r="R105" s="628" t="str">
        <f>IFERROR(__xludf.DUMMYFUNCTION("IF($G105="""","""",IFERROR(query({proventos!$B$5:$Q310},""Select sum(Col16) where Col1 = '""&amp;$G105&amp;""' and Col2 &gt; date '""&amp;TEXT(S$8,""yyyy-mm-dd"")&amp;""' and Col2 &lt;= date '""&amp;TEXT(R$8,""yyyy-mm-dd"")&amp;""' label sum(Col16) ''"",0)))"),"")</f>
        <v/>
      </c>
      <c r="S105" s="628" t="str">
        <f>IFERROR(__xludf.DUMMYFUNCTION("IF($G105="""","""",IFERROR(query({proventos!$B$5:$Q310},""Select sum(Col16) where Col1 = '""&amp;$G105&amp;""' and Col2 &gt; date '""&amp;TEXT(T$8,""yyyy-mm-dd"")&amp;""' and Col2 &lt;= date '""&amp;TEXT(S$8,""yyyy-mm-dd"")&amp;""' label sum(Col16) ''"",0)))"),"")</f>
        <v/>
      </c>
      <c r="T105" s="628" t="str">
        <f>IFERROR(__xludf.DUMMYFUNCTION("IF($G105="""","""",IFERROR(query({proventos!$B$5:$Q310},""Select sum(Col16) where Col1 = '""&amp;$G105&amp;""' and Col2 &gt; date '""&amp;TEXT(U$8,""yyyy-mm-dd"")&amp;""' and Col2 &lt;= date '""&amp;TEXT(T$8,""yyyy-mm-dd"")&amp;""' label sum(Col16) ''"",0)))"),"")</f>
        <v/>
      </c>
      <c r="U105" s="629" t="str">
        <f>IFERROR(__xludf.DUMMYFUNCTION("IF($G105="""","""",IFERROR(query({proventos!$B$5:$Q310},""Select sum(Col16) where Col1 = '""&amp;$G105&amp;""' and Col2 &gt; date '""&amp;TEXT(EOMONTH(TODAY(),-13),""yyyy-mm-dd"")&amp;""' and Col2 &lt;= date '""&amp;TEXT(U$8,""yyyy-mm-dd"")&amp;""' label sum(Col16) ''"",0)))"),"")</f>
        <v/>
      </c>
      <c r="V105" s="630" t="str">
        <f>IFERROR(__xludf.DUMMYFUNCTION("IF($G105="""","""",IFERROR(query({proventos!$B$5:$Q310},""Select sum(Col16) where Col1 = '""&amp;$G105&amp;""' and Col2 &gt; date '""&amp;TEXT(DATE(V$8,1,1),""yyyy-mm-dd"")&amp;""' and Col2 &lt;= date '""&amp;TEXT(DATE(V$8,12,31),""yyyy-mm-dd"")&amp;""' label sum(Col16) ''"",0)))"),"")</f>
        <v/>
      </c>
      <c r="W105" s="630" t="str">
        <f>IFERROR(__xludf.DUMMYFUNCTION("IF($G105="""","""",IFERROR(query({proventos!$B$5:$Q310},""Select sum(Col16) where Col1 = '""&amp;$G105&amp;""' and Col2 &gt; date '""&amp;TEXT(DATE(W$8,1,1),""yyyy-mm-dd"")&amp;""' and Col2 &lt;= date '""&amp;TEXT(DATE(W$8,12,31),""yyyy-mm-dd"")&amp;""' label sum(Col16) ''"",0)))"),"")</f>
        <v/>
      </c>
      <c r="X105" s="630" t="str">
        <f>IFERROR(__xludf.DUMMYFUNCTION("IF($G105="""","""",IFERROR(query({proventos!$B$5:$Q310},""Select sum(Col16) where Col1 = '""&amp;$G105&amp;""' and Col2 &gt; date '""&amp;TEXT(DATE(X$8,1,1),""yyyy-mm-dd"")&amp;""' and Col2 &lt;= date '""&amp;TEXT(DATE(X$8,12,31),""yyyy-mm-dd"")&amp;""' label sum(Col16) ''"",0)))"),"")</f>
        <v/>
      </c>
      <c r="Y105" s="630" t="str">
        <f>IFERROR(__xludf.DUMMYFUNCTION("IF($G105="""","""",IFERROR(query({proventos!$B$5:$Q310},""Select sum(Col16) where Col1 = '""&amp;$G105&amp;""' and Col2 &gt; date '""&amp;TEXT(DATE(Y$8,1,1),""yyyy-mm-dd"")&amp;""' and Col2 &lt;= date '""&amp;TEXT(DATE(Y$8,12,31),""yyyy-mm-dd"")&amp;""' label sum(Col16) ''"",0)))"),"")</f>
        <v/>
      </c>
      <c r="Z105" s="630" t="str">
        <f>IFERROR(__xludf.DUMMYFUNCTION("IF($G105="""","""",IFERROR(query({proventos!$B$5:$Q310},""Select sum(Col16) where Col1 = '""&amp;$G105&amp;""' and Col2 &gt; date '""&amp;TEXT(DATE(Z$8,1,1),""yyyy-mm-dd"")&amp;""' and Col2 &lt;= date '""&amp;TEXT(DATE(Z$8,12,31),""yyyy-mm-dd"")&amp;""' label sum(Col16) ''"",0)))"),"")</f>
        <v/>
      </c>
      <c r="AA105" s="587"/>
      <c r="AB105" s="578" t="s">
        <v>123</v>
      </c>
      <c r="AC105" s="601"/>
      <c r="AD105" s="636"/>
      <c r="AE105" s="636"/>
    </row>
    <row r="106">
      <c r="A106" s="619">
        <v>96.0</v>
      </c>
      <c r="B106" s="620"/>
      <c r="C106" s="632"/>
      <c r="D106" s="633"/>
      <c r="E106" s="634"/>
      <c r="F106" s="624">
        <v>96.0</v>
      </c>
      <c r="G106" s="635"/>
      <c r="H106" s="626" t="str">
        <f>if(G106="","",IFERROR(VLOOKUP(G106,AtivosDados,MATCH("provento_avg",portfolio.!$A$3:AE$3,0),FALSE),""))</f>
        <v/>
      </c>
      <c r="I106" s="627" t="s">
        <v>123</v>
      </c>
      <c r="J106" s="628" t="str">
        <f>IFERROR(__xludf.DUMMYFUNCTION("IF($G106="""","""",IFERROR(query({proventos!$B$5:$Q310},""Select sum(Col16) where Col1 = '""&amp;$G106&amp;""' and Col2 &gt; date '""&amp;TEXT(K$8,""yyyy-mm-dd"")&amp;""' and Col2 &lt;= date '""&amp;TEXT(J$8,""yyyy-mm-dd"")&amp;""' label sum(Col16) ''"",0)))"),"")</f>
        <v/>
      </c>
      <c r="K106" s="628" t="str">
        <f>IFERROR(__xludf.DUMMYFUNCTION("IF($G106="""","""",IFERROR(query({proventos!$B$5:$Q310},""Select sum(Col16) where Col1 = '""&amp;$G106&amp;""' and Col2 &gt; date '""&amp;TEXT(L$8,""yyyy-mm-dd"")&amp;""' and Col2 &lt;= date '""&amp;TEXT(K$8,""yyyy-mm-dd"")&amp;""' label sum(Col16) ''"",0)))"),"")</f>
        <v/>
      </c>
      <c r="L106" s="628" t="str">
        <f>IFERROR(__xludf.DUMMYFUNCTION("IF($G106="""","""",IFERROR(query({proventos!$B$5:$Q310},""Select sum(Col16) where Col1 = '""&amp;$G106&amp;""' and Col2 &gt; date '""&amp;TEXT(M$8,""yyyy-mm-dd"")&amp;""' and Col2 &lt;= date '""&amp;TEXT(L$8,""yyyy-mm-dd"")&amp;""' label sum(Col16) ''"",0)))"),"")</f>
        <v/>
      </c>
      <c r="M106" s="628" t="str">
        <f>IFERROR(__xludf.DUMMYFUNCTION("IF($G106="""","""",IFERROR(query({proventos!$B$5:$Q310},""Select sum(Col16) where Col1 = '""&amp;$G106&amp;""' and Col2 &gt; date '""&amp;TEXT(N$8,""yyyy-mm-dd"")&amp;""' and Col2 &lt;= date '""&amp;TEXT(M$8,""yyyy-mm-dd"")&amp;""' label sum(Col16) ''"",0)))"),"")</f>
        <v/>
      </c>
      <c r="N106" s="628" t="str">
        <f>IFERROR(__xludf.DUMMYFUNCTION("IF($G106="""","""",IFERROR(query({proventos!$B$5:$Q310},""Select sum(Col16) where Col1 = '""&amp;$G106&amp;""' and Col2 &gt; date '""&amp;TEXT(O$8,""yyyy-mm-dd"")&amp;""' and Col2 &lt;= date '""&amp;TEXT(N$8,""yyyy-mm-dd"")&amp;""' label sum(Col16) ''"",0)))"),"")</f>
        <v/>
      </c>
      <c r="O106" s="628" t="str">
        <f>IFERROR(__xludf.DUMMYFUNCTION("IF($G106="""","""",IFERROR(query({proventos!$B$5:$Q310},""Select sum(Col16) where Col1 = '""&amp;$G106&amp;""' and Col2 &gt; date '""&amp;TEXT(P$8,""yyyy-mm-dd"")&amp;""' and Col2 &lt;= date '""&amp;TEXT(O$8,""yyyy-mm-dd"")&amp;""' label sum(Col16) ''"",0)))"),"")</f>
        <v/>
      </c>
      <c r="P106" s="628" t="str">
        <f>IFERROR(__xludf.DUMMYFUNCTION("IF($G106="""","""",IFERROR(query({proventos!$B$5:$Q310},""Select sum(Col16) where Col1 = '""&amp;$G106&amp;""' and Col2 &gt; date '""&amp;TEXT(Q$8,""yyyy-mm-dd"")&amp;""' and Col2 &lt;= date '""&amp;TEXT(P$8,""yyyy-mm-dd"")&amp;""' label sum(Col16) ''"",0)))"),"")</f>
        <v/>
      </c>
      <c r="Q106" s="628" t="str">
        <f>IFERROR(__xludf.DUMMYFUNCTION("IF($G106="""","""",IFERROR(query({proventos!$B$5:$Q310},""Select sum(Col16) where Col1 = '""&amp;$G106&amp;""' and Col2 &gt; date '""&amp;TEXT(R$8,""yyyy-mm-dd"")&amp;""' and Col2 &lt;= date '""&amp;TEXT(Q$8,""yyyy-mm-dd"")&amp;""' label sum(Col16) ''"",0)))"),"")</f>
        <v/>
      </c>
      <c r="R106" s="628" t="str">
        <f>IFERROR(__xludf.DUMMYFUNCTION("IF($G106="""","""",IFERROR(query({proventos!$B$5:$Q310},""Select sum(Col16) where Col1 = '""&amp;$G106&amp;""' and Col2 &gt; date '""&amp;TEXT(S$8,""yyyy-mm-dd"")&amp;""' and Col2 &lt;= date '""&amp;TEXT(R$8,""yyyy-mm-dd"")&amp;""' label sum(Col16) ''"",0)))"),"")</f>
        <v/>
      </c>
      <c r="S106" s="628" t="str">
        <f>IFERROR(__xludf.DUMMYFUNCTION("IF($G106="""","""",IFERROR(query({proventos!$B$5:$Q310},""Select sum(Col16) where Col1 = '""&amp;$G106&amp;""' and Col2 &gt; date '""&amp;TEXT(T$8,""yyyy-mm-dd"")&amp;""' and Col2 &lt;= date '""&amp;TEXT(S$8,""yyyy-mm-dd"")&amp;""' label sum(Col16) ''"",0)))"),"")</f>
        <v/>
      </c>
      <c r="T106" s="628" t="str">
        <f>IFERROR(__xludf.DUMMYFUNCTION("IF($G106="""","""",IFERROR(query({proventos!$B$5:$Q310},""Select sum(Col16) where Col1 = '""&amp;$G106&amp;""' and Col2 &gt; date '""&amp;TEXT(U$8,""yyyy-mm-dd"")&amp;""' and Col2 &lt;= date '""&amp;TEXT(T$8,""yyyy-mm-dd"")&amp;""' label sum(Col16) ''"",0)))"),"")</f>
        <v/>
      </c>
      <c r="U106" s="629" t="str">
        <f>IFERROR(__xludf.DUMMYFUNCTION("IF($G106="""","""",IFERROR(query({proventos!$B$5:$Q310},""Select sum(Col16) where Col1 = '""&amp;$G106&amp;""' and Col2 &gt; date '""&amp;TEXT(EOMONTH(TODAY(),-13),""yyyy-mm-dd"")&amp;""' and Col2 &lt;= date '""&amp;TEXT(U$8,""yyyy-mm-dd"")&amp;""' label sum(Col16) ''"",0)))"),"")</f>
        <v/>
      </c>
      <c r="V106" s="630" t="str">
        <f>IFERROR(__xludf.DUMMYFUNCTION("IF($G106="""","""",IFERROR(query({proventos!$B$5:$Q310},""Select sum(Col16) where Col1 = '""&amp;$G106&amp;""' and Col2 &gt; date '""&amp;TEXT(DATE(V$8,1,1),""yyyy-mm-dd"")&amp;""' and Col2 &lt;= date '""&amp;TEXT(DATE(V$8,12,31),""yyyy-mm-dd"")&amp;""' label sum(Col16) ''"",0)))"),"")</f>
        <v/>
      </c>
      <c r="W106" s="630" t="str">
        <f>IFERROR(__xludf.DUMMYFUNCTION("IF($G106="""","""",IFERROR(query({proventos!$B$5:$Q310},""Select sum(Col16) where Col1 = '""&amp;$G106&amp;""' and Col2 &gt; date '""&amp;TEXT(DATE(W$8,1,1),""yyyy-mm-dd"")&amp;""' and Col2 &lt;= date '""&amp;TEXT(DATE(W$8,12,31),""yyyy-mm-dd"")&amp;""' label sum(Col16) ''"",0)))"),"")</f>
        <v/>
      </c>
      <c r="X106" s="630" t="str">
        <f>IFERROR(__xludf.DUMMYFUNCTION("IF($G106="""","""",IFERROR(query({proventos!$B$5:$Q310},""Select sum(Col16) where Col1 = '""&amp;$G106&amp;""' and Col2 &gt; date '""&amp;TEXT(DATE(X$8,1,1),""yyyy-mm-dd"")&amp;""' and Col2 &lt;= date '""&amp;TEXT(DATE(X$8,12,31),""yyyy-mm-dd"")&amp;""' label sum(Col16) ''"",0)))"),"")</f>
        <v/>
      </c>
      <c r="Y106" s="630" t="str">
        <f>IFERROR(__xludf.DUMMYFUNCTION("IF($G106="""","""",IFERROR(query({proventos!$B$5:$Q310},""Select sum(Col16) where Col1 = '""&amp;$G106&amp;""' and Col2 &gt; date '""&amp;TEXT(DATE(Y$8,1,1),""yyyy-mm-dd"")&amp;""' and Col2 &lt;= date '""&amp;TEXT(DATE(Y$8,12,31),""yyyy-mm-dd"")&amp;""' label sum(Col16) ''"",0)))"),"")</f>
        <v/>
      </c>
      <c r="Z106" s="630" t="str">
        <f>IFERROR(__xludf.DUMMYFUNCTION("IF($G106="""","""",IFERROR(query({proventos!$B$5:$Q310},""Select sum(Col16) where Col1 = '""&amp;$G106&amp;""' and Col2 &gt; date '""&amp;TEXT(DATE(Z$8,1,1),""yyyy-mm-dd"")&amp;""' and Col2 &lt;= date '""&amp;TEXT(DATE(Z$8,12,31),""yyyy-mm-dd"")&amp;""' label sum(Col16) ''"",0)))"),"")</f>
        <v/>
      </c>
      <c r="AA106" s="587"/>
      <c r="AB106" s="578" t="s">
        <v>123</v>
      </c>
      <c r="AC106" s="601"/>
      <c r="AD106" s="636"/>
      <c r="AE106" s="636"/>
    </row>
    <row r="107">
      <c r="A107" s="619">
        <v>97.0</v>
      </c>
      <c r="B107" s="620"/>
      <c r="C107" s="632"/>
      <c r="D107" s="633"/>
      <c r="E107" s="634"/>
      <c r="F107" s="624">
        <v>97.0</v>
      </c>
      <c r="G107" s="635"/>
      <c r="H107" s="626" t="str">
        <f>if(G107="","",IFERROR(VLOOKUP(G107,AtivosDados,MATCH("provento_avg",portfolio.!$A$3:AE$3,0),FALSE),""))</f>
        <v/>
      </c>
      <c r="I107" s="627" t="s">
        <v>123</v>
      </c>
      <c r="J107" s="628" t="str">
        <f>IFERROR(__xludf.DUMMYFUNCTION("IF($G107="""","""",IFERROR(query({proventos!$B$5:$Q310},""Select sum(Col16) where Col1 = '""&amp;$G107&amp;""' and Col2 &gt; date '""&amp;TEXT(K$8,""yyyy-mm-dd"")&amp;""' and Col2 &lt;= date '""&amp;TEXT(J$8,""yyyy-mm-dd"")&amp;""' label sum(Col16) ''"",0)))"),"")</f>
        <v/>
      </c>
      <c r="K107" s="628" t="str">
        <f>IFERROR(__xludf.DUMMYFUNCTION("IF($G107="""","""",IFERROR(query({proventos!$B$5:$Q310},""Select sum(Col16) where Col1 = '""&amp;$G107&amp;""' and Col2 &gt; date '""&amp;TEXT(L$8,""yyyy-mm-dd"")&amp;""' and Col2 &lt;= date '""&amp;TEXT(K$8,""yyyy-mm-dd"")&amp;""' label sum(Col16) ''"",0)))"),"")</f>
        <v/>
      </c>
      <c r="L107" s="628" t="str">
        <f>IFERROR(__xludf.DUMMYFUNCTION("IF($G107="""","""",IFERROR(query({proventos!$B$5:$Q310},""Select sum(Col16) where Col1 = '""&amp;$G107&amp;""' and Col2 &gt; date '""&amp;TEXT(M$8,""yyyy-mm-dd"")&amp;""' and Col2 &lt;= date '""&amp;TEXT(L$8,""yyyy-mm-dd"")&amp;""' label sum(Col16) ''"",0)))"),"")</f>
        <v/>
      </c>
      <c r="M107" s="628" t="str">
        <f>IFERROR(__xludf.DUMMYFUNCTION("IF($G107="""","""",IFERROR(query({proventos!$B$5:$Q310},""Select sum(Col16) where Col1 = '""&amp;$G107&amp;""' and Col2 &gt; date '""&amp;TEXT(N$8,""yyyy-mm-dd"")&amp;""' and Col2 &lt;= date '""&amp;TEXT(M$8,""yyyy-mm-dd"")&amp;""' label sum(Col16) ''"",0)))"),"")</f>
        <v/>
      </c>
      <c r="N107" s="628" t="str">
        <f>IFERROR(__xludf.DUMMYFUNCTION("IF($G107="""","""",IFERROR(query({proventos!$B$5:$Q310},""Select sum(Col16) where Col1 = '""&amp;$G107&amp;""' and Col2 &gt; date '""&amp;TEXT(O$8,""yyyy-mm-dd"")&amp;""' and Col2 &lt;= date '""&amp;TEXT(N$8,""yyyy-mm-dd"")&amp;""' label sum(Col16) ''"",0)))"),"")</f>
        <v/>
      </c>
      <c r="O107" s="628" t="str">
        <f>IFERROR(__xludf.DUMMYFUNCTION("IF($G107="""","""",IFERROR(query({proventos!$B$5:$Q310},""Select sum(Col16) where Col1 = '""&amp;$G107&amp;""' and Col2 &gt; date '""&amp;TEXT(P$8,""yyyy-mm-dd"")&amp;""' and Col2 &lt;= date '""&amp;TEXT(O$8,""yyyy-mm-dd"")&amp;""' label sum(Col16) ''"",0)))"),"")</f>
        <v/>
      </c>
      <c r="P107" s="628" t="str">
        <f>IFERROR(__xludf.DUMMYFUNCTION("IF($G107="""","""",IFERROR(query({proventos!$B$5:$Q310},""Select sum(Col16) where Col1 = '""&amp;$G107&amp;""' and Col2 &gt; date '""&amp;TEXT(Q$8,""yyyy-mm-dd"")&amp;""' and Col2 &lt;= date '""&amp;TEXT(P$8,""yyyy-mm-dd"")&amp;""' label sum(Col16) ''"",0)))"),"")</f>
        <v/>
      </c>
      <c r="Q107" s="628" t="str">
        <f>IFERROR(__xludf.DUMMYFUNCTION("IF($G107="""","""",IFERROR(query({proventos!$B$5:$Q310},""Select sum(Col16) where Col1 = '""&amp;$G107&amp;""' and Col2 &gt; date '""&amp;TEXT(R$8,""yyyy-mm-dd"")&amp;""' and Col2 &lt;= date '""&amp;TEXT(Q$8,""yyyy-mm-dd"")&amp;""' label sum(Col16) ''"",0)))"),"")</f>
        <v/>
      </c>
      <c r="R107" s="628" t="str">
        <f>IFERROR(__xludf.DUMMYFUNCTION("IF($G107="""","""",IFERROR(query({proventos!$B$5:$Q310},""Select sum(Col16) where Col1 = '""&amp;$G107&amp;""' and Col2 &gt; date '""&amp;TEXT(S$8,""yyyy-mm-dd"")&amp;""' and Col2 &lt;= date '""&amp;TEXT(R$8,""yyyy-mm-dd"")&amp;""' label sum(Col16) ''"",0)))"),"")</f>
        <v/>
      </c>
      <c r="S107" s="628" t="str">
        <f>IFERROR(__xludf.DUMMYFUNCTION("IF($G107="""","""",IFERROR(query({proventos!$B$5:$Q310},""Select sum(Col16) where Col1 = '""&amp;$G107&amp;""' and Col2 &gt; date '""&amp;TEXT(T$8,""yyyy-mm-dd"")&amp;""' and Col2 &lt;= date '""&amp;TEXT(S$8,""yyyy-mm-dd"")&amp;""' label sum(Col16) ''"",0)))"),"")</f>
        <v/>
      </c>
      <c r="T107" s="628" t="str">
        <f>IFERROR(__xludf.DUMMYFUNCTION("IF($G107="""","""",IFERROR(query({proventos!$B$5:$Q310},""Select sum(Col16) where Col1 = '""&amp;$G107&amp;""' and Col2 &gt; date '""&amp;TEXT(U$8,""yyyy-mm-dd"")&amp;""' and Col2 &lt;= date '""&amp;TEXT(T$8,""yyyy-mm-dd"")&amp;""' label sum(Col16) ''"",0)))"),"")</f>
        <v/>
      </c>
      <c r="U107" s="629" t="str">
        <f>IFERROR(__xludf.DUMMYFUNCTION("IF($G107="""","""",IFERROR(query({proventos!$B$5:$Q310},""Select sum(Col16) where Col1 = '""&amp;$G107&amp;""' and Col2 &gt; date '""&amp;TEXT(EOMONTH(TODAY(),-13),""yyyy-mm-dd"")&amp;""' and Col2 &lt;= date '""&amp;TEXT(U$8,""yyyy-mm-dd"")&amp;""' label sum(Col16) ''"",0)))"),"")</f>
        <v/>
      </c>
      <c r="V107" s="630" t="str">
        <f>IFERROR(__xludf.DUMMYFUNCTION("IF($G107="""","""",IFERROR(query({proventos!$B$5:$Q310},""Select sum(Col16) where Col1 = '""&amp;$G107&amp;""' and Col2 &gt; date '""&amp;TEXT(DATE(V$8,1,1),""yyyy-mm-dd"")&amp;""' and Col2 &lt;= date '""&amp;TEXT(DATE(V$8,12,31),""yyyy-mm-dd"")&amp;""' label sum(Col16) ''"",0)))"),"")</f>
        <v/>
      </c>
      <c r="W107" s="630" t="str">
        <f>IFERROR(__xludf.DUMMYFUNCTION("IF($G107="""","""",IFERROR(query({proventos!$B$5:$Q310},""Select sum(Col16) where Col1 = '""&amp;$G107&amp;""' and Col2 &gt; date '""&amp;TEXT(DATE(W$8,1,1),""yyyy-mm-dd"")&amp;""' and Col2 &lt;= date '""&amp;TEXT(DATE(W$8,12,31),""yyyy-mm-dd"")&amp;""' label sum(Col16) ''"",0)))"),"")</f>
        <v/>
      </c>
      <c r="X107" s="630" t="str">
        <f>IFERROR(__xludf.DUMMYFUNCTION("IF($G107="""","""",IFERROR(query({proventos!$B$5:$Q310},""Select sum(Col16) where Col1 = '""&amp;$G107&amp;""' and Col2 &gt; date '""&amp;TEXT(DATE(X$8,1,1),""yyyy-mm-dd"")&amp;""' and Col2 &lt;= date '""&amp;TEXT(DATE(X$8,12,31),""yyyy-mm-dd"")&amp;""' label sum(Col16) ''"",0)))"),"")</f>
        <v/>
      </c>
      <c r="Y107" s="630" t="str">
        <f>IFERROR(__xludf.DUMMYFUNCTION("IF($G107="""","""",IFERROR(query({proventos!$B$5:$Q310},""Select sum(Col16) where Col1 = '""&amp;$G107&amp;""' and Col2 &gt; date '""&amp;TEXT(DATE(Y$8,1,1),""yyyy-mm-dd"")&amp;""' and Col2 &lt;= date '""&amp;TEXT(DATE(Y$8,12,31),""yyyy-mm-dd"")&amp;""' label sum(Col16) ''"",0)))"),"")</f>
        <v/>
      </c>
      <c r="Z107" s="630" t="str">
        <f>IFERROR(__xludf.DUMMYFUNCTION("IF($G107="""","""",IFERROR(query({proventos!$B$5:$Q310},""Select sum(Col16) where Col1 = '""&amp;$G107&amp;""' and Col2 &gt; date '""&amp;TEXT(DATE(Z$8,1,1),""yyyy-mm-dd"")&amp;""' and Col2 &lt;= date '""&amp;TEXT(DATE(Z$8,12,31),""yyyy-mm-dd"")&amp;""' label sum(Col16) ''"",0)))"),"")</f>
        <v/>
      </c>
      <c r="AA107" s="587"/>
      <c r="AB107" s="578" t="s">
        <v>123</v>
      </c>
      <c r="AC107" s="601"/>
      <c r="AD107" s="636"/>
      <c r="AE107" s="636"/>
    </row>
    <row r="108">
      <c r="A108" s="619">
        <v>98.0</v>
      </c>
      <c r="B108" s="620"/>
      <c r="C108" s="632"/>
      <c r="D108" s="633"/>
      <c r="E108" s="634"/>
      <c r="F108" s="624">
        <v>98.0</v>
      </c>
      <c r="G108" s="635"/>
      <c r="H108" s="626" t="str">
        <f>if(G108="","",IFERROR(VLOOKUP(G108,AtivosDados,MATCH("provento_avg",portfolio.!$A$3:AE$3,0),FALSE),""))</f>
        <v/>
      </c>
      <c r="I108" s="627" t="s">
        <v>123</v>
      </c>
      <c r="J108" s="628" t="str">
        <f>IFERROR(__xludf.DUMMYFUNCTION("IF($G108="""","""",IFERROR(query({proventos!$B$5:$Q310},""Select sum(Col16) where Col1 = '""&amp;$G108&amp;""' and Col2 &gt; date '""&amp;TEXT(K$8,""yyyy-mm-dd"")&amp;""' and Col2 &lt;= date '""&amp;TEXT(J$8,""yyyy-mm-dd"")&amp;""' label sum(Col16) ''"",0)))"),"")</f>
        <v/>
      </c>
      <c r="K108" s="628" t="str">
        <f>IFERROR(__xludf.DUMMYFUNCTION("IF($G108="""","""",IFERROR(query({proventos!$B$5:$Q310},""Select sum(Col16) where Col1 = '""&amp;$G108&amp;""' and Col2 &gt; date '""&amp;TEXT(L$8,""yyyy-mm-dd"")&amp;""' and Col2 &lt;= date '""&amp;TEXT(K$8,""yyyy-mm-dd"")&amp;""' label sum(Col16) ''"",0)))"),"")</f>
        <v/>
      </c>
      <c r="L108" s="628" t="str">
        <f>IFERROR(__xludf.DUMMYFUNCTION("IF($G108="""","""",IFERROR(query({proventos!$B$5:$Q310},""Select sum(Col16) where Col1 = '""&amp;$G108&amp;""' and Col2 &gt; date '""&amp;TEXT(M$8,""yyyy-mm-dd"")&amp;""' and Col2 &lt;= date '""&amp;TEXT(L$8,""yyyy-mm-dd"")&amp;""' label sum(Col16) ''"",0)))"),"")</f>
        <v/>
      </c>
      <c r="M108" s="628" t="str">
        <f>IFERROR(__xludf.DUMMYFUNCTION("IF($G108="""","""",IFERROR(query({proventos!$B$5:$Q310},""Select sum(Col16) where Col1 = '""&amp;$G108&amp;""' and Col2 &gt; date '""&amp;TEXT(N$8,""yyyy-mm-dd"")&amp;""' and Col2 &lt;= date '""&amp;TEXT(M$8,""yyyy-mm-dd"")&amp;""' label sum(Col16) ''"",0)))"),"")</f>
        <v/>
      </c>
      <c r="N108" s="628" t="str">
        <f>IFERROR(__xludf.DUMMYFUNCTION("IF($G108="""","""",IFERROR(query({proventos!$B$5:$Q310},""Select sum(Col16) where Col1 = '""&amp;$G108&amp;""' and Col2 &gt; date '""&amp;TEXT(O$8,""yyyy-mm-dd"")&amp;""' and Col2 &lt;= date '""&amp;TEXT(N$8,""yyyy-mm-dd"")&amp;""' label sum(Col16) ''"",0)))"),"")</f>
        <v/>
      </c>
      <c r="O108" s="628" t="str">
        <f>IFERROR(__xludf.DUMMYFUNCTION("IF($G108="""","""",IFERROR(query({proventos!$B$5:$Q310},""Select sum(Col16) where Col1 = '""&amp;$G108&amp;""' and Col2 &gt; date '""&amp;TEXT(P$8,""yyyy-mm-dd"")&amp;""' and Col2 &lt;= date '""&amp;TEXT(O$8,""yyyy-mm-dd"")&amp;""' label sum(Col16) ''"",0)))"),"")</f>
        <v/>
      </c>
      <c r="P108" s="628" t="str">
        <f>IFERROR(__xludf.DUMMYFUNCTION("IF($G108="""","""",IFERROR(query({proventos!$B$5:$Q310},""Select sum(Col16) where Col1 = '""&amp;$G108&amp;""' and Col2 &gt; date '""&amp;TEXT(Q$8,""yyyy-mm-dd"")&amp;""' and Col2 &lt;= date '""&amp;TEXT(P$8,""yyyy-mm-dd"")&amp;""' label sum(Col16) ''"",0)))"),"")</f>
        <v/>
      </c>
      <c r="Q108" s="628" t="str">
        <f>IFERROR(__xludf.DUMMYFUNCTION("IF($G108="""","""",IFERROR(query({proventos!$B$5:$Q310},""Select sum(Col16) where Col1 = '""&amp;$G108&amp;""' and Col2 &gt; date '""&amp;TEXT(R$8,""yyyy-mm-dd"")&amp;""' and Col2 &lt;= date '""&amp;TEXT(Q$8,""yyyy-mm-dd"")&amp;""' label sum(Col16) ''"",0)))"),"")</f>
        <v/>
      </c>
      <c r="R108" s="628" t="str">
        <f>IFERROR(__xludf.DUMMYFUNCTION("IF($G108="""","""",IFERROR(query({proventos!$B$5:$Q310},""Select sum(Col16) where Col1 = '""&amp;$G108&amp;""' and Col2 &gt; date '""&amp;TEXT(S$8,""yyyy-mm-dd"")&amp;""' and Col2 &lt;= date '""&amp;TEXT(R$8,""yyyy-mm-dd"")&amp;""' label sum(Col16) ''"",0)))"),"")</f>
        <v/>
      </c>
      <c r="S108" s="628" t="str">
        <f>IFERROR(__xludf.DUMMYFUNCTION("IF($G108="""","""",IFERROR(query({proventos!$B$5:$Q310},""Select sum(Col16) where Col1 = '""&amp;$G108&amp;""' and Col2 &gt; date '""&amp;TEXT(T$8,""yyyy-mm-dd"")&amp;""' and Col2 &lt;= date '""&amp;TEXT(S$8,""yyyy-mm-dd"")&amp;""' label sum(Col16) ''"",0)))"),"")</f>
        <v/>
      </c>
      <c r="T108" s="628" t="str">
        <f>IFERROR(__xludf.DUMMYFUNCTION("IF($G108="""","""",IFERROR(query({proventos!$B$5:$Q310},""Select sum(Col16) where Col1 = '""&amp;$G108&amp;""' and Col2 &gt; date '""&amp;TEXT(U$8,""yyyy-mm-dd"")&amp;""' and Col2 &lt;= date '""&amp;TEXT(T$8,""yyyy-mm-dd"")&amp;""' label sum(Col16) ''"",0)))"),"")</f>
        <v/>
      </c>
      <c r="U108" s="629" t="str">
        <f>IFERROR(__xludf.DUMMYFUNCTION("IF($G108="""","""",IFERROR(query({proventos!$B$5:$Q310},""Select sum(Col16) where Col1 = '""&amp;$G108&amp;""' and Col2 &gt; date '""&amp;TEXT(EOMONTH(TODAY(),-13),""yyyy-mm-dd"")&amp;""' and Col2 &lt;= date '""&amp;TEXT(U$8,""yyyy-mm-dd"")&amp;""' label sum(Col16) ''"",0)))"),"")</f>
        <v/>
      </c>
      <c r="V108" s="630" t="str">
        <f>IFERROR(__xludf.DUMMYFUNCTION("IF($G108="""","""",IFERROR(query({proventos!$B$5:$Q310},""Select sum(Col16) where Col1 = '""&amp;$G108&amp;""' and Col2 &gt; date '""&amp;TEXT(DATE(V$8,1,1),""yyyy-mm-dd"")&amp;""' and Col2 &lt;= date '""&amp;TEXT(DATE(V$8,12,31),""yyyy-mm-dd"")&amp;""' label sum(Col16) ''"",0)))"),"")</f>
        <v/>
      </c>
      <c r="W108" s="630" t="str">
        <f>IFERROR(__xludf.DUMMYFUNCTION("IF($G108="""","""",IFERROR(query({proventos!$B$5:$Q310},""Select sum(Col16) where Col1 = '""&amp;$G108&amp;""' and Col2 &gt; date '""&amp;TEXT(DATE(W$8,1,1),""yyyy-mm-dd"")&amp;""' and Col2 &lt;= date '""&amp;TEXT(DATE(W$8,12,31),""yyyy-mm-dd"")&amp;""' label sum(Col16) ''"",0)))"),"")</f>
        <v/>
      </c>
      <c r="X108" s="630" t="str">
        <f>IFERROR(__xludf.DUMMYFUNCTION("IF($G108="""","""",IFERROR(query({proventos!$B$5:$Q310},""Select sum(Col16) where Col1 = '""&amp;$G108&amp;""' and Col2 &gt; date '""&amp;TEXT(DATE(X$8,1,1),""yyyy-mm-dd"")&amp;""' and Col2 &lt;= date '""&amp;TEXT(DATE(X$8,12,31),""yyyy-mm-dd"")&amp;""' label sum(Col16) ''"",0)))"),"")</f>
        <v/>
      </c>
      <c r="Y108" s="630" t="str">
        <f>IFERROR(__xludf.DUMMYFUNCTION("IF($G108="""","""",IFERROR(query({proventos!$B$5:$Q310},""Select sum(Col16) where Col1 = '""&amp;$G108&amp;""' and Col2 &gt; date '""&amp;TEXT(DATE(Y$8,1,1),""yyyy-mm-dd"")&amp;""' and Col2 &lt;= date '""&amp;TEXT(DATE(Y$8,12,31),""yyyy-mm-dd"")&amp;""' label sum(Col16) ''"",0)))"),"")</f>
        <v/>
      </c>
      <c r="Z108" s="630" t="str">
        <f>IFERROR(__xludf.DUMMYFUNCTION("IF($G108="""","""",IFERROR(query({proventos!$B$5:$Q310},""Select sum(Col16) where Col1 = '""&amp;$G108&amp;""' and Col2 &gt; date '""&amp;TEXT(DATE(Z$8,1,1),""yyyy-mm-dd"")&amp;""' and Col2 &lt;= date '""&amp;TEXT(DATE(Z$8,12,31),""yyyy-mm-dd"")&amp;""' label sum(Col16) ''"",0)))"),"")</f>
        <v/>
      </c>
      <c r="AA108" s="587"/>
      <c r="AB108" s="578" t="s">
        <v>123</v>
      </c>
      <c r="AC108" s="601"/>
      <c r="AD108" s="636"/>
      <c r="AE108" s="636"/>
    </row>
    <row r="109">
      <c r="A109" s="619">
        <v>99.0</v>
      </c>
      <c r="B109" s="620"/>
      <c r="C109" s="632"/>
      <c r="D109" s="633"/>
      <c r="E109" s="634"/>
      <c r="F109" s="624">
        <v>99.0</v>
      </c>
      <c r="G109" s="635"/>
      <c r="H109" s="626" t="str">
        <f>if(G109="","",IFERROR(VLOOKUP(G109,AtivosDados,MATCH("provento_avg",portfolio.!$A$3:AE$3,0),FALSE),""))</f>
        <v/>
      </c>
      <c r="I109" s="627" t="s">
        <v>123</v>
      </c>
      <c r="J109" s="628" t="str">
        <f>IFERROR(__xludf.DUMMYFUNCTION("IF($G109="""","""",IFERROR(query({proventos!$B$5:$Q310},""Select sum(Col16) where Col1 = '""&amp;$G109&amp;""' and Col2 &gt; date '""&amp;TEXT(K$8,""yyyy-mm-dd"")&amp;""' and Col2 &lt;= date '""&amp;TEXT(J$8,""yyyy-mm-dd"")&amp;""' label sum(Col16) ''"",0)))"),"")</f>
        <v/>
      </c>
      <c r="K109" s="628" t="str">
        <f>IFERROR(__xludf.DUMMYFUNCTION("IF($G109="""","""",IFERROR(query({proventos!$B$5:$Q310},""Select sum(Col16) where Col1 = '""&amp;$G109&amp;""' and Col2 &gt; date '""&amp;TEXT(L$8,""yyyy-mm-dd"")&amp;""' and Col2 &lt;= date '""&amp;TEXT(K$8,""yyyy-mm-dd"")&amp;""' label sum(Col16) ''"",0)))"),"")</f>
        <v/>
      </c>
      <c r="L109" s="628" t="str">
        <f>IFERROR(__xludf.DUMMYFUNCTION("IF($G109="""","""",IFERROR(query({proventos!$B$5:$Q310},""Select sum(Col16) where Col1 = '""&amp;$G109&amp;""' and Col2 &gt; date '""&amp;TEXT(M$8,""yyyy-mm-dd"")&amp;""' and Col2 &lt;= date '""&amp;TEXT(L$8,""yyyy-mm-dd"")&amp;""' label sum(Col16) ''"",0)))"),"")</f>
        <v/>
      </c>
      <c r="M109" s="628" t="str">
        <f>IFERROR(__xludf.DUMMYFUNCTION("IF($G109="""","""",IFERROR(query({proventos!$B$5:$Q310},""Select sum(Col16) where Col1 = '""&amp;$G109&amp;""' and Col2 &gt; date '""&amp;TEXT(N$8,""yyyy-mm-dd"")&amp;""' and Col2 &lt;= date '""&amp;TEXT(M$8,""yyyy-mm-dd"")&amp;""' label sum(Col16) ''"",0)))"),"")</f>
        <v/>
      </c>
      <c r="N109" s="628" t="str">
        <f>IFERROR(__xludf.DUMMYFUNCTION("IF($G109="""","""",IFERROR(query({proventos!$B$5:$Q310},""Select sum(Col16) where Col1 = '""&amp;$G109&amp;""' and Col2 &gt; date '""&amp;TEXT(O$8,""yyyy-mm-dd"")&amp;""' and Col2 &lt;= date '""&amp;TEXT(N$8,""yyyy-mm-dd"")&amp;""' label sum(Col16) ''"",0)))"),"")</f>
        <v/>
      </c>
      <c r="O109" s="628" t="str">
        <f>IFERROR(__xludf.DUMMYFUNCTION("IF($G109="""","""",IFERROR(query({proventos!$B$5:$Q310},""Select sum(Col16) where Col1 = '""&amp;$G109&amp;""' and Col2 &gt; date '""&amp;TEXT(P$8,""yyyy-mm-dd"")&amp;""' and Col2 &lt;= date '""&amp;TEXT(O$8,""yyyy-mm-dd"")&amp;""' label sum(Col16) ''"",0)))"),"")</f>
        <v/>
      </c>
      <c r="P109" s="628" t="str">
        <f>IFERROR(__xludf.DUMMYFUNCTION("IF($G109="""","""",IFERROR(query({proventos!$B$5:$Q310},""Select sum(Col16) where Col1 = '""&amp;$G109&amp;""' and Col2 &gt; date '""&amp;TEXT(Q$8,""yyyy-mm-dd"")&amp;""' and Col2 &lt;= date '""&amp;TEXT(P$8,""yyyy-mm-dd"")&amp;""' label sum(Col16) ''"",0)))"),"")</f>
        <v/>
      </c>
      <c r="Q109" s="628" t="str">
        <f>IFERROR(__xludf.DUMMYFUNCTION("IF($G109="""","""",IFERROR(query({proventos!$B$5:$Q310},""Select sum(Col16) where Col1 = '""&amp;$G109&amp;""' and Col2 &gt; date '""&amp;TEXT(R$8,""yyyy-mm-dd"")&amp;""' and Col2 &lt;= date '""&amp;TEXT(Q$8,""yyyy-mm-dd"")&amp;""' label sum(Col16) ''"",0)))"),"")</f>
        <v/>
      </c>
      <c r="R109" s="628" t="str">
        <f>IFERROR(__xludf.DUMMYFUNCTION("IF($G109="""","""",IFERROR(query({proventos!$B$5:$Q310},""Select sum(Col16) where Col1 = '""&amp;$G109&amp;""' and Col2 &gt; date '""&amp;TEXT(S$8,""yyyy-mm-dd"")&amp;""' and Col2 &lt;= date '""&amp;TEXT(R$8,""yyyy-mm-dd"")&amp;""' label sum(Col16) ''"",0)))"),"")</f>
        <v/>
      </c>
      <c r="S109" s="628" t="str">
        <f>IFERROR(__xludf.DUMMYFUNCTION("IF($G109="""","""",IFERROR(query({proventos!$B$5:$Q310},""Select sum(Col16) where Col1 = '""&amp;$G109&amp;""' and Col2 &gt; date '""&amp;TEXT(T$8,""yyyy-mm-dd"")&amp;""' and Col2 &lt;= date '""&amp;TEXT(S$8,""yyyy-mm-dd"")&amp;""' label sum(Col16) ''"",0)))"),"")</f>
        <v/>
      </c>
      <c r="T109" s="628" t="str">
        <f>IFERROR(__xludf.DUMMYFUNCTION("IF($G109="""","""",IFERROR(query({proventos!$B$5:$Q310},""Select sum(Col16) where Col1 = '""&amp;$G109&amp;""' and Col2 &gt; date '""&amp;TEXT(U$8,""yyyy-mm-dd"")&amp;""' and Col2 &lt;= date '""&amp;TEXT(T$8,""yyyy-mm-dd"")&amp;""' label sum(Col16) ''"",0)))"),"")</f>
        <v/>
      </c>
      <c r="U109" s="629" t="str">
        <f>IFERROR(__xludf.DUMMYFUNCTION("IF($G109="""","""",IFERROR(query({proventos!$B$5:$Q310},""Select sum(Col16) where Col1 = '""&amp;$G109&amp;""' and Col2 &gt; date '""&amp;TEXT(EOMONTH(TODAY(),-13),""yyyy-mm-dd"")&amp;""' and Col2 &lt;= date '""&amp;TEXT(U$8,""yyyy-mm-dd"")&amp;""' label sum(Col16) ''"",0)))"),"")</f>
        <v/>
      </c>
      <c r="V109" s="630" t="str">
        <f>IFERROR(__xludf.DUMMYFUNCTION("IF($G109="""","""",IFERROR(query({proventos!$B$5:$Q310},""Select sum(Col16) where Col1 = '""&amp;$G109&amp;""' and Col2 &gt; date '""&amp;TEXT(DATE(V$8,1,1),""yyyy-mm-dd"")&amp;""' and Col2 &lt;= date '""&amp;TEXT(DATE(V$8,12,31),""yyyy-mm-dd"")&amp;""' label sum(Col16) ''"",0)))"),"")</f>
        <v/>
      </c>
      <c r="W109" s="630" t="str">
        <f>IFERROR(__xludf.DUMMYFUNCTION("IF($G109="""","""",IFERROR(query({proventos!$B$5:$Q310},""Select sum(Col16) where Col1 = '""&amp;$G109&amp;""' and Col2 &gt; date '""&amp;TEXT(DATE(W$8,1,1),""yyyy-mm-dd"")&amp;""' and Col2 &lt;= date '""&amp;TEXT(DATE(W$8,12,31),""yyyy-mm-dd"")&amp;""' label sum(Col16) ''"",0)))"),"")</f>
        <v/>
      </c>
      <c r="X109" s="630" t="str">
        <f>IFERROR(__xludf.DUMMYFUNCTION("IF($G109="""","""",IFERROR(query({proventos!$B$5:$Q310},""Select sum(Col16) where Col1 = '""&amp;$G109&amp;""' and Col2 &gt; date '""&amp;TEXT(DATE(X$8,1,1),""yyyy-mm-dd"")&amp;""' and Col2 &lt;= date '""&amp;TEXT(DATE(X$8,12,31),""yyyy-mm-dd"")&amp;""' label sum(Col16) ''"",0)))"),"")</f>
        <v/>
      </c>
      <c r="Y109" s="630" t="str">
        <f>IFERROR(__xludf.DUMMYFUNCTION("IF($G109="""","""",IFERROR(query({proventos!$B$5:$Q310},""Select sum(Col16) where Col1 = '""&amp;$G109&amp;""' and Col2 &gt; date '""&amp;TEXT(DATE(Y$8,1,1),""yyyy-mm-dd"")&amp;""' and Col2 &lt;= date '""&amp;TEXT(DATE(Y$8,12,31),""yyyy-mm-dd"")&amp;""' label sum(Col16) ''"",0)))"),"")</f>
        <v/>
      </c>
      <c r="Z109" s="630" t="str">
        <f>IFERROR(__xludf.DUMMYFUNCTION("IF($G109="""","""",IFERROR(query({proventos!$B$5:$Q310},""Select sum(Col16) where Col1 = '""&amp;$G109&amp;""' and Col2 &gt; date '""&amp;TEXT(DATE(Z$8,1,1),""yyyy-mm-dd"")&amp;""' and Col2 &lt;= date '""&amp;TEXT(DATE(Z$8,12,31),""yyyy-mm-dd"")&amp;""' label sum(Col16) ''"",0)))"),"")</f>
        <v/>
      </c>
      <c r="AA109" s="587"/>
      <c r="AB109" s="578" t="s">
        <v>123</v>
      </c>
      <c r="AC109" s="601"/>
      <c r="AD109" s="636"/>
      <c r="AE109" s="636"/>
    </row>
    <row r="110">
      <c r="A110" s="619">
        <v>100.0</v>
      </c>
      <c r="B110" s="620"/>
      <c r="C110" s="637"/>
      <c r="D110" s="633"/>
      <c r="E110" s="634"/>
      <c r="F110" s="624">
        <v>100.0</v>
      </c>
      <c r="G110" s="635"/>
      <c r="H110" s="626" t="str">
        <f>if(G110="","",IFERROR(VLOOKUP(G110,AtivosDados,MATCH("provento_avg",portfolio.!$A$3:AE$3,0),FALSE),""))</f>
        <v/>
      </c>
      <c r="I110" s="627" t="s">
        <v>123</v>
      </c>
      <c r="J110" s="628" t="str">
        <f>IFERROR(__xludf.DUMMYFUNCTION("IF($G110="""","""",IFERROR(query({proventos!$B$5:$Q310},""Select sum(Col16) where Col1 = '""&amp;$G110&amp;""' and Col2 &gt; date '""&amp;TEXT(K$8,""yyyy-mm-dd"")&amp;""' and Col2 &lt;= date '""&amp;TEXT(J$8,""yyyy-mm-dd"")&amp;""' label sum(Col16) ''"",0)))"),"")</f>
        <v/>
      </c>
      <c r="K110" s="628" t="str">
        <f>IFERROR(__xludf.DUMMYFUNCTION("IF($G110="""","""",IFERROR(query({proventos!$B$5:$Q310},""Select sum(Col16) where Col1 = '""&amp;$G110&amp;""' and Col2 &gt; date '""&amp;TEXT(L$8,""yyyy-mm-dd"")&amp;""' and Col2 &lt;= date '""&amp;TEXT(K$8,""yyyy-mm-dd"")&amp;""' label sum(Col16) ''"",0)))"),"")</f>
        <v/>
      </c>
      <c r="L110" s="628" t="str">
        <f>IFERROR(__xludf.DUMMYFUNCTION("IF($G110="""","""",IFERROR(query({proventos!$B$5:$Q310},""Select sum(Col16) where Col1 = '""&amp;$G110&amp;""' and Col2 &gt; date '""&amp;TEXT(M$8,""yyyy-mm-dd"")&amp;""' and Col2 &lt;= date '""&amp;TEXT(L$8,""yyyy-mm-dd"")&amp;""' label sum(Col16) ''"",0)))"),"")</f>
        <v/>
      </c>
      <c r="M110" s="628" t="str">
        <f>IFERROR(__xludf.DUMMYFUNCTION("IF($G110="""","""",IFERROR(query({proventos!$B$5:$Q310},""Select sum(Col16) where Col1 = '""&amp;$G110&amp;""' and Col2 &gt; date '""&amp;TEXT(N$8,""yyyy-mm-dd"")&amp;""' and Col2 &lt;= date '""&amp;TEXT(M$8,""yyyy-mm-dd"")&amp;""' label sum(Col16) ''"",0)))"),"")</f>
        <v/>
      </c>
      <c r="N110" s="628" t="str">
        <f>IFERROR(__xludf.DUMMYFUNCTION("IF($G110="""","""",IFERROR(query({proventos!$B$5:$Q310},""Select sum(Col16) where Col1 = '""&amp;$G110&amp;""' and Col2 &gt; date '""&amp;TEXT(O$8,""yyyy-mm-dd"")&amp;""' and Col2 &lt;= date '""&amp;TEXT(N$8,""yyyy-mm-dd"")&amp;""' label sum(Col16) ''"",0)))"),"")</f>
        <v/>
      </c>
      <c r="O110" s="628" t="str">
        <f>IFERROR(__xludf.DUMMYFUNCTION("IF($G110="""","""",IFERROR(query({proventos!$B$5:$Q310},""Select sum(Col16) where Col1 = '""&amp;$G110&amp;""' and Col2 &gt; date '""&amp;TEXT(P$8,""yyyy-mm-dd"")&amp;""' and Col2 &lt;= date '""&amp;TEXT(O$8,""yyyy-mm-dd"")&amp;""' label sum(Col16) ''"",0)))"),"")</f>
        <v/>
      </c>
      <c r="P110" s="628" t="str">
        <f>IFERROR(__xludf.DUMMYFUNCTION("IF($G110="""","""",IFERROR(query({proventos!$B$5:$Q310},""Select sum(Col16) where Col1 = '""&amp;$G110&amp;""' and Col2 &gt; date '""&amp;TEXT(Q$8,""yyyy-mm-dd"")&amp;""' and Col2 &lt;= date '""&amp;TEXT(P$8,""yyyy-mm-dd"")&amp;""' label sum(Col16) ''"",0)))"),"")</f>
        <v/>
      </c>
      <c r="Q110" s="628" t="str">
        <f>IFERROR(__xludf.DUMMYFUNCTION("IF($G110="""","""",IFERROR(query({proventos!$B$5:$Q310},""Select sum(Col16) where Col1 = '""&amp;$G110&amp;""' and Col2 &gt; date '""&amp;TEXT(R$8,""yyyy-mm-dd"")&amp;""' and Col2 &lt;= date '""&amp;TEXT(Q$8,""yyyy-mm-dd"")&amp;""' label sum(Col16) ''"",0)))"),"")</f>
        <v/>
      </c>
      <c r="R110" s="628" t="str">
        <f>IFERROR(__xludf.DUMMYFUNCTION("IF($G110="""","""",IFERROR(query({proventos!$B$5:$Q310},""Select sum(Col16) where Col1 = '""&amp;$G110&amp;""' and Col2 &gt; date '""&amp;TEXT(S$8,""yyyy-mm-dd"")&amp;""' and Col2 &lt;= date '""&amp;TEXT(R$8,""yyyy-mm-dd"")&amp;""' label sum(Col16) ''"",0)))"),"")</f>
        <v/>
      </c>
      <c r="S110" s="628" t="str">
        <f>IFERROR(__xludf.DUMMYFUNCTION("IF($G110="""","""",IFERROR(query({proventos!$B$5:$Q310},""Select sum(Col16) where Col1 = '""&amp;$G110&amp;""' and Col2 &gt; date '""&amp;TEXT(T$8,""yyyy-mm-dd"")&amp;""' and Col2 &lt;= date '""&amp;TEXT(S$8,""yyyy-mm-dd"")&amp;""' label sum(Col16) ''"",0)))"),"")</f>
        <v/>
      </c>
      <c r="T110" s="628" t="str">
        <f>IFERROR(__xludf.DUMMYFUNCTION("IF($G110="""","""",IFERROR(query({proventos!$B$5:$Q310},""Select sum(Col16) where Col1 = '""&amp;$G110&amp;""' and Col2 &gt; date '""&amp;TEXT(U$8,""yyyy-mm-dd"")&amp;""' and Col2 &lt;= date '""&amp;TEXT(T$8,""yyyy-mm-dd"")&amp;""' label sum(Col16) ''"",0)))"),"")</f>
        <v/>
      </c>
      <c r="U110" s="629" t="str">
        <f>IFERROR(__xludf.DUMMYFUNCTION("IF($G110="""","""",IFERROR(query({proventos!$B$5:$Q310},""Select sum(Col16) where Col1 = '""&amp;$G110&amp;""' and Col2 &gt; date '""&amp;TEXT(EOMONTH(TODAY(),-13),""yyyy-mm-dd"")&amp;""' and Col2 &lt;= date '""&amp;TEXT(U$8,""yyyy-mm-dd"")&amp;""' label sum(Col16) ''"",0)))"),"")</f>
        <v/>
      </c>
      <c r="V110" s="630" t="str">
        <f>IFERROR(__xludf.DUMMYFUNCTION("IF($G110="""","""",IFERROR(query({proventos!$B$5:$Q310},""Select sum(Col16) where Col1 = '""&amp;$G110&amp;""' and Col2 &gt; date '""&amp;TEXT(DATE(V$8,1,1),""yyyy-mm-dd"")&amp;""' and Col2 &lt;= date '""&amp;TEXT(DATE(V$8,12,31),""yyyy-mm-dd"")&amp;""' label sum(Col16) ''"",0)))"),"")</f>
        <v/>
      </c>
      <c r="W110" s="630" t="str">
        <f>IFERROR(__xludf.DUMMYFUNCTION("IF($G110="""","""",IFERROR(query({proventos!$B$5:$Q310},""Select sum(Col16) where Col1 = '""&amp;$G110&amp;""' and Col2 &gt; date '""&amp;TEXT(DATE(W$8,1,1),""yyyy-mm-dd"")&amp;""' and Col2 &lt;= date '""&amp;TEXT(DATE(W$8,12,31),""yyyy-mm-dd"")&amp;""' label sum(Col16) ''"",0)))"),"")</f>
        <v/>
      </c>
      <c r="X110" s="630" t="str">
        <f>IFERROR(__xludf.DUMMYFUNCTION("IF($G110="""","""",IFERROR(query({proventos!$B$5:$Q310},""Select sum(Col16) where Col1 = '""&amp;$G110&amp;""' and Col2 &gt; date '""&amp;TEXT(DATE(X$8,1,1),""yyyy-mm-dd"")&amp;""' and Col2 &lt;= date '""&amp;TEXT(DATE(X$8,12,31),""yyyy-mm-dd"")&amp;""' label sum(Col16) ''"",0)))"),"")</f>
        <v/>
      </c>
      <c r="Y110" s="630" t="str">
        <f>IFERROR(__xludf.DUMMYFUNCTION("IF($G110="""","""",IFERROR(query({proventos!$B$5:$Q310},""Select sum(Col16) where Col1 = '""&amp;$G110&amp;""' and Col2 &gt; date '""&amp;TEXT(DATE(Y$8,1,1),""yyyy-mm-dd"")&amp;""' and Col2 &lt;= date '""&amp;TEXT(DATE(Y$8,12,31),""yyyy-mm-dd"")&amp;""' label sum(Col16) ''"",0)))"),"")</f>
        <v/>
      </c>
      <c r="Z110" s="630" t="str">
        <f>IFERROR(__xludf.DUMMYFUNCTION("IF($G110="""","""",IFERROR(query({proventos!$B$5:$Q310},""Select sum(Col16) where Col1 = '""&amp;$G110&amp;""' and Col2 &gt; date '""&amp;TEXT(DATE(Z$8,1,1),""yyyy-mm-dd"")&amp;""' and Col2 &lt;= date '""&amp;TEXT(DATE(Z$8,12,31),""yyyy-mm-dd"")&amp;""' label sum(Col16) ''"",0)))"),"")</f>
        <v/>
      </c>
      <c r="AA110" s="587"/>
      <c r="AB110" s="578" t="s">
        <v>123</v>
      </c>
      <c r="AC110" s="601"/>
      <c r="AD110" s="636"/>
      <c r="AE110" s="636"/>
    </row>
    <row r="111">
      <c r="A111" s="576"/>
      <c r="B111" s="620"/>
      <c r="C111" s="637"/>
      <c r="D111" s="633"/>
      <c r="E111" s="633"/>
      <c r="F111" s="624">
        <v>101.0</v>
      </c>
      <c r="G111" s="635"/>
      <c r="H111" s="626" t="str">
        <f>if(G111="","",IFERROR(VLOOKUP(G111,AtivosDados,MATCH("provento_avg",portfolio.!$A$3:AE$3,0),FALSE),""))</f>
        <v/>
      </c>
      <c r="I111" s="627" t="s">
        <v>123</v>
      </c>
      <c r="J111" s="628" t="str">
        <f>IFERROR(__xludf.DUMMYFUNCTION("IF($G111="""","""",IFERROR(query({proventos!$B$5:$Q310},""Select sum(Col16) where Col1 = '""&amp;$G111&amp;""' and Col2 &gt; date '""&amp;TEXT(K$8,""yyyy-mm-dd"")&amp;""' and Col2 &lt;= date '""&amp;TEXT(J$8,""yyyy-mm-dd"")&amp;""' label sum(Col16) ''"",0)))"),"")</f>
        <v/>
      </c>
      <c r="K111" s="628" t="str">
        <f>IFERROR(__xludf.DUMMYFUNCTION("IF($G111="""","""",IFERROR(query({proventos!$B$5:$Q310},""Select sum(Col16) where Col1 = '""&amp;$G111&amp;""' and Col2 &gt; date '""&amp;TEXT(L$8,""yyyy-mm-dd"")&amp;""' and Col2 &lt;= date '""&amp;TEXT(K$8,""yyyy-mm-dd"")&amp;""' label sum(Col16) ''"",0)))"),"")</f>
        <v/>
      </c>
      <c r="L111" s="628" t="str">
        <f>IFERROR(__xludf.DUMMYFUNCTION("IF($G111="""","""",IFERROR(query({proventos!$B$5:$Q310},""Select sum(Col16) where Col1 = '""&amp;$G111&amp;""' and Col2 &gt; date '""&amp;TEXT(M$8,""yyyy-mm-dd"")&amp;""' and Col2 &lt;= date '""&amp;TEXT(L$8,""yyyy-mm-dd"")&amp;""' label sum(Col16) ''"",0)))"),"")</f>
        <v/>
      </c>
      <c r="M111" s="628" t="str">
        <f>IFERROR(__xludf.DUMMYFUNCTION("IF($G111="""","""",IFERROR(query({proventos!$B$5:$Q310},""Select sum(Col16) where Col1 = '""&amp;$G111&amp;""' and Col2 &gt; date '""&amp;TEXT(N$8,""yyyy-mm-dd"")&amp;""' and Col2 &lt;= date '""&amp;TEXT(M$8,""yyyy-mm-dd"")&amp;""' label sum(Col16) ''"",0)))"),"")</f>
        <v/>
      </c>
      <c r="N111" s="628" t="str">
        <f>IFERROR(__xludf.DUMMYFUNCTION("IF($G111="""","""",IFERROR(query({proventos!$B$5:$Q310},""Select sum(Col16) where Col1 = '""&amp;$G111&amp;""' and Col2 &gt; date '""&amp;TEXT(O$8,""yyyy-mm-dd"")&amp;""' and Col2 &lt;= date '""&amp;TEXT(N$8,""yyyy-mm-dd"")&amp;""' label sum(Col16) ''"",0)))"),"")</f>
        <v/>
      </c>
      <c r="O111" s="628" t="str">
        <f>IFERROR(__xludf.DUMMYFUNCTION("IF($G111="""","""",IFERROR(query({proventos!$B$5:$Q310},""Select sum(Col16) where Col1 = '""&amp;$G111&amp;""' and Col2 &gt; date '""&amp;TEXT(P$8,""yyyy-mm-dd"")&amp;""' and Col2 &lt;= date '""&amp;TEXT(O$8,""yyyy-mm-dd"")&amp;""' label sum(Col16) ''"",0)))"),"")</f>
        <v/>
      </c>
      <c r="P111" s="628" t="str">
        <f>IFERROR(__xludf.DUMMYFUNCTION("IF($G111="""","""",IFERROR(query({proventos!$B$5:$Q310},""Select sum(Col16) where Col1 = '""&amp;$G111&amp;""' and Col2 &gt; date '""&amp;TEXT(Q$8,""yyyy-mm-dd"")&amp;""' and Col2 &lt;= date '""&amp;TEXT(P$8,""yyyy-mm-dd"")&amp;""' label sum(Col16) ''"",0)))"),"")</f>
        <v/>
      </c>
      <c r="Q111" s="628" t="str">
        <f>IFERROR(__xludf.DUMMYFUNCTION("IF($G111="""","""",IFERROR(query({proventos!$B$5:$Q310},""Select sum(Col16) where Col1 = '""&amp;$G111&amp;""' and Col2 &gt; date '""&amp;TEXT(R$8,""yyyy-mm-dd"")&amp;""' and Col2 &lt;= date '""&amp;TEXT(Q$8,""yyyy-mm-dd"")&amp;""' label sum(Col16) ''"",0)))"),"")</f>
        <v/>
      </c>
      <c r="R111" s="628" t="str">
        <f>IFERROR(__xludf.DUMMYFUNCTION("IF($G111="""","""",IFERROR(query({proventos!$B$5:$Q310},""Select sum(Col16) where Col1 = '""&amp;$G111&amp;""' and Col2 &gt; date '""&amp;TEXT(S$8,""yyyy-mm-dd"")&amp;""' and Col2 &lt;= date '""&amp;TEXT(R$8,""yyyy-mm-dd"")&amp;""' label sum(Col16) ''"",0)))"),"")</f>
        <v/>
      </c>
      <c r="S111" s="628" t="str">
        <f>IFERROR(__xludf.DUMMYFUNCTION("IF($G111="""","""",IFERROR(query({proventos!$B$5:$Q310},""Select sum(Col16) where Col1 = '""&amp;$G111&amp;""' and Col2 &gt; date '""&amp;TEXT(T$8,""yyyy-mm-dd"")&amp;""' and Col2 &lt;= date '""&amp;TEXT(S$8,""yyyy-mm-dd"")&amp;""' label sum(Col16) ''"",0)))"),"")</f>
        <v/>
      </c>
      <c r="T111" s="628" t="str">
        <f>IFERROR(__xludf.DUMMYFUNCTION("IF($G111="""","""",IFERROR(query({proventos!$B$5:$Q310},""Select sum(Col16) where Col1 = '""&amp;$G111&amp;""' and Col2 &gt; date '""&amp;TEXT(U$8,""yyyy-mm-dd"")&amp;""' and Col2 &lt;= date '""&amp;TEXT(T$8,""yyyy-mm-dd"")&amp;""' label sum(Col16) ''"",0)))"),"")</f>
        <v/>
      </c>
      <c r="U111" s="629" t="str">
        <f>IFERROR(__xludf.DUMMYFUNCTION("IF($G111="""","""",IFERROR(query({proventos!$B$5:$Q310},""Select sum(Col16) where Col1 = '""&amp;$G111&amp;""' and Col2 &gt; date '""&amp;TEXT(EOMONTH(TODAY(),-13),""yyyy-mm-dd"")&amp;""' and Col2 &lt;= date '""&amp;TEXT(U$8,""yyyy-mm-dd"")&amp;""' label sum(Col16) ''"",0)))"),"")</f>
        <v/>
      </c>
      <c r="V111" s="630" t="str">
        <f>IFERROR(__xludf.DUMMYFUNCTION("IF($G111="""","""",IFERROR(query({proventos!$B$5:$Q310},""Select sum(Col16) where Col1 = '""&amp;$G111&amp;""' and Col2 &gt; date '""&amp;TEXT(DATE(V$8,1,1),""yyyy-mm-dd"")&amp;""' and Col2 &lt;= date '""&amp;TEXT(DATE(V$8,12,31),""yyyy-mm-dd"")&amp;""' label sum(Col16) ''"",0)))"),"")</f>
        <v/>
      </c>
      <c r="W111" s="630" t="str">
        <f>IFERROR(__xludf.DUMMYFUNCTION("IF($G111="""","""",IFERROR(query({proventos!$B$5:$Q310},""Select sum(Col16) where Col1 = '""&amp;$G111&amp;""' and Col2 &gt; date '""&amp;TEXT(DATE(W$8,1,1),""yyyy-mm-dd"")&amp;""' and Col2 &lt;= date '""&amp;TEXT(DATE(W$8,12,31),""yyyy-mm-dd"")&amp;""' label sum(Col16) ''"",0)))"),"")</f>
        <v/>
      </c>
      <c r="X111" s="630" t="str">
        <f>IFERROR(__xludf.DUMMYFUNCTION("IF($G111="""","""",IFERROR(query({proventos!$B$5:$Q310},""Select sum(Col16) where Col1 = '""&amp;$G111&amp;""' and Col2 &gt; date '""&amp;TEXT(DATE(X$8,1,1),""yyyy-mm-dd"")&amp;""' and Col2 &lt;= date '""&amp;TEXT(DATE(X$8,12,31),""yyyy-mm-dd"")&amp;""' label sum(Col16) ''"",0)))"),"")</f>
        <v/>
      </c>
      <c r="Y111" s="630" t="str">
        <f>IFERROR(__xludf.DUMMYFUNCTION("IF($G111="""","""",IFERROR(query({proventos!$B$5:$Q310},""Select sum(Col16) where Col1 = '""&amp;$G111&amp;""' and Col2 &gt; date '""&amp;TEXT(DATE(Y$8,1,1),""yyyy-mm-dd"")&amp;""' and Col2 &lt;= date '""&amp;TEXT(DATE(Y$8,12,31),""yyyy-mm-dd"")&amp;""' label sum(Col16) ''"",0)))"),"")</f>
        <v/>
      </c>
      <c r="Z111" s="630" t="str">
        <f>IFERROR(__xludf.DUMMYFUNCTION("IF($G111="""","""",IFERROR(query({proventos!$B$5:$Q310},""Select sum(Col16) where Col1 = '""&amp;$G111&amp;""' and Col2 &gt; date '""&amp;TEXT(DATE(Z$8,1,1),""yyyy-mm-dd"")&amp;""' and Col2 &lt;= date '""&amp;TEXT(DATE(Z$8,12,31),""yyyy-mm-dd"")&amp;""' label sum(Col16) ''"",0)))"),"")</f>
        <v/>
      </c>
      <c r="AA111" s="587"/>
      <c r="AB111" s="578" t="s">
        <v>123</v>
      </c>
      <c r="AC111" s="601"/>
      <c r="AD111" s="636"/>
      <c r="AE111" s="636"/>
    </row>
    <row r="112">
      <c r="A112" s="576"/>
      <c r="B112" s="620"/>
      <c r="C112" s="637"/>
      <c r="D112" s="633"/>
      <c r="E112" s="633"/>
      <c r="F112" s="624">
        <v>102.0</v>
      </c>
      <c r="G112" s="635"/>
      <c r="H112" s="626" t="str">
        <f>if(G112="","",IFERROR(VLOOKUP(G112,AtivosDados,MATCH("provento_avg",portfolio.!$A$3:AE$3,0),FALSE),""))</f>
        <v/>
      </c>
      <c r="I112" s="627" t="s">
        <v>123</v>
      </c>
      <c r="J112" s="628" t="str">
        <f>IFERROR(__xludf.DUMMYFUNCTION("IF($G112="""","""",IFERROR(query({proventos!$B$5:$Q310},""Select sum(Col16) where Col1 = '""&amp;$G112&amp;""' and Col2 &gt; date '""&amp;TEXT(K$8,""yyyy-mm-dd"")&amp;""' and Col2 &lt;= date '""&amp;TEXT(J$8,""yyyy-mm-dd"")&amp;""' label sum(Col16) ''"",0)))"),"")</f>
        <v/>
      </c>
      <c r="K112" s="628" t="str">
        <f>IFERROR(__xludf.DUMMYFUNCTION("IF($G112="""","""",IFERROR(query({proventos!$B$5:$Q310},""Select sum(Col16) where Col1 = '""&amp;$G112&amp;""' and Col2 &gt; date '""&amp;TEXT(L$8,""yyyy-mm-dd"")&amp;""' and Col2 &lt;= date '""&amp;TEXT(K$8,""yyyy-mm-dd"")&amp;""' label sum(Col16) ''"",0)))"),"")</f>
        <v/>
      </c>
      <c r="L112" s="628" t="str">
        <f>IFERROR(__xludf.DUMMYFUNCTION("IF($G112="""","""",IFERROR(query({proventos!$B$5:$Q310},""Select sum(Col16) where Col1 = '""&amp;$G112&amp;""' and Col2 &gt; date '""&amp;TEXT(M$8,""yyyy-mm-dd"")&amp;""' and Col2 &lt;= date '""&amp;TEXT(L$8,""yyyy-mm-dd"")&amp;""' label sum(Col16) ''"",0)))"),"")</f>
        <v/>
      </c>
      <c r="M112" s="628" t="str">
        <f>IFERROR(__xludf.DUMMYFUNCTION("IF($G112="""","""",IFERROR(query({proventos!$B$5:$Q310},""Select sum(Col16) where Col1 = '""&amp;$G112&amp;""' and Col2 &gt; date '""&amp;TEXT(N$8,""yyyy-mm-dd"")&amp;""' and Col2 &lt;= date '""&amp;TEXT(M$8,""yyyy-mm-dd"")&amp;""' label sum(Col16) ''"",0)))"),"")</f>
        <v/>
      </c>
      <c r="N112" s="628" t="str">
        <f>IFERROR(__xludf.DUMMYFUNCTION("IF($G112="""","""",IFERROR(query({proventos!$B$5:$Q310},""Select sum(Col16) where Col1 = '""&amp;$G112&amp;""' and Col2 &gt; date '""&amp;TEXT(O$8,""yyyy-mm-dd"")&amp;""' and Col2 &lt;= date '""&amp;TEXT(N$8,""yyyy-mm-dd"")&amp;""' label sum(Col16) ''"",0)))"),"")</f>
        <v/>
      </c>
      <c r="O112" s="628" t="str">
        <f>IFERROR(__xludf.DUMMYFUNCTION("IF($G112="""","""",IFERROR(query({proventos!$B$5:$Q310},""Select sum(Col16) where Col1 = '""&amp;$G112&amp;""' and Col2 &gt; date '""&amp;TEXT(P$8,""yyyy-mm-dd"")&amp;""' and Col2 &lt;= date '""&amp;TEXT(O$8,""yyyy-mm-dd"")&amp;""' label sum(Col16) ''"",0)))"),"")</f>
        <v/>
      </c>
      <c r="P112" s="628" t="str">
        <f>IFERROR(__xludf.DUMMYFUNCTION("IF($G112="""","""",IFERROR(query({proventos!$B$5:$Q310},""Select sum(Col16) where Col1 = '""&amp;$G112&amp;""' and Col2 &gt; date '""&amp;TEXT(Q$8,""yyyy-mm-dd"")&amp;""' and Col2 &lt;= date '""&amp;TEXT(P$8,""yyyy-mm-dd"")&amp;""' label sum(Col16) ''"",0)))"),"")</f>
        <v/>
      </c>
      <c r="Q112" s="628" t="str">
        <f>IFERROR(__xludf.DUMMYFUNCTION("IF($G112="""","""",IFERROR(query({proventos!$B$5:$Q310},""Select sum(Col16) where Col1 = '""&amp;$G112&amp;""' and Col2 &gt; date '""&amp;TEXT(R$8,""yyyy-mm-dd"")&amp;""' and Col2 &lt;= date '""&amp;TEXT(Q$8,""yyyy-mm-dd"")&amp;""' label sum(Col16) ''"",0)))"),"")</f>
        <v/>
      </c>
      <c r="R112" s="628" t="str">
        <f>IFERROR(__xludf.DUMMYFUNCTION("IF($G112="""","""",IFERROR(query({proventos!$B$5:$Q310},""Select sum(Col16) where Col1 = '""&amp;$G112&amp;""' and Col2 &gt; date '""&amp;TEXT(S$8,""yyyy-mm-dd"")&amp;""' and Col2 &lt;= date '""&amp;TEXT(R$8,""yyyy-mm-dd"")&amp;""' label sum(Col16) ''"",0)))"),"")</f>
        <v/>
      </c>
      <c r="S112" s="628" t="str">
        <f>IFERROR(__xludf.DUMMYFUNCTION("IF($G112="""","""",IFERROR(query({proventos!$B$5:$Q310},""Select sum(Col16) where Col1 = '""&amp;$G112&amp;""' and Col2 &gt; date '""&amp;TEXT(T$8,""yyyy-mm-dd"")&amp;""' and Col2 &lt;= date '""&amp;TEXT(S$8,""yyyy-mm-dd"")&amp;""' label sum(Col16) ''"",0)))"),"")</f>
        <v/>
      </c>
      <c r="T112" s="628" t="str">
        <f>IFERROR(__xludf.DUMMYFUNCTION("IF($G112="""","""",IFERROR(query({proventos!$B$5:$Q310},""Select sum(Col16) where Col1 = '""&amp;$G112&amp;""' and Col2 &gt; date '""&amp;TEXT(U$8,""yyyy-mm-dd"")&amp;""' and Col2 &lt;= date '""&amp;TEXT(T$8,""yyyy-mm-dd"")&amp;""' label sum(Col16) ''"",0)))"),"")</f>
        <v/>
      </c>
      <c r="U112" s="629" t="str">
        <f>IFERROR(__xludf.DUMMYFUNCTION("IF($G112="""","""",IFERROR(query({proventos!$B$5:$Q310},""Select sum(Col16) where Col1 = '""&amp;$G112&amp;""' and Col2 &gt; date '""&amp;TEXT(EOMONTH(TODAY(),-13),""yyyy-mm-dd"")&amp;""' and Col2 &lt;= date '""&amp;TEXT(U$8,""yyyy-mm-dd"")&amp;""' label sum(Col16) ''"",0)))"),"")</f>
        <v/>
      </c>
      <c r="V112" s="630" t="str">
        <f>IFERROR(__xludf.DUMMYFUNCTION("IF($G112="""","""",IFERROR(query({proventos!$B$5:$Q310},""Select sum(Col16) where Col1 = '""&amp;$G112&amp;""' and Col2 &gt; date '""&amp;TEXT(DATE(V$8,1,1),""yyyy-mm-dd"")&amp;""' and Col2 &lt;= date '""&amp;TEXT(DATE(V$8,12,31),""yyyy-mm-dd"")&amp;""' label sum(Col16) ''"",0)))"),"")</f>
        <v/>
      </c>
      <c r="W112" s="630" t="str">
        <f>IFERROR(__xludf.DUMMYFUNCTION("IF($G112="""","""",IFERROR(query({proventos!$B$5:$Q310},""Select sum(Col16) where Col1 = '""&amp;$G112&amp;""' and Col2 &gt; date '""&amp;TEXT(DATE(W$8,1,1),""yyyy-mm-dd"")&amp;""' and Col2 &lt;= date '""&amp;TEXT(DATE(W$8,12,31),""yyyy-mm-dd"")&amp;""' label sum(Col16) ''"",0)))"),"")</f>
        <v/>
      </c>
      <c r="X112" s="630" t="str">
        <f>IFERROR(__xludf.DUMMYFUNCTION("IF($G112="""","""",IFERROR(query({proventos!$B$5:$Q310},""Select sum(Col16) where Col1 = '""&amp;$G112&amp;""' and Col2 &gt; date '""&amp;TEXT(DATE(X$8,1,1),""yyyy-mm-dd"")&amp;""' and Col2 &lt;= date '""&amp;TEXT(DATE(X$8,12,31),""yyyy-mm-dd"")&amp;""' label sum(Col16) ''"",0)))"),"")</f>
        <v/>
      </c>
      <c r="Y112" s="630" t="str">
        <f>IFERROR(__xludf.DUMMYFUNCTION("IF($G112="""","""",IFERROR(query({proventos!$B$5:$Q310},""Select sum(Col16) where Col1 = '""&amp;$G112&amp;""' and Col2 &gt; date '""&amp;TEXT(DATE(Y$8,1,1),""yyyy-mm-dd"")&amp;""' and Col2 &lt;= date '""&amp;TEXT(DATE(Y$8,12,31),""yyyy-mm-dd"")&amp;""' label sum(Col16) ''"",0)))"),"")</f>
        <v/>
      </c>
      <c r="Z112" s="630" t="str">
        <f>IFERROR(__xludf.DUMMYFUNCTION("IF($G112="""","""",IFERROR(query({proventos!$B$5:$Q310},""Select sum(Col16) where Col1 = '""&amp;$G112&amp;""' and Col2 &gt; date '""&amp;TEXT(DATE(Z$8,1,1),""yyyy-mm-dd"")&amp;""' and Col2 &lt;= date '""&amp;TEXT(DATE(Z$8,12,31),""yyyy-mm-dd"")&amp;""' label sum(Col16) ''"",0)))"),"")</f>
        <v/>
      </c>
      <c r="AA112" s="587"/>
      <c r="AB112" s="578" t="s">
        <v>123</v>
      </c>
      <c r="AC112" s="601"/>
      <c r="AD112" s="636"/>
      <c r="AE112" s="636"/>
    </row>
    <row r="113">
      <c r="A113" s="576"/>
      <c r="B113" s="620"/>
      <c r="C113" s="637"/>
      <c r="D113" s="633"/>
      <c r="E113" s="633"/>
      <c r="F113" s="624">
        <v>103.0</v>
      </c>
      <c r="G113" s="635"/>
      <c r="H113" s="626" t="str">
        <f>if(G113="","",IFERROR(VLOOKUP(G113,AtivosDados,MATCH("provento_avg",portfolio.!$A$3:AE$3,0),FALSE),""))</f>
        <v/>
      </c>
      <c r="I113" s="627" t="s">
        <v>123</v>
      </c>
      <c r="J113" s="628" t="str">
        <f>IFERROR(__xludf.DUMMYFUNCTION("IF($G113="""","""",IFERROR(query({proventos!$B$5:$Q310},""Select sum(Col16) where Col1 = '""&amp;$G113&amp;""' and Col2 &gt; date '""&amp;TEXT(K$8,""yyyy-mm-dd"")&amp;""' and Col2 &lt;= date '""&amp;TEXT(J$8,""yyyy-mm-dd"")&amp;""' label sum(Col16) ''"",0)))"),"")</f>
        <v/>
      </c>
      <c r="K113" s="628" t="str">
        <f>IFERROR(__xludf.DUMMYFUNCTION("IF($G113="""","""",IFERROR(query({proventos!$B$5:$Q310},""Select sum(Col16) where Col1 = '""&amp;$G113&amp;""' and Col2 &gt; date '""&amp;TEXT(L$8,""yyyy-mm-dd"")&amp;""' and Col2 &lt;= date '""&amp;TEXT(K$8,""yyyy-mm-dd"")&amp;""' label sum(Col16) ''"",0)))"),"")</f>
        <v/>
      </c>
      <c r="L113" s="628" t="str">
        <f>IFERROR(__xludf.DUMMYFUNCTION("IF($G113="""","""",IFERROR(query({proventos!$B$5:$Q310},""Select sum(Col16) where Col1 = '""&amp;$G113&amp;""' and Col2 &gt; date '""&amp;TEXT(M$8,""yyyy-mm-dd"")&amp;""' and Col2 &lt;= date '""&amp;TEXT(L$8,""yyyy-mm-dd"")&amp;""' label sum(Col16) ''"",0)))"),"")</f>
        <v/>
      </c>
      <c r="M113" s="628" t="str">
        <f>IFERROR(__xludf.DUMMYFUNCTION("IF($G113="""","""",IFERROR(query({proventos!$B$5:$Q310},""Select sum(Col16) where Col1 = '""&amp;$G113&amp;""' and Col2 &gt; date '""&amp;TEXT(N$8,""yyyy-mm-dd"")&amp;""' and Col2 &lt;= date '""&amp;TEXT(M$8,""yyyy-mm-dd"")&amp;""' label sum(Col16) ''"",0)))"),"")</f>
        <v/>
      </c>
      <c r="N113" s="628" t="str">
        <f>IFERROR(__xludf.DUMMYFUNCTION("IF($G113="""","""",IFERROR(query({proventos!$B$5:$Q310},""Select sum(Col16) where Col1 = '""&amp;$G113&amp;""' and Col2 &gt; date '""&amp;TEXT(O$8,""yyyy-mm-dd"")&amp;""' and Col2 &lt;= date '""&amp;TEXT(N$8,""yyyy-mm-dd"")&amp;""' label sum(Col16) ''"",0)))"),"")</f>
        <v/>
      </c>
      <c r="O113" s="628" t="str">
        <f>IFERROR(__xludf.DUMMYFUNCTION("IF($G113="""","""",IFERROR(query({proventos!$B$5:$Q310},""Select sum(Col16) where Col1 = '""&amp;$G113&amp;""' and Col2 &gt; date '""&amp;TEXT(P$8,""yyyy-mm-dd"")&amp;""' and Col2 &lt;= date '""&amp;TEXT(O$8,""yyyy-mm-dd"")&amp;""' label sum(Col16) ''"",0)))"),"")</f>
        <v/>
      </c>
      <c r="P113" s="628" t="str">
        <f>IFERROR(__xludf.DUMMYFUNCTION("IF($G113="""","""",IFERROR(query({proventos!$B$5:$Q310},""Select sum(Col16) where Col1 = '""&amp;$G113&amp;""' and Col2 &gt; date '""&amp;TEXT(Q$8,""yyyy-mm-dd"")&amp;""' and Col2 &lt;= date '""&amp;TEXT(P$8,""yyyy-mm-dd"")&amp;""' label sum(Col16) ''"",0)))"),"")</f>
        <v/>
      </c>
      <c r="Q113" s="628" t="str">
        <f>IFERROR(__xludf.DUMMYFUNCTION("IF($G113="""","""",IFERROR(query({proventos!$B$5:$Q310},""Select sum(Col16) where Col1 = '""&amp;$G113&amp;""' and Col2 &gt; date '""&amp;TEXT(R$8,""yyyy-mm-dd"")&amp;""' and Col2 &lt;= date '""&amp;TEXT(Q$8,""yyyy-mm-dd"")&amp;""' label sum(Col16) ''"",0)))"),"")</f>
        <v/>
      </c>
      <c r="R113" s="628" t="str">
        <f>IFERROR(__xludf.DUMMYFUNCTION("IF($G113="""","""",IFERROR(query({proventos!$B$5:$Q310},""Select sum(Col16) where Col1 = '""&amp;$G113&amp;""' and Col2 &gt; date '""&amp;TEXT(S$8,""yyyy-mm-dd"")&amp;""' and Col2 &lt;= date '""&amp;TEXT(R$8,""yyyy-mm-dd"")&amp;""' label sum(Col16) ''"",0)))"),"")</f>
        <v/>
      </c>
      <c r="S113" s="628" t="str">
        <f>IFERROR(__xludf.DUMMYFUNCTION("IF($G113="""","""",IFERROR(query({proventos!$B$5:$Q310},""Select sum(Col16) where Col1 = '""&amp;$G113&amp;""' and Col2 &gt; date '""&amp;TEXT(T$8,""yyyy-mm-dd"")&amp;""' and Col2 &lt;= date '""&amp;TEXT(S$8,""yyyy-mm-dd"")&amp;""' label sum(Col16) ''"",0)))"),"")</f>
        <v/>
      </c>
      <c r="T113" s="628" t="str">
        <f>IFERROR(__xludf.DUMMYFUNCTION("IF($G113="""","""",IFERROR(query({proventos!$B$5:$Q310},""Select sum(Col16) where Col1 = '""&amp;$G113&amp;""' and Col2 &gt; date '""&amp;TEXT(U$8,""yyyy-mm-dd"")&amp;""' and Col2 &lt;= date '""&amp;TEXT(T$8,""yyyy-mm-dd"")&amp;""' label sum(Col16) ''"",0)))"),"")</f>
        <v/>
      </c>
      <c r="U113" s="629" t="str">
        <f>IFERROR(__xludf.DUMMYFUNCTION("IF($G113="""","""",IFERROR(query({proventos!$B$5:$Q310},""Select sum(Col16) where Col1 = '""&amp;$G113&amp;""' and Col2 &gt; date '""&amp;TEXT(EOMONTH(TODAY(),-13),""yyyy-mm-dd"")&amp;""' and Col2 &lt;= date '""&amp;TEXT(U$8,""yyyy-mm-dd"")&amp;""' label sum(Col16) ''"",0)))"),"")</f>
        <v/>
      </c>
      <c r="V113" s="630" t="str">
        <f>IFERROR(__xludf.DUMMYFUNCTION("IF($G113="""","""",IFERROR(query({proventos!$B$5:$Q310},""Select sum(Col16) where Col1 = '""&amp;$G113&amp;""' and Col2 &gt; date '""&amp;TEXT(DATE(V$8,1,1),""yyyy-mm-dd"")&amp;""' and Col2 &lt;= date '""&amp;TEXT(DATE(V$8,12,31),""yyyy-mm-dd"")&amp;""' label sum(Col16) ''"",0)))"),"")</f>
        <v/>
      </c>
      <c r="W113" s="630" t="str">
        <f>IFERROR(__xludf.DUMMYFUNCTION("IF($G113="""","""",IFERROR(query({proventos!$B$5:$Q310},""Select sum(Col16) where Col1 = '""&amp;$G113&amp;""' and Col2 &gt; date '""&amp;TEXT(DATE(W$8,1,1),""yyyy-mm-dd"")&amp;""' and Col2 &lt;= date '""&amp;TEXT(DATE(W$8,12,31),""yyyy-mm-dd"")&amp;""' label sum(Col16) ''"",0)))"),"")</f>
        <v/>
      </c>
      <c r="X113" s="630" t="str">
        <f>IFERROR(__xludf.DUMMYFUNCTION("IF($G113="""","""",IFERROR(query({proventos!$B$5:$Q310},""Select sum(Col16) where Col1 = '""&amp;$G113&amp;""' and Col2 &gt; date '""&amp;TEXT(DATE(X$8,1,1),""yyyy-mm-dd"")&amp;""' and Col2 &lt;= date '""&amp;TEXT(DATE(X$8,12,31),""yyyy-mm-dd"")&amp;""' label sum(Col16) ''"",0)))"),"")</f>
        <v/>
      </c>
      <c r="Y113" s="630" t="str">
        <f>IFERROR(__xludf.DUMMYFUNCTION("IF($G113="""","""",IFERROR(query({proventos!$B$5:$Q310},""Select sum(Col16) where Col1 = '""&amp;$G113&amp;""' and Col2 &gt; date '""&amp;TEXT(DATE(Y$8,1,1),""yyyy-mm-dd"")&amp;""' and Col2 &lt;= date '""&amp;TEXT(DATE(Y$8,12,31),""yyyy-mm-dd"")&amp;""' label sum(Col16) ''"",0)))"),"")</f>
        <v/>
      </c>
      <c r="Z113" s="630" t="str">
        <f>IFERROR(__xludf.DUMMYFUNCTION("IF($G113="""","""",IFERROR(query({proventos!$B$5:$Q310},""Select sum(Col16) where Col1 = '""&amp;$G113&amp;""' and Col2 &gt; date '""&amp;TEXT(DATE(Z$8,1,1),""yyyy-mm-dd"")&amp;""' and Col2 &lt;= date '""&amp;TEXT(DATE(Z$8,12,31),""yyyy-mm-dd"")&amp;""' label sum(Col16) ''"",0)))"),"")</f>
        <v/>
      </c>
      <c r="AA113" s="587"/>
      <c r="AB113" s="578" t="s">
        <v>123</v>
      </c>
      <c r="AC113" s="601"/>
      <c r="AD113" s="636"/>
      <c r="AE113" s="636"/>
    </row>
    <row r="114">
      <c r="A114" s="576"/>
      <c r="B114" s="620"/>
      <c r="C114" s="637"/>
      <c r="D114" s="633"/>
      <c r="E114" s="633"/>
      <c r="F114" s="624">
        <v>104.0</v>
      </c>
      <c r="G114" s="635"/>
      <c r="H114" s="626" t="str">
        <f>if(G114="","",IFERROR(VLOOKUP(G114,AtivosDados,MATCH("provento_avg",portfolio.!$A$3:AE$3,0),FALSE),""))</f>
        <v/>
      </c>
      <c r="I114" s="627" t="s">
        <v>123</v>
      </c>
      <c r="J114" s="628" t="str">
        <f>IFERROR(__xludf.DUMMYFUNCTION("IF($G114="""","""",IFERROR(query({proventos!$B$5:$Q310},""Select sum(Col16) where Col1 = '""&amp;$G114&amp;""' and Col2 &gt; date '""&amp;TEXT(K$8,""yyyy-mm-dd"")&amp;""' and Col2 &lt;= date '""&amp;TEXT(J$8,""yyyy-mm-dd"")&amp;""' label sum(Col16) ''"",0)))"),"")</f>
        <v/>
      </c>
      <c r="K114" s="628" t="str">
        <f>IFERROR(__xludf.DUMMYFUNCTION("IF($G114="""","""",IFERROR(query({proventos!$B$5:$Q310},""Select sum(Col16) where Col1 = '""&amp;$G114&amp;""' and Col2 &gt; date '""&amp;TEXT(L$8,""yyyy-mm-dd"")&amp;""' and Col2 &lt;= date '""&amp;TEXT(K$8,""yyyy-mm-dd"")&amp;""' label sum(Col16) ''"",0)))"),"")</f>
        <v/>
      </c>
      <c r="L114" s="628" t="str">
        <f>IFERROR(__xludf.DUMMYFUNCTION("IF($G114="""","""",IFERROR(query({proventos!$B$5:$Q310},""Select sum(Col16) where Col1 = '""&amp;$G114&amp;""' and Col2 &gt; date '""&amp;TEXT(M$8,""yyyy-mm-dd"")&amp;""' and Col2 &lt;= date '""&amp;TEXT(L$8,""yyyy-mm-dd"")&amp;""' label sum(Col16) ''"",0)))"),"")</f>
        <v/>
      </c>
      <c r="M114" s="628" t="str">
        <f>IFERROR(__xludf.DUMMYFUNCTION("IF($G114="""","""",IFERROR(query({proventos!$B$5:$Q310},""Select sum(Col16) where Col1 = '""&amp;$G114&amp;""' and Col2 &gt; date '""&amp;TEXT(N$8,""yyyy-mm-dd"")&amp;""' and Col2 &lt;= date '""&amp;TEXT(M$8,""yyyy-mm-dd"")&amp;""' label sum(Col16) ''"",0)))"),"")</f>
        <v/>
      </c>
      <c r="N114" s="628" t="str">
        <f>IFERROR(__xludf.DUMMYFUNCTION("IF($G114="""","""",IFERROR(query({proventos!$B$5:$Q310},""Select sum(Col16) where Col1 = '""&amp;$G114&amp;""' and Col2 &gt; date '""&amp;TEXT(O$8,""yyyy-mm-dd"")&amp;""' and Col2 &lt;= date '""&amp;TEXT(N$8,""yyyy-mm-dd"")&amp;""' label sum(Col16) ''"",0)))"),"")</f>
        <v/>
      </c>
      <c r="O114" s="628" t="str">
        <f>IFERROR(__xludf.DUMMYFUNCTION("IF($G114="""","""",IFERROR(query({proventos!$B$5:$Q310},""Select sum(Col16) where Col1 = '""&amp;$G114&amp;""' and Col2 &gt; date '""&amp;TEXT(P$8,""yyyy-mm-dd"")&amp;""' and Col2 &lt;= date '""&amp;TEXT(O$8,""yyyy-mm-dd"")&amp;""' label sum(Col16) ''"",0)))"),"")</f>
        <v/>
      </c>
      <c r="P114" s="628" t="str">
        <f>IFERROR(__xludf.DUMMYFUNCTION("IF($G114="""","""",IFERROR(query({proventos!$B$5:$Q310},""Select sum(Col16) where Col1 = '""&amp;$G114&amp;""' and Col2 &gt; date '""&amp;TEXT(Q$8,""yyyy-mm-dd"")&amp;""' and Col2 &lt;= date '""&amp;TEXT(P$8,""yyyy-mm-dd"")&amp;""' label sum(Col16) ''"",0)))"),"")</f>
        <v/>
      </c>
      <c r="Q114" s="628" t="str">
        <f>IFERROR(__xludf.DUMMYFUNCTION("IF($G114="""","""",IFERROR(query({proventos!$B$5:$Q310},""Select sum(Col16) where Col1 = '""&amp;$G114&amp;""' and Col2 &gt; date '""&amp;TEXT(R$8,""yyyy-mm-dd"")&amp;""' and Col2 &lt;= date '""&amp;TEXT(Q$8,""yyyy-mm-dd"")&amp;""' label sum(Col16) ''"",0)))"),"")</f>
        <v/>
      </c>
      <c r="R114" s="628" t="str">
        <f>IFERROR(__xludf.DUMMYFUNCTION("IF($G114="""","""",IFERROR(query({proventos!$B$5:$Q310},""Select sum(Col16) where Col1 = '""&amp;$G114&amp;""' and Col2 &gt; date '""&amp;TEXT(S$8,""yyyy-mm-dd"")&amp;""' and Col2 &lt;= date '""&amp;TEXT(R$8,""yyyy-mm-dd"")&amp;""' label sum(Col16) ''"",0)))"),"")</f>
        <v/>
      </c>
      <c r="S114" s="628" t="str">
        <f>IFERROR(__xludf.DUMMYFUNCTION("IF($G114="""","""",IFERROR(query({proventos!$B$5:$Q310},""Select sum(Col16) where Col1 = '""&amp;$G114&amp;""' and Col2 &gt; date '""&amp;TEXT(T$8,""yyyy-mm-dd"")&amp;""' and Col2 &lt;= date '""&amp;TEXT(S$8,""yyyy-mm-dd"")&amp;""' label sum(Col16) ''"",0)))"),"")</f>
        <v/>
      </c>
      <c r="T114" s="628" t="str">
        <f>IFERROR(__xludf.DUMMYFUNCTION("IF($G114="""","""",IFERROR(query({proventos!$B$5:$Q310},""Select sum(Col16) where Col1 = '""&amp;$G114&amp;""' and Col2 &gt; date '""&amp;TEXT(U$8,""yyyy-mm-dd"")&amp;""' and Col2 &lt;= date '""&amp;TEXT(T$8,""yyyy-mm-dd"")&amp;""' label sum(Col16) ''"",0)))"),"")</f>
        <v/>
      </c>
      <c r="U114" s="629" t="str">
        <f>IFERROR(__xludf.DUMMYFUNCTION("IF($G114="""","""",IFERROR(query({proventos!$B$5:$Q310},""Select sum(Col16) where Col1 = '""&amp;$G114&amp;""' and Col2 &gt; date '""&amp;TEXT(EOMONTH(TODAY(),-13),""yyyy-mm-dd"")&amp;""' and Col2 &lt;= date '""&amp;TEXT(U$8,""yyyy-mm-dd"")&amp;""' label sum(Col16) ''"",0)))"),"")</f>
        <v/>
      </c>
      <c r="V114" s="630" t="str">
        <f>IFERROR(__xludf.DUMMYFUNCTION("IF($G114="""","""",IFERROR(query({proventos!$B$5:$Q310},""Select sum(Col16) where Col1 = '""&amp;$G114&amp;""' and Col2 &gt; date '""&amp;TEXT(DATE(V$8,1,1),""yyyy-mm-dd"")&amp;""' and Col2 &lt;= date '""&amp;TEXT(DATE(V$8,12,31),""yyyy-mm-dd"")&amp;""' label sum(Col16) ''"",0)))"),"")</f>
        <v/>
      </c>
      <c r="W114" s="630" t="str">
        <f>IFERROR(__xludf.DUMMYFUNCTION("IF($G114="""","""",IFERROR(query({proventos!$B$5:$Q310},""Select sum(Col16) where Col1 = '""&amp;$G114&amp;""' and Col2 &gt; date '""&amp;TEXT(DATE(W$8,1,1),""yyyy-mm-dd"")&amp;""' and Col2 &lt;= date '""&amp;TEXT(DATE(W$8,12,31),""yyyy-mm-dd"")&amp;""' label sum(Col16) ''"",0)))"),"")</f>
        <v/>
      </c>
      <c r="X114" s="630" t="str">
        <f>IFERROR(__xludf.DUMMYFUNCTION("IF($G114="""","""",IFERROR(query({proventos!$B$5:$Q310},""Select sum(Col16) where Col1 = '""&amp;$G114&amp;""' and Col2 &gt; date '""&amp;TEXT(DATE(X$8,1,1),""yyyy-mm-dd"")&amp;""' and Col2 &lt;= date '""&amp;TEXT(DATE(X$8,12,31),""yyyy-mm-dd"")&amp;""' label sum(Col16) ''"",0)))"),"")</f>
        <v/>
      </c>
      <c r="Y114" s="630" t="str">
        <f>IFERROR(__xludf.DUMMYFUNCTION("IF($G114="""","""",IFERROR(query({proventos!$B$5:$Q310},""Select sum(Col16) where Col1 = '""&amp;$G114&amp;""' and Col2 &gt; date '""&amp;TEXT(DATE(Y$8,1,1),""yyyy-mm-dd"")&amp;""' and Col2 &lt;= date '""&amp;TEXT(DATE(Y$8,12,31),""yyyy-mm-dd"")&amp;""' label sum(Col16) ''"",0)))"),"")</f>
        <v/>
      </c>
      <c r="Z114" s="630" t="str">
        <f>IFERROR(__xludf.DUMMYFUNCTION("IF($G114="""","""",IFERROR(query({proventos!$B$5:$Q310},""Select sum(Col16) where Col1 = '""&amp;$G114&amp;""' and Col2 &gt; date '""&amp;TEXT(DATE(Z$8,1,1),""yyyy-mm-dd"")&amp;""' and Col2 &lt;= date '""&amp;TEXT(DATE(Z$8,12,31),""yyyy-mm-dd"")&amp;""' label sum(Col16) ''"",0)))"),"")</f>
        <v/>
      </c>
      <c r="AA114" s="587"/>
      <c r="AB114" s="578" t="s">
        <v>123</v>
      </c>
      <c r="AC114" s="601"/>
      <c r="AD114" s="636"/>
      <c r="AE114" s="636"/>
    </row>
    <row r="115">
      <c r="A115" s="576"/>
      <c r="B115" s="620"/>
      <c r="C115" s="637"/>
      <c r="D115" s="633"/>
      <c r="E115" s="633"/>
      <c r="F115" s="624">
        <v>105.0</v>
      </c>
      <c r="G115" s="635"/>
      <c r="H115" s="626" t="str">
        <f>if(G115="","",IFERROR(VLOOKUP(G115,AtivosDados,MATCH("provento_avg",portfolio.!$A$3:AE$3,0),FALSE),""))</f>
        <v/>
      </c>
      <c r="I115" s="627" t="s">
        <v>123</v>
      </c>
      <c r="J115" s="628" t="str">
        <f>IFERROR(__xludf.DUMMYFUNCTION("IF($G115="""","""",IFERROR(query({proventos!$B$5:$Q310},""Select sum(Col16) where Col1 = '""&amp;$G115&amp;""' and Col2 &gt; date '""&amp;TEXT(K$8,""yyyy-mm-dd"")&amp;""' and Col2 &lt;= date '""&amp;TEXT(J$8,""yyyy-mm-dd"")&amp;""' label sum(Col16) ''"",0)))"),"")</f>
        <v/>
      </c>
      <c r="K115" s="628" t="str">
        <f>IFERROR(__xludf.DUMMYFUNCTION("IF($G115="""","""",IFERROR(query({proventos!$B$5:$Q310},""Select sum(Col16) where Col1 = '""&amp;$G115&amp;""' and Col2 &gt; date '""&amp;TEXT(L$8,""yyyy-mm-dd"")&amp;""' and Col2 &lt;= date '""&amp;TEXT(K$8,""yyyy-mm-dd"")&amp;""' label sum(Col16) ''"",0)))"),"")</f>
        <v/>
      </c>
      <c r="L115" s="628" t="str">
        <f>IFERROR(__xludf.DUMMYFUNCTION("IF($G115="""","""",IFERROR(query({proventos!$B$5:$Q310},""Select sum(Col16) where Col1 = '""&amp;$G115&amp;""' and Col2 &gt; date '""&amp;TEXT(M$8,""yyyy-mm-dd"")&amp;""' and Col2 &lt;= date '""&amp;TEXT(L$8,""yyyy-mm-dd"")&amp;""' label sum(Col16) ''"",0)))"),"")</f>
        <v/>
      </c>
      <c r="M115" s="628" t="str">
        <f>IFERROR(__xludf.DUMMYFUNCTION("IF($G115="""","""",IFERROR(query({proventos!$B$5:$Q310},""Select sum(Col16) where Col1 = '""&amp;$G115&amp;""' and Col2 &gt; date '""&amp;TEXT(N$8,""yyyy-mm-dd"")&amp;""' and Col2 &lt;= date '""&amp;TEXT(M$8,""yyyy-mm-dd"")&amp;""' label sum(Col16) ''"",0)))"),"")</f>
        <v/>
      </c>
      <c r="N115" s="628" t="str">
        <f>IFERROR(__xludf.DUMMYFUNCTION("IF($G115="""","""",IFERROR(query({proventos!$B$5:$Q310},""Select sum(Col16) where Col1 = '""&amp;$G115&amp;""' and Col2 &gt; date '""&amp;TEXT(O$8,""yyyy-mm-dd"")&amp;""' and Col2 &lt;= date '""&amp;TEXT(N$8,""yyyy-mm-dd"")&amp;""' label sum(Col16) ''"",0)))"),"")</f>
        <v/>
      </c>
      <c r="O115" s="628" t="str">
        <f>IFERROR(__xludf.DUMMYFUNCTION("IF($G115="""","""",IFERROR(query({proventos!$B$5:$Q310},""Select sum(Col16) where Col1 = '""&amp;$G115&amp;""' and Col2 &gt; date '""&amp;TEXT(P$8,""yyyy-mm-dd"")&amp;""' and Col2 &lt;= date '""&amp;TEXT(O$8,""yyyy-mm-dd"")&amp;""' label sum(Col16) ''"",0)))"),"")</f>
        <v/>
      </c>
      <c r="P115" s="628" t="str">
        <f>IFERROR(__xludf.DUMMYFUNCTION("IF($G115="""","""",IFERROR(query({proventos!$B$5:$Q310},""Select sum(Col16) where Col1 = '""&amp;$G115&amp;""' and Col2 &gt; date '""&amp;TEXT(Q$8,""yyyy-mm-dd"")&amp;""' and Col2 &lt;= date '""&amp;TEXT(P$8,""yyyy-mm-dd"")&amp;""' label sum(Col16) ''"",0)))"),"")</f>
        <v/>
      </c>
      <c r="Q115" s="628" t="str">
        <f>IFERROR(__xludf.DUMMYFUNCTION("IF($G115="""","""",IFERROR(query({proventos!$B$5:$Q310},""Select sum(Col16) where Col1 = '""&amp;$G115&amp;""' and Col2 &gt; date '""&amp;TEXT(R$8,""yyyy-mm-dd"")&amp;""' and Col2 &lt;= date '""&amp;TEXT(Q$8,""yyyy-mm-dd"")&amp;""' label sum(Col16) ''"",0)))"),"")</f>
        <v/>
      </c>
      <c r="R115" s="628" t="str">
        <f>IFERROR(__xludf.DUMMYFUNCTION("IF($G115="""","""",IFERROR(query({proventos!$B$5:$Q310},""Select sum(Col16) where Col1 = '""&amp;$G115&amp;""' and Col2 &gt; date '""&amp;TEXT(S$8,""yyyy-mm-dd"")&amp;""' and Col2 &lt;= date '""&amp;TEXT(R$8,""yyyy-mm-dd"")&amp;""' label sum(Col16) ''"",0)))"),"")</f>
        <v/>
      </c>
      <c r="S115" s="628" t="str">
        <f>IFERROR(__xludf.DUMMYFUNCTION("IF($G115="""","""",IFERROR(query({proventos!$B$5:$Q310},""Select sum(Col16) where Col1 = '""&amp;$G115&amp;""' and Col2 &gt; date '""&amp;TEXT(T$8,""yyyy-mm-dd"")&amp;""' and Col2 &lt;= date '""&amp;TEXT(S$8,""yyyy-mm-dd"")&amp;""' label sum(Col16) ''"",0)))"),"")</f>
        <v/>
      </c>
      <c r="T115" s="628" t="str">
        <f>IFERROR(__xludf.DUMMYFUNCTION("IF($G115="""","""",IFERROR(query({proventos!$B$5:$Q310},""Select sum(Col16) where Col1 = '""&amp;$G115&amp;""' and Col2 &gt; date '""&amp;TEXT(U$8,""yyyy-mm-dd"")&amp;""' and Col2 &lt;= date '""&amp;TEXT(T$8,""yyyy-mm-dd"")&amp;""' label sum(Col16) ''"",0)))"),"")</f>
        <v/>
      </c>
      <c r="U115" s="629" t="str">
        <f>IFERROR(__xludf.DUMMYFUNCTION("IF($G115="""","""",IFERROR(query({proventos!$B$5:$Q310},""Select sum(Col16) where Col1 = '""&amp;$G115&amp;""' and Col2 &gt; date '""&amp;TEXT(EOMONTH(TODAY(),-13),""yyyy-mm-dd"")&amp;""' and Col2 &lt;= date '""&amp;TEXT(U$8,""yyyy-mm-dd"")&amp;""' label sum(Col16) ''"",0)))"),"")</f>
        <v/>
      </c>
      <c r="V115" s="630" t="str">
        <f>IFERROR(__xludf.DUMMYFUNCTION("IF($G115="""","""",IFERROR(query({proventos!$B$5:$Q310},""Select sum(Col16) where Col1 = '""&amp;$G115&amp;""' and Col2 &gt; date '""&amp;TEXT(DATE(V$8,1,1),""yyyy-mm-dd"")&amp;""' and Col2 &lt;= date '""&amp;TEXT(DATE(V$8,12,31),""yyyy-mm-dd"")&amp;""' label sum(Col16) ''"",0)))"),"")</f>
        <v/>
      </c>
      <c r="W115" s="630" t="str">
        <f>IFERROR(__xludf.DUMMYFUNCTION("IF($G115="""","""",IFERROR(query({proventos!$B$5:$Q310},""Select sum(Col16) where Col1 = '""&amp;$G115&amp;""' and Col2 &gt; date '""&amp;TEXT(DATE(W$8,1,1),""yyyy-mm-dd"")&amp;""' and Col2 &lt;= date '""&amp;TEXT(DATE(W$8,12,31),""yyyy-mm-dd"")&amp;""' label sum(Col16) ''"",0)))"),"")</f>
        <v/>
      </c>
      <c r="X115" s="630" t="str">
        <f>IFERROR(__xludf.DUMMYFUNCTION("IF($G115="""","""",IFERROR(query({proventos!$B$5:$Q310},""Select sum(Col16) where Col1 = '""&amp;$G115&amp;""' and Col2 &gt; date '""&amp;TEXT(DATE(X$8,1,1),""yyyy-mm-dd"")&amp;""' and Col2 &lt;= date '""&amp;TEXT(DATE(X$8,12,31),""yyyy-mm-dd"")&amp;""' label sum(Col16) ''"",0)))"),"")</f>
        <v/>
      </c>
      <c r="Y115" s="630" t="str">
        <f>IFERROR(__xludf.DUMMYFUNCTION("IF($G115="""","""",IFERROR(query({proventos!$B$5:$Q310},""Select sum(Col16) where Col1 = '""&amp;$G115&amp;""' and Col2 &gt; date '""&amp;TEXT(DATE(Y$8,1,1),""yyyy-mm-dd"")&amp;""' and Col2 &lt;= date '""&amp;TEXT(DATE(Y$8,12,31),""yyyy-mm-dd"")&amp;""' label sum(Col16) ''"",0)))"),"")</f>
        <v/>
      </c>
      <c r="Z115" s="630" t="str">
        <f>IFERROR(__xludf.DUMMYFUNCTION("IF($G115="""","""",IFERROR(query({proventos!$B$5:$Q310},""Select sum(Col16) where Col1 = '""&amp;$G115&amp;""' and Col2 &gt; date '""&amp;TEXT(DATE(Z$8,1,1),""yyyy-mm-dd"")&amp;""' and Col2 &lt;= date '""&amp;TEXT(DATE(Z$8,12,31),""yyyy-mm-dd"")&amp;""' label sum(Col16) ''"",0)))"),"")</f>
        <v/>
      </c>
      <c r="AA115" s="587"/>
      <c r="AB115" s="578" t="s">
        <v>123</v>
      </c>
      <c r="AC115" s="601"/>
      <c r="AD115" s="636"/>
      <c r="AE115" s="636"/>
    </row>
    <row r="116">
      <c r="A116" s="576"/>
      <c r="B116" s="620"/>
      <c r="C116" s="637"/>
      <c r="D116" s="633"/>
      <c r="E116" s="633"/>
      <c r="F116" s="624">
        <v>106.0</v>
      </c>
      <c r="G116" s="635"/>
      <c r="H116" s="626" t="str">
        <f>if(G116="","",IFERROR(VLOOKUP(G116,AtivosDados,MATCH("provento_avg",portfolio.!$A$3:AE$3,0),FALSE),""))</f>
        <v/>
      </c>
      <c r="I116" s="627" t="s">
        <v>123</v>
      </c>
      <c r="J116" s="628" t="str">
        <f>IFERROR(__xludf.DUMMYFUNCTION("IF($G116="""","""",IFERROR(query({proventos!$B$5:$Q310},""Select sum(Col16) where Col1 = '""&amp;$G116&amp;""' and Col2 &gt; date '""&amp;TEXT(K$8,""yyyy-mm-dd"")&amp;""' and Col2 &lt;= date '""&amp;TEXT(J$8,""yyyy-mm-dd"")&amp;""' label sum(Col16) ''"",0)))"),"")</f>
        <v/>
      </c>
      <c r="K116" s="628" t="str">
        <f>IFERROR(__xludf.DUMMYFUNCTION("IF($G116="""","""",IFERROR(query({proventos!$B$5:$Q310},""Select sum(Col16) where Col1 = '""&amp;$G116&amp;""' and Col2 &gt; date '""&amp;TEXT(L$8,""yyyy-mm-dd"")&amp;""' and Col2 &lt;= date '""&amp;TEXT(K$8,""yyyy-mm-dd"")&amp;""' label sum(Col16) ''"",0)))"),"")</f>
        <v/>
      </c>
      <c r="L116" s="628" t="str">
        <f>IFERROR(__xludf.DUMMYFUNCTION("IF($G116="""","""",IFERROR(query({proventos!$B$5:$Q310},""Select sum(Col16) where Col1 = '""&amp;$G116&amp;""' and Col2 &gt; date '""&amp;TEXT(M$8,""yyyy-mm-dd"")&amp;""' and Col2 &lt;= date '""&amp;TEXT(L$8,""yyyy-mm-dd"")&amp;""' label sum(Col16) ''"",0)))"),"")</f>
        <v/>
      </c>
      <c r="M116" s="628" t="str">
        <f>IFERROR(__xludf.DUMMYFUNCTION("IF($G116="""","""",IFERROR(query({proventos!$B$5:$Q310},""Select sum(Col16) where Col1 = '""&amp;$G116&amp;""' and Col2 &gt; date '""&amp;TEXT(N$8,""yyyy-mm-dd"")&amp;""' and Col2 &lt;= date '""&amp;TEXT(M$8,""yyyy-mm-dd"")&amp;""' label sum(Col16) ''"",0)))"),"")</f>
        <v/>
      </c>
      <c r="N116" s="628" t="str">
        <f>IFERROR(__xludf.DUMMYFUNCTION("IF($G116="""","""",IFERROR(query({proventos!$B$5:$Q310},""Select sum(Col16) where Col1 = '""&amp;$G116&amp;""' and Col2 &gt; date '""&amp;TEXT(O$8,""yyyy-mm-dd"")&amp;""' and Col2 &lt;= date '""&amp;TEXT(N$8,""yyyy-mm-dd"")&amp;""' label sum(Col16) ''"",0)))"),"")</f>
        <v/>
      </c>
      <c r="O116" s="628" t="str">
        <f>IFERROR(__xludf.DUMMYFUNCTION("IF($G116="""","""",IFERROR(query({proventos!$B$5:$Q310},""Select sum(Col16) where Col1 = '""&amp;$G116&amp;""' and Col2 &gt; date '""&amp;TEXT(P$8,""yyyy-mm-dd"")&amp;""' and Col2 &lt;= date '""&amp;TEXT(O$8,""yyyy-mm-dd"")&amp;""' label sum(Col16) ''"",0)))"),"")</f>
        <v/>
      </c>
      <c r="P116" s="628" t="str">
        <f>IFERROR(__xludf.DUMMYFUNCTION("IF($G116="""","""",IFERROR(query({proventos!$B$5:$Q310},""Select sum(Col16) where Col1 = '""&amp;$G116&amp;""' and Col2 &gt; date '""&amp;TEXT(Q$8,""yyyy-mm-dd"")&amp;""' and Col2 &lt;= date '""&amp;TEXT(P$8,""yyyy-mm-dd"")&amp;""' label sum(Col16) ''"",0)))"),"")</f>
        <v/>
      </c>
      <c r="Q116" s="628" t="str">
        <f>IFERROR(__xludf.DUMMYFUNCTION("IF($G116="""","""",IFERROR(query({proventos!$B$5:$Q310},""Select sum(Col16) where Col1 = '""&amp;$G116&amp;""' and Col2 &gt; date '""&amp;TEXT(R$8,""yyyy-mm-dd"")&amp;""' and Col2 &lt;= date '""&amp;TEXT(Q$8,""yyyy-mm-dd"")&amp;""' label sum(Col16) ''"",0)))"),"")</f>
        <v/>
      </c>
      <c r="R116" s="628" t="str">
        <f>IFERROR(__xludf.DUMMYFUNCTION("IF($G116="""","""",IFERROR(query({proventos!$B$5:$Q310},""Select sum(Col16) where Col1 = '""&amp;$G116&amp;""' and Col2 &gt; date '""&amp;TEXT(S$8,""yyyy-mm-dd"")&amp;""' and Col2 &lt;= date '""&amp;TEXT(R$8,""yyyy-mm-dd"")&amp;""' label sum(Col16) ''"",0)))"),"")</f>
        <v/>
      </c>
      <c r="S116" s="628" t="str">
        <f>IFERROR(__xludf.DUMMYFUNCTION("IF($G116="""","""",IFERROR(query({proventos!$B$5:$Q310},""Select sum(Col16) where Col1 = '""&amp;$G116&amp;""' and Col2 &gt; date '""&amp;TEXT(T$8,""yyyy-mm-dd"")&amp;""' and Col2 &lt;= date '""&amp;TEXT(S$8,""yyyy-mm-dd"")&amp;""' label sum(Col16) ''"",0)))"),"")</f>
        <v/>
      </c>
      <c r="T116" s="628" t="str">
        <f>IFERROR(__xludf.DUMMYFUNCTION("IF($G116="""","""",IFERROR(query({proventos!$B$5:$Q310},""Select sum(Col16) where Col1 = '""&amp;$G116&amp;""' and Col2 &gt; date '""&amp;TEXT(U$8,""yyyy-mm-dd"")&amp;""' and Col2 &lt;= date '""&amp;TEXT(T$8,""yyyy-mm-dd"")&amp;""' label sum(Col16) ''"",0)))"),"")</f>
        <v/>
      </c>
      <c r="U116" s="629" t="str">
        <f>IFERROR(__xludf.DUMMYFUNCTION("IF($G116="""","""",IFERROR(query({proventos!$B$5:$Q310},""Select sum(Col16) where Col1 = '""&amp;$G116&amp;""' and Col2 &gt; date '""&amp;TEXT(EOMONTH(TODAY(),-13),""yyyy-mm-dd"")&amp;""' and Col2 &lt;= date '""&amp;TEXT(U$8,""yyyy-mm-dd"")&amp;""' label sum(Col16) ''"",0)))"),"")</f>
        <v/>
      </c>
      <c r="V116" s="630" t="str">
        <f>IFERROR(__xludf.DUMMYFUNCTION("IF($G116="""","""",IFERROR(query({proventos!$B$5:$Q310},""Select sum(Col16) where Col1 = '""&amp;$G116&amp;""' and Col2 &gt; date '""&amp;TEXT(DATE(V$8,1,1),""yyyy-mm-dd"")&amp;""' and Col2 &lt;= date '""&amp;TEXT(DATE(V$8,12,31),""yyyy-mm-dd"")&amp;""' label sum(Col16) ''"",0)))"),"")</f>
        <v/>
      </c>
      <c r="W116" s="630" t="str">
        <f>IFERROR(__xludf.DUMMYFUNCTION("IF($G116="""","""",IFERROR(query({proventos!$B$5:$Q310},""Select sum(Col16) where Col1 = '""&amp;$G116&amp;""' and Col2 &gt; date '""&amp;TEXT(DATE(W$8,1,1),""yyyy-mm-dd"")&amp;""' and Col2 &lt;= date '""&amp;TEXT(DATE(W$8,12,31),""yyyy-mm-dd"")&amp;""' label sum(Col16) ''"",0)))"),"")</f>
        <v/>
      </c>
      <c r="X116" s="630" t="str">
        <f>IFERROR(__xludf.DUMMYFUNCTION("IF($G116="""","""",IFERROR(query({proventos!$B$5:$Q310},""Select sum(Col16) where Col1 = '""&amp;$G116&amp;""' and Col2 &gt; date '""&amp;TEXT(DATE(X$8,1,1),""yyyy-mm-dd"")&amp;""' and Col2 &lt;= date '""&amp;TEXT(DATE(X$8,12,31),""yyyy-mm-dd"")&amp;""' label sum(Col16) ''"",0)))"),"")</f>
        <v/>
      </c>
      <c r="Y116" s="630" t="str">
        <f>IFERROR(__xludf.DUMMYFUNCTION("IF($G116="""","""",IFERROR(query({proventos!$B$5:$Q310},""Select sum(Col16) where Col1 = '""&amp;$G116&amp;""' and Col2 &gt; date '""&amp;TEXT(DATE(Y$8,1,1),""yyyy-mm-dd"")&amp;""' and Col2 &lt;= date '""&amp;TEXT(DATE(Y$8,12,31),""yyyy-mm-dd"")&amp;""' label sum(Col16) ''"",0)))"),"")</f>
        <v/>
      </c>
      <c r="Z116" s="630" t="str">
        <f>IFERROR(__xludf.DUMMYFUNCTION("IF($G116="""","""",IFERROR(query({proventos!$B$5:$Q310},""Select sum(Col16) where Col1 = '""&amp;$G116&amp;""' and Col2 &gt; date '""&amp;TEXT(DATE(Z$8,1,1),""yyyy-mm-dd"")&amp;""' and Col2 &lt;= date '""&amp;TEXT(DATE(Z$8,12,31),""yyyy-mm-dd"")&amp;""' label sum(Col16) ''"",0)))"),"")</f>
        <v/>
      </c>
      <c r="AA116" s="587"/>
      <c r="AB116" s="578" t="s">
        <v>123</v>
      </c>
      <c r="AC116" s="601"/>
      <c r="AD116" s="636"/>
      <c r="AE116" s="636"/>
    </row>
    <row r="117">
      <c r="A117" s="576"/>
      <c r="B117" s="620"/>
      <c r="C117" s="637"/>
      <c r="D117" s="633"/>
      <c r="E117" s="633"/>
      <c r="F117" s="624">
        <v>107.0</v>
      </c>
      <c r="G117" s="635"/>
      <c r="H117" s="626" t="str">
        <f>if(G117="","",IFERROR(VLOOKUP(G117,AtivosDados,MATCH("provento_avg",portfolio.!$A$3:AE$3,0),FALSE),""))</f>
        <v/>
      </c>
      <c r="I117" s="627" t="s">
        <v>123</v>
      </c>
      <c r="J117" s="628" t="str">
        <f>IFERROR(__xludf.DUMMYFUNCTION("IF($G117="""","""",IFERROR(query({proventos!$B$5:$Q310},""Select sum(Col16) where Col1 = '""&amp;$G117&amp;""' and Col2 &gt; date '""&amp;TEXT(K$8,""yyyy-mm-dd"")&amp;""' and Col2 &lt;= date '""&amp;TEXT(J$8,""yyyy-mm-dd"")&amp;""' label sum(Col16) ''"",0)))"),"")</f>
        <v/>
      </c>
      <c r="K117" s="628" t="str">
        <f>IFERROR(__xludf.DUMMYFUNCTION("IF($G117="""","""",IFERROR(query({proventos!$B$5:$Q310},""Select sum(Col16) where Col1 = '""&amp;$G117&amp;""' and Col2 &gt; date '""&amp;TEXT(L$8,""yyyy-mm-dd"")&amp;""' and Col2 &lt;= date '""&amp;TEXT(K$8,""yyyy-mm-dd"")&amp;""' label sum(Col16) ''"",0)))"),"")</f>
        <v/>
      </c>
      <c r="L117" s="628" t="str">
        <f>IFERROR(__xludf.DUMMYFUNCTION("IF($G117="""","""",IFERROR(query({proventos!$B$5:$Q310},""Select sum(Col16) where Col1 = '""&amp;$G117&amp;""' and Col2 &gt; date '""&amp;TEXT(M$8,""yyyy-mm-dd"")&amp;""' and Col2 &lt;= date '""&amp;TEXT(L$8,""yyyy-mm-dd"")&amp;""' label sum(Col16) ''"",0)))"),"")</f>
        <v/>
      </c>
      <c r="M117" s="628" t="str">
        <f>IFERROR(__xludf.DUMMYFUNCTION("IF($G117="""","""",IFERROR(query({proventos!$B$5:$Q310},""Select sum(Col16) where Col1 = '""&amp;$G117&amp;""' and Col2 &gt; date '""&amp;TEXT(N$8,""yyyy-mm-dd"")&amp;""' and Col2 &lt;= date '""&amp;TEXT(M$8,""yyyy-mm-dd"")&amp;""' label sum(Col16) ''"",0)))"),"")</f>
        <v/>
      </c>
      <c r="N117" s="628" t="str">
        <f>IFERROR(__xludf.DUMMYFUNCTION("IF($G117="""","""",IFERROR(query({proventos!$B$5:$Q310},""Select sum(Col16) where Col1 = '""&amp;$G117&amp;""' and Col2 &gt; date '""&amp;TEXT(O$8,""yyyy-mm-dd"")&amp;""' and Col2 &lt;= date '""&amp;TEXT(N$8,""yyyy-mm-dd"")&amp;""' label sum(Col16) ''"",0)))"),"")</f>
        <v/>
      </c>
      <c r="O117" s="628" t="str">
        <f>IFERROR(__xludf.DUMMYFUNCTION("IF($G117="""","""",IFERROR(query({proventos!$B$5:$Q310},""Select sum(Col16) where Col1 = '""&amp;$G117&amp;""' and Col2 &gt; date '""&amp;TEXT(P$8,""yyyy-mm-dd"")&amp;""' and Col2 &lt;= date '""&amp;TEXT(O$8,""yyyy-mm-dd"")&amp;""' label sum(Col16) ''"",0)))"),"")</f>
        <v/>
      </c>
      <c r="P117" s="628" t="str">
        <f>IFERROR(__xludf.DUMMYFUNCTION("IF($G117="""","""",IFERROR(query({proventos!$B$5:$Q310},""Select sum(Col16) where Col1 = '""&amp;$G117&amp;""' and Col2 &gt; date '""&amp;TEXT(Q$8,""yyyy-mm-dd"")&amp;""' and Col2 &lt;= date '""&amp;TEXT(P$8,""yyyy-mm-dd"")&amp;""' label sum(Col16) ''"",0)))"),"")</f>
        <v/>
      </c>
      <c r="Q117" s="628" t="str">
        <f>IFERROR(__xludf.DUMMYFUNCTION("IF($G117="""","""",IFERROR(query({proventos!$B$5:$Q310},""Select sum(Col16) where Col1 = '""&amp;$G117&amp;""' and Col2 &gt; date '""&amp;TEXT(R$8,""yyyy-mm-dd"")&amp;""' and Col2 &lt;= date '""&amp;TEXT(Q$8,""yyyy-mm-dd"")&amp;""' label sum(Col16) ''"",0)))"),"")</f>
        <v/>
      </c>
      <c r="R117" s="628" t="str">
        <f>IFERROR(__xludf.DUMMYFUNCTION("IF($G117="""","""",IFERROR(query({proventos!$B$5:$Q310},""Select sum(Col16) where Col1 = '""&amp;$G117&amp;""' and Col2 &gt; date '""&amp;TEXT(S$8,""yyyy-mm-dd"")&amp;""' and Col2 &lt;= date '""&amp;TEXT(R$8,""yyyy-mm-dd"")&amp;""' label sum(Col16) ''"",0)))"),"")</f>
        <v/>
      </c>
      <c r="S117" s="628" t="str">
        <f>IFERROR(__xludf.DUMMYFUNCTION("IF($G117="""","""",IFERROR(query({proventos!$B$5:$Q310},""Select sum(Col16) where Col1 = '""&amp;$G117&amp;""' and Col2 &gt; date '""&amp;TEXT(T$8,""yyyy-mm-dd"")&amp;""' and Col2 &lt;= date '""&amp;TEXT(S$8,""yyyy-mm-dd"")&amp;""' label sum(Col16) ''"",0)))"),"")</f>
        <v/>
      </c>
      <c r="T117" s="628" t="str">
        <f>IFERROR(__xludf.DUMMYFUNCTION("IF($G117="""","""",IFERROR(query({proventos!$B$5:$Q310},""Select sum(Col16) where Col1 = '""&amp;$G117&amp;""' and Col2 &gt; date '""&amp;TEXT(U$8,""yyyy-mm-dd"")&amp;""' and Col2 &lt;= date '""&amp;TEXT(T$8,""yyyy-mm-dd"")&amp;""' label sum(Col16) ''"",0)))"),"")</f>
        <v/>
      </c>
      <c r="U117" s="629" t="str">
        <f>IFERROR(__xludf.DUMMYFUNCTION("IF($G117="""","""",IFERROR(query({proventos!$B$5:$Q310},""Select sum(Col16) where Col1 = '""&amp;$G117&amp;""' and Col2 &gt; date '""&amp;TEXT(EOMONTH(TODAY(),-13),""yyyy-mm-dd"")&amp;""' and Col2 &lt;= date '""&amp;TEXT(U$8,""yyyy-mm-dd"")&amp;""' label sum(Col16) ''"",0)))"),"")</f>
        <v/>
      </c>
      <c r="V117" s="630" t="str">
        <f>IFERROR(__xludf.DUMMYFUNCTION("IF($G117="""","""",IFERROR(query({proventos!$B$5:$Q310},""Select sum(Col16) where Col1 = '""&amp;$G117&amp;""' and Col2 &gt; date '""&amp;TEXT(DATE(V$8,1,1),""yyyy-mm-dd"")&amp;""' and Col2 &lt;= date '""&amp;TEXT(DATE(V$8,12,31),""yyyy-mm-dd"")&amp;""' label sum(Col16) ''"",0)))"),"")</f>
        <v/>
      </c>
      <c r="W117" s="630" t="str">
        <f>IFERROR(__xludf.DUMMYFUNCTION("IF($G117="""","""",IFERROR(query({proventos!$B$5:$Q310},""Select sum(Col16) where Col1 = '""&amp;$G117&amp;""' and Col2 &gt; date '""&amp;TEXT(DATE(W$8,1,1),""yyyy-mm-dd"")&amp;""' and Col2 &lt;= date '""&amp;TEXT(DATE(W$8,12,31),""yyyy-mm-dd"")&amp;""' label sum(Col16) ''"",0)))"),"")</f>
        <v/>
      </c>
      <c r="X117" s="630" t="str">
        <f>IFERROR(__xludf.DUMMYFUNCTION("IF($G117="""","""",IFERROR(query({proventos!$B$5:$Q310},""Select sum(Col16) where Col1 = '""&amp;$G117&amp;""' and Col2 &gt; date '""&amp;TEXT(DATE(X$8,1,1),""yyyy-mm-dd"")&amp;""' and Col2 &lt;= date '""&amp;TEXT(DATE(X$8,12,31),""yyyy-mm-dd"")&amp;""' label sum(Col16) ''"",0)))"),"")</f>
        <v/>
      </c>
      <c r="Y117" s="630" t="str">
        <f>IFERROR(__xludf.DUMMYFUNCTION("IF($G117="""","""",IFERROR(query({proventos!$B$5:$Q310},""Select sum(Col16) where Col1 = '""&amp;$G117&amp;""' and Col2 &gt; date '""&amp;TEXT(DATE(Y$8,1,1),""yyyy-mm-dd"")&amp;""' and Col2 &lt;= date '""&amp;TEXT(DATE(Y$8,12,31),""yyyy-mm-dd"")&amp;""' label sum(Col16) ''"",0)))"),"")</f>
        <v/>
      </c>
      <c r="Z117" s="630" t="str">
        <f>IFERROR(__xludf.DUMMYFUNCTION("IF($G117="""","""",IFERROR(query({proventos!$B$5:$Q310},""Select sum(Col16) where Col1 = '""&amp;$G117&amp;""' and Col2 &gt; date '""&amp;TEXT(DATE(Z$8,1,1),""yyyy-mm-dd"")&amp;""' and Col2 &lt;= date '""&amp;TEXT(DATE(Z$8,12,31),""yyyy-mm-dd"")&amp;""' label sum(Col16) ''"",0)))"),"")</f>
        <v/>
      </c>
      <c r="AA117" s="587"/>
      <c r="AB117" s="578" t="s">
        <v>123</v>
      </c>
      <c r="AC117" s="601"/>
      <c r="AD117" s="636"/>
      <c r="AE117" s="636"/>
    </row>
    <row r="118">
      <c r="A118" s="576"/>
      <c r="B118" s="620"/>
      <c r="C118" s="637"/>
      <c r="D118" s="633"/>
      <c r="E118" s="633"/>
      <c r="F118" s="624">
        <v>108.0</v>
      </c>
      <c r="G118" s="635"/>
      <c r="H118" s="626" t="str">
        <f>if(G118="","",IFERROR(VLOOKUP(G118,AtivosDados,MATCH("provento_avg",portfolio.!$A$3:AE$3,0),FALSE),""))</f>
        <v/>
      </c>
      <c r="I118" s="627" t="s">
        <v>123</v>
      </c>
      <c r="J118" s="628" t="str">
        <f>IFERROR(__xludf.DUMMYFUNCTION("IF($G118="""","""",IFERROR(query({proventos!$B$5:$Q310},""Select sum(Col16) where Col1 = '""&amp;$G118&amp;""' and Col2 &gt; date '""&amp;TEXT(K$8,""yyyy-mm-dd"")&amp;""' and Col2 &lt;= date '""&amp;TEXT(J$8,""yyyy-mm-dd"")&amp;""' label sum(Col16) ''"",0)))"),"")</f>
        <v/>
      </c>
      <c r="K118" s="628" t="str">
        <f>IFERROR(__xludf.DUMMYFUNCTION("IF($G118="""","""",IFERROR(query({proventos!$B$5:$Q310},""Select sum(Col16) where Col1 = '""&amp;$G118&amp;""' and Col2 &gt; date '""&amp;TEXT(L$8,""yyyy-mm-dd"")&amp;""' and Col2 &lt;= date '""&amp;TEXT(K$8,""yyyy-mm-dd"")&amp;""' label sum(Col16) ''"",0)))"),"")</f>
        <v/>
      </c>
      <c r="L118" s="628" t="str">
        <f>IFERROR(__xludf.DUMMYFUNCTION("IF($G118="""","""",IFERROR(query({proventos!$B$5:$Q310},""Select sum(Col16) where Col1 = '""&amp;$G118&amp;""' and Col2 &gt; date '""&amp;TEXT(M$8,""yyyy-mm-dd"")&amp;""' and Col2 &lt;= date '""&amp;TEXT(L$8,""yyyy-mm-dd"")&amp;""' label sum(Col16) ''"",0)))"),"")</f>
        <v/>
      </c>
      <c r="M118" s="628" t="str">
        <f>IFERROR(__xludf.DUMMYFUNCTION("IF($G118="""","""",IFERROR(query({proventos!$B$5:$Q310},""Select sum(Col16) where Col1 = '""&amp;$G118&amp;""' and Col2 &gt; date '""&amp;TEXT(N$8,""yyyy-mm-dd"")&amp;""' and Col2 &lt;= date '""&amp;TEXT(M$8,""yyyy-mm-dd"")&amp;""' label sum(Col16) ''"",0)))"),"")</f>
        <v/>
      </c>
      <c r="N118" s="628" t="str">
        <f>IFERROR(__xludf.DUMMYFUNCTION("IF($G118="""","""",IFERROR(query({proventos!$B$5:$Q310},""Select sum(Col16) where Col1 = '""&amp;$G118&amp;""' and Col2 &gt; date '""&amp;TEXT(O$8,""yyyy-mm-dd"")&amp;""' and Col2 &lt;= date '""&amp;TEXT(N$8,""yyyy-mm-dd"")&amp;""' label sum(Col16) ''"",0)))"),"")</f>
        <v/>
      </c>
      <c r="O118" s="628" t="str">
        <f>IFERROR(__xludf.DUMMYFUNCTION("IF($G118="""","""",IFERROR(query({proventos!$B$5:$Q310},""Select sum(Col16) where Col1 = '""&amp;$G118&amp;""' and Col2 &gt; date '""&amp;TEXT(P$8,""yyyy-mm-dd"")&amp;""' and Col2 &lt;= date '""&amp;TEXT(O$8,""yyyy-mm-dd"")&amp;""' label sum(Col16) ''"",0)))"),"")</f>
        <v/>
      </c>
      <c r="P118" s="628" t="str">
        <f>IFERROR(__xludf.DUMMYFUNCTION("IF($G118="""","""",IFERROR(query({proventos!$B$5:$Q310},""Select sum(Col16) where Col1 = '""&amp;$G118&amp;""' and Col2 &gt; date '""&amp;TEXT(Q$8,""yyyy-mm-dd"")&amp;""' and Col2 &lt;= date '""&amp;TEXT(P$8,""yyyy-mm-dd"")&amp;""' label sum(Col16) ''"",0)))"),"")</f>
        <v/>
      </c>
      <c r="Q118" s="628" t="str">
        <f>IFERROR(__xludf.DUMMYFUNCTION("IF($G118="""","""",IFERROR(query({proventos!$B$5:$Q310},""Select sum(Col16) where Col1 = '""&amp;$G118&amp;""' and Col2 &gt; date '""&amp;TEXT(R$8,""yyyy-mm-dd"")&amp;""' and Col2 &lt;= date '""&amp;TEXT(Q$8,""yyyy-mm-dd"")&amp;""' label sum(Col16) ''"",0)))"),"")</f>
        <v/>
      </c>
      <c r="R118" s="628" t="str">
        <f>IFERROR(__xludf.DUMMYFUNCTION("IF($G118="""","""",IFERROR(query({proventos!$B$5:$Q310},""Select sum(Col16) where Col1 = '""&amp;$G118&amp;""' and Col2 &gt; date '""&amp;TEXT(S$8,""yyyy-mm-dd"")&amp;""' and Col2 &lt;= date '""&amp;TEXT(R$8,""yyyy-mm-dd"")&amp;""' label sum(Col16) ''"",0)))"),"")</f>
        <v/>
      </c>
      <c r="S118" s="628" t="str">
        <f>IFERROR(__xludf.DUMMYFUNCTION("IF($G118="""","""",IFERROR(query({proventos!$B$5:$Q310},""Select sum(Col16) where Col1 = '""&amp;$G118&amp;""' and Col2 &gt; date '""&amp;TEXT(T$8,""yyyy-mm-dd"")&amp;""' and Col2 &lt;= date '""&amp;TEXT(S$8,""yyyy-mm-dd"")&amp;""' label sum(Col16) ''"",0)))"),"")</f>
        <v/>
      </c>
      <c r="T118" s="628" t="str">
        <f>IFERROR(__xludf.DUMMYFUNCTION("IF($G118="""","""",IFERROR(query({proventos!$B$5:$Q310},""Select sum(Col16) where Col1 = '""&amp;$G118&amp;""' and Col2 &gt; date '""&amp;TEXT(U$8,""yyyy-mm-dd"")&amp;""' and Col2 &lt;= date '""&amp;TEXT(T$8,""yyyy-mm-dd"")&amp;""' label sum(Col16) ''"",0)))"),"")</f>
        <v/>
      </c>
      <c r="U118" s="629" t="str">
        <f>IFERROR(__xludf.DUMMYFUNCTION("IF($G118="""","""",IFERROR(query({proventos!$B$5:$Q310},""Select sum(Col16) where Col1 = '""&amp;$G118&amp;""' and Col2 &gt; date '""&amp;TEXT(EOMONTH(TODAY(),-13),""yyyy-mm-dd"")&amp;""' and Col2 &lt;= date '""&amp;TEXT(U$8,""yyyy-mm-dd"")&amp;""' label sum(Col16) ''"",0)))"),"")</f>
        <v/>
      </c>
      <c r="V118" s="630" t="str">
        <f>IFERROR(__xludf.DUMMYFUNCTION("IF($G118="""","""",IFERROR(query({proventos!$B$5:$Q310},""Select sum(Col16) where Col1 = '""&amp;$G118&amp;""' and Col2 &gt; date '""&amp;TEXT(DATE(V$8,1,1),""yyyy-mm-dd"")&amp;""' and Col2 &lt;= date '""&amp;TEXT(DATE(V$8,12,31),""yyyy-mm-dd"")&amp;""' label sum(Col16) ''"",0)))"),"")</f>
        <v/>
      </c>
      <c r="W118" s="630" t="str">
        <f>IFERROR(__xludf.DUMMYFUNCTION("IF($G118="""","""",IFERROR(query({proventos!$B$5:$Q310},""Select sum(Col16) where Col1 = '""&amp;$G118&amp;""' and Col2 &gt; date '""&amp;TEXT(DATE(W$8,1,1),""yyyy-mm-dd"")&amp;""' and Col2 &lt;= date '""&amp;TEXT(DATE(W$8,12,31),""yyyy-mm-dd"")&amp;""' label sum(Col16) ''"",0)))"),"")</f>
        <v/>
      </c>
      <c r="X118" s="630" t="str">
        <f>IFERROR(__xludf.DUMMYFUNCTION("IF($G118="""","""",IFERROR(query({proventos!$B$5:$Q310},""Select sum(Col16) where Col1 = '""&amp;$G118&amp;""' and Col2 &gt; date '""&amp;TEXT(DATE(X$8,1,1),""yyyy-mm-dd"")&amp;""' and Col2 &lt;= date '""&amp;TEXT(DATE(X$8,12,31),""yyyy-mm-dd"")&amp;""' label sum(Col16) ''"",0)))"),"")</f>
        <v/>
      </c>
      <c r="Y118" s="630" t="str">
        <f>IFERROR(__xludf.DUMMYFUNCTION("IF($G118="""","""",IFERROR(query({proventos!$B$5:$Q310},""Select sum(Col16) where Col1 = '""&amp;$G118&amp;""' and Col2 &gt; date '""&amp;TEXT(DATE(Y$8,1,1),""yyyy-mm-dd"")&amp;""' and Col2 &lt;= date '""&amp;TEXT(DATE(Y$8,12,31),""yyyy-mm-dd"")&amp;""' label sum(Col16) ''"",0)))"),"")</f>
        <v/>
      </c>
      <c r="Z118" s="630" t="str">
        <f>IFERROR(__xludf.DUMMYFUNCTION("IF($G118="""","""",IFERROR(query({proventos!$B$5:$Q310},""Select sum(Col16) where Col1 = '""&amp;$G118&amp;""' and Col2 &gt; date '""&amp;TEXT(DATE(Z$8,1,1),""yyyy-mm-dd"")&amp;""' and Col2 &lt;= date '""&amp;TEXT(DATE(Z$8,12,31),""yyyy-mm-dd"")&amp;""' label sum(Col16) ''"",0)))"),"")</f>
        <v/>
      </c>
      <c r="AA118" s="587"/>
      <c r="AB118" s="578" t="s">
        <v>123</v>
      </c>
      <c r="AC118" s="601"/>
      <c r="AD118" s="636"/>
      <c r="AE118" s="636"/>
    </row>
    <row r="119">
      <c r="A119" s="576"/>
      <c r="B119" s="620"/>
      <c r="C119" s="637"/>
      <c r="D119" s="633"/>
      <c r="E119" s="633"/>
      <c r="F119" s="624">
        <v>109.0</v>
      </c>
      <c r="G119" s="635"/>
      <c r="H119" s="626" t="str">
        <f>if(G119="","",IFERROR(VLOOKUP(G119,AtivosDados,MATCH("provento_avg",portfolio.!$A$3:AE$3,0),FALSE),""))</f>
        <v/>
      </c>
      <c r="I119" s="627" t="s">
        <v>123</v>
      </c>
      <c r="J119" s="628" t="str">
        <f>IFERROR(__xludf.DUMMYFUNCTION("IF($G119="""","""",IFERROR(query({proventos!$B$5:$Q310},""Select sum(Col16) where Col1 = '""&amp;$G119&amp;""' and Col2 &gt; date '""&amp;TEXT(K$8,""yyyy-mm-dd"")&amp;""' and Col2 &lt;= date '""&amp;TEXT(J$8,""yyyy-mm-dd"")&amp;""' label sum(Col16) ''"",0)))"),"")</f>
        <v/>
      </c>
      <c r="K119" s="628" t="str">
        <f>IFERROR(__xludf.DUMMYFUNCTION("IF($G119="""","""",IFERROR(query({proventos!$B$5:$Q310},""Select sum(Col16) where Col1 = '""&amp;$G119&amp;""' and Col2 &gt; date '""&amp;TEXT(L$8,""yyyy-mm-dd"")&amp;""' and Col2 &lt;= date '""&amp;TEXT(K$8,""yyyy-mm-dd"")&amp;""' label sum(Col16) ''"",0)))"),"")</f>
        <v/>
      </c>
      <c r="L119" s="628" t="str">
        <f>IFERROR(__xludf.DUMMYFUNCTION("IF($G119="""","""",IFERROR(query({proventos!$B$5:$Q310},""Select sum(Col16) where Col1 = '""&amp;$G119&amp;""' and Col2 &gt; date '""&amp;TEXT(M$8,""yyyy-mm-dd"")&amp;""' and Col2 &lt;= date '""&amp;TEXT(L$8,""yyyy-mm-dd"")&amp;""' label sum(Col16) ''"",0)))"),"")</f>
        <v/>
      </c>
      <c r="M119" s="628" t="str">
        <f>IFERROR(__xludf.DUMMYFUNCTION("IF($G119="""","""",IFERROR(query({proventos!$B$5:$Q310},""Select sum(Col16) where Col1 = '""&amp;$G119&amp;""' and Col2 &gt; date '""&amp;TEXT(N$8,""yyyy-mm-dd"")&amp;""' and Col2 &lt;= date '""&amp;TEXT(M$8,""yyyy-mm-dd"")&amp;""' label sum(Col16) ''"",0)))"),"")</f>
        <v/>
      </c>
      <c r="N119" s="628" t="str">
        <f>IFERROR(__xludf.DUMMYFUNCTION("IF($G119="""","""",IFERROR(query({proventos!$B$5:$Q310},""Select sum(Col16) where Col1 = '""&amp;$G119&amp;""' and Col2 &gt; date '""&amp;TEXT(O$8,""yyyy-mm-dd"")&amp;""' and Col2 &lt;= date '""&amp;TEXT(N$8,""yyyy-mm-dd"")&amp;""' label sum(Col16) ''"",0)))"),"")</f>
        <v/>
      </c>
      <c r="O119" s="628" t="str">
        <f>IFERROR(__xludf.DUMMYFUNCTION("IF($G119="""","""",IFERROR(query({proventos!$B$5:$Q310},""Select sum(Col16) where Col1 = '""&amp;$G119&amp;""' and Col2 &gt; date '""&amp;TEXT(P$8,""yyyy-mm-dd"")&amp;""' and Col2 &lt;= date '""&amp;TEXT(O$8,""yyyy-mm-dd"")&amp;""' label sum(Col16) ''"",0)))"),"")</f>
        <v/>
      </c>
      <c r="P119" s="628" t="str">
        <f>IFERROR(__xludf.DUMMYFUNCTION("IF($G119="""","""",IFERROR(query({proventos!$B$5:$Q310},""Select sum(Col16) where Col1 = '""&amp;$G119&amp;""' and Col2 &gt; date '""&amp;TEXT(Q$8,""yyyy-mm-dd"")&amp;""' and Col2 &lt;= date '""&amp;TEXT(P$8,""yyyy-mm-dd"")&amp;""' label sum(Col16) ''"",0)))"),"")</f>
        <v/>
      </c>
      <c r="Q119" s="628" t="str">
        <f>IFERROR(__xludf.DUMMYFUNCTION("IF($G119="""","""",IFERROR(query({proventos!$B$5:$Q310},""Select sum(Col16) where Col1 = '""&amp;$G119&amp;""' and Col2 &gt; date '""&amp;TEXT(R$8,""yyyy-mm-dd"")&amp;""' and Col2 &lt;= date '""&amp;TEXT(Q$8,""yyyy-mm-dd"")&amp;""' label sum(Col16) ''"",0)))"),"")</f>
        <v/>
      </c>
      <c r="R119" s="628" t="str">
        <f>IFERROR(__xludf.DUMMYFUNCTION("IF($G119="""","""",IFERROR(query({proventos!$B$5:$Q310},""Select sum(Col16) where Col1 = '""&amp;$G119&amp;""' and Col2 &gt; date '""&amp;TEXT(S$8,""yyyy-mm-dd"")&amp;""' and Col2 &lt;= date '""&amp;TEXT(R$8,""yyyy-mm-dd"")&amp;""' label sum(Col16) ''"",0)))"),"")</f>
        <v/>
      </c>
      <c r="S119" s="628" t="str">
        <f>IFERROR(__xludf.DUMMYFUNCTION("IF($G119="""","""",IFERROR(query({proventos!$B$5:$Q310},""Select sum(Col16) where Col1 = '""&amp;$G119&amp;""' and Col2 &gt; date '""&amp;TEXT(T$8,""yyyy-mm-dd"")&amp;""' and Col2 &lt;= date '""&amp;TEXT(S$8,""yyyy-mm-dd"")&amp;""' label sum(Col16) ''"",0)))"),"")</f>
        <v/>
      </c>
      <c r="T119" s="628" t="str">
        <f>IFERROR(__xludf.DUMMYFUNCTION("IF($G119="""","""",IFERROR(query({proventos!$B$5:$Q310},""Select sum(Col16) where Col1 = '""&amp;$G119&amp;""' and Col2 &gt; date '""&amp;TEXT(U$8,""yyyy-mm-dd"")&amp;""' and Col2 &lt;= date '""&amp;TEXT(T$8,""yyyy-mm-dd"")&amp;""' label sum(Col16) ''"",0)))"),"")</f>
        <v/>
      </c>
      <c r="U119" s="629" t="str">
        <f>IFERROR(__xludf.DUMMYFUNCTION("IF($G119="""","""",IFERROR(query({proventos!$B$5:$Q310},""Select sum(Col16) where Col1 = '""&amp;$G119&amp;""' and Col2 &gt; date '""&amp;TEXT(EOMONTH(TODAY(),-13),""yyyy-mm-dd"")&amp;""' and Col2 &lt;= date '""&amp;TEXT(U$8,""yyyy-mm-dd"")&amp;""' label sum(Col16) ''"",0)))"),"")</f>
        <v/>
      </c>
      <c r="V119" s="630" t="str">
        <f>IFERROR(__xludf.DUMMYFUNCTION("IF($G119="""","""",IFERROR(query({proventos!$B$5:$Q310},""Select sum(Col16) where Col1 = '""&amp;$G119&amp;""' and Col2 &gt; date '""&amp;TEXT(DATE(V$8,1,1),""yyyy-mm-dd"")&amp;""' and Col2 &lt;= date '""&amp;TEXT(DATE(V$8,12,31),""yyyy-mm-dd"")&amp;""' label sum(Col16) ''"",0)))"),"")</f>
        <v/>
      </c>
      <c r="W119" s="630" t="str">
        <f>IFERROR(__xludf.DUMMYFUNCTION("IF($G119="""","""",IFERROR(query({proventos!$B$5:$Q310},""Select sum(Col16) where Col1 = '""&amp;$G119&amp;""' and Col2 &gt; date '""&amp;TEXT(DATE(W$8,1,1),""yyyy-mm-dd"")&amp;""' and Col2 &lt;= date '""&amp;TEXT(DATE(W$8,12,31),""yyyy-mm-dd"")&amp;""' label sum(Col16) ''"",0)))"),"")</f>
        <v/>
      </c>
      <c r="X119" s="630" t="str">
        <f>IFERROR(__xludf.DUMMYFUNCTION("IF($G119="""","""",IFERROR(query({proventos!$B$5:$Q310},""Select sum(Col16) where Col1 = '""&amp;$G119&amp;""' and Col2 &gt; date '""&amp;TEXT(DATE(X$8,1,1),""yyyy-mm-dd"")&amp;""' and Col2 &lt;= date '""&amp;TEXT(DATE(X$8,12,31),""yyyy-mm-dd"")&amp;""' label sum(Col16) ''"",0)))"),"")</f>
        <v/>
      </c>
      <c r="Y119" s="630" t="str">
        <f>IFERROR(__xludf.DUMMYFUNCTION("IF($G119="""","""",IFERROR(query({proventos!$B$5:$Q310},""Select sum(Col16) where Col1 = '""&amp;$G119&amp;""' and Col2 &gt; date '""&amp;TEXT(DATE(Y$8,1,1),""yyyy-mm-dd"")&amp;""' and Col2 &lt;= date '""&amp;TEXT(DATE(Y$8,12,31),""yyyy-mm-dd"")&amp;""' label sum(Col16) ''"",0)))"),"")</f>
        <v/>
      </c>
      <c r="Z119" s="630" t="str">
        <f>IFERROR(__xludf.DUMMYFUNCTION("IF($G119="""","""",IFERROR(query({proventos!$B$5:$Q310},""Select sum(Col16) where Col1 = '""&amp;$G119&amp;""' and Col2 &gt; date '""&amp;TEXT(DATE(Z$8,1,1),""yyyy-mm-dd"")&amp;""' and Col2 &lt;= date '""&amp;TEXT(DATE(Z$8,12,31),""yyyy-mm-dd"")&amp;""' label sum(Col16) ''"",0)))"),"")</f>
        <v/>
      </c>
      <c r="AA119" s="587"/>
      <c r="AB119" s="578" t="s">
        <v>123</v>
      </c>
      <c r="AC119" s="601"/>
      <c r="AD119" s="636"/>
      <c r="AE119" s="636"/>
    </row>
    <row r="120">
      <c r="A120" s="576"/>
      <c r="B120" s="620"/>
      <c r="C120" s="637"/>
      <c r="D120" s="633"/>
      <c r="E120" s="633"/>
      <c r="F120" s="624">
        <v>110.0</v>
      </c>
      <c r="G120" s="635"/>
      <c r="H120" s="626" t="str">
        <f>if(G120="","",IFERROR(VLOOKUP(G120,AtivosDados,MATCH("provento_avg",portfolio.!$A$3:AE$3,0),FALSE),""))</f>
        <v/>
      </c>
      <c r="I120" s="627" t="s">
        <v>123</v>
      </c>
      <c r="J120" s="628" t="str">
        <f>IFERROR(__xludf.DUMMYFUNCTION("IF($G120="""","""",IFERROR(query({proventos!$B$5:$Q310},""Select sum(Col16) where Col1 = '""&amp;$G120&amp;""' and Col2 &gt; date '""&amp;TEXT(K$8,""yyyy-mm-dd"")&amp;""' and Col2 &lt;= date '""&amp;TEXT(J$8,""yyyy-mm-dd"")&amp;""' label sum(Col16) ''"",0)))"),"")</f>
        <v/>
      </c>
      <c r="K120" s="628" t="str">
        <f>IFERROR(__xludf.DUMMYFUNCTION("IF($G120="""","""",IFERROR(query({proventos!$B$5:$Q310},""Select sum(Col16) where Col1 = '""&amp;$G120&amp;""' and Col2 &gt; date '""&amp;TEXT(L$8,""yyyy-mm-dd"")&amp;""' and Col2 &lt;= date '""&amp;TEXT(K$8,""yyyy-mm-dd"")&amp;""' label sum(Col16) ''"",0)))"),"")</f>
        <v/>
      </c>
      <c r="L120" s="628" t="str">
        <f>IFERROR(__xludf.DUMMYFUNCTION("IF($G120="""","""",IFERROR(query({proventos!$B$5:$Q310},""Select sum(Col16) where Col1 = '""&amp;$G120&amp;""' and Col2 &gt; date '""&amp;TEXT(M$8,""yyyy-mm-dd"")&amp;""' and Col2 &lt;= date '""&amp;TEXT(L$8,""yyyy-mm-dd"")&amp;""' label sum(Col16) ''"",0)))"),"")</f>
        <v/>
      </c>
      <c r="M120" s="628" t="str">
        <f>IFERROR(__xludf.DUMMYFUNCTION("IF($G120="""","""",IFERROR(query({proventos!$B$5:$Q310},""Select sum(Col16) where Col1 = '""&amp;$G120&amp;""' and Col2 &gt; date '""&amp;TEXT(N$8,""yyyy-mm-dd"")&amp;""' and Col2 &lt;= date '""&amp;TEXT(M$8,""yyyy-mm-dd"")&amp;""' label sum(Col16) ''"",0)))"),"")</f>
        <v/>
      </c>
      <c r="N120" s="628" t="str">
        <f>IFERROR(__xludf.DUMMYFUNCTION("IF($G120="""","""",IFERROR(query({proventos!$B$5:$Q310},""Select sum(Col16) where Col1 = '""&amp;$G120&amp;""' and Col2 &gt; date '""&amp;TEXT(O$8,""yyyy-mm-dd"")&amp;""' and Col2 &lt;= date '""&amp;TEXT(N$8,""yyyy-mm-dd"")&amp;""' label sum(Col16) ''"",0)))"),"")</f>
        <v/>
      </c>
      <c r="O120" s="628" t="str">
        <f>IFERROR(__xludf.DUMMYFUNCTION("IF($G120="""","""",IFERROR(query({proventos!$B$5:$Q310},""Select sum(Col16) where Col1 = '""&amp;$G120&amp;""' and Col2 &gt; date '""&amp;TEXT(P$8,""yyyy-mm-dd"")&amp;""' and Col2 &lt;= date '""&amp;TEXT(O$8,""yyyy-mm-dd"")&amp;""' label sum(Col16) ''"",0)))"),"")</f>
        <v/>
      </c>
      <c r="P120" s="628" t="str">
        <f>IFERROR(__xludf.DUMMYFUNCTION("IF($G120="""","""",IFERROR(query({proventos!$B$5:$Q310},""Select sum(Col16) where Col1 = '""&amp;$G120&amp;""' and Col2 &gt; date '""&amp;TEXT(Q$8,""yyyy-mm-dd"")&amp;""' and Col2 &lt;= date '""&amp;TEXT(P$8,""yyyy-mm-dd"")&amp;""' label sum(Col16) ''"",0)))"),"")</f>
        <v/>
      </c>
      <c r="Q120" s="628" t="str">
        <f>IFERROR(__xludf.DUMMYFUNCTION("IF($G120="""","""",IFERROR(query({proventos!$B$5:$Q310},""Select sum(Col16) where Col1 = '""&amp;$G120&amp;""' and Col2 &gt; date '""&amp;TEXT(R$8,""yyyy-mm-dd"")&amp;""' and Col2 &lt;= date '""&amp;TEXT(Q$8,""yyyy-mm-dd"")&amp;""' label sum(Col16) ''"",0)))"),"")</f>
        <v/>
      </c>
      <c r="R120" s="628" t="str">
        <f>IFERROR(__xludf.DUMMYFUNCTION("IF($G120="""","""",IFERROR(query({proventos!$B$5:$Q310},""Select sum(Col16) where Col1 = '""&amp;$G120&amp;""' and Col2 &gt; date '""&amp;TEXT(S$8,""yyyy-mm-dd"")&amp;""' and Col2 &lt;= date '""&amp;TEXT(R$8,""yyyy-mm-dd"")&amp;""' label sum(Col16) ''"",0)))"),"")</f>
        <v/>
      </c>
      <c r="S120" s="628" t="str">
        <f>IFERROR(__xludf.DUMMYFUNCTION("IF($G120="""","""",IFERROR(query({proventos!$B$5:$Q310},""Select sum(Col16) where Col1 = '""&amp;$G120&amp;""' and Col2 &gt; date '""&amp;TEXT(T$8,""yyyy-mm-dd"")&amp;""' and Col2 &lt;= date '""&amp;TEXT(S$8,""yyyy-mm-dd"")&amp;""' label sum(Col16) ''"",0)))"),"")</f>
        <v/>
      </c>
      <c r="T120" s="628" t="str">
        <f>IFERROR(__xludf.DUMMYFUNCTION("IF($G120="""","""",IFERROR(query({proventos!$B$5:$Q310},""Select sum(Col16) where Col1 = '""&amp;$G120&amp;""' and Col2 &gt; date '""&amp;TEXT(U$8,""yyyy-mm-dd"")&amp;""' and Col2 &lt;= date '""&amp;TEXT(T$8,""yyyy-mm-dd"")&amp;""' label sum(Col16) ''"",0)))"),"")</f>
        <v/>
      </c>
      <c r="U120" s="629" t="str">
        <f>IFERROR(__xludf.DUMMYFUNCTION("IF($G120="""","""",IFERROR(query({proventos!$B$5:$Q310},""Select sum(Col16) where Col1 = '""&amp;$G120&amp;""' and Col2 &gt; date '""&amp;TEXT(EOMONTH(TODAY(),-13),""yyyy-mm-dd"")&amp;""' and Col2 &lt;= date '""&amp;TEXT(U$8,""yyyy-mm-dd"")&amp;""' label sum(Col16) ''"",0)))"),"")</f>
        <v/>
      </c>
      <c r="V120" s="630" t="str">
        <f>IFERROR(__xludf.DUMMYFUNCTION("IF($G120="""","""",IFERROR(query({proventos!$B$5:$Q310},""Select sum(Col16) where Col1 = '""&amp;$G120&amp;""' and Col2 &gt; date '""&amp;TEXT(DATE(V$8,1,1),""yyyy-mm-dd"")&amp;""' and Col2 &lt;= date '""&amp;TEXT(DATE(V$8,12,31),""yyyy-mm-dd"")&amp;""' label sum(Col16) ''"",0)))"),"")</f>
        <v/>
      </c>
      <c r="W120" s="630" t="str">
        <f>IFERROR(__xludf.DUMMYFUNCTION("IF($G120="""","""",IFERROR(query({proventos!$B$5:$Q310},""Select sum(Col16) where Col1 = '""&amp;$G120&amp;""' and Col2 &gt; date '""&amp;TEXT(DATE(W$8,1,1),""yyyy-mm-dd"")&amp;""' and Col2 &lt;= date '""&amp;TEXT(DATE(W$8,12,31),""yyyy-mm-dd"")&amp;""' label sum(Col16) ''"",0)))"),"")</f>
        <v/>
      </c>
      <c r="X120" s="630" t="str">
        <f>IFERROR(__xludf.DUMMYFUNCTION("IF($G120="""","""",IFERROR(query({proventos!$B$5:$Q310},""Select sum(Col16) where Col1 = '""&amp;$G120&amp;""' and Col2 &gt; date '""&amp;TEXT(DATE(X$8,1,1),""yyyy-mm-dd"")&amp;""' and Col2 &lt;= date '""&amp;TEXT(DATE(X$8,12,31),""yyyy-mm-dd"")&amp;""' label sum(Col16) ''"",0)))"),"")</f>
        <v/>
      </c>
      <c r="Y120" s="630" t="str">
        <f>IFERROR(__xludf.DUMMYFUNCTION("IF($G120="""","""",IFERROR(query({proventos!$B$5:$Q310},""Select sum(Col16) where Col1 = '""&amp;$G120&amp;""' and Col2 &gt; date '""&amp;TEXT(DATE(Y$8,1,1),""yyyy-mm-dd"")&amp;""' and Col2 &lt;= date '""&amp;TEXT(DATE(Y$8,12,31),""yyyy-mm-dd"")&amp;""' label sum(Col16) ''"",0)))"),"")</f>
        <v/>
      </c>
      <c r="Z120" s="630" t="str">
        <f>IFERROR(__xludf.DUMMYFUNCTION("IF($G120="""","""",IFERROR(query({proventos!$B$5:$Q310},""Select sum(Col16) where Col1 = '""&amp;$G120&amp;""' and Col2 &gt; date '""&amp;TEXT(DATE(Z$8,1,1),""yyyy-mm-dd"")&amp;""' and Col2 &lt;= date '""&amp;TEXT(DATE(Z$8,12,31),""yyyy-mm-dd"")&amp;""' label sum(Col16) ''"",0)))"),"")</f>
        <v/>
      </c>
      <c r="AA120" s="587"/>
      <c r="AB120" s="578" t="s">
        <v>123</v>
      </c>
      <c r="AC120" s="601"/>
      <c r="AD120" s="636"/>
      <c r="AE120" s="636"/>
    </row>
    <row r="121">
      <c r="A121" s="576"/>
      <c r="B121" s="620"/>
      <c r="C121" s="637"/>
      <c r="D121" s="633"/>
      <c r="E121" s="633"/>
      <c r="F121" s="624">
        <v>111.0</v>
      </c>
      <c r="G121" s="635"/>
      <c r="H121" s="626" t="str">
        <f>if(G121="","",IFERROR(VLOOKUP(G121,AtivosDados,MATCH("provento_avg",portfolio.!$A$3:AE$3,0),FALSE),""))</f>
        <v/>
      </c>
      <c r="I121" s="627" t="s">
        <v>123</v>
      </c>
      <c r="J121" s="628" t="str">
        <f>IFERROR(__xludf.DUMMYFUNCTION("IF($G121="""","""",IFERROR(query({proventos!$B$5:$Q310},""Select sum(Col16) where Col1 = '""&amp;$G121&amp;""' and Col2 &gt; date '""&amp;TEXT(K$8,""yyyy-mm-dd"")&amp;""' and Col2 &lt;= date '""&amp;TEXT(J$8,""yyyy-mm-dd"")&amp;""' label sum(Col16) ''"",0)))"),"")</f>
        <v/>
      </c>
      <c r="K121" s="628" t="str">
        <f>IFERROR(__xludf.DUMMYFUNCTION("IF($G121="""","""",IFERROR(query({proventos!$B$5:$Q310},""Select sum(Col16) where Col1 = '""&amp;$G121&amp;""' and Col2 &gt; date '""&amp;TEXT(L$8,""yyyy-mm-dd"")&amp;""' and Col2 &lt;= date '""&amp;TEXT(K$8,""yyyy-mm-dd"")&amp;""' label sum(Col16) ''"",0)))"),"")</f>
        <v/>
      </c>
      <c r="L121" s="628" t="str">
        <f>IFERROR(__xludf.DUMMYFUNCTION("IF($G121="""","""",IFERROR(query({proventos!$B$5:$Q310},""Select sum(Col16) where Col1 = '""&amp;$G121&amp;""' and Col2 &gt; date '""&amp;TEXT(M$8,""yyyy-mm-dd"")&amp;""' and Col2 &lt;= date '""&amp;TEXT(L$8,""yyyy-mm-dd"")&amp;""' label sum(Col16) ''"",0)))"),"")</f>
        <v/>
      </c>
      <c r="M121" s="628" t="str">
        <f>IFERROR(__xludf.DUMMYFUNCTION("IF($G121="""","""",IFERROR(query({proventos!$B$5:$Q310},""Select sum(Col16) where Col1 = '""&amp;$G121&amp;""' and Col2 &gt; date '""&amp;TEXT(N$8,""yyyy-mm-dd"")&amp;""' and Col2 &lt;= date '""&amp;TEXT(M$8,""yyyy-mm-dd"")&amp;""' label sum(Col16) ''"",0)))"),"")</f>
        <v/>
      </c>
      <c r="N121" s="628" t="str">
        <f>IFERROR(__xludf.DUMMYFUNCTION("IF($G121="""","""",IFERROR(query({proventos!$B$5:$Q310},""Select sum(Col16) where Col1 = '""&amp;$G121&amp;""' and Col2 &gt; date '""&amp;TEXT(O$8,""yyyy-mm-dd"")&amp;""' and Col2 &lt;= date '""&amp;TEXT(N$8,""yyyy-mm-dd"")&amp;""' label sum(Col16) ''"",0)))"),"")</f>
        <v/>
      </c>
      <c r="O121" s="628" t="str">
        <f>IFERROR(__xludf.DUMMYFUNCTION("IF($G121="""","""",IFERROR(query({proventos!$B$5:$Q310},""Select sum(Col16) where Col1 = '""&amp;$G121&amp;""' and Col2 &gt; date '""&amp;TEXT(P$8,""yyyy-mm-dd"")&amp;""' and Col2 &lt;= date '""&amp;TEXT(O$8,""yyyy-mm-dd"")&amp;""' label sum(Col16) ''"",0)))"),"")</f>
        <v/>
      </c>
      <c r="P121" s="628" t="str">
        <f>IFERROR(__xludf.DUMMYFUNCTION("IF($G121="""","""",IFERROR(query({proventos!$B$5:$Q310},""Select sum(Col16) where Col1 = '""&amp;$G121&amp;""' and Col2 &gt; date '""&amp;TEXT(Q$8,""yyyy-mm-dd"")&amp;""' and Col2 &lt;= date '""&amp;TEXT(P$8,""yyyy-mm-dd"")&amp;""' label sum(Col16) ''"",0)))"),"")</f>
        <v/>
      </c>
      <c r="Q121" s="628" t="str">
        <f>IFERROR(__xludf.DUMMYFUNCTION("IF($G121="""","""",IFERROR(query({proventos!$B$5:$Q310},""Select sum(Col16) where Col1 = '""&amp;$G121&amp;""' and Col2 &gt; date '""&amp;TEXT(R$8,""yyyy-mm-dd"")&amp;""' and Col2 &lt;= date '""&amp;TEXT(Q$8,""yyyy-mm-dd"")&amp;""' label sum(Col16) ''"",0)))"),"")</f>
        <v/>
      </c>
      <c r="R121" s="628" t="str">
        <f>IFERROR(__xludf.DUMMYFUNCTION("IF($G121="""","""",IFERROR(query({proventos!$B$5:$Q310},""Select sum(Col16) where Col1 = '""&amp;$G121&amp;""' and Col2 &gt; date '""&amp;TEXT(S$8,""yyyy-mm-dd"")&amp;""' and Col2 &lt;= date '""&amp;TEXT(R$8,""yyyy-mm-dd"")&amp;""' label sum(Col16) ''"",0)))"),"")</f>
        <v/>
      </c>
      <c r="S121" s="628" t="str">
        <f>IFERROR(__xludf.DUMMYFUNCTION("IF($G121="""","""",IFERROR(query({proventos!$B$5:$Q310},""Select sum(Col16) where Col1 = '""&amp;$G121&amp;""' and Col2 &gt; date '""&amp;TEXT(T$8,""yyyy-mm-dd"")&amp;""' and Col2 &lt;= date '""&amp;TEXT(S$8,""yyyy-mm-dd"")&amp;""' label sum(Col16) ''"",0)))"),"")</f>
        <v/>
      </c>
      <c r="T121" s="628" t="str">
        <f>IFERROR(__xludf.DUMMYFUNCTION("IF($G121="""","""",IFERROR(query({proventos!$B$5:$Q310},""Select sum(Col16) where Col1 = '""&amp;$G121&amp;""' and Col2 &gt; date '""&amp;TEXT(U$8,""yyyy-mm-dd"")&amp;""' and Col2 &lt;= date '""&amp;TEXT(T$8,""yyyy-mm-dd"")&amp;""' label sum(Col16) ''"",0)))"),"")</f>
        <v/>
      </c>
      <c r="U121" s="629" t="str">
        <f>IFERROR(__xludf.DUMMYFUNCTION("IF($G121="""","""",IFERROR(query({proventos!$B$5:$Q310},""Select sum(Col16) where Col1 = '""&amp;$G121&amp;""' and Col2 &gt; date '""&amp;TEXT(EOMONTH(TODAY(),-13),""yyyy-mm-dd"")&amp;""' and Col2 &lt;= date '""&amp;TEXT(U$8,""yyyy-mm-dd"")&amp;""' label sum(Col16) ''"",0)))"),"")</f>
        <v/>
      </c>
      <c r="V121" s="630" t="str">
        <f>IFERROR(__xludf.DUMMYFUNCTION("IF($G121="""","""",IFERROR(query({proventos!$B$5:$Q310},""Select sum(Col16) where Col1 = '""&amp;$G121&amp;""' and Col2 &gt; date '""&amp;TEXT(DATE(V$8,1,1),""yyyy-mm-dd"")&amp;""' and Col2 &lt;= date '""&amp;TEXT(DATE(V$8,12,31),""yyyy-mm-dd"")&amp;""' label sum(Col16) ''"",0)))"),"")</f>
        <v/>
      </c>
      <c r="W121" s="630" t="str">
        <f>IFERROR(__xludf.DUMMYFUNCTION("IF($G121="""","""",IFERROR(query({proventos!$B$5:$Q310},""Select sum(Col16) where Col1 = '""&amp;$G121&amp;""' and Col2 &gt; date '""&amp;TEXT(DATE(W$8,1,1),""yyyy-mm-dd"")&amp;""' and Col2 &lt;= date '""&amp;TEXT(DATE(W$8,12,31),""yyyy-mm-dd"")&amp;""' label sum(Col16) ''"",0)))"),"")</f>
        <v/>
      </c>
      <c r="X121" s="630" t="str">
        <f>IFERROR(__xludf.DUMMYFUNCTION("IF($G121="""","""",IFERROR(query({proventos!$B$5:$Q310},""Select sum(Col16) where Col1 = '""&amp;$G121&amp;""' and Col2 &gt; date '""&amp;TEXT(DATE(X$8,1,1),""yyyy-mm-dd"")&amp;""' and Col2 &lt;= date '""&amp;TEXT(DATE(X$8,12,31),""yyyy-mm-dd"")&amp;""' label sum(Col16) ''"",0)))"),"")</f>
        <v/>
      </c>
      <c r="Y121" s="630" t="str">
        <f>IFERROR(__xludf.DUMMYFUNCTION("IF($G121="""","""",IFERROR(query({proventos!$B$5:$Q310},""Select sum(Col16) where Col1 = '""&amp;$G121&amp;""' and Col2 &gt; date '""&amp;TEXT(DATE(Y$8,1,1),""yyyy-mm-dd"")&amp;""' and Col2 &lt;= date '""&amp;TEXT(DATE(Y$8,12,31),""yyyy-mm-dd"")&amp;""' label sum(Col16) ''"",0)))"),"")</f>
        <v/>
      </c>
      <c r="Z121" s="630" t="str">
        <f>IFERROR(__xludf.DUMMYFUNCTION("IF($G121="""","""",IFERROR(query({proventos!$B$5:$Q310},""Select sum(Col16) where Col1 = '""&amp;$G121&amp;""' and Col2 &gt; date '""&amp;TEXT(DATE(Z$8,1,1),""yyyy-mm-dd"")&amp;""' and Col2 &lt;= date '""&amp;TEXT(DATE(Z$8,12,31),""yyyy-mm-dd"")&amp;""' label sum(Col16) ''"",0)))"),"")</f>
        <v/>
      </c>
      <c r="AA121" s="587"/>
      <c r="AB121" s="578" t="s">
        <v>123</v>
      </c>
      <c r="AC121" s="601"/>
      <c r="AD121" s="636"/>
      <c r="AE121" s="636"/>
    </row>
    <row r="122">
      <c r="A122" s="576"/>
      <c r="B122" s="620"/>
      <c r="C122" s="637"/>
      <c r="D122" s="633"/>
      <c r="E122" s="633"/>
      <c r="F122" s="624">
        <v>112.0</v>
      </c>
      <c r="G122" s="635"/>
      <c r="H122" s="626" t="str">
        <f>if(G122="","",IFERROR(VLOOKUP(G122,AtivosDados,MATCH("provento_avg",portfolio.!$A$3:AE$3,0),FALSE),""))</f>
        <v/>
      </c>
      <c r="I122" s="627" t="s">
        <v>123</v>
      </c>
      <c r="J122" s="628" t="str">
        <f>IFERROR(__xludf.DUMMYFUNCTION("IF($G122="""","""",IFERROR(query({proventos!$B$5:$Q310},""Select sum(Col16) where Col1 = '""&amp;$G122&amp;""' and Col2 &gt; date '""&amp;TEXT(K$8,""yyyy-mm-dd"")&amp;""' and Col2 &lt;= date '""&amp;TEXT(J$8,""yyyy-mm-dd"")&amp;""' label sum(Col16) ''"",0)))"),"")</f>
        <v/>
      </c>
      <c r="K122" s="628" t="str">
        <f>IFERROR(__xludf.DUMMYFUNCTION("IF($G122="""","""",IFERROR(query({proventos!$B$5:$Q310},""Select sum(Col16) where Col1 = '""&amp;$G122&amp;""' and Col2 &gt; date '""&amp;TEXT(L$8,""yyyy-mm-dd"")&amp;""' and Col2 &lt;= date '""&amp;TEXT(K$8,""yyyy-mm-dd"")&amp;""' label sum(Col16) ''"",0)))"),"")</f>
        <v/>
      </c>
      <c r="L122" s="628" t="str">
        <f>IFERROR(__xludf.DUMMYFUNCTION("IF($G122="""","""",IFERROR(query({proventos!$B$5:$Q310},""Select sum(Col16) where Col1 = '""&amp;$G122&amp;""' and Col2 &gt; date '""&amp;TEXT(M$8,""yyyy-mm-dd"")&amp;""' and Col2 &lt;= date '""&amp;TEXT(L$8,""yyyy-mm-dd"")&amp;""' label sum(Col16) ''"",0)))"),"")</f>
        <v/>
      </c>
      <c r="M122" s="628" t="str">
        <f>IFERROR(__xludf.DUMMYFUNCTION("IF($G122="""","""",IFERROR(query({proventos!$B$5:$Q310},""Select sum(Col16) where Col1 = '""&amp;$G122&amp;""' and Col2 &gt; date '""&amp;TEXT(N$8,""yyyy-mm-dd"")&amp;""' and Col2 &lt;= date '""&amp;TEXT(M$8,""yyyy-mm-dd"")&amp;""' label sum(Col16) ''"",0)))"),"")</f>
        <v/>
      </c>
      <c r="N122" s="628" t="str">
        <f>IFERROR(__xludf.DUMMYFUNCTION("IF($G122="""","""",IFERROR(query({proventos!$B$5:$Q310},""Select sum(Col16) where Col1 = '""&amp;$G122&amp;""' and Col2 &gt; date '""&amp;TEXT(O$8,""yyyy-mm-dd"")&amp;""' and Col2 &lt;= date '""&amp;TEXT(N$8,""yyyy-mm-dd"")&amp;""' label sum(Col16) ''"",0)))"),"")</f>
        <v/>
      </c>
      <c r="O122" s="628" t="str">
        <f>IFERROR(__xludf.DUMMYFUNCTION("IF($G122="""","""",IFERROR(query({proventos!$B$5:$Q310},""Select sum(Col16) where Col1 = '""&amp;$G122&amp;""' and Col2 &gt; date '""&amp;TEXT(P$8,""yyyy-mm-dd"")&amp;""' and Col2 &lt;= date '""&amp;TEXT(O$8,""yyyy-mm-dd"")&amp;""' label sum(Col16) ''"",0)))"),"")</f>
        <v/>
      </c>
      <c r="P122" s="628" t="str">
        <f>IFERROR(__xludf.DUMMYFUNCTION("IF($G122="""","""",IFERROR(query({proventos!$B$5:$Q310},""Select sum(Col16) where Col1 = '""&amp;$G122&amp;""' and Col2 &gt; date '""&amp;TEXT(Q$8,""yyyy-mm-dd"")&amp;""' and Col2 &lt;= date '""&amp;TEXT(P$8,""yyyy-mm-dd"")&amp;""' label sum(Col16) ''"",0)))"),"")</f>
        <v/>
      </c>
      <c r="Q122" s="628" t="str">
        <f>IFERROR(__xludf.DUMMYFUNCTION("IF($G122="""","""",IFERROR(query({proventos!$B$5:$Q310},""Select sum(Col16) where Col1 = '""&amp;$G122&amp;""' and Col2 &gt; date '""&amp;TEXT(R$8,""yyyy-mm-dd"")&amp;""' and Col2 &lt;= date '""&amp;TEXT(Q$8,""yyyy-mm-dd"")&amp;""' label sum(Col16) ''"",0)))"),"")</f>
        <v/>
      </c>
      <c r="R122" s="628" t="str">
        <f>IFERROR(__xludf.DUMMYFUNCTION("IF($G122="""","""",IFERROR(query({proventos!$B$5:$Q310},""Select sum(Col16) where Col1 = '""&amp;$G122&amp;""' and Col2 &gt; date '""&amp;TEXT(S$8,""yyyy-mm-dd"")&amp;""' and Col2 &lt;= date '""&amp;TEXT(R$8,""yyyy-mm-dd"")&amp;""' label sum(Col16) ''"",0)))"),"")</f>
        <v/>
      </c>
      <c r="S122" s="628" t="str">
        <f>IFERROR(__xludf.DUMMYFUNCTION("IF($G122="""","""",IFERROR(query({proventos!$B$5:$Q310},""Select sum(Col16) where Col1 = '""&amp;$G122&amp;""' and Col2 &gt; date '""&amp;TEXT(T$8,""yyyy-mm-dd"")&amp;""' and Col2 &lt;= date '""&amp;TEXT(S$8,""yyyy-mm-dd"")&amp;""' label sum(Col16) ''"",0)))"),"")</f>
        <v/>
      </c>
      <c r="T122" s="628" t="str">
        <f>IFERROR(__xludf.DUMMYFUNCTION("IF($G122="""","""",IFERROR(query({proventos!$B$5:$Q310},""Select sum(Col16) where Col1 = '""&amp;$G122&amp;""' and Col2 &gt; date '""&amp;TEXT(U$8,""yyyy-mm-dd"")&amp;""' and Col2 &lt;= date '""&amp;TEXT(T$8,""yyyy-mm-dd"")&amp;""' label sum(Col16) ''"",0)))"),"")</f>
        <v/>
      </c>
      <c r="U122" s="629" t="str">
        <f>IFERROR(__xludf.DUMMYFUNCTION("IF($G122="""","""",IFERROR(query({proventos!$B$5:$Q310},""Select sum(Col16) where Col1 = '""&amp;$G122&amp;""' and Col2 &gt; date '""&amp;TEXT(EOMONTH(TODAY(),-13),""yyyy-mm-dd"")&amp;""' and Col2 &lt;= date '""&amp;TEXT(U$8,""yyyy-mm-dd"")&amp;""' label sum(Col16) ''"",0)))"),"")</f>
        <v/>
      </c>
      <c r="V122" s="630" t="str">
        <f>IFERROR(__xludf.DUMMYFUNCTION("IF($G122="""","""",IFERROR(query({proventos!$B$5:$Q310},""Select sum(Col16) where Col1 = '""&amp;$G122&amp;""' and Col2 &gt; date '""&amp;TEXT(DATE(V$8,1,1),""yyyy-mm-dd"")&amp;""' and Col2 &lt;= date '""&amp;TEXT(DATE(V$8,12,31),""yyyy-mm-dd"")&amp;""' label sum(Col16) ''"",0)))"),"")</f>
        <v/>
      </c>
      <c r="W122" s="630" t="str">
        <f>IFERROR(__xludf.DUMMYFUNCTION("IF($G122="""","""",IFERROR(query({proventos!$B$5:$Q310},""Select sum(Col16) where Col1 = '""&amp;$G122&amp;""' and Col2 &gt; date '""&amp;TEXT(DATE(W$8,1,1),""yyyy-mm-dd"")&amp;""' and Col2 &lt;= date '""&amp;TEXT(DATE(W$8,12,31),""yyyy-mm-dd"")&amp;""' label sum(Col16) ''"",0)))"),"")</f>
        <v/>
      </c>
      <c r="X122" s="630" t="str">
        <f>IFERROR(__xludf.DUMMYFUNCTION("IF($G122="""","""",IFERROR(query({proventos!$B$5:$Q310},""Select sum(Col16) where Col1 = '""&amp;$G122&amp;""' and Col2 &gt; date '""&amp;TEXT(DATE(X$8,1,1),""yyyy-mm-dd"")&amp;""' and Col2 &lt;= date '""&amp;TEXT(DATE(X$8,12,31),""yyyy-mm-dd"")&amp;""' label sum(Col16) ''"",0)))"),"")</f>
        <v/>
      </c>
      <c r="Y122" s="630" t="str">
        <f>IFERROR(__xludf.DUMMYFUNCTION("IF($G122="""","""",IFERROR(query({proventos!$B$5:$Q310},""Select sum(Col16) where Col1 = '""&amp;$G122&amp;""' and Col2 &gt; date '""&amp;TEXT(DATE(Y$8,1,1),""yyyy-mm-dd"")&amp;""' and Col2 &lt;= date '""&amp;TEXT(DATE(Y$8,12,31),""yyyy-mm-dd"")&amp;""' label sum(Col16) ''"",0)))"),"")</f>
        <v/>
      </c>
      <c r="Z122" s="630" t="str">
        <f>IFERROR(__xludf.DUMMYFUNCTION("IF($G122="""","""",IFERROR(query({proventos!$B$5:$Q310},""Select sum(Col16) where Col1 = '""&amp;$G122&amp;""' and Col2 &gt; date '""&amp;TEXT(DATE(Z$8,1,1),""yyyy-mm-dd"")&amp;""' and Col2 &lt;= date '""&amp;TEXT(DATE(Z$8,12,31),""yyyy-mm-dd"")&amp;""' label sum(Col16) ''"",0)))"),"")</f>
        <v/>
      </c>
      <c r="AA122" s="587"/>
      <c r="AB122" s="578" t="s">
        <v>123</v>
      </c>
      <c r="AC122" s="601"/>
      <c r="AD122" s="636"/>
      <c r="AE122" s="636"/>
    </row>
    <row r="123">
      <c r="A123" s="576"/>
      <c r="B123" s="620"/>
      <c r="C123" s="637"/>
      <c r="D123" s="633"/>
      <c r="E123" s="633"/>
      <c r="F123" s="624">
        <v>113.0</v>
      </c>
      <c r="G123" s="635"/>
      <c r="H123" s="626" t="str">
        <f>if(G123="","",IFERROR(VLOOKUP(G123,AtivosDados,MATCH("provento_avg",portfolio.!$A$3:AE$3,0),FALSE),""))</f>
        <v/>
      </c>
      <c r="I123" s="627" t="s">
        <v>123</v>
      </c>
      <c r="J123" s="628" t="str">
        <f>IFERROR(__xludf.DUMMYFUNCTION("IF($G123="""","""",IFERROR(query({proventos!$B$5:$Q310},""Select sum(Col16) where Col1 = '""&amp;$G123&amp;""' and Col2 &gt; date '""&amp;TEXT(K$8,""yyyy-mm-dd"")&amp;""' and Col2 &lt;= date '""&amp;TEXT(J$8,""yyyy-mm-dd"")&amp;""' label sum(Col16) ''"",0)))"),"")</f>
        <v/>
      </c>
      <c r="K123" s="628" t="str">
        <f>IFERROR(__xludf.DUMMYFUNCTION("IF($G123="""","""",IFERROR(query({proventos!$B$5:$Q310},""Select sum(Col16) where Col1 = '""&amp;$G123&amp;""' and Col2 &gt; date '""&amp;TEXT(L$8,""yyyy-mm-dd"")&amp;""' and Col2 &lt;= date '""&amp;TEXT(K$8,""yyyy-mm-dd"")&amp;""' label sum(Col16) ''"",0)))"),"")</f>
        <v/>
      </c>
      <c r="L123" s="628" t="str">
        <f>IFERROR(__xludf.DUMMYFUNCTION("IF($G123="""","""",IFERROR(query({proventos!$B$5:$Q310},""Select sum(Col16) where Col1 = '""&amp;$G123&amp;""' and Col2 &gt; date '""&amp;TEXT(M$8,""yyyy-mm-dd"")&amp;""' and Col2 &lt;= date '""&amp;TEXT(L$8,""yyyy-mm-dd"")&amp;""' label sum(Col16) ''"",0)))"),"")</f>
        <v/>
      </c>
      <c r="M123" s="628" t="str">
        <f>IFERROR(__xludf.DUMMYFUNCTION("IF($G123="""","""",IFERROR(query({proventos!$B$5:$Q310},""Select sum(Col16) where Col1 = '""&amp;$G123&amp;""' and Col2 &gt; date '""&amp;TEXT(N$8,""yyyy-mm-dd"")&amp;""' and Col2 &lt;= date '""&amp;TEXT(M$8,""yyyy-mm-dd"")&amp;""' label sum(Col16) ''"",0)))"),"")</f>
        <v/>
      </c>
      <c r="N123" s="628" t="str">
        <f>IFERROR(__xludf.DUMMYFUNCTION("IF($G123="""","""",IFERROR(query({proventos!$B$5:$Q310},""Select sum(Col16) where Col1 = '""&amp;$G123&amp;""' and Col2 &gt; date '""&amp;TEXT(O$8,""yyyy-mm-dd"")&amp;""' and Col2 &lt;= date '""&amp;TEXT(N$8,""yyyy-mm-dd"")&amp;""' label sum(Col16) ''"",0)))"),"")</f>
        <v/>
      </c>
      <c r="O123" s="628" t="str">
        <f>IFERROR(__xludf.DUMMYFUNCTION("IF($G123="""","""",IFERROR(query({proventos!$B$5:$Q310},""Select sum(Col16) where Col1 = '""&amp;$G123&amp;""' and Col2 &gt; date '""&amp;TEXT(P$8,""yyyy-mm-dd"")&amp;""' and Col2 &lt;= date '""&amp;TEXT(O$8,""yyyy-mm-dd"")&amp;""' label sum(Col16) ''"",0)))"),"")</f>
        <v/>
      </c>
      <c r="P123" s="628" t="str">
        <f>IFERROR(__xludf.DUMMYFUNCTION("IF($G123="""","""",IFERROR(query({proventos!$B$5:$Q310},""Select sum(Col16) where Col1 = '""&amp;$G123&amp;""' and Col2 &gt; date '""&amp;TEXT(Q$8,""yyyy-mm-dd"")&amp;""' and Col2 &lt;= date '""&amp;TEXT(P$8,""yyyy-mm-dd"")&amp;""' label sum(Col16) ''"",0)))"),"")</f>
        <v/>
      </c>
      <c r="Q123" s="628" t="str">
        <f>IFERROR(__xludf.DUMMYFUNCTION("IF($G123="""","""",IFERROR(query({proventos!$B$5:$Q310},""Select sum(Col16) where Col1 = '""&amp;$G123&amp;""' and Col2 &gt; date '""&amp;TEXT(R$8,""yyyy-mm-dd"")&amp;""' and Col2 &lt;= date '""&amp;TEXT(Q$8,""yyyy-mm-dd"")&amp;""' label sum(Col16) ''"",0)))"),"")</f>
        <v/>
      </c>
      <c r="R123" s="628" t="str">
        <f>IFERROR(__xludf.DUMMYFUNCTION("IF($G123="""","""",IFERROR(query({proventos!$B$5:$Q310},""Select sum(Col16) where Col1 = '""&amp;$G123&amp;""' and Col2 &gt; date '""&amp;TEXT(S$8,""yyyy-mm-dd"")&amp;""' and Col2 &lt;= date '""&amp;TEXT(R$8,""yyyy-mm-dd"")&amp;""' label sum(Col16) ''"",0)))"),"")</f>
        <v/>
      </c>
      <c r="S123" s="628" t="str">
        <f>IFERROR(__xludf.DUMMYFUNCTION("IF($G123="""","""",IFERROR(query({proventos!$B$5:$Q310},""Select sum(Col16) where Col1 = '""&amp;$G123&amp;""' and Col2 &gt; date '""&amp;TEXT(T$8,""yyyy-mm-dd"")&amp;""' and Col2 &lt;= date '""&amp;TEXT(S$8,""yyyy-mm-dd"")&amp;""' label sum(Col16) ''"",0)))"),"")</f>
        <v/>
      </c>
      <c r="T123" s="628" t="str">
        <f>IFERROR(__xludf.DUMMYFUNCTION("IF($G123="""","""",IFERROR(query({proventos!$B$5:$Q310},""Select sum(Col16) where Col1 = '""&amp;$G123&amp;""' and Col2 &gt; date '""&amp;TEXT(U$8,""yyyy-mm-dd"")&amp;""' and Col2 &lt;= date '""&amp;TEXT(T$8,""yyyy-mm-dd"")&amp;""' label sum(Col16) ''"",0)))"),"")</f>
        <v/>
      </c>
      <c r="U123" s="629" t="str">
        <f>IFERROR(__xludf.DUMMYFUNCTION("IF($G123="""","""",IFERROR(query({proventos!$B$5:$Q310},""Select sum(Col16) where Col1 = '""&amp;$G123&amp;""' and Col2 &gt; date '""&amp;TEXT(EOMONTH(TODAY(),-13),""yyyy-mm-dd"")&amp;""' and Col2 &lt;= date '""&amp;TEXT(U$8,""yyyy-mm-dd"")&amp;""' label sum(Col16) ''"",0)))"),"")</f>
        <v/>
      </c>
      <c r="V123" s="630" t="str">
        <f>IFERROR(__xludf.DUMMYFUNCTION("IF($G123="""","""",IFERROR(query({proventos!$B$5:$Q310},""Select sum(Col16) where Col1 = '""&amp;$G123&amp;""' and Col2 &gt; date '""&amp;TEXT(DATE(V$8,1,1),""yyyy-mm-dd"")&amp;""' and Col2 &lt;= date '""&amp;TEXT(DATE(V$8,12,31),""yyyy-mm-dd"")&amp;""' label sum(Col16) ''"",0)))"),"")</f>
        <v/>
      </c>
      <c r="W123" s="630" t="str">
        <f>IFERROR(__xludf.DUMMYFUNCTION("IF($G123="""","""",IFERROR(query({proventos!$B$5:$Q310},""Select sum(Col16) where Col1 = '""&amp;$G123&amp;""' and Col2 &gt; date '""&amp;TEXT(DATE(W$8,1,1),""yyyy-mm-dd"")&amp;""' and Col2 &lt;= date '""&amp;TEXT(DATE(W$8,12,31),""yyyy-mm-dd"")&amp;""' label sum(Col16) ''"",0)))"),"")</f>
        <v/>
      </c>
      <c r="X123" s="630" t="str">
        <f>IFERROR(__xludf.DUMMYFUNCTION("IF($G123="""","""",IFERROR(query({proventos!$B$5:$Q310},""Select sum(Col16) where Col1 = '""&amp;$G123&amp;""' and Col2 &gt; date '""&amp;TEXT(DATE(X$8,1,1),""yyyy-mm-dd"")&amp;""' and Col2 &lt;= date '""&amp;TEXT(DATE(X$8,12,31),""yyyy-mm-dd"")&amp;""' label sum(Col16) ''"",0)))"),"")</f>
        <v/>
      </c>
      <c r="Y123" s="630" t="str">
        <f>IFERROR(__xludf.DUMMYFUNCTION("IF($G123="""","""",IFERROR(query({proventos!$B$5:$Q310},""Select sum(Col16) where Col1 = '""&amp;$G123&amp;""' and Col2 &gt; date '""&amp;TEXT(DATE(Y$8,1,1),""yyyy-mm-dd"")&amp;""' and Col2 &lt;= date '""&amp;TEXT(DATE(Y$8,12,31),""yyyy-mm-dd"")&amp;""' label sum(Col16) ''"",0)))"),"")</f>
        <v/>
      </c>
      <c r="Z123" s="630" t="str">
        <f>IFERROR(__xludf.DUMMYFUNCTION("IF($G123="""","""",IFERROR(query({proventos!$B$5:$Q310},""Select sum(Col16) where Col1 = '""&amp;$G123&amp;""' and Col2 &gt; date '""&amp;TEXT(DATE(Z$8,1,1),""yyyy-mm-dd"")&amp;""' and Col2 &lt;= date '""&amp;TEXT(DATE(Z$8,12,31),""yyyy-mm-dd"")&amp;""' label sum(Col16) ''"",0)))"),"")</f>
        <v/>
      </c>
      <c r="AA123" s="587"/>
      <c r="AB123" s="578" t="s">
        <v>123</v>
      </c>
      <c r="AC123" s="601"/>
      <c r="AD123" s="636"/>
      <c r="AE123" s="636"/>
    </row>
    <row r="124">
      <c r="A124" s="576"/>
      <c r="B124" s="620"/>
      <c r="C124" s="637"/>
      <c r="D124" s="633"/>
      <c r="E124" s="633"/>
      <c r="F124" s="624">
        <v>114.0</v>
      </c>
      <c r="G124" s="635"/>
      <c r="H124" s="626" t="str">
        <f>if(G124="","",IFERROR(VLOOKUP(G124,AtivosDados,MATCH("provento_avg",portfolio.!$A$3:AE$3,0),FALSE),""))</f>
        <v/>
      </c>
      <c r="I124" s="627" t="s">
        <v>123</v>
      </c>
      <c r="J124" s="628" t="str">
        <f>IFERROR(__xludf.DUMMYFUNCTION("IF($G124="""","""",IFERROR(query({proventos!$B$5:$Q310},""Select sum(Col16) where Col1 = '""&amp;$G124&amp;""' and Col2 &gt; date '""&amp;TEXT(K$8,""yyyy-mm-dd"")&amp;""' and Col2 &lt;= date '""&amp;TEXT(J$8,""yyyy-mm-dd"")&amp;""' label sum(Col16) ''"",0)))"),"")</f>
        <v/>
      </c>
      <c r="K124" s="628" t="str">
        <f>IFERROR(__xludf.DUMMYFUNCTION("IF($G124="""","""",IFERROR(query({proventos!$B$5:$Q310},""Select sum(Col16) where Col1 = '""&amp;$G124&amp;""' and Col2 &gt; date '""&amp;TEXT(L$8,""yyyy-mm-dd"")&amp;""' and Col2 &lt;= date '""&amp;TEXT(K$8,""yyyy-mm-dd"")&amp;""' label sum(Col16) ''"",0)))"),"")</f>
        <v/>
      </c>
      <c r="L124" s="628" t="str">
        <f>IFERROR(__xludf.DUMMYFUNCTION("IF($G124="""","""",IFERROR(query({proventos!$B$5:$Q310},""Select sum(Col16) where Col1 = '""&amp;$G124&amp;""' and Col2 &gt; date '""&amp;TEXT(M$8,""yyyy-mm-dd"")&amp;""' and Col2 &lt;= date '""&amp;TEXT(L$8,""yyyy-mm-dd"")&amp;""' label sum(Col16) ''"",0)))"),"")</f>
        <v/>
      </c>
      <c r="M124" s="628" t="str">
        <f>IFERROR(__xludf.DUMMYFUNCTION("IF($G124="""","""",IFERROR(query({proventos!$B$5:$Q310},""Select sum(Col16) where Col1 = '""&amp;$G124&amp;""' and Col2 &gt; date '""&amp;TEXT(N$8,""yyyy-mm-dd"")&amp;""' and Col2 &lt;= date '""&amp;TEXT(M$8,""yyyy-mm-dd"")&amp;""' label sum(Col16) ''"",0)))"),"")</f>
        <v/>
      </c>
      <c r="N124" s="628" t="str">
        <f>IFERROR(__xludf.DUMMYFUNCTION("IF($G124="""","""",IFERROR(query({proventos!$B$5:$Q310},""Select sum(Col16) where Col1 = '""&amp;$G124&amp;""' and Col2 &gt; date '""&amp;TEXT(O$8,""yyyy-mm-dd"")&amp;""' and Col2 &lt;= date '""&amp;TEXT(N$8,""yyyy-mm-dd"")&amp;""' label sum(Col16) ''"",0)))"),"")</f>
        <v/>
      </c>
      <c r="O124" s="628" t="str">
        <f>IFERROR(__xludf.DUMMYFUNCTION("IF($G124="""","""",IFERROR(query({proventos!$B$5:$Q310},""Select sum(Col16) where Col1 = '""&amp;$G124&amp;""' and Col2 &gt; date '""&amp;TEXT(P$8,""yyyy-mm-dd"")&amp;""' and Col2 &lt;= date '""&amp;TEXT(O$8,""yyyy-mm-dd"")&amp;""' label sum(Col16) ''"",0)))"),"")</f>
        <v/>
      </c>
      <c r="P124" s="628" t="str">
        <f>IFERROR(__xludf.DUMMYFUNCTION("IF($G124="""","""",IFERROR(query({proventos!$B$5:$Q310},""Select sum(Col16) where Col1 = '""&amp;$G124&amp;""' and Col2 &gt; date '""&amp;TEXT(Q$8,""yyyy-mm-dd"")&amp;""' and Col2 &lt;= date '""&amp;TEXT(P$8,""yyyy-mm-dd"")&amp;""' label sum(Col16) ''"",0)))"),"")</f>
        <v/>
      </c>
      <c r="Q124" s="628" t="str">
        <f>IFERROR(__xludf.DUMMYFUNCTION("IF($G124="""","""",IFERROR(query({proventos!$B$5:$Q310},""Select sum(Col16) where Col1 = '""&amp;$G124&amp;""' and Col2 &gt; date '""&amp;TEXT(R$8,""yyyy-mm-dd"")&amp;""' and Col2 &lt;= date '""&amp;TEXT(Q$8,""yyyy-mm-dd"")&amp;""' label sum(Col16) ''"",0)))"),"")</f>
        <v/>
      </c>
      <c r="R124" s="628" t="str">
        <f>IFERROR(__xludf.DUMMYFUNCTION("IF($G124="""","""",IFERROR(query({proventos!$B$5:$Q310},""Select sum(Col16) where Col1 = '""&amp;$G124&amp;""' and Col2 &gt; date '""&amp;TEXT(S$8,""yyyy-mm-dd"")&amp;""' and Col2 &lt;= date '""&amp;TEXT(R$8,""yyyy-mm-dd"")&amp;""' label sum(Col16) ''"",0)))"),"")</f>
        <v/>
      </c>
      <c r="S124" s="628" t="str">
        <f>IFERROR(__xludf.DUMMYFUNCTION("IF($G124="""","""",IFERROR(query({proventos!$B$5:$Q310},""Select sum(Col16) where Col1 = '""&amp;$G124&amp;""' and Col2 &gt; date '""&amp;TEXT(T$8,""yyyy-mm-dd"")&amp;""' and Col2 &lt;= date '""&amp;TEXT(S$8,""yyyy-mm-dd"")&amp;""' label sum(Col16) ''"",0)))"),"")</f>
        <v/>
      </c>
      <c r="T124" s="628" t="str">
        <f>IFERROR(__xludf.DUMMYFUNCTION("IF($G124="""","""",IFERROR(query({proventos!$B$5:$Q310},""Select sum(Col16) where Col1 = '""&amp;$G124&amp;""' and Col2 &gt; date '""&amp;TEXT(U$8,""yyyy-mm-dd"")&amp;""' and Col2 &lt;= date '""&amp;TEXT(T$8,""yyyy-mm-dd"")&amp;""' label sum(Col16) ''"",0)))"),"")</f>
        <v/>
      </c>
      <c r="U124" s="629" t="str">
        <f>IFERROR(__xludf.DUMMYFUNCTION("IF($G124="""","""",IFERROR(query({proventos!$B$5:$Q310},""Select sum(Col16) where Col1 = '""&amp;$G124&amp;""' and Col2 &gt; date '""&amp;TEXT(EOMONTH(TODAY(),-13),""yyyy-mm-dd"")&amp;""' and Col2 &lt;= date '""&amp;TEXT(U$8,""yyyy-mm-dd"")&amp;""' label sum(Col16) ''"",0)))"),"")</f>
        <v/>
      </c>
      <c r="V124" s="630" t="str">
        <f>IFERROR(__xludf.DUMMYFUNCTION("IF($G124="""","""",IFERROR(query({proventos!$B$5:$Q310},""Select sum(Col16) where Col1 = '""&amp;$G124&amp;""' and Col2 &gt; date '""&amp;TEXT(DATE(V$8,1,1),""yyyy-mm-dd"")&amp;""' and Col2 &lt;= date '""&amp;TEXT(DATE(V$8,12,31),""yyyy-mm-dd"")&amp;""' label sum(Col16) ''"",0)))"),"")</f>
        <v/>
      </c>
      <c r="W124" s="630" t="str">
        <f>IFERROR(__xludf.DUMMYFUNCTION("IF($G124="""","""",IFERROR(query({proventos!$B$5:$Q310},""Select sum(Col16) where Col1 = '""&amp;$G124&amp;""' and Col2 &gt; date '""&amp;TEXT(DATE(W$8,1,1),""yyyy-mm-dd"")&amp;""' and Col2 &lt;= date '""&amp;TEXT(DATE(W$8,12,31),""yyyy-mm-dd"")&amp;""' label sum(Col16) ''"",0)))"),"")</f>
        <v/>
      </c>
      <c r="X124" s="630" t="str">
        <f>IFERROR(__xludf.DUMMYFUNCTION("IF($G124="""","""",IFERROR(query({proventos!$B$5:$Q310},""Select sum(Col16) where Col1 = '""&amp;$G124&amp;""' and Col2 &gt; date '""&amp;TEXT(DATE(X$8,1,1),""yyyy-mm-dd"")&amp;""' and Col2 &lt;= date '""&amp;TEXT(DATE(X$8,12,31),""yyyy-mm-dd"")&amp;""' label sum(Col16) ''"",0)))"),"")</f>
        <v/>
      </c>
      <c r="Y124" s="630" t="str">
        <f>IFERROR(__xludf.DUMMYFUNCTION("IF($G124="""","""",IFERROR(query({proventos!$B$5:$Q310},""Select sum(Col16) where Col1 = '""&amp;$G124&amp;""' and Col2 &gt; date '""&amp;TEXT(DATE(Y$8,1,1),""yyyy-mm-dd"")&amp;""' and Col2 &lt;= date '""&amp;TEXT(DATE(Y$8,12,31),""yyyy-mm-dd"")&amp;""' label sum(Col16) ''"",0)))"),"")</f>
        <v/>
      </c>
      <c r="Z124" s="630" t="str">
        <f>IFERROR(__xludf.DUMMYFUNCTION("IF($G124="""","""",IFERROR(query({proventos!$B$5:$Q310},""Select sum(Col16) where Col1 = '""&amp;$G124&amp;""' and Col2 &gt; date '""&amp;TEXT(DATE(Z$8,1,1),""yyyy-mm-dd"")&amp;""' and Col2 &lt;= date '""&amp;TEXT(DATE(Z$8,12,31),""yyyy-mm-dd"")&amp;""' label sum(Col16) ''"",0)))"),"")</f>
        <v/>
      </c>
      <c r="AA124" s="587"/>
      <c r="AB124" s="578" t="s">
        <v>123</v>
      </c>
      <c r="AC124" s="601"/>
      <c r="AD124" s="636"/>
      <c r="AE124" s="636"/>
    </row>
    <row r="125">
      <c r="A125" s="576"/>
      <c r="B125" s="620"/>
      <c r="C125" s="637"/>
      <c r="D125" s="633"/>
      <c r="E125" s="633"/>
      <c r="F125" s="624">
        <v>115.0</v>
      </c>
      <c r="G125" s="635"/>
      <c r="H125" s="626" t="str">
        <f>if(G125="","",IFERROR(VLOOKUP(G125,AtivosDados,MATCH("provento_avg",portfolio.!$A$3:AE$3,0),FALSE),""))</f>
        <v/>
      </c>
      <c r="I125" s="627" t="s">
        <v>123</v>
      </c>
      <c r="J125" s="628" t="str">
        <f>IFERROR(__xludf.DUMMYFUNCTION("IF($G125="""","""",IFERROR(query({proventos!$B$5:$Q310},""Select sum(Col16) where Col1 = '""&amp;$G125&amp;""' and Col2 &gt; date '""&amp;TEXT(K$8,""yyyy-mm-dd"")&amp;""' and Col2 &lt;= date '""&amp;TEXT(J$8,""yyyy-mm-dd"")&amp;""' label sum(Col16) ''"",0)))"),"")</f>
        <v/>
      </c>
      <c r="K125" s="628" t="str">
        <f>IFERROR(__xludf.DUMMYFUNCTION("IF($G125="""","""",IFERROR(query({proventos!$B$5:$Q310},""Select sum(Col16) where Col1 = '""&amp;$G125&amp;""' and Col2 &gt; date '""&amp;TEXT(L$8,""yyyy-mm-dd"")&amp;""' and Col2 &lt;= date '""&amp;TEXT(K$8,""yyyy-mm-dd"")&amp;""' label sum(Col16) ''"",0)))"),"")</f>
        <v/>
      </c>
      <c r="L125" s="628" t="str">
        <f>IFERROR(__xludf.DUMMYFUNCTION("IF($G125="""","""",IFERROR(query({proventos!$B$5:$Q310},""Select sum(Col16) where Col1 = '""&amp;$G125&amp;""' and Col2 &gt; date '""&amp;TEXT(M$8,""yyyy-mm-dd"")&amp;""' and Col2 &lt;= date '""&amp;TEXT(L$8,""yyyy-mm-dd"")&amp;""' label sum(Col16) ''"",0)))"),"")</f>
        <v/>
      </c>
      <c r="M125" s="628" t="str">
        <f>IFERROR(__xludf.DUMMYFUNCTION("IF($G125="""","""",IFERROR(query({proventos!$B$5:$Q310},""Select sum(Col16) where Col1 = '""&amp;$G125&amp;""' and Col2 &gt; date '""&amp;TEXT(N$8,""yyyy-mm-dd"")&amp;""' and Col2 &lt;= date '""&amp;TEXT(M$8,""yyyy-mm-dd"")&amp;""' label sum(Col16) ''"",0)))"),"")</f>
        <v/>
      </c>
      <c r="N125" s="628" t="str">
        <f>IFERROR(__xludf.DUMMYFUNCTION("IF($G125="""","""",IFERROR(query({proventos!$B$5:$Q310},""Select sum(Col16) where Col1 = '""&amp;$G125&amp;""' and Col2 &gt; date '""&amp;TEXT(O$8,""yyyy-mm-dd"")&amp;""' and Col2 &lt;= date '""&amp;TEXT(N$8,""yyyy-mm-dd"")&amp;""' label sum(Col16) ''"",0)))"),"")</f>
        <v/>
      </c>
      <c r="O125" s="628" t="str">
        <f>IFERROR(__xludf.DUMMYFUNCTION("IF($G125="""","""",IFERROR(query({proventos!$B$5:$Q310},""Select sum(Col16) where Col1 = '""&amp;$G125&amp;""' and Col2 &gt; date '""&amp;TEXT(P$8,""yyyy-mm-dd"")&amp;""' and Col2 &lt;= date '""&amp;TEXT(O$8,""yyyy-mm-dd"")&amp;""' label sum(Col16) ''"",0)))"),"")</f>
        <v/>
      </c>
      <c r="P125" s="628" t="str">
        <f>IFERROR(__xludf.DUMMYFUNCTION("IF($G125="""","""",IFERROR(query({proventos!$B$5:$Q310},""Select sum(Col16) where Col1 = '""&amp;$G125&amp;""' and Col2 &gt; date '""&amp;TEXT(Q$8,""yyyy-mm-dd"")&amp;""' and Col2 &lt;= date '""&amp;TEXT(P$8,""yyyy-mm-dd"")&amp;""' label sum(Col16) ''"",0)))"),"")</f>
        <v/>
      </c>
      <c r="Q125" s="628" t="str">
        <f>IFERROR(__xludf.DUMMYFUNCTION("IF($G125="""","""",IFERROR(query({proventos!$B$5:$Q310},""Select sum(Col16) where Col1 = '""&amp;$G125&amp;""' and Col2 &gt; date '""&amp;TEXT(R$8,""yyyy-mm-dd"")&amp;""' and Col2 &lt;= date '""&amp;TEXT(Q$8,""yyyy-mm-dd"")&amp;""' label sum(Col16) ''"",0)))"),"")</f>
        <v/>
      </c>
      <c r="R125" s="628" t="str">
        <f>IFERROR(__xludf.DUMMYFUNCTION("IF($G125="""","""",IFERROR(query({proventos!$B$5:$Q310},""Select sum(Col16) where Col1 = '""&amp;$G125&amp;""' and Col2 &gt; date '""&amp;TEXT(S$8,""yyyy-mm-dd"")&amp;""' and Col2 &lt;= date '""&amp;TEXT(R$8,""yyyy-mm-dd"")&amp;""' label sum(Col16) ''"",0)))"),"")</f>
        <v/>
      </c>
      <c r="S125" s="628" t="str">
        <f>IFERROR(__xludf.DUMMYFUNCTION("IF($G125="""","""",IFERROR(query({proventos!$B$5:$Q310},""Select sum(Col16) where Col1 = '""&amp;$G125&amp;""' and Col2 &gt; date '""&amp;TEXT(T$8,""yyyy-mm-dd"")&amp;""' and Col2 &lt;= date '""&amp;TEXT(S$8,""yyyy-mm-dd"")&amp;""' label sum(Col16) ''"",0)))"),"")</f>
        <v/>
      </c>
      <c r="T125" s="628" t="str">
        <f>IFERROR(__xludf.DUMMYFUNCTION("IF($G125="""","""",IFERROR(query({proventos!$B$5:$Q310},""Select sum(Col16) where Col1 = '""&amp;$G125&amp;""' and Col2 &gt; date '""&amp;TEXT(U$8,""yyyy-mm-dd"")&amp;""' and Col2 &lt;= date '""&amp;TEXT(T$8,""yyyy-mm-dd"")&amp;""' label sum(Col16) ''"",0)))"),"")</f>
        <v/>
      </c>
      <c r="U125" s="629" t="str">
        <f>IFERROR(__xludf.DUMMYFUNCTION("IF($G125="""","""",IFERROR(query({proventos!$B$5:$Q310},""Select sum(Col16) where Col1 = '""&amp;$G125&amp;""' and Col2 &gt; date '""&amp;TEXT(EOMONTH(TODAY(),-13),""yyyy-mm-dd"")&amp;""' and Col2 &lt;= date '""&amp;TEXT(U$8,""yyyy-mm-dd"")&amp;""' label sum(Col16) ''"",0)))"),"")</f>
        <v/>
      </c>
      <c r="V125" s="630" t="str">
        <f>IFERROR(__xludf.DUMMYFUNCTION("IF($G125="""","""",IFERROR(query({proventos!$B$5:$Q310},""Select sum(Col16) where Col1 = '""&amp;$G125&amp;""' and Col2 &gt; date '""&amp;TEXT(DATE(V$8,1,1),""yyyy-mm-dd"")&amp;""' and Col2 &lt;= date '""&amp;TEXT(DATE(V$8,12,31),""yyyy-mm-dd"")&amp;""' label sum(Col16) ''"",0)))"),"")</f>
        <v/>
      </c>
      <c r="W125" s="630" t="str">
        <f>IFERROR(__xludf.DUMMYFUNCTION("IF($G125="""","""",IFERROR(query({proventos!$B$5:$Q310},""Select sum(Col16) where Col1 = '""&amp;$G125&amp;""' and Col2 &gt; date '""&amp;TEXT(DATE(W$8,1,1),""yyyy-mm-dd"")&amp;""' and Col2 &lt;= date '""&amp;TEXT(DATE(W$8,12,31),""yyyy-mm-dd"")&amp;""' label sum(Col16) ''"",0)))"),"")</f>
        <v/>
      </c>
      <c r="X125" s="630" t="str">
        <f>IFERROR(__xludf.DUMMYFUNCTION("IF($G125="""","""",IFERROR(query({proventos!$B$5:$Q310},""Select sum(Col16) where Col1 = '""&amp;$G125&amp;""' and Col2 &gt; date '""&amp;TEXT(DATE(X$8,1,1),""yyyy-mm-dd"")&amp;""' and Col2 &lt;= date '""&amp;TEXT(DATE(X$8,12,31),""yyyy-mm-dd"")&amp;""' label sum(Col16) ''"",0)))"),"")</f>
        <v/>
      </c>
      <c r="Y125" s="630" t="str">
        <f>IFERROR(__xludf.DUMMYFUNCTION("IF($G125="""","""",IFERROR(query({proventos!$B$5:$Q310},""Select sum(Col16) where Col1 = '""&amp;$G125&amp;""' and Col2 &gt; date '""&amp;TEXT(DATE(Y$8,1,1),""yyyy-mm-dd"")&amp;""' and Col2 &lt;= date '""&amp;TEXT(DATE(Y$8,12,31),""yyyy-mm-dd"")&amp;""' label sum(Col16) ''"",0)))"),"")</f>
        <v/>
      </c>
      <c r="Z125" s="630" t="str">
        <f>IFERROR(__xludf.DUMMYFUNCTION("IF($G125="""","""",IFERROR(query({proventos!$B$5:$Q310},""Select sum(Col16) where Col1 = '""&amp;$G125&amp;""' and Col2 &gt; date '""&amp;TEXT(DATE(Z$8,1,1),""yyyy-mm-dd"")&amp;""' and Col2 &lt;= date '""&amp;TEXT(DATE(Z$8,12,31),""yyyy-mm-dd"")&amp;""' label sum(Col16) ''"",0)))"),"")</f>
        <v/>
      </c>
      <c r="AA125" s="587"/>
      <c r="AB125" s="578" t="s">
        <v>123</v>
      </c>
      <c r="AC125" s="601"/>
      <c r="AD125" s="636"/>
      <c r="AE125" s="636"/>
    </row>
    <row r="126">
      <c r="A126" s="576"/>
      <c r="B126" s="620"/>
      <c r="C126" s="637"/>
      <c r="D126" s="633"/>
      <c r="E126" s="633"/>
      <c r="F126" s="624">
        <v>116.0</v>
      </c>
      <c r="G126" s="635"/>
      <c r="H126" s="626" t="str">
        <f>if(G126="","",IFERROR(VLOOKUP(G126,AtivosDados,MATCH("provento_avg",portfolio.!$A$3:AE$3,0),FALSE),""))</f>
        <v/>
      </c>
      <c r="I126" s="627" t="s">
        <v>123</v>
      </c>
      <c r="J126" s="628" t="str">
        <f>IFERROR(__xludf.DUMMYFUNCTION("IF($G126="""","""",IFERROR(query({proventos!$B$5:$Q310},""Select sum(Col16) where Col1 = '""&amp;$G126&amp;""' and Col2 &gt; date '""&amp;TEXT(K$8,""yyyy-mm-dd"")&amp;""' and Col2 &lt;= date '""&amp;TEXT(J$8,""yyyy-mm-dd"")&amp;""' label sum(Col16) ''"",0)))"),"")</f>
        <v/>
      </c>
      <c r="K126" s="628" t="str">
        <f>IFERROR(__xludf.DUMMYFUNCTION("IF($G126="""","""",IFERROR(query({proventos!$B$5:$Q310},""Select sum(Col16) where Col1 = '""&amp;$G126&amp;""' and Col2 &gt; date '""&amp;TEXT(L$8,""yyyy-mm-dd"")&amp;""' and Col2 &lt;= date '""&amp;TEXT(K$8,""yyyy-mm-dd"")&amp;""' label sum(Col16) ''"",0)))"),"")</f>
        <v/>
      </c>
      <c r="L126" s="628" t="str">
        <f>IFERROR(__xludf.DUMMYFUNCTION("IF($G126="""","""",IFERROR(query({proventos!$B$5:$Q310},""Select sum(Col16) where Col1 = '""&amp;$G126&amp;""' and Col2 &gt; date '""&amp;TEXT(M$8,""yyyy-mm-dd"")&amp;""' and Col2 &lt;= date '""&amp;TEXT(L$8,""yyyy-mm-dd"")&amp;""' label sum(Col16) ''"",0)))"),"")</f>
        <v/>
      </c>
      <c r="M126" s="628" t="str">
        <f>IFERROR(__xludf.DUMMYFUNCTION("IF($G126="""","""",IFERROR(query({proventos!$B$5:$Q310},""Select sum(Col16) where Col1 = '""&amp;$G126&amp;""' and Col2 &gt; date '""&amp;TEXT(N$8,""yyyy-mm-dd"")&amp;""' and Col2 &lt;= date '""&amp;TEXT(M$8,""yyyy-mm-dd"")&amp;""' label sum(Col16) ''"",0)))"),"")</f>
        <v/>
      </c>
      <c r="N126" s="628" t="str">
        <f>IFERROR(__xludf.DUMMYFUNCTION("IF($G126="""","""",IFERROR(query({proventos!$B$5:$Q310},""Select sum(Col16) where Col1 = '""&amp;$G126&amp;""' and Col2 &gt; date '""&amp;TEXT(O$8,""yyyy-mm-dd"")&amp;""' and Col2 &lt;= date '""&amp;TEXT(N$8,""yyyy-mm-dd"")&amp;""' label sum(Col16) ''"",0)))"),"")</f>
        <v/>
      </c>
      <c r="O126" s="628" t="str">
        <f>IFERROR(__xludf.DUMMYFUNCTION("IF($G126="""","""",IFERROR(query({proventos!$B$5:$Q310},""Select sum(Col16) where Col1 = '""&amp;$G126&amp;""' and Col2 &gt; date '""&amp;TEXT(P$8,""yyyy-mm-dd"")&amp;""' and Col2 &lt;= date '""&amp;TEXT(O$8,""yyyy-mm-dd"")&amp;""' label sum(Col16) ''"",0)))"),"")</f>
        <v/>
      </c>
      <c r="P126" s="628" t="str">
        <f>IFERROR(__xludf.DUMMYFUNCTION("IF($G126="""","""",IFERROR(query({proventos!$B$5:$Q310},""Select sum(Col16) where Col1 = '""&amp;$G126&amp;""' and Col2 &gt; date '""&amp;TEXT(Q$8,""yyyy-mm-dd"")&amp;""' and Col2 &lt;= date '""&amp;TEXT(P$8,""yyyy-mm-dd"")&amp;""' label sum(Col16) ''"",0)))"),"")</f>
        <v/>
      </c>
      <c r="Q126" s="628" t="str">
        <f>IFERROR(__xludf.DUMMYFUNCTION("IF($G126="""","""",IFERROR(query({proventos!$B$5:$Q310},""Select sum(Col16) where Col1 = '""&amp;$G126&amp;""' and Col2 &gt; date '""&amp;TEXT(R$8,""yyyy-mm-dd"")&amp;""' and Col2 &lt;= date '""&amp;TEXT(Q$8,""yyyy-mm-dd"")&amp;""' label sum(Col16) ''"",0)))"),"")</f>
        <v/>
      </c>
      <c r="R126" s="628" t="str">
        <f>IFERROR(__xludf.DUMMYFUNCTION("IF($G126="""","""",IFERROR(query({proventos!$B$5:$Q310},""Select sum(Col16) where Col1 = '""&amp;$G126&amp;""' and Col2 &gt; date '""&amp;TEXT(S$8,""yyyy-mm-dd"")&amp;""' and Col2 &lt;= date '""&amp;TEXT(R$8,""yyyy-mm-dd"")&amp;""' label sum(Col16) ''"",0)))"),"")</f>
        <v/>
      </c>
      <c r="S126" s="628" t="str">
        <f>IFERROR(__xludf.DUMMYFUNCTION("IF($G126="""","""",IFERROR(query({proventos!$B$5:$Q310},""Select sum(Col16) where Col1 = '""&amp;$G126&amp;""' and Col2 &gt; date '""&amp;TEXT(T$8,""yyyy-mm-dd"")&amp;""' and Col2 &lt;= date '""&amp;TEXT(S$8,""yyyy-mm-dd"")&amp;""' label sum(Col16) ''"",0)))"),"")</f>
        <v/>
      </c>
      <c r="T126" s="628" t="str">
        <f>IFERROR(__xludf.DUMMYFUNCTION("IF($G126="""","""",IFERROR(query({proventos!$B$5:$Q310},""Select sum(Col16) where Col1 = '""&amp;$G126&amp;""' and Col2 &gt; date '""&amp;TEXT(U$8,""yyyy-mm-dd"")&amp;""' and Col2 &lt;= date '""&amp;TEXT(T$8,""yyyy-mm-dd"")&amp;""' label sum(Col16) ''"",0)))"),"")</f>
        <v/>
      </c>
      <c r="U126" s="629" t="str">
        <f>IFERROR(__xludf.DUMMYFUNCTION("IF($G126="""","""",IFERROR(query({proventos!$B$5:$Q310},""Select sum(Col16) where Col1 = '""&amp;$G126&amp;""' and Col2 &gt; date '""&amp;TEXT(EOMONTH(TODAY(),-13),""yyyy-mm-dd"")&amp;""' and Col2 &lt;= date '""&amp;TEXT(U$8,""yyyy-mm-dd"")&amp;""' label sum(Col16) ''"",0)))"),"")</f>
        <v/>
      </c>
      <c r="V126" s="630" t="str">
        <f>IFERROR(__xludf.DUMMYFUNCTION("IF($G126="""","""",IFERROR(query({proventos!$B$5:$Q310},""Select sum(Col16) where Col1 = '""&amp;$G126&amp;""' and Col2 &gt; date '""&amp;TEXT(DATE(V$8,1,1),""yyyy-mm-dd"")&amp;""' and Col2 &lt;= date '""&amp;TEXT(DATE(V$8,12,31),""yyyy-mm-dd"")&amp;""' label sum(Col16) ''"",0)))"),"")</f>
        <v/>
      </c>
      <c r="W126" s="630" t="str">
        <f>IFERROR(__xludf.DUMMYFUNCTION("IF($G126="""","""",IFERROR(query({proventos!$B$5:$Q310},""Select sum(Col16) where Col1 = '""&amp;$G126&amp;""' and Col2 &gt; date '""&amp;TEXT(DATE(W$8,1,1),""yyyy-mm-dd"")&amp;""' and Col2 &lt;= date '""&amp;TEXT(DATE(W$8,12,31),""yyyy-mm-dd"")&amp;""' label sum(Col16) ''"",0)))"),"")</f>
        <v/>
      </c>
      <c r="X126" s="630" t="str">
        <f>IFERROR(__xludf.DUMMYFUNCTION("IF($G126="""","""",IFERROR(query({proventos!$B$5:$Q310},""Select sum(Col16) where Col1 = '""&amp;$G126&amp;""' and Col2 &gt; date '""&amp;TEXT(DATE(X$8,1,1),""yyyy-mm-dd"")&amp;""' and Col2 &lt;= date '""&amp;TEXT(DATE(X$8,12,31),""yyyy-mm-dd"")&amp;""' label sum(Col16) ''"",0)))"),"")</f>
        <v/>
      </c>
      <c r="Y126" s="630" t="str">
        <f>IFERROR(__xludf.DUMMYFUNCTION("IF($G126="""","""",IFERROR(query({proventos!$B$5:$Q310},""Select sum(Col16) where Col1 = '""&amp;$G126&amp;""' and Col2 &gt; date '""&amp;TEXT(DATE(Y$8,1,1),""yyyy-mm-dd"")&amp;""' and Col2 &lt;= date '""&amp;TEXT(DATE(Y$8,12,31),""yyyy-mm-dd"")&amp;""' label sum(Col16) ''"",0)))"),"")</f>
        <v/>
      </c>
      <c r="Z126" s="630" t="str">
        <f>IFERROR(__xludf.DUMMYFUNCTION("IF($G126="""","""",IFERROR(query({proventos!$B$5:$Q310},""Select sum(Col16) where Col1 = '""&amp;$G126&amp;""' and Col2 &gt; date '""&amp;TEXT(DATE(Z$8,1,1),""yyyy-mm-dd"")&amp;""' and Col2 &lt;= date '""&amp;TEXT(DATE(Z$8,12,31),""yyyy-mm-dd"")&amp;""' label sum(Col16) ''"",0)))"),"")</f>
        <v/>
      </c>
      <c r="AA126" s="587"/>
      <c r="AB126" s="578" t="s">
        <v>123</v>
      </c>
      <c r="AC126" s="601"/>
      <c r="AD126" s="636"/>
      <c r="AE126" s="636"/>
    </row>
    <row r="127">
      <c r="A127" s="576"/>
      <c r="B127" s="620"/>
      <c r="C127" s="637"/>
      <c r="D127" s="633"/>
      <c r="E127" s="633"/>
      <c r="F127" s="624">
        <v>117.0</v>
      </c>
      <c r="G127" s="635"/>
      <c r="H127" s="626" t="str">
        <f>if(G127="","",IFERROR(VLOOKUP(G127,AtivosDados,MATCH("provento_avg",portfolio.!$A$3:AE$3,0),FALSE),""))</f>
        <v/>
      </c>
      <c r="I127" s="627" t="s">
        <v>123</v>
      </c>
      <c r="J127" s="628" t="str">
        <f>IFERROR(__xludf.DUMMYFUNCTION("IF($G127="""","""",IFERROR(query({proventos!$B$5:$Q310},""Select sum(Col16) where Col1 = '""&amp;$G127&amp;""' and Col2 &gt; date '""&amp;TEXT(K$8,""yyyy-mm-dd"")&amp;""' and Col2 &lt;= date '""&amp;TEXT(J$8,""yyyy-mm-dd"")&amp;""' label sum(Col16) ''"",0)))"),"")</f>
        <v/>
      </c>
      <c r="K127" s="628" t="str">
        <f>IFERROR(__xludf.DUMMYFUNCTION("IF($G127="""","""",IFERROR(query({proventos!$B$5:$Q310},""Select sum(Col16) where Col1 = '""&amp;$G127&amp;""' and Col2 &gt; date '""&amp;TEXT(L$8,""yyyy-mm-dd"")&amp;""' and Col2 &lt;= date '""&amp;TEXT(K$8,""yyyy-mm-dd"")&amp;""' label sum(Col16) ''"",0)))"),"")</f>
        <v/>
      </c>
      <c r="L127" s="628" t="str">
        <f>IFERROR(__xludf.DUMMYFUNCTION("IF($G127="""","""",IFERROR(query({proventos!$B$5:$Q310},""Select sum(Col16) where Col1 = '""&amp;$G127&amp;""' and Col2 &gt; date '""&amp;TEXT(M$8,""yyyy-mm-dd"")&amp;""' and Col2 &lt;= date '""&amp;TEXT(L$8,""yyyy-mm-dd"")&amp;""' label sum(Col16) ''"",0)))"),"")</f>
        <v/>
      </c>
      <c r="M127" s="628" t="str">
        <f>IFERROR(__xludf.DUMMYFUNCTION("IF($G127="""","""",IFERROR(query({proventos!$B$5:$Q310},""Select sum(Col16) where Col1 = '""&amp;$G127&amp;""' and Col2 &gt; date '""&amp;TEXT(N$8,""yyyy-mm-dd"")&amp;""' and Col2 &lt;= date '""&amp;TEXT(M$8,""yyyy-mm-dd"")&amp;""' label sum(Col16) ''"",0)))"),"")</f>
        <v/>
      </c>
      <c r="N127" s="628" t="str">
        <f>IFERROR(__xludf.DUMMYFUNCTION("IF($G127="""","""",IFERROR(query({proventos!$B$5:$Q310},""Select sum(Col16) where Col1 = '""&amp;$G127&amp;""' and Col2 &gt; date '""&amp;TEXT(O$8,""yyyy-mm-dd"")&amp;""' and Col2 &lt;= date '""&amp;TEXT(N$8,""yyyy-mm-dd"")&amp;""' label sum(Col16) ''"",0)))"),"")</f>
        <v/>
      </c>
      <c r="O127" s="628" t="str">
        <f>IFERROR(__xludf.DUMMYFUNCTION("IF($G127="""","""",IFERROR(query({proventos!$B$5:$Q310},""Select sum(Col16) where Col1 = '""&amp;$G127&amp;""' and Col2 &gt; date '""&amp;TEXT(P$8,""yyyy-mm-dd"")&amp;""' and Col2 &lt;= date '""&amp;TEXT(O$8,""yyyy-mm-dd"")&amp;""' label sum(Col16) ''"",0)))"),"")</f>
        <v/>
      </c>
      <c r="P127" s="628" t="str">
        <f>IFERROR(__xludf.DUMMYFUNCTION("IF($G127="""","""",IFERROR(query({proventos!$B$5:$Q310},""Select sum(Col16) where Col1 = '""&amp;$G127&amp;""' and Col2 &gt; date '""&amp;TEXT(Q$8,""yyyy-mm-dd"")&amp;""' and Col2 &lt;= date '""&amp;TEXT(P$8,""yyyy-mm-dd"")&amp;""' label sum(Col16) ''"",0)))"),"")</f>
        <v/>
      </c>
      <c r="Q127" s="628" t="str">
        <f>IFERROR(__xludf.DUMMYFUNCTION("IF($G127="""","""",IFERROR(query({proventos!$B$5:$Q310},""Select sum(Col16) where Col1 = '""&amp;$G127&amp;""' and Col2 &gt; date '""&amp;TEXT(R$8,""yyyy-mm-dd"")&amp;""' and Col2 &lt;= date '""&amp;TEXT(Q$8,""yyyy-mm-dd"")&amp;""' label sum(Col16) ''"",0)))"),"")</f>
        <v/>
      </c>
      <c r="R127" s="628" t="str">
        <f>IFERROR(__xludf.DUMMYFUNCTION("IF($G127="""","""",IFERROR(query({proventos!$B$5:$Q310},""Select sum(Col16) where Col1 = '""&amp;$G127&amp;""' and Col2 &gt; date '""&amp;TEXT(S$8,""yyyy-mm-dd"")&amp;""' and Col2 &lt;= date '""&amp;TEXT(R$8,""yyyy-mm-dd"")&amp;""' label sum(Col16) ''"",0)))"),"")</f>
        <v/>
      </c>
      <c r="S127" s="628" t="str">
        <f>IFERROR(__xludf.DUMMYFUNCTION("IF($G127="""","""",IFERROR(query({proventos!$B$5:$Q310},""Select sum(Col16) where Col1 = '""&amp;$G127&amp;""' and Col2 &gt; date '""&amp;TEXT(T$8,""yyyy-mm-dd"")&amp;""' and Col2 &lt;= date '""&amp;TEXT(S$8,""yyyy-mm-dd"")&amp;""' label sum(Col16) ''"",0)))"),"")</f>
        <v/>
      </c>
      <c r="T127" s="628" t="str">
        <f>IFERROR(__xludf.DUMMYFUNCTION("IF($G127="""","""",IFERROR(query({proventos!$B$5:$Q310},""Select sum(Col16) where Col1 = '""&amp;$G127&amp;""' and Col2 &gt; date '""&amp;TEXT(U$8,""yyyy-mm-dd"")&amp;""' and Col2 &lt;= date '""&amp;TEXT(T$8,""yyyy-mm-dd"")&amp;""' label sum(Col16) ''"",0)))"),"")</f>
        <v/>
      </c>
      <c r="U127" s="629" t="str">
        <f>IFERROR(__xludf.DUMMYFUNCTION("IF($G127="""","""",IFERROR(query({proventos!$B$5:$Q310},""Select sum(Col16) where Col1 = '""&amp;$G127&amp;""' and Col2 &gt; date '""&amp;TEXT(EOMONTH(TODAY(),-13),""yyyy-mm-dd"")&amp;""' and Col2 &lt;= date '""&amp;TEXT(U$8,""yyyy-mm-dd"")&amp;""' label sum(Col16) ''"",0)))"),"")</f>
        <v/>
      </c>
      <c r="V127" s="630" t="str">
        <f>IFERROR(__xludf.DUMMYFUNCTION("IF($G127="""","""",IFERROR(query({proventos!$B$5:$Q310},""Select sum(Col16) where Col1 = '""&amp;$G127&amp;""' and Col2 &gt; date '""&amp;TEXT(DATE(V$8,1,1),""yyyy-mm-dd"")&amp;""' and Col2 &lt;= date '""&amp;TEXT(DATE(V$8,12,31),""yyyy-mm-dd"")&amp;""' label sum(Col16) ''"",0)))"),"")</f>
        <v/>
      </c>
      <c r="W127" s="630" t="str">
        <f>IFERROR(__xludf.DUMMYFUNCTION("IF($G127="""","""",IFERROR(query({proventos!$B$5:$Q310},""Select sum(Col16) where Col1 = '""&amp;$G127&amp;""' and Col2 &gt; date '""&amp;TEXT(DATE(W$8,1,1),""yyyy-mm-dd"")&amp;""' and Col2 &lt;= date '""&amp;TEXT(DATE(W$8,12,31),""yyyy-mm-dd"")&amp;""' label sum(Col16) ''"",0)))"),"")</f>
        <v/>
      </c>
      <c r="X127" s="630" t="str">
        <f>IFERROR(__xludf.DUMMYFUNCTION("IF($G127="""","""",IFERROR(query({proventos!$B$5:$Q310},""Select sum(Col16) where Col1 = '""&amp;$G127&amp;""' and Col2 &gt; date '""&amp;TEXT(DATE(X$8,1,1),""yyyy-mm-dd"")&amp;""' and Col2 &lt;= date '""&amp;TEXT(DATE(X$8,12,31),""yyyy-mm-dd"")&amp;""' label sum(Col16) ''"",0)))"),"")</f>
        <v/>
      </c>
      <c r="Y127" s="630" t="str">
        <f>IFERROR(__xludf.DUMMYFUNCTION("IF($G127="""","""",IFERROR(query({proventos!$B$5:$Q310},""Select sum(Col16) where Col1 = '""&amp;$G127&amp;""' and Col2 &gt; date '""&amp;TEXT(DATE(Y$8,1,1),""yyyy-mm-dd"")&amp;""' and Col2 &lt;= date '""&amp;TEXT(DATE(Y$8,12,31),""yyyy-mm-dd"")&amp;""' label sum(Col16) ''"",0)))"),"")</f>
        <v/>
      </c>
      <c r="Z127" s="630" t="str">
        <f>IFERROR(__xludf.DUMMYFUNCTION("IF($G127="""","""",IFERROR(query({proventos!$B$5:$Q310},""Select sum(Col16) where Col1 = '""&amp;$G127&amp;""' and Col2 &gt; date '""&amp;TEXT(DATE(Z$8,1,1),""yyyy-mm-dd"")&amp;""' and Col2 &lt;= date '""&amp;TEXT(DATE(Z$8,12,31),""yyyy-mm-dd"")&amp;""' label sum(Col16) ''"",0)))"),"")</f>
        <v/>
      </c>
      <c r="AA127" s="587"/>
      <c r="AB127" s="578" t="s">
        <v>123</v>
      </c>
      <c r="AC127" s="601"/>
      <c r="AD127" s="636"/>
      <c r="AE127" s="636"/>
    </row>
    <row r="128">
      <c r="A128" s="576"/>
      <c r="B128" s="620"/>
      <c r="C128" s="637"/>
      <c r="D128" s="633"/>
      <c r="E128" s="633"/>
      <c r="F128" s="624">
        <v>118.0</v>
      </c>
      <c r="G128" s="635"/>
      <c r="H128" s="626" t="str">
        <f>if(G128="","",IFERROR(VLOOKUP(G128,AtivosDados,MATCH("provento_avg",portfolio.!$A$3:AE$3,0),FALSE),""))</f>
        <v/>
      </c>
      <c r="I128" s="627" t="s">
        <v>123</v>
      </c>
      <c r="J128" s="628" t="str">
        <f>IFERROR(__xludf.DUMMYFUNCTION("IF($G128="""","""",IFERROR(query({proventos!$B$5:$Q310},""Select sum(Col16) where Col1 = '""&amp;$G128&amp;""' and Col2 &gt; date '""&amp;TEXT(K$8,""yyyy-mm-dd"")&amp;""' and Col2 &lt;= date '""&amp;TEXT(J$8,""yyyy-mm-dd"")&amp;""' label sum(Col16) ''"",0)))"),"")</f>
        <v/>
      </c>
      <c r="K128" s="628" t="str">
        <f>IFERROR(__xludf.DUMMYFUNCTION("IF($G128="""","""",IFERROR(query({proventos!$B$5:$Q310},""Select sum(Col16) where Col1 = '""&amp;$G128&amp;""' and Col2 &gt; date '""&amp;TEXT(L$8,""yyyy-mm-dd"")&amp;""' and Col2 &lt;= date '""&amp;TEXT(K$8,""yyyy-mm-dd"")&amp;""' label sum(Col16) ''"",0)))"),"")</f>
        <v/>
      </c>
      <c r="L128" s="628" t="str">
        <f>IFERROR(__xludf.DUMMYFUNCTION("IF($G128="""","""",IFERROR(query({proventos!$B$5:$Q310},""Select sum(Col16) where Col1 = '""&amp;$G128&amp;""' and Col2 &gt; date '""&amp;TEXT(M$8,""yyyy-mm-dd"")&amp;""' and Col2 &lt;= date '""&amp;TEXT(L$8,""yyyy-mm-dd"")&amp;""' label sum(Col16) ''"",0)))"),"")</f>
        <v/>
      </c>
      <c r="M128" s="628" t="str">
        <f>IFERROR(__xludf.DUMMYFUNCTION("IF($G128="""","""",IFERROR(query({proventos!$B$5:$Q310},""Select sum(Col16) where Col1 = '""&amp;$G128&amp;""' and Col2 &gt; date '""&amp;TEXT(N$8,""yyyy-mm-dd"")&amp;""' and Col2 &lt;= date '""&amp;TEXT(M$8,""yyyy-mm-dd"")&amp;""' label sum(Col16) ''"",0)))"),"")</f>
        <v/>
      </c>
      <c r="N128" s="628" t="str">
        <f>IFERROR(__xludf.DUMMYFUNCTION("IF($G128="""","""",IFERROR(query({proventos!$B$5:$Q310},""Select sum(Col16) where Col1 = '""&amp;$G128&amp;""' and Col2 &gt; date '""&amp;TEXT(O$8,""yyyy-mm-dd"")&amp;""' and Col2 &lt;= date '""&amp;TEXT(N$8,""yyyy-mm-dd"")&amp;""' label sum(Col16) ''"",0)))"),"")</f>
        <v/>
      </c>
      <c r="O128" s="628" t="str">
        <f>IFERROR(__xludf.DUMMYFUNCTION("IF($G128="""","""",IFERROR(query({proventos!$B$5:$Q310},""Select sum(Col16) where Col1 = '""&amp;$G128&amp;""' and Col2 &gt; date '""&amp;TEXT(P$8,""yyyy-mm-dd"")&amp;""' and Col2 &lt;= date '""&amp;TEXT(O$8,""yyyy-mm-dd"")&amp;""' label sum(Col16) ''"",0)))"),"")</f>
        <v/>
      </c>
      <c r="P128" s="628" t="str">
        <f>IFERROR(__xludf.DUMMYFUNCTION("IF($G128="""","""",IFERROR(query({proventos!$B$5:$Q310},""Select sum(Col16) where Col1 = '""&amp;$G128&amp;""' and Col2 &gt; date '""&amp;TEXT(Q$8,""yyyy-mm-dd"")&amp;""' and Col2 &lt;= date '""&amp;TEXT(P$8,""yyyy-mm-dd"")&amp;""' label sum(Col16) ''"",0)))"),"")</f>
        <v/>
      </c>
      <c r="Q128" s="628" t="str">
        <f>IFERROR(__xludf.DUMMYFUNCTION("IF($G128="""","""",IFERROR(query({proventos!$B$5:$Q310},""Select sum(Col16) where Col1 = '""&amp;$G128&amp;""' and Col2 &gt; date '""&amp;TEXT(R$8,""yyyy-mm-dd"")&amp;""' and Col2 &lt;= date '""&amp;TEXT(Q$8,""yyyy-mm-dd"")&amp;""' label sum(Col16) ''"",0)))"),"")</f>
        <v/>
      </c>
      <c r="R128" s="628" t="str">
        <f>IFERROR(__xludf.DUMMYFUNCTION("IF($G128="""","""",IFERROR(query({proventos!$B$5:$Q310},""Select sum(Col16) where Col1 = '""&amp;$G128&amp;""' and Col2 &gt; date '""&amp;TEXT(S$8,""yyyy-mm-dd"")&amp;""' and Col2 &lt;= date '""&amp;TEXT(R$8,""yyyy-mm-dd"")&amp;""' label sum(Col16) ''"",0)))"),"")</f>
        <v/>
      </c>
      <c r="S128" s="628" t="str">
        <f>IFERROR(__xludf.DUMMYFUNCTION("IF($G128="""","""",IFERROR(query({proventos!$B$5:$Q310},""Select sum(Col16) where Col1 = '""&amp;$G128&amp;""' and Col2 &gt; date '""&amp;TEXT(T$8,""yyyy-mm-dd"")&amp;""' and Col2 &lt;= date '""&amp;TEXT(S$8,""yyyy-mm-dd"")&amp;""' label sum(Col16) ''"",0)))"),"")</f>
        <v/>
      </c>
      <c r="T128" s="628" t="str">
        <f>IFERROR(__xludf.DUMMYFUNCTION("IF($G128="""","""",IFERROR(query({proventos!$B$5:$Q310},""Select sum(Col16) where Col1 = '""&amp;$G128&amp;""' and Col2 &gt; date '""&amp;TEXT(U$8,""yyyy-mm-dd"")&amp;""' and Col2 &lt;= date '""&amp;TEXT(T$8,""yyyy-mm-dd"")&amp;""' label sum(Col16) ''"",0)))"),"")</f>
        <v/>
      </c>
      <c r="U128" s="629" t="str">
        <f>IFERROR(__xludf.DUMMYFUNCTION("IF($G128="""","""",IFERROR(query({proventos!$B$5:$Q310},""Select sum(Col16) where Col1 = '""&amp;$G128&amp;""' and Col2 &gt; date '""&amp;TEXT(EOMONTH(TODAY(),-13),""yyyy-mm-dd"")&amp;""' and Col2 &lt;= date '""&amp;TEXT(U$8,""yyyy-mm-dd"")&amp;""' label sum(Col16) ''"",0)))"),"")</f>
        <v/>
      </c>
      <c r="V128" s="630" t="str">
        <f>IFERROR(__xludf.DUMMYFUNCTION("IF($G128="""","""",IFERROR(query({proventos!$B$5:$Q310},""Select sum(Col16) where Col1 = '""&amp;$G128&amp;""' and Col2 &gt; date '""&amp;TEXT(DATE(V$8,1,1),""yyyy-mm-dd"")&amp;""' and Col2 &lt;= date '""&amp;TEXT(DATE(V$8,12,31),""yyyy-mm-dd"")&amp;""' label sum(Col16) ''"",0)))"),"")</f>
        <v/>
      </c>
      <c r="W128" s="630" t="str">
        <f>IFERROR(__xludf.DUMMYFUNCTION("IF($G128="""","""",IFERROR(query({proventos!$B$5:$Q310},""Select sum(Col16) where Col1 = '""&amp;$G128&amp;""' and Col2 &gt; date '""&amp;TEXT(DATE(W$8,1,1),""yyyy-mm-dd"")&amp;""' and Col2 &lt;= date '""&amp;TEXT(DATE(W$8,12,31),""yyyy-mm-dd"")&amp;""' label sum(Col16) ''"",0)))"),"")</f>
        <v/>
      </c>
      <c r="X128" s="630" t="str">
        <f>IFERROR(__xludf.DUMMYFUNCTION("IF($G128="""","""",IFERROR(query({proventos!$B$5:$Q310},""Select sum(Col16) where Col1 = '""&amp;$G128&amp;""' and Col2 &gt; date '""&amp;TEXT(DATE(X$8,1,1),""yyyy-mm-dd"")&amp;""' and Col2 &lt;= date '""&amp;TEXT(DATE(X$8,12,31),""yyyy-mm-dd"")&amp;""' label sum(Col16) ''"",0)))"),"")</f>
        <v/>
      </c>
      <c r="Y128" s="630" t="str">
        <f>IFERROR(__xludf.DUMMYFUNCTION("IF($G128="""","""",IFERROR(query({proventos!$B$5:$Q310},""Select sum(Col16) where Col1 = '""&amp;$G128&amp;""' and Col2 &gt; date '""&amp;TEXT(DATE(Y$8,1,1),""yyyy-mm-dd"")&amp;""' and Col2 &lt;= date '""&amp;TEXT(DATE(Y$8,12,31),""yyyy-mm-dd"")&amp;""' label sum(Col16) ''"",0)))"),"")</f>
        <v/>
      </c>
      <c r="Z128" s="630" t="str">
        <f>IFERROR(__xludf.DUMMYFUNCTION("IF($G128="""","""",IFERROR(query({proventos!$B$5:$Q310},""Select sum(Col16) where Col1 = '""&amp;$G128&amp;""' and Col2 &gt; date '""&amp;TEXT(DATE(Z$8,1,1),""yyyy-mm-dd"")&amp;""' and Col2 &lt;= date '""&amp;TEXT(DATE(Z$8,12,31),""yyyy-mm-dd"")&amp;""' label sum(Col16) ''"",0)))"),"")</f>
        <v/>
      </c>
      <c r="AA128" s="587"/>
      <c r="AB128" s="578" t="s">
        <v>123</v>
      </c>
      <c r="AC128" s="601"/>
      <c r="AD128" s="636"/>
      <c r="AE128" s="636"/>
    </row>
    <row r="129">
      <c r="A129" s="576"/>
      <c r="B129" s="620"/>
      <c r="C129" s="637"/>
      <c r="D129" s="633"/>
      <c r="E129" s="633"/>
      <c r="F129" s="624">
        <v>119.0</v>
      </c>
      <c r="G129" s="635"/>
      <c r="H129" s="626" t="str">
        <f>if(G129="","",IFERROR(VLOOKUP(G129,AtivosDados,MATCH("provento_avg",portfolio.!$A$3:AE$3,0),FALSE),""))</f>
        <v/>
      </c>
      <c r="I129" s="627" t="s">
        <v>123</v>
      </c>
      <c r="J129" s="628" t="str">
        <f>IFERROR(__xludf.DUMMYFUNCTION("IF($G129="""","""",IFERROR(query({proventos!$B$5:$Q310},""Select sum(Col16) where Col1 = '""&amp;$G129&amp;""' and Col2 &gt; date '""&amp;TEXT(K$8,""yyyy-mm-dd"")&amp;""' and Col2 &lt;= date '""&amp;TEXT(J$8,""yyyy-mm-dd"")&amp;""' label sum(Col16) ''"",0)))"),"")</f>
        <v/>
      </c>
      <c r="K129" s="628" t="str">
        <f>IFERROR(__xludf.DUMMYFUNCTION("IF($G129="""","""",IFERROR(query({proventos!$B$5:$Q310},""Select sum(Col16) where Col1 = '""&amp;$G129&amp;""' and Col2 &gt; date '""&amp;TEXT(L$8,""yyyy-mm-dd"")&amp;""' and Col2 &lt;= date '""&amp;TEXT(K$8,""yyyy-mm-dd"")&amp;""' label sum(Col16) ''"",0)))"),"")</f>
        <v/>
      </c>
      <c r="L129" s="628" t="str">
        <f>IFERROR(__xludf.DUMMYFUNCTION("IF($G129="""","""",IFERROR(query({proventos!$B$5:$Q310},""Select sum(Col16) where Col1 = '""&amp;$G129&amp;""' and Col2 &gt; date '""&amp;TEXT(M$8,""yyyy-mm-dd"")&amp;""' and Col2 &lt;= date '""&amp;TEXT(L$8,""yyyy-mm-dd"")&amp;""' label sum(Col16) ''"",0)))"),"")</f>
        <v/>
      </c>
      <c r="M129" s="628" t="str">
        <f>IFERROR(__xludf.DUMMYFUNCTION("IF($G129="""","""",IFERROR(query({proventos!$B$5:$Q310},""Select sum(Col16) where Col1 = '""&amp;$G129&amp;""' and Col2 &gt; date '""&amp;TEXT(N$8,""yyyy-mm-dd"")&amp;""' and Col2 &lt;= date '""&amp;TEXT(M$8,""yyyy-mm-dd"")&amp;""' label sum(Col16) ''"",0)))"),"")</f>
        <v/>
      </c>
      <c r="N129" s="628" t="str">
        <f>IFERROR(__xludf.DUMMYFUNCTION("IF($G129="""","""",IFERROR(query({proventos!$B$5:$Q310},""Select sum(Col16) where Col1 = '""&amp;$G129&amp;""' and Col2 &gt; date '""&amp;TEXT(O$8,""yyyy-mm-dd"")&amp;""' and Col2 &lt;= date '""&amp;TEXT(N$8,""yyyy-mm-dd"")&amp;""' label sum(Col16) ''"",0)))"),"")</f>
        <v/>
      </c>
      <c r="O129" s="628" t="str">
        <f>IFERROR(__xludf.DUMMYFUNCTION("IF($G129="""","""",IFERROR(query({proventos!$B$5:$Q310},""Select sum(Col16) where Col1 = '""&amp;$G129&amp;""' and Col2 &gt; date '""&amp;TEXT(P$8,""yyyy-mm-dd"")&amp;""' and Col2 &lt;= date '""&amp;TEXT(O$8,""yyyy-mm-dd"")&amp;""' label sum(Col16) ''"",0)))"),"")</f>
        <v/>
      </c>
      <c r="P129" s="628" t="str">
        <f>IFERROR(__xludf.DUMMYFUNCTION("IF($G129="""","""",IFERROR(query({proventos!$B$5:$Q310},""Select sum(Col16) where Col1 = '""&amp;$G129&amp;""' and Col2 &gt; date '""&amp;TEXT(Q$8,""yyyy-mm-dd"")&amp;""' and Col2 &lt;= date '""&amp;TEXT(P$8,""yyyy-mm-dd"")&amp;""' label sum(Col16) ''"",0)))"),"")</f>
        <v/>
      </c>
      <c r="Q129" s="628" t="str">
        <f>IFERROR(__xludf.DUMMYFUNCTION("IF($G129="""","""",IFERROR(query({proventos!$B$5:$Q310},""Select sum(Col16) where Col1 = '""&amp;$G129&amp;""' and Col2 &gt; date '""&amp;TEXT(R$8,""yyyy-mm-dd"")&amp;""' and Col2 &lt;= date '""&amp;TEXT(Q$8,""yyyy-mm-dd"")&amp;""' label sum(Col16) ''"",0)))"),"")</f>
        <v/>
      </c>
      <c r="R129" s="628" t="str">
        <f>IFERROR(__xludf.DUMMYFUNCTION("IF($G129="""","""",IFERROR(query({proventos!$B$5:$Q310},""Select sum(Col16) where Col1 = '""&amp;$G129&amp;""' and Col2 &gt; date '""&amp;TEXT(S$8,""yyyy-mm-dd"")&amp;""' and Col2 &lt;= date '""&amp;TEXT(R$8,""yyyy-mm-dd"")&amp;""' label sum(Col16) ''"",0)))"),"")</f>
        <v/>
      </c>
      <c r="S129" s="628" t="str">
        <f>IFERROR(__xludf.DUMMYFUNCTION("IF($G129="""","""",IFERROR(query({proventos!$B$5:$Q310},""Select sum(Col16) where Col1 = '""&amp;$G129&amp;""' and Col2 &gt; date '""&amp;TEXT(T$8,""yyyy-mm-dd"")&amp;""' and Col2 &lt;= date '""&amp;TEXT(S$8,""yyyy-mm-dd"")&amp;""' label sum(Col16) ''"",0)))"),"")</f>
        <v/>
      </c>
      <c r="T129" s="628" t="str">
        <f>IFERROR(__xludf.DUMMYFUNCTION("IF($G129="""","""",IFERROR(query({proventos!$B$5:$Q310},""Select sum(Col16) where Col1 = '""&amp;$G129&amp;""' and Col2 &gt; date '""&amp;TEXT(U$8,""yyyy-mm-dd"")&amp;""' and Col2 &lt;= date '""&amp;TEXT(T$8,""yyyy-mm-dd"")&amp;""' label sum(Col16) ''"",0)))"),"")</f>
        <v/>
      </c>
      <c r="U129" s="629" t="str">
        <f>IFERROR(__xludf.DUMMYFUNCTION("IF($G129="""","""",IFERROR(query({proventos!$B$5:$Q310},""Select sum(Col16) where Col1 = '""&amp;$G129&amp;""' and Col2 &gt; date '""&amp;TEXT(EOMONTH(TODAY(),-13),""yyyy-mm-dd"")&amp;""' and Col2 &lt;= date '""&amp;TEXT(U$8,""yyyy-mm-dd"")&amp;""' label sum(Col16) ''"",0)))"),"")</f>
        <v/>
      </c>
      <c r="V129" s="630" t="str">
        <f>IFERROR(__xludf.DUMMYFUNCTION("IF($G129="""","""",IFERROR(query({proventos!$B$5:$Q310},""Select sum(Col16) where Col1 = '""&amp;$G129&amp;""' and Col2 &gt; date '""&amp;TEXT(DATE(V$8,1,1),""yyyy-mm-dd"")&amp;""' and Col2 &lt;= date '""&amp;TEXT(DATE(V$8,12,31),""yyyy-mm-dd"")&amp;""' label sum(Col16) ''"",0)))"),"")</f>
        <v/>
      </c>
      <c r="W129" s="630" t="str">
        <f>IFERROR(__xludf.DUMMYFUNCTION("IF($G129="""","""",IFERROR(query({proventos!$B$5:$Q310},""Select sum(Col16) where Col1 = '""&amp;$G129&amp;""' and Col2 &gt; date '""&amp;TEXT(DATE(W$8,1,1),""yyyy-mm-dd"")&amp;""' and Col2 &lt;= date '""&amp;TEXT(DATE(W$8,12,31),""yyyy-mm-dd"")&amp;""' label sum(Col16) ''"",0)))"),"")</f>
        <v/>
      </c>
      <c r="X129" s="630" t="str">
        <f>IFERROR(__xludf.DUMMYFUNCTION("IF($G129="""","""",IFERROR(query({proventos!$B$5:$Q310},""Select sum(Col16) where Col1 = '""&amp;$G129&amp;""' and Col2 &gt; date '""&amp;TEXT(DATE(X$8,1,1),""yyyy-mm-dd"")&amp;""' and Col2 &lt;= date '""&amp;TEXT(DATE(X$8,12,31),""yyyy-mm-dd"")&amp;""' label sum(Col16) ''"",0)))"),"")</f>
        <v/>
      </c>
      <c r="Y129" s="630" t="str">
        <f>IFERROR(__xludf.DUMMYFUNCTION("IF($G129="""","""",IFERROR(query({proventos!$B$5:$Q310},""Select sum(Col16) where Col1 = '""&amp;$G129&amp;""' and Col2 &gt; date '""&amp;TEXT(DATE(Y$8,1,1),""yyyy-mm-dd"")&amp;""' and Col2 &lt;= date '""&amp;TEXT(DATE(Y$8,12,31),""yyyy-mm-dd"")&amp;""' label sum(Col16) ''"",0)))"),"")</f>
        <v/>
      </c>
      <c r="Z129" s="630" t="str">
        <f>IFERROR(__xludf.DUMMYFUNCTION("IF($G129="""","""",IFERROR(query({proventos!$B$5:$Q310},""Select sum(Col16) where Col1 = '""&amp;$G129&amp;""' and Col2 &gt; date '""&amp;TEXT(DATE(Z$8,1,1),""yyyy-mm-dd"")&amp;""' and Col2 &lt;= date '""&amp;TEXT(DATE(Z$8,12,31),""yyyy-mm-dd"")&amp;""' label sum(Col16) ''"",0)))"),"")</f>
        <v/>
      </c>
      <c r="AA129" s="587"/>
      <c r="AB129" s="578" t="s">
        <v>123</v>
      </c>
      <c r="AC129" s="601"/>
      <c r="AD129" s="636"/>
      <c r="AE129" s="636"/>
    </row>
    <row r="130">
      <c r="A130" s="576"/>
      <c r="B130" s="620"/>
      <c r="C130" s="637"/>
      <c r="D130" s="633"/>
      <c r="E130" s="633"/>
      <c r="F130" s="624">
        <v>120.0</v>
      </c>
      <c r="G130" s="635"/>
      <c r="H130" s="626" t="str">
        <f>if(G130="","",IFERROR(VLOOKUP(G130,AtivosDados,MATCH("provento_avg",portfolio.!$A$3:AE$3,0),FALSE),""))</f>
        <v/>
      </c>
      <c r="I130" s="627" t="s">
        <v>123</v>
      </c>
      <c r="J130" s="628" t="str">
        <f>IFERROR(__xludf.DUMMYFUNCTION("IF($G130="""","""",IFERROR(query({proventos!$B$5:$Q310},""Select sum(Col16) where Col1 = '""&amp;$G130&amp;""' and Col2 &gt; date '""&amp;TEXT(K$8,""yyyy-mm-dd"")&amp;""' and Col2 &lt;= date '""&amp;TEXT(J$8,""yyyy-mm-dd"")&amp;""' label sum(Col16) ''"",0)))"),"")</f>
        <v/>
      </c>
      <c r="K130" s="628" t="str">
        <f>IFERROR(__xludf.DUMMYFUNCTION("IF($G130="""","""",IFERROR(query({proventos!$B$5:$Q310},""Select sum(Col16) where Col1 = '""&amp;$G130&amp;""' and Col2 &gt; date '""&amp;TEXT(L$8,""yyyy-mm-dd"")&amp;""' and Col2 &lt;= date '""&amp;TEXT(K$8,""yyyy-mm-dd"")&amp;""' label sum(Col16) ''"",0)))"),"")</f>
        <v/>
      </c>
      <c r="L130" s="628" t="str">
        <f>IFERROR(__xludf.DUMMYFUNCTION("IF($G130="""","""",IFERROR(query({proventos!$B$5:$Q310},""Select sum(Col16) where Col1 = '""&amp;$G130&amp;""' and Col2 &gt; date '""&amp;TEXT(M$8,""yyyy-mm-dd"")&amp;""' and Col2 &lt;= date '""&amp;TEXT(L$8,""yyyy-mm-dd"")&amp;""' label sum(Col16) ''"",0)))"),"")</f>
        <v/>
      </c>
      <c r="M130" s="628" t="str">
        <f>IFERROR(__xludf.DUMMYFUNCTION("IF($G130="""","""",IFERROR(query({proventos!$B$5:$Q310},""Select sum(Col16) where Col1 = '""&amp;$G130&amp;""' and Col2 &gt; date '""&amp;TEXT(N$8,""yyyy-mm-dd"")&amp;""' and Col2 &lt;= date '""&amp;TEXT(M$8,""yyyy-mm-dd"")&amp;""' label sum(Col16) ''"",0)))"),"")</f>
        <v/>
      </c>
      <c r="N130" s="628" t="str">
        <f>IFERROR(__xludf.DUMMYFUNCTION("IF($G130="""","""",IFERROR(query({proventos!$B$5:$Q310},""Select sum(Col16) where Col1 = '""&amp;$G130&amp;""' and Col2 &gt; date '""&amp;TEXT(O$8,""yyyy-mm-dd"")&amp;""' and Col2 &lt;= date '""&amp;TEXT(N$8,""yyyy-mm-dd"")&amp;""' label sum(Col16) ''"",0)))"),"")</f>
        <v/>
      </c>
      <c r="O130" s="628" t="str">
        <f>IFERROR(__xludf.DUMMYFUNCTION("IF($G130="""","""",IFERROR(query({proventos!$B$5:$Q310},""Select sum(Col16) where Col1 = '""&amp;$G130&amp;""' and Col2 &gt; date '""&amp;TEXT(P$8,""yyyy-mm-dd"")&amp;""' and Col2 &lt;= date '""&amp;TEXT(O$8,""yyyy-mm-dd"")&amp;""' label sum(Col16) ''"",0)))"),"")</f>
        <v/>
      </c>
      <c r="P130" s="628" t="str">
        <f>IFERROR(__xludf.DUMMYFUNCTION("IF($G130="""","""",IFERROR(query({proventos!$B$5:$Q310},""Select sum(Col16) where Col1 = '""&amp;$G130&amp;""' and Col2 &gt; date '""&amp;TEXT(Q$8,""yyyy-mm-dd"")&amp;""' and Col2 &lt;= date '""&amp;TEXT(P$8,""yyyy-mm-dd"")&amp;""' label sum(Col16) ''"",0)))"),"")</f>
        <v/>
      </c>
      <c r="Q130" s="628" t="str">
        <f>IFERROR(__xludf.DUMMYFUNCTION("IF($G130="""","""",IFERROR(query({proventos!$B$5:$Q310},""Select sum(Col16) where Col1 = '""&amp;$G130&amp;""' and Col2 &gt; date '""&amp;TEXT(R$8,""yyyy-mm-dd"")&amp;""' and Col2 &lt;= date '""&amp;TEXT(Q$8,""yyyy-mm-dd"")&amp;""' label sum(Col16) ''"",0)))"),"")</f>
        <v/>
      </c>
      <c r="R130" s="628" t="str">
        <f>IFERROR(__xludf.DUMMYFUNCTION("IF($G130="""","""",IFERROR(query({proventos!$B$5:$Q310},""Select sum(Col16) where Col1 = '""&amp;$G130&amp;""' and Col2 &gt; date '""&amp;TEXT(S$8,""yyyy-mm-dd"")&amp;""' and Col2 &lt;= date '""&amp;TEXT(R$8,""yyyy-mm-dd"")&amp;""' label sum(Col16) ''"",0)))"),"")</f>
        <v/>
      </c>
      <c r="S130" s="628" t="str">
        <f>IFERROR(__xludf.DUMMYFUNCTION("IF($G130="""","""",IFERROR(query({proventos!$B$5:$Q310},""Select sum(Col16) where Col1 = '""&amp;$G130&amp;""' and Col2 &gt; date '""&amp;TEXT(T$8,""yyyy-mm-dd"")&amp;""' and Col2 &lt;= date '""&amp;TEXT(S$8,""yyyy-mm-dd"")&amp;""' label sum(Col16) ''"",0)))"),"")</f>
        <v/>
      </c>
      <c r="T130" s="628" t="str">
        <f>IFERROR(__xludf.DUMMYFUNCTION("IF($G130="""","""",IFERROR(query({proventos!$B$5:$Q310},""Select sum(Col16) where Col1 = '""&amp;$G130&amp;""' and Col2 &gt; date '""&amp;TEXT(U$8,""yyyy-mm-dd"")&amp;""' and Col2 &lt;= date '""&amp;TEXT(T$8,""yyyy-mm-dd"")&amp;""' label sum(Col16) ''"",0)))"),"")</f>
        <v/>
      </c>
      <c r="U130" s="629" t="str">
        <f>IFERROR(__xludf.DUMMYFUNCTION("IF($G130="""","""",IFERROR(query({proventos!$B$5:$Q310},""Select sum(Col16) where Col1 = '""&amp;$G130&amp;""' and Col2 &gt; date '""&amp;TEXT(EOMONTH(TODAY(),-13),""yyyy-mm-dd"")&amp;""' and Col2 &lt;= date '""&amp;TEXT(U$8,""yyyy-mm-dd"")&amp;""' label sum(Col16) ''"",0)))"),"")</f>
        <v/>
      </c>
      <c r="V130" s="630" t="str">
        <f>IFERROR(__xludf.DUMMYFUNCTION("IF($G130="""","""",IFERROR(query({proventos!$B$5:$Q310},""Select sum(Col16) where Col1 = '""&amp;$G130&amp;""' and Col2 &gt; date '""&amp;TEXT(DATE(V$8,1,1),""yyyy-mm-dd"")&amp;""' and Col2 &lt;= date '""&amp;TEXT(DATE(V$8,12,31),""yyyy-mm-dd"")&amp;""' label sum(Col16) ''"",0)))"),"")</f>
        <v/>
      </c>
      <c r="W130" s="630" t="str">
        <f>IFERROR(__xludf.DUMMYFUNCTION("IF($G130="""","""",IFERROR(query({proventos!$B$5:$Q310},""Select sum(Col16) where Col1 = '""&amp;$G130&amp;""' and Col2 &gt; date '""&amp;TEXT(DATE(W$8,1,1),""yyyy-mm-dd"")&amp;""' and Col2 &lt;= date '""&amp;TEXT(DATE(W$8,12,31),""yyyy-mm-dd"")&amp;""' label sum(Col16) ''"",0)))"),"")</f>
        <v/>
      </c>
      <c r="X130" s="630" t="str">
        <f>IFERROR(__xludf.DUMMYFUNCTION("IF($G130="""","""",IFERROR(query({proventos!$B$5:$Q310},""Select sum(Col16) where Col1 = '""&amp;$G130&amp;""' and Col2 &gt; date '""&amp;TEXT(DATE(X$8,1,1),""yyyy-mm-dd"")&amp;""' and Col2 &lt;= date '""&amp;TEXT(DATE(X$8,12,31),""yyyy-mm-dd"")&amp;""' label sum(Col16) ''"",0)))"),"")</f>
        <v/>
      </c>
      <c r="Y130" s="630" t="str">
        <f>IFERROR(__xludf.DUMMYFUNCTION("IF($G130="""","""",IFERROR(query({proventos!$B$5:$Q310},""Select sum(Col16) where Col1 = '""&amp;$G130&amp;""' and Col2 &gt; date '""&amp;TEXT(DATE(Y$8,1,1),""yyyy-mm-dd"")&amp;""' and Col2 &lt;= date '""&amp;TEXT(DATE(Y$8,12,31),""yyyy-mm-dd"")&amp;""' label sum(Col16) ''"",0)))"),"")</f>
        <v/>
      </c>
      <c r="Z130" s="630" t="str">
        <f>IFERROR(__xludf.DUMMYFUNCTION("IF($G130="""","""",IFERROR(query({proventos!$B$5:$Q310},""Select sum(Col16) where Col1 = '""&amp;$G130&amp;""' and Col2 &gt; date '""&amp;TEXT(DATE(Z$8,1,1),""yyyy-mm-dd"")&amp;""' and Col2 &lt;= date '""&amp;TEXT(DATE(Z$8,12,31),""yyyy-mm-dd"")&amp;""' label sum(Col16) ''"",0)))"),"")</f>
        <v/>
      </c>
      <c r="AA130" s="587"/>
      <c r="AB130" s="578" t="s">
        <v>123</v>
      </c>
      <c r="AC130" s="601"/>
      <c r="AD130" s="636"/>
      <c r="AE130" s="636"/>
    </row>
    <row r="131">
      <c r="A131" s="576"/>
      <c r="B131" s="620"/>
      <c r="C131" s="637"/>
      <c r="D131" s="633"/>
      <c r="E131" s="633"/>
      <c r="F131" s="624">
        <v>121.0</v>
      </c>
      <c r="G131" s="635"/>
      <c r="H131" s="626" t="str">
        <f>if(G131="","",IFERROR(VLOOKUP(G131,AtivosDados,MATCH("provento_avg",portfolio.!$A$3:AE$3,0),FALSE),""))</f>
        <v/>
      </c>
      <c r="I131" s="627" t="s">
        <v>123</v>
      </c>
      <c r="J131" s="628" t="str">
        <f>IFERROR(__xludf.DUMMYFUNCTION("IF($G131="""","""",IFERROR(query({proventos!$B$5:$Q310},""Select sum(Col16) where Col1 = '""&amp;$G131&amp;""' and Col2 &gt; date '""&amp;TEXT(K$8,""yyyy-mm-dd"")&amp;""' and Col2 &lt;= date '""&amp;TEXT(J$8,""yyyy-mm-dd"")&amp;""' label sum(Col16) ''"",0)))"),"")</f>
        <v/>
      </c>
      <c r="K131" s="628" t="str">
        <f>IFERROR(__xludf.DUMMYFUNCTION("IF($G131="""","""",IFERROR(query({proventos!$B$5:$Q310},""Select sum(Col16) where Col1 = '""&amp;$G131&amp;""' and Col2 &gt; date '""&amp;TEXT(L$8,""yyyy-mm-dd"")&amp;""' and Col2 &lt;= date '""&amp;TEXT(K$8,""yyyy-mm-dd"")&amp;""' label sum(Col16) ''"",0)))"),"")</f>
        <v/>
      </c>
      <c r="L131" s="628" t="str">
        <f>IFERROR(__xludf.DUMMYFUNCTION("IF($G131="""","""",IFERROR(query({proventos!$B$5:$Q310},""Select sum(Col16) where Col1 = '""&amp;$G131&amp;""' and Col2 &gt; date '""&amp;TEXT(M$8,""yyyy-mm-dd"")&amp;""' and Col2 &lt;= date '""&amp;TEXT(L$8,""yyyy-mm-dd"")&amp;""' label sum(Col16) ''"",0)))"),"")</f>
        <v/>
      </c>
      <c r="M131" s="628" t="str">
        <f>IFERROR(__xludf.DUMMYFUNCTION("IF($G131="""","""",IFERROR(query({proventos!$B$5:$Q310},""Select sum(Col16) where Col1 = '""&amp;$G131&amp;""' and Col2 &gt; date '""&amp;TEXT(N$8,""yyyy-mm-dd"")&amp;""' and Col2 &lt;= date '""&amp;TEXT(M$8,""yyyy-mm-dd"")&amp;""' label sum(Col16) ''"",0)))"),"")</f>
        <v/>
      </c>
      <c r="N131" s="628" t="str">
        <f>IFERROR(__xludf.DUMMYFUNCTION("IF($G131="""","""",IFERROR(query({proventos!$B$5:$Q310},""Select sum(Col16) where Col1 = '""&amp;$G131&amp;""' and Col2 &gt; date '""&amp;TEXT(O$8,""yyyy-mm-dd"")&amp;""' and Col2 &lt;= date '""&amp;TEXT(N$8,""yyyy-mm-dd"")&amp;""' label sum(Col16) ''"",0)))"),"")</f>
        <v/>
      </c>
      <c r="O131" s="628" t="str">
        <f>IFERROR(__xludf.DUMMYFUNCTION("IF($G131="""","""",IFERROR(query({proventos!$B$5:$Q310},""Select sum(Col16) where Col1 = '""&amp;$G131&amp;""' and Col2 &gt; date '""&amp;TEXT(P$8,""yyyy-mm-dd"")&amp;""' and Col2 &lt;= date '""&amp;TEXT(O$8,""yyyy-mm-dd"")&amp;""' label sum(Col16) ''"",0)))"),"")</f>
        <v/>
      </c>
      <c r="P131" s="628" t="str">
        <f>IFERROR(__xludf.DUMMYFUNCTION("IF($G131="""","""",IFERROR(query({proventos!$B$5:$Q310},""Select sum(Col16) where Col1 = '""&amp;$G131&amp;""' and Col2 &gt; date '""&amp;TEXT(Q$8,""yyyy-mm-dd"")&amp;""' and Col2 &lt;= date '""&amp;TEXT(P$8,""yyyy-mm-dd"")&amp;""' label sum(Col16) ''"",0)))"),"")</f>
        <v/>
      </c>
      <c r="Q131" s="628" t="str">
        <f>IFERROR(__xludf.DUMMYFUNCTION("IF($G131="""","""",IFERROR(query({proventos!$B$5:$Q310},""Select sum(Col16) where Col1 = '""&amp;$G131&amp;""' and Col2 &gt; date '""&amp;TEXT(R$8,""yyyy-mm-dd"")&amp;""' and Col2 &lt;= date '""&amp;TEXT(Q$8,""yyyy-mm-dd"")&amp;""' label sum(Col16) ''"",0)))"),"")</f>
        <v/>
      </c>
      <c r="R131" s="628" t="str">
        <f>IFERROR(__xludf.DUMMYFUNCTION("IF($G131="""","""",IFERROR(query({proventos!$B$5:$Q310},""Select sum(Col16) where Col1 = '""&amp;$G131&amp;""' and Col2 &gt; date '""&amp;TEXT(S$8,""yyyy-mm-dd"")&amp;""' and Col2 &lt;= date '""&amp;TEXT(R$8,""yyyy-mm-dd"")&amp;""' label sum(Col16) ''"",0)))"),"")</f>
        <v/>
      </c>
      <c r="S131" s="628" t="str">
        <f>IFERROR(__xludf.DUMMYFUNCTION("IF($G131="""","""",IFERROR(query({proventos!$B$5:$Q310},""Select sum(Col16) where Col1 = '""&amp;$G131&amp;""' and Col2 &gt; date '""&amp;TEXT(T$8,""yyyy-mm-dd"")&amp;""' and Col2 &lt;= date '""&amp;TEXT(S$8,""yyyy-mm-dd"")&amp;""' label sum(Col16) ''"",0)))"),"")</f>
        <v/>
      </c>
      <c r="T131" s="628" t="str">
        <f>IFERROR(__xludf.DUMMYFUNCTION("IF($G131="""","""",IFERROR(query({proventos!$B$5:$Q310},""Select sum(Col16) where Col1 = '""&amp;$G131&amp;""' and Col2 &gt; date '""&amp;TEXT(U$8,""yyyy-mm-dd"")&amp;""' and Col2 &lt;= date '""&amp;TEXT(T$8,""yyyy-mm-dd"")&amp;""' label sum(Col16) ''"",0)))"),"")</f>
        <v/>
      </c>
      <c r="U131" s="629" t="str">
        <f>IFERROR(__xludf.DUMMYFUNCTION("IF($G131="""","""",IFERROR(query({proventos!$B$5:$Q310},""Select sum(Col16) where Col1 = '""&amp;$G131&amp;""' and Col2 &gt; date '""&amp;TEXT(EOMONTH(TODAY(),-13),""yyyy-mm-dd"")&amp;""' and Col2 &lt;= date '""&amp;TEXT(U$8,""yyyy-mm-dd"")&amp;""' label sum(Col16) ''"",0)))"),"")</f>
        <v/>
      </c>
      <c r="V131" s="630" t="str">
        <f>IFERROR(__xludf.DUMMYFUNCTION("IF($G131="""","""",IFERROR(query({proventos!$B$5:$Q310},""Select sum(Col16) where Col1 = '""&amp;$G131&amp;""' and Col2 &gt; date '""&amp;TEXT(DATE(V$8,1,1),""yyyy-mm-dd"")&amp;""' and Col2 &lt;= date '""&amp;TEXT(DATE(V$8,12,31),""yyyy-mm-dd"")&amp;""' label sum(Col16) ''"",0)))"),"")</f>
        <v/>
      </c>
      <c r="W131" s="630" t="str">
        <f>IFERROR(__xludf.DUMMYFUNCTION("IF($G131="""","""",IFERROR(query({proventos!$B$5:$Q310},""Select sum(Col16) where Col1 = '""&amp;$G131&amp;""' and Col2 &gt; date '""&amp;TEXT(DATE(W$8,1,1),""yyyy-mm-dd"")&amp;""' and Col2 &lt;= date '""&amp;TEXT(DATE(W$8,12,31),""yyyy-mm-dd"")&amp;""' label sum(Col16) ''"",0)))"),"")</f>
        <v/>
      </c>
      <c r="X131" s="630" t="str">
        <f>IFERROR(__xludf.DUMMYFUNCTION("IF($G131="""","""",IFERROR(query({proventos!$B$5:$Q310},""Select sum(Col16) where Col1 = '""&amp;$G131&amp;""' and Col2 &gt; date '""&amp;TEXT(DATE(X$8,1,1),""yyyy-mm-dd"")&amp;""' and Col2 &lt;= date '""&amp;TEXT(DATE(X$8,12,31),""yyyy-mm-dd"")&amp;""' label sum(Col16) ''"",0)))"),"")</f>
        <v/>
      </c>
      <c r="Y131" s="630" t="str">
        <f>IFERROR(__xludf.DUMMYFUNCTION("IF($G131="""","""",IFERROR(query({proventos!$B$5:$Q310},""Select sum(Col16) where Col1 = '""&amp;$G131&amp;""' and Col2 &gt; date '""&amp;TEXT(DATE(Y$8,1,1),""yyyy-mm-dd"")&amp;""' and Col2 &lt;= date '""&amp;TEXT(DATE(Y$8,12,31),""yyyy-mm-dd"")&amp;""' label sum(Col16) ''"",0)))"),"")</f>
        <v/>
      </c>
      <c r="Z131" s="630" t="str">
        <f>IFERROR(__xludf.DUMMYFUNCTION("IF($G131="""","""",IFERROR(query({proventos!$B$5:$Q310},""Select sum(Col16) where Col1 = '""&amp;$G131&amp;""' and Col2 &gt; date '""&amp;TEXT(DATE(Z$8,1,1),""yyyy-mm-dd"")&amp;""' and Col2 &lt;= date '""&amp;TEXT(DATE(Z$8,12,31),""yyyy-mm-dd"")&amp;""' label sum(Col16) ''"",0)))"),"")</f>
        <v/>
      </c>
      <c r="AA131" s="587"/>
      <c r="AB131" s="578" t="s">
        <v>123</v>
      </c>
      <c r="AC131" s="601"/>
      <c r="AD131" s="636"/>
      <c r="AE131" s="636"/>
    </row>
    <row r="132">
      <c r="A132" s="576"/>
      <c r="B132" s="620"/>
      <c r="C132" s="637"/>
      <c r="D132" s="633"/>
      <c r="E132" s="633"/>
      <c r="F132" s="624">
        <v>122.0</v>
      </c>
      <c r="G132" s="635"/>
      <c r="H132" s="626" t="str">
        <f>if(G132="","",IFERROR(VLOOKUP(G132,AtivosDados,MATCH("provento_avg",portfolio.!$A$3:AE$3,0),FALSE),""))</f>
        <v/>
      </c>
      <c r="I132" s="627" t="s">
        <v>123</v>
      </c>
      <c r="J132" s="628" t="str">
        <f>IFERROR(__xludf.DUMMYFUNCTION("IF($G132="""","""",IFERROR(query({proventos!$B$5:$Q310},""Select sum(Col16) where Col1 = '""&amp;$G132&amp;""' and Col2 &gt; date '""&amp;TEXT(K$8,""yyyy-mm-dd"")&amp;""' and Col2 &lt;= date '""&amp;TEXT(J$8,""yyyy-mm-dd"")&amp;""' label sum(Col16) ''"",0)))"),"")</f>
        <v/>
      </c>
      <c r="K132" s="628" t="str">
        <f>IFERROR(__xludf.DUMMYFUNCTION("IF($G132="""","""",IFERROR(query({proventos!$B$5:$Q310},""Select sum(Col16) where Col1 = '""&amp;$G132&amp;""' and Col2 &gt; date '""&amp;TEXT(L$8,""yyyy-mm-dd"")&amp;""' and Col2 &lt;= date '""&amp;TEXT(K$8,""yyyy-mm-dd"")&amp;""' label sum(Col16) ''"",0)))"),"")</f>
        <v/>
      </c>
      <c r="L132" s="628" t="str">
        <f>IFERROR(__xludf.DUMMYFUNCTION("IF($G132="""","""",IFERROR(query({proventos!$B$5:$Q310},""Select sum(Col16) where Col1 = '""&amp;$G132&amp;""' and Col2 &gt; date '""&amp;TEXT(M$8,""yyyy-mm-dd"")&amp;""' and Col2 &lt;= date '""&amp;TEXT(L$8,""yyyy-mm-dd"")&amp;""' label sum(Col16) ''"",0)))"),"")</f>
        <v/>
      </c>
      <c r="M132" s="628" t="str">
        <f>IFERROR(__xludf.DUMMYFUNCTION("IF($G132="""","""",IFERROR(query({proventos!$B$5:$Q310},""Select sum(Col16) where Col1 = '""&amp;$G132&amp;""' and Col2 &gt; date '""&amp;TEXT(N$8,""yyyy-mm-dd"")&amp;""' and Col2 &lt;= date '""&amp;TEXT(M$8,""yyyy-mm-dd"")&amp;""' label sum(Col16) ''"",0)))"),"")</f>
        <v/>
      </c>
      <c r="N132" s="628" t="str">
        <f>IFERROR(__xludf.DUMMYFUNCTION("IF($G132="""","""",IFERROR(query({proventos!$B$5:$Q310},""Select sum(Col16) where Col1 = '""&amp;$G132&amp;""' and Col2 &gt; date '""&amp;TEXT(O$8,""yyyy-mm-dd"")&amp;""' and Col2 &lt;= date '""&amp;TEXT(N$8,""yyyy-mm-dd"")&amp;""' label sum(Col16) ''"",0)))"),"")</f>
        <v/>
      </c>
      <c r="O132" s="628" t="str">
        <f>IFERROR(__xludf.DUMMYFUNCTION("IF($G132="""","""",IFERROR(query({proventos!$B$5:$Q310},""Select sum(Col16) where Col1 = '""&amp;$G132&amp;""' and Col2 &gt; date '""&amp;TEXT(P$8,""yyyy-mm-dd"")&amp;""' and Col2 &lt;= date '""&amp;TEXT(O$8,""yyyy-mm-dd"")&amp;""' label sum(Col16) ''"",0)))"),"")</f>
        <v/>
      </c>
      <c r="P132" s="628" t="str">
        <f>IFERROR(__xludf.DUMMYFUNCTION("IF($G132="""","""",IFERROR(query({proventos!$B$5:$Q310},""Select sum(Col16) where Col1 = '""&amp;$G132&amp;""' and Col2 &gt; date '""&amp;TEXT(Q$8,""yyyy-mm-dd"")&amp;""' and Col2 &lt;= date '""&amp;TEXT(P$8,""yyyy-mm-dd"")&amp;""' label sum(Col16) ''"",0)))"),"")</f>
        <v/>
      </c>
      <c r="Q132" s="628" t="str">
        <f>IFERROR(__xludf.DUMMYFUNCTION("IF($G132="""","""",IFERROR(query({proventos!$B$5:$Q310},""Select sum(Col16) where Col1 = '""&amp;$G132&amp;""' and Col2 &gt; date '""&amp;TEXT(R$8,""yyyy-mm-dd"")&amp;""' and Col2 &lt;= date '""&amp;TEXT(Q$8,""yyyy-mm-dd"")&amp;""' label sum(Col16) ''"",0)))"),"")</f>
        <v/>
      </c>
      <c r="R132" s="628" t="str">
        <f>IFERROR(__xludf.DUMMYFUNCTION("IF($G132="""","""",IFERROR(query({proventos!$B$5:$Q310},""Select sum(Col16) where Col1 = '""&amp;$G132&amp;""' and Col2 &gt; date '""&amp;TEXT(S$8,""yyyy-mm-dd"")&amp;""' and Col2 &lt;= date '""&amp;TEXT(R$8,""yyyy-mm-dd"")&amp;""' label sum(Col16) ''"",0)))"),"")</f>
        <v/>
      </c>
      <c r="S132" s="628" t="str">
        <f>IFERROR(__xludf.DUMMYFUNCTION("IF($G132="""","""",IFERROR(query({proventos!$B$5:$Q310},""Select sum(Col16) where Col1 = '""&amp;$G132&amp;""' and Col2 &gt; date '""&amp;TEXT(T$8,""yyyy-mm-dd"")&amp;""' and Col2 &lt;= date '""&amp;TEXT(S$8,""yyyy-mm-dd"")&amp;""' label sum(Col16) ''"",0)))"),"")</f>
        <v/>
      </c>
      <c r="T132" s="628" t="str">
        <f>IFERROR(__xludf.DUMMYFUNCTION("IF($G132="""","""",IFERROR(query({proventos!$B$5:$Q310},""Select sum(Col16) where Col1 = '""&amp;$G132&amp;""' and Col2 &gt; date '""&amp;TEXT(U$8,""yyyy-mm-dd"")&amp;""' and Col2 &lt;= date '""&amp;TEXT(T$8,""yyyy-mm-dd"")&amp;""' label sum(Col16) ''"",0)))"),"")</f>
        <v/>
      </c>
      <c r="U132" s="629" t="str">
        <f>IFERROR(__xludf.DUMMYFUNCTION("IF($G132="""","""",IFERROR(query({proventos!$B$5:$Q310},""Select sum(Col16) where Col1 = '""&amp;$G132&amp;""' and Col2 &gt; date '""&amp;TEXT(EOMONTH(TODAY(),-13),""yyyy-mm-dd"")&amp;""' and Col2 &lt;= date '""&amp;TEXT(U$8,""yyyy-mm-dd"")&amp;""' label sum(Col16) ''"",0)))"),"")</f>
        <v/>
      </c>
      <c r="V132" s="630" t="str">
        <f>IFERROR(__xludf.DUMMYFUNCTION("IF($G132="""","""",IFERROR(query({proventos!$B$5:$Q310},""Select sum(Col16) where Col1 = '""&amp;$G132&amp;""' and Col2 &gt; date '""&amp;TEXT(DATE(V$8,1,1),""yyyy-mm-dd"")&amp;""' and Col2 &lt;= date '""&amp;TEXT(DATE(V$8,12,31),""yyyy-mm-dd"")&amp;""' label sum(Col16) ''"",0)))"),"")</f>
        <v/>
      </c>
      <c r="W132" s="630" t="str">
        <f>IFERROR(__xludf.DUMMYFUNCTION("IF($G132="""","""",IFERROR(query({proventos!$B$5:$Q310},""Select sum(Col16) where Col1 = '""&amp;$G132&amp;""' and Col2 &gt; date '""&amp;TEXT(DATE(W$8,1,1),""yyyy-mm-dd"")&amp;""' and Col2 &lt;= date '""&amp;TEXT(DATE(W$8,12,31),""yyyy-mm-dd"")&amp;""' label sum(Col16) ''"",0)))"),"")</f>
        <v/>
      </c>
      <c r="X132" s="630" t="str">
        <f>IFERROR(__xludf.DUMMYFUNCTION("IF($G132="""","""",IFERROR(query({proventos!$B$5:$Q310},""Select sum(Col16) where Col1 = '""&amp;$G132&amp;""' and Col2 &gt; date '""&amp;TEXT(DATE(X$8,1,1),""yyyy-mm-dd"")&amp;""' and Col2 &lt;= date '""&amp;TEXT(DATE(X$8,12,31),""yyyy-mm-dd"")&amp;""' label sum(Col16) ''"",0)))"),"")</f>
        <v/>
      </c>
      <c r="Y132" s="630" t="str">
        <f>IFERROR(__xludf.DUMMYFUNCTION("IF($G132="""","""",IFERROR(query({proventos!$B$5:$Q310},""Select sum(Col16) where Col1 = '""&amp;$G132&amp;""' and Col2 &gt; date '""&amp;TEXT(DATE(Y$8,1,1),""yyyy-mm-dd"")&amp;""' and Col2 &lt;= date '""&amp;TEXT(DATE(Y$8,12,31),""yyyy-mm-dd"")&amp;""' label sum(Col16) ''"",0)))"),"")</f>
        <v/>
      </c>
      <c r="Z132" s="630" t="str">
        <f>IFERROR(__xludf.DUMMYFUNCTION("IF($G132="""","""",IFERROR(query({proventos!$B$5:$Q310},""Select sum(Col16) where Col1 = '""&amp;$G132&amp;""' and Col2 &gt; date '""&amp;TEXT(DATE(Z$8,1,1),""yyyy-mm-dd"")&amp;""' and Col2 &lt;= date '""&amp;TEXT(DATE(Z$8,12,31),""yyyy-mm-dd"")&amp;""' label sum(Col16) ''"",0)))"),"")</f>
        <v/>
      </c>
      <c r="AA132" s="587"/>
      <c r="AB132" s="578" t="s">
        <v>123</v>
      </c>
      <c r="AC132" s="601"/>
      <c r="AD132" s="636"/>
      <c r="AE132" s="636"/>
    </row>
    <row r="133">
      <c r="A133" s="576"/>
      <c r="B133" s="620"/>
      <c r="C133" s="637"/>
      <c r="D133" s="633"/>
      <c r="E133" s="633"/>
      <c r="F133" s="624">
        <v>123.0</v>
      </c>
      <c r="G133" s="635"/>
      <c r="H133" s="626" t="str">
        <f>if(G133="","",IFERROR(VLOOKUP(G133,AtivosDados,MATCH("provento_avg",portfolio.!$A$3:AE$3,0),FALSE),""))</f>
        <v/>
      </c>
      <c r="I133" s="627" t="s">
        <v>123</v>
      </c>
      <c r="J133" s="628" t="str">
        <f>IFERROR(__xludf.DUMMYFUNCTION("IF($G133="""","""",IFERROR(query({proventos!$B$5:$Q310},""Select sum(Col16) where Col1 = '""&amp;$G133&amp;""' and Col2 &gt; date '""&amp;TEXT(K$8,""yyyy-mm-dd"")&amp;""' and Col2 &lt;= date '""&amp;TEXT(J$8,""yyyy-mm-dd"")&amp;""' label sum(Col16) ''"",0)))"),"")</f>
        <v/>
      </c>
      <c r="K133" s="628" t="str">
        <f>IFERROR(__xludf.DUMMYFUNCTION("IF($G133="""","""",IFERROR(query({proventos!$B$5:$Q310},""Select sum(Col16) where Col1 = '""&amp;$G133&amp;""' and Col2 &gt; date '""&amp;TEXT(L$8,""yyyy-mm-dd"")&amp;""' and Col2 &lt;= date '""&amp;TEXT(K$8,""yyyy-mm-dd"")&amp;""' label sum(Col16) ''"",0)))"),"")</f>
        <v/>
      </c>
      <c r="L133" s="628" t="str">
        <f>IFERROR(__xludf.DUMMYFUNCTION("IF($G133="""","""",IFERROR(query({proventos!$B$5:$Q310},""Select sum(Col16) where Col1 = '""&amp;$G133&amp;""' and Col2 &gt; date '""&amp;TEXT(M$8,""yyyy-mm-dd"")&amp;""' and Col2 &lt;= date '""&amp;TEXT(L$8,""yyyy-mm-dd"")&amp;""' label sum(Col16) ''"",0)))"),"")</f>
        <v/>
      </c>
      <c r="M133" s="628" t="str">
        <f>IFERROR(__xludf.DUMMYFUNCTION("IF($G133="""","""",IFERROR(query({proventos!$B$5:$Q310},""Select sum(Col16) where Col1 = '""&amp;$G133&amp;""' and Col2 &gt; date '""&amp;TEXT(N$8,""yyyy-mm-dd"")&amp;""' and Col2 &lt;= date '""&amp;TEXT(M$8,""yyyy-mm-dd"")&amp;""' label sum(Col16) ''"",0)))"),"")</f>
        <v/>
      </c>
      <c r="N133" s="628" t="str">
        <f>IFERROR(__xludf.DUMMYFUNCTION("IF($G133="""","""",IFERROR(query({proventos!$B$5:$Q310},""Select sum(Col16) where Col1 = '""&amp;$G133&amp;""' and Col2 &gt; date '""&amp;TEXT(O$8,""yyyy-mm-dd"")&amp;""' and Col2 &lt;= date '""&amp;TEXT(N$8,""yyyy-mm-dd"")&amp;""' label sum(Col16) ''"",0)))"),"")</f>
        <v/>
      </c>
      <c r="O133" s="628" t="str">
        <f>IFERROR(__xludf.DUMMYFUNCTION("IF($G133="""","""",IFERROR(query({proventos!$B$5:$Q310},""Select sum(Col16) where Col1 = '""&amp;$G133&amp;""' and Col2 &gt; date '""&amp;TEXT(P$8,""yyyy-mm-dd"")&amp;""' and Col2 &lt;= date '""&amp;TEXT(O$8,""yyyy-mm-dd"")&amp;""' label sum(Col16) ''"",0)))"),"")</f>
        <v/>
      </c>
      <c r="P133" s="628" t="str">
        <f>IFERROR(__xludf.DUMMYFUNCTION("IF($G133="""","""",IFERROR(query({proventos!$B$5:$Q310},""Select sum(Col16) where Col1 = '""&amp;$G133&amp;""' and Col2 &gt; date '""&amp;TEXT(Q$8,""yyyy-mm-dd"")&amp;""' and Col2 &lt;= date '""&amp;TEXT(P$8,""yyyy-mm-dd"")&amp;""' label sum(Col16) ''"",0)))"),"")</f>
        <v/>
      </c>
      <c r="Q133" s="628" t="str">
        <f>IFERROR(__xludf.DUMMYFUNCTION("IF($G133="""","""",IFERROR(query({proventos!$B$5:$Q310},""Select sum(Col16) where Col1 = '""&amp;$G133&amp;""' and Col2 &gt; date '""&amp;TEXT(R$8,""yyyy-mm-dd"")&amp;""' and Col2 &lt;= date '""&amp;TEXT(Q$8,""yyyy-mm-dd"")&amp;""' label sum(Col16) ''"",0)))"),"")</f>
        <v/>
      </c>
      <c r="R133" s="628" t="str">
        <f>IFERROR(__xludf.DUMMYFUNCTION("IF($G133="""","""",IFERROR(query({proventos!$B$5:$Q310},""Select sum(Col16) where Col1 = '""&amp;$G133&amp;""' and Col2 &gt; date '""&amp;TEXT(S$8,""yyyy-mm-dd"")&amp;""' and Col2 &lt;= date '""&amp;TEXT(R$8,""yyyy-mm-dd"")&amp;""' label sum(Col16) ''"",0)))"),"")</f>
        <v/>
      </c>
      <c r="S133" s="628" t="str">
        <f>IFERROR(__xludf.DUMMYFUNCTION("IF($G133="""","""",IFERROR(query({proventos!$B$5:$Q310},""Select sum(Col16) where Col1 = '""&amp;$G133&amp;""' and Col2 &gt; date '""&amp;TEXT(T$8,""yyyy-mm-dd"")&amp;""' and Col2 &lt;= date '""&amp;TEXT(S$8,""yyyy-mm-dd"")&amp;""' label sum(Col16) ''"",0)))"),"")</f>
        <v/>
      </c>
      <c r="T133" s="628" t="str">
        <f>IFERROR(__xludf.DUMMYFUNCTION("IF($G133="""","""",IFERROR(query({proventos!$B$5:$Q310},""Select sum(Col16) where Col1 = '""&amp;$G133&amp;""' and Col2 &gt; date '""&amp;TEXT(U$8,""yyyy-mm-dd"")&amp;""' and Col2 &lt;= date '""&amp;TEXT(T$8,""yyyy-mm-dd"")&amp;""' label sum(Col16) ''"",0)))"),"")</f>
        <v/>
      </c>
      <c r="U133" s="629" t="str">
        <f>IFERROR(__xludf.DUMMYFUNCTION("IF($G133="""","""",IFERROR(query({proventos!$B$5:$Q310},""Select sum(Col16) where Col1 = '""&amp;$G133&amp;""' and Col2 &gt; date '""&amp;TEXT(EOMONTH(TODAY(),-13),""yyyy-mm-dd"")&amp;""' and Col2 &lt;= date '""&amp;TEXT(U$8,""yyyy-mm-dd"")&amp;""' label sum(Col16) ''"",0)))"),"")</f>
        <v/>
      </c>
      <c r="V133" s="630" t="str">
        <f>IFERROR(__xludf.DUMMYFUNCTION("IF($G133="""","""",IFERROR(query({proventos!$B$5:$Q310},""Select sum(Col16) where Col1 = '""&amp;$G133&amp;""' and Col2 &gt; date '""&amp;TEXT(DATE(V$8,1,1),""yyyy-mm-dd"")&amp;""' and Col2 &lt;= date '""&amp;TEXT(DATE(V$8,12,31),""yyyy-mm-dd"")&amp;""' label sum(Col16) ''"",0)))"),"")</f>
        <v/>
      </c>
      <c r="W133" s="630" t="str">
        <f>IFERROR(__xludf.DUMMYFUNCTION("IF($G133="""","""",IFERROR(query({proventos!$B$5:$Q310},""Select sum(Col16) where Col1 = '""&amp;$G133&amp;""' and Col2 &gt; date '""&amp;TEXT(DATE(W$8,1,1),""yyyy-mm-dd"")&amp;""' and Col2 &lt;= date '""&amp;TEXT(DATE(W$8,12,31),""yyyy-mm-dd"")&amp;""' label sum(Col16) ''"",0)))"),"")</f>
        <v/>
      </c>
      <c r="X133" s="630" t="str">
        <f>IFERROR(__xludf.DUMMYFUNCTION("IF($G133="""","""",IFERROR(query({proventos!$B$5:$Q310},""Select sum(Col16) where Col1 = '""&amp;$G133&amp;""' and Col2 &gt; date '""&amp;TEXT(DATE(X$8,1,1),""yyyy-mm-dd"")&amp;""' and Col2 &lt;= date '""&amp;TEXT(DATE(X$8,12,31),""yyyy-mm-dd"")&amp;""' label sum(Col16) ''"",0)))"),"")</f>
        <v/>
      </c>
      <c r="Y133" s="630" t="str">
        <f>IFERROR(__xludf.DUMMYFUNCTION("IF($G133="""","""",IFERROR(query({proventos!$B$5:$Q310},""Select sum(Col16) where Col1 = '""&amp;$G133&amp;""' and Col2 &gt; date '""&amp;TEXT(DATE(Y$8,1,1),""yyyy-mm-dd"")&amp;""' and Col2 &lt;= date '""&amp;TEXT(DATE(Y$8,12,31),""yyyy-mm-dd"")&amp;""' label sum(Col16) ''"",0)))"),"")</f>
        <v/>
      </c>
      <c r="Z133" s="630" t="str">
        <f>IFERROR(__xludf.DUMMYFUNCTION("IF($G133="""","""",IFERROR(query({proventos!$B$5:$Q310},""Select sum(Col16) where Col1 = '""&amp;$G133&amp;""' and Col2 &gt; date '""&amp;TEXT(DATE(Z$8,1,1),""yyyy-mm-dd"")&amp;""' and Col2 &lt;= date '""&amp;TEXT(DATE(Z$8,12,31),""yyyy-mm-dd"")&amp;""' label sum(Col16) ''"",0)))"),"")</f>
        <v/>
      </c>
      <c r="AA133" s="587"/>
      <c r="AB133" s="578" t="s">
        <v>123</v>
      </c>
      <c r="AC133" s="601"/>
      <c r="AD133" s="636"/>
      <c r="AE133" s="636"/>
    </row>
    <row r="134">
      <c r="A134" s="576"/>
      <c r="B134" s="620"/>
      <c r="C134" s="637"/>
      <c r="D134" s="633"/>
      <c r="E134" s="633"/>
      <c r="F134" s="624">
        <v>124.0</v>
      </c>
      <c r="G134" s="635"/>
      <c r="H134" s="626" t="str">
        <f>if(G134="","",IFERROR(VLOOKUP(G134,AtivosDados,MATCH("provento_avg",portfolio.!$A$3:AE$3,0),FALSE),""))</f>
        <v/>
      </c>
      <c r="I134" s="627" t="s">
        <v>123</v>
      </c>
      <c r="J134" s="628" t="str">
        <f>IFERROR(__xludf.DUMMYFUNCTION("IF($G134="""","""",IFERROR(query({proventos!$B$5:$Q310},""Select sum(Col16) where Col1 = '""&amp;$G134&amp;""' and Col2 &gt; date '""&amp;TEXT(K$8,""yyyy-mm-dd"")&amp;""' and Col2 &lt;= date '""&amp;TEXT(J$8,""yyyy-mm-dd"")&amp;""' label sum(Col16) ''"",0)))"),"")</f>
        <v/>
      </c>
      <c r="K134" s="628" t="str">
        <f>IFERROR(__xludf.DUMMYFUNCTION("IF($G134="""","""",IFERROR(query({proventos!$B$5:$Q310},""Select sum(Col16) where Col1 = '""&amp;$G134&amp;""' and Col2 &gt; date '""&amp;TEXT(L$8,""yyyy-mm-dd"")&amp;""' and Col2 &lt;= date '""&amp;TEXT(K$8,""yyyy-mm-dd"")&amp;""' label sum(Col16) ''"",0)))"),"")</f>
        <v/>
      </c>
      <c r="L134" s="628" t="str">
        <f>IFERROR(__xludf.DUMMYFUNCTION("IF($G134="""","""",IFERROR(query({proventos!$B$5:$Q310},""Select sum(Col16) where Col1 = '""&amp;$G134&amp;""' and Col2 &gt; date '""&amp;TEXT(M$8,""yyyy-mm-dd"")&amp;""' and Col2 &lt;= date '""&amp;TEXT(L$8,""yyyy-mm-dd"")&amp;""' label sum(Col16) ''"",0)))"),"")</f>
        <v/>
      </c>
      <c r="M134" s="628" t="str">
        <f>IFERROR(__xludf.DUMMYFUNCTION("IF($G134="""","""",IFERROR(query({proventos!$B$5:$Q310},""Select sum(Col16) where Col1 = '""&amp;$G134&amp;""' and Col2 &gt; date '""&amp;TEXT(N$8,""yyyy-mm-dd"")&amp;""' and Col2 &lt;= date '""&amp;TEXT(M$8,""yyyy-mm-dd"")&amp;""' label sum(Col16) ''"",0)))"),"")</f>
        <v/>
      </c>
      <c r="N134" s="628" t="str">
        <f>IFERROR(__xludf.DUMMYFUNCTION("IF($G134="""","""",IFERROR(query({proventos!$B$5:$Q310},""Select sum(Col16) where Col1 = '""&amp;$G134&amp;""' and Col2 &gt; date '""&amp;TEXT(O$8,""yyyy-mm-dd"")&amp;""' and Col2 &lt;= date '""&amp;TEXT(N$8,""yyyy-mm-dd"")&amp;""' label sum(Col16) ''"",0)))"),"")</f>
        <v/>
      </c>
      <c r="O134" s="628" t="str">
        <f>IFERROR(__xludf.DUMMYFUNCTION("IF($G134="""","""",IFERROR(query({proventos!$B$5:$Q310},""Select sum(Col16) where Col1 = '""&amp;$G134&amp;""' and Col2 &gt; date '""&amp;TEXT(P$8,""yyyy-mm-dd"")&amp;""' and Col2 &lt;= date '""&amp;TEXT(O$8,""yyyy-mm-dd"")&amp;""' label sum(Col16) ''"",0)))"),"")</f>
        <v/>
      </c>
      <c r="P134" s="628" t="str">
        <f>IFERROR(__xludf.DUMMYFUNCTION("IF($G134="""","""",IFERROR(query({proventos!$B$5:$Q310},""Select sum(Col16) where Col1 = '""&amp;$G134&amp;""' and Col2 &gt; date '""&amp;TEXT(Q$8,""yyyy-mm-dd"")&amp;""' and Col2 &lt;= date '""&amp;TEXT(P$8,""yyyy-mm-dd"")&amp;""' label sum(Col16) ''"",0)))"),"")</f>
        <v/>
      </c>
      <c r="Q134" s="628" t="str">
        <f>IFERROR(__xludf.DUMMYFUNCTION("IF($G134="""","""",IFERROR(query({proventos!$B$5:$Q310},""Select sum(Col16) where Col1 = '""&amp;$G134&amp;""' and Col2 &gt; date '""&amp;TEXT(R$8,""yyyy-mm-dd"")&amp;""' and Col2 &lt;= date '""&amp;TEXT(Q$8,""yyyy-mm-dd"")&amp;""' label sum(Col16) ''"",0)))"),"")</f>
        <v/>
      </c>
      <c r="R134" s="628" t="str">
        <f>IFERROR(__xludf.DUMMYFUNCTION("IF($G134="""","""",IFERROR(query({proventos!$B$5:$Q310},""Select sum(Col16) where Col1 = '""&amp;$G134&amp;""' and Col2 &gt; date '""&amp;TEXT(S$8,""yyyy-mm-dd"")&amp;""' and Col2 &lt;= date '""&amp;TEXT(R$8,""yyyy-mm-dd"")&amp;""' label sum(Col16) ''"",0)))"),"")</f>
        <v/>
      </c>
      <c r="S134" s="628" t="str">
        <f>IFERROR(__xludf.DUMMYFUNCTION("IF($G134="""","""",IFERROR(query({proventos!$B$5:$Q310},""Select sum(Col16) where Col1 = '""&amp;$G134&amp;""' and Col2 &gt; date '""&amp;TEXT(T$8,""yyyy-mm-dd"")&amp;""' and Col2 &lt;= date '""&amp;TEXT(S$8,""yyyy-mm-dd"")&amp;""' label sum(Col16) ''"",0)))"),"")</f>
        <v/>
      </c>
      <c r="T134" s="628" t="str">
        <f>IFERROR(__xludf.DUMMYFUNCTION("IF($G134="""","""",IFERROR(query({proventos!$B$5:$Q310},""Select sum(Col16) where Col1 = '""&amp;$G134&amp;""' and Col2 &gt; date '""&amp;TEXT(U$8,""yyyy-mm-dd"")&amp;""' and Col2 &lt;= date '""&amp;TEXT(T$8,""yyyy-mm-dd"")&amp;""' label sum(Col16) ''"",0)))"),"")</f>
        <v/>
      </c>
      <c r="U134" s="629" t="str">
        <f>IFERROR(__xludf.DUMMYFUNCTION("IF($G134="""","""",IFERROR(query({proventos!$B$5:$Q310},""Select sum(Col16) where Col1 = '""&amp;$G134&amp;""' and Col2 &gt; date '""&amp;TEXT(EOMONTH(TODAY(),-13),""yyyy-mm-dd"")&amp;""' and Col2 &lt;= date '""&amp;TEXT(U$8,""yyyy-mm-dd"")&amp;""' label sum(Col16) ''"",0)))"),"")</f>
        <v/>
      </c>
      <c r="V134" s="630" t="str">
        <f>IFERROR(__xludf.DUMMYFUNCTION("IF($G134="""","""",IFERROR(query({proventos!$B$5:$Q310},""Select sum(Col16) where Col1 = '""&amp;$G134&amp;""' and Col2 &gt; date '""&amp;TEXT(DATE(V$8,1,1),""yyyy-mm-dd"")&amp;""' and Col2 &lt;= date '""&amp;TEXT(DATE(V$8,12,31),""yyyy-mm-dd"")&amp;""' label sum(Col16) ''"",0)))"),"")</f>
        <v/>
      </c>
      <c r="W134" s="630" t="str">
        <f>IFERROR(__xludf.DUMMYFUNCTION("IF($G134="""","""",IFERROR(query({proventos!$B$5:$Q310},""Select sum(Col16) where Col1 = '""&amp;$G134&amp;""' and Col2 &gt; date '""&amp;TEXT(DATE(W$8,1,1),""yyyy-mm-dd"")&amp;""' and Col2 &lt;= date '""&amp;TEXT(DATE(W$8,12,31),""yyyy-mm-dd"")&amp;""' label sum(Col16) ''"",0)))"),"")</f>
        <v/>
      </c>
      <c r="X134" s="630" t="str">
        <f>IFERROR(__xludf.DUMMYFUNCTION("IF($G134="""","""",IFERROR(query({proventos!$B$5:$Q310},""Select sum(Col16) where Col1 = '""&amp;$G134&amp;""' and Col2 &gt; date '""&amp;TEXT(DATE(X$8,1,1),""yyyy-mm-dd"")&amp;""' and Col2 &lt;= date '""&amp;TEXT(DATE(X$8,12,31),""yyyy-mm-dd"")&amp;""' label sum(Col16) ''"",0)))"),"")</f>
        <v/>
      </c>
      <c r="Y134" s="630" t="str">
        <f>IFERROR(__xludf.DUMMYFUNCTION("IF($G134="""","""",IFERROR(query({proventos!$B$5:$Q310},""Select sum(Col16) where Col1 = '""&amp;$G134&amp;""' and Col2 &gt; date '""&amp;TEXT(DATE(Y$8,1,1),""yyyy-mm-dd"")&amp;""' and Col2 &lt;= date '""&amp;TEXT(DATE(Y$8,12,31),""yyyy-mm-dd"")&amp;""' label sum(Col16) ''"",0)))"),"")</f>
        <v/>
      </c>
      <c r="Z134" s="630" t="str">
        <f>IFERROR(__xludf.DUMMYFUNCTION("IF($G134="""","""",IFERROR(query({proventos!$B$5:$Q310},""Select sum(Col16) where Col1 = '""&amp;$G134&amp;""' and Col2 &gt; date '""&amp;TEXT(DATE(Z$8,1,1),""yyyy-mm-dd"")&amp;""' and Col2 &lt;= date '""&amp;TEXT(DATE(Z$8,12,31),""yyyy-mm-dd"")&amp;""' label sum(Col16) ''"",0)))"),"")</f>
        <v/>
      </c>
      <c r="AA134" s="587"/>
      <c r="AB134" s="578" t="s">
        <v>123</v>
      </c>
      <c r="AC134" s="601"/>
      <c r="AD134" s="636"/>
      <c r="AE134" s="636"/>
    </row>
    <row r="135">
      <c r="A135" s="576"/>
      <c r="B135" s="620"/>
      <c r="C135" s="637"/>
      <c r="D135" s="633"/>
      <c r="E135" s="633"/>
      <c r="F135" s="624">
        <v>125.0</v>
      </c>
      <c r="G135" s="635"/>
      <c r="H135" s="626" t="str">
        <f>if(G135="","",IFERROR(VLOOKUP(G135,AtivosDados,MATCH("provento_avg",portfolio.!$A$3:AE$3,0),FALSE),""))</f>
        <v/>
      </c>
      <c r="I135" s="627" t="s">
        <v>123</v>
      </c>
      <c r="J135" s="628" t="str">
        <f>IFERROR(__xludf.DUMMYFUNCTION("IF($G135="""","""",IFERROR(query({proventos!$B$5:$Q310},""Select sum(Col16) where Col1 = '""&amp;$G135&amp;""' and Col2 &gt; date '""&amp;TEXT(K$8,""yyyy-mm-dd"")&amp;""' and Col2 &lt;= date '""&amp;TEXT(J$8,""yyyy-mm-dd"")&amp;""' label sum(Col16) ''"",0)))"),"")</f>
        <v/>
      </c>
      <c r="K135" s="628" t="str">
        <f>IFERROR(__xludf.DUMMYFUNCTION("IF($G135="""","""",IFERROR(query({proventos!$B$5:$Q310},""Select sum(Col16) where Col1 = '""&amp;$G135&amp;""' and Col2 &gt; date '""&amp;TEXT(L$8,""yyyy-mm-dd"")&amp;""' and Col2 &lt;= date '""&amp;TEXT(K$8,""yyyy-mm-dd"")&amp;""' label sum(Col16) ''"",0)))"),"")</f>
        <v/>
      </c>
      <c r="L135" s="628" t="str">
        <f>IFERROR(__xludf.DUMMYFUNCTION("IF($G135="""","""",IFERROR(query({proventos!$B$5:$Q310},""Select sum(Col16) where Col1 = '""&amp;$G135&amp;""' and Col2 &gt; date '""&amp;TEXT(M$8,""yyyy-mm-dd"")&amp;""' and Col2 &lt;= date '""&amp;TEXT(L$8,""yyyy-mm-dd"")&amp;""' label sum(Col16) ''"",0)))"),"")</f>
        <v/>
      </c>
      <c r="M135" s="628" t="str">
        <f>IFERROR(__xludf.DUMMYFUNCTION("IF($G135="""","""",IFERROR(query({proventos!$B$5:$Q310},""Select sum(Col16) where Col1 = '""&amp;$G135&amp;""' and Col2 &gt; date '""&amp;TEXT(N$8,""yyyy-mm-dd"")&amp;""' and Col2 &lt;= date '""&amp;TEXT(M$8,""yyyy-mm-dd"")&amp;""' label sum(Col16) ''"",0)))"),"")</f>
        <v/>
      </c>
      <c r="N135" s="628" t="str">
        <f>IFERROR(__xludf.DUMMYFUNCTION("IF($G135="""","""",IFERROR(query({proventos!$B$5:$Q310},""Select sum(Col16) where Col1 = '""&amp;$G135&amp;""' and Col2 &gt; date '""&amp;TEXT(O$8,""yyyy-mm-dd"")&amp;""' and Col2 &lt;= date '""&amp;TEXT(N$8,""yyyy-mm-dd"")&amp;""' label sum(Col16) ''"",0)))"),"")</f>
        <v/>
      </c>
      <c r="O135" s="628" t="str">
        <f>IFERROR(__xludf.DUMMYFUNCTION("IF($G135="""","""",IFERROR(query({proventos!$B$5:$Q310},""Select sum(Col16) where Col1 = '""&amp;$G135&amp;""' and Col2 &gt; date '""&amp;TEXT(P$8,""yyyy-mm-dd"")&amp;""' and Col2 &lt;= date '""&amp;TEXT(O$8,""yyyy-mm-dd"")&amp;""' label sum(Col16) ''"",0)))"),"")</f>
        <v/>
      </c>
      <c r="P135" s="628" t="str">
        <f>IFERROR(__xludf.DUMMYFUNCTION("IF($G135="""","""",IFERROR(query({proventos!$B$5:$Q310},""Select sum(Col16) where Col1 = '""&amp;$G135&amp;""' and Col2 &gt; date '""&amp;TEXT(Q$8,""yyyy-mm-dd"")&amp;""' and Col2 &lt;= date '""&amp;TEXT(P$8,""yyyy-mm-dd"")&amp;""' label sum(Col16) ''"",0)))"),"")</f>
        <v/>
      </c>
      <c r="Q135" s="628" t="str">
        <f>IFERROR(__xludf.DUMMYFUNCTION("IF($G135="""","""",IFERROR(query({proventos!$B$5:$Q310},""Select sum(Col16) where Col1 = '""&amp;$G135&amp;""' and Col2 &gt; date '""&amp;TEXT(R$8,""yyyy-mm-dd"")&amp;""' and Col2 &lt;= date '""&amp;TEXT(Q$8,""yyyy-mm-dd"")&amp;""' label sum(Col16) ''"",0)))"),"")</f>
        <v/>
      </c>
      <c r="R135" s="628" t="str">
        <f>IFERROR(__xludf.DUMMYFUNCTION("IF($G135="""","""",IFERROR(query({proventos!$B$5:$Q310},""Select sum(Col16) where Col1 = '""&amp;$G135&amp;""' and Col2 &gt; date '""&amp;TEXT(S$8,""yyyy-mm-dd"")&amp;""' and Col2 &lt;= date '""&amp;TEXT(R$8,""yyyy-mm-dd"")&amp;""' label sum(Col16) ''"",0)))"),"")</f>
        <v/>
      </c>
      <c r="S135" s="628" t="str">
        <f>IFERROR(__xludf.DUMMYFUNCTION("IF($G135="""","""",IFERROR(query({proventos!$B$5:$Q310},""Select sum(Col16) where Col1 = '""&amp;$G135&amp;""' and Col2 &gt; date '""&amp;TEXT(T$8,""yyyy-mm-dd"")&amp;""' and Col2 &lt;= date '""&amp;TEXT(S$8,""yyyy-mm-dd"")&amp;""' label sum(Col16) ''"",0)))"),"")</f>
        <v/>
      </c>
      <c r="T135" s="628" t="str">
        <f>IFERROR(__xludf.DUMMYFUNCTION("IF($G135="""","""",IFERROR(query({proventos!$B$5:$Q310},""Select sum(Col16) where Col1 = '""&amp;$G135&amp;""' and Col2 &gt; date '""&amp;TEXT(U$8,""yyyy-mm-dd"")&amp;""' and Col2 &lt;= date '""&amp;TEXT(T$8,""yyyy-mm-dd"")&amp;""' label sum(Col16) ''"",0)))"),"")</f>
        <v/>
      </c>
      <c r="U135" s="629" t="str">
        <f>IFERROR(__xludf.DUMMYFUNCTION("IF($G135="""","""",IFERROR(query({proventos!$B$5:$Q310},""Select sum(Col16) where Col1 = '""&amp;$G135&amp;""' and Col2 &gt; date '""&amp;TEXT(EOMONTH(TODAY(),-13),""yyyy-mm-dd"")&amp;""' and Col2 &lt;= date '""&amp;TEXT(U$8,""yyyy-mm-dd"")&amp;""' label sum(Col16) ''"",0)))"),"")</f>
        <v/>
      </c>
      <c r="V135" s="630" t="str">
        <f>IFERROR(__xludf.DUMMYFUNCTION("IF($G135="""","""",IFERROR(query({proventos!$B$5:$Q310},""Select sum(Col16) where Col1 = '""&amp;$G135&amp;""' and Col2 &gt; date '""&amp;TEXT(DATE(V$8,1,1),""yyyy-mm-dd"")&amp;""' and Col2 &lt;= date '""&amp;TEXT(DATE(V$8,12,31),""yyyy-mm-dd"")&amp;""' label sum(Col16) ''"",0)))"),"")</f>
        <v/>
      </c>
      <c r="W135" s="630" t="str">
        <f>IFERROR(__xludf.DUMMYFUNCTION("IF($G135="""","""",IFERROR(query({proventos!$B$5:$Q310},""Select sum(Col16) where Col1 = '""&amp;$G135&amp;""' and Col2 &gt; date '""&amp;TEXT(DATE(W$8,1,1),""yyyy-mm-dd"")&amp;""' and Col2 &lt;= date '""&amp;TEXT(DATE(W$8,12,31),""yyyy-mm-dd"")&amp;""' label sum(Col16) ''"",0)))"),"")</f>
        <v/>
      </c>
      <c r="X135" s="630" t="str">
        <f>IFERROR(__xludf.DUMMYFUNCTION("IF($G135="""","""",IFERROR(query({proventos!$B$5:$Q310},""Select sum(Col16) where Col1 = '""&amp;$G135&amp;""' and Col2 &gt; date '""&amp;TEXT(DATE(X$8,1,1),""yyyy-mm-dd"")&amp;""' and Col2 &lt;= date '""&amp;TEXT(DATE(X$8,12,31),""yyyy-mm-dd"")&amp;""' label sum(Col16) ''"",0)))"),"")</f>
        <v/>
      </c>
      <c r="Y135" s="630" t="str">
        <f>IFERROR(__xludf.DUMMYFUNCTION("IF($G135="""","""",IFERROR(query({proventos!$B$5:$Q310},""Select sum(Col16) where Col1 = '""&amp;$G135&amp;""' and Col2 &gt; date '""&amp;TEXT(DATE(Y$8,1,1),""yyyy-mm-dd"")&amp;""' and Col2 &lt;= date '""&amp;TEXT(DATE(Y$8,12,31),""yyyy-mm-dd"")&amp;""' label sum(Col16) ''"",0)))"),"")</f>
        <v/>
      </c>
      <c r="Z135" s="630" t="str">
        <f>IFERROR(__xludf.DUMMYFUNCTION("IF($G135="""","""",IFERROR(query({proventos!$B$5:$Q310},""Select sum(Col16) where Col1 = '""&amp;$G135&amp;""' and Col2 &gt; date '""&amp;TEXT(DATE(Z$8,1,1),""yyyy-mm-dd"")&amp;""' and Col2 &lt;= date '""&amp;TEXT(DATE(Z$8,12,31),""yyyy-mm-dd"")&amp;""' label sum(Col16) ''"",0)))"),"")</f>
        <v/>
      </c>
      <c r="AA135" s="587"/>
      <c r="AB135" s="578" t="s">
        <v>123</v>
      </c>
      <c r="AC135" s="601"/>
      <c r="AD135" s="636"/>
      <c r="AE135" s="636"/>
    </row>
    <row r="136">
      <c r="A136" s="576"/>
      <c r="B136" s="620"/>
      <c r="C136" s="637"/>
      <c r="D136" s="633"/>
      <c r="E136" s="633"/>
      <c r="F136" s="624">
        <v>126.0</v>
      </c>
      <c r="G136" s="635"/>
      <c r="H136" s="626" t="str">
        <f>if(G136="","",IFERROR(VLOOKUP(G136,AtivosDados,MATCH("provento_avg",portfolio.!$A$3:AE$3,0),FALSE),""))</f>
        <v/>
      </c>
      <c r="I136" s="627" t="s">
        <v>123</v>
      </c>
      <c r="J136" s="628" t="str">
        <f>IFERROR(__xludf.DUMMYFUNCTION("IF($G136="""","""",IFERROR(query({proventos!$B$5:$Q310},""Select sum(Col16) where Col1 = '""&amp;$G136&amp;""' and Col2 &gt; date '""&amp;TEXT(K$8,""yyyy-mm-dd"")&amp;""' and Col2 &lt;= date '""&amp;TEXT(J$8,""yyyy-mm-dd"")&amp;""' label sum(Col16) ''"",0)))"),"")</f>
        <v/>
      </c>
      <c r="K136" s="628" t="str">
        <f>IFERROR(__xludf.DUMMYFUNCTION("IF($G136="""","""",IFERROR(query({proventos!$B$5:$Q310},""Select sum(Col16) where Col1 = '""&amp;$G136&amp;""' and Col2 &gt; date '""&amp;TEXT(L$8,""yyyy-mm-dd"")&amp;""' and Col2 &lt;= date '""&amp;TEXT(K$8,""yyyy-mm-dd"")&amp;""' label sum(Col16) ''"",0)))"),"")</f>
        <v/>
      </c>
      <c r="L136" s="628" t="str">
        <f>IFERROR(__xludf.DUMMYFUNCTION("IF($G136="""","""",IFERROR(query({proventos!$B$5:$Q310},""Select sum(Col16) where Col1 = '""&amp;$G136&amp;""' and Col2 &gt; date '""&amp;TEXT(M$8,""yyyy-mm-dd"")&amp;""' and Col2 &lt;= date '""&amp;TEXT(L$8,""yyyy-mm-dd"")&amp;""' label sum(Col16) ''"",0)))"),"")</f>
        <v/>
      </c>
      <c r="M136" s="628" t="str">
        <f>IFERROR(__xludf.DUMMYFUNCTION("IF($G136="""","""",IFERROR(query({proventos!$B$5:$Q310},""Select sum(Col16) where Col1 = '""&amp;$G136&amp;""' and Col2 &gt; date '""&amp;TEXT(N$8,""yyyy-mm-dd"")&amp;""' and Col2 &lt;= date '""&amp;TEXT(M$8,""yyyy-mm-dd"")&amp;""' label sum(Col16) ''"",0)))"),"")</f>
        <v/>
      </c>
      <c r="N136" s="628" t="str">
        <f>IFERROR(__xludf.DUMMYFUNCTION("IF($G136="""","""",IFERROR(query({proventos!$B$5:$Q310},""Select sum(Col16) where Col1 = '""&amp;$G136&amp;""' and Col2 &gt; date '""&amp;TEXT(O$8,""yyyy-mm-dd"")&amp;""' and Col2 &lt;= date '""&amp;TEXT(N$8,""yyyy-mm-dd"")&amp;""' label sum(Col16) ''"",0)))"),"")</f>
        <v/>
      </c>
      <c r="O136" s="628" t="str">
        <f>IFERROR(__xludf.DUMMYFUNCTION("IF($G136="""","""",IFERROR(query({proventos!$B$5:$Q310},""Select sum(Col16) where Col1 = '""&amp;$G136&amp;""' and Col2 &gt; date '""&amp;TEXT(P$8,""yyyy-mm-dd"")&amp;""' and Col2 &lt;= date '""&amp;TEXT(O$8,""yyyy-mm-dd"")&amp;""' label sum(Col16) ''"",0)))"),"")</f>
        <v/>
      </c>
      <c r="P136" s="628" t="str">
        <f>IFERROR(__xludf.DUMMYFUNCTION("IF($G136="""","""",IFERROR(query({proventos!$B$5:$Q310},""Select sum(Col16) where Col1 = '""&amp;$G136&amp;""' and Col2 &gt; date '""&amp;TEXT(Q$8,""yyyy-mm-dd"")&amp;""' and Col2 &lt;= date '""&amp;TEXT(P$8,""yyyy-mm-dd"")&amp;""' label sum(Col16) ''"",0)))"),"")</f>
        <v/>
      </c>
      <c r="Q136" s="628" t="str">
        <f>IFERROR(__xludf.DUMMYFUNCTION("IF($G136="""","""",IFERROR(query({proventos!$B$5:$Q310},""Select sum(Col16) where Col1 = '""&amp;$G136&amp;""' and Col2 &gt; date '""&amp;TEXT(R$8,""yyyy-mm-dd"")&amp;""' and Col2 &lt;= date '""&amp;TEXT(Q$8,""yyyy-mm-dd"")&amp;""' label sum(Col16) ''"",0)))"),"")</f>
        <v/>
      </c>
      <c r="R136" s="628" t="str">
        <f>IFERROR(__xludf.DUMMYFUNCTION("IF($G136="""","""",IFERROR(query({proventos!$B$5:$Q310},""Select sum(Col16) where Col1 = '""&amp;$G136&amp;""' and Col2 &gt; date '""&amp;TEXT(S$8,""yyyy-mm-dd"")&amp;""' and Col2 &lt;= date '""&amp;TEXT(R$8,""yyyy-mm-dd"")&amp;""' label sum(Col16) ''"",0)))"),"")</f>
        <v/>
      </c>
      <c r="S136" s="628" t="str">
        <f>IFERROR(__xludf.DUMMYFUNCTION("IF($G136="""","""",IFERROR(query({proventos!$B$5:$Q310},""Select sum(Col16) where Col1 = '""&amp;$G136&amp;""' and Col2 &gt; date '""&amp;TEXT(T$8,""yyyy-mm-dd"")&amp;""' and Col2 &lt;= date '""&amp;TEXT(S$8,""yyyy-mm-dd"")&amp;""' label sum(Col16) ''"",0)))"),"")</f>
        <v/>
      </c>
      <c r="T136" s="628" t="str">
        <f>IFERROR(__xludf.DUMMYFUNCTION("IF($G136="""","""",IFERROR(query({proventos!$B$5:$Q310},""Select sum(Col16) where Col1 = '""&amp;$G136&amp;""' and Col2 &gt; date '""&amp;TEXT(U$8,""yyyy-mm-dd"")&amp;""' and Col2 &lt;= date '""&amp;TEXT(T$8,""yyyy-mm-dd"")&amp;""' label sum(Col16) ''"",0)))"),"")</f>
        <v/>
      </c>
      <c r="U136" s="629" t="str">
        <f>IFERROR(__xludf.DUMMYFUNCTION("IF($G136="""","""",IFERROR(query({proventos!$B$5:$Q310},""Select sum(Col16) where Col1 = '""&amp;$G136&amp;""' and Col2 &gt; date '""&amp;TEXT(EOMONTH(TODAY(),-13),""yyyy-mm-dd"")&amp;""' and Col2 &lt;= date '""&amp;TEXT(U$8,""yyyy-mm-dd"")&amp;""' label sum(Col16) ''"",0)))"),"")</f>
        <v/>
      </c>
      <c r="V136" s="630" t="str">
        <f>IFERROR(__xludf.DUMMYFUNCTION("IF($G136="""","""",IFERROR(query({proventos!$B$5:$Q310},""Select sum(Col16) where Col1 = '""&amp;$G136&amp;""' and Col2 &gt; date '""&amp;TEXT(DATE(V$8,1,1),""yyyy-mm-dd"")&amp;""' and Col2 &lt;= date '""&amp;TEXT(DATE(V$8,12,31),""yyyy-mm-dd"")&amp;""' label sum(Col16) ''"",0)))"),"")</f>
        <v/>
      </c>
      <c r="W136" s="630" t="str">
        <f>IFERROR(__xludf.DUMMYFUNCTION("IF($G136="""","""",IFERROR(query({proventos!$B$5:$Q310},""Select sum(Col16) where Col1 = '""&amp;$G136&amp;""' and Col2 &gt; date '""&amp;TEXT(DATE(W$8,1,1),""yyyy-mm-dd"")&amp;""' and Col2 &lt;= date '""&amp;TEXT(DATE(W$8,12,31),""yyyy-mm-dd"")&amp;""' label sum(Col16) ''"",0)))"),"")</f>
        <v/>
      </c>
      <c r="X136" s="630" t="str">
        <f>IFERROR(__xludf.DUMMYFUNCTION("IF($G136="""","""",IFERROR(query({proventos!$B$5:$Q310},""Select sum(Col16) where Col1 = '""&amp;$G136&amp;""' and Col2 &gt; date '""&amp;TEXT(DATE(X$8,1,1),""yyyy-mm-dd"")&amp;""' and Col2 &lt;= date '""&amp;TEXT(DATE(X$8,12,31),""yyyy-mm-dd"")&amp;""' label sum(Col16) ''"",0)))"),"")</f>
        <v/>
      </c>
      <c r="Y136" s="630" t="str">
        <f>IFERROR(__xludf.DUMMYFUNCTION("IF($G136="""","""",IFERROR(query({proventos!$B$5:$Q310},""Select sum(Col16) where Col1 = '""&amp;$G136&amp;""' and Col2 &gt; date '""&amp;TEXT(DATE(Y$8,1,1),""yyyy-mm-dd"")&amp;""' and Col2 &lt;= date '""&amp;TEXT(DATE(Y$8,12,31),""yyyy-mm-dd"")&amp;""' label sum(Col16) ''"",0)))"),"")</f>
        <v/>
      </c>
      <c r="Z136" s="630" t="str">
        <f>IFERROR(__xludf.DUMMYFUNCTION("IF($G136="""","""",IFERROR(query({proventos!$B$5:$Q310},""Select sum(Col16) where Col1 = '""&amp;$G136&amp;""' and Col2 &gt; date '""&amp;TEXT(DATE(Z$8,1,1),""yyyy-mm-dd"")&amp;""' and Col2 &lt;= date '""&amp;TEXT(DATE(Z$8,12,31),""yyyy-mm-dd"")&amp;""' label sum(Col16) ''"",0)))"),"")</f>
        <v/>
      </c>
      <c r="AA136" s="587"/>
      <c r="AB136" s="578" t="s">
        <v>123</v>
      </c>
      <c r="AC136" s="601"/>
      <c r="AD136" s="636"/>
      <c r="AE136" s="636"/>
    </row>
    <row r="137">
      <c r="A137" s="576"/>
      <c r="B137" s="620"/>
      <c r="C137" s="637"/>
      <c r="D137" s="633"/>
      <c r="E137" s="633"/>
      <c r="F137" s="624">
        <v>127.0</v>
      </c>
      <c r="G137" s="635"/>
      <c r="H137" s="626" t="str">
        <f>if(G137="","",IFERROR(VLOOKUP(G137,AtivosDados,MATCH("provento_avg",portfolio.!$A$3:AE$3,0),FALSE),""))</f>
        <v/>
      </c>
      <c r="I137" s="627" t="s">
        <v>123</v>
      </c>
      <c r="J137" s="628" t="str">
        <f>IFERROR(__xludf.DUMMYFUNCTION("IF($G137="""","""",IFERROR(query({proventos!$B$5:$Q310},""Select sum(Col16) where Col1 = '""&amp;$G137&amp;""' and Col2 &gt; date '""&amp;TEXT(K$8,""yyyy-mm-dd"")&amp;""' and Col2 &lt;= date '""&amp;TEXT(J$8,""yyyy-mm-dd"")&amp;""' label sum(Col16) ''"",0)))"),"")</f>
        <v/>
      </c>
      <c r="K137" s="628" t="str">
        <f>IFERROR(__xludf.DUMMYFUNCTION("IF($G137="""","""",IFERROR(query({proventos!$B$5:$Q310},""Select sum(Col16) where Col1 = '""&amp;$G137&amp;""' and Col2 &gt; date '""&amp;TEXT(L$8,""yyyy-mm-dd"")&amp;""' and Col2 &lt;= date '""&amp;TEXT(K$8,""yyyy-mm-dd"")&amp;""' label sum(Col16) ''"",0)))"),"")</f>
        <v/>
      </c>
      <c r="L137" s="628" t="str">
        <f>IFERROR(__xludf.DUMMYFUNCTION("IF($G137="""","""",IFERROR(query({proventos!$B$5:$Q310},""Select sum(Col16) where Col1 = '""&amp;$G137&amp;""' and Col2 &gt; date '""&amp;TEXT(M$8,""yyyy-mm-dd"")&amp;""' and Col2 &lt;= date '""&amp;TEXT(L$8,""yyyy-mm-dd"")&amp;""' label sum(Col16) ''"",0)))"),"")</f>
        <v/>
      </c>
      <c r="M137" s="628" t="str">
        <f>IFERROR(__xludf.DUMMYFUNCTION("IF($G137="""","""",IFERROR(query({proventos!$B$5:$Q310},""Select sum(Col16) where Col1 = '""&amp;$G137&amp;""' and Col2 &gt; date '""&amp;TEXT(N$8,""yyyy-mm-dd"")&amp;""' and Col2 &lt;= date '""&amp;TEXT(M$8,""yyyy-mm-dd"")&amp;""' label sum(Col16) ''"",0)))"),"")</f>
        <v/>
      </c>
      <c r="N137" s="628" t="str">
        <f>IFERROR(__xludf.DUMMYFUNCTION("IF($G137="""","""",IFERROR(query({proventos!$B$5:$Q310},""Select sum(Col16) where Col1 = '""&amp;$G137&amp;""' and Col2 &gt; date '""&amp;TEXT(O$8,""yyyy-mm-dd"")&amp;""' and Col2 &lt;= date '""&amp;TEXT(N$8,""yyyy-mm-dd"")&amp;""' label sum(Col16) ''"",0)))"),"")</f>
        <v/>
      </c>
      <c r="O137" s="628" t="str">
        <f>IFERROR(__xludf.DUMMYFUNCTION("IF($G137="""","""",IFERROR(query({proventos!$B$5:$Q310},""Select sum(Col16) where Col1 = '""&amp;$G137&amp;""' and Col2 &gt; date '""&amp;TEXT(P$8,""yyyy-mm-dd"")&amp;""' and Col2 &lt;= date '""&amp;TEXT(O$8,""yyyy-mm-dd"")&amp;""' label sum(Col16) ''"",0)))"),"")</f>
        <v/>
      </c>
      <c r="P137" s="628" t="str">
        <f>IFERROR(__xludf.DUMMYFUNCTION("IF($G137="""","""",IFERROR(query({proventos!$B$5:$Q310},""Select sum(Col16) where Col1 = '""&amp;$G137&amp;""' and Col2 &gt; date '""&amp;TEXT(Q$8,""yyyy-mm-dd"")&amp;""' and Col2 &lt;= date '""&amp;TEXT(P$8,""yyyy-mm-dd"")&amp;""' label sum(Col16) ''"",0)))"),"")</f>
        <v/>
      </c>
      <c r="Q137" s="628" t="str">
        <f>IFERROR(__xludf.DUMMYFUNCTION("IF($G137="""","""",IFERROR(query({proventos!$B$5:$Q310},""Select sum(Col16) where Col1 = '""&amp;$G137&amp;""' and Col2 &gt; date '""&amp;TEXT(R$8,""yyyy-mm-dd"")&amp;""' and Col2 &lt;= date '""&amp;TEXT(Q$8,""yyyy-mm-dd"")&amp;""' label sum(Col16) ''"",0)))"),"")</f>
        <v/>
      </c>
      <c r="R137" s="628" t="str">
        <f>IFERROR(__xludf.DUMMYFUNCTION("IF($G137="""","""",IFERROR(query({proventos!$B$5:$Q310},""Select sum(Col16) where Col1 = '""&amp;$G137&amp;""' and Col2 &gt; date '""&amp;TEXT(S$8,""yyyy-mm-dd"")&amp;""' and Col2 &lt;= date '""&amp;TEXT(R$8,""yyyy-mm-dd"")&amp;""' label sum(Col16) ''"",0)))"),"")</f>
        <v/>
      </c>
      <c r="S137" s="628" t="str">
        <f>IFERROR(__xludf.DUMMYFUNCTION("IF($G137="""","""",IFERROR(query({proventos!$B$5:$Q310},""Select sum(Col16) where Col1 = '""&amp;$G137&amp;""' and Col2 &gt; date '""&amp;TEXT(T$8,""yyyy-mm-dd"")&amp;""' and Col2 &lt;= date '""&amp;TEXT(S$8,""yyyy-mm-dd"")&amp;""' label sum(Col16) ''"",0)))"),"")</f>
        <v/>
      </c>
      <c r="T137" s="628" t="str">
        <f>IFERROR(__xludf.DUMMYFUNCTION("IF($G137="""","""",IFERROR(query({proventos!$B$5:$Q310},""Select sum(Col16) where Col1 = '""&amp;$G137&amp;""' and Col2 &gt; date '""&amp;TEXT(U$8,""yyyy-mm-dd"")&amp;""' and Col2 &lt;= date '""&amp;TEXT(T$8,""yyyy-mm-dd"")&amp;""' label sum(Col16) ''"",0)))"),"")</f>
        <v/>
      </c>
      <c r="U137" s="629" t="str">
        <f>IFERROR(__xludf.DUMMYFUNCTION("IF($G137="""","""",IFERROR(query({proventos!$B$5:$Q310},""Select sum(Col16) where Col1 = '""&amp;$G137&amp;""' and Col2 &gt; date '""&amp;TEXT(EOMONTH(TODAY(),-13),""yyyy-mm-dd"")&amp;""' and Col2 &lt;= date '""&amp;TEXT(U$8,""yyyy-mm-dd"")&amp;""' label sum(Col16) ''"",0)))"),"")</f>
        <v/>
      </c>
      <c r="V137" s="630" t="str">
        <f>IFERROR(__xludf.DUMMYFUNCTION("IF($G137="""","""",IFERROR(query({proventos!$B$5:$Q310},""Select sum(Col16) where Col1 = '""&amp;$G137&amp;""' and Col2 &gt; date '""&amp;TEXT(DATE(V$8,1,1),""yyyy-mm-dd"")&amp;""' and Col2 &lt;= date '""&amp;TEXT(DATE(V$8,12,31),""yyyy-mm-dd"")&amp;""' label sum(Col16) ''"",0)))"),"")</f>
        <v/>
      </c>
      <c r="W137" s="630" t="str">
        <f>IFERROR(__xludf.DUMMYFUNCTION("IF($G137="""","""",IFERROR(query({proventos!$B$5:$Q310},""Select sum(Col16) where Col1 = '""&amp;$G137&amp;""' and Col2 &gt; date '""&amp;TEXT(DATE(W$8,1,1),""yyyy-mm-dd"")&amp;""' and Col2 &lt;= date '""&amp;TEXT(DATE(W$8,12,31),""yyyy-mm-dd"")&amp;""' label sum(Col16) ''"",0)))"),"")</f>
        <v/>
      </c>
      <c r="X137" s="630" t="str">
        <f>IFERROR(__xludf.DUMMYFUNCTION("IF($G137="""","""",IFERROR(query({proventos!$B$5:$Q310},""Select sum(Col16) where Col1 = '""&amp;$G137&amp;""' and Col2 &gt; date '""&amp;TEXT(DATE(X$8,1,1),""yyyy-mm-dd"")&amp;""' and Col2 &lt;= date '""&amp;TEXT(DATE(X$8,12,31),""yyyy-mm-dd"")&amp;""' label sum(Col16) ''"",0)))"),"")</f>
        <v/>
      </c>
      <c r="Y137" s="630" t="str">
        <f>IFERROR(__xludf.DUMMYFUNCTION("IF($G137="""","""",IFERROR(query({proventos!$B$5:$Q310},""Select sum(Col16) where Col1 = '""&amp;$G137&amp;""' and Col2 &gt; date '""&amp;TEXT(DATE(Y$8,1,1),""yyyy-mm-dd"")&amp;""' and Col2 &lt;= date '""&amp;TEXT(DATE(Y$8,12,31),""yyyy-mm-dd"")&amp;""' label sum(Col16) ''"",0)))"),"")</f>
        <v/>
      </c>
      <c r="Z137" s="630" t="str">
        <f>IFERROR(__xludf.DUMMYFUNCTION("IF($G137="""","""",IFERROR(query({proventos!$B$5:$Q310},""Select sum(Col16) where Col1 = '""&amp;$G137&amp;""' and Col2 &gt; date '""&amp;TEXT(DATE(Z$8,1,1),""yyyy-mm-dd"")&amp;""' and Col2 &lt;= date '""&amp;TEXT(DATE(Z$8,12,31),""yyyy-mm-dd"")&amp;""' label sum(Col16) ''"",0)))"),"")</f>
        <v/>
      </c>
      <c r="AA137" s="587"/>
      <c r="AB137" s="578" t="s">
        <v>123</v>
      </c>
      <c r="AC137" s="601"/>
      <c r="AD137" s="636"/>
      <c r="AE137" s="636"/>
    </row>
    <row r="138">
      <c r="A138" s="576"/>
      <c r="B138" s="620"/>
      <c r="C138" s="637"/>
      <c r="D138" s="633"/>
      <c r="E138" s="633"/>
      <c r="F138" s="624">
        <v>128.0</v>
      </c>
      <c r="G138" s="635"/>
      <c r="H138" s="626" t="str">
        <f>if(G138="","",IFERROR(VLOOKUP(G138,AtivosDados,MATCH("provento_avg",portfolio.!$A$3:AE$3,0),FALSE),""))</f>
        <v/>
      </c>
      <c r="I138" s="627" t="s">
        <v>123</v>
      </c>
      <c r="J138" s="628" t="str">
        <f>IFERROR(__xludf.DUMMYFUNCTION("IF($G138="""","""",IFERROR(query({proventos!$B$5:$Q310},""Select sum(Col16) where Col1 = '""&amp;$G138&amp;""' and Col2 &gt; date '""&amp;TEXT(K$8,""yyyy-mm-dd"")&amp;""' and Col2 &lt;= date '""&amp;TEXT(J$8,""yyyy-mm-dd"")&amp;""' label sum(Col16) ''"",0)))"),"")</f>
        <v/>
      </c>
      <c r="K138" s="628" t="str">
        <f>IFERROR(__xludf.DUMMYFUNCTION("IF($G138="""","""",IFERROR(query({proventos!$B$5:$Q310},""Select sum(Col16) where Col1 = '""&amp;$G138&amp;""' and Col2 &gt; date '""&amp;TEXT(L$8,""yyyy-mm-dd"")&amp;""' and Col2 &lt;= date '""&amp;TEXT(K$8,""yyyy-mm-dd"")&amp;""' label sum(Col16) ''"",0)))"),"")</f>
        <v/>
      </c>
      <c r="L138" s="628" t="str">
        <f>IFERROR(__xludf.DUMMYFUNCTION("IF($G138="""","""",IFERROR(query({proventos!$B$5:$Q310},""Select sum(Col16) where Col1 = '""&amp;$G138&amp;""' and Col2 &gt; date '""&amp;TEXT(M$8,""yyyy-mm-dd"")&amp;""' and Col2 &lt;= date '""&amp;TEXT(L$8,""yyyy-mm-dd"")&amp;""' label sum(Col16) ''"",0)))"),"")</f>
        <v/>
      </c>
      <c r="M138" s="628" t="str">
        <f>IFERROR(__xludf.DUMMYFUNCTION("IF($G138="""","""",IFERROR(query({proventos!$B$5:$Q310},""Select sum(Col16) where Col1 = '""&amp;$G138&amp;""' and Col2 &gt; date '""&amp;TEXT(N$8,""yyyy-mm-dd"")&amp;""' and Col2 &lt;= date '""&amp;TEXT(M$8,""yyyy-mm-dd"")&amp;""' label sum(Col16) ''"",0)))"),"")</f>
        <v/>
      </c>
      <c r="N138" s="628" t="str">
        <f>IFERROR(__xludf.DUMMYFUNCTION("IF($G138="""","""",IFERROR(query({proventos!$B$5:$Q310},""Select sum(Col16) where Col1 = '""&amp;$G138&amp;""' and Col2 &gt; date '""&amp;TEXT(O$8,""yyyy-mm-dd"")&amp;""' and Col2 &lt;= date '""&amp;TEXT(N$8,""yyyy-mm-dd"")&amp;""' label sum(Col16) ''"",0)))"),"")</f>
        <v/>
      </c>
      <c r="O138" s="628" t="str">
        <f>IFERROR(__xludf.DUMMYFUNCTION("IF($G138="""","""",IFERROR(query({proventos!$B$5:$Q310},""Select sum(Col16) where Col1 = '""&amp;$G138&amp;""' and Col2 &gt; date '""&amp;TEXT(P$8,""yyyy-mm-dd"")&amp;""' and Col2 &lt;= date '""&amp;TEXT(O$8,""yyyy-mm-dd"")&amp;""' label sum(Col16) ''"",0)))"),"")</f>
        <v/>
      </c>
      <c r="P138" s="628" t="str">
        <f>IFERROR(__xludf.DUMMYFUNCTION("IF($G138="""","""",IFERROR(query({proventos!$B$5:$Q310},""Select sum(Col16) where Col1 = '""&amp;$G138&amp;""' and Col2 &gt; date '""&amp;TEXT(Q$8,""yyyy-mm-dd"")&amp;""' and Col2 &lt;= date '""&amp;TEXT(P$8,""yyyy-mm-dd"")&amp;""' label sum(Col16) ''"",0)))"),"")</f>
        <v/>
      </c>
      <c r="Q138" s="628" t="str">
        <f>IFERROR(__xludf.DUMMYFUNCTION("IF($G138="""","""",IFERROR(query({proventos!$B$5:$Q310},""Select sum(Col16) where Col1 = '""&amp;$G138&amp;""' and Col2 &gt; date '""&amp;TEXT(R$8,""yyyy-mm-dd"")&amp;""' and Col2 &lt;= date '""&amp;TEXT(Q$8,""yyyy-mm-dd"")&amp;""' label sum(Col16) ''"",0)))"),"")</f>
        <v/>
      </c>
      <c r="R138" s="628" t="str">
        <f>IFERROR(__xludf.DUMMYFUNCTION("IF($G138="""","""",IFERROR(query({proventos!$B$5:$Q310},""Select sum(Col16) where Col1 = '""&amp;$G138&amp;""' and Col2 &gt; date '""&amp;TEXT(S$8,""yyyy-mm-dd"")&amp;""' and Col2 &lt;= date '""&amp;TEXT(R$8,""yyyy-mm-dd"")&amp;""' label sum(Col16) ''"",0)))"),"")</f>
        <v/>
      </c>
      <c r="S138" s="628" t="str">
        <f>IFERROR(__xludf.DUMMYFUNCTION("IF($G138="""","""",IFERROR(query({proventos!$B$5:$Q310},""Select sum(Col16) where Col1 = '""&amp;$G138&amp;""' and Col2 &gt; date '""&amp;TEXT(T$8,""yyyy-mm-dd"")&amp;""' and Col2 &lt;= date '""&amp;TEXT(S$8,""yyyy-mm-dd"")&amp;""' label sum(Col16) ''"",0)))"),"")</f>
        <v/>
      </c>
      <c r="T138" s="628" t="str">
        <f>IFERROR(__xludf.DUMMYFUNCTION("IF($G138="""","""",IFERROR(query({proventos!$B$5:$Q310},""Select sum(Col16) where Col1 = '""&amp;$G138&amp;""' and Col2 &gt; date '""&amp;TEXT(U$8,""yyyy-mm-dd"")&amp;""' and Col2 &lt;= date '""&amp;TEXT(T$8,""yyyy-mm-dd"")&amp;""' label sum(Col16) ''"",0)))"),"")</f>
        <v/>
      </c>
      <c r="U138" s="629" t="str">
        <f>IFERROR(__xludf.DUMMYFUNCTION("IF($G138="""","""",IFERROR(query({proventos!$B$5:$Q310},""Select sum(Col16) where Col1 = '""&amp;$G138&amp;""' and Col2 &gt; date '""&amp;TEXT(EOMONTH(TODAY(),-13),""yyyy-mm-dd"")&amp;""' and Col2 &lt;= date '""&amp;TEXT(U$8,""yyyy-mm-dd"")&amp;""' label sum(Col16) ''"",0)))"),"")</f>
        <v/>
      </c>
      <c r="V138" s="630" t="str">
        <f>IFERROR(__xludf.DUMMYFUNCTION("IF($G138="""","""",IFERROR(query({proventos!$B$5:$Q310},""Select sum(Col16) where Col1 = '""&amp;$G138&amp;""' and Col2 &gt; date '""&amp;TEXT(DATE(V$8,1,1),""yyyy-mm-dd"")&amp;""' and Col2 &lt;= date '""&amp;TEXT(DATE(V$8,12,31),""yyyy-mm-dd"")&amp;""' label sum(Col16) ''"",0)))"),"")</f>
        <v/>
      </c>
      <c r="W138" s="630" t="str">
        <f>IFERROR(__xludf.DUMMYFUNCTION("IF($G138="""","""",IFERROR(query({proventos!$B$5:$Q310},""Select sum(Col16) where Col1 = '""&amp;$G138&amp;""' and Col2 &gt; date '""&amp;TEXT(DATE(W$8,1,1),""yyyy-mm-dd"")&amp;""' and Col2 &lt;= date '""&amp;TEXT(DATE(W$8,12,31),""yyyy-mm-dd"")&amp;""' label sum(Col16) ''"",0)))"),"")</f>
        <v/>
      </c>
      <c r="X138" s="630" t="str">
        <f>IFERROR(__xludf.DUMMYFUNCTION("IF($G138="""","""",IFERROR(query({proventos!$B$5:$Q310},""Select sum(Col16) where Col1 = '""&amp;$G138&amp;""' and Col2 &gt; date '""&amp;TEXT(DATE(X$8,1,1),""yyyy-mm-dd"")&amp;""' and Col2 &lt;= date '""&amp;TEXT(DATE(X$8,12,31),""yyyy-mm-dd"")&amp;""' label sum(Col16) ''"",0)))"),"")</f>
        <v/>
      </c>
      <c r="Y138" s="630" t="str">
        <f>IFERROR(__xludf.DUMMYFUNCTION("IF($G138="""","""",IFERROR(query({proventos!$B$5:$Q310},""Select sum(Col16) where Col1 = '""&amp;$G138&amp;""' and Col2 &gt; date '""&amp;TEXT(DATE(Y$8,1,1),""yyyy-mm-dd"")&amp;""' and Col2 &lt;= date '""&amp;TEXT(DATE(Y$8,12,31),""yyyy-mm-dd"")&amp;""' label sum(Col16) ''"",0)))"),"")</f>
        <v/>
      </c>
      <c r="Z138" s="630" t="str">
        <f>IFERROR(__xludf.DUMMYFUNCTION("IF($G138="""","""",IFERROR(query({proventos!$B$5:$Q310},""Select sum(Col16) where Col1 = '""&amp;$G138&amp;""' and Col2 &gt; date '""&amp;TEXT(DATE(Z$8,1,1),""yyyy-mm-dd"")&amp;""' and Col2 &lt;= date '""&amp;TEXT(DATE(Z$8,12,31),""yyyy-mm-dd"")&amp;""' label sum(Col16) ''"",0)))"),"")</f>
        <v/>
      </c>
      <c r="AA138" s="587"/>
      <c r="AB138" s="578" t="s">
        <v>123</v>
      </c>
      <c r="AC138" s="601"/>
      <c r="AD138" s="636"/>
      <c r="AE138" s="636"/>
    </row>
    <row r="139">
      <c r="A139" s="576"/>
      <c r="B139" s="620"/>
      <c r="C139" s="637"/>
      <c r="D139" s="633"/>
      <c r="E139" s="633"/>
      <c r="F139" s="624">
        <v>129.0</v>
      </c>
      <c r="G139" s="635"/>
      <c r="H139" s="626" t="str">
        <f>if(G139="","",IFERROR(VLOOKUP(G139,AtivosDados,MATCH("provento_avg",portfolio.!$A$3:AE$3,0),FALSE),""))</f>
        <v/>
      </c>
      <c r="I139" s="627" t="s">
        <v>123</v>
      </c>
      <c r="J139" s="628" t="str">
        <f>IFERROR(__xludf.DUMMYFUNCTION("IF($G139="""","""",IFERROR(query({proventos!$B$5:$Q310},""Select sum(Col16) where Col1 = '""&amp;$G139&amp;""' and Col2 &gt; date '""&amp;TEXT(K$8,""yyyy-mm-dd"")&amp;""' and Col2 &lt;= date '""&amp;TEXT(J$8,""yyyy-mm-dd"")&amp;""' label sum(Col16) ''"",0)))"),"")</f>
        <v/>
      </c>
      <c r="K139" s="628" t="str">
        <f>IFERROR(__xludf.DUMMYFUNCTION("IF($G139="""","""",IFERROR(query({proventos!$B$5:$Q310},""Select sum(Col16) where Col1 = '""&amp;$G139&amp;""' and Col2 &gt; date '""&amp;TEXT(L$8,""yyyy-mm-dd"")&amp;""' and Col2 &lt;= date '""&amp;TEXT(K$8,""yyyy-mm-dd"")&amp;""' label sum(Col16) ''"",0)))"),"")</f>
        <v/>
      </c>
      <c r="L139" s="628" t="str">
        <f>IFERROR(__xludf.DUMMYFUNCTION("IF($G139="""","""",IFERROR(query({proventos!$B$5:$Q310},""Select sum(Col16) where Col1 = '""&amp;$G139&amp;""' and Col2 &gt; date '""&amp;TEXT(M$8,""yyyy-mm-dd"")&amp;""' and Col2 &lt;= date '""&amp;TEXT(L$8,""yyyy-mm-dd"")&amp;""' label sum(Col16) ''"",0)))"),"")</f>
        <v/>
      </c>
      <c r="M139" s="628" t="str">
        <f>IFERROR(__xludf.DUMMYFUNCTION("IF($G139="""","""",IFERROR(query({proventos!$B$5:$Q310},""Select sum(Col16) where Col1 = '""&amp;$G139&amp;""' and Col2 &gt; date '""&amp;TEXT(N$8,""yyyy-mm-dd"")&amp;""' and Col2 &lt;= date '""&amp;TEXT(M$8,""yyyy-mm-dd"")&amp;""' label sum(Col16) ''"",0)))"),"")</f>
        <v/>
      </c>
      <c r="N139" s="628" t="str">
        <f>IFERROR(__xludf.DUMMYFUNCTION("IF($G139="""","""",IFERROR(query({proventos!$B$5:$Q310},""Select sum(Col16) where Col1 = '""&amp;$G139&amp;""' and Col2 &gt; date '""&amp;TEXT(O$8,""yyyy-mm-dd"")&amp;""' and Col2 &lt;= date '""&amp;TEXT(N$8,""yyyy-mm-dd"")&amp;""' label sum(Col16) ''"",0)))"),"")</f>
        <v/>
      </c>
      <c r="O139" s="628" t="str">
        <f>IFERROR(__xludf.DUMMYFUNCTION("IF($G139="""","""",IFERROR(query({proventos!$B$5:$Q310},""Select sum(Col16) where Col1 = '""&amp;$G139&amp;""' and Col2 &gt; date '""&amp;TEXT(P$8,""yyyy-mm-dd"")&amp;""' and Col2 &lt;= date '""&amp;TEXT(O$8,""yyyy-mm-dd"")&amp;""' label sum(Col16) ''"",0)))"),"")</f>
        <v/>
      </c>
      <c r="P139" s="628" t="str">
        <f>IFERROR(__xludf.DUMMYFUNCTION("IF($G139="""","""",IFERROR(query({proventos!$B$5:$Q310},""Select sum(Col16) where Col1 = '""&amp;$G139&amp;""' and Col2 &gt; date '""&amp;TEXT(Q$8,""yyyy-mm-dd"")&amp;""' and Col2 &lt;= date '""&amp;TEXT(P$8,""yyyy-mm-dd"")&amp;""' label sum(Col16) ''"",0)))"),"")</f>
        <v/>
      </c>
      <c r="Q139" s="628" t="str">
        <f>IFERROR(__xludf.DUMMYFUNCTION("IF($G139="""","""",IFERROR(query({proventos!$B$5:$Q310},""Select sum(Col16) where Col1 = '""&amp;$G139&amp;""' and Col2 &gt; date '""&amp;TEXT(R$8,""yyyy-mm-dd"")&amp;""' and Col2 &lt;= date '""&amp;TEXT(Q$8,""yyyy-mm-dd"")&amp;""' label sum(Col16) ''"",0)))"),"")</f>
        <v/>
      </c>
      <c r="R139" s="628" t="str">
        <f>IFERROR(__xludf.DUMMYFUNCTION("IF($G139="""","""",IFERROR(query({proventos!$B$5:$Q310},""Select sum(Col16) where Col1 = '""&amp;$G139&amp;""' and Col2 &gt; date '""&amp;TEXT(S$8,""yyyy-mm-dd"")&amp;""' and Col2 &lt;= date '""&amp;TEXT(R$8,""yyyy-mm-dd"")&amp;""' label sum(Col16) ''"",0)))"),"")</f>
        <v/>
      </c>
      <c r="S139" s="628" t="str">
        <f>IFERROR(__xludf.DUMMYFUNCTION("IF($G139="""","""",IFERROR(query({proventos!$B$5:$Q310},""Select sum(Col16) where Col1 = '""&amp;$G139&amp;""' and Col2 &gt; date '""&amp;TEXT(T$8,""yyyy-mm-dd"")&amp;""' and Col2 &lt;= date '""&amp;TEXT(S$8,""yyyy-mm-dd"")&amp;""' label sum(Col16) ''"",0)))"),"")</f>
        <v/>
      </c>
      <c r="T139" s="628" t="str">
        <f>IFERROR(__xludf.DUMMYFUNCTION("IF($G139="""","""",IFERROR(query({proventos!$B$5:$Q310},""Select sum(Col16) where Col1 = '""&amp;$G139&amp;""' and Col2 &gt; date '""&amp;TEXT(U$8,""yyyy-mm-dd"")&amp;""' and Col2 &lt;= date '""&amp;TEXT(T$8,""yyyy-mm-dd"")&amp;""' label sum(Col16) ''"",0)))"),"")</f>
        <v/>
      </c>
      <c r="U139" s="629" t="str">
        <f>IFERROR(__xludf.DUMMYFUNCTION("IF($G139="""","""",IFERROR(query({proventos!$B$5:$Q310},""Select sum(Col16) where Col1 = '""&amp;$G139&amp;""' and Col2 &gt; date '""&amp;TEXT(EOMONTH(TODAY(),-13),""yyyy-mm-dd"")&amp;""' and Col2 &lt;= date '""&amp;TEXT(U$8,""yyyy-mm-dd"")&amp;""' label sum(Col16) ''"",0)))"),"")</f>
        <v/>
      </c>
      <c r="V139" s="630" t="str">
        <f>IFERROR(__xludf.DUMMYFUNCTION("IF($G139="""","""",IFERROR(query({proventos!$B$5:$Q310},""Select sum(Col16) where Col1 = '""&amp;$G139&amp;""' and Col2 &gt; date '""&amp;TEXT(DATE(V$8,1,1),""yyyy-mm-dd"")&amp;""' and Col2 &lt;= date '""&amp;TEXT(DATE(V$8,12,31),""yyyy-mm-dd"")&amp;""' label sum(Col16) ''"",0)))"),"")</f>
        <v/>
      </c>
      <c r="W139" s="630" t="str">
        <f>IFERROR(__xludf.DUMMYFUNCTION("IF($G139="""","""",IFERROR(query({proventos!$B$5:$Q310},""Select sum(Col16) where Col1 = '""&amp;$G139&amp;""' and Col2 &gt; date '""&amp;TEXT(DATE(W$8,1,1),""yyyy-mm-dd"")&amp;""' and Col2 &lt;= date '""&amp;TEXT(DATE(W$8,12,31),""yyyy-mm-dd"")&amp;""' label sum(Col16) ''"",0)))"),"")</f>
        <v/>
      </c>
      <c r="X139" s="630" t="str">
        <f>IFERROR(__xludf.DUMMYFUNCTION("IF($G139="""","""",IFERROR(query({proventos!$B$5:$Q310},""Select sum(Col16) where Col1 = '""&amp;$G139&amp;""' and Col2 &gt; date '""&amp;TEXT(DATE(X$8,1,1),""yyyy-mm-dd"")&amp;""' and Col2 &lt;= date '""&amp;TEXT(DATE(X$8,12,31),""yyyy-mm-dd"")&amp;""' label sum(Col16) ''"",0)))"),"")</f>
        <v/>
      </c>
      <c r="Y139" s="630" t="str">
        <f>IFERROR(__xludf.DUMMYFUNCTION("IF($G139="""","""",IFERROR(query({proventos!$B$5:$Q310},""Select sum(Col16) where Col1 = '""&amp;$G139&amp;""' and Col2 &gt; date '""&amp;TEXT(DATE(Y$8,1,1),""yyyy-mm-dd"")&amp;""' and Col2 &lt;= date '""&amp;TEXT(DATE(Y$8,12,31),""yyyy-mm-dd"")&amp;""' label sum(Col16) ''"",0)))"),"")</f>
        <v/>
      </c>
      <c r="Z139" s="630" t="str">
        <f>IFERROR(__xludf.DUMMYFUNCTION("IF($G139="""","""",IFERROR(query({proventos!$B$5:$Q310},""Select sum(Col16) where Col1 = '""&amp;$G139&amp;""' and Col2 &gt; date '""&amp;TEXT(DATE(Z$8,1,1),""yyyy-mm-dd"")&amp;""' and Col2 &lt;= date '""&amp;TEXT(DATE(Z$8,12,31),""yyyy-mm-dd"")&amp;""' label sum(Col16) ''"",0)))"),"")</f>
        <v/>
      </c>
      <c r="AA139" s="587"/>
      <c r="AB139" s="578" t="s">
        <v>123</v>
      </c>
      <c r="AC139" s="601"/>
      <c r="AD139" s="636"/>
      <c r="AE139" s="636"/>
    </row>
    <row r="140">
      <c r="A140" s="576"/>
      <c r="B140" s="620"/>
      <c r="C140" s="637"/>
      <c r="D140" s="633"/>
      <c r="E140" s="633"/>
      <c r="F140" s="624">
        <v>130.0</v>
      </c>
      <c r="G140" s="635"/>
      <c r="H140" s="626" t="str">
        <f>if(G140="","",IFERROR(VLOOKUP(G140,AtivosDados,MATCH("provento_avg",portfolio.!$A$3:AE$3,0),FALSE),""))</f>
        <v/>
      </c>
      <c r="I140" s="627" t="s">
        <v>123</v>
      </c>
      <c r="J140" s="628" t="str">
        <f>IFERROR(__xludf.DUMMYFUNCTION("IF($G140="""","""",IFERROR(query({proventos!$B$5:$Q310},""Select sum(Col16) where Col1 = '""&amp;$G140&amp;""' and Col2 &gt; date '""&amp;TEXT(K$8,""yyyy-mm-dd"")&amp;""' and Col2 &lt;= date '""&amp;TEXT(J$8,""yyyy-mm-dd"")&amp;""' label sum(Col16) ''"",0)))"),"")</f>
        <v/>
      </c>
      <c r="K140" s="628" t="str">
        <f>IFERROR(__xludf.DUMMYFUNCTION("IF($G140="""","""",IFERROR(query({proventos!$B$5:$Q310},""Select sum(Col16) where Col1 = '""&amp;$G140&amp;""' and Col2 &gt; date '""&amp;TEXT(L$8,""yyyy-mm-dd"")&amp;""' and Col2 &lt;= date '""&amp;TEXT(K$8,""yyyy-mm-dd"")&amp;""' label sum(Col16) ''"",0)))"),"")</f>
        <v/>
      </c>
      <c r="L140" s="628" t="str">
        <f>IFERROR(__xludf.DUMMYFUNCTION("IF($G140="""","""",IFERROR(query({proventos!$B$5:$Q310},""Select sum(Col16) where Col1 = '""&amp;$G140&amp;""' and Col2 &gt; date '""&amp;TEXT(M$8,""yyyy-mm-dd"")&amp;""' and Col2 &lt;= date '""&amp;TEXT(L$8,""yyyy-mm-dd"")&amp;""' label sum(Col16) ''"",0)))"),"")</f>
        <v/>
      </c>
      <c r="M140" s="628" t="str">
        <f>IFERROR(__xludf.DUMMYFUNCTION("IF($G140="""","""",IFERROR(query({proventos!$B$5:$Q310},""Select sum(Col16) where Col1 = '""&amp;$G140&amp;""' and Col2 &gt; date '""&amp;TEXT(N$8,""yyyy-mm-dd"")&amp;""' and Col2 &lt;= date '""&amp;TEXT(M$8,""yyyy-mm-dd"")&amp;""' label sum(Col16) ''"",0)))"),"")</f>
        <v/>
      </c>
      <c r="N140" s="628" t="str">
        <f>IFERROR(__xludf.DUMMYFUNCTION("IF($G140="""","""",IFERROR(query({proventos!$B$5:$Q310},""Select sum(Col16) where Col1 = '""&amp;$G140&amp;""' and Col2 &gt; date '""&amp;TEXT(O$8,""yyyy-mm-dd"")&amp;""' and Col2 &lt;= date '""&amp;TEXT(N$8,""yyyy-mm-dd"")&amp;""' label sum(Col16) ''"",0)))"),"")</f>
        <v/>
      </c>
      <c r="O140" s="628" t="str">
        <f>IFERROR(__xludf.DUMMYFUNCTION("IF($G140="""","""",IFERROR(query({proventos!$B$5:$Q310},""Select sum(Col16) where Col1 = '""&amp;$G140&amp;""' and Col2 &gt; date '""&amp;TEXT(P$8,""yyyy-mm-dd"")&amp;""' and Col2 &lt;= date '""&amp;TEXT(O$8,""yyyy-mm-dd"")&amp;""' label sum(Col16) ''"",0)))"),"")</f>
        <v/>
      </c>
      <c r="P140" s="628" t="str">
        <f>IFERROR(__xludf.DUMMYFUNCTION("IF($G140="""","""",IFERROR(query({proventos!$B$5:$Q310},""Select sum(Col16) where Col1 = '""&amp;$G140&amp;""' and Col2 &gt; date '""&amp;TEXT(Q$8,""yyyy-mm-dd"")&amp;""' and Col2 &lt;= date '""&amp;TEXT(P$8,""yyyy-mm-dd"")&amp;""' label sum(Col16) ''"",0)))"),"")</f>
        <v/>
      </c>
      <c r="Q140" s="628" t="str">
        <f>IFERROR(__xludf.DUMMYFUNCTION("IF($G140="""","""",IFERROR(query({proventos!$B$5:$Q310},""Select sum(Col16) where Col1 = '""&amp;$G140&amp;""' and Col2 &gt; date '""&amp;TEXT(R$8,""yyyy-mm-dd"")&amp;""' and Col2 &lt;= date '""&amp;TEXT(Q$8,""yyyy-mm-dd"")&amp;""' label sum(Col16) ''"",0)))"),"")</f>
        <v/>
      </c>
      <c r="R140" s="628" t="str">
        <f>IFERROR(__xludf.DUMMYFUNCTION("IF($G140="""","""",IFERROR(query({proventos!$B$5:$Q310},""Select sum(Col16) where Col1 = '""&amp;$G140&amp;""' and Col2 &gt; date '""&amp;TEXT(S$8,""yyyy-mm-dd"")&amp;""' and Col2 &lt;= date '""&amp;TEXT(R$8,""yyyy-mm-dd"")&amp;""' label sum(Col16) ''"",0)))"),"")</f>
        <v/>
      </c>
      <c r="S140" s="628" t="str">
        <f>IFERROR(__xludf.DUMMYFUNCTION("IF($G140="""","""",IFERROR(query({proventos!$B$5:$Q310},""Select sum(Col16) where Col1 = '""&amp;$G140&amp;""' and Col2 &gt; date '""&amp;TEXT(T$8,""yyyy-mm-dd"")&amp;""' and Col2 &lt;= date '""&amp;TEXT(S$8,""yyyy-mm-dd"")&amp;""' label sum(Col16) ''"",0)))"),"")</f>
        <v/>
      </c>
      <c r="T140" s="628" t="str">
        <f>IFERROR(__xludf.DUMMYFUNCTION("IF($G140="""","""",IFERROR(query({proventos!$B$5:$Q310},""Select sum(Col16) where Col1 = '""&amp;$G140&amp;""' and Col2 &gt; date '""&amp;TEXT(U$8,""yyyy-mm-dd"")&amp;""' and Col2 &lt;= date '""&amp;TEXT(T$8,""yyyy-mm-dd"")&amp;""' label sum(Col16) ''"",0)))"),"")</f>
        <v/>
      </c>
      <c r="U140" s="629" t="str">
        <f>IFERROR(__xludf.DUMMYFUNCTION("IF($G140="""","""",IFERROR(query({proventos!$B$5:$Q310},""Select sum(Col16) where Col1 = '""&amp;$G140&amp;""' and Col2 &gt; date '""&amp;TEXT(EOMONTH(TODAY(),-13),""yyyy-mm-dd"")&amp;""' and Col2 &lt;= date '""&amp;TEXT(U$8,""yyyy-mm-dd"")&amp;""' label sum(Col16) ''"",0)))"),"")</f>
        <v/>
      </c>
      <c r="V140" s="630" t="str">
        <f>IFERROR(__xludf.DUMMYFUNCTION("IF($G140="""","""",IFERROR(query({proventos!$B$5:$Q310},""Select sum(Col16) where Col1 = '""&amp;$G140&amp;""' and Col2 &gt; date '""&amp;TEXT(DATE(V$8,1,1),""yyyy-mm-dd"")&amp;""' and Col2 &lt;= date '""&amp;TEXT(DATE(V$8,12,31),""yyyy-mm-dd"")&amp;""' label sum(Col16) ''"",0)))"),"")</f>
        <v/>
      </c>
      <c r="W140" s="630" t="str">
        <f>IFERROR(__xludf.DUMMYFUNCTION("IF($G140="""","""",IFERROR(query({proventos!$B$5:$Q310},""Select sum(Col16) where Col1 = '""&amp;$G140&amp;""' and Col2 &gt; date '""&amp;TEXT(DATE(W$8,1,1),""yyyy-mm-dd"")&amp;""' and Col2 &lt;= date '""&amp;TEXT(DATE(W$8,12,31),""yyyy-mm-dd"")&amp;""' label sum(Col16) ''"",0)))"),"")</f>
        <v/>
      </c>
      <c r="X140" s="630" t="str">
        <f>IFERROR(__xludf.DUMMYFUNCTION("IF($G140="""","""",IFERROR(query({proventos!$B$5:$Q310},""Select sum(Col16) where Col1 = '""&amp;$G140&amp;""' and Col2 &gt; date '""&amp;TEXT(DATE(X$8,1,1),""yyyy-mm-dd"")&amp;""' and Col2 &lt;= date '""&amp;TEXT(DATE(X$8,12,31),""yyyy-mm-dd"")&amp;""' label sum(Col16) ''"",0)))"),"")</f>
        <v/>
      </c>
      <c r="Y140" s="630" t="str">
        <f>IFERROR(__xludf.DUMMYFUNCTION("IF($G140="""","""",IFERROR(query({proventos!$B$5:$Q310},""Select sum(Col16) where Col1 = '""&amp;$G140&amp;""' and Col2 &gt; date '""&amp;TEXT(DATE(Y$8,1,1),""yyyy-mm-dd"")&amp;""' and Col2 &lt;= date '""&amp;TEXT(DATE(Y$8,12,31),""yyyy-mm-dd"")&amp;""' label sum(Col16) ''"",0)))"),"")</f>
        <v/>
      </c>
      <c r="Z140" s="630" t="str">
        <f>IFERROR(__xludf.DUMMYFUNCTION("IF($G140="""","""",IFERROR(query({proventos!$B$5:$Q310},""Select sum(Col16) where Col1 = '""&amp;$G140&amp;""' and Col2 &gt; date '""&amp;TEXT(DATE(Z$8,1,1),""yyyy-mm-dd"")&amp;""' and Col2 &lt;= date '""&amp;TEXT(DATE(Z$8,12,31),""yyyy-mm-dd"")&amp;""' label sum(Col16) ''"",0)))"),"")</f>
        <v/>
      </c>
      <c r="AA140" s="587"/>
      <c r="AB140" s="578" t="s">
        <v>123</v>
      </c>
      <c r="AC140" s="601"/>
      <c r="AD140" s="636"/>
      <c r="AE140" s="636"/>
    </row>
    <row r="141">
      <c r="A141" s="576"/>
      <c r="B141" s="620"/>
      <c r="C141" s="637"/>
      <c r="D141" s="633"/>
      <c r="E141" s="633"/>
      <c r="F141" s="624">
        <v>131.0</v>
      </c>
      <c r="G141" s="635"/>
      <c r="H141" s="626" t="str">
        <f>if(G141="","",IFERROR(VLOOKUP(G141,AtivosDados,MATCH("provento_avg",portfolio.!$A$3:AE$3,0),FALSE),""))</f>
        <v/>
      </c>
      <c r="I141" s="627" t="s">
        <v>123</v>
      </c>
      <c r="J141" s="628" t="str">
        <f>IFERROR(__xludf.DUMMYFUNCTION("IF($G141="""","""",IFERROR(query({proventos!$B$5:$Q310},""Select sum(Col16) where Col1 = '""&amp;$G141&amp;""' and Col2 &gt; date '""&amp;TEXT(K$8,""yyyy-mm-dd"")&amp;""' and Col2 &lt;= date '""&amp;TEXT(J$8,""yyyy-mm-dd"")&amp;""' label sum(Col16) ''"",0)))"),"")</f>
        <v/>
      </c>
      <c r="K141" s="628" t="str">
        <f>IFERROR(__xludf.DUMMYFUNCTION("IF($G141="""","""",IFERROR(query({proventos!$B$5:$Q310},""Select sum(Col16) where Col1 = '""&amp;$G141&amp;""' and Col2 &gt; date '""&amp;TEXT(L$8,""yyyy-mm-dd"")&amp;""' and Col2 &lt;= date '""&amp;TEXT(K$8,""yyyy-mm-dd"")&amp;""' label sum(Col16) ''"",0)))"),"")</f>
        <v/>
      </c>
      <c r="L141" s="628" t="str">
        <f>IFERROR(__xludf.DUMMYFUNCTION("IF($G141="""","""",IFERROR(query({proventos!$B$5:$Q310},""Select sum(Col16) where Col1 = '""&amp;$G141&amp;""' and Col2 &gt; date '""&amp;TEXT(M$8,""yyyy-mm-dd"")&amp;""' and Col2 &lt;= date '""&amp;TEXT(L$8,""yyyy-mm-dd"")&amp;""' label sum(Col16) ''"",0)))"),"")</f>
        <v/>
      </c>
      <c r="M141" s="628" t="str">
        <f>IFERROR(__xludf.DUMMYFUNCTION("IF($G141="""","""",IFERROR(query({proventos!$B$5:$Q310},""Select sum(Col16) where Col1 = '""&amp;$G141&amp;""' and Col2 &gt; date '""&amp;TEXT(N$8,""yyyy-mm-dd"")&amp;""' and Col2 &lt;= date '""&amp;TEXT(M$8,""yyyy-mm-dd"")&amp;""' label sum(Col16) ''"",0)))"),"")</f>
        <v/>
      </c>
      <c r="N141" s="628" t="str">
        <f>IFERROR(__xludf.DUMMYFUNCTION("IF($G141="""","""",IFERROR(query({proventos!$B$5:$Q310},""Select sum(Col16) where Col1 = '""&amp;$G141&amp;""' and Col2 &gt; date '""&amp;TEXT(O$8,""yyyy-mm-dd"")&amp;""' and Col2 &lt;= date '""&amp;TEXT(N$8,""yyyy-mm-dd"")&amp;""' label sum(Col16) ''"",0)))"),"")</f>
        <v/>
      </c>
      <c r="O141" s="628" t="str">
        <f>IFERROR(__xludf.DUMMYFUNCTION("IF($G141="""","""",IFERROR(query({proventos!$B$5:$Q310},""Select sum(Col16) where Col1 = '""&amp;$G141&amp;""' and Col2 &gt; date '""&amp;TEXT(P$8,""yyyy-mm-dd"")&amp;""' and Col2 &lt;= date '""&amp;TEXT(O$8,""yyyy-mm-dd"")&amp;""' label sum(Col16) ''"",0)))"),"")</f>
        <v/>
      </c>
      <c r="P141" s="628" t="str">
        <f>IFERROR(__xludf.DUMMYFUNCTION("IF($G141="""","""",IFERROR(query({proventos!$B$5:$Q310},""Select sum(Col16) where Col1 = '""&amp;$G141&amp;""' and Col2 &gt; date '""&amp;TEXT(Q$8,""yyyy-mm-dd"")&amp;""' and Col2 &lt;= date '""&amp;TEXT(P$8,""yyyy-mm-dd"")&amp;""' label sum(Col16) ''"",0)))"),"")</f>
        <v/>
      </c>
      <c r="Q141" s="628" t="str">
        <f>IFERROR(__xludf.DUMMYFUNCTION("IF($G141="""","""",IFERROR(query({proventos!$B$5:$Q310},""Select sum(Col16) where Col1 = '""&amp;$G141&amp;""' and Col2 &gt; date '""&amp;TEXT(R$8,""yyyy-mm-dd"")&amp;""' and Col2 &lt;= date '""&amp;TEXT(Q$8,""yyyy-mm-dd"")&amp;""' label sum(Col16) ''"",0)))"),"")</f>
        <v/>
      </c>
      <c r="R141" s="628" t="str">
        <f>IFERROR(__xludf.DUMMYFUNCTION("IF($G141="""","""",IFERROR(query({proventos!$B$5:$Q310},""Select sum(Col16) where Col1 = '""&amp;$G141&amp;""' and Col2 &gt; date '""&amp;TEXT(S$8,""yyyy-mm-dd"")&amp;""' and Col2 &lt;= date '""&amp;TEXT(R$8,""yyyy-mm-dd"")&amp;""' label sum(Col16) ''"",0)))"),"")</f>
        <v/>
      </c>
      <c r="S141" s="628" t="str">
        <f>IFERROR(__xludf.DUMMYFUNCTION("IF($G141="""","""",IFERROR(query({proventos!$B$5:$Q310},""Select sum(Col16) where Col1 = '""&amp;$G141&amp;""' and Col2 &gt; date '""&amp;TEXT(T$8,""yyyy-mm-dd"")&amp;""' and Col2 &lt;= date '""&amp;TEXT(S$8,""yyyy-mm-dd"")&amp;""' label sum(Col16) ''"",0)))"),"")</f>
        <v/>
      </c>
      <c r="T141" s="628" t="str">
        <f>IFERROR(__xludf.DUMMYFUNCTION("IF($G141="""","""",IFERROR(query({proventos!$B$5:$Q310},""Select sum(Col16) where Col1 = '""&amp;$G141&amp;""' and Col2 &gt; date '""&amp;TEXT(U$8,""yyyy-mm-dd"")&amp;""' and Col2 &lt;= date '""&amp;TEXT(T$8,""yyyy-mm-dd"")&amp;""' label sum(Col16) ''"",0)))"),"")</f>
        <v/>
      </c>
      <c r="U141" s="629" t="str">
        <f>IFERROR(__xludf.DUMMYFUNCTION("IF($G141="""","""",IFERROR(query({proventos!$B$5:$Q310},""Select sum(Col16) where Col1 = '""&amp;$G141&amp;""' and Col2 &gt; date '""&amp;TEXT(EOMONTH(TODAY(),-13),""yyyy-mm-dd"")&amp;""' and Col2 &lt;= date '""&amp;TEXT(U$8,""yyyy-mm-dd"")&amp;""' label sum(Col16) ''"",0)))"),"")</f>
        <v/>
      </c>
      <c r="V141" s="630" t="str">
        <f>IFERROR(__xludf.DUMMYFUNCTION("IF($G141="""","""",IFERROR(query({proventos!$B$5:$Q310},""Select sum(Col16) where Col1 = '""&amp;$G141&amp;""' and Col2 &gt; date '""&amp;TEXT(DATE(V$8,1,1),""yyyy-mm-dd"")&amp;""' and Col2 &lt;= date '""&amp;TEXT(DATE(V$8,12,31),""yyyy-mm-dd"")&amp;""' label sum(Col16) ''"",0)))"),"")</f>
        <v/>
      </c>
      <c r="W141" s="630" t="str">
        <f>IFERROR(__xludf.DUMMYFUNCTION("IF($G141="""","""",IFERROR(query({proventos!$B$5:$Q310},""Select sum(Col16) where Col1 = '""&amp;$G141&amp;""' and Col2 &gt; date '""&amp;TEXT(DATE(W$8,1,1),""yyyy-mm-dd"")&amp;""' and Col2 &lt;= date '""&amp;TEXT(DATE(W$8,12,31),""yyyy-mm-dd"")&amp;""' label sum(Col16) ''"",0)))"),"")</f>
        <v/>
      </c>
      <c r="X141" s="630" t="str">
        <f>IFERROR(__xludf.DUMMYFUNCTION("IF($G141="""","""",IFERROR(query({proventos!$B$5:$Q310},""Select sum(Col16) where Col1 = '""&amp;$G141&amp;""' and Col2 &gt; date '""&amp;TEXT(DATE(X$8,1,1),""yyyy-mm-dd"")&amp;""' and Col2 &lt;= date '""&amp;TEXT(DATE(X$8,12,31),""yyyy-mm-dd"")&amp;""' label sum(Col16) ''"",0)))"),"")</f>
        <v/>
      </c>
      <c r="Y141" s="630" t="str">
        <f>IFERROR(__xludf.DUMMYFUNCTION("IF($G141="""","""",IFERROR(query({proventos!$B$5:$Q310},""Select sum(Col16) where Col1 = '""&amp;$G141&amp;""' and Col2 &gt; date '""&amp;TEXT(DATE(Y$8,1,1),""yyyy-mm-dd"")&amp;""' and Col2 &lt;= date '""&amp;TEXT(DATE(Y$8,12,31),""yyyy-mm-dd"")&amp;""' label sum(Col16) ''"",0)))"),"")</f>
        <v/>
      </c>
      <c r="Z141" s="630" t="str">
        <f>IFERROR(__xludf.DUMMYFUNCTION("IF($G141="""","""",IFERROR(query({proventos!$B$5:$Q310},""Select sum(Col16) where Col1 = '""&amp;$G141&amp;""' and Col2 &gt; date '""&amp;TEXT(DATE(Z$8,1,1),""yyyy-mm-dd"")&amp;""' and Col2 &lt;= date '""&amp;TEXT(DATE(Z$8,12,31),""yyyy-mm-dd"")&amp;""' label sum(Col16) ''"",0)))"),"")</f>
        <v/>
      </c>
      <c r="AA141" s="587"/>
      <c r="AB141" s="578" t="s">
        <v>123</v>
      </c>
      <c r="AC141" s="601"/>
      <c r="AD141" s="636"/>
      <c r="AE141" s="636"/>
    </row>
    <row r="142">
      <c r="A142" s="576"/>
      <c r="B142" s="620"/>
      <c r="C142" s="637"/>
      <c r="D142" s="633"/>
      <c r="E142" s="633"/>
      <c r="F142" s="624">
        <v>132.0</v>
      </c>
      <c r="G142" s="635"/>
      <c r="H142" s="626" t="str">
        <f>if(G142="","",IFERROR(VLOOKUP(G142,AtivosDados,MATCH("provento_avg",portfolio.!$A$3:AE$3,0),FALSE),""))</f>
        <v/>
      </c>
      <c r="I142" s="627" t="s">
        <v>123</v>
      </c>
      <c r="J142" s="628" t="str">
        <f>IFERROR(__xludf.DUMMYFUNCTION("IF($G142="""","""",IFERROR(query({proventos!$B$5:$Q310},""Select sum(Col16) where Col1 = '""&amp;$G142&amp;""' and Col2 &gt; date '""&amp;TEXT(K$8,""yyyy-mm-dd"")&amp;""' and Col2 &lt;= date '""&amp;TEXT(J$8,""yyyy-mm-dd"")&amp;""' label sum(Col16) ''"",0)))"),"")</f>
        <v/>
      </c>
      <c r="K142" s="628" t="str">
        <f>IFERROR(__xludf.DUMMYFUNCTION("IF($G142="""","""",IFERROR(query({proventos!$B$5:$Q310},""Select sum(Col16) where Col1 = '""&amp;$G142&amp;""' and Col2 &gt; date '""&amp;TEXT(L$8,""yyyy-mm-dd"")&amp;""' and Col2 &lt;= date '""&amp;TEXT(K$8,""yyyy-mm-dd"")&amp;""' label sum(Col16) ''"",0)))"),"")</f>
        <v/>
      </c>
      <c r="L142" s="628" t="str">
        <f>IFERROR(__xludf.DUMMYFUNCTION("IF($G142="""","""",IFERROR(query({proventos!$B$5:$Q310},""Select sum(Col16) where Col1 = '""&amp;$G142&amp;""' and Col2 &gt; date '""&amp;TEXT(M$8,""yyyy-mm-dd"")&amp;""' and Col2 &lt;= date '""&amp;TEXT(L$8,""yyyy-mm-dd"")&amp;""' label sum(Col16) ''"",0)))"),"")</f>
        <v/>
      </c>
      <c r="M142" s="628" t="str">
        <f>IFERROR(__xludf.DUMMYFUNCTION("IF($G142="""","""",IFERROR(query({proventos!$B$5:$Q310},""Select sum(Col16) where Col1 = '""&amp;$G142&amp;""' and Col2 &gt; date '""&amp;TEXT(N$8,""yyyy-mm-dd"")&amp;""' and Col2 &lt;= date '""&amp;TEXT(M$8,""yyyy-mm-dd"")&amp;""' label sum(Col16) ''"",0)))"),"")</f>
        <v/>
      </c>
      <c r="N142" s="628" t="str">
        <f>IFERROR(__xludf.DUMMYFUNCTION("IF($G142="""","""",IFERROR(query({proventos!$B$5:$Q310},""Select sum(Col16) where Col1 = '""&amp;$G142&amp;""' and Col2 &gt; date '""&amp;TEXT(O$8,""yyyy-mm-dd"")&amp;""' and Col2 &lt;= date '""&amp;TEXT(N$8,""yyyy-mm-dd"")&amp;""' label sum(Col16) ''"",0)))"),"")</f>
        <v/>
      </c>
      <c r="O142" s="628" t="str">
        <f>IFERROR(__xludf.DUMMYFUNCTION("IF($G142="""","""",IFERROR(query({proventos!$B$5:$Q310},""Select sum(Col16) where Col1 = '""&amp;$G142&amp;""' and Col2 &gt; date '""&amp;TEXT(P$8,""yyyy-mm-dd"")&amp;""' and Col2 &lt;= date '""&amp;TEXT(O$8,""yyyy-mm-dd"")&amp;""' label sum(Col16) ''"",0)))"),"")</f>
        <v/>
      </c>
      <c r="P142" s="628" t="str">
        <f>IFERROR(__xludf.DUMMYFUNCTION("IF($G142="""","""",IFERROR(query({proventos!$B$5:$Q310},""Select sum(Col16) where Col1 = '""&amp;$G142&amp;""' and Col2 &gt; date '""&amp;TEXT(Q$8,""yyyy-mm-dd"")&amp;""' and Col2 &lt;= date '""&amp;TEXT(P$8,""yyyy-mm-dd"")&amp;""' label sum(Col16) ''"",0)))"),"")</f>
        <v/>
      </c>
      <c r="Q142" s="628" t="str">
        <f>IFERROR(__xludf.DUMMYFUNCTION("IF($G142="""","""",IFERROR(query({proventos!$B$5:$Q310},""Select sum(Col16) where Col1 = '""&amp;$G142&amp;""' and Col2 &gt; date '""&amp;TEXT(R$8,""yyyy-mm-dd"")&amp;""' and Col2 &lt;= date '""&amp;TEXT(Q$8,""yyyy-mm-dd"")&amp;""' label sum(Col16) ''"",0)))"),"")</f>
        <v/>
      </c>
      <c r="R142" s="628" t="str">
        <f>IFERROR(__xludf.DUMMYFUNCTION("IF($G142="""","""",IFERROR(query({proventos!$B$5:$Q310},""Select sum(Col16) where Col1 = '""&amp;$G142&amp;""' and Col2 &gt; date '""&amp;TEXT(S$8,""yyyy-mm-dd"")&amp;""' and Col2 &lt;= date '""&amp;TEXT(R$8,""yyyy-mm-dd"")&amp;""' label sum(Col16) ''"",0)))"),"")</f>
        <v/>
      </c>
      <c r="S142" s="628" t="str">
        <f>IFERROR(__xludf.DUMMYFUNCTION("IF($G142="""","""",IFERROR(query({proventos!$B$5:$Q310},""Select sum(Col16) where Col1 = '""&amp;$G142&amp;""' and Col2 &gt; date '""&amp;TEXT(T$8,""yyyy-mm-dd"")&amp;""' and Col2 &lt;= date '""&amp;TEXT(S$8,""yyyy-mm-dd"")&amp;""' label sum(Col16) ''"",0)))"),"")</f>
        <v/>
      </c>
      <c r="T142" s="628" t="str">
        <f>IFERROR(__xludf.DUMMYFUNCTION("IF($G142="""","""",IFERROR(query({proventos!$B$5:$Q310},""Select sum(Col16) where Col1 = '""&amp;$G142&amp;""' and Col2 &gt; date '""&amp;TEXT(U$8,""yyyy-mm-dd"")&amp;""' and Col2 &lt;= date '""&amp;TEXT(T$8,""yyyy-mm-dd"")&amp;""' label sum(Col16) ''"",0)))"),"")</f>
        <v/>
      </c>
      <c r="U142" s="629" t="str">
        <f>IFERROR(__xludf.DUMMYFUNCTION("IF($G142="""","""",IFERROR(query({proventos!$B$5:$Q310},""Select sum(Col16) where Col1 = '""&amp;$G142&amp;""' and Col2 &gt; date '""&amp;TEXT(EOMONTH(TODAY(),-13),""yyyy-mm-dd"")&amp;""' and Col2 &lt;= date '""&amp;TEXT(U$8,""yyyy-mm-dd"")&amp;""' label sum(Col16) ''"",0)))"),"")</f>
        <v/>
      </c>
      <c r="V142" s="630" t="str">
        <f>IFERROR(__xludf.DUMMYFUNCTION("IF($G142="""","""",IFERROR(query({proventos!$B$5:$Q310},""Select sum(Col16) where Col1 = '""&amp;$G142&amp;""' and Col2 &gt; date '""&amp;TEXT(DATE(V$8,1,1),""yyyy-mm-dd"")&amp;""' and Col2 &lt;= date '""&amp;TEXT(DATE(V$8,12,31),""yyyy-mm-dd"")&amp;""' label sum(Col16) ''"",0)))"),"")</f>
        <v/>
      </c>
      <c r="W142" s="630" t="str">
        <f>IFERROR(__xludf.DUMMYFUNCTION("IF($G142="""","""",IFERROR(query({proventos!$B$5:$Q310},""Select sum(Col16) where Col1 = '""&amp;$G142&amp;""' and Col2 &gt; date '""&amp;TEXT(DATE(W$8,1,1),""yyyy-mm-dd"")&amp;""' and Col2 &lt;= date '""&amp;TEXT(DATE(W$8,12,31),""yyyy-mm-dd"")&amp;""' label sum(Col16) ''"",0)))"),"")</f>
        <v/>
      </c>
      <c r="X142" s="630" t="str">
        <f>IFERROR(__xludf.DUMMYFUNCTION("IF($G142="""","""",IFERROR(query({proventos!$B$5:$Q310},""Select sum(Col16) where Col1 = '""&amp;$G142&amp;""' and Col2 &gt; date '""&amp;TEXT(DATE(X$8,1,1),""yyyy-mm-dd"")&amp;""' and Col2 &lt;= date '""&amp;TEXT(DATE(X$8,12,31),""yyyy-mm-dd"")&amp;""' label sum(Col16) ''"",0)))"),"")</f>
        <v/>
      </c>
      <c r="Y142" s="630" t="str">
        <f>IFERROR(__xludf.DUMMYFUNCTION("IF($G142="""","""",IFERROR(query({proventos!$B$5:$Q310},""Select sum(Col16) where Col1 = '""&amp;$G142&amp;""' and Col2 &gt; date '""&amp;TEXT(DATE(Y$8,1,1),""yyyy-mm-dd"")&amp;""' and Col2 &lt;= date '""&amp;TEXT(DATE(Y$8,12,31),""yyyy-mm-dd"")&amp;""' label sum(Col16) ''"",0)))"),"")</f>
        <v/>
      </c>
      <c r="Z142" s="630" t="str">
        <f>IFERROR(__xludf.DUMMYFUNCTION("IF($G142="""","""",IFERROR(query({proventos!$B$5:$Q310},""Select sum(Col16) where Col1 = '""&amp;$G142&amp;""' and Col2 &gt; date '""&amp;TEXT(DATE(Z$8,1,1),""yyyy-mm-dd"")&amp;""' and Col2 &lt;= date '""&amp;TEXT(DATE(Z$8,12,31),""yyyy-mm-dd"")&amp;""' label sum(Col16) ''"",0)))"),"")</f>
        <v/>
      </c>
      <c r="AA142" s="587"/>
      <c r="AB142" s="578" t="s">
        <v>123</v>
      </c>
      <c r="AC142" s="601"/>
      <c r="AD142" s="636"/>
      <c r="AE142" s="636"/>
    </row>
    <row r="143">
      <c r="A143" s="576"/>
      <c r="B143" s="620"/>
      <c r="C143" s="637"/>
      <c r="D143" s="633"/>
      <c r="E143" s="633"/>
      <c r="F143" s="624">
        <v>133.0</v>
      </c>
      <c r="G143" s="635"/>
      <c r="H143" s="626" t="str">
        <f>if(G143="","",IFERROR(VLOOKUP(G143,AtivosDados,MATCH("provento_avg",portfolio.!$A$3:AE$3,0),FALSE),""))</f>
        <v/>
      </c>
      <c r="I143" s="627" t="s">
        <v>123</v>
      </c>
      <c r="J143" s="628" t="str">
        <f>IFERROR(__xludf.DUMMYFUNCTION("IF($G143="""","""",IFERROR(query({proventos!$B$5:$Q310},""Select sum(Col16) where Col1 = '""&amp;$G143&amp;""' and Col2 &gt; date '""&amp;TEXT(K$8,""yyyy-mm-dd"")&amp;""' and Col2 &lt;= date '""&amp;TEXT(J$8,""yyyy-mm-dd"")&amp;""' label sum(Col16) ''"",0)))"),"")</f>
        <v/>
      </c>
      <c r="K143" s="628" t="str">
        <f>IFERROR(__xludf.DUMMYFUNCTION("IF($G143="""","""",IFERROR(query({proventos!$B$5:$Q310},""Select sum(Col16) where Col1 = '""&amp;$G143&amp;""' and Col2 &gt; date '""&amp;TEXT(L$8,""yyyy-mm-dd"")&amp;""' and Col2 &lt;= date '""&amp;TEXT(K$8,""yyyy-mm-dd"")&amp;""' label sum(Col16) ''"",0)))"),"")</f>
        <v/>
      </c>
      <c r="L143" s="628" t="str">
        <f>IFERROR(__xludf.DUMMYFUNCTION("IF($G143="""","""",IFERROR(query({proventos!$B$5:$Q310},""Select sum(Col16) where Col1 = '""&amp;$G143&amp;""' and Col2 &gt; date '""&amp;TEXT(M$8,""yyyy-mm-dd"")&amp;""' and Col2 &lt;= date '""&amp;TEXT(L$8,""yyyy-mm-dd"")&amp;""' label sum(Col16) ''"",0)))"),"")</f>
        <v/>
      </c>
      <c r="M143" s="628" t="str">
        <f>IFERROR(__xludf.DUMMYFUNCTION("IF($G143="""","""",IFERROR(query({proventos!$B$5:$Q310},""Select sum(Col16) where Col1 = '""&amp;$G143&amp;""' and Col2 &gt; date '""&amp;TEXT(N$8,""yyyy-mm-dd"")&amp;""' and Col2 &lt;= date '""&amp;TEXT(M$8,""yyyy-mm-dd"")&amp;""' label sum(Col16) ''"",0)))"),"")</f>
        <v/>
      </c>
      <c r="N143" s="628" t="str">
        <f>IFERROR(__xludf.DUMMYFUNCTION("IF($G143="""","""",IFERROR(query({proventos!$B$5:$Q310},""Select sum(Col16) where Col1 = '""&amp;$G143&amp;""' and Col2 &gt; date '""&amp;TEXT(O$8,""yyyy-mm-dd"")&amp;""' and Col2 &lt;= date '""&amp;TEXT(N$8,""yyyy-mm-dd"")&amp;""' label sum(Col16) ''"",0)))"),"")</f>
        <v/>
      </c>
      <c r="O143" s="628" t="str">
        <f>IFERROR(__xludf.DUMMYFUNCTION("IF($G143="""","""",IFERROR(query({proventos!$B$5:$Q310},""Select sum(Col16) where Col1 = '""&amp;$G143&amp;""' and Col2 &gt; date '""&amp;TEXT(P$8,""yyyy-mm-dd"")&amp;""' and Col2 &lt;= date '""&amp;TEXT(O$8,""yyyy-mm-dd"")&amp;""' label sum(Col16) ''"",0)))"),"")</f>
        <v/>
      </c>
      <c r="P143" s="628" t="str">
        <f>IFERROR(__xludf.DUMMYFUNCTION("IF($G143="""","""",IFERROR(query({proventos!$B$5:$Q310},""Select sum(Col16) where Col1 = '""&amp;$G143&amp;""' and Col2 &gt; date '""&amp;TEXT(Q$8,""yyyy-mm-dd"")&amp;""' and Col2 &lt;= date '""&amp;TEXT(P$8,""yyyy-mm-dd"")&amp;""' label sum(Col16) ''"",0)))"),"")</f>
        <v/>
      </c>
      <c r="Q143" s="628" t="str">
        <f>IFERROR(__xludf.DUMMYFUNCTION("IF($G143="""","""",IFERROR(query({proventos!$B$5:$Q310},""Select sum(Col16) where Col1 = '""&amp;$G143&amp;""' and Col2 &gt; date '""&amp;TEXT(R$8,""yyyy-mm-dd"")&amp;""' and Col2 &lt;= date '""&amp;TEXT(Q$8,""yyyy-mm-dd"")&amp;""' label sum(Col16) ''"",0)))"),"")</f>
        <v/>
      </c>
      <c r="R143" s="628" t="str">
        <f>IFERROR(__xludf.DUMMYFUNCTION("IF($G143="""","""",IFERROR(query({proventos!$B$5:$Q310},""Select sum(Col16) where Col1 = '""&amp;$G143&amp;""' and Col2 &gt; date '""&amp;TEXT(S$8,""yyyy-mm-dd"")&amp;""' and Col2 &lt;= date '""&amp;TEXT(R$8,""yyyy-mm-dd"")&amp;""' label sum(Col16) ''"",0)))"),"")</f>
        <v/>
      </c>
      <c r="S143" s="628" t="str">
        <f>IFERROR(__xludf.DUMMYFUNCTION("IF($G143="""","""",IFERROR(query({proventos!$B$5:$Q310},""Select sum(Col16) where Col1 = '""&amp;$G143&amp;""' and Col2 &gt; date '""&amp;TEXT(T$8,""yyyy-mm-dd"")&amp;""' and Col2 &lt;= date '""&amp;TEXT(S$8,""yyyy-mm-dd"")&amp;""' label sum(Col16) ''"",0)))"),"")</f>
        <v/>
      </c>
      <c r="T143" s="628" t="str">
        <f>IFERROR(__xludf.DUMMYFUNCTION("IF($G143="""","""",IFERROR(query({proventos!$B$5:$Q310},""Select sum(Col16) where Col1 = '""&amp;$G143&amp;""' and Col2 &gt; date '""&amp;TEXT(U$8,""yyyy-mm-dd"")&amp;""' and Col2 &lt;= date '""&amp;TEXT(T$8,""yyyy-mm-dd"")&amp;""' label sum(Col16) ''"",0)))"),"")</f>
        <v/>
      </c>
      <c r="U143" s="629" t="str">
        <f>IFERROR(__xludf.DUMMYFUNCTION("IF($G143="""","""",IFERROR(query({proventos!$B$5:$Q310},""Select sum(Col16) where Col1 = '""&amp;$G143&amp;""' and Col2 &gt; date '""&amp;TEXT(EOMONTH(TODAY(),-13),""yyyy-mm-dd"")&amp;""' and Col2 &lt;= date '""&amp;TEXT(U$8,""yyyy-mm-dd"")&amp;""' label sum(Col16) ''"",0)))"),"")</f>
        <v/>
      </c>
      <c r="V143" s="630" t="str">
        <f>IFERROR(__xludf.DUMMYFUNCTION("IF($G143="""","""",IFERROR(query({proventos!$B$5:$Q310},""Select sum(Col16) where Col1 = '""&amp;$G143&amp;""' and Col2 &gt; date '""&amp;TEXT(DATE(V$8,1,1),""yyyy-mm-dd"")&amp;""' and Col2 &lt;= date '""&amp;TEXT(DATE(V$8,12,31),""yyyy-mm-dd"")&amp;""' label sum(Col16) ''"",0)))"),"")</f>
        <v/>
      </c>
      <c r="W143" s="630" t="str">
        <f>IFERROR(__xludf.DUMMYFUNCTION("IF($G143="""","""",IFERROR(query({proventos!$B$5:$Q310},""Select sum(Col16) where Col1 = '""&amp;$G143&amp;""' and Col2 &gt; date '""&amp;TEXT(DATE(W$8,1,1),""yyyy-mm-dd"")&amp;""' and Col2 &lt;= date '""&amp;TEXT(DATE(W$8,12,31),""yyyy-mm-dd"")&amp;""' label sum(Col16) ''"",0)))"),"")</f>
        <v/>
      </c>
      <c r="X143" s="630" t="str">
        <f>IFERROR(__xludf.DUMMYFUNCTION("IF($G143="""","""",IFERROR(query({proventos!$B$5:$Q310},""Select sum(Col16) where Col1 = '""&amp;$G143&amp;""' and Col2 &gt; date '""&amp;TEXT(DATE(X$8,1,1),""yyyy-mm-dd"")&amp;""' and Col2 &lt;= date '""&amp;TEXT(DATE(X$8,12,31),""yyyy-mm-dd"")&amp;""' label sum(Col16) ''"",0)))"),"")</f>
        <v/>
      </c>
      <c r="Y143" s="630" t="str">
        <f>IFERROR(__xludf.DUMMYFUNCTION("IF($G143="""","""",IFERROR(query({proventos!$B$5:$Q310},""Select sum(Col16) where Col1 = '""&amp;$G143&amp;""' and Col2 &gt; date '""&amp;TEXT(DATE(Y$8,1,1),""yyyy-mm-dd"")&amp;""' and Col2 &lt;= date '""&amp;TEXT(DATE(Y$8,12,31),""yyyy-mm-dd"")&amp;""' label sum(Col16) ''"",0)))"),"")</f>
        <v/>
      </c>
      <c r="Z143" s="630" t="str">
        <f>IFERROR(__xludf.DUMMYFUNCTION("IF($G143="""","""",IFERROR(query({proventos!$B$5:$Q310},""Select sum(Col16) where Col1 = '""&amp;$G143&amp;""' and Col2 &gt; date '""&amp;TEXT(DATE(Z$8,1,1),""yyyy-mm-dd"")&amp;""' and Col2 &lt;= date '""&amp;TEXT(DATE(Z$8,12,31),""yyyy-mm-dd"")&amp;""' label sum(Col16) ''"",0)))"),"")</f>
        <v/>
      </c>
      <c r="AA143" s="587"/>
      <c r="AB143" s="578" t="s">
        <v>123</v>
      </c>
      <c r="AC143" s="601"/>
      <c r="AD143" s="636"/>
      <c r="AE143" s="636"/>
    </row>
    <row r="144">
      <c r="A144" s="576"/>
      <c r="B144" s="620"/>
      <c r="C144" s="637"/>
      <c r="D144" s="633"/>
      <c r="E144" s="633"/>
      <c r="F144" s="624">
        <v>134.0</v>
      </c>
      <c r="G144" s="635"/>
      <c r="H144" s="626" t="str">
        <f>if(G144="","",IFERROR(VLOOKUP(G144,AtivosDados,MATCH("provento_avg",portfolio.!$A$3:AE$3,0),FALSE),""))</f>
        <v/>
      </c>
      <c r="I144" s="627" t="s">
        <v>123</v>
      </c>
      <c r="J144" s="628" t="str">
        <f>IFERROR(__xludf.DUMMYFUNCTION("IF($G144="""","""",IFERROR(query({proventos!$B$5:$Q310},""Select sum(Col16) where Col1 = '""&amp;$G144&amp;""' and Col2 &gt; date '""&amp;TEXT(K$8,""yyyy-mm-dd"")&amp;""' and Col2 &lt;= date '""&amp;TEXT(J$8,""yyyy-mm-dd"")&amp;""' label sum(Col16) ''"",0)))"),"")</f>
        <v/>
      </c>
      <c r="K144" s="628" t="str">
        <f>IFERROR(__xludf.DUMMYFUNCTION("IF($G144="""","""",IFERROR(query({proventos!$B$5:$Q310},""Select sum(Col16) where Col1 = '""&amp;$G144&amp;""' and Col2 &gt; date '""&amp;TEXT(L$8,""yyyy-mm-dd"")&amp;""' and Col2 &lt;= date '""&amp;TEXT(K$8,""yyyy-mm-dd"")&amp;""' label sum(Col16) ''"",0)))"),"")</f>
        <v/>
      </c>
      <c r="L144" s="628" t="str">
        <f>IFERROR(__xludf.DUMMYFUNCTION("IF($G144="""","""",IFERROR(query({proventos!$B$5:$Q310},""Select sum(Col16) where Col1 = '""&amp;$G144&amp;""' and Col2 &gt; date '""&amp;TEXT(M$8,""yyyy-mm-dd"")&amp;""' and Col2 &lt;= date '""&amp;TEXT(L$8,""yyyy-mm-dd"")&amp;""' label sum(Col16) ''"",0)))"),"")</f>
        <v/>
      </c>
      <c r="M144" s="628" t="str">
        <f>IFERROR(__xludf.DUMMYFUNCTION("IF($G144="""","""",IFERROR(query({proventos!$B$5:$Q310},""Select sum(Col16) where Col1 = '""&amp;$G144&amp;""' and Col2 &gt; date '""&amp;TEXT(N$8,""yyyy-mm-dd"")&amp;""' and Col2 &lt;= date '""&amp;TEXT(M$8,""yyyy-mm-dd"")&amp;""' label sum(Col16) ''"",0)))"),"")</f>
        <v/>
      </c>
      <c r="N144" s="628" t="str">
        <f>IFERROR(__xludf.DUMMYFUNCTION("IF($G144="""","""",IFERROR(query({proventos!$B$5:$Q310},""Select sum(Col16) where Col1 = '""&amp;$G144&amp;""' and Col2 &gt; date '""&amp;TEXT(O$8,""yyyy-mm-dd"")&amp;""' and Col2 &lt;= date '""&amp;TEXT(N$8,""yyyy-mm-dd"")&amp;""' label sum(Col16) ''"",0)))"),"")</f>
        <v/>
      </c>
      <c r="O144" s="628" t="str">
        <f>IFERROR(__xludf.DUMMYFUNCTION("IF($G144="""","""",IFERROR(query({proventos!$B$5:$Q310},""Select sum(Col16) where Col1 = '""&amp;$G144&amp;""' and Col2 &gt; date '""&amp;TEXT(P$8,""yyyy-mm-dd"")&amp;""' and Col2 &lt;= date '""&amp;TEXT(O$8,""yyyy-mm-dd"")&amp;""' label sum(Col16) ''"",0)))"),"")</f>
        <v/>
      </c>
      <c r="P144" s="628" t="str">
        <f>IFERROR(__xludf.DUMMYFUNCTION("IF($G144="""","""",IFERROR(query({proventos!$B$5:$Q310},""Select sum(Col16) where Col1 = '""&amp;$G144&amp;""' and Col2 &gt; date '""&amp;TEXT(Q$8,""yyyy-mm-dd"")&amp;""' and Col2 &lt;= date '""&amp;TEXT(P$8,""yyyy-mm-dd"")&amp;""' label sum(Col16) ''"",0)))"),"")</f>
        <v/>
      </c>
      <c r="Q144" s="628" t="str">
        <f>IFERROR(__xludf.DUMMYFUNCTION("IF($G144="""","""",IFERROR(query({proventos!$B$5:$Q310},""Select sum(Col16) where Col1 = '""&amp;$G144&amp;""' and Col2 &gt; date '""&amp;TEXT(R$8,""yyyy-mm-dd"")&amp;""' and Col2 &lt;= date '""&amp;TEXT(Q$8,""yyyy-mm-dd"")&amp;""' label sum(Col16) ''"",0)))"),"")</f>
        <v/>
      </c>
      <c r="R144" s="628" t="str">
        <f>IFERROR(__xludf.DUMMYFUNCTION("IF($G144="""","""",IFERROR(query({proventos!$B$5:$Q310},""Select sum(Col16) where Col1 = '""&amp;$G144&amp;""' and Col2 &gt; date '""&amp;TEXT(S$8,""yyyy-mm-dd"")&amp;""' and Col2 &lt;= date '""&amp;TEXT(R$8,""yyyy-mm-dd"")&amp;""' label sum(Col16) ''"",0)))"),"")</f>
        <v/>
      </c>
      <c r="S144" s="628" t="str">
        <f>IFERROR(__xludf.DUMMYFUNCTION("IF($G144="""","""",IFERROR(query({proventos!$B$5:$Q310},""Select sum(Col16) where Col1 = '""&amp;$G144&amp;""' and Col2 &gt; date '""&amp;TEXT(T$8,""yyyy-mm-dd"")&amp;""' and Col2 &lt;= date '""&amp;TEXT(S$8,""yyyy-mm-dd"")&amp;""' label sum(Col16) ''"",0)))"),"")</f>
        <v/>
      </c>
      <c r="T144" s="628" t="str">
        <f>IFERROR(__xludf.DUMMYFUNCTION("IF($G144="""","""",IFERROR(query({proventos!$B$5:$Q310},""Select sum(Col16) where Col1 = '""&amp;$G144&amp;""' and Col2 &gt; date '""&amp;TEXT(U$8,""yyyy-mm-dd"")&amp;""' and Col2 &lt;= date '""&amp;TEXT(T$8,""yyyy-mm-dd"")&amp;""' label sum(Col16) ''"",0)))"),"")</f>
        <v/>
      </c>
      <c r="U144" s="629" t="str">
        <f>IFERROR(__xludf.DUMMYFUNCTION("IF($G144="""","""",IFERROR(query({proventos!$B$5:$Q310},""Select sum(Col16) where Col1 = '""&amp;$G144&amp;""' and Col2 &gt; date '""&amp;TEXT(EOMONTH(TODAY(),-13),""yyyy-mm-dd"")&amp;""' and Col2 &lt;= date '""&amp;TEXT(U$8,""yyyy-mm-dd"")&amp;""' label sum(Col16) ''"",0)))"),"")</f>
        <v/>
      </c>
      <c r="V144" s="630" t="str">
        <f>IFERROR(__xludf.DUMMYFUNCTION("IF($G144="""","""",IFERROR(query({proventos!$B$5:$Q310},""Select sum(Col16) where Col1 = '""&amp;$G144&amp;""' and Col2 &gt; date '""&amp;TEXT(DATE(V$8,1,1),""yyyy-mm-dd"")&amp;""' and Col2 &lt;= date '""&amp;TEXT(DATE(V$8,12,31),""yyyy-mm-dd"")&amp;""' label sum(Col16) ''"",0)))"),"")</f>
        <v/>
      </c>
      <c r="W144" s="630" t="str">
        <f>IFERROR(__xludf.DUMMYFUNCTION("IF($G144="""","""",IFERROR(query({proventos!$B$5:$Q310},""Select sum(Col16) where Col1 = '""&amp;$G144&amp;""' and Col2 &gt; date '""&amp;TEXT(DATE(W$8,1,1),""yyyy-mm-dd"")&amp;""' and Col2 &lt;= date '""&amp;TEXT(DATE(W$8,12,31),""yyyy-mm-dd"")&amp;""' label sum(Col16) ''"",0)))"),"")</f>
        <v/>
      </c>
      <c r="X144" s="630" t="str">
        <f>IFERROR(__xludf.DUMMYFUNCTION("IF($G144="""","""",IFERROR(query({proventos!$B$5:$Q310},""Select sum(Col16) where Col1 = '""&amp;$G144&amp;""' and Col2 &gt; date '""&amp;TEXT(DATE(X$8,1,1),""yyyy-mm-dd"")&amp;""' and Col2 &lt;= date '""&amp;TEXT(DATE(X$8,12,31),""yyyy-mm-dd"")&amp;""' label sum(Col16) ''"",0)))"),"")</f>
        <v/>
      </c>
      <c r="Y144" s="630" t="str">
        <f>IFERROR(__xludf.DUMMYFUNCTION("IF($G144="""","""",IFERROR(query({proventos!$B$5:$Q310},""Select sum(Col16) where Col1 = '""&amp;$G144&amp;""' and Col2 &gt; date '""&amp;TEXT(DATE(Y$8,1,1),""yyyy-mm-dd"")&amp;""' and Col2 &lt;= date '""&amp;TEXT(DATE(Y$8,12,31),""yyyy-mm-dd"")&amp;""' label sum(Col16) ''"",0)))"),"")</f>
        <v/>
      </c>
      <c r="Z144" s="630" t="str">
        <f>IFERROR(__xludf.DUMMYFUNCTION("IF($G144="""","""",IFERROR(query({proventos!$B$5:$Q310},""Select sum(Col16) where Col1 = '""&amp;$G144&amp;""' and Col2 &gt; date '""&amp;TEXT(DATE(Z$8,1,1),""yyyy-mm-dd"")&amp;""' and Col2 &lt;= date '""&amp;TEXT(DATE(Z$8,12,31),""yyyy-mm-dd"")&amp;""' label sum(Col16) ''"",0)))"),"")</f>
        <v/>
      </c>
      <c r="AA144" s="587"/>
      <c r="AB144" s="578" t="s">
        <v>123</v>
      </c>
      <c r="AC144" s="601"/>
      <c r="AD144" s="636"/>
      <c r="AE144" s="636"/>
    </row>
    <row r="145">
      <c r="A145" s="576"/>
      <c r="B145" s="620"/>
      <c r="C145" s="637"/>
      <c r="D145" s="633"/>
      <c r="E145" s="633"/>
      <c r="F145" s="624">
        <v>135.0</v>
      </c>
      <c r="G145" s="635"/>
      <c r="H145" s="626" t="str">
        <f>if(G145="","",IFERROR(VLOOKUP(G145,AtivosDados,MATCH("provento_avg",portfolio.!$A$3:AE$3,0),FALSE),""))</f>
        <v/>
      </c>
      <c r="I145" s="627" t="s">
        <v>123</v>
      </c>
      <c r="J145" s="628" t="str">
        <f>IFERROR(__xludf.DUMMYFUNCTION("IF($G145="""","""",IFERROR(query({proventos!$B$5:$Q310},""Select sum(Col16) where Col1 = '""&amp;$G145&amp;""' and Col2 &gt; date '""&amp;TEXT(K$8,""yyyy-mm-dd"")&amp;""' and Col2 &lt;= date '""&amp;TEXT(J$8,""yyyy-mm-dd"")&amp;""' label sum(Col16) ''"",0)))"),"")</f>
        <v/>
      </c>
      <c r="K145" s="628" t="str">
        <f>IFERROR(__xludf.DUMMYFUNCTION("IF($G145="""","""",IFERROR(query({proventos!$B$5:$Q310},""Select sum(Col16) where Col1 = '""&amp;$G145&amp;""' and Col2 &gt; date '""&amp;TEXT(L$8,""yyyy-mm-dd"")&amp;""' and Col2 &lt;= date '""&amp;TEXT(K$8,""yyyy-mm-dd"")&amp;""' label sum(Col16) ''"",0)))"),"")</f>
        <v/>
      </c>
      <c r="L145" s="628" t="str">
        <f>IFERROR(__xludf.DUMMYFUNCTION("IF($G145="""","""",IFERROR(query({proventos!$B$5:$Q310},""Select sum(Col16) where Col1 = '""&amp;$G145&amp;""' and Col2 &gt; date '""&amp;TEXT(M$8,""yyyy-mm-dd"")&amp;""' and Col2 &lt;= date '""&amp;TEXT(L$8,""yyyy-mm-dd"")&amp;""' label sum(Col16) ''"",0)))"),"")</f>
        <v/>
      </c>
      <c r="M145" s="628" t="str">
        <f>IFERROR(__xludf.DUMMYFUNCTION("IF($G145="""","""",IFERROR(query({proventos!$B$5:$Q310},""Select sum(Col16) where Col1 = '""&amp;$G145&amp;""' and Col2 &gt; date '""&amp;TEXT(N$8,""yyyy-mm-dd"")&amp;""' and Col2 &lt;= date '""&amp;TEXT(M$8,""yyyy-mm-dd"")&amp;""' label sum(Col16) ''"",0)))"),"")</f>
        <v/>
      </c>
      <c r="N145" s="628" t="str">
        <f>IFERROR(__xludf.DUMMYFUNCTION("IF($G145="""","""",IFERROR(query({proventos!$B$5:$Q310},""Select sum(Col16) where Col1 = '""&amp;$G145&amp;""' and Col2 &gt; date '""&amp;TEXT(O$8,""yyyy-mm-dd"")&amp;""' and Col2 &lt;= date '""&amp;TEXT(N$8,""yyyy-mm-dd"")&amp;""' label sum(Col16) ''"",0)))"),"")</f>
        <v/>
      </c>
      <c r="O145" s="628" t="str">
        <f>IFERROR(__xludf.DUMMYFUNCTION("IF($G145="""","""",IFERROR(query({proventos!$B$5:$Q310},""Select sum(Col16) where Col1 = '""&amp;$G145&amp;""' and Col2 &gt; date '""&amp;TEXT(P$8,""yyyy-mm-dd"")&amp;""' and Col2 &lt;= date '""&amp;TEXT(O$8,""yyyy-mm-dd"")&amp;""' label sum(Col16) ''"",0)))"),"")</f>
        <v/>
      </c>
      <c r="P145" s="628" t="str">
        <f>IFERROR(__xludf.DUMMYFUNCTION("IF($G145="""","""",IFERROR(query({proventos!$B$5:$Q310},""Select sum(Col16) where Col1 = '""&amp;$G145&amp;""' and Col2 &gt; date '""&amp;TEXT(Q$8,""yyyy-mm-dd"")&amp;""' and Col2 &lt;= date '""&amp;TEXT(P$8,""yyyy-mm-dd"")&amp;""' label sum(Col16) ''"",0)))"),"")</f>
        <v/>
      </c>
      <c r="Q145" s="628" t="str">
        <f>IFERROR(__xludf.DUMMYFUNCTION("IF($G145="""","""",IFERROR(query({proventos!$B$5:$Q310},""Select sum(Col16) where Col1 = '""&amp;$G145&amp;""' and Col2 &gt; date '""&amp;TEXT(R$8,""yyyy-mm-dd"")&amp;""' and Col2 &lt;= date '""&amp;TEXT(Q$8,""yyyy-mm-dd"")&amp;""' label sum(Col16) ''"",0)))"),"")</f>
        <v/>
      </c>
      <c r="R145" s="628" t="str">
        <f>IFERROR(__xludf.DUMMYFUNCTION("IF($G145="""","""",IFERROR(query({proventos!$B$5:$Q310},""Select sum(Col16) where Col1 = '""&amp;$G145&amp;""' and Col2 &gt; date '""&amp;TEXT(S$8,""yyyy-mm-dd"")&amp;""' and Col2 &lt;= date '""&amp;TEXT(R$8,""yyyy-mm-dd"")&amp;""' label sum(Col16) ''"",0)))"),"")</f>
        <v/>
      </c>
      <c r="S145" s="628" t="str">
        <f>IFERROR(__xludf.DUMMYFUNCTION("IF($G145="""","""",IFERROR(query({proventos!$B$5:$Q310},""Select sum(Col16) where Col1 = '""&amp;$G145&amp;""' and Col2 &gt; date '""&amp;TEXT(T$8,""yyyy-mm-dd"")&amp;""' and Col2 &lt;= date '""&amp;TEXT(S$8,""yyyy-mm-dd"")&amp;""' label sum(Col16) ''"",0)))"),"")</f>
        <v/>
      </c>
      <c r="T145" s="628" t="str">
        <f>IFERROR(__xludf.DUMMYFUNCTION("IF($G145="""","""",IFERROR(query({proventos!$B$5:$Q310},""Select sum(Col16) where Col1 = '""&amp;$G145&amp;""' and Col2 &gt; date '""&amp;TEXT(U$8,""yyyy-mm-dd"")&amp;""' and Col2 &lt;= date '""&amp;TEXT(T$8,""yyyy-mm-dd"")&amp;""' label sum(Col16) ''"",0)))"),"")</f>
        <v/>
      </c>
      <c r="U145" s="629" t="str">
        <f>IFERROR(__xludf.DUMMYFUNCTION("IF($G145="""","""",IFERROR(query({proventos!$B$5:$Q310},""Select sum(Col16) where Col1 = '""&amp;$G145&amp;""' and Col2 &gt; date '""&amp;TEXT(EOMONTH(TODAY(),-13),""yyyy-mm-dd"")&amp;""' and Col2 &lt;= date '""&amp;TEXT(U$8,""yyyy-mm-dd"")&amp;""' label sum(Col16) ''"",0)))"),"")</f>
        <v/>
      </c>
      <c r="V145" s="630" t="str">
        <f>IFERROR(__xludf.DUMMYFUNCTION("IF($G145="""","""",IFERROR(query({proventos!$B$5:$Q310},""Select sum(Col16) where Col1 = '""&amp;$G145&amp;""' and Col2 &gt; date '""&amp;TEXT(DATE(V$8,1,1),""yyyy-mm-dd"")&amp;""' and Col2 &lt;= date '""&amp;TEXT(DATE(V$8,12,31),""yyyy-mm-dd"")&amp;""' label sum(Col16) ''"",0)))"),"")</f>
        <v/>
      </c>
      <c r="W145" s="630" t="str">
        <f>IFERROR(__xludf.DUMMYFUNCTION("IF($G145="""","""",IFERROR(query({proventos!$B$5:$Q310},""Select sum(Col16) where Col1 = '""&amp;$G145&amp;""' and Col2 &gt; date '""&amp;TEXT(DATE(W$8,1,1),""yyyy-mm-dd"")&amp;""' and Col2 &lt;= date '""&amp;TEXT(DATE(W$8,12,31),""yyyy-mm-dd"")&amp;""' label sum(Col16) ''"",0)))"),"")</f>
        <v/>
      </c>
      <c r="X145" s="630" t="str">
        <f>IFERROR(__xludf.DUMMYFUNCTION("IF($G145="""","""",IFERROR(query({proventos!$B$5:$Q310},""Select sum(Col16) where Col1 = '""&amp;$G145&amp;""' and Col2 &gt; date '""&amp;TEXT(DATE(X$8,1,1),""yyyy-mm-dd"")&amp;""' and Col2 &lt;= date '""&amp;TEXT(DATE(X$8,12,31),""yyyy-mm-dd"")&amp;""' label sum(Col16) ''"",0)))"),"")</f>
        <v/>
      </c>
      <c r="Y145" s="630" t="str">
        <f>IFERROR(__xludf.DUMMYFUNCTION("IF($G145="""","""",IFERROR(query({proventos!$B$5:$Q310},""Select sum(Col16) where Col1 = '""&amp;$G145&amp;""' and Col2 &gt; date '""&amp;TEXT(DATE(Y$8,1,1),""yyyy-mm-dd"")&amp;""' and Col2 &lt;= date '""&amp;TEXT(DATE(Y$8,12,31),""yyyy-mm-dd"")&amp;""' label sum(Col16) ''"",0)))"),"")</f>
        <v/>
      </c>
      <c r="Z145" s="630" t="str">
        <f>IFERROR(__xludf.DUMMYFUNCTION("IF($G145="""","""",IFERROR(query({proventos!$B$5:$Q310},""Select sum(Col16) where Col1 = '""&amp;$G145&amp;""' and Col2 &gt; date '""&amp;TEXT(DATE(Z$8,1,1),""yyyy-mm-dd"")&amp;""' and Col2 &lt;= date '""&amp;TEXT(DATE(Z$8,12,31),""yyyy-mm-dd"")&amp;""' label sum(Col16) ''"",0)))"),"")</f>
        <v/>
      </c>
      <c r="AA145" s="587"/>
      <c r="AB145" s="578" t="s">
        <v>123</v>
      </c>
      <c r="AC145" s="601"/>
      <c r="AD145" s="636"/>
      <c r="AE145" s="636"/>
    </row>
    <row r="146">
      <c r="A146" s="576"/>
      <c r="B146" s="620"/>
      <c r="C146" s="637"/>
      <c r="D146" s="633"/>
      <c r="E146" s="633"/>
      <c r="F146" s="624">
        <v>136.0</v>
      </c>
      <c r="G146" s="635"/>
      <c r="H146" s="626" t="str">
        <f>if(G146="","",IFERROR(VLOOKUP(G146,AtivosDados,MATCH("provento_avg",portfolio.!$A$3:AE$3,0),FALSE),""))</f>
        <v/>
      </c>
      <c r="I146" s="627" t="s">
        <v>123</v>
      </c>
      <c r="J146" s="628" t="str">
        <f>IFERROR(__xludf.DUMMYFUNCTION("IF($G146="""","""",IFERROR(query({proventos!$B$5:$Q310},""Select sum(Col16) where Col1 = '""&amp;$G146&amp;""' and Col2 &gt; date '""&amp;TEXT(K$8,""yyyy-mm-dd"")&amp;""' and Col2 &lt;= date '""&amp;TEXT(J$8,""yyyy-mm-dd"")&amp;""' label sum(Col16) ''"",0)))"),"")</f>
        <v/>
      </c>
      <c r="K146" s="628" t="str">
        <f>IFERROR(__xludf.DUMMYFUNCTION("IF($G146="""","""",IFERROR(query({proventos!$B$5:$Q310},""Select sum(Col16) where Col1 = '""&amp;$G146&amp;""' and Col2 &gt; date '""&amp;TEXT(L$8,""yyyy-mm-dd"")&amp;""' and Col2 &lt;= date '""&amp;TEXT(K$8,""yyyy-mm-dd"")&amp;""' label sum(Col16) ''"",0)))"),"")</f>
        <v/>
      </c>
      <c r="L146" s="628" t="str">
        <f>IFERROR(__xludf.DUMMYFUNCTION("IF($G146="""","""",IFERROR(query({proventos!$B$5:$Q310},""Select sum(Col16) where Col1 = '""&amp;$G146&amp;""' and Col2 &gt; date '""&amp;TEXT(M$8,""yyyy-mm-dd"")&amp;""' and Col2 &lt;= date '""&amp;TEXT(L$8,""yyyy-mm-dd"")&amp;""' label sum(Col16) ''"",0)))"),"")</f>
        <v/>
      </c>
      <c r="M146" s="628" t="str">
        <f>IFERROR(__xludf.DUMMYFUNCTION("IF($G146="""","""",IFERROR(query({proventos!$B$5:$Q310},""Select sum(Col16) where Col1 = '""&amp;$G146&amp;""' and Col2 &gt; date '""&amp;TEXT(N$8,""yyyy-mm-dd"")&amp;""' and Col2 &lt;= date '""&amp;TEXT(M$8,""yyyy-mm-dd"")&amp;""' label sum(Col16) ''"",0)))"),"")</f>
        <v/>
      </c>
      <c r="N146" s="628" t="str">
        <f>IFERROR(__xludf.DUMMYFUNCTION("IF($G146="""","""",IFERROR(query({proventos!$B$5:$Q310},""Select sum(Col16) where Col1 = '""&amp;$G146&amp;""' and Col2 &gt; date '""&amp;TEXT(O$8,""yyyy-mm-dd"")&amp;""' and Col2 &lt;= date '""&amp;TEXT(N$8,""yyyy-mm-dd"")&amp;""' label sum(Col16) ''"",0)))"),"")</f>
        <v/>
      </c>
      <c r="O146" s="628" t="str">
        <f>IFERROR(__xludf.DUMMYFUNCTION("IF($G146="""","""",IFERROR(query({proventos!$B$5:$Q310},""Select sum(Col16) where Col1 = '""&amp;$G146&amp;""' and Col2 &gt; date '""&amp;TEXT(P$8,""yyyy-mm-dd"")&amp;""' and Col2 &lt;= date '""&amp;TEXT(O$8,""yyyy-mm-dd"")&amp;""' label sum(Col16) ''"",0)))"),"")</f>
        <v/>
      </c>
      <c r="P146" s="628" t="str">
        <f>IFERROR(__xludf.DUMMYFUNCTION("IF($G146="""","""",IFERROR(query({proventos!$B$5:$Q310},""Select sum(Col16) where Col1 = '""&amp;$G146&amp;""' and Col2 &gt; date '""&amp;TEXT(Q$8,""yyyy-mm-dd"")&amp;""' and Col2 &lt;= date '""&amp;TEXT(P$8,""yyyy-mm-dd"")&amp;""' label sum(Col16) ''"",0)))"),"")</f>
        <v/>
      </c>
      <c r="Q146" s="628" t="str">
        <f>IFERROR(__xludf.DUMMYFUNCTION("IF($G146="""","""",IFERROR(query({proventos!$B$5:$Q310},""Select sum(Col16) where Col1 = '""&amp;$G146&amp;""' and Col2 &gt; date '""&amp;TEXT(R$8,""yyyy-mm-dd"")&amp;""' and Col2 &lt;= date '""&amp;TEXT(Q$8,""yyyy-mm-dd"")&amp;""' label sum(Col16) ''"",0)))"),"")</f>
        <v/>
      </c>
      <c r="R146" s="628" t="str">
        <f>IFERROR(__xludf.DUMMYFUNCTION("IF($G146="""","""",IFERROR(query({proventos!$B$5:$Q310},""Select sum(Col16) where Col1 = '""&amp;$G146&amp;""' and Col2 &gt; date '""&amp;TEXT(S$8,""yyyy-mm-dd"")&amp;""' and Col2 &lt;= date '""&amp;TEXT(R$8,""yyyy-mm-dd"")&amp;""' label sum(Col16) ''"",0)))"),"")</f>
        <v/>
      </c>
      <c r="S146" s="628" t="str">
        <f>IFERROR(__xludf.DUMMYFUNCTION("IF($G146="""","""",IFERROR(query({proventos!$B$5:$Q310},""Select sum(Col16) where Col1 = '""&amp;$G146&amp;""' and Col2 &gt; date '""&amp;TEXT(T$8,""yyyy-mm-dd"")&amp;""' and Col2 &lt;= date '""&amp;TEXT(S$8,""yyyy-mm-dd"")&amp;""' label sum(Col16) ''"",0)))"),"")</f>
        <v/>
      </c>
      <c r="T146" s="628" t="str">
        <f>IFERROR(__xludf.DUMMYFUNCTION("IF($G146="""","""",IFERROR(query({proventos!$B$5:$Q310},""Select sum(Col16) where Col1 = '""&amp;$G146&amp;""' and Col2 &gt; date '""&amp;TEXT(U$8,""yyyy-mm-dd"")&amp;""' and Col2 &lt;= date '""&amp;TEXT(T$8,""yyyy-mm-dd"")&amp;""' label sum(Col16) ''"",0)))"),"")</f>
        <v/>
      </c>
      <c r="U146" s="629" t="str">
        <f>IFERROR(__xludf.DUMMYFUNCTION("IF($G146="""","""",IFERROR(query({proventos!$B$5:$Q310},""Select sum(Col16) where Col1 = '""&amp;$G146&amp;""' and Col2 &gt; date '""&amp;TEXT(EOMONTH(TODAY(),-13),""yyyy-mm-dd"")&amp;""' and Col2 &lt;= date '""&amp;TEXT(U$8,""yyyy-mm-dd"")&amp;""' label sum(Col16) ''"",0)))"),"")</f>
        <v/>
      </c>
      <c r="V146" s="630" t="str">
        <f>IFERROR(__xludf.DUMMYFUNCTION("IF($G146="""","""",IFERROR(query({proventos!$B$5:$Q310},""Select sum(Col16) where Col1 = '""&amp;$G146&amp;""' and Col2 &gt; date '""&amp;TEXT(DATE(V$8,1,1),""yyyy-mm-dd"")&amp;""' and Col2 &lt;= date '""&amp;TEXT(DATE(V$8,12,31),""yyyy-mm-dd"")&amp;""' label sum(Col16) ''"",0)))"),"")</f>
        <v/>
      </c>
      <c r="W146" s="630" t="str">
        <f>IFERROR(__xludf.DUMMYFUNCTION("IF($G146="""","""",IFERROR(query({proventos!$B$5:$Q310},""Select sum(Col16) where Col1 = '""&amp;$G146&amp;""' and Col2 &gt; date '""&amp;TEXT(DATE(W$8,1,1),""yyyy-mm-dd"")&amp;""' and Col2 &lt;= date '""&amp;TEXT(DATE(W$8,12,31),""yyyy-mm-dd"")&amp;""' label sum(Col16) ''"",0)))"),"")</f>
        <v/>
      </c>
      <c r="X146" s="630" t="str">
        <f>IFERROR(__xludf.DUMMYFUNCTION("IF($G146="""","""",IFERROR(query({proventos!$B$5:$Q310},""Select sum(Col16) where Col1 = '""&amp;$G146&amp;""' and Col2 &gt; date '""&amp;TEXT(DATE(X$8,1,1),""yyyy-mm-dd"")&amp;""' and Col2 &lt;= date '""&amp;TEXT(DATE(X$8,12,31),""yyyy-mm-dd"")&amp;""' label sum(Col16) ''"",0)))"),"")</f>
        <v/>
      </c>
      <c r="Y146" s="630" t="str">
        <f>IFERROR(__xludf.DUMMYFUNCTION("IF($G146="""","""",IFERROR(query({proventos!$B$5:$Q310},""Select sum(Col16) where Col1 = '""&amp;$G146&amp;""' and Col2 &gt; date '""&amp;TEXT(DATE(Y$8,1,1),""yyyy-mm-dd"")&amp;""' and Col2 &lt;= date '""&amp;TEXT(DATE(Y$8,12,31),""yyyy-mm-dd"")&amp;""' label sum(Col16) ''"",0)))"),"")</f>
        <v/>
      </c>
      <c r="Z146" s="630" t="str">
        <f>IFERROR(__xludf.DUMMYFUNCTION("IF($G146="""","""",IFERROR(query({proventos!$B$5:$Q310},""Select sum(Col16) where Col1 = '""&amp;$G146&amp;""' and Col2 &gt; date '""&amp;TEXT(DATE(Z$8,1,1),""yyyy-mm-dd"")&amp;""' and Col2 &lt;= date '""&amp;TEXT(DATE(Z$8,12,31),""yyyy-mm-dd"")&amp;""' label sum(Col16) ''"",0)))"),"")</f>
        <v/>
      </c>
      <c r="AA146" s="587"/>
      <c r="AB146" s="578" t="s">
        <v>123</v>
      </c>
      <c r="AC146" s="601"/>
      <c r="AD146" s="636"/>
      <c r="AE146" s="636"/>
    </row>
    <row r="147">
      <c r="A147" s="576"/>
      <c r="B147" s="620"/>
      <c r="C147" s="637"/>
      <c r="D147" s="633"/>
      <c r="E147" s="633"/>
      <c r="F147" s="624">
        <v>137.0</v>
      </c>
      <c r="G147" s="635"/>
      <c r="H147" s="626" t="str">
        <f>if(G147="","",IFERROR(VLOOKUP(G147,AtivosDados,MATCH("provento_avg",portfolio.!$A$3:AE$3,0),FALSE),""))</f>
        <v/>
      </c>
      <c r="I147" s="627" t="s">
        <v>123</v>
      </c>
      <c r="J147" s="628" t="str">
        <f>IFERROR(__xludf.DUMMYFUNCTION("IF($G147="""","""",IFERROR(query({proventos!$B$5:$Q310},""Select sum(Col16) where Col1 = '""&amp;$G147&amp;""' and Col2 &gt; date '""&amp;TEXT(K$8,""yyyy-mm-dd"")&amp;""' and Col2 &lt;= date '""&amp;TEXT(J$8,""yyyy-mm-dd"")&amp;""' label sum(Col16) ''"",0)))"),"")</f>
        <v/>
      </c>
      <c r="K147" s="628" t="str">
        <f>IFERROR(__xludf.DUMMYFUNCTION("IF($G147="""","""",IFERROR(query({proventos!$B$5:$Q310},""Select sum(Col16) where Col1 = '""&amp;$G147&amp;""' and Col2 &gt; date '""&amp;TEXT(L$8,""yyyy-mm-dd"")&amp;""' and Col2 &lt;= date '""&amp;TEXT(K$8,""yyyy-mm-dd"")&amp;""' label sum(Col16) ''"",0)))"),"")</f>
        <v/>
      </c>
      <c r="L147" s="628" t="str">
        <f>IFERROR(__xludf.DUMMYFUNCTION("IF($G147="""","""",IFERROR(query({proventos!$B$5:$Q310},""Select sum(Col16) where Col1 = '""&amp;$G147&amp;""' and Col2 &gt; date '""&amp;TEXT(M$8,""yyyy-mm-dd"")&amp;""' and Col2 &lt;= date '""&amp;TEXT(L$8,""yyyy-mm-dd"")&amp;""' label sum(Col16) ''"",0)))"),"")</f>
        <v/>
      </c>
      <c r="M147" s="628" t="str">
        <f>IFERROR(__xludf.DUMMYFUNCTION("IF($G147="""","""",IFERROR(query({proventos!$B$5:$Q310},""Select sum(Col16) where Col1 = '""&amp;$G147&amp;""' and Col2 &gt; date '""&amp;TEXT(N$8,""yyyy-mm-dd"")&amp;""' and Col2 &lt;= date '""&amp;TEXT(M$8,""yyyy-mm-dd"")&amp;""' label sum(Col16) ''"",0)))"),"")</f>
        <v/>
      </c>
      <c r="N147" s="628" t="str">
        <f>IFERROR(__xludf.DUMMYFUNCTION("IF($G147="""","""",IFERROR(query({proventos!$B$5:$Q310},""Select sum(Col16) where Col1 = '""&amp;$G147&amp;""' and Col2 &gt; date '""&amp;TEXT(O$8,""yyyy-mm-dd"")&amp;""' and Col2 &lt;= date '""&amp;TEXT(N$8,""yyyy-mm-dd"")&amp;""' label sum(Col16) ''"",0)))"),"")</f>
        <v/>
      </c>
      <c r="O147" s="628" t="str">
        <f>IFERROR(__xludf.DUMMYFUNCTION("IF($G147="""","""",IFERROR(query({proventos!$B$5:$Q310},""Select sum(Col16) where Col1 = '""&amp;$G147&amp;""' and Col2 &gt; date '""&amp;TEXT(P$8,""yyyy-mm-dd"")&amp;""' and Col2 &lt;= date '""&amp;TEXT(O$8,""yyyy-mm-dd"")&amp;""' label sum(Col16) ''"",0)))"),"")</f>
        <v/>
      </c>
      <c r="P147" s="628" t="str">
        <f>IFERROR(__xludf.DUMMYFUNCTION("IF($G147="""","""",IFERROR(query({proventos!$B$5:$Q310},""Select sum(Col16) where Col1 = '""&amp;$G147&amp;""' and Col2 &gt; date '""&amp;TEXT(Q$8,""yyyy-mm-dd"")&amp;""' and Col2 &lt;= date '""&amp;TEXT(P$8,""yyyy-mm-dd"")&amp;""' label sum(Col16) ''"",0)))"),"")</f>
        <v/>
      </c>
      <c r="Q147" s="628" t="str">
        <f>IFERROR(__xludf.DUMMYFUNCTION("IF($G147="""","""",IFERROR(query({proventos!$B$5:$Q310},""Select sum(Col16) where Col1 = '""&amp;$G147&amp;""' and Col2 &gt; date '""&amp;TEXT(R$8,""yyyy-mm-dd"")&amp;""' and Col2 &lt;= date '""&amp;TEXT(Q$8,""yyyy-mm-dd"")&amp;""' label sum(Col16) ''"",0)))"),"")</f>
        <v/>
      </c>
      <c r="R147" s="628" t="str">
        <f>IFERROR(__xludf.DUMMYFUNCTION("IF($G147="""","""",IFERROR(query({proventos!$B$5:$Q310},""Select sum(Col16) where Col1 = '""&amp;$G147&amp;""' and Col2 &gt; date '""&amp;TEXT(S$8,""yyyy-mm-dd"")&amp;""' and Col2 &lt;= date '""&amp;TEXT(R$8,""yyyy-mm-dd"")&amp;""' label sum(Col16) ''"",0)))"),"")</f>
        <v/>
      </c>
      <c r="S147" s="628" t="str">
        <f>IFERROR(__xludf.DUMMYFUNCTION("IF($G147="""","""",IFERROR(query({proventos!$B$5:$Q310},""Select sum(Col16) where Col1 = '""&amp;$G147&amp;""' and Col2 &gt; date '""&amp;TEXT(T$8,""yyyy-mm-dd"")&amp;""' and Col2 &lt;= date '""&amp;TEXT(S$8,""yyyy-mm-dd"")&amp;""' label sum(Col16) ''"",0)))"),"")</f>
        <v/>
      </c>
      <c r="T147" s="628" t="str">
        <f>IFERROR(__xludf.DUMMYFUNCTION("IF($G147="""","""",IFERROR(query({proventos!$B$5:$Q310},""Select sum(Col16) where Col1 = '""&amp;$G147&amp;""' and Col2 &gt; date '""&amp;TEXT(U$8,""yyyy-mm-dd"")&amp;""' and Col2 &lt;= date '""&amp;TEXT(T$8,""yyyy-mm-dd"")&amp;""' label sum(Col16) ''"",0)))"),"")</f>
        <v/>
      </c>
      <c r="U147" s="629" t="str">
        <f>IFERROR(__xludf.DUMMYFUNCTION("IF($G147="""","""",IFERROR(query({proventos!$B$5:$Q310},""Select sum(Col16) where Col1 = '""&amp;$G147&amp;""' and Col2 &gt; date '""&amp;TEXT(EOMONTH(TODAY(),-13),""yyyy-mm-dd"")&amp;""' and Col2 &lt;= date '""&amp;TEXT(U$8,""yyyy-mm-dd"")&amp;""' label sum(Col16) ''"",0)))"),"")</f>
        <v/>
      </c>
      <c r="V147" s="630" t="str">
        <f>IFERROR(__xludf.DUMMYFUNCTION("IF($G147="""","""",IFERROR(query({proventos!$B$5:$Q310},""Select sum(Col16) where Col1 = '""&amp;$G147&amp;""' and Col2 &gt; date '""&amp;TEXT(DATE(V$8,1,1),""yyyy-mm-dd"")&amp;""' and Col2 &lt;= date '""&amp;TEXT(DATE(V$8,12,31),""yyyy-mm-dd"")&amp;""' label sum(Col16) ''"",0)))"),"")</f>
        <v/>
      </c>
      <c r="W147" s="630" t="str">
        <f>IFERROR(__xludf.DUMMYFUNCTION("IF($G147="""","""",IFERROR(query({proventos!$B$5:$Q310},""Select sum(Col16) where Col1 = '""&amp;$G147&amp;""' and Col2 &gt; date '""&amp;TEXT(DATE(W$8,1,1),""yyyy-mm-dd"")&amp;""' and Col2 &lt;= date '""&amp;TEXT(DATE(W$8,12,31),""yyyy-mm-dd"")&amp;""' label sum(Col16) ''"",0)))"),"")</f>
        <v/>
      </c>
      <c r="X147" s="630" t="str">
        <f>IFERROR(__xludf.DUMMYFUNCTION("IF($G147="""","""",IFERROR(query({proventos!$B$5:$Q310},""Select sum(Col16) where Col1 = '""&amp;$G147&amp;""' and Col2 &gt; date '""&amp;TEXT(DATE(X$8,1,1),""yyyy-mm-dd"")&amp;""' and Col2 &lt;= date '""&amp;TEXT(DATE(X$8,12,31),""yyyy-mm-dd"")&amp;""' label sum(Col16) ''"",0)))"),"")</f>
        <v/>
      </c>
      <c r="Y147" s="630" t="str">
        <f>IFERROR(__xludf.DUMMYFUNCTION("IF($G147="""","""",IFERROR(query({proventos!$B$5:$Q310},""Select sum(Col16) where Col1 = '""&amp;$G147&amp;""' and Col2 &gt; date '""&amp;TEXT(DATE(Y$8,1,1),""yyyy-mm-dd"")&amp;""' and Col2 &lt;= date '""&amp;TEXT(DATE(Y$8,12,31),""yyyy-mm-dd"")&amp;""' label sum(Col16) ''"",0)))"),"")</f>
        <v/>
      </c>
      <c r="Z147" s="630" t="str">
        <f>IFERROR(__xludf.DUMMYFUNCTION("IF($G147="""","""",IFERROR(query({proventos!$B$5:$Q310},""Select sum(Col16) where Col1 = '""&amp;$G147&amp;""' and Col2 &gt; date '""&amp;TEXT(DATE(Z$8,1,1),""yyyy-mm-dd"")&amp;""' and Col2 &lt;= date '""&amp;TEXT(DATE(Z$8,12,31),""yyyy-mm-dd"")&amp;""' label sum(Col16) ''"",0)))"),"")</f>
        <v/>
      </c>
      <c r="AA147" s="587"/>
      <c r="AB147" s="578" t="s">
        <v>123</v>
      </c>
      <c r="AC147" s="601"/>
      <c r="AD147" s="636"/>
      <c r="AE147" s="636"/>
    </row>
    <row r="148">
      <c r="A148" s="576"/>
      <c r="B148" s="620"/>
      <c r="C148" s="637"/>
      <c r="D148" s="633"/>
      <c r="E148" s="633"/>
      <c r="F148" s="624">
        <v>138.0</v>
      </c>
      <c r="G148" s="635"/>
      <c r="H148" s="626" t="str">
        <f>if(G148="","",IFERROR(VLOOKUP(G148,AtivosDados,MATCH("provento_avg",portfolio.!$A$3:AE$3,0),FALSE),""))</f>
        <v/>
      </c>
      <c r="I148" s="627" t="s">
        <v>123</v>
      </c>
      <c r="J148" s="628" t="str">
        <f>IFERROR(__xludf.DUMMYFUNCTION("IF($G148="""","""",IFERROR(query({proventos!$B$5:$Q310},""Select sum(Col16) where Col1 = '""&amp;$G148&amp;""' and Col2 &gt; date '""&amp;TEXT(K$8,""yyyy-mm-dd"")&amp;""' and Col2 &lt;= date '""&amp;TEXT(J$8,""yyyy-mm-dd"")&amp;""' label sum(Col16) ''"",0)))"),"")</f>
        <v/>
      </c>
      <c r="K148" s="628" t="str">
        <f>IFERROR(__xludf.DUMMYFUNCTION("IF($G148="""","""",IFERROR(query({proventos!$B$5:$Q310},""Select sum(Col16) where Col1 = '""&amp;$G148&amp;""' and Col2 &gt; date '""&amp;TEXT(L$8,""yyyy-mm-dd"")&amp;""' and Col2 &lt;= date '""&amp;TEXT(K$8,""yyyy-mm-dd"")&amp;""' label sum(Col16) ''"",0)))"),"")</f>
        <v/>
      </c>
      <c r="L148" s="628" t="str">
        <f>IFERROR(__xludf.DUMMYFUNCTION("IF($G148="""","""",IFERROR(query({proventos!$B$5:$Q310},""Select sum(Col16) where Col1 = '""&amp;$G148&amp;""' and Col2 &gt; date '""&amp;TEXT(M$8,""yyyy-mm-dd"")&amp;""' and Col2 &lt;= date '""&amp;TEXT(L$8,""yyyy-mm-dd"")&amp;""' label sum(Col16) ''"",0)))"),"")</f>
        <v/>
      </c>
      <c r="M148" s="628" t="str">
        <f>IFERROR(__xludf.DUMMYFUNCTION("IF($G148="""","""",IFERROR(query({proventos!$B$5:$Q310},""Select sum(Col16) where Col1 = '""&amp;$G148&amp;""' and Col2 &gt; date '""&amp;TEXT(N$8,""yyyy-mm-dd"")&amp;""' and Col2 &lt;= date '""&amp;TEXT(M$8,""yyyy-mm-dd"")&amp;""' label sum(Col16) ''"",0)))"),"")</f>
        <v/>
      </c>
      <c r="N148" s="628" t="str">
        <f>IFERROR(__xludf.DUMMYFUNCTION("IF($G148="""","""",IFERROR(query({proventos!$B$5:$Q310},""Select sum(Col16) where Col1 = '""&amp;$G148&amp;""' and Col2 &gt; date '""&amp;TEXT(O$8,""yyyy-mm-dd"")&amp;""' and Col2 &lt;= date '""&amp;TEXT(N$8,""yyyy-mm-dd"")&amp;""' label sum(Col16) ''"",0)))"),"")</f>
        <v/>
      </c>
      <c r="O148" s="628" t="str">
        <f>IFERROR(__xludf.DUMMYFUNCTION("IF($G148="""","""",IFERROR(query({proventos!$B$5:$Q310},""Select sum(Col16) where Col1 = '""&amp;$G148&amp;""' and Col2 &gt; date '""&amp;TEXT(P$8,""yyyy-mm-dd"")&amp;""' and Col2 &lt;= date '""&amp;TEXT(O$8,""yyyy-mm-dd"")&amp;""' label sum(Col16) ''"",0)))"),"")</f>
        <v/>
      </c>
      <c r="P148" s="628" t="str">
        <f>IFERROR(__xludf.DUMMYFUNCTION("IF($G148="""","""",IFERROR(query({proventos!$B$5:$Q310},""Select sum(Col16) where Col1 = '""&amp;$G148&amp;""' and Col2 &gt; date '""&amp;TEXT(Q$8,""yyyy-mm-dd"")&amp;""' and Col2 &lt;= date '""&amp;TEXT(P$8,""yyyy-mm-dd"")&amp;""' label sum(Col16) ''"",0)))"),"")</f>
        <v/>
      </c>
      <c r="Q148" s="628" t="str">
        <f>IFERROR(__xludf.DUMMYFUNCTION("IF($G148="""","""",IFERROR(query({proventos!$B$5:$Q310},""Select sum(Col16) where Col1 = '""&amp;$G148&amp;""' and Col2 &gt; date '""&amp;TEXT(R$8,""yyyy-mm-dd"")&amp;""' and Col2 &lt;= date '""&amp;TEXT(Q$8,""yyyy-mm-dd"")&amp;""' label sum(Col16) ''"",0)))"),"")</f>
        <v/>
      </c>
      <c r="R148" s="628" t="str">
        <f>IFERROR(__xludf.DUMMYFUNCTION("IF($G148="""","""",IFERROR(query({proventos!$B$5:$Q310},""Select sum(Col16) where Col1 = '""&amp;$G148&amp;""' and Col2 &gt; date '""&amp;TEXT(S$8,""yyyy-mm-dd"")&amp;""' and Col2 &lt;= date '""&amp;TEXT(R$8,""yyyy-mm-dd"")&amp;""' label sum(Col16) ''"",0)))"),"")</f>
        <v/>
      </c>
      <c r="S148" s="628" t="str">
        <f>IFERROR(__xludf.DUMMYFUNCTION("IF($G148="""","""",IFERROR(query({proventos!$B$5:$Q310},""Select sum(Col16) where Col1 = '""&amp;$G148&amp;""' and Col2 &gt; date '""&amp;TEXT(T$8,""yyyy-mm-dd"")&amp;""' and Col2 &lt;= date '""&amp;TEXT(S$8,""yyyy-mm-dd"")&amp;""' label sum(Col16) ''"",0)))"),"")</f>
        <v/>
      </c>
      <c r="T148" s="628" t="str">
        <f>IFERROR(__xludf.DUMMYFUNCTION("IF($G148="""","""",IFERROR(query({proventos!$B$5:$Q310},""Select sum(Col16) where Col1 = '""&amp;$G148&amp;""' and Col2 &gt; date '""&amp;TEXT(U$8,""yyyy-mm-dd"")&amp;""' and Col2 &lt;= date '""&amp;TEXT(T$8,""yyyy-mm-dd"")&amp;""' label sum(Col16) ''"",0)))"),"")</f>
        <v/>
      </c>
      <c r="U148" s="629" t="str">
        <f>IFERROR(__xludf.DUMMYFUNCTION("IF($G148="""","""",IFERROR(query({proventos!$B$5:$Q310},""Select sum(Col16) where Col1 = '""&amp;$G148&amp;""' and Col2 &gt; date '""&amp;TEXT(EOMONTH(TODAY(),-13),""yyyy-mm-dd"")&amp;""' and Col2 &lt;= date '""&amp;TEXT(U$8,""yyyy-mm-dd"")&amp;""' label sum(Col16) ''"",0)))"),"")</f>
        <v/>
      </c>
      <c r="V148" s="630" t="str">
        <f>IFERROR(__xludf.DUMMYFUNCTION("IF($G148="""","""",IFERROR(query({proventos!$B$5:$Q310},""Select sum(Col16) where Col1 = '""&amp;$G148&amp;""' and Col2 &gt; date '""&amp;TEXT(DATE(V$8,1,1),""yyyy-mm-dd"")&amp;""' and Col2 &lt;= date '""&amp;TEXT(DATE(V$8,12,31),""yyyy-mm-dd"")&amp;""' label sum(Col16) ''"",0)))"),"")</f>
        <v/>
      </c>
      <c r="W148" s="630" t="str">
        <f>IFERROR(__xludf.DUMMYFUNCTION("IF($G148="""","""",IFERROR(query({proventos!$B$5:$Q310},""Select sum(Col16) where Col1 = '""&amp;$G148&amp;""' and Col2 &gt; date '""&amp;TEXT(DATE(W$8,1,1),""yyyy-mm-dd"")&amp;""' and Col2 &lt;= date '""&amp;TEXT(DATE(W$8,12,31),""yyyy-mm-dd"")&amp;""' label sum(Col16) ''"",0)))"),"")</f>
        <v/>
      </c>
      <c r="X148" s="630" t="str">
        <f>IFERROR(__xludf.DUMMYFUNCTION("IF($G148="""","""",IFERROR(query({proventos!$B$5:$Q310},""Select sum(Col16) where Col1 = '""&amp;$G148&amp;""' and Col2 &gt; date '""&amp;TEXT(DATE(X$8,1,1),""yyyy-mm-dd"")&amp;""' and Col2 &lt;= date '""&amp;TEXT(DATE(X$8,12,31),""yyyy-mm-dd"")&amp;""' label sum(Col16) ''"",0)))"),"")</f>
        <v/>
      </c>
      <c r="Y148" s="630" t="str">
        <f>IFERROR(__xludf.DUMMYFUNCTION("IF($G148="""","""",IFERROR(query({proventos!$B$5:$Q310},""Select sum(Col16) where Col1 = '""&amp;$G148&amp;""' and Col2 &gt; date '""&amp;TEXT(DATE(Y$8,1,1),""yyyy-mm-dd"")&amp;""' and Col2 &lt;= date '""&amp;TEXT(DATE(Y$8,12,31),""yyyy-mm-dd"")&amp;""' label sum(Col16) ''"",0)))"),"")</f>
        <v/>
      </c>
      <c r="Z148" s="630" t="str">
        <f>IFERROR(__xludf.DUMMYFUNCTION("IF($G148="""","""",IFERROR(query({proventos!$B$5:$Q310},""Select sum(Col16) where Col1 = '""&amp;$G148&amp;""' and Col2 &gt; date '""&amp;TEXT(DATE(Z$8,1,1),""yyyy-mm-dd"")&amp;""' and Col2 &lt;= date '""&amp;TEXT(DATE(Z$8,12,31),""yyyy-mm-dd"")&amp;""' label sum(Col16) ''"",0)))"),"")</f>
        <v/>
      </c>
      <c r="AA148" s="587"/>
      <c r="AB148" s="578" t="s">
        <v>123</v>
      </c>
      <c r="AC148" s="601"/>
      <c r="AD148" s="636"/>
      <c r="AE148" s="636"/>
    </row>
    <row r="149">
      <c r="A149" s="576"/>
      <c r="B149" s="620"/>
      <c r="C149" s="637"/>
      <c r="D149" s="633"/>
      <c r="E149" s="633"/>
      <c r="F149" s="624">
        <v>139.0</v>
      </c>
      <c r="G149" s="635"/>
      <c r="H149" s="626" t="str">
        <f>if(G149="","",IFERROR(VLOOKUP(G149,AtivosDados,MATCH("provento_avg",portfolio.!$A$3:AE$3,0),FALSE),""))</f>
        <v/>
      </c>
      <c r="I149" s="627" t="s">
        <v>123</v>
      </c>
      <c r="J149" s="628" t="str">
        <f>IFERROR(__xludf.DUMMYFUNCTION("IF($G149="""","""",IFERROR(query({proventos!$B$5:$Q310},""Select sum(Col16) where Col1 = '""&amp;$G149&amp;""' and Col2 &gt; date '""&amp;TEXT(K$8,""yyyy-mm-dd"")&amp;""' and Col2 &lt;= date '""&amp;TEXT(J$8,""yyyy-mm-dd"")&amp;""' label sum(Col16) ''"",0)))"),"")</f>
        <v/>
      </c>
      <c r="K149" s="628" t="str">
        <f>IFERROR(__xludf.DUMMYFUNCTION("IF($G149="""","""",IFERROR(query({proventos!$B$5:$Q310},""Select sum(Col16) where Col1 = '""&amp;$G149&amp;""' and Col2 &gt; date '""&amp;TEXT(L$8,""yyyy-mm-dd"")&amp;""' and Col2 &lt;= date '""&amp;TEXT(K$8,""yyyy-mm-dd"")&amp;""' label sum(Col16) ''"",0)))"),"")</f>
        <v/>
      </c>
      <c r="L149" s="628" t="str">
        <f>IFERROR(__xludf.DUMMYFUNCTION("IF($G149="""","""",IFERROR(query({proventos!$B$5:$Q310},""Select sum(Col16) where Col1 = '""&amp;$G149&amp;""' and Col2 &gt; date '""&amp;TEXT(M$8,""yyyy-mm-dd"")&amp;""' and Col2 &lt;= date '""&amp;TEXT(L$8,""yyyy-mm-dd"")&amp;""' label sum(Col16) ''"",0)))"),"")</f>
        <v/>
      </c>
      <c r="M149" s="628" t="str">
        <f>IFERROR(__xludf.DUMMYFUNCTION("IF($G149="""","""",IFERROR(query({proventos!$B$5:$Q310},""Select sum(Col16) where Col1 = '""&amp;$G149&amp;""' and Col2 &gt; date '""&amp;TEXT(N$8,""yyyy-mm-dd"")&amp;""' and Col2 &lt;= date '""&amp;TEXT(M$8,""yyyy-mm-dd"")&amp;""' label sum(Col16) ''"",0)))"),"")</f>
        <v/>
      </c>
      <c r="N149" s="628" t="str">
        <f>IFERROR(__xludf.DUMMYFUNCTION("IF($G149="""","""",IFERROR(query({proventos!$B$5:$Q310},""Select sum(Col16) where Col1 = '""&amp;$G149&amp;""' and Col2 &gt; date '""&amp;TEXT(O$8,""yyyy-mm-dd"")&amp;""' and Col2 &lt;= date '""&amp;TEXT(N$8,""yyyy-mm-dd"")&amp;""' label sum(Col16) ''"",0)))"),"")</f>
        <v/>
      </c>
      <c r="O149" s="628" t="str">
        <f>IFERROR(__xludf.DUMMYFUNCTION("IF($G149="""","""",IFERROR(query({proventos!$B$5:$Q310},""Select sum(Col16) where Col1 = '""&amp;$G149&amp;""' and Col2 &gt; date '""&amp;TEXT(P$8,""yyyy-mm-dd"")&amp;""' and Col2 &lt;= date '""&amp;TEXT(O$8,""yyyy-mm-dd"")&amp;""' label sum(Col16) ''"",0)))"),"")</f>
        <v/>
      </c>
      <c r="P149" s="628" t="str">
        <f>IFERROR(__xludf.DUMMYFUNCTION("IF($G149="""","""",IFERROR(query({proventos!$B$5:$Q310},""Select sum(Col16) where Col1 = '""&amp;$G149&amp;""' and Col2 &gt; date '""&amp;TEXT(Q$8,""yyyy-mm-dd"")&amp;""' and Col2 &lt;= date '""&amp;TEXT(P$8,""yyyy-mm-dd"")&amp;""' label sum(Col16) ''"",0)))"),"")</f>
        <v/>
      </c>
      <c r="Q149" s="628" t="str">
        <f>IFERROR(__xludf.DUMMYFUNCTION("IF($G149="""","""",IFERROR(query({proventos!$B$5:$Q310},""Select sum(Col16) where Col1 = '""&amp;$G149&amp;""' and Col2 &gt; date '""&amp;TEXT(R$8,""yyyy-mm-dd"")&amp;""' and Col2 &lt;= date '""&amp;TEXT(Q$8,""yyyy-mm-dd"")&amp;""' label sum(Col16) ''"",0)))"),"")</f>
        <v/>
      </c>
      <c r="R149" s="628" t="str">
        <f>IFERROR(__xludf.DUMMYFUNCTION("IF($G149="""","""",IFERROR(query({proventos!$B$5:$Q310},""Select sum(Col16) where Col1 = '""&amp;$G149&amp;""' and Col2 &gt; date '""&amp;TEXT(S$8,""yyyy-mm-dd"")&amp;""' and Col2 &lt;= date '""&amp;TEXT(R$8,""yyyy-mm-dd"")&amp;""' label sum(Col16) ''"",0)))"),"")</f>
        <v/>
      </c>
      <c r="S149" s="628" t="str">
        <f>IFERROR(__xludf.DUMMYFUNCTION("IF($G149="""","""",IFERROR(query({proventos!$B$5:$Q310},""Select sum(Col16) where Col1 = '""&amp;$G149&amp;""' and Col2 &gt; date '""&amp;TEXT(T$8,""yyyy-mm-dd"")&amp;""' and Col2 &lt;= date '""&amp;TEXT(S$8,""yyyy-mm-dd"")&amp;""' label sum(Col16) ''"",0)))"),"")</f>
        <v/>
      </c>
      <c r="T149" s="628" t="str">
        <f>IFERROR(__xludf.DUMMYFUNCTION("IF($G149="""","""",IFERROR(query({proventos!$B$5:$Q310},""Select sum(Col16) where Col1 = '""&amp;$G149&amp;""' and Col2 &gt; date '""&amp;TEXT(U$8,""yyyy-mm-dd"")&amp;""' and Col2 &lt;= date '""&amp;TEXT(T$8,""yyyy-mm-dd"")&amp;""' label sum(Col16) ''"",0)))"),"")</f>
        <v/>
      </c>
      <c r="U149" s="629" t="str">
        <f>IFERROR(__xludf.DUMMYFUNCTION("IF($G149="""","""",IFERROR(query({proventos!$B$5:$Q310},""Select sum(Col16) where Col1 = '""&amp;$G149&amp;""' and Col2 &gt; date '""&amp;TEXT(EOMONTH(TODAY(),-13),""yyyy-mm-dd"")&amp;""' and Col2 &lt;= date '""&amp;TEXT(U$8,""yyyy-mm-dd"")&amp;""' label sum(Col16) ''"",0)))"),"")</f>
        <v/>
      </c>
      <c r="V149" s="630" t="str">
        <f>IFERROR(__xludf.DUMMYFUNCTION("IF($G149="""","""",IFERROR(query({proventos!$B$5:$Q310},""Select sum(Col16) where Col1 = '""&amp;$G149&amp;""' and Col2 &gt; date '""&amp;TEXT(DATE(V$8,1,1),""yyyy-mm-dd"")&amp;""' and Col2 &lt;= date '""&amp;TEXT(DATE(V$8,12,31),""yyyy-mm-dd"")&amp;""' label sum(Col16) ''"",0)))"),"")</f>
        <v/>
      </c>
      <c r="W149" s="630" t="str">
        <f>IFERROR(__xludf.DUMMYFUNCTION("IF($G149="""","""",IFERROR(query({proventos!$B$5:$Q310},""Select sum(Col16) where Col1 = '""&amp;$G149&amp;""' and Col2 &gt; date '""&amp;TEXT(DATE(W$8,1,1),""yyyy-mm-dd"")&amp;""' and Col2 &lt;= date '""&amp;TEXT(DATE(W$8,12,31),""yyyy-mm-dd"")&amp;""' label sum(Col16) ''"",0)))"),"")</f>
        <v/>
      </c>
      <c r="X149" s="630" t="str">
        <f>IFERROR(__xludf.DUMMYFUNCTION("IF($G149="""","""",IFERROR(query({proventos!$B$5:$Q310},""Select sum(Col16) where Col1 = '""&amp;$G149&amp;""' and Col2 &gt; date '""&amp;TEXT(DATE(X$8,1,1),""yyyy-mm-dd"")&amp;""' and Col2 &lt;= date '""&amp;TEXT(DATE(X$8,12,31),""yyyy-mm-dd"")&amp;""' label sum(Col16) ''"",0)))"),"")</f>
        <v/>
      </c>
      <c r="Y149" s="630" t="str">
        <f>IFERROR(__xludf.DUMMYFUNCTION("IF($G149="""","""",IFERROR(query({proventos!$B$5:$Q310},""Select sum(Col16) where Col1 = '""&amp;$G149&amp;""' and Col2 &gt; date '""&amp;TEXT(DATE(Y$8,1,1),""yyyy-mm-dd"")&amp;""' and Col2 &lt;= date '""&amp;TEXT(DATE(Y$8,12,31),""yyyy-mm-dd"")&amp;""' label sum(Col16) ''"",0)))"),"")</f>
        <v/>
      </c>
      <c r="Z149" s="630" t="str">
        <f>IFERROR(__xludf.DUMMYFUNCTION("IF($G149="""","""",IFERROR(query({proventos!$B$5:$Q310},""Select sum(Col16) where Col1 = '""&amp;$G149&amp;""' and Col2 &gt; date '""&amp;TEXT(DATE(Z$8,1,1),""yyyy-mm-dd"")&amp;""' and Col2 &lt;= date '""&amp;TEXT(DATE(Z$8,12,31),""yyyy-mm-dd"")&amp;""' label sum(Col16) ''"",0)))"),"")</f>
        <v/>
      </c>
      <c r="AA149" s="587"/>
      <c r="AB149" s="578" t="s">
        <v>123</v>
      </c>
      <c r="AC149" s="601"/>
      <c r="AD149" s="636"/>
      <c r="AE149" s="636"/>
    </row>
    <row r="150">
      <c r="A150" s="576"/>
      <c r="B150" s="620"/>
      <c r="C150" s="637"/>
      <c r="D150" s="633"/>
      <c r="E150" s="633"/>
      <c r="F150" s="624">
        <v>140.0</v>
      </c>
      <c r="G150" s="635"/>
      <c r="H150" s="626" t="str">
        <f>if(G150="","",IFERROR(VLOOKUP(G150,AtivosDados,MATCH("provento_avg",portfolio.!$A$3:AE$3,0),FALSE),""))</f>
        <v/>
      </c>
      <c r="I150" s="627" t="s">
        <v>123</v>
      </c>
      <c r="J150" s="628" t="str">
        <f>IFERROR(__xludf.DUMMYFUNCTION("IF($G150="""","""",IFERROR(query({proventos!$B$5:$Q310},""Select sum(Col16) where Col1 = '""&amp;$G150&amp;""' and Col2 &gt; date '""&amp;TEXT(K$8,""yyyy-mm-dd"")&amp;""' and Col2 &lt;= date '""&amp;TEXT(J$8,""yyyy-mm-dd"")&amp;""' label sum(Col16) ''"",0)))"),"")</f>
        <v/>
      </c>
      <c r="K150" s="628" t="str">
        <f>IFERROR(__xludf.DUMMYFUNCTION("IF($G150="""","""",IFERROR(query({proventos!$B$5:$Q310},""Select sum(Col16) where Col1 = '""&amp;$G150&amp;""' and Col2 &gt; date '""&amp;TEXT(L$8,""yyyy-mm-dd"")&amp;""' and Col2 &lt;= date '""&amp;TEXT(K$8,""yyyy-mm-dd"")&amp;""' label sum(Col16) ''"",0)))"),"")</f>
        <v/>
      </c>
      <c r="L150" s="628" t="str">
        <f>IFERROR(__xludf.DUMMYFUNCTION("IF($G150="""","""",IFERROR(query({proventos!$B$5:$Q310},""Select sum(Col16) where Col1 = '""&amp;$G150&amp;""' and Col2 &gt; date '""&amp;TEXT(M$8,""yyyy-mm-dd"")&amp;""' and Col2 &lt;= date '""&amp;TEXT(L$8,""yyyy-mm-dd"")&amp;""' label sum(Col16) ''"",0)))"),"")</f>
        <v/>
      </c>
      <c r="M150" s="628" t="str">
        <f>IFERROR(__xludf.DUMMYFUNCTION("IF($G150="""","""",IFERROR(query({proventos!$B$5:$Q310},""Select sum(Col16) where Col1 = '""&amp;$G150&amp;""' and Col2 &gt; date '""&amp;TEXT(N$8,""yyyy-mm-dd"")&amp;""' and Col2 &lt;= date '""&amp;TEXT(M$8,""yyyy-mm-dd"")&amp;""' label sum(Col16) ''"",0)))"),"")</f>
        <v/>
      </c>
      <c r="N150" s="628" t="str">
        <f>IFERROR(__xludf.DUMMYFUNCTION("IF($G150="""","""",IFERROR(query({proventos!$B$5:$Q310},""Select sum(Col16) where Col1 = '""&amp;$G150&amp;""' and Col2 &gt; date '""&amp;TEXT(O$8,""yyyy-mm-dd"")&amp;""' and Col2 &lt;= date '""&amp;TEXT(N$8,""yyyy-mm-dd"")&amp;""' label sum(Col16) ''"",0)))"),"")</f>
        <v/>
      </c>
      <c r="O150" s="628" t="str">
        <f>IFERROR(__xludf.DUMMYFUNCTION("IF($G150="""","""",IFERROR(query({proventos!$B$5:$Q310},""Select sum(Col16) where Col1 = '""&amp;$G150&amp;""' and Col2 &gt; date '""&amp;TEXT(P$8,""yyyy-mm-dd"")&amp;""' and Col2 &lt;= date '""&amp;TEXT(O$8,""yyyy-mm-dd"")&amp;""' label sum(Col16) ''"",0)))"),"")</f>
        <v/>
      </c>
      <c r="P150" s="628" t="str">
        <f>IFERROR(__xludf.DUMMYFUNCTION("IF($G150="""","""",IFERROR(query({proventos!$B$5:$Q310},""Select sum(Col16) where Col1 = '""&amp;$G150&amp;""' and Col2 &gt; date '""&amp;TEXT(Q$8,""yyyy-mm-dd"")&amp;""' and Col2 &lt;= date '""&amp;TEXT(P$8,""yyyy-mm-dd"")&amp;""' label sum(Col16) ''"",0)))"),"")</f>
        <v/>
      </c>
      <c r="Q150" s="628" t="str">
        <f>IFERROR(__xludf.DUMMYFUNCTION("IF($G150="""","""",IFERROR(query({proventos!$B$5:$Q310},""Select sum(Col16) where Col1 = '""&amp;$G150&amp;""' and Col2 &gt; date '""&amp;TEXT(R$8,""yyyy-mm-dd"")&amp;""' and Col2 &lt;= date '""&amp;TEXT(Q$8,""yyyy-mm-dd"")&amp;""' label sum(Col16) ''"",0)))"),"")</f>
        <v/>
      </c>
      <c r="R150" s="628" t="str">
        <f>IFERROR(__xludf.DUMMYFUNCTION("IF($G150="""","""",IFERROR(query({proventos!$B$5:$Q310},""Select sum(Col16) where Col1 = '""&amp;$G150&amp;""' and Col2 &gt; date '""&amp;TEXT(S$8,""yyyy-mm-dd"")&amp;""' and Col2 &lt;= date '""&amp;TEXT(R$8,""yyyy-mm-dd"")&amp;""' label sum(Col16) ''"",0)))"),"")</f>
        <v/>
      </c>
      <c r="S150" s="628" t="str">
        <f>IFERROR(__xludf.DUMMYFUNCTION("IF($G150="""","""",IFERROR(query({proventos!$B$5:$Q310},""Select sum(Col16) where Col1 = '""&amp;$G150&amp;""' and Col2 &gt; date '""&amp;TEXT(T$8,""yyyy-mm-dd"")&amp;""' and Col2 &lt;= date '""&amp;TEXT(S$8,""yyyy-mm-dd"")&amp;""' label sum(Col16) ''"",0)))"),"")</f>
        <v/>
      </c>
      <c r="T150" s="628" t="str">
        <f>IFERROR(__xludf.DUMMYFUNCTION("IF($G150="""","""",IFERROR(query({proventos!$B$5:$Q310},""Select sum(Col16) where Col1 = '""&amp;$G150&amp;""' and Col2 &gt; date '""&amp;TEXT(U$8,""yyyy-mm-dd"")&amp;""' and Col2 &lt;= date '""&amp;TEXT(T$8,""yyyy-mm-dd"")&amp;""' label sum(Col16) ''"",0)))"),"")</f>
        <v/>
      </c>
      <c r="U150" s="629" t="str">
        <f>IFERROR(__xludf.DUMMYFUNCTION("IF($G150="""","""",IFERROR(query({proventos!$B$5:$Q310},""Select sum(Col16) where Col1 = '""&amp;$G150&amp;""' and Col2 &gt; date '""&amp;TEXT(EOMONTH(TODAY(),-13),""yyyy-mm-dd"")&amp;""' and Col2 &lt;= date '""&amp;TEXT(U$8,""yyyy-mm-dd"")&amp;""' label sum(Col16) ''"",0)))"),"")</f>
        <v/>
      </c>
      <c r="V150" s="630" t="str">
        <f>IFERROR(__xludf.DUMMYFUNCTION("IF($G150="""","""",IFERROR(query({proventos!$B$5:$Q310},""Select sum(Col16) where Col1 = '""&amp;$G150&amp;""' and Col2 &gt; date '""&amp;TEXT(DATE(V$8,1,1),""yyyy-mm-dd"")&amp;""' and Col2 &lt;= date '""&amp;TEXT(DATE(V$8,12,31),""yyyy-mm-dd"")&amp;""' label sum(Col16) ''"",0)))"),"")</f>
        <v/>
      </c>
      <c r="W150" s="630" t="str">
        <f>IFERROR(__xludf.DUMMYFUNCTION("IF($G150="""","""",IFERROR(query({proventos!$B$5:$Q310},""Select sum(Col16) where Col1 = '""&amp;$G150&amp;""' and Col2 &gt; date '""&amp;TEXT(DATE(W$8,1,1),""yyyy-mm-dd"")&amp;""' and Col2 &lt;= date '""&amp;TEXT(DATE(W$8,12,31),""yyyy-mm-dd"")&amp;""' label sum(Col16) ''"",0)))"),"")</f>
        <v/>
      </c>
      <c r="X150" s="630" t="str">
        <f>IFERROR(__xludf.DUMMYFUNCTION("IF($G150="""","""",IFERROR(query({proventos!$B$5:$Q310},""Select sum(Col16) where Col1 = '""&amp;$G150&amp;""' and Col2 &gt; date '""&amp;TEXT(DATE(X$8,1,1),""yyyy-mm-dd"")&amp;""' and Col2 &lt;= date '""&amp;TEXT(DATE(X$8,12,31),""yyyy-mm-dd"")&amp;""' label sum(Col16) ''"",0)))"),"")</f>
        <v/>
      </c>
      <c r="Y150" s="630" t="str">
        <f>IFERROR(__xludf.DUMMYFUNCTION("IF($G150="""","""",IFERROR(query({proventos!$B$5:$Q310},""Select sum(Col16) where Col1 = '""&amp;$G150&amp;""' and Col2 &gt; date '""&amp;TEXT(DATE(Y$8,1,1),""yyyy-mm-dd"")&amp;""' and Col2 &lt;= date '""&amp;TEXT(DATE(Y$8,12,31),""yyyy-mm-dd"")&amp;""' label sum(Col16) ''"",0)))"),"")</f>
        <v/>
      </c>
      <c r="Z150" s="630" t="str">
        <f>IFERROR(__xludf.DUMMYFUNCTION("IF($G150="""","""",IFERROR(query({proventos!$B$5:$Q310},""Select sum(Col16) where Col1 = '""&amp;$G150&amp;""' and Col2 &gt; date '""&amp;TEXT(DATE(Z$8,1,1),""yyyy-mm-dd"")&amp;""' and Col2 &lt;= date '""&amp;TEXT(DATE(Z$8,12,31),""yyyy-mm-dd"")&amp;""' label sum(Col16) ''"",0)))"),"")</f>
        <v/>
      </c>
      <c r="AA150" s="587"/>
      <c r="AB150" s="578" t="s">
        <v>123</v>
      </c>
      <c r="AC150" s="601"/>
      <c r="AD150" s="636"/>
      <c r="AE150" s="636"/>
    </row>
    <row r="151">
      <c r="A151" s="576"/>
      <c r="B151" s="620"/>
      <c r="C151" s="637"/>
      <c r="D151" s="633"/>
      <c r="E151" s="633"/>
      <c r="F151" s="624">
        <v>141.0</v>
      </c>
      <c r="G151" s="635"/>
      <c r="H151" s="626" t="str">
        <f>if(G151="","",IFERROR(VLOOKUP(G151,AtivosDados,MATCH("provento_avg",portfolio.!$A$3:AE$3,0),FALSE),""))</f>
        <v/>
      </c>
      <c r="I151" s="627" t="s">
        <v>123</v>
      </c>
      <c r="J151" s="628" t="str">
        <f>IFERROR(__xludf.DUMMYFUNCTION("IF($G151="""","""",IFERROR(query({proventos!$B$5:$Q310},""Select sum(Col16) where Col1 = '""&amp;$G151&amp;""' and Col2 &gt; date '""&amp;TEXT(K$8,""yyyy-mm-dd"")&amp;""' and Col2 &lt;= date '""&amp;TEXT(J$8,""yyyy-mm-dd"")&amp;""' label sum(Col16) ''"",0)))"),"")</f>
        <v/>
      </c>
      <c r="K151" s="628" t="str">
        <f>IFERROR(__xludf.DUMMYFUNCTION("IF($G151="""","""",IFERROR(query({proventos!$B$5:$Q310},""Select sum(Col16) where Col1 = '""&amp;$G151&amp;""' and Col2 &gt; date '""&amp;TEXT(L$8,""yyyy-mm-dd"")&amp;""' and Col2 &lt;= date '""&amp;TEXT(K$8,""yyyy-mm-dd"")&amp;""' label sum(Col16) ''"",0)))"),"")</f>
        <v/>
      </c>
      <c r="L151" s="628" t="str">
        <f>IFERROR(__xludf.DUMMYFUNCTION("IF($G151="""","""",IFERROR(query({proventos!$B$5:$Q310},""Select sum(Col16) where Col1 = '""&amp;$G151&amp;""' and Col2 &gt; date '""&amp;TEXT(M$8,""yyyy-mm-dd"")&amp;""' and Col2 &lt;= date '""&amp;TEXT(L$8,""yyyy-mm-dd"")&amp;""' label sum(Col16) ''"",0)))"),"")</f>
        <v/>
      </c>
      <c r="M151" s="628" t="str">
        <f>IFERROR(__xludf.DUMMYFUNCTION("IF($G151="""","""",IFERROR(query({proventos!$B$5:$Q310},""Select sum(Col16) where Col1 = '""&amp;$G151&amp;""' and Col2 &gt; date '""&amp;TEXT(N$8,""yyyy-mm-dd"")&amp;""' and Col2 &lt;= date '""&amp;TEXT(M$8,""yyyy-mm-dd"")&amp;""' label sum(Col16) ''"",0)))"),"")</f>
        <v/>
      </c>
      <c r="N151" s="628" t="str">
        <f>IFERROR(__xludf.DUMMYFUNCTION("IF($G151="""","""",IFERROR(query({proventos!$B$5:$Q310},""Select sum(Col16) where Col1 = '""&amp;$G151&amp;""' and Col2 &gt; date '""&amp;TEXT(O$8,""yyyy-mm-dd"")&amp;""' and Col2 &lt;= date '""&amp;TEXT(N$8,""yyyy-mm-dd"")&amp;""' label sum(Col16) ''"",0)))"),"")</f>
        <v/>
      </c>
      <c r="O151" s="628" t="str">
        <f>IFERROR(__xludf.DUMMYFUNCTION("IF($G151="""","""",IFERROR(query({proventos!$B$5:$Q310},""Select sum(Col16) where Col1 = '""&amp;$G151&amp;""' and Col2 &gt; date '""&amp;TEXT(P$8,""yyyy-mm-dd"")&amp;""' and Col2 &lt;= date '""&amp;TEXT(O$8,""yyyy-mm-dd"")&amp;""' label sum(Col16) ''"",0)))"),"")</f>
        <v/>
      </c>
      <c r="P151" s="628" t="str">
        <f>IFERROR(__xludf.DUMMYFUNCTION("IF($G151="""","""",IFERROR(query({proventos!$B$5:$Q310},""Select sum(Col16) where Col1 = '""&amp;$G151&amp;""' and Col2 &gt; date '""&amp;TEXT(Q$8,""yyyy-mm-dd"")&amp;""' and Col2 &lt;= date '""&amp;TEXT(P$8,""yyyy-mm-dd"")&amp;""' label sum(Col16) ''"",0)))"),"")</f>
        <v/>
      </c>
      <c r="Q151" s="628" t="str">
        <f>IFERROR(__xludf.DUMMYFUNCTION("IF($G151="""","""",IFERROR(query({proventos!$B$5:$Q310},""Select sum(Col16) where Col1 = '""&amp;$G151&amp;""' and Col2 &gt; date '""&amp;TEXT(R$8,""yyyy-mm-dd"")&amp;""' and Col2 &lt;= date '""&amp;TEXT(Q$8,""yyyy-mm-dd"")&amp;""' label sum(Col16) ''"",0)))"),"")</f>
        <v/>
      </c>
      <c r="R151" s="628" t="str">
        <f>IFERROR(__xludf.DUMMYFUNCTION("IF($G151="""","""",IFERROR(query({proventos!$B$5:$Q310},""Select sum(Col16) where Col1 = '""&amp;$G151&amp;""' and Col2 &gt; date '""&amp;TEXT(S$8,""yyyy-mm-dd"")&amp;""' and Col2 &lt;= date '""&amp;TEXT(R$8,""yyyy-mm-dd"")&amp;""' label sum(Col16) ''"",0)))"),"")</f>
        <v/>
      </c>
      <c r="S151" s="628" t="str">
        <f>IFERROR(__xludf.DUMMYFUNCTION("IF($G151="""","""",IFERROR(query({proventos!$B$5:$Q310},""Select sum(Col16) where Col1 = '""&amp;$G151&amp;""' and Col2 &gt; date '""&amp;TEXT(T$8,""yyyy-mm-dd"")&amp;""' and Col2 &lt;= date '""&amp;TEXT(S$8,""yyyy-mm-dd"")&amp;""' label sum(Col16) ''"",0)))"),"")</f>
        <v/>
      </c>
      <c r="T151" s="628" t="str">
        <f>IFERROR(__xludf.DUMMYFUNCTION("IF($G151="""","""",IFERROR(query({proventos!$B$5:$Q310},""Select sum(Col16) where Col1 = '""&amp;$G151&amp;""' and Col2 &gt; date '""&amp;TEXT(U$8,""yyyy-mm-dd"")&amp;""' and Col2 &lt;= date '""&amp;TEXT(T$8,""yyyy-mm-dd"")&amp;""' label sum(Col16) ''"",0)))"),"")</f>
        <v/>
      </c>
      <c r="U151" s="629" t="str">
        <f>IFERROR(__xludf.DUMMYFUNCTION("IF($G151="""","""",IFERROR(query({proventos!$B$5:$Q310},""Select sum(Col16) where Col1 = '""&amp;$G151&amp;""' and Col2 &gt; date '""&amp;TEXT(EOMONTH(TODAY(),-13),""yyyy-mm-dd"")&amp;""' and Col2 &lt;= date '""&amp;TEXT(U$8,""yyyy-mm-dd"")&amp;""' label sum(Col16) ''"",0)))"),"")</f>
        <v/>
      </c>
      <c r="V151" s="630" t="str">
        <f>IFERROR(__xludf.DUMMYFUNCTION("IF($G151="""","""",IFERROR(query({proventos!$B$5:$Q310},""Select sum(Col16) where Col1 = '""&amp;$G151&amp;""' and Col2 &gt; date '""&amp;TEXT(DATE(V$8,1,1),""yyyy-mm-dd"")&amp;""' and Col2 &lt;= date '""&amp;TEXT(DATE(V$8,12,31),""yyyy-mm-dd"")&amp;""' label sum(Col16) ''"",0)))"),"")</f>
        <v/>
      </c>
      <c r="W151" s="630" t="str">
        <f>IFERROR(__xludf.DUMMYFUNCTION("IF($G151="""","""",IFERROR(query({proventos!$B$5:$Q310},""Select sum(Col16) where Col1 = '""&amp;$G151&amp;""' and Col2 &gt; date '""&amp;TEXT(DATE(W$8,1,1),""yyyy-mm-dd"")&amp;""' and Col2 &lt;= date '""&amp;TEXT(DATE(W$8,12,31),""yyyy-mm-dd"")&amp;""' label sum(Col16) ''"",0)))"),"")</f>
        <v/>
      </c>
      <c r="X151" s="630" t="str">
        <f>IFERROR(__xludf.DUMMYFUNCTION("IF($G151="""","""",IFERROR(query({proventos!$B$5:$Q310},""Select sum(Col16) where Col1 = '""&amp;$G151&amp;""' and Col2 &gt; date '""&amp;TEXT(DATE(X$8,1,1),""yyyy-mm-dd"")&amp;""' and Col2 &lt;= date '""&amp;TEXT(DATE(X$8,12,31),""yyyy-mm-dd"")&amp;""' label sum(Col16) ''"",0)))"),"")</f>
        <v/>
      </c>
      <c r="Y151" s="630" t="str">
        <f>IFERROR(__xludf.DUMMYFUNCTION("IF($G151="""","""",IFERROR(query({proventos!$B$5:$Q310},""Select sum(Col16) where Col1 = '""&amp;$G151&amp;""' and Col2 &gt; date '""&amp;TEXT(DATE(Y$8,1,1),""yyyy-mm-dd"")&amp;""' and Col2 &lt;= date '""&amp;TEXT(DATE(Y$8,12,31),""yyyy-mm-dd"")&amp;""' label sum(Col16) ''"",0)))"),"")</f>
        <v/>
      </c>
      <c r="Z151" s="630" t="str">
        <f>IFERROR(__xludf.DUMMYFUNCTION("IF($G151="""","""",IFERROR(query({proventos!$B$5:$Q310},""Select sum(Col16) where Col1 = '""&amp;$G151&amp;""' and Col2 &gt; date '""&amp;TEXT(DATE(Z$8,1,1),""yyyy-mm-dd"")&amp;""' and Col2 &lt;= date '""&amp;TEXT(DATE(Z$8,12,31),""yyyy-mm-dd"")&amp;""' label sum(Col16) ''"",0)))"),"")</f>
        <v/>
      </c>
      <c r="AA151" s="587"/>
      <c r="AB151" s="578" t="s">
        <v>123</v>
      </c>
      <c r="AC151" s="601"/>
      <c r="AD151" s="636"/>
      <c r="AE151" s="636"/>
    </row>
    <row r="152">
      <c r="A152" s="576"/>
      <c r="B152" s="620"/>
      <c r="C152" s="637"/>
      <c r="D152" s="633"/>
      <c r="E152" s="633"/>
      <c r="F152" s="624">
        <v>142.0</v>
      </c>
      <c r="G152" s="635"/>
      <c r="H152" s="626" t="str">
        <f>if(G152="","",IFERROR(VLOOKUP(G152,AtivosDados,MATCH("provento_avg",portfolio.!$A$3:AE$3,0),FALSE),""))</f>
        <v/>
      </c>
      <c r="I152" s="627" t="s">
        <v>123</v>
      </c>
      <c r="J152" s="628" t="str">
        <f>IFERROR(__xludf.DUMMYFUNCTION("IF($G152="""","""",IFERROR(query({proventos!$B$5:$Q310},""Select sum(Col16) where Col1 = '""&amp;$G152&amp;""' and Col2 &gt; date '""&amp;TEXT(K$8,""yyyy-mm-dd"")&amp;""' and Col2 &lt;= date '""&amp;TEXT(J$8,""yyyy-mm-dd"")&amp;""' label sum(Col16) ''"",0)))"),"")</f>
        <v/>
      </c>
      <c r="K152" s="628" t="str">
        <f>IFERROR(__xludf.DUMMYFUNCTION("IF($G152="""","""",IFERROR(query({proventos!$B$5:$Q310},""Select sum(Col16) where Col1 = '""&amp;$G152&amp;""' and Col2 &gt; date '""&amp;TEXT(L$8,""yyyy-mm-dd"")&amp;""' and Col2 &lt;= date '""&amp;TEXT(K$8,""yyyy-mm-dd"")&amp;""' label sum(Col16) ''"",0)))"),"")</f>
        <v/>
      </c>
      <c r="L152" s="628" t="str">
        <f>IFERROR(__xludf.DUMMYFUNCTION("IF($G152="""","""",IFERROR(query({proventos!$B$5:$Q310},""Select sum(Col16) where Col1 = '""&amp;$G152&amp;""' and Col2 &gt; date '""&amp;TEXT(M$8,""yyyy-mm-dd"")&amp;""' and Col2 &lt;= date '""&amp;TEXT(L$8,""yyyy-mm-dd"")&amp;""' label sum(Col16) ''"",0)))"),"")</f>
        <v/>
      </c>
      <c r="M152" s="628" t="str">
        <f>IFERROR(__xludf.DUMMYFUNCTION("IF($G152="""","""",IFERROR(query({proventos!$B$5:$Q310},""Select sum(Col16) where Col1 = '""&amp;$G152&amp;""' and Col2 &gt; date '""&amp;TEXT(N$8,""yyyy-mm-dd"")&amp;""' and Col2 &lt;= date '""&amp;TEXT(M$8,""yyyy-mm-dd"")&amp;""' label sum(Col16) ''"",0)))"),"")</f>
        <v/>
      </c>
      <c r="N152" s="628" t="str">
        <f>IFERROR(__xludf.DUMMYFUNCTION("IF($G152="""","""",IFERROR(query({proventos!$B$5:$Q310},""Select sum(Col16) where Col1 = '""&amp;$G152&amp;""' and Col2 &gt; date '""&amp;TEXT(O$8,""yyyy-mm-dd"")&amp;""' and Col2 &lt;= date '""&amp;TEXT(N$8,""yyyy-mm-dd"")&amp;""' label sum(Col16) ''"",0)))"),"")</f>
        <v/>
      </c>
      <c r="O152" s="628" t="str">
        <f>IFERROR(__xludf.DUMMYFUNCTION("IF($G152="""","""",IFERROR(query({proventos!$B$5:$Q310},""Select sum(Col16) where Col1 = '""&amp;$G152&amp;""' and Col2 &gt; date '""&amp;TEXT(P$8,""yyyy-mm-dd"")&amp;""' and Col2 &lt;= date '""&amp;TEXT(O$8,""yyyy-mm-dd"")&amp;""' label sum(Col16) ''"",0)))"),"")</f>
        <v/>
      </c>
      <c r="P152" s="628" t="str">
        <f>IFERROR(__xludf.DUMMYFUNCTION("IF($G152="""","""",IFERROR(query({proventos!$B$5:$Q310},""Select sum(Col16) where Col1 = '""&amp;$G152&amp;""' and Col2 &gt; date '""&amp;TEXT(Q$8,""yyyy-mm-dd"")&amp;""' and Col2 &lt;= date '""&amp;TEXT(P$8,""yyyy-mm-dd"")&amp;""' label sum(Col16) ''"",0)))"),"")</f>
        <v/>
      </c>
      <c r="Q152" s="628" t="str">
        <f>IFERROR(__xludf.DUMMYFUNCTION("IF($G152="""","""",IFERROR(query({proventos!$B$5:$Q310},""Select sum(Col16) where Col1 = '""&amp;$G152&amp;""' and Col2 &gt; date '""&amp;TEXT(R$8,""yyyy-mm-dd"")&amp;""' and Col2 &lt;= date '""&amp;TEXT(Q$8,""yyyy-mm-dd"")&amp;""' label sum(Col16) ''"",0)))"),"")</f>
        <v/>
      </c>
      <c r="R152" s="628" t="str">
        <f>IFERROR(__xludf.DUMMYFUNCTION("IF($G152="""","""",IFERROR(query({proventos!$B$5:$Q310},""Select sum(Col16) where Col1 = '""&amp;$G152&amp;""' and Col2 &gt; date '""&amp;TEXT(S$8,""yyyy-mm-dd"")&amp;""' and Col2 &lt;= date '""&amp;TEXT(R$8,""yyyy-mm-dd"")&amp;""' label sum(Col16) ''"",0)))"),"")</f>
        <v/>
      </c>
      <c r="S152" s="628" t="str">
        <f>IFERROR(__xludf.DUMMYFUNCTION("IF($G152="""","""",IFERROR(query({proventos!$B$5:$Q310},""Select sum(Col16) where Col1 = '""&amp;$G152&amp;""' and Col2 &gt; date '""&amp;TEXT(T$8,""yyyy-mm-dd"")&amp;""' and Col2 &lt;= date '""&amp;TEXT(S$8,""yyyy-mm-dd"")&amp;""' label sum(Col16) ''"",0)))"),"")</f>
        <v/>
      </c>
      <c r="T152" s="628" t="str">
        <f>IFERROR(__xludf.DUMMYFUNCTION("IF($G152="""","""",IFERROR(query({proventos!$B$5:$Q310},""Select sum(Col16) where Col1 = '""&amp;$G152&amp;""' and Col2 &gt; date '""&amp;TEXT(U$8,""yyyy-mm-dd"")&amp;""' and Col2 &lt;= date '""&amp;TEXT(T$8,""yyyy-mm-dd"")&amp;""' label sum(Col16) ''"",0)))"),"")</f>
        <v/>
      </c>
      <c r="U152" s="629" t="str">
        <f>IFERROR(__xludf.DUMMYFUNCTION("IF($G152="""","""",IFERROR(query({proventos!$B$5:$Q310},""Select sum(Col16) where Col1 = '""&amp;$G152&amp;""' and Col2 &gt; date '""&amp;TEXT(EOMONTH(TODAY(),-13),""yyyy-mm-dd"")&amp;""' and Col2 &lt;= date '""&amp;TEXT(U$8,""yyyy-mm-dd"")&amp;""' label sum(Col16) ''"",0)))"),"")</f>
        <v/>
      </c>
      <c r="V152" s="630" t="str">
        <f>IFERROR(__xludf.DUMMYFUNCTION("IF($G152="""","""",IFERROR(query({proventos!$B$5:$Q310},""Select sum(Col16) where Col1 = '""&amp;$G152&amp;""' and Col2 &gt; date '""&amp;TEXT(DATE(V$8,1,1),""yyyy-mm-dd"")&amp;""' and Col2 &lt;= date '""&amp;TEXT(DATE(V$8,12,31),""yyyy-mm-dd"")&amp;""' label sum(Col16) ''"",0)))"),"")</f>
        <v/>
      </c>
      <c r="W152" s="630" t="str">
        <f>IFERROR(__xludf.DUMMYFUNCTION("IF($G152="""","""",IFERROR(query({proventos!$B$5:$Q310},""Select sum(Col16) where Col1 = '""&amp;$G152&amp;""' and Col2 &gt; date '""&amp;TEXT(DATE(W$8,1,1),""yyyy-mm-dd"")&amp;""' and Col2 &lt;= date '""&amp;TEXT(DATE(W$8,12,31),""yyyy-mm-dd"")&amp;""' label sum(Col16) ''"",0)))"),"")</f>
        <v/>
      </c>
      <c r="X152" s="630" t="str">
        <f>IFERROR(__xludf.DUMMYFUNCTION("IF($G152="""","""",IFERROR(query({proventos!$B$5:$Q310},""Select sum(Col16) where Col1 = '""&amp;$G152&amp;""' and Col2 &gt; date '""&amp;TEXT(DATE(X$8,1,1),""yyyy-mm-dd"")&amp;""' and Col2 &lt;= date '""&amp;TEXT(DATE(X$8,12,31),""yyyy-mm-dd"")&amp;""' label sum(Col16) ''"",0)))"),"")</f>
        <v/>
      </c>
      <c r="Y152" s="630" t="str">
        <f>IFERROR(__xludf.DUMMYFUNCTION("IF($G152="""","""",IFERROR(query({proventos!$B$5:$Q310},""Select sum(Col16) where Col1 = '""&amp;$G152&amp;""' and Col2 &gt; date '""&amp;TEXT(DATE(Y$8,1,1),""yyyy-mm-dd"")&amp;""' and Col2 &lt;= date '""&amp;TEXT(DATE(Y$8,12,31),""yyyy-mm-dd"")&amp;""' label sum(Col16) ''"",0)))"),"")</f>
        <v/>
      </c>
      <c r="Z152" s="630" t="str">
        <f>IFERROR(__xludf.DUMMYFUNCTION("IF($G152="""","""",IFERROR(query({proventos!$B$5:$Q310},""Select sum(Col16) where Col1 = '""&amp;$G152&amp;""' and Col2 &gt; date '""&amp;TEXT(DATE(Z$8,1,1),""yyyy-mm-dd"")&amp;""' and Col2 &lt;= date '""&amp;TEXT(DATE(Z$8,12,31),""yyyy-mm-dd"")&amp;""' label sum(Col16) ''"",0)))"),"")</f>
        <v/>
      </c>
      <c r="AA152" s="587"/>
      <c r="AB152" s="578" t="s">
        <v>123</v>
      </c>
      <c r="AC152" s="601"/>
      <c r="AD152" s="636"/>
      <c r="AE152" s="636"/>
    </row>
    <row r="153">
      <c r="A153" s="576"/>
      <c r="B153" s="620"/>
      <c r="C153" s="637"/>
      <c r="D153" s="633"/>
      <c r="E153" s="633"/>
      <c r="F153" s="624">
        <v>143.0</v>
      </c>
      <c r="G153" s="635"/>
      <c r="H153" s="626" t="str">
        <f>if(G153="","",IFERROR(VLOOKUP(G153,AtivosDados,MATCH("provento_avg",portfolio.!$A$3:AE$3,0),FALSE),""))</f>
        <v/>
      </c>
      <c r="I153" s="627" t="s">
        <v>123</v>
      </c>
      <c r="J153" s="628" t="str">
        <f>IFERROR(__xludf.DUMMYFUNCTION("IF($G153="""","""",IFERROR(query({proventos!$B$5:$Q310},""Select sum(Col16) where Col1 = '""&amp;$G153&amp;""' and Col2 &gt; date '""&amp;TEXT(K$8,""yyyy-mm-dd"")&amp;""' and Col2 &lt;= date '""&amp;TEXT(J$8,""yyyy-mm-dd"")&amp;""' label sum(Col16) ''"",0)))"),"")</f>
        <v/>
      </c>
      <c r="K153" s="628" t="str">
        <f>IFERROR(__xludf.DUMMYFUNCTION("IF($G153="""","""",IFERROR(query({proventos!$B$5:$Q310},""Select sum(Col16) where Col1 = '""&amp;$G153&amp;""' and Col2 &gt; date '""&amp;TEXT(L$8,""yyyy-mm-dd"")&amp;""' and Col2 &lt;= date '""&amp;TEXT(K$8,""yyyy-mm-dd"")&amp;""' label sum(Col16) ''"",0)))"),"")</f>
        <v/>
      </c>
      <c r="L153" s="628" t="str">
        <f>IFERROR(__xludf.DUMMYFUNCTION("IF($G153="""","""",IFERROR(query({proventos!$B$5:$Q310},""Select sum(Col16) where Col1 = '""&amp;$G153&amp;""' and Col2 &gt; date '""&amp;TEXT(M$8,""yyyy-mm-dd"")&amp;""' and Col2 &lt;= date '""&amp;TEXT(L$8,""yyyy-mm-dd"")&amp;""' label sum(Col16) ''"",0)))"),"")</f>
        <v/>
      </c>
      <c r="M153" s="628" t="str">
        <f>IFERROR(__xludf.DUMMYFUNCTION("IF($G153="""","""",IFERROR(query({proventos!$B$5:$Q310},""Select sum(Col16) where Col1 = '""&amp;$G153&amp;""' and Col2 &gt; date '""&amp;TEXT(N$8,""yyyy-mm-dd"")&amp;""' and Col2 &lt;= date '""&amp;TEXT(M$8,""yyyy-mm-dd"")&amp;""' label sum(Col16) ''"",0)))"),"")</f>
        <v/>
      </c>
      <c r="N153" s="628" t="str">
        <f>IFERROR(__xludf.DUMMYFUNCTION("IF($G153="""","""",IFERROR(query({proventos!$B$5:$Q310},""Select sum(Col16) where Col1 = '""&amp;$G153&amp;""' and Col2 &gt; date '""&amp;TEXT(O$8,""yyyy-mm-dd"")&amp;""' and Col2 &lt;= date '""&amp;TEXT(N$8,""yyyy-mm-dd"")&amp;""' label sum(Col16) ''"",0)))"),"")</f>
        <v/>
      </c>
      <c r="O153" s="628" t="str">
        <f>IFERROR(__xludf.DUMMYFUNCTION("IF($G153="""","""",IFERROR(query({proventos!$B$5:$Q310},""Select sum(Col16) where Col1 = '""&amp;$G153&amp;""' and Col2 &gt; date '""&amp;TEXT(P$8,""yyyy-mm-dd"")&amp;""' and Col2 &lt;= date '""&amp;TEXT(O$8,""yyyy-mm-dd"")&amp;""' label sum(Col16) ''"",0)))"),"")</f>
        <v/>
      </c>
      <c r="P153" s="628" t="str">
        <f>IFERROR(__xludf.DUMMYFUNCTION("IF($G153="""","""",IFERROR(query({proventos!$B$5:$Q310},""Select sum(Col16) where Col1 = '""&amp;$G153&amp;""' and Col2 &gt; date '""&amp;TEXT(Q$8,""yyyy-mm-dd"")&amp;""' and Col2 &lt;= date '""&amp;TEXT(P$8,""yyyy-mm-dd"")&amp;""' label sum(Col16) ''"",0)))"),"")</f>
        <v/>
      </c>
      <c r="Q153" s="628" t="str">
        <f>IFERROR(__xludf.DUMMYFUNCTION("IF($G153="""","""",IFERROR(query({proventos!$B$5:$Q310},""Select sum(Col16) where Col1 = '""&amp;$G153&amp;""' and Col2 &gt; date '""&amp;TEXT(R$8,""yyyy-mm-dd"")&amp;""' and Col2 &lt;= date '""&amp;TEXT(Q$8,""yyyy-mm-dd"")&amp;""' label sum(Col16) ''"",0)))"),"")</f>
        <v/>
      </c>
      <c r="R153" s="628" t="str">
        <f>IFERROR(__xludf.DUMMYFUNCTION("IF($G153="""","""",IFERROR(query({proventos!$B$5:$Q310},""Select sum(Col16) where Col1 = '""&amp;$G153&amp;""' and Col2 &gt; date '""&amp;TEXT(S$8,""yyyy-mm-dd"")&amp;""' and Col2 &lt;= date '""&amp;TEXT(R$8,""yyyy-mm-dd"")&amp;""' label sum(Col16) ''"",0)))"),"")</f>
        <v/>
      </c>
      <c r="S153" s="628" t="str">
        <f>IFERROR(__xludf.DUMMYFUNCTION("IF($G153="""","""",IFERROR(query({proventos!$B$5:$Q310},""Select sum(Col16) where Col1 = '""&amp;$G153&amp;""' and Col2 &gt; date '""&amp;TEXT(T$8,""yyyy-mm-dd"")&amp;""' and Col2 &lt;= date '""&amp;TEXT(S$8,""yyyy-mm-dd"")&amp;""' label sum(Col16) ''"",0)))"),"")</f>
        <v/>
      </c>
      <c r="T153" s="628" t="str">
        <f>IFERROR(__xludf.DUMMYFUNCTION("IF($G153="""","""",IFERROR(query({proventos!$B$5:$Q310},""Select sum(Col16) where Col1 = '""&amp;$G153&amp;""' and Col2 &gt; date '""&amp;TEXT(U$8,""yyyy-mm-dd"")&amp;""' and Col2 &lt;= date '""&amp;TEXT(T$8,""yyyy-mm-dd"")&amp;""' label sum(Col16) ''"",0)))"),"")</f>
        <v/>
      </c>
      <c r="U153" s="629" t="str">
        <f>IFERROR(__xludf.DUMMYFUNCTION("IF($G153="""","""",IFERROR(query({proventos!$B$5:$Q310},""Select sum(Col16) where Col1 = '""&amp;$G153&amp;""' and Col2 &gt; date '""&amp;TEXT(EOMONTH(TODAY(),-13),""yyyy-mm-dd"")&amp;""' and Col2 &lt;= date '""&amp;TEXT(U$8,""yyyy-mm-dd"")&amp;""' label sum(Col16) ''"",0)))"),"")</f>
        <v/>
      </c>
      <c r="V153" s="630" t="str">
        <f>IFERROR(__xludf.DUMMYFUNCTION("IF($G153="""","""",IFERROR(query({proventos!$B$5:$Q310},""Select sum(Col16) where Col1 = '""&amp;$G153&amp;""' and Col2 &gt; date '""&amp;TEXT(DATE(V$8,1,1),""yyyy-mm-dd"")&amp;""' and Col2 &lt;= date '""&amp;TEXT(DATE(V$8,12,31),""yyyy-mm-dd"")&amp;""' label sum(Col16) ''"",0)))"),"")</f>
        <v/>
      </c>
      <c r="W153" s="630" t="str">
        <f>IFERROR(__xludf.DUMMYFUNCTION("IF($G153="""","""",IFERROR(query({proventos!$B$5:$Q310},""Select sum(Col16) where Col1 = '""&amp;$G153&amp;""' and Col2 &gt; date '""&amp;TEXT(DATE(W$8,1,1),""yyyy-mm-dd"")&amp;""' and Col2 &lt;= date '""&amp;TEXT(DATE(W$8,12,31),""yyyy-mm-dd"")&amp;""' label sum(Col16) ''"",0)))"),"")</f>
        <v/>
      </c>
      <c r="X153" s="630" t="str">
        <f>IFERROR(__xludf.DUMMYFUNCTION("IF($G153="""","""",IFERROR(query({proventos!$B$5:$Q310},""Select sum(Col16) where Col1 = '""&amp;$G153&amp;""' and Col2 &gt; date '""&amp;TEXT(DATE(X$8,1,1),""yyyy-mm-dd"")&amp;""' and Col2 &lt;= date '""&amp;TEXT(DATE(X$8,12,31),""yyyy-mm-dd"")&amp;""' label sum(Col16) ''"",0)))"),"")</f>
        <v/>
      </c>
      <c r="Y153" s="630" t="str">
        <f>IFERROR(__xludf.DUMMYFUNCTION("IF($G153="""","""",IFERROR(query({proventos!$B$5:$Q310},""Select sum(Col16) where Col1 = '""&amp;$G153&amp;""' and Col2 &gt; date '""&amp;TEXT(DATE(Y$8,1,1),""yyyy-mm-dd"")&amp;""' and Col2 &lt;= date '""&amp;TEXT(DATE(Y$8,12,31),""yyyy-mm-dd"")&amp;""' label sum(Col16) ''"",0)))"),"")</f>
        <v/>
      </c>
      <c r="Z153" s="630" t="str">
        <f>IFERROR(__xludf.DUMMYFUNCTION("IF($G153="""","""",IFERROR(query({proventos!$B$5:$Q310},""Select sum(Col16) where Col1 = '""&amp;$G153&amp;""' and Col2 &gt; date '""&amp;TEXT(DATE(Z$8,1,1),""yyyy-mm-dd"")&amp;""' and Col2 &lt;= date '""&amp;TEXT(DATE(Z$8,12,31),""yyyy-mm-dd"")&amp;""' label sum(Col16) ''"",0)))"),"")</f>
        <v/>
      </c>
      <c r="AA153" s="587"/>
      <c r="AB153" s="578" t="s">
        <v>123</v>
      </c>
      <c r="AC153" s="601"/>
      <c r="AD153" s="636"/>
      <c r="AE153" s="636"/>
    </row>
    <row r="154">
      <c r="A154" s="576"/>
      <c r="B154" s="620"/>
      <c r="C154" s="637"/>
      <c r="D154" s="633"/>
      <c r="E154" s="633"/>
      <c r="F154" s="624">
        <v>144.0</v>
      </c>
      <c r="G154" s="635"/>
      <c r="H154" s="626" t="str">
        <f>if(G154="","",IFERROR(VLOOKUP(G154,AtivosDados,MATCH("provento_avg",portfolio.!$A$3:AE$3,0),FALSE),""))</f>
        <v/>
      </c>
      <c r="I154" s="627" t="s">
        <v>123</v>
      </c>
      <c r="J154" s="628" t="str">
        <f>IFERROR(__xludf.DUMMYFUNCTION("IF($G154="""","""",IFERROR(query({proventos!$B$5:$Q310},""Select sum(Col16) where Col1 = '""&amp;$G154&amp;""' and Col2 &gt; date '""&amp;TEXT(K$8,""yyyy-mm-dd"")&amp;""' and Col2 &lt;= date '""&amp;TEXT(J$8,""yyyy-mm-dd"")&amp;""' label sum(Col16) ''"",0)))"),"")</f>
        <v/>
      </c>
      <c r="K154" s="628" t="str">
        <f>IFERROR(__xludf.DUMMYFUNCTION("IF($G154="""","""",IFERROR(query({proventos!$B$5:$Q310},""Select sum(Col16) where Col1 = '""&amp;$G154&amp;""' and Col2 &gt; date '""&amp;TEXT(L$8,""yyyy-mm-dd"")&amp;""' and Col2 &lt;= date '""&amp;TEXT(K$8,""yyyy-mm-dd"")&amp;""' label sum(Col16) ''"",0)))"),"")</f>
        <v/>
      </c>
      <c r="L154" s="628" t="str">
        <f>IFERROR(__xludf.DUMMYFUNCTION("IF($G154="""","""",IFERROR(query({proventos!$B$5:$Q310},""Select sum(Col16) where Col1 = '""&amp;$G154&amp;""' and Col2 &gt; date '""&amp;TEXT(M$8,""yyyy-mm-dd"")&amp;""' and Col2 &lt;= date '""&amp;TEXT(L$8,""yyyy-mm-dd"")&amp;""' label sum(Col16) ''"",0)))"),"")</f>
        <v/>
      </c>
      <c r="M154" s="628" t="str">
        <f>IFERROR(__xludf.DUMMYFUNCTION("IF($G154="""","""",IFERROR(query({proventos!$B$5:$Q310},""Select sum(Col16) where Col1 = '""&amp;$G154&amp;""' and Col2 &gt; date '""&amp;TEXT(N$8,""yyyy-mm-dd"")&amp;""' and Col2 &lt;= date '""&amp;TEXT(M$8,""yyyy-mm-dd"")&amp;""' label sum(Col16) ''"",0)))"),"")</f>
        <v/>
      </c>
      <c r="N154" s="628" t="str">
        <f>IFERROR(__xludf.DUMMYFUNCTION("IF($G154="""","""",IFERROR(query({proventos!$B$5:$Q310},""Select sum(Col16) where Col1 = '""&amp;$G154&amp;""' and Col2 &gt; date '""&amp;TEXT(O$8,""yyyy-mm-dd"")&amp;""' and Col2 &lt;= date '""&amp;TEXT(N$8,""yyyy-mm-dd"")&amp;""' label sum(Col16) ''"",0)))"),"")</f>
        <v/>
      </c>
      <c r="O154" s="628" t="str">
        <f>IFERROR(__xludf.DUMMYFUNCTION("IF($G154="""","""",IFERROR(query({proventos!$B$5:$Q310},""Select sum(Col16) where Col1 = '""&amp;$G154&amp;""' and Col2 &gt; date '""&amp;TEXT(P$8,""yyyy-mm-dd"")&amp;""' and Col2 &lt;= date '""&amp;TEXT(O$8,""yyyy-mm-dd"")&amp;""' label sum(Col16) ''"",0)))"),"")</f>
        <v/>
      </c>
      <c r="P154" s="628" t="str">
        <f>IFERROR(__xludf.DUMMYFUNCTION("IF($G154="""","""",IFERROR(query({proventos!$B$5:$Q310},""Select sum(Col16) where Col1 = '""&amp;$G154&amp;""' and Col2 &gt; date '""&amp;TEXT(Q$8,""yyyy-mm-dd"")&amp;""' and Col2 &lt;= date '""&amp;TEXT(P$8,""yyyy-mm-dd"")&amp;""' label sum(Col16) ''"",0)))"),"")</f>
        <v/>
      </c>
      <c r="Q154" s="628" t="str">
        <f>IFERROR(__xludf.DUMMYFUNCTION("IF($G154="""","""",IFERROR(query({proventos!$B$5:$Q310},""Select sum(Col16) where Col1 = '""&amp;$G154&amp;""' and Col2 &gt; date '""&amp;TEXT(R$8,""yyyy-mm-dd"")&amp;""' and Col2 &lt;= date '""&amp;TEXT(Q$8,""yyyy-mm-dd"")&amp;""' label sum(Col16) ''"",0)))"),"")</f>
        <v/>
      </c>
      <c r="R154" s="628" t="str">
        <f>IFERROR(__xludf.DUMMYFUNCTION("IF($G154="""","""",IFERROR(query({proventos!$B$5:$Q310},""Select sum(Col16) where Col1 = '""&amp;$G154&amp;""' and Col2 &gt; date '""&amp;TEXT(S$8,""yyyy-mm-dd"")&amp;""' and Col2 &lt;= date '""&amp;TEXT(R$8,""yyyy-mm-dd"")&amp;""' label sum(Col16) ''"",0)))"),"")</f>
        <v/>
      </c>
      <c r="S154" s="628" t="str">
        <f>IFERROR(__xludf.DUMMYFUNCTION("IF($G154="""","""",IFERROR(query({proventos!$B$5:$Q310},""Select sum(Col16) where Col1 = '""&amp;$G154&amp;""' and Col2 &gt; date '""&amp;TEXT(T$8,""yyyy-mm-dd"")&amp;""' and Col2 &lt;= date '""&amp;TEXT(S$8,""yyyy-mm-dd"")&amp;""' label sum(Col16) ''"",0)))"),"")</f>
        <v/>
      </c>
      <c r="T154" s="628" t="str">
        <f>IFERROR(__xludf.DUMMYFUNCTION("IF($G154="""","""",IFERROR(query({proventos!$B$5:$Q310},""Select sum(Col16) where Col1 = '""&amp;$G154&amp;""' and Col2 &gt; date '""&amp;TEXT(U$8,""yyyy-mm-dd"")&amp;""' and Col2 &lt;= date '""&amp;TEXT(T$8,""yyyy-mm-dd"")&amp;""' label sum(Col16) ''"",0)))"),"")</f>
        <v/>
      </c>
      <c r="U154" s="629" t="str">
        <f>IFERROR(__xludf.DUMMYFUNCTION("IF($G154="""","""",IFERROR(query({proventos!$B$5:$Q310},""Select sum(Col16) where Col1 = '""&amp;$G154&amp;""' and Col2 &gt; date '""&amp;TEXT(EOMONTH(TODAY(),-13),""yyyy-mm-dd"")&amp;""' and Col2 &lt;= date '""&amp;TEXT(U$8,""yyyy-mm-dd"")&amp;""' label sum(Col16) ''"",0)))"),"")</f>
        <v/>
      </c>
      <c r="V154" s="630" t="str">
        <f>IFERROR(__xludf.DUMMYFUNCTION("IF($G154="""","""",IFERROR(query({proventos!$B$5:$Q310},""Select sum(Col16) where Col1 = '""&amp;$G154&amp;""' and Col2 &gt; date '""&amp;TEXT(DATE(V$8,1,1),""yyyy-mm-dd"")&amp;""' and Col2 &lt;= date '""&amp;TEXT(DATE(V$8,12,31),""yyyy-mm-dd"")&amp;""' label sum(Col16) ''"",0)))"),"")</f>
        <v/>
      </c>
      <c r="W154" s="630" t="str">
        <f>IFERROR(__xludf.DUMMYFUNCTION("IF($G154="""","""",IFERROR(query({proventos!$B$5:$Q310},""Select sum(Col16) where Col1 = '""&amp;$G154&amp;""' and Col2 &gt; date '""&amp;TEXT(DATE(W$8,1,1),""yyyy-mm-dd"")&amp;""' and Col2 &lt;= date '""&amp;TEXT(DATE(W$8,12,31),""yyyy-mm-dd"")&amp;""' label sum(Col16) ''"",0)))"),"")</f>
        <v/>
      </c>
      <c r="X154" s="630" t="str">
        <f>IFERROR(__xludf.DUMMYFUNCTION("IF($G154="""","""",IFERROR(query({proventos!$B$5:$Q310},""Select sum(Col16) where Col1 = '""&amp;$G154&amp;""' and Col2 &gt; date '""&amp;TEXT(DATE(X$8,1,1),""yyyy-mm-dd"")&amp;""' and Col2 &lt;= date '""&amp;TEXT(DATE(X$8,12,31),""yyyy-mm-dd"")&amp;""' label sum(Col16) ''"",0)))"),"")</f>
        <v/>
      </c>
      <c r="Y154" s="630" t="str">
        <f>IFERROR(__xludf.DUMMYFUNCTION("IF($G154="""","""",IFERROR(query({proventos!$B$5:$Q310},""Select sum(Col16) where Col1 = '""&amp;$G154&amp;""' and Col2 &gt; date '""&amp;TEXT(DATE(Y$8,1,1),""yyyy-mm-dd"")&amp;""' and Col2 &lt;= date '""&amp;TEXT(DATE(Y$8,12,31),""yyyy-mm-dd"")&amp;""' label sum(Col16) ''"",0)))"),"")</f>
        <v/>
      </c>
      <c r="Z154" s="630" t="str">
        <f>IFERROR(__xludf.DUMMYFUNCTION("IF($G154="""","""",IFERROR(query({proventos!$B$5:$Q310},""Select sum(Col16) where Col1 = '""&amp;$G154&amp;""' and Col2 &gt; date '""&amp;TEXT(DATE(Z$8,1,1),""yyyy-mm-dd"")&amp;""' and Col2 &lt;= date '""&amp;TEXT(DATE(Z$8,12,31),""yyyy-mm-dd"")&amp;""' label sum(Col16) ''"",0)))"),"")</f>
        <v/>
      </c>
      <c r="AA154" s="587"/>
      <c r="AB154" s="578" t="s">
        <v>123</v>
      </c>
      <c r="AC154" s="601"/>
      <c r="AD154" s="636"/>
      <c r="AE154" s="636"/>
    </row>
    <row r="155">
      <c r="A155" s="576"/>
      <c r="B155" s="620"/>
      <c r="C155" s="637"/>
      <c r="D155" s="633"/>
      <c r="E155" s="633"/>
      <c r="F155" s="624">
        <v>145.0</v>
      </c>
      <c r="G155" s="635"/>
      <c r="H155" s="626" t="str">
        <f>if(G155="","",IFERROR(VLOOKUP(G155,AtivosDados,MATCH("provento_avg",portfolio.!$A$3:AE$3,0),FALSE),""))</f>
        <v/>
      </c>
      <c r="I155" s="627" t="s">
        <v>123</v>
      </c>
      <c r="J155" s="628" t="str">
        <f>IFERROR(__xludf.DUMMYFUNCTION("IF($G155="""","""",IFERROR(query({proventos!$B$5:$Q310},""Select sum(Col16) where Col1 = '""&amp;$G155&amp;""' and Col2 &gt; date '""&amp;TEXT(K$8,""yyyy-mm-dd"")&amp;""' and Col2 &lt;= date '""&amp;TEXT(J$8,""yyyy-mm-dd"")&amp;""' label sum(Col16) ''"",0)))"),"")</f>
        <v/>
      </c>
      <c r="K155" s="628" t="str">
        <f>IFERROR(__xludf.DUMMYFUNCTION("IF($G155="""","""",IFERROR(query({proventos!$B$5:$Q310},""Select sum(Col16) where Col1 = '""&amp;$G155&amp;""' and Col2 &gt; date '""&amp;TEXT(L$8,""yyyy-mm-dd"")&amp;""' and Col2 &lt;= date '""&amp;TEXT(K$8,""yyyy-mm-dd"")&amp;""' label sum(Col16) ''"",0)))"),"")</f>
        <v/>
      </c>
      <c r="L155" s="628" t="str">
        <f>IFERROR(__xludf.DUMMYFUNCTION("IF($G155="""","""",IFERROR(query({proventos!$B$5:$Q310},""Select sum(Col16) where Col1 = '""&amp;$G155&amp;""' and Col2 &gt; date '""&amp;TEXT(M$8,""yyyy-mm-dd"")&amp;""' and Col2 &lt;= date '""&amp;TEXT(L$8,""yyyy-mm-dd"")&amp;""' label sum(Col16) ''"",0)))"),"")</f>
        <v/>
      </c>
      <c r="M155" s="628" t="str">
        <f>IFERROR(__xludf.DUMMYFUNCTION("IF($G155="""","""",IFERROR(query({proventos!$B$5:$Q310},""Select sum(Col16) where Col1 = '""&amp;$G155&amp;""' and Col2 &gt; date '""&amp;TEXT(N$8,""yyyy-mm-dd"")&amp;""' and Col2 &lt;= date '""&amp;TEXT(M$8,""yyyy-mm-dd"")&amp;""' label sum(Col16) ''"",0)))"),"")</f>
        <v/>
      </c>
      <c r="N155" s="628" t="str">
        <f>IFERROR(__xludf.DUMMYFUNCTION("IF($G155="""","""",IFERROR(query({proventos!$B$5:$Q310},""Select sum(Col16) where Col1 = '""&amp;$G155&amp;""' and Col2 &gt; date '""&amp;TEXT(O$8,""yyyy-mm-dd"")&amp;""' and Col2 &lt;= date '""&amp;TEXT(N$8,""yyyy-mm-dd"")&amp;""' label sum(Col16) ''"",0)))"),"")</f>
        <v/>
      </c>
      <c r="O155" s="628" t="str">
        <f>IFERROR(__xludf.DUMMYFUNCTION("IF($G155="""","""",IFERROR(query({proventos!$B$5:$Q310},""Select sum(Col16) where Col1 = '""&amp;$G155&amp;""' and Col2 &gt; date '""&amp;TEXT(P$8,""yyyy-mm-dd"")&amp;""' and Col2 &lt;= date '""&amp;TEXT(O$8,""yyyy-mm-dd"")&amp;""' label sum(Col16) ''"",0)))"),"")</f>
        <v/>
      </c>
      <c r="P155" s="628" t="str">
        <f>IFERROR(__xludf.DUMMYFUNCTION("IF($G155="""","""",IFERROR(query({proventos!$B$5:$Q310},""Select sum(Col16) where Col1 = '""&amp;$G155&amp;""' and Col2 &gt; date '""&amp;TEXT(Q$8,""yyyy-mm-dd"")&amp;""' and Col2 &lt;= date '""&amp;TEXT(P$8,""yyyy-mm-dd"")&amp;""' label sum(Col16) ''"",0)))"),"")</f>
        <v/>
      </c>
      <c r="Q155" s="628" t="str">
        <f>IFERROR(__xludf.DUMMYFUNCTION("IF($G155="""","""",IFERROR(query({proventos!$B$5:$Q310},""Select sum(Col16) where Col1 = '""&amp;$G155&amp;""' and Col2 &gt; date '""&amp;TEXT(R$8,""yyyy-mm-dd"")&amp;""' and Col2 &lt;= date '""&amp;TEXT(Q$8,""yyyy-mm-dd"")&amp;""' label sum(Col16) ''"",0)))"),"")</f>
        <v/>
      </c>
      <c r="R155" s="628" t="str">
        <f>IFERROR(__xludf.DUMMYFUNCTION("IF($G155="""","""",IFERROR(query({proventos!$B$5:$Q310},""Select sum(Col16) where Col1 = '""&amp;$G155&amp;""' and Col2 &gt; date '""&amp;TEXT(S$8,""yyyy-mm-dd"")&amp;""' and Col2 &lt;= date '""&amp;TEXT(R$8,""yyyy-mm-dd"")&amp;""' label sum(Col16) ''"",0)))"),"")</f>
        <v/>
      </c>
      <c r="S155" s="628" t="str">
        <f>IFERROR(__xludf.DUMMYFUNCTION("IF($G155="""","""",IFERROR(query({proventos!$B$5:$Q310},""Select sum(Col16) where Col1 = '""&amp;$G155&amp;""' and Col2 &gt; date '""&amp;TEXT(T$8,""yyyy-mm-dd"")&amp;""' and Col2 &lt;= date '""&amp;TEXT(S$8,""yyyy-mm-dd"")&amp;""' label sum(Col16) ''"",0)))"),"")</f>
        <v/>
      </c>
      <c r="T155" s="628" t="str">
        <f>IFERROR(__xludf.DUMMYFUNCTION("IF($G155="""","""",IFERROR(query({proventos!$B$5:$Q310},""Select sum(Col16) where Col1 = '""&amp;$G155&amp;""' and Col2 &gt; date '""&amp;TEXT(U$8,""yyyy-mm-dd"")&amp;""' and Col2 &lt;= date '""&amp;TEXT(T$8,""yyyy-mm-dd"")&amp;""' label sum(Col16) ''"",0)))"),"")</f>
        <v/>
      </c>
      <c r="U155" s="629" t="str">
        <f>IFERROR(__xludf.DUMMYFUNCTION("IF($G155="""","""",IFERROR(query({proventos!$B$5:$Q310},""Select sum(Col16) where Col1 = '""&amp;$G155&amp;""' and Col2 &gt; date '""&amp;TEXT(EOMONTH(TODAY(),-13),""yyyy-mm-dd"")&amp;""' and Col2 &lt;= date '""&amp;TEXT(U$8,""yyyy-mm-dd"")&amp;""' label sum(Col16) ''"",0)))"),"")</f>
        <v/>
      </c>
      <c r="V155" s="630" t="str">
        <f>IFERROR(__xludf.DUMMYFUNCTION("IF($G155="""","""",IFERROR(query({proventos!$B$5:$Q310},""Select sum(Col16) where Col1 = '""&amp;$G155&amp;""' and Col2 &gt; date '""&amp;TEXT(DATE(V$8,1,1),""yyyy-mm-dd"")&amp;""' and Col2 &lt;= date '""&amp;TEXT(DATE(V$8,12,31),""yyyy-mm-dd"")&amp;""' label sum(Col16) ''"",0)))"),"")</f>
        <v/>
      </c>
      <c r="W155" s="630" t="str">
        <f>IFERROR(__xludf.DUMMYFUNCTION("IF($G155="""","""",IFERROR(query({proventos!$B$5:$Q310},""Select sum(Col16) where Col1 = '""&amp;$G155&amp;""' and Col2 &gt; date '""&amp;TEXT(DATE(W$8,1,1),""yyyy-mm-dd"")&amp;""' and Col2 &lt;= date '""&amp;TEXT(DATE(W$8,12,31),""yyyy-mm-dd"")&amp;""' label sum(Col16) ''"",0)))"),"")</f>
        <v/>
      </c>
      <c r="X155" s="630" t="str">
        <f>IFERROR(__xludf.DUMMYFUNCTION("IF($G155="""","""",IFERROR(query({proventos!$B$5:$Q310},""Select sum(Col16) where Col1 = '""&amp;$G155&amp;""' and Col2 &gt; date '""&amp;TEXT(DATE(X$8,1,1),""yyyy-mm-dd"")&amp;""' and Col2 &lt;= date '""&amp;TEXT(DATE(X$8,12,31),""yyyy-mm-dd"")&amp;""' label sum(Col16) ''"",0)))"),"")</f>
        <v/>
      </c>
      <c r="Y155" s="630" t="str">
        <f>IFERROR(__xludf.DUMMYFUNCTION("IF($G155="""","""",IFERROR(query({proventos!$B$5:$Q310},""Select sum(Col16) where Col1 = '""&amp;$G155&amp;""' and Col2 &gt; date '""&amp;TEXT(DATE(Y$8,1,1),""yyyy-mm-dd"")&amp;""' and Col2 &lt;= date '""&amp;TEXT(DATE(Y$8,12,31),""yyyy-mm-dd"")&amp;""' label sum(Col16) ''"",0)))"),"")</f>
        <v/>
      </c>
      <c r="Z155" s="630" t="str">
        <f>IFERROR(__xludf.DUMMYFUNCTION("IF($G155="""","""",IFERROR(query({proventos!$B$5:$Q310},""Select sum(Col16) where Col1 = '""&amp;$G155&amp;""' and Col2 &gt; date '""&amp;TEXT(DATE(Z$8,1,1),""yyyy-mm-dd"")&amp;""' and Col2 &lt;= date '""&amp;TEXT(DATE(Z$8,12,31),""yyyy-mm-dd"")&amp;""' label sum(Col16) ''"",0)))"),"")</f>
        <v/>
      </c>
      <c r="AA155" s="587"/>
      <c r="AB155" s="578" t="s">
        <v>123</v>
      </c>
      <c r="AC155" s="601"/>
      <c r="AD155" s="636"/>
      <c r="AE155" s="636"/>
    </row>
    <row r="156">
      <c r="A156" s="576"/>
      <c r="B156" s="620"/>
      <c r="C156" s="637"/>
      <c r="D156" s="633"/>
      <c r="E156" s="633"/>
      <c r="F156" s="624">
        <v>146.0</v>
      </c>
      <c r="G156" s="635"/>
      <c r="H156" s="626" t="str">
        <f>if(G156="","",IFERROR(VLOOKUP(G156,AtivosDados,MATCH("provento_avg",portfolio.!$A$3:AE$3,0),FALSE),""))</f>
        <v/>
      </c>
      <c r="I156" s="627" t="s">
        <v>123</v>
      </c>
      <c r="J156" s="628" t="str">
        <f>IFERROR(__xludf.DUMMYFUNCTION("IF($G156="""","""",IFERROR(query({proventos!$B$5:$Q310},""Select sum(Col16) where Col1 = '""&amp;$G156&amp;""' and Col2 &gt; date '""&amp;TEXT(K$8,""yyyy-mm-dd"")&amp;""' and Col2 &lt;= date '""&amp;TEXT(J$8,""yyyy-mm-dd"")&amp;""' label sum(Col16) ''"",0)))"),"")</f>
        <v/>
      </c>
      <c r="K156" s="628" t="str">
        <f>IFERROR(__xludf.DUMMYFUNCTION("IF($G156="""","""",IFERROR(query({proventos!$B$5:$Q310},""Select sum(Col16) where Col1 = '""&amp;$G156&amp;""' and Col2 &gt; date '""&amp;TEXT(L$8,""yyyy-mm-dd"")&amp;""' and Col2 &lt;= date '""&amp;TEXT(K$8,""yyyy-mm-dd"")&amp;""' label sum(Col16) ''"",0)))"),"")</f>
        <v/>
      </c>
      <c r="L156" s="628" t="str">
        <f>IFERROR(__xludf.DUMMYFUNCTION("IF($G156="""","""",IFERROR(query({proventos!$B$5:$Q310},""Select sum(Col16) where Col1 = '""&amp;$G156&amp;""' and Col2 &gt; date '""&amp;TEXT(M$8,""yyyy-mm-dd"")&amp;""' and Col2 &lt;= date '""&amp;TEXT(L$8,""yyyy-mm-dd"")&amp;""' label sum(Col16) ''"",0)))"),"")</f>
        <v/>
      </c>
      <c r="M156" s="628" t="str">
        <f>IFERROR(__xludf.DUMMYFUNCTION("IF($G156="""","""",IFERROR(query({proventos!$B$5:$Q310},""Select sum(Col16) where Col1 = '""&amp;$G156&amp;""' and Col2 &gt; date '""&amp;TEXT(N$8,""yyyy-mm-dd"")&amp;""' and Col2 &lt;= date '""&amp;TEXT(M$8,""yyyy-mm-dd"")&amp;""' label sum(Col16) ''"",0)))"),"")</f>
        <v/>
      </c>
      <c r="N156" s="628" t="str">
        <f>IFERROR(__xludf.DUMMYFUNCTION("IF($G156="""","""",IFERROR(query({proventos!$B$5:$Q310},""Select sum(Col16) where Col1 = '""&amp;$G156&amp;""' and Col2 &gt; date '""&amp;TEXT(O$8,""yyyy-mm-dd"")&amp;""' and Col2 &lt;= date '""&amp;TEXT(N$8,""yyyy-mm-dd"")&amp;""' label sum(Col16) ''"",0)))"),"")</f>
        <v/>
      </c>
      <c r="O156" s="628" t="str">
        <f>IFERROR(__xludf.DUMMYFUNCTION("IF($G156="""","""",IFERROR(query({proventos!$B$5:$Q310},""Select sum(Col16) where Col1 = '""&amp;$G156&amp;""' and Col2 &gt; date '""&amp;TEXT(P$8,""yyyy-mm-dd"")&amp;""' and Col2 &lt;= date '""&amp;TEXT(O$8,""yyyy-mm-dd"")&amp;""' label sum(Col16) ''"",0)))"),"")</f>
        <v/>
      </c>
      <c r="P156" s="628" t="str">
        <f>IFERROR(__xludf.DUMMYFUNCTION("IF($G156="""","""",IFERROR(query({proventos!$B$5:$Q310},""Select sum(Col16) where Col1 = '""&amp;$G156&amp;""' and Col2 &gt; date '""&amp;TEXT(Q$8,""yyyy-mm-dd"")&amp;""' and Col2 &lt;= date '""&amp;TEXT(P$8,""yyyy-mm-dd"")&amp;""' label sum(Col16) ''"",0)))"),"")</f>
        <v/>
      </c>
      <c r="Q156" s="628" t="str">
        <f>IFERROR(__xludf.DUMMYFUNCTION("IF($G156="""","""",IFERROR(query({proventos!$B$5:$Q310},""Select sum(Col16) where Col1 = '""&amp;$G156&amp;""' and Col2 &gt; date '""&amp;TEXT(R$8,""yyyy-mm-dd"")&amp;""' and Col2 &lt;= date '""&amp;TEXT(Q$8,""yyyy-mm-dd"")&amp;""' label sum(Col16) ''"",0)))"),"")</f>
        <v/>
      </c>
      <c r="R156" s="628" t="str">
        <f>IFERROR(__xludf.DUMMYFUNCTION("IF($G156="""","""",IFERROR(query({proventos!$B$5:$Q310},""Select sum(Col16) where Col1 = '""&amp;$G156&amp;""' and Col2 &gt; date '""&amp;TEXT(S$8,""yyyy-mm-dd"")&amp;""' and Col2 &lt;= date '""&amp;TEXT(R$8,""yyyy-mm-dd"")&amp;""' label sum(Col16) ''"",0)))"),"")</f>
        <v/>
      </c>
      <c r="S156" s="628" t="str">
        <f>IFERROR(__xludf.DUMMYFUNCTION("IF($G156="""","""",IFERROR(query({proventos!$B$5:$Q310},""Select sum(Col16) where Col1 = '""&amp;$G156&amp;""' and Col2 &gt; date '""&amp;TEXT(T$8,""yyyy-mm-dd"")&amp;""' and Col2 &lt;= date '""&amp;TEXT(S$8,""yyyy-mm-dd"")&amp;""' label sum(Col16) ''"",0)))"),"")</f>
        <v/>
      </c>
      <c r="T156" s="628" t="str">
        <f>IFERROR(__xludf.DUMMYFUNCTION("IF($G156="""","""",IFERROR(query({proventos!$B$5:$Q310},""Select sum(Col16) where Col1 = '""&amp;$G156&amp;""' and Col2 &gt; date '""&amp;TEXT(U$8,""yyyy-mm-dd"")&amp;""' and Col2 &lt;= date '""&amp;TEXT(T$8,""yyyy-mm-dd"")&amp;""' label sum(Col16) ''"",0)))"),"")</f>
        <v/>
      </c>
      <c r="U156" s="629" t="str">
        <f>IFERROR(__xludf.DUMMYFUNCTION("IF($G156="""","""",IFERROR(query({proventos!$B$5:$Q310},""Select sum(Col16) where Col1 = '""&amp;$G156&amp;""' and Col2 &gt; date '""&amp;TEXT(EOMONTH(TODAY(),-13),""yyyy-mm-dd"")&amp;""' and Col2 &lt;= date '""&amp;TEXT(U$8,""yyyy-mm-dd"")&amp;""' label sum(Col16) ''"",0)))"),"")</f>
        <v/>
      </c>
      <c r="V156" s="630" t="str">
        <f>IFERROR(__xludf.DUMMYFUNCTION("IF($G156="""","""",IFERROR(query({proventos!$B$5:$Q310},""Select sum(Col16) where Col1 = '""&amp;$G156&amp;""' and Col2 &gt; date '""&amp;TEXT(DATE(V$8,1,1),""yyyy-mm-dd"")&amp;""' and Col2 &lt;= date '""&amp;TEXT(DATE(V$8,12,31),""yyyy-mm-dd"")&amp;""' label sum(Col16) ''"",0)))"),"")</f>
        <v/>
      </c>
      <c r="W156" s="630" t="str">
        <f>IFERROR(__xludf.DUMMYFUNCTION("IF($G156="""","""",IFERROR(query({proventos!$B$5:$Q310},""Select sum(Col16) where Col1 = '""&amp;$G156&amp;""' and Col2 &gt; date '""&amp;TEXT(DATE(W$8,1,1),""yyyy-mm-dd"")&amp;""' and Col2 &lt;= date '""&amp;TEXT(DATE(W$8,12,31),""yyyy-mm-dd"")&amp;""' label sum(Col16) ''"",0)))"),"")</f>
        <v/>
      </c>
      <c r="X156" s="630" t="str">
        <f>IFERROR(__xludf.DUMMYFUNCTION("IF($G156="""","""",IFERROR(query({proventos!$B$5:$Q310},""Select sum(Col16) where Col1 = '""&amp;$G156&amp;""' and Col2 &gt; date '""&amp;TEXT(DATE(X$8,1,1),""yyyy-mm-dd"")&amp;""' and Col2 &lt;= date '""&amp;TEXT(DATE(X$8,12,31),""yyyy-mm-dd"")&amp;""' label sum(Col16) ''"",0)))"),"")</f>
        <v/>
      </c>
      <c r="Y156" s="630" t="str">
        <f>IFERROR(__xludf.DUMMYFUNCTION("IF($G156="""","""",IFERROR(query({proventos!$B$5:$Q310},""Select sum(Col16) where Col1 = '""&amp;$G156&amp;""' and Col2 &gt; date '""&amp;TEXT(DATE(Y$8,1,1),""yyyy-mm-dd"")&amp;""' and Col2 &lt;= date '""&amp;TEXT(DATE(Y$8,12,31),""yyyy-mm-dd"")&amp;""' label sum(Col16) ''"",0)))"),"")</f>
        <v/>
      </c>
      <c r="Z156" s="630" t="str">
        <f>IFERROR(__xludf.DUMMYFUNCTION("IF($G156="""","""",IFERROR(query({proventos!$B$5:$Q310},""Select sum(Col16) where Col1 = '""&amp;$G156&amp;""' and Col2 &gt; date '""&amp;TEXT(DATE(Z$8,1,1),""yyyy-mm-dd"")&amp;""' and Col2 &lt;= date '""&amp;TEXT(DATE(Z$8,12,31),""yyyy-mm-dd"")&amp;""' label sum(Col16) ''"",0)))"),"")</f>
        <v/>
      </c>
      <c r="AA156" s="587"/>
      <c r="AB156" s="578" t="s">
        <v>123</v>
      </c>
      <c r="AC156" s="601"/>
      <c r="AD156" s="636"/>
      <c r="AE156" s="636"/>
    </row>
    <row r="157">
      <c r="A157" s="576"/>
      <c r="B157" s="620"/>
      <c r="C157" s="637"/>
      <c r="D157" s="633"/>
      <c r="E157" s="633"/>
      <c r="F157" s="624">
        <v>147.0</v>
      </c>
      <c r="G157" s="635"/>
      <c r="H157" s="626" t="str">
        <f>if(G157="","",IFERROR(VLOOKUP(G157,AtivosDados,MATCH("provento_avg",portfolio.!$A$3:AE$3,0),FALSE),""))</f>
        <v/>
      </c>
      <c r="I157" s="627" t="s">
        <v>123</v>
      </c>
      <c r="J157" s="628" t="str">
        <f>IFERROR(__xludf.DUMMYFUNCTION("IF($G157="""","""",IFERROR(query({proventos!$B$5:$Q310},""Select sum(Col16) where Col1 = '""&amp;$G157&amp;""' and Col2 &gt; date '""&amp;TEXT(K$8,""yyyy-mm-dd"")&amp;""' and Col2 &lt;= date '""&amp;TEXT(J$8,""yyyy-mm-dd"")&amp;""' label sum(Col16) ''"",0)))"),"")</f>
        <v/>
      </c>
      <c r="K157" s="628" t="str">
        <f>IFERROR(__xludf.DUMMYFUNCTION("IF($G157="""","""",IFERROR(query({proventos!$B$5:$Q310},""Select sum(Col16) where Col1 = '""&amp;$G157&amp;""' and Col2 &gt; date '""&amp;TEXT(L$8,""yyyy-mm-dd"")&amp;""' and Col2 &lt;= date '""&amp;TEXT(K$8,""yyyy-mm-dd"")&amp;""' label sum(Col16) ''"",0)))"),"")</f>
        <v/>
      </c>
      <c r="L157" s="628" t="str">
        <f>IFERROR(__xludf.DUMMYFUNCTION("IF($G157="""","""",IFERROR(query({proventos!$B$5:$Q310},""Select sum(Col16) where Col1 = '""&amp;$G157&amp;""' and Col2 &gt; date '""&amp;TEXT(M$8,""yyyy-mm-dd"")&amp;""' and Col2 &lt;= date '""&amp;TEXT(L$8,""yyyy-mm-dd"")&amp;""' label sum(Col16) ''"",0)))"),"")</f>
        <v/>
      </c>
      <c r="M157" s="628" t="str">
        <f>IFERROR(__xludf.DUMMYFUNCTION("IF($G157="""","""",IFERROR(query({proventos!$B$5:$Q310},""Select sum(Col16) where Col1 = '""&amp;$G157&amp;""' and Col2 &gt; date '""&amp;TEXT(N$8,""yyyy-mm-dd"")&amp;""' and Col2 &lt;= date '""&amp;TEXT(M$8,""yyyy-mm-dd"")&amp;""' label sum(Col16) ''"",0)))"),"")</f>
        <v/>
      </c>
      <c r="N157" s="628" t="str">
        <f>IFERROR(__xludf.DUMMYFUNCTION("IF($G157="""","""",IFERROR(query({proventos!$B$5:$Q310},""Select sum(Col16) where Col1 = '""&amp;$G157&amp;""' and Col2 &gt; date '""&amp;TEXT(O$8,""yyyy-mm-dd"")&amp;""' and Col2 &lt;= date '""&amp;TEXT(N$8,""yyyy-mm-dd"")&amp;""' label sum(Col16) ''"",0)))"),"")</f>
        <v/>
      </c>
      <c r="O157" s="628" t="str">
        <f>IFERROR(__xludf.DUMMYFUNCTION("IF($G157="""","""",IFERROR(query({proventos!$B$5:$Q310},""Select sum(Col16) where Col1 = '""&amp;$G157&amp;""' and Col2 &gt; date '""&amp;TEXT(P$8,""yyyy-mm-dd"")&amp;""' and Col2 &lt;= date '""&amp;TEXT(O$8,""yyyy-mm-dd"")&amp;""' label sum(Col16) ''"",0)))"),"")</f>
        <v/>
      </c>
      <c r="P157" s="628" t="str">
        <f>IFERROR(__xludf.DUMMYFUNCTION("IF($G157="""","""",IFERROR(query({proventos!$B$5:$Q310},""Select sum(Col16) where Col1 = '""&amp;$G157&amp;""' and Col2 &gt; date '""&amp;TEXT(Q$8,""yyyy-mm-dd"")&amp;""' and Col2 &lt;= date '""&amp;TEXT(P$8,""yyyy-mm-dd"")&amp;""' label sum(Col16) ''"",0)))"),"")</f>
        <v/>
      </c>
      <c r="Q157" s="628" t="str">
        <f>IFERROR(__xludf.DUMMYFUNCTION("IF($G157="""","""",IFERROR(query({proventos!$B$5:$Q310},""Select sum(Col16) where Col1 = '""&amp;$G157&amp;""' and Col2 &gt; date '""&amp;TEXT(R$8,""yyyy-mm-dd"")&amp;""' and Col2 &lt;= date '""&amp;TEXT(Q$8,""yyyy-mm-dd"")&amp;""' label sum(Col16) ''"",0)))"),"")</f>
        <v/>
      </c>
      <c r="R157" s="628" t="str">
        <f>IFERROR(__xludf.DUMMYFUNCTION("IF($G157="""","""",IFERROR(query({proventos!$B$5:$Q310},""Select sum(Col16) where Col1 = '""&amp;$G157&amp;""' and Col2 &gt; date '""&amp;TEXT(S$8,""yyyy-mm-dd"")&amp;""' and Col2 &lt;= date '""&amp;TEXT(R$8,""yyyy-mm-dd"")&amp;""' label sum(Col16) ''"",0)))"),"")</f>
        <v/>
      </c>
      <c r="S157" s="628" t="str">
        <f>IFERROR(__xludf.DUMMYFUNCTION("IF($G157="""","""",IFERROR(query({proventos!$B$5:$Q310},""Select sum(Col16) where Col1 = '""&amp;$G157&amp;""' and Col2 &gt; date '""&amp;TEXT(T$8,""yyyy-mm-dd"")&amp;""' and Col2 &lt;= date '""&amp;TEXT(S$8,""yyyy-mm-dd"")&amp;""' label sum(Col16) ''"",0)))"),"")</f>
        <v/>
      </c>
      <c r="T157" s="628" t="str">
        <f>IFERROR(__xludf.DUMMYFUNCTION("IF($G157="""","""",IFERROR(query({proventos!$B$5:$Q310},""Select sum(Col16) where Col1 = '""&amp;$G157&amp;""' and Col2 &gt; date '""&amp;TEXT(U$8,""yyyy-mm-dd"")&amp;""' and Col2 &lt;= date '""&amp;TEXT(T$8,""yyyy-mm-dd"")&amp;""' label sum(Col16) ''"",0)))"),"")</f>
        <v/>
      </c>
      <c r="U157" s="629" t="str">
        <f>IFERROR(__xludf.DUMMYFUNCTION("IF($G157="""","""",IFERROR(query({proventos!$B$5:$Q310},""Select sum(Col16) where Col1 = '""&amp;$G157&amp;""' and Col2 &gt; date '""&amp;TEXT(EOMONTH(TODAY(),-13),""yyyy-mm-dd"")&amp;""' and Col2 &lt;= date '""&amp;TEXT(U$8,""yyyy-mm-dd"")&amp;""' label sum(Col16) ''"",0)))"),"")</f>
        <v/>
      </c>
      <c r="V157" s="630" t="str">
        <f>IFERROR(__xludf.DUMMYFUNCTION("IF($G157="""","""",IFERROR(query({proventos!$B$5:$Q310},""Select sum(Col16) where Col1 = '""&amp;$G157&amp;""' and Col2 &gt; date '""&amp;TEXT(DATE(V$8,1,1),""yyyy-mm-dd"")&amp;""' and Col2 &lt;= date '""&amp;TEXT(DATE(V$8,12,31),""yyyy-mm-dd"")&amp;""' label sum(Col16) ''"",0)))"),"")</f>
        <v/>
      </c>
      <c r="W157" s="630" t="str">
        <f>IFERROR(__xludf.DUMMYFUNCTION("IF($G157="""","""",IFERROR(query({proventos!$B$5:$Q310},""Select sum(Col16) where Col1 = '""&amp;$G157&amp;""' and Col2 &gt; date '""&amp;TEXT(DATE(W$8,1,1),""yyyy-mm-dd"")&amp;""' and Col2 &lt;= date '""&amp;TEXT(DATE(W$8,12,31),""yyyy-mm-dd"")&amp;""' label sum(Col16) ''"",0)))"),"")</f>
        <v/>
      </c>
      <c r="X157" s="630" t="str">
        <f>IFERROR(__xludf.DUMMYFUNCTION("IF($G157="""","""",IFERROR(query({proventos!$B$5:$Q310},""Select sum(Col16) where Col1 = '""&amp;$G157&amp;""' and Col2 &gt; date '""&amp;TEXT(DATE(X$8,1,1),""yyyy-mm-dd"")&amp;""' and Col2 &lt;= date '""&amp;TEXT(DATE(X$8,12,31),""yyyy-mm-dd"")&amp;""' label sum(Col16) ''"",0)))"),"")</f>
        <v/>
      </c>
      <c r="Y157" s="630" t="str">
        <f>IFERROR(__xludf.DUMMYFUNCTION("IF($G157="""","""",IFERROR(query({proventos!$B$5:$Q310},""Select sum(Col16) where Col1 = '""&amp;$G157&amp;""' and Col2 &gt; date '""&amp;TEXT(DATE(Y$8,1,1),""yyyy-mm-dd"")&amp;""' and Col2 &lt;= date '""&amp;TEXT(DATE(Y$8,12,31),""yyyy-mm-dd"")&amp;""' label sum(Col16) ''"",0)))"),"")</f>
        <v/>
      </c>
      <c r="Z157" s="630" t="str">
        <f>IFERROR(__xludf.DUMMYFUNCTION("IF($G157="""","""",IFERROR(query({proventos!$B$5:$Q310},""Select sum(Col16) where Col1 = '""&amp;$G157&amp;""' and Col2 &gt; date '""&amp;TEXT(DATE(Z$8,1,1),""yyyy-mm-dd"")&amp;""' and Col2 &lt;= date '""&amp;TEXT(DATE(Z$8,12,31),""yyyy-mm-dd"")&amp;""' label sum(Col16) ''"",0)))"),"")</f>
        <v/>
      </c>
      <c r="AA157" s="587"/>
      <c r="AB157" s="578" t="s">
        <v>123</v>
      </c>
      <c r="AC157" s="601"/>
      <c r="AD157" s="636"/>
      <c r="AE157" s="636"/>
    </row>
    <row r="158">
      <c r="A158" s="576"/>
      <c r="B158" s="620"/>
      <c r="C158" s="637"/>
      <c r="D158" s="633"/>
      <c r="E158" s="633"/>
      <c r="F158" s="624">
        <v>148.0</v>
      </c>
      <c r="G158" s="635"/>
      <c r="H158" s="626" t="str">
        <f>if(G158="","",IFERROR(VLOOKUP(G158,AtivosDados,MATCH("provento_avg",portfolio.!$A$3:AE$3,0),FALSE),""))</f>
        <v/>
      </c>
      <c r="I158" s="627" t="s">
        <v>123</v>
      </c>
      <c r="J158" s="628" t="str">
        <f>IFERROR(__xludf.DUMMYFUNCTION("IF($G158="""","""",IFERROR(query({proventos!$B$5:$Q310},""Select sum(Col16) where Col1 = '""&amp;$G158&amp;""' and Col2 &gt; date '""&amp;TEXT(K$8,""yyyy-mm-dd"")&amp;""' and Col2 &lt;= date '""&amp;TEXT(J$8,""yyyy-mm-dd"")&amp;""' label sum(Col16) ''"",0)))"),"")</f>
        <v/>
      </c>
      <c r="K158" s="628" t="str">
        <f>IFERROR(__xludf.DUMMYFUNCTION("IF($G158="""","""",IFERROR(query({proventos!$B$5:$Q310},""Select sum(Col16) where Col1 = '""&amp;$G158&amp;""' and Col2 &gt; date '""&amp;TEXT(L$8,""yyyy-mm-dd"")&amp;""' and Col2 &lt;= date '""&amp;TEXT(K$8,""yyyy-mm-dd"")&amp;""' label sum(Col16) ''"",0)))"),"")</f>
        <v/>
      </c>
      <c r="L158" s="628" t="str">
        <f>IFERROR(__xludf.DUMMYFUNCTION("IF($G158="""","""",IFERROR(query({proventos!$B$5:$Q310},""Select sum(Col16) where Col1 = '""&amp;$G158&amp;""' and Col2 &gt; date '""&amp;TEXT(M$8,""yyyy-mm-dd"")&amp;""' and Col2 &lt;= date '""&amp;TEXT(L$8,""yyyy-mm-dd"")&amp;""' label sum(Col16) ''"",0)))"),"")</f>
        <v/>
      </c>
      <c r="M158" s="628" t="str">
        <f>IFERROR(__xludf.DUMMYFUNCTION("IF($G158="""","""",IFERROR(query({proventos!$B$5:$Q310},""Select sum(Col16) where Col1 = '""&amp;$G158&amp;""' and Col2 &gt; date '""&amp;TEXT(N$8,""yyyy-mm-dd"")&amp;""' and Col2 &lt;= date '""&amp;TEXT(M$8,""yyyy-mm-dd"")&amp;""' label sum(Col16) ''"",0)))"),"")</f>
        <v/>
      </c>
      <c r="N158" s="628" t="str">
        <f>IFERROR(__xludf.DUMMYFUNCTION("IF($G158="""","""",IFERROR(query({proventos!$B$5:$Q310},""Select sum(Col16) where Col1 = '""&amp;$G158&amp;""' and Col2 &gt; date '""&amp;TEXT(O$8,""yyyy-mm-dd"")&amp;""' and Col2 &lt;= date '""&amp;TEXT(N$8,""yyyy-mm-dd"")&amp;""' label sum(Col16) ''"",0)))"),"")</f>
        <v/>
      </c>
      <c r="O158" s="628" t="str">
        <f>IFERROR(__xludf.DUMMYFUNCTION("IF($G158="""","""",IFERROR(query({proventos!$B$5:$Q310},""Select sum(Col16) where Col1 = '""&amp;$G158&amp;""' and Col2 &gt; date '""&amp;TEXT(P$8,""yyyy-mm-dd"")&amp;""' and Col2 &lt;= date '""&amp;TEXT(O$8,""yyyy-mm-dd"")&amp;""' label sum(Col16) ''"",0)))"),"")</f>
        <v/>
      </c>
      <c r="P158" s="628" t="str">
        <f>IFERROR(__xludf.DUMMYFUNCTION("IF($G158="""","""",IFERROR(query({proventos!$B$5:$Q310},""Select sum(Col16) where Col1 = '""&amp;$G158&amp;""' and Col2 &gt; date '""&amp;TEXT(Q$8,""yyyy-mm-dd"")&amp;""' and Col2 &lt;= date '""&amp;TEXT(P$8,""yyyy-mm-dd"")&amp;""' label sum(Col16) ''"",0)))"),"")</f>
        <v/>
      </c>
      <c r="Q158" s="628" t="str">
        <f>IFERROR(__xludf.DUMMYFUNCTION("IF($G158="""","""",IFERROR(query({proventos!$B$5:$Q310},""Select sum(Col16) where Col1 = '""&amp;$G158&amp;""' and Col2 &gt; date '""&amp;TEXT(R$8,""yyyy-mm-dd"")&amp;""' and Col2 &lt;= date '""&amp;TEXT(Q$8,""yyyy-mm-dd"")&amp;""' label sum(Col16) ''"",0)))"),"")</f>
        <v/>
      </c>
      <c r="R158" s="628" t="str">
        <f>IFERROR(__xludf.DUMMYFUNCTION("IF($G158="""","""",IFERROR(query({proventos!$B$5:$Q310},""Select sum(Col16) where Col1 = '""&amp;$G158&amp;""' and Col2 &gt; date '""&amp;TEXT(S$8,""yyyy-mm-dd"")&amp;""' and Col2 &lt;= date '""&amp;TEXT(R$8,""yyyy-mm-dd"")&amp;""' label sum(Col16) ''"",0)))"),"")</f>
        <v/>
      </c>
      <c r="S158" s="628" t="str">
        <f>IFERROR(__xludf.DUMMYFUNCTION("IF($G158="""","""",IFERROR(query({proventos!$B$5:$Q310},""Select sum(Col16) where Col1 = '""&amp;$G158&amp;""' and Col2 &gt; date '""&amp;TEXT(T$8,""yyyy-mm-dd"")&amp;""' and Col2 &lt;= date '""&amp;TEXT(S$8,""yyyy-mm-dd"")&amp;""' label sum(Col16) ''"",0)))"),"")</f>
        <v/>
      </c>
      <c r="T158" s="628" t="str">
        <f>IFERROR(__xludf.DUMMYFUNCTION("IF($G158="""","""",IFERROR(query({proventos!$B$5:$Q310},""Select sum(Col16) where Col1 = '""&amp;$G158&amp;""' and Col2 &gt; date '""&amp;TEXT(U$8,""yyyy-mm-dd"")&amp;""' and Col2 &lt;= date '""&amp;TEXT(T$8,""yyyy-mm-dd"")&amp;""' label sum(Col16) ''"",0)))"),"")</f>
        <v/>
      </c>
      <c r="U158" s="629" t="str">
        <f>IFERROR(__xludf.DUMMYFUNCTION("IF($G158="""","""",IFERROR(query({proventos!$B$5:$Q310},""Select sum(Col16) where Col1 = '""&amp;$G158&amp;""' and Col2 &gt; date '""&amp;TEXT(EOMONTH(TODAY(),-13),""yyyy-mm-dd"")&amp;""' and Col2 &lt;= date '""&amp;TEXT(U$8,""yyyy-mm-dd"")&amp;""' label sum(Col16) ''"",0)))"),"")</f>
        <v/>
      </c>
      <c r="V158" s="630" t="str">
        <f>IFERROR(__xludf.DUMMYFUNCTION("IF($G158="""","""",IFERROR(query({proventos!$B$5:$Q310},""Select sum(Col16) where Col1 = '""&amp;$G158&amp;""' and Col2 &gt; date '""&amp;TEXT(DATE(V$8,1,1),""yyyy-mm-dd"")&amp;""' and Col2 &lt;= date '""&amp;TEXT(DATE(V$8,12,31),""yyyy-mm-dd"")&amp;""' label sum(Col16) ''"",0)))"),"")</f>
        <v/>
      </c>
      <c r="W158" s="630" t="str">
        <f>IFERROR(__xludf.DUMMYFUNCTION("IF($G158="""","""",IFERROR(query({proventos!$B$5:$Q310},""Select sum(Col16) where Col1 = '""&amp;$G158&amp;""' and Col2 &gt; date '""&amp;TEXT(DATE(W$8,1,1),""yyyy-mm-dd"")&amp;""' and Col2 &lt;= date '""&amp;TEXT(DATE(W$8,12,31),""yyyy-mm-dd"")&amp;""' label sum(Col16) ''"",0)))"),"")</f>
        <v/>
      </c>
      <c r="X158" s="630" t="str">
        <f>IFERROR(__xludf.DUMMYFUNCTION("IF($G158="""","""",IFERROR(query({proventos!$B$5:$Q310},""Select sum(Col16) where Col1 = '""&amp;$G158&amp;""' and Col2 &gt; date '""&amp;TEXT(DATE(X$8,1,1),""yyyy-mm-dd"")&amp;""' and Col2 &lt;= date '""&amp;TEXT(DATE(X$8,12,31),""yyyy-mm-dd"")&amp;""' label sum(Col16) ''"",0)))"),"")</f>
        <v/>
      </c>
      <c r="Y158" s="630" t="str">
        <f>IFERROR(__xludf.DUMMYFUNCTION("IF($G158="""","""",IFERROR(query({proventos!$B$5:$Q310},""Select sum(Col16) where Col1 = '""&amp;$G158&amp;""' and Col2 &gt; date '""&amp;TEXT(DATE(Y$8,1,1),""yyyy-mm-dd"")&amp;""' and Col2 &lt;= date '""&amp;TEXT(DATE(Y$8,12,31),""yyyy-mm-dd"")&amp;""' label sum(Col16) ''"",0)))"),"")</f>
        <v/>
      </c>
      <c r="Z158" s="630" t="str">
        <f>IFERROR(__xludf.DUMMYFUNCTION("IF($G158="""","""",IFERROR(query({proventos!$B$5:$Q310},""Select sum(Col16) where Col1 = '""&amp;$G158&amp;""' and Col2 &gt; date '""&amp;TEXT(DATE(Z$8,1,1),""yyyy-mm-dd"")&amp;""' and Col2 &lt;= date '""&amp;TEXT(DATE(Z$8,12,31),""yyyy-mm-dd"")&amp;""' label sum(Col16) ''"",0)))"),"")</f>
        <v/>
      </c>
      <c r="AA158" s="587"/>
      <c r="AB158" s="578" t="s">
        <v>123</v>
      </c>
      <c r="AC158" s="601"/>
      <c r="AD158" s="636"/>
      <c r="AE158" s="636"/>
    </row>
    <row r="159">
      <c r="A159" s="576"/>
      <c r="B159" s="620"/>
      <c r="C159" s="637"/>
      <c r="D159" s="633"/>
      <c r="E159" s="633"/>
      <c r="F159" s="624">
        <v>149.0</v>
      </c>
      <c r="G159" s="635"/>
      <c r="H159" s="626" t="str">
        <f>if(G159="","",IFERROR(VLOOKUP(G159,AtivosDados,MATCH("provento_avg",portfolio.!$A$3:AE$3,0),FALSE),""))</f>
        <v/>
      </c>
      <c r="I159" s="627" t="s">
        <v>123</v>
      </c>
      <c r="J159" s="628" t="str">
        <f>IFERROR(__xludf.DUMMYFUNCTION("IF($G159="""","""",IFERROR(query({proventos!$B$5:$Q310},""Select sum(Col16) where Col1 = '""&amp;$G159&amp;""' and Col2 &gt; date '""&amp;TEXT(K$8,""yyyy-mm-dd"")&amp;""' and Col2 &lt;= date '""&amp;TEXT(J$8,""yyyy-mm-dd"")&amp;""' label sum(Col16) ''"",0)))"),"")</f>
        <v/>
      </c>
      <c r="K159" s="628" t="str">
        <f>IFERROR(__xludf.DUMMYFUNCTION("IF($G159="""","""",IFERROR(query({proventos!$B$5:$Q310},""Select sum(Col16) where Col1 = '""&amp;$G159&amp;""' and Col2 &gt; date '""&amp;TEXT(L$8,""yyyy-mm-dd"")&amp;""' and Col2 &lt;= date '""&amp;TEXT(K$8,""yyyy-mm-dd"")&amp;""' label sum(Col16) ''"",0)))"),"")</f>
        <v/>
      </c>
      <c r="L159" s="628" t="str">
        <f>IFERROR(__xludf.DUMMYFUNCTION("IF($G159="""","""",IFERROR(query({proventos!$B$5:$Q310},""Select sum(Col16) where Col1 = '""&amp;$G159&amp;""' and Col2 &gt; date '""&amp;TEXT(M$8,""yyyy-mm-dd"")&amp;""' and Col2 &lt;= date '""&amp;TEXT(L$8,""yyyy-mm-dd"")&amp;""' label sum(Col16) ''"",0)))"),"")</f>
        <v/>
      </c>
      <c r="M159" s="628" t="str">
        <f>IFERROR(__xludf.DUMMYFUNCTION("IF($G159="""","""",IFERROR(query({proventos!$B$5:$Q310},""Select sum(Col16) where Col1 = '""&amp;$G159&amp;""' and Col2 &gt; date '""&amp;TEXT(N$8,""yyyy-mm-dd"")&amp;""' and Col2 &lt;= date '""&amp;TEXT(M$8,""yyyy-mm-dd"")&amp;""' label sum(Col16) ''"",0)))"),"")</f>
        <v/>
      </c>
      <c r="N159" s="628" t="str">
        <f>IFERROR(__xludf.DUMMYFUNCTION("IF($G159="""","""",IFERROR(query({proventos!$B$5:$Q310},""Select sum(Col16) where Col1 = '""&amp;$G159&amp;""' and Col2 &gt; date '""&amp;TEXT(O$8,""yyyy-mm-dd"")&amp;""' and Col2 &lt;= date '""&amp;TEXT(N$8,""yyyy-mm-dd"")&amp;""' label sum(Col16) ''"",0)))"),"")</f>
        <v/>
      </c>
      <c r="O159" s="628" t="str">
        <f>IFERROR(__xludf.DUMMYFUNCTION("IF($G159="""","""",IFERROR(query({proventos!$B$5:$Q310},""Select sum(Col16) where Col1 = '""&amp;$G159&amp;""' and Col2 &gt; date '""&amp;TEXT(P$8,""yyyy-mm-dd"")&amp;""' and Col2 &lt;= date '""&amp;TEXT(O$8,""yyyy-mm-dd"")&amp;""' label sum(Col16) ''"",0)))"),"")</f>
        <v/>
      </c>
      <c r="P159" s="628" t="str">
        <f>IFERROR(__xludf.DUMMYFUNCTION("IF($G159="""","""",IFERROR(query({proventos!$B$5:$Q310},""Select sum(Col16) where Col1 = '""&amp;$G159&amp;""' and Col2 &gt; date '""&amp;TEXT(Q$8,""yyyy-mm-dd"")&amp;""' and Col2 &lt;= date '""&amp;TEXT(P$8,""yyyy-mm-dd"")&amp;""' label sum(Col16) ''"",0)))"),"")</f>
        <v/>
      </c>
      <c r="Q159" s="628" t="str">
        <f>IFERROR(__xludf.DUMMYFUNCTION("IF($G159="""","""",IFERROR(query({proventos!$B$5:$Q310},""Select sum(Col16) where Col1 = '""&amp;$G159&amp;""' and Col2 &gt; date '""&amp;TEXT(R$8,""yyyy-mm-dd"")&amp;""' and Col2 &lt;= date '""&amp;TEXT(Q$8,""yyyy-mm-dd"")&amp;""' label sum(Col16) ''"",0)))"),"")</f>
        <v/>
      </c>
      <c r="R159" s="628" t="str">
        <f>IFERROR(__xludf.DUMMYFUNCTION("IF($G159="""","""",IFERROR(query({proventos!$B$5:$Q310},""Select sum(Col16) where Col1 = '""&amp;$G159&amp;""' and Col2 &gt; date '""&amp;TEXT(S$8,""yyyy-mm-dd"")&amp;""' and Col2 &lt;= date '""&amp;TEXT(R$8,""yyyy-mm-dd"")&amp;""' label sum(Col16) ''"",0)))"),"")</f>
        <v/>
      </c>
      <c r="S159" s="628" t="str">
        <f>IFERROR(__xludf.DUMMYFUNCTION("IF($G159="""","""",IFERROR(query({proventos!$B$5:$Q310},""Select sum(Col16) where Col1 = '""&amp;$G159&amp;""' and Col2 &gt; date '""&amp;TEXT(T$8,""yyyy-mm-dd"")&amp;""' and Col2 &lt;= date '""&amp;TEXT(S$8,""yyyy-mm-dd"")&amp;""' label sum(Col16) ''"",0)))"),"")</f>
        <v/>
      </c>
      <c r="T159" s="628" t="str">
        <f>IFERROR(__xludf.DUMMYFUNCTION("IF($G159="""","""",IFERROR(query({proventos!$B$5:$Q310},""Select sum(Col16) where Col1 = '""&amp;$G159&amp;""' and Col2 &gt; date '""&amp;TEXT(U$8,""yyyy-mm-dd"")&amp;""' and Col2 &lt;= date '""&amp;TEXT(T$8,""yyyy-mm-dd"")&amp;""' label sum(Col16) ''"",0)))"),"")</f>
        <v/>
      </c>
      <c r="U159" s="629" t="str">
        <f>IFERROR(__xludf.DUMMYFUNCTION("IF($G159="""","""",IFERROR(query({proventos!$B$5:$Q310},""Select sum(Col16) where Col1 = '""&amp;$G159&amp;""' and Col2 &gt; date '""&amp;TEXT(EOMONTH(TODAY(),-13),""yyyy-mm-dd"")&amp;""' and Col2 &lt;= date '""&amp;TEXT(U$8,""yyyy-mm-dd"")&amp;""' label sum(Col16) ''"",0)))"),"")</f>
        <v/>
      </c>
      <c r="V159" s="630" t="str">
        <f>IFERROR(__xludf.DUMMYFUNCTION("IF($G159="""","""",IFERROR(query({proventos!$B$5:$Q310},""Select sum(Col16) where Col1 = '""&amp;$G159&amp;""' and Col2 &gt; date '""&amp;TEXT(DATE(V$8,1,1),""yyyy-mm-dd"")&amp;""' and Col2 &lt;= date '""&amp;TEXT(DATE(V$8,12,31),""yyyy-mm-dd"")&amp;""' label sum(Col16) ''"",0)))"),"")</f>
        <v/>
      </c>
      <c r="W159" s="630" t="str">
        <f>IFERROR(__xludf.DUMMYFUNCTION("IF($G159="""","""",IFERROR(query({proventos!$B$5:$Q310},""Select sum(Col16) where Col1 = '""&amp;$G159&amp;""' and Col2 &gt; date '""&amp;TEXT(DATE(W$8,1,1),""yyyy-mm-dd"")&amp;""' and Col2 &lt;= date '""&amp;TEXT(DATE(W$8,12,31),""yyyy-mm-dd"")&amp;""' label sum(Col16) ''"",0)))"),"")</f>
        <v/>
      </c>
      <c r="X159" s="630" t="str">
        <f>IFERROR(__xludf.DUMMYFUNCTION("IF($G159="""","""",IFERROR(query({proventos!$B$5:$Q310},""Select sum(Col16) where Col1 = '""&amp;$G159&amp;""' and Col2 &gt; date '""&amp;TEXT(DATE(X$8,1,1),""yyyy-mm-dd"")&amp;""' and Col2 &lt;= date '""&amp;TEXT(DATE(X$8,12,31),""yyyy-mm-dd"")&amp;""' label sum(Col16) ''"",0)))"),"")</f>
        <v/>
      </c>
      <c r="Y159" s="630" t="str">
        <f>IFERROR(__xludf.DUMMYFUNCTION("IF($G159="""","""",IFERROR(query({proventos!$B$5:$Q310},""Select sum(Col16) where Col1 = '""&amp;$G159&amp;""' and Col2 &gt; date '""&amp;TEXT(DATE(Y$8,1,1),""yyyy-mm-dd"")&amp;""' and Col2 &lt;= date '""&amp;TEXT(DATE(Y$8,12,31),""yyyy-mm-dd"")&amp;""' label sum(Col16) ''"",0)))"),"")</f>
        <v/>
      </c>
      <c r="Z159" s="630" t="str">
        <f>IFERROR(__xludf.DUMMYFUNCTION("IF($G159="""","""",IFERROR(query({proventos!$B$5:$Q310},""Select sum(Col16) where Col1 = '""&amp;$G159&amp;""' and Col2 &gt; date '""&amp;TEXT(DATE(Z$8,1,1),""yyyy-mm-dd"")&amp;""' and Col2 &lt;= date '""&amp;TEXT(DATE(Z$8,12,31),""yyyy-mm-dd"")&amp;""' label sum(Col16) ''"",0)))"),"")</f>
        <v/>
      </c>
      <c r="AA159" s="587"/>
      <c r="AB159" s="578" t="s">
        <v>123</v>
      </c>
      <c r="AC159" s="601"/>
      <c r="AD159" s="636"/>
      <c r="AE159" s="636"/>
    </row>
    <row r="160">
      <c r="A160" s="576"/>
      <c r="B160" s="620"/>
      <c r="C160" s="637"/>
      <c r="D160" s="633"/>
      <c r="E160" s="633"/>
      <c r="F160" s="624">
        <v>150.0</v>
      </c>
      <c r="G160" s="635"/>
      <c r="H160" s="626" t="str">
        <f>if(G160="","",IFERROR(VLOOKUP(G160,AtivosDados,MATCH("provento_avg",portfolio.!$A$3:AE$3,0),FALSE),""))</f>
        <v/>
      </c>
      <c r="I160" s="627" t="s">
        <v>123</v>
      </c>
      <c r="J160" s="628" t="str">
        <f>IFERROR(__xludf.DUMMYFUNCTION("IF($G160="""","""",IFERROR(query({proventos!$B$5:$Q310},""Select sum(Col16) where Col1 = '""&amp;$G160&amp;""' and Col2 &gt; date '""&amp;TEXT(K$8,""yyyy-mm-dd"")&amp;""' and Col2 &lt;= date '""&amp;TEXT(J$8,""yyyy-mm-dd"")&amp;""' label sum(Col16) ''"",0)))"),"")</f>
        <v/>
      </c>
      <c r="K160" s="628" t="str">
        <f>IFERROR(__xludf.DUMMYFUNCTION("IF($G160="""","""",IFERROR(query({proventos!$B$5:$Q310},""Select sum(Col16) where Col1 = '""&amp;$G160&amp;""' and Col2 &gt; date '""&amp;TEXT(L$8,""yyyy-mm-dd"")&amp;""' and Col2 &lt;= date '""&amp;TEXT(K$8,""yyyy-mm-dd"")&amp;""' label sum(Col16) ''"",0)))"),"")</f>
        <v/>
      </c>
      <c r="L160" s="628" t="str">
        <f>IFERROR(__xludf.DUMMYFUNCTION("IF($G160="""","""",IFERROR(query({proventos!$B$5:$Q310},""Select sum(Col16) where Col1 = '""&amp;$G160&amp;""' and Col2 &gt; date '""&amp;TEXT(M$8,""yyyy-mm-dd"")&amp;""' and Col2 &lt;= date '""&amp;TEXT(L$8,""yyyy-mm-dd"")&amp;""' label sum(Col16) ''"",0)))"),"")</f>
        <v/>
      </c>
      <c r="M160" s="628" t="str">
        <f>IFERROR(__xludf.DUMMYFUNCTION("IF($G160="""","""",IFERROR(query({proventos!$B$5:$Q310},""Select sum(Col16) where Col1 = '""&amp;$G160&amp;""' and Col2 &gt; date '""&amp;TEXT(N$8,""yyyy-mm-dd"")&amp;""' and Col2 &lt;= date '""&amp;TEXT(M$8,""yyyy-mm-dd"")&amp;""' label sum(Col16) ''"",0)))"),"")</f>
        <v/>
      </c>
      <c r="N160" s="628" t="str">
        <f>IFERROR(__xludf.DUMMYFUNCTION("IF($G160="""","""",IFERROR(query({proventos!$B$5:$Q310},""Select sum(Col16) where Col1 = '""&amp;$G160&amp;""' and Col2 &gt; date '""&amp;TEXT(O$8,""yyyy-mm-dd"")&amp;""' and Col2 &lt;= date '""&amp;TEXT(N$8,""yyyy-mm-dd"")&amp;""' label sum(Col16) ''"",0)))"),"")</f>
        <v/>
      </c>
      <c r="O160" s="628" t="str">
        <f>IFERROR(__xludf.DUMMYFUNCTION("IF($G160="""","""",IFERROR(query({proventos!$B$5:$Q310},""Select sum(Col16) where Col1 = '""&amp;$G160&amp;""' and Col2 &gt; date '""&amp;TEXT(P$8,""yyyy-mm-dd"")&amp;""' and Col2 &lt;= date '""&amp;TEXT(O$8,""yyyy-mm-dd"")&amp;""' label sum(Col16) ''"",0)))"),"")</f>
        <v/>
      </c>
      <c r="P160" s="628" t="str">
        <f>IFERROR(__xludf.DUMMYFUNCTION("IF($G160="""","""",IFERROR(query({proventos!$B$5:$Q310},""Select sum(Col16) where Col1 = '""&amp;$G160&amp;""' and Col2 &gt; date '""&amp;TEXT(Q$8,""yyyy-mm-dd"")&amp;""' and Col2 &lt;= date '""&amp;TEXT(P$8,""yyyy-mm-dd"")&amp;""' label sum(Col16) ''"",0)))"),"")</f>
        <v/>
      </c>
      <c r="Q160" s="628" t="str">
        <f>IFERROR(__xludf.DUMMYFUNCTION("IF($G160="""","""",IFERROR(query({proventos!$B$5:$Q310},""Select sum(Col16) where Col1 = '""&amp;$G160&amp;""' and Col2 &gt; date '""&amp;TEXT(R$8,""yyyy-mm-dd"")&amp;""' and Col2 &lt;= date '""&amp;TEXT(Q$8,""yyyy-mm-dd"")&amp;""' label sum(Col16) ''"",0)))"),"")</f>
        <v/>
      </c>
      <c r="R160" s="628" t="str">
        <f>IFERROR(__xludf.DUMMYFUNCTION("IF($G160="""","""",IFERROR(query({proventos!$B$5:$Q310},""Select sum(Col16) where Col1 = '""&amp;$G160&amp;""' and Col2 &gt; date '""&amp;TEXT(S$8,""yyyy-mm-dd"")&amp;""' and Col2 &lt;= date '""&amp;TEXT(R$8,""yyyy-mm-dd"")&amp;""' label sum(Col16) ''"",0)))"),"")</f>
        <v/>
      </c>
      <c r="S160" s="628" t="str">
        <f>IFERROR(__xludf.DUMMYFUNCTION("IF($G160="""","""",IFERROR(query({proventos!$B$5:$Q310},""Select sum(Col16) where Col1 = '""&amp;$G160&amp;""' and Col2 &gt; date '""&amp;TEXT(T$8,""yyyy-mm-dd"")&amp;""' and Col2 &lt;= date '""&amp;TEXT(S$8,""yyyy-mm-dd"")&amp;""' label sum(Col16) ''"",0)))"),"")</f>
        <v/>
      </c>
      <c r="T160" s="628" t="str">
        <f>IFERROR(__xludf.DUMMYFUNCTION("IF($G160="""","""",IFERROR(query({proventos!$B$5:$Q310},""Select sum(Col16) where Col1 = '""&amp;$G160&amp;""' and Col2 &gt; date '""&amp;TEXT(U$8,""yyyy-mm-dd"")&amp;""' and Col2 &lt;= date '""&amp;TEXT(T$8,""yyyy-mm-dd"")&amp;""' label sum(Col16) ''"",0)))"),"")</f>
        <v/>
      </c>
      <c r="U160" s="629" t="str">
        <f>IFERROR(__xludf.DUMMYFUNCTION("IF($G160="""","""",IFERROR(query({proventos!$B$5:$Q310},""Select sum(Col16) where Col1 = '""&amp;$G160&amp;""' and Col2 &gt; date '""&amp;TEXT(EOMONTH(TODAY(),-13),""yyyy-mm-dd"")&amp;""' and Col2 &lt;= date '""&amp;TEXT(U$8,""yyyy-mm-dd"")&amp;""' label sum(Col16) ''"",0)))"),"")</f>
        <v/>
      </c>
      <c r="V160" s="630" t="str">
        <f>IFERROR(__xludf.DUMMYFUNCTION("IF($G160="""","""",IFERROR(query({proventos!$B$5:$Q310},""Select sum(Col16) where Col1 = '""&amp;$G160&amp;""' and Col2 &gt; date '""&amp;TEXT(DATE(V$8,1,1),""yyyy-mm-dd"")&amp;""' and Col2 &lt;= date '""&amp;TEXT(DATE(V$8,12,31),""yyyy-mm-dd"")&amp;""' label sum(Col16) ''"",0)))"),"")</f>
        <v/>
      </c>
      <c r="W160" s="630" t="str">
        <f>IFERROR(__xludf.DUMMYFUNCTION("IF($G160="""","""",IFERROR(query({proventos!$B$5:$Q310},""Select sum(Col16) where Col1 = '""&amp;$G160&amp;""' and Col2 &gt; date '""&amp;TEXT(DATE(W$8,1,1),""yyyy-mm-dd"")&amp;""' and Col2 &lt;= date '""&amp;TEXT(DATE(W$8,12,31),""yyyy-mm-dd"")&amp;""' label sum(Col16) ''"",0)))"),"")</f>
        <v/>
      </c>
      <c r="X160" s="630" t="str">
        <f>IFERROR(__xludf.DUMMYFUNCTION("IF($G160="""","""",IFERROR(query({proventos!$B$5:$Q310},""Select sum(Col16) where Col1 = '""&amp;$G160&amp;""' and Col2 &gt; date '""&amp;TEXT(DATE(X$8,1,1),""yyyy-mm-dd"")&amp;""' and Col2 &lt;= date '""&amp;TEXT(DATE(X$8,12,31),""yyyy-mm-dd"")&amp;""' label sum(Col16) ''"",0)))"),"")</f>
        <v/>
      </c>
      <c r="Y160" s="630" t="str">
        <f>IFERROR(__xludf.DUMMYFUNCTION("IF($G160="""","""",IFERROR(query({proventos!$B$5:$Q310},""Select sum(Col16) where Col1 = '""&amp;$G160&amp;""' and Col2 &gt; date '""&amp;TEXT(DATE(Y$8,1,1),""yyyy-mm-dd"")&amp;""' and Col2 &lt;= date '""&amp;TEXT(DATE(Y$8,12,31),""yyyy-mm-dd"")&amp;""' label sum(Col16) ''"",0)))"),"")</f>
        <v/>
      </c>
      <c r="Z160" s="630" t="str">
        <f>IFERROR(__xludf.DUMMYFUNCTION("IF($G160="""","""",IFERROR(query({proventos!$B$5:$Q310},""Select sum(Col16) where Col1 = '""&amp;$G160&amp;""' and Col2 &gt; date '""&amp;TEXT(DATE(Z$8,1,1),""yyyy-mm-dd"")&amp;""' and Col2 &lt;= date '""&amp;TEXT(DATE(Z$8,12,31),""yyyy-mm-dd"")&amp;""' label sum(Col16) ''"",0)))"),"")</f>
        <v/>
      </c>
      <c r="AA160" s="587"/>
      <c r="AB160" s="578" t="s">
        <v>123</v>
      </c>
      <c r="AC160" s="601"/>
      <c r="AD160" s="636"/>
      <c r="AE160" s="636"/>
    </row>
    <row r="161">
      <c r="A161" s="576"/>
      <c r="B161" s="620"/>
      <c r="C161" s="637"/>
      <c r="D161" s="633"/>
      <c r="E161" s="633"/>
      <c r="F161" s="624">
        <v>151.0</v>
      </c>
      <c r="G161" s="635"/>
      <c r="H161" s="626" t="str">
        <f>if(G161="","",IFERROR(VLOOKUP(G161,AtivosDados,MATCH("provento_avg",portfolio.!$A$3:AE$3,0),FALSE),""))</f>
        <v/>
      </c>
      <c r="I161" s="627" t="s">
        <v>123</v>
      </c>
      <c r="J161" s="628" t="str">
        <f>IFERROR(__xludf.DUMMYFUNCTION("IF($G161="""","""",IFERROR(query({proventos!$B$5:$Q310},""Select sum(Col16) where Col1 = '""&amp;$G161&amp;""' and Col2 &gt; date '""&amp;TEXT(K$8,""yyyy-mm-dd"")&amp;""' and Col2 &lt;= date '""&amp;TEXT(J$8,""yyyy-mm-dd"")&amp;""' label sum(Col16) ''"",0)))"),"")</f>
        <v/>
      </c>
      <c r="K161" s="628" t="str">
        <f>IFERROR(__xludf.DUMMYFUNCTION("IF($G161="""","""",IFERROR(query({proventos!$B$5:$Q310},""Select sum(Col16) where Col1 = '""&amp;$G161&amp;""' and Col2 &gt; date '""&amp;TEXT(L$8,""yyyy-mm-dd"")&amp;""' and Col2 &lt;= date '""&amp;TEXT(K$8,""yyyy-mm-dd"")&amp;""' label sum(Col16) ''"",0)))"),"")</f>
        <v/>
      </c>
      <c r="L161" s="628" t="str">
        <f>IFERROR(__xludf.DUMMYFUNCTION("IF($G161="""","""",IFERROR(query({proventos!$B$5:$Q310},""Select sum(Col16) where Col1 = '""&amp;$G161&amp;""' and Col2 &gt; date '""&amp;TEXT(M$8,""yyyy-mm-dd"")&amp;""' and Col2 &lt;= date '""&amp;TEXT(L$8,""yyyy-mm-dd"")&amp;""' label sum(Col16) ''"",0)))"),"")</f>
        <v/>
      </c>
      <c r="M161" s="628" t="str">
        <f>IFERROR(__xludf.DUMMYFUNCTION("IF($G161="""","""",IFERROR(query({proventos!$B$5:$Q310},""Select sum(Col16) where Col1 = '""&amp;$G161&amp;""' and Col2 &gt; date '""&amp;TEXT(N$8,""yyyy-mm-dd"")&amp;""' and Col2 &lt;= date '""&amp;TEXT(M$8,""yyyy-mm-dd"")&amp;""' label sum(Col16) ''"",0)))"),"")</f>
        <v/>
      </c>
      <c r="N161" s="628" t="str">
        <f>IFERROR(__xludf.DUMMYFUNCTION("IF($G161="""","""",IFERROR(query({proventos!$B$5:$Q310},""Select sum(Col16) where Col1 = '""&amp;$G161&amp;""' and Col2 &gt; date '""&amp;TEXT(O$8,""yyyy-mm-dd"")&amp;""' and Col2 &lt;= date '""&amp;TEXT(N$8,""yyyy-mm-dd"")&amp;""' label sum(Col16) ''"",0)))"),"")</f>
        <v/>
      </c>
      <c r="O161" s="628" t="str">
        <f>IFERROR(__xludf.DUMMYFUNCTION("IF($G161="""","""",IFERROR(query({proventos!$B$5:$Q310},""Select sum(Col16) where Col1 = '""&amp;$G161&amp;""' and Col2 &gt; date '""&amp;TEXT(P$8,""yyyy-mm-dd"")&amp;""' and Col2 &lt;= date '""&amp;TEXT(O$8,""yyyy-mm-dd"")&amp;""' label sum(Col16) ''"",0)))"),"")</f>
        <v/>
      </c>
      <c r="P161" s="628" t="str">
        <f>IFERROR(__xludf.DUMMYFUNCTION("IF($G161="""","""",IFERROR(query({proventos!$B$5:$Q310},""Select sum(Col16) where Col1 = '""&amp;$G161&amp;""' and Col2 &gt; date '""&amp;TEXT(Q$8,""yyyy-mm-dd"")&amp;""' and Col2 &lt;= date '""&amp;TEXT(P$8,""yyyy-mm-dd"")&amp;""' label sum(Col16) ''"",0)))"),"")</f>
        <v/>
      </c>
      <c r="Q161" s="628" t="str">
        <f>IFERROR(__xludf.DUMMYFUNCTION("IF($G161="""","""",IFERROR(query({proventos!$B$5:$Q310},""Select sum(Col16) where Col1 = '""&amp;$G161&amp;""' and Col2 &gt; date '""&amp;TEXT(R$8,""yyyy-mm-dd"")&amp;""' and Col2 &lt;= date '""&amp;TEXT(Q$8,""yyyy-mm-dd"")&amp;""' label sum(Col16) ''"",0)))"),"")</f>
        <v/>
      </c>
      <c r="R161" s="628" t="str">
        <f>IFERROR(__xludf.DUMMYFUNCTION("IF($G161="""","""",IFERROR(query({proventos!$B$5:$Q310},""Select sum(Col16) where Col1 = '""&amp;$G161&amp;""' and Col2 &gt; date '""&amp;TEXT(S$8,""yyyy-mm-dd"")&amp;""' and Col2 &lt;= date '""&amp;TEXT(R$8,""yyyy-mm-dd"")&amp;""' label sum(Col16) ''"",0)))"),"")</f>
        <v/>
      </c>
      <c r="S161" s="628" t="str">
        <f>IFERROR(__xludf.DUMMYFUNCTION("IF($G161="""","""",IFERROR(query({proventos!$B$5:$Q310},""Select sum(Col16) where Col1 = '""&amp;$G161&amp;""' and Col2 &gt; date '""&amp;TEXT(T$8,""yyyy-mm-dd"")&amp;""' and Col2 &lt;= date '""&amp;TEXT(S$8,""yyyy-mm-dd"")&amp;""' label sum(Col16) ''"",0)))"),"")</f>
        <v/>
      </c>
      <c r="T161" s="628" t="str">
        <f>IFERROR(__xludf.DUMMYFUNCTION("IF($G161="""","""",IFERROR(query({proventos!$B$5:$Q310},""Select sum(Col16) where Col1 = '""&amp;$G161&amp;""' and Col2 &gt; date '""&amp;TEXT(U$8,""yyyy-mm-dd"")&amp;""' and Col2 &lt;= date '""&amp;TEXT(T$8,""yyyy-mm-dd"")&amp;""' label sum(Col16) ''"",0)))"),"")</f>
        <v/>
      </c>
      <c r="U161" s="629" t="str">
        <f>IFERROR(__xludf.DUMMYFUNCTION("IF($G161="""","""",IFERROR(query({proventos!$B$5:$Q310},""Select sum(Col16) where Col1 = '""&amp;$G161&amp;""' and Col2 &gt; date '""&amp;TEXT(EOMONTH(TODAY(),-13),""yyyy-mm-dd"")&amp;""' and Col2 &lt;= date '""&amp;TEXT(U$8,""yyyy-mm-dd"")&amp;""' label sum(Col16) ''"",0)))"),"")</f>
        <v/>
      </c>
      <c r="V161" s="630" t="str">
        <f>IFERROR(__xludf.DUMMYFUNCTION("IF($G161="""","""",IFERROR(query({proventos!$B$5:$Q310},""Select sum(Col16) where Col1 = '""&amp;$G161&amp;""' and Col2 &gt; date '""&amp;TEXT(DATE(V$8,1,1),""yyyy-mm-dd"")&amp;""' and Col2 &lt;= date '""&amp;TEXT(DATE(V$8,12,31),""yyyy-mm-dd"")&amp;""' label sum(Col16) ''"",0)))"),"")</f>
        <v/>
      </c>
      <c r="W161" s="630" t="str">
        <f>IFERROR(__xludf.DUMMYFUNCTION("IF($G161="""","""",IFERROR(query({proventos!$B$5:$Q310},""Select sum(Col16) where Col1 = '""&amp;$G161&amp;""' and Col2 &gt; date '""&amp;TEXT(DATE(W$8,1,1),""yyyy-mm-dd"")&amp;""' and Col2 &lt;= date '""&amp;TEXT(DATE(W$8,12,31),""yyyy-mm-dd"")&amp;""' label sum(Col16) ''"",0)))"),"")</f>
        <v/>
      </c>
      <c r="X161" s="630" t="str">
        <f>IFERROR(__xludf.DUMMYFUNCTION("IF($G161="""","""",IFERROR(query({proventos!$B$5:$Q310},""Select sum(Col16) where Col1 = '""&amp;$G161&amp;""' and Col2 &gt; date '""&amp;TEXT(DATE(X$8,1,1),""yyyy-mm-dd"")&amp;""' and Col2 &lt;= date '""&amp;TEXT(DATE(X$8,12,31),""yyyy-mm-dd"")&amp;""' label sum(Col16) ''"",0)))"),"")</f>
        <v/>
      </c>
      <c r="Y161" s="630" t="str">
        <f>IFERROR(__xludf.DUMMYFUNCTION("IF($G161="""","""",IFERROR(query({proventos!$B$5:$Q310},""Select sum(Col16) where Col1 = '""&amp;$G161&amp;""' and Col2 &gt; date '""&amp;TEXT(DATE(Y$8,1,1),""yyyy-mm-dd"")&amp;""' and Col2 &lt;= date '""&amp;TEXT(DATE(Y$8,12,31),""yyyy-mm-dd"")&amp;""' label sum(Col16) ''"",0)))"),"")</f>
        <v/>
      </c>
      <c r="Z161" s="630" t="str">
        <f>IFERROR(__xludf.DUMMYFUNCTION("IF($G161="""","""",IFERROR(query({proventos!$B$5:$Q310},""Select sum(Col16) where Col1 = '""&amp;$G161&amp;""' and Col2 &gt; date '""&amp;TEXT(DATE(Z$8,1,1),""yyyy-mm-dd"")&amp;""' and Col2 &lt;= date '""&amp;TEXT(DATE(Z$8,12,31),""yyyy-mm-dd"")&amp;""' label sum(Col16) ''"",0)))"),"")</f>
        <v/>
      </c>
      <c r="AA161" s="587"/>
      <c r="AB161" s="578" t="s">
        <v>123</v>
      </c>
      <c r="AC161" s="601"/>
      <c r="AD161" s="636"/>
      <c r="AE161" s="636"/>
    </row>
    <row r="162">
      <c r="A162" s="576"/>
      <c r="B162" s="620"/>
      <c r="C162" s="637"/>
      <c r="D162" s="633"/>
      <c r="E162" s="633"/>
      <c r="F162" s="624">
        <v>152.0</v>
      </c>
      <c r="G162" s="635"/>
      <c r="H162" s="626" t="str">
        <f>if(G162="","",IFERROR(VLOOKUP(G162,AtivosDados,MATCH("provento_avg",portfolio.!$A$3:AE$3,0),FALSE),""))</f>
        <v/>
      </c>
      <c r="I162" s="627" t="s">
        <v>123</v>
      </c>
      <c r="J162" s="628" t="str">
        <f>IFERROR(__xludf.DUMMYFUNCTION("IF($G162="""","""",IFERROR(query({proventos!$B$5:$Q310},""Select sum(Col16) where Col1 = '""&amp;$G162&amp;""' and Col2 &gt; date '""&amp;TEXT(K$8,""yyyy-mm-dd"")&amp;""' and Col2 &lt;= date '""&amp;TEXT(J$8,""yyyy-mm-dd"")&amp;""' label sum(Col16) ''"",0)))"),"")</f>
        <v/>
      </c>
      <c r="K162" s="628" t="str">
        <f>IFERROR(__xludf.DUMMYFUNCTION("IF($G162="""","""",IFERROR(query({proventos!$B$5:$Q310},""Select sum(Col16) where Col1 = '""&amp;$G162&amp;""' and Col2 &gt; date '""&amp;TEXT(L$8,""yyyy-mm-dd"")&amp;""' and Col2 &lt;= date '""&amp;TEXT(K$8,""yyyy-mm-dd"")&amp;""' label sum(Col16) ''"",0)))"),"")</f>
        <v/>
      </c>
      <c r="L162" s="628" t="str">
        <f>IFERROR(__xludf.DUMMYFUNCTION("IF($G162="""","""",IFERROR(query({proventos!$B$5:$Q310},""Select sum(Col16) where Col1 = '""&amp;$G162&amp;""' and Col2 &gt; date '""&amp;TEXT(M$8,""yyyy-mm-dd"")&amp;""' and Col2 &lt;= date '""&amp;TEXT(L$8,""yyyy-mm-dd"")&amp;""' label sum(Col16) ''"",0)))"),"")</f>
        <v/>
      </c>
      <c r="M162" s="628" t="str">
        <f>IFERROR(__xludf.DUMMYFUNCTION("IF($G162="""","""",IFERROR(query({proventos!$B$5:$Q310},""Select sum(Col16) where Col1 = '""&amp;$G162&amp;""' and Col2 &gt; date '""&amp;TEXT(N$8,""yyyy-mm-dd"")&amp;""' and Col2 &lt;= date '""&amp;TEXT(M$8,""yyyy-mm-dd"")&amp;""' label sum(Col16) ''"",0)))"),"")</f>
        <v/>
      </c>
      <c r="N162" s="628" t="str">
        <f>IFERROR(__xludf.DUMMYFUNCTION("IF($G162="""","""",IFERROR(query({proventos!$B$5:$Q310},""Select sum(Col16) where Col1 = '""&amp;$G162&amp;""' and Col2 &gt; date '""&amp;TEXT(O$8,""yyyy-mm-dd"")&amp;""' and Col2 &lt;= date '""&amp;TEXT(N$8,""yyyy-mm-dd"")&amp;""' label sum(Col16) ''"",0)))"),"")</f>
        <v/>
      </c>
      <c r="O162" s="628" t="str">
        <f>IFERROR(__xludf.DUMMYFUNCTION("IF($G162="""","""",IFERROR(query({proventos!$B$5:$Q310},""Select sum(Col16) where Col1 = '""&amp;$G162&amp;""' and Col2 &gt; date '""&amp;TEXT(P$8,""yyyy-mm-dd"")&amp;""' and Col2 &lt;= date '""&amp;TEXT(O$8,""yyyy-mm-dd"")&amp;""' label sum(Col16) ''"",0)))"),"")</f>
        <v/>
      </c>
      <c r="P162" s="628" t="str">
        <f>IFERROR(__xludf.DUMMYFUNCTION("IF($G162="""","""",IFERROR(query({proventos!$B$5:$Q310},""Select sum(Col16) where Col1 = '""&amp;$G162&amp;""' and Col2 &gt; date '""&amp;TEXT(Q$8,""yyyy-mm-dd"")&amp;""' and Col2 &lt;= date '""&amp;TEXT(P$8,""yyyy-mm-dd"")&amp;""' label sum(Col16) ''"",0)))"),"")</f>
        <v/>
      </c>
      <c r="Q162" s="628" t="str">
        <f>IFERROR(__xludf.DUMMYFUNCTION("IF($G162="""","""",IFERROR(query({proventos!$B$5:$Q310},""Select sum(Col16) where Col1 = '""&amp;$G162&amp;""' and Col2 &gt; date '""&amp;TEXT(R$8,""yyyy-mm-dd"")&amp;""' and Col2 &lt;= date '""&amp;TEXT(Q$8,""yyyy-mm-dd"")&amp;""' label sum(Col16) ''"",0)))"),"")</f>
        <v/>
      </c>
      <c r="R162" s="628" t="str">
        <f>IFERROR(__xludf.DUMMYFUNCTION("IF($G162="""","""",IFERROR(query({proventos!$B$5:$Q310},""Select sum(Col16) where Col1 = '""&amp;$G162&amp;""' and Col2 &gt; date '""&amp;TEXT(S$8,""yyyy-mm-dd"")&amp;""' and Col2 &lt;= date '""&amp;TEXT(R$8,""yyyy-mm-dd"")&amp;""' label sum(Col16) ''"",0)))"),"")</f>
        <v/>
      </c>
      <c r="S162" s="628" t="str">
        <f>IFERROR(__xludf.DUMMYFUNCTION("IF($G162="""","""",IFERROR(query({proventos!$B$5:$Q310},""Select sum(Col16) where Col1 = '""&amp;$G162&amp;""' and Col2 &gt; date '""&amp;TEXT(T$8,""yyyy-mm-dd"")&amp;""' and Col2 &lt;= date '""&amp;TEXT(S$8,""yyyy-mm-dd"")&amp;""' label sum(Col16) ''"",0)))"),"")</f>
        <v/>
      </c>
      <c r="T162" s="628" t="str">
        <f>IFERROR(__xludf.DUMMYFUNCTION("IF($G162="""","""",IFERROR(query({proventos!$B$5:$Q310},""Select sum(Col16) where Col1 = '""&amp;$G162&amp;""' and Col2 &gt; date '""&amp;TEXT(U$8,""yyyy-mm-dd"")&amp;""' and Col2 &lt;= date '""&amp;TEXT(T$8,""yyyy-mm-dd"")&amp;""' label sum(Col16) ''"",0)))"),"")</f>
        <v/>
      </c>
      <c r="U162" s="629" t="str">
        <f>IFERROR(__xludf.DUMMYFUNCTION("IF($G162="""","""",IFERROR(query({proventos!$B$5:$Q310},""Select sum(Col16) where Col1 = '""&amp;$G162&amp;""' and Col2 &gt; date '""&amp;TEXT(EOMONTH(TODAY(),-13),""yyyy-mm-dd"")&amp;""' and Col2 &lt;= date '""&amp;TEXT(U$8,""yyyy-mm-dd"")&amp;""' label sum(Col16) ''"",0)))"),"")</f>
        <v/>
      </c>
      <c r="V162" s="630" t="str">
        <f>IFERROR(__xludf.DUMMYFUNCTION("IF($G162="""","""",IFERROR(query({proventos!$B$5:$Q310},""Select sum(Col16) where Col1 = '""&amp;$G162&amp;""' and Col2 &gt; date '""&amp;TEXT(DATE(V$8,1,1),""yyyy-mm-dd"")&amp;""' and Col2 &lt;= date '""&amp;TEXT(DATE(V$8,12,31),""yyyy-mm-dd"")&amp;""' label sum(Col16) ''"",0)))"),"")</f>
        <v/>
      </c>
      <c r="W162" s="630" t="str">
        <f>IFERROR(__xludf.DUMMYFUNCTION("IF($G162="""","""",IFERROR(query({proventos!$B$5:$Q310},""Select sum(Col16) where Col1 = '""&amp;$G162&amp;""' and Col2 &gt; date '""&amp;TEXT(DATE(W$8,1,1),""yyyy-mm-dd"")&amp;""' and Col2 &lt;= date '""&amp;TEXT(DATE(W$8,12,31),""yyyy-mm-dd"")&amp;""' label sum(Col16) ''"",0)))"),"")</f>
        <v/>
      </c>
      <c r="X162" s="630" t="str">
        <f>IFERROR(__xludf.DUMMYFUNCTION("IF($G162="""","""",IFERROR(query({proventos!$B$5:$Q310},""Select sum(Col16) where Col1 = '""&amp;$G162&amp;""' and Col2 &gt; date '""&amp;TEXT(DATE(X$8,1,1),""yyyy-mm-dd"")&amp;""' and Col2 &lt;= date '""&amp;TEXT(DATE(X$8,12,31),""yyyy-mm-dd"")&amp;""' label sum(Col16) ''"",0)))"),"")</f>
        <v/>
      </c>
      <c r="Y162" s="630" t="str">
        <f>IFERROR(__xludf.DUMMYFUNCTION("IF($G162="""","""",IFERROR(query({proventos!$B$5:$Q310},""Select sum(Col16) where Col1 = '""&amp;$G162&amp;""' and Col2 &gt; date '""&amp;TEXT(DATE(Y$8,1,1),""yyyy-mm-dd"")&amp;""' and Col2 &lt;= date '""&amp;TEXT(DATE(Y$8,12,31),""yyyy-mm-dd"")&amp;""' label sum(Col16) ''"",0)))"),"")</f>
        <v/>
      </c>
      <c r="Z162" s="630" t="str">
        <f>IFERROR(__xludf.DUMMYFUNCTION("IF($G162="""","""",IFERROR(query({proventos!$B$5:$Q310},""Select sum(Col16) where Col1 = '""&amp;$G162&amp;""' and Col2 &gt; date '""&amp;TEXT(DATE(Z$8,1,1),""yyyy-mm-dd"")&amp;""' and Col2 &lt;= date '""&amp;TEXT(DATE(Z$8,12,31),""yyyy-mm-dd"")&amp;""' label sum(Col16) ''"",0)))"),"")</f>
        <v/>
      </c>
      <c r="AA162" s="587"/>
      <c r="AB162" s="578" t="s">
        <v>123</v>
      </c>
      <c r="AC162" s="601"/>
      <c r="AD162" s="636"/>
      <c r="AE162" s="636"/>
    </row>
    <row r="163">
      <c r="A163" s="576"/>
      <c r="B163" s="620"/>
      <c r="C163" s="637"/>
      <c r="D163" s="633"/>
      <c r="E163" s="633"/>
      <c r="F163" s="624">
        <v>153.0</v>
      </c>
      <c r="G163" s="635"/>
      <c r="H163" s="626" t="str">
        <f>if(G163="","",IFERROR(VLOOKUP(G163,AtivosDados,MATCH("provento_avg",portfolio.!$A$3:AE$3,0),FALSE),""))</f>
        <v/>
      </c>
      <c r="I163" s="627" t="s">
        <v>123</v>
      </c>
      <c r="J163" s="628" t="str">
        <f>IFERROR(__xludf.DUMMYFUNCTION("IF($G163="""","""",IFERROR(query({proventos!$B$5:$Q310},""Select sum(Col16) where Col1 = '""&amp;$G163&amp;""' and Col2 &gt; date '""&amp;TEXT(K$8,""yyyy-mm-dd"")&amp;""' and Col2 &lt;= date '""&amp;TEXT(J$8,""yyyy-mm-dd"")&amp;""' label sum(Col16) ''"",0)))"),"")</f>
        <v/>
      </c>
      <c r="K163" s="628" t="str">
        <f>IFERROR(__xludf.DUMMYFUNCTION("IF($G163="""","""",IFERROR(query({proventos!$B$5:$Q310},""Select sum(Col16) where Col1 = '""&amp;$G163&amp;""' and Col2 &gt; date '""&amp;TEXT(L$8,""yyyy-mm-dd"")&amp;""' and Col2 &lt;= date '""&amp;TEXT(K$8,""yyyy-mm-dd"")&amp;""' label sum(Col16) ''"",0)))"),"")</f>
        <v/>
      </c>
      <c r="L163" s="628" t="str">
        <f>IFERROR(__xludf.DUMMYFUNCTION("IF($G163="""","""",IFERROR(query({proventos!$B$5:$Q310},""Select sum(Col16) where Col1 = '""&amp;$G163&amp;""' and Col2 &gt; date '""&amp;TEXT(M$8,""yyyy-mm-dd"")&amp;""' and Col2 &lt;= date '""&amp;TEXT(L$8,""yyyy-mm-dd"")&amp;""' label sum(Col16) ''"",0)))"),"")</f>
        <v/>
      </c>
      <c r="M163" s="628" t="str">
        <f>IFERROR(__xludf.DUMMYFUNCTION("IF($G163="""","""",IFERROR(query({proventos!$B$5:$Q310},""Select sum(Col16) where Col1 = '""&amp;$G163&amp;""' and Col2 &gt; date '""&amp;TEXT(N$8,""yyyy-mm-dd"")&amp;""' and Col2 &lt;= date '""&amp;TEXT(M$8,""yyyy-mm-dd"")&amp;""' label sum(Col16) ''"",0)))"),"")</f>
        <v/>
      </c>
      <c r="N163" s="628" t="str">
        <f>IFERROR(__xludf.DUMMYFUNCTION("IF($G163="""","""",IFERROR(query({proventos!$B$5:$Q310},""Select sum(Col16) where Col1 = '""&amp;$G163&amp;""' and Col2 &gt; date '""&amp;TEXT(O$8,""yyyy-mm-dd"")&amp;""' and Col2 &lt;= date '""&amp;TEXT(N$8,""yyyy-mm-dd"")&amp;""' label sum(Col16) ''"",0)))"),"")</f>
        <v/>
      </c>
      <c r="O163" s="628" t="str">
        <f>IFERROR(__xludf.DUMMYFUNCTION("IF($G163="""","""",IFERROR(query({proventos!$B$5:$Q310},""Select sum(Col16) where Col1 = '""&amp;$G163&amp;""' and Col2 &gt; date '""&amp;TEXT(P$8,""yyyy-mm-dd"")&amp;""' and Col2 &lt;= date '""&amp;TEXT(O$8,""yyyy-mm-dd"")&amp;""' label sum(Col16) ''"",0)))"),"")</f>
        <v/>
      </c>
      <c r="P163" s="628" t="str">
        <f>IFERROR(__xludf.DUMMYFUNCTION("IF($G163="""","""",IFERROR(query({proventos!$B$5:$Q310},""Select sum(Col16) where Col1 = '""&amp;$G163&amp;""' and Col2 &gt; date '""&amp;TEXT(Q$8,""yyyy-mm-dd"")&amp;""' and Col2 &lt;= date '""&amp;TEXT(P$8,""yyyy-mm-dd"")&amp;""' label sum(Col16) ''"",0)))"),"")</f>
        <v/>
      </c>
      <c r="Q163" s="628" t="str">
        <f>IFERROR(__xludf.DUMMYFUNCTION("IF($G163="""","""",IFERROR(query({proventos!$B$5:$Q310},""Select sum(Col16) where Col1 = '""&amp;$G163&amp;""' and Col2 &gt; date '""&amp;TEXT(R$8,""yyyy-mm-dd"")&amp;""' and Col2 &lt;= date '""&amp;TEXT(Q$8,""yyyy-mm-dd"")&amp;""' label sum(Col16) ''"",0)))"),"")</f>
        <v/>
      </c>
      <c r="R163" s="628" t="str">
        <f>IFERROR(__xludf.DUMMYFUNCTION("IF($G163="""","""",IFERROR(query({proventos!$B$5:$Q310},""Select sum(Col16) where Col1 = '""&amp;$G163&amp;""' and Col2 &gt; date '""&amp;TEXT(S$8,""yyyy-mm-dd"")&amp;""' and Col2 &lt;= date '""&amp;TEXT(R$8,""yyyy-mm-dd"")&amp;""' label sum(Col16) ''"",0)))"),"")</f>
        <v/>
      </c>
      <c r="S163" s="628" t="str">
        <f>IFERROR(__xludf.DUMMYFUNCTION("IF($G163="""","""",IFERROR(query({proventos!$B$5:$Q310},""Select sum(Col16) where Col1 = '""&amp;$G163&amp;""' and Col2 &gt; date '""&amp;TEXT(T$8,""yyyy-mm-dd"")&amp;""' and Col2 &lt;= date '""&amp;TEXT(S$8,""yyyy-mm-dd"")&amp;""' label sum(Col16) ''"",0)))"),"")</f>
        <v/>
      </c>
      <c r="T163" s="628" t="str">
        <f>IFERROR(__xludf.DUMMYFUNCTION("IF($G163="""","""",IFERROR(query({proventos!$B$5:$Q310},""Select sum(Col16) where Col1 = '""&amp;$G163&amp;""' and Col2 &gt; date '""&amp;TEXT(U$8,""yyyy-mm-dd"")&amp;""' and Col2 &lt;= date '""&amp;TEXT(T$8,""yyyy-mm-dd"")&amp;""' label sum(Col16) ''"",0)))"),"")</f>
        <v/>
      </c>
      <c r="U163" s="629" t="str">
        <f>IFERROR(__xludf.DUMMYFUNCTION("IF($G163="""","""",IFERROR(query({proventos!$B$5:$Q310},""Select sum(Col16) where Col1 = '""&amp;$G163&amp;""' and Col2 &gt; date '""&amp;TEXT(EOMONTH(TODAY(),-13),""yyyy-mm-dd"")&amp;""' and Col2 &lt;= date '""&amp;TEXT(U$8,""yyyy-mm-dd"")&amp;""' label sum(Col16) ''"",0)))"),"")</f>
        <v/>
      </c>
      <c r="V163" s="630" t="str">
        <f>IFERROR(__xludf.DUMMYFUNCTION("IF($G163="""","""",IFERROR(query({proventos!$B$5:$Q310},""Select sum(Col16) where Col1 = '""&amp;$G163&amp;""' and Col2 &gt; date '""&amp;TEXT(DATE(V$8,1,1),""yyyy-mm-dd"")&amp;""' and Col2 &lt;= date '""&amp;TEXT(DATE(V$8,12,31),""yyyy-mm-dd"")&amp;""' label sum(Col16) ''"",0)))"),"")</f>
        <v/>
      </c>
      <c r="W163" s="630" t="str">
        <f>IFERROR(__xludf.DUMMYFUNCTION("IF($G163="""","""",IFERROR(query({proventos!$B$5:$Q310},""Select sum(Col16) where Col1 = '""&amp;$G163&amp;""' and Col2 &gt; date '""&amp;TEXT(DATE(W$8,1,1),""yyyy-mm-dd"")&amp;""' and Col2 &lt;= date '""&amp;TEXT(DATE(W$8,12,31),""yyyy-mm-dd"")&amp;""' label sum(Col16) ''"",0)))"),"")</f>
        <v/>
      </c>
      <c r="X163" s="630" t="str">
        <f>IFERROR(__xludf.DUMMYFUNCTION("IF($G163="""","""",IFERROR(query({proventos!$B$5:$Q310},""Select sum(Col16) where Col1 = '""&amp;$G163&amp;""' and Col2 &gt; date '""&amp;TEXT(DATE(X$8,1,1),""yyyy-mm-dd"")&amp;""' and Col2 &lt;= date '""&amp;TEXT(DATE(X$8,12,31),""yyyy-mm-dd"")&amp;""' label sum(Col16) ''"",0)))"),"")</f>
        <v/>
      </c>
      <c r="Y163" s="630" t="str">
        <f>IFERROR(__xludf.DUMMYFUNCTION("IF($G163="""","""",IFERROR(query({proventos!$B$5:$Q310},""Select sum(Col16) where Col1 = '""&amp;$G163&amp;""' and Col2 &gt; date '""&amp;TEXT(DATE(Y$8,1,1),""yyyy-mm-dd"")&amp;""' and Col2 &lt;= date '""&amp;TEXT(DATE(Y$8,12,31),""yyyy-mm-dd"")&amp;""' label sum(Col16) ''"",0)))"),"")</f>
        <v/>
      </c>
      <c r="Z163" s="630" t="str">
        <f>IFERROR(__xludf.DUMMYFUNCTION("IF($G163="""","""",IFERROR(query({proventos!$B$5:$Q310},""Select sum(Col16) where Col1 = '""&amp;$G163&amp;""' and Col2 &gt; date '""&amp;TEXT(DATE(Z$8,1,1),""yyyy-mm-dd"")&amp;""' and Col2 &lt;= date '""&amp;TEXT(DATE(Z$8,12,31),""yyyy-mm-dd"")&amp;""' label sum(Col16) ''"",0)))"),"")</f>
        <v/>
      </c>
      <c r="AA163" s="587"/>
      <c r="AB163" s="578" t="s">
        <v>123</v>
      </c>
      <c r="AC163" s="601"/>
      <c r="AD163" s="636"/>
      <c r="AE163" s="636"/>
    </row>
    <row r="164">
      <c r="A164" s="576"/>
      <c r="B164" s="620"/>
      <c r="C164" s="637"/>
      <c r="D164" s="633"/>
      <c r="E164" s="633"/>
      <c r="F164" s="624">
        <v>154.0</v>
      </c>
      <c r="G164" s="635"/>
      <c r="H164" s="626" t="str">
        <f>if(G164="","",IFERROR(VLOOKUP(G164,AtivosDados,MATCH("provento_avg",portfolio.!$A$3:AE$3,0),FALSE),""))</f>
        <v/>
      </c>
      <c r="I164" s="627" t="s">
        <v>123</v>
      </c>
      <c r="J164" s="628" t="str">
        <f>IFERROR(__xludf.DUMMYFUNCTION("IF($G164="""","""",IFERROR(query({proventos!$B$5:$Q310},""Select sum(Col16) where Col1 = '""&amp;$G164&amp;""' and Col2 &gt; date '""&amp;TEXT(K$8,""yyyy-mm-dd"")&amp;""' and Col2 &lt;= date '""&amp;TEXT(J$8,""yyyy-mm-dd"")&amp;""' label sum(Col16) ''"",0)))"),"")</f>
        <v/>
      </c>
      <c r="K164" s="628" t="str">
        <f>IFERROR(__xludf.DUMMYFUNCTION("IF($G164="""","""",IFERROR(query({proventos!$B$5:$Q310},""Select sum(Col16) where Col1 = '""&amp;$G164&amp;""' and Col2 &gt; date '""&amp;TEXT(L$8,""yyyy-mm-dd"")&amp;""' and Col2 &lt;= date '""&amp;TEXT(K$8,""yyyy-mm-dd"")&amp;""' label sum(Col16) ''"",0)))"),"")</f>
        <v/>
      </c>
      <c r="L164" s="628" t="str">
        <f>IFERROR(__xludf.DUMMYFUNCTION("IF($G164="""","""",IFERROR(query({proventos!$B$5:$Q310},""Select sum(Col16) where Col1 = '""&amp;$G164&amp;""' and Col2 &gt; date '""&amp;TEXT(M$8,""yyyy-mm-dd"")&amp;""' and Col2 &lt;= date '""&amp;TEXT(L$8,""yyyy-mm-dd"")&amp;""' label sum(Col16) ''"",0)))"),"")</f>
        <v/>
      </c>
      <c r="M164" s="628" t="str">
        <f>IFERROR(__xludf.DUMMYFUNCTION("IF($G164="""","""",IFERROR(query({proventos!$B$5:$Q310},""Select sum(Col16) where Col1 = '""&amp;$G164&amp;""' and Col2 &gt; date '""&amp;TEXT(N$8,""yyyy-mm-dd"")&amp;""' and Col2 &lt;= date '""&amp;TEXT(M$8,""yyyy-mm-dd"")&amp;""' label sum(Col16) ''"",0)))"),"")</f>
        <v/>
      </c>
      <c r="N164" s="628" t="str">
        <f>IFERROR(__xludf.DUMMYFUNCTION("IF($G164="""","""",IFERROR(query({proventos!$B$5:$Q310},""Select sum(Col16) where Col1 = '""&amp;$G164&amp;""' and Col2 &gt; date '""&amp;TEXT(O$8,""yyyy-mm-dd"")&amp;""' and Col2 &lt;= date '""&amp;TEXT(N$8,""yyyy-mm-dd"")&amp;""' label sum(Col16) ''"",0)))"),"")</f>
        <v/>
      </c>
      <c r="O164" s="628" t="str">
        <f>IFERROR(__xludf.DUMMYFUNCTION("IF($G164="""","""",IFERROR(query({proventos!$B$5:$Q310},""Select sum(Col16) where Col1 = '""&amp;$G164&amp;""' and Col2 &gt; date '""&amp;TEXT(P$8,""yyyy-mm-dd"")&amp;""' and Col2 &lt;= date '""&amp;TEXT(O$8,""yyyy-mm-dd"")&amp;""' label sum(Col16) ''"",0)))"),"")</f>
        <v/>
      </c>
      <c r="P164" s="628" t="str">
        <f>IFERROR(__xludf.DUMMYFUNCTION("IF($G164="""","""",IFERROR(query({proventos!$B$5:$Q310},""Select sum(Col16) where Col1 = '""&amp;$G164&amp;""' and Col2 &gt; date '""&amp;TEXT(Q$8,""yyyy-mm-dd"")&amp;""' and Col2 &lt;= date '""&amp;TEXT(P$8,""yyyy-mm-dd"")&amp;""' label sum(Col16) ''"",0)))"),"")</f>
        <v/>
      </c>
      <c r="Q164" s="628" t="str">
        <f>IFERROR(__xludf.DUMMYFUNCTION("IF($G164="""","""",IFERROR(query({proventos!$B$5:$Q310},""Select sum(Col16) where Col1 = '""&amp;$G164&amp;""' and Col2 &gt; date '""&amp;TEXT(R$8,""yyyy-mm-dd"")&amp;""' and Col2 &lt;= date '""&amp;TEXT(Q$8,""yyyy-mm-dd"")&amp;""' label sum(Col16) ''"",0)))"),"")</f>
        <v/>
      </c>
      <c r="R164" s="628" t="str">
        <f>IFERROR(__xludf.DUMMYFUNCTION("IF($G164="""","""",IFERROR(query({proventos!$B$5:$Q310},""Select sum(Col16) where Col1 = '""&amp;$G164&amp;""' and Col2 &gt; date '""&amp;TEXT(S$8,""yyyy-mm-dd"")&amp;""' and Col2 &lt;= date '""&amp;TEXT(R$8,""yyyy-mm-dd"")&amp;""' label sum(Col16) ''"",0)))"),"")</f>
        <v/>
      </c>
      <c r="S164" s="628" t="str">
        <f>IFERROR(__xludf.DUMMYFUNCTION("IF($G164="""","""",IFERROR(query({proventos!$B$5:$Q310},""Select sum(Col16) where Col1 = '""&amp;$G164&amp;""' and Col2 &gt; date '""&amp;TEXT(T$8,""yyyy-mm-dd"")&amp;""' and Col2 &lt;= date '""&amp;TEXT(S$8,""yyyy-mm-dd"")&amp;""' label sum(Col16) ''"",0)))"),"")</f>
        <v/>
      </c>
      <c r="T164" s="628" t="str">
        <f>IFERROR(__xludf.DUMMYFUNCTION("IF($G164="""","""",IFERROR(query({proventos!$B$5:$Q310},""Select sum(Col16) where Col1 = '""&amp;$G164&amp;""' and Col2 &gt; date '""&amp;TEXT(U$8,""yyyy-mm-dd"")&amp;""' and Col2 &lt;= date '""&amp;TEXT(T$8,""yyyy-mm-dd"")&amp;""' label sum(Col16) ''"",0)))"),"")</f>
        <v/>
      </c>
      <c r="U164" s="629" t="str">
        <f>IFERROR(__xludf.DUMMYFUNCTION("IF($G164="""","""",IFERROR(query({proventos!$B$5:$Q310},""Select sum(Col16) where Col1 = '""&amp;$G164&amp;""' and Col2 &gt; date '""&amp;TEXT(EOMONTH(TODAY(),-13),""yyyy-mm-dd"")&amp;""' and Col2 &lt;= date '""&amp;TEXT(U$8,""yyyy-mm-dd"")&amp;""' label sum(Col16) ''"",0)))"),"")</f>
        <v/>
      </c>
      <c r="V164" s="630" t="str">
        <f>IFERROR(__xludf.DUMMYFUNCTION("IF($G164="""","""",IFERROR(query({proventos!$B$5:$Q310},""Select sum(Col16) where Col1 = '""&amp;$G164&amp;""' and Col2 &gt; date '""&amp;TEXT(DATE(V$8,1,1),""yyyy-mm-dd"")&amp;""' and Col2 &lt;= date '""&amp;TEXT(DATE(V$8,12,31),""yyyy-mm-dd"")&amp;""' label sum(Col16) ''"",0)))"),"")</f>
        <v/>
      </c>
      <c r="W164" s="630" t="str">
        <f>IFERROR(__xludf.DUMMYFUNCTION("IF($G164="""","""",IFERROR(query({proventos!$B$5:$Q310},""Select sum(Col16) where Col1 = '""&amp;$G164&amp;""' and Col2 &gt; date '""&amp;TEXT(DATE(W$8,1,1),""yyyy-mm-dd"")&amp;""' and Col2 &lt;= date '""&amp;TEXT(DATE(W$8,12,31),""yyyy-mm-dd"")&amp;""' label sum(Col16) ''"",0)))"),"")</f>
        <v/>
      </c>
      <c r="X164" s="630" t="str">
        <f>IFERROR(__xludf.DUMMYFUNCTION("IF($G164="""","""",IFERROR(query({proventos!$B$5:$Q310},""Select sum(Col16) where Col1 = '""&amp;$G164&amp;""' and Col2 &gt; date '""&amp;TEXT(DATE(X$8,1,1),""yyyy-mm-dd"")&amp;""' and Col2 &lt;= date '""&amp;TEXT(DATE(X$8,12,31),""yyyy-mm-dd"")&amp;""' label sum(Col16) ''"",0)))"),"")</f>
        <v/>
      </c>
      <c r="Y164" s="630" t="str">
        <f>IFERROR(__xludf.DUMMYFUNCTION("IF($G164="""","""",IFERROR(query({proventos!$B$5:$Q310},""Select sum(Col16) where Col1 = '""&amp;$G164&amp;""' and Col2 &gt; date '""&amp;TEXT(DATE(Y$8,1,1),""yyyy-mm-dd"")&amp;""' and Col2 &lt;= date '""&amp;TEXT(DATE(Y$8,12,31),""yyyy-mm-dd"")&amp;""' label sum(Col16) ''"",0)))"),"")</f>
        <v/>
      </c>
      <c r="Z164" s="630" t="str">
        <f>IFERROR(__xludf.DUMMYFUNCTION("IF($G164="""","""",IFERROR(query({proventos!$B$5:$Q310},""Select sum(Col16) where Col1 = '""&amp;$G164&amp;""' and Col2 &gt; date '""&amp;TEXT(DATE(Z$8,1,1),""yyyy-mm-dd"")&amp;""' and Col2 &lt;= date '""&amp;TEXT(DATE(Z$8,12,31),""yyyy-mm-dd"")&amp;""' label sum(Col16) ''"",0)))"),"")</f>
        <v/>
      </c>
      <c r="AA164" s="587"/>
      <c r="AB164" s="578" t="s">
        <v>123</v>
      </c>
      <c r="AC164" s="601"/>
      <c r="AD164" s="636"/>
      <c r="AE164" s="636"/>
    </row>
    <row r="165">
      <c r="A165" s="576"/>
      <c r="B165" s="620"/>
      <c r="C165" s="637"/>
      <c r="D165" s="633"/>
      <c r="E165" s="633"/>
      <c r="F165" s="624">
        <v>155.0</v>
      </c>
      <c r="G165" s="635"/>
      <c r="H165" s="626" t="str">
        <f>if(G165="","",IFERROR(VLOOKUP(G165,AtivosDados,MATCH("provento_avg",portfolio.!$A$3:AE$3,0),FALSE),""))</f>
        <v/>
      </c>
      <c r="I165" s="627" t="s">
        <v>123</v>
      </c>
      <c r="J165" s="628" t="str">
        <f>IFERROR(__xludf.DUMMYFUNCTION("IF($G165="""","""",IFERROR(query({proventos!$B$5:$Q310},""Select sum(Col16) where Col1 = '""&amp;$G165&amp;""' and Col2 &gt; date '""&amp;TEXT(K$8,""yyyy-mm-dd"")&amp;""' and Col2 &lt;= date '""&amp;TEXT(J$8,""yyyy-mm-dd"")&amp;""' label sum(Col16) ''"",0)))"),"")</f>
        <v/>
      </c>
      <c r="K165" s="628" t="str">
        <f>IFERROR(__xludf.DUMMYFUNCTION("IF($G165="""","""",IFERROR(query({proventos!$B$5:$Q310},""Select sum(Col16) where Col1 = '""&amp;$G165&amp;""' and Col2 &gt; date '""&amp;TEXT(L$8,""yyyy-mm-dd"")&amp;""' and Col2 &lt;= date '""&amp;TEXT(K$8,""yyyy-mm-dd"")&amp;""' label sum(Col16) ''"",0)))"),"")</f>
        <v/>
      </c>
      <c r="L165" s="628" t="str">
        <f>IFERROR(__xludf.DUMMYFUNCTION("IF($G165="""","""",IFERROR(query({proventos!$B$5:$Q310},""Select sum(Col16) where Col1 = '""&amp;$G165&amp;""' and Col2 &gt; date '""&amp;TEXT(M$8,""yyyy-mm-dd"")&amp;""' and Col2 &lt;= date '""&amp;TEXT(L$8,""yyyy-mm-dd"")&amp;""' label sum(Col16) ''"",0)))"),"")</f>
        <v/>
      </c>
      <c r="M165" s="628" t="str">
        <f>IFERROR(__xludf.DUMMYFUNCTION("IF($G165="""","""",IFERROR(query({proventos!$B$5:$Q310},""Select sum(Col16) where Col1 = '""&amp;$G165&amp;""' and Col2 &gt; date '""&amp;TEXT(N$8,""yyyy-mm-dd"")&amp;""' and Col2 &lt;= date '""&amp;TEXT(M$8,""yyyy-mm-dd"")&amp;""' label sum(Col16) ''"",0)))"),"")</f>
        <v/>
      </c>
      <c r="N165" s="628" t="str">
        <f>IFERROR(__xludf.DUMMYFUNCTION("IF($G165="""","""",IFERROR(query({proventos!$B$5:$Q310},""Select sum(Col16) where Col1 = '""&amp;$G165&amp;""' and Col2 &gt; date '""&amp;TEXT(O$8,""yyyy-mm-dd"")&amp;""' and Col2 &lt;= date '""&amp;TEXT(N$8,""yyyy-mm-dd"")&amp;""' label sum(Col16) ''"",0)))"),"")</f>
        <v/>
      </c>
      <c r="O165" s="628" t="str">
        <f>IFERROR(__xludf.DUMMYFUNCTION("IF($G165="""","""",IFERROR(query({proventos!$B$5:$Q310},""Select sum(Col16) where Col1 = '""&amp;$G165&amp;""' and Col2 &gt; date '""&amp;TEXT(P$8,""yyyy-mm-dd"")&amp;""' and Col2 &lt;= date '""&amp;TEXT(O$8,""yyyy-mm-dd"")&amp;""' label sum(Col16) ''"",0)))"),"")</f>
        <v/>
      </c>
      <c r="P165" s="628" t="str">
        <f>IFERROR(__xludf.DUMMYFUNCTION("IF($G165="""","""",IFERROR(query({proventos!$B$5:$Q310},""Select sum(Col16) where Col1 = '""&amp;$G165&amp;""' and Col2 &gt; date '""&amp;TEXT(Q$8,""yyyy-mm-dd"")&amp;""' and Col2 &lt;= date '""&amp;TEXT(P$8,""yyyy-mm-dd"")&amp;""' label sum(Col16) ''"",0)))"),"")</f>
        <v/>
      </c>
      <c r="Q165" s="628" t="str">
        <f>IFERROR(__xludf.DUMMYFUNCTION("IF($G165="""","""",IFERROR(query({proventos!$B$5:$Q310},""Select sum(Col16) where Col1 = '""&amp;$G165&amp;""' and Col2 &gt; date '""&amp;TEXT(R$8,""yyyy-mm-dd"")&amp;""' and Col2 &lt;= date '""&amp;TEXT(Q$8,""yyyy-mm-dd"")&amp;""' label sum(Col16) ''"",0)))"),"")</f>
        <v/>
      </c>
      <c r="R165" s="628" t="str">
        <f>IFERROR(__xludf.DUMMYFUNCTION("IF($G165="""","""",IFERROR(query({proventos!$B$5:$Q310},""Select sum(Col16) where Col1 = '""&amp;$G165&amp;""' and Col2 &gt; date '""&amp;TEXT(S$8,""yyyy-mm-dd"")&amp;""' and Col2 &lt;= date '""&amp;TEXT(R$8,""yyyy-mm-dd"")&amp;""' label sum(Col16) ''"",0)))"),"")</f>
        <v/>
      </c>
      <c r="S165" s="628" t="str">
        <f>IFERROR(__xludf.DUMMYFUNCTION("IF($G165="""","""",IFERROR(query({proventos!$B$5:$Q310},""Select sum(Col16) where Col1 = '""&amp;$G165&amp;""' and Col2 &gt; date '""&amp;TEXT(T$8,""yyyy-mm-dd"")&amp;""' and Col2 &lt;= date '""&amp;TEXT(S$8,""yyyy-mm-dd"")&amp;""' label sum(Col16) ''"",0)))"),"")</f>
        <v/>
      </c>
      <c r="T165" s="628" t="str">
        <f>IFERROR(__xludf.DUMMYFUNCTION("IF($G165="""","""",IFERROR(query({proventos!$B$5:$Q310},""Select sum(Col16) where Col1 = '""&amp;$G165&amp;""' and Col2 &gt; date '""&amp;TEXT(U$8,""yyyy-mm-dd"")&amp;""' and Col2 &lt;= date '""&amp;TEXT(T$8,""yyyy-mm-dd"")&amp;""' label sum(Col16) ''"",0)))"),"")</f>
        <v/>
      </c>
      <c r="U165" s="629" t="str">
        <f>IFERROR(__xludf.DUMMYFUNCTION("IF($G165="""","""",IFERROR(query({proventos!$B$5:$Q310},""Select sum(Col16) where Col1 = '""&amp;$G165&amp;""' and Col2 &gt; date '""&amp;TEXT(EOMONTH(TODAY(),-13),""yyyy-mm-dd"")&amp;""' and Col2 &lt;= date '""&amp;TEXT(U$8,""yyyy-mm-dd"")&amp;""' label sum(Col16) ''"",0)))"),"")</f>
        <v/>
      </c>
      <c r="V165" s="630" t="str">
        <f>IFERROR(__xludf.DUMMYFUNCTION("IF($G165="""","""",IFERROR(query({proventos!$B$5:$Q310},""Select sum(Col16) where Col1 = '""&amp;$G165&amp;""' and Col2 &gt; date '""&amp;TEXT(DATE(V$8,1,1),""yyyy-mm-dd"")&amp;""' and Col2 &lt;= date '""&amp;TEXT(DATE(V$8,12,31),""yyyy-mm-dd"")&amp;""' label sum(Col16) ''"",0)))"),"")</f>
        <v/>
      </c>
      <c r="W165" s="630" t="str">
        <f>IFERROR(__xludf.DUMMYFUNCTION("IF($G165="""","""",IFERROR(query({proventos!$B$5:$Q310},""Select sum(Col16) where Col1 = '""&amp;$G165&amp;""' and Col2 &gt; date '""&amp;TEXT(DATE(W$8,1,1),""yyyy-mm-dd"")&amp;""' and Col2 &lt;= date '""&amp;TEXT(DATE(W$8,12,31),""yyyy-mm-dd"")&amp;""' label sum(Col16) ''"",0)))"),"")</f>
        <v/>
      </c>
      <c r="X165" s="630" t="str">
        <f>IFERROR(__xludf.DUMMYFUNCTION("IF($G165="""","""",IFERROR(query({proventos!$B$5:$Q310},""Select sum(Col16) where Col1 = '""&amp;$G165&amp;""' and Col2 &gt; date '""&amp;TEXT(DATE(X$8,1,1),""yyyy-mm-dd"")&amp;""' and Col2 &lt;= date '""&amp;TEXT(DATE(X$8,12,31),""yyyy-mm-dd"")&amp;""' label sum(Col16) ''"",0)))"),"")</f>
        <v/>
      </c>
      <c r="Y165" s="630" t="str">
        <f>IFERROR(__xludf.DUMMYFUNCTION("IF($G165="""","""",IFERROR(query({proventos!$B$5:$Q310},""Select sum(Col16) where Col1 = '""&amp;$G165&amp;""' and Col2 &gt; date '""&amp;TEXT(DATE(Y$8,1,1),""yyyy-mm-dd"")&amp;""' and Col2 &lt;= date '""&amp;TEXT(DATE(Y$8,12,31),""yyyy-mm-dd"")&amp;""' label sum(Col16) ''"",0)))"),"")</f>
        <v/>
      </c>
      <c r="Z165" s="630" t="str">
        <f>IFERROR(__xludf.DUMMYFUNCTION("IF($G165="""","""",IFERROR(query({proventos!$B$5:$Q310},""Select sum(Col16) where Col1 = '""&amp;$G165&amp;""' and Col2 &gt; date '""&amp;TEXT(DATE(Z$8,1,1),""yyyy-mm-dd"")&amp;""' and Col2 &lt;= date '""&amp;TEXT(DATE(Z$8,12,31),""yyyy-mm-dd"")&amp;""' label sum(Col16) ''"",0)))"),"")</f>
        <v/>
      </c>
      <c r="AA165" s="587"/>
      <c r="AB165" s="578" t="s">
        <v>123</v>
      </c>
      <c r="AC165" s="601"/>
      <c r="AD165" s="636"/>
      <c r="AE165" s="636"/>
    </row>
    <row r="166">
      <c r="A166" s="576"/>
      <c r="B166" s="620"/>
      <c r="C166" s="637"/>
      <c r="D166" s="633"/>
      <c r="E166" s="633"/>
      <c r="F166" s="624">
        <v>156.0</v>
      </c>
      <c r="G166" s="635"/>
      <c r="H166" s="626" t="str">
        <f>if(G166="","",IFERROR(VLOOKUP(G166,AtivosDados,MATCH("provento_avg",portfolio.!$A$3:AE$3,0),FALSE),""))</f>
        <v/>
      </c>
      <c r="I166" s="627" t="s">
        <v>123</v>
      </c>
      <c r="J166" s="628" t="str">
        <f>IFERROR(__xludf.DUMMYFUNCTION("IF($G166="""","""",IFERROR(query({proventos!$B$5:$Q310},""Select sum(Col16) where Col1 = '""&amp;$G166&amp;""' and Col2 &gt; date '""&amp;TEXT(K$8,""yyyy-mm-dd"")&amp;""' and Col2 &lt;= date '""&amp;TEXT(J$8,""yyyy-mm-dd"")&amp;""' label sum(Col16) ''"",0)))"),"")</f>
        <v/>
      </c>
      <c r="K166" s="628" t="str">
        <f>IFERROR(__xludf.DUMMYFUNCTION("IF($G166="""","""",IFERROR(query({proventos!$B$5:$Q310},""Select sum(Col16) where Col1 = '""&amp;$G166&amp;""' and Col2 &gt; date '""&amp;TEXT(L$8,""yyyy-mm-dd"")&amp;""' and Col2 &lt;= date '""&amp;TEXT(K$8,""yyyy-mm-dd"")&amp;""' label sum(Col16) ''"",0)))"),"")</f>
        <v/>
      </c>
      <c r="L166" s="628" t="str">
        <f>IFERROR(__xludf.DUMMYFUNCTION("IF($G166="""","""",IFERROR(query({proventos!$B$5:$Q310},""Select sum(Col16) where Col1 = '""&amp;$G166&amp;""' and Col2 &gt; date '""&amp;TEXT(M$8,""yyyy-mm-dd"")&amp;""' and Col2 &lt;= date '""&amp;TEXT(L$8,""yyyy-mm-dd"")&amp;""' label sum(Col16) ''"",0)))"),"")</f>
        <v/>
      </c>
      <c r="M166" s="628" t="str">
        <f>IFERROR(__xludf.DUMMYFUNCTION("IF($G166="""","""",IFERROR(query({proventos!$B$5:$Q310},""Select sum(Col16) where Col1 = '""&amp;$G166&amp;""' and Col2 &gt; date '""&amp;TEXT(N$8,""yyyy-mm-dd"")&amp;""' and Col2 &lt;= date '""&amp;TEXT(M$8,""yyyy-mm-dd"")&amp;""' label sum(Col16) ''"",0)))"),"")</f>
        <v/>
      </c>
      <c r="N166" s="628" t="str">
        <f>IFERROR(__xludf.DUMMYFUNCTION("IF($G166="""","""",IFERROR(query({proventos!$B$5:$Q310},""Select sum(Col16) where Col1 = '""&amp;$G166&amp;""' and Col2 &gt; date '""&amp;TEXT(O$8,""yyyy-mm-dd"")&amp;""' and Col2 &lt;= date '""&amp;TEXT(N$8,""yyyy-mm-dd"")&amp;""' label sum(Col16) ''"",0)))"),"")</f>
        <v/>
      </c>
      <c r="O166" s="628" t="str">
        <f>IFERROR(__xludf.DUMMYFUNCTION("IF($G166="""","""",IFERROR(query({proventos!$B$5:$Q310},""Select sum(Col16) where Col1 = '""&amp;$G166&amp;""' and Col2 &gt; date '""&amp;TEXT(P$8,""yyyy-mm-dd"")&amp;""' and Col2 &lt;= date '""&amp;TEXT(O$8,""yyyy-mm-dd"")&amp;""' label sum(Col16) ''"",0)))"),"")</f>
        <v/>
      </c>
      <c r="P166" s="628" t="str">
        <f>IFERROR(__xludf.DUMMYFUNCTION("IF($G166="""","""",IFERROR(query({proventos!$B$5:$Q310},""Select sum(Col16) where Col1 = '""&amp;$G166&amp;""' and Col2 &gt; date '""&amp;TEXT(Q$8,""yyyy-mm-dd"")&amp;""' and Col2 &lt;= date '""&amp;TEXT(P$8,""yyyy-mm-dd"")&amp;""' label sum(Col16) ''"",0)))"),"")</f>
        <v/>
      </c>
      <c r="Q166" s="628" t="str">
        <f>IFERROR(__xludf.DUMMYFUNCTION("IF($G166="""","""",IFERROR(query({proventos!$B$5:$Q310},""Select sum(Col16) where Col1 = '""&amp;$G166&amp;""' and Col2 &gt; date '""&amp;TEXT(R$8,""yyyy-mm-dd"")&amp;""' and Col2 &lt;= date '""&amp;TEXT(Q$8,""yyyy-mm-dd"")&amp;""' label sum(Col16) ''"",0)))"),"")</f>
        <v/>
      </c>
      <c r="R166" s="628" t="str">
        <f>IFERROR(__xludf.DUMMYFUNCTION("IF($G166="""","""",IFERROR(query({proventos!$B$5:$Q310},""Select sum(Col16) where Col1 = '""&amp;$G166&amp;""' and Col2 &gt; date '""&amp;TEXT(S$8,""yyyy-mm-dd"")&amp;""' and Col2 &lt;= date '""&amp;TEXT(R$8,""yyyy-mm-dd"")&amp;""' label sum(Col16) ''"",0)))"),"")</f>
        <v/>
      </c>
      <c r="S166" s="628" t="str">
        <f>IFERROR(__xludf.DUMMYFUNCTION("IF($G166="""","""",IFERROR(query({proventos!$B$5:$Q310},""Select sum(Col16) where Col1 = '""&amp;$G166&amp;""' and Col2 &gt; date '""&amp;TEXT(T$8,""yyyy-mm-dd"")&amp;""' and Col2 &lt;= date '""&amp;TEXT(S$8,""yyyy-mm-dd"")&amp;""' label sum(Col16) ''"",0)))"),"")</f>
        <v/>
      </c>
      <c r="T166" s="628" t="str">
        <f>IFERROR(__xludf.DUMMYFUNCTION("IF($G166="""","""",IFERROR(query({proventos!$B$5:$Q310},""Select sum(Col16) where Col1 = '""&amp;$G166&amp;""' and Col2 &gt; date '""&amp;TEXT(U$8,""yyyy-mm-dd"")&amp;""' and Col2 &lt;= date '""&amp;TEXT(T$8,""yyyy-mm-dd"")&amp;""' label sum(Col16) ''"",0)))"),"")</f>
        <v/>
      </c>
      <c r="U166" s="629" t="str">
        <f>IFERROR(__xludf.DUMMYFUNCTION("IF($G166="""","""",IFERROR(query({proventos!$B$5:$Q310},""Select sum(Col16) where Col1 = '""&amp;$G166&amp;""' and Col2 &gt; date '""&amp;TEXT(EOMONTH(TODAY(),-13),""yyyy-mm-dd"")&amp;""' and Col2 &lt;= date '""&amp;TEXT(U$8,""yyyy-mm-dd"")&amp;""' label sum(Col16) ''"",0)))"),"")</f>
        <v/>
      </c>
      <c r="V166" s="630" t="str">
        <f>IFERROR(__xludf.DUMMYFUNCTION("IF($G166="""","""",IFERROR(query({proventos!$B$5:$Q310},""Select sum(Col16) where Col1 = '""&amp;$G166&amp;""' and Col2 &gt; date '""&amp;TEXT(DATE(V$8,1,1),""yyyy-mm-dd"")&amp;""' and Col2 &lt;= date '""&amp;TEXT(DATE(V$8,12,31),""yyyy-mm-dd"")&amp;""' label sum(Col16) ''"",0)))"),"")</f>
        <v/>
      </c>
      <c r="W166" s="630" t="str">
        <f>IFERROR(__xludf.DUMMYFUNCTION("IF($G166="""","""",IFERROR(query({proventos!$B$5:$Q310},""Select sum(Col16) where Col1 = '""&amp;$G166&amp;""' and Col2 &gt; date '""&amp;TEXT(DATE(W$8,1,1),""yyyy-mm-dd"")&amp;""' and Col2 &lt;= date '""&amp;TEXT(DATE(W$8,12,31),""yyyy-mm-dd"")&amp;""' label sum(Col16) ''"",0)))"),"")</f>
        <v/>
      </c>
      <c r="X166" s="630" t="str">
        <f>IFERROR(__xludf.DUMMYFUNCTION("IF($G166="""","""",IFERROR(query({proventos!$B$5:$Q310},""Select sum(Col16) where Col1 = '""&amp;$G166&amp;""' and Col2 &gt; date '""&amp;TEXT(DATE(X$8,1,1),""yyyy-mm-dd"")&amp;""' and Col2 &lt;= date '""&amp;TEXT(DATE(X$8,12,31),""yyyy-mm-dd"")&amp;""' label sum(Col16) ''"",0)))"),"")</f>
        <v/>
      </c>
      <c r="Y166" s="630" t="str">
        <f>IFERROR(__xludf.DUMMYFUNCTION("IF($G166="""","""",IFERROR(query({proventos!$B$5:$Q310},""Select sum(Col16) where Col1 = '""&amp;$G166&amp;""' and Col2 &gt; date '""&amp;TEXT(DATE(Y$8,1,1),""yyyy-mm-dd"")&amp;""' and Col2 &lt;= date '""&amp;TEXT(DATE(Y$8,12,31),""yyyy-mm-dd"")&amp;""' label sum(Col16) ''"",0)))"),"")</f>
        <v/>
      </c>
      <c r="Z166" s="630" t="str">
        <f>IFERROR(__xludf.DUMMYFUNCTION("IF($G166="""","""",IFERROR(query({proventos!$B$5:$Q310},""Select sum(Col16) where Col1 = '""&amp;$G166&amp;""' and Col2 &gt; date '""&amp;TEXT(DATE(Z$8,1,1),""yyyy-mm-dd"")&amp;""' and Col2 &lt;= date '""&amp;TEXT(DATE(Z$8,12,31),""yyyy-mm-dd"")&amp;""' label sum(Col16) ''"",0)))"),"")</f>
        <v/>
      </c>
      <c r="AA166" s="587"/>
      <c r="AB166" s="578" t="s">
        <v>123</v>
      </c>
      <c r="AC166" s="601"/>
      <c r="AD166" s="636"/>
      <c r="AE166" s="636"/>
    </row>
    <row r="167">
      <c r="A167" s="576"/>
      <c r="B167" s="620"/>
      <c r="C167" s="637"/>
      <c r="D167" s="633"/>
      <c r="E167" s="633"/>
      <c r="F167" s="624">
        <v>157.0</v>
      </c>
      <c r="G167" s="635"/>
      <c r="H167" s="626" t="str">
        <f>if(G167="","",IFERROR(VLOOKUP(G167,AtivosDados,MATCH("provento_avg",portfolio.!$A$3:AE$3,0),FALSE),""))</f>
        <v/>
      </c>
      <c r="I167" s="627" t="s">
        <v>123</v>
      </c>
      <c r="J167" s="628" t="str">
        <f>IFERROR(__xludf.DUMMYFUNCTION("IF($G167="""","""",IFERROR(query({proventos!$B$5:$Q310},""Select sum(Col16) where Col1 = '""&amp;$G167&amp;""' and Col2 &gt; date '""&amp;TEXT(K$8,""yyyy-mm-dd"")&amp;""' and Col2 &lt;= date '""&amp;TEXT(J$8,""yyyy-mm-dd"")&amp;""' label sum(Col16) ''"",0)))"),"")</f>
        <v/>
      </c>
      <c r="K167" s="628" t="str">
        <f>IFERROR(__xludf.DUMMYFUNCTION("IF($G167="""","""",IFERROR(query({proventos!$B$5:$Q310},""Select sum(Col16) where Col1 = '""&amp;$G167&amp;""' and Col2 &gt; date '""&amp;TEXT(L$8,""yyyy-mm-dd"")&amp;""' and Col2 &lt;= date '""&amp;TEXT(K$8,""yyyy-mm-dd"")&amp;""' label sum(Col16) ''"",0)))"),"")</f>
        <v/>
      </c>
      <c r="L167" s="628" t="str">
        <f>IFERROR(__xludf.DUMMYFUNCTION("IF($G167="""","""",IFERROR(query({proventos!$B$5:$Q310},""Select sum(Col16) where Col1 = '""&amp;$G167&amp;""' and Col2 &gt; date '""&amp;TEXT(M$8,""yyyy-mm-dd"")&amp;""' and Col2 &lt;= date '""&amp;TEXT(L$8,""yyyy-mm-dd"")&amp;""' label sum(Col16) ''"",0)))"),"")</f>
        <v/>
      </c>
      <c r="M167" s="628" t="str">
        <f>IFERROR(__xludf.DUMMYFUNCTION("IF($G167="""","""",IFERROR(query({proventos!$B$5:$Q310},""Select sum(Col16) where Col1 = '""&amp;$G167&amp;""' and Col2 &gt; date '""&amp;TEXT(N$8,""yyyy-mm-dd"")&amp;""' and Col2 &lt;= date '""&amp;TEXT(M$8,""yyyy-mm-dd"")&amp;""' label sum(Col16) ''"",0)))"),"")</f>
        <v/>
      </c>
      <c r="N167" s="628" t="str">
        <f>IFERROR(__xludf.DUMMYFUNCTION("IF($G167="""","""",IFERROR(query({proventos!$B$5:$Q310},""Select sum(Col16) where Col1 = '""&amp;$G167&amp;""' and Col2 &gt; date '""&amp;TEXT(O$8,""yyyy-mm-dd"")&amp;""' and Col2 &lt;= date '""&amp;TEXT(N$8,""yyyy-mm-dd"")&amp;""' label sum(Col16) ''"",0)))"),"")</f>
        <v/>
      </c>
      <c r="O167" s="628" t="str">
        <f>IFERROR(__xludf.DUMMYFUNCTION("IF($G167="""","""",IFERROR(query({proventos!$B$5:$Q310},""Select sum(Col16) where Col1 = '""&amp;$G167&amp;""' and Col2 &gt; date '""&amp;TEXT(P$8,""yyyy-mm-dd"")&amp;""' and Col2 &lt;= date '""&amp;TEXT(O$8,""yyyy-mm-dd"")&amp;""' label sum(Col16) ''"",0)))"),"")</f>
        <v/>
      </c>
      <c r="P167" s="628" t="str">
        <f>IFERROR(__xludf.DUMMYFUNCTION("IF($G167="""","""",IFERROR(query({proventos!$B$5:$Q310},""Select sum(Col16) where Col1 = '""&amp;$G167&amp;""' and Col2 &gt; date '""&amp;TEXT(Q$8,""yyyy-mm-dd"")&amp;""' and Col2 &lt;= date '""&amp;TEXT(P$8,""yyyy-mm-dd"")&amp;""' label sum(Col16) ''"",0)))"),"")</f>
        <v/>
      </c>
      <c r="Q167" s="628" t="str">
        <f>IFERROR(__xludf.DUMMYFUNCTION("IF($G167="""","""",IFERROR(query({proventos!$B$5:$Q310},""Select sum(Col16) where Col1 = '""&amp;$G167&amp;""' and Col2 &gt; date '""&amp;TEXT(R$8,""yyyy-mm-dd"")&amp;""' and Col2 &lt;= date '""&amp;TEXT(Q$8,""yyyy-mm-dd"")&amp;""' label sum(Col16) ''"",0)))"),"")</f>
        <v/>
      </c>
      <c r="R167" s="628" t="str">
        <f>IFERROR(__xludf.DUMMYFUNCTION("IF($G167="""","""",IFERROR(query({proventos!$B$5:$Q310},""Select sum(Col16) where Col1 = '""&amp;$G167&amp;""' and Col2 &gt; date '""&amp;TEXT(S$8,""yyyy-mm-dd"")&amp;""' and Col2 &lt;= date '""&amp;TEXT(R$8,""yyyy-mm-dd"")&amp;""' label sum(Col16) ''"",0)))"),"")</f>
        <v/>
      </c>
      <c r="S167" s="628" t="str">
        <f>IFERROR(__xludf.DUMMYFUNCTION("IF($G167="""","""",IFERROR(query({proventos!$B$5:$Q310},""Select sum(Col16) where Col1 = '""&amp;$G167&amp;""' and Col2 &gt; date '""&amp;TEXT(T$8,""yyyy-mm-dd"")&amp;""' and Col2 &lt;= date '""&amp;TEXT(S$8,""yyyy-mm-dd"")&amp;""' label sum(Col16) ''"",0)))"),"")</f>
        <v/>
      </c>
      <c r="T167" s="628" t="str">
        <f>IFERROR(__xludf.DUMMYFUNCTION("IF($G167="""","""",IFERROR(query({proventos!$B$5:$Q310},""Select sum(Col16) where Col1 = '""&amp;$G167&amp;""' and Col2 &gt; date '""&amp;TEXT(U$8,""yyyy-mm-dd"")&amp;""' and Col2 &lt;= date '""&amp;TEXT(T$8,""yyyy-mm-dd"")&amp;""' label sum(Col16) ''"",0)))"),"")</f>
        <v/>
      </c>
      <c r="U167" s="629" t="str">
        <f>IFERROR(__xludf.DUMMYFUNCTION("IF($G167="""","""",IFERROR(query({proventos!$B$5:$Q310},""Select sum(Col16) where Col1 = '""&amp;$G167&amp;""' and Col2 &gt; date '""&amp;TEXT(EOMONTH(TODAY(),-13),""yyyy-mm-dd"")&amp;""' and Col2 &lt;= date '""&amp;TEXT(U$8,""yyyy-mm-dd"")&amp;""' label sum(Col16) ''"",0)))"),"")</f>
        <v/>
      </c>
      <c r="V167" s="630" t="str">
        <f>IFERROR(__xludf.DUMMYFUNCTION("IF($G167="""","""",IFERROR(query({proventos!$B$5:$Q310},""Select sum(Col16) where Col1 = '""&amp;$G167&amp;""' and Col2 &gt; date '""&amp;TEXT(DATE(V$8,1,1),""yyyy-mm-dd"")&amp;""' and Col2 &lt;= date '""&amp;TEXT(DATE(V$8,12,31),""yyyy-mm-dd"")&amp;""' label sum(Col16) ''"",0)))"),"")</f>
        <v/>
      </c>
      <c r="W167" s="630" t="str">
        <f>IFERROR(__xludf.DUMMYFUNCTION("IF($G167="""","""",IFERROR(query({proventos!$B$5:$Q310},""Select sum(Col16) where Col1 = '""&amp;$G167&amp;""' and Col2 &gt; date '""&amp;TEXT(DATE(W$8,1,1),""yyyy-mm-dd"")&amp;""' and Col2 &lt;= date '""&amp;TEXT(DATE(W$8,12,31),""yyyy-mm-dd"")&amp;""' label sum(Col16) ''"",0)))"),"")</f>
        <v/>
      </c>
      <c r="X167" s="630" t="str">
        <f>IFERROR(__xludf.DUMMYFUNCTION("IF($G167="""","""",IFERROR(query({proventos!$B$5:$Q310},""Select sum(Col16) where Col1 = '""&amp;$G167&amp;""' and Col2 &gt; date '""&amp;TEXT(DATE(X$8,1,1),""yyyy-mm-dd"")&amp;""' and Col2 &lt;= date '""&amp;TEXT(DATE(X$8,12,31),""yyyy-mm-dd"")&amp;""' label sum(Col16) ''"",0)))"),"")</f>
        <v/>
      </c>
      <c r="Y167" s="630" t="str">
        <f>IFERROR(__xludf.DUMMYFUNCTION("IF($G167="""","""",IFERROR(query({proventos!$B$5:$Q310},""Select sum(Col16) where Col1 = '""&amp;$G167&amp;""' and Col2 &gt; date '""&amp;TEXT(DATE(Y$8,1,1),""yyyy-mm-dd"")&amp;""' and Col2 &lt;= date '""&amp;TEXT(DATE(Y$8,12,31),""yyyy-mm-dd"")&amp;""' label sum(Col16) ''"",0)))"),"")</f>
        <v/>
      </c>
      <c r="Z167" s="630" t="str">
        <f>IFERROR(__xludf.DUMMYFUNCTION("IF($G167="""","""",IFERROR(query({proventos!$B$5:$Q310},""Select sum(Col16) where Col1 = '""&amp;$G167&amp;""' and Col2 &gt; date '""&amp;TEXT(DATE(Z$8,1,1),""yyyy-mm-dd"")&amp;""' and Col2 &lt;= date '""&amp;TEXT(DATE(Z$8,12,31),""yyyy-mm-dd"")&amp;""' label sum(Col16) ''"",0)))"),"")</f>
        <v/>
      </c>
      <c r="AA167" s="587"/>
      <c r="AB167" s="578" t="s">
        <v>123</v>
      </c>
      <c r="AC167" s="601"/>
      <c r="AD167" s="636"/>
      <c r="AE167" s="636"/>
    </row>
    <row r="168">
      <c r="A168" s="576"/>
      <c r="B168" s="620"/>
      <c r="C168" s="637"/>
      <c r="D168" s="633"/>
      <c r="E168" s="633"/>
      <c r="F168" s="624">
        <v>158.0</v>
      </c>
      <c r="G168" s="635"/>
      <c r="H168" s="626" t="str">
        <f>if(G168="","",IFERROR(VLOOKUP(G168,AtivosDados,MATCH("provento_avg",portfolio.!$A$3:AE$3,0),FALSE),""))</f>
        <v/>
      </c>
      <c r="I168" s="627" t="s">
        <v>123</v>
      </c>
      <c r="J168" s="628" t="str">
        <f>IFERROR(__xludf.DUMMYFUNCTION("IF($G168="""","""",IFERROR(query({proventos!$B$5:$Q310},""Select sum(Col16) where Col1 = '""&amp;$G168&amp;""' and Col2 &gt; date '""&amp;TEXT(K$8,""yyyy-mm-dd"")&amp;""' and Col2 &lt;= date '""&amp;TEXT(J$8,""yyyy-mm-dd"")&amp;""' label sum(Col16) ''"",0)))"),"")</f>
        <v/>
      </c>
      <c r="K168" s="628" t="str">
        <f>IFERROR(__xludf.DUMMYFUNCTION("IF($G168="""","""",IFERROR(query({proventos!$B$5:$Q310},""Select sum(Col16) where Col1 = '""&amp;$G168&amp;""' and Col2 &gt; date '""&amp;TEXT(L$8,""yyyy-mm-dd"")&amp;""' and Col2 &lt;= date '""&amp;TEXT(K$8,""yyyy-mm-dd"")&amp;""' label sum(Col16) ''"",0)))"),"")</f>
        <v/>
      </c>
      <c r="L168" s="628" t="str">
        <f>IFERROR(__xludf.DUMMYFUNCTION("IF($G168="""","""",IFERROR(query({proventos!$B$5:$Q310},""Select sum(Col16) where Col1 = '""&amp;$G168&amp;""' and Col2 &gt; date '""&amp;TEXT(M$8,""yyyy-mm-dd"")&amp;""' and Col2 &lt;= date '""&amp;TEXT(L$8,""yyyy-mm-dd"")&amp;""' label sum(Col16) ''"",0)))"),"")</f>
        <v/>
      </c>
      <c r="M168" s="628" t="str">
        <f>IFERROR(__xludf.DUMMYFUNCTION("IF($G168="""","""",IFERROR(query({proventos!$B$5:$Q310},""Select sum(Col16) where Col1 = '""&amp;$G168&amp;""' and Col2 &gt; date '""&amp;TEXT(N$8,""yyyy-mm-dd"")&amp;""' and Col2 &lt;= date '""&amp;TEXT(M$8,""yyyy-mm-dd"")&amp;""' label sum(Col16) ''"",0)))"),"")</f>
        <v/>
      </c>
      <c r="N168" s="628" t="str">
        <f>IFERROR(__xludf.DUMMYFUNCTION("IF($G168="""","""",IFERROR(query({proventos!$B$5:$Q310},""Select sum(Col16) where Col1 = '""&amp;$G168&amp;""' and Col2 &gt; date '""&amp;TEXT(O$8,""yyyy-mm-dd"")&amp;""' and Col2 &lt;= date '""&amp;TEXT(N$8,""yyyy-mm-dd"")&amp;""' label sum(Col16) ''"",0)))"),"")</f>
        <v/>
      </c>
      <c r="O168" s="628" t="str">
        <f>IFERROR(__xludf.DUMMYFUNCTION("IF($G168="""","""",IFERROR(query({proventos!$B$5:$Q310},""Select sum(Col16) where Col1 = '""&amp;$G168&amp;""' and Col2 &gt; date '""&amp;TEXT(P$8,""yyyy-mm-dd"")&amp;""' and Col2 &lt;= date '""&amp;TEXT(O$8,""yyyy-mm-dd"")&amp;""' label sum(Col16) ''"",0)))"),"")</f>
        <v/>
      </c>
      <c r="P168" s="628" t="str">
        <f>IFERROR(__xludf.DUMMYFUNCTION("IF($G168="""","""",IFERROR(query({proventos!$B$5:$Q310},""Select sum(Col16) where Col1 = '""&amp;$G168&amp;""' and Col2 &gt; date '""&amp;TEXT(Q$8,""yyyy-mm-dd"")&amp;""' and Col2 &lt;= date '""&amp;TEXT(P$8,""yyyy-mm-dd"")&amp;""' label sum(Col16) ''"",0)))"),"")</f>
        <v/>
      </c>
      <c r="Q168" s="628" t="str">
        <f>IFERROR(__xludf.DUMMYFUNCTION("IF($G168="""","""",IFERROR(query({proventos!$B$5:$Q310},""Select sum(Col16) where Col1 = '""&amp;$G168&amp;""' and Col2 &gt; date '""&amp;TEXT(R$8,""yyyy-mm-dd"")&amp;""' and Col2 &lt;= date '""&amp;TEXT(Q$8,""yyyy-mm-dd"")&amp;""' label sum(Col16) ''"",0)))"),"")</f>
        <v/>
      </c>
      <c r="R168" s="628" t="str">
        <f>IFERROR(__xludf.DUMMYFUNCTION("IF($G168="""","""",IFERROR(query({proventos!$B$5:$Q310},""Select sum(Col16) where Col1 = '""&amp;$G168&amp;""' and Col2 &gt; date '""&amp;TEXT(S$8,""yyyy-mm-dd"")&amp;""' and Col2 &lt;= date '""&amp;TEXT(R$8,""yyyy-mm-dd"")&amp;""' label sum(Col16) ''"",0)))"),"")</f>
        <v/>
      </c>
      <c r="S168" s="628" t="str">
        <f>IFERROR(__xludf.DUMMYFUNCTION("IF($G168="""","""",IFERROR(query({proventos!$B$5:$Q310},""Select sum(Col16) where Col1 = '""&amp;$G168&amp;""' and Col2 &gt; date '""&amp;TEXT(T$8,""yyyy-mm-dd"")&amp;""' and Col2 &lt;= date '""&amp;TEXT(S$8,""yyyy-mm-dd"")&amp;""' label sum(Col16) ''"",0)))"),"")</f>
        <v/>
      </c>
      <c r="T168" s="628" t="str">
        <f>IFERROR(__xludf.DUMMYFUNCTION("IF($G168="""","""",IFERROR(query({proventos!$B$5:$Q310},""Select sum(Col16) where Col1 = '""&amp;$G168&amp;""' and Col2 &gt; date '""&amp;TEXT(U$8,""yyyy-mm-dd"")&amp;""' and Col2 &lt;= date '""&amp;TEXT(T$8,""yyyy-mm-dd"")&amp;""' label sum(Col16) ''"",0)))"),"")</f>
        <v/>
      </c>
      <c r="U168" s="629" t="str">
        <f>IFERROR(__xludf.DUMMYFUNCTION("IF($G168="""","""",IFERROR(query({proventos!$B$5:$Q310},""Select sum(Col16) where Col1 = '""&amp;$G168&amp;""' and Col2 &gt; date '""&amp;TEXT(EOMONTH(TODAY(),-13),""yyyy-mm-dd"")&amp;""' and Col2 &lt;= date '""&amp;TEXT(U$8,""yyyy-mm-dd"")&amp;""' label sum(Col16) ''"",0)))"),"")</f>
        <v/>
      </c>
      <c r="V168" s="630" t="str">
        <f>IFERROR(__xludf.DUMMYFUNCTION("IF($G168="""","""",IFERROR(query({proventos!$B$5:$Q310},""Select sum(Col16) where Col1 = '""&amp;$G168&amp;""' and Col2 &gt; date '""&amp;TEXT(DATE(V$8,1,1),""yyyy-mm-dd"")&amp;""' and Col2 &lt;= date '""&amp;TEXT(DATE(V$8,12,31),""yyyy-mm-dd"")&amp;""' label sum(Col16) ''"",0)))"),"")</f>
        <v/>
      </c>
      <c r="W168" s="630" t="str">
        <f>IFERROR(__xludf.DUMMYFUNCTION("IF($G168="""","""",IFERROR(query({proventos!$B$5:$Q310},""Select sum(Col16) where Col1 = '""&amp;$G168&amp;""' and Col2 &gt; date '""&amp;TEXT(DATE(W$8,1,1),""yyyy-mm-dd"")&amp;""' and Col2 &lt;= date '""&amp;TEXT(DATE(W$8,12,31),""yyyy-mm-dd"")&amp;""' label sum(Col16) ''"",0)))"),"")</f>
        <v/>
      </c>
      <c r="X168" s="630" t="str">
        <f>IFERROR(__xludf.DUMMYFUNCTION("IF($G168="""","""",IFERROR(query({proventos!$B$5:$Q310},""Select sum(Col16) where Col1 = '""&amp;$G168&amp;""' and Col2 &gt; date '""&amp;TEXT(DATE(X$8,1,1),""yyyy-mm-dd"")&amp;""' and Col2 &lt;= date '""&amp;TEXT(DATE(X$8,12,31),""yyyy-mm-dd"")&amp;""' label sum(Col16) ''"",0)))"),"")</f>
        <v/>
      </c>
      <c r="Y168" s="630" t="str">
        <f>IFERROR(__xludf.DUMMYFUNCTION("IF($G168="""","""",IFERROR(query({proventos!$B$5:$Q310},""Select sum(Col16) where Col1 = '""&amp;$G168&amp;""' and Col2 &gt; date '""&amp;TEXT(DATE(Y$8,1,1),""yyyy-mm-dd"")&amp;""' and Col2 &lt;= date '""&amp;TEXT(DATE(Y$8,12,31),""yyyy-mm-dd"")&amp;""' label sum(Col16) ''"",0)))"),"")</f>
        <v/>
      </c>
      <c r="Z168" s="630" t="str">
        <f>IFERROR(__xludf.DUMMYFUNCTION("IF($G168="""","""",IFERROR(query({proventos!$B$5:$Q310},""Select sum(Col16) where Col1 = '""&amp;$G168&amp;""' and Col2 &gt; date '""&amp;TEXT(DATE(Z$8,1,1),""yyyy-mm-dd"")&amp;""' and Col2 &lt;= date '""&amp;TEXT(DATE(Z$8,12,31),""yyyy-mm-dd"")&amp;""' label sum(Col16) ''"",0)))"),"")</f>
        <v/>
      </c>
      <c r="AA168" s="587"/>
      <c r="AB168" s="578" t="s">
        <v>123</v>
      </c>
      <c r="AC168" s="601"/>
      <c r="AD168" s="636"/>
      <c r="AE168" s="636"/>
    </row>
    <row r="169">
      <c r="A169" s="576"/>
      <c r="B169" s="620"/>
      <c r="C169" s="637"/>
      <c r="D169" s="633"/>
      <c r="E169" s="633"/>
      <c r="F169" s="624">
        <v>159.0</v>
      </c>
      <c r="G169" s="635"/>
      <c r="H169" s="626" t="str">
        <f>if(G169="","",IFERROR(VLOOKUP(G169,AtivosDados,MATCH("provento_avg",portfolio.!$A$3:AE$3,0),FALSE),""))</f>
        <v/>
      </c>
      <c r="I169" s="627" t="s">
        <v>123</v>
      </c>
      <c r="J169" s="628" t="str">
        <f>IFERROR(__xludf.DUMMYFUNCTION("IF($G169="""","""",IFERROR(query({proventos!$B$5:$Q310},""Select sum(Col16) where Col1 = '""&amp;$G169&amp;""' and Col2 &gt; date '""&amp;TEXT(K$8,""yyyy-mm-dd"")&amp;""' and Col2 &lt;= date '""&amp;TEXT(J$8,""yyyy-mm-dd"")&amp;""' label sum(Col16) ''"",0)))"),"")</f>
        <v/>
      </c>
      <c r="K169" s="628" t="str">
        <f>IFERROR(__xludf.DUMMYFUNCTION("IF($G169="""","""",IFERROR(query({proventos!$B$5:$Q310},""Select sum(Col16) where Col1 = '""&amp;$G169&amp;""' and Col2 &gt; date '""&amp;TEXT(L$8,""yyyy-mm-dd"")&amp;""' and Col2 &lt;= date '""&amp;TEXT(K$8,""yyyy-mm-dd"")&amp;""' label sum(Col16) ''"",0)))"),"")</f>
        <v/>
      </c>
      <c r="L169" s="628" t="str">
        <f>IFERROR(__xludf.DUMMYFUNCTION("IF($G169="""","""",IFERROR(query({proventos!$B$5:$Q310},""Select sum(Col16) where Col1 = '""&amp;$G169&amp;""' and Col2 &gt; date '""&amp;TEXT(M$8,""yyyy-mm-dd"")&amp;""' and Col2 &lt;= date '""&amp;TEXT(L$8,""yyyy-mm-dd"")&amp;""' label sum(Col16) ''"",0)))"),"")</f>
        <v/>
      </c>
      <c r="M169" s="628" t="str">
        <f>IFERROR(__xludf.DUMMYFUNCTION("IF($G169="""","""",IFERROR(query({proventos!$B$5:$Q310},""Select sum(Col16) where Col1 = '""&amp;$G169&amp;""' and Col2 &gt; date '""&amp;TEXT(N$8,""yyyy-mm-dd"")&amp;""' and Col2 &lt;= date '""&amp;TEXT(M$8,""yyyy-mm-dd"")&amp;""' label sum(Col16) ''"",0)))"),"")</f>
        <v/>
      </c>
      <c r="N169" s="628" t="str">
        <f>IFERROR(__xludf.DUMMYFUNCTION("IF($G169="""","""",IFERROR(query({proventos!$B$5:$Q310},""Select sum(Col16) where Col1 = '""&amp;$G169&amp;""' and Col2 &gt; date '""&amp;TEXT(O$8,""yyyy-mm-dd"")&amp;""' and Col2 &lt;= date '""&amp;TEXT(N$8,""yyyy-mm-dd"")&amp;""' label sum(Col16) ''"",0)))"),"")</f>
        <v/>
      </c>
      <c r="O169" s="628" t="str">
        <f>IFERROR(__xludf.DUMMYFUNCTION("IF($G169="""","""",IFERROR(query({proventos!$B$5:$Q310},""Select sum(Col16) where Col1 = '""&amp;$G169&amp;""' and Col2 &gt; date '""&amp;TEXT(P$8,""yyyy-mm-dd"")&amp;""' and Col2 &lt;= date '""&amp;TEXT(O$8,""yyyy-mm-dd"")&amp;""' label sum(Col16) ''"",0)))"),"")</f>
        <v/>
      </c>
      <c r="P169" s="628" t="str">
        <f>IFERROR(__xludf.DUMMYFUNCTION("IF($G169="""","""",IFERROR(query({proventos!$B$5:$Q310},""Select sum(Col16) where Col1 = '""&amp;$G169&amp;""' and Col2 &gt; date '""&amp;TEXT(Q$8,""yyyy-mm-dd"")&amp;""' and Col2 &lt;= date '""&amp;TEXT(P$8,""yyyy-mm-dd"")&amp;""' label sum(Col16) ''"",0)))"),"")</f>
        <v/>
      </c>
      <c r="Q169" s="628" t="str">
        <f>IFERROR(__xludf.DUMMYFUNCTION("IF($G169="""","""",IFERROR(query({proventos!$B$5:$Q310},""Select sum(Col16) where Col1 = '""&amp;$G169&amp;""' and Col2 &gt; date '""&amp;TEXT(R$8,""yyyy-mm-dd"")&amp;""' and Col2 &lt;= date '""&amp;TEXT(Q$8,""yyyy-mm-dd"")&amp;""' label sum(Col16) ''"",0)))"),"")</f>
        <v/>
      </c>
      <c r="R169" s="628" t="str">
        <f>IFERROR(__xludf.DUMMYFUNCTION("IF($G169="""","""",IFERROR(query({proventos!$B$5:$Q310},""Select sum(Col16) where Col1 = '""&amp;$G169&amp;""' and Col2 &gt; date '""&amp;TEXT(S$8,""yyyy-mm-dd"")&amp;""' and Col2 &lt;= date '""&amp;TEXT(R$8,""yyyy-mm-dd"")&amp;""' label sum(Col16) ''"",0)))"),"")</f>
        <v/>
      </c>
      <c r="S169" s="628" t="str">
        <f>IFERROR(__xludf.DUMMYFUNCTION("IF($G169="""","""",IFERROR(query({proventos!$B$5:$Q310},""Select sum(Col16) where Col1 = '""&amp;$G169&amp;""' and Col2 &gt; date '""&amp;TEXT(T$8,""yyyy-mm-dd"")&amp;""' and Col2 &lt;= date '""&amp;TEXT(S$8,""yyyy-mm-dd"")&amp;""' label sum(Col16) ''"",0)))"),"")</f>
        <v/>
      </c>
      <c r="T169" s="628" t="str">
        <f>IFERROR(__xludf.DUMMYFUNCTION("IF($G169="""","""",IFERROR(query({proventos!$B$5:$Q310},""Select sum(Col16) where Col1 = '""&amp;$G169&amp;""' and Col2 &gt; date '""&amp;TEXT(U$8,""yyyy-mm-dd"")&amp;""' and Col2 &lt;= date '""&amp;TEXT(T$8,""yyyy-mm-dd"")&amp;""' label sum(Col16) ''"",0)))"),"")</f>
        <v/>
      </c>
      <c r="U169" s="629" t="str">
        <f>IFERROR(__xludf.DUMMYFUNCTION("IF($G169="""","""",IFERROR(query({proventos!$B$5:$Q310},""Select sum(Col16) where Col1 = '""&amp;$G169&amp;""' and Col2 &gt; date '""&amp;TEXT(EOMONTH(TODAY(),-13),""yyyy-mm-dd"")&amp;""' and Col2 &lt;= date '""&amp;TEXT(U$8,""yyyy-mm-dd"")&amp;""' label sum(Col16) ''"",0)))"),"")</f>
        <v/>
      </c>
      <c r="V169" s="630" t="str">
        <f>IFERROR(__xludf.DUMMYFUNCTION("IF($G169="""","""",IFERROR(query({proventos!$B$5:$Q310},""Select sum(Col16) where Col1 = '""&amp;$G169&amp;""' and Col2 &gt; date '""&amp;TEXT(DATE(V$8,1,1),""yyyy-mm-dd"")&amp;""' and Col2 &lt;= date '""&amp;TEXT(DATE(V$8,12,31),""yyyy-mm-dd"")&amp;""' label sum(Col16) ''"",0)))"),"")</f>
        <v/>
      </c>
      <c r="W169" s="630" t="str">
        <f>IFERROR(__xludf.DUMMYFUNCTION("IF($G169="""","""",IFERROR(query({proventos!$B$5:$Q310},""Select sum(Col16) where Col1 = '""&amp;$G169&amp;""' and Col2 &gt; date '""&amp;TEXT(DATE(W$8,1,1),""yyyy-mm-dd"")&amp;""' and Col2 &lt;= date '""&amp;TEXT(DATE(W$8,12,31),""yyyy-mm-dd"")&amp;""' label sum(Col16) ''"",0)))"),"")</f>
        <v/>
      </c>
      <c r="X169" s="630" t="str">
        <f>IFERROR(__xludf.DUMMYFUNCTION("IF($G169="""","""",IFERROR(query({proventos!$B$5:$Q310},""Select sum(Col16) where Col1 = '""&amp;$G169&amp;""' and Col2 &gt; date '""&amp;TEXT(DATE(X$8,1,1),""yyyy-mm-dd"")&amp;""' and Col2 &lt;= date '""&amp;TEXT(DATE(X$8,12,31),""yyyy-mm-dd"")&amp;""' label sum(Col16) ''"",0)))"),"")</f>
        <v/>
      </c>
      <c r="Y169" s="630" t="str">
        <f>IFERROR(__xludf.DUMMYFUNCTION("IF($G169="""","""",IFERROR(query({proventos!$B$5:$Q310},""Select sum(Col16) where Col1 = '""&amp;$G169&amp;""' and Col2 &gt; date '""&amp;TEXT(DATE(Y$8,1,1),""yyyy-mm-dd"")&amp;""' and Col2 &lt;= date '""&amp;TEXT(DATE(Y$8,12,31),""yyyy-mm-dd"")&amp;""' label sum(Col16) ''"",0)))"),"")</f>
        <v/>
      </c>
      <c r="Z169" s="630" t="str">
        <f>IFERROR(__xludf.DUMMYFUNCTION("IF($G169="""","""",IFERROR(query({proventos!$B$5:$Q310},""Select sum(Col16) where Col1 = '""&amp;$G169&amp;""' and Col2 &gt; date '""&amp;TEXT(DATE(Z$8,1,1),""yyyy-mm-dd"")&amp;""' and Col2 &lt;= date '""&amp;TEXT(DATE(Z$8,12,31),""yyyy-mm-dd"")&amp;""' label sum(Col16) ''"",0)))"),"")</f>
        <v/>
      </c>
      <c r="AA169" s="587"/>
      <c r="AB169" s="578" t="s">
        <v>123</v>
      </c>
      <c r="AC169" s="601"/>
      <c r="AD169" s="636"/>
      <c r="AE169" s="636"/>
    </row>
    <row r="170">
      <c r="A170" s="576"/>
      <c r="B170" s="620"/>
      <c r="C170" s="637"/>
      <c r="D170" s="633"/>
      <c r="E170" s="633"/>
      <c r="F170" s="624">
        <v>160.0</v>
      </c>
      <c r="G170" s="635"/>
      <c r="H170" s="626" t="str">
        <f>if(G170="","",IFERROR(VLOOKUP(G170,AtivosDados,MATCH("provento_avg",portfolio.!$A$3:AE$3,0),FALSE),""))</f>
        <v/>
      </c>
      <c r="I170" s="627" t="s">
        <v>123</v>
      </c>
      <c r="J170" s="628" t="str">
        <f>IFERROR(__xludf.DUMMYFUNCTION("IF($G170="""","""",IFERROR(query({proventos!$B$5:$Q310},""Select sum(Col16) where Col1 = '""&amp;$G170&amp;""' and Col2 &gt; date '""&amp;TEXT(K$8,""yyyy-mm-dd"")&amp;""' and Col2 &lt;= date '""&amp;TEXT(J$8,""yyyy-mm-dd"")&amp;""' label sum(Col16) ''"",0)))"),"")</f>
        <v/>
      </c>
      <c r="K170" s="628" t="str">
        <f>IFERROR(__xludf.DUMMYFUNCTION("IF($G170="""","""",IFERROR(query({proventos!$B$5:$Q310},""Select sum(Col16) where Col1 = '""&amp;$G170&amp;""' and Col2 &gt; date '""&amp;TEXT(L$8,""yyyy-mm-dd"")&amp;""' and Col2 &lt;= date '""&amp;TEXT(K$8,""yyyy-mm-dd"")&amp;""' label sum(Col16) ''"",0)))"),"")</f>
        <v/>
      </c>
      <c r="L170" s="628" t="str">
        <f>IFERROR(__xludf.DUMMYFUNCTION("IF($G170="""","""",IFERROR(query({proventos!$B$5:$Q310},""Select sum(Col16) where Col1 = '""&amp;$G170&amp;""' and Col2 &gt; date '""&amp;TEXT(M$8,""yyyy-mm-dd"")&amp;""' and Col2 &lt;= date '""&amp;TEXT(L$8,""yyyy-mm-dd"")&amp;""' label sum(Col16) ''"",0)))"),"")</f>
        <v/>
      </c>
      <c r="M170" s="628" t="str">
        <f>IFERROR(__xludf.DUMMYFUNCTION("IF($G170="""","""",IFERROR(query({proventos!$B$5:$Q310},""Select sum(Col16) where Col1 = '""&amp;$G170&amp;""' and Col2 &gt; date '""&amp;TEXT(N$8,""yyyy-mm-dd"")&amp;""' and Col2 &lt;= date '""&amp;TEXT(M$8,""yyyy-mm-dd"")&amp;""' label sum(Col16) ''"",0)))"),"")</f>
        <v/>
      </c>
      <c r="N170" s="628" t="str">
        <f>IFERROR(__xludf.DUMMYFUNCTION("IF($G170="""","""",IFERROR(query({proventos!$B$5:$Q310},""Select sum(Col16) where Col1 = '""&amp;$G170&amp;""' and Col2 &gt; date '""&amp;TEXT(O$8,""yyyy-mm-dd"")&amp;""' and Col2 &lt;= date '""&amp;TEXT(N$8,""yyyy-mm-dd"")&amp;""' label sum(Col16) ''"",0)))"),"")</f>
        <v/>
      </c>
      <c r="O170" s="628" t="str">
        <f>IFERROR(__xludf.DUMMYFUNCTION("IF($G170="""","""",IFERROR(query({proventos!$B$5:$Q310},""Select sum(Col16) where Col1 = '""&amp;$G170&amp;""' and Col2 &gt; date '""&amp;TEXT(P$8,""yyyy-mm-dd"")&amp;""' and Col2 &lt;= date '""&amp;TEXT(O$8,""yyyy-mm-dd"")&amp;""' label sum(Col16) ''"",0)))"),"")</f>
        <v/>
      </c>
      <c r="P170" s="628" t="str">
        <f>IFERROR(__xludf.DUMMYFUNCTION("IF($G170="""","""",IFERROR(query({proventos!$B$5:$Q310},""Select sum(Col16) where Col1 = '""&amp;$G170&amp;""' and Col2 &gt; date '""&amp;TEXT(Q$8,""yyyy-mm-dd"")&amp;""' and Col2 &lt;= date '""&amp;TEXT(P$8,""yyyy-mm-dd"")&amp;""' label sum(Col16) ''"",0)))"),"")</f>
        <v/>
      </c>
      <c r="Q170" s="628" t="str">
        <f>IFERROR(__xludf.DUMMYFUNCTION("IF($G170="""","""",IFERROR(query({proventos!$B$5:$Q310},""Select sum(Col16) where Col1 = '""&amp;$G170&amp;""' and Col2 &gt; date '""&amp;TEXT(R$8,""yyyy-mm-dd"")&amp;""' and Col2 &lt;= date '""&amp;TEXT(Q$8,""yyyy-mm-dd"")&amp;""' label sum(Col16) ''"",0)))"),"")</f>
        <v/>
      </c>
      <c r="R170" s="628" t="str">
        <f>IFERROR(__xludf.DUMMYFUNCTION("IF($G170="""","""",IFERROR(query({proventos!$B$5:$Q310},""Select sum(Col16) where Col1 = '""&amp;$G170&amp;""' and Col2 &gt; date '""&amp;TEXT(S$8,""yyyy-mm-dd"")&amp;""' and Col2 &lt;= date '""&amp;TEXT(R$8,""yyyy-mm-dd"")&amp;""' label sum(Col16) ''"",0)))"),"")</f>
        <v/>
      </c>
      <c r="S170" s="628" t="str">
        <f>IFERROR(__xludf.DUMMYFUNCTION("IF($G170="""","""",IFERROR(query({proventos!$B$5:$Q310},""Select sum(Col16) where Col1 = '""&amp;$G170&amp;""' and Col2 &gt; date '""&amp;TEXT(T$8,""yyyy-mm-dd"")&amp;""' and Col2 &lt;= date '""&amp;TEXT(S$8,""yyyy-mm-dd"")&amp;""' label sum(Col16) ''"",0)))"),"")</f>
        <v/>
      </c>
      <c r="T170" s="628" t="str">
        <f>IFERROR(__xludf.DUMMYFUNCTION("IF($G170="""","""",IFERROR(query({proventos!$B$5:$Q310},""Select sum(Col16) where Col1 = '""&amp;$G170&amp;""' and Col2 &gt; date '""&amp;TEXT(U$8,""yyyy-mm-dd"")&amp;""' and Col2 &lt;= date '""&amp;TEXT(T$8,""yyyy-mm-dd"")&amp;""' label sum(Col16) ''"",0)))"),"")</f>
        <v/>
      </c>
      <c r="U170" s="629" t="str">
        <f>IFERROR(__xludf.DUMMYFUNCTION("IF($G170="""","""",IFERROR(query({proventos!$B$5:$Q310},""Select sum(Col16) where Col1 = '""&amp;$G170&amp;""' and Col2 &gt; date '""&amp;TEXT(EOMONTH(TODAY(),-13),""yyyy-mm-dd"")&amp;""' and Col2 &lt;= date '""&amp;TEXT(U$8,""yyyy-mm-dd"")&amp;""' label sum(Col16) ''"",0)))"),"")</f>
        <v/>
      </c>
      <c r="V170" s="630" t="str">
        <f>IFERROR(__xludf.DUMMYFUNCTION("IF($G170="""","""",IFERROR(query({proventos!$B$5:$Q310},""Select sum(Col16) where Col1 = '""&amp;$G170&amp;""' and Col2 &gt; date '""&amp;TEXT(DATE(V$8,1,1),""yyyy-mm-dd"")&amp;""' and Col2 &lt;= date '""&amp;TEXT(DATE(V$8,12,31),""yyyy-mm-dd"")&amp;""' label sum(Col16) ''"",0)))"),"")</f>
        <v/>
      </c>
      <c r="W170" s="630" t="str">
        <f>IFERROR(__xludf.DUMMYFUNCTION("IF($G170="""","""",IFERROR(query({proventos!$B$5:$Q310},""Select sum(Col16) where Col1 = '""&amp;$G170&amp;""' and Col2 &gt; date '""&amp;TEXT(DATE(W$8,1,1),""yyyy-mm-dd"")&amp;""' and Col2 &lt;= date '""&amp;TEXT(DATE(W$8,12,31),""yyyy-mm-dd"")&amp;""' label sum(Col16) ''"",0)))"),"")</f>
        <v/>
      </c>
      <c r="X170" s="630" t="str">
        <f>IFERROR(__xludf.DUMMYFUNCTION("IF($G170="""","""",IFERROR(query({proventos!$B$5:$Q310},""Select sum(Col16) where Col1 = '""&amp;$G170&amp;""' and Col2 &gt; date '""&amp;TEXT(DATE(X$8,1,1),""yyyy-mm-dd"")&amp;""' and Col2 &lt;= date '""&amp;TEXT(DATE(X$8,12,31),""yyyy-mm-dd"")&amp;""' label sum(Col16) ''"",0)))"),"")</f>
        <v/>
      </c>
      <c r="Y170" s="630" t="str">
        <f>IFERROR(__xludf.DUMMYFUNCTION("IF($G170="""","""",IFERROR(query({proventos!$B$5:$Q310},""Select sum(Col16) where Col1 = '""&amp;$G170&amp;""' and Col2 &gt; date '""&amp;TEXT(DATE(Y$8,1,1),""yyyy-mm-dd"")&amp;""' and Col2 &lt;= date '""&amp;TEXT(DATE(Y$8,12,31),""yyyy-mm-dd"")&amp;""' label sum(Col16) ''"",0)))"),"")</f>
        <v/>
      </c>
      <c r="Z170" s="630" t="str">
        <f>IFERROR(__xludf.DUMMYFUNCTION("IF($G170="""","""",IFERROR(query({proventos!$B$5:$Q310},""Select sum(Col16) where Col1 = '""&amp;$G170&amp;""' and Col2 &gt; date '""&amp;TEXT(DATE(Z$8,1,1),""yyyy-mm-dd"")&amp;""' and Col2 &lt;= date '""&amp;TEXT(DATE(Z$8,12,31),""yyyy-mm-dd"")&amp;""' label sum(Col16) ''"",0)))"),"")</f>
        <v/>
      </c>
      <c r="AA170" s="587"/>
      <c r="AB170" s="578" t="s">
        <v>123</v>
      </c>
      <c r="AC170" s="601"/>
      <c r="AD170" s="636"/>
      <c r="AE170" s="636"/>
    </row>
    <row r="171">
      <c r="A171" s="576"/>
      <c r="B171" s="620"/>
      <c r="C171" s="637"/>
      <c r="D171" s="633"/>
      <c r="E171" s="633"/>
      <c r="F171" s="624">
        <v>161.0</v>
      </c>
      <c r="G171" s="635"/>
      <c r="H171" s="626" t="str">
        <f>if(G171="","",IFERROR(VLOOKUP(G171,AtivosDados,MATCH("provento_avg",portfolio.!$A$3:AE$3,0),FALSE),""))</f>
        <v/>
      </c>
      <c r="I171" s="627" t="s">
        <v>123</v>
      </c>
      <c r="J171" s="628" t="str">
        <f>IFERROR(__xludf.DUMMYFUNCTION("IF($G171="""","""",IFERROR(query({proventos!$B$5:$Q310},""Select sum(Col16) where Col1 = '""&amp;$G171&amp;""' and Col2 &gt; date '""&amp;TEXT(K$8,""yyyy-mm-dd"")&amp;""' and Col2 &lt;= date '""&amp;TEXT(J$8,""yyyy-mm-dd"")&amp;""' label sum(Col16) ''"",0)))"),"")</f>
        <v/>
      </c>
      <c r="K171" s="628" t="str">
        <f>IFERROR(__xludf.DUMMYFUNCTION("IF($G171="""","""",IFERROR(query({proventos!$B$5:$Q310},""Select sum(Col16) where Col1 = '""&amp;$G171&amp;""' and Col2 &gt; date '""&amp;TEXT(L$8,""yyyy-mm-dd"")&amp;""' and Col2 &lt;= date '""&amp;TEXT(K$8,""yyyy-mm-dd"")&amp;""' label sum(Col16) ''"",0)))"),"")</f>
        <v/>
      </c>
      <c r="L171" s="628" t="str">
        <f>IFERROR(__xludf.DUMMYFUNCTION("IF($G171="""","""",IFERROR(query({proventos!$B$5:$Q310},""Select sum(Col16) where Col1 = '""&amp;$G171&amp;""' and Col2 &gt; date '""&amp;TEXT(M$8,""yyyy-mm-dd"")&amp;""' and Col2 &lt;= date '""&amp;TEXT(L$8,""yyyy-mm-dd"")&amp;""' label sum(Col16) ''"",0)))"),"")</f>
        <v/>
      </c>
      <c r="M171" s="628" t="str">
        <f>IFERROR(__xludf.DUMMYFUNCTION("IF($G171="""","""",IFERROR(query({proventos!$B$5:$Q310},""Select sum(Col16) where Col1 = '""&amp;$G171&amp;""' and Col2 &gt; date '""&amp;TEXT(N$8,""yyyy-mm-dd"")&amp;""' and Col2 &lt;= date '""&amp;TEXT(M$8,""yyyy-mm-dd"")&amp;""' label sum(Col16) ''"",0)))"),"")</f>
        <v/>
      </c>
      <c r="N171" s="628" t="str">
        <f>IFERROR(__xludf.DUMMYFUNCTION("IF($G171="""","""",IFERROR(query({proventos!$B$5:$Q310},""Select sum(Col16) where Col1 = '""&amp;$G171&amp;""' and Col2 &gt; date '""&amp;TEXT(O$8,""yyyy-mm-dd"")&amp;""' and Col2 &lt;= date '""&amp;TEXT(N$8,""yyyy-mm-dd"")&amp;""' label sum(Col16) ''"",0)))"),"")</f>
        <v/>
      </c>
      <c r="O171" s="628" t="str">
        <f>IFERROR(__xludf.DUMMYFUNCTION("IF($G171="""","""",IFERROR(query({proventos!$B$5:$Q310},""Select sum(Col16) where Col1 = '""&amp;$G171&amp;""' and Col2 &gt; date '""&amp;TEXT(P$8,""yyyy-mm-dd"")&amp;""' and Col2 &lt;= date '""&amp;TEXT(O$8,""yyyy-mm-dd"")&amp;""' label sum(Col16) ''"",0)))"),"")</f>
        <v/>
      </c>
      <c r="P171" s="628" t="str">
        <f>IFERROR(__xludf.DUMMYFUNCTION("IF($G171="""","""",IFERROR(query({proventos!$B$5:$Q310},""Select sum(Col16) where Col1 = '""&amp;$G171&amp;""' and Col2 &gt; date '""&amp;TEXT(Q$8,""yyyy-mm-dd"")&amp;""' and Col2 &lt;= date '""&amp;TEXT(P$8,""yyyy-mm-dd"")&amp;""' label sum(Col16) ''"",0)))"),"")</f>
        <v/>
      </c>
      <c r="Q171" s="628" t="str">
        <f>IFERROR(__xludf.DUMMYFUNCTION("IF($G171="""","""",IFERROR(query({proventos!$B$5:$Q310},""Select sum(Col16) where Col1 = '""&amp;$G171&amp;""' and Col2 &gt; date '""&amp;TEXT(R$8,""yyyy-mm-dd"")&amp;""' and Col2 &lt;= date '""&amp;TEXT(Q$8,""yyyy-mm-dd"")&amp;""' label sum(Col16) ''"",0)))"),"")</f>
        <v/>
      </c>
      <c r="R171" s="628" t="str">
        <f>IFERROR(__xludf.DUMMYFUNCTION("IF($G171="""","""",IFERROR(query({proventos!$B$5:$Q310},""Select sum(Col16) where Col1 = '""&amp;$G171&amp;""' and Col2 &gt; date '""&amp;TEXT(S$8,""yyyy-mm-dd"")&amp;""' and Col2 &lt;= date '""&amp;TEXT(R$8,""yyyy-mm-dd"")&amp;""' label sum(Col16) ''"",0)))"),"")</f>
        <v/>
      </c>
      <c r="S171" s="628" t="str">
        <f>IFERROR(__xludf.DUMMYFUNCTION("IF($G171="""","""",IFERROR(query({proventos!$B$5:$Q310},""Select sum(Col16) where Col1 = '""&amp;$G171&amp;""' and Col2 &gt; date '""&amp;TEXT(T$8,""yyyy-mm-dd"")&amp;""' and Col2 &lt;= date '""&amp;TEXT(S$8,""yyyy-mm-dd"")&amp;""' label sum(Col16) ''"",0)))"),"")</f>
        <v/>
      </c>
      <c r="T171" s="628" t="str">
        <f>IFERROR(__xludf.DUMMYFUNCTION("IF($G171="""","""",IFERROR(query({proventos!$B$5:$Q310},""Select sum(Col16) where Col1 = '""&amp;$G171&amp;""' and Col2 &gt; date '""&amp;TEXT(U$8,""yyyy-mm-dd"")&amp;""' and Col2 &lt;= date '""&amp;TEXT(T$8,""yyyy-mm-dd"")&amp;""' label sum(Col16) ''"",0)))"),"")</f>
        <v/>
      </c>
      <c r="U171" s="629" t="str">
        <f>IFERROR(__xludf.DUMMYFUNCTION("IF($G171="""","""",IFERROR(query({proventos!$B$5:$Q310},""Select sum(Col16) where Col1 = '""&amp;$G171&amp;""' and Col2 &gt; date '""&amp;TEXT(EOMONTH(TODAY(),-13),""yyyy-mm-dd"")&amp;""' and Col2 &lt;= date '""&amp;TEXT(U$8,""yyyy-mm-dd"")&amp;""' label sum(Col16) ''"",0)))"),"")</f>
        <v/>
      </c>
      <c r="V171" s="630" t="str">
        <f>IFERROR(__xludf.DUMMYFUNCTION("IF($G171="""","""",IFERROR(query({proventos!$B$5:$Q310},""Select sum(Col16) where Col1 = '""&amp;$G171&amp;""' and Col2 &gt; date '""&amp;TEXT(DATE(V$8,1,1),""yyyy-mm-dd"")&amp;""' and Col2 &lt;= date '""&amp;TEXT(DATE(V$8,12,31),""yyyy-mm-dd"")&amp;""' label sum(Col16) ''"",0)))"),"")</f>
        <v/>
      </c>
      <c r="W171" s="630" t="str">
        <f>IFERROR(__xludf.DUMMYFUNCTION("IF($G171="""","""",IFERROR(query({proventos!$B$5:$Q310},""Select sum(Col16) where Col1 = '""&amp;$G171&amp;""' and Col2 &gt; date '""&amp;TEXT(DATE(W$8,1,1),""yyyy-mm-dd"")&amp;""' and Col2 &lt;= date '""&amp;TEXT(DATE(W$8,12,31),""yyyy-mm-dd"")&amp;""' label sum(Col16) ''"",0)))"),"")</f>
        <v/>
      </c>
      <c r="X171" s="630" t="str">
        <f>IFERROR(__xludf.DUMMYFUNCTION("IF($G171="""","""",IFERROR(query({proventos!$B$5:$Q310},""Select sum(Col16) where Col1 = '""&amp;$G171&amp;""' and Col2 &gt; date '""&amp;TEXT(DATE(X$8,1,1),""yyyy-mm-dd"")&amp;""' and Col2 &lt;= date '""&amp;TEXT(DATE(X$8,12,31),""yyyy-mm-dd"")&amp;""' label sum(Col16) ''"",0)))"),"")</f>
        <v/>
      </c>
      <c r="Y171" s="630" t="str">
        <f>IFERROR(__xludf.DUMMYFUNCTION("IF($G171="""","""",IFERROR(query({proventos!$B$5:$Q310},""Select sum(Col16) where Col1 = '""&amp;$G171&amp;""' and Col2 &gt; date '""&amp;TEXT(DATE(Y$8,1,1),""yyyy-mm-dd"")&amp;""' and Col2 &lt;= date '""&amp;TEXT(DATE(Y$8,12,31),""yyyy-mm-dd"")&amp;""' label sum(Col16) ''"",0)))"),"")</f>
        <v/>
      </c>
      <c r="Z171" s="630" t="str">
        <f>IFERROR(__xludf.DUMMYFUNCTION("IF($G171="""","""",IFERROR(query({proventos!$B$5:$Q310},""Select sum(Col16) where Col1 = '""&amp;$G171&amp;""' and Col2 &gt; date '""&amp;TEXT(DATE(Z$8,1,1),""yyyy-mm-dd"")&amp;""' and Col2 &lt;= date '""&amp;TEXT(DATE(Z$8,12,31),""yyyy-mm-dd"")&amp;""' label sum(Col16) ''"",0)))"),"")</f>
        <v/>
      </c>
      <c r="AA171" s="587"/>
      <c r="AB171" s="578" t="s">
        <v>123</v>
      </c>
      <c r="AC171" s="601"/>
      <c r="AD171" s="636"/>
      <c r="AE171" s="636"/>
    </row>
    <row r="172">
      <c r="A172" s="576"/>
      <c r="B172" s="620"/>
      <c r="C172" s="637"/>
      <c r="D172" s="633"/>
      <c r="E172" s="633"/>
      <c r="F172" s="624">
        <v>162.0</v>
      </c>
      <c r="G172" s="635"/>
      <c r="H172" s="626" t="str">
        <f>if(G172="","",IFERROR(VLOOKUP(G172,AtivosDados,MATCH("provento_avg",portfolio.!$A$3:AE$3,0),FALSE),""))</f>
        <v/>
      </c>
      <c r="I172" s="627" t="s">
        <v>123</v>
      </c>
      <c r="J172" s="628" t="str">
        <f>IFERROR(__xludf.DUMMYFUNCTION("IF($G172="""","""",IFERROR(query({proventos!$B$5:$Q310},""Select sum(Col16) where Col1 = '""&amp;$G172&amp;""' and Col2 &gt; date '""&amp;TEXT(K$8,""yyyy-mm-dd"")&amp;""' and Col2 &lt;= date '""&amp;TEXT(J$8,""yyyy-mm-dd"")&amp;""' label sum(Col16) ''"",0)))"),"")</f>
        <v/>
      </c>
      <c r="K172" s="628" t="str">
        <f>IFERROR(__xludf.DUMMYFUNCTION("IF($G172="""","""",IFERROR(query({proventos!$B$5:$Q310},""Select sum(Col16) where Col1 = '""&amp;$G172&amp;""' and Col2 &gt; date '""&amp;TEXT(L$8,""yyyy-mm-dd"")&amp;""' and Col2 &lt;= date '""&amp;TEXT(K$8,""yyyy-mm-dd"")&amp;""' label sum(Col16) ''"",0)))"),"")</f>
        <v/>
      </c>
      <c r="L172" s="628" t="str">
        <f>IFERROR(__xludf.DUMMYFUNCTION("IF($G172="""","""",IFERROR(query({proventos!$B$5:$Q310},""Select sum(Col16) where Col1 = '""&amp;$G172&amp;""' and Col2 &gt; date '""&amp;TEXT(M$8,""yyyy-mm-dd"")&amp;""' and Col2 &lt;= date '""&amp;TEXT(L$8,""yyyy-mm-dd"")&amp;""' label sum(Col16) ''"",0)))"),"")</f>
        <v/>
      </c>
      <c r="M172" s="628" t="str">
        <f>IFERROR(__xludf.DUMMYFUNCTION("IF($G172="""","""",IFERROR(query({proventos!$B$5:$Q310},""Select sum(Col16) where Col1 = '""&amp;$G172&amp;""' and Col2 &gt; date '""&amp;TEXT(N$8,""yyyy-mm-dd"")&amp;""' and Col2 &lt;= date '""&amp;TEXT(M$8,""yyyy-mm-dd"")&amp;""' label sum(Col16) ''"",0)))"),"")</f>
        <v/>
      </c>
      <c r="N172" s="628" t="str">
        <f>IFERROR(__xludf.DUMMYFUNCTION("IF($G172="""","""",IFERROR(query({proventos!$B$5:$Q310},""Select sum(Col16) where Col1 = '""&amp;$G172&amp;""' and Col2 &gt; date '""&amp;TEXT(O$8,""yyyy-mm-dd"")&amp;""' and Col2 &lt;= date '""&amp;TEXT(N$8,""yyyy-mm-dd"")&amp;""' label sum(Col16) ''"",0)))"),"")</f>
        <v/>
      </c>
      <c r="O172" s="628" t="str">
        <f>IFERROR(__xludf.DUMMYFUNCTION("IF($G172="""","""",IFERROR(query({proventos!$B$5:$Q310},""Select sum(Col16) where Col1 = '""&amp;$G172&amp;""' and Col2 &gt; date '""&amp;TEXT(P$8,""yyyy-mm-dd"")&amp;""' and Col2 &lt;= date '""&amp;TEXT(O$8,""yyyy-mm-dd"")&amp;""' label sum(Col16) ''"",0)))"),"")</f>
        <v/>
      </c>
      <c r="P172" s="628" t="str">
        <f>IFERROR(__xludf.DUMMYFUNCTION("IF($G172="""","""",IFERROR(query({proventos!$B$5:$Q310},""Select sum(Col16) where Col1 = '""&amp;$G172&amp;""' and Col2 &gt; date '""&amp;TEXT(Q$8,""yyyy-mm-dd"")&amp;""' and Col2 &lt;= date '""&amp;TEXT(P$8,""yyyy-mm-dd"")&amp;""' label sum(Col16) ''"",0)))"),"")</f>
        <v/>
      </c>
      <c r="Q172" s="628" t="str">
        <f>IFERROR(__xludf.DUMMYFUNCTION("IF($G172="""","""",IFERROR(query({proventos!$B$5:$Q310},""Select sum(Col16) where Col1 = '""&amp;$G172&amp;""' and Col2 &gt; date '""&amp;TEXT(R$8,""yyyy-mm-dd"")&amp;""' and Col2 &lt;= date '""&amp;TEXT(Q$8,""yyyy-mm-dd"")&amp;""' label sum(Col16) ''"",0)))"),"")</f>
        <v/>
      </c>
      <c r="R172" s="628" t="str">
        <f>IFERROR(__xludf.DUMMYFUNCTION("IF($G172="""","""",IFERROR(query({proventos!$B$5:$Q310},""Select sum(Col16) where Col1 = '""&amp;$G172&amp;""' and Col2 &gt; date '""&amp;TEXT(S$8,""yyyy-mm-dd"")&amp;""' and Col2 &lt;= date '""&amp;TEXT(R$8,""yyyy-mm-dd"")&amp;""' label sum(Col16) ''"",0)))"),"")</f>
        <v/>
      </c>
      <c r="S172" s="628" t="str">
        <f>IFERROR(__xludf.DUMMYFUNCTION("IF($G172="""","""",IFERROR(query({proventos!$B$5:$Q310},""Select sum(Col16) where Col1 = '""&amp;$G172&amp;""' and Col2 &gt; date '""&amp;TEXT(T$8,""yyyy-mm-dd"")&amp;""' and Col2 &lt;= date '""&amp;TEXT(S$8,""yyyy-mm-dd"")&amp;""' label sum(Col16) ''"",0)))"),"")</f>
        <v/>
      </c>
      <c r="T172" s="628" t="str">
        <f>IFERROR(__xludf.DUMMYFUNCTION("IF($G172="""","""",IFERROR(query({proventos!$B$5:$Q310},""Select sum(Col16) where Col1 = '""&amp;$G172&amp;""' and Col2 &gt; date '""&amp;TEXT(U$8,""yyyy-mm-dd"")&amp;""' and Col2 &lt;= date '""&amp;TEXT(T$8,""yyyy-mm-dd"")&amp;""' label sum(Col16) ''"",0)))"),"")</f>
        <v/>
      </c>
      <c r="U172" s="629" t="str">
        <f>IFERROR(__xludf.DUMMYFUNCTION("IF($G172="""","""",IFERROR(query({proventos!$B$5:$Q310},""Select sum(Col16) where Col1 = '""&amp;$G172&amp;""' and Col2 &gt; date '""&amp;TEXT(EOMONTH(TODAY(),-13),""yyyy-mm-dd"")&amp;""' and Col2 &lt;= date '""&amp;TEXT(U$8,""yyyy-mm-dd"")&amp;""' label sum(Col16) ''"",0)))"),"")</f>
        <v/>
      </c>
      <c r="V172" s="630" t="str">
        <f>IFERROR(__xludf.DUMMYFUNCTION("IF($G172="""","""",IFERROR(query({proventos!$B$5:$Q310},""Select sum(Col16) where Col1 = '""&amp;$G172&amp;""' and Col2 &gt; date '""&amp;TEXT(DATE(V$8,1,1),""yyyy-mm-dd"")&amp;""' and Col2 &lt;= date '""&amp;TEXT(DATE(V$8,12,31),""yyyy-mm-dd"")&amp;""' label sum(Col16) ''"",0)))"),"")</f>
        <v/>
      </c>
      <c r="W172" s="630" t="str">
        <f>IFERROR(__xludf.DUMMYFUNCTION("IF($G172="""","""",IFERROR(query({proventos!$B$5:$Q310},""Select sum(Col16) where Col1 = '""&amp;$G172&amp;""' and Col2 &gt; date '""&amp;TEXT(DATE(W$8,1,1),""yyyy-mm-dd"")&amp;""' and Col2 &lt;= date '""&amp;TEXT(DATE(W$8,12,31),""yyyy-mm-dd"")&amp;""' label sum(Col16) ''"",0)))"),"")</f>
        <v/>
      </c>
      <c r="X172" s="630" t="str">
        <f>IFERROR(__xludf.DUMMYFUNCTION("IF($G172="""","""",IFERROR(query({proventos!$B$5:$Q310},""Select sum(Col16) where Col1 = '""&amp;$G172&amp;""' and Col2 &gt; date '""&amp;TEXT(DATE(X$8,1,1),""yyyy-mm-dd"")&amp;""' and Col2 &lt;= date '""&amp;TEXT(DATE(X$8,12,31),""yyyy-mm-dd"")&amp;""' label sum(Col16) ''"",0)))"),"")</f>
        <v/>
      </c>
      <c r="Y172" s="630" t="str">
        <f>IFERROR(__xludf.DUMMYFUNCTION("IF($G172="""","""",IFERROR(query({proventos!$B$5:$Q310},""Select sum(Col16) where Col1 = '""&amp;$G172&amp;""' and Col2 &gt; date '""&amp;TEXT(DATE(Y$8,1,1),""yyyy-mm-dd"")&amp;""' and Col2 &lt;= date '""&amp;TEXT(DATE(Y$8,12,31),""yyyy-mm-dd"")&amp;""' label sum(Col16) ''"",0)))"),"")</f>
        <v/>
      </c>
      <c r="Z172" s="630" t="str">
        <f>IFERROR(__xludf.DUMMYFUNCTION("IF($G172="""","""",IFERROR(query({proventos!$B$5:$Q310},""Select sum(Col16) where Col1 = '""&amp;$G172&amp;""' and Col2 &gt; date '""&amp;TEXT(DATE(Z$8,1,1),""yyyy-mm-dd"")&amp;""' and Col2 &lt;= date '""&amp;TEXT(DATE(Z$8,12,31),""yyyy-mm-dd"")&amp;""' label sum(Col16) ''"",0)))"),"")</f>
        <v/>
      </c>
      <c r="AA172" s="587"/>
      <c r="AB172" s="578" t="s">
        <v>123</v>
      </c>
      <c r="AC172" s="601"/>
      <c r="AD172" s="636"/>
      <c r="AE172" s="636"/>
    </row>
    <row r="173">
      <c r="A173" s="576"/>
      <c r="B173" s="620"/>
      <c r="C173" s="637"/>
      <c r="D173" s="633"/>
      <c r="E173" s="633"/>
      <c r="F173" s="624">
        <v>163.0</v>
      </c>
      <c r="G173" s="635"/>
      <c r="H173" s="626" t="str">
        <f>if(G173="","",IFERROR(VLOOKUP(G173,AtivosDados,MATCH("provento_avg",portfolio.!$A$3:AE$3,0),FALSE),""))</f>
        <v/>
      </c>
      <c r="I173" s="627" t="s">
        <v>123</v>
      </c>
      <c r="J173" s="628" t="str">
        <f>IFERROR(__xludf.DUMMYFUNCTION("IF($G173="""","""",IFERROR(query({proventos!$B$5:$Q310},""Select sum(Col16) where Col1 = '""&amp;$G173&amp;""' and Col2 &gt; date '""&amp;TEXT(K$8,""yyyy-mm-dd"")&amp;""' and Col2 &lt;= date '""&amp;TEXT(J$8,""yyyy-mm-dd"")&amp;""' label sum(Col16) ''"",0)))"),"")</f>
        <v/>
      </c>
      <c r="K173" s="628" t="str">
        <f>IFERROR(__xludf.DUMMYFUNCTION("IF($G173="""","""",IFERROR(query({proventos!$B$5:$Q310},""Select sum(Col16) where Col1 = '""&amp;$G173&amp;""' and Col2 &gt; date '""&amp;TEXT(L$8,""yyyy-mm-dd"")&amp;""' and Col2 &lt;= date '""&amp;TEXT(K$8,""yyyy-mm-dd"")&amp;""' label sum(Col16) ''"",0)))"),"")</f>
        <v/>
      </c>
      <c r="L173" s="628" t="str">
        <f>IFERROR(__xludf.DUMMYFUNCTION("IF($G173="""","""",IFERROR(query({proventos!$B$5:$Q310},""Select sum(Col16) where Col1 = '""&amp;$G173&amp;""' and Col2 &gt; date '""&amp;TEXT(M$8,""yyyy-mm-dd"")&amp;""' and Col2 &lt;= date '""&amp;TEXT(L$8,""yyyy-mm-dd"")&amp;""' label sum(Col16) ''"",0)))"),"")</f>
        <v/>
      </c>
      <c r="M173" s="628" t="str">
        <f>IFERROR(__xludf.DUMMYFUNCTION("IF($G173="""","""",IFERROR(query({proventos!$B$5:$Q310},""Select sum(Col16) where Col1 = '""&amp;$G173&amp;""' and Col2 &gt; date '""&amp;TEXT(N$8,""yyyy-mm-dd"")&amp;""' and Col2 &lt;= date '""&amp;TEXT(M$8,""yyyy-mm-dd"")&amp;""' label sum(Col16) ''"",0)))"),"")</f>
        <v/>
      </c>
      <c r="N173" s="628" t="str">
        <f>IFERROR(__xludf.DUMMYFUNCTION("IF($G173="""","""",IFERROR(query({proventos!$B$5:$Q310},""Select sum(Col16) where Col1 = '""&amp;$G173&amp;""' and Col2 &gt; date '""&amp;TEXT(O$8,""yyyy-mm-dd"")&amp;""' and Col2 &lt;= date '""&amp;TEXT(N$8,""yyyy-mm-dd"")&amp;""' label sum(Col16) ''"",0)))"),"")</f>
        <v/>
      </c>
      <c r="O173" s="628" t="str">
        <f>IFERROR(__xludf.DUMMYFUNCTION("IF($G173="""","""",IFERROR(query({proventos!$B$5:$Q310},""Select sum(Col16) where Col1 = '""&amp;$G173&amp;""' and Col2 &gt; date '""&amp;TEXT(P$8,""yyyy-mm-dd"")&amp;""' and Col2 &lt;= date '""&amp;TEXT(O$8,""yyyy-mm-dd"")&amp;""' label sum(Col16) ''"",0)))"),"")</f>
        <v/>
      </c>
      <c r="P173" s="628" t="str">
        <f>IFERROR(__xludf.DUMMYFUNCTION("IF($G173="""","""",IFERROR(query({proventos!$B$5:$Q310},""Select sum(Col16) where Col1 = '""&amp;$G173&amp;""' and Col2 &gt; date '""&amp;TEXT(Q$8,""yyyy-mm-dd"")&amp;""' and Col2 &lt;= date '""&amp;TEXT(P$8,""yyyy-mm-dd"")&amp;""' label sum(Col16) ''"",0)))"),"")</f>
        <v/>
      </c>
      <c r="Q173" s="628" t="str">
        <f>IFERROR(__xludf.DUMMYFUNCTION("IF($G173="""","""",IFERROR(query({proventos!$B$5:$Q310},""Select sum(Col16) where Col1 = '""&amp;$G173&amp;""' and Col2 &gt; date '""&amp;TEXT(R$8,""yyyy-mm-dd"")&amp;""' and Col2 &lt;= date '""&amp;TEXT(Q$8,""yyyy-mm-dd"")&amp;""' label sum(Col16) ''"",0)))"),"")</f>
        <v/>
      </c>
      <c r="R173" s="628" t="str">
        <f>IFERROR(__xludf.DUMMYFUNCTION("IF($G173="""","""",IFERROR(query({proventos!$B$5:$Q310},""Select sum(Col16) where Col1 = '""&amp;$G173&amp;""' and Col2 &gt; date '""&amp;TEXT(S$8,""yyyy-mm-dd"")&amp;""' and Col2 &lt;= date '""&amp;TEXT(R$8,""yyyy-mm-dd"")&amp;""' label sum(Col16) ''"",0)))"),"")</f>
        <v/>
      </c>
      <c r="S173" s="628" t="str">
        <f>IFERROR(__xludf.DUMMYFUNCTION("IF($G173="""","""",IFERROR(query({proventos!$B$5:$Q310},""Select sum(Col16) where Col1 = '""&amp;$G173&amp;""' and Col2 &gt; date '""&amp;TEXT(T$8,""yyyy-mm-dd"")&amp;""' and Col2 &lt;= date '""&amp;TEXT(S$8,""yyyy-mm-dd"")&amp;""' label sum(Col16) ''"",0)))"),"")</f>
        <v/>
      </c>
      <c r="T173" s="628" t="str">
        <f>IFERROR(__xludf.DUMMYFUNCTION("IF($G173="""","""",IFERROR(query({proventos!$B$5:$Q310},""Select sum(Col16) where Col1 = '""&amp;$G173&amp;""' and Col2 &gt; date '""&amp;TEXT(U$8,""yyyy-mm-dd"")&amp;""' and Col2 &lt;= date '""&amp;TEXT(T$8,""yyyy-mm-dd"")&amp;""' label sum(Col16) ''"",0)))"),"")</f>
        <v/>
      </c>
      <c r="U173" s="629" t="str">
        <f>IFERROR(__xludf.DUMMYFUNCTION("IF($G173="""","""",IFERROR(query({proventos!$B$5:$Q310},""Select sum(Col16) where Col1 = '""&amp;$G173&amp;""' and Col2 &gt; date '""&amp;TEXT(EOMONTH(TODAY(),-13),""yyyy-mm-dd"")&amp;""' and Col2 &lt;= date '""&amp;TEXT(U$8,""yyyy-mm-dd"")&amp;""' label sum(Col16) ''"",0)))"),"")</f>
        <v/>
      </c>
      <c r="V173" s="630" t="str">
        <f>IFERROR(__xludf.DUMMYFUNCTION("IF($G173="""","""",IFERROR(query({proventos!$B$5:$Q310},""Select sum(Col16) where Col1 = '""&amp;$G173&amp;""' and Col2 &gt; date '""&amp;TEXT(DATE(V$8,1,1),""yyyy-mm-dd"")&amp;""' and Col2 &lt;= date '""&amp;TEXT(DATE(V$8,12,31),""yyyy-mm-dd"")&amp;""' label sum(Col16) ''"",0)))"),"")</f>
        <v/>
      </c>
      <c r="W173" s="630" t="str">
        <f>IFERROR(__xludf.DUMMYFUNCTION("IF($G173="""","""",IFERROR(query({proventos!$B$5:$Q310},""Select sum(Col16) where Col1 = '""&amp;$G173&amp;""' and Col2 &gt; date '""&amp;TEXT(DATE(W$8,1,1),""yyyy-mm-dd"")&amp;""' and Col2 &lt;= date '""&amp;TEXT(DATE(W$8,12,31),""yyyy-mm-dd"")&amp;""' label sum(Col16) ''"",0)))"),"")</f>
        <v/>
      </c>
      <c r="X173" s="630" t="str">
        <f>IFERROR(__xludf.DUMMYFUNCTION("IF($G173="""","""",IFERROR(query({proventos!$B$5:$Q310},""Select sum(Col16) where Col1 = '""&amp;$G173&amp;""' and Col2 &gt; date '""&amp;TEXT(DATE(X$8,1,1),""yyyy-mm-dd"")&amp;""' and Col2 &lt;= date '""&amp;TEXT(DATE(X$8,12,31),""yyyy-mm-dd"")&amp;""' label sum(Col16) ''"",0)))"),"")</f>
        <v/>
      </c>
      <c r="Y173" s="630" t="str">
        <f>IFERROR(__xludf.DUMMYFUNCTION("IF($G173="""","""",IFERROR(query({proventos!$B$5:$Q310},""Select sum(Col16) where Col1 = '""&amp;$G173&amp;""' and Col2 &gt; date '""&amp;TEXT(DATE(Y$8,1,1),""yyyy-mm-dd"")&amp;""' and Col2 &lt;= date '""&amp;TEXT(DATE(Y$8,12,31),""yyyy-mm-dd"")&amp;""' label sum(Col16) ''"",0)))"),"")</f>
        <v/>
      </c>
      <c r="Z173" s="630" t="str">
        <f>IFERROR(__xludf.DUMMYFUNCTION("IF($G173="""","""",IFERROR(query({proventos!$B$5:$Q310},""Select sum(Col16) where Col1 = '""&amp;$G173&amp;""' and Col2 &gt; date '""&amp;TEXT(DATE(Z$8,1,1),""yyyy-mm-dd"")&amp;""' and Col2 &lt;= date '""&amp;TEXT(DATE(Z$8,12,31),""yyyy-mm-dd"")&amp;""' label sum(Col16) ''"",0)))"),"")</f>
        <v/>
      </c>
      <c r="AA173" s="587"/>
      <c r="AB173" s="578" t="s">
        <v>123</v>
      </c>
      <c r="AC173" s="601"/>
      <c r="AD173" s="636"/>
      <c r="AE173" s="636"/>
    </row>
    <row r="174">
      <c r="A174" s="576"/>
      <c r="B174" s="620"/>
      <c r="C174" s="637"/>
      <c r="D174" s="633"/>
      <c r="E174" s="633"/>
      <c r="F174" s="624">
        <v>164.0</v>
      </c>
      <c r="G174" s="635"/>
      <c r="H174" s="626" t="str">
        <f>if(G174="","",IFERROR(VLOOKUP(G174,AtivosDados,MATCH("provento_avg",portfolio.!$A$3:AE$3,0),FALSE),""))</f>
        <v/>
      </c>
      <c r="I174" s="627" t="s">
        <v>123</v>
      </c>
      <c r="J174" s="628" t="str">
        <f>IFERROR(__xludf.DUMMYFUNCTION("IF($G174="""","""",IFERROR(query({proventos!$B$5:$Q310},""Select sum(Col16) where Col1 = '""&amp;$G174&amp;""' and Col2 &gt; date '""&amp;TEXT(K$8,""yyyy-mm-dd"")&amp;""' and Col2 &lt;= date '""&amp;TEXT(J$8,""yyyy-mm-dd"")&amp;""' label sum(Col16) ''"",0)))"),"")</f>
        <v/>
      </c>
      <c r="K174" s="628" t="str">
        <f>IFERROR(__xludf.DUMMYFUNCTION("IF($G174="""","""",IFERROR(query({proventos!$B$5:$Q310},""Select sum(Col16) where Col1 = '""&amp;$G174&amp;""' and Col2 &gt; date '""&amp;TEXT(L$8,""yyyy-mm-dd"")&amp;""' and Col2 &lt;= date '""&amp;TEXT(K$8,""yyyy-mm-dd"")&amp;""' label sum(Col16) ''"",0)))"),"")</f>
        <v/>
      </c>
      <c r="L174" s="628" t="str">
        <f>IFERROR(__xludf.DUMMYFUNCTION("IF($G174="""","""",IFERROR(query({proventos!$B$5:$Q310},""Select sum(Col16) where Col1 = '""&amp;$G174&amp;""' and Col2 &gt; date '""&amp;TEXT(M$8,""yyyy-mm-dd"")&amp;""' and Col2 &lt;= date '""&amp;TEXT(L$8,""yyyy-mm-dd"")&amp;""' label sum(Col16) ''"",0)))"),"")</f>
        <v/>
      </c>
      <c r="M174" s="628" t="str">
        <f>IFERROR(__xludf.DUMMYFUNCTION("IF($G174="""","""",IFERROR(query({proventos!$B$5:$Q310},""Select sum(Col16) where Col1 = '""&amp;$G174&amp;""' and Col2 &gt; date '""&amp;TEXT(N$8,""yyyy-mm-dd"")&amp;""' and Col2 &lt;= date '""&amp;TEXT(M$8,""yyyy-mm-dd"")&amp;""' label sum(Col16) ''"",0)))"),"")</f>
        <v/>
      </c>
      <c r="N174" s="628" t="str">
        <f>IFERROR(__xludf.DUMMYFUNCTION("IF($G174="""","""",IFERROR(query({proventos!$B$5:$Q310},""Select sum(Col16) where Col1 = '""&amp;$G174&amp;""' and Col2 &gt; date '""&amp;TEXT(O$8,""yyyy-mm-dd"")&amp;""' and Col2 &lt;= date '""&amp;TEXT(N$8,""yyyy-mm-dd"")&amp;""' label sum(Col16) ''"",0)))"),"")</f>
        <v/>
      </c>
      <c r="O174" s="628" t="str">
        <f>IFERROR(__xludf.DUMMYFUNCTION("IF($G174="""","""",IFERROR(query({proventos!$B$5:$Q310},""Select sum(Col16) where Col1 = '""&amp;$G174&amp;""' and Col2 &gt; date '""&amp;TEXT(P$8,""yyyy-mm-dd"")&amp;""' and Col2 &lt;= date '""&amp;TEXT(O$8,""yyyy-mm-dd"")&amp;""' label sum(Col16) ''"",0)))"),"")</f>
        <v/>
      </c>
      <c r="P174" s="628" t="str">
        <f>IFERROR(__xludf.DUMMYFUNCTION("IF($G174="""","""",IFERROR(query({proventos!$B$5:$Q310},""Select sum(Col16) where Col1 = '""&amp;$G174&amp;""' and Col2 &gt; date '""&amp;TEXT(Q$8,""yyyy-mm-dd"")&amp;""' and Col2 &lt;= date '""&amp;TEXT(P$8,""yyyy-mm-dd"")&amp;""' label sum(Col16) ''"",0)))"),"")</f>
        <v/>
      </c>
      <c r="Q174" s="628" t="str">
        <f>IFERROR(__xludf.DUMMYFUNCTION("IF($G174="""","""",IFERROR(query({proventos!$B$5:$Q310},""Select sum(Col16) where Col1 = '""&amp;$G174&amp;""' and Col2 &gt; date '""&amp;TEXT(R$8,""yyyy-mm-dd"")&amp;""' and Col2 &lt;= date '""&amp;TEXT(Q$8,""yyyy-mm-dd"")&amp;""' label sum(Col16) ''"",0)))"),"")</f>
        <v/>
      </c>
      <c r="R174" s="628" t="str">
        <f>IFERROR(__xludf.DUMMYFUNCTION("IF($G174="""","""",IFERROR(query({proventos!$B$5:$Q310},""Select sum(Col16) where Col1 = '""&amp;$G174&amp;""' and Col2 &gt; date '""&amp;TEXT(S$8,""yyyy-mm-dd"")&amp;""' and Col2 &lt;= date '""&amp;TEXT(R$8,""yyyy-mm-dd"")&amp;""' label sum(Col16) ''"",0)))"),"")</f>
        <v/>
      </c>
      <c r="S174" s="628" t="str">
        <f>IFERROR(__xludf.DUMMYFUNCTION("IF($G174="""","""",IFERROR(query({proventos!$B$5:$Q310},""Select sum(Col16) where Col1 = '""&amp;$G174&amp;""' and Col2 &gt; date '""&amp;TEXT(T$8,""yyyy-mm-dd"")&amp;""' and Col2 &lt;= date '""&amp;TEXT(S$8,""yyyy-mm-dd"")&amp;""' label sum(Col16) ''"",0)))"),"")</f>
        <v/>
      </c>
      <c r="T174" s="628" t="str">
        <f>IFERROR(__xludf.DUMMYFUNCTION("IF($G174="""","""",IFERROR(query({proventos!$B$5:$Q310},""Select sum(Col16) where Col1 = '""&amp;$G174&amp;""' and Col2 &gt; date '""&amp;TEXT(U$8,""yyyy-mm-dd"")&amp;""' and Col2 &lt;= date '""&amp;TEXT(T$8,""yyyy-mm-dd"")&amp;""' label sum(Col16) ''"",0)))"),"")</f>
        <v/>
      </c>
      <c r="U174" s="629" t="str">
        <f>IFERROR(__xludf.DUMMYFUNCTION("IF($G174="""","""",IFERROR(query({proventos!$B$5:$Q310},""Select sum(Col16) where Col1 = '""&amp;$G174&amp;""' and Col2 &gt; date '""&amp;TEXT(EOMONTH(TODAY(),-13),""yyyy-mm-dd"")&amp;""' and Col2 &lt;= date '""&amp;TEXT(U$8,""yyyy-mm-dd"")&amp;""' label sum(Col16) ''"",0)))"),"")</f>
        <v/>
      </c>
      <c r="V174" s="630" t="str">
        <f>IFERROR(__xludf.DUMMYFUNCTION("IF($G174="""","""",IFERROR(query({proventos!$B$5:$Q310},""Select sum(Col16) where Col1 = '""&amp;$G174&amp;""' and Col2 &gt; date '""&amp;TEXT(DATE(V$8,1,1),""yyyy-mm-dd"")&amp;""' and Col2 &lt;= date '""&amp;TEXT(DATE(V$8,12,31),""yyyy-mm-dd"")&amp;""' label sum(Col16) ''"",0)))"),"")</f>
        <v/>
      </c>
      <c r="W174" s="630" t="str">
        <f>IFERROR(__xludf.DUMMYFUNCTION("IF($G174="""","""",IFERROR(query({proventos!$B$5:$Q310},""Select sum(Col16) where Col1 = '""&amp;$G174&amp;""' and Col2 &gt; date '""&amp;TEXT(DATE(W$8,1,1),""yyyy-mm-dd"")&amp;""' and Col2 &lt;= date '""&amp;TEXT(DATE(W$8,12,31),""yyyy-mm-dd"")&amp;""' label sum(Col16) ''"",0)))"),"")</f>
        <v/>
      </c>
      <c r="X174" s="630" t="str">
        <f>IFERROR(__xludf.DUMMYFUNCTION("IF($G174="""","""",IFERROR(query({proventos!$B$5:$Q310},""Select sum(Col16) where Col1 = '""&amp;$G174&amp;""' and Col2 &gt; date '""&amp;TEXT(DATE(X$8,1,1),""yyyy-mm-dd"")&amp;""' and Col2 &lt;= date '""&amp;TEXT(DATE(X$8,12,31),""yyyy-mm-dd"")&amp;""' label sum(Col16) ''"",0)))"),"")</f>
        <v/>
      </c>
      <c r="Y174" s="630" t="str">
        <f>IFERROR(__xludf.DUMMYFUNCTION("IF($G174="""","""",IFERROR(query({proventos!$B$5:$Q310},""Select sum(Col16) where Col1 = '""&amp;$G174&amp;""' and Col2 &gt; date '""&amp;TEXT(DATE(Y$8,1,1),""yyyy-mm-dd"")&amp;""' and Col2 &lt;= date '""&amp;TEXT(DATE(Y$8,12,31),""yyyy-mm-dd"")&amp;""' label sum(Col16) ''"",0)))"),"")</f>
        <v/>
      </c>
      <c r="Z174" s="630" t="str">
        <f>IFERROR(__xludf.DUMMYFUNCTION("IF($G174="""","""",IFERROR(query({proventos!$B$5:$Q310},""Select sum(Col16) where Col1 = '""&amp;$G174&amp;""' and Col2 &gt; date '""&amp;TEXT(DATE(Z$8,1,1),""yyyy-mm-dd"")&amp;""' and Col2 &lt;= date '""&amp;TEXT(DATE(Z$8,12,31),""yyyy-mm-dd"")&amp;""' label sum(Col16) ''"",0)))"),"")</f>
        <v/>
      </c>
      <c r="AA174" s="587"/>
      <c r="AB174" s="578" t="s">
        <v>123</v>
      </c>
      <c r="AC174" s="601"/>
      <c r="AD174" s="636"/>
      <c r="AE174" s="636"/>
    </row>
    <row r="175">
      <c r="A175" s="576"/>
      <c r="B175" s="620"/>
      <c r="C175" s="637"/>
      <c r="D175" s="633"/>
      <c r="E175" s="633"/>
      <c r="F175" s="624">
        <v>165.0</v>
      </c>
      <c r="G175" s="635"/>
      <c r="H175" s="626" t="str">
        <f>if(G175="","",IFERROR(VLOOKUP(G175,AtivosDados,MATCH("provento_avg",portfolio.!$A$3:AE$3,0),FALSE),""))</f>
        <v/>
      </c>
      <c r="I175" s="627" t="s">
        <v>123</v>
      </c>
      <c r="J175" s="628" t="str">
        <f>IFERROR(__xludf.DUMMYFUNCTION("IF($G175="""","""",IFERROR(query({proventos!$B$5:$Q310},""Select sum(Col16) where Col1 = '""&amp;$G175&amp;""' and Col2 &gt; date '""&amp;TEXT(K$8,""yyyy-mm-dd"")&amp;""' and Col2 &lt;= date '""&amp;TEXT(J$8,""yyyy-mm-dd"")&amp;""' label sum(Col16) ''"",0)))"),"")</f>
        <v/>
      </c>
      <c r="K175" s="628" t="str">
        <f>IFERROR(__xludf.DUMMYFUNCTION("IF($G175="""","""",IFERROR(query({proventos!$B$5:$Q310},""Select sum(Col16) where Col1 = '""&amp;$G175&amp;""' and Col2 &gt; date '""&amp;TEXT(L$8,""yyyy-mm-dd"")&amp;""' and Col2 &lt;= date '""&amp;TEXT(K$8,""yyyy-mm-dd"")&amp;""' label sum(Col16) ''"",0)))"),"")</f>
        <v/>
      </c>
      <c r="L175" s="628" t="str">
        <f>IFERROR(__xludf.DUMMYFUNCTION("IF($G175="""","""",IFERROR(query({proventos!$B$5:$Q310},""Select sum(Col16) where Col1 = '""&amp;$G175&amp;""' and Col2 &gt; date '""&amp;TEXT(M$8,""yyyy-mm-dd"")&amp;""' and Col2 &lt;= date '""&amp;TEXT(L$8,""yyyy-mm-dd"")&amp;""' label sum(Col16) ''"",0)))"),"")</f>
        <v/>
      </c>
      <c r="M175" s="628" t="str">
        <f>IFERROR(__xludf.DUMMYFUNCTION("IF($G175="""","""",IFERROR(query({proventos!$B$5:$Q310},""Select sum(Col16) where Col1 = '""&amp;$G175&amp;""' and Col2 &gt; date '""&amp;TEXT(N$8,""yyyy-mm-dd"")&amp;""' and Col2 &lt;= date '""&amp;TEXT(M$8,""yyyy-mm-dd"")&amp;""' label sum(Col16) ''"",0)))"),"")</f>
        <v/>
      </c>
      <c r="N175" s="628" t="str">
        <f>IFERROR(__xludf.DUMMYFUNCTION("IF($G175="""","""",IFERROR(query({proventos!$B$5:$Q310},""Select sum(Col16) where Col1 = '""&amp;$G175&amp;""' and Col2 &gt; date '""&amp;TEXT(O$8,""yyyy-mm-dd"")&amp;""' and Col2 &lt;= date '""&amp;TEXT(N$8,""yyyy-mm-dd"")&amp;""' label sum(Col16) ''"",0)))"),"")</f>
        <v/>
      </c>
      <c r="O175" s="628" t="str">
        <f>IFERROR(__xludf.DUMMYFUNCTION("IF($G175="""","""",IFERROR(query({proventos!$B$5:$Q310},""Select sum(Col16) where Col1 = '""&amp;$G175&amp;""' and Col2 &gt; date '""&amp;TEXT(P$8,""yyyy-mm-dd"")&amp;""' and Col2 &lt;= date '""&amp;TEXT(O$8,""yyyy-mm-dd"")&amp;""' label sum(Col16) ''"",0)))"),"")</f>
        <v/>
      </c>
      <c r="P175" s="628" t="str">
        <f>IFERROR(__xludf.DUMMYFUNCTION("IF($G175="""","""",IFERROR(query({proventos!$B$5:$Q310},""Select sum(Col16) where Col1 = '""&amp;$G175&amp;""' and Col2 &gt; date '""&amp;TEXT(Q$8,""yyyy-mm-dd"")&amp;""' and Col2 &lt;= date '""&amp;TEXT(P$8,""yyyy-mm-dd"")&amp;""' label sum(Col16) ''"",0)))"),"")</f>
        <v/>
      </c>
      <c r="Q175" s="628" t="str">
        <f>IFERROR(__xludf.DUMMYFUNCTION("IF($G175="""","""",IFERROR(query({proventos!$B$5:$Q310},""Select sum(Col16) where Col1 = '""&amp;$G175&amp;""' and Col2 &gt; date '""&amp;TEXT(R$8,""yyyy-mm-dd"")&amp;""' and Col2 &lt;= date '""&amp;TEXT(Q$8,""yyyy-mm-dd"")&amp;""' label sum(Col16) ''"",0)))"),"")</f>
        <v/>
      </c>
      <c r="R175" s="628" t="str">
        <f>IFERROR(__xludf.DUMMYFUNCTION("IF($G175="""","""",IFERROR(query({proventos!$B$5:$Q310},""Select sum(Col16) where Col1 = '""&amp;$G175&amp;""' and Col2 &gt; date '""&amp;TEXT(S$8,""yyyy-mm-dd"")&amp;""' and Col2 &lt;= date '""&amp;TEXT(R$8,""yyyy-mm-dd"")&amp;""' label sum(Col16) ''"",0)))"),"")</f>
        <v/>
      </c>
      <c r="S175" s="628" t="str">
        <f>IFERROR(__xludf.DUMMYFUNCTION("IF($G175="""","""",IFERROR(query({proventos!$B$5:$Q310},""Select sum(Col16) where Col1 = '""&amp;$G175&amp;""' and Col2 &gt; date '""&amp;TEXT(T$8,""yyyy-mm-dd"")&amp;""' and Col2 &lt;= date '""&amp;TEXT(S$8,""yyyy-mm-dd"")&amp;""' label sum(Col16) ''"",0)))"),"")</f>
        <v/>
      </c>
      <c r="T175" s="628" t="str">
        <f>IFERROR(__xludf.DUMMYFUNCTION("IF($G175="""","""",IFERROR(query({proventos!$B$5:$Q310},""Select sum(Col16) where Col1 = '""&amp;$G175&amp;""' and Col2 &gt; date '""&amp;TEXT(U$8,""yyyy-mm-dd"")&amp;""' and Col2 &lt;= date '""&amp;TEXT(T$8,""yyyy-mm-dd"")&amp;""' label sum(Col16) ''"",0)))"),"")</f>
        <v/>
      </c>
      <c r="U175" s="629" t="str">
        <f>IFERROR(__xludf.DUMMYFUNCTION("IF($G175="""","""",IFERROR(query({proventos!$B$5:$Q310},""Select sum(Col16) where Col1 = '""&amp;$G175&amp;""' and Col2 &gt; date '""&amp;TEXT(EOMONTH(TODAY(),-13),""yyyy-mm-dd"")&amp;""' and Col2 &lt;= date '""&amp;TEXT(U$8,""yyyy-mm-dd"")&amp;""' label sum(Col16) ''"",0)))"),"")</f>
        <v/>
      </c>
      <c r="V175" s="630" t="str">
        <f>IFERROR(__xludf.DUMMYFUNCTION("IF($G175="""","""",IFERROR(query({proventos!$B$5:$Q310},""Select sum(Col16) where Col1 = '""&amp;$G175&amp;""' and Col2 &gt; date '""&amp;TEXT(DATE(V$8,1,1),""yyyy-mm-dd"")&amp;""' and Col2 &lt;= date '""&amp;TEXT(DATE(V$8,12,31),""yyyy-mm-dd"")&amp;""' label sum(Col16) ''"",0)))"),"")</f>
        <v/>
      </c>
      <c r="W175" s="630" t="str">
        <f>IFERROR(__xludf.DUMMYFUNCTION("IF($G175="""","""",IFERROR(query({proventos!$B$5:$Q310},""Select sum(Col16) where Col1 = '""&amp;$G175&amp;""' and Col2 &gt; date '""&amp;TEXT(DATE(W$8,1,1),""yyyy-mm-dd"")&amp;""' and Col2 &lt;= date '""&amp;TEXT(DATE(W$8,12,31),""yyyy-mm-dd"")&amp;""' label sum(Col16) ''"",0)))"),"")</f>
        <v/>
      </c>
      <c r="X175" s="630" t="str">
        <f>IFERROR(__xludf.DUMMYFUNCTION("IF($G175="""","""",IFERROR(query({proventos!$B$5:$Q310},""Select sum(Col16) where Col1 = '""&amp;$G175&amp;""' and Col2 &gt; date '""&amp;TEXT(DATE(X$8,1,1),""yyyy-mm-dd"")&amp;""' and Col2 &lt;= date '""&amp;TEXT(DATE(X$8,12,31),""yyyy-mm-dd"")&amp;""' label sum(Col16) ''"",0)))"),"")</f>
        <v/>
      </c>
      <c r="Y175" s="630" t="str">
        <f>IFERROR(__xludf.DUMMYFUNCTION("IF($G175="""","""",IFERROR(query({proventos!$B$5:$Q310},""Select sum(Col16) where Col1 = '""&amp;$G175&amp;""' and Col2 &gt; date '""&amp;TEXT(DATE(Y$8,1,1),""yyyy-mm-dd"")&amp;""' and Col2 &lt;= date '""&amp;TEXT(DATE(Y$8,12,31),""yyyy-mm-dd"")&amp;""' label sum(Col16) ''"",0)))"),"")</f>
        <v/>
      </c>
      <c r="Z175" s="630" t="str">
        <f>IFERROR(__xludf.DUMMYFUNCTION("IF($G175="""","""",IFERROR(query({proventos!$B$5:$Q310},""Select sum(Col16) where Col1 = '""&amp;$G175&amp;""' and Col2 &gt; date '""&amp;TEXT(DATE(Z$8,1,1),""yyyy-mm-dd"")&amp;""' and Col2 &lt;= date '""&amp;TEXT(DATE(Z$8,12,31),""yyyy-mm-dd"")&amp;""' label sum(Col16) ''"",0)))"),"")</f>
        <v/>
      </c>
      <c r="AA175" s="587"/>
      <c r="AB175" s="578" t="s">
        <v>123</v>
      </c>
      <c r="AC175" s="601"/>
      <c r="AD175" s="636"/>
      <c r="AE175" s="636"/>
    </row>
    <row r="176">
      <c r="A176" s="576"/>
      <c r="B176" s="620"/>
      <c r="C176" s="637"/>
      <c r="D176" s="633"/>
      <c r="E176" s="633"/>
      <c r="F176" s="624">
        <v>166.0</v>
      </c>
      <c r="G176" s="635"/>
      <c r="H176" s="626" t="str">
        <f>if(G176="","",IFERROR(VLOOKUP(G176,AtivosDados,MATCH("provento_avg",portfolio.!$A$3:AE$3,0),FALSE),""))</f>
        <v/>
      </c>
      <c r="I176" s="627" t="s">
        <v>123</v>
      </c>
      <c r="J176" s="628" t="str">
        <f>IFERROR(__xludf.DUMMYFUNCTION("IF($G176="""","""",IFERROR(query({proventos!$B$5:$Q310},""Select sum(Col16) where Col1 = '""&amp;$G176&amp;""' and Col2 &gt; date '""&amp;TEXT(K$8,""yyyy-mm-dd"")&amp;""' and Col2 &lt;= date '""&amp;TEXT(J$8,""yyyy-mm-dd"")&amp;""' label sum(Col16) ''"",0)))"),"")</f>
        <v/>
      </c>
      <c r="K176" s="628" t="str">
        <f>IFERROR(__xludf.DUMMYFUNCTION("IF($G176="""","""",IFERROR(query({proventos!$B$5:$Q310},""Select sum(Col16) where Col1 = '""&amp;$G176&amp;""' and Col2 &gt; date '""&amp;TEXT(L$8,""yyyy-mm-dd"")&amp;""' and Col2 &lt;= date '""&amp;TEXT(K$8,""yyyy-mm-dd"")&amp;""' label sum(Col16) ''"",0)))"),"")</f>
        <v/>
      </c>
      <c r="L176" s="628" t="str">
        <f>IFERROR(__xludf.DUMMYFUNCTION("IF($G176="""","""",IFERROR(query({proventos!$B$5:$Q310},""Select sum(Col16) where Col1 = '""&amp;$G176&amp;""' and Col2 &gt; date '""&amp;TEXT(M$8,""yyyy-mm-dd"")&amp;""' and Col2 &lt;= date '""&amp;TEXT(L$8,""yyyy-mm-dd"")&amp;""' label sum(Col16) ''"",0)))"),"")</f>
        <v/>
      </c>
      <c r="M176" s="628" t="str">
        <f>IFERROR(__xludf.DUMMYFUNCTION("IF($G176="""","""",IFERROR(query({proventos!$B$5:$Q310},""Select sum(Col16) where Col1 = '""&amp;$G176&amp;""' and Col2 &gt; date '""&amp;TEXT(N$8,""yyyy-mm-dd"")&amp;""' and Col2 &lt;= date '""&amp;TEXT(M$8,""yyyy-mm-dd"")&amp;""' label sum(Col16) ''"",0)))"),"")</f>
        <v/>
      </c>
      <c r="N176" s="628" t="str">
        <f>IFERROR(__xludf.DUMMYFUNCTION("IF($G176="""","""",IFERROR(query({proventos!$B$5:$Q310},""Select sum(Col16) where Col1 = '""&amp;$G176&amp;""' and Col2 &gt; date '""&amp;TEXT(O$8,""yyyy-mm-dd"")&amp;""' and Col2 &lt;= date '""&amp;TEXT(N$8,""yyyy-mm-dd"")&amp;""' label sum(Col16) ''"",0)))"),"")</f>
        <v/>
      </c>
      <c r="O176" s="628" t="str">
        <f>IFERROR(__xludf.DUMMYFUNCTION("IF($G176="""","""",IFERROR(query({proventos!$B$5:$Q310},""Select sum(Col16) where Col1 = '""&amp;$G176&amp;""' and Col2 &gt; date '""&amp;TEXT(P$8,""yyyy-mm-dd"")&amp;""' and Col2 &lt;= date '""&amp;TEXT(O$8,""yyyy-mm-dd"")&amp;""' label sum(Col16) ''"",0)))"),"")</f>
        <v/>
      </c>
      <c r="P176" s="628" t="str">
        <f>IFERROR(__xludf.DUMMYFUNCTION("IF($G176="""","""",IFERROR(query({proventos!$B$5:$Q310},""Select sum(Col16) where Col1 = '""&amp;$G176&amp;""' and Col2 &gt; date '""&amp;TEXT(Q$8,""yyyy-mm-dd"")&amp;""' and Col2 &lt;= date '""&amp;TEXT(P$8,""yyyy-mm-dd"")&amp;""' label sum(Col16) ''"",0)))"),"")</f>
        <v/>
      </c>
      <c r="Q176" s="628" t="str">
        <f>IFERROR(__xludf.DUMMYFUNCTION("IF($G176="""","""",IFERROR(query({proventos!$B$5:$Q310},""Select sum(Col16) where Col1 = '""&amp;$G176&amp;""' and Col2 &gt; date '""&amp;TEXT(R$8,""yyyy-mm-dd"")&amp;""' and Col2 &lt;= date '""&amp;TEXT(Q$8,""yyyy-mm-dd"")&amp;""' label sum(Col16) ''"",0)))"),"")</f>
        <v/>
      </c>
      <c r="R176" s="628" t="str">
        <f>IFERROR(__xludf.DUMMYFUNCTION("IF($G176="""","""",IFERROR(query({proventos!$B$5:$Q310},""Select sum(Col16) where Col1 = '""&amp;$G176&amp;""' and Col2 &gt; date '""&amp;TEXT(S$8,""yyyy-mm-dd"")&amp;""' and Col2 &lt;= date '""&amp;TEXT(R$8,""yyyy-mm-dd"")&amp;""' label sum(Col16) ''"",0)))"),"")</f>
        <v/>
      </c>
      <c r="S176" s="628" t="str">
        <f>IFERROR(__xludf.DUMMYFUNCTION("IF($G176="""","""",IFERROR(query({proventos!$B$5:$Q310},""Select sum(Col16) where Col1 = '""&amp;$G176&amp;""' and Col2 &gt; date '""&amp;TEXT(T$8,""yyyy-mm-dd"")&amp;""' and Col2 &lt;= date '""&amp;TEXT(S$8,""yyyy-mm-dd"")&amp;""' label sum(Col16) ''"",0)))"),"")</f>
        <v/>
      </c>
      <c r="T176" s="628" t="str">
        <f>IFERROR(__xludf.DUMMYFUNCTION("IF($G176="""","""",IFERROR(query({proventos!$B$5:$Q310},""Select sum(Col16) where Col1 = '""&amp;$G176&amp;""' and Col2 &gt; date '""&amp;TEXT(U$8,""yyyy-mm-dd"")&amp;""' and Col2 &lt;= date '""&amp;TEXT(T$8,""yyyy-mm-dd"")&amp;""' label sum(Col16) ''"",0)))"),"")</f>
        <v/>
      </c>
      <c r="U176" s="629" t="str">
        <f>IFERROR(__xludf.DUMMYFUNCTION("IF($G176="""","""",IFERROR(query({proventos!$B$5:$Q310},""Select sum(Col16) where Col1 = '""&amp;$G176&amp;""' and Col2 &gt; date '""&amp;TEXT(EOMONTH(TODAY(),-13),""yyyy-mm-dd"")&amp;""' and Col2 &lt;= date '""&amp;TEXT(U$8,""yyyy-mm-dd"")&amp;""' label sum(Col16) ''"",0)))"),"")</f>
        <v/>
      </c>
      <c r="V176" s="630" t="str">
        <f>IFERROR(__xludf.DUMMYFUNCTION("IF($G176="""","""",IFERROR(query({proventos!$B$5:$Q310},""Select sum(Col16) where Col1 = '""&amp;$G176&amp;""' and Col2 &gt; date '""&amp;TEXT(DATE(V$8,1,1),""yyyy-mm-dd"")&amp;""' and Col2 &lt;= date '""&amp;TEXT(DATE(V$8,12,31),""yyyy-mm-dd"")&amp;""' label sum(Col16) ''"",0)))"),"")</f>
        <v/>
      </c>
      <c r="W176" s="630" t="str">
        <f>IFERROR(__xludf.DUMMYFUNCTION("IF($G176="""","""",IFERROR(query({proventos!$B$5:$Q310},""Select sum(Col16) where Col1 = '""&amp;$G176&amp;""' and Col2 &gt; date '""&amp;TEXT(DATE(W$8,1,1),""yyyy-mm-dd"")&amp;""' and Col2 &lt;= date '""&amp;TEXT(DATE(W$8,12,31),""yyyy-mm-dd"")&amp;""' label sum(Col16) ''"",0)))"),"")</f>
        <v/>
      </c>
      <c r="X176" s="630" t="str">
        <f>IFERROR(__xludf.DUMMYFUNCTION("IF($G176="""","""",IFERROR(query({proventos!$B$5:$Q310},""Select sum(Col16) where Col1 = '""&amp;$G176&amp;""' and Col2 &gt; date '""&amp;TEXT(DATE(X$8,1,1),""yyyy-mm-dd"")&amp;""' and Col2 &lt;= date '""&amp;TEXT(DATE(X$8,12,31),""yyyy-mm-dd"")&amp;""' label sum(Col16) ''"",0)))"),"")</f>
        <v/>
      </c>
      <c r="Y176" s="630" t="str">
        <f>IFERROR(__xludf.DUMMYFUNCTION("IF($G176="""","""",IFERROR(query({proventos!$B$5:$Q310},""Select sum(Col16) where Col1 = '""&amp;$G176&amp;""' and Col2 &gt; date '""&amp;TEXT(DATE(Y$8,1,1),""yyyy-mm-dd"")&amp;""' and Col2 &lt;= date '""&amp;TEXT(DATE(Y$8,12,31),""yyyy-mm-dd"")&amp;""' label sum(Col16) ''"",0)))"),"")</f>
        <v/>
      </c>
      <c r="Z176" s="630" t="str">
        <f>IFERROR(__xludf.DUMMYFUNCTION("IF($G176="""","""",IFERROR(query({proventos!$B$5:$Q310},""Select sum(Col16) where Col1 = '""&amp;$G176&amp;""' and Col2 &gt; date '""&amp;TEXT(DATE(Z$8,1,1),""yyyy-mm-dd"")&amp;""' and Col2 &lt;= date '""&amp;TEXT(DATE(Z$8,12,31),""yyyy-mm-dd"")&amp;""' label sum(Col16) ''"",0)))"),"")</f>
        <v/>
      </c>
      <c r="AA176" s="587"/>
      <c r="AB176" s="578" t="s">
        <v>123</v>
      </c>
      <c r="AC176" s="601"/>
      <c r="AD176" s="636"/>
      <c r="AE176" s="636"/>
    </row>
    <row r="177">
      <c r="A177" s="576"/>
      <c r="B177" s="620"/>
      <c r="C177" s="637"/>
      <c r="D177" s="633"/>
      <c r="E177" s="633"/>
      <c r="F177" s="624">
        <v>167.0</v>
      </c>
      <c r="G177" s="635"/>
      <c r="H177" s="626" t="str">
        <f>if(G177="","",IFERROR(VLOOKUP(G177,AtivosDados,MATCH("provento_avg",portfolio.!$A$3:AE$3,0),FALSE),""))</f>
        <v/>
      </c>
      <c r="I177" s="627" t="s">
        <v>123</v>
      </c>
      <c r="J177" s="628" t="str">
        <f>IFERROR(__xludf.DUMMYFUNCTION("IF($G177="""","""",IFERROR(query({proventos!$B$5:$Q310},""Select sum(Col16) where Col1 = '""&amp;$G177&amp;""' and Col2 &gt; date '""&amp;TEXT(K$8,""yyyy-mm-dd"")&amp;""' and Col2 &lt;= date '""&amp;TEXT(J$8,""yyyy-mm-dd"")&amp;""' label sum(Col16) ''"",0)))"),"")</f>
        <v/>
      </c>
      <c r="K177" s="628" t="str">
        <f>IFERROR(__xludf.DUMMYFUNCTION("IF($G177="""","""",IFERROR(query({proventos!$B$5:$Q310},""Select sum(Col16) where Col1 = '""&amp;$G177&amp;""' and Col2 &gt; date '""&amp;TEXT(L$8,""yyyy-mm-dd"")&amp;""' and Col2 &lt;= date '""&amp;TEXT(K$8,""yyyy-mm-dd"")&amp;""' label sum(Col16) ''"",0)))"),"")</f>
        <v/>
      </c>
      <c r="L177" s="628" t="str">
        <f>IFERROR(__xludf.DUMMYFUNCTION("IF($G177="""","""",IFERROR(query({proventos!$B$5:$Q310},""Select sum(Col16) where Col1 = '""&amp;$G177&amp;""' and Col2 &gt; date '""&amp;TEXT(M$8,""yyyy-mm-dd"")&amp;""' and Col2 &lt;= date '""&amp;TEXT(L$8,""yyyy-mm-dd"")&amp;""' label sum(Col16) ''"",0)))"),"")</f>
        <v/>
      </c>
      <c r="M177" s="628" t="str">
        <f>IFERROR(__xludf.DUMMYFUNCTION("IF($G177="""","""",IFERROR(query({proventos!$B$5:$Q310},""Select sum(Col16) where Col1 = '""&amp;$G177&amp;""' and Col2 &gt; date '""&amp;TEXT(N$8,""yyyy-mm-dd"")&amp;""' and Col2 &lt;= date '""&amp;TEXT(M$8,""yyyy-mm-dd"")&amp;""' label sum(Col16) ''"",0)))"),"")</f>
        <v/>
      </c>
      <c r="N177" s="628" t="str">
        <f>IFERROR(__xludf.DUMMYFUNCTION("IF($G177="""","""",IFERROR(query({proventos!$B$5:$Q310},""Select sum(Col16) where Col1 = '""&amp;$G177&amp;""' and Col2 &gt; date '""&amp;TEXT(O$8,""yyyy-mm-dd"")&amp;""' and Col2 &lt;= date '""&amp;TEXT(N$8,""yyyy-mm-dd"")&amp;""' label sum(Col16) ''"",0)))"),"")</f>
        <v/>
      </c>
      <c r="O177" s="628" t="str">
        <f>IFERROR(__xludf.DUMMYFUNCTION("IF($G177="""","""",IFERROR(query({proventos!$B$5:$Q310},""Select sum(Col16) where Col1 = '""&amp;$G177&amp;""' and Col2 &gt; date '""&amp;TEXT(P$8,""yyyy-mm-dd"")&amp;""' and Col2 &lt;= date '""&amp;TEXT(O$8,""yyyy-mm-dd"")&amp;""' label sum(Col16) ''"",0)))"),"")</f>
        <v/>
      </c>
      <c r="P177" s="628" t="str">
        <f>IFERROR(__xludf.DUMMYFUNCTION("IF($G177="""","""",IFERROR(query({proventos!$B$5:$Q310},""Select sum(Col16) where Col1 = '""&amp;$G177&amp;""' and Col2 &gt; date '""&amp;TEXT(Q$8,""yyyy-mm-dd"")&amp;""' and Col2 &lt;= date '""&amp;TEXT(P$8,""yyyy-mm-dd"")&amp;""' label sum(Col16) ''"",0)))"),"")</f>
        <v/>
      </c>
      <c r="Q177" s="628" t="str">
        <f>IFERROR(__xludf.DUMMYFUNCTION("IF($G177="""","""",IFERROR(query({proventos!$B$5:$Q310},""Select sum(Col16) where Col1 = '""&amp;$G177&amp;""' and Col2 &gt; date '""&amp;TEXT(R$8,""yyyy-mm-dd"")&amp;""' and Col2 &lt;= date '""&amp;TEXT(Q$8,""yyyy-mm-dd"")&amp;""' label sum(Col16) ''"",0)))"),"")</f>
        <v/>
      </c>
      <c r="R177" s="628" t="str">
        <f>IFERROR(__xludf.DUMMYFUNCTION("IF($G177="""","""",IFERROR(query({proventos!$B$5:$Q310},""Select sum(Col16) where Col1 = '""&amp;$G177&amp;""' and Col2 &gt; date '""&amp;TEXT(S$8,""yyyy-mm-dd"")&amp;""' and Col2 &lt;= date '""&amp;TEXT(R$8,""yyyy-mm-dd"")&amp;""' label sum(Col16) ''"",0)))"),"")</f>
        <v/>
      </c>
      <c r="S177" s="628" t="str">
        <f>IFERROR(__xludf.DUMMYFUNCTION("IF($G177="""","""",IFERROR(query({proventos!$B$5:$Q310},""Select sum(Col16) where Col1 = '""&amp;$G177&amp;""' and Col2 &gt; date '""&amp;TEXT(T$8,""yyyy-mm-dd"")&amp;""' and Col2 &lt;= date '""&amp;TEXT(S$8,""yyyy-mm-dd"")&amp;""' label sum(Col16) ''"",0)))"),"")</f>
        <v/>
      </c>
      <c r="T177" s="628" t="str">
        <f>IFERROR(__xludf.DUMMYFUNCTION("IF($G177="""","""",IFERROR(query({proventos!$B$5:$Q310},""Select sum(Col16) where Col1 = '""&amp;$G177&amp;""' and Col2 &gt; date '""&amp;TEXT(U$8,""yyyy-mm-dd"")&amp;""' and Col2 &lt;= date '""&amp;TEXT(T$8,""yyyy-mm-dd"")&amp;""' label sum(Col16) ''"",0)))"),"")</f>
        <v/>
      </c>
      <c r="U177" s="629" t="str">
        <f>IFERROR(__xludf.DUMMYFUNCTION("IF($G177="""","""",IFERROR(query({proventos!$B$5:$Q310},""Select sum(Col16) where Col1 = '""&amp;$G177&amp;""' and Col2 &gt; date '""&amp;TEXT(EOMONTH(TODAY(),-13),""yyyy-mm-dd"")&amp;""' and Col2 &lt;= date '""&amp;TEXT(U$8,""yyyy-mm-dd"")&amp;""' label sum(Col16) ''"",0)))"),"")</f>
        <v/>
      </c>
      <c r="V177" s="630" t="str">
        <f>IFERROR(__xludf.DUMMYFUNCTION("IF($G177="""","""",IFERROR(query({proventos!$B$5:$Q310},""Select sum(Col16) where Col1 = '""&amp;$G177&amp;""' and Col2 &gt; date '""&amp;TEXT(DATE(V$8,1,1),""yyyy-mm-dd"")&amp;""' and Col2 &lt;= date '""&amp;TEXT(DATE(V$8,12,31),""yyyy-mm-dd"")&amp;""' label sum(Col16) ''"",0)))"),"")</f>
        <v/>
      </c>
      <c r="W177" s="630" t="str">
        <f>IFERROR(__xludf.DUMMYFUNCTION("IF($G177="""","""",IFERROR(query({proventos!$B$5:$Q310},""Select sum(Col16) where Col1 = '""&amp;$G177&amp;""' and Col2 &gt; date '""&amp;TEXT(DATE(W$8,1,1),""yyyy-mm-dd"")&amp;""' and Col2 &lt;= date '""&amp;TEXT(DATE(W$8,12,31),""yyyy-mm-dd"")&amp;""' label sum(Col16) ''"",0)))"),"")</f>
        <v/>
      </c>
      <c r="X177" s="630" t="str">
        <f>IFERROR(__xludf.DUMMYFUNCTION("IF($G177="""","""",IFERROR(query({proventos!$B$5:$Q310},""Select sum(Col16) where Col1 = '""&amp;$G177&amp;""' and Col2 &gt; date '""&amp;TEXT(DATE(X$8,1,1),""yyyy-mm-dd"")&amp;""' and Col2 &lt;= date '""&amp;TEXT(DATE(X$8,12,31),""yyyy-mm-dd"")&amp;""' label sum(Col16) ''"",0)))"),"")</f>
        <v/>
      </c>
      <c r="Y177" s="630" t="str">
        <f>IFERROR(__xludf.DUMMYFUNCTION("IF($G177="""","""",IFERROR(query({proventos!$B$5:$Q310},""Select sum(Col16) where Col1 = '""&amp;$G177&amp;""' and Col2 &gt; date '""&amp;TEXT(DATE(Y$8,1,1),""yyyy-mm-dd"")&amp;""' and Col2 &lt;= date '""&amp;TEXT(DATE(Y$8,12,31),""yyyy-mm-dd"")&amp;""' label sum(Col16) ''"",0)))"),"")</f>
        <v/>
      </c>
      <c r="Z177" s="630" t="str">
        <f>IFERROR(__xludf.DUMMYFUNCTION("IF($G177="""","""",IFERROR(query({proventos!$B$5:$Q310},""Select sum(Col16) where Col1 = '""&amp;$G177&amp;""' and Col2 &gt; date '""&amp;TEXT(DATE(Z$8,1,1),""yyyy-mm-dd"")&amp;""' and Col2 &lt;= date '""&amp;TEXT(DATE(Z$8,12,31),""yyyy-mm-dd"")&amp;""' label sum(Col16) ''"",0)))"),"")</f>
        <v/>
      </c>
      <c r="AA177" s="587"/>
      <c r="AB177" s="578" t="s">
        <v>123</v>
      </c>
      <c r="AC177" s="601"/>
      <c r="AD177" s="636"/>
      <c r="AE177" s="636"/>
    </row>
    <row r="178">
      <c r="A178" s="576"/>
      <c r="B178" s="620"/>
      <c r="C178" s="637"/>
      <c r="D178" s="633"/>
      <c r="E178" s="633"/>
      <c r="F178" s="624">
        <v>168.0</v>
      </c>
      <c r="G178" s="635"/>
      <c r="H178" s="626" t="str">
        <f>if(G178="","",IFERROR(VLOOKUP(G178,AtivosDados,MATCH("provento_avg",portfolio.!$A$3:AE$3,0),FALSE),""))</f>
        <v/>
      </c>
      <c r="I178" s="627" t="s">
        <v>123</v>
      </c>
      <c r="J178" s="628" t="str">
        <f>IFERROR(__xludf.DUMMYFUNCTION("IF($G178="""","""",IFERROR(query({proventos!$B$5:$Q310},""Select sum(Col16) where Col1 = '""&amp;$G178&amp;""' and Col2 &gt; date '""&amp;TEXT(K$8,""yyyy-mm-dd"")&amp;""' and Col2 &lt;= date '""&amp;TEXT(J$8,""yyyy-mm-dd"")&amp;""' label sum(Col16) ''"",0)))"),"")</f>
        <v/>
      </c>
      <c r="K178" s="628" t="str">
        <f>IFERROR(__xludf.DUMMYFUNCTION("IF($G178="""","""",IFERROR(query({proventos!$B$5:$Q310},""Select sum(Col16) where Col1 = '""&amp;$G178&amp;""' and Col2 &gt; date '""&amp;TEXT(L$8,""yyyy-mm-dd"")&amp;""' and Col2 &lt;= date '""&amp;TEXT(K$8,""yyyy-mm-dd"")&amp;""' label sum(Col16) ''"",0)))"),"")</f>
        <v/>
      </c>
      <c r="L178" s="628" t="str">
        <f>IFERROR(__xludf.DUMMYFUNCTION("IF($G178="""","""",IFERROR(query({proventos!$B$5:$Q310},""Select sum(Col16) where Col1 = '""&amp;$G178&amp;""' and Col2 &gt; date '""&amp;TEXT(M$8,""yyyy-mm-dd"")&amp;""' and Col2 &lt;= date '""&amp;TEXT(L$8,""yyyy-mm-dd"")&amp;""' label sum(Col16) ''"",0)))"),"")</f>
        <v/>
      </c>
      <c r="M178" s="628" t="str">
        <f>IFERROR(__xludf.DUMMYFUNCTION("IF($G178="""","""",IFERROR(query({proventos!$B$5:$Q310},""Select sum(Col16) where Col1 = '""&amp;$G178&amp;""' and Col2 &gt; date '""&amp;TEXT(N$8,""yyyy-mm-dd"")&amp;""' and Col2 &lt;= date '""&amp;TEXT(M$8,""yyyy-mm-dd"")&amp;""' label sum(Col16) ''"",0)))"),"")</f>
        <v/>
      </c>
      <c r="N178" s="628" t="str">
        <f>IFERROR(__xludf.DUMMYFUNCTION("IF($G178="""","""",IFERROR(query({proventos!$B$5:$Q310},""Select sum(Col16) where Col1 = '""&amp;$G178&amp;""' and Col2 &gt; date '""&amp;TEXT(O$8,""yyyy-mm-dd"")&amp;""' and Col2 &lt;= date '""&amp;TEXT(N$8,""yyyy-mm-dd"")&amp;""' label sum(Col16) ''"",0)))"),"")</f>
        <v/>
      </c>
      <c r="O178" s="628" t="str">
        <f>IFERROR(__xludf.DUMMYFUNCTION("IF($G178="""","""",IFERROR(query({proventos!$B$5:$Q310},""Select sum(Col16) where Col1 = '""&amp;$G178&amp;""' and Col2 &gt; date '""&amp;TEXT(P$8,""yyyy-mm-dd"")&amp;""' and Col2 &lt;= date '""&amp;TEXT(O$8,""yyyy-mm-dd"")&amp;""' label sum(Col16) ''"",0)))"),"")</f>
        <v/>
      </c>
      <c r="P178" s="628" t="str">
        <f>IFERROR(__xludf.DUMMYFUNCTION("IF($G178="""","""",IFERROR(query({proventos!$B$5:$Q310},""Select sum(Col16) where Col1 = '""&amp;$G178&amp;""' and Col2 &gt; date '""&amp;TEXT(Q$8,""yyyy-mm-dd"")&amp;""' and Col2 &lt;= date '""&amp;TEXT(P$8,""yyyy-mm-dd"")&amp;""' label sum(Col16) ''"",0)))"),"")</f>
        <v/>
      </c>
      <c r="Q178" s="628" t="str">
        <f>IFERROR(__xludf.DUMMYFUNCTION("IF($G178="""","""",IFERROR(query({proventos!$B$5:$Q310},""Select sum(Col16) where Col1 = '""&amp;$G178&amp;""' and Col2 &gt; date '""&amp;TEXT(R$8,""yyyy-mm-dd"")&amp;""' and Col2 &lt;= date '""&amp;TEXT(Q$8,""yyyy-mm-dd"")&amp;""' label sum(Col16) ''"",0)))"),"")</f>
        <v/>
      </c>
      <c r="R178" s="628" t="str">
        <f>IFERROR(__xludf.DUMMYFUNCTION("IF($G178="""","""",IFERROR(query({proventos!$B$5:$Q310},""Select sum(Col16) where Col1 = '""&amp;$G178&amp;""' and Col2 &gt; date '""&amp;TEXT(S$8,""yyyy-mm-dd"")&amp;""' and Col2 &lt;= date '""&amp;TEXT(R$8,""yyyy-mm-dd"")&amp;""' label sum(Col16) ''"",0)))"),"")</f>
        <v/>
      </c>
      <c r="S178" s="628" t="str">
        <f>IFERROR(__xludf.DUMMYFUNCTION("IF($G178="""","""",IFERROR(query({proventos!$B$5:$Q310},""Select sum(Col16) where Col1 = '""&amp;$G178&amp;""' and Col2 &gt; date '""&amp;TEXT(T$8,""yyyy-mm-dd"")&amp;""' and Col2 &lt;= date '""&amp;TEXT(S$8,""yyyy-mm-dd"")&amp;""' label sum(Col16) ''"",0)))"),"")</f>
        <v/>
      </c>
      <c r="T178" s="628" t="str">
        <f>IFERROR(__xludf.DUMMYFUNCTION("IF($G178="""","""",IFERROR(query({proventos!$B$5:$Q310},""Select sum(Col16) where Col1 = '""&amp;$G178&amp;""' and Col2 &gt; date '""&amp;TEXT(U$8,""yyyy-mm-dd"")&amp;""' and Col2 &lt;= date '""&amp;TEXT(T$8,""yyyy-mm-dd"")&amp;""' label sum(Col16) ''"",0)))"),"")</f>
        <v/>
      </c>
      <c r="U178" s="629" t="str">
        <f>IFERROR(__xludf.DUMMYFUNCTION("IF($G178="""","""",IFERROR(query({proventos!$B$5:$Q310},""Select sum(Col16) where Col1 = '""&amp;$G178&amp;""' and Col2 &gt; date '""&amp;TEXT(EOMONTH(TODAY(),-13),""yyyy-mm-dd"")&amp;""' and Col2 &lt;= date '""&amp;TEXT(U$8,""yyyy-mm-dd"")&amp;""' label sum(Col16) ''"",0)))"),"")</f>
        <v/>
      </c>
      <c r="V178" s="630" t="str">
        <f>IFERROR(__xludf.DUMMYFUNCTION("IF($G178="""","""",IFERROR(query({proventos!$B$5:$Q310},""Select sum(Col16) where Col1 = '""&amp;$G178&amp;""' and Col2 &gt; date '""&amp;TEXT(DATE(V$8,1,1),""yyyy-mm-dd"")&amp;""' and Col2 &lt;= date '""&amp;TEXT(DATE(V$8,12,31),""yyyy-mm-dd"")&amp;""' label sum(Col16) ''"",0)))"),"")</f>
        <v/>
      </c>
      <c r="W178" s="630" t="str">
        <f>IFERROR(__xludf.DUMMYFUNCTION("IF($G178="""","""",IFERROR(query({proventos!$B$5:$Q310},""Select sum(Col16) where Col1 = '""&amp;$G178&amp;""' and Col2 &gt; date '""&amp;TEXT(DATE(W$8,1,1),""yyyy-mm-dd"")&amp;""' and Col2 &lt;= date '""&amp;TEXT(DATE(W$8,12,31),""yyyy-mm-dd"")&amp;""' label sum(Col16) ''"",0)))"),"")</f>
        <v/>
      </c>
      <c r="X178" s="630" t="str">
        <f>IFERROR(__xludf.DUMMYFUNCTION("IF($G178="""","""",IFERROR(query({proventos!$B$5:$Q310},""Select sum(Col16) where Col1 = '""&amp;$G178&amp;""' and Col2 &gt; date '""&amp;TEXT(DATE(X$8,1,1),""yyyy-mm-dd"")&amp;""' and Col2 &lt;= date '""&amp;TEXT(DATE(X$8,12,31),""yyyy-mm-dd"")&amp;""' label sum(Col16) ''"",0)))"),"")</f>
        <v/>
      </c>
      <c r="Y178" s="630" t="str">
        <f>IFERROR(__xludf.DUMMYFUNCTION("IF($G178="""","""",IFERROR(query({proventos!$B$5:$Q310},""Select sum(Col16) where Col1 = '""&amp;$G178&amp;""' and Col2 &gt; date '""&amp;TEXT(DATE(Y$8,1,1),""yyyy-mm-dd"")&amp;""' and Col2 &lt;= date '""&amp;TEXT(DATE(Y$8,12,31),""yyyy-mm-dd"")&amp;""' label sum(Col16) ''"",0)))"),"")</f>
        <v/>
      </c>
      <c r="Z178" s="630" t="str">
        <f>IFERROR(__xludf.DUMMYFUNCTION("IF($G178="""","""",IFERROR(query({proventos!$B$5:$Q310},""Select sum(Col16) where Col1 = '""&amp;$G178&amp;""' and Col2 &gt; date '""&amp;TEXT(DATE(Z$8,1,1),""yyyy-mm-dd"")&amp;""' and Col2 &lt;= date '""&amp;TEXT(DATE(Z$8,12,31),""yyyy-mm-dd"")&amp;""' label sum(Col16) ''"",0)))"),"")</f>
        <v/>
      </c>
      <c r="AA178" s="587"/>
      <c r="AB178" s="578" t="s">
        <v>123</v>
      </c>
      <c r="AC178" s="601"/>
      <c r="AD178" s="636"/>
      <c r="AE178" s="636"/>
    </row>
    <row r="179">
      <c r="A179" s="576"/>
      <c r="B179" s="620"/>
      <c r="C179" s="637"/>
      <c r="D179" s="633"/>
      <c r="E179" s="633"/>
      <c r="F179" s="624">
        <v>169.0</v>
      </c>
      <c r="G179" s="635"/>
      <c r="H179" s="626" t="str">
        <f>if(G179="","",IFERROR(VLOOKUP(G179,AtivosDados,MATCH("provento_avg",portfolio.!$A$3:AE$3,0),FALSE),""))</f>
        <v/>
      </c>
      <c r="I179" s="627" t="s">
        <v>123</v>
      </c>
      <c r="J179" s="628" t="str">
        <f>IFERROR(__xludf.DUMMYFUNCTION("IF($G179="""","""",IFERROR(query({proventos!$B$5:$Q310},""Select sum(Col16) where Col1 = '""&amp;$G179&amp;""' and Col2 &gt; date '""&amp;TEXT(K$8,""yyyy-mm-dd"")&amp;""' and Col2 &lt;= date '""&amp;TEXT(J$8,""yyyy-mm-dd"")&amp;""' label sum(Col16) ''"",0)))"),"")</f>
        <v/>
      </c>
      <c r="K179" s="628" t="str">
        <f>IFERROR(__xludf.DUMMYFUNCTION("IF($G179="""","""",IFERROR(query({proventos!$B$5:$Q310},""Select sum(Col16) where Col1 = '""&amp;$G179&amp;""' and Col2 &gt; date '""&amp;TEXT(L$8,""yyyy-mm-dd"")&amp;""' and Col2 &lt;= date '""&amp;TEXT(K$8,""yyyy-mm-dd"")&amp;""' label sum(Col16) ''"",0)))"),"")</f>
        <v/>
      </c>
      <c r="L179" s="628" t="str">
        <f>IFERROR(__xludf.DUMMYFUNCTION("IF($G179="""","""",IFERROR(query({proventos!$B$5:$Q310},""Select sum(Col16) where Col1 = '""&amp;$G179&amp;""' and Col2 &gt; date '""&amp;TEXT(M$8,""yyyy-mm-dd"")&amp;""' and Col2 &lt;= date '""&amp;TEXT(L$8,""yyyy-mm-dd"")&amp;""' label sum(Col16) ''"",0)))"),"")</f>
        <v/>
      </c>
      <c r="M179" s="628" t="str">
        <f>IFERROR(__xludf.DUMMYFUNCTION("IF($G179="""","""",IFERROR(query({proventos!$B$5:$Q310},""Select sum(Col16) where Col1 = '""&amp;$G179&amp;""' and Col2 &gt; date '""&amp;TEXT(N$8,""yyyy-mm-dd"")&amp;""' and Col2 &lt;= date '""&amp;TEXT(M$8,""yyyy-mm-dd"")&amp;""' label sum(Col16) ''"",0)))"),"")</f>
        <v/>
      </c>
      <c r="N179" s="628" t="str">
        <f>IFERROR(__xludf.DUMMYFUNCTION("IF($G179="""","""",IFERROR(query({proventos!$B$5:$Q310},""Select sum(Col16) where Col1 = '""&amp;$G179&amp;""' and Col2 &gt; date '""&amp;TEXT(O$8,""yyyy-mm-dd"")&amp;""' and Col2 &lt;= date '""&amp;TEXT(N$8,""yyyy-mm-dd"")&amp;""' label sum(Col16) ''"",0)))"),"")</f>
        <v/>
      </c>
      <c r="O179" s="628" t="str">
        <f>IFERROR(__xludf.DUMMYFUNCTION("IF($G179="""","""",IFERROR(query({proventos!$B$5:$Q310},""Select sum(Col16) where Col1 = '""&amp;$G179&amp;""' and Col2 &gt; date '""&amp;TEXT(P$8,""yyyy-mm-dd"")&amp;""' and Col2 &lt;= date '""&amp;TEXT(O$8,""yyyy-mm-dd"")&amp;""' label sum(Col16) ''"",0)))"),"")</f>
        <v/>
      </c>
      <c r="P179" s="628" t="str">
        <f>IFERROR(__xludf.DUMMYFUNCTION("IF($G179="""","""",IFERROR(query({proventos!$B$5:$Q310},""Select sum(Col16) where Col1 = '""&amp;$G179&amp;""' and Col2 &gt; date '""&amp;TEXT(Q$8,""yyyy-mm-dd"")&amp;""' and Col2 &lt;= date '""&amp;TEXT(P$8,""yyyy-mm-dd"")&amp;""' label sum(Col16) ''"",0)))"),"")</f>
        <v/>
      </c>
      <c r="Q179" s="628" t="str">
        <f>IFERROR(__xludf.DUMMYFUNCTION("IF($G179="""","""",IFERROR(query({proventos!$B$5:$Q310},""Select sum(Col16) where Col1 = '""&amp;$G179&amp;""' and Col2 &gt; date '""&amp;TEXT(R$8,""yyyy-mm-dd"")&amp;""' and Col2 &lt;= date '""&amp;TEXT(Q$8,""yyyy-mm-dd"")&amp;""' label sum(Col16) ''"",0)))"),"")</f>
        <v/>
      </c>
      <c r="R179" s="628" t="str">
        <f>IFERROR(__xludf.DUMMYFUNCTION("IF($G179="""","""",IFERROR(query({proventos!$B$5:$Q310},""Select sum(Col16) where Col1 = '""&amp;$G179&amp;""' and Col2 &gt; date '""&amp;TEXT(S$8,""yyyy-mm-dd"")&amp;""' and Col2 &lt;= date '""&amp;TEXT(R$8,""yyyy-mm-dd"")&amp;""' label sum(Col16) ''"",0)))"),"")</f>
        <v/>
      </c>
      <c r="S179" s="628" t="str">
        <f>IFERROR(__xludf.DUMMYFUNCTION("IF($G179="""","""",IFERROR(query({proventos!$B$5:$Q310},""Select sum(Col16) where Col1 = '""&amp;$G179&amp;""' and Col2 &gt; date '""&amp;TEXT(T$8,""yyyy-mm-dd"")&amp;""' and Col2 &lt;= date '""&amp;TEXT(S$8,""yyyy-mm-dd"")&amp;""' label sum(Col16) ''"",0)))"),"")</f>
        <v/>
      </c>
      <c r="T179" s="628" t="str">
        <f>IFERROR(__xludf.DUMMYFUNCTION("IF($G179="""","""",IFERROR(query({proventos!$B$5:$Q310},""Select sum(Col16) where Col1 = '""&amp;$G179&amp;""' and Col2 &gt; date '""&amp;TEXT(U$8,""yyyy-mm-dd"")&amp;""' and Col2 &lt;= date '""&amp;TEXT(T$8,""yyyy-mm-dd"")&amp;""' label sum(Col16) ''"",0)))"),"")</f>
        <v/>
      </c>
      <c r="U179" s="629" t="str">
        <f>IFERROR(__xludf.DUMMYFUNCTION("IF($G179="""","""",IFERROR(query({proventos!$B$5:$Q310},""Select sum(Col16) where Col1 = '""&amp;$G179&amp;""' and Col2 &gt; date '""&amp;TEXT(EOMONTH(TODAY(),-13),""yyyy-mm-dd"")&amp;""' and Col2 &lt;= date '""&amp;TEXT(U$8,""yyyy-mm-dd"")&amp;""' label sum(Col16) ''"",0)))"),"")</f>
        <v/>
      </c>
      <c r="V179" s="630" t="str">
        <f>IFERROR(__xludf.DUMMYFUNCTION("IF($G179="""","""",IFERROR(query({proventos!$B$5:$Q310},""Select sum(Col16) where Col1 = '""&amp;$G179&amp;""' and Col2 &gt; date '""&amp;TEXT(DATE(V$8,1,1),""yyyy-mm-dd"")&amp;""' and Col2 &lt;= date '""&amp;TEXT(DATE(V$8,12,31),""yyyy-mm-dd"")&amp;""' label sum(Col16) ''"",0)))"),"")</f>
        <v/>
      </c>
      <c r="W179" s="630" t="str">
        <f>IFERROR(__xludf.DUMMYFUNCTION("IF($G179="""","""",IFERROR(query({proventos!$B$5:$Q310},""Select sum(Col16) where Col1 = '""&amp;$G179&amp;""' and Col2 &gt; date '""&amp;TEXT(DATE(W$8,1,1),""yyyy-mm-dd"")&amp;""' and Col2 &lt;= date '""&amp;TEXT(DATE(W$8,12,31),""yyyy-mm-dd"")&amp;""' label sum(Col16) ''"",0)))"),"")</f>
        <v/>
      </c>
      <c r="X179" s="630" t="str">
        <f>IFERROR(__xludf.DUMMYFUNCTION("IF($G179="""","""",IFERROR(query({proventos!$B$5:$Q310},""Select sum(Col16) where Col1 = '""&amp;$G179&amp;""' and Col2 &gt; date '""&amp;TEXT(DATE(X$8,1,1),""yyyy-mm-dd"")&amp;""' and Col2 &lt;= date '""&amp;TEXT(DATE(X$8,12,31),""yyyy-mm-dd"")&amp;""' label sum(Col16) ''"",0)))"),"")</f>
        <v/>
      </c>
      <c r="Y179" s="630" t="str">
        <f>IFERROR(__xludf.DUMMYFUNCTION("IF($G179="""","""",IFERROR(query({proventos!$B$5:$Q310},""Select sum(Col16) where Col1 = '""&amp;$G179&amp;""' and Col2 &gt; date '""&amp;TEXT(DATE(Y$8,1,1),""yyyy-mm-dd"")&amp;""' and Col2 &lt;= date '""&amp;TEXT(DATE(Y$8,12,31),""yyyy-mm-dd"")&amp;""' label sum(Col16) ''"",0)))"),"")</f>
        <v/>
      </c>
      <c r="Z179" s="630" t="str">
        <f>IFERROR(__xludf.DUMMYFUNCTION("IF($G179="""","""",IFERROR(query({proventos!$B$5:$Q310},""Select sum(Col16) where Col1 = '""&amp;$G179&amp;""' and Col2 &gt; date '""&amp;TEXT(DATE(Z$8,1,1),""yyyy-mm-dd"")&amp;""' and Col2 &lt;= date '""&amp;TEXT(DATE(Z$8,12,31),""yyyy-mm-dd"")&amp;""' label sum(Col16) ''"",0)))"),"")</f>
        <v/>
      </c>
      <c r="AA179" s="587"/>
      <c r="AB179" s="578" t="s">
        <v>123</v>
      </c>
      <c r="AC179" s="601"/>
      <c r="AD179" s="636"/>
      <c r="AE179" s="636"/>
    </row>
    <row r="180">
      <c r="A180" s="576"/>
      <c r="B180" s="620"/>
      <c r="C180" s="637"/>
      <c r="D180" s="633"/>
      <c r="E180" s="633"/>
      <c r="F180" s="624">
        <v>170.0</v>
      </c>
      <c r="G180" s="635"/>
      <c r="H180" s="626" t="str">
        <f>if(G180="","",IFERROR(VLOOKUP(G180,AtivosDados,MATCH("provento_avg",portfolio.!$A$3:AE$3,0),FALSE),""))</f>
        <v/>
      </c>
      <c r="I180" s="627" t="s">
        <v>123</v>
      </c>
      <c r="J180" s="628" t="str">
        <f>IFERROR(__xludf.DUMMYFUNCTION("IF($G180="""","""",IFERROR(query({proventos!$B$5:$Q310},""Select sum(Col16) where Col1 = '""&amp;$G180&amp;""' and Col2 &gt; date '""&amp;TEXT(K$8,""yyyy-mm-dd"")&amp;""' and Col2 &lt;= date '""&amp;TEXT(J$8,""yyyy-mm-dd"")&amp;""' label sum(Col16) ''"",0)))"),"")</f>
        <v/>
      </c>
      <c r="K180" s="628" t="str">
        <f>IFERROR(__xludf.DUMMYFUNCTION("IF($G180="""","""",IFERROR(query({proventos!$B$5:$Q310},""Select sum(Col16) where Col1 = '""&amp;$G180&amp;""' and Col2 &gt; date '""&amp;TEXT(L$8,""yyyy-mm-dd"")&amp;""' and Col2 &lt;= date '""&amp;TEXT(K$8,""yyyy-mm-dd"")&amp;""' label sum(Col16) ''"",0)))"),"")</f>
        <v/>
      </c>
      <c r="L180" s="628" t="str">
        <f>IFERROR(__xludf.DUMMYFUNCTION("IF($G180="""","""",IFERROR(query({proventos!$B$5:$Q310},""Select sum(Col16) where Col1 = '""&amp;$G180&amp;""' and Col2 &gt; date '""&amp;TEXT(M$8,""yyyy-mm-dd"")&amp;""' and Col2 &lt;= date '""&amp;TEXT(L$8,""yyyy-mm-dd"")&amp;""' label sum(Col16) ''"",0)))"),"")</f>
        <v/>
      </c>
      <c r="M180" s="628" t="str">
        <f>IFERROR(__xludf.DUMMYFUNCTION("IF($G180="""","""",IFERROR(query({proventos!$B$5:$Q310},""Select sum(Col16) where Col1 = '""&amp;$G180&amp;""' and Col2 &gt; date '""&amp;TEXT(N$8,""yyyy-mm-dd"")&amp;""' and Col2 &lt;= date '""&amp;TEXT(M$8,""yyyy-mm-dd"")&amp;""' label sum(Col16) ''"",0)))"),"")</f>
        <v/>
      </c>
      <c r="N180" s="628" t="str">
        <f>IFERROR(__xludf.DUMMYFUNCTION("IF($G180="""","""",IFERROR(query({proventos!$B$5:$Q310},""Select sum(Col16) where Col1 = '""&amp;$G180&amp;""' and Col2 &gt; date '""&amp;TEXT(O$8,""yyyy-mm-dd"")&amp;""' and Col2 &lt;= date '""&amp;TEXT(N$8,""yyyy-mm-dd"")&amp;""' label sum(Col16) ''"",0)))"),"")</f>
        <v/>
      </c>
      <c r="O180" s="628" t="str">
        <f>IFERROR(__xludf.DUMMYFUNCTION("IF($G180="""","""",IFERROR(query({proventos!$B$5:$Q310},""Select sum(Col16) where Col1 = '""&amp;$G180&amp;""' and Col2 &gt; date '""&amp;TEXT(P$8,""yyyy-mm-dd"")&amp;""' and Col2 &lt;= date '""&amp;TEXT(O$8,""yyyy-mm-dd"")&amp;""' label sum(Col16) ''"",0)))"),"")</f>
        <v/>
      </c>
      <c r="P180" s="628" t="str">
        <f>IFERROR(__xludf.DUMMYFUNCTION("IF($G180="""","""",IFERROR(query({proventos!$B$5:$Q310},""Select sum(Col16) where Col1 = '""&amp;$G180&amp;""' and Col2 &gt; date '""&amp;TEXT(Q$8,""yyyy-mm-dd"")&amp;""' and Col2 &lt;= date '""&amp;TEXT(P$8,""yyyy-mm-dd"")&amp;""' label sum(Col16) ''"",0)))"),"")</f>
        <v/>
      </c>
      <c r="Q180" s="628" t="str">
        <f>IFERROR(__xludf.DUMMYFUNCTION("IF($G180="""","""",IFERROR(query({proventos!$B$5:$Q310},""Select sum(Col16) where Col1 = '""&amp;$G180&amp;""' and Col2 &gt; date '""&amp;TEXT(R$8,""yyyy-mm-dd"")&amp;""' and Col2 &lt;= date '""&amp;TEXT(Q$8,""yyyy-mm-dd"")&amp;""' label sum(Col16) ''"",0)))"),"")</f>
        <v/>
      </c>
      <c r="R180" s="628" t="str">
        <f>IFERROR(__xludf.DUMMYFUNCTION("IF($G180="""","""",IFERROR(query({proventos!$B$5:$Q310},""Select sum(Col16) where Col1 = '""&amp;$G180&amp;""' and Col2 &gt; date '""&amp;TEXT(S$8,""yyyy-mm-dd"")&amp;""' and Col2 &lt;= date '""&amp;TEXT(R$8,""yyyy-mm-dd"")&amp;""' label sum(Col16) ''"",0)))"),"")</f>
        <v/>
      </c>
      <c r="S180" s="628" t="str">
        <f>IFERROR(__xludf.DUMMYFUNCTION("IF($G180="""","""",IFERROR(query({proventos!$B$5:$Q310},""Select sum(Col16) where Col1 = '""&amp;$G180&amp;""' and Col2 &gt; date '""&amp;TEXT(T$8,""yyyy-mm-dd"")&amp;""' and Col2 &lt;= date '""&amp;TEXT(S$8,""yyyy-mm-dd"")&amp;""' label sum(Col16) ''"",0)))"),"")</f>
        <v/>
      </c>
      <c r="T180" s="628" t="str">
        <f>IFERROR(__xludf.DUMMYFUNCTION("IF($G180="""","""",IFERROR(query({proventos!$B$5:$Q310},""Select sum(Col16) where Col1 = '""&amp;$G180&amp;""' and Col2 &gt; date '""&amp;TEXT(U$8,""yyyy-mm-dd"")&amp;""' and Col2 &lt;= date '""&amp;TEXT(T$8,""yyyy-mm-dd"")&amp;""' label sum(Col16) ''"",0)))"),"")</f>
        <v/>
      </c>
      <c r="U180" s="629" t="str">
        <f>IFERROR(__xludf.DUMMYFUNCTION("IF($G180="""","""",IFERROR(query({proventos!$B$5:$Q310},""Select sum(Col16) where Col1 = '""&amp;$G180&amp;""' and Col2 &gt; date '""&amp;TEXT(EOMONTH(TODAY(),-13),""yyyy-mm-dd"")&amp;""' and Col2 &lt;= date '""&amp;TEXT(U$8,""yyyy-mm-dd"")&amp;""' label sum(Col16) ''"",0)))"),"")</f>
        <v/>
      </c>
      <c r="V180" s="630" t="str">
        <f>IFERROR(__xludf.DUMMYFUNCTION("IF($G180="""","""",IFERROR(query({proventos!$B$5:$Q310},""Select sum(Col16) where Col1 = '""&amp;$G180&amp;""' and Col2 &gt; date '""&amp;TEXT(DATE(V$8,1,1),""yyyy-mm-dd"")&amp;""' and Col2 &lt;= date '""&amp;TEXT(DATE(V$8,12,31),""yyyy-mm-dd"")&amp;""' label sum(Col16) ''"",0)))"),"")</f>
        <v/>
      </c>
      <c r="W180" s="630" t="str">
        <f>IFERROR(__xludf.DUMMYFUNCTION("IF($G180="""","""",IFERROR(query({proventos!$B$5:$Q310},""Select sum(Col16) where Col1 = '""&amp;$G180&amp;""' and Col2 &gt; date '""&amp;TEXT(DATE(W$8,1,1),""yyyy-mm-dd"")&amp;""' and Col2 &lt;= date '""&amp;TEXT(DATE(W$8,12,31),""yyyy-mm-dd"")&amp;""' label sum(Col16) ''"",0)))"),"")</f>
        <v/>
      </c>
      <c r="X180" s="630" t="str">
        <f>IFERROR(__xludf.DUMMYFUNCTION("IF($G180="""","""",IFERROR(query({proventos!$B$5:$Q310},""Select sum(Col16) where Col1 = '""&amp;$G180&amp;""' and Col2 &gt; date '""&amp;TEXT(DATE(X$8,1,1),""yyyy-mm-dd"")&amp;""' and Col2 &lt;= date '""&amp;TEXT(DATE(X$8,12,31),""yyyy-mm-dd"")&amp;""' label sum(Col16) ''"",0)))"),"")</f>
        <v/>
      </c>
      <c r="Y180" s="630" t="str">
        <f>IFERROR(__xludf.DUMMYFUNCTION("IF($G180="""","""",IFERROR(query({proventos!$B$5:$Q310},""Select sum(Col16) where Col1 = '""&amp;$G180&amp;""' and Col2 &gt; date '""&amp;TEXT(DATE(Y$8,1,1),""yyyy-mm-dd"")&amp;""' and Col2 &lt;= date '""&amp;TEXT(DATE(Y$8,12,31),""yyyy-mm-dd"")&amp;""' label sum(Col16) ''"",0)))"),"")</f>
        <v/>
      </c>
      <c r="Z180" s="630" t="str">
        <f>IFERROR(__xludf.DUMMYFUNCTION("IF($G180="""","""",IFERROR(query({proventos!$B$5:$Q310},""Select sum(Col16) where Col1 = '""&amp;$G180&amp;""' and Col2 &gt; date '""&amp;TEXT(DATE(Z$8,1,1),""yyyy-mm-dd"")&amp;""' and Col2 &lt;= date '""&amp;TEXT(DATE(Z$8,12,31),""yyyy-mm-dd"")&amp;""' label sum(Col16) ''"",0)))"),"")</f>
        <v/>
      </c>
      <c r="AA180" s="587"/>
      <c r="AB180" s="578" t="s">
        <v>123</v>
      </c>
      <c r="AC180" s="601"/>
      <c r="AD180" s="636"/>
      <c r="AE180" s="636"/>
    </row>
    <row r="181">
      <c r="A181" s="576"/>
      <c r="B181" s="620"/>
      <c r="C181" s="637"/>
      <c r="D181" s="633"/>
      <c r="E181" s="633"/>
      <c r="F181" s="624">
        <v>171.0</v>
      </c>
      <c r="G181" s="635"/>
      <c r="H181" s="626" t="str">
        <f>if(G181="","",IFERROR(VLOOKUP(G181,AtivosDados,MATCH("provento_avg",portfolio.!$A$3:AE$3,0),FALSE),""))</f>
        <v/>
      </c>
      <c r="I181" s="627" t="s">
        <v>123</v>
      </c>
      <c r="J181" s="628" t="str">
        <f>IFERROR(__xludf.DUMMYFUNCTION("IF($G181="""","""",IFERROR(query({proventos!$B$5:$Q310},""Select sum(Col16) where Col1 = '""&amp;$G181&amp;""' and Col2 &gt; date '""&amp;TEXT(K$8,""yyyy-mm-dd"")&amp;""' and Col2 &lt;= date '""&amp;TEXT(J$8,""yyyy-mm-dd"")&amp;""' label sum(Col16) ''"",0)))"),"")</f>
        <v/>
      </c>
      <c r="K181" s="628" t="str">
        <f>IFERROR(__xludf.DUMMYFUNCTION("IF($G181="""","""",IFERROR(query({proventos!$B$5:$Q310},""Select sum(Col16) where Col1 = '""&amp;$G181&amp;""' and Col2 &gt; date '""&amp;TEXT(L$8,""yyyy-mm-dd"")&amp;""' and Col2 &lt;= date '""&amp;TEXT(K$8,""yyyy-mm-dd"")&amp;""' label sum(Col16) ''"",0)))"),"")</f>
        <v/>
      </c>
      <c r="L181" s="628" t="str">
        <f>IFERROR(__xludf.DUMMYFUNCTION("IF($G181="""","""",IFERROR(query({proventos!$B$5:$Q310},""Select sum(Col16) where Col1 = '""&amp;$G181&amp;""' and Col2 &gt; date '""&amp;TEXT(M$8,""yyyy-mm-dd"")&amp;""' and Col2 &lt;= date '""&amp;TEXT(L$8,""yyyy-mm-dd"")&amp;""' label sum(Col16) ''"",0)))"),"")</f>
        <v/>
      </c>
      <c r="M181" s="628" t="str">
        <f>IFERROR(__xludf.DUMMYFUNCTION("IF($G181="""","""",IFERROR(query({proventos!$B$5:$Q310},""Select sum(Col16) where Col1 = '""&amp;$G181&amp;""' and Col2 &gt; date '""&amp;TEXT(N$8,""yyyy-mm-dd"")&amp;""' and Col2 &lt;= date '""&amp;TEXT(M$8,""yyyy-mm-dd"")&amp;""' label sum(Col16) ''"",0)))"),"")</f>
        <v/>
      </c>
      <c r="N181" s="628" t="str">
        <f>IFERROR(__xludf.DUMMYFUNCTION("IF($G181="""","""",IFERROR(query({proventos!$B$5:$Q310},""Select sum(Col16) where Col1 = '""&amp;$G181&amp;""' and Col2 &gt; date '""&amp;TEXT(O$8,""yyyy-mm-dd"")&amp;""' and Col2 &lt;= date '""&amp;TEXT(N$8,""yyyy-mm-dd"")&amp;""' label sum(Col16) ''"",0)))"),"")</f>
        <v/>
      </c>
      <c r="O181" s="628" t="str">
        <f>IFERROR(__xludf.DUMMYFUNCTION("IF($G181="""","""",IFERROR(query({proventos!$B$5:$Q310},""Select sum(Col16) where Col1 = '""&amp;$G181&amp;""' and Col2 &gt; date '""&amp;TEXT(P$8,""yyyy-mm-dd"")&amp;""' and Col2 &lt;= date '""&amp;TEXT(O$8,""yyyy-mm-dd"")&amp;""' label sum(Col16) ''"",0)))"),"")</f>
        <v/>
      </c>
      <c r="P181" s="628" t="str">
        <f>IFERROR(__xludf.DUMMYFUNCTION("IF($G181="""","""",IFERROR(query({proventos!$B$5:$Q310},""Select sum(Col16) where Col1 = '""&amp;$G181&amp;""' and Col2 &gt; date '""&amp;TEXT(Q$8,""yyyy-mm-dd"")&amp;""' and Col2 &lt;= date '""&amp;TEXT(P$8,""yyyy-mm-dd"")&amp;""' label sum(Col16) ''"",0)))"),"")</f>
        <v/>
      </c>
      <c r="Q181" s="628" t="str">
        <f>IFERROR(__xludf.DUMMYFUNCTION("IF($G181="""","""",IFERROR(query({proventos!$B$5:$Q310},""Select sum(Col16) where Col1 = '""&amp;$G181&amp;""' and Col2 &gt; date '""&amp;TEXT(R$8,""yyyy-mm-dd"")&amp;""' and Col2 &lt;= date '""&amp;TEXT(Q$8,""yyyy-mm-dd"")&amp;""' label sum(Col16) ''"",0)))"),"")</f>
        <v/>
      </c>
      <c r="R181" s="628" t="str">
        <f>IFERROR(__xludf.DUMMYFUNCTION("IF($G181="""","""",IFERROR(query({proventos!$B$5:$Q310},""Select sum(Col16) where Col1 = '""&amp;$G181&amp;""' and Col2 &gt; date '""&amp;TEXT(S$8,""yyyy-mm-dd"")&amp;""' and Col2 &lt;= date '""&amp;TEXT(R$8,""yyyy-mm-dd"")&amp;""' label sum(Col16) ''"",0)))"),"")</f>
        <v/>
      </c>
      <c r="S181" s="628" t="str">
        <f>IFERROR(__xludf.DUMMYFUNCTION("IF($G181="""","""",IFERROR(query({proventos!$B$5:$Q310},""Select sum(Col16) where Col1 = '""&amp;$G181&amp;""' and Col2 &gt; date '""&amp;TEXT(T$8,""yyyy-mm-dd"")&amp;""' and Col2 &lt;= date '""&amp;TEXT(S$8,""yyyy-mm-dd"")&amp;""' label sum(Col16) ''"",0)))"),"")</f>
        <v/>
      </c>
      <c r="T181" s="628" t="str">
        <f>IFERROR(__xludf.DUMMYFUNCTION("IF($G181="""","""",IFERROR(query({proventos!$B$5:$Q310},""Select sum(Col16) where Col1 = '""&amp;$G181&amp;""' and Col2 &gt; date '""&amp;TEXT(U$8,""yyyy-mm-dd"")&amp;""' and Col2 &lt;= date '""&amp;TEXT(T$8,""yyyy-mm-dd"")&amp;""' label sum(Col16) ''"",0)))"),"")</f>
        <v/>
      </c>
      <c r="U181" s="629" t="str">
        <f>IFERROR(__xludf.DUMMYFUNCTION("IF($G181="""","""",IFERROR(query({proventos!$B$5:$Q310},""Select sum(Col16) where Col1 = '""&amp;$G181&amp;""' and Col2 &gt; date '""&amp;TEXT(EOMONTH(TODAY(),-13),""yyyy-mm-dd"")&amp;""' and Col2 &lt;= date '""&amp;TEXT(U$8,""yyyy-mm-dd"")&amp;""' label sum(Col16) ''"",0)))"),"")</f>
        <v/>
      </c>
      <c r="V181" s="630" t="str">
        <f>IFERROR(__xludf.DUMMYFUNCTION("IF($G181="""","""",IFERROR(query({proventos!$B$5:$Q310},""Select sum(Col16) where Col1 = '""&amp;$G181&amp;""' and Col2 &gt; date '""&amp;TEXT(DATE(V$8,1,1),""yyyy-mm-dd"")&amp;""' and Col2 &lt;= date '""&amp;TEXT(DATE(V$8,12,31),""yyyy-mm-dd"")&amp;""' label sum(Col16) ''"",0)))"),"")</f>
        <v/>
      </c>
      <c r="W181" s="630" t="str">
        <f>IFERROR(__xludf.DUMMYFUNCTION("IF($G181="""","""",IFERROR(query({proventos!$B$5:$Q310},""Select sum(Col16) where Col1 = '""&amp;$G181&amp;""' and Col2 &gt; date '""&amp;TEXT(DATE(W$8,1,1),""yyyy-mm-dd"")&amp;""' and Col2 &lt;= date '""&amp;TEXT(DATE(W$8,12,31),""yyyy-mm-dd"")&amp;""' label sum(Col16) ''"",0)))"),"")</f>
        <v/>
      </c>
      <c r="X181" s="630" t="str">
        <f>IFERROR(__xludf.DUMMYFUNCTION("IF($G181="""","""",IFERROR(query({proventos!$B$5:$Q310},""Select sum(Col16) where Col1 = '""&amp;$G181&amp;""' and Col2 &gt; date '""&amp;TEXT(DATE(X$8,1,1),""yyyy-mm-dd"")&amp;""' and Col2 &lt;= date '""&amp;TEXT(DATE(X$8,12,31),""yyyy-mm-dd"")&amp;""' label sum(Col16) ''"",0)))"),"")</f>
        <v/>
      </c>
      <c r="Y181" s="630" t="str">
        <f>IFERROR(__xludf.DUMMYFUNCTION("IF($G181="""","""",IFERROR(query({proventos!$B$5:$Q310},""Select sum(Col16) where Col1 = '""&amp;$G181&amp;""' and Col2 &gt; date '""&amp;TEXT(DATE(Y$8,1,1),""yyyy-mm-dd"")&amp;""' and Col2 &lt;= date '""&amp;TEXT(DATE(Y$8,12,31),""yyyy-mm-dd"")&amp;""' label sum(Col16) ''"",0)))"),"")</f>
        <v/>
      </c>
      <c r="Z181" s="630" t="str">
        <f>IFERROR(__xludf.DUMMYFUNCTION("IF($G181="""","""",IFERROR(query({proventos!$B$5:$Q310},""Select sum(Col16) where Col1 = '""&amp;$G181&amp;""' and Col2 &gt; date '""&amp;TEXT(DATE(Z$8,1,1),""yyyy-mm-dd"")&amp;""' and Col2 &lt;= date '""&amp;TEXT(DATE(Z$8,12,31),""yyyy-mm-dd"")&amp;""' label sum(Col16) ''"",0)))"),"")</f>
        <v/>
      </c>
      <c r="AA181" s="587"/>
      <c r="AB181" s="578" t="s">
        <v>123</v>
      </c>
      <c r="AC181" s="601"/>
      <c r="AD181" s="636"/>
      <c r="AE181" s="636"/>
    </row>
    <row r="182">
      <c r="A182" s="576"/>
      <c r="B182" s="620"/>
      <c r="C182" s="637"/>
      <c r="D182" s="633"/>
      <c r="E182" s="633"/>
      <c r="F182" s="624">
        <v>172.0</v>
      </c>
      <c r="G182" s="635"/>
      <c r="H182" s="626" t="str">
        <f>if(G182="","",IFERROR(VLOOKUP(G182,AtivosDados,MATCH("provento_avg",portfolio.!$A$3:AE$3,0),FALSE),""))</f>
        <v/>
      </c>
      <c r="I182" s="627" t="s">
        <v>123</v>
      </c>
      <c r="J182" s="628" t="str">
        <f>IFERROR(__xludf.DUMMYFUNCTION("IF($G182="""","""",IFERROR(query({proventos!$B$5:$Q310},""Select sum(Col16) where Col1 = '""&amp;$G182&amp;""' and Col2 &gt; date '""&amp;TEXT(K$8,""yyyy-mm-dd"")&amp;""' and Col2 &lt;= date '""&amp;TEXT(J$8,""yyyy-mm-dd"")&amp;""' label sum(Col16) ''"",0)))"),"")</f>
        <v/>
      </c>
      <c r="K182" s="628" t="str">
        <f>IFERROR(__xludf.DUMMYFUNCTION("IF($G182="""","""",IFERROR(query({proventos!$B$5:$Q310},""Select sum(Col16) where Col1 = '""&amp;$G182&amp;""' and Col2 &gt; date '""&amp;TEXT(L$8,""yyyy-mm-dd"")&amp;""' and Col2 &lt;= date '""&amp;TEXT(K$8,""yyyy-mm-dd"")&amp;""' label sum(Col16) ''"",0)))"),"")</f>
        <v/>
      </c>
      <c r="L182" s="628" t="str">
        <f>IFERROR(__xludf.DUMMYFUNCTION("IF($G182="""","""",IFERROR(query({proventos!$B$5:$Q310},""Select sum(Col16) where Col1 = '""&amp;$G182&amp;""' and Col2 &gt; date '""&amp;TEXT(M$8,""yyyy-mm-dd"")&amp;""' and Col2 &lt;= date '""&amp;TEXT(L$8,""yyyy-mm-dd"")&amp;""' label sum(Col16) ''"",0)))"),"")</f>
        <v/>
      </c>
      <c r="M182" s="628" t="str">
        <f>IFERROR(__xludf.DUMMYFUNCTION("IF($G182="""","""",IFERROR(query({proventos!$B$5:$Q310},""Select sum(Col16) where Col1 = '""&amp;$G182&amp;""' and Col2 &gt; date '""&amp;TEXT(N$8,""yyyy-mm-dd"")&amp;""' and Col2 &lt;= date '""&amp;TEXT(M$8,""yyyy-mm-dd"")&amp;""' label sum(Col16) ''"",0)))"),"")</f>
        <v/>
      </c>
      <c r="N182" s="628" t="str">
        <f>IFERROR(__xludf.DUMMYFUNCTION("IF($G182="""","""",IFERROR(query({proventos!$B$5:$Q310},""Select sum(Col16) where Col1 = '""&amp;$G182&amp;""' and Col2 &gt; date '""&amp;TEXT(O$8,""yyyy-mm-dd"")&amp;""' and Col2 &lt;= date '""&amp;TEXT(N$8,""yyyy-mm-dd"")&amp;""' label sum(Col16) ''"",0)))"),"")</f>
        <v/>
      </c>
      <c r="O182" s="628" t="str">
        <f>IFERROR(__xludf.DUMMYFUNCTION("IF($G182="""","""",IFERROR(query({proventos!$B$5:$Q310},""Select sum(Col16) where Col1 = '""&amp;$G182&amp;""' and Col2 &gt; date '""&amp;TEXT(P$8,""yyyy-mm-dd"")&amp;""' and Col2 &lt;= date '""&amp;TEXT(O$8,""yyyy-mm-dd"")&amp;""' label sum(Col16) ''"",0)))"),"")</f>
        <v/>
      </c>
      <c r="P182" s="628" t="str">
        <f>IFERROR(__xludf.DUMMYFUNCTION("IF($G182="""","""",IFERROR(query({proventos!$B$5:$Q310},""Select sum(Col16) where Col1 = '""&amp;$G182&amp;""' and Col2 &gt; date '""&amp;TEXT(Q$8,""yyyy-mm-dd"")&amp;""' and Col2 &lt;= date '""&amp;TEXT(P$8,""yyyy-mm-dd"")&amp;""' label sum(Col16) ''"",0)))"),"")</f>
        <v/>
      </c>
      <c r="Q182" s="628" t="str">
        <f>IFERROR(__xludf.DUMMYFUNCTION("IF($G182="""","""",IFERROR(query({proventos!$B$5:$Q310},""Select sum(Col16) where Col1 = '""&amp;$G182&amp;""' and Col2 &gt; date '""&amp;TEXT(R$8,""yyyy-mm-dd"")&amp;""' and Col2 &lt;= date '""&amp;TEXT(Q$8,""yyyy-mm-dd"")&amp;""' label sum(Col16) ''"",0)))"),"")</f>
        <v/>
      </c>
      <c r="R182" s="628" t="str">
        <f>IFERROR(__xludf.DUMMYFUNCTION("IF($G182="""","""",IFERROR(query({proventos!$B$5:$Q310},""Select sum(Col16) where Col1 = '""&amp;$G182&amp;""' and Col2 &gt; date '""&amp;TEXT(S$8,""yyyy-mm-dd"")&amp;""' and Col2 &lt;= date '""&amp;TEXT(R$8,""yyyy-mm-dd"")&amp;""' label sum(Col16) ''"",0)))"),"")</f>
        <v/>
      </c>
      <c r="S182" s="628" t="str">
        <f>IFERROR(__xludf.DUMMYFUNCTION("IF($G182="""","""",IFERROR(query({proventos!$B$5:$Q310},""Select sum(Col16) where Col1 = '""&amp;$G182&amp;""' and Col2 &gt; date '""&amp;TEXT(T$8,""yyyy-mm-dd"")&amp;""' and Col2 &lt;= date '""&amp;TEXT(S$8,""yyyy-mm-dd"")&amp;""' label sum(Col16) ''"",0)))"),"")</f>
        <v/>
      </c>
      <c r="T182" s="628" t="str">
        <f>IFERROR(__xludf.DUMMYFUNCTION("IF($G182="""","""",IFERROR(query({proventos!$B$5:$Q310},""Select sum(Col16) where Col1 = '""&amp;$G182&amp;""' and Col2 &gt; date '""&amp;TEXT(U$8,""yyyy-mm-dd"")&amp;""' and Col2 &lt;= date '""&amp;TEXT(T$8,""yyyy-mm-dd"")&amp;""' label sum(Col16) ''"",0)))"),"")</f>
        <v/>
      </c>
      <c r="U182" s="629" t="str">
        <f>IFERROR(__xludf.DUMMYFUNCTION("IF($G182="""","""",IFERROR(query({proventos!$B$5:$Q310},""Select sum(Col16) where Col1 = '""&amp;$G182&amp;""' and Col2 &gt; date '""&amp;TEXT(EOMONTH(TODAY(),-13),""yyyy-mm-dd"")&amp;""' and Col2 &lt;= date '""&amp;TEXT(U$8,""yyyy-mm-dd"")&amp;""' label sum(Col16) ''"",0)))"),"")</f>
        <v/>
      </c>
      <c r="V182" s="630" t="str">
        <f>IFERROR(__xludf.DUMMYFUNCTION("IF($G182="""","""",IFERROR(query({proventos!$B$5:$Q310},""Select sum(Col16) where Col1 = '""&amp;$G182&amp;""' and Col2 &gt; date '""&amp;TEXT(DATE(V$8,1,1),""yyyy-mm-dd"")&amp;""' and Col2 &lt;= date '""&amp;TEXT(DATE(V$8,12,31),""yyyy-mm-dd"")&amp;""' label sum(Col16) ''"",0)))"),"")</f>
        <v/>
      </c>
      <c r="W182" s="630" t="str">
        <f>IFERROR(__xludf.DUMMYFUNCTION("IF($G182="""","""",IFERROR(query({proventos!$B$5:$Q310},""Select sum(Col16) where Col1 = '""&amp;$G182&amp;""' and Col2 &gt; date '""&amp;TEXT(DATE(W$8,1,1),""yyyy-mm-dd"")&amp;""' and Col2 &lt;= date '""&amp;TEXT(DATE(W$8,12,31),""yyyy-mm-dd"")&amp;""' label sum(Col16) ''"",0)))"),"")</f>
        <v/>
      </c>
      <c r="X182" s="630" t="str">
        <f>IFERROR(__xludf.DUMMYFUNCTION("IF($G182="""","""",IFERROR(query({proventos!$B$5:$Q310},""Select sum(Col16) where Col1 = '""&amp;$G182&amp;""' and Col2 &gt; date '""&amp;TEXT(DATE(X$8,1,1),""yyyy-mm-dd"")&amp;""' and Col2 &lt;= date '""&amp;TEXT(DATE(X$8,12,31),""yyyy-mm-dd"")&amp;""' label sum(Col16) ''"",0)))"),"")</f>
        <v/>
      </c>
      <c r="Y182" s="630" t="str">
        <f>IFERROR(__xludf.DUMMYFUNCTION("IF($G182="""","""",IFERROR(query({proventos!$B$5:$Q310},""Select sum(Col16) where Col1 = '""&amp;$G182&amp;""' and Col2 &gt; date '""&amp;TEXT(DATE(Y$8,1,1),""yyyy-mm-dd"")&amp;""' and Col2 &lt;= date '""&amp;TEXT(DATE(Y$8,12,31),""yyyy-mm-dd"")&amp;""' label sum(Col16) ''"",0)))"),"")</f>
        <v/>
      </c>
      <c r="Z182" s="630" t="str">
        <f>IFERROR(__xludf.DUMMYFUNCTION("IF($G182="""","""",IFERROR(query({proventos!$B$5:$Q310},""Select sum(Col16) where Col1 = '""&amp;$G182&amp;""' and Col2 &gt; date '""&amp;TEXT(DATE(Z$8,1,1),""yyyy-mm-dd"")&amp;""' and Col2 &lt;= date '""&amp;TEXT(DATE(Z$8,12,31),""yyyy-mm-dd"")&amp;""' label sum(Col16) ''"",0)))"),"")</f>
        <v/>
      </c>
      <c r="AA182" s="587"/>
      <c r="AB182" s="578" t="s">
        <v>123</v>
      </c>
      <c r="AC182" s="601"/>
      <c r="AD182" s="636"/>
      <c r="AE182" s="636"/>
    </row>
    <row r="183">
      <c r="A183" s="576"/>
      <c r="B183" s="620"/>
      <c r="C183" s="637"/>
      <c r="D183" s="633"/>
      <c r="E183" s="633"/>
      <c r="F183" s="624">
        <v>173.0</v>
      </c>
      <c r="G183" s="635"/>
      <c r="H183" s="626" t="str">
        <f>if(G183="","",IFERROR(VLOOKUP(G183,AtivosDados,MATCH("provento_avg",portfolio.!$A$3:AE$3,0),FALSE),""))</f>
        <v/>
      </c>
      <c r="I183" s="627" t="s">
        <v>123</v>
      </c>
      <c r="J183" s="628" t="str">
        <f>IFERROR(__xludf.DUMMYFUNCTION("IF($G183="""","""",IFERROR(query({proventos!$B$5:$Q310},""Select sum(Col16) where Col1 = '""&amp;$G183&amp;""' and Col2 &gt; date '""&amp;TEXT(K$8,""yyyy-mm-dd"")&amp;""' and Col2 &lt;= date '""&amp;TEXT(J$8,""yyyy-mm-dd"")&amp;""' label sum(Col16) ''"",0)))"),"")</f>
        <v/>
      </c>
      <c r="K183" s="628" t="str">
        <f>IFERROR(__xludf.DUMMYFUNCTION("IF($G183="""","""",IFERROR(query({proventos!$B$5:$Q310},""Select sum(Col16) where Col1 = '""&amp;$G183&amp;""' and Col2 &gt; date '""&amp;TEXT(L$8,""yyyy-mm-dd"")&amp;""' and Col2 &lt;= date '""&amp;TEXT(K$8,""yyyy-mm-dd"")&amp;""' label sum(Col16) ''"",0)))"),"")</f>
        <v/>
      </c>
      <c r="L183" s="628" t="str">
        <f>IFERROR(__xludf.DUMMYFUNCTION("IF($G183="""","""",IFERROR(query({proventos!$B$5:$Q310},""Select sum(Col16) where Col1 = '""&amp;$G183&amp;""' and Col2 &gt; date '""&amp;TEXT(M$8,""yyyy-mm-dd"")&amp;""' and Col2 &lt;= date '""&amp;TEXT(L$8,""yyyy-mm-dd"")&amp;""' label sum(Col16) ''"",0)))"),"")</f>
        <v/>
      </c>
      <c r="M183" s="628" t="str">
        <f>IFERROR(__xludf.DUMMYFUNCTION("IF($G183="""","""",IFERROR(query({proventos!$B$5:$Q310},""Select sum(Col16) where Col1 = '""&amp;$G183&amp;""' and Col2 &gt; date '""&amp;TEXT(N$8,""yyyy-mm-dd"")&amp;""' and Col2 &lt;= date '""&amp;TEXT(M$8,""yyyy-mm-dd"")&amp;""' label sum(Col16) ''"",0)))"),"")</f>
        <v/>
      </c>
      <c r="N183" s="628" t="str">
        <f>IFERROR(__xludf.DUMMYFUNCTION("IF($G183="""","""",IFERROR(query({proventos!$B$5:$Q310},""Select sum(Col16) where Col1 = '""&amp;$G183&amp;""' and Col2 &gt; date '""&amp;TEXT(O$8,""yyyy-mm-dd"")&amp;""' and Col2 &lt;= date '""&amp;TEXT(N$8,""yyyy-mm-dd"")&amp;""' label sum(Col16) ''"",0)))"),"")</f>
        <v/>
      </c>
      <c r="O183" s="628" t="str">
        <f>IFERROR(__xludf.DUMMYFUNCTION("IF($G183="""","""",IFERROR(query({proventos!$B$5:$Q310},""Select sum(Col16) where Col1 = '""&amp;$G183&amp;""' and Col2 &gt; date '""&amp;TEXT(P$8,""yyyy-mm-dd"")&amp;""' and Col2 &lt;= date '""&amp;TEXT(O$8,""yyyy-mm-dd"")&amp;""' label sum(Col16) ''"",0)))"),"")</f>
        <v/>
      </c>
      <c r="P183" s="628" t="str">
        <f>IFERROR(__xludf.DUMMYFUNCTION("IF($G183="""","""",IFERROR(query({proventos!$B$5:$Q310},""Select sum(Col16) where Col1 = '""&amp;$G183&amp;""' and Col2 &gt; date '""&amp;TEXT(Q$8,""yyyy-mm-dd"")&amp;""' and Col2 &lt;= date '""&amp;TEXT(P$8,""yyyy-mm-dd"")&amp;""' label sum(Col16) ''"",0)))"),"")</f>
        <v/>
      </c>
      <c r="Q183" s="628" t="str">
        <f>IFERROR(__xludf.DUMMYFUNCTION("IF($G183="""","""",IFERROR(query({proventos!$B$5:$Q310},""Select sum(Col16) where Col1 = '""&amp;$G183&amp;""' and Col2 &gt; date '""&amp;TEXT(R$8,""yyyy-mm-dd"")&amp;""' and Col2 &lt;= date '""&amp;TEXT(Q$8,""yyyy-mm-dd"")&amp;""' label sum(Col16) ''"",0)))"),"")</f>
        <v/>
      </c>
      <c r="R183" s="628" t="str">
        <f>IFERROR(__xludf.DUMMYFUNCTION("IF($G183="""","""",IFERROR(query({proventos!$B$5:$Q310},""Select sum(Col16) where Col1 = '""&amp;$G183&amp;""' and Col2 &gt; date '""&amp;TEXT(S$8,""yyyy-mm-dd"")&amp;""' and Col2 &lt;= date '""&amp;TEXT(R$8,""yyyy-mm-dd"")&amp;""' label sum(Col16) ''"",0)))"),"")</f>
        <v/>
      </c>
      <c r="S183" s="628" t="str">
        <f>IFERROR(__xludf.DUMMYFUNCTION("IF($G183="""","""",IFERROR(query({proventos!$B$5:$Q310},""Select sum(Col16) where Col1 = '""&amp;$G183&amp;""' and Col2 &gt; date '""&amp;TEXT(T$8,""yyyy-mm-dd"")&amp;""' and Col2 &lt;= date '""&amp;TEXT(S$8,""yyyy-mm-dd"")&amp;""' label sum(Col16) ''"",0)))"),"")</f>
        <v/>
      </c>
      <c r="T183" s="628" t="str">
        <f>IFERROR(__xludf.DUMMYFUNCTION("IF($G183="""","""",IFERROR(query({proventos!$B$5:$Q310},""Select sum(Col16) where Col1 = '""&amp;$G183&amp;""' and Col2 &gt; date '""&amp;TEXT(U$8,""yyyy-mm-dd"")&amp;""' and Col2 &lt;= date '""&amp;TEXT(T$8,""yyyy-mm-dd"")&amp;""' label sum(Col16) ''"",0)))"),"")</f>
        <v/>
      </c>
      <c r="U183" s="629" t="str">
        <f>IFERROR(__xludf.DUMMYFUNCTION("IF($G183="""","""",IFERROR(query({proventos!$B$5:$Q310},""Select sum(Col16) where Col1 = '""&amp;$G183&amp;""' and Col2 &gt; date '""&amp;TEXT(EOMONTH(TODAY(),-13),""yyyy-mm-dd"")&amp;""' and Col2 &lt;= date '""&amp;TEXT(U$8,""yyyy-mm-dd"")&amp;""' label sum(Col16) ''"",0)))"),"")</f>
        <v/>
      </c>
      <c r="V183" s="630" t="str">
        <f>IFERROR(__xludf.DUMMYFUNCTION("IF($G183="""","""",IFERROR(query({proventos!$B$5:$Q310},""Select sum(Col16) where Col1 = '""&amp;$G183&amp;""' and Col2 &gt; date '""&amp;TEXT(DATE(V$8,1,1),""yyyy-mm-dd"")&amp;""' and Col2 &lt;= date '""&amp;TEXT(DATE(V$8,12,31),""yyyy-mm-dd"")&amp;""' label sum(Col16) ''"",0)))"),"")</f>
        <v/>
      </c>
      <c r="W183" s="630" t="str">
        <f>IFERROR(__xludf.DUMMYFUNCTION("IF($G183="""","""",IFERROR(query({proventos!$B$5:$Q310},""Select sum(Col16) where Col1 = '""&amp;$G183&amp;""' and Col2 &gt; date '""&amp;TEXT(DATE(W$8,1,1),""yyyy-mm-dd"")&amp;""' and Col2 &lt;= date '""&amp;TEXT(DATE(W$8,12,31),""yyyy-mm-dd"")&amp;""' label sum(Col16) ''"",0)))"),"")</f>
        <v/>
      </c>
      <c r="X183" s="630" t="str">
        <f>IFERROR(__xludf.DUMMYFUNCTION("IF($G183="""","""",IFERROR(query({proventos!$B$5:$Q310},""Select sum(Col16) where Col1 = '""&amp;$G183&amp;""' and Col2 &gt; date '""&amp;TEXT(DATE(X$8,1,1),""yyyy-mm-dd"")&amp;""' and Col2 &lt;= date '""&amp;TEXT(DATE(X$8,12,31),""yyyy-mm-dd"")&amp;""' label sum(Col16) ''"",0)))"),"")</f>
        <v/>
      </c>
      <c r="Y183" s="630" t="str">
        <f>IFERROR(__xludf.DUMMYFUNCTION("IF($G183="""","""",IFERROR(query({proventos!$B$5:$Q310},""Select sum(Col16) where Col1 = '""&amp;$G183&amp;""' and Col2 &gt; date '""&amp;TEXT(DATE(Y$8,1,1),""yyyy-mm-dd"")&amp;""' and Col2 &lt;= date '""&amp;TEXT(DATE(Y$8,12,31),""yyyy-mm-dd"")&amp;""' label sum(Col16) ''"",0)))"),"")</f>
        <v/>
      </c>
      <c r="Z183" s="630" t="str">
        <f>IFERROR(__xludf.DUMMYFUNCTION("IF($G183="""","""",IFERROR(query({proventos!$B$5:$Q310},""Select sum(Col16) where Col1 = '""&amp;$G183&amp;""' and Col2 &gt; date '""&amp;TEXT(DATE(Z$8,1,1),""yyyy-mm-dd"")&amp;""' and Col2 &lt;= date '""&amp;TEXT(DATE(Z$8,12,31),""yyyy-mm-dd"")&amp;""' label sum(Col16) ''"",0)))"),"")</f>
        <v/>
      </c>
      <c r="AA183" s="587"/>
      <c r="AB183" s="578" t="s">
        <v>123</v>
      </c>
      <c r="AC183" s="601"/>
      <c r="AD183" s="636"/>
      <c r="AE183" s="636"/>
    </row>
    <row r="184">
      <c r="A184" s="576"/>
      <c r="B184" s="620"/>
      <c r="C184" s="637"/>
      <c r="D184" s="633"/>
      <c r="E184" s="633"/>
      <c r="F184" s="624">
        <v>174.0</v>
      </c>
      <c r="G184" s="635"/>
      <c r="H184" s="626" t="str">
        <f>if(G184="","",IFERROR(VLOOKUP(G184,AtivosDados,MATCH("provento_avg",portfolio.!$A$3:AE$3,0),FALSE),""))</f>
        <v/>
      </c>
      <c r="I184" s="627" t="s">
        <v>123</v>
      </c>
      <c r="J184" s="628" t="str">
        <f>IFERROR(__xludf.DUMMYFUNCTION("IF($G184="""","""",IFERROR(query({proventos!$B$5:$Q310},""Select sum(Col16) where Col1 = '""&amp;$G184&amp;""' and Col2 &gt; date '""&amp;TEXT(K$8,""yyyy-mm-dd"")&amp;""' and Col2 &lt;= date '""&amp;TEXT(J$8,""yyyy-mm-dd"")&amp;""' label sum(Col16) ''"",0)))"),"")</f>
        <v/>
      </c>
      <c r="K184" s="628" t="str">
        <f>IFERROR(__xludf.DUMMYFUNCTION("IF($G184="""","""",IFERROR(query({proventos!$B$5:$Q310},""Select sum(Col16) where Col1 = '""&amp;$G184&amp;""' and Col2 &gt; date '""&amp;TEXT(L$8,""yyyy-mm-dd"")&amp;""' and Col2 &lt;= date '""&amp;TEXT(K$8,""yyyy-mm-dd"")&amp;""' label sum(Col16) ''"",0)))"),"")</f>
        <v/>
      </c>
      <c r="L184" s="628" t="str">
        <f>IFERROR(__xludf.DUMMYFUNCTION("IF($G184="""","""",IFERROR(query({proventos!$B$5:$Q310},""Select sum(Col16) where Col1 = '""&amp;$G184&amp;""' and Col2 &gt; date '""&amp;TEXT(M$8,""yyyy-mm-dd"")&amp;""' and Col2 &lt;= date '""&amp;TEXT(L$8,""yyyy-mm-dd"")&amp;""' label sum(Col16) ''"",0)))"),"")</f>
        <v/>
      </c>
      <c r="M184" s="628" t="str">
        <f>IFERROR(__xludf.DUMMYFUNCTION("IF($G184="""","""",IFERROR(query({proventos!$B$5:$Q310},""Select sum(Col16) where Col1 = '""&amp;$G184&amp;""' and Col2 &gt; date '""&amp;TEXT(N$8,""yyyy-mm-dd"")&amp;""' and Col2 &lt;= date '""&amp;TEXT(M$8,""yyyy-mm-dd"")&amp;""' label sum(Col16) ''"",0)))"),"")</f>
        <v/>
      </c>
      <c r="N184" s="628" t="str">
        <f>IFERROR(__xludf.DUMMYFUNCTION("IF($G184="""","""",IFERROR(query({proventos!$B$5:$Q310},""Select sum(Col16) where Col1 = '""&amp;$G184&amp;""' and Col2 &gt; date '""&amp;TEXT(O$8,""yyyy-mm-dd"")&amp;""' and Col2 &lt;= date '""&amp;TEXT(N$8,""yyyy-mm-dd"")&amp;""' label sum(Col16) ''"",0)))"),"")</f>
        <v/>
      </c>
      <c r="O184" s="628" t="str">
        <f>IFERROR(__xludf.DUMMYFUNCTION("IF($G184="""","""",IFERROR(query({proventos!$B$5:$Q310},""Select sum(Col16) where Col1 = '""&amp;$G184&amp;""' and Col2 &gt; date '""&amp;TEXT(P$8,""yyyy-mm-dd"")&amp;""' and Col2 &lt;= date '""&amp;TEXT(O$8,""yyyy-mm-dd"")&amp;""' label sum(Col16) ''"",0)))"),"")</f>
        <v/>
      </c>
      <c r="P184" s="628" t="str">
        <f>IFERROR(__xludf.DUMMYFUNCTION("IF($G184="""","""",IFERROR(query({proventos!$B$5:$Q310},""Select sum(Col16) where Col1 = '""&amp;$G184&amp;""' and Col2 &gt; date '""&amp;TEXT(Q$8,""yyyy-mm-dd"")&amp;""' and Col2 &lt;= date '""&amp;TEXT(P$8,""yyyy-mm-dd"")&amp;""' label sum(Col16) ''"",0)))"),"")</f>
        <v/>
      </c>
      <c r="Q184" s="628" t="str">
        <f>IFERROR(__xludf.DUMMYFUNCTION("IF($G184="""","""",IFERROR(query({proventos!$B$5:$Q310},""Select sum(Col16) where Col1 = '""&amp;$G184&amp;""' and Col2 &gt; date '""&amp;TEXT(R$8,""yyyy-mm-dd"")&amp;""' and Col2 &lt;= date '""&amp;TEXT(Q$8,""yyyy-mm-dd"")&amp;""' label sum(Col16) ''"",0)))"),"")</f>
        <v/>
      </c>
      <c r="R184" s="628" t="str">
        <f>IFERROR(__xludf.DUMMYFUNCTION("IF($G184="""","""",IFERROR(query({proventos!$B$5:$Q310},""Select sum(Col16) where Col1 = '""&amp;$G184&amp;""' and Col2 &gt; date '""&amp;TEXT(S$8,""yyyy-mm-dd"")&amp;""' and Col2 &lt;= date '""&amp;TEXT(R$8,""yyyy-mm-dd"")&amp;""' label sum(Col16) ''"",0)))"),"")</f>
        <v/>
      </c>
      <c r="S184" s="628" t="str">
        <f>IFERROR(__xludf.DUMMYFUNCTION("IF($G184="""","""",IFERROR(query({proventos!$B$5:$Q310},""Select sum(Col16) where Col1 = '""&amp;$G184&amp;""' and Col2 &gt; date '""&amp;TEXT(T$8,""yyyy-mm-dd"")&amp;""' and Col2 &lt;= date '""&amp;TEXT(S$8,""yyyy-mm-dd"")&amp;""' label sum(Col16) ''"",0)))"),"")</f>
        <v/>
      </c>
      <c r="T184" s="628" t="str">
        <f>IFERROR(__xludf.DUMMYFUNCTION("IF($G184="""","""",IFERROR(query({proventos!$B$5:$Q310},""Select sum(Col16) where Col1 = '""&amp;$G184&amp;""' and Col2 &gt; date '""&amp;TEXT(U$8,""yyyy-mm-dd"")&amp;""' and Col2 &lt;= date '""&amp;TEXT(T$8,""yyyy-mm-dd"")&amp;""' label sum(Col16) ''"",0)))"),"")</f>
        <v/>
      </c>
      <c r="U184" s="629" t="str">
        <f>IFERROR(__xludf.DUMMYFUNCTION("IF($G184="""","""",IFERROR(query({proventos!$B$5:$Q310},""Select sum(Col16) where Col1 = '""&amp;$G184&amp;""' and Col2 &gt; date '""&amp;TEXT(EOMONTH(TODAY(),-13),""yyyy-mm-dd"")&amp;""' and Col2 &lt;= date '""&amp;TEXT(U$8,""yyyy-mm-dd"")&amp;""' label sum(Col16) ''"",0)))"),"")</f>
        <v/>
      </c>
      <c r="V184" s="630" t="str">
        <f>IFERROR(__xludf.DUMMYFUNCTION("IF($G184="""","""",IFERROR(query({proventos!$B$5:$Q310},""Select sum(Col16) where Col1 = '""&amp;$G184&amp;""' and Col2 &gt; date '""&amp;TEXT(DATE(V$8,1,1),""yyyy-mm-dd"")&amp;""' and Col2 &lt;= date '""&amp;TEXT(DATE(V$8,12,31),""yyyy-mm-dd"")&amp;""' label sum(Col16) ''"",0)))"),"")</f>
        <v/>
      </c>
      <c r="W184" s="630" t="str">
        <f>IFERROR(__xludf.DUMMYFUNCTION("IF($G184="""","""",IFERROR(query({proventos!$B$5:$Q310},""Select sum(Col16) where Col1 = '""&amp;$G184&amp;""' and Col2 &gt; date '""&amp;TEXT(DATE(W$8,1,1),""yyyy-mm-dd"")&amp;""' and Col2 &lt;= date '""&amp;TEXT(DATE(W$8,12,31),""yyyy-mm-dd"")&amp;""' label sum(Col16) ''"",0)))"),"")</f>
        <v/>
      </c>
      <c r="X184" s="630" t="str">
        <f>IFERROR(__xludf.DUMMYFUNCTION("IF($G184="""","""",IFERROR(query({proventos!$B$5:$Q310},""Select sum(Col16) where Col1 = '""&amp;$G184&amp;""' and Col2 &gt; date '""&amp;TEXT(DATE(X$8,1,1),""yyyy-mm-dd"")&amp;""' and Col2 &lt;= date '""&amp;TEXT(DATE(X$8,12,31),""yyyy-mm-dd"")&amp;""' label sum(Col16) ''"",0)))"),"")</f>
        <v/>
      </c>
      <c r="Y184" s="630" t="str">
        <f>IFERROR(__xludf.DUMMYFUNCTION("IF($G184="""","""",IFERROR(query({proventos!$B$5:$Q310},""Select sum(Col16) where Col1 = '""&amp;$G184&amp;""' and Col2 &gt; date '""&amp;TEXT(DATE(Y$8,1,1),""yyyy-mm-dd"")&amp;""' and Col2 &lt;= date '""&amp;TEXT(DATE(Y$8,12,31),""yyyy-mm-dd"")&amp;""' label sum(Col16) ''"",0)))"),"")</f>
        <v/>
      </c>
      <c r="Z184" s="630" t="str">
        <f>IFERROR(__xludf.DUMMYFUNCTION("IF($G184="""","""",IFERROR(query({proventos!$B$5:$Q310},""Select sum(Col16) where Col1 = '""&amp;$G184&amp;""' and Col2 &gt; date '""&amp;TEXT(DATE(Z$8,1,1),""yyyy-mm-dd"")&amp;""' and Col2 &lt;= date '""&amp;TEXT(DATE(Z$8,12,31),""yyyy-mm-dd"")&amp;""' label sum(Col16) ''"",0)))"),"")</f>
        <v/>
      </c>
      <c r="AA184" s="587"/>
      <c r="AB184" s="578" t="s">
        <v>123</v>
      </c>
      <c r="AC184" s="601"/>
      <c r="AD184" s="636"/>
      <c r="AE184" s="636"/>
    </row>
    <row r="185">
      <c r="A185" s="576"/>
      <c r="B185" s="620"/>
      <c r="C185" s="637"/>
      <c r="D185" s="633"/>
      <c r="E185" s="633"/>
      <c r="F185" s="624">
        <v>175.0</v>
      </c>
      <c r="G185" s="635"/>
      <c r="H185" s="626" t="str">
        <f>if(G185="","",IFERROR(VLOOKUP(G185,AtivosDados,MATCH("provento_avg",portfolio.!$A$3:AE$3,0),FALSE),""))</f>
        <v/>
      </c>
      <c r="I185" s="627" t="s">
        <v>123</v>
      </c>
      <c r="J185" s="628" t="str">
        <f>IFERROR(__xludf.DUMMYFUNCTION("IF($G185="""","""",IFERROR(query({proventos!$B$5:$Q310},""Select sum(Col16) where Col1 = '""&amp;$G185&amp;""' and Col2 &gt; date '""&amp;TEXT(K$8,""yyyy-mm-dd"")&amp;""' and Col2 &lt;= date '""&amp;TEXT(J$8,""yyyy-mm-dd"")&amp;""' label sum(Col16) ''"",0)))"),"")</f>
        <v/>
      </c>
      <c r="K185" s="628" t="str">
        <f>IFERROR(__xludf.DUMMYFUNCTION("IF($G185="""","""",IFERROR(query({proventos!$B$5:$Q310},""Select sum(Col16) where Col1 = '""&amp;$G185&amp;""' and Col2 &gt; date '""&amp;TEXT(L$8,""yyyy-mm-dd"")&amp;""' and Col2 &lt;= date '""&amp;TEXT(K$8,""yyyy-mm-dd"")&amp;""' label sum(Col16) ''"",0)))"),"")</f>
        <v/>
      </c>
      <c r="L185" s="628" t="str">
        <f>IFERROR(__xludf.DUMMYFUNCTION("IF($G185="""","""",IFERROR(query({proventos!$B$5:$Q310},""Select sum(Col16) where Col1 = '""&amp;$G185&amp;""' and Col2 &gt; date '""&amp;TEXT(M$8,""yyyy-mm-dd"")&amp;""' and Col2 &lt;= date '""&amp;TEXT(L$8,""yyyy-mm-dd"")&amp;""' label sum(Col16) ''"",0)))"),"")</f>
        <v/>
      </c>
      <c r="M185" s="628" t="str">
        <f>IFERROR(__xludf.DUMMYFUNCTION("IF($G185="""","""",IFERROR(query({proventos!$B$5:$Q310},""Select sum(Col16) where Col1 = '""&amp;$G185&amp;""' and Col2 &gt; date '""&amp;TEXT(N$8,""yyyy-mm-dd"")&amp;""' and Col2 &lt;= date '""&amp;TEXT(M$8,""yyyy-mm-dd"")&amp;""' label sum(Col16) ''"",0)))"),"")</f>
        <v/>
      </c>
      <c r="N185" s="628" t="str">
        <f>IFERROR(__xludf.DUMMYFUNCTION("IF($G185="""","""",IFERROR(query({proventos!$B$5:$Q310},""Select sum(Col16) where Col1 = '""&amp;$G185&amp;""' and Col2 &gt; date '""&amp;TEXT(O$8,""yyyy-mm-dd"")&amp;""' and Col2 &lt;= date '""&amp;TEXT(N$8,""yyyy-mm-dd"")&amp;""' label sum(Col16) ''"",0)))"),"")</f>
        <v/>
      </c>
      <c r="O185" s="628" t="str">
        <f>IFERROR(__xludf.DUMMYFUNCTION("IF($G185="""","""",IFERROR(query({proventos!$B$5:$Q310},""Select sum(Col16) where Col1 = '""&amp;$G185&amp;""' and Col2 &gt; date '""&amp;TEXT(P$8,""yyyy-mm-dd"")&amp;""' and Col2 &lt;= date '""&amp;TEXT(O$8,""yyyy-mm-dd"")&amp;""' label sum(Col16) ''"",0)))"),"")</f>
        <v/>
      </c>
      <c r="P185" s="628" t="str">
        <f>IFERROR(__xludf.DUMMYFUNCTION("IF($G185="""","""",IFERROR(query({proventos!$B$5:$Q310},""Select sum(Col16) where Col1 = '""&amp;$G185&amp;""' and Col2 &gt; date '""&amp;TEXT(Q$8,""yyyy-mm-dd"")&amp;""' and Col2 &lt;= date '""&amp;TEXT(P$8,""yyyy-mm-dd"")&amp;""' label sum(Col16) ''"",0)))"),"")</f>
        <v/>
      </c>
      <c r="Q185" s="628" t="str">
        <f>IFERROR(__xludf.DUMMYFUNCTION("IF($G185="""","""",IFERROR(query({proventos!$B$5:$Q310},""Select sum(Col16) where Col1 = '""&amp;$G185&amp;""' and Col2 &gt; date '""&amp;TEXT(R$8,""yyyy-mm-dd"")&amp;""' and Col2 &lt;= date '""&amp;TEXT(Q$8,""yyyy-mm-dd"")&amp;""' label sum(Col16) ''"",0)))"),"")</f>
        <v/>
      </c>
      <c r="R185" s="628" t="str">
        <f>IFERROR(__xludf.DUMMYFUNCTION("IF($G185="""","""",IFERROR(query({proventos!$B$5:$Q310},""Select sum(Col16) where Col1 = '""&amp;$G185&amp;""' and Col2 &gt; date '""&amp;TEXT(S$8,""yyyy-mm-dd"")&amp;""' and Col2 &lt;= date '""&amp;TEXT(R$8,""yyyy-mm-dd"")&amp;""' label sum(Col16) ''"",0)))"),"")</f>
        <v/>
      </c>
      <c r="S185" s="628" t="str">
        <f>IFERROR(__xludf.DUMMYFUNCTION("IF($G185="""","""",IFERROR(query({proventos!$B$5:$Q310},""Select sum(Col16) where Col1 = '""&amp;$G185&amp;""' and Col2 &gt; date '""&amp;TEXT(T$8,""yyyy-mm-dd"")&amp;""' and Col2 &lt;= date '""&amp;TEXT(S$8,""yyyy-mm-dd"")&amp;""' label sum(Col16) ''"",0)))"),"")</f>
        <v/>
      </c>
      <c r="T185" s="628" t="str">
        <f>IFERROR(__xludf.DUMMYFUNCTION("IF($G185="""","""",IFERROR(query({proventos!$B$5:$Q310},""Select sum(Col16) where Col1 = '""&amp;$G185&amp;""' and Col2 &gt; date '""&amp;TEXT(U$8,""yyyy-mm-dd"")&amp;""' and Col2 &lt;= date '""&amp;TEXT(T$8,""yyyy-mm-dd"")&amp;""' label sum(Col16) ''"",0)))"),"")</f>
        <v/>
      </c>
      <c r="U185" s="629" t="str">
        <f>IFERROR(__xludf.DUMMYFUNCTION("IF($G185="""","""",IFERROR(query({proventos!$B$5:$Q310},""Select sum(Col16) where Col1 = '""&amp;$G185&amp;""' and Col2 &gt; date '""&amp;TEXT(EOMONTH(TODAY(),-13),""yyyy-mm-dd"")&amp;""' and Col2 &lt;= date '""&amp;TEXT(U$8,""yyyy-mm-dd"")&amp;""' label sum(Col16) ''"",0)))"),"")</f>
        <v/>
      </c>
      <c r="V185" s="630" t="str">
        <f>IFERROR(__xludf.DUMMYFUNCTION("IF($G185="""","""",IFERROR(query({proventos!$B$5:$Q310},""Select sum(Col16) where Col1 = '""&amp;$G185&amp;""' and Col2 &gt; date '""&amp;TEXT(DATE(V$8,1,1),""yyyy-mm-dd"")&amp;""' and Col2 &lt;= date '""&amp;TEXT(DATE(V$8,12,31),""yyyy-mm-dd"")&amp;""' label sum(Col16) ''"",0)))"),"")</f>
        <v/>
      </c>
      <c r="W185" s="630" t="str">
        <f>IFERROR(__xludf.DUMMYFUNCTION("IF($G185="""","""",IFERROR(query({proventos!$B$5:$Q310},""Select sum(Col16) where Col1 = '""&amp;$G185&amp;""' and Col2 &gt; date '""&amp;TEXT(DATE(W$8,1,1),""yyyy-mm-dd"")&amp;""' and Col2 &lt;= date '""&amp;TEXT(DATE(W$8,12,31),""yyyy-mm-dd"")&amp;""' label sum(Col16) ''"",0)))"),"")</f>
        <v/>
      </c>
      <c r="X185" s="630" t="str">
        <f>IFERROR(__xludf.DUMMYFUNCTION("IF($G185="""","""",IFERROR(query({proventos!$B$5:$Q310},""Select sum(Col16) where Col1 = '""&amp;$G185&amp;""' and Col2 &gt; date '""&amp;TEXT(DATE(X$8,1,1),""yyyy-mm-dd"")&amp;""' and Col2 &lt;= date '""&amp;TEXT(DATE(X$8,12,31),""yyyy-mm-dd"")&amp;""' label sum(Col16) ''"",0)))"),"")</f>
        <v/>
      </c>
      <c r="Y185" s="630" t="str">
        <f>IFERROR(__xludf.DUMMYFUNCTION("IF($G185="""","""",IFERROR(query({proventos!$B$5:$Q310},""Select sum(Col16) where Col1 = '""&amp;$G185&amp;""' and Col2 &gt; date '""&amp;TEXT(DATE(Y$8,1,1),""yyyy-mm-dd"")&amp;""' and Col2 &lt;= date '""&amp;TEXT(DATE(Y$8,12,31),""yyyy-mm-dd"")&amp;""' label sum(Col16) ''"",0)))"),"")</f>
        <v/>
      </c>
      <c r="Z185" s="630" t="str">
        <f>IFERROR(__xludf.DUMMYFUNCTION("IF($G185="""","""",IFERROR(query({proventos!$B$5:$Q310},""Select sum(Col16) where Col1 = '""&amp;$G185&amp;""' and Col2 &gt; date '""&amp;TEXT(DATE(Z$8,1,1),""yyyy-mm-dd"")&amp;""' and Col2 &lt;= date '""&amp;TEXT(DATE(Z$8,12,31),""yyyy-mm-dd"")&amp;""' label sum(Col16) ''"",0)))"),"")</f>
        <v/>
      </c>
      <c r="AA185" s="587"/>
      <c r="AB185" s="578" t="s">
        <v>123</v>
      </c>
      <c r="AC185" s="601"/>
      <c r="AD185" s="636"/>
      <c r="AE185" s="636"/>
    </row>
    <row r="186">
      <c r="A186" s="576"/>
      <c r="B186" s="620"/>
      <c r="C186" s="637"/>
      <c r="D186" s="633"/>
      <c r="E186" s="633"/>
      <c r="F186" s="624">
        <v>176.0</v>
      </c>
      <c r="G186" s="635"/>
      <c r="H186" s="626" t="str">
        <f>if(G186="","",IFERROR(VLOOKUP(G186,AtivosDados,MATCH("provento_avg",portfolio.!$A$3:AE$3,0),FALSE),""))</f>
        <v/>
      </c>
      <c r="I186" s="627" t="s">
        <v>123</v>
      </c>
      <c r="J186" s="628" t="str">
        <f>IFERROR(__xludf.DUMMYFUNCTION("IF($G186="""","""",IFERROR(query({proventos!$B$5:$Q310},""Select sum(Col16) where Col1 = '""&amp;$G186&amp;""' and Col2 &gt; date '""&amp;TEXT(K$8,""yyyy-mm-dd"")&amp;""' and Col2 &lt;= date '""&amp;TEXT(J$8,""yyyy-mm-dd"")&amp;""' label sum(Col16) ''"",0)))"),"")</f>
        <v/>
      </c>
      <c r="K186" s="628" t="str">
        <f>IFERROR(__xludf.DUMMYFUNCTION("IF($G186="""","""",IFERROR(query({proventos!$B$5:$Q310},""Select sum(Col16) where Col1 = '""&amp;$G186&amp;""' and Col2 &gt; date '""&amp;TEXT(L$8,""yyyy-mm-dd"")&amp;""' and Col2 &lt;= date '""&amp;TEXT(K$8,""yyyy-mm-dd"")&amp;""' label sum(Col16) ''"",0)))"),"")</f>
        <v/>
      </c>
      <c r="L186" s="628" t="str">
        <f>IFERROR(__xludf.DUMMYFUNCTION("IF($G186="""","""",IFERROR(query({proventos!$B$5:$Q310},""Select sum(Col16) where Col1 = '""&amp;$G186&amp;""' and Col2 &gt; date '""&amp;TEXT(M$8,""yyyy-mm-dd"")&amp;""' and Col2 &lt;= date '""&amp;TEXT(L$8,""yyyy-mm-dd"")&amp;""' label sum(Col16) ''"",0)))"),"")</f>
        <v/>
      </c>
      <c r="M186" s="628" t="str">
        <f>IFERROR(__xludf.DUMMYFUNCTION("IF($G186="""","""",IFERROR(query({proventos!$B$5:$Q310},""Select sum(Col16) where Col1 = '""&amp;$G186&amp;""' and Col2 &gt; date '""&amp;TEXT(N$8,""yyyy-mm-dd"")&amp;""' and Col2 &lt;= date '""&amp;TEXT(M$8,""yyyy-mm-dd"")&amp;""' label sum(Col16) ''"",0)))"),"")</f>
        <v/>
      </c>
      <c r="N186" s="628" t="str">
        <f>IFERROR(__xludf.DUMMYFUNCTION("IF($G186="""","""",IFERROR(query({proventos!$B$5:$Q310},""Select sum(Col16) where Col1 = '""&amp;$G186&amp;""' and Col2 &gt; date '""&amp;TEXT(O$8,""yyyy-mm-dd"")&amp;""' and Col2 &lt;= date '""&amp;TEXT(N$8,""yyyy-mm-dd"")&amp;""' label sum(Col16) ''"",0)))"),"")</f>
        <v/>
      </c>
      <c r="O186" s="628" t="str">
        <f>IFERROR(__xludf.DUMMYFUNCTION("IF($G186="""","""",IFERROR(query({proventos!$B$5:$Q310},""Select sum(Col16) where Col1 = '""&amp;$G186&amp;""' and Col2 &gt; date '""&amp;TEXT(P$8,""yyyy-mm-dd"")&amp;""' and Col2 &lt;= date '""&amp;TEXT(O$8,""yyyy-mm-dd"")&amp;""' label sum(Col16) ''"",0)))"),"")</f>
        <v/>
      </c>
      <c r="P186" s="628" t="str">
        <f>IFERROR(__xludf.DUMMYFUNCTION("IF($G186="""","""",IFERROR(query({proventos!$B$5:$Q310},""Select sum(Col16) where Col1 = '""&amp;$G186&amp;""' and Col2 &gt; date '""&amp;TEXT(Q$8,""yyyy-mm-dd"")&amp;""' and Col2 &lt;= date '""&amp;TEXT(P$8,""yyyy-mm-dd"")&amp;""' label sum(Col16) ''"",0)))"),"")</f>
        <v/>
      </c>
      <c r="Q186" s="628" t="str">
        <f>IFERROR(__xludf.DUMMYFUNCTION("IF($G186="""","""",IFERROR(query({proventos!$B$5:$Q310},""Select sum(Col16) where Col1 = '""&amp;$G186&amp;""' and Col2 &gt; date '""&amp;TEXT(R$8,""yyyy-mm-dd"")&amp;""' and Col2 &lt;= date '""&amp;TEXT(Q$8,""yyyy-mm-dd"")&amp;""' label sum(Col16) ''"",0)))"),"")</f>
        <v/>
      </c>
      <c r="R186" s="628" t="str">
        <f>IFERROR(__xludf.DUMMYFUNCTION("IF($G186="""","""",IFERROR(query({proventos!$B$5:$Q310},""Select sum(Col16) where Col1 = '""&amp;$G186&amp;""' and Col2 &gt; date '""&amp;TEXT(S$8,""yyyy-mm-dd"")&amp;""' and Col2 &lt;= date '""&amp;TEXT(R$8,""yyyy-mm-dd"")&amp;""' label sum(Col16) ''"",0)))"),"")</f>
        <v/>
      </c>
      <c r="S186" s="628" t="str">
        <f>IFERROR(__xludf.DUMMYFUNCTION("IF($G186="""","""",IFERROR(query({proventos!$B$5:$Q310},""Select sum(Col16) where Col1 = '""&amp;$G186&amp;""' and Col2 &gt; date '""&amp;TEXT(T$8,""yyyy-mm-dd"")&amp;""' and Col2 &lt;= date '""&amp;TEXT(S$8,""yyyy-mm-dd"")&amp;""' label sum(Col16) ''"",0)))"),"")</f>
        <v/>
      </c>
      <c r="T186" s="628" t="str">
        <f>IFERROR(__xludf.DUMMYFUNCTION("IF($G186="""","""",IFERROR(query({proventos!$B$5:$Q310},""Select sum(Col16) where Col1 = '""&amp;$G186&amp;""' and Col2 &gt; date '""&amp;TEXT(U$8,""yyyy-mm-dd"")&amp;""' and Col2 &lt;= date '""&amp;TEXT(T$8,""yyyy-mm-dd"")&amp;""' label sum(Col16) ''"",0)))"),"")</f>
        <v/>
      </c>
      <c r="U186" s="629" t="str">
        <f>IFERROR(__xludf.DUMMYFUNCTION("IF($G186="""","""",IFERROR(query({proventos!$B$5:$Q310},""Select sum(Col16) where Col1 = '""&amp;$G186&amp;""' and Col2 &gt; date '""&amp;TEXT(EOMONTH(TODAY(),-13),""yyyy-mm-dd"")&amp;""' and Col2 &lt;= date '""&amp;TEXT(U$8,""yyyy-mm-dd"")&amp;""' label sum(Col16) ''"",0)))"),"")</f>
        <v/>
      </c>
      <c r="V186" s="630" t="str">
        <f>IFERROR(__xludf.DUMMYFUNCTION("IF($G186="""","""",IFERROR(query({proventos!$B$5:$Q310},""Select sum(Col16) where Col1 = '""&amp;$G186&amp;""' and Col2 &gt; date '""&amp;TEXT(DATE(V$8,1,1),""yyyy-mm-dd"")&amp;""' and Col2 &lt;= date '""&amp;TEXT(DATE(V$8,12,31),""yyyy-mm-dd"")&amp;""' label sum(Col16) ''"",0)))"),"")</f>
        <v/>
      </c>
      <c r="W186" s="630" t="str">
        <f>IFERROR(__xludf.DUMMYFUNCTION("IF($G186="""","""",IFERROR(query({proventos!$B$5:$Q310},""Select sum(Col16) where Col1 = '""&amp;$G186&amp;""' and Col2 &gt; date '""&amp;TEXT(DATE(W$8,1,1),""yyyy-mm-dd"")&amp;""' and Col2 &lt;= date '""&amp;TEXT(DATE(W$8,12,31),""yyyy-mm-dd"")&amp;""' label sum(Col16) ''"",0)))"),"")</f>
        <v/>
      </c>
      <c r="X186" s="630" t="str">
        <f>IFERROR(__xludf.DUMMYFUNCTION("IF($G186="""","""",IFERROR(query({proventos!$B$5:$Q310},""Select sum(Col16) where Col1 = '""&amp;$G186&amp;""' and Col2 &gt; date '""&amp;TEXT(DATE(X$8,1,1),""yyyy-mm-dd"")&amp;""' and Col2 &lt;= date '""&amp;TEXT(DATE(X$8,12,31),""yyyy-mm-dd"")&amp;""' label sum(Col16) ''"",0)))"),"")</f>
        <v/>
      </c>
      <c r="Y186" s="630" t="str">
        <f>IFERROR(__xludf.DUMMYFUNCTION("IF($G186="""","""",IFERROR(query({proventos!$B$5:$Q310},""Select sum(Col16) where Col1 = '""&amp;$G186&amp;""' and Col2 &gt; date '""&amp;TEXT(DATE(Y$8,1,1),""yyyy-mm-dd"")&amp;""' and Col2 &lt;= date '""&amp;TEXT(DATE(Y$8,12,31),""yyyy-mm-dd"")&amp;""' label sum(Col16) ''"",0)))"),"")</f>
        <v/>
      </c>
      <c r="Z186" s="630" t="str">
        <f>IFERROR(__xludf.DUMMYFUNCTION("IF($G186="""","""",IFERROR(query({proventos!$B$5:$Q310},""Select sum(Col16) where Col1 = '""&amp;$G186&amp;""' and Col2 &gt; date '""&amp;TEXT(DATE(Z$8,1,1),""yyyy-mm-dd"")&amp;""' and Col2 &lt;= date '""&amp;TEXT(DATE(Z$8,12,31),""yyyy-mm-dd"")&amp;""' label sum(Col16) ''"",0)))"),"")</f>
        <v/>
      </c>
      <c r="AA186" s="587"/>
      <c r="AB186" s="578" t="s">
        <v>123</v>
      </c>
      <c r="AC186" s="601"/>
      <c r="AD186" s="636"/>
      <c r="AE186" s="636"/>
    </row>
    <row r="187">
      <c r="A187" s="576"/>
      <c r="B187" s="620"/>
      <c r="C187" s="637"/>
      <c r="D187" s="633"/>
      <c r="E187" s="633"/>
      <c r="F187" s="624">
        <v>177.0</v>
      </c>
      <c r="G187" s="635"/>
      <c r="H187" s="626" t="str">
        <f>if(G187="","",IFERROR(VLOOKUP(G187,AtivosDados,MATCH("provento_avg",portfolio.!$A$3:AE$3,0),FALSE),""))</f>
        <v/>
      </c>
      <c r="I187" s="627" t="s">
        <v>123</v>
      </c>
      <c r="J187" s="628" t="str">
        <f>IFERROR(__xludf.DUMMYFUNCTION("IF($G187="""","""",IFERROR(query({proventos!$B$5:$Q310},""Select sum(Col16) where Col1 = '""&amp;$G187&amp;""' and Col2 &gt; date '""&amp;TEXT(K$8,""yyyy-mm-dd"")&amp;""' and Col2 &lt;= date '""&amp;TEXT(J$8,""yyyy-mm-dd"")&amp;""' label sum(Col16) ''"",0)))"),"")</f>
        <v/>
      </c>
      <c r="K187" s="628" t="str">
        <f>IFERROR(__xludf.DUMMYFUNCTION("IF($G187="""","""",IFERROR(query({proventos!$B$5:$Q310},""Select sum(Col16) where Col1 = '""&amp;$G187&amp;""' and Col2 &gt; date '""&amp;TEXT(L$8,""yyyy-mm-dd"")&amp;""' and Col2 &lt;= date '""&amp;TEXT(K$8,""yyyy-mm-dd"")&amp;""' label sum(Col16) ''"",0)))"),"")</f>
        <v/>
      </c>
      <c r="L187" s="628" t="str">
        <f>IFERROR(__xludf.DUMMYFUNCTION("IF($G187="""","""",IFERROR(query({proventos!$B$5:$Q310},""Select sum(Col16) where Col1 = '""&amp;$G187&amp;""' and Col2 &gt; date '""&amp;TEXT(M$8,""yyyy-mm-dd"")&amp;""' and Col2 &lt;= date '""&amp;TEXT(L$8,""yyyy-mm-dd"")&amp;""' label sum(Col16) ''"",0)))"),"")</f>
        <v/>
      </c>
      <c r="M187" s="628" t="str">
        <f>IFERROR(__xludf.DUMMYFUNCTION("IF($G187="""","""",IFERROR(query({proventos!$B$5:$Q310},""Select sum(Col16) where Col1 = '""&amp;$G187&amp;""' and Col2 &gt; date '""&amp;TEXT(N$8,""yyyy-mm-dd"")&amp;""' and Col2 &lt;= date '""&amp;TEXT(M$8,""yyyy-mm-dd"")&amp;""' label sum(Col16) ''"",0)))"),"")</f>
        <v/>
      </c>
      <c r="N187" s="628" t="str">
        <f>IFERROR(__xludf.DUMMYFUNCTION("IF($G187="""","""",IFERROR(query({proventos!$B$5:$Q310},""Select sum(Col16) where Col1 = '""&amp;$G187&amp;""' and Col2 &gt; date '""&amp;TEXT(O$8,""yyyy-mm-dd"")&amp;""' and Col2 &lt;= date '""&amp;TEXT(N$8,""yyyy-mm-dd"")&amp;""' label sum(Col16) ''"",0)))"),"")</f>
        <v/>
      </c>
      <c r="O187" s="628" t="str">
        <f>IFERROR(__xludf.DUMMYFUNCTION("IF($G187="""","""",IFERROR(query({proventos!$B$5:$Q310},""Select sum(Col16) where Col1 = '""&amp;$G187&amp;""' and Col2 &gt; date '""&amp;TEXT(P$8,""yyyy-mm-dd"")&amp;""' and Col2 &lt;= date '""&amp;TEXT(O$8,""yyyy-mm-dd"")&amp;""' label sum(Col16) ''"",0)))"),"")</f>
        <v/>
      </c>
      <c r="P187" s="628" t="str">
        <f>IFERROR(__xludf.DUMMYFUNCTION("IF($G187="""","""",IFERROR(query({proventos!$B$5:$Q310},""Select sum(Col16) where Col1 = '""&amp;$G187&amp;""' and Col2 &gt; date '""&amp;TEXT(Q$8,""yyyy-mm-dd"")&amp;""' and Col2 &lt;= date '""&amp;TEXT(P$8,""yyyy-mm-dd"")&amp;""' label sum(Col16) ''"",0)))"),"")</f>
        <v/>
      </c>
      <c r="Q187" s="628" t="str">
        <f>IFERROR(__xludf.DUMMYFUNCTION("IF($G187="""","""",IFERROR(query({proventos!$B$5:$Q310},""Select sum(Col16) where Col1 = '""&amp;$G187&amp;""' and Col2 &gt; date '""&amp;TEXT(R$8,""yyyy-mm-dd"")&amp;""' and Col2 &lt;= date '""&amp;TEXT(Q$8,""yyyy-mm-dd"")&amp;""' label sum(Col16) ''"",0)))"),"")</f>
        <v/>
      </c>
      <c r="R187" s="628" t="str">
        <f>IFERROR(__xludf.DUMMYFUNCTION("IF($G187="""","""",IFERROR(query({proventos!$B$5:$Q310},""Select sum(Col16) where Col1 = '""&amp;$G187&amp;""' and Col2 &gt; date '""&amp;TEXT(S$8,""yyyy-mm-dd"")&amp;""' and Col2 &lt;= date '""&amp;TEXT(R$8,""yyyy-mm-dd"")&amp;""' label sum(Col16) ''"",0)))"),"")</f>
        <v/>
      </c>
      <c r="S187" s="628" t="str">
        <f>IFERROR(__xludf.DUMMYFUNCTION("IF($G187="""","""",IFERROR(query({proventos!$B$5:$Q310},""Select sum(Col16) where Col1 = '""&amp;$G187&amp;""' and Col2 &gt; date '""&amp;TEXT(T$8,""yyyy-mm-dd"")&amp;""' and Col2 &lt;= date '""&amp;TEXT(S$8,""yyyy-mm-dd"")&amp;""' label sum(Col16) ''"",0)))"),"")</f>
        <v/>
      </c>
      <c r="T187" s="628" t="str">
        <f>IFERROR(__xludf.DUMMYFUNCTION("IF($G187="""","""",IFERROR(query({proventos!$B$5:$Q310},""Select sum(Col16) where Col1 = '""&amp;$G187&amp;""' and Col2 &gt; date '""&amp;TEXT(U$8,""yyyy-mm-dd"")&amp;""' and Col2 &lt;= date '""&amp;TEXT(T$8,""yyyy-mm-dd"")&amp;""' label sum(Col16) ''"",0)))"),"")</f>
        <v/>
      </c>
      <c r="U187" s="629" t="str">
        <f>IFERROR(__xludf.DUMMYFUNCTION("IF($G187="""","""",IFERROR(query({proventos!$B$5:$Q310},""Select sum(Col16) where Col1 = '""&amp;$G187&amp;""' and Col2 &gt; date '""&amp;TEXT(EOMONTH(TODAY(),-13),""yyyy-mm-dd"")&amp;""' and Col2 &lt;= date '""&amp;TEXT(U$8,""yyyy-mm-dd"")&amp;""' label sum(Col16) ''"",0)))"),"")</f>
        <v/>
      </c>
      <c r="V187" s="630" t="str">
        <f>IFERROR(__xludf.DUMMYFUNCTION("IF($G187="""","""",IFERROR(query({proventos!$B$5:$Q310},""Select sum(Col16) where Col1 = '""&amp;$G187&amp;""' and Col2 &gt; date '""&amp;TEXT(DATE(V$8,1,1),""yyyy-mm-dd"")&amp;""' and Col2 &lt;= date '""&amp;TEXT(DATE(V$8,12,31),""yyyy-mm-dd"")&amp;""' label sum(Col16) ''"",0)))"),"")</f>
        <v/>
      </c>
      <c r="W187" s="630" t="str">
        <f>IFERROR(__xludf.DUMMYFUNCTION("IF($G187="""","""",IFERROR(query({proventos!$B$5:$Q310},""Select sum(Col16) where Col1 = '""&amp;$G187&amp;""' and Col2 &gt; date '""&amp;TEXT(DATE(W$8,1,1),""yyyy-mm-dd"")&amp;""' and Col2 &lt;= date '""&amp;TEXT(DATE(W$8,12,31),""yyyy-mm-dd"")&amp;""' label sum(Col16) ''"",0)))"),"")</f>
        <v/>
      </c>
      <c r="X187" s="630" t="str">
        <f>IFERROR(__xludf.DUMMYFUNCTION("IF($G187="""","""",IFERROR(query({proventos!$B$5:$Q310},""Select sum(Col16) where Col1 = '""&amp;$G187&amp;""' and Col2 &gt; date '""&amp;TEXT(DATE(X$8,1,1),""yyyy-mm-dd"")&amp;""' and Col2 &lt;= date '""&amp;TEXT(DATE(X$8,12,31),""yyyy-mm-dd"")&amp;""' label sum(Col16) ''"",0)))"),"")</f>
        <v/>
      </c>
      <c r="Y187" s="630" t="str">
        <f>IFERROR(__xludf.DUMMYFUNCTION("IF($G187="""","""",IFERROR(query({proventos!$B$5:$Q310},""Select sum(Col16) where Col1 = '""&amp;$G187&amp;""' and Col2 &gt; date '""&amp;TEXT(DATE(Y$8,1,1),""yyyy-mm-dd"")&amp;""' and Col2 &lt;= date '""&amp;TEXT(DATE(Y$8,12,31),""yyyy-mm-dd"")&amp;""' label sum(Col16) ''"",0)))"),"")</f>
        <v/>
      </c>
      <c r="Z187" s="630" t="str">
        <f>IFERROR(__xludf.DUMMYFUNCTION("IF($G187="""","""",IFERROR(query({proventos!$B$5:$Q310},""Select sum(Col16) where Col1 = '""&amp;$G187&amp;""' and Col2 &gt; date '""&amp;TEXT(DATE(Z$8,1,1),""yyyy-mm-dd"")&amp;""' and Col2 &lt;= date '""&amp;TEXT(DATE(Z$8,12,31),""yyyy-mm-dd"")&amp;""' label sum(Col16) ''"",0)))"),"")</f>
        <v/>
      </c>
      <c r="AA187" s="587"/>
      <c r="AB187" s="578" t="s">
        <v>123</v>
      </c>
      <c r="AC187" s="601"/>
      <c r="AD187" s="636"/>
      <c r="AE187" s="636"/>
    </row>
    <row r="188">
      <c r="A188" s="576"/>
      <c r="B188" s="620"/>
      <c r="C188" s="637"/>
      <c r="D188" s="633"/>
      <c r="E188" s="633"/>
      <c r="F188" s="624">
        <v>178.0</v>
      </c>
      <c r="G188" s="635"/>
      <c r="H188" s="626" t="str">
        <f>if(G188="","",IFERROR(VLOOKUP(G188,AtivosDados,MATCH("provento_avg",portfolio.!$A$3:AE$3,0),FALSE),""))</f>
        <v/>
      </c>
      <c r="I188" s="627" t="s">
        <v>123</v>
      </c>
      <c r="J188" s="628" t="str">
        <f>IFERROR(__xludf.DUMMYFUNCTION("IF($G188="""","""",IFERROR(query({proventos!$B$5:$Q310},""Select sum(Col16) where Col1 = '""&amp;$G188&amp;""' and Col2 &gt; date '""&amp;TEXT(K$8,""yyyy-mm-dd"")&amp;""' and Col2 &lt;= date '""&amp;TEXT(J$8,""yyyy-mm-dd"")&amp;""' label sum(Col16) ''"",0)))"),"")</f>
        <v/>
      </c>
      <c r="K188" s="628" t="str">
        <f>IFERROR(__xludf.DUMMYFUNCTION("IF($G188="""","""",IFERROR(query({proventos!$B$5:$Q310},""Select sum(Col16) where Col1 = '""&amp;$G188&amp;""' and Col2 &gt; date '""&amp;TEXT(L$8,""yyyy-mm-dd"")&amp;""' and Col2 &lt;= date '""&amp;TEXT(K$8,""yyyy-mm-dd"")&amp;""' label sum(Col16) ''"",0)))"),"")</f>
        <v/>
      </c>
      <c r="L188" s="628" t="str">
        <f>IFERROR(__xludf.DUMMYFUNCTION("IF($G188="""","""",IFERROR(query({proventos!$B$5:$Q310},""Select sum(Col16) where Col1 = '""&amp;$G188&amp;""' and Col2 &gt; date '""&amp;TEXT(M$8,""yyyy-mm-dd"")&amp;""' and Col2 &lt;= date '""&amp;TEXT(L$8,""yyyy-mm-dd"")&amp;""' label sum(Col16) ''"",0)))"),"")</f>
        <v/>
      </c>
      <c r="M188" s="628" t="str">
        <f>IFERROR(__xludf.DUMMYFUNCTION("IF($G188="""","""",IFERROR(query({proventos!$B$5:$Q310},""Select sum(Col16) where Col1 = '""&amp;$G188&amp;""' and Col2 &gt; date '""&amp;TEXT(N$8,""yyyy-mm-dd"")&amp;""' and Col2 &lt;= date '""&amp;TEXT(M$8,""yyyy-mm-dd"")&amp;""' label sum(Col16) ''"",0)))"),"")</f>
        <v/>
      </c>
      <c r="N188" s="628" t="str">
        <f>IFERROR(__xludf.DUMMYFUNCTION("IF($G188="""","""",IFERROR(query({proventos!$B$5:$Q310},""Select sum(Col16) where Col1 = '""&amp;$G188&amp;""' and Col2 &gt; date '""&amp;TEXT(O$8,""yyyy-mm-dd"")&amp;""' and Col2 &lt;= date '""&amp;TEXT(N$8,""yyyy-mm-dd"")&amp;""' label sum(Col16) ''"",0)))"),"")</f>
        <v/>
      </c>
      <c r="O188" s="628" t="str">
        <f>IFERROR(__xludf.DUMMYFUNCTION("IF($G188="""","""",IFERROR(query({proventos!$B$5:$Q310},""Select sum(Col16) where Col1 = '""&amp;$G188&amp;""' and Col2 &gt; date '""&amp;TEXT(P$8,""yyyy-mm-dd"")&amp;""' and Col2 &lt;= date '""&amp;TEXT(O$8,""yyyy-mm-dd"")&amp;""' label sum(Col16) ''"",0)))"),"")</f>
        <v/>
      </c>
      <c r="P188" s="628" t="str">
        <f>IFERROR(__xludf.DUMMYFUNCTION("IF($G188="""","""",IFERROR(query({proventos!$B$5:$Q310},""Select sum(Col16) where Col1 = '""&amp;$G188&amp;""' and Col2 &gt; date '""&amp;TEXT(Q$8,""yyyy-mm-dd"")&amp;""' and Col2 &lt;= date '""&amp;TEXT(P$8,""yyyy-mm-dd"")&amp;""' label sum(Col16) ''"",0)))"),"")</f>
        <v/>
      </c>
      <c r="Q188" s="628" t="str">
        <f>IFERROR(__xludf.DUMMYFUNCTION("IF($G188="""","""",IFERROR(query({proventos!$B$5:$Q310},""Select sum(Col16) where Col1 = '""&amp;$G188&amp;""' and Col2 &gt; date '""&amp;TEXT(R$8,""yyyy-mm-dd"")&amp;""' and Col2 &lt;= date '""&amp;TEXT(Q$8,""yyyy-mm-dd"")&amp;""' label sum(Col16) ''"",0)))"),"")</f>
        <v/>
      </c>
      <c r="R188" s="628" t="str">
        <f>IFERROR(__xludf.DUMMYFUNCTION("IF($G188="""","""",IFERROR(query({proventos!$B$5:$Q310},""Select sum(Col16) where Col1 = '""&amp;$G188&amp;""' and Col2 &gt; date '""&amp;TEXT(S$8,""yyyy-mm-dd"")&amp;""' and Col2 &lt;= date '""&amp;TEXT(R$8,""yyyy-mm-dd"")&amp;""' label sum(Col16) ''"",0)))"),"")</f>
        <v/>
      </c>
      <c r="S188" s="628" t="str">
        <f>IFERROR(__xludf.DUMMYFUNCTION("IF($G188="""","""",IFERROR(query({proventos!$B$5:$Q310},""Select sum(Col16) where Col1 = '""&amp;$G188&amp;""' and Col2 &gt; date '""&amp;TEXT(T$8,""yyyy-mm-dd"")&amp;""' and Col2 &lt;= date '""&amp;TEXT(S$8,""yyyy-mm-dd"")&amp;""' label sum(Col16) ''"",0)))"),"")</f>
        <v/>
      </c>
      <c r="T188" s="628" t="str">
        <f>IFERROR(__xludf.DUMMYFUNCTION("IF($G188="""","""",IFERROR(query({proventos!$B$5:$Q310},""Select sum(Col16) where Col1 = '""&amp;$G188&amp;""' and Col2 &gt; date '""&amp;TEXT(U$8,""yyyy-mm-dd"")&amp;""' and Col2 &lt;= date '""&amp;TEXT(T$8,""yyyy-mm-dd"")&amp;""' label sum(Col16) ''"",0)))"),"")</f>
        <v/>
      </c>
      <c r="U188" s="629" t="str">
        <f>IFERROR(__xludf.DUMMYFUNCTION("IF($G188="""","""",IFERROR(query({proventos!$B$5:$Q310},""Select sum(Col16) where Col1 = '""&amp;$G188&amp;""' and Col2 &gt; date '""&amp;TEXT(EOMONTH(TODAY(),-13),""yyyy-mm-dd"")&amp;""' and Col2 &lt;= date '""&amp;TEXT(U$8,""yyyy-mm-dd"")&amp;""' label sum(Col16) ''"",0)))"),"")</f>
        <v/>
      </c>
      <c r="V188" s="630" t="str">
        <f>IFERROR(__xludf.DUMMYFUNCTION("IF($G188="""","""",IFERROR(query({proventos!$B$5:$Q310},""Select sum(Col16) where Col1 = '""&amp;$G188&amp;""' and Col2 &gt; date '""&amp;TEXT(DATE(V$8,1,1),""yyyy-mm-dd"")&amp;""' and Col2 &lt;= date '""&amp;TEXT(DATE(V$8,12,31),""yyyy-mm-dd"")&amp;""' label sum(Col16) ''"",0)))"),"")</f>
        <v/>
      </c>
      <c r="W188" s="630" t="str">
        <f>IFERROR(__xludf.DUMMYFUNCTION("IF($G188="""","""",IFERROR(query({proventos!$B$5:$Q310},""Select sum(Col16) where Col1 = '""&amp;$G188&amp;""' and Col2 &gt; date '""&amp;TEXT(DATE(W$8,1,1),""yyyy-mm-dd"")&amp;""' and Col2 &lt;= date '""&amp;TEXT(DATE(W$8,12,31),""yyyy-mm-dd"")&amp;""' label sum(Col16) ''"",0)))"),"")</f>
        <v/>
      </c>
      <c r="X188" s="630" t="str">
        <f>IFERROR(__xludf.DUMMYFUNCTION("IF($G188="""","""",IFERROR(query({proventos!$B$5:$Q310},""Select sum(Col16) where Col1 = '""&amp;$G188&amp;""' and Col2 &gt; date '""&amp;TEXT(DATE(X$8,1,1),""yyyy-mm-dd"")&amp;""' and Col2 &lt;= date '""&amp;TEXT(DATE(X$8,12,31),""yyyy-mm-dd"")&amp;""' label sum(Col16) ''"",0)))"),"")</f>
        <v/>
      </c>
      <c r="Y188" s="630" t="str">
        <f>IFERROR(__xludf.DUMMYFUNCTION("IF($G188="""","""",IFERROR(query({proventos!$B$5:$Q310},""Select sum(Col16) where Col1 = '""&amp;$G188&amp;""' and Col2 &gt; date '""&amp;TEXT(DATE(Y$8,1,1),""yyyy-mm-dd"")&amp;""' and Col2 &lt;= date '""&amp;TEXT(DATE(Y$8,12,31),""yyyy-mm-dd"")&amp;""' label sum(Col16) ''"",0)))"),"")</f>
        <v/>
      </c>
      <c r="Z188" s="630" t="str">
        <f>IFERROR(__xludf.DUMMYFUNCTION("IF($G188="""","""",IFERROR(query({proventos!$B$5:$Q310},""Select sum(Col16) where Col1 = '""&amp;$G188&amp;""' and Col2 &gt; date '""&amp;TEXT(DATE(Z$8,1,1),""yyyy-mm-dd"")&amp;""' and Col2 &lt;= date '""&amp;TEXT(DATE(Z$8,12,31),""yyyy-mm-dd"")&amp;""' label sum(Col16) ''"",0)))"),"")</f>
        <v/>
      </c>
      <c r="AA188" s="587"/>
      <c r="AB188" s="578" t="s">
        <v>123</v>
      </c>
      <c r="AC188" s="601"/>
      <c r="AD188" s="636"/>
      <c r="AE188" s="636"/>
    </row>
    <row r="189">
      <c r="A189" s="576"/>
      <c r="B189" s="620"/>
      <c r="C189" s="637"/>
      <c r="D189" s="633"/>
      <c r="E189" s="633"/>
      <c r="F189" s="624">
        <v>179.0</v>
      </c>
      <c r="G189" s="635"/>
      <c r="H189" s="626" t="str">
        <f>if(G189="","",IFERROR(VLOOKUP(G189,AtivosDados,MATCH("provento_avg",portfolio.!$A$3:AE$3,0),FALSE),""))</f>
        <v/>
      </c>
      <c r="I189" s="627" t="s">
        <v>123</v>
      </c>
      <c r="J189" s="628" t="str">
        <f>IFERROR(__xludf.DUMMYFUNCTION("IF($G189="""","""",IFERROR(query({proventos!$B$5:$Q310},""Select sum(Col16) where Col1 = '""&amp;$G189&amp;""' and Col2 &gt; date '""&amp;TEXT(K$8,""yyyy-mm-dd"")&amp;""' and Col2 &lt;= date '""&amp;TEXT(J$8,""yyyy-mm-dd"")&amp;""' label sum(Col16) ''"",0)))"),"")</f>
        <v/>
      </c>
      <c r="K189" s="628" t="str">
        <f>IFERROR(__xludf.DUMMYFUNCTION("IF($G189="""","""",IFERROR(query({proventos!$B$5:$Q310},""Select sum(Col16) where Col1 = '""&amp;$G189&amp;""' and Col2 &gt; date '""&amp;TEXT(L$8,""yyyy-mm-dd"")&amp;""' and Col2 &lt;= date '""&amp;TEXT(K$8,""yyyy-mm-dd"")&amp;""' label sum(Col16) ''"",0)))"),"")</f>
        <v/>
      </c>
      <c r="L189" s="628" t="str">
        <f>IFERROR(__xludf.DUMMYFUNCTION("IF($G189="""","""",IFERROR(query({proventos!$B$5:$Q310},""Select sum(Col16) where Col1 = '""&amp;$G189&amp;""' and Col2 &gt; date '""&amp;TEXT(M$8,""yyyy-mm-dd"")&amp;""' and Col2 &lt;= date '""&amp;TEXT(L$8,""yyyy-mm-dd"")&amp;""' label sum(Col16) ''"",0)))"),"")</f>
        <v/>
      </c>
      <c r="M189" s="628" t="str">
        <f>IFERROR(__xludf.DUMMYFUNCTION("IF($G189="""","""",IFERROR(query({proventos!$B$5:$Q310},""Select sum(Col16) where Col1 = '""&amp;$G189&amp;""' and Col2 &gt; date '""&amp;TEXT(N$8,""yyyy-mm-dd"")&amp;""' and Col2 &lt;= date '""&amp;TEXT(M$8,""yyyy-mm-dd"")&amp;""' label sum(Col16) ''"",0)))"),"")</f>
        <v/>
      </c>
      <c r="N189" s="628" t="str">
        <f>IFERROR(__xludf.DUMMYFUNCTION("IF($G189="""","""",IFERROR(query({proventos!$B$5:$Q310},""Select sum(Col16) where Col1 = '""&amp;$G189&amp;""' and Col2 &gt; date '""&amp;TEXT(O$8,""yyyy-mm-dd"")&amp;""' and Col2 &lt;= date '""&amp;TEXT(N$8,""yyyy-mm-dd"")&amp;""' label sum(Col16) ''"",0)))"),"")</f>
        <v/>
      </c>
      <c r="O189" s="628" t="str">
        <f>IFERROR(__xludf.DUMMYFUNCTION("IF($G189="""","""",IFERROR(query({proventos!$B$5:$Q310},""Select sum(Col16) where Col1 = '""&amp;$G189&amp;""' and Col2 &gt; date '""&amp;TEXT(P$8,""yyyy-mm-dd"")&amp;""' and Col2 &lt;= date '""&amp;TEXT(O$8,""yyyy-mm-dd"")&amp;""' label sum(Col16) ''"",0)))"),"")</f>
        <v/>
      </c>
      <c r="P189" s="628" t="str">
        <f>IFERROR(__xludf.DUMMYFUNCTION("IF($G189="""","""",IFERROR(query({proventos!$B$5:$Q310},""Select sum(Col16) where Col1 = '""&amp;$G189&amp;""' and Col2 &gt; date '""&amp;TEXT(Q$8,""yyyy-mm-dd"")&amp;""' and Col2 &lt;= date '""&amp;TEXT(P$8,""yyyy-mm-dd"")&amp;""' label sum(Col16) ''"",0)))"),"")</f>
        <v/>
      </c>
      <c r="Q189" s="628" t="str">
        <f>IFERROR(__xludf.DUMMYFUNCTION("IF($G189="""","""",IFERROR(query({proventos!$B$5:$Q310},""Select sum(Col16) where Col1 = '""&amp;$G189&amp;""' and Col2 &gt; date '""&amp;TEXT(R$8,""yyyy-mm-dd"")&amp;""' and Col2 &lt;= date '""&amp;TEXT(Q$8,""yyyy-mm-dd"")&amp;""' label sum(Col16) ''"",0)))"),"")</f>
        <v/>
      </c>
      <c r="R189" s="628" t="str">
        <f>IFERROR(__xludf.DUMMYFUNCTION("IF($G189="""","""",IFERROR(query({proventos!$B$5:$Q310},""Select sum(Col16) where Col1 = '""&amp;$G189&amp;""' and Col2 &gt; date '""&amp;TEXT(S$8,""yyyy-mm-dd"")&amp;""' and Col2 &lt;= date '""&amp;TEXT(R$8,""yyyy-mm-dd"")&amp;""' label sum(Col16) ''"",0)))"),"")</f>
        <v/>
      </c>
      <c r="S189" s="628" t="str">
        <f>IFERROR(__xludf.DUMMYFUNCTION("IF($G189="""","""",IFERROR(query({proventos!$B$5:$Q310},""Select sum(Col16) where Col1 = '""&amp;$G189&amp;""' and Col2 &gt; date '""&amp;TEXT(T$8,""yyyy-mm-dd"")&amp;""' and Col2 &lt;= date '""&amp;TEXT(S$8,""yyyy-mm-dd"")&amp;""' label sum(Col16) ''"",0)))"),"")</f>
        <v/>
      </c>
      <c r="T189" s="628" t="str">
        <f>IFERROR(__xludf.DUMMYFUNCTION("IF($G189="""","""",IFERROR(query({proventos!$B$5:$Q310},""Select sum(Col16) where Col1 = '""&amp;$G189&amp;""' and Col2 &gt; date '""&amp;TEXT(U$8,""yyyy-mm-dd"")&amp;""' and Col2 &lt;= date '""&amp;TEXT(T$8,""yyyy-mm-dd"")&amp;""' label sum(Col16) ''"",0)))"),"")</f>
        <v/>
      </c>
      <c r="U189" s="629" t="str">
        <f>IFERROR(__xludf.DUMMYFUNCTION("IF($G189="""","""",IFERROR(query({proventos!$B$5:$Q310},""Select sum(Col16) where Col1 = '""&amp;$G189&amp;""' and Col2 &gt; date '""&amp;TEXT(EOMONTH(TODAY(),-13),""yyyy-mm-dd"")&amp;""' and Col2 &lt;= date '""&amp;TEXT(U$8,""yyyy-mm-dd"")&amp;""' label sum(Col16) ''"",0)))"),"")</f>
        <v/>
      </c>
      <c r="V189" s="630" t="str">
        <f>IFERROR(__xludf.DUMMYFUNCTION("IF($G189="""","""",IFERROR(query({proventos!$B$5:$Q310},""Select sum(Col16) where Col1 = '""&amp;$G189&amp;""' and Col2 &gt; date '""&amp;TEXT(DATE(V$8,1,1),""yyyy-mm-dd"")&amp;""' and Col2 &lt;= date '""&amp;TEXT(DATE(V$8,12,31),""yyyy-mm-dd"")&amp;""' label sum(Col16) ''"",0)))"),"")</f>
        <v/>
      </c>
      <c r="W189" s="630" t="str">
        <f>IFERROR(__xludf.DUMMYFUNCTION("IF($G189="""","""",IFERROR(query({proventos!$B$5:$Q310},""Select sum(Col16) where Col1 = '""&amp;$G189&amp;""' and Col2 &gt; date '""&amp;TEXT(DATE(W$8,1,1),""yyyy-mm-dd"")&amp;""' and Col2 &lt;= date '""&amp;TEXT(DATE(W$8,12,31),""yyyy-mm-dd"")&amp;""' label sum(Col16) ''"",0)))"),"")</f>
        <v/>
      </c>
      <c r="X189" s="630" t="str">
        <f>IFERROR(__xludf.DUMMYFUNCTION("IF($G189="""","""",IFERROR(query({proventos!$B$5:$Q310},""Select sum(Col16) where Col1 = '""&amp;$G189&amp;""' and Col2 &gt; date '""&amp;TEXT(DATE(X$8,1,1),""yyyy-mm-dd"")&amp;""' and Col2 &lt;= date '""&amp;TEXT(DATE(X$8,12,31),""yyyy-mm-dd"")&amp;""' label sum(Col16) ''"",0)))"),"")</f>
        <v/>
      </c>
      <c r="Y189" s="630" t="str">
        <f>IFERROR(__xludf.DUMMYFUNCTION("IF($G189="""","""",IFERROR(query({proventos!$B$5:$Q310},""Select sum(Col16) where Col1 = '""&amp;$G189&amp;""' and Col2 &gt; date '""&amp;TEXT(DATE(Y$8,1,1),""yyyy-mm-dd"")&amp;""' and Col2 &lt;= date '""&amp;TEXT(DATE(Y$8,12,31),""yyyy-mm-dd"")&amp;""' label sum(Col16) ''"",0)))"),"")</f>
        <v/>
      </c>
      <c r="Z189" s="630" t="str">
        <f>IFERROR(__xludf.DUMMYFUNCTION("IF($G189="""","""",IFERROR(query({proventos!$B$5:$Q310},""Select sum(Col16) where Col1 = '""&amp;$G189&amp;""' and Col2 &gt; date '""&amp;TEXT(DATE(Z$8,1,1),""yyyy-mm-dd"")&amp;""' and Col2 &lt;= date '""&amp;TEXT(DATE(Z$8,12,31),""yyyy-mm-dd"")&amp;""' label sum(Col16) ''"",0)))"),"")</f>
        <v/>
      </c>
      <c r="AA189" s="587"/>
      <c r="AB189" s="578" t="s">
        <v>123</v>
      </c>
      <c r="AC189" s="601"/>
      <c r="AD189" s="636"/>
      <c r="AE189" s="636"/>
    </row>
    <row r="190">
      <c r="A190" s="576"/>
      <c r="B190" s="620"/>
      <c r="C190" s="637"/>
      <c r="D190" s="633"/>
      <c r="E190" s="633"/>
      <c r="F190" s="624">
        <v>180.0</v>
      </c>
      <c r="G190" s="635"/>
      <c r="H190" s="626" t="str">
        <f>if(G190="","",IFERROR(VLOOKUP(G190,AtivosDados,MATCH("provento_avg",portfolio.!$A$3:AE$3,0),FALSE),""))</f>
        <v/>
      </c>
      <c r="I190" s="627" t="s">
        <v>123</v>
      </c>
      <c r="J190" s="628" t="str">
        <f>IFERROR(__xludf.DUMMYFUNCTION("IF($G190="""","""",IFERROR(query({proventos!$B$5:$Q310},""Select sum(Col16) where Col1 = '""&amp;$G190&amp;""' and Col2 &gt; date '""&amp;TEXT(K$8,""yyyy-mm-dd"")&amp;""' and Col2 &lt;= date '""&amp;TEXT(J$8,""yyyy-mm-dd"")&amp;""' label sum(Col16) ''"",0)))"),"")</f>
        <v/>
      </c>
      <c r="K190" s="628" t="str">
        <f>IFERROR(__xludf.DUMMYFUNCTION("IF($G190="""","""",IFERROR(query({proventos!$B$5:$Q310},""Select sum(Col16) where Col1 = '""&amp;$G190&amp;""' and Col2 &gt; date '""&amp;TEXT(L$8,""yyyy-mm-dd"")&amp;""' and Col2 &lt;= date '""&amp;TEXT(K$8,""yyyy-mm-dd"")&amp;""' label sum(Col16) ''"",0)))"),"")</f>
        <v/>
      </c>
      <c r="L190" s="628" t="str">
        <f>IFERROR(__xludf.DUMMYFUNCTION("IF($G190="""","""",IFERROR(query({proventos!$B$5:$Q310},""Select sum(Col16) where Col1 = '""&amp;$G190&amp;""' and Col2 &gt; date '""&amp;TEXT(M$8,""yyyy-mm-dd"")&amp;""' and Col2 &lt;= date '""&amp;TEXT(L$8,""yyyy-mm-dd"")&amp;""' label sum(Col16) ''"",0)))"),"")</f>
        <v/>
      </c>
      <c r="M190" s="628" t="str">
        <f>IFERROR(__xludf.DUMMYFUNCTION("IF($G190="""","""",IFERROR(query({proventos!$B$5:$Q310},""Select sum(Col16) where Col1 = '""&amp;$G190&amp;""' and Col2 &gt; date '""&amp;TEXT(N$8,""yyyy-mm-dd"")&amp;""' and Col2 &lt;= date '""&amp;TEXT(M$8,""yyyy-mm-dd"")&amp;""' label sum(Col16) ''"",0)))"),"")</f>
        <v/>
      </c>
      <c r="N190" s="628" t="str">
        <f>IFERROR(__xludf.DUMMYFUNCTION("IF($G190="""","""",IFERROR(query({proventos!$B$5:$Q310},""Select sum(Col16) where Col1 = '""&amp;$G190&amp;""' and Col2 &gt; date '""&amp;TEXT(O$8,""yyyy-mm-dd"")&amp;""' and Col2 &lt;= date '""&amp;TEXT(N$8,""yyyy-mm-dd"")&amp;""' label sum(Col16) ''"",0)))"),"")</f>
        <v/>
      </c>
      <c r="O190" s="628" t="str">
        <f>IFERROR(__xludf.DUMMYFUNCTION("IF($G190="""","""",IFERROR(query({proventos!$B$5:$Q310},""Select sum(Col16) where Col1 = '""&amp;$G190&amp;""' and Col2 &gt; date '""&amp;TEXT(P$8,""yyyy-mm-dd"")&amp;""' and Col2 &lt;= date '""&amp;TEXT(O$8,""yyyy-mm-dd"")&amp;""' label sum(Col16) ''"",0)))"),"")</f>
        <v/>
      </c>
      <c r="P190" s="628" t="str">
        <f>IFERROR(__xludf.DUMMYFUNCTION("IF($G190="""","""",IFERROR(query({proventos!$B$5:$Q310},""Select sum(Col16) where Col1 = '""&amp;$G190&amp;""' and Col2 &gt; date '""&amp;TEXT(Q$8,""yyyy-mm-dd"")&amp;""' and Col2 &lt;= date '""&amp;TEXT(P$8,""yyyy-mm-dd"")&amp;""' label sum(Col16) ''"",0)))"),"")</f>
        <v/>
      </c>
      <c r="Q190" s="628" t="str">
        <f>IFERROR(__xludf.DUMMYFUNCTION("IF($G190="""","""",IFERROR(query({proventos!$B$5:$Q310},""Select sum(Col16) where Col1 = '""&amp;$G190&amp;""' and Col2 &gt; date '""&amp;TEXT(R$8,""yyyy-mm-dd"")&amp;""' and Col2 &lt;= date '""&amp;TEXT(Q$8,""yyyy-mm-dd"")&amp;""' label sum(Col16) ''"",0)))"),"")</f>
        <v/>
      </c>
      <c r="R190" s="628" t="str">
        <f>IFERROR(__xludf.DUMMYFUNCTION("IF($G190="""","""",IFERROR(query({proventos!$B$5:$Q310},""Select sum(Col16) where Col1 = '""&amp;$G190&amp;""' and Col2 &gt; date '""&amp;TEXT(S$8,""yyyy-mm-dd"")&amp;""' and Col2 &lt;= date '""&amp;TEXT(R$8,""yyyy-mm-dd"")&amp;""' label sum(Col16) ''"",0)))"),"")</f>
        <v/>
      </c>
      <c r="S190" s="628" t="str">
        <f>IFERROR(__xludf.DUMMYFUNCTION("IF($G190="""","""",IFERROR(query({proventos!$B$5:$Q310},""Select sum(Col16) where Col1 = '""&amp;$G190&amp;""' and Col2 &gt; date '""&amp;TEXT(T$8,""yyyy-mm-dd"")&amp;""' and Col2 &lt;= date '""&amp;TEXT(S$8,""yyyy-mm-dd"")&amp;""' label sum(Col16) ''"",0)))"),"")</f>
        <v/>
      </c>
      <c r="T190" s="628" t="str">
        <f>IFERROR(__xludf.DUMMYFUNCTION("IF($G190="""","""",IFERROR(query({proventos!$B$5:$Q310},""Select sum(Col16) where Col1 = '""&amp;$G190&amp;""' and Col2 &gt; date '""&amp;TEXT(U$8,""yyyy-mm-dd"")&amp;""' and Col2 &lt;= date '""&amp;TEXT(T$8,""yyyy-mm-dd"")&amp;""' label sum(Col16) ''"",0)))"),"")</f>
        <v/>
      </c>
      <c r="U190" s="629" t="str">
        <f>IFERROR(__xludf.DUMMYFUNCTION("IF($G190="""","""",IFERROR(query({proventos!$B$5:$Q310},""Select sum(Col16) where Col1 = '""&amp;$G190&amp;""' and Col2 &gt; date '""&amp;TEXT(EOMONTH(TODAY(),-13),""yyyy-mm-dd"")&amp;""' and Col2 &lt;= date '""&amp;TEXT(U$8,""yyyy-mm-dd"")&amp;""' label sum(Col16) ''"",0)))"),"")</f>
        <v/>
      </c>
      <c r="V190" s="630" t="str">
        <f>IFERROR(__xludf.DUMMYFUNCTION("IF($G190="""","""",IFERROR(query({proventos!$B$5:$Q310},""Select sum(Col16) where Col1 = '""&amp;$G190&amp;""' and Col2 &gt; date '""&amp;TEXT(DATE(V$8,1,1),""yyyy-mm-dd"")&amp;""' and Col2 &lt;= date '""&amp;TEXT(DATE(V$8,12,31),""yyyy-mm-dd"")&amp;""' label sum(Col16) ''"",0)))"),"")</f>
        <v/>
      </c>
      <c r="W190" s="630" t="str">
        <f>IFERROR(__xludf.DUMMYFUNCTION("IF($G190="""","""",IFERROR(query({proventos!$B$5:$Q310},""Select sum(Col16) where Col1 = '""&amp;$G190&amp;""' and Col2 &gt; date '""&amp;TEXT(DATE(W$8,1,1),""yyyy-mm-dd"")&amp;""' and Col2 &lt;= date '""&amp;TEXT(DATE(W$8,12,31),""yyyy-mm-dd"")&amp;""' label sum(Col16) ''"",0)))"),"")</f>
        <v/>
      </c>
      <c r="X190" s="630" t="str">
        <f>IFERROR(__xludf.DUMMYFUNCTION("IF($G190="""","""",IFERROR(query({proventos!$B$5:$Q310},""Select sum(Col16) where Col1 = '""&amp;$G190&amp;""' and Col2 &gt; date '""&amp;TEXT(DATE(X$8,1,1),""yyyy-mm-dd"")&amp;""' and Col2 &lt;= date '""&amp;TEXT(DATE(X$8,12,31),""yyyy-mm-dd"")&amp;""' label sum(Col16) ''"",0)))"),"")</f>
        <v/>
      </c>
      <c r="Y190" s="630" t="str">
        <f>IFERROR(__xludf.DUMMYFUNCTION("IF($G190="""","""",IFERROR(query({proventos!$B$5:$Q310},""Select sum(Col16) where Col1 = '""&amp;$G190&amp;""' and Col2 &gt; date '""&amp;TEXT(DATE(Y$8,1,1),""yyyy-mm-dd"")&amp;""' and Col2 &lt;= date '""&amp;TEXT(DATE(Y$8,12,31),""yyyy-mm-dd"")&amp;""' label sum(Col16) ''"",0)))"),"")</f>
        <v/>
      </c>
      <c r="Z190" s="630" t="str">
        <f>IFERROR(__xludf.DUMMYFUNCTION("IF($G190="""","""",IFERROR(query({proventos!$B$5:$Q310},""Select sum(Col16) where Col1 = '""&amp;$G190&amp;""' and Col2 &gt; date '""&amp;TEXT(DATE(Z$8,1,1),""yyyy-mm-dd"")&amp;""' and Col2 &lt;= date '""&amp;TEXT(DATE(Z$8,12,31),""yyyy-mm-dd"")&amp;""' label sum(Col16) ''"",0)))"),"")</f>
        <v/>
      </c>
      <c r="AA190" s="587"/>
      <c r="AB190" s="578" t="s">
        <v>123</v>
      </c>
      <c r="AC190" s="601"/>
      <c r="AD190" s="636"/>
      <c r="AE190" s="636"/>
    </row>
    <row r="191">
      <c r="A191" s="576"/>
      <c r="B191" s="620"/>
      <c r="C191" s="637"/>
      <c r="D191" s="633"/>
      <c r="E191" s="633"/>
      <c r="F191" s="624">
        <v>181.0</v>
      </c>
      <c r="G191" s="635"/>
      <c r="H191" s="626" t="str">
        <f>if(G191="","",IFERROR(VLOOKUP(G191,AtivosDados,MATCH("provento_avg",portfolio.!$A$3:AE$3,0),FALSE),""))</f>
        <v/>
      </c>
      <c r="I191" s="627" t="s">
        <v>123</v>
      </c>
      <c r="J191" s="628" t="str">
        <f>IFERROR(__xludf.DUMMYFUNCTION("IF($G191="""","""",IFERROR(query({proventos!$B$5:$Q310},""Select sum(Col16) where Col1 = '""&amp;$G191&amp;""' and Col2 &gt; date '""&amp;TEXT(K$8,""yyyy-mm-dd"")&amp;""' and Col2 &lt;= date '""&amp;TEXT(J$8,""yyyy-mm-dd"")&amp;""' label sum(Col16) ''"",0)))"),"")</f>
        <v/>
      </c>
      <c r="K191" s="628" t="str">
        <f>IFERROR(__xludf.DUMMYFUNCTION("IF($G191="""","""",IFERROR(query({proventos!$B$5:$Q310},""Select sum(Col16) where Col1 = '""&amp;$G191&amp;""' and Col2 &gt; date '""&amp;TEXT(L$8,""yyyy-mm-dd"")&amp;""' and Col2 &lt;= date '""&amp;TEXT(K$8,""yyyy-mm-dd"")&amp;""' label sum(Col16) ''"",0)))"),"")</f>
        <v/>
      </c>
      <c r="L191" s="628" t="str">
        <f>IFERROR(__xludf.DUMMYFUNCTION("IF($G191="""","""",IFERROR(query({proventos!$B$5:$Q310},""Select sum(Col16) where Col1 = '""&amp;$G191&amp;""' and Col2 &gt; date '""&amp;TEXT(M$8,""yyyy-mm-dd"")&amp;""' and Col2 &lt;= date '""&amp;TEXT(L$8,""yyyy-mm-dd"")&amp;""' label sum(Col16) ''"",0)))"),"")</f>
        <v/>
      </c>
      <c r="M191" s="628" t="str">
        <f>IFERROR(__xludf.DUMMYFUNCTION("IF($G191="""","""",IFERROR(query({proventos!$B$5:$Q310},""Select sum(Col16) where Col1 = '""&amp;$G191&amp;""' and Col2 &gt; date '""&amp;TEXT(N$8,""yyyy-mm-dd"")&amp;""' and Col2 &lt;= date '""&amp;TEXT(M$8,""yyyy-mm-dd"")&amp;""' label sum(Col16) ''"",0)))"),"")</f>
        <v/>
      </c>
      <c r="N191" s="628" t="str">
        <f>IFERROR(__xludf.DUMMYFUNCTION("IF($G191="""","""",IFERROR(query({proventos!$B$5:$Q310},""Select sum(Col16) where Col1 = '""&amp;$G191&amp;""' and Col2 &gt; date '""&amp;TEXT(O$8,""yyyy-mm-dd"")&amp;""' and Col2 &lt;= date '""&amp;TEXT(N$8,""yyyy-mm-dd"")&amp;""' label sum(Col16) ''"",0)))"),"")</f>
        <v/>
      </c>
      <c r="O191" s="628" t="str">
        <f>IFERROR(__xludf.DUMMYFUNCTION("IF($G191="""","""",IFERROR(query({proventos!$B$5:$Q310},""Select sum(Col16) where Col1 = '""&amp;$G191&amp;""' and Col2 &gt; date '""&amp;TEXT(P$8,""yyyy-mm-dd"")&amp;""' and Col2 &lt;= date '""&amp;TEXT(O$8,""yyyy-mm-dd"")&amp;""' label sum(Col16) ''"",0)))"),"")</f>
        <v/>
      </c>
      <c r="P191" s="628" t="str">
        <f>IFERROR(__xludf.DUMMYFUNCTION("IF($G191="""","""",IFERROR(query({proventos!$B$5:$Q310},""Select sum(Col16) where Col1 = '""&amp;$G191&amp;""' and Col2 &gt; date '""&amp;TEXT(Q$8,""yyyy-mm-dd"")&amp;""' and Col2 &lt;= date '""&amp;TEXT(P$8,""yyyy-mm-dd"")&amp;""' label sum(Col16) ''"",0)))"),"")</f>
        <v/>
      </c>
      <c r="Q191" s="628" t="str">
        <f>IFERROR(__xludf.DUMMYFUNCTION("IF($G191="""","""",IFERROR(query({proventos!$B$5:$Q310},""Select sum(Col16) where Col1 = '""&amp;$G191&amp;""' and Col2 &gt; date '""&amp;TEXT(R$8,""yyyy-mm-dd"")&amp;""' and Col2 &lt;= date '""&amp;TEXT(Q$8,""yyyy-mm-dd"")&amp;""' label sum(Col16) ''"",0)))"),"")</f>
        <v/>
      </c>
      <c r="R191" s="628" t="str">
        <f>IFERROR(__xludf.DUMMYFUNCTION("IF($G191="""","""",IFERROR(query({proventos!$B$5:$Q310},""Select sum(Col16) where Col1 = '""&amp;$G191&amp;""' and Col2 &gt; date '""&amp;TEXT(S$8,""yyyy-mm-dd"")&amp;""' and Col2 &lt;= date '""&amp;TEXT(R$8,""yyyy-mm-dd"")&amp;""' label sum(Col16) ''"",0)))"),"")</f>
        <v/>
      </c>
      <c r="S191" s="628" t="str">
        <f>IFERROR(__xludf.DUMMYFUNCTION("IF($G191="""","""",IFERROR(query({proventos!$B$5:$Q310},""Select sum(Col16) where Col1 = '""&amp;$G191&amp;""' and Col2 &gt; date '""&amp;TEXT(T$8,""yyyy-mm-dd"")&amp;""' and Col2 &lt;= date '""&amp;TEXT(S$8,""yyyy-mm-dd"")&amp;""' label sum(Col16) ''"",0)))"),"")</f>
        <v/>
      </c>
      <c r="T191" s="628" t="str">
        <f>IFERROR(__xludf.DUMMYFUNCTION("IF($G191="""","""",IFERROR(query({proventos!$B$5:$Q310},""Select sum(Col16) where Col1 = '""&amp;$G191&amp;""' and Col2 &gt; date '""&amp;TEXT(U$8,""yyyy-mm-dd"")&amp;""' and Col2 &lt;= date '""&amp;TEXT(T$8,""yyyy-mm-dd"")&amp;""' label sum(Col16) ''"",0)))"),"")</f>
        <v/>
      </c>
      <c r="U191" s="629" t="str">
        <f>IFERROR(__xludf.DUMMYFUNCTION("IF($G191="""","""",IFERROR(query({proventos!$B$5:$Q310},""Select sum(Col16) where Col1 = '""&amp;$G191&amp;""' and Col2 &gt; date '""&amp;TEXT(EOMONTH(TODAY(),-13),""yyyy-mm-dd"")&amp;""' and Col2 &lt;= date '""&amp;TEXT(U$8,""yyyy-mm-dd"")&amp;""' label sum(Col16) ''"",0)))"),"")</f>
        <v/>
      </c>
      <c r="V191" s="630" t="str">
        <f>IFERROR(__xludf.DUMMYFUNCTION("IF($G191="""","""",IFERROR(query({proventos!$B$5:$Q310},""Select sum(Col16) where Col1 = '""&amp;$G191&amp;""' and Col2 &gt; date '""&amp;TEXT(DATE(V$8,1,1),""yyyy-mm-dd"")&amp;""' and Col2 &lt;= date '""&amp;TEXT(DATE(V$8,12,31),""yyyy-mm-dd"")&amp;""' label sum(Col16) ''"",0)))"),"")</f>
        <v/>
      </c>
      <c r="W191" s="630" t="str">
        <f>IFERROR(__xludf.DUMMYFUNCTION("IF($G191="""","""",IFERROR(query({proventos!$B$5:$Q310},""Select sum(Col16) where Col1 = '""&amp;$G191&amp;""' and Col2 &gt; date '""&amp;TEXT(DATE(W$8,1,1),""yyyy-mm-dd"")&amp;""' and Col2 &lt;= date '""&amp;TEXT(DATE(W$8,12,31),""yyyy-mm-dd"")&amp;""' label sum(Col16) ''"",0)))"),"")</f>
        <v/>
      </c>
      <c r="X191" s="630" t="str">
        <f>IFERROR(__xludf.DUMMYFUNCTION("IF($G191="""","""",IFERROR(query({proventos!$B$5:$Q310},""Select sum(Col16) where Col1 = '""&amp;$G191&amp;""' and Col2 &gt; date '""&amp;TEXT(DATE(X$8,1,1),""yyyy-mm-dd"")&amp;""' and Col2 &lt;= date '""&amp;TEXT(DATE(X$8,12,31),""yyyy-mm-dd"")&amp;""' label sum(Col16) ''"",0)))"),"")</f>
        <v/>
      </c>
      <c r="Y191" s="630" t="str">
        <f>IFERROR(__xludf.DUMMYFUNCTION("IF($G191="""","""",IFERROR(query({proventos!$B$5:$Q310},""Select sum(Col16) where Col1 = '""&amp;$G191&amp;""' and Col2 &gt; date '""&amp;TEXT(DATE(Y$8,1,1),""yyyy-mm-dd"")&amp;""' and Col2 &lt;= date '""&amp;TEXT(DATE(Y$8,12,31),""yyyy-mm-dd"")&amp;""' label sum(Col16) ''"",0)))"),"")</f>
        <v/>
      </c>
      <c r="Z191" s="630" t="str">
        <f>IFERROR(__xludf.DUMMYFUNCTION("IF($G191="""","""",IFERROR(query({proventos!$B$5:$Q310},""Select sum(Col16) where Col1 = '""&amp;$G191&amp;""' and Col2 &gt; date '""&amp;TEXT(DATE(Z$8,1,1),""yyyy-mm-dd"")&amp;""' and Col2 &lt;= date '""&amp;TEXT(DATE(Z$8,12,31),""yyyy-mm-dd"")&amp;""' label sum(Col16) ''"",0)))"),"")</f>
        <v/>
      </c>
      <c r="AA191" s="587"/>
      <c r="AB191" s="578" t="s">
        <v>123</v>
      </c>
      <c r="AC191" s="601"/>
      <c r="AD191" s="636"/>
      <c r="AE191" s="636"/>
    </row>
    <row r="192">
      <c r="A192" s="576"/>
      <c r="B192" s="620"/>
      <c r="C192" s="637"/>
      <c r="D192" s="633"/>
      <c r="E192" s="633"/>
      <c r="F192" s="624">
        <v>182.0</v>
      </c>
      <c r="G192" s="635"/>
      <c r="H192" s="626" t="str">
        <f>if(G192="","",IFERROR(VLOOKUP(G192,AtivosDados,MATCH("provento_avg",portfolio.!$A$3:AE$3,0),FALSE),""))</f>
        <v/>
      </c>
      <c r="I192" s="627" t="s">
        <v>123</v>
      </c>
      <c r="J192" s="628" t="str">
        <f>IFERROR(__xludf.DUMMYFUNCTION("IF($G192="""","""",IFERROR(query({proventos!$B$5:$Q310},""Select sum(Col16) where Col1 = '""&amp;$G192&amp;""' and Col2 &gt; date '""&amp;TEXT(K$8,""yyyy-mm-dd"")&amp;""' and Col2 &lt;= date '""&amp;TEXT(J$8,""yyyy-mm-dd"")&amp;""' label sum(Col16) ''"",0)))"),"")</f>
        <v/>
      </c>
      <c r="K192" s="628" t="str">
        <f>IFERROR(__xludf.DUMMYFUNCTION("IF($G192="""","""",IFERROR(query({proventos!$B$5:$Q310},""Select sum(Col16) where Col1 = '""&amp;$G192&amp;""' and Col2 &gt; date '""&amp;TEXT(L$8,""yyyy-mm-dd"")&amp;""' and Col2 &lt;= date '""&amp;TEXT(K$8,""yyyy-mm-dd"")&amp;""' label sum(Col16) ''"",0)))"),"")</f>
        <v/>
      </c>
      <c r="L192" s="628" t="str">
        <f>IFERROR(__xludf.DUMMYFUNCTION("IF($G192="""","""",IFERROR(query({proventos!$B$5:$Q310},""Select sum(Col16) where Col1 = '""&amp;$G192&amp;""' and Col2 &gt; date '""&amp;TEXT(M$8,""yyyy-mm-dd"")&amp;""' and Col2 &lt;= date '""&amp;TEXT(L$8,""yyyy-mm-dd"")&amp;""' label sum(Col16) ''"",0)))"),"")</f>
        <v/>
      </c>
      <c r="M192" s="628" t="str">
        <f>IFERROR(__xludf.DUMMYFUNCTION("IF($G192="""","""",IFERROR(query({proventos!$B$5:$Q310},""Select sum(Col16) where Col1 = '""&amp;$G192&amp;""' and Col2 &gt; date '""&amp;TEXT(N$8,""yyyy-mm-dd"")&amp;""' and Col2 &lt;= date '""&amp;TEXT(M$8,""yyyy-mm-dd"")&amp;""' label sum(Col16) ''"",0)))"),"")</f>
        <v/>
      </c>
      <c r="N192" s="628" t="str">
        <f>IFERROR(__xludf.DUMMYFUNCTION("IF($G192="""","""",IFERROR(query({proventos!$B$5:$Q310},""Select sum(Col16) where Col1 = '""&amp;$G192&amp;""' and Col2 &gt; date '""&amp;TEXT(O$8,""yyyy-mm-dd"")&amp;""' and Col2 &lt;= date '""&amp;TEXT(N$8,""yyyy-mm-dd"")&amp;""' label sum(Col16) ''"",0)))"),"")</f>
        <v/>
      </c>
      <c r="O192" s="628" t="str">
        <f>IFERROR(__xludf.DUMMYFUNCTION("IF($G192="""","""",IFERROR(query({proventos!$B$5:$Q310},""Select sum(Col16) where Col1 = '""&amp;$G192&amp;""' and Col2 &gt; date '""&amp;TEXT(P$8,""yyyy-mm-dd"")&amp;""' and Col2 &lt;= date '""&amp;TEXT(O$8,""yyyy-mm-dd"")&amp;""' label sum(Col16) ''"",0)))"),"")</f>
        <v/>
      </c>
      <c r="P192" s="628" t="str">
        <f>IFERROR(__xludf.DUMMYFUNCTION("IF($G192="""","""",IFERROR(query({proventos!$B$5:$Q310},""Select sum(Col16) where Col1 = '""&amp;$G192&amp;""' and Col2 &gt; date '""&amp;TEXT(Q$8,""yyyy-mm-dd"")&amp;""' and Col2 &lt;= date '""&amp;TEXT(P$8,""yyyy-mm-dd"")&amp;""' label sum(Col16) ''"",0)))"),"")</f>
        <v/>
      </c>
      <c r="Q192" s="628" t="str">
        <f>IFERROR(__xludf.DUMMYFUNCTION("IF($G192="""","""",IFERROR(query({proventos!$B$5:$Q310},""Select sum(Col16) where Col1 = '""&amp;$G192&amp;""' and Col2 &gt; date '""&amp;TEXT(R$8,""yyyy-mm-dd"")&amp;""' and Col2 &lt;= date '""&amp;TEXT(Q$8,""yyyy-mm-dd"")&amp;""' label sum(Col16) ''"",0)))"),"")</f>
        <v/>
      </c>
      <c r="R192" s="628" t="str">
        <f>IFERROR(__xludf.DUMMYFUNCTION("IF($G192="""","""",IFERROR(query({proventos!$B$5:$Q310},""Select sum(Col16) where Col1 = '""&amp;$G192&amp;""' and Col2 &gt; date '""&amp;TEXT(S$8,""yyyy-mm-dd"")&amp;""' and Col2 &lt;= date '""&amp;TEXT(R$8,""yyyy-mm-dd"")&amp;""' label sum(Col16) ''"",0)))"),"")</f>
        <v/>
      </c>
      <c r="S192" s="628" t="str">
        <f>IFERROR(__xludf.DUMMYFUNCTION("IF($G192="""","""",IFERROR(query({proventos!$B$5:$Q310},""Select sum(Col16) where Col1 = '""&amp;$G192&amp;""' and Col2 &gt; date '""&amp;TEXT(T$8,""yyyy-mm-dd"")&amp;""' and Col2 &lt;= date '""&amp;TEXT(S$8,""yyyy-mm-dd"")&amp;""' label sum(Col16) ''"",0)))"),"")</f>
        <v/>
      </c>
      <c r="T192" s="628" t="str">
        <f>IFERROR(__xludf.DUMMYFUNCTION("IF($G192="""","""",IFERROR(query({proventos!$B$5:$Q310},""Select sum(Col16) where Col1 = '""&amp;$G192&amp;""' and Col2 &gt; date '""&amp;TEXT(U$8,""yyyy-mm-dd"")&amp;""' and Col2 &lt;= date '""&amp;TEXT(T$8,""yyyy-mm-dd"")&amp;""' label sum(Col16) ''"",0)))"),"")</f>
        <v/>
      </c>
      <c r="U192" s="629" t="str">
        <f>IFERROR(__xludf.DUMMYFUNCTION("IF($G192="""","""",IFERROR(query({proventos!$B$5:$Q310},""Select sum(Col16) where Col1 = '""&amp;$G192&amp;""' and Col2 &gt; date '""&amp;TEXT(EOMONTH(TODAY(),-13),""yyyy-mm-dd"")&amp;""' and Col2 &lt;= date '""&amp;TEXT(U$8,""yyyy-mm-dd"")&amp;""' label sum(Col16) ''"",0)))"),"")</f>
        <v/>
      </c>
      <c r="V192" s="630" t="str">
        <f>IFERROR(__xludf.DUMMYFUNCTION("IF($G192="""","""",IFERROR(query({proventos!$B$5:$Q310},""Select sum(Col16) where Col1 = '""&amp;$G192&amp;""' and Col2 &gt; date '""&amp;TEXT(DATE(V$8,1,1),""yyyy-mm-dd"")&amp;""' and Col2 &lt;= date '""&amp;TEXT(DATE(V$8,12,31),""yyyy-mm-dd"")&amp;""' label sum(Col16) ''"",0)))"),"")</f>
        <v/>
      </c>
      <c r="W192" s="630" t="str">
        <f>IFERROR(__xludf.DUMMYFUNCTION("IF($G192="""","""",IFERROR(query({proventos!$B$5:$Q310},""Select sum(Col16) where Col1 = '""&amp;$G192&amp;""' and Col2 &gt; date '""&amp;TEXT(DATE(W$8,1,1),""yyyy-mm-dd"")&amp;""' and Col2 &lt;= date '""&amp;TEXT(DATE(W$8,12,31),""yyyy-mm-dd"")&amp;""' label sum(Col16) ''"",0)))"),"")</f>
        <v/>
      </c>
      <c r="X192" s="630" t="str">
        <f>IFERROR(__xludf.DUMMYFUNCTION("IF($G192="""","""",IFERROR(query({proventos!$B$5:$Q310},""Select sum(Col16) where Col1 = '""&amp;$G192&amp;""' and Col2 &gt; date '""&amp;TEXT(DATE(X$8,1,1),""yyyy-mm-dd"")&amp;""' and Col2 &lt;= date '""&amp;TEXT(DATE(X$8,12,31),""yyyy-mm-dd"")&amp;""' label sum(Col16) ''"",0)))"),"")</f>
        <v/>
      </c>
      <c r="Y192" s="630" t="str">
        <f>IFERROR(__xludf.DUMMYFUNCTION("IF($G192="""","""",IFERROR(query({proventos!$B$5:$Q310},""Select sum(Col16) where Col1 = '""&amp;$G192&amp;""' and Col2 &gt; date '""&amp;TEXT(DATE(Y$8,1,1),""yyyy-mm-dd"")&amp;""' and Col2 &lt;= date '""&amp;TEXT(DATE(Y$8,12,31),""yyyy-mm-dd"")&amp;""' label sum(Col16) ''"",0)))"),"")</f>
        <v/>
      </c>
      <c r="Z192" s="630" t="str">
        <f>IFERROR(__xludf.DUMMYFUNCTION("IF($G192="""","""",IFERROR(query({proventos!$B$5:$Q310},""Select sum(Col16) where Col1 = '""&amp;$G192&amp;""' and Col2 &gt; date '""&amp;TEXT(DATE(Z$8,1,1),""yyyy-mm-dd"")&amp;""' and Col2 &lt;= date '""&amp;TEXT(DATE(Z$8,12,31),""yyyy-mm-dd"")&amp;""' label sum(Col16) ''"",0)))"),"")</f>
        <v/>
      </c>
      <c r="AA192" s="587"/>
      <c r="AB192" s="578" t="s">
        <v>123</v>
      </c>
      <c r="AC192" s="601"/>
      <c r="AD192" s="636"/>
      <c r="AE192" s="636"/>
    </row>
    <row r="193">
      <c r="A193" s="576"/>
      <c r="B193" s="620"/>
      <c r="C193" s="637"/>
      <c r="D193" s="633"/>
      <c r="E193" s="633"/>
      <c r="F193" s="624">
        <v>183.0</v>
      </c>
      <c r="G193" s="635"/>
      <c r="H193" s="626" t="str">
        <f>if(G193="","",IFERROR(VLOOKUP(G193,AtivosDados,MATCH("provento_avg",portfolio.!$A$3:AE$3,0),FALSE),""))</f>
        <v/>
      </c>
      <c r="I193" s="627" t="s">
        <v>123</v>
      </c>
      <c r="J193" s="628" t="str">
        <f>IFERROR(__xludf.DUMMYFUNCTION("IF($G193="""","""",IFERROR(query({proventos!$B$5:$Q310},""Select sum(Col16) where Col1 = '""&amp;$G193&amp;""' and Col2 &gt; date '""&amp;TEXT(K$8,""yyyy-mm-dd"")&amp;""' and Col2 &lt;= date '""&amp;TEXT(J$8,""yyyy-mm-dd"")&amp;""' label sum(Col16) ''"",0)))"),"")</f>
        <v/>
      </c>
      <c r="K193" s="628" t="str">
        <f>IFERROR(__xludf.DUMMYFUNCTION("IF($G193="""","""",IFERROR(query({proventos!$B$5:$Q310},""Select sum(Col16) where Col1 = '""&amp;$G193&amp;""' and Col2 &gt; date '""&amp;TEXT(L$8,""yyyy-mm-dd"")&amp;""' and Col2 &lt;= date '""&amp;TEXT(K$8,""yyyy-mm-dd"")&amp;""' label sum(Col16) ''"",0)))"),"")</f>
        <v/>
      </c>
      <c r="L193" s="628" t="str">
        <f>IFERROR(__xludf.DUMMYFUNCTION("IF($G193="""","""",IFERROR(query({proventos!$B$5:$Q310},""Select sum(Col16) where Col1 = '""&amp;$G193&amp;""' and Col2 &gt; date '""&amp;TEXT(M$8,""yyyy-mm-dd"")&amp;""' and Col2 &lt;= date '""&amp;TEXT(L$8,""yyyy-mm-dd"")&amp;""' label sum(Col16) ''"",0)))"),"")</f>
        <v/>
      </c>
      <c r="M193" s="628" t="str">
        <f>IFERROR(__xludf.DUMMYFUNCTION("IF($G193="""","""",IFERROR(query({proventos!$B$5:$Q310},""Select sum(Col16) where Col1 = '""&amp;$G193&amp;""' and Col2 &gt; date '""&amp;TEXT(N$8,""yyyy-mm-dd"")&amp;""' and Col2 &lt;= date '""&amp;TEXT(M$8,""yyyy-mm-dd"")&amp;""' label sum(Col16) ''"",0)))"),"")</f>
        <v/>
      </c>
      <c r="N193" s="628" t="str">
        <f>IFERROR(__xludf.DUMMYFUNCTION("IF($G193="""","""",IFERROR(query({proventos!$B$5:$Q310},""Select sum(Col16) where Col1 = '""&amp;$G193&amp;""' and Col2 &gt; date '""&amp;TEXT(O$8,""yyyy-mm-dd"")&amp;""' and Col2 &lt;= date '""&amp;TEXT(N$8,""yyyy-mm-dd"")&amp;""' label sum(Col16) ''"",0)))"),"")</f>
        <v/>
      </c>
      <c r="O193" s="628" t="str">
        <f>IFERROR(__xludf.DUMMYFUNCTION("IF($G193="""","""",IFERROR(query({proventos!$B$5:$Q310},""Select sum(Col16) where Col1 = '""&amp;$G193&amp;""' and Col2 &gt; date '""&amp;TEXT(P$8,""yyyy-mm-dd"")&amp;""' and Col2 &lt;= date '""&amp;TEXT(O$8,""yyyy-mm-dd"")&amp;""' label sum(Col16) ''"",0)))"),"")</f>
        <v/>
      </c>
      <c r="P193" s="628" t="str">
        <f>IFERROR(__xludf.DUMMYFUNCTION("IF($G193="""","""",IFERROR(query({proventos!$B$5:$Q310},""Select sum(Col16) where Col1 = '""&amp;$G193&amp;""' and Col2 &gt; date '""&amp;TEXT(Q$8,""yyyy-mm-dd"")&amp;""' and Col2 &lt;= date '""&amp;TEXT(P$8,""yyyy-mm-dd"")&amp;""' label sum(Col16) ''"",0)))"),"")</f>
        <v/>
      </c>
      <c r="Q193" s="628" t="str">
        <f>IFERROR(__xludf.DUMMYFUNCTION("IF($G193="""","""",IFERROR(query({proventos!$B$5:$Q310},""Select sum(Col16) where Col1 = '""&amp;$G193&amp;""' and Col2 &gt; date '""&amp;TEXT(R$8,""yyyy-mm-dd"")&amp;""' and Col2 &lt;= date '""&amp;TEXT(Q$8,""yyyy-mm-dd"")&amp;""' label sum(Col16) ''"",0)))"),"")</f>
        <v/>
      </c>
      <c r="R193" s="628" t="str">
        <f>IFERROR(__xludf.DUMMYFUNCTION("IF($G193="""","""",IFERROR(query({proventos!$B$5:$Q310},""Select sum(Col16) where Col1 = '""&amp;$G193&amp;""' and Col2 &gt; date '""&amp;TEXT(S$8,""yyyy-mm-dd"")&amp;""' and Col2 &lt;= date '""&amp;TEXT(R$8,""yyyy-mm-dd"")&amp;""' label sum(Col16) ''"",0)))"),"")</f>
        <v/>
      </c>
      <c r="S193" s="628" t="str">
        <f>IFERROR(__xludf.DUMMYFUNCTION("IF($G193="""","""",IFERROR(query({proventos!$B$5:$Q310},""Select sum(Col16) where Col1 = '""&amp;$G193&amp;""' and Col2 &gt; date '""&amp;TEXT(T$8,""yyyy-mm-dd"")&amp;""' and Col2 &lt;= date '""&amp;TEXT(S$8,""yyyy-mm-dd"")&amp;""' label sum(Col16) ''"",0)))"),"")</f>
        <v/>
      </c>
      <c r="T193" s="628" t="str">
        <f>IFERROR(__xludf.DUMMYFUNCTION("IF($G193="""","""",IFERROR(query({proventos!$B$5:$Q310},""Select sum(Col16) where Col1 = '""&amp;$G193&amp;""' and Col2 &gt; date '""&amp;TEXT(U$8,""yyyy-mm-dd"")&amp;""' and Col2 &lt;= date '""&amp;TEXT(T$8,""yyyy-mm-dd"")&amp;""' label sum(Col16) ''"",0)))"),"")</f>
        <v/>
      </c>
      <c r="U193" s="629" t="str">
        <f>IFERROR(__xludf.DUMMYFUNCTION("IF($G193="""","""",IFERROR(query({proventos!$B$5:$Q310},""Select sum(Col16) where Col1 = '""&amp;$G193&amp;""' and Col2 &gt; date '""&amp;TEXT(EOMONTH(TODAY(),-13),""yyyy-mm-dd"")&amp;""' and Col2 &lt;= date '""&amp;TEXT(U$8,""yyyy-mm-dd"")&amp;""' label sum(Col16) ''"",0)))"),"")</f>
        <v/>
      </c>
      <c r="V193" s="630" t="str">
        <f>IFERROR(__xludf.DUMMYFUNCTION("IF($G193="""","""",IFERROR(query({proventos!$B$5:$Q310},""Select sum(Col16) where Col1 = '""&amp;$G193&amp;""' and Col2 &gt; date '""&amp;TEXT(DATE(V$8,1,1),""yyyy-mm-dd"")&amp;""' and Col2 &lt;= date '""&amp;TEXT(DATE(V$8,12,31),""yyyy-mm-dd"")&amp;""' label sum(Col16) ''"",0)))"),"")</f>
        <v/>
      </c>
      <c r="W193" s="630" t="str">
        <f>IFERROR(__xludf.DUMMYFUNCTION("IF($G193="""","""",IFERROR(query({proventos!$B$5:$Q310},""Select sum(Col16) where Col1 = '""&amp;$G193&amp;""' and Col2 &gt; date '""&amp;TEXT(DATE(W$8,1,1),""yyyy-mm-dd"")&amp;""' and Col2 &lt;= date '""&amp;TEXT(DATE(W$8,12,31),""yyyy-mm-dd"")&amp;""' label sum(Col16) ''"",0)))"),"")</f>
        <v/>
      </c>
      <c r="X193" s="630" t="str">
        <f>IFERROR(__xludf.DUMMYFUNCTION("IF($G193="""","""",IFERROR(query({proventos!$B$5:$Q310},""Select sum(Col16) where Col1 = '""&amp;$G193&amp;""' and Col2 &gt; date '""&amp;TEXT(DATE(X$8,1,1),""yyyy-mm-dd"")&amp;""' and Col2 &lt;= date '""&amp;TEXT(DATE(X$8,12,31),""yyyy-mm-dd"")&amp;""' label sum(Col16) ''"",0)))"),"")</f>
        <v/>
      </c>
      <c r="Y193" s="630" t="str">
        <f>IFERROR(__xludf.DUMMYFUNCTION("IF($G193="""","""",IFERROR(query({proventos!$B$5:$Q310},""Select sum(Col16) where Col1 = '""&amp;$G193&amp;""' and Col2 &gt; date '""&amp;TEXT(DATE(Y$8,1,1),""yyyy-mm-dd"")&amp;""' and Col2 &lt;= date '""&amp;TEXT(DATE(Y$8,12,31),""yyyy-mm-dd"")&amp;""' label sum(Col16) ''"",0)))"),"")</f>
        <v/>
      </c>
      <c r="Z193" s="630" t="str">
        <f>IFERROR(__xludf.DUMMYFUNCTION("IF($G193="""","""",IFERROR(query({proventos!$B$5:$Q310},""Select sum(Col16) where Col1 = '""&amp;$G193&amp;""' and Col2 &gt; date '""&amp;TEXT(DATE(Z$8,1,1),""yyyy-mm-dd"")&amp;""' and Col2 &lt;= date '""&amp;TEXT(DATE(Z$8,12,31),""yyyy-mm-dd"")&amp;""' label sum(Col16) ''"",0)))"),"")</f>
        <v/>
      </c>
      <c r="AA193" s="587"/>
      <c r="AB193" s="578" t="s">
        <v>123</v>
      </c>
      <c r="AC193" s="601"/>
      <c r="AD193" s="636"/>
      <c r="AE193" s="636"/>
    </row>
    <row r="194">
      <c r="A194" s="576"/>
      <c r="B194" s="620"/>
      <c r="C194" s="637"/>
      <c r="D194" s="633"/>
      <c r="E194" s="633"/>
      <c r="F194" s="624">
        <v>184.0</v>
      </c>
      <c r="G194" s="635"/>
      <c r="H194" s="626" t="str">
        <f>if(G194="","",IFERROR(VLOOKUP(G194,AtivosDados,MATCH("provento_avg",portfolio.!$A$3:AE$3,0),FALSE),""))</f>
        <v/>
      </c>
      <c r="I194" s="627" t="s">
        <v>123</v>
      </c>
      <c r="J194" s="628" t="str">
        <f>IFERROR(__xludf.DUMMYFUNCTION("IF($G194="""","""",IFERROR(query({proventos!$B$5:$Q310},""Select sum(Col16) where Col1 = '""&amp;$G194&amp;""' and Col2 &gt; date '""&amp;TEXT(K$8,""yyyy-mm-dd"")&amp;""' and Col2 &lt;= date '""&amp;TEXT(J$8,""yyyy-mm-dd"")&amp;""' label sum(Col16) ''"",0)))"),"")</f>
        <v/>
      </c>
      <c r="K194" s="628" t="str">
        <f>IFERROR(__xludf.DUMMYFUNCTION("IF($G194="""","""",IFERROR(query({proventos!$B$5:$Q310},""Select sum(Col16) where Col1 = '""&amp;$G194&amp;""' and Col2 &gt; date '""&amp;TEXT(L$8,""yyyy-mm-dd"")&amp;""' and Col2 &lt;= date '""&amp;TEXT(K$8,""yyyy-mm-dd"")&amp;""' label sum(Col16) ''"",0)))"),"")</f>
        <v/>
      </c>
      <c r="L194" s="628" t="str">
        <f>IFERROR(__xludf.DUMMYFUNCTION("IF($G194="""","""",IFERROR(query({proventos!$B$5:$Q310},""Select sum(Col16) where Col1 = '""&amp;$G194&amp;""' and Col2 &gt; date '""&amp;TEXT(M$8,""yyyy-mm-dd"")&amp;""' and Col2 &lt;= date '""&amp;TEXT(L$8,""yyyy-mm-dd"")&amp;""' label sum(Col16) ''"",0)))"),"")</f>
        <v/>
      </c>
      <c r="M194" s="628" t="str">
        <f>IFERROR(__xludf.DUMMYFUNCTION("IF($G194="""","""",IFERROR(query({proventos!$B$5:$Q310},""Select sum(Col16) where Col1 = '""&amp;$G194&amp;""' and Col2 &gt; date '""&amp;TEXT(N$8,""yyyy-mm-dd"")&amp;""' and Col2 &lt;= date '""&amp;TEXT(M$8,""yyyy-mm-dd"")&amp;""' label sum(Col16) ''"",0)))"),"")</f>
        <v/>
      </c>
      <c r="N194" s="628" t="str">
        <f>IFERROR(__xludf.DUMMYFUNCTION("IF($G194="""","""",IFERROR(query({proventos!$B$5:$Q310},""Select sum(Col16) where Col1 = '""&amp;$G194&amp;""' and Col2 &gt; date '""&amp;TEXT(O$8,""yyyy-mm-dd"")&amp;""' and Col2 &lt;= date '""&amp;TEXT(N$8,""yyyy-mm-dd"")&amp;""' label sum(Col16) ''"",0)))"),"")</f>
        <v/>
      </c>
      <c r="O194" s="628" t="str">
        <f>IFERROR(__xludf.DUMMYFUNCTION("IF($G194="""","""",IFERROR(query({proventos!$B$5:$Q310},""Select sum(Col16) where Col1 = '""&amp;$G194&amp;""' and Col2 &gt; date '""&amp;TEXT(P$8,""yyyy-mm-dd"")&amp;""' and Col2 &lt;= date '""&amp;TEXT(O$8,""yyyy-mm-dd"")&amp;""' label sum(Col16) ''"",0)))"),"")</f>
        <v/>
      </c>
      <c r="P194" s="628" t="str">
        <f>IFERROR(__xludf.DUMMYFUNCTION("IF($G194="""","""",IFERROR(query({proventos!$B$5:$Q310},""Select sum(Col16) where Col1 = '""&amp;$G194&amp;""' and Col2 &gt; date '""&amp;TEXT(Q$8,""yyyy-mm-dd"")&amp;""' and Col2 &lt;= date '""&amp;TEXT(P$8,""yyyy-mm-dd"")&amp;""' label sum(Col16) ''"",0)))"),"")</f>
        <v/>
      </c>
      <c r="Q194" s="628" t="str">
        <f>IFERROR(__xludf.DUMMYFUNCTION("IF($G194="""","""",IFERROR(query({proventos!$B$5:$Q310},""Select sum(Col16) where Col1 = '""&amp;$G194&amp;""' and Col2 &gt; date '""&amp;TEXT(R$8,""yyyy-mm-dd"")&amp;""' and Col2 &lt;= date '""&amp;TEXT(Q$8,""yyyy-mm-dd"")&amp;""' label sum(Col16) ''"",0)))"),"")</f>
        <v/>
      </c>
      <c r="R194" s="628" t="str">
        <f>IFERROR(__xludf.DUMMYFUNCTION("IF($G194="""","""",IFERROR(query({proventos!$B$5:$Q310},""Select sum(Col16) where Col1 = '""&amp;$G194&amp;""' and Col2 &gt; date '""&amp;TEXT(S$8,""yyyy-mm-dd"")&amp;""' and Col2 &lt;= date '""&amp;TEXT(R$8,""yyyy-mm-dd"")&amp;""' label sum(Col16) ''"",0)))"),"")</f>
        <v/>
      </c>
      <c r="S194" s="628" t="str">
        <f>IFERROR(__xludf.DUMMYFUNCTION("IF($G194="""","""",IFERROR(query({proventos!$B$5:$Q310},""Select sum(Col16) where Col1 = '""&amp;$G194&amp;""' and Col2 &gt; date '""&amp;TEXT(T$8,""yyyy-mm-dd"")&amp;""' and Col2 &lt;= date '""&amp;TEXT(S$8,""yyyy-mm-dd"")&amp;""' label sum(Col16) ''"",0)))"),"")</f>
        <v/>
      </c>
      <c r="T194" s="628" t="str">
        <f>IFERROR(__xludf.DUMMYFUNCTION("IF($G194="""","""",IFERROR(query({proventos!$B$5:$Q310},""Select sum(Col16) where Col1 = '""&amp;$G194&amp;""' and Col2 &gt; date '""&amp;TEXT(U$8,""yyyy-mm-dd"")&amp;""' and Col2 &lt;= date '""&amp;TEXT(T$8,""yyyy-mm-dd"")&amp;""' label sum(Col16) ''"",0)))"),"")</f>
        <v/>
      </c>
      <c r="U194" s="629" t="str">
        <f>IFERROR(__xludf.DUMMYFUNCTION("IF($G194="""","""",IFERROR(query({proventos!$B$5:$Q310},""Select sum(Col16) where Col1 = '""&amp;$G194&amp;""' and Col2 &gt; date '""&amp;TEXT(EOMONTH(TODAY(),-13),""yyyy-mm-dd"")&amp;""' and Col2 &lt;= date '""&amp;TEXT(U$8,""yyyy-mm-dd"")&amp;""' label sum(Col16) ''"",0)))"),"")</f>
        <v/>
      </c>
      <c r="V194" s="630" t="str">
        <f>IFERROR(__xludf.DUMMYFUNCTION("IF($G194="""","""",IFERROR(query({proventos!$B$5:$Q310},""Select sum(Col16) where Col1 = '""&amp;$G194&amp;""' and Col2 &gt; date '""&amp;TEXT(DATE(V$8,1,1),""yyyy-mm-dd"")&amp;""' and Col2 &lt;= date '""&amp;TEXT(DATE(V$8,12,31),""yyyy-mm-dd"")&amp;""' label sum(Col16) ''"",0)))"),"")</f>
        <v/>
      </c>
      <c r="W194" s="630" t="str">
        <f>IFERROR(__xludf.DUMMYFUNCTION("IF($G194="""","""",IFERROR(query({proventos!$B$5:$Q310},""Select sum(Col16) where Col1 = '""&amp;$G194&amp;""' and Col2 &gt; date '""&amp;TEXT(DATE(W$8,1,1),""yyyy-mm-dd"")&amp;""' and Col2 &lt;= date '""&amp;TEXT(DATE(W$8,12,31),""yyyy-mm-dd"")&amp;""' label sum(Col16) ''"",0)))"),"")</f>
        <v/>
      </c>
      <c r="X194" s="630" t="str">
        <f>IFERROR(__xludf.DUMMYFUNCTION("IF($G194="""","""",IFERROR(query({proventos!$B$5:$Q310},""Select sum(Col16) where Col1 = '""&amp;$G194&amp;""' and Col2 &gt; date '""&amp;TEXT(DATE(X$8,1,1),""yyyy-mm-dd"")&amp;""' and Col2 &lt;= date '""&amp;TEXT(DATE(X$8,12,31),""yyyy-mm-dd"")&amp;""' label sum(Col16) ''"",0)))"),"")</f>
        <v/>
      </c>
      <c r="Y194" s="630" t="str">
        <f>IFERROR(__xludf.DUMMYFUNCTION("IF($G194="""","""",IFERROR(query({proventos!$B$5:$Q310},""Select sum(Col16) where Col1 = '""&amp;$G194&amp;""' and Col2 &gt; date '""&amp;TEXT(DATE(Y$8,1,1),""yyyy-mm-dd"")&amp;""' and Col2 &lt;= date '""&amp;TEXT(DATE(Y$8,12,31),""yyyy-mm-dd"")&amp;""' label sum(Col16) ''"",0)))"),"")</f>
        <v/>
      </c>
      <c r="Z194" s="630" t="str">
        <f>IFERROR(__xludf.DUMMYFUNCTION("IF($G194="""","""",IFERROR(query({proventos!$B$5:$Q310},""Select sum(Col16) where Col1 = '""&amp;$G194&amp;""' and Col2 &gt; date '""&amp;TEXT(DATE(Z$8,1,1),""yyyy-mm-dd"")&amp;""' and Col2 &lt;= date '""&amp;TEXT(DATE(Z$8,12,31),""yyyy-mm-dd"")&amp;""' label sum(Col16) ''"",0)))"),"")</f>
        <v/>
      </c>
      <c r="AA194" s="587"/>
      <c r="AB194" s="578" t="s">
        <v>123</v>
      </c>
      <c r="AC194" s="601"/>
      <c r="AD194" s="636"/>
      <c r="AE194" s="636"/>
    </row>
    <row r="195">
      <c r="A195" s="576"/>
      <c r="B195" s="620"/>
      <c r="C195" s="637"/>
      <c r="D195" s="633"/>
      <c r="E195" s="633"/>
      <c r="F195" s="624">
        <v>185.0</v>
      </c>
      <c r="G195" s="635"/>
      <c r="H195" s="626" t="str">
        <f>if(G195="","",IFERROR(VLOOKUP(G195,AtivosDados,MATCH("provento_avg",portfolio.!$A$3:AE$3,0),FALSE),""))</f>
        <v/>
      </c>
      <c r="I195" s="627" t="s">
        <v>123</v>
      </c>
      <c r="J195" s="628" t="str">
        <f>IFERROR(__xludf.DUMMYFUNCTION("IF($G195="""","""",IFERROR(query({proventos!$B$5:$Q310},""Select sum(Col16) where Col1 = '""&amp;$G195&amp;""' and Col2 &gt; date '""&amp;TEXT(K$8,""yyyy-mm-dd"")&amp;""' and Col2 &lt;= date '""&amp;TEXT(J$8,""yyyy-mm-dd"")&amp;""' label sum(Col16) ''"",0)))"),"")</f>
        <v/>
      </c>
      <c r="K195" s="628" t="str">
        <f>IFERROR(__xludf.DUMMYFUNCTION("IF($G195="""","""",IFERROR(query({proventos!$B$5:$Q310},""Select sum(Col16) where Col1 = '""&amp;$G195&amp;""' and Col2 &gt; date '""&amp;TEXT(L$8,""yyyy-mm-dd"")&amp;""' and Col2 &lt;= date '""&amp;TEXT(K$8,""yyyy-mm-dd"")&amp;""' label sum(Col16) ''"",0)))"),"")</f>
        <v/>
      </c>
      <c r="L195" s="628" t="str">
        <f>IFERROR(__xludf.DUMMYFUNCTION("IF($G195="""","""",IFERROR(query({proventos!$B$5:$Q310},""Select sum(Col16) where Col1 = '""&amp;$G195&amp;""' and Col2 &gt; date '""&amp;TEXT(M$8,""yyyy-mm-dd"")&amp;""' and Col2 &lt;= date '""&amp;TEXT(L$8,""yyyy-mm-dd"")&amp;""' label sum(Col16) ''"",0)))"),"")</f>
        <v/>
      </c>
      <c r="M195" s="628" t="str">
        <f>IFERROR(__xludf.DUMMYFUNCTION("IF($G195="""","""",IFERROR(query({proventos!$B$5:$Q310},""Select sum(Col16) where Col1 = '""&amp;$G195&amp;""' and Col2 &gt; date '""&amp;TEXT(N$8,""yyyy-mm-dd"")&amp;""' and Col2 &lt;= date '""&amp;TEXT(M$8,""yyyy-mm-dd"")&amp;""' label sum(Col16) ''"",0)))"),"")</f>
        <v/>
      </c>
      <c r="N195" s="628" t="str">
        <f>IFERROR(__xludf.DUMMYFUNCTION("IF($G195="""","""",IFERROR(query({proventos!$B$5:$Q310},""Select sum(Col16) where Col1 = '""&amp;$G195&amp;""' and Col2 &gt; date '""&amp;TEXT(O$8,""yyyy-mm-dd"")&amp;""' and Col2 &lt;= date '""&amp;TEXT(N$8,""yyyy-mm-dd"")&amp;""' label sum(Col16) ''"",0)))"),"")</f>
        <v/>
      </c>
      <c r="O195" s="628" t="str">
        <f>IFERROR(__xludf.DUMMYFUNCTION("IF($G195="""","""",IFERROR(query({proventos!$B$5:$Q310},""Select sum(Col16) where Col1 = '""&amp;$G195&amp;""' and Col2 &gt; date '""&amp;TEXT(P$8,""yyyy-mm-dd"")&amp;""' and Col2 &lt;= date '""&amp;TEXT(O$8,""yyyy-mm-dd"")&amp;""' label sum(Col16) ''"",0)))"),"")</f>
        <v/>
      </c>
      <c r="P195" s="628" t="str">
        <f>IFERROR(__xludf.DUMMYFUNCTION("IF($G195="""","""",IFERROR(query({proventos!$B$5:$Q310},""Select sum(Col16) where Col1 = '""&amp;$G195&amp;""' and Col2 &gt; date '""&amp;TEXT(Q$8,""yyyy-mm-dd"")&amp;""' and Col2 &lt;= date '""&amp;TEXT(P$8,""yyyy-mm-dd"")&amp;""' label sum(Col16) ''"",0)))"),"")</f>
        <v/>
      </c>
      <c r="Q195" s="628" t="str">
        <f>IFERROR(__xludf.DUMMYFUNCTION("IF($G195="""","""",IFERROR(query({proventos!$B$5:$Q310},""Select sum(Col16) where Col1 = '""&amp;$G195&amp;""' and Col2 &gt; date '""&amp;TEXT(R$8,""yyyy-mm-dd"")&amp;""' and Col2 &lt;= date '""&amp;TEXT(Q$8,""yyyy-mm-dd"")&amp;""' label sum(Col16) ''"",0)))"),"")</f>
        <v/>
      </c>
      <c r="R195" s="628" t="str">
        <f>IFERROR(__xludf.DUMMYFUNCTION("IF($G195="""","""",IFERROR(query({proventos!$B$5:$Q310},""Select sum(Col16) where Col1 = '""&amp;$G195&amp;""' and Col2 &gt; date '""&amp;TEXT(S$8,""yyyy-mm-dd"")&amp;""' and Col2 &lt;= date '""&amp;TEXT(R$8,""yyyy-mm-dd"")&amp;""' label sum(Col16) ''"",0)))"),"")</f>
        <v/>
      </c>
      <c r="S195" s="628" t="str">
        <f>IFERROR(__xludf.DUMMYFUNCTION("IF($G195="""","""",IFERROR(query({proventos!$B$5:$Q310},""Select sum(Col16) where Col1 = '""&amp;$G195&amp;""' and Col2 &gt; date '""&amp;TEXT(T$8,""yyyy-mm-dd"")&amp;""' and Col2 &lt;= date '""&amp;TEXT(S$8,""yyyy-mm-dd"")&amp;""' label sum(Col16) ''"",0)))"),"")</f>
        <v/>
      </c>
      <c r="T195" s="628" t="str">
        <f>IFERROR(__xludf.DUMMYFUNCTION("IF($G195="""","""",IFERROR(query({proventos!$B$5:$Q310},""Select sum(Col16) where Col1 = '""&amp;$G195&amp;""' and Col2 &gt; date '""&amp;TEXT(U$8,""yyyy-mm-dd"")&amp;""' and Col2 &lt;= date '""&amp;TEXT(T$8,""yyyy-mm-dd"")&amp;""' label sum(Col16) ''"",0)))"),"")</f>
        <v/>
      </c>
      <c r="U195" s="629" t="str">
        <f>IFERROR(__xludf.DUMMYFUNCTION("IF($G195="""","""",IFERROR(query({proventos!$B$5:$Q310},""Select sum(Col16) where Col1 = '""&amp;$G195&amp;""' and Col2 &gt; date '""&amp;TEXT(EOMONTH(TODAY(),-13),""yyyy-mm-dd"")&amp;""' and Col2 &lt;= date '""&amp;TEXT(U$8,""yyyy-mm-dd"")&amp;""' label sum(Col16) ''"",0)))"),"")</f>
        <v/>
      </c>
      <c r="V195" s="630" t="str">
        <f>IFERROR(__xludf.DUMMYFUNCTION("IF($G195="""","""",IFERROR(query({proventos!$B$5:$Q310},""Select sum(Col16) where Col1 = '""&amp;$G195&amp;""' and Col2 &gt; date '""&amp;TEXT(DATE(V$8,1,1),""yyyy-mm-dd"")&amp;""' and Col2 &lt;= date '""&amp;TEXT(DATE(V$8,12,31),""yyyy-mm-dd"")&amp;""' label sum(Col16) ''"",0)))"),"")</f>
        <v/>
      </c>
      <c r="W195" s="630" t="str">
        <f>IFERROR(__xludf.DUMMYFUNCTION("IF($G195="""","""",IFERROR(query({proventos!$B$5:$Q310},""Select sum(Col16) where Col1 = '""&amp;$G195&amp;""' and Col2 &gt; date '""&amp;TEXT(DATE(W$8,1,1),""yyyy-mm-dd"")&amp;""' and Col2 &lt;= date '""&amp;TEXT(DATE(W$8,12,31),""yyyy-mm-dd"")&amp;""' label sum(Col16) ''"",0)))"),"")</f>
        <v/>
      </c>
      <c r="X195" s="630" t="str">
        <f>IFERROR(__xludf.DUMMYFUNCTION("IF($G195="""","""",IFERROR(query({proventos!$B$5:$Q310},""Select sum(Col16) where Col1 = '""&amp;$G195&amp;""' and Col2 &gt; date '""&amp;TEXT(DATE(X$8,1,1),""yyyy-mm-dd"")&amp;""' and Col2 &lt;= date '""&amp;TEXT(DATE(X$8,12,31),""yyyy-mm-dd"")&amp;""' label sum(Col16) ''"",0)))"),"")</f>
        <v/>
      </c>
      <c r="Y195" s="630" t="str">
        <f>IFERROR(__xludf.DUMMYFUNCTION("IF($G195="""","""",IFERROR(query({proventos!$B$5:$Q310},""Select sum(Col16) where Col1 = '""&amp;$G195&amp;""' and Col2 &gt; date '""&amp;TEXT(DATE(Y$8,1,1),""yyyy-mm-dd"")&amp;""' and Col2 &lt;= date '""&amp;TEXT(DATE(Y$8,12,31),""yyyy-mm-dd"")&amp;""' label sum(Col16) ''"",0)))"),"")</f>
        <v/>
      </c>
      <c r="Z195" s="630" t="str">
        <f>IFERROR(__xludf.DUMMYFUNCTION("IF($G195="""","""",IFERROR(query({proventos!$B$5:$Q310},""Select sum(Col16) where Col1 = '""&amp;$G195&amp;""' and Col2 &gt; date '""&amp;TEXT(DATE(Z$8,1,1),""yyyy-mm-dd"")&amp;""' and Col2 &lt;= date '""&amp;TEXT(DATE(Z$8,12,31),""yyyy-mm-dd"")&amp;""' label sum(Col16) ''"",0)))"),"")</f>
        <v/>
      </c>
      <c r="AA195" s="587"/>
      <c r="AB195" s="578" t="s">
        <v>123</v>
      </c>
      <c r="AC195" s="601"/>
      <c r="AD195" s="636"/>
      <c r="AE195" s="636"/>
    </row>
    <row r="196">
      <c r="A196" s="576"/>
      <c r="B196" s="620"/>
      <c r="C196" s="637"/>
      <c r="D196" s="633"/>
      <c r="E196" s="633"/>
      <c r="F196" s="624">
        <v>186.0</v>
      </c>
      <c r="G196" s="635"/>
      <c r="H196" s="626" t="str">
        <f>if(G196="","",IFERROR(VLOOKUP(G196,AtivosDados,MATCH("provento_avg",portfolio.!$A$3:AE$3,0),FALSE),""))</f>
        <v/>
      </c>
      <c r="I196" s="627" t="s">
        <v>123</v>
      </c>
      <c r="J196" s="628" t="str">
        <f>IFERROR(__xludf.DUMMYFUNCTION("IF($G196="""","""",IFERROR(query({proventos!$B$5:$Q310},""Select sum(Col16) where Col1 = '""&amp;$G196&amp;""' and Col2 &gt; date '""&amp;TEXT(K$8,""yyyy-mm-dd"")&amp;""' and Col2 &lt;= date '""&amp;TEXT(J$8,""yyyy-mm-dd"")&amp;""' label sum(Col16) ''"",0)))"),"")</f>
        <v/>
      </c>
      <c r="K196" s="628" t="str">
        <f>IFERROR(__xludf.DUMMYFUNCTION("IF($G196="""","""",IFERROR(query({proventos!$B$5:$Q310},""Select sum(Col16) where Col1 = '""&amp;$G196&amp;""' and Col2 &gt; date '""&amp;TEXT(L$8,""yyyy-mm-dd"")&amp;""' and Col2 &lt;= date '""&amp;TEXT(K$8,""yyyy-mm-dd"")&amp;""' label sum(Col16) ''"",0)))"),"")</f>
        <v/>
      </c>
      <c r="L196" s="628" t="str">
        <f>IFERROR(__xludf.DUMMYFUNCTION("IF($G196="""","""",IFERROR(query({proventos!$B$5:$Q310},""Select sum(Col16) where Col1 = '""&amp;$G196&amp;""' and Col2 &gt; date '""&amp;TEXT(M$8,""yyyy-mm-dd"")&amp;""' and Col2 &lt;= date '""&amp;TEXT(L$8,""yyyy-mm-dd"")&amp;""' label sum(Col16) ''"",0)))"),"")</f>
        <v/>
      </c>
      <c r="M196" s="628" t="str">
        <f>IFERROR(__xludf.DUMMYFUNCTION("IF($G196="""","""",IFERROR(query({proventos!$B$5:$Q310},""Select sum(Col16) where Col1 = '""&amp;$G196&amp;""' and Col2 &gt; date '""&amp;TEXT(N$8,""yyyy-mm-dd"")&amp;""' and Col2 &lt;= date '""&amp;TEXT(M$8,""yyyy-mm-dd"")&amp;""' label sum(Col16) ''"",0)))"),"")</f>
        <v/>
      </c>
      <c r="N196" s="628" t="str">
        <f>IFERROR(__xludf.DUMMYFUNCTION("IF($G196="""","""",IFERROR(query({proventos!$B$5:$Q310},""Select sum(Col16) where Col1 = '""&amp;$G196&amp;""' and Col2 &gt; date '""&amp;TEXT(O$8,""yyyy-mm-dd"")&amp;""' and Col2 &lt;= date '""&amp;TEXT(N$8,""yyyy-mm-dd"")&amp;""' label sum(Col16) ''"",0)))"),"")</f>
        <v/>
      </c>
      <c r="O196" s="628" t="str">
        <f>IFERROR(__xludf.DUMMYFUNCTION("IF($G196="""","""",IFERROR(query({proventos!$B$5:$Q310},""Select sum(Col16) where Col1 = '""&amp;$G196&amp;""' and Col2 &gt; date '""&amp;TEXT(P$8,""yyyy-mm-dd"")&amp;""' and Col2 &lt;= date '""&amp;TEXT(O$8,""yyyy-mm-dd"")&amp;""' label sum(Col16) ''"",0)))"),"")</f>
        <v/>
      </c>
      <c r="P196" s="628" t="str">
        <f>IFERROR(__xludf.DUMMYFUNCTION("IF($G196="""","""",IFERROR(query({proventos!$B$5:$Q310},""Select sum(Col16) where Col1 = '""&amp;$G196&amp;""' and Col2 &gt; date '""&amp;TEXT(Q$8,""yyyy-mm-dd"")&amp;""' and Col2 &lt;= date '""&amp;TEXT(P$8,""yyyy-mm-dd"")&amp;""' label sum(Col16) ''"",0)))"),"")</f>
        <v/>
      </c>
      <c r="Q196" s="628" t="str">
        <f>IFERROR(__xludf.DUMMYFUNCTION("IF($G196="""","""",IFERROR(query({proventos!$B$5:$Q310},""Select sum(Col16) where Col1 = '""&amp;$G196&amp;""' and Col2 &gt; date '""&amp;TEXT(R$8,""yyyy-mm-dd"")&amp;""' and Col2 &lt;= date '""&amp;TEXT(Q$8,""yyyy-mm-dd"")&amp;""' label sum(Col16) ''"",0)))"),"")</f>
        <v/>
      </c>
      <c r="R196" s="628" t="str">
        <f>IFERROR(__xludf.DUMMYFUNCTION("IF($G196="""","""",IFERROR(query({proventos!$B$5:$Q310},""Select sum(Col16) where Col1 = '""&amp;$G196&amp;""' and Col2 &gt; date '""&amp;TEXT(S$8,""yyyy-mm-dd"")&amp;""' and Col2 &lt;= date '""&amp;TEXT(R$8,""yyyy-mm-dd"")&amp;""' label sum(Col16) ''"",0)))"),"")</f>
        <v/>
      </c>
      <c r="S196" s="628" t="str">
        <f>IFERROR(__xludf.DUMMYFUNCTION("IF($G196="""","""",IFERROR(query({proventos!$B$5:$Q310},""Select sum(Col16) where Col1 = '""&amp;$G196&amp;""' and Col2 &gt; date '""&amp;TEXT(T$8,""yyyy-mm-dd"")&amp;""' and Col2 &lt;= date '""&amp;TEXT(S$8,""yyyy-mm-dd"")&amp;""' label sum(Col16) ''"",0)))"),"")</f>
        <v/>
      </c>
      <c r="T196" s="628" t="str">
        <f>IFERROR(__xludf.DUMMYFUNCTION("IF($G196="""","""",IFERROR(query({proventos!$B$5:$Q310},""Select sum(Col16) where Col1 = '""&amp;$G196&amp;""' and Col2 &gt; date '""&amp;TEXT(U$8,""yyyy-mm-dd"")&amp;""' and Col2 &lt;= date '""&amp;TEXT(T$8,""yyyy-mm-dd"")&amp;""' label sum(Col16) ''"",0)))"),"")</f>
        <v/>
      </c>
      <c r="U196" s="629" t="str">
        <f>IFERROR(__xludf.DUMMYFUNCTION("IF($G196="""","""",IFERROR(query({proventos!$B$5:$Q310},""Select sum(Col16) where Col1 = '""&amp;$G196&amp;""' and Col2 &gt; date '""&amp;TEXT(EOMONTH(TODAY(),-13),""yyyy-mm-dd"")&amp;""' and Col2 &lt;= date '""&amp;TEXT(U$8,""yyyy-mm-dd"")&amp;""' label sum(Col16) ''"",0)))"),"")</f>
        <v/>
      </c>
      <c r="V196" s="630" t="str">
        <f>IFERROR(__xludf.DUMMYFUNCTION("IF($G196="""","""",IFERROR(query({proventos!$B$5:$Q310},""Select sum(Col16) where Col1 = '""&amp;$G196&amp;""' and Col2 &gt; date '""&amp;TEXT(DATE(V$8,1,1),""yyyy-mm-dd"")&amp;""' and Col2 &lt;= date '""&amp;TEXT(DATE(V$8,12,31),""yyyy-mm-dd"")&amp;""' label sum(Col16) ''"",0)))"),"")</f>
        <v/>
      </c>
      <c r="W196" s="630" t="str">
        <f>IFERROR(__xludf.DUMMYFUNCTION("IF($G196="""","""",IFERROR(query({proventos!$B$5:$Q310},""Select sum(Col16) where Col1 = '""&amp;$G196&amp;""' and Col2 &gt; date '""&amp;TEXT(DATE(W$8,1,1),""yyyy-mm-dd"")&amp;""' and Col2 &lt;= date '""&amp;TEXT(DATE(W$8,12,31),""yyyy-mm-dd"")&amp;""' label sum(Col16) ''"",0)))"),"")</f>
        <v/>
      </c>
      <c r="X196" s="630" t="str">
        <f>IFERROR(__xludf.DUMMYFUNCTION("IF($G196="""","""",IFERROR(query({proventos!$B$5:$Q310},""Select sum(Col16) where Col1 = '""&amp;$G196&amp;""' and Col2 &gt; date '""&amp;TEXT(DATE(X$8,1,1),""yyyy-mm-dd"")&amp;""' and Col2 &lt;= date '""&amp;TEXT(DATE(X$8,12,31),""yyyy-mm-dd"")&amp;""' label sum(Col16) ''"",0)))"),"")</f>
        <v/>
      </c>
      <c r="Y196" s="630" t="str">
        <f>IFERROR(__xludf.DUMMYFUNCTION("IF($G196="""","""",IFERROR(query({proventos!$B$5:$Q310},""Select sum(Col16) where Col1 = '""&amp;$G196&amp;""' and Col2 &gt; date '""&amp;TEXT(DATE(Y$8,1,1),""yyyy-mm-dd"")&amp;""' and Col2 &lt;= date '""&amp;TEXT(DATE(Y$8,12,31),""yyyy-mm-dd"")&amp;""' label sum(Col16) ''"",0)))"),"")</f>
        <v/>
      </c>
      <c r="Z196" s="630" t="str">
        <f>IFERROR(__xludf.DUMMYFUNCTION("IF($G196="""","""",IFERROR(query({proventos!$B$5:$Q310},""Select sum(Col16) where Col1 = '""&amp;$G196&amp;""' and Col2 &gt; date '""&amp;TEXT(DATE(Z$8,1,1),""yyyy-mm-dd"")&amp;""' and Col2 &lt;= date '""&amp;TEXT(DATE(Z$8,12,31),""yyyy-mm-dd"")&amp;""' label sum(Col16) ''"",0)))"),"")</f>
        <v/>
      </c>
      <c r="AA196" s="587"/>
      <c r="AB196" s="578" t="s">
        <v>123</v>
      </c>
      <c r="AC196" s="601"/>
      <c r="AD196" s="636"/>
      <c r="AE196" s="636"/>
    </row>
    <row r="197">
      <c r="A197" s="576"/>
      <c r="B197" s="620"/>
      <c r="C197" s="637"/>
      <c r="D197" s="633"/>
      <c r="E197" s="633"/>
      <c r="F197" s="624">
        <v>187.0</v>
      </c>
      <c r="G197" s="635"/>
      <c r="H197" s="626" t="str">
        <f>if(G197="","",IFERROR(VLOOKUP(G197,AtivosDados,MATCH("provento_avg",portfolio.!$A$3:AE$3,0),FALSE),""))</f>
        <v/>
      </c>
      <c r="I197" s="627" t="s">
        <v>123</v>
      </c>
      <c r="J197" s="628" t="str">
        <f>IFERROR(__xludf.DUMMYFUNCTION("IF($G197="""","""",IFERROR(query({proventos!$B$5:$Q310},""Select sum(Col16) where Col1 = '""&amp;$G197&amp;""' and Col2 &gt; date '""&amp;TEXT(K$8,""yyyy-mm-dd"")&amp;""' and Col2 &lt;= date '""&amp;TEXT(J$8,""yyyy-mm-dd"")&amp;""' label sum(Col16) ''"",0)))"),"")</f>
        <v/>
      </c>
      <c r="K197" s="628" t="str">
        <f>IFERROR(__xludf.DUMMYFUNCTION("IF($G197="""","""",IFERROR(query({proventos!$B$5:$Q310},""Select sum(Col16) where Col1 = '""&amp;$G197&amp;""' and Col2 &gt; date '""&amp;TEXT(L$8,""yyyy-mm-dd"")&amp;""' and Col2 &lt;= date '""&amp;TEXT(K$8,""yyyy-mm-dd"")&amp;""' label sum(Col16) ''"",0)))"),"")</f>
        <v/>
      </c>
      <c r="L197" s="628" t="str">
        <f>IFERROR(__xludf.DUMMYFUNCTION("IF($G197="""","""",IFERROR(query({proventos!$B$5:$Q310},""Select sum(Col16) where Col1 = '""&amp;$G197&amp;""' and Col2 &gt; date '""&amp;TEXT(M$8,""yyyy-mm-dd"")&amp;""' and Col2 &lt;= date '""&amp;TEXT(L$8,""yyyy-mm-dd"")&amp;""' label sum(Col16) ''"",0)))"),"")</f>
        <v/>
      </c>
      <c r="M197" s="628" t="str">
        <f>IFERROR(__xludf.DUMMYFUNCTION("IF($G197="""","""",IFERROR(query({proventos!$B$5:$Q310},""Select sum(Col16) where Col1 = '""&amp;$G197&amp;""' and Col2 &gt; date '""&amp;TEXT(N$8,""yyyy-mm-dd"")&amp;""' and Col2 &lt;= date '""&amp;TEXT(M$8,""yyyy-mm-dd"")&amp;""' label sum(Col16) ''"",0)))"),"")</f>
        <v/>
      </c>
      <c r="N197" s="628" t="str">
        <f>IFERROR(__xludf.DUMMYFUNCTION("IF($G197="""","""",IFERROR(query({proventos!$B$5:$Q310},""Select sum(Col16) where Col1 = '""&amp;$G197&amp;""' and Col2 &gt; date '""&amp;TEXT(O$8,""yyyy-mm-dd"")&amp;""' and Col2 &lt;= date '""&amp;TEXT(N$8,""yyyy-mm-dd"")&amp;""' label sum(Col16) ''"",0)))"),"")</f>
        <v/>
      </c>
      <c r="O197" s="628" t="str">
        <f>IFERROR(__xludf.DUMMYFUNCTION("IF($G197="""","""",IFERROR(query({proventos!$B$5:$Q310},""Select sum(Col16) where Col1 = '""&amp;$G197&amp;""' and Col2 &gt; date '""&amp;TEXT(P$8,""yyyy-mm-dd"")&amp;""' and Col2 &lt;= date '""&amp;TEXT(O$8,""yyyy-mm-dd"")&amp;""' label sum(Col16) ''"",0)))"),"")</f>
        <v/>
      </c>
      <c r="P197" s="628" t="str">
        <f>IFERROR(__xludf.DUMMYFUNCTION("IF($G197="""","""",IFERROR(query({proventos!$B$5:$Q310},""Select sum(Col16) where Col1 = '""&amp;$G197&amp;""' and Col2 &gt; date '""&amp;TEXT(Q$8,""yyyy-mm-dd"")&amp;""' and Col2 &lt;= date '""&amp;TEXT(P$8,""yyyy-mm-dd"")&amp;""' label sum(Col16) ''"",0)))"),"")</f>
        <v/>
      </c>
      <c r="Q197" s="628" t="str">
        <f>IFERROR(__xludf.DUMMYFUNCTION("IF($G197="""","""",IFERROR(query({proventos!$B$5:$Q310},""Select sum(Col16) where Col1 = '""&amp;$G197&amp;""' and Col2 &gt; date '""&amp;TEXT(R$8,""yyyy-mm-dd"")&amp;""' and Col2 &lt;= date '""&amp;TEXT(Q$8,""yyyy-mm-dd"")&amp;""' label sum(Col16) ''"",0)))"),"")</f>
        <v/>
      </c>
      <c r="R197" s="628" t="str">
        <f>IFERROR(__xludf.DUMMYFUNCTION("IF($G197="""","""",IFERROR(query({proventos!$B$5:$Q310},""Select sum(Col16) where Col1 = '""&amp;$G197&amp;""' and Col2 &gt; date '""&amp;TEXT(S$8,""yyyy-mm-dd"")&amp;""' and Col2 &lt;= date '""&amp;TEXT(R$8,""yyyy-mm-dd"")&amp;""' label sum(Col16) ''"",0)))"),"")</f>
        <v/>
      </c>
      <c r="S197" s="628" t="str">
        <f>IFERROR(__xludf.DUMMYFUNCTION("IF($G197="""","""",IFERROR(query({proventos!$B$5:$Q310},""Select sum(Col16) where Col1 = '""&amp;$G197&amp;""' and Col2 &gt; date '""&amp;TEXT(T$8,""yyyy-mm-dd"")&amp;""' and Col2 &lt;= date '""&amp;TEXT(S$8,""yyyy-mm-dd"")&amp;""' label sum(Col16) ''"",0)))"),"")</f>
        <v/>
      </c>
      <c r="T197" s="628" t="str">
        <f>IFERROR(__xludf.DUMMYFUNCTION("IF($G197="""","""",IFERROR(query({proventos!$B$5:$Q310},""Select sum(Col16) where Col1 = '""&amp;$G197&amp;""' and Col2 &gt; date '""&amp;TEXT(U$8,""yyyy-mm-dd"")&amp;""' and Col2 &lt;= date '""&amp;TEXT(T$8,""yyyy-mm-dd"")&amp;""' label sum(Col16) ''"",0)))"),"")</f>
        <v/>
      </c>
      <c r="U197" s="629" t="str">
        <f>IFERROR(__xludf.DUMMYFUNCTION("IF($G197="""","""",IFERROR(query({proventos!$B$5:$Q310},""Select sum(Col16) where Col1 = '""&amp;$G197&amp;""' and Col2 &gt; date '""&amp;TEXT(EOMONTH(TODAY(),-13),""yyyy-mm-dd"")&amp;""' and Col2 &lt;= date '""&amp;TEXT(U$8,""yyyy-mm-dd"")&amp;""' label sum(Col16) ''"",0)))"),"")</f>
        <v/>
      </c>
      <c r="V197" s="630" t="str">
        <f>IFERROR(__xludf.DUMMYFUNCTION("IF($G197="""","""",IFERROR(query({proventos!$B$5:$Q310},""Select sum(Col16) where Col1 = '""&amp;$G197&amp;""' and Col2 &gt; date '""&amp;TEXT(DATE(V$8,1,1),""yyyy-mm-dd"")&amp;""' and Col2 &lt;= date '""&amp;TEXT(DATE(V$8,12,31),""yyyy-mm-dd"")&amp;""' label sum(Col16) ''"",0)))"),"")</f>
        <v/>
      </c>
      <c r="W197" s="630" t="str">
        <f>IFERROR(__xludf.DUMMYFUNCTION("IF($G197="""","""",IFERROR(query({proventos!$B$5:$Q310},""Select sum(Col16) where Col1 = '""&amp;$G197&amp;""' and Col2 &gt; date '""&amp;TEXT(DATE(W$8,1,1),""yyyy-mm-dd"")&amp;""' and Col2 &lt;= date '""&amp;TEXT(DATE(W$8,12,31),""yyyy-mm-dd"")&amp;""' label sum(Col16) ''"",0)))"),"")</f>
        <v/>
      </c>
      <c r="X197" s="630" t="str">
        <f>IFERROR(__xludf.DUMMYFUNCTION("IF($G197="""","""",IFERROR(query({proventos!$B$5:$Q310},""Select sum(Col16) where Col1 = '""&amp;$G197&amp;""' and Col2 &gt; date '""&amp;TEXT(DATE(X$8,1,1),""yyyy-mm-dd"")&amp;""' and Col2 &lt;= date '""&amp;TEXT(DATE(X$8,12,31),""yyyy-mm-dd"")&amp;""' label sum(Col16) ''"",0)))"),"")</f>
        <v/>
      </c>
      <c r="Y197" s="630" t="str">
        <f>IFERROR(__xludf.DUMMYFUNCTION("IF($G197="""","""",IFERROR(query({proventos!$B$5:$Q310},""Select sum(Col16) where Col1 = '""&amp;$G197&amp;""' and Col2 &gt; date '""&amp;TEXT(DATE(Y$8,1,1),""yyyy-mm-dd"")&amp;""' and Col2 &lt;= date '""&amp;TEXT(DATE(Y$8,12,31),""yyyy-mm-dd"")&amp;""' label sum(Col16) ''"",0)))"),"")</f>
        <v/>
      </c>
      <c r="Z197" s="630" t="str">
        <f>IFERROR(__xludf.DUMMYFUNCTION("IF($G197="""","""",IFERROR(query({proventos!$B$5:$Q310},""Select sum(Col16) where Col1 = '""&amp;$G197&amp;""' and Col2 &gt; date '""&amp;TEXT(DATE(Z$8,1,1),""yyyy-mm-dd"")&amp;""' and Col2 &lt;= date '""&amp;TEXT(DATE(Z$8,12,31),""yyyy-mm-dd"")&amp;""' label sum(Col16) ''"",0)))"),"")</f>
        <v/>
      </c>
      <c r="AA197" s="587"/>
      <c r="AB197" s="578" t="s">
        <v>123</v>
      </c>
      <c r="AC197" s="601"/>
      <c r="AD197" s="636"/>
      <c r="AE197" s="636"/>
    </row>
    <row r="198">
      <c r="A198" s="576"/>
      <c r="B198" s="620"/>
      <c r="C198" s="637"/>
      <c r="D198" s="633"/>
      <c r="E198" s="633"/>
      <c r="F198" s="624">
        <v>188.0</v>
      </c>
      <c r="G198" s="635"/>
      <c r="H198" s="626" t="str">
        <f>if(G198="","",IFERROR(VLOOKUP(G198,AtivosDados,MATCH("provento_avg",portfolio.!$A$3:AE$3,0),FALSE),""))</f>
        <v/>
      </c>
      <c r="I198" s="627" t="s">
        <v>123</v>
      </c>
      <c r="J198" s="628" t="str">
        <f>IFERROR(__xludf.DUMMYFUNCTION("IF($G198="""","""",IFERROR(query({proventos!$B$5:$Q310},""Select sum(Col16) where Col1 = '""&amp;$G198&amp;""' and Col2 &gt; date '""&amp;TEXT(K$8,""yyyy-mm-dd"")&amp;""' and Col2 &lt;= date '""&amp;TEXT(J$8,""yyyy-mm-dd"")&amp;""' label sum(Col16) ''"",0)))"),"")</f>
        <v/>
      </c>
      <c r="K198" s="628" t="str">
        <f>IFERROR(__xludf.DUMMYFUNCTION("IF($G198="""","""",IFERROR(query({proventos!$B$5:$Q310},""Select sum(Col16) where Col1 = '""&amp;$G198&amp;""' and Col2 &gt; date '""&amp;TEXT(L$8,""yyyy-mm-dd"")&amp;""' and Col2 &lt;= date '""&amp;TEXT(K$8,""yyyy-mm-dd"")&amp;""' label sum(Col16) ''"",0)))"),"")</f>
        <v/>
      </c>
      <c r="L198" s="628" t="str">
        <f>IFERROR(__xludf.DUMMYFUNCTION("IF($G198="""","""",IFERROR(query({proventos!$B$5:$Q310},""Select sum(Col16) where Col1 = '""&amp;$G198&amp;""' and Col2 &gt; date '""&amp;TEXT(M$8,""yyyy-mm-dd"")&amp;""' and Col2 &lt;= date '""&amp;TEXT(L$8,""yyyy-mm-dd"")&amp;""' label sum(Col16) ''"",0)))"),"")</f>
        <v/>
      </c>
      <c r="M198" s="628" t="str">
        <f>IFERROR(__xludf.DUMMYFUNCTION("IF($G198="""","""",IFERROR(query({proventos!$B$5:$Q310},""Select sum(Col16) where Col1 = '""&amp;$G198&amp;""' and Col2 &gt; date '""&amp;TEXT(N$8,""yyyy-mm-dd"")&amp;""' and Col2 &lt;= date '""&amp;TEXT(M$8,""yyyy-mm-dd"")&amp;""' label sum(Col16) ''"",0)))"),"")</f>
        <v/>
      </c>
      <c r="N198" s="628" t="str">
        <f>IFERROR(__xludf.DUMMYFUNCTION("IF($G198="""","""",IFERROR(query({proventos!$B$5:$Q310},""Select sum(Col16) where Col1 = '""&amp;$G198&amp;""' and Col2 &gt; date '""&amp;TEXT(O$8,""yyyy-mm-dd"")&amp;""' and Col2 &lt;= date '""&amp;TEXT(N$8,""yyyy-mm-dd"")&amp;""' label sum(Col16) ''"",0)))"),"")</f>
        <v/>
      </c>
      <c r="O198" s="628" t="str">
        <f>IFERROR(__xludf.DUMMYFUNCTION("IF($G198="""","""",IFERROR(query({proventos!$B$5:$Q310},""Select sum(Col16) where Col1 = '""&amp;$G198&amp;""' and Col2 &gt; date '""&amp;TEXT(P$8,""yyyy-mm-dd"")&amp;""' and Col2 &lt;= date '""&amp;TEXT(O$8,""yyyy-mm-dd"")&amp;""' label sum(Col16) ''"",0)))"),"")</f>
        <v/>
      </c>
      <c r="P198" s="628" t="str">
        <f>IFERROR(__xludf.DUMMYFUNCTION("IF($G198="""","""",IFERROR(query({proventos!$B$5:$Q310},""Select sum(Col16) where Col1 = '""&amp;$G198&amp;""' and Col2 &gt; date '""&amp;TEXT(Q$8,""yyyy-mm-dd"")&amp;""' and Col2 &lt;= date '""&amp;TEXT(P$8,""yyyy-mm-dd"")&amp;""' label sum(Col16) ''"",0)))"),"")</f>
        <v/>
      </c>
      <c r="Q198" s="628" t="str">
        <f>IFERROR(__xludf.DUMMYFUNCTION("IF($G198="""","""",IFERROR(query({proventos!$B$5:$Q310},""Select sum(Col16) where Col1 = '""&amp;$G198&amp;""' and Col2 &gt; date '""&amp;TEXT(R$8,""yyyy-mm-dd"")&amp;""' and Col2 &lt;= date '""&amp;TEXT(Q$8,""yyyy-mm-dd"")&amp;""' label sum(Col16) ''"",0)))"),"")</f>
        <v/>
      </c>
      <c r="R198" s="628" t="str">
        <f>IFERROR(__xludf.DUMMYFUNCTION("IF($G198="""","""",IFERROR(query({proventos!$B$5:$Q310},""Select sum(Col16) where Col1 = '""&amp;$G198&amp;""' and Col2 &gt; date '""&amp;TEXT(S$8,""yyyy-mm-dd"")&amp;""' and Col2 &lt;= date '""&amp;TEXT(R$8,""yyyy-mm-dd"")&amp;""' label sum(Col16) ''"",0)))"),"")</f>
        <v/>
      </c>
      <c r="S198" s="628" t="str">
        <f>IFERROR(__xludf.DUMMYFUNCTION("IF($G198="""","""",IFERROR(query({proventos!$B$5:$Q310},""Select sum(Col16) where Col1 = '""&amp;$G198&amp;""' and Col2 &gt; date '""&amp;TEXT(T$8,""yyyy-mm-dd"")&amp;""' and Col2 &lt;= date '""&amp;TEXT(S$8,""yyyy-mm-dd"")&amp;""' label sum(Col16) ''"",0)))"),"")</f>
        <v/>
      </c>
      <c r="T198" s="628" t="str">
        <f>IFERROR(__xludf.DUMMYFUNCTION("IF($G198="""","""",IFERROR(query({proventos!$B$5:$Q310},""Select sum(Col16) where Col1 = '""&amp;$G198&amp;""' and Col2 &gt; date '""&amp;TEXT(U$8,""yyyy-mm-dd"")&amp;""' and Col2 &lt;= date '""&amp;TEXT(T$8,""yyyy-mm-dd"")&amp;""' label sum(Col16) ''"",0)))"),"")</f>
        <v/>
      </c>
      <c r="U198" s="629" t="str">
        <f>IFERROR(__xludf.DUMMYFUNCTION("IF($G198="""","""",IFERROR(query({proventos!$B$5:$Q310},""Select sum(Col16) where Col1 = '""&amp;$G198&amp;""' and Col2 &gt; date '""&amp;TEXT(EOMONTH(TODAY(),-13),""yyyy-mm-dd"")&amp;""' and Col2 &lt;= date '""&amp;TEXT(U$8,""yyyy-mm-dd"")&amp;""' label sum(Col16) ''"",0)))"),"")</f>
        <v/>
      </c>
      <c r="V198" s="630" t="str">
        <f>IFERROR(__xludf.DUMMYFUNCTION("IF($G198="""","""",IFERROR(query({proventos!$B$5:$Q310},""Select sum(Col16) where Col1 = '""&amp;$G198&amp;""' and Col2 &gt; date '""&amp;TEXT(DATE(V$8,1,1),""yyyy-mm-dd"")&amp;""' and Col2 &lt;= date '""&amp;TEXT(DATE(V$8,12,31),""yyyy-mm-dd"")&amp;""' label sum(Col16) ''"",0)))"),"")</f>
        <v/>
      </c>
      <c r="W198" s="630" t="str">
        <f>IFERROR(__xludf.DUMMYFUNCTION("IF($G198="""","""",IFERROR(query({proventos!$B$5:$Q310},""Select sum(Col16) where Col1 = '""&amp;$G198&amp;""' and Col2 &gt; date '""&amp;TEXT(DATE(W$8,1,1),""yyyy-mm-dd"")&amp;""' and Col2 &lt;= date '""&amp;TEXT(DATE(W$8,12,31),""yyyy-mm-dd"")&amp;""' label sum(Col16) ''"",0)))"),"")</f>
        <v/>
      </c>
      <c r="X198" s="630" t="str">
        <f>IFERROR(__xludf.DUMMYFUNCTION("IF($G198="""","""",IFERROR(query({proventos!$B$5:$Q310},""Select sum(Col16) where Col1 = '""&amp;$G198&amp;""' and Col2 &gt; date '""&amp;TEXT(DATE(X$8,1,1),""yyyy-mm-dd"")&amp;""' and Col2 &lt;= date '""&amp;TEXT(DATE(X$8,12,31),""yyyy-mm-dd"")&amp;""' label sum(Col16) ''"",0)))"),"")</f>
        <v/>
      </c>
      <c r="Y198" s="630" t="str">
        <f>IFERROR(__xludf.DUMMYFUNCTION("IF($G198="""","""",IFERROR(query({proventos!$B$5:$Q310},""Select sum(Col16) where Col1 = '""&amp;$G198&amp;""' and Col2 &gt; date '""&amp;TEXT(DATE(Y$8,1,1),""yyyy-mm-dd"")&amp;""' and Col2 &lt;= date '""&amp;TEXT(DATE(Y$8,12,31),""yyyy-mm-dd"")&amp;""' label sum(Col16) ''"",0)))"),"")</f>
        <v/>
      </c>
      <c r="Z198" s="630" t="str">
        <f>IFERROR(__xludf.DUMMYFUNCTION("IF($G198="""","""",IFERROR(query({proventos!$B$5:$Q310},""Select sum(Col16) where Col1 = '""&amp;$G198&amp;""' and Col2 &gt; date '""&amp;TEXT(DATE(Z$8,1,1),""yyyy-mm-dd"")&amp;""' and Col2 &lt;= date '""&amp;TEXT(DATE(Z$8,12,31),""yyyy-mm-dd"")&amp;""' label sum(Col16) ''"",0)))"),"")</f>
        <v/>
      </c>
      <c r="AA198" s="587"/>
      <c r="AB198" s="578" t="s">
        <v>123</v>
      </c>
      <c r="AC198" s="601"/>
      <c r="AD198" s="636"/>
      <c r="AE198" s="636"/>
    </row>
    <row r="199">
      <c r="A199" s="576"/>
      <c r="B199" s="620"/>
      <c r="C199" s="637"/>
      <c r="D199" s="633"/>
      <c r="E199" s="633"/>
      <c r="F199" s="624">
        <v>189.0</v>
      </c>
      <c r="G199" s="635"/>
      <c r="H199" s="626" t="str">
        <f>if(G199="","",IFERROR(VLOOKUP(G199,AtivosDados,MATCH("provento_avg",portfolio.!$A$3:AE$3,0),FALSE),""))</f>
        <v/>
      </c>
      <c r="I199" s="627" t="s">
        <v>123</v>
      </c>
      <c r="J199" s="628" t="str">
        <f>IFERROR(__xludf.DUMMYFUNCTION("IF($G199="""","""",IFERROR(query({proventos!$B$5:$Q310},""Select sum(Col16) where Col1 = '""&amp;$G199&amp;""' and Col2 &gt; date '""&amp;TEXT(K$8,""yyyy-mm-dd"")&amp;""' and Col2 &lt;= date '""&amp;TEXT(J$8,""yyyy-mm-dd"")&amp;""' label sum(Col16) ''"",0)))"),"")</f>
        <v/>
      </c>
      <c r="K199" s="628" t="str">
        <f>IFERROR(__xludf.DUMMYFUNCTION("IF($G199="""","""",IFERROR(query({proventos!$B$5:$Q310},""Select sum(Col16) where Col1 = '""&amp;$G199&amp;""' and Col2 &gt; date '""&amp;TEXT(L$8,""yyyy-mm-dd"")&amp;""' and Col2 &lt;= date '""&amp;TEXT(K$8,""yyyy-mm-dd"")&amp;""' label sum(Col16) ''"",0)))"),"")</f>
        <v/>
      </c>
      <c r="L199" s="628" t="str">
        <f>IFERROR(__xludf.DUMMYFUNCTION("IF($G199="""","""",IFERROR(query({proventos!$B$5:$Q310},""Select sum(Col16) where Col1 = '""&amp;$G199&amp;""' and Col2 &gt; date '""&amp;TEXT(M$8,""yyyy-mm-dd"")&amp;""' and Col2 &lt;= date '""&amp;TEXT(L$8,""yyyy-mm-dd"")&amp;""' label sum(Col16) ''"",0)))"),"")</f>
        <v/>
      </c>
      <c r="M199" s="628" t="str">
        <f>IFERROR(__xludf.DUMMYFUNCTION("IF($G199="""","""",IFERROR(query({proventos!$B$5:$Q310},""Select sum(Col16) where Col1 = '""&amp;$G199&amp;""' and Col2 &gt; date '""&amp;TEXT(N$8,""yyyy-mm-dd"")&amp;""' and Col2 &lt;= date '""&amp;TEXT(M$8,""yyyy-mm-dd"")&amp;""' label sum(Col16) ''"",0)))"),"")</f>
        <v/>
      </c>
      <c r="N199" s="628" t="str">
        <f>IFERROR(__xludf.DUMMYFUNCTION("IF($G199="""","""",IFERROR(query({proventos!$B$5:$Q310},""Select sum(Col16) where Col1 = '""&amp;$G199&amp;""' and Col2 &gt; date '""&amp;TEXT(O$8,""yyyy-mm-dd"")&amp;""' and Col2 &lt;= date '""&amp;TEXT(N$8,""yyyy-mm-dd"")&amp;""' label sum(Col16) ''"",0)))"),"")</f>
        <v/>
      </c>
      <c r="O199" s="628" t="str">
        <f>IFERROR(__xludf.DUMMYFUNCTION("IF($G199="""","""",IFERROR(query({proventos!$B$5:$Q310},""Select sum(Col16) where Col1 = '""&amp;$G199&amp;""' and Col2 &gt; date '""&amp;TEXT(P$8,""yyyy-mm-dd"")&amp;""' and Col2 &lt;= date '""&amp;TEXT(O$8,""yyyy-mm-dd"")&amp;""' label sum(Col16) ''"",0)))"),"")</f>
        <v/>
      </c>
      <c r="P199" s="628" t="str">
        <f>IFERROR(__xludf.DUMMYFUNCTION("IF($G199="""","""",IFERROR(query({proventos!$B$5:$Q310},""Select sum(Col16) where Col1 = '""&amp;$G199&amp;""' and Col2 &gt; date '""&amp;TEXT(Q$8,""yyyy-mm-dd"")&amp;""' and Col2 &lt;= date '""&amp;TEXT(P$8,""yyyy-mm-dd"")&amp;""' label sum(Col16) ''"",0)))"),"")</f>
        <v/>
      </c>
      <c r="Q199" s="628" t="str">
        <f>IFERROR(__xludf.DUMMYFUNCTION("IF($G199="""","""",IFERROR(query({proventos!$B$5:$Q310},""Select sum(Col16) where Col1 = '""&amp;$G199&amp;""' and Col2 &gt; date '""&amp;TEXT(R$8,""yyyy-mm-dd"")&amp;""' and Col2 &lt;= date '""&amp;TEXT(Q$8,""yyyy-mm-dd"")&amp;""' label sum(Col16) ''"",0)))"),"")</f>
        <v/>
      </c>
      <c r="R199" s="628" t="str">
        <f>IFERROR(__xludf.DUMMYFUNCTION("IF($G199="""","""",IFERROR(query({proventos!$B$5:$Q310},""Select sum(Col16) where Col1 = '""&amp;$G199&amp;""' and Col2 &gt; date '""&amp;TEXT(S$8,""yyyy-mm-dd"")&amp;""' and Col2 &lt;= date '""&amp;TEXT(R$8,""yyyy-mm-dd"")&amp;""' label sum(Col16) ''"",0)))"),"")</f>
        <v/>
      </c>
      <c r="S199" s="628" t="str">
        <f>IFERROR(__xludf.DUMMYFUNCTION("IF($G199="""","""",IFERROR(query({proventos!$B$5:$Q310},""Select sum(Col16) where Col1 = '""&amp;$G199&amp;""' and Col2 &gt; date '""&amp;TEXT(T$8,""yyyy-mm-dd"")&amp;""' and Col2 &lt;= date '""&amp;TEXT(S$8,""yyyy-mm-dd"")&amp;""' label sum(Col16) ''"",0)))"),"")</f>
        <v/>
      </c>
      <c r="T199" s="628" t="str">
        <f>IFERROR(__xludf.DUMMYFUNCTION("IF($G199="""","""",IFERROR(query({proventos!$B$5:$Q310},""Select sum(Col16) where Col1 = '""&amp;$G199&amp;""' and Col2 &gt; date '""&amp;TEXT(U$8,""yyyy-mm-dd"")&amp;""' and Col2 &lt;= date '""&amp;TEXT(T$8,""yyyy-mm-dd"")&amp;""' label sum(Col16) ''"",0)))"),"")</f>
        <v/>
      </c>
      <c r="U199" s="629" t="str">
        <f>IFERROR(__xludf.DUMMYFUNCTION("IF($G199="""","""",IFERROR(query({proventos!$B$5:$Q310},""Select sum(Col16) where Col1 = '""&amp;$G199&amp;""' and Col2 &gt; date '""&amp;TEXT(EOMONTH(TODAY(),-13),""yyyy-mm-dd"")&amp;""' and Col2 &lt;= date '""&amp;TEXT(U$8,""yyyy-mm-dd"")&amp;""' label sum(Col16) ''"",0)))"),"")</f>
        <v/>
      </c>
      <c r="V199" s="630" t="str">
        <f>IFERROR(__xludf.DUMMYFUNCTION("IF($G199="""","""",IFERROR(query({proventos!$B$5:$Q310},""Select sum(Col16) where Col1 = '""&amp;$G199&amp;""' and Col2 &gt; date '""&amp;TEXT(DATE(V$8,1,1),""yyyy-mm-dd"")&amp;""' and Col2 &lt;= date '""&amp;TEXT(DATE(V$8,12,31),""yyyy-mm-dd"")&amp;""' label sum(Col16) ''"",0)))"),"")</f>
        <v/>
      </c>
      <c r="W199" s="630" t="str">
        <f>IFERROR(__xludf.DUMMYFUNCTION("IF($G199="""","""",IFERROR(query({proventos!$B$5:$Q310},""Select sum(Col16) where Col1 = '""&amp;$G199&amp;""' and Col2 &gt; date '""&amp;TEXT(DATE(W$8,1,1),""yyyy-mm-dd"")&amp;""' and Col2 &lt;= date '""&amp;TEXT(DATE(W$8,12,31),""yyyy-mm-dd"")&amp;""' label sum(Col16) ''"",0)))"),"")</f>
        <v/>
      </c>
      <c r="X199" s="630" t="str">
        <f>IFERROR(__xludf.DUMMYFUNCTION("IF($G199="""","""",IFERROR(query({proventos!$B$5:$Q310},""Select sum(Col16) where Col1 = '""&amp;$G199&amp;""' and Col2 &gt; date '""&amp;TEXT(DATE(X$8,1,1),""yyyy-mm-dd"")&amp;""' and Col2 &lt;= date '""&amp;TEXT(DATE(X$8,12,31),""yyyy-mm-dd"")&amp;""' label sum(Col16) ''"",0)))"),"")</f>
        <v/>
      </c>
      <c r="Y199" s="630" t="str">
        <f>IFERROR(__xludf.DUMMYFUNCTION("IF($G199="""","""",IFERROR(query({proventos!$B$5:$Q310},""Select sum(Col16) where Col1 = '""&amp;$G199&amp;""' and Col2 &gt; date '""&amp;TEXT(DATE(Y$8,1,1),""yyyy-mm-dd"")&amp;""' and Col2 &lt;= date '""&amp;TEXT(DATE(Y$8,12,31),""yyyy-mm-dd"")&amp;""' label sum(Col16) ''"",0)))"),"")</f>
        <v/>
      </c>
      <c r="Z199" s="630" t="str">
        <f>IFERROR(__xludf.DUMMYFUNCTION("IF($G199="""","""",IFERROR(query({proventos!$B$5:$Q310},""Select sum(Col16) where Col1 = '""&amp;$G199&amp;""' and Col2 &gt; date '""&amp;TEXT(DATE(Z$8,1,1),""yyyy-mm-dd"")&amp;""' and Col2 &lt;= date '""&amp;TEXT(DATE(Z$8,12,31),""yyyy-mm-dd"")&amp;""' label sum(Col16) ''"",0)))"),"")</f>
        <v/>
      </c>
      <c r="AA199" s="587"/>
      <c r="AB199" s="578" t="s">
        <v>123</v>
      </c>
      <c r="AC199" s="601"/>
      <c r="AD199" s="636"/>
      <c r="AE199" s="636"/>
    </row>
    <row r="200">
      <c r="A200" s="576"/>
      <c r="B200" s="620"/>
      <c r="C200" s="637"/>
      <c r="D200" s="633"/>
      <c r="E200" s="633"/>
      <c r="F200" s="624">
        <v>190.0</v>
      </c>
      <c r="G200" s="635"/>
      <c r="H200" s="626" t="str">
        <f>if(G200="","",IFERROR(VLOOKUP(G200,AtivosDados,MATCH("provento_avg",portfolio.!$A$3:AE$3,0),FALSE),""))</f>
        <v/>
      </c>
      <c r="I200" s="627" t="s">
        <v>123</v>
      </c>
      <c r="J200" s="628" t="str">
        <f>IFERROR(__xludf.DUMMYFUNCTION("IF($G200="""","""",IFERROR(query({proventos!$B$5:$Q310},""Select sum(Col16) where Col1 = '""&amp;$G200&amp;""' and Col2 &gt; date '""&amp;TEXT(K$8,""yyyy-mm-dd"")&amp;""' and Col2 &lt;= date '""&amp;TEXT(J$8,""yyyy-mm-dd"")&amp;""' label sum(Col16) ''"",0)))"),"")</f>
        <v/>
      </c>
      <c r="K200" s="628" t="str">
        <f>IFERROR(__xludf.DUMMYFUNCTION("IF($G200="""","""",IFERROR(query({proventos!$B$5:$Q310},""Select sum(Col16) where Col1 = '""&amp;$G200&amp;""' and Col2 &gt; date '""&amp;TEXT(L$8,""yyyy-mm-dd"")&amp;""' and Col2 &lt;= date '""&amp;TEXT(K$8,""yyyy-mm-dd"")&amp;""' label sum(Col16) ''"",0)))"),"")</f>
        <v/>
      </c>
      <c r="L200" s="628" t="str">
        <f>IFERROR(__xludf.DUMMYFUNCTION("IF($G200="""","""",IFERROR(query({proventos!$B$5:$Q310},""Select sum(Col16) where Col1 = '""&amp;$G200&amp;""' and Col2 &gt; date '""&amp;TEXT(M$8,""yyyy-mm-dd"")&amp;""' and Col2 &lt;= date '""&amp;TEXT(L$8,""yyyy-mm-dd"")&amp;""' label sum(Col16) ''"",0)))"),"")</f>
        <v/>
      </c>
      <c r="M200" s="628" t="str">
        <f>IFERROR(__xludf.DUMMYFUNCTION("IF($G200="""","""",IFERROR(query({proventos!$B$5:$Q310},""Select sum(Col16) where Col1 = '""&amp;$G200&amp;""' and Col2 &gt; date '""&amp;TEXT(N$8,""yyyy-mm-dd"")&amp;""' and Col2 &lt;= date '""&amp;TEXT(M$8,""yyyy-mm-dd"")&amp;""' label sum(Col16) ''"",0)))"),"")</f>
        <v/>
      </c>
      <c r="N200" s="628" t="str">
        <f>IFERROR(__xludf.DUMMYFUNCTION("IF($G200="""","""",IFERROR(query({proventos!$B$5:$Q310},""Select sum(Col16) where Col1 = '""&amp;$G200&amp;""' and Col2 &gt; date '""&amp;TEXT(O$8,""yyyy-mm-dd"")&amp;""' and Col2 &lt;= date '""&amp;TEXT(N$8,""yyyy-mm-dd"")&amp;""' label sum(Col16) ''"",0)))"),"")</f>
        <v/>
      </c>
      <c r="O200" s="628" t="str">
        <f>IFERROR(__xludf.DUMMYFUNCTION("IF($G200="""","""",IFERROR(query({proventos!$B$5:$Q310},""Select sum(Col16) where Col1 = '""&amp;$G200&amp;""' and Col2 &gt; date '""&amp;TEXT(P$8,""yyyy-mm-dd"")&amp;""' and Col2 &lt;= date '""&amp;TEXT(O$8,""yyyy-mm-dd"")&amp;""' label sum(Col16) ''"",0)))"),"")</f>
        <v/>
      </c>
      <c r="P200" s="628" t="str">
        <f>IFERROR(__xludf.DUMMYFUNCTION("IF($G200="""","""",IFERROR(query({proventos!$B$5:$Q310},""Select sum(Col16) where Col1 = '""&amp;$G200&amp;""' and Col2 &gt; date '""&amp;TEXT(Q$8,""yyyy-mm-dd"")&amp;""' and Col2 &lt;= date '""&amp;TEXT(P$8,""yyyy-mm-dd"")&amp;""' label sum(Col16) ''"",0)))"),"")</f>
        <v/>
      </c>
      <c r="Q200" s="628" t="str">
        <f>IFERROR(__xludf.DUMMYFUNCTION("IF($G200="""","""",IFERROR(query({proventos!$B$5:$Q310},""Select sum(Col16) where Col1 = '""&amp;$G200&amp;""' and Col2 &gt; date '""&amp;TEXT(R$8,""yyyy-mm-dd"")&amp;""' and Col2 &lt;= date '""&amp;TEXT(Q$8,""yyyy-mm-dd"")&amp;""' label sum(Col16) ''"",0)))"),"")</f>
        <v/>
      </c>
      <c r="R200" s="628" t="str">
        <f>IFERROR(__xludf.DUMMYFUNCTION("IF($G200="""","""",IFERROR(query({proventos!$B$5:$Q310},""Select sum(Col16) where Col1 = '""&amp;$G200&amp;""' and Col2 &gt; date '""&amp;TEXT(S$8,""yyyy-mm-dd"")&amp;""' and Col2 &lt;= date '""&amp;TEXT(R$8,""yyyy-mm-dd"")&amp;""' label sum(Col16) ''"",0)))"),"")</f>
        <v/>
      </c>
      <c r="S200" s="628" t="str">
        <f>IFERROR(__xludf.DUMMYFUNCTION("IF($G200="""","""",IFERROR(query({proventos!$B$5:$Q310},""Select sum(Col16) where Col1 = '""&amp;$G200&amp;""' and Col2 &gt; date '""&amp;TEXT(T$8,""yyyy-mm-dd"")&amp;""' and Col2 &lt;= date '""&amp;TEXT(S$8,""yyyy-mm-dd"")&amp;""' label sum(Col16) ''"",0)))"),"")</f>
        <v/>
      </c>
      <c r="T200" s="628" t="str">
        <f>IFERROR(__xludf.DUMMYFUNCTION("IF($G200="""","""",IFERROR(query({proventos!$B$5:$Q310},""Select sum(Col16) where Col1 = '""&amp;$G200&amp;""' and Col2 &gt; date '""&amp;TEXT(U$8,""yyyy-mm-dd"")&amp;""' and Col2 &lt;= date '""&amp;TEXT(T$8,""yyyy-mm-dd"")&amp;""' label sum(Col16) ''"",0)))"),"")</f>
        <v/>
      </c>
      <c r="U200" s="629" t="str">
        <f>IFERROR(__xludf.DUMMYFUNCTION("IF($G200="""","""",IFERROR(query({proventos!$B$5:$Q310},""Select sum(Col16) where Col1 = '""&amp;$G200&amp;""' and Col2 &gt; date '""&amp;TEXT(EOMONTH(TODAY(),-13),""yyyy-mm-dd"")&amp;""' and Col2 &lt;= date '""&amp;TEXT(U$8,""yyyy-mm-dd"")&amp;""' label sum(Col16) ''"",0)))"),"")</f>
        <v/>
      </c>
      <c r="V200" s="630" t="str">
        <f>IFERROR(__xludf.DUMMYFUNCTION("IF($G200="""","""",IFERROR(query({proventos!$B$5:$Q310},""Select sum(Col16) where Col1 = '""&amp;$G200&amp;""' and Col2 &gt; date '""&amp;TEXT(DATE(V$8,1,1),""yyyy-mm-dd"")&amp;""' and Col2 &lt;= date '""&amp;TEXT(DATE(V$8,12,31),""yyyy-mm-dd"")&amp;""' label sum(Col16) ''"",0)))"),"")</f>
        <v/>
      </c>
      <c r="W200" s="630" t="str">
        <f>IFERROR(__xludf.DUMMYFUNCTION("IF($G200="""","""",IFERROR(query({proventos!$B$5:$Q310},""Select sum(Col16) where Col1 = '""&amp;$G200&amp;""' and Col2 &gt; date '""&amp;TEXT(DATE(W$8,1,1),""yyyy-mm-dd"")&amp;""' and Col2 &lt;= date '""&amp;TEXT(DATE(W$8,12,31),""yyyy-mm-dd"")&amp;""' label sum(Col16) ''"",0)))"),"")</f>
        <v/>
      </c>
      <c r="X200" s="630" t="str">
        <f>IFERROR(__xludf.DUMMYFUNCTION("IF($G200="""","""",IFERROR(query({proventos!$B$5:$Q310},""Select sum(Col16) where Col1 = '""&amp;$G200&amp;""' and Col2 &gt; date '""&amp;TEXT(DATE(X$8,1,1),""yyyy-mm-dd"")&amp;""' and Col2 &lt;= date '""&amp;TEXT(DATE(X$8,12,31),""yyyy-mm-dd"")&amp;""' label sum(Col16) ''"",0)))"),"")</f>
        <v/>
      </c>
      <c r="Y200" s="630" t="str">
        <f>IFERROR(__xludf.DUMMYFUNCTION("IF($G200="""","""",IFERROR(query({proventos!$B$5:$Q310},""Select sum(Col16) where Col1 = '""&amp;$G200&amp;""' and Col2 &gt; date '""&amp;TEXT(DATE(Y$8,1,1),""yyyy-mm-dd"")&amp;""' and Col2 &lt;= date '""&amp;TEXT(DATE(Y$8,12,31),""yyyy-mm-dd"")&amp;""' label sum(Col16) ''"",0)))"),"")</f>
        <v/>
      </c>
      <c r="Z200" s="630" t="str">
        <f>IFERROR(__xludf.DUMMYFUNCTION("IF($G200="""","""",IFERROR(query({proventos!$B$5:$Q310},""Select sum(Col16) where Col1 = '""&amp;$G200&amp;""' and Col2 &gt; date '""&amp;TEXT(DATE(Z$8,1,1),""yyyy-mm-dd"")&amp;""' and Col2 &lt;= date '""&amp;TEXT(DATE(Z$8,12,31),""yyyy-mm-dd"")&amp;""' label sum(Col16) ''"",0)))"),"")</f>
        <v/>
      </c>
      <c r="AA200" s="587"/>
      <c r="AB200" s="578" t="s">
        <v>123</v>
      </c>
      <c r="AC200" s="601"/>
      <c r="AD200" s="636"/>
      <c r="AE200" s="636"/>
    </row>
    <row r="201">
      <c r="A201" s="576"/>
      <c r="B201" s="620"/>
      <c r="C201" s="637"/>
      <c r="D201" s="633"/>
      <c r="E201" s="633"/>
      <c r="F201" s="624">
        <v>191.0</v>
      </c>
      <c r="G201" s="635"/>
      <c r="H201" s="626" t="str">
        <f>if(G201="","",IFERROR(VLOOKUP(G201,AtivosDados,MATCH("provento_avg",portfolio.!$A$3:AE$3,0),FALSE),""))</f>
        <v/>
      </c>
      <c r="I201" s="627" t="s">
        <v>123</v>
      </c>
      <c r="J201" s="628" t="str">
        <f>IFERROR(__xludf.DUMMYFUNCTION("IF($G201="""","""",IFERROR(query({proventos!$B$5:$Q310},""Select sum(Col16) where Col1 = '""&amp;$G201&amp;""' and Col2 &gt; date '""&amp;TEXT(K$8,""yyyy-mm-dd"")&amp;""' and Col2 &lt;= date '""&amp;TEXT(J$8,""yyyy-mm-dd"")&amp;""' label sum(Col16) ''"",0)))"),"")</f>
        <v/>
      </c>
      <c r="K201" s="628" t="str">
        <f>IFERROR(__xludf.DUMMYFUNCTION("IF($G201="""","""",IFERROR(query({proventos!$B$5:$Q310},""Select sum(Col16) where Col1 = '""&amp;$G201&amp;""' and Col2 &gt; date '""&amp;TEXT(L$8,""yyyy-mm-dd"")&amp;""' and Col2 &lt;= date '""&amp;TEXT(K$8,""yyyy-mm-dd"")&amp;""' label sum(Col16) ''"",0)))"),"")</f>
        <v/>
      </c>
      <c r="L201" s="628" t="str">
        <f>IFERROR(__xludf.DUMMYFUNCTION("IF($G201="""","""",IFERROR(query({proventos!$B$5:$Q310},""Select sum(Col16) where Col1 = '""&amp;$G201&amp;""' and Col2 &gt; date '""&amp;TEXT(M$8,""yyyy-mm-dd"")&amp;""' and Col2 &lt;= date '""&amp;TEXT(L$8,""yyyy-mm-dd"")&amp;""' label sum(Col16) ''"",0)))"),"")</f>
        <v/>
      </c>
      <c r="M201" s="628" t="str">
        <f>IFERROR(__xludf.DUMMYFUNCTION("IF($G201="""","""",IFERROR(query({proventos!$B$5:$Q310},""Select sum(Col16) where Col1 = '""&amp;$G201&amp;""' and Col2 &gt; date '""&amp;TEXT(N$8,""yyyy-mm-dd"")&amp;""' and Col2 &lt;= date '""&amp;TEXT(M$8,""yyyy-mm-dd"")&amp;""' label sum(Col16) ''"",0)))"),"")</f>
        <v/>
      </c>
      <c r="N201" s="628" t="str">
        <f>IFERROR(__xludf.DUMMYFUNCTION("IF($G201="""","""",IFERROR(query({proventos!$B$5:$Q310},""Select sum(Col16) where Col1 = '""&amp;$G201&amp;""' and Col2 &gt; date '""&amp;TEXT(O$8,""yyyy-mm-dd"")&amp;""' and Col2 &lt;= date '""&amp;TEXT(N$8,""yyyy-mm-dd"")&amp;""' label sum(Col16) ''"",0)))"),"")</f>
        <v/>
      </c>
      <c r="O201" s="628" t="str">
        <f>IFERROR(__xludf.DUMMYFUNCTION("IF($G201="""","""",IFERROR(query({proventos!$B$5:$Q310},""Select sum(Col16) where Col1 = '""&amp;$G201&amp;""' and Col2 &gt; date '""&amp;TEXT(P$8,""yyyy-mm-dd"")&amp;""' and Col2 &lt;= date '""&amp;TEXT(O$8,""yyyy-mm-dd"")&amp;""' label sum(Col16) ''"",0)))"),"")</f>
        <v/>
      </c>
      <c r="P201" s="628" t="str">
        <f>IFERROR(__xludf.DUMMYFUNCTION("IF($G201="""","""",IFERROR(query({proventos!$B$5:$Q310},""Select sum(Col16) where Col1 = '""&amp;$G201&amp;""' and Col2 &gt; date '""&amp;TEXT(Q$8,""yyyy-mm-dd"")&amp;""' and Col2 &lt;= date '""&amp;TEXT(P$8,""yyyy-mm-dd"")&amp;""' label sum(Col16) ''"",0)))"),"")</f>
        <v/>
      </c>
      <c r="Q201" s="628" t="str">
        <f>IFERROR(__xludf.DUMMYFUNCTION("IF($G201="""","""",IFERROR(query({proventos!$B$5:$Q310},""Select sum(Col16) where Col1 = '""&amp;$G201&amp;""' and Col2 &gt; date '""&amp;TEXT(R$8,""yyyy-mm-dd"")&amp;""' and Col2 &lt;= date '""&amp;TEXT(Q$8,""yyyy-mm-dd"")&amp;""' label sum(Col16) ''"",0)))"),"")</f>
        <v/>
      </c>
      <c r="R201" s="628" t="str">
        <f>IFERROR(__xludf.DUMMYFUNCTION("IF($G201="""","""",IFERROR(query({proventos!$B$5:$Q310},""Select sum(Col16) where Col1 = '""&amp;$G201&amp;""' and Col2 &gt; date '""&amp;TEXT(S$8,""yyyy-mm-dd"")&amp;""' and Col2 &lt;= date '""&amp;TEXT(R$8,""yyyy-mm-dd"")&amp;""' label sum(Col16) ''"",0)))"),"")</f>
        <v/>
      </c>
      <c r="S201" s="628" t="str">
        <f>IFERROR(__xludf.DUMMYFUNCTION("IF($G201="""","""",IFERROR(query({proventos!$B$5:$Q310},""Select sum(Col16) where Col1 = '""&amp;$G201&amp;""' and Col2 &gt; date '""&amp;TEXT(T$8,""yyyy-mm-dd"")&amp;""' and Col2 &lt;= date '""&amp;TEXT(S$8,""yyyy-mm-dd"")&amp;""' label sum(Col16) ''"",0)))"),"")</f>
        <v/>
      </c>
      <c r="T201" s="628" t="str">
        <f>IFERROR(__xludf.DUMMYFUNCTION("IF($G201="""","""",IFERROR(query({proventos!$B$5:$Q310},""Select sum(Col16) where Col1 = '""&amp;$G201&amp;""' and Col2 &gt; date '""&amp;TEXT(U$8,""yyyy-mm-dd"")&amp;""' and Col2 &lt;= date '""&amp;TEXT(T$8,""yyyy-mm-dd"")&amp;""' label sum(Col16) ''"",0)))"),"")</f>
        <v/>
      </c>
      <c r="U201" s="629" t="str">
        <f>IFERROR(__xludf.DUMMYFUNCTION("IF($G201="""","""",IFERROR(query({proventos!$B$5:$Q310},""Select sum(Col16) where Col1 = '""&amp;$G201&amp;""' and Col2 &gt; date '""&amp;TEXT(EOMONTH(TODAY(),-13),""yyyy-mm-dd"")&amp;""' and Col2 &lt;= date '""&amp;TEXT(U$8,""yyyy-mm-dd"")&amp;""' label sum(Col16) ''"",0)))"),"")</f>
        <v/>
      </c>
      <c r="V201" s="630" t="str">
        <f>IFERROR(__xludf.DUMMYFUNCTION("IF($G201="""","""",IFERROR(query({proventos!$B$5:$Q310},""Select sum(Col16) where Col1 = '""&amp;$G201&amp;""' and Col2 &gt; date '""&amp;TEXT(DATE(V$8,1,1),""yyyy-mm-dd"")&amp;""' and Col2 &lt;= date '""&amp;TEXT(DATE(V$8,12,31),""yyyy-mm-dd"")&amp;""' label sum(Col16) ''"",0)))"),"")</f>
        <v/>
      </c>
      <c r="W201" s="630" t="str">
        <f>IFERROR(__xludf.DUMMYFUNCTION("IF($G201="""","""",IFERROR(query({proventos!$B$5:$Q310},""Select sum(Col16) where Col1 = '""&amp;$G201&amp;""' and Col2 &gt; date '""&amp;TEXT(DATE(W$8,1,1),""yyyy-mm-dd"")&amp;""' and Col2 &lt;= date '""&amp;TEXT(DATE(W$8,12,31),""yyyy-mm-dd"")&amp;""' label sum(Col16) ''"",0)))"),"")</f>
        <v/>
      </c>
      <c r="X201" s="630" t="str">
        <f>IFERROR(__xludf.DUMMYFUNCTION("IF($G201="""","""",IFERROR(query({proventos!$B$5:$Q310},""Select sum(Col16) where Col1 = '""&amp;$G201&amp;""' and Col2 &gt; date '""&amp;TEXT(DATE(X$8,1,1),""yyyy-mm-dd"")&amp;""' and Col2 &lt;= date '""&amp;TEXT(DATE(X$8,12,31),""yyyy-mm-dd"")&amp;""' label sum(Col16) ''"",0)))"),"")</f>
        <v/>
      </c>
      <c r="Y201" s="630" t="str">
        <f>IFERROR(__xludf.DUMMYFUNCTION("IF($G201="""","""",IFERROR(query({proventos!$B$5:$Q310},""Select sum(Col16) where Col1 = '""&amp;$G201&amp;""' and Col2 &gt; date '""&amp;TEXT(DATE(Y$8,1,1),""yyyy-mm-dd"")&amp;""' and Col2 &lt;= date '""&amp;TEXT(DATE(Y$8,12,31),""yyyy-mm-dd"")&amp;""' label sum(Col16) ''"",0)))"),"")</f>
        <v/>
      </c>
      <c r="Z201" s="630" t="str">
        <f>IFERROR(__xludf.DUMMYFUNCTION("IF($G201="""","""",IFERROR(query({proventos!$B$5:$Q310},""Select sum(Col16) where Col1 = '""&amp;$G201&amp;""' and Col2 &gt; date '""&amp;TEXT(DATE(Z$8,1,1),""yyyy-mm-dd"")&amp;""' and Col2 &lt;= date '""&amp;TEXT(DATE(Z$8,12,31),""yyyy-mm-dd"")&amp;""' label sum(Col16) ''"",0)))"),"")</f>
        <v/>
      </c>
      <c r="AA201" s="587"/>
      <c r="AB201" s="578" t="s">
        <v>123</v>
      </c>
      <c r="AC201" s="601"/>
      <c r="AD201" s="636"/>
      <c r="AE201" s="636"/>
    </row>
    <row r="202">
      <c r="A202" s="576"/>
      <c r="B202" s="620"/>
      <c r="C202" s="637"/>
      <c r="D202" s="633"/>
      <c r="E202" s="633"/>
      <c r="F202" s="624">
        <v>192.0</v>
      </c>
      <c r="G202" s="635"/>
      <c r="H202" s="626" t="str">
        <f>if(G202="","",IFERROR(VLOOKUP(G202,AtivosDados,MATCH("provento_avg",portfolio.!$A$3:AE$3,0),FALSE),""))</f>
        <v/>
      </c>
      <c r="I202" s="627" t="s">
        <v>123</v>
      </c>
      <c r="J202" s="628" t="str">
        <f>IFERROR(__xludf.DUMMYFUNCTION("IF($G202="""","""",IFERROR(query({proventos!$B$5:$Q310},""Select sum(Col16) where Col1 = '""&amp;$G202&amp;""' and Col2 &gt; date '""&amp;TEXT(K$8,""yyyy-mm-dd"")&amp;""' and Col2 &lt;= date '""&amp;TEXT(J$8,""yyyy-mm-dd"")&amp;""' label sum(Col16) ''"",0)))"),"")</f>
        <v/>
      </c>
      <c r="K202" s="628" t="str">
        <f>IFERROR(__xludf.DUMMYFUNCTION("IF($G202="""","""",IFERROR(query({proventos!$B$5:$Q310},""Select sum(Col16) where Col1 = '""&amp;$G202&amp;""' and Col2 &gt; date '""&amp;TEXT(L$8,""yyyy-mm-dd"")&amp;""' and Col2 &lt;= date '""&amp;TEXT(K$8,""yyyy-mm-dd"")&amp;""' label sum(Col16) ''"",0)))"),"")</f>
        <v/>
      </c>
      <c r="L202" s="628" t="str">
        <f>IFERROR(__xludf.DUMMYFUNCTION("IF($G202="""","""",IFERROR(query({proventos!$B$5:$Q310},""Select sum(Col16) where Col1 = '""&amp;$G202&amp;""' and Col2 &gt; date '""&amp;TEXT(M$8,""yyyy-mm-dd"")&amp;""' and Col2 &lt;= date '""&amp;TEXT(L$8,""yyyy-mm-dd"")&amp;""' label sum(Col16) ''"",0)))"),"")</f>
        <v/>
      </c>
      <c r="M202" s="628" t="str">
        <f>IFERROR(__xludf.DUMMYFUNCTION("IF($G202="""","""",IFERROR(query({proventos!$B$5:$Q310},""Select sum(Col16) where Col1 = '""&amp;$G202&amp;""' and Col2 &gt; date '""&amp;TEXT(N$8,""yyyy-mm-dd"")&amp;""' and Col2 &lt;= date '""&amp;TEXT(M$8,""yyyy-mm-dd"")&amp;""' label sum(Col16) ''"",0)))"),"")</f>
        <v/>
      </c>
      <c r="N202" s="628" t="str">
        <f>IFERROR(__xludf.DUMMYFUNCTION("IF($G202="""","""",IFERROR(query({proventos!$B$5:$Q310},""Select sum(Col16) where Col1 = '""&amp;$G202&amp;""' and Col2 &gt; date '""&amp;TEXT(O$8,""yyyy-mm-dd"")&amp;""' and Col2 &lt;= date '""&amp;TEXT(N$8,""yyyy-mm-dd"")&amp;""' label sum(Col16) ''"",0)))"),"")</f>
        <v/>
      </c>
      <c r="O202" s="628" t="str">
        <f>IFERROR(__xludf.DUMMYFUNCTION("IF($G202="""","""",IFERROR(query({proventos!$B$5:$Q310},""Select sum(Col16) where Col1 = '""&amp;$G202&amp;""' and Col2 &gt; date '""&amp;TEXT(P$8,""yyyy-mm-dd"")&amp;""' and Col2 &lt;= date '""&amp;TEXT(O$8,""yyyy-mm-dd"")&amp;""' label sum(Col16) ''"",0)))"),"")</f>
        <v/>
      </c>
      <c r="P202" s="628" t="str">
        <f>IFERROR(__xludf.DUMMYFUNCTION("IF($G202="""","""",IFERROR(query({proventos!$B$5:$Q310},""Select sum(Col16) where Col1 = '""&amp;$G202&amp;""' and Col2 &gt; date '""&amp;TEXT(Q$8,""yyyy-mm-dd"")&amp;""' and Col2 &lt;= date '""&amp;TEXT(P$8,""yyyy-mm-dd"")&amp;""' label sum(Col16) ''"",0)))"),"")</f>
        <v/>
      </c>
      <c r="Q202" s="628" t="str">
        <f>IFERROR(__xludf.DUMMYFUNCTION("IF($G202="""","""",IFERROR(query({proventos!$B$5:$Q310},""Select sum(Col16) where Col1 = '""&amp;$G202&amp;""' and Col2 &gt; date '""&amp;TEXT(R$8,""yyyy-mm-dd"")&amp;""' and Col2 &lt;= date '""&amp;TEXT(Q$8,""yyyy-mm-dd"")&amp;""' label sum(Col16) ''"",0)))"),"")</f>
        <v/>
      </c>
      <c r="R202" s="628" t="str">
        <f>IFERROR(__xludf.DUMMYFUNCTION("IF($G202="""","""",IFERROR(query({proventos!$B$5:$Q310},""Select sum(Col16) where Col1 = '""&amp;$G202&amp;""' and Col2 &gt; date '""&amp;TEXT(S$8,""yyyy-mm-dd"")&amp;""' and Col2 &lt;= date '""&amp;TEXT(R$8,""yyyy-mm-dd"")&amp;""' label sum(Col16) ''"",0)))"),"")</f>
        <v/>
      </c>
      <c r="S202" s="628" t="str">
        <f>IFERROR(__xludf.DUMMYFUNCTION("IF($G202="""","""",IFERROR(query({proventos!$B$5:$Q310},""Select sum(Col16) where Col1 = '""&amp;$G202&amp;""' and Col2 &gt; date '""&amp;TEXT(T$8,""yyyy-mm-dd"")&amp;""' and Col2 &lt;= date '""&amp;TEXT(S$8,""yyyy-mm-dd"")&amp;""' label sum(Col16) ''"",0)))"),"")</f>
        <v/>
      </c>
      <c r="T202" s="628" t="str">
        <f>IFERROR(__xludf.DUMMYFUNCTION("IF($G202="""","""",IFERROR(query({proventos!$B$5:$Q310},""Select sum(Col16) where Col1 = '""&amp;$G202&amp;""' and Col2 &gt; date '""&amp;TEXT(U$8,""yyyy-mm-dd"")&amp;""' and Col2 &lt;= date '""&amp;TEXT(T$8,""yyyy-mm-dd"")&amp;""' label sum(Col16) ''"",0)))"),"")</f>
        <v/>
      </c>
      <c r="U202" s="629" t="str">
        <f>IFERROR(__xludf.DUMMYFUNCTION("IF($G202="""","""",IFERROR(query({proventos!$B$5:$Q310},""Select sum(Col16) where Col1 = '""&amp;$G202&amp;""' and Col2 &gt; date '""&amp;TEXT(EOMONTH(TODAY(),-13),""yyyy-mm-dd"")&amp;""' and Col2 &lt;= date '""&amp;TEXT(U$8,""yyyy-mm-dd"")&amp;""' label sum(Col16) ''"",0)))"),"")</f>
        <v/>
      </c>
      <c r="V202" s="630" t="str">
        <f>IFERROR(__xludf.DUMMYFUNCTION("IF($G202="""","""",IFERROR(query({proventos!$B$5:$Q310},""Select sum(Col16) where Col1 = '""&amp;$G202&amp;""' and Col2 &gt; date '""&amp;TEXT(DATE(V$8,1,1),""yyyy-mm-dd"")&amp;""' and Col2 &lt;= date '""&amp;TEXT(DATE(V$8,12,31),""yyyy-mm-dd"")&amp;""' label sum(Col16) ''"",0)))"),"")</f>
        <v/>
      </c>
      <c r="W202" s="630" t="str">
        <f>IFERROR(__xludf.DUMMYFUNCTION("IF($G202="""","""",IFERROR(query({proventos!$B$5:$Q310},""Select sum(Col16) where Col1 = '""&amp;$G202&amp;""' and Col2 &gt; date '""&amp;TEXT(DATE(W$8,1,1),""yyyy-mm-dd"")&amp;""' and Col2 &lt;= date '""&amp;TEXT(DATE(W$8,12,31),""yyyy-mm-dd"")&amp;""' label sum(Col16) ''"",0)))"),"")</f>
        <v/>
      </c>
      <c r="X202" s="630" t="str">
        <f>IFERROR(__xludf.DUMMYFUNCTION("IF($G202="""","""",IFERROR(query({proventos!$B$5:$Q310},""Select sum(Col16) where Col1 = '""&amp;$G202&amp;""' and Col2 &gt; date '""&amp;TEXT(DATE(X$8,1,1),""yyyy-mm-dd"")&amp;""' and Col2 &lt;= date '""&amp;TEXT(DATE(X$8,12,31),""yyyy-mm-dd"")&amp;""' label sum(Col16) ''"",0)))"),"")</f>
        <v/>
      </c>
      <c r="Y202" s="630" t="str">
        <f>IFERROR(__xludf.DUMMYFUNCTION("IF($G202="""","""",IFERROR(query({proventos!$B$5:$Q310},""Select sum(Col16) where Col1 = '""&amp;$G202&amp;""' and Col2 &gt; date '""&amp;TEXT(DATE(Y$8,1,1),""yyyy-mm-dd"")&amp;""' and Col2 &lt;= date '""&amp;TEXT(DATE(Y$8,12,31),""yyyy-mm-dd"")&amp;""' label sum(Col16) ''"",0)))"),"")</f>
        <v/>
      </c>
      <c r="Z202" s="630" t="str">
        <f>IFERROR(__xludf.DUMMYFUNCTION("IF($G202="""","""",IFERROR(query({proventos!$B$5:$Q310},""Select sum(Col16) where Col1 = '""&amp;$G202&amp;""' and Col2 &gt; date '""&amp;TEXT(DATE(Z$8,1,1),""yyyy-mm-dd"")&amp;""' and Col2 &lt;= date '""&amp;TEXT(DATE(Z$8,12,31),""yyyy-mm-dd"")&amp;""' label sum(Col16) ''"",0)))"),"")</f>
        <v/>
      </c>
      <c r="AA202" s="587"/>
      <c r="AB202" s="578" t="s">
        <v>123</v>
      </c>
      <c r="AC202" s="601"/>
      <c r="AD202" s="636"/>
      <c r="AE202" s="636"/>
    </row>
    <row r="203">
      <c r="A203" s="576"/>
      <c r="B203" s="620"/>
      <c r="C203" s="637"/>
      <c r="D203" s="633"/>
      <c r="E203" s="633"/>
      <c r="F203" s="624">
        <v>193.0</v>
      </c>
      <c r="G203" s="635"/>
      <c r="H203" s="626" t="str">
        <f>if(G203="","",IFERROR(VLOOKUP(G203,AtivosDados,MATCH("provento_avg",portfolio.!$A$3:AE$3,0),FALSE),""))</f>
        <v/>
      </c>
      <c r="I203" s="627" t="s">
        <v>123</v>
      </c>
      <c r="J203" s="628" t="str">
        <f>IFERROR(__xludf.DUMMYFUNCTION("IF($G203="""","""",IFERROR(query({proventos!$B$5:$Q310},""Select sum(Col16) where Col1 = '""&amp;$G203&amp;""' and Col2 &gt; date '""&amp;TEXT(K$8,""yyyy-mm-dd"")&amp;""' and Col2 &lt;= date '""&amp;TEXT(J$8,""yyyy-mm-dd"")&amp;""' label sum(Col16) ''"",0)))"),"")</f>
        <v/>
      </c>
      <c r="K203" s="628" t="str">
        <f>IFERROR(__xludf.DUMMYFUNCTION("IF($G203="""","""",IFERROR(query({proventos!$B$5:$Q310},""Select sum(Col16) where Col1 = '""&amp;$G203&amp;""' and Col2 &gt; date '""&amp;TEXT(L$8,""yyyy-mm-dd"")&amp;""' and Col2 &lt;= date '""&amp;TEXT(K$8,""yyyy-mm-dd"")&amp;""' label sum(Col16) ''"",0)))"),"")</f>
        <v/>
      </c>
      <c r="L203" s="628" t="str">
        <f>IFERROR(__xludf.DUMMYFUNCTION("IF($G203="""","""",IFERROR(query({proventos!$B$5:$Q310},""Select sum(Col16) where Col1 = '""&amp;$G203&amp;""' and Col2 &gt; date '""&amp;TEXT(M$8,""yyyy-mm-dd"")&amp;""' and Col2 &lt;= date '""&amp;TEXT(L$8,""yyyy-mm-dd"")&amp;""' label sum(Col16) ''"",0)))"),"")</f>
        <v/>
      </c>
      <c r="M203" s="628" t="str">
        <f>IFERROR(__xludf.DUMMYFUNCTION("IF($G203="""","""",IFERROR(query({proventos!$B$5:$Q310},""Select sum(Col16) where Col1 = '""&amp;$G203&amp;""' and Col2 &gt; date '""&amp;TEXT(N$8,""yyyy-mm-dd"")&amp;""' and Col2 &lt;= date '""&amp;TEXT(M$8,""yyyy-mm-dd"")&amp;""' label sum(Col16) ''"",0)))"),"")</f>
        <v/>
      </c>
      <c r="N203" s="628" t="str">
        <f>IFERROR(__xludf.DUMMYFUNCTION("IF($G203="""","""",IFERROR(query({proventos!$B$5:$Q310},""Select sum(Col16) where Col1 = '""&amp;$G203&amp;""' and Col2 &gt; date '""&amp;TEXT(O$8,""yyyy-mm-dd"")&amp;""' and Col2 &lt;= date '""&amp;TEXT(N$8,""yyyy-mm-dd"")&amp;""' label sum(Col16) ''"",0)))"),"")</f>
        <v/>
      </c>
      <c r="O203" s="628" t="str">
        <f>IFERROR(__xludf.DUMMYFUNCTION("IF($G203="""","""",IFERROR(query({proventos!$B$5:$Q310},""Select sum(Col16) where Col1 = '""&amp;$G203&amp;""' and Col2 &gt; date '""&amp;TEXT(P$8,""yyyy-mm-dd"")&amp;""' and Col2 &lt;= date '""&amp;TEXT(O$8,""yyyy-mm-dd"")&amp;""' label sum(Col16) ''"",0)))"),"")</f>
        <v/>
      </c>
      <c r="P203" s="628" t="str">
        <f>IFERROR(__xludf.DUMMYFUNCTION("IF($G203="""","""",IFERROR(query({proventos!$B$5:$Q310},""Select sum(Col16) where Col1 = '""&amp;$G203&amp;""' and Col2 &gt; date '""&amp;TEXT(Q$8,""yyyy-mm-dd"")&amp;""' and Col2 &lt;= date '""&amp;TEXT(P$8,""yyyy-mm-dd"")&amp;""' label sum(Col16) ''"",0)))"),"")</f>
        <v/>
      </c>
      <c r="Q203" s="628" t="str">
        <f>IFERROR(__xludf.DUMMYFUNCTION("IF($G203="""","""",IFERROR(query({proventos!$B$5:$Q310},""Select sum(Col16) where Col1 = '""&amp;$G203&amp;""' and Col2 &gt; date '""&amp;TEXT(R$8,""yyyy-mm-dd"")&amp;""' and Col2 &lt;= date '""&amp;TEXT(Q$8,""yyyy-mm-dd"")&amp;""' label sum(Col16) ''"",0)))"),"")</f>
        <v/>
      </c>
      <c r="R203" s="628" t="str">
        <f>IFERROR(__xludf.DUMMYFUNCTION("IF($G203="""","""",IFERROR(query({proventos!$B$5:$Q310},""Select sum(Col16) where Col1 = '""&amp;$G203&amp;""' and Col2 &gt; date '""&amp;TEXT(S$8,""yyyy-mm-dd"")&amp;""' and Col2 &lt;= date '""&amp;TEXT(R$8,""yyyy-mm-dd"")&amp;""' label sum(Col16) ''"",0)))"),"")</f>
        <v/>
      </c>
      <c r="S203" s="628" t="str">
        <f>IFERROR(__xludf.DUMMYFUNCTION("IF($G203="""","""",IFERROR(query({proventos!$B$5:$Q310},""Select sum(Col16) where Col1 = '""&amp;$G203&amp;""' and Col2 &gt; date '""&amp;TEXT(T$8,""yyyy-mm-dd"")&amp;""' and Col2 &lt;= date '""&amp;TEXT(S$8,""yyyy-mm-dd"")&amp;""' label sum(Col16) ''"",0)))"),"")</f>
        <v/>
      </c>
      <c r="T203" s="628" t="str">
        <f>IFERROR(__xludf.DUMMYFUNCTION("IF($G203="""","""",IFERROR(query({proventos!$B$5:$Q310},""Select sum(Col16) where Col1 = '""&amp;$G203&amp;""' and Col2 &gt; date '""&amp;TEXT(U$8,""yyyy-mm-dd"")&amp;""' and Col2 &lt;= date '""&amp;TEXT(T$8,""yyyy-mm-dd"")&amp;""' label sum(Col16) ''"",0)))"),"")</f>
        <v/>
      </c>
      <c r="U203" s="629" t="str">
        <f>IFERROR(__xludf.DUMMYFUNCTION("IF($G203="""","""",IFERROR(query({proventos!$B$5:$Q310},""Select sum(Col16) where Col1 = '""&amp;$G203&amp;""' and Col2 &gt; date '""&amp;TEXT(EOMONTH(TODAY(),-13),""yyyy-mm-dd"")&amp;""' and Col2 &lt;= date '""&amp;TEXT(U$8,""yyyy-mm-dd"")&amp;""' label sum(Col16) ''"",0)))"),"")</f>
        <v/>
      </c>
      <c r="V203" s="630" t="str">
        <f>IFERROR(__xludf.DUMMYFUNCTION("IF($G203="""","""",IFERROR(query({proventos!$B$5:$Q310},""Select sum(Col16) where Col1 = '""&amp;$G203&amp;""' and Col2 &gt; date '""&amp;TEXT(DATE(V$8,1,1),""yyyy-mm-dd"")&amp;""' and Col2 &lt;= date '""&amp;TEXT(DATE(V$8,12,31),""yyyy-mm-dd"")&amp;""' label sum(Col16) ''"",0)))"),"")</f>
        <v/>
      </c>
      <c r="W203" s="630" t="str">
        <f>IFERROR(__xludf.DUMMYFUNCTION("IF($G203="""","""",IFERROR(query({proventos!$B$5:$Q310},""Select sum(Col16) where Col1 = '""&amp;$G203&amp;""' and Col2 &gt; date '""&amp;TEXT(DATE(W$8,1,1),""yyyy-mm-dd"")&amp;""' and Col2 &lt;= date '""&amp;TEXT(DATE(W$8,12,31),""yyyy-mm-dd"")&amp;""' label sum(Col16) ''"",0)))"),"")</f>
        <v/>
      </c>
      <c r="X203" s="630" t="str">
        <f>IFERROR(__xludf.DUMMYFUNCTION("IF($G203="""","""",IFERROR(query({proventos!$B$5:$Q310},""Select sum(Col16) where Col1 = '""&amp;$G203&amp;""' and Col2 &gt; date '""&amp;TEXT(DATE(X$8,1,1),""yyyy-mm-dd"")&amp;""' and Col2 &lt;= date '""&amp;TEXT(DATE(X$8,12,31),""yyyy-mm-dd"")&amp;""' label sum(Col16) ''"",0)))"),"")</f>
        <v/>
      </c>
      <c r="Y203" s="630" t="str">
        <f>IFERROR(__xludf.DUMMYFUNCTION("IF($G203="""","""",IFERROR(query({proventos!$B$5:$Q310},""Select sum(Col16) where Col1 = '""&amp;$G203&amp;""' and Col2 &gt; date '""&amp;TEXT(DATE(Y$8,1,1),""yyyy-mm-dd"")&amp;""' and Col2 &lt;= date '""&amp;TEXT(DATE(Y$8,12,31),""yyyy-mm-dd"")&amp;""' label sum(Col16) ''"",0)))"),"")</f>
        <v/>
      </c>
      <c r="Z203" s="630" t="str">
        <f>IFERROR(__xludf.DUMMYFUNCTION("IF($G203="""","""",IFERROR(query({proventos!$B$5:$Q310},""Select sum(Col16) where Col1 = '""&amp;$G203&amp;""' and Col2 &gt; date '""&amp;TEXT(DATE(Z$8,1,1),""yyyy-mm-dd"")&amp;""' and Col2 &lt;= date '""&amp;TEXT(DATE(Z$8,12,31),""yyyy-mm-dd"")&amp;""' label sum(Col16) ''"",0)))"),"")</f>
        <v/>
      </c>
      <c r="AA203" s="587"/>
      <c r="AB203" s="578" t="s">
        <v>123</v>
      </c>
      <c r="AC203" s="601"/>
      <c r="AD203" s="636"/>
      <c r="AE203" s="636"/>
    </row>
    <row r="204">
      <c r="A204" s="576"/>
      <c r="B204" s="620"/>
      <c r="C204" s="637"/>
      <c r="D204" s="633"/>
      <c r="E204" s="633"/>
      <c r="F204" s="624">
        <v>194.0</v>
      </c>
      <c r="G204" s="635"/>
      <c r="H204" s="626" t="str">
        <f>if(G204="","",IFERROR(VLOOKUP(G204,AtivosDados,MATCH("provento_avg",portfolio.!$A$3:AE$3,0),FALSE),""))</f>
        <v/>
      </c>
      <c r="I204" s="627" t="s">
        <v>123</v>
      </c>
      <c r="J204" s="628" t="str">
        <f>IFERROR(__xludf.DUMMYFUNCTION("IF($G204="""","""",IFERROR(query({proventos!$B$5:$Q310},""Select sum(Col16) where Col1 = '""&amp;$G204&amp;""' and Col2 &gt; date '""&amp;TEXT(K$8,""yyyy-mm-dd"")&amp;""' and Col2 &lt;= date '""&amp;TEXT(J$8,""yyyy-mm-dd"")&amp;""' label sum(Col16) ''"",0)))"),"")</f>
        <v/>
      </c>
      <c r="K204" s="628" t="str">
        <f>IFERROR(__xludf.DUMMYFUNCTION("IF($G204="""","""",IFERROR(query({proventos!$B$5:$Q310},""Select sum(Col16) where Col1 = '""&amp;$G204&amp;""' and Col2 &gt; date '""&amp;TEXT(L$8,""yyyy-mm-dd"")&amp;""' and Col2 &lt;= date '""&amp;TEXT(K$8,""yyyy-mm-dd"")&amp;""' label sum(Col16) ''"",0)))"),"")</f>
        <v/>
      </c>
      <c r="L204" s="628" t="str">
        <f>IFERROR(__xludf.DUMMYFUNCTION("IF($G204="""","""",IFERROR(query({proventos!$B$5:$Q310},""Select sum(Col16) where Col1 = '""&amp;$G204&amp;""' and Col2 &gt; date '""&amp;TEXT(M$8,""yyyy-mm-dd"")&amp;""' and Col2 &lt;= date '""&amp;TEXT(L$8,""yyyy-mm-dd"")&amp;""' label sum(Col16) ''"",0)))"),"")</f>
        <v/>
      </c>
      <c r="M204" s="628" t="str">
        <f>IFERROR(__xludf.DUMMYFUNCTION("IF($G204="""","""",IFERROR(query({proventos!$B$5:$Q310},""Select sum(Col16) where Col1 = '""&amp;$G204&amp;""' and Col2 &gt; date '""&amp;TEXT(N$8,""yyyy-mm-dd"")&amp;""' and Col2 &lt;= date '""&amp;TEXT(M$8,""yyyy-mm-dd"")&amp;""' label sum(Col16) ''"",0)))"),"")</f>
        <v/>
      </c>
      <c r="N204" s="628" t="str">
        <f>IFERROR(__xludf.DUMMYFUNCTION("IF($G204="""","""",IFERROR(query({proventos!$B$5:$Q310},""Select sum(Col16) where Col1 = '""&amp;$G204&amp;""' and Col2 &gt; date '""&amp;TEXT(O$8,""yyyy-mm-dd"")&amp;""' and Col2 &lt;= date '""&amp;TEXT(N$8,""yyyy-mm-dd"")&amp;""' label sum(Col16) ''"",0)))"),"")</f>
        <v/>
      </c>
      <c r="O204" s="628" t="str">
        <f>IFERROR(__xludf.DUMMYFUNCTION("IF($G204="""","""",IFERROR(query({proventos!$B$5:$Q310},""Select sum(Col16) where Col1 = '""&amp;$G204&amp;""' and Col2 &gt; date '""&amp;TEXT(P$8,""yyyy-mm-dd"")&amp;""' and Col2 &lt;= date '""&amp;TEXT(O$8,""yyyy-mm-dd"")&amp;""' label sum(Col16) ''"",0)))"),"")</f>
        <v/>
      </c>
      <c r="P204" s="628" t="str">
        <f>IFERROR(__xludf.DUMMYFUNCTION("IF($G204="""","""",IFERROR(query({proventos!$B$5:$Q310},""Select sum(Col16) where Col1 = '""&amp;$G204&amp;""' and Col2 &gt; date '""&amp;TEXT(Q$8,""yyyy-mm-dd"")&amp;""' and Col2 &lt;= date '""&amp;TEXT(P$8,""yyyy-mm-dd"")&amp;""' label sum(Col16) ''"",0)))"),"")</f>
        <v/>
      </c>
      <c r="Q204" s="628" t="str">
        <f>IFERROR(__xludf.DUMMYFUNCTION("IF($G204="""","""",IFERROR(query({proventos!$B$5:$Q310},""Select sum(Col16) where Col1 = '""&amp;$G204&amp;""' and Col2 &gt; date '""&amp;TEXT(R$8,""yyyy-mm-dd"")&amp;""' and Col2 &lt;= date '""&amp;TEXT(Q$8,""yyyy-mm-dd"")&amp;""' label sum(Col16) ''"",0)))"),"")</f>
        <v/>
      </c>
      <c r="R204" s="628" t="str">
        <f>IFERROR(__xludf.DUMMYFUNCTION("IF($G204="""","""",IFERROR(query({proventos!$B$5:$Q310},""Select sum(Col16) where Col1 = '""&amp;$G204&amp;""' and Col2 &gt; date '""&amp;TEXT(S$8,""yyyy-mm-dd"")&amp;""' and Col2 &lt;= date '""&amp;TEXT(R$8,""yyyy-mm-dd"")&amp;""' label sum(Col16) ''"",0)))"),"")</f>
        <v/>
      </c>
      <c r="S204" s="628" t="str">
        <f>IFERROR(__xludf.DUMMYFUNCTION("IF($G204="""","""",IFERROR(query({proventos!$B$5:$Q310},""Select sum(Col16) where Col1 = '""&amp;$G204&amp;""' and Col2 &gt; date '""&amp;TEXT(T$8,""yyyy-mm-dd"")&amp;""' and Col2 &lt;= date '""&amp;TEXT(S$8,""yyyy-mm-dd"")&amp;""' label sum(Col16) ''"",0)))"),"")</f>
        <v/>
      </c>
      <c r="T204" s="628" t="str">
        <f>IFERROR(__xludf.DUMMYFUNCTION("IF($G204="""","""",IFERROR(query({proventos!$B$5:$Q310},""Select sum(Col16) where Col1 = '""&amp;$G204&amp;""' and Col2 &gt; date '""&amp;TEXT(U$8,""yyyy-mm-dd"")&amp;""' and Col2 &lt;= date '""&amp;TEXT(T$8,""yyyy-mm-dd"")&amp;""' label sum(Col16) ''"",0)))"),"")</f>
        <v/>
      </c>
      <c r="U204" s="629" t="str">
        <f>IFERROR(__xludf.DUMMYFUNCTION("IF($G204="""","""",IFERROR(query({proventos!$B$5:$Q310},""Select sum(Col16) where Col1 = '""&amp;$G204&amp;""' and Col2 &gt; date '""&amp;TEXT(EOMONTH(TODAY(),-13),""yyyy-mm-dd"")&amp;""' and Col2 &lt;= date '""&amp;TEXT(U$8,""yyyy-mm-dd"")&amp;""' label sum(Col16) ''"",0)))"),"")</f>
        <v/>
      </c>
      <c r="V204" s="630" t="str">
        <f>IFERROR(__xludf.DUMMYFUNCTION("IF($G204="""","""",IFERROR(query({proventos!$B$5:$Q310},""Select sum(Col16) where Col1 = '""&amp;$G204&amp;""' and Col2 &gt; date '""&amp;TEXT(DATE(V$8,1,1),""yyyy-mm-dd"")&amp;""' and Col2 &lt;= date '""&amp;TEXT(DATE(V$8,12,31),""yyyy-mm-dd"")&amp;""' label sum(Col16) ''"",0)))"),"")</f>
        <v/>
      </c>
      <c r="W204" s="630" t="str">
        <f>IFERROR(__xludf.DUMMYFUNCTION("IF($G204="""","""",IFERROR(query({proventos!$B$5:$Q310},""Select sum(Col16) where Col1 = '""&amp;$G204&amp;""' and Col2 &gt; date '""&amp;TEXT(DATE(W$8,1,1),""yyyy-mm-dd"")&amp;""' and Col2 &lt;= date '""&amp;TEXT(DATE(W$8,12,31),""yyyy-mm-dd"")&amp;""' label sum(Col16) ''"",0)))"),"")</f>
        <v/>
      </c>
      <c r="X204" s="630" t="str">
        <f>IFERROR(__xludf.DUMMYFUNCTION("IF($G204="""","""",IFERROR(query({proventos!$B$5:$Q310},""Select sum(Col16) where Col1 = '""&amp;$G204&amp;""' and Col2 &gt; date '""&amp;TEXT(DATE(X$8,1,1),""yyyy-mm-dd"")&amp;""' and Col2 &lt;= date '""&amp;TEXT(DATE(X$8,12,31),""yyyy-mm-dd"")&amp;""' label sum(Col16) ''"",0)))"),"")</f>
        <v/>
      </c>
      <c r="Y204" s="630" t="str">
        <f>IFERROR(__xludf.DUMMYFUNCTION("IF($G204="""","""",IFERROR(query({proventos!$B$5:$Q310},""Select sum(Col16) where Col1 = '""&amp;$G204&amp;""' and Col2 &gt; date '""&amp;TEXT(DATE(Y$8,1,1),""yyyy-mm-dd"")&amp;""' and Col2 &lt;= date '""&amp;TEXT(DATE(Y$8,12,31),""yyyy-mm-dd"")&amp;""' label sum(Col16) ''"",0)))"),"")</f>
        <v/>
      </c>
      <c r="Z204" s="630" t="str">
        <f>IFERROR(__xludf.DUMMYFUNCTION("IF($G204="""","""",IFERROR(query({proventos!$B$5:$Q310},""Select sum(Col16) where Col1 = '""&amp;$G204&amp;""' and Col2 &gt; date '""&amp;TEXT(DATE(Z$8,1,1),""yyyy-mm-dd"")&amp;""' and Col2 &lt;= date '""&amp;TEXT(DATE(Z$8,12,31),""yyyy-mm-dd"")&amp;""' label sum(Col16) ''"",0)))"),"")</f>
        <v/>
      </c>
      <c r="AA204" s="587"/>
      <c r="AB204" s="578" t="s">
        <v>123</v>
      </c>
      <c r="AC204" s="601"/>
      <c r="AD204" s="636"/>
      <c r="AE204" s="636"/>
    </row>
    <row r="205">
      <c r="A205" s="576"/>
      <c r="B205" s="620"/>
      <c r="C205" s="637"/>
      <c r="D205" s="633"/>
      <c r="E205" s="633"/>
      <c r="F205" s="624">
        <v>195.0</v>
      </c>
      <c r="G205" s="635"/>
      <c r="H205" s="626" t="str">
        <f>if(G205="","",IFERROR(VLOOKUP(G205,AtivosDados,MATCH("provento_avg",portfolio.!$A$3:AE$3,0),FALSE),""))</f>
        <v/>
      </c>
      <c r="I205" s="627" t="s">
        <v>123</v>
      </c>
      <c r="J205" s="628" t="str">
        <f>IFERROR(__xludf.DUMMYFUNCTION("IF($G205="""","""",IFERROR(query({proventos!$B$5:$Q310},""Select sum(Col16) where Col1 = '""&amp;$G205&amp;""' and Col2 &gt; date '""&amp;TEXT(K$8,""yyyy-mm-dd"")&amp;""' and Col2 &lt;= date '""&amp;TEXT(J$8,""yyyy-mm-dd"")&amp;""' label sum(Col16) ''"",0)))"),"")</f>
        <v/>
      </c>
      <c r="K205" s="628" t="str">
        <f>IFERROR(__xludf.DUMMYFUNCTION("IF($G205="""","""",IFERROR(query({proventos!$B$5:$Q310},""Select sum(Col16) where Col1 = '""&amp;$G205&amp;""' and Col2 &gt; date '""&amp;TEXT(L$8,""yyyy-mm-dd"")&amp;""' and Col2 &lt;= date '""&amp;TEXT(K$8,""yyyy-mm-dd"")&amp;""' label sum(Col16) ''"",0)))"),"")</f>
        <v/>
      </c>
      <c r="L205" s="628" t="str">
        <f>IFERROR(__xludf.DUMMYFUNCTION("IF($G205="""","""",IFERROR(query({proventos!$B$5:$Q310},""Select sum(Col16) where Col1 = '""&amp;$G205&amp;""' and Col2 &gt; date '""&amp;TEXT(M$8,""yyyy-mm-dd"")&amp;""' and Col2 &lt;= date '""&amp;TEXT(L$8,""yyyy-mm-dd"")&amp;""' label sum(Col16) ''"",0)))"),"")</f>
        <v/>
      </c>
      <c r="M205" s="628" t="str">
        <f>IFERROR(__xludf.DUMMYFUNCTION("IF($G205="""","""",IFERROR(query({proventos!$B$5:$Q310},""Select sum(Col16) where Col1 = '""&amp;$G205&amp;""' and Col2 &gt; date '""&amp;TEXT(N$8,""yyyy-mm-dd"")&amp;""' and Col2 &lt;= date '""&amp;TEXT(M$8,""yyyy-mm-dd"")&amp;""' label sum(Col16) ''"",0)))"),"")</f>
        <v/>
      </c>
      <c r="N205" s="628" t="str">
        <f>IFERROR(__xludf.DUMMYFUNCTION("IF($G205="""","""",IFERROR(query({proventos!$B$5:$Q310},""Select sum(Col16) where Col1 = '""&amp;$G205&amp;""' and Col2 &gt; date '""&amp;TEXT(O$8,""yyyy-mm-dd"")&amp;""' and Col2 &lt;= date '""&amp;TEXT(N$8,""yyyy-mm-dd"")&amp;""' label sum(Col16) ''"",0)))"),"")</f>
        <v/>
      </c>
      <c r="O205" s="628" t="str">
        <f>IFERROR(__xludf.DUMMYFUNCTION("IF($G205="""","""",IFERROR(query({proventos!$B$5:$Q310},""Select sum(Col16) where Col1 = '""&amp;$G205&amp;""' and Col2 &gt; date '""&amp;TEXT(P$8,""yyyy-mm-dd"")&amp;""' and Col2 &lt;= date '""&amp;TEXT(O$8,""yyyy-mm-dd"")&amp;""' label sum(Col16) ''"",0)))"),"")</f>
        <v/>
      </c>
      <c r="P205" s="628" t="str">
        <f>IFERROR(__xludf.DUMMYFUNCTION("IF($G205="""","""",IFERROR(query({proventos!$B$5:$Q310},""Select sum(Col16) where Col1 = '""&amp;$G205&amp;""' and Col2 &gt; date '""&amp;TEXT(Q$8,""yyyy-mm-dd"")&amp;""' and Col2 &lt;= date '""&amp;TEXT(P$8,""yyyy-mm-dd"")&amp;""' label sum(Col16) ''"",0)))"),"")</f>
        <v/>
      </c>
      <c r="Q205" s="628" t="str">
        <f>IFERROR(__xludf.DUMMYFUNCTION("IF($G205="""","""",IFERROR(query({proventos!$B$5:$Q310},""Select sum(Col16) where Col1 = '""&amp;$G205&amp;""' and Col2 &gt; date '""&amp;TEXT(R$8,""yyyy-mm-dd"")&amp;""' and Col2 &lt;= date '""&amp;TEXT(Q$8,""yyyy-mm-dd"")&amp;""' label sum(Col16) ''"",0)))"),"")</f>
        <v/>
      </c>
      <c r="R205" s="628" t="str">
        <f>IFERROR(__xludf.DUMMYFUNCTION("IF($G205="""","""",IFERROR(query({proventos!$B$5:$Q310},""Select sum(Col16) where Col1 = '""&amp;$G205&amp;""' and Col2 &gt; date '""&amp;TEXT(S$8,""yyyy-mm-dd"")&amp;""' and Col2 &lt;= date '""&amp;TEXT(R$8,""yyyy-mm-dd"")&amp;""' label sum(Col16) ''"",0)))"),"")</f>
        <v/>
      </c>
      <c r="S205" s="628" t="str">
        <f>IFERROR(__xludf.DUMMYFUNCTION("IF($G205="""","""",IFERROR(query({proventos!$B$5:$Q310},""Select sum(Col16) where Col1 = '""&amp;$G205&amp;""' and Col2 &gt; date '""&amp;TEXT(T$8,""yyyy-mm-dd"")&amp;""' and Col2 &lt;= date '""&amp;TEXT(S$8,""yyyy-mm-dd"")&amp;""' label sum(Col16) ''"",0)))"),"")</f>
        <v/>
      </c>
      <c r="T205" s="628" t="str">
        <f>IFERROR(__xludf.DUMMYFUNCTION("IF($G205="""","""",IFERROR(query({proventos!$B$5:$Q310},""Select sum(Col16) where Col1 = '""&amp;$G205&amp;""' and Col2 &gt; date '""&amp;TEXT(U$8,""yyyy-mm-dd"")&amp;""' and Col2 &lt;= date '""&amp;TEXT(T$8,""yyyy-mm-dd"")&amp;""' label sum(Col16) ''"",0)))"),"")</f>
        <v/>
      </c>
      <c r="U205" s="629" t="str">
        <f>IFERROR(__xludf.DUMMYFUNCTION("IF($G205="""","""",IFERROR(query({proventos!$B$5:$Q310},""Select sum(Col16) where Col1 = '""&amp;$G205&amp;""' and Col2 &gt; date '""&amp;TEXT(EOMONTH(TODAY(),-13),""yyyy-mm-dd"")&amp;""' and Col2 &lt;= date '""&amp;TEXT(U$8,""yyyy-mm-dd"")&amp;""' label sum(Col16) ''"",0)))"),"")</f>
        <v/>
      </c>
      <c r="V205" s="630" t="str">
        <f>IFERROR(__xludf.DUMMYFUNCTION("IF($G205="""","""",IFERROR(query({proventos!$B$5:$Q310},""Select sum(Col16) where Col1 = '""&amp;$G205&amp;""' and Col2 &gt; date '""&amp;TEXT(DATE(V$8,1,1),""yyyy-mm-dd"")&amp;""' and Col2 &lt;= date '""&amp;TEXT(DATE(V$8,12,31),""yyyy-mm-dd"")&amp;""' label sum(Col16) ''"",0)))"),"")</f>
        <v/>
      </c>
      <c r="W205" s="630" t="str">
        <f>IFERROR(__xludf.DUMMYFUNCTION("IF($G205="""","""",IFERROR(query({proventos!$B$5:$Q310},""Select sum(Col16) where Col1 = '""&amp;$G205&amp;""' and Col2 &gt; date '""&amp;TEXT(DATE(W$8,1,1),""yyyy-mm-dd"")&amp;""' and Col2 &lt;= date '""&amp;TEXT(DATE(W$8,12,31),""yyyy-mm-dd"")&amp;""' label sum(Col16) ''"",0)))"),"")</f>
        <v/>
      </c>
      <c r="X205" s="630" t="str">
        <f>IFERROR(__xludf.DUMMYFUNCTION("IF($G205="""","""",IFERROR(query({proventos!$B$5:$Q310},""Select sum(Col16) where Col1 = '""&amp;$G205&amp;""' and Col2 &gt; date '""&amp;TEXT(DATE(X$8,1,1),""yyyy-mm-dd"")&amp;""' and Col2 &lt;= date '""&amp;TEXT(DATE(X$8,12,31),""yyyy-mm-dd"")&amp;""' label sum(Col16) ''"",0)))"),"")</f>
        <v/>
      </c>
      <c r="Y205" s="630" t="str">
        <f>IFERROR(__xludf.DUMMYFUNCTION("IF($G205="""","""",IFERROR(query({proventos!$B$5:$Q310},""Select sum(Col16) where Col1 = '""&amp;$G205&amp;""' and Col2 &gt; date '""&amp;TEXT(DATE(Y$8,1,1),""yyyy-mm-dd"")&amp;""' and Col2 &lt;= date '""&amp;TEXT(DATE(Y$8,12,31),""yyyy-mm-dd"")&amp;""' label sum(Col16) ''"",0)))"),"")</f>
        <v/>
      </c>
      <c r="Z205" s="630" t="str">
        <f>IFERROR(__xludf.DUMMYFUNCTION("IF($G205="""","""",IFERROR(query({proventos!$B$5:$Q310},""Select sum(Col16) where Col1 = '""&amp;$G205&amp;""' and Col2 &gt; date '""&amp;TEXT(DATE(Z$8,1,1),""yyyy-mm-dd"")&amp;""' and Col2 &lt;= date '""&amp;TEXT(DATE(Z$8,12,31),""yyyy-mm-dd"")&amp;""' label sum(Col16) ''"",0)))"),"")</f>
        <v/>
      </c>
      <c r="AA205" s="587"/>
      <c r="AB205" s="578" t="s">
        <v>123</v>
      </c>
      <c r="AC205" s="601"/>
      <c r="AD205" s="636"/>
      <c r="AE205" s="636"/>
    </row>
    <row r="206">
      <c r="A206" s="576"/>
      <c r="B206" s="620"/>
      <c r="C206" s="637"/>
      <c r="D206" s="633"/>
      <c r="E206" s="633"/>
      <c r="F206" s="624">
        <v>196.0</v>
      </c>
      <c r="G206" s="635"/>
      <c r="H206" s="626" t="str">
        <f>if(G206="","",IFERROR(VLOOKUP(G206,AtivosDados,MATCH("provento_avg",portfolio.!$A$3:AE$3,0),FALSE),""))</f>
        <v/>
      </c>
      <c r="I206" s="627" t="s">
        <v>123</v>
      </c>
      <c r="J206" s="628" t="str">
        <f>IFERROR(__xludf.DUMMYFUNCTION("IF($G206="""","""",IFERROR(query({proventos!$B$5:$Q310},""Select sum(Col16) where Col1 = '""&amp;$G206&amp;""' and Col2 &gt; date '""&amp;TEXT(K$8,""yyyy-mm-dd"")&amp;""' and Col2 &lt;= date '""&amp;TEXT(J$8,""yyyy-mm-dd"")&amp;""' label sum(Col16) ''"",0)))"),"")</f>
        <v/>
      </c>
      <c r="K206" s="628" t="str">
        <f>IFERROR(__xludf.DUMMYFUNCTION("IF($G206="""","""",IFERROR(query({proventos!$B$5:$Q310},""Select sum(Col16) where Col1 = '""&amp;$G206&amp;""' and Col2 &gt; date '""&amp;TEXT(L$8,""yyyy-mm-dd"")&amp;""' and Col2 &lt;= date '""&amp;TEXT(K$8,""yyyy-mm-dd"")&amp;""' label sum(Col16) ''"",0)))"),"")</f>
        <v/>
      </c>
      <c r="L206" s="628" t="str">
        <f>IFERROR(__xludf.DUMMYFUNCTION("IF($G206="""","""",IFERROR(query({proventos!$B$5:$Q310},""Select sum(Col16) where Col1 = '""&amp;$G206&amp;""' and Col2 &gt; date '""&amp;TEXT(M$8,""yyyy-mm-dd"")&amp;""' and Col2 &lt;= date '""&amp;TEXT(L$8,""yyyy-mm-dd"")&amp;""' label sum(Col16) ''"",0)))"),"")</f>
        <v/>
      </c>
      <c r="M206" s="628" t="str">
        <f>IFERROR(__xludf.DUMMYFUNCTION("IF($G206="""","""",IFERROR(query({proventos!$B$5:$Q310},""Select sum(Col16) where Col1 = '""&amp;$G206&amp;""' and Col2 &gt; date '""&amp;TEXT(N$8,""yyyy-mm-dd"")&amp;""' and Col2 &lt;= date '""&amp;TEXT(M$8,""yyyy-mm-dd"")&amp;""' label sum(Col16) ''"",0)))"),"")</f>
        <v/>
      </c>
      <c r="N206" s="628" t="str">
        <f>IFERROR(__xludf.DUMMYFUNCTION("IF($G206="""","""",IFERROR(query({proventos!$B$5:$Q310},""Select sum(Col16) where Col1 = '""&amp;$G206&amp;""' and Col2 &gt; date '""&amp;TEXT(O$8,""yyyy-mm-dd"")&amp;""' and Col2 &lt;= date '""&amp;TEXT(N$8,""yyyy-mm-dd"")&amp;""' label sum(Col16) ''"",0)))"),"")</f>
        <v/>
      </c>
      <c r="O206" s="628" t="str">
        <f>IFERROR(__xludf.DUMMYFUNCTION("IF($G206="""","""",IFERROR(query({proventos!$B$5:$Q310},""Select sum(Col16) where Col1 = '""&amp;$G206&amp;""' and Col2 &gt; date '""&amp;TEXT(P$8,""yyyy-mm-dd"")&amp;""' and Col2 &lt;= date '""&amp;TEXT(O$8,""yyyy-mm-dd"")&amp;""' label sum(Col16) ''"",0)))"),"")</f>
        <v/>
      </c>
      <c r="P206" s="628" t="str">
        <f>IFERROR(__xludf.DUMMYFUNCTION("IF($G206="""","""",IFERROR(query({proventos!$B$5:$Q310},""Select sum(Col16) where Col1 = '""&amp;$G206&amp;""' and Col2 &gt; date '""&amp;TEXT(Q$8,""yyyy-mm-dd"")&amp;""' and Col2 &lt;= date '""&amp;TEXT(P$8,""yyyy-mm-dd"")&amp;""' label sum(Col16) ''"",0)))"),"")</f>
        <v/>
      </c>
      <c r="Q206" s="628" t="str">
        <f>IFERROR(__xludf.DUMMYFUNCTION("IF($G206="""","""",IFERROR(query({proventos!$B$5:$Q310},""Select sum(Col16) where Col1 = '""&amp;$G206&amp;""' and Col2 &gt; date '""&amp;TEXT(R$8,""yyyy-mm-dd"")&amp;""' and Col2 &lt;= date '""&amp;TEXT(Q$8,""yyyy-mm-dd"")&amp;""' label sum(Col16) ''"",0)))"),"")</f>
        <v/>
      </c>
      <c r="R206" s="628" t="str">
        <f>IFERROR(__xludf.DUMMYFUNCTION("IF($G206="""","""",IFERROR(query({proventos!$B$5:$Q310},""Select sum(Col16) where Col1 = '""&amp;$G206&amp;""' and Col2 &gt; date '""&amp;TEXT(S$8,""yyyy-mm-dd"")&amp;""' and Col2 &lt;= date '""&amp;TEXT(R$8,""yyyy-mm-dd"")&amp;""' label sum(Col16) ''"",0)))"),"")</f>
        <v/>
      </c>
      <c r="S206" s="628" t="str">
        <f>IFERROR(__xludf.DUMMYFUNCTION("IF($G206="""","""",IFERROR(query({proventos!$B$5:$Q310},""Select sum(Col16) where Col1 = '""&amp;$G206&amp;""' and Col2 &gt; date '""&amp;TEXT(T$8,""yyyy-mm-dd"")&amp;""' and Col2 &lt;= date '""&amp;TEXT(S$8,""yyyy-mm-dd"")&amp;""' label sum(Col16) ''"",0)))"),"")</f>
        <v/>
      </c>
      <c r="T206" s="628" t="str">
        <f>IFERROR(__xludf.DUMMYFUNCTION("IF($G206="""","""",IFERROR(query({proventos!$B$5:$Q310},""Select sum(Col16) where Col1 = '""&amp;$G206&amp;""' and Col2 &gt; date '""&amp;TEXT(U$8,""yyyy-mm-dd"")&amp;""' and Col2 &lt;= date '""&amp;TEXT(T$8,""yyyy-mm-dd"")&amp;""' label sum(Col16) ''"",0)))"),"")</f>
        <v/>
      </c>
      <c r="U206" s="629" t="str">
        <f>IFERROR(__xludf.DUMMYFUNCTION("IF($G206="""","""",IFERROR(query({proventos!$B$5:$Q310},""Select sum(Col16) where Col1 = '""&amp;$G206&amp;""' and Col2 &gt; date '""&amp;TEXT(EOMONTH(TODAY(),-13),""yyyy-mm-dd"")&amp;""' and Col2 &lt;= date '""&amp;TEXT(U$8,""yyyy-mm-dd"")&amp;""' label sum(Col16) ''"",0)))"),"")</f>
        <v/>
      </c>
      <c r="V206" s="630" t="str">
        <f>IFERROR(__xludf.DUMMYFUNCTION("IF($G206="""","""",IFERROR(query({proventos!$B$5:$Q310},""Select sum(Col16) where Col1 = '""&amp;$G206&amp;""' and Col2 &gt; date '""&amp;TEXT(DATE(V$8,1,1),""yyyy-mm-dd"")&amp;""' and Col2 &lt;= date '""&amp;TEXT(DATE(V$8,12,31),""yyyy-mm-dd"")&amp;""' label sum(Col16) ''"",0)))"),"")</f>
        <v/>
      </c>
      <c r="W206" s="630" t="str">
        <f>IFERROR(__xludf.DUMMYFUNCTION("IF($G206="""","""",IFERROR(query({proventos!$B$5:$Q310},""Select sum(Col16) where Col1 = '""&amp;$G206&amp;""' and Col2 &gt; date '""&amp;TEXT(DATE(W$8,1,1),""yyyy-mm-dd"")&amp;""' and Col2 &lt;= date '""&amp;TEXT(DATE(W$8,12,31),""yyyy-mm-dd"")&amp;""' label sum(Col16) ''"",0)))"),"")</f>
        <v/>
      </c>
      <c r="X206" s="630" t="str">
        <f>IFERROR(__xludf.DUMMYFUNCTION("IF($G206="""","""",IFERROR(query({proventos!$B$5:$Q310},""Select sum(Col16) where Col1 = '""&amp;$G206&amp;""' and Col2 &gt; date '""&amp;TEXT(DATE(X$8,1,1),""yyyy-mm-dd"")&amp;""' and Col2 &lt;= date '""&amp;TEXT(DATE(X$8,12,31),""yyyy-mm-dd"")&amp;""' label sum(Col16) ''"",0)))"),"")</f>
        <v/>
      </c>
      <c r="Y206" s="630" t="str">
        <f>IFERROR(__xludf.DUMMYFUNCTION("IF($G206="""","""",IFERROR(query({proventos!$B$5:$Q310},""Select sum(Col16) where Col1 = '""&amp;$G206&amp;""' and Col2 &gt; date '""&amp;TEXT(DATE(Y$8,1,1),""yyyy-mm-dd"")&amp;""' and Col2 &lt;= date '""&amp;TEXT(DATE(Y$8,12,31),""yyyy-mm-dd"")&amp;""' label sum(Col16) ''"",0)))"),"")</f>
        <v/>
      </c>
      <c r="Z206" s="630" t="str">
        <f>IFERROR(__xludf.DUMMYFUNCTION("IF($G206="""","""",IFERROR(query({proventos!$B$5:$Q310},""Select sum(Col16) where Col1 = '""&amp;$G206&amp;""' and Col2 &gt; date '""&amp;TEXT(DATE(Z$8,1,1),""yyyy-mm-dd"")&amp;""' and Col2 &lt;= date '""&amp;TEXT(DATE(Z$8,12,31),""yyyy-mm-dd"")&amp;""' label sum(Col16) ''"",0)))"),"")</f>
        <v/>
      </c>
      <c r="AA206" s="587"/>
      <c r="AB206" s="578" t="s">
        <v>123</v>
      </c>
      <c r="AC206" s="601"/>
      <c r="AD206" s="636"/>
      <c r="AE206" s="636"/>
    </row>
    <row r="207">
      <c r="A207" s="576"/>
      <c r="B207" s="620"/>
      <c r="C207" s="637"/>
      <c r="D207" s="633"/>
      <c r="E207" s="633"/>
      <c r="F207" s="624">
        <v>197.0</v>
      </c>
      <c r="G207" s="635"/>
      <c r="H207" s="626" t="str">
        <f>if(G207="","",IFERROR(VLOOKUP(G207,AtivosDados,MATCH("provento_avg",portfolio.!$A$3:AE$3,0),FALSE),""))</f>
        <v/>
      </c>
      <c r="I207" s="627" t="s">
        <v>123</v>
      </c>
      <c r="J207" s="628" t="str">
        <f>IFERROR(__xludf.DUMMYFUNCTION("IF($G207="""","""",IFERROR(query({proventos!$B$5:$Q310},""Select sum(Col16) where Col1 = '""&amp;$G207&amp;""' and Col2 &gt; date '""&amp;TEXT(K$8,""yyyy-mm-dd"")&amp;""' and Col2 &lt;= date '""&amp;TEXT(J$8,""yyyy-mm-dd"")&amp;""' label sum(Col16) ''"",0)))"),"")</f>
        <v/>
      </c>
      <c r="K207" s="628" t="str">
        <f>IFERROR(__xludf.DUMMYFUNCTION("IF($G207="""","""",IFERROR(query({proventos!$B$5:$Q310},""Select sum(Col16) where Col1 = '""&amp;$G207&amp;""' and Col2 &gt; date '""&amp;TEXT(L$8,""yyyy-mm-dd"")&amp;""' and Col2 &lt;= date '""&amp;TEXT(K$8,""yyyy-mm-dd"")&amp;""' label sum(Col16) ''"",0)))"),"")</f>
        <v/>
      </c>
      <c r="L207" s="628" t="str">
        <f>IFERROR(__xludf.DUMMYFUNCTION("IF($G207="""","""",IFERROR(query({proventos!$B$5:$Q310},""Select sum(Col16) where Col1 = '""&amp;$G207&amp;""' and Col2 &gt; date '""&amp;TEXT(M$8,""yyyy-mm-dd"")&amp;""' and Col2 &lt;= date '""&amp;TEXT(L$8,""yyyy-mm-dd"")&amp;""' label sum(Col16) ''"",0)))"),"")</f>
        <v/>
      </c>
      <c r="M207" s="628" t="str">
        <f>IFERROR(__xludf.DUMMYFUNCTION("IF($G207="""","""",IFERROR(query({proventos!$B$5:$Q310},""Select sum(Col16) where Col1 = '""&amp;$G207&amp;""' and Col2 &gt; date '""&amp;TEXT(N$8,""yyyy-mm-dd"")&amp;""' and Col2 &lt;= date '""&amp;TEXT(M$8,""yyyy-mm-dd"")&amp;""' label sum(Col16) ''"",0)))"),"")</f>
        <v/>
      </c>
      <c r="N207" s="628" t="str">
        <f>IFERROR(__xludf.DUMMYFUNCTION("IF($G207="""","""",IFERROR(query({proventos!$B$5:$Q310},""Select sum(Col16) where Col1 = '""&amp;$G207&amp;""' and Col2 &gt; date '""&amp;TEXT(O$8,""yyyy-mm-dd"")&amp;""' and Col2 &lt;= date '""&amp;TEXT(N$8,""yyyy-mm-dd"")&amp;""' label sum(Col16) ''"",0)))"),"")</f>
        <v/>
      </c>
      <c r="O207" s="628" t="str">
        <f>IFERROR(__xludf.DUMMYFUNCTION("IF($G207="""","""",IFERROR(query({proventos!$B$5:$Q310},""Select sum(Col16) where Col1 = '""&amp;$G207&amp;""' and Col2 &gt; date '""&amp;TEXT(P$8,""yyyy-mm-dd"")&amp;""' and Col2 &lt;= date '""&amp;TEXT(O$8,""yyyy-mm-dd"")&amp;""' label sum(Col16) ''"",0)))"),"")</f>
        <v/>
      </c>
      <c r="P207" s="628" t="str">
        <f>IFERROR(__xludf.DUMMYFUNCTION("IF($G207="""","""",IFERROR(query({proventos!$B$5:$Q310},""Select sum(Col16) where Col1 = '""&amp;$G207&amp;""' and Col2 &gt; date '""&amp;TEXT(Q$8,""yyyy-mm-dd"")&amp;""' and Col2 &lt;= date '""&amp;TEXT(P$8,""yyyy-mm-dd"")&amp;""' label sum(Col16) ''"",0)))"),"")</f>
        <v/>
      </c>
      <c r="Q207" s="628" t="str">
        <f>IFERROR(__xludf.DUMMYFUNCTION("IF($G207="""","""",IFERROR(query({proventos!$B$5:$Q310},""Select sum(Col16) where Col1 = '""&amp;$G207&amp;""' and Col2 &gt; date '""&amp;TEXT(R$8,""yyyy-mm-dd"")&amp;""' and Col2 &lt;= date '""&amp;TEXT(Q$8,""yyyy-mm-dd"")&amp;""' label sum(Col16) ''"",0)))"),"")</f>
        <v/>
      </c>
      <c r="R207" s="628" t="str">
        <f>IFERROR(__xludf.DUMMYFUNCTION("IF($G207="""","""",IFERROR(query({proventos!$B$5:$Q310},""Select sum(Col16) where Col1 = '""&amp;$G207&amp;""' and Col2 &gt; date '""&amp;TEXT(S$8,""yyyy-mm-dd"")&amp;""' and Col2 &lt;= date '""&amp;TEXT(R$8,""yyyy-mm-dd"")&amp;""' label sum(Col16) ''"",0)))"),"")</f>
        <v/>
      </c>
      <c r="S207" s="628" t="str">
        <f>IFERROR(__xludf.DUMMYFUNCTION("IF($G207="""","""",IFERROR(query({proventos!$B$5:$Q310},""Select sum(Col16) where Col1 = '""&amp;$G207&amp;""' and Col2 &gt; date '""&amp;TEXT(T$8,""yyyy-mm-dd"")&amp;""' and Col2 &lt;= date '""&amp;TEXT(S$8,""yyyy-mm-dd"")&amp;""' label sum(Col16) ''"",0)))"),"")</f>
        <v/>
      </c>
      <c r="T207" s="628" t="str">
        <f>IFERROR(__xludf.DUMMYFUNCTION("IF($G207="""","""",IFERROR(query({proventos!$B$5:$Q310},""Select sum(Col16) where Col1 = '""&amp;$G207&amp;""' and Col2 &gt; date '""&amp;TEXT(U$8,""yyyy-mm-dd"")&amp;""' and Col2 &lt;= date '""&amp;TEXT(T$8,""yyyy-mm-dd"")&amp;""' label sum(Col16) ''"",0)))"),"")</f>
        <v/>
      </c>
      <c r="U207" s="629" t="str">
        <f>IFERROR(__xludf.DUMMYFUNCTION("IF($G207="""","""",IFERROR(query({proventos!$B$5:$Q310},""Select sum(Col16) where Col1 = '""&amp;$G207&amp;""' and Col2 &gt; date '""&amp;TEXT(EOMONTH(TODAY(),-13),""yyyy-mm-dd"")&amp;""' and Col2 &lt;= date '""&amp;TEXT(U$8,""yyyy-mm-dd"")&amp;""' label sum(Col16) ''"",0)))"),"")</f>
        <v/>
      </c>
      <c r="V207" s="630" t="str">
        <f>IFERROR(__xludf.DUMMYFUNCTION("IF($G207="""","""",IFERROR(query({proventos!$B$5:$Q310},""Select sum(Col16) where Col1 = '""&amp;$G207&amp;""' and Col2 &gt; date '""&amp;TEXT(DATE(V$8,1,1),""yyyy-mm-dd"")&amp;""' and Col2 &lt;= date '""&amp;TEXT(DATE(V$8,12,31),""yyyy-mm-dd"")&amp;""' label sum(Col16) ''"",0)))"),"")</f>
        <v/>
      </c>
      <c r="W207" s="630" t="str">
        <f>IFERROR(__xludf.DUMMYFUNCTION("IF($G207="""","""",IFERROR(query({proventos!$B$5:$Q310},""Select sum(Col16) where Col1 = '""&amp;$G207&amp;""' and Col2 &gt; date '""&amp;TEXT(DATE(W$8,1,1),""yyyy-mm-dd"")&amp;""' and Col2 &lt;= date '""&amp;TEXT(DATE(W$8,12,31),""yyyy-mm-dd"")&amp;""' label sum(Col16) ''"",0)))"),"")</f>
        <v/>
      </c>
      <c r="X207" s="630" t="str">
        <f>IFERROR(__xludf.DUMMYFUNCTION("IF($G207="""","""",IFERROR(query({proventos!$B$5:$Q310},""Select sum(Col16) where Col1 = '""&amp;$G207&amp;""' and Col2 &gt; date '""&amp;TEXT(DATE(X$8,1,1),""yyyy-mm-dd"")&amp;""' and Col2 &lt;= date '""&amp;TEXT(DATE(X$8,12,31),""yyyy-mm-dd"")&amp;""' label sum(Col16) ''"",0)))"),"")</f>
        <v/>
      </c>
      <c r="Y207" s="630" t="str">
        <f>IFERROR(__xludf.DUMMYFUNCTION("IF($G207="""","""",IFERROR(query({proventos!$B$5:$Q310},""Select sum(Col16) where Col1 = '""&amp;$G207&amp;""' and Col2 &gt; date '""&amp;TEXT(DATE(Y$8,1,1),""yyyy-mm-dd"")&amp;""' and Col2 &lt;= date '""&amp;TEXT(DATE(Y$8,12,31),""yyyy-mm-dd"")&amp;""' label sum(Col16) ''"",0)))"),"")</f>
        <v/>
      </c>
      <c r="Z207" s="630" t="str">
        <f>IFERROR(__xludf.DUMMYFUNCTION("IF($G207="""","""",IFERROR(query({proventos!$B$5:$Q310},""Select sum(Col16) where Col1 = '""&amp;$G207&amp;""' and Col2 &gt; date '""&amp;TEXT(DATE(Z$8,1,1),""yyyy-mm-dd"")&amp;""' and Col2 &lt;= date '""&amp;TEXT(DATE(Z$8,12,31),""yyyy-mm-dd"")&amp;""' label sum(Col16) ''"",0)))"),"")</f>
        <v/>
      </c>
      <c r="AA207" s="587"/>
      <c r="AB207" s="578" t="s">
        <v>123</v>
      </c>
      <c r="AC207" s="601"/>
      <c r="AD207" s="636"/>
      <c r="AE207" s="636"/>
    </row>
    <row r="208">
      <c r="A208" s="576"/>
      <c r="B208" s="620"/>
      <c r="C208" s="637"/>
      <c r="D208" s="633"/>
      <c r="E208" s="633"/>
      <c r="F208" s="624">
        <v>198.0</v>
      </c>
      <c r="G208" s="635"/>
      <c r="H208" s="626" t="str">
        <f>if(G208="","",IFERROR(VLOOKUP(G208,AtivosDados,MATCH("provento_avg",portfolio.!$A$3:AE$3,0),FALSE),""))</f>
        <v/>
      </c>
      <c r="I208" s="627" t="s">
        <v>123</v>
      </c>
      <c r="J208" s="628" t="str">
        <f>IFERROR(__xludf.DUMMYFUNCTION("IF($G208="""","""",IFERROR(query({proventos!$B$5:$Q310},""Select sum(Col16) where Col1 = '""&amp;$G208&amp;""' and Col2 &gt; date '""&amp;TEXT(K$8,""yyyy-mm-dd"")&amp;""' and Col2 &lt;= date '""&amp;TEXT(J$8,""yyyy-mm-dd"")&amp;""' label sum(Col16) ''"",0)))"),"")</f>
        <v/>
      </c>
      <c r="K208" s="628" t="str">
        <f>IFERROR(__xludf.DUMMYFUNCTION("IF($G208="""","""",IFERROR(query({proventos!$B$5:$Q310},""Select sum(Col16) where Col1 = '""&amp;$G208&amp;""' and Col2 &gt; date '""&amp;TEXT(L$8,""yyyy-mm-dd"")&amp;""' and Col2 &lt;= date '""&amp;TEXT(K$8,""yyyy-mm-dd"")&amp;""' label sum(Col16) ''"",0)))"),"")</f>
        <v/>
      </c>
      <c r="L208" s="628" t="str">
        <f>IFERROR(__xludf.DUMMYFUNCTION("IF($G208="""","""",IFERROR(query({proventos!$B$5:$Q310},""Select sum(Col16) where Col1 = '""&amp;$G208&amp;""' and Col2 &gt; date '""&amp;TEXT(M$8,""yyyy-mm-dd"")&amp;""' and Col2 &lt;= date '""&amp;TEXT(L$8,""yyyy-mm-dd"")&amp;""' label sum(Col16) ''"",0)))"),"")</f>
        <v/>
      </c>
      <c r="M208" s="628" t="str">
        <f>IFERROR(__xludf.DUMMYFUNCTION("IF($G208="""","""",IFERROR(query({proventos!$B$5:$Q310},""Select sum(Col16) where Col1 = '""&amp;$G208&amp;""' and Col2 &gt; date '""&amp;TEXT(N$8,""yyyy-mm-dd"")&amp;""' and Col2 &lt;= date '""&amp;TEXT(M$8,""yyyy-mm-dd"")&amp;""' label sum(Col16) ''"",0)))"),"")</f>
        <v/>
      </c>
      <c r="N208" s="628" t="str">
        <f>IFERROR(__xludf.DUMMYFUNCTION("IF($G208="""","""",IFERROR(query({proventos!$B$5:$Q310},""Select sum(Col16) where Col1 = '""&amp;$G208&amp;""' and Col2 &gt; date '""&amp;TEXT(O$8,""yyyy-mm-dd"")&amp;""' and Col2 &lt;= date '""&amp;TEXT(N$8,""yyyy-mm-dd"")&amp;""' label sum(Col16) ''"",0)))"),"")</f>
        <v/>
      </c>
      <c r="O208" s="628" t="str">
        <f>IFERROR(__xludf.DUMMYFUNCTION("IF($G208="""","""",IFERROR(query({proventos!$B$5:$Q310},""Select sum(Col16) where Col1 = '""&amp;$G208&amp;""' and Col2 &gt; date '""&amp;TEXT(P$8,""yyyy-mm-dd"")&amp;""' and Col2 &lt;= date '""&amp;TEXT(O$8,""yyyy-mm-dd"")&amp;""' label sum(Col16) ''"",0)))"),"")</f>
        <v/>
      </c>
      <c r="P208" s="628" t="str">
        <f>IFERROR(__xludf.DUMMYFUNCTION("IF($G208="""","""",IFERROR(query({proventos!$B$5:$Q310},""Select sum(Col16) where Col1 = '""&amp;$G208&amp;""' and Col2 &gt; date '""&amp;TEXT(Q$8,""yyyy-mm-dd"")&amp;""' and Col2 &lt;= date '""&amp;TEXT(P$8,""yyyy-mm-dd"")&amp;""' label sum(Col16) ''"",0)))"),"")</f>
        <v/>
      </c>
      <c r="Q208" s="628" t="str">
        <f>IFERROR(__xludf.DUMMYFUNCTION("IF($G208="""","""",IFERROR(query({proventos!$B$5:$Q310},""Select sum(Col16) where Col1 = '""&amp;$G208&amp;""' and Col2 &gt; date '""&amp;TEXT(R$8,""yyyy-mm-dd"")&amp;""' and Col2 &lt;= date '""&amp;TEXT(Q$8,""yyyy-mm-dd"")&amp;""' label sum(Col16) ''"",0)))"),"")</f>
        <v/>
      </c>
      <c r="R208" s="628" t="str">
        <f>IFERROR(__xludf.DUMMYFUNCTION("IF($G208="""","""",IFERROR(query({proventos!$B$5:$Q310},""Select sum(Col16) where Col1 = '""&amp;$G208&amp;""' and Col2 &gt; date '""&amp;TEXT(S$8,""yyyy-mm-dd"")&amp;""' and Col2 &lt;= date '""&amp;TEXT(R$8,""yyyy-mm-dd"")&amp;""' label sum(Col16) ''"",0)))"),"")</f>
        <v/>
      </c>
      <c r="S208" s="628" t="str">
        <f>IFERROR(__xludf.DUMMYFUNCTION("IF($G208="""","""",IFERROR(query({proventos!$B$5:$Q310},""Select sum(Col16) where Col1 = '""&amp;$G208&amp;""' and Col2 &gt; date '""&amp;TEXT(T$8,""yyyy-mm-dd"")&amp;""' and Col2 &lt;= date '""&amp;TEXT(S$8,""yyyy-mm-dd"")&amp;""' label sum(Col16) ''"",0)))"),"")</f>
        <v/>
      </c>
      <c r="T208" s="628" t="str">
        <f>IFERROR(__xludf.DUMMYFUNCTION("IF($G208="""","""",IFERROR(query({proventos!$B$5:$Q310},""Select sum(Col16) where Col1 = '""&amp;$G208&amp;""' and Col2 &gt; date '""&amp;TEXT(U$8,""yyyy-mm-dd"")&amp;""' and Col2 &lt;= date '""&amp;TEXT(T$8,""yyyy-mm-dd"")&amp;""' label sum(Col16) ''"",0)))"),"")</f>
        <v/>
      </c>
      <c r="U208" s="629" t="str">
        <f>IFERROR(__xludf.DUMMYFUNCTION("IF($G208="""","""",IFERROR(query({proventos!$B$5:$Q310},""Select sum(Col16) where Col1 = '""&amp;$G208&amp;""' and Col2 &gt; date '""&amp;TEXT(EOMONTH(TODAY(),-13),""yyyy-mm-dd"")&amp;""' and Col2 &lt;= date '""&amp;TEXT(U$8,""yyyy-mm-dd"")&amp;""' label sum(Col16) ''"",0)))"),"")</f>
        <v/>
      </c>
      <c r="V208" s="630" t="str">
        <f>IFERROR(__xludf.DUMMYFUNCTION("IF($G208="""","""",IFERROR(query({proventos!$B$5:$Q310},""Select sum(Col16) where Col1 = '""&amp;$G208&amp;""' and Col2 &gt; date '""&amp;TEXT(DATE(V$8,1,1),""yyyy-mm-dd"")&amp;""' and Col2 &lt;= date '""&amp;TEXT(DATE(V$8,12,31),""yyyy-mm-dd"")&amp;""' label sum(Col16) ''"",0)))"),"")</f>
        <v/>
      </c>
      <c r="W208" s="630" t="str">
        <f>IFERROR(__xludf.DUMMYFUNCTION("IF($G208="""","""",IFERROR(query({proventos!$B$5:$Q310},""Select sum(Col16) where Col1 = '""&amp;$G208&amp;""' and Col2 &gt; date '""&amp;TEXT(DATE(W$8,1,1),""yyyy-mm-dd"")&amp;""' and Col2 &lt;= date '""&amp;TEXT(DATE(W$8,12,31),""yyyy-mm-dd"")&amp;""' label sum(Col16) ''"",0)))"),"")</f>
        <v/>
      </c>
      <c r="X208" s="630" t="str">
        <f>IFERROR(__xludf.DUMMYFUNCTION("IF($G208="""","""",IFERROR(query({proventos!$B$5:$Q310},""Select sum(Col16) where Col1 = '""&amp;$G208&amp;""' and Col2 &gt; date '""&amp;TEXT(DATE(X$8,1,1),""yyyy-mm-dd"")&amp;""' and Col2 &lt;= date '""&amp;TEXT(DATE(X$8,12,31),""yyyy-mm-dd"")&amp;""' label sum(Col16) ''"",0)))"),"")</f>
        <v/>
      </c>
      <c r="Y208" s="630" t="str">
        <f>IFERROR(__xludf.DUMMYFUNCTION("IF($G208="""","""",IFERROR(query({proventos!$B$5:$Q310},""Select sum(Col16) where Col1 = '""&amp;$G208&amp;""' and Col2 &gt; date '""&amp;TEXT(DATE(Y$8,1,1),""yyyy-mm-dd"")&amp;""' and Col2 &lt;= date '""&amp;TEXT(DATE(Y$8,12,31),""yyyy-mm-dd"")&amp;""' label sum(Col16) ''"",0)))"),"")</f>
        <v/>
      </c>
      <c r="Z208" s="630" t="str">
        <f>IFERROR(__xludf.DUMMYFUNCTION("IF($G208="""","""",IFERROR(query({proventos!$B$5:$Q310},""Select sum(Col16) where Col1 = '""&amp;$G208&amp;""' and Col2 &gt; date '""&amp;TEXT(DATE(Z$8,1,1),""yyyy-mm-dd"")&amp;""' and Col2 &lt;= date '""&amp;TEXT(DATE(Z$8,12,31),""yyyy-mm-dd"")&amp;""' label sum(Col16) ''"",0)))"),"")</f>
        <v/>
      </c>
      <c r="AA208" s="587"/>
      <c r="AB208" s="578" t="s">
        <v>123</v>
      </c>
      <c r="AC208" s="601"/>
      <c r="AD208" s="636"/>
      <c r="AE208" s="636"/>
    </row>
    <row r="209">
      <c r="A209" s="576"/>
      <c r="B209" s="620"/>
      <c r="C209" s="637"/>
      <c r="D209" s="633"/>
      <c r="E209" s="633"/>
      <c r="F209" s="624">
        <v>199.0</v>
      </c>
      <c r="G209" s="635"/>
      <c r="H209" s="626" t="str">
        <f>if(G209="","",IFERROR(VLOOKUP(G209,AtivosDados,MATCH("provento_avg",portfolio.!$A$3:AE$3,0),FALSE),""))</f>
        <v/>
      </c>
      <c r="I209" s="627" t="s">
        <v>123</v>
      </c>
      <c r="J209" s="628" t="str">
        <f>IFERROR(__xludf.DUMMYFUNCTION("IF($G209="""","""",IFERROR(query({proventos!$B$5:$Q310},""Select sum(Col16) where Col1 = '""&amp;$G209&amp;""' and Col2 &gt; date '""&amp;TEXT(K$8,""yyyy-mm-dd"")&amp;""' and Col2 &lt;= date '""&amp;TEXT(J$8,""yyyy-mm-dd"")&amp;""' label sum(Col16) ''"",0)))"),"")</f>
        <v/>
      </c>
      <c r="K209" s="628" t="str">
        <f>IFERROR(__xludf.DUMMYFUNCTION("IF($G209="""","""",IFERROR(query({proventos!$B$5:$Q310},""Select sum(Col16) where Col1 = '""&amp;$G209&amp;""' and Col2 &gt; date '""&amp;TEXT(L$8,""yyyy-mm-dd"")&amp;""' and Col2 &lt;= date '""&amp;TEXT(K$8,""yyyy-mm-dd"")&amp;""' label sum(Col16) ''"",0)))"),"")</f>
        <v/>
      </c>
      <c r="L209" s="628" t="str">
        <f>IFERROR(__xludf.DUMMYFUNCTION("IF($G209="""","""",IFERROR(query({proventos!$B$5:$Q310},""Select sum(Col16) where Col1 = '""&amp;$G209&amp;""' and Col2 &gt; date '""&amp;TEXT(M$8,""yyyy-mm-dd"")&amp;""' and Col2 &lt;= date '""&amp;TEXT(L$8,""yyyy-mm-dd"")&amp;""' label sum(Col16) ''"",0)))"),"")</f>
        <v/>
      </c>
      <c r="M209" s="628" t="str">
        <f>IFERROR(__xludf.DUMMYFUNCTION("IF($G209="""","""",IFERROR(query({proventos!$B$5:$Q310},""Select sum(Col16) where Col1 = '""&amp;$G209&amp;""' and Col2 &gt; date '""&amp;TEXT(N$8,""yyyy-mm-dd"")&amp;""' and Col2 &lt;= date '""&amp;TEXT(M$8,""yyyy-mm-dd"")&amp;""' label sum(Col16) ''"",0)))"),"")</f>
        <v/>
      </c>
      <c r="N209" s="628" t="str">
        <f>IFERROR(__xludf.DUMMYFUNCTION("IF($G209="""","""",IFERROR(query({proventos!$B$5:$Q310},""Select sum(Col16) where Col1 = '""&amp;$G209&amp;""' and Col2 &gt; date '""&amp;TEXT(O$8,""yyyy-mm-dd"")&amp;""' and Col2 &lt;= date '""&amp;TEXT(N$8,""yyyy-mm-dd"")&amp;""' label sum(Col16) ''"",0)))"),"")</f>
        <v/>
      </c>
      <c r="O209" s="628" t="str">
        <f>IFERROR(__xludf.DUMMYFUNCTION("IF($G209="""","""",IFERROR(query({proventos!$B$5:$Q310},""Select sum(Col16) where Col1 = '""&amp;$G209&amp;""' and Col2 &gt; date '""&amp;TEXT(P$8,""yyyy-mm-dd"")&amp;""' and Col2 &lt;= date '""&amp;TEXT(O$8,""yyyy-mm-dd"")&amp;""' label sum(Col16) ''"",0)))"),"")</f>
        <v/>
      </c>
      <c r="P209" s="628" t="str">
        <f>IFERROR(__xludf.DUMMYFUNCTION("IF($G209="""","""",IFERROR(query({proventos!$B$5:$Q310},""Select sum(Col16) where Col1 = '""&amp;$G209&amp;""' and Col2 &gt; date '""&amp;TEXT(Q$8,""yyyy-mm-dd"")&amp;""' and Col2 &lt;= date '""&amp;TEXT(P$8,""yyyy-mm-dd"")&amp;""' label sum(Col16) ''"",0)))"),"")</f>
        <v/>
      </c>
      <c r="Q209" s="628" t="str">
        <f>IFERROR(__xludf.DUMMYFUNCTION("IF($G209="""","""",IFERROR(query({proventos!$B$5:$Q310},""Select sum(Col16) where Col1 = '""&amp;$G209&amp;""' and Col2 &gt; date '""&amp;TEXT(R$8,""yyyy-mm-dd"")&amp;""' and Col2 &lt;= date '""&amp;TEXT(Q$8,""yyyy-mm-dd"")&amp;""' label sum(Col16) ''"",0)))"),"")</f>
        <v/>
      </c>
      <c r="R209" s="628" t="str">
        <f>IFERROR(__xludf.DUMMYFUNCTION("IF($G209="""","""",IFERROR(query({proventos!$B$5:$Q310},""Select sum(Col16) where Col1 = '""&amp;$G209&amp;""' and Col2 &gt; date '""&amp;TEXT(S$8,""yyyy-mm-dd"")&amp;""' and Col2 &lt;= date '""&amp;TEXT(R$8,""yyyy-mm-dd"")&amp;""' label sum(Col16) ''"",0)))"),"")</f>
        <v/>
      </c>
      <c r="S209" s="628" t="str">
        <f>IFERROR(__xludf.DUMMYFUNCTION("IF($G209="""","""",IFERROR(query({proventos!$B$5:$Q310},""Select sum(Col16) where Col1 = '""&amp;$G209&amp;""' and Col2 &gt; date '""&amp;TEXT(T$8,""yyyy-mm-dd"")&amp;""' and Col2 &lt;= date '""&amp;TEXT(S$8,""yyyy-mm-dd"")&amp;""' label sum(Col16) ''"",0)))"),"")</f>
        <v/>
      </c>
      <c r="T209" s="628" t="str">
        <f>IFERROR(__xludf.DUMMYFUNCTION("IF($G209="""","""",IFERROR(query({proventos!$B$5:$Q310},""Select sum(Col16) where Col1 = '""&amp;$G209&amp;""' and Col2 &gt; date '""&amp;TEXT(U$8,""yyyy-mm-dd"")&amp;""' and Col2 &lt;= date '""&amp;TEXT(T$8,""yyyy-mm-dd"")&amp;""' label sum(Col16) ''"",0)))"),"")</f>
        <v/>
      </c>
      <c r="U209" s="629" t="str">
        <f>IFERROR(__xludf.DUMMYFUNCTION("IF($G209="""","""",IFERROR(query({proventos!$B$5:$Q310},""Select sum(Col16) where Col1 = '""&amp;$G209&amp;""' and Col2 &gt; date '""&amp;TEXT(EOMONTH(TODAY(),-13),""yyyy-mm-dd"")&amp;""' and Col2 &lt;= date '""&amp;TEXT(U$8,""yyyy-mm-dd"")&amp;""' label sum(Col16) ''"",0)))"),"")</f>
        <v/>
      </c>
      <c r="V209" s="630" t="str">
        <f>IFERROR(__xludf.DUMMYFUNCTION("IF($G209="""","""",IFERROR(query({proventos!$B$5:$Q310},""Select sum(Col16) where Col1 = '""&amp;$G209&amp;""' and Col2 &gt; date '""&amp;TEXT(DATE(V$8,1,1),""yyyy-mm-dd"")&amp;""' and Col2 &lt;= date '""&amp;TEXT(DATE(V$8,12,31),""yyyy-mm-dd"")&amp;""' label sum(Col16) ''"",0)))"),"")</f>
        <v/>
      </c>
      <c r="W209" s="630" t="str">
        <f>IFERROR(__xludf.DUMMYFUNCTION("IF($G209="""","""",IFERROR(query({proventos!$B$5:$Q310},""Select sum(Col16) where Col1 = '""&amp;$G209&amp;""' and Col2 &gt; date '""&amp;TEXT(DATE(W$8,1,1),""yyyy-mm-dd"")&amp;""' and Col2 &lt;= date '""&amp;TEXT(DATE(W$8,12,31),""yyyy-mm-dd"")&amp;""' label sum(Col16) ''"",0)))"),"")</f>
        <v/>
      </c>
      <c r="X209" s="630" t="str">
        <f>IFERROR(__xludf.DUMMYFUNCTION("IF($G209="""","""",IFERROR(query({proventos!$B$5:$Q310},""Select sum(Col16) where Col1 = '""&amp;$G209&amp;""' and Col2 &gt; date '""&amp;TEXT(DATE(X$8,1,1),""yyyy-mm-dd"")&amp;""' and Col2 &lt;= date '""&amp;TEXT(DATE(X$8,12,31),""yyyy-mm-dd"")&amp;""' label sum(Col16) ''"",0)))"),"")</f>
        <v/>
      </c>
      <c r="Y209" s="630" t="str">
        <f>IFERROR(__xludf.DUMMYFUNCTION("IF($G209="""","""",IFERROR(query({proventos!$B$5:$Q310},""Select sum(Col16) where Col1 = '""&amp;$G209&amp;""' and Col2 &gt; date '""&amp;TEXT(DATE(Y$8,1,1),""yyyy-mm-dd"")&amp;""' and Col2 &lt;= date '""&amp;TEXT(DATE(Y$8,12,31),""yyyy-mm-dd"")&amp;""' label sum(Col16) ''"",0)))"),"")</f>
        <v/>
      </c>
      <c r="Z209" s="630" t="str">
        <f>IFERROR(__xludf.DUMMYFUNCTION("IF($G209="""","""",IFERROR(query({proventos!$B$5:$Q310},""Select sum(Col16) where Col1 = '""&amp;$G209&amp;""' and Col2 &gt; date '""&amp;TEXT(DATE(Z$8,1,1),""yyyy-mm-dd"")&amp;""' and Col2 &lt;= date '""&amp;TEXT(DATE(Z$8,12,31),""yyyy-mm-dd"")&amp;""' label sum(Col16) ''"",0)))"),"")</f>
        <v/>
      </c>
      <c r="AA209" s="587"/>
      <c r="AB209" s="578" t="s">
        <v>123</v>
      </c>
      <c r="AC209" s="601"/>
      <c r="AD209" s="636"/>
      <c r="AE209" s="636"/>
    </row>
    <row r="210">
      <c r="A210" s="576"/>
      <c r="B210" s="620"/>
      <c r="C210" s="637"/>
      <c r="D210" s="633"/>
      <c r="E210" s="633"/>
      <c r="F210" s="624">
        <v>200.0</v>
      </c>
      <c r="G210" s="635"/>
      <c r="H210" s="626" t="str">
        <f>if(G210="","",IFERROR(VLOOKUP(G210,AtivosDados,MATCH("provento_avg",portfolio.!$A$3:AE$3,0),FALSE),""))</f>
        <v/>
      </c>
      <c r="I210" s="627" t="s">
        <v>123</v>
      </c>
      <c r="J210" s="628" t="str">
        <f>IFERROR(__xludf.DUMMYFUNCTION("IF($G210="""","""",IFERROR(query({proventos!$B$5:$Q310},""Select sum(Col16) where Col1 = '""&amp;$G210&amp;""' and Col2 &gt; date '""&amp;TEXT(K$8,""yyyy-mm-dd"")&amp;""' and Col2 &lt;= date '""&amp;TEXT(J$8,""yyyy-mm-dd"")&amp;""' label sum(Col16) ''"",0)))"),"")</f>
        <v/>
      </c>
      <c r="K210" s="628" t="str">
        <f>IFERROR(__xludf.DUMMYFUNCTION("IF($G210="""","""",IFERROR(query({proventos!$B$5:$Q310},""Select sum(Col16) where Col1 = '""&amp;$G210&amp;""' and Col2 &gt; date '""&amp;TEXT(L$8,""yyyy-mm-dd"")&amp;""' and Col2 &lt;= date '""&amp;TEXT(K$8,""yyyy-mm-dd"")&amp;""' label sum(Col16) ''"",0)))"),"")</f>
        <v/>
      </c>
      <c r="L210" s="628" t="str">
        <f>IFERROR(__xludf.DUMMYFUNCTION("IF($G210="""","""",IFERROR(query({proventos!$B$5:$Q310},""Select sum(Col16) where Col1 = '""&amp;$G210&amp;""' and Col2 &gt; date '""&amp;TEXT(M$8,""yyyy-mm-dd"")&amp;""' and Col2 &lt;= date '""&amp;TEXT(L$8,""yyyy-mm-dd"")&amp;""' label sum(Col16) ''"",0)))"),"")</f>
        <v/>
      </c>
      <c r="M210" s="628" t="str">
        <f>IFERROR(__xludf.DUMMYFUNCTION("IF($G210="""","""",IFERROR(query({proventos!$B$5:$Q310},""Select sum(Col16) where Col1 = '""&amp;$G210&amp;""' and Col2 &gt; date '""&amp;TEXT(N$8,""yyyy-mm-dd"")&amp;""' and Col2 &lt;= date '""&amp;TEXT(M$8,""yyyy-mm-dd"")&amp;""' label sum(Col16) ''"",0)))"),"")</f>
        <v/>
      </c>
      <c r="N210" s="628" t="str">
        <f>IFERROR(__xludf.DUMMYFUNCTION("IF($G210="""","""",IFERROR(query({proventos!$B$5:$Q310},""Select sum(Col16) where Col1 = '""&amp;$G210&amp;""' and Col2 &gt; date '""&amp;TEXT(O$8,""yyyy-mm-dd"")&amp;""' and Col2 &lt;= date '""&amp;TEXT(N$8,""yyyy-mm-dd"")&amp;""' label sum(Col16) ''"",0)))"),"")</f>
        <v/>
      </c>
      <c r="O210" s="628" t="str">
        <f>IFERROR(__xludf.DUMMYFUNCTION("IF($G210="""","""",IFERROR(query({proventos!$B$5:$Q310},""Select sum(Col16) where Col1 = '""&amp;$G210&amp;""' and Col2 &gt; date '""&amp;TEXT(P$8,""yyyy-mm-dd"")&amp;""' and Col2 &lt;= date '""&amp;TEXT(O$8,""yyyy-mm-dd"")&amp;""' label sum(Col16) ''"",0)))"),"")</f>
        <v/>
      </c>
      <c r="P210" s="628" t="str">
        <f>IFERROR(__xludf.DUMMYFUNCTION("IF($G210="""","""",IFERROR(query({proventos!$B$5:$Q310},""Select sum(Col16) where Col1 = '""&amp;$G210&amp;""' and Col2 &gt; date '""&amp;TEXT(Q$8,""yyyy-mm-dd"")&amp;""' and Col2 &lt;= date '""&amp;TEXT(P$8,""yyyy-mm-dd"")&amp;""' label sum(Col16) ''"",0)))"),"")</f>
        <v/>
      </c>
      <c r="Q210" s="628" t="str">
        <f>IFERROR(__xludf.DUMMYFUNCTION("IF($G210="""","""",IFERROR(query({proventos!$B$5:$Q310},""Select sum(Col16) where Col1 = '""&amp;$G210&amp;""' and Col2 &gt; date '""&amp;TEXT(R$8,""yyyy-mm-dd"")&amp;""' and Col2 &lt;= date '""&amp;TEXT(Q$8,""yyyy-mm-dd"")&amp;""' label sum(Col16) ''"",0)))"),"")</f>
        <v/>
      </c>
      <c r="R210" s="628" t="str">
        <f>IFERROR(__xludf.DUMMYFUNCTION("IF($G210="""","""",IFERROR(query({proventos!$B$5:$Q310},""Select sum(Col16) where Col1 = '""&amp;$G210&amp;""' and Col2 &gt; date '""&amp;TEXT(S$8,""yyyy-mm-dd"")&amp;""' and Col2 &lt;= date '""&amp;TEXT(R$8,""yyyy-mm-dd"")&amp;""' label sum(Col16) ''"",0)))"),"")</f>
        <v/>
      </c>
      <c r="S210" s="628" t="str">
        <f>IFERROR(__xludf.DUMMYFUNCTION("IF($G210="""","""",IFERROR(query({proventos!$B$5:$Q310},""Select sum(Col16) where Col1 = '""&amp;$G210&amp;""' and Col2 &gt; date '""&amp;TEXT(T$8,""yyyy-mm-dd"")&amp;""' and Col2 &lt;= date '""&amp;TEXT(S$8,""yyyy-mm-dd"")&amp;""' label sum(Col16) ''"",0)))"),"")</f>
        <v/>
      </c>
      <c r="T210" s="628" t="str">
        <f>IFERROR(__xludf.DUMMYFUNCTION("IF($G210="""","""",IFERROR(query({proventos!$B$5:$Q310},""Select sum(Col16) where Col1 = '""&amp;$G210&amp;""' and Col2 &gt; date '""&amp;TEXT(U$8,""yyyy-mm-dd"")&amp;""' and Col2 &lt;= date '""&amp;TEXT(T$8,""yyyy-mm-dd"")&amp;""' label sum(Col16) ''"",0)))"),"")</f>
        <v/>
      </c>
      <c r="U210" s="629" t="str">
        <f>IFERROR(__xludf.DUMMYFUNCTION("IF($G210="""","""",IFERROR(query({proventos!$B$5:$Q310},""Select sum(Col16) where Col1 = '""&amp;$G210&amp;""' and Col2 &gt; date '""&amp;TEXT(EOMONTH(TODAY(),-13),""yyyy-mm-dd"")&amp;""' and Col2 &lt;= date '""&amp;TEXT(U$8,""yyyy-mm-dd"")&amp;""' label sum(Col16) ''"",0)))"),"")</f>
        <v/>
      </c>
      <c r="V210" s="630" t="str">
        <f>IFERROR(__xludf.DUMMYFUNCTION("IF($G210="""","""",IFERROR(query({proventos!$B$5:$Q310},""Select sum(Col16) where Col1 = '""&amp;$G210&amp;""' and Col2 &gt; date '""&amp;TEXT(DATE(V$8,1,1),""yyyy-mm-dd"")&amp;""' and Col2 &lt;= date '""&amp;TEXT(DATE(V$8,12,31),""yyyy-mm-dd"")&amp;""' label sum(Col16) ''"",0)))"),"")</f>
        <v/>
      </c>
      <c r="W210" s="630" t="str">
        <f>IFERROR(__xludf.DUMMYFUNCTION("IF($G210="""","""",IFERROR(query({proventos!$B$5:$Q310},""Select sum(Col16) where Col1 = '""&amp;$G210&amp;""' and Col2 &gt; date '""&amp;TEXT(DATE(W$8,1,1),""yyyy-mm-dd"")&amp;""' and Col2 &lt;= date '""&amp;TEXT(DATE(W$8,12,31),""yyyy-mm-dd"")&amp;""' label sum(Col16) ''"",0)))"),"")</f>
        <v/>
      </c>
      <c r="X210" s="630" t="str">
        <f>IFERROR(__xludf.DUMMYFUNCTION("IF($G210="""","""",IFERROR(query({proventos!$B$5:$Q310},""Select sum(Col16) where Col1 = '""&amp;$G210&amp;""' and Col2 &gt; date '""&amp;TEXT(DATE(X$8,1,1),""yyyy-mm-dd"")&amp;""' and Col2 &lt;= date '""&amp;TEXT(DATE(X$8,12,31),""yyyy-mm-dd"")&amp;""' label sum(Col16) ''"",0)))"),"")</f>
        <v/>
      </c>
      <c r="Y210" s="630" t="str">
        <f>IFERROR(__xludf.DUMMYFUNCTION("IF($G210="""","""",IFERROR(query({proventos!$B$5:$Q310},""Select sum(Col16) where Col1 = '""&amp;$G210&amp;""' and Col2 &gt; date '""&amp;TEXT(DATE(Y$8,1,1),""yyyy-mm-dd"")&amp;""' and Col2 &lt;= date '""&amp;TEXT(DATE(Y$8,12,31),""yyyy-mm-dd"")&amp;""' label sum(Col16) ''"",0)))"),"")</f>
        <v/>
      </c>
      <c r="Z210" s="630" t="str">
        <f>IFERROR(__xludf.DUMMYFUNCTION("IF($G210="""","""",IFERROR(query({proventos!$B$5:$Q310},""Select sum(Col16) where Col1 = '""&amp;$G210&amp;""' and Col2 &gt; date '""&amp;TEXT(DATE(Z$8,1,1),""yyyy-mm-dd"")&amp;""' and Col2 &lt;= date '""&amp;TEXT(DATE(Z$8,12,31),""yyyy-mm-dd"")&amp;""' label sum(Col16) ''"",0)))"),"")</f>
        <v/>
      </c>
      <c r="AA210" s="587"/>
      <c r="AB210" s="578" t="s">
        <v>123</v>
      </c>
      <c r="AC210" s="601"/>
      <c r="AD210" s="636"/>
      <c r="AE210" s="636"/>
    </row>
    <row r="211">
      <c r="A211" s="576"/>
      <c r="B211" s="620"/>
      <c r="C211" s="637"/>
      <c r="D211" s="633"/>
      <c r="E211" s="633"/>
      <c r="F211" s="624">
        <v>201.0</v>
      </c>
      <c r="G211" s="635"/>
      <c r="H211" s="626" t="str">
        <f>if(G211="","",IFERROR(VLOOKUP(G211,AtivosDados,MATCH("provento_avg",portfolio.!$A$3:AE$3,0),FALSE),""))</f>
        <v/>
      </c>
      <c r="I211" s="627" t="s">
        <v>123</v>
      </c>
      <c r="J211" s="628" t="str">
        <f>IFERROR(__xludf.DUMMYFUNCTION("IF($G211="""","""",IFERROR(query({proventos!$B$5:$Q310},""Select sum(Col16) where Col1 = '""&amp;$G211&amp;""' and Col2 &gt; date '""&amp;TEXT(K$8,""yyyy-mm-dd"")&amp;""' and Col2 &lt;= date '""&amp;TEXT(J$8,""yyyy-mm-dd"")&amp;""' label sum(Col16) ''"",0)))"),"")</f>
        <v/>
      </c>
      <c r="K211" s="628" t="str">
        <f>IFERROR(__xludf.DUMMYFUNCTION("IF($G211="""","""",IFERROR(query({proventos!$B$5:$Q310},""Select sum(Col16) where Col1 = '""&amp;$G211&amp;""' and Col2 &gt; date '""&amp;TEXT(L$8,""yyyy-mm-dd"")&amp;""' and Col2 &lt;= date '""&amp;TEXT(K$8,""yyyy-mm-dd"")&amp;""' label sum(Col16) ''"",0)))"),"")</f>
        <v/>
      </c>
      <c r="L211" s="628" t="str">
        <f>IFERROR(__xludf.DUMMYFUNCTION("IF($G211="""","""",IFERROR(query({proventos!$B$5:$Q310},""Select sum(Col16) where Col1 = '""&amp;$G211&amp;""' and Col2 &gt; date '""&amp;TEXT(M$8,""yyyy-mm-dd"")&amp;""' and Col2 &lt;= date '""&amp;TEXT(L$8,""yyyy-mm-dd"")&amp;""' label sum(Col16) ''"",0)))"),"")</f>
        <v/>
      </c>
      <c r="M211" s="628" t="str">
        <f>IFERROR(__xludf.DUMMYFUNCTION("IF($G211="""","""",IFERROR(query({proventos!$B$5:$Q310},""Select sum(Col16) where Col1 = '""&amp;$G211&amp;""' and Col2 &gt; date '""&amp;TEXT(N$8,""yyyy-mm-dd"")&amp;""' and Col2 &lt;= date '""&amp;TEXT(M$8,""yyyy-mm-dd"")&amp;""' label sum(Col16) ''"",0)))"),"")</f>
        <v/>
      </c>
      <c r="N211" s="628" t="str">
        <f>IFERROR(__xludf.DUMMYFUNCTION("IF($G211="""","""",IFERROR(query({proventos!$B$5:$Q310},""Select sum(Col16) where Col1 = '""&amp;$G211&amp;""' and Col2 &gt; date '""&amp;TEXT(O$8,""yyyy-mm-dd"")&amp;""' and Col2 &lt;= date '""&amp;TEXT(N$8,""yyyy-mm-dd"")&amp;""' label sum(Col16) ''"",0)))"),"")</f>
        <v/>
      </c>
      <c r="O211" s="628" t="str">
        <f>IFERROR(__xludf.DUMMYFUNCTION("IF($G211="""","""",IFERROR(query({proventos!$B$5:$Q310},""Select sum(Col16) where Col1 = '""&amp;$G211&amp;""' and Col2 &gt; date '""&amp;TEXT(P$8,""yyyy-mm-dd"")&amp;""' and Col2 &lt;= date '""&amp;TEXT(O$8,""yyyy-mm-dd"")&amp;""' label sum(Col16) ''"",0)))"),"")</f>
        <v/>
      </c>
      <c r="P211" s="628" t="str">
        <f>IFERROR(__xludf.DUMMYFUNCTION("IF($G211="""","""",IFERROR(query({proventos!$B$5:$Q310},""Select sum(Col16) where Col1 = '""&amp;$G211&amp;""' and Col2 &gt; date '""&amp;TEXT(Q$8,""yyyy-mm-dd"")&amp;""' and Col2 &lt;= date '""&amp;TEXT(P$8,""yyyy-mm-dd"")&amp;""' label sum(Col16) ''"",0)))"),"")</f>
        <v/>
      </c>
      <c r="Q211" s="628" t="str">
        <f>IFERROR(__xludf.DUMMYFUNCTION("IF($G211="""","""",IFERROR(query({proventos!$B$5:$Q310},""Select sum(Col16) where Col1 = '""&amp;$G211&amp;""' and Col2 &gt; date '""&amp;TEXT(R$8,""yyyy-mm-dd"")&amp;""' and Col2 &lt;= date '""&amp;TEXT(Q$8,""yyyy-mm-dd"")&amp;""' label sum(Col16) ''"",0)))"),"")</f>
        <v/>
      </c>
      <c r="R211" s="628" t="str">
        <f>IFERROR(__xludf.DUMMYFUNCTION("IF($G211="""","""",IFERROR(query({proventos!$B$5:$Q310},""Select sum(Col16) where Col1 = '""&amp;$G211&amp;""' and Col2 &gt; date '""&amp;TEXT(S$8,""yyyy-mm-dd"")&amp;""' and Col2 &lt;= date '""&amp;TEXT(R$8,""yyyy-mm-dd"")&amp;""' label sum(Col16) ''"",0)))"),"")</f>
        <v/>
      </c>
      <c r="S211" s="628" t="str">
        <f>IFERROR(__xludf.DUMMYFUNCTION("IF($G211="""","""",IFERROR(query({proventos!$B$5:$Q310},""Select sum(Col16) where Col1 = '""&amp;$G211&amp;""' and Col2 &gt; date '""&amp;TEXT(T$8,""yyyy-mm-dd"")&amp;""' and Col2 &lt;= date '""&amp;TEXT(S$8,""yyyy-mm-dd"")&amp;""' label sum(Col16) ''"",0)))"),"")</f>
        <v/>
      </c>
      <c r="T211" s="628" t="str">
        <f>IFERROR(__xludf.DUMMYFUNCTION("IF($G211="""","""",IFERROR(query({proventos!$B$5:$Q310},""Select sum(Col16) where Col1 = '""&amp;$G211&amp;""' and Col2 &gt; date '""&amp;TEXT(U$8,""yyyy-mm-dd"")&amp;""' and Col2 &lt;= date '""&amp;TEXT(T$8,""yyyy-mm-dd"")&amp;""' label sum(Col16) ''"",0)))"),"")</f>
        <v/>
      </c>
      <c r="U211" s="629" t="str">
        <f>IFERROR(__xludf.DUMMYFUNCTION("IF($G211="""","""",IFERROR(query({proventos!$B$5:$Q310},""Select sum(Col16) where Col1 = '""&amp;$G211&amp;""' and Col2 &gt; date '""&amp;TEXT(EOMONTH(TODAY(),-13),""yyyy-mm-dd"")&amp;""' and Col2 &lt;= date '""&amp;TEXT(U$8,""yyyy-mm-dd"")&amp;""' label sum(Col16) ''"",0)))"),"")</f>
        <v/>
      </c>
      <c r="V211" s="630" t="str">
        <f>IFERROR(__xludf.DUMMYFUNCTION("IF($G211="""","""",IFERROR(query({proventos!$B$5:$Q310},""Select sum(Col16) where Col1 = '""&amp;$G211&amp;""' and Col2 &gt; date '""&amp;TEXT(DATE(V$8,1,1),""yyyy-mm-dd"")&amp;""' and Col2 &lt;= date '""&amp;TEXT(DATE(V$8,12,31),""yyyy-mm-dd"")&amp;""' label sum(Col16) ''"",0)))"),"")</f>
        <v/>
      </c>
      <c r="W211" s="630" t="str">
        <f>IFERROR(__xludf.DUMMYFUNCTION("IF($G211="""","""",IFERROR(query({proventos!$B$5:$Q310},""Select sum(Col16) where Col1 = '""&amp;$G211&amp;""' and Col2 &gt; date '""&amp;TEXT(DATE(W$8,1,1),""yyyy-mm-dd"")&amp;""' and Col2 &lt;= date '""&amp;TEXT(DATE(W$8,12,31),""yyyy-mm-dd"")&amp;""' label sum(Col16) ''"",0)))"),"")</f>
        <v/>
      </c>
      <c r="X211" s="630" t="str">
        <f>IFERROR(__xludf.DUMMYFUNCTION("IF($G211="""","""",IFERROR(query({proventos!$B$5:$Q310},""Select sum(Col16) where Col1 = '""&amp;$G211&amp;""' and Col2 &gt; date '""&amp;TEXT(DATE(X$8,1,1),""yyyy-mm-dd"")&amp;""' and Col2 &lt;= date '""&amp;TEXT(DATE(X$8,12,31),""yyyy-mm-dd"")&amp;""' label sum(Col16) ''"",0)))"),"")</f>
        <v/>
      </c>
      <c r="Y211" s="630" t="str">
        <f>IFERROR(__xludf.DUMMYFUNCTION("IF($G211="""","""",IFERROR(query({proventos!$B$5:$Q310},""Select sum(Col16) where Col1 = '""&amp;$G211&amp;""' and Col2 &gt; date '""&amp;TEXT(DATE(Y$8,1,1),""yyyy-mm-dd"")&amp;""' and Col2 &lt;= date '""&amp;TEXT(DATE(Y$8,12,31),""yyyy-mm-dd"")&amp;""' label sum(Col16) ''"",0)))"),"")</f>
        <v/>
      </c>
      <c r="Z211" s="630" t="str">
        <f>IFERROR(__xludf.DUMMYFUNCTION("IF($G211="""","""",IFERROR(query({proventos!$B$5:$Q310},""Select sum(Col16) where Col1 = '""&amp;$G211&amp;""' and Col2 &gt; date '""&amp;TEXT(DATE(Z$8,1,1),""yyyy-mm-dd"")&amp;""' and Col2 &lt;= date '""&amp;TEXT(DATE(Z$8,12,31),""yyyy-mm-dd"")&amp;""' label sum(Col16) ''"",0)))"),"")</f>
        <v/>
      </c>
      <c r="AA211" s="587"/>
      <c r="AB211" s="578" t="s">
        <v>123</v>
      </c>
      <c r="AC211" s="601"/>
      <c r="AD211" s="636"/>
      <c r="AE211" s="636"/>
    </row>
    <row r="212">
      <c r="A212" s="576"/>
      <c r="B212" s="620"/>
      <c r="C212" s="637"/>
      <c r="D212" s="633"/>
      <c r="E212" s="633"/>
      <c r="F212" s="624">
        <v>202.0</v>
      </c>
      <c r="G212" s="635"/>
      <c r="H212" s="626" t="str">
        <f>if(G212="","",IFERROR(VLOOKUP(G212,AtivosDados,MATCH("provento_avg",portfolio.!$A$3:AE$3,0),FALSE),""))</f>
        <v/>
      </c>
      <c r="I212" s="627" t="s">
        <v>123</v>
      </c>
      <c r="J212" s="628" t="str">
        <f>IFERROR(__xludf.DUMMYFUNCTION("IF($G212="""","""",IFERROR(query({proventos!$B$5:$Q310},""Select sum(Col16) where Col1 = '""&amp;$G212&amp;""' and Col2 &gt; date '""&amp;TEXT(K$8,""yyyy-mm-dd"")&amp;""' and Col2 &lt;= date '""&amp;TEXT(J$8,""yyyy-mm-dd"")&amp;""' label sum(Col16) ''"",0)))"),"")</f>
        <v/>
      </c>
      <c r="K212" s="628" t="str">
        <f>IFERROR(__xludf.DUMMYFUNCTION("IF($G212="""","""",IFERROR(query({proventos!$B$5:$Q310},""Select sum(Col16) where Col1 = '""&amp;$G212&amp;""' and Col2 &gt; date '""&amp;TEXT(L$8,""yyyy-mm-dd"")&amp;""' and Col2 &lt;= date '""&amp;TEXT(K$8,""yyyy-mm-dd"")&amp;""' label sum(Col16) ''"",0)))"),"")</f>
        <v/>
      </c>
      <c r="L212" s="628" t="str">
        <f>IFERROR(__xludf.DUMMYFUNCTION("IF($G212="""","""",IFERROR(query({proventos!$B$5:$Q310},""Select sum(Col16) where Col1 = '""&amp;$G212&amp;""' and Col2 &gt; date '""&amp;TEXT(M$8,""yyyy-mm-dd"")&amp;""' and Col2 &lt;= date '""&amp;TEXT(L$8,""yyyy-mm-dd"")&amp;""' label sum(Col16) ''"",0)))"),"")</f>
        <v/>
      </c>
      <c r="M212" s="628" t="str">
        <f>IFERROR(__xludf.DUMMYFUNCTION("IF($G212="""","""",IFERROR(query({proventos!$B$5:$Q310},""Select sum(Col16) where Col1 = '""&amp;$G212&amp;""' and Col2 &gt; date '""&amp;TEXT(N$8,""yyyy-mm-dd"")&amp;""' and Col2 &lt;= date '""&amp;TEXT(M$8,""yyyy-mm-dd"")&amp;""' label sum(Col16) ''"",0)))"),"")</f>
        <v/>
      </c>
      <c r="N212" s="628" t="str">
        <f>IFERROR(__xludf.DUMMYFUNCTION("IF($G212="""","""",IFERROR(query({proventos!$B$5:$Q310},""Select sum(Col16) where Col1 = '""&amp;$G212&amp;""' and Col2 &gt; date '""&amp;TEXT(O$8,""yyyy-mm-dd"")&amp;""' and Col2 &lt;= date '""&amp;TEXT(N$8,""yyyy-mm-dd"")&amp;""' label sum(Col16) ''"",0)))"),"")</f>
        <v/>
      </c>
      <c r="O212" s="628" t="str">
        <f>IFERROR(__xludf.DUMMYFUNCTION("IF($G212="""","""",IFERROR(query({proventos!$B$5:$Q310},""Select sum(Col16) where Col1 = '""&amp;$G212&amp;""' and Col2 &gt; date '""&amp;TEXT(P$8,""yyyy-mm-dd"")&amp;""' and Col2 &lt;= date '""&amp;TEXT(O$8,""yyyy-mm-dd"")&amp;""' label sum(Col16) ''"",0)))"),"")</f>
        <v/>
      </c>
      <c r="P212" s="628" t="str">
        <f>IFERROR(__xludf.DUMMYFUNCTION("IF($G212="""","""",IFERROR(query({proventos!$B$5:$Q310},""Select sum(Col16) where Col1 = '""&amp;$G212&amp;""' and Col2 &gt; date '""&amp;TEXT(Q$8,""yyyy-mm-dd"")&amp;""' and Col2 &lt;= date '""&amp;TEXT(P$8,""yyyy-mm-dd"")&amp;""' label sum(Col16) ''"",0)))"),"")</f>
        <v/>
      </c>
      <c r="Q212" s="628" t="str">
        <f>IFERROR(__xludf.DUMMYFUNCTION("IF($G212="""","""",IFERROR(query({proventos!$B$5:$Q310},""Select sum(Col16) where Col1 = '""&amp;$G212&amp;""' and Col2 &gt; date '""&amp;TEXT(R$8,""yyyy-mm-dd"")&amp;""' and Col2 &lt;= date '""&amp;TEXT(Q$8,""yyyy-mm-dd"")&amp;""' label sum(Col16) ''"",0)))"),"")</f>
        <v/>
      </c>
      <c r="R212" s="628" t="str">
        <f>IFERROR(__xludf.DUMMYFUNCTION("IF($G212="""","""",IFERROR(query({proventos!$B$5:$Q310},""Select sum(Col16) where Col1 = '""&amp;$G212&amp;""' and Col2 &gt; date '""&amp;TEXT(S$8,""yyyy-mm-dd"")&amp;""' and Col2 &lt;= date '""&amp;TEXT(R$8,""yyyy-mm-dd"")&amp;""' label sum(Col16) ''"",0)))"),"")</f>
        <v/>
      </c>
      <c r="S212" s="628" t="str">
        <f>IFERROR(__xludf.DUMMYFUNCTION("IF($G212="""","""",IFERROR(query({proventos!$B$5:$Q310},""Select sum(Col16) where Col1 = '""&amp;$G212&amp;""' and Col2 &gt; date '""&amp;TEXT(T$8,""yyyy-mm-dd"")&amp;""' and Col2 &lt;= date '""&amp;TEXT(S$8,""yyyy-mm-dd"")&amp;""' label sum(Col16) ''"",0)))"),"")</f>
        <v/>
      </c>
      <c r="T212" s="628" t="str">
        <f>IFERROR(__xludf.DUMMYFUNCTION("IF($G212="""","""",IFERROR(query({proventos!$B$5:$Q310},""Select sum(Col16) where Col1 = '""&amp;$G212&amp;""' and Col2 &gt; date '""&amp;TEXT(U$8,""yyyy-mm-dd"")&amp;""' and Col2 &lt;= date '""&amp;TEXT(T$8,""yyyy-mm-dd"")&amp;""' label sum(Col16) ''"",0)))"),"")</f>
        <v/>
      </c>
      <c r="U212" s="629" t="str">
        <f>IFERROR(__xludf.DUMMYFUNCTION("IF($G212="""","""",IFERROR(query({proventos!$B$5:$Q310},""Select sum(Col16) where Col1 = '""&amp;$G212&amp;""' and Col2 &gt; date '""&amp;TEXT(EOMONTH(TODAY(),-13),""yyyy-mm-dd"")&amp;""' and Col2 &lt;= date '""&amp;TEXT(U$8,""yyyy-mm-dd"")&amp;""' label sum(Col16) ''"",0)))"),"")</f>
        <v/>
      </c>
      <c r="V212" s="630" t="str">
        <f>IFERROR(__xludf.DUMMYFUNCTION("IF($G212="""","""",IFERROR(query({proventos!$B$5:$Q310},""Select sum(Col16) where Col1 = '""&amp;$G212&amp;""' and Col2 &gt; date '""&amp;TEXT(DATE(V$8,1,1),""yyyy-mm-dd"")&amp;""' and Col2 &lt;= date '""&amp;TEXT(DATE(V$8,12,31),""yyyy-mm-dd"")&amp;""' label sum(Col16) ''"",0)))"),"")</f>
        <v/>
      </c>
      <c r="W212" s="630" t="str">
        <f>IFERROR(__xludf.DUMMYFUNCTION("IF($G212="""","""",IFERROR(query({proventos!$B$5:$Q310},""Select sum(Col16) where Col1 = '""&amp;$G212&amp;""' and Col2 &gt; date '""&amp;TEXT(DATE(W$8,1,1),""yyyy-mm-dd"")&amp;""' and Col2 &lt;= date '""&amp;TEXT(DATE(W$8,12,31),""yyyy-mm-dd"")&amp;""' label sum(Col16) ''"",0)))"),"")</f>
        <v/>
      </c>
      <c r="X212" s="630" t="str">
        <f>IFERROR(__xludf.DUMMYFUNCTION("IF($G212="""","""",IFERROR(query({proventos!$B$5:$Q310},""Select sum(Col16) where Col1 = '""&amp;$G212&amp;""' and Col2 &gt; date '""&amp;TEXT(DATE(X$8,1,1),""yyyy-mm-dd"")&amp;""' and Col2 &lt;= date '""&amp;TEXT(DATE(X$8,12,31),""yyyy-mm-dd"")&amp;""' label sum(Col16) ''"",0)))"),"")</f>
        <v/>
      </c>
      <c r="Y212" s="630" t="str">
        <f>IFERROR(__xludf.DUMMYFUNCTION("IF($G212="""","""",IFERROR(query({proventos!$B$5:$Q310},""Select sum(Col16) where Col1 = '""&amp;$G212&amp;""' and Col2 &gt; date '""&amp;TEXT(DATE(Y$8,1,1),""yyyy-mm-dd"")&amp;""' and Col2 &lt;= date '""&amp;TEXT(DATE(Y$8,12,31),""yyyy-mm-dd"")&amp;""' label sum(Col16) ''"",0)))"),"")</f>
        <v/>
      </c>
      <c r="Z212" s="630" t="str">
        <f>IFERROR(__xludf.DUMMYFUNCTION("IF($G212="""","""",IFERROR(query({proventos!$B$5:$Q310},""Select sum(Col16) where Col1 = '""&amp;$G212&amp;""' and Col2 &gt; date '""&amp;TEXT(DATE(Z$8,1,1),""yyyy-mm-dd"")&amp;""' and Col2 &lt;= date '""&amp;TEXT(DATE(Z$8,12,31),""yyyy-mm-dd"")&amp;""' label sum(Col16) ''"",0)))"),"")</f>
        <v/>
      </c>
      <c r="AA212" s="587"/>
      <c r="AB212" s="578" t="s">
        <v>123</v>
      </c>
      <c r="AC212" s="601"/>
      <c r="AD212" s="636"/>
      <c r="AE212" s="636"/>
    </row>
    <row r="213">
      <c r="A213" s="576"/>
      <c r="B213" s="620"/>
      <c r="C213" s="637"/>
      <c r="D213" s="633"/>
      <c r="E213" s="633"/>
      <c r="F213" s="624">
        <v>203.0</v>
      </c>
      <c r="G213" s="635"/>
      <c r="H213" s="626" t="str">
        <f>if(G213="","",IFERROR(VLOOKUP(G213,AtivosDados,MATCH("provento_avg",portfolio.!$A$3:AE$3,0),FALSE),""))</f>
        <v/>
      </c>
      <c r="I213" s="627" t="s">
        <v>123</v>
      </c>
      <c r="J213" s="628" t="str">
        <f>IFERROR(__xludf.DUMMYFUNCTION("IF($G213="""","""",IFERROR(query({proventos!$B$5:$Q310},""Select sum(Col16) where Col1 = '""&amp;$G213&amp;""' and Col2 &gt; date '""&amp;TEXT(K$8,""yyyy-mm-dd"")&amp;""' and Col2 &lt;= date '""&amp;TEXT(J$8,""yyyy-mm-dd"")&amp;""' label sum(Col16) ''"",0)))"),"")</f>
        <v/>
      </c>
      <c r="K213" s="628" t="str">
        <f>IFERROR(__xludf.DUMMYFUNCTION("IF($G213="""","""",IFERROR(query({proventos!$B$5:$Q310},""Select sum(Col16) where Col1 = '""&amp;$G213&amp;""' and Col2 &gt; date '""&amp;TEXT(L$8,""yyyy-mm-dd"")&amp;""' and Col2 &lt;= date '""&amp;TEXT(K$8,""yyyy-mm-dd"")&amp;""' label sum(Col16) ''"",0)))"),"")</f>
        <v/>
      </c>
      <c r="L213" s="628" t="str">
        <f>IFERROR(__xludf.DUMMYFUNCTION("IF($G213="""","""",IFERROR(query({proventos!$B$5:$Q310},""Select sum(Col16) where Col1 = '""&amp;$G213&amp;""' and Col2 &gt; date '""&amp;TEXT(M$8,""yyyy-mm-dd"")&amp;""' and Col2 &lt;= date '""&amp;TEXT(L$8,""yyyy-mm-dd"")&amp;""' label sum(Col16) ''"",0)))"),"")</f>
        <v/>
      </c>
      <c r="M213" s="628" t="str">
        <f>IFERROR(__xludf.DUMMYFUNCTION("IF($G213="""","""",IFERROR(query({proventos!$B$5:$Q310},""Select sum(Col16) where Col1 = '""&amp;$G213&amp;""' and Col2 &gt; date '""&amp;TEXT(N$8,""yyyy-mm-dd"")&amp;""' and Col2 &lt;= date '""&amp;TEXT(M$8,""yyyy-mm-dd"")&amp;""' label sum(Col16) ''"",0)))"),"")</f>
        <v/>
      </c>
      <c r="N213" s="628" t="str">
        <f>IFERROR(__xludf.DUMMYFUNCTION("IF($G213="""","""",IFERROR(query({proventos!$B$5:$Q310},""Select sum(Col16) where Col1 = '""&amp;$G213&amp;""' and Col2 &gt; date '""&amp;TEXT(O$8,""yyyy-mm-dd"")&amp;""' and Col2 &lt;= date '""&amp;TEXT(N$8,""yyyy-mm-dd"")&amp;""' label sum(Col16) ''"",0)))"),"")</f>
        <v/>
      </c>
      <c r="O213" s="628" t="str">
        <f>IFERROR(__xludf.DUMMYFUNCTION("IF($G213="""","""",IFERROR(query({proventos!$B$5:$Q310},""Select sum(Col16) where Col1 = '""&amp;$G213&amp;""' and Col2 &gt; date '""&amp;TEXT(P$8,""yyyy-mm-dd"")&amp;""' and Col2 &lt;= date '""&amp;TEXT(O$8,""yyyy-mm-dd"")&amp;""' label sum(Col16) ''"",0)))"),"")</f>
        <v/>
      </c>
      <c r="P213" s="628" t="str">
        <f>IFERROR(__xludf.DUMMYFUNCTION("IF($G213="""","""",IFERROR(query({proventos!$B$5:$Q310},""Select sum(Col16) where Col1 = '""&amp;$G213&amp;""' and Col2 &gt; date '""&amp;TEXT(Q$8,""yyyy-mm-dd"")&amp;""' and Col2 &lt;= date '""&amp;TEXT(P$8,""yyyy-mm-dd"")&amp;""' label sum(Col16) ''"",0)))"),"")</f>
        <v/>
      </c>
      <c r="Q213" s="628" t="str">
        <f>IFERROR(__xludf.DUMMYFUNCTION("IF($G213="""","""",IFERROR(query({proventos!$B$5:$Q310},""Select sum(Col16) where Col1 = '""&amp;$G213&amp;""' and Col2 &gt; date '""&amp;TEXT(R$8,""yyyy-mm-dd"")&amp;""' and Col2 &lt;= date '""&amp;TEXT(Q$8,""yyyy-mm-dd"")&amp;""' label sum(Col16) ''"",0)))"),"")</f>
        <v/>
      </c>
      <c r="R213" s="628" t="str">
        <f>IFERROR(__xludf.DUMMYFUNCTION("IF($G213="""","""",IFERROR(query({proventos!$B$5:$Q310},""Select sum(Col16) where Col1 = '""&amp;$G213&amp;""' and Col2 &gt; date '""&amp;TEXT(S$8,""yyyy-mm-dd"")&amp;""' and Col2 &lt;= date '""&amp;TEXT(R$8,""yyyy-mm-dd"")&amp;""' label sum(Col16) ''"",0)))"),"")</f>
        <v/>
      </c>
      <c r="S213" s="628" t="str">
        <f>IFERROR(__xludf.DUMMYFUNCTION("IF($G213="""","""",IFERROR(query({proventos!$B$5:$Q310},""Select sum(Col16) where Col1 = '""&amp;$G213&amp;""' and Col2 &gt; date '""&amp;TEXT(T$8,""yyyy-mm-dd"")&amp;""' and Col2 &lt;= date '""&amp;TEXT(S$8,""yyyy-mm-dd"")&amp;""' label sum(Col16) ''"",0)))"),"")</f>
        <v/>
      </c>
      <c r="T213" s="628" t="str">
        <f>IFERROR(__xludf.DUMMYFUNCTION("IF($G213="""","""",IFERROR(query({proventos!$B$5:$Q310},""Select sum(Col16) where Col1 = '""&amp;$G213&amp;""' and Col2 &gt; date '""&amp;TEXT(U$8,""yyyy-mm-dd"")&amp;""' and Col2 &lt;= date '""&amp;TEXT(T$8,""yyyy-mm-dd"")&amp;""' label sum(Col16) ''"",0)))"),"")</f>
        <v/>
      </c>
      <c r="U213" s="629" t="str">
        <f>IFERROR(__xludf.DUMMYFUNCTION("IF($G213="""","""",IFERROR(query({proventos!$B$5:$Q310},""Select sum(Col16) where Col1 = '""&amp;$G213&amp;""' and Col2 &gt; date '""&amp;TEXT(EOMONTH(TODAY(),-13),""yyyy-mm-dd"")&amp;""' and Col2 &lt;= date '""&amp;TEXT(U$8,""yyyy-mm-dd"")&amp;""' label sum(Col16) ''"",0)))"),"")</f>
        <v/>
      </c>
      <c r="V213" s="630" t="str">
        <f>IFERROR(__xludf.DUMMYFUNCTION("IF($G213="""","""",IFERROR(query({proventos!$B$5:$Q310},""Select sum(Col16) where Col1 = '""&amp;$G213&amp;""' and Col2 &gt; date '""&amp;TEXT(DATE(V$8,1,1),""yyyy-mm-dd"")&amp;""' and Col2 &lt;= date '""&amp;TEXT(DATE(V$8,12,31),""yyyy-mm-dd"")&amp;""' label sum(Col16) ''"",0)))"),"")</f>
        <v/>
      </c>
      <c r="W213" s="630" t="str">
        <f>IFERROR(__xludf.DUMMYFUNCTION("IF($G213="""","""",IFERROR(query({proventos!$B$5:$Q310},""Select sum(Col16) where Col1 = '""&amp;$G213&amp;""' and Col2 &gt; date '""&amp;TEXT(DATE(W$8,1,1),""yyyy-mm-dd"")&amp;""' and Col2 &lt;= date '""&amp;TEXT(DATE(W$8,12,31),""yyyy-mm-dd"")&amp;""' label sum(Col16) ''"",0)))"),"")</f>
        <v/>
      </c>
      <c r="X213" s="630" t="str">
        <f>IFERROR(__xludf.DUMMYFUNCTION("IF($G213="""","""",IFERROR(query({proventos!$B$5:$Q310},""Select sum(Col16) where Col1 = '""&amp;$G213&amp;""' and Col2 &gt; date '""&amp;TEXT(DATE(X$8,1,1),""yyyy-mm-dd"")&amp;""' and Col2 &lt;= date '""&amp;TEXT(DATE(X$8,12,31),""yyyy-mm-dd"")&amp;""' label sum(Col16) ''"",0)))"),"")</f>
        <v/>
      </c>
      <c r="Y213" s="630" t="str">
        <f>IFERROR(__xludf.DUMMYFUNCTION("IF($G213="""","""",IFERROR(query({proventos!$B$5:$Q310},""Select sum(Col16) where Col1 = '""&amp;$G213&amp;""' and Col2 &gt; date '""&amp;TEXT(DATE(Y$8,1,1),""yyyy-mm-dd"")&amp;""' and Col2 &lt;= date '""&amp;TEXT(DATE(Y$8,12,31),""yyyy-mm-dd"")&amp;""' label sum(Col16) ''"",0)))"),"")</f>
        <v/>
      </c>
      <c r="Z213" s="630" t="str">
        <f>IFERROR(__xludf.DUMMYFUNCTION("IF($G213="""","""",IFERROR(query({proventos!$B$5:$Q310},""Select sum(Col16) where Col1 = '""&amp;$G213&amp;""' and Col2 &gt; date '""&amp;TEXT(DATE(Z$8,1,1),""yyyy-mm-dd"")&amp;""' and Col2 &lt;= date '""&amp;TEXT(DATE(Z$8,12,31),""yyyy-mm-dd"")&amp;""' label sum(Col16) ''"",0)))"),"")</f>
        <v/>
      </c>
      <c r="AA213" s="587"/>
      <c r="AB213" s="578" t="s">
        <v>123</v>
      </c>
      <c r="AC213" s="601"/>
      <c r="AD213" s="636"/>
      <c r="AE213" s="636"/>
    </row>
    <row r="214">
      <c r="A214" s="576"/>
      <c r="B214" s="620"/>
      <c r="C214" s="637"/>
      <c r="D214" s="633"/>
      <c r="E214" s="633"/>
      <c r="F214" s="624">
        <v>204.0</v>
      </c>
      <c r="G214" s="635"/>
      <c r="H214" s="626" t="str">
        <f>if(G214="","",IFERROR(VLOOKUP(G214,AtivosDados,MATCH("provento_avg",portfolio.!$A$3:AE$3,0),FALSE),""))</f>
        <v/>
      </c>
      <c r="I214" s="627" t="s">
        <v>123</v>
      </c>
      <c r="J214" s="628" t="str">
        <f>IFERROR(__xludf.DUMMYFUNCTION("IF($G214="""","""",IFERROR(query({proventos!$B$5:$Q310},""Select sum(Col16) where Col1 = '""&amp;$G214&amp;""' and Col2 &gt; date '""&amp;TEXT(K$8,""yyyy-mm-dd"")&amp;""' and Col2 &lt;= date '""&amp;TEXT(J$8,""yyyy-mm-dd"")&amp;""' label sum(Col16) ''"",0)))"),"")</f>
        <v/>
      </c>
      <c r="K214" s="628" t="str">
        <f>IFERROR(__xludf.DUMMYFUNCTION("IF($G214="""","""",IFERROR(query({proventos!$B$5:$Q310},""Select sum(Col16) where Col1 = '""&amp;$G214&amp;""' and Col2 &gt; date '""&amp;TEXT(L$8,""yyyy-mm-dd"")&amp;""' and Col2 &lt;= date '""&amp;TEXT(K$8,""yyyy-mm-dd"")&amp;""' label sum(Col16) ''"",0)))"),"")</f>
        <v/>
      </c>
      <c r="L214" s="628" t="str">
        <f>IFERROR(__xludf.DUMMYFUNCTION("IF($G214="""","""",IFERROR(query({proventos!$B$5:$Q310},""Select sum(Col16) where Col1 = '""&amp;$G214&amp;""' and Col2 &gt; date '""&amp;TEXT(M$8,""yyyy-mm-dd"")&amp;""' and Col2 &lt;= date '""&amp;TEXT(L$8,""yyyy-mm-dd"")&amp;""' label sum(Col16) ''"",0)))"),"")</f>
        <v/>
      </c>
      <c r="M214" s="628" t="str">
        <f>IFERROR(__xludf.DUMMYFUNCTION("IF($G214="""","""",IFERROR(query({proventos!$B$5:$Q310},""Select sum(Col16) where Col1 = '""&amp;$G214&amp;""' and Col2 &gt; date '""&amp;TEXT(N$8,""yyyy-mm-dd"")&amp;""' and Col2 &lt;= date '""&amp;TEXT(M$8,""yyyy-mm-dd"")&amp;""' label sum(Col16) ''"",0)))"),"")</f>
        <v/>
      </c>
      <c r="N214" s="628" t="str">
        <f>IFERROR(__xludf.DUMMYFUNCTION("IF($G214="""","""",IFERROR(query({proventos!$B$5:$Q310},""Select sum(Col16) where Col1 = '""&amp;$G214&amp;""' and Col2 &gt; date '""&amp;TEXT(O$8,""yyyy-mm-dd"")&amp;""' and Col2 &lt;= date '""&amp;TEXT(N$8,""yyyy-mm-dd"")&amp;""' label sum(Col16) ''"",0)))"),"")</f>
        <v/>
      </c>
      <c r="O214" s="628" t="str">
        <f>IFERROR(__xludf.DUMMYFUNCTION("IF($G214="""","""",IFERROR(query({proventos!$B$5:$Q310},""Select sum(Col16) where Col1 = '""&amp;$G214&amp;""' and Col2 &gt; date '""&amp;TEXT(P$8,""yyyy-mm-dd"")&amp;""' and Col2 &lt;= date '""&amp;TEXT(O$8,""yyyy-mm-dd"")&amp;""' label sum(Col16) ''"",0)))"),"")</f>
        <v/>
      </c>
      <c r="P214" s="628" t="str">
        <f>IFERROR(__xludf.DUMMYFUNCTION("IF($G214="""","""",IFERROR(query({proventos!$B$5:$Q310},""Select sum(Col16) where Col1 = '""&amp;$G214&amp;""' and Col2 &gt; date '""&amp;TEXT(Q$8,""yyyy-mm-dd"")&amp;""' and Col2 &lt;= date '""&amp;TEXT(P$8,""yyyy-mm-dd"")&amp;""' label sum(Col16) ''"",0)))"),"")</f>
        <v/>
      </c>
      <c r="Q214" s="628" t="str">
        <f>IFERROR(__xludf.DUMMYFUNCTION("IF($G214="""","""",IFERROR(query({proventos!$B$5:$Q310},""Select sum(Col16) where Col1 = '""&amp;$G214&amp;""' and Col2 &gt; date '""&amp;TEXT(R$8,""yyyy-mm-dd"")&amp;""' and Col2 &lt;= date '""&amp;TEXT(Q$8,""yyyy-mm-dd"")&amp;""' label sum(Col16) ''"",0)))"),"")</f>
        <v/>
      </c>
      <c r="R214" s="628" t="str">
        <f>IFERROR(__xludf.DUMMYFUNCTION("IF($G214="""","""",IFERROR(query({proventos!$B$5:$Q310},""Select sum(Col16) where Col1 = '""&amp;$G214&amp;""' and Col2 &gt; date '""&amp;TEXT(S$8,""yyyy-mm-dd"")&amp;""' and Col2 &lt;= date '""&amp;TEXT(R$8,""yyyy-mm-dd"")&amp;""' label sum(Col16) ''"",0)))"),"")</f>
        <v/>
      </c>
      <c r="S214" s="628" t="str">
        <f>IFERROR(__xludf.DUMMYFUNCTION("IF($G214="""","""",IFERROR(query({proventos!$B$5:$Q310},""Select sum(Col16) where Col1 = '""&amp;$G214&amp;""' and Col2 &gt; date '""&amp;TEXT(T$8,""yyyy-mm-dd"")&amp;""' and Col2 &lt;= date '""&amp;TEXT(S$8,""yyyy-mm-dd"")&amp;""' label sum(Col16) ''"",0)))"),"")</f>
        <v/>
      </c>
      <c r="T214" s="628" t="str">
        <f>IFERROR(__xludf.DUMMYFUNCTION("IF($G214="""","""",IFERROR(query({proventos!$B$5:$Q310},""Select sum(Col16) where Col1 = '""&amp;$G214&amp;""' and Col2 &gt; date '""&amp;TEXT(U$8,""yyyy-mm-dd"")&amp;""' and Col2 &lt;= date '""&amp;TEXT(T$8,""yyyy-mm-dd"")&amp;""' label sum(Col16) ''"",0)))"),"")</f>
        <v/>
      </c>
      <c r="U214" s="629" t="str">
        <f>IFERROR(__xludf.DUMMYFUNCTION("IF($G214="""","""",IFERROR(query({proventos!$B$5:$Q310},""Select sum(Col16) where Col1 = '""&amp;$G214&amp;""' and Col2 &gt; date '""&amp;TEXT(EOMONTH(TODAY(),-13),""yyyy-mm-dd"")&amp;""' and Col2 &lt;= date '""&amp;TEXT(U$8,""yyyy-mm-dd"")&amp;""' label sum(Col16) ''"",0)))"),"")</f>
        <v/>
      </c>
      <c r="V214" s="630" t="str">
        <f>IFERROR(__xludf.DUMMYFUNCTION("IF($G214="""","""",IFERROR(query({proventos!$B$5:$Q310},""Select sum(Col16) where Col1 = '""&amp;$G214&amp;""' and Col2 &gt; date '""&amp;TEXT(DATE(V$8,1,1),""yyyy-mm-dd"")&amp;""' and Col2 &lt;= date '""&amp;TEXT(DATE(V$8,12,31),""yyyy-mm-dd"")&amp;""' label sum(Col16) ''"",0)))"),"")</f>
        <v/>
      </c>
      <c r="W214" s="630" t="str">
        <f>IFERROR(__xludf.DUMMYFUNCTION("IF($G214="""","""",IFERROR(query({proventos!$B$5:$Q310},""Select sum(Col16) where Col1 = '""&amp;$G214&amp;""' and Col2 &gt; date '""&amp;TEXT(DATE(W$8,1,1),""yyyy-mm-dd"")&amp;""' and Col2 &lt;= date '""&amp;TEXT(DATE(W$8,12,31),""yyyy-mm-dd"")&amp;""' label sum(Col16) ''"",0)))"),"")</f>
        <v/>
      </c>
      <c r="X214" s="630" t="str">
        <f>IFERROR(__xludf.DUMMYFUNCTION("IF($G214="""","""",IFERROR(query({proventos!$B$5:$Q310},""Select sum(Col16) where Col1 = '""&amp;$G214&amp;""' and Col2 &gt; date '""&amp;TEXT(DATE(X$8,1,1),""yyyy-mm-dd"")&amp;""' and Col2 &lt;= date '""&amp;TEXT(DATE(X$8,12,31),""yyyy-mm-dd"")&amp;""' label sum(Col16) ''"",0)))"),"")</f>
        <v/>
      </c>
      <c r="Y214" s="630" t="str">
        <f>IFERROR(__xludf.DUMMYFUNCTION("IF($G214="""","""",IFERROR(query({proventos!$B$5:$Q310},""Select sum(Col16) where Col1 = '""&amp;$G214&amp;""' and Col2 &gt; date '""&amp;TEXT(DATE(Y$8,1,1),""yyyy-mm-dd"")&amp;""' and Col2 &lt;= date '""&amp;TEXT(DATE(Y$8,12,31),""yyyy-mm-dd"")&amp;""' label sum(Col16) ''"",0)))"),"")</f>
        <v/>
      </c>
      <c r="Z214" s="630" t="str">
        <f>IFERROR(__xludf.DUMMYFUNCTION("IF($G214="""","""",IFERROR(query({proventos!$B$5:$Q310},""Select sum(Col16) where Col1 = '""&amp;$G214&amp;""' and Col2 &gt; date '""&amp;TEXT(DATE(Z$8,1,1),""yyyy-mm-dd"")&amp;""' and Col2 &lt;= date '""&amp;TEXT(DATE(Z$8,12,31),""yyyy-mm-dd"")&amp;""' label sum(Col16) ''"",0)))"),"")</f>
        <v/>
      </c>
      <c r="AA214" s="587"/>
      <c r="AB214" s="578" t="s">
        <v>123</v>
      </c>
      <c r="AC214" s="601"/>
      <c r="AD214" s="636"/>
      <c r="AE214" s="636"/>
    </row>
    <row r="215">
      <c r="A215" s="576"/>
      <c r="B215" s="620"/>
      <c r="C215" s="637"/>
      <c r="D215" s="633"/>
      <c r="E215" s="633"/>
      <c r="F215" s="624">
        <v>205.0</v>
      </c>
      <c r="G215" s="635"/>
      <c r="H215" s="626" t="str">
        <f>if(G215="","",IFERROR(VLOOKUP(G215,AtivosDados,MATCH("provento_avg",portfolio.!$A$3:AE$3,0),FALSE),""))</f>
        <v/>
      </c>
      <c r="I215" s="627" t="s">
        <v>123</v>
      </c>
      <c r="J215" s="628" t="str">
        <f>IFERROR(__xludf.DUMMYFUNCTION("IF($G215="""","""",IFERROR(query({proventos!$B$5:$Q310},""Select sum(Col16) where Col1 = '""&amp;$G215&amp;""' and Col2 &gt; date '""&amp;TEXT(K$8,""yyyy-mm-dd"")&amp;""' and Col2 &lt;= date '""&amp;TEXT(J$8,""yyyy-mm-dd"")&amp;""' label sum(Col16) ''"",0)))"),"")</f>
        <v/>
      </c>
      <c r="K215" s="628" t="str">
        <f>IFERROR(__xludf.DUMMYFUNCTION("IF($G215="""","""",IFERROR(query({proventos!$B$5:$Q310},""Select sum(Col16) where Col1 = '""&amp;$G215&amp;""' and Col2 &gt; date '""&amp;TEXT(L$8,""yyyy-mm-dd"")&amp;""' and Col2 &lt;= date '""&amp;TEXT(K$8,""yyyy-mm-dd"")&amp;""' label sum(Col16) ''"",0)))"),"")</f>
        <v/>
      </c>
      <c r="L215" s="628" t="str">
        <f>IFERROR(__xludf.DUMMYFUNCTION("IF($G215="""","""",IFERROR(query({proventos!$B$5:$Q310},""Select sum(Col16) where Col1 = '""&amp;$G215&amp;""' and Col2 &gt; date '""&amp;TEXT(M$8,""yyyy-mm-dd"")&amp;""' and Col2 &lt;= date '""&amp;TEXT(L$8,""yyyy-mm-dd"")&amp;""' label sum(Col16) ''"",0)))"),"")</f>
        <v/>
      </c>
      <c r="M215" s="628" t="str">
        <f>IFERROR(__xludf.DUMMYFUNCTION("IF($G215="""","""",IFERROR(query({proventos!$B$5:$Q310},""Select sum(Col16) where Col1 = '""&amp;$G215&amp;""' and Col2 &gt; date '""&amp;TEXT(N$8,""yyyy-mm-dd"")&amp;""' and Col2 &lt;= date '""&amp;TEXT(M$8,""yyyy-mm-dd"")&amp;""' label sum(Col16) ''"",0)))"),"")</f>
        <v/>
      </c>
      <c r="N215" s="628" t="str">
        <f>IFERROR(__xludf.DUMMYFUNCTION("IF($G215="""","""",IFERROR(query({proventos!$B$5:$Q310},""Select sum(Col16) where Col1 = '""&amp;$G215&amp;""' and Col2 &gt; date '""&amp;TEXT(O$8,""yyyy-mm-dd"")&amp;""' and Col2 &lt;= date '""&amp;TEXT(N$8,""yyyy-mm-dd"")&amp;""' label sum(Col16) ''"",0)))"),"")</f>
        <v/>
      </c>
      <c r="O215" s="628" t="str">
        <f>IFERROR(__xludf.DUMMYFUNCTION("IF($G215="""","""",IFERROR(query({proventos!$B$5:$Q310},""Select sum(Col16) where Col1 = '""&amp;$G215&amp;""' and Col2 &gt; date '""&amp;TEXT(P$8,""yyyy-mm-dd"")&amp;""' and Col2 &lt;= date '""&amp;TEXT(O$8,""yyyy-mm-dd"")&amp;""' label sum(Col16) ''"",0)))"),"")</f>
        <v/>
      </c>
      <c r="P215" s="628" t="str">
        <f>IFERROR(__xludf.DUMMYFUNCTION("IF($G215="""","""",IFERROR(query({proventos!$B$5:$Q310},""Select sum(Col16) where Col1 = '""&amp;$G215&amp;""' and Col2 &gt; date '""&amp;TEXT(Q$8,""yyyy-mm-dd"")&amp;""' and Col2 &lt;= date '""&amp;TEXT(P$8,""yyyy-mm-dd"")&amp;""' label sum(Col16) ''"",0)))"),"")</f>
        <v/>
      </c>
      <c r="Q215" s="628" t="str">
        <f>IFERROR(__xludf.DUMMYFUNCTION("IF($G215="""","""",IFERROR(query({proventos!$B$5:$Q310},""Select sum(Col16) where Col1 = '""&amp;$G215&amp;""' and Col2 &gt; date '""&amp;TEXT(R$8,""yyyy-mm-dd"")&amp;""' and Col2 &lt;= date '""&amp;TEXT(Q$8,""yyyy-mm-dd"")&amp;""' label sum(Col16) ''"",0)))"),"")</f>
        <v/>
      </c>
      <c r="R215" s="628" t="str">
        <f>IFERROR(__xludf.DUMMYFUNCTION("IF($G215="""","""",IFERROR(query({proventos!$B$5:$Q310},""Select sum(Col16) where Col1 = '""&amp;$G215&amp;""' and Col2 &gt; date '""&amp;TEXT(S$8,""yyyy-mm-dd"")&amp;""' and Col2 &lt;= date '""&amp;TEXT(R$8,""yyyy-mm-dd"")&amp;""' label sum(Col16) ''"",0)))"),"")</f>
        <v/>
      </c>
      <c r="S215" s="628" t="str">
        <f>IFERROR(__xludf.DUMMYFUNCTION("IF($G215="""","""",IFERROR(query({proventos!$B$5:$Q310},""Select sum(Col16) where Col1 = '""&amp;$G215&amp;""' and Col2 &gt; date '""&amp;TEXT(T$8,""yyyy-mm-dd"")&amp;""' and Col2 &lt;= date '""&amp;TEXT(S$8,""yyyy-mm-dd"")&amp;""' label sum(Col16) ''"",0)))"),"")</f>
        <v/>
      </c>
      <c r="T215" s="628" t="str">
        <f>IFERROR(__xludf.DUMMYFUNCTION("IF($G215="""","""",IFERROR(query({proventos!$B$5:$Q310},""Select sum(Col16) where Col1 = '""&amp;$G215&amp;""' and Col2 &gt; date '""&amp;TEXT(U$8,""yyyy-mm-dd"")&amp;""' and Col2 &lt;= date '""&amp;TEXT(T$8,""yyyy-mm-dd"")&amp;""' label sum(Col16) ''"",0)))"),"")</f>
        <v/>
      </c>
      <c r="U215" s="629" t="str">
        <f>IFERROR(__xludf.DUMMYFUNCTION("IF($G215="""","""",IFERROR(query({proventos!$B$5:$Q310},""Select sum(Col16) where Col1 = '""&amp;$G215&amp;""' and Col2 &gt; date '""&amp;TEXT(EOMONTH(TODAY(),-13),""yyyy-mm-dd"")&amp;""' and Col2 &lt;= date '""&amp;TEXT(U$8,""yyyy-mm-dd"")&amp;""' label sum(Col16) ''"",0)))"),"")</f>
        <v/>
      </c>
      <c r="V215" s="630" t="str">
        <f>IFERROR(__xludf.DUMMYFUNCTION("IF($G215="""","""",IFERROR(query({proventos!$B$5:$Q310},""Select sum(Col16) where Col1 = '""&amp;$G215&amp;""' and Col2 &gt; date '""&amp;TEXT(DATE(V$8,1,1),""yyyy-mm-dd"")&amp;""' and Col2 &lt;= date '""&amp;TEXT(DATE(V$8,12,31),""yyyy-mm-dd"")&amp;""' label sum(Col16) ''"",0)))"),"")</f>
        <v/>
      </c>
      <c r="W215" s="630" t="str">
        <f>IFERROR(__xludf.DUMMYFUNCTION("IF($G215="""","""",IFERROR(query({proventos!$B$5:$Q310},""Select sum(Col16) where Col1 = '""&amp;$G215&amp;""' and Col2 &gt; date '""&amp;TEXT(DATE(W$8,1,1),""yyyy-mm-dd"")&amp;""' and Col2 &lt;= date '""&amp;TEXT(DATE(W$8,12,31),""yyyy-mm-dd"")&amp;""' label sum(Col16) ''"",0)))"),"")</f>
        <v/>
      </c>
      <c r="X215" s="630" t="str">
        <f>IFERROR(__xludf.DUMMYFUNCTION("IF($G215="""","""",IFERROR(query({proventos!$B$5:$Q310},""Select sum(Col16) where Col1 = '""&amp;$G215&amp;""' and Col2 &gt; date '""&amp;TEXT(DATE(X$8,1,1),""yyyy-mm-dd"")&amp;""' and Col2 &lt;= date '""&amp;TEXT(DATE(X$8,12,31),""yyyy-mm-dd"")&amp;""' label sum(Col16) ''"",0)))"),"")</f>
        <v/>
      </c>
      <c r="Y215" s="630" t="str">
        <f>IFERROR(__xludf.DUMMYFUNCTION("IF($G215="""","""",IFERROR(query({proventos!$B$5:$Q310},""Select sum(Col16) where Col1 = '""&amp;$G215&amp;""' and Col2 &gt; date '""&amp;TEXT(DATE(Y$8,1,1),""yyyy-mm-dd"")&amp;""' and Col2 &lt;= date '""&amp;TEXT(DATE(Y$8,12,31),""yyyy-mm-dd"")&amp;""' label sum(Col16) ''"",0)))"),"")</f>
        <v/>
      </c>
      <c r="Z215" s="630" t="str">
        <f>IFERROR(__xludf.DUMMYFUNCTION("IF($G215="""","""",IFERROR(query({proventos!$B$5:$Q310},""Select sum(Col16) where Col1 = '""&amp;$G215&amp;""' and Col2 &gt; date '""&amp;TEXT(DATE(Z$8,1,1),""yyyy-mm-dd"")&amp;""' and Col2 &lt;= date '""&amp;TEXT(DATE(Z$8,12,31),""yyyy-mm-dd"")&amp;""' label sum(Col16) ''"",0)))"),"")</f>
        <v/>
      </c>
      <c r="AA215" s="587"/>
      <c r="AB215" s="578" t="s">
        <v>123</v>
      </c>
      <c r="AC215" s="601"/>
      <c r="AD215" s="636"/>
      <c r="AE215" s="636"/>
    </row>
    <row r="216">
      <c r="A216" s="576"/>
      <c r="B216" s="620"/>
      <c r="C216" s="637"/>
      <c r="D216" s="633"/>
      <c r="E216" s="633"/>
      <c r="F216" s="624">
        <v>206.0</v>
      </c>
      <c r="G216" s="635"/>
      <c r="H216" s="626" t="str">
        <f>if(G216="","",IFERROR(VLOOKUP(G216,AtivosDados,MATCH("provento_avg",portfolio.!$A$3:AE$3,0),FALSE),""))</f>
        <v/>
      </c>
      <c r="I216" s="627" t="s">
        <v>123</v>
      </c>
      <c r="J216" s="628" t="str">
        <f>IFERROR(__xludf.DUMMYFUNCTION("IF($G216="""","""",IFERROR(query({proventos!$B$5:$Q310},""Select sum(Col16) where Col1 = '""&amp;$G216&amp;""' and Col2 &gt; date '""&amp;TEXT(K$8,""yyyy-mm-dd"")&amp;""' and Col2 &lt;= date '""&amp;TEXT(J$8,""yyyy-mm-dd"")&amp;""' label sum(Col16) ''"",0)))"),"")</f>
        <v/>
      </c>
      <c r="K216" s="628" t="str">
        <f>IFERROR(__xludf.DUMMYFUNCTION("IF($G216="""","""",IFERROR(query({proventos!$B$5:$Q310},""Select sum(Col16) where Col1 = '""&amp;$G216&amp;""' and Col2 &gt; date '""&amp;TEXT(L$8,""yyyy-mm-dd"")&amp;""' and Col2 &lt;= date '""&amp;TEXT(K$8,""yyyy-mm-dd"")&amp;""' label sum(Col16) ''"",0)))"),"")</f>
        <v/>
      </c>
      <c r="L216" s="628" t="str">
        <f>IFERROR(__xludf.DUMMYFUNCTION("IF($G216="""","""",IFERROR(query({proventos!$B$5:$Q310},""Select sum(Col16) where Col1 = '""&amp;$G216&amp;""' and Col2 &gt; date '""&amp;TEXT(M$8,""yyyy-mm-dd"")&amp;""' and Col2 &lt;= date '""&amp;TEXT(L$8,""yyyy-mm-dd"")&amp;""' label sum(Col16) ''"",0)))"),"")</f>
        <v/>
      </c>
      <c r="M216" s="628" t="str">
        <f>IFERROR(__xludf.DUMMYFUNCTION("IF($G216="""","""",IFERROR(query({proventos!$B$5:$Q310},""Select sum(Col16) where Col1 = '""&amp;$G216&amp;""' and Col2 &gt; date '""&amp;TEXT(N$8,""yyyy-mm-dd"")&amp;""' and Col2 &lt;= date '""&amp;TEXT(M$8,""yyyy-mm-dd"")&amp;""' label sum(Col16) ''"",0)))"),"")</f>
        <v/>
      </c>
      <c r="N216" s="628" t="str">
        <f>IFERROR(__xludf.DUMMYFUNCTION("IF($G216="""","""",IFERROR(query({proventos!$B$5:$Q310},""Select sum(Col16) where Col1 = '""&amp;$G216&amp;""' and Col2 &gt; date '""&amp;TEXT(O$8,""yyyy-mm-dd"")&amp;""' and Col2 &lt;= date '""&amp;TEXT(N$8,""yyyy-mm-dd"")&amp;""' label sum(Col16) ''"",0)))"),"")</f>
        <v/>
      </c>
      <c r="O216" s="628" t="str">
        <f>IFERROR(__xludf.DUMMYFUNCTION("IF($G216="""","""",IFERROR(query({proventos!$B$5:$Q310},""Select sum(Col16) where Col1 = '""&amp;$G216&amp;""' and Col2 &gt; date '""&amp;TEXT(P$8,""yyyy-mm-dd"")&amp;""' and Col2 &lt;= date '""&amp;TEXT(O$8,""yyyy-mm-dd"")&amp;""' label sum(Col16) ''"",0)))"),"")</f>
        <v/>
      </c>
      <c r="P216" s="628" t="str">
        <f>IFERROR(__xludf.DUMMYFUNCTION("IF($G216="""","""",IFERROR(query({proventos!$B$5:$Q310},""Select sum(Col16) where Col1 = '""&amp;$G216&amp;""' and Col2 &gt; date '""&amp;TEXT(Q$8,""yyyy-mm-dd"")&amp;""' and Col2 &lt;= date '""&amp;TEXT(P$8,""yyyy-mm-dd"")&amp;""' label sum(Col16) ''"",0)))"),"")</f>
        <v/>
      </c>
      <c r="Q216" s="628" t="str">
        <f>IFERROR(__xludf.DUMMYFUNCTION("IF($G216="""","""",IFERROR(query({proventos!$B$5:$Q310},""Select sum(Col16) where Col1 = '""&amp;$G216&amp;""' and Col2 &gt; date '""&amp;TEXT(R$8,""yyyy-mm-dd"")&amp;""' and Col2 &lt;= date '""&amp;TEXT(Q$8,""yyyy-mm-dd"")&amp;""' label sum(Col16) ''"",0)))"),"")</f>
        <v/>
      </c>
      <c r="R216" s="628" t="str">
        <f>IFERROR(__xludf.DUMMYFUNCTION("IF($G216="""","""",IFERROR(query({proventos!$B$5:$Q310},""Select sum(Col16) where Col1 = '""&amp;$G216&amp;""' and Col2 &gt; date '""&amp;TEXT(S$8,""yyyy-mm-dd"")&amp;""' and Col2 &lt;= date '""&amp;TEXT(R$8,""yyyy-mm-dd"")&amp;""' label sum(Col16) ''"",0)))"),"")</f>
        <v/>
      </c>
      <c r="S216" s="628" t="str">
        <f>IFERROR(__xludf.DUMMYFUNCTION("IF($G216="""","""",IFERROR(query({proventos!$B$5:$Q310},""Select sum(Col16) where Col1 = '""&amp;$G216&amp;""' and Col2 &gt; date '""&amp;TEXT(T$8,""yyyy-mm-dd"")&amp;""' and Col2 &lt;= date '""&amp;TEXT(S$8,""yyyy-mm-dd"")&amp;""' label sum(Col16) ''"",0)))"),"")</f>
        <v/>
      </c>
      <c r="T216" s="628" t="str">
        <f>IFERROR(__xludf.DUMMYFUNCTION("IF($G216="""","""",IFERROR(query({proventos!$B$5:$Q310},""Select sum(Col16) where Col1 = '""&amp;$G216&amp;""' and Col2 &gt; date '""&amp;TEXT(U$8,""yyyy-mm-dd"")&amp;""' and Col2 &lt;= date '""&amp;TEXT(T$8,""yyyy-mm-dd"")&amp;""' label sum(Col16) ''"",0)))"),"")</f>
        <v/>
      </c>
      <c r="U216" s="629" t="str">
        <f>IFERROR(__xludf.DUMMYFUNCTION("IF($G216="""","""",IFERROR(query({proventos!$B$5:$Q310},""Select sum(Col16) where Col1 = '""&amp;$G216&amp;""' and Col2 &gt; date '""&amp;TEXT(EOMONTH(TODAY(),-13),""yyyy-mm-dd"")&amp;""' and Col2 &lt;= date '""&amp;TEXT(U$8,""yyyy-mm-dd"")&amp;""' label sum(Col16) ''"",0)))"),"")</f>
        <v/>
      </c>
      <c r="V216" s="630" t="str">
        <f>IFERROR(__xludf.DUMMYFUNCTION("IF($G216="""","""",IFERROR(query({proventos!$B$5:$Q310},""Select sum(Col16) where Col1 = '""&amp;$G216&amp;""' and Col2 &gt; date '""&amp;TEXT(DATE(V$8,1,1),""yyyy-mm-dd"")&amp;""' and Col2 &lt;= date '""&amp;TEXT(DATE(V$8,12,31),""yyyy-mm-dd"")&amp;""' label sum(Col16) ''"",0)))"),"")</f>
        <v/>
      </c>
      <c r="W216" s="630" t="str">
        <f>IFERROR(__xludf.DUMMYFUNCTION("IF($G216="""","""",IFERROR(query({proventos!$B$5:$Q310},""Select sum(Col16) where Col1 = '""&amp;$G216&amp;""' and Col2 &gt; date '""&amp;TEXT(DATE(W$8,1,1),""yyyy-mm-dd"")&amp;""' and Col2 &lt;= date '""&amp;TEXT(DATE(W$8,12,31),""yyyy-mm-dd"")&amp;""' label sum(Col16) ''"",0)))"),"")</f>
        <v/>
      </c>
      <c r="X216" s="630" t="str">
        <f>IFERROR(__xludf.DUMMYFUNCTION("IF($G216="""","""",IFERROR(query({proventos!$B$5:$Q310},""Select sum(Col16) where Col1 = '""&amp;$G216&amp;""' and Col2 &gt; date '""&amp;TEXT(DATE(X$8,1,1),""yyyy-mm-dd"")&amp;""' and Col2 &lt;= date '""&amp;TEXT(DATE(X$8,12,31),""yyyy-mm-dd"")&amp;""' label sum(Col16) ''"",0)))"),"")</f>
        <v/>
      </c>
      <c r="Y216" s="630" t="str">
        <f>IFERROR(__xludf.DUMMYFUNCTION("IF($G216="""","""",IFERROR(query({proventos!$B$5:$Q310},""Select sum(Col16) where Col1 = '""&amp;$G216&amp;""' and Col2 &gt; date '""&amp;TEXT(DATE(Y$8,1,1),""yyyy-mm-dd"")&amp;""' and Col2 &lt;= date '""&amp;TEXT(DATE(Y$8,12,31),""yyyy-mm-dd"")&amp;""' label sum(Col16) ''"",0)))"),"")</f>
        <v/>
      </c>
      <c r="Z216" s="630" t="str">
        <f>IFERROR(__xludf.DUMMYFUNCTION("IF($G216="""","""",IFERROR(query({proventos!$B$5:$Q310},""Select sum(Col16) where Col1 = '""&amp;$G216&amp;""' and Col2 &gt; date '""&amp;TEXT(DATE(Z$8,1,1),""yyyy-mm-dd"")&amp;""' and Col2 &lt;= date '""&amp;TEXT(DATE(Z$8,12,31),""yyyy-mm-dd"")&amp;""' label sum(Col16) ''"",0)))"),"")</f>
        <v/>
      </c>
      <c r="AA216" s="587"/>
      <c r="AB216" s="578" t="s">
        <v>123</v>
      </c>
      <c r="AC216" s="601"/>
      <c r="AD216" s="636"/>
      <c r="AE216" s="636"/>
    </row>
    <row r="217">
      <c r="A217" s="576"/>
      <c r="B217" s="620"/>
      <c r="C217" s="637"/>
      <c r="D217" s="633"/>
      <c r="E217" s="633"/>
      <c r="F217" s="624">
        <v>207.0</v>
      </c>
      <c r="G217" s="635"/>
      <c r="H217" s="626" t="str">
        <f>if(G217="","",IFERROR(VLOOKUP(G217,AtivosDados,MATCH("provento_avg",portfolio.!$A$3:AE$3,0),FALSE),""))</f>
        <v/>
      </c>
      <c r="I217" s="627" t="s">
        <v>123</v>
      </c>
      <c r="J217" s="628" t="str">
        <f>IFERROR(__xludf.DUMMYFUNCTION("IF($G217="""","""",IFERROR(query({proventos!$B$5:$Q310},""Select sum(Col16) where Col1 = '""&amp;$G217&amp;""' and Col2 &gt; date '""&amp;TEXT(K$8,""yyyy-mm-dd"")&amp;""' and Col2 &lt;= date '""&amp;TEXT(J$8,""yyyy-mm-dd"")&amp;""' label sum(Col16) ''"",0)))"),"")</f>
        <v/>
      </c>
      <c r="K217" s="628" t="str">
        <f>IFERROR(__xludf.DUMMYFUNCTION("IF($G217="""","""",IFERROR(query({proventos!$B$5:$Q310},""Select sum(Col16) where Col1 = '""&amp;$G217&amp;""' and Col2 &gt; date '""&amp;TEXT(L$8,""yyyy-mm-dd"")&amp;""' and Col2 &lt;= date '""&amp;TEXT(K$8,""yyyy-mm-dd"")&amp;""' label sum(Col16) ''"",0)))"),"")</f>
        <v/>
      </c>
      <c r="L217" s="628" t="str">
        <f>IFERROR(__xludf.DUMMYFUNCTION("IF($G217="""","""",IFERROR(query({proventos!$B$5:$Q310},""Select sum(Col16) where Col1 = '""&amp;$G217&amp;""' and Col2 &gt; date '""&amp;TEXT(M$8,""yyyy-mm-dd"")&amp;""' and Col2 &lt;= date '""&amp;TEXT(L$8,""yyyy-mm-dd"")&amp;""' label sum(Col16) ''"",0)))"),"")</f>
        <v/>
      </c>
      <c r="M217" s="628" t="str">
        <f>IFERROR(__xludf.DUMMYFUNCTION("IF($G217="""","""",IFERROR(query({proventos!$B$5:$Q310},""Select sum(Col16) where Col1 = '""&amp;$G217&amp;""' and Col2 &gt; date '""&amp;TEXT(N$8,""yyyy-mm-dd"")&amp;""' and Col2 &lt;= date '""&amp;TEXT(M$8,""yyyy-mm-dd"")&amp;""' label sum(Col16) ''"",0)))"),"")</f>
        <v/>
      </c>
      <c r="N217" s="628" t="str">
        <f>IFERROR(__xludf.DUMMYFUNCTION("IF($G217="""","""",IFERROR(query({proventos!$B$5:$Q310},""Select sum(Col16) where Col1 = '""&amp;$G217&amp;""' and Col2 &gt; date '""&amp;TEXT(O$8,""yyyy-mm-dd"")&amp;""' and Col2 &lt;= date '""&amp;TEXT(N$8,""yyyy-mm-dd"")&amp;""' label sum(Col16) ''"",0)))"),"")</f>
        <v/>
      </c>
      <c r="O217" s="628" t="str">
        <f>IFERROR(__xludf.DUMMYFUNCTION("IF($G217="""","""",IFERROR(query({proventos!$B$5:$Q310},""Select sum(Col16) where Col1 = '""&amp;$G217&amp;""' and Col2 &gt; date '""&amp;TEXT(P$8,""yyyy-mm-dd"")&amp;""' and Col2 &lt;= date '""&amp;TEXT(O$8,""yyyy-mm-dd"")&amp;""' label sum(Col16) ''"",0)))"),"")</f>
        <v/>
      </c>
      <c r="P217" s="628" t="str">
        <f>IFERROR(__xludf.DUMMYFUNCTION("IF($G217="""","""",IFERROR(query({proventos!$B$5:$Q310},""Select sum(Col16) where Col1 = '""&amp;$G217&amp;""' and Col2 &gt; date '""&amp;TEXT(Q$8,""yyyy-mm-dd"")&amp;""' and Col2 &lt;= date '""&amp;TEXT(P$8,""yyyy-mm-dd"")&amp;""' label sum(Col16) ''"",0)))"),"")</f>
        <v/>
      </c>
      <c r="Q217" s="628" t="str">
        <f>IFERROR(__xludf.DUMMYFUNCTION("IF($G217="""","""",IFERROR(query({proventos!$B$5:$Q310},""Select sum(Col16) where Col1 = '""&amp;$G217&amp;""' and Col2 &gt; date '""&amp;TEXT(R$8,""yyyy-mm-dd"")&amp;""' and Col2 &lt;= date '""&amp;TEXT(Q$8,""yyyy-mm-dd"")&amp;""' label sum(Col16) ''"",0)))"),"")</f>
        <v/>
      </c>
      <c r="R217" s="628" t="str">
        <f>IFERROR(__xludf.DUMMYFUNCTION("IF($G217="""","""",IFERROR(query({proventos!$B$5:$Q310},""Select sum(Col16) where Col1 = '""&amp;$G217&amp;""' and Col2 &gt; date '""&amp;TEXT(S$8,""yyyy-mm-dd"")&amp;""' and Col2 &lt;= date '""&amp;TEXT(R$8,""yyyy-mm-dd"")&amp;""' label sum(Col16) ''"",0)))"),"")</f>
        <v/>
      </c>
      <c r="S217" s="628" t="str">
        <f>IFERROR(__xludf.DUMMYFUNCTION("IF($G217="""","""",IFERROR(query({proventos!$B$5:$Q310},""Select sum(Col16) where Col1 = '""&amp;$G217&amp;""' and Col2 &gt; date '""&amp;TEXT(T$8,""yyyy-mm-dd"")&amp;""' and Col2 &lt;= date '""&amp;TEXT(S$8,""yyyy-mm-dd"")&amp;""' label sum(Col16) ''"",0)))"),"")</f>
        <v/>
      </c>
      <c r="T217" s="628" t="str">
        <f>IFERROR(__xludf.DUMMYFUNCTION("IF($G217="""","""",IFERROR(query({proventos!$B$5:$Q310},""Select sum(Col16) where Col1 = '""&amp;$G217&amp;""' and Col2 &gt; date '""&amp;TEXT(U$8,""yyyy-mm-dd"")&amp;""' and Col2 &lt;= date '""&amp;TEXT(T$8,""yyyy-mm-dd"")&amp;""' label sum(Col16) ''"",0)))"),"")</f>
        <v/>
      </c>
      <c r="U217" s="629" t="str">
        <f>IFERROR(__xludf.DUMMYFUNCTION("IF($G217="""","""",IFERROR(query({proventos!$B$5:$Q310},""Select sum(Col16) where Col1 = '""&amp;$G217&amp;""' and Col2 &gt; date '""&amp;TEXT(EOMONTH(TODAY(),-13),""yyyy-mm-dd"")&amp;""' and Col2 &lt;= date '""&amp;TEXT(U$8,""yyyy-mm-dd"")&amp;""' label sum(Col16) ''"",0)))"),"")</f>
        <v/>
      </c>
      <c r="V217" s="630" t="str">
        <f>IFERROR(__xludf.DUMMYFUNCTION("IF($G217="""","""",IFERROR(query({proventos!$B$5:$Q310},""Select sum(Col16) where Col1 = '""&amp;$G217&amp;""' and Col2 &gt; date '""&amp;TEXT(DATE(V$8,1,1),""yyyy-mm-dd"")&amp;""' and Col2 &lt;= date '""&amp;TEXT(DATE(V$8,12,31),""yyyy-mm-dd"")&amp;""' label sum(Col16) ''"",0)))"),"")</f>
        <v/>
      </c>
      <c r="W217" s="630" t="str">
        <f>IFERROR(__xludf.DUMMYFUNCTION("IF($G217="""","""",IFERROR(query({proventos!$B$5:$Q310},""Select sum(Col16) where Col1 = '""&amp;$G217&amp;""' and Col2 &gt; date '""&amp;TEXT(DATE(W$8,1,1),""yyyy-mm-dd"")&amp;""' and Col2 &lt;= date '""&amp;TEXT(DATE(W$8,12,31),""yyyy-mm-dd"")&amp;""' label sum(Col16) ''"",0)))"),"")</f>
        <v/>
      </c>
      <c r="X217" s="630" t="str">
        <f>IFERROR(__xludf.DUMMYFUNCTION("IF($G217="""","""",IFERROR(query({proventos!$B$5:$Q310},""Select sum(Col16) where Col1 = '""&amp;$G217&amp;""' and Col2 &gt; date '""&amp;TEXT(DATE(X$8,1,1),""yyyy-mm-dd"")&amp;""' and Col2 &lt;= date '""&amp;TEXT(DATE(X$8,12,31),""yyyy-mm-dd"")&amp;""' label sum(Col16) ''"",0)))"),"")</f>
        <v/>
      </c>
      <c r="Y217" s="630" t="str">
        <f>IFERROR(__xludf.DUMMYFUNCTION("IF($G217="""","""",IFERROR(query({proventos!$B$5:$Q310},""Select sum(Col16) where Col1 = '""&amp;$G217&amp;""' and Col2 &gt; date '""&amp;TEXT(DATE(Y$8,1,1),""yyyy-mm-dd"")&amp;""' and Col2 &lt;= date '""&amp;TEXT(DATE(Y$8,12,31),""yyyy-mm-dd"")&amp;""' label sum(Col16) ''"",0)))"),"")</f>
        <v/>
      </c>
      <c r="Z217" s="630" t="str">
        <f>IFERROR(__xludf.DUMMYFUNCTION("IF($G217="""","""",IFERROR(query({proventos!$B$5:$Q310},""Select sum(Col16) where Col1 = '""&amp;$G217&amp;""' and Col2 &gt; date '""&amp;TEXT(DATE(Z$8,1,1),""yyyy-mm-dd"")&amp;""' and Col2 &lt;= date '""&amp;TEXT(DATE(Z$8,12,31),""yyyy-mm-dd"")&amp;""' label sum(Col16) ''"",0)))"),"")</f>
        <v/>
      </c>
      <c r="AA217" s="587"/>
      <c r="AB217" s="578" t="s">
        <v>123</v>
      </c>
      <c r="AC217" s="601"/>
      <c r="AD217" s="636"/>
      <c r="AE217" s="636"/>
    </row>
    <row r="218">
      <c r="A218" s="576"/>
      <c r="B218" s="620"/>
      <c r="C218" s="637"/>
      <c r="D218" s="633"/>
      <c r="E218" s="633"/>
      <c r="F218" s="624">
        <v>208.0</v>
      </c>
      <c r="G218" s="635"/>
      <c r="H218" s="626" t="str">
        <f>if(G218="","",IFERROR(VLOOKUP(G218,AtivosDados,MATCH("provento_avg",portfolio.!$A$3:AE$3,0),FALSE),""))</f>
        <v/>
      </c>
      <c r="I218" s="627" t="s">
        <v>123</v>
      </c>
      <c r="J218" s="628" t="str">
        <f>IFERROR(__xludf.DUMMYFUNCTION("IF($G218="""","""",IFERROR(query({proventos!$B$5:$Q310},""Select sum(Col16) where Col1 = '""&amp;$G218&amp;""' and Col2 &gt; date '""&amp;TEXT(K$8,""yyyy-mm-dd"")&amp;""' and Col2 &lt;= date '""&amp;TEXT(J$8,""yyyy-mm-dd"")&amp;""' label sum(Col16) ''"",0)))"),"")</f>
        <v/>
      </c>
      <c r="K218" s="628" t="str">
        <f>IFERROR(__xludf.DUMMYFUNCTION("IF($G218="""","""",IFERROR(query({proventos!$B$5:$Q310},""Select sum(Col16) where Col1 = '""&amp;$G218&amp;""' and Col2 &gt; date '""&amp;TEXT(L$8,""yyyy-mm-dd"")&amp;""' and Col2 &lt;= date '""&amp;TEXT(K$8,""yyyy-mm-dd"")&amp;""' label sum(Col16) ''"",0)))"),"")</f>
        <v/>
      </c>
      <c r="L218" s="628" t="str">
        <f>IFERROR(__xludf.DUMMYFUNCTION("IF($G218="""","""",IFERROR(query({proventos!$B$5:$Q310},""Select sum(Col16) where Col1 = '""&amp;$G218&amp;""' and Col2 &gt; date '""&amp;TEXT(M$8,""yyyy-mm-dd"")&amp;""' and Col2 &lt;= date '""&amp;TEXT(L$8,""yyyy-mm-dd"")&amp;""' label sum(Col16) ''"",0)))"),"")</f>
        <v/>
      </c>
      <c r="M218" s="628" t="str">
        <f>IFERROR(__xludf.DUMMYFUNCTION("IF($G218="""","""",IFERROR(query({proventos!$B$5:$Q310},""Select sum(Col16) where Col1 = '""&amp;$G218&amp;""' and Col2 &gt; date '""&amp;TEXT(N$8,""yyyy-mm-dd"")&amp;""' and Col2 &lt;= date '""&amp;TEXT(M$8,""yyyy-mm-dd"")&amp;""' label sum(Col16) ''"",0)))"),"")</f>
        <v/>
      </c>
      <c r="N218" s="628" t="str">
        <f>IFERROR(__xludf.DUMMYFUNCTION("IF($G218="""","""",IFERROR(query({proventos!$B$5:$Q310},""Select sum(Col16) where Col1 = '""&amp;$G218&amp;""' and Col2 &gt; date '""&amp;TEXT(O$8,""yyyy-mm-dd"")&amp;""' and Col2 &lt;= date '""&amp;TEXT(N$8,""yyyy-mm-dd"")&amp;""' label sum(Col16) ''"",0)))"),"")</f>
        <v/>
      </c>
      <c r="O218" s="628" t="str">
        <f>IFERROR(__xludf.DUMMYFUNCTION("IF($G218="""","""",IFERROR(query({proventos!$B$5:$Q310},""Select sum(Col16) where Col1 = '""&amp;$G218&amp;""' and Col2 &gt; date '""&amp;TEXT(P$8,""yyyy-mm-dd"")&amp;""' and Col2 &lt;= date '""&amp;TEXT(O$8,""yyyy-mm-dd"")&amp;""' label sum(Col16) ''"",0)))"),"")</f>
        <v/>
      </c>
      <c r="P218" s="628" t="str">
        <f>IFERROR(__xludf.DUMMYFUNCTION("IF($G218="""","""",IFERROR(query({proventos!$B$5:$Q310},""Select sum(Col16) where Col1 = '""&amp;$G218&amp;""' and Col2 &gt; date '""&amp;TEXT(Q$8,""yyyy-mm-dd"")&amp;""' and Col2 &lt;= date '""&amp;TEXT(P$8,""yyyy-mm-dd"")&amp;""' label sum(Col16) ''"",0)))"),"")</f>
        <v/>
      </c>
      <c r="Q218" s="628" t="str">
        <f>IFERROR(__xludf.DUMMYFUNCTION("IF($G218="""","""",IFERROR(query({proventos!$B$5:$Q310},""Select sum(Col16) where Col1 = '""&amp;$G218&amp;""' and Col2 &gt; date '""&amp;TEXT(R$8,""yyyy-mm-dd"")&amp;""' and Col2 &lt;= date '""&amp;TEXT(Q$8,""yyyy-mm-dd"")&amp;""' label sum(Col16) ''"",0)))"),"")</f>
        <v/>
      </c>
      <c r="R218" s="628" t="str">
        <f>IFERROR(__xludf.DUMMYFUNCTION("IF($G218="""","""",IFERROR(query({proventos!$B$5:$Q310},""Select sum(Col16) where Col1 = '""&amp;$G218&amp;""' and Col2 &gt; date '""&amp;TEXT(S$8,""yyyy-mm-dd"")&amp;""' and Col2 &lt;= date '""&amp;TEXT(R$8,""yyyy-mm-dd"")&amp;""' label sum(Col16) ''"",0)))"),"")</f>
        <v/>
      </c>
      <c r="S218" s="628" t="str">
        <f>IFERROR(__xludf.DUMMYFUNCTION("IF($G218="""","""",IFERROR(query({proventos!$B$5:$Q310},""Select sum(Col16) where Col1 = '""&amp;$G218&amp;""' and Col2 &gt; date '""&amp;TEXT(T$8,""yyyy-mm-dd"")&amp;""' and Col2 &lt;= date '""&amp;TEXT(S$8,""yyyy-mm-dd"")&amp;""' label sum(Col16) ''"",0)))"),"")</f>
        <v/>
      </c>
      <c r="T218" s="628" t="str">
        <f>IFERROR(__xludf.DUMMYFUNCTION("IF($G218="""","""",IFERROR(query({proventos!$B$5:$Q310},""Select sum(Col16) where Col1 = '""&amp;$G218&amp;""' and Col2 &gt; date '""&amp;TEXT(U$8,""yyyy-mm-dd"")&amp;""' and Col2 &lt;= date '""&amp;TEXT(T$8,""yyyy-mm-dd"")&amp;""' label sum(Col16) ''"",0)))"),"")</f>
        <v/>
      </c>
      <c r="U218" s="629" t="str">
        <f>IFERROR(__xludf.DUMMYFUNCTION("IF($G218="""","""",IFERROR(query({proventos!$B$5:$Q310},""Select sum(Col16) where Col1 = '""&amp;$G218&amp;""' and Col2 &gt; date '""&amp;TEXT(EOMONTH(TODAY(),-13),""yyyy-mm-dd"")&amp;""' and Col2 &lt;= date '""&amp;TEXT(U$8,""yyyy-mm-dd"")&amp;""' label sum(Col16) ''"",0)))"),"")</f>
        <v/>
      </c>
      <c r="V218" s="630" t="str">
        <f>IFERROR(__xludf.DUMMYFUNCTION("IF($G218="""","""",IFERROR(query({proventos!$B$5:$Q310},""Select sum(Col16) where Col1 = '""&amp;$G218&amp;""' and Col2 &gt; date '""&amp;TEXT(DATE(V$8,1,1),""yyyy-mm-dd"")&amp;""' and Col2 &lt;= date '""&amp;TEXT(DATE(V$8,12,31),""yyyy-mm-dd"")&amp;""' label sum(Col16) ''"",0)))"),"")</f>
        <v/>
      </c>
      <c r="W218" s="630" t="str">
        <f>IFERROR(__xludf.DUMMYFUNCTION("IF($G218="""","""",IFERROR(query({proventos!$B$5:$Q310},""Select sum(Col16) where Col1 = '""&amp;$G218&amp;""' and Col2 &gt; date '""&amp;TEXT(DATE(W$8,1,1),""yyyy-mm-dd"")&amp;""' and Col2 &lt;= date '""&amp;TEXT(DATE(W$8,12,31),""yyyy-mm-dd"")&amp;""' label sum(Col16) ''"",0)))"),"")</f>
        <v/>
      </c>
      <c r="X218" s="630" t="str">
        <f>IFERROR(__xludf.DUMMYFUNCTION("IF($G218="""","""",IFERROR(query({proventos!$B$5:$Q310},""Select sum(Col16) where Col1 = '""&amp;$G218&amp;""' and Col2 &gt; date '""&amp;TEXT(DATE(X$8,1,1),""yyyy-mm-dd"")&amp;""' and Col2 &lt;= date '""&amp;TEXT(DATE(X$8,12,31),""yyyy-mm-dd"")&amp;""' label sum(Col16) ''"",0)))"),"")</f>
        <v/>
      </c>
      <c r="Y218" s="630" t="str">
        <f>IFERROR(__xludf.DUMMYFUNCTION("IF($G218="""","""",IFERROR(query({proventos!$B$5:$Q310},""Select sum(Col16) where Col1 = '""&amp;$G218&amp;""' and Col2 &gt; date '""&amp;TEXT(DATE(Y$8,1,1),""yyyy-mm-dd"")&amp;""' and Col2 &lt;= date '""&amp;TEXT(DATE(Y$8,12,31),""yyyy-mm-dd"")&amp;""' label sum(Col16) ''"",0)))"),"")</f>
        <v/>
      </c>
      <c r="Z218" s="630" t="str">
        <f>IFERROR(__xludf.DUMMYFUNCTION("IF($G218="""","""",IFERROR(query({proventos!$B$5:$Q310},""Select sum(Col16) where Col1 = '""&amp;$G218&amp;""' and Col2 &gt; date '""&amp;TEXT(DATE(Z$8,1,1),""yyyy-mm-dd"")&amp;""' and Col2 &lt;= date '""&amp;TEXT(DATE(Z$8,12,31),""yyyy-mm-dd"")&amp;""' label sum(Col16) ''"",0)))"),"")</f>
        <v/>
      </c>
      <c r="AA218" s="587"/>
      <c r="AB218" s="578" t="s">
        <v>123</v>
      </c>
      <c r="AC218" s="601"/>
      <c r="AD218" s="636"/>
      <c r="AE218" s="636"/>
    </row>
    <row r="219">
      <c r="A219" s="576"/>
      <c r="B219" s="620"/>
      <c r="C219" s="637"/>
      <c r="D219" s="633"/>
      <c r="E219" s="633"/>
      <c r="F219" s="624">
        <v>209.0</v>
      </c>
      <c r="G219" s="635"/>
      <c r="H219" s="626" t="str">
        <f>if(G219="","",IFERROR(VLOOKUP(G219,AtivosDados,MATCH("provento_avg",portfolio.!$A$3:AE$3,0),FALSE),""))</f>
        <v/>
      </c>
      <c r="I219" s="627" t="s">
        <v>123</v>
      </c>
      <c r="J219" s="628" t="str">
        <f>IFERROR(__xludf.DUMMYFUNCTION("IF($G219="""","""",IFERROR(query({proventos!$B$5:$Q310},""Select sum(Col16) where Col1 = '""&amp;$G219&amp;""' and Col2 &gt; date '""&amp;TEXT(K$8,""yyyy-mm-dd"")&amp;""' and Col2 &lt;= date '""&amp;TEXT(J$8,""yyyy-mm-dd"")&amp;""' label sum(Col16) ''"",0)))"),"")</f>
        <v/>
      </c>
      <c r="K219" s="628" t="str">
        <f>IFERROR(__xludf.DUMMYFUNCTION("IF($G219="""","""",IFERROR(query({proventos!$B$5:$Q310},""Select sum(Col16) where Col1 = '""&amp;$G219&amp;""' and Col2 &gt; date '""&amp;TEXT(L$8,""yyyy-mm-dd"")&amp;""' and Col2 &lt;= date '""&amp;TEXT(K$8,""yyyy-mm-dd"")&amp;""' label sum(Col16) ''"",0)))"),"")</f>
        <v/>
      </c>
      <c r="L219" s="628" t="str">
        <f>IFERROR(__xludf.DUMMYFUNCTION("IF($G219="""","""",IFERROR(query({proventos!$B$5:$Q310},""Select sum(Col16) where Col1 = '""&amp;$G219&amp;""' and Col2 &gt; date '""&amp;TEXT(M$8,""yyyy-mm-dd"")&amp;""' and Col2 &lt;= date '""&amp;TEXT(L$8,""yyyy-mm-dd"")&amp;""' label sum(Col16) ''"",0)))"),"")</f>
        <v/>
      </c>
      <c r="M219" s="628" t="str">
        <f>IFERROR(__xludf.DUMMYFUNCTION("IF($G219="""","""",IFERROR(query({proventos!$B$5:$Q310},""Select sum(Col16) where Col1 = '""&amp;$G219&amp;""' and Col2 &gt; date '""&amp;TEXT(N$8,""yyyy-mm-dd"")&amp;""' and Col2 &lt;= date '""&amp;TEXT(M$8,""yyyy-mm-dd"")&amp;""' label sum(Col16) ''"",0)))"),"")</f>
        <v/>
      </c>
      <c r="N219" s="628" t="str">
        <f>IFERROR(__xludf.DUMMYFUNCTION("IF($G219="""","""",IFERROR(query({proventos!$B$5:$Q310},""Select sum(Col16) where Col1 = '""&amp;$G219&amp;""' and Col2 &gt; date '""&amp;TEXT(O$8,""yyyy-mm-dd"")&amp;""' and Col2 &lt;= date '""&amp;TEXT(N$8,""yyyy-mm-dd"")&amp;""' label sum(Col16) ''"",0)))"),"")</f>
        <v/>
      </c>
      <c r="O219" s="628" t="str">
        <f>IFERROR(__xludf.DUMMYFUNCTION("IF($G219="""","""",IFERROR(query({proventos!$B$5:$Q310},""Select sum(Col16) where Col1 = '""&amp;$G219&amp;""' and Col2 &gt; date '""&amp;TEXT(P$8,""yyyy-mm-dd"")&amp;""' and Col2 &lt;= date '""&amp;TEXT(O$8,""yyyy-mm-dd"")&amp;""' label sum(Col16) ''"",0)))"),"")</f>
        <v/>
      </c>
      <c r="P219" s="628" t="str">
        <f>IFERROR(__xludf.DUMMYFUNCTION("IF($G219="""","""",IFERROR(query({proventos!$B$5:$Q310},""Select sum(Col16) where Col1 = '""&amp;$G219&amp;""' and Col2 &gt; date '""&amp;TEXT(Q$8,""yyyy-mm-dd"")&amp;""' and Col2 &lt;= date '""&amp;TEXT(P$8,""yyyy-mm-dd"")&amp;""' label sum(Col16) ''"",0)))"),"")</f>
        <v/>
      </c>
      <c r="Q219" s="628" t="str">
        <f>IFERROR(__xludf.DUMMYFUNCTION("IF($G219="""","""",IFERROR(query({proventos!$B$5:$Q310},""Select sum(Col16) where Col1 = '""&amp;$G219&amp;""' and Col2 &gt; date '""&amp;TEXT(R$8,""yyyy-mm-dd"")&amp;""' and Col2 &lt;= date '""&amp;TEXT(Q$8,""yyyy-mm-dd"")&amp;""' label sum(Col16) ''"",0)))"),"")</f>
        <v/>
      </c>
      <c r="R219" s="628" t="str">
        <f>IFERROR(__xludf.DUMMYFUNCTION("IF($G219="""","""",IFERROR(query({proventos!$B$5:$Q310},""Select sum(Col16) where Col1 = '""&amp;$G219&amp;""' and Col2 &gt; date '""&amp;TEXT(S$8,""yyyy-mm-dd"")&amp;""' and Col2 &lt;= date '""&amp;TEXT(R$8,""yyyy-mm-dd"")&amp;""' label sum(Col16) ''"",0)))"),"")</f>
        <v/>
      </c>
      <c r="S219" s="628" t="str">
        <f>IFERROR(__xludf.DUMMYFUNCTION("IF($G219="""","""",IFERROR(query({proventos!$B$5:$Q310},""Select sum(Col16) where Col1 = '""&amp;$G219&amp;""' and Col2 &gt; date '""&amp;TEXT(T$8,""yyyy-mm-dd"")&amp;""' and Col2 &lt;= date '""&amp;TEXT(S$8,""yyyy-mm-dd"")&amp;""' label sum(Col16) ''"",0)))"),"")</f>
        <v/>
      </c>
      <c r="T219" s="628" t="str">
        <f>IFERROR(__xludf.DUMMYFUNCTION("IF($G219="""","""",IFERROR(query({proventos!$B$5:$Q310},""Select sum(Col16) where Col1 = '""&amp;$G219&amp;""' and Col2 &gt; date '""&amp;TEXT(U$8,""yyyy-mm-dd"")&amp;""' and Col2 &lt;= date '""&amp;TEXT(T$8,""yyyy-mm-dd"")&amp;""' label sum(Col16) ''"",0)))"),"")</f>
        <v/>
      </c>
      <c r="U219" s="629" t="str">
        <f>IFERROR(__xludf.DUMMYFUNCTION("IF($G219="""","""",IFERROR(query({proventos!$B$5:$Q310},""Select sum(Col16) where Col1 = '""&amp;$G219&amp;""' and Col2 &gt; date '""&amp;TEXT(EOMONTH(TODAY(),-13),""yyyy-mm-dd"")&amp;""' and Col2 &lt;= date '""&amp;TEXT(U$8,""yyyy-mm-dd"")&amp;""' label sum(Col16) ''"",0)))"),"")</f>
        <v/>
      </c>
      <c r="V219" s="630" t="str">
        <f>IFERROR(__xludf.DUMMYFUNCTION("IF($G219="""","""",IFERROR(query({proventos!$B$5:$Q310},""Select sum(Col16) where Col1 = '""&amp;$G219&amp;""' and Col2 &gt; date '""&amp;TEXT(DATE(V$8,1,1),""yyyy-mm-dd"")&amp;""' and Col2 &lt;= date '""&amp;TEXT(DATE(V$8,12,31),""yyyy-mm-dd"")&amp;""' label sum(Col16) ''"",0)))"),"")</f>
        <v/>
      </c>
      <c r="W219" s="630" t="str">
        <f>IFERROR(__xludf.DUMMYFUNCTION("IF($G219="""","""",IFERROR(query({proventos!$B$5:$Q310},""Select sum(Col16) where Col1 = '""&amp;$G219&amp;""' and Col2 &gt; date '""&amp;TEXT(DATE(W$8,1,1),""yyyy-mm-dd"")&amp;""' and Col2 &lt;= date '""&amp;TEXT(DATE(W$8,12,31),""yyyy-mm-dd"")&amp;""' label sum(Col16) ''"",0)))"),"")</f>
        <v/>
      </c>
      <c r="X219" s="630" t="str">
        <f>IFERROR(__xludf.DUMMYFUNCTION("IF($G219="""","""",IFERROR(query({proventos!$B$5:$Q310},""Select sum(Col16) where Col1 = '""&amp;$G219&amp;""' and Col2 &gt; date '""&amp;TEXT(DATE(X$8,1,1),""yyyy-mm-dd"")&amp;""' and Col2 &lt;= date '""&amp;TEXT(DATE(X$8,12,31),""yyyy-mm-dd"")&amp;""' label sum(Col16) ''"",0)))"),"")</f>
        <v/>
      </c>
      <c r="Y219" s="630" t="str">
        <f>IFERROR(__xludf.DUMMYFUNCTION("IF($G219="""","""",IFERROR(query({proventos!$B$5:$Q310},""Select sum(Col16) where Col1 = '""&amp;$G219&amp;""' and Col2 &gt; date '""&amp;TEXT(DATE(Y$8,1,1),""yyyy-mm-dd"")&amp;""' and Col2 &lt;= date '""&amp;TEXT(DATE(Y$8,12,31),""yyyy-mm-dd"")&amp;""' label sum(Col16) ''"",0)))"),"")</f>
        <v/>
      </c>
      <c r="Z219" s="630" t="str">
        <f>IFERROR(__xludf.DUMMYFUNCTION("IF($G219="""","""",IFERROR(query({proventos!$B$5:$Q310},""Select sum(Col16) where Col1 = '""&amp;$G219&amp;""' and Col2 &gt; date '""&amp;TEXT(DATE(Z$8,1,1),""yyyy-mm-dd"")&amp;""' and Col2 &lt;= date '""&amp;TEXT(DATE(Z$8,12,31),""yyyy-mm-dd"")&amp;""' label sum(Col16) ''"",0)))"),"")</f>
        <v/>
      </c>
      <c r="AA219" s="587"/>
      <c r="AB219" s="578" t="s">
        <v>123</v>
      </c>
      <c r="AC219" s="601"/>
      <c r="AD219" s="636"/>
      <c r="AE219" s="636"/>
    </row>
    <row r="220">
      <c r="A220" s="576"/>
      <c r="B220" s="620"/>
      <c r="C220" s="637"/>
      <c r="D220" s="633"/>
      <c r="E220" s="633"/>
      <c r="F220" s="624">
        <v>210.0</v>
      </c>
      <c r="G220" s="635"/>
      <c r="H220" s="626" t="str">
        <f>if(G220="","",IFERROR(VLOOKUP(G220,AtivosDados,MATCH("provento_avg",portfolio.!$A$3:AE$3,0),FALSE),""))</f>
        <v/>
      </c>
      <c r="I220" s="627" t="s">
        <v>123</v>
      </c>
      <c r="J220" s="628" t="str">
        <f>IFERROR(__xludf.DUMMYFUNCTION("IF($G220="""","""",IFERROR(query({proventos!$B$5:$Q310},""Select sum(Col16) where Col1 = '""&amp;$G220&amp;""' and Col2 &gt; date '""&amp;TEXT(K$8,""yyyy-mm-dd"")&amp;""' and Col2 &lt;= date '""&amp;TEXT(J$8,""yyyy-mm-dd"")&amp;""' label sum(Col16) ''"",0)))"),"")</f>
        <v/>
      </c>
      <c r="K220" s="628" t="str">
        <f>IFERROR(__xludf.DUMMYFUNCTION("IF($G220="""","""",IFERROR(query({proventos!$B$5:$Q310},""Select sum(Col16) where Col1 = '""&amp;$G220&amp;""' and Col2 &gt; date '""&amp;TEXT(L$8,""yyyy-mm-dd"")&amp;""' and Col2 &lt;= date '""&amp;TEXT(K$8,""yyyy-mm-dd"")&amp;""' label sum(Col16) ''"",0)))"),"")</f>
        <v/>
      </c>
      <c r="L220" s="628" t="str">
        <f>IFERROR(__xludf.DUMMYFUNCTION("IF($G220="""","""",IFERROR(query({proventos!$B$5:$Q310},""Select sum(Col16) where Col1 = '""&amp;$G220&amp;""' and Col2 &gt; date '""&amp;TEXT(M$8,""yyyy-mm-dd"")&amp;""' and Col2 &lt;= date '""&amp;TEXT(L$8,""yyyy-mm-dd"")&amp;""' label sum(Col16) ''"",0)))"),"")</f>
        <v/>
      </c>
      <c r="M220" s="628" t="str">
        <f>IFERROR(__xludf.DUMMYFUNCTION("IF($G220="""","""",IFERROR(query({proventos!$B$5:$Q310},""Select sum(Col16) where Col1 = '""&amp;$G220&amp;""' and Col2 &gt; date '""&amp;TEXT(N$8,""yyyy-mm-dd"")&amp;""' and Col2 &lt;= date '""&amp;TEXT(M$8,""yyyy-mm-dd"")&amp;""' label sum(Col16) ''"",0)))"),"")</f>
        <v/>
      </c>
      <c r="N220" s="628" t="str">
        <f>IFERROR(__xludf.DUMMYFUNCTION("IF($G220="""","""",IFERROR(query({proventos!$B$5:$Q310},""Select sum(Col16) where Col1 = '""&amp;$G220&amp;""' and Col2 &gt; date '""&amp;TEXT(O$8,""yyyy-mm-dd"")&amp;""' and Col2 &lt;= date '""&amp;TEXT(N$8,""yyyy-mm-dd"")&amp;""' label sum(Col16) ''"",0)))"),"")</f>
        <v/>
      </c>
      <c r="O220" s="628" t="str">
        <f>IFERROR(__xludf.DUMMYFUNCTION("IF($G220="""","""",IFERROR(query({proventos!$B$5:$Q310},""Select sum(Col16) where Col1 = '""&amp;$G220&amp;""' and Col2 &gt; date '""&amp;TEXT(P$8,""yyyy-mm-dd"")&amp;""' and Col2 &lt;= date '""&amp;TEXT(O$8,""yyyy-mm-dd"")&amp;""' label sum(Col16) ''"",0)))"),"")</f>
        <v/>
      </c>
      <c r="P220" s="628" t="str">
        <f>IFERROR(__xludf.DUMMYFUNCTION("IF($G220="""","""",IFERROR(query({proventos!$B$5:$Q310},""Select sum(Col16) where Col1 = '""&amp;$G220&amp;""' and Col2 &gt; date '""&amp;TEXT(Q$8,""yyyy-mm-dd"")&amp;""' and Col2 &lt;= date '""&amp;TEXT(P$8,""yyyy-mm-dd"")&amp;""' label sum(Col16) ''"",0)))"),"")</f>
        <v/>
      </c>
      <c r="Q220" s="628" t="str">
        <f>IFERROR(__xludf.DUMMYFUNCTION("IF($G220="""","""",IFERROR(query({proventos!$B$5:$Q310},""Select sum(Col16) where Col1 = '""&amp;$G220&amp;""' and Col2 &gt; date '""&amp;TEXT(R$8,""yyyy-mm-dd"")&amp;""' and Col2 &lt;= date '""&amp;TEXT(Q$8,""yyyy-mm-dd"")&amp;""' label sum(Col16) ''"",0)))"),"")</f>
        <v/>
      </c>
      <c r="R220" s="628" t="str">
        <f>IFERROR(__xludf.DUMMYFUNCTION("IF($G220="""","""",IFERROR(query({proventos!$B$5:$Q310},""Select sum(Col16) where Col1 = '""&amp;$G220&amp;""' and Col2 &gt; date '""&amp;TEXT(S$8,""yyyy-mm-dd"")&amp;""' and Col2 &lt;= date '""&amp;TEXT(R$8,""yyyy-mm-dd"")&amp;""' label sum(Col16) ''"",0)))"),"")</f>
        <v/>
      </c>
      <c r="S220" s="628" t="str">
        <f>IFERROR(__xludf.DUMMYFUNCTION("IF($G220="""","""",IFERROR(query({proventos!$B$5:$Q310},""Select sum(Col16) where Col1 = '""&amp;$G220&amp;""' and Col2 &gt; date '""&amp;TEXT(T$8,""yyyy-mm-dd"")&amp;""' and Col2 &lt;= date '""&amp;TEXT(S$8,""yyyy-mm-dd"")&amp;""' label sum(Col16) ''"",0)))"),"")</f>
        <v/>
      </c>
      <c r="T220" s="628" t="str">
        <f>IFERROR(__xludf.DUMMYFUNCTION("IF($G220="""","""",IFERROR(query({proventos!$B$5:$Q310},""Select sum(Col16) where Col1 = '""&amp;$G220&amp;""' and Col2 &gt; date '""&amp;TEXT(U$8,""yyyy-mm-dd"")&amp;""' and Col2 &lt;= date '""&amp;TEXT(T$8,""yyyy-mm-dd"")&amp;""' label sum(Col16) ''"",0)))"),"")</f>
        <v/>
      </c>
      <c r="U220" s="629" t="str">
        <f>IFERROR(__xludf.DUMMYFUNCTION("IF($G220="""","""",IFERROR(query({proventos!$B$5:$Q310},""Select sum(Col16) where Col1 = '""&amp;$G220&amp;""' and Col2 &gt; date '""&amp;TEXT(EOMONTH(TODAY(),-13),""yyyy-mm-dd"")&amp;""' and Col2 &lt;= date '""&amp;TEXT(U$8,""yyyy-mm-dd"")&amp;""' label sum(Col16) ''"",0)))"),"")</f>
        <v/>
      </c>
      <c r="V220" s="630" t="str">
        <f>IFERROR(__xludf.DUMMYFUNCTION("IF($G220="""","""",IFERROR(query({proventos!$B$5:$Q310},""Select sum(Col16) where Col1 = '""&amp;$G220&amp;""' and Col2 &gt; date '""&amp;TEXT(DATE(V$8,1,1),""yyyy-mm-dd"")&amp;""' and Col2 &lt;= date '""&amp;TEXT(DATE(V$8,12,31),""yyyy-mm-dd"")&amp;""' label sum(Col16) ''"",0)))"),"")</f>
        <v/>
      </c>
      <c r="W220" s="630" t="str">
        <f>IFERROR(__xludf.DUMMYFUNCTION("IF($G220="""","""",IFERROR(query({proventos!$B$5:$Q310},""Select sum(Col16) where Col1 = '""&amp;$G220&amp;""' and Col2 &gt; date '""&amp;TEXT(DATE(W$8,1,1),""yyyy-mm-dd"")&amp;""' and Col2 &lt;= date '""&amp;TEXT(DATE(W$8,12,31),""yyyy-mm-dd"")&amp;""' label sum(Col16) ''"",0)))"),"")</f>
        <v/>
      </c>
      <c r="X220" s="630" t="str">
        <f>IFERROR(__xludf.DUMMYFUNCTION("IF($G220="""","""",IFERROR(query({proventos!$B$5:$Q310},""Select sum(Col16) where Col1 = '""&amp;$G220&amp;""' and Col2 &gt; date '""&amp;TEXT(DATE(X$8,1,1),""yyyy-mm-dd"")&amp;""' and Col2 &lt;= date '""&amp;TEXT(DATE(X$8,12,31),""yyyy-mm-dd"")&amp;""' label sum(Col16) ''"",0)))"),"")</f>
        <v/>
      </c>
      <c r="Y220" s="630" t="str">
        <f>IFERROR(__xludf.DUMMYFUNCTION("IF($G220="""","""",IFERROR(query({proventos!$B$5:$Q310},""Select sum(Col16) where Col1 = '""&amp;$G220&amp;""' and Col2 &gt; date '""&amp;TEXT(DATE(Y$8,1,1),""yyyy-mm-dd"")&amp;""' and Col2 &lt;= date '""&amp;TEXT(DATE(Y$8,12,31),""yyyy-mm-dd"")&amp;""' label sum(Col16) ''"",0)))"),"")</f>
        <v/>
      </c>
      <c r="Z220" s="630" t="str">
        <f>IFERROR(__xludf.DUMMYFUNCTION("IF($G220="""","""",IFERROR(query({proventos!$B$5:$Q310},""Select sum(Col16) where Col1 = '""&amp;$G220&amp;""' and Col2 &gt; date '""&amp;TEXT(DATE(Z$8,1,1),""yyyy-mm-dd"")&amp;""' and Col2 &lt;= date '""&amp;TEXT(DATE(Z$8,12,31),""yyyy-mm-dd"")&amp;""' label sum(Col16) ''"",0)))"),"")</f>
        <v/>
      </c>
      <c r="AA220" s="587"/>
      <c r="AB220" s="578" t="s">
        <v>123</v>
      </c>
      <c r="AC220" s="601"/>
      <c r="AD220" s="636"/>
      <c r="AE220" s="636"/>
    </row>
    <row r="221">
      <c r="A221" s="576"/>
      <c r="B221" s="620"/>
      <c r="C221" s="637"/>
      <c r="D221" s="633"/>
      <c r="E221" s="633"/>
      <c r="F221" s="624">
        <v>211.0</v>
      </c>
      <c r="G221" s="635"/>
      <c r="H221" s="626" t="str">
        <f>if(G221="","",IFERROR(VLOOKUP(G221,AtivosDados,MATCH("provento_avg",portfolio.!$A$3:AE$3,0),FALSE),""))</f>
        <v/>
      </c>
      <c r="I221" s="627" t="s">
        <v>123</v>
      </c>
      <c r="J221" s="628" t="str">
        <f>IFERROR(__xludf.DUMMYFUNCTION("IF($G221="""","""",IFERROR(query({proventos!$B$5:$Q310},""Select sum(Col16) where Col1 = '""&amp;$G221&amp;""' and Col2 &gt; date '""&amp;TEXT(K$8,""yyyy-mm-dd"")&amp;""' and Col2 &lt;= date '""&amp;TEXT(J$8,""yyyy-mm-dd"")&amp;""' label sum(Col16) ''"",0)))"),"")</f>
        <v/>
      </c>
      <c r="K221" s="628" t="str">
        <f>IFERROR(__xludf.DUMMYFUNCTION("IF($G221="""","""",IFERROR(query({proventos!$B$5:$Q310},""Select sum(Col16) where Col1 = '""&amp;$G221&amp;""' and Col2 &gt; date '""&amp;TEXT(L$8,""yyyy-mm-dd"")&amp;""' and Col2 &lt;= date '""&amp;TEXT(K$8,""yyyy-mm-dd"")&amp;""' label sum(Col16) ''"",0)))"),"")</f>
        <v/>
      </c>
      <c r="L221" s="628" t="str">
        <f>IFERROR(__xludf.DUMMYFUNCTION("IF($G221="""","""",IFERROR(query({proventos!$B$5:$Q310},""Select sum(Col16) where Col1 = '""&amp;$G221&amp;""' and Col2 &gt; date '""&amp;TEXT(M$8,""yyyy-mm-dd"")&amp;""' and Col2 &lt;= date '""&amp;TEXT(L$8,""yyyy-mm-dd"")&amp;""' label sum(Col16) ''"",0)))"),"")</f>
        <v/>
      </c>
      <c r="M221" s="628" t="str">
        <f>IFERROR(__xludf.DUMMYFUNCTION("IF($G221="""","""",IFERROR(query({proventos!$B$5:$Q310},""Select sum(Col16) where Col1 = '""&amp;$G221&amp;""' and Col2 &gt; date '""&amp;TEXT(N$8,""yyyy-mm-dd"")&amp;""' and Col2 &lt;= date '""&amp;TEXT(M$8,""yyyy-mm-dd"")&amp;""' label sum(Col16) ''"",0)))"),"")</f>
        <v/>
      </c>
      <c r="N221" s="628" t="str">
        <f>IFERROR(__xludf.DUMMYFUNCTION("IF($G221="""","""",IFERROR(query({proventos!$B$5:$Q310},""Select sum(Col16) where Col1 = '""&amp;$G221&amp;""' and Col2 &gt; date '""&amp;TEXT(O$8,""yyyy-mm-dd"")&amp;""' and Col2 &lt;= date '""&amp;TEXT(N$8,""yyyy-mm-dd"")&amp;""' label sum(Col16) ''"",0)))"),"")</f>
        <v/>
      </c>
      <c r="O221" s="628" t="str">
        <f>IFERROR(__xludf.DUMMYFUNCTION("IF($G221="""","""",IFERROR(query({proventos!$B$5:$Q310},""Select sum(Col16) where Col1 = '""&amp;$G221&amp;""' and Col2 &gt; date '""&amp;TEXT(P$8,""yyyy-mm-dd"")&amp;""' and Col2 &lt;= date '""&amp;TEXT(O$8,""yyyy-mm-dd"")&amp;""' label sum(Col16) ''"",0)))"),"")</f>
        <v/>
      </c>
      <c r="P221" s="628" t="str">
        <f>IFERROR(__xludf.DUMMYFUNCTION("IF($G221="""","""",IFERROR(query({proventos!$B$5:$Q310},""Select sum(Col16) where Col1 = '""&amp;$G221&amp;""' and Col2 &gt; date '""&amp;TEXT(Q$8,""yyyy-mm-dd"")&amp;""' and Col2 &lt;= date '""&amp;TEXT(P$8,""yyyy-mm-dd"")&amp;""' label sum(Col16) ''"",0)))"),"")</f>
        <v/>
      </c>
      <c r="Q221" s="628" t="str">
        <f>IFERROR(__xludf.DUMMYFUNCTION("IF($G221="""","""",IFERROR(query({proventos!$B$5:$Q310},""Select sum(Col16) where Col1 = '""&amp;$G221&amp;""' and Col2 &gt; date '""&amp;TEXT(R$8,""yyyy-mm-dd"")&amp;""' and Col2 &lt;= date '""&amp;TEXT(Q$8,""yyyy-mm-dd"")&amp;""' label sum(Col16) ''"",0)))"),"")</f>
        <v/>
      </c>
      <c r="R221" s="628" t="str">
        <f>IFERROR(__xludf.DUMMYFUNCTION("IF($G221="""","""",IFERROR(query({proventos!$B$5:$Q310},""Select sum(Col16) where Col1 = '""&amp;$G221&amp;""' and Col2 &gt; date '""&amp;TEXT(S$8,""yyyy-mm-dd"")&amp;""' and Col2 &lt;= date '""&amp;TEXT(R$8,""yyyy-mm-dd"")&amp;""' label sum(Col16) ''"",0)))"),"")</f>
        <v/>
      </c>
      <c r="S221" s="628" t="str">
        <f>IFERROR(__xludf.DUMMYFUNCTION("IF($G221="""","""",IFERROR(query({proventos!$B$5:$Q310},""Select sum(Col16) where Col1 = '""&amp;$G221&amp;""' and Col2 &gt; date '""&amp;TEXT(T$8,""yyyy-mm-dd"")&amp;""' and Col2 &lt;= date '""&amp;TEXT(S$8,""yyyy-mm-dd"")&amp;""' label sum(Col16) ''"",0)))"),"")</f>
        <v/>
      </c>
      <c r="T221" s="628" t="str">
        <f>IFERROR(__xludf.DUMMYFUNCTION("IF($G221="""","""",IFERROR(query({proventos!$B$5:$Q310},""Select sum(Col16) where Col1 = '""&amp;$G221&amp;""' and Col2 &gt; date '""&amp;TEXT(U$8,""yyyy-mm-dd"")&amp;""' and Col2 &lt;= date '""&amp;TEXT(T$8,""yyyy-mm-dd"")&amp;""' label sum(Col16) ''"",0)))"),"")</f>
        <v/>
      </c>
      <c r="U221" s="629" t="str">
        <f>IFERROR(__xludf.DUMMYFUNCTION("IF($G221="""","""",IFERROR(query({proventos!$B$5:$Q310},""Select sum(Col16) where Col1 = '""&amp;$G221&amp;""' and Col2 &gt; date '""&amp;TEXT(EOMONTH(TODAY(),-13),""yyyy-mm-dd"")&amp;""' and Col2 &lt;= date '""&amp;TEXT(U$8,""yyyy-mm-dd"")&amp;""' label sum(Col16) ''"",0)))"),"")</f>
        <v/>
      </c>
      <c r="V221" s="630" t="str">
        <f>IFERROR(__xludf.DUMMYFUNCTION("IF($G221="""","""",IFERROR(query({proventos!$B$5:$Q310},""Select sum(Col16) where Col1 = '""&amp;$G221&amp;""' and Col2 &gt; date '""&amp;TEXT(DATE(V$8,1,1),""yyyy-mm-dd"")&amp;""' and Col2 &lt;= date '""&amp;TEXT(DATE(V$8,12,31),""yyyy-mm-dd"")&amp;""' label sum(Col16) ''"",0)))"),"")</f>
        <v/>
      </c>
      <c r="W221" s="630" t="str">
        <f>IFERROR(__xludf.DUMMYFUNCTION("IF($G221="""","""",IFERROR(query({proventos!$B$5:$Q310},""Select sum(Col16) where Col1 = '""&amp;$G221&amp;""' and Col2 &gt; date '""&amp;TEXT(DATE(W$8,1,1),""yyyy-mm-dd"")&amp;""' and Col2 &lt;= date '""&amp;TEXT(DATE(W$8,12,31),""yyyy-mm-dd"")&amp;""' label sum(Col16) ''"",0)))"),"")</f>
        <v/>
      </c>
      <c r="X221" s="630" t="str">
        <f>IFERROR(__xludf.DUMMYFUNCTION("IF($G221="""","""",IFERROR(query({proventos!$B$5:$Q310},""Select sum(Col16) where Col1 = '""&amp;$G221&amp;""' and Col2 &gt; date '""&amp;TEXT(DATE(X$8,1,1),""yyyy-mm-dd"")&amp;""' and Col2 &lt;= date '""&amp;TEXT(DATE(X$8,12,31),""yyyy-mm-dd"")&amp;""' label sum(Col16) ''"",0)))"),"")</f>
        <v/>
      </c>
      <c r="Y221" s="630" t="str">
        <f>IFERROR(__xludf.DUMMYFUNCTION("IF($G221="""","""",IFERROR(query({proventos!$B$5:$Q310},""Select sum(Col16) where Col1 = '""&amp;$G221&amp;""' and Col2 &gt; date '""&amp;TEXT(DATE(Y$8,1,1),""yyyy-mm-dd"")&amp;""' and Col2 &lt;= date '""&amp;TEXT(DATE(Y$8,12,31),""yyyy-mm-dd"")&amp;""' label sum(Col16) ''"",0)))"),"")</f>
        <v/>
      </c>
      <c r="Z221" s="630" t="str">
        <f>IFERROR(__xludf.DUMMYFUNCTION("IF($G221="""","""",IFERROR(query({proventos!$B$5:$Q310},""Select sum(Col16) where Col1 = '""&amp;$G221&amp;""' and Col2 &gt; date '""&amp;TEXT(DATE(Z$8,1,1),""yyyy-mm-dd"")&amp;""' and Col2 &lt;= date '""&amp;TEXT(DATE(Z$8,12,31),""yyyy-mm-dd"")&amp;""' label sum(Col16) ''"",0)))"),"")</f>
        <v/>
      </c>
      <c r="AA221" s="587"/>
      <c r="AB221" s="578" t="s">
        <v>123</v>
      </c>
      <c r="AC221" s="601"/>
      <c r="AD221" s="636"/>
      <c r="AE221" s="636"/>
    </row>
    <row r="222">
      <c r="A222" s="576"/>
      <c r="B222" s="620"/>
      <c r="C222" s="637"/>
      <c r="D222" s="633"/>
      <c r="E222" s="633"/>
      <c r="F222" s="624">
        <v>212.0</v>
      </c>
      <c r="G222" s="635"/>
      <c r="H222" s="626" t="str">
        <f>if(G222="","",IFERROR(VLOOKUP(G222,AtivosDados,MATCH("provento_avg",portfolio.!$A$3:AE$3,0),FALSE),""))</f>
        <v/>
      </c>
      <c r="I222" s="627" t="s">
        <v>123</v>
      </c>
      <c r="J222" s="628" t="str">
        <f>IFERROR(__xludf.DUMMYFUNCTION("IF($G222="""","""",IFERROR(query({proventos!$B$5:$Q310},""Select sum(Col16) where Col1 = '""&amp;$G222&amp;""' and Col2 &gt; date '""&amp;TEXT(K$8,""yyyy-mm-dd"")&amp;""' and Col2 &lt;= date '""&amp;TEXT(J$8,""yyyy-mm-dd"")&amp;""' label sum(Col16) ''"",0)))"),"")</f>
        <v/>
      </c>
      <c r="K222" s="628" t="str">
        <f>IFERROR(__xludf.DUMMYFUNCTION("IF($G222="""","""",IFERROR(query({proventos!$B$5:$Q310},""Select sum(Col16) where Col1 = '""&amp;$G222&amp;""' and Col2 &gt; date '""&amp;TEXT(L$8,""yyyy-mm-dd"")&amp;""' and Col2 &lt;= date '""&amp;TEXT(K$8,""yyyy-mm-dd"")&amp;""' label sum(Col16) ''"",0)))"),"")</f>
        <v/>
      </c>
      <c r="L222" s="628" t="str">
        <f>IFERROR(__xludf.DUMMYFUNCTION("IF($G222="""","""",IFERROR(query({proventos!$B$5:$Q310},""Select sum(Col16) where Col1 = '""&amp;$G222&amp;""' and Col2 &gt; date '""&amp;TEXT(M$8,""yyyy-mm-dd"")&amp;""' and Col2 &lt;= date '""&amp;TEXT(L$8,""yyyy-mm-dd"")&amp;""' label sum(Col16) ''"",0)))"),"")</f>
        <v/>
      </c>
      <c r="M222" s="628" t="str">
        <f>IFERROR(__xludf.DUMMYFUNCTION("IF($G222="""","""",IFERROR(query({proventos!$B$5:$Q310},""Select sum(Col16) where Col1 = '""&amp;$G222&amp;""' and Col2 &gt; date '""&amp;TEXT(N$8,""yyyy-mm-dd"")&amp;""' and Col2 &lt;= date '""&amp;TEXT(M$8,""yyyy-mm-dd"")&amp;""' label sum(Col16) ''"",0)))"),"")</f>
        <v/>
      </c>
      <c r="N222" s="628" t="str">
        <f>IFERROR(__xludf.DUMMYFUNCTION("IF($G222="""","""",IFERROR(query({proventos!$B$5:$Q310},""Select sum(Col16) where Col1 = '""&amp;$G222&amp;""' and Col2 &gt; date '""&amp;TEXT(O$8,""yyyy-mm-dd"")&amp;""' and Col2 &lt;= date '""&amp;TEXT(N$8,""yyyy-mm-dd"")&amp;""' label sum(Col16) ''"",0)))"),"")</f>
        <v/>
      </c>
      <c r="O222" s="628" t="str">
        <f>IFERROR(__xludf.DUMMYFUNCTION("IF($G222="""","""",IFERROR(query({proventos!$B$5:$Q310},""Select sum(Col16) where Col1 = '""&amp;$G222&amp;""' and Col2 &gt; date '""&amp;TEXT(P$8,""yyyy-mm-dd"")&amp;""' and Col2 &lt;= date '""&amp;TEXT(O$8,""yyyy-mm-dd"")&amp;""' label sum(Col16) ''"",0)))"),"")</f>
        <v/>
      </c>
      <c r="P222" s="628" t="str">
        <f>IFERROR(__xludf.DUMMYFUNCTION("IF($G222="""","""",IFERROR(query({proventos!$B$5:$Q310},""Select sum(Col16) where Col1 = '""&amp;$G222&amp;""' and Col2 &gt; date '""&amp;TEXT(Q$8,""yyyy-mm-dd"")&amp;""' and Col2 &lt;= date '""&amp;TEXT(P$8,""yyyy-mm-dd"")&amp;""' label sum(Col16) ''"",0)))"),"")</f>
        <v/>
      </c>
      <c r="Q222" s="628" t="str">
        <f>IFERROR(__xludf.DUMMYFUNCTION("IF($G222="""","""",IFERROR(query({proventos!$B$5:$Q310},""Select sum(Col16) where Col1 = '""&amp;$G222&amp;""' and Col2 &gt; date '""&amp;TEXT(R$8,""yyyy-mm-dd"")&amp;""' and Col2 &lt;= date '""&amp;TEXT(Q$8,""yyyy-mm-dd"")&amp;""' label sum(Col16) ''"",0)))"),"")</f>
        <v/>
      </c>
      <c r="R222" s="628" t="str">
        <f>IFERROR(__xludf.DUMMYFUNCTION("IF($G222="""","""",IFERROR(query({proventos!$B$5:$Q310},""Select sum(Col16) where Col1 = '""&amp;$G222&amp;""' and Col2 &gt; date '""&amp;TEXT(S$8,""yyyy-mm-dd"")&amp;""' and Col2 &lt;= date '""&amp;TEXT(R$8,""yyyy-mm-dd"")&amp;""' label sum(Col16) ''"",0)))"),"")</f>
        <v/>
      </c>
      <c r="S222" s="628" t="str">
        <f>IFERROR(__xludf.DUMMYFUNCTION("IF($G222="""","""",IFERROR(query({proventos!$B$5:$Q310},""Select sum(Col16) where Col1 = '""&amp;$G222&amp;""' and Col2 &gt; date '""&amp;TEXT(T$8,""yyyy-mm-dd"")&amp;""' and Col2 &lt;= date '""&amp;TEXT(S$8,""yyyy-mm-dd"")&amp;""' label sum(Col16) ''"",0)))"),"")</f>
        <v/>
      </c>
      <c r="T222" s="628" t="str">
        <f>IFERROR(__xludf.DUMMYFUNCTION("IF($G222="""","""",IFERROR(query({proventos!$B$5:$Q310},""Select sum(Col16) where Col1 = '""&amp;$G222&amp;""' and Col2 &gt; date '""&amp;TEXT(U$8,""yyyy-mm-dd"")&amp;""' and Col2 &lt;= date '""&amp;TEXT(T$8,""yyyy-mm-dd"")&amp;""' label sum(Col16) ''"",0)))"),"")</f>
        <v/>
      </c>
      <c r="U222" s="629" t="str">
        <f>IFERROR(__xludf.DUMMYFUNCTION("IF($G222="""","""",IFERROR(query({proventos!$B$5:$Q310},""Select sum(Col16) where Col1 = '""&amp;$G222&amp;""' and Col2 &gt; date '""&amp;TEXT(EOMONTH(TODAY(),-13),""yyyy-mm-dd"")&amp;""' and Col2 &lt;= date '""&amp;TEXT(U$8,""yyyy-mm-dd"")&amp;""' label sum(Col16) ''"",0)))"),"")</f>
        <v/>
      </c>
      <c r="V222" s="630" t="str">
        <f>IFERROR(__xludf.DUMMYFUNCTION("IF($G222="""","""",IFERROR(query({proventos!$B$5:$Q310},""Select sum(Col16) where Col1 = '""&amp;$G222&amp;""' and Col2 &gt; date '""&amp;TEXT(DATE(V$8,1,1),""yyyy-mm-dd"")&amp;""' and Col2 &lt;= date '""&amp;TEXT(DATE(V$8,12,31),""yyyy-mm-dd"")&amp;""' label sum(Col16) ''"",0)))"),"")</f>
        <v/>
      </c>
      <c r="W222" s="630" t="str">
        <f>IFERROR(__xludf.DUMMYFUNCTION("IF($G222="""","""",IFERROR(query({proventos!$B$5:$Q310},""Select sum(Col16) where Col1 = '""&amp;$G222&amp;""' and Col2 &gt; date '""&amp;TEXT(DATE(W$8,1,1),""yyyy-mm-dd"")&amp;""' and Col2 &lt;= date '""&amp;TEXT(DATE(W$8,12,31),""yyyy-mm-dd"")&amp;""' label sum(Col16) ''"",0)))"),"")</f>
        <v/>
      </c>
      <c r="X222" s="630" t="str">
        <f>IFERROR(__xludf.DUMMYFUNCTION("IF($G222="""","""",IFERROR(query({proventos!$B$5:$Q310},""Select sum(Col16) where Col1 = '""&amp;$G222&amp;""' and Col2 &gt; date '""&amp;TEXT(DATE(X$8,1,1),""yyyy-mm-dd"")&amp;""' and Col2 &lt;= date '""&amp;TEXT(DATE(X$8,12,31),""yyyy-mm-dd"")&amp;""' label sum(Col16) ''"",0)))"),"")</f>
        <v/>
      </c>
      <c r="Y222" s="630" t="str">
        <f>IFERROR(__xludf.DUMMYFUNCTION("IF($G222="""","""",IFERROR(query({proventos!$B$5:$Q310},""Select sum(Col16) where Col1 = '""&amp;$G222&amp;""' and Col2 &gt; date '""&amp;TEXT(DATE(Y$8,1,1),""yyyy-mm-dd"")&amp;""' and Col2 &lt;= date '""&amp;TEXT(DATE(Y$8,12,31),""yyyy-mm-dd"")&amp;""' label sum(Col16) ''"",0)))"),"")</f>
        <v/>
      </c>
      <c r="Z222" s="630" t="str">
        <f>IFERROR(__xludf.DUMMYFUNCTION("IF($G222="""","""",IFERROR(query({proventos!$B$5:$Q310},""Select sum(Col16) where Col1 = '""&amp;$G222&amp;""' and Col2 &gt; date '""&amp;TEXT(DATE(Z$8,1,1),""yyyy-mm-dd"")&amp;""' and Col2 &lt;= date '""&amp;TEXT(DATE(Z$8,12,31),""yyyy-mm-dd"")&amp;""' label sum(Col16) ''"",0)))"),"")</f>
        <v/>
      </c>
      <c r="AA222" s="587"/>
      <c r="AB222" s="578" t="s">
        <v>123</v>
      </c>
      <c r="AC222" s="601"/>
      <c r="AD222" s="636"/>
      <c r="AE222" s="636"/>
    </row>
    <row r="223">
      <c r="A223" s="576"/>
      <c r="B223" s="620"/>
      <c r="C223" s="637"/>
      <c r="D223" s="633"/>
      <c r="E223" s="633"/>
      <c r="F223" s="624">
        <v>213.0</v>
      </c>
      <c r="G223" s="635"/>
      <c r="H223" s="626" t="str">
        <f>if(G223="","",IFERROR(VLOOKUP(G223,AtivosDados,MATCH("provento_avg",portfolio.!$A$3:AE$3,0),FALSE),""))</f>
        <v/>
      </c>
      <c r="I223" s="627" t="s">
        <v>123</v>
      </c>
      <c r="J223" s="628" t="str">
        <f>IFERROR(__xludf.DUMMYFUNCTION("IF($G223="""","""",IFERROR(query({proventos!$B$5:$Q310},""Select sum(Col16) where Col1 = '""&amp;$G223&amp;""' and Col2 &gt; date '""&amp;TEXT(K$8,""yyyy-mm-dd"")&amp;""' and Col2 &lt;= date '""&amp;TEXT(J$8,""yyyy-mm-dd"")&amp;""' label sum(Col16) ''"",0)))"),"")</f>
        <v/>
      </c>
      <c r="K223" s="628" t="str">
        <f>IFERROR(__xludf.DUMMYFUNCTION("IF($G223="""","""",IFERROR(query({proventos!$B$5:$Q310},""Select sum(Col16) where Col1 = '""&amp;$G223&amp;""' and Col2 &gt; date '""&amp;TEXT(L$8,""yyyy-mm-dd"")&amp;""' and Col2 &lt;= date '""&amp;TEXT(K$8,""yyyy-mm-dd"")&amp;""' label sum(Col16) ''"",0)))"),"")</f>
        <v/>
      </c>
      <c r="L223" s="628" t="str">
        <f>IFERROR(__xludf.DUMMYFUNCTION("IF($G223="""","""",IFERROR(query({proventos!$B$5:$Q310},""Select sum(Col16) where Col1 = '""&amp;$G223&amp;""' and Col2 &gt; date '""&amp;TEXT(M$8,""yyyy-mm-dd"")&amp;""' and Col2 &lt;= date '""&amp;TEXT(L$8,""yyyy-mm-dd"")&amp;""' label sum(Col16) ''"",0)))"),"")</f>
        <v/>
      </c>
      <c r="M223" s="628" t="str">
        <f>IFERROR(__xludf.DUMMYFUNCTION("IF($G223="""","""",IFERROR(query({proventos!$B$5:$Q310},""Select sum(Col16) where Col1 = '""&amp;$G223&amp;""' and Col2 &gt; date '""&amp;TEXT(N$8,""yyyy-mm-dd"")&amp;""' and Col2 &lt;= date '""&amp;TEXT(M$8,""yyyy-mm-dd"")&amp;""' label sum(Col16) ''"",0)))"),"")</f>
        <v/>
      </c>
      <c r="N223" s="628" t="str">
        <f>IFERROR(__xludf.DUMMYFUNCTION("IF($G223="""","""",IFERROR(query({proventos!$B$5:$Q310},""Select sum(Col16) where Col1 = '""&amp;$G223&amp;""' and Col2 &gt; date '""&amp;TEXT(O$8,""yyyy-mm-dd"")&amp;""' and Col2 &lt;= date '""&amp;TEXT(N$8,""yyyy-mm-dd"")&amp;""' label sum(Col16) ''"",0)))"),"")</f>
        <v/>
      </c>
      <c r="O223" s="628" t="str">
        <f>IFERROR(__xludf.DUMMYFUNCTION("IF($G223="""","""",IFERROR(query({proventos!$B$5:$Q310},""Select sum(Col16) where Col1 = '""&amp;$G223&amp;""' and Col2 &gt; date '""&amp;TEXT(P$8,""yyyy-mm-dd"")&amp;""' and Col2 &lt;= date '""&amp;TEXT(O$8,""yyyy-mm-dd"")&amp;""' label sum(Col16) ''"",0)))"),"")</f>
        <v/>
      </c>
      <c r="P223" s="628" t="str">
        <f>IFERROR(__xludf.DUMMYFUNCTION("IF($G223="""","""",IFERROR(query({proventos!$B$5:$Q310},""Select sum(Col16) where Col1 = '""&amp;$G223&amp;""' and Col2 &gt; date '""&amp;TEXT(Q$8,""yyyy-mm-dd"")&amp;""' and Col2 &lt;= date '""&amp;TEXT(P$8,""yyyy-mm-dd"")&amp;""' label sum(Col16) ''"",0)))"),"")</f>
        <v/>
      </c>
      <c r="Q223" s="628" t="str">
        <f>IFERROR(__xludf.DUMMYFUNCTION("IF($G223="""","""",IFERROR(query({proventos!$B$5:$Q310},""Select sum(Col16) where Col1 = '""&amp;$G223&amp;""' and Col2 &gt; date '""&amp;TEXT(R$8,""yyyy-mm-dd"")&amp;""' and Col2 &lt;= date '""&amp;TEXT(Q$8,""yyyy-mm-dd"")&amp;""' label sum(Col16) ''"",0)))"),"")</f>
        <v/>
      </c>
      <c r="R223" s="628" t="str">
        <f>IFERROR(__xludf.DUMMYFUNCTION("IF($G223="""","""",IFERROR(query({proventos!$B$5:$Q310},""Select sum(Col16) where Col1 = '""&amp;$G223&amp;""' and Col2 &gt; date '""&amp;TEXT(S$8,""yyyy-mm-dd"")&amp;""' and Col2 &lt;= date '""&amp;TEXT(R$8,""yyyy-mm-dd"")&amp;""' label sum(Col16) ''"",0)))"),"")</f>
        <v/>
      </c>
      <c r="S223" s="628" t="str">
        <f>IFERROR(__xludf.DUMMYFUNCTION("IF($G223="""","""",IFERROR(query({proventos!$B$5:$Q310},""Select sum(Col16) where Col1 = '""&amp;$G223&amp;""' and Col2 &gt; date '""&amp;TEXT(T$8,""yyyy-mm-dd"")&amp;""' and Col2 &lt;= date '""&amp;TEXT(S$8,""yyyy-mm-dd"")&amp;""' label sum(Col16) ''"",0)))"),"")</f>
        <v/>
      </c>
      <c r="T223" s="628" t="str">
        <f>IFERROR(__xludf.DUMMYFUNCTION("IF($G223="""","""",IFERROR(query({proventos!$B$5:$Q310},""Select sum(Col16) where Col1 = '""&amp;$G223&amp;""' and Col2 &gt; date '""&amp;TEXT(U$8,""yyyy-mm-dd"")&amp;""' and Col2 &lt;= date '""&amp;TEXT(T$8,""yyyy-mm-dd"")&amp;""' label sum(Col16) ''"",0)))"),"")</f>
        <v/>
      </c>
      <c r="U223" s="629" t="str">
        <f>IFERROR(__xludf.DUMMYFUNCTION("IF($G223="""","""",IFERROR(query({proventos!$B$5:$Q310},""Select sum(Col16) where Col1 = '""&amp;$G223&amp;""' and Col2 &gt; date '""&amp;TEXT(EOMONTH(TODAY(),-13),""yyyy-mm-dd"")&amp;""' and Col2 &lt;= date '""&amp;TEXT(U$8,""yyyy-mm-dd"")&amp;""' label sum(Col16) ''"",0)))"),"")</f>
        <v/>
      </c>
      <c r="V223" s="630" t="str">
        <f>IFERROR(__xludf.DUMMYFUNCTION("IF($G223="""","""",IFERROR(query({proventos!$B$5:$Q310},""Select sum(Col16) where Col1 = '""&amp;$G223&amp;""' and Col2 &gt; date '""&amp;TEXT(DATE(V$8,1,1),""yyyy-mm-dd"")&amp;""' and Col2 &lt;= date '""&amp;TEXT(DATE(V$8,12,31),""yyyy-mm-dd"")&amp;""' label sum(Col16) ''"",0)))"),"")</f>
        <v/>
      </c>
      <c r="W223" s="630" t="str">
        <f>IFERROR(__xludf.DUMMYFUNCTION("IF($G223="""","""",IFERROR(query({proventos!$B$5:$Q310},""Select sum(Col16) where Col1 = '""&amp;$G223&amp;""' and Col2 &gt; date '""&amp;TEXT(DATE(W$8,1,1),""yyyy-mm-dd"")&amp;""' and Col2 &lt;= date '""&amp;TEXT(DATE(W$8,12,31),""yyyy-mm-dd"")&amp;""' label sum(Col16) ''"",0)))"),"")</f>
        <v/>
      </c>
      <c r="X223" s="630" t="str">
        <f>IFERROR(__xludf.DUMMYFUNCTION("IF($G223="""","""",IFERROR(query({proventos!$B$5:$Q310},""Select sum(Col16) where Col1 = '""&amp;$G223&amp;""' and Col2 &gt; date '""&amp;TEXT(DATE(X$8,1,1),""yyyy-mm-dd"")&amp;""' and Col2 &lt;= date '""&amp;TEXT(DATE(X$8,12,31),""yyyy-mm-dd"")&amp;""' label sum(Col16) ''"",0)))"),"")</f>
        <v/>
      </c>
      <c r="Y223" s="630" t="str">
        <f>IFERROR(__xludf.DUMMYFUNCTION("IF($G223="""","""",IFERROR(query({proventos!$B$5:$Q310},""Select sum(Col16) where Col1 = '""&amp;$G223&amp;""' and Col2 &gt; date '""&amp;TEXT(DATE(Y$8,1,1),""yyyy-mm-dd"")&amp;""' and Col2 &lt;= date '""&amp;TEXT(DATE(Y$8,12,31),""yyyy-mm-dd"")&amp;""' label sum(Col16) ''"",0)))"),"")</f>
        <v/>
      </c>
      <c r="Z223" s="630" t="str">
        <f>IFERROR(__xludf.DUMMYFUNCTION("IF($G223="""","""",IFERROR(query({proventos!$B$5:$Q310},""Select sum(Col16) where Col1 = '""&amp;$G223&amp;""' and Col2 &gt; date '""&amp;TEXT(DATE(Z$8,1,1),""yyyy-mm-dd"")&amp;""' and Col2 &lt;= date '""&amp;TEXT(DATE(Z$8,12,31),""yyyy-mm-dd"")&amp;""' label sum(Col16) ''"",0)))"),"")</f>
        <v/>
      </c>
      <c r="AA223" s="587"/>
      <c r="AB223" s="578" t="s">
        <v>123</v>
      </c>
      <c r="AC223" s="601"/>
      <c r="AD223" s="636"/>
      <c r="AE223" s="636"/>
    </row>
    <row r="224">
      <c r="A224" s="576"/>
      <c r="B224" s="620"/>
      <c r="C224" s="637"/>
      <c r="D224" s="633"/>
      <c r="E224" s="633"/>
      <c r="F224" s="624">
        <v>214.0</v>
      </c>
      <c r="G224" s="635"/>
      <c r="H224" s="626" t="str">
        <f>if(G224="","",IFERROR(VLOOKUP(G224,AtivosDados,MATCH("provento_avg",portfolio.!$A$3:AE$3,0),FALSE),""))</f>
        <v/>
      </c>
      <c r="I224" s="627" t="s">
        <v>123</v>
      </c>
      <c r="J224" s="628" t="str">
        <f>IFERROR(__xludf.DUMMYFUNCTION("IF($G224="""","""",IFERROR(query({proventos!$B$5:$Q310},""Select sum(Col16) where Col1 = '""&amp;$G224&amp;""' and Col2 &gt; date '""&amp;TEXT(K$8,""yyyy-mm-dd"")&amp;""' and Col2 &lt;= date '""&amp;TEXT(J$8,""yyyy-mm-dd"")&amp;""' label sum(Col16) ''"",0)))"),"")</f>
        <v/>
      </c>
      <c r="K224" s="628" t="str">
        <f>IFERROR(__xludf.DUMMYFUNCTION("IF($G224="""","""",IFERROR(query({proventos!$B$5:$Q310},""Select sum(Col16) where Col1 = '""&amp;$G224&amp;""' and Col2 &gt; date '""&amp;TEXT(L$8,""yyyy-mm-dd"")&amp;""' and Col2 &lt;= date '""&amp;TEXT(K$8,""yyyy-mm-dd"")&amp;""' label sum(Col16) ''"",0)))"),"")</f>
        <v/>
      </c>
      <c r="L224" s="628" t="str">
        <f>IFERROR(__xludf.DUMMYFUNCTION("IF($G224="""","""",IFERROR(query({proventos!$B$5:$Q310},""Select sum(Col16) where Col1 = '""&amp;$G224&amp;""' and Col2 &gt; date '""&amp;TEXT(M$8,""yyyy-mm-dd"")&amp;""' and Col2 &lt;= date '""&amp;TEXT(L$8,""yyyy-mm-dd"")&amp;""' label sum(Col16) ''"",0)))"),"")</f>
        <v/>
      </c>
      <c r="M224" s="628" t="str">
        <f>IFERROR(__xludf.DUMMYFUNCTION("IF($G224="""","""",IFERROR(query({proventos!$B$5:$Q310},""Select sum(Col16) where Col1 = '""&amp;$G224&amp;""' and Col2 &gt; date '""&amp;TEXT(N$8,""yyyy-mm-dd"")&amp;""' and Col2 &lt;= date '""&amp;TEXT(M$8,""yyyy-mm-dd"")&amp;""' label sum(Col16) ''"",0)))"),"")</f>
        <v/>
      </c>
      <c r="N224" s="628" t="str">
        <f>IFERROR(__xludf.DUMMYFUNCTION("IF($G224="""","""",IFERROR(query({proventos!$B$5:$Q310},""Select sum(Col16) where Col1 = '""&amp;$G224&amp;""' and Col2 &gt; date '""&amp;TEXT(O$8,""yyyy-mm-dd"")&amp;""' and Col2 &lt;= date '""&amp;TEXT(N$8,""yyyy-mm-dd"")&amp;""' label sum(Col16) ''"",0)))"),"")</f>
        <v/>
      </c>
      <c r="O224" s="628" t="str">
        <f>IFERROR(__xludf.DUMMYFUNCTION("IF($G224="""","""",IFERROR(query({proventos!$B$5:$Q310},""Select sum(Col16) where Col1 = '""&amp;$G224&amp;""' and Col2 &gt; date '""&amp;TEXT(P$8,""yyyy-mm-dd"")&amp;""' and Col2 &lt;= date '""&amp;TEXT(O$8,""yyyy-mm-dd"")&amp;""' label sum(Col16) ''"",0)))"),"")</f>
        <v/>
      </c>
      <c r="P224" s="628" t="str">
        <f>IFERROR(__xludf.DUMMYFUNCTION("IF($G224="""","""",IFERROR(query({proventos!$B$5:$Q310},""Select sum(Col16) where Col1 = '""&amp;$G224&amp;""' and Col2 &gt; date '""&amp;TEXT(Q$8,""yyyy-mm-dd"")&amp;""' and Col2 &lt;= date '""&amp;TEXT(P$8,""yyyy-mm-dd"")&amp;""' label sum(Col16) ''"",0)))"),"")</f>
        <v/>
      </c>
      <c r="Q224" s="628" t="str">
        <f>IFERROR(__xludf.DUMMYFUNCTION("IF($G224="""","""",IFERROR(query({proventos!$B$5:$Q310},""Select sum(Col16) where Col1 = '""&amp;$G224&amp;""' and Col2 &gt; date '""&amp;TEXT(R$8,""yyyy-mm-dd"")&amp;""' and Col2 &lt;= date '""&amp;TEXT(Q$8,""yyyy-mm-dd"")&amp;""' label sum(Col16) ''"",0)))"),"")</f>
        <v/>
      </c>
      <c r="R224" s="628" t="str">
        <f>IFERROR(__xludf.DUMMYFUNCTION("IF($G224="""","""",IFERROR(query({proventos!$B$5:$Q310},""Select sum(Col16) where Col1 = '""&amp;$G224&amp;""' and Col2 &gt; date '""&amp;TEXT(S$8,""yyyy-mm-dd"")&amp;""' and Col2 &lt;= date '""&amp;TEXT(R$8,""yyyy-mm-dd"")&amp;""' label sum(Col16) ''"",0)))"),"")</f>
        <v/>
      </c>
      <c r="S224" s="628" t="str">
        <f>IFERROR(__xludf.DUMMYFUNCTION("IF($G224="""","""",IFERROR(query({proventos!$B$5:$Q310},""Select sum(Col16) where Col1 = '""&amp;$G224&amp;""' and Col2 &gt; date '""&amp;TEXT(T$8,""yyyy-mm-dd"")&amp;""' and Col2 &lt;= date '""&amp;TEXT(S$8,""yyyy-mm-dd"")&amp;""' label sum(Col16) ''"",0)))"),"")</f>
        <v/>
      </c>
      <c r="T224" s="628" t="str">
        <f>IFERROR(__xludf.DUMMYFUNCTION("IF($G224="""","""",IFERROR(query({proventos!$B$5:$Q310},""Select sum(Col16) where Col1 = '""&amp;$G224&amp;""' and Col2 &gt; date '""&amp;TEXT(U$8,""yyyy-mm-dd"")&amp;""' and Col2 &lt;= date '""&amp;TEXT(T$8,""yyyy-mm-dd"")&amp;""' label sum(Col16) ''"",0)))"),"")</f>
        <v/>
      </c>
      <c r="U224" s="629" t="str">
        <f>IFERROR(__xludf.DUMMYFUNCTION("IF($G224="""","""",IFERROR(query({proventos!$B$5:$Q310},""Select sum(Col16) where Col1 = '""&amp;$G224&amp;""' and Col2 &gt; date '""&amp;TEXT(EOMONTH(TODAY(),-13),""yyyy-mm-dd"")&amp;""' and Col2 &lt;= date '""&amp;TEXT(U$8,""yyyy-mm-dd"")&amp;""' label sum(Col16) ''"",0)))"),"")</f>
        <v/>
      </c>
      <c r="V224" s="630" t="str">
        <f>IFERROR(__xludf.DUMMYFUNCTION("IF($G224="""","""",IFERROR(query({proventos!$B$5:$Q310},""Select sum(Col16) where Col1 = '""&amp;$G224&amp;""' and Col2 &gt; date '""&amp;TEXT(DATE(V$8,1,1),""yyyy-mm-dd"")&amp;""' and Col2 &lt;= date '""&amp;TEXT(DATE(V$8,12,31),""yyyy-mm-dd"")&amp;""' label sum(Col16) ''"",0)))"),"")</f>
        <v/>
      </c>
      <c r="W224" s="630" t="str">
        <f>IFERROR(__xludf.DUMMYFUNCTION("IF($G224="""","""",IFERROR(query({proventos!$B$5:$Q310},""Select sum(Col16) where Col1 = '""&amp;$G224&amp;""' and Col2 &gt; date '""&amp;TEXT(DATE(W$8,1,1),""yyyy-mm-dd"")&amp;""' and Col2 &lt;= date '""&amp;TEXT(DATE(W$8,12,31),""yyyy-mm-dd"")&amp;""' label sum(Col16) ''"",0)))"),"")</f>
        <v/>
      </c>
      <c r="X224" s="630" t="str">
        <f>IFERROR(__xludf.DUMMYFUNCTION("IF($G224="""","""",IFERROR(query({proventos!$B$5:$Q310},""Select sum(Col16) where Col1 = '""&amp;$G224&amp;""' and Col2 &gt; date '""&amp;TEXT(DATE(X$8,1,1),""yyyy-mm-dd"")&amp;""' and Col2 &lt;= date '""&amp;TEXT(DATE(X$8,12,31),""yyyy-mm-dd"")&amp;""' label sum(Col16) ''"",0)))"),"")</f>
        <v/>
      </c>
      <c r="Y224" s="630" t="str">
        <f>IFERROR(__xludf.DUMMYFUNCTION("IF($G224="""","""",IFERROR(query({proventos!$B$5:$Q310},""Select sum(Col16) where Col1 = '""&amp;$G224&amp;""' and Col2 &gt; date '""&amp;TEXT(DATE(Y$8,1,1),""yyyy-mm-dd"")&amp;""' and Col2 &lt;= date '""&amp;TEXT(DATE(Y$8,12,31),""yyyy-mm-dd"")&amp;""' label sum(Col16) ''"",0)))"),"")</f>
        <v/>
      </c>
      <c r="Z224" s="630" t="str">
        <f>IFERROR(__xludf.DUMMYFUNCTION("IF($G224="""","""",IFERROR(query({proventos!$B$5:$Q310},""Select sum(Col16) where Col1 = '""&amp;$G224&amp;""' and Col2 &gt; date '""&amp;TEXT(DATE(Z$8,1,1),""yyyy-mm-dd"")&amp;""' and Col2 &lt;= date '""&amp;TEXT(DATE(Z$8,12,31),""yyyy-mm-dd"")&amp;""' label sum(Col16) ''"",0)))"),"")</f>
        <v/>
      </c>
      <c r="AA224" s="587"/>
      <c r="AB224" s="578" t="s">
        <v>123</v>
      </c>
      <c r="AC224" s="601"/>
      <c r="AD224" s="636"/>
      <c r="AE224" s="636"/>
    </row>
    <row r="225">
      <c r="A225" s="576"/>
      <c r="B225" s="620"/>
      <c r="C225" s="637"/>
      <c r="D225" s="633"/>
      <c r="E225" s="633"/>
      <c r="F225" s="624">
        <v>215.0</v>
      </c>
      <c r="G225" s="635"/>
      <c r="H225" s="626" t="str">
        <f>if(G225="","",IFERROR(VLOOKUP(G225,AtivosDados,MATCH("provento_avg",portfolio.!$A$3:AE$3,0),FALSE),""))</f>
        <v/>
      </c>
      <c r="I225" s="627" t="s">
        <v>123</v>
      </c>
      <c r="J225" s="628" t="str">
        <f>IFERROR(__xludf.DUMMYFUNCTION("IF($G225="""","""",IFERROR(query({proventos!$B$5:$Q310},""Select sum(Col16) where Col1 = '""&amp;$G225&amp;""' and Col2 &gt; date '""&amp;TEXT(K$8,""yyyy-mm-dd"")&amp;""' and Col2 &lt;= date '""&amp;TEXT(J$8,""yyyy-mm-dd"")&amp;""' label sum(Col16) ''"",0)))"),"")</f>
        <v/>
      </c>
      <c r="K225" s="628" t="str">
        <f>IFERROR(__xludf.DUMMYFUNCTION("IF($G225="""","""",IFERROR(query({proventos!$B$5:$Q310},""Select sum(Col16) where Col1 = '""&amp;$G225&amp;""' and Col2 &gt; date '""&amp;TEXT(L$8,""yyyy-mm-dd"")&amp;""' and Col2 &lt;= date '""&amp;TEXT(K$8,""yyyy-mm-dd"")&amp;""' label sum(Col16) ''"",0)))"),"")</f>
        <v/>
      </c>
      <c r="L225" s="628" t="str">
        <f>IFERROR(__xludf.DUMMYFUNCTION("IF($G225="""","""",IFERROR(query({proventos!$B$5:$Q310},""Select sum(Col16) where Col1 = '""&amp;$G225&amp;""' and Col2 &gt; date '""&amp;TEXT(M$8,""yyyy-mm-dd"")&amp;""' and Col2 &lt;= date '""&amp;TEXT(L$8,""yyyy-mm-dd"")&amp;""' label sum(Col16) ''"",0)))"),"")</f>
        <v/>
      </c>
      <c r="M225" s="628" t="str">
        <f>IFERROR(__xludf.DUMMYFUNCTION("IF($G225="""","""",IFERROR(query({proventos!$B$5:$Q310},""Select sum(Col16) where Col1 = '""&amp;$G225&amp;""' and Col2 &gt; date '""&amp;TEXT(N$8,""yyyy-mm-dd"")&amp;""' and Col2 &lt;= date '""&amp;TEXT(M$8,""yyyy-mm-dd"")&amp;""' label sum(Col16) ''"",0)))"),"")</f>
        <v/>
      </c>
      <c r="N225" s="628" t="str">
        <f>IFERROR(__xludf.DUMMYFUNCTION("IF($G225="""","""",IFERROR(query({proventos!$B$5:$Q310},""Select sum(Col16) where Col1 = '""&amp;$G225&amp;""' and Col2 &gt; date '""&amp;TEXT(O$8,""yyyy-mm-dd"")&amp;""' and Col2 &lt;= date '""&amp;TEXT(N$8,""yyyy-mm-dd"")&amp;""' label sum(Col16) ''"",0)))"),"")</f>
        <v/>
      </c>
      <c r="O225" s="628" t="str">
        <f>IFERROR(__xludf.DUMMYFUNCTION("IF($G225="""","""",IFERROR(query({proventos!$B$5:$Q310},""Select sum(Col16) where Col1 = '""&amp;$G225&amp;""' and Col2 &gt; date '""&amp;TEXT(P$8,""yyyy-mm-dd"")&amp;""' and Col2 &lt;= date '""&amp;TEXT(O$8,""yyyy-mm-dd"")&amp;""' label sum(Col16) ''"",0)))"),"")</f>
        <v/>
      </c>
      <c r="P225" s="628" t="str">
        <f>IFERROR(__xludf.DUMMYFUNCTION("IF($G225="""","""",IFERROR(query({proventos!$B$5:$Q310},""Select sum(Col16) where Col1 = '""&amp;$G225&amp;""' and Col2 &gt; date '""&amp;TEXT(Q$8,""yyyy-mm-dd"")&amp;""' and Col2 &lt;= date '""&amp;TEXT(P$8,""yyyy-mm-dd"")&amp;""' label sum(Col16) ''"",0)))"),"")</f>
        <v/>
      </c>
      <c r="Q225" s="628" t="str">
        <f>IFERROR(__xludf.DUMMYFUNCTION("IF($G225="""","""",IFERROR(query({proventos!$B$5:$Q310},""Select sum(Col16) where Col1 = '""&amp;$G225&amp;""' and Col2 &gt; date '""&amp;TEXT(R$8,""yyyy-mm-dd"")&amp;""' and Col2 &lt;= date '""&amp;TEXT(Q$8,""yyyy-mm-dd"")&amp;""' label sum(Col16) ''"",0)))"),"")</f>
        <v/>
      </c>
      <c r="R225" s="628" t="str">
        <f>IFERROR(__xludf.DUMMYFUNCTION("IF($G225="""","""",IFERROR(query({proventos!$B$5:$Q310},""Select sum(Col16) where Col1 = '""&amp;$G225&amp;""' and Col2 &gt; date '""&amp;TEXT(S$8,""yyyy-mm-dd"")&amp;""' and Col2 &lt;= date '""&amp;TEXT(R$8,""yyyy-mm-dd"")&amp;""' label sum(Col16) ''"",0)))"),"")</f>
        <v/>
      </c>
      <c r="S225" s="628" t="str">
        <f>IFERROR(__xludf.DUMMYFUNCTION("IF($G225="""","""",IFERROR(query({proventos!$B$5:$Q310},""Select sum(Col16) where Col1 = '""&amp;$G225&amp;""' and Col2 &gt; date '""&amp;TEXT(T$8,""yyyy-mm-dd"")&amp;""' and Col2 &lt;= date '""&amp;TEXT(S$8,""yyyy-mm-dd"")&amp;""' label sum(Col16) ''"",0)))"),"")</f>
        <v/>
      </c>
      <c r="T225" s="628" t="str">
        <f>IFERROR(__xludf.DUMMYFUNCTION("IF($G225="""","""",IFERROR(query({proventos!$B$5:$Q310},""Select sum(Col16) where Col1 = '""&amp;$G225&amp;""' and Col2 &gt; date '""&amp;TEXT(U$8,""yyyy-mm-dd"")&amp;""' and Col2 &lt;= date '""&amp;TEXT(T$8,""yyyy-mm-dd"")&amp;""' label sum(Col16) ''"",0)))"),"")</f>
        <v/>
      </c>
      <c r="U225" s="629" t="str">
        <f>IFERROR(__xludf.DUMMYFUNCTION("IF($G225="""","""",IFERROR(query({proventos!$B$5:$Q310},""Select sum(Col16) where Col1 = '""&amp;$G225&amp;""' and Col2 &gt; date '""&amp;TEXT(EOMONTH(TODAY(),-13),""yyyy-mm-dd"")&amp;""' and Col2 &lt;= date '""&amp;TEXT(U$8,""yyyy-mm-dd"")&amp;""' label sum(Col16) ''"",0)))"),"")</f>
        <v/>
      </c>
      <c r="V225" s="630" t="str">
        <f>IFERROR(__xludf.DUMMYFUNCTION("IF($G225="""","""",IFERROR(query({proventos!$B$5:$Q310},""Select sum(Col16) where Col1 = '""&amp;$G225&amp;""' and Col2 &gt; date '""&amp;TEXT(DATE(V$8,1,1),""yyyy-mm-dd"")&amp;""' and Col2 &lt;= date '""&amp;TEXT(DATE(V$8,12,31),""yyyy-mm-dd"")&amp;""' label sum(Col16) ''"",0)))"),"")</f>
        <v/>
      </c>
      <c r="W225" s="630" t="str">
        <f>IFERROR(__xludf.DUMMYFUNCTION("IF($G225="""","""",IFERROR(query({proventos!$B$5:$Q310},""Select sum(Col16) where Col1 = '""&amp;$G225&amp;""' and Col2 &gt; date '""&amp;TEXT(DATE(W$8,1,1),""yyyy-mm-dd"")&amp;""' and Col2 &lt;= date '""&amp;TEXT(DATE(W$8,12,31),""yyyy-mm-dd"")&amp;""' label sum(Col16) ''"",0)))"),"")</f>
        <v/>
      </c>
      <c r="X225" s="630" t="str">
        <f>IFERROR(__xludf.DUMMYFUNCTION("IF($G225="""","""",IFERROR(query({proventos!$B$5:$Q310},""Select sum(Col16) where Col1 = '""&amp;$G225&amp;""' and Col2 &gt; date '""&amp;TEXT(DATE(X$8,1,1),""yyyy-mm-dd"")&amp;""' and Col2 &lt;= date '""&amp;TEXT(DATE(X$8,12,31),""yyyy-mm-dd"")&amp;""' label sum(Col16) ''"",0)))"),"")</f>
        <v/>
      </c>
      <c r="Y225" s="630" t="str">
        <f>IFERROR(__xludf.DUMMYFUNCTION("IF($G225="""","""",IFERROR(query({proventos!$B$5:$Q310},""Select sum(Col16) where Col1 = '""&amp;$G225&amp;""' and Col2 &gt; date '""&amp;TEXT(DATE(Y$8,1,1),""yyyy-mm-dd"")&amp;""' and Col2 &lt;= date '""&amp;TEXT(DATE(Y$8,12,31),""yyyy-mm-dd"")&amp;""' label sum(Col16) ''"",0)))"),"")</f>
        <v/>
      </c>
      <c r="Z225" s="630" t="str">
        <f>IFERROR(__xludf.DUMMYFUNCTION("IF($G225="""","""",IFERROR(query({proventos!$B$5:$Q310},""Select sum(Col16) where Col1 = '""&amp;$G225&amp;""' and Col2 &gt; date '""&amp;TEXT(DATE(Z$8,1,1),""yyyy-mm-dd"")&amp;""' and Col2 &lt;= date '""&amp;TEXT(DATE(Z$8,12,31),""yyyy-mm-dd"")&amp;""' label sum(Col16) ''"",0)))"),"")</f>
        <v/>
      </c>
      <c r="AA225" s="587"/>
      <c r="AB225" s="578" t="s">
        <v>123</v>
      </c>
      <c r="AC225" s="601"/>
      <c r="AD225" s="636"/>
      <c r="AE225" s="636"/>
    </row>
    <row r="226">
      <c r="A226" s="576"/>
      <c r="B226" s="620"/>
      <c r="C226" s="637"/>
      <c r="D226" s="633"/>
      <c r="E226" s="633"/>
      <c r="F226" s="624">
        <v>216.0</v>
      </c>
      <c r="G226" s="635"/>
      <c r="H226" s="626" t="str">
        <f>if(G226="","",IFERROR(VLOOKUP(G226,AtivosDados,MATCH("provento_avg",portfolio.!$A$3:AE$3,0),FALSE),""))</f>
        <v/>
      </c>
      <c r="I226" s="627" t="s">
        <v>123</v>
      </c>
      <c r="J226" s="628" t="str">
        <f>IFERROR(__xludf.DUMMYFUNCTION("IF($G226="""","""",IFERROR(query({proventos!$B$5:$Q310},""Select sum(Col16) where Col1 = '""&amp;$G226&amp;""' and Col2 &gt; date '""&amp;TEXT(K$8,""yyyy-mm-dd"")&amp;""' and Col2 &lt;= date '""&amp;TEXT(J$8,""yyyy-mm-dd"")&amp;""' label sum(Col16) ''"",0)))"),"")</f>
        <v/>
      </c>
      <c r="K226" s="628" t="str">
        <f>IFERROR(__xludf.DUMMYFUNCTION("IF($G226="""","""",IFERROR(query({proventos!$B$5:$Q310},""Select sum(Col16) where Col1 = '""&amp;$G226&amp;""' and Col2 &gt; date '""&amp;TEXT(L$8,""yyyy-mm-dd"")&amp;""' and Col2 &lt;= date '""&amp;TEXT(K$8,""yyyy-mm-dd"")&amp;""' label sum(Col16) ''"",0)))"),"")</f>
        <v/>
      </c>
      <c r="L226" s="628" t="str">
        <f>IFERROR(__xludf.DUMMYFUNCTION("IF($G226="""","""",IFERROR(query({proventos!$B$5:$Q310},""Select sum(Col16) where Col1 = '""&amp;$G226&amp;""' and Col2 &gt; date '""&amp;TEXT(M$8,""yyyy-mm-dd"")&amp;""' and Col2 &lt;= date '""&amp;TEXT(L$8,""yyyy-mm-dd"")&amp;""' label sum(Col16) ''"",0)))"),"")</f>
        <v/>
      </c>
      <c r="M226" s="628" t="str">
        <f>IFERROR(__xludf.DUMMYFUNCTION("IF($G226="""","""",IFERROR(query({proventos!$B$5:$Q310},""Select sum(Col16) where Col1 = '""&amp;$G226&amp;""' and Col2 &gt; date '""&amp;TEXT(N$8,""yyyy-mm-dd"")&amp;""' and Col2 &lt;= date '""&amp;TEXT(M$8,""yyyy-mm-dd"")&amp;""' label sum(Col16) ''"",0)))"),"")</f>
        <v/>
      </c>
      <c r="N226" s="628" t="str">
        <f>IFERROR(__xludf.DUMMYFUNCTION("IF($G226="""","""",IFERROR(query({proventos!$B$5:$Q310},""Select sum(Col16) where Col1 = '""&amp;$G226&amp;""' and Col2 &gt; date '""&amp;TEXT(O$8,""yyyy-mm-dd"")&amp;""' and Col2 &lt;= date '""&amp;TEXT(N$8,""yyyy-mm-dd"")&amp;""' label sum(Col16) ''"",0)))"),"")</f>
        <v/>
      </c>
      <c r="O226" s="628" t="str">
        <f>IFERROR(__xludf.DUMMYFUNCTION("IF($G226="""","""",IFERROR(query({proventos!$B$5:$Q310},""Select sum(Col16) where Col1 = '""&amp;$G226&amp;""' and Col2 &gt; date '""&amp;TEXT(P$8,""yyyy-mm-dd"")&amp;""' and Col2 &lt;= date '""&amp;TEXT(O$8,""yyyy-mm-dd"")&amp;""' label sum(Col16) ''"",0)))"),"")</f>
        <v/>
      </c>
      <c r="P226" s="628" t="str">
        <f>IFERROR(__xludf.DUMMYFUNCTION("IF($G226="""","""",IFERROR(query({proventos!$B$5:$Q310},""Select sum(Col16) where Col1 = '""&amp;$G226&amp;""' and Col2 &gt; date '""&amp;TEXT(Q$8,""yyyy-mm-dd"")&amp;""' and Col2 &lt;= date '""&amp;TEXT(P$8,""yyyy-mm-dd"")&amp;""' label sum(Col16) ''"",0)))"),"")</f>
        <v/>
      </c>
      <c r="Q226" s="628" t="str">
        <f>IFERROR(__xludf.DUMMYFUNCTION("IF($G226="""","""",IFERROR(query({proventos!$B$5:$Q310},""Select sum(Col16) where Col1 = '""&amp;$G226&amp;""' and Col2 &gt; date '""&amp;TEXT(R$8,""yyyy-mm-dd"")&amp;""' and Col2 &lt;= date '""&amp;TEXT(Q$8,""yyyy-mm-dd"")&amp;""' label sum(Col16) ''"",0)))"),"")</f>
        <v/>
      </c>
      <c r="R226" s="628" t="str">
        <f>IFERROR(__xludf.DUMMYFUNCTION("IF($G226="""","""",IFERROR(query({proventos!$B$5:$Q310},""Select sum(Col16) where Col1 = '""&amp;$G226&amp;""' and Col2 &gt; date '""&amp;TEXT(S$8,""yyyy-mm-dd"")&amp;""' and Col2 &lt;= date '""&amp;TEXT(R$8,""yyyy-mm-dd"")&amp;""' label sum(Col16) ''"",0)))"),"")</f>
        <v/>
      </c>
      <c r="S226" s="628" t="str">
        <f>IFERROR(__xludf.DUMMYFUNCTION("IF($G226="""","""",IFERROR(query({proventos!$B$5:$Q310},""Select sum(Col16) where Col1 = '""&amp;$G226&amp;""' and Col2 &gt; date '""&amp;TEXT(T$8,""yyyy-mm-dd"")&amp;""' and Col2 &lt;= date '""&amp;TEXT(S$8,""yyyy-mm-dd"")&amp;""' label sum(Col16) ''"",0)))"),"")</f>
        <v/>
      </c>
      <c r="T226" s="628" t="str">
        <f>IFERROR(__xludf.DUMMYFUNCTION("IF($G226="""","""",IFERROR(query({proventos!$B$5:$Q310},""Select sum(Col16) where Col1 = '""&amp;$G226&amp;""' and Col2 &gt; date '""&amp;TEXT(U$8,""yyyy-mm-dd"")&amp;""' and Col2 &lt;= date '""&amp;TEXT(T$8,""yyyy-mm-dd"")&amp;""' label sum(Col16) ''"",0)))"),"")</f>
        <v/>
      </c>
      <c r="U226" s="629" t="str">
        <f>IFERROR(__xludf.DUMMYFUNCTION("IF($G226="""","""",IFERROR(query({proventos!$B$5:$Q310},""Select sum(Col16) where Col1 = '""&amp;$G226&amp;""' and Col2 &gt; date '""&amp;TEXT(EOMONTH(TODAY(),-13),""yyyy-mm-dd"")&amp;""' and Col2 &lt;= date '""&amp;TEXT(U$8,""yyyy-mm-dd"")&amp;""' label sum(Col16) ''"",0)))"),"")</f>
        <v/>
      </c>
      <c r="V226" s="630" t="str">
        <f>IFERROR(__xludf.DUMMYFUNCTION("IF($G226="""","""",IFERROR(query({proventos!$B$5:$Q310},""Select sum(Col16) where Col1 = '""&amp;$G226&amp;""' and Col2 &gt; date '""&amp;TEXT(DATE(V$8,1,1),""yyyy-mm-dd"")&amp;""' and Col2 &lt;= date '""&amp;TEXT(DATE(V$8,12,31),""yyyy-mm-dd"")&amp;""' label sum(Col16) ''"",0)))"),"")</f>
        <v/>
      </c>
      <c r="W226" s="630" t="str">
        <f>IFERROR(__xludf.DUMMYFUNCTION("IF($G226="""","""",IFERROR(query({proventos!$B$5:$Q310},""Select sum(Col16) where Col1 = '""&amp;$G226&amp;""' and Col2 &gt; date '""&amp;TEXT(DATE(W$8,1,1),""yyyy-mm-dd"")&amp;""' and Col2 &lt;= date '""&amp;TEXT(DATE(W$8,12,31),""yyyy-mm-dd"")&amp;""' label sum(Col16) ''"",0)))"),"")</f>
        <v/>
      </c>
      <c r="X226" s="630" t="str">
        <f>IFERROR(__xludf.DUMMYFUNCTION("IF($G226="""","""",IFERROR(query({proventos!$B$5:$Q310},""Select sum(Col16) where Col1 = '""&amp;$G226&amp;""' and Col2 &gt; date '""&amp;TEXT(DATE(X$8,1,1),""yyyy-mm-dd"")&amp;""' and Col2 &lt;= date '""&amp;TEXT(DATE(X$8,12,31),""yyyy-mm-dd"")&amp;""' label sum(Col16) ''"",0)))"),"")</f>
        <v/>
      </c>
      <c r="Y226" s="630" t="str">
        <f>IFERROR(__xludf.DUMMYFUNCTION("IF($G226="""","""",IFERROR(query({proventos!$B$5:$Q310},""Select sum(Col16) where Col1 = '""&amp;$G226&amp;""' and Col2 &gt; date '""&amp;TEXT(DATE(Y$8,1,1),""yyyy-mm-dd"")&amp;""' and Col2 &lt;= date '""&amp;TEXT(DATE(Y$8,12,31),""yyyy-mm-dd"")&amp;""' label sum(Col16) ''"",0)))"),"")</f>
        <v/>
      </c>
      <c r="Z226" s="630" t="str">
        <f>IFERROR(__xludf.DUMMYFUNCTION("IF($G226="""","""",IFERROR(query({proventos!$B$5:$Q310},""Select sum(Col16) where Col1 = '""&amp;$G226&amp;""' and Col2 &gt; date '""&amp;TEXT(DATE(Z$8,1,1),""yyyy-mm-dd"")&amp;""' and Col2 &lt;= date '""&amp;TEXT(DATE(Z$8,12,31),""yyyy-mm-dd"")&amp;""' label sum(Col16) ''"",0)))"),"")</f>
        <v/>
      </c>
      <c r="AA226" s="587"/>
      <c r="AB226" s="578" t="s">
        <v>123</v>
      </c>
      <c r="AC226" s="601"/>
      <c r="AD226" s="636"/>
      <c r="AE226" s="636"/>
    </row>
    <row r="227">
      <c r="A227" s="576"/>
      <c r="B227" s="620"/>
      <c r="C227" s="637"/>
      <c r="D227" s="633"/>
      <c r="E227" s="633"/>
      <c r="F227" s="624">
        <v>217.0</v>
      </c>
      <c r="G227" s="635"/>
      <c r="H227" s="626" t="str">
        <f>if(G227="","",IFERROR(VLOOKUP(G227,AtivosDados,MATCH("provento_avg",portfolio.!$A$3:AE$3,0),FALSE),""))</f>
        <v/>
      </c>
      <c r="I227" s="627" t="s">
        <v>123</v>
      </c>
      <c r="J227" s="628" t="str">
        <f>IFERROR(__xludf.DUMMYFUNCTION("IF($G227="""","""",IFERROR(query({proventos!$B$5:$Q310},""Select sum(Col16) where Col1 = '""&amp;$G227&amp;""' and Col2 &gt; date '""&amp;TEXT(K$8,""yyyy-mm-dd"")&amp;""' and Col2 &lt;= date '""&amp;TEXT(J$8,""yyyy-mm-dd"")&amp;""' label sum(Col16) ''"",0)))"),"")</f>
        <v/>
      </c>
      <c r="K227" s="628" t="str">
        <f>IFERROR(__xludf.DUMMYFUNCTION("IF($G227="""","""",IFERROR(query({proventos!$B$5:$Q310},""Select sum(Col16) where Col1 = '""&amp;$G227&amp;""' and Col2 &gt; date '""&amp;TEXT(L$8,""yyyy-mm-dd"")&amp;""' and Col2 &lt;= date '""&amp;TEXT(K$8,""yyyy-mm-dd"")&amp;""' label sum(Col16) ''"",0)))"),"")</f>
        <v/>
      </c>
      <c r="L227" s="628" t="str">
        <f>IFERROR(__xludf.DUMMYFUNCTION("IF($G227="""","""",IFERROR(query({proventos!$B$5:$Q310},""Select sum(Col16) where Col1 = '""&amp;$G227&amp;""' and Col2 &gt; date '""&amp;TEXT(M$8,""yyyy-mm-dd"")&amp;""' and Col2 &lt;= date '""&amp;TEXT(L$8,""yyyy-mm-dd"")&amp;""' label sum(Col16) ''"",0)))"),"")</f>
        <v/>
      </c>
      <c r="M227" s="628" t="str">
        <f>IFERROR(__xludf.DUMMYFUNCTION("IF($G227="""","""",IFERROR(query({proventos!$B$5:$Q310},""Select sum(Col16) where Col1 = '""&amp;$G227&amp;""' and Col2 &gt; date '""&amp;TEXT(N$8,""yyyy-mm-dd"")&amp;""' and Col2 &lt;= date '""&amp;TEXT(M$8,""yyyy-mm-dd"")&amp;""' label sum(Col16) ''"",0)))"),"")</f>
        <v/>
      </c>
      <c r="N227" s="628" t="str">
        <f>IFERROR(__xludf.DUMMYFUNCTION("IF($G227="""","""",IFERROR(query({proventos!$B$5:$Q310},""Select sum(Col16) where Col1 = '""&amp;$G227&amp;""' and Col2 &gt; date '""&amp;TEXT(O$8,""yyyy-mm-dd"")&amp;""' and Col2 &lt;= date '""&amp;TEXT(N$8,""yyyy-mm-dd"")&amp;""' label sum(Col16) ''"",0)))"),"")</f>
        <v/>
      </c>
      <c r="O227" s="628" t="str">
        <f>IFERROR(__xludf.DUMMYFUNCTION("IF($G227="""","""",IFERROR(query({proventos!$B$5:$Q310},""Select sum(Col16) where Col1 = '""&amp;$G227&amp;""' and Col2 &gt; date '""&amp;TEXT(P$8,""yyyy-mm-dd"")&amp;""' and Col2 &lt;= date '""&amp;TEXT(O$8,""yyyy-mm-dd"")&amp;""' label sum(Col16) ''"",0)))"),"")</f>
        <v/>
      </c>
      <c r="P227" s="628" t="str">
        <f>IFERROR(__xludf.DUMMYFUNCTION("IF($G227="""","""",IFERROR(query({proventos!$B$5:$Q310},""Select sum(Col16) where Col1 = '""&amp;$G227&amp;""' and Col2 &gt; date '""&amp;TEXT(Q$8,""yyyy-mm-dd"")&amp;""' and Col2 &lt;= date '""&amp;TEXT(P$8,""yyyy-mm-dd"")&amp;""' label sum(Col16) ''"",0)))"),"")</f>
        <v/>
      </c>
      <c r="Q227" s="628" t="str">
        <f>IFERROR(__xludf.DUMMYFUNCTION("IF($G227="""","""",IFERROR(query({proventos!$B$5:$Q310},""Select sum(Col16) where Col1 = '""&amp;$G227&amp;""' and Col2 &gt; date '""&amp;TEXT(R$8,""yyyy-mm-dd"")&amp;""' and Col2 &lt;= date '""&amp;TEXT(Q$8,""yyyy-mm-dd"")&amp;""' label sum(Col16) ''"",0)))"),"")</f>
        <v/>
      </c>
      <c r="R227" s="628" t="str">
        <f>IFERROR(__xludf.DUMMYFUNCTION("IF($G227="""","""",IFERROR(query({proventos!$B$5:$Q310},""Select sum(Col16) where Col1 = '""&amp;$G227&amp;""' and Col2 &gt; date '""&amp;TEXT(S$8,""yyyy-mm-dd"")&amp;""' and Col2 &lt;= date '""&amp;TEXT(R$8,""yyyy-mm-dd"")&amp;""' label sum(Col16) ''"",0)))"),"")</f>
        <v/>
      </c>
      <c r="S227" s="628" t="str">
        <f>IFERROR(__xludf.DUMMYFUNCTION("IF($G227="""","""",IFERROR(query({proventos!$B$5:$Q310},""Select sum(Col16) where Col1 = '""&amp;$G227&amp;""' and Col2 &gt; date '""&amp;TEXT(T$8,""yyyy-mm-dd"")&amp;""' and Col2 &lt;= date '""&amp;TEXT(S$8,""yyyy-mm-dd"")&amp;""' label sum(Col16) ''"",0)))"),"")</f>
        <v/>
      </c>
      <c r="T227" s="628" t="str">
        <f>IFERROR(__xludf.DUMMYFUNCTION("IF($G227="""","""",IFERROR(query({proventos!$B$5:$Q310},""Select sum(Col16) where Col1 = '""&amp;$G227&amp;""' and Col2 &gt; date '""&amp;TEXT(U$8,""yyyy-mm-dd"")&amp;""' and Col2 &lt;= date '""&amp;TEXT(T$8,""yyyy-mm-dd"")&amp;""' label sum(Col16) ''"",0)))"),"")</f>
        <v/>
      </c>
      <c r="U227" s="629" t="str">
        <f>IFERROR(__xludf.DUMMYFUNCTION("IF($G227="""","""",IFERROR(query({proventos!$B$5:$Q310},""Select sum(Col16) where Col1 = '""&amp;$G227&amp;""' and Col2 &gt; date '""&amp;TEXT(EOMONTH(TODAY(),-13),""yyyy-mm-dd"")&amp;""' and Col2 &lt;= date '""&amp;TEXT(U$8,""yyyy-mm-dd"")&amp;""' label sum(Col16) ''"",0)))"),"")</f>
        <v/>
      </c>
      <c r="V227" s="630" t="str">
        <f>IFERROR(__xludf.DUMMYFUNCTION("IF($G227="""","""",IFERROR(query({proventos!$B$5:$Q310},""Select sum(Col16) where Col1 = '""&amp;$G227&amp;""' and Col2 &gt; date '""&amp;TEXT(DATE(V$8,1,1),""yyyy-mm-dd"")&amp;""' and Col2 &lt;= date '""&amp;TEXT(DATE(V$8,12,31),""yyyy-mm-dd"")&amp;""' label sum(Col16) ''"",0)))"),"")</f>
        <v/>
      </c>
      <c r="W227" s="630" t="str">
        <f>IFERROR(__xludf.DUMMYFUNCTION("IF($G227="""","""",IFERROR(query({proventos!$B$5:$Q310},""Select sum(Col16) where Col1 = '""&amp;$G227&amp;""' and Col2 &gt; date '""&amp;TEXT(DATE(W$8,1,1),""yyyy-mm-dd"")&amp;""' and Col2 &lt;= date '""&amp;TEXT(DATE(W$8,12,31),""yyyy-mm-dd"")&amp;""' label sum(Col16) ''"",0)))"),"")</f>
        <v/>
      </c>
      <c r="X227" s="630" t="str">
        <f>IFERROR(__xludf.DUMMYFUNCTION("IF($G227="""","""",IFERROR(query({proventos!$B$5:$Q310},""Select sum(Col16) where Col1 = '""&amp;$G227&amp;""' and Col2 &gt; date '""&amp;TEXT(DATE(X$8,1,1),""yyyy-mm-dd"")&amp;""' and Col2 &lt;= date '""&amp;TEXT(DATE(X$8,12,31),""yyyy-mm-dd"")&amp;""' label sum(Col16) ''"",0)))"),"")</f>
        <v/>
      </c>
      <c r="Y227" s="630" t="str">
        <f>IFERROR(__xludf.DUMMYFUNCTION("IF($G227="""","""",IFERROR(query({proventos!$B$5:$Q310},""Select sum(Col16) where Col1 = '""&amp;$G227&amp;""' and Col2 &gt; date '""&amp;TEXT(DATE(Y$8,1,1),""yyyy-mm-dd"")&amp;""' and Col2 &lt;= date '""&amp;TEXT(DATE(Y$8,12,31),""yyyy-mm-dd"")&amp;""' label sum(Col16) ''"",0)))"),"")</f>
        <v/>
      </c>
      <c r="Z227" s="630" t="str">
        <f>IFERROR(__xludf.DUMMYFUNCTION("IF($G227="""","""",IFERROR(query({proventos!$B$5:$Q310},""Select sum(Col16) where Col1 = '""&amp;$G227&amp;""' and Col2 &gt; date '""&amp;TEXT(DATE(Z$8,1,1),""yyyy-mm-dd"")&amp;""' and Col2 &lt;= date '""&amp;TEXT(DATE(Z$8,12,31),""yyyy-mm-dd"")&amp;""' label sum(Col16) ''"",0)))"),"")</f>
        <v/>
      </c>
      <c r="AA227" s="587"/>
      <c r="AB227" s="578" t="s">
        <v>123</v>
      </c>
      <c r="AC227" s="601"/>
      <c r="AD227" s="636"/>
      <c r="AE227" s="636"/>
    </row>
    <row r="228">
      <c r="A228" s="576"/>
      <c r="B228" s="620"/>
      <c r="C228" s="637"/>
      <c r="D228" s="633"/>
      <c r="E228" s="633"/>
      <c r="F228" s="624">
        <v>218.0</v>
      </c>
      <c r="G228" s="635"/>
      <c r="H228" s="626" t="str">
        <f>if(G228="","",IFERROR(VLOOKUP(G228,AtivosDados,MATCH("provento_avg",portfolio.!$A$3:AE$3,0),FALSE),""))</f>
        <v/>
      </c>
      <c r="I228" s="627" t="s">
        <v>123</v>
      </c>
      <c r="J228" s="628" t="str">
        <f>IFERROR(__xludf.DUMMYFUNCTION("IF($G228="""","""",IFERROR(query({proventos!$B$5:$Q310},""Select sum(Col16) where Col1 = '""&amp;$G228&amp;""' and Col2 &gt; date '""&amp;TEXT(K$8,""yyyy-mm-dd"")&amp;""' and Col2 &lt;= date '""&amp;TEXT(J$8,""yyyy-mm-dd"")&amp;""' label sum(Col16) ''"",0)))"),"")</f>
        <v/>
      </c>
      <c r="K228" s="628" t="str">
        <f>IFERROR(__xludf.DUMMYFUNCTION("IF($G228="""","""",IFERROR(query({proventos!$B$5:$Q310},""Select sum(Col16) where Col1 = '""&amp;$G228&amp;""' and Col2 &gt; date '""&amp;TEXT(L$8,""yyyy-mm-dd"")&amp;""' and Col2 &lt;= date '""&amp;TEXT(K$8,""yyyy-mm-dd"")&amp;""' label sum(Col16) ''"",0)))"),"")</f>
        <v/>
      </c>
      <c r="L228" s="628" t="str">
        <f>IFERROR(__xludf.DUMMYFUNCTION("IF($G228="""","""",IFERROR(query({proventos!$B$5:$Q310},""Select sum(Col16) where Col1 = '""&amp;$G228&amp;""' and Col2 &gt; date '""&amp;TEXT(M$8,""yyyy-mm-dd"")&amp;""' and Col2 &lt;= date '""&amp;TEXT(L$8,""yyyy-mm-dd"")&amp;""' label sum(Col16) ''"",0)))"),"")</f>
        <v/>
      </c>
      <c r="M228" s="628" t="str">
        <f>IFERROR(__xludf.DUMMYFUNCTION("IF($G228="""","""",IFERROR(query({proventos!$B$5:$Q310},""Select sum(Col16) where Col1 = '""&amp;$G228&amp;""' and Col2 &gt; date '""&amp;TEXT(N$8,""yyyy-mm-dd"")&amp;""' and Col2 &lt;= date '""&amp;TEXT(M$8,""yyyy-mm-dd"")&amp;""' label sum(Col16) ''"",0)))"),"")</f>
        <v/>
      </c>
      <c r="N228" s="628" t="str">
        <f>IFERROR(__xludf.DUMMYFUNCTION("IF($G228="""","""",IFERROR(query({proventos!$B$5:$Q310},""Select sum(Col16) where Col1 = '""&amp;$G228&amp;""' and Col2 &gt; date '""&amp;TEXT(O$8,""yyyy-mm-dd"")&amp;""' and Col2 &lt;= date '""&amp;TEXT(N$8,""yyyy-mm-dd"")&amp;""' label sum(Col16) ''"",0)))"),"")</f>
        <v/>
      </c>
      <c r="O228" s="628" t="str">
        <f>IFERROR(__xludf.DUMMYFUNCTION("IF($G228="""","""",IFERROR(query({proventos!$B$5:$Q310},""Select sum(Col16) where Col1 = '""&amp;$G228&amp;""' and Col2 &gt; date '""&amp;TEXT(P$8,""yyyy-mm-dd"")&amp;""' and Col2 &lt;= date '""&amp;TEXT(O$8,""yyyy-mm-dd"")&amp;""' label sum(Col16) ''"",0)))"),"")</f>
        <v/>
      </c>
      <c r="P228" s="628" t="str">
        <f>IFERROR(__xludf.DUMMYFUNCTION("IF($G228="""","""",IFERROR(query({proventos!$B$5:$Q310},""Select sum(Col16) where Col1 = '""&amp;$G228&amp;""' and Col2 &gt; date '""&amp;TEXT(Q$8,""yyyy-mm-dd"")&amp;""' and Col2 &lt;= date '""&amp;TEXT(P$8,""yyyy-mm-dd"")&amp;""' label sum(Col16) ''"",0)))"),"")</f>
        <v/>
      </c>
      <c r="Q228" s="628" t="str">
        <f>IFERROR(__xludf.DUMMYFUNCTION("IF($G228="""","""",IFERROR(query({proventos!$B$5:$Q310},""Select sum(Col16) where Col1 = '""&amp;$G228&amp;""' and Col2 &gt; date '""&amp;TEXT(R$8,""yyyy-mm-dd"")&amp;""' and Col2 &lt;= date '""&amp;TEXT(Q$8,""yyyy-mm-dd"")&amp;""' label sum(Col16) ''"",0)))"),"")</f>
        <v/>
      </c>
      <c r="R228" s="628" t="str">
        <f>IFERROR(__xludf.DUMMYFUNCTION("IF($G228="""","""",IFERROR(query({proventos!$B$5:$Q310},""Select sum(Col16) where Col1 = '""&amp;$G228&amp;""' and Col2 &gt; date '""&amp;TEXT(S$8,""yyyy-mm-dd"")&amp;""' and Col2 &lt;= date '""&amp;TEXT(R$8,""yyyy-mm-dd"")&amp;""' label sum(Col16) ''"",0)))"),"")</f>
        <v/>
      </c>
      <c r="S228" s="628" t="str">
        <f>IFERROR(__xludf.DUMMYFUNCTION("IF($G228="""","""",IFERROR(query({proventos!$B$5:$Q310},""Select sum(Col16) where Col1 = '""&amp;$G228&amp;""' and Col2 &gt; date '""&amp;TEXT(T$8,""yyyy-mm-dd"")&amp;""' and Col2 &lt;= date '""&amp;TEXT(S$8,""yyyy-mm-dd"")&amp;""' label sum(Col16) ''"",0)))"),"")</f>
        <v/>
      </c>
      <c r="T228" s="628" t="str">
        <f>IFERROR(__xludf.DUMMYFUNCTION("IF($G228="""","""",IFERROR(query({proventos!$B$5:$Q310},""Select sum(Col16) where Col1 = '""&amp;$G228&amp;""' and Col2 &gt; date '""&amp;TEXT(U$8,""yyyy-mm-dd"")&amp;""' and Col2 &lt;= date '""&amp;TEXT(T$8,""yyyy-mm-dd"")&amp;""' label sum(Col16) ''"",0)))"),"")</f>
        <v/>
      </c>
      <c r="U228" s="629" t="str">
        <f>IFERROR(__xludf.DUMMYFUNCTION("IF($G228="""","""",IFERROR(query({proventos!$B$5:$Q310},""Select sum(Col16) where Col1 = '""&amp;$G228&amp;""' and Col2 &gt; date '""&amp;TEXT(EOMONTH(TODAY(),-13),""yyyy-mm-dd"")&amp;""' and Col2 &lt;= date '""&amp;TEXT(U$8,""yyyy-mm-dd"")&amp;""' label sum(Col16) ''"",0)))"),"")</f>
        <v/>
      </c>
      <c r="V228" s="630" t="str">
        <f>IFERROR(__xludf.DUMMYFUNCTION("IF($G228="""","""",IFERROR(query({proventos!$B$5:$Q310},""Select sum(Col16) where Col1 = '""&amp;$G228&amp;""' and Col2 &gt; date '""&amp;TEXT(DATE(V$8,1,1),""yyyy-mm-dd"")&amp;""' and Col2 &lt;= date '""&amp;TEXT(DATE(V$8,12,31),""yyyy-mm-dd"")&amp;""' label sum(Col16) ''"",0)))"),"")</f>
        <v/>
      </c>
      <c r="W228" s="630" t="str">
        <f>IFERROR(__xludf.DUMMYFUNCTION("IF($G228="""","""",IFERROR(query({proventos!$B$5:$Q310},""Select sum(Col16) where Col1 = '""&amp;$G228&amp;""' and Col2 &gt; date '""&amp;TEXT(DATE(W$8,1,1),""yyyy-mm-dd"")&amp;""' and Col2 &lt;= date '""&amp;TEXT(DATE(W$8,12,31),""yyyy-mm-dd"")&amp;""' label sum(Col16) ''"",0)))"),"")</f>
        <v/>
      </c>
      <c r="X228" s="630" t="str">
        <f>IFERROR(__xludf.DUMMYFUNCTION("IF($G228="""","""",IFERROR(query({proventos!$B$5:$Q310},""Select sum(Col16) where Col1 = '""&amp;$G228&amp;""' and Col2 &gt; date '""&amp;TEXT(DATE(X$8,1,1),""yyyy-mm-dd"")&amp;""' and Col2 &lt;= date '""&amp;TEXT(DATE(X$8,12,31),""yyyy-mm-dd"")&amp;""' label sum(Col16) ''"",0)))"),"")</f>
        <v/>
      </c>
      <c r="Y228" s="630" t="str">
        <f>IFERROR(__xludf.DUMMYFUNCTION("IF($G228="""","""",IFERROR(query({proventos!$B$5:$Q310},""Select sum(Col16) where Col1 = '""&amp;$G228&amp;""' and Col2 &gt; date '""&amp;TEXT(DATE(Y$8,1,1),""yyyy-mm-dd"")&amp;""' and Col2 &lt;= date '""&amp;TEXT(DATE(Y$8,12,31),""yyyy-mm-dd"")&amp;""' label sum(Col16) ''"",0)))"),"")</f>
        <v/>
      </c>
      <c r="Z228" s="630" t="str">
        <f>IFERROR(__xludf.DUMMYFUNCTION("IF($G228="""","""",IFERROR(query({proventos!$B$5:$Q310},""Select sum(Col16) where Col1 = '""&amp;$G228&amp;""' and Col2 &gt; date '""&amp;TEXT(DATE(Z$8,1,1),""yyyy-mm-dd"")&amp;""' and Col2 &lt;= date '""&amp;TEXT(DATE(Z$8,12,31),""yyyy-mm-dd"")&amp;""' label sum(Col16) ''"",0)))"),"")</f>
        <v/>
      </c>
      <c r="AA228" s="587"/>
      <c r="AB228" s="578" t="s">
        <v>123</v>
      </c>
      <c r="AC228" s="601"/>
      <c r="AD228" s="636"/>
      <c r="AE228" s="636"/>
    </row>
    <row r="229">
      <c r="A229" s="576"/>
      <c r="B229" s="620"/>
      <c r="C229" s="637"/>
      <c r="D229" s="633"/>
      <c r="E229" s="633"/>
      <c r="F229" s="624">
        <v>219.0</v>
      </c>
      <c r="G229" s="635"/>
      <c r="H229" s="626" t="str">
        <f>if(G229="","",IFERROR(VLOOKUP(G229,AtivosDados,MATCH("provento_avg",portfolio.!$A$3:AE$3,0),FALSE),""))</f>
        <v/>
      </c>
      <c r="I229" s="627" t="s">
        <v>123</v>
      </c>
      <c r="J229" s="628" t="str">
        <f>IFERROR(__xludf.DUMMYFUNCTION("IF($G229="""","""",IFERROR(query({proventos!$B$5:$Q310},""Select sum(Col16) where Col1 = '""&amp;$G229&amp;""' and Col2 &gt; date '""&amp;TEXT(K$8,""yyyy-mm-dd"")&amp;""' and Col2 &lt;= date '""&amp;TEXT(J$8,""yyyy-mm-dd"")&amp;""' label sum(Col16) ''"",0)))"),"")</f>
        <v/>
      </c>
      <c r="K229" s="628" t="str">
        <f>IFERROR(__xludf.DUMMYFUNCTION("IF($G229="""","""",IFERROR(query({proventos!$B$5:$Q310},""Select sum(Col16) where Col1 = '""&amp;$G229&amp;""' and Col2 &gt; date '""&amp;TEXT(L$8,""yyyy-mm-dd"")&amp;""' and Col2 &lt;= date '""&amp;TEXT(K$8,""yyyy-mm-dd"")&amp;""' label sum(Col16) ''"",0)))"),"")</f>
        <v/>
      </c>
      <c r="L229" s="628" t="str">
        <f>IFERROR(__xludf.DUMMYFUNCTION("IF($G229="""","""",IFERROR(query({proventos!$B$5:$Q310},""Select sum(Col16) where Col1 = '""&amp;$G229&amp;""' and Col2 &gt; date '""&amp;TEXT(M$8,""yyyy-mm-dd"")&amp;""' and Col2 &lt;= date '""&amp;TEXT(L$8,""yyyy-mm-dd"")&amp;""' label sum(Col16) ''"",0)))"),"")</f>
        <v/>
      </c>
      <c r="M229" s="628" t="str">
        <f>IFERROR(__xludf.DUMMYFUNCTION("IF($G229="""","""",IFERROR(query({proventos!$B$5:$Q310},""Select sum(Col16) where Col1 = '""&amp;$G229&amp;""' and Col2 &gt; date '""&amp;TEXT(N$8,""yyyy-mm-dd"")&amp;""' and Col2 &lt;= date '""&amp;TEXT(M$8,""yyyy-mm-dd"")&amp;""' label sum(Col16) ''"",0)))"),"")</f>
        <v/>
      </c>
      <c r="N229" s="628" t="str">
        <f>IFERROR(__xludf.DUMMYFUNCTION("IF($G229="""","""",IFERROR(query({proventos!$B$5:$Q310},""Select sum(Col16) where Col1 = '""&amp;$G229&amp;""' and Col2 &gt; date '""&amp;TEXT(O$8,""yyyy-mm-dd"")&amp;""' and Col2 &lt;= date '""&amp;TEXT(N$8,""yyyy-mm-dd"")&amp;""' label sum(Col16) ''"",0)))"),"")</f>
        <v/>
      </c>
      <c r="O229" s="628" t="str">
        <f>IFERROR(__xludf.DUMMYFUNCTION("IF($G229="""","""",IFERROR(query({proventos!$B$5:$Q310},""Select sum(Col16) where Col1 = '""&amp;$G229&amp;""' and Col2 &gt; date '""&amp;TEXT(P$8,""yyyy-mm-dd"")&amp;""' and Col2 &lt;= date '""&amp;TEXT(O$8,""yyyy-mm-dd"")&amp;""' label sum(Col16) ''"",0)))"),"")</f>
        <v/>
      </c>
      <c r="P229" s="628" t="str">
        <f>IFERROR(__xludf.DUMMYFUNCTION("IF($G229="""","""",IFERROR(query({proventos!$B$5:$Q310},""Select sum(Col16) where Col1 = '""&amp;$G229&amp;""' and Col2 &gt; date '""&amp;TEXT(Q$8,""yyyy-mm-dd"")&amp;""' and Col2 &lt;= date '""&amp;TEXT(P$8,""yyyy-mm-dd"")&amp;""' label sum(Col16) ''"",0)))"),"")</f>
        <v/>
      </c>
      <c r="Q229" s="628" t="str">
        <f>IFERROR(__xludf.DUMMYFUNCTION("IF($G229="""","""",IFERROR(query({proventos!$B$5:$Q310},""Select sum(Col16) where Col1 = '""&amp;$G229&amp;""' and Col2 &gt; date '""&amp;TEXT(R$8,""yyyy-mm-dd"")&amp;""' and Col2 &lt;= date '""&amp;TEXT(Q$8,""yyyy-mm-dd"")&amp;""' label sum(Col16) ''"",0)))"),"")</f>
        <v/>
      </c>
      <c r="R229" s="628" t="str">
        <f>IFERROR(__xludf.DUMMYFUNCTION("IF($G229="""","""",IFERROR(query({proventos!$B$5:$Q310},""Select sum(Col16) where Col1 = '""&amp;$G229&amp;""' and Col2 &gt; date '""&amp;TEXT(S$8,""yyyy-mm-dd"")&amp;""' and Col2 &lt;= date '""&amp;TEXT(R$8,""yyyy-mm-dd"")&amp;""' label sum(Col16) ''"",0)))"),"")</f>
        <v/>
      </c>
      <c r="S229" s="628" t="str">
        <f>IFERROR(__xludf.DUMMYFUNCTION("IF($G229="""","""",IFERROR(query({proventos!$B$5:$Q310},""Select sum(Col16) where Col1 = '""&amp;$G229&amp;""' and Col2 &gt; date '""&amp;TEXT(T$8,""yyyy-mm-dd"")&amp;""' and Col2 &lt;= date '""&amp;TEXT(S$8,""yyyy-mm-dd"")&amp;""' label sum(Col16) ''"",0)))"),"")</f>
        <v/>
      </c>
      <c r="T229" s="628" t="str">
        <f>IFERROR(__xludf.DUMMYFUNCTION("IF($G229="""","""",IFERROR(query({proventos!$B$5:$Q310},""Select sum(Col16) where Col1 = '""&amp;$G229&amp;""' and Col2 &gt; date '""&amp;TEXT(U$8,""yyyy-mm-dd"")&amp;""' and Col2 &lt;= date '""&amp;TEXT(T$8,""yyyy-mm-dd"")&amp;""' label sum(Col16) ''"",0)))"),"")</f>
        <v/>
      </c>
      <c r="U229" s="629" t="str">
        <f>IFERROR(__xludf.DUMMYFUNCTION("IF($G229="""","""",IFERROR(query({proventos!$B$5:$Q310},""Select sum(Col16) where Col1 = '""&amp;$G229&amp;""' and Col2 &gt; date '""&amp;TEXT(EOMONTH(TODAY(),-13),""yyyy-mm-dd"")&amp;""' and Col2 &lt;= date '""&amp;TEXT(U$8,""yyyy-mm-dd"")&amp;""' label sum(Col16) ''"",0)))"),"")</f>
        <v/>
      </c>
      <c r="V229" s="630" t="str">
        <f>IFERROR(__xludf.DUMMYFUNCTION("IF($G229="""","""",IFERROR(query({proventos!$B$5:$Q310},""Select sum(Col16) where Col1 = '""&amp;$G229&amp;""' and Col2 &gt; date '""&amp;TEXT(DATE(V$8,1,1),""yyyy-mm-dd"")&amp;""' and Col2 &lt;= date '""&amp;TEXT(DATE(V$8,12,31),""yyyy-mm-dd"")&amp;""' label sum(Col16) ''"",0)))"),"")</f>
        <v/>
      </c>
      <c r="W229" s="630" t="str">
        <f>IFERROR(__xludf.DUMMYFUNCTION("IF($G229="""","""",IFERROR(query({proventos!$B$5:$Q310},""Select sum(Col16) where Col1 = '""&amp;$G229&amp;""' and Col2 &gt; date '""&amp;TEXT(DATE(W$8,1,1),""yyyy-mm-dd"")&amp;""' and Col2 &lt;= date '""&amp;TEXT(DATE(W$8,12,31),""yyyy-mm-dd"")&amp;""' label sum(Col16) ''"",0)))"),"")</f>
        <v/>
      </c>
      <c r="X229" s="630" t="str">
        <f>IFERROR(__xludf.DUMMYFUNCTION("IF($G229="""","""",IFERROR(query({proventos!$B$5:$Q310},""Select sum(Col16) where Col1 = '""&amp;$G229&amp;""' and Col2 &gt; date '""&amp;TEXT(DATE(X$8,1,1),""yyyy-mm-dd"")&amp;""' and Col2 &lt;= date '""&amp;TEXT(DATE(X$8,12,31),""yyyy-mm-dd"")&amp;""' label sum(Col16) ''"",0)))"),"")</f>
        <v/>
      </c>
      <c r="Y229" s="630" t="str">
        <f>IFERROR(__xludf.DUMMYFUNCTION("IF($G229="""","""",IFERROR(query({proventos!$B$5:$Q310},""Select sum(Col16) where Col1 = '""&amp;$G229&amp;""' and Col2 &gt; date '""&amp;TEXT(DATE(Y$8,1,1),""yyyy-mm-dd"")&amp;""' and Col2 &lt;= date '""&amp;TEXT(DATE(Y$8,12,31),""yyyy-mm-dd"")&amp;""' label sum(Col16) ''"",0)))"),"")</f>
        <v/>
      </c>
      <c r="Z229" s="630" t="str">
        <f>IFERROR(__xludf.DUMMYFUNCTION("IF($G229="""","""",IFERROR(query({proventos!$B$5:$Q310},""Select sum(Col16) where Col1 = '""&amp;$G229&amp;""' and Col2 &gt; date '""&amp;TEXT(DATE(Z$8,1,1),""yyyy-mm-dd"")&amp;""' and Col2 &lt;= date '""&amp;TEXT(DATE(Z$8,12,31),""yyyy-mm-dd"")&amp;""' label sum(Col16) ''"",0)))"),"")</f>
        <v/>
      </c>
      <c r="AA229" s="587"/>
      <c r="AB229" s="578" t="s">
        <v>123</v>
      </c>
      <c r="AC229" s="601"/>
      <c r="AD229" s="636"/>
      <c r="AE229" s="636"/>
    </row>
    <row r="230">
      <c r="A230" s="576"/>
      <c r="B230" s="620"/>
      <c r="C230" s="637"/>
      <c r="D230" s="633"/>
      <c r="E230" s="633"/>
      <c r="F230" s="624">
        <v>220.0</v>
      </c>
      <c r="G230" s="635"/>
      <c r="H230" s="626" t="str">
        <f>if(G230="","",IFERROR(VLOOKUP(G230,AtivosDados,MATCH("provento_avg",portfolio.!$A$3:AE$3,0),FALSE),""))</f>
        <v/>
      </c>
      <c r="I230" s="627" t="s">
        <v>123</v>
      </c>
      <c r="J230" s="628" t="str">
        <f>IFERROR(__xludf.DUMMYFUNCTION("IF($G230="""","""",IFERROR(query({proventos!$B$5:$Q310},""Select sum(Col16) where Col1 = '""&amp;$G230&amp;""' and Col2 &gt; date '""&amp;TEXT(K$8,""yyyy-mm-dd"")&amp;""' and Col2 &lt;= date '""&amp;TEXT(J$8,""yyyy-mm-dd"")&amp;""' label sum(Col16) ''"",0)))"),"")</f>
        <v/>
      </c>
      <c r="K230" s="628" t="str">
        <f>IFERROR(__xludf.DUMMYFUNCTION("IF($G230="""","""",IFERROR(query({proventos!$B$5:$Q310},""Select sum(Col16) where Col1 = '""&amp;$G230&amp;""' and Col2 &gt; date '""&amp;TEXT(L$8,""yyyy-mm-dd"")&amp;""' and Col2 &lt;= date '""&amp;TEXT(K$8,""yyyy-mm-dd"")&amp;""' label sum(Col16) ''"",0)))"),"")</f>
        <v/>
      </c>
      <c r="L230" s="628" t="str">
        <f>IFERROR(__xludf.DUMMYFUNCTION("IF($G230="""","""",IFERROR(query({proventos!$B$5:$Q310},""Select sum(Col16) where Col1 = '""&amp;$G230&amp;""' and Col2 &gt; date '""&amp;TEXT(M$8,""yyyy-mm-dd"")&amp;""' and Col2 &lt;= date '""&amp;TEXT(L$8,""yyyy-mm-dd"")&amp;""' label sum(Col16) ''"",0)))"),"")</f>
        <v/>
      </c>
      <c r="M230" s="628" t="str">
        <f>IFERROR(__xludf.DUMMYFUNCTION("IF($G230="""","""",IFERROR(query({proventos!$B$5:$Q310},""Select sum(Col16) where Col1 = '""&amp;$G230&amp;""' and Col2 &gt; date '""&amp;TEXT(N$8,""yyyy-mm-dd"")&amp;""' and Col2 &lt;= date '""&amp;TEXT(M$8,""yyyy-mm-dd"")&amp;""' label sum(Col16) ''"",0)))"),"")</f>
        <v/>
      </c>
      <c r="N230" s="628" t="str">
        <f>IFERROR(__xludf.DUMMYFUNCTION("IF($G230="""","""",IFERROR(query({proventos!$B$5:$Q310},""Select sum(Col16) where Col1 = '""&amp;$G230&amp;""' and Col2 &gt; date '""&amp;TEXT(O$8,""yyyy-mm-dd"")&amp;""' and Col2 &lt;= date '""&amp;TEXT(N$8,""yyyy-mm-dd"")&amp;""' label sum(Col16) ''"",0)))"),"")</f>
        <v/>
      </c>
      <c r="O230" s="628" t="str">
        <f>IFERROR(__xludf.DUMMYFUNCTION("IF($G230="""","""",IFERROR(query({proventos!$B$5:$Q310},""Select sum(Col16) where Col1 = '""&amp;$G230&amp;""' and Col2 &gt; date '""&amp;TEXT(P$8,""yyyy-mm-dd"")&amp;""' and Col2 &lt;= date '""&amp;TEXT(O$8,""yyyy-mm-dd"")&amp;""' label sum(Col16) ''"",0)))"),"")</f>
        <v/>
      </c>
      <c r="P230" s="628" t="str">
        <f>IFERROR(__xludf.DUMMYFUNCTION("IF($G230="""","""",IFERROR(query({proventos!$B$5:$Q310},""Select sum(Col16) where Col1 = '""&amp;$G230&amp;""' and Col2 &gt; date '""&amp;TEXT(Q$8,""yyyy-mm-dd"")&amp;""' and Col2 &lt;= date '""&amp;TEXT(P$8,""yyyy-mm-dd"")&amp;""' label sum(Col16) ''"",0)))"),"")</f>
        <v/>
      </c>
      <c r="Q230" s="628" t="str">
        <f>IFERROR(__xludf.DUMMYFUNCTION("IF($G230="""","""",IFERROR(query({proventos!$B$5:$Q310},""Select sum(Col16) where Col1 = '""&amp;$G230&amp;""' and Col2 &gt; date '""&amp;TEXT(R$8,""yyyy-mm-dd"")&amp;""' and Col2 &lt;= date '""&amp;TEXT(Q$8,""yyyy-mm-dd"")&amp;""' label sum(Col16) ''"",0)))"),"")</f>
        <v/>
      </c>
      <c r="R230" s="628" t="str">
        <f>IFERROR(__xludf.DUMMYFUNCTION("IF($G230="""","""",IFERROR(query({proventos!$B$5:$Q310},""Select sum(Col16) where Col1 = '""&amp;$G230&amp;""' and Col2 &gt; date '""&amp;TEXT(S$8,""yyyy-mm-dd"")&amp;""' and Col2 &lt;= date '""&amp;TEXT(R$8,""yyyy-mm-dd"")&amp;""' label sum(Col16) ''"",0)))"),"")</f>
        <v/>
      </c>
      <c r="S230" s="628" t="str">
        <f>IFERROR(__xludf.DUMMYFUNCTION("IF($G230="""","""",IFERROR(query({proventos!$B$5:$Q310},""Select sum(Col16) where Col1 = '""&amp;$G230&amp;""' and Col2 &gt; date '""&amp;TEXT(T$8,""yyyy-mm-dd"")&amp;""' and Col2 &lt;= date '""&amp;TEXT(S$8,""yyyy-mm-dd"")&amp;""' label sum(Col16) ''"",0)))"),"")</f>
        <v/>
      </c>
      <c r="T230" s="628" t="str">
        <f>IFERROR(__xludf.DUMMYFUNCTION("IF($G230="""","""",IFERROR(query({proventos!$B$5:$Q310},""Select sum(Col16) where Col1 = '""&amp;$G230&amp;""' and Col2 &gt; date '""&amp;TEXT(U$8,""yyyy-mm-dd"")&amp;""' and Col2 &lt;= date '""&amp;TEXT(T$8,""yyyy-mm-dd"")&amp;""' label sum(Col16) ''"",0)))"),"")</f>
        <v/>
      </c>
      <c r="U230" s="629" t="str">
        <f>IFERROR(__xludf.DUMMYFUNCTION("IF($G230="""","""",IFERROR(query({proventos!$B$5:$Q310},""Select sum(Col16) where Col1 = '""&amp;$G230&amp;""' and Col2 &gt; date '""&amp;TEXT(EOMONTH(TODAY(),-13),""yyyy-mm-dd"")&amp;""' and Col2 &lt;= date '""&amp;TEXT(U$8,""yyyy-mm-dd"")&amp;""' label sum(Col16) ''"",0)))"),"")</f>
        <v/>
      </c>
      <c r="V230" s="630" t="str">
        <f>IFERROR(__xludf.DUMMYFUNCTION("IF($G230="""","""",IFERROR(query({proventos!$B$5:$Q310},""Select sum(Col16) where Col1 = '""&amp;$G230&amp;""' and Col2 &gt; date '""&amp;TEXT(DATE(V$8,1,1),""yyyy-mm-dd"")&amp;""' and Col2 &lt;= date '""&amp;TEXT(DATE(V$8,12,31),""yyyy-mm-dd"")&amp;""' label sum(Col16) ''"",0)))"),"")</f>
        <v/>
      </c>
      <c r="W230" s="630" t="str">
        <f>IFERROR(__xludf.DUMMYFUNCTION("IF($G230="""","""",IFERROR(query({proventos!$B$5:$Q310},""Select sum(Col16) where Col1 = '""&amp;$G230&amp;""' and Col2 &gt; date '""&amp;TEXT(DATE(W$8,1,1),""yyyy-mm-dd"")&amp;""' and Col2 &lt;= date '""&amp;TEXT(DATE(W$8,12,31),""yyyy-mm-dd"")&amp;""' label sum(Col16) ''"",0)))"),"")</f>
        <v/>
      </c>
      <c r="X230" s="630" t="str">
        <f>IFERROR(__xludf.DUMMYFUNCTION("IF($G230="""","""",IFERROR(query({proventos!$B$5:$Q310},""Select sum(Col16) where Col1 = '""&amp;$G230&amp;""' and Col2 &gt; date '""&amp;TEXT(DATE(X$8,1,1),""yyyy-mm-dd"")&amp;""' and Col2 &lt;= date '""&amp;TEXT(DATE(X$8,12,31),""yyyy-mm-dd"")&amp;""' label sum(Col16) ''"",0)))"),"")</f>
        <v/>
      </c>
      <c r="Y230" s="630" t="str">
        <f>IFERROR(__xludf.DUMMYFUNCTION("IF($G230="""","""",IFERROR(query({proventos!$B$5:$Q310},""Select sum(Col16) where Col1 = '""&amp;$G230&amp;""' and Col2 &gt; date '""&amp;TEXT(DATE(Y$8,1,1),""yyyy-mm-dd"")&amp;""' and Col2 &lt;= date '""&amp;TEXT(DATE(Y$8,12,31),""yyyy-mm-dd"")&amp;""' label sum(Col16) ''"",0)))"),"")</f>
        <v/>
      </c>
      <c r="Z230" s="630" t="str">
        <f>IFERROR(__xludf.DUMMYFUNCTION("IF($G230="""","""",IFERROR(query({proventos!$B$5:$Q310},""Select sum(Col16) where Col1 = '""&amp;$G230&amp;""' and Col2 &gt; date '""&amp;TEXT(DATE(Z$8,1,1),""yyyy-mm-dd"")&amp;""' and Col2 &lt;= date '""&amp;TEXT(DATE(Z$8,12,31),""yyyy-mm-dd"")&amp;""' label sum(Col16) ''"",0)))"),"")</f>
        <v/>
      </c>
      <c r="AA230" s="587"/>
      <c r="AB230" s="578" t="s">
        <v>123</v>
      </c>
      <c r="AC230" s="601"/>
      <c r="AD230" s="636"/>
      <c r="AE230" s="636"/>
    </row>
    <row r="231">
      <c r="A231" s="576"/>
      <c r="B231" s="620"/>
      <c r="C231" s="637"/>
      <c r="D231" s="633"/>
      <c r="E231" s="633"/>
      <c r="F231" s="624">
        <v>221.0</v>
      </c>
      <c r="G231" s="635"/>
      <c r="H231" s="626" t="str">
        <f>if(G231="","",IFERROR(VLOOKUP(G231,AtivosDados,MATCH("provento_avg",portfolio.!$A$3:AE$3,0),FALSE),""))</f>
        <v/>
      </c>
      <c r="I231" s="627" t="s">
        <v>123</v>
      </c>
      <c r="J231" s="628" t="str">
        <f>IFERROR(__xludf.DUMMYFUNCTION("IF($G231="""","""",IFERROR(query({proventos!$B$5:$Q310},""Select sum(Col16) where Col1 = '""&amp;$G231&amp;""' and Col2 &gt; date '""&amp;TEXT(K$8,""yyyy-mm-dd"")&amp;""' and Col2 &lt;= date '""&amp;TEXT(J$8,""yyyy-mm-dd"")&amp;""' label sum(Col16) ''"",0)))"),"")</f>
        <v/>
      </c>
      <c r="K231" s="628" t="str">
        <f>IFERROR(__xludf.DUMMYFUNCTION("IF($G231="""","""",IFERROR(query({proventos!$B$5:$Q310},""Select sum(Col16) where Col1 = '""&amp;$G231&amp;""' and Col2 &gt; date '""&amp;TEXT(L$8,""yyyy-mm-dd"")&amp;""' and Col2 &lt;= date '""&amp;TEXT(K$8,""yyyy-mm-dd"")&amp;""' label sum(Col16) ''"",0)))"),"")</f>
        <v/>
      </c>
      <c r="L231" s="628" t="str">
        <f>IFERROR(__xludf.DUMMYFUNCTION("IF($G231="""","""",IFERROR(query({proventos!$B$5:$Q310},""Select sum(Col16) where Col1 = '""&amp;$G231&amp;""' and Col2 &gt; date '""&amp;TEXT(M$8,""yyyy-mm-dd"")&amp;""' and Col2 &lt;= date '""&amp;TEXT(L$8,""yyyy-mm-dd"")&amp;""' label sum(Col16) ''"",0)))"),"")</f>
        <v/>
      </c>
      <c r="M231" s="628" t="str">
        <f>IFERROR(__xludf.DUMMYFUNCTION("IF($G231="""","""",IFERROR(query({proventos!$B$5:$Q310},""Select sum(Col16) where Col1 = '""&amp;$G231&amp;""' and Col2 &gt; date '""&amp;TEXT(N$8,""yyyy-mm-dd"")&amp;""' and Col2 &lt;= date '""&amp;TEXT(M$8,""yyyy-mm-dd"")&amp;""' label sum(Col16) ''"",0)))"),"")</f>
        <v/>
      </c>
      <c r="N231" s="628" t="str">
        <f>IFERROR(__xludf.DUMMYFUNCTION("IF($G231="""","""",IFERROR(query({proventos!$B$5:$Q310},""Select sum(Col16) where Col1 = '""&amp;$G231&amp;""' and Col2 &gt; date '""&amp;TEXT(O$8,""yyyy-mm-dd"")&amp;""' and Col2 &lt;= date '""&amp;TEXT(N$8,""yyyy-mm-dd"")&amp;""' label sum(Col16) ''"",0)))"),"")</f>
        <v/>
      </c>
      <c r="O231" s="628" t="str">
        <f>IFERROR(__xludf.DUMMYFUNCTION("IF($G231="""","""",IFERROR(query({proventos!$B$5:$Q310},""Select sum(Col16) where Col1 = '""&amp;$G231&amp;""' and Col2 &gt; date '""&amp;TEXT(P$8,""yyyy-mm-dd"")&amp;""' and Col2 &lt;= date '""&amp;TEXT(O$8,""yyyy-mm-dd"")&amp;""' label sum(Col16) ''"",0)))"),"")</f>
        <v/>
      </c>
      <c r="P231" s="628" t="str">
        <f>IFERROR(__xludf.DUMMYFUNCTION("IF($G231="""","""",IFERROR(query({proventos!$B$5:$Q310},""Select sum(Col16) where Col1 = '""&amp;$G231&amp;""' and Col2 &gt; date '""&amp;TEXT(Q$8,""yyyy-mm-dd"")&amp;""' and Col2 &lt;= date '""&amp;TEXT(P$8,""yyyy-mm-dd"")&amp;""' label sum(Col16) ''"",0)))"),"")</f>
        <v/>
      </c>
      <c r="Q231" s="628" t="str">
        <f>IFERROR(__xludf.DUMMYFUNCTION("IF($G231="""","""",IFERROR(query({proventos!$B$5:$Q310},""Select sum(Col16) where Col1 = '""&amp;$G231&amp;""' and Col2 &gt; date '""&amp;TEXT(R$8,""yyyy-mm-dd"")&amp;""' and Col2 &lt;= date '""&amp;TEXT(Q$8,""yyyy-mm-dd"")&amp;""' label sum(Col16) ''"",0)))"),"")</f>
        <v/>
      </c>
      <c r="R231" s="628" t="str">
        <f>IFERROR(__xludf.DUMMYFUNCTION("IF($G231="""","""",IFERROR(query({proventos!$B$5:$Q310},""Select sum(Col16) where Col1 = '""&amp;$G231&amp;""' and Col2 &gt; date '""&amp;TEXT(S$8,""yyyy-mm-dd"")&amp;""' and Col2 &lt;= date '""&amp;TEXT(R$8,""yyyy-mm-dd"")&amp;""' label sum(Col16) ''"",0)))"),"")</f>
        <v/>
      </c>
      <c r="S231" s="628" t="str">
        <f>IFERROR(__xludf.DUMMYFUNCTION("IF($G231="""","""",IFERROR(query({proventos!$B$5:$Q310},""Select sum(Col16) where Col1 = '""&amp;$G231&amp;""' and Col2 &gt; date '""&amp;TEXT(T$8,""yyyy-mm-dd"")&amp;""' and Col2 &lt;= date '""&amp;TEXT(S$8,""yyyy-mm-dd"")&amp;""' label sum(Col16) ''"",0)))"),"")</f>
        <v/>
      </c>
      <c r="T231" s="628" t="str">
        <f>IFERROR(__xludf.DUMMYFUNCTION("IF($G231="""","""",IFERROR(query({proventos!$B$5:$Q310},""Select sum(Col16) where Col1 = '""&amp;$G231&amp;""' and Col2 &gt; date '""&amp;TEXT(U$8,""yyyy-mm-dd"")&amp;""' and Col2 &lt;= date '""&amp;TEXT(T$8,""yyyy-mm-dd"")&amp;""' label sum(Col16) ''"",0)))"),"")</f>
        <v/>
      </c>
      <c r="U231" s="629" t="str">
        <f>IFERROR(__xludf.DUMMYFUNCTION("IF($G231="""","""",IFERROR(query({proventos!$B$5:$Q310},""Select sum(Col16) where Col1 = '""&amp;$G231&amp;""' and Col2 &gt; date '""&amp;TEXT(EOMONTH(TODAY(),-13),""yyyy-mm-dd"")&amp;""' and Col2 &lt;= date '""&amp;TEXT(U$8,""yyyy-mm-dd"")&amp;""' label sum(Col16) ''"",0)))"),"")</f>
        <v/>
      </c>
      <c r="V231" s="630" t="str">
        <f>IFERROR(__xludf.DUMMYFUNCTION("IF($G231="""","""",IFERROR(query({proventos!$B$5:$Q310},""Select sum(Col16) where Col1 = '""&amp;$G231&amp;""' and Col2 &gt; date '""&amp;TEXT(DATE(V$8,1,1),""yyyy-mm-dd"")&amp;""' and Col2 &lt;= date '""&amp;TEXT(DATE(V$8,12,31),""yyyy-mm-dd"")&amp;""' label sum(Col16) ''"",0)))"),"")</f>
        <v/>
      </c>
      <c r="W231" s="630" t="str">
        <f>IFERROR(__xludf.DUMMYFUNCTION("IF($G231="""","""",IFERROR(query({proventos!$B$5:$Q310},""Select sum(Col16) where Col1 = '""&amp;$G231&amp;""' and Col2 &gt; date '""&amp;TEXT(DATE(W$8,1,1),""yyyy-mm-dd"")&amp;""' and Col2 &lt;= date '""&amp;TEXT(DATE(W$8,12,31),""yyyy-mm-dd"")&amp;""' label sum(Col16) ''"",0)))"),"")</f>
        <v/>
      </c>
      <c r="X231" s="630" t="str">
        <f>IFERROR(__xludf.DUMMYFUNCTION("IF($G231="""","""",IFERROR(query({proventos!$B$5:$Q310},""Select sum(Col16) where Col1 = '""&amp;$G231&amp;""' and Col2 &gt; date '""&amp;TEXT(DATE(X$8,1,1),""yyyy-mm-dd"")&amp;""' and Col2 &lt;= date '""&amp;TEXT(DATE(X$8,12,31),""yyyy-mm-dd"")&amp;""' label sum(Col16) ''"",0)))"),"")</f>
        <v/>
      </c>
      <c r="Y231" s="630" t="str">
        <f>IFERROR(__xludf.DUMMYFUNCTION("IF($G231="""","""",IFERROR(query({proventos!$B$5:$Q310},""Select sum(Col16) where Col1 = '""&amp;$G231&amp;""' and Col2 &gt; date '""&amp;TEXT(DATE(Y$8,1,1),""yyyy-mm-dd"")&amp;""' and Col2 &lt;= date '""&amp;TEXT(DATE(Y$8,12,31),""yyyy-mm-dd"")&amp;""' label sum(Col16) ''"",0)))"),"")</f>
        <v/>
      </c>
      <c r="Z231" s="630" t="str">
        <f>IFERROR(__xludf.DUMMYFUNCTION("IF($G231="""","""",IFERROR(query({proventos!$B$5:$Q310},""Select sum(Col16) where Col1 = '""&amp;$G231&amp;""' and Col2 &gt; date '""&amp;TEXT(DATE(Z$8,1,1),""yyyy-mm-dd"")&amp;""' and Col2 &lt;= date '""&amp;TEXT(DATE(Z$8,12,31),""yyyy-mm-dd"")&amp;""' label sum(Col16) ''"",0)))"),"")</f>
        <v/>
      </c>
      <c r="AA231" s="587"/>
      <c r="AB231" s="578" t="s">
        <v>123</v>
      </c>
      <c r="AC231" s="601"/>
      <c r="AD231" s="636"/>
      <c r="AE231" s="636"/>
    </row>
    <row r="232">
      <c r="A232" s="576"/>
      <c r="B232" s="620"/>
      <c r="C232" s="637"/>
      <c r="D232" s="633"/>
      <c r="E232" s="633"/>
      <c r="F232" s="624">
        <v>222.0</v>
      </c>
      <c r="G232" s="635"/>
      <c r="H232" s="626" t="str">
        <f>if(G232="","",IFERROR(VLOOKUP(G232,AtivosDados,MATCH("provento_avg",portfolio.!$A$3:AE$3,0),FALSE),""))</f>
        <v/>
      </c>
      <c r="I232" s="627" t="s">
        <v>123</v>
      </c>
      <c r="J232" s="628" t="str">
        <f>IFERROR(__xludf.DUMMYFUNCTION("IF($G232="""","""",IFERROR(query({proventos!$B$5:$Q310},""Select sum(Col16) where Col1 = '""&amp;$G232&amp;""' and Col2 &gt; date '""&amp;TEXT(K$8,""yyyy-mm-dd"")&amp;""' and Col2 &lt;= date '""&amp;TEXT(J$8,""yyyy-mm-dd"")&amp;""' label sum(Col16) ''"",0)))"),"")</f>
        <v/>
      </c>
      <c r="K232" s="628" t="str">
        <f>IFERROR(__xludf.DUMMYFUNCTION("IF($G232="""","""",IFERROR(query({proventos!$B$5:$Q310},""Select sum(Col16) where Col1 = '""&amp;$G232&amp;""' and Col2 &gt; date '""&amp;TEXT(L$8,""yyyy-mm-dd"")&amp;""' and Col2 &lt;= date '""&amp;TEXT(K$8,""yyyy-mm-dd"")&amp;""' label sum(Col16) ''"",0)))"),"")</f>
        <v/>
      </c>
      <c r="L232" s="628" t="str">
        <f>IFERROR(__xludf.DUMMYFUNCTION("IF($G232="""","""",IFERROR(query({proventos!$B$5:$Q310},""Select sum(Col16) where Col1 = '""&amp;$G232&amp;""' and Col2 &gt; date '""&amp;TEXT(M$8,""yyyy-mm-dd"")&amp;""' and Col2 &lt;= date '""&amp;TEXT(L$8,""yyyy-mm-dd"")&amp;""' label sum(Col16) ''"",0)))"),"")</f>
        <v/>
      </c>
      <c r="M232" s="628" t="str">
        <f>IFERROR(__xludf.DUMMYFUNCTION("IF($G232="""","""",IFERROR(query({proventos!$B$5:$Q310},""Select sum(Col16) where Col1 = '""&amp;$G232&amp;""' and Col2 &gt; date '""&amp;TEXT(N$8,""yyyy-mm-dd"")&amp;""' and Col2 &lt;= date '""&amp;TEXT(M$8,""yyyy-mm-dd"")&amp;""' label sum(Col16) ''"",0)))"),"")</f>
        <v/>
      </c>
      <c r="N232" s="628" t="str">
        <f>IFERROR(__xludf.DUMMYFUNCTION("IF($G232="""","""",IFERROR(query({proventos!$B$5:$Q310},""Select sum(Col16) where Col1 = '""&amp;$G232&amp;""' and Col2 &gt; date '""&amp;TEXT(O$8,""yyyy-mm-dd"")&amp;""' and Col2 &lt;= date '""&amp;TEXT(N$8,""yyyy-mm-dd"")&amp;""' label sum(Col16) ''"",0)))"),"")</f>
        <v/>
      </c>
      <c r="O232" s="628" t="str">
        <f>IFERROR(__xludf.DUMMYFUNCTION("IF($G232="""","""",IFERROR(query({proventos!$B$5:$Q310},""Select sum(Col16) where Col1 = '""&amp;$G232&amp;""' and Col2 &gt; date '""&amp;TEXT(P$8,""yyyy-mm-dd"")&amp;""' and Col2 &lt;= date '""&amp;TEXT(O$8,""yyyy-mm-dd"")&amp;""' label sum(Col16) ''"",0)))"),"")</f>
        <v/>
      </c>
      <c r="P232" s="628" t="str">
        <f>IFERROR(__xludf.DUMMYFUNCTION("IF($G232="""","""",IFERROR(query({proventos!$B$5:$Q310},""Select sum(Col16) where Col1 = '""&amp;$G232&amp;""' and Col2 &gt; date '""&amp;TEXT(Q$8,""yyyy-mm-dd"")&amp;""' and Col2 &lt;= date '""&amp;TEXT(P$8,""yyyy-mm-dd"")&amp;""' label sum(Col16) ''"",0)))"),"")</f>
        <v/>
      </c>
      <c r="Q232" s="628" t="str">
        <f>IFERROR(__xludf.DUMMYFUNCTION("IF($G232="""","""",IFERROR(query({proventos!$B$5:$Q310},""Select sum(Col16) where Col1 = '""&amp;$G232&amp;""' and Col2 &gt; date '""&amp;TEXT(R$8,""yyyy-mm-dd"")&amp;""' and Col2 &lt;= date '""&amp;TEXT(Q$8,""yyyy-mm-dd"")&amp;""' label sum(Col16) ''"",0)))"),"")</f>
        <v/>
      </c>
      <c r="R232" s="628" t="str">
        <f>IFERROR(__xludf.DUMMYFUNCTION("IF($G232="""","""",IFERROR(query({proventos!$B$5:$Q310},""Select sum(Col16) where Col1 = '""&amp;$G232&amp;""' and Col2 &gt; date '""&amp;TEXT(S$8,""yyyy-mm-dd"")&amp;""' and Col2 &lt;= date '""&amp;TEXT(R$8,""yyyy-mm-dd"")&amp;""' label sum(Col16) ''"",0)))"),"")</f>
        <v/>
      </c>
      <c r="S232" s="628" t="str">
        <f>IFERROR(__xludf.DUMMYFUNCTION("IF($G232="""","""",IFERROR(query({proventos!$B$5:$Q310},""Select sum(Col16) where Col1 = '""&amp;$G232&amp;""' and Col2 &gt; date '""&amp;TEXT(T$8,""yyyy-mm-dd"")&amp;""' and Col2 &lt;= date '""&amp;TEXT(S$8,""yyyy-mm-dd"")&amp;""' label sum(Col16) ''"",0)))"),"")</f>
        <v/>
      </c>
      <c r="T232" s="628" t="str">
        <f>IFERROR(__xludf.DUMMYFUNCTION("IF($G232="""","""",IFERROR(query({proventos!$B$5:$Q310},""Select sum(Col16) where Col1 = '""&amp;$G232&amp;""' and Col2 &gt; date '""&amp;TEXT(U$8,""yyyy-mm-dd"")&amp;""' and Col2 &lt;= date '""&amp;TEXT(T$8,""yyyy-mm-dd"")&amp;""' label sum(Col16) ''"",0)))"),"")</f>
        <v/>
      </c>
      <c r="U232" s="629" t="str">
        <f>IFERROR(__xludf.DUMMYFUNCTION("IF($G232="""","""",IFERROR(query({proventos!$B$5:$Q310},""Select sum(Col16) where Col1 = '""&amp;$G232&amp;""' and Col2 &gt; date '""&amp;TEXT(EOMONTH(TODAY(),-13),""yyyy-mm-dd"")&amp;""' and Col2 &lt;= date '""&amp;TEXT(U$8,""yyyy-mm-dd"")&amp;""' label sum(Col16) ''"",0)))"),"")</f>
        <v/>
      </c>
      <c r="V232" s="630" t="str">
        <f>IFERROR(__xludf.DUMMYFUNCTION("IF($G232="""","""",IFERROR(query({proventos!$B$5:$Q310},""Select sum(Col16) where Col1 = '""&amp;$G232&amp;""' and Col2 &gt; date '""&amp;TEXT(DATE(V$8,1,1),""yyyy-mm-dd"")&amp;""' and Col2 &lt;= date '""&amp;TEXT(DATE(V$8,12,31),""yyyy-mm-dd"")&amp;""' label sum(Col16) ''"",0)))"),"")</f>
        <v/>
      </c>
      <c r="W232" s="630" t="str">
        <f>IFERROR(__xludf.DUMMYFUNCTION("IF($G232="""","""",IFERROR(query({proventos!$B$5:$Q310},""Select sum(Col16) where Col1 = '""&amp;$G232&amp;""' and Col2 &gt; date '""&amp;TEXT(DATE(W$8,1,1),""yyyy-mm-dd"")&amp;""' and Col2 &lt;= date '""&amp;TEXT(DATE(W$8,12,31),""yyyy-mm-dd"")&amp;""' label sum(Col16) ''"",0)))"),"")</f>
        <v/>
      </c>
      <c r="X232" s="630" t="str">
        <f>IFERROR(__xludf.DUMMYFUNCTION("IF($G232="""","""",IFERROR(query({proventos!$B$5:$Q310},""Select sum(Col16) where Col1 = '""&amp;$G232&amp;""' and Col2 &gt; date '""&amp;TEXT(DATE(X$8,1,1),""yyyy-mm-dd"")&amp;""' and Col2 &lt;= date '""&amp;TEXT(DATE(X$8,12,31),""yyyy-mm-dd"")&amp;""' label sum(Col16) ''"",0)))"),"")</f>
        <v/>
      </c>
      <c r="Y232" s="630" t="str">
        <f>IFERROR(__xludf.DUMMYFUNCTION("IF($G232="""","""",IFERROR(query({proventos!$B$5:$Q310},""Select sum(Col16) where Col1 = '""&amp;$G232&amp;""' and Col2 &gt; date '""&amp;TEXT(DATE(Y$8,1,1),""yyyy-mm-dd"")&amp;""' and Col2 &lt;= date '""&amp;TEXT(DATE(Y$8,12,31),""yyyy-mm-dd"")&amp;""' label sum(Col16) ''"",0)))"),"")</f>
        <v/>
      </c>
      <c r="Z232" s="630" t="str">
        <f>IFERROR(__xludf.DUMMYFUNCTION("IF($G232="""","""",IFERROR(query({proventos!$B$5:$Q310},""Select sum(Col16) where Col1 = '""&amp;$G232&amp;""' and Col2 &gt; date '""&amp;TEXT(DATE(Z$8,1,1),""yyyy-mm-dd"")&amp;""' and Col2 &lt;= date '""&amp;TEXT(DATE(Z$8,12,31),""yyyy-mm-dd"")&amp;""' label sum(Col16) ''"",0)))"),"")</f>
        <v/>
      </c>
      <c r="AA232" s="587"/>
      <c r="AB232" s="578" t="s">
        <v>123</v>
      </c>
      <c r="AC232" s="601"/>
      <c r="AD232" s="636"/>
      <c r="AE232" s="636"/>
    </row>
    <row r="233">
      <c r="A233" s="576"/>
      <c r="B233" s="620"/>
      <c r="C233" s="637"/>
      <c r="D233" s="633"/>
      <c r="E233" s="633"/>
      <c r="F233" s="624">
        <v>223.0</v>
      </c>
      <c r="G233" s="635"/>
      <c r="H233" s="626" t="str">
        <f>if(G233="","",IFERROR(VLOOKUP(G233,AtivosDados,MATCH("provento_avg",portfolio.!$A$3:AE$3,0),FALSE),""))</f>
        <v/>
      </c>
      <c r="I233" s="627" t="s">
        <v>123</v>
      </c>
      <c r="J233" s="628" t="str">
        <f>IFERROR(__xludf.DUMMYFUNCTION("IF($G233="""","""",IFERROR(query({proventos!$B$5:$Q310},""Select sum(Col16) where Col1 = '""&amp;$G233&amp;""' and Col2 &gt; date '""&amp;TEXT(K$8,""yyyy-mm-dd"")&amp;""' and Col2 &lt;= date '""&amp;TEXT(J$8,""yyyy-mm-dd"")&amp;""' label sum(Col16) ''"",0)))"),"")</f>
        <v/>
      </c>
      <c r="K233" s="628" t="str">
        <f>IFERROR(__xludf.DUMMYFUNCTION("IF($G233="""","""",IFERROR(query({proventos!$B$5:$Q310},""Select sum(Col16) where Col1 = '""&amp;$G233&amp;""' and Col2 &gt; date '""&amp;TEXT(L$8,""yyyy-mm-dd"")&amp;""' and Col2 &lt;= date '""&amp;TEXT(K$8,""yyyy-mm-dd"")&amp;""' label sum(Col16) ''"",0)))"),"")</f>
        <v/>
      </c>
      <c r="L233" s="628" t="str">
        <f>IFERROR(__xludf.DUMMYFUNCTION("IF($G233="""","""",IFERROR(query({proventos!$B$5:$Q310},""Select sum(Col16) where Col1 = '""&amp;$G233&amp;""' and Col2 &gt; date '""&amp;TEXT(M$8,""yyyy-mm-dd"")&amp;""' and Col2 &lt;= date '""&amp;TEXT(L$8,""yyyy-mm-dd"")&amp;""' label sum(Col16) ''"",0)))"),"")</f>
        <v/>
      </c>
      <c r="M233" s="628" t="str">
        <f>IFERROR(__xludf.DUMMYFUNCTION("IF($G233="""","""",IFERROR(query({proventos!$B$5:$Q310},""Select sum(Col16) where Col1 = '""&amp;$G233&amp;""' and Col2 &gt; date '""&amp;TEXT(N$8,""yyyy-mm-dd"")&amp;""' and Col2 &lt;= date '""&amp;TEXT(M$8,""yyyy-mm-dd"")&amp;""' label sum(Col16) ''"",0)))"),"")</f>
        <v/>
      </c>
      <c r="N233" s="628" t="str">
        <f>IFERROR(__xludf.DUMMYFUNCTION("IF($G233="""","""",IFERROR(query({proventos!$B$5:$Q310},""Select sum(Col16) where Col1 = '""&amp;$G233&amp;""' and Col2 &gt; date '""&amp;TEXT(O$8,""yyyy-mm-dd"")&amp;""' and Col2 &lt;= date '""&amp;TEXT(N$8,""yyyy-mm-dd"")&amp;""' label sum(Col16) ''"",0)))"),"")</f>
        <v/>
      </c>
      <c r="O233" s="628" t="str">
        <f>IFERROR(__xludf.DUMMYFUNCTION("IF($G233="""","""",IFERROR(query({proventos!$B$5:$Q310},""Select sum(Col16) where Col1 = '""&amp;$G233&amp;""' and Col2 &gt; date '""&amp;TEXT(P$8,""yyyy-mm-dd"")&amp;""' and Col2 &lt;= date '""&amp;TEXT(O$8,""yyyy-mm-dd"")&amp;""' label sum(Col16) ''"",0)))"),"")</f>
        <v/>
      </c>
      <c r="P233" s="628" t="str">
        <f>IFERROR(__xludf.DUMMYFUNCTION("IF($G233="""","""",IFERROR(query({proventos!$B$5:$Q310},""Select sum(Col16) where Col1 = '""&amp;$G233&amp;""' and Col2 &gt; date '""&amp;TEXT(Q$8,""yyyy-mm-dd"")&amp;""' and Col2 &lt;= date '""&amp;TEXT(P$8,""yyyy-mm-dd"")&amp;""' label sum(Col16) ''"",0)))"),"")</f>
        <v/>
      </c>
      <c r="Q233" s="628" t="str">
        <f>IFERROR(__xludf.DUMMYFUNCTION("IF($G233="""","""",IFERROR(query({proventos!$B$5:$Q310},""Select sum(Col16) where Col1 = '""&amp;$G233&amp;""' and Col2 &gt; date '""&amp;TEXT(R$8,""yyyy-mm-dd"")&amp;""' and Col2 &lt;= date '""&amp;TEXT(Q$8,""yyyy-mm-dd"")&amp;""' label sum(Col16) ''"",0)))"),"")</f>
        <v/>
      </c>
      <c r="R233" s="628" t="str">
        <f>IFERROR(__xludf.DUMMYFUNCTION("IF($G233="""","""",IFERROR(query({proventos!$B$5:$Q310},""Select sum(Col16) where Col1 = '""&amp;$G233&amp;""' and Col2 &gt; date '""&amp;TEXT(S$8,""yyyy-mm-dd"")&amp;""' and Col2 &lt;= date '""&amp;TEXT(R$8,""yyyy-mm-dd"")&amp;""' label sum(Col16) ''"",0)))"),"")</f>
        <v/>
      </c>
      <c r="S233" s="628" t="str">
        <f>IFERROR(__xludf.DUMMYFUNCTION("IF($G233="""","""",IFERROR(query({proventos!$B$5:$Q310},""Select sum(Col16) where Col1 = '""&amp;$G233&amp;""' and Col2 &gt; date '""&amp;TEXT(T$8,""yyyy-mm-dd"")&amp;""' and Col2 &lt;= date '""&amp;TEXT(S$8,""yyyy-mm-dd"")&amp;""' label sum(Col16) ''"",0)))"),"")</f>
        <v/>
      </c>
      <c r="T233" s="628" t="str">
        <f>IFERROR(__xludf.DUMMYFUNCTION("IF($G233="""","""",IFERROR(query({proventos!$B$5:$Q310},""Select sum(Col16) where Col1 = '""&amp;$G233&amp;""' and Col2 &gt; date '""&amp;TEXT(U$8,""yyyy-mm-dd"")&amp;""' and Col2 &lt;= date '""&amp;TEXT(T$8,""yyyy-mm-dd"")&amp;""' label sum(Col16) ''"",0)))"),"")</f>
        <v/>
      </c>
      <c r="U233" s="629" t="str">
        <f>IFERROR(__xludf.DUMMYFUNCTION("IF($G233="""","""",IFERROR(query({proventos!$B$5:$Q310},""Select sum(Col16) where Col1 = '""&amp;$G233&amp;""' and Col2 &gt; date '""&amp;TEXT(EOMONTH(TODAY(),-13),""yyyy-mm-dd"")&amp;""' and Col2 &lt;= date '""&amp;TEXT(U$8,""yyyy-mm-dd"")&amp;""' label sum(Col16) ''"",0)))"),"")</f>
        <v/>
      </c>
      <c r="V233" s="630" t="str">
        <f>IFERROR(__xludf.DUMMYFUNCTION("IF($G233="""","""",IFERROR(query({proventos!$B$5:$Q310},""Select sum(Col16) where Col1 = '""&amp;$G233&amp;""' and Col2 &gt; date '""&amp;TEXT(DATE(V$8,1,1),""yyyy-mm-dd"")&amp;""' and Col2 &lt;= date '""&amp;TEXT(DATE(V$8,12,31),""yyyy-mm-dd"")&amp;""' label sum(Col16) ''"",0)))"),"")</f>
        <v/>
      </c>
      <c r="W233" s="630" t="str">
        <f>IFERROR(__xludf.DUMMYFUNCTION("IF($G233="""","""",IFERROR(query({proventos!$B$5:$Q310},""Select sum(Col16) where Col1 = '""&amp;$G233&amp;""' and Col2 &gt; date '""&amp;TEXT(DATE(W$8,1,1),""yyyy-mm-dd"")&amp;""' and Col2 &lt;= date '""&amp;TEXT(DATE(W$8,12,31),""yyyy-mm-dd"")&amp;""' label sum(Col16) ''"",0)))"),"")</f>
        <v/>
      </c>
      <c r="X233" s="630" t="str">
        <f>IFERROR(__xludf.DUMMYFUNCTION("IF($G233="""","""",IFERROR(query({proventos!$B$5:$Q310},""Select sum(Col16) where Col1 = '""&amp;$G233&amp;""' and Col2 &gt; date '""&amp;TEXT(DATE(X$8,1,1),""yyyy-mm-dd"")&amp;""' and Col2 &lt;= date '""&amp;TEXT(DATE(X$8,12,31),""yyyy-mm-dd"")&amp;""' label sum(Col16) ''"",0)))"),"")</f>
        <v/>
      </c>
      <c r="Y233" s="630" t="str">
        <f>IFERROR(__xludf.DUMMYFUNCTION("IF($G233="""","""",IFERROR(query({proventos!$B$5:$Q310},""Select sum(Col16) where Col1 = '""&amp;$G233&amp;""' and Col2 &gt; date '""&amp;TEXT(DATE(Y$8,1,1),""yyyy-mm-dd"")&amp;""' and Col2 &lt;= date '""&amp;TEXT(DATE(Y$8,12,31),""yyyy-mm-dd"")&amp;""' label sum(Col16) ''"",0)))"),"")</f>
        <v/>
      </c>
      <c r="Z233" s="630" t="str">
        <f>IFERROR(__xludf.DUMMYFUNCTION("IF($G233="""","""",IFERROR(query({proventos!$B$5:$Q310},""Select sum(Col16) where Col1 = '""&amp;$G233&amp;""' and Col2 &gt; date '""&amp;TEXT(DATE(Z$8,1,1),""yyyy-mm-dd"")&amp;""' and Col2 &lt;= date '""&amp;TEXT(DATE(Z$8,12,31),""yyyy-mm-dd"")&amp;""' label sum(Col16) ''"",0)))"),"")</f>
        <v/>
      </c>
      <c r="AA233" s="587"/>
      <c r="AB233" s="578" t="s">
        <v>123</v>
      </c>
      <c r="AC233" s="601"/>
      <c r="AD233" s="636"/>
      <c r="AE233" s="636"/>
    </row>
    <row r="234">
      <c r="A234" s="576"/>
      <c r="B234" s="620"/>
      <c r="C234" s="637"/>
      <c r="D234" s="633"/>
      <c r="E234" s="633"/>
      <c r="F234" s="624">
        <v>224.0</v>
      </c>
      <c r="G234" s="635"/>
      <c r="H234" s="626" t="str">
        <f>if(G234="","",IFERROR(VLOOKUP(G234,AtivosDados,MATCH("provento_avg",portfolio.!$A$3:AE$3,0),FALSE),""))</f>
        <v/>
      </c>
      <c r="I234" s="627" t="s">
        <v>123</v>
      </c>
      <c r="J234" s="628" t="str">
        <f>IFERROR(__xludf.DUMMYFUNCTION("IF($G234="""","""",IFERROR(query({proventos!$B$5:$Q310},""Select sum(Col16) where Col1 = '""&amp;$G234&amp;""' and Col2 &gt; date '""&amp;TEXT(K$8,""yyyy-mm-dd"")&amp;""' and Col2 &lt;= date '""&amp;TEXT(J$8,""yyyy-mm-dd"")&amp;""' label sum(Col16) ''"",0)))"),"")</f>
        <v/>
      </c>
      <c r="K234" s="628" t="str">
        <f>IFERROR(__xludf.DUMMYFUNCTION("IF($G234="""","""",IFERROR(query({proventos!$B$5:$Q310},""Select sum(Col16) where Col1 = '""&amp;$G234&amp;""' and Col2 &gt; date '""&amp;TEXT(L$8,""yyyy-mm-dd"")&amp;""' and Col2 &lt;= date '""&amp;TEXT(K$8,""yyyy-mm-dd"")&amp;""' label sum(Col16) ''"",0)))"),"")</f>
        <v/>
      </c>
      <c r="L234" s="628" t="str">
        <f>IFERROR(__xludf.DUMMYFUNCTION("IF($G234="""","""",IFERROR(query({proventos!$B$5:$Q310},""Select sum(Col16) where Col1 = '""&amp;$G234&amp;""' and Col2 &gt; date '""&amp;TEXT(M$8,""yyyy-mm-dd"")&amp;""' and Col2 &lt;= date '""&amp;TEXT(L$8,""yyyy-mm-dd"")&amp;""' label sum(Col16) ''"",0)))"),"")</f>
        <v/>
      </c>
      <c r="M234" s="628" t="str">
        <f>IFERROR(__xludf.DUMMYFUNCTION("IF($G234="""","""",IFERROR(query({proventos!$B$5:$Q310},""Select sum(Col16) where Col1 = '""&amp;$G234&amp;""' and Col2 &gt; date '""&amp;TEXT(N$8,""yyyy-mm-dd"")&amp;""' and Col2 &lt;= date '""&amp;TEXT(M$8,""yyyy-mm-dd"")&amp;""' label sum(Col16) ''"",0)))"),"")</f>
        <v/>
      </c>
      <c r="N234" s="628" t="str">
        <f>IFERROR(__xludf.DUMMYFUNCTION("IF($G234="""","""",IFERROR(query({proventos!$B$5:$Q310},""Select sum(Col16) where Col1 = '""&amp;$G234&amp;""' and Col2 &gt; date '""&amp;TEXT(O$8,""yyyy-mm-dd"")&amp;""' and Col2 &lt;= date '""&amp;TEXT(N$8,""yyyy-mm-dd"")&amp;""' label sum(Col16) ''"",0)))"),"")</f>
        <v/>
      </c>
      <c r="O234" s="628" t="str">
        <f>IFERROR(__xludf.DUMMYFUNCTION("IF($G234="""","""",IFERROR(query({proventos!$B$5:$Q310},""Select sum(Col16) where Col1 = '""&amp;$G234&amp;""' and Col2 &gt; date '""&amp;TEXT(P$8,""yyyy-mm-dd"")&amp;""' and Col2 &lt;= date '""&amp;TEXT(O$8,""yyyy-mm-dd"")&amp;""' label sum(Col16) ''"",0)))"),"")</f>
        <v/>
      </c>
      <c r="P234" s="628" t="str">
        <f>IFERROR(__xludf.DUMMYFUNCTION("IF($G234="""","""",IFERROR(query({proventos!$B$5:$Q310},""Select sum(Col16) where Col1 = '""&amp;$G234&amp;""' and Col2 &gt; date '""&amp;TEXT(Q$8,""yyyy-mm-dd"")&amp;""' and Col2 &lt;= date '""&amp;TEXT(P$8,""yyyy-mm-dd"")&amp;""' label sum(Col16) ''"",0)))"),"")</f>
        <v/>
      </c>
      <c r="Q234" s="628" t="str">
        <f>IFERROR(__xludf.DUMMYFUNCTION("IF($G234="""","""",IFERROR(query({proventos!$B$5:$Q310},""Select sum(Col16) where Col1 = '""&amp;$G234&amp;""' and Col2 &gt; date '""&amp;TEXT(R$8,""yyyy-mm-dd"")&amp;""' and Col2 &lt;= date '""&amp;TEXT(Q$8,""yyyy-mm-dd"")&amp;""' label sum(Col16) ''"",0)))"),"")</f>
        <v/>
      </c>
      <c r="R234" s="628" t="str">
        <f>IFERROR(__xludf.DUMMYFUNCTION("IF($G234="""","""",IFERROR(query({proventos!$B$5:$Q310},""Select sum(Col16) where Col1 = '""&amp;$G234&amp;""' and Col2 &gt; date '""&amp;TEXT(S$8,""yyyy-mm-dd"")&amp;""' and Col2 &lt;= date '""&amp;TEXT(R$8,""yyyy-mm-dd"")&amp;""' label sum(Col16) ''"",0)))"),"")</f>
        <v/>
      </c>
      <c r="S234" s="628" t="str">
        <f>IFERROR(__xludf.DUMMYFUNCTION("IF($G234="""","""",IFERROR(query({proventos!$B$5:$Q310},""Select sum(Col16) where Col1 = '""&amp;$G234&amp;""' and Col2 &gt; date '""&amp;TEXT(T$8,""yyyy-mm-dd"")&amp;""' and Col2 &lt;= date '""&amp;TEXT(S$8,""yyyy-mm-dd"")&amp;""' label sum(Col16) ''"",0)))"),"")</f>
        <v/>
      </c>
      <c r="T234" s="628" t="str">
        <f>IFERROR(__xludf.DUMMYFUNCTION("IF($G234="""","""",IFERROR(query({proventos!$B$5:$Q310},""Select sum(Col16) where Col1 = '""&amp;$G234&amp;""' and Col2 &gt; date '""&amp;TEXT(U$8,""yyyy-mm-dd"")&amp;""' and Col2 &lt;= date '""&amp;TEXT(T$8,""yyyy-mm-dd"")&amp;""' label sum(Col16) ''"",0)))"),"")</f>
        <v/>
      </c>
      <c r="U234" s="629" t="str">
        <f>IFERROR(__xludf.DUMMYFUNCTION("IF($G234="""","""",IFERROR(query({proventos!$B$5:$Q310},""Select sum(Col16) where Col1 = '""&amp;$G234&amp;""' and Col2 &gt; date '""&amp;TEXT(EOMONTH(TODAY(),-13),""yyyy-mm-dd"")&amp;""' and Col2 &lt;= date '""&amp;TEXT(U$8,""yyyy-mm-dd"")&amp;""' label sum(Col16) ''"",0)))"),"")</f>
        <v/>
      </c>
      <c r="V234" s="630" t="str">
        <f>IFERROR(__xludf.DUMMYFUNCTION("IF($G234="""","""",IFERROR(query({proventos!$B$5:$Q310},""Select sum(Col16) where Col1 = '""&amp;$G234&amp;""' and Col2 &gt; date '""&amp;TEXT(DATE(V$8,1,1),""yyyy-mm-dd"")&amp;""' and Col2 &lt;= date '""&amp;TEXT(DATE(V$8,12,31),""yyyy-mm-dd"")&amp;""' label sum(Col16) ''"",0)))"),"")</f>
        <v/>
      </c>
      <c r="W234" s="630" t="str">
        <f>IFERROR(__xludf.DUMMYFUNCTION("IF($G234="""","""",IFERROR(query({proventos!$B$5:$Q310},""Select sum(Col16) where Col1 = '""&amp;$G234&amp;""' and Col2 &gt; date '""&amp;TEXT(DATE(W$8,1,1),""yyyy-mm-dd"")&amp;""' and Col2 &lt;= date '""&amp;TEXT(DATE(W$8,12,31),""yyyy-mm-dd"")&amp;""' label sum(Col16) ''"",0)))"),"")</f>
        <v/>
      </c>
      <c r="X234" s="630" t="str">
        <f>IFERROR(__xludf.DUMMYFUNCTION("IF($G234="""","""",IFERROR(query({proventos!$B$5:$Q310},""Select sum(Col16) where Col1 = '""&amp;$G234&amp;""' and Col2 &gt; date '""&amp;TEXT(DATE(X$8,1,1),""yyyy-mm-dd"")&amp;""' and Col2 &lt;= date '""&amp;TEXT(DATE(X$8,12,31),""yyyy-mm-dd"")&amp;""' label sum(Col16) ''"",0)))"),"")</f>
        <v/>
      </c>
      <c r="Y234" s="630" t="str">
        <f>IFERROR(__xludf.DUMMYFUNCTION("IF($G234="""","""",IFERROR(query({proventos!$B$5:$Q310},""Select sum(Col16) where Col1 = '""&amp;$G234&amp;""' and Col2 &gt; date '""&amp;TEXT(DATE(Y$8,1,1),""yyyy-mm-dd"")&amp;""' and Col2 &lt;= date '""&amp;TEXT(DATE(Y$8,12,31),""yyyy-mm-dd"")&amp;""' label sum(Col16) ''"",0)))"),"")</f>
        <v/>
      </c>
      <c r="Z234" s="630" t="str">
        <f>IFERROR(__xludf.DUMMYFUNCTION("IF($G234="""","""",IFERROR(query({proventos!$B$5:$Q310},""Select sum(Col16) where Col1 = '""&amp;$G234&amp;""' and Col2 &gt; date '""&amp;TEXT(DATE(Z$8,1,1),""yyyy-mm-dd"")&amp;""' and Col2 &lt;= date '""&amp;TEXT(DATE(Z$8,12,31),""yyyy-mm-dd"")&amp;""' label sum(Col16) ''"",0)))"),"")</f>
        <v/>
      </c>
      <c r="AA234" s="587"/>
      <c r="AB234" s="578" t="s">
        <v>123</v>
      </c>
      <c r="AC234" s="601"/>
      <c r="AD234" s="636"/>
      <c r="AE234" s="636"/>
    </row>
    <row r="235">
      <c r="A235" s="576"/>
      <c r="B235" s="620"/>
      <c r="C235" s="637"/>
      <c r="D235" s="633"/>
      <c r="E235" s="633"/>
      <c r="F235" s="624">
        <v>225.0</v>
      </c>
      <c r="G235" s="635"/>
      <c r="H235" s="626" t="str">
        <f>if(G235="","",IFERROR(VLOOKUP(G235,AtivosDados,MATCH("provento_avg",portfolio.!$A$3:AE$3,0),FALSE),""))</f>
        <v/>
      </c>
      <c r="I235" s="627" t="s">
        <v>123</v>
      </c>
      <c r="J235" s="628" t="str">
        <f>IFERROR(__xludf.DUMMYFUNCTION("IF($G235="""","""",IFERROR(query({proventos!$B$5:$Q310},""Select sum(Col16) where Col1 = '""&amp;$G235&amp;""' and Col2 &gt; date '""&amp;TEXT(K$8,""yyyy-mm-dd"")&amp;""' and Col2 &lt;= date '""&amp;TEXT(J$8,""yyyy-mm-dd"")&amp;""' label sum(Col16) ''"",0)))"),"")</f>
        <v/>
      </c>
      <c r="K235" s="628" t="str">
        <f>IFERROR(__xludf.DUMMYFUNCTION("IF($G235="""","""",IFERROR(query({proventos!$B$5:$Q310},""Select sum(Col16) where Col1 = '""&amp;$G235&amp;""' and Col2 &gt; date '""&amp;TEXT(L$8,""yyyy-mm-dd"")&amp;""' and Col2 &lt;= date '""&amp;TEXT(K$8,""yyyy-mm-dd"")&amp;""' label sum(Col16) ''"",0)))"),"")</f>
        <v/>
      </c>
      <c r="L235" s="628" t="str">
        <f>IFERROR(__xludf.DUMMYFUNCTION("IF($G235="""","""",IFERROR(query({proventos!$B$5:$Q310},""Select sum(Col16) where Col1 = '""&amp;$G235&amp;""' and Col2 &gt; date '""&amp;TEXT(M$8,""yyyy-mm-dd"")&amp;""' and Col2 &lt;= date '""&amp;TEXT(L$8,""yyyy-mm-dd"")&amp;""' label sum(Col16) ''"",0)))"),"")</f>
        <v/>
      </c>
      <c r="M235" s="628" t="str">
        <f>IFERROR(__xludf.DUMMYFUNCTION("IF($G235="""","""",IFERROR(query({proventos!$B$5:$Q310},""Select sum(Col16) where Col1 = '""&amp;$G235&amp;""' and Col2 &gt; date '""&amp;TEXT(N$8,""yyyy-mm-dd"")&amp;""' and Col2 &lt;= date '""&amp;TEXT(M$8,""yyyy-mm-dd"")&amp;""' label sum(Col16) ''"",0)))"),"")</f>
        <v/>
      </c>
      <c r="N235" s="628" t="str">
        <f>IFERROR(__xludf.DUMMYFUNCTION("IF($G235="""","""",IFERROR(query({proventos!$B$5:$Q310},""Select sum(Col16) where Col1 = '""&amp;$G235&amp;""' and Col2 &gt; date '""&amp;TEXT(O$8,""yyyy-mm-dd"")&amp;""' and Col2 &lt;= date '""&amp;TEXT(N$8,""yyyy-mm-dd"")&amp;""' label sum(Col16) ''"",0)))"),"")</f>
        <v/>
      </c>
      <c r="O235" s="628" t="str">
        <f>IFERROR(__xludf.DUMMYFUNCTION("IF($G235="""","""",IFERROR(query({proventos!$B$5:$Q310},""Select sum(Col16) where Col1 = '""&amp;$G235&amp;""' and Col2 &gt; date '""&amp;TEXT(P$8,""yyyy-mm-dd"")&amp;""' and Col2 &lt;= date '""&amp;TEXT(O$8,""yyyy-mm-dd"")&amp;""' label sum(Col16) ''"",0)))"),"")</f>
        <v/>
      </c>
      <c r="P235" s="628" t="str">
        <f>IFERROR(__xludf.DUMMYFUNCTION("IF($G235="""","""",IFERROR(query({proventos!$B$5:$Q310},""Select sum(Col16) where Col1 = '""&amp;$G235&amp;""' and Col2 &gt; date '""&amp;TEXT(Q$8,""yyyy-mm-dd"")&amp;""' and Col2 &lt;= date '""&amp;TEXT(P$8,""yyyy-mm-dd"")&amp;""' label sum(Col16) ''"",0)))"),"")</f>
        <v/>
      </c>
      <c r="Q235" s="628" t="str">
        <f>IFERROR(__xludf.DUMMYFUNCTION("IF($G235="""","""",IFERROR(query({proventos!$B$5:$Q310},""Select sum(Col16) where Col1 = '""&amp;$G235&amp;""' and Col2 &gt; date '""&amp;TEXT(R$8,""yyyy-mm-dd"")&amp;""' and Col2 &lt;= date '""&amp;TEXT(Q$8,""yyyy-mm-dd"")&amp;""' label sum(Col16) ''"",0)))"),"")</f>
        <v/>
      </c>
      <c r="R235" s="628" t="str">
        <f>IFERROR(__xludf.DUMMYFUNCTION("IF($G235="""","""",IFERROR(query({proventos!$B$5:$Q310},""Select sum(Col16) where Col1 = '""&amp;$G235&amp;""' and Col2 &gt; date '""&amp;TEXT(S$8,""yyyy-mm-dd"")&amp;""' and Col2 &lt;= date '""&amp;TEXT(R$8,""yyyy-mm-dd"")&amp;""' label sum(Col16) ''"",0)))"),"")</f>
        <v/>
      </c>
      <c r="S235" s="628" t="str">
        <f>IFERROR(__xludf.DUMMYFUNCTION("IF($G235="""","""",IFERROR(query({proventos!$B$5:$Q310},""Select sum(Col16) where Col1 = '""&amp;$G235&amp;""' and Col2 &gt; date '""&amp;TEXT(T$8,""yyyy-mm-dd"")&amp;""' and Col2 &lt;= date '""&amp;TEXT(S$8,""yyyy-mm-dd"")&amp;""' label sum(Col16) ''"",0)))"),"")</f>
        <v/>
      </c>
      <c r="T235" s="628" t="str">
        <f>IFERROR(__xludf.DUMMYFUNCTION("IF($G235="""","""",IFERROR(query({proventos!$B$5:$Q310},""Select sum(Col16) where Col1 = '""&amp;$G235&amp;""' and Col2 &gt; date '""&amp;TEXT(U$8,""yyyy-mm-dd"")&amp;""' and Col2 &lt;= date '""&amp;TEXT(T$8,""yyyy-mm-dd"")&amp;""' label sum(Col16) ''"",0)))"),"")</f>
        <v/>
      </c>
      <c r="U235" s="629" t="str">
        <f>IFERROR(__xludf.DUMMYFUNCTION("IF($G235="""","""",IFERROR(query({proventos!$B$5:$Q310},""Select sum(Col16) where Col1 = '""&amp;$G235&amp;""' and Col2 &gt; date '""&amp;TEXT(EOMONTH(TODAY(),-13),""yyyy-mm-dd"")&amp;""' and Col2 &lt;= date '""&amp;TEXT(U$8,""yyyy-mm-dd"")&amp;""' label sum(Col16) ''"",0)))"),"")</f>
        <v/>
      </c>
      <c r="V235" s="630" t="str">
        <f>IFERROR(__xludf.DUMMYFUNCTION("IF($G235="""","""",IFERROR(query({proventos!$B$5:$Q310},""Select sum(Col16) where Col1 = '""&amp;$G235&amp;""' and Col2 &gt; date '""&amp;TEXT(DATE(V$8,1,1),""yyyy-mm-dd"")&amp;""' and Col2 &lt;= date '""&amp;TEXT(DATE(V$8,12,31),""yyyy-mm-dd"")&amp;""' label sum(Col16) ''"",0)))"),"")</f>
        <v/>
      </c>
      <c r="W235" s="630" t="str">
        <f>IFERROR(__xludf.DUMMYFUNCTION("IF($G235="""","""",IFERROR(query({proventos!$B$5:$Q310},""Select sum(Col16) where Col1 = '""&amp;$G235&amp;""' and Col2 &gt; date '""&amp;TEXT(DATE(W$8,1,1),""yyyy-mm-dd"")&amp;""' and Col2 &lt;= date '""&amp;TEXT(DATE(W$8,12,31),""yyyy-mm-dd"")&amp;""' label sum(Col16) ''"",0)))"),"")</f>
        <v/>
      </c>
      <c r="X235" s="630" t="str">
        <f>IFERROR(__xludf.DUMMYFUNCTION("IF($G235="""","""",IFERROR(query({proventos!$B$5:$Q310},""Select sum(Col16) where Col1 = '""&amp;$G235&amp;""' and Col2 &gt; date '""&amp;TEXT(DATE(X$8,1,1),""yyyy-mm-dd"")&amp;""' and Col2 &lt;= date '""&amp;TEXT(DATE(X$8,12,31),""yyyy-mm-dd"")&amp;""' label sum(Col16) ''"",0)))"),"")</f>
        <v/>
      </c>
      <c r="Y235" s="630" t="str">
        <f>IFERROR(__xludf.DUMMYFUNCTION("IF($G235="""","""",IFERROR(query({proventos!$B$5:$Q310},""Select sum(Col16) where Col1 = '""&amp;$G235&amp;""' and Col2 &gt; date '""&amp;TEXT(DATE(Y$8,1,1),""yyyy-mm-dd"")&amp;""' and Col2 &lt;= date '""&amp;TEXT(DATE(Y$8,12,31),""yyyy-mm-dd"")&amp;""' label sum(Col16) ''"",0)))"),"")</f>
        <v/>
      </c>
      <c r="Z235" s="630" t="str">
        <f>IFERROR(__xludf.DUMMYFUNCTION("IF($G235="""","""",IFERROR(query({proventos!$B$5:$Q310},""Select sum(Col16) where Col1 = '""&amp;$G235&amp;""' and Col2 &gt; date '""&amp;TEXT(DATE(Z$8,1,1),""yyyy-mm-dd"")&amp;""' and Col2 &lt;= date '""&amp;TEXT(DATE(Z$8,12,31),""yyyy-mm-dd"")&amp;""' label sum(Col16) ''"",0)))"),"")</f>
        <v/>
      </c>
      <c r="AA235" s="587"/>
      <c r="AB235" s="578" t="s">
        <v>123</v>
      </c>
      <c r="AC235" s="601"/>
      <c r="AD235" s="636"/>
      <c r="AE235" s="636"/>
    </row>
    <row r="236">
      <c r="A236" s="576"/>
      <c r="B236" s="620"/>
      <c r="C236" s="637"/>
      <c r="D236" s="633"/>
      <c r="E236" s="633"/>
      <c r="F236" s="624">
        <v>226.0</v>
      </c>
      <c r="G236" s="635"/>
      <c r="H236" s="626" t="str">
        <f>if(G236="","",IFERROR(VLOOKUP(G236,AtivosDados,MATCH("provento_avg",portfolio.!$A$3:AE$3,0),FALSE),""))</f>
        <v/>
      </c>
      <c r="I236" s="627" t="s">
        <v>123</v>
      </c>
      <c r="J236" s="628" t="str">
        <f>IFERROR(__xludf.DUMMYFUNCTION("IF($G236="""","""",IFERROR(query({proventos!$B$5:$Q310},""Select sum(Col16) where Col1 = '""&amp;$G236&amp;""' and Col2 &gt; date '""&amp;TEXT(K$8,""yyyy-mm-dd"")&amp;""' and Col2 &lt;= date '""&amp;TEXT(J$8,""yyyy-mm-dd"")&amp;""' label sum(Col16) ''"",0)))"),"")</f>
        <v/>
      </c>
      <c r="K236" s="628" t="str">
        <f>IFERROR(__xludf.DUMMYFUNCTION("IF($G236="""","""",IFERROR(query({proventos!$B$5:$Q310},""Select sum(Col16) where Col1 = '""&amp;$G236&amp;""' and Col2 &gt; date '""&amp;TEXT(L$8,""yyyy-mm-dd"")&amp;""' and Col2 &lt;= date '""&amp;TEXT(K$8,""yyyy-mm-dd"")&amp;""' label sum(Col16) ''"",0)))"),"")</f>
        <v/>
      </c>
      <c r="L236" s="628" t="str">
        <f>IFERROR(__xludf.DUMMYFUNCTION("IF($G236="""","""",IFERROR(query({proventos!$B$5:$Q310},""Select sum(Col16) where Col1 = '""&amp;$G236&amp;""' and Col2 &gt; date '""&amp;TEXT(M$8,""yyyy-mm-dd"")&amp;""' and Col2 &lt;= date '""&amp;TEXT(L$8,""yyyy-mm-dd"")&amp;""' label sum(Col16) ''"",0)))"),"")</f>
        <v/>
      </c>
      <c r="M236" s="628" t="str">
        <f>IFERROR(__xludf.DUMMYFUNCTION("IF($G236="""","""",IFERROR(query({proventos!$B$5:$Q310},""Select sum(Col16) where Col1 = '""&amp;$G236&amp;""' and Col2 &gt; date '""&amp;TEXT(N$8,""yyyy-mm-dd"")&amp;""' and Col2 &lt;= date '""&amp;TEXT(M$8,""yyyy-mm-dd"")&amp;""' label sum(Col16) ''"",0)))"),"")</f>
        <v/>
      </c>
      <c r="N236" s="628" t="str">
        <f>IFERROR(__xludf.DUMMYFUNCTION("IF($G236="""","""",IFERROR(query({proventos!$B$5:$Q310},""Select sum(Col16) where Col1 = '""&amp;$G236&amp;""' and Col2 &gt; date '""&amp;TEXT(O$8,""yyyy-mm-dd"")&amp;""' and Col2 &lt;= date '""&amp;TEXT(N$8,""yyyy-mm-dd"")&amp;""' label sum(Col16) ''"",0)))"),"")</f>
        <v/>
      </c>
      <c r="O236" s="628" t="str">
        <f>IFERROR(__xludf.DUMMYFUNCTION("IF($G236="""","""",IFERROR(query({proventos!$B$5:$Q310},""Select sum(Col16) where Col1 = '""&amp;$G236&amp;""' and Col2 &gt; date '""&amp;TEXT(P$8,""yyyy-mm-dd"")&amp;""' and Col2 &lt;= date '""&amp;TEXT(O$8,""yyyy-mm-dd"")&amp;""' label sum(Col16) ''"",0)))"),"")</f>
        <v/>
      </c>
      <c r="P236" s="628" t="str">
        <f>IFERROR(__xludf.DUMMYFUNCTION("IF($G236="""","""",IFERROR(query({proventos!$B$5:$Q310},""Select sum(Col16) where Col1 = '""&amp;$G236&amp;""' and Col2 &gt; date '""&amp;TEXT(Q$8,""yyyy-mm-dd"")&amp;""' and Col2 &lt;= date '""&amp;TEXT(P$8,""yyyy-mm-dd"")&amp;""' label sum(Col16) ''"",0)))"),"")</f>
        <v/>
      </c>
      <c r="Q236" s="628" t="str">
        <f>IFERROR(__xludf.DUMMYFUNCTION("IF($G236="""","""",IFERROR(query({proventos!$B$5:$Q310},""Select sum(Col16) where Col1 = '""&amp;$G236&amp;""' and Col2 &gt; date '""&amp;TEXT(R$8,""yyyy-mm-dd"")&amp;""' and Col2 &lt;= date '""&amp;TEXT(Q$8,""yyyy-mm-dd"")&amp;""' label sum(Col16) ''"",0)))"),"")</f>
        <v/>
      </c>
      <c r="R236" s="628" t="str">
        <f>IFERROR(__xludf.DUMMYFUNCTION("IF($G236="""","""",IFERROR(query({proventos!$B$5:$Q310},""Select sum(Col16) where Col1 = '""&amp;$G236&amp;""' and Col2 &gt; date '""&amp;TEXT(S$8,""yyyy-mm-dd"")&amp;""' and Col2 &lt;= date '""&amp;TEXT(R$8,""yyyy-mm-dd"")&amp;""' label sum(Col16) ''"",0)))"),"")</f>
        <v/>
      </c>
      <c r="S236" s="628" t="str">
        <f>IFERROR(__xludf.DUMMYFUNCTION("IF($G236="""","""",IFERROR(query({proventos!$B$5:$Q310},""Select sum(Col16) where Col1 = '""&amp;$G236&amp;""' and Col2 &gt; date '""&amp;TEXT(T$8,""yyyy-mm-dd"")&amp;""' and Col2 &lt;= date '""&amp;TEXT(S$8,""yyyy-mm-dd"")&amp;""' label sum(Col16) ''"",0)))"),"")</f>
        <v/>
      </c>
      <c r="T236" s="628" t="str">
        <f>IFERROR(__xludf.DUMMYFUNCTION("IF($G236="""","""",IFERROR(query({proventos!$B$5:$Q310},""Select sum(Col16) where Col1 = '""&amp;$G236&amp;""' and Col2 &gt; date '""&amp;TEXT(U$8,""yyyy-mm-dd"")&amp;""' and Col2 &lt;= date '""&amp;TEXT(T$8,""yyyy-mm-dd"")&amp;""' label sum(Col16) ''"",0)))"),"")</f>
        <v/>
      </c>
      <c r="U236" s="629" t="str">
        <f>IFERROR(__xludf.DUMMYFUNCTION("IF($G236="""","""",IFERROR(query({proventos!$B$5:$Q310},""Select sum(Col16) where Col1 = '""&amp;$G236&amp;""' and Col2 &gt; date '""&amp;TEXT(EOMONTH(TODAY(),-13),""yyyy-mm-dd"")&amp;""' and Col2 &lt;= date '""&amp;TEXT(U$8,""yyyy-mm-dd"")&amp;""' label sum(Col16) ''"",0)))"),"")</f>
        <v/>
      </c>
      <c r="V236" s="630" t="str">
        <f>IFERROR(__xludf.DUMMYFUNCTION("IF($G236="""","""",IFERROR(query({proventos!$B$5:$Q310},""Select sum(Col16) where Col1 = '""&amp;$G236&amp;""' and Col2 &gt; date '""&amp;TEXT(DATE(V$8,1,1),""yyyy-mm-dd"")&amp;""' and Col2 &lt;= date '""&amp;TEXT(DATE(V$8,12,31),""yyyy-mm-dd"")&amp;""' label sum(Col16) ''"",0)))"),"")</f>
        <v/>
      </c>
      <c r="W236" s="630" t="str">
        <f>IFERROR(__xludf.DUMMYFUNCTION("IF($G236="""","""",IFERROR(query({proventos!$B$5:$Q310},""Select sum(Col16) where Col1 = '""&amp;$G236&amp;""' and Col2 &gt; date '""&amp;TEXT(DATE(W$8,1,1),""yyyy-mm-dd"")&amp;""' and Col2 &lt;= date '""&amp;TEXT(DATE(W$8,12,31),""yyyy-mm-dd"")&amp;""' label sum(Col16) ''"",0)))"),"")</f>
        <v/>
      </c>
      <c r="X236" s="630" t="str">
        <f>IFERROR(__xludf.DUMMYFUNCTION("IF($G236="""","""",IFERROR(query({proventos!$B$5:$Q310},""Select sum(Col16) where Col1 = '""&amp;$G236&amp;""' and Col2 &gt; date '""&amp;TEXT(DATE(X$8,1,1),""yyyy-mm-dd"")&amp;""' and Col2 &lt;= date '""&amp;TEXT(DATE(X$8,12,31),""yyyy-mm-dd"")&amp;""' label sum(Col16) ''"",0)))"),"")</f>
        <v/>
      </c>
      <c r="Y236" s="630" t="str">
        <f>IFERROR(__xludf.DUMMYFUNCTION("IF($G236="""","""",IFERROR(query({proventos!$B$5:$Q310},""Select sum(Col16) where Col1 = '""&amp;$G236&amp;""' and Col2 &gt; date '""&amp;TEXT(DATE(Y$8,1,1),""yyyy-mm-dd"")&amp;""' and Col2 &lt;= date '""&amp;TEXT(DATE(Y$8,12,31),""yyyy-mm-dd"")&amp;""' label sum(Col16) ''"",0)))"),"")</f>
        <v/>
      </c>
      <c r="Z236" s="630" t="str">
        <f>IFERROR(__xludf.DUMMYFUNCTION("IF($G236="""","""",IFERROR(query({proventos!$B$5:$Q310},""Select sum(Col16) where Col1 = '""&amp;$G236&amp;""' and Col2 &gt; date '""&amp;TEXT(DATE(Z$8,1,1),""yyyy-mm-dd"")&amp;""' and Col2 &lt;= date '""&amp;TEXT(DATE(Z$8,12,31),""yyyy-mm-dd"")&amp;""' label sum(Col16) ''"",0)))"),"")</f>
        <v/>
      </c>
      <c r="AA236" s="587"/>
      <c r="AB236" s="578" t="s">
        <v>123</v>
      </c>
      <c r="AC236" s="601"/>
      <c r="AD236" s="636"/>
      <c r="AE236" s="636"/>
    </row>
    <row r="237">
      <c r="A237" s="576"/>
      <c r="B237" s="620"/>
      <c r="C237" s="637"/>
      <c r="D237" s="633"/>
      <c r="E237" s="633"/>
      <c r="F237" s="624">
        <v>227.0</v>
      </c>
      <c r="G237" s="635"/>
      <c r="H237" s="626" t="str">
        <f>if(G237="","",IFERROR(VLOOKUP(G237,AtivosDados,MATCH("provento_avg",portfolio.!$A$3:AE$3,0),FALSE),""))</f>
        <v/>
      </c>
      <c r="I237" s="627" t="s">
        <v>123</v>
      </c>
      <c r="J237" s="628" t="str">
        <f>IFERROR(__xludf.DUMMYFUNCTION("IF($G237="""","""",IFERROR(query({proventos!$B$5:$Q310},""Select sum(Col16) where Col1 = '""&amp;$G237&amp;""' and Col2 &gt; date '""&amp;TEXT(K$8,""yyyy-mm-dd"")&amp;""' and Col2 &lt;= date '""&amp;TEXT(J$8,""yyyy-mm-dd"")&amp;""' label sum(Col16) ''"",0)))"),"")</f>
        <v/>
      </c>
      <c r="K237" s="628" t="str">
        <f>IFERROR(__xludf.DUMMYFUNCTION("IF($G237="""","""",IFERROR(query({proventos!$B$5:$Q310},""Select sum(Col16) where Col1 = '""&amp;$G237&amp;""' and Col2 &gt; date '""&amp;TEXT(L$8,""yyyy-mm-dd"")&amp;""' and Col2 &lt;= date '""&amp;TEXT(K$8,""yyyy-mm-dd"")&amp;""' label sum(Col16) ''"",0)))"),"")</f>
        <v/>
      </c>
      <c r="L237" s="628" t="str">
        <f>IFERROR(__xludf.DUMMYFUNCTION("IF($G237="""","""",IFERROR(query({proventos!$B$5:$Q310},""Select sum(Col16) where Col1 = '""&amp;$G237&amp;""' and Col2 &gt; date '""&amp;TEXT(M$8,""yyyy-mm-dd"")&amp;""' and Col2 &lt;= date '""&amp;TEXT(L$8,""yyyy-mm-dd"")&amp;""' label sum(Col16) ''"",0)))"),"")</f>
        <v/>
      </c>
      <c r="M237" s="628" t="str">
        <f>IFERROR(__xludf.DUMMYFUNCTION("IF($G237="""","""",IFERROR(query({proventos!$B$5:$Q310},""Select sum(Col16) where Col1 = '""&amp;$G237&amp;""' and Col2 &gt; date '""&amp;TEXT(N$8,""yyyy-mm-dd"")&amp;""' and Col2 &lt;= date '""&amp;TEXT(M$8,""yyyy-mm-dd"")&amp;""' label sum(Col16) ''"",0)))"),"")</f>
        <v/>
      </c>
      <c r="N237" s="628" t="str">
        <f>IFERROR(__xludf.DUMMYFUNCTION("IF($G237="""","""",IFERROR(query({proventos!$B$5:$Q310},""Select sum(Col16) where Col1 = '""&amp;$G237&amp;""' and Col2 &gt; date '""&amp;TEXT(O$8,""yyyy-mm-dd"")&amp;""' and Col2 &lt;= date '""&amp;TEXT(N$8,""yyyy-mm-dd"")&amp;""' label sum(Col16) ''"",0)))"),"")</f>
        <v/>
      </c>
      <c r="O237" s="628" t="str">
        <f>IFERROR(__xludf.DUMMYFUNCTION("IF($G237="""","""",IFERROR(query({proventos!$B$5:$Q310},""Select sum(Col16) where Col1 = '""&amp;$G237&amp;""' and Col2 &gt; date '""&amp;TEXT(P$8,""yyyy-mm-dd"")&amp;""' and Col2 &lt;= date '""&amp;TEXT(O$8,""yyyy-mm-dd"")&amp;""' label sum(Col16) ''"",0)))"),"")</f>
        <v/>
      </c>
      <c r="P237" s="628" t="str">
        <f>IFERROR(__xludf.DUMMYFUNCTION("IF($G237="""","""",IFERROR(query({proventos!$B$5:$Q310},""Select sum(Col16) where Col1 = '""&amp;$G237&amp;""' and Col2 &gt; date '""&amp;TEXT(Q$8,""yyyy-mm-dd"")&amp;""' and Col2 &lt;= date '""&amp;TEXT(P$8,""yyyy-mm-dd"")&amp;""' label sum(Col16) ''"",0)))"),"")</f>
        <v/>
      </c>
      <c r="Q237" s="628" t="str">
        <f>IFERROR(__xludf.DUMMYFUNCTION("IF($G237="""","""",IFERROR(query({proventos!$B$5:$Q310},""Select sum(Col16) where Col1 = '""&amp;$G237&amp;""' and Col2 &gt; date '""&amp;TEXT(R$8,""yyyy-mm-dd"")&amp;""' and Col2 &lt;= date '""&amp;TEXT(Q$8,""yyyy-mm-dd"")&amp;""' label sum(Col16) ''"",0)))"),"")</f>
        <v/>
      </c>
      <c r="R237" s="628" t="str">
        <f>IFERROR(__xludf.DUMMYFUNCTION("IF($G237="""","""",IFERROR(query({proventos!$B$5:$Q310},""Select sum(Col16) where Col1 = '""&amp;$G237&amp;""' and Col2 &gt; date '""&amp;TEXT(S$8,""yyyy-mm-dd"")&amp;""' and Col2 &lt;= date '""&amp;TEXT(R$8,""yyyy-mm-dd"")&amp;""' label sum(Col16) ''"",0)))"),"")</f>
        <v/>
      </c>
      <c r="S237" s="628" t="str">
        <f>IFERROR(__xludf.DUMMYFUNCTION("IF($G237="""","""",IFERROR(query({proventos!$B$5:$Q310},""Select sum(Col16) where Col1 = '""&amp;$G237&amp;""' and Col2 &gt; date '""&amp;TEXT(T$8,""yyyy-mm-dd"")&amp;""' and Col2 &lt;= date '""&amp;TEXT(S$8,""yyyy-mm-dd"")&amp;""' label sum(Col16) ''"",0)))"),"")</f>
        <v/>
      </c>
      <c r="T237" s="628" t="str">
        <f>IFERROR(__xludf.DUMMYFUNCTION("IF($G237="""","""",IFERROR(query({proventos!$B$5:$Q310},""Select sum(Col16) where Col1 = '""&amp;$G237&amp;""' and Col2 &gt; date '""&amp;TEXT(U$8,""yyyy-mm-dd"")&amp;""' and Col2 &lt;= date '""&amp;TEXT(T$8,""yyyy-mm-dd"")&amp;""' label sum(Col16) ''"",0)))"),"")</f>
        <v/>
      </c>
      <c r="U237" s="629" t="str">
        <f>IFERROR(__xludf.DUMMYFUNCTION("IF($G237="""","""",IFERROR(query({proventos!$B$5:$Q310},""Select sum(Col16) where Col1 = '""&amp;$G237&amp;""' and Col2 &gt; date '""&amp;TEXT(EOMONTH(TODAY(),-13),""yyyy-mm-dd"")&amp;""' and Col2 &lt;= date '""&amp;TEXT(U$8,""yyyy-mm-dd"")&amp;""' label sum(Col16) ''"",0)))"),"")</f>
        <v/>
      </c>
      <c r="V237" s="630" t="str">
        <f>IFERROR(__xludf.DUMMYFUNCTION("IF($G237="""","""",IFERROR(query({proventos!$B$5:$Q310},""Select sum(Col16) where Col1 = '""&amp;$G237&amp;""' and Col2 &gt; date '""&amp;TEXT(DATE(V$8,1,1),""yyyy-mm-dd"")&amp;""' and Col2 &lt;= date '""&amp;TEXT(DATE(V$8,12,31),""yyyy-mm-dd"")&amp;""' label sum(Col16) ''"",0)))"),"")</f>
        <v/>
      </c>
      <c r="W237" s="630" t="str">
        <f>IFERROR(__xludf.DUMMYFUNCTION("IF($G237="""","""",IFERROR(query({proventos!$B$5:$Q310},""Select sum(Col16) where Col1 = '""&amp;$G237&amp;""' and Col2 &gt; date '""&amp;TEXT(DATE(W$8,1,1),""yyyy-mm-dd"")&amp;""' and Col2 &lt;= date '""&amp;TEXT(DATE(W$8,12,31),""yyyy-mm-dd"")&amp;""' label sum(Col16) ''"",0)))"),"")</f>
        <v/>
      </c>
      <c r="X237" s="630" t="str">
        <f>IFERROR(__xludf.DUMMYFUNCTION("IF($G237="""","""",IFERROR(query({proventos!$B$5:$Q310},""Select sum(Col16) where Col1 = '""&amp;$G237&amp;""' and Col2 &gt; date '""&amp;TEXT(DATE(X$8,1,1),""yyyy-mm-dd"")&amp;""' and Col2 &lt;= date '""&amp;TEXT(DATE(X$8,12,31),""yyyy-mm-dd"")&amp;""' label sum(Col16) ''"",0)))"),"")</f>
        <v/>
      </c>
      <c r="Y237" s="630" t="str">
        <f>IFERROR(__xludf.DUMMYFUNCTION("IF($G237="""","""",IFERROR(query({proventos!$B$5:$Q310},""Select sum(Col16) where Col1 = '""&amp;$G237&amp;""' and Col2 &gt; date '""&amp;TEXT(DATE(Y$8,1,1),""yyyy-mm-dd"")&amp;""' and Col2 &lt;= date '""&amp;TEXT(DATE(Y$8,12,31),""yyyy-mm-dd"")&amp;""' label sum(Col16) ''"",0)))"),"")</f>
        <v/>
      </c>
      <c r="Z237" s="630" t="str">
        <f>IFERROR(__xludf.DUMMYFUNCTION("IF($G237="""","""",IFERROR(query({proventos!$B$5:$Q310},""Select sum(Col16) where Col1 = '""&amp;$G237&amp;""' and Col2 &gt; date '""&amp;TEXT(DATE(Z$8,1,1),""yyyy-mm-dd"")&amp;""' and Col2 &lt;= date '""&amp;TEXT(DATE(Z$8,12,31),""yyyy-mm-dd"")&amp;""' label sum(Col16) ''"",0)))"),"")</f>
        <v/>
      </c>
      <c r="AA237" s="587"/>
      <c r="AB237" s="578" t="s">
        <v>123</v>
      </c>
      <c r="AC237" s="601"/>
      <c r="AD237" s="636"/>
      <c r="AE237" s="636"/>
    </row>
    <row r="238">
      <c r="A238" s="576"/>
      <c r="B238" s="620"/>
      <c r="C238" s="637"/>
      <c r="D238" s="633"/>
      <c r="E238" s="633"/>
      <c r="F238" s="624">
        <v>228.0</v>
      </c>
      <c r="G238" s="635"/>
      <c r="H238" s="626" t="str">
        <f>if(G238="","",IFERROR(VLOOKUP(G238,AtivosDados,MATCH("provento_avg",portfolio.!$A$3:AE$3,0),FALSE),""))</f>
        <v/>
      </c>
      <c r="I238" s="627" t="s">
        <v>123</v>
      </c>
      <c r="J238" s="628" t="str">
        <f>IFERROR(__xludf.DUMMYFUNCTION("IF($G238="""","""",IFERROR(query({proventos!$B$5:$Q310},""Select sum(Col16) where Col1 = '""&amp;$G238&amp;""' and Col2 &gt; date '""&amp;TEXT(K$8,""yyyy-mm-dd"")&amp;""' and Col2 &lt;= date '""&amp;TEXT(J$8,""yyyy-mm-dd"")&amp;""' label sum(Col16) ''"",0)))"),"")</f>
        <v/>
      </c>
      <c r="K238" s="628" t="str">
        <f>IFERROR(__xludf.DUMMYFUNCTION("IF($G238="""","""",IFERROR(query({proventos!$B$5:$Q310},""Select sum(Col16) where Col1 = '""&amp;$G238&amp;""' and Col2 &gt; date '""&amp;TEXT(L$8,""yyyy-mm-dd"")&amp;""' and Col2 &lt;= date '""&amp;TEXT(K$8,""yyyy-mm-dd"")&amp;""' label sum(Col16) ''"",0)))"),"")</f>
        <v/>
      </c>
      <c r="L238" s="628" t="str">
        <f>IFERROR(__xludf.DUMMYFUNCTION("IF($G238="""","""",IFERROR(query({proventos!$B$5:$Q310},""Select sum(Col16) where Col1 = '""&amp;$G238&amp;""' and Col2 &gt; date '""&amp;TEXT(M$8,""yyyy-mm-dd"")&amp;""' and Col2 &lt;= date '""&amp;TEXT(L$8,""yyyy-mm-dd"")&amp;""' label sum(Col16) ''"",0)))"),"")</f>
        <v/>
      </c>
      <c r="M238" s="628" t="str">
        <f>IFERROR(__xludf.DUMMYFUNCTION("IF($G238="""","""",IFERROR(query({proventos!$B$5:$Q310},""Select sum(Col16) where Col1 = '""&amp;$G238&amp;""' and Col2 &gt; date '""&amp;TEXT(N$8,""yyyy-mm-dd"")&amp;""' and Col2 &lt;= date '""&amp;TEXT(M$8,""yyyy-mm-dd"")&amp;""' label sum(Col16) ''"",0)))"),"")</f>
        <v/>
      </c>
      <c r="N238" s="628" t="str">
        <f>IFERROR(__xludf.DUMMYFUNCTION("IF($G238="""","""",IFERROR(query({proventos!$B$5:$Q310},""Select sum(Col16) where Col1 = '""&amp;$G238&amp;""' and Col2 &gt; date '""&amp;TEXT(O$8,""yyyy-mm-dd"")&amp;""' and Col2 &lt;= date '""&amp;TEXT(N$8,""yyyy-mm-dd"")&amp;""' label sum(Col16) ''"",0)))"),"")</f>
        <v/>
      </c>
      <c r="O238" s="628" t="str">
        <f>IFERROR(__xludf.DUMMYFUNCTION("IF($G238="""","""",IFERROR(query({proventos!$B$5:$Q310},""Select sum(Col16) where Col1 = '""&amp;$G238&amp;""' and Col2 &gt; date '""&amp;TEXT(P$8,""yyyy-mm-dd"")&amp;""' and Col2 &lt;= date '""&amp;TEXT(O$8,""yyyy-mm-dd"")&amp;""' label sum(Col16) ''"",0)))"),"")</f>
        <v/>
      </c>
      <c r="P238" s="628" t="str">
        <f>IFERROR(__xludf.DUMMYFUNCTION("IF($G238="""","""",IFERROR(query({proventos!$B$5:$Q310},""Select sum(Col16) where Col1 = '""&amp;$G238&amp;""' and Col2 &gt; date '""&amp;TEXT(Q$8,""yyyy-mm-dd"")&amp;""' and Col2 &lt;= date '""&amp;TEXT(P$8,""yyyy-mm-dd"")&amp;""' label sum(Col16) ''"",0)))"),"")</f>
        <v/>
      </c>
      <c r="Q238" s="628" t="str">
        <f>IFERROR(__xludf.DUMMYFUNCTION("IF($G238="""","""",IFERROR(query({proventos!$B$5:$Q310},""Select sum(Col16) where Col1 = '""&amp;$G238&amp;""' and Col2 &gt; date '""&amp;TEXT(R$8,""yyyy-mm-dd"")&amp;""' and Col2 &lt;= date '""&amp;TEXT(Q$8,""yyyy-mm-dd"")&amp;""' label sum(Col16) ''"",0)))"),"")</f>
        <v/>
      </c>
      <c r="R238" s="628" t="str">
        <f>IFERROR(__xludf.DUMMYFUNCTION("IF($G238="""","""",IFERROR(query({proventos!$B$5:$Q310},""Select sum(Col16) where Col1 = '""&amp;$G238&amp;""' and Col2 &gt; date '""&amp;TEXT(S$8,""yyyy-mm-dd"")&amp;""' and Col2 &lt;= date '""&amp;TEXT(R$8,""yyyy-mm-dd"")&amp;""' label sum(Col16) ''"",0)))"),"")</f>
        <v/>
      </c>
      <c r="S238" s="628" t="str">
        <f>IFERROR(__xludf.DUMMYFUNCTION("IF($G238="""","""",IFERROR(query({proventos!$B$5:$Q310},""Select sum(Col16) where Col1 = '""&amp;$G238&amp;""' and Col2 &gt; date '""&amp;TEXT(T$8,""yyyy-mm-dd"")&amp;""' and Col2 &lt;= date '""&amp;TEXT(S$8,""yyyy-mm-dd"")&amp;""' label sum(Col16) ''"",0)))"),"")</f>
        <v/>
      </c>
      <c r="T238" s="628" t="str">
        <f>IFERROR(__xludf.DUMMYFUNCTION("IF($G238="""","""",IFERROR(query({proventos!$B$5:$Q310},""Select sum(Col16) where Col1 = '""&amp;$G238&amp;""' and Col2 &gt; date '""&amp;TEXT(U$8,""yyyy-mm-dd"")&amp;""' and Col2 &lt;= date '""&amp;TEXT(T$8,""yyyy-mm-dd"")&amp;""' label sum(Col16) ''"",0)))"),"")</f>
        <v/>
      </c>
      <c r="U238" s="629" t="str">
        <f>IFERROR(__xludf.DUMMYFUNCTION("IF($G238="""","""",IFERROR(query({proventos!$B$5:$Q310},""Select sum(Col16) where Col1 = '""&amp;$G238&amp;""' and Col2 &gt; date '""&amp;TEXT(EOMONTH(TODAY(),-13),""yyyy-mm-dd"")&amp;""' and Col2 &lt;= date '""&amp;TEXT(U$8,""yyyy-mm-dd"")&amp;""' label sum(Col16) ''"",0)))"),"")</f>
        <v/>
      </c>
      <c r="V238" s="630" t="str">
        <f>IFERROR(__xludf.DUMMYFUNCTION("IF($G238="""","""",IFERROR(query({proventos!$B$5:$Q310},""Select sum(Col16) where Col1 = '""&amp;$G238&amp;""' and Col2 &gt; date '""&amp;TEXT(DATE(V$8,1,1),""yyyy-mm-dd"")&amp;""' and Col2 &lt;= date '""&amp;TEXT(DATE(V$8,12,31),""yyyy-mm-dd"")&amp;""' label sum(Col16) ''"",0)))"),"")</f>
        <v/>
      </c>
      <c r="W238" s="630" t="str">
        <f>IFERROR(__xludf.DUMMYFUNCTION("IF($G238="""","""",IFERROR(query({proventos!$B$5:$Q310},""Select sum(Col16) where Col1 = '""&amp;$G238&amp;""' and Col2 &gt; date '""&amp;TEXT(DATE(W$8,1,1),""yyyy-mm-dd"")&amp;""' and Col2 &lt;= date '""&amp;TEXT(DATE(W$8,12,31),""yyyy-mm-dd"")&amp;""' label sum(Col16) ''"",0)))"),"")</f>
        <v/>
      </c>
      <c r="X238" s="630" t="str">
        <f>IFERROR(__xludf.DUMMYFUNCTION("IF($G238="""","""",IFERROR(query({proventos!$B$5:$Q310},""Select sum(Col16) where Col1 = '""&amp;$G238&amp;""' and Col2 &gt; date '""&amp;TEXT(DATE(X$8,1,1),""yyyy-mm-dd"")&amp;""' and Col2 &lt;= date '""&amp;TEXT(DATE(X$8,12,31),""yyyy-mm-dd"")&amp;""' label sum(Col16) ''"",0)))"),"")</f>
        <v/>
      </c>
      <c r="Y238" s="630" t="str">
        <f>IFERROR(__xludf.DUMMYFUNCTION("IF($G238="""","""",IFERROR(query({proventos!$B$5:$Q310},""Select sum(Col16) where Col1 = '""&amp;$G238&amp;""' and Col2 &gt; date '""&amp;TEXT(DATE(Y$8,1,1),""yyyy-mm-dd"")&amp;""' and Col2 &lt;= date '""&amp;TEXT(DATE(Y$8,12,31),""yyyy-mm-dd"")&amp;""' label sum(Col16) ''"",0)))"),"")</f>
        <v/>
      </c>
      <c r="Z238" s="630" t="str">
        <f>IFERROR(__xludf.DUMMYFUNCTION("IF($G238="""","""",IFERROR(query({proventos!$B$5:$Q310},""Select sum(Col16) where Col1 = '""&amp;$G238&amp;""' and Col2 &gt; date '""&amp;TEXT(DATE(Z$8,1,1),""yyyy-mm-dd"")&amp;""' and Col2 &lt;= date '""&amp;TEXT(DATE(Z$8,12,31),""yyyy-mm-dd"")&amp;""' label sum(Col16) ''"",0)))"),"")</f>
        <v/>
      </c>
      <c r="AA238" s="587"/>
      <c r="AB238" s="578" t="s">
        <v>123</v>
      </c>
      <c r="AC238" s="601"/>
      <c r="AD238" s="636"/>
      <c r="AE238" s="636"/>
    </row>
    <row r="239">
      <c r="A239" s="576"/>
      <c r="B239" s="620"/>
      <c r="C239" s="637"/>
      <c r="D239" s="633"/>
      <c r="E239" s="633"/>
      <c r="F239" s="624">
        <v>229.0</v>
      </c>
      <c r="G239" s="635"/>
      <c r="H239" s="626" t="str">
        <f>if(G239="","",IFERROR(VLOOKUP(G239,AtivosDados,MATCH("provento_avg",portfolio.!$A$3:AE$3,0),FALSE),""))</f>
        <v/>
      </c>
      <c r="I239" s="627" t="s">
        <v>123</v>
      </c>
      <c r="J239" s="628" t="str">
        <f>IFERROR(__xludf.DUMMYFUNCTION("IF($G239="""","""",IFERROR(query({proventos!$B$5:$Q310},""Select sum(Col16) where Col1 = '""&amp;$G239&amp;""' and Col2 &gt; date '""&amp;TEXT(K$8,""yyyy-mm-dd"")&amp;""' and Col2 &lt;= date '""&amp;TEXT(J$8,""yyyy-mm-dd"")&amp;""' label sum(Col16) ''"",0)))"),"")</f>
        <v/>
      </c>
      <c r="K239" s="628" t="str">
        <f>IFERROR(__xludf.DUMMYFUNCTION("IF($G239="""","""",IFERROR(query({proventos!$B$5:$Q310},""Select sum(Col16) where Col1 = '""&amp;$G239&amp;""' and Col2 &gt; date '""&amp;TEXT(L$8,""yyyy-mm-dd"")&amp;""' and Col2 &lt;= date '""&amp;TEXT(K$8,""yyyy-mm-dd"")&amp;""' label sum(Col16) ''"",0)))"),"")</f>
        <v/>
      </c>
      <c r="L239" s="628" t="str">
        <f>IFERROR(__xludf.DUMMYFUNCTION("IF($G239="""","""",IFERROR(query({proventos!$B$5:$Q310},""Select sum(Col16) where Col1 = '""&amp;$G239&amp;""' and Col2 &gt; date '""&amp;TEXT(M$8,""yyyy-mm-dd"")&amp;""' and Col2 &lt;= date '""&amp;TEXT(L$8,""yyyy-mm-dd"")&amp;""' label sum(Col16) ''"",0)))"),"")</f>
        <v/>
      </c>
      <c r="M239" s="628" t="str">
        <f>IFERROR(__xludf.DUMMYFUNCTION("IF($G239="""","""",IFERROR(query({proventos!$B$5:$Q310},""Select sum(Col16) where Col1 = '""&amp;$G239&amp;""' and Col2 &gt; date '""&amp;TEXT(N$8,""yyyy-mm-dd"")&amp;""' and Col2 &lt;= date '""&amp;TEXT(M$8,""yyyy-mm-dd"")&amp;""' label sum(Col16) ''"",0)))"),"")</f>
        <v/>
      </c>
      <c r="N239" s="628" t="str">
        <f>IFERROR(__xludf.DUMMYFUNCTION("IF($G239="""","""",IFERROR(query({proventos!$B$5:$Q310},""Select sum(Col16) where Col1 = '""&amp;$G239&amp;""' and Col2 &gt; date '""&amp;TEXT(O$8,""yyyy-mm-dd"")&amp;""' and Col2 &lt;= date '""&amp;TEXT(N$8,""yyyy-mm-dd"")&amp;""' label sum(Col16) ''"",0)))"),"")</f>
        <v/>
      </c>
      <c r="O239" s="628" t="str">
        <f>IFERROR(__xludf.DUMMYFUNCTION("IF($G239="""","""",IFERROR(query({proventos!$B$5:$Q310},""Select sum(Col16) where Col1 = '""&amp;$G239&amp;""' and Col2 &gt; date '""&amp;TEXT(P$8,""yyyy-mm-dd"")&amp;""' and Col2 &lt;= date '""&amp;TEXT(O$8,""yyyy-mm-dd"")&amp;""' label sum(Col16) ''"",0)))"),"")</f>
        <v/>
      </c>
      <c r="P239" s="628" t="str">
        <f>IFERROR(__xludf.DUMMYFUNCTION("IF($G239="""","""",IFERROR(query({proventos!$B$5:$Q310},""Select sum(Col16) where Col1 = '""&amp;$G239&amp;""' and Col2 &gt; date '""&amp;TEXT(Q$8,""yyyy-mm-dd"")&amp;""' and Col2 &lt;= date '""&amp;TEXT(P$8,""yyyy-mm-dd"")&amp;""' label sum(Col16) ''"",0)))"),"")</f>
        <v/>
      </c>
      <c r="Q239" s="628" t="str">
        <f>IFERROR(__xludf.DUMMYFUNCTION("IF($G239="""","""",IFERROR(query({proventos!$B$5:$Q310},""Select sum(Col16) where Col1 = '""&amp;$G239&amp;""' and Col2 &gt; date '""&amp;TEXT(R$8,""yyyy-mm-dd"")&amp;""' and Col2 &lt;= date '""&amp;TEXT(Q$8,""yyyy-mm-dd"")&amp;""' label sum(Col16) ''"",0)))"),"")</f>
        <v/>
      </c>
      <c r="R239" s="628" t="str">
        <f>IFERROR(__xludf.DUMMYFUNCTION("IF($G239="""","""",IFERROR(query({proventos!$B$5:$Q310},""Select sum(Col16) where Col1 = '""&amp;$G239&amp;""' and Col2 &gt; date '""&amp;TEXT(S$8,""yyyy-mm-dd"")&amp;""' and Col2 &lt;= date '""&amp;TEXT(R$8,""yyyy-mm-dd"")&amp;""' label sum(Col16) ''"",0)))"),"")</f>
        <v/>
      </c>
      <c r="S239" s="628" t="str">
        <f>IFERROR(__xludf.DUMMYFUNCTION("IF($G239="""","""",IFERROR(query({proventos!$B$5:$Q310},""Select sum(Col16) where Col1 = '""&amp;$G239&amp;""' and Col2 &gt; date '""&amp;TEXT(T$8,""yyyy-mm-dd"")&amp;""' and Col2 &lt;= date '""&amp;TEXT(S$8,""yyyy-mm-dd"")&amp;""' label sum(Col16) ''"",0)))"),"")</f>
        <v/>
      </c>
      <c r="T239" s="628" t="str">
        <f>IFERROR(__xludf.DUMMYFUNCTION("IF($G239="""","""",IFERROR(query({proventos!$B$5:$Q310},""Select sum(Col16) where Col1 = '""&amp;$G239&amp;""' and Col2 &gt; date '""&amp;TEXT(U$8,""yyyy-mm-dd"")&amp;""' and Col2 &lt;= date '""&amp;TEXT(T$8,""yyyy-mm-dd"")&amp;""' label sum(Col16) ''"",0)))"),"")</f>
        <v/>
      </c>
      <c r="U239" s="629" t="str">
        <f>IFERROR(__xludf.DUMMYFUNCTION("IF($G239="""","""",IFERROR(query({proventos!$B$5:$Q310},""Select sum(Col16) where Col1 = '""&amp;$G239&amp;""' and Col2 &gt; date '""&amp;TEXT(EOMONTH(TODAY(),-13),""yyyy-mm-dd"")&amp;""' and Col2 &lt;= date '""&amp;TEXT(U$8,""yyyy-mm-dd"")&amp;""' label sum(Col16) ''"",0)))"),"")</f>
        <v/>
      </c>
      <c r="V239" s="630" t="str">
        <f>IFERROR(__xludf.DUMMYFUNCTION("IF($G239="""","""",IFERROR(query({proventos!$B$5:$Q310},""Select sum(Col16) where Col1 = '""&amp;$G239&amp;""' and Col2 &gt; date '""&amp;TEXT(DATE(V$8,1,1),""yyyy-mm-dd"")&amp;""' and Col2 &lt;= date '""&amp;TEXT(DATE(V$8,12,31),""yyyy-mm-dd"")&amp;""' label sum(Col16) ''"",0)))"),"")</f>
        <v/>
      </c>
      <c r="W239" s="630" t="str">
        <f>IFERROR(__xludf.DUMMYFUNCTION("IF($G239="""","""",IFERROR(query({proventos!$B$5:$Q310},""Select sum(Col16) where Col1 = '""&amp;$G239&amp;""' and Col2 &gt; date '""&amp;TEXT(DATE(W$8,1,1),""yyyy-mm-dd"")&amp;""' and Col2 &lt;= date '""&amp;TEXT(DATE(W$8,12,31),""yyyy-mm-dd"")&amp;""' label sum(Col16) ''"",0)))"),"")</f>
        <v/>
      </c>
      <c r="X239" s="630" t="str">
        <f>IFERROR(__xludf.DUMMYFUNCTION("IF($G239="""","""",IFERROR(query({proventos!$B$5:$Q310},""Select sum(Col16) where Col1 = '""&amp;$G239&amp;""' and Col2 &gt; date '""&amp;TEXT(DATE(X$8,1,1),""yyyy-mm-dd"")&amp;""' and Col2 &lt;= date '""&amp;TEXT(DATE(X$8,12,31),""yyyy-mm-dd"")&amp;""' label sum(Col16) ''"",0)))"),"")</f>
        <v/>
      </c>
      <c r="Y239" s="630" t="str">
        <f>IFERROR(__xludf.DUMMYFUNCTION("IF($G239="""","""",IFERROR(query({proventos!$B$5:$Q310},""Select sum(Col16) where Col1 = '""&amp;$G239&amp;""' and Col2 &gt; date '""&amp;TEXT(DATE(Y$8,1,1),""yyyy-mm-dd"")&amp;""' and Col2 &lt;= date '""&amp;TEXT(DATE(Y$8,12,31),""yyyy-mm-dd"")&amp;""' label sum(Col16) ''"",0)))"),"")</f>
        <v/>
      </c>
      <c r="Z239" s="630" t="str">
        <f>IFERROR(__xludf.DUMMYFUNCTION("IF($G239="""","""",IFERROR(query({proventos!$B$5:$Q310},""Select sum(Col16) where Col1 = '""&amp;$G239&amp;""' and Col2 &gt; date '""&amp;TEXT(DATE(Z$8,1,1),""yyyy-mm-dd"")&amp;""' and Col2 &lt;= date '""&amp;TEXT(DATE(Z$8,12,31),""yyyy-mm-dd"")&amp;""' label sum(Col16) ''"",0)))"),"")</f>
        <v/>
      </c>
      <c r="AA239" s="587"/>
      <c r="AB239" s="578" t="s">
        <v>123</v>
      </c>
      <c r="AC239" s="601"/>
      <c r="AD239" s="636"/>
      <c r="AE239" s="636"/>
    </row>
    <row r="240">
      <c r="A240" s="576"/>
      <c r="B240" s="620"/>
      <c r="C240" s="637"/>
      <c r="D240" s="633"/>
      <c r="E240" s="633"/>
      <c r="F240" s="624">
        <v>230.0</v>
      </c>
      <c r="G240" s="635"/>
      <c r="H240" s="626" t="str">
        <f>if(G240="","",IFERROR(VLOOKUP(G240,AtivosDados,MATCH("provento_avg",portfolio.!$A$3:AE$3,0),FALSE),""))</f>
        <v/>
      </c>
      <c r="I240" s="627" t="s">
        <v>123</v>
      </c>
      <c r="J240" s="628" t="str">
        <f>IFERROR(__xludf.DUMMYFUNCTION("IF($G240="""","""",IFERROR(query({proventos!$B$5:$Q310},""Select sum(Col16) where Col1 = '""&amp;$G240&amp;""' and Col2 &gt; date '""&amp;TEXT(K$8,""yyyy-mm-dd"")&amp;""' and Col2 &lt;= date '""&amp;TEXT(J$8,""yyyy-mm-dd"")&amp;""' label sum(Col16) ''"",0)))"),"")</f>
        <v/>
      </c>
      <c r="K240" s="628" t="str">
        <f>IFERROR(__xludf.DUMMYFUNCTION("IF($G240="""","""",IFERROR(query({proventos!$B$5:$Q310},""Select sum(Col16) where Col1 = '""&amp;$G240&amp;""' and Col2 &gt; date '""&amp;TEXT(L$8,""yyyy-mm-dd"")&amp;""' and Col2 &lt;= date '""&amp;TEXT(K$8,""yyyy-mm-dd"")&amp;""' label sum(Col16) ''"",0)))"),"")</f>
        <v/>
      </c>
      <c r="L240" s="628" t="str">
        <f>IFERROR(__xludf.DUMMYFUNCTION("IF($G240="""","""",IFERROR(query({proventos!$B$5:$Q310},""Select sum(Col16) where Col1 = '""&amp;$G240&amp;""' and Col2 &gt; date '""&amp;TEXT(M$8,""yyyy-mm-dd"")&amp;""' and Col2 &lt;= date '""&amp;TEXT(L$8,""yyyy-mm-dd"")&amp;""' label sum(Col16) ''"",0)))"),"")</f>
        <v/>
      </c>
      <c r="M240" s="628" t="str">
        <f>IFERROR(__xludf.DUMMYFUNCTION("IF($G240="""","""",IFERROR(query({proventos!$B$5:$Q310},""Select sum(Col16) where Col1 = '""&amp;$G240&amp;""' and Col2 &gt; date '""&amp;TEXT(N$8,""yyyy-mm-dd"")&amp;""' and Col2 &lt;= date '""&amp;TEXT(M$8,""yyyy-mm-dd"")&amp;""' label sum(Col16) ''"",0)))"),"")</f>
        <v/>
      </c>
      <c r="N240" s="628" t="str">
        <f>IFERROR(__xludf.DUMMYFUNCTION("IF($G240="""","""",IFERROR(query({proventos!$B$5:$Q310},""Select sum(Col16) where Col1 = '""&amp;$G240&amp;""' and Col2 &gt; date '""&amp;TEXT(O$8,""yyyy-mm-dd"")&amp;""' and Col2 &lt;= date '""&amp;TEXT(N$8,""yyyy-mm-dd"")&amp;""' label sum(Col16) ''"",0)))"),"")</f>
        <v/>
      </c>
      <c r="O240" s="628" t="str">
        <f>IFERROR(__xludf.DUMMYFUNCTION("IF($G240="""","""",IFERROR(query({proventos!$B$5:$Q310},""Select sum(Col16) where Col1 = '""&amp;$G240&amp;""' and Col2 &gt; date '""&amp;TEXT(P$8,""yyyy-mm-dd"")&amp;""' and Col2 &lt;= date '""&amp;TEXT(O$8,""yyyy-mm-dd"")&amp;""' label sum(Col16) ''"",0)))"),"")</f>
        <v/>
      </c>
      <c r="P240" s="628" t="str">
        <f>IFERROR(__xludf.DUMMYFUNCTION("IF($G240="""","""",IFERROR(query({proventos!$B$5:$Q310},""Select sum(Col16) where Col1 = '""&amp;$G240&amp;""' and Col2 &gt; date '""&amp;TEXT(Q$8,""yyyy-mm-dd"")&amp;""' and Col2 &lt;= date '""&amp;TEXT(P$8,""yyyy-mm-dd"")&amp;""' label sum(Col16) ''"",0)))"),"")</f>
        <v/>
      </c>
      <c r="Q240" s="628" t="str">
        <f>IFERROR(__xludf.DUMMYFUNCTION("IF($G240="""","""",IFERROR(query({proventos!$B$5:$Q310},""Select sum(Col16) where Col1 = '""&amp;$G240&amp;""' and Col2 &gt; date '""&amp;TEXT(R$8,""yyyy-mm-dd"")&amp;""' and Col2 &lt;= date '""&amp;TEXT(Q$8,""yyyy-mm-dd"")&amp;""' label sum(Col16) ''"",0)))"),"")</f>
        <v/>
      </c>
      <c r="R240" s="628" t="str">
        <f>IFERROR(__xludf.DUMMYFUNCTION("IF($G240="""","""",IFERROR(query({proventos!$B$5:$Q310},""Select sum(Col16) where Col1 = '""&amp;$G240&amp;""' and Col2 &gt; date '""&amp;TEXT(S$8,""yyyy-mm-dd"")&amp;""' and Col2 &lt;= date '""&amp;TEXT(R$8,""yyyy-mm-dd"")&amp;""' label sum(Col16) ''"",0)))"),"")</f>
        <v/>
      </c>
      <c r="S240" s="628" t="str">
        <f>IFERROR(__xludf.DUMMYFUNCTION("IF($G240="""","""",IFERROR(query({proventos!$B$5:$Q310},""Select sum(Col16) where Col1 = '""&amp;$G240&amp;""' and Col2 &gt; date '""&amp;TEXT(T$8,""yyyy-mm-dd"")&amp;""' and Col2 &lt;= date '""&amp;TEXT(S$8,""yyyy-mm-dd"")&amp;""' label sum(Col16) ''"",0)))"),"")</f>
        <v/>
      </c>
      <c r="T240" s="628" t="str">
        <f>IFERROR(__xludf.DUMMYFUNCTION("IF($G240="""","""",IFERROR(query({proventos!$B$5:$Q310},""Select sum(Col16) where Col1 = '""&amp;$G240&amp;""' and Col2 &gt; date '""&amp;TEXT(U$8,""yyyy-mm-dd"")&amp;""' and Col2 &lt;= date '""&amp;TEXT(T$8,""yyyy-mm-dd"")&amp;""' label sum(Col16) ''"",0)))"),"")</f>
        <v/>
      </c>
      <c r="U240" s="629" t="str">
        <f>IFERROR(__xludf.DUMMYFUNCTION("IF($G240="""","""",IFERROR(query({proventos!$B$5:$Q310},""Select sum(Col16) where Col1 = '""&amp;$G240&amp;""' and Col2 &gt; date '""&amp;TEXT(EOMONTH(TODAY(),-13),""yyyy-mm-dd"")&amp;""' and Col2 &lt;= date '""&amp;TEXT(U$8,""yyyy-mm-dd"")&amp;""' label sum(Col16) ''"",0)))"),"")</f>
        <v/>
      </c>
      <c r="V240" s="630" t="str">
        <f>IFERROR(__xludf.DUMMYFUNCTION("IF($G240="""","""",IFERROR(query({proventos!$B$5:$Q310},""Select sum(Col16) where Col1 = '""&amp;$G240&amp;""' and Col2 &gt; date '""&amp;TEXT(DATE(V$8,1,1),""yyyy-mm-dd"")&amp;""' and Col2 &lt;= date '""&amp;TEXT(DATE(V$8,12,31),""yyyy-mm-dd"")&amp;""' label sum(Col16) ''"",0)))"),"")</f>
        <v/>
      </c>
      <c r="W240" s="630" t="str">
        <f>IFERROR(__xludf.DUMMYFUNCTION("IF($G240="""","""",IFERROR(query({proventos!$B$5:$Q310},""Select sum(Col16) where Col1 = '""&amp;$G240&amp;""' and Col2 &gt; date '""&amp;TEXT(DATE(W$8,1,1),""yyyy-mm-dd"")&amp;""' and Col2 &lt;= date '""&amp;TEXT(DATE(W$8,12,31),""yyyy-mm-dd"")&amp;""' label sum(Col16) ''"",0)))"),"")</f>
        <v/>
      </c>
      <c r="X240" s="630" t="str">
        <f>IFERROR(__xludf.DUMMYFUNCTION("IF($G240="""","""",IFERROR(query({proventos!$B$5:$Q310},""Select sum(Col16) where Col1 = '""&amp;$G240&amp;""' and Col2 &gt; date '""&amp;TEXT(DATE(X$8,1,1),""yyyy-mm-dd"")&amp;""' and Col2 &lt;= date '""&amp;TEXT(DATE(X$8,12,31),""yyyy-mm-dd"")&amp;""' label sum(Col16) ''"",0)))"),"")</f>
        <v/>
      </c>
      <c r="Y240" s="630" t="str">
        <f>IFERROR(__xludf.DUMMYFUNCTION("IF($G240="""","""",IFERROR(query({proventos!$B$5:$Q310},""Select sum(Col16) where Col1 = '""&amp;$G240&amp;""' and Col2 &gt; date '""&amp;TEXT(DATE(Y$8,1,1),""yyyy-mm-dd"")&amp;""' and Col2 &lt;= date '""&amp;TEXT(DATE(Y$8,12,31),""yyyy-mm-dd"")&amp;""' label sum(Col16) ''"",0)))"),"")</f>
        <v/>
      </c>
      <c r="Z240" s="630" t="str">
        <f>IFERROR(__xludf.DUMMYFUNCTION("IF($G240="""","""",IFERROR(query({proventos!$B$5:$Q310},""Select sum(Col16) where Col1 = '""&amp;$G240&amp;""' and Col2 &gt; date '""&amp;TEXT(DATE(Z$8,1,1),""yyyy-mm-dd"")&amp;""' and Col2 &lt;= date '""&amp;TEXT(DATE(Z$8,12,31),""yyyy-mm-dd"")&amp;""' label sum(Col16) ''"",0)))"),"")</f>
        <v/>
      </c>
      <c r="AA240" s="587"/>
      <c r="AB240" s="578" t="s">
        <v>123</v>
      </c>
      <c r="AC240" s="601"/>
      <c r="AD240" s="636"/>
      <c r="AE240" s="636"/>
    </row>
    <row r="241">
      <c r="A241" s="576"/>
      <c r="B241" s="620"/>
      <c r="C241" s="637"/>
      <c r="D241" s="633"/>
      <c r="E241" s="633"/>
      <c r="F241" s="624">
        <v>231.0</v>
      </c>
      <c r="G241" s="635"/>
      <c r="H241" s="626" t="str">
        <f>if(G241="","",IFERROR(VLOOKUP(G241,AtivosDados,MATCH("provento_avg",portfolio.!$A$3:AE$3,0),FALSE),""))</f>
        <v/>
      </c>
      <c r="I241" s="627" t="s">
        <v>123</v>
      </c>
      <c r="J241" s="628" t="str">
        <f>IFERROR(__xludf.DUMMYFUNCTION("IF($G241="""","""",IFERROR(query({proventos!$B$5:$Q310},""Select sum(Col16) where Col1 = '""&amp;$G241&amp;""' and Col2 &gt; date '""&amp;TEXT(K$8,""yyyy-mm-dd"")&amp;""' and Col2 &lt;= date '""&amp;TEXT(J$8,""yyyy-mm-dd"")&amp;""' label sum(Col16) ''"",0)))"),"")</f>
        <v/>
      </c>
      <c r="K241" s="628" t="str">
        <f>IFERROR(__xludf.DUMMYFUNCTION("IF($G241="""","""",IFERROR(query({proventos!$B$5:$Q310},""Select sum(Col16) where Col1 = '""&amp;$G241&amp;""' and Col2 &gt; date '""&amp;TEXT(L$8,""yyyy-mm-dd"")&amp;""' and Col2 &lt;= date '""&amp;TEXT(K$8,""yyyy-mm-dd"")&amp;""' label sum(Col16) ''"",0)))"),"")</f>
        <v/>
      </c>
      <c r="L241" s="628" t="str">
        <f>IFERROR(__xludf.DUMMYFUNCTION("IF($G241="""","""",IFERROR(query({proventos!$B$5:$Q310},""Select sum(Col16) where Col1 = '""&amp;$G241&amp;""' and Col2 &gt; date '""&amp;TEXT(M$8,""yyyy-mm-dd"")&amp;""' and Col2 &lt;= date '""&amp;TEXT(L$8,""yyyy-mm-dd"")&amp;""' label sum(Col16) ''"",0)))"),"")</f>
        <v/>
      </c>
      <c r="M241" s="628" t="str">
        <f>IFERROR(__xludf.DUMMYFUNCTION("IF($G241="""","""",IFERROR(query({proventos!$B$5:$Q310},""Select sum(Col16) where Col1 = '""&amp;$G241&amp;""' and Col2 &gt; date '""&amp;TEXT(N$8,""yyyy-mm-dd"")&amp;""' and Col2 &lt;= date '""&amp;TEXT(M$8,""yyyy-mm-dd"")&amp;""' label sum(Col16) ''"",0)))"),"")</f>
        <v/>
      </c>
      <c r="N241" s="628" t="str">
        <f>IFERROR(__xludf.DUMMYFUNCTION("IF($G241="""","""",IFERROR(query({proventos!$B$5:$Q310},""Select sum(Col16) where Col1 = '""&amp;$G241&amp;""' and Col2 &gt; date '""&amp;TEXT(O$8,""yyyy-mm-dd"")&amp;""' and Col2 &lt;= date '""&amp;TEXT(N$8,""yyyy-mm-dd"")&amp;""' label sum(Col16) ''"",0)))"),"")</f>
        <v/>
      </c>
      <c r="O241" s="628" t="str">
        <f>IFERROR(__xludf.DUMMYFUNCTION("IF($G241="""","""",IFERROR(query({proventos!$B$5:$Q310},""Select sum(Col16) where Col1 = '""&amp;$G241&amp;""' and Col2 &gt; date '""&amp;TEXT(P$8,""yyyy-mm-dd"")&amp;""' and Col2 &lt;= date '""&amp;TEXT(O$8,""yyyy-mm-dd"")&amp;""' label sum(Col16) ''"",0)))"),"")</f>
        <v/>
      </c>
      <c r="P241" s="628" t="str">
        <f>IFERROR(__xludf.DUMMYFUNCTION("IF($G241="""","""",IFERROR(query({proventos!$B$5:$Q310},""Select sum(Col16) where Col1 = '""&amp;$G241&amp;""' and Col2 &gt; date '""&amp;TEXT(Q$8,""yyyy-mm-dd"")&amp;""' and Col2 &lt;= date '""&amp;TEXT(P$8,""yyyy-mm-dd"")&amp;""' label sum(Col16) ''"",0)))"),"")</f>
        <v/>
      </c>
      <c r="Q241" s="628" t="str">
        <f>IFERROR(__xludf.DUMMYFUNCTION("IF($G241="""","""",IFERROR(query({proventos!$B$5:$Q310},""Select sum(Col16) where Col1 = '""&amp;$G241&amp;""' and Col2 &gt; date '""&amp;TEXT(R$8,""yyyy-mm-dd"")&amp;""' and Col2 &lt;= date '""&amp;TEXT(Q$8,""yyyy-mm-dd"")&amp;""' label sum(Col16) ''"",0)))"),"")</f>
        <v/>
      </c>
      <c r="R241" s="628" t="str">
        <f>IFERROR(__xludf.DUMMYFUNCTION("IF($G241="""","""",IFERROR(query({proventos!$B$5:$Q310},""Select sum(Col16) where Col1 = '""&amp;$G241&amp;""' and Col2 &gt; date '""&amp;TEXT(S$8,""yyyy-mm-dd"")&amp;""' and Col2 &lt;= date '""&amp;TEXT(R$8,""yyyy-mm-dd"")&amp;""' label sum(Col16) ''"",0)))"),"")</f>
        <v/>
      </c>
      <c r="S241" s="628" t="str">
        <f>IFERROR(__xludf.DUMMYFUNCTION("IF($G241="""","""",IFERROR(query({proventos!$B$5:$Q310},""Select sum(Col16) where Col1 = '""&amp;$G241&amp;""' and Col2 &gt; date '""&amp;TEXT(T$8,""yyyy-mm-dd"")&amp;""' and Col2 &lt;= date '""&amp;TEXT(S$8,""yyyy-mm-dd"")&amp;""' label sum(Col16) ''"",0)))"),"")</f>
        <v/>
      </c>
      <c r="T241" s="628" t="str">
        <f>IFERROR(__xludf.DUMMYFUNCTION("IF($G241="""","""",IFERROR(query({proventos!$B$5:$Q310},""Select sum(Col16) where Col1 = '""&amp;$G241&amp;""' and Col2 &gt; date '""&amp;TEXT(U$8,""yyyy-mm-dd"")&amp;""' and Col2 &lt;= date '""&amp;TEXT(T$8,""yyyy-mm-dd"")&amp;""' label sum(Col16) ''"",0)))"),"")</f>
        <v/>
      </c>
      <c r="U241" s="629" t="str">
        <f>IFERROR(__xludf.DUMMYFUNCTION("IF($G241="""","""",IFERROR(query({proventos!$B$5:$Q310},""Select sum(Col16) where Col1 = '""&amp;$G241&amp;""' and Col2 &gt; date '""&amp;TEXT(EOMONTH(TODAY(),-13),""yyyy-mm-dd"")&amp;""' and Col2 &lt;= date '""&amp;TEXT(U$8,""yyyy-mm-dd"")&amp;""' label sum(Col16) ''"",0)))"),"")</f>
        <v/>
      </c>
      <c r="V241" s="630" t="str">
        <f>IFERROR(__xludf.DUMMYFUNCTION("IF($G241="""","""",IFERROR(query({proventos!$B$5:$Q310},""Select sum(Col16) where Col1 = '""&amp;$G241&amp;""' and Col2 &gt; date '""&amp;TEXT(DATE(V$8,1,1),""yyyy-mm-dd"")&amp;""' and Col2 &lt;= date '""&amp;TEXT(DATE(V$8,12,31),""yyyy-mm-dd"")&amp;""' label sum(Col16) ''"",0)))"),"")</f>
        <v/>
      </c>
      <c r="W241" s="630" t="str">
        <f>IFERROR(__xludf.DUMMYFUNCTION("IF($G241="""","""",IFERROR(query({proventos!$B$5:$Q310},""Select sum(Col16) where Col1 = '""&amp;$G241&amp;""' and Col2 &gt; date '""&amp;TEXT(DATE(W$8,1,1),""yyyy-mm-dd"")&amp;""' and Col2 &lt;= date '""&amp;TEXT(DATE(W$8,12,31),""yyyy-mm-dd"")&amp;""' label sum(Col16) ''"",0)))"),"")</f>
        <v/>
      </c>
      <c r="X241" s="630" t="str">
        <f>IFERROR(__xludf.DUMMYFUNCTION("IF($G241="""","""",IFERROR(query({proventos!$B$5:$Q310},""Select sum(Col16) where Col1 = '""&amp;$G241&amp;""' and Col2 &gt; date '""&amp;TEXT(DATE(X$8,1,1),""yyyy-mm-dd"")&amp;""' and Col2 &lt;= date '""&amp;TEXT(DATE(X$8,12,31),""yyyy-mm-dd"")&amp;""' label sum(Col16) ''"",0)))"),"")</f>
        <v/>
      </c>
      <c r="Y241" s="630" t="str">
        <f>IFERROR(__xludf.DUMMYFUNCTION("IF($G241="""","""",IFERROR(query({proventos!$B$5:$Q310},""Select sum(Col16) where Col1 = '""&amp;$G241&amp;""' and Col2 &gt; date '""&amp;TEXT(DATE(Y$8,1,1),""yyyy-mm-dd"")&amp;""' and Col2 &lt;= date '""&amp;TEXT(DATE(Y$8,12,31),""yyyy-mm-dd"")&amp;""' label sum(Col16) ''"",0)))"),"")</f>
        <v/>
      </c>
      <c r="Z241" s="630" t="str">
        <f>IFERROR(__xludf.DUMMYFUNCTION("IF($G241="""","""",IFERROR(query({proventos!$B$5:$Q310},""Select sum(Col16) where Col1 = '""&amp;$G241&amp;""' and Col2 &gt; date '""&amp;TEXT(DATE(Z$8,1,1),""yyyy-mm-dd"")&amp;""' and Col2 &lt;= date '""&amp;TEXT(DATE(Z$8,12,31),""yyyy-mm-dd"")&amp;""' label sum(Col16) ''"",0)))"),"")</f>
        <v/>
      </c>
      <c r="AA241" s="587"/>
      <c r="AB241" s="578" t="s">
        <v>123</v>
      </c>
      <c r="AC241" s="601"/>
      <c r="AD241" s="636"/>
      <c r="AE241" s="636"/>
    </row>
    <row r="242">
      <c r="A242" s="576"/>
      <c r="B242" s="620"/>
      <c r="C242" s="637"/>
      <c r="D242" s="633"/>
      <c r="E242" s="633"/>
      <c r="F242" s="624">
        <v>232.0</v>
      </c>
      <c r="G242" s="635"/>
      <c r="H242" s="626" t="str">
        <f>if(G242="","",IFERROR(VLOOKUP(G242,AtivosDados,MATCH("provento_avg",portfolio.!$A$3:AE$3,0),FALSE),""))</f>
        <v/>
      </c>
      <c r="I242" s="627" t="s">
        <v>123</v>
      </c>
      <c r="J242" s="628" t="str">
        <f>IFERROR(__xludf.DUMMYFUNCTION("IF($G242="""","""",IFERROR(query({proventos!$B$5:$Q310},""Select sum(Col16) where Col1 = '""&amp;$G242&amp;""' and Col2 &gt; date '""&amp;TEXT(K$8,""yyyy-mm-dd"")&amp;""' and Col2 &lt;= date '""&amp;TEXT(J$8,""yyyy-mm-dd"")&amp;""' label sum(Col16) ''"",0)))"),"")</f>
        <v/>
      </c>
      <c r="K242" s="628" t="str">
        <f>IFERROR(__xludf.DUMMYFUNCTION("IF($G242="""","""",IFERROR(query({proventos!$B$5:$Q310},""Select sum(Col16) where Col1 = '""&amp;$G242&amp;""' and Col2 &gt; date '""&amp;TEXT(L$8,""yyyy-mm-dd"")&amp;""' and Col2 &lt;= date '""&amp;TEXT(K$8,""yyyy-mm-dd"")&amp;""' label sum(Col16) ''"",0)))"),"")</f>
        <v/>
      </c>
      <c r="L242" s="628" t="str">
        <f>IFERROR(__xludf.DUMMYFUNCTION("IF($G242="""","""",IFERROR(query({proventos!$B$5:$Q310},""Select sum(Col16) where Col1 = '""&amp;$G242&amp;""' and Col2 &gt; date '""&amp;TEXT(M$8,""yyyy-mm-dd"")&amp;""' and Col2 &lt;= date '""&amp;TEXT(L$8,""yyyy-mm-dd"")&amp;""' label sum(Col16) ''"",0)))"),"")</f>
        <v/>
      </c>
      <c r="M242" s="628" t="str">
        <f>IFERROR(__xludf.DUMMYFUNCTION("IF($G242="""","""",IFERROR(query({proventos!$B$5:$Q310},""Select sum(Col16) where Col1 = '""&amp;$G242&amp;""' and Col2 &gt; date '""&amp;TEXT(N$8,""yyyy-mm-dd"")&amp;""' and Col2 &lt;= date '""&amp;TEXT(M$8,""yyyy-mm-dd"")&amp;""' label sum(Col16) ''"",0)))"),"")</f>
        <v/>
      </c>
      <c r="N242" s="628" t="str">
        <f>IFERROR(__xludf.DUMMYFUNCTION("IF($G242="""","""",IFERROR(query({proventos!$B$5:$Q310},""Select sum(Col16) where Col1 = '""&amp;$G242&amp;""' and Col2 &gt; date '""&amp;TEXT(O$8,""yyyy-mm-dd"")&amp;""' and Col2 &lt;= date '""&amp;TEXT(N$8,""yyyy-mm-dd"")&amp;""' label sum(Col16) ''"",0)))"),"")</f>
        <v/>
      </c>
      <c r="O242" s="628" t="str">
        <f>IFERROR(__xludf.DUMMYFUNCTION("IF($G242="""","""",IFERROR(query({proventos!$B$5:$Q310},""Select sum(Col16) where Col1 = '""&amp;$G242&amp;""' and Col2 &gt; date '""&amp;TEXT(P$8,""yyyy-mm-dd"")&amp;""' and Col2 &lt;= date '""&amp;TEXT(O$8,""yyyy-mm-dd"")&amp;""' label sum(Col16) ''"",0)))"),"")</f>
        <v/>
      </c>
      <c r="P242" s="628" t="str">
        <f>IFERROR(__xludf.DUMMYFUNCTION("IF($G242="""","""",IFERROR(query({proventos!$B$5:$Q310},""Select sum(Col16) where Col1 = '""&amp;$G242&amp;""' and Col2 &gt; date '""&amp;TEXT(Q$8,""yyyy-mm-dd"")&amp;""' and Col2 &lt;= date '""&amp;TEXT(P$8,""yyyy-mm-dd"")&amp;""' label sum(Col16) ''"",0)))"),"")</f>
        <v/>
      </c>
      <c r="Q242" s="628" t="str">
        <f>IFERROR(__xludf.DUMMYFUNCTION("IF($G242="""","""",IFERROR(query({proventos!$B$5:$Q310},""Select sum(Col16) where Col1 = '""&amp;$G242&amp;""' and Col2 &gt; date '""&amp;TEXT(R$8,""yyyy-mm-dd"")&amp;""' and Col2 &lt;= date '""&amp;TEXT(Q$8,""yyyy-mm-dd"")&amp;""' label sum(Col16) ''"",0)))"),"")</f>
        <v/>
      </c>
      <c r="R242" s="628" t="str">
        <f>IFERROR(__xludf.DUMMYFUNCTION("IF($G242="""","""",IFERROR(query({proventos!$B$5:$Q310},""Select sum(Col16) where Col1 = '""&amp;$G242&amp;""' and Col2 &gt; date '""&amp;TEXT(S$8,""yyyy-mm-dd"")&amp;""' and Col2 &lt;= date '""&amp;TEXT(R$8,""yyyy-mm-dd"")&amp;""' label sum(Col16) ''"",0)))"),"")</f>
        <v/>
      </c>
      <c r="S242" s="628" t="str">
        <f>IFERROR(__xludf.DUMMYFUNCTION("IF($G242="""","""",IFERROR(query({proventos!$B$5:$Q310},""Select sum(Col16) where Col1 = '""&amp;$G242&amp;""' and Col2 &gt; date '""&amp;TEXT(T$8,""yyyy-mm-dd"")&amp;""' and Col2 &lt;= date '""&amp;TEXT(S$8,""yyyy-mm-dd"")&amp;""' label sum(Col16) ''"",0)))"),"")</f>
        <v/>
      </c>
      <c r="T242" s="628" t="str">
        <f>IFERROR(__xludf.DUMMYFUNCTION("IF($G242="""","""",IFERROR(query({proventos!$B$5:$Q310},""Select sum(Col16) where Col1 = '""&amp;$G242&amp;""' and Col2 &gt; date '""&amp;TEXT(U$8,""yyyy-mm-dd"")&amp;""' and Col2 &lt;= date '""&amp;TEXT(T$8,""yyyy-mm-dd"")&amp;""' label sum(Col16) ''"",0)))"),"")</f>
        <v/>
      </c>
      <c r="U242" s="629" t="str">
        <f>IFERROR(__xludf.DUMMYFUNCTION("IF($G242="""","""",IFERROR(query({proventos!$B$5:$Q310},""Select sum(Col16) where Col1 = '""&amp;$G242&amp;""' and Col2 &gt; date '""&amp;TEXT(EOMONTH(TODAY(),-13),""yyyy-mm-dd"")&amp;""' and Col2 &lt;= date '""&amp;TEXT(U$8,""yyyy-mm-dd"")&amp;""' label sum(Col16) ''"",0)))"),"")</f>
        <v/>
      </c>
      <c r="V242" s="630" t="str">
        <f>IFERROR(__xludf.DUMMYFUNCTION("IF($G242="""","""",IFERROR(query({proventos!$B$5:$Q310},""Select sum(Col16) where Col1 = '""&amp;$G242&amp;""' and Col2 &gt; date '""&amp;TEXT(DATE(V$8,1,1),""yyyy-mm-dd"")&amp;""' and Col2 &lt;= date '""&amp;TEXT(DATE(V$8,12,31),""yyyy-mm-dd"")&amp;""' label sum(Col16) ''"",0)))"),"")</f>
        <v/>
      </c>
      <c r="W242" s="630" t="str">
        <f>IFERROR(__xludf.DUMMYFUNCTION("IF($G242="""","""",IFERROR(query({proventos!$B$5:$Q310},""Select sum(Col16) where Col1 = '""&amp;$G242&amp;""' and Col2 &gt; date '""&amp;TEXT(DATE(W$8,1,1),""yyyy-mm-dd"")&amp;""' and Col2 &lt;= date '""&amp;TEXT(DATE(W$8,12,31),""yyyy-mm-dd"")&amp;""' label sum(Col16) ''"",0)))"),"")</f>
        <v/>
      </c>
      <c r="X242" s="630" t="str">
        <f>IFERROR(__xludf.DUMMYFUNCTION("IF($G242="""","""",IFERROR(query({proventos!$B$5:$Q310},""Select sum(Col16) where Col1 = '""&amp;$G242&amp;""' and Col2 &gt; date '""&amp;TEXT(DATE(X$8,1,1),""yyyy-mm-dd"")&amp;""' and Col2 &lt;= date '""&amp;TEXT(DATE(X$8,12,31),""yyyy-mm-dd"")&amp;""' label sum(Col16) ''"",0)))"),"")</f>
        <v/>
      </c>
      <c r="Y242" s="630" t="str">
        <f>IFERROR(__xludf.DUMMYFUNCTION("IF($G242="""","""",IFERROR(query({proventos!$B$5:$Q310},""Select sum(Col16) where Col1 = '""&amp;$G242&amp;""' and Col2 &gt; date '""&amp;TEXT(DATE(Y$8,1,1),""yyyy-mm-dd"")&amp;""' and Col2 &lt;= date '""&amp;TEXT(DATE(Y$8,12,31),""yyyy-mm-dd"")&amp;""' label sum(Col16) ''"",0)))"),"")</f>
        <v/>
      </c>
      <c r="Z242" s="630" t="str">
        <f>IFERROR(__xludf.DUMMYFUNCTION("IF($G242="""","""",IFERROR(query({proventos!$B$5:$Q310},""Select sum(Col16) where Col1 = '""&amp;$G242&amp;""' and Col2 &gt; date '""&amp;TEXT(DATE(Z$8,1,1),""yyyy-mm-dd"")&amp;""' and Col2 &lt;= date '""&amp;TEXT(DATE(Z$8,12,31),""yyyy-mm-dd"")&amp;""' label sum(Col16) ''"",0)))"),"")</f>
        <v/>
      </c>
      <c r="AA242" s="587"/>
      <c r="AB242" s="578" t="s">
        <v>123</v>
      </c>
      <c r="AC242" s="601"/>
      <c r="AD242" s="636"/>
      <c r="AE242" s="636"/>
    </row>
    <row r="243">
      <c r="A243" s="576"/>
      <c r="B243" s="620"/>
      <c r="C243" s="637"/>
      <c r="D243" s="633"/>
      <c r="E243" s="633"/>
      <c r="F243" s="624">
        <v>233.0</v>
      </c>
      <c r="G243" s="635"/>
      <c r="H243" s="626" t="str">
        <f>if(G243="","",IFERROR(VLOOKUP(G243,AtivosDados,MATCH("provento_avg",portfolio.!$A$3:AE$3,0),FALSE),""))</f>
        <v/>
      </c>
      <c r="I243" s="627" t="s">
        <v>123</v>
      </c>
      <c r="J243" s="628" t="str">
        <f>IFERROR(__xludf.DUMMYFUNCTION("IF($G243="""","""",IFERROR(query({proventos!$B$5:$Q310},""Select sum(Col16) where Col1 = '""&amp;$G243&amp;""' and Col2 &gt; date '""&amp;TEXT(K$8,""yyyy-mm-dd"")&amp;""' and Col2 &lt;= date '""&amp;TEXT(J$8,""yyyy-mm-dd"")&amp;""' label sum(Col16) ''"",0)))"),"")</f>
        <v/>
      </c>
      <c r="K243" s="628" t="str">
        <f>IFERROR(__xludf.DUMMYFUNCTION("IF($G243="""","""",IFERROR(query({proventos!$B$5:$Q310},""Select sum(Col16) where Col1 = '""&amp;$G243&amp;""' and Col2 &gt; date '""&amp;TEXT(L$8,""yyyy-mm-dd"")&amp;""' and Col2 &lt;= date '""&amp;TEXT(K$8,""yyyy-mm-dd"")&amp;""' label sum(Col16) ''"",0)))"),"")</f>
        <v/>
      </c>
      <c r="L243" s="628" t="str">
        <f>IFERROR(__xludf.DUMMYFUNCTION("IF($G243="""","""",IFERROR(query({proventos!$B$5:$Q310},""Select sum(Col16) where Col1 = '""&amp;$G243&amp;""' and Col2 &gt; date '""&amp;TEXT(M$8,""yyyy-mm-dd"")&amp;""' and Col2 &lt;= date '""&amp;TEXT(L$8,""yyyy-mm-dd"")&amp;""' label sum(Col16) ''"",0)))"),"")</f>
        <v/>
      </c>
      <c r="M243" s="628" t="str">
        <f>IFERROR(__xludf.DUMMYFUNCTION("IF($G243="""","""",IFERROR(query({proventos!$B$5:$Q310},""Select sum(Col16) where Col1 = '""&amp;$G243&amp;""' and Col2 &gt; date '""&amp;TEXT(N$8,""yyyy-mm-dd"")&amp;""' and Col2 &lt;= date '""&amp;TEXT(M$8,""yyyy-mm-dd"")&amp;""' label sum(Col16) ''"",0)))"),"")</f>
        <v/>
      </c>
      <c r="N243" s="628" t="str">
        <f>IFERROR(__xludf.DUMMYFUNCTION("IF($G243="""","""",IFERROR(query({proventos!$B$5:$Q310},""Select sum(Col16) where Col1 = '""&amp;$G243&amp;""' and Col2 &gt; date '""&amp;TEXT(O$8,""yyyy-mm-dd"")&amp;""' and Col2 &lt;= date '""&amp;TEXT(N$8,""yyyy-mm-dd"")&amp;""' label sum(Col16) ''"",0)))"),"")</f>
        <v/>
      </c>
      <c r="O243" s="628" t="str">
        <f>IFERROR(__xludf.DUMMYFUNCTION("IF($G243="""","""",IFERROR(query({proventos!$B$5:$Q310},""Select sum(Col16) where Col1 = '""&amp;$G243&amp;""' and Col2 &gt; date '""&amp;TEXT(P$8,""yyyy-mm-dd"")&amp;""' and Col2 &lt;= date '""&amp;TEXT(O$8,""yyyy-mm-dd"")&amp;""' label sum(Col16) ''"",0)))"),"")</f>
        <v/>
      </c>
      <c r="P243" s="628" t="str">
        <f>IFERROR(__xludf.DUMMYFUNCTION("IF($G243="""","""",IFERROR(query({proventos!$B$5:$Q310},""Select sum(Col16) where Col1 = '""&amp;$G243&amp;""' and Col2 &gt; date '""&amp;TEXT(Q$8,""yyyy-mm-dd"")&amp;""' and Col2 &lt;= date '""&amp;TEXT(P$8,""yyyy-mm-dd"")&amp;""' label sum(Col16) ''"",0)))"),"")</f>
        <v/>
      </c>
      <c r="Q243" s="628" t="str">
        <f>IFERROR(__xludf.DUMMYFUNCTION("IF($G243="""","""",IFERROR(query({proventos!$B$5:$Q310},""Select sum(Col16) where Col1 = '""&amp;$G243&amp;""' and Col2 &gt; date '""&amp;TEXT(R$8,""yyyy-mm-dd"")&amp;""' and Col2 &lt;= date '""&amp;TEXT(Q$8,""yyyy-mm-dd"")&amp;""' label sum(Col16) ''"",0)))"),"")</f>
        <v/>
      </c>
      <c r="R243" s="628" t="str">
        <f>IFERROR(__xludf.DUMMYFUNCTION("IF($G243="""","""",IFERROR(query({proventos!$B$5:$Q310},""Select sum(Col16) where Col1 = '""&amp;$G243&amp;""' and Col2 &gt; date '""&amp;TEXT(S$8,""yyyy-mm-dd"")&amp;""' and Col2 &lt;= date '""&amp;TEXT(R$8,""yyyy-mm-dd"")&amp;""' label sum(Col16) ''"",0)))"),"")</f>
        <v/>
      </c>
      <c r="S243" s="628" t="str">
        <f>IFERROR(__xludf.DUMMYFUNCTION("IF($G243="""","""",IFERROR(query({proventos!$B$5:$Q310},""Select sum(Col16) where Col1 = '""&amp;$G243&amp;""' and Col2 &gt; date '""&amp;TEXT(T$8,""yyyy-mm-dd"")&amp;""' and Col2 &lt;= date '""&amp;TEXT(S$8,""yyyy-mm-dd"")&amp;""' label sum(Col16) ''"",0)))"),"")</f>
        <v/>
      </c>
      <c r="T243" s="628" t="str">
        <f>IFERROR(__xludf.DUMMYFUNCTION("IF($G243="""","""",IFERROR(query({proventos!$B$5:$Q310},""Select sum(Col16) where Col1 = '""&amp;$G243&amp;""' and Col2 &gt; date '""&amp;TEXT(U$8,""yyyy-mm-dd"")&amp;""' and Col2 &lt;= date '""&amp;TEXT(T$8,""yyyy-mm-dd"")&amp;""' label sum(Col16) ''"",0)))"),"")</f>
        <v/>
      </c>
      <c r="U243" s="629" t="str">
        <f>IFERROR(__xludf.DUMMYFUNCTION("IF($G243="""","""",IFERROR(query({proventos!$B$5:$Q310},""Select sum(Col16) where Col1 = '""&amp;$G243&amp;""' and Col2 &gt; date '""&amp;TEXT(EOMONTH(TODAY(),-13),""yyyy-mm-dd"")&amp;""' and Col2 &lt;= date '""&amp;TEXT(U$8,""yyyy-mm-dd"")&amp;""' label sum(Col16) ''"",0)))"),"")</f>
        <v/>
      </c>
      <c r="V243" s="630" t="str">
        <f>IFERROR(__xludf.DUMMYFUNCTION("IF($G243="""","""",IFERROR(query({proventos!$B$5:$Q310},""Select sum(Col16) where Col1 = '""&amp;$G243&amp;""' and Col2 &gt; date '""&amp;TEXT(DATE(V$8,1,1),""yyyy-mm-dd"")&amp;""' and Col2 &lt;= date '""&amp;TEXT(DATE(V$8,12,31),""yyyy-mm-dd"")&amp;""' label sum(Col16) ''"",0)))"),"")</f>
        <v/>
      </c>
      <c r="W243" s="630" t="str">
        <f>IFERROR(__xludf.DUMMYFUNCTION("IF($G243="""","""",IFERROR(query({proventos!$B$5:$Q310},""Select sum(Col16) where Col1 = '""&amp;$G243&amp;""' and Col2 &gt; date '""&amp;TEXT(DATE(W$8,1,1),""yyyy-mm-dd"")&amp;""' and Col2 &lt;= date '""&amp;TEXT(DATE(W$8,12,31),""yyyy-mm-dd"")&amp;""' label sum(Col16) ''"",0)))"),"")</f>
        <v/>
      </c>
      <c r="X243" s="630" t="str">
        <f>IFERROR(__xludf.DUMMYFUNCTION("IF($G243="""","""",IFERROR(query({proventos!$B$5:$Q310},""Select sum(Col16) where Col1 = '""&amp;$G243&amp;""' and Col2 &gt; date '""&amp;TEXT(DATE(X$8,1,1),""yyyy-mm-dd"")&amp;""' and Col2 &lt;= date '""&amp;TEXT(DATE(X$8,12,31),""yyyy-mm-dd"")&amp;""' label sum(Col16) ''"",0)))"),"")</f>
        <v/>
      </c>
      <c r="Y243" s="630" t="str">
        <f>IFERROR(__xludf.DUMMYFUNCTION("IF($G243="""","""",IFERROR(query({proventos!$B$5:$Q310},""Select sum(Col16) where Col1 = '""&amp;$G243&amp;""' and Col2 &gt; date '""&amp;TEXT(DATE(Y$8,1,1),""yyyy-mm-dd"")&amp;""' and Col2 &lt;= date '""&amp;TEXT(DATE(Y$8,12,31),""yyyy-mm-dd"")&amp;""' label sum(Col16) ''"",0)))"),"")</f>
        <v/>
      </c>
      <c r="Z243" s="630" t="str">
        <f>IFERROR(__xludf.DUMMYFUNCTION("IF($G243="""","""",IFERROR(query({proventos!$B$5:$Q310},""Select sum(Col16) where Col1 = '""&amp;$G243&amp;""' and Col2 &gt; date '""&amp;TEXT(DATE(Z$8,1,1),""yyyy-mm-dd"")&amp;""' and Col2 &lt;= date '""&amp;TEXT(DATE(Z$8,12,31),""yyyy-mm-dd"")&amp;""' label sum(Col16) ''"",0)))"),"")</f>
        <v/>
      </c>
      <c r="AA243" s="587"/>
      <c r="AB243" s="578" t="s">
        <v>123</v>
      </c>
      <c r="AC243" s="601"/>
      <c r="AD243" s="636"/>
      <c r="AE243" s="636"/>
    </row>
    <row r="244">
      <c r="A244" s="576"/>
      <c r="B244" s="620"/>
      <c r="C244" s="637"/>
      <c r="D244" s="633"/>
      <c r="E244" s="633"/>
      <c r="F244" s="624">
        <v>234.0</v>
      </c>
      <c r="G244" s="635"/>
      <c r="H244" s="626" t="str">
        <f>if(G244="","",IFERROR(VLOOKUP(G244,AtivosDados,MATCH("provento_avg",portfolio.!$A$3:AE$3,0),FALSE),""))</f>
        <v/>
      </c>
      <c r="I244" s="627" t="s">
        <v>123</v>
      </c>
      <c r="J244" s="628" t="str">
        <f>IFERROR(__xludf.DUMMYFUNCTION("IF($G244="""","""",IFERROR(query({proventos!$B$5:$Q310},""Select sum(Col16) where Col1 = '""&amp;$G244&amp;""' and Col2 &gt; date '""&amp;TEXT(K$8,""yyyy-mm-dd"")&amp;""' and Col2 &lt;= date '""&amp;TEXT(J$8,""yyyy-mm-dd"")&amp;""' label sum(Col16) ''"",0)))"),"")</f>
        <v/>
      </c>
      <c r="K244" s="628" t="str">
        <f>IFERROR(__xludf.DUMMYFUNCTION("IF($G244="""","""",IFERROR(query({proventos!$B$5:$Q310},""Select sum(Col16) where Col1 = '""&amp;$G244&amp;""' and Col2 &gt; date '""&amp;TEXT(L$8,""yyyy-mm-dd"")&amp;""' and Col2 &lt;= date '""&amp;TEXT(K$8,""yyyy-mm-dd"")&amp;""' label sum(Col16) ''"",0)))"),"")</f>
        <v/>
      </c>
      <c r="L244" s="628" t="str">
        <f>IFERROR(__xludf.DUMMYFUNCTION("IF($G244="""","""",IFERROR(query({proventos!$B$5:$Q310},""Select sum(Col16) where Col1 = '""&amp;$G244&amp;""' and Col2 &gt; date '""&amp;TEXT(M$8,""yyyy-mm-dd"")&amp;""' and Col2 &lt;= date '""&amp;TEXT(L$8,""yyyy-mm-dd"")&amp;""' label sum(Col16) ''"",0)))"),"")</f>
        <v/>
      </c>
      <c r="M244" s="628" t="str">
        <f>IFERROR(__xludf.DUMMYFUNCTION("IF($G244="""","""",IFERROR(query({proventos!$B$5:$Q310},""Select sum(Col16) where Col1 = '""&amp;$G244&amp;""' and Col2 &gt; date '""&amp;TEXT(N$8,""yyyy-mm-dd"")&amp;""' and Col2 &lt;= date '""&amp;TEXT(M$8,""yyyy-mm-dd"")&amp;""' label sum(Col16) ''"",0)))"),"")</f>
        <v/>
      </c>
      <c r="N244" s="628" t="str">
        <f>IFERROR(__xludf.DUMMYFUNCTION("IF($G244="""","""",IFERROR(query({proventos!$B$5:$Q310},""Select sum(Col16) where Col1 = '""&amp;$G244&amp;""' and Col2 &gt; date '""&amp;TEXT(O$8,""yyyy-mm-dd"")&amp;""' and Col2 &lt;= date '""&amp;TEXT(N$8,""yyyy-mm-dd"")&amp;""' label sum(Col16) ''"",0)))"),"")</f>
        <v/>
      </c>
      <c r="O244" s="628" t="str">
        <f>IFERROR(__xludf.DUMMYFUNCTION("IF($G244="""","""",IFERROR(query({proventos!$B$5:$Q310},""Select sum(Col16) where Col1 = '""&amp;$G244&amp;""' and Col2 &gt; date '""&amp;TEXT(P$8,""yyyy-mm-dd"")&amp;""' and Col2 &lt;= date '""&amp;TEXT(O$8,""yyyy-mm-dd"")&amp;""' label sum(Col16) ''"",0)))"),"")</f>
        <v/>
      </c>
      <c r="P244" s="628" t="str">
        <f>IFERROR(__xludf.DUMMYFUNCTION("IF($G244="""","""",IFERROR(query({proventos!$B$5:$Q310},""Select sum(Col16) where Col1 = '""&amp;$G244&amp;""' and Col2 &gt; date '""&amp;TEXT(Q$8,""yyyy-mm-dd"")&amp;""' and Col2 &lt;= date '""&amp;TEXT(P$8,""yyyy-mm-dd"")&amp;""' label sum(Col16) ''"",0)))"),"")</f>
        <v/>
      </c>
      <c r="Q244" s="628" t="str">
        <f>IFERROR(__xludf.DUMMYFUNCTION("IF($G244="""","""",IFERROR(query({proventos!$B$5:$Q310},""Select sum(Col16) where Col1 = '""&amp;$G244&amp;""' and Col2 &gt; date '""&amp;TEXT(R$8,""yyyy-mm-dd"")&amp;""' and Col2 &lt;= date '""&amp;TEXT(Q$8,""yyyy-mm-dd"")&amp;""' label sum(Col16) ''"",0)))"),"")</f>
        <v/>
      </c>
      <c r="R244" s="628" t="str">
        <f>IFERROR(__xludf.DUMMYFUNCTION("IF($G244="""","""",IFERROR(query({proventos!$B$5:$Q310},""Select sum(Col16) where Col1 = '""&amp;$G244&amp;""' and Col2 &gt; date '""&amp;TEXT(S$8,""yyyy-mm-dd"")&amp;""' and Col2 &lt;= date '""&amp;TEXT(R$8,""yyyy-mm-dd"")&amp;""' label sum(Col16) ''"",0)))"),"")</f>
        <v/>
      </c>
      <c r="S244" s="628" t="str">
        <f>IFERROR(__xludf.DUMMYFUNCTION("IF($G244="""","""",IFERROR(query({proventos!$B$5:$Q310},""Select sum(Col16) where Col1 = '""&amp;$G244&amp;""' and Col2 &gt; date '""&amp;TEXT(T$8,""yyyy-mm-dd"")&amp;""' and Col2 &lt;= date '""&amp;TEXT(S$8,""yyyy-mm-dd"")&amp;""' label sum(Col16) ''"",0)))"),"")</f>
        <v/>
      </c>
      <c r="T244" s="628" t="str">
        <f>IFERROR(__xludf.DUMMYFUNCTION("IF($G244="""","""",IFERROR(query({proventos!$B$5:$Q310},""Select sum(Col16) where Col1 = '""&amp;$G244&amp;""' and Col2 &gt; date '""&amp;TEXT(U$8,""yyyy-mm-dd"")&amp;""' and Col2 &lt;= date '""&amp;TEXT(T$8,""yyyy-mm-dd"")&amp;""' label sum(Col16) ''"",0)))"),"")</f>
        <v/>
      </c>
      <c r="U244" s="629" t="str">
        <f>IFERROR(__xludf.DUMMYFUNCTION("IF($G244="""","""",IFERROR(query({proventos!$B$5:$Q310},""Select sum(Col16) where Col1 = '""&amp;$G244&amp;""' and Col2 &gt; date '""&amp;TEXT(EOMONTH(TODAY(),-13),""yyyy-mm-dd"")&amp;""' and Col2 &lt;= date '""&amp;TEXT(U$8,""yyyy-mm-dd"")&amp;""' label sum(Col16) ''"",0)))"),"")</f>
        <v/>
      </c>
      <c r="V244" s="630" t="str">
        <f>IFERROR(__xludf.DUMMYFUNCTION("IF($G244="""","""",IFERROR(query({proventos!$B$5:$Q310},""Select sum(Col16) where Col1 = '""&amp;$G244&amp;""' and Col2 &gt; date '""&amp;TEXT(DATE(V$8,1,1),""yyyy-mm-dd"")&amp;""' and Col2 &lt;= date '""&amp;TEXT(DATE(V$8,12,31),""yyyy-mm-dd"")&amp;""' label sum(Col16) ''"",0)))"),"")</f>
        <v/>
      </c>
      <c r="W244" s="630" t="str">
        <f>IFERROR(__xludf.DUMMYFUNCTION("IF($G244="""","""",IFERROR(query({proventos!$B$5:$Q310},""Select sum(Col16) where Col1 = '""&amp;$G244&amp;""' and Col2 &gt; date '""&amp;TEXT(DATE(W$8,1,1),""yyyy-mm-dd"")&amp;""' and Col2 &lt;= date '""&amp;TEXT(DATE(W$8,12,31),""yyyy-mm-dd"")&amp;""' label sum(Col16) ''"",0)))"),"")</f>
        <v/>
      </c>
      <c r="X244" s="630" t="str">
        <f>IFERROR(__xludf.DUMMYFUNCTION("IF($G244="""","""",IFERROR(query({proventos!$B$5:$Q310},""Select sum(Col16) where Col1 = '""&amp;$G244&amp;""' and Col2 &gt; date '""&amp;TEXT(DATE(X$8,1,1),""yyyy-mm-dd"")&amp;""' and Col2 &lt;= date '""&amp;TEXT(DATE(X$8,12,31),""yyyy-mm-dd"")&amp;""' label sum(Col16) ''"",0)))"),"")</f>
        <v/>
      </c>
      <c r="Y244" s="630" t="str">
        <f>IFERROR(__xludf.DUMMYFUNCTION("IF($G244="""","""",IFERROR(query({proventos!$B$5:$Q310},""Select sum(Col16) where Col1 = '""&amp;$G244&amp;""' and Col2 &gt; date '""&amp;TEXT(DATE(Y$8,1,1),""yyyy-mm-dd"")&amp;""' and Col2 &lt;= date '""&amp;TEXT(DATE(Y$8,12,31),""yyyy-mm-dd"")&amp;""' label sum(Col16) ''"",0)))"),"")</f>
        <v/>
      </c>
      <c r="Z244" s="630" t="str">
        <f>IFERROR(__xludf.DUMMYFUNCTION("IF($G244="""","""",IFERROR(query({proventos!$B$5:$Q310},""Select sum(Col16) where Col1 = '""&amp;$G244&amp;""' and Col2 &gt; date '""&amp;TEXT(DATE(Z$8,1,1),""yyyy-mm-dd"")&amp;""' and Col2 &lt;= date '""&amp;TEXT(DATE(Z$8,12,31),""yyyy-mm-dd"")&amp;""' label sum(Col16) ''"",0)))"),"")</f>
        <v/>
      </c>
      <c r="AA244" s="587"/>
      <c r="AB244" s="578" t="s">
        <v>123</v>
      </c>
      <c r="AC244" s="601"/>
      <c r="AD244" s="636"/>
      <c r="AE244" s="636"/>
    </row>
    <row r="245">
      <c r="A245" s="576"/>
      <c r="B245" s="620"/>
      <c r="C245" s="637"/>
      <c r="D245" s="633"/>
      <c r="E245" s="633"/>
      <c r="F245" s="624">
        <v>235.0</v>
      </c>
      <c r="G245" s="635"/>
      <c r="H245" s="626" t="str">
        <f>if(G245="","",IFERROR(VLOOKUP(G245,AtivosDados,MATCH("provento_avg",portfolio.!$A$3:AE$3,0),FALSE),""))</f>
        <v/>
      </c>
      <c r="I245" s="627" t="s">
        <v>123</v>
      </c>
      <c r="J245" s="628" t="str">
        <f>IFERROR(__xludf.DUMMYFUNCTION("IF($G245="""","""",IFERROR(query({proventos!$B$5:$Q310},""Select sum(Col16) where Col1 = '""&amp;$G245&amp;""' and Col2 &gt; date '""&amp;TEXT(K$8,""yyyy-mm-dd"")&amp;""' and Col2 &lt;= date '""&amp;TEXT(J$8,""yyyy-mm-dd"")&amp;""' label sum(Col16) ''"",0)))"),"")</f>
        <v/>
      </c>
      <c r="K245" s="628" t="str">
        <f>IFERROR(__xludf.DUMMYFUNCTION("IF($G245="""","""",IFERROR(query({proventos!$B$5:$Q310},""Select sum(Col16) where Col1 = '""&amp;$G245&amp;""' and Col2 &gt; date '""&amp;TEXT(L$8,""yyyy-mm-dd"")&amp;""' and Col2 &lt;= date '""&amp;TEXT(K$8,""yyyy-mm-dd"")&amp;""' label sum(Col16) ''"",0)))"),"")</f>
        <v/>
      </c>
      <c r="L245" s="628" t="str">
        <f>IFERROR(__xludf.DUMMYFUNCTION("IF($G245="""","""",IFERROR(query({proventos!$B$5:$Q310},""Select sum(Col16) where Col1 = '""&amp;$G245&amp;""' and Col2 &gt; date '""&amp;TEXT(M$8,""yyyy-mm-dd"")&amp;""' and Col2 &lt;= date '""&amp;TEXT(L$8,""yyyy-mm-dd"")&amp;""' label sum(Col16) ''"",0)))"),"")</f>
        <v/>
      </c>
      <c r="M245" s="628" t="str">
        <f>IFERROR(__xludf.DUMMYFUNCTION("IF($G245="""","""",IFERROR(query({proventos!$B$5:$Q310},""Select sum(Col16) where Col1 = '""&amp;$G245&amp;""' and Col2 &gt; date '""&amp;TEXT(N$8,""yyyy-mm-dd"")&amp;""' and Col2 &lt;= date '""&amp;TEXT(M$8,""yyyy-mm-dd"")&amp;""' label sum(Col16) ''"",0)))"),"")</f>
        <v/>
      </c>
      <c r="N245" s="628" t="str">
        <f>IFERROR(__xludf.DUMMYFUNCTION("IF($G245="""","""",IFERROR(query({proventos!$B$5:$Q310},""Select sum(Col16) where Col1 = '""&amp;$G245&amp;""' and Col2 &gt; date '""&amp;TEXT(O$8,""yyyy-mm-dd"")&amp;""' and Col2 &lt;= date '""&amp;TEXT(N$8,""yyyy-mm-dd"")&amp;""' label sum(Col16) ''"",0)))"),"")</f>
        <v/>
      </c>
      <c r="O245" s="628" t="str">
        <f>IFERROR(__xludf.DUMMYFUNCTION("IF($G245="""","""",IFERROR(query({proventos!$B$5:$Q310},""Select sum(Col16) where Col1 = '""&amp;$G245&amp;""' and Col2 &gt; date '""&amp;TEXT(P$8,""yyyy-mm-dd"")&amp;""' and Col2 &lt;= date '""&amp;TEXT(O$8,""yyyy-mm-dd"")&amp;""' label sum(Col16) ''"",0)))"),"")</f>
        <v/>
      </c>
      <c r="P245" s="628" t="str">
        <f>IFERROR(__xludf.DUMMYFUNCTION("IF($G245="""","""",IFERROR(query({proventos!$B$5:$Q310},""Select sum(Col16) where Col1 = '""&amp;$G245&amp;""' and Col2 &gt; date '""&amp;TEXT(Q$8,""yyyy-mm-dd"")&amp;""' and Col2 &lt;= date '""&amp;TEXT(P$8,""yyyy-mm-dd"")&amp;""' label sum(Col16) ''"",0)))"),"")</f>
        <v/>
      </c>
      <c r="Q245" s="628" t="str">
        <f>IFERROR(__xludf.DUMMYFUNCTION("IF($G245="""","""",IFERROR(query({proventos!$B$5:$Q310},""Select sum(Col16) where Col1 = '""&amp;$G245&amp;""' and Col2 &gt; date '""&amp;TEXT(R$8,""yyyy-mm-dd"")&amp;""' and Col2 &lt;= date '""&amp;TEXT(Q$8,""yyyy-mm-dd"")&amp;""' label sum(Col16) ''"",0)))"),"")</f>
        <v/>
      </c>
      <c r="R245" s="628" t="str">
        <f>IFERROR(__xludf.DUMMYFUNCTION("IF($G245="""","""",IFERROR(query({proventos!$B$5:$Q310},""Select sum(Col16) where Col1 = '""&amp;$G245&amp;""' and Col2 &gt; date '""&amp;TEXT(S$8,""yyyy-mm-dd"")&amp;""' and Col2 &lt;= date '""&amp;TEXT(R$8,""yyyy-mm-dd"")&amp;""' label sum(Col16) ''"",0)))"),"")</f>
        <v/>
      </c>
      <c r="S245" s="628" t="str">
        <f>IFERROR(__xludf.DUMMYFUNCTION("IF($G245="""","""",IFERROR(query({proventos!$B$5:$Q310},""Select sum(Col16) where Col1 = '""&amp;$G245&amp;""' and Col2 &gt; date '""&amp;TEXT(T$8,""yyyy-mm-dd"")&amp;""' and Col2 &lt;= date '""&amp;TEXT(S$8,""yyyy-mm-dd"")&amp;""' label sum(Col16) ''"",0)))"),"")</f>
        <v/>
      </c>
      <c r="T245" s="628" t="str">
        <f>IFERROR(__xludf.DUMMYFUNCTION("IF($G245="""","""",IFERROR(query({proventos!$B$5:$Q310},""Select sum(Col16) where Col1 = '""&amp;$G245&amp;""' and Col2 &gt; date '""&amp;TEXT(U$8,""yyyy-mm-dd"")&amp;""' and Col2 &lt;= date '""&amp;TEXT(T$8,""yyyy-mm-dd"")&amp;""' label sum(Col16) ''"",0)))"),"")</f>
        <v/>
      </c>
      <c r="U245" s="629" t="str">
        <f>IFERROR(__xludf.DUMMYFUNCTION("IF($G245="""","""",IFERROR(query({proventos!$B$5:$Q310},""Select sum(Col16) where Col1 = '""&amp;$G245&amp;""' and Col2 &gt; date '""&amp;TEXT(EOMONTH(TODAY(),-13),""yyyy-mm-dd"")&amp;""' and Col2 &lt;= date '""&amp;TEXT(U$8,""yyyy-mm-dd"")&amp;""' label sum(Col16) ''"",0)))"),"")</f>
        <v/>
      </c>
      <c r="V245" s="630" t="str">
        <f>IFERROR(__xludf.DUMMYFUNCTION("IF($G245="""","""",IFERROR(query({proventos!$B$5:$Q310},""Select sum(Col16) where Col1 = '""&amp;$G245&amp;""' and Col2 &gt; date '""&amp;TEXT(DATE(V$8,1,1),""yyyy-mm-dd"")&amp;""' and Col2 &lt;= date '""&amp;TEXT(DATE(V$8,12,31),""yyyy-mm-dd"")&amp;""' label sum(Col16) ''"",0)))"),"")</f>
        <v/>
      </c>
      <c r="W245" s="630" t="str">
        <f>IFERROR(__xludf.DUMMYFUNCTION("IF($G245="""","""",IFERROR(query({proventos!$B$5:$Q310},""Select sum(Col16) where Col1 = '""&amp;$G245&amp;""' and Col2 &gt; date '""&amp;TEXT(DATE(W$8,1,1),""yyyy-mm-dd"")&amp;""' and Col2 &lt;= date '""&amp;TEXT(DATE(W$8,12,31),""yyyy-mm-dd"")&amp;""' label sum(Col16) ''"",0)))"),"")</f>
        <v/>
      </c>
      <c r="X245" s="630" t="str">
        <f>IFERROR(__xludf.DUMMYFUNCTION("IF($G245="""","""",IFERROR(query({proventos!$B$5:$Q310},""Select sum(Col16) where Col1 = '""&amp;$G245&amp;""' and Col2 &gt; date '""&amp;TEXT(DATE(X$8,1,1),""yyyy-mm-dd"")&amp;""' and Col2 &lt;= date '""&amp;TEXT(DATE(X$8,12,31),""yyyy-mm-dd"")&amp;""' label sum(Col16) ''"",0)))"),"")</f>
        <v/>
      </c>
      <c r="Y245" s="630" t="str">
        <f>IFERROR(__xludf.DUMMYFUNCTION("IF($G245="""","""",IFERROR(query({proventos!$B$5:$Q310},""Select sum(Col16) where Col1 = '""&amp;$G245&amp;""' and Col2 &gt; date '""&amp;TEXT(DATE(Y$8,1,1),""yyyy-mm-dd"")&amp;""' and Col2 &lt;= date '""&amp;TEXT(DATE(Y$8,12,31),""yyyy-mm-dd"")&amp;""' label sum(Col16) ''"",0)))"),"")</f>
        <v/>
      </c>
      <c r="Z245" s="630" t="str">
        <f>IFERROR(__xludf.DUMMYFUNCTION("IF($G245="""","""",IFERROR(query({proventos!$B$5:$Q310},""Select sum(Col16) where Col1 = '""&amp;$G245&amp;""' and Col2 &gt; date '""&amp;TEXT(DATE(Z$8,1,1),""yyyy-mm-dd"")&amp;""' and Col2 &lt;= date '""&amp;TEXT(DATE(Z$8,12,31),""yyyy-mm-dd"")&amp;""' label sum(Col16) ''"",0)))"),"")</f>
        <v/>
      </c>
      <c r="AA245" s="587"/>
      <c r="AB245" s="578" t="s">
        <v>123</v>
      </c>
      <c r="AC245" s="601"/>
      <c r="AD245" s="636"/>
      <c r="AE245" s="636"/>
    </row>
    <row r="246">
      <c r="A246" s="576"/>
      <c r="B246" s="620"/>
      <c r="C246" s="637"/>
      <c r="D246" s="633"/>
      <c r="E246" s="633"/>
      <c r="F246" s="624">
        <v>236.0</v>
      </c>
      <c r="G246" s="635"/>
      <c r="H246" s="626" t="str">
        <f>if(G246="","",IFERROR(VLOOKUP(G246,AtivosDados,MATCH("provento_avg",portfolio.!$A$3:AE$3,0),FALSE),""))</f>
        <v/>
      </c>
      <c r="I246" s="627" t="s">
        <v>123</v>
      </c>
      <c r="J246" s="628" t="str">
        <f>IFERROR(__xludf.DUMMYFUNCTION("IF($G246="""","""",IFERROR(query({proventos!$B$5:$Q310},""Select sum(Col16) where Col1 = '""&amp;$G246&amp;""' and Col2 &gt; date '""&amp;TEXT(K$8,""yyyy-mm-dd"")&amp;""' and Col2 &lt;= date '""&amp;TEXT(J$8,""yyyy-mm-dd"")&amp;""' label sum(Col16) ''"",0)))"),"")</f>
        <v/>
      </c>
      <c r="K246" s="628" t="str">
        <f>IFERROR(__xludf.DUMMYFUNCTION("IF($G246="""","""",IFERROR(query({proventos!$B$5:$Q310},""Select sum(Col16) where Col1 = '""&amp;$G246&amp;""' and Col2 &gt; date '""&amp;TEXT(L$8,""yyyy-mm-dd"")&amp;""' and Col2 &lt;= date '""&amp;TEXT(K$8,""yyyy-mm-dd"")&amp;""' label sum(Col16) ''"",0)))"),"")</f>
        <v/>
      </c>
      <c r="L246" s="628" t="str">
        <f>IFERROR(__xludf.DUMMYFUNCTION("IF($G246="""","""",IFERROR(query({proventos!$B$5:$Q310},""Select sum(Col16) where Col1 = '""&amp;$G246&amp;""' and Col2 &gt; date '""&amp;TEXT(M$8,""yyyy-mm-dd"")&amp;""' and Col2 &lt;= date '""&amp;TEXT(L$8,""yyyy-mm-dd"")&amp;""' label sum(Col16) ''"",0)))"),"")</f>
        <v/>
      </c>
      <c r="M246" s="628" t="str">
        <f>IFERROR(__xludf.DUMMYFUNCTION("IF($G246="""","""",IFERROR(query({proventos!$B$5:$Q310},""Select sum(Col16) where Col1 = '""&amp;$G246&amp;""' and Col2 &gt; date '""&amp;TEXT(N$8,""yyyy-mm-dd"")&amp;""' and Col2 &lt;= date '""&amp;TEXT(M$8,""yyyy-mm-dd"")&amp;""' label sum(Col16) ''"",0)))"),"")</f>
        <v/>
      </c>
      <c r="N246" s="628" t="str">
        <f>IFERROR(__xludf.DUMMYFUNCTION("IF($G246="""","""",IFERROR(query({proventos!$B$5:$Q310},""Select sum(Col16) where Col1 = '""&amp;$G246&amp;""' and Col2 &gt; date '""&amp;TEXT(O$8,""yyyy-mm-dd"")&amp;""' and Col2 &lt;= date '""&amp;TEXT(N$8,""yyyy-mm-dd"")&amp;""' label sum(Col16) ''"",0)))"),"")</f>
        <v/>
      </c>
      <c r="O246" s="628" t="str">
        <f>IFERROR(__xludf.DUMMYFUNCTION("IF($G246="""","""",IFERROR(query({proventos!$B$5:$Q310},""Select sum(Col16) where Col1 = '""&amp;$G246&amp;""' and Col2 &gt; date '""&amp;TEXT(P$8,""yyyy-mm-dd"")&amp;""' and Col2 &lt;= date '""&amp;TEXT(O$8,""yyyy-mm-dd"")&amp;""' label sum(Col16) ''"",0)))"),"")</f>
        <v/>
      </c>
      <c r="P246" s="628" t="str">
        <f>IFERROR(__xludf.DUMMYFUNCTION("IF($G246="""","""",IFERROR(query({proventos!$B$5:$Q310},""Select sum(Col16) where Col1 = '""&amp;$G246&amp;""' and Col2 &gt; date '""&amp;TEXT(Q$8,""yyyy-mm-dd"")&amp;""' and Col2 &lt;= date '""&amp;TEXT(P$8,""yyyy-mm-dd"")&amp;""' label sum(Col16) ''"",0)))"),"")</f>
        <v/>
      </c>
      <c r="Q246" s="628" t="str">
        <f>IFERROR(__xludf.DUMMYFUNCTION("IF($G246="""","""",IFERROR(query({proventos!$B$5:$Q310},""Select sum(Col16) where Col1 = '""&amp;$G246&amp;""' and Col2 &gt; date '""&amp;TEXT(R$8,""yyyy-mm-dd"")&amp;""' and Col2 &lt;= date '""&amp;TEXT(Q$8,""yyyy-mm-dd"")&amp;""' label sum(Col16) ''"",0)))"),"")</f>
        <v/>
      </c>
      <c r="R246" s="628" t="str">
        <f>IFERROR(__xludf.DUMMYFUNCTION("IF($G246="""","""",IFERROR(query({proventos!$B$5:$Q310},""Select sum(Col16) where Col1 = '""&amp;$G246&amp;""' and Col2 &gt; date '""&amp;TEXT(S$8,""yyyy-mm-dd"")&amp;""' and Col2 &lt;= date '""&amp;TEXT(R$8,""yyyy-mm-dd"")&amp;""' label sum(Col16) ''"",0)))"),"")</f>
        <v/>
      </c>
      <c r="S246" s="628" t="str">
        <f>IFERROR(__xludf.DUMMYFUNCTION("IF($G246="""","""",IFERROR(query({proventos!$B$5:$Q310},""Select sum(Col16) where Col1 = '""&amp;$G246&amp;""' and Col2 &gt; date '""&amp;TEXT(T$8,""yyyy-mm-dd"")&amp;""' and Col2 &lt;= date '""&amp;TEXT(S$8,""yyyy-mm-dd"")&amp;""' label sum(Col16) ''"",0)))"),"")</f>
        <v/>
      </c>
      <c r="T246" s="628" t="str">
        <f>IFERROR(__xludf.DUMMYFUNCTION("IF($G246="""","""",IFERROR(query({proventos!$B$5:$Q310},""Select sum(Col16) where Col1 = '""&amp;$G246&amp;""' and Col2 &gt; date '""&amp;TEXT(U$8,""yyyy-mm-dd"")&amp;""' and Col2 &lt;= date '""&amp;TEXT(T$8,""yyyy-mm-dd"")&amp;""' label sum(Col16) ''"",0)))"),"")</f>
        <v/>
      </c>
      <c r="U246" s="629" t="str">
        <f>IFERROR(__xludf.DUMMYFUNCTION("IF($G246="""","""",IFERROR(query({proventos!$B$5:$Q310},""Select sum(Col16) where Col1 = '""&amp;$G246&amp;""' and Col2 &gt; date '""&amp;TEXT(EOMONTH(TODAY(),-13),""yyyy-mm-dd"")&amp;""' and Col2 &lt;= date '""&amp;TEXT(U$8,""yyyy-mm-dd"")&amp;""' label sum(Col16) ''"",0)))"),"")</f>
        <v/>
      </c>
      <c r="V246" s="630" t="str">
        <f>IFERROR(__xludf.DUMMYFUNCTION("IF($G246="""","""",IFERROR(query({proventos!$B$5:$Q310},""Select sum(Col16) where Col1 = '""&amp;$G246&amp;""' and Col2 &gt; date '""&amp;TEXT(DATE(V$8,1,1),""yyyy-mm-dd"")&amp;""' and Col2 &lt;= date '""&amp;TEXT(DATE(V$8,12,31),""yyyy-mm-dd"")&amp;""' label sum(Col16) ''"",0)))"),"")</f>
        <v/>
      </c>
      <c r="W246" s="630" t="str">
        <f>IFERROR(__xludf.DUMMYFUNCTION("IF($G246="""","""",IFERROR(query({proventos!$B$5:$Q310},""Select sum(Col16) where Col1 = '""&amp;$G246&amp;""' and Col2 &gt; date '""&amp;TEXT(DATE(W$8,1,1),""yyyy-mm-dd"")&amp;""' and Col2 &lt;= date '""&amp;TEXT(DATE(W$8,12,31),""yyyy-mm-dd"")&amp;""' label sum(Col16) ''"",0)))"),"")</f>
        <v/>
      </c>
      <c r="X246" s="630" t="str">
        <f>IFERROR(__xludf.DUMMYFUNCTION("IF($G246="""","""",IFERROR(query({proventos!$B$5:$Q310},""Select sum(Col16) where Col1 = '""&amp;$G246&amp;""' and Col2 &gt; date '""&amp;TEXT(DATE(X$8,1,1),""yyyy-mm-dd"")&amp;""' and Col2 &lt;= date '""&amp;TEXT(DATE(X$8,12,31),""yyyy-mm-dd"")&amp;""' label sum(Col16) ''"",0)))"),"")</f>
        <v/>
      </c>
      <c r="Y246" s="630" t="str">
        <f>IFERROR(__xludf.DUMMYFUNCTION("IF($G246="""","""",IFERROR(query({proventos!$B$5:$Q310},""Select sum(Col16) where Col1 = '""&amp;$G246&amp;""' and Col2 &gt; date '""&amp;TEXT(DATE(Y$8,1,1),""yyyy-mm-dd"")&amp;""' and Col2 &lt;= date '""&amp;TEXT(DATE(Y$8,12,31),""yyyy-mm-dd"")&amp;""' label sum(Col16) ''"",0)))"),"")</f>
        <v/>
      </c>
      <c r="Z246" s="630" t="str">
        <f>IFERROR(__xludf.DUMMYFUNCTION("IF($G246="""","""",IFERROR(query({proventos!$B$5:$Q310},""Select sum(Col16) where Col1 = '""&amp;$G246&amp;""' and Col2 &gt; date '""&amp;TEXT(DATE(Z$8,1,1),""yyyy-mm-dd"")&amp;""' and Col2 &lt;= date '""&amp;TEXT(DATE(Z$8,12,31),""yyyy-mm-dd"")&amp;""' label sum(Col16) ''"",0)))"),"")</f>
        <v/>
      </c>
      <c r="AA246" s="587"/>
      <c r="AB246" s="578" t="s">
        <v>123</v>
      </c>
      <c r="AC246" s="601"/>
      <c r="AD246" s="636"/>
      <c r="AE246" s="636"/>
    </row>
    <row r="247">
      <c r="A247" s="576"/>
      <c r="B247" s="620"/>
      <c r="C247" s="637"/>
      <c r="D247" s="633"/>
      <c r="E247" s="633"/>
      <c r="F247" s="624">
        <v>237.0</v>
      </c>
      <c r="G247" s="635"/>
      <c r="H247" s="626" t="str">
        <f>if(G247="","",IFERROR(VLOOKUP(G247,AtivosDados,MATCH("provento_avg",portfolio.!$A$3:AE$3,0),FALSE),""))</f>
        <v/>
      </c>
      <c r="I247" s="627" t="s">
        <v>123</v>
      </c>
      <c r="J247" s="628" t="str">
        <f>IFERROR(__xludf.DUMMYFUNCTION("IF($G247="""","""",IFERROR(query({proventos!$B$5:$Q310},""Select sum(Col16) where Col1 = '""&amp;$G247&amp;""' and Col2 &gt; date '""&amp;TEXT(K$8,""yyyy-mm-dd"")&amp;""' and Col2 &lt;= date '""&amp;TEXT(J$8,""yyyy-mm-dd"")&amp;""' label sum(Col16) ''"",0)))"),"")</f>
        <v/>
      </c>
      <c r="K247" s="628" t="str">
        <f>IFERROR(__xludf.DUMMYFUNCTION("IF($G247="""","""",IFERROR(query({proventos!$B$5:$Q310},""Select sum(Col16) where Col1 = '""&amp;$G247&amp;""' and Col2 &gt; date '""&amp;TEXT(L$8,""yyyy-mm-dd"")&amp;""' and Col2 &lt;= date '""&amp;TEXT(K$8,""yyyy-mm-dd"")&amp;""' label sum(Col16) ''"",0)))"),"")</f>
        <v/>
      </c>
      <c r="L247" s="628" t="str">
        <f>IFERROR(__xludf.DUMMYFUNCTION("IF($G247="""","""",IFERROR(query({proventos!$B$5:$Q310},""Select sum(Col16) where Col1 = '""&amp;$G247&amp;""' and Col2 &gt; date '""&amp;TEXT(M$8,""yyyy-mm-dd"")&amp;""' and Col2 &lt;= date '""&amp;TEXT(L$8,""yyyy-mm-dd"")&amp;""' label sum(Col16) ''"",0)))"),"")</f>
        <v/>
      </c>
      <c r="M247" s="628" t="str">
        <f>IFERROR(__xludf.DUMMYFUNCTION("IF($G247="""","""",IFERROR(query({proventos!$B$5:$Q310},""Select sum(Col16) where Col1 = '""&amp;$G247&amp;""' and Col2 &gt; date '""&amp;TEXT(N$8,""yyyy-mm-dd"")&amp;""' and Col2 &lt;= date '""&amp;TEXT(M$8,""yyyy-mm-dd"")&amp;""' label sum(Col16) ''"",0)))"),"")</f>
        <v/>
      </c>
      <c r="N247" s="628" t="str">
        <f>IFERROR(__xludf.DUMMYFUNCTION("IF($G247="""","""",IFERROR(query({proventos!$B$5:$Q310},""Select sum(Col16) where Col1 = '""&amp;$G247&amp;""' and Col2 &gt; date '""&amp;TEXT(O$8,""yyyy-mm-dd"")&amp;""' and Col2 &lt;= date '""&amp;TEXT(N$8,""yyyy-mm-dd"")&amp;""' label sum(Col16) ''"",0)))"),"")</f>
        <v/>
      </c>
      <c r="O247" s="628" t="str">
        <f>IFERROR(__xludf.DUMMYFUNCTION("IF($G247="""","""",IFERROR(query({proventos!$B$5:$Q310},""Select sum(Col16) where Col1 = '""&amp;$G247&amp;""' and Col2 &gt; date '""&amp;TEXT(P$8,""yyyy-mm-dd"")&amp;""' and Col2 &lt;= date '""&amp;TEXT(O$8,""yyyy-mm-dd"")&amp;""' label sum(Col16) ''"",0)))"),"")</f>
        <v/>
      </c>
      <c r="P247" s="628" t="str">
        <f>IFERROR(__xludf.DUMMYFUNCTION("IF($G247="""","""",IFERROR(query({proventos!$B$5:$Q310},""Select sum(Col16) where Col1 = '""&amp;$G247&amp;""' and Col2 &gt; date '""&amp;TEXT(Q$8,""yyyy-mm-dd"")&amp;""' and Col2 &lt;= date '""&amp;TEXT(P$8,""yyyy-mm-dd"")&amp;""' label sum(Col16) ''"",0)))"),"")</f>
        <v/>
      </c>
      <c r="Q247" s="628" t="str">
        <f>IFERROR(__xludf.DUMMYFUNCTION("IF($G247="""","""",IFERROR(query({proventos!$B$5:$Q310},""Select sum(Col16) where Col1 = '""&amp;$G247&amp;""' and Col2 &gt; date '""&amp;TEXT(R$8,""yyyy-mm-dd"")&amp;""' and Col2 &lt;= date '""&amp;TEXT(Q$8,""yyyy-mm-dd"")&amp;""' label sum(Col16) ''"",0)))"),"")</f>
        <v/>
      </c>
      <c r="R247" s="628" t="str">
        <f>IFERROR(__xludf.DUMMYFUNCTION("IF($G247="""","""",IFERROR(query({proventos!$B$5:$Q310},""Select sum(Col16) where Col1 = '""&amp;$G247&amp;""' and Col2 &gt; date '""&amp;TEXT(S$8,""yyyy-mm-dd"")&amp;""' and Col2 &lt;= date '""&amp;TEXT(R$8,""yyyy-mm-dd"")&amp;""' label sum(Col16) ''"",0)))"),"")</f>
        <v/>
      </c>
      <c r="S247" s="628" t="str">
        <f>IFERROR(__xludf.DUMMYFUNCTION("IF($G247="""","""",IFERROR(query({proventos!$B$5:$Q310},""Select sum(Col16) where Col1 = '""&amp;$G247&amp;""' and Col2 &gt; date '""&amp;TEXT(T$8,""yyyy-mm-dd"")&amp;""' and Col2 &lt;= date '""&amp;TEXT(S$8,""yyyy-mm-dd"")&amp;""' label sum(Col16) ''"",0)))"),"")</f>
        <v/>
      </c>
      <c r="T247" s="628" t="str">
        <f>IFERROR(__xludf.DUMMYFUNCTION("IF($G247="""","""",IFERROR(query({proventos!$B$5:$Q310},""Select sum(Col16) where Col1 = '""&amp;$G247&amp;""' and Col2 &gt; date '""&amp;TEXT(U$8,""yyyy-mm-dd"")&amp;""' and Col2 &lt;= date '""&amp;TEXT(T$8,""yyyy-mm-dd"")&amp;""' label sum(Col16) ''"",0)))"),"")</f>
        <v/>
      </c>
      <c r="U247" s="629" t="str">
        <f>IFERROR(__xludf.DUMMYFUNCTION("IF($G247="""","""",IFERROR(query({proventos!$B$5:$Q310},""Select sum(Col16) where Col1 = '""&amp;$G247&amp;""' and Col2 &gt; date '""&amp;TEXT(EOMONTH(TODAY(),-13),""yyyy-mm-dd"")&amp;""' and Col2 &lt;= date '""&amp;TEXT(U$8,""yyyy-mm-dd"")&amp;""' label sum(Col16) ''"",0)))"),"")</f>
        <v/>
      </c>
      <c r="V247" s="630" t="str">
        <f>IFERROR(__xludf.DUMMYFUNCTION("IF($G247="""","""",IFERROR(query({proventos!$B$5:$Q310},""Select sum(Col16) where Col1 = '""&amp;$G247&amp;""' and Col2 &gt; date '""&amp;TEXT(DATE(V$8,1,1),""yyyy-mm-dd"")&amp;""' and Col2 &lt;= date '""&amp;TEXT(DATE(V$8,12,31),""yyyy-mm-dd"")&amp;""' label sum(Col16) ''"",0)))"),"")</f>
        <v/>
      </c>
      <c r="W247" s="630" t="str">
        <f>IFERROR(__xludf.DUMMYFUNCTION("IF($G247="""","""",IFERROR(query({proventos!$B$5:$Q310},""Select sum(Col16) where Col1 = '""&amp;$G247&amp;""' and Col2 &gt; date '""&amp;TEXT(DATE(W$8,1,1),""yyyy-mm-dd"")&amp;""' and Col2 &lt;= date '""&amp;TEXT(DATE(W$8,12,31),""yyyy-mm-dd"")&amp;""' label sum(Col16) ''"",0)))"),"")</f>
        <v/>
      </c>
      <c r="X247" s="630" t="str">
        <f>IFERROR(__xludf.DUMMYFUNCTION("IF($G247="""","""",IFERROR(query({proventos!$B$5:$Q310},""Select sum(Col16) where Col1 = '""&amp;$G247&amp;""' and Col2 &gt; date '""&amp;TEXT(DATE(X$8,1,1),""yyyy-mm-dd"")&amp;""' and Col2 &lt;= date '""&amp;TEXT(DATE(X$8,12,31),""yyyy-mm-dd"")&amp;""' label sum(Col16) ''"",0)))"),"")</f>
        <v/>
      </c>
      <c r="Y247" s="630" t="str">
        <f>IFERROR(__xludf.DUMMYFUNCTION("IF($G247="""","""",IFERROR(query({proventos!$B$5:$Q310},""Select sum(Col16) where Col1 = '""&amp;$G247&amp;""' and Col2 &gt; date '""&amp;TEXT(DATE(Y$8,1,1),""yyyy-mm-dd"")&amp;""' and Col2 &lt;= date '""&amp;TEXT(DATE(Y$8,12,31),""yyyy-mm-dd"")&amp;""' label sum(Col16) ''"",0)))"),"")</f>
        <v/>
      </c>
      <c r="Z247" s="630" t="str">
        <f>IFERROR(__xludf.DUMMYFUNCTION("IF($G247="""","""",IFERROR(query({proventos!$B$5:$Q310},""Select sum(Col16) where Col1 = '""&amp;$G247&amp;""' and Col2 &gt; date '""&amp;TEXT(DATE(Z$8,1,1),""yyyy-mm-dd"")&amp;""' and Col2 &lt;= date '""&amp;TEXT(DATE(Z$8,12,31),""yyyy-mm-dd"")&amp;""' label sum(Col16) ''"",0)))"),"")</f>
        <v/>
      </c>
      <c r="AA247" s="587"/>
      <c r="AB247" s="578" t="s">
        <v>123</v>
      </c>
      <c r="AC247" s="601"/>
      <c r="AD247" s="636"/>
      <c r="AE247" s="636"/>
    </row>
    <row r="248">
      <c r="A248" s="576"/>
      <c r="B248" s="620"/>
      <c r="C248" s="637"/>
      <c r="D248" s="633"/>
      <c r="E248" s="633"/>
      <c r="F248" s="624">
        <v>238.0</v>
      </c>
      <c r="G248" s="635"/>
      <c r="H248" s="626" t="str">
        <f>if(G248="","",IFERROR(VLOOKUP(G248,AtivosDados,MATCH("provento_avg",portfolio.!$A$3:AE$3,0),FALSE),""))</f>
        <v/>
      </c>
      <c r="I248" s="627" t="s">
        <v>123</v>
      </c>
      <c r="J248" s="628" t="str">
        <f>IFERROR(__xludf.DUMMYFUNCTION("IF($G248="""","""",IFERROR(query({proventos!$B$5:$Q310},""Select sum(Col16) where Col1 = '""&amp;$G248&amp;""' and Col2 &gt; date '""&amp;TEXT(K$8,""yyyy-mm-dd"")&amp;""' and Col2 &lt;= date '""&amp;TEXT(J$8,""yyyy-mm-dd"")&amp;""' label sum(Col16) ''"",0)))"),"")</f>
        <v/>
      </c>
      <c r="K248" s="628" t="str">
        <f>IFERROR(__xludf.DUMMYFUNCTION("IF($G248="""","""",IFERROR(query({proventos!$B$5:$Q310},""Select sum(Col16) where Col1 = '""&amp;$G248&amp;""' and Col2 &gt; date '""&amp;TEXT(L$8,""yyyy-mm-dd"")&amp;""' and Col2 &lt;= date '""&amp;TEXT(K$8,""yyyy-mm-dd"")&amp;""' label sum(Col16) ''"",0)))"),"")</f>
        <v/>
      </c>
      <c r="L248" s="628" t="str">
        <f>IFERROR(__xludf.DUMMYFUNCTION("IF($G248="""","""",IFERROR(query({proventos!$B$5:$Q310},""Select sum(Col16) where Col1 = '""&amp;$G248&amp;""' and Col2 &gt; date '""&amp;TEXT(M$8,""yyyy-mm-dd"")&amp;""' and Col2 &lt;= date '""&amp;TEXT(L$8,""yyyy-mm-dd"")&amp;""' label sum(Col16) ''"",0)))"),"")</f>
        <v/>
      </c>
      <c r="M248" s="628" t="str">
        <f>IFERROR(__xludf.DUMMYFUNCTION("IF($G248="""","""",IFERROR(query({proventos!$B$5:$Q310},""Select sum(Col16) where Col1 = '""&amp;$G248&amp;""' and Col2 &gt; date '""&amp;TEXT(N$8,""yyyy-mm-dd"")&amp;""' and Col2 &lt;= date '""&amp;TEXT(M$8,""yyyy-mm-dd"")&amp;""' label sum(Col16) ''"",0)))"),"")</f>
        <v/>
      </c>
      <c r="N248" s="628" t="str">
        <f>IFERROR(__xludf.DUMMYFUNCTION("IF($G248="""","""",IFERROR(query({proventos!$B$5:$Q310},""Select sum(Col16) where Col1 = '""&amp;$G248&amp;""' and Col2 &gt; date '""&amp;TEXT(O$8,""yyyy-mm-dd"")&amp;""' and Col2 &lt;= date '""&amp;TEXT(N$8,""yyyy-mm-dd"")&amp;""' label sum(Col16) ''"",0)))"),"")</f>
        <v/>
      </c>
      <c r="O248" s="628" t="str">
        <f>IFERROR(__xludf.DUMMYFUNCTION("IF($G248="""","""",IFERROR(query({proventos!$B$5:$Q310},""Select sum(Col16) where Col1 = '""&amp;$G248&amp;""' and Col2 &gt; date '""&amp;TEXT(P$8,""yyyy-mm-dd"")&amp;""' and Col2 &lt;= date '""&amp;TEXT(O$8,""yyyy-mm-dd"")&amp;""' label sum(Col16) ''"",0)))"),"")</f>
        <v/>
      </c>
      <c r="P248" s="628" t="str">
        <f>IFERROR(__xludf.DUMMYFUNCTION("IF($G248="""","""",IFERROR(query({proventos!$B$5:$Q310},""Select sum(Col16) where Col1 = '""&amp;$G248&amp;""' and Col2 &gt; date '""&amp;TEXT(Q$8,""yyyy-mm-dd"")&amp;""' and Col2 &lt;= date '""&amp;TEXT(P$8,""yyyy-mm-dd"")&amp;""' label sum(Col16) ''"",0)))"),"")</f>
        <v/>
      </c>
      <c r="Q248" s="628" t="str">
        <f>IFERROR(__xludf.DUMMYFUNCTION("IF($G248="""","""",IFERROR(query({proventos!$B$5:$Q310},""Select sum(Col16) where Col1 = '""&amp;$G248&amp;""' and Col2 &gt; date '""&amp;TEXT(R$8,""yyyy-mm-dd"")&amp;""' and Col2 &lt;= date '""&amp;TEXT(Q$8,""yyyy-mm-dd"")&amp;""' label sum(Col16) ''"",0)))"),"")</f>
        <v/>
      </c>
      <c r="R248" s="628" t="str">
        <f>IFERROR(__xludf.DUMMYFUNCTION("IF($G248="""","""",IFERROR(query({proventos!$B$5:$Q310},""Select sum(Col16) where Col1 = '""&amp;$G248&amp;""' and Col2 &gt; date '""&amp;TEXT(S$8,""yyyy-mm-dd"")&amp;""' and Col2 &lt;= date '""&amp;TEXT(R$8,""yyyy-mm-dd"")&amp;""' label sum(Col16) ''"",0)))"),"")</f>
        <v/>
      </c>
      <c r="S248" s="628" t="str">
        <f>IFERROR(__xludf.DUMMYFUNCTION("IF($G248="""","""",IFERROR(query({proventos!$B$5:$Q310},""Select sum(Col16) where Col1 = '""&amp;$G248&amp;""' and Col2 &gt; date '""&amp;TEXT(T$8,""yyyy-mm-dd"")&amp;""' and Col2 &lt;= date '""&amp;TEXT(S$8,""yyyy-mm-dd"")&amp;""' label sum(Col16) ''"",0)))"),"")</f>
        <v/>
      </c>
      <c r="T248" s="628" t="str">
        <f>IFERROR(__xludf.DUMMYFUNCTION("IF($G248="""","""",IFERROR(query({proventos!$B$5:$Q310},""Select sum(Col16) where Col1 = '""&amp;$G248&amp;""' and Col2 &gt; date '""&amp;TEXT(U$8,""yyyy-mm-dd"")&amp;""' and Col2 &lt;= date '""&amp;TEXT(T$8,""yyyy-mm-dd"")&amp;""' label sum(Col16) ''"",0)))"),"")</f>
        <v/>
      </c>
      <c r="U248" s="629" t="str">
        <f>IFERROR(__xludf.DUMMYFUNCTION("IF($G248="""","""",IFERROR(query({proventos!$B$5:$Q310},""Select sum(Col16) where Col1 = '""&amp;$G248&amp;""' and Col2 &gt; date '""&amp;TEXT(EOMONTH(TODAY(),-13),""yyyy-mm-dd"")&amp;""' and Col2 &lt;= date '""&amp;TEXT(U$8,""yyyy-mm-dd"")&amp;""' label sum(Col16) ''"",0)))"),"")</f>
        <v/>
      </c>
      <c r="V248" s="630" t="str">
        <f>IFERROR(__xludf.DUMMYFUNCTION("IF($G248="""","""",IFERROR(query({proventos!$B$5:$Q310},""Select sum(Col16) where Col1 = '""&amp;$G248&amp;""' and Col2 &gt; date '""&amp;TEXT(DATE(V$8,1,1),""yyyy-mm-dd"")&amp;""' and Col2 &lt;= date '""&amp;TEXT(DATE(V$8,12,31),""yyyy-mm-dd"")&amp;""' label sum(Col16) ''"",0)))"),"")</f>
        <v/>
      </c>
      <c r="W248" s="630" t="str">
        <f>IFERROR(__xludf.DUMMYFUNCTION("IF($G248="""","""",IFERROR(query({proventos!$B$5:$Q310},""Select sum(Col16) where Col1 = '""&amp;$G248&amp;""' and Col2 &gt; date '""&amp;TEXT(DATE(W$8,1,1),""yyyy-mm-dd"")&amp;""' and Col2 &lt;= date '""&amp;TEXT(DATE(W$8,12,31),""yyyy-mm-dd"")&amp;""' label sum(Col16) ''"",0)))"),"")</f>
        <v/>
      </c>
      <c r="X248" s="630" t="str">
        <f>IFERROR(__xludf.DUMMYFUNCTION("IF($G248="""","""",IFERROR(query({proventos!$B$5:$Q310},""Select sum(Col16) where Col1 = '""&amp;$G248&amp;""' and Col2 &gt; date '""&amp;TEXT(DATE(X$8,1,1),""yyyy-mm-dd"")&amp;""' and Col2 &lt;= date '""&amp;TEXT(DATE(X$8,12,31),""yyyy-mm-dd"")&amp;""' label sum(Col16) ''"",0)))"),"")</f>
        <v/>
      </c>
      <c r="Y248" s="630" t="str">
        <f>IFERROR(__xludf.DUMMYFUNCTION("IF($G248="""","""",IFERROR(query({proventos!$B$5:$Q310},""Select sum(Col16) where Col1 = '""&amp;$G248&amp;""' and Col2 &gt; date '""&amp;TEXT(DATE(Y$8,1,1),""yyyy-mm-dd"")&amp;""' and Col2 &lt;= date '""&amp;TEXT(DATE(Y$8,12,31),""yyyy-mm-dd"")&amp;""' label sum(Col16) ''"",0)))"),"")</f>
        <v/>
      </c>
      <c r="Z248" s="630" t="str">
        <f>IFERROR(__xludf.DUMMYFUNCTION("IF($G248="""","""",IFERROR(query({proventos!$B$5:$Q310},""Select sum(Col16) where Col1 = '""&amp;$G248&amp;""' and Col2 &gt; date '""&amp;TEXT(DATE(Z$8,1,1),""yyyy-mm-dd"")&amp;""' and Col2 &lt;= date '""&amp;TEXT(DATE(Z$8,12,31),""yyyy-mm-dd"")&amp;""' label sum(Col16) ''"",0)))"),"")</f>
        <v/>
      </c>
      <c r="AA248" s="587"/>
      <c r="AB248" s="578" t="s">
        <v>123</v>
      </c>
      <c r="AC248" s="601"/>
      <c r="AD248" s="636"/>
      <c r="AE248" s="636"/>
    </row>
    <row r="249">
      <c r="A249" s="576"/>
      <c r="B249" s="620"/>
      <c r="C249" s="637"/>
      <c r="D249" s="633"/>
      <c r="E249" s="633"/>
      <c r="F249" s="624">
        <v>239.0</v>
      </c>
      <c r="G249" s="635"/>
      <c r="H249" s="626" t="str">
        <f>if(G249="","",IFERROR(VLOOKUP(G249,AtivosDados,MATCH("provento_avg",portfolio.!$A$3:AE$3,0),FALSE),""))</f>
        <v/>
      </c>
      <c r="I249" s="627" t="s">
        <v>123</v>
      </c>
      <c r="J249" s="628" t="str">
        <f>IFERROR(__xludf.DUMMYFUNCTION("IF($G249="""","""",IFERROR(query({proventos!$B$5:$Q310},""Select sum(Col16) where Col1 = '""&amp;$G249&amp;""' and Col2 &gt; date '""&amp;TEXT(K$8,""yyyy-mm-dd"")&amp;""' and Col2 &lt;= date '""&amp;TEXT(J$8,""yyyy-mm-dd"")&amp;""' label sum(Col16) ''"",0)))"),"")</f>
        <v/>
      </c>
      <c r="K249" s="628" t="str">
        <f>IFERROR(__xludf.DUMMYFUNCTION("IF($G249="""","""",IFERROR(query({proventos!$B$5:$Q310},""Select sum(Col16) where Col1 = '""&amp;$G249&amp;""' and Col2 &gt; date '""&amp;TEXT(L$8,""yyyy-mm-dd"")&amp;""' and Col2 &lt;= date '""&amp;TEXT(K$8,""yyyy-mm-dd"")&amp;""' label sum(Col16) ''"",0)))"),"")</f>
        <v/>
      </c>
      <c r="L249" s="628" t="str">
        <f>IFERROR(__xludf.DUMMYFUNCTION("IF($G249="""","""",IFERROR(query({proventos!$B$5:$Q310},""Select sum(Col16) where Col1 = '""&amp;$G249&amp;""' and Col2 &gt; date '""&amp;TEXT(M$8,""yyyy-mm-dd"")&amp;""' and Col2 &lt;= date '""&amp;TEXT(L$8,""yyyy-mm-dd"")&amp;""' label sum(Col16) ''"",0)))"),"")</f>
        <v/>
      </c>
      <c r="M249" s="628" t="str">
        <f>IFERROR(__xludf.DUMMYFUNCTION("IF($G249="""","""",IFERROR(query({proventos!$B$5:$Q310},""Select sum(Col16) where Col1 = '""&amp;$G249&amp;""' and Col2 &gt; date '""&amp;TEXT(N$8,""yyyy-mm-dd"")&amp;""' and Col2 &lt;= date '""&amp;TEXT(M$8,""yyyy-mm-dd"")&amp;""' label sum(Col16) ''"",0)))"),"")</f>
        <v/>
      </c>
      <c r="N249" s="628" t="str">
        <f>IFERROR(__xludf.DUMMYFUNCTION("IF($G249="""","""",IFERROR(query({proventos!$B$5:$Q310},""Select sum(Col16) where Col1 = '""&amp;$G249&amp;""' and Col2 &gt; date '""&amp;TEXT(O$8,""yyyy-mm-dd"")&amp;""' and Col2 &lt;= date '""&amp;TEXT(N$8,""yyyy-mm-dd"")&amp;""' label sum(Col16) ''"",0)))"),"")</f>
        <v/>
      </c>
      <c r="O249" s="628" t="str">
        <f>IFERROR(__xludf.DUMMYFUNCTION("IF($G249="""","""",IFERROR(query({proventos!$B$5:$Q310},""Select sum(Col16) where Col1 = '""&amp;$G249&amp;""' and Col2 &gt; date '""&amp;TEXT(P$8,""yyyy-mm-dd"")&amp;""' and Col2 &lt;= date '""&amp;TEXT(O$8,""yyyy-mm-dd"")&amp;""' label sum(Col16) ''"",0)))"),"")</f>
        <v/>
      </c>
      <c r="P249" s="628" t="str">
        <f>IFERROR(__xludf.DUMMYFUNCTION("IF($G249="""","""",IFERROR(query({proventos!$B$5:$Q310},""Select sum(Col16) where Col1 = '""&amp;$G249&amp;""' and Col2 &gt; date '""&amp;TEXT(Q$8,""yyyy-mm-dd"")&amp;""' and Col2 &lt;= date '""&amp;TEXT(P$8,""yyyy-mm-dd"")&amp;""' label sum(Col16) ''"",0)))"),"")</f>
        <v/>
      </c>
      <c r="Q249" s="628" t="str">
        <f>IFERROR(__xludf.DUMMYFUNCTION("IF($G249="""","""",IFERROR(query({proventos!$B$5:$Q310},""Select sum(Col16) where Col1 = '""&amp;$G249&amp;""' and Col2 &gt; date '""&amp;TEXT(R$8,""yyyy-mm-dd"")&amp;""' and Col2 &lt;= date '""&amp;TEXT(Q$8,""yyyy-mm-dd"")&amp;""' label sum(Col16) ''"",0)))"),"")</f>
        <v/>
      </c>
      <c r="R249" s="628" t="str">
        <f>IFERROR(__xludf.DUMMYFUNCTION("IF($G249="""","""",IFERROR(query({proventos!$B$5:$Q310},""Select sum(Col16) where Col1 = '""&amp;$G249&amp;""' and Col2 &gt; date '""&amp;TEXT(S$8,""yyyy-mm-dd"")&amp;""' and Col2 &lt;= date '""&amp;TEXT(R$8,""yyyy-mm-dd"")&amp;""' label sum(Col16) ''"",0)))"),"")</f>
        <v/>
      </c>
      <c r="S249" s="628" t="str">
        <f>IFERROR(__xludf.DUMMYFUNCTION("IF($G249="""","""",IFERROR(query({proventos!$B$5:$Q310},""Select sum(Col16) where Col1 = '""&amp;$G249&amp;""' and Col2 &gt; date '""&amp;TEXT(T$8,""yyyy-mm-dd"")&amp;""' and Col2 &lt;= date '""&amp;TEXT(S$8,""yyyy-mm-dd"")&amp;""' label sum(Col16) ''"",0)))"),"")</f>
        <v/>
      </c>
      <c r="T249" s="628" t="str">
        <f>IFERROR(__xludf.DUMMYFUNCTION("IF($G249="""","""",IFERROR(query({proventos!$B$5:$Q310},""Select sum(Col16) where Col1 = '""&amp;$G249&amp;""' and Col2 &gt; date '""&amp;TEXT(U$8,""yyyy-mm-dd"")&amp;""' and Col2 &lt;= date '""&amp;TEXT(T$8,""yyyy-mm-dd"")&amp;""' label sum(Col16) ''"",0)))"),"")</f>
        <v/>
      </c>
      <c r="U249" s="629" t="str">
        <f>IFERROR(__xludf.DUMMYFUNCTION("IF($G249="""","""",IFERROR(query({proventos!$B$5:$Q310},""Select sum(Col16) where Col1 = '""&amp;$G249&amp;""' and Col2 &gt; date '""&amp;TEXT(EOMONTH(TODAY(),-13),""yyyy-mm-dd"")&amp;""' and Col2 &lt;= date '""&amp;TEXT(U$8,""yyyy-mm-dd"")&amp;""' label sum(Col16) ''"",0)))"),"")</f>
        <v/>
      </c>
      <c r="V249" s="630" t="str">
        <f>IFERROR(__xludf.DUMMYFUNCTION("IF($G249="""","""",IFERROR(query({proventos!$B$5:$Q310},""Select sum(Col16) where Col1 = '""&amp;$G249&amp;""' and Col2 &gt; date '""&amp;TEXT(DATE(V$8,1,1),""yyyy-mm-dd"")&amp;""' and Col2 &lt;= date '""&amp;TEXT(DATE(V$8,12,31),""yyyy-mm-dd"")&amp;""' label sum(Col16) ''"",0)))"),"")</f>
        <v/>
      </c>
      <c r="W249" s="630" t="str">
        <f>IFERROR(__xludf.DUMMYFUNCTION("IF($G249="""","""",IFERROR(query({proventos!$B$5:$Q310},""Select sum(Col16) where Col1 = '""&amp;$G249&amp;""' and Col2 &gt; date '""&amp;TEXT(DATE(W$8,1,1),""yyyy-mm-dd"")&amp;""' and Col2 &lt;= date '""&amp;TEXT(DATE(W$8,12,31),""yyyy-mm-dd"")&amp;""' label sum(Col16) ''"",0)))"),"")</f>
        <v/>
      </c>
      <c r="X249" s="630" t="str">
        <f>IFERROR(__xludf.DUMMYFUNCTION("IF($G249="""","""",IFERROR(query({proventos!$B$5:$Q310},""Select sum(Col16) where Col1 = '""&amp;$G249&amp;""' and Col2 &gt; date '""&amp;TEXT(DATE(X$8,1,1),""yyyy-mm-dd"")&amp;""' and Col2 &lt;= date '""&amp;TEXT(DATE(X$8,12,31),""yyyy-mm-dd"")&amp;""' label sum(Col16) ''"",0)))"),"")</f>
        <v/>
      </c>
      <c r="Y249" s="630" t="str">
        <f>IFERROR(__xludf.DUMMYFUNCTION("IF($G249="""","""",IFERROR(query({proventos!$B$5:$Q310},""Select sum(Col16) where Col1 = '""&amp;$G249&amp;""' and Col2 &gt; date '""&amp;TEXT(DATE(Y$8,1,1),""yyyy-mm-dd"")&amp;""' and Col2 &lt;= date '""&amp;TEXT(DATE(Y$8,12,31),""yyyy-mm-dd"")&amp;""' label sum(Col16) ''"",0)))"),"")</f>
        <v/>
      </c>
      <c r="Z249" s="630" t="str">
        <f>IFERROR(__xludf.DUMMYFUNCTION("IF($G249="""","""",IFERROR(query({proventos!$B$5:$Q310},""Select sum(Col16) where Col1 = '""&amp;$G249&amp;""' and Col2 &gt; date '""&amp;TEXT(DATE(Z$8,1,1),""yyyy-mm-dd"")&amp;""' and Col2 &lt;= date '""&amp;TEXT(DATE(Z$8,12,31),""yyyy-mm-dd"")&amp;""' label sum(Col16) ''"",0)))"),"")</f>
        <v/>
      </c>
      <c r="AA249" s="587"/>
      <c r="AB249" s="578" t="s">
        <v>123</v>
      </c>
      <c r="AC249" s="601"/>
      <c r="AD249" s="636"/>
      <c r="AE249" s="636"/>
    </row>
    <row r="250">
      <c r="A250" s="576"/>
      <c r="B250" s="620"/>
      <c r="C250" s="637"/>
      <c r="D250" s="633"/>
      <c r="E250" s="633"/>
      <c r="F250" s="624">
        <v>240.0</v>
      </c>
      <c r="G250" s="635"/>
      <c r="H250" s="626" t="str">
        <f>if(G250="","",IFERROR(VLOOKUP(G250,AtivosDados,MATCH("provento_avg",portfolio.!$A$3:AE$3,0),FALSE),""))</f>
        <v/>
      </c>
      <c r="I250" s="627" t="s">
        <v>123</v>
      </c>
      <c r="J250" s="628" t="str">
        <f>IFERROR(__xludf.DUMMYFUNCTION("IF($G250="""","""",IFERROR(query({proventos!$B$5:$Q310},""Select sum(Col16) where Col1 = '""&amp;$G250&amp;""' and Col2 &gt; date '""&amp;TEXT(K$8,""yyyy-mm-dd"")&amp;""' and Col2 &lt;= date '""&amp;TEXT(J$8,""yyyy-mm-dd"")&amp;""' label sum(Col16) ''"",0)))"),"")</f>
        <v/>
      </c>
      <c r="K250" s="628" t="str">
        <f>IFERROR(__xludf.DUMMYFUNCTION("IF($G250="""","""",IFERROR(query({proventos!$B$5:$Q310},""Select sum(Col16) where Col1 = '""&amp;$G250&amp;""' and Col2 &gt; date '""&amp;TEXT(L$8,""yyyy-mm-dd"")&amp;""' and Col2 &lt;= date '""&amp;TEXT(K$8,""yyyy-mm-dd"")&amp;""' label sum(Col16) ''"",0)))"),"")</f>
        <v/>
      </c>
      <c r="L250" s="628" t="str">
        <f>IFERROR(__xludf.DUMMYFUNCTION("IF($G250="""","""",IFERROR(query({proventos!$B$5:$Q310},""Select sum(Col16) where Col1 = '""&amp;$G250&amp;""' and Col2 &gt; date '""&amp;TEXT(M$8,""yyyy-mm-dd"")&amp;""' and Col2 &lt;= date '""&amp;TEXT(L$8,""yyyy-mm-dd"")&amp;""' label sum(Col16) ''"",0)))"),"")</f>
        <v/>
      </c>
      <c r="M250" s="628" t="str">
        <f>IFERROR(__xludf.DUMMYFUNCTION("IF($G250="""","""",IFERROR(query({proventos!$B$5:$Q310},""Select sum(Col16) where Col1 = '""&amp;$G250&amp;""' and Col2 &gt; date '""&amp;TEXT(N$8,""yyyy-mm-dd"")&amp;""' and Col2 &lt;= date '""&amp;TEXT(M$8,""yyyy-mm-dd"")&amp;""' label sum(Col16) ''"",0)))"),"")</f>
        <v/>
      </c>
      <c r="N250" s="628" t="str">
        <f>IFERROR(__xludf.DUMMYFUNCTION("IF($G250="""","""",IFERROR(query({proventos!$B$5:$Q310},""Select sum(Col16) where Col1 = '""&amp;$G250&amp;""' and Col2 &gt; date '""&amp;TEXT(O$8,""yyyy-mm-dd"")&amp;""' and Col2 &lt;= date '""&amp;TEXT(N$8,""yyyy-mm-dd"")&amp;""' label sum(Col16) ''"",0)))"),"")</f>
        <v/>
      </c>
      <c r="O250" s="628" t="str">
        <f>IFERROR(__xludf.DUMMYFUNCTION("IF($G250="""","""",IFERROR(query({proventos!$B$5:$Q310},""Select sum(Col16) where Col1 = '""&amp;$G250&amp;""' and Col2 &gt; date '""&amp;TEXT(P$8,""yyyy-mm-dd"")&amp;""' and Col2 &lt;= date '""&amp;TEXT(O$8,""yyyy-mm-dd"")&amp;""' label sum(Col16) ''"",0)))"),"")</f>
        <v/>
      </c>
      <c r="P250" s="628" t="str">
        <f>IFERROR(__xludf.DUMMYFUNCTION("IF($G250="""","""",IFERROR(query({proventos!$B$5:$Q310},""Select sum(Col16) where Col1 = '""&amp;$G250&amp;""' and Col2 &gt; date '""&amp;TEXT(Q$8,""yyyy-mm-dd"")&amp;""' and Col2 &lt;= date '""&amp;TEXT(P$8,""yyyy-mm-dd"")&amp;""' label sum(Col16) ''"",0)))"),"")</f>
        <v/>
      </c>
      <c r="Q250" s="628" t="str">
        <f>IFERROR(__xludf.DUMMYFUNCTION("IF($G250="""","""",IFERROR(query({proventos!$B$5:$Q310},""Select sum(Col16) where Col1 = '""&amp;$G250&amp;""' and Col2 &gt; date '""&amp;TEXT(R$8,""yyyy-mm-dd"")&amp;""' and Col2 &lt;= date '""&amp;TEXT(Q$8,""yyyy-mm-dd"")&amp;""' label sum(Col16) ''"",0)))"),"")</f>
        <v/>
      </c>
      <c r="R250" s="628" t="str">
        <f>IFERROR(__xludf.DUMMYFUNCTION("IF($G250="""","""",IFERROR(query({proventos!$B$5:$Q310},""Select sum(Col16) where Col1 = '""&amp;$G250&amp;""' and Col2 &gt; date '""&amp;TEXT(S$8,""yyyy-mm-dd"")&amp;""' and Col2 &lt;= date '""&amp;TEXT(R$8,""yyyy-mm-dd"")&amp;""' label sum(Col16) ''"",0)))"),"")</f>
        <v/>
      </c>
      <c r="S250" s="628" t="str">
        <f>IFERROR(__xludf.DUMMYFUNCTION("IF($G250="""","""",IFERROR(query({proventos!$B$5:$Q310},""Select sum(Col16) where Col1 = '""&amp;$G250&amp;""' and Col2 &gt; date '""&amp;TEXT(T$8,""yyyy-mm-dd"")&amp;""' and Col2 &lt;= date '""&amp;TEXT(S$8,""yyyy-mm-dd"")&amp;""' label sum(Col16) ''"",0)))"),"")</f>
        <v/>
      </c>
      <c r="T250" s="628" t="str">
        <f>IFERROR(__xludf.DUMMYFUNCTION("IF($G250="""","""",IFERROR(query({proventos!$B$5:$Q310},""Select sum(Col16) where Col1 = '""&amp;$G250&amp;""' and Col2 &gt; date '""&amp;TEXT(U$8,""yyyy-mm-dd"")&amp;""' and Col2 &lt;= date '""&amp;TEXT(T$8,""yyyy-mm-dd"")&amp;""' label sum(Col16) ''"",0)))"),"")</f>
        <v/>
      </c>
      <c r="U250" s="629" t="str">
        <f>IFERROR(__xludf.DUMMYFUNCTION("IF($G250="""","""",IFERROR(query({proventos!$B$5:$Q310},""Select sum(Col16) where Col1 = '""&amp;$G250&amp;""' and Col2 &gt; date '""&amp;TEXT(EOMONTH(TODAY(),-13),""yyyy-mm-dd"")&amp;""' and Col2 &lt;= date '""&amp;TEXT(U$8,""yyyy-mm-dd"")&amp;""' label sum(Col16) ''"",0)))"),"")</f>
        <v/>
      </c>
      <c r="V250" s="630" t="str">
        <f>IFERROR(__xludf.DUMMYFUNCTION("IF($G250="""","""",IFERROR(query({proventos!$B$5:$Q310},""Select sum(Col16) where Col1 = '""&amp;$G250&amp;""' and Col2 &gt; date '""&amp;TEXT(DATE(V$8,1,1),""yyyy-mm-dd"")&amp;""' and Col2 &lt;= date '""&amp;TEXT(DATE(V$8,12,31),""yyyy-mm-dd"")&amp;""' label sum(Col16) ''"",0)))"),"")</f>
        <v/>
      </c>
      <c r="W250" s="630" t="str">
        <f>IFERROR(__xludf.DUMMYFUNCTION("IF($G250="""","""",IFERROR(query({proventos!$B$5:$Q310},""Select sum(Col16) where Col1 = '""&amp;$G250&amp;""' and Col2 &gt; date '""&amp;TEXT(DATE(W$8,1,1),""yyyy-mm-dd"")&amp;""' and Col2 &lt;= date '""&amp;TEXT(DATE(W$8,12,31),""yyyy-mm-dd"")&amp;""' label sum(Col16) ''"",0)))"),"")</f>
        <v/>
      </c>
      <c r="X250" s="630" t="str">
        <f>IFERROR(__xludf.DUMMYFUNCTION("IF($G250="""","""",IFERROR(query({proventos!$B$5:$Q310},""Select sum(Col16) where Col1 = '""&amp;$G250&amp;""' and Col2 &gt; date '""&amp;TEXT(DATE(X$8,1,1),""yyyy-mm-dd"")&amp;""' and Col2 &lt;= date '""&amp;TEXT(DATE(X$8,12,31),""yyyy-mm-dd"")&amp;""' label sum(Col16) ''"",0)))"),"")</f>
        <v/>
      </c>
      <c r="Y250" s="630" t="str">
        <f>IFERROR(__xludf.DUMMYFUNCTION("IF($G250="""","""",IFERROR(query({proventos!$B$5:$Q310},""Select sum(Col16) where Col1 = '""&amp;$G250&amp;""' and Col2 &gt; date '""&amp;TEXT(DATE(Y$8,1,1),""yyyy-mm-dd"")&amp;""' and Col2 &lt;= date '""&amp;TEXT(DATE(Y$8,12,31),""yyyy-mm-dd"")&amp;""' label sum(Col16) ''"",0)))"),"")</f>
        <v/>
      </c>
      <c r="Z250" s="630" t="str">
        <f>IFERROR(__xludf.DUMMYFUNCTION("IF($G250="""","""",IFERROR(query({proventos!$B$5:$Q310},""Select sum(Col16) where Col1 = '""&amp;$G250&amp;""' and Col2 &gt; date '""&amp;TEXT(DATE(Z$8,1,1),""yyyy-mm-dd"")&amp;""' and Col2 &lt;= date '""&amp;TEXT(DATE(Z$8,12,31),""yyyy-mm-dd"")&amp;""' label sum(Col16) ''"",0)))"),"")</f>
        <v/>
      </c>
      <c r="AA250" s="587"/>
      <c r="AB250" s="578" t="s">
        <v>123</v>
      </c>
      <c r="AC250" s="601"/>
      <c r="AD250" s="636"/>
      <c r="AE250" s="636"/>
    </row>
    <row r="251">
      <c r="A251" s="576"/>
      <c r="B251" s="620"/>
      <c r="C251" s="637"/>
      <c r="D251" s="633"/>
      <c r="E251" s="633"/>
      <c r="F251" s="624">
        <v>241.0</v>
      </c>
      <c r="G251" s="635"/>
      <c r="H251" s="626" t="str">
        <f>if(G251="","",IFERROR(VLOOKUP(G251,AtivosDados,MATCH("provento_avg",portfolio.!$A$3:AE$3,0),FALSE),""))</f>
        <v/>
      </c>
      <c r="I251" s="627" t="s">
        <v>123</v>
      </c>
      <c r="J251" s="628" t="str">
        <f>IFERROR(__xludf.DUMMYFUNCTION("IF($G251="""","""",IFERROR(query({proventos!$B$5:$Q310},""Select sum(Col16) where Col1 = '""&amp;$G251&amp;""' and Col2 &gt; date '""&amp;TEXT(K$8,""yyyy-mm-dd"")&amp;""' and Col2 &lt;= date '""&amp;TEXT(J$8,""yyyy-mm-dd"")&amp;""' label sum(Col16) ''"",0)))"),"")</f>
        <v/>
      </c>
      <c r="K251" s="628" t="str">
        <f>IFERROR(__xludf.DUMMYFUNCTION("IF($G251="""","""",IFERROR(query({proventos!$B$5:$Q310},""Select sum(Col16) where Col1 = '""&amp;$G251&amp;""' and Col2 &gt; date '""&amp;TEXT(L$8,""yyyy-mm-dd"")&amp;""' and Col2 &lt;= date '""&amp;TEXT(K$8,""yyyy-mm-dd"")&amp;""' label sum(Col16) ''"",0)))"),"")</f>
        <v/>
      </c>
      <c r="L251" s="628" t="str">
        <f>IFERROR(__xludf.DUMMYFUNCTION("IF($G251="""","""",IFERROR(query({proventos!$B$5:$Q310},""Select sum(Col16) where Col1 = '""&amp;$G251&amp;""' and Col2 &gt; date '""&amp;TEXT(M$8,""yyyy-mm-dd"")&amp;""' and Col2 &lt;= date '""&amp;TEXT(L$8,""yyyy-mm-dd"")&amp;""' label sum(Col16) ''"",0)))"),"")</f>
        <v/>
      </c>
      <c r="M251" s="628" t="str">
        <f>IFERROR(__xludf.DUMMYFUNCTION("IF($G251="""","""",IFERROR(query({proventos!$B$5:$Q310},""Select sum(Col16) where Col1 = '""&amp;$G251&amp;""' and Col2 &gt; date '""&amp;TEXT(N$8,""yyyy-mm-dd"")&amp;""' and Col2 &lt;= date '""&amp;TEXT(M$8,""yyyy-mm-dd"")&amp;""' label sum(Col16) ''"",0)))"),"")</f>
        <v/>
      </c>
      <c r="N251" s="628" t="str">
        <f>IFERROR(__xludf.DUMMYFUNCTION("IF($G251="""","""",IFERROR(query({proventos!$B$5:$Q310},""Select sum(Col16) where Col1 = '""&amp;$G251&amp;""' and Col2 &gt; date '""&amp;TEXT(O$8,""yyyy-mm-dd"")&amp;""' and Col2 &lt;= date '""&amp;TEXT(N$8,""yyyy-mm-dd"")&amp;""' label sum(Col16) ''"",0)))"),"")</f>
        <v/>
      </c>
      <c r="O251" s="628" t="str">
        <f>IFERROR(__xludf.DUMMYFUNCTION("IF($G251="""","""",IFERROR(query({proventos!$B$5:$Q310},""Select sum(Col16) where Col1 = '""&amp;$G251&amp;""' and Col2 &gt; date '""&amp;TEXT(P$8,""yyyy-mm-dd"")&amp;""' and Col2 &lt;= date '""&amp;TEXT(O$8,""yyyy-mm-dd"")&amp;""' label sum(Col16) ''"",0)))"),"")</f>
        <v/>
      </c>
      <c r="P251" s="628" t="str">
        <f>IFERROR(__xludf.DUMMYFUNCTION("IF($G251="""","""",IFERROR(query({proventos!$B$5:$Q310},""Select sum(Col16) where Col1 = '""&amp;$G251&amp;""' and Col2 &gt; date '""&amp;TEXT(Q$8,""yyyy-mm-dd"")&amp;""' and Col2 &lt;= date '""&amp;TEXT(P$8,""yyyy-mm-dd"")&amp;""' label sum(Col16) ''"",0)))"),"")</f>
        <v/>
      </c>
      <c r="Q251" s="628" t="str">
        <f>IFERROR(__xludf.DUMMYFUNCTION("IF($G251="""","""",IFERROR(query({proventos!$B$5:$Q310},""Select sum(Col16) where Col1 = '""&amp;$G251&amp;""' and Col2 &gt; date '""&amp;TEXT(R$8,""yyyy-mm-dd"")&amp;""' and Col2 &lt;= date '""&amp;TEXT(Q$8,""yyyy-mm-dd"")&amp;""' label sum(Col16) ''"",0)))"),"")</f>
        <v/>
      </c>
      <c r="R251" s="628" t="str">
        <f>IFERROR(__xludf.DUMMYFUNCTION("IF($G251="""","""",IFERROR(query({proventos!$B$5:$Q310},""Select sum(Col16) where Col1 = '""&amp;$G251&amp;""' and Col2 &gt; date '""&amp;TEXT(S$8,""yyyy-mm-dd"")&amp;""' and Col2 &lt;= date '""&amp;TEXT(R$8,""yyyy-mm-dd"")&amp;""' label sum(Col16) ''"",0)))"),"")</f>
        <v/>
      </c>
      <c r="S251" s="628" t="str">
        <f>IFERROR(__xludf.DUMMYFUNCTION("IF($G251="""","""",IFERROR(query({proventos!$B$5:$Q310},""Select sum(Col16) where Col1 = '""&amp;$G251&amp;""' and Col2 &gt; date '""&amp;TEXT(T$8,""yyyy-mm-dd"")&amp;""' and Col2 &lt;= date '""&amp;TEXT(S$8,""yyyy-mm-dd"")&amp;""' label sum(Col16) ''"",0)))"),"")</f>
        <v/>
      </c>
      <c r="T251" s="628" t="str">
        <f>IFERROR(__xludf.DUMMYFUNCTION("IF($G251="""","""",IFERROR(query({proventos!$B$5:$Q310},""Select sum(Col16) where Col1 = '""&amp;$G251&amp;""' and Col2 &gt; date '""&amp;TEXT(U$8,""yyyy-mm-dd"")&amp;""' and Col2 &lt;= date '""&amp;TEXT(T$8,""yyyy-mm-dd"")&amp;""' label sum(Col16) ''"",0)))"),"")</f>
        <v/>
      </c>
      <c r="U251" s="629" t="str">
        <f>IFERROR(__xludf.DUMMYFUNCTION("IF($G251="""","""",IFERROR(query({proventos!$B$5:$Q310},""Select sum(Col16) where Col1 = '""&amp;$G251&amp;""' and Col2 &gt; date '""&amp;TEXT(EOMONTH(TODAY(),-13),""yyyy-mm-dd"")&amp;""' and Col2 &lt;= date '""&amp;TEXT(U$8,""yyyy-mm-dd"")&amp;""' label sum(Col16) ''"",0)))"),"")</f>
        <v/>
      </c>
      <c r="V251" s="630" t="str">
        <f>IFERROR(__xludf.DUMMYFUNCTION("IF($G251="""","""",IFERROR(query({proventos!$B$5:$Q310},""Select sum(Col16) where Col1 = '""&amp;$G251&amp;""' and Col2 &gt; date '""&amp;TEXT(DATE(V$8,1,1),""yyyy-mm-dd"")&amp;""' and Col2 &lt;= date '""&amp;TEXT(DATE(V$8,12,31),""yyyy-mm-dd"")&amp;""' label sum(Col16) ''"",0)))"),"")</f>
        <v/>
      </c>
      <c r="W251" s="630" t="str">
        <f>IFERROR(__xludf.DUMMYFUNCTION("IF($G251="""","""",IFERROR(query({proventos!$B$5:$Q310},""Select sum(Col16) where Col1 = '""&amp;$G251&amp;""' and Col2 &gt; date '""&amp;TEXT(DATE(W$8,1,1),""yyyy-mm-dd"")&amp;""' and Col2 &lt;= date '""&amp;TEXT(DATE(W$8,12,31),""yyyy-mm-dd"")&amp;""' label sum(Col16) ''"",0)))"),"")</f>
        <v/>
      </c>
      <c r="X251" s="630" t="str">
        <f>IFERROR(__xludf.DUMMYFUNCTION("IF($G251="""","""",IFERROR(query({proventos!$B$5:$Q310},""Select sum(Col16) where Col1 = '""&amp;$G251&amp;""' and Col2 &gt; date '""&amp;TEXT(DATE(X$8,1,1),""yyyy-mm-dd"")&amp;""' and Col2 &lt;= date '""&amp;TEXT(DATE(X$8,12,31),""yyyy-mm-dd"")&amp;""' label sum(Col16) ''"",0)))"),"")</f>
        <v/>
      </c>
      <c r="Y251" s="630" t="str">
        <f>IFERROR(__xludf.DUMMYFUNCTION("IF($G251="""","""",IFERROR(query({proventos!$B$5:$Q310},""Select sum(Col16) where Col1 = '""&amp;$G251&amp;""' and Col2 &gt; date '""&amp;TEXT(DATE(Y$8,1,1),""yyyy-mm-dd"")&amp;""' and Col2 &lt;= date '""&amp;TEXT(DATE(Y$8,12,31),""yyyy-mm-dd"")&amp;""' label sum(Col16) ''"",0)))"),"")</f>
        <v/>
      </c>
      <c r="Z251" s="630" t="str">
        <f>IFERROR(__xludf.DUMMYFUNCTION("IF($G251="""","""",IFERROR(query({proventos!$B$5:$Q310},""Select sum(Col16) where Col1 = '""&amp;$G251&amp;""' and Col2 &gt; date '""&amp;TEXT(DATE(Z$8,1,1),""yyyy-mm-dd"")&amp;""' and Col2 &lt;= date '""&amp;TEXT(DATE(Z$8,12,31),""yyyy-mm-dd"")&amp;""' label sum(Col16) ''"",0)))"),"")</f>
        <v/>
      </c>
      <c r="AA251" s="587"/>
      <c r="AB251" s="578" t="s">
        <v>123</v>
      </c>
      <c r="AC251" s="601"/>
      <c r="AD251" s="636"/>
      <c r="AE251" s="636"/>
    </row>
    <row r="252">
      <c r="A252" s="576"/>
      <c r="B252" s="620"/>
      <c r="C252" s="637"/>
      <c r="D252" s="633"/>
      <c r="E252" s="633"/>
      <c r="F252" s="624">
        <v>242.0</v>
      </c>
      <c r="G252" s="635"/>
      <c r="H252" s="626" t="str">
        <f>if(G252="","",IFERROR(VLOOKUP(G252,AtivosDados,MATCH("provento_avg",portfolio.!$A$3:AE$3,0),FALSE),""))</f>
        <v/>
      </c>
      <c r="I252" s="627" t="s">
        <v>123</v>
      </c>
      <c r="J252" s="628" t="str">
        <f>IFERROR(__xludf.DUMMYFUNCTION("IF($G252="""","""",IFERROR(query({proventos!$B$5:$Q310},""Select sum(Col16) where Col1 = '""&amp;$G252&amp;""' and Col2 &gt; date '""&amp;TEXT(K$8,""yyyy-mm-dd"")&amp;""' and Col2 &lt;= date '""&amp;TEXT(J$8,""yyyy-mm-dd"")&amp;""' label sum(Col16) ''"",0)))"),"")</f>
        <v/>
      </c>
      <c r="K252" s="628" t="str">
        <f>IFERROR(__xludf.DUMMYFUNCTION("IF($G252="""","""",IFERROR(query({proventos!$B$5:$Q310},""Select sum(Col16) where Col1 = '""&amp;$G252&amp;""' and Col2 &gt; date '""&amp;TEXT(L$8,""yyyy-mm-dd"")&amp;""' and Col2 &lt;= date '""&amp;TEXT(K$8,""yyyy-mm-dd"")&amp;""' label sum(Col16) ''"",0)))"),"")</f>
        <v/>
      </c>
      <c r="L252" s="628" t="str">
        <f>IFERROR(__xludf.DUMMYFUNCTION("IF($G252="""","""",IFERROR(query({proventos!$B$5:$Q310},""Select sum(Col16) where Col1 = '""&amp;$G252&amp;""' and Col2 &gt; date '""&amp;TEXT(M$8,""yyyy-mm-dd"")&amp;""' and Col2 &lt;= date '""&amp;TEXT(L$8,""yyyy-mm-dd"")&amp;""' label sum(Col16) ''"",0)))"),"")</f>
        <v/>
      </c>
      <c r="M252" s="628" t="str">
        <f>IFERROR(__xludf.DUMMYFUNCTION("IF($G252="""","""",IFERROR(query({proventos!$B$5:$Q310},""Select sum(Col16) where Col1 = '""&amp;$G252&amp;""' and Col2 &gt; date '""&amp;TEXT(N$8,""yyyy-mm-dd"")&amp;""' and Col2 &lt;= date '""&amp;TEXT(M$8,""yyyy-mm-dd"")&amp;""' label sum(Col16) ''"",0)))"),"")</f>
        <v/>
      </c>
      <c r="N252" s="628" t="str">
        <f>IFERROR(__xludf.DUMMYFUNCTION("IF($G252="""","""",IFERROR(query({proventos!$B$5:$Q310},""Select sum(Col16) where Col1 = '""&amp;$G252&amp;""' and Col2 &gt; date '""&amp;TEXT(O$8,""yyyy-mm-dd"")&amp;""' and Col2 &lt;= date '""&amp;TEXT(N$8,""yyyy-mm-dd"")&amp;""' label sum(Col16) ''"",0)))"),"")</f>
        <v/>
      </c>
      <c r="O252" s="628" t="str">
        <f>IFERROR(__xludf.DUMMYFUNCTION("IF($G252="""","""",IFERROR(query({proventos!$B$5:$Q310},""Select sum(Col16) where Col1 = '""&amp;$G252&amp;""' and Col2 &gt; date '""&amp;TEXT(P$8,""yyyy-mm-dd"")&amp;""' and Col2 &lt;= date '""&amp;TEXT(O$8,""yyyy-mm-dd"")&amp;""' label sum(Col16) ''"",0)))"),"")</f>
        <v/>
      </c>
      <c r="P252" s="628" t="str">
        <f>IFERROR(__xludf.DUMMYFUNCTION("IF($G252="""","""",IFERROR(query({proventos!$B$5:$Q310},""Select sum(Col16) where Col1 = '""&amp;$G252&amp;""' and Col2 &gt; date '""&amp;TEXT(Q$8,""yyyy-mm-dd"")&amp;""' and Col2 &lt;= date '""&amp;TEXT(P$8,""yyyy-mm-dd"")&amp;""' label sum(Col16) ''"",0)))"),"")</f>
        <v/>
      </c>
      <c r="Q252" s="628" t="str">
        <f>IFERROR(__xludf.DUMMYFUNCTION("IF($G252="""","""",IFERROR(query({proventos!$B$5:$Q310},""Select sum(Col16) where Col1 = '""&amp;$G252&amp;""' and Col2 &gt; date '""&amp;TEXT(R$8,""yyyy-mm-dd"")&amp;""' and Col2 &lt;= date '""&amp;TEXT(Q$8,""yyyy-mm-dd"")&amp;""' label sum(Col16) ''"",0)))"),"")</f>
        <v/>
      </c>
      <c r="R252" s="628" t="str">
        <f>IFERROR(__xludf.DUMMYFUNCTION("IF($G252="""","""",IFERROR(query({proventos!$B$5:$Q310},""Select sum(Col16) where Col1 = '""&amp;$G252&amp;""' and Col2 &gt; date '""&amp;TEXT(S$8,""yyyy-mm-dd"")&amp;""' and Col2 &lt;= date '""&amp;TEXT(R$8,""yyyy-mm-dd"")&amp;""' label sum(Col16) ''"",0)))"),"")</f>
        <v/>
      </c>
      <c r="S252" s="628" t="str">
        <f>IFERROR(__xludf.DUMMYFUNCTION("IF($G252="""","""",IFERROR(query({proventos!$B$5:$Q310},""Select sum(Col16) where Col1 = '""&amp;$G252&amp;""' and Col2 &gt; date '""&amp;TEXT(T$8,""yyyy-mm-dd"")&amp;""' and Col2 &lt;= date '""&amp;TEXT(S$8,""yyyy-mm-dd"")&amp;""' label sum(Col16) ''"",0)))"),"")</f>
        <v/>
      </c>
      <c r="T252" s="628" t="str">
        <f>IFERROR(__xludf.DUMMYFUNCTION("IF($G252="""","""",IFERROR(query({proventos!$B$5:$Q310},""Select sum(Col16) where Col1 = '""&amp;$G252&amp;""' and Col2 &gt; date '""&amp;TEXT(U$8,""yyyy-mm-dd"")&amp;""' and Col2 &lt;= date '""&amp;TEXT(T$8,""yyyy-mm-dd"")&amp;""' label sum(Col16) ''"",0)))"),"")</f>
        <v/>
      </c>
      <c r="U252" s="629" t="str">
        <f>IFERROR(__xludf.DUMMYFUNCTION("IF($G252="""","""",IFERROR(query({proventos!$B$5:$Q310},""Select sum(Col16) where Col1 = '""&amp;$G252&amp;""' and Col2 &gt; date '""&amp;TEXT(EOMONTH(TODAY(),-13),""yyyy-mm-dd"")&amp;""' and Col2 &lt;= date '""&amp;TEXT(U$8,""yyyy-mm-dd"")&amp;""' label sum(Col16) ''"",0)))"),"")</f>
        <v/>
      </c>
      <c r="V252" s="630" t="str">
        <f>IFERROR(__xludf.DUMMYFUNCTION("IF($G252="""","""",IFERROR(query({proventos!$B$5:$Q310},""Select sum(Col16) where Col1 = '""&amp;$G252&amp;""' and Col2 &gt; date '""&amp;TEXT(DATE(V$8,1,1),""yyyy-mm-dd"")&amp;""' and Col2 &lt;= date '""&amp;TEXT(DATE(V$8,12,31),""yyyy-mm-dd"")&amp;""' label sum(Col16) ''"",0)))"),"")</f>
        <v/>
      </c>
      <c r="W252" s="630" t="str">
        <f>IFERROR(__xludf.DUMMYFUNCTION("IF($G252="""","""",IFERROR(query({proventos!$B$5:$Q310},""Select sum(Col16) where Col1 = '""&amp;$G252&amp;""' and Col2 &gt; date '""&amp;TEXT(DATE(W$8,1,1),""yyyy-mm-dd"")&amp;""' and Col2 &lt;= date '""&amp;TEXT(DATE(W$8,12,31),""yyyy-mm-dd"")&amp;""' label sum(Col16) ''"",0)))"),"")</f>
        <v/>
      </c>
      <c r="X252" s="630" t="str">
        <f>IFERROR(__xludf.DUMMYFUNCTION("IF($G252="""","""",IFERROR(query({proventos!$B$5:$Q310},""Select sum(Col16) where Col1 = '""&amp;$G252&amp;""' and Col2 &gt; date '""&amp;TEXT(DATE(X$8,1,1),""yyyy-mm-dd"")&amp;""' and Col2 &lt;= date '""&amp;TEXT(DATE(X$8,12,31),""yyyy-mm-dd"")&amp;""' label sum(Col16) ''"",0)))"),"")</f>
        <v/>
      </c>
      <c r="Y252" s="630" t="str">
        <f>IFERROR(__xludf.DUMMYFUNCTION("IF($G252="""","""",IFERROR(query({proventos!$B$5:$Q310},""Select sum(Col16) where Col1 = '""&amp;$G252&amp;""' and Col2 &gt; date '""&amp;TEXT(DATE(Y$8,1,1),""yyyy-mm-dd"")&amp;""' and Col2 &lt;= date '""&amp;TEXT(DATE(Y$8,12,31),""yyyy-mm-dd"")&amp;""' label sum(Col16) ''"",0)))"),"")</f>
        <v/>
      </c>
      <c r="Z252" s="630" t="str">
        <f>IFERROR(__xludf.DUMMYFUNCTION("IF($G252="""","""",IFERROR(query({proventos!$B$5:$Q310},""Select sum(Col16) where Col1 = '""&amp;$G252&amp;""' and Col2 &gt; date '""&amp;TEXT(DATE(Z$8,1,1),""yyyy-mm-dd"")&amp;""' and Col2 &lt;= date '""&amp;TEXT(DATE(Z$8,12,31),""yyyy-mm-dd"")&amp;""' label sum(Col16) ''"",0)))"),"")</f>
        <v/>
      </c>
      <c r="AA252" s="587"/>
      <c r="AB252" s="578" t="s">
        <v>123</v>
      </c>
      <c r="AC252" s="601"/>
      <c r="AD252" s="636"/>
      <c r="AE252" s="636"/>
    </row>
    <row r="253">
      <c r="A253" s="576"/>
      <c r="B253" s="620"/>
      <c r="C253" s="637"/>
      <c r="D253" s="633"/>
      <c r="E253" s="633"/>
      <c r="F253" s="624">
        <v>243.0</v>
      </c>
      <c r="G253" s="635"/>
      <c r="H253" s="626" t="str">
        <f>if(G253="","",IFERROR(VLOOKUP(G253,AtivosDados,MATCH("provento_avg",portfolio.!$A$3:AE$3,0),FALSE),""))</f>
        <v/>
      </c>
      <c r="I253" s="627" t="s">
        <v>123</v>
      </c>
      <c r="J253" s="628" t="str">
        <f>IFERROR(__xludf.DUMMYFUNCTION("IF($G253="""","""",IFERROR(query({proventos!$B$5:$Q310},""Select sum(Col16) where Col1 = '""&amp;$G253&amp;""' and Col2 &gt; date '""&amp;TEXT(K$8,""yyyy-mm-dd"")&amp;""' and Col2 &lt;= date '""&amp;TEXT(J$8,""yyyy-mm-dd"")&amp;""' label sum(Col16) ''"",0)))"),"")</f>
        <v/>
      </c>
      <c r="K253" s="628" t="str">
        <f>IFERROR(__xludf.DUMMYFUNCTION("IF($G253="""","""",IFERROR(query({proventos!$B$5:$Q310},""Select sum(Col16) where Col1 = '""&amp;$G253&amp;""' and Col2 &gt; date '""&amp;TEXT(L$8,""yyyy-mm-dd"")&amp;""' and Col2 &lt;= date '""&amp;TEXT(K$8,""yyyy-mm-dd"")&amp;""' label sum(Col16) ''"",0)))"),"")</f>
        <v/>
      </c>
      <c r="L253" s="628" t="str">
        <f>IFERROR(__xludf.DUMMYFUNCTION("IF($G253="""","""",IFERROR(query({proventos!$B$5:$Q310},""Select sum(Col16) where Col1 = '""&amp;$G253&amp;""' and Col2 &gt; date '""&amp;TEXT(M$8,""yyyy-mm-dd"")&amp;""' and Col2 &lt;= date '""&amp;TEXT(L$8,""yyyy-mm-dd"")&amp;""' label sum(Col16) ''"",0)))"),"")</f>
        <v/>
      </c>
      <c r="M253" s="628" t="str">
        <f>IFERROR(__xludf.DUMMYFUNCTION("IF($G253="""","""",IFERROR(query({proventos!$B$5:$Q310},""Select sum(Col16) where Col1 = '""&amp;$G253&amp;""' and Col2 &gt; date '""&amp;TEXT(N$8,""yyyy-mm-dd"")&amp;""' and Col2 &lt;= date '""&amp;TEXT(M$8,""yyyy-mm-dd"")&amp;""' label sum(Col16) ''"",0)))"),"")</f>
        <v/>
      </c>
      <c r="N253" s="628" t="str">
        <f>IFERROR(__xludf.DUMMYFUNCTION("IF($G253="""","""",IFERROR(query({proventos!$B$5:$Q310},""Select sum(Col16) where Col1 = '""&amp;$G253&amp;""' and Col2 &gt; date '""&amp;TEXT(O$8,""yyyy-mm-dd"")&amp;""' and Col2 &lt;= date '""&amp;TEXT(N$8,""yyyy-mm-dd"")&amp;""' label sum(Col16) ''"",0)))"),"")</f>
        <v/>
      </c>
      <c r="O253" s="628" t="str">
        <f>IFERROR(__xludf.DUMMYFUNCTION("IF($G253="""","""",IFERROR(query({proventos!$B$5:$Q310},""Select sum(Col16) where Col1 = '""&amp;$G253&amp;""' and Col2 &gt; date '""&amp;TEXT(P$8,""yyyy-mm-dd"")&amp;""' and Col2 &lt;= date '""&amp;TEXT(O$8,""yyyy-mm-dd"")&amp;""' label sum(Col16) ''"",0)))"),"")</f>
        <v/>
      </c>
      <c r="P253" s="628" t="str">
        <f>IFERROR(__xludf.DUMMYFUNCTION("IF($G253="""","""",IFERROR(query({proventos!$B$5:$Q310},""Select sum(Col16) where Col1 = '""&amp;$G253&amp;""' and Col2 &gt; date '""&amp;TEXT(Q$8,""yyyy-mm-dd"")&amp;""' and Col2 &lt;= date '""&amp;TEXT(P$8,""yyyy-mm-dd"")&amp;""' label sum(Col16) ''"",0)))"),"")</f>
        <v/>
      </c>
      <c r="Q253" s="628" t="str">
        <f>IFERROR(__xludf.DUMMYFUNCTION("IF($G253="""","""",IFERROR(query({proventos!$B$5:$Q310},""Select sum(Col16) where Col1 = '""&amp;$G253&amp;""' and Col2 &gt; date '""&amp;TEXT(R$8,""yyyy-mm-dd"")&amp;""' and Col2 &lt;= date '""&amp;TEXT(Q$8,""yyyy-mm-dd"")&amp;""' label sum(Col16) ''"",0)))"),"")</f>
        <v/>
      </c>
      <c r="R253" s="628" t="str">
        <f>IFERROR(__xludf.DUMMYFUNCTION("IF($G253="""","""",IFERROR(query({proventos!$B$5:$Q310},""Select sum(Col16) where Col1 = '""&amp;$G253&amp;""' and Col2 &gt; date '""&amp;TEXT(S$8,""yyyy-mm-dd"")&amp;""' and Col2 &lt;= date '""&amp;TEXT(R$8,""yyyy-mm-dd"")&amp;""' label sum(Col16) ''"",0)))"),"")</f>
        <v/>
      </c>
      <c r="S253" s="628" t="str">
        <f>IFERROR(__xludf.DUMMYFUNCTION("IF($G253="""","""",IFERROR(query({proventos!$B$5:$Q310},""Select sum(Col16) where Col1 = '""&amp;$G253&amp;""' and Col2 &gt; date '""&amp;TEXT(T$8,""yyyy-mm-dd"")&amp;""' and Col2 &lt;= date '""&amp;TEXT(S$8,""yyyy-mm-dd"")&amp;""' label sum(Col16) ''"",0)))"),"")</f>
        <v/>
      </c>
      <c r="T253" s="628" t="str">
        <f>IFERROR(__xludf.DUMMYFUNCTION("IF($G253="""","""",IFERROR(query({proventos!$B$5:$Q310},""Select sum(Col16) where Col1 = '""&amp;$G253&amp;""' and Col2 &gt; date '""&amp;TEXT(U$8,""yyyy-mm-dd"")&amp;""' and Col2 &lt;= date '""&amp;TEXT(T$8,""yyyy-mm-dd"")&amp;""' label sum(Col16) ''"",0)))"),"")</f>
        <v/>
      </c>
      <c r="U253" s="629" t="str">
        <f>IFERROR(__xludf.DUMMYFUNCTION("IF($G253="""","""",IFERROR(query({proventos!$B$5:$Q310},""Select sum(Col16) where Col1 = '""&amp;$G253&amp;""' and Col2 &gt; date '""&amp;TEXT(EOMONTH(TODAY(),-13),""yyyy-mm-dd"")&amp;""' and Col2 &lt;= date '""&amp;TEXT(U$8,""yyyy-mm-dd"")&amp;""' label sum(Col16) ''"",0)))"),"")</f>
        <v/>
      </c>
      <c r="V253" s="630" t="str">
        <f>IFERROR(__xludf.DUMMYFUNCTION("IF($G253="""","""",IFERROR(query({proventos!$B$5:$Q310},""Select sum(Col16) where Col1 = '""&amp;$G253&amp;""' and Col2 &gt; date '""&amp;TEXT(DATE(V$8,1,1),""yyyy-mm-dd"")&amp;""' and Col2 &lt;= date '""&amp;TEXT(DATE(V$8,12,31),""yyyy-mm-dd"")&amp;""' label sum(Col16) ''"",0)))"),"")</f>
        <v/>
      </c>
      <c r="W253" s="630" t="str">
        <f>IFERROR(__xludf.DUMMYFUNCTION("IF($G253="""","""",IFERROR(query({proventos!$B$5:$Q310},""Select sum(Col16) where Col1 = '""&amp;$G253&amp;""' and Col2 &gt; date '""&amp;TEXT(DATE(W$8,1,1),""yyyy-mm-dd"")&amp;""' and Col2 &lt;= date '""&amp;TEXT(DATE(W$8,12,31),""yyyy-mm-dd"")&amp;""' label sum(Col16) ''"",0)))"),"")</f>
        <v/>
      </c>
      <c r="X253" s="630" t="str">
        <f>IFERROR(__xludf.DUMMYFUNCTION("IF($G253="""","""",IFERROR(query({proventos!$B$5:$Q310},""Select sum(Col16) where Col1 = '""&amp;$G253&amp;""' and Col2 &gt; date '""&amp;TEXT(DATE(X$8,1,1),""yyyy-mm-dd"")&amp;""' and Col2 &lt;= date '""&amp;TEXT(DATE(X$8,12,31),""yyyy-mm-dd"")&amp;""' label sum(Col16) ''"",0)))"),"")</f>
        <v/>
      </c>
      <c r="Y253" s="630" t="str">
        <f>IFERROR(__xludf.DUMMYFUNCTION("IF($G253="""","""",IFERROR(query({proventos!$B$5:$Q310},""Select sum(Col16) where Col1 = '""&amp;$G253&amp;""' and Col2 &gt; date '""&amp;TEXT(DATE(Y$8,1,1),""yyyy-mm-dd"")&amp;""' and Col2 &lt;= date '""&amp;TEXT(DATE(Y$8,12,31),""yyyy-mm-dd"")&amp;""' label sum(Col16) ''"",0)))"),"")</f>
        <v/>
      </c>
      <c r="Z253" s="630" t="str">
        <f>IFERROR(__xludf.DUMMYFUNCTION("IF($G253="""","""",IFERROR(query({proventos!$B$5:$Q310},""Select sum(Col16) where Col1 = '""&amp;$G253&amp;""' and Col2 &gt; date '""&amp;TEXT(DATE(Z$8,1,1),""yyyy-mm-dd"")&amp;""' and Col2 &lt;= date '""&amp;TEXT(DATE(Z$8,12,31),""yyyy-mm-dd"")&amp;""' label sum(Col16) ''"",0)))"),"")</f>
        <v/>
      </c>
      <c r="AA253" s="587"/>
      <c r="AB253" s="578" t="s">
        <v>123</v>
      </c>
      <c r="AC253" s="601"/>
      <c r="AD253" s="636"/>
      <c r="AE253" s="636"/>
    </row>
    <row r="254">
      <c r="A254" s="576"/>
      <c r="B254" s="620"/>
      <c r="C254" s="637"/>
      <c r="D254" s="633"/>
      <c r="E254" s="633"/>
      <c r="F254" s="624">
        <v>244.0</v>
      </c>
      <c r="G254" s="635"/>
      <c r="H254" s="626" t="str">
        <f>if(G254="","",IFERROR(VLOOKUP(G254,AtivosDados,MATCH("provento_avg",portfolio.!$A$3:AE$3,0),FALSE),""))</f>
        <v/>
      </c>
      <c r="I254" s="627" t="s">
        <v>123</v>
      </c>
      <c r="J254" s="628" t="str">
        <f>IFERROR(__xludf.DUMMYFUNCTION("IF($G254="""","""",IFERROR(query({proventos!$B$5:$Q310},""Select sum(Col16) where Col1 = '""&amp;$G254&amp;""' and Col2 &gt; date '""&amp;TEXT(K$8,""yyyy-mm-dd"")&amp;""' and Col2 &lt;= date '""&amp;TEXT(J$8,""yyyy-mm-dd"")&amp;""' label sum(Col16) ''"",0)))"),"")</f>
        <v/>
      </c>
      <c r="K254" s="628" t="str">
        <f>IFERROR(__xludf.DUMMYFUNCTION("IF($G254="""","""",IFERROR(query({proventos!$B$5:$Q310},""Select sum(Col16) where Col1 = '""&amp;$G254&amp;""' and Col2 &gt; date '""&amp;TEXT(L$8,""yyyy-mm-dd"")&amp;""' and Col2 &lt;= date '""&amp;TEXT(K$8,""yyyy-mm-dd"")&amp;""' label sum(Col16) ''"",0)))"),"")</f>
        <v/>
      </c>
      <c r="L254" s="628" t="str">
        <f>IFERROR(__xludf.DUMMYFUNCTION("IF($G254="""","""",IFERROR(query({proventos!$B$5:$Q310},""Select sum(Col16) where Col1 = '""&amp;$G254&amp;""' and Col2 &gt; date '""&amp;TEXT(M$8,""yyyy-mm-dd"")&amp;""' and Col2 &lt;= date '""&amp;TEXT(L$8,""yyyy-mm-dd"")&amp;""' label sum(Col16) ''"",0)))"),"")</f>
        <v/>
      </c>
      <c r="M254" s="628" t="str">
        <f>IFERROR(__xludf.DUMMYFUNCTION("IF($G254="""","""",IFERROR(query({proventos!$B$5:$Q310},""Select sum(Col16) where Col1 = '""&amp;$G254&amp;""' and Col2 &gt; date '""&amp;TEXT(N$8,""yyyy-mm-dd"")&amp;""' and Col2 &lt;= date '""&amp;TEXT(M$8,""yyyy-mm-dd"")&amp;""' label sum(Col16) ''"",0)))"),"")</f>
        <v/>
      </c>
      <c r="N254" s="628" t="str">
        <f>IFERROR(__xludf.DUMMYFUNCTION("IF($G254="""","""",IFERROR(query({proventos!$B$5:$Q310},""Select sum(Col16) where Col1 = '""&amp;$G254&amp;""' and Col2 &gt; date '""&amp;TEXT(O$8,""yyyy-mm-dd"")&amp;""' and Col2 &lt;= date '""&amp;TEXT(N$8,""yyyy-mm-dd"")&amp;""' label sum(Col16) ''"",0)))"),"")</f>
        <v/>
      </c>
      <c r="O254" s="628" t="str">
        <f>IFERROR(__xludf.DUMMYFUNCTION("IF($G254="""","""",IFERROR(query({proventos!$B$5:$Q310},""Select sum(Col16) where Col1 = '""&amp;$G254&amp;""' and Col2 &gt; date '""&amp;TEXT(P$8,""yyyy-mm-dd"")&amp;""' and Col2 &lt;= date '""&amp;TEXT(O$8,""yyyy-mm-dd"")&amp;""' label sum(Col16) ''"",0)))"),"")</f>
        <v/>
      </c>
      <c r="P254" s="628" t="str">
        <f>IFERROR(__xludf.DUMMYFUNCTION("IF($G254="""","""",IFERROR(query({proventos!$B$5:$Q310},""Select sum(Col16) where Col1 = '""&amp;$G254&amp;""' and Col2 &gt; date '""&amp;TEXT(Q$8,""yyyy-mm-dd"")&amp;""' and Col2 &lt;= date '""&amp;TEXT(P$8,""yyyy-mm-dd"")&amp;""' label sum(Col16) ''"",0)))"),"")</f>
        <v/>
      </c>
      <c r="Q254" s="628" t="str">
        <f>IFERROR(__xludf.DUMMYFUNCTION("IF($G254="""","""",IFERROR(query({proventos!$B$5:$Q310},""Select sum(Col16) where Col1 = '""&amp;$G254&amp;""' and Col2 &gt; date '""&amp;TEXT(R$8,""yyyy-mm-dd"")&amp;""' and Col2 &lt;= date '""&amp;TEXT(Q$8,""yyyy-mm-dd"")&amp;""' label sum(Col16) ''"",0)))"),"")</f>
        <v/>
      </c>
      <c r="R254" s="628" t="str">
        <f>IFERROR(__xludf.DUMMYFUNCTION("IF($G254="""","""",IFERROR(query({proventos!$B$5:$Q310},""Select sum(Col16) where Col1 = '""&amp;$G254&amp;""' and Col2 &gt; date '""&amp;TEXT(S$8,""yyyy-mm-dd"")&amp;""' and Col2 &lt;= date '""&amp;TEXT(R$8,""yyyy-mm-dd"")&amp;""' label sum(Col16) ''"",0)))"),"")</f>
        <v/>
      </c>
      <c r="S254" s="628" t="str">
        <f>IFERROR(__xludf.DUMMYFUNCTION("IF($G254="""","""",IFERROR(query({proventos!$B$5:$Q310},""Select sum(Col16) where Col1 = '""&amp;$G254&amp;""' and Col2 &gt; date '""&amp;TEXT(T$8,""yyyy-mm-dd"")&amp;""' and Col2 &lt;= date '""&amp;TEXT(S$8,""yyyy-mm-dd"")&amp;""' label sum(Col16) ''"",0)))"),"")</f>
        <v/>
      </c>
      <c r="T254" s="628" t="str">
        <f>IFERROR(__xludf.DUMMYFUNCTION("IF($G254="""","""",IFERROR(query({proventos!$B$5:$Q310},""Select sum(Col16) where Col1 = '""&amp;$G254&amp;""' and Col2 &gt; date '""&amp;TEXT(U$8,""yyyy-mm-dd"")&amp;""' and Col2 &lt;= date '""&amp;TEXT(T$8,""yyyy-mm-dd"")&amp;""' label sum(Col16) ''"",0)))"),"")</f>
        <v/>
      </c>
      <c r="U254" s="629" t="str">
        <f>IFERROR(__xludf.DUMMYFUNCTION("IF($G254="""","""",IFERROR(query({proventos!$B$5:$Q310},""Select sum(Col16) where Col1 = '""&amp;$G254&amp;""' and Col2 &gt; date '""&amp;TEXT(EOMONTH(TODAY(),-13),""yyyy-mm-dd"")&amp;""' and Col2 &lt;= date '""&amp;TEXT(U$8,""yyyy-mm-dd"")&amp;""' label sum(Col16) ''"",0)))"),"")</f>
        <v/>
      </c>
      <c r="V254" s="630" t="str">
        <f>IFERROR(__xludf.DUMMYFUNCTION("IF($G254="""","""",IFERROR(query({proventos!$B$5:$Q310},""Select sum(Col16) where Col1 = '""&amp;$G254&amp;""' and Col2 &gt; date '""&amp;TEXT(DATE(V$8,1,1),""yyyy-mm-dd"")&amp;""' and Col2 &lt;= date '""&amp;TEXT(DATE(V$8,12,31),""yyyy-mm-dd"")&amp;""' label sum(Col16) ''"",0)))"),"")</f>
        <v/>
      </c>
      <c r="W254" s="630" t="str">
        <f>IFERROR(__xludf.DUMMYFUNCTION("IF($G254="""","""",IFERROR(query({proventos!$B$5:$Q310},""Select sum(Col16) where Col1 = '""&amp;$G254&amp;""' and Col2 &gt; date '""&amp;TEXT(DATE(W$8,1,1),""yyyy-mm-dd"")&amp;""' and Col2 &lt;= date '""&amp;TEXT(DATE(W$8,12,31),""yyyy-mm-dd"")&amp;""' label sum(Col16) ''"",0)))"),"")</f>
        <v/>
      </c>
      <c r="X254" s="630" t="str">
        <f>IFERROR(__xludf.DUMMYFUNCTION("IF($G254="""","""",IFERROR(query({proventos!$B$5:$Q310},""Select sum(Col16) where Col1 = '""&amp;$G254&amp;""' and Col2 &gt; date '""&amp;TEXT(DATE(X$8,1,1),""yyyy-mm-dd"")&amp;""' and Col2 &lt;= date '""&amp;TEXT(DATE(X$8,12,31),""yyyy-mm-dd"")&amp;""' label sum(Col16) ''"",0)))"),"")</f>
        <v/>
      </c>
      <c r="Y254" s="630" t="str">
        <f>IFERROR(__xludf.DUMMYFUNCTION("IF($G254="""","""",IFERROR(query({proventos!$B$5:$Q310},""Select sum(Col16) where Col1 = '""&amp;$G254&amp;""' and Col2 &gt; date '""&amp;TEXT(DATE(Y$8,1,1),""yyyy-mm-dd"")&amp;""' and Col2 &lt;= date '""&amp;TEXT(DATE(Y$8,12,31),""yyyy-mm-dd"")&amp;""' label sum(Col16) ''"",0)))"),"")</f>
        <v/>
      </c>
      <c r="Z254" s="630" t="str">
        <f>IFERROR(__xludf.DUMMYFUNCTION("IF($G254="""","""",IFERROR(query({proventos!$B$5:$Q310},""Select sum(Col16) where Col1 = '""&amp;$G254&amp;""' and Col2 &gt; date '""&amp;TEXT(DATE(Z$8,1,1),""yyyy-mm-dd"")&amp;""' and Col2 &lt;= date '""&amp;TEXT(DATE(Z$8,12,31),""yyyy-mm-dd"")&amp;""' label sum(Col16) ''"",0)))"),"")</f>
        <v/>
      </c>
      <c r="AA254" s="587"/>
      <c r="AB254" s="578" t="s">
        <v>123</v>
      </c>
      <c r="AC254" s="601"/>
      <c r="AD254" s="636"/>
      <c r="AE254" s="636"/>
    </row>
    <row r="255">
      <c r="A255" s="576"/>
      <c r="B255" s="620"/>
      <c r="C255" s="637"/>
      <c r="D255" s="633"/>
      <c r="E255" s="633"/>
      <c r="F255" s="624">
        <v>245.0</v>
      </c>
      <c r="G255" s="635"/>
      <c r="H255" s="626" t="str">
        <f>if(G255="","",IFERROR(VLOOKUP(G255,AtivosDados,MATCH("provento_avg",portfolio.!$A$3:AE$3,0),FALSE),""))</f>
        <v/>
      </c>
      <c r="I255" s="627" t="s">
        <v>123</v>
      </c>
      <c r="J255" s="628" t="str">
        <f>IFERROR(__xludf.DUMMYFUNCTION("IF($G255="""","""",IFERROR(query({proventos!$B$5:$Q310},""Select sum(Col16) where Col1 = '""&amp;$G255&amp;""' and Col2 &gt; date '""&amp;TEXT(K$8,""yyyy-mm-dd"")&amp;""' and Col2 &lt;= date '""&amp;TEXT(J$8,""yyyy-mm-dd"")&amp;""' label sum(Col16) ''"",0)))"),"")</f>
        <v/>
      </c>
      <c r="K255" s="628" t="str">
        <f>IFERROR(__xludf.DUMMYFUNCTION("IF($G255="""","""",IFERROR(query({proventos!$B$5:$Q310},""Select sum(Col16) where Col1 = '""&amp;$G255&amp;""' and Col2 &gt; date '""&amp;TEXT(L$8,""yyyy-mm-dd"")&amp;""' and Col2 &lt;= date '""&amp;TEXT(K$8,""yyyy-mm-dd"")&amp;""' label sum(Col16) ''"",0)))"),"")</f>
        <v/>
      </c>
      <c r="L255" s="628" t="str">
        <f>IFERROR(__xludf.DUMMYFUNCTION("IF($G255="""","""",IFERROR(query({proventos!$B$5:$Q310},""Select sum(Col16) where Col1 = '""&amp;$G255&amp;""' and Col2 &gt; date '""&amp;TEXT(M$8,""yyyy-mm-dd"")&amp;""' and Col2 &lt;= date '""&amp;TEXT(L$8,""yyyy-mm-dd"")&amp;""' label sum(Col16) ''"",0)))"),"")</f>
        <v/>
      </c>
      <c r="M255" s="628" t="str">
        <f>IFERROR(__xludf.DUMMYFUNCTION("IF($G255="""","""",IFERROR(query({proventos!$B$5:$Q310},""Select sum(Col16) where Col1 = '""&amp;$G255&amp;""' and Col2 &gt; date '""&amp;TEXT(N$8,""yyyy-mm-dd"")&amp;""' and Col2 &lt;= date '""&amp;TEXT(M$8,""yyyy-mm-dd"")&amp;""' label sum(Col16) ''"",0)))"),"")</f>
        <v/>
      </c>
      <c r="N255" s="628" t="str">
        <f>IFERROR(__xludf.DUMMYFUNCTION("IF($G255="""","""",IFERROR(query({proventos!$B$5:$Q310},""Select sum(Col16) where Col1 = '""&amp;$G255&amp;""' and Col2 &gt; date '""&amp;TEXT(O$8,""yyyy-mm-dd"")&amp;""' and Col2 &lt;= date '""&amp;TEXT(N$8,""yyyy-mm-dd"")&amp;""' label sum(Col16) ''"",0)))"),"")</f>
        <v/>
      </c>
      <c r="O255" s="628" t="str">
        <f>IFERROR(__xludf.DUMMYFUNCTION("IF($G255="""","""",IFERROR(query({proventos!$B$5:$Q310},""Select sum(Col16) where Col1 = '""&amp;$G255&amp;""' and Col2 &gt; date '""&amp;TEXT(P$8,""yyyy-mm-dd"")&amp;""' and Col2 &lt;= date '""&amp;TEXT(O$8,""yyyy-mm-dd"")&amp;""' label sum(Col16) ''"",0)))"),"")</f>
        <v/>
      </c>
      <c r="P255" s="628" t="str">
        <f>IFERROR(__xludf.DUMMYFUNCTION("IF($G255="""","""",IFERROR(query({proventos!$B$5:$Q310},""Select sum(Col16) where Col1 = '""&amp;$G255&amp;""' and Col2 &gt; date '""&amp;TEXT(Q$8,""yyyy-mm-dd"")&amp;""' and Col2 &lt;= date '""&amp;TEXT(P$8,""yyyy-mm-dd"")&amp;""' label sum(Col16) ''"",0)))"),"")</f>
        <v/>
      </c>
      <c r="Q255" s="628" t="str">
        <f>IFERROR(__xludf.DUMMYFUNCTION("IF($G255="""","""",IFERROR(query({proventos!$B$5:$Q310},""Select sum(Col16) where Col1 = '""&amp;$G255&amp;""' and Col2 &gt; date '""&amp;TEXT(R$8,""yyyy-mm-dd"")&amp;""' and Col2 &lt;= date '""&amp;TEXT(Q$8,""yyyy-mm-dd"")&amp;""' label sum(Col16) ''"",0)))"),"")</f>
        <v/>
      </c>
      <c r="R255" s="628" t="str">
        <f>IFERROR(__xludf.DUMMYFUNCTION("IF($G255="""","""",IFERROR(query({proventos!$B$5:$Q310},""Select sum(Col16) where Col1 = '""&amp;$G255&amp;""' and Col2 &gt; date '""&amp;TEXT(S$8,""yyyy-mm-dd"")&amp;""' and Col2 &lt;= date '""&amp;TEXT(R$8,""yyyy-mm-dd"")&amp;""' label sum(Col16) ''"",0)))"),"")</f>
        <v/>
      </c>
      <c r="S255" s="628" t="str">
        <f>IFERROR(__xludf.DUMMYFUNCTION("IF($G255="""","""",IFERROR(query({proventos!$B$5:$Q310},""Select sum(Col16) where Col1 = '""&amp;$G255&amp;""' and Col2 &gt; date '""&amp;TEXT(T$8,""yyyy-mm-dd"")&amp;""' and Col2 &lt;= date '""&amp;TEXT(S$8,""yyyy-mm-dd"")&amp;""' label sum(Col16) ''"",0)))"),"")</f>
        <v/>
      </c>
      <c r="T255" s="628" t="str">
        <f>IFERROR(__xludf.DUMMYFUNCTION("IF($G255="""","""",IFERROR(query({proventos!$B$5:$Q310},""Select sum(Col16) where Col1 = '""&amp;$G255&amp;""' and Col2 &gt; date '""&amp;TEXT(U$8,""yyyy-mm-dd"")&amp;""' and Col2 &lt;= date '""&amp;TEXT(T$8,""yyyy-mm-dd"")&amp;""' label sum(Col16) ''"",0)))"),"")</f>
        <v/>
      </c>
      <c r="U255" s="629" t="str">
        <f>IFERROR(__xludf.DUMMYFUNCTION("IF($G255="""","""",IFERROR(query({proventos!$B$5:$Q310},""Select sum(Col16) where Col1 = '""&amp;$G255&amp;""' and Col2 &gt; date '""&amp;TEXT(EOMONTH(TODAY(),-13),""yyyy-mm-dd"")&amp;""' and Col2 &lt;= date '""&amp;TEXT(U$8,""yyyy-mm-dd"")&amp;""' label sum(Col16) ''"",0)))"),"")</f>
        <v/>
      </c>
      <c r="V255" s="630" t="str">
        <f>IFERROR(__xludf.DUMMYFUNCTION("IF($G255="""","""",IFERROR(query({proventos!$B$5:$Q310},""Select sum(Col16) where Col1 = '""&amp;$G255&amp;""' and Col2 &gt; date '""&amp;TEXT(DATE(V$8,1,1),""yyyy-mm-dd"")&amp;""' and Col2 &lt;= date '""&amp;TEXT(DATE(V$8,12,31),""yyyy-mm-dd"")&amp;""' label sum(Col16) ''"",0)))"),"")</f>
        <v/>
      </c>
      <c r="W255" s="630" t="str">
        <f>IFERROR(__xludf.DUMMYFUNCTION("IF($G255="""","""",IFERROR(query({proventos!$B$5:$Q310},""Select sum(Col16) where Col1 = '""&amp;$G255&amp;""' and Col2 &gt; date '""&amp;TEXT(DATE(W$8,1,1),""yyyy-mm-dd"")&amp;""' and Col2 &lt;= date '""&amp;TEXT(DATE(W$8,12,31),""yyyy-mm-dd"")&amp;""' label sum(Col16) ''"",0)))"),"")</f>
        <v/>
      </c>
      <c r="X255" s="630" t="str">
        <f>IFERROR(__xludf.DUMMYFUNCTION("IF($G255="""","""",IFERROR(query({proventos!$B$5:$Q310},""Select sum(Col16) where Col1 = '""&amp;$G255&amp;""' and Col2 &gt; date '""&amp;TEXT(DATE(X$8,1,1),""yyyy-mm-dd"")&amp;""' and Col2 &lt;= date '""&amp;TEXT(DATE(X$8,12,31),""yyyy-mm-dd"")&amp;""' label sum(Col16) ''"",0)))"),"")</f>
        <v/>
      </c>
      <c r="Y255" s="630" t="str">
        <f>IFERROR(__xludf.DUMMYFUNCTION("IF($G255="""","""",IFERROR(query({proventos!$B$5:$Q310},""Select sum(Col16) where Col1 = '""&amp;$G255&amp;""' and Col2 &gt; date '""&amp;TEXT(DATE(Y$8,1,1),""yyyy-mm-dd"")&amp;""' and Col2 &lt;= date '""&amp;TEXT(DATE(Y$8,12,31),""yyyy-mm-dd"")&amp;""' label sum(Col16) ''"",0)))"),"")</f>
        <v/>
      </c>
      <c r="Z255" s="630" t="str">
        <f>IFERROR(__xludf.DUMMYFUNCTION("IF($G255="""","""",IFERROR(query({proventos!$B$5:$Q310},""Select sum(Col16) where Col1 = '""&amp;$G255&amp;""' and Col2 &gt; date '""&amp;TEXT(DATE(Z$8,1,1),""yyyy-mm-dd"")&amp;""' and Col2 &lt;= date '""&amp;TEXT(DATE(Z$8,12,31),""yyyy-mm-dd"")&amp;""' label sum(Col16) ''"",0)))"),"")</f>
        <v/>
      </c>
      <c r="AA255" s="587"/>
      <c r="AB255" s="578" t="s">
        <v>123</v>
      </c>
      <c r="AC255" s="601"/>
      <c r="AD255" s="636"/>
      <c r="AE255" s="636"/>
    </row>
    <row r="256">
      <c r="A256" s="576"/>
      <c r="B256" s="620"/>
      <c r="C256" s="637"/>
      <c r="D256" s="633"/>
      <c r="E256" s="633"/>
      <c r="F256" s="624">
        <v>246.0</v>
      </c>
      <c r="G256" s="635"/>
      <c r="H256" s="626" t="str">
        <f>if(G256="","",IFERROR(VLOOKUP(G256,AtivosDados,MATCH("provento_avg",portfolio.!$A$3:AE$3,0),FALSE),""))</f>
        <v/>
      </c>
      <c r="I256" s="627" t="s">
        <v>123</v>
      </c>
      <c r="J256" s="628" t="str">
        <f>IFERROR(__xludf.DUMMYFUNCTION("IF($G256="""","""",IFERROR(query({proventos!$B$5:$Q310},""Select sum(Col16) where Col1 = '""&amp;$G256&amp;""' and Col2 &gt; date '""&amp;TEXT(K$8,""yyyy-mm-dd"")&amp;""' and Col2 &lt;= date '""&amp;TEXT(J$8,""yyyy-mm-dd"")&amp;""' label sum(Col16) ''"",0)))"),"")</f>
        <v/>
      </c>
      <c r="K256" s="628" t="str">
        <f>IFERROR(__xludf.DUMMYFUNCTION("IF($G256="""","""",IFERROR(query({proventos!$B$5:$Q310},""Select sum(Col16) where Col1 = '""&amp;$G256&amp;""' and Col2 &gt; date '""&amp;TEXT(L$8,""yyyy-mm-dd"")&amp;""' and Col2 &lt;= date '""&amp;TEXT(K$8,""yyyy-mm-dd"")&amp;""' label sum(Col16) ''"",0)))"),"")</f>
        <v/>
      </c>
      <c r="L256" s="628" t="str">
        <f>IFERROR(__xludf.DUMMYFUNCTION("IF($G256="""","""",IFERROR(query({proventos!$B$5:$Q310},""Select sum(Col16) where Col1 = '""&amp;$G256&amp;""' and Col2 &gt; date '""&amp;TEXT(M$8,""yyyy-mm-dd"")&amp;""' and Col2 &lt;= date '""&amp;TEXT(L$8,""yyyy-mm-dd"")&amp;""' label sum(Col16) ''"",0)))"),"")</f>
        <v/>
      </c>
      <c r="M256" s="628" t="str">
        <f>IFERROR(__xludf.DUMMYFUNCTION("IF($G256="""","""",IFERROR(query({proventos!$B$5:$Q310},""Select sum(Col16) where Col1 = '""&amp;$G256&amp;""' and Col2 &gt; date '""&amp;TEXT(N$8,""yyyy-mm-dd"")&amp;""' and Col2 &lt;= date '""&amp;TEXT(M$8,""yyyy-mm-dd"")&amp;""' label sum(Col16) ''"",0)))"),"")</f>
        <v/>
      </c>
      <c r="N256" s="628" t="str">
        <f>IFERROR(__xludf.DUMMYFUNCTION("IF($G256="""","""",IFERROR(query({proventos!$B$5:$Q310},""Select sum(Col16) where Col1 = '""&amp;$G256&amp;""' and Col2 &gt; date '""&amp;TEXT(O$8,""yyyy-mm-dd"")&amp;""' and Col2 &lt;= date '""&amp;TEXT(N$8,""yyyy-mm-dd"")&amp;""' label sum(Col16) ''"",0)))"),"")</f>
        <v/>
      </c>
      <c r="O256" s="628" t="str">
        <f>IFERROR(__xludf.DUMMYFUNCTION("IF($G256="""","""",IFERROR(query({proventos!$B$5:$Q310},""Select sum(Col16) where Col1 = '""&amp;$G256&amp;""' and Col2 &gt; date '""&amp;TEXT(P$8,""yyyy-mm-dd"")&amp;""' and Col2 &lt;= date '""&amp;TEXT(O$8,""yyyy-mm-dd"")&amp;""' label sum(Col16) ''"",0)))"),"")</f>
        <v/>
      </c>
      <c r="P256" s="628" t="str">
        <f>IFERROR(__xludf.DUMMYFUNCTION("IF($G256="""","""",IFERROR(query({proventos!$B$5:$Q310},""Select sum(Col16) where Col1 = '""&amp;$G256&amp;""' and Col2 &gt; date '""&amp;TEXT(Q$8,""yyyy-mm-dd"")&amp;""' and Col2 &lt;= date '""&amp;TEXT(P$8,""yyyy-mm-dd"")&amp;""' label sum(Col16) ''"",0)))"),"")</f>
        <v/>
      </c>
      <c r="Q256" s="628" t="str">
        <f>IFERROR(__xludf.DUMMYFUNCTION("IF($G256="""","""",IFERROR(query({proventos!$B$5:$Q310},""Select sum(Col16) where Col1 = '""&amp;$G256&amp;""' and Col2 &gt; date '""&amp;TEXT(R$8,""yyyy-mm-dd"")&amp;""' and Col2 &lt;= date '""&amp;TEXT(Q$8,""yyyy-mm-dd"")&amp;""' label sum(Col16) ''"",0)))"),"")</f>
        <v/>
      </c>
      <c r="R256" s="628" t="str">
        <f>IFERROR(__xludf.DUMMYFUNCTION("IF($G256="""","""",IFERROR(query({proventos!$B$5:$Q310},""Select sum(Col16) where Col1 = '""&amp;$G256&amp;""' and Col2 &gt; date '""&amp;TEXT(S$8,""yyyy-mm-dd"")&amp;""' and Col2 &lt;= date '""&amp;TEXT(R$8,""yyyy-mm-dd"")&amp;""' label sum(Col16) ''"",0)))"),"")</f>
        <v/>
      </c>
      <c r="S256" s="628" t="str">
        <f>IFERROR(__xludf.DUMMYFUNCTION("IF($G256="""","""",IFERROR(query({proventos!$B$5:$Q310},""Select sum(Col16) where Col1 = '""&amp;$G256&amp;""' and Col2 &gt; date '""&amp;TEXT(T$8,""yyyy-mm-dd"")&amp;""' and Col2 &lt;= date '""&amp;TEXT(S$8,""yyyy-mm-dd"")&amp;""' label sum(Col16) ''"",0)))"),"")</f>
        <v/>
      </c>
      <c r="T256" s="628" t="str">
        <f>IFERROR(__xludf.DUMMYFUNCTION("IF($G256="""","""",IFERROR(query({proventos!$B$5:$Q310},""Select sum(Col16) where Col1 = '""&amp;$G256&amp;""' and Col2 &gt; date '""&amp;TEXT(U$8,""yyyy-mm-dd"")&amp;""' and Col2 &lt;= date '""&amp;TEXT(T$8,""yyyy-mm-dd"")&amp;""' label sum(Col16) ''"",0)))"),"")</f>
        <v/>
      </c>
      <c r="U256" s="629" t="str">
        <f>IFERROR(__xludf.DUMMYFUNCTION("IF($G256="""","""",IFERROR(query({proventos!$B$5:$Q310},""Select sum(Col16) where Col1 = '""&amp;$G256&amp;""' and Col2 &gt; date '""&amp;TEXT(EOMONTH(TODAY(),-13),""yyyy-mm-dd"")&amp;""' and Col2 &lt;= date '""&amp;TEXT(U$8,""yyyy-mm-dd"")&amp;""' label sum(Col16) ''"",0)))"),"")</f>
        <v/>
      </c>
      <c r="V256" s="630" t="str">
        <f>IFERROR(__xludf.DUMMYFUNCTION("IF($G256="""","""",IFERROR(query({proventos!$B$5:$Q310},""Select sum(Col16) where Col1 = '""&amp;$G256&amp;""' and Col2 &gt; date '""&amp;TEXT(DATE(V$8,1,1),""yyyy-mm-dd"")&amp;""' and Col2 &lt;= date '""&amp;TEXT(DATE(V$8,12,31),""yyyy-mm-dd"")&amp;""' label sum(Col16) ''"",0)))"),"")</f>
        <v/>
      </c>
      <c r="W256" s="630" t="str">
        <f>IFERROR(__xludf.DUMMYFUNCTION("IF($G256="""","""",IFERROR(query({proventos!$B$5:$Q310},""Select sum(Col16) where Col1 = '""&amp;$G256&amp;""' and Col2 &gt; date '""&amp;TEXT(DATE(W$8,1,1),""yyyy-mm-dd"")&amp;""' and Col2 &lt;= date '""&amp;TEXT(DATE(W$8,12,31),""yyyy-mm-dd"")&amp;""' label sum(Col16) ''"",0)))"),"")</f>
        <v/>
      </c>
      <c r="X256" s="630" t="str">
        <f>IFERROR(__xludf.DUMMYFUNCTION("IF($G256="""","""",IFERROR(query({proventos!$B$5:$Q310},""Select sum(Col16) where Col1 = '""&amp;$G256&amp;""' and Col2 &gt; date '""&amp;TEXT(DATE(X$8,1,1),""yyyy-mm-dd"")&amp;""' and Col2 &lt;= date '""&amp;TEXT(DATE(X$8,12,31),""yyyy-mm-dd"")&amp;""' label sum(Col16) ''"",0)))"),"")</f>
        <v/>
      </c>
      <c r="Y256" s="630" t="str">
        <f>IFERROR(__xludf.DUMMYFUNCTION("IF($G256="""","""",IFERROR(query({proventos!$B$5:$Q310},""Select sum(Col16) where Col1 = '""&amp;$G256&amp;""' and Col2 &gt; date '""&amp;TEXT(DATE(Y$8,1,1),""yyyy-mm-dd"")&amp;""' and Col2 &lt;= date '""&amp;TEXT(DATE(Y$8,12,31),""yyyy-mm-dd"")&amp;""' label sum(Col16) ''"",0)))"),"")</f>
        <v/>
      </c>
      <c r="Z256" s="630" t="str">
        <f>IFERROR(__xludf.DUMMYFUNCTION("IF($G256="""","""",IFERROR(query({proventos!$B$5:$Q310},""Select sum(Col16) where Col1 = '""&amp;$G256&amp;""' and Col2 &gt; date '""&amp;TEXT(DATE(Z$8,1,1),""yyyy-mm-dd"")&amp;""' and Col2 &lt;= date '""&amp;TEXT(DATE(Z$8,12,31),""yyyy-mm-dd"")&amp;""' label sum(Col16) ''"",0)))"),"")</f>
        <v/>
      </c>
      <c r="AA256" s="587"/>
      <c r="AB256" s="578" t="s">
        <v>123</v>
      </c>
      <c r="AC256" s="601"/>
      <c r="AD256" s="636"/>
      <c r="AE256" s="636"/>
    </row>
    <row r="257">
      <c r="A257" s="576"/>
      <c r="B257" s="620"/>
      <c r="C257" s="637"/>
      <c r="D257" s="633"/>
      <c r="E257" s="633"/>
      <c r="F257" s="624">
        <v>247.0</v>
      </c>
      <c r="G257" s="635"/>
      <c r="H257" s="626" t="str">
        <f>if(G257="","",IFERROR(VLOOKUP(G257,AtivosDados,MATCH("provento_avg",portfolio.!$A$3:AE$3,0),FALSE),""))</f>
        <v/>
      </c>
      <c r="I257" s="627" t="s">
        <v>123</v>
      </c>
      <c r="J257" s="628" t="str">
        <f>IFERROR(__xludf.DUMMYFUNCTION("IF($G257="""","""",IFERROR(query({proventos!$B$5:$Q310},""Select sum(Col16) where Col1 = '""&amp;$G257&amp;""' and Col2 &gt; date '""&amp;TEXT(K$8,""yyyy-mm-dd"")&amp;""' and Col2 &lt;= date '""&amp;TEXT(J$8,""yyyy-mm-dd"")&amp;""' label sum(Col16) ''"",0)))"),"")</f>
        <v/>
      </c>
      <c r="K257" s="628" t="str">
        <f>IFERROR(__xludf.DUMMYFUNCTION("IF($G257="""","""",IFERROR(query({proventos!$B$5:$Q310},""Select sum(Col16) where Col1 = '""&amp;$G257&amp;""' and Col2 &gt; date '""&amp;TEXT(L$8,""yyyy-mm-dd"")&amp;""' and Col2 &lt;= date '""&amp;TEXT(K$8,""yyyy-mm-dd"")&amp;""' label sum(Col16) ''"",0)))"),"")</f>
        <v/>
      </c>
      <c r="L257" s="628" t="str">
        <f>IFERROR(__xludf.DUMMYFUNCTION("IF($G257="""","""",IFERROR(query({proventos!$B$5:$Q310},""Select sum(Col16) where Col1 = '""&amp;$G257&amp;""' and Col2 &gt; date '""&amp;TEXT(M$8,""yyyy-mm-dd"")&amp;""' and Col2 &lt;= date '""&amp;TEXT(L$8,""yyyy-mm-dd"")&amp;""' label sum(Col16) ''"",0)))"),"")</f>
        <v/>
      </c>
      <c r="M257" s="628" t="str">
        <f>IFERROR(__xludf.DUMMYFUNCTION("IF($G257="""","""",IFERROR(query({proventos!$B$5:$Q310},""Select sum(Col16) where Col1 = '""&amp;$G257&amp;""' and Col2 &gt; date '""&amp;TEXT(N$8,""yyyy-mm-dd"")&amp;""' and Col2 &lt;= date '""&amp;TEXT(M$8,""yyyy-mm-dd"")&amp;""' label sum(Col16) ''"",0)))"),"")</f>
        <v/>
      </c>
      <c r="N257" s="628" t="str">
        <f>IFERROR(__xludf.DUMMYFUNCTION("IF($G257="""","""",IFERROR(query({proventos!$B$5:$Q310},""Select sum(Col16) where Col1 = '""&amp;$G257&amp;""' and Col2 &gt; date '""&amp;TEXT(O$8,""yyyy-mm-dd"")&amp;""' and Col2 &lt;= date '""&amp;TEXT(N$8,""yyyy-mm-dd"")&amp;""' label sum(Col16) ''"",0)))"),"")</f>
        <v/>
      </c>
      <c r="O257" s="628" t="str">
        <f>IFERROR(__xludf.DUMMYFUNCTION("IF($G257="""","""",IFERROR(query({proventos!$B$5:$Q310},""Select sum(Col16) where Col1 = '""&amp;$G257&amp;""' and Col2 &gt; date '""&amp;TEXT(P$8,""yyyy-mm-dd"")&amp;""' and Col2 &lt;= date '""&amp;TEXT(O$8,""yyyy-mm-dd"")&amp;""' label sum(Col16) ''"",0)))"),"")</f>
        <v/>
      </c>
      <c r="P257" s="628" t="str">
        <f>IFERROR(__xludf.DUMMYFUNCTION("IF($G257="""","""",IFERROR(query({proventos!$B$5:$Q310},""Select sum(Col16) where Col1 = '""&amp;$G257&amp;""' and Col2 &gt; date '""&amp;TEXT(Q$8,""yyyy-mm-dd"")&amp;""' and Col2 &lt;= date '""&amp;TEXT(P$8,""yyyy-mm-dd"")&amp;""' label sum(Col16) ''"",0)))"),"")</f>
        <v/>
      </c>
      <c r="Q257" s="628" t="str">
        <f>IFERROR(__xludf.DUMMYFUNCTION("IF($G257="""","""",IFERROR(query({proventos!$B$5:$Q310},""Select sum(Col16) where Col1 = '""&amp;$G257&amp;""' and Col2 &gt; date '""&amp;TEXT(R$8,""yyyy-mm-dd"")&amp;""' and Col2 &lt;= date '""&amp;TEXT(Q$8,""yyyy-mm-dd"")&amp;""' label sum(Col16) ''"",0)))"),"")</f>
        <v/>
      </c>
      <c r="R257" s="628" t="str">
        <f>IFERROR(__xludf.DUMMYFUNCTION("IF($G257="""","""",IFERROR(query({proventos!$B$5:$Q310},""Select sum(Col16) where Col1 = '""&amp;$G257&amp;""' and Col2 &gt; date '""&amp;TEXT(S$8,""yyyy-mm-dd"")&amp;""' and Col2 &lt;= date '""&amp;TEXT(R$8,""yyyy-mm-dd"")&amp;""' label sum(Col16) ''"",0)))"),"")</f>
        <v/>
      </c>
      <c r="S257" s="628" t="str">
        <f>IFERROR(__xludf.DUMMYFUNCTION("IF($G257="""","""",IFERROR(query({proventos!$B$5:$Q310},""Select sum(Col16) where Col1 = '""&amp;$G257&amp;""' and Col2 &gt; date '""&amp;TEXT(T$8,""yyyy-mm-dd"")&amp;""' and Col2 &lt;= date '""&amp;TEXT(S$8,""yyyy-mm-dd"")&amp;""' label sum(Col16) ''"",0)))"),"")</f>
        <v/>
      </c>
      <c r="T257" s="628" t="str">
        <f>IFERROR(__xludf.DUMMYFUNCTION("IF($G257="""","""",IFERROR(query({proventos!$B$5:$Q310},""Select sum(Col16) where Col1 = '""&amp;$G257&amp;""' and Col2 &gt; date '""&amp;TEXT(U$8,""yyyy-mm-dd"")&amp;""' and Col2 &lt;= date '""&amp;TEXT(T$8,""yyyy-mm-dd"")&amp;""' label sum(Col16) ''"",0)))"),"")</f>
        <v/>
      </c>
      <c r="U257" s="629" t="str">
        <f>IFERROR(__xludf.DUMMYFUNCTION("IF($G257="""","""",IFERROR(query({proventos!$B$5:$Q310},""Select sum(Col16) where Col1 = '""&amp;$G257&amp;""' and Col2 &gt; date '""&amp;TEXT(EOMONTH(TODAY(),-13),""yyyy-mm-dd"")&amp;""' and Col2 &lt;= date '""&amp;TEXT(U$8,""yyyy-mm-dd"")&amp;""' label sum(Col16) ''"",0)))"),"")</f>
        <v/>
      </c>
      <c r="V257" s="630" t="str">
        <f>IFERROR(__xludf.DUMMYFUNCTION("IF($G257="""","""",IFERROR(query({proventos!$B$5:$Q310},""Select sum(Col16) where Col1 = '""&amp;$G257&amp;""' and Col2 &gt; date '""&amp;TEXT(DATE(V$8,1,1),""yyyy-mm-dd"")&amp;""' and Col2 &lt;= date '""&amp;TEXT(DATE(V$8,12,31),""yyyy-mm-dd"")&amp;""' label sum(Col16) ''"",0)))"),"")</f>
        <v/>
      </c>
      <c r="W257" s="630" t="str">
        <f>IFERROR(__xludf.DUMMYFUNCTION("IF($G257="""","""",IFERROR(query({proventos!$B$5:$Q310},""Select sum(Col16) where Col1 = '""&amp;$G257&amp;""' and Col2 &gt; date '""&amp;TEXT(DATE(W$8,1,1),""yyyy-mm-dd"")&amp;""' and Col2 &lt;= date '""&amp;TEXT(DATE(W$8,12,31),""yyyy-mm-dd"")&amp;""' label sum(Col16) ''"",0)))"),"")</f>
        <v/>
      </c>
      <c r="X257" s="630" t="str">
        <f>IFERROR(__xludf.DUMMYFUNCTION("IF($G257="""","""",IFERROR(query({proventos!$B$5:$Q310},""Select sum(Col16) where Col1 = '""&amp;$G257&amp;""' and Col2 &gt; date '""&amp;TEXT(DATE(X$8,1,1),""yyyy-mm-dd"")&amp;""' and Col2 &lt;= date '""&amp;TEXT(DATE(X$8,12,31),""yyyy-mm-dd"")&amp;""' label sum(Col16) ''"",0)))"),"")</f>
        <v/>
      </c>
      <c r="Y257" s="630" t="str">
        <f>IFERROR(__xludf.DUMMYFUNCTION("IF($G257="""","""",IFERROR(query({proventos!$B$5:$Q310},""Select sum(Col16) where Col1 = '""&amp;$G257&amp;""' and Col2 &gt; date '""&amp;TEXT(DATE(Y$8,1,1),""yyyy-mm-dd"")&amp;""' and Col2 &lt;= date '""&amp;TEXT(DATE(Y$8,12,31),""yyyy-mm-dd"")&amp;""' label sum(Col16) ''"",0)))"),"")</f>
        <v/>
      </c>
      <c r="Z257" s="630" t="str">
        <f>IFERROR(__xludf.DUMMYFUNCTION("IF($G257="""","""",IFERROR(query({proventos!$B$5:$Q310},""Select sum(Col16) where Col1 = '""&amp;$G257&amp;""' and Col2 &gt; date '""&amp;TEXT(DATE(Z$8,1,1),""yyyy-mm-dd"")&amp;""' and Col2 &lt;= date '""&amp;TEXT(DATE(Z$8,12,31),""yyyy-mm-dd"")&amp;""' label sum(Col16) ''"",0)))"),"")</f>
        <v/>
      </c>
      <c r="AA257" s="587"/>
      <c r="AB257" s="578" t="s">
        <v>123</v>
      </c>
      <c r="AC257" s="601"/>
      <c r="AD257" s="636"/>
      <c r="AE257" s="636"/>
    </row>
    <row r="258">
      <c r="A258" s="576"/>
      <c r="B258" s="620"/>
      <c r="C258" s="637"/>
      <c r="D258" s="633"/>
      <c r="E258" s="633"/>
      <c r="F258" s="624">
        <v>248.0</v>
      </c>
      <c r="G258" s="635"/>
      <c r="H258" s="626" t="str">
        <f>if(G258="","",IFERROR(VLOOKUP(G258,AtivosDados,MATCH("provento_avg",portfolio.!$A$3:AE$3,0),FALSE),""))</f>
        <v/>
      </c>
      <c r="I258" s="627" t="s">
        <v>123</v>
      </c>
      <c r="J258" s="628" t="str">
        <f>IFERROR(__xludf.DUMMYFUNCTION("IF($G258="""","""",IFERROR(query({proventos!$B$5:$Q310},""Select sum(Col16) where Col1 = '""&amp;$G258&amp;""' and Col2 &gt; date '""&amp;TEXT(K$8,""yyyy-mm-dd"")&amp;""' and Col2 &lt;= date '""&amp;TEXT(J$8,""yyyy-mm-dd"")&amp;""' label sum(Col16) ''"",0)))"),"")</f>
        <v/>
      </c>
      <c r="K258" s="628" t="str">
        <f>IFERROR(__xludf.DUMMYFUNCTION("IF($G258="""","""",IFERROR(query({proventos!$B$5:$Q310},""Select sum(Col16) where Col1 = '""&amp;$G258&amp;""' and Col2 &gt; date '""&amp;TEXT(L$8,""yyyy-mm-dd"")&amp;""' and Col2 &lt;= date '""&amp;TEXT(K$8,""yyyy-mm-dd"")&amp;""' label sum(Col16) ''"",0)))"),"")</f>
        <v/>
      </c>
      <c r="L258" s="628" t="str">
        <f>IFERROR(__xludf.DUMMYFUNCTION("IF($G258="""","""",IFERROR(query({proventos!$B$5:$Q310},""Select sum(Col16) where Col1 = '""&amp;$G258&amp;""' and Col2 &gt; date '""&amp;TEXT(M$8,""yyyy-mm-dd"")&amp;""' and Col2 &lt;= date '""&amp;TEXT(L$8,""yyyy-mm-dd"")&amp;""' label sum(Col16) ''"",0)))"),"")</f>
        <v/>
      </c>
      <c r="M258" s="628" t="str">
        <f>IFERROR(__xludf.DUMMYFUNCTION("IF($G258="""","""",IFERROR(query({proventos!$B$5:$Q310},""Select sum(Col16) where Col1 = '""&amp;$G258&amp;""' and Col2 &gt; date '""&amp;TEXT(N$8,""yyyy-mm-dd"")&amp;""' and Col2 &lt;= date '""&amp;TEXT(M$8,""yyyy-mm-dd"")&amp;""' label sum(Col16) ''"",0)))"),"")</f>
        <v/>
      </c>
      <c r="N258" s="628" t="str">
        <f>IFERROR(__xludf.DUMMYFUNCTION("IF($G258="""","""",IFERROR(query({proventos!$B$5:$Q310},""Select sum(Col16) where Col1 = '""&amp;$G258&amp;""' and Col2 &gt; date '""&amp;TEXT(O$8,""yyyy-mm-dd"")&amp;""' and Col2 &lt;= date '""&amp;TEXT(N$8,""yyyy-mm-dd"")&amp;""' label sum(Col16) ''"",0)))"),"")</f>
        <v/>
      </c>
      <c r="O258" s="628" t="str">
        <f>IFERROR(__xludf.DUMMYFUNCTION("IF($G258="""","""",IFERROR(query({proventos!$B$5:$Q310},""Select sum(Col16) where Col1 = '""&amp;$G258&amp;""' and Col2 &gt; date '""&amp;TEXT(P$8,""yyyy-mm-dd"")&amp;""' and Col2 &lt;= date '""&amp;TEXT(O$8,""yyyy-mm-dd"")&amp;""' label sum(Col16) ''"",0)))"),"")</f>
        <v/>
      </c>
      <c r="P258" s="628" t="str">
        <f>IFERROR(__xludf.DUMMYFUNCTION("IF($G258="""","""",IFERROR(query({proventos!$B$5:$Q310},""Select sum(Col16) where Col1 = '""&amp;$G258&amp;""' and Col2 &gt; date '""&amp;TEXT(Q$8,""yyyy-mm-dd"")&amp;""' and Col2 &lt;= date '""&amp;TEXT(P$8,""yyyy-mm-dd"")&amp;""' label sum(Col16) ''"",0)))"),"")</f>
        <v/>
      </c>
      <c r="Q258" s="628" t="str">
        <f>IFERROR(__xludf.DUMMYFUNCTION("IF($G258="""","""",IFERROR(query({proventos!$B$5:$Q310},""Select sum(Col16) where Col1 = '""&amp;$G258&amp;""' and Col2 &gt; date '""&amp;TEXT(R$8,""yyyy-mm-dd"")&amp;""' and Col2 &lt;= date '""&amp;TEXT(Q$8,""yyyy-mm-dd"")&amp;""' label sum(Col16) ''"",0)))"),"")</f>
        <v/>
      </c>
      <c r="R258" s="628" t="str">
        <f>IFERROR(__xludf.DUMMYFUNCTION("IF($G258="""","""",IFERROR(query({proventos!$B$5:$Q310},""Select sum(Col16) where Col1 = '""&amp;$G258&amp;""' and Col2 &gt; date '""&amp;TEXT(S$8,""yyyy-mm-dd"")&amp;""' and Col2 &lt;= date '""&amp;TEXT(R$8,""yyyy-mm-dd"")&amp;""' label sum(Col16) ''"",0)))"),"")</f>
        <v/>
      </c>
      <c r="S258" s="628" t="str">
        <f>IFERROR(__xludf.DUMMYFUNCTION("IF($G258="""","""",IFERROR(query({proventos!$B$5:$Q310},""Select sum(Col16) where Col1 = '""&amp;$G258&amp;""' and Col2 &gt; date '""&amp;TEXT(T$8,""yyyy-mm-dd"")&amp;""' and Col2 &lt;= date '""&amp;TEXT(S$8,""yyyy-mm-dd"")&amp;""' label sum(Col16) ''"",0)))"),"")</f>
        <v/>
      </c>
      <c r="T258" s="628" t="str">
        <f>IFERROR(__xludf.DUMMYFUNCTION("IF($G258="""","""",IFERROR(query({proventos!$B$5:$Q310},""Select sum(Col16) where Col1 = '""&amp;$G258&amp;""' and Col2 &gt; date '""&amp;TEXT(U$8,""yyyy-mm-dd"")&amp;""' and Col2 &lt;= date '""&amp;TEXT(T$8,""yyyy-mm-dd"")&amp;""' label sum(Col16) ''"",0)))"),"")</f>
        <v/>
      </c>
      <c r="U258" s="629" t="str">
        <f>IFERROR(__xludf.DUMMYFUNCTION("IF($G258="""","""",IFERROR(query({proventos!$B$5:$Q310},""Select sum(Col16) where Col1 = '""&amp;$G258&amp;""' and Col2 &gt; date '""&amp;TEXT(EOMONTH(TODAY(),-13),""yyyy-mm-dd"")&amp;""' and Col2 &lt;= date '""&amp;TEXT(U$8,""yyyy-mm-dd"")&amp;""' label sum(Col16) ''"",0)))"),"")</f>
        <v/>
      </c>
      <c r="V258" s="630" t="str">
        <f>IFERROR(__xludf.DUMMYFUNCTION("IF($G258="""","""",IFERROR(query({proventos!$B$5:$Q310},""Select sum(Col16) where Col1 = '""&amp;$G258&amp;""' and Col2 &gt; date '""&amp;TEXT(DATE(V$8,1,1),""yyyy-mm-dd"")&amp;""' and Col2 &lt;= date '""&amp;TEXT(DATE(V$8,12,31),""yyyy-mm-dd"")&amp;""' label sum(Col16) ''"",0)))"),"")</f>
        <v/>
      </c>
      <c r="W258" s="630" t="str">
        <f>IFERROR(__xludf.DUMMYFUNCTION("IF($G258="""","""",IFERROR(query({proventos!$B$5:$Q310},""Select sum(Col16) where Col1 = '""&amp;$G258&amp;""' and Col2 &gt; date '""&amp;TEXT(DATE(W$8,1,1),""yyyy-mm-dd"")&amp;""' and Col2 &lt;= date '""&amp;TEXT(DATE(W$8,12,31),""yyyy-mm-dd"")&amp;""' label sum(Col16) ''"",0)))"),"")</f>
        <v/>
      </c>
      <c r="X258" s="630" t="str">
        <f>IFERROR(__xludf.DUMMYFUNCTION("IF($G258="""","""",IFERROR(query({proventos!$B$5:$Q310},""Select sum(Col16) where Col1 = '""&amp;$G258&amp;""' and Col2 &gt; date '""&amp;TEXT(DATE(X$8,1,1),""yyyy-mm-dd"")&amp;""' and Col2 &lt;= date '""&amp;TEXT(DATE(X$8,12,31),""yyyy-mm-dd"")&amp;""' label sum(Col16) ''"",0)))"),"")</f>
        <v/>
      </c>
      <c r="Y258" s="630" t="str">
        <f>IFERROR(__xludf.DUMMYFUNCTION("IF($G258="""","""",IFERROR(query({proventos!$B$5:$Q310},""Select sum(Col16) where Col1 = '""&amp;$G258&amp;""' and Col2 &gt; date '""&amp;TEXT(DATE(Y$8,1,1),""yyyy-mm-dd"")&amp;""' and Col2 &lt;= date '""&amp;TEXT(DATE(Y$8,12,31),""yyyy-mm-dd"")&amp;""' label sum(Col16) ''"",0)))"),"")</f>
        <v/>
      </c>
      <c r="Z258" s="630" t="str">
        <f>IFERROR(__xludf.DUMMYFUNCTION("IF($G258="""","""",IFERROR(query({proventos!$B$5:$Q310},""Select sum(Col16) where Col1 = '""&amp;$G258&amp;""' and Col2 &gt; date '""&amp;TEXT(DATE(Z$8,1,1),""yyyy-mm-dd"")&amp;""' and Col2 &lt;= date '""&amp;TEXT(DATE(Z$8,12,31),""yyyy-mm-dd"")&amp;""' label sum(Col16) ''"",0)))"),"")</f>
        <v/>
      </c>
      <c r="AA258" s="587"/>
      <c r="AB258" s="578" t="s">
        <v>123</v>
      </c>
      <c r="AC258" s="601"/>
      <c r="AD258" s="636"/>
      <c r="AE258" s="636"/>
    </row>
    <row r="259">
      <c r="A259" s="576"/>
      <c r="B259" s="620"/>
      <c r="C259" s="637"/>
      <c r="D259" s="633"/>
      <c r="E259" s="633"/>
      <c r="F259" s="624">
        <v>249.0</v>
      </c>
      <c r="G259" s="635"/>
      <c r="H259" s="626" t="str">
        <f>if(G259="","",IFERROR(VLOOKUP(G259,AtivosDados,MATCH("provento_avg",portfolio.!$A$3:AE$3,0),FALSE),""))</f>
        <v/>
      </c>
      <c r="I259" s="627" t="s">
        <v>123</v>
      </c>
      <c r="J259" s="628" t="str">
        <f>IFERROR(__xludf.DUMMYFUNCTION("IF($G259="""","""",IFERROR(query({proventos!$B$5:$Q310},""Select sum(Col16) where Col1 = '""&amp;$G259&amp;""' and Col2 &gt; date '""&amp;TEXT(K$8,""yyyy-mm-dd"")&amp;""' and Col2 &lt;= date '""&amp;TEXT(J$8,""yyyy-mm-dd"")&amp;""' label sum(Col16) ''"",0)))"),"")</f>
        <v/>
      </c>
      <c r="K259" s="628" t="str">
        <f>IFERROR(__xludf.DUMMYFUNCTION("IF($G259="""","""",IFERROR(query({proventos!$B$5:$Q310},""Select sum(Col16) where Col1 = '""&amp;$G259&amp;""' and Col2 &gt; date '""&amp;TEXT(L$8,""yyyy-mm-dd"")&amp;""' and Col2 &lt;= date '""&amp;TEXT(K$8,""yyyy-mm-dd"")&amp;""' label sum(Col16) ''"",0)))"),"")</f>
        <v/>
      </c>
      <c r="L259" s="628" t="str">
        <f>IFERROR(__xludf.DUMMYFUNCTION("IF($G259="""","""",IFERROR(query({proventos!$B$5:$Q310},""Select sum(Col16) where Col1 = '""&amp;$G259&amp;""' and Col2 &gt; date '""&amp;TEXT(M$8,""yyyy-mm-dd"")&amp;""' and Col2 &lt;= date '""&amp;TEXT(L$8,""yyyy-mm-dd"")&amp;""' label sum(Col16) ''"",0)))"),"")</f>
        <v/>
      </c>
      <c r="M259" s="628" t="str">
        <f>IFERROR(__xludf.DUMMYFUNCTION("IF($G259="""","""",IFERROR(query({proventos!$B$5:$Q310},""Select sum(Col16) where Col1 = '""&amp;$G259&amp;""' and Col2 &gt; date '""&amp;TEXT(N$8,""yyyy-mm-dd"")&amp;""' and Col2 &lt;= date '""&amp;TEXT(M$8,""yyyy-mm-dd"")&amp;""' label sum(Col16) ''"",0)))"),"")</f>
        <v/>
      </c>
      <c r="N259" s="628" t="str">
        <f>IFERROR(__xludf.DUMMYFUNCTION("IF($G259="""","""",IFERROR(query({proventos!$B$5:$Q310},""Select sum(Col16) where Col1 = '""&amp;$G259&amp;""' and Col2 &gt; date '""&amp;TEXT(O$8,""yyyy-mm-dd"")&amp;""' and Col2 &lt;= date '""&amp;TEXT(N$8,""yyyy-mm-dd"")&amp;""' label sum(Col16) ''"",0)))"),"")</f>
        <v/>
      </c>
      <c r="O259" s="628" t="str">
        <f>IFERROR(__xludf.DUMMYFUNCTION("IF($G259="""","""",IFERROR(query({proventos!$B$5:$Q310},""Select sum(Col16) where Col1 = '""&amp;$G259&amp;""' and Col2 &gt; date '""&amp;TEXT(P$8,""yyyy-mm-dd"")&amp;""' and Col2 &lt;= date '""&amp;TEXT(O$8,""yyyy-mm-dd"")&amp;""' label sum(Col16) ''"",0)))"),"")</f>
        <v/>
      </c>
      <c r="P259" s="628" t="str">
        <f>IFERROR(__xludf.DUMMYFUNCTION("IF($G259="""","""",IFERROR(query({proventos!$B$5:$Q310},""Select sum(Col16) where Col1 = '""&amp;$G259&amp;""' and Col2 &gt; date '""&amp;TEXT(Q$8,""yyyy-mm-dd"")&amp;""' and Col2 &lt;= date '""&amp;TEXT(P$8,""yyyy-mm-dd"")&amp;""' label sum(Col16) ''"",0)))"),"")</f>
        <v/>
      </c>
      <c r="Q259" s="628" t="str">
        <f>IFERROR(__xludf.DUMMYFUNCTION("IF($G259="""","""",IFERROR(query({proventos!$B$5:$Q310},""Select sum(Col16) where Col1 = '""&amp;$G259&amp;""' and Col2 &gt; date '""&amp;TEXT(R$8,""yyyy-mm-dd"")&amp;""' and Col2 &lt;= date '""&amp;TEXT(Q$8,""yyyy-mm-dd"")&amp;""' label sum(Col16) ''"",0)))"),"")</f>
        <v/>
      </c>
      <c r="R259" s="628" t="str">
        <f>IFERROR(__xludf.DUMMYFUNCTION("IF($G259="""","""",IFERROR(query({proventos!$B$5:$Q310},""Select sum(Col16) where Col1 = '""&amp;$G259&amp;""' and Col2 &gt; date '""&amp;TEXT(S$8,""yyyy-mm-dd"")&amp;""' and Col2 &lt;= date '""&amp;TEXT(R$8,""yyyy-mm-dd"")&amp;""' label sum(Col16) ''"",0)))"),"")</f>
        <v/>
      </c>
      <c r="S259" s="628" t="str">
        <f>IFERROR(__xludf.DUMMYFUNCTION("IF($G259="""","""",IFERROR(query({proventos!$B$5:$Q310},""Select sum(Col16) where Col1 = '""&amp;$G259&amp;""' and Col2 &gt; date '""&amp;TEXT(T$8,""yyyy-mm-dd"")&amp;""' and Col2 &lt;= date '""&amp;TEXT(S$8,""yyyy-mm-dd"")&amp;""' label sum(Col16) ''"",0)))"),"")</f>
        <v/>
      </c>
      <c r="T259" s="628" t="str">
        <f>IFERROR(__xludf.DUMMYFUNCTION("IF($G259="""","""",IFERROR(query({proventos!$B$5:$Q310},""Select sum(Col16) where Col1 = '""&amp;$G259&amp;""' and Col2 &gt; date '""&amp;TEXT(U$8,""yyyy-mm-dd"")&amp;""' and Col2 &lt;= date '""&amp;TEXT(T$8,""yyyy-mm-dd"")&amp;""' label sum(Col16) ''"",0)))"),"")</f>
        <v/>
      </c>
      <c r="U259" s="629" t="str">
        <f>IFERROR(__xludf.DUMMYFUNCTION("IF($G259="""","""",IFERROR(query({proventos!$B$5:$Q310},""Select sum(Col16) where Col1 = '""&amp;$G259&amp;""' and Col2 &gt; date '""&amp;TEXT(EOMONTH(TODAY(),-13),""yyyy-mm-dd"")&amp;""' and Col2 &lt;= date '""&amp;TEXT(U$8,""yyyy-mm-dd"")&amp;""' label sum(Col16) ''"",0)))"),"")</f>
        <v/>
      </c>
      <c r="V259" s="630" t="str">
        <f>IFERROR(__xludf.DUMMYFUNCTION("IF($G259="""","""",IFERROR(query({proventos!$B$5:$Q310},""Select sum(Col16) where Col1 = '""&amp;$G259&amp;""' and Col2 &gt; date '""&amp;TEXT(DATE(V$8,1,1),""yyyy-mm-dd"")&amp;""' and Col2 &lt;= date '""&amp;TEXT(DATE(V$8,12,31),""yyyy-mm-dd"")&amp;""' label sum(Col16) ''"",0)))"),"")</f>
        <v/>
      </c>
      <c r="W259" s="630" t="str">
        <f>IFERROR(__xludf.DUMMYFUNCTION("IF($G259="""","""",IFERROR(query({proventos!$B$5:$Q310},""Select sum(Col16) where Col1 = '""&amp;$G259&amp;""' and Col2 &gt; date '""&amp;TEXT(DATE(W$8,1,1),""yyyy-mm-dd"")&amp;""' and Col2 &lt;= date '""&amp;TEXT(DATE(W$8,12,31),""yyyy-mm-dd"")&amp;""' label sum(Col16) ''"",0)))"),"")</f>
        <v/>
      </c>
      <c r="X259" s="630" t="str">
        <f>IFERROR(__xludf.DUMMYFUNCTION("IF($G259="""","""",IFERROR(query({proventos!$B$5:$Q310},""Select sum(Col16) where Col1 = '""&amp;$G259&amp;""' and Col2 &gt; date '""&amp;TEXT(DATE(X$8,1,1),""yyyy-mm-dd"")&amp;""' and Col2 &lt;= date '""&amp;TEXT(DATE(X$8,12,31),""yyyy-mm-dd"")&amp;""' label sum(Col16) ''"",0)))"),"")</f>
        <v/>
      </c>
      <c r="Y259" s="630" t="str">
        <f>IFERROR(__xludf.DUMMYFUNCTION("IF($G259="""","""",IFERROR(query({proventos!$B$5:$Q310},""Select sum(Col16) where Col1 = '""&amp;$G259&amp;""' and Col2 &gt; date '""&amp;TEXT(DATE(Y$8,1,1),""yyyy-mm-dd"")&amp;""' and Col2 &lt;= date '""&amp;TEXT(DATE(Y$8,12,31),""yyyy-mm-dd"")&amp;""' label sum(Col16) ''"",0)))"),"")</f>
        <v/>
      </c>
      <c r="Z259" s="630" t="str">
        <f>IFERROR(__xludf.DUMMYFUNCTION("IF($G259="""","""",IFERROR(query({proventos!$B$5:$Q310},""Select sum(Col16) where Col1 = '""&amp;$G259&amp;""' and Col2 &gt; date '""&amp;TEXT(DATE(Z$8,1,1),""yyyy-mm-dd"")&amp;""' and Col2 &lt;= date '""&amp;TEXT(DATE(Z$8,12,31),""yyyy-mm-dd"")&amp;""' label sum(Col16) ''"",0)))"),"")</f>
        <v/>
      </c>
      <c r="AA259" s="587"/>
      <c r="AB259" s="578" t="s">
        <v>123</v>
      </c>
      <c r="AC259" s="601"/>
      <c r="AD259" s="636"/>
      <c r="AE259" s="636"/>
    </row>
    <row r="260">
      <c r="A260" s="576"/>
      <c r="B260" s="620"/>
      <c r="C260" s="637"/>
      <c r="D260" s="633"/>
      <c r="E260" s="633"/>
      <c r="F260" s="624">
        <v>250.0</v>
      </c>
      <c r="G260" s="635"/>
      <c r="H260" s="626" t="str">
        <f>if(G260="","",IFERROR(VLOOKUP(G260,AtivosDados,MATCH("provento_avg",portfolio.!$A$3:AE$3,0),FALSE),""))</f>
        <v/>
      </c>
      <c r="I260" s="627" t="s">
        <v>123</v>
      </c>
      <c r="J260" s="628" t="str">
        <f>IFERROR(__xludf.DUMMYFUNCTION("IF($G260="""","""",IFERROR(query({proventos!$B$5:$Q310},""Select sum(Col16) where Col1 = '""&amp;$G260&amp;""' and Col2 &gt; date '""&amp;TEXT(K$8,""yyyy-mm-dd"")&amp;""' and Col2 &lt;= date '""&amp;TEXT(J$8,""yyyy-mm-dd"")&amp;""' label sum(Col16) ''"",0)))"),"")</f>
        <v/>
      </c>
      <c r="K260" s="628" t="str">
        <f>IFERROR(__xludf.DUMMYFUNCTION("IF($G260="""","""",IFERROR(query({proventos!$B$5:$Q310},""Select sum(Col16) where Col1 = '""&amp;$G260&amp;""' and Col2 &gt; date '""&amp;TEXT(L$8,""yyyy-mm-dd"")&amp;""' and Col2 &lt;= date '""&amp;TEXT(K$8,""yyyy-mm-dd"")&amp;""' label sum(Col16) ''"",0)))"),"")</f>
        <v/>
      </c>
      <c r="L260" s="628" t="str">
        <f>IFERROR(__xludf.DUMMYFUNCTION("IF($G260="""","""",IFERROR(query({proventos!$B$5:$Q310},""Select sum(Col16) where Col1 = '""&amp;$G260&amp;""' and Col2 &gt; date '""&amp;TEXT(M$8,""yyyy-mm-dd"")&amp;""' and Col2 &lt;= date '""&amp;TEXT(L$8,""yyyy-mm-dd"")&amp;""' label sum(Col16) ''"",0)))"),"")</f>
        <v/>
      </c>
      <c r="M260" s="628" t="str">
        <f>IFERROR(__xludf.DUMMYFUNCTION("IF($G260="""","""",IFERROR(query({proventos!$B$5:$Q310},""Select sum(Col16) where Col1 = '""&amp;$G260&amp;""' and Col2 &gt; date '""&amp;TEXT(N$8,""yyyy-mm-dd"")&amp;""' and Col2 &lt;= date '""&amp;TEXT(M$8,""yyyy-mm-dd"")&amp;""' label sum(Col16) ''"",0)))"),"")</f>
        <v/>
      </c>
      <c r="N260" s="628" t="str">
        <f>IFERROR(__xludf.DUMMYFUNCTION("IF($G260="""","""",IFERROR(query({proventos!$B$5:$Q310},""Select sum(Col16) where Col1 = '""&amp;$G260&amp;""' and Col2 &gt; date '""&amp;TEXT(O$8,""yyyy-mm-dd"")&amp;""' and Col2 &lt;= date '""&amp;TEXT(N$8,""yyyy-mm-dd"")&amp;""' label sum(Col16) ''"",0)))"),"")</f>
        <v/>
      </c>
      <c r="O260" s="628" t="str">
        <f>IFERROR(__xludf.DUMMYFUNCTION("IF($G260="""","""",IFERROR(query({proventos!$B$5:$Q310},""Select sum(Col16) where Col1 = '""&amp;$G260&amp;""' and Col2 &gt; date '""&amp;TEXT(P$8,""yyyy-mm-dd"")&amp;""' and Col2 &lt;= date '""&amp;TEXT(O$8,""yyyy-mm-dd"")&amp;""' label sum(Col16) ''"",0)))"),"")</f>
        <v/>
      </c>
      <c r="P260" s="628" t="str">
        <f>IFERROR(__xludf.DUMMYFUNCTION("IF($G260="""","""",IFERROR(query({proventos!$B$5:$Q310},""Select sum(Col16) where Col1 = '""&amp;$G260&amp;""' and Col2 &gt; date '""&amp;TEXT(Q$8,""yyyy-mm-dd"")&amp;""' and Col2 &lt;= date '""&amp;TEXT(P$8,""yyyy-mm-dd"")&amp;""' label sum(Col16) ''"",0)))"),"")</f>
        <v/>
      </c>
      <c r="Q260" s="628" t="str">
        <f>IFERROR(__xludf.DUMMYFUNCTION("IF($G260="""","""",IFERROR(query({proventos!$B$5:$Q310},""Select sum(Col16) where Col1 = '""&amp;$G260&amp;""' and Col2 &gt; date '""&amp;TEXT(R$8,""yyyy-mm-dd"")&amp;""' and Col2 &lt;= date '""&amp;TEXT(Q$8,""yyyy-mm-dd"")&amp;""' label sum(Col16) ''"",0)))"),"")</f>
        <v/>
      </c>
      <c r="R260" s="628" t="str">
        <f>IFERROR(__xludf.DUMMYFUNCTION("IF($G260="""","""",IFERROR(query({proventos!$B$5:$Q310},""Select sum(Col16) where Col1 = '""&amp;$G260&amp;""' and Col2 &gt; date '""&amp;TEXT(S$8,""yyyy-mm-dd"")&amp;""' and Col2 &lt;= date '""&amp;TEXT(R$8,""yyyy-mm-dd"")&amp;""' label sum(Col16) ''"",0)))"),"")</f>
        <v/>
      </c>
      <c r="S260" s="628" t="str">
        <f>IFERROR(__xludf.DUMMYFUNCTION("IF($G260="""","""",IFERROR(query({proventos!$B$5:$Q310},""Select sum(Col16) where Col1 = '""&amp;$G260&amp;""' and Col2 &gt; date '""&amp;TEXT(T$8,""yyyy-mm-dd"")&amp;""' and Col2 &lt;= date '""&amp;TEXT(S$8,""yyyy-mm-dd"")&amp;""' label sum(Col16) ''"",0)))"),"")</f>
        <v/>
      </c>
      <c r="T260" s="628" t="str">
        <f>IFERROR(__xludf.DUMMYFUNCTION("IF($G260="""","""",IFERROR(query({proventos!$B$5:$Q310},""Select sum(Col16) where Col1 = '""&amp;$G260&amp;""' and Col2 &gt; date '""&amp;TEXT(U$8,""yyyy-mm-dd"")&amp;""' and Col2 &lt;= date '""&amp;TEXT(T$8,""yyyy-mm-dd"")&amp;""' label sum(Col16) ''"",0)))"),"")</f>
        <v/>
      </c>
      <c r="U260" s="629" t="str">
        <f>IFERROR(__xludf.DUMMYFUNCTION("IF($G260="""","""",IFERROR(query({proventos!$B$5:$Q310},""Select sum(Col16) where Col1 = '""&amp;$G260&amp;""' and Col2 &gt; date '""&amp;TEXT(EOMONTH(TODAY(),-13),""yyyy-mm-dd"")&amp;""' and Col2 &lt;= date '""&amp;TEXT(U$8,""yyyy-mm-dd"")&amp;""' label sum(Col16) ''"",0)))"),"")</f>
        <v/>
      </c>
      <c r="V260" s="630" t="str">
        <f>IFERROR(__xludf.DUMMYFUNCTION("IF($G260="""","""",IFERROR(query({proventos!$B$5:$Q310},""Select sum(Col16) where Col1 = '""&amp;$G260&amp;""' and Col2 &gt; date '""&amp;TEXT(DATE(V$8,1,1),""yyyy-mm-dd"")&amp;""' and Col2 &lt;= date '""&amp;TEXT(DATE(V$8,12,31),""yyyy-mm-dd"")&amp;""' label sum(Col16) ''"",0)))"),"")</f>
        <v/>
      </c>
      <c r="W260" s="630" t="str">
        <f>IFERROR(__xludf.DUMMYFUNCTION("IF($G260="""","""",IFERROR(query({proventos!$B$5:$Q310},""Select sum(Col16) where Col1 = '""&amp;$G260&amp;""' and Col2 &gt; date '""&amp;TEXT(DATE(W$8,1,1),""yyyy-mm-dd"")&amp;""' and Col2 &lt;= date '""&amp;TEXT(DATE(W$8,12,31),""yyyy-mm-dd"")&amp;""' label sum(Col16) ''"",0)))"),"")</f>
        <v/>
      </c>
      <c r="X260" s="630" t="str">
        <f>IFERROR(__xludf.DUMMYFUNCTION("IF($G260="""","""",IFERROR(query({proventos!$B$5:$Q310},""Select sum(Col16) where Col1 = '""&amp;$G260&amp;""' and Col2 &gt; date '""&amp;TEXT(DATE(X$8,1,1),""yyyy-mm-dd"")&amp;""' and Col2 &lt;= date '""&amp;TEXT(DATE(X$8,12,31),""yyyy-mm-dd"")&amp;""' label sum(Col16) ''"",0)))"),"")</f>
        <v/>
      </c>
      <c r="Y260" s="630" t="str">
        <f>IFERROR(__xludf.DUMMYFUNCTION("IF($G260="""","""",IFERROR(query({proventos!$B$5:$Q310},""Select sum(Col16) where Col1 = '""&amp;$G260&amp;""' and Col2 &gt; date '""&amp;TEXT(DATE(Y$8,1,1),""yyyy-mm-dd"")&amp;""' and Col2 &lt;= date '""&amp;TEXT(DATE(Y$8,12,31),""yyyy-mm-dd"")&amp;""' label sum(Col16) ''"",0)))"),"")</f>
        <v/>
      </c>
      <c r="Z260" s="630" t="str">
        <f>IFERROR(__xludf.DUMMYFUNCTION("IF($G260="""","""",IFERROR(query({proventos!$B$5:$Q310},""Select sum(Col16) where Col1 = '""&amp;$G260&amp;""' and Col2 &gt; date '""&amp;TEXT(DATE(Z$8,1,1),""yyyy-mm-dd"")&amp;""' and Col2 &lt;= date '""&amp;TEXT(DATE(Z$8,12,31),""yyyy-mm-dd"")&amp;""' label sum(Col16) ''"",0)))"),"")</f>
        <v/>
      </c>
      <c r="AA260" s="587"/>
      <c r="AB260" s="578" t="s">
        <v>123</v>
      </c>
      <c r="AC260" s="601"/>
      <c r="AD260" s="636"/>
      <c r="AE260" s="636"/>
    </row>
    <row r="261">
      <c r="A261" s="576"/>
      <c r="B261" s="620"/>
      <c r="C261" s="637"/>
      <c r="D261" s="633"/>
      <c r="E261" s="633"/>
      <c r="F261" s="624">
        <v>251.0</v>
      </c>
      <c r="G261" s="635"/>
      <c r="H261" s="626" t="str">
        <f>if(G261="","",IFERROR(VLOOKUP(G261,AtivosDados,MATCH("provento_avg",portfolio.!$A$3:AE$3,0),FALSE),""))</f>
        <v/>
      </c>
      <c r="I261" s="627" t="s">
        <v>123</v>
      </c>
      <c r="J261" s="628" t="str">
        <f>IFERROR(__xludf.DUMMYFUNCTION("IF($G261="""","""",IFERROR(query({proventos!$B$5:$Q310},""Select sum(Col16) where Col1 = '""&amp;$G261&amp;""' and Col2 &gt; date '""&amp;TEXT(K$8,""yyyy-mm-dd"")&amp;""' and Col2 &lt;= date '""&amp;TEXT(J$8,""yyyy-mm-dd"")&amp;""' label sum(Col16) ''"",0)))"),"")</f>
        <v/>
      </c>
      <c r="K261" s="628" t="str">
        <f>IFERROR(__xludf.DUMMYFUNCTION("IF($G261="""","""",IFERROR(query({proventos!$B$5:$Q310},""Select sum(Col16) where Col1 = '""&amp;$G261&amp;""' and Col2 &gt; date '""&amp;TEXT(L$8,""yyyy-mm-dd"")&amp;""' and Col2 &lt;= date '""&amp;TEXT(K$8,""yyyy-mm-dd"")&amp;""' label sum(Col16) ''"",0)))"),"")</f>
        <v/>
      </c>
      <c r="L261" s="628" t="str">
        <f>IFERROR(__xludf.DUMMYFUNCTION("IF($G261="""","""",IFERROR(query({proventos!$B$5:$Q310},""Select sum(Col16) where Col1 = '""&amp;$G261&amp;""' and Col2 &gt; date '""&amp;TEXT(M$8,""yyyy-mm-dd"")&amp;""' and Col2 &lt;= date '""&amp;TEXT(L$8,""yyyy-mm-dd"")&amp;""' label sum(Col16) ''"",0)))"),"")</f>
        <v/>
      </c>
      <c r="M261" s="628" t="str">
        <f>IFERROR(__xludf.DUMMYFUNCTION("IF($G261="""","""",IFERROR(query({proventos!$B$5:$Q310},""Select sum(Col16) where Col1 = '""&amp;$G261&amp;""' and Col2 &gt; date '""&amp;TEXT(N$8,""yyyy-mm-dd"")&amp;""' and Col2 &lt;= date '""&amp;TEXT(M$8,""yyyy-mm-dd"")&amp;""' label sum(Col16) ''"",0)))"),"")</f>
        <v/>
      </c>
      <c r="N261" s="628" t="str">
        <f>IFERROR(__xludf.DUMMYFUNCTION("IF($G261="""","""",IFERROR(query({proventos!$B$5:$Q310},""Select sum(Col16) where Col1 = '""&amp;$G261&amp;""' and Col2 &gt; date '""&amp;TEXT(O$8,""yyyy-mm-dd"")&amp;""' and Col2 &lt;= date '""&amp;TEXT(N$8,""yyyy-mm-dd"")&amp;""' label sum(Col16) ''"",0)))"),"")</f>
        <v/>
      </c>
      <c r="O261" s="628" t="str">
        <f>IFERROR(__xludf.DUMMYFUNCTION("IF($G261="""","""",IFERROR(query({proventos!$B$5:$Q310},""Select sum(Col16) where Col1 = '""&amp;$G261&amp;""' and Col2 &gt; date '""&amp;TEXT(P$8,""yyyy-mm-dd"")&amp;""' and Col2 &lt;= date '""&amp;TEXT(O$8,""yyyy-mm-dd"")&amp;""' label sum(Col16) ''"",0)))"),"")</f>
        <v/>
      </c>
      <c r="P261" s="628" t="str">
        <f>IFERROR(__xludf.DUMMYFUNCTION("IF($G261="""","""",IFERROR(query({proventos!$B$5:$Q310},""Select sum(Col16) where Col1 = '""&amp;$G261&amp;""' and Col2 &gt; date '""&amp;TEXT(Q$8,""yyyy-mm-dd"")&amp;""' and Col2 &lt;= date '""&amp;TEXT(P$8,""yyyy-mm-dd"")&amp;""' label sum(Col16) ''"",0)))"),"")</f>
        <v/>
      </c>
      <c r="Q261" s="628" t="str">
        <f>IFERROR(__xludf.DUMMYFUNCTION("IF($G261="""","""",IFERROR(query({proventos!$B$5:$Q310},""Select sum(Col16) where Col1 = '""&amp;$G261&amp;""' and Col2 &gt; date '""&amp;TEXT(R$8,""yyyy-mm-dd"")&amp;""' and Col2 &lt;= date '""&amp;TEXT(Q$8,""yyyy-mm-dd"")&amp;""' label sum(Col16) ''"",0)))"),"")</f>
        <v/>
      </c>
      <c r="R261" s="628" t="str">
        <f>IFERROR(__xludf.DUMMYFUNCTION("IF($G261="""","""",IFERROR(query({proventos!$B$5:$Q310},""Select sum(Col16) where Col1 = '""&amp;$G261&amp;""' and Col2 &gt; date '""&amp;TEXT(S$8,""yyyy-mm-dd"")&amp;""' and Col2 &lt;= date '""&amp;TEXT(R$8,""yyyy-mm-dd"")&amp;""' label sum(Col16) ''"",0)))"),"")</f>
        <v/>
      </c>
      <c r="S261" s="628" t="str">
        <f>IFERROR(__xludf.DUMMYFUNCTION("IF($G261="""","""",IFERROR(query({proventos!$B$5:$Q310},""Select sum(Col16) where Col1 = '""&amp;$G261&amp;""' and Col2 &gt; date '""&amp;TEXT(T$8,""yyyy-mm-dd"")&amp;""' and Col2 &lt;= date '""&amp;TEXT(S$8,""yyyy-mm-dd"")&amp;""' label sum(Col16) ''"",0)))"),"")</f>
        <v/>
      </c>
      <c r="T261" s="628" t="str">
        <f>IFERROR(__xludf.DUMMYFUNCTION("IF($G261="""","""",IFERROR(query({proventos!$B$5:$Q310},""Select sum(Col16) where Col1 = '""&amp;$G261&amp;""' and Col2 &gt; date '""&amp;TEXT(U$8,""yyyy-mm-dd"")&amp;""' and Col2 &lt;= date '""&amp;TEXT(T$8,""yyyy-mm-dd"")&amp;""' label sum(Col16) ''"",0)))"),"")</f>
        <v/>
      </c>
      <c r="U261" s="629" t="str">
        <f>IFERROR(__xludf.DUMMYFUNCTION("IF($G261="""","""",IFERROR(query({proventos!$B$5:$Q310},""Select sum(Col16) where Col1 = '""&amp;$G261&amp;""' and Col2 &gt; date '""&amp;TEXT(EOMONTH(TODAY(),-13),""yyyy-mm-dd"")&amp;""' and Col2 &lt;= date '""&amp;TEXT(U$8,""yyyy-mm-dd"")&amp;""' label sum(Col16) ''"",0)))"),"")</f>
        <v/>
      </c>
      <c r="V261" s="630" t="str">
        <f>IFERROR(__xludf.DUMMYFUNCTION("IF($G261="""","""",IFERROR(query({proventos!$B$5:$Q310},""Select sum(Col16) where Col1 = '""&amp;$G261&amp;""' and Col2 &gt; date '""&amp;TEXT(DATE(V$8,1,1),""yyyy-mm-dd"")&amp;""' and Col2 &lt;= date '""&amp;TEXT(DATE(V$8,12,31),""yyyy-mm-dd"")&amp;""' label sum(Col16) ''"",0)))"),"")</f>
        <v/>
      </c>
      <c r="W261" s="630" t="str">
        <f>IFERROR(__xludf.DUMMYFUNCTION("IF($G261="""","""",IFERROR(query({proventos!$B$5:$Q310},""Select sum(Col16) where Col1 = '""&amp;$G261&amp;""' and Col2 &gt; date '""&amp;TEXT(DATE(W$8,1,1),""yyyy-mm-dd"")&amp;""' and Col2 &lt;= date '""&amp;TEXT(DATE(W$8,12,31),""yyyy-mm-dd"")&amp;""' label sum(Col16) ''"",0)))"),"")</f>
        <v/>
      </c>
      <c r="X261" s="630" t="str">
        <f>IFERROR(__xludf.DUMMYFUNCTION("IF($G261="""","""",IFERROR(query({proventos!$B$5:$Q310},""Select sum(Col16) where Col1 = '""&amp;$G261&amp;""' and Col2 &gt; date '""&amp;TEXT(DATE(X$8,1,1),""yyyy-mm-dd"")&amp;""' and Col2 &lt;= date '""&amp;TEXT(DATE(X$8,12,31),""yyyy-mm-dd"")&amp;""' label sum(Col16) ''"",0)))"),"")</f>
        <v/>
      </c>
      <c r="Y261" s="630" t="str">
        <f>IFERROR(__xludf.DUMMYFUNCTION("IF($G261="""","""",IFERROR(query({proventos!$B$5:$Q310},""Select sum(Col16) where Col1 = '""&amp;$G261&amp;""' and Col2 &gt; date '""&amp;TEXT(DATE(Y$8,1,1),""yyyy-mm-dd"")&amp;""' and Col2 &lt;= date '""&amp;TEXT(DATE(Y$8,12,31),""yyyy-mm-dd"")&amp;""' label sum(Col16) ''"",0)))"),"")</f>
        <v/>
      </c>
      <c r="Z261" s="630" t="str">
        <f>IFERROR(__xludf.DUMMYFUNCTION("IF($G261="""","""",IFERROR(query({proventos!$B$5:$Q310},""Select sum(Col16) where Col1 = '""&amp;$G261&amp;""' and Col2 &gt; date '""&amp;TEXT(DATE(Z$8,1,1),""yyyy-mm-dd"")&amp;""' and Col2 &lt;= date '""&amp;TEXT(DATE(Z$8,12,31),""yyyy-mm-dd"")&amp;""' label sum(Col16) ''"",0)))"),"")</f>
        <v/>
      </c>
      <c r="AA261" s="587"/>
      <c r="AB261" s="578" t="s">
        <v>123</v>
      </c>
      <c r="AC261" s="601"/>
      <c r="AD261" s="636"/>
      <c r="AE261" s="636"/>
    </row>
    <row r="262">
      <c r="A262" s="576"/>
      <c r="B262" s="620"/>
      <c r="C262" s="637"/>
      <c r="D262" s="633"/>
      <c r="E262" s="633"/>
      <c r="F262" s="624">
        <v>252.0</v>
      </c>
      <c r="G262" s="635"/>
      <c r="H262" s="626" t="str">
        <f>if(G262="","",IFERROR(VLOOKUP(G262,AtivosDados,MATCH("provento_avg",portfolio.!$A$3:AE$3,0),FALSE),""))</f>
        <v/>
      </c>
      <c r="I262" s="627" t="s">
        <v>123</v>
      </c>
      <c r="J262" s="628" t="str">
        <f>IFERROR(__xludf.DUMMYFUNCTION("IF($G262="""","""",IFERROR(query({proventos!$B$5:$Q310},""Select sum(Col16) where Col1 = '""&amp;$G262&amp;""' and Col2 &gt; date '""&amp;TEXT(K$8,""yyyy-mm-dd"")&amp;""' and Col2 &lt;= date '""&amp;TEXT(J$8,""yyyy-mm-dd"")&amp;""' label sum(Col16) ''"",0)))"),"")</f>
        <v/>
      </c>
      <c r="K262" s="628" t="str">
        <f>IFERROR(__xludf.DUMMYFUNCTION("IF($G262="""","""",IFERROR(query({proventos!$B$5:$Q310},""Select sum(Col16) where Col1 = '""&amp;$G262&amp;""' and Col2 &gt; date '""&amp;TEXT(L$8,""yyyy-mm-dd"")&amp;""' and Col2 &lt;= date '""&amp;TEXT(K$8,""yyyy-mm-dd"")&amp;""' label sum(Col16) ''"",0)))"),"")</f>
        <v/>
      </c>
      <c r="L262" s="628" t="str">
        <f>IFERROR(__xludf.DUMMYFUNCTION("IF($G262="""","""",IFERROR(query({proventos!$B$5:$Q310},""Select sum(Col16) where Col1 = '""&amp;$G262&amp;""' and Col2 &gt; date '""&amp;TEXT(M$8,""yyyy-mm-dd"")&amp;""' and Col2 &lt;= date '""&amp;TEXT(L$8,""yyyy-mm-dd"")&amp;""' label sum(Col16) ''"",0)))"),"")</f>
        <v/>
      </c>
      <c r="M262" s="628" t="str">
        <f>IFERROR(__xludf.DUMMYFUNCTION("IF($G262="""","""",IFERROR(query({proventos!$B$5:$Q310},""Select sum(Col16) where Col1 = '""&amp;$G262&amp;""' and Col2 &gt; date '""&amp;TEXT(N$8,""yyyy-mm-dd"")&amp;""' and Col2 &lt;= date '""&amp;TEXT(M$8,""yyyy-mm-dd"")&amp;""' label sum(Col16) ''"",0)))"),"")</f>
        <v/>
      </c>
      <c r="N262" s="628" t="str">
        <f>IFERROR(__xludf.DUMMYFUNCTION("IF($G262="""","""",IFERROR(query({proventos!$B$5:$Q310},""Select sum(Col16) where Col1 = '""&amp;$G262&amp;""' and Col2 &gt; date '""&amp;TEXT(O$8,""yyyy-mm-dd"")&amp;""' and Col2 &lt;= date '""&amp;TEXT(N$8,""yyyy-mm-dd"")&amp;""' label sum(Col16) ''"",0)))"),"")</f>
        <v/>
      </c>
      <c r="O262" s="628" t="str">
        <f>IFERROR(__xludf.DUMMYFUNCTION("IF($G262="""","""",IFERROR(query({proventos!$B$5:$Q310},""Select sum(Col16) where Col1 = '""&amp;$G262&amp;""' and Col2 &gt; date '""&amp;TEXT(P$8,""yyyy-mm-dd"")&amp;""' and Col2 &lt;= date '""&amp;TEXT(O$8,""yyyy-mm-dd"")&amp;""' label sum(Col16) ''"",0)))"),"")</f>
        <v/>
      </c>
      <c r="P262" s="628" t="str">
        <f>IFERROR(__xludf.DUMMYFUNCTION("IF($G262="""","""",IFERROR(query({proventos!$B$5:$Q310},""Select sum(Col16) where Col1 = '""&amp;$G262&amp;""' and Col2 &gt; date '""&amp;TEXT(Q$8,""yyyy-mm-dd"")&amp;""' and Col2 &lt;= date '""&amp;TEXT(P$8,""yyyy-mm-dd"")&amp;""' label sum(Col16) ''"",0)))"),"")</f>
        <v/>
      </c>
      <c r="Q262" s="628" t="str">
        <f>IFERROR(__xludf.DUMMYFUNCTION("IF($G262="""","""",IFERROR(query({proventos!$B$5:$Q310},""Select sum(Col16) where Col1 = '""&amp;$G262&amp;""' and Col2 &gt; date '""&amp;TEXT(R$8,""yyyy-mm-dd"")&amp;""' and Col2 &lt;= date '""&amp;TEXT(Q$8,""yyyy-mm-dd"")&amp;""' label sum(Col16) ''"",0)))"),"")</f>
        <v/>
      </c>
      <c r="R262" s="628" t="str">
        <f>IFERROR(__xludf.DUMMYFUNCTION("IF($G262="""","""",IFERROR(query({proventos!$B$5:$Q310},""Select sum(Col16) where Col1 = '""&amp;$G262&amp;""' and Col2 &gt; date '""&amp;TEXT(S$8,""yyyy-mm-dd"")&amp;""' and Col2 &lt;= date '""&amp;TEXT(R$8,""yyyy-mm-dd"")&amp;""' label sum(Col16) ''"",0)))"),"")</f>
        <v/>
      </c>
      <c r="S262" s="628" t="str">
        <f>IFERROR(__xludf.DUMMYFUNCTION("IF($G262="""","""",IFERROR(query({proventos!$B$5:$Q310},""Select sum(Col16) where Col1 = '""&amp;$G262&amp;""' and Col2 &gt; date '""&amp;TEXT(T$8,""yyyy-mm-dd"")&amp;""' and Col2 &lt;= date '""&amp;TEXT(S$8,""yyyy-mm-dd"")&amp;""' label sum(Col16) ''"",0)))"),"")</f>
        <v/>
      </c>
      <c r="T262" s="628" t="str">
        <f>IFERROR(__xludf.DUMMYFUNCTION("IF($G262="""","""",IFERROR(query({proventos!$B$5:$Q310},""Select sum(Col16) where Col1 = '""&amp;$G262&amp;""' and Col2 &gt; date '""&amp;TEXT(U$8,""yyyy-mm-dd"")&amp;""' and Col2 &lt;= date '""&amp;TEXT(T$8,""yyyy-mm-dd"")&amp;""' label sum(Col16) ''"",0)))"),"")</f>
        <v/>
      </c>
      <c r="U262" s="629" t="str">
        <f>IFERROR(__xludf.DUMMYFUNCTION("IF($G262="""","""",IFERROR(query({proventos!$B$5:$Q310},""Select sum(Col16) where Col1 = '""&amp;$G262&amp;""' and Col2 &gt; date '""&amp;TEXT(EOMONTH(TODAY(),-13),""yyyy-mm-dd"")&amp;""' and Col2 &lt;= date '""&amp;TEXT(U$8,""yyyy-mm-dd"")&amp;""' label sum(Col16) ''"",0)))"),"")</f>
        <v/>
      </c>
      <c r="V262" s="630" t="str">
        <f>IFERROR(__xludf.DUMMYFUNCTION("IF($G262="""","""",IFERROR(query({proventos!$B$5:$Q310},""Select sum(Col16) where Col1 = '""&amp;$G262&amp;""' and Col2 &gt; date '""&amp;TEXT(DATE(V$8,1,1),""yyyy-mm-dd"")&amp;""' and Col2 &lt;= date '""&amp;TEXT(DATE(V$8,12,31),""yyyy-mm-dd"")&amp;""' label sum(Col16) ''"",0)))"),"")</f>
        <v/>
      </c>
      <c r="W262" s="630" t="str">
        <f>IFERROR(__xludf.DUMMYFUNCTION("IF($G262="""","""",IFERROR(query({proventos!$B$5:$Q310},""Select sum(Col16) where Col1 = '""&amp;$G262&amp;""' and Col2 &gt; date '""&amp;TEXT(DATE(W$8,1,1),""yyyy-mm-dd"")&amp;""' and Col2 &lt;= date '""&amp;TEXT(DATE(W$8,12,31),""yyyy-mm-dd"")&amp;""' label sum(Col16) ''"",0)))"),"")</f>
        <v/>
      </c>
      <c r="X262" s="630" t="str">
        <f>IFERROR(__xludf.DUMMYFUNCTION("IF($G262="""","""",IFERROR(query({proventos!$B$5:$Q310},""Select sum(Col16) where Col1 = '""&amp;$G262&amp;""' and Col2 &gt; date '""&amp;TEXT(DATE(X$8,1,1),""yyyy-mm-dd"")&amp;""' and Col2 &lt;= date '""&amp;TEXT(DATE(X$8,12,31),""yyyy-mm-dd"")&amp;""' label sum(Col16) ''"",0)))"),"")</f>
        <v/>
      </c>
      <c r="Y262" s="630" t="str">
        <f>IFERROR(__xludf.DUMMYFUNCTION("IF($G262="""","""",IFERROR(query({proventos!$B$5:$Q310},""Select sum(Col16) where Col1 = '""&amp;$G262&amp;""' and Col2 &gt; date '""&amp;TEXT(DATE(Y$8,1,1),""yyyy-mm-dd"")&amp;""' and Col2 &lt;= date '""&amp;TEXT(DATE(Y$8,12,31),""yyyy-mm-dd"")&amp;""' label sum(Col16) ''"",0)))"),"")</f>
        <v/>
      </c>
      <c r="Z262" s="630" t="str">
        <f>IFERROR(__xludf.DUMMYFUNCTION("IF($G262="""","""",IFERROR(query({proventos!$B$5:$Q310},""Select sum(Col16) where Col1 = '""&amp;$G262&amp;""' and Col2 &gt; date '""&amp;TEXT(DATE(Z$8,1,1),""yyyy-mm-dd"")&amp;""' and Col2 &lt;= date '""&amp;TEXT(DATE(Z$8,12,31),""yyyy-mm-dd"")&amp;""' label sum(Col16) ''"",0)))"),"")</f>
        <v/>
      </c>
      <c r="AA262" s="587"/>
      <c r="AB262" s="578" t="s">
        <v>123</v>
      </c>
      <c r="AC262" s="601"/>
      <c r="AD262" s="636"/>
      <c r="AE262" s="636"/>
    </row>
    <row r="263">
      <c r="A263" s="576"/>
      <c r="B263" s="620"/>
      <c r="C263" s="637"/>
      <c r="D263" s="633"/>
      <c r="E263" s="633"/>
      <c r="F263" s="624">
        <v>253.0</v>
      </c>
      <c r="G263" s="635"/>
      <c r="H263" s="626" t="str">
        <f>if(G263="","",IFERROR(VLOOKUP(G263,AtivosDados,MATCH("provento_avg",portfolio.!$A$3:AE$3,0),FALSE),""))</f>
        <v/>
      </c>
      <c r="I263" s="627" t="s">
        <v>123</v>
      </c>
      <c r="J263" s="628" t="str">
        <f>IFERROR(__xludf.DUMMYFUNCTION("IF($G263="""","""",IFERROR(query({proventos!$B$5:$Q310},""Select sum(Col16) where Col1 = '""&amp;$G263&amp;""' and Col2 &gt; date '""&amp;TEXT(K$8,""yyyy-mm-dd"")&amp;""' and Col2 &lt;= date '""&amp;TEXT(J$8,""yyyy-mm-dd"")&amp;""' label sum(Col16) ''"",0)))"),"")</f>
        <v/>
      </c>
      <c r="K263" s="628" t="str">
        <f>IFERROR(__xludf.DUMMYFUNCTION("IF($G263="""","""",IFERROR(query({proventos!$B$5:$Q310},""Select sum(Col16) where Col1 = '""&amp;$G263&amp;""' and Col2 &gt; date '""&amp;TEXT(L$8,""yyyy-mm-dd"")&amp;""' and Col2 &lt;= date '""&amp;TEXT(K$8,""yyyy-mm-dd"")&amp;""' label sum(Col16) ''"",0)))"),"")</f>
        <v/>
      </c>
      <c r="L263" s="628" t="str">
        <f>IFERROR(__xludf.DUMMYFUNCTION("IF($G263="""","""",IFERROR(query({proventos!$B$5:$Q310},""Select sum(Col16) where Col1 = '""&amp;$G263&amp;""' and Col2 &gt; date '""&amp;TEXT(M$8,""yyyy-mm-dd"")&amp;""' and Col2 &lt;= date '""&amp;TEXT(L$8,""yyyy-mm-dd"")&amp;""' label sum(Col16) ''"",0)))"),"")</f>
        <v/>
      </c>
      <c r="M263" s="628" t="str">
        <f>IFERROR(__xludf.DUMMYFUNCTION("IF($G263="""","""",IFERROR(query({proventos!$B$5:$Q310},""Select sum(Col16) where Col1 = '""&amp;$G263&amp;""' and Col2 &gt; date '""&amp;TEXT(N$8,""yyyy-mm-dd"")&amp;""' and Col2 &lt;= date '""&amp;TEXT(M$8,""yyyy-mm-dd"")&amp;""' label sum(Col16) ''"",0)))"),"")</f>
        <v/>
      </c>
      <c r="N263" s="628" t="str">
        <f>IFERROR(__xludf.DUMMYFUNCTION("IF($G263="""","""",IFERROR(query({proventos!$B$5:$Q310},""Select sum(Col16) where Col1 = '""&amp;$G263&amp;""' and Col2 &gt; date '""&amp;TEXT(O$8,""yyyy-mm-dd"")&amp;""' and Col2 &lt;= date '""&amp;TEXT(N$8,""yyyy-mm-dd"")&amp;""' label sum(Col16) ''"",0)))"),"")</f>
        <v/>
      </c>
      <c r="O263" s="628" t="str">
        <f>IFERROR(__xludf.DUMMYFUNCTION("IF($G263="""","""",IFERROR(query({proventos!$B$5:$Q310},""Select sum(Col16) where Col1 = '""&amp;$G263&amp;""' and Col2 &gt; date '""&amp;TEXT(P$8,""yyyy-mm-dd"")&amp;""' and Col2 &lt;= date '""&amp;TEXT(O$8,""yyyy-mm-dd"")&amp;""' label sum(Col16) ''"",0)))"),"")</f>
        <v/>
      </c>
      <c r="P263" s="628" t="str">
        <f>IFERROR(__xludf.DUMMYFUNCTION("IF($G263="""","""",IFERROR(query({proventos!$B$5:$Q310},""Select sum(Col16) where Col1 = '""&amp;$G263&amp;""' and Col2 &gt; date '""&amp;TEXT(Q$8,""yyyy-mm-dd"")&amp;""' and Col2 &lt;= date '""&amp;TEXT(P$8,""yyyy-mm-dd"")&amp;""' label sum(Col16) ''"",0)))"),"")</f>
        <v/>
      </c>
      <c r="Q263" s="628" t="str">
        <f>IFERROR(__xludf.DUMMYFUNCTION("IF($G263="""","""",IFERROR(query({proventos!$B$5:$Q310},""Select sum(Col16) where Col1 = '""&amp;$G263&amp;""' and Col2 &gt; date '""&amp;TEXT(R$8,""yyyy-mm-dd"")&amp;""' and Col2 &lt;= date '""&amp;TEXT(Q$8,""yyyy-mm-dd"")&amp;""' label sum(Col16) ''"",0)))"),"")</f>
        <v/>
      </c>
      <c r="R263" s="628" t="str">
        <f>IFERROR(__xludf.DUMMYFUNCTION("IF($G263="""","""",IFERROR(query({proventos!$B$5:$Q310},""Select sum(Col16) where Col1 = '""&amp;$G263&amp;""' and Col2 &gt; date '""&amp;TEXT(S$8,""yyyy-mm-dd"")&amp;""' and Col2 &lt;= date '""&amp;TEXT(R$8,""yyyy-mm-dd"")&amp;""' label sum(Col16) ''"",0)))"),"")</f>
        <v/>
      </c>
      <c r="S263" s="628" t="str">
        <f>IFERROR(__xludf.DUMMYFUNCTION("IF($G263="""","""",IFERROR(query({proventos!$B$5:$Q310},""Select sum(Col16) where Col1 = '""&amp;$G263&amp;""' and Col2 &gt; date '""&amp;TEXT(T$8,""yyyy-mm-dd"")&amp;""' and Col2 &lt;= date '""&amp;TEXT(S$8,""yyyy-mm-dd"")&amp;""' label sum(Col16) ''"",0)))"),"")</f>
        <v/>
      </c>
      <c r="T263" s="628" t="str">
        <f>IFERROR(__xludf.DUMMYFUNCTION("IF($G263="""","""",IFERROR(query({proventos!$B$5:$Q310},""Select sum(Col16) where Col1 = '""&amp;$G263&amp;""' and Col2 &gt; date '""&amp;TEXT(U$8,""yyyy-mm-dd"")&amp;""' and Col2 &lt;= date '""&amp;TEXT(T$8,""yyyy-mm-dd"")&amp;""' label sum(Col16) ''"",0)))"),"")</f>
        <v/>
      </c>
      <c r="U263" s="629" t="str">
        <f>IFERROR(__xludf.DUMMYFUNCTION("IF($G263="""","""",IFERROR(query({proventos!$B$5:$Q310},""Select sum(Col16) where Col1 = '""&amp;$G263&amp;""' and Col2 &gt; date '""&amp;TEXT(EOMONTH(TODAY(),-13),""yyyy-mm-dd"")&amp;""' and Col2 &lt;= date '""&amp;TEXT(U$8,""yyyy-mm-dd"")&amp;""' label sum(Col16) ''"",0)))"),"")</f>
        <v/>
      </c>
      <c r="V263" s="630" t="str">
        <f>IFERROR(__xludf.DUMMYFUNCTION("IF($G263="""","""",IFERROR(query({proventos!$B$5:$Q310},""Select sum(Col16) where Col1 = '""&amp;$G263&amp;""' and Col2 &gt; date '""&amp;TEXT(DATE(V$8,1,1),""yyyy-mm-dd"")&amp;""' and Col2 &lt;= date '""&amp;TEXT(DATE(V$8,12,31),""yyyy-mm-dd"")&amp;""' label sum(Col16) ''"",0)))"),"")</f>
        <v/>
      </c>
      <c r="W263" s="630" t="str">
        <f>IFERROR(__xludf.DUMMYFUNCTION("IF($G263="""","""",IFERROR(query({proventos!$B$5:$Q310},""Select sum(Col16) where Col1 = '""&amp;$G263&amp;""' and Col2 &gt; date '""&amp;TEXT(DATE(W$8,1,1),""yyyy-mm-dd"")&amp;""' and Col2 &lt;= date '""&amp;TEXT(DATE(W$8,12,31),""yyyy-mm-dd"")&amp;""' label sum(Col16) ''"",0)))"),"")</f>
        <v/>
      </c>
      <c r="X263" s="630" t="str">
        <f>IFERROR(__xludf.DUMMYFUNCTION("IF($G263="""","""",IFERROR(query({proventos!$B$5:$Q310},""Select sum(Col16) where Col1 = '""&amp;$G263&amp;""' and Col2 &gt; date '""&amp;TEXT(DATE(X$8,1,1),""yyyy-mm-dd"")&amp;""' and Col2 &lt;= date '""&amp;TEXT(DATE(X$8,12,31),""yyyy-mm-dd"")&amp;""' label sum(Col16) ''"",0)))"),"")</f>
        <v/>
      </c>
      <c r="Y263" s="630" t="str">
        <f>IFERROR(__xludf.DUMMYFUNCTION("IF($G263="""","""",IFERROR(query({proventos!$B$5:$Q310},""Select sum(Col16) where Col1 = '""&amp;$G263&amp;""' and Col2 &gt; date '""&amp;TEXT(DATE(Y$8,1,1),""yyyy-mm-dd"")&amp;""' and Col2 &lt;= date '""&amp;TEXT(DATE(Y$8,12,31),""yyyy-mm-dd"")&amp;""' label sum(Col16) ''"",0)))"),"")</f>
        <v/>
      </c>
      <c r="Z263" s="630" t="str">
        <f>IFERROR(__xludf.DUMMYFUNCTION("IF($G263="""","""",IFERROR(query({proventos!$B$5:$Q310},""Select sum(Col16) where Col1 = '""&amp;$G263&amp;""' and Col2 &gt; date '""&amp;TEXT(DATE(Z$8,1,1),""yyyy-mm-dd"")&amp;""' and Col2 &lt;= date '""&amp;TEXT(DATE(Z$8,12,31),""yyyy-mm-dd"")&amp;""' label sum(Col16) ''"",0)))"),"")</f>
        <v/>
      </c>
      <c r="AA263" s="587"/>
      <c r="AB263" s="578" t="s">
        <v>123</v>
      </c>
      <c r="AC263" s="601"/>
      <c r="AD263" s="636"/>
      <c r="AE263" s="636"/>
    </row>
    <row r="264">
      <c r="A264" s="576"/>
      <c r="B264" s="620"/>
      <c r="C264" s="637"/>
      <c r="D264" s="633"/>
      <c r="E264" s="633"/>
      <c r="F264" s="624">
        <v>254.0</v>
      </c>
      <c r="G264" s="635"/>
      <c r="H264" s="626" t="str">
        <f>if(G264="","",IFERROR(VLOOKUP(G264,AtivosDados,MATCH("provento_avg",portfolio.!$A$3:AE$3,0),FALSE),""))</f>
        <v/>
      </c>
      <c r="I264" s="627" t="s">
        <v>123</v>
      </c>
      <c r="J264" s="628" t="str">
        <f>IFERROR(__xludf.DUMMYFUNCTION("IF($G264="""","""",IFERROR(query({proventos!$B$5:$Q310},""Select sum(Col16) where Col1 = '""&amp;$G264&amp;""' and Col2 &gt; date '""&amp;TEXT(K$8,""yyyy-mm-dd"")&amp;""' and Col2 &lt;= date '""&amp;TEXT(J$8,""yyyy-mm-dd"")&amp;""' label sum(Col16) ''"",0)))"),"")</f>
        <v/>
      </c>
      <c r="K264" s="628" t="str">
        <f>IFERROR(__xludf.DUMMYFUNCTION("IF($G264="""","""",IFERROR(query({proventos!$B$5:$Q310},""Select sum(Col16) where Col1 = '""&amp;$G264&amp;""' and Col2 &gt; date '""&amp;TEXT(L$8,""yyyy-mm-dd"")&amp;""' and Col2 &lt;= date '""&amp;TEXT(K$8,""yyyy-mm-dd"")&amp;""' label sum(Col16) ''"",0)))"),"")</f>
        <v/>
      </c>
      <c r="L264" s="628" t="str">
        <f>IFERROR(__xludf.DUMMYFUNCTION("IF($G264="""","""",IFERROR(query({proventos!$B$5:$Q310},""Select sum(Col16) where Col1 = '""&amp;$G264&amp;""' and Col2 &gt; date '""&amp;TEXT(M$8,""yyyy-mm-dd"")&amp;""' and Col2 &lt;= date '""&amp;TEXT(L$8,""yyyy-mm-dd"")&amp;""' label sum(Col16) ''"",0)))"),"")</f>
        <v/>
      </c>
      <c r="M264" s="628" t="str">
        <f>IFERROR(__xludf.DUMMYFUNCTION("IF($G264="""","""",IFERROR(query({proventos!$B$5:$Q310},""Select sum(Col16) where Col1 = '""&amp;$G264&amp;""' and Col2 &gt; date '""&amp;TEXT(N$8,""yyyy-mm-dd"")&amp;""' and Col2 &lt;= date '""&amp;TEXT(M$8,""yyyy-mm-dd"")&amp;""' label sum(Col16) ''"",0)))"),"")</f>
        <v/>
      </c>
      <c r="N264" s="628" t="str">
        <f>IFERROR(__xludf.DUMMYFUNCTION("IF($G264="""","""",IFERROR(query({proventos!$B$5:$Q310},""Select sum(Col16) where Col1 = '""&amp;$G264&amp;""' and Col2 &gt; date '""&amp;TEXT(O$8,""yyyy-mm-dd"")&amp;""' and Col2 &lt;= date '""&amp;TEXT(N$8,""yyyy-mm-dd"")&amp;""' label sum(Col16) ''"",0)))"),"")</f>
        <v/>
      </c>
      <c r="O264" s="628" t="str">
        <f>IFERROR(__xludf.DUMMYFUNCTION("IF($G264="""","""",IFERROR(query({proventos!$B$5:$Q310},""Select sum(Col16) where Col1 = '""&amp;$G264&amp;""' and Col2 &gt; date '""&amp;TEXT(P$8,""yyyy-mm-dd"")&amp;""' and Col2 &lt;= date '""&amp;TEXT(O$8,""yyyy-mm-dd"")&amp;""' label sum(Col16) ''"",0)))"),"")</f>
        <v/>
      </c>
      <c r="P264" s="628" t="str">
        <f>IFERROR(__xludf.DUMMYFUNCTION("IF($G264="""","""",IFERROR(query({proventos!$B$5:$Q310},""Select sum(Col16) where Col1 = '""&amp;$G264&amp;""' and Col2 &gt; date '""&amp;TEXT(Q$8,""yyyy-mm-dd"")&amp;""' and Col2 &lt;= date '""&amp;TEXT(P$8,""yyyy-mm-dd"")&amp;""' label sum(Col16) ''"",0)))"),"")</f>
        <v/>
      </c>
      <c r="Q264" s="628" t="str">
        <f>IFERROR(__xludf.DUMMYFUNCTION("IF($G264="""","""",IFERROR(query({proventos!$B$5:$Q310},""Select sum(Col16) where Col1 = '""&amp;$G264&amp;""' and Col2 &gt; date '""&amp;TEXT(R$8,""yyyy-mm-dd"")&amp;""' and Col2 &lt;= date '""&amp;TEXT(Q$8,""yyyy-mm-dd"")&amp;""' label sum(Col16) ''"",0)))"),"")</f>
        <v/>
      </c>
      <c r="R264" s="628" t="str">
        <f>IFERROR(__xludf.DUMMYFUNCTION("IF($G264="""","""",IFERROR(query({proventos!$B$5:$Q310},""Select sum(Col16) where Col1 = '""&amp;$G264&amp;""' and Col2 &gt; date '""&amp;TEXT(S$8,""yyyy-mm-dd"")&amp;""' and Col2 &lt;= date '""&amp;TEXT(R$8,""yyyy-mm-dd"")&amp;""' label sum(Col16) ''"",0)))"),"")</f>
        <v/>
      </c>
      <c r="S264" s="628" t="str">
        <f>IFERROR(__xludf.DUMMYFUNCTION("IF($G264="""","""",IFERROR(query({proventos!$B$5:$Q310},""Select sum(Col16) where Col1 = '""&amp;$G264&amp;""' and Col2 &gt; date '""&amp;TEXT(T$8,""yyyy-mm-dd"")&amp;""' and Col2 &lt;= date '""&amp;TEXT(S$8,""yyyy-mm-dd"")&amp;""' label sum(Col16) ''"",0)))"),"")</f>
        <v/>
      </c>
      <c r="T264" s="628" t="str">
        <f>IFERROR(__xludf.DUMMYFUNCTION("IF($G264="""","""",IFERROR(query({proventos!$B$5:$Q310},""Select sum(Col16) where Col1 = '""&amp;$G264&amp;""' and Col2 &gt; date '""&amp;TEXT(U$8,""yyyy-mm-dd"")&amp;""' and Col2 &lt;= date '""&amp;TEXT(T$8,""yyyy-mm-dd"")&amp;""' label sum(Col16) ''"",0)))"),"")</f>
        <v/>
      </c>
      <c r="U264" s="629" t="str">
        <f>IFERROR(__xludf.DUMMYFUNCTION("IF($G264="""","""",IFERROR(query({proventos!$B$5:$Q310},""Select sum(Col16) where Col1 = '""&amp;$G264&amp;""' and Col2 &gt; date '""&amp;TEXT(EOMONTH(TODAY(),-13),""yyyy-mm-dd"")&amp;""' and Col2 &lt;= date '""&amp;TEXT(U$8,""yyyy-mm-dd"")&amp;""' label sum(Col16) ''"",0)))"),"")</f>
        <v/>
      </c>
      <c r="V264" s="630" t="str">
        <f>IFERROR(__xludf.DUMMYFUNCTION("IF($G264="""","""",IFERROR(query({proventos!$B$5:$Q310},""Select sum(Col16) where Col1 = '""&amp;$G264&amp;""' and Col2 &gt; date '""&amp;TEXT(DATE(V$8,1,1),""yyyy-mm-dd"")&amp;""' and Col2 &lt;= date '""&amp;TEXT(DATE(V$8,12,31),""yyyy-mm-dd"")&amp;""' label sum(Col16) ''"",0)))"),"")</f>
        <v/>
      </c>
      <c r="W264" s="630" t="str">
        <f>IFERROR(__xludf.DUMMYFUNCTION("IF($G264="""","""",IFERROR(query({proventos!$B$5:$Q310},""Select sum(Col16) where Col1 = '""&amp;$G264&amp;""' and Col2 &gt; date '""&amp;TEXT(DATE(W$8,1,1),""yyyy-mm-dd"")&amp;""' and Col2 &lt;= date '""&amp;TEXT(DATE(W$8,12,31),""yyyy-mm-dd"")&amp;""' label sum(Col16) ''"",0)))"),"")</f>
        <v/>
      </c>
      <c r="X264" s="630" t="str">
        <f>IFERROR(__xludf.DUMMYFUNCTION("IF($G264="""","""",IFERROR(query({proventos!$B$5:$Q310},""Select sum(Col16) where Col1 = '""&amp;$G264&amp;""' and Col2 &gt; date '""&amp;TEXT(DATE(X$8,1,1),""yyyy-mm-dd"")&amp;""' and Col2 &lt;= date '""&amp;TEXT(DATE(X$8,12,31),""yyyy-mm-dd"")&amp;""' label sum(Col16) ''"",0)))"),"")</f>
        <v/>
      </c>
      <c r="Y264" s="630" t="str">
        <f>IFERROR(__xludf.DUMMYFUNCTION("IF($G264="""","""",IFERROR(query({proventos!$B$5:$Q310},""Select sum(Col16) where Col1 = '""&amp;$G264&amp;""' and Col2 &gt; date '""&amp;TEXT(DATE(Y$8,1,1),""yyyy-mm-dd"")&amp;""' and Col2 &lt;= date '""&amp;TEXT(DATE(Y$8,12,31),""yyyy-mm-dd"")&amp;""' label sum(Col16) ''"",0)))"),"")</f>
        <v/>
      </c>
      <c r="Z264" s="630" t="str">
        <f>IFERROR(__xludf.DUMMYFUNCTION("IF($G264="""","""",IFERROR(query({proventos!$B$5:$Q310},""Select sum(Col16) where Col1 = '""&amp;$G264&amp;""' and Col2 &gt; date '""&amp;TEXT(DATE(Z$8,1,1),""yyyy-mm-dd"")&amp;""' and Col2 &lt;= date '""&amp;TEXT(DATE(Z$8,12,31),""yyyy-mm-dd"")&amp;""' label sum(Col16) ''"",0)))"),"")</f>
        <v/>
      </c>
      <c r="AA264" s="587"/>
      <c r="AB264" s="578" t="s">
        <v>123</v>
      </c>
      <c r="AC264" s="601"/>
      <c r="AD264" s="636"/>
      <c r="AE264" s="636"/>
    </row>
    <row r="265">
      <c r="A265" s="576"/>
      <c r="B265" s="620"/>
      <c r="C265" s="637"/>
      <c r="D265" s="633"/>
      <c r="E265" s="633"/>
      <c r="F265" s="624">
        <v>255.0</v>
      </c>
      <c r="G265" s="635"/>
      <c r="H265" s="626" t="str">
        <f>if(G265="","",IFERROR(VLOOKUP(G265,AtivosDados,MATCH("provento_avg",portfolio.!$A$3:AE$3,0),FALSE),""))</f>
        <v/>
      </c>
      <c r="I265" s="627" t="s">
        <v>123</v>
      </c>
      <c r="J265" s="628" t="str">
        <f>IFERROR(__xludf.DUMMYFUNCTION("IF($G265="""","""",IFERROR(query({proventos!$B$5:$Q310},""Select sum(Col16) where Col1 = '""&amp;$G265&amp;""' and Col2 &gt; date '""&amp;TEXT(K$8,""yyyy-mm-dd"")&amp;""' and Col2 &lt;= date '""&amp;TEXT(J$8,""yyyy-mm-dd"")&amp;""' label sum(Col16) ''"",0)))"),"")</f>
        <v/>
      </c>
      <c r="K265" s="628" t="str">
        <f>IFERROR(__xludf.DUMMYFUNCTION("IF($G265="""","""",IFERROR(query({proventos!$B$5:$Q310},""Select sum(Col16) where Col1 = '""&amp;$G265&amp;""' and Col2 &gt; date '""&amp;TEXT(L$8,""yyyy-mm-dd"")&amp;""' and Col2 &lt;= date '""&amp;TEXT(K$8,""yyyy-mm-dd"")&amp;""' label sum(Col16) ''"",0)))"),"")</f>
        <v/>
      </c>
      <c r="L265" s="628" t="str">
        <f>IFERROR(__xludf.DUMMYFUNCTION("IF($G265="""","""",IFERROR(query({proventos!$B$5:$Q310},""Select sum(Col16) where Col1 = '""&amp;$G265&amp;""' and Col2 &gt; date '""&amp;TEXT(M$8,""yyyy-mm-dd"")&amp;""' and Col2 &lt;= date '""&amp;TEXT(L$8,""yyyy-mm-dd"")&amp;""' label sum(Col16) ''"",0)))"),"")</f>
        <v/>
      </c>
      <c r="M265" s="628" t="str">
        <f>IFERROR(__xludf.DUMMYFUNCTION("IF($G265="""","""",IFERROR(query({proventos!$B$5:$Q310},""Select sum(Col16) where Col1 = '""&amp;$G265&amp;""' and Col2 &gt; date '""&amp;TEXT(N$8,""yyyy-mm-dd"")&amp;""' and Col2 &lt;= date '""&amp;TEXT(M$8,""yyyy-mm-dd"")&amp;""' label sum(Col16) ''"",0)))"),"")</f>
        <v/>
      </c>
      <c r="N265" s="628" t="str">
        <f>IFERROR(__xludf.DUMMYFUNCTION("IF($G265="""","""",IFERROR(query({proventos!$B$5:$Q310},""Select sum(Col16) where Col1 = '""&amp;$G265&amp;""' and Col2 &gt; date '""&amp;TEXT(O$8,""yyyy-mm-dd"")&amp;""' and Col2 &lt;= date '""&amp;TEXT(N$8,""yyyy-mm-dd"")&amp;""' label sum(Col16) ''"",0)))"),"")</f>
        <v/>
      </c>
      <c r="O265" s="628" t="str">
        <f>IFERROR(__xludf.DUMMYFUNCTION("IF($G265="""","""",IFERROR(query({proventos!$B$5:$Q310},""Select sum(Col16) where Col1 = '""&amp;$G265&amp;""' and Col2 &gt; date '""&amp;TEXT(P$8,""yyyy-mm-dd"")&amp;""' and Col2 &lt;= date '""&amp;TEXT(O$8,""yyyy-mm-dd"")&amp;""' label sum(Col16) ''"",0)))"),"")</f>
        <v/>
      </c>
      <c r="P265" s="628" t="str">
        <f>IFERROR(__xludf.DUMMYFUNCTION("IF($G265="""","""",IFERROR(query({proventos!$B$5:$Q310},""Select sum(Col16) where Col1 = '""&amp;$G265&amp;""' and Col2 &gt; date '""&amp;TEXT(Q$8,""yyyy-mm-dd"")&amp;""' and Col2 &lt;= date '""&amp;TEXT(P$8,""yyyy-mm-dd"")&amp;""' label sum(Col16) ''"",0)))"),"")</f>
        <v/>
      </c>
      <c r="Q265" s="628" t="str">
        <f>IFERROR(__xludf.DUMMYFUNCTION("IF($G265="""","""",IFERROR(query({proventos!$B$5:$Q310},""Select sum(Col16) where Col1 = '""&amp;$G265&amp;""' and Col2 &gt; date '""&amp;TEXT(R$8,""yyyy-mm-dd"")&amp;""' and Col2 &lt;= date '""&amp;TEXT(Q$8,""yyyy-mm-dd"")&amp;""' label sum(Col16) ''"",0)))"),"")</f>
        <v/>
      </c>
      <c r="R265" s="628" t="str">
        <f>IFERROR(__xludf.DUMMYFUNCTION("IF($G265="""","""",IFERROR(query({proventos!$B$5:$Q310},""Select sum(Col16) where Col1 = '""&amp;$G265&amp;""' and Col2 &gt; date '""&amp;TEXT(S$8,""yyyy-mm-dd"")&amp;""' and Col2 &lt;= date '""&amp;TEXT(R$8,""yyyy-mm-dd"")&amp;""' label sum(Col16) ''"",0)))"),"")</f>
        <v/>
      </c>
      <c r="S265" s="628" t="str">
        <f>IFERROR(__xludf.DUMMYFUNCTION("IF($G265="""","""",IFERROR(query({proventos!$B$5:$Q310},""Select sum(Col16) where Col1 = '""&amp;$G265&amp;""' and Col2 &gt; date '""&amp;TEXT(T$8,""yyyy-mm-dd"")&amp;""' and Col2 &lt;= date '""&amp;TEXT(S$8,""yyyy-mm-dd"")&amp;""' label sum(Col16) ''"",0)))"),"")</f>
        <v/>
      </c>
      <c r="T265" s="628" t="str">
        <f>IFERROR(__xludf.DUMMYFUNCTION("IF($G265="""","""",IFERROR(query({proventos!$B$5:$Q310},""Select sum(Col16) where Col1 = '""&amp;$G265&amp;""' and Col2 &gt; date '""&amp;TEXT(U$8,""yyyy-mm-dd"")&amp;""' and Col2 &lt;= date '""&amp;TEXT(T$8,""yyyy-mm-dd"")&amp;""' label sum(Col16) ''"",0)))"),"")</f>
        <v/>
      </c>
      <c r="U265" s="629" t="str">
        <f>IFERROR(__xludf.DUMMYFUNCTION("IF($G265="""","""",IFERROR(query({proventos!$B$5:$Q310},""Select sum(Col16) where Col1 = '""&amp;$G265&amp;""' and Col2 &gt; date '""&amp;TEXT(EOMONTH(TODAY(),-13),""yyyy-mm-dd"")&amp;""' and Col2 &lt;= date '""&amp;TEXT(U$8,""yyyy-mm-dd"")&amp;""' label sum(Col16) ''"",0)))"),"")</f>
        <v/>
      </c>
      <c r="V265" s="630" t="str">
        <f>IFERROR(__xludf.DUMMYFUNCTION("IF($G265="""","""",IFERROR(query({proventos!$B$5:$Q310},""Select sum(Col16) where Col1 = '""&amp;$G265&amp;""' and Col2 &gt; date '""&amp;TEXT(DATE(V$8,1,1),""yyyy-mm-dd"")&amp;""' and Col2 &lt;= date '""&amp;TEXT(DATE(V$8,12,31),""yyyy-mm-dd"")&amp;""' label sum(Col16) ''"",0)))"),"")</f>
        <v/>
      </c>
      <c r="W265" s="630" t="str">
        <f>IFERROR(__xludf.DUMMYFUNCTION("IF($G265="""","""",IFERROR(query({proventos!$B$5:$Q310},""Select sum(Col16) where Col1 = '""&amp;$G265&amp;""' and Col2 &gt; date '""&amp;TEXT(DATE(W$8,1,1),""yyyy-mm-dd"")&amp;""' and Col2 &lt;= date '""&amp;TEXT(DATE(W$8,12,31),""yyyy-mm-dd"")&amp;""' label sum(Col16) ''"",0)))"),"")</f>
        <v/>
      </c>
      <c r="X265" s="630" t="str">
        <f>IFERROR(__xludf.DUMMYFUNCTION("IF($G265="""","""",IFERROR(query({proventos!$B$5:$Q310},""Select sum(Col16) where Col1 = '""&amp;$G265&amp;""' and Col2 &gt; date '""&amp;TEXT(DATE(X$8,1,1),""yyyy-mm-dd"")&amp;""' and Col2 &lt;= date '""&amp;TEXT(DATE(X$8,12,31),""yyyy-mm-dd"")&amp;""' label sum(Col16) ''"",0)))"),"")</f>
        <v/>
      </c>
      <c r="Y265" s="630" t="str">
        <f>IFERROR(__xludf.DUMMYFUNCTION("IF($G265="""","""",IFERROR(query({proventos!$B$5:$Q310},""Select sum(Col16) where Col1 = '""&amp;$G265&amp;""' and Col2 &gt; date '""&amp;TEXT(DATE(Y$8,1,1),""yyyy-mm-dd"")&amp;""' and Col2 &lt;= date '""&amp;TEXT(DATE(Y$8,12,31),""yyyy-mm-dd"")&amp;""' label sum(Col16) ''"",0)))"),"")</f>
        <v/>
      </c>
      <c r="Z265" s="630" t="str">
        <f>IFERROR(__xludf.DUMMYFUNCTION("IF($G265="""","""",IFERROR(query({proventos!$B$5:$Q310},""Select sum(Col16) where Col1 = '""&amp;$G265&amp;""' and Col2 &gt; date '""&amp;TEXT(DATE(Z$8,1,1),""yyyy-mm-dd"")&amp;""' and Col2 &lt;= date '""&amp;TEXT(DATE(Z$8,12,31),""yyyy-mm-dd"")&amp;""' label sum(Col16) ''"",0)))"),"")</f>
        <v/>
      </c>
      <c r="AA265" s="587"/>
      <c r="AB265" s="578" t="s">
        <v>123</v>
      </c>
      <c r="AC265" s="601"/>
      <c r="AD265" s="636"/>
      <c r="AE265" s="636"/>
    </row>
    <row r="266">
      <c r="A266" s="576"/>
      <c r="B266" s="620"/>
      <c r="C266" s="637"/>
      <c r="D266" s="633"/>
      <c r="E266" s="633"/>
      <c r="F266" s="624">
        <v>256.0</v>
      </c>
      <c r="G266" s="635"/>
      <c r="H266" s="626" t="str">
        <f>if(G266="","",IFERROR(VLOOKUP(G266,AtivosDados,MATCH("provento_avg",portfolio.!$A$3:AE$3,0),FALSE),""))</f>
        <v/>
      </c>
      <c r="I266" s="627" t="s">
        <v>123</v>
      </c>
      <c r="J266" s="628" t="str">
        <f>IFERROR(__xludf.DUMMYFUNCTION("IF($G266="""","""",IFERROR(query({proventos!$B$5:$Q310},""Select sum(Col16) where Col1 = '""&amp;$G266&amp;""' and Col2 &gt; date '""&amp;TEXT(K$8,""yyyy-mm-dd"")&amp;""' and Col2 &lt;= date '""&amp;TEXT(J$8,""yyyy-mm-dd"")&amp;""' label sum(Col16) ''"",0)))"),"")</f>
        <v/>
      </c>
      <c r="K266" s="628" t="str">
        <f>IFERROR(__xludf.DUMMYFUNCTION("IF($G266="""","""",IFERROR(query({proventos!$B$5:$Q310},""Select sum(Col16) where Col1 = '""&amp;$G266&amp;""' and Col2 &gt; date '""&amp;TEXT(L$8,""yyyy-mm-dd"")&amp;""' and Col2 &lt;= date '""&amp;TEXT(K$8,""yyyy-mm-dd"")&amp;""' label sum(Col16) ''"",0)))"),"")</f>
        <v/>
      </c>
      <c r="L266" s="628" t="str">
        <f>IFERROR(__xludf.DUMMYFUNCTION("IF($G266="""","""",IFERROR(query({proventos!$B$5:$Q310},""Select sum(Col16) where Col1 = '""&amp;$G266&amp;""' and Col2 &gt; date '""&amp;TEXT(M$8,""yyyy-mm-dd"")&amp;""' and Col2 &lt;= date '""&amp;TEXT(L$8,""yyyy-mm-dd"")&amp;""' label sum(Col16) ''"",0)))"),"")</f>
        <v/>
      </c>
      <c r="M266" s="628" t="str">
        <f>IFERROR(__xludf.DUMMYFUNCTION("IF($G266="""","""",IFERROR(query({proventos!$B$5:$Q310},""Select sum(Col16) where Col1 = '""&amp;$G266&amp;""' and Col2 &gt; date '""&amp;TEXT(N$8,""yyyy-mm-dd"")&amp;""' and Col2 &lt;= date '""&amp;TEXT(M$8,""yyyy-mm-dd"")&amp;""' label sum(Col16) ''"",0)))"),"")</f>
        <v/>
      </c>
      <c r="N266" s="628" t="str">
        <f>IFERROR(__xludf.DUMMYFUNCTION("IF($G266="""","""",IFERROR(query({proventos!$B$5:$Q310},""Select sum(Col16) where Col1 = '""&amp;$G266&amp;""' and Col2 &gt; date '""&amp;TEXT(O$8,""yyyy-mm-dd"")&amp;""' and Col2 &lt;= date '""&amp;TEXT(N$8,""yyyy-mm-dd"")&amp;""' label sum(Col16) ''"",0)))"),"")</f>
        <v/>
      </c>
      <c r="O266" s="628" t="str">
        <f>IFERROR(__xludf.DUMMYFUNCTION("IF($G266="""","""",IFERROR(query({proventos!$B$5:$Q310},""Select sum(Col16) where Col1 = '""&amp;$G266&amp;""' and Col2 &gt; date '""&amp;TEXT(P$8,""yyyy-mm-dd"")&amp;""' and Col2 &lt;= date '""&amp;TEXT(O$8,""yyyy-mm-dd"")&amp;""' label sum(Col16) ''"",0)))"),"")</f>
        <v/>
      </c>
      <c r="P266" s="628" t="str">
        <f>IFERROR(__xludf.DUMMYFUNCTION("IF($G266="""","""",IFERROR(query({proventos!$B$5:$Q310},""Select sum(Col16) where Col1 = '""&amp;$G266&amp;""' and Col2 &gt; date '""&amp;TEXT(Q$8,""yyyy-mm-dd"")&amp;""' and Col2 &lt;= date '""&amp;TEXT(P$8,""yyyy-mm-dd"")&amp;""' label sum(Col16) ''"",0)))"),"")</f>
        <v/>
      </c>
      <c r="Q266" s="628" t="str">
        <f>IFERROR(__xludf.DUMMYFUNCTION("IF($G266="""","""",IFERROR(query({proventos!$B$5:$Q310},""Select sum(Col16) where Col1 = '""&amp;$G266&amp;""' and Col2 &gt; date '""&amp;TEXT(R$8,""yyyy-mm-dd"")&amp;""' and Col2 &lt;= date '""&amp;TEXT(Q$8,""yyyy-mm-dd"")&amp;""' label sum(Col16) ''"",0)))"),"")</f>
        <v/>
      </c>
      <c r="R266" s="628" t="str">
        <f>IFERROR(__xludf.DUMMYFUNCTION("IF($G266="""","""",IFERROR(query({proventos!$B$5:$Q310},""Select sum(Col16) where Col1 = '""&amp;$G266&amp;""' and Col2 &gt; date '""&amp;TEXT(S$8,""yyyy-mm-dd"")&amp;""' and Col2 &lt;= date '""&amp;TEXT(R$8,""yyyy-mm-dd"")&amp;""' label sum(Col16) ''"",0)))"),"")</f>
        <v/>
      </c>
      <c r="S266" s="628" t="str">
        <f>IFERROR(__xludf.DUMMYFUNCTION("IF($G266="""","""",IFERROR(query({proventos!$B$5:$Q310},""Select sum(Col16) where Col1 = '""&amp;$G266&amp;""' and Col2 &gt; date '""&amp;TEXT(T$8,""yyyy-mm-dd"")&amp;""' and Col2 &lt;= date '""&amp;TEXT(S$8,""yyyy-mm-dd"")&amp;""' label sum(Col16) ''"",0)))"),"")</f>
        <v/>
      </c>
      <c r="T266" s="628" t="str">
        <f>IFERROR(__xludf.DUMMYFUNCTION("IF($G266="""","""",IFERROR(query({proventos!$B$5:$Q310},""Select sum(Col16) where Col1 = '""&amp;$G266&amp;""' and Col2 &gt; date '""&amp;TEXT(U$8,""yyyy-mm-dd"")&amp;""' and Col2 &lt;= date '""&amp;TEXT(T$8,""yyyy-mm-dd"")&amp;""' label sum(Col16) ''"",0)))"),"")</f>
        <v/>
      </c>
      <c r="U266" s="629" t="str">
        <f>IFERROR(__xludf.DUMMYFUNCTION("IF($G266="""","""",IFERROR(query({proventos!$B$5:$Q310},""Select sum(Col16) where Col1 = '""&amp;$G266&amp;""' and Col2 &gt; date '""&amp;TEXT(EOMONTH(TODAY(),-13),""yyyy-mm-dd"")&amp;""' and Col2 &lt;= date '""&amp;TEXT(U$8,""yyyy-mm-dd"")&amp;""' label sum(Col16) ''"",0)))"),"")</f>
        <v/>
      </c>
      <c r="V266" s="630" t="str">
        <f>IFERROR(__xludf.DUMMYFUNCTION("IF($G266="""","""",IFERROR(query({proventos!$B$5:$Q310},""Select sum(Col16) where Col1 = '""&amp;$G266&amp;""' and Col2 &gt; date '""&amp;TEXT(DATE(V$8,1,1),""yyyy-mm-dd"")&amp;""' and Col2 &lt;= date '""&amp;TEXT(DATE(V$8,12,31),""yyyy-mm-dd"")&amp;""' label sum(Col16) ''"",0)))"),"")</f>
        <v/>
      </c>
      <c r="W266" s="630" t="str">
        <f>IFERROR(__xludf.DUMMYFUNCTION("IF($G266="""","""",IFERROR(query({proventos!$B$5:$Q310},""Select sum(Col16) where Col1 = '""&amp;$G266&amp;""' and Col2 &gt; date '""&amp;TEXT(DATE(W$8,1,1),""yyyy-mm-dd"")&amp;""' and Col2 &lt;= date '""&amp;TEXT(DATE(W$8,12,31),""yyyy-mm-dd"")&amp;""' label sum(Col16) ''"",0)))"),"")</f>
        <v/>
      </c>
      <c r="X266" s="630" t="str">
        <f>IFERROR(__xludf.DUMMYFUNCTION("IF($G266="""","""",IFERROR(query({proventos!$B$5:$Q310},""Select sum(Col16) where Col1 = '""&amp;$G266&amp;""' and Col2 &gt; date '""&amp;TEXT(DATE(X$8,1,1),""yyyy-mm-dd"")&amp;""' and Col2 &lt;= date '""&amp;TEXT(DATE(X$8,12,31),""yyyy-mm-dd"")&amp;""' label sum(Col16) ''"",0)))"),"")</f>
        <v/>
      </c>
      <c r="Y266" s="630" t="str">
        <f>IFERROR(__xludf.DUMMYFUNCTION("IF($G266="""","""",IFERROR(query({proventos!$B$5:$Q310},""Select sum(Col16) where Col1 = '""&amp;$G266&amp;""' and Col2 &gt; date '""&amp;TEXT(DATE(Y$8,1,1),""yyyy-mm-dd"")&amp;""' and Col2 &lt;= date '""&amp;TEXT(DATE(Y$8,12,31),""yyyy-mm-dd"")&amp;""' label sum(Col16) ''"",0)))"),"")</f>
        <v/>
      </c>
      <c r="Z266" s="630" t="str">
        <f>IFERROR(__xludf.DUMMYFUNCTION("IF($G266="""","""",IFERROR(query({proventos!$B$5:$Q310},""Select sum(Col16) where Col1 = '""&amp;$G266&amp;""' and Col2 &gt; date '""&amp;TEXT(DATE(Z$8,1,1),""yyyy-mm-dd"")&amp;""' and Col2 &lt;= date '""&amp;TEXT(DATE(Z$8,12,31),""yyyy-mm-dd"")&amp;""' label sum(Col16) ''"",0)))"),"")</f>
        <v/>
      </c>
      <c r="AA266" s="587"/>
      <c r="AB266" s="578" t="s">
        <v>123</v>
      </c>
      <c r="AC266" s="601"/>
      <c r="AD266" s="636"/>
      <c r="AE266" s="636"/>
    </row>
    <row r="267">
      <c r="A267" s="576"/>
      <c r="B267" s="620"/>
      <c r="C267" s="637"/>
      <c r="D267" s="633"/>
      <c r="E267" s="633"/>
      <c r="F267" s="624">
        <v>257.0</v>
      </c>
      <c r="G267" s="635"/>
      <c r="H267" s="626" t="str">
        <f>if(G267="","",IFERROR(VLOOKUP(G267,AtivosDados,MATCH("provento_avg",portfolio.!$A$3:AE$3,0),FALSE),""))</f>
        <v/>
      </c>
      <c r="I267" s="627" t="s">
        <v>123</v>
      </c>
      <c r="J267" s="628" t="str">
        <f>IFERROR(__xludf.DUMMYFUNCTION("IF($G267="""","""",IFERROR(query({proventos!$B$5:$Q310},""Select sum(Col16) where Col1 = '""&amp;$G267&amp;""' and Col2 &gt; date '""&amp;TEXT(K$8,""yyyy-mm-dd"")&amp;""' and Col2 &lt;= date '""&amp;TEXT(J$8,""yyyy-mm-dd"")&amp;""' label sum(Col16) ''"",0)))"),"")</f>
        <v/>
      </c>
      <c r="K267" s="628" t="str">
        <f>IFERROR(__xludf.DUMMYFUNCTION("IF($G267="""","""",IFERROR(query({proventos!$B$5:$Q310},""Select sum(Col16) where Col1 = '""&amp;$G267&amp;""' and Col2 &gt; date '""&amp;TEXT(L$8,""yyyy-mm-dd"")&amp;""' and Col2 &lt;= date '""&amp;TEXT(K$8,""yyyy-mm-dd"")&amp;""' label sum(Col16) ''"",0)))"),"")</f>
        <v/>
      </c>
      <c r="L267" s="628" t="str">
        <f>IFERROR(__xludf.DUMMYFUNCTION("IF($G267="""","""",IFERROR(query({proventos!$B$5:$Q310},""Select sum(Col16) where Col1 = '""&amp;$G267&amp;""' and Col2 &gt; date '""&amp;TEXT(M$8,""yyyy-mm-dd"")&amp;""' and Col2 &lt;= date '""&amp;TEXT(L$8,""yyyy-mm-dd"")&amp;""' label sum(Col16) ''"",0)))"),"")</f>
        <v/>
      </c>
      <c r="M267" s="628" t="str">
        <f>IFERROR(__xludf.DUMMYFUNCTION("IF($G267="""","""",IFERROR(query({proventos!$B$5:$Q310},""Select sum(Col16) where Col1 = '""&amp;$G267&amp;""' and Col2 &gt; date '""&amp;TEXT(N$8,""yyyy-mm-dd"")&amp;""' and Col2 &lt;= date '""&amp;TEXT(M$8,""yyyy-mm-dd"")&amp;""' label sum(Col16) ''"",0)))"),"")</f>
        <v/>
      </c>
      <c r="N267" s="628" t="str">
        <f>IFERROR(__xludf.DUMMYFUNCTION("IF($G267="""","""",IFERROR(query({proventos!$B$5:$Q310},""Select sum(Col16) where Col1 = '""&amp;$G267&amp;""' and Col2 &gt; date '""&amp;TEXT(O$8,""yyyy-mm-dd"")&amp;""' and Col2 &lt;= date '""&amp;TEXT(N$8,""yyyy-mm-dd"")&amp;""' label sum(Col16) ''"",0)))"),"")</f>
        <v/>
      </c>
      <c r="O267" s="628" t="str">
        <f>IFERROR(__xludf.DUMMYFUNCTION("IF($G267="""","""",IFERROR(query({proventos!$B$5:$Q310},""Select sum(Col16) where Col1 = '""&amp;$G267&amp;""' and Col2 &gt; date '""&amp;TEXT(P$8,""yyyy-mm-dd"")&amp;""' and Col2 &lt;= date '""&amp;TEXT(O$8,""yyyy-mm-dd"")&amp;""' label sum(Col16) ''"",0)))"),"")</f>
        <v/>
      </c>
      <c r="P267" s="628" t="str">
        <f>IFERROR(__xludf.DUMMYFUNCTION("IF($G267="""","""",IFERROR(query({proventos!$B$5:$Q310},""Select sum(Col16) where Col1 = '""&amp;$G267&amp;""' and Col2 &gt; date '""&amp;TEXT(Q$8,""yyyy-mm-dd"")&amp;""' and Col2 &lt;= date '""&amp;TEXT(P$8,""yyyy-mm-dd"")&amp;""' label sum(Col16) ''"",0)))"),"")</f>
        <v/>
      </c>
      <c r="Q267" s="628" t="str">
        <f>IFERROR(__xludf.DUMMYFUNCTION("IF($G267="""","""",IFERROR(query({proventos!$B$5:$Q310},""Select sum(Col16) where Col1 = '""&amp;$G267&amp;""' and Col2 &gt; date '""&amp;TEXT(R$8,""yyyy-mm-dd"")&amp;""' and Col2 &lt;= date '""&amp;TEXT(Q$8,""yyyy-mm-dd"")&amp;""' label sum(Col16) ''"",0)))"),"")</f>
        <v/>
      </c>
      <c r="R267" s="628" t="str">
        <f>IFERROR(__xludf.DUMMYFUNCTION("IF($G267="""","""",IFERROR(query({proventos!$B$5:$Q310},""Select sum(Col16) where Col1 = '""&amp;$G267&amp;""' and Col2 &gt; date '""&amp;TEXT(S$8,""yyyy-mm-dd"")&amp;""' and Col2 &lt;= date '""&amp;TEXT(R$8,""yyyy-mm-dd"")&amp;""' label sum(Col16) ''"",0)))"),"")</f>
        <v/>
      </c>
      <c r="S267" s="628" t="str">
        <f>IFERROR(__xludf.DUMMYFUNCTION("IF($G267="""","""",IFERROR(query({proventos!$B$5:$Q310},""Select sum(Col16) where Col1 = '""&amp;$G267&amp;""' and Col2 &gt; date '""&amp;TEXT(T$8,""yyyy-mm-dd"")&amp;""' and Col2 &lt;= date '""&amp;TEXT(S$8,""yyyy-mm-dd"")&amp;""' label sum(Col16) ''"",0)))"),"")</f>
        <v/>
      </c>
      <c r="T267" s="628" t="str">
        <f>IFERROR(__xludf.DUMMYFUNCTION("IF($G267="""","""",IFERROR(query({proventos!$B$5:$Q310},""Select sum(Col16) where Col1 = '""&amp;$G267&amp;""' and Col2 &gt; date '""&amp;TEXT(U$8,""yyyy-mm-dd"")&amp;""' and Col2 &lt;= date '""&amp;TEXT(T$8,""yyyy-mm-dd"")&amp;""' label sum(Col16) ''"",0)))"),"")</f>
        <v/>
      </c>
      <c r="U267" s="629" t="str">
        <f>IFERROR(__xludf.DUMMYFUNCTION("IF($G267="""","""",IFERROR(query({proventos!$B$5:$Q310},""Select sum(Col16) where Col1 = '""&amp;$G267&amp;""' and Col2 &gt; date '""&amp;TEXT(EOMONTH(TODAY(),-13),""yyyy-mm-dd"")&amp;""' and Col2 &lt;= date '""&amp;TEXT(U$8,""yyyy-mm-dd"")&amp;""' label sum(Col16) ''"",0)))"),"")</f>
        <v/>
      </c>
      <c r="V267" s="630" t="str">
        <f>IFERROR(__xludf.DUMMYFUNCTION("IF($G267="""","""",IFERROR(query({proventos!$B$5:$Q310},""Select sum(Col16) where Col1 = '""&amp;$G267&amp;""' and Col2 &gt; date '""&amp;TEXT(DATE(V$8,1,1),""yyyy-mm-dd"")&amp;""' and Col2 &lt;= date '""&amp;TEXT(DATE(V$8,12,31),""yyyy-mm-dd"")&amp;""' label sum(Col16) ''"",0)))"),"")</f>
        <v/>
      </c>
      <c r="W267" s="630" t="str">
        <f>IFERROR(__xludf.DUMMYFUNCTION("IF($G267="""","""",IFERROR(query({proventos!$B$5:$Q310},""Select sum(Col16) where Col1 = '""&amp;$G267&amp;""' and Col2 &gt; date '""&amp;TEXT(DATE(W$8,1,1),""yyyy-mm-dd"")&amp;""' and Col2 &lt;= date '""&amp;TEXT(DATE(W$8,12,31),""yyyy-mm-dd"")&amp;""' label sum(Col16) ''"",0)))"),"")</f>
        <v/>
      </c>
      <c r="X267" s="630" t="str">
        <f>IFERROR(__xludf.DUMMYFUNCTION("IF($G267="""","""",IFERROR(query({proventos!$B$5:$Q310},""Select sum(Col16) where Col1 = '""&amp;$G267&amp;""' and Col2 &gt; date '""&amp;TEXT(DATE(X$8,1,1),""yyyy-mm-dd"")&amp;""' and Col2 &lt;= date '""&amp;TEXT(DATE(X$8,12,31),""yyyy-mm-dd"")&amp;""' label sum(Col16) ''"",0)))"),"")</f>
        <v/>
      </c>
      <c r="Y267" s="630" t="str">
        <f>IFERROR(__xludf.DUMMYFUNCTION("IF($G267="""","""",IFERROR(query({proventos!$B$5:$Q310},""Select sum(Col16) where Col1 = '""&amp;$G267&amp;""' and Col2 &gt; date '""&amp;TEXT(DATE(Y$8,1,1),""yyyy-mm-dd"")&amp;""' and Col2 &lt;= date '""&amp;TEXT(DATE(Y$8,12,31),""yyyy-mm-dd"")&amp;""' label sum(Col16) ''"",0)))"),"")</f>
        <v/>
      </c>
      <c r="Z267" s="630" t="str">
        <f>IFERROR(__xludf.DUMMYFUNCTION("IF($G267="""","""",IFERROR(query({proventos!$B$5:$Q310},""Select sum(Col16) where Col1 = '""&amp;$G267&amp;""' and Col2 &gt; date '""&amp;TEXT(DATE(Z$8,1,1),""yyyy-mm-dd"")&amp;""' and Col2 &lt;= date '""&amp;TEXT(DATE(Z$8,12,31),""yyyy-mm-dd"")&amp;""' label sum(Col16) ''"",0)))"),"")</f>
        <v/>
      </c>
      <c r="AA267" s="587"/>
      <c r="AB267" s="578" t="s">
        <v>123</v>
      </c>
      <c r="AC267" s="601"/>
      <c r="AD267" s="636"/>
      <c r="AE267" s="636"/>
    </row>
    <row r="268">
      <c r="A268" s="576"/>
      <c r="B268" s="620"/>
      <c r="C268" s="637"/>
      <c r="D268" s="633"/>
      <c r="E268" s="633"/>
      <c r="F268" s="624">
        <v>258.0</v>
      </c>
      <c r="G268" s="635"/>
      <c r="H268" s="626" t="str">
        <f>if(G268="","",IFERROR(VLOOKUP(G268,AtivosDados,MATCH("provento_avg",portfolio.!$A$3:AE$3,0),FALSE),""))</f>
        <v/>
      </c>
      <c r="I268" s="627" t="s">
        <v>123</v>
      </c>
      <c r="J268" s="628" t="str">
        <f>IFERROR(__xludf.DUMMYFUNCTION("IF($G268="""","""",IFERROR(query({proventos!$B$5:$Q310},""Select sum(Col16) where Col1 = '""&amp;$G268&amp;""' and Col2 &gt; date '""&amp;TEXT(K$8,""yyyy-mm-dd"")&amp;""' and Col2 &lt;= date '""&amp;TEXT(J$8,""yyyy-mm-dd"")&amp;""' label sum(Col16) ''"",0)))"),"")</f>
        <v/>
      </c>
      <c r="K268" s="628" t="str">
        <f>IFERROR(__xludf.DUMMYFUNCTION("IF($G268="""","""",IFERROR(query({proventos!$B$5:$Q310},""Select sum(Col16) where Col1 = '""&amp;$G268&amp;""' and Col2 &gt; date '""&amp;TEXT(L$8,""yyyy-mm-dd"")&amp;""' and Col2 &lt;= date '""&amp;TEXT(K$8,""yyyy-mm-dd"")&amp;""' label sum(Col16) ''"",0)))"),"")</f>
        <v/>
      </c>
      <c r="L268" s="628" t="str">
        <f>IFERROR(__xludf.DUMMYFUNCTION("IF($G268="""","""",IFERROR(query({proventos!$B$5:$Q310},""Select sum(Col16) where Col1 = '""&amp;$G268&amp;""' and Col2 &gt; date '""&amp;TEXT(M$8,""yyyy-mm-dd"")&amp;""' and Col2 &lt;= date '""&amp;TEXT(L$8,""yyyy-mm-dd"")&amp;""' label sum(Col16) ''"",0)))"),"")</f>
        <v/>
      </c>
      <c r="M268" s="628" t="str">
        <f>IFERROR(__xludf.DUMMYFUNCTION("IF($G268="""","""",IFERROR(query({proventos!$B$5:$Q310},""Select sum(Col16) where Col1 = '""&amp;$G268&amp;""' and Col2 &gt; date '""&amp;TEXT(N$8,""yyyy-mm-dd"")&amp;""' and Col2 &lt;= date '""&amp;TEXT(M$8,""yyyy-mm-dd"")&amp;""' label sum(Col16) ''"",0)))"),"")</f>
        <v/>
      </c>
      <c r="N268" s="628" t="str">
        <f>IFERROR(__xludf.DUMMYFUNCTION("IF($G268="""","""",IFERROR(query({proventos!$B$5:$Q310},""Select sum(Col16) where Col1 = '""&amp;$G268&amp;""' and Col2 &gt; date '""&amp;TEXT(O$8,""yyyy-mm-dd"")&amp;""' and Col2 &lt;= date '""&amp;TEXT(N$8,""yyyy-mm-dd"")&amp;""' label sum(Col16) ''"",0)))"),"")</f>
        <v/>
      </c>
      <c r="O268" s="628" t="str">
        <f>IFERROR(__xludf.DUMMYFUNCTION("IF($G268="""","""",IFERROR(query({proventos!$B$5:$Q310},""Select sum(Col16) where Col1 = '""&amp;$G268&amp;""' and Col2 &gt; date '""&amp;TEXT(P$8,""yyyy-mm-dd"")&amp;""' and Col2 &lt;= date '""&amp;TEXT(O$8,""yyyy-mm-dd"")&amp;""' label sum(Col16) ''"",0)))"),"")</f>
        <v/>
      </c>
      <c r="P268" s="628" t="str">
        <f>IFERROR(__xludf.DUMMYFUNCTION("IF($G268="""","""",IFERROR(query({proventos!$B$5:$Q310},""Select sum(Col16) where Col1 = '""&amp;$G268&amp;""' and Col2 &gt; date '""&amp;TEXT(Q$8,""yyyy-mm-dd"")&amp;""' and Col2 &lt;= date '""&amp;TEXT(P$8,""yyyy-mm-dd"")&amp;""' label sum(Col16) ''"",0)))"),"")</f>
        <v/>
      </c>
      <c r="Q268" s="628" t="str">
        <f>IFERROR(__xludf.DUMMYFUNCTION("IF($G268="""","""",IFERROR(query({proventos!$B$5:$Q310},""Select sum(Col16) where Col1 = '""&amp;$G268&amp;""' and Col2 &gt; date '""&amp;TEXT(R$8,""yyyy-mm-dd"")&amp;""' and Col2 &lt;= date '""&amp;TEXT(Q$8,""yyyy-mm-dd"")&amp;""' label sum(Col16) ''"",0)))"),"")</f>
        <v/>
      </c>
      <c r="R268" s="628" t="str">
        <f>IFERROR(__xludf.DUMMYFUNCTION("IF($G268="""","""",IFERROR(query({proventos!$B$5:$Q310},""Select sum(Col16) where Col1 = '""&amp;$G268&amp;""' and Col2 &gt; date '""&amp;TEXT(S$8,""yyyy-mm-dd"")&amp;""' and Col2 &lt;= date '""&amp;TEXT(R$8,""yyyy-mm-dd"")&amp;""' label sum(Col16) ''"",0)))"),"")</f>
        <v/>
      </c>
      <c r="S268" s="628" t="str">
        <f>IFERROR(__xludf.DUMMYFUNCTION("IF($G268="""","""",IFERROR(query({proventos!$B$5:$Q310},""Select sum(Col16) where Col1 = '""&amp;$G268&amp;""' and Col2 &gt; date '""&amp;TEXT(T$8,""yyyy-mm-dd"")&amp;""' and Col2 &lt;= date '""&amp;TEXT(S$8,""yyyy-mm-dd"")&amp;""' label sum(Col16) ''"",0)))"),"")</f>
        <v/>
      </c>
      <c r="T268" s="628" t="str">
        <f>IFERROR(__xludf.DUMMYFUNCTION("IF($G268="""","""",IFERROR(query({proventos!$B$5:$Q310},""Select sum(Col16) where Col1 = '""&amp;$G268&amp;""' and Col2 &gt; date '""&amp;TEXT(U$8,""yyyy-mm-dd"")&amp;""' and Col2 &lt;= date '""&amp;TEXT(T$8,""yyyy-mm-dd"")&amp;""' label sum(Col16) ''"",0)))"),"")</f>
        <v/>
      </c>
      <c r="U268" s="629" t="str">
        <f>IFERROR(__xludf.DUMMYFUNCTION("IF($G268="""","""",IFERROR(query({proventos!$B$5:$Q310},""Select sum(Col16) where Col1 = '""&amp;$G268&amp;""' and Col2 &gt; date '""&amp;TEXT(EOMONTH(TODAY(),-13),""yyyy-mm-dd"")&amp;""' and Col2 &lt;= date '""&amp;TEXT(U$8,""yyyy-mm-dd"")&amp;""' label sum(Col16) ''"",0)))"),"")</f>
        <v/>
      </c>
      <c r="V268" s="630" t="str">
        <f>IFERROR(__xludf.DUMMYFUNCTION("IF($G268="""","""",IFERROR(query({proventos!$B$5:$Q310},""Select sum(Col16) where Col1 = '""&amp;$G268&amp;""' and Col2 &gt; date '""&amp;TEXT(DATE(V$8,1,1),""yyyy-mm-dd"")&amp;""' and Col2 &lt;= date '""&amp;TEXT(DATE(V$8,12,31),""yyyy-mm-dd"")&amp;""' label sum(Col16) ''"",0)))"),"")</f>
        <v/>
      </c>
      <c r="W268" s="630" t="str">
        <f>IFERROR(__xludf.DUMMYFUNCTION("IF($G268="""","""",IFERROR(query({proventos!$B$5:$Q310},""Select sum(Col16) where Col1 = '""&amp;$G268&amp;""' and Col2 &gt; date '""&amp;TEXT(DATE(W$8,1,1),""yyyy-mm-dd"")&amp;""' and Col2 &lt;= date '""&amp;TEXT(DATE(W$8,12,31),""yyyy-mm-dd"")&amp;""' label sum(Col16) ''"",0)))"),"")</f>
        <v/>
      </c>
      <c r="X268" s="630" t="str">
        <f>IFERROR(__xludf.DUMMYFUNCTION("IF($G268="""","""",IFERROR(query({proventos!$B$5:$Q310},""Select sum(Col16) where Col1 = '""&amp;$G268&amp;""' and Col2 &gt; date '""&amp;TEXT(DATE(X$8,1,1),""yyyy-mm-dd"")&amp;""' and Col2 &lt;= date '""&amp;TEXT(DATE(X$8,12,31),""yyyy-mm-dd"")&amp;""' label sum(Col16) ''"",0)))"),"")</f>
        <v/>
      </c>
      <c r="Y268" s="630" t="str">
        <f>IFERROR(__xludf.DUMMYFUNCTION("IF($G268="""","""",IFERROR(query({proventos!$B$5:$Q310},""Select sum(Col16) where Col1 = '""&amp;$G268&amp;""' and Col2 &gt; date '""&amp;TEXT(DATE(Y$8,1,1),""yyyy-mm-dd"")&amp;""' and Col2 &lt;= date '""&amp;TEXT(DATE(Y$8,12,31),""yyyy-mm-dd"")&amp;""' label sum(Col16) ''"",0)))"),"")</f>
        <v/>
      </c>
      <c r="Z268" s="630" t="str">
        <f>IFERROR(__xludf.DUMMYFUNCTION("IF($G268="""","""",IFERROR(query({proventos!$B$5:$Q310},""Select sum(Col16) where Col1 = '""&amp;$G268&amp;""' and Col2 &gt; date '""&amp;TEXT(DATE(Z$8,1,1),""yyyy-mm-dd"")&amp;""' and Col2 &lt;= date '""&amp;TEXT(DATE(Z$8,12,31),""yyyy-mm-dd"")&amp;""' label sum(Col16) ''"",0)))"),"")</f>
        <v/>
      </c>
      <c r="AA268" s="587"/>
      <c r="AB268" s="578" t="s">
        <v>123</v>
      </c>
      <c r="AC268" s="601"/>
      <c r="AD268" s="636"/>
      <c r="AE268" s="636"/>
    </row>
    <row r="269">
      <c r="A269" s="576"/>
      <c r="B269" s="620"/>
      <c r="C269" s="637"/>
      <c r="D269" s="633"/>
      <c r="E269" s="633"/>
      <c r="F269" s="624">
        <v>259.0</v>
      </c>
      <c r="G269" s="635"/>
      <c r="H269" s="626" t="str">
        <f>if(G269="","",IFERROR(VLOOKUP(G269,AtivosDados,MATCH("provento_avg",portfolio.!$A$3:AE$3,0),FALSE),""))</f>
        <v/>
      </c>
      <c r="I269" s="627" t="s">
        <v>123</v>
      </c>
      <c r="J269" s="628" t="str">
        <f>IFERROR(__xludf.DUMMYFUNCTION("IF($G269="""","""",IFERROR(query({proventos!$B$5:$Q310},""Select sum(Col16) where Col1 = '""&amp;$G269&amp;""' and Col2 &gt; date '""&amp;TEXT(K$8,""yyyy-mm-dd"")&amp;""' and Col2 &lt;= date '""&amp;TEXT(J$8,""yyyy-mm-dd"")&amp;""' label sum(Col16) ''"",0)))"),"")</f>
        <v/>
      </c>
      <c r="K269" s="628" t="str">
        <f>IFERROR(__xludf.DUMMYFUNCTION("IF($G269="""","""",IFERROR(query({proventos!$B$5:$Q310},""Select sum(Col16) where Col1 = '""&amp;$G269&amp;""' and Col2 &gt; date '""&amp;TEXT(L$8,""yyyy-mm-dd"")&amp;""' and Col2 &lt;= date '""&amp;TEXT(K$8,""yyyy-mm-dd"")&amp;""' label sum(Col16) ''"",0)))"),"")</f>
        <v/>
      </c>
      <c r="L269" s="628" t="str">
        <f>IFERROR(__xludf.DUMMYFUNCTION("IF($G269="""","""",IFERROR(query({proventos!$B$5:$Q310},""Select sum(Col16) where Col1 = '""&amp;$G269&amp;""' and Col2 &gt; date '""&amp;TEXT(M$8,""yyyy-mm-dd"")&amp;""' and Col2 &lt;= date '""&amp;TEXT(L$8,""yyyy-mm-dd"")&amp;""' label sum(Col16) ''"",0)))"),"")</f>
        <v/>
      </c>
      <c r="M269" s="628" t="str">
        <f>IFERROR(__xludf.DUMMYFUNCTION("IF($G269="""","""",IFERROR(query({proventos!$B$5:$Q310},""Select sum(Col16) where Col1 = '""&amp;$G269&amp;""' and Col2 &gt; date '""&amp;TEXT(N$8,""yyyy-mm-dd"")&amp;""' and Col2 &lt;= date '""&amp;TEXT(M$8,""yyyy-mm-dd"")&amp;""' label sum(Col16) ''"",0)))"),"")</f>
        <v/>
      </c>
      <c r="N269" s="628" t="str">
        <f>IFERROR(__xludf.DUMMYFUNCTION("IF($G269="""","""",IFERROR(query({proventos!$B$5:$Q310},""Select sum(Col16) where Col1 = '""&amp;$G269&amp;""' and Col2 &gt; date '""&amp;TEXT(O$8,""yyyy-mm-dd"")&amp;""' and Col2 &lt;= date '""&amp;TEXT(N$8,""yyyy-mm-dd"")&amp;""' label sum(Col16) ''"",0)))"),"")</f>
        <v/>
      </c>
      <c r="O269" s="628" t="str">
        <f>IFERROR(__xludf.DUMMYFUNCTION("IF($G269="""","""",IFERROR(query({proventos!$B$5:$Q310},""Select sum(Col16) where Col1 = '""&amp;$G269&amp;""' and Col2 &gt; date '""&amp;TEXT(P$8,""yyyy-mm-dd"")&amp;""' and Col2 &lt;= date '""&amp;TEXT(O$8,""yyyy-mm-dd"")&amp;""' label sum(Col16) ''"",0)))"),"")</f>
        <v/>
      </c>
      <c r="P269" s="628" t="str">
        <f>IFERROR(__xludf.DUMMYFUNCTION("IF($G269="""","""",IFERROR(query({proventos!$B$5:$Q310},""Select sum(Col16) where Col1 = '""&amp;$G269&amp;""' and Col2 &gt; date '""&amp;TEXT(Q$8,""yyyy-mm-dd"")&amp;""' and Col2 &lt;= date '""&amp;TEXT(P$8,""yyyy-mm-dd"")&amp;""' label sum(Col16) ''"",0)))"),"")</f>
        <v/>
      </c>
      <c r="Q269" s="628" t="str">
        <f>IFERROR(__xludf.DUMMYFUNCTION("IF($G269="""","""",IFERROR(query({proventos!$B$5:$Q310},""Select sum(Col16) where Col1 = '""&amp;$G269&amp;""' and Col2 &gt; date '""&amp;TEXT(R$8,""yyyy-mm-dd"")&amp;""' and Col2 &lt;= date '""&amp;TEXT(Q$8,""yyyy-mm-dd"")&amp;""' label sum(Col16) ''"",0)))"),"")</f>
        <v/>
      </c>
      <c r="R269" s="628" t="str">
        <f>IFERROR(__xludf.DUMMYFUNCTION("IF($G269="""","""",IFERROR(query({proventos!$B$5:$Q310},""Select sum(Col16) where Col1 = '""&amp;$G269&amp;""' and Col2 &gt; date '""&amp;TEXT(S$8,""yyyy-mm-dd"")&amp;""' and Col2 &lt;= date '""&amp;TEXT(R$8,""yyyy-mm-dd"")&amp;""' label sum(Col16) ''"",0)))"),"")</f>
        <v/>
      </c>
      <c r="S269" s="628" t="str">
        <f>IFERROR(__xludf.DUMMYFUNCTION("IF($G269="""","""",IFERROR(query({proventos!$B$5:$Q310},""Select sum(Col16) where Col1 = '""&amp;$G269&amp;""' and Col2 &gt; date '""&amp;TEXT(T$8,""yyyy-mm-dd"")&amp;""' and Col2 &lt;= date '""&amp;TEXT(S$8,""yyyy-mm-dd"")&amp;""' label sum(Col16) ''"",0)))"),"")</f>
        <v/>
      </c>
      <c r="T269" s="628" t="str">
        <f>IFERROR(__xludf.DUMMYFUNCTION("IF($G269="""","""",IFERROR(query({proventos!$B$5:$Q310},""Select sum(Col16) where Col1 = '""&amp;$G269&amp;""' and Col2 &gt; date '""&amp;TEXT(U$8,""yyyy-mm-dd"")&amp;""' and Col2 &lt;= date '""&amp;TEXT(T$8,""yyyy-mm-dd"")&amp;""' label sum(Col16) ''"",0)))"),"")</f>
        <v/>
      </c>
      <c r="U269" s="629" t="str">
        <f>IFERROR(__xludf.DUMMYFUNCTION("IF($G269="""","""",IFERROR(query({proventos!$B$5:$Q310},""Select sum(Col16) where Col1 = '""&amp;$G269&amp;""' and Col2 &gt; date '""&amp;TEXT(EOMONTH(TODAY(),-13),""yyyy-mm-dd"")&amp;""' and Col2 &lt;= date '""&amp;TEXT(U$8,""yyyy-mm-dd"")&amp;""' label sum(Col16) ''"",0)))"),"")</f>
        <v/>
      </c>
      <c r="V269" s="630" t="str">
        <f>IFERROR(__xludf.DUMMYFUNCTION("IF($G269="""","""",IFERROR(query({proventos!$B$5:$Q310},""Select sum(Col16) where Col1 = '""&amp;$G269&amp;""' and Col2 &gt; date '""&amp;TEXT(DATE(V$8,1,1),""yyyy-mm-dd"")&amp;""' and Col2 &lt;= date '""&amp;TEXT(DATE(V$8,12,31),""yyyy-mm-dd"")&amp;""' label sum(Col16) ''"",0)))"),"")</f>
        <v/>
      </c>
      <c r="W269" s="630" t="str">
        <f>IFERROR(__xludf.DUMMYFUNCTION("IF($G269="""","""",IFERROR(query({proventos!$B$5:$Q310},""Select sum(Col16) where Col1 = '""&amp;$G269&amp;""' and Col2 &gt; date '""&amp;TEXT(DATE(W$8,1,1),""yyyy-mm-dd"")&amp;""' and Col2 &lt;= date '""&amp;TEXT(DATE(W$8,12,31),""yyyy-mm-dd"")&amp;""' label sum(Col16) ''"",0)))"),"")</f>
        <v/>
      </c>
      <c r="X269" s="630" t="str">
        <f>IFERROR(__xludf.DUMMYFUNCTION("IF($G269="""","""",IFERROR(query({proventos!$B$5:$Q310},""Select sum(Col16) where Col1 = '""&amp;$G269&amp;""' and Col2 &gt; date '""&amp;TEXT(DATE(X$8,1,1),""yyyy-mm-dd"")&amp;""' and Col2 &lt;= date '""&amp;TEXT(DATE(X$8,12,31),""yyyy-mm-dd"")&amp;""' label sum(Col16) ''"",0)))"),"")</f>
        <v/>
      </c>
      <c r="Y269" s="630" t="str">
        <f>IFERROR(__xludf.DUMMYFUNCTION("IF($G269="""","""",IFERROR(query({proventos!$B$5:$Q310},""Select sum(Col16) where Col1 = '""&amp;$G269&amp;""' and Col2 &gt; date '""&amp;TEXT(DATE(Y$8,1,1),""yyyy-mm-dd"")&amp;""' and Col2 &lt;= date '""&amp;TEXT(DATE(Y$8,12,31),""yyyy-mm-dd"")&amp;""' label sum(Col16) ''"",0)))"),"")</f>
        <v/>
      </c>
      <c r="Z269" s="630" t="str">
        <f>IFERROR(__xludf.DUMMYFUNCTION("IF($G269="""","""",IFERROR(query({proventos!$B$5:$Q310},""Select sum(Col16) where Col1 = '""&amp;$G269&amp;""' and Col2 &gt; date '""&amp;TEXT(DATE(Z$8,1,1),""yyyy-mm-dd"")&amp;""' and Col2 &lt;= date '""&amp;TEXT(DATE(Z$8,12,31),""yyyy-mm-dd"")&amp;""' label sum(Col16) ''"",0)))"),"")</f>
        <v/>
      </c>
      <c r="AA269" s="587"/>
      <c r="AB269" s="578" t="s">
        <v>123</v>
      </c>
      <c r="AC269" s="601"/>
      <c r="AD269" s="636"/>
      <c r="AE269" s="636"/>
    </row>
    <row r="270">
      <c r="A270" s="576"/>
      <c r="B270" s="620"/>
      <c r="C270" s="637"/>
      <c r="D270" s="633"/>
      <c r="E270" s="633"/>
      <c r="F270" s="624">
        <v>260.0</v>
      </c>
      <c r="G270" s="635"/>
      <c r="H270" s="626" t="str">
        <f>if(G270="","",IFERROR(VLOOKUP(G270,AtivosDados,MATCH("provento_avg",portfolio.!$A$3:AE$3,0),FALSE),""))</f>
        <v/>
      </c>
      <c r="I270" s="627" t="s">
        <v>123</v>
      </c>
      <c r="J270" s="628" t="str">
        <f>IFERROR(__xludf.DUMMYFUNCTION("IF($G270="""","""",IFERROR(query({proventos!$B$5:$Q310},""Select sum(Col16) where Col1 = '""&amp;$G270&amp;""' and Col2 &gt; date '""&amp;TEXT(K$8,""yyyy-mm-dd"")&amp;""' and Col2 &lt;= date '""&amp;TEXT(J$8,""yyyy-mm-dd"")&amp;""' label sum(Col16) ''"",0)))"),"")</f>
        <v/>
      </c>
      <c r="K270" s="628" t="str">
        <f>IFERROR(__xludf.DUMMYFUNCTION("IF($G270="""","""",IFERROR(query({proventos!$B$5:$Q310},""Select sum(Col16) where Col1 = '""&amp;$G270&amp;""' and Col2 &gt; date '""&amp;TEXT(L$8,""yyyy-mm-dd"")&amp;""' and Col2 &lt;= date '""&amp;TEXT(K$8,""yyyy-mm-dd"")&amp;""' label sum(Col16) ''"",0)))"),"")</f>
        <v/>
      </c>
      <c r="L270" s="628" t="str">
        <f>IFERROR(__xludf.DUMMYFUNCTION("IF($G270="""","""",IFERROR(query({proventos!$B$5:$Q310},""Select sum(Col16) where Col1 = '""&amp;$G270&amp;""' and Col2 &gt; date '""&amp;TEXT(M$8,""yyyy-mm-dd"")&amp;""' and Col2 &lt;= date '""&amp;TEXT(L$8,""yyyy-mm-dd"")&amp;""' label sum(Col16) ''"",0)))"),"")</f>
        <v/>
      </c>
      <c r="M270" s="628" t="str">
        <f>IFERROR(__xludf.DUMMYFUNCTION("IF($G270="""","""",IFERROR(query({proventos!$B$5:$Q310},""Select sum(Col16) where Col1 = '""&amp;$G270&amp;""' and Col2 &gt; date '""&amp;TEXT(N$8,""yyyy-mm-dd"")&amp;""' and Col2 &lt;= date '""&amp;TEXT(M$8,""yyyy-mm-dd"")&amp;""' label sum(Col16) ''"",0)))"),"")</f>
        <v/>
      </c>
      <c r="N270" s="628" t="str">
        <f>IFERROR(__xludf.DUMMYFUNCTION("IF($G270="""","""",IFERROR(query({proventos!$B$5:$Q310},""Select sum(Col16) where Col1 = '""&amp;$G270&amp;""' and Col2 &gt; date '""&amp;TEXT(O$8,""yyyy-mm-dd"")&amp;""' and Col2 &lt;= date '""&amp;TEXT(N$8,""yyyy-mm-dd"")&amp;""' label sum(Col16) ''"",0)))"),"")</f>
        <v/>
      </c>
      <c r="O270" s="628" t="str">
        <f>IFERROR(__xludf.DUMMYFUNCTION("IF($G270="""","""",IFERROR(query({proventos!$B$5:$Q310},""Select sum(Col16) where Col1 = '""&amp;$G270&amp;""' and Col2 &gt; date '""&amp;TEXT(P$8,""yyyy-mm-dd"")&amp;""' and Col2 &lt;= date '""&amp;TEXT(O$8,""yyyy-mm-dd"")&amp;""' label sum(Col16) ''"",0)))"),"")</f>
        <v/>
      </c>
      <c r="P270" s="628" t="str">
        <f>IFERROR(__xludf.DUMMYFUNCTION("IF($G270="""","""",IFERROR(query({proventos!$B$5:$Q310},""Select sum(Col16) where Col1 = '""&amp;$G270&amp;""' and Col2 &gt; date '""&amp;TEXT(Q$8,""yyyy-mm-dd"")&amp;""' and Col2 &lt;= date '""&amp;TEXT(P$8,""yyyy-mm-dd"")&amp;""' label sum(Col16) ''"",0)))"),"")</f>
        <v/>
      </c>
      <c r="Q270" s="628" t="str">
        <f>IFERROR(__xludf.DUMMYFUNCTION("IF($G270="""","""",IFERROR(query({proventos!$B$5:$Q310},""Select sum(Col16) where Col1 = '""&amp;$G270&amp;""' and Col2 &gt; date '""&amp;TEXT(R$8,""yyyy-mm-dd"")&amp;""' and Col2 &lt;= date '""&amp;TEXT(Q$8,""yyyy-mm-dd"")&amp;""' label sum(Col16) ''"",0)))"),"")</f>
        <v/>
      </c>
      <c r="R270" s="628" t="str">
        <f>IFERROR(__xludf.DUMMYFUNCTION("IF($G270="""","""",IFERROR(query({proventos!$B$5:$Q310},""Select sum(Col16) where Col1 = '""&amp;$G270&amp;""' and Col2 &gt; date '""&amp;TEXT(S$8,""yyyy-mm-dd"")&amp;""' and Col2 &lt;= date '""&amp;TEXT(R$8,""yyyy-mm-dd"")&amp;""' label sum(Col16) ''"",0)))"),"")</f>
        <v/>
      </c>
      <c r="S270" s="628" t="str">
        <f>IFERROR(__xludf.DUMMYFUNCTION("IF($G270="""","""",IFERROR(query({proventos!$B$5:$Q310},""Select sum(Col16) where Col1 = '""&amp;$G270&amp;""' and Col2 &gt; date '""&amp;TEXT(T$8,""yyyy-mm-dd"")&amp;""' and Col2 &lt;= date '""&amp;TEXT(S$8,""yyyy-mm-dd"")&amp;""' label sum(Col16) ''"",0)))"),"")</f>
        <v/>
      </c>
      <c r="T270" s="628" t="str">
        <f>IFERROR(__xludf.DUMMYFUNCTION("IF($G270="""","""",IFERROR(query({proventos!$B$5:$Q310},""Select sum(Col16) where Col1 = '""&amp;$G270&amp;""' and Col2 &gt; date '""&amp;TEXT(U$8,""yyyy-mm-dd"")&amp;""' and Col2 &lt;= date '""&amp;TEXT(T$8,""yyyy-mm-dd"")&amp;""' label sum(Col16) ''"",0)))"),"")</f>
        <v/>
      </c>
      <c r="U270" s="629" t="str">
        <f>IFERROR(__xludf.DUMMYFUNCTION("IF($G270="""","""",IFERROR(query({proventos!$B$5:$Q310},""Select sum(Col16) where Col1 = '""&amp;$G270&amp;""' and Col2 &gt; date '""&amp;TEXT(EOMONTH(TODAY(),-13),""yyyy-mm-dd"")&amp;""' and Col2 &lt;= date '""&amp;TEXT(U$8,""yyyy-mm-dd"")&amp;""' label sum(Col16) ''"",0)))"),"")</f>
        <v/>
      </c>
      <c r="V270" s="630" t="str">
        <f>IFERROR(__xludf.DUMMYFUNCTION("IF($G270="""","""",IFERROR(query({proventos!$B$5:$Q310},""Select sum(Col16) where Col1 = '""&amp;$G270&amp;""' and Col2 &gt; date '""&amp;TEXT(DATE(V$8,1,1),""yyyy-mm-dd"")&amp;""' and Col2 &lt;= date '""&amp;TEXT(DATE(V$8,12,31),""yyyy-mm-dd"")&amp;""' label sum(Col16) ''"",0)))"),"")</f>
        <v/>
      </c>
      <c r="W270" s="630" t="str">
        <f>IFERROR(__xludf.DUMMYFUNCTION("IF($G270="""","""",IFERROR(query({proventos!$B$5:$Q310},""Select sum(Col16) where Col1 = '""&amp;$G270&amp;""' and Col2 &gt; date '""&amp;TEXT(DATE(W$8,1,1),""yyyy-mm-dd"")&amp;""' and Col2 &lt;= date '""&amp;TEXT(DATE(W$8,12,31),""yyyy-mm-dd"")&amp;""' label sum(Col16) ''"",0)))"),"")</f>
        <v/>
      </c>
      <c r="X270" s="630" t="str">
        <f>IFERROR(__xludf.DUMMYFUNCTION("IF($G270="""","""",IFERROR(query({proventos!$B$5:$Q310},""Select sum(Col16) where Col1 = '""&amp;$G270&amp;""' and Col2 &gt; date '""&amp;TEXT(DATE(X$8,1,1),""yyyy-mm-dd"")&amp;""' and Col2 &lt;= date '""&amp;TEXT(DATE(X$8,12,31),""yyyy-mm-dd"")&amp;""' label sum(Col16) ''"",0)))"),"")</f>
        <v/>
      </c>
      <c r="Y270" s="630" t="str">
        <f>IFERROR(__xludf.DUMMYFUNCTION("IF($G270="""","""",IFERROR(query({proventos!$B$5:$Q310},""Select sum(Col16) where Col1 = '""&amp;$G270&amp;""' and Col2 &gt; date '""&amp;TEXT(DATE(Y$8,1,1),""yyyy-mm-dd"")&amp;""' and Col2 &lt;= date '""&amp;TEXT(DATE(Y$8,12,31),""yyyy-mm-dd"")&amp;""' label sum(Col16) ''"",0)))"),"")</f>
        <v/>
      </c>
      <c r="Z270" s="630" t="str">
        <f>IFERROR(__xludf.DUMMYFUNCTION("IF($G270="""","""",IFERROR(query({proventos!$B$5:$Q310},""Select sum(Col16) where Col1 = '""&amp;$G270&amp;""' and Col2 &gt; date '""&amp;TEXT(DATE(Z$8,1,1),""yyyy-mm-dd"")&amp;""' and Col2 &lt;= date '""&amp;TEXT(DATE(Z$8,12,31),""yyyy-mm-dd"")&amp;""' label sum(Col16) ''"",0)))"),"")</f>
        <v/>
      </c>
      <c r="AA270" s="587"/>
      <c r="AB270" s="578" t="s">
        <v>123</v>
      </c>
      <c r="AC270" s="601"/>
      <c r="AD270" s="638"/>
      <c r="AE270" s="638"/>
    </row>
    <row r="271">
      <c r="A271" s="576"/>
      <c r="B271" s="620"/>
      <c r="C271" s="637"/>
      <c r="D271" s="633"/>
      <c r="E271" s="633"/>
      <c r="F271" s="624">
        <v>261.0</v>
      </c>
      <c r="G271" s="635"/>
      <c r="H271" s="626" t="str">
        <f>if(G271="","",IFERROR(VLOOKUP(G271,AtivosDados,MATCH("provento_avg",portfolio.!$A$3:AE$3,0),FALSE),""))</f>
        <v/>
      </c>
      <c r="I271" s="627" t="s">
        <v>123</v>
      </c>
      <c r="J271" s="628" t="str">
        <f>IFERROR(__xludf.DUMMYFUNCTION("IF($G271="""","""",IFERROR(query({proventos!$B$5:$Q310},""Select sum(Col16) where Col1 = '""&amp;$G271&amp;""' and Col2 &gt; date '""&amp;TEXT(K$8,""yyyy-mm-dd"")&amp;""' and Col2 &lt;= date '""&amp;TEXT(J$8,""yyyy-mm-dd"")&amp;""' label sum(Col16) ''"",0)))"),"")</f>
        <v/>
      </c>
      <c r="K271" s="628" t="str">
        <f>IFERROR(__xludf.DUMMYFUNCTION("IF($G271="""","""",IFERROR(query({proventos!$B$5:$Q310},""Select sum(Col16) where Col1 = '""&amp;$G271&amp;""' and Col2 &gt; date '""&amp;TEXT(L$8,""yyyy-mm-dd"")&amp;""' and Col2 &lt;= date '""&amp;TEXT(K$8,""yyyy-mm-dd"")&amp;""' label sum(Col16) ''"",0)))"),"")</f>
        <v/>
      </c>
      <c r="L271" s="628" t="str">
        <f>IFERROR(__xludf.DUMMYFUNCTION("IF($G271="""","""",IFERROR(query({proventos!$B$5:$Q310},""Select sum(Col16) where Col1 = '""&amp;$G271&amp;""' and Col2 &gt; date '""&amp;TEXT(M$8,""yyyy-mm-dd"")&amp;""' and Col2 &lt;= date '""&amp;TEXT(L$8,""yyyy-mm-dd"")&amp;""' label sum(Col16) ''"",0)))"),"")</f>
        <v/>
      </c>
      <c r="M271" s="628" t="str">
        <f>IFERROR(__xludf.DUMMYFUNCTION("IF($G271="""","""",IFERROR(query({proventos!$B$5:$Q310},""Select sum(Col16) where Col1 = '""&amp;$G271&amp;""' and Col2 &gt; date '""&amp;TEXT(N$8,""yyyy-mm-dd"")&amp;""' and Col2 &lt;= date '""&amp;TEXT(M$8,""yyyy-mm-dd"")&amp;""' label sum(Col16) ''"",0)))"),"")</f>
        <v/>
      </c>
      <c r="N271" s="628" t="str">
        <f>IFERROR(__xludf.DUMMYFUNCTION("IF($G271="""","""",IFERROR(query({proventos!$B$5:$Q310},""Select sum(Col16) where Col1 = '""&amp;$G271&amp;""' and Col2 &gt; date '""&amp;TEXT(O$8,""yyyy-mm-dd"")&amp;""' and Col2 &lt;= date '""&amp;TEXT(N$8,""yyyy-mm-dd"")&amp;""' label sum(Col16) ''"",0)))"),"")</f>
        <v/>
      </c>
      <c r="O271" s="628" t="str">
        <f>IFERROR(__xludf.DUMMYFUNCTION("IF($G271="""","""",IFERROR(query({proventos!$B$5:$Q310},""Select sum(Col16) where Col1 = '""&amp;$G271&amp;""' and Col2 &gt; date '""&amp;TEXT(P$8,""yyyy-mm-dd"")&amp;""' and Col2 &lt;= date '""&amp;TEXT(O$8,""yyyy-mm-dd"")&amp;""' label sum(Col16) ''"",0)))"),"")</f>
        <v/>
      </c>
      <c r="P271" s="628" t="str">
        <f>IFERROR(__xludf.DUMMYFUNCTION("IF($G271="""","""",IFERROR(query({proventos!$B$5:$Q310},""Select sum(Col16) where Col1 = '""&amp;$G271&amp;""' and Col2 &gt; date '""&amp;TEXT(Q$8,""yyyy-mm-dd"")&amp;""' and Col2 &lt;= date '""&amp;TEXT(P$8,""yyyy-mm-dd"")&amp;""' label sum(Col16) ''"",0)))"),"")</f>
        <v/>
      </c>
      <c r="Q271" s="628" t="str">
        <f>IFERROR(__xludf.DUMMYFUNCTION("IF($G271="""","""",IFERROR(query({proventos!$B$5:$Q310},""Select sum(Col16) where Col1 = '""&amp;$G271&amp;""' and Col2 &gt; date '""&amp;TEXT(R$8,""yyyy-mm-dd"")&amp;""' and Col2 &lt;= date '""&amp;TEXT(Q$8,""yyyy-mm-dd"")&amp;""' label sum(Col16) ''"",0)))"),"")</f>
        <v/>
      </c>
      <c r="R271" s="628" t="str">
        <f>IFERROR(__xludf.DUMMYFUNCTION("IF($G271="""","""",IFERROR(query({proventos!$B$5:$Q310},""Select sum(Col16) where Col1 = '""&amp;$G271&amp;""' and Col2 &gt; date '""&amp;TEXT(S$8,""yyyy-mm-dd"")&amp;""' and Col2 &lt;= date '""&amp;TEXT(R$8,""yyyy-mm-dd"")&amp;""' label sum(Col16) ''"",0)))"),"")</f>
        <v/>
      </c>
      <c r="S271" s="628" t="str">
        <f>IFERROR(__xludf.DUMMYFUNCTION("IF($G271="""","""",IFERROR(query({proventos!$B$5:$Q310},""Select sum(Col16) where Col1 = '""&amp;$G271&amp;""' and Col2 &gt; date '""&amp;TEXT(T$8,""yyyy-mm-dd"")&amp;""' and Col2 &lt;= date '""&amp;TEXT(S$8,""yyyy-mm-dd"")&amp;""' label sum(Col16) ''"",0)))"),"")</f>
        <v/>
      </c>
      <c r="T271" s="628" t="str">
        <f>IFERROR(__xludf.DUMMYFUNCTION("IF($G271="""","""",IFERROR(query({proventos!$B$5:$Q310},""Select sum(Col16) where Col1 = '""&amp;$G271&amp;""' and Col2 &gt; date '""&amp;TEXT(U$8,""yyyy-mm-dd"")&amp;""' and Col2 &lt;= date '""&amp;TEXT(T$8,""yyyy-mm-dd"")&amp;""' label sum(Col16) ''"",0)))"),"")</f>
        <v/>
      </c>
      <c r="U271" s="629" t="str">
        <f>IFERROR(__xludf.DUMMYFUNCTION("IF($G271="""","""",IFERROR(query({proventos!$B$5:$Q310},""Select sum(Col16) where Col1 = '""&amp;$G271&amp;""' and Col2 &gt; date '""&amp;TEXT(EOMONTH(TODAY(),-13),""yyyy-mm-dd"")&amp;""' and Col2 &lt;= date '""&amp;TEXT(U$8,""yyyy-mm-dd"")&amp;""' label sum(Col16) ''"",0)))"),"")</f>
        <v/>
      </c>
      <c r="V271" s="630" t="str">
        <f>IFERROR(__xludf.DUMMYFUNCTION("IF($G271="""","""",IFERROR(query({proventos!$B$5:$Q310},""Select sum(Col16) where Col1 = '""&amp;$G271&amp;""' and Col2 &gt; date '""&amp;TEXT(DATE(V$8,1,1),""yyyy-mm-dd"")&amp;""' and Col2 &lt;= date '""&amp;TEXT(DATE(V$8,12,31),""yyyy-mm-dd"")&amp;""' label sum(Col16) ''"",0)))"),"")</f>
        <v/>
      </c>
      <c r="W271" s="630" t="str">
        <f>IFERROR(__xludf.DUMMYFUNCTION("IF($G271="""","""",IFERROR(query({proventos!$B$5:$Q310},""Select sum(Col16) where Col1 = '""&amp;$G271&amp;""' and Col2 &gt; date '""&amp;TEXT(DATE(W$8,1,1),""yyyy-mm-dd"")&amp;""' and Col2 &lt;= date '""&amp;TEXT(DATE(W$8,12,31),""yyyy-mm-dd"")&amp;""' label sum(Col16) ''"",0)))"),"")</f>
        <v/>
      </c>
      <c r="X271" s="630" t="str">
        <f>IFERROR(__xludf.DUMMYFUNCTION("IF($G271="""","""",IFERROR(query({proventos!$B$5:$Q310},""Select sum(Col16) where Col1 = '""&amp;$G271&amp;""' and Col2 &gt; date '""&amp;TEXT(DATE(X$8,1,1),""yyyy-mm-dd"")&amp;""' and Col2 &lt;= date '""&amp;TEXT(DATE(X$8,12,31),""yyyy-mm-dd"")&amp;""' label sum(Col16) ''"",0)))"),"")</f>
        <v/>
      </c>
      <c r="Y271" s="630" t="str">
        <f>IFERROR(__xludf.DUMMYFUNCTION("IF($G271="""","""",IFERROR(query({proventos!$B$5:$Q310},""Select sum(Col16) where Col1 = '""&amp;$G271&amp;""' and Col2 &gt; date '""&amp;TEXT(DATE(Y$8,1,1),""yyyy-mm-dd"")&amp;""' and Col2 &lt;= date '""&amp;TEXT(DATE(Y$8,12,31),""yyyy-mm-dd"")&amp;""' label sum(Col16) ''"",0)))"),"")</f>
        <v/>
      </c>
      <c r="Z271" s="630" t="str">
        <f>IFERROR(__xludf.DUMMYFUNCTION("IF($G271="""","""",IFERROR(query({proventos!$B$5:$Q310},""Select sum(Col16) where Col1 = '""&amp;$G271&amp;""' and Col2 &gt; date '""&amp;TEXT(DATE(Z$8,1,1),""yyyy-mm-dd"")&amp;""' and Col2 &lt;= date '""&amp;TEXT(DATE(Z$8,12,31),""yyyy-mm-dd"")&amp;""' label sum(Col16) ''"",0)))"),"")</f>
        <v/>
      </c>
      <c r="AA271" s="587"/>
      <c r="AB271" s="578" t="s">
        <v>123</v>
      </c>
      <c r="AC271" s="601"/>
      <c r="AD271" s="638"/>
      <c r="AE271" s="638"/>
    </row>
    <row r="272">
      <c r="A272" s="576"/>
      <c r="B272" s="620"/>
      <c r="C272" s="637"/>
      <c r="D272" s="633"/>
      <c r="E272" s="633"/>
      <c r="F272" s="624">
        <v>262.0</v>
      </c>
      <c r="G272" s="635"/>
      <c r="H272" s="626" t="str">
        <f>if(G272="","",IFERROR(VLOOKUP(G272,AtivosDados,MATCH("provento_avg",portfolio.!$A$3:AE$3,0),FALSE),""))</f>
        <v/>
      </c>
      <c r="I272" s="627" t="s">
        <v>123</v>
      </c>
      <c r="J272" s="628" t="str">
        <f>IFERROR(__xludf.DUMMYFUNCTION("IF($G272="""","""",IFERROR(query({proventos!$B$5:$Q310},""Select sum(Col16) where Col1 = '""&amp;$G272&amp;""' and Col2 &gt; date '""&amp;TEXT(K$8,""yyyy-mm-dd"")&amp;""' and Col2 &lt;= date '""&amp;TEXT(J$8,""yyyy-mm-dd"")&amp;""' label sum(Col16) ''"",0)))"),"")</f>
        <v/>
      </c>
      <c r="K272" s="628" t="str">
        <f>IFERROR(__xludf.DUMMYFUNCTION("IF($G272="""","""",IFERROR(query({proventos!$B$5:$Q310},""Select sum(Col16) where Col1 = '""&amp;$G272&amp;""' and Col2 &gt; date '""&amp;TEXT(L$8,""yyyy-mm-dd"")&amp;""' and Col2 &lt;= date '""&amp;TEXT(K$8,""yyyy-mm-dd"")&amp;""' label sum(Col16) ''"",0)))"),"")</f>
        <v/>
      </c>
      <c r="L272" s="628" t="str">
        <f>IFERROR(__xludf.DUMMYFUNCTION("IF($G272="""","""",IFERROR(query({proventos!$B$5:$Q310},""Select sum(Col16) where Col1 = '""&amp;$G272&amp;""' and Col2 &gt; date '""&amp;TEXT(M$8,""yyyy-mm-dd"")&amp;""' and Col2 &lt;= date '""&amp;TEXT(L$8,""yyyy-mm-dd"")&amp;""' label sum(Col16) ''"",0)))"),"")</f>
        <v/>
      </c>
      <c r="M272" s="628" t="str">
        <f>IFERROR(__xludf.DUMMYFUNCTION("IF($G272="""","""",IFERROR(query({proventos!$B$5:$Q310},""Select sum(Col16) where Col1 = '""&amp;$G272&amp;""' and Col2 &gt; date '""&amp;TEXT(N$8,""yyyy-mm-dd"")&amp;""' and Col2 &lt;= date '""&amp;TEXT(M$8,""yyyy-mm-dd"")&amp;""' label sum(Col16) ''"",0)))"),"")</f>
        <v/>
      </c>
      <c r="N272" s="628" t="str">
        <f>IFERROR(__xludf.DUMMYFUNCTION("IF($G272="""","""",IFERROR(query({proventos!$B$5:$Q310},""Select sum(Col16) where Col1 = '""&amp;$G272&amp;""' and Col2 &gt; date '""&amp;TEXT(O$8,""yyyy-mm-dd"")&amp;""' and Col2 &lt;= date '""&amp;TEXT(N$8,""yyyy-mm-dd"")&amp;""' label sum(Col16) ''"",0)))"),"")</f>
        <v/>
      </c>
      <c r="O272" s="628" t="str">
        <f>IFERROR(__xludf.DUMMYFUNCTION("IF($G272="""","""",IFERROR(query({proventos!$B$5:$Q310},""Select sum(Col16) where Col1 = '""&amp;$G272&amp;""' and Col2 &gt; date '""&amp;TEXT(P$8,""yyyy-mm-dd"")&amp;""' and Col2 &lt;= date '""&amp;TEXT(O$8,""yyyy-mm-dd"")&amp;""' label sum(Col16) ''"",0)))"),"")</f>
        <v/>
      </c>
      <c r="P272" s="628" t="str">
        <f>IFERROR(__xludf.DUMMYFUNCTION("IF($G272="""","""",IFERROR(query({proventos!$B$5:$Q310},""Select sum(Col16) where Col1 = '""&amp;$G272&amp;""' and Col2 &gt; date '""&amp;TEXT(Q$8,""yyyy-mm-dd"")&amp;""' and Col2 &lt;= date '""&amp;TEXT(P$8,""yyyy-mm-dd"")&amp;""' label sum(Col16) ''"",0)))"),"")</f>
        <v/>
      </c>
      <c r="Q272" s="628" t="str">
        <f>IFERROR(__xludf.DUMMYFUNCTION("IF($G272="""","""",IFERROR(query({proventos!$B$5:$Q310},""Select sum(Col16) where Col1 = '""&amp;$G272&amp;""' and Col2 &gt; date '""&amp;TEXT(R$8,""yyyy-mm-dd"")&amp;""' and Col2 &lt;= date '""&amp;TEXT(Q$8,""yyyy-mm-dd"")&amp;""' label sum(Col16) ''"",0)))"),"")</f>
        <v/>
      </c>
      <c r="R272" s="628" t="str">
        <f>IFERROR(__xludf.DUMMYFUNCTION("IF($G272="""","""",IFERROR(query({proventos!$B$5:$Q310},""Select sum(Col16) where Col1 = '""&amp;$G272&amp;""' and Col2 &gt; date '""&amp;TEXT(S$8,""yyyy-mm-dd"")&amp;""' and Col2 &lt;= date '""&amp;TEXT(R$8,""yyyy-mm-dd"")&amp;""' label sum(Col16) ''"",0)))"),"")</f>
        <v/>
      </c>
      <c r="S272" s="628" t="str">
        <f>IFERROR(__xludf.DUMMYFUNCTION("IF($G272="""","""",IFERROR(query({proventos!$B$5:$Q310},""Select sum(Col16) where Col1 = '""&amp;$G272&amp;""' and Col2 &gt; date '""&amp;TEXT(T$8,""yyyy-mm-dd"")&amp;""' and Col2 &lt;= date '""&amp;TEXT(S$8,""yyyy-mm-dd"")&amp;""' label sum(Col16) ''"",0)))"),"")</f>
        <v/>
      </c>
      <c r="T272" s="628" t="str">
        <f>IFERROR(__xludf.DUMMYFUNCTION("IF($G272="""","""",IFERROR(query({proventos!$B$5:$Q310},""Select sum(Col16) where Col1 = '""&amp;$G272&amp;""' and Col2 &gt; date '""&amp;TEXT(U$8,""yyyy-mm-dd"")&amp;""' and Col2 &lt;= date '""&amp;TEXT(T$8,""yyyy-mm-dd"")&amp;""' label sum(Col16) ''"",0)))"),"")</f>
        <v/>
      </c>
      <c r="U272" s="629" t="str">
        <f>IFERROR(__xludf.DUMMYFUNCTION("IF($G272="""","""",IFERROR(query({proventos!$B$5:$Q310},""Select sum(Col16) where Col1 = '""&amp;$G272&amp;""' and Col2 &gt; date '""&amp;TEXT(EOMONTH(TODAY(),-13),""yyyy-mm-dd"")&amp;""' and Col2 &lt;= date '""&amp;TEXT(U$8,""yyyy-mm-dd"")&amp;""' label sum(Col16) ''"",0)))"),"")</f>
        <v/>
      </c>
      <c r="V272" s="630" t="str">
        <f>IFERROR(__xludf.DUMMYFUNCTION("IF($G272="""","""",IFERROR(query({proventos!$B$5:$Q310},""Select sum(Col16) where Col1 = '""&amp;$G272&amp;""' and Col2 &gt; date '""&amp;TEXT(DATE(V$8,1,1),""yyyy-mm-dd"")&amp;""' and Col2 &lt;= date '""&amp;TEXT(DATE(V$8,12,31),""yyyy-mm-dd"")&amp;""' label sum(Col16) ''"",0)))"),"")</f>
        <v/>
      </c>
      <c r="W272" s="630" t="str">
        <f>IFERROR(__xludf.DUMMYFUNCTION("IF($G272="""","""",IFERROR(query({proventos!$B$5:$Q310},""Select sum(Col16) where Col1 = '""&amp;$G272&amp;""' and Col2 &gt; date '""&amp;TEXT(DATE(W$8,1,1),""yyyy-mm-dd"")&amp;""' and Col2 &lt;= date '""&amp;TEXT(DATE(W$8,12,31),""yyyy-mm-dd"")&amp;""' label sum(Col16) ''"",0)))"),"")</f>
        <v/>
      </c>
      <c r="X272" s="630" t="str">
        <f>IFERROR(__xludf.DUMMYFUNCTION("IF($G272="""","""",IFERROR(query({proventos!$B$5:$Q310},""Select sum(Col16) where Col1 = '""&amp;$G272&amp;""' and Col2 &gt; date '""&amp;TEXT(DATE(X$8,1,1),""yyyy-mm-dd"")&amp;""' and Col2 &lt;= date '""&amp;TEXT(DATE(X$8,12,31),""yyyy-mm-dd"")&amp;""' label sum(Col16) ''"",0)))"),"")</f>
        <v/>
      </c>
      <c r="Y272" s="630" t="str">
        <f>IFERROR(__xludf.DUMMYFUNCTION("IF($G272="""","""",IFERROR(query({proventos!$B$5:$Q310},""Select sum(Col16) where Col1 = '""&amp;$G272&amp;""' and Col2 &gt; date '""&amp;TEXT(DATE(Y$8,1,1),""yyyy-mm-dd"")&amp;""' and Col2 &lt;= date '""&amp;TEXT(DATE(Y$8,12,31),""yyyy-mm-dd"")&amp;""' label sum(Col16) ''"",0)))"),"")</f>
        <v/>
      </c>
      <c r="Z272" s="630" t="str">
        <f>IFERROR(__xludf.DUMMYFUNCTION("IF($G272="""","""",IFERROR(query({proventos!$B$5:$Q310},""Select sum(Col16) where Col1 = '""&amp;$G272&amp;""' and Col2 &gt; date '""&amp;TEXT(DATE(Z$8,1,1),""yyyy-mm-dd"")&amp;""' and Col2 &lt;= date '""&amp;TEXT(DATE(Z$8,12,31),""yyyy-mm-dd"")&amp;""' label sum(Col16) ''"",0)))"),"")</f>
        <v/>
      </c>
      <c r="AA272" s="587"/>
      <c r="AB272" s="578" t="s">
        <v>123</v>
      </c>
      <c r="AC272" s="601"/>
      <c r="AD272" s="638"/>
      <c r="AE272" s="638"/>
    </row>
    <row r="273">
      <c r="A273" s="576"/>
      <c r="B273" s="620"/>
      <c r="C273" s="637"/>
      <c r="D273" s="633"/>
      <c r="E273" s="633"/>
      <c r="F273" s="624">
        <v>263.0</v>
      </c>
      <c r="G273" s="635"/>
      <c r="H273" s="626" t="str">
        <f>if(G273="","",IFERROR(VLOOKUP(G273,AtivosDados,MATCH("provento_avg",portfolio.!$A$3:AE$3,0),FALSE),""))</f>
        <v/>
      </c>
      <c r="I273" s="627" t="s">
        <v>123</v>
      </c>
      <c r="J273" s="628" t="str">
        <f>IFERROR(__xludf.DUMMYFUNCTION("IF($G273="""","""",IFERROR(query({proventos!$B$5:$Q310},""Select sum(Col16) where Col1 = '""&amp;$G273&amp;""' and Col2 &gt; date '""&amp;TEXT(K$8,""yyyy-mm-dd"")&amp;""' and Col2 &lt;= date '""&amp;TEXT(J$8,""yyyy-mm-dd"")&amp;""' label sum(Col16) ''"",0)))"),"")</f>
        <v/>
      </c>
      <c r="K273" s="628" t="str">
        <f>IFERROR(__xludf.DUMMYFUNCTION("IF($G273="""","""",IFERROR(query({proventos!$B$5:$Q310},""Select sum(Col16) where Col1 = '""&amp;$G273&amp;""' and Col2 &gt; date '""&amp;TEXT(L$8,""yyyy-mm-dd"")&amp;""' and Col2 &lt;= date '""&amp;TEXT(K$8,""yyyy-mm-dd"")&amp;""' label sum(Col16) ''"",0)))"),"")</f>
        <v/>
      </c>
      <c r="L273" s="628" t="str">
        <f>IFERROR(__xludf.DUMMYFUNCTION("IF($G273="""","""",IFERROR(query({proventos!$B$5:$Q310},""Select sum(Col16) where Col1 = '""&amp;$G273&amp;""' and Col2 &gt; date '""&amp;TEXT(M$8,""yyyy-mm-dd"")&amp;""' and Col2 &lt;= date '""&amp;TEXT(L$8,""yyyy-mm-dd"")&amp;""' label sum(Col16) ''"",0)))"),"")</f>
        <v/>
      </c>
      <c r="M273" s="628" t="str">
        <f>IFERROR(__xludf.DUMMYFUNCTION("IF($G273="""","""",IFERROR(query({proventos!$B$5:$Q310},""Select sum(Col16) where Col1 = '""&amp;$G273&amp;""' and Col2 &gt; date '""&amp;TEXT(N$8,""yyyy-mm-dd"")&amp;""' and Col2 &lt;= date '""&amp;TEXT(M$8,""yyyy-mm-dd"")&amp;""' label sum(Col16) ''"",0)))"),"")</f>
        <v/>
      </c>
      <c r="N273" s="628" t="str">
        <f>IFERROR(__xludf.DUMMYFUNCTION("IF($G273="""","""",IFERROR(query({proventos!$B$5:$Q310},""Select sum(Col16) where Col1 = '""&amp;$G273&amp;""' and Col2 &gt; date '""&amp;TEXT(O$8,""yyyy-mm-dd"")&amp;""' and Col2 &lt;= date '""&amp;TEXT(N$8,""yyyy-mm-dd"")&amp;""' label sum(Col16) ''"",0)))"),"")</f>
        <v/>
      </c>
      <c r="O273" s="628" t="str">
        <f>IFERROR(__xludf.DUMMYFUNCTION("IF($G273="""","""",IFERROR(query({proventos!$B$5:$Q310},""Select sum(Col16) where Col1 = '""&amp;$G273&amp;""' and Col2 &gt; date '""&amp;TEXT(P$8,""yyyy-mm-dd"")&amp;""' and Col2 &lt;= date '""&amp;TEXT(O$8,""yyyy-mm-dd"")&amp;""' label sum(Col16) ''"",0)))"),"")</f>
        <v/>
      </c>
      <c r="P273" s="628" t="str">
        <f>IFERROR(__xludf.DUMMYFUNCTION("IF($G273="""","""",IFERROR(query({proventos!$B$5:$Q310},""Select sum(Col16) where Col1 = '""&amp;$G273&amp;""' and Col2 &gt; date '""&amp;TEXT(Q$8,""yyyy-mm-dd"")&amp;""' and Col2 &lt;= date '""&amp;TEXT(P$8,""yyyy-mm-dd"")&amp;""' label sum(Col16) ''"",0)))"),"")</f>
        <v/>
      </c>
      <c r="Q273" s="628" t="str">
        <f>IFERROR(__xludf.DUMMYFUNCTION("IF($G273="""","""",IFERROR(query({proventos!$B$5:$Q310},""Select sum(Col16) where Col1 = '""&amp;$G273&amp;""' and Col2 &gt; date '""&amp;TEXT(R$8,""yyyy-mm-dd"")&amp;""' and Col2 &lt;= date '""&amp;TEXT(Q$8,""yyyy-mm-dd"")&amp;""' label sum(Col16) ''"",0)))"),"")</f>
        <v/>
      </c>
      <c r="R273" s="628" t="str">
        <f>IFERROR(__xludf.DUMMYFUNCTION("IF($G273="""","""",IFERROR(query({proventos!$B$5:$Q310},""Select sum(Col16) where Col1 = '""&amp;$G273&amp;""' and Col2 &gt; date '""&amp;TEXT(S$8,""yyyy-mm-dd"")&amp;""' and Col2 &lt;= date '""&amp;TEXT(R$8,""yyyy-mm-dd"")&amp;""' label sum(Col16) ''"",0)))"),"")</f>
        <v/>
      </c>
      <c r="S273" s="628" t="str">
        <f>IFERROR(__xludf.DUMMYFUNCTION("IF($G273="""","""",IFERROR(query({proventos!$B$5:$Q310},""Select sum(Col16) where Col1 = '""&amp;$G273&amp;""' and Col2 &gt; date '""&amp;TEXT(T$8,""yyyy-mm-dd"")&amp;""' and Col2 &lt;= date '""&amp;TEXT(S$8,""yyyy-mm-dd"")&amp;""' label sum(Col16) ''"",0)))"),"")</f>
        <v/>
      </c>
      <c r="T273" s="628" t="str">
        <f>IFERROR(__xludf.DUMMYFUNCTION("IF($G273="""","""",IFERROR(query({proventos!$B$5:$Q310},""Select sum(Col16) where Col1 = '""&amp;$G273&amp;""' and Col2 &gt; date '""&amp;TEXT(U$8,""yyyy-mm-dd"")&amp;""' and Col2 &lt;= date '""&amp;TEXT(T$8,""yyyy-mm-dd"")&amp;""' label sum(Col16) ''"",0)))"),"")</f>
        <v/>
      </c>
      <c r="U273" s="629" t="str">
        <f>IFERROR(__xludf.DUMMYFUNCTION("IF($G273="""","""",IFERROR(query({proventos!$B$5:$Q310},""Select sum(Col16) where Col1 = '""&amp;$G273&amp;""' and Col2 &gt; date '""&amp;TEXT(EOMONTH(TODAY(),-13),""yyyy-mm-dd"")&amp;""' and Col2 &lt;= date '""&amp;TEXT(U$8,""yyyy-mm-dd"")&amp;""' label sum(Col16) ''"",0)))"),"")</f>
        <v/>
      </c>
      <c r="V273" s="630" t="str">
        <f>IFERROR(__xludf.DUMMYFUNCTION("IF($G273="""","""",IFERROR(query({proventos!$B$5:$Q310},""Select sum(Col16) where Col1 = '""&amp;$G273&amp;""' and Col2 &gt; date '""&amp;TEXT(DATE(V$8,1,1),""yyyy-mm-dd"")&amp;""' and Col2 &lt;= date '""&amp;TEXT(DATE(V$8,12,31),""yyyy-mm-dd"")&amp;""' label sum(Col16) ''"",0)))"),"")</f>
        <v/>
      </c>
      <c r="W273" s="630" t="str">
        <f>IFERROR(__xludf.DUMMYFUNCTION("IF($G273="""","""",IFERROR(query({proventos!$B$5:$Q310},""Select sum(Col16) where Col1 = '""&amp;$G273&amp;""' and Col2 &gt; date '""&amp;TEXT(DATE(W$8,1,1),""yyyy-mm-dd"")&amp;""' and Col2 &lt;= date '""&amp;TEXT(DATE(W$8,12,31),""yyyy-mm-dd"")&amp;""' label sum(Col16) ''"",0)))"),"")</f>
        <v/>
      </c>
      <c r="X273" s="630" t="str">
        <f>IFERROR(__xludf.DUMMYFUNCTION("IF($G273="""","""",IFERROR(query({proventos!$B$5:$Q310},""Select sum(Col16) where Col1 = '""&amp;$G273&amp;""' and Col2 &gt; date '""&amp;TEXT(DATE(X$8,1,1),""yyyy-mm-dd"")&amp;""' and Col2 &lt;= date '""&amp;TEXT(DATE(X$8,12,31),""yyyy-mm-dd"")&amp;""' label sum(Col16) ''"",0)))"),"")</f>
        <v/>
      </c>
      <c r="Y273" s="630" t="str">
        <f>IFERROR(__xludf.DUMMYFUNCTION("IF($G273="""","""",IFERROR(query({proventos!$B$5:$Q310},""Select sum(Col16) where Col1 = '""&amp;$G273&amp;""' and Col2 &gt; date '""&amp;TEXT(DATE(Y$8,1,1),""yyyy-mm-dd"")&amp;""' and Col2 &lt;= date '""&amp;TEXT(DATE(Y$8,12,31),""yyyy-mm-dd"")&amp;""' label sum(Col16) ''"",0)))"),"")</f>
        <v/>
      </c>
      <c r="Z273" s="630" t="str">
        <f>IFERROR(__xludf.DUMMYFUNCTION("IF($G273="""","""",IFERROR(query({proventos!$B$5:$Q310},""Select sum(Col16) where Col1 = '""&amp;$G273&amp;""' and Col2 &gt; date '""&amp;TEXT(DATE(Z$8,1,1),""yyyy-mm-dd"")&amp;""' and Col2 &lt;= date '""&amp;TEXT(DATE(Z$8,12,31),""yyyy-mm-dd"")&amp;""' label sum(Col16) ''"",0)))"),"")</f>
        <v/>
      </c>
      <c r="AA273" s="587"/>
      <c r="AB273" s="578" t="s">
        <v>123</v>
      </c>
      <c r="AC273" s="601"/>
      <c r="AD273" s="638"/>
      <c r="AE273" s="638"/>
    </row>
    <row r="274">
      <c r="A274" s="576"/>
      <c r="B274" s="620"/>
      <c r="C274" s="637"/>
      <c r="D274" s="633"/>
      <c r="E274" s="633"/>
      <c r="F274" s="624">
        <v>264.0</v>
      </c>
      <c r="G274" s="635"/>
      <c r="H274" s="626" t="str">
        <f>if(G274="","",IFERROR(VLOOKUP(G274,AtivosDados,MATCH("provento_avg",portfolio.!$A$3:AE$3,0),FALSE),""))</f>
        <v/>
      </c>
      <c r="I274" s="627" t="s">
        <v>123</v>
      </c>
      <c r="J274" s="628" t="str">
        <f>IFERROR(__xludf.DUMMYFUNCTION("IF($G274="""","""",IFERROR(query({proventos!$B$5:$Q310},""Select sum(Col16) where Col1 = '""&amp;$G274&amp;""' and Col2 &gt; date '""&amp;TEXT(K$8,""yyyy-mm-dd"")&amp;""' and Col2 &lt;= date '""&amp;TEXT(J$8,""yyyy-mm-dd"")&amp;""' label sum(Col16) ''"",0)))"),"")</f>
        <v/>
      </c>
      <c r="K274" s="628" t="str">
        <f>IFERROR(__xludf.DUMMYFUNCTION("IF($G274="""","""",IFERROR(query({proventos!$B$5:$Q310},""Select sum(Col16) where Col1 = '""&amp;$G274&amp;""' and Col2 &gt; date '""&amp;TEXT(L$8,""yyyy-mm-dd"")&amp;""' and Col2 &lt;= date '""&amp;TEXT(K$8,""yyyy-mm-dd"")&amp;""' label sum(Col16) ''"",0)))"),"")</f>
        <v/>
      </c>
      <c r="L274" s="628" t="str">
        <f>IFERROR(__xludf.DUMMYFUNCTION("IF($G274="""","""",IFERROR(query({proventos!$B$5:$Q310},""Select sum(Col16) where Col1 = '""&amp;$G274&amp;""' and Col2 &gt; date '""&amp;TEXT(M$8,""yyyy-mm-dd"")&amp;""' and Col2 &lt;= date '""&amp;TEXT(L$8,""yyyy-mm-dd"")&amp;""' label sum(Col16) ''"",0)))"),"")</f>
        <v/>
      </c>
      <c r="M274" s="628" t="str">
        <f>IFERROR(__xludf.DUMMYFUNCTION("IF($G274="""","""",IFERROR(query({proventos!$B$5:$Q310},""Select sum(Col16) where Col1 = '""&amp;$G274&amp;""' and Col2 &gt; date '""&amp;TEXT(N$8,""yyyy-mm-dd"")&amp;""' and Col2 &lt;= date '""&amp;TEXT(M$8,""yyyy-mm-dd"")&amp;""' label sum(Col16) ''"",0)))"),"")</f>
        <v/>
      </c>
      <c r="N274" s="628" t="str">
        <f>IFERROR(__xludf.DUMMYFUNCTION("IF($G274="""","""",IFERROR(query({proventos!$B$5:$Q310},""Select sum(Col16) where Col1 = '""&amp;$G274&amp;""' and Col2 &gt; date '""&amp;TEXT(O$8,""yyyy-mm-dd"")&amp;""' and Col2 &lt;= date '""&amp;TEXT(N$8,""yyyy-mm-dd"")&amp;""' label sum(Col16) ''"",0)))"),"")</f>
        <v/>
      </c>
      <c r="O274" s="628" t="str">
        <f>IFERROR(__xludf.DUMMYFUNCTION("IF($G274="""","""",IFERROR(query({proventos!$B$5:$Q310},""Select sum(Col16) where Col1 = '""&amp;$G274&amp;""' and Col2 &gt; date '""&amp;TEXT(P$8,""yyyy-mm-dd"")&amp;""' and Col2 &lt;= date '""&amp;TEXT(O$8,""yyyy-mm-dd"")&amp;""' label sum(Col16) ''"",0)))"),"")</f>
        <v/>
      </c>
      <c r="P274" s="628" t="str">
        <f>IFERROR(__xludf.DUMMYFUNCTION("IF($G274="""","""",IFERROR(query({proventos!$B$5:$Q310},""Select sum(Col16) where Col1 = '""&amp;$G274&amp;""' and Col2 &gt; date '""&amp;TEXT(Q$8,""yyyy-mm-dd"")&amp;""' and Col2 &lt;= date '""&amp;TEXT(P$8,""yyyy-mm-dd"")&amp;""' label sum(Col16) ''"",0)))"),"")</f>
        <v/>
      </c>
      <c r="Q274" s="628" t="str">
        <f>IFERROR(__xludf.DUMMYFUNCTION("IF($G274="""","""",IFERROR(query({proventos!$B$5:$Q310},""Select sum(Col16) where Col1 = '""&amp;$G274&amp;""' and Col2 &gt; date '""&amp;TEXT(R$8,""yyyy-mm-dd"")&amp;""' and Col2 &lt;= date '""&amp;TEXT(Q$8,""yyyy-mm-dd"")&amp;""' label sum(Col16) ''"",0)))"),"")</f>
        <v/>
      </c>
      <c r="R274" s="628" t="str">
        <f>IFERROR(__xludf.DUMMYFUNCTION("IF($G274="""","""",IFERROR(query({proventos!$B$5:$Q310},""Select sum(Col16) where Col1 = '""&amp;$G274&amp;""' and Col2 &gt; date '""&amp;TEXT(S$8,""yyyy-mm-dd"")&amp;""' and Col2 &lt;= date '""&amp;TEXT(R$8,""yyyy-mm-dd"")&amp;""' label sum(Col16) ''"",0)))"),"")</f>
        <v/>
      </c>
      <c r="S274" s="628" t="str">
        <f>IFERROR(__xludf.DUMMYFUNCTION("IF($G274="""","""",IFERROR(query({proventos!$B$5:$Q310},""Select sum(Col16) where Col1 = '""&amp;$G274&amp;""' and Col2 &gt; date '""&amp;TEXT(T$8,""yyyy-mm-dd"")&amp;""' and Col2 &lt;= date '""&amp;TEXT(S$8,""yyyy-mm-dd"")&amp;""' label sum(Col16) ''"",0)))"),"")</f>
        <v/>
      </c>
      <c r="T274" s="628" t="str">
        <f>IFERROR(__xludf.DUMMYFUNCTION("IF($G274="""","""",IFERROR(query({proventos!$B$5:$Q310},""Select sum(Col16) where Col1 = '""&amp;$G274&amp;""' and Col2 &gt; date '""&amp;TEXT(U$8,""yyyy-mm-dd"")&amp;""' and Col2 &lt;= date '""&amp;TEXT(T$8,""yyyy-mm-dd"")&amp;""' label sum(Col16) ''"",0)))"),"")</f>
        <v/>
      </c>
      <c r="U274" s="629" t="str">
        <f>IFERROR(__xludf.DUMMYFUNCTION("IF($G274="""","""",IFERROR(query({proventos!$B$5:$Q310},""Select sum(Col16) where Col1 = '""&amp;$G274&amp;""' and Col2 &gt; date '""&amp;TEXT(EOMONTH(TODAY(),-13),""yyyy-mm-dd"")&amp;""' and Col2 &lt;= date '""&amp;TEXT(U$8,""yyyy-mm-dd"")&amp;""' label sum(Col16) ''"",0)))"),"")</f>
        <v/>
      </c>
      <c r="V274" s="630" t="str">
        <f>IFERROR(__xludf.DUMMYFUNCTION("IF($G274="""","""",IFERROR(query({proventos!$B$5:$Q310},""Select sum(Col16) where Col1 = '""&amp;$G274&amp;""' and Col2 &gt; date '""&amp;TEXT(DATE(V$8,1,1),""yyyy-mm-dd"")&amp;""' and Col2 &lt;= date '""&amp;TEXT(DATE(V$8,12,31),""yyyy-mm-dd"")&amp;""' label sum(Col16) ''"",0)))"),"")</f>
        <v/>
      </c>
      <c r="W274" s="630" t="str">
        <f>IFERROR(__xludf.DUMMYFUNCTION("IF($G274="""","""",IFERROR(query({proventos!$B$5:$Q310},""Select sum(Col16) where Col1 = '""&amp;$G274&amp;""' and Col2 &gt; date '""&amp;TEXT(DATE(W$8,1,1),""yyyy-mm-dd"")&amp;""' and Col2 &lt;= date '""&amp;TEXT(DATE(W$8,12,31),""yyyy-mm-dd"")&amp;""' label sum(Col16) ''"",0)))"),"")</f>
        <v/>
      </c>
      <c r="X274" s="630" t="str">
        <f>IFERROR(__xludf.DUMMYFUNCTION("IF($G274="""","""",IFERROR(query({proventos!$B$5:$Q310},""Select sum(Col16) where Col1 = '""&amp;$G274&amp;""' and Col2 &gt; date '""&amp;TEXT(DATE(X$8,1,1),""yyyy-mm-dd"")&amp;""' and Col2 &lt;= date '""&amp;TEXT(DATE(X$8,12,31),""yyyy-mm-dd"")&amp;""' label sum(Col16) ''"",0)))"),"")</f>
        <v/>
      </c>
      <c r="Y274" s="630" t="str">
        <f>IFERROR(__xludf.DUMMYFUNCTION("IF($G274="""","""",IFERROR(query({proventos!$B$5:$Q310},""Select sum(Col16) where Col1 = '""&amp;$G274&amp;""' and Col2 &gt; date '""&amp;TEXT(DATE(Y$8,1,1),""yyyy-mm-dd"")&amp;""' and Col2 &lt;= date '""&amp;TEXT(DATE(Y$8,12,31),""yyyy-mm-dd"")&amp;""' label sum(Col16) ''"",0)))"),"")</f>
        <v/>
      </c>
      <c r="Z274" s="630" t="str">
        <f>IFERROR(__xludf.DUMMYFUNCTION("IF($G274="""","""",IFERROR(query({proventos!$B$5:$Q310},""Select sum(Col16) where Col1 = '""&amp;$G274&amp;""' and Col2 &gt; date '""&amp;TEXT(DATE(Z$8,1,1),""yyyy-mm-dd"")&amp;""' and Col2 &lt;= date '""&amp;TEXT(DATE(Z$8,12,31),""yyyy-mm-dd"")&amp;""' label sum(Col16) ''"",0)))"),"")</f>
        <v/>
      </c>
      <c r="AA274" s="587"/>
      <c r="AB274" s="578" t="s">
        <v>123</v>
      </c>
      <c r="AC274" s="601"/>
      <c r="AD274" s="638"/>
      <c r="AE274" s="638"/>
    </row>
    <row r="275">
      <c r="A275" s="576"/>
      <c r="B275" s="620"/>
      <c r="C275" s="637"/>
      <c r="D275" s="633"/>
      <c r="E275" s="633"/>
      <c r="F275" s="624">
        <v>265.0</v>
      </c>
      <c r="G275" s="635"/>
      <c r="H275" s="626" t="str">
        <f>if(G275="","",IFERROR(VLOOKUP(G275,AtivosDados,MATCH("provento_avg",portfolio.!$A$3:AE$3,0),FALSE),""))</f>
        <v/>
      </c>
      <c r="I275" s="627" t="s">
        <v>123</v>
      </c>
      <c r="J275" s="628" t="str">
        <f>IFERROR(__xludf.DUMMYFUNCTION("IF($G275="""","""",IFERROR(query({proventos!$B$5:$Q310},""Select sum(Col16) where Col1 = '""&amp;$G275&amp;""' and Col2 &gt; date '""&amp;TEXT(K$8,""yyyy-mm-dd"")&amp;""' and Col2 &lt;= date '""&amp;TEXT(J$8,""yyyy-mm-dd"")&amp;""' label sum(Col16) ''"",0)))"),"")</f>
        <v/>
      </c>
      <c r="K275" s="628" t="str">
        <f>IFERROR(__xludf.DUMMYFUNCTION("IF($G275="""","""",IFERROR(query({proventos!$B$5:$Q310},""Select sum(Col16) where Col1 = '""&amp;$G275&amp;""' and Col2 &gt; date '""&amp;TEXT(L$8,""yyyy-mm-dd"")&amp;""' and Col2 &lt;= date '""&amp;TEXT(K$8,""yyyy-mm-dd"")&amp;""' label sum(Col16) ''"",0)))"),"")</f>
        <v/>
      </c>
      <c r="L275" s="628" t="str">
        <f>IFERROR(__xludf.DUMMYFUNCTION("IF($G275="""","""",IFERROR(query({proventos!$B$5:$Q310},""Select sum(Col16) where Col1 = '""&amp;$G275&amp;""' and Col2 &gt; date '""&amp;TEXT(M$8,""yyyy-mm-dd"")&amp;""' and Col2 &lt;= date '""&amp;TEXT(L$8,""yyyy-mm-dd"")&amp;""' label sum(Col16) ''"",0)))"),"")</f>
        <v/>
      </c>
      <c r="M275" s="628" t="str">
        <f>IFERROR(__xludf.DUMMYFUNCTION("IF($G275="""","""",IFERROR(query({proventos!$B$5:$Q310},""Select sum(Col16) where Col1 = '""&amp;$G275&amp;""' and Col2 &gt; date '""&amp;TEXT(N$8,""yyyy-mm-dd"")&amp;""' and Col2 &lt;= date '""&amp;TEXT(M$8,""yyyy-mm-dd"")&amp;""' label sum(Col16) ''"",0)))"),"")</f>
        <v/>
      </c>
      <c r="N275" s="628" t="str">
        <f>IFERROR(__xludf.DUMMYFUNCTION("IF($G275="""","""",IFERROR(query({proventos!$B$5:$Q310},""Select sum(Col16) where Col1 = '""&amp;$G275&amp;""' and Col2 &gt; date '""&amp;TEXT(O$8,""yyyy-mm-dd"")&amp;""' and Col2 &lt;= date '""&amp;TEXT(N$8,""yyyy-mm-dd"")&amp;""' label sum(Col16) ''"",0)))"),"")</f>
        <v/>
      </c>
      <c r="O275" s="628" t="str">
        <f>IFERROR(__xludf.DUMMYFUNCTION("IF($G275="""","""",IFERROR(query({proventos!$B$5:$Q310},""Select sum(Col16) where Col1 = '""&amp;$G275&amp;""' and Col2 &gt; date '""&amp;TEXT(P$8,""yyyy-mm-dd"")&amp;""' and Col2 &lt;= date '""&amp;TEXT(O$8,""yyyy-mm-dd"")&amp;""' label sum(Col16) ''"",0)))"),"")</f>
        <v/>
      </c>
      <c r="P275" s="628" t="str">
        <f>IFERROR(__xludf.DUMMYFUNCTION("IF($G275="""","""",IFERROR(query({proventos!$B$5:$Q310},""Select sum(Col16) where Col1 = '""&amp;$G275&amp;""' and Col2 &gt; date '""&amp;TEXT(Q$8,""yyyy-mm-dd"")&amp;""' and Col2 &lt;= date '""&amp;TEXT(P$8,""yyyy-mm-dd"")&amp;""' label sum(Col16) ''"",0)))"),"")</f>
        <v/>
      </c>
      <c r="Q275" s="628" t="str">
        <f>IFERROR(__xludf.DUMMYFUNCTION("IF($G275="""","""",IFERROR(query({proventos!$B$5:$Q310},""Select sum(Col16) where Col1 = '""&amp;$G275&amp;""' and Col2 &gt; date '""&amp;TEXT(R$8,""yyyy-mm-dd"")&amp;""' and Col2 &lt;= date '""&amp;TEXT(Q$8,""yyyy-mm-dd"")&amp;""' label sum(Col16) ''"",0)))"),"")</f>
        <v/>
      </c>
      <c r="R275" s="628" t="str">
        <f>IFERROR(__xludf.DUMMYFUNCTION("IF($G275="""","""",IFERROR(query({proventos!$B$5:$Q310},""Select sum(Col16) where Col1 = '""&amp;$G275&amp;""' and Col2 &gt; date '""&amp;TEXT(S$8,""yyyy-mm-dd"")&amp;""' and Col2 &lt;= date '""&amp;TEXT(R$8,""yyyy-mm-dd"")&amp;""' label sum(Col16) ''"",0)))"),"")</f>
        <v/>
      </c>
      <c r="S275" s="628" t="str">
        <f>IFERROR(__xludf.DUMMYFUNCTION("IF($G275="""","""",IFERROR(query({proventos!$B$5:$Q310},""Select sum(Col16) where Col1 = '""&amp;$G275&amp;""' and Col2 &gt; date '""&amp;TEXT(T$8,""yyyy-mm-dd"")&amp;""' and Col2 &lt;= date '""&amp;TEXT(S$8,""yyyy-mm-dd"")&amp;""' label sum(Col16) ''"",0)))"),"")</f>
        <v/>
      </c>
      <c r="T275" s="628" t="str">
        <f>IFERROR(__xludf.DUMMYFUNCTION("IF($G275="""","""",IFERROR(query({proventos!$B$5:$Q310},""Select sum(Col16) where Col1 = '""&amp;$G275&amp;""' and Col2 &gt; date '""&amp;TEXT(U$8,""yyyy-mm-dd"")&amp;""' and Col2 &lt;= date '""&amp;TEXT(T$8,""yyyy-mm-dd"")&amp;""' label sum(Col16) ''"",0)))"),"")</f>
        <v/>
      </c>
      <c r="U275" s="629" t="str">
        <f>IFERROR(__xludf.DUMMYFUNCTION("IF($G275="""","""",IFERROR(query({proventos!$B$5:$Q310},""Select sum(Col16) where Col1 = '""&amp;$G275&amp;""' and Col2 &gt; date '""&amp;TEXT(EOMONTH(TODAY(),-13),""yyyy-mm-dd"")&amp;""' and Col2 &lt;= date '""&amp;TEXT(U$8,""yyyy-mm-dd"")&amp;""' label sum(Col16) ''"",0)))"),"")</f>
        <v/>
      </c>
      <c r="V275" s="630" t="str">
        <f>IFERROR(__xludf.DUMMYFUNCTION("IF($G275="""","""",IFERROR(query({proventos!$B$5:$Q310},""Select sum(Col16) where Col1 = '""&amp;$G275&amp;""' and Col2 &gt; date '""&amp;TEXT(DATE(V$8,1,1),""yyyy-mm-dd"")&amp;""' and Col2 &lt;= date '""&amp;TEXT(DATE(V$8,12,31),""yyyy-mm-dd"")&amp;""' label sum(Col16) ''"",0)))"),"")</f>
        <v/>
      </c>
      <c r="W275" s="630" t="str">
        <f>IFERROR(__xludf.DUMMYFUNCTION("IF($G275="""","""",IFERROR(query({proventos!$B$5:$Q310},""Select sum(Col16) where Col1 = '""&amp;$G275&amp;""' and Col2 &gt; date '""&amp;TEXT(DATE(W$8,1,1),""yyyy-mm-dd"")&amp;""' and Col2 &lt;= date '""&amp;TEXT(DATE(W$8,12,31),""yyyy-mm-dd"")&amp;""' label sum(Col16) ''"",0)))"),"")</f>
        <v/>
      </c>
      <c r="X275" s="630" t="str">
        <f>IFERROR(__xludf.DUMMYFUNCTION("IF($G275="""","""",IFERROR(query({proventos!$B$5:$Q310},""Select sum(Col16) where Col1 = '""&amp;$G275&amp;""' and Col2 &gt; date '""&amp;TEXT(DATE(X$8,1,1),""yyyy-mm-dd"")&amp;""' and Col2 &lt;= date '""&amp;TEXT(DATE(X$8,12,31),""yyyy-mm-dd"")&amp;""' label sum(Col16) ''"",0)))"),"")</f>
        <v/>
      </c>
      <c r="Y275" s="630" t="str">
        <f>IFERROR(__xludf.DUMMYFUNCTION("IF($G275="""","""",IFERROR(query({proventos!$B$5:$Q310},""Select sum(Col16) where Col1 = '""&amp;$G275&amp;""' and Col2 &gt; date '""&amp;TEXT(DATE(Y$8,1,1),""yyyy-mm-dd"")&amp;""' and Col2 &lt;= date '""&amp;TEXT(DATE(Y$8,12,31),""yyyy-mm-dd"")&amp;""' label sum(Col16) ''"",0)))"),"")</f>
        <v/>
      </c>
      <c r="Z275" s="630" t="str">
        <f>IFERROR(__xludf.DUMMYFUNCTION("IF($G275="""","""",IFERROR(query({proventos!$B$5:$Q310},""Select sum(Col16) where Col1 = '""&amp;$G275&amp;""' and Col2 &gt; date '""&amp;TEXT(DATE(Z$8,1,1),""yyyy-mm-dd"")&amp;""' and Col2 &lt;= date '""&amp;TEXT(DATE(Z$8,12,31),""yyyy-mm-dd"")&amp;""' label sum(Col16) ''"",0)))"),"")</f>
        <v/>
      </c>
      <c r="AA275" s="587"/>
      <c r="AB275" s="578" t="s">
        <v>123</v>
      </c>
      <c r="AC275" s="601"/>
      <c r="AD275" s="638"/>
      <c r="AE275" s="638"/>
    </row>
    <row r="276">
      <c r="A276" s="576"/>
      <c r="B276" s="620"/>
      <c r="C276" s="637"/>
      <c r="D276" s="633"/>
      <c r="E276" s="633"/>
      <c r="F276" s="624">
        <v>266.0</v>
      </c>
      <c r="G276" s="635"/>
      <c r="H276" s="626" t="str">
        <f>if(G276="","",IFERROR(VLOOKUP(G276,AtivosDados,MATCH("provento_avg",portfolio.!$A$3:AE$3,0),FALSE),""))</f>
        <v/>
      </c>
      <c r="I276" s="627" t="s">
        <v>123</v>
      </c>
      <c r="J276" s="628" t="str">
        <f>IFERROR(__xludf.DUMMYFUNCTION("IF($G276="""","""",IFERROR(query({proventos!$B$5:$Q310},""Select sum(Col16) where Col1 = '""&amp;$G276&amp;""' and Col2 &gt; date '""&amp;TEXT(K$8,""yyyy-mm-dd"")&amp;""' and Col2 &lt;= date '""&amp;TEXT(J$8,""yyyy-mm-dd"")&amp;""' label sum(Col16) ''"",0)))"),"")</f>
        <v/>
      </c>
      <c r="K276" s="628" t="str">
        <f>IFERROR(__xludf.DUMMYFUNCTION("IF($G276="""","""",IFERROR(query({proventos!$B$5:$Q310},""Select sum(Col16) where Col1 = '""&amp;$G276&amp;""' and Col2 &gt; date '""&amp;TEXT(L$8,""yyyy-mm-dd"")&amp;""' and Col2 &lt;= date '""&amp;TEXT(K$8,""yyyy-mm-dd"")&amp;""' label sum(Col16) ''"",0)))"),"")</f>
        <v/>
      </c>
      <c r="L276" s="628" t="str">
        <f>IFERROR(__xludf.DUMMYFUNCTION("IF($G276="""","""",IFERROR(query({proventos!$B$5:$Q310},""Select sum(Col16) where Col1 = '""&amp;$G276&amp;""' and Col2 &gt; date '""&amp;TEXT(M$8,""yyyy-mm-dd"")&amp;""' and Col2 &lt;= date '""&amp;TEXT(L$8,""yyyy-mm-dd"")&amp;""' label sum(Col16) ''"",0)))"),"")</f>
        <v/>
      </c>
      <c r="M276" s="628" t="str">
        <f>IFERROR(__xludf.DUMMYFUNCTION("IF($G276="""","""",IFERROR(query({proventos!$B$5:$Q310},""Select sum(Col16) where Col1 = '""&amp;$G276&amp;""' and Col2 &gt; date '""&amp;TEXT(N$8,""yyyy-mm-dd"")&amp;""' and Col2 &lt;= date '""&amp;TEXT(M$8,""yyyy-mm-dd"")&amp;""' label sum(Col16) ''"",0)))"),"")</f>
        <v/>
      </c>
      <c r="N276" s="628" t="str">
        <f>IFERROR(__xludf.DUMMYFUNCTION("IF($G276="""","""",IFERROR(query({proventos!$B$5:$Q310},""Select sum(Col16) where Col1 = '""&amp;$G276&amp;""' and Col2 &gt; date '""&amp;TEXT(O$8,""yyyy-mm-dd"")&amp;""' and Col2 &lt;= date '""&amp;TEXT(N$8,""yyyy-mm-dd"")&amp;""' label sum(Col16) ''"",0)))"),"")</f>
        <v/>
      </c>
      <c r="O276" s="628" t="str">
        <f>IFERROR(__xludf.DUMMYFUNCTION("IF($G276="""","""",IFERROR(query({proventos!$B$5:$Q310},""Select sum(Col16) where Col1 = '""&amp;$G276&amp;""' and Col2 &gt; date '""&amp;TEXT(P$8,""yyyy-mm-dd"")&amp;""' and Col2 &lt;= date '""&amp;TEXT(O$8,""yyyy-mm-dd"")&amp;""' label sum(Col16) ''"",0)))"),"")</f>
        <v/>
      </c>
      <c r="P276" s="628" t="str">
        <f>IFERROR(__xludf.DUMMYFUNCTION("IF($G276="""","""",IFERROR(query({proventos!$B$5:$Q310},""Select sum(Col16) where Col1 = '""&amp;$G276&amp;""' and Col2 &gt; date '""&amp;TEXT(Q$8,""yyyy-mm-dd"")&amp;""' and Col2 &lt;= date '""&amp;TEXT(P$8,""yyyy-mm-dd"")&amp;""' label sum(Col16) ''"",0)))"),"")</f>
        <v/>
      </c>
      <c r="Q276" s="628" t="str">
        <f>IFERROR(__xludf.DUMMYFUNCTION("IF($G276="""","""",IFERROR(query({proventos!$B$5:$Q310},""Select sum(Col16) where Col1 = '""&amp;$G276&amp;""' and Col2 &gt; date '""&amp;TEXT(R$8,""yyyy-mm-dd"")&amp;""' and Col2 &lt;= date '""&amp;TEXT(Q$8,""yyyy-mm-dd"")&amp;""' label sum(Col16) ''"",0)))"),"")</f>
        <v/>
      </c>
      <c r="R276" s="628" t="str">
        <f>IFERROR(__xludf.DUMMYFUNCTION("IF($G276="""","""",IFERROR(query({proventos!$B$5:$Q310},""Select sum(Col16) where Col1 = '""&amp;$G276&amp;""' and Col2 &gt; date '""&amp;TEXT(S$8,""yyyy-mm-dd"")&amp;""' and Col2 &lt;= date '""&amp;TEXT(R$8,""yyyy-mm-dd"")&amp;""' label sum(Col16) ''"",0)))"),"")</f>
        <v/>
      </c>
      <c r="S276" s="628" t="str">
        <f>IFERROR(__xludf.DUMMYFUNCTION("IF($G276="""","""",IFERROR(query({proventos!$B$5:$Q310},""Select sum(Col16) where Col1 = '""&amp;$G276&amp;""' and Col2 &gt; date '""&amp;TEXT(T$8,""yyyy-mm-dd"")&amp;""' and Col2 &lt;= date '""&amp;TEXT(S$8,""yyyy-mm-dd"")&amp;""' label sum(Col16) ''"",0)))"),"")</f>
        <v/>
      </c>
      <c r="T276" s="628" t="str">
        <f>IFERROR(__xludf.DUMMYFUNCTION("IF($G276="""","""",IFERROR(query({proventos!$B$5:$Q310},""Select sum(Col16) where Col1 = '""&amp;$G276&amp;""' and Col2 &gt; date '""&amp;TEXT(U$8,""yyyy-mm-dd"")&amp;""' and Col2 &lt;= date '""&amp;TEXT(T$8,""yyyy-mm-dd"")&amp;""' label sum(Col16) ''"",0)))"),"")</f>
        <v/>
      </c>
      <c r="U276" s="629" t="str">
        <f>IFERROR(__xludf.DUMMYFUNCTION("IF($G276="""","""",IFERROR(query({proventos!$B$5:$Q310},""Select sum(Col16) where Col1 = '""&amp;$G276&amp;""' and Col2 &gt; date '""&amp;TEXT(EOMONTH(TODAY(),-13),""yyyy-mm-dd"")&amp;""' and Col2 &lt;= date '""&amp;TEXT(U$8,""yyyy-mm-dd"")&amp;""' label sum(Col16) ''"",0)))"),"")</f>
        <v/>
      </c>
      <c r="V276" s="630" t="str">
        <f>IFERROR(__xludf.DUMMYFUNCTION("IF($G276="""","""",IFERROR(query({proventos!$B$5:$Q310},""Select sum(Col16) where Col1 = '""&amp;$G276&amp;""' and Col2 &gt; date '""&amp;TEXT(DATE(V$8,1,1),""yyyy-mm-dd"")&amp;""' and Col2 &lt;= date '""&amp;TEXT(DATE(V$8,12,31),""yyyy-mm-dd"")&amp;""' label sum(Col16) ''"",0)))"),"")</f>
        <v/>
      </c>
      <c r="W276" s="630" t="str">
        <f>IFERROR(__xludf.DUMMYFUNCTION("IF($G276="""","""",IFERROR(query({proventos!$B$5:$Q310},""Select sum(Col16) where Col1 = '""&amp;$G276&amp;""' and Col2 &gt; date '""&amp;TEXT(DATE(W$8,1,1),""yyyy-mm-dd"")&amp;""' and Col2 &lt;= date '""&amp;TEXT(DATE(W$8,12,31),""yyyy-mm-dd"")&amp;""' label sum(Col16) ''"",0)))"),"")</f>
        <v/>
      </c>
      <c r="X276" s="630" t="str">
        <f>IFERROR(__xludf.DUMMYFUNCTION("IF($G276="""","""",IFERROR(query({proventos!$B$5:$Q310},""Select sum(Col16) where Col1 = '""&amp;$G276&amp;""' and Col2 &gt; date '""&amp;TEXT(DATE(X$8,1,1),""yyyy-mm-dd"")&amp;""' and Col2 &lt;= date '""&amp;TEXT(DATE(X$8,12,31),""yyyy-mm-dd"")&amp;""' label sum(Col16) ''"",0)))"),"")</f>
        <v/>
      </c>
      <c r="Y276" s="630" t="str">
        <f>IFERROR(__xludf.DUMMYFUNCTION("IF($G276="""","""",IFERROR(query({proventos!$B$5:$Q310},""Select sum(Col16) where Col1 = '""&amp;$G276&amp;""' and Col2 &gt; date '""&amp;TEXT(DATE(Y$8,1,1),""yyyy-mm-dd"")&amp;""' and Col2 &lt;= date '""&amp;TEXT(DATE(Y$8,12,31),""yyyy-mm-dd"")&amp;""' label sum(Col16) ''"",0)))"),"")</f>
        <v/>
      </c>
      <c r="Z276" s="630" t="str">
        <f>IFERROR(__xludf.DUMMYFUNCTION("IF($G276="""","""",IFERROR(query({proventos!$B$5:$Q310},""Select sum(Col16) where Col1 = '""&amp;$G276&amp;""' and Col2 &gt; date '""&amp;TEXT(DATE(Z$8,1,1),""yyyy-mm-dd"")&amp;""' and Col2 &lt;= date '""&amp;TEXT(DATE(Z$8,12,31),""yyyy-mm-dd"")&amp;""' label sum(Col16) ''"",0)))"),"")</f>
        <v/>
      </c>
      <c r="AA276" s="587"/>
      <c r="AB276" s="578" t="s">
        <v>123</v>
      </c>
      <c r="AC276" s="601"/>
      <c r="AD276" s="638"/>
      <c r="AE276" s="638"/>
    </row>
    <row r="277">
      <c r="A277" s="576"/>
      <c r="B277" s="620"/>
      <c r="C277" s="637"/>
      <c r="D277" s="633"/>
      <c r="E277" s="633"/>
      <c r="F277" s="624">
        <v>267.0</v>
      </c>
      <c r="G277" s="635"/>
      <c r="H277" s="626" t="str">
        <f>if(G277="","",IFERROR(VLOOKUP(G277,AtivosDados,MATCH("provento_avg",portfolio.!$A$3:AE$3,0),FALSE),""))</f>
        <v/>
      </c>
      <c r="I277" s="627" t="s">
        <v>123</v>
      </c>
      <c r="J277" s="628" t="str">
        <f>IFERROR(__xludf.DUMMYFUNCTION("IF($G277="""","""",IFERROR(query({proventos!$B$5:$Q310},""Select sum(Col16) where Col1 = '""&amp;$G277&amp;""' and Col2 &gt; date '""&amp;TEXT(K$8,""yyyy-mm-dd"")&amp;""' and Col2 &lt;= date '""&amp;TEXT(J$8,""yyyy-mm-dd"")&amp;""' label sum(Col16) ''"",0)))"),"")</f>
        <v/>
      </c>
      <c r="K277" s="628" t="str">
        <f>IFERROR(__xludf.DUMMYFUNCTION("IF($G277="""","""",IFERROR(query({proventos!$B$5:$Q310},""Select sum(Col16) where Col1 = '""&amp;$G277&amp;""' and Col2 &gt; date '""&amp;TEXT(L$8,""yyyy-mm-dd"")&amp;""' and Col2 &lt;= date '""&amp;TEXT(K$8,""yyyy-mm-dd"")&amp;""' label sum(Col16) ''"",0)))"),"")</f>
        <v/>
      </c>
      <c r="L277" s="628" t="str">
        <f>IFERROR(__xludf.DUMMYFUNCTION("IF($G277="""","""",IFERROR(query({proventos!$B$5:$Q310},""Select sum(Col16) where Col1 = '""&amp;$G277&amp;""' and Col2 &gt; date '""&amp;TEXT(M$8,""yyyy-mm-dd"")&amp;""' and Col2 &lt;= date '""&amp;TEXT(L$8,""yyyy-mm-dd"")&amp;""' label sum(Col16) ''"",0)))"),"")</f>
        <v/>
      </c>
      <c r="M277" s="628" t="str">
        <f>IFERROR(__xludf.DUMMYFUNCTION("IF($G277="""","""",IFERROR(query({proventos!$B$5:$Q310},""Select sum(Col16) where Col1 = '""&amp;$G277&amp;""' and Col2 &gt; date '""&amp;TEXT(N$8,""yyyy-mm-dd"")&amp;""' and Col2 &lt;= date '""&amp;TEXT(M$8,""yyyy-mm-dd"")&amp;""' label sum(Col16) ''"",0)))"),"")</f>
        <v/>
      </c>
      <c r="N277" s="628" t="str">
        <f>IFERROR(__xludf.DUMMYFUNCTION("IF($G277="""","""",IFERROR(query({proventos!$B$5:$Q310},""Select sum(Col16) where Col1 = '""&amp;$G277&amp;""' and Col2 &gt; date '""&amp;TEXT(O$8,""yyyy-mm-dd"")&amp;""' and Col2 &lt;= date '""&amp;TEXT(N$8,""yyyy-mm-dd"")&amp;""' label sum(Col16) ''"",0)))"),"")</f>
        <v/>
      </c>
      <c r="O277" s="628" t="str">
        <f>IFERROR(__xludf.DUMMYFUNCTION("IF($G277="""","""",IFERROR(query({proventos!$B$5:$Q310},""Select sum(Col16) where Col1 = '""&amp;$G277&amp;""' and Col2 &gt; date '""&amp;TEXT(P$8,""yyyy-mm-dd"")&amp;""' and Col2 &lt;= date '""&amp;TEXT(O$8,""yyyy-mm-dd"")&amp;""' label sum(Col16) ''"",0)))"),"")</f>
        <v/>
      </c>
      <c r="P277" s="628" t="str">
        <f>IFERROR(__xludf.DUMMYFUNCTION("IF($G277="""","""",IFERROR(query({proventos!$B$5:$Q310},""Select sum(Col16) where Col1 = '""&amp;$G277&amp;""' and Col2 &gt; date '""&amp;TEXT(Q$8,""yyyy-mm-dd"")&amp;""' and Col2 &lt;= date '""&amp;TEXT(P$8,""yyyy-mm-dd"")&amp;""' label sum(Col16) ''"",0)))"),"")</f>
        <v/>
      </c>
      <c r="Q277" s="628" t="str">
        <f>IFERROR(__xludf.DUMMYFUNCTION("IF($G277="""","""",IFERROR(query({proventos!$B$5:$Q310},""Select sum(Col16) where Col1 = '""&amp;$G277&amp;""' and Col2 &gt; date '""&amp;TEXT(R$8,""yyyy-mm-dd"")&amp;""' and Col2 &lt;= date '""&amp;TEXT(Q$8,""yyyy-mm-dd"")&amp;""' label sum(Col16) ''"",0)))"),"")</f>
        <v/>
      </c>
      <c r="R277" s="628" t="str">
        <f>IFERROR(__xludf.DUMMYFUNCTION("IF($G277="""","""",IFERROR(query({proventos!$B$5:$Q310},""Select sum(Col16) where Col1 = '""&amp;$G277&amp;""' and Col2 &gt; date '""&amp;TEXT(S$8,""yyyy-mm-dd"")&amp;""' and Col2 &lt;= date '""&amp;TEXT(R$8,""yyyy-mm-dd"")&amp;""' label sum(Col16) ''"",0)))"),"")</f>
        <v/>
      </c>
      <c r="S277" s="628" t="str">
        <f>IFERROR(__xludf.DUMMYFUNCTION("IF($G277="""","""",IFERROR(query({proventos!$B$5:$Q310},""Select sum(Col16) where Col1 = '""&amp;$G277&amp;""' and Col2 &gt; date '""&amp;TEXT(T$8,""yyyy-mm-dd"")&amp;""' and Col2 &lt;= date '""&amp;TEXT(S$8,""yyyy-mm-dd"")&amp;""' label sum(Col16) ''"",0)))"),"")</f>
        <v/>
      </c>
      <c r="T277" s="628" t="str">
        <f>IFERROR(__xludf.DUMMYFUNCTION("IF($G277="""","""",IFERROR(query({proventos!$B$5:$Q310},""Select sum(Col16) where Col1 = '""&amp;$G277&amp;""' and Col2 &gt; date '""&amp;TEXT(U$8,""yyyy-mm-dd"")&amp;""' and Col2 &lt;= date '""&amp;TEXT(T$8,""yyyy-mm-dd"")&amp;""' label sum(Col16) ''"",0)))"),"")</f>
        <v/>
      </c>
      <c r="U277" s="629" t="str">
        <f>IFERROR(__xludf.DUMMYFUNCTION("IF($G277="""","""",IFERROR(query({proventos!$B$5:$Q310},""Select sum(Col16) where Col1 = '""&amp;$G277&amp;""' and Col2 &gt; date '""&amp;TEXT(EOMONTH(TODAY(),-13),""yyyy-mm-dd"")&amp;""' and Col2 &lt;= date '""&amp;TEXT(U$8,""yyyy-mm-dd"")&amp;""' label sum(Col16) ''"",0)))"),"")</f>
        <v/>
      </c>
      <c r="V277" s="630" t="str">
        <f>IFERROR(__xludf.DUMMYFUNCTION("IF($G277="""","""",IFERROR(query({proventos!$B$5:$Q310},""Select sum(Col16) where Col1 = '""&amp;$G277&amp;""' and Col2 &gt; date '""&amp;TEXT(DATE(V$8,1,1),""yyyy-mm-dd"")&amp;""' and Col2 &lt;= date '""&amp;TEXT(DATE(V$8,12,31),""yyyy-mm-dd"")&amp;""' label sum(Col16) ''"",0)))"),"")</f>
        <v/>
      </c>
      <c r="W277" s="630" t="str">
        <f>IFERROR(__xludf.DUMMYFUNCTION("IF($G277="""","""",IFERROR(query({proventos!$B$5:$Q310},""Select sum(Col16) where Col1 = '""&amp;$G277&amp;""' and Col2 &gt; date '""&amp;TEXT(DATE(W$8,1,1),""yyyy-mm-dd"")&amp;""' and Col2 &lt;= date '""&amp;TEXT(DATE(W$8,12,31),""yyyy-mm-dd"")&amp;""' label sum(Col16) ''"",0)))"),"")</f>
        <v/>
      </c>
      <c r="X277" s="630" t="str">
        <f>IFERROR(__xludf.DUMMYFUNCTION("IF($G277="""","""",IFERROR(query({proventos!$B$5:$Q310},""Select sum(Col16) where Col1 = '""&amp;$G277&amp;""' and Col2 &gt; date '""&amp;TEXT(DATE(X$8,1,1),""yyyy-mm-dd"")&amp;""' and Col2 &lt;= date '""&amp;TEXT(DATE(X$8,12,31),""yyyy-mm-dd"")&amp;""' label sum(Col16) ''"",0)))"),"")</f>
        <v/>
      </c>
      <c r="Y277" s="630" t="str">
        <f>IFERROR(__xludf.DUMMYFUNCTION("IF($G277="""","""",IFERROR(query({proventos!$B$5:$Q310},""Select sum(Col16) where Col1 = '""&amp;$G277&amp;""' and Col2 &gt; date '""&amp;TEXT(DATE(Y$8,1,1),""yyyy-mm-dd"")&amp;""' and Col2 &lt;= date '""&amp;TEXT(DATE(Y$8,12,31),""yyyy-mm-dd"")&amp;""' label sum(Col16) ''"",0)))"),"")</f>
        <v/>
      </c>
      <c r="Z277" s="630" t="str">
        <f>IFERROR(__xludf.DUMMYFUNCTION("IF($G277="""","""",IFERROR(query({proventos!$B$5:$Q310},""Select sum(Col16) where Col1 = '""&amp;$G277&amp;""' and Col2 &gt; date '""&amp;TEXT(DATE(Z$8,1,1),""yyyy-mm-dd"")&amp;""' and Col2 &lt;= date '""&amp;TEXT(DATE(Z$8,12,31),""yyyy-mm-dd"")&amp;""' label sum(Col16) ''"",0)))"),"")</f>
        <v/>
      </c>
      <c r="AA277" s="587"/>
      <c r="AB277" s="578" t="s">
        <v>123</v>
      </c>
      <c r="AC277" s="601"/>
      <c r="AD277" s="638"/>
      <c r="AE277" s="638"/>
    </row>
    <row r="278">
      <c r="A278" s="576"/>
      <c r="B278" s="620"/>
      <c r="C278" s="637"/>
      <c r="D278" s="633"/>
      <c r="E278" s="633"/>
      <c r="F278" s="624">
        <v>268.0</v>
      </c>
      <c r="G278" s="635"/>
      <c r="H278" s="626" t="str">
        <f>if(G278="","",IFERROR(VLOOKUP(G278,AtivosDados,MATCH("provento_avg",portfolio.!$A$3:AE$3,0),FALSE),""))</f>
        <v/>
      </c>
      <c r="I278" s="627" t="s">
        <v>123</v>
      </c>
      <c r="J278" s="628" t="str">
        <f>IFERROR(__xludf.DUMMYFUNCTION("IF($G278="""","""",IFERROR(query({proventos!$B$5:$Q310},""Select sum(Col16) where Col1 = '""&amp;$G278&amp;""' and Col2 &gt; date '""&amp;TEXT(K$8,""yyyy-mm-dd"")&amp;""' and Col2 &lt;= date '""&amp;TEXT(J$8,""yyyy-mm-dd"")&amp;""' label sum(Col16) ''"",0)))"),"")</f>
        <v/>
      </c>
      <c r="K278" s="628" t="str">
        <f>IFERROR(__xludf.DUMMYFUNCTION("IF($G278="""","""",IFERROR(query({proventos!$B$5:$Q310},""Select sum(Col16) where Col1 = '""&amp;$G278&amp;""' and Col2 &gt; date '""&amp;TEXT(L$8,""yyyy-mm-dd"")&amp;""' and Col2 &lt;= date '""&amp;TEXT(K$8,""yyyy-mm-dd"")&amp;""' label sum(Col16) ''"",0)))"),"")</f>
        <v/>
      </c>
      <c r="L278" s="628" t="str">
        <f>IFERROR(__xludf.DUMMYFUNCTION("IF($G278="""","""",IFERROR(query({proventos!$B$5:$Q310},""Select sum(Col16) where Col1 = '""&amp;$G278&amp;""' and Col2 &gt; date '""&amp;TEXT(M$8,""yyyy-mm-dd"")&amp;""' and Col2 &lt;= date '""&amp;TEXT(L$8,""yyyy-mm-dd"")&amp;""' label sum(Col16) ''"",0)))"),"")</f>
        <v/>
      </c>
      <c r="M278" s="628" t="str">
        <f>IFERROR(__xludf.DUMMYFUNCTION("IF($G278="""","""",IFERROR(query({proventos!$B$5:$Q310},""Select sum(Col16) where Col1 = '""&amp;$G278&amp;""' and Col2 &gt; date '""&amp;TEXT(N$8,""yyyy-mm-dd"")&amp;""' and Col2 &lt;= date '""&amp;TEXT(M$8,""yyyy-mm-dd"")&amp;""' label sum(Col16) ''"",0)))"),"")</f>
        <v/>
      </c>
      <c r="N278" s="628" t="str">
        <f>IFERROR(__xludf.DUMMYFUNCTION("IF($G278="""","""",IFERROR(query({proventos!$B$5:$Q310},""Select sum(Col16) where Col1 = '""&amp;$G278&amp;""' and Col2 &gt; date '""&amp;TEXT(O$8,""yyyy-mm-dd"")&amp;""' and Col2 &lt;= date '""&amp;TEXT(N$8,""yyyy-mm-dd"")&amp;""' label sum(Col16) ''"",0)))"),"")</f>
        <v/>
      </c>
      <c r="O278" s="628" t="str">
        <f>IFERROR(__xludf.DUMMYFUNCTION("IF($G278="""","""",IFERROR(query({proventos!$B$5:$Q310},""Select sum(Col16) where Col1 = '""&amp;$G278&amp;""' and Col2 &gt; date '""&amp;TEXT(P$8,""yyyy-mm-dd"")&amp;""' and Col2 &lt;= date '""&amp;TEXT(O$8,""yyyy-mm-dd"")&amp;""' label sum(Col16) ''"",0)))"),"")</f>
        <v/>
      </c>
      <c r="P278" s="628" t="str">
        <f>IFERROR(__xludf.DUMMYFUNCTION("IF($G278="""","""",IFERROR(query({proventos!$B$5:$Q310},""Select sum(Col16) where Col1 = '""&amp;$G278&amp;""' and Col2 &gt; date '""&amp;TEXT(Q$8,""yyyy-mm-dd"")&amp;""' and Col2 &lt;= date '""&amp;TEXT(P$8,""yyyy-mm-dd"")&amp;""' label sum(Col16) ''"",0)))"),"")</f>
        <v/>
      </c>
      <c r="Q278" s="628" t="str">
        <f>IFERROR(__xludf.DUMMYFUNCTION("IF($G278="""","""",IFERROR(query({proventos!$B$5:$Q310},""Select sum(Col16) where Col1 = '""&amp;$G278&amp;""' and Col2 &gt; date '""&amp;TEXT(R$8,""yyyy-mm-dd"")&amp;""' and Col2 &lt;= date '""&amp;TEXT(Q$8,""yyyy-mm-dd"")&amp;""' label sum(Col16) ''"",0)))"),"")</f>
        <v/>
      </c>
      <c r="R278" s="628" t="str">
        <f>IFERROR(__xludf.DUMMYFUNCTION("IF($G278="""","""",IFERROR(query({proventos!$B$5:$Q310},""Select sum(Col16) where Col1 = '""&amp;$G278&amp;""' and Col2 &gt; date '""&amp;TEXT(S$8,""yyyy-mm-dd"")&amp;""' and Col2 &lt;= date '""&amp;TEXT(R$8,""yyyy-mm-dd"")&amp;""' label sum(Col16) ''"",0)))"),"")</f>
        <v/>
      </c>
      <c r="S278" s="628" t="str">
        <f>IFERROR(__xludf.DUMMYFUNCTION("IF($G278="""","""",IFERROR(query({proventos!$B$5:$Q310},""Select sum(Col16) where Col1 = '""&amp;$G278&amp;""' and Col2 &gt; date '""&amp;TEXT(T$8,""yyyy-mm-dd"")&amp;""' and Col2 &lt;= date '""&amp;TEXT(S$8,""yyyy-mm-dd"")&amp;""' label sum(Col16) ''"",0)))"),"")</f>
        <v/>
      </c>
      <c r="T278" s="628" t="str">
        <f>IFERROR(__xludf.DUMMYFUNCTION("IF($G278="""","""",IFERROR(query({proventos!$B$5:$Q310},""Select sum(Col16) where Col1 = '""&amp;$G278&amp;""' and Col2 &gt; date '""&amp;TEXT(U$8,""yyyy-mm-dd"")&amp;""' and Col2 &lt;= date '""&amp;TEXT(T$8,""yyyy-mm-dd"")&amp;""' label sum(Col16) ''"",0)))"),"")</f>
        <v/>
      </c>
      <c r="U278" s="629" t="str">
        <f>IFERROR(__xludf.DUMMYFUNCTION("IF($G278="""","""",IFERROR(query({proventos!$B$5:$Q310},""Select sum(Col16) where Col1 = '""&amp;$G278&amp;""' and Col2 &gt; date '""&amp;TEXT(EOMONTH(TODAY(),-13),""yyyy-mm-dd"")&amp;""' and Col2 &lt;= date '""&amp;TEXT(U$8,""yyyy-mm-dd"")&amp;""' label sum(Col16) ''"",0)))"),"")</f>
        <v/>
      </c>
      <c r="V278" s="630" t="str">
        <f>IFERROR(__xludf.DUMMYFUNCTION("IF($G278="""","""",IFERROR(query({proventos!$B$5:$Q310},""Select sum(Col16) where Col1 = '""&amp;$G278&amp;""' and Col2 &gt; date '""&amp;TEXT(DATE(V$8,1,1),""yyyy-mm-dd"")&amp;""' and Col2 &lt;= date '""&amp;TEXT(DATE(V$8,12,31),""yyyy-mm-dd"")&amp;""' label sum(Col16) ''"",0)))"),"")</f>
        <v/>
      </c>
      <c r="W278" s="630" t="str">
        <f>IFERROR(__xludf.DUMMYFUNCTION("IF($G278="""","""",IFERROR(query({proventos!$B$5:$Q310},""Select sum(Col16) where Col1 = '""&amp;$G278&amp;""' and Col2 &gt; date '""&amp;TEXT(DATE(W$8,1,1),""yyyy-mm-dd"")&amp;""' and Col2 &lt;= date '""&amp;TEXT(DATE(W$8,12,31),""yyyy-mm-dd"")&amp;""' label sum(Col16) ''"",0)))"),"")</f>
        <v/>
      </c>
      <c r="X278" s="630" t="str">
        <f>IFERROR(__xludf.DUMMYFUNCTION("IF($G278="""","""",IFERROR(query({proventos!$B$5:$Q310},""Select sum(Col16) where Col1 = '""&amp;$G278&amp;""' and Col2 &gt; date '""&amp;TEXT(DATE(X$8,1,1),""yyyy-mm-dd"")&amp;""' and Col2 &lt;= date '""&amp;TEXT(DATE(X$8,12,31),""yyyy-mm-dd"")&amp;""' label sum(Col16) ''"",0)))"),"")</f>
        <v/>
      </c>
      <c r="Y278" s="630" t="str">
        <f>IFERROR(__xludf.DUMMYFUNCTION("IF($G278="""","""",IFERROR(query({proventos!$B$5:$Q310},""Select sum(Col16) where Col1 = '""&amp;$G278&amp;""' and Col2 &gt; date '""&amp;TEXT(DATE(Y$8,1,1),""yyyy-mm-dd"")&amp;""' and Col2 &lt;= date '""&amp;TEXT(DATE(Y$8,12,31),""yyyy-mm-dd"")&amp;""' label sum(Col16) ''"",0)))"),"")</f>
        <v/>
      </c>
      <c r="Z278" s="630" t="str">
        <f>IFERROR(__xludf.DUMMYFUNCTION("IF($G278="""","""",IFERROR(query({proventos!$B$5:$Q310},""Select sum(Col16) where Col1 = '""&amp;$G278&amp;""' and Col2 &gt; date '""&amp;TEXT(DATE(Z$8,1,1),""yyyy-mm-dd"")&amp;""' and Col2 &lt;= date '""&amp;TEXT(DATE(Z$8,12,31),""yyyy-mm-dd"")&amp;""' label sum(Col16) ''"",0)))"),"")</f>
        <v/>
      </c>
      <c r="AA278" s="587"/>
      <c r="AB278" s="578" t="s">
        <v>123</v>
      </c>
      <c r="AC278" s="601"/>
      <c r="AD278" s="638"/>
      <c r="AE278" s="638"/>
    </row>
    <row r="279">
      <c r="A279" s="576"/>
      <c r="B279" s="620"/>
      <c r="C279" s="637"/>
      <c r="D279" s="633"/>
      <c r="E279" s="633"/>
      <c r="F279" s="624">
        <v>269.0</v>
      </c>
      <c r="G279" s="635"/>
      <c r="H279" s="626" t="str">
        <f>if(G279="","",IFERROR(VLOOKUP(G279,AtivosDados,MATCH("provento_avg",portfolio.!$A$3:AE$3,0),FALSE),""))</f>
        <v/>
      </c>
      <c r="I279" s="627" t="s">
        <v>123</v>
      </c>
      <c r="J279" s="628" t="str">
        <f>IFERROR(__xludf.DUMMYFUNCTION("IF($G279="""","""",IFERROR(query({proventos!$B$5:$Q310},""Select sum(Col16) where Col1 = '""&amp;$G279&amp;""' and Col2 &gt; date '""&amp;TEXT(K$8,""yyyy-mm-dd"")&amp;""' and Col2 &lt;= date '""&amp;TEXT(J$8,""yyyy-mm-dd"")&amp;""' label sum(Col16) ''"",0)))"),"")</f>
        <v/>
      </c>
      <c r="K279" s="628" t="str">
        <f>IFERROR(__xludf.DUMMYFUNCTION("IF($G279="""","""",IFERROR(query({proventos!$B$5:$Q310},""Select sum(Col16) where Col1 = '""&amp;$G279&amp;""' and Col2 &gt; date '""&amp;TEXT(L$8,""yyyy-mm-dd"")&amp;""' and Col2 &lt;= date '""&amp;TEXT(K$8,""yyyy-mm-dd"")&amp;""' label sum(Col16) ''"",0)))"),"")</f>
        <v/>
      </c>
      <c r="L279" s="628" t="str">
        <f>IFERROR(__xludf.DUMMYFUNCTION("IF($G279="""","""",IFERROR(query({proventos!$B$5:$Q310},""Select sum(Col16) where Col1 = '""&amp;$G279&amp;""' and Col2 &gt; date '""&amp;TEXT(M$8,""yyyy-mm-dd"")&amp;""' and Col2 &lt;= date '""&amp;TEXT(L$8,""yyyy-mm-dd"")&amp;""' label sum(Col16) ''"",0)))"),"")</f>
        <v/>
      </c>
      <c r="M279" s="628" t="str">
        <f>IFERROR(__xludf.DUMMYFUNCTION("IF($G279="""","""",IFERROR(query({proventos!$B$5:$Q310},""Select sum(Col16) where Col1 = '""&amp;$G279&amp;""' and Col2 &gt; date '""&amp;TEXT(N$8,""yyyy-mm-dd"")&amp;""' and Col2 &lt;= date '""&amp;TEXT(M$8,""yyyy-mm-dd"")&amp;""' label sum(Col16) ''"",0)))"),"")</f>
        <v/>
      </c>
      <c r="N279" s="628" t="str">
        <f>IFERROR(__xludf.DUMMYFUNCTION("IF($G279="""","""",IFERROR(query({proventos!$B$5:$Q310},""Select sum(Col16) where Col1 = '""&amp;$G279&amp;""' and Col2 &gt; date '""&amp;TEXT(O$8,""yyyy-mm-dd"")&amp;""' and Col2 &lt;= date '""&amp;TEXT(N$8,""yyyy-mm-dd"")&amp;""' label sum(Col16) ''"",0)))"),"")</f>
        <v/>
      </c>
      <c r="O279" s="628" t="str">
        <f>IFERROR(__xludf.DUMMYFUNCTION("IF($G279="""","""",IFERROR(query({proventos!$B$5:$Q310},""Select sum(Col16) where Col1 = '""&amp;$G279&amp;""' and Col2 &gt; date '""&amp;TEXT(P$8,""yyyy-mm-dd"")&amp;""' and Col2 &lt;= date '""&amp;TEXT(O$8,""yyyy-mm-dd"")&amp;""' label sum(Col16) ''"",0)))"),"")</f>
        <v/>
      </c>
      <c r="P279" s="628" t="str">
        <f>IFERROR(__xludf.DUMMYFUNCTION("IF($G279="""","""",IFERROR(query({proventos!$B$5:$Q310},""Select sum(Col16) where Col1 = '""&amp;$G279&amp;""' and Col2 &gt; date '""&amp;TEXT(Q$8,""yyyy-mm-dd"")&amp;""' and Col2 &lt;= date '""&amp;TEXT(P$8,""yyyy-mm-dd"")&amp;""' label sum(Col16) ''"",0)))"),"")</f>
        <v/>
      </c>
      <c r="Q279" s="628" t="str">
        <f>IFERROR(__xludf.DUMMYFUNCTION("IF($G279="""","""",IFERROR(query({proventos!$B$5:$Q310},""Select sum(Col16) where Col1 = '""&amp;$G279&amp;""' and Col2 &gt; date '""&amp;TEXT(R$8,""yyyy-mm-dd"")&amp;""' and Col2 &lt;= date '""&amp;TEXT(Q$8,""yyyy-mm-dd"")&amp;""' label sum(Col16) ''"",0)))"),"")</f>
        <v/>
      </c>
      <c r="R279" s="628" t="str">
        <f>IFERROR(__xludf.DUMMYFUNCTION("IF($G279="""","""",IFERROR(query({proventos!$B$5:$Q310},""Select sum(Col16) where Col1 = '""&amp;$G279&amp;""' and Col2 &gt; date '""&amp;TEXT(S$8,""yyyy-mm-dd"")&amp;""' and Col2 &lt;= date '""&amp;TEXT(R$8,""yyyy-mm-dd"")&amp;""' label sum(Col16) ''"",0)))"),"")</f>
        <v/>
      </c>
      <c r="S279" s="628" t="str">
        <f>IFERROR(__xludf.DUMMYFUNCTION("IF($G279="""","""",IFERROR(query({proventos!$B$5:$Q310},""Select sum(Col16) where Col1 = '""&amp;$G279&amp;""' and Col2 &gt; date '""&amp;TEXT(T$8,""yyyy-mm-dd"")&amp;""' and Col2 &lt;= date '""&amp;TEXT(S$8,""yyyy-mm-dd"")&amp;""' label sum(Col16) ''"",0)))"),"")</f>
        <v/>
      </c>
      <c r="T279" s="628" t="str">
        <f>IFERROR(__xludf.DUMMYFUNCTION("IF($G279="""","""",IFERROR(query({proventos!$B$5:$Q310},""Select sum(Col16) where Col1 = '""&amp;$G279&amp;""' and Col2 &gt; date '""&amp;TEXT(U$8,""yyyy-mm-dd"")&amp;""' and Col2 &lt;= date '""&amp;TEXT(T$8,""yyyy-mm-dd"")&amp;""' label sum(Col16) ''"",0)))"),"")</f>
        <v/>
      </c>
      <c r="U279" s="629" t="str">
        <f>IFERROR(__xludf.DUMMYFUNCTION("IF($G279="""","""",IFERROR(query({proventos!$B$5:$Q310},""Select sum(Col16) where Col1 = '""&amp;$G279&amp;""' and Col2 &gt; date '""&amp;TEXT(EOMONTH(TODAY(),-13),""yyyy-mm-dd"")&amp;""' and Col2 &lt;= date '""&amp;TEXT(U$8,""yyyy-mm-dd"")&amp;""' label sum(Col16) ''"",0)))"),"")</f>
        <v/>
      </c>
      <c r="V279" s="630" t="str">
        <f>IFERROR(__xludf.DUMMYFUNCTION("IF($G279="""","""",IFERROR(query({proventos!$B$5:$Q310},""Select sum(Col16) where Col1 = '""&amp;$G279&amp;""' and Col2 &gt; date '""&amp;TEXT(DATE(V$8,1,1),""yyyy-mm-dd"")&amp;""' and Col2 &lt;= date '""&amp;TEXT(DATE(V$8,12,31),""yyyy-mm-dd"")&amp;""' label sum(Col16) ''"",0)))"),"")</f>
        <v/>
      </c>
      <c r="W279" s="630" t="str">
        <f>IFERROR(__xludf.DUMMYFUNCTION("IF($G279="""","""",IFERROR(query({proventos!$B$5:$Q310},""Select sum(Col16) where Col1 = '""&amp;$G279&amp;""' and Col2 &gt; date '""&amp;TEXT(DATE(W$8,1,1),""yyyy-mm-dd"")&amp;""' and Col2 &lt;= date '""&amp;TEXT(DATE(W$8,12,31),""yyyy-mm-dd"")&amp;""' label sum(Col16) ''"",0)))"),"")</f>
        <v/>
      </c>
      <c r="X279" s="630" t="str">
        <f>IFERROR(__xludf.DUMMYFUNCTION("IF($G279="""","""",IFERROR(query({proventos!$B$5:$Q310},""Select sum(Col16) where Col1 = '""&amp;$G279&amp;""' and Col2 &gt; date '""&amp;TEXT(DATE(X$8,1,1),""yyyy-mm-dd"")&amp;""' and Col2 &lt;= date '""&amp;TEXT(DATE(X$8,12,31),""yyyy-mm-dd"")&amp;""' label sum(Col16) ''"",0)))"),"")</f>
        <v/>
      </c>
      <c r="Y279" s="630" t="str">
        <f>IFERROR(__xludf.DUMMYFUNCTION("IF($G279="""","""",IFERROR(query({proventos!$B$5:$Q310},""Select sum(Col16) where Col1 = '""&amp;$G279&amp;""' and Col2 &gt; date '""&amp;TEXT(DATE(Y$8,1,1),""yyyy-mm-dd"")&amp;""' and Col2 &lt;= date '""&amp;TEXT(DATE(Y$8,12,31),""yyyy-mm-dd"")&amp;""' label sum(Col16) ''"",0)))"),"")</f>
        <v/>
      </c>
      <c r="Z279" s="630" t="str">
        <f>IFERROR(__xludf.DUMMYFUNCTION("IF($G279="""","""",IFERROR(query({proventos!$B$5:$Q310},""Select sum(Col16) where Col1 = '""&amp;$G279&amp;""' and Col2 &gt; date '""&amp;TEXT(DATE(Z$8,1,1),""yyyy-mm-dd"")&amp;""' and Col2 &lt;= date '""&amp;TEXT(DATE(Z$8,12,31),""yyyy-mm-dd"")&amp;""' label sum(Col16) ''"",0)))"),"")</f>
        <v/>
      </c>
      <c r="AA279" s="587"/>
      <c r="AB279" s="578" t="s">
        <v>123</v>
      </c>
      <c r="AC279" s="601"/>
      <c r="AD279" s="638"/>
      <c r="AE279" s="638"/>
    </row>
    <row r="280">
      <c r="A280" s="576"/>
      <c r="B280" s="620"/>
      <c r="C280" s="637"/>
      <c r="D280" s="633"/>
      <c r="E280" s="633"/>
      <c r="F280" s="624">
        <v>270.0</v>
      </c>
      <c r="G280" s="635"/>
      <c r="H280" s="626" t="str">
        <f>if(G280="","",IFERROR(VLOOKUP(G280,AtivosDados,MATCH("provento_avg",portfolio.!$A$3:AE$3,0),FALSE),""))</f>
        <v/>
      </c>
      <c r="I280" s="627" t="s">
        <v>123</v>
      </c>
      <c r="J280" s="628" t="str">
        <f>IFERROR(__xludf.DUMMYFUNCTION("IF($G280="""","""",IFERROR(query({proventos!$B$5:$Q310},""Select sum(Col16) where Col1 = '""&amp;$G280&amp;""' and Col2 &gt; date '""&amp;TEXT(K$8,""yyyy-mm-dd"")&amp;""' and Col2 &lt;= date '""&amp;TEXT(J$8,""yyyy-mm-dd"")&amp;""' label sum(Col16) ''"",0)))"),"")</f>
        <v/>
      </c>
      <c r="K280" s="628" t="str">
        <f>IFERROR(__xludf.DUMMYFUNCTION("IF($G280="""","""",IFERROR(query({proventos!$B$5:$Q310},""Select sum(Col16) where Col1 = '""&amp;$G280&amp;""' and Col2 &gt; date '""&amp;TEXT(L$8,""yyyy-mm-dd"")&amp;""' and Col2 &lt;= date '""&amp;TEXT(K$8,""yyyy-mm-dd"")&amp;""' label sum(Col16) ''"",0)))"),"")</f>
        <v/>
      </c>
      <c r="L280" s="628" t="str">
        <f>IFERROR(__xludf.DUMMYFUNCTION("IF($G280="""","""",IFERROR(query({proventos!$B$5:$Q310},""Select sum(Col16) where Col1 = '""&amp;$G280&amp;""' and Col2 &gt; date '""&amp;TEXT(M$8,""yyyy-mm-dd"")&amp;""' and Col2 &lt;= date '""&amp;TEXT(L$8,""yyyy-mm-dd"")&amp;""' label sum(Col16) ''"",0)))"),"")</f>
        <v/>
      </c>
      <c r="M280" s="628" t="str">
        <f>IFERROR(__xludf.DUMMYFUNCTION("IF($G280="""","""",IFERROR(query({proventos!$B$5:$Q310},""Select sum(Col16) where Col1 = '""&amp;$G280&amp;""' and Col2 &gt; date '""&amp;TEXT(N$8,""yyyy-mm-dd"")&amp;""' and Col2 &lt;= date '""&amp;TEXT(M$8,""yyyy-mm-dd"")&amp;""' label sum(Col16) ''"",0)))"),"")</f>
        <v/>
      </c>
      <c r="N280" s="628" t="str">
        <f>IFERROR(__xludf.DUMMYFUNCTION("IF($G280="""","""",IFERROR(query({proventos!$B$5:$Q310},""Select sum(Col16) where Col1 = '""&amp;$G280&amp;""' and Col2 &gt; date '""&amp;TEXT(O$8,""yyyy-mm-dd"")&amp;""' and Col2 &lt;= date '""&amp;TEXT(N$8,""yyyy-mm-dd"")&amp;""' label sum(Col16) ''"",0)))"),"")</f>
        <v/>
      </c>
      <c r="O280" s="628" t="str">
        <f>IFERROR(__xludf.DUMMYFUNCTION("IF($G280="""","""",IFERROR(query({proventos!$B$5:$Q310},""Select sum(Col16) where Col1 = '""&amp;$G280&amp;""' and Col2 &gt; date '""&amp;TEXT(P$8,""yyyy-mm-dd"")&amp;""' and Col2 &lt;= date '""&amp;TEXT(O$8,""yyyy-mm-dd"")&amp;""' label sum(Col16) ''"",0)))"),"")</f>
        <v/>
      </c>
      <c r="P280" s="628" t="str">
        <f>IFERROR(__xludf.DUMMYFUNCTION("IF($G280="""","""",IFERROR(query({proventos!$B$5:$Q310},""Select sum(Col16) where Col1 = '""&amp;$G280&amp;""' and Col2 &gt; date '""&amp;TEXT(Q$8,""yyyy-mm-dd"")&amp;""' and Col2 &lt;= date '""&amp;TEXT(P$8,""yyyy-mm-dd"")&amp;""' label sum(Col16) ''"",0)))"),"")</f>
        <v/>
      </c>
      <c r="Q280" s="628" t="str">
        <f>IFERROR(__xludf.DUMMYFUNCTION("IF($G280="""","""",IFERROR(query({proventos!$B$5:$Q310},""Select sum(Col16) where Col1 = '""&amp;$G280&amp;""' and Col2 &gt; date '""&amp;TEXT(R$8,""yyyy-mm-dd"")&amp;""' and Col2 &lt;= date '""&amp;TEXT(Q$8,""yyyy-mm-dd"")&amp;""' label sum(Col16) ''"",0)))"),"")</f>
        <v/>
      </c>
      <c r="R280" s="628" t="str">
        <f>IFERROR(__xludf.DUMMYFUNCTION("IF($G280="""","""",IFERROR(query({proventos!$B$5:$Q310},""Select sum(Col16) where Col1 = '""&amp;$G280&amp;""' and Col2 &gt; date '""&amp;TEXT(S$8,""yyyy-mm-dd"")&amp;""' and Col2 &lt;= date '""&amp;TEXT(R$8,""yyyy-mm-dd"")&amp;""' label sum(Col16) ''"",0)))"),"")</f>
        <v/>
      </c>
      <c r="S280" s="628" t="str">
        <f>IFERROR(__xludf.DUMMYFUNCTION("IF($G280="""","""",IFERROR(query({proventos!$B$5:$Q310},""Select sum(Col16) where Col1 = '""&amp;$G280&amp;""' and Col2 &gt; date '""&amp;TEXT(T$8,""yyyy-mm-dd"")&amp;""' and Col2 &lt;= date '""&amp;TEXT(S$8,""yyyy-mm-dd"")&amp;""' label sum(Col16) ''"",0)))"),"")</f>
        <v/>
      </c>
      <c r="T280" s="628" t="str">
        <f>IFERROR(__xludf.DUMMYFUNCTION("IF($G280="""","""",IFERROR(query({proventos!$B$5:$Q310},""Select sum(Col16) where Col1 = '""&amp;$G280&amp;""' and Col2 &gt; date '""&amp;TEXT(U$8,""yyyy-mm-dd"")&amp;""' and Col2 &lt;= date '""&amp;TEXT(T$8,""yyyy-mm-dd"")&amp;""' label sum(Col16) ''"",0)))"),"")</f>
        <v/>
      </c>
      <c r="U280" s="629" t="str">
        <f>IFERROR(__xludf.DUMMYFUNCTION("IF($G280="""","""",IFERROR(query({proventos!$B$5:$Q310},""Select sum(Col16) where Col1 = '""&amp;$G280&amp;""' and Col2 &gt; date '""&amp;TEXT(EOMONTH(TODAY(),-13),""yyyy-mm-dd"")&amp;""' and Col2 &lt;= date '""&amp;TEXT(U$8,""yyyy-mm-dd"")&amp;""' label sum(Col16) ''"",0)))"),"")</f>
        <v/>
      </c>
      <c r="V280" s="630" t="str">
        <f>IFERROR(__xludf.DUMMYFUNCTION("IF($G280="""","""",IFERROR(query({proventos!$B$5:$Q310},""Select sum(Col16) where Col1 = '""&amp;$G280&amp;""' and Col2 &gt; date '""&amp;TEXT(DATE(V$8,1,1),""yyyy-mm-dd"")&amp;""' and Col2 &lt;= date '""&amp;TEXT(DATE(V$8,12,31),""yyyy-mm-dd"")&amp;""' label sum(Col16) ''"",0)))"),"")</f>
        <v/>
      </c>
      <c r="W280" s="630" t="str">
        <f>IFERROR(__xludf.DUMMYFUNCTION("IF($G280="""","""",IFERROR(query({proventos!$B$5:$Q310},""Select sum(Col16) where Col1 = '""&amp;$G280&amp;""' and Col2 &gt; date '""&amp;TEXT(DATE(W$8,1,1),""yyyy-mm-dd"")&amp;""' and Col2 &lt;= date '""&amp;TEXT(DATE(W$8,12,31),""yyyy-mm-dd"")&amp;""' label sum(Col16) ''"",0)))"),"")</f>
        <v/>
      </c>
      <c r="X280" s="630" t="str">
        <f>IFERROR(__xludf.DUMMYFUNCTION("IF($G280="""","""",IFERROR(query({proventos!$B$5:$Q310},""Select sum(Col16) where Col1 = '""&amp;$G280&amp;""' and Col2 &gt; date '""&amp;TEXT(DATE(X$8,1,1),""yyyy-mm-dd"")&amp;""' and Col2 &lt;= date '""&amp;TEXT(DATE(X$8,12,31),""yyyy-mm-dd"")&amp;""' label sum(Col16) ''"",0)))"),"")</f>
        <v/>
      </c>
      <c r="Y280" s="630" t="str">
        <f>IFERROR(__xludf.DUMMYFUNCTION("IF($G280="""","""",IFERROR(query({proventos!$B$5:$Q310},""Select sum(Col16) where Col1 = '""&amp;$G280&amp;""' and Col2 &gt; date '""&amp;TEXT(DATE(Y$8,1,1),""yyyy-mm-dd"")&amp;""' and Col2 &lt;= date '""&amp;TEXT(DATE(Y$8,12,31),""yyyy-mm-dd"")&amp;""' label sum(Col16) ''"",0)))"),"")</f>
        <v/>
      </c>
      <c r="Z280" s="630" t="str">
        <f>IFERROR(__xludf.DUMMYFUNCTION("IF($G280="""","""",IFERROR(query({proventos!$B$5:$Q310},""Select sum(Col16) where Col1 = '""&amp;$G280&amp;""' and Col2 &gt; date '""&amp;TEXT(DATE(Z$8,1,1),""yyyy-mm-dd"")&amp;""' and Col2 &lt;= date '""&amp;TEXT(DATE(Z$8,12,31),""yyyy-mm-dd"")&amp;""' label sum(Col16) ''"",0)))"),"")</f>
        <v/>
      </c>
      <c r="AA280" s="587"/>
      <c r="AB280" s="578" t="s">
        <v>123</v>
      </c>
      <c r="AC280" s="601"/>
      <c r="AD280" s="638"/>
      <c r="AE280" s="638"/>
    </row>
    <row r="281">
      <c r="A281" s="576"/>
      <c r="B281" s="620"/>
      <c r="C281" s="637"/>
      <c r="D281" s="633"/>
      <c r="E281" s="633"/>
      <c r="F281" s="624">
        <v>271.0</v>
      </c>
      <c r="G281" s="635"/>
      <c r="H281" s="626" t="str">
        <f>if(G281="","",IFERROR(VLOOKUP(G281,AtivosDados,MATCH("provento_avg",portfolio.!$A$3:AE$3,0),FALSE),""))</f>
        <v/>
      </c>
      <c r="I281" s="627" t="s">
        <v>123</v>
      </c>
      <c r="J281" s="628" t="str">
        <f>IFERROR(__xludf.DUMMYFUNCTION("IF($G281="""","""",IFERROR(query({proventos!$B$5:$Q310},""Select sum(Col16) where Col1 = '""&amp;$G281&amp;""' and Col2 &gt; date '""&amp;TEXT(K$8,""yyyy-mm-dd"")&amp;""' and Col2 &lt;= date '""&amp;TEXT(J$8,""yyyy-mm-dd"")&amp;""' label sum(Col16) ''"",0)))"),"")</f>
        <v/>
      </c>
      <c r="K281" s="628" t="str">
        <f>IFERROR(__xludf.DUMMYFUNCTION("IF($G281="""","""",IFERROR(query({proventos!$B$5:$Q310},""Select sum(Col16) where Col1 = '""&amp;$G281&amp;""' and Col2 &gt; date '""&amp;TEXT(L$8,""yyyy-mm-dd"")&amp;""' and Col2 &lt;= date '""&amp;TEXT(K$8,""yyyy-mm-dd"")&amp;""' label sum(Col16) ''"",0)))"),"")</f>
        <v/>
      </c>
      <c r="L281" s="628" t="str">
        <f>IFERROR(__xludf.DUMMYFUNCTION("IF($G281="""","""",IFERROR(query({proventos!$B$5:$Q310},""Select sum(Col16) where Col1 = '""&amp;$G281&amp;""' and Col2 &gt; date '""&amp;TEXT(M$8,""yyyy-mm-dd"")&amp;""' and Col2 &lt;= date '""&amp;TEXT(L$8,""yyyy-mm-dd"")&amp;""' label sum(Col16) ''"",0)))"),"")</f>
        <v/>
      </c>
      <c r="M281" s="628" t="str">
        <f>IFERROR(__xludf.DUMMYFUNCTION("IF($G281="""","""",IFERROR(query({proventos!$B$5:$Q310},""Select sum(Col16) where Col1 = '""&amp;$G281&amp;""' and Col2 &gt; date '""&amp;TEXT(N$8,""yyyy-mm-dd"")&amp;""' and Col2 &lt;= date '""&amp;TEXT(M$8,""yyyy-mm-dd"")&amp;""' label sum(Col16) ''"",0)))"),"")</f>
        <v/>
      </c>
      <c r="N281" s="628" t="str">
        <f>IFERROR(__xludf.DUMMYFUNCTION("IF($G281="""","""",IFERROR(query({proventos!$B$5:$Q310},""Select sum(Col16) where Col1 = '""&amp;$G281&amp;""' and Col2 &gt; date '""&amp;TEXT(O$8,""yyyy-mm-dd"")&amp;""' and Col2 &lt;= date '""&amp;TEXT(N$8,""yyyy-mm-dd"")&amp;""' label sum(Col16) ''"",0)))"),"")</f>
        <v/>
      </c>
      <c r="O281" s="628" t="str">
        <f>IFERROR(__xludf.DUMMYFUNCTION("IF($G281="""","""",IFERROR(query({proventos!$B$5:$Q310},""Select sum(Col16) where Col1 = '""&amp;$G281&amp;""' and Col2 &gt; date '""&amp;TEXT(P$8,""yyyy-mm-dd"")&amp;""' and Col2 &lt;= date '""&amp;TEXT(O$8,""yyyy-mm-dd"")&amp;""' label sum(Col16) ''"",0)))"),"")</f>
        <v/>
      </c>
      <c r="P281" s="628" t="str">
        <f>IFERROR(__xludf.DUMMYFUNCTION("IF($G281="""","""",IFERROR(query({proventos!$B$5:$Q310},""Select sum(Col16) where Col1 = '""&amp;$G281&amp;""' and Col2 &gt; date '""&amp;TEXT(Q$8,""yyyy-mm-dd"")&amp;""' and Col2 &lt;= date '""&amp;TEXT(P$8,""yyyy-mm-dd"")&amp;""' label sum(Col16) ''"",0)))"),"")</f>
        <v/>
      </c>
      <c r="Q281" s="628" t="str">
        <f>IFERROR(__xludf.DUMMYFUNCTION("IF($G281="""","""",IFERROR(query({proventos!$B$5:$Q310},""Select sum(Col16) where Col1 = '""&amp;$G281&amp;""' and Col2 &gt; date '""&amp;TEXT(R$8,""yyyy-mm-dd"")&amp;""' and Col2 &lt;= date '""&amp;TEXT(Q$8,""yyyy-mm-dd"")&amp;""' label sum(Col16) ''"",0)))"),"")</f>
        <v/>
      </c>
      <c r="R281" s="628" t="str">
        <f>IFERROR(__xludf.DUMMYFUNCTION("IF($G281="""","""",IFERROR(query({proventos!$B$5:$Q310},""Select sum(Col16) where Col1 = '""&amp;$G281&amp;""' and Col2 &gt; date '""&amp;TEXT(S$8,""yyyy-mm-dd"")&amp;""' and Col2 &lt;= date '""&amp;TEXT(R$8,""yyyy-mm-dd"")&amp;""' label sum(Col16) ''"",0)))"),"")</f>
        <v/>
      </c>
      <c r="S281" s="628" t="str">
        <f>IFERROR(__xludf.DUMMYFUNCTION("IF($G281="""","""",IFERROR(query({proventos!$B$5:$Q310},""Select sum(Col16) where Col1 = '""&amp;$G281&amp;""' and Col2 &gt; date '""&amp;TEXT(T$8,""yyyy-mm-dd"")&amp;""' and Col2 &lt;= date '""&amp;TEXT(S$8,""yyyy-mm-dd"")&amp;""' label sum(Col16) ''"",0)))"),"")</f>
        <v/>
      </c>
      <c r="T281" s="628" t="str">
        <f>IFERROR(__xludf.DUMMYFUNCTION("IF($G281="""","""",IFERROR(query({proventos!$B$5:$Q310},""Select sum(Col16) where Col1 = '""&amp;$G281&amp;""' and Col2 &gt; date '""&amp;TEXT(U$8,""yyyy-mm-dd"")&amp;""' and Col2 &lt;= date '""&amp;TEXT(T$8,""yyyy-mm-dd"")&amp;""' label sum(Col16) ''"",0)))"),"")</f>
        <v/>
      </c>
      <c r="U281" s="629" t="str">
        <f>IFERROR(__xludf.DUMMYFUNCTION("IF($G281="""","""",IFERROR(query({proventos!$B$5:$Q310},""Select sum(Col16) where Col1 = '""&amp;$G281&amp;""' and Col2 &gt; date '""&amp;TEXT(EOMONTH(TODAY(),-13),""yyyy-mm-dd"")&amp;""' and Col2 &lt;= date '""&amp;TEXT(U$8,""yyyy-mm-dd"")&amp;""' label sum(Col16) ''"",0)))"),"")</f>
        <v/>
      </c>
      <c r="V281" s="630" t="str">
        <f>IFERROR(__xludf.DUMMYFUNCTION("IF($G281="""","""",IFERROR(query({proventos!$B$5:$Q310},""Select sum(Col16) where Col1 = '""&amp;$G281&amp;""' and Col2 &gt; date '""&amp;TEXT(DATE(V$8,1,1),""yyyy-mm-dd"")&amp;""' and Col2 &lt;= date '""&amp;TEXT(DATE(V$8,12,31),""yyyy-mm-dd"")&amp;""' label sum(Col16) ''"",0)))"),"")</f>
        <v/>
      </c>
      <c r="W281" s="630" t="str">
        <f>IFERROR(__xludf.DUMMYFUNCTION("IF($G281="""","""",IFERROR(query({proventos!$B$5:$Q310},""Select sum(Col16) where Col1 = '""&amp;$G281&amp;""' and Col2 &gt; date '""&amp;TEXT(DATE(W$8,1,1),""yyyy-mm-dd"")&amp;""' and Col2 &lt;= date '""&amp;TEXT(DATE(W$8,12,31),""yyyy-mm-dd"")&amp;""' label sum(Col16) ''"",0)))"),"")</f>
        <v/>
      </c>
      <c r="X281" s="630" t="str">
        <f>IFERROR(__xludf.DUMMYFUNCTION("IF($G281="""","""",IFERROR(query({proventos!$B$5:$Q310},""Select sum(Col16) where Col1 = '""&amp;$G281&amp;""' and Col2 &gt; date '""&amp;TEXT(DATE(X$8,1,1),""yyyy-mm-dd"")&amp;""' and Col2 &lt;= date '""&amp;TEXT(DATE(X$8,12,31),""yyyy-mm-dd"")&amp;""' label sum(Col16) ''"",0)))"),"")</f>
        <v/>
      </c>
      <c r="Y281" s="630" t="str">
        <f>IFERROR(__xludf.DUMMYFUNCTION("IF($G281="""","""",IFERROR(query({proventos!$B$5:$Q310},""Select sum(Col16) where Col1 = '""&amp;$G281&amp;""' and Col2 &gt; date '""&amp;TEXT(DATE(Y$8,1,1),""yyyy-mm-dd"")&amp;""' and Col2 &lt;= date '""&amp;TEXT(DATE(Y$8,12,31),""yyyy-mm-dd"")&amp;""' label sum(Col16) ''"",0)))"),"")</f>
        <v/>
      </c>
      <c r="Z281" s="630" t="str">
        <f>IFERROR(__xludf.DUMMYFUNCTION("IF($G281="""","""",IFERROR(query({proventos!$B$5:$Q310},""Select sum(Col16) where Col1 = '""&amp;$G281&amp;""' and Col2 &gt; date '""&amp;TEXT(DATE(Z$8,1,1),""yyyy-mm-dd"")&amp;""' and Col2 &lt;= date '""&amp;TEXT(DATE(Z$8,12,31),""yyyy-mm-dd"")&amp;""' label sum(Col16) ''"",0)))"),"")</f>
        <v/>
      </c>
      <c r="AA281" s="587"/>
      <c r="AB281" s="578" t="s">
        <v>123</v>
      </c>
      <c r="AC281" s="601"/>
      <c r="AD281" s="638"/>
      <c r="AE281" s="638"/>
    </row>
    <row r="282">
      <c r="A282" s="576"/>
      <c r="B282" s="620"/>
      <c r="C282" s="637"/>
      <c r="D282" s="633"/>
      <c r="E282" s="633"/>
      <c r="F282" s="624">
        <v>272.0</v>
      </c>
      <c r="G282" s="635"/>
      <c r="H282" s="626" t="str">
        <f>if(G282="","",IFERROR(VLOOKUP(G282,AtivosDados,MATCH("provento_avg",portfolio.!$A$3:AE$3,0),FALSE),""))</f>
        <v/>
      </c>
      <c r="I282" s="627" t="s">
        <v>123</v>
      </c>
      <c r="J282" s="628" t="str">
        <f>IFERROR(__xludf.DUMMYFUNCTION("IF($G282="""","""",IFERROR(query({proventos!$B$5:$Q310},""Select sum(Col16) where Col1 = '""&amp;$G282&amp;""' and Col2 &gt; date '""&amp;TEXT(K$8,""yyyy-mm-dd"")&amp;""' and Col2 &lt;= date '""&amp;TEXT(J$8,""yyyy-mm-dd"")&amp;""' label sum(Col16) ''"",0)))"),"")</f>
        <v/>
      </c>
      <c r="K282" s="628" t="str">
        <f>IFERROR(__xludf.DUMMYFUNCTION("IF($G282="""","""",IFERROR(query({proventos!$B$5:$Q310},""Select sum(Col16) where Col1 = '""&amp;$G282&amp;""' and Col2 &gt; date '""&amp;TEXT(L$8,""yyyy-mm-dd"")&amp;""' and Col2 &lt;= date '""&amp;TEXT(K$8,""yyyy-mm-dd"")&amp;""' label sum(Col16) ''"",0)))"),"")</f>
        <v/>
      </c>
      <c r="L282" s="628" t="str">
        <f>IFERROR(__xludf.DUMMYFUNCTION("IF($G282="""","""",IFERROR(query({proventos!$B$5:$Q310},""Select sum(Col16) where Col1 = '""&amp;$G282&amp;""' and Col2 &gt; date '""&amp;TEXT(M$8,""yyyy-mm-dd"")&amp;""' and Col2 &lt;= date '""&amp;TEXT(L$8,""yyyy-mm-dd"")&amp;""' label sum(Col16) ''"",0)))"),"")</f>
        <v/>
      </c>
      <c r="M282" s="628" t="str">
        <f>IFERROR(__xludf.DUMMYFUNCTION("IF($G282="""","""",IFERROR(query({proventos!$B$5:$Q310},""Select sum(Col16) where Col1 = '""&amp;$G282&amp;""' and Col2 &gt; date '""&amp;TEXT(N$8,""yyyy-mm-dd"")&amp;""' and Col2 &lt;= date '""&amp;TEXT(M$8,""yyyy-mm-dd"")&amp;""' label sum(Col16) ''"",0)))"),"")</f>
        <v/>
      </c>
      <c r="N282" s="628" t="str">
        <f>IFERROR(__xludf.DUMMYFUNCTION("IF($G282="""","""",IFERROR(query({proventos!$B$5:$Q310},""Select sum(Col16) where Col1 = '""&amp;$G282&amp;""' and Col2 &gt; date '""&amp;TEXT(O$8,""yyyy-mm-dd"")&amp;""' and Col2 &lt;= date '""&amp;TEXT(N$8,""yyyy-mm-dd"")&amp;""' label sum(Col16) ''"",0)))"),"")</f>
        <v/>
      </c>
      <c r="O282" s="628" t="str">
        <f>IFERROR(__xludf.DUMMYFUNCTION("IF($G282="""","""",IFERROR(query({proventos!$B$5:$Q310},""Select sum(Col16) where Col1 = '""&amp;$G282&amp;""' and Col2 &gt; date '""&amp;TEXT(P$8,""yyyy-mm-dd"")&amp;""' and Col2 &lt;= date '""&amp;TEXT(O$8,""yyyy-mm-dd"")&amp;""' label sum(Col16) ''"",0)))"),"")</f>
        <v/>
      </c>
      <c r="P282" s="628" t="str">
        <f>IFERROR(__xludf.DUMMYFUNCTION("IF($G282="""","""",IFERROR(query({proventos!$B$5:$Q310},""Select sum(Col16) where Col1 = '""&amp;$G282&amp;""' and Col2 &gt; date '""&amp;TEXT(Q$8,""yyyy-mm-dd"")&amp;""' and Col2 &lt;= date '""&amp;TEXT(P$8,""yyyy-mm-dd"")&amp;""' label sum(Col16) ''"",0)))"),"")</f>
        <v/>
      </c>
      <c r="Q282" s="628" t="str">
        <f>IFERROR(__xludf.DUMMYFUNCTION("IF($G282="""","""",IFERROR(query({proventos!$B$5:$Q310},""Select sum(Col16) where Col1 = '""&amp;$G282&amp;""' and Col2 &gt; date '""&amp;TEXT(R$8,""yyyy-mm-dd"")&amp;""' and Col2 &lt;= date '""&amp;TEXT(Q$8,""yyyy-mm-dd"")&amp;""' label sum(Col16) ''"",0)))"),"")</f>
        <v/>
      </c>
      <c r="R282" s="628" t="str">
        <f>IFERROR(__xludf.DUMMYFUNCTION("IF($G282="""","""",IFERROR(query({proventos!$B$5:$Q310},""Select sum(Col16) where Col1 = '""&amp;$G282&amp;""' and Col2 &gt; date '""&amp;TEXT(S$8,""yyyy-mm-dd"")&amp;""' and Col2 &lt;= date '""&amp;TEXT(R$8,""yyyy-mm-dd"")&amp;""' label sum(Col16) ''"",0)))"),"")</f>
        <v/>
      </c>
      <c r="S282" s="628" t="str">
        <f>IFERROR(__xludf.DUMMYFUNCTION("IF($G282="""","""",IFERROR(query({proventos!$B$5:$Q310},""Select sum(Col16) where Col1 = '""&amp;$G282&amp;""' and Col2 &gt; date '""&amp;TEXT(T$8,""yyyy-mm-dd"")&amp;""' and Col2 &lt;= date '""&amp;TEXT(S$8,""yyyy-mm-dd"")&amp;""' label sum(Col16) ''"",0)))"),"")</f>
        <v/>
      </c>
      <c r="T282" s="628" t="str">
        <f>IFERROR(__xludf.DUMMYFUNCTION("IF($G282="""","""",IFERROR(query({proventos!$B$5:$Q310},""Select sum(Col16) where Col1 = '""&amp;$G282&amp;""' and Col2 &gt; date '""&amp;TEXT(U$8,""yyyy-mm-dd"")&amp;""' and Col2 &lt;= date '""&amp;TEXT(T$8,""yyyy-mm-dd"")&amp;""' label sum(Col16) ''"",0)))"),"")</f>
        <v/>
      </c>
      <c r="U282" s="629" t="str">
        <f>IFERROR(__xludf.DUMMYFUNCTION("IF($G282="""","""",IFERROR(query({proventos!$B$5:$Q310},""Select sum(Col16) where Col1 = '""&amp;$G282&amp;""' and Col2 &gt; date '""&amp;TEXT(EOMONTH(TODAY(),-13),""yyyy-mm-dd"")&amp;""' and Col2 &lt;= date '""&amp;TEXT(U$8,""yyyy-mm-dd"")&amp;""' label sum(Col16) ''"",0)))"),"")</f>
        <v/>
      </c>
      <c r="V282" s="630" t="str">
        <f>IFERROR(__xludf.DUMMYFUNCTION("IF($G282="""","""",IFERROR(query({proventos!$B$5:$Q310},""Select sum(Col16) where Col1 = '""&amp;$G282&amp;""' and Col2 &gt; date '""&amp;TEXT(DATE(V$8,1,1),""yyyy-mm-dd"")&amp;""' and Col2 &lt;= date '""&amp;TEXT(DATE(V$8,12,31),""yyyy-mm-dd"")&amp;""' label sum(Col16) ''"",0)))"),"")</f>
        <v/>
      </c>
      <c r="W282" s="630" t="str">
        <f>IFERROR(__xludf.DUMMYFUNCTION("IF($G282="""","""",IFERROR(query({proventos!$B$5:$Q310},""Select sum(Col16) where Col1 = '""&amp;$G282&amp;""' and Col2 &gt; date '""&amp;TEXT(DATE(W$8,1,1),""yyyy-mm-dd"")&amp;""' and Col2 &lt;= date '""&amp;TEXT(DATE(W$8,12,31),""yyyy-mm-dd"")&amp;""' label sum(Col16) ''"",0)))"),"")</f>
        <v/>
      </c>
      <c r="X282" s="630" t="str">
        <f>IFERROR(__xludf.DUMMYFUNCTION("IF($G282="""","""",IFERROR(query({proventos!$B$5:$Q310},""Select sum(Col16) where Col1 = '""&amp;$G282&amp;""' and Col2 &gt; date '""&amp;TEXT(DATE(X$8,1,1),""yyyy-mm-dd"")&amp;""' and Col2 &lt;= date '""&amp;TEXT(DATE(X$8,12,31),""yyyy-mm-dd"")&amp;""' label sum(Col16) ''"",0)))"),"")</f>
        <v/>
      </c>
      <c r="Y282" s="630" t="str">
        <f>IFERROR(__xludf.DUMMYFUNCTION("IF($G282="""","""",IFERROR(query({proventos!$B$5:$Q310},""Select sum(Col16) where Col1 = '""&amp;$G282&amp;""' and Col2 &gt; date '""&amp;TEXT(DATE(Y$8,1,1),""yyyy-mm-dd"")&amp;""' and Col2 &lt;= date '""&amp;TEXT(DATE(Y$8,12,31),""yyyy-mm-dd"")&amp;""' label sum(Col16) ''"",0)))"),"")</f>
        <v/>
      </c>
      <c r="Z282" s="630" t="str">
        <f>IFERROR(__xludf.DUMMYFUNCTION("IF($G282="""","""",IFERROR(query({proventos!$B$5:$Q310},""Select sum(Col16) where Col1 = '""&amp;$G282&amp;""' and Col2 &gt; date '""&amp;TEXT(DATE(Z$8,1,1),""yyyy-mm-dd"")&amp;""' and Col2 &lt;= date '""&amp;TEXT(DATE(Z$8,12,31),""yyyy-mm-dd"")&amp;""' label sum(Col16) ''"",0)))"),"")</f>
        <v/>
      </c>
      <c r="AA282" s="587"/>
      <c r="AB282" s="578" t="s">
        <v>123</v>
      </c>
      <c r="AC282" s="601"/>
      <c r="AD282" s="638"/>
      <c r="AE282" s="638"/>
    </row>
    <row r="283">
      <c r="A283" s="576"/>
      <c r="B283" s="620"/>
      <c r="C283" s="637"/>
      <c r="D283" s="633"/>
      <c r="E283" s="633"/>
      <c r="F283" s="624">
        <v>273.0</v>
      </c>
      <c r="G283" s="635"/>
      <c r="H283" s="626" t="str">
        <f>if(G283="","",IFERROR(VLOOKUP(G283,AtivosDados,MATCH("provento_avg",portfolio.!$A$3:AE$3,0),FALSE),""))</f>
        <v/>
      </c>
      <c r="I283" s="627" t="s">
        <v>123</v>
      </c>
      <c r="J283" s="628" t="str">
        <f>IFERROR(__xludf.DUMMYFUNCTION("IF($G283="""","""",IFERROR(query({proventos!$B$5:$Q310},""Select sum(Col16) where Col1 = '""&amp;$G283&amp;""' and Col2 &gt; date '""&amp;TEXT(K$8,""yyyy-mm-dd"")&amp;""' and Col2 &lt;= date '""&amp;TEXT(J$8,""yyyy-mm-dd"")&amp;""' label sum(Col16) ''"",0)))"),"")</f>
        <v/>
      </c>
      <c r="K283" s="628" t="str">
        <f>IFERROR(__xludf.DUMMYFUNCTION("IF($G283="""","""",IFERROR(query({proventos!$B$5:$Q310},""Select sum(Col16) where Col1 = '""&amp;$G283&amp;""' and Col2 &gt; date '""&amp;TEXT(L$8,""yyyy-mm-dd"")&amp;""' and Col2 &lt;= date '""&amp;TEXT(K$8,""yyyy-mm-dd"")&amp;""' label sum(Col16) ''"",0)))"),"")</f>
        <v/>
      </c>
      <c r="L283" s="628" t="str">
        <f>IFERROR(__xludf.DUMMYFUNCTION("IF($G283="""","""",IFERROR(query({proventos!$B$5:$Q310},""Select sum(Col16) where Col1 = '""&amp;$G283&amp;""' and Col2 &gt; date '""&amp;TEXT(M$8,""yyyy-mm-dd"")&amp;""' and Col2 &lt;= date '""&amp;TEXT(L$8,""yyyy-mm-dd"")&amp;""' label sum(Col16) ''"",0)))"),"")</f>
        <v/>
      </c>
      <c r="M283" s="628" t="str">
        <f>IFERROR(__xludf.DUMMYFUNCTION("IF($G283="""","""",IFERROR(query({proventos!$B$5:$Q310},""Select sum(Col16) where Col1 = '""&amp;$G283&amp;""' and Col2 &gt; date '""&amp;TEXT(N$8,""yyyy-mm-dd"")&amp;""' and Col2 &lt;= date '""&amp;TEXT(M$8,""yyyy-mm-dd"")&amp;""' label sum(Col16) ''"",0)))"),"")</f>
        <v/>
      </c>
      <c r="N283" s="628" t="str">
        <f>IFERROR(__xludf.DUMMYFUNCTION("IF($G283="""","""",IFERROR(query({proventos!$B$5:$Q310},""Select sum(Col16) where Col1 = '""&amp;$G283&amp;""' and Col2 &gt; date '""&amp;TEXT(O$8,""yyyy-mm-dd"")&amp;""' and Col2 &lt;= date '""&amp;TEXT(N$8,""yyyy-mm-dd"")&amp;""' label sum(Col16) ''"",0)))"),"")</f>
        <v/>
      </c>
      <c r="O283" s="628" t="str">
        <f>IFERROR(__xludf.DUMMYFUNCTION("IF($G283="""","""",IFERROR(query({proventos!$B$5:$Q310},""Select sum(Col16) where Col1 = '""&amp;$G283&amp;""' and Col2 &gt; date '""&amp;TEXT(P$8,""yyyy-mm-dd"")&amp;""' and Col2 &lt;= date '""&amp;TEXT(O$8,""yyyy-mm-dd"")&amp;""' label sum(Col16) ''"",0)))"),"")</f>
        <v/>
      </c>
      <c r="P283" s="628" t="str">
        <f>IFERROR(__xludf.DUMMYFUNCTION("IF($G283="""","""",IFERROR(query({proventos!$B$5:$Q310},""Select sum(Col16) where Col1 = '""&amp;$G283&amp;""' and Col2 &gt; date '""&amp;TEXT(Q$8,""yyyy-mm-dd"")&amp;""' and Col2 &lt;= date '""&amp;TEXT(P$8,""yyyy-mm-dd"")&amp;""' label sum(Col16) ''"",0)))"),"")</f>
        <v/>
      </c>
      <c r="Q283" s="628" t="str">
        <f>IFERROR(__xludf.DUMMYFUNCTION("IF($G283="""","""",IFERROR(query({proventos!$B$5:$Q310},""Select sum(Col16) where Col1 = '""&amp;$G283&amp;""' and Col2 &gt; date '""&amp;TEXT(R$8,""yyyy-mm-dd"")&amp;""' and Col2 &lt;= date '""&amp;TEXT(Q$8,""yyyy-mm-dd"")&amp;""' label sum(Col16) ''"",0)))"),"")</f>
        <v/>
      </c>
      <c r="R283" s="628" t="str">
        <f>IFERROR(__xludf.DUMMYFUNCTION("IF($G283="""","""",IFERROR(query({proventos!$B$5:$Q310},""Select sum(Col16) where Col1 = '""&amp;$G283&amp;""' and Col2 &gt; date '""&amp;TEXT(S$8,""yyyy-mm-dd"")&amp;""' and Col2 &lt;= date '""&amp;TEXT(R$8,""yyyy-mm-dd"")&amp;""' label sum(Col16) ''"",0)))"),"")</f>
        <v/>
      </c>
      <c r="S283" s="628" t="str">
        <f>IFERROR(__xludf.DUMMYFUNCTION("IF($G283="""","""",IFERROR(query({proventos!$B$5:$Q310},""Select sum(Col16) where Col1 = '""&amp;$G283&amp;""' and Col2 &gt; date '""&amp;TEXT(T$8,""yyyy-mm-dd"")&amp;""' and Col2 &lt;= date '""&amp;TEXT(S$8,""yyyy-mm-dd"")&amp;""' label sum(Col16) ''"",0)))"),"")</f>
        <v/>
      </c>
      <c r="T283" s="628" t="str">
        <f>IFERROR(__xludf.DUMMYFUNCTION("IF($G283="""","""",IFERROR(query({proventos!$B$5:$Q310},""Select sum(Col16) where Col1 = '""&amp;$G283&amp;""' and Col2 &gt; date '""&amp;TEXT(U$8,""yyyy-mm-dd"")&amp;""' and Col2 &lt;= date '""&amp;TEXT(T$8,""yyyy-mm-dd"")&amp;""' label sum(Col16) ''"",0)))"),"")</f>
        <v/>
      </c>
      <c r="U283" s="629" t="str">
        <f>IFERROR(__xludf.DUMMYFUNCTION("IF($G283="""","""",IFERROR(query({proventos!$B$5:$Q310},""Select sum(Col16) where Col1 = '""&amp;$G283&amp;""' and Col2 &gt; date '""&amp;TEXT(EOMONTH(TODAY(),-13),""yyyy-mm-dd"")&amp;""' and Col2 &lt;= date '""&amp;TEXT(U$8,""yyyy-mm-dd"")&amp;""' label sum(Col16) ''"",0)))"),"")</f>
        <v/>
      </c>
      <c r="V283" s="630" t="str">
        <f>IFERROR(__xludf.DUMMYFUNCTION("IF($G283="""","""",IFERROR(query({proventos!$B$5:$Q310},""Select sum(Col16) where Col1 = '""&amp;$G283&amp;""' and Col2 &gt; date '""&amp;TEXT(DATE(V$8,1,1),""yyyy-mm-dd"")&amp;""' and Col2 &lt;= date '""&amp;TEXT(DATE(V$8,12,31),""yyyy-mm-dd"")&amp;""' label sum(Col16) ''"",0)))"),"")</f>
        <v/>
      </c>
      <c r="W283" s="630" t="str">
        <f>IFERROR(__xludf.DUMMYFUNCTION("IF($G283="""","""",IFERROR(query({proventos!$B$5:$Q310},""Select sum(Col16) where Col1 = '""&amp;$G283&amp;""' and Col2 &gt; date '""&amp;TEXT(DATE(W$8,1,1),""yyyy-mm-dd"")&amp;""' and Col2 &lt;= date '""&amp;TEXT(DATE(W$8,12,31),""yyyy-mm-dd"")&amp;""' label sum(Col16) ''"",0)))"),"")</f>
        <v/>
      </c>
      <c r="X283" s="630" t="str">
        <f>IFERROR(__xludf.DUMMYFUNCTION("IF($G283="""","""",IFERROR(query({proventos!$B$5:$Q310},""Select sum(Col16) where Col1 = '""&amp;$G283&amp;""' and Col2 &gt; date '""&amp;TEXT(DATE(X$8,1,1),""yyyy-mm-dd"")&amp;""' and Col2 &lt;= date '""&amp;TEXT(DATE(X$8,12,31),""yyyy-mm-dd"")&amp;""' label sum(Col16) ''"",0)))"),"")</f>
        <v/>
      </c>
      <c r="Y283" s="630" t="str">
        <f>IFERROR(__xludf.DUMMYFUNCTION("IF($G283="""","""",IFERROR(query({proventos!$B$5:$Q310},""Select sum(Col16) where Col1 = '""&amp;$G283&amp;""' and Col2 &gt; date '""&amp;TEXT(DATE(Y$8,1,1),""yyyy-mm-dd"")&amp;""' and Col2 &lt;= date '""&amp;TEXT(DATE(Y$8,12,31),""yyyy-mm-dd"")&amp;""' label sum(Col16) ''"",0)))"),"")</f>
        <v/>
      </c>
      <c r="Z283" s="630" t="str">
        <f>IFERROR(__xludf.DUMMYFUNCTION("IF($G283="""","""",IFERROR(query({proventos!$B$5:$Q310},""Select sum(Col16) where Col1 = '""&amp;$G283&amp;""' and Col2 &gt; date '""&amp;TEXT(DATE(Z$8,1,1),""yyyy-mm-dd"")&amp;""' and Col2 &lt;= date '""&amp;TEXT(DATE(Z$8,12,31),""yyyy-mm-dd"")&amp;""' label sum(Col16) ''"",0)))"),"")</f>
        <v/>
      </c>
      <c r="AA283" s="587"/>
      <c r="AB283" s="578" t="s">
        <v>123</v>
      </c>
      <c r="AC283" s="601"/>
      <c r="AD283" s="638"/>
      <c r="AE283" s="638"/>
    </row>
    <row r="284">
      <c r="A284" s="576"/>
      <c r="B284" s="620"/>
      <c r="C284" s="637"/>
      <c r="D284" s="633"/>
      <c r="E284" s="633"/>
      <c r="F284" s="624">
        <v>274.0</v>
      </c>
      <c r="G284" s="635"/>
      <c r="H284" s="626" t="str">
        <f>if(G284="","",IFERROR(VLOOKUP(G284,AtivosDados,MATCH("provento_avg",portfolio.!$A$3:AE$3,0),FALSE),""))</f>
        <v/>
      </c>
      <c r="I284" s="627" t="s">
        <v>123</v>
      </c>
      <c r="J284" s="628" t="str">
        <f>IFERROR(__xludf.DUMMYFUNCTION("IF($G284="""","""",IFERROR(query({proventos!$B$5:$Q310},""Select sum(Col16) where Col1 = '""&amp;$G284&amp;""' and Col2 &gt; date '""&amp;TEXT(K$8,""yyyy-mm-dd"")&amp;""' and Col2 &lt;= date '""&amp;TEXT(J$8,""yyyy-mm-dd"")&amp;""' label sum(Col16) ''"",0)))"),"")</f>
        <v/>
      </c>
      <c r="K284" s="628" t="str">
        <f>IFERROR(__xludf.DUMMYFUNCTION("IF($G284="""","""",IFERROR(query({proventos!$B$5:$Q310},""Select sum(Col16) where Col1 = '""&amp;$G284&amp;""' and Col2 &gt; date '""&amp;TEXT(L$8,""yyyy-mm-dd"")&amp;""' and Col2 &lt;= date '""&amp;TEXT(K$8,""yyyy-mm-dd"")&amp;""' label sum(Col16) ''"",0)))"),"")</f>
        <v/>
      </c>
      <c r="L284" s="628" t="str">
        <f>IFERROR(__xludf.DUMMYFUNCTION("IF($G284="""","""",IFERROR(query({proventos!$B$5:$Q310},""Select sum(Col16) where Col1 = '""&amp;$G284&amp;""' and Col2 &gt; date '""&amp;TEXT(M$8,""yyyy-mm-dd"")&amp;""' and Col2 &lt;= date '""&amp;TEXT(L$8,""yyyy-mm-dd"")&amp;""' label sum(Col16) ''"",0)))"),"")</f>
        <v/>
      </c>
      <c r="M284" s="628" t="str">
        <f>IFERROR(__xludf.DUMMYFUNCTION("IF($G284="""","""",IFERROR(query({proventos!$B$5:$Q310},""Select sum(Col16) where Col1 = '""&amp;$G284&amp;""' and Col2 &gt; date '""&amp;TEXT(N$8,""yyyy-mm-dd"")&amp;""' and Col2 &lt;= date '""&amp;TEXT(M$8,""yyyy-mm-dd"")&amp;""' label sum(Col16) ''"",0)))"),"")</f>
        <v/>
      </c>
      <c r="N284" s="628" t="str">
        <f>IFERROR(__xludf.DUMMYFUNCTION("IF($G284="""","""",IFERROR(query({proventos!$B$5:$Q310},""Select sum(Col16) where Col1 = '""&amp;$G284&amp;""' and Col2 &gt; date '""&amp;TEXT(O$8,""yyyy-mm-dd"")&amp;""' and Col2 &lt;= date '""&amp;TEXT(N$8,""yyyy-mm-dd"")&amp;""' label sum(Col16) ''"",0)))"),"")</f>
        <v/>
      </c>
      <c r="O284" s="628" t="str">
        <f>IFERROR(__xludf.DUMMYFUNCTION("IF($G284="""","""",IFERROR(query({proventos!$B$5:$Q310},""Select sum(Col16) where Col1 = '""&amp;$G284&amp;""' and Col2 &gt; date '""&amp;TEXT(P$8,""yyyy-mm-dd"")&amp;""' and Col2 &lt;= date '""&amp;TEXT(O$8,""yyyy-mm-dd"")&amp;""' label sum(Col16) ''"",0)))"),"")</f>
        <v/>
      </c>
      <c r="P284" s="628" t="str">
        <f>IFERROR(__xludf.DUMMYFUNCTION("IF($G284="""","""",IFERROR(query({proventos!$B$5:$Q310},""Select sum(Col16) where Col1 = '""&amp;$G284&amp;""' and Col2 &gt; date '""&amp;TEXT(Q$8,""yyyy-mm-dd"")&amp;""' and Col2 &lt;= date '""&amp;TEXT(P$8,""yyyy-mm-dd"")&amp;""' label sum(Col16) ''"",0)))"),"")</f>
        <v/>
      </c>
      <c r="Q284" s="628" t="str">
        <f>IFERROR(__xludf.DUMMYFUNCTION("IF($G284="""","""",IFERROR(query({proventos!$B$5:$Q310},""Select sum(Col16) where Col1 = '""&amp;$G284&amp;""' and Col2 &gt; date '""&amp;TEXT(R$8,""yyyy-mm-dd"")&amp;""' and Col2 &lt;= date '""&amp;TEXT(Q$8,""yyyy-mm-dd"")&amp;""' label sum(Col16) ''"",0)))"),"")</f>
        <v/>
      </c>
      <c r="R284" s="628" t="str">
        <f>IFERROR(__xludf.DUMMYFUNCTION("IF($G284="""","""",IFERROR(query({proventos!$B$5:$Q310},""Select sum(Col16) where Col1 = '""&amp;$G284&amp;""' and Col2 &gt; date '""&amp;TEXT(S$8,""yyyy-mm-dd"")&amp;""' and Col2 &lt;= date '""&amp;TEXT(R$8,""yyyy-mm-dd"")&amp;""' label sum(Col16) ''"",0)))"),"")</f>
        <v/>
      </c>
      <c r="S284" s="628" t="str">
        <f>IFERROR(__xludf.DUMMYFUNCTION("IF($G284="""","""",IFERROR(query({proventos!$B$5:$Q310},""Select sum(Col16) where Col1 = '""&amp;$G284&amp;""' and Col2 &gt; date '""&amp;TEXT(T$8,""yyyy-mm-dd"")&amp;""' and Col2 &lt;= date '""&amp;TEXT(S$8,""yyyy-mm-dd"")&amp;""' label sum(Col16) ''"",0)))"),"")</f>
        <v/>
      </c>
      <c r="T284" s="628" t="str">
        <f>IFERROR(__xludf.DUMMYFUNCTION("IF($G284="""","""",IFERROR(query({proventos!$B$5:$Q310},""Select sum(Col16) where Col1 = '""&amp;$G284&amp;""' and Col2 &gt; date '""&amp;TEXT(U$8,""yyyy-mm-dd"")&amp;""' and Col2 &lt;= date '""&amp;TEXT(T$8,""yyyy-mm-dd"")&amp;""' label sum(Col16) ''"",0)))"),"")</f>
        <v/>
      </c>
      <c r="U284" s="629" t="str">
        <f>IFERROR(__xludf.DUMMYFUNCTION("IF($G284="""","""",IFERROR(query({proventos!$B$5:$Q310},""Select sum(Col16) where Col1 = '""&amp;$G284&amp;""' and Col2 &gt; date '""&amp;TEXT(EOMONTH(TODAY(),-13),""yyyy-mm-dd"")&amp;""' and Col2 &lt;= date '""&amp;TEXT(U$8,""yyyy-mm-dd"")&amp;""' label sum(Col16) ''"",0)))"),"")</f>
        <v/>
      </c>
      <c r="V284" s="630" t="str">
        <f>IFERROR(__xludf.DUMMYFUNCTION("IF($G284="""","""",IFERROR(query({proventos!$B$5:$Q310},""Select sum(Col16) where Col1 = '""&amp;$G284&amp;""' and Col2 &gt; date '""&amp;TEXT(DATE(V$8,1,1),""yyyy-mm-dd"")&amp;""' and Col2 &lt;= date '""&amp;TEXT(DATE(V$8,12,31),""yyyy-mm-dd"")&amp;""' label sum(Col16) ''"",0)))"),"")</f>
        <v/>
      </c>
      <c r="W284" s="630" t="str">
        <f>IFERROR(__xludf.DUMMYFUNCTION("IF($G284="""","""",IFERROR(query({proventos!$B$5:$Q310},""Select sum(Col16) where Col1 = '""&amp;$G284&amp;""' and Col2 &gt; date '""&amp;TEXT(DATE(W$8,1,1),""yyyy-mm-dd"")&amp;""' and Col2 &lt;= date '""&amp;TEXT(DATE(W$8,12,31),""yyyy-mm-dd"")&amp;""' label sum(Col16) ''"",0)))"),"")</f>
        <v/>
      </c>
      <c r="X284" s="630" t="str">
        <f>IFERROR(__xludf.DUMMYFUNCTION("IF($G284="""","""",IFERROR(query({proventos!$B$5:$Q310},""Select sum(Col16) where Col1 = '""&amp;$G284&amp;""' and Col2 &gt; date '""&amp;TEXT(DATE(X$8,1,1),""yyyy-mm-dd"")&amp;""' and Col2 &lt;= date '""&amp;TEXT(DATE(X$8,12,31),""yyyy-mm-dd"")&amp;""' label sum(Col16) ''"",0)))"),"")</f>
        <v/>
      </c>
      <c r="Y284" s="630" t="str">
        <f>IFERROR(__xludf.DUMMYFUNCTION("IF($G284="""","""",IFERROR(query({proventos!$B$5:$Q310},""Select sum(Col16) where Col1 = '""&amp;$G284&amp;""' and Col2 &gt; date '""&amp;TEXT(DATE(Y$8,1,1),""yyyy-mm-dd"")&amp;""' and Col2 &lt;= date '""&amp;TEXT(DATE(Y$8,12,31),""yyyy-mm-dd"")&amp;""' label sum(Col16) ''"",0)))"),"")</f>
        <v/>
      </c>
      <c r="Z284" s="630" t="str">
        <f>IFERROR(__xludf.DUMMYFUNCTION("IF($G284="""","""",IFERROR(query({proventos!$B$5:$Q310},""Select sum(Col16) where Col1 = '""&amp;$G284&amp;""' and Col2 &gt; date '""&amp;TEXT(DATE(Z$8,1,1),""yyyy-mm-dd"")&amp;""' and Col2 &lt;= date '""&amp;TEXT(DATE(Z$8,12,31),""yyyy-mm-dd"")&amp;""' label sum(Col16) ''"",0)))"),"")</f>
        <v/>
      </c>
      <c r="AA284" s="587"/>
      <c r="AB284" s="578" t="s">
        <v>123</v>
      </c>
      <c r="AC284" s="601"/>
      <c r="AD284" s="638"/>
      <c r="AE284" s="638"/>
    </row>
    <row r="285">
      <c r="A285" s="576"/>
      <c r="B285" s="620"/>
      <c r="C285" s="637"/>
      <c r="D285" s="633"/>
      <c r="E285" s="633"/>
      <c r="F285" s="624">
        <v>275.0</v>
      </c>
      <c r="G285" s="635"/>
      <c r="H285" s="626" t="str">
        <f>if(G285="","",IFERROR(VLOOKUP(G285,AtivosDados,MATCH("provento_avg",portfolio.!$A$3:AE$3,0),FALSE),""))</f>
        <v/>
      </c>
      <c r="I285" s="627" t="s">
        <v>123</v>
      </c>
      <c r="J285" s="628" t="str">
        <f>IFERROR(__xludf.DUMMYFUNCTION("IF($G285="""","""",IFERROR(query({proventos!$B$5:$Q310},""Select sum(Col16) where Col1 = '""&amp;$G285&amp;""' and Col2 &gt; date '""&amp;TEXT(K$8,""yyyy-mm-dd"")&amp;""' and Col2 &lt;= date '""&amp;TEXT(J$8,""yyyy-mm-dd"")&amp;""' label sum(Col16) ''"",0)))"),"")</f>
        <v/>
      </c>
      <c r="K285" s="628" t="str">
        <f>IFERROR(__xludf.DUMMYFUNCTION("IF($G285="""","""",IFERROR(query({proventos!$B$5:$Q310},""Select sum(Col16) where Col1 = '""&amp;$G285&amp;""' and Col2 &gt; date '""&amp;TEXT(L$8,""yyyy-mm-dd"")&amp;""' and Col2 &lt;= date '""&amp;TEXT(K$8,""yyyy-mm-dd"")&amp;""' label sum(Col16) ''"",0)))"),"")</f>
        <v/>
      </c>
      <c r="L285" s="628" t="str">
        <f>IFERROR(__xludf.DUMMYFUNCTION("IF($G285="""","""",IFERROR(query({proventos!$B$5:$Q310},""Select sum(Col16) where Col1 = '""&amp;$G285&amp;""' and Col2 &gt; date '""&amp;TEXT(M$8,""yyyy-mm-dd"")&amp;""' and Col2 &lt;= date '""&amp;TEXT(L$8,""yyyy-mm-dd"")&amp;""' label sum(Col16) ''"",0)))"),"")</f>
        <v/>
      </c>
      <c r="M285" s="628" t="str">
        <f>IFERROR(__xludf.DUMMYFUNCTION("IF($G285="""","""",IFERROR(query({proventos!$B$5:$Q310},""Select sum(Col16) where Col1 = '""&amp;$G285&amp;""' and Col2 &gt; date '""&amp;TEXT(N$8,""yyyy-mm-dd"")&amp;""' and Col2 &lt;= date '""&amp;TEXT(M$8,""yyyy-mm-dd"")&amp;""' label sum(Col16) ''"",0)))"),"")</f>
        <v/>
      </c>
      <c r="N285" s="628" t="str">
        <f>IFERROR(__xludf.DUMMYFUNCTION("IF($G285="""","""",IFERROR(query({proventos!$B$5:$Q310},""Select sum(Col16) where Col1 = '""&amp;$G285&amp;""' and Col2 &gt; date '""&amp;TEXT(O$8,""yyyy-mm-dd"")&amp;""' and Col2 &lt;= date '""&amp;TEXT(N$8,""yyyy-mm-dd"")&amp;""' label sum(Col16) ''"",0)))"),"")</f>
        <v/>
      </c>
      <c r="O285" s="628" t="str">
        <f>IFERROR(__xludf.DUMMYFUNCTION("IF($G285="""","""",IFERROR(query({proventos!$B$5:$Q310},""Select sum(Col16) where Col1 = '""&amp;$G285&amp;""' and Col2 &gt; date '""&amp;TEXT(P$8,""yyyy-mm-dd"")&amp;""' and Col2 &lt;= date '""&amp;TEXT(O$8,""yyyy-mm-dd"")&amp;""' label sum(Col16) ''"",0)))"),"")</f>
        <v/>
      </c>
      <c r="P285" s="628" t="str">
        <f>IFERROR(__xludf.DUMMYFUNCTION("IF($G285="""","""",IFERROR(query({proventos!$B$5:$Q310},""Select sum(Col16) where Col1 = '""&amp;$G285&amp;""' and Col2 &gt; date '""&amp;TEXT(Q$8,""yyyy-mm-dd"")&amp;""' and Col2 &lt;= date '""&amp;TEXT(P$8,""yyyy-mm-dd"")&amp;""' label sum(Col16) ''"",0)))"),"")</f>
        <v/>
      </c>
      <c r="Q285" s="628" t="str">
        <f>IFERROR(__xludf.DUMMYFUNCTION("IF($G285="""","""",IFERROR(query({proventos!$B$5:$Q310},""Select sum(Col16) where Col1 = '""&amp;$G285&amp;""' and Col2 &gt; date '""&amp;TEXT(R$8,""yyyy-mm-dd"")&amp;""' and Col2 &lt;= date '""&amp;TEXT(Q$8,""yyyy-mm-dd"")&amp;""' label sum(Col16) ''"",0)))"),"")</f>
        <v/>
      </c>
      <c r="R285" s="628" t="str">
        <f>IFERROR(__xludf.DUMMYFUNCTION("IF($G285="""","""",IFERROR(query({proventos!$B$5:$Q310},""Select sum(Col16) where Col1 = '""&amp;$G285&amp;""' and Col2 &gt; date '""&amp;TEXT(S$8,""yyyy-mm-dd"")&amp;""' and Col2 &lt;= date '""&amp;TEXT(R$8,""yyyy-mm-dd"")&amp;""' label sum(Col16) ''"",0)))"),"")</f>
        <v/>
      </c>
      <c r="S285" s="628" t="str">
        <f>IFERROR(__xludf.DUMMYFUNCTION("IF($G285="""","""",IFERROR(query({proventos!$B$5:$Q310},""Select sum(Col16) where Col1 = '""&amp;$G285&amp;""' and Col2 &gt; date '""&amp;TEXT(T$8,""yyyy-mm-dd"")&amp;""' and Col2 &lt;= date '""&amp;TEXT(S$8,""yyyy-mm-dd"")&amp;""' label sum(Col16) ''"",0)))"),"")</f>
        <v/>
      </c>
      <c r="T285" s="628" t="str">
        <f>IFERROR(__xludf.DUMMYFUNCTION("IF($G285="""","""",IFERROR(query({proventos!$B$5:$Q310},""Select sum(Col16) where Col1 = '""&amp;$G285&amp;""' and Col2 &gt; date '""&amp;TEXT(U$8,""yyyy-mm-dd"")&amp;""' and Col2 &lt;= date '""&amp;TEXT(T$8,""yyyy-mm-dd"")&amp;""' label sum(Col16) ''"",0)))"),"")</f>
        <v/>
      </c>
      <c r="U285" s="629" t="str">
        <f>IFERROR(__xludf.DUMMYFUNCTION("IF($G285="""","""",IFERROR(query({proventos!$B$5:$Q310},""Select sum(Col16) where Col1 = '""&amp;$G285&amp;""' and Col2 &gt; date '""&amp;TEXT(EOMONTH(TODAY(),-13),""yyyy-mm-dd"")&amp;""' and Col2 &lt;= date '""&amp;TEXT(U$8,""yyyy-mm-dd"")&amp;""' label sum(Col16) ''"",0)))"),"")</f>
        <v/>
      </c>
      <c r="V285" s="630" t="str">
        <f>IFERROR(__xludf.DUMMYFUNCTION("IF($G285="""","""",IFERROR(query({proventos!$B$5:$Q310},""Select sum(Col16) where Col1 = '""&amp;$G285&amp;""' and Col2 &gt; date '""&amp;TEXT(DATE(V$8,1,1),""yyyy-mm-dd"")&amp;""' and Col2 &lt;= date '""&amp;TEXT(DATE(V$8,12,31),""yyyy-mm-dd"")&amp;""' label sum(Col16) ''"",0)))"),"")</f>
        <v/>
      </c>
      <c r="W285" s="630" t="str">
        <f>IFERROR(__xludf.DUMMYFUNCTION("IF($G285="""","""",IFERROR(query({proventos!$B$5:$Q310},""Select sum(Col16) where Col1 = '""&amp;$G285&amp;""' and Col2 &gt; date '""&amp;TEXT(DATE(W$8,1,1),""yyyy-mm-dd"")&amp;""' and Col2 &lt;= date '""&amp;TEXT(DATE(W$8,12,31),""yyyy-mm-dd"")&amp;""' label sum(Col16) ''"",0)))"),"")</f>
        <v/>
      </c>
      <c r="X285" s="630" t="str">
        <f>IFERROR(__xludf.DUMMYFUNCTION("IF($G285="""","""",IFERROR(query({proventos!$B$5:$Q310},""Select sum(Col16) where Col1 = '""&amp;$G285&amp;""' and Col2 &gt; date '""&amp;TEXT(DATE(X$8,1,1),""yyyy-mm-dd"")&amp;""' and Col2 &lt;= date '""&amp;TEXT(DATE(X$8,12,31),""yyyy-mm-dd"")&amp;""' label sum(Col16) ''"",0)))"),"")</f>
        <v/>
      </c>
      <c r="Y285" s="630" t="str">
        <f>IFERROR(__xludf.DUMMYFUNCTION("IF($G285="""","""",IFERROR(query({proventos!$B$5:$Q310},""Select sum(Col16) where Col1 = '""&amp;$G285&amp;""' and Col2 &gt; date '""&amp;TEXT(DATE(Y$8,1,1),""yyyy-mm-dd"")&amp;""' and Col2 &lt;= date '""&amp;TEXT(DATE(Y$8,12,31),""yyyy-mm-dd"")&amp;""' label sum(Col16) ''"",0)))"),"")</f>
        <v/>
      </c>
      <c r="Z285" s="630" t="str">
        <f>IFERROR(__xludf.DUMMYFUNCTION("IF($G285="""","""",IFERROR(query({proventos!$B$5:$Q310},""Select sum(Col16) where Col1 = '""&amp;$G285&amp;""' and Col2 &gt; date '""&amp;TEXT(DATE(Z$8,1,1),""yyyy-mm-dd"")&amp;""' and Col2 &lt;= date '""&amp;TEXT(DATE(Z$8,12,31),""yyyy-mm-dd"")&amp;""' label sum(Col16) ''"",0)))"),"")</f>
        <v/>
      </c>
      <c r="AA285" s="587"/>
      <c r="AB285" s="578" t="s">
        <v>123</v>
      </c>
      <c r="AC285" s="601"/>
      <c r="AD285" s="638"/>
      <c r="AE285" s="638"/>
    </row>
    <row r="286">
      <c r="A286" s="576"/>
      <c r="B286" s="620"/>
      <c r="C286" s="637"/>
      <c r="D286" s="633"/>
      <c r="E286" s="633"/>
      <c r="F286" s="624">
        <v>276.0</v>
      </c>
      <c r="G286" s="635"/>
      <c r="H286" s="626" t="str">
        <f>if(G286="","",IFERROR(VLOOKUP(G286,AtivosDados,MATCH("provento_avg",portfolio.!$A$3:AE$3,0),FALSE),""))</f>
        <v/>
      </c>
      <c r="I286" s="627" t="s">
        <v>123</v>
      </c>
      <c r="J286" s="628" t="str">
        <f>IFERROR(__xludf.DUMMYFUNCTION("IF($G286="""","""",IFERROR(query({proventos!$B$5:$Q310},""Select sum(Col16) where Col1 = '""&amp;$G286&amp;""' and Col2 &gt; date '""&amp;TEXT(K$8,""yyyy-mm-dd"")&amp;""' and Col2 &lt;= date '""&amp;TEXT(J$8,""yyyy-mm-dd"")&amp;""' label sum(Col16) ''"",0)))"),"")</f>
        <v/>
      </c>
      <c r="K286" s="628" t="str">
        <f>IFERROR(__xludf.DUMMYFUNCTION("IF($G286="""","""",IFERROR(query({proventos!$B$5:$Q310},""Select sum(Col16) where Col1 = '""&amp;$G286&amp;""' and Col2 &gt; date '""&amp;TEXT(L$8,""yyyy-mm-dd"")&amp;""' and Col2 &lt;= date '""&amp;TEXT(K$8,""yyyy-mm-dd"")&amp;""' label sum(Col16) ''"",0)))"),"")</f>
        <v/>
      </c>
      <c r="L286" s="628" t="str">
        <f>IFERROR(__xludf.DUMMYFUNCTION("IF($G286="""","""",IFERROR(query({proventos!$B$5:$Q310},""Select sum(Col16) where Col1 = '""&amp;$G286&amp;""' and Col2 &gt; date '""&amp;TEXT(M$8,""yyyy-mm-dd"")&amp;""' and Col2 &lt;= date '""&amp;TEXT(L$8,""yyyy-mm-dd"")&amp;""' label sum(Col16) ''"",0)))"),"")</f>
        <v/>
      </c>
      <c r="M286" s="628" t="str">
        <f>IFERROR(__xludf.DUMMYFUNCTION("IF($G286="""","""",IFERROR(query({proventos!$B$5:$Q310},""Select sum(Col16) where Col1 = '""&amp;$G286&amp;""' and Col2 &gt; date '""&amp;TEXT(N$8,""yyyy-mm-dd"")&amp;""' and Col2 &lt;= date '""&amp;TEXT(M$8,""yyyy-mm-dd"")&amp;""' label sum(Col16) ''"",0)))"),"")</f>
        <v/>
      </c>
      <c r="N286" s="628" t="str">
        <f>IFERROR(__xludf.DUMMYFUNCTION("IF($G286="""","""",IFERROR(query({proventos!$B$5:$Q310},""Select sum(Col16) where Col1 = '""&amp;$G286&amp;""' and Col2 &gt; date '""&amp;TEXT(O$8,""yyyy-mm-dd"")&amp;""' and Col2 &lt;= date '""&amp;TEXT(N$8,""yyyy-mm-dd"")&amp;""' label sum(Col16) ''"",0)))"),"")</f>
        <v/>
      </c>
      <c r="O286" s="628" t="str">
        <f>IFERROR(__xludf.DUMMYFUNCTION("IF($G286="""","""",IFERROR(query({proventos!$B$5:$Q310},""Select sum(Col16) where Col1 = '""&amp;$G286&amp;""' and Col2 &gt; date '""&amp;TEXT(P$8,""yyyy-mm-dd"")&amp;""' and Col2 &lt;= date '""&amp;TEXT(O$8,""yyyy-mm-dd"")&amp;""' label sum(Col16) ''"",0)))"),"")</f>
        <v/>
      </c>
      <c r="P286" s="628" t="str">
        <f>IFERROR(__xludf.DUMMYFUNCTION("IF($G286="""","""",IFERROR(query({proventos!$B$5:$Q310},""Select sum(Col16) where Col1 = '""&amp;$G286&amp;""' and Col2 &gt; date '""&amp;TEXT(Q$8,""yyyy-mm-dd"")&amp;""' and Col2 &lt;= date '""&amp;TEXT(P$8,""yyyy-mm-dd"")&amp;""' label sum(Col16) ''"",0)))"),"")</f>
        <v/>
      </c>
      <c r="Q286" s="628" t="str">
        <f>IFERROR(__xludf.DUMMYFUNCTION("IF($G286="""","""",IFERROR(query({proventos!$B$5:$Q310},""Select sum(Col16) where Col1 = '""&amp;$G286&amp;""' and Col2 &gt; date '""&amp;TEXT(R$8,""yyyy-mm-dd"")&amp;""' and Col2 &lt;= date '""&amp;TEXT(Q$8,""yyyy-mm-dd"")&amp;""' label sum(Col16) ''"",0)))"),"")</f>
        <v/>
      </c>
      <c r="R286" s="628" t="str">
        <f>IFERROR(__xludf.DUMMYFUNCTION("IF($G286="""","""",IFERROR(query({proventos!$B$5:$Q310},""Select sum(Col16) where Col1 = '""&amp;$G286&amp;""' and Col2 &gt; date '""&amp;TEXT(S$8,""yyyy-mm-dd"")&amp;""' and Col2 &lt;= date '""&amp;TEXT(R$8,""yyyy-mm-dd"")&amp;""' label sum(Col16) ''"",0)))"),"")</f>
        <v/>
      </c>
      <c r="S286" s="628" t="str">
        <f>IFERROR(__xludf.DUMMYFUNCTION("IF($G286="""","""",IFERROR(query({proventos!$B$5:$Q310},""Select sum(Col16) where Col1 = '""&amp;$G286&amp;""' and Col2 &gt; date '""&amp;TEXT(T$8,""yyyy-mm-dd"")&amp;""' and Col2 &lt;= date '""&amp;TEXT(S$8,""yyyy-mm-dd"")&amp;""' label sum(Col16) ''"",0)))"),"")</f>
        <v/>
      </c>
      <c r="T286" s="628" t="str">
        <f>IFERROR(__xludf.DUMMYFUNCTION("IF($G286="""","""",IFERROR(query({proventos!$B$5:$Q310},""Select sum(Col16) where Col1 = '""&amp;$G286&amp;""' and Col2 &gt; date '""&amp;TEXT(U$8,""yyyy-mm-dd"")&amp;""' and Col2 &lt;= date '""&amp;TEXT(T$8,""yyyy-mm-dd"")&amp;""' label sum(Col16) ''"",0)))"),"")</f>
        <v/>
      </c>
      <c r="U286" s="629" t="str">
        <f>IFERROR(__xludf.DUMMYFUNCTION("IF($G286="""","""",IFERROR(query({proventos!$B$5:$Q310},""Select sum(Col16) where Col1 = '""&amp;$G286&amp;""' and Col2 &gt; date '""&amp;TEXT(EOMONTH(TODAY(),-13),""yyyy-mm-dd"")&amp;""' and Col2 &lt;= date '""&amp;TEXT(U$8,""yyyy-mm-dd"")&amp;""' label sum(Col16) ''"",0)))"),"")</f>
        <v/>
      </c>
      <c r="V286" s="630" t="str">
        <f>IFERROR(__xludf.DUMMYFUNCTION("IF($G286="""","""",IFERROR(query({proventos!$B$5:$Q310},""Select sum(Col16) where Col1 = '""&amp;$G286&amp;""' and Col2 &gt; date '""&amp;TEXT(DATE(V$8,1,1),""yyyy-mm-dd"")&amp;""' and Col2 &lt;= date '""&amp;TEXT(DATE(V$8,12,31),""yyyy-mm-dd"")&amp;""' label sum(Col16) ''"",0)))"),"")</f>
        <v/>
      </c>
      <c r="W286" s="630" t="str">
        <f>IFERROR(__xludf.DUMMYFUNCTION("IF($G286="""","""",IFERROR(query({proventos!$B$5:$Q310},""Select sum(Col16) where Col1 = '""&amp;$G286&amp;""' and Col2 &gt; date '""&amp;TEXT(DATE(W$8,1,1),""yyyy-mm-dd"")&amp;""' and Col2 &lt;= date '""&amp;TEXT(DATE(W$8,12,31),""yyyy-mm-dd"")&amp;""' label sum(Col16) ''"",0)))"),"")</f>
        <v/>
      </c>
      <c r="X286" s="630" t="str">
        <f>IFERROR(__xludf.DUMMYFUNCTION("IF($G286="""","""",IFERROR(query({proventos!$B$5:$Q310},""Select sum(Col16) where Col1 = '""&amp;$G286&amp;""' and Col2 &gt; date '""&amp;TEXT(DATE(X$8,1,1),""yyyy-mm-dd"")&amp;""' and Col2 &lt;= date '""&amp;TEXT(DATE(X$8,12,31),""yyyy-mm-dd"")&amp;""' label sum(Col16) ''"",0)))"),"")</f>
        <v/>
      </c>
      <c r="Y286" s="630" t="str">
        <f>IFERROR(__xludf.DUMMYFUNCTION("IF($G286="""","""",IFERROR(query({proventos!$B$5:$Q310},""Select sum(Col16) where Col1 = '""&amp;$G286&amp;""' and Col2 &gt; date '""&amp;TEXT(DATE(Y$8,1,1),""yyyy-mm-dd"")&amp;""' and Col2 &lt;= date '""&amp;TEXT(DATE(Y$8,12,31),""yyyy-mm-dd"")&amp;""' label sum(Col16) ''"",0)))"),"")</f>
        <v/>
      </c>
      <c r="Z286" s="630" t="str">
        <f>IFERROR(__xludf.DUMMYFUNCTION("IF($G286="""","""",IFERROR(query({proventos!$B$5:$Q310},""Select sum(Col16) where Col1 = '""&amp;$G286&amp;""' and Col2 &gt; date '""&amp;TEXT(DATE(Z$8,1,1),""yyyy-mm-dd"")&amp;""' and Col2 &lt;= date '""&amp;TEXT(DATE(Z$8,12,31),""yyyy-mm-dd"")&amp;""' label sum(Col16) ''"",0)))"),"")</f>
        <v/>
      </c>
      <c r="AA286" s="587"/>
      <c r="AB286" s="578" t="s">
        <v>123</v>
      </c>
      <c r="AC286" s="601"/>
      <c r="AD286" s="638"/>
      <c r="AE286" s="638"/>
    </row>
    <row r="287">
      <c r="A287" s="576"/>
      <c r="B287" s="620"/>
      <c r="C287" s="637"/>
      <c r="D287" s="633"/>
      <c r="E287" s="633"/>
      <c r="F287" s="624">
        <v>277.0</v>
      </c>
      <c r="G287" s="635"/>
      <c r="H287" s="626" t="str">
        <f>if(G287="","",IFERROR(VLOOKUP(G287,AtivosDados,MATCH("provento_avg",portfolio.!$A$3:AE$3,0),FALSE),""))</f>
        <v/>
      </c>
      <c r="I287" s="627" t="s">
        <v>123</v>
      </c>
      <c r="J287" s="628" t="str">
        <f>IFERROR(__xludf.DUMMYFUNCTION("IF($G287="""","""",IFERROR(query({proventos!$B$5:$Q310},""Select sum(Col16) where Col1 = '""&amp;$G287&amp;""' and Col2 &gt; date '""&amp;TEXT(K$8,""yyyy-mm-dd"")&amp;""' and Col2 &lt;= date '""&amp;TEXT(J$8,""yyyy-mm-dd"")&amp;""' label sum(Col16) ''"",0)))"),"")</f>
        <v/>
      </c>
      <c r="K287" s="628" t="str">
        <f>IFERROR(__xludf.DUMMYFUNCTION("IF($G287="""","""",IFERROR(query({proventos!$B$5:$Q310},""Select sum(Col16) where Col1 = '""&amp;$G287&amp;""' and Col2 &gt; date '""&amp;TEXT(L$8,""yyyy-mm-dd"")&amp;""' and Col2 &lt;= date '""&amp;TEXT(K$8,""yyyy-mm-dd"")&amp;""' label sum(Col16) ''"",0)))"),"")</f>
        <v/>
      </c>
      <c r="L287" s="628" t="str">
        <f>IFERROR(__xludf.DUMMYFUNCTION("IF($G287="""","""",IFERROR(query({proventos!$B$5:$Q310},""Select sum(Col16) where Col1 = '""&amp;$G287&amp;""' and Col2 &gt; date '""&amp;TEXT(M$8,""yyyy-mm-dd"")&amp;""' and Col2 &lt;= date '""&amp;TEXT(L$8,""yyyy-mm-dd"")&amp;""' label sum(Col16) ''"",0)))"),"")</f>
        <v/>
      </c>
      <c r="M287" s="628" t="str">
        <f>IFERROR(__xludf.DUMMYFUNCTION("IF($G287="""","""",IFERROR(query({proventos!$B$5:$Q310},""Select sum(Col16) where Col1 = '""&amp;$G287&amp;""' and Col2 &gt; date '""&amp;TEXT(N$8,""yyyy-mm-dd"")&amp;""' and Col2 &lt;= date '""&amp;TEXT(M$8,""yyyy-mm-dd"")&amp;""' label sum(Col16) ''"",0)))"),"")</f>
        <v/>
      </c>
      <c r="N287" s="628" t="str">
        <f>IFERROR(__xludf.DUMMYFUNCTION("IF($G287="""","""",IFERROR(query({proventos!$B$5:$Q310},""Select sum(Col16) where Col1 = '""&amp;$G287&amp;""' and Col2 &gt; date '""&amp;TEXT(O$8,""yyyy-mm-dd"")&amp;""' and Col2 &lt;= date '""&amp;TEXT(N$8,""yyyy-mm-dd"")&amp;""' label sum(Col16) ''"",0)))"),"")</f>
        <v/>
      </c>
      <c r="O287" s="628" t="str">
        <f>IFERROR(__xludf.DUMMYFUNCTION("IF($G287="""","""",IFERROR(query({proventos!$B$5:$Q310},""Select sum(Col16) where Col1 = '""&amp;$G287&amp;""' and Col2 &gt; date '""&amp;TEXT(P$8,""yyyy-mm-dd"")&amp;""' and Col2 &lt;= date '""&amp;TEXT(O$8,""yyyy-mm-dd"")&amp;""' label sum(Col16) ''"",0)))"),"")</f>
        <v/>
      </c>
      <c r="P287" s="628" t="str">
        <f>IFERROR(__xludf.DUMMYFUNCTION("IF($G287="""","""",IFERROR(query({proventos!$B$5:$Q310},""Select sum(Col16) where Col1 = '""&amp;$G287&amp;""' and Col2 &gt; date '""&amp;TEXT(Q$8,""yyyy-mm-dd"")&amp;""' and Col2 &lt;= date '""&amp;TEXT(P$8,""yyyy-mm-dd"")&amp;""' label sum(Col16) ''"",0)))"),"")</f>
        <v/>
      </c>
      <c r="Q287" s="628" t="str">
        <f>IFERROR(__xludf.DUMMYFUNCTION("IF($G287="""","""",IFERROR(query({proventos!$B$5:$Q310},""Select sum(Col16) where Col1 = '""&amp;$G287&amp;""' and Col2 &gt; date '""&amp;TEXT(R$8,""yyyy-mm-dd"")&amp;""' and Col2 &lt;= date '""&amp;TEXT(Q$8,""yyyy-mm-dd"")&amp;""' label sum(Col16) ''"",0)))"),"")</f>
        <v/>
      </c>
      <c r="R287" s="628" t="str">
        <f>IFERROR(__xludf.DUMMYFUNCTION("IF($G287="""","""",IFERROR(query({proventos!$B$5:$Q310},""Select sum(Col16) where Col1 = '""&amp;$G287&amp;""' and Col2 &gt; date '""&amp;TEXT(S$8,""yyyy-mm-dd"")&amp;""' and Col2 &lt;= date '""&amp;TEXT(R$8,""yyyy-mm-dd"")&amp;""' label sum(Col16) ''"",0)))"),"")</f>
        <v/>
      </c>
      <c r="S287" s="628" t="str">
        <f>IFERROR(__xludf.DUMMYFUNCTION("IF($G287="""","""",IFERROR(query({proventos!$B$5:$Q310},""Select sum(Col16) where Col1 = '""&amp;$G287&amp;""' and Col2 &gt; date '""&amp;TEXT(T$8,""yyyy-mm-dd"")&amp;""' and Col2 &lt;= date '""&amp;TEXT(S$8,""yyyy-mm-dd"")&amp;""' label sum(Col16) ''"",0)))"),"")</f>
        <v/>
      </c>
      <c r="T287" s="628" t="str">
        <f>IFERROR(__xludf.DUMMYFUNCTION("IF($G287="""","""",IFERROR(query({proventos!$B$5:$Q310},""Select sum(Col16) where Col1 = '""&amp;$G287&amp;""' and Col2 &gt; date '""&amp;TEXT(U$8,""yyyy-mm-dd"")&amp;""' and Col2 &lt;= date '""&amp;TEXT(T$8,""yyyy-mm-dd"")&amp;""' label sum(Col16) ''"",0)))"),"")</f>
        <v/>
      </c>
      <c r="U287" s="629" t="str">
        <f>IFERROR(__xludf.DUMMYFUNCTION("IF($G287="""","""",IFERROR(query({proventos!$B$5:$Q310},""Select sum(Col16) where Col1 = '""&amp;$G287&amp;""' and Col2 &gt; date '""&amp;TEXT(EOMONTH(TODAY(),-13),""yyyy-mm-dd"")&amp;""' and Col2 &lt;= date '""&amp;TEXT(U$8,""yyyy-mm-dd"")&amp;""' label sum(Col16) ''"",0)))"),"")</f>
        <v/>
      </c>
      <c r="V287" s="630" t="str">
        <f>IFERROR(__xludf.DUMMYFUNCTION("IF($G287="""","""",IFERROR(query({proventos!$B$5:$Q310},""Select sum(Col16) where Col1 = '""&amp;$G287&amp;""' and Col2 &gt; date '""&amp;TEXT(DATE(V$8,1,1),""yyyy-mm-dd"")&amp;""' and Col2 &lt;= date '""&amp;TEXT(DATE(V$8,12,31),""yyyy-mm-dd"")&amp;""' label sum(Col16) ''"",0)))"),"")</f>
        <v/>
      </c>
      <c r="W287" s="630" t="str">
        <f>IFERROR(__xludf.DUMMYFUNCTION("IF($G287="""","""",IFERROR(query({proventos!$B$5:$Q310},""Select sum(Col16) where Col1 = '""&amp;$G287&amp;""' and Col2 &gt; date '""&amp;TEXT(DATE(W$8,1,1),""yyyy-mm-dd"")&amp;""' and Col2 &lt;= date '""&amp;TEXT(DATE(W$8,12,31),""yyyy-mm-dd"")&amp;""' label sum(Col16) ''"",0)))"),"")</f>
        <v/>
      </c>
      <c r="X287" s="630" t="str">
        <f>IFERROR(__xludf.DUMMYFUNCTION("IF($G287="""","""",IFERROR(query({proventos!$B$5:$Q310},""Select sum(Col16) where Col1 = '""&amp;$G287&amp;""' and Col2 &gt; date '""&amp;TEXT(DATE(X$8,1,1),""yyyy-mm-dd"")&amp;""' and Col2 &lt;= date '""&amp;TEXT(DATE(X$8,12,31),""yyyy-mm-dd"")&amp;""' label sum(Col16) ''"",0)))"),"")</f>
        <v/>
      </c>
      <c r="Y287" s="630" t="str">
        <f>IFERROR(__xludf.DUMMYFUNCTION("IF($G287="""","""",IFERROR(query({proventos!$B$5:$Q310},""Select sum(Col16) where Col1 = '""&amp;$G287&amp;""' and Col2 &gt; date '""&amp;TEXT(DATE(Y$8,1,1),""yyyy-mm-dd"")&amp;""' and Col2 &lt;= date '""&amp;TEXT(DATE(Y$8,12,31),""yyyy-mm-dd"")&amp;""' label sum(Col16) ''"",0)))"),"")</f>
        <v/>
      </c>
      <c r="Z287" s="630" t="str">
        <f>IFERROR(__xludf.DUMMYFUNCTION("IF($G287="""","""",IFERROR(query({proventos!$B$5:$Q310},""Select sum(Col16) where Col1 = '""&amp;$G287&amp;""' and Col2 &gt; date '""&amp;TEXT(DATE(Z$8,1,1),""yyyy-mm-dd"")&amp;""' and Col2 &lt;= date '""&amp;TEXT(DATE(Z$8,12,31),""yyyy-mm-dd"")&amp;""' label sum(Col16) ''"",0)))"),"")</f>
        <v/>
      </c>
      <c r="AA287" s="587"/>
      <c r="AB287" s="578" t="s">
        <v>123</v>
      </c>
      <c r="AC287" s="601"/>
      <c r="AD287" s="638"/>
      <c r="AE287" s="638"/>
    </row>
    <row r="288">
      <c r="A288" s="576"/>
      <c r="B288" s="620"/>
      <c r="C288" s="637"/>
      <c r="D288" s="633"/>
      <c r="E288" s="633"/>
      <c r="F288" s="624">
        <v>278.0</v>
      </c>
      <c r="G288" s="635"/>
      <c r="H288" s="626" t="str">
        <f>if(G288="","",IFERROR(VLOOKUP(G288,AtivosDados,MATCH("provento_avg",portfolio.!$A$3:AE$3,0),FALSE),""))</f>
        <v/>
      </c>
      <c r="I288" s="627" t="s">
        <v>123</v>
      </c>
      <c r="J288" s="628" t="str">
        <f>IFERROR(__xludf.DUMMYFUNCTION("IF($G288="""","""",IFERROR(query({proventos!$B$5:$Q310},""Select sum(Col16) where Col1 = '""&amp;$G288&amp;""' and Col2 &gt; date '""&amp;TEXT(K$8,""yyyy-mm-dd"")&amp;""' and Col2 &lt;= date '""&amp;TEXT(J$8,""yyyy-mm-dd"")&amp;""' label sum(Col16) ''"",0)))"),"")</f>
        <v/>
      </c>
      <c r="K288" s="628" t="str">
        <f>IFERROR(__xludf.DUMMYFUNCTION("IF($G288="""","""",IFERROR(query({proventos!$B$5:$Q310},""Select sum(Col16) where Col1 = '""&amp;$G288&amp;""' and Col2 &gt; date '""&amp;TEXT(L$8,""yyyy-mm-dd"")&amp;""' and Col2 &lt;= date '""&amp;TEXT(K$8,""yyyy-mm-dd"")&amp;""' label sum(Col16) ''"",0)))"),"")</f>
        <v/>
      </c>
      <c r="L288" s="628" t="str">
        <f>IFERROR(__xludf.DUMMYFUNCTION("IF($G288="""","""",IFERROR(query({proventos!$B$5:$Q310},""Select sum(Col16) where Col1 = '""&amp;$G288&amp;""' and Col2 &gt; date '""&amp;TEXT(M$8,""yyyy-mm-dd"")&amp;""' and Col2 &lt;= date '""&amp;TEXT(L$8,""yyyy-mm-dd"")&amp;""' label sum(Col16) ''"",0)))"),"")</f>
        <v/>
      </c>
      <c r="M288" s="628" t="str">
        <f>IFERROR(__xludf.DUMMYFUNCTION("IF($G288="""","""",IFERROR(query({proventos!$B$5:$Q310},""Select sum(Col16) where Col1 = '""&amp;$G288&amp;""' and Col2 &gt; date '""&amp;TEXT(N$8,""yyyy-mm-dd"")&amp;""' and Col2 &lt;= date '""&amp;TEXT(M$8,""yyyy-mm-dd"")&amp;""' label sum(Col16) ''"",0)))"),"")</f>
        <v/>
      </c>
      <c r="N288" s="628" t="str">
        <f>IFERROR(__xludf.DUMMYFUNCTION("IF($G288="""","""",IFERROR(query({proventos!$B$5:$Q310},""Select sum(Col16) where Col1 = '""&amp;$G288&amp;""' and Col2 &gt; date '""&amp;TEXT(O$8,""yyyy-mm-dd"")&amp;""' and Col2 &lt;= date '""&amp;TEXT(N$8,""yyyy-mm-dd"")&amp;""' label sum(Col16) ''"",0)))"),"")</f>
        <v/>
      </c>
      <c r="O288" s="628" t="str">
        <f>IFERROR(__xludf.DUMMYFUNCTION("IF($G288="""","""",IFERROR(query({proventos!$B$5:$Q310},""Select sum(Col16) where Col1 = '""&amp;$G288&amp;""' and Col2 &gt; date '""&amp;TEXT(P$8,""yyyy-mm-dd"")&amp;""' and Col2 &lt;= date '""&amp;TEXT(O$8,""yyyy-mm-dd"")&amp;""' label sum(Col16) ''"",0)))"),"")</f>
        <v/>
      </c>
      <c r="P288" s="628" t="str">
        <f>IFERROR(__xludf.DUMMYFUNCTION("IF($G288="""","""",IFERROR(query({proventos!$B$5:$Q310},""Select sum(Col16) where Col1 = '""&amp;$G288&amp;""' and Col2 &gt; date '""&amp;TEXT(Q$8,""yyyy-mm-dd"")&amp;""' and Col2 &lt;= date '""&amp;TEXT(P$8,""yyyy-mm-dd"")&amp;""' label sum(Col16) ''"",0)))"),"")</f>
        <v/>
      </c>
      <c r="Q288" s="628" t="str">
        <f>IFERROR(__xludf.DUMMYFUNCTION("IF($G288="""","""",IFERROR(query({proventos!$B$5:$Q310},""Select sum(Col16) where Col1 = '""&amp;$G288&amp;""' and Col2 &gt; date '""&amp;TEXT(R$8,""yyyy-mm-dd"")&amp;""' and Col2 &lt;= date '""&amp;TEXT(Q$8,""yyyy-mm-dd"")&amp;""' label sum(Col16) ''"",0)))"),"")</f>
        <v/>
      </c>
      <c r="R288" s="628" t="str">
        <f>IFERROR(__xludf.DUMMYFUNCTION("IF($G288="""","""",IFERROR(query({proventos!$B$5:$Q310},""Select sum(Col16) where Col1 = '""&amp;$G288&amp;""' and Col2 &gt; date '""&amp;TEXT(S$8,""yyyy-mm-dd"")&amp;""' and Col2 &lt;= date '""&amp;TEXT(R$8,""yyyy-mm-dd"")&amp;""' label sum(Col16) ''"",0)))"),"")</f>
        <v/>
      </c>
      <c r="S288" s="628" t="str">
        <f>IFERROR(__xludf.DUMMYFUNCTION("IF($G288="""","""",IFERROR(query({proventos!$B$5:$Q310},""Select sum(Col16) where Col1 = '""&amp;$G288&amp;""' and Col2 &gt; date '""&amp;TEXT(T$8,""yyyy-mm-dd"")&amp;""' and Col2 &lt;= date '""&amp;TEXT(S$8,""yyyy-mm-dd"")&amp;""' label sum(Col16) ''"",0)))"),"")</f>
        <v/>
      </c>
      <c r="T288" s="628" t="str">
        <f>IFERROR(__xludf.DUMMYFUNCTION("IF($G288="""","""",IFERROR(query({proventos!$B$5:$Q310},""Select sum(Col16) where Col1 = '""&amp;$G288&amp;""' and Col2 &gt; date '""&amp;TEXT(U$8,""yyyy-mm-dd"")&amp;""' and Col2 &lt;= date '""&amp;TEXT(T$8,""yyyy-mm-dd"")&amp;""' label sum(Col16) ''"",0)))"),"")</f>
        <v/>
      </c>
      <c r="U288" s="629" t="str">
        <f>IFERROR(__xludf.DUMMYFUNCTION("IF($G288="""","""",IFERROR(query({proventos!$B$5:$Q310},""Select sum(Col16) where Col1 = '""&amp;$G288&amp;""' and Col2 &gt; date '""&amp;TEXT(EOMONTH(TODAY(),-13),""yyyy-mm-dd"")&amp;""' and Col2 &lt;= date '""&amp;TEXT(U$8,""yyyy-mm-dd"")&amp;""' label sum(Col16) ''"",0)))"),"")</f>
        <v/>
      </c>
      <c r="V288" s="630" t="str">
        <f>IFERROR(__xludf.DUMMYFUNCTION("IF($G288="""","""",IFERROR(query({proventos!$B$5:$Q310},""Select sum(Col16) where Col1 = '""&amp;$G288&amp;""' and Col2 &gt; date '""&amp;TEXT(DATE(V$8,1,1),""yyyy-mm-dd"")&amp;""' and Col2 &lt;= date '""&amp;TEXT(DATE(V$8,12,31),""yyyy-mm-dd"")&amp;""' label sum(Col16) ''"",0)))"),"")</f>
        <v/>
      </c>
      <c r="W288" s="630" t="str">
        <f>IFERROR(__xludf.DUMMYFUNCTION("IF($G288="""","""",IFERROR(query({proventos!$B$5:$Q310},""Select sum(Col16) where Col1 = '""&amp;$G288&amp;""' and Col2 &gt; date '""&amp;TEXT(DATE(W$8,1,1),""yyyy-mm-dd"")&amp;""' and Col2 &lt;= date '""&amp;TEXT(DATE(W$8,12,31),""yyyy-mm-dd"")&amp;""' label sum(Col16) ''"",0)))"),"")</f>
        <v/>
      </c>
      <c r="X288" s="630" t="str">
        <f>IFERROR(__xludf.DUMMYFUNCTION("IF($G288="""","""",IFERROR(query({proventos!$B$5:$Q310},""Select sum(Col16) where Col1 = '""&amp;$G288&amp;""' and Col2 &gt; date '""&amp;TEXT(DATE(X$8,1,1),""yyyy-mm-dd"")&amp;""' and Col2 &lt;= date '""&amp;TEXT(DATE(X$8,12,31),""yyyy-mm-dd"")&amp;""' label sum(Col16) ''"",0)))"),"")</f>
        <v/>
      </c>
      <c r="Y288" s="630" t="str">
        <f>IFERROR(__xludf.DUMMYFUNCTION("IF($G288="""","""",IFERROR(query({proventos!$B$5:$Q310},""Select sum(Col16) where Col1 = '""&amp;$G288&amp;""' and Col2 &gt; date '""&amp;TEXT(DATE(Y$8,1,1),""yyyy-mm-dd"")&amp;""' and Col2 &lt;= date '""&amp;TEXT(DATE(Y$8,12,31),""yyyy-mm-dd"")&amp;""' label sum(Col16) ''"",0)))"),"")</f>
        <v/>
      </c>
      <c r="Z288" s="630" t="str">
        <f>IFERROR(__xludf.DUMMYFUNCTION("IF($G288="""","""",IFERROR(query({proventos!$B$5:$Q310},""Select sum(Col16) where Col1 = '""&amp;$G288&amp;""' and Col2 &gt; date '""&amp;TEXT(DATE(Z$8,1,1),""yyyy-mm-dd"")&amp;""' and Col2 &lt;= date '""&amp;TEXT(DATE(Z$8,12,31),""yyyy-mm-dd"")&amp;""' label sum(Col16) ''"",0)))"),"")</f>
        <v/>
      </c>
      <c r="AA288" s="587"/>
      <c r="AB288" s="578" t="s">
        <v>123</v>
      </c>
      <c r="AC288" s="601"/>
      <c r="AD288" s="638"/>
      <c r="AE288" s="638"/>
    </row>
    <row r="289">
      <c r="A289" s="576"/>
      <c r="B289" s="620"/>
      <c r="C289" s="637"/>
      <c r="D289" s="633"/>
      <c r="E289" s="633"/>
      <c r="F289" s="624">
        <v>279.0</v>
      </c>
      <c r="G289" s="635"/>
      <c r="H289" s="626" t="str">
        <f>if(G289="","",IFERROR(VLOOKUP(G289,AtivosDados,MATCH("provento_avg",portfolio.!$A$3:AE$3,0),FALSE),""))</f>
        <v/>
      </c>
      <c r="I289" s="627" t="s">
        <v>123</v>
      </c>
      <c r="J289" s="628" t="str">
        <f>IFERROR(__xludf.DUMMYFUNCTION("IF($G289="""","""",IFERROR(query({proventos!$B$5:$Q310},""Select sum(Col16) where Col1 = '""&amp;$G289&amp;""' and Col2 &gt; date '""&amp;TEXT(K$8,""yyyy-mm-dd"")&amp;""' and Col2 &lt;= date '""&amp;TEXT(J$8,""yyyy-mm-dd"")&amp;""' label sum(Col16) ''"",0)))"),"")</f>
        <v/>
      </c>
      <c r="K289" s="628" t="str">
        <f>IFERROR(__xludf.DUMMYFUNCTION("IF($G289="""","""",IFERROR(query({proventos!$B$5:$Q310},""Select sum(Col16) where Col1 = '""&amp;$G289&amp;""' and Col2 &gt; date '""&amp;TEXT(L$8,""yyyy-mm-dd"")&amp;""' and Col2 &lt;= date '""&amp;TEXT(K$8,""yyyy-mm-dd"")&amp;""' label sum(Col16) ''"",0)))"),"")</f>
        <v/>
      </c>
      <c r="L289" s="628" t="str">
        <f>IFERROR(__xludf.DUMMYFUNCTION("IF($G289="""","""",IFERROR(query({proventos!$B$5:$Q310},""Select sum(Col16) where Col1 = '""&amp;$G289&amp;""' and Col2 &gt; date '""&amp;TEXT(M$8,""yyyy-mm-dd"")&amp;""' and Col2 &lt;= date '""&amp;TEXT(L$8,""yyyy-mm-dd"")&amp;""' label sum(Col16) ''"",0)))"),"")</f>
        <v/>
      </c>
      <c r="M289" s="628" t="str">
        <f>IFERROR(__xludf.DUMMYFUNCTION("IF($G289="""","""",IFERROR(query({proventos!$B$5:$Q310},""Select sum(Col16) where Col1 = '""&amp;$G289&amp;""' and Col2 &gt; date '""&amp;TEXT(N$8,""yyyy-mm-dd"")&amp;""' and Col2 &lt;= date '""&amp;TEXT(M$8,""yyyy-mm-dd"")&amp;""' label sum(Col16) ''"",0)))"),"")</f>
        <v/>
      </c>
      <c r="N289" s="628" t="str">
        <f>IFERROR(__xludf.DUMMYFUNCTION("IF($G289="""","""",IFERROR(query({proventos!$B$5:$Q310},""Select sum(Col16) where Col1 = '""&amp;$G289&amp;""' and Col2 &gt; date '""&amp;TEXT(O$8,""yyyy-mm-dd"")&amp;""' and Col2 &lt;= date '""&amp;TEXT(N$8,""yyyy-mm-dd"")&amp;""' label sum(Col16) ''"",0)))"),"")</f>
        <v/>
      </c>
      <c r="O289" s="628" t="str">
        <f>IFERROR(__xludf.DUMMYFUNCTION("IF($G289="""","""",IFERROR(query({proventos!$B$5:$Q310},""Select sum(Col16) where Col1 = '""&amp;$G289&amp;""' and Col2 &gt; date '""&amp;TEXT(P$8,""yyyy-mm-dd"")&amp;""' and Col2 &lt;= date '""&amp;TEXT(O$8,""yyyy-mm-dd"")&amp;""' label sum(Col16) ''"",0)))"),"")</f>
        <v/>
      </c>
      <c r="P289" s="628" t="str">
        <f>IFERROR(__xludf.DUMMYFUNCTION("IF($G289="""","""",IFERROR(query({proventos!$B$5:$Q310},""Select sum(Col16) where Col1 = '""&amp;$G289&amp;""' and Col2 &gt; date '""&amp;TEXT(Q$8,""yyyy-mm-dd"")&amp;""' and Col2 &lt;= date '""&amp;TEXT(P$8,""yyyy-mm-dd"")&amp;""' label sum(Col16) ''"",0)))"),"")</f>
        <v/>
      </c>
      <c r="Q289" s="628" t="str">
        <f>IFERROR(__xludf.DUMMYFUNCTION("IF($G289="""","""",IFERROR(query({proventos!$B$5:$Q310},""Select sum(Col16) where Col1 = '""&amp;$G289&amp;""' and Col2 &gt; date '""&amp;TEXT(R$8,""yyyy-mm-dd"")&amp;""' and Col2 &lt;= date '""&amp;TEXT(Q$8,""yyyy-mm-dd"")&amp;""' label sum(Col16) ''"",0)))"),"")</f>
        <v/>
      </c>
      <c r="R289" s="628" t="str">
        <f>IFERROR(__xludf.DUMMYFUNCTION("IF($G289="""","""",IFERROR(query({proventos!$B$5:$Q310},""Select sum(Col16) where Col1 = '""&amp;$G289&amp;""' and Col2 &gt; date '""&amp;TEXT(S$8,""yyyy-mm-dd"")&amp;""' and Col2 &lt;= date '""&amp;TEXT(R$8,""yyyy-mm-dd"")&amp;""' label sum(Col16) ''"",0)))"),"")</f>
        <v/>
      </c>
      <c r="S289" s="628" t="str">
        <f>IFERROR(__xludf.DUMMYFUNCTION("IF($G289="""","""",IFERROR(query({proventos!$B$5:$Q310},""Select sum(Col16) where Col1 = '""&amp;$G289&amp;""' and Col2 &gt; date '""&amp;TEXT(T$8,""yyyy-mm-dd"")&amp;""' and Col2 &lt;= date '""&amp;TEXT(S$8,""yyyy-mm-dd"")&amp;""' label sum(Col16) ''"",0)))"),"")</f>
        <v/>
      </c>
      <c r="T289" s="628" t="str">
        <f>IFERROR(__xludf.DUMMYFUNCTION("IF($G289="""","""",IFERROR(query({proventos!$B$5:$Q310},""Select sum(Col16) where Col1 = '""&amp;$G289&amp;""' and Col2 &gt; date '""&amp;TEXT(U$8,""yyyy-mm-dd"")&amp;""' and Col2 &lt;= date '""&amp;TEXT(T$8,""yyyy-mm-dd"")&amp;""' label sum(Col16) ''"",0)))"),"")</f>
        <v/>
      </c>
      <c r="U289" s="629" t="str">
        <f>IFERROR(__xludf.DUMMYFUNCTION("IF($G289="""","""",IFERROR(query({proventos!$B$5:$Q310},""Select sum(Col16) where Col1 = '""&amp;$G289&amp;""' and Col2 &gt; date '""&amp;TEXT(EOMONTH(TODAY(),-13),""yyyy-mm-dd"")&amp;""' and Col2 &lt;= date '""&amp;TEXT(U$8,""yyyy-mm-dd"")&amp;""' label sum(Col16) ''"",0)))"),"")</f>
        <v/>
      </c>
      <c r="V289" s="630" t="str">
        <f>IFERROR(__xludf.DUMMYFUNCTION("IF($G289="""","""",IFERROR(query({proventos!$B$5:$Q310},""Select sum(Col16) where Col1 = '""&amp;$G289&amp;""' and Col2 &gt; date '""&amp;TEXT(DATE(V$8,1,1),""yyyy-mm-dd"")&amp;""' and Col2 &lt;= date '""&amp;TEXT(DATE(V$8,12,31),""yyyy-mm-dd"")&amp;""' label sum(Col16) ''"",0)))"),"")</f>
        <v/>
      </c>
      <c r="W289" s="630" t="str">
        <f>IFERROR(__xludf.DUMMYFUNCTION("IF($G289="""","""",IFERROR(query({proventos!$B$5:$Q310},""Select sum(Col16) where Col1 = '""&amp;$G289&amp;""' and Col2 &gt; date '""&amp;TEXT(DATE(W$8,1,1),""yyyy-mm-dd"")&amp;""' and Col2 &lt;= date '""&amp;TEXT(DATE(W$8,12,31),""yyyy-mm-dd"")&amp;""' label sum(Col16) ''"",0)))"),"")</f>
        <v/>
      </c>
      <c r="X289" s="630" t="str">
        <f>IFERROR(__xludf.DUMMYFUNCTION("IF($G289="""","""",IFERROR(query({proventos!$B$5:$Q310},""Select sum(Col16) where Col1 = '""&amp;$G289&amp;""' and Col2 &gt; date '""&amp;TEXT(DATE(X$8,1,1),""yyyy-mm-dd"")&amp;""' and Col2 &lt;= date '""&amp;TEXT(DATE(X$8,12,31),""yyyy-mm-dd"")&amp;""' label sum(Col16) ''"",0)))"),"")</f>
        <v/>
      </c>
      <c r="Y289" s="630" t="str">
        <f>IFERROR(__xludf.DUMMYFUNCTION("IF($G289="""","""",IFERROR(query({proventos!$B$5:$Q310},""Select sum(Col16) where Col1 = '""&amp;$G289&amp;""' and Col2 &gt; date '""&amp;TEXT(DATE(Y$8,1,1),""yyyy-mm-dd"")&amp;""' and Col2 &lt;= date '""&amp;TEXT(DATE(Y$8,12,31),""yyyy-mm-dd"")&amp;""' label sum(Col16) ''"",0)))"),"")</f>
        <v/>
      </c>
      <c r="Z289" s="630" t="str">
        <f>IFERROR(__xludf.DUMMYFUNCTION("IF($G289="""","""",IFERROR(query({proventos!$B$5:$Q310},""Select sum(Col16) where Col1 = '""&amp;$G289&amp;""' and Col2 &gt; date '""&amp;TEXT(DATE(Z$8,1,1),""yyyy-mm-dd"")&amp;""' and Col2 &lt;= date '""&amp;TEXT(DATE(Z$8,12,31),""yyyy-mm-dd"")&amp;""' label sum(Col16) ''"",0)))"),"")</f>
        <v/>
      </c>
      <c r="AA289" s="587"/>
      <c r="AB289" s="578" t="s">
        <v>123</v>
      </c>
      <c r="AC289" s="601"/>
      <c r="AD289" s="638"/>
      <c r="AE289" s="638"/>
    </row>
    <row r="290">
      <c r="A290" s="576"/>
      <c r="B290" s="620"/>
      <c r="C290" s="637"/>
      <c r="D290" s="633"/>
      <c r="E290" s="633"/>
      <c r="F290" s="624">
        <v>280.0</v>
      </c>
      <c r="G290" s="635"/>
      <c r="H290" s="626" t="str">
        <f>if(G290="","",IFERROR(VLOOKUP(G290,AtivosDados,MATCH("provento_avg",portfolio.!$A$3:AE$3,0),FALSE),""))</f>
        <v/>
      </c>
      <c r="I290" s="627" t="s">
        <v>123</v>
      </c>
      <c r="J290" s="628" t="str">
        <f>IFERROR(__xludf.DUMMYFUNCTION("IF($G290="""","""",IFERROR(query({proventos!$B$5:$Q310},""Select sum(Col16) where Col1 = '""&amp;$G290&amp;""' and Col2 &gt; date '""&amp;TEXT(K$8,""yyyy-mm-dd"")&amp;""' and Col2 &lt;= date '""&amp;TEXT(J$8,""yyyy-mm-dd"")&amp;""' label sum(Col16) ''"",0)))"),"")</f>
        <v/>
      </c>
      <c r="K290" s="628" t="str">
        <f>IFERROR(__xludf.DUMMYFUNCTION("IF($G290="""","""",IFERROR(query({proventos!$B$5:$Q310},""Select sum(Col16) where Col1 = '""&amp;$G290&amp;""' and Col2 &gt; date '""&amp;TEXT(L$8,""yyyy-mm-dd"")&amp;""' and Col2 &lt;= date '""&amp;TEXT(K$8,""yyyy-mm-dd"")&amp;""' label sum(Col16) ''"",0)))"),"")</f>
        <v/>
      </c>
      <c r="L290" s="628" t="str">
        <f>IFERROR(__xludf.DUMMYFUNCTION("IF($G290="""","""",IFERROR(query({proventos!$B$5:$Q310},""Select sum(Col16) where Col1 = '""&amp;$G290&amp;""' and Col2 &gt; date '""&amp;TEXT(M$8,""yyyy-mm-dd"")&amp;""' and Col2 &lt;= date '""&amp;TEXT(L$8,""yyyy-mm-dd"")&amp;""' label sum(Col16) ''"",0)))"),"")</f>
        <v/>
      </c>
      <c r="M290" s="628" t="str">
        <f>IFERROR(__xludf.DUMMYFUNCTION("IF($G290="""","""",IFERROR(query({proventos!$B$5:$Q310},""Select sum(Col16) where Col1 = '""&amp;$G290&amp;""' and Col2 &gt; date '""&amp;TEXT(N$8,""yyyy-mm-dd"")&amp;""' and Col2 &lt;= date '""&amp;TEXT(M$8,""yyyy-mm-dd"")&amp;""' label sum(Col16) ''"",0)))"),"")</f>
        <v/>
      </c>
      <c r="N290" s="628" t="str">
        <f>IFERROR(__xludf.DUMMYFUNCTION("IF($G290="""","""",IFERROR(query({proventos!$B$5:$Q310},""Select sum(Col16) where Col1 = '""&amp;$G290&amp;""' and Col2 &gt; date '""&amp;TEXT(O$8,""yyyy-mm-dd"")&amp;""' and Col2 &lt;= date '""&amp;TEXT(N$8,""yyyy-mm-dd"")&amp;""' label sum(Col16) ''"",0)))"),"")</f>
        <v/>
      </c>
      <c r="O290" s="628" t="str">
        <f>IFERROR(__xludf.DUMMYFUNCTION("IF($G290="""","""",IFERROR(query({proventos!$B$5:$Q310},""Select sum(Col16) where Col1 = '""&amp;$G290&amp;""' and Col2 &gt; date '""&amp;TEXT(P$8,""yyyy-mm-dd"")&amp;""' and Col2 &lt;= date '""&amp;TEXT(O$8,""yyyy-mm-dd"")&amp;""' label sum(Col16) ''"",0)))"),"")</f>
        <v/>
      </c>
      <c r="P290" s="628" t="str">
        <f>IFERROR(__xludf.DUMMYFUNCTION("IF($G290="""","""",IFERROR(query({proventos!$B$5:$Q310},""Select sum(Col16) where Col1 = '""&amp;$G290&amp;""' and Col2 &gt; date '""&amp;TEXT(Q$8,""yyyy-mm-dd"")&amp;""' and Col2 &lt;= date '""&amp;TEXT(P$8,""yyyy-mm-dd"")&amp;""' label sum(Col16) ''"",0)))"),"")</f>
        <v/>
      </c>
      <c r="Q290" s="628" t="str">
        <f>IFERROR(__xludf.DUMMYFUNCTION("IF($G290="""","""",IFERROR(query({proventos!$B$5:$Q310},""Select sum(Col16) where Col1 = '""&amp;$G290&amp;""' and Col2 &gt; date '""&amp;TEXT(R$8,""yyyy-mm-dd"")&amp;""' and Col2 &lt;= date '""&amp;TEXT(Q$8,""yyyy-mm-dd"")&amp;""' label sum(Col16) ''"",0)))"),"")</f>
        <v/>
      </c>
      <c r="R290" s="628" t="str">
        <f>IFERROR(__xludf.DUMMYFUNCTION("IF($G290="""","""",IFERROR(query({proventos!$B$5:$Q310},""Select sum(Col16) where Col1 = '""&amp;$G290&amp;""' and Col2 &gt; date '""&amp;TEXT(S$8,""yyyy-mm-dd"")&amp;""' and Col2 &lt;= date '""&amp;TEXT(R$8,""yyyy-mm-dd"")&amp;""' label sum(Col16) ''"",0)))"),"")</f>
        <v/>
      </c>
      <c r="S290" s="628" t="str">
        <f>IFERROR(__xludf.DUMMYFUNCTION("IF($G290="""","""",IFERROR(query({proventos!$B$5:$Q310},""Select sum(Col16) where Col1 = '""&amp;$G290&amp;""' and Col2 &gt; date '""&amp;TEXT(T$8,""yyyy-mm-dd"")&amp;""' and Col2 &lt;= date '""&amp;TEXT(S$8,""yyyy-mm-dd"")&amp;""' label sum(Col16) ''"",0)))"),"")</f>
        <v/>
      </c>
      <c r="T290" s="628" t="str">
        <f>IFERROR(__xludf.DUMMYFUNCTION("IF($G290="""","""",IFERROR(query({proventos!$B$5:$Q310},""Select sum(Col16) where Col1 = '""&amp;$G290&amp;""' and Col2 &gt; date '""&amp;TEXT(U$8,""yyyy-mm-dd"")&amp;""' and Col2 &lt;= date '""&amp;TEXT(T$8,""yyyy-mm-dd"")&amp;""' label sum(Col16) ''"",0)))"),"")</f>
        <v/>
      </c>
      <c r="U290" s="629" t="str">
        <f>IFERROR(__xludf.DUMMYFUNCTION("IF($G290="""","""",IFERROR(query({proventos!$B$5:$Q310},""Select sum(Col16) where Col1 = '""&amp;$G290&amp;""' and Col2 &gt; date '""&amp;TEXT(EOMONTH(TODAY(),-13),""yyyy-mm-dd"")&amp;""' and Col2 &lt;= date '""&amp;TEXT(U$8,""yyyy-mm-dd"")&amp;""' label sum(Col16) ''"",0)))"),"")</f>
        <v/>
      </c>
      <c r="V290" s="630" t="str">
        <f>IFERROR(__xludf.DUMMYFUNCTION("IF($G290="""","""",IFERROR(query({proventos!$B$5:$Q310},""Select sum(Col16) where Col1 = '""&amp;$G290&amp;""' and Col2 &gt; date '""&amp;TEXT(DATE(V$8,1,1),""yyyy-mm-dd"")&amp;""' and Col2 &lt;= date '""&amp;TEXT(DATE(V$8,12,31),""yyyy-mm-dd"")&amp;""' label sum(Col16) ''"",0)))"),"")</f>
        <v/>
      </c>
      <c r="W290" s="630" t="str">
        <f>IFERROR(__xludf.DUMMYFUNCTION("IF($G290="""","""",IFERROR(query({proventos!$B$5:$Q310},""Select sum(Col16) where Col1 = '""&amp;$G290&amp;""' and Col2 &gt; date '""&amp;TEXT(DATE(W$8,1,1),""yyyy-mm-dd"")&amp;""' and Col2 &lt;= date '""&amp;TEXT(DATE(W$8,12,31),""yyyy-mm-dd"")&amp;""' label sum(Col16) ''"",0)))"),"")</f>
        <v/>
      </c>
      <c r="X290" s="630" t="str">
        <f>IFERROR(__xludf.DUMMYFUNCTION("IF($G290="""","""",IFERROR(query({proventos!$B$5:$Q310},""Select sum(Col16) where Col1 = '""&amp;$G290&amp;""' and Col2 &gt; date '""&amp;TEXT(DATE(X$8,1,1),""yyyy-mm-dd"")&amp;""' and Col2 &lt;= date '""&amp;TEXT(DATE(X$8,12,31),""yyyy-mm-dd"")&amp;""' label sum(Col16) ''"",0)))"),"")</f>
        <v/>
      </c>
      <c r="Y290" s="630" t="str">
        <f>IFERROR(__xludf.DUMMYFUNCTION("IF($G290="""","""",IFERROR(query({proventos!$B$5:$Q310},""Select sum(Col16) where Col1 = '""&amp;$G290&amp;""' and Col2 &gt; date '""&amp;TEXT(DATE(Y$8,1,1),""yyyy-mm-dd"")&amp;""' and Col2 &lt;= date '""&amp;TEXT(DATE(Y$8,12,31),""yyyy-mm-dd"")&amp;""' label sum(Col16) ''"",0)))"),"")</f>
        <v/>
      </c>
      <c r="Z290" s="630" t="str">
        <f>IFERROR(__xludf.DUMMYFUNCTION("IF($G290="""","""",IFERROR(query({proventos!$B$5:$Q310},""Select sum(Col16) where Col1 = '""&amp;$G290&amp;""' and Col2 &gt; date '""&amp;TEXT(DATE(Z$8,1,1),""yyyy-mm-dd"")&amp;""' and Col2 &lt;= date '""&amp;TEXT(DATE(Z$8,12,31),""yyyy-mm-dd"")&amp;""' label sum(Col16) ''"",0)))"),"")</f>
        <v/>
      </c>
      <c r="AA290" s="587"/>
      <c r="AB290" s="578" t="s">
        <v>123</v>
      </c>
      <c r="AC290" s="601"/>
      <c r="AD290" s="638"/>
      <c r="AE290" s="638"/>
    </row>
    <row r="291">
      <c r="A291" s="576"/>
      <c r="B291" s="620"/>
      <c r="C291" s="637"/>
      <c r="D291" s="633"/>
      <c r="E291" s="633"/>
      <c r="F291" s="624">
        <v>281.0</v>
      </c>
      <c r="G291" s="635"/>
      <c r="H291" s="626" t="str">
        <f>if(G291="","",IFERROR(VLOOKUP(G291,AtivosDados,MATCH("provento_avg",portfolio.!$A$3:AE$3,0),FALSE),""))</f>
        <v/>
      </c>
      <c r="I291" s="627" t="s">
        <v>123</v>
      </c>
      <c r="J291" s="628" t="str">
        <f>IFERROR(__xludf.DUMMYFUNCTION("IF($G291="""","""",IFERROR(query({proventos!$B$5:$Q310},""Select sum(Col16) where Col1 = '""&amp;$G291&amp;""' and Col2 &gt; date '""&amp;TEXT(K$8,""yyyy-mm-dd"")&amp;""' and Col2 &lt;= date '""&amp;TEXT(J$8,""yyyy-mm-dd"")&amp;""' label sum(Col16) ''"",0)))"),"")</f>
        <v/>
      </c>
      <c r="K291" s="628" t="str">
        <f>IFERROR(__xludf.DUMMYFUNCTION("IF($G291="""","""",IFERROR(query({proventos!$B$5:$Q310},""Select sum(Col16) where Col1 = '""&amp;$G291&amp;""' and Col2 &gt; date '""&amp;TEXT(L$8,""yyyy-mm-dd"")&amp;""' and Col2 &lt;= date '""&amp;TEXT(K$8,""yyyy-mm-dd"")&amp;""' label sum(Col16) ''"",0)))"),"")</f>
        <v/>
      </c>
      <c r="L291" s="628" t="str">
        <f>IFERROR(__xludf.DUMMYFUNCTION("IF($G291="""","""",IFERROR(query({proventos!$B$5:$Q310},""Select sum(Col16) where Col1 = '""&amp;$G291&amp;""' and Col2 &gt; date '""&amp;TEXT(M$8,""yyyy-mm-dd"")&amp;""' and Col2 &lt;= date '""&amp;TEXT(L$8,""yyyy-mm-dd"")&amp;""' label sum(Col16) ''"",0)))"),"")</f>
        <v/>
      </c>
      <c r="M291" s="628" t="str">
        <f>IFERROR(__xludf.DUMMYFUNCTION("IF($G291="""","""",IFERROR(query({proventos!$B$5:$Q310},""Select sum(Col16) where Col1 = '""&amp;$G291&amp;""' and Col2 &gt; date '""&amp;TEXT(N$8,""yyyy-mm-dd"")&amp;""' and Col2 &lt;= date '""&amp;TEXT(M$8,""yyyy-mm-dd"")&amp;""' label sum(Col16) ''"",0)))"),"")</f>
        <v/>
      </c>
      <c r="N291" s="628" t="str">
        <f>IFERROR(__xludf.DUMMYFUNCTION("IF($G291="""","""",IFERROR(query({proventos!$B$5:$Q310},""Select sum(Col16) where Col1 = '""&amp;$G291&amp;""' and Col2 &gt; date '""&amp;TEXT(O$8,""yyyy-mm-dd"")&amp;""' and Col2 &lt;= date '""&amp;TEXT(N$8,""yyyy-mm-dd"")&amp;""' label sum(Col16) ''"",0)))"),"")</f>
        <v/>
      </c>
      <c r="O291" s="628" t="str">
        <f>IFERROR(__xludf.DUMMYFUNCTION("IF($G291="""","""",IFERROR(query({proventos!$B$5:$Q310},""Select sum(Col16) where Col1 = '""&amp;$G291&amp;""' and Col2 &gt; date '""&amp;TEXT(P$8,""yyyy-mm-dd"")&amp;""' and Col2 &lt;= date '""&amp;TEXT(O$8,""yyyy-mm-dd"")&amp;""' label sum(Col16) ''"",0)))"),"")</f>
        <v/>
      </c>
      <c r="P291" s="628" t="str">
        <f>IFERROR(__xludf.DUMMYFUNCTION("IF($G291="""","""",IFERROR(query({proventos!$B$5:$Q310},""Select sum(Col16) where Col1 = '""&amp;$G291&amp;""' and Col2 &gt; date '""&amp;TEXT(Q$8,""yyyy-mm-dd"")&amp;""' and Col2 &lt;= date '""&amp;TEXT(P$8,""yyyy-mm-dd"")&amp;""' label sum(Col16) ''"",0)))"),"")</f>
        <v/>
      </c>
      <c r="Q291" s="628" t="str">
        <f>IFERROR(__xludf.DUMMYFUNCTION("IF($G291="""","""",IFERROR(query({proventos!$B$5:$Q310},""Select sum(Col16) where Col1 = '""&amp;$G291&amp;""' and Col2 &gt; date '""&amp;TEXT(R$8,""yyyy-mm-dd"")&amp;""' and Col2 &lt;= date '""&amp;TEXT(Q$8,""yyyy-mm-dd"")&amp;""' label sum(Col16) ''"",0)))"),"")</f>
        <v/>
      </c>
      <c r="R291" s="628" t="str">
        <f>IFERROR(__xludf.DUMMYFUNCTION("IF($G291="""","""",IFERROR(query({proventos!$B$5:$Q310},""Select sum(Col16) where Col1 = '""&amp;$G291&amp;""' and Col2 &gt; date '""&amp;TEXT(S$8,""yyyy-mm-dd"")&amp;""' and Col2 &lt;= date '""&amp;TEXT(R$8,""yyyy-mm-dd"")&amp;""' label sum(Col16) ''"",0)))"),"")</f>
        <v/>
      </c>
      <c r="S291" s="628" t="str">
        <f>IFERROR(__xludf.DUMMYFUNCTION("IF($G291="""","""",IFERROR(query({proventos!$B$5:$Q310},""Select sum(Col16) where Col1 = '""&amp;$G291&amp;""' and Col2 &gt; date '""&amp;TEXT(T$8,""yyyy-mm-dd"")&amp;""' and Col2 &lt;= date '""&amp;TEXT(S$8,""yyyy-mm-dd"")&amp;""' label sum(Col16) ''"",0)))"),"")</f>
        <v/>
      </c>
      <c r="T291" s="628" t="str">
        <f>IFERROR(__xludf.DUMMYFUNCTION("IF($G291="""","""",IFERROR(query({proventos!$B$5:$Q310},""Select sum(Col16) where Col1 = '""&amp;$G291&amp;""' and Col2 &gt; date '""&amp;TEXT(U$8,""yyyy-mm-dd"")&amp;""' and Col2 &lt;= date '""&amp;TEXT(T$8,""yyyy-mm-dd"")&amp;""' label sum(Col16) ''"",0)))"),"")</f>
        <v/>
      </c>
      <c r="U291" s="629" t="str">
        <f>IFERROR(__xludf.DUMMYFUNCTION("IF($G291="""","""",IFERROR(query({proventos!$B$5:$Q310},""Select sum(Col16) where Col1 = '""&amp;$G291&amp;""' and Col2 &gt; date '""&amp;TEXT(EOMONTH(TODAY(),-13),""yyyy-mm-dd"")&amp;""' and Col2 &lt;= date '""&amp;TEXT(U$8,""yyyy-mm-dd"")&amp;""' label sum(Col16) ''"",0)))"),"")</f>
        <v/>
      </c>
      <c r="V291" s="630" t="str">
        <f>IFERROR(__xludf.DUMMYFUNCTION("IF($G291="""","""",IFERROR(query({proventos!$B$5:$Q310},""Select sum(Col16) where Col1 = '""&amp;$G291&amp;""' and Col2 &gt; date '""&amp;TEXT(DATE(V$8,1,1),""yyyy-mm-dd"")&amp;""' and Col2 &lt;= date '""&amp;TEXT(DATE(V$8,12,31),""yyyy-mm-dd"")&amp;""' label sum(Col16) ''"",0)))"),"")</f>
        <v/>
      </c>
      <c r="W291" s="630" t="str">
        <f>IFERROR(__xludf.DUMMYFUNCTION("IF($G291="""","""",IFERROR(query({proventos!$B$5:$Q310},""Select sum(Col16) where Col1 = '""&amp;$G291&amp;""' and Col2 &gt; date '""&amp;TEXT(DATE(W$8,1,1),""yyyy-mm-dd"")&amp;""' and Col2 &lt;= date '""&amp;TEXT(DATE(W$8,12,31),""yyyy-mm-dd"")&amp;""' label sum(Col16) ''"",0)))"),"")</f>
        <v/>
      </c>
      <c r="X291" s="630" t="str">
        <f>IFERROR(__xludf.DUMMYFUNCTION("IF($G291="""","""",IFERROR(query({proventos!$B$5:$Q310},""Select sum(Col16) where Col1 = '""&amp;$G291&amp;""' and Col2 &gt; date '""&amp;TEXT(DATE(X$8,1,1),""yyyy-mm-dd"")&amp;""' and Col2 &lt;= date '""&amp;TEXT(DATE(X$8,12,31),""yyyy-mm-dd"")&amp;""' label sum(Col16) ''"",0)))"),"")</f>
        <v/>
      </c>
      <c r="Y291" s="630" t="str">
        <f>IFERROR(__xludf.DUMMYFUNCTION("IF($G291="""","""",IFERROR(query({proventos!$B$5:$Q310},""Select sum(Col16) where Col1 = '""&amp;$G291&amp;""' and Col2 &gt; date '""&amp;TEXT(DATE(Y$8,1,1),""yyyy-mm-dd"")&amp;""' and Col2 &lt;= date '""&amp;TEXT(DATE(Y$8,12,31),""yyyy-mm-dd"")&amp;""' label sum(Col16) ''"",0)))"),"")</f>
        <v/>
      </c>
      <c r="Z291" s="630" t="str">
        <f>IFERROR(__xludf.DUMMYFUNCTION("IF($G291="""","""",IFERROR(query({proventos!$B$5:$Q310},""Select sum(Col16) where Col1 = '""&amp;$G291&amp;""' and Col2 &gt; date '""&amp;TEXT(DATE(Z$8,1,1),""yyyy-mm-dd"")&amp;""' and Col2 &lt;= date '""&amp;TEXT(DATE(Z$8,12,31),""yyyy-mm-dd"")&amp;""' label sum(Col16) ''"",0)))"),"")</f>
        <v/>
      </c>
      <c r="AA291" s="587"/>
      <c r="AB291" s="578" t="s">
        <v>123</v>
      </c>
      <c r="AC291" s="601"/>
      <c r="AD291" s="638"/>
      <c r="AE291" s="638"/>
    </row>
    <row r="292">
      <c r="A292" s="576"/>
      <c r="B292" s="620"/>
      <c r="C292" s="637"/>
      <c r="D292" s="633"/>
      <c r="E292" s="633"/>
      <c r="F292" s="624">
        <v>282.0</v>
      </c>
      <c r="G292" s="635"/>
      <c r="H292" s="626" t="str">
        <f>if(G292="","",IFERROR(VLOOKUP(G292,AtivosDados,MATCH("provento_avg",portfolio.!$A$3:AE$3,0),FALSE),""))</f>
        <v/>
      </c>
      <c r="I292" s="627" t="s">
        <v>123</v>
      </c>
      <c r="J292" s="628" t="str">
        <f>IFERROR(__xludf.DUMMYFUNCTION("IF($G292="""","""",IFERROR(query({proventos!$B$5:$Q310},""Select sum(Col16) where Col1 = '""&amp;$G292&amp;""' and Col2 &gt; date '""&amp;TEXT(K$8,""yyyy-mm-dd"")&amp;""' and Col2 &lt;= date '""&amp;TEXT(J$8,""yyyy-mm-dd"")&amp;""' label sum(Col16) ''"",0)))"),"")</f>
        <v/>
      </c>
      <c r="K292" s="628" t="str">
        <f>IFERROR(__xludf.DUMMYFUNCTION("IF($G292="""","""",IFERROR(query({proventos!$B$5:$Q310},""Select sum(Col16) where Col1 = '""&amp;$G292&amp;""' and Col2 &gt; date '""&amp;TEXT(L$8,""yyyy-mm-dd"")&amp;""' and Col2 &lt;= date '""&amp;TEXT(K$8,""yyyy-mm-dd"")&amp;""' label sum(Col16) ''"",0)))"),"")</f>
        <v/>
      </c>
      <c r="L292" s="628" t="str">
        <f>IFERROR(__xludf.DUMMYFUNCTION("IF($G292="""","""",IFERROR(query({proventos!$B$5:$Q310},""Select sum(Col16) where Col1 = '""&amp;$G292&amp;""' and Col2 &gt; date '""&amp;TEXT(M$8,""yyyy-mm-dd"")&amp;""' and Col2 &lt;= date '""&amp;TEXT(L$8,""yyyy-mm-dd"")&amp;""' label sum(Col16) ''"",0)))"),"")</f>
        <v/>
      </c>
      <c r="M292" s="628" t="str">
        <f>IFERROR(__xludf.DUMMYFUNCTION("IF($G292="""","""",IFERROR(query({proventos!$B$5:$Q310},""Select sum(Col16) where Col1 = '""&amp;$G292&amp;""' and Col2 &gt; date '""&amp;TEXT(N$8,""yyyy-mm-dd"")&amp;""' and Col2 &lt;= date '""&amp;TEXT(M$8,""yyyy-mm-dd"")&amp;""' label sum(Col16) ''"",0)))"),"")</f>
        <v/>
      </c>
      <c r="N292" s="628" t="str">
        <f>IFERROR(__xludf.DUMMYFUNCTION("IF($G292="""","""",IFERROR(query({proventos!$B$5:$Q310},""Select sum(Col16) where Col1 = '""&amp;$G292&amp;""' and Col2 &gt; date '""&amp;TEXT(O$8,""yyyy-mm-dd"")&amp;""' and Col2 &lt;= date '""&amp;TEXT(N$8,""yyyy-mm-dd"")&amp;""' label sum(Col16) ''"",0)))"),"")</f>
        <v/>
      </c>
      <c r="O292" s="628" t="str">
        <f>IFERROR(__xludf.DUMMYFUNCTION("IF($G292="""","""",IFERROR(query({proventos!$B$5:$Q310},""Select sum(Col16) where Col1 = '""&amp;$G292&amp;""' and Col2 &gt; date '""&amp;TEXT(P$8,""yyyy-mm-dd"")&amp;""' and Col2 &lt;= date '""&amp;TEXT(O$8,""yyyy-mm-dd"")&amp;""' label sum(Col16) ''"",0)))"),"")</f>
        <v/>
      </c>
      <c r="P292" s="628" t="str">
        <f>IFERROR(__xludf.DUMMYFUNCTION("IF($G292="""","""",IFERROR(query({proventos!$B$5:$Q310},""Select sum(Col16) where Col1 = '""&amp;$G292&amp;""' and Col2 &gt; date '""&amp;TEXT(Q$8,""yyyy-mm-dd"")&amp;""' and Col2 &lt;= date '""&amp;TEXT(P$8,""yyyy-mm-dd"")&amp;""' label sum(Col16) ''"",0)))"),"")</f>
        <v/>
      </c>
      <c r="Q292" s="628" t="str">
        <f>IFERROR(__xludf.DUMMYFUNCTION("IF($G292="""","""",IFERROR(query({proventos!$B$5:$Q310},""Select sum(Col16) where Col1 = '""&amp;$G292&amp;""' and Col2 &gt; date '""&amp;TEXT(R$8,""yyyy-mm-dd"")&amp;""' and Col2 &lt;= date '""&amp;TEXT(Q$8,""yyyy-mm-dd"")&amp;""' label sum(Col16) ''"",0)))"),"")</f>
        <v/>
      </c>
      <c r="R292" s="628" t="str">
        <f>IFERROR(__xludf.DUMMYFUNCTION("IF($G292="""","""",IFERROR(query({proventos!$B$5:$Q310},""Select sum(Col16) where Col1 = '""&amp;$G292&amp;""' and Col2 &gt; date '""&amp;TEXT(S$8,""yyyy-mm-dd"")&amp;""' and Col2 &lt;= date '""&amp;TEXT(R$8,""yyyy-mm-dd"")&amp;""' label sum(Col16) ''"",0)))"),"")</f>
        <v/>
      </c>
      <c r="S292" s="628" t="str">
        <f>IFERROR(__xludf.DUMMYFUNCTION("IF($G292="""","""",IFERROR(query({proventos!$B$5:$Q310},""Select sum(Col16) where Col1 = '""&amp;$G292&amp;""' and Col2 &gt; date '""&amp;TEXT(T$8,""yyyy-mm-dd"")&amp;""' and Col2 &lt;= date '""&amp;TEXT(S$8,""yyyy-mm-dd"")&amp;""' label sum(Col16) ''"",0)))"),"")</f>
        <v/>
      </c>
      <c r="T292" s="628" t="str">
        <f>IFERROR(__xludf.DUMMYFUNCTION("IF($G292="""","""",IFERROR(query({proventos!$B$5:$Q310},""Select sum(Col16) where Col1 = '""&amp;$G292&amp;""' and Col2 &gt; date '""&amp;TEXT(U$8,""yyyy-mm-dd"")&amp;""' and Col2 &lt;= date '""&amp;TEXT(T$8,""yyyy-mm-dd"")&amp;""' label sum(Col16) ''"",0)))"),"")</f>
        <v/>
      </c>
      <c r="U292" s="629" t="str">
        <f>IFERROR(__xludf.DUMMYFUNCTION("IF($G292="""","""",IFERROR(query({proventos!$B$5:$Q310},""Select sum(Col16) where Col1 = '""&amp;$G292&amp;""' and Col2 &gt; date '""&amp;TEXT(EOMONTH(TODAY(),-13),""yyyy-mm-dd"")&amp;""' and Col2 &lt;= date '""&amp;TEXT(U$8,""yyyy-mm-dd"")&amp;""' label sum(Col16) ''"",0)))"),"")</f>
        <v/>
      </c>
      <c r="V292" s="630" t="str">
        <f>IFERROR(__xludf.DUMMYFUNCTION("IF($G292="""","""",IFERROR(query({proventos!$B$5:$Q310},""Select sum(Col16) where Col1 = '""&amp;$G292&amp;""' and Col2 &gt; date '""&amp;TEXT(DATE(V$8,1,1),""yyyy-mm-dd"")&amp;""' and Col2 &lt;= date '""&amp;TEXT(DATE(V$8,12,31),""yyyy-mm-dd"")&amp;""' label sum(Col16) ''"",0)))"),"")</f>
        <v/>
      </c>
      <c r="W292" s="630" t="str">
        <f>IFERROR(__xludf.DUMMYFUNCTION("IF($G292="""","""",IFERROR(query({proventos!$B$5:$Q310},""Select sum(Col16) where Col1 = '""&amp;$G292&amp;""' and Col2 &gt; date '""&amp;TEXT(DATE(W$8,1,1),""yyyy-mm-dd"")&amp;""' and Col2 &lt;= date '""&amp;TEXT(DATE(W$8,12,31),""yyyy-mm-dd"")&amp;""' label sum(Col16) ''"",0)))"),"")</f>
        <v/>
      </c>
      <c r="X292" s="630" t="str">
        <f>IFERROR(__xludf.DUMMYFUNCTION("IF($G292="""","""",IFERROR(query({proventos!$B$5:$Q310},""Select sum(Col16) where Col1 = '""&amp;$G292&amp;""' and Col2 &gt; date '""&amp;TEXT(DATE(X$8,1,1),""yyyy-mm-dd"")&amp;""' and Col2 &lt;= date '""&amp;TEXT(DATE(X$8,12,31),""yyyy-mm-dd"")&amp;""' label sum(Col16) ''"",0)))"),"")</f>
        <v/>
      </c>
      <c r="Y292" s="630" t="str">
        <f>IFERROR(__xludf.DUMMYFUNCTION("IF($G292="""","""",IFERROR(query({proventos!$B$5:$Q310},""Select sum(Col16) where Col1 = '""&amp;$G292&amp;""' and Col2 &gt; date '""&amp;TEXT(DATE(Y$8,1,1),""yyyy-mm-dd"")&amp;""' and Col2 &lt;= date '""&amp;TEXT(DATE(Y$8,12,31),""yyyy-mm-dd"")&amp;""' label sum(Col16) ''"",0)))"),"")</f>
        <v/>
      </c>
      <c r="Z292" s="630" t="str">
        <f>IFERROR(__xludf.DUMMYFUNCTION("IF($G292="""","""",IFERROR(query({proventos!$B$5:$Q310},""Select sum(Col16) where Col1 = '""&amp;$G292&amp;""' and Col2 &gt; date '""&amp;TEXT(DATE(Z$8,1,1),""yyyy-mm-dd"")&amp;""' and Col2 &lt;= date '""&amp;TEXT(DATE(Z$8,12,31),""yyyy-mm-dd"")&amp;""' label sum(Col16) ''"",0)))"),"")</f>
        <v/>
      </c>
      <c r="AA292" s="587"/>
      <c r="AB292" s="578" t="s">
        <v>123</v>
      </c>
      <c r="AC292" s="601"/>
      <c r="AD292" s="638"/>
      <c r="AE292" s="638"/>
    </row>
    <row r="293">
      <c r="A293" s="576"/>
      <c r="B293" s="620"/>
      <c r="C293" s="637"/>
      <c r="D293" s="633"/>
      <c r="E293" s="633"/>
      <c r="F293" s="624">
        <v>283.0</v>
      </c>
      <c r="G293" s="635"/>
      <c r="H293" s="626" t="str">
        <f>if(G293="","",IFERROR(VLOOKUP(G293,AtivosDados,MATCH("provento_avg",portfolio.!$A$3:AE$3,0),FALSE),""))</f>
        <v/>
      </c>
      <c r="I293" s="627" t="s">
        <v>123</v>
      </c>
      <c r="J293" s="628" t="str">
        <f>IFERROR(__xludf.DUMMYFUNCTION("IF($G293="""","""",IFERROR(query({proventos!$B$5:$Q310},""Select sum(Col16) where Col1 = '""&amp;$G293&amp;""' and Col2 &gt; date '""&amp;TEXT(K$8,""yyyy-mm-dd"")&amp;""' and Col2 &lt;= date '""&amp;TEXT(J$8,""yyyy-mm-dd"")&amp;""' label sum(Col16) ''"",0)))"),"")</f>
        <v/>
      </c>
      <c r="K293" s="628" t="str">
        <f>IFERROR(__xludf.DUMMYFUNCTION("IF($G293="""","""",IFERROR(query({proventos!$B$5:$Q310},""Select sum(Col16) where Col1 = '""&amp;$G293&amp;""' and Col2 &gt; date '""&amp;TEXT(L$8,""yyyy-mm-dd"")&amp;""' and Col2 &lt;= date '""&amp;TEXT(K$8,""yyyy-mm-dd"")&amp;""' label sum(Col16) ''"",0)))"),"")</f>
        <v/>
      </c>
      <c r="L293" s="628" t="str">
        <f>IFERROR(__xludf.DUMMYFUNCTION("IF($G293="""","""",IFERROR(query({proventos!$B$5:$Q310},""Select sum(Col16) where Col1 = '""&amp;$G293&amp;""' and Col2 &gt; date '""&amp;TEXT(M$8,""yyyy-mm-dd"")&amp;""' and Col2 &lt;= date '""&amp;TEXT(L$8,""yyyy-mm-dd"")&amp;""' label sum(Col16) ''"",0)))"),"")</f>
        <v/>
      </c>
      <c r="M293" s="628" t="str">
        <f>IFERROR(__xludf.DUMMYFUNCTION("IF($G293="""","""",IFERROR(query({proventos!$B$5:$Q310},""Select sum(Col16) where Col1 = '""&amp;$G293&amp;""' and Col2 &gt; date '""&amp;TEXT(N$8,""yyyy-mm-dd"")&amp;""' and Col2 &lt;= date '""&amp;TEXT(M$8,""yyyy-mm-dd"")&amp;""' label sum(Col16) ''"",0)))"),"")</f>
        <v/>
      </c>
      <c r="N293" s="628" t="str">
        <f>IFERROR(__xludf.DUMMYFUNCTION("IF($G293="""","""",IFERROR(query({proventos!$B$5:$Q310},""Select sum(Col16) where Col1 = '""&amp;$G293&amp;""' and Col2 &gt; date '""&amp;TEXT(O$8,""yyyy-mm-dd"")&amp;""' and Col2 &lt;= date '""&amp;TEXT(N$8,""yyyy-mm-dd"")&amp;""' label sum(Col16) ''"",0)))"),"")</f>
        <v/>
      </c>
      <c r="O293" s="628" t="str">
        <f>IFERROR(__xludf.DUMMYFUNCTION("IF($G293="""","""",IFERROR(query({proventos!$B$5:$Q310},""Select sum(Col16) where Col1 = '""&amp;$G293&amp;""' and Col2 &gt; date '""&amp;TEXT(P$8,""yyyy-mm-dd"")&amp;""' and Col2 &lt;= date '""&amp;TEXT(O$8,""yyyy-mm-dd"")&amp;""' label sum(Col16) ''"",0)))"),"")</f>
        <v/>
      </c>
      <c r="P293" s="628" t="str">
        <f>IFERROR(__xludf.DUMMYFUNCTION("IF($G293="""","""",IFERROR(query({proventos!$B$5:$Q310},""Select sum(Col16) where Col1 = '""&amp;$G293&amp;""' and Col2 &gt; date '""&amp;TEXT(Q$8,""yyyy-mm-dd"")&amp;""' and Col2 &lt;= date '""&amp;TEXT(P$8,""yyyy-mm-dd"")&amp;""' label sum(Col16) ''"",0)))"),"")</f>
        <v/>
      </c>
      <c r="Q293" s="628" t="str">
        <f>IFERROR(__xludf.DUMMYFUNCTION("IF($G293="""","""",IFERROR(query({proventos!$B$5:$Q310},""Select sum(Col16) where Col1 = '""&amp;$G293&amp;""' and Col2 &gt; date '""&amp;TEXT(R$8,""yyyy-mm-dd"")&amp;""' and Col2 &lt;= date '""&amp;TEXT(Q$8,""yyyy-mm-dd"")&amp;""' label sum(Col16) ''"",0)))"),"")</f>
        <v/>
      </c>
      <c r="R293" s="628" t="str">
        <f>IFERROR(__xludf.DUMMYFUNCTION("IF($G293="""","""",IFERROR(query({proventos!$B$5:$Q310},""Select sum(Col16) where Col1 = '""&amp;$G293&amp;""' and Col2 &gt; date '""&amp;TEXT(S$8,""yyyy-mm-dd"")&amp;""' and Col2 &lt;= date '""&amp;TEXT(R$8,""yyyy-mm-dd"")&amp;""' label sum(Col16) ''"",0)))"),"")</f>
        <v/>
      </c>
      <c r="S293" s="628" t="str">
        <f>IFERROR(__xludf.DUMMYFUNCTION("IF($G293="""","""",IFERROR(query({proventos!$B$5:$Q310},""Select sum(Col16) where Col1 = '""&amp;$G293&amp;""' and Col2 &gt; date '""&amp;TEXT(T$8,""yyyy-mm-dd"")&amp;""' and Col2 &lt;= date '""&amp;TEXT(S$8,""yyyy-mm-dd"")&amp;""' label sum(Col16) ''"",0)))"),"")</f>
        <v/>
      </c>
      <c r="T293" s="628" t="str">
        <f>IFERROR(__xludf.DUMMYFUNCTION("IF($G293="""","""",IFERROR(query({proventos!$B$5:$Q310},""Select sum(Col16) where Col1 = '""&amp;$G293&amp;""' and Col2 &gt; date '""&amp;TEXT(U$8,""yyyy-mm-dd"")&amp;""' and Col2 &lt;= date '""&amp;TEXT(T$8,""yyyy-mm-dd"")&amp;""' label sum(Col16) ''"",0)))"),"")</f>
        <v/>
      </c>
      <c r="U293" s="629" t="str">
        <f>IFERROR(__xludf.DUMMYFUNCTION("IF($G293="""","""",IFERROR(query({proventos!$B$5:$Q310},""Select sum(Col16) where Col1 = '""&amp;$G293&amp;""' and Col2 &gt; date '""&amp;TEXT(EOMONTH(TODAY(),-13),""yyyy-mm-dd"")&amp;""' and Col2 &lt;= date '""&amp;TEXT(U$8,""yyyy-mm-dd"")&amp;""' label sum(Col16) ''"",0)))"),"")</f>
        <v/>
      </c>
      <c r="V293" s="630" t="str">
        <f>IFERROR(__xludf.DUMMYFUNCTION("IF($G293="""","""",IFERROR(query({proventos!$B$5:$Q310},""Select sum(Col16) where Col1 = '""&amp;$G293&amp;""' and Col2 &gt; date '""&amp;TEXT(DATE(V$8,1,1),""yyyy-mm-dd"")&amp;""' and Col2 &lt;= date '""&amp;TEXT(DATE(V$8,12,31),""yyyy-mm-dd"")&amp;""' label sum(Col16) ''"",0)))"),"")</f>
        <v/>
      </c>
      <c r="W293" s="630" t="str">
        <f>IFERROR(__xludf.DUMMYFUNCTION("IF($G293="""","""",IFERROR(query({proventos!$B$5:$Q310},""Select sum(Col16) where Col1 = '""&amp;$G293&amp;""' and Col2 &gt; date '""&amp;TEXT(DATE(W$8,1,1),""yyyy-mm-dd"")&amp;""' and Col2 &lt;= date '""&amp;TEXT(DATE(W$8,12,31),""yyyy-mm-dd"")&amp;""' label sum(Col16) ''"",0)))"),"")</f>
        <v/>
      </c>
      <c r="X293" s="630" t="str">
        <f>IFERROR(__xludf.DUMMYFUNCTION("IF($G293="""","""",IFERROR(query({proventos!$B$5:$Q310},""Select sum(Col16) where Col1 = '""&amp;$G293&amp;""' and Col2 &gt; date '""&amp;TEXT(DATE(X$8,1,1),""yyyy-mm-dd"")&amp;""' and Col2 &lt;= date '""&amp;TEXT(DATE(X$8,12,31),""yyyy-mm-dd"")&amp;""' label sum(Col16) ''"",0)))"),"")</f>
        <v/>
      </c>
      <c r="Y293" s="630" t="str">
        <f>IFERROR(__xludf.DUMMYFUNCTION("IF($G293="""","""",IFERROR(query({proventos!$B$5:$Q310},""Select sum(Col16) where Col1 = '""&amp;$G293&amp;""' and Col2 &gt; date '""&amp;TEXT(DATE(Y$8,1,1),""yyyy-mm-dd"")&amp;""' and Col2 &lt;= date '""&amp;TEXT(DATE(Y$8,12,31),""yyyy-mm-dd"")&amp;""' label sum(Col16) ''"",0)))"),"")</f>
        <v/>
      </c>
      <c r="Z293" s="630" t="str">
        <f>IFERROR(__xludf.DUMMYFUNCTION("IF($G293="""","""",IFERROR(query({proventos!$B$5:$Q310},""Select sum(Col16) where Col1 = '""&amp;$G293&amp;""' and Col2 &gt; date '""&amp;TEXT(DATE(Z$8,1,1),""yyyy-mm-dd"")&amp;""' and Col2 &lt;= date '""&amp;TEXT(DATE(Z$8,12,31),""yyyy-mm-dd"")&amp;""' label sum(Col16) ''"",0)))"),"")</f>
        <v/>
      </c>
      <c r="AA293" s="587"/>
      <c r="AB293" s="578" t="s">
        <v>123</v>
      </c>
      <c r="AC293" s="601"/>
      <c r="AD293" s="638"/>
      <c r="AE293" s="638"/>
    </row>
    <row r="294">
      <c r="A294" s="576"/>
      <c r="B294" s="620"/>
      <c r="C294" s="637"/>
      <c r="D294" s="633"/>
      <c r="E294" s="633"/>
      <c r="F294" s="624">
        <v>284.0</v>
      </c>
      <c r="G294" s="635"/>
      <c r="H294" s="626" t="str">
        <f>if(G294="","",IFERROR(VLOOKUP(G294,AtivosDados,MATCH("provento_avg",portfolio.!$A$3:AE$3,0),FALSE),""))</f>
        <v/>
      </c>
      <c r="I294" s="627" t="s">
        <v>123</v>
      </c>
      <c r="J294" s="628" t="str">
        <f>IFERROR(__xludf.DUMMYFUNCTION("IF($G294="""","""",IFERROR(query({proventos!$B$5:$Q310},""Select sum(Col16) where Col1 = '""&amp;$G294&amp;""' and Col2 &gt; date '""&amp;TEXT(K$8,""yyyy-mm-dd"")&amp;""' and Col2 &lt;= date '""&amp;TEXT(J$8,""yyyy-mm-dd"")&amp;""' label sum(Col16) ''"",0)))"),"")</f>
        <v/>
      </c>
      <c r="K294" s="628" t="str">
        <f>IFERROR(__xludf.DUMMYFUNCTION("IF($G294="""","""",IFERROR(query({proventos!$B$5:$Q310},""Select sum(Col16) where Col1 = '""&amp;$G294&amp;""' and Col2 &gt; date '""&amp;TEXT(L$8,""yyyy-mm-dd"")&amp;""' and Col2 &lt;= date '""&amp;TEXT(K$8,""yyyy-mm-dd"")&amp;""' label sum(Col16) ''"",0)))"),"")</f>
        <v/>
      </c>
      <c r="L294" s="628" t="str">
        <f>IFERROR(__xludf.DUMMYFUNCTION("IF($G294="""","""",IFERROR(query({proventos!$B$5:$Q310},""Select sum(Col16) where Col1 = '""&amp;$G294&amp;""' and Col2 &gt; date '""&amp;TEXT(M$8,""yyyy-mm-dd"")&amp;""' and Col2 &lt;= date '""&amp;TEXT(L$8,""yyyy-mm-dd"")&amp;""' label sum(Col16) ''"",0)))"),"")</f>
        <v/>
      </c>
      <c r="M294" s="628" t="str">
        <f>IFERROR(__xludf.DUMMYFUNCTION("IF($G294="""","""",IFERROR(query({proventos!$B$5:$Q310},""Select sum(Col16) where Col1 = '""&amp;$G294&amp;""' and Col2 &gt; date '""&amp;TEXT(N$8,""yyyy-mm-dd"")&amp;""' and Col2 &lt;= date '""&amp;TEXT(M$8,""yyyy-mm-dd"")&amp;""' label sum(Col16) ''"",0)))"),"")</f>
        <v/>
      </c>
      <c r="N294" s="628" t="str">
        <f>IFERROR(__xludf.DUMMYFUNCTION("IF($G294="""","""",IFERROR(query({proventos!$B$5:$Q310},""Select sum(Col16) where Col1 = '""&amp;$G294&amp;""' and Col2 &gt; date '""&amp;TEXT(O$8,""yyyy-mm-dd"")&amp;""' and Col2 &lt;= date '""&amp;TEXT(N$8,""yyyy-mm-dd"")&amp;""' label sum(Col16) ''"",0)))"),"")</f>
        <v/>
      </c>
      <c r="O294" s="628" t="str">
        <f>IFERROR(__xludf.DUMMYFUNCTION("IF($G294="""","""",IFERROR(query({proventos!$B$5:$Q310},""Select sum(Col16) where Col1 = '""&amp;$G294&amp;""' and Col2 &gt; date '""&amp;TEXT(P$8,""yyyy-mm-dd"")&amp;""' and Col2 &lt;= date '""&amp;TEXT(O$8,""yyyy-mm-dd"")&amp;""' label sum(Col16) ''"",0)))"),"")</f>
        <v/>
      </c>
      <c r="P294" s="628" t="str">
        <f>IFERROR(__xludf.DUMMYFUNCTION("IF($G294="""","""",IFERROR(query({proventos!$B$5:$Q310},""Select sum(Col16) where Col1 = '""&amp;$G294&amp;""' and Col2 &gt; date '""&amp;TEXT(Q$8,""yyyy-mm-dd"")&amp;""' and Col2 &lt;= date '""&amp;TEXT(P$8,""yyyy-mm-dd"")&amp;""' label sum(Col16) ''"",0)))"),"")</f>
        <v/>
      </c>
      <c r="Q294" s="628" t="str">
        <f>IFERROR(__xludf.DUMMYFUNCTION("IF($G294="""","""",IFERROR(query({proventos!$B$5:$Q310},""Select sum(Col16) where Col1 = '""&amp;$G294&amp;""' and Col2 &gt; date '""&amp;TEXT(R$8,""yyyy-mm-dd"")&amp;""' and Col2 &lt;= date '""&amp;TEXT(Q$8,""yyyy-mm-dd"")&amp;""' label sum(Col16) ''"",0)))"),"")</f>
        <v/>
      </c>
      <c r="R294" s="628" t="str">
        <f>IFERROR(__xludf.DUMMYFUNCTION("IF($G294="""","""",IFERROR(query({proventos!$B$5:$Q310},""Select sum(Col16) where Col1 = '""&amp;$G294&amp;""' and Col2 &gt; date '""&amp;TEXT(S$8,""yyyy-mm-dd"")&amp;""' and Col2 &lt;= date '""&amp;TEXT(R$8,""yyyy-mm-dd"")&amp;""' label sum(Col16) ''"",0)))"),"")</f>
        <v/>
      </c>
      <c r="S294" s="628" t="str">
        <f>IFERROR(__xludf.DUMMYFUNCTION("IF($G294="""","""",IFERROR(query({proventos!$B$5:$Q310},""Select sum(Col16) where Col1 = '""&amp;$G294&amp;""' and Col2 &gt; date '""&amp;TEXT(T$8,""yyyy-mm-dd"")&amp;""' and Col2 &lt;= date '""&amp;TEXT(S$8,""yyyy-mm-dd"")&amp;""' label sum(Col16) ''"",0)))"),"")</f>
        <v/>
      </c>
      <c r="T294" s="628" t="str">
        <f>IFERROR(__xludf.DUMMYFUNCTION("IF($G294="""","""",IFERROR(query({proventos!$B$5:$Q310},""Select sum(Col16) where Col1 = '""&amp;$G294&amp;""' and Col2 &gt; date '""&amp;TEXT(U$8,""yyyy-mm-dd"")&amp;""' and Col2 &lt;= date '""&amp;TEXT(T$8,""yyyy-mm-dd"")&amp;""' label sum(Col16) ''"",0)))"),"")</f>
        <v/>
      </c>
      <c r="U294" s="629" t="str">
        <f>IFERROR(__xludf.DUMMYFUNCTION("IF($G294="""","""",IFERROR(query({proventos!$B$5:$Q310},""Select sum(Col16) where Col1 = '""&amp;$G294&amp;""' and Col2 &gt; date '""&amp;TEXT(EOMONTH(TODAY(),-13),""yyyy-mm-dd"")&amp;""' and Col2 &lt;= date '""&amp;TEXT(U$8,""yyyy-mm-dd"")&amp;""' label sum(Col16) ''"",0)))"),"")</f>
        <v/>
      </c>
      <c r="V294" s="630" t="str">
        <f>IFERROR(__xludf.DUMMYFUNCTION("IF($G294="""","""",IFERROR(query({proventos!$B$5:$Q310},""Select sum(Col16) where Col1 = '""&amp;$G294&amp;""' and Col2 &gt; date '""&amp;TEXT(DATE(V$8,1,1),""yyyy-mm-dd"")&amp;""' and Col2 &lt;= date '""&amp;TEXT(DATE(V$8,12,31),""yyyy-mm-dd"")&amp;""' label sum(Col16) ''"",0)))"),"")</f>
        <v/>
      </c>
      <c r="W294" s="630" t="str">
        <f>IFERROR(__xludf.DUMMYFUNCTION("IF($G294="""","""",IFERROR(query({proventos!$B$5:$Q310},""Select sum(Col16) where Col1 = '""&amp;$G294&amp;""' and Col2 &gt; date '""&amp;TEXT(DATE(W$8,1,1),""yyyy-mm-dd"")&amp;""' and Col2 &lt;= date '""&amp;TEXT(DATE(W$8,12,31),""yyyy-mm-dd"")&amp;""' label sum(Col16) ''"",0)))"),"")</f>
        <v/>
      </c>
      <c r="X294" s="630" t="str">
        <f>IFERROR(__xludf.DUMMYFUNCTION("IF($G294="""","""",IFERROR(query({proventos!$B$5:$Q310},""Select sum(Col16) where Col1 = '""&amp;$G294&amp;""' and Col2 &gt; date '""&amp;TEXT(DATE(X$8,1,1),""yyyy-mm-dd"")&amp;""' and Col2 &lt;= date '""&amp;TEXT(DATE(X$8,12,31),""yyyy-mm-dd"")&amp;""' label sum(Col16) ''"",0)))"),"")</f>
        <v/>
      </c>
      <c r="Y294" s="630" t="str">
        <f>IFERROR(__xludf.DUMMYFUNCTION("IF($G294="""","""",IFERROR(query({proventos!$B$5:$Q310},""Select sum(Col16) where Col1 = '""&amp;$G294&amp;""' and Col2 &gt; date '""&amp;TEXT(DATE(Y$8,1,1),""yyyy-mm-dd"")&amp;""' and Col2 &lt;= date '""&amp;TEXT(DATE(Y$8,12,31),""yyyy-mm-dd"")&amp;""' label sum(Col16) ''"",0)))"),"")</f>
        <v/>
      </c>
      <c r="Z294" s="630" t="str">
        <f>IFERROR(__xludf.DUMMYFUNCTION("IF($G294="""","""",IFERROR(query({proventos!$B$5:$Q310},""Select sum(Col16) where Col1 = '""&amp;$G294&amp;""' and Col2 &gt; date '""&amp;TEXT(DATE(Z$8,1,1),""yyyy-mm-dd"")&amp;""' and Col2 &lt;= date '""&amp;TEXT(DATE(Z$8,12,31),""yyyy-mm-dd"")&amp;""' label sum(Col16) ''"",0)))"),"")</f>
        <v/>
      </c>
      <c r="AA294" s="587"/>
      <c r="AB294" s="578" t="s">
        <v>123</v>
      </c>
      <c r="AC294" s="601"/>
      <c r="AD294" s="638"/>
      <c r="AE294" s="638"/>
    </row>
    <row r="295">
      <c r="A295" s="576"/>
      <c r="B295" s="620"/>
      <c r="C295" s="637"/>
      <c r="D295" s="633"/>
      <c r="E295" s="633"/>
      <c r="F295" s="624">
        <v>285.0</v>
      </c>
      <c r="G295" s="635"/>
      <c r="H295" s="626" t="str">
        <f>if(G295="","",IFERROR(VLOOKUP(G295,AtivosDados,MATCH("provento_avg",portfolio.!$A$3:AE$3,0),FALSE),""))</f>
        <v/>
      </c>
      <c r="I295" s="627" t="s">
        <v>123</v>
      </c>
      <c r="J295" s="628" t="str">
        <f>IFERROR(__xludf.DUMMYFUNCTION("IF($G295="""","""",IFERROR(query({proventos!$B$5:$Q310},""Select sum(Col16) where Col1 = '""&amp;$G295&amp;""' and Col2 &gt; date '""&amp;TEXT(K$8,""yyyy-mm-dd"")&amp;""' and Col2 &lt;= date '""&amp;TEXT(J$8,""yyyy-mm-dd"")&amp;""' label sum(Col16) ''"",0)))"),"")</f>
        <v/>
      </c>
      <c r="K295" s="628" t="str">
        <f>IFERROR(__xludf.DUMMYFUNCTION("IF($G295="""","""",IFERROR(query({proventos!$B$5:$Q310},""Select sum(Col16) where Col1 = '""&amp;$G295&amp;""' and Col2 &gt; date '""&amp;TEXT(L$8,""yyyy-mm-dd"")&amp;""' and Col2 &lt;= date '""&amp;TEXT(K$8,""yyyy-mm-dd"")&amp;""' label sum(Col16) ''"",0)))"),"")</f>
        <v/>
      </c>
      <c r="L295" s="628" t="str">
        <f>IFERROR(__xludf.DUMMYFUNCTION("IF($G295="""","""",IFERROR(query({proventos!$B$5:$Q310},""Select sum(Col16) where Col1 = '""&amp;$G295&amp;""' and Col2 &gt; date '""&amp;TEXT(M$8,""yyyy-mm-dd"")&amp;""' and Col2 &lt;= date '""&amp;TEXT(L$8,""yyyy-mm-dd"")&amp;""' label sum(Col16) ''"",0)))"),"")</f>
        <v/>
      </c>
      <c r="M295" s="628" t="str">
        <f>IFERROR(__xludf.DUMMYFUNCTION("IF($G295="""","""",IFERROR(query({proventos!$B$5:$Q310},""Select sum(Col16) where Col1 = '""&amp;$G295&amp;""' and Col2 &gt; date '""&amp;TEXT(N$8,""yyyy-mm-dd"")&amp;""' and Col2 &lt;= date '""&amp;TEXT(M$8,""yyyy-mm-dd"")&amp;""' label sum(Col16) ''"",0)))"),"")</f>
        <v/>
      </c>
      <c r="N295" s="628" t="str">
        <f>IFERROR(__xludf.DUMMYFUNCTION("IF($G295="""","""",IFERROR(query({proventos!$B$5:$Q310},""Select sum(Col16) where Col1 = '""&amp;$G295&amp;""' and Col2 &gt; date '""&amp;TEXT(O$8,""yyyy-mm-dd"")&amp;""' and Col2 &lt;= date '""&amp;TEXT(N$8,""yyyy-mm-dd"")&amp;""' label sum(Col16) ''"",0)))"),"")</f>
        <v/>
      </c>
      <c r="O295" s="628" t="str">
        <f>IFERROR(__xludf.DUMMYFUNCTION("IF($G295="""","""",IFERROR(query({proventos!$B$5:$Q310},""Select sum(Col16) where Col1 = '""&amp;$G295&amp;""' and Col2 &gt; date '""&amp;TEXT(P$8,""yyyy-mm-dd"")&amp;""' and Col2 &lt;= date '""&amp;TEXT(O$8,""yyyy-mm-dd"")&amp;""' label sum(Col16) ''"",0)))"),"")</f>
        <v/>
      </c>
      <c r="P295" s="628" t="str">
        <f>IFERROR(__xludf.DUMMYFUNCTION("IF($G295="""","""",IFERROR(query({proventos!$B$5:$Q310},""Select sum(Col16) where Col1 = '""&amp;$G295&amp;""' and Col2 &gt; date '""&amp;TEXT(Q$8,""yyyy-mm-dd"")&amp;""' and Col2 &lt;= date '""&amp;TEXT(P$8,""yyyy-mm-dd"")&amp;""' label sum(Col16) ''"",0)))"),"")</f>
        <v/>
      </c>
      <c r="Q295" s="628" t="str">
        <f>IFERROR(__xludf.DUMMYFUNCTION("IF($G295="""","""",IFERROR(query({proventos!$B$5:$Q310},""Select sum(Col16) where Col1 = '""&amp;$G295&amp;""' and Col2 &gt; date '""&amp;TEXT(R$8,""yyyy-mm-dd"")&amp;""' and Col2 &lt;= date '""&amp;TEXT(Q$8,""yyyy-mm-dd"")&amp;""' label sum(Col16) ''"",0)))"),"")</f>
        <v/>
      </c>
      <c r="R295" s="628" t="str">
        <f>IFERROR(__xludf.DUMMYFUNCTION("IF($G295="""","""",IFERROR(query({proventos!$B$5:$Q310},""Select sum(Col16) where Col1 = '""&amp;$G295&amp;""' and Col2 &gt; date '""&amp;TEXT(S$8,""yyyy-mm-dd"")&amp;""' and Col2 &lt;= date '""&amp;TEXT(R$8,""yyyy-mm-dd"")&amp;""' label sum(Col16) ''"",0)))"),"")</f>
        <v/>
      </c>
      <c r="S295" s="628" t="str">
        <f>IFERROR(__xludf.DUMMYFUNCTION("IF($G295="""","""",IFERROR(query({proventos!$B$5:$Q310},""Select sum(Col16) where Col1 = '""&amp;$G295&amp;""' and Col2 &gt; date '""&amp;TEXT(T$8,""yyyy-mm-dd"")&amp;""' and Col2 &lt;= date '""&amp;TEXT(S$8,""yyyy-mm-dd"")&amp;""' label sum(Col16) ''"",0)))"),"")</f>
        <v/>
      </c>
      <c r="T295" s="628" t="str">
        <f>IFERROR(__xludf.DUMMYFUNCTION("IF($G295="""","""",IFERROR(query({proventos!$B$5:$Q310},""Select sum(Col16) where Col1 = '""&amp;$G295&amp;""' and Col2 &gt; date '""&amp;TEXT(U$8,""yyyy-mm-dd"")&amp;""' and Col2 &lt;= date '""&amp;TEXT(T$8,""yyyy-mm-dd"")&amp;""' label sum(Col16) ''"",0)))"),"")</f>
        <v/>
      </c>
      <c r="U295" s="629" t="str">
        <f>IFERROR(__xludf.DUMMYFUNCTION("IF($G295="""","""",IFERROR(query({proventos!$B$5:$Q310},""Select sum(Col16) where Col1 = '""&amp;$G295&amp;""' and Col2 &gt; date '""&amp;TEXT(EOMONTH(TODAY(),-13),""yyyy-mm-dd"")&amp;""' and Col2 &lt;= date '""&amp;TEXT(U$8,""yyyy-mm-dd"")&amp;""' label sum(Col16) ''"",0)))"),"")</f>
        <v/>
      </c>
      <c r="V295" s="630" t="str">
        <f>IFERROR(__xludf.DUMMYFUNCTION("IF($G295="""","""",IFERROR(query({proventos!$B$5:$Q310},""Select sum(Col16) where Col1 = '""&amp;$G295&amp;""' and Col2 &gt; date '""&amp;TEXT(DATE(V$8,1,1),""yyyy-mm-dd"")&amp;""' and Col2 &lt;= date '""&amp;TEXT(DATE(V$8,12,31),""yyyy-mm-dd"")&amp;""' label sum(Col16) ''"",0)))"),"")</f>
        <v/>
      </c>
      <c r="W295" s="630" t="str">
        <f>IFERROR(__xludf.DUMMYFUNCTION("IF($G295="""","""",IFERROR(query({proventos!$B$5:$Q310},""Select sum(Col16) where Col1 = '""&amp;$G295&amp;""' and Col2 &gt; date '""&amp;TEXT(DATE(W$8,1,1),""yyyy-mm-dd"")&amp;""' and Col2 &lt;= date '""&amp;TEXT(DATE(W$8,12,31),""yyyy-mm-dd"")&amp;""' label sum(Col16) ''"",0)))"),"")</f>
        <v/>
      </c>
      <c r="X295" s="630" t="str">
        <f>IFERROR(__xludf.DUMMYFUNCTION("IF($G295="""","""",IFERROR(query({proventos!$B$5:$Q310},""Select sum(Col16) where Col1 = '""&amp;$G295&amp;""' and Col2 &gt; date '""&amp;TEXT(DATE(X$8,1,1),""yyyy-mm-dd"")&amp;""' and Col2 &lt;= date '""&amp;TEXT(DATE(X$8,12,31),""yyyy-mm-dd"")&amp;""' label sum(Col16) ''"",0)))"),"")</f>
        <v/>
      </c>
      <c r="Y295" s="630" t="str">
        <f>IFERROR(__xludf.DUMMYFUNCTION("IF($G295="""","""",IFERROR(query({proventos!$B$5:$Q310},""Select sum(Col16) where Col1 = '""&amp;$G295&amp;""' and Col2 &gt; date '""&amp;TEXT(DATE(Y$8,1,1),""yyyy-mm-dd"")&amp;""' and Col2 &lt;= date '""&amp;TEXT(DATE(Y$8,12,31),""yyyy-mm-dd"")&amp;""' label sum(Col16) ''"",0)))"),"")</f>
        <v/>
      </c>
      <c r="Z295" s="630" t="str">
        <f>IFERROR(__xludf.DUMMYFUNCTION("IF($G295="""","""",IFERROR(query({proventos!$B$5:$Q310},""Select sum(Col16) where Col1 = '""&amp;$G295&amp;""' and Col2 &gt; date '""&amp;TEXT(DATE(Z$8,1,1),""yyyy-mm-dd"")&amp;""' and Col2 &lt;= date '""&amp;TEXT(DATE(Z$8,12,31),""yyyy-mm-dd"")&amp;""' label sum(Col16) ''"",0)))"),"")</f>
        <v/>
      </c>
      <c r="AA295" s="587"/>
      <c r="AB295" s="578" t="s">
        <v>123</v>
      </c>
      <c r="AC295" s="601"/>
      <c r="AD295" s="638"/>
      <c r="AE295" s="638"/>
    </row>
    <row r="296">
      <c r="A296" s="576"/>
      <c r="B296" s="620"/>
      <c r="C296" s="637"/>
      <c r="D296" s="633"/>
      <c r="E296" s="633"/>
      <c r="F296" s="624">
        <v>286.0</v>
      </c>
      <c r="G296" s="635"/>
      <c r="H296" s="626" t="str">
        <f>if(G296="","",IFERROR(VLOOKUP(G296,AtivosDados,MATCH("provento_avg",portfolio.!$A$3:AE$3,0),FALSE),""))</f>
        <v/>
      </c>
      <c r="I296" s="627" t="s">
        <v>123</v>
      </c>
      <c r="J296" s="628" t="str">
        <f>IFERROR(__xludf.DUMMYFUNCTION("IF($G296="""","""",IFERROR(query({proventos!$B$5:$Q310},""Select sum(Col16) where Col1 = '""&amp;$G296&amp;""' and Col2 &gt; date '""&amp;TEXT(K$8,""yyyy-mm-dd"")&amp;""' and Col2 &lt;= date '""&amp;TEXT(J$8,""yyyy-mm-dd"")&amp;""' label sum(Col16) ''"",0)))"),"")</f>
        <v/>
      </c>
      <c r="K296" s="628" t="str">
        <f>IFERROR(__xludf.DUMMYFUNCTION("IF($G296="""","""",IFERROR(query({proventos!$B$5:$Q310},""Select sum(Col16) where Col1 = '""&amp;$G296&amp;""' and Col2 &gt; date '""&amp;TEXT(L$8,""yyyy-mm-dd"")&amp;""' and Col2 &lt;= date '""&amp;TEXT(K$8,""yyyy-mm-dd"")&amp;""' label sum(Col16) ''"",0)))"),"")</f>
        <v/>
      </c>
      <c r="L296" s="628" t="str">
        <f>IFERROR(__xludf.DUMMYFUNCTION("IF($G296="""","""",IFERROR(query({proventos!$B$5:$Q310},""Select sum(Col16) where Col1 = '""&amp;$G296&amp;""' and Col2 &gt; date '""&amp;TEXT(M$8,""yyyy-mm-dd"")&amp;""' and Col2 &lt;= date '""&amp;TEXT(L$8,""yyyy-mm-dd"")&amp;""' label sum(Col16) ''"",0)))"),"")</f>
        <v/>
      </c>
      <c r="M296" s="628" t="str">
        <f>IFERROR(__xludf.DUMMYFUNCTION("IF($G296="""","""",IFERROR(query({proventos!$B$5:$Q310},""Select sum(Col16) where Col1 = '""&amp;$G296&amp;""' and Col2 &gt; date '""&amp;TEXT(N$8,""yyyy-mm-dd"")&amp;""' and Col2 &lt;= date '""&amp;TEXT(M$8,""yyyy-mm-dd"")&amp;""' label sum(Col16) ''"",0)))"),"")</f>
        <v/>
      </c>
      <c r="N296" s="628" t="str">
        <f>IFERROR(__xludf.DUMMYFUNCTION("IF($G296="""","""",IFERROR(query({proventos!$B$5:$Q310},""Select sum(Col16) where Col1 = '""&amp;$G296&amp;""' and Col2 &gt; date '""&amp;TEXT(O$8,""yyyy-mm-dd"")&amp;""' and Col2 &lt;= date '""&amp;TEXT(N$8,""yyyy-mm-dd"")&amp;""' label sum(Col16) ''"",0)))"),"")</f>
        <v/>
      </c>
      <c r="O296" s="628" t="str">
        <f>IFERROR(__xludf.DUMMYFUNCTION("IF($G296="""","""",IFERROR(query({proventos!$B$5:$Q310},""Select sum(Col16) where Col1 = '""&amp;$G296&amp;""' and Col2 &gt; date '""&amp;TEXT(P$8,""yyyy-mm-dd"")&amp;""' and Col2 &lt;= date '""&amp;TEXT(O$8,""yyyy-mm-dd"")&amp;""' label sum(Col16) ''"",0)))"),"")</f>
        <v/>
      </c>
      <c r="P296" s="628" t="str">
        <f>IFERROR(__xludf.DUMMYFUNCTION("IF($G296="""","""",IFERROR(query({proventos!$B$5:$Q310},""Select sum(Col16) where Col1 = '""&amp;$G296&amp;""' and Col2 &gt; date '""&amp;TEXT(Q$8,""yyyy-mm-dd"")&amp;""' and Col2 &lt;= date '""&amp;TEXT(P$8,""yyyy-mm-dd"")&amp;""' label sum(Col16) ''"",0)))"),"")</f>
        <v/>
      </c>
      <c r="Q296" s="628" t="str">
        <f>IFERROR(__xludf.DUMMYFUNCTION("IF($G296="""","""",IFERROR(query({proventos!$B$5:$Q310},""Select sum(Col16) where Col1 = '""&amp;$G296&amp;""' and Col2 &gt; date '""&amp;TEXT(R$8,""yyyy-mm-dd"")&amp;""' and Col2 &lt;= date '""&amp;TEXT(Q$8,""yyyy-mm-dd"")&amp;""' label sum(Col16) ''"",0)))"),"")</f>
        <v/>
      </c>
      <c r="R296" s="628" t="str">
        <f>IFERROR(__xludf.DUMMYFUNCTION("IF($G296="""","""",IFERROR(query({proventos!$B$5:$Q310},""Select sum(Col16) where Col1 = '""&amp;$G296&amp;""' and Col2 &gt; date '""&amp;TEXT(S$8,""yyyy-mm-dd"")&amp;""' and Col2 &lt;= date '""&amp;TEXT(R$8,""yyyy-mm-dd"")&amp;""' label sum(Col16) ''"",0)))"),"")</f>
        <v/>
      </c>
      <c r="S296" s="628" t="str">
        <f>IFERROR(__xludf.DUMMYFUNCTION("IF($G296="""","""",IFERROR(query({proventos!$B$5:$Q310},""Select sum(Col16) where Col1 = '""&amp;$G296&amp;""' and Col2 &gt; date '""&amp;TEXT(T$8,""yyyy-mm-dd"")&amp;""' and Col2 &lt;= date '""&amp;TEXT(S$8,""yyyy-mm-dd"")&amp;""' label sum(Col16) ''"",0)))"),"")</f>
        <v/>
      </c>
      <c r="T296" s="628" t="str">
        <f>IFERROR(__xludf.DUMMYFUNCTION("IF($G296="""","""",IFERROR(query({proventos!$B$5:$Q310},""Select sum(Col16) where Col1 = '""&amp;$G296&amp;""' and Col2 &gt; date '""&amp;TEXT(U$8,""yyyy-mm-dd"")&amp;""' and Col2 &lt;= date '""&amp;TEXT(T$8,""yyyy-mm-dd"")&amp;""' label sum(Col16) ''"",0)))"),"")</f>
        <v/>
      </c>
      <c r="U296" s="629" t="str">
        <f>IFERROR(__xludf.DUMMYFUNCTION("IF($G296="""","""",IFERROR(query({proventos!$B$5:$Q310},""Select sum(Col16) where Col1 = '""&amp;$G296&amp;""' and Col2 &gt; date '""&amp;TEXT(EOMONTH(TODAY(),-13),""yyyy-mm-dd"")&amp;""' and Col2 &lt;= date '""&amp;TEXT(U$8,""yyyy-mm-dd"")&amp;""' label sum(Col16) ''"",0)))"),"")</f>
        <v/>
      </c>
      <c r="V296" s="630" t="str">
        <f>IFERROR(__xludf.DUMMYFUNCTION("IF($G296="""","""",IFERROR(query({proventos!$B$5:$Q310},""Select sum(Col16) where Col1 = '""&amp;$G296&amp;""' and Col2 &gt; date '""&amp;TEXT(DATE(V$8,1,1),""yyyy-mm-dd"")&amp;""' and Col2 &lt;= date '""&amp;TEXT(DATE(V$8,12,31),""yyyy-mm-dd"")&amp;""' label sum(Col16) ''"",0)))"),"")</f>
        <v/>
      </c>
      <c r="W296" s="630" t="str">
        <f>IFERROR(__xludf.DUMMYFUNCTION("IF($G296="""","""",IFERROR(query({proventos!$B$5:$Q310},""Select sum(Col16) where Col1 = '""&amp;$G296&amp;""' and Col2 &gt; date '""&amp;TEXT(DATE(W$8,1,1),""yyyy-mm-dd"")&amp;""' and Col2 &lt;= date '""&amp;TEXT(DATE(W$8,12,31),""yyyy-mm-dd"")&amp;""' label sum(Col16) ''"",0)))"),"")</f>
        <v/>
      </c>
      <c r="X296" s="630" t="str">
        <f>IFERROR(__xludf.DUMMYFUNCTION("IF($G296="""","""",IFERROR(query({proventos!$B$5:$Q310},""Select sum(Col16) where Col1 = '""&amp;$G296&amp;""' and Col2 &gt; date '""&amp;TEXT(DATE(X$8,1,1),""yyyy-mm-dd"")&amp;""' and Col2 &lt;= date '""&amp;TEXT(DATE(X$8,12,31),""yyyy-mm-dd"")&amp;""' label sum(Col16) ''"",0)))"),"")</f>
        <v/>
      </c>
      <c r="Y296" s="630" t="str">
        <f>IFERROR(__xludf.DUMMYFUNCTION("IF($G296="""","""",IFERROR(query({proventos!$B$5:$Q310},""Select sum(Col16) where Col1 = '""&amp;$G296&amp;""' and Col2 &gt; date '""&amp;TEXT(DATE(Y$8,1,1),""yyyy-mm-dd"")&amp;""' and Col2 &lt;= date '""&amp;TEXT(DATE(Y$8,12,31),""yyyy-mm-dd"")&amp;""' label sum(Col16) ''"",0)))"),"")</f>
        <v/>
      </c>
      <c r="Z296" s="630" t="str">
        <f>IFERROR(__xludf.DUMMYFUNCTION("IF($G296="""","""",IFERROR(query({proventos!$B$5:$Q310},""Select sum(Col16) where Col1 = '""&amp;$G296&amp;""' and Col2 &gt; date '""&amp;TEXT(DATE(Z$8,1,1),""yyyy-mm-dd"")&amp;""' and Col2 &lt;= date '""&amp;TEXT(DATE(Z$8,12,31),""yyyy-mm-dd"")&amp;""' label sum(Col16) ''"",0)))"),"")</f>
        <v/>
      </c>
      <c r="AA296" s="587"/>
      <c r="AB296" s="578" t="s">
        <v>123</v>
      </c>
      <c r="AC296" s="601"/>
      <c r="AD296" s="638"/>
      <c r="AE296" s="638"/>
    </row>
    <row r="297">
      <c r="A297" s="576"/>
      <c r="B297" s="620"/>
      <c r="C297" s="637"/>
      <c r="D297" s="633"/>
      <c r="E297" s="633"/>
      <c r="F297" s="624">
        <v>287.0</v>
      </c>
      <c r="G297" s="635"/>
      <c r="H297" s="626" t="str">
        <f>if(G297="","",IFERROR(VLOOKUP(G297,AtivosDados,MATCH("provento_avg",portfolio.!$A$3:AE$3,0),FALSE),""))</f>
        <v/>
      </c>
      <c r="I297" s="627" t="s">
        <v>123</v>
      </c>
      <c r="J297" s="628" t="str">
        <f>IFERROR(__xludf.DUMMYFUNCTION("IF($G297="""","""",IFERROR(query({proventos!$B$5:$Q310},""Select sum(Col16) where Col1 = '""&amp;$G297&amp;""' and Col2 &gt; date '""&amp;TEXT(K$8,""yyyy-mm-dd"")&amp;""' and Col2 &lt;= date '""&amp;TEXT(J$8,""yyyy-mm-dd"")&amp;""' label sum(Col16) ''"",0)))"),"")</f>
        <v/>
      </c>
      <c r="K297" s="628" t="str">
        <f>IFERROR(__xludf.DUMMYFUNCTION("IF($G297="""","""",IFERROR(query({proventos!$B$5:$Q310},""Select sum(Col16) where Col1 = '""&amp;$G297&amp;""' and Col2 &gt; date '""&amp;TEXT(L$8,""yyyy-mm-dd"")&amp;""' and Col2 &lt;= date '""&amp;TEXT(K$8,""yyyy-mm-dd"")&amp;""' label sum(Col16) ''"",0)))"),"")</f>
        <v/>
      </c>
      <c r="L297" s="628" t="str">
        <f>IFERROR(__xludf.DUMMYFUNCTION("IF($G297="""","""",IFERROR(query({proventos!$B$5:$Q310},""Select sum(Col16) where Col1 = '""&amp;$G297&amp;""' and Col2 &gt; date '""&amp;TEXT(M$8,""yyyy-mm-dd"")&amp;""' and Col2 &lt;= date '""&amp;TEXT(L$8,""yyyy-mm-dd"")&amp;""' label sum(Col16) ''"",0)))"),"")</f>
        <v/>
      </c>
      <c r="M297" s="628" t="str">
        <f>IFERROR(__xludf.DUMMYFUNCTION("IF($G297="""","""",IFERROR(query({proventos!$B$5:$Q310},""Select sum(Col16) where Col1 = '""&amp;$G297&amp;""' and Col2 &gt; date '""&amp;TEXT(N$8,""yyyy-mm-dd"")&amp;""' and Col2 &lt;= date '""&amp;TEXT(M$8,""yyyy-mm-dd"")&amp;""' label sum(Col16) ''"",0)))"),"")</f>
        <v/>
      </c>
      <c r="N297" s="628" t="str">
        <f>IFERROR(__xludf.DUMMYFUNCTION("IF($G297="""","""",IFERROR(query({proventos!$B$5:$Q310},""Select sum(Col16) where Col1 = '""&amp;$G297&amp;""' and Col2 &gt; date '""&amp;TEXT(O$8,""yyyy-mm-dd"")&amp;""' and Col2 &lt;= date '""&amp;TEXT(N$8,""yyyy-mm-dd"")&amp;""' label sum(Col16) ''"",0)))"),"")</f>
        <v/>
      </c>
      <c r="O297" s="628" t="str">
        <f>IFERROR(__xludf.DUMMYFUNCTION("IF($G297="""","""",IFERROR(query({proventos!$B$5:$Q310},""Select sum(Col16) where Col1 = '""&amp;$G297&amp;""' and Col2 &gt; date '""&amp;TEXT(P$8,""yyyy-mm-dd"")&amp;""' and Col2 &lt;= date '""&amp;TEXT(O$8,""yyyy-mm-dd"")&amp;""' label sum(Col16) ''"",0)))"),"")</f>
        <v/>
      </c>
      <c r="P297" s="628" t="str">
        <f>IFERROR(__xludf.DUMMYFUNCTION("IF($G297="""","""",IFERROR(query({proventos!$B$5:$Q310},""Select sum(Col16) where Col1 = '""&amp;$G297&amp;""' and Col2 &gt; date '""&amp;TEXT(Q$8,""yyyy-mm-dd"")&amp;""' and Col2 &lt;= date '""&amp;TEXT(P$8,""yyyy-mm-dd"")&amp;""' label sum(Col16) ''"",0)))"),"")</f>
        <v/>
      </c>
      <c r="Q297" s="628" t="str">
        <f>IFERROR(__xludf.DUMMYFUNCTION("IF($G297="""","""",IFERROR(query({proventos!$B$5:$Q310},""Select sum(Col16) where Col1 = '""&amp;$G297&amp;""' and Col2 &gt; date '""&amp;TEXT(R$8,""yyyy-mm-dd"")&amp;""' and Col2 &lt;= date '""&amp;TEXT(Q$8,""yyyy-mm-dd"")&amp;""' label sum(Col16) ''"",0)))"),"")</f>
        <v/>
      </c>
      <c r="R297" s="628" t="str">
        <f>IFERROR(__xludf.DUMMYFUNCTION("IF($G297="""","""",IFERROR(query({proventos!$B$5:$Q310},""Select sum(Col16) where Col1 = '""&amp;$G297&amp;""' and Col2 &gt; date '""&amp;TEXT(S$8,""yyyy-mm-dd"")&amp;""' and Col2 &lt;= date '""&amp;TEXT(R$8,""yyyy-mm-dd"")&amp;""' label sum(Col16) ''"",0)))"),"")</f>
        <v/>
      </c>
      <c r="S297" s="628" t="str">
        <f>IFERROR(__xludf.DUMMYFUNCTION("IF($G297="""","""",IFERROR(query({proventos!$B$5:$Q310},""Select sum(Col16) where Col1 = '""&amp;$G297&amp;""' and Col2 &gt; date '""&amp;TEXT(T$8,""yyyy-mm-dd"")&amp;""' and Col2 &lt;= date '""&amp;TEXT(S$8,""yyyy-mm-dd"")&amp;""' label sum(Col16) ''"",0)))"),"")</f>
        <v/>
      </c>
      <c r="T297" s="628" t="str">
        <f>IFERROR(__xludf.DUMMYFUNCTION("IF($G297="""","""",IFERROR(query({proventos!$B$5:$Q310},""Select sum(Col16) where Col1 = '""&amp;$G297&amp;""' and Col2 &gt; date '""&amp;TEXT(U$8,""yyyy-mm-dd"")&amp;""' and Col2 &lt;= date '""&amp;TEXT(T$8,""yyyy-mm-dd"")&amp;""' label sum(Col16) ''"",0)))"),"")</f>
        <v/>
      </c>
      <c r="U297" s="629" t="str">
        <f>IFERROR(__xludf.DUMMYFUNCTION("IF($G297="""","""",IFERROR(query({proventos!$B$5:$Q310},""Select sum(Col16) where Col1 = '""&amp;$G297&amp;""' and Col2 &gt; date '""&amp;TEXT(EOMONTH(TODAY(),-13),""yyyy-mm-dd"")&amp;""' and Col2 &lt;= date '""&amp;TEXT(U$8,""yyyy-mm-dd"")&amp;""' label sum(Col16) ''"",0)))"),"")</f>
        <v/>
      </c>
      <c r="V297" s="630" t="str">
        <f>IFERROR(__xludf.DUMMYFUNCTION("IF($G297="""","""",IFERROR(query({proventos!$B$5:$Q310},""Select sum(Col16) where Col1 = '""&amp;$G297&amp;""' and Col2 &gt; date '""&amp;TEXT(DATE(V$8,1,1),""yyyy-mm-dd"")&amp;""' and Col2 &lt;= date '""&amp;TEXT(DATE(V$8,12,31),""yyyy-mm-dd"")&amp;""' label sum(Col16) ''"",0)))"),"")</f>
        <v/>
      </c>
      <c r="W297" s="630" t="str">
        <f>IFERROR(__xludf.DUMMYFUNCTION("IF($G297="""","""",IFERROR(query({proventos!$B$5:$Q310},""Select sum(Col16) where Col1 = '""&amp;$G297&amp;""' and Col2 &gt; date '""&amp;TEXT(DATE(W$8,1,1),""yyyy-mm-dd"")&amp;""' and Col2 &lt;= date '""&amp;TEXT(DATE(W$8,12,31),""yyyy-mm-dd"")&amp;""' label sum(Col16) ''"",0)))"),"")</f>
        <v/>
      </c>
      <c r="X297" s="630" t="str">
        <f>IFERROR(__xludf.DUMMYFUNCTION("IF($G297="""","""",IFERROR(query({proventos!$B$5:$Q310},""Select sum(Col16) where Col1 = '""&amp;$G297&amp;""' and Col2 &gt; date '""&amp;TEXT(DATE(X$8,1,1),""yyyy-mm-dd"")&amp;""' and Col2 &lt;= date '""&amp;TEXT(DATE(X$8,12,31),""yyyy-mm-dd"")&amp;""' label sum(Col16) ''"",0)))"),"")</f>
        <v/>
      </c>
      <c r="Y297" s="630" t="str">
        <f>IFERROR(__xludf.DUMMYFUNCTION("IF($G297="""","""",IFERROR(query({proventos!$B$5:$Q310},""Select sum(Col16) where Col1 = '""&amp;$G297&amp;""' and Col2 &gt; date '""&amp;TEXT(DATE(Y$8,1,1),""yyyy-mm-dd"")&amp;""' and Col2 &lt;= date '""&amp;TEXT(DATE(Y$8,12,31),""yyyy-mm-dd"")&amp;""' label sum(Col16) ''"",0)))"),"")</f>
        <v/>
      </c>
      <c r="Z297" s="630" t="str">
        <f>IFERROR(__xludf.DUMMYFUNCTION("IF($G297="""","""",IFERROR(query({proventos!$B$5:$Q310},""Select sum(Col16) where Col1 = '""&amp;$G297&amp;""' and Col2 &gt; date '""&amp;TEXT(DATE(Z$8,1,1),""yyyy-mm-dd"")&amp;""' and Col2 &lt;= date '""&amp;TEXT(DATE(Z$8,12,31),""yyyy-mm-dd"")&amp;""' label sum(Col16) ''"",0)))"),"")</f>
        <v/>
      </c>
      <c r="AA297" s="587"/>
      <c r="AB297" s="578" t="s">
        <v>123</v>
      </c>
      <c r="AC297" s="601"/>
      <c r="AD297" s="638"/>
      <c r="AE297" s="638"/>
    </row>
    <row r="298">
      <c r="A298" s="576"/>
      <c r="B298" s="620"/>
      <c r="C298" s="637"/>
      <c r="D298" s="633"/>
      <c r="E298" s="633"/>
      <c r="F298" s="624">
        <v>288.0</v>
      </c>
      <c r="G298" s="635"/>
      <c r="H298" s="626" t="str">
        <f>if(G298="","",IFERROR(VLOOKUP(G298,AtivosDados,MATCH("provento_avg",portfolio.!$A$3:AE$3,0),FALSE),""))</f>
        <v/>
      </c>
      <c r="I298" s="627" t="s">
        <v>123</v>
      </c>
      <c r="J298" s="628" t="str">
        <f>IFERROR(__xludf.DUMMYFUNCTION("IF($G298="""","""",IFERROR(query({proventos!$B$5:$Q310},""Select sum(Col16) where Col1 = '""&amp;$G298&amp;""' and Col2 &gt; date '""&amp;TEXT(K$8,""yyyy-mm-dd"")&amp;""' and Col2 &lt;= date '""&amp;TEXT(J$8,""yyyy-mm-dd"")&amp;""' label sum(Col16) ''"",0)))"),"")</f>
        <v/>
      </c>
      <c r="K298" s="628" t="str">
        <f>IFERROR(__xludf.DUMMYFUNCTION("IF($G298="""","""",IFERROR(query({proventos!$B$5:$Q310},""Select sum(Col16) where Col1 = '""&amp;$G298&amp;""' and Col2 &gt; date '""&amp;TEXT(L$8,""yyyy-mm-dd"")&amp;""' and Col2 &lt;= date '""&amp;TEXT(K$8,""yyyy-mm-dd"")&amp;""' label sum(Col16) ''"",0)))"),"")</f>
        <v/>
      </c>
      <c r="L298" s="628" t="str">
        <f>IFERROR(__xludf.DUMMYFUNCTION("IF($G298="""","""",IFERROR(query({proventos!$B$5:$Q310},""Select sum(Col16) where Col1 = '""&amp;$G298&amp;""' and Col2 &gt; date '""&amp;TEXT(M$8,""yyyy-mm-dd"")&amp;""' and Col2 &lt;= date '""&amp;TEXT(L$8,""yyyy-mm-dd"")&amp;""' label sum(Col16) ''"",0)))"),"")</f>
        <v/>
      </c>
      <c r="M298" s="628" t="str">
        <f>IFERROR(__xludf.DUMMYFUNCTION("IF($G298="""","""",IFERROR(query({proventos!$B$5:$Q310},""Select sum(Col16) where Col1 = '""&amp;$G298&amp;""' and Col2 &gt; date '""&amp;TEXT(N$8,""yyyy-mm-dd"")&amp;""' and Col2 &lt;= date '""&amp;TEXT(M$8,""yyyy-mm-dd"")&amp;""' label sum(Col16) ''"",0)))"),"")</f>
        <v/>
      </c>
      <c r="N298" s="628" t="str">
        <f>IFERROR(__xludf.DUMMYFUNCTION("IF($G298="""","""",IFERROR(query({proventos!$B$5:$Q310},""Select sum(Col16) where Col1 = '""&amp;$G298&amp;""' and Col2 &gt; date '""&amp;TEXT(O$8,""yyyy-mm-dd"")&amp;""' and Col2 &lt;= date '""&amp;TEXT(N$8,""yyyy-mm-dd"")&amp;""' label sum(Col16) ''"",0)))"),"")</f>
        <v/>
      </c>
      <c r="O298" s="628" t="str">
        <f>IFERROR(__xludf.DUMMYFUNCTION("IF($G298="""","""",IFERROR(query({proventos!$B$5:$Q310},""Select sum(Col16) where Col1 = '""&amp;$G298&amp;""' and Col2 &gt; date '""&amp;TEXT(P$8,""yyyy-mm-dd"")&amp;""' and Col2 &lt;= date '""&amp;TEXT(O$8,""yyyy-mm-dd"")&amp;""' label sum(Col16) ''"",0)))"),"")</f>
        <v/>
      </c>
      <c r="P298" s="628" t="str">
        <f>IFERROR(__xludf.DUMMYFUNCTION("IF($G298="""","""",IFERROR(query({proventos!$B$5:$Q310},""Select sum(Col16) where Col1 = '""&amp;$G298&amp;""' and Col2 &gt; date '""&amp;TEXT(Q$8,""yyyy-mm-dd"")&amp;""' and Col2 &lt;= date '""&amp;TEXT(P$8,""yyyy-mm-dd"")&amp;""' label sum(Col16) ''"",0)))"),"")</f>
        <v/>
      </c>
      <c r="Q298" s="628" t="str">
        <f>IFERROR(__xludf.DUMMYFUNCTION("IF($G298="""","""",IFERROR(query({proventos!$B$5:$Q310},""Select sum(Col16) where Col1 = '""&amp;$G298&amp;""' and Col2 &gt; date '""&amp;TEXT(R$8,""yyyy-mm-dd"")&amp;""' and Col2 &lt;= date '""&amp;TEXT(Q$8,""yyyy-mm-dd"")&amp;""' label sum(Col16) ''"",0)))"),"")</f>
        <v/>
      </c>
      <c r="R298" s="628" t="str">
        <f>IFERROR(__xludf.DUMMYFUNCTION("IF($G298="""","""",IFERROR(query({proventos!$B$5:$Q310},""Select sum(Col16) where Col1 = '""&amp;$G298&amp;""' and Col2 &gt; date '""&amp;TEXT(S$8,""yyyy-mm-dd"")&amp;""' and Col2 &lt;= date '""&amp;TEXT(R$8,""yyyy-mm-dd"")&amp;""' label sum(Col16) ''"",0)))"),"")</f>
        <v/>
      </c>
      <c r="S298" s="628" t="str">
        <f>IFERROR(__xludf.DUMMYFUNCTION("IF($G298="""","""",IFERROR(query({proventos!$B$5:$Q310},""Select sum(Col16) where Col1 = '""&amp;$G298&amp;""' and Col2 &gt; date '""&amp;TEXT(T$8,""yyyy-mm-dd"")&amp;""' and Col2 &lt;= date '""&amp;TEXT(S$8,""yyyy-mm-dd"")&amp;""' label sum(Col16) ''"",0)))"),"")</f>
        <v/>
      </c>
      <c r="T298" s="628" t="str">
        <f>IFERROR(__xludf.DUMMYFUNCTION("IF($G298="""","""",IFERROR(query({proventos!$B$5:$Q310},""Select sum(Col16) where Col1 = '""&amp;$G298&amp;""' and Col2 &gt; date '""&amp;TEXT(U$8,""yyyy-mm-dd"")&amp;""' and Col2 &lt;= date '""&amp;TEXT(T$8,""yyyy-mm-dd"")&amp;""' label sum(Col16) ''"",0)))"),"")</f>
        <v/>
      </c>
      <c r="U298" s="629" t="str">
        <f>IFERROR(__xludf.DUMMYFUNCTION("IF($G298="""","""",IFERROR(query({proventos!$B$5:$Q310},""Select sum(Col16) where Col1 = '""&amp;$G298&amp;""' and Col2 &gt; date '""&amp;TEXT(EOMONTH(TODAY(),-13),""yyyy-mm-dd"")&amp;""' and Col2 &lt;= date '""&amp;TEXT(U$8,""yyyy-mm-dd"")&amp;""' label sum(Col16) ''"",0)))"),"")</f>
        <v/>
      </c>
      <c r="V298" s="630" t="str">
        <f>IFERROR(__xludf.DUMMYFUNCTION("IF($G298="""","""",IFERROR(query({proventos!$B$5:$Q310},""Select sum(Col16) where Col1 = '""&amp;$G298&amp;""' and Col2 &gt; date '""&amp;TEXT(DATE(V$8,1,1),""yyyy-mm-dd"")&amp;""' and Col2 &lt;= date '""&amp;TEXT(DATE(V$8,12,31),""yyyy-mm-dd"")&amp;""' label sum(Col16) ''"",0)))"),"")</f>
        <v/>
      </c>
      <c r="W298" s="630" t="str">
        <f>IFERROR(__xludf.DUMMYFUNCTION("IF($G298="""","""",IFERROR(query({proventos!$B$5:$Q310},""Select sum(Col16) where Col1 = '""&amp;$G298&amp;""' and Col2 &gt; date '""&amp;TEXT(DATE(W$8,1,1),""yyyy-mm-dd"")&amp;""' and Col2 &lt;= date '""&amp;TEXT(DATE(W$8,12,31),""yyyy-mm-dd"")&amp;""' label sum(Col16) ''"",0)))"),"")</f>
        <v/>
      </c>
      <c r="X298" s="630" t="str">
        <f>IFERROR(__xludf.DUMMYFUNCTION("IF($G298="""","""",IFERROR(query({proventos!$B$5:$Q310},""Select sum(Col16) where Col1 = '""&amp;$G298&amp;""' and Col2 &gt; date '""&amp;TEXT(DATE(X$8,1,1),""yyyy-mm-dd"")&amp;""' and Col2 &lt;= date '""&amp;TEXT(DATE(X$8,12,31),""yyyy-mm-dd"")&amp;""' label sum(Col16) ''"",0)))"),"")</f>
        <v/>
      </c>
      <c r="Y298" s="630" t="str">
        <f>IFERROR(__xludf.DUMMYFUNCTION("IF($G298="""","""",IFERROR(query({proventos!$B$5:$Q310},""Select sum(Col16) where Col1 = '""&amp;$G298&amp;""' and Col2 &gt; date '""&amp;TEXT(DATE(Y$8,1,1),""yyyy-mm-dd"")&amp;""' and Col2 &lt;= date '""&amp;TEXT(DATE(Y$8,12,31),""yyyy-mm-dd"")&amp;""' label sum(Col16) ''"",0)))"),"")</f>
        <v/>
      </c>
      <c r="Z298" s="630" t="str">
        <f>IFERROR(__xludf.DUMMYFUNCTION("IF($G298="""","""",IFERROR(query({proventos!$B$5:$Q310},""Select sum(Col16) where Col1 = '""&amp;$G298&amp;""' and Col2 &gt; date '""&amp;TEXT(DATE(Z$8,1,1),""yyyy-mm-dd"")&amp;""' and Col2 &lt;= date '""&amp;TEXT(DATE(Z$8,12,31),""yyyy-mm-dd"")&amp;""' label sum(Col16) ''"",0)))"),"")</f>
        <v/>
      </c>
      <c r="AA298" s="587"/>
      <c r="AB298" s="578" t="s">
        <v>123</v>
      </c>
      <c r="AC298" s="601"/>
      <c r="AD298" s="638"/>
      <c r="AE298" s="638"/>
    </row>
    <row r="299">
      <c r="A299" s="576"/>
      <c r="B299" s="620"/>
      <c r="C299" s="637"/>
      <c r="D299" s="633"/>
      <c r="E299" s="633"/>
      <c r="F299" s="624">
        <v>289.0</v>
      </c>
      <c r="G299" s="635"/>
      <c r="H299" s="626" t="str">
        <f>if(G299="","",IFERROR(VLOOKUP(G299,AtivosDados,MATCH("provento_avg",portfolio.!$A$3:AE$3,0),FALSE),""))</f>
        <v/>
      </c>
      <c r="I299" s="627" t="s">
        <v>123</v>
      </c>
      <c r="J299" s="628" t="str">
        <f>IFERROR(__xludf.DUMMYFUNCTION("IF($G299="""","""",IFERROR(query({proventos!$B$5:$Q310},""Select sum(Col16) where Col1 = '""&amp;$G299&amp;""' and Col2 &gt; date '""&amp;TEXT(K$8,""yyyy-mm-dd"")&amp;""' and Col2 &lt;= date '""&amp;TEXT(J$8,""yyyy-mm-dd"")&amp;""' label sum(Col16) ''"",0)))"),"")</f>
        <v/>
      </c>
      <c r="K299" s="628" t="str">
        <f>IFERROR(__xludf.DUMMYFUNCTION("IF($G299="""","""",IFERROR(query({proventos!$B$5:$Q310},""Select sum(Col16) where Col1 = '""&amp;$G299&amp;""' and Col2 &gt; date '""&amp;TEXT(L$8,""yyyy-mm-dd"")&amp;""' and Col2 &lt;= date '""&amp;TEXT(K$8,""yyyy-mm-dd"")&amp;""' label sum(Col16) ''"",0)))"),"")</f>
        <v/>
      </c>
      <c r="L299" s="628" t="str">
        <f>IFERROR(__xludf.DUMMYFUNCTION("IF($G299="""","""",IFERROR(query({proventos!$B$5:$Q310},""Select sum(Col16) where Col1 = '""&amp;$G299&amp;""' and Col2 &gt; date '""&amp;TEXT(M$8,""yyyy-mm-dd"")&amp;""' and Col2 &lt;= date '""&amp;TEXT(L$8,""yyyy-mm-dd"")&amp;""' label sum(Col16) ''"",0)))"),"")</f>
        <v/>
      </c>
      <c r="M299" s="628" t="str">
        <f>IFERROR(__xludf.DUMMYFUNCTION("IF($G299="""","""",IFERROR(query({proventos!$B$5:$Q310},""Select sum(Col16) where Col1 = '""&amp;$G299&amp;""' and Col2 &gt; date '""&amp;TEXT(N$8,""yyyy-mm-dd"")&amp;""' and Col2 &lt;= date '""&amp;TEXT(M$8,""yyyy-mm-dd"")&amp;""' label sum(Col16) ''"",0)))"),"")</f>
        <v/>
      </c>
      <c r="N299" s="628" t="str">
        <f>IFERROR(__xludf.DUMMYFUNCTION("IF($G299="""","""",IFERROR(query({proventos!$B$5:$Q310},""Select sum(Col16) where Col1 = '""&amp;$G299&amp;""' and Col2 &gt; date '""&amp;TEXT(O$8,""yyyy-mm-dd"")&amp;""' and Col2 &lt;= date '""&amp;TEXT(N$8,""yyyy-mm-dd"")&amp;""' label sum(Col16) ''"",0)))"),"")</f>
        <v/>
      </c>
      <c r="O299" s="628" t="str">
        <f>IFERROR(__xludf.DUMMYFUNCTION("IF($G299="""","""",IFERROR(query({proventos!$B$5:$Q310},""Select sum(Col16) where Col1 = '""&amp;$G299&amp;""' and Col2 &gt; date '""&amp;TEXT(P$8,""yyyy-mm-dd"")&amp;""' and Col2 &lt;= date '""&amp;TEXT(O$8,""yyyy-mm-dd"")&amp;""' label sum(Col16) ''"",0)))"),"")</f>
        <v/>
      </c>
      <c r="P299" s="628" t="str">
        <f>IFERROR(__xludf.DUMMYFUNCTION("IF($G299="""","""",IFERROR(query({proventos!$B$5:$Q310},""Select sum(Col16) where Col1 = '""&amp;$G299&amp;""' and Col2 &gt; date '""&amp;TEXT(Q$8,""yyyy-mm-dd"")&amp;""' and Col2 &lt;= date '""&amp;TEXT(P$8,""yyyy-mm-dd"")&amp;""' label sum(Col16) ''"",0)))"),"")</f>
        <v/>
      </c>
      <c r="Q299" s="628" t="str">
        <f>IFERROR(__xludf.DUMMYFUNCTION("IF($G299="""","""",IFERROR(query({proventos!$B$5:$Q310},""Select sum(Col16) where Col1 = '""&amp;$G299&amp;""' and Col2 &gt; date '""&amp;TEXT(R$8,""yyyy-mm-dd"")&amp;""' and Col2 &lt;= date '""&amp;TEXT(Q$8,""yyyy-mm-dd"")&amp;""' label sum(Col16) ''"",0)))"),"")</f>
        <v/>
      </c>
      <c r="R299" s="628" t="str">
        <f>IFERROR(__xludf.DUMMYFUNCTION("IF($G299="""","""",IFERROR(query({proventos!$B$5:$Q310},""Select sum(Col16) where Col1 = '""&amp;$G299&amp;""' and Col2 &gt; date '""&amp;TEXT(S$8,""yyyy-mm-dd"")&amp;""' and Col2 &lt;= date '""&amp;TEXT(R$8,""yyyy-mm-dd"")&amp;""' label sum(Col16) ''"",0)))"),"")</f>
        <v/>
      </c>
      <c r="S299" s="628" t="str">
        <f>IFERROR(__xludf.DUMMYFUNCTION("IF($G299="""","""",IFERROR(query({proventos!$B$5:$Q310},""Select sum(Col16) where Col1 = '""&amp;$G299&amp;""' and Col2 &gt; date '""&amp;TEXT(T$8,""yyyy-mm-dd"")&amp;""' and Col2 &lt;= date '""&amp;TEXT(S$8,""yyyy-mm-dd"")&amp;""' label sum(Col16) ''"",0)))"),"")</f>
        <v/>
      </c>
      <c r="T299" s="628" t="str">
        <f>IFERROR(__xludf.DUMMYFUNCTION("IF($G299="""","""",IFERROR(query({proventos!$B$5:$Q310},""Select sum(Col16) where Col1 = '""&amp;$G299&amp;""' and Col2 &gt; date '""&amp;TEXT(U$8,""yyyy-mm-dd"")&amp;""' and Col2 &lt;= date '""&amp;TEXT(T$8,""yyyy-mm-dd"")&amp;""' label sum(Col16) ''"",0)))"),"")</f>
        <v/>
      </c>
      <c r="U299" s="629" t="str">
        <f>IFERROR(__xludf.DUMMYFUNCTION("IF($G299="""","""",IFERROR(query({proventos!$B$5:$Q310},""Select sum(Col16) where Col1 = '""&amp;$G299&amp;""' and Col2 &gt; date '""&amp;TEXT(EOMONTH(TODAY(),-13),""yyyy-mm-dd"")&amp;""' and Col2 &lt;= date '""&amp;TEXT(U$8,""yyyy-mm-dd"")&amp;""' label sum(Col16) ''"",0)))"),"")</f>
        <v/>
      </c>
      <c r="V299" s="630" t="str">
        <f>IFERROR(__xludf.DUMMYFUNCTION("IF($G299="""","""",IFERROR(query({proventos!$B$5:$Q310},""Select sum(Col16) where Col1 = '""&amp;$G299&amp;""' and Col2 &gt; date '""&amp;TEXT(DATE(V$8,1,1),""yyyy-mm-dd"")&amp;""' and Col2 &lt;= date '""&amp;TEXT(DATE(V$8,12,31),""yyyy-mm-dd"")&amp;""' label sum(Col16) ''"",0)))"),"")</f>
        <v/>
      </c>
      <c r="W299" s="630" t="str">
        <f>IFERROR(__xludf.DUMMYFUNCTION("IF($G299="""","""",IFERROR(query({proventos!$B$5:$Q310},""Select sum(Col16) where Col1 = '""&amp;$G299&amp;""' and Col2 &gt; date '""&amp;TEXT(DATE(W$8,1,1),""yyyy-mm-dd"")&amp;""' and Col2 &lt;= date '""&amp;TEXT(DATE(W$8,12,31),""yyyy-mm-dd"")&amp;""' label sum(Col16) ''"",0)))"),"")</f>
        <v/>
      </c>
      <c r="X299" s="630" t="str">
        <f>IFERROR(__xludf.DUMMYFUNCTION("IF($G299="""","""",IFERROR(query({proventos!$B$5:$Q310},""Select sum(Col16) where Col1 = '""&amp;$G299&amp;""' and Col2 &gt; date '""&amp;TEXT(DATE(X$8,1,1),""yyyy-mm-dd"")&amp;""' and Col2 &lt;= date '""&amp;TEXT(DATE(X$8,12,31),""yyyy-mm-dd"")&amp;""' label sum(Col16) ''"",0)))"),"")</f>
        <v/>
      </c>
      <c r="Y299" s="630" t="str">
        <f>IFERROR(__xludf.DUMMYFUNCTION("IF($G299="""","""",IFERROR(query({proventos!$B$5:$Q310},""Select sum(Col16) where Col1 = '""&amp;$G299&amp;""' and Col2 &gt; date '""&amp;TEXT(DATE(Y$8,1,1),""yyyy-mm-dd"")&amp;""' and Col2 &lt;= date '""&amp;TEXT(DATE(Y$8,12,31),""yyyy-mm-dd"")&amp;""' label sum(Col16) ''"",0)))"),"")</f>
        <v/>
      </c>
      <c r="Z299" s="630" t="str">
        <f>IFERROR(__xludf.DUMMYFUNCTION("IF($G299="""","""",IFERROR(query({proventos!$B$5:$Q310},""Select sum(Col16) where Col1 = '""&amp;$G299&amp;""' and Col2 &gt; date '""&amp;TEXT(DATE(Z$8,1,1),""yyyy-mm-dd"")&amp;""' and Col2 &lt;= date '""&amp;TEXT(DATE(Z$8,12,31),""yyyy-mm-dd"")&amp;""' label sum(Col16) ''"",0)))"),"")</f>
        <v/>
      </c>
      <c r="AA299" s="587"/>
      <c r="AB299" s="578" t="s">
        <v>123</v>
      </c>
      <c r="AC299" s="601"/>
      <c r="AD299" s="638"/>
      <c r="AE299" s="638"/>
    </row>
    <row r="300">
      <c r="A300" s="576"/>
      <c r="B300" s="620"/>
      <c r="C300" s="637"/>
      <c r="D300" s="633"/>
      <c r="E300" s="633"/>
      <c r="F300" s="624">
        <v>290.0</v>
      </c>
      <c r="G300" s="635"/>
      <c r="H300" s="626" t="str">
        <f>if(G300="","",IFERROR(VLOOKUP(G300,AtivosDados,MATCH("provento_avg",portfolio.!$A$3:AE$3,0),FALSE),""))</f>
        <v/>
      </c>
      <c r="I300" s="627" t="s">
        <v>123</v>
      </c>
      <c r="J300" s="628" t="str">
        <f>IFERROR(__xludf.DUMMYFUNCTION("IF($G300="""","""",IFERROR(query({proventos!$B$5:$Q310},""Select sum(Col16) where Col1 = '""&amp;$G300&amp;""' and Col2 &gt; date '""&amp;TEXT(K$8,""yyyy-mm-dd"")&amp;""' and Col2 &lt;= date '""&amp;TEXT(J$8,""yyyy-mm-dd"")&amp;""' label sum(Col16) ''"",0)))"),"")</f>
        <v/>
      </c>
      <c r="K300" s="628" t="str">
        <f>IFERROR(__xludf.DUMMYFUNCTION("IF($G300="""","""",IFERROR(query({proventos!$B$5:$Q310},""Select sum(Col16) where Col1 = '""&amp;$G300&amp;""' and Col2 &gt; date '""&amp;TEXT(L$8,""yyyy-mm-dd"")&amp;""' and Col2 &lt;= date '""&amp;TEXT(K$8,""yyyy-mm-dd"")&amp;""' label sum(Col16) ''"",0)))"),"")</f>
        <v/>
      </c>
      <c r="L300" s="628" t="str">
        <f>IFERROR(__xludf.DUMMYFUNCTION("IF($G300="""","""",IFERROR(query({proventos!$B$5:$Q310},""Select sum(Col16) where Col1 = '""&amp;$G300&amp;""' and Col2 &gt; date '""&amp;TEXT(M$8,""yyyy-mm-dd"")&amp;""' and Col2 &lt;= date '""&amp;TEXT(L$8,""yyyy-mm-dd"")&amp;""' label sum(Col16) ''"",0)))"),"")</f>
        <v/>
      </c>
      <c r="M300" s="628" t="str">
        <f>IFERROR(__xludf.DUMMYFUNCTION("IF($G300="""","""",IFERROR(query({proventos!$B$5:$Q310},""Select sum(Col16) where Col1 = '""&amp;$G300&amp;""' and Col2 &gt; date '""&amp;TEXT(N$8,""yyyy-mm-dd"")&amp;""' and Col2 &lt;= date '""&amp;TEXT(M$8,""yyyy-mm-dd"")&amp;""' label sum(Col16) ''"",0)))"),"")</f>
        <v/>
      </c>
      <c r="N300" s="628" t="str">
        <f>IFERROR(__xludf.DUMMYFUNCTION("IF($G300="""","""",IFERROR(query({proventos!$B$5:$Q310},""Select sum(Col16) where Col1 = '""&amp;$G300&amp;""' and Col2 &gt; date '""&amp;TEXT(O$8,""yyyy-mm-dd"")&amp;""' and Col2 &lt;= date '""&amp;TEXT(N$8,""yyyy-mm-dd"")&amp;""' label sum(Col16) ''"",0)))"),"")</f>
        <v/>
      </c>
      <c r="O300" s="628" t="str">
        <f>IFERROR(__xludf.DUMMYFUNCTION("IF($G300="""","""",IFERROR(query({proventos!$B$5:$Q310},""Select sum(Col16) where Col1 = '""&amp;$G300&amp;""' and Col2 &gt; date '""&amp;TEXT(P$8,""yyyy-mm-dd"")&amp;""' and Col2 &lt;= date '""&amp;TEXT(O$8,""yyyy-mm-dd"")&amp;""' label sum(Col16) ''"",0)))"),"")</f>
        <v/>
      </c>
      <c r="P300" s="628" t="str">
        <f>IFERROR(__xludf.DUMMYFUNCTION("IF($G300="""","""",IFERROR(query({proventos!$B$5:$Q310},""Select sum(Col16) where Col1 = '""&amp;$G300&amp;""' and Col2 &gt; date '""&amp;TEXT(Q$8,""yyyy-mm-dd"")&amp;""' and Col2 &lt;= date '""&amp;TEXT(P$8,""yyyy-mm-dd"")&amp;""' label sum(Col16) ''"",0)))"),"")</f>
        <v/>
      </c>
      <c r="Q300" s="628" t="str">
        <f>IFERROR(__xludf.DUMMYFUNCTION("IF($G300="""","""",IFERROR(query({proventos!$B$5:$Q310},""Select sum(Col16) where Col1 = '""&amp;$G300&amp;""' and Col2 &gt; date '""&amp;TEXT(R$8,""yyyy-mm-dd"")&amp;""' and Col2 &lt;= date '""&amp;TEXT(Q$8,""yyyy-mm-dd"")&amp;""' label sum(Col16) ''"",0)))"),"")</f>
        <v/>
      </c>
      <c r="R300" s="628" t="str">
        <f>IFERROR(__xludf.DUMMYFUNCTION("IF($G300="""","""",IFERROR(query({proventos!$B$5:$Q310},""Select sum(Col16) where Col1 = '""&amp;$G300&amp;""' and Col2 &gt; date '""&amp;TEXT(S$8,""yyyy-mm-dd"")&amp;""' and Col2 &lt;= date '""&amp;TEXT(R$8,""yyyy-mm-dd"")&amp;""' label sum(Col16) ''"",0)))"),"")</f>
        <v/>
      </c>
      <c r="S300" s="628" t="str">
        <f>IFERROR(__xludf.DUMMYFUNCTION("IF($G300="""","""",IFERROR(query({proventos!$B$5:$Q310},""Select sum(Col16) where Col1 = '""&amp;$G300&amp;""' and Col2 &gt; date '""&amp;TEXT(T$8,""yyyy-mm-dd"")&amp;""' and Col2 &lt;= date '""&amp;TEXT(S$8,""yyyy-mm-dd"")&amp;""' label sum(Col16) ''"",0)))"),"")</f>
        <v/>
      </c>
      <c r="T300" s="628" t="str">
        <f>IFERROR(__xludf.DUMMYFUNCTION("IF($G300="""","""",IFERROR(query({proventos!$B$5:$Q310},""Select sum(Col16) where Col1 = '""&amp;$G300&amp;""' and Col2 &gt; date '""&amp;TEXT(U$8,""yyyy-mm-dd"")&amp;""' and Col2 &lt;= date '""&amp;TEXT(T$8,""yyyy-mm-dd"")&amp;""' label sum(Col16) ''"",0)))"),"")</f>
        <v/>
      </c>
      <c r="U300" s="629" t="str">
        <f>IFERROR(__xludf.DUMMYFUNCTION("IF($G300="""","""",IFERROR(query({proventos!$B$5:$Q310},""Select sum(Col16) where Col1 = '""&amp;$G300&amp;""' and Col2 &gt; date '""&amp;TEXT(EOMONTH(TODAY(),-13),""yyyy-mm-dd"")&amp;""' and Col2 &lt;= date '""&amp;TEXT(U$8,""yyyy-mm-dd"")&amp;""' label sum(Col16) ''"",0)))"),"")</f>
        <v/>
      </c>
      <c r="V300" s="630" t="str">
        <f>IFERROR(__xludf.DUMMYFUNCTION("IF($G300="""","""",IFERROR(query({proventos!$B$5:$Q310},""Select sum(Col16) where Col1 = '""&amp;$G300&amp;""' and Col2 &gt; date '""&amp;TEXT(DATE(V$8,1,1),""yyyy-mm-dd"")&amp;""' and Col2 &lt;= date '""&amp;TEXT(DATE(V$8,12,31),""yyyy-mm-dd"")&amp;""' label sum(Col16) ''"",0)))"),"")</f>
        <v/>
      </c>
      <c r="W300" s="630" t="str">
        <f>IFERROR(__xludf.DUMMYFUNCTION("IF($G300="""","""",IFERROR(query({proventos!$B$5:$Q310},""Select sum(Col16) where Col1 = '""&amp;$G300&amp;""' and Col2 &gt; date '""&amp;TEXT(DATE(W$8,1,1),""yyyy-mm-dd"")&amp;""' and Col2 &lt;= date '""&amp;TEXT(DATE(W$8,12,31),""yyyy-mm-dd"")&amp;""' label sum(Col16) ''"",0)))"),"")</f>
        <v/>
      </c>
      <c r="X300" s="630" t="str">
        <f>IFERROR(__xludf.DUMMYFUNCTION("IF($G300="""","""",IFERROR(query({proventos!$B$5:$Q310},""Select sum(Col16) where Col1 = '""&amp;$G300&amp;""' and Col2 &gt; date '""&amp;TEXT(DATE(X$8,1,1),""yyyy-mm-dd"")&amp;""' and Col2 &lt;= date '""&amp;TEXT(DATE(X$8,12,31),""yyyy-mm-dd"")&amp;""' label sum(Col16) ''"",0)))"),"")</f>
        <v/>
      </c>
      <c r="Y300" s="630" t="str">
        <f>IFERROR(__xludf.DUMMYFUNCTION("IF($G300="""","""",IFERROR(query({proventos!$B$5:$Q310},""Select sum(Col16) where Col1 = '""&amp;$G300&amp;""' and Col2 &gt; date '""&amp;TEXT(DATE(Y$8,1,1),""yyyy-mm-dd"")&amp;""' and Col2 &lt;= date '""&amp;TEXT(DATE(Y$8,12,31),""yyyy-mm-dd"")&amp;""' label sum(Col16) ''"",0)))"),"")</f>
        <v/>
      </c>
      <c r="Z300" s="630" t="str">
        <f>IFERROR(__xludf.DUMMYFUNCTION("IF($G300="""","""",IFERROR(query({proventos!$B$5:$Q310},""Select sum(Col16) where Col1 = '""&amp;$G300&amp;""' and Col2 &gt; date '""&amp;TEXT(DATE(Z$8,1,1),""yyyy-mm-dd"")&amp;""' and Col2 &lt;= date '""&amp;TEXT(DATE(Z$8,12,31),""yyyy-mm-dd"")&amp;""' label sum(Col16) ''"",0)))"),"")</f>
        <v/>
      </c>
      <c r="AA300" s="587"/>
      <c r="AB300" s="578" t="s">
        <v>123</v>
      </c>
      <c r="AC300" s="601"/>
      <c r="AD300" s="638"/>
      <c r="AE300" s="638"/>
    </row>
    <row r="301">
      <c r="A301" s="576"/>
      <c r="B301" s="620"/>
      <c r="C301" s="637"/>
      <c r="D301" s="633"/>
      <c r="E301" s="633"/>
      <c r="F301" s="624">
        <v>291.0</v>
      </c>
      <c r="G301" s="635"/>
      <c r="H301" s="626" t="str">
        <f>if(G301="","",IFERROR(VLOOKUP(G301,AtivosDados,MATCH("provento_avg",portfolio.!$A$3:AE$3,0),FALSE),""))</f>
        <v/>
      </c>
      <c r="I301" s="627" t="s">
        <v>123</v>
      </c>
      <c r="J301" s="628" t="str">
        <f>IFERROR(__xludf.DUMMYFUNCTION("IF($G301="""","""",IFERROR(query({proventos!$B$5:$Q310},""Select sum(Col16) where Col1 = '""&amp;$G301&amp;""' and Col2 &gt; date '""&amp;TEXT(K$8,""yyyy-mm-dd"")&amp;""' and Col2 &lt;= date '""&amp;TEXT(J$8,""yyyy-mm-dd"")&amp;""' label sum(Col16) ''"",0)))"),"")</f>
        <v/>
      </c>
      <c r="K301" s="628" t="str">
        <f>IFERROR(__xludf.DUMMYFUNCTION("IF($G301="""","""",IFERROR(query({proventos!$B$5:$Q310},""Select sum(Col16) where Col1 = '""&amp;$G301&amp;""' and Col2 &gt; date '""&amp;TEXT(L$8,""yyyy-mm-dd"")&amp;""' and Col2 &lt;= date '""&amp;TEXT(K$8,""yyyy-mm-dd"")&amp;""' label sum(Col16) ''"",0)))"),"")</f>
        <v/>
      </c>
      <c r="L301" s="628" t="str">
        <f>IFERROR(__xludf.DUMMYFUNCTION("IF($G301="""","""",IFERROR(query({proventos!$B$5:$Q310},""Select sum(Col16) where Col1 = '""&amp;$G301&amp;""' and Col2 &gt; date '""&amp;TEXT(M$8,""yyyy-mm-dd"")&amp;""' and Col2 &lt;= date '""&amp;TEXT(L$8,""yyyy-mm-dd"")&amp;""' label sum(Col16) ''"",0)))"),"")</f>
        <v/>
      </c>
      <c r="M301" s="628" t="str">
        <f>IFERROR(__xludf.DUMMYFUNCTION("IF($G301="""","""",IFERROR(query({proventos!$B$5:$Q310},""Select sum(Col16) where Col1 = '""&amp;$G301&amp;""' and Col2 &gt; date '""&amp;TEXT(N$8,""yyyy-mm-dd"")&amp;""' and Col2 &lt;= date '""&amp;TEXT(M$8,""yyyy-mm-dd"")&amp;""' label sum(Col16) ''"",0)))"),"")</f>
        <v/>
      </c>
      <c r="N301" s="628" t="str">
        <f>IFERROR(__xludf.DUMMYFUNCTION("IF($G301="""","""",IFERROR(query({proventos!$B$5:$Q310},""Select sum(Col16) where Col1 = '""&amp;$G301&amp;""' and Col2 &gt; date '""&amp;TEXT(O$8,""yyyy-mm-dd"")&amp;""' and Col2 &lt;= date '""&amp;TEXT(N$8,""yyyy-mm-dd"")&amp;""' label sum(Col16) ''"",0)))"),"")</f>
        <v/>
      </c>
      <c r="O301" s="628" t="str">
        <f>IFERROR(__xludf.DUMMYFUNCTION("IF($G301="""","""",IFERROR(query({proventos!$B$5:$Q310},""Select sum(Col16) where Col1 = '""&amp;$G301&amp;""' and Col2 &gt; date '""&amp;TEXT(P$8,""yyyy-mm-dd"")&amp;""' and Col2 &lt;= date '""&amp;TEXT(O$8,""yyyy-mm-dd"")&amp;""' label sum(Col16) ''"",0)))"),"")</f>
        <v/>
      </c>
      <c r="P301" s="628" t="str">
        <f>IFERROR(__xludf.DUMMYFUNCTION("IF($G301="""","""",IFERROR(query({proventos!$B$5:$Q310},""Select sum(Col16) where Col1 = '""&amp;$G301&amp;""' and Col2 &gt; date '""&amp;TEXT(Q$8,""yyyy-mm-dd"")&amp;""' and Col2 &lt;= date '""&amp;TEXT(P$8,""yyyy-mm-dd"")&amp;""' label sum(Col16) ''"",0)))"),"")</f>
        <v/>
      </c>
      <c r="Q301" s="628" t="str">
        <f>IFERROR(__xludf.DUMMYFUNCTION("IF($G301="""","""",IFERROR(query({proventos!$B$5:$Q310},""Select sum(Col16) where Col1 = '""&amp;$G301&amp;""' and Col2 &gt; date '""&amp;TEXT(R$8,""yyyy-mm-dd"")&amp;""' and Col2 &lt;= date '""&amp;TEXT(Q$8,""yyyy-mm-dd"")&amp;""' label sum(Col16) ''"",0)))"),"")</f>
        <v/>
      </c>
      <c r="R301" s="628" t="str">
        <f>IFERROR(__xludf.DUMMYFUNCTION("IF($G301="""","""",IFERROR(query({proventos!$B$5:$Q310},""Select sum(Col16) where Col1 = '""&amp;$G301&amp;""' and Col2 &gt; date '""&amp;TEXT(S$8,""yyyy-mm-dd"")&amp;""' and Col2 &lt;= date '""&amp;TEXT(R$8,""yyyy-mm-dd"")&amp;""' label sum(Col16) ''"",0)))"),"")</f>
        <v/>
      </c>
      <c r="S301" s="628" t="str">
        <f>IFERROR(__xludf.DUMMYFUNCTION("IF($G301="""","""",IFERROR(query({proventos!$B$5:$Q310},""Select sum(Col16) where Col1 = '""&amp;$G301&amp;""' and Col2 &gt; date '""&amp;TEXT(T$8,""yyyy-mm-dd"")&amp;""' and Col2 &lt;= date '""&amp;TEXT(S$8,""yyyy-mm-dd"")&amp;""' label sum(Col16) ''"",0)))"),"")</f>
        <v/>
      </c>
      <c r="T301" s="628" t="str">
        <f>IFERROR(__xludf.DUMMYFUNCTION("IF($G301="""","""",IFERROR(query({proventos!$B$5:$Q310},""Select sum(Col16) where Col1 = '""&amp;$G301&amp;""' and Col2 &gt; date '""&amp;TEXT(U$8,""yyyy-mm-dd"")&amp;""' and Col2 &lt;= date '""&amp;TEXT(T$8,""yyyy-mm-dd"")&amp;""' label sum(Col16) ''"",0)))"),"")</f>
        <v/>
      </c>
      <c r="U301" s="629" t="str">
        <f>IFERROR(__xludf.DUMMYFUNCTION("IF($G301="""","""",IFERROR(query({proventos!$B$5:$Q310},""Select sum(Col16) where Col1 = '""&amp;$G301&amp;""' and Col2 &gt; date '""&amp;TEXT(EOMONTH(TODAY(),-13),""yyyy-mm-dd"")&amp;""' and Col2 &lt;= date '""&amp;TEXT(U$8,""yyyy-mm-dd"")&amp;""' label sum(Col16) ''"",0)))"),"")</f>
        <v/>
      </c>
      <c r="V301" s="630" t="str">
        <f>IFERROR(__xludf.DUMMYFUNCTION("IF($G301="""","""",IFERROR(query({proventos!$B$5:$Q310},""Select sum(Col16) where Col1 = '""&amp;$G301&amp;""' and Col2 &gt; date '""&amp;TEXT(DATE(V$8,1,1),""yyyy-mm-dd"")&amp;""' and Col2 &lt;= date '""&amp;TEXT(DATE(V$8,12,31),""yyyy-mm-dd"")&amp;""' label sum(Col16) ''"",0)))"),"")</f>
        <v/>
      </c>
      <c r="W301" s="630" t="str">
        <f>IFERROR(__xludf.DUMMYFUNCTION("IF($G301="""","""",IFERROR(query({proventos!$B$5:$Q310},""Select sum(Col16) where Col1 = '""&amp;$G301&amp;""' and Col2 &gt; date '""&amp;TEXT(DATE(W$8,1,1),""yyyy-mm-dd"")&amp;""' and Col2 &lt;= date '""&amp;TEXT(DATE(W$8,12,31),""yyyy-mm-dd"")&amp;""' label sum(Col16) ''"",0)))"),"")</f>
        <v/>
      </c>
      <c r="X301" s="630" t="str">
        <f>IFERROR(__xludf.DUMMYFUNCTION("IF($G301="""","""",IFERROR(query({proventos!$B$5:$Q310},""Select sum(Col16) where Col1 = '""&amp;$G301&amp;""' and Col2 &gt; date '""&amp;TEXT(DATE(X$8,1,1),""yyyy-mm-dd"")&amp;""' and Col2 &lt;= date '""&amp;TEXT(DATE(X$8,12,31),""yyyy-mm-dd"")&amp;""' label sum(Col16) ''"",0)))"),"")</f>
        <v/>
      </c>
      <c r="Y301" s="630" t="str">
        <f>IFERROR(__xludf.DUMMYFUNCTION("IF($G301="""","""",IFERROR(query({proventos!$B$5:$Q310},""Select sum(Col16) where Col1 = '""&amp;$G301&amp;""' and Col2 &gt; date '""&amp;TEXT(DATE(Y$8,1,1),""yyyy-mm-dd"")&amp;""' and Col2 &lt;= date '""&amp;TEXT(DATE(Y$8,12,31),""yyyy-mm-dd"")&amp;""' label sum(Col16) ''"",0)))"),"")</f>
        <v/>
      </c>
      <c r="Z301" s="630" t="str">
        <f>IFERROR(__xludf.DUMMYFUNCTION("IF($G301="""","""",IFERROR(query({proventos!$B$5:$Q310},""Select sum(Col16) where Col1 = '""&amp;$G301&amp;""' and Col2 &gt; date '""&amp;TEXT(DATE(Z$8,1,1),""yyyy-mm-dd"")&amp;""' and Col2 &lt;= date '""&amp;TEXT(DATE(Z$8,12,31),""yyyy-mm-dd"")&amp;""' label sum(Col16) ''"",0)))"),"")</f>
        <v/>
      </c>
      <c r="AA301" s="587"/>
      <c r="AB301" s="578" t="s">
        <v>123</v>
      </c>
      <c r="AC301" s="601"/>
      <c r="AD301" s="638"/>
      <c r="AE301" s="638"/>
    </row>
    <row r="302">
      <c r="A302" s="576"/>
      <c r="B302" s="620"/>
      <c r="C302" s="637"/>
      <c r="D302" s="633"/>
      <c r="E302" s="633"/>
      <c r="F302" s="624">
        <v>292.0</v>
      </c>
      <c r="G302" s="635"/>
      <c r="H302" s="626" t="str">
        <f>if(G302="","",IFERROR(VLOOKUP(G302,AtivosDados,MATCH("provento_avg",portfolio.!$A$3:AE$3,0),FALSE),""))</f>
        <v/>
      </c>
      <c r="I302" s="627" t="s">
        <v>123</v>
      </c>
      <c r="J302" s="628" t="str">
        <f>IFERROR(__xludf.DUMMYFUNCTION("IF($G302="""","""",IFERROR(query({proventos!$B$5:$Q310},""Select sum(Col16) where Col1 = '""&amp;$G302&amp;""' and Col2 &gt; date '""&amp;TEXT(K$8,""yyyy-mm-dd"")&amp;""' and Col2 &lt;= date '""&amp;TEXT(J$8,""yyyy-mm-dd"")&amp;""' label sum(Col16) ''"",0)))"),"")</f>
        <v/>
      </c>
      <c r="K302" s="628" t="str">
        <f>IFERROR(__xludf.DUMMYFUNCTION("IF($G302="""","""",IFERROR(query({proventos!$B$5:$Q310},""Select sum(Col16) where Col1 = '""&amp;$G302&amp;""' and Col2 &gt; date '""&amp;TEXT(L$8,""yyyy-mm-dd"")&amp;""' and Col2 &lt;= date '""&amp;TEXT(K$8,""yyyy-mm-dd"")&amp;""' label sum(Col16) ''"",0)))"),"")</f>
        <v/>
      </c>
      <c r="L302" s="628" t="str">
        <f>IFERROR(__xludf.DUMMYFUNCTION("IF($G302="""","""",IFERROR(query({proventos!$B$5:$Q310},""Select sum(Col16) where Col1 = '""&amp;$G302&amp;""' and Col2 &gt; date '""&amp;TEXT(M$8,""yyyy-mm-dd"")&amp;""' and Col2 &lt;= date '""&amp;TEXT(L$8,""yyyy-mm-dd"")&amp;""' label sum(Col16) ''"",0)))"),"")</f>
        <v/>
      </c>
      <c r="M302" s="628" t="str">
        <f>IFERROR(__xludf.DUMMYFUNCTION("IF($G302="""","""",IFERROR(query({proventos!$B$5:$Q310},""Select sum(Col16) where Col1 = '""&amp;$G302&amp;""' and Col2 &gt; date '""&amp;TEXT(N$8,""yyyy-mm-dd"")&amp;""' and Col2 &lt;= date '""&amp;TEXT(M$8,""yyyy-mm-dd"")&amp;""' label sum(Col16) ''"",0)))"),"")</f>
        <v/>
      </c>
      <c r="N302" s="628" t="str">
        <f>IFERROR(__xludf.DUMMYFUNCTION("IF($G302="""","""",IFERROR(query({proventos!$B$5:$Q310},""Select sum(Col16) where Col1 = '""&amp;$G302&amp;""' and Col2 &gt; date '""&amp;TEXT(O$8,""yyyy-mm-dd"")&amp;""' and Col2 &lt;= date '""&amp;TEXT(N$8,""yyyy-mm-dd"")&amp;""' label sum(Col16) ''"",0)))"),"")</f>
        <v/>
      </c>
      <c r="O302" s="628" t="str">
        <f>IFERROR(__xludf.DUMMYFUNCTION("IF($G302="""","""",IFERROR(query({proventos!$B$5:$Q310},""Select sum(Col16) where Col1 = '""&amp;$G302&amp;""' and Col2 &gt; date '""&amp;TEXT(P$8,""yyyy-mm-dd"")&amp;""' and Col2 &lt;= date '""&amp;TEXT(O$8,""yyyy-mm-dd"")&amp;""' label sum(Col16) ''"",0)))"),"")</f>
        <v/>
      </c>
      <c r="P302" s="628" t="str">
        <f>IFERROR(__xludf.DUMMYFUNCTION("IF($G302="""","""",IFERROR(query({proventos!$B$5:$Q310},""Select sum(Col16) where Col1 = '""&amp;$G302&amp;""' and Col2 &gt; date '""&amp;TEXT(Q$8,""yyyy-mm-dd"")&amp;""' and Col2 &lt;= date '""&amp;TEXT(P$8,""yyyy-mm-dd"")&amp;""' label sum(Col16) ''"",0)))"),"")</f>
        <v/>
      </c>
      <c r="Q302" s="628" t="str">
        <f>IFERROR(__xludf.DUMMYFUNCTION("IF($G302="""","""",IFERROR(query({proventos!$B$5:$Q310},""Select sum(Col16) where Col1 = '""&amp;$G302&amp;""' and Col2 &gt; date '""&amp;TEXT(R$8,""yyyy-mm-dd"")&amp;""' and Col2 &lt;= date '""&amp;TEXT(Q$8,""yyyy-mm-dd"")&amp;""' label sum(Col16) ''"",0)))"),"")</f>
        <v/>
      </c>
      <c r="R302" s="628" t="str">
        <f>IFERROR(__xludf.DUMMYFUNCTION("IF($G302="""","""",IFERROR(query({proventos!$B$5:$Q310},""Select sum(Col16) where Col1 = '""&amp;$G302&amp;""' and Col2 &gt; date '""&amp;TEXT(S$8,""yyyy-mm-dd"")&amp;""' and Col2 &lt;= date '""&amp;TEXT(R$8,""yyyy-mm-dd"")&amp;""' label sum(Col16) ''"",0)))"),"")</f>
        <v/>
      </c>
      <c r="S302" s="628" t="str">
        <f>IFERROR(__xludf.DUMMYFUNCTION("IF($G302="""","""",IFERROR(query({proventos!$B$5:$Q310},""Select sum(Col16) where Col1 = '""&amp;$G302&amp;""' and Col2 &gt; date '""&amp;TEXT(T$8,""yyyy-mm-dd"")&amp;""' and Col2 &lt;= date '""&amp;TEXT(S$8,""yyyy-mm-dd"")&amp;""' label sum(Col16) ''"",0)))"),"")</f>
        <v/>
      </c>
      <c r="T302" s="628" t="str">
        <f>IFERROR(__xludf.DUMMYFUNCTION("IF($G302="""","""",IFERROR(query({proventos!$B$5:$Q310},""Select sum(Col16) where Col1 = '""&amp;$G302&amp;""' and Col2 &gt; date '""&amp;TEXT(U$8,""yyyy-mm-dd"")&amp;""' and Col2 &lt;= date '""&amp;TEXT(T$8,""yyyy-mm-dd"")&amp;""' label sum(Col16) ''"",0)))"),"")</f>
        <v/>
      </c>
      <c r="U302" s="629" t="str">
        <f>IFERROR(__xludf.DUMMYFUNCTION("IF($G302="""","""",IFERROR(query({proventos!$B$5:$Q310},""Select sum(Col16) where Col1 = '""&amp;$G302&amp;""' and Col2 &gt; date '""&amp;TEXT(EOMONTH(TODAY(),-13),""yyyy-mm-dd"")&amp;""' and Col2 &lt;= date '""&amp;TEXT(U$8,""yyyy-mm-dd"")&amp;""' label sum(Col16) ''"",0)))"),"")</f>
        <v/>
      </c>
      <c r="V302" s="630" t="str">
        <f>IFERROR(__xludf.DUMMYFUNCTION("IF($G302="""","""",IFERROR(query({proventos!$B$5:$Q310},""Select sum(Col16) where Col1 = '""&amp;$G302&amp;""' and Col2 &gt; date '""&amp;TEXT(DATE(V$8,1,1),""yyyy-mm-dd"")&amp;""' and Col2 &lt;= date '""&amp;TEXT(DATE(V$8,12,31),""yyyy-mm-dd"")&amp;""' label sum(Col16) ''"",0)))"),"")</f>
        <v/>
      </c>
      <c r="W302" s="630" t="str">
        <f>IFERROR(__xludf.DUMMYFUNCTION("IF($G302="""","""",IFERROR(query({proventos!$B$5:$Q310},""Select sum(Col16) where Col1 = '""&amp;$G302&amp;""' and Col2 &gt; date '""&amp;TEXT(DATE(W$8,1,1),""yyyy-mm-dd"")&amp;""' and Col2 &lt;= date '""&amp;TEXT(DATE(W$8,12,31),""yyyy-mm-dd"")&amp;""' label sum(Col16) ''"",0)))"),"")</f>
        <v/>
      </c>
      <c r="X302" s="630" t="str">
        <f>IFERROR(__xludf.DUMMYFUNCTION("IF($G302="""","""",IFERROR(query({proventos!$B$5:$Q310},""Select sum(Col16) where Col1 = '""&amp;$G302&amp;""' and Col2 &gt; date '""&amp;TEXT(DATE(X$8,1,1),""yyyy-mm-dd"")&amp;""' and Col2 &lt;= date '""&amp;TEXT(DATE(X$8,12,31),""yyyy-mm-dd"")&amp;""' label sum(Col16) ''"",0)))"),"")</f>
        <v/>
      </c>
      <c r="Y302" s="630" t="str">
        <f>IFERROR(__xludf.DUMMYFUNCTION("IF($G302="""","""",IFERROR(query({proventos!$B$5:$Q310},""Select sum(Col16) where Col1 = '""&amp;$G302&amp;""' and Col2 &gt; date '""&amp;TEXT(DATE(Y$8,1,1),""yyyy-mm-dd"")&amp;""' and Col2 &lt;= date '""&amp;TEXT(DATE(Y$8,12,31),""yyyy-mm-dd"")&amp;""' label sum(Col16) ''"",0)))"),"")</f>
        <v/>
      </c>
      <c r="Z302" s="630" t="str">
        <f>IFERROR(__xludf.DUMMYFUNCTION("IF($G302="""","""",IFERROR(query({proventos!$B$5:$Q310},""Select sum(Col16) where Col1 = '""&amp;$G302&amp;""' and Col2 &gt; date '""&amp;TEXT(DATE(Z$8,1,1),""yyyy-mm-dd"")&amp;""' and Col2 &lt;= date '""&amp;TEXT(DATE(Z$8,12,31),""yyyy-mm-dd"")&amp;""' label sum(Col16) ''"",0)))"),"")</f>
        <v/>
      </c>
      <c r="AA302" s="587"/>
      <c r="AB302" s="578" t="s">
        <v>123</v>
      </c>
      <c r="AC302" s="601"/>
      <c r="AD302" s="638"/>
      <c r="AE302" s="638"/>
    </row>
    <row r="303">
      <c r="A303" s="576"/>
      <c r="B303" s="620"/>
      <c r="C303" s="637"/>
      <c r="D303" s="633"/>
      <c r="E303" s="633"/>
      <c r="F303" s="624">
        <v>293.0</v>
      </c>
      <c r="G303" s="635"/>
      <c r="H303" s="626" t="str">
        <f>if(G303="","",IFERROR(VLOOKUP(G303,AtivosDados,MATCH("provento_avg",portfolio.!$A$3:AE$3,0),FALSE),""))</f>
        <v/>
      </c>
      <c r="I303" s="627" t="s">
        <v>123</v>
      </c>
      <c r="J303" s="628" t="str">
        <f>IFERROR(__xludf.DUMMYFUNCTION("IF($G303="""","""",IFERROR(query({proventos!$B$5:$Q310},""Select sum(Col16) where Col1 = '""&amp;$G303&amp;""' and Col2 &gt; date '""&amp;TEXT(K$8,""yyyy-mm-dd"")&amp;""' and Col2 &lt;= date '""&amp;TEXT(J$8,""yyyy-mm-dd"")&amp;""' label sum(Col16) ''"",0)))"),"")</f>
        <v/>
      </c>
      <c r="K303" s="628" t="str">
        <f>IFERROR(__xludf.DUMMYFUNCTION("IF($G303="""","""",IFERROR(query({proventos!$B$5:$Q310},""Select sum(Col16) where Col1 = '""&amp;$G303&amp;""' and Col2 &gt; date '""&amp;TEXT(L$8,""yyyy-mm-dd"")&amp;""' and Col2 &lt;= date '""&amp;TEXT(K$8,""yyyy-mm-dd"")&amp;""' label sum(Col16) ''"",0)))"),"")</f>
        <v/>
      </c>
      <c r="L303" s="628" t="str">
        <f>IFERROR(__xludf.DUMMYFUNCTION("IF($G303="""","""",IFERROR(query({proventos!$B$5:$Q310},""Select sum(Col16) where Col1 = '""&amp;$G303&amp;""' and Col2 &gt; date '""&amp;TEXT(M$8,""yyyy-mm-dd"")&amp;""' and Col2 &lt;= date '""&amp;TEXT(L$8,""yyyy-mm-dd"")&amp;""' label sum(Col16) ''"",0)))"),"")</f>
        <v/>
      </c>
      <c r="M303" s="628" t="str">
        <f>IFERROR(__xludf.DUMMYFUNCTION("IF($G303="""","""",IFERROR(query({proventos!$B$5:$Q310},""Select sum(Col16) where Col1 = '""&amp;$G303&amp;""' and Col2 &gt; date '""&amp;TEXT(N$8,""yyyy-mm-dd"")&amp;""' and Col2 &lt;= date '""&amp;TEXT(M$8,""yyyy-mm-dd"")&amp;""' label sum(Col16) ''"",0)))"),"")</f>
        <v/>
      </c>
      <c r="N303" s="628" t="str">
        <f>IFERROR(__xludf.DUMMYFUNCTION("IF($G303="""","""",IFERROR(query({proventos!$B$5:$Q310},""Select sum(Col16) where Col1 = '""&amp;$G303&amp;""' and Col2 &gt; date '""&amp;TEXT(O$8,""yyyy-mm-dd"")&amp;""' and Col2 &lt;= date '""&amp;TEXT(N$8,""yyyy-mm-dd"")&amp;""' label sum(Col16) ''"",0)))"),"")</f>
        <v/>
      </c>
      <c r="O303" s="628" t="str">
        <f>IFERROR(__xludf.DUMMYFUNCTION("IF($G303="""","""",IFERROR(query({proventos!$B$5:$Q310},""Select sum(Col16) where Col1 = '""&amp;$G303&amp;""' and Col2 &gt; date '""&amp;TEXT(P$8,""yyyy-mm-dd"")&amp;""' and Col2 &lt;= date '""&amp;TEXT(O$8,""yyyy-mm-dd"")&amp;""' label sum(Col16) ''"",0)))"),"")</f>
        <v/>
      </c>
      <c r="P303" s="628" t="str">
        <f>IFERROR(__xludf.DUMMYFUNCTION("IF($G303="""","""",IFERROR(query({proventos!$B$5:$Q310},""Select sum(Col16) where Col1 = '""&amp;$G303&amp;""' and Col2 &gt; date '""&amp;TEXT(Q$8,""yyyy-mm-dd"")&amp;""' and Col2 &lt;= date '""&amp;TEXT(P$8,""yyyy-mm-dd"")&amp;""' label sum(Col16) ''"",0)))"),"")</f>
        <v/>
      </c>
      <c r="Q303" s="628" t="str">
        <f>IFERROR(__xludf.DUMMYFUNCTION("IF($G303="""","""",IFERROR(query({proventos!$B$5:$Q310},""Select sum(Col16) where Col1 = '""&amp;$G303&amp;""' and Col2 &gt; date '""&amp;TEXT(R$8,""yyyy-mm-dd"")&amp;""' and Col2 &lt;= date '""&amp;TEXT(Q$8,""yyyy-mm-dd"")&amp;""' label sum(Col16) ''"",0)))"),"")</f>
        <v/>
      </c>
      <c r="R303" s="628" t="str">
        <f>IFERROR(__xludf.DUMMYFUNCTION("IF($G303="""","""",IFERROR(query({proventos!$B$5:$Q310},""Select sum(Col16) where Col1 = '""&amp;$G303&amp;""' and Col2 &gt; date '""&amp;TEXT(S$8,""yyyy-mm-dd"")&amp;""' and Col2 &lt;= date '""&amp;TEXT(R$8,""yyyy-mm-dd"")&amp;""' label sum(Col16) ''"",0)))"),"")</f>
        <v/>
      </c>
      <c r="S303" s="628" t="str">
        <f>IFERROR(__xludf.DUMMYFUNCTION("IF($G303="""","""",IFERROR(query({proventos!$B$5:$Q310},""Select sum(Col16) where Col1 = '""&amp;$G303&amp;""' and Col2 &gt; date '""&amp;TEXT(T$8,""yyyy-mm-dd"")&amp;""' and Col2 &lt;= date '""&amp;TEXT(S$8,""yyyy-mm-dd"")&amp;""' label sum(Col16) ''"",0)))"),"")</f>
        <v/>
      </c>
      <c r="T303" s="628" t="str">
        <f>IFERROR(__xludf.DUMMYFUNCTION("IF($G303="""","""",IFERROR(query({proventos!$B$5:$Q310},""Select sum(Col16) where Col1 = '""&amp;$G303&amp;""' and Col2 &gt; date '""&amp;TEXT(U$8,""yyyy-mm-dd"")&amp;""' and Col2 &lt;= date '""&amp;TEXT(T$8,""yyyy-mm-dd"")&amp;""' label sum(Col16) ''"",0)))"),"")</f>
        <v/>
      </c>
      <c r="U303" s="629" t="str">
        <f>IFERROR(__xludf.DUMMYFUNCTION("IF($G303="""","""",IFERROR(query({proventos!$B$5:$Q310},""Select sum(Col16) where Col1 = '""&amp;$G303&amp;""' and Col2 &gt; date '""&amp;TEXT(EOMONTH(TODAY(),-13),""yyyy-mm-dd"")&amp;""' and Col2 &lt;= date '""&amp;TEXT(U$8,""yyyy-mm-dd"")&amp;""' label sum(Col16) ''"",0)))"),"")</f>
        <v/>
      </c>
      <c r="V303" s="630" t="str">
        <f>IFERROR(__xludf.DUMMYFUNCTION("IF($G303="""","""",IFERROR(query({proventos!$B$5:$Q310},""Select sum(Col16) where Col1 = '""&amp;$G303&amp;""' and Col2 &gt; date '""&amp;TEXT(DATE(V$8,1,1),""yyyy-mm-dd"")&amp;""' and Col2 &lt;= date '""&amp;TEXT(DATE(V$8,12,31),""yyyy-mm-dd"")&amp;""' label sum(Col16) ''"",0)))"),"")</f>
        <v/>
      </c>
      <c r="W303" s="630" t="str">
        <f>IFERROR(__xludf.DUMMYFUNCTION("IF($G303="""","""",IFERROR(query({proventos!$B$5:$Q310},""Select sum(Col16) where Col1 = '""&amp;$G303&amp;""' and Col2 &gt; date '""&amp;TEXT(DATE(W$8,1,1),""yyyy-mm-dd"")&amp;""' and Col2 &lt;= date '""&amp;TEXT(DATE(W$8,12,31),""yyyy-mm-dd"")&amp;""' label sum(Col16) ''"",0)))"),"")</f>
        <v/>
      </c>
      <c r="X303" s="630" t="str">
        <f>IFERROR(__xludf.DUMMYFUNCTION("IF($G303="""","""",IFERROR(query({proventos!$B$5:$Q310},""Select sum(Col16) where Col1 = '""&amp;$G303&amp;""' and Col2 &gt; date '""&amp;TEXT(DATE(X$8,1,1),""yyyy-mm-dd"")&amp;""' and Col2 &lt;= date '""&amp;TEXT(DATE(X$8,12,31),""yyyy-mm-dd"")&amp;""' label sum(Col16) ''"",0)))"),"")</f>
        <v/>
      </c>
      <c r="Y303" s="630" t="str">
        <f>IFERROR(__xludf.DUMMYFUNCTION("IF($G303="""","""",IFERROR(query({proventos!$B$5:$Q310},""Select sum(Col16) where Col1 = '""&amp;$G303&amp;""' and Col2 &gt; date '""&amp;TEXT(DATE(Y$8,1,1),""yyyy-mm-dd"")&amp;""' and Col2 &lt;= date '""&amp;TEXT(DATE(Y$8,12,31),""yyyy-mm-dd"")&amp;""' label sum(Col16) ''"",0)))"),"")</f>
        <v/>
      </c>
      <c r="Z303" s="630" t="str">
        <f>IFERROR(__xludf.DUMMYFUNCTION("IF($G303="""","""",IFERROR(query({proventos!$B$5:$Q310},""Select sum(Col16) where Col1 = '""&amp;$G303&amp;""' and Col2 &gt; date '""&amp;TEXT(DATE(Z$8,1,1),""yyyy-mm-dd"")&amp;""' and Col2 &lt;= date '""&amp;TEXT(DATE(Z$8,12,31),""yyyy-mm-dd"")&amp;""' label sum(Col16) ''"",0)))"),"")</f>
        <v/>
      </c>
      <c r="AA303" s="587"/>
      <c r="AB303" s="578" t="s">
        <v>123</v>
      </c>
      <c r="AC303" s="601"/>
      <c r="AD303" s="638"/>
      <c r="AE303" s="638"/>
    </row>
    <row r="304">
      <c r="A304" s="576"/>
      <c r="B304" s="620"/>
      <c r="C304" s="637"/>
      <c r="D304" s="633"/>
      <c r="E304" s="633"/>
      <c r="F304" s="624">
        <v>294.0</v>
      </c>
      <c r="G304" s="635"/>
      <c r="H304" s="626" t="str">
        <f>if(G304="","",IFERROR(VLOOKUP(G304,AtivosDados,MATCH("provento_avg",portfolio.!$A$3:AE$3,0),FALSE),""))</f>
        <v/>
      </c>
      <c r="I304" s="627" t="s">
        <v>123</v>
      </c>
      <c r="J304" s="628" t="str">
        <f>IFERROR(__xludf.DUMMYFUNCTION("IF($G304="""","""",IFERROR(query({proventos!$B$5:$Q310},""Select sum(Col16) where Col1 = '""&amp;$G304&amp;""' and Col2 &gt; date '""&amp;TEXT(K$8,""yyyy-mm-dd"")&amp;""' and Col2 &lt;= date '""&amp;TEXT(J$8,""yyyy-mm-dd"")&amp;""' label sum(Col16) ''"",0)))"),"")</f>
        <v/>
      </c>
      <c r="K304" s="628" t="str">
        <f>IFERROR(__xludf.DUMMYFUNCTION("IF($G304="""","""",IFERROR(query({proventos!$B$5:$Q310},""Select sum(Col16) where Col1 = '""&amp;$G304&amp;""' and Col2 &gt; date '""&amp;TEXT(L$8,""yyyy-mm-dd"")&amp;""' and Col2 &lt;= date '""&amp;TEXT(K$8,""yyyy-mm-dd"")&amp;""' label sum(Col16) ''"",0)))"),"")</f>
        <v/>
      </c>
      <c r="L304" s="628" t="str">
        <f>IFERROR(__xludf.DUMMYFUNCTION("IF($G304="""","""",IFERROR(query({proventos!$B$5:$Q310},""Select sum(Col16) where Col1 = '""&amp;$G304&amp;""' and Col2 &gt; date '""&amp;TEXT(M$8,""yyyy-mm-dd"")&amp;""' and Col2 &lt;= date '""&amp;TEXT(L$8,""yyyy-mm-dd"")&amp;""' label sum(Col16) ''"",0)))"),"")</f>
        <v/>
      </c>
      <c r="M304" s="628" t="str">
        <f>IFERROR(__xludf.DUMMYFUNCTION("IF($G304="""","""",IFERROR(query({proventos!$B$5:$Q310},""Select sum(Col16) where Col1 = '""&amp;$G304&amp;""' and Col2 &gt; date '""&amp;TEXT(N$8,""yyyy-mm-dd"")&amp;""' and Col2 &lt;= date '""&amp;TEXT(M$8,""yyyy-mm-dd"")&amp;""' label sum(Col16) ''"",0)))"),"")</f>
        <v/>
      </c>
      <c r="N304" s="628" t="str">
        <f>IFERROR(__xludf.DUMMYFUNCTION("IF($G304="""","""",IFERROR(query({proventos!$B$5:$Q310},""Select sum(Col16) where Col1 = '""&amp;$G304&amp;""' and Col2 &gt; date '""&amp;TEXT(O$8,""yyyy-mm-dd"")&amp;""' and Col2 &lt;= date '""&amp;TEXT(N$8,""yyyy-mm-dd"")&amp;""' label sum(Col16) ''"",0)))"),"")</f>
        <v/>
      </c>
      <c r="O304" s="628" t="str">
        <f>IFERROR(__xludf.DUMMYFUNCTION("IF($G304="""","""",IFERROR(query({proventos!$B$5:$Q310},""Select sum(Col16) where Col1 = '""&amp;$G304&amp;""' and Col2 &gt; date '""&amp;TEXT(P$8,""yyyy-mm-dd"")&amp;""' and Col2 &lt;= date '""&amp;TEXT(O$8,""yyyy-mm-dd"")&amp;""' label sum(Col16) ''"",0)))"),"")</f>
        <v/>
      </c>
      <c r="P304" s="628" t="str">
        <f>IFERROR(__xludf.DUMMYFUNCTION("IF($G304="""","""",IFERROR(query({proventos!$B$5:$Q310},""Select sum(Col16) where Col1 = '""&amp;$G304&amp;""' and Col2 &gt; date '""&amp;TEXT(Q$8,""yyyy-mm-dd"")&amp;""' and Col2 &lt;= date '""&amp;TEXT(P$8,""yyyy-mm-dd"")&amp;""' label sum(Col16) ''"",0)))"),"")</f>
        <v/>
      </c>
      <c r="Q304" s="628" t="str">
        <f>IFERROR(__xludf.DUMMYFUNCTION("IF($G304="""","""",IFERROR(query({proventos!$B$5:$Q310},""Select sum(Col16) where Col1 = '""&amp;$G304&amp;""' and Col2 &gt; date '""&amp;TEXT(R$8,""yyyy-mm-dd"")&amp;""' and Col2 &lt;= date '""&amp;TEXT(Q$8,""yyyy-mm-dd"")&amp;""' label sum(Col16) ''"",0)))"),"")</f>
        <v/>
      </c>
      <c r="R304" s="628" t="str">
        <f>IFERROR(__xludf.DUMMYFUNCTION("IF($G304="""","""",IFERROR(query({proventos!$B$5:$Q310},""Select sum(Col16) where Col1 = '""&amp;$G304&amp;""' and Col2 &gt; date '""&amp;TEXT(S$8,""yyyy-mm-dd"")&amp;""' and Col2 &lt;= date '""&amp;TEXT(R$8,""yyyy-mm-dd"")&amp;""' label sum(Col16) ''"",0)))"),"")</f>
        <v/>
      </c>
      <c r="S304" s="628" t="str">
        <f>IFERROR(__xludf.DUMMYFUNCTION("IF($G304="""","""",IFERROR(query({proventos!$B$5:$Q310},""Select sum(Col16) where Col1 = '""&amp;$G304&amp;""' and Col2 &gt; date '""&amp;TEXT(T$8,""yyyy-mm-dd"")&amp;""' and Col2 &lt;= date '""&amp;TEXT(S$8,""yyyy-mm-dd"")&amp;""' label sum(Col16) ''"",0)))"),"")</f>
        <v/>
      </c>
      <c r="T304" s="628" t="str">
        <f>IFERROR(__xludf.DUMMYFUNCTION("IF($G304="""","""",IFERROR(query({proventos!$B$5:$Q310},""Select sum(Col16) where Col1 = '""&amp;$G304&amp;""' and Col2 &gt; date '""&amp;TEXT(U$8,""yyyy-mm-dd"")&amp;""' and Col2 &lt;= date '""&amp;TEXT(T$8,""yyyy-mm-dd"")&amp;""' label sum(Col16) ''"",0)))"),"")</f>
        <v/>
      </c>
      <c r="U304" s="629" t="str">
        <f>IFERROR(__xludf.DUMMYFUNCTION("IF($G304="""","""",IFERROR(query({proventos!$B$5:$Q310},""Select sum(Col16) where Col1 = '""&amp;$G304&amp;""' and Col2 &gt; date '""&amp;TEXT(EOMONTH(TODAY(),-13),""yyyy-mm-dd"")&amp;""' and Col2 &lt;= date '""&amp;TEXT(U$8,""yyyy-mm-dd"")&amp;""' label sum(Col16) ''"",0)))"),"")</f>
        <v/>
      </c>
      <c r="V304" s="630" t="str">
        <f>IFERROR(__xludf.DUMMYFUNCTION("IF($G304="""","""",IFERROR(query({proventos!$B$5:$Q310},""Select sum(Col16) where Col1 = '""&amp;$G304&amp;""' and Col2 &gt; date '""&amp;TEXT(DATE(V$8,1,1),""yyyy-mm-dd"")&amp;""' and Col2 &lt;= date '""&amp;TEXT(DATE(V$8,12,31),""yyyy-mm-dd"")&amp;""' label sum(Col16) ''"",0)))"),"")</f>
        <v/>
      </c>
      <c r="W304" s="630" t="str">
        <f>IFERROR(__xludf.DUMMYFUNCTION("IF($G304="""","""",IFERROR(query({proventos!$B$5:$Q310},""Select sum(Col16) where Col1 = '""&amp;$G304&amp;""' and Col2 &gt; date '""&amp;TEXT(DATE(W$8,1,1),""yyyy-mm-dd"")&amp;""' and Col2 &lt;= date '""&amp;TEXT(DATE(W$8,12,31),""yyyy-mm-dd"")&amp;""' label sum(Col16) ''"",0)))"),"")</f>
        <v/>
      </c>
      <c r="X304" s="630" t="str">
        <f>IFERROR(__xludf.DUMMYFUNCTION("IF($G304="""","""",IFERROR(query({proventos!$B$5:$Q310},""Select sum(Col16) where Col1 = '""&amp;$G304&amp;""' and Col2 &gt; date '""&amp;TEXT(DATE(X$8,1,1),""yyyy-mm-dd"")&amp;""' and Col2 &lt;= date '""&amp;TEXT(DATE(X$8,12,31),""yyyy-mm-dd"")&amp;""' label sum(Col16) ''"",0)))"),"")</f>
        <v/>
      </c>
      <c r="Y304" s="630" t="str">
        <f>IFERROR(__xludf.DUMMYFUNCTION("IF($G304="""","""",IFERROR(query({proventos!$B$5:$Q310},""Select sum(Col16) where Col1 = '""&amp;$G304&amp;""' and Col2 &gt; date '""&amp;TEXT(DATE(Y$8,1,1),""yyyy-mm-dd"")&amp;""' and Col2 &lt;= date '""&amp;TEXT(DATE(Y$8,12,31),""yyyy-mm-dd"")&amp;""' label sum(Col16) ''"",0)))"),"")</f>
        <v/>
      </c>
      <c r="Z304" s="630" t="str">
        <f>IFERROR(__xludf.DUMMYFUNCTION("IF($G304="""","""",IFERROR(query({proventos!$B$5:$Q310},""Select sum(Col16) where Col1 = '""&amp;$G304&amp;""' and Col2 &gt; date '""&amp;TEXT(DATE(Z$8,1,1),""yyyy-mm-dd"")&amp;""' and Col2 &lt;= date '""&amp;TEXT(DATE(Z$8,12,31),""yyyy-mm-dd"")&amp;""' label sum(Col16) ''"",0)))"),"")</f>
        <v/>
      </c>
      <c r="AA304" s="587"/>
      <c r="AB304" s="578" t="s">
        <v>123</v>
      </c>
      <c r="AC304" s="601"/>
      <c r="AD304" s="638"/>
      <c r="AE304" s="638"/>
    </row>
    <row r="305">
      <c r="A305" s="576"/>
      <c r="B305" s="620"/>
      <c r="C305" s="637"/>
      <c r="D305" s="633"/>
      <c r="E305" s="633"/>
      <c r="F305" s="624">
        <v>295.0</v>
      </c>
      <c r="G305" s="635"/>
      <c r="H305" s="626" t="str">
        <f>if(G305="","",IFERROR(VLOOKUP(G305,AtivosDados,MATCH("provento_avg",portfolio.!$A$3:AE$3,0),FALSE),""))</f>
        <v/>
      </c>
      <c r="I305" s="627" t="s">
        <v>123</v>
      </c>
      <c r="J305" s="628" t="str">
        <f>IFERROR(__xludf.DUMMYFUNCTION("IF($G305="""","""",IFERROR(query({proventos!$B$5:$Q310},""Select sum(Col16) where Col1 = '""&amp;$G305&amp;""' and Col2 &gt; date '""&amp;TEXT(K$8,""yyyy-mm-dd"")&amp;""' and Col2 &lt;= date '""&amp;TEXT(J$8,""yyyy-mm-dd"")&amp;""' label sum(Col16) ''"",0)))"),"")</f>
        <v/>
      </c>
      <c r="K305" s="628" t="str">
        <f>IFERROR(__xludf.DUMMYFUNCTION("IF($G305="""","""",IFERROR(query({proventos!$B$5:$Q310},""Select sum(Col16) where Col1 = '""&amp;$G305&amp;""' and Col2 &gt; date '""&amp;TEXT(L$8,""yyyy-mm-dd"")&amp;""' and Col2 &lt;= date '""&amp;TEXT(K$8,""yyyy-mm-dd"")&amp;""' label sum(Col16) ''"",0)))"),"")</f>
        <v/>
      </c>
      <c r="L305" s="628" t="str">
        <f>IFERROR(__xludf.DUMMYFUNCTION("IF($G305="""","""",IFERROR(query({proventos!$B$5:$Q310},""Select sum(Col16) where Col1 = '""&amp;$G305&amp;""' and Col2 &gt; date '""&amp;TEXT(M$8,""yyyy-mm-dd"")&amp;""' and Col2 &lt;= date '""&amp;TEXT(L$8,""yyyy-mm-dd"")&amp;""' label sum(Col16) ''"",0)))"),"")</f>
        <v/>
      </c>
      <c r="M305" s="628" t="str">
        <f>IFERROR(__xludf.DUMMYFUNCTION("IF($G305="""","""",IFERROR(query({proventos!$B$5:$Q310},""Select sum(Col16) where Col1 = '""&amp;$G305&amp;""' and Col2 &gt; date '""&amp;TEXT(N$8,""yyyy-mm-dd"")&amp;""' and Col2 &lt;= date '""&amp;TEXT(M$8,""yyyy-mm-dd"")&amp;""' label sum(Col16) ''"",0)))"),"")</f>
        <v/>
      </c>
      <c r="N305" s="628" t="str">
        <f>IFERROR(__xludf.DUMMYFUNCTION("IF($G305="""","""",IFERROR(query({proventos!$B$5:$Q310},""Select sum(Col16) where Col1 = '""&amp;$G305&amp;""' and Col2 &gt; date '""&amp;TEXT(O$8,""yyyy-mm-dd"")&amp;""' and Col2 &lt;= date '""&amp;TEXT(N$8,""yyyy-mm-dd"")&amp;""' label sum(Col16) ''"",0)))"),"")</f>
        <v/>
      </c>
      <c r="O305" s="628" t="str">
        <f>IFERROR(__xludf.DUMMYFUNCTION("IF($G305="""","""",IFERROR(query({proventos!$B$5:$Q310},""Select sum(Col16) where Col1 = '""&amp;$G305&amp;""' and Col2 &gt; date '""&amp;TEXT(P$8,""yyyy-mm-dd"")&amp;""' and Col2 &lt;= date '""&amp;TEXT(O$8,""yyyy-mm-dd"")&amp;""' label sum(Col16) ''"",0)))"),"")</f>
        <v/>
      </c>
      <c r="P305" s="628" t="str">
        <f>IFERROR(__xludf.DUMMYFUNCTION("IF($G305="""","""",IFERROR(query({proventos!$B$5:$Q310},""Select sum(Col16) where Col1 = '""&amp;$G305&amp;""' and Col2 &gt; date '""&amp;TEXT(Q$8,""yyyy-mm-dd"")&amp;""' and Col2 &lt;= date '""&amp;TEXT(P$8,""yyyy-mm-dd"")&amp;""' label sum(Col16) ''"",0)))"),"")</f>
        <v/>
      </c>
      <c r="Q305" s="628" t="str">
        <f>IFERROR(__xludf.DUMMYFUNCTION("IF($G305="""","""",IFERROR(query({proventos!$B$5:$Q310},""Select sum(Col16) where Col1 = '""&amp;$G305&amp;""' and Col2 &gt; date '""&amp;TEXT(R$8,""yyyy-mm-dd"")&amp;""' and Col2 &lt;= date '""&amp;TEXT(Q$8,""yyyy-mm-dd"")&amp;""' label sum(Col16) ''"",0)))"),"")</f>
        <v/>
      </c>
      <c r="R305" s="628" t="str">
        <f>IFERROR(__xludf.DUMMYFUNCTION("IF($G305="""","""",IFERROR(query({proventos!$B$5:$Q310},""Select sum(Col16) where Col1 = '""&amp;$G305&amp;""' and Col2 &gt; date '""&amp;TEXT(S$8,""yyyy-mm-dd"")&amp;""' and Col2 &lt;= date '""&amp;TEXT(R$8,""yyyy-mm-dd"")&amp;""' label sum(Col16) ''"",0)))"),"")</f>
        <v/>
      </c>
      <c r="S305" s="628" t="str">
        <f>IFERROR(__xludf.DUMMYFUNCTION("IF($G305="""","""",IFERROR(query({proventos!$B$5:$Q310},""Select sum(Col16) where Col1 = '""&amp;$G305&amp;""' and Col2 &gt; date '""&amp;TEXT(T$8,""yyyy-mm-dd"")&amp;""' and Col2 &lt;= date '""&amp;TEXT(S$8,""yyyy-mm-dd"")&amp;""' label sum(Col16) ''"",0)))"),"")</f>
        <v/>
      </c>
      <c r="T305" s="628" t="str">
        <f>IFERROR(__xludf.DUMMYFUNCTION("IF($G305="""","""",IFERROR(query({proventos!$B$5:$Q310},""Select sum(Col16) where Col1 = '""&amp;$G305&amp;""' and Col2 &gt; date '""&amp;TEXT(U$8,""yyyy-mm-dd"")&amp;""' and Col2 &lt;= date '""&amp;TEXT(T$8,""yyyy-mm-dd"")&amp;""' label sum(Col16) ''"",0)))"),"")</f>
        <v/>
      </c>
      <c r="U305" s="629" t="str">
        <f>IFERROR(__xludf.DUMMYFUNCTION("IF($G305="""","""",IFERROR(query({proventos!$B$5:$Q310},""Select sum(Col16) where Col1 = '""&amp;$G305&amp;""' and Col2 &gt; date '""&amp;TEXT(EOMONTH(TODAY(),-13),""yyyy-mm-dd"")&amp;""' and Col2 &lt;= date '""&amp;TEXT(U$8,""yyyy-mm-dd"")&amp;""' label sum(Col16) ''"",0)))"),"")</f>
        <v/>
      </c>
      <c r="V305" s="630" t="str">
        <f>IFERROR(__xludf.DUMMYFUNCTION("IF($G305="""","""",IFERROR(query({proventos!$B$5:$Q310},""Select sum(Col16) where Col1 = '""&amp;$G305&amp;""' and Col2 &gt; date '""&amp;TEXT(DATE(V$8,1,1),""yyyy-mm-dd"")&amp;""' and Col2 &lt;= date '""&amp;TEXT(DATE(V$8,12,31),""yyyy-mm-dd"")&amp;""' label sum(Col16) ''"",0)))"),"")</f>
        <v/>
      </c>
      <c r="W305" s="630" t="str">
        <f>IFERROR(__xludf.DUMMYFUNCTION("IF($G305="""","""",IFERROR(query({proventos!$B$5:$Q310},""Select sum(Col16) where Col1 = '""&amp;$G305&amp;""' and Col2 &gt; date '""&amp;TEXT(DATE(W$8,1,1),""yyyy-mm-dd"")&amp;""' and Col2 &lt;= date '""&amp;TEXT(DATE(W$8,12,31),""yyyy-mm-dd"")&amp;""' label sum(Col16) ''"",0)))"),"")</f>
        <v/>
      </c>
      <c r="X305" s="630" t="str">
        <f>IFERROR(__xludf.DUMMYFUNCTION("IF($G305="""","""",IFERROR(query({proventos!$B$5:$Q310},""Select sum(Col16) where Col1 = '""&amp;$G305&amp;""' and Col2 &gt; date '""&amp;TEXT(DATE(X$8,1,1),""yyyy-mm-dd"")&amp;""' and Col2 &lt;= date '""&amp;TEXT(DATE(X$8,12,31),""yyyy-mm-dd"")&amp;""' label sum(Col16) ''"",0)))"),"")</f>
        <v/>
      </c>
      <c r="Y305" s="630" t="str">
        <f>IFERROR(__xludf.DUMMYFUNCTION("IF($G305="""","""",IFERROR(query({proventos!$B$5:$Q310},""Select sum(Col16) where Col1 = '""&amp;$G305&amp;""' and Col2 &gt; date '""&amp;TEXT(DATE(Y$8,1,1),""yyyy-mm-dd"")&amp;""' and Col2 &lt;= date '""&amp;TEXT(DATE(Y$8,12,31),""yyyy-mm-dd"")&amp;""' label sum(Col16) ''"",0)))"),"")</f>
        <v/>
      </c>
      <c r="Z305" s="630" t="str">
        <f>IFERROR(__xludf.DUMMYFUNCTION("IF($G305="""","""",IFERROR(query({proventos!$B$5:$Q310},""Select sum(Col16) where Col1 = '""&amp;$G305&amp;""' and Col2 &gt; date '""&amp;TEXT(DATE(Z$8,1,1),""yyyy-mm-dd"")&amp;""' and Col2 &lt;= date '""&amp;TEXT(DATE(Z$8,12,31),""yyyy-mm-dd"")&amp;""' label sum(Col16) ''"",0)))"),"")</f>
        <v/>
      </c>
      <c r="AA305" s="587"/>
      <c r="AB305" s="578" t="s">
        <v>123</v>
      </c>
      <c r="AC305" s="601"/>
      <c r="AD305" s="638"/>
      <c r="AE305" s="638"/>
    </row>
    <row r="306">
      <c r="A306" s="576"/>
      <c r="B306" s="620"/>
      <c r="C306" s="637"/>
      <c r="D306" s="633"/>
      <c r="E306" s="633"/>
      <c r="F306" s="624">
        <v>296.0</v>
      </c>
      <c r="G306" s="635"/>
      <c r="H306" s="626" t="str">
        <f>if(G306="","",IFERROR(VLOOKUP(G306,AtivosDados,MATCH("provento_avg",portfolio.!$A$3:AE$3,0),FALSE),""))</f>
        <v/>
      </c>
      <c r="I306" s="627" t="s">
        <v>123</v>
      </c>
      <c r="J306" s="628" t="str">
        <f>IFERROR(__xludf.DUMMYFUNCTION("IF($G306="""","""",IFERROR(query({proventos!$B$5:$Q310},""Select sum(Col16) where Col1 = '""&amp;$G306&amp;""' and Col2 &gt; date '""&amp;TEXT(K$8,""yyyy-mm-dd"")&amp;""' and Col2 &lt;= date '""&amp;TEXT(J$8,""yyyy-mm-dd"")&amp;""' label sum(Col16) ''"",0)))"),"")</f>
        <v/>
      </c>
      <c r="K306" s="628" t="str">
        <f>IFERROR(__xludf.DUMMYFUNCTION("IF($G306="""","""",IFERROR(query({proventos!$B$5:$Q310},""Select sum(Col16) where Col1 = '""&amp;$G306&amp;""' and Col2 &gt; date '""&amp;TEXT(L$8,""yyyy-mm-dd"")&amp;""' and Col2 &lt;= date '""&amp;TEXT(K$8,""yyyy-mm-dd"")&amp;""' label sum(Col16) ''"",0)))"),"")</f>
        <v/>
      </c>
      <c r="L306" s="628" t="str">
        <f>IFERROR(__xludf.DUMMYFUNCTION("IF($G306="""","""",IFERROR(query({proventos!$B$5:$Q310},""Select sum(Col16) where Col1 = '""&amp;$G306&amp;""' and Col2 &gt; date '""&amp;TEXT(M$8,""yyyy-mm-dd"")&amp;""' and Col2 &lt;= date '""&amp;TEXT(L$8,""yyyy-mm-dd"")&amp;""' label sum(Col16) ''"",0)))"),"")</f>
        <v/>
      </c>
      <c r="M306" s="628" t="str">
        <f>IFERROR(__xludf.DUMMYFUNCTION("IF($G306="""","""",IFERROR(query({proventos!$B$5:$Q310},""Select sum(Col16) where Col1 = '""&amp;$G306&amp;""' and Col2 &gt; date '""&amp;TEXT(N$8,""yyyy-mm-dd"")&amp;""' and Col2 &lt;= date '""&amp;TEXT(M$8,""yyyy-mm-dd"")&amp;""' label sum(Col16) ''"",0)))"),"")</f>
        <v/>
      </c>
      <c r="N306" s="628" t="str">
        <f>IFERROR(__xludf.DUMMYFUNCTION("IF($G306="""","""",IFERROR(query({proventos!$B$5:$Q310},""Select sum(Col16) where Col1 = '""&amp;$G306&amp;""' and Col2 &gt; date '""&amp;TEXT(O$8,""yyyy-mm-dd"")&amp;""' and Col2 &lt;= date '""&amp;TEXT(N$8,""yyyy-mm-dd"")&amp;""' label sum(Col16) ''"",0)))"),"")</f>
        <v/>
      </c>
      <c r="O306" s="628" t="str">
        <f>IFERROR(__xludf.DUMMYFUNCTION("IF($G306="""","""",IFERROR(query({proventos!$B$5:$Q310},""Select sum(Col16) where Col1 = '""&amp;$G306&amp;""' and Col2 &gt; date '""&amp;TEXT(P$8,""yyyy-mm-dd"")&amp;""' and Col2 &lt;= date '""&amp;TEXT(O$8,""yyyy-mm-dd"")&amp;""' label sum(Col16) ''"",0)))"),"")</f>
        <v/>
      </c>
      <c r="P306" s="628" t="str">
        <f>IFERROR(__xludf.DUMMYFUNCTION("IF($G306="""","""",IFERROR(query({proventos!$B$5:$Q310},""Select sum(Col16) where Col1 = '""&amp;$G306&amp;""' and Col2 &gt; date '""&amp;TEXT(Q$8,""yyyy-mm-dd"")&amp;""' and Col2 &lt;= date '""&amp;TEXT(P$8,""yyyy-mm-dd"")&amp;""' label sum(Col16) ''"",0)))"),"")</f>
        <v/>
      </c>
      <c r="Q306" s="628" t="str">
        <f>IFERROR(__xludf.DUMMYFUNCTION("IF($G306="""","""",IFERROR(query({proventos!$B$5:$Q310},""Select sum(Col16) where Col1 = '""&amp;$G306&amp;""' and Col2 &gt; date '""&amp;TEXT(R$8,""yyyy-mm-dd"")&amp;""' and Col2 &lt;= date '""&amp;TEXT(Q$8,""yyyy-mm-dd"")&amp;""' label sum(Col16) ''"",0)))"),"")</f>
        <v/>
      </c>
      <c r="R306" s="628" t="str">
        <f>IFERROR(__xludf.DUMMYFUNCTION("IF($G306="""","""",IFERROR(query({proventos!$B$5:$Q310},""Select sum(Col16) where Col1 = '""&amp;$G306&amp;""' and Col2 &gt; date '""&amp;TEXT(S$8,""yyyy-mm-dd"")&amp;""' and Col2 &lt;= date '""&amp;TEXT(R$8,""yyyy-mm-dd"")&amp;""' label sum(Col16) ''"",0)))"),"")</f>
        <v/>
      </c>
      <c r="S306" s="628" t="str">
        <f>IFERROR(__xludf.DUMMYFUNCTION("IF($G306="""","""",IFERROR(query({proventos!$B$5:$Q310},""Select sum(Col16) where Col1 = '""&amp;$G306&amp;""' and Col2 &gt; date '""&amp;TEXT(T$8,""yyyy-mm-dd"")&amp;""' and Col2 &lt;= date '""&amp;TEXT(S$8,""yyyy-mm-dd"")&amp;""' label sum(Col16) ''"",0)))"),"")</f>
        <v/>
      </c>
      <c r="T306" s="628" t="str">
        <f>IFERROR(__xludf.DUMMYFUNCTION("IF($G306="""","""",IFERROR(query({proventos!$B$5:$Q310},""Select sum(Col16) where Col1 = '""&amp;$G306&amp;""' and Col2 &gt; date '""&amp;TEXT(U$8,""yyyy-mm-dd"")&amp;""' and Col2 &lt;= date '""&amp;TEXT(T$8,""yyyy-mm-dd"")&amp;""' label sum(Col16) ''"",0)))"),"")</f>
        <v/>
      </c>
      <c r="U306" s="629" t="str">
        <f>IFERROR(__xludf.DUMMYFUNCTION("IF($G306="""","""",IFERROR(query({proventos!$B$5:$Q310},""Select sum(Col16) where Col1 = '""&amp;$G306&amp;""' and Col2 &gt; date '""&amp;TEXT(EOMONTH(TODAY(),-13),""yyyy-mm-dd"")&amp;""' and Col2 &lt;= date '""&amp;TEXT(U$8,""yyyy-mm-dd"")&amp;""' label sum(Col16) ''"",0)))"),"")</f>
        <v/>
      </c>
      <c r="V306" s="630" t="str">
        <f>IFERROR(__xludf.DUMMYFUNCTION("IF($G306="""","""",IFERROR(query({proventos!$B$5:$Q310},""Select sum(Col16) where Col1 = '""&amp;$G306&amp;""' and Col2 &gt; date '""&amp;TEXT(DATE(V$8,1,1),""yyyy-mm-dd"")&amp;""' and Col2 &lt;= date '""&amp;TEXT(DATE(V$8,12,31),""yyyy-mm-dd"")&amp;""' label sum(Col16) ''"",0)))"),"")</f>
        <v/>
      </c>
      <c r="W306" s="630" t="str">
        <f>IFERROR(__xludf.DUMMYFUNCTION("IF($G306="""","""",IFERROR(query({proventos!$B$5:$Q310},""Select sum(Col16) where Col1 = '""&amp;$G306&amp;""' and Col2 &gt; date '""&amp;TEXT(DATE(W$8,1,1),""yyyy-mm-dd"")&amp;""' and Col2 &lt;= date '""&amp;TEXT(DATE(W$8,12,31),""yyyy-mm-dd"")&amp;""' label sum(Col16) ''"",0)))"),"")</f>
        <v/>
      </c>
      <c r="X306" s="630" t="str">
        <f>IFERROR(__xludf.DUMMYFUNCTION("IF($G306="""","""",IFERROR(query({proventos!$B$5:$Q310},""Select sum(Col16) where Col1 = '""&amp;$G306&amp;""' and Col2 &gt; date '""&amp;TEXT(DATE(X$8,1,1),""yyyy-mm-dd"")&amp;""' and Col2 &lt;= date '""&amp;TEXT(DATE(X$8,12,31),""yyyy-mm-dd"")&amp;""' label sum(Col16) ''"",0)))"),"")</f>
        <v/>
      </c>
      <c r="Y306" s="630" t="str">
        <f>IFERROR(__xludf.DUMMYFUNCTION("IF($G306="""","""",IFERROR(query({proventos!$B$5:$Q310},""Select sum(Col16) where Col1 = '""&amp;$G306&amp;""' and Col2 &gt; date '""&amp;TEXT(DATE(Y$8,1,1),""yyyy-mm-dd"")&amp;""' and Col2 &lt;= date '""&amp;TEXT(DATE(Y$8,12,31),""yyyy-mm-dd"")&amp;""' label sum(Col16) ''"",0)))"),"")</f>
        <v/>
      </c>
      <c r="Z306" s="630" t="str">
        <f>IFERROR(__xludf.DUMMYFUNCTION("IF($G306="""","""",IFERROR(query({proventos!$B$5:$Q310},""Select sum(Col16) where Col1 = '""&amp;$G306&amp;""' and Col2 &gt; date '""&amp;TEXT(DATE(Z$8,1,1),""yyyy-mm-dd"")&amp;""' and Col2 &lt;= date '""&amp;TEXT(DATE(Z$8,12,31),""yyyy-mm-dd"")&amp;""' label sum(Col16) ''"",0)))"),"")</f>
        <v/>
      </c>
      <c r="AA306" s="587"/>
      <c r="AB306" s="578" t="s">
        <v>123</v>
      </c>
      <c r="AC306" s="601"/>
      <c r="AD306" s="638"/>
      <c r="AE306" s="638"/>
    </row>
    <row r="307">
      <c r="A307" s="576"/>
      <c r="B307" s="620"/>
      <c r="C307" s="637"/>
      <c r="D307" s="633"/>
      <c r="E307" s="633"/>
      <c r="F307" s="624">
        <v>297.0</v>
      </c>
      <c r="G307" s="635"/>
      <c r="H307" s="626" t="str">
        <f>if(G307="","",IFERROR(VLOOKUP(G307,AtivosDados,MATCH("provento_avg",portfolio.!$A$3:AE$3,0),FALSE),""))</f>
        <v/>
      </c>
      <c r="I307" s="627" t="s">
        <v>123</v>
      </c>
      <c r="J307" s="628" t="str">
        <f>IFERROR(__xludf.DUMMYFUNCTION("IF($G307="""","""",IFERROR(query({proventos!$B$5:$Q310},""Select sum(Col16) where Col1 = '""&amp;$G307&amp;""' and Col2 &gt; date '""&amp;TEXT(K$8,""yyyy-mm-dd"")&amp;""' and Col2 &lt;= date '""&amp;TEXT(J$8,""yyyy-mm-dd"")&amp;""' label sum(Col16) ''"",0)))"),"")</f>
        <v/>
      </c>
      <c r="K307" s="628" t="str">
        <f>IFERROR(__xludf.DUMMYFUNCTION("IF($G307="""","""",IFERROR(query({proventos!$B$5:$Q310},""Select sum(Col16) where Col1 = '""&amp;$G307&amp;""' and Col2 &gt; date '""&amp;TEXT(L$8,""yyyy-mm-dd"")&amp;""' and Col2 &lt;= date '""&amp;TEXT(K$8,""yyyy-mm-dd"")&amp;""' label sum(Col16) ''"",0)))"),"")</f>
        <v/>
      </c>
      <c r="L307" s="628" t="str">
        <f>IFERROR(__xludf.DUMMYFUNCTION("IF($G307="""","""",IFERROR(query({proventos!$B$5:$Q310},""Select sum(Col16) where Col1 = '""&amp;$G307&amp;""' and Col2 &gt; date '""&amp;TEXT(M$8,""yyyy-mm-dd"")&amp;""' and Col2 &lt;= date '""&amp;TEXT(L$8,""yyyy-mm-dd"")&amp;""' label sum(Col16) ''"",0)))"),"")</f>
        <v/>
      </c>
      <c r="M307" s="628" t="str">
        <f>IFERROR(__xludf.DUMMYFUNCTION("IF($G307="""","""",IFERROR(query({proventos!$B$5:$Q310},""Select sum(Col16) where Col1 = '""&amp;$G307&amp;""' and Col2 &gt; date '""&amp;TEXT(N$8,""yyyy-mm-dd"")&amp;""' and Col2 &lt;= date '""&amp;TEXT(M$8,""yyyy-mm-dd"")&amp;""' label sum(Col16) ''"",0)))"),"")</f>
        <v/>
      </c>
      <c r="N307" s="628" t="str">
        <f>IFERROR(__xludf.DUMMYFUNCTION("IF($G307="""","""",IFERROR(query({proventos!$B$5:$Q310},""Select sum(Col16) where Col1 = '""&amp;$G307&amp;""' and Col2 &gt; date '""&amp;TEXT(O$8,""yyyy-mm-dd"")&amp;""' and Col2 &lt;= date '""&amp;TEXT(N$8,""yyyy-mm-dd"")&amp;""' label sum(Col16) ''"",0)))"),"")</f>
        <v/>
      </c>
      <c r="O307" s="628" t="str">
        <f>IFERROR(__xludf.DUMMYFUNCTION("IF($G307="""","""",IFERROR(query({proventos!$B$5:$Q310},""Select sum(Col16) where Col1 = '""&amp;$G307&amp;""' and Col2 &gt; date '""&amp;TEXT(P$8,""yyyy-mm-dd"")&amp;""' and Col2 &lt;= date '""&amp;TEXT(O$8,""yyyy-mm-dd"")&amp;""' label sum(Col16) ''"",0)))"),"")</f>
        <v/>
      </c>
      <c r="P307" s="628" t="str">
        <f>IFERROR(__xludf.DUMMYFUNCTION("IF($G307="""","""",IFERROR(query({proventos!$B$5:$Q310},""Select sum(Col16) where Col1 = '""&amp;$G307&amp;""' and Col2 &gt; date '""&amp;TEXT(Q$8,""yyyy-mm-dd"")&amp;""' and Col2 &lt;= date '""&amp;TEXT(P$8,""yyyy-mm-dd"")&amp;""' label sum(Col16) ''"",0)))"),"")</f>
        <v/>
      </c>
      <c r="Q307" s="628" t="str">
        <f>IFERROR(__xludf.DUMMYFUNCTION("IF($G307="""","""",IFERROR(query({proventos!$B$5:$Q310},""Select sum(Col16) where Col1 = '""&amp;$G307&amp;""' and Col2 &gt; date '""&amp;TEXT(R$8,""yyyy-mm-dd"")&amp;""' and Col2 &lt;= date '""&amp;TEXT(Q$8,""yyyy-mm-dd"")&amp;""' label sum(Col16) ''"",0)))"),"")</f>
        <v/>
      </c>
      <c r="R307" s="628" t="str">
        <f>IFERROR(__xludf.DUMMYFUNCTION("IF($G307="""","""",IFERROR(query({proventos!$B$5:$Q310},""Select sum(Col16) where Col1 = '""&amp;$G307&amp;""' and Col2 &gt; date '""&amp;TEXT(S$8,""yyyy-mm-dd"")&amp;""' and Col2 &lt;= date '""&amp;TEXT(R$8,""yyyy-mm-dd"")&amp;""' label sum(Col16) ''"",0)))"),"")</f>
        <v/>
      </c>
      <c r="S307" s="628" t="str">
        <f>IFERROR(__xludf.DUMMYFUNCTION("IF($G307="""","""",IFERROR(query({proventos!$B$5:$Q310},""Select sum(Col16) where Col1 = '""&amp;$G307&amp;""' and Col2 &gt; date '""&amp;TEXT(T$8,""yyyy-mm-dd"")&amp;""' and Col2 &lt;= date '""&amp;TEXT(S$8,""yyyy-mm-dd"")&amp;""' label sum(Col16) ''"",0)))"),"")</f>
        <v/>
      </c>
      <c r="T307" s="628" t="str">
        <f>IFERROR(__xludf.DUMMYFUNCTION("IF($G307="""","""",IFERROR(query({proventos!$B$5:$Q310},""Select sum(Col16) where Col1 = '""&amp;$G307&amp;""' and Col2 &gt; date '""&amp;TEXT(U$8,""yyyy-mm-dd"")&amp;""' and Col2 &lt;= date '""&amp;TEXT(T$8,""yyyy-mm-dd"")&amp;""' label sum(Col16) ''"",0)))"),"")</f>
        <v/>
      </c>
      <c r="U307" s="629" t="str">
        <f>IFERROR(__xludf.DUMMYFUNCTION("IF($G307="""","""",IFERROR(query({proventos!$B$5:$Q310},""Select sum(Col16) where Col1 = '""&amp;$G307&amp;""' and Col2 &gt; date '""&amp;TEXT(EOMONTH(TODAY(),-13),""yyyy-mm-dd"")&amp;""' and Col2 &lt;= date '""&amp;TEXT(U$8,""yyyy-mm-dd"")&amp;""' label sum(Col16) ''"",0)))"),"")</f>
        <v/>
      </c>
      <c r="V307" s="630" t="str">
        <f>IFERROR(__xludf.DUMMYFUNCTION("IF($G307="""","""",IFERROR(query({proventos!$B$5:$Q310},""Select sum(Col16) where Col1 = '""&amp;$G307&amp;""' and Col2 &gt; date '""&amp;TEXT(DATE(V$8,1,1),""yyyy-mm-dd"")&amp;""' and Col2 &lt;= date '""&amp;TEXT(DATE(V$8,12,31),""yyyy-mm-dd"")&amp;""' label sum(Col16) ''"",0)))"),"")</f>
        <v/>
      </c>
      <c r="W307" s="630" t="str">
        <f>IFERROR(__xludf.DUMMYFUNCTION("IF($G307="""","""",IFERROR(query({proventos!$B$5:$Q310},""Select sum(Col16) where Col1 = '""&amp;$G307&amp;""' and Col2 &gt; date '""&amp;TEXT(DATE(W$8,1,1),""yyyy-mm-dd"")&amp;""' and Col2 &lt;= date '""&amp;TEXT(DATE(W$8,12,31),""yyyy-mm-dd"")&amp;""' label sum(Col16) ''"",0)))"),"")</f>
        <v/>
      </c>
      <c r="X307" s="630" t="str">
        <f>IFERROR(__xludf.DUMMYFUNCTION("IF($G307="""","""",IFERROR(query({proventos!$B$5:$Q310},""Select sum(Col16) where Col1 = '""&amp;$G307&amp;""' and Col2 &gt; date '""&amp;TEXT(DATE(X$8,1,1),""yyyy-mm-dd"")&amp;""' and Col2 &lt;= date '""&amp;TEXT(DATE(X$8,12,31),""yyyy-mm-dd"")&amp;""' label sum(Col16) ''"",0)))"),"")</f>
        <v/>
      </c>
      <c r="Y307" s="630" t="str">
        <f>IFERROR(__xludf.DUMMYFUNCTION("IF($G307="""","""",IFERROR(query({proventos!$B$5:$Q310},""Select sum(Col16) where Col1 = '""&amp;$G307&amp;""' and Col2 &gt; date '""&amp;TEXT(DATE(Y$8,1,1),""yyyy-mm-dd"")&amp;""' and Col2 &lt;= date '""&amp;TEXT(DATE(Y$8,12,31),""yyyy-mm-dd"")&amp;""' label sum(Col16) ''"",0)))"),"")</f>
        <v/>
      </c>
      <c r="Z307" s="630" t="str">
        <f>IFERROR(__xludf.DUMMYFUNCTION("IF($G307="""","""",IFERROR(query({proventos!$B$5:$Q310},""Select sum(Col16) where Col1 = '""&amp;$G307&amp;""' and Col2 &gt; date '""&amp;TEXT(DATE(Z$8,1,1),""yyyy-mm-dd"")&amp;""' and Col2 &lt;= date '""&amp;TEXT(DATE(Z$8,12,31),""yyyy-mm-dd"")&amp;""' label sum(Col16) ''"",0)))"),"")</f>
        <v/>
      </c>
      <c r="AA307" s="587"/>
      <c r="AB307" s="578" t="s">
        <v>123</v>
      </c>
      <c r="AC307" s="601"/>
      <c r="AD307" s="638"/>
      <c r="AE307" s="638"/>
    </row>
    <row r="308">
      <c r="A308" s="576"/>
      <c r="B308" s="620"/>
      <c r="C308" s="637"/>
      <c r="D308" s="633"/>
      <c r="E308" s="633"/>
      <c r="F308" s="624">
        <v>298.0</v>
      </c>
      <c r="G308" s="635"/>
      <c r="H308" s="626" t="str">
        <f>if(G308="","",IFERROR(VLOOKUP(G308,AtivosDados,MATCH("provento_avg",portfolio.!$A$3:AE$3,0),FALSE),""))</f>
        <v/>
      </c>
      <c r="I308" s="627" t="s">
        <v>123</v>
      </c>
      <c r="J308" s="628" t="str">
        <f>IFERROR(__xludf.DUMMYFUNCTION("IF($G308="""","""",IFERROR(query({proventos!$B$5:$Q310},""Select sum(Col16) where Col1 = '""&amp;$G308&amp;""' and Col2 &gt; date '""&amp;TEXT(K$8,""yyyy-mm-dd"")&amp;""' and Col2 &lt;= date '""&amp;TEXT(J$8,""yyyy-mm-dd"")&amp;""' label sum(Col16) ''"",0)))"),"")</f>
        <v/>
      </c>
      <c r="K308" s="628" t="str">
        <f>IFERROR(__xludf.DUMMYFUNCTION("IF($G308="""","""",IFERROR(query({proventos!$B$5:$Q310},""Select sum(Col16) where Col1 = '""&amp;$G308&amp;""' and Col2 &gt; date '""&amp;TEXT(L$8,""yyyy-mm-dd"")&amp;""' and Col2 &lt;= date '""&amp;TEXT(K$8,""yyyy-mm-dd"")&amp;""' label sum(Col16) ''"",0)))"),"")</f>
        <v/>
      </c>
      <c r="L308" s="628" t="str">
        <f>IFERROR(__xludf.DUMMYFUNCTION("IF($G308="""","""",IFERROR(query({proventos!$B$5:$Q310},""Select sum(Col16) where Col1 = '""&amp;$G308&amp;""' and Col2 &gt; date '""&amp;TEXT(M$8,""yyyy-mm-dd"")&amp;""' and Col2 &lt;= date '""&amp;TEXT(L$8,""yyyy-mm-dd"")&amp;""' label sum(Col16) ''"",0)))"),"")</f>
        <v/>
      </c>
      <c r="M308" s="628" t="str">
        <f>IFERROR(__xludf.DUMMYFUNCTION("IF($G308="""","""",IFERROR(query({proventos!$B$5:$Q310},""Select sum(Col16) where Col1 = '""&amp;$G308&amp;""' and Col2 &gt; date '""&amp;TEXT(N$8,""yyyy-mm-dd"")&amp;""' and Col2 &lt;= date '""&amp;TEXT(M$8,""yyyy-mm-dd"")&amp;""' label sum(Col16) ''"",0)))"),"")</f>
        <v/>
      </c>
      <c r="N308" s="628" t="str">
        <f>IFERROR(__xludf.DUMMYFUNCTION("IF($G308="""","""",IFERROR(query({proventos!$B$5:$Q310},""Select sum(Col16) where Col1 = '""&amp;$G308&amp;""' and Col2 &gt; date '""&amp;TEXT(O$8,""yyyy-mm-dd"")&amp;""' and Col2 &lt;= date '""&amp;TEXT(N$8,""yyyy-mm-dd"")&amp;""' label sum(Col16) ''"",0)))"),"")</f>
        <v/>
      </c>
      <c r="O308" s="628" t="str">
        <f>IFERROR(__xludf.DUMMYFUNCTION("IF($G308="""","""",IFERROR(query({proventos!$B$5:$Q310},""Select sum(Col16) where Col1 = '""&amp;$G308&amp;""' and Col2 &gt; date '""&amp;TEXT(P$8,""yyyy-mm-dd"")&amp;""' and Col2 &lt;= date '""&amp;TEXT(O$8,""yyyy-mm-dd"")&amp;""' label sum(Col16) ''"",0)))"),"")</f>
        <v/>
      </c>
      <c r="P308" s="628" t="str">
        <f>IFERROR(__xludf.DUMMYFUNCTION("IF($G308="""","""",IFERROR(query({proventos!$B$5:$Q310},""Select sum(Col16) where Col1 = '""&amp;$G308&amp;""' and Col2 &gt; date '""&amp;TEXT(Q$8,""yyyy-mm-dd"")&amp;""' and Col2 &lt;= date '""&amp;TEXT(P$8,""yyyy-mm-dd"")&amp;""' label sum(Col16) ''"",0)))"),"")</f>
        <v/>
      </c>
      <c r="Q308" s="628" t="str">
        <f>IFERROR(__xludf.DUMMYFUNCTION("IF($G308="""","""",IFERROR(query({proventos!$B$5:$Q310},""Select sum(Col16) where Col1 = '""&amp;$G308&amp;""' and Col2 &gt; date '""&amp;TEXT(R$8,""yyyy-mm-dd"")&amp;""' and Col2 &lt;= date '""&amp;TEXT(Q$8,""yyyy-mm-dd"")&amp;""' label sum(Col16) ''"",0)))"),"")</f>
        <v/>
      </c>
      <c r="R308" s="628" t="str">
        <f>IFERROR(__xludf.DUMMYFUNCTION("IF($G308="""","""",IFERROR(query({proventos!$B$5:$Q310},""Select sum(Col16) where Col1 = '""&amp;$G308&amp;""' and Col2 &gt; date '""&amp;TEXT(S$8,""yyyy-mm-dd"")&amp;""' and Col2 &lt;= date '""&amp;TEXT(R$8,""yyyy-mm-dd"")&amp;""' label sum(Col16) ''"",0)))"),"")</f>
        <v/>
      </c>
      <c r="S308" s="628" t="str">
        <f>IFERROR(__xludf.DUMMYFUNCTION("IF($G308="""","""",IFERROR(query({proventos!$B$5:$Q310},""Select sum(Col16) where Col1 = '""&amp;$G308&amp;""' and Col2 &gt; date '""&amp;TEXT(T$8,""yyyy-mm-dd"")&amp;""' and Col2 &lt;= date '""&amp;TEXT(S$8,""yyyy-mm-dd"")&amp;""' label sum(Col16) ''"",0)))"),"")</f>
        <v/>
      </c>
      <c r="T308" s="628" t="str">
        <f>IFERROR(__xludf.DUMMYFUNCTION("IF($G308="""","""",IFERROR(query({proventos!$B$5:$Q310},""Select sum(Col16) where Col1 = '""&amp;$G308&amp;""' and Col2 &gt; date '""&amp;TEXT(U$8,""yyyy-mm-dd"")&amp;""' and Col2 &lt;= date '""&amp;TEXT(T$8,""yyyy-mm-dd"")&amp;""' label sum(Col16) ''"",0)))"),"")</f>
        <v/>
      </c>
      <c r="U308" s="629" t="str">
        <f>IFERROR(__xludf.DUMMYFUNCTION("IF($G308="""","""",IFERROR(query({proventos!$B$5:$Q310},""Select sum(Col16) where Col1 = '""&amp;$G308&amp;""' and Col2 &gt; date '""&amp;TEXT(EOMONTH(TODAY(),-13),""yyyy-mm-dd"")&amp;""' and Col2 &lt;= date '""&amp;TEXT(U$8,""yyyy-mm-dd"")&amp;""' label sum(Col16) ''"",0)))"),"")</f>
        <v/>
      </c>
      <c r="V308" s="630" t="str">
        <f>IFERROR(__xludf.DUMMYFUNCTION("IF($G308="""","""",IFERROR(query({proventos!$B$5:$Q310},""Select sum(Col16) where Col1 = '""&amp;$G308&amp;""' and Col2 &gt; date '""&amp;TEXT(DATE(V$8,1,1),""yyyy-mm-dd"")&amp;""' and Col2 &lt;= date '""&amp;TEXT(DATE(V$8,12,31),""yyyy-mm-dd"")&amp;""' label sum(Col16) ''"",0)))"),"")</f>
        <v/>
      </c>
      <c r="W308" s="630" t="str">
        <f>IFERROR(__xludf.DUMMYFUNCTION("IF($G308="""","""",IFERROR(query({proventos!$B$5:$Q310},""Select sum(Col16) where Col1 = '""&amp;$G308&amp;""' and Col2 &gt; date '""&amp;TEXT(DATE(W$8,1,1),""yyyy-mm-dd"")&amp;""' and Col2 &lt;= date '""&amp;TEXT(DATE(W$8,12,31),""yyyy-mm-dd"")&amp;""' label sum(Col16) ''"",0)))"),"")</f>
        <v/>
      </c>
      <c r="X308" s="630" t="str">
        <f>IFERROR(__xludf.DUMMYFUNCTION("IF($G308="""","""",IFERROR(query({proventos!$B$5:$Q310},""Select sum(Col16) where Col1 = '""&amp;$G308&amp;""' and Col2 &gt; date '""&amp;TEXT(DATE(X$8,1,1),""yyyy-mm-dd"")&amp;""' and Col2 &lt;= date '""&amp;TEXT(DATE(X$8,12,31),""yyyy-mm-dd"")&amp;""' label sum(Col16) ''"",0)))"),"")</f>
        <v/>
      </c>
      <c r="Y308" s="630" t="str">
        <f>IFERROR(__xludf.DUMMYFUNCTION("IF($G308="""","""",IFERROR(query({proventos!$B$5:$Q310},""Select sum(Col16) where Col1 = '""&amp;$G308&amp;""' and Col2 &gt; date '""&amp;TEXT(DATE(Y$8,1,1),""yyyy-mm-dd"")&amp;""' and Col2 &lt;= date '""&amp;TEXT(DATE(Y$8,12,31),""yyyy-mm-dd"")&amp;""' label sum(Col16) ''"",0)))"),"")</f>
        <v/>
      </c>
      <c r="Z308" s="630" t="str">
        <f>IFERROR(__xludf.DUMMYFUNCTION("IF($G308="""","""",IFERROR(query({proventos!$B$5:$Q310},""Select sum(Col16) where Col1 = '""&amp;$G308&amp;""' and Col2 &gt; date '""&amp;TEXT(DATE(Z$8,1,1),""yyyy-mm-dd"")&amp;""' and Col2 &lt;= date '""&amp;TEXT(DATE(Z$8,12,31),""yyyy-mm-dd"")&amp;""' label sum(Col16) ''"",0)))"),"")</f>
        <v/>
      </c>
      <c r="AA308" s="587"/>
      <c r="AB308" s="578" t="s">
        <v>123</v>
      </c>
      <c r="AC308" s="601"/>
      <c r="AD308" s="638"/>
      <c r="AE308" s="638"/>
    </row>
    <row r="309">
      <c r="A309" s="576"/>
      <c r="B309" s="620"/>
      <c r="C309" s="637"/>
      <c r="D309" s="633"/>
      <c r="E309" s="633"/>
      <c r="F309" s="624">
        <v>299.0</v>
      </c>
      <c r="G309" s="635"/>
      <c r="H309" s="626" t="str">
        <f>if(G309="","",IFERROR(VLOOKUP(G309,AtivosDados,MATCH("provento_avg",portfolio.!$A$3:AE$3,0),FALSE),""))</f>
        <v/>
      </c>
      <c r="I309" s="627" t="s">
        <v>123</v>
      </c>
      <c r="J309" s="628" t="str">
        <f>IFERROR(__xludf.DUMMYFUNCTION("IF($G309="""","""",IFERROR(query({proventos!$B$5:$Q310},""Select sum(Col16) where Col1 = '""&amp;$G309&amp;""' and Col2 &gt; date '""&amp;TEXT(K$8,""yyyy-mm-dd"")&amp;""' and Col2 &lt;= date '""&amp;TEXT(J$8,""yyyy-mm-dd"")&amp;""' label sum(Col16) ''"",0)))"),"")</f>
        <v/>
      </c>
      <c r="K309" s="628" t="str">
        <f>IFERROR(__xludf.DUMMYFUNCTION("IF($G309="""","""",IFERROR(query({proventos!$B$5:$Q310},""Select sum(Col16) where Col1 = '""&amp;$G309&amp;""' and Col2 &gt; date '""&amp;TEXT(L$8,""yyyy-mm-dd"")&amp;""' and Col2 &lt;= date '""&amp;TEXT(K$8,""yyyy-mm-dd"")&amp;""' label sum(Col16) ''"",0)))"),"")</f>
        <v/>
      </c>
      <c r="L309" s="628" t="str">
        <f>IFERROR(__xludf.DUMMYFUNCTION("IF($G309="""","""",IFERROR(query({proventos!$B$5:$Q310},""Select sum(Col16) where Col1 = '""&amp;$G309&amp;""' and Col2 &gt; date '""&amp;TEXT(M$8,""yyyy-mm-dd"")&amp;""' and Col2 &lt;= date '""&amp;TEXT(L$8,""yyyy-mm-dd"")&amp;""' label sum(Col16) ''"",0)))"),"")</f>
        <v/>
      </c>
      <c r="M309" s="628" t="str">
        <f>IFERROR(__xludf.DUMMYFUNCTION("IF($G309="""","""",IFERROR(query({proventos!$B$5:$Q310},""Select sum(Col16) where Col1 = '""&amp;$G309&amp;""' and Col2 &gt; date '""&amp;TEXT(N$8,""yyyy-mm-dd"")&amp;""' and Col2 &lt;= date '""&amp;TEXT(M$8,""yyyy-mm-dd"")&amp;""' label sum(Col16) ''"",0)))"),"")</f>
        <v/>
      </c>
      <c r="N309" s="628" t="str">
        <f>IFERROR(__xludf.DUMMYFUNCTION("IF($G309="""","""",IFERROR(query({proventos!$B$5:$Q310},""Select sum(Col16) where Col1 = '""&amp;$G309&amp;""' and Col2 &gt; date '""&amp;TEXT(O$8,""yyyy-mm-dd"")&amp;""' and Col2 &lt;= date '""&amp;TEXT(N$8,""yyyy-mm-dd"")&amp;""' label sum(Col16) ''"",0)))"),"")</f>
        <v/>
      </c>
      <c r="O309" s="628" t="str">
        <f>IFERROR(__xludf.DUMMYFUNCTION("IF($G309="""","""",IFERROR(query({proventos!$B$5:$Q310},""Select sum(Col16) where Col1 = '""&amp;$G309&amp;""' and Col2 &gt; date '""&amp;TEXT(P$8,""yyyy-mm-dd"")&amp;""' and Col2 &lt;= date '""&amp;TEXT(O$8,""yyyy-mm-dd"")&amp;""' label sum(Col16) ''"",0)))"),"")</f>
        <v/>
      </c>
      <c r="P309" s="628" t="str">
        <f>IFERROR(__xludf.DUMMYFUNCTION("IF($G309="""","""",IFERROR(query({proventos!$B$5:$Q310},""Select sum(Col16) where Col1 = '""&amp;$G309&amp;""' and Col2 &gt; date '""&amp;TEXT(Q$8,""yyyy-mm-dd"")&amp;""' and Col2 &lt;= date '""&amp;TEXT(P$8,""yyyy-mm-dd"")&amp;""' label sum(Col16) ''"",0)))"),"")</f>
        <v/>
      </c>
      <c r="Q309" s="628" t="str">
        <f>IFERROR(__xludf.DUMMYFUNCTION("IF($G309="""","""",IFERROR(query({proventos!$B$5:$Q310},""Select sum(Col16) where Col1 = '""&amp;$G309&amp;""' and Col2 &gt; date '""&amp;TEXT(R$8,""yyyy-mm-dd"")&amp;""' and Col2 &lt;= date '""&amp;TEXT(Q$8,""yyyy-mm-dd"")&amp;""' label sum(Col16) ''"",0)))"),"")</f>
        <v/>
      </c>
      <c r="R309" s="628" t="str">
        <f>IFERROR(__xludf.DUMMYFUNCTION("IF($G309="""","""",IFERROR(query({proventos!$B$5:$Q310},""Select sum(Col16) where Col1 = '""&amp;$G309&amp;""' and Col2 &gt; date '""&amp;TEXT(S$8,""yyyy-mm-dd"")&amp;""' and Col2 &lt;= date '""&amp;TEXT(R$8,""yyyy-mm-dd"")&amp;""' label sum(Col16) ''"",0)))"),"")</f>
        <v/>
      </c>
      <c r="S309" s="628" t="str">
        <f>IFERROR(__xludf.DUMMYFUNCTION("IF($G309="""","""",IFERROR(query({proventos!$B$5:$Q310},""Select sum(Col16) where Col1 = '""&amp;$G309&amp;""' and Col2 &gt; date '""&amp;TEXT(T$8,""yyyy-mm-dd"")&amp;""' and Col2 &lt;= date '""&amp;TEXT(S$8,""yyyy-mm-dd"")&amp;""' label sum(Col16) ''"",0)))"),"")</f>
        <v/>
      </c>
      <c r="T309" s="628" t="str">
        <f>IFERROR(__xludf.DUMMYFUNCTION("IF($G309="""","""",IFERROR(query({proventos!$B$5:$Q310},""Select sum(Col16) where Col1 = '""&amp;$G309&amp;""' and Col2 &gt; date '""&amp;TEXT(U$8,""yyyy-mm-dd"")&amp;""' and Col2 &lt;= date '""&amp;TEXT(T$8,""yyyy-mm-dd"")&amp;""' label sum(Col16) ''"",0)))"),"")</f>
        <v/>
      </c>
      <c r="U309" s="629" t="str">
        <f>IFERROR(__xludf.DUMMYFUNCTION("IF($G309="""","""",IFERROR(query({proventos!$B$5:$Q310},""Select sum(Col16) where Col1 = '""&amp;$G309&amp;""' and Col2 &gt; date '""&amp;TEXT(EOMONTH(TODAY(),-13),""yyyy-mm-dd"")&amp;""' and Col2 &lt;= date '""&amp;TEXT(U$8,""yyyy-mm-dd"")&amp;""' label sum(Col16) ''"",0)))"),"")</f>
        <v/>
      </c>
      <c r="V309" s="630" t="str">
        <f>IFERROR(__xludf.DUMMYFUNCTION("IF($G309="""","""",IFERROR(query({proventos!$B$5:$Q310},""Select sum(Col16) where Col1 = '""&amp;$G309&amp;""' and Col2 &gt; date '""&amp;TEXT(DATE(V$8,1,1),""yyyy-mm-dd"")&amp;""' and Col2 &lt;= date '""&amp;TEXT(DATE(V$8,12,31),""yyyy-mm-dd"")&amp;""' label sum(Col16) ''"",0)))"),"")</f>
        <v/>
      </c>
      <c r="W309" s="630" t="str">
        <f>IFERROR(__xludf.DUMMYFUNCTION("IF($G309="""","""",IFERROR(query({proventos!$B$5:$Q310},""Select sum(Col16) where Col1 = '""&amp;$G309&amp;""' and Col2 &gt; date '""&amp;TEXT(DATE(W$8,1,1),""yyyy-mm-dd"")&amp;""' and Col2 &lt;= date '""&amp;TEXT(DATE(W$8,12,31),""yyyy-mm-dd"")&amp;""' label sum(Col16) ''"",0)))"),"")</f>
        <v/>
      </c>
      <c r="X309" s="630" t="str">
        <f>IFERROR(__xludf.DUMMYFUNCTION("IF($G309="""","""",IFERROR(query({proventos!$B$5:$Q310},""Select sum(Col16) where Col1 = '""&amp;$G309&amp;""' and Col2 &gt; date '""&amp;TEXT(DATE(X$8,1,1),""yyyy-mm-dd"")&amp;""' and Col2 &lt;= date '""&amp;TEXT(DATE(X$8,12,31),""yyyy-mm-dd"")&amp;""' label sum(Col16) ''"",0)))"),"")</f>
        <v/>
      </c>
      <c r="Y309" s="630" t="str">
        <f>IFERROR(__xludf.DUMMYFUNCTION("IF($G309="""","""",IFERROR(query({proventos!$B$5:$Q310},""Select sum(Col16) where Col1 = '""&amp;$G309&amp;""' and Col2 &gt; date '""&amp;TEXT(DATE(Y$8,1,1),""yyyy-mm-dd"")&amp;""' and Col2 &lt;= date '""&amp;TEXT(DATE(Y$8,12,31),""yyyy-mm-dd"")&amp;""' label sum(Col16) ''"",0)))"),"")</f>
        <v/>
      </c>
      <c r="Z309" s="630" t="str">
        <f>IFERROR(__xludf.DUMMYFUNCTION("IF($G309="""","""",IFERROR(query({proventos!$B$5:$Q310},""Select sum(Col16) where Col1 = '""&amp;$G309&amp;""' and Col2 &gt; date '""&amp;TEXT(DATE(Z$8,1,1),""yyyy-mm-dd"")&amp;""' and Col2 &lt;= date '""&amp;TEXT(DATE(Z$8,12,31),""yyyy-mm-dd"")&amp;""' label sum(Col16) ''"",0)))"),"")</f>
        <v/>
      </c>
      <c r="AA309" s="587"/>
      <c r="AB309" s="578" t="s">
        <v>123</v>
      </c>
      <c r="AC309" s="601"/>
      <c r="AD309" s="638"/>
      <c r="AE309" s="638"/>
    </row>
    <row r="310">
      <c r="A310" s="576"/>
      <c r="B310" s="620"/>
      <c r="C310" s="637"/>
      <c r="D310" s="633"/>
      <c r="E310" s="633"/>
      <c r="F310" s="624">
        <v>300.0</v>
      </c>
      <c r="G310" s="635"/>
      <c r="H310" s="626" t="str">
        <f>if(G310="","",IFERROR(VLOOKUP(G310,AtivosDados,MATCH("provento_avg",portfolio.!$A$3:AE$3,0),FALSE),""))</f>
        <v/>
      </c>
      <c r="I310" s="627" t="s">
        <v>123</v>
      </c>
      <c r="J310" s="628" t="str">
        <f>IFERROR(__xludf.DUMMYFUNCTION("IF($G310="""","""",IFERROR(query({proventos!$B$5:$Q310},""Select sum(Col16) where Col1 = '""&amp;$G310&amp;""' and Col2 &gt; date '""&amp;TEXT(K$8,""yyyy-mm-dd"")&amp;""' and Col2 &lt;= date '""&amp;TEXT(J$8,""yyyy-mm-dd"")&amp;""' label sum(Col16) ''"",0)))"),"")</f>
        <v/>
      </c>
      <c r="K310" s="628" t="str">
        <f>IFERROR(__xludf.DUMMYFUNCTION("IF($G310="""","""",IFERROR(query({proventos!$B$5:$Q310},""Select sum(Col16) where Col1 = '""&amp;$G310&amp;""' and Col2 &gt; date '""&amp;TEXT(L$8,""yyyy-mm-dd"")&amp;""' and Col2 &lt;= date '""&amp;TEXT(K$8,""yyyy-mm-dd"")&amp;""' label sum(Col16) ''"",0)))"),"")</f>
        <v/>
      </c>
      <c r="L310" s="628" t="str">
        <f>IFERROR(__xludf.DUMMYFUNCTION("IF($G310="""","""",IFERROR(query({proventos!$B$5:$Q310},""Select sum(Col16) where Col1 = '""&amp;$G310&amp;""' and Col2 &gt; date '""&amp;TEXT(M$8,""yyyy-mm-dd"")&amp;""' and Col2 &lt;= date '""&amp;TEXT(L$8,""yyyy-mm-dd"")&amp;""' label sum(Col16) ''"",0)))"),"")</f>
        <v/>
      </c>
      <c r="M310" s="628" t="str">
        <f>IFERROR(__xludf.DUMMYFUNCTION("IF($G310="""","""",IFERROR(query({proventos!$B$5:$Q310},""Select sum(Col16) where Col1 = '""&amp;$G310&amp;""' and Col2 &gt; date '""&amp;TEXT(N$8,""yyyy-mm-dd"")&amp;""' and Col2 &lt;= date '""&amp;TEXT(M$8,""yyyy-mm-dd"")&amp;""' label sum(Col16) ''"",0)))"),"")</f>
        <v/>
      </c>
      <c r="N310" s="628" t="str">
        <f>IFERROR(__xludf.DUMMYFUNCTION("IF($G310="""","""",IFERROR(query({proventos!$B$5:$Q310},""Select sum(Col16) where Col1 = '""&amp;$G310&amp;""' and Col2 &gt; date '""&amp;TEXT(O$8,""yyyy-mm-dd"")&amp;""' and Col2 &lt;= date '""&amp;TEXT(N$8,""yyyy-mm-dd"")&amp;""' label sum(Col16) ''"",0)))"),"")</f>
        <v/>
      </c>
      <c r="O310" s="628" t="str">
        <f>IFERROR(__xludf.DUMMYFUNCTION("IF($G310="""","""",IFERROR(query({proventos!$B$5:$Q310},""Select sum(Col16) where Col1 = '""&amp;$G310&amp;""' and Col2 &gt; date '""&amp;TEXT(P$8,""yyyy-mm-dd"")&amp;""' and Col2 &lt;= date '""&amp;TEXT(O$8,""yyyy-mm-dd"")&amp;""' label sum(Col16) ''"",0)))"),"")</f>
        <v/>
      </c>
      <c r="P310" s="628" t="str">
        <f>IFERROR(__xludf.DUMMYFUNCTION("IF($G310="""","""",IFERROR(query({proventos!$B$5:$Q310},""Select sum(Col16) where Col1 = '""&amp;$G310&amp;""' and Col2 &gt; date '""&amp;TEXT(Q$8,""yyyy-mm-dd"")&amp;""' and Col2 &lt;= date '""&amp;TEXT(P$8,""yyyy-mm-dd"")&amp;""' label sum(Col16) ''"",0)))"),"")</f>
        <v/>
      </c>
      <c r="Q310" s="628" t="str">
        <f>IFERROR(__xludf.DUMMYFUNCTION("IF($G310="""","""",IFERROR(query({proventos!$B$5:$Q310},""Select sum(Col16) where Col1 = '""&amp;$G310&amp;""' and Col2 &gt; date '""&amp;TEXT(R$8,""yyyy-mm-dd"")&amp;""' and Col2 &lt;= date '""&amp;TEXT(Q$8,""yyyy-mm-dd"")&amp;""' label sum(Col16) ''"",0)))"),"")</f>
        <v/>
      </c>
      <c r="R310" s="628" t="str">
        <f>IFERROR(__xludf.DUMMYFUNCTION("IF($G310="""","""",IFERROR(query({proventos!$B$5:$Q310},""Select sum(Col16) where Col1 = '""&amp;$G310&amp;""' and Col2 &gt; date '""&amp;TEXT(S$8,""yyyy-mm-dd"")&amp;""' and Col2 &lt;= date '""&amp;TEXT(R$8,""yyyy-mm-dd"")&amp;""' label sum(Col16) ''"",0)))"),"")</f>
        <v/>
      </c>
      <c r="S310" s="628" t="str">
        <f>IFERROR(__xludf.DUMMYFUNCTION("IF($G310="""","""",IFERROR(query({proventos!$B$5:$Q310},""Select sum(Col16) where Col1 = '""&amp;$G310&amp;""' and Col2 &gt; date '""&amp;TEXT(T$8,""yyyy-mm-dd"")&amp;""' and Col2 &lt;= date '""&amp;TEXT(S$8,""yyyy-mm-dd"")&amp;""' label sum(Col16) ''"",0)))"),"")</f>
        <v/>
      </c>
      <c r="T310" s="628" t="str">
        <f>IFERROR(__xludf.DUMMYFUNCTION("IF($G310="""","""",IFERROR(query({proventos!$B$5:$Q310},""Select sum(Col16) where Col1 = '""&amp;$G310&amp;""' and Col2 &gt; date '""&amp;TEXT(U$8,""yyyy-mm-dd"")&amp;""' and Col2 &lt;= date '""&amp;TEXT(T$8,""yyyy-mm-dd"")&amp;""' label sum(Col16) ''"",0)))"),"")</f>
        <v/>
      </c>
      <c r="U310" s="629" t="str">
        <f>IFERROR(__xludf.DUMMYFUNCTION("IF($G310="""","""",IFERROR(query({proventos!$B$5:$Q310},""Select sum(Col16) where Col1 = '""&amp;$G310&amp;""' and Col2 &gt; date '""&amp;TEXT(EOMONTH(TODAY(),-13),""yyyy-mm-dd"")&amp;""' and Col2 &lt;= date '""&amp;TEXT(U$8,""yyyy-mm-dd"")&amp;""' label sum(Col16) ''"",0)))"),"")</f>
        <v/>
      </c>
      <c r="V310" s="630" t="str">
        <f>IFERROR(__xludf.DUMMYFUNCTION("IF($G310="""","""",IFERROR(query({proventos!$B$5:$Q310},""Select sum(Col16) where Col1 = '""&amp;$G310&amp;""' and Col2 &gt; date '""&amp;TEXT(DATE(V$8,1,1),""yyyy-mm-dd"")&amp;""' and Col2 &lt;= date '""&amp;TEXT(DATE(V$8,12,31),""yyyy-mm-dd"")&amp;""' label sum(Col16) ''"",0)))"),"")</f>
        <v/>
      </c>
      <c r="W310" s="630" t="str">
        <f>IFERROR(__xludf.DUMMYFUNCTION("IF($G310="""","""",IFERROR(query({proventos!$B$5:$Q310},""Select sum(Col16) where Col1 = '""&amp;$G310&amp;""' and Col2 &gt; date '""&amp;TEXT(DATE(W$8,1,1),""yyyy-mm-dd"")&amp;""' and Col2 &lt;= date '""&amp;TEXT(DATE(W$8,12,31),""yyyy-mm-dd"")&amp;""' label sum(Col16) ''"",0)))"),"")</f>
        <v/>
      </c>
      <c r="X310" s="630" t="str">
        <f>IFERROR(__xludf.DUMMYFUNCTION("IF($G310="""","""",IFERROR(query({proventos!$B$5:$Q310},""Select sum(Col16) where Col1 = '""&amp;$G310&amp;""' and Col2 &gt; date '""&amp;TEXT(DATE(X$8,1,1),""yyyy-mm-dd"")&amp;""' and Col2 &lt;= date '""&amp;TEXT(DATE(X$8,12,31),""yyyy-mm-dd"")&amp;""' label sum(Col16) ''"",0)))"),"")</f>
        <v/>
      </c>
      <c r="Y310" s="630" t="str">
        <f>IFERROR(__xludf.DUMMYFUNCTION("IF($G310="""","""",IFERROR(query({proventos!$B$5:$Q310},""Select sum(Col16) where Col1 = '""&amp;$G310&amp;""' and Col2 &gt; date '""&amp;TEXT(DATE(Y$8,1,1),""yyyy-mm-dd"")&amp;""' and Col2 &lt;= date '""&amp;TEXT(DATE(Y$8,12,31),""yyyy-mm-dd"")&amp;""' label sum(Col16) ''"",0)))"),"")</f>
        <v/>
      </c>
      <c r="Z310" s="630" t="str">
        <f>IFERROR(__xludf.DUMMYFUNCTION("IF($G310="""","""",IFERROR(query({proventos!$B$5:$Q310},""Select sum(Col16) where Col1 = '""&amp;$G310&amp;""' and Col2 &gt; date '""&amp;TEXT(DATE(Z$8,1,1),""yyyy-mm-dd"")&amp;""' and Col2 &lt;= date '""&amp;TEXT(DATE(Z$8,12,31),""yyyy-mm-dd"")&amp;""' label sum(Col16) ''"",0)))"),"")</f>
        <v/>
      </c>
      <c r="AA310" s="587"/>
      <c r="AB310" s="578" t="s">
        <v>123</v>
      </c>
      <c r="AC310" s="601"/>
      <c r="AD310" s="638"/>
      <c r="AE310" s="638"/>
    </row>
  </sheetData>
  <mergeCells count="48">
    <mergeCell ref="Y5:Y6"/>
    <mergeCell ref="Z5:Z6"/>
    <mergeCell ref="B1:D2"/>
    <mergeCell ref="E1:E2"/>
    <mergeCell ref="F1:W2"/>
    <mergeCell ref="X1:Z2"/>
    <mergeCell ref="G4:J6"/>
    <mergeCell ref="AB4:AC4"/>
    <mergeCell ref="AD4:AE4"/>
    <mergeCell ref="B4:E4"/>
    <mergeCell ref="B5:E5"/>
    <mergeCell ref="B8:C8"/>
    <mergeCell ref="D8:E8"/>
    <mergeCell ref="G8:H9"/>
    <mergeCell ref="I8:I9"/>
    <mergeCell ref="J8:J9"/>
    <mergeCell ref="B10:D10"/>
    <mergeCell ref="K8:K9"/>
    <mergeCell ref="L8:L9"/>
    <mergeCell ref="M8:M9"/>
    <mergeCell ref="N8:N9"/>
    <mergeCell ref="O8:O9"/>
    <mergeCell ref="P8:P9"/>
    <mergeCell ref="Q8:Q9"/>
    <mergeCell ref="Y8:Y9"/>
    <mergeCell ref="Z8:Z9"/>
    <mergeCell ref="AB8:AB10"/>
    <mergeCell ref="R8:R9"/>
    <mergeCell ref="S8:S9"/>
    <mergeCell ref="T8:T9"/>
    <mergeCell ref="U8:U9"/>
    <mergeCell ref="V8:V9"/>
    <mergeCell ref="W8:W9"/>
    <mergeCell ref="X8:X9"/>
    <mergeCell ref="K5:K6"/>
    <mergeCell ref="L5:L6"/>
    <mergeCell ref="M5:M6"/>
    <mergeCell ref="N5:N6"/>
    <mergeCell ref="O5:O6"/>
    <mergeCell ref="P5:P6"/>
    <mergeCell ref="Q5:Q6"/>
    <mergeCell ref="R5:R6"/>
    <mergeCell ref="S5:S6"/>
    <mergeCell ref="T5:T6"/>
    <mergeCell ref="U5:U6"/>
    <mergeCell ref="V5:V6"/>
    <mergeCell ref="W5:W6"/>
    <mergeCell ref="X5:X6"/>
  </mergeCells>
  <conditionalFormatting sqref="A11:A110">
    <cfRule type="expression" dxfId="11" priority="1">
      <formula>if(B11="",True)</formula>
    </cfRule>
  </conditionalFormatting>
  <conditionalFormatting sqref="G11:G310">
    <cfRule type="expression" dxfId="41" priority="2">
      <formula>IF(AB11&lt;&gt;"",TRUE)</formula>
    </cfRule>
  </conditionalFormatting>
  <conditionalFormatting sqref="G11:G310">
    <cfRule type="notContainsBlanks" dxfId="5" priority="3">
      <formula>LEN(TRIM(G11))&gt;0</formula>
    </cfRule>
  </conditionalFormatting>
  <conditionalFormatting sqref="B11:B310">
    <cfRule type="notContainsBlanks" dxfId="30" priority="4">
      <formula>LEN(TRIM(B11))&gt;0</formula>
    </cfRule>
  </conditionalFormatting>
  <conditionalFormatting sqref="I11:I310">
    <cfRule type="notContainsBlanks" dxfId="42" priority="5">
      <formula>LEN(TRIM(I11))&gt;0</formula>
    </cfRule>
  </conditionalFormatting>
  <conditionalFormatting sqref="F11:F310">
    <cfRule type="expression" dxfId="11" priority="6">
      <formula>IF($G11="",TRUE,FALSE)</formula>
    </cfRule>
  </conditionalFormatting>
  <dataValidations>
    <dataValidation type="list" allowBlank="1" sqref="C7">
      <formula1>"Janeiro,Fevereiro,Marco,Abril,Maio,Junho,Julho,Agosto,Setembro,Outubro,Novembro,Dezembro"</formula1>
    </dataValidation>
    <dataValidation type="list" allowBlank="1" sqref="D8">
      <formula1>"Ativo,Data"</formula1>
    </dataValidation>
  </dataValidations>
  <drawing r:id="rId2"/>
  <legacyDrawing r:id="rId3"/>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pageSetUpPr/>
  </sheetPr>
  <sheetViews>
    <sheetView showGridLines="0" workbookViewId="0">
      <pane ySplit="4.0" topLeftCell="A5" activePane="bottomLeft" state="frozen"/>
      <selection activeCell="B6" sqref="B6" pane="bottomLeft"/>
    </sheetView>
  </sheetViews>
  <sheetFormatPr customHeight="1" defaultColWidth="15.13" defaultRowHeight="15.75"/>
  <cols>
    <col customWidth="1" hidden="1" min="1" max="1" width="11.38"/>
    <col customWidth="1" min="2" max="2" width="15.13"/>
    <col customWidth="1" min="3" max="3" width="7.63"/>
    <col customWidth="1" min="4" max="4" width="11.38"/>
    <col customWidth="1" min="5" max="5" width="7.63"/>
    <col customWidth="1" min="6" max="6" width="8.25"/>
    <col customWidth="1" min="7" max="7" width="7.63"/>
    <col customWidth="1" min="8" max="8" width="11.38"/>
    <col customWidth="1" min="9" max="10" width="7.63"/>
    <col customWidth="1" min="11" max="11" width="15.13"/>
    <col customWidth="1" min="12" max="12" width="1.13"/>
    <col customWidth="1" min="13" max="13" width="7.63"/>
    <col customWidth="1" min="14" max="14" width="12.63"/>
    <col customWidth="1" min="15" max="17" width="7.63"/>
    <col customWidth="1" min="18" max="18" width="11.38"/>
    <col customWidth="1" min="19" max="20" width="9.88"/>
    <col customWidth="1" min="21" max="25" width="7.63"/>
    <col customWidth="1" hidden="1" min="26" max="26" width="11.38"/>
    <col customWidth="1" hidden="1" min="27" max="27" width="7.63"/>
    <col customWidth="1" hidden="1" min="28" max="28" width="5.13"/>
    <col customWidth="1" hidden="1" min="29" max="30" width="16.38"/>
    <col customWidth="1" hidden="1" min="31" max="45" width="10.5"/>
  </cols>
  <sheetData>
    <row r="1" ht="12.75" customHeight="1">
      <c r="A1" s="639" t="s">
        <v>389</v>
      </c>
      <c r="B1" s="514"/>
      <c r="C1" s="514"/>
      <c r="D1" s="514"/>
      <c r="E1" s="514"/>
      <c r="F1" s="514"/>
      <c r="G1" s="514"/>
      <c r="H1" s="514"/>
      <c r="I1" s="514"/>
      <c r="J1" s="514"/>
      <c r="K1" s="514"/>
      <c r="L1" s="217"/>
      <c r="M1" s="640" t="str">
        <f>HYPERLINK("bit.ly/dlombelloplanilhas","dlombello®planilhas "&amp;leiame!B6)</f>
        <v>dlombello®planilhas v6.4.02</v>
      </c>
      <c r="AA1" s="641"/>
      <c r="AB1" s="642"/>
      <c r="AC1" s="642"/>
      <c r="AD1" s="642"/>
      <c r="AE1" s="642"/>
      <c r="AF1" s="642"/>
      <c r="AG1" s="642"/>
      <c r="AH1" s="642"/>
      <c r="AI1" s="642"/>
      <c r="AJ1" s="642"/>
      <c r="AK1" s="642"/>
      <c r="AL1" s="642"/>
      <c r="AM1" s="642"/>
      <c r="AN1" s="642"/>
      <c r="AO1" s="642"/>
      <c r="AP1" s="642"/>
      <c r="AQ1" s="642"/>
      <c r="AR1" s="642"/>
      <c r="AS1" s="642"/>
    </row>
    <row r="2" ht="12.75" customHeight="1">
      <c r="A2" s="230"/>
      <c r="B2" s="519"/>
      <c r="C2" s="519"/>
      <c r="D2" s="519"/>
      <c r="E2" s="519"/>
      <c r="F2" s="519"/>
      <c r="G2" s="519"/>
      <c r="H2" s="519"/>
      <c r="I2" s="519"/>
      <c r="J2" s="519"/>
      <c r="K2" s="519"/>
      <c r="L2" s="231"/>
      <c r="AA2" s="641"/>
      <c r="AB2" s="642"/>
      <c r="AC2" s="642"/>
      <c r="AD2" s="642"/>
      <c r="AE2" s="642"/>
      <c r="AF2" s="642"/>
      <c r="AG2" s="642"/>
      <c r="AH2" s="642"/>
      <c r="AI2" s="642"/>
      <c r="AJ2" s="642"/>
      <c r="AK2" s="642"/>
      <c r="AL2" s="642"/>
      <c r="AM2" s="642"/>
      <c r="AN2" s="642"/>
      <c r="AO2" s="642"/>
      <c r="AP2" s="642"/>
      <c r="AQ2" s="642"/>
      <c r="AR2" s="642"/>
      <c r="AS2" s="642"/>
    </row>
    <row r="3" ht="6.0" customHeight="1">
      <c r="A3" s="643"/>
      <c r="B3" s="643"/>
      <c r="C3" s="643"/>
      <c r="D3" s="644"/>
      <c r="E3" s="644"/>
      <c r="F3" s="644"/>
      <c r="G3" s="644"/>
      <c r="H3" s="644"/>
      <c r="I3" s="643"/>
      <c r="J3" s="643"/>
      <c r="K3" s="643"/>
      <c r="L3" s="645"/>
      <c r="M3" s="643"/>
      <c r="N3" s="646"/>
      <c r="O3" s="643"/>
      <c r="P3" s="643"/>
      <c r="Q3" s="647"/>
      <c r="R3" s="643"/>
      <c r="S3" s="643"/>
      <c r="T3" s="643"/>
      <c r="U3" s="643"/>
      <c r="V3" s="643"/>
      <c r="W3" s="643"/>
      <c r="X3" s="643"/>
      <c r="Y3" s="643"/>
      <c r="Z3" s="643"/>
      <c r="AA3" s="646"/>
      <c r="AB3" s="643"/>
      <c r="AC3" s="643"/>
      <c r="AD3" s="643"/>
      <c r="AE3" s="643"/>
      <c r="AF3" s="643"/>
      <c r="AG3" s="643"/>
      <c r="AH3" s="643"/>
      <c r="AI3" s="643"/>
      <c r="AJ3" s="643"/>
      <c r="AK3" s="643"/>
      <c r="AL3" s="643"/>
      <c r="AM3" s="643"/>
      <c r="AN3" s="643"/>
      <c r="AO3" s="643"/>
      <c r="AP3" s="643"/>
      <c r="AQ3" s="643"/>
      <c r="AR3" s="643"/>
      <c r="AS3" s="643"/>
    </row>
    <row r="4">
      <c r="A4" s="648" t="s">
        <v>390</v>
      </c>
      <c r="B4" s="649" t="s">
        <v>188</v>
      </c>
      <c r="C4" s="649" t="s">
        <v>391</v>
      </c>
      <c r="D4" s="650" t="s">
        <v>392</v>
      </c>
      <c r="E4" s="650" t="s">
        <v>393</v>
      </c>
      <c r="F4" s="650" t="s">
        <v>394</v>
      </c>
      <c r="G4" s="650" t="s">
        <v>395</v>
      </c>
      <c r="H4" s="650" t="s">
        <v>316</v>
      </c>
      <c r="I4" s="649" t="s">
        <v>396</v>
      </c>
      <c r="J4" s="649" t="s">
        <v>397</v>
      </c>
      <c r="K4" s="649" t="s">
        <v>398</v>
      </c>
      <c r="L4" s="651"/>
      <c r="M4" s="649" t="s">
        <v>189</v>
      </c>
      <c r="N4" s="652" t="s">
        <v>399</v>
      </c>
      <c r="O4" s="649" t="s">
        <v>400</v>
      </c>
      <c r="P4" s="649" t="s">
        <v>317</v>
      </c>
      <c r="Q4" s="649" t="s">
        <v>401</v>
      </c>
      <c r="R4" s="649" t="s">
        <v>402</v>
      </c>
      <c r="S4" s="649" t="s">
        <v>403</v>
      </c>
      <c r="T4" s="649" t="s">
        <v>404</v>
      </c>
      <c r="U4" s="649" t="s">
        <v>405</v>
      </c>
      <c r="V4" s="649" t="s">
        <v>406</v>
      </c>
      <c r="W4" s="649" t="s">
        <v>407</v>
      </c>
      <c r="X4" s="649" t="s">
        <v>408</v>
      </c>
      <c r="Y4" s="649" t="s">
        <v>409</v>
      </c>
      <c r="Z4" s="649" t="s">
        <v>410</v>
      </c>
      <c r="AA4" s="652" t="s">
        <v>411</v>
      </c>
      <c r="AB4" s="649" t="s">
        <v>412</v>
      </c>
      <c r="AC4" s="649" t="s">
        <v>193</v>
      </c>
      <c r="AD4" s="649" t="s">
        <v>413</v>
      </c>
      <c r="AE4" s="649" t="s">
        <v>414</v>
      </c>
      <c r="AF4" s="649" t="s">
        <v>415</v>
      </c>
      <c r="AG4" s="649" t="s">
        <v>416</v>
      </c>
      <c r="AH4" s="649" t="s">
        <v>417</v>
      </c>
      <c r="AI4" s="649" t="s">
        <v>418</v>
      </c>
      <c r="AJ4" s="649" t="s">
        <v>419</v>
      </c>
      <c r="AK4" s="649" t="s">
        <v>420</v>
      </c>
      <c r="AL4" s="649" t="s">
        <v>421</v>
      </c>
      <c r="AM4" s="649" t="s">
        <v>422</v>
      </c>
      <c r="AN4" s="649" t="s">
        <v>423</v>
      </c>
      <c r="AO4" s="649" t="s">
        <v>424</v>
      </c>
      <c r="AP4" s="649" t="s">
        <v>425</v>
      </c>
      <c r="AQ4" s="649" t="s">
        <v>426</v>
      </c>
      <c r="AR4" s="649" t="s">
        <v>427</v>
      </c>
      <c r="AS4" s="649" t="s">
        <v>428</v>
      </c>
    </row>
    <row r="5">
      <c r="A5" s="653"/>
      <c r="B5" s="654"/>
      <c r="C5" s="655"/>
      <c r="D5" s="656"/>
      <c r="E5" s="657"/>
      <c r="F5" s="658"/>
      <c r="G5" s="659"/>
      <c r="H5" s="660"/>
      <c r="I5" s="659"/>
      <c r="J5" s="661"/>
      <c r="K5" s="658"/>
      <c r="L5" s="662"/>
      <c r="M5" s="663"/>
      <c r="N5" s="664"/>
      <c r="O5" s="665"/>
      <c r="P5" s="666"/>
      <c r="Q5" s="667"/>
      <c r="R5" s="668"/>
      <c r="S5" s="665"/>
      <c r="T5" s="669"/>
      <c r="U5" s="669"/>
      <c r="V5" s="665"/>
      <c r="W5" s="670"/>
      <c r="X5" s="670"/>
      <c r="Y5" s="671"/>
      <c r="Z5" s="671"/>
      <c r="AA5" s="672"/>
      <c r="AB5" s="673"/>
      <c r="AC5" s="673"/>
      <c r="AD5" s="673"/>
      <c r="AE5" s="673"/>
      <c r="AF5" s="673"/>
      <c r="AG5" s="673"/>
      <c r="AH5" s="673"/>
      <c r="AI5" s="673"/>
      <c r="AJ5" s="673"/>
      <c r="AK5" s="673"/>
      <c r="AL5" s="673"/>
      <c r="AM5" s="673"/>
      <c r="AN5" s="673"/>
      <c r="AO5" s="673"/>
      <c r="AP5" s="673"/>
      <c r="AQ5" s="673"/>
      <c r="AR5" s="673"/>
      <c r="AS5" s="673"/>
    </row>
    <row r="6">
      <c r="A6" s="653"/>
      <c r="B6" s="654"/>
      <c r="C6" s="655"/>
      <c r="D6" s="656"/>
      <c r="E6" s="657"/>
      <c r="F6" s="658"/>
      <c r="G6" s="659"/>
      <c r="H6" s="660"/>
      <c r="I6" s="659"/>
      <c r="J6" s="661"/>
      <c r="K6" s="658"/>
      <c r="L6" s="662"/>
      <c r="M6" s="663"/>
      <c r="N6" s="664"/>
      <c r="O6" s="665"/>
      <c r="P6" s="666"/>
      <c r="Q6" s="667"/>
      <c r="R6" s="668"/>
      <c r="S6" s="665"/>
      <c r="T6" s="669"/>
      <c r="U6" s="669"/>
      <c r="V6" s="665"/>
      <c r="W6" s="670"/>
      <c r="X6" s="670"/>
      <c r="Y6" s="671"/>
      <c r="Z6" s="671"/>
      <c r="AA6" s="672"/>
      <c r="AB6" s="673"/>
      <c r="AC6" s="673"/>
      <c r="AD6" s="673"/>
      <c r="AE6" s="673"/>
      <c r="AF6" s="673"/>
      <c r="AG6" s="673"/>
      <c r="AH6" s="673"/>
      <c r="AI6" s="673"/>
      <c r="AJ6" s="673"/>
      <c r="AK6" s="673"/>
      <c r="AL6" s="673"/>
      <c r="AM6" s="673"/>
      <c r="AN6" s="673"/>
      <c r="AO6" s="673"/>
      <c r="AP6" s="673"/>
      <c r="AQ6" s="673"/>
      <c r="AR6" s="673"/>
      <c r="AS6" s="673"/>
    </row>
    <row r="7">
      <c r="A7" s="653"/>
      <c r="B7" s="654"/>
      <c r="C7" s="655"/>
      <c r="D7" s="656"/>
      <c r="E7" s="657"/>
      <c r="F7" s="658"/>
      <c r="G7" s="659"/>
      <c r="H7" s="660"/>
      <c r="I7" s="659"/>
      <c r="J7" s="661"/>
      <c r="K7" s="658"/>
      <c r="L7" s="662"/>
      <c r="M7" s="663"/>
      <c r="N7" s="664"/>
      <c r="O7" s="665"/>
      <c r="P7" s="666"/>
      <c r="Q7" s="667"/>
      <c r="R7" s="668"/>
      <c r="S7" s="665"/>
      <c r="T7" s="669"/>
      <c r="U7" s="669"/>
      <c r="V7" s="665"/>
      <c r="W7" s="670"/>
      <c r="X7" s="670"/>
      <c r="Y7" s="671"/>
      <c r="Z7" s="671"/>
      <c r="AA7" s="672"/>
      <c r="AB7" s="673"/>
      <c r="AC7" s="673"/>
      <c r="AD7" s="673"/>
      <c r="AE7" s="673"/>
      <c r="AF7" s="673"/>
      <c r="AG7" s="673"/>
      <c r="AH7" s="673"/>
      <c r="AI7" s="673"/>
      <c r="AJ7" s="673"/>
      <c r="AK7" s="673"/>
      <c r="AL7" s="673"/>
      <c r="AM7" s="673"/>
      <c r="AN7" s="673"/>
      <c r="AO7" s="673"/>
      <c r="AP7" s="673"/>
      <c r="AQ7" s="673"/>
      <c r="AR7" s="673"/>
      <c r="AS7" s="673"/>
    </row>
    <row r="8">
      <c r="A8" s="653"/>
      <c r="B8" s="654"/>
      <c r="C8" s="655"/>
      <c r="D8" s="656"/>
      <c r="E8" s="657"/>
      <c r="F8" s="658"/>
      <c r="G8" s="659"/>
      <c r="H8" s="660"/>
      <c r="I8" s="659"/>
      <c r="J8" s="661"/>
      <c r="K8" s="658"/>
      <c r="L8" s="662"/>
      <c r="M8" s="663"/>
      <c r="N8" s="664"/>
      <c r="O8" s="665"/>
      <c r="P8" s="666"/>
      <c r="Q8" s="667"/>
      <c r="R8" s="668"/>
      <c r="S8" s="665"/>
      <c r="T8" s="669"/>
      <c r="U8" s="669"/>
      <c r="V8" s="665"/>
      <c r="W8" s="670"/>
      <c r="X8" s="670"/>
      <c r="Y8" s="671"/>
      <c r="Z8" s="671"/>
      <c r="AA8" s="672"/>
      <c r="AB8" s="673"/>
      <c r="AC8" s="673"/>
      <c r="AD8" s="673"/>
      <c r="AE8" s="673"/>
      <c r="AF8" s="673"/>
      <c r="AG8" s="673"/>
      <c r="AH8" s="673"/>
      <c r="AI8" s="673"/>
      <c r="AJ8" s="673"/>
      <c r="AK8" s="673"/>
      <c r="AL8" s="673"/>
      <c r="AM8" s="673"/>
      <c r="AN8" s="673"/>
      <c r="AO8" s="673"/>
      <c r="AP8" s="673"/>
      <c r="AQ8" s="673"/>
      <c r="AR8" s="673"/>
      <c r="AS8" s="673"/>
    </row>
    <row r="9">
      <c r="A9" s="653"/>
      <c r="B9" s="654"/>
      <c r="C9" s="655"/>
      <c r="D9" s="656"/>
      <c r="E9" s="657"/>
      <c r="F9" s="658"/>
      <c r="G9" s="659"/>
      <c r="H9" s="660"/>
      <c r="I9" s="659"/>
      <c r="J9" s="661"/>
      <c r="K9" s="658"/>
      <c r="L9" s="662"/>
      <c r="M9" s="663"/>
      <c r="N9" s="664"/>
      <c r="O9" s="665"/>
      <c r="P9" s="666"/>
      <c r="Q9" s="667"/>
      <c r="R9" s="668"/>
      <c r="S9" s="665"/>
      <c r="T9" s="669"/>
      <c r="U9" s="669"/>
      <c r="V9" s="665"/>
      <c r="W9" s="670"/>
      <c r="X9" s="670"/>
      <c r="Y9" s="671"/>
      <c r="Z9" s="671"/>
      <c r="AA9" s="672"/>
      <c r="AB9" s="673"/>
      <c r="AC9" s="673"/>
      <c r="AD9" s="673"/>
      <c r="AE9" s="673"/>
      <c r="AF9" s="673"/>
      <c r="AG9" s="673"/>
      <c r="AH9" s="673"/>
      <c r="AI9" s="673"/>
      <c r="AJ9" s="673"/>
      <c r="AK9" s="673"/>
      <c r="AL9" s="673"/>
      <c r="AM9" s="673"/>
      <c r="AN9" s="673"/>
      <c r="AO9" s="673"/>
      <c r="AP9" s="673"/>
      <c r="AQ9" s="673"/>
      <c r="AR9" s="673"/>
      <c r="AS9" s="673"/>
    </row>
    <row r="10">
      <c r="A10" s="653"/>
      <c r="B10" s="654"/>
      <c r="C10" s="655"/>
      <c r="D10" s="656"/>
      <c r="E10" s="657"/>
      <c r="F10" s="658"/>
      <c r="G10" s="659"/>
      <c r="H10" s="660"/>
      <c r="I10" s="659"/>
      <c r="J10" s="661"/>
      <c r="K10" s="658"/>
      <c r="L10" s="662"/>
      <c r="M10" s="663"/>
      <c r="N10" s="664"/>
      <c r="O10" s="665"/>
      <c r="P10" s="666"/>
      <c r="Q10" s="667"/>
      <c r="R10" s="668"/>
      <c r="S10" s="665"/>
      <c r="T10" s="669"/>
      <c r="U10" s="669"/>
      <c r="V10" s="665"/>
      <c r="W10" s="670"/>
      <c r="X10" s="670"/>
      <c r="Y10" s="671"/>
      <c r="Z10" s="671"/>
      <c r="AA10" s="672"/>
      <c r="AB10" s="673"/>
      <c r="AC10" s="673"/>
      <c r="AD10" s="673"/>
      <c r="AE10" s="673"/>
      <c r="AF10" s="673"/>
      <c r="AG10" s="673"/>
      <c r="AH10" s="673"/>
      <c r="AI10" s="673"/>
      <c r="AJ10" s="673"/>
      <c r="AK10" s="673"/>
      <c r="AL10" s="673"/>
      <c r="AM10" s="673"/>
      <c r="AN10" s="673"/>
      <c r="AO10" s="673"/>
      <c r="AP10" s="673"/>
      <c r="AQ10" s="673"/>
      <c r="AR10" s="673"/>
      <c r="AS10" s="673"/>
    </row>
    <row r="11">
      <c r="A11" s="653"/>
      <c r="B11" s="654"/>
      <c r="C11" s="655"/>
      <c r="D11" s="656"/>
      <c r="E11" s="657"/>
      <c r="F11" s="658"/>
      <c r="G11" s="659"/>
      <c r="H11" s="660"/>
      <c r="I11" s="659"/>
      <c r="J11" s="661"/>
      <c r="K11" s="658"/>
      <c r="L11" s="662"/>
      <c r="M11" s="663"/>
      <c r="N11" s="664"/>
      <c r="O11" s="665"/>
      <c r="P11" s="666"/>
      <c r="Q11" s="667"/>
      <c r="R11" s="668"/>
      <c r="S11" s="665"/>
      <c r="T11" s="669"/>
      <c r="U11" s="669"/>
      <c r="V11" s="665"/>
      <c r="W11" s="670"/>
      <c r="X11" s="670"/>
      <c r="Y11" s="671"/>
      <c r="Z11" s="671"/>
      <c r="AA11" s="672"/>
      <c r="AB11" s="673"/>
      <c r="AC11" s="673"/>
      <c r="AD11" s="673"/>
      <c r="AE11" s="673"/>
      <c r="AF11" s="673"/>
      <c r="AG11" s="673"/>
      <c r="AH11" s="673"/>
      <c r="AI11" s="673"/>
      <c r="AJ11" s="673"/>
      <c r="AK11" s="673"/>
      <c r="AL11" s="673"/>
      <c r="AM11" s="673"/>
      <c r="AN11" s="673"/>
      <c r="AO11" s="673"/>
      <c r="AP11" s="673"/>
      <c r="AQ11" s="673"/>
      <c r="AR11" s="673"/>
      <c r="AS11" s="673"/>
    </row>
    <row r="12">
      <c r="A12" s="653"/>
      <c r="B12" s="654"/>
      <c r="C12" s="655"/>
      <c r="D12" s="656"/>
      <c r="E12" s="657"/>
      <c r="F12" s="658"/>
      <c r="G12" s="659"/>
      <c r="H12" s="660"/>
      <c r="I12" s="659"/>
      <c r="J12" s="661"/>
      <c r="K12" s="658"/>
      <c r="L12" s="662"/>
      <c r="M12" s="663"/>
      <c r="N12" s="664"/>
      <c r="O12" s="665"/>
      <c r="P12" s="666"/>
      <c r="Q12" s="667"/>
      <c r="R12" s="668"/>
      <c r="S12" s="665"/>
      <c r="T12" s="669"/>
      <c r="U12" s="669"/>
      <c r="V12" s="665"/>
      <c r="W12" s="670"/>
      <c r="X12" s="670"/>
      <c r="Y12" s="671"/>
      <c r="Z12" s="671"/>
      <c r="AA12" s="672"/>
      <c r="AB12" s="673"/>
      <c r="AC12" s="673"/>
      <c r="AD12" s="673"/>
      <c r="AE12" s="673"/>
      <c r="AF12" s="673"/>
      <c r="AG12" s="673"/>
      <c r="AH12" s="673"/>
      <c r="AI12" s="673"/>
      <c r="AJ12" s="673"/>
      <c r="AK12" s="673"/>
      <c r="AL12" s="673"/>
      <c r="AM12" s="673"/>
      <c r="AN12" s="673"/>
      <c r="AO12" s="673"/>
      <c r="AP12" s="673"/>
      <c r="AQ12" s="673"/>
      <c r="AR12" s="673"/>
      <c r="AS12" s="673"/>
    </row>
    <row r="13">
      <c r="A13" s="653"/>
      <c r="B13" s="654"/>
      <c r="C13" s="655"/>
      <c r="D13" s="656"/>
      <c r="E13" s="657"/>
      <c r="F13" s="658"/>
      <c r="G13" s="659"/>
      <c r="H13" s="660"/>
      <c r="I13" s="659"/>
      <c r="J13" s="661"/>
      <c r="K13" s="658"/>
      <c r="L13" s="662"/>
      <c r="M13" s="663"/>
      <c r="N13" s="664"/>
      <c r="O13" s="665"/>
      <c r="P13" s="666"/>
      <c r="Q13" s="667"/>
      <c r="R13" s="668"/>
      <c r="S13" s="665"/>
      <c r="T13" s="669"/>
      <c r="U13" s="669"/>
      <c r="V13" s="665"/>
      <c r="W13" s="670"/>
      <c r="X13" s="670"/>
      <c r="Y13" s="671"/>
      <c r="Z13" s="671"/>
      <c r="AA13" s="672"/>
      <c r="AB13" s="673"/>
      <c r="AC13" s="673"/>
      <c r="AD13" s="673"/>
      <c r="AE13" s="673"/>
      <c r="AF13" s="673"/>
      <c r="AG13" s="673"/>
      <c r="AH13" s="673"/>
      <c r="AI13" s="673"/>
      <c r="AJ13" s="673"/>
      <c r="AK13" s="673"/>
      <c r="AL13" s="673"/>
      <c r="AM13" s="673"/>
      <c r="AN13" s="673"/>
      <c r="AO13" s="673"/>
      <c r="AP13" s="673"/>
      <c r="AQ13" s="673"/>
      <c r="AR13" s="673"/>
      <c r="AS13" s="673"/>
    </row>
    <row r="14">
      <c r="A14" s="653"/>
      <c r="B14" s="654"/>
      <c r="C14" s="655"/>
      <c r="D14" s="656"/>
      <c r="E14" s="657"/>
      <c r="F14" s="658"/>
      <c r="G14" s="659"/>
      <c r="H14" s="660"/>
      <c r="I14" s="659"/>
      <c r="J14" s="661"/>
      <c r="K14" s="658"/>
      <c r="L14" s="662"/>
      <c r="M14" s="663"/>
      <c r="N14" s="664"/>
      <c r="O14" s="665"/>
      <c r="P14" s="666"/>
      <c r="Q14" s="667"/>
      <c r="R14" s="668"/>
      <c r="S14" s="665"/>
      <c r="T14" s="669"/>
      <c r="U14" s="669"/>
      <c r="V14" s="665"/>
      <c r="W14" s="670"/>
      <c r="X14" s="670"/>
      <c r="Y14" s="671"/>
      <c r="Z14" s="671"/>
      <c r="AA14" s="672"/>
      <c r="AB14" s="673"/>
      <c r="AC14" s="673"/>
      <c r="AD14" s="673"/>
      <c r="AE14" s="673"/>
      <c r="AF14" s="673"/>
      <c r="AG14" s="673"/>
      <c r="AH14" s="673"/>
      <c r="AI14" s="673"/>
      <c r="AJ14" s="673"/>
      <c r="AK14" s="673"/>
      <c r="AL14" s="673"/>
      <c r="AM14" s="673"/>
      <c r="AN14" s="673"/>
      <c r="AO14" s="673"/>
      <c r="AP14" s="673"/>
      <c r="AQ14" s="673"/>
      <c r="AR14" s="673"/>
      <c r="AS14" s="673"/>
    </row>
    <row r="15">
      <c r="A15" s="653"/>
      <c r="B15" s="654"/>
      <c r="C15" s="655"/>
      <c r="D15" s="656"/>
      <c r="E15" s="657"/>
      <c r="F15" s="658"/>
      <c r="G15" s="659"/>
      <c r="H15" s="660"/>
      <c r="I15" s="659"/>
      <c r="J15" s="661"/>
      <c r="K15" s="658"/>
      <c r="L15" s="662"/>
      <c r="M15" s="663"/>
      <c r="N15" s="664"/>
      <c r="O15" s="665"/>
      <c r="P15" s="666"/>
      <c r="Q15" s="667"/>
      <c r="R15" s="668"/>
      <c r="S15" s="665"/>
      <c r="T15" s="669"/>
      <c r="U15" s="669"/>
      <c r="V15" s="665"/>
      <c r="W15" s="670"/>
      <c r="X15" s="670"/>
      <c r="Y15" s="671"/>
      <c r="Z15" s="671"/>
      <c r="AA15" s="672"/>
      <c r="AB15" s="673"/>
      <c r="AC15" s="673"/>
      <c r="AD15" s="673"/>
      <c r="AE15" s="673"/>
      <c r="AF15" s="673"/>
      <c r="AG15" s="673"/>
      <c r="AH15" s="673"/>
      <c r="AI15" s="673"/>
      <c r="AJ15" s="673"/>
      <c r="AK15" s="673"/>
      <c r="AL15" s="673"/>
      <c r="AM15" s="673"/>
      <c r="AN15" s="673"/>
      <c r="AO15" s="673"/>
      <c r="AP15" s="673"/>
      <c r="AQ15" s="673"/>
      <c r="AR15" s="673"/>
      <c r="AS15" s="673"/>
    </row>
    <row r="16">
      <c r="A16" s="653"/>
      <c r="B16" s="654"/>
      <c r="C16" s="655"/>
      <c r="D16" s="656"/>
      <c r="E16" s="657"/>
      <c r="F16" s="658"/>
      <c r="G16" s="659"/>
      <c r="H16" s="660"/>
      <c r="I16" s="659"/>
      <c r="J16" s="661"/>
      <c r="K16" s="658"/>
      <c r="L16" s="662"/>
      <c r="M16" s="663"/>
      <c r="N16" s="664"/>
      <c r="O16" s="665"/>
      <c r="P16" s="666"/>
      <c r="Q16" s="667"/>
      <c r="R16" s="668"/>
      <c r="S16" s="665"/>
      <c r="T16" s="669"/>
      <c r="U16" s="669"/>
      <c r="V16" s="665"/>
      <c r="W16" s="670"/>
      <c r="X16" s="670"/>
      <c r="Y16" s="671"/>
      <c r="Z16" s="671"/>
      <c r="AA16" s="672"/>
      <c r="AB16" s="673"/>
      <c r="AC16" s="673"/>
      <c r="AD16" s="673"/>
      <c r="AE16" s="673"/>
      <c r="AF16" s="673"/>
      <c r="AG16" s="673"/>
      <c r="AH16" s="673"/>
      <c r="AI16" s="673"/>
      <c r="AJ16" s="673"/>
      <c r="AK16" s="673"/>
      <c r="AL16" s="673"/>
      <c r="AM16" s="673"/>
      <c r="AN16" s="673"/>
      <c r="AO16" s="673"/>
      <c r="AP16" s="673"/>
      <c r="AQ16" s="673"/>
      <c r="AR16" s="673"/>
      <c r="AS16" s="673"/>
    </row>
    <row r="17">
      <c r="A17" s="653"/>
      <c r="B17" s="654"/>
      <c r="C17" s="655"/>
      <c r="D17" s="656"/>
      <c r="E17" s="657"/>
      <c r="F17" s="658"/>
      <c r="G17" s="659"/>
      <c r="H17" s="660"/>
      <c r="I17" s="659"/>
      <c r="J17" s="661"/>
      <c r="K17" s="658"/>
      <c r="L17" s="662"/>
      <c r="M17" s="663"/>
      <c r="N17" s="664"/>
      <c r="O17" s="665"/>
      <c r="P17" s="666"/>
      <c r="Q17" s="667"/>
      <c r="R17" s="668"/>
      <c r="S17" s="665"/>
      <c r="T17" s="669"/>
      <c r="U17" s="669"/>
      <c r="V17" s="665"/>
      <c r="W17" s="670"/>
      <c r="X17" s="670"/>
      <c r="Y17" s="671"/>
      <c r="Z17" s="671"/>
      <c r="AA17" s="672"/>
      <c r="AB17" s="673"/>
      <c r="AC17" s="673"/>
      <c r="AD17" s="673"/>
      <c r="AE17" s="673"/>
      <c r="AF17" s="673"/>
      <c r="AG17" s="673"/>
      <c r="AH17" s="673"/>
      <c r="AI17" s="673"/>
      <c r="AJ17" s="673"/>
      <c r="AK17" s="673"/>
      <c r="AL17" s="673"/>
      <c r="AM17" s="673"/>
      <c r="AN17" s="673"/>
      <c r="AO17" s="673"/>
      <c r="AP17" s="673"/>
      <c r="AQ17" s="673"/>
      <c r="AR17" s="673"/>
      <c r="AS17" s="673"/>
    </row>
    <row r="18">
      <c r="A18" s="653"/>
      <c r="B18" s="654"/>
      <c r="C18" s="655"/>
      <c r="D18" s="656"/>
      <c r="E18" s="657"/>
      <c r="F18" s="658"/>
      <c r="G18" s="659"/>
      <c r="H18" s="660"/>
      <c r="I18" s="659"/>
      <c r="J18" s="661"/>
      <c r="K18" s="658"/>
      <c r="L18" s="662"/>
      <c r="M18" s="663"/>
      <c r="N18" s="664"/>
      <c r="O18" s="665"/>
      <c r="P18" s="666"/>
      <c r="Q18" s="667"/>
      <c r="R18" s="668"/>
      <c r="S18" s="665"/>
      <c r="T18" s="669"/>
      <c r="U18" s="669"/>
      <c r="V18" s="665"/>
      <c r="W18" s="670"/>
      <c r="X18" s="670"/>
      <c r="Y18" s="671"/>
      <c r="Z18" s="671"/>
      <c r="AA18" s="672"/>
      <c r="AB18" s="673"/>
      <c r="AC18" s="673"/>
      <c r="AD18" s="673"/>
      <c r="AE18" s="673"/>
      <c r="AF18" s="673"/>
      <c r="AG18" s="673"/>
      <c r="AH18" s="673"/>
      <c r="AI18" s="673"/>
      <c r="AJ18" s="673"/>
      <c r="AK18" s="673"/>
      <c r="AL18" s="673"/>
      <c r="AM18" s="673"/>
      <c r="AN18" s="673"/>
      <c r="AO18" s="673"/>
      <c r="AP18" s="673"/>
      <c r="AQ18" s="673"/>
      <c r="AR18" s="673"/>
      <c r="AS18" s="673"/>
    </row>
    <row r="19">
      <c r="A19" s="653"/>
      <c r="B19" s="654"/>
      <c r="C19" s="655"/>
      <c r="D19" s="656"/>
      <c r="E19" s="657"/>
      <c r="F19" s="658"/>
      <c r="G19" s="659"/>
      <c r="H19" s="660"/>
      <c r="I19" s="659"/>
      <c r="J19" s="661"/>
      <c r="K19" s="658"/>
      <c r="L19" s="662"/>
      <c r="M19" s="663"/>
      <c r="N19" s="664"/>
      <c r="O19" s="665"/>
      <c r="P19" s="666"/>
      <c r="Q19" s="667"/>
      <c r="R19" s="668"/>
      <c r="S19" s="665"/>
      <c r="T19" s="669"/>
      <c r="U19" s="669"/>
      <c r="V19" s="665"/>
      <c r="W19" s="670"/>
      <c r="X19" s="670"/>
      <c r="Y19" s="671"/>
      <c r="Z19" s="671"/>
      <c r="AA19" s="672"/>
      <c r="AB19" s="673"/>
      <c r="AC19" s="673"/>
      <c r="AD19" s="673"/>
      <c r="AE19" s="673"/>
      <c r="AF19" s="673"/>
      <c r="AG19" s="673"/>
      <c r="AH19" s="673"/>
      <c r="AI19" s="673"/>
      <c r="AJ19" s="673"/>
      <c r="AK19" s="673"/>
      <c r="AL19" s="673"/>
      <c r="AM19" s="673"/>
      <c r="AN19" s="673"/>
      <c r="AO19" s="673"/>
      <c r="AP19" s="673"/>
      <c r="AQ19" s="673"/>
      <c r="AR19" s="673"/>
      <c r="AS19" s="673"/>
    </row>
    <row r="20">
      <c r="A20" s="653"/>
      <c r="B20" s="654"/>
      <c r="C20" s="655"/>
      <c r="D20" s="656"/>
      <c r="E20" s="657"/>
      <c r="F20" s="658"/>
      <c r="G20" s="659"/>
      <c r="H20" s="660"/>
      <c r="I20" s="659"/>
      <c r="J20" s="661"/>
      <c r="K20" s="658"/>
      <c r="L20" s="662"/>
      <c r="M20" s="663"/>
      <c r="N20" s="664"/>
      <c r="O20" s="665"/>
      <c r="P20" s="666"/>
      <c r="Q20" s="667"/>
      <c r="R20" s="668"/>
      <c r="S20" s="665"/>
      <c r="T20" s="669"/>
      <c r="U20" s="669"/>
      <c r="V20" s="665"/>
      <c r="W20" s="670"/>
      <c r="X20" s="670"/>
      <c r="Y20" s="671"/>
      <c r="Z20" s="671"/>
      <c r="AA20" s="672"/>
      <c r="AB20" s="673"/>
      <c r="AC20" s="673"/>
      <c r="AD20" s="673"/>
      <c r="AE20" s="673"/>
      <c r="AF20" s="673"/>
      <c r="AG20" s="673"/>
      <c r="AH20" s="673"/>
      <c r="AI20" s="673"/>
      <c r="AJ20" s="673"/>
      <c r="AK20" s="673"/>
      <c r="AL20" s="673"/>
      <c r="AM20" s="673"/>
      <c r="AN20" s="673"/>
      <c r="AO20" s="673"/>
      <c r="AP20" s="673"/>
      <c r="AQ20" s="673"/>
      <c r="AR20" s="673"/>
      <c r="AS20" s="673"/>
    </row>
    <row r="21">
      <c r="A21" s="653"/>
      <c r="B21" s="654"/>
      <c r="C21" s="655"/>
      <c r="D21" s="656"/>
      <c r="E21" s="657"/>
      <c r="F21" s="658"/>
      <c r="G21" s="659"/>
      <c r="H21" s="660"/>
      <c r="I21" s="659"/>
      <c r="J21" s="661"/>
      <c r="K21" s="658"/>
      <c r="L21" s="662"/>
      <c r="M21" s="663"/>
      <c r="N21" s="664"/>
      <c r="O21" s="665"/>
      <c r="P21" s="666"/>
      <c r="Q21" s="667"/>
      <c r="R21" s="668"/>
      <c r="S21" s="665"/>
      <c r="T21" s="669"/>
      <c r="U21" s="669"/>
      <c r="V21" s="665"/>
      <c r="W21" s="670"/>
      <c r="X21" s="670"/>
      <c r="Y21" s="671"/>
      <c r="Z21" s="671"/>
      <c r="AA21" s="672"/>
      <c r="AB21" s="673"/>
      <c r="AC21" s="673"/>
      <c r="AD21" s="673"/>
      <c r="AE21" s="673"/>
      <c r="AF21" s="673"/>
      <c r="AG21" s="673"/>
      <c r="AH21" s="673"/>
      <c r="AI21" s="673"/>
      <c r="AJ21" s="673"/>
      <c r="AK21" s="673"/>
      <c r="AL21" s="673"/>
      <c r="AM21" s="673"/>
      <c r="AN21" s="673"/>
      <c r="AO21" s="673"/>
      <c r="AP21" s="673"/>
      <c r="AQ21" s="673"/>
      <c r="AR21" s="673"/>
      <c r="AS21" s="673"/>
    </row>
    <row r="22">
      <c r="A22" s="653"/>
      <c r="B22" s="654"/>
      <c r="C22" s="655"/>
      <c r="D22" s="656"/>
      <c r="E22" s="657"/>
      <c r="F22" s="658"/>
      <c r="G22" s="659"/>
      <c r="H22" s="660"/>
      <c r="I22" s="659"/>
      <c r="J22" s="661"/>
      <c r="K22" s="658"/>
      <c r="L22" s="662"/>
      <c r="M22" s="663"/>
      <c r="N22" s="664"/>
      <c r="O22" s="665"/>
      <c r="P22" s="666"/>
      <c r="Q22" s="667"/>
      <c r="R22" s="668"/>
      <c r="S22" s="665"/>
      <c r="T22" s="669"/>
      <c r="U22" s="669"/>
      <c r="V22" s="665"/>
      <c r="W22" s="670"/>
      <c r="X22" s="670"/>
      <c r="Y22" s="671"/>
      <c r="Z22" s="671"/>
      <c r="AA22" s="672"/>
      <c r="AB22" s="673"/>
      <c r="AC22" s="673"/>
      <c r="AD22" s="673"/>
      <c r="AE22" s="673"/>
      <c r="AF22" s="673"/>
      <c r="AG22" s="673"/>
      <c r="AH22" s="673"/>
      <c r="AI22" s="673"/>
      <c r="AJ22" s="673"/>
      <c r="AK22" s="673"/>
      <c r="AL22" s="673"/>
      <c r="AM22" s="673"/>
      <c r="AN22" s="673"/>
      <c r="AO22" s="673"/>
      <c r="AP22" s="673"/>
      <c r="AQ22" s="673"/>
      <c r="AR22" s="673"/>
      <c r="AS22" s="673"/>
    </row>
    <row r="23">
      <c r="A23" s="653"/>
      <c r="B23" s="654"/>
      <c r="C23" s="655"/>
      <c r="D23" s="656"/>
      <c r="E23" s="657"/>
      <c r="F23" s="658"/>
      <c r="G23" s="659"/>
      <c r="H23" s="660"/>
      <c r="I23" s="659"/>
      <c r="J23" s="661"/>
      <c r="K23" s="658"/>
      <c r="L23" s="662"/>
      <c r="M23" s="663"/>
      <c r="N23" s="664"/>
      <c r="O23" s="665"/>
      <c r="P23" s="666"/>
      <c r="Q23" s="667"/>
      <c r="R23" s="668"/>
      <c r="S23" s="665"/>
      <c r="T23" s="669"/>
      <c r="U23" s="669"/>
      <c r="V23" s="665"/>
      <c r="W23" s="670"/>
      <c r="X23" s="670"/>
      <c r="Y23" s="671"/>
      <c r="Z23" s="671"/>
      <c r="AA23" s="672"/>
      <c r="AB23" s="673"/>
      <c r="AC23" s="673"/>
      <c r="AD23" s="673"/>
      <c r="AE23" s="673"/>
      <c r="AF23" s="673"/>
      <c r="AG23" s="673"/>
      <c r="AH23" s="673"/>
      <c r="AI23" s="673"/>
      <c r="AJ23" s="673"/>
      <c r="AK23" s="673"/>
      <c r="AL23" s="673"/>
      <c r="AM23" s="673"/>
      <c r="AN23" s="673"/>
      <c r="AO23" s="673"/>
      <c r="AP23" s="673"/>
      <c r="AQ23" s="673"/>
      <c r="AR23" s="673"/>
      <c r="AS23" s="673"/>
    </row>
    <row r="24">
      <c r="A24" s="653"/>
      <c r="B24" s="654"/>
      <c r="C24" s="655"/>
      <c r="D24" s="656"/>
      <c r="E24" s="657"/>
      <c r="F24" s="658"/>
      <c r="G24" s="659"/>
      <c r="H24" s="660"/>
      <c r="I24" s="659"/>
      <c r="J24" s="661"/>
      <c r="K24" s="658"/>
      <c r="L24" s="662"/>
      <c r="M24" s="663"/>
      <c r="N24" s="664"/>
      <c r="O24" s="665"/>
      <c r="P24" s="666"/>
      <c r="Q24" s="667"/>
      <c r="R24" s="668"/>
      <c r="S24" s="665"/>
      <c r="T24" s="669"/>
      <c r="U24" s="669"/>
      <c r="V24" s="665"/>
      <c r="W24" s="670"/>
      <c r="X24" s="670"/>
      <c r="Y24" s="671"/>
      <c r="Z24" s="671"/>
      <c r="AA24" s="672"/>
      <c r="AB24" s="673"/>
      <c r="AC24" s="673"/>
      <c r="AD24" s="673"/>
      <c r="AE24" s="673"/>
      <c r="AF24" s="673"/>
      <c r="AG24" s="673"/>
      <c r="AH24" s="673"/>
      <c r="AI24" s="673"/>
      <c r="AJ24" s="673"/>
      <c r="AK24" s="673"/>
      <c r="AL24" s="673"/>
      <c r="AM24" s="673"/>
      <c r="AN24" s="673"/>
      <c r="AO24" s="673"/>
      <c r="AP24" s="673"/>
      <c r="AQ24" s="673"/>
      <c r="AR24" s="673"/>
      <c r="AS24" s="673"/>
    </row>
    <row r="25">
      <c r="A25" s="653"/>
      <c r="B25" s="654"/>
      <c r="C25" s="655"/>
      <c r="D25" s="656"/>
      <c r="E25" s="657"/>
      <c r="F25" s="658"/>
      <c r="G25" s="659"/>
      <c r="H25" s="660"/>
      <c r="I25" s="659"/>
      <c r="J25" s="661"/>
      <c r="K25" s="658"/>
      <c r="L25" s="662"/>
      <c r="M25" s="663"/>
      <c r="N25" s="664"/>
      <c r="O25" s="665"/>
      <c r="P25" s="666"/>
      <c r="Q25" s="667"/>
      <c r="R25" s="668"/>
      <c r="S25" s="665"/>
      <c r="T25" s="669"/>
      <c r="U25" s="669"/>
      <c r="V25" s="665"/>
      <c r="W25" s="670"/>
      <c r="X25" s="670"/>
      <c r="Y25" s="671"/>
      <c r="Z25" s="671"/>
      <c r="AA25" s="672"/>
      <c r="AB25" s="673"/>
      <c r="AC25" s="673"/>
      <c r="AD25" s="673"/>
      <c r="AE25" s="673"/>
      <c r="AF25" s="673"/>
      <c r="AG25" s="673"/>
      <c r="AH25" s="673"/>
      <c r="AI25" s="673"/>
      <c r="AJ25" s="673"/>
      <c r="AK25" s="673"/>
      <c r="AL25" s="673"/>
      <c r="AM25" s="673"/>
      <c r="AN25" s="673"/>
      <c r="AO25" s="673"/>
      <c r="AP25" s="673"/>
      <c r="AQ25" s="673"/>
      <c r="AR25" s="673"/>
      <c r="AS25" s="673"/>
    </row>
    <row r="26">
      <c r="A26" s="653"/>
      <c r="B26" s="654"/>
      <c r="C26" s="655"/>
      <c r="D26" s="656"/>
      <c r="E26" s="657"/>
      <c r="F26" s="658"/>
      <c r="G26" s="659"/>
      <c r="H26" s="660"/>
      <c r="I26" s="659"/>
      <c r="J26" s="661"/>
      <c r="K26" s="658"/>
      <c r="L26" s="662"/>
      <c r="M26" s="663"/>
      <c r="N26" s="664"/>
      <c r="O26" s="665"/>
      <c r="P26" s="666"/>
      <c r="Q26" s="667"/>
      <c r="R26" s="668"/>
      <c r="S26" s="665"/>
      <c r="T26" s="669"/>
      <c r="U26" s="669"/>
      <c r="V26" s="665"/>
      <c r="W26" s="670"/>
      <c r="X26" s="670"/>
      <c r="Y26" s="671"/>
      <c r="Z26" s="671"/>
      <c r="AA26" s="672"/>
      <c r="AB26" s="673"/>
      <c r="AC26" s="673"/>
      <c r="AD26" s="673"/>
      <c r="AE26" s="673"/>
      <c r="AF26" s="673"/>
      <c r="AG26" s="673"/>
      <c r="AH26" s="673"/>
      <c r="AI26" s="673"/>
      <c r="AJ26" s="673"/>
      <c r="AK26" s="673"/>
      <c r="AL26" s="673"/>
      <c r="AM26" s="673"/>
      <c r="AN26" s="673"/>
      <c r="AO26" s="673"/>
      <c r="AP26" s="673"/>
      <c r="AQ26" s="673"/>
      <c r="AR26" s="673"/>
      <c r="AS26" s="673"/>
    </row>
    <row r="27">
      <c r="A27" s="653"/>
      <c r="B27" s="654"/>
      <c r="C27" s="655"/>
      <c r="D27" s="656"/>
      <c r="E27" s="657"/>
      <c r="F27" s="658"/>
      <c r="G27" s="659"/>
      <c r="H27" s="660"/>
      <c r="I27" s="659"/>
      <c r="J27" s="661"/>
      <c r="K27" s="658"/>
      <c r="L27" s="662"/>
      <c r="M27" s="663"/>
      <c r="N27" s="664"/>
      <c r="O27" s="665"/>
      <c r="P27" s="666"/>
      <c r="Q27" s="667"/>
      <c r="R27" s="668"/>
      <c r="S27" s="665"/>
      <c r="T27" s="669"/>
      <c r="U27" s="669"/>
      <c r="V27" s="665"/>
      <c r="W27" s="670"/>
      <c r="X27" s="670"/>
      <c r="Y27" s="671"/>
      <c r="Z27" s="671"/>
      <c r="AA27" s="672"/>
      <c r="AB27" s="673"/>
      <c r="AC27" s="673"/>
      <c r="AD27" s="673"/>
      <c r="AE27" s="673"/>
      <c r="AF27" s="673"/>
      <c r="AG27" s="673"/>
      <c r="AH27" s="673"/>
      <c r="AI27" s="673"/>
      <c r="AJ27" s="673"/>
      <c r="AK27" s="673"/>
      <c r="AL27" s="673"/>
      <c r="AM27" s="673"/>
      <c r="AN27" s="673"/>
      <c r="AO27" s="673"/>
      <c r="AP27" s="673"/>
      <c r="AQ27" s="673"/>
      <c r="AR27" s="673"/>
      <c r="AS27" s="673"/>
    </row>
    <row r="28">
      <c r="A28" s="653"/>
      <c r="B28" s="654"/>
      <c r="C28" s="655"/>
      <c r="D28" s="656"/>
      <c r="E28" s="657"/>
      <c r="F28" s="658"/>
      <c r="G28" s="659"/>
      <c r="H28" s="660"/>
      <c r="I28" s="659"/>
      <c r="J28" s="661"/>
      <c r="K28" s="658"/>
      <c r="L28" s="662"/>
      <c r="M28" s="663"/>
      <c r="N28" s="664"/>
      <c r="O28" s="665"/>
      <c r="P28" s="666"/>
      <c r="Q28" s="667"/>
      <c r="R28" s="668"/>
      <c r="S28" s="665"/>
      <c r="T28" s="669"/>
      <c r="U28" s="669"/>
      <c r="V28" s="665"/>
      <c r="W28" s="670"/>
      <c r="X28" s="670"/>
      <c r="Y28" s="671"/>
      <c r="Z28" s="671"/>
      <c r="AA28" s="672"/>
      <c r="AB28" s="673"/>
      <c r="AC28" s="673"/>
      <c r="AD28" s="673"/>
      <c r="AE28" s="673"/>
      <c r="AF28" s="673"/>
      <c r="AG28" s="673"/>
      <c r="AH28" s="673"/>
      <c r="AI28" s="673"/>
      <c r="AJ28" s="673"/>
      <c r="AK28" s="673"/>
      <c r="AL28" s="673"/>
      <c r="AM28" s="673"/>
      <c r="AN28" s="673"/>
      <c r="AO28" s="673"/>
      <c r="AP28" s="673"/>
      <c r="AQ28" s="673"/>
      <c r="AR28" s="673"/>
      <c r="AS28" s="673"/>
    </row>
    <row r="29">
      <c r="A29" s="653"/>
      <c r="B29" s="654"/>
      <c r="C29" s="655"/>
      <c r="D29" s="656"/>
      <c r="E29" s="657"/>
      <c r="F29" s="658"/>
      <c r="G29" s="659"/>
      <c r="H29" s="660"/>
      <c r="I29" s="659"/>
      <c r="J29" s="661"/>
      <c r="K29" s="658"/>
      <c r="L29" s="662"/>
      <c r="M29" s="663"/>
      <c r="N29" s="664"/>
      <c r="O29" s="665"/>
      <c r="P29" s="666"/>
      <c r="Q29" s="667"/>
      <c r="R29" s="668"/>
      <c r="S29" s="665"/>
      <c r="T29" s="669"/>
      <c r="U29" s="669"/>
      <c r="V29" s="665"/>
      <c r="W29" s="670"/>
      <c r="X29" s="670"/>
      <c r="Y29" s="671"/>
      <c r="Z29" s="671"/>
      <c r="AA29" s="672"/>
      <c r="AB29" s="673"/>
      <c r="AC29" s="673"/>
      <c r="AD29" s="673"/>
      <c r="AE29" s="673"/>
      <c r="AF29" s="673"/>
      <c r="AG29" s="673"/>
      <c r="AH29" s="673"/>
      <c r="AI29" s="673"/>
      <c r="AJ29" s="673"/>
      <c r="AK29" s="673"/>
      <c r="AL29" s="673"/>
      <c r="AM29" s="673"/>
      <c r="AN29" s="673"/>
      <c r="AO29" s="673"/>
      <c r="AP29" s="673"/>
      <c r="AQ29" s="673"/>
      <c r="AR29" s="673"/>
      <c r="AS29" s="673"/>
    </row>
    <row r="30">
      <c r="A30" s="653"/>
      <c r="B30" s="654"/>
      <c r="C30" s="655"/>
      <c r="D30" s="656"/>
      <c r="E30" s="657"/>
      <c r="F30" s="658"/>
      <c r="G30" s="659"/>
      <c r="H30" s="660"/>
      <c r="I30" s="659"/>
      <c r="J30" s="661"/>
      <c r="K30" s="658"/>
      <c r="L30" s="662"/>
      <c r="M30" s="663"/>
      <c r="N30" s="664"/>
      <c r="O30" s="665"/>
      <c r="P30" s="666"/>
      <c r="Q30" s="667"/>
      <c r="R30" s="668"/>
      <c r="S30" s="665"/>
      <c r="T30" s="669"/>
      <c r="U30" s="669"/>
      <c r="V30" s="665"/>
      <c r="W30" s="670"/>
      <c r="X30" s="670"/>
      <c r="Y30" s="671"/>
      <c r="Z30" s="671"/>
      <c r="AA30" s="672"/>
      <c r="AB30" s="673"/>
      <c r="AC30" s="673"/>
      <c r="AD30" s="673"/>
      <c r="AE30" s="673"/>
      <c r="AF30" s="673"/>
      <c r="AG30" s="673"/>
      <c r="AH30" s="673"/>
      <c r="AI30" s="673"/>
      <c r="AJ30" s="673"/>
      <c r="AK30" s="673"/>
      <c r="AL30" s="673"/>
      <c r="AM30" s="673"/>
      <c r="AN30" s="673"/>
      <c r="AO30" s="673"/>
      <c r="AP30" s="673"/>
      <c r="AQ30" s="673"/>
      <c r="AR30" s="673"/>
      <c r="AS30" s="673"/>
    </row>
    <row r="31">
      <c r="A31" s="653"/>
      <c r="B31" s="654"/>
      <c r="C31" s="655"/>
      <c r="D31" s="656"/>
      <c r="E31" s="657"/>
      <c r="F31" s="658"/>
      <c r="G31" s="659"/>
      <c r="H31" s="660"/>
      <c r="I31" s="659"/>
      <c r="J31" s="661"/>
      <c r="K31" s="658"/>
      <c r="L31" s="662"/>
      <c r="M31" s="663"/>
      <c r="N31" s="664"/>
      <c r="O31" s="665"/>
      <c r="P31" s="666"/>
      <c r="Q31" s="667"/>
      <c r="R31" s="668"/>
      <c r="S31" s="665"/>
      <c r="T31" s="669"/>
      <c r="U31" s="669"/>
      <c r="V31" s="665"/>
      <c r="W31" s="670"/>
      <c r="X31" s="670"/>
      <c r="Y31" s="671"/>
      <c r="Z31" s="671"/>
      <c r="AA31" s="672"/>
      <c r="AB31" s="673"/>
      <c r="AC31" s="673"/>
      <c r="AD31" s="673"/>
      <c r="AE31" s="673"/>
      <c r="AF31" s="673"/>
      <c r="AG31" s="673"/>
      <c r="AH31" s="673"/>
      <c r="AI31" s="673"/>
      <c r="AJ31" s="673"/>
      <c r="AK31" s="673"/>
      <c r="AL31" s="673"/>
      <c r="AM31" s="673"/>
      <c r="AN31" s="673"/>
      <c r="AO31" s="673"/>
      <c r="AP31" s="673"/>
      <c r="AQ31" s="673"/>
      <c r="AR31" s="673"/>
      <c r="AS31" s="673"/>
    </row>
    <row r="32">
      <c r="A32" s="653"/>
      <c r="B32" s="654"/>
      <c r="C32" s="655"/>
      <c r="D32" s="656"/>
      <c r="E32" s="657"/>
      <c r="F32" s="658"/>
      <c r="G32" s="659"/>
      <c r="H32" s="660"/>
      <c r="I32" s="659"/>
      <c r="J32" s="661"/>
      <c r="K32" s="658"/>
      <c r="L32" s="662"/>
      <c r="M32" s="663"/>
      <c r="N32" s="664"/>
      <c r="O32" s="665"/>
      <c r="P32" s="666"/>
      <c r="Q32" s="667"/>
      <c r="R32" s="668"/>
      <c r="S32" s="665"/>
      <c r="T32" s="669"/>
      <c r="U32" s="669"/>
      <c r="V32" s="665"/>
      <c r="W32" s="670"/>
      <c r="X32" s="670"/>
      <c r="Y32" s="671"/>
      <c r="Z32" s="671"/>
      <c r="AA32" s="672"/>
      <c r="AB32" s="673"/>
      <c r="AC32" s="673"/>
      <c r="AD32" s="673"/>
      <c r="AE32" s="673"/>
      <c r="AF32" s="673"/>
      <c r="AG32" s="673"/>
      <c r="AH32" s="673"/>
      <c r="AI32" s="673"/>
      <c r="AJ32" s="673"/>
      <c r="AK32" s="673"/>
      <c r="AL32" s="673"/>
      <c r="AM32" s="673"/>
      <c r="AN32" s="673"/>
      <c r="AO32" s="673"/>
      <c r="AP32" s="673"/>
      <c r="AQ32" s="673"/>
      <c r="AR32" s="673"/>
      <c r="AS32" s="673"/>
    </row>
    <row r="33">
      <c r="A33" s="653"/>
      <c r="B33" s="654"/>
      <c r="C33" s="655"/>
      <c r="D33" s="656"/>
      <c r="E33" s="657"/>
      <c r="F33" s="658"/>
      <c r="G33" s="659"/>
      <c r="H33" s="660"/>
      <c r="I33" s="659"/>
      <c r="J33" s="661"/>
      <c r="K33" s="658"/>
      <c r="L33" s="662"/>
      <c r="M33" s="663"/>
      <c r="N33" s="664"/>
      <c r="O33" s="665"/>
      <c r="P33" s="666"/>
      <c r="Q33" s="667"/>
      <c r="R33" s="668"/>
      <c r="S33" s="665"/>
      <c r="T33" s="669"/>
      <c r="U33" s="669"/>
      <c r="V33" s="665"/>
      <c r="W33" s="670"/>
      <c r="X33" s="670"/>
      <c r="Y33" s="671"/>
      <c r="Z33" s="671"/>
      <c r="AA33" s="672"/>
      <c r="AB33" s="673"/>
      <c r="AC33" s="673"/>
      <c r="AD33" s="673"/>
      <c r="AE33" s="673"/>
      <c r="AF33" s="673"/>
      <c r="AG33" s="673"/>
      <c r="AH33" s="673"/>
      <c r="AI33" s="673"/>
      <c r="AJ33" s="673"/>
      <c r="AK33" s="673"/>
      <c r="AL33" s="673"/>
      <c r="AM33" s="673"/>
      <c r="AN33" s="673"/>
      <c r="AO33" s="673"/>
      <c r="AP33" s="673"/>
      <c r="AQ33" s="673"/>
      <c r="AR33" s="673"/>
      <c r="AS33" s="673"/>
    </row>
    <row r="34">
      <c r="A34" s="653"/>
      <c r="B34" s="654"/>
      <c r="C34" s="655"/>
      <c r="D34" s="656"/>
      <c r="E34" s="657"/>
      <c r="F34" s="658"/>
      <c r="G34" s="659"/>
      <c r="H34" s="660"/>
      <c r="I34" s="659"/>
      <c r="J34" s="661"/>
      <c r="K34" s="658"/>
      <c r="L34" s="662"/>
      <c r="M34" s="663"/>
      <c r="N34" s="664"/>
      <c r="O34" s="665"/>
      <c r="P34" s="666"/>
      <c r="Q34" s="667"/>
      <c r="R34" s="668"/>
      <c r="S34" s="665"/>
      <c r="T34" s="669"/>
      <c r="U34" s="669"/>
      <c r="V34" s="665"/>
      <c r="W34" s="670"/>
      <c r="X34" s="670"/>
      <c r="Y34" s="671"/>
      <c r="Z34" s="671"/>
      <c r="AA34" s="672"/>
      <c r="AB34" s="673"/>
      <c r="AC34" s="673"/>
      <c r="AD34" s="673"/>
      <c r="AE34" s="673"/>
      <c r="AF34" s="673"/>
      <c r="AG34" s="673"/>
      <c r="AH34" s="673"/>
      <c r="AI34" s="673"/>
      <c r="AJ34" s="673"/>
      <c r="AK34" s="673"/>
      <c r="AL34" s="673"/>
      <c r="AM34" s="673"/>
      <c r="AN34" s="673"/>
      <c r="AO34" s="673"/>
      <c r="AP34" s="673"/>
      <c r="AQ34" s="673"/>
      <c r="AR34" s="673"/>
      <c r="AS34" s="673"/>
    </row>
    <row r="35">
      <c r="A35" s="653"/>
      <c r="B35" s="654"/>
      <c r="C35" s="655"/>
      <c r="D35" s="656"/>
      <c r="E35" s="657"/>
      <c r="F35" s="658"/>
      <c r="G35" s="659"/>
      <c r="H35" s="660"/>
      <c r="I35" s="659"/>
      <c r="J35" s="661"/>
      <c r="K35" s="658"/>
      <c r="L35" s="662"/>
      <c r="M35" s="663"/>
      <c r="N35" s="664"/>
      <c r="O35" s="665"/>
      <c r="P35" s="666"/>
      <c r="Q35" s="667"/>
      <c r="R35" s="668"/>
      <c r="S35" s="665"/>
      <c r="T35" s="669"/>
      <c r="U35" s="669"/>
      <c r="V35" s="665"/>
      <c r="W35" s="670"/>
      <c r="X35" s="670"/>
      <c r="Y35" s="671"/>
      <c r="Z35" s="671"/>
      <c r="AA35" s="672"/>
      <c r="AB35" s="673"/>
      <c r="AC35" s="673"/>
      <c r="AD35" s="673"/>
      <c r="AE35" s="673"/>
      <c r="AF35" s="673"/>
      <c r="AG35" s="673"/>
      <c r="AH35" s="673"/>
      <c r="AI35" s="673"/>
      <c r="AJ35" s="673"/>
      <c r="AK35" s="673"/>
      <c r="AL35" s="673"/>
      <c r="AM35" s="673"/>
      <c r="AN35" s="673"/>
      <c r="AO35" s="673"/>
      <c r="AP35" s="673"/>
      <c r="AQ35" s="673"/>
      <c r="AR35" s="673"/>
      <c r="AS35" s="673"/>
    </row>
    <row r="36">
      <c r="A36" s="653"/>
      <c r="B36" s="654"/>
      <c r="C36" s="655"/>
      <c r="D36" s="656"/>
      <c r="E36" s="657"/>
      <c r="F36" s="658"/>
      <c r="G36" s="659"/>
      <c r="H36" s="660"/>
      <c r="I36" s="659"/>
      <c r="J36" s="661"/>
      <c r="K36" s="658"/>
      <c r="L36" s="662"/>
      <c r="M36" s="663"/>
      <c r="N36" s="664"/>
      <c r="O36" s="665"/>
      <c r="P36" s="666"/>
      <c r="Q36" s="667"/>
      <c r="R36" s="668"/>
      <c r="S36" s="665"/>
      <c r="T36" s="669"/>
      <c r="U36" s="669"/>
      <c r="V36" s="665"/>
      <c r="W36" s="670"/>
      <c r="X36" s="670"/>
      <c r="Y36" s="671"/>
      <c r="Z36" s="671"/>
      <c r="AA36" s="672"/>
      <c r="AB36" s="673"/>
      <c r="AC36" s="673"/>
      <c r="AD36" s="673"/>
      <c r="AE36" s="673"/>
      <c r="AF36" s="673"/>
      <c r="AG36" s="673"/>
      <c r="AH36" s="673"/>
      <c r="AI36" s="673"/>
      <c r="AJ36" s="673"/>
      <c r="AK36" s="673"/>
      <c r="AL36" s="673"/>
      <c r="AM36" s="673"/>
      <c r="AN36" s="673"/>
      <c r="AO36" s="673"/>
      <c r="AP36" s="673"/>
      <c r="AQ36" s="673"/>
      <c r="AR36" s="673"/>
      <c r="AS36" s="673"/>
    </row>
    <row r="37">
      <c r="A37" s="653"/>
      <c r="B37" s="654"/>
      <c r="C37" s="655"/>
      <c r="D37" s="656"/>
      <c r="E37" s="657"/>
      <c r="F37" s="658"/>
      <c r="G37" s="659"/>
      <c r="H37" s="660"/>
      <c r="I37" s="659"/>
      <c r="J37" s="661"/>
      <c r="K37" s="658"/>
      <c r="L37" s="662"/>
      <c r="M37" s="663"/>
      <c r="N37" s="664"/>
      <c r="O37" s="665"/>
      <c r="P37" s="666"/>
      <c r="Q37" s="667"/>
      <c r="R37" s="668"/>
      <c r="S37" s="665"/>
      <c r="T37" s="669"/>
      <c r="U37" s="669"/>
      <c r="V37" s="665"/>
      <c r="W37" s="670"/>
      <c r="X37" s="670"/>
      <c r="Y37" s="671"/>
      <c r="Z37" s="671"/>
      <c r="AA37" s="672"/>
      <c r="AB37" s="673"/>
      <c r="AC37" s="673"/>
      <c r="AD37" s="673"/>
      <c r="AE37" s="673"/>
      <c r="AF37" s="673"/>
      <c r="AG37" s="673"/>
      <c r="AH37" s="673"/>
      <c r="AI37" s="673"/>
      <c r="AJ37" s="673"/>
      <c r="AK37" s="673"/>
      <c r="AL37" s="673"/>
      <c r="AM37" s="673"/>
      <c r="AN37" s="673"/>
      <c r="AO37" s="673"/>
      <c r="AP37" s="673"/>
      <c r="AQ37" s="673"/>
      <c r="AR37" s="673"/>
      <c r="AS37" s="673"/>
    </row>
    <row r="38">
      <c r="A38" s="653"/>
      <c r="B38" s="654"/>
      <c r="C38" s="655"/>
      <c r="D38" s="656"/>
      <c r="E38" s="657"/>
      <c r="F38" s="658"/>
      <c r="G38" s="659"/>
      <c r="H38" s="660"/>
      <c r="I38" s="659"/>
      <c r="J38" s="661"/>
      <c r="K38" s="658"/>
      <c r="L38" s="662"/>
      <c r="M38" s="663"/>
      <c r="N38" s="664"/>
      <c r="O38" s="665"/>
      <c r="P38" s="666"/>
      <c r="Q38" s="667"/>
      <c r="R38" s="668"/>
      <c r="S38" s="665"/>
      <c r="T38" s="669"/>
      <c r="U38" s="669"/>
      <c r="V38" s="665"/>
      <c r="W38" s="670"/>
      <c r="X38" s="670"/>
      <c r="Y38" s="671"/>
      <c r="Z38" s="671"/>
      <c r="AA38" s="672"/>
      <c r="AB38" s="673"/>
      <c r="AC38" s="673"/>
      <c r="AD38" s="673"/>
      <c r="AE38" s="673"/>
      <c r="AF38" s="673"/>
      <c r="AG38" s="673"/>
      <c r="AH38" s="673"/>
      <c r="AI38" s="673"/>
      <c r="AJ38" s="673"/>
      <c r="AK38" s="673"/>
      <c r="AL38" s="673"/>
      <c r="AM38" s="673"/>
      <c r="AN38" s="673"/>
      <c r="AO38" s="673"/>
      <c r="AP38" s="673"/>
      <c r="AQ38" s="673"/>
      <c r="AR38" s="673"/>
      <c r="AS38" s="673"/>
    </row>
    <row r="39">
      <c r="A39" s="653"/>
      <c r="B39" s="654"/>
      <c r="C39" s="655"/>
      <c r="D39" s="656"/>
      <c r="E39" s="657"/>
      <c r="F39" s="658"/>
      <c r="G39" s="659"/>
      <c r="H39" s="660"/>
      <c r="I39" s="659"/>
      <c r="J39" s="661"/>
      <c r="K39" s="658"/>
      <c r="L39" s="662"/>
      <c r="M39" s="663"/>
      <c r="N39" s="664"/>
      <c r="O39" s="665"/>
      <c r="P39" s="666"/>
      <c r="Q39" s="667"/>
      <c r="R39" s="668"/>
      <c r="S39" s="665"/>
      <c r="T39" s="669"/>
      <c r="U39" s="669"/>
      <c r="V39" s="665"/>
      <c r="W39" s="670"/>
      <c r="X39" s="670"/>
      <c r="Y39" s="671"/>
      <c r="Z39" s="671"/>
      <c r="AA39" s="672"/>
      <c r="AB39" s="673"/>
      <c r="AC39" s="673"/>
      <c r="AD39" s="673"/>
      <c r="AE39" s="673"/>
      <c r="AF39" s="673"/>
      <c r="AG39" s="673"/>
      <c r="AH39" s="673"/>
      <c r="AI39" s="673"/>
      <c r="AJ39" s="673"/>
      <c r="AK39" s="673"/>
      <c r="AL39" s="673"/>
      <c r="AM39" s="673"/>
      <c r="AN39" s="673"/>
      <c r="AO39" s="673"/>
      <c r="AP39" s="673"/>
      <c r="AQ39" s="673"/>
      <c r="AR39" s="673"/>
      <c r="AS39" s="673"/>
    </row>
    <row r="40">
      <c r="A40" s="653"/>
      <c r="B40" s="654"/>
      <c r="C40" s="655"/>
      <c r="D40" s="656"/>
      <c r="E40" s="657"/>
      <c r="F40" s="658"/>
      <c r="G40" s="659"/>
      <c r="H40" s="660"/>
      <c r="I40" s="659"/>
      <c r="J40" s="661"/>
      <c r="K40" s="658"/>
      <c r="L40" s="662"/>
      <c r="M40" s="663"/>
      <c r="N40" s="664"/>
      <c r="O40" s="665"/>
      <c r="P40" s="666"/>
      <c r="Q40" s="667"/>
      <c r="R40" s="668"/>
      <c r="S40" s="665"/>
      <c r="T40" s="669"/>
      <c r="U40" s="669"/>
      <c r="V40" s="665"/>
      <c r="W40" s="670"/>
      <c r="X40" s="670"/>
      <c r="Y40" s="671"/>
      <c r="Z40" s="671"/>
      <c r="AA40" s="672"/>
      <c r="AB40" s="673"/>
      <c r="AC40" s="673"/>
      <c r="AD40" s="673"/>
      <c r="AE40" s="673"/>
      <c r="AF40" s="673"/>
      <c r="AG40" s="673"/>
      <c r="AH40" s="673"/>
      <c r="AI40" s="673"/>
      <c r="AJ40" s="673"/>
      <c r="AK40" s="673"/>
      <c r="AL40" s="673"/>
      <c r="AM40" s="673"/>
      <c r="AN40" s="673"/>
      <c r="AO40" s="673"/>
      <c r="AP40" s="673"/>
      <c r="AQ40" s="673"/>
      <c r="AR40" s="673"/>
      <c r="AS40" s="673"/>
    </row>
    <row r="41">
      <c r="A41" s="653"/>
      <c r="B41" s="654"/>
      <c r="C41" s="655"/>
      <c r="D41" s="656"/>
      <c r="E41" s="657"/>
      <c r="F41" s="658"/>
      <c r="G41" s="659"/>
      <c r="H41" s="660"/>
      <c r="I41" s="659"/>
      <c r="J41" s="661"/>
      <c r="K41" s="658"/>
      <c r="L41" s="662"/>
      <c r="M41" s="663"/>
      <c r="N41" s="664"/>
      <c r="O41" s="665"/>
      <c r="P41" s="666"/>
      <c r="Q41" s="667"/>
      <c r="R41" s="668"/>
      <c r="S41" s="665"/>
      <c r="T41" s="669"/>
      <c r="U41" s="669"/>
      <c r="V41" s="665"/>
      <c r="W41" s="670"/>
      <c r="X41" s="670"/>
      <c r="Y41" s="671"/>
      <c r="Z41" s="671"/>
      <c r="AA41" s="672"/>
      <c r="AB41" s="673"/>
      <c r="AC41" s="673"/>
      <c r="AD41" s="673"/>
      <c r="AE41" s="673"/>
      <c r="AF41" s="673"/>
      <c r="AG41" s="673"/>
      <c r="AH41" s="673"/>
      <c r="AI41" s="673"/>
      <c r="AJ41" s="673"/>
      <c r="AK41" s="673"/>
      <c r="AL41" s="673"/>
      <c r="AM41" s="673"/>
      <c r="AN41" s="673"/>
      <c r="AO41" s="673"/>
      <c r="AP41" s="673"/>
      <c r="AQ41" s="673"/>
      <c r="AR41" s="673"/>
      <c r="AS41" s="673"/>
    </row>
    <row r="42">
      <c r="A42" s="653"/>
      <c r="B42" s="654"/>
      <c r="C42" s="655"/>
      <c r="D42" s="656"/>
      <c r="E42" s="657"/>
      <c r="F42" s="658"/>
      <c r="G42" s="659"/>
      <c r="H42" s="660"/>
      <c r="I42" s="659"/>
      <c r="J42" s="661"/>
      <c r="K42" s="658"/>
      <c r="L42" s="662"/>
      <c r="M42" s="663"/>
      <c r="N42" s="664"/>
      <c r="O42" s="665"/>
      <c r="P42" s="666"/>
      <c r="Q42" s="667"/>
      <c r="R42" s="668"/>
      <c r="S42" s="665"/>
      <c r="T42" s="669"/>
      <c r="U42" s="669"/>
      <c r="V42" s="665"/>
      <c r="W42" s="670"/>
      <c r="X42" s="670"/>
      <c r="Y42" s="671"/>
      <c r="Z42" s="671"/>
      <c r="AA42" s="672"/>
      <c r="AB42" s="673"/>
      <c r="AC42" s="673"/>
      <c r="AD42" s="673"/>
      <c r="AE42" s="673"/>
      <c r="AF42" s="673"/>
      <c r="AG42" s="673"/>
      <c r="AH42" s="673"/>
      <c r="AI42" s="673"/>
      <c r="AJ42" s="673"/>
      <c r="AK42" s="673"/>
      <c r="AL42" s="673"/>
      <c r="AM42" s="673"/>
      <c r="AN42" s="673"/>
      <c r="AO42" s="673"/>
      <c r="AP42" s="673"/>
      <c r="AQ42" s="673"/>
      <c r="AR42" s="673"/>
      <c r="AS42" s="673"/>
    </row>
    <row r="43">
      <c r="A43" s="653"/>
      <c r="B43" s="654"/>
      <c r="C43" s="655"/>
      <c r="D43" s="656"/>
      <c r="E43" s="657"/>
      <c r="F43" s="658"/>
      <c r="G43" s="659"/>
      <c r="H43" s="660"/>
      <c r="I43" s="659"/>
      <c r="J43" s="661"/>
      <c r="K43" s="658"/>
      <c r="L43" s="662"/>
      <c r="M43" s="663"/>
      <c r="N43" s="664"/>
      <c r="O43" s="665"/>
      <c r="P43" s="666"/>
      <c r="Q43" s="667"/>
      <c r="R43" s="668"/>
      <c r="S43" s="665"/>
      <c r="T43" s="669"/>
      <c r="U43" s="669"/>
      <c r="V43" s="665"/>
      <c r="W43" s="670"/>
      <c r="X43" s="670"/>
      <c r="Y43" s="671"/>
      <c r="Z43" s="671"/>
      <c r="AA43" s="672"/>
      <c r="AB43" s="673"/>
      <c r="AC43" s="673"/>
      <c r="AD43" s="673"/>
      <c r="AE43" s="673"/>
      <c r="AF43" s="673"/>
      <c r="AG43" s="673"/>
      <c r="AH43" s="673"/>
      <c r="AI43" s="673"/>
      <c r="AJ43" s="673"/>
      <c r="AK43" s="673"/>
      <c r="AL43" s="673"/>
      <c r="AM43" s="673"/>
      <c r="AN43" s="673"/>
      <c r="AO43" s="673"/>
      <c r="AP43" s="673"/>
      <c r="AQ43" s="673"/>
      <c r="AR43" s="673"/>
      <c r="AS43" s="673"/>
    </row>
    <row r="44">
      <c r="A44" s="653"/>
      <c r="B44" s="654"/>
      <c r="C44" s="655"/>
      <c r="D44" s="656"/>
      <c r="E44" s="657"/>
      <c r="F44" s="658"/>
      <c r="G44" s="659"/>
      <c r="H44" s="660"/>
      <c r="I44" s="659"/>
      <c r="J44" s="661"/>
      <c r="K44" s="658"/>
      <c r="L44" s="662"/>
      <c r="M44" s="663"/>
      <c r="N44" s="664"/>
      <c r="O44" s="665"/>
      <c r="P44" s="666"/>
      <c r="Q44" s="667"/>
      <c r="R44" s="668"/>
      <c r="S44" s="665"/>
      <c r="T44" s="669"/>
      <c r="U44" s="669"/>
      <c r="V44" s="665"/>
      <c r="W44" s="670"/>
      <c r="X44" s="670"/>
      <c r="Y44" s="671"/>
      <c r="Z44" s="671"/>
      <c r="AA44" s="672"/>
      <c r="AB44" s="673"/>
      <c r="AC44" s="673"/>
      <c r="AD44" s="673"/>
      <c r="AE44" s="673"/>
      <c r="AF44" s="673"/>
      <c r="AG44" s="673"/>
      <c r="AH44" s="673"/>
      <c r="AI44" s="673"/>
      <c r="AJ44" s="673"/>
      <c r="AK44" s="673"/>
      <c r="AL44" s="673"/>
      <c r="AM44" s="673"/>
      <c r="AN44" s="673"/>
      <c r="AO44" s="673"/>
      <c r="AP44" s="673"/>
      <c r="AQ44" s="673"/>
      <c r="AR44" s="673"/>
      <c r="AS44" s="673"/>
    </row>
    <row r="45">
      <c r="A45" s="653"/>
      <c r="B45" s="654"/>
      <c r="C45" s="655"/>
      <c r="D45" s="656"/>
      <c r="E45" s="657"/>
      <c r="F45" s="658"/>
      <c r="G45" s="659"/>
      <c r="H45" s="660"/>
      <c r="I45" s="659"/>
      <c r="J45" s="661"/>
      <c r="K45" s="658"/>
      <c r="L45" s="662"/>
      <c r="M45" s="663"/>
      <c r="N45" s="664"/>
      <c r="O45" s="665"/>
      <c r="P45" s="666"/>
      <c r="Q45" s="667"/>
      <c r="R45" s="668"/>
      <c r="S45" s="665"/>
      <c r="T45" s="669"/>
      <c r="U45" s="669"/>
      <c r="V45" s="665"/>
      <c r="W45" s="670"/>
      <c r="X45" s="670"/>
      <c r="Y45" s="671"/>
      <c r="Z45" s="671"/>
      <c r="AA45" s="672"/>
      <c r="AB45" s="673"/>
      <c r="AC45" s="673"/>
      <c r="AD45" s="673"/>
      <c r="AE45" s="673"/>
      <c r="AF45" s="673"/>
      <c r="AG45" s="673"/>
      <c r="AH45" s="673"/>
      <c r="AI45" s="673"/>
      <c r="AJ45" s="673"/>
      <c r="AK45" s="673"/>
      <c r="AL45" s="673"/>
      <c r="AM45" s="673"/>
      <c r="AN45" s="673"/>
      <c r="AO45" s="673"/>
      <c r="AP45" s="673"/>
      <c r="AQ45" s="673"/>
      <c r="AR45" s="673"/>
      <c r="AS45" s="673"/>
    </row>
    <row r="46">
      <c r="A46" s="653"/>
      <c r="B46" s="654"/>
      <c r="C46" s="655"/>
      <c r="D46" s="656"/>
      <c r="E46" s="657"/>
      <c r="F46" s="658"/>
      <c r="G46" s="659"/>
      <c r="H46" s="660"/>
      <c r="I46" s="659"/>
      <c r="J46" s="661"/>
      <c r="K46" s="658"/>
      <c r="L46" s="662"/>
      <c r="M46" s="663"/>
      <c r="N46" s="664"/>
      <c r="O46" s="665"/>
      <c r="P46" s="666"/>
      <c r="Q46" s="667"/>
      <c r="R46" s="668"/>
      <c r="S46" s="665"/>
      <c r="T46" s="669"/>
      <c r="U46" s="669"/>
      <c r="V46" s="665"/>
      <c r="W46" s="670"/>
      <c r="X46" s="670"/>
      <c r="Y46" s="671"/>
      <c r="Z46" s="671"/>
      <c r="AA46" s="672"/>
      <c r="AB46" s="673"/>
      <c r="AC46" s="673"/>
      <c r="AD46" s="673"/>
      <c r="AE46" s="673"/>
      <c r="AF46" s="673"/>
      <c r="AG46" s="673"/>
      <c r="AH46" s="673"/>
      <c r="AI46" s="673"/>
      <c r="AJ46" s="673"/>
      <c r="AK46" s="673"/>
      <c r="AL46" s="673"/>
      <c r="AM46" s="673"/>
      <c r="AN46" s="673"/>
      <c r="AO46" s="673"/>
      <c r="AP46" s="673"/>
      <c r="AQ46" s="673"/>
      <c r="AR46" s="673"/>
      <c r="AS46" s="673"/>
    </row>
    <row r="47">
      <c r="A47" s="653"/>
      <c r="B47" s="654"/>
      <c r="C47" s="655"/>
      <c r="D47" s="656"/>
      <c r="E47" s="657"/>
      <c r="F47" s="658"/>
      <c r="G47" s="659"/>
      <c r="H47" s="660"/>
      <c r="I47" s="659"/>
      <c r="J47" s="661"/>
      <c r="K47" s="658"/>
      <c r="L47" s="662"/>
      <c r="M47" s="663"/>
      <c r="N47" s="664"/>
      <c r="O47" s="665"/>
      <c r="P47" s="666"/>
      <c r="Q47" s="667"/>
      <c r="R47" s="668"/>
      <c r="S47" s="665"/>
      <c r="T47" s="669"/>
      <c r="U47" s="669"/>
      <c r="V47" s="665"/>
      <c r="W47" s="670"/>
      <c r="X47" s="670"/>
      <c r="Y47" s="671"/>
      <c r="Z47" s="671"/>
      <c r="AA47" s="672"/>
      <c r="AB47" s="673"/>
      <c r="AC47" s="673"/>
      <c r="AD47" s="673"/>
      <c r="AE47" s="673"/>
      <c r="AF47" s="673"/>
      <c r="AG47" s="673"/>
      <c r="AH47" s="673"/>
      <c r="AI47" s="673"/>
      <c r="AJ47" s="673"/>
      <c r="AK47" s="673"/>
      <c r="AL47" s="673"/>
      <c r="AM47" s="673"/>
      <c r="AN47" s="673"/>
      <c r="AO47" s="673"/>
      <c r="AP47" s="673"/>
      <c r="AQ47" s="673"/>
      <c r="AR47" s="673"/>
      <c r="AS47" s="673"/>
    </row>
    <row r="48">
      <c r="A48" s="653"/>
      <c r="B48" s="654"/>
      <c r="C48" s="655"/>
      <c r="D48" s="656"/>
      <c r="E48" s="657"/>
      <c r="F48" s="658"/>
      <c r="G48" s="659"/>
      <c r="H48" s="660"/>
      <c r="I48" s="659"/>
      <c r="J48" s="661"/>
      <c r="K48" s="658"/>
      <c r="L48" s="662"/>
      <c r="M48" s="663"/>
      <c r="N48" s="664"/>
      <c r="O48" s="665"/>
      <c r="P48" s="666"/>
      <c r="Q48" s="667"/>
      <c r="R48" s="668"/>
      <c r="S48" s="665"/>
      <c r="T48" s="669"/>
      <c r="U48" s="669"/>
      <c r="V48" s="665"/>
      <c r="W48" s="670"/>
      <c r="X48" s="670"/>
      <c r="Y48" s="671"/>
      <c r="Z48" s="671"/>
      <c r="AA48" s="672"/>
      <c r="AB48" s="673"/>
      <c r="AC48" s="673"/>
      <c r="AD48" s="673"/>
      <c r="AE48" s="673"/>
      <c r="AF48" s="673"/>
      <c r="AG48" s="673"/>
      <c r="AH48" s="673"/>
      <c r="AI48" s="673"/>
      <c r="AJ48" s="673"/>
      <c r="AK48" s="673"/>
      <c r="AL48" s="673"/>
      <c r="AM48" s="673"/>
      <c r="AN48" s="673"/>
      <c r="AO48" s="673"/>
      <c r="AP48" s="673"/>
      <c r="AQ48" s="673"/>
      <c r="AR48" s="673"/>
      <c r="AS48" s="673"/>
    </row>
    <row r="49">
      <c r="A49" s="653"/>
      <c r="B49" s="654"/>
      <c r="C49" s="655"/>
      <c r="D49" s="656"/>
      <c r="E49" s="657"/>
      <c r="F49" s="658"/>
      <c r="G49" s="659"/>
      <c r="H49" s="660"/>
      <c r="I49" s="659"/>
      <c r="J49" s="661"/>
      <c r="K49" s="658"/>
      <c r="L49" s="662"/>
      <c r="M49" s="663"/>
      <c r="N49" s="664"/>
      <c r="O49" s="665"/>
      <c r="P49" s="666"/>
      <c r="Q49" s="667"/>
      <c r="R49" s="668"/>
      <c r="S49" s="665"/>
      <c r="T49" s="669"/>
      <c r="U49" s="669"/>
      <c r="V49" s="665"/>
      <c r="W49" s="670"/>
      <c r="X49" s="670"/>
      <c r="Y49" s="671"/>
      <c r="Z49" s="671"/>
      <c r="AA49" s="672"/>
      <c r="AB49" s="673"/>
      <c r="AC49" s="673"/>
      <c r="AD49" s="673"/>
      <c r="AE49" s="673"/>
      <c r="AF49" s="673"/>
      <c r="AG49" s="673"/>
      <c r="AH49" s="673"/>
      <c r="AI49" s="673"/>
      <c r="AJ49" s="673"/>
      <c r="AK49" s="673"/>
      <c r="AL49" s="673"/>
      <c r="AM49" s="673"/>
      <c r="AN49" s="673"/>
      <c r="AO49" s="673"/>
      <c r="AP49" s="673"/>
      <c r="AQ49" s="673"/>
      <c r="AR49" s="673"/>
      <c r="AS49" s="673"/>
    </row>
    <row r="50">
      <c r="A50" s="653"/>
      <c r="B50" s="654"/>
      <c r="C50" s="655"/>
      <c r="D50" s="656"/>
      <c r="E50" s="657"/>
      <c r="F50" s="658"/>
      <c r="G50" s="659"/>
      <c r="H50" s="660"/>
      <c r="I50" s="659"/>
      <c r="J50" s="661"/>
      <c r="K50" s="658"/>
      <c r="L50" s="662"/>
      <c r="M50" s="663"/>
      <c r="N50" s="664"/>
      <c r="O50" s="665"/>
      <c r="P50" s="666"/>
      <c r="Q50" s="667"/>
      <c r="R50" s="668"/>
      <c r="S50" s="665"/>
      <c r="T50" s="669"/>
      <c r="U50" s="669"/>
      <c r="V50" s="665"/>
      <c r="W50" s="670"/>
      <c r="X50" s="670"/>
      <c r="Y50" s="671"/>
      <c r="Z50" s="671"/>
      <c r="AA50" s="672"/>
      <c r="AB50" s="673"/>
      <c r="AC50" s="673"/>
      <c r="AD50" s="673"/>
      <c r="AE50" s="673"/>
      <c r="AF50" s="673"/>
      <c r="AG50" s="673"/>
      <c r="AH50" s="673"/>
      <c r="AI50" s="673"/>
      <c r="AJ50" s="673"/>
      <c r="AK50" s="673"/>
      <c r="AL50" s="673"/>
      <c r="AM50" s="673"/>
      <c r="AN50" s="673"/>
      <c r="AO50" s="673"/>
      <c r="AP50" s="673"/>
      <c r="AQ50" s="673"/>
      <c r="AR50" s="673"/>
      <c r="AS50" s="673"/>
    </row>
    <row r="51">
      <c r="A51" s="653"/>
      <c r="B51" s="654"/>
      <c r="C51" s="655"/>
      <c r="D51" s="656"/>
      <c r="E51" s="657"/>
      <c r="F51" s="658"/>
      <c r="G51" s="659"/>
      <c r="H51" s="660"/>
      <c r="I51" s="659"/>
      <c r="J51" s="661"/>
      <c r="K51" s="658"/>
      <c r="L51" s="662"/>
      <c r="M51" s="663"/>
      <c r="N51" s="664"/>
      <c r="O51" s="665"/>
      <c r="P51" s="666"/>
      <c r="Q51" s="667"/>
      <c r="R51" s="668"/>
      <c r="S51" s="665"/>
      <c r="T51" s="669"/>
      <c r="U51" s="669"/>
      <c r="V51" s="665"/>
      <c r="W51" s="670"/>
      <c r="X51" s="670"/>
      <c r="Y51" s="671"/>
      <c r="Z51" s="671"/>
      <c r="AA51" s="672"/>
      <c r="AB51" s="673"/>
      <c r="AC51" s="673"/>
      <c r="AD51" s="673"/>
      <c r="AE51" s="673"/>
      <c r="AF51" s="673"/>
      <c r="AG51" s="673"/>
      <c r="AH51" s="673"/>
      <c r="AI51" s="673"/>
      <c r="AJ51" s="673"/>
      <c r="AK51" s="673"/>
      <c r="AL51" s="673"/>
      <c r="AM51" s="673"/>
      <c r="AN51" s="673"/>
      <c r="AO51" s="673"/>
      <c r="AP51" s="673"/>
      <c r="AQ51" s="673"/>
      <c r="AR51" s="673"/>
      <c r="AS51" s="673"/>
    </row>
    <row r="52">
      <c r="A52" s="653"/>
      <c r="B52" s="654"/>
      <c r="C52" s="655"/>
      <c r="D52" s="656"/>
      <c r="E52" s="657"/>
      <c r="F52" s="658"/>
      <c r="G52" s="659"/>
      <c r="H52" s="660"/>
      <c r="I52" s="659"/>
      <c r="J52" s="661"/>
      <c r="K52" s="658"/>
      <c r="L52" s="662"/>
      <c r="M52" s="663"/>
      <c r="N52" s="664"/>
      <c r="O52" s="665"/>
      <c r="P52" s="666"/>
      <c r="Q52" s="667"/>
      <c r="R52" s="668"/>
      <c r="S52" s="665"/>
      <c r="T52" s="669"/>
      <c r="U52" s="669"/>
      <c r="V52" s="665"/>
      <c r="W52" s="670"/>
      <c r="X52" s="670"/>
      <c r="Y52" s="671"/>
      <c r="Z52" s="671"/>
      <c r="AA52" s="672"/>
      <c r="AB52" s="673"/>
      <c r="AC52" s="673"/>
      <c r="AD52" s="673"/>
      <c r="AE52" s="673"/>
      <c r="AF52" s="673"/>
      <c r="AG52" s="673"/>
      <c r="AH52" s="673"/>
      <c r="AI52" s="673"/>
      <c r="AJ52" s="673"/>
      <c r="AK52" s="673"/>
      <c r="AL52" s="673"/>
      <c r="AM52" s="673"/>
      <c r="AN52" s="673"/>
      <c r="AO52" s="673"/>
      <c r="AP52" s="673"/>
      <c r="AQ52" s="673"/>
      <c r="AR52" s="673"/>
      <c r="AS52" s="673"/>
    </row>
    <row r="53">
      <c r="A53" s="653"/>
      <c r="B53" s="654"/>
      <c r="C53" s="655"/>
      <c r="D53" s="656"/>
      <c r="E53" s="657"/>
      <c r="F53" s="658"/>
      <c r="G53" s="659"/>
      <c r="H53" s="660"/>
      <c r="I53" s="659"/>
      <c r="J53" s="661"/>
      <c r="K53" s="658"/>
      <c r="L53" s="662"/>
      <c r="M53" s="663"/>
      <c r="N53" s="664"/>
      <c r="O53" s="665"/>
      <c r="P53" s="666"/>
      <c r="Q53" s="667"/>
      <c r="R53" s="668"/>
      <c r="S53" s="665"/>
      <c r="T53" s="669"/>
      <c r="U53" s="669"/>
      <c r="V53" s="665"/>
      <c r="W53" s="670"/>
      <c r="X53" s="670"/>
      <c r="Y53" s="671"/>
      <c r="Z53" s="671"/>
      <c r="AA53" s="672"/>
      <c r="AB53" s="673"/>
      <c r="AC53" s="673"/>
      <c r="AD53" s="673"/>
      <c r="AE53" s="673"/>
      <c r="AF53" s="673"/>
      <c r="AG53" s="673"/>
      <c r="AH53" s="673"/>
      <c r="AI53" s="673"/>
      <c r="AJ53" s="673"/>
      <c r="AK53" s="673"/>
      <c r="AL53" s="673"/>
      <c r="AM53" s="673"/>
      <c r="AN53" s="673"/>
      <c r="AO53" s="673"/>
      <c r="AP53" s="673"/>
      <c r="AQ53" s="673"/>
      <c r="AR53" s="673"/>
      <c r="AS53" s="673"/>
    </row>
    <row r="54">
      <c r="A54" s="653"/>
      <c r="B54" s="654"/>
      <c r="C54" s="655"/>
      <c r="D54" s="656"/>
      <c r="E54" s="657"/>
      <c r="F54" s="658"/>
      <c r="G54" s="659"/>
      <c r="H54" s="660"/>
      <c r="I54" s="659"/>
      <c r="J54" s="661"/>
      <c r="K54" s="658"/>
      <c r="L54" s="662"/>
      <c r="M54" s="663"/>
      <c r="N54" s="664"/>
      <c r="O54" s="665"/>
      <c r="P54" s="666"/>
      <c r="Q54" s="667"/>
      <c r="R54" s="668"/>
      <c r="S54" s="665"/>
      <c r="T54" s="669"/>
      <c r="U54" s="669"/>
      <c r="V54" s="665"/>
      <c r="W54" s="670"/>
      <c r="X54" s="670"/>
      <c r="Y54" s="671"/>
      <c r="Z54" s="671"/>
      <c r="AA54" s="672"/>
      <c r="AB54" s="673"/>
      <c r="AC54" s="673"/>
      <c r="AD54" s="673"/>
      <c r="AE54" s="673"/>
      <c r="AF54" s="673"/>
      <c r="AG54" s="673"/>
      <c r="AH54" s="673"/>
      <c r="AI54" s="673"/>
      <c r="AJ54" s="673"/>
      <c r="AK54" s="673"/>
      <c r="AL54" s="673"/>
      <c r="AM54" s="673"/>
      <c r="AN54" s="673"/>
      <c r="AO54" s="673"/>
      <c r="AP54" s="673"/>
      <c r="AQ54" s="673"/>
      <c r="AR54" s="673"/>
      <c r="AS54" s="673"/>
    </row>
    <row r="55">
      <c r="A55" s="653"/>
      <c r="B55" s="654"/>
      <c r="C55" s="655"/>
      <c r="D55" s="656"/>
      <c r="E55" s="657"/>
      <c r="F55" s="658"/>
      <c r="G55" s="659"/>
      <c r="H55" s="660"/>
      <c r="I55" s="659"/>
      <c r="J55" s="661"/>
      <c r="K55" s="658"/>
      <c r="L55" s="662"/>
      <c r="M55" s="663"/>
      <c r="N55" s="664"/>
      <c r="O55" s="665"/>
      <c r="P55" s="666"/>
      <c r="Q55" s="667"/>
      <c r="R55" s="668"/>
      <c r="S55" s="665"/>
      <c r="T55" s="669"/>
      <c r="U55" s="669"/>
      <c r="V55" s="665"/>
      <c r="W55" s="670"/>
      <c r="X55" s="670"/>
      <c r="Y55" s="671"/>
      <c r="Z55" s="671"/>
      <c r="AA55" s="672"/>
      <c r="AB55" s="673"/>
      <c r="AC55" s="673"/>
      <c r="AD55" s="673"/>
      <c r="AE55" s="673"/>
      <c r="AF55" s="673"/>
      <c r="AG55" s="673"/>
      <c r="AH55" s="673"/>
      <c r="AI55" s="673"/>
      <c r="AJ55" s="673"/>
      <c r="AK55" s="673"/>
      <c r="AL55" s="673"/>
      <c r="AM55" s="673"/>
      <c r="AN55" s="673"/>
      <c r="AO55" s="673"/>
      <c r="AP55" s="673"/>
      <c r="AQ55" s="673"/>
      <c r="AR55" s="673"/>
      <c r="AS55" s="673"/>
    </row>
    <row r="56">
      <c r="A56" s="653"/>
      <c r="B56" s="654"/>
      <c r="C56" s="655"/>
      <c r="D56" s="656"/>
      <c r="E56" s="657"/>
      <c r="F56" s="658"/>
      <c r="G56" s="659"/>
      <c r="H56" s="660"/>
      <c r="I56" s="659"/>
      <c r="J56" s="661"/>
      <c r="K56" s="658"/>
      <c r="L56" s="662"/>
      <c r="M56" s="663"/>
      <c r="N56" s="664"/>
      <c r="O56" s="665"/>
      <c r="P56" s="666"/>
      <c r="Q56" s="667"/>
      <c r="R56" s="668"/>
      <c r="S56" s="665"/>
      <c r="T56" s="669"/>
      <c r="U56" s="669"/>
      <c r="V56" s="665"/>
      <c r="W56" s="670"/>
      <c r="X56" s="670"/>
      <c r="Y56" s="671"/>
      <c r="Z56" s="671"/>
      <c r="AA56" s="672"/>
      <c r="AB56" s="673"/>
      <c r="AC56" s="673"/>
      <c r="AD56" s="673"/>
      <c r="AE56" s="673"/>
      <c r="AF56" s="673"/>
      <c r="AG56" s="673"/>
      <c r="AH56" s="673"/>
      <c r="AI56" s="673"/>
      <c r="AJ56" s="673"/>
      <c r="AK56" s="673"/>
      <c r="AL56" s="673"/>
      <c r="AM56" s="673"/>
      <c r="AN56" s="673"/>
      <c r="AO56" s="673"/>
      <c r="AP56" s="673"/>
      <c r="AQ56" s="673"/>
      <c r="AR56" s="673"/>
      <c r="AS56" s="673"/>
    </row>
    <row r="57">
      <c r="A57" s="653"/>
      <c r="B57" s="654"/>
      <c r="C57" s="655"/>
      <c r="D57" s="656"/>
      <c r="E57" s="657"/>
      <c r="F57" s="658"/>
      <c r="G57" s="659"/>
      <c r="H57" s="660"/>
      <c r="I57" s="659"/>
      <c r="J57" s="661"/>
      <c r="K57" s="658"/>
      <c r="L57" s="662"/>
      <c r="M57" s="663"/>
      <c r="N57" s="664"/>
      <c r="O57" s="665"/>
      <c r="P57" s="666"/>
      <c r="Q57" s="667"/>
      <c r="R57" s="668"/>
      <c r="S57" s="665"/>
      <c r="T57" s="669"/>
      <c r="U57" s="669"/>
      <c r="V57" s="665"/>
      <c r="W57" s="670"/>
      <c r="X57" s="670"/>
      <c r="Y57" s="671"/>
      <c r="Z57" s="671"/>
      <c r="AA57" s="672"/>
      <c r="AB57" s="673"/>
      <c r="AC57" s="673"/>
      <c r="AD57" s="673"/>
      <c r="AE57" s="673"/>
      <c r="AF57" s="673"/>
      <c r="AG57" s="673"/>
      <c r="AH57" s="673"/>
      <c r="AI57" s="673"/>
      <c r="AJ57" s="673"/>
      <c r="AK57" s="673"/>
      <c r="AL57" s="673"/>
      <c r="AM57" s="673"/>
      <c r="AN57" s="673"/>
      <c r="AO57" s="673"/>
      <c r="AP57" s="673"/>
      <c r="AQ57" s="673"/>
      <c r="AR57" s="673"/>
      <c r="AS57" s="673"/>
    </row>
    <row r="58">
      <c r="A58" s="653"/>
      <c r="B58" s="654"/>
      <c r="C58" s="655"/>
      <c r="D58" s="656"/>
      <c r="E58" s="657"/>
      <c r="F58" s="658"/>
      <c r="G58" s="659"/>
      <c r="H58" s="660"/>
      <c r="I58" s="659"/>
      <c r="J58" s="661"/>
      <c r="K58" s="658"/>
      <c r="L58" s="662"/>
      <c r="M58" s="663"/>
      <c r="N58" s="664"/>
      <c r="O58" s="665"/>
      <c r="P58" s="666"/>
      <c r="Q58" s="667"/>
      <c r="R58" s="668"/>
      <c r="S58" s="665"/>
      <c r="T58" s="669"/>
      <c r="U58" s="669"/>
      <c r="V58" s="665"/>
      <c r="W58" s="670"/>
      <c r="X58" s="670"/>
      <c r="Y58" s="671"/>
      <c r="Z58" s="671"/>
      <c r="AA58" s="672"/>
      <c r="AB58" s="673"/>
      <c r="AC58" s="673"/>
      <c r="AD58" s="673"/>
      <c r="AE58" s="673"/>
      <c r="AF58" s="673"/>
      <c r="AG58" s="673"/>
      <c r="AH58" s="673"/>
      <c r="AI58" s="673"/>
      <c r="AJ58" s="673"/>
      <c r="AK58" s="673"/>
      <c r="AL58" s="673"/>
      <c r="AM58" s="673"/>
      <c r="AN58" s="673"/>
      <c r="AO58" s="673"/>
      <c r="AP58" s="673"/>
      <c r="AQ58" s="673"/>
      <c r="AR58" s="673"/>
      <c r="AS58" s="673"/>
    </row>
    <row r="59">
      <c r="A59" s="653"/>
      <c r="B59" s="654"/>
      <c r="C59" s="655"/>
      <c r="D59" s="656"/>
      <c r="E59" s="657"/>
      <c r="F59" s="658"/>
      <c r="G59" s="659"/>
      <c r="H59" s="660"/>
      <c r="I59" s="659"/>
      <c r="J59" s="661"/>
      <c r="K59" s="658"/>
      <c r="L59" s="662"/>
      <c r="M59" s="663"/>
      <c r="N59" s="664"/>
      <c r="O59" s="665"/>
      <c r="P59" s="666"/>
      <c r="Q59" s="667"/>
      <c r="R59" s="668"/>
      <c r="S59" s="665"/>
      <c r="T59" s="669"/>
      <c r="U59" s="669"/>
      <c r="V59" s="665"/>
      <c r="W59" s="670"/>
      <c r="X59" s="670"/>
      <c r="Y59" s="671"/>
      <c r="Z59" s="671"/>
      <c r="AA59" s="672"/>
      <c r="AB59" s="673"/>
      <c r="AC59" s="673"/>
      <c r="AD59" s="673"/>
      <c r="AE59" s="673"/>
      <c r="AF59" s="673"/>
      <c r="AG59" s="673"/>
      <c r="AH59" s="673"/>
      <c r="AI59" s="673"/>
      <c r="AJ59" s="673"/>
      <c r="AK59" s="673"/>
      <c r="AL59" s="673"/>
      <c r="AM59" s="673"/>
      <c r="AN59" s="673"/>
      <c r="AO59" s="673"/>
      <c r="AP59" s="673"/>
      <c r="AQ59" s="673"/>
      <c r="AR59" s="673"/>
      <c r="AS59" s="673"/>
    </row>
    <row r="60">
      <c r="A60" s="653"/>
      <c r="B60" s="654"/>
      <c r="C60" s="655"/>
      <c r="D60" s="656"/>
      <c r="E60" s="657"/>
      <c r="F60" s="658"/>
      <c r="G60" s="659"/>
      <c r="H60" s="660"/>
      <c r="I60" s="659"/>
      <c r="J60" s="661"/>
      <c r="K60" s="658"/>
      <c r="L60" s="662"/>
      <c r="M60" s="663"/>
      <c r="N60" s="664"/>
      <c r="O60" s="665"/>
      <c r="P60" s="666"/>
      <c r="Q60" s="667"/>
      <c r="R60" s="668"/>
      <c r="S60" s="665"/>
      <c r="T60" s="669"/>
      <c r="U60" s="669"/>
      <c r="V60" s="665"/>
      <c r="W60" s="670"/>
      <c r="X60" s="670"/>
      <c r="Y60" s="671"/>
      <c r="Z60" s="671"/>
      <c r="AA60" s="672"/>
      <c r="AB60" s="673"/>
      <c r="AC60" s="673"/>
      <c r="AD60" s="673"/>
      <c r="AE60" s="673"/>
      <c r="AF60" s="673"/>
      <c r="AG60" s="673"/>
      <c r="AH60" s="673"/>
      <c r="AI60" s="673"/>
      <c r="AJ60" s="673"/>
      <c r="AK60" s="673"/>
      <c r="AL60" s="673"/>
      <c r="AM60" s="673"/>
      <c r="AN60" s="673"/>
      <c r="AO60" s="673"/>
      <c r="AP60" s="673"/>
      <c r="AQ60" s="673"/>
      <c r="AR60" s="673"/>
      <c r="AS60" s="673"/>
    </row>
    <row r="61">
      <c r="A61" s="653"/>
      <c r="B61" s="654"/>
      <c r="C61" s="655"/>
      <c r="D61" s="656"/>
      <c r="E61" s="657"/>
      <c r="F61" s="658"/>
      <c r="G61" s="659"/>
      <c r="H61" s="660"/>
      <c r="I61" s="659"/>
      <c r="J61" s="661"/>
      <c r="K61" s="658"/>
      <c r="L61" s="662"/>
      <c r="M61" s="663"/>
      <c r="N61" s="664"/>
      <c r="O61" s="665"/>
      <c r="P61" s="666"/>
      <c r="Q61" s="667"/>
      <c r="R61" s="668"/>
      <c r="S61" s="665"/>
      <c r="T61" s="669"/>
      <c r="U61" s="669"/>
      <c r="V61" s="665"/>
      <c r="W61" s="670"/>
      <c r="X61" s="670"/>
      <c r="Y61" s="671"/>
      <c r="Z61" s="671"/>
      <c r="AA61" s="672"/>
      <c r="AB61" s="673"/>
      <c r="AC61" s="673"/>
      <c r="AD61" s="673"/>
      <c r="AE61" s="673"/>
      <c r="AF61" s="673"/>
      <c r="AG61" s="673"/>
      <c r="AH61" s="673"/>
      <c r="AI61" s="673"/>
      <c r="AJ61" s="673"/>
      <c r="AK61" s="673"/>
      <c r="AL61" s="673"/>
      <c r="AM61" s="673"/>
      <c r="AN61" s="673"/>
      <c r="AO61" s="673"/>
      <c r="AP61" s="673"/>
      <c r="AQ61" s="673"/>
      <c r="AR61" s="673"/>
      <c r="AS61" s="673"/>
    </row>
    <row r="62">
      <c r="A62" s="653"/>
      <c r="B62" s="654"/>
      <c r="C62" s="655"/>
      <c r="D62" s="656"/>
      <c r="E62" s="657"/>
      <c r="F62" s="658"/>
      <c r="G62" s="659"/>
      <c r="H62" s="660"/>
      <c r="I62" s="659"/>
      <c r="J62" s="661"/>
      <c r="K62" s="658"/>
      <c r="L62" s="662"/>
      <c r="M62" s="663"/>
      <c r="N62" s="664"/>
      <c r="O62" s="665"/>
      <c r="P62" s="666"/>
      <c r="Q62" s="667"/>
      <c r="R62" s="668"/>
      <c r="S62" s="665"/>
      <c r="T62" s="669"/>
      <c r="U62" s="669"/>
      <c r="V62" s="665"/>
      <c r="W62" s="670"/>
      <c r="X62" s="670"/>
      <c r="Y62" s="671"/>
      <c r="Z62" s="671"/>
      <c r="AA62" s="672"/>
      <c r="AB62" s="673"/>
      <c r="AC62" s="673"/>
      <c r="AD62" s="673"/>
      <c r="AE62" s="673"/>
      <c r="AF62" s="673"/>
      <c r="AG62" s="673"/>
      <c r="AH62" s="673"/>
      <c r="AI62" s="673"/>
      <c r="AJ62" s="673"/>
      <c r="AK62" s="673"/>
      <c r="AL62" s="673"/>
      <c r="AM62" s="673"/>
      <c r="AN62" s="673"/>
      <c r="AO62" s="673"/>
      <c r="AP62" s="673"/>
      <c r="AQ62" s="673"/>
      <c r="AR62" s="673"/>
      <c r="AS62" s="673"/>
    </row>
    <row r="63">
      <c r="A63" s="653"/>
      <c r="B63" s="654"/>
      <c r="C63" s="655"/>
      <c r="D63" s="656"/>
      <c r="E63" s="657"/>
      <c r="F63" s="658"/>
      <c r="G63" s="659"/>
      <c r="H63" s="660"/>
      <c r="I63" s="659"/>
      <c r="J63" s="661"/>
      <c r="K63" s="658"/>
      <c r="L63" s="662"/>
      <c r="M63" s="663"/>
      <c r="N63" s="664"/>
      <c r="O63" s="665"/>
      <c r="P63" s="666"/>
      <c r="Q63" s="667"/>
      <c r="R63" s="668"/>
      <c r="S63" s="665"/>
      <c r="T63" s="669"/>
      <c r="U63" s="669"/>
      <c r="V63" s="665"/>
      <c r="W63" s="670"/>
      <c r="X63" s="670"/>
      <c r="Y63" s="671"/>
      <c r="Z63" s="671"/>
      <c r="AA63" s="672"/>
      <c r="AB63" s="673"/>
      <c r="AC63" s="673"/>
      <c r="AD63" s="673"/>
      <c r="AE63" s="673"/>
      <c r="AF63" s="673"/>
      <c r="AG63" s="673"/>
      <c r="AH63" s="673"/>
      <c r="AI63" s="673"/>
      <c r="AJ63" s="673"/>
      <c r="AK63" s="673"/>
      <c r="AL63" s="673"/>
      <c r="AM63" s="673"/>
      <c r="AN63" s="673"/>
      <c r="AO63" s="673"/>
      <c r="AP63" s="673"/>
      <c r="AQ63" s="673"/>
      <c r="AR63" s="673"/>
      <c r="AS63" s="673"/>
    </row>
    <row r="64">
      <c r="A64" s="653"/>
      <c r="B64" s="654"/>
      <c r="C64" s="655"/>
      <c r="D64" s="656"/>
      <c r="E64" s="657"/>
      <c r="F64" s="658"/>
      <c r="G64" s="659"/>
      <c r="H64" s="660"/>
      <c r="I64" s="659"/>
      <c r="J64" s="661"/>
      <c r="K64" s="658"/>
      <c r="L64" s="662"/>
      <c r="M64" s="663"/>
      <c r="N64" s="664"/>
      <c r="O64" s="665"/>
      <c r="P64" s="666"/>
      <c r="Q64" s="667"/>
      <c r="R64" s="668"/>
      <c r="S64" s="665"/>
      <c r="T64" s="669"/>
      <c r="U64" s="669"/>
      <c r="V64" s="665"/>
      <c r="W64" s="670"/>
      <c r="X64" s="670"/>
      <c r="Y64" s="671"/>
      <c r="Z64" s="671"/>
      <c r="AA64" s="672"/>
      <c r="AB64" s="673"/>
      <c r="AC64" s="673"/>
      <c r="AD64" s="673"/>
      <c r="AE64" s="673"/>
      <c r="AF64" s="673"/>
      <c r="AG64" s="673"/>
      <c r="AH64" s="673"/>
      <c r="AI64" s="673"/>
      <c r="AJ64" s="673"/>
      <c r="AK64" s="673"/>
      <c r="AL64" s="673"/>
      <c r="AM64" s="673"/>
      <c r="AN64" s="673"/>
      <c r="AO64" s="673"/>
      <c r="AP64" s="673"/>
      <c r="AQ64" s="673"/>
      <c r="AR64" s="673"/>
      <c r="AS64" s="673"/>
    </row>
    <row r="65">
      <c r="A65" s="653"/>
      <c r="B65" s="654"/>
      <c r="C65" s="655"/>
      <c r="D65" s="656"/>
      <c r="E65" s="657"/>
      <c r="F65" s="658"/>
      <c r="G65" s="659"/>
      <c r="H65" s="660"/>
      <c r="I65" s="659"/>
      <c r="J65" s="661"/>
      <c r="K65" s="658"/>
      <c r="L65" s="662"/>
      <c r="M65" s="663"/>
      <c r="N65" s="664"/>
      <c r="O65" s="665"/>
      <c r="P65" s="666"/>
      <c r="Q65" s="667"/>
      <c r="R65" s="668"/>
      <c r="S65" s="665"/>
      <c r="T65" s="669"/>
      <c r="U65" s="669"/>
      <c r="V65" s="665"/>
      <c r="W65" s="670"/>
      <c r="X65" s="670"/>
      <c r="Y65" s="671"/>
      <c r="Z65" s="671"/>
      <c r="AA65" s="672"/>
      <c r="AB65" s="673"/>
      <c r="AC65" s="673"/>
      <c r="AD65" s="673"/>
      <c r="AE65" s="673"/>
      <c r="AF65" s="673"/>
      <c r="AG65" s="673"/>
      <c r="AH65" s="673"/>
      <c r="AI65" s="673"/>
      <c r="AJ65" s="673"/>
      <c r="AK65" s="673"/>
      <c r="AL65" s="673"/>
      <c r="AM65" s="673"/>
      <c r="AN65" s="673"/>
      <c r="AO65" s="673"/>
      <c r="AP65" s="673"/>
      <c r="AQ65" s="673"/>
      <c r="AR65" s="673"/>
      <c r="AS65" s="673"/>
    </row>
    <row r="66">
      <c r="A66" s="653"/>
      <c r="B66" s="654"/>
      <c r="C66" s="655"/>
      <c r="D66" s="656"/>
      <c r="E66" s="657"/>
      <c r="F66" s="658"/>
      <c r="G66" s="659"/>
      <c r="H66" s="660"/>
      <c r="I66" s="659"/>
      <c r="J66" s="661"/>
      <c r="K66" s="658"/>
      <c r="L66" s="662"/>
      <c r="M66" s="663"/>
      <c r="N66" s="664"/>
      <c r="O66" s="665"/>
      <c r="P66" s="666"/>
      <c r="Q66" s="667"/>
      <c r="R66" s="668"/>
      <c r="S66" s="665"/>
      <c r="T66" s="669"/>
      <c r="U66" s="669"/>
      <c r="V66" s="665"/>
      <c r="W66" s="670"/>
      <c r="X66" s="670"/>
      <c r="Y66" s="671"/>
      <c r="Z66" s="671"/>
      <c r="AA66" s="672"/>
      <c r="AB66" s="673"/>
      <c r="AC66" s="673"/>
      <c r="AD66" s="673"/>
      <c r="AE66" s="673"/>
      <c r="AF66" s="673"/>
      <c r="AG66" s="673"/>
      <c r="AH66" s="673"/>
      <c r="AI66" s="673"/>
      <c r="AJ66" s="673"/>
      <c r="AK66" s="673"/>
      <c r="AL66" s="673"/>
      <c r="AM66" s="673"/>
      <c r="AN66" s="673"/>
      <c r="AO66" s="673"/>
      <c r="AP66" s="673"/>
      <c r="AQ66" s="673"/>
      <c r="AR66" s="673"/>
      <c r="AS66" s="673"/>
    </row>
    <row r="67">
      <c r="A67" s="653"/>
      <c r="B67" s="654"/>
      <c r="C67" s="655"/>
      <c r="D67" s="656"/>
      <c r="E67" s="657"/>
      <c r="F67" s="658"/>
      <c r="G67" s="659"/>
      <c r="H67" s="660"/>
      <c r="I67" s="659"/>
      <c r="J67" s="661"/>
      <c r="K67" s="658"/>
      <c r="L67" s="662"/>
      <c r="M67" s="663"/>
      <c r="N67" s="664"/>
      <c r="O67" s="665"/>
      <c r="P67" s="666"/>
      <c r="Q67" s="667"/>
      <c r="R67" s="668"/>
      <c r="S67" s="665"/>
      <c r="T67" s="669"/>
      <c r="U67" s="669"/>
      <c r="V67" s="665"/>
      <c r="W67" s="670"/>
      <c r="X67" s="670"/>
      <c r="Y67" s="671"/>
      <c r="Z67" s="671"/>
      <c r="AA67" s="672"/>
      <c r="AB67" s="673"/>
      <c r="AC67" s="673"/>
      <c r="AD67" s="673"/>
      <c r="AE67" s="673"/>
      <c r="AF67" s="673"/>
      <c r="AG67" s="673"/>
      <c r="AH67" s="673"/>
      <c r="AI67" s="673"/>
      <c r="AJ67" s="673"/>
      <c r="AK67" s="673"/>
      <c r="AL67" s="673"/>
      <c r="AM67" s="673"/>
      <c r="AN67" s="673"/>
      <c r="AO67" s="673"/>
      <c r="AP67" s="673"/>
      <c r="AQ67" s="673"/>
      <c r="AR67" s="673"/>
      <c r="AS67" s="673"/>
    </row>
    <row r="68">
      <c r="A68" s="653"/>
      <c r="B68" s="654"/>
      <c r="C68" s="655"/>
      <c r="D68" s="656"/>
      <c r="E68" s="657"/>
      <c r="F68" s="658"/>
      <c r="G68" s="659"/>
      <c r="H68" s="660"/>
      <c r="I68" s="659"/>
      <c r="J68" s="661"/>
      <c r="K68" s="658"/>
      <c r="L68" s="662"/>
      <c r="M68" s="663"/>
      <c r="N68" s="664"/>
      <c r="O68" s="665"/>
      <c r="P68" s="666"/>
      <c r="Q68" s="667"/>
      <c r="R68" s="668"/>
      <c r="S68" s="665"/>
      <c r="T68" s="669"/>
      <c r="U68" s="669"/>
      <c r="V68" s="665"/>
      <c r="W68" s="670"/>
      <c r="X68" s="670"/>
      <c r="Y68" s="671"/>
      <c r="Z68" s="671"/>
      <c r="AA68" s="672"/>
      <c r="AB68" s="673"/>
      <c r="AC68" s="673"/>
      <c r="AD68" s="673"/>
      <c r="AE68" s="673"/>
      <c r="AF68" s="673"/>
      <c r="AG68" s="673"/>
      <c r="AH68" s="673"/>
      <c r="AI68" s="673"/>
      <c r="AJ68" s="673"/>
      <c r="AK68" s="673"/>
      <c r="AL68" s="673"/>
      <c r="AM68" s="673"/>
      <c r="AN68" s="673"/>
      <c r="AO68" s="673"/>
      <c r="AP68" s="673"/>
      <c r="AQ68" s="673"/>
      <c r="AR68" s="673"/>
      <c r="AS68" s="673"/>
    </row>
    <row r="69">
      <c r="A69" s="653"/>
      <c r="B69" s="654"/>
      <c r="C69" s="655"/>
      <c r="D69" s="656"/>
      <c r="E69" s="657"/>
      <c r="F69" s="658"/>
      <c r="G69" s="659"/>
      <c r="H69" s="660"/>
      <c r="I69" s="659"/>
      <c r="J69" s="661"/>
      <c r="K69" s="658"/>
      <c r="L69" s="662"/>
      <c r="M69" s="663"/>
      <c r="N69" s="664"/>
      <c r="O69" s="665"/>
      <c r="P69" s="666"/>
      <c r="Q69" s="667"/>
      <c r="R69" s="668"/>
      <c r="S69" s="665"/>
      <c r="T69" s="669"/>
      <c r="U69" s="669"/>
      <c r="V69" s="665"/>
      <c r="W69" s="670"/>
      <c r="X69" s="670"/>
      <c r="Y69" s="671"/>
      <c r="Z69" s="671"/>
      <c r="AA69" s="672"/>
      <c r="AB69" s="673"/>
      <c r="AC69" s="673"/>
      <c r="AD69" s="673"/>
      <c r="AE69" s="673"/>
      <c r="AF69" s="673"/>
      <c r="AG69" s="673"/>
      <c r="AH69" s="673"/>
      <c r="AI69" s="673"/>
      <c r="AJ69" s="673"/>
      <c r="AK69" s="673"/>
      <c r="AL69" s="673"/>
      <c r="AM69" s="673"/>
      <c r="AN69" s="673"/>
      <c r="AO69" s="673"/>
      <c r="AP69" s="673"/>
      <c r="AQ69" s="673"/>
      <c r="AR69" s="673"/>
      <c r="AS69" s="673"/>
    </row>
    <row r="70">
      <c r="A70" s="653"/>
      <c r="B70" s="654"/>
      <c r="C70" s="655"/>
      <c r="D70" s="656"/>
      <c r="E70" s="657"/>
      <c r="F70" s="658"/>
      <c r="G70" s="659"/>
      <c r="H70" s="660"/>
      <c r="I70" s="659"/>
      <c r="J70" s="661"/>
      <c r="K70" s="658"/>
      <c r="L70" s="662"/>
      <c r="M70" s="663"/>
      <c r="N70" s="664"/>
      <c r="O70" s="665"/>
      <c r="P70" s="666"/>
      <c r="Q70" s="667"/>
      <c r="R70" s="668"/>
      <c r="S70" s="665"/>
      <c r="T70" s="669"/>
      <c r="U70" s="669"/>
      <c r="V70" s="665"/>
      <c r="W70" s="670"/>
      <c r="X70" s="670"/>
      <c r="Y70" s="671"/>
      <c r="Z70" s="671"/>
      <c r="AA70" s="672"/>
      <c r="AB70" s="673"/>
      <c r="AC70" s="673"/>
      <c r="AD70" s="673"/>
      <c r="AE70" s="673"/>
      <c r="AF70" s="673"/>
      <c r="AG70" s="673"/>
      <c r="AH70" s="673"/>
      <c r="AI70" s="673"/>
      <c r="AJ70" s="673"/>
      <c r="AK70" s="673"/>
      <c r="AL70" s="673"/>
      <c r="AM70" s="673"/>
      <c r="AN70" s="673"/>
      <c r="AO70" s="673"/>
      <c r="AP70" s="673"/>
      <c r="AQ70" s="673"/>
      <c r="AR70" s="673"/>
      <c r="AS70" s="673"/>
    </row>
    <row r="71">
      <c r="A71" s="653"/>
      <c r="B71" s="654"/>
      <c r="C71" s="655"/>
      <c r="D71" s="656"/>
      <c r="E71" s="657"/>
      <c r="F71" s="658"/>
      <c r="G71" s="659"/>
      <c r="H71" s="660"/>
      <c r="I71" s="659"/>
      <c r="J71" s="661"/>
      <c r="K71" s="658"/>
      <c r="L71" s="662"/>
      <c r="M71" s="663"/>
      <c r="N71" s="664"/>
      <c r="O71" s="665"/>
      <c r="P71" s="666"/>
      <c r="Q71" s="667"/>
      <c r="R71" s="668"/>
      <c r="S71" s="665"/>
      <c r="T71" s="669"/>
      <c r="U71" s="669"/>
      <c r="V71" s="665"/>
      <c r="W71" s="670"/>
      <c r="X71" s="670"/>
      <c r="Y71" s="671"/>
      <c r="Z71" s="671"/>
      <c r="AA71" s="672"/>
      <c r="AB71" s="673"/>
      <c r="AC71" s="673"/>
      <c r="AD71" s="673"/>
      <c r="AE71" s="673"/>
      <c r="AF71" s="673"/>
      <c r="AG71" s="673"/>
      <c r="AH71" s="673"/>
      <c r="AI71" s="673"/>
      <c r="AJ71" s="673"/>
      <c r="AK71" s="673"/>
      <c r="AL71" s="673"/>
      <c r="AM71" s="673"/>
      <c r="AN71" s="673"/>
      <c r="AO71" s="673"/>
      <c r="AP71" s="673"/>
      <c r="AQ71" s="673"/>
      <c r="AR71" s="673"/>
      <c r="AS71" s="673"/>
    </row>
    <row r="72">
      <c r="A72" s="653"/>
      <c r="B72" s="654"/>
      <c r="C72" s="655"/>
      <c r="D72" s="656"/>
      <c r="E72" s="657"/>
      <c r="F72" s="658"/>
      <c r="G72" s="659"/>
      <c r="H72" s="660"/>
      <c r="I72" s="659"/>
      <c r="J72" s="661"/>
      <c r="K72" s="658"/>
      <c r="L72" s="662"/>
      <c r="M72" s="663"/>
      <c r="N72" s="664"/>
      <c r="O72" s="665"/>
      <c r="P72" s="666"/>
      <c r="Q72" s="667"/>
      <c r="R72" s="668"/>
      <c r="S72" s="665"/>
      <c r="T72" s="669"/>
      <c r="U72" s="669"/>
      <c r="V72" s="665"/>
      <c r="W72" s="670"/>
      <c r="X72" s="670"/>
      <c r="Y72" s="671"/>
      <c r="Z72" s="671"/>
      <c r="AA72" s="672"/>
      <c r="AB72" s="673"/>
      <c r="AC72" s="673"/>
      <c r="AD72" s="673"/>
      <c r="AE72" s="673"/>
      <c r="AF72" s="673"/>
      <c r="AG72" s="673"/>
      <c r="AH72" s="673"/>
      <c r="AI72" s="673"/>
      <c r="AJ72" s="673"/>
      <c r="AK72" s="673"/>
      <c r="AL72" s="673"/>
      <c r="AM72" s="673"/>
      <c r="AN72" s="673"/>
      <c r="AO72" s="673"/>
      <c r="AP72" s="673"/>
      <c r="AQ72" s="673"/>
      <c r="AR72" s="673"/>
      <c r="AS72" s="673"/>
    </row>
    <row r="73">
      <c r="A73" s="653"/>
      <c r="B73" s="654"/>
      <c r="C73" s="655"/>
      <c r="D73" s="656"/>
      <c r="E73" s="657"/>
      <c r="F73" s="658"/>
      <c r="G73" s="659"/>
      <c r="H73" s="660"/>
      <c r="I73" s="659"/>
      <c r="J73" s="661"/>
      <c r="K73" s="658"/>
      <c r="L73" s="662"/>
      <c r="M73" s="663"/>
      <c r="N73" s="664"/>
      <c r="O73" s="665"/>
      <c r="P73" s="666"/>
      <c r="Q73" s="667"/>
      <c r="R73" s="668"/>
      <c r="S73" s="665"/>
      <c r="T73" s="669"/>
      <c r="U73" s="669"/>
      <c r="V73" s="665"/>
      <c r="W73" s="670"/>
      <c r="X73" s="670"/>
      <c r="Y73" s="671"/>
      <c r="Z73" s="671"/>
      <c r="AA73" s="672"/>
      <c r="AB73" s="673"/>
      <c r="AC73" s="673"/>
      <c r="AD73" s="673"/>
      <c r="AE73" s="673"/>
      <c r="AF73" s="673"/>
      <c r="AG73" s="673"/>
      <c r="AH73" s="673"/>
      <c r="AI73" s="673"/>
      <c r="AJ73" s="673"/>
      <c r="AK73" s="673"/>
      <c r="AL73" s="673"/>
      <c r="AM73" s="673"/>
      <c r="AN73" s="673"/>
      <c r="AO73" s="673"/>
      <c r="AP73" s="673"/>
      <c r="AQ73" s="673"/>
      <c r="AR73" s="673"/>
      <c r="AS73" s="673"/>
    </row>
    <row r="74">
      <c r="A74" s="653"/>
      <c r="B74" s="654"/>
      <c r="C74" s="655"/>
      <c r="D74" s="656"/>
      <c r="E74" s="657"/>
      <c r="F74" s="658"/>
      <c r="G74" s="659"/>
      <c r="H74" s="660"/>
      <c r="I74" s="659"/>
      <c r="J74" s="661"/>
      <c r="K74" s="658"/>
      <c r="L74" s="662"/>
      <c r="M74" s="663"/>
      <c r="N74" s="664"/>
      <c r="O74" s="665"/>
      <c r="P74" s="666"/>
      <c r="Q74" s="667"/>
      <c r="R74" s="668"/>
      <c r="S74" s="665"/>
      <c r="T74" s="669"/>
      <c r="U74" s="669"/>
      <c r="V74" s="665"/>
      <c r="W74" s="670"/>
      <c r="X74" s="670"/>
      <c r="Y74" s="671"/>
      <c r="Z74" s="671"/>
      <c r="AA74" s="672"/>
      <c r="AB74" s="673"/>
      <c r="AC74" s="673"/>
      <c r="AD74" s="673"/>
      <c r="AE74" s="673"/>
      <c r="AF74" s="673"/>
      <c r="AG74" s="673"/>
      <c r="AH74" s="673"/>
      <c r="AI74" s="673"/>
      <c r="AJ74" s="673"/>
      <c r="AK74" s="673"/>
      <c r="AL74" s="673"/>
      <c r="AM74" s="673"/>
      <c r="AN74" s="673"/>
      <c r="AO74" s="673"/>
      <c r="AP74" s="673"/>
      <c r="AQ74" s="673"/>
      <c r="AR74" s="673"/>
      <c r="AS74" s="673"/>
    </row>
    <row r="75">
      <c r="A75" s="653"/>
      <c r="B75" s="654"/>
      <c r="C75" s="655"/>
      <c r="D75" s="656"/>
      <c r="E75" s="657"/>
      <c r="F75" s="658"/>
      <c r="G75" s="659"/>
      <c r="H75" s="660"/>
      <c r="I75" s="659"/>
      <c r="J75" s="661"/>
      <c r="K75" s="658"/>
      <c r="L75" s="662"/>
      <c r="M75" s="663"/>
      <c r="N75" s="664"/>
      <c r="O75" s="665"/>
      <c r="P75" s="666"/>
      <c r="Q75" s="667"/>
      <c r="R75" s="668"/>
      <c r="S75" s="665"/>
      <c r="T75" s="669"/>
      <c r="U75" s="669"/>
      <c r="V75" s="665"/>
      <c r="W75" s="670"/>
      <c r="X75" s="670"/>
      <c r="Y75" s="671"/>
      <c r="Z75" s="671"/>
      <c r="AA75" s="672"/>
      <c r="AB75" s="673"/>
      <c r="AC75" s="673"/>
      <c r="AD75" s="673"/>
      <c r="AE75" s="673"/>
      <c r="AF75" s="673"/>
      <c r="AG75" s="673"/>
      <c r="AH75" s="673"/>
      <c r="AI75" s="673"/>
      <c r="AJ75" s="673"/>
      <c r="AK75" s="673"/>
      <c r="AL75" s="673"/>
      <c r="AM75" s="673"/>
      <c r="AN75" s="673"/>
      <c r="AO75" s="673"/>
      <c r="AP75" s="673"/>
      <c r="AQ75" s="673"/>
      <c r="AR75" s="673"/>
      <c r="AS75" s="673"/>
    </row>
    <row r="76">
      <c r="A76" s="653"/>
      <c r="B76" s="654"/>
      <c r="C76" s="655"/>
      <c r="D76" s="656"/>
      <c r="E76" s="657"/>
      <c r="F76" s="658"/>
      <c r="G76" s="659"/>
      <c r="H76" s="660"/>
      <c r="I76" s="659"/>
      <c r="J76" s="661"/>
      <c r="K76" s="658"/>
      <c r="L76" s="662"/>
      <c r="M76" s="663"/>
      <c r="N76" s="664"/>
      <c r="O76" s="665"/>
      <c r="P76" s="666"/>
      <c r="Q76" s="667"/>
      <c r="R76" s="668"/>
      <c r="S76" s="665"/>
      <c r="T76" s="669"/>
      <c r="U76" s="669"/>
      <c r="V76" s="665"/>
      <c r="W76" s="670"/>
      <c r="X76" s="670"/>
      <c r="Y76" s="671"/>
      <c r="Z76" s="671"/>
      <c r="AA76" s="672"/>
      <c r="AB76" s="673"/>
      <c r="AC76" s="673"/>
      <c r="AD76" s="673"/>
      <c r="AE76" s="673"/>
      <c r="AF76" s="673"/>
      <c r="AG76" s="673"/>
      <c r="AH76" s="673"/>
      <c r="AI76" s="673"/>
      <c r="AJ76" s="673"/>
      <c r="AK76" s="673"/>
      <c r="AL76" s="673"/>
      <c r="AM76" s="673"/>
      <c r="AN76" s="673"/>
      <c r="AO76" s="673"/>
      <c r="AP76" s="673"/>
      <c r="AQ76" s="673"/>
      <c r="AR76" s="673"/>
      <c r="AS76" s="673"/>
    </row>
    <row r="77">
      <c r="A77" s="653"/>
      <c r="B77" s="654"/>
      <c r="C77" s="655"/>
      <c r="D77" s="656"/>
      <c r="E77" s="657"/>
      <c r="F77" s="658"/>
      <c r="G77" s="659"/>
      <c r="H77" s="660"/>
      <c r="I77" s="659"/>
      <c r="J77" s="661"/>
      <c r="K77" s="658"/>
      <c r="L77" s="662"/>
      <c r="M77" s="663"/>
      <c r="N77" s="664"/>
      <c r="O77" s="665"/>
      <c r="P77" s="666"/>
      <c r="Q77" s="667"/>
      <c r="R77" s="668"/>
      <c r="S77" s="665"/>
      <c r="T77" s="669"/>
      <c r="U77" s="669"/>
      <c r="V77" s="665"/>
      <c r="W77" s="670"/>
      <c r="X77" s="670"/>
      <c r="Y77" s="671"/>
      <c r="Z77" s="671"/>
      <c r="AA77" s="672"/>
      <c r="AB77" s="673"/>
      <c r="AC77" s="673"/>
      <c r="AD77" s="673"/>
      <c r="AE77" s="673"/>
      <c r="AF77" s="673"/>
      <c r="AG77" s="673"/>
      <c r="AH77" s="673"/>
      <c r="AI77" s="673"/>
      <c r="AJ77" s="673"/>
      <c r="AK77" s="673"/>
      <c r="AL77" s="673"/>
      <c r="AM77" s="673"/>
      <c r="AN77" s="673"/>
      <c r="AO77" s="673"/>
      <c r="AP77" s="673"/>
      <c r="AQ77" s="673"/>
      <c r="AR77" s="673"/>
      <c r="AS77" s="673"/>
    </row>
    <row r="78">
      <c r="A78" s="653"/>
      <c r="B78" s="654"/>
      <c r="C78" s="655"/>
      <c r="D78" s="656"/>
      <c r="E78" s="657"/>
      <c r="F78" s="658"/>
      <c r="G78" s="659"/>
      <c r="H78" s="660"/>
      <c r="I78" s="659"/>
      <c r="J78" s="661"/>
      <c r="K78" s="658"/>
      <c r="L78" s="662"/>
      <c r="M78" s="663"/>
      <c r="N78" s="664"/>
      <c r="O78" s="665"/>
      <c r="P78" s="666"/>
      <c r="Q78" s="667"/>
      <c r="R78" s="668"/>
      <c r="S78" s="665"/>
      <c r="T78" s="669"/>
      <c r="U78" s="669"/>
      <c r="V78" s="665"/>
      <c r="W78" s="670"/>
      <c r="X78" s="670"/>
      <c r="Y78" s="671"/>
      <c r="Z78" s="671"/>
      <c r="AA78" s="672"/>
      <c r="AB78" s="673"/>
      <c r="AC78" s="673"/>
      <c r="AD78" s="673"/>
      <c r="AE78" s="673"/>
      <c r="AF78" s="673"/>
      <c r="AG78" s="673"/>
      <c r="AH78" s="673"/>
      <c r="AI78" s="673"/>
      <c r="AJ78" s="673"/>
      <c r="AK78" s="673"/>
      <c r="AL78" s="673"/>
      <c r="AM78" s="673"/>
      <c r="AN78" s="673"/>
      <c r="AO78" s="673"/>
      <c r="AP78" s="673"/>
      <c r="AQ78" s="673"/>
      <c r="AR78" s="673"/>
      <c r="AS78" s="673"/>
    </row>
    <row r="79">
      <c r="A79" s="653"/>
      <c r="B79" s="654"/>
      <c r="C79" s="655"/>
      <c r="D79" s="656"/>
      <c r="E79" s="657"/>
      <c r="F79" s="658"/>
      <c r="G79" s="659"/>
      <c r="H79" s="660"/>
      <c r="I79" s="659"/>
      <c r="J79" s="661"/>
      <c r="K79" s="658"/>
      <c r="L79" s="662"/>
      <c r="M79" s="663"/>
      <c r="N79" s="664"/>
      <c r="O79" s="665"/>
      <c r="P79" s="666"/>
      <c r="Q79" s="667"/>
      <c r="R79" s="668"/>
      <c r="S79" s="665"/>
      <c r="T79" s="669"/>
      <c r="U79" s="669"/>
      <c r="V79" s="665"/>
      <c r="W79" s="670"/>
      <c r="X79" s="670"/>
      <c r="Y79" s="671"/>
      <c r="Z79" s="671"/>
      <c r="AA79" s="672"/>
      <c r="AB79" s="673"/>
      <c r="AC79" s="673"/>
      <c r="AD79" s="673"/>
      <c r="AE79" s="673"/>
      <c r="AF79" s="673"/>
      <c r="AG79" s="673"/>
      <c r="AH79" s="673"/>
      <c r="AI79" s="673"/>
      <c r="AJ79" s="673"/>
      <c r="AK79" s="673"/>
      <c r="AL79" s="673"/>
      <c r="AM79" s="673"/>
      <c r="AN79" s="673"/>
      <c r="AO79" s="673"/>
      <c r="AP79" s="673"/>
      <c r="AQ79" s="673"/>
      <c r="AR79" s="673"/>
      <c r="AS79" s="673"/>
    </row>
    <row r="80">
      <c r="A80" s="653"/>
      <c r="B80" s="654"/>
      <c r="C80" s="655"/>
      <c r="D80" s="656"/>
      <c r="E80" s="657"/>
      <c r="F80" s="658"/>
      <c r="G80" s="659"/>
      <c r="H80" s="660"/>
      <c r="I80" s="659"/>
      <c r="J80" s="661"/>
      <c r="K80" s="658"/>
      <c r="L80" s="662"/>
      <c r="M80" s="663"/>
      <c r="N80" s="664"/>
      <c r="O80" s="665"/>
      <c r="P80" s="666"/>
      <c r="Q80" s="667"/>
      <c r="R80" s="668"/>
      <c r="S80" s="665"/>
      <c r="T80" s="669"/>
      <c r="U80" s="669"/>
      <c r="V80" s="665"/>
      <c r="W80" s="670"/>
      <c r="X80" s="670"/>
      <c r="Y80" s="671"/>
      <c r="Z80" s="671"/>
      <c r="AA80" s="672"/>
      <c r="AB80" s="673"/>
      <c r="AC80" s="673"/>
      <c r="AD80" s="673"/>
      <c r="AE80" s="673"/>
      <c r="AF80" s="673"/>
      <c r="AG80" s="673"/>
      <c r="AH80" s="673"/>
      <c r="AI80" s="673"/>
      <c r="AJ80" s="673"/>
      <c r="AK80" s="673"/>
      <c r="AL80" s="673"/>
      <c r="AM80" s="673"/>
      <c r="AN80" s="673"/>
      <c r="AO80" s="673"/>
      <c r="AP80" s="673"/>
      <c r="AQ80" s="673"/>
      <c r="AR80" s="673"/>
      <c r="AS80" s="673"/>
    </row>
    <row r="81">
      <c r="A81" s="653"/>
      <c r="B81" s="654"/>
      <c r="C81" s="655"/>
      <c r="D81" s="656"/>
      <c r="E81" s="657"/>
      <c r="F81" s="658"/>
      <c r="G81" s="659"/>
      <c r="H81" s="660"/>
      <c r="I81" s="659"/>
      <c r="J81" s="661"/>
      <c r="K81" s="658"/>
      <c r="L81" s="662"/>
      <c r="M81" s="663"/>
      <c r="N81" s="664"/>
      <c r="O81" s="665"/>
      <c r="P81" s="666"/>
      <c r="Q81" s="667"/>
      <c r="R81" s="668"/>
      <c r="S81" s="665"/>
      <c r="T81" s="669"/>
      <c r="U81" s="669"/>
      <c r="V81" s="665"/>
      <c r="W81" s="670"/>
      <c r="X81" s="670"/>
      <c r="Y81" s="671"/>
      <c r="Z81" s="671"/>
      <c r="AA81" s="672"/>
      <c r="AB81" s="673"/>
      <c r="AC81" s="673"/>
      <c r="AD81" s="673"/>
      <c r="AE81" s="673"/>
      <c r="AF81" s="673"/>
      <c r="AG81" s="673"/>
      <c r="AH81" s="673"/>
      <c r="AI81" s="673"/>
      <c r="AJ81" s="673"/>
      <c r="AK81" s="673"/>
      <c r="AL81" s="673"/>
      <c r="AM81" s="673"/>
      <c r="AN81" s="673"/>
      <c r="AO81" s="673"/>
      <c r="AP81" s="673"/>
      <c r="AQ81" s="673"/>
      <c r="AR81" s="673"/>
      <c r="AS81" s="673"/>
    </row>
    <row r="82">
      <c r="A82" s="653"/>
      <c r="B82" s="654"/>
      <c r="C82" s="655"/>
      <c r="D82" s="656"/>
      <c r="E82" s="657"/>
      <c r="F82" s="658"/>
      <c r="G82" s="659"/>
      <c r="H82" s="660"/>
      <c r="I82" s="659"/>
      <c r="J82" s="661"/>
      <c r="K82" s="658"/>
      <c r="L82" s="662"/>
      <c r="M82" s="663"/>
      <c r="N82" s="664"/>
      <c r="O82" s="665"/>
      <c r="P82" s="666"/>
      <c r="Q82" s="667"/>
      <c r="R82" s="668"/>
      <c r="S82" s="665"/>
      <c r="T82" s="669"/>
      <c r="U82" s="669"/>
      <c r="V82" s="665"/>
      <c r="W82" s="670"/>
      <c r="X82" s="670"/>
      <c r="Y82" s="671"/>
      <c r="Z82" s="671"/>
      <c r="AA82" s="672"/>
      <c r="AB82" s="673"/>
      <c r="AC82" s="673"/>
      <c r="AD82" s="673"/>
      <c r="AE82" s="673"/>
      <c r="AF82" s="673"/>
      <c r="AG82" s="673"/>
      <c r="AH82" s="673"/>
      <c r="AI82" s="673"/>
      <c r="AJ82" s="673"/>
      <c r="AK82" s="673"/>
      <c r="AL82" s="673"/>
      <c r="AM82" s="673"/>
      <c r="AN82" s="673"/>
      <c r="AO82" s="673"/>
      <c r="AP82" s="673"/>
      <c r="AQ82" s="673"/>
      <c r="AR82" s="673"/>
      <c r="AS82" s="673"/>
    </row>
    <row r="83">
      <c r="A83" s="653"/>
      <c r="B83" s="654"/>
      <c r="C83" s="655"/>
      <c r="D83" s="656"/>
      <c r="E83" s="657"/>
      <c r="F83" s="658"/>
      <c r="G83" s="659"/>
      <c r="H83" s="660"/>
      <c r="I83" s="659"/>
      <c r="J83" s="661"/>
      <c r="K83" s="658"/>
      <c r="L83" s="662"/>
      <c r="M83" s="663"/>
      <c r="N83" s="664"/>
      <c r="O83" s="665"/>
      <c r="P83" s="666"/>
      <c r="Q83" s="667"/>
      <c r="R83" s="668"/>
      <c r="S83" s="665"/>
      <c r="T83" s="669"/>
      <c r="U83" s="669"/>
      <c r="V83" s="665"/>
      <c r="W83" s="670"/>
      <c r="X83" s="670"/>
      <c r="Y83" s="671"/>
      <c r="Z83" s="671"/>
      <c r="AA83" s="672"/>
      <c r="AB83" s="673"/>
      <c r="AC83" s="673"/>
      <c r="AD83" s="673"/>
      <c r="AE83" s="673"/>
      <c r="AF83" s="673"/>
      <c r="AG83" s="673"/>
      <c r="AH83" s="673"/>
      <c r="AI83" s="673"/>
      <c r="AJ83" s="673"/>
      <c r="AK83" s="673"/>
      <c r="AL83" s="673"/>
      <c r="AM83" s="673"/>
      <c r="AN83" s="673"/>
      <c r="AO83" s="673"/>
      <c r="AP83" s="673"/>
      <c r="AQ83" s="673"/>
      <c r="AR83" s="673"/>
      <c r="AS83" s="673"/>
    </row>
    <row r="84">
      <c r="A84" s="653"/>
      <c r="B84" s="654"/>
      <c r="C84" s="655"/>
      <c r="D84" s="656"/>
      <c r="E84" s="657"/>
      <c r="F84" s="658"/>
      <c r="G84" s="659"/>
      <c r="H84" s="660"/>
      <c r="I84" s="659"/>
      <c r="J84" s="661"/>
      <c r="K84" s="658"/>
      <c r="L84" s="662"/>
      <c r="M84" s="663"/>
      <c r="N84" s="664"/>
      <c r="O84" s="665"/>
      <c r="P84" s="666"/>
      <c r="Q84" s="667"/>
      <c r="R84" s="668"/>
      <c r="S84" s="665"/>
      <c r="T84" s="669"/>
      <c r="U84" s="669"/>
      <c r="V84" s="665"/>
      <c r="W84" s="670"/>
      <c r="X84" s="670"/>
      <c r="Y84" s="671"/>
      <c r="Z84" s="671"/>
      <c r="AA84" s="672"/>
      <c r="AB84" s="673"/>
      <c r="AC84" s="673"/>
      <c r="AD84" s="673"/>
      <c r="AE84" s="673"/>
      <c r="AF84" s="673"/>
      <c r="AG84" s="673"/>
      <c r="AH84" s="673"/>
      <c r="AI84" s="673"/>
      <c r="AJ84" s="673"/>
      <c r="AK84" s="673"/>
      <c r="AL84" s="673"/>
      <c r="AM84" s="673"/>
      <c r="AN84" s="673"/>
      <c r="AO84" s="673"/>
      <c r="AP84" s="673"/>
      <c r="AQ84" s="673"/>
      <c r="AR84" s="673"/>
      <c r="AS84" s="673"/>
    </row>
    <row r="85">
      <c r="A85" s="653"/>
      <c r="B85" s="654"/>
      <c r="C85" s="655"/>
      <c r="D85" s="656"/>
      <c r="E85" s="657"/>
      <c r="F85" s="658"/>
      <c r="G85" s="659"/>
      <c r="H85" s="660"/>
      <c r="I85" s="659"/>
      <c r="J85" s="661"/>
      <c r="K85" s="658"/>
      <c r="L85" s="662"/>
      <c r="M85" s="663"/>
      <c r="N85" s="664"/>
      <c r="O85" s="665"/>
      <c r="P85" s="666"/>
      <c r="Q85" s="667"/>
      <c r="R85" s="668"/>
      <c r="S85" s="665"/>
      <c r="T85" s="669"/>
      <c r="U85" s="669"/>
      <c r="V85" s="665"/>
      <c r="W85" s="670"/>
      <c r="X85" s="670"/>
      <c r="Y85" s="671"/>
      <c r="Z85" s="671"/>
      <c r="AA85" s="672"/>
      <c r="AB85" s="673"/>
      <c r="AC85" s="673"/>
      <c r="AD85" s="673"/>
      <c r="AE85" s="673"/>
      <c r="AF85" s="673"/>
      <c r="AG85" s="673"/>
      <c r="AH85" s="673"/>
      <c r="AI85" s="673"/>
      <c r="AJ85" s="673"/>
      <c r="AK85" s="673"/>
      <c r="AL85" s="673"/>
      <c r="AM85" s="673"/>
      <c r="AN85" s="673"/>
      <c r="AO85" s="673"/>
      <c r="AP85" s="673"/>
      <c r="AQ85" s="673"/>
      <c r="AR85" s="673"/>
      <c r="AS85" s="673"/>
    </row>
    <row r="86">
      <c r="A86" s="653"/>
      <c r="B86" s="654"/>
      <c r="C86" s="655"/>
      <c r="D86" s="656"/>
      <c r="E86" s="657"/>
      <c r="F86" s="658"/>
      <c r="G86" s="659"/>
      <c r="H86" s="660"/>
      <c r="I86" s="659"/>
      <c r="J86" s="661"/>
      <c r="K86" s="658"/>
      <c r="L86" s="662"/>
      <c r="M86" s="663"/>
      <c r="N86" s="664"/>
      <c r="O86" s="665"/>
      <c r="P86" s="666"/>
      <c r="Q86" s="667"/>
      <c r="R86" s="668"/>
      <c r="S86" s="665"/>
      <c r="T86" s="669"/>
      <c r="U86" s="669"/>
      <c r="V86" s="665"/>
      <c r="W86" s="670"/>
      <c r="X86" s="670"/>
      <c r="Y86" s="671"/>
      <c r="Z86" s="671"/>
      <c r="AA86" s="672"/>
      <c r="AB86" s="673"/>
      <c r="AC86" s="673"/>
      <c r="AD86" s="673"/>
      <c r="AE86" s="673"/>
      <c r="AF86" s="673"/>
      <c r="AG86" s="673"/>
      <c r="AH86" s="673"/>
      <c r="AI86" s="673"/>
      <c r="AJ86" s="673"/>
      <c r="AK86" s="673"/>
      <c r="AL86" s="673"/>
      <c r="AM86" s="673"/>
      <c r="AN86" s="673"/>
      <c r="AO86" s="673"/>
      <c r="AP86" s="673"/>
      <c r="AQ86" s="673"/>
      <c r="AR86" s="673"/>
      <c r="AS86" s="673"/>
    </row>
    <row r="87">
      <c r="A87" s="653"/>
      <c r="B87" s="654"/>
      <c r="C87" s="655"/>
      <c r="D87" s="656"/>
      <c r="E87" s="657"/>
      <c r="F87" s="658"/>
      <c r="G87" s="659"/>
      <c r="H87" s="660"/>
      <c r="I87" s="659"/>
      <c r="J87" s="661"/>
      <c r="K87" s="658"/>
      <c r="L87" s="662"/>
      <c r="M87" s="663"/>
      <c r="N87" s="664"/>
      <c r="O87" s="665"/>
      <c r="P87" s="666"/>
      <c r="Q87" s="667"/>
      <c r="R87" s="668"/>
      <c r="S87" s="665"/>
      <c r="T87" s="669"/>
      <c r="U87" s="669"/>
      <c r="V87" s="665"/>
      <c r="W87" s="670"/>
      <c r="X87" s="670"/>
      <c r="Y87" s="671"/>
      <c r="Z87" s="671"/>
      <c r="AA87" s="672"/>
      <c r="AB87" s="673"/>
      <c r="AC87" s="673"/>
      <c r="AD87" s="673"/>
      <c r="AE87" s="673"/>
      <c r="AF87" s="673"/>
      <c r="AG87" s="673"/>
      <c r="AH87" s="673"/>
      <c r="AI87" s="673"/>
      <c r="AJ87" s="673"/>
      <c r="AK87" s="673"/>
      <c r="AL87" s="673"/>
      <c r="AM87" s="673"/>
      <c r="AN87" s="673"/>
      <c r="AO87" s="673"/>
      <c r="AP87" s="673"/>
      <c r="AQ87" s="673"/>
      <c r="AR87" s="673"/>
      <c r="AS87" s="673"/>
    </row>
    <row r="88">
      <c r="A88" s="653"/>
      <c r="B88" s="654"/>
      <c r="C88" s="655"/>
      <c r="D88" s="656"/>
      <c r="E88" s="657"/>
      <c r="F88" s="658"/>
      <c r="G88" s="659"/>
      <c r="H88" s="660"/>
      <c r="I88" s="659"/>
      <c r="J88" s="661"/>
      <c r="K88" s="658"/>
      <c r="L88" s="662"/>
      <c r="M88" s="663"/>
      <c r="N88" s="664"/>
      <c r="O88" s="665"/>
      <c r="P88" s="666"/>
      <c r="Q88" s="667"/>
      <c r="R88" s="668"/>
      <c r="S88" s="665"/>
      <c r="T88" s="669"/>
      <c r="U88" s="669"/>
      <c r="V88" s="665"/>
      <c r="W88" s="670"/>
      <c r="X88" s="670"/>
      <c r="Y88" s="671"/>
      <c r="Z88" s="671"/>
      <c r="AA88" s="672"/>
      <c r="AB88" s="673"/>
      <c r="AC88" s="673"/>
      <c r="AD88" s="673"/>
      <c r="AE88" s="673"/>
      <c r="AF88" s="673"/>
      <c r="AG88" s="673"/>
      <c r="AH88" s="673"/>
      <c r="AI88" s="673"/>
      <c r="AJ88" s="673"/>
      <c r="AK88" s="673"/>
      <c r="AL88" s="673"/>
      <c r="AM88" s="673"/>
      <c r="AN88" s="673"/>
      <c r="AO88" s="673"/>
      <c r="AP88" s="673"/>
      <c r="AQ88" s="673"/>
      <c r="AR88" s="673"/>
      <c r="AS88" s="673"/>
    </row>
    <row r="89">
      <c r="A89" s="653"/>
      <c r="B89" s="654"/>
      <c r="C89" s="655"/>
      <c r="D89" s="656"/>
      <c r="E89" s="657"/>
      <c r="F89" s="658"/>
      <c r="G89" s="659"/>
      <c r="H89" s="660"/>
      <c r="I89" s="659"/>
      <c r="J89" s="661"/>
      <c r="K89" s="658"/>
      <c r="L89" s="662"/>
      <c r="M89" s="663"/>
      <c r="N89" s="664"/>
      <c r="O89" s="665"/>
      <c r="P89" s="666"/>
      <c r="Q89" s="667"/>
      <c r="R89" s="668"/>
      <c r="S89" s="665"/>
      <c r="T89" s="669"/>
      <c r="U89" s="669"/>
      <c r="V89" s="665"/>
      <c r="W89" s="670"/>
      <c r="X89" s="670"/>
      <c r="Y89" s="671"/>
      <c r="Z89" s="671"/>
      <c r="AA89" s="672"/>
      <c r="AB89" s="673"/>
      <c r="AC89" s="673"/>
      <c r="AD89" s="673"/>
      <c r="AE89" s="673"/>
      <c r="AF89" s="673"/>
      <c r="AG89" s="673"/>
      <c r="AH89" s="673"/>
      <c r="AI89" s="673"/>
      <c r="AJ89" s="673"/>
      <c r="AK89" s="673"/>
      <c r="AL89" s="673"/>
      <c r="AM89" s="673"/>
      <c r="AN89" s="673"/>
      <c r="AO89" s="673"/>
      <c r="AP89" s="673"/>
      <c r="AQ89" s="673"/>
      <c r="AR89" s="673"/>
      <c r="AS89" s="673"/>
    </row>
    <row r="90">
      <c r="A90" s="653"/>
      <c r="B90" s="654"/>
      <c r="C90" s="655"/>
      <c r="D90" s="656"/>
      <c r="E90" s="657"/>
      <c r="F90" s="658"/>
      <c r="G90" s="659"/>
      <c r="H90" s="660"/>
      <c r="I90" s="659"/>
      <c r="J90" s="661"/>
      <c r="K90" s="658"/>
      <c r="L90" s="662"/>
      <c r="M90" s="663"/>
      <c r="N90" s="664"/>
      <c r="O90" s="665"/>
      <c r="P90" s="666"/>
      <c r="Q90" s="667"/>
      <c r="R90" s="668"/>
      <c r="S90" s="665"/>
      <c r="T90" s="669"/>
      <c r="U90" s="669"/>
      <c r="V90" s="665"/>
      <c r="W90" s="670"/>
      <c r="X90" s="670"/>
      <c r="Y90" s="671"/>
      <c r="Z90" s="671"/>
      <c r="AA90" s="672"/>
      <c r="AB90" s="673"/>
      <c r="AC90" s="673"/>
      <c r="AD90" s="673"/>
      <c r="AE90" s="673"/>
      <c r="AF90" s="673"/>
      <c r="AG90" s="673"/>
      <c r="AH90" s="673"/>
      <c r="AI90" s="673"/>
      <c r="AJ90" s="673"/>
      <c r="AK90" s="673"/>
      <c r="AL90" s="673"/>
      <c r="AM90" s="673"/>
      <c r="AN90" s="673"/>
      <c r="AO90" s="673"/>
      <c r="AP90" s="673"/>
      <c r="AQ90" s="673"/>
      <c r="AR90" s="673"/>
      <c r="AS90" s="673"/>
    </row>
    <row r="91">
      <c r="A91" s="653"/>
      <c r="B91" s="654"/>
      <c r="C91" s="655"/>
      <c r="D91" s="656"/>
      <c r="E91" s="657"/>
      <c r="F91" s="658"/>
      <c r="G91" s="659"/>
      <c r="H91" s="660"/>
      <c r="I91" s="659"/>
      <c r="J91" s="661"/>
      <c r="K91" s="658"/>
      <c r="L91" s="662"/>
      <c r="M91" s="663"/>
      <c r="N91" s="664"/>
      <c r="O91" s="665"/>
      <c r="P91" s="666"/>
      <c r="Q91" s="667"/>
      <c r="R91" s="668"/>
      <c r="S91" s="665"/>
      <c r="T91" s="669"/>
      <c r="U91" s="669"/>
      <c r="V91" s="665"/>
      <c r="W91" s="670"/>
      <c r="X91" s="670"/>
      <c r="Y91" s="671"/>
      <c r="Z91" s="671"/>
      <c r="AA91" s="672"/>
      <c r="AB91" s="673"/>
      <c r="AC91" s="673"/>
      <c r="AD91" s="673"/>
      <c r="AE91" s="673"/>
      <c r="AF91" s="673"/>
      <c r="AG91" s="673"/>
      <c r="AH91" s="673"/>
      <c r="AI91" s="673"/>
      <c r="AJ91" s="673"/>
      <c r="AK91" s="673"/>
      <c r="AL91" s="673"/>
      <c r="AM91" s="673"/>
      <c r="AN91" s="673"/>
      <c r="AO91" s="673"/>
      <c r="AP91" s="673"/>
      <c r="AQ91" s="673"/>
      <c r="AR91" s="673"/>
      <c r="AS91" s="673"/>
    </row>
    <row r="92">
      <c r="A92" s="653"/>
      <c r="B92" s="654"/>
      <c r="C92" s="655"/>
      <c r="D92" s="656"/>
      <c r="E92" s="657"/>
      <c r="F92" s="658"/>
      <c r="G92" s="659"/>
      <c r="H92" s="660"/>
      <c r="I92" s="659"/>
      <c r="J92" s="661"/>
      <c r="K92" s="658"/>
      <c r="L92" s="662"/>
      <c r="M92" s="663"/>
      <c r="N92" s="664"/>
      <c r="O92" s="665"/>
      <c r="P92" s="666"/>
      <c r="Q92" s="667"/>
      <c r="R92" s="668"/>
      <c r="S92" s="665"/>
      <c r="T92" s="669"/>
      <c r="U92" s="669"/>
      <c r="V92" s="665"/>
      <c r="W92" s="670"/>
      <c r="X92" s="670"/>
      <c r="Y92" s="671"/>
      <c r="Z92" s="671"/>
      <c r="AA92" s="672"/>
      <c r="AB92" s="673"/>
      <c r="AC92" s="673"/>
      <c r="AD92" s="673"/>
      <c r="AE92" s="673"/>
      <c r="AF92" s="673"/>
      <c r="AG92" s="673"/>
      <c r="AH92" s="673"/>
      <c r="AI92" s="673"/>
      <c r="AJ92" s="673"/>
      <c r="AK92" s="673"/>
      <c r="AL92" s="673"/>
      <c r="AM92" s="673"/>
      <c r="AN92" s="673"/>
      <c r="AO92" s="673"/>
      <c r="AP92" s="673"/>
      <c r="AQ92" s="673"/>
      <c r="AR92" s="673"/>
      <c r="AS92" s="673"/>
    </row>
    <row r="93">
      <c r="A93" s="653"/>
      <c r="B93" s="654"/>
      <c r="C93" s="655"/>
      <c r="D93" s="656"/>
      <c r="E93" s="657"/>
      <c r="F93" s="658"/>
      <c r="G93" s="659"/>
      <c r="H93" s="660"/>
      <c r="I93" s="659"/>
      <c r="J93" s="661"/>
      <c r="K93" s="658"/>
      <c r="L93" s="662"/>
      <c r="M93" s="663"/>
      <c r="N93" s="664"/>
      <c r="O93" s="665"/>
      <c r="P93" s="666"/>
      <c r="Q93" s="667"/>
      <c r="R93" s="668"/>
      <c r="S93" s="665"/>
      <c r="T93" s="669"/>
      <c r="U93" s="669"/>
      <c r="V93" s="665"/>
      <c r="W93" s="670"/>
      <c r="X93" s="670"/>
      <c r="Y93" s="671"/>
      <c r="Z93" s="671"/>
      <c r="AA93" s="672"/>
      <c r="AB93" s="673"/>
      <c r="AC93" s="673"/>
      <c r="AD93" s="673"/>
      <c r="AE93" s="673"/>
      <c r="AF93" s="673"/>
      <c r="AG93" s="673"/>
      <c r="AH93" s="673"/>
      <c r="AI93" s="673"/>
      <c r="AJ93" s="673"/>
      <c r="AK93" s="673"/>
      <c r="AL93" s="673"/>
      <c r="AM93" s="673"/>
      <c r="AN93" s="673"/>
      <c r="AO93" s="673"/>
      <c r="AP93" s="673"/>
      <c r="AQ93" s="673"/>
      <c r="AR93" s="673"/>
      <c r="AS93" s="673"/>
    </row>
    <row r="94">
      <c r="A94" s="653"/>
      <c r="B94" s="654"/>
      <c r="C94" s="655"/>
      <c r="D94" s="656"/>
      <c r="E94" s="657"/>
      <c r="F94" s="658"/>
      <c r="G94" s="659"/>
      <c r="H94" s="660"/>
      <c r="I94" s="659"/>
      <c r="J94" s="661"/>
      <c r="K94" s="658"/>
      <c r="L94" s="662"/>
      <c r="M94" s="663"/>
      <c r="N94" s="664"/>
      <c r="O94" s="665"/>
      <c r="P94" s="666"/>
      <c r="Q94" s="667"/>
      <c r="R94" s="668"/>
      <c r="S94" s="665"/>
      <c r="T94" s="669"/>
      <c r="U94" s="669"/>
      <c r="V94" s="665"/>
      <c r="W94" s="670"/>
      <c r="X94" s="670"/>
      <c r="Y94" s="671"/>
      <c r="Z94" s="671"/>
      <c r="AA94" s="672"/>
      <c r="AB94" s="673"/>
      <c r="AC94" s="673"/>
      <c r="AD94" s="673"/>
      <c r="AE94" s="673"/>
      <c r="AF94" s="673"/>
      <c r="AG94" s="673"/>
      <c r="AH94" s="673"/>
      <c r="AI94" s="673"/>
      <c r="AJ94" s="673"/>
      <c r="AK94" s="673"/>
      <c r="AL94" s="673"/>
      <c r="AM94" s="673"/>
      <c r="AN94" s="673"/>
      <c r="AO94" s="673"/>
      <c r="AP94" s="673"/>
      <c r="AQ94" s="673"/>
      <c r="AR94" s="673"/>
      <c r="AS94" s="673"/>
    </row>
    <row r="95">
      <c r="A95" s="653"/>
      <c r="B95" s="654"/>
      <c r="C95" s="655"/>
      <c r="D95" s="656"/>
      <c r="E95" s="657"/>
      <c r="F95" s="658"/>
      <c r="G95" s="659"/>
      <c r="H95" s="660"/>
      <c r="I95" s="659"/>
      <c r="J95" s="661"/>
      <c r="K95" s="658"/>
      <c r="L95" s="662"/>
      <c r="M95" s="663"/>
      <c r="N95" s="664"/>
      <c r="O95" s="665"/>
      <c r="P95" s="666"/>
      <c r="Q95" s="667"/>
      <c r="R95" s="668"/>
      <c r="S95" s="665"/>
      <c r="T95" s="669"/>
      <c r="U95" s="669"/>
      <c r="V95" s="665"/>
      <c r="W95" s="670"/>
      <c r="X95" s="670"/>
      <c r="Y95" s="671"/>
      <c r="Z95" s="671"/>
      <c r="AA95" s="672"/>
      <c r="AB95" s="673"/>
      <c r="AC95" s="673"/>
      <c r="AD95" s="673"/>
      <c r="AE95" s="673"/>
      <c r="AF95" s="673"/>
      <c r="AG95" s="673"/>
      <c r="AH95" s="673"/>
      <c r="AI95" s="673"/>
      <c r="AJ95" s="673"/>
      <c r="AK95" s="673"/>
      <c r="AL95" s="673"/>
      <c r="AM95" s="673"/>
      <c r="AN95" s="673"/>
      <c r="AO95" s="673"/>
      <c r="AP95" s="673"/>
      <c r="AQ95" s="673"/>
      <c r="AR95" s="673"/>
      <c r="AS95" s="673"/>
    </row>
    <row r="96">
      <c r="A96" s="653"/>
      <c r="B96" s="654"/>
      <c r="C96" s="655"/>
      <c r="D96" s="656"/>
      <c r="E96" s="657"/>
      <c r="F96" s="658"/>
      <c r="G96" s="659"/>
      <c r="H96" s="660"/>
      <c r="I96" s="659"/>
      <c r="J96" s="661"/>
      <c r="K96" s="658"/>
      <c r="L96" s="662"/>
      <c r="M96" s="663"/>
      <c r="N96" s="664"/>
      <c r="O96" s="665"/>
      <c r="P96" s="666"/>
      <c r="Q96" s="667"/>
      <c r="R96" s="668"/>
      <c r="S96" s="665"/>
      <c r="T96" s="669"/>
      <c r="U96" s="669"/>
      <c r="V96" s="665"/>
      <c r="W96" s="670"/>
      <c r="X96" s="670"/>
      <c r="Y96" s="671"/>
      <c r="Z96" s="671"/>
      <c r="AA96" s="672"/>
      <c r="AB96" s="673"/>
      <c r="AC96" s="673"/>
      <c r="AD96" s="673"/>
      <c r="AE96" s="673"/>
      <c r="AF96" s="673"/>
      <c r="AG96" s="673"/>
      <c r="AH96" s="673"/>
      <c r="AI96" s="673"/>
      <c r="AJ96" s="673"/>
      <c r="AK96" s="673"/>
      <c r="AL96" s="673"/>
      <c r="AM96" s="673"/>
      <c r="AN96" s="673"/>
      <c r="AO96" s="673"/>
      <c r="AP96" s="673"/>
      <c r="AQ96" s="673"/>
      <c r="AR96" s="673"/>
      <c r="AS96" s="673"/>
    </row>
    <row r="97">
      <c r="A97" s="653"/>
      <c r="B97" s="654"/>
      <c r="C97" s="655"/>
      <c r="D97" s="656"/>
      <c r="E97" s="657"/>
      <c r="F97" s="658"/>
      <c r="G97" s="659"/>
      <c r="H97" s="660"/>
      <c r="I97" s="659"/>
      <c r="J97" s="661"/>
      <c r="K97" s="658"/>
      <c r="L97" s="662"/>
      <c r="M97" s="663"/>
      <c r="N97" s="664"/>
      <c r="O97" s="665"/>
      <c r="P97" s="666"/>
      <c r="Q97" s="667"/>
      <c r="R97" s="668"/>
      <c r="S97" s="665"/>
      <c r="T97" s="669"/>
      <c r="U97" s="669"/>
      <c r="V97" s="665"/>
      <c r="W97" s="670"/>
      <c r="X97" s="670"/>
      <c r="Y97" s="671"/>
      <c r="Z97" s="671"/>
      <c r="AA97" s="672"/>
      <c r="AB97" s="673"/>
      <c r="AC97" s="673"/>
      <c r="AD97" s="673"/>
      <c r="AE97" s="673"/>
      <c r="AF97" s="673"/>
      <c r="AG97" s="673"/>
      <c r="AH97" s="673"/>
      <c r="AI97" s="673"/>
      <c r="AJ97" s="673"/>
      <c r="AK97" s="673"/>
      <c r="AL97" s="673"/>
      <c r="AM97" s="673"/>
      <c r="AN97" s="673"/>
      <c r="AO97" s="673"/>
      <c r="AP97" s="673"/>
      <c r="AQ97" s="673"/>
      <c r="AR97" s="673"/>
      <c r="AS97" s="673"/>
    </row>
    <row r="98">
      <c r="A98" s="653"/>
      <c r="B98" s="654"/>
      <c r="C98" s="655"/>
      <c r="D98" s="656"/>
      <c r="E98" s="657"/>
      <c r="F98" s="658"/>
      <c r="G98" s="659"/>
      <c r="H98" s="660"/>
      <c r="I98" s="659"/>
      <c r="J98" s="661"/>
      <c r="K98" s="658"/>
      <c r="L98" s="662"/>
      <c r="M98" s="663"/>
      <c r="N98" s="664"/>
      <c r="O98" s="665"/>
      <c r="P98" s="666"/>
      <c r="Q98" s="667"/>
      <c r="R98" s="668"/>
      <c r="S98" s="665"/>
      <c r="T98" s="669"/>
      <c r="U98" s="669"/>
      <c r="V98" s="665"/>
      <c r="W98" s="670"/>
      <c r="X98" s="670"/>
      <c r="Y98" s="671"/>
      <c r="Z98" s="671"/>
      <c r="AA98" s="672"/>
      <c r="AB98" s="673"/>
      <c r="AC98" s="673"/>
      <c r="AD98" s="673"/>
      <c r="AE98" s="673"/>
      <c r="AF98" s="673"/>
      <c r="AG98" s="673"/>
      <c r="AH98" s="673"/>
      <c r="AI98" s="673"/>
      <c r="AJ98" s="673"/>
      <c r="AK98" s="673"/>
      <c r="AL98" s="673"/>
      <c r="AM98" s="673"/>
      <c r="AN98" s="673"/>
      <c r="AO98" s="673"/>
      <c r="AP98" s="673"/>
      <c r="AQ98" s="673"/>
      <c r="AR98" s="673"/>
      <c r="AS98" s="673"/>
    </row>
    <row r="99">
      <c r="A99" s="653"/>
      <c r="B99" s="654"/>
      <c r="C99" s="655"/>
      <c r="D99" s="656"/>
      <c r="E99" s="657"/>
      <c r="F99" s="658"/>
      <c r="G99" s="659"/>
      <c r="H99" s="660"/>
      <c r="I99" s="659"/>
      <c r="J99" s="661"/>
      <c r="K99" s="658"/>
      <c r="L99" s="662"/>
      <c r="M99" s="663"/>
      <c r="N99" s="664"/>
      <c r="O99" s="665"/>
      <c r="P99" s="666"/>
      <c r="Q99" s="667"/>
      <c r="R99" s="668"/>
      <c r="S99" s="665"/>
      <c r="T99" s="669"/>
      <c r="U99" s="669"/>
      <c r="V99" s="665"/>
      <c r="W99" s="670"/>
      <c r="X99" s="670"/>
      <c r="Y99" s="671"/>
      <c r="Z99" s="671"/>
      <c r="AA99" s="672"/>
      <c r="AB99" s="673"/>
      <c r="AC99" s="673"/>
      <c r="AD99" s="673"/>
      <c r="AE99" s="673"/>
      <c r="AF99" s="673"/>
      <c r="AG99" s="673"/>
      <c r="AH99" s="673"/>
      <c r="AI99" s="673"/>
      <c r="AJ99" s="673"/>
      <c r="AK99" s="673"/>
      <c r="AL99" s="673"/>
      <c r="AM99" s="673"/>
      <c r="AN99" s="673"/>
      <c r="AO99" s="673"/>
      <c r="AP99" s="673"/>
      <c r="AQ99" s="673"/>
      <c r="AR99" s="673"/>
      <c r="AS99" s="673"/>
    </row>
    <row r="100">
      <c r="A100" s="653"/>
      <c r="B100" s="654"/>
      <c r="C100" s="655"/>
      <c r="D100" s="656"/>
      <c r="E100" s="657"/>
      <c r="F100" s="658"/>
      <c r="G100" s="659"/>
      <c r="H100" s="660"/>
      <c r="I100" s="659"/>
      <c r="J100" s="661"/>
      <c r="K100" s="658"/>
      <c r="L100" s="662"/>
      <c r="M100" s="663"/>
      <c r="N100" s="664"/>
      <c r="O100" s="665"/>
      <c r="P100" s="666"/>
      <c r="Q100" s="667"/>
      <c r="R100" s="668"/>
      <c r="S100" s="665"/>
      <c r="T100" s="669"/>
      <c r="U100" s="669"/>
      <c r="V100" s="665"/>
      <c r="W100" s="670"/>
      <c r="X100" s="670"/>
      <c r="Y100" s="671"/>
      <c r="Z100" s="671"/>
      <c r="AA100" s="672"/>
      <c r="AB100" s="673"/>
      <c r="AC100" s="673"/>
      <c r="AD100" s="673"/>
      <c r="AE100" s="673"/>
      <c r="AF100" s="673"/>
      <c r="AG100" s="673"/>
      <c r="AH100" s="673"/>
      <c r="AI100" s="673"/>
      <c r="AJ100" s="673"/>
      <c r="AK100" s="673"/>
      <c r="AL100" s="673"/>
      <c r="AM100" s="673"/>
      <c r="AN100" s="673"/>
      <c r="AO100" s="673"/>
      <c r="AP100" s="673"/>
      <c r="AQ100" s="673"/>
      <c r="AR100" s="673"/>
      <c r="AS100" s="673"/>
    </row>
    <row r="101">
      <c r="A101" s="653"/>
      <c r="B101" s="654"/>
      <c r="C101" s="655"/>
      <c r="D101" s="656"/>
      <c r="E101" s="657"/>
      <c r="F101" s="658"/>
      <c r="G101" s="659"/>
      <c r="H101" s="660"/>
      <c r="I101" s="659"/>
      <c r="J101" s="661"/>
      <c r="K101" s="658"/>
      <c r="L101" s="662"/>
      <c r="M101" s="663"/>
      <c r="N101" s="664"/>
      <c r="O101" s="665"/>
      <c r="P101" s="666"/>
      <c r="Q101" s="667"/>
      <c r="R101" s="668"/>
      <c r="S101" s="665"/>
      <c r="T101" s="669"/>
      <c r="U101" s="669"/>
      <c r="V101" s="665"/>
      <c r="W101" s="670"/>
      <c r="X101" s="670"/>
      <c r="Y101" s="671"/>
      <c r="Z101" s="671"/>
      <c r="AA101" s="672"/>
      <c r="AB101" s="673"/>
      <c r="AC101" s="673"/>
      <c r="AD101" s="673"/>
      <c r="AE101" s="673"/>
      <c r="AF101" s="673"/>
      <c r="AG101" s="673"/>
      <c r="AH101" s="673"/>
      <c r="AI101" s="673"/>
      <c r="AJ101" s="673"/>
      <c r="AK101" s="673"/>
      <c r="AL101" s="673"/>
      <c r="AM101" s="673"/>
      <c r="AN101" s="673"/>
      <c r="AO101" s="673"/>
      <c r="AP101" s="673"/>
      <c r="AQ101" s="673"/>
      <c r="AR101" s="673"/>
      <c r="AS101" s="673"/>
    </row>
    <row r="102">
      <c r="A102" s="653"/>
      <c r="B102" s="654"/>
      <c r="C102" s="655"/>
      <c r="D102" s="656"/>
      <c r="E102" s="657"/>
      <c r="F102" s="658"/>
      <c r="G102" s="659"/>
      <c r="H102" s="660"/>
      <c r="I102" s="659"/>
      <c r="J102" s="661"/>
      <c r="K102" s="658"/>
      <c r="L102" s="662"/>
      <c r="M102" s="663"/>
      <c r="N102" s="664"/>
      <c r="O102" s="665"/>
      <c r="P102" s="666"/>
      <c r="Q102" s="667"/>
      <c r="R102" s="668"/>
      <c r="S102" s="665"/>
      <c r="T102" s="669"/>
      <c r="U102" s="669"/>
      <c r="V102" s="665"/>
      <c r="W102" s="670"/>
      <c r="X102" s="670"/>
      <c r="Y102" s="671"/>
      <c r="Z102" s="671"/>
      <c r="AA102" s="672"/>
      <c r="AB102" s="673"/>
      <c r="AC102" s="673"/>
      <c r="AD102" s="673"/>
      <c r="AE102" s="673"/>
      <c r="AF102" s="673"/>
      <c r="AG102" s="673"/>
      <c r="AH102" s="673"/>
      <c r="AI102" s="673"/>
      <c r="AJ102" s="673"/>
      <c r="AK102" s="673"/>
      <c r="AL102" s="673"/>
      <c r="AM102" s="673"/>
      <c r="AN102" s="673"/>
      <c r="AO102" s="673"/>
      <c r="AP102" s="673"/>
      <c r="AQ102" s="673"/>
      <c r="AR102" s="673"/>
      <c r="AS102" s="673"/>
    </row>
    <row r="103">
      <c r="A103" s="653"/>
      <c r="B103" s="654"/>
      <c r="C103" s="655"/>
      <c r="D103" s="656"/>
      <c r="E103" s="657"/>
      <c r="F103" s="658"/>
      <c r="G103" s="659"/>
      <c r="H103" s="660"/>
      <c r="I103" s="659"/>
      <c r="J103" s="661"/>
      <c r="K103" s="658"/>
      <c r="L103" s="662"/>
      <c r="M103" s="663"/>
      <c r="N103" s="664"/>
      <c r="O103" s="665"/>
      <c r="P103" s="666"/>
      <c r="Q103" s="667"/>
      <c r="R103" s="668"/>
      <c r="S103" s="665"/>
      <c r="T103" s="669"/>
      <c r="U103" s="669"/>
      <c r="V103" s="665"/>
      <c r="W103" s="670"/>
      <c r="X103" s="670"/>
      <c r="Y103" s="671"/>
      <c r="Z103" s="671"/>
      <c r="AA103" s="672"/>
      <c r="AB103" s="673"/>
      <c r="AC103" s="673"/>
      <c r="AD103" s="673"/>
      <c r="AE103" s="673"/>
      <c r="AF103" s="673"/>
      <c r="AG103" s="673"/>
      <c r="AH103" s="673"/>
      <c r="AI103" s="673"/>
      <c r="AJ103" s="673"/>
      <c r="AK103" s="673"/>
      <c r="AL103" s="673"/>
      <c r="AM103" s="673"/>
      <c r="AN103" s="673"/>
      <c r="AO103" s="673"/>
      <c r="AP103" s="673"/>
      <c r="AQ103" s="673"/>
      <c r="AR103" s="673"/>
      <c r="AS103" s="673"/>
    </row>
    <row r="104">
      <c r="A104" s="653"/>
      <c r="B104" s="654"/>
      <c r="C104" s="655"/>
      <c r="D104" s="656"/>
      <c r="E104" s="657"/>
      <c r="F104" s="658"/>
      <c r="G104" s="659"/>
      <c r="H104" s="660"/>
      <c r="I104" s="659"/>
      <c r="J104" s="661"/>
      <c r="K104" s="658"/>
      <c r="L104" s="662"/>
      <c r="M104" s="663"/>
      <c r="N104" s="664"/>
      <c r="O104" s="665"/>
      <c r="P104" s="666"/>
      <c r="Q104" s="667"/>
      <c r="R104" s="668"/>
      <c r="S104" s="665"/>
      <c r="T104" s="669"/>
      <c r="U104" s="669"/>
      <c r="V104" s="665"/>
      <c r="W104" s="670"/>
      <c r="X104" s="670"/>
      <c r="Y104" s="671"/>
      <c r="Z104" s="671"/>
      <c r="AA104" s="672"/>
      <c r="AB104" s="673"/>
      <c r="AC104" s="673"/>
      <c r="AD104" s="673"/>
      <c r="AE104" s="673"/>
      <c r="AF104" s="673"/>
      <c r="AG104" s="673"/>
      <c r="AH104" s="673"/>
      <c r="AI104" s="673"/>
      <c r="AJ104" s="673"/>
      <c r="AK104" s="673"/>
      <c r="AL104" s="673"/>
      <c r="AM104" s="673"/>
      <c r="AN104" s="673"/>
      <c r="AO104" s="673"/>
      <c r="AP104" s="673"/>
      <c r="AQ104" s="673"/>
      <c r="AR104" s="673"/>
      <c r="AS104" s="673"/>
    </row>
    <row r="105">
      <c r="A105" s="653"/>
      <c r="B105" s="654"/>
      <c r="C105" s="655"/>
      <c r="D105" s="656"/>
      <c r="E105" s="657"/>
      <c r="F105" s="658"/>
      <c r="G105" s="659"/>
      <c r="H105" s="660"/>
      <c r="I105" s="659"/>
      <c r="J105" s="661"/>
      <c r="K105" s="658"/>
      <c r="L105" s="662"/>
      <c r="M105" s="663"/>
      <c r="N105" s="664"/>
      <c r="O105" s="665"/>
      <c r="P105" s="666"/>
      <c r="Q105" s="667"/>
      <c r="R105" s="668"/>
      <c r="S105" s="665"/>
      <c r="T105" s="669"/>
      <c r="U105" s="669"/>
      <c r="V105" s="665"/>
      <c r="W105" s="670"/>
      <c r="X105" s="670"/>
      <c r="Y105" s="671"/>
      <c r="Z105" s="671"/>
      <c r="AA105" s="672"/>
      <c r="AB105" s="673"/>
      <c r="AC105" s="673"/>
      <c r="AD105" s="673"/>
      <c r="AE105" s="673"/>
      <c r="AF105" s="673"/>
      <c r="AG105" s="673"/>
      <c r="AH105" s="673"/>
      <c r="AI105" s="673"/>
      <c r="AJ105" s="673"/>
      <c r="AK105" s="673"/>
      <c r="AL105" s="673"/>
      <c r="AM105" s="673"/>
      <c r="AN105" s="673"/>
      <c r="AO105" s="673"/>
      <c r="AP105" s="673"/>
      <c r="AQ105" s="673"/>
      <c r="AR105" s="673"/>
      <c r="AS105" s="673"/>
    </row>
    <row r="106">
      <c r="A106" s="653"/>
      <c r="B106" s="654"/>
      <c r="C106" s="655"/>
      <c r="D106" s="656"/>
      <c r="E106" s="657"/>
      <c r="F106" s="658"/>
      <c r="G106" s="659"/>
      <c r="H106" s="660"/>
      <c r="I106" s="659"/>
      <c r="J106" s="661"/>
      <c r="K106" s="658"/>
      <c r="L106" s="662"/>
      <c r="M106" s="663"/>
      <c r="N106" s="664"/>
      <c r="O106" s="665"/>
      <c r="P106" s="666"/>
      <c r="Q106" s="667"/>
      <c r="R106" s="668"/>
      <c r="S106" s="665"/>
      <c r="T106" s="669"/>
      <c r="U106" s="669"/>
      <c r="V106" s="665"/>
      <c r="W106" s="670"/>
      <c r="X106" s="670"/>
      <c r="Y106" s="671"/>
      <c r="Z106" s="671"/>
      <c r="AA106" s="672"/>
      <c r="AB106" s="673"/>
      <c r="AC106" s="673"/>
      <c r="AD106" s="673"/>
      <c r="AE106" s="673"/>
      <c r="AF106" s="673"/>
      <c r="AG106" s="673"/>
      <c r="AH106" s="673"/>
      <c r="AI106" s="673"/>
      <c r="AJ106" s="673"/>
      <c r="AK106" s="673"/>
      <c r="AL106" s="673"/>
      <c r="AM106" s="673"/>
      <c r="AN106" s="673"/>
      <c r="AO106" s="673"/>
      <c r="AP106" s="673"/>
      <c r="AQ106" s="673"/>
      <c r="AR106" s="673"/>
      <c r="AS106" s="673"/>
    </row>
    <row r="107">
      <c r="A107" s="653"/>
      <c r="B107" s="654"/>
      <c r="C107" s="655"/>
      <c r="D107" s="656"/>
      <c r="E107" s="657"/>
      <c r="F107" s="658"/>
      <c r="G107" s="659"/>
      <c r="H107" s="660"/>
      <c r="I107" s="659"/>
      <c r="J107" s="661"/>
      <c r="K107" s="658"/>
      <c r="L107" s="662"/>
      <c r="M107" s="663"/>
      <c r="N107" s="664"/>
      <c r="O107" s="665"/>
      <c r="P107" s="666"/>
      <c r="Q107" s="667"/>
      <c r="R107" s="668"/>
      <c r="S107" s="665"/>
      <c r="T107" s="669"/>
      <c r="U107" s="669"/>
      <c r="V107" s="665"/>
      <c r="W107" s="670"/>
      <c r="X107" s="670"/>
      <c r="Y107" s="671"/>
      <c r="Z107" s="671"/>
      <c r="AA107" s="672"/>
      <c r="AB107" s="673"/>
      <c r="AC107" s="673"/>
      <c r="AD107" s="673"/>
      <c r="AE107" s="673"/>
      <c r="AF107" s="673"/>
      <c r="AG107" s="673"/>
      <c r="AH107" s="673"/>
      <c r="AI107" s="673"/>
      <c r="AJ107" s="673"/>
      <c r="AK107" s="673"/>
      <c r="AL107" s="673"/>
      <c r="AM107" s="673"/>
      <c r="AN107" s="673"/>
      <c r="AO107" s="673"/>
      <c r="AP107" s="673"/>
      <c r="AQ107" s="673"/>
      <c r="AR107" s="673"/>
      <c r="AS107" s="673"/>
    </row>
    <row r="108">
      <c r="A108" s="653"/>
      <c r="B108" s="654"/>
      <c r="C108" s="655"/>
      <c r="D108" s="656"/>
      <c r="E108" s="657"/>
      <c r="F108" s="658"/>
      <c r="G108" s="659"/>
      <c r="H108" s="660"/>
      <c r="I108" s="659"/>
      <c r="J108" s="661"/>
      <c r="K108" s="658"/>
      <c r="L108" s="662"/>
      <c r="M108" s="663"/>
      <c r="N108" s="664"/>
      <c r="O108" s="665"/>
      <c r="P108" s="666"/>
      <c r="Q108" s="667"/>
      <c r="R108" s="668"/>
      <c r="S108" s="665"/>
      <c r="T108" s="669"/>
      <c r="U108" s="669"/>
      <c r="V108" s="665"/>
      <c r="W108" s="670"/>
      <c r="X108" s="670"/>
      <c r="Y108" s="671"/>
      <c r="Z108" s="671"/>
      <c r="AA108" s="672"/>
      <c r="AB108" s="673"/>
      <c r="AC108" s="673"/>
      <c r="AD108" s="673"/>
      <c r="AE108" s="673"/>
      <c r="AF108" s="673"/>
      <c r="AG108" s="673"/>
      <c r="AH108" s="673"/>
      <c r="AI108" s="673"/>
      <c r="AJ108" s="673"/>
      <c r="AK108" s="673"/>
      <c r="AL108" s="673"/>
      <c r="AM108" s="673"/>
      <c r="AN108" s="673"/>
      <c r="AO108" s="673"/>
      <c r="AP108" s="673"/>
      <c r="AQ108" s="673"/>
      <c r="AR108" s="673"/>
      <c r="AS108" s="673"/>
    </row>
    <row r="109">
      <c r="A109" s="653"/>
      <c r="B109" s="654"/>
      <c r="C109" s="655"/>
      <c r="D109" s="656"/>
      <c r="E109" s="657"/>
      <c r="F109" s="658"/>
      <c r="G109" s="659"/>
      <c r="H109" s="660"/>
      <c r="I109" s="659"/>
      <c r="J109" s="661"/>
      <c r="K109" s="658"/>
      <c r="L109" s="662"/>
      <c r="M109" s="663"/>
      <c r="N109" s="664"/>
      <c r="O109" s="665"/>
      <c r="P109" s="666"/>
      <c r="Q109" s="667"/>
      <c r="R109" s="668"/>
      <c r="S109" s="665"/>
      <c r="T109" s="669"/>
      <c r="U109" s="669"/>
      <c r="V109" s="665"/>
      <c r="W109" s="670"/>
      <c r="X109" s="670"/>
      <c r="Y109" s="671"/>
      <c r="Z109" s="671"/>
      <c r="AA109" s="672"/>
      <c r="AB109" s="673"/>
      <c r="AC109" s="673"/>
      <c r="AD109" s="673"/>
      <c r="AE109" s="673"/>
      <c r="AF109" s="673"/>
      <c r="AG109" s="673"/>
      <c r="AH109" s="673"/>
      <c r="AI109" s="673"/>
      <c r="AJ109" s="673"/>
      <c r="AK109" s="673"/>
      <c r="AL109" s="673"/>
      <c r="AM109" s="673"/>
      <c r="AN109" s="673"/>
      <c r="AO109" s="673"/>
      <c r="AP109" s="673"/>
      <c r="AQ109" s="673"/>
      <c r="AR109" s="673"/>
      <c r="AS109" s="673"/>
    </row>
    <row r="110">
      <c r="A110" s="653"/>
      <c r="B110" s="654"/>
      <c r="C110" s="655"/>
      <c r="D110" s="656"/>
      <c r="E110" s="657"/>
      <c r="F110" s="658"/>
      <c r="G110" s="659"/>
      <c r="H110" s="660"/>
      <c r="I110" s="659"/>
      <c r="J110" s="661"/>
      <c r="K110" s="658"/>
      <c r="L110" s="662"/>
      <c r="M110" s="663"/>
      <c r="N110" s="664"/>
      <c r="O110" s="665"/>
      <c r="P110" s="666"/>
      <c r="Q110" s="667"/>
      <c r="R110" s="668"/>
      <c r="S110" s="665"/>
      <c r="T110" s="669"/>
      <c r="U110" s="669"/>
      <c r="V110" s="665"/>
      <c r="W110" s="670"/>
      <c r="X110" s="670"/>
      <c r="Y110" s="671"/>
      <c r="Z110" s="671"/>
      <c r="AA110" s="672"/>
      <c r="AB110" s="673"/>
      <c r="AC110" s="673"/>
      <c r="AD110" s="673"/>
      <c r="AE110" s="673"/>
      <c r="AF110" s="673"/>
      <c r="AG110" s="673"/>
      <c r="AH110" s="673"/>
      <c r="AI110" s="673"/>
      <c r="AJ110" s="673"/>
      <c r="AK110" s="673"/>
      <c r="AL110" s="673"/>
      <c r="AM110" s="673"/>
      <c r="AN110" s="673"/>
      <c r="AO110" s="673"/>
      <c r="AP110" s="673"/>
      <c r="AQ110" s="673"/>
      <c r="AR110" s="673"/>
      <c r="AS110" s="673"/>
    </row>
    <row r="111">
      <c r="A111" s="653"/>
      <c r="B111" s="654"/>
      <c r="C111" s="655"/>
      <c r="D111" s="656"/>
      <c r="E111" s="657"/>
      <c r="F111" s="658"/>
      <c r="G111" s="659"/>
      <c r="H111" s="660"/>
      <c r="I111" s="659"/>
      <c r="J111" s="661"/>
      <c r="K111" s="658"/>
      <c r="L111" s="662"/>
      <c r="M111" s="663"/>
      <c r="N111" s="664"/>
      <c r="O111" s="665"/>
      <c r="P111" s="666"/>
      <c r="Q111" s="667"/>
      <c r="R111" s="668"/>
      <c r="S111" s="665"/>
      <c r="T111" s="669"/>
      <c r="U111" s="669"/>
      <c r="V111" s="665"/>
      <c r="W111" s="670"/>
      <c r="X111" s="670"/>
      <c r="Y111" s="671"/>
      <c r="Z111" s="671"/>
      <c r="AA111" s="672"/>
      <c r="AB111" s="673"/>
      <c r="AC111" s="673"/>
      <c r="AD111" s="673"/>
      <c r="AE111" s="673"/>
      <c r="AF111" s="673"/>
      <c r="AG111" s="673"/>
      <c r="AH111" s="673"/>
      <c r="AI111" s="673"/>
      <c r="AJ111" s="673"/>
      <c r="AK111" s="673"/>
      <c r="AL111" s="673"/>
      <c r="AM111" s="673"/>
      <c r="AN111" s="673"/>
      <c r="AO111" s="673"/>
      <c r="AP111" s="673"/>
      <c r="AQ111" s="673"/>
      <c r="AR111" s="673"/>
      <c r="AS111" s="673"/>
    </row>
    <row r="112">
      <c r="A112" s="653"/>
      <c r="B112" s="654"/>
      <c r="C112" s="655"/>
      <c r="D112" s="656"/>
      <c r="E112" s="657"/>
      <c r="F112" s="658"/>
      <c r="G112" s="659"/>
      <c r="H112" s="660"/>
      <c r="I112" s="659"/>
      <c r="J112" s="661"/>
      <c r="K112" s="658"/>
      <c r="L112" s="662"/>
      <c r="M112" s="663"/>
      <c r="N112" s="664"/>
      <c r="O112" s="665"/>
      <c r="P112" s="666"/>
      <c r="Q112" s="667"/>
      <c r="R112" s="668"/>
      <c r="S112" s="665"/>
      <c r="T112" s="669"/>
      <c r="U112" s="669"/>
      <c r="V112" s="665"/>
      <c r="W112" s="670"/>
      <c r="X112" s="670"/>
      <c r="Y112" s="671"/>
      <c r="Z112" s="671"/>
      <c r="AA112" s="672"/>
      <c r="AB112" s="673"/>
      <c r="AC112" s="673"/>
      <c r="AD112" s="673"/>
      <c r="AE112" s="673"/>
      <c r="AF112" s="673"/>
      <c r="AG112" s="673"/>
      <c r="AH112" s="673"/>
      <c r="AI112" s="673"/>
      <c r="AJ112" s="673"/>
      <c r="AK112" s="673"/>
      <c r="AL112" s="673"/>
      <c r="AM112" s="673"/>
      <c r="AN112" s="673"/>
      <c r="AO112" s="673"/>
      <c r="AP112" s="673"/>
      <c r="AQ112" s="673"/>
      <c r="AR112" s="673"/>
      <c r="AS112" s="673"/>
    </row>
    <row r="113">
      <c r="A113" s="653"/>
      <c r="B113" s="654"/>
      <c r="C113" s="655"/>
      <c r="D113" s="656"/>
      <c r="E113" s="657"/>
      <c r="F113" s="658"/>
      <c r="G113" s="659"/>
      <c r="H113" s="660"/>
      <c r="I113" s="659"/>
      <c r="J113" s="661"/>
      <c r="K113" s="658"/>
      <c r="L113" s="662"/>
      <c r="M113" s="663"/>
      <c r="N113" s="664"/>
      <c r="O113" s="665"/>
      <c r="P113" s="666"/>
      <c r="Q113" s="667"/>
      <c r="R113" s="668"/>
      <c r="S113" s="665"/>
      <c r="T113" s="669"/>
      <c r="U113" s="669"/>
      <c r="V113" s="665"/>
      <c r="W113" s="670"/>
      <c r="X113" s="670"/>
      <c r="Y113" s="671"/>
      <c r="Z113" s="671"/>
      <c r="AA113" s="672"/>
      <c r="AB113" s="673"/>
      <c r="AC113" s="673"/>
      <c r="AD113" s="673"/>
      <c r="AE113" s="673"/>
      <c r="AF113" s="673"/>
      <c r="AG113" s="673"/>
      <c r="AH113" s="673"/>
      <c r="AI113" s="673"/>
      <c r="AJ113" s="673"/>
      <c r="AK113" s="673"/>
      <c r="AL113" s="673"/>
      <c r="AM113" s="673"/>
      <c r="AN113" s="673"/>
      <c r="AO113" s="673"/>
      <c r="AP113" s="673"/>
      <c r="AQ113" s="673"/>
      <c r="AR113" s="673"/>
      <c r="AS113" s="673"/>
    </row>
    <row r="114">
      <c r="A114" s="653"/>
      <c r="B114" s="654"/>
      <c r="C114" s="655"/>
      <c r="D114" s="656"/>
      <c r="E114" s="657"/>
      <c r="F114" s="658"/>
      <c r="G114" s="659"/>
      <c r="H114" s="660"/>
      <c r="I114" s="659"/>
      <c r="J114" s="661"/>
      <c r="K114" s="658"/>
      <c r="L114" s="662"/>
      <c r="M114" s="663"/>
      <c r="N114" s="664"/>
      <c r="O114" s="665"/>
      <c r="P114" s="666"/>
      <c r="Q114" s="667"/>
      <c r="R114" s="668"/>
      <c r="S114" s="665"/>
      <c r="T114" s="669"/>
      <c r="U114" s="669"/>
      <c r="V114" s="665"/>
      <c r="W114" s="670"/>
      <c r="X114" s="670"/>
      <c r="Y114" s="671"/>
      <c r="Z114" s="671"/>
      <c r="AA114" s="672"/>
      <c r="AB114" s="673"/>
      <c r="AC114" s="673"/>
      <c r="AD114" s="673"/>
      <c r="AE114" s="673"/>
      <c r="AF114" s="673"/>
      <c r="AG114" s="673"/>
      <c r="AH114" s="673"/>
      <c r="AI114" s="673"/>
      <c r="AJ114" s="673"/>
      <c r="AK114" s="673"/>
      <c r="AL114" s="673"/>
      <c r="AM114" s="673"/>
      <c r="AN114" s="673"/>
      <c r="AO114" s="673"/>
      <c r="AP114" s="673"/>
      <c r="AQ114" s="673"/>
      <c r="AR114" s="673"/>
      <c r="AS114" s="673"/>
    </row>
    <row r="115">
      <c r="A115" s="653"/>
      <c r="B115" s="654"/>
      <c r="C115" s="655"/>
      <c r="D115" s="656"/>
      <c r="E115" s="657"/>
      <c r="F115" s="658"/>
      <c r="G115" s="659"/>
      <c r="H115" s="660"/>
      <c r="I115" s="659"/>
      <c r="J115" s="661"/>
      <c r="K115" s="658"/>
      <c r="L115" s="662"/>
      <c r="M115" s="663"/>
      <c r="N115" s="664"/>
      <c r="O115" s="665"/>
      <c r="P115" s="666"/>
      <c r="Q115" s="667"/>
      <c r="R115" s="668"/>
      <c r="S115" s="665"/>
      <c r="T115" s="669"/>
      <c r="U115" s="669"/>
      <c r="V115" s="665"/>
      <c r="W115" s="670"/>
      <c r="X115" s="670"/>
      <c r="Y115" s="671"/>
      <c r="Z115" s="671"/>
      <c r="AA115" s="672"/>
      <c r="AB115" s="673"/>
      <c r="AC115" s="673"/>
      <c r="AD115" s="673"/>
      <c r="AE115" s="673"/>
      <c r="AF115" s="673"/>
      <c r="AG115" s="673"/>
      <c r="AH115" s="673"/>
      <c r="AI115" s="673"/>
      <c r="AJ115" s="673"/>
      <c r="AK115" s="673"/>
      <c r="AL115" s="673"/>
      <c r="AM115" s="673"/>
      <c r="AN115" s="673"/>
      <c r="AO115" s="673"/>
      <c r="AP115" s="673"/>
      <c r="AQ115" s="673"/>
      <c r="AR115" s="673"/>
      <c r="AS115" s="673"/>
    </row>
    <row r="116">
      <c r="A116" s="653"/>
      <c r="B116" s="654"/>
      <c r="C116" s="655"/>
      <c r="D116" s="656"/>
      <c r="E116" s="657"/>
      <c r="F116" s="658"/>
      <c r="G116" s="659"/>
      <c r="H116" s="660"/>
      <c r="I116" s="659"/>
      <c r="J116" s="661"/>
      <c r="K116" s="658"/>
      <c r="L116" s="662"/>
      <c r="M116" s="663"/>
      <c r="N116" s="664"/>
      <c r="O116" s="665"/>
      <c r="P116" s="666"/>
      <c r="Q116" s="667"/>
      <c r="R116" s="668"/>
      <c r="S116" s="665"/>
      <c r="T116" s="669"/>
      <c r="U116" s="669"/>
      <c r="V116" s="665"/>
      <c r="W116" s="670"/>
      <c r="X116" s="670"/>
      <c r="Y116" s="671"/>
      <c r="Z116" s="671"/>
      <c r="AA116" s="672"/>
      <c r="AB116" s="673"/>
      <c r="AC116" s="673"/>
      <c r="AD116" s="673"/>
      <c r="AE116" s="673"/>
      <c r="AF116" s="673"/>
      <c r="AG116" s="673"/>
      <c r="AH116" s="673"/>
      <c r="AI116" s="673"/>
      <c r="AJ116" s="673"/>
      <c r="AK116" s="673"/>
      <c r="AL116" s="673"/>
      <c r="AM116" s="673"/>
      <c r="AN116" s="673"/>
      <c r="AO116" s="673"/>
      <c r="AP116" s="673"/>
      <c r="AQ116" s="673"/>
      <c r="AR116" s="673"/>
      <c r="AS116" s="673"/>
    </row>
    <row r="117">
      <c r="A117" s="653"/>
      <c r="B117" s="654"/>
      <c r="C117" s="655"/>
      <c r="D117" s="656"/>
      <c r="E117" s="657"/>
      <c r="F117" s="658"/>
      <c r="G117" s="659"/>
      <c r="H117" s="660"/>
      <c r="I117" s="659"/>
      <c r="J117" s="661"/>
      <c r="K117" s="658"/>
      <c r="L117" s="662"/>
      <c r="M117" s="663"/>
      <c r="N117" s="664"/>
      <c r="O117" s="665"/>
      <c r="P117" s="666"/>
      <c r="Q117" s="667"/>
      <c r="R117" s="668"/>
      <c r="S117" s="665"/>
      <c r="T117" s="669"/>
      <c r="U117" s="669"/>
      <c r="V117" s="665"/>
      <c r="W117" s="670"/>
      <c r="X117" s="670"/>
      <c r="Y117" s="671"/>
      <c r="Z117" s="671"/>
      <c r="AA117" s="672"/>
      <c r="AB117" s="673"/>
      <c r="AC117" s="673"/>
      <c r="AD117" s="673"/>
      <c r="AE117" s="673"/>
      <c r="AF117" s="673"/>
      <c r="AG117" s="673"/>
      <c r="AH117" s="673"/>
      <c r="AI117" s="673"/>
      <c r="AJ117" s="673"/>
      <c r="AK117" s="673"/>
      <c r="AL117" s="673"/>
      <c r="AM117" s="673"/>
      <c r="AN117" s="673"/>
      <c r="AO117" s="673"/>
      <c r="AP117" s="673"/>
      <c r="AQ117" s="673"/>
      <c r="AR117" s="673"/>
      <c r="AS117" s="673"/>
    </row>
    <row r="118">
      <c r="A118" s="653"/>
      <c r="B118" s="654"/>
      <c r="C118" s="655"/>
      <c r="D118" s="656"/>
      <c r="E118" s="657"/>
      <c r="F118" s="658"/>
      <c r="G118" s="659"/>
      <c r="H118" s="660"/>
      <c r="I118" s="659"/>
      <c r="J118" s="661"/>
      <c r="K118" s="658"/>
      <c r="L118" s="662"/>
      <c r="M118" s="663"/>
      <c r="N118" s="664"/>
      <c r="O118" s="665"/>
      <c r="P118" s="666"/>
      <c r="Q118" s="667"/>
      <c r="R118" s="668"/>
      <c r="S118" s="665"/>
      <c r="T118" s="669"/>
      <c r="U118" s="669"/>
      <c r="V118" s="665"/>
      <c r="W118" s="670"/>
      <c r="X118" s="670"/>
      <c r="Y118" s="671"/>
      <c r="Z118" s="671"/>
      <c r="AA118" s="672"/>
      <c r="AB118" s="673"/>
      <c r="AC118" s="673"/>
      <c r="AD118" s="673"/>
      <c r="AE118" s="673"/>
      <c r="AF118" s="673"/>
      <c r="AG118" s="673"/>
      <c r="AH118" s="673"/>
      <c r="AI118" s="673"/>
      <c r="AJ118" s="673"/>
      <c r="AK118" s="673"/>
      <c r="AL118" s="673"/>
      <c r="AM118" s="673"/>
      <c r="AN118" s="673"/>
      <c r="AO118" s="673"/>
      <c r="AP118" s="673"/>
      <c r="AQ118" s="673"/>
      <c r="AR118" s="673"/>
      <c r="AS118" s="673"/>
    </row>
    <row r="119">
      <c r="A119" s="653"/>
      <c r="B119" s="654"/>
      <c r="C119" s="655"/>
      <c r="D119" s="656"/>
      <c r="E119" s="657"/>
      <c r="F119" s="658"/>
      <c r="G119" s="659"/>
      <c r="H119" s="660"/>
      <c r="I119" s="659"/>
      <c r="J119" s="661"/>
      <c r="K119" s="658"/>
      <c r="L119" s="662"/>
      <c r="M119" s="663"/>
      <c r="N119" s="664"/>
      <c r="O119" s="665"/>
      <c r="P119" s="666"/>
      <c r="Q119" s="667"/>
      <c r="R119" s="668"/>
      <c r="S119" s="665"/>
      <c r="T119" s="669"/>
      <c r="U119" s="669"/>
      <c r="V119" s="665"/>
      <c r="W119" s="670"/>
      <c r="X119" s="670"/>
      <c r="Y119" s="671"/>
      <c r="Z119" s="671"/>
      <c r="AA119" s="672"/>
      <c r="AB119" s="673"/>
      <c r="AC119" s="673"/>
      <c r="AD119" s="673"/>
      <c r="AE119" s="673"/>
      <c r="AF119" s="673"/>
      <c r="AG119" s="673"/>
      <c r="AH119" s="673"/>
      <c r="AI119" s="673"/>
      <c r="AJ119" s="673"/>
      <c r="AK119" s="673"/>
      <c r="AL119" s="673"/>
      <c r="AM119" s="673"/>
      <c r="AN119" s="673"/>
      <c r="AO119" s="673"/>
      <c r="AP119" s="673"/>
      <c r="AQ119" s="673"/>
      <c r="AR119" s="673"/>
      <c r="AS119" s="673"/>
    </row>
    <row r="120">
      <c r="A120" s="653"/>
      <c r="B120" s="654"/>
      <c r="C120" s="655"/>
      <c r="D120" s="656"/>
      <c r="E120" s="657"/>
      <c r="F120" s="658"/>
      <c r="G120" s="659"/>
      <c r="H120" s="660"/>
      <c r="I120" s="659"/>
      <c r="J120" s="661"/>
      <c r="K120" s="658"/>
      <c r="L120" s="662"/>
      <c r="M120" s="663"/>
      <c r="N120" s="664"/>
      <c r="O120" s="665"/>
      <c r="P120" s="666"/>
      <c r="Q120" s="667"/>
      <c r="R120" s="668"/>
      <c r="S120" s="665"/>
      <c r="T120" s="669"/>
      <c r="U120" s="669"/>
      <c r="V120" s="665"/>
      <c r="W120" s="670"/>
      <c r="X120" s="670"/>
      <c r="Y120" s="671"/>
      <c r="Z120" s="671"/>
      <c r="AA120" s="672"/>
      <c r="AB120" s="673"/>
      <c r="AC120" s="673"/>
      <c r="AD120" s="673"/>
      <c r="AE120" s="673"/>
      <c r="AF120" s="673"/>
      <c r="AG120" s="673"/>
      <c r="AH120" s="673"/>
      <c r="AI120" s="673"/>
      <c r="AJ120" s="673"/>
      <c r="AK120" s="673"/>
      <c r="AL120" s="673"/>
      <c r="AM120" s="673"/>
      <c r="AN120" s="673"/>
      <c r="AO120" s="673"/>
      <c r="AP120" s="673"/>
      <c r="AQ120" s="673"/>
      <c r="AR120" s="673"/>
      <c r="AS120" s="673"/>
    </row>
    <row r="121">
      <c r="A121" s="653"/>
      <c r="B121" s="654"/>
      <c r="C121" s="655"/>
      <c r="D121" s="656"/>
      <c r="E121" s="657"/>
      <c r="F121" s="658"/>
      <c r="G121" s="659"/>
      <c r="H121" s="660"/>
      <c r="I121" s="659"/>
      <c r="J121" s="661"/>
      <c r="K121" s="658"/>
      <c r="L121" s="662"/>
      <c r="M121" s="663"/>
      <c r="N121" s="664"/>
      <c r="O121" s="665"/>
      <c r="P121" s="666"/>
      <c r="Q121" s="667"/>
      <c r="R121" s="668"/>
      <c r="S121" s="665"/>
      <c r="T121" s="669"/>
      <c r="U121" s="669"/>
      <c r="V121" s="665"/>
      <c r="W121" s="670"/>
      <c r="X121" s="670"/>
      <c r="Y121" s="671"/>
      <c r="Z121" s="671"/>
      <c r="AA121" s="672"/>
      <c r="AB121" s="673"/>
      <c r="AC121" s="673"/>
      <c r="AD121" s="673"/>
      <c r="AE121" s="673"/>
      <c r="AF121" s="673"/>
      <c r="AG121" s="673"/>
      <c r="AH121" s="673"/>
      <c r="AI121" s="673"/>
      <c r="AJ121" s="673"/>
      <c r="AK121" s="673"/>
      <c r="AL121" s="673"/>
      <c r="AM121" s="673"/>
      <c r="AN121" s="673"/>
      <c r="AO121" s="673"/>
      <c r="AP121" s="673"/>
      <c r="AQ121" s="673"/>
      <c r="AR121" s="673"/>
      <c r="AS121" s="673"/>
    </row>
    <row r="122">
      <c r="A122" s="653"/>
      <c r="B122" s="654"/>
      <c r="C122" s="655"/>
      <c r="D122" s="656"/>
      <c r="E122" s="657"/>
      <c r="F122" s="658"/>
      <c r="G122" s="659"/>
      <c r="H122" s="660"/>
      <c r="I122" s="659"/>
      <c r="J122" s="661"/>
      <c r="K122" s="658"/>
      <c r="L122" s="662"/>
      <c r="M122" s="663"/>
      <c r="N122" s="664"/>
      <c r="O122" s="665"/>
      <c r="P122" s="666"/>
      <c r="Q122" s="667"/>
      <c r="R122" s="668"/>
      <c r="S122" s="665"/>
      <c r="T122" s="669"/>
      <c r="U122" s="669"/>
      <c r="V122" s="665"/>
      <c r="W122" s="670"/>
      <c r="X122" s="670"/>
      <c r="Y122" s="671"/>
      <c r="Z122" s="671"/>
      <c r="AA122" s="672"/>
      <c r="AB122" s="673"/>
      <c r="AC122" s="673"/>
      <c r="AD122" s="673"/>
      <c r="AE122" s="673"/>
      <c r="AF122" s="673"/>
      <c r="AG122" s="673"/>
      <c r="AH122" s="673"/>
      <c r="AI122" s="673"/>
      <c r="AJ122" s="673"/>
      <c r="AK122" s="673"/>
      <c r="AL122" s="673"/>
      <c r="AM122" s="673"/>
      <c r="AN122" s="673"/>
      <c r="AO122" s="673"/>
      <c r="AP122" s="673"/>
      <c r="AQ122" s="673"/>
      <c r="AR122" s="673"/>
      <c r="AS122" s="673"/>
    </row>
    <row r="123">
      <c r="A123" s="653"/>
      <c r="B123" s="654"/>
      <c r="C123" s="655"/>
      <c r="D123" s="656"/>
      <c r="E123" s="657"/>
      <c r="F123" s="658"/>
      <c r="G123" s="659"/>
      <c r="H123" s="660"/>
      <c r="I123" s="659"/>
      <c r="J123" s="661"/>
      <c r="K123" s="658"/>
      <c r="L123" s="662"/>
      <c r="M123" s="663"/>
      <c r="N123" s="664"/>
      <c r="O123" s="665"/>
      <c r="P123" s="666"/>
      <c r="Q123" s="667"/>
      <c r="R123" s="668"/>
      <c r="S123" s="665"/>
      <c r="T123" s="669"/>
      <c r="U123" s="669"/>
      <c r="V123" s="665"/>
      <c r="W123" s="670"/>
      <c r="X123" s="670"/>
      <c r="Y123" s="671"/>
      <c r="Z123" s="671"/>
      <c r="AA123" s="672"/>
      <c r="AB123" s="673"/>
      <c r="AC123" s="673"/>
      <c r="AD123" s="673"/>
      <c r="AE123" s="673"/>
      <c r="AF123" s="673"/>
      <c r="AG123" s="673"/>
      <c r="AH123" s="673"/>
      <c r="AI123" s="673"/>
      <c r="AJ123" s="673"/>
      <c r="AK123" s="673"/>
      <c r="AL123" s="673"/>
      <c r="AM123" s="673"/>
      <c r="AN123" s="673"/>
      <c r="AO123" s="673"/>
      <c r="AP123" s="673"/>
      <c r="AQ123" s="673"/>
      <c r="AR123" s="673"/>
      <c r="AS123" s="673"/>
    </row>
    <row r="124">
      <c r="A124" s="653"/>
      <c r="B124" s="654"/>
      <c r="C124" s="655"/>
      <c r="D124" s="656"/>
      <c r="E124" s="657"/>
      <c r="F124" s="658"/>
      <c r="G124" s="659"/>
      <c r="H124" s="660"/>
      <c r="I124" s="659"/>
      <c r="J124" s="661"/>
      <c r="K124" s="658"/>
      <c r="L124" s="662"/>
      <c r="M124" s="663"/>
      <c r="N124" s="664"/>
      <c r="O124" s="665"/>
      <c r="P124" s="666"/>
      <c r="Q124" s="667"/>
      <c r="R124" s="668"/>
      <c r="S124" s="665"/>
      <c r="T124" s="669"/>
      <c r="U124" s="669"/>
      <c r="V124" s="665"/>
      <c r="W124" s="670"/>
      <c r="X124" s="670"/>
      <c r="Y124" s="671"/>
      <c r="Z124" s="671"/>
      <c r="AA124" s="672"/>
      <c r="AB124" s="673"/>
      <c r="AC124" s="673"/>
      <c r="AD124" s="673"/>
      <c r="AE124" s="673"/>
      <c r="AF124" s="673"/>
      <c r="AG124" s="673"/>
      <c r="AH124" s="673"/>
      <c r="AI124" s="673"/>
      <c r="AJ124" s="673"/>
      <c r="AK124" s="673"/>
      <c r="AL124" s="673"/>
      <c r="AM124" s="673"/>
      <c r="AN124" s="673"/>
      <c r="AO124" s="673"/>
      <c r="AP124" s="673"/>
      <c r="AQ124" s="673"/>
      <c r="AR124" s="673"/>
      <c r="AS124" s="673"/>
    </row>
    <row r="125">
      <c r="A125" s="653"/>
      <c r="B125" s="654"/>
      <c r="C125" s="655"/>
      <c r="D125" s="656"/>
      <c r="E125" s="657"/>
      <c r="F125" s="658"/>
      <c r="G125" s="659"/>
      <c r="H125" s="660"/>
      <c r="I125" s="659"/>
      <c r="J125" s="661"/>
      <c r="K125" s="658"/>
      <c r="L125" s="662"/>
      <c r="M125" s="663"/>
      <c r="N125" s="664"/>
      <c r="O125" s="665"/>
      <c r="P125" s="666"/>
      <c r="Q125" s="667"/>
      <c r="R125" s="668"/>
      <c r="S125" s="665"/>
      <c r="T125" s="669"/>
      <c r="U125" s="669"/>
      <c r="V125" s="665"/>
      <c r="W125" s="670"/>
      <c r="X125" s="670"/>
      <c r="Y125" s="671"/>
      <c r="Z125" s="671"/>
      <c r="AA125" s="672"/>
      <c r="AB125" s="673"/>
      <c r="AC125" s="673"/>
      <c r="AD125" s="673"/>
      <c r="AE125" s="673"/>
      <c r="AF125" s="673"/>
      <c r="AG125" s="673"/>
      <c r="AH125" s="673"/>
      <c r="AI125" s="673"/>
      <c r="AJ125" s="673"/>
      <c r="AK125" s="673"/>
      <c r="AL125" s="673"/>
      <c r="AM125" s="673"/>
      <c r="AN125" s="673"/>
      <c r="AO125" s="673"/>
      <c r="AP125" s="673"/>
      <c r="AQ125" s="673"/>
      <c r="AR125" s="673"/>
      <c r="AS125" s="673"/>
    </row>
    <row r="126">
      <c r="A126" s="653"/>
      <c r="B126" s="654"/>
      <c r="C126" s="655"/>
      <c r="D126" s="656"/>
      <c r="E126" s="657"/>
      <c r="F126" s="658"/>
      <c r="G126" s="659"/>
      <c r="H126" s="660"/>
      <c r="I126" s="659"/>
      <c r="J126" s="661"/>
      <c r="K126" s="658"/>
      <c r="L126" s="662"/>
      <c r="M126" s="663"/>
      <c r="N126" s="664"/>
      <c r="O126" s="665"/>
      <c r="P126" s="666"/>
      <c r="Q126" s="667"/>
      <c r="R126" s="668"/>
      <c r="S126" s="665"/>
      <c r="T126" s="669"/>
      <c r="U126" s="669"/>
      <c r="V126" s="665"/>
      <c r="W126" s="670"/>
      <c r="X126" s="670"/>
      <c r="Y126" s="671"/>
      <c r="Z126" s="671"/>
      <c r="AA126" s="672"/>
      <c r="AB126" s="673"/>
      <c r="AC126" s="673"/>
      <c r="AD126" s="673"/>
      <c r="AE126" s="673"/>
      <c r="AF126" s="673"/>
      <c r="AG126" s="673"/>
      <c r="AH126" s="673"/>
      <c r="AI126" s="673"/>
      <c r="AJ126" s="673"/>
      <c r="AK126" s="673"/>
      <c r="AL126" s="673"/>
      <c r="AM126" s="673"/>
      <c r="AN126" s="673"/>
      <c r="AO126" s="673"/>
      <c r="AP126" s="673"/>
      <c r="AQ126" s="673"/>
      <c r="AR126" s="673"/>
      <c r="AS126" s="673"/>
    </row>
    <row r="127">
      <c r="A127" s="653"/>
      <c r="B127" s="654"/>
      <c r="C127" s="655"/>
      <c r="D127" s="656"/>
      <c r="E127" s="657"/>
      <c r="F127" s="658"/>
      <c r="G127" s="659"/>
      <c r="H127" s="660"/>
      <c r="I127" s="659"/>
      <c r="J127" s="661"/>
      <c r="K127" s="658"/>
      <c r="L127" s="662"/>
      <c r="M127" s="663"/>
      <c r="N127" s="664"/>
      <c r="O127" s="665"/>
      <c r="P127" s="666"/>
      <c r="Q127" s="667"/>
      <c r="R127" s="668"/>
      <c r="S127" s="665"/>
      <c r="T127" s="669"/>
      <c r="U127" s="669"/>
      <c r="V127" s="665"/>
      <c r="W127" s="670"/>
      <c r="X127" s="670"/>
      <c r="Y127" s="671"/>
      <c r="Z127" s="671"/>
      <c r="AA127" s="672"/>
      <c r="AB127" s="673"/>
      <c r="AC127" s="673"/>
      <c r="AD127" s="673"/>
      <c r="AE127" s="673"/>
      <c r="AF127" s="673"/>
      <c r="AG127" s="673"/>
      <c r="AH127" s="673"/>
      <c r="AI127" s="673"/>
      <c r="AJ127" s="673"/>
      <c r="AK127" s="673"/>
      <c r="AL127" s="673"/>
      <c r="AM127" s="673"/>
      <c r="AN127" s="673"/>
      <c r="AO127" s="673"/>
      <c r="AP127" s="673"/>
      <c r="AQ127" s="673"/>
      <c r="AR127" s="673"/>
      <c r="AS127" s="673"/>
    </row>
    <row r="128">
      <c r="A128" s="653"/>
      <c r="B128" s="654"/>
      <c r="C128" s="655"/>
      <c r="D128" s="656"/>
      <c r="E128" s="657"/>
      <c r="F128" s="658"/>
      <c r="G128" s="659"/>
      <c r="H128" s="660"/>
      <c r="I128" s="659"/>
      <c r="J128" s="661"/>
      <c r="K128" s="658"/>
      <c r="L128" s="662"/>
      <c r="M128" s="663"/>
      <c r="N128" s="664"/>
      <c r="O128" s="665"/>
      <c r="P128" s="666"/>
      <c r="Q128" s="667"/>
      <c r="R128" s="668"/>
      <c r="S128" s="665"/>
      <c r="T128" s="669"/>
      <c r="U128" s="669"/>
      <c r="V128" s="665"/>
      <c r="W128" s="670"/>
      <c r="X128" s="670"/>
      <c r="Y128" s="671"/>
      <c r="Z128" s="671"/>
      <c r="AA128" s="672"/>
      <c r="AB128" s="673"/>
      <c r="AC128" s="673"/>
      <c r="AD128" s="673"/>
      <c r="AE128" s="673"/>
      <c r="AF128" s="673"/>
      <c r="AG128" s="673"/>
      <c r="AH128" s="673"/>
      <c r="AI128" s="673"/>
      <c r="AJ128" s="673"/>
      <c r="AK128" s="673"/>
      <c r="AL128" s="673"/>
      <c r="AM128" s="673"/>
      <c r="AN128" s="673"/>
      <c r="AO128" s="673"/>
      <c r="AP128" s="673"/>
      <c r="AQ128" s="673"/>
      <c r="AR128" s="673"/>
      <c r="AS128" s="673"/>
    </row>
    <row r="129">
      <c r="A129" s="653"/>
      <c r="B129" s="654"/>
      <c r="C129" s="655"/>
      <c r="D129" s="656"/>
      <c r="E129" s="657"/>
      <c r="F129" s="658"/>
      <c r="G129" s="659"/>
      <c r="H129" s="660"/>
      <c r="I129" s="659"/>
      <c r="J129" s="661"/>
      <c r="K129" s="658"/>
      <c r="L129" s="662"/>
      <c r="M129" s="663"/>
      <c r="N129" s="664"/>
      <c r="O129" s="665"/>
      <c r="P129" s="666"/>
      <c r="Q129" s="667"/>
      <c r="R129" s="668"/>
      <c r="S129" s="665"/>
      <c r="T129" s="669"/>
      <c r="U129" s="669"/>
      <c r="V129" s="665"/>
      <c r="W129" s="670"/>
      <c r="X129" s="670"/>
      <c r="Y129" s="671"/>
      <c r="Z129" s="671"/>
      <c r="AA129" s="672"/>
      <c r="AB129" s="673"/>
      <c r="AC129" s="673"/>
      <c r="AD129" s="673"/>
      <c r="AE129" s="673"/>
      <c r="AF129" s="673"/>
      <c r="AG129" s="673"/>
      <c r="AH129" s="673"/>
      <c r="AI129" s="673"/>
      <c r="AJ129" s="673"/>
      <c r="AK129" s="673"/>
      <c r="AL129" s="673"/>
      <c r="AM129" s="673"/>
      <c r="AN129" s="673"/>
      <c r="AO129" s="673"/>
      <c r="AP129" s="673"/>
      <c r="AQ129" s="673"/>
      <c r="AR129" s="673"/>
      <c r="AS129" s="673"/>
    </row>
    <row r="130">
      <c r="A130" s="653"/>
      <c r="B130" s="654"/>
      <c r="C130" s="655"/>
      <c r="D130" s="656"/>
      <c r="E130" s="657"/>
      <c r="F130" s="658"/>
      <c r="G130" s="659"/>
      <c r="H130" s="660"/>
      <c r="I130" s="659"/>
      <c r="J130" s="661"/>
      <c r="K130" s="658"/>
      <c r="L130" s="662"/>
      <c r="M130" s="663"/>
      <c r="N130" s="664"/>
      <c r="O130" s="665"/>
      <c r="P130" s="666"/>
      <c r="Q130" s="667"/>
      <c r="R130" s="668"/>
      <c r="S130" s="665"/>
      <c r="T130" s="669"/>
      <c r="U130" s="669"/>
      <c r="V130" s="665"/>
      <c r="W130" s="670"/>
      <c r="X130" s="670"/>
      <c r="Y130" s="671"/>
      <c r="Z130" s="671"/>
      <c r="AA130" s="672"/>
      <c r="AB130" s="673"/>
      <c r="AC130" s="673"/>
      <c r="AD130" s="673"/>
      <c r="AE130" s="673"/>
      <c r="AF130" s="673"/>
      <c r="AG130" s="673"/>
      <c r="AH130" s="673"/>
      <c r="AI130" s="673"/>
      <c r="AJ130" s="673"/>
      <c r="AK130" s="673"/>
      <c r="AL130" s="673"/>
      <c r="AM130" s="673"/>
      <c r="AN130" s="673"/>
      <c r="AO130" s="673"/>
      <c r="AP130" s="673"/>
      <c r="AQ130" s="673"/>
      <c r="AR130" s="673"/>
      <c r="AS130" s="673"/>
    </row>
    <row r="131">
      <c r="A131" s="653"/>
      <c r="B131" s="654"/>
      <c r="C131" s="655"/>
      <c r="D131" s="656"/>
      <c r="E131" s="657"/>
      <c r="F131" s="658"/>
      <c r="G131" s="659"/>
      <c r="H131" s="660"/>
      <c r="I131" s="659"/>
      <c r="J131" s="661"/>
      <c r="K131" s="658"/>
      <c r="L131" s="662"/>
      <c r="M131" s="663"/>
      <c r="N131" s="664"/>
      <c r="O131" s="665"/>
      <c r="P131" s="666"/>
      <c r="Q131" s="667"/>
      <c r="R131" s="668"/>
      <c r="S131" s="665"/>
      <c r="T131" s="669"/>
      <c r="U131" s="669"/>
      <c r="V131" s="665"/>
      <c r="W131" s="670"/>
      <c r="X131" s="670"/>
      <c r="Y131" s="671"/>
      <c r="Z131" s="671"/>
      <c r="AA131" s="672"/>
      <c r="AB131" s="673"/>
      <c r="AC131" s="673"/>
      <c r="AD131" s="673"/>
      <c r="AE131" s="673"/>
      <c r="AF131" s="673"/>
      <c r="AG131" s="673"/>
      <c r="AH131" s="673"/>
      <c r="AI131" s="673"/>
      <c r="AJ131" s="673"/>
      <c r="AK131" s="673"/>
      <c r="AL131" s="673"/>
      <c r="AM131" s="673"/>
      <c r="AN131" s="673"/>
      <c r="AO131" s="673"/>
      <c r="AP131" s="673"/>
      <c r="AQ131" s="673"/>
      <c r="AR131" s="673"/>
      <c r="AS131" s="673"/>
    </row>
    <row r="132">
      <c r="A132" s="653"/>
      <c r="B132" s="654"/>
      <c r="C132" s="655"/>
      <c r="D132" s="656"/>
      <c r="E132" s="657"/>
      <c r="F132" s="658"/>
      <c r="G132" s="659"/>
      <c r="H132" s="660"/>
      <c r="I132" s="659"/>
      <c r="J132" s="661"/>
      <c r="K132" s="658"/>
      <c r="L132" s="662"/>
      <c r="M132" s="663"/>
      <c r="N132" s="664"/>
      <c r="O132" s="665"/>
      <c r="P132" s="666"/>
      <c r="Q132" s="667"/>
      <c r="R132" s="668"/>
      <c r="S132" s="665"/>
      <c r="T132" s="669"/>
      <c r="U132" s="669"/>
      <c r="V132" s="665"/>
      <c r="W132" s="670"/>
      <c r="X132" s="670"/>
      <c r="Y132" s="671"/>
      <c r="Z132" s="671"/>
      <c r="AA132" s="672"/>
      <c r="AB132" s="673"/>
      <c r="AC132" s="673"/>
      <c r="AD132" s="673"/>
      <c r="AE132" s="673"/>
      <c r="AF132" s="673"/>
      <c r="AG132" s="673"/>
      <c r="AH132" s="673"/>
      <c r="AI132" s="673"/>
      <c r="AJ132" s="673"/>
      <c r="AK132" s="673"/>
      <c r="AL132" s="673"/>
      <c r="AM132" s="673"/>
      <c r="AN132" s="673"/>
      <c r="AO132" s="673"/>
      <c r="AP132" s="673"/>
      <c r="AQ132" s="673"/>
      <c r="AR132" s="673"/>
      <c r="AS132" s="673"/>
    </row>
    <row r="133">
      <c r="A133" s="653"/>
      <c r="B133" s="654"/>
      <c r="C133" s="655"/>
      <c r="D133" s="656"/>
      <c r="E133" s="657"/>
      <c r="F133" s="658"/>
      <c r="G133" s="659"/>
      <c r="H133" s="660"/>
      <c r="I133" s="659"/>
      <c r="J133" s="661"/>
      <c r="K133" s="658"/>
      <c r="L133" s="662"/>
      <c r="M133" s="663"/>
      <c r="N133" s="664"/>
      <c r="O133" s="665"/>
      <c r="P133" s="666"/>
      <c r="Q133" s="667"/>
      <c r="R133" s="668"/>
      <c r="S133" s="665"/>
      <c r="T133" s="669"/>
      <c r="U133" s="669"/>
      <c r="V133" s="665"/>
      <c r="W133" s="670"/>
      <c r="X133" s="670"/>
      <c r="Y133" s="671"/>
      <c r="Z133" s="671"/>
      <c r="AA133" s="672"/>
      <c r="AB133" s="673"/>
      <c r="AC133" s="673"/>
      <c r="AD133" s="673"/>
      <c r="AE133" s="673"/>
      <c r="AF133" s="673"/>
      <c r="AG133" s="673"/>
      <c r="AH133" s="673"/>
      <c r="AI133" s="673"/>
      <c r="AJ133" s="673"/>
      <c r="AK133" s="673"/>
      <c r="AL133" s="673"/>
      <c r="AM133" s="673"/>
      <c r="AN133" s="673"/>
      <c r="AO133" s="673"/>
      <c r="AP133" s="673"/>
      <c r="AQ133" s="673"/>
      <c r="AR133" s="673"/>
      <c r="AS133" s="673"/>
    </row>
    <row r="134">
      <c r="A134" s="653"/>
      <c r="B134" s="654"/>
      <c r="C134" s="655"/>
      <c r="D134" s="656"/>
      <c r="E134" s="657"/>
      <c r="F134" s="658"/>
      <c r="G134" s="659"/>
      <c r="H134" s="660"/>
      <c r="I134" s="659"/>
      <c r="J134" s="661"/>
      <c r="K134" s="658"/>
      <c r="L134" s="662"/>
      <c r="M134" s="663"/>
      <c r="N134" s="664"/>
      <c r="O134" s="665"/>
      <c r="P134" s="666"/>
      <c r="Q134" s="667"/>
      <c r="R134" s="668"/>
      <c r="S134" s="665"/>
      <c r="T134" s="669"/>
      <c r="U134" s="669"/>
      <c r="V134" s="665"/>
      <c r="W134" s="670"/>
      <c r="X134" s="670"/>
      <c r="Y134" s="671"/>
      <c r="Z134" s="671"/>
      <c r="AA134" s="672"/>
      <c r="AB134" s="673"/>
      <c r="AC134" s="673"/>
      <c r="AD134" s="673"/>
      <c r="AE134" s="673"/>
      <c r="AF134" s="673"/>
      <c r="AG134" s="673"/>
      <c r="AH134" s="673"/>
      <c r="AI134" s="673"/>
      <c r="AJ134" s="673"/>
      <c r="AK134" s="673"/>
      <c r="AL134" s="673"/>
      <c r="AM134" s="673"/>
      <c r="AN134" s="673"/>
      <c r="AO134" s="673"/>
      <c r="AP134" s="673"/>
      <c r="AQ134" s="673"/>
      <c r="AR134" s="673"/>
      <c r="AS134" s="673"/>
    </row>
    <row r="135">
      <c r="A135" s="653"/>
      <c r="B135" s="654"/>
      <c r="C135" s="655"/>
      <c r="D135" s="656"/>
      <c r="E135" s="657"/>
      <c r="F135" s="658"/>
      <c r="G135" s="659"/>
      <c r="H135" s="660"/>
      <c r="I135" s="659"/>
      <c r="J135" s="661"/>
      <c r="K135" s="658"/>
      <c r="L135" s="662"/>
      <c r="M135" s="663"/>
      <c r="N135" s="664"/>
      <c r="O135" s="665"/>
      <c r="P135" s="666"/>
      <c r="Q135" s="667"/>
      <c r="R135" s="668"/>
      <c r="S135" s="665"/>
      <c r="T135" s="669"/>
      <c r="U135" s="669"/>
      <c r="V135" s="665"/>
      <c r="W135" s="670"/>
      <c r="X135" s="670"/>
      <c r="Y135" s="671"/>
      <c r="Z135" s="671"/>
      <c r="AA135" s="672"/>
      <c r="AB135" s="673"/>
      <c r="AC135" s="673"/>
      <c r="AD135" s="673"/>
      <c r="AE135" s="673"/>
      <c r="AF135" s="673"/>
      <c r="AG135" s="673"/>
      <c r="AH135" s="673"/>
      <c r="AI135" s="673"/>
      <c r="AJ135" s="673"/>
      <c r="AK135" s="673"/>
      <c r="AL135" s="673"/>
      <c r="AM135" s="673"/>
      <c r="AN135" s="673"/>
      <c r="AO135" s="673"/>
      <c r="AP135" s="673"/>
      <c r="AQ135" s="673"/>
      <c r="AR135" s="673"/>
      <c r="AS135" s="673"/>
    </row>
    <row r="136">
      <c r="A136" s="653"/>
      <c r="B136" s="654"/>
      <c r="C136" s="655"/>
      <c r="D136" s="656"/>
      <c r="E136" s="657"/>
      <c r="F136" s="658"/>
      <c r="G136" s="659"/>
      <c r="H136" s="660"/>
      <c r="I136" s="659"/>
      <c r="J136" s="661"/>
      <c r="K136" s="658"/>
      <c r="L136" s="662"/>
      <c r="M136" s="663"/>
      <c r="N136" s="664"/>
      <c r="O136" s="665"/>
      <c r="P136" s="666"/>
      <c r="Q136" s="667"/>
      <c r="R136" s="668"/>
      <c r="S136" s="665"/>
      <c r="T136" s="669"/>
      <c r="U136" s="669"/>
      <c r="V136" s="665"/>
      <c r="W136" s="670"/>
      <c r="X136" s="670"/>
      <c r="Y136" s="671"/>
      <c r="Z136" s="671"/>
      <c r="AA136" s="672"/>
      <c r="AB136" s="673"/>
      <c r="AC136" s="673"/>
      <c r="AD136" s="673"/>
      <c r="AE136" s="673"/>
      <c r="AF136" s="673"/>
      <c r="AG136" s="673"/>
      <c r="AH136" s="673"/>
      <c r="AI136" s="673"/>
      <c r="AJ136" s="673"/>
      <c r="AK136" s="673"/>
      <c r="AL136" s="673"/>
      <c r="AM136" s="673"/>
      <c r="AN136" s="673"/>
      <c r="AO136" s="673"/>
      <c r="AP136" s="673"/>
      <c r="AQ136" s="673"/>
      <c r="AR136" s="673"/>
      <c r="AS136" s="673"/>
    </row>
    <row r="137">
      <c r="A137" s="653"/>
      <c r="B137" s="654"/>
      <c r="C137" s="655"/>
      <c r="D137" s="656"/>
      <c r="E137" s="657"/>
      <c r="F137" s="658"/>
      <c r="G137" s="659"/>
      <c r="H137" s="660"/>
      <c r="I137" s="659"/>
      <c r="J137" s="661"/>
      <c r="K137" s="658"/>
      <c r="L137" s="662"/>
      <c r="M137" s="663"/>
      <c r="N137" s="664"/>
      <c r="O137" s="665"/>
      <c r="P137" s="666"/>
      <c r="Q137" s="667"/>
      <c r="R137" s="668"/>
      <c r="S137" s="665"/>
      <c r="T137" s="669"/>
      <c r="U137" s="669"/>
      <c r="V137" s="665"/>
      <c r="W137" s="670"/>
      <c r="X137" s="670"/>
      <c r="Y137" s="671"/>
      <c r="Z137" s="671"/>
      <c r="AA137" s="672"/>
      <c r="AB137" s="673"/>
      <c r="AC137" s="673"/>
      <c r="AD137" s="673"/>
      <c r="AE137" s="673"/>
      <c r="AF137" s="673"/>
      <c r="AG137" s="673"/>
      <c r="AH137" s="673"/>
      <c r="AI137" s="673"/>
      <c r="AJ137" s="673"/>
      <c r="AK137" s="673"/>
      <c r="AL137" s="673"/>
      <c r="AM137" s="673"/>
      <c r="AN137" s="673"/>
      <c r="AO137" s="673"/>
      <c r="AP137" s="673"/>
      <c r="AQ137" s="673"/>
      <c r="AR137" s="673"/>
      <c r="AS137" s="673"/>
    </row>
    <row r="138">
      <c r="A138" s="653"/>
      <c r="B138" s="654"/>
      <c r="C138" s="655"/>
      <c r="D138" s="656"/>
      <c r="E138" s="657"/>
      <c r="F138" s="658"/>
      <c r="G138" s="659"/>
      <c r="H138" s="660"/>
      <c r="I138" s="659"/>
      <c r="J138" s="661"/>
      <c r="K138" s="658"/>
      <c r="L138" s="662"/>
      <c r="M138" s="663"/>
      <c r="N138" s="664"/>
      <c r="O138" s="665"/>
      <c r="P138" s="666"/>
      <c r="Q138" s="667"/>
      <c r="R138" s="668"/>
      <c r="S138" s="665"/>
      <c r="T138" s="669"/>
      <c r="U138" s="669"/>
      <c r="V138" s="665"/>
      <c r="W138" s="670"/>
      <c r="X138" s="670"/>
      <c r="Y138" s="671"/>
      <c r="Z138" s="671"/>
      <c r="AA138" s="672"/>
      <c r="AB138" s="673"/>
      <c r="AC138" s="673"/>
      <c r="AD138" s="673"/>
      <c r="AE138" s="673"/>
      <c r="AF138" s="673"/>
      <c r="AG138" s="673"/>
      <c r="AH138" s="673"/>
      <c r="AI138" s="673"/>
      <c r="AJ138" s="673"/>
      <c r="AK138" s="673"/>
      <c r="AL138" s="673"/>
      <c r="AM138" s="673"/>
      <c r="AN138" s="673"/>
      <c r="AO138" s="673"/>
      <c r="AP138" s="673"/>
      <c r="AQ138" s="673"/>
      <c r="AR138" s="673"/>
      <c r="AS138" s="673"/>
    </row>
    <row r="139">
      <c r="A139" s="653"/>
      <c r="B139" s="654"/>
      <c r="C139" s="655"/>
      <c r="D139" s="656"/>
      <c r="E139" s="657"/>
      <c r="F139" s="658"/>
      <c r="G139" s="659"/>
      <c r="H139" s="660"/>
      <c r="I139" s="659"/>
      <c r="J139" s="661"/>
      <c r="K139" s="658"/>
      <c r="L139" s="662"/>
      <c r="M139" s="663"/>
      <c r="N139" s="664"/>
      <c r="O139" s="665"/>
      <c r="P139" s="666"/>
      <c r="Q139" s="667"/>
      <c r="R139" s="668"/>
      <c r="S139" s="665"/>
      <c r="T139" s="669"/>
      <c r="U139" s="669"/>
      <c r="V139" s="665"/>
      <c r="W139" s="670"/>
      <c r="X139" s="670"/>
      <c r="Y139" s="671"/>
      <c r="Z139" s="671"/>
      <c r="AA139" s="672"/>
      <c r="AB139" s="673"/>
      <c r="AC139" s="673"/>
      <c r="AD139" s="673"/>
      <c r="AE139" s="673"/>
      <c r="AF139" s="673"/>
      <c r="AG139" s="673"/>
      <c r="AH139" s="673"/>
      <c r="AI139" s="673"/>
      <c r="AJ139" s="673"/>
      <c r="AK139" s="673"/>
      <c r="AL139" s="673"/>
      <c r="AM139" s="673"/>
      <c r="AN139" s="673"/>
      <c r="AO139" s="673"/>
      <c r="AP139" s="673"/>
      <c r="AQ139" s="673"/>
      <c r="AR139" s="673"/>
      <c r="AS139" s="673"/>
    </row>
    <row r="140">
      <c r="A140" s="653"/>
      <c r="B140" s="654"/>
      <c r="C140" s="655"/>
      <c r="D140" s="656"/>
      <c r="E140" s="657"/>
      <c r="F140" s="658"/>
      <c r="G140" s="659"/>
      <c r="H140" s="660"/>
      <c r="I140" s="659"/>
      <c r="J140" s="661"/>
      <c r="K140" s="658"/>
      <c r="L140" s="662"/>
      <c r="M140" s="663"/>
      <c r="N140" s="664"/>
      <c r="O140" s="665"/>
      <c r="P140" s="666"/>
      <c r="Q140" s="667"/>
      <c r="R140" s="668"/>
      <c r="S140" s="665"/>
      <c r="T140" s="669"/>
      <c r="U140" s="669"/>
      <c r="V140" s="665"/>
      <c r="W140" s="670"/>
      <c r="X140" s="670"/>
      <c r="Y140" s="671"/>
      <c r="Z140" s="671"/>
      <c r="AA140" s="672"/>
      <c r="AB140" s="673"/>
      <c r="AC140" s="673"/>
      <c r="AD140" s="673"/>
      <c r="AE140" s="673"/>
      <c r="AF140" s="673"/>
      <c r="AG140" s="673"/>
      <c r="AH140" s="673"/>
      <c r="AI140" s="673"/>
      <c r="AJ140" s="673"/>
      <c r="AK140" s="673"/>
      <c r="AL140" s="673"/>
      <c r="AM140" s="673"/>
      <c r="AN140" s="673"/>
      <c r="AO140" s="673"/>
      <c r="AP140" s="673"/>
      <c r="AQ140" s="673"/>
      <c r="AR140" s="673"/>
      <c r="AS140" s="673"/>
    </row>
    <row r="141">
      <c r="A141" s="653"/>
      <c r="B141" s="654"/>
      <c r="C141" s="655"/>
      <c r="D141" s="656"/>
      <c r="E141" s="657"/>
      <c r="F141" s="658"/>
      <c r="G141" s="659"/>
      <c r="H141" s="660"/>
      <c r="I141" s="659"/>
      <c r="J141" s="661"/>
      <c r="K141" s="658"/>
      <c r="L141" s="662"/>
      <c r="M141" s="663"/>
      <c r="N141" s="664"/>
      <c r="O141" s="665"/>
      <c r="P141" s="666"/>
      <c r="Q141" s="667"/>
      <c r="R141" s="668"/>
      <c r="S141" s="665"/>
      <c r="T141" s="669"/>
      <c r="U141" s="669"/>
      <c r="V141" s="665"/>
      <c r="W141" s="670"/>
      <c r="X141" s="670"/>
      <c r="Y141" s="671"/>
      <c r="Z141" s="671"/>
      <c r="AA141" s="672"/>
      <c r="AB141" s="673"/>
      <c r="AC141" s="673"/>
      <c r="AD141" s="673"/>
      <c r="AE141" s="673"/>
      <c r="AF141" s="673"/>
      <c r="AG141" s="673"/>
      <c r="AH141" s="673"/>
      <c r="AI141" s="673"/>
      <c r="AJ141" s="673"/>
      <c r="AK141" s="673"/>
      <c r="AL141" s="673"/>
      <c r="AM141" s="673"/>
      <c r="AN141" s="673"/>
      <c r="AO141" s="673"/>
      <c r="AP141" s="673"/>
      <c r="AQ141" s="673"/>
      <c r="AR141" s="673"/>
      <c r="AS141" s="673"/>
    </row>
    <row r="142">
      <c r="A142" s="653"/>
      <c r="B142" s="654"/>
      <c r="C142" s="655"/>
      <c r="D142" s="656"/>
      <c r="E142" s="657"/>
      <c r="F142" s="658"/>
      <c r="G142" s="659"/>
      <c r="H142" s="660"/>
      <c r="I142" s="659"/>
      <c r="J142" s="661"/>
      <c r="K142" s="658"/>
      <c r="L142" s="662"/>
      <c r="M142" s="663"/>
      <c r="N142" s="664"/>
      <c r="O142" s="665"/>
      <c r="P142" s="666"/>
      <c r="Q142" s="667"/>
      <c r="R142" s="668"/>
      <c r="S142" s="665"/>
      <c r="T142" s="669"/>
      <c r="U142" s="669"/>
      <c r="V142" s="665"/>
      <c r="W142" s="670"/>
      <c r="X142" s="670"/>
      <c r="Y142" s="671"/>
      <c r="Z142" s="671"/>
      <c r="AA142" s="672"/>
      <c r="AB142" s="673"/>
      <c r="AC142" s="673"/>
      <c r="AD142" s="673"/>
      <c r="AE142" s="673"/>
      <c r="AF142" s="673"/>
      <c r="AG142" s="673"/>
      <c r="AH142" s="673"/>
      <c r="AI142" s="673"/>
      <c r="AJ142" s="673"/>
      <c r="AK142" s="673"/>
      <c r="AL142" s="673"/>
      <c r="AM142" s="673"/>
      <c r="AN142" s="673"/>
      <c r="AO142" s="673"/>
      <c r="AP142" s="673"/>
      <c r="AQ142" s="673"/>
      <c r="AR142" s="673"/>
      <c r="AS142" s="673"/>
    </row>
    <row r="143">
      <c r="A143" s="653"/>
      <c r="B143" s="654"/>
      <c r="C143" s="655"/>
      <c r="D143" s="656"/>
      <c r="E143" s="657"/>
      <c r="F143" s="658"/>
      <c r="G143" s="659"/>
      <c r="H143" s="660"/>
      <c r="I143" s="659"/>
      <c r="J143" s="661"/>
      <c r="K143" s="658"/>
      <c r="L143" s="662"/>
      <c r="M143" s="663"/>
      <c r="N143" s="664"/>
      <c r="O143" s="665"/>
      <c r="P143" s="666"/>
      <c r="Q143" s="667"/>
      <c r="R143" s="668"/>
      <c r="S143" s="665"/>
      <c r="T143" s="669"/>
      <c r="U143" s="669"/>
      <c r="V143" s="665"/>
      <c r="W143" s="670"/>
      <c r="X143" s="670"/>
      <c r="Y143" s="671"/>
      <c r="Z143" s="671"/>
      <c r="AA143" s="672"/>
      <c r="AB143" s="673"/>
      <c r="AC143" s="673"/>
      <c r="AD143" s="673"/>
      <c r="AE143" s="673"/>
      <c r="AF143" s="673"/>
      <c r="AG143" s="673"/>
      <c r="AH143" s="673"/>
      <c r="AI143" s="673"/>
      <c r="AJ143" s="673"/>
      <c r="AK143" s="673"/>
      <c r="AL143" s="673"/>
      <c r="AM143" s="673"/>
      <c r="AN143" s="673"/>
      <c r="AO143" s="673"/>
      <c r="AP143" s="673"/>
      <c r="AQ143" s="673"/>
      <c r="AR143" s="673"/>
      <c r="AS143" s="673"/>
    </row>
    <row r="144">
      <c r="A144" s="653"/>
      <c r="B144" s="654"/>
      <c r="C144" s="655"/>
      <c r="D144" s="656"/>
      <c r="E144" s="657"/>
      <c r="F144" s="658"/>
      <c r="G144" s="659"/>
      <c r="H144" s="660"/>
      <c r="I144" s="659"/>
      <c r="J144" s="661"/>
      <c r="K144" s="658"/>
      <c r="L144" s="662"/>
      <c r="M144" s="663"/>
      <c r="N144" s="664"/>
      <c r="O144" s="665"/>
      <c r="P144" s="666"/>
      <c r="Q144" s="667"/>
      <c r="R144" s="668"/>
      <c r="S144" s="665"/>
      <c r="T144" s="669"/>
      <c r="U144" s="669"/>
      <c r="V144" s="665"/>
      <c r="W144" s="670"/>
      <c r="X144" s="670"/>
      <c r="Y144" s="671"/>
      <c r="Z144" s="671"/>
      <c r="AA144" s="672"/>
      <c r="AB144" s="673"/>
      <c r="AC144" s="673"/>
      <c r="AD144" s="673"/>
      <c r="AE144" s="673"/>
      <c r="AF144" s="673"/>
      <c r="AG144" s="673"/>
      <c r="AH144" s="673"/>
      <c r="AI144" s="673"/>
      <c r="AJ144" s="673"/>
      <c r="AK144" s="673"/>
      <c r="AL144" s="673"/>
      <c r="AM144" s="673"/>
      <c r="AN144" s="673"/>
      <c r="AO144" s="673"/>
      <c r="AP144" s="673"/>
      <c r="AQ144" s="673"/>
      <c r="AR144" s="673"/>
      <c r="AS144" s="673"/>
    </row>
    <row r="145">
      <c r="A145" s="653"/>
      <c r="B145" s="654"/>
      <c r="C145" s="655"/>
      <c r="D145" s="656"/>
      <c r="E145" s="657"/>
      <c r="F145" s="658"/>
      <c r="G145" s="659"/>
      <c r="H145" s="660"/>
      <c r="I145" s="659"/>
      <c r="J145" s="661"/>
      <c r="K145" s="658"/>
      <c r="L145" s="662"/>
      <c r="M145" s="663"/>
      <c r="N145" s="664"/>
      <c r="O145" s="665"/>
      <c r="P145" s="666"/>
      <c r="Q145" s="667"/>
      <c r="R145" s="668"/>
      <c r="S145" s="665"/>
      <c r="T145" s="669"/>
      <c r="U145" s="669"/>
      <c r="V145" s="665"/>
      <c r="W145" s="670"/>
      <c r="X145" s="670"/>
      <c r="Y145" s="671"/>
      <c r="Z145" s="671"/>
      <c r="AA145" s="672"/>
      <c r="AB145" s="673"/>
      <c r="AC145" s="673"/>
      <c r="AD145" s="673"/>
      <c r="AE145" s="673"/>
      <c r="AF145" s="673"/>
      <c r="AG145" s="673"/>
      <c r="AH145" s="673"/>
      <c r="AI145" s="673"/>
      <c r="AJ145" s="673"/>
      <c r="AK145" s="673"/>
      <c r="AL145" s="673"/>
      <c r="AM145" s="673"/>
      <c r="AN145" s="673"/>
      <c r="AO145" s="673"/>
      <c r="AP145" s="673"/>
      <c r="AQ145" s="673"/>
      <c r="AR145" s="673"/>
      <c r="AS145" s="673"/>
    </row>
    <row r="146">
      <c r="A146" s="653"/>
      <c r="B146" s="654"/>
      <c r="C146" s="655"/>
      <c r="D146" s="656"/>
      <c r="E146" s="657"/>
      <c r="F146" s="658"/>
      <c r="G146" s="659"/>
      <c r="H146" s="660"/>
      <c r="I146" s="659"/>
      <c r="J146" s="661"/>
      <c r="K146" s="658"/>
      <c r="L146" s="662"/>
      <c r="M146" s="663"/>
      <c r="N146" s="664"/>
      <c r="O146" s="665"/>
      <c r="P146" s="666"/>
      <c r="Q146" s="667"/>
      <c r="R146" s="668"/>
      <c r="S146" s="665"/>
      <c r="T146" s="669"/>
      <c r="U146" s="669"/>
      <c r="V146" s="665"/>
      <c r="W146" s="670"/>
      <c r="X146" s="670"/>
      <c r="Y146" s="671"/>
      <c r="Z146" s="671"/>
      <c r="AA146" s="672"/>
      <c r="AB146" s="673"/>
      <c r="AC146" s="673"/>
      <c r="AD146" s="673"/>
      <c r="AE146" s="673"/>
      <c r="AF146" s="673"/>
      <c r="AG146" s="673"/>
      <c r="AH146" s="673"/>
      <c r="AI146" s="673"/>
      <c r="AJ146" s="673"/>
      <c r="AK146" s="673"/>
      <c r="AL146" s="673"/>
      <c r="AM146" s="673"/>
      <c r="AN146" s="673"/>
      <c r="AO146" s="673"/>
      <c r="AP146" s="673"/>
      <c r="AQ146" s="673"/>
      <c r="AR146" s="673"/>
      <c r="AS146" s="673"/>
    </row>
    <row r="147">
      <c r="A147" s="653"/>
      <c r="B147" s="654"/>
      <c r="C147" s="655"/>
      <c r="D147" s="656"/>
      <c r="E147" s="657"/>
      <c r="F147" s="658"/>
      <c r="G147" s="659"/>
      <c r="H147" s="660"/>
      <c r="I147" s="659"/>
      <c r="J147" s="661"/>
      <c r="K147" s="658"/>
      <c r="L147" s="662"/>
      <c r="M147" s="663"/>
      <c r="N147" s="664"/>
      <c r="O147" s="665"/>
      <c r="P147" s="666"/>
      <c r="Q147" s="667"/>
      <c r="R147" s="668"/>
      <c r="S147" s="665"/>
      <c r="T147" s="669"/>
      <c r="U147" s="669"/>
      <c r="V147" s="665"/>
      <c r="W147" s="670"/>
      <c r="X147" s="670"/>
      <c r="Y147" s="671"/>
      <c r="Z147" s="671"/>
      <c r="AA147" s="672"/>
      <c r="AB147" s="673"/>
      <c r="AC147" s="673"/>
      <c r="AD147" s="673"/>
      <c r="AE147" s="673"/>
      <c r="AF147" s="673"/>
      <c r="AG147" s="673"/>
      <c r="AH147" s="673"/>
      <c r="AI147" s="673"/>
      <c r="AJ147" s="673"/>
      <c r="AK147" s="673"/>
      <c r="AL147" s="673"/>
      <c r="AM147" s="673"/>
      <c r="AN147" s="673"/>
      <c r="AO147" s="673"/>
      <c r="AP147" s="673"/>
      <c r="AQ147" s="673"/>
      <c r="AR147" s="673"/>
      <c r="AS147" s="673"/>
    </row>
    <row r="148">
      <c r="A148" s="653"/>
      <c r="B148" s="654"/>
      <c r="C148" s="655"/>
      <c r="D148" s="656"/>
      <c r="E148" s="657"/>
      <c r="F148" s="658"/>
      <c r="G148" s="659"/>
      <c r="H148" s="660"/>
      <c r="I148" s="659"/>
      <c r="J148" s="661"/>
      <c r="K148" s="658"/>
      <c r="L148" s="662"/>
      <c r="M148" s="663"/>
      <c r="N148" s="664"/>
      <c r="O148" s="665"/>
      <c r="P148" s="666"/>
      <c r="Q148" s="667"/>
      <c r="R148" s="668"/>
      <c r="S148" s="665"/>
      <c r="T148" s="669"/>
      <c r="U148" s="669"/>
      <c r="V148" s="665"/>
      <c r="W148" s="670"/>
      <c r="X148" s="670"/>
      <c r="Y148" s="671"/>
      <c r="Z148" s="671"/>
      <c r="AA148" s="672"/>
      <c r="AB148" s="673"/>
      <c r="AC148" s="673"/>
      <c r="AD148" s="673"/>
      <c r="AE148" s="673"/>
      <c r="AF148" s="673"/>
      <c r="AG148" s="673"/>
      <c r="AH148" s="673"/>
      <c r="AI148" s="673"/>
      <c r="AJ148" s="673"/>
      <c r="AK148" s="673"/>
      <c r="AL148" s="673"/>
      <c r="AM148" s="673"/>
      <c r="AN148" s="673"/>
      <c r="AO148" s="673"/>
      <c r="AP148" s="673"/>
      <c r="AQ148" s="673"/>
      <c r="AR148" s="673"/>
      <c r="AS148" s="673"/>
    </row>
    <row r="149">
      <c r="A149" s="653"/>
      <c r="B149" s="654"/>
      <c r="C149" s="655"/>
      <c r="D149" s="656"/>
      <c r="E149" s="657"/>
      <c r="F149" s="658"/>
      <c r="G149" s="659"/>
      <c r="H149" s="660"/>
      <c r="I149" s="659"/>
      <c r="J149" s="661"/>
      <c r="K149" s="658"/>
      <c r="L149" s="662"/>
      <c r="M149" s="663"/>
      <c r="N149" s="664"/>
      <c r="O149" s="665"/>
      <c r="P149" s="666"/>
      <c r="Q149" s="667"/>
      <c r="R149" s="668"/>
      <c r="S149" s="665"/>
      <c r="T149" s="669"/>
      <c r="U149" s="669"/>
      <c r="V149" s="665"/>
      <c r="W149" s="670"/>
      <c r="X149" s="670"/>
      <c r="Y149" s="671"/>
      <c r="Z149" s="671"/>
      <c r="AA149" s="672"/>
      <c r="AB149" s="673"/>
      <c r="AC149" s="673"/>
      <c r="AD149" s="673"/>
      <c r="AE149" s="673"/>
      <c r="AF149" s="673"/>
      <c r="AG149" s="673"/>
      <c r="AH149" s="673"/>
      <c r="AI149" s="673"/>
      <c r="AJ149" s="673"/>
      <c r="AK149" s="673"/>
      <c r="AL149" s="673"/>
      <c r="AM149" s="673"/>
      <c r="AN149" s="673"/>
      <c r="AO149" s="673"/>
      <c r="AP149" s="673"/>
      <c r="AQ149" s="673"/>
      <c r="AR149" s="673"/>
      <c r="AS149" s="673"/>
    </row>
    <row r="150">
      <c r="A150" s="653"/>
      <c r="B150" s="654"/>
      <c r="C150" s="655"/>
      <c r="D150" s="656"/>
      <c r="E150" s="657"/>
      <c r="F150" s="658"/>
      <c r="G150" s="659"/>
      <c r="H150" s="660"/>
      <c r="I150" s="659"/>
      <c r="J150" s="661"/>
      <c r="K150" s="658"/>
      <c r="L150" s="662"/>
      <c r="M150" s="663"/>
      <c r="N150" s="664"/>
      <c r="O150" s="665"/>
      <c r="P150" s="666"/>
      <c r="Q150" s="667"/>
      <c r="R150" s="668"/>
      <c r="S150" s="665"/>
      <c r="T150" s="669"/>
      <c r="U150" s="669"/>
      <c r="V150" s="665"/>
      <c r="W150" s="670"/>
      <c r="X150" s="670"/>
      <c r="Y150" s="671"/>
      <c r="Z150" s="671"/>
      <c r="AA150" s="672"/>
      <c r="AB150" s="673"/>
      <c r="AC150" s="673"/>
      <c r="AD150" s="673"/>
      <c r="AE150" s="673"/>
      <c r="AF150" s="673"/>
      <c r="AG150" s="673"/>
      <c r="AH150" s="673"/>
      <c r="AI150" s="673"/>
      <c r="AJ150" s="673"/>
      <c r="AK150" s="673"/>
      <c r="AL150" s="673"/>
      <c r="AM150" s="673"/>
      <c r="AN150" s="673"/>
      <c r="AO150" s="673"/>
      <c r="AP150" s="673"/>
      <c r="AQ150" s="673"/>
      <c r="AR150" s="673"/>
      <c r="AS150" s="673"/>
    </row>
    <row r="151">
      <c r="A151" s="653"/>
      <c r="B151" s="654"/>
      <c r="C151" s="655"/>
      <c r="D151" s="656"/>
      <c r="E151" s="657"/>
      <c r="F151" s="658"/>
      <c r="G151" s="659"/>
      <c r="H151" s="660"/>
      <c r="I151" s="659"/>
      <c r="J151" s="661"/>
      <c r="K151" s="658"/>
      <c r="L151" s="662"/>
      <c r="M151" s="663"/>
      <c r="N151" s="664"/>
      <c r="O151" s="665"/>
      <c r="P151" s="666"/>
      <c r="Q151" s="667"/>
      <c r="R151" s="668"/>
      <c r="S151" s="665"/>
      <c r="T151" s="669"/>
      <c r="U151" s="669"/>
      <c r="V151" s="665"/>
      <c r="W151" s="670"/>
      <c r="X151" s="670"/>
      <c r="Y151" s="671"/>
      <c r="Z151" s="671"/>
      <c r="AA151" s="672"/>
      <c r="AB151" s="673"/>
      <c r="AC151" s="673"/>
      <c r="AD151" s="673"/>
      <c r="AE151" s="673"/>
      <c r="AF151" s="673"/>
      <c r="AG151" s="673"/>
      <c r="AH151" s="673"/>
      <c r="AI151" s="673"/>
      <c r="AJ151" s="673"/>
      <c r="AK151" s="673"/>
      <c r="AL151" s="673"/>
      <c r="AM151" s="673"/>
      <c r="AN151" s="673"/>
      <c r="AO151" s="673"/>
      <c r="AP151" s="673"/>
      <c r="AQ151" s="673"/>
      <c r="AR151" s="673"/>
      <c r="AS151" s="673"/>
    </row>
    <row r="152">
      <c r="A152" s="653"/>
      <c r="B152" s="654"/>
      <c r="C152" s="655"/>
      <c r="D152" s="656"/>
      <c r="E152" s="657"/>
      <c r="F152" s="658"/>
      <c r="G152" s="659"/>
      <c r="H152" s="660"/>
      <c r="I152" s="659"/>
      <c r="J152" s="661"/>
      <c r="K152" s="658"/>
      <c r="L152" s="662"/>
      <c r="M152" s="663"/>
      <c r="N152" s="664"/>
      <c r="O152" s="665"/>
      <c r="P152" s="666"/>
      <c r="Q152" s="667"/>
      <c r="R152" s="668"/>
      <c r="S152" s="665"/>
      <c r="T152" s="669"/>
      <c r="U152" s="669"/>
      <c r="V152" s="665"/>
      <c r="W152" s="670"/>
      <c r="X152" s="670"/>
      <c r="Y152" s="671"/>
      <c r="Z152" s="671"/>
      <c r="AA152" s="672"/>
      <c r="AB152" s="673"/>
      <c r="AC152" s="673"/>
      <c r="AD152" s="673"/>
      <c r="AE152" s="673"/>
      <c r="AF152" s="673"/>
      <c r="AG152" s="673"/>
      <c r="AH152" s="673"/>
      <c r="AI152" s="673"/>
      <c r="AJ152" s="673"/>
      <c r="AK152" s="673"/>
      <c r="AL152" s="673"/>
      <c r="AM152" s="673"/>
      <c r="AN152" s="673"/>
      <c r="AO152" s="673"/>
      <c r="AP152" s="673"/>
      <c r="AQ152" s="673"/>
      <c r="AR152" s="673"/>
      <c r="AS152" s="673"/>
    </row>
    <row r="153">
      <c r="A153" s="653"/>
      <c r="B153" s="654"/>
      <c r="C153" s="655"/>
      <c r="D153" s="656"/>
      <c r="E153" s="657"/>
      <c r="F153" s="658"/>
      <c r="G153" s="659"/>
      <c r="H153" s="660"/>
      <c r="I153" s="659"/>
      <c r="J153" s="661"/>
      <c r="K153" s="658"/>
      <c r="L153" s="662"/>
      <c r="M153" s="663"/>
      <c r="N153" s="664"/>
      <c r="O153" s="665"/>
      <c r="P153" s="666"/>
      <c r="Q153" s="667"/>
      <c r="R153" s="668"/>
      <c r="S153" s="665"/>
      <c r="T153" s="669"/>
      <c r="U153" s="669"/>
      <c r="V153" s="665"/>
      <c r="W153" s="670"/>
      <c r="X153" s="670"/>
      <c r="Y153" s="671"/>
      <c r="Z153" s="671"/>
      <c r="AA153" s="672"/>
      <c r="AB153" s="673"/>
      <c r="AC153" s="673"/>
      <c r="AD153" s="673"/>
      <c r="AE153" s="673"/>
      <c r="AF153" s="673"/>
      <c r="AG153" s="673"/>
      <c r="AH153" s="673"/>
      <c r="AI153" s="673"/>
      <c r="AJ153" s="673"/>
      <c r="AK153" s="673"/>
      <c r="AL153" s="673"/>
      <c r="AM153" s="673"/>
      <c r="AN153" s="673"/>
      <c r="AO153" s="673"/>
      <c r="AP153" s="673"/>
      <c r="AQ153" s="673"/>
      <c r="AR153" s="673"/>
      <c r="AS153" s="673"/>
    </row>
    <row r="154">
      <c r="A154" s="653"/>
      <c r="B154" s="654"/>
      <c r="C154" s="655"/>
      <c r="D154" s="656"/>
      <c r="E154" s="657"/>
      <c r="F154" s="658"/>
      <c r="G154" s="659"/>
      <c r="H154" s="660"/>
      <c r="I154" s="659"/>
      <c r="J154" s="661"/>
      <c r="K154" s="658"/>
      <c r="L154" s="662"/>
      <c r="M154" s="663"/>
      <c r="N154" s="664"/>
      <c r="O154" s="665"/>
      <c r="P154" s="666"/>
      <c r="Q154" s="667"/>
      <c r="R154" s="668"/>
      <c r="S154" s="665"/>
      <c r="T154" s="669"/>
      <c r="U154" s="669"/>
      <c r="V154" s="665"/>
      <c r="W154" s="670"/>
      <c r="X154" s="670"/>
      <c r="Y154" s="671"/>
      <c r="Z154" s="671"/>
      <c r="AA154" s="672"/>
      <c r="AB154" s="673"/>
      <c r="AC154" s="673"/>
      <c r="AD154" s="673"/>
      <c r="AE154" s="673"/>
      <c r="AF154" s="673"/>
      <c r="AG154" s="673"/>
      <c r="AH154" s="673"/>
      <c r="AI154" s="673"/>
      <c r="AJ154" s="673"/>
      <c r="AK154" s="673"/>
      <c r="AL154" s="673"/>
      <c r="AM154" s="673"/>
      <c r="AN154" s="673"/>
      <c r="AO154" s="673"/>
      <c r="AP154" s="673"/>
      <c r="AQ154" s="673"/>
      <c r="AR154" s="673"/>
      <c r="AS154" s="673"/>
    </row>
    <row r="155">
      <c r="A155" s="653"/>
      <c r="B155" s="654"/>
      <c r="C155" s="655"/>
      <c r="D155" s="656"/>
      <c r="E155" s="657"/>
      <c r="F155" s="658"/>
      <c r="G155" s="659"/>
      <c r="H155" s="660"/>
      <c r="I155" s="659"/>
      <c r="J155" s="661"/>
      <c r="K155" s="658"/>
      <c r="L155" s="662"/>
      <c r="M155" s="663"/>
      <c r="N155" s="664"/>
      <c r="O155" s="665"/>
      <c r="P155" s="666"/>
      <c r="Q155" s="667"/>
      <c r="R155" s="668"/>
      <c r="S155" s="665"/>
      <c r="T155" s="669"/>
      <c r="U155" s="669"/>
      <c r="V155" s="665"/>
      <c r="W155" s="670"/>
      <c r="X155" s="670"/>
      <c r="Y155" s="671"/>
      <c r="Z155" s="671"/>
      <c r="AA155" s="672"/>
      <c r="AB155" s="673"/>
      <c r="AC155" s="673"/>
      <c r="AD155" s="673"/>
      <c r="AE155" s="673"/>
      <c r="AF155" s="673"/>
      <c r="AG155" s="673"/>
      <c r="AH155" s="673"/>
      <c r="AI155" s="673"/>
      <c r="AJ155" s="673"/>
      <c r="AK155" s="673"/>
      <c r="AL155" s="673"/>
      <c r="AM155" s="673"/>
      <c r="AN155" s="673"/>
      <c r="AO155" s="673"/>
      <c r="AP155" s="673"/>
      <c r="AQ155" s="673"/>
      <c r="AR155" s="673"/>
      <c r="AS155" s="673"/>
    </row>
    <row r="156">
      <c r="A156" s="653"/>
      <c r="B156" s="654"/>
      <c r="C156" s="655"/>
      <c r="D156" s="656"/>
      <c r="E156" s="657"/>
      <c r="F156" s="658"/>
      <c r="G156" s="659"/>
      <c r="H156" s="660"/>
      <c r="I156" s="659"/>
      <c r="J156" s="661"/>
      <c r="K156" s="658"/>
      <c r="L156" s="662"/>
      <c r="M156" s="663"/>
      <c r="N156" s="664"/>
      <c r="O156" s="665"/>
      <c r="P156" s="666"/>
      <c r="Q156" s="667"/>
      <c r="R156" s="668"/>
      <c r="S156" s="665"/>
      <c r="T156" s="669"/>
      <c r="U156" s="669"/>
      <c r="V156" s="665"/>
      <c r="W156" s="670"/>
      <c r="X156" s="670"/>
      <c r="Y156" s="671"/>
      <c r="Z156" s="671"/>
      <c r="AA156" s="672"/>
      <c r="AB156" s="673"/>
      <c r="AC156" s="673"/>
      <c r="AD156" s="673"/>
      <c r="AE156" s="673"/>
      <c r="AF156" s="673"/>
      <c r="AG156" s="673"/>
      <c r="AH156" s="673"/>
      <c r="AI156" s="673"/>
      <c r="AJ156" s="673"/>
      <c r="AK156" s="673"/>
      <c r="AL156" s="673"/>
      <c r="AM156" s="673"/>
      <c r="AN156" s="673"/>
      <c r="AO156" s="673"/>
      <c r="AP156" s="673"/>
      <c r="AQ156" s="673"/>
      <c r="AR156" s="673"/>
      <c r="AS156" s="673"/>
    </row>
    <row r="157">
      <c r="A157" s="653"/>
      <c r="B157" s="654"/>
      <c r="C157" s="655"/>
      <c r="D157" s="656"/>
      <c r="E157" s="657"/>
      <c r="F157" s="658"/>
      <c r="G157" s="659"/>
      <c r="H157" s="660"/>
      <c r="I157" s="659"/>
      <c r="J157" s="661"/>
      <c r="K157" s="658"/>
      <c r="L157" s="662"/>
      <c r="M157" s="663"/>
      <c r="N157" s="664"/>
      <c r="O157" s="665"/>
      <c r="P157" s="666"/>
      <c r="Q157" s="667"/>
      <c r="R157" s="668"/>
      <c r="S157" s="665"/>
      <c r="T157" s="669"/>
      <c r="U157" s="669"/>
      <c r="V157" s="665"/>
      <c r="W157" s="670"/>
      <c r="X157" s="670"/>
      <c r="Y157" s="671"/>
      <c r="Z157" s="671"/>
      <c r="AA157" s="672"/>
      <c r="AB157" s="673"/>
      <c r="AC157" s="673"/>
      <c r="AD157" s="673"/>
      <c r="AE157" s="673"/>
      <c r="AF157" s="673"/>
      <c r="AG157" s="673"/>
      <c r="AH157" s="673"/>
      <c r="AI157" s="673"/>
      <c r="AJ157" s="673"/>
      <c r="AK157" s="673"/>
      <c r="AL157" s="673"/>
      <c r="AM157" s="673"/>
      <c r="AN157" s="673"/>
      <c r="AO157" s="673"/>
      <c r="AP157" s="673"/>
      <c r="AQ157" s="673"/>
      <c r="AR157" s="673"/>
      <c r="AS157" s="673"/>
    </row>
    <row r="158">
      <c r="A158" s="653"/>
      <c r="B158" s="654"/>
      <c r="C158" s="655"/>
      <c r="D158" s="656"/>
      <c r="E158" s="657"/>
      <c r="F158" s="658"/>
      <c r="G158" s="659"/>
      <c r="H158" s="660"/>
      <c r="I158" s="659"/>
      <c r="J158" s="661"/>
      <c r="K158" s="658"/>
      <c r="L158" s="662"/>
      <c r="M158" s="663"/>
      <c r="N158" s="664"/>
      <c r="O158" s="665"/>
      <c r="P158" s="666"/>
      <c r="Q158" s="667"/>
      <c r="R158" s="668"/>
      <c r="S158" s="665"/>
      <c r="T158" s="669"/>
      <c r="U158" s="669"/>
      <c r="V158" s="665"/>
      <c r="W158" s="670"/>
      <c r="X158" s="670"/>
      <c r="Y158" s="671"/>
      <c r="Z158" s="671"/>
      <c r="AA158" s="672"/>
      <c r="AB158" s="673"/>
      <c r="AC158" s="673"/>
      <c r="AD158" s="673"/>
      <c r="AE158" s="673"/>
      <c r="AF158" s="673"/>
      <c r="AG158" s="673"/>
      <c r="AH158" s="673"/>
      <c r="AI158" s="673"/>
      <c r="AJ158" s="673"/>
      <c r="AK158" s="673"/>
      <c r="AL158" s="673"/>
      <c r="AM158" s="673"/>
      <c r="AN158" s="673"/>
      <c r="AO158" s="673"/>
      <c r="AP158" s="673"/>
      <c r="AQ158" s="673"/>
      <c r="AR158" s="673"/>
      <c r="AS158" s="673"/>
    </row>
    <row r="159">
      <c r="A159" s="653"/>
      <c r="B159" s="654"/>
      <c r="C159" s="655"/>
      <c r="D159" s="656"/>
      <c r="E159" s="657"/>
      <c r="F159" s="658"/>
      <c r="G159" s="659"/>
      <c r="H159" s="660"/>
      <c r="I159" s="659"/>
      <c r="J159" s="661"/>
      <c r="K159" s="658"/>
      <c r="L159" s="662"/>
      <c r="M159" s="663"/>
      <c r="N159" s="664"/>
      <c r="O159" s="665"/>
      <c r="P159" s="666"/>
      <c r="Q159" s="667"/>
      <c r="R159" s="668"/>
      <c r="S159" s="665"/>
      <c r="T159" s="669"/>
      <c r="U159" s="669"/>
      <c r="V159" s="665"/>
      <c r="W159" s="670"/>
      <c r="X159" s="670"/>
      <c r="Y159" s="671"/>
      <c r="Z159" s="671"/>
      <c r="AA159" s="672"/>
      <c r="AB159" s="673"/>
      <c r="AC159" s="673"/>
      <c r="AD159" s="673"/>
      <c r="AE159" s="673"/>
      <c r="AF159" s="673"/>
      <c r="AG159" s="673"/>
      <c r="AH159" s="673"/>
      <c r="AI159" s="673"/>
      <c r="AJ159" s="673"/>
      <c r="AK159" s="673"/>
      <c r="AL159" s="673"/>
      <c r="AM159" s="673"/>
      <c r="AN159" s="673"/>
      <c r="AO159" s="673"/>
      <c r="AP159" s="673"/>
      <c r="AQ159" s="673"/>
      <c r="AR159" s="673"/>
      <c r="AS159" s="673"/>
    </row>
    <row r="160">
      <c r="A160" s="653"/>
      <c r="B160" s="654"/>
      <c r="C160" s="655"/>
      <c r="D160" s="656"/>
      <c r="E160" s="657"/>
      <c r="F160" s="658"/>
      <c r="G160" s="659"/>
      <c r="H160" s="660"/>
      <c r="I160" s="659"/>
      <c r="J160" s="661"/>
      <c r="K160" s="658"/>
      <c r="L160" s="662"/>
      <c r="M160" s="663"/>
      <c r="N160" s="664"/>
      <c r="O160" s="665"/>
      <c r="P160" s="666"/>
      <c r="Q160" s="667"/>
      <c r="R160" s="668"/>
      <c r="S160" s="665"/>
      <c r="T160" s="669"/>
      <c r="U160" s="669"/>
      <c r="V160" s="665"/>
      <c r="W160" s="670"/>
      <c r="X160" s="670"/>
      <c r="Y160" s="671"/>
      <c r="Z160" s="671"/>
      <c r="AA160" s="672"/>
      <c r="AB160" s="673"/>
      <c r="AC160" s="673"/>
      <c r="AD160" s="673"/>
      <c r="AE160" s="673"/>
      <c r="AF160" s="673"/>
      <c r="AG160" s="673"/>
      <c r="AH160" s="673"/>
      <c r="AI160" s="673"/>
      <c r="AJ160" s="673"/>
      <c r="AK160" s="673"/>
      <c r="AL160" s="673"/>
      <c r="AM160" s="673"/>
      <c r="AN160" s="673"/>
      <c r="AO160" s="673"/>
      <c r="AP160" s="673"/>
      <c r="AQ160" s="673"/>
      <c r="AR160" s="673"/>
      <c r="AS160" s="673"/>
    </row>
    <row r="161">
      <c r="A161" s="653"/>
      <c r="B161" s="654"/>
      <c r="C161" s="655"/>
      <c r="D161" s="656"/>
      <c r="E161" s="657"/>
      <c r="F161" s="658"/>
      <c r="G161" s="659"/>
      <c r="H161" s="660"/>
      <c r="I161" s="659"/>
      <c r="J161" s="661"/>
      <c r="K161" s="658"/>
      <c r="L161" s="662"/>
      <c r="M161" s="663"/>
      <c r="N161" s="664"/>
      <c r="O161" s="665"/>
      <c r="P161" s="666"/>
      <c r="Q161" s="667"/>
      <c r="R161" s="668"/>
      <c r="S161" s="665"/>
      <c r="T161" s="669"/>
      <c r="U161" s="669"/>
      <c r="V161" s="665"/>
      <c r="W161" s="670"/>
      <c r="X161" s="670"/>
      <c r="Y161" s="671"/>
      <c r="Z161" s="671"/>
      <c r="AA161" s="672"/>
      <c r="AB161" s="673"/>
      <c r="AC161" s="673"/>
      <c r="AD161" s="673"/>
      <c r="AE161" s="673"/>
      <c r="AF161" s="673"/>
      <c r="AG161" s="673"/>
      <c r="AH161" s="673"/>
      <c r="AI161" s="673"/>
      <c r="AJ161" s="673"/>
      <c r="AK161" s="673"/>
      <c r="AL161" s="673"/>
      <c r="AM161" s="673"/>
      <c r="AN161" s="673"/>
      <c r="AO161" s="673"/>
      <c r="AP161" s="673"/>
      <c r="AQ161" s="673"/>
      <c r="AR161" s="673"/>
      <c r="AS161" s="673"/>
    </row>
    <row r="162">
      <c r="A162" s="653"/>
      <c r="B162" s="654"/>
      <c r="C162" s="655"/>
      <c r="D162" s="656"/>
      <c r="E162" s="657"/>
      <c r="F162" s="658"/>
      <c r="G162" s="659"/>
      <c r="H162" s="660"/>
      <c r="I162" s="659"/>
      <c r="J162" s="661"/>
      <c r="K162" s="658"/>
      <c r="L162" s="662"/>
      <c r="M162" s="663"/>
      <c r="N162" s="664"/>
      <c r="O162" s="665"/>
      <c r="P162" s="666"/>
      <c r="Q162" s="667"/>
      <c r="R162" s="668"/>
      <c r="S162" s="665"/>
      <c r="T162" s="669"/>
      <c r="U162" s="669"/>
      <c r="V162" s="665"/>
      <c r="W162" s="670"/>
      <c r="X162" s="670"/>
      <c r="Y162" s="671"/>
      <c r="Z162" s="671"/>
      <c r="AA162" s="672"/>
      <c r="AB162" s="673"/>
      <c r="AC162" s="673"/>
      <c r="AD162" s="673"/>
      <c r="AE162" s="673"/>
      <c r="AF162" s="673"/>
      <c r="AG162" s="673"/>
      <c r="AH162" s="673"/>
      <c r="AI162" s="673"/>
      <c r="AJ162" s="673"/>
      <c r="AK162" s="673"/>
      <c r="AL162" s="673"/>
      <c r="AM162" s="673"/>
      <c r="AN162" s="673"/>
      <c r="AO162" s="673"/>
      <c r="AP162" s="673"/>
      <c r="AQ162" s="673"/>
      <c r="AR162" s="673"/>
      <c r="AS162" s="673"/>
    </row>
    <row r="163">
      <c r="A163" s="653"/>
      <c r="B163" s="654"/>
      <c r="C163" s="655"/>
      <c r="D163" s="656"/>
      <c r="E163" s="657"/>
      <c r="F163" s="658"/>
      <c r="G163" s="659"/>
      <c r="H163" s="660"/>
      <c r="I163" s="659"/>
      <c r="J163" s="661"/>
      <c r="K163" s="658"/>
      <c r="L163" s="662"/>
      <c r="M163" s="663"/>
      <c r="N163" s="664"/>
      <c r="O163" s="665"/>
      <c r="P163" s="666"/>
      <c r="Q163" s="667"/>
      <c r="R163" s="668"/>
      <c r="S163" s="665"/>
      <c r="T163" s="669"/>
      <c r="U163" s="669"/>
      <c r="V163" s="665"/>
      <c r="W163" s="670"/>
      <c r="X163" s="670"/>
      <c r="Y163" s="671"/>
      <c r="Z163" s="671"/>
      <c r="AA163" s="672"/>
      <c r="AB163" s="673"/>
      <c r="AC163" s="673"/>
      <c r="AD163" s="673"/>
      <c r="AE163" s="673"/>
      <c r="AF163" s="673"/>
      <c r="AG163" s="673"/>
      <c r="AH163" s="673"/>
      <c r="AI163" s="673"/>
      <c r="AJ163" s="673"/>
      <c r="AK163" s="673"/>
      <c r="AL163" s="673"/>
      <c r="AM163" s="673"/>
      <c r="AN163" s="673"/>
      <c r="AO163" s="673"/>
      <c r="AP163" s="673"/>
      <c r="AQ163" s="673"/>
      <c r="AR163" s="673"/>
      <c r="AS163" s="673"/>
    </row>
    <row r="164">
      <c r="A164" s="653"/>
      <c r="B164" s="654"/>
      <c r="C164" s="655"/>
      <c r="D164" s="656"/>
      <c r="E164" s="657"/>
      <c r="F164" s="658"/>
      <c r="G164" s="659"/>
      <c r="H164" s="660"/>
      <c r="I164" s="659"/>
      <c r="J164" s="661"/>
      <c r="K164" s="658"/>
      <c r="L164" s="662"/>
      <c r="M164" s="663"/>
      <c r="N164" s="664"/>
      <c r="O164" s="665"/>
      <c r="P164" s="666"/>
      <c r="Q164" s="667"/>
      <c r="R164" s="668"/>
      <c r="S164" s="665"/>
      <c r="T164" s="669"/>
      <c r="U164" s="669"/>
      <c r="V164" s="665"/>
      <c r="W164" s="670"/>
      <c r="X164" s="670"/>
      <c r="Y164" s="671"/>
      <c r="Z164" s="671"/>
      <c r="AA164" s="672"/>
      <c r="AB164" s="673"/>
      <c r="AC164" s="673"/>
      <c r="AD164" s="673"/>
      <c r="AE164" s="673"/>
      <c r="AF164" s="673"/>
      <c r="AG164" s="673"/>
      <c r="AH164" s="673"/>
      <c r="AI164" s="673"/>
      <c r="AJ164" s="673"/>
      <c r="AK164" s="673"/>
      <c r="AL164" s="673"/>
      <c r="AM164" s="673"/>
      <c r="AN164" s="673"/>
      <c r="AO164" s="673"/>
      <c r="AP164" s="673"/>
      <c r="AQ164" s="673"/>
      <c r="AR164" s="673"/>
      <c r="AS164" s="673"/>
    </row>
    <row r="165">
      <c r="A165" s="653"/>
      <c r="B165" s="654"/>
      <c r="C165" s="655"/>
      <c r="D165" s="656"/>
      <c r="E165" s="657"/>
      <c r="F165" s="658"/>
      <c r="G165" s="659"/>
      <c r="H165" s="660"/>
      <c r="I165" s="659"/>
      <c r="J165" s="661"/>
      <c r="K165" s="658"/>
      <c r="L165" s="662"/>
      <c r="M165" s="663"/>
      <c r="N165" s="664"/>
      <c r="O165" s="665"/>
      <c r="P165" s="666"/>
      <c r="Q165" s="667"/>
      <c r="R165" s="668"/>
      <c r="S165" s="665"/>
      <c r="T165" s="669"/>
      <c r="U165" s="669"/>
      <c r="V165" s="665"/>
      <c r="W165" s="670"/>
      <c r="X165" s="670"/>
      <c r="Y165" s="671"/>
      <c r="Z165" s="671"/>
      <c r="AA165" s="672"/>
      <c r="AB165" s="673"/>
      <c r="AC165" s="673"/>
      <c r="AD165" s="673"/>
      <c r="AE165" s="673"/>
      <c r="AF165" s="673"/>
      <c r="AG165" s="673"/>
      <c r="AH165" s="673"/>
      <c r="AI165" s="673"/>
      <c r="AJ165" s="673"/>
      <c r="AK165" s="673"/>
      <c r="AL165" s="673"/>
      <c r="AM165" s="673"/>
      <c r="AN165" s="673"/>
      <c r="AO165" s="673"/>
      <c r="AP165" s="673"/>
      <c r="AQ165" s="673"/>
      <c r="AR165" s="673"/>
      <c r="AS165" s="673"/>
    </row>
    <row r="166">
      <c r="A166" s="653"/>
      <c r="B166" s="654"/>
      <c r="C166" s="655"/>
      <c r="D166" s="656"/>
      <c r="E166" s="657"/>
      <c r="F166" s="658"/>
      <c r="G166" s="659"/>
      <c r="H166" s="660"/>
      <c r="I166" s="659"/>
      <c r="J166" s="661"/>
      <c r="K166" s="658"/>
      <c r="L166" s="662"/>
      <c r="M166" s="663"/>
      <c r="N166" s="664"/>
      <c r="O166" s="665"/>
      <c r="P166" s="666"/>
      <c r="Q166" s="667"/>
      <c r="R166" s="668"/>
      <c r="S166" s="665"/>
      <c r="T166" s="669"/>
      <c r="U166" s="669"/>
      <c r="V166" s="665"/>
      <c r="W166" s="670"/>
      <c r="X166" s="670"/>
      <c r="Y166" s="671"/>
      <c r="Z166" s="671"/>
      <c r="AA166" s="672"/>
      <c r="AB166" s="673"/>
      <c r="AC166" s="673"/>
      <c r="AD166" s="673"/>
      <c r="AE166" s="673"/>
      <c r="AF166" s="673"/>
      <c r="AG166" s="673"/>
      <c r="AH166" s="673"/>
      <c r="AI166" s="673"/>
      <c r="AJ166" s="673"/>
      <c r="AK166" s="673"/>
      <c r="AL166" s="673"/>
      <c r="AM166" s="673"/>
      <c r="AN166" s="673"/>
      <c r="AO166" s="673"/>
      <c r="AP166" s="673"/>
      <c r="AQ166" s="673"/>
      <c r="AR166" s="673"/>
      <c r="AS166" s="673"/>
    </row>
    <row r="167">
      <c r="A167" s="653"/>
      <c r="B167" s="654"/>
      <c r="C167" s="655"/>
      <c r="D167" s="656"/>
      <c r="E167" s="657"/>
      <c r="F167" s="658"/>
      <c r="G167" s="659"/>
      <c r="H167" s="660"/>
      <c r="I167" s="659"/>
      <c r="J167" s="661"/>
      <c r="K167" s="658"/>
      <c r="L167" s="662"/>
      <c r="M167" s="663"/>
      <c r="N167" s="664"/>
      <c r="O167" s="665"/>
      <c r="P167" s="666"/>
      <c r="Q167" s="667"/>
      <c r="R167" s="668"/>
      <c r="S167" s="665"/>
      <c r="T167" s="669"/>
      <c r="U167" s="669"/>
      <c r="V167" s="665"/>
      <c r="W167" s="670"/>
      <c r="X167" s="670"/>
      <c r="Y167" s="671"/>
      <c r="Z167" s="671"/>
      <c r="AA167" s="672"/>
      <c r="AB167" s="673"/>
      <c r="AC167" s="673"/>
      <c r="AD167" s="673"/>
      <c r="AE167" s="673"/>
      <c r="AF167" s="673"/>
      <c r="AG167" s="673"/>
      <c r="AH167" s="673"/>
      <c r="AI167" s="673"/>
      <c r="AJ167" s="673"/>
      <c r="AK167" s="673"/>
      <c r="AL167" s="673"/>
      <c r="AM167" s="673"/>
      <c r="AN167" s="673"/>
      <c r="AO167" s="673"/>
      <c r="AP167" s="673"/>
      <c r="AQ167" s="673"/>
      <c r="AR167" s="673"/>
      <c r="AS167" s="673"/>
    </row>
    <row r="168">
      <c r="A168" s="653"/>
      <c r="B168" s="654"/>
      <c r="C168" s="655"/>
      <c r="D168" s="656"/>
      <c r="E168" s="657"/>
      <c r="F168" s="658"/>
      <c r="G168" s="659"/>
      <c r="H168" s="660"/>
      <c r="I168" s="659"/>
      <c r="J168" s="661"/>
      <c r="K168" s="658"/>
      <c r="L168" s="662"/>
      <c r="M168" s="663"/>
      <c r="N168" s="664"/>
      <c r="O168" s="665"/>
      <c r="P168" s="666"/>
      <c r="Q168" s="667"/>
      <c r="R168" s="668"/>
      <c r="S168" s="665"/>
      <c r="T168" s="669"/>
      <c r="U168" s="669"/>
      <c r="V168" s="665"/>
      <c r="W168" s="670"/>
      <c r="X168" s="670"/>
      <c r="Y168" s="671"/>
      <c r="Z168" s="671"/>
      <c r="AA168" s="672"/>
      <c r="AB168" s="673"/>
      <c r="AC168" s="673"/>
      <c r="AD168" s="673"/>
      <c r="AE168" s="673"/>
      <c r="AF168" s="673"/>
      <c r="AG168" s="673"/>
      <c r="AH168" s="673"/>
      <c r="AI168" s="673"/>
      <c r="AJ168" s="673"/>
      <c r="AK168" s="673"/>
      <c r="AL168" s="673"/>
      <c r="AM168" s="673"/>
      <c r="AN168" s="673"/>
      <c r="AO168" s="673"/>
      <c r="AP168" s="673"/>
      <c r="AQ168" s="673"/>
      <c r="AR168" s="673"/>
      <c r="AS168" s="673"/>
    </row>
    <row r="169">
      <c r="A169" s="653"/>
      <c r="B169" s="654"/>
      <c r="C169" s="655"/>
      <c r="D169" s="656"/>
      <c r="E169" s="657"/>
      <c r="F169" s="658"/>
      <c r="G169" s="659"/>
      <c r="H169" s="660"/>
      <c r="I169" s="659"/>
      <c r="J169" s="661"/>
      <c r="K169" s="658"/>
      <c r="L169" s="662"/>
      <c r="M169" s="663"/>
      <c r="N169" s="664"/>
      <c r="O169" s="665"/>
      <c r="P169" s="666"/>
      <c r="Q169" s="667"/>
      <c r="R169" s="668"/>
      <c r="S169" s="665"/>
      <c r="T169" s="669"/>
      <c r="U169" s="669"/>
      <c r="V169" s="665"/>
      <c r="W169" s="670"/>
      <c r="X169" s="670"/>
      <c r="Y169" s="671"/>
      <c r="Z169" s="671"/>
      <c r="AA169" s="672"/>
      <c r="AB169" s="673"/>
      <c r="AC169" s="673"/>
      <c r="AD169" s="673"/>
      <c r="AE169" s="673"/>
      <c r="AF169" s="673"/>
      <c r="AG169" s="673"/>
      <c r="AH169" s="673"/>
      <c r="AI169" s="673"/>
      <c r="AJ169" s="673"/>
      <c r="AK169" s="673"/>
      <c r="AL169" s="673"/>
      <c r="AM169" s="673"/>
      <c r="AN169" s="673"/>
      <c r="AO169" s="673"/>
      <c r="AP169" s="673"/>
      <c r="AQ169" s="673"/>
      <c r="AR169" s="673"/>
      <c r="AS169" s="673"/>
    </row>
    <row r="170">
      <c r="A170" s="653"/>
      <c r="B170" s="654"/>
      <c r="C170" s="655"/>
      <c r="D170" s="656"/>
      <c r="E170" s="657"/>
      <c r="F170" s="658"/>
      <c r="G170" s="659"/>
      <c r="H170" s="660"/>
      <c r="I170" s="659"/>
      <c r="J170" s="661"/>
      <c r="K170" s="658"/>
      <c r="L170" s="662"/>
      <c r="M170" s="663"/>
      <c r="N170" s="664"/>
      <c r="O170" s="665"/>
      <c r="P170" s="666"/>
      <c r="Q170" s="667"/>
      <c r="R170" s="668"/>
      <c r="S170" s="665"/>
      <c r="T170" s="669"/>
      <c r="U170" s="669"/>
      <c r="V170" s="665"/>
      <c r="W170" s="670"/>
      <c r="X170" s="670"/>
      <c r="Y170" s="671"/>
      <c r="Z170" s="671"/>
      <c r="AA170" s="672"/>
      <c r="AB170" s="673"/>
      <c r="AC170" s="673"/>
      <c r="AD170" s="673"/>
      <c r="AE170" s="673"/>
      <c r="AF170" s="673"/>
      <c r="AG170" s="673"/>
      <c r="AH170" s="673"/>
      <c r="AI170" s="673"/>
      <c r="AJ170" s="673"/>
      <c r="AK170" s="673"/>
      <c r="AL170" s="673"/>
      <c r="AM170" s="673"/>
      <c r="AN170" s="673"/>
      <c r="AO170" s="673"/>
      <c r="AP170" s="673"/>
      <c r="AQ170" s="673"/>
      <c r="AR170" s="673"/>
      <c r="AS170" s="673"/>
    </row>
    <row r="171">
      <c r="A171" s="653"/>
      <c r="B171" s="654"/>
      <c r="C171" s="655"/>
      <c r="D171" s="656"/>
      <c r="E171" s="657"/>
      <c r="F171" s="658"/>
      <c r="G171" s="659"/>
      <c r="H171" s="660"/>
      <c r="I171" s="659"/>
      <c r="J171" s="661"/>
      <c r="K171" s="658"/>
      <c r="L171" s="662"/>
      <c r="M171" s="663"/>
      <c r="N171" s="664"/>
      <c r="O171" s="665"/>
      <c r="P171" s="666"/>
      <c r="Q171" s="667"/>
      <c r="R171" s="668"/>
      <c r="S171" s="665"/>
      <c r="T171" s="669"/>
      <c r="U171" s="669"/>
      <c r="V171" s="665"/>
      <c r="W171" s="670"/>
      <c r="X171" s="670"/>
      <c r="Y171" s="671"/>
      <c r="Z171" s="671"/>
      <c r="AA171" s="672"/>
      <c r="AB171" s="673"/>
      <c r="AC171" s="673"/>
      <c r="AD171" s="673"/>
      <c r="AE171" s="673"/>
      <c r="AF171" s="673"/>
      <c r="AG171" s="673"/>
      <c r="AH171" s="673"/>
      <c r="AI171" s="673"/>
      <c r="AJ171" s="673"/>
      <c r="AK171" s="673"/>
      <c r="AL171" s="673"/>
      <c r="AM171" s="673"/>
      <c r="AN171" s="673"/>
      <c r="AO171" s="673"/>
      <c r="AP171" s="673"/>
      <c r="AQ171" s="673"/>
      <c r="AR171" s="673"/>
      <c r="AS171" s="673"/>
    </row>
    <row r="172">
      <c r="A172" s="653"/>
      <c r="B172" s="654"/>
      <c r="C172" s="655"/>
      <c r="D172" s="656"/>
      <c r="E172" s="657"/>
      <c r="F172" s="658"/>
      <c r="G172" s="659"/>
      <c r="H172" s="660"/>
      <c r="I172" s="659"/>
      <c r="J172" s="661"/>
      <c r="K172" s="658"/>
      <c r="L172" s="662"/>
      <c r="M172" s="663"/>
      <c r="N172" s="664"/>
      <c r="O172" s="665"/>
      <c r="P172" s="666"/>
      <c r="Q172" s="667"/>
      <c r="R172" s="668"/>
      <c r="S172" s="665"/>
      <c r="T172" s="669"/>
      <c r="U172" s="669"/>
      <c r="V172" s="665"/>
      <c r="W172" s="670"/>
      <c r="X172" s="670"/>
      <c r="Y172" s="671"/>
      <c r="Z172" s="671"/>
      <c r="AA172" s="672"/>
      <c r="AB172" s="673"/>
      <c r="AC172" s="673"/>
      <c r="AD172" s="673"/>
      <c r="AE172" s="673"/>
      <c r="AF172" s="673"/>
      <c r="AG172" s="673"/>
      <c r="AH172" s="673"/>
      <c r="AI172" s="673"/>
      <c r="AJ172" s="673"/>
      <c r="AK172" s="673"/>
      <c r="AL172" s="673"/>
      <c r="AM172" s="673"/>
      <c r="AN172" s="673"/>
      <c r="AO172" s="673"/>
      <c r="AP172" s="673"/>
      <c r="AQ172" s="673"/>
      <c r="AR172" s="673"/>
      <c r="AS172" s="673"/>
    </row>
    <row r="173">
      <c r="A173" s="653"/>
      <c r="B173" s="654"/>
      <c r="C173" s="655"/>
      <c r="D173" s="656"/>
      <c r="E173" s="657"/>
      <c r="F173" s="658"/>
      <c r="G173" s="659"/>
      <c r="H173" s="660"/>
      <c r="I173" s="659"/>
      <c r="J173" s="661"/>
      <c r="K173" s="658"/>
      <c r="L173" s="662"/>
      <c r="M173" s="663"/>
      <c r="N173" s="664"/>
      <c r="O173" s="665"/>
      <c r="P173" s="666"/>
      <c r="Q173" s="667"/>
      <c r="R173" s="668"/>
      <c r="S173" s="665"/>
      <c r="T173" s="669"/>
      <c r="U173" s="669"/>
      <c r="V173" s="665"/>
      <c r="W173" s="670"/>
      <c r="X173" s="670"/>
      <c r="Y173" s="671"/>
      <c r="Z173" s="671"/>
      <c r="AA173" s="672"/>
      <c r="AB173" s="673"/>
      <c r="AC173" s="673"/>
      <c r="AD173" s="673"/>
      <c r="AE173" s="673"/>
      <c r="AF173" s="673"/>
      <c r="AG173" s="673"/>
      <c r="AH173" s="673"/>
      <c r="AI173" s="673"/>
      <c r="AJ173" s="673"/>
      <c r="AK173" s="673"/>
      <c r="AL173" s="673"/>
      <c r="AM173" s="673"/>
      <c r="AN173" s="673"/>
      <c r="AO173" s="673"/>
      <c r="AP173" s="673"/>
      <c r="AQ173" s="673"/>
      <c r="AR173" s="673"/>
      <c r="AS173" s="673"/>
    </row>
    <row r="174">
      <c r="A174" s="653"/>
      <c r="B174" s="654"/>
      <c r="C174" s="655"/>
      <c r="D174" s="656"/>
      <c r="E174" s="657"/>
      <c r="F174" s="658"/>
      <c r="G174" s="659"/>
      <c r="H174" s="660"/>
      <c r="I174" s="659"/>
      <c r="J174" s="661"/>
      <c r="K174" s="658"/>
      <c r="L174" s="662"/>
      <c r="M174" s="663"/>
      <c r="N174" s="664"/>
      <c r="O174" s="665"/>
      <c r="P174" s="666"/>
      <c r="Q174" s="667"/>
      <c r="R174" s="668"/>
      <c r="S174" s="665"/>
      <c r="T174" s="669"/>
      <c r="U174" s="669"/>
      <c r="V174" s="665"/>
      <c r="W174" s="670"/>
      <c r="X174" s="670"/>
      <c r="Y174" s="671"/>
      <c r="Z174" s="671"/>
      <c r="AA174" s="672"/>
      <c r="AB174" s="673"/>
      <c r="AC174" s="673"/>
      <c r="AD174" s="673"/>
      <c r="AE174" s="673"/>
      <c r="AF174" s="673"/>
      <c r="AG174" s="673"/>
      <c r="AH174" s="673"/>
      <c r="AI174" s="673"/>
      <c r="AJ174" s="673"/>
      <c r="AK174" s="673"/>
      <c r="AL174" s="673"/>
      <c r="AM174" s="673"/>
      <c r="AN174" s="673"/>
      <c r="AO174" s="673"/>
      <c r="AP174" s="673"/>
      <c r="AQ174" s="673"/>
      <c r="AR174" s="673"/>
      <c r="AS174" s="673"/>
    </row>
    <row r="175">
      <c r="A175" s="653"/>
      <c r="B175" s="654"/>
      <c r="C175" s="655"/>
      <c r="D175" s="656"/>
      <c r="E175" s="657"/>
      <c r="F175" s="658"/>
      <c r="G175" s="659"/>
      <c r="H175" s="660"/>
      <c r="I175" s="659"/>
      <c r="J175" s="661"/>
      <c r="K175" s="658"/>
      <c r="L175" s="662"/>
      <c r="M175" s="663"/>
      <c r="N175" s="664"/>
      <c r="O175" s="665"/>
      <c r="P175" s="666"/>
      <c r="Q175" s="667"/>
      <c r="R175" s="668"/>
      <c r="S175" s="665"/>
      <c r="T175" s="669"/>
      <c r="U175" s="669"/>
      <c r="V175" s="665"/>
      <c r="W175" s="670"/>
      <c r="X175" s="670"/>
      <c r="Y175" s="671"/>
      <c r="Z175" s="671"/>
      <c r="AA175" s="672"/>
      <c r="AB175" s="673"/>
      <c r="AC175" s="673"/>
      <c r="AD175" s="673"/>
      <c r="AE175" s="673"/>
      <c r="AF175" s="673"/>
      <c r="AG175" s="673"/>
      <c r="AH175" s="673"/>
      <c r="AI175" s="673"/>
      <c r="AJ175" s="673"/>
      <c r="AK175" s="673"/>
      <c r="AL175" s="673"/>
      <c r="AM175" s="673"/>
      <c r="AN175" s="673"/>
      <c r="AO175" s="673"/>
      <c r="AP175" s="673"/>
      <c r="AQ175" s="673"/>
      <c r="AR175" s="673"/>
      <c r="AS175" s="673"/>
    </row>
    <row r="176">
      <c r="A176" s="653"/>
      <c r="B176" s="654"/>
      <c r="C176" s="655"/>
      <c r="D176" s="656"/>
      <c r="E176" s="657"/>
      <c r="F176" s="658"/>
      <c r="G176" s="659"/>
      <c r="H176" s="660"/>
      <c r="I176" s="659"/>
      <c r="J176" s="661"/>
      <c r="K176" s="658"/>
      <c r="L176" s="662"/>
      <c r="M176" s="663"/>
      <c r="N176" s="664"/>
      <c r="O176" s="665"/>
      <c r="P176" s="666"/>
      <c r="Q176" s="667"/>
      <c r="R176" s="668"/>
      <c r="S176" s="665"/>
      <c r="T176" s="669"/>
      <c r="U176" s="669"/>
      <c r="V176" s="665"/>
      <c r="W176" s="670"/>
      <c r="X176" s="670"/>
      <c r="Y176" s="671"/>
      <c r="Z176" s="671"/>
      <c r="AA176" s="672"/>
      <c r="AB176" s="673"/>
      <c r="AC176" s="673"/>
      <c r="AD176" s="673"/>
      <c r="AE176" s="673"/>
      <c r="AF176" s="673"/>
      <c r="AG176" s="673"/>
      <c r="AH176" s="673"/>
      <c r="AI176" s="673"/>
      <c r="AJ176" s="673"/>
      <c r="AK176" s="673"/>
      <c r="AL176" s="673"/>
      <c r="AM176" s="673"/>
      <c r="AN176" s="673"/>
      <c r="AO176" s="673"/>
      <c r="AP176" s="673"/>
      <c r="AQ176" s="673"/>
      <c r="AR176" s="673"/>
      <c r="AS176" s="673"/>
    </row>
    <row r="177">
      <c r="A177" s="653"/>
      <c r="B177" s="654"/>
      <c r="C177" s="655"/>
      <c r="D177" s="656"/>
      <c r="E177" s="657"/>
      <c r="F177" s="658"/>
      <c r="G177" s="659"/>
      <c r="H177" s="660"/>
      <c r="I177" s="659"/>
      <c r="J177" s="661"/>
      <c r="K177" s="658"/>
      <c r="L177" s="662"/>
      <c r="M177" s="663"/>
      <c r="N177" s="664"/>
      <c r="O177" s="665"/>
      <c r="P177" s="666"/>
      <c r="Q177" s="667"/>
      <c r="R177" s="668"/>
      <c r="S177" s="665"/>
      <c r="T177" s="669"/>
      <c r="U177" s="669"/>
      <c r="V177" s="665"/>
      <c r="W177" s="670"/>
      <c r="X177" s="670"/>
      <c r="Y177" s="671"/>
      <c r="Z177" s="671"/>
      <c r="AA177" s="672"/>
      <c r="AB177" s="673"/>
      <c r="AC177" s="673"/>
      <c r="AD177" s="673"/>
      <c r="AE177" s="673"/>
      <c r="AF177" s="673"/>
      <c r="AG177" s="673"/>
      <c r="AH177" s="673"/>
      <c r="AI177" s="673"/>
      <c r="AJ177" s="673"/>
      <c r="AK177" s="673"/>
      <c r="AL177" s="673"/>
      <c r="AM177" s="673"/>
      <c r="AN177" s="673"/>
      <c r="AO177" s="673"/>
      <c r="AP177" s="673"/>
      <c r="AQ177" s="673"/>
      <c r="AR177" s="673"/>
      <c r="AS177" s="673"/>
    </row>
    <row r="178">
      <c r="A178" s="653"/>
      <c r="B178" s="654"/>
      <c r="C178" s="655"/>
      <c r="D178" s="656"/>
      <c r="E178" s="657"/>
      <c r="F178" s="658"/>
      <c r="G178" s="659"/>
      <c r="H178" s="660"/>
      <c r="I178" s="659"/>
      <c r="J178" s="661"/>
      <c r="K178" s="658"/>
      <c r="L178" s="662"/>
      <c r="M178" s="663"/>
      <c r="N178" s="664"/>
      <c r="O178" s="665"/>
      <c r="P178" s="666"/>
      <c r="Q178" s="667"/>
      <c r="R178" s="668"/>
      <c r="S178" s="665"/>
      <c r="T178" s="669"/>
      <c r="U178" s="669"/>
      <c r="V178" s="665"/>
      <c r="W178" s="670"/>
      <c r="X178" s="670"/>
      <c r="Y178" s="671"/>
      <c r="Z178" s="671"/>
      <c r="AA178" s="672"/>
      <c r="AB178" s="673"/>
      <c r="AC178" s="673"/>
      <c r="AD178" s="673"/>
      <c r="AE178" s="673"/>
      <c r="AF178" s="673"/>
      <c r="AG178" s="673"/>
      <c r="AH178" s="673"/>
      <c r="AI178" s="673"/>
      <c r="AJ178" s="673"/>
      <c r="AK178" s="673"/>
      <c r="AL178" s="673"/>
      <c r="AM178" s="673"/>
      <c r="AN178" s="673"/>
      <c r="AO178" s="673"/>
      <c r="AP178" s="673"/>
      <c r="AQ178" s="673"/>
      <c r="AR178" s="673"/>
      <c r="AS178" s="673"/>
    </row>
    <row r="179">
      <c r="A179" s="653"/>
      <c r="B179" s="654"/>
      <c r="C179" s="655"/>
      <c r="D179" s="656"/>
      <c r="E179" s="657"/>
      <c r="F179" s="658"/>
      <c r="G179" s="659"/>
      <c r="H179" s="660"/>
      <c r="I179" s="659"/>
      <c r="J179" s="661"/>
      <c r="K179" s="658"/>
      <c r="L179" s="662"/>
      <c r="M179" s="663"/>
      <c r="N179" s="664"/>
      <c r="O179" s="665"/>
      <c r="P179" s="666"/>
      <c r="Q179" s="667"/>
      <c r="R179" s="668"/>
      <c r="S179" s="665"/>
      <c r="T179" s="669"/>
      <c r="U179" s="669"/>
      <c r="V179" s="665"/>
      <c r="W179" s="670"/>
      <c r="X179" s="670"/>
      <c r="Y179" s="671"/>
      <c r="Z179" s="671"/>
      <c r="AA179" s="672"/>
      <c r="AB179" s="673"/>
      <c r="AC179" s="673"/>
      <c r="AD179" s="673"/>
      <c r="AE179" s="673"/>
      <c r="AF179" s="673"/>
      <c r="AG179" s="673"/>
      <c r="AH179" s="673"/>
      <c r="AI179" s="673"/>
      <c r="AJ179" s="673"/>
      <c r="AK179" s="673"/>
      <c r="AL179" s="673"/>
      <c r="AM179" s="673"/>
      <c r="AN179" s="673"/>
      <c r="AO179" s="673"/>
      <c r="AP179" s="673"/>
      <c r="AQ179" s="673"/>
      <c r="AR179" s="673"/>
      <c r="AS179" s="673"/>
    </row>
    <row r="180">
      <c r="A180" s="653"/>
      <c r="B180" s="654"/>
      <c r="C180" s="655"/>
      <c r="D180" s="656"/>
      <c r="E180" s="657"/>
      <c r="F180" s="658"/>
      <c r="G180" s="659"/>
      <c r="H180" s="660"/>
      <c r="I180" s="659"/>
      <c r="J180" s="661"/>
      <c r="K180" s="658"/>
      <c r="L180" s="662"/>
      <c r="M180" s="663"/>
      <c r="N180" s="664"/>
      <c r="O180" s="665"/>
      <c r="P180" s="666"/>
      <c r="Q180" s="667"/>
      <c r="R180" s="668"/>
      <c r="S180" s="665"/>
      <c r="T180" s="669"/>
      <c r="U180" s="669"/>
      <c r="V180" s="665"/>
      <c r="W180" s="670"/>
      <c r="X180" s="670"/>
      <c r="Y180" s="671"/>
      <c r="Z180" s="671"/>
      <c r="AA180" s="672"/>
      <c r="AB180" s="673"/>
      <c r="AC180" s="673"/>
      <c r="AD180" s="673"/>
      <c r="AE180" s="673"/>
      <c r="AF180" s="673"/>
      <c r="AG180" s="673"/>
      <c r="AH180" s="673"/>
      <c r="AI180" s="673"/>
      <c r="AJ180" s="673"/>
      <c r="AK180" s="673"/>
      <c r="AL180" s="673"/>
      <c r="AM180" s="673"/>
      <c r="AN180" s="673"/>
      <c r="AO180" s="673"/>
      <c r="AP180" s="673"/>
      <c r="AQ180" s="673"/>
      <c r="AR180" s="673"/>
      <c r="AS180" s="673"/>
    </row>
    <row r="181">
      <c r="A181" s="653"/>
      <c r="B181" s="654"/>
      <c r="C181" s="655"/>
      <c r="D181" s="656"/>
      <c r="E181" s="657"/>
      <c r="F181" s="658"/>
      <c r="G181" s="659"/>
      <c r="H181" s="660"/>
      <c r="I181" s="659"/>
      <c r="J181" s="661"/>
      <c r="K181" s="658"/>
      <c r="L181" s="662"/>
      <c r="M181" s="663"/>
      <c r="N181" s="664"/>
      <c r="O181" s="665"/>
      <c r="P181" s="666"/>
      <c r="Q181" s="667"/>
      <c r="R181" s="668"/>
      <c r="S181" s="665"/>
      <c r="T181" s="669"/>
      <c r="U181" s="669"/>
      <c r="V181" s="665"/>
      <c r="W181" s="670"/>
      <c r="X181" s="670"/>
      <c r="Y181" s="671"/>
      <c r="Z181" s="671"/>
      <c r="AA181" s="672"/>
      <c r="AB181" s="673"/>
      <c r="AC181" s="673"/>
      <c r="AD181" s="673"/>
      <c r="AE181" s="673"/>
      <c r="AF181" s="673"/>
      <c r="AG181" s="673"/>
      <c r="AH181" s="673"/>
      <c r="AI181" s="673"/>
      <c r="AJ181" s="673"/>
      <c r="AK181" s="673"/>
      <c r="AL181" s="673"/>
      <c r="AM181" s="673"/>
      <c r="AN181" s="673"/>
      <c r="AO181" s="673"/>
      <c r="AP181" s="673"/>
      <c r="AQ181" s="673"/>
      <c r="AR181" s="673"/>
      <c r="AS181" s="673"/>
    </row>
    <row r="182">
      <c r="A182" s="653"/>
      <c r="B182" s="654"/>
      <c r="C182" s="655"/>
      <c r="D182" s="656"/>
      <c r="E182" s="657"/>
      <c r="F182" s="658"/>
      <c r="G182" s="659"/>
      <c r="H182" s="660"/>
      <c r="I182" s="659"/>
      <c r="J182" s="661"/>
      <c r="K182" s="658"/>
      <c r="L182" s="662"/>
      <c r="M182" s="663"/>
      <c r="N182" s="664"/>
      <c r="O182" s="665"/>
      <c r="P182" s="666"/>
      <c r="Q182" s="667"/>
      <c r="R182" s="668"/>
      <c r="S182" s="665"/>
      <c r="T182" s="669"/>
      <c r="U182" s="669"/>
      <c r="V182" s="665"/>
      <c r="W182" s="670"/>
      <c r="X182" s="670"/>
      <c r="Y182" s="671"/>
      <c r="Z182" s="671"/>
      <c r="AA182" s="672"/>
      <c r="AB182" s="673"/>
      <c r="AC182" s="673"/>
      <c r="AD182" s="673"/>
      <c r="AE182" s="673"/>
      <c r="AF182" s="673"/>
      <c r="AG182" s="673"/>
      <c r="AH182" s="673"/>
      <c r="AI182" s="673"/>
      <c r="AJ182" s="673"/>
      <c r="AK182" s="673"/>
      <c r="AL182" s="673"/>
      <c r="AM182" s="673"/>
      <c r="AN182" s="673"/>
      <c r="AO182" s="673"/>
      <c r="AP182" s="673"/>
      <c r="AQ182" s="673"/>
      <c r="AR182" s="673"/>
      <c r="AS182" s="673"/>
    </row>
    <row r="183">
      <c r="A183" s="653"/>
      <c r="B183" s="654"/>
      <c r="C183" s="655"/>
      <c r="D183" s="656"/>
      <c r="E183" s="657"/>
      <c r="F183" s="658"/>
      <c r="G183" s="659"/>
      <c r="H183" s="660"/>
      <c r="I183" s="659"/>
      <c r="J183" s="661"/>
      <c r="K183" s="658"/>
      <c r="L183" s="662"/>
      <c r="M183" s="663"/>
      <c r="N183" s="664"/>
      <c r="O183" s="665"/>
      <c r="P183" s="666"/>
      <c r="Q183" s="667"/>
      <c r="R183" s="668"/>
      <c r="S183" s="665"/>
      <c r="T183" s="669"/>
      <c r="U183" s="669"/>
      <c r="V183" s="665"/>
      <c r="W183" s="670"/>
      <c r="X183" s="670"/>
      <c r="Y183" s="671"/>
      <c r="Z183" s="671"/>
      <c r="AA183" s="672"/>
      <c r="AB183" s="673"/>
      <c r="AC183" s="673"/>
      <c r="AD183" s="673"/>
      <c r="AE183" s="673"/>
      <c r="AF183" s="673"/>
      <c r="AG183" s="673"/>
      <c r="AH183" s="673"/>
      <c r="AI183" s="673"/>
      <c r="AJ183" s="673"/>
      <c r="AK183" s="673"/>
      <c r="AL183" s="673"/>
      <c r="AM183" s="673"/>
      <c r="AN183" s="673"/>
      <c r="AO183" s="673"/>
      <c r="AP183" s="673"/>
      <c r="AQ183" s="673"/>
      <c r="AR183" s="673"/>
      <c r="AS183" s="673"/>
    </row>
    <row r="184">
      <c r="A184" s="653"/>
      <c r="B184" s="654"/>
      <c r="C184" s="655"/>
      <c r="D184" s="656"/>
      <c r="E184" s="657"/>
      <c r="F184" s="658"/>
      <c r="G184" s="659"/>
      <c r="H184" s="660"/>
      <c r="I184" s="659"/>
      <c r="J184" s="661"/>
      <c r="K184" s="658"/>
      <c r="L184" s="662"/>
      <c r="M184" s="663"/>
      <c r="N184" s="664"/>
      <c r="O184" s="665"/>
      <c r="P184" s="666"/>
      <c r="Q184" s="667"/>
      <c r="R184" s="668"/>
      <c r="S184" s="665"/>
      <c r="T184" s="669"/>
      <c r="U184" s="669"/>
      <c r="V184" s="665"/>
      <c r="W184" s="670"/>
      <c r="X184" s="670"/>
      <c r="Y184" s="671"/>
      <c r="Z184" s="671"/>
      <c r="AA184" s="672"/>
      <c r="AB184" s="673"/>
      <c r="AC184" s="673"/>
      <c r="AD184" s="673"/>
      <c r="AE184" s="673"/>
      <c r="AF184" s="673"/>
      <c r="AG184" s="673"/>
      <c r="AH184" s="673"/>
      <c r="AI184" s="673"/>
      <c r="AJ184" s="673"/>
      <c r="AK184" s="673"/>
      <c r="AL184" s="673"/>
      <c r="AM184" s="673"/>
      <c r="AN184" s="673"/>
      <c r="AO184" s="673"/>
      <c r="AP184" s="673"/>
      <c r="AQ184" s="673"/>
      <c r="AR184" s="673"/>
      <c r="AS184" s="673"/>
    </row>
    <row r="185">
      <c r="A185" s="653"/>
      <c r="B185" s="654"/>
      <c r="C185" s="655"/>
      <c r="D185" s="656"/>
      <c r="E185" s="657"/>
      <c r="F185" s="658"/>
      <c r="G185" s="659"/>
      <c r="H185" s="660"/>
      <c r="I185" s="659"/>
      <c r="J185" s="661"/>
      <c r="K185" s="658"/>
      <c r="L185" s="662"/>
      <c r="M185" s="663"/>
      <c r="N185" s="664"/>
      <c r="O185" s="665"/>
      <c r="P185" s="666"/>
      <c r="Q185" s="667"/>
      <c r="R185" s="668"/>
      <c r="S185" s="665"/>
      <c r="T185" s="669"/>
      <c r="U185" s="669"/>
      <c r="V185" s="665"/>
      <c r="W185" s="670"/>
      <c r="X185" s="670"/>
      <c r="Y185" s="671"/>
      <c r="Z185" s="671"/>
      <c r="AA185" s="672"/>
      <c r="AB185" s="673"/>
      <c r="AC185" s="673"/>
      <c r="AD185" s="673"/>
      <c r="AE185" s="673"/>
      <c r="AF185" s="673"/>
      <c r="AG185" s="673"/>
      <c r="AH185" s="673"/>
      <c r="AI185" s="673"/>
      <c r="AJ185" s="673"/>
      <c r="AK185" s="673"/>
      <c r="AL185" s="673"/>
      <c r="AM185" s="673"/>
      <c r="AN185" s="673"/>
      <c r="AO185" s="673"/>
      <c r="AP185" s="673"/>
      <c r="AQ185" s="673"/>
      <c r="AR185" s="673"/>
      <c r="AS185" s="673"/>
    </row>
    <row r="186">
      <c r="A186" s="653"/>
      <c r="B186" s="654"/>
      <c r="C186" s="655"/>
      <c r="D186" s="656"/>
      <c r="E186" s="657"/>
      <c r="F186" s="658"/>
      <c r="G186" s="659"/>
      <c r="H186" s="660"/>
      <c r="I186" s="659"/>
      <c r="J186" s="661"/>
      <c r="K186" s="658"/>
      <c r="L186" s="662"/>
      <c r="M186" s="663"/>
      <c r="N186" s="664"/>
      <c r="O186" s="665"/>
      <c r="P186" s="666"/>
      <c r="Q186" s="667"/>
      <c r="R186" s="668"/>
      <c r="S186" s="665"/>
      <c r="T186" s="669"/>
      <c r="U186" s="669"/>
      <c r="V186" s="665"/>
      <c r="W186" s="670"/>
      <c r="X186" s="670"/>
      <c r="Y186" s="671"/>
      <c r="Z186" s="671"/>
      <c r="AA186" s="672"/>
      <c r="AB186" s="673"/>
      <c r="AC186" s="673"/>
      <c r="AD186" s="673"/>
      <c r="AE186" s="673"/>
      <c r="AF186" s="673"/>
      <c r="AG186" s="673"/>
      <c r="AH186" s="673"/>
      <c r="AI186" s="673"/>
      <c r="AJ186" s="673"/>
      <c r="AK186" s="673"/>
      <c r="AL186" s="673"/>
      <c r="AM186" s="673"/>
      <c r="AN186" s="673"/>
      <c r="AO186" s="673"/>
      <c r="AP186" s="673"/>
      <c r="AQ186" s="673"/>
      <c r="AR186" s="673"/>
      <c r="AS186" s="673"/>
    </row>
    <row r="187">
      <c r="A187" s="653"/>
      <c r="B187" s="654"/>
      <c r="C187" s="655"/>
      <c r="D187" s="656"/>
      <c r="E187" s="657"/>
      <c r="F187" s="658"/>
      <c r="G187" s="659"/>
      <c r="H187" s="660"/>
      <c r="I187" s="659"/>
      <c r="J187" s="661"/>
      <c r="K187" s="658"/>
      <c r="L187" s="662"/>
      <c r="M187" s="663"/>
      <c r="N187" s="664"/>
      <c r="O187" s="665"/>
      <c r="P187" s="666"/>
      <c r="Q187" s="667"/>
      <c r="R187" s="668"/>
      <c r="S187" s="665"/>
      <c r="T187" s="669"/>
      <c r="U187" s="669"/>
      <c r="V187" s="665"/>
      <c r="W187" s="670"/>
      <c r="X187" s="670"/>
      <c r="Y187" s="671"/>
      <c r="Z187" s="671"/>
      <c r="AA187" s="672"/>
      <c r="AB187" s="673"/>
      <c r="AC187" s="673"/>
      <c r="AD187" s="673"/>
      <c r="AE187" s="673"/>
      <c r="AF187" s="673"/>
      <c r="AG187" s="673"/>
      <c r="AH187" s="673"/>
      <c r="AI187" s="673"/>
      <c r="AJ187" s="673"/>
      <c r="AK187" s="673"/>
      <c r="AL187" s="673"/>
      <c r="AM187" s="673"/>
      <c r="AN187" s="673"/>
      <c r="AO187" s="673"/>
      <c r="AP187" s="673"/>
      <c r="AQ187" s="673"/>
      <c r="AR187" s="673"/>
      <c r="AS187" s="673"/>
    </row>
    <row r="188">
      <c r="A188" s="653"/>
      <c r="B188" s="654"/>
      <c r="C188" s="655"/>
      <c r="D188" s="656"/>
      <c r="E188" s="657"/>
      <c r="F188" s="658"/>
      <c r="G188" s="659"/>
      <c r="H188" s="660"/>
      <c r="I188" s="659"/>
      <c r="J188" s="661"/>
      <c r="K188" s="658"/>
      <c r="L188" s="662"/>
      <c r="M188" s="663"/>
      <c r="N188" s="664"/>
      <c r="O188" s="665"/>
      <c r="P188" s="666"/>
      <c r="Q188" s="667"/>
      <c r="R188" s="668"/>
      <c r="S188" s="665"/>
      <c r="T188" s="669"/>
      <c r="U188" s="669"/>
      <c r="V188" s="665"/>
      <c r="W188" s="670"/>
      <c r="X188" s="670"/>
      <c r="Y188" s="671"/>
      <c r="Z188" s="671"/>
      <c r="AA188" s="672"/>
      <c r="AB188" s="673"/>
      <c r="AC188" s="673"/>
      <c r="AD188" s="673"/>
      <c r="AE188" s="673"/>
      <c r="AF188" s="673"/>
      <c r="AG188" s="673"/>
      <c r="AH188" s="673"/>
      <c r="AI188" s="673"/>
      <c r="AJ188" s="673"/>
      <c r="AK188" s="673"/>
      <c r="AL188" s="673"/>
      <c r="AM188" s="673"/>
      <c r="AN188" s="673"/>
      <c r="AO188" s="673"/>
      <c r="AP188" s="673"/>
      <c r="AQ188" s="673"/>
      <c r="AR188" s="673"/>
      <c r="AS188" s="673"/>
    </row>
    <row r="189">
      <c r="A189" s="653"/>
      <c r="B189" s="654"/>
      <c r="C189" s="655"/>
      <c r="D189" s="656"/>
      <c r="E189" s="657"/>
      <c r="F189" s="658"/>
      <c r="G189" s="659"/>
      <c r="H189" s="660"/>
      <c r="I189" s="659"/>
      <c r="J189" s="661"/>
      <c r="K189" s="658"/>
      <c r="L189" s="662"/>
      <c r="M189" s="663"/>
      <c r="N189" s="664"/>
      <c r="O189" s="665"/>
      <c r="P189" s="666"/>
      <c r="Q189" s="667"/>
      <c r="R189" s="668"/>
      <c r="S189" s="665"/>
      <c r="T189" s="669"/>
      <c r="U189" s="669"/>
      <c r="V189" s="665"/>
      <c r="W189" s="670"/>
      <c r="X189" s="670"/>
      <c r="Y189" s="671"/>
      <c r="Z189" s="671"/>
      <c r="AA189" s="672"/>
      <c r="AB189" s="673"/>
      <c r="AC189" s="673"/>
      <c r="AD189" s="673"/>
      <c r="AE189" s="673"/>
      <c r="AF189" s="673"/>
      <c r="AG189" s="673"/>
      <c r="AH189" s="673"/>
      <c r="AI189" s="673"/>
      <c r="AJ189" s="673"/>
      <c r="AK189" s="673"/>
      <c r="AL189" s="673"/>
      <c r="AM189" s="673"/>
      <c r="AN189" s="673"/>
      <c r="AO189" s="673"/>
      <c r="AP189" s="673"/>
      <c r="AQ189" s="673"/>
      <c r="AR189" s="673"/>
      <c r="AS189" s="673"/>
    </row>
    <row r="190">
      <c r="A190" s="653"/>
      <c r="B190" s="654"/>
      <c r="C190" s="655"/>
      <c r="D190" s="656"/>
      <c r="E190" s="657"/>
      <c r="F190" s="658"/>
      <c r="G190" s="659"/>
      <c r="H190" s="660"/>
      <c r="I190" s="659"/>
      <c r="J190" s="661"/>
      <c r="K190" s="658"/>
      <c r="L190" s="662"/>
      <c r="M190" s="663"/>
      <c r="N190" s="664"/>
      <c r="O190" s="665"/>
      <c r="P190" s="666"/>
      <c r="Q190" s="667"/>
      <c r="R190" s="668"/>
      <c r="S190" s="665"/>
      <c r="T190" s="669"/>
      <c r="U190" s="669"/>
      <c r="V190" s="665"/>
      <c r="W190" s="670"/>
      <c r="X190" s="670"/>
      <c r="Y190" s="671"/>
      <c r="Z190" s="671"/>
      <c r="AA190" s="672"/>
      <c r="AB190" s="673"/>
      <c r="AC190" s="673"/>
      <c r="AD190" s="673"/>
      <c r="AE190" s="673"/>
      <c r="AF190" s="673"/>
      <c r="AG190" s="673"/>
      <c r="AH190" s="673"/>
      <c r="AI190" s="673"/>
      <c r="AJ190" s="673"/>
      <c r="AK190" s="673"/>
      <c r="AL190" s="673"/>
      <c r="AM190" s="673"/>
      <c r="AN190" s="673"/>
      <c r="AO190" s="673"/>
      <c r="AP190" s="673"/>
      <c r="AQ190" s="673"/>
      <c r="AR190" s="673"/>
      <c r="AS190" s="673"/>
    </row>
    <row r="191">
      <c r="A191" s="653"/>
      <c r="B191" s="654"/>
      <c r="C191" s="655"/>
      <c r="D191" s="656"/>
      <c r="E191" s="657"/>
      <c r="F191" s="658"/>
      <c r="G191" s="659"/>
      <c r="H191" s="660"/>
      <c r="I191" s="659"/>
      <c r="J191" s="661"/>
      <c r="K191" s="658"/>
      <c r="L191" s="662"/>
      <c r="M191" s="663"/>
      <c r="N191" s="664"/>
      <c r="O191" s="665"/>
      <c r="P191" s="666"/>
      <c r="Q191" s="667"/>
      <c r="R191" s="668"/>
      <c r="S191" s="665"/>
      <c r="T191" s="669"/>
      <c r="U191" s="669"/>
      <c r="V191" s="665"/>
      <c r="W191" s="670"/>
      <c r="X191" s="670"/>
      <c r="Y191" s="671"/>
      <c r="Z191" s="671"/>
      <c r="AA191" s="672"/>
      <c r="AB191" s="673"/>
      <c r="AC191" s="673"/>
      <c r="AD191" s="673"/>
      <c r="AE191" s="673"/>
      <c r="AF191" s="673"/>
      <c r="AG191" s="673"/>
      <c r="AH191" s="673"/>
      <c r="AI191" s="673"/>
      <c r="AJ191" s="673"/>
      <c r="AK191" s="673"/>
      <c r="AL191" s="673"/>
      <c r="AM191" s="673"/>
      <c r="AN191" s="673"/>
      <c r="AO191" s="673"/>
      <c r="AP191" s="673"/>
      <c r="AQ191" s="673"/>
      <c r="AR191" s="673"/>
      <c r="AS191" s="673"/>
    </row>
    <row r="192">
      <c r="A192" s="653"/>
      <c r="B192" s="654"/>
      <c r="C192" s="655"/>
      <c r="D192" s="656"/>
      <c r="E192" s="657"/>
      <c r="F192" s="658"/>
      <c r="G192" s="659"/>
      <c r="H192" s="660"/>
      <c r="I192" s="659"/>
      <c r="J192" s="661"/>
      <c r="K192" s="658"/>
      <c r="L192" s="662"/>
      <c r="M192" s="663"/>
      <c r="N192" s="664"/>
      <c r="O192" s="665"/>
      <c r="P192" s="666"/>
      <c r="Q192" s="667"/>
      <c r="R192" s="668"/>
      <c r="S192" s="665"/>
      <c r="T192" s="669"/>
      <c r="U192" s="669"/>
      <c r="V192" s="665"/>
      <c r="W192" s="670"/>
      <c r="X192" s="670"/>
      <c r="Y192" s="671"/>
      <c r="Z192" s="671"/>
      <c r="AA192" s="672"/>
      <c r="AB192" s="673"/>
      <c r="AC192" s="673"/>
      <c r="AD192" s="673"/>
      <c r="AE192" s="673"/>
      <c r="AF192" s="673"/>
      <c r="AG192" s="673"/>
      <c r="AH192" s="673"/>
      <c r="AI192" s="673"/>
      <c r="AJ192" s="673"/>
      <c r="AK192" s="673"/>
      <c r="AL192" s="673"/>
      <c r="AM192" s="673"/>
      <c r="AN192" s="673"/>
      <c r="AO192" s="673"/>
      <c r="AP192" s="673"/>
      <c r="AQ192" s="673"/>
      <c r="AR192" s="673"/>
      <c r="AS192" s="673"/>
    </row>
    <row r="193">
      <c r="A193" s="653"/>
      <c r="B193" s="654"/>
      <c r="C193" s="655"/>
      <c r="D193" s="656"/>
      <c r="E193" s="657"/>
      <c r="F193" s="658"/>
      <c r="G193" s="659"/>
      <c r="H193" s="660"/>
      <c r="I193" s="659"/>
      <c r="J193" s="661"/>
      <c r="K193" s="658"/>
      <c r="L193" s="662"/>
      <c r="M193" s="663"/>
      <c r="N193" s="664"/>
      <c r="O193" s="665"/>
      <c r="P193" s="666"/>
      <c r="Q193" s="667"/>
      <c r="R193" s="668"/>
      <c r="S193" s="665"/>
      <c r="T193" s="669"/>
      <c r="U193" s="669"/>
      <c r="V193" s="665"/>
      <c r="W193" s="670"/>
      <c r="X193" s="670"/>
      <c r="Y193" s="671"/>
      <c r="Z193" s="671"/>
      <c r="AA193" s="672"/>
      <c r="AB193" s="673"/>
      <c r="AC193" s="673"/>
      <c r="AD193" s="673"/>
      <c r="AE193" s="673"/>
      <c r="AF193" s="673"/>
      <c r="AG193" s="673"/>
      <c r="AH193" s="673"/>
      <c r="AI193" s="673"/>
      <c r="AJ193" s="673"/>
      <c r="AK193" s="673"/>
      <c r="AL193" s="673"/>
      <c r="AM193" s="673"/>
      <c r="AN193" s="673"/>
      <c r="AO193" s="673"/>
      <c r="AP193" s="673"/>
      <c r="AQ193" s="673"/>
      <c r="AR193" s="673"/>
      <c r="AS193" s="673"/>
    </row>
    <row r="194">
      <c r="A194" s="653"/>
      <c r="B194" s="654"/>
      <c r="C194" s="655"/>
      <c r="D194" s="656"/>
      <c r="E194" s="657"/>
      <c r="F194" s="658"/>
      <c r="G194" s="659"/>
      <c r="H194" s="660"/>
      <c r="I194" s="659"/>
      <c r="J194" s="661"/>
      <c r="K194" s="658"/>
      <c r="L194" s="662"/>
      <c r="M194" s="663"/>
      <c r="N194" s="664"/>
      <c r="O194" s="665"/>
      <c r="P194" s="666"/>
      <c r="Q194" s="667"/>
      <c r="R194" s="668"/>
      <c r="S194" s="665"/>
      <c r="T194" s="669"/>
      <c r="U194" s="669"/>
      <c r="V194" s="665"/>
      <c r="W194" s="670"/>
      <c r="X194" s="670"/>
      <c r="Y194" s="671"/>
      <c r="Z194" s="671"/>
      <c r="AA194" s="672"/>
      <c r="AB194" s="673"/>
      <c r="AC194" s="673"/>
      <c r="AD194" s="673"/>
      <c r="AE194" s="673"/>
      <c r="AF194" s="673"/>
      <c r="AG194" s="673"/>
      <c r="AH194" s="673"/>
      <c r="AI194" s="673"/>
      <c r="AJ194" s="673"/>
      <c r="AK194" s="673"/>
      <c r="AL194" s="673"/>
      <c r="AM194" s="673"/>
      <c r="AN194" s="673"/>
      <c r="AO194" s="673"/>
      <c r="AP194" s="673"/>
      <c r="AQ194" s="673"/>
      <c r="AR194" s="673"/>
      <c r="AS194" s="673"/>
    </row>
    <row r="195">
      <c r="A195" s="653"/>
      <c r="B195" s="654"/>
      <c r="C195" s="655"/>
      <c r="D195" s="656"/>
      <c r="E195" s="657"/>
      <c r="F195" s="658"/>
      <c r="G195" s="659"/>
      <c r="H195" s="660"/>
      <c r="I195" s="659"/>
      <c r="J195" s="661"/>
      <c r="K195" s="658"/>
      <c r="L195" s="662"/>
      <c r="M195" s="663"/>
      <c r="N195" s="664"/>
      <c r="O195" s="665"/>
      <c r="P195" s="666"/>
      <c r="Q195" s="667"/>
      <c r="R195" s="668"/>
      <c r="S195" s="665"/>
      <c r="T195" s="669"/>
      <c r="U195" s="669"/>
      <c r="V195" s="665"/>
      <c r="W195" s="670"/>
      <c r="X195" s="670"/>
      <c r="Y195" s="671"/>
      <c r="Z195" s="671"/>
      <c r="AA195" s="672"/>
      <c r="AB195" s="673"/>
      <c r="AC195" s="673"/>
      <c r="AD195" s="673"/>
      <c r="AE195" s="673"/>
      <c r="AF195" s="673"/>
      <c r="AG195" s="673"/>
      <c r="AH195" s="673"/>
      <c r="AI195" s="673"/>
      <c r="AJ195" s="673"/>
      <c r="AK195" s="673"/>
      <c r="AL195" s="673"/>
      <c r="AM195" s="673"/>
      <c r="AN195" s="673"/>
      <c r="AO195" s="673"/>
      <c r="AP195" s="673"/>
      <c r="AQ195" s="673"/>
      <c r="AR195" s="673"/>
      <c r="AS195" s="673"/>
    </row>
    <row r="196">
      <c r="A196" s="653"/>
      <c r="B196" s="654"/>
      <c r="C196" s="655"/>
      <c r="D196" s="656"/>
      <c r="E196" s="657"/>
      <c r="F196" s="658"/>
      <c r="G196" s="659"/>
      <c r="H196" s="660"/>
      <c r="I196" s="659"/>
      <c r="J196" s="661"/>
      <c r="K196" s="658"/>
      <c r="L196" s="662"/>
      <c r="M196" s="663"/>
      <c r="N196" s="664"/>
      <c r="O196" s="665"/>
      <c r="P196" s="666"/>
      <c r="Q196" s="667"/>
      <c r="R196" s="668"/>
      <c r="S196" s="665"/>
      <c r="T196" s="669"/>
      <c r="U196" s="669"/>
      <c r="V196" s="665"/>
      <c r="W196" s="670"/>
      <c r="X196" s="670"/>
      <c r="Y196" s="671"/>
      <c r="Z196" s="671"/>
      <c r="AA196" s="672"/>
      <c r="AB196" s="673"/>
      <c r="AC196" s="673"/>
      <c r="AD196" s="673"/>
      <c r="AE196" s="673"/>
      <c r="AF196" s="673"/>
      <c r="AG196" s="673"/>
      <c r="AH196" s="673"/>
      <c r="AI196" s="673"/>
      <c r="AJ196" s="673"/>
      <c r="AK196" s="673"/>
      <c r="AL196" s="673"/>
      <c r="AM196" s="673"/>
      <c r="AN196" s="673"/>
      <c r="AO196" s="673"/>
      <c r="AP196" s="673"/>
      <c r="AQ196" s="673"/>
      <c r="AR196" s="673"/>
      <c r="AS196" s="673"/>
    </row>
    <row r="197">
      <c r="A197" s="653"/>
      <c r="B197" s="654"/>
      <c r="C197" s="655"/>
      <c r="D197" s="656"/>
      <c r="E197" s="657"/>
      <c r="F197" s="658"/>
      <c r="G197" s="659"/>
      <c r="H197" s="660"/>
      <c r="I197" s="659"/>
      <c r="J197" s="661"/>
      <c r="K197" s="658"/>
      <c r="L197" s="662"/>
      <c r="M197" s="663"/>
      <c r="N197" s="664"/>
      <c r="O197" s="665"/>
      <c r="P197" s="666"/>
      <c r="Q197" s="667"/>
      <c r="R197" s="668"/>
      <c r="S197" s="665"/>
      <c r="T197" s="669"/>
      <c r="U197" s="669"/>
      <c r="V197" s="665"/>
      <c r="W197" s="670"/>
      <c r="X197" s="670"/>
      <c r="Y197" s="671"/>
      <c r="Z197" s="671"/>
      <c r="AA197" s="672"/>
      <c r="AB197" s="673"/>
      <c r="AC197" s="673"/>
      <c r="AD197" s="673"/>
      <c r="AE197" s="673"/>
      <c r="AF197" s="673"/>
      <c r="AG197" s="673"/>
      <c r="AH197" s="673"/>
      <c r="AI197" s="673"/>
      <c r="AJ197" s="673"/>
      <c r="AK197" s="673"/>
      <c r="AL197" s="673"/>
      <c r="AM197" s="673"/>
      <c r="AN197" s="673"/>
      <c r="AO197" s="673"/>
      <c r="AP197" s="673"/>
      <c r="AQ197" s="673"/>
      <c r="AR197" s="673"/>
      <c r="AS197" s="673"/>
    </row>
    <row r="198">
      <c r="A198" s="653"/>
      <c r="B198" s="654"/>
      <c r="C198" s="655"/>
      <c r="D198" s="656"/>
      <c r="E198" s="657"/>
      <c r="F198" s="658"/>
      <c r="G198" s="659"/>
      <c r="H198" s="660"/>
      <c r="I198" s="659"/>
      <c r="J198" s="661"/>
      <c r="K198" s="658"/>
      <c r="L198" s="662"/>
      <c r="M198" s="663"/>
      <c r="N198" s="664"/>
      <c r="O198" s="665"/>
      <c r="P198" s="666"/>
      <c r="Q198" s="667"/>
      <c r="R198" s="668"/>
      <c r="S198" s="665"/>
      <c r="T198" s="669"/>
      <c r="U198" s="669"/>
      <c r="V198" s="665"/>
      <c r="W198" s="670"/>
      <c r="X198" s="670"/>
      <c r="Y198" s="671"/>
      <c r="Z198" s="671"/>
      <c r="AA198" s="672"/>
      <c r="AB198" s="673"/>
      <c r="AC198" s="673"/>
      <c r="AD198" s="673"/>
      <c r="AE198" s="673"/>
      <c r="AF198" s="673"/>
      <c r="AG198" s="673"/>
      <c r="AH198" s="673"/>
      <c r="AI198" s="673"/>
      <c r="AJ198" s="673"/>
      <c r="AK198" s="673"/>
      <c r="AL198" s="673"/>
      <c r="AM198" s="673"/>
      <c r="AN198" s="673"/>
      <c r="AO198" s="673"/>
      <c r="AP198" s="673"/>
      <c r="AQ198" s="673"/>
      <c r="AR198" s="673"/>
      <c r="AS198" s="673"/>
    </row>
    <row r="199">
      <c r="A199" s="653"/>
      <c r="B199" s="654"/>
      <c r="C199" s="655"/>
      <c r="D199" s="656"/>
      <c r="E199" s="657"/>
      <c r="F199" s="658"/>
      <c r="G199" s="659"/>
      <c r="H199" s="660"/>
      <c r="I199" s="659"/>
      <c r="J199" s="661"/>
      <c r="K199" s="658"/>
      <c r="L199" s="662"/>
      <c r="M199" s="663"/>
      <c r="N199" s="664"/>
      <c r="O199" s="665"/>
      <c r="P199" s="666"/>
      <c r="Q199" s="667"/>
      <c r="R199" s="668"/>
      <c r="S199" s="665"/>
      <c r="T199" s="669"/>
      <c r="U199" s="669"/>
      <c r="V199" s="665"/>
      <c r="W199" s="670"/>
      <c r="X199" s="670"/>
      <c r="Y199" s="671"/>
      <c r="Z199" s="671"/>
      <c r="AA199" s="672"/>
      <c r="AB199" s="673"/>
      <c r="AC199" s="673"/>
      <c r="AD199" s="673"/>
      <c r="AE199" s="673"/>
      <c r="AF199" s="673"/>
      <c r="AG199" s="673"/>
      <c r="AH199" s="673"/>
      <c r="AI199" s="673"/>
      <c r="AJ199" s="673"/>
      <c r="AK199" s="673"/>
      <c r="AL199" s="673"/>
      <c r="AM199" s="673"/>
      <c r="AN199" s="673"/>
      <c r="AO199" s="673"/>
      <c r="AP199" s="673"/>
      <c r="AQ199" s="673"/>
      <c r="AR199" s="673"/>
      <c r="AS199" s="673"/>
    </row>
    <row r="200">
      <c r="A200" s="653"/>
      <c r="B200" s="654"/>
      <c r="C200" s="655"/>
      <c r="D200" s="656"/>
      <c r="E200" s="657"/>
      <c r="F200" s="658"/>
      <c r="G200" s="659"/>
      <c r="H200" s="660"/>
      <c r="I200" s="659"/>
      <c r="J200" s="661"/>
      <c r="K200" s="658"/>
      <c r="L200" s="662"/>
      <c r="M200" s="663"/>
      <c r="N200" s="664"/>
      <c r="O200" s="665"/>
      <c r="P200" s="666"/>
      <c r="Q200" s="667"/>
      <c r="R200" s="668"/>
      <c r="S200" s="665"/>
      <c r="T200" s="669"/>
      <c r="U200" s="669"/>
      <c r="V200" s="665"/>
      <c r="W200" s="670"/>
      <c r="X200" s="670"/>
      <c r="Y200" s="671"/>
      <c r="Z200" s="671"/>
      <c r="AA200" s="672"/>
      <c r="AB200" s="673"/>
      <c r="AC200" s="673"/>
      <c r="AD200" s="673"/>
      <c r="AE200" s="673"/>
      <c r="AF200" s="673"/>
      <c r="AG200" s="673"/>
      <c r="AH200" s="673"/>
      <c r="AI200" s="673"/>
      <c r="AJ200" s="673"/>
      <c r="AK200" s="673"/>
      <c r="AL200" s="673"/>
      <c r="AM200" s="673"/>
      <c r="AN200" s="673"/>
      <c r="AO200" s="673"/>
      <c r="AP200" s="673"/>
      <c r="AQ200" s="673"/>
      <c r="AR200" s="673"/>
      <c r="AS200" s="673"/>
    </row>
    <row r="201">
      <c r="A201" s="653"/>
      <c r="B201" s="654"/>
      <c r="C201" s="655"/>
      <c r="D201" s="656"/>
      <c r="E201" s="657"/>
      <c r="F201" s="658"/>
      <c r="G201" s="659"/>
      <c r="H201" s="660"/>
      <c r="I201" s="659"/>
      <c r="J201" s="661"/>
      <c r="K201" s="658"/>
      <c r="L201" s="662"/>
      <c r="M201" s="663"/>
      <c r="N201" s="664"/>
      <c r="O201" s="665"/>
      <c r="P201" s="666"/>
      <c r="Q201" s="667"/>
      <c r="R201" s="668"/>
      <c r="S201" s="665"/>
      <c r="T201" s="669"/>
      <c r="U201" s="669"/>
      <c r="V201" s="665"/>
      <c r="W201" s="670"/>
      <c r="X201" s="670"/>
      <c r="Y201" s="671"/>
      <c r="Z201" s="671"/>
      <c r="AA201" s="672"/>
      <c r="AB201" s="673"/>
      <c r="AC201" s="673"/>
      <c r="AD201" s="673"/>
      <c r="AE201" s="673"/>
      <c r="AF201" s="673"/>
      <c r="AG201" s="673"/>
      <c r="AH201" s="673"/>
      <c r="AI201" s="673"/>
      <c r="AJ201" s="673"/>
      <c r="AK201" s="673"/>
      <c r="AL201" s="673"/>
      <c r="AM201" s="673"/>
      <c r="AN201" s="673"/>
      <c r="AO201" s="673"/>
      <c r="AP201" s="673"/>
      <c r="AQ201" s="673"/>
      <c r="AR201" s="673"/>
      <c r="AS201" s="673"/>
    </row>
    <row r="202">
      <c r="A202" s="653"/>
      <c r="B202" s="654"/>
      <c r="C202" s="655"/>
      <c r="D202" s="656"/>
      <c r="E202" s="657"/>
      <c r="F202" s="658"/>
      <c r="G202" s="659"/>
      <c r="H202" s="660"/>
      <c r="I202" s="659"/>
      <c r="J202" s="661"/>
      <c r="K202" s="658"/>
      <c r="L202" s="662"/>
      <c r="M202" s="663"/>
      <c r="N202" s="664"/>
      <c r="O202" s="665"/>
      <c r="P202" s="666"/>
      <c r="Q202" s="667"/>
      <c r="R202" s="668"/>
      <c r="S202" s="665"/>
      <c r="T202" s="669"/>
      <c r="U202" s="669"/>
      <c r="V202" s="665"/>
      <c r="W202" s="670"/>
      <c r="X202" s="670"/>
      <c r="Y202" s="671"/>
      <c r="Z202" s="671"/>
      <c r="AA202" s="672"/>
      <c r="AB202" s="673"/>
      <c r="AC202" s="673"/>
      <c r="AD202" s="673"/>
      <c r="AE202" s="673"/>
      <c r="AF202" s="673"/>
      <c r="AG202" s="673"/>
      <c r="AH202" s="673"/>
      <c r="AI202" s="673"/>
      <c r="AJ202" s="673"/>
      <c r="AK202" s="673"/>
      <c r="AL202" s="673"/>
      <c r="AM202" s="673"/>
      <c r="AN202" s="673"/>
      <c r="AO202" s="673"/>
      <c r="AP202" s="673"/>
      <c r="AQ202" s="673"/>
      <c r="AR202" s="673"/>
      <c r="AS202" s="673"/>
    </row>
    <row r="203">
      <c r="A203" s="653"/>
      <c r="B203" s="654"/>
      <c r="C203" s="655"/>
      <c r="D203" s="656"/>
      <c r="E203" s="657"/>
      <c r="F203" s="658"/>
      <c r="G203" s="659"/>
      <c r="H203" s="660"/>
      <c r="I203" s="659"/>
      <c r="J203" s="661"/>
      <c r="K203" s="658"/>
      <c r="L203" s="662"/>
      <c r="M203" s="663"/>
      <c r="N203" s="664"/>
      <c r="O203" s="665"/>
      <c r="P203" s="666"/>
      <c r="Q203" s="667"/>
      <c r="R203" s="668"/>
      <c r="S203" s="665"/>
      <c r="T203" s="669"/>
      <c r="U203" s="669"/>
      <c r="V203" s="665"/>
      <c r="W203" s="670"/>
      <c r="X203" s="670"/>
      <c r="Y203" s="671"/>
      <c r="Z203" s="671"/>
      <c r="AA203" s="672"/>
      <c r="AB203" s="673"/>
      <c r="AC203" s="673"/>
      <c r="AD203" s="673"/>
      <c r="AE203" s="673"/>
      <c r="AF203" s="673"/>
      <c r="AG203" s="673"/>
      <c r="AH203" s="673"/>
      <c r="AI203" s="673"/>
      <c r="AJ203" s="673"/>
      <c r="AK203" s="673"/>
      <c r="AL203" s="673"/>
      <c r="AM203" s="673"/>
      <c r="AN203" s="673"/>
      <c r="AO203" s="673"/>
      <c r="AP203" s="673"/>
      <c r="AQ203" s="673"/>
      <c r="AR203" s="673"/>
      <c r="AS203" s="673"/>
    </row>
    <row r="204">
      <c r="A204" s="653"/>
      <c r="B204" s="654"/>
      <c r="C204" s="655"/>
      <c r="D204" s="656"/>
      <c r="E204" s="657"/>
      <c r="F204" s="658"/>
      <c r="G204" s="659"/>
      <c r="H204" s="660"/>
      <c r="I204" s="659"/>
      <c r="J204" s="661"/>
      <c r="K204" s="658"/>
      <c r="L204" s="662"/>
      <c r="M204" s="663"/>
      <c r="N204" s="664"/>
      <c r="O204" s="665"/>
      <c r="P204" s="666"/>
      <c r="Q204" s="667"/>
      <c r="R204" s="668"/>
      <c r="S204" s="665"/>
      <c r="T204" s="669"/>
      <c r="U204" s="669"/>
      <c r="V204" s="665"/>
      <c r="W204" s="670"/>
      <c r="X204" s="670"/>
      <c r="Y204" s="671"/>
      <c r="Z204" s="671"/>
      <c r="AA204" s="672"/>
      <c r="AB204" s="673"/>
      <c r="AC204" s="673"/>
      <c r="AD204" s="673"/>
      <c r="AE204" s="673"/>
      <c r="AF204" s="673"/>
      <c r="AG204" s="673"/>
      <c r="AH204" s="673"/>
      <c r="AI204" s="673"/>
      <c r="AJ204" s="673"/>
      <c r="AK204" s="673"/>
      <c r="AL204" s="673"/>
      <c r="AM204" s="673"/>
      <c r="AN204" s="673"/>
      <c r="AO204" s="673"/>
      <c r="AP204" s="673"/>
      <c r="AQ204" s="673"/>
      <c r="AR204" s="673"/>
      <c r="AS204" s="673"/>
    </row>
    <row r="205">
      <c r="A205" s="653"/>
      <c r="B205" s="654"/>
      <c r="C205" s="655"/>
      <c r="D205" s="656"/>
      <c r="E205" s="657"/>
      <c r="F205" s="658"/>
      <c r="G205" s="659"/>
      <c r="H205" s="660"/>
      <c r="I205" s="659"/>
      <c r="J205" s="661"/>
      <c r="K205" s="658"/>
      <c r="L205" s="662"/>
      <c r="M205" s="663"/>
      <c r="N205" s="664"/>
      <c r="O205" s="665"/>
      <c r="P205" s="666"/>
      <c r="Q205" s="667"/>
      <c r="R205" s="668"/>
      <c r="S205" s="665"/>
      <c r="T205" s="669"/>
      <c r="U205" s="669"/>
      <c r="V205" s="665"/>
      <c r="W205" s="670"/>
      <c r="X205" s="670"/>
      <c r="Y205" s="671"/>
      <c r="Z205" s="671"/>
      <c r="AA205" s="672"/>
      <c r="AB205" s="673"/>
      <c r="AC205" s="673"/>
      <c r="AD205" s="673"/>
      <c r="AE205" s="673"/>
      <c r="AF205" s="673"/>
      <c r="AG205" s="673"/>
      <c r="AH205" s="673"/>
      <c r="AI205" s="673"/>
      <c r="AJ205" s="673"/>
      <c r="AK205" s="673"/>
      <c r="AL205" s="673"/>
      <c r="AM205" s="673"/>
      <c r="AN205" s="673"/>
      <c r="AO205" s="673"/>
      <c r="AP205" s="673"/>
      <c r="AQ205" s="673"/>
      <c r="AR205" s="673"/>
      <c r="AS205" s="673"/>
    </row>
    <row r="206">
      <c r="A206" s="653"/>
      <c r="B206" s="654"/>
      <c r="C206" s="655"/>
      <c r="D206" s="656"/>
      <c r="E206" s="657"/>
      <c r="F206" s="658"/>
      <c r="G206" s="659"/>
      <c r="H206" s="660"/>
      <c r="I206" s="659"/>
      <c r="J206" s="661"/>
      <c r="K206" s="658"/>
      <c r="L206" s="662"/>
      <c r="M206" s="663"/>
      <c r="N206" s="664"/>
      <c r="O206" s="665"/>
      <c r="P206" s="666"/>
      <c r="Q206" s="667"/>
      <c r="R206" s="668"/>
      <c r="S206" s="665"/>
      <c r="T206" s="669"/>
      <c r="U206" s="669"/>
      <c r="V206" s="665"/>
      <c r="W206" s="670"/>
      <c r="X206" s="670"/>
      <c r="Y206" s="671"/>
      <c r="Z206" s="671"/>
      <c r="AA206" s="672"/>
      <c r="AB206" s="673"/>
      <c r="AC206" s="673"/>
      <c r="AD206" s="673"/>
      <c r="AE206" s="673"/>
      <c r="AF206" s="673"/>
      <c r="AG206" s="673"/>
      <c r="AH206" s="673"/>
      <c r="AI206" s="673"/>
      <c r="AJ206" s="673"/>
      <c r="AK206" s="673"/>
      <c r="AL206" s="673"/>
      <c r="AM206" s="673"/>
      <c r="AN206" s="673"/>
      <c r="AO206" s="673"/>
      <c r="AP206" s="673"/>
      <c r="AQ206" s="673"/>
      <c r="AR206" s="673"/>
      <c r="AS206" s="673"/>
    </row>
    <row r="207">
      <c r="A207" s="653"/>
      <c r="B207" s="654"/>
      <c r="C207" s="655"/>
      <c r="D207" s="656"/>
      <c r="E207" s="657"/>
      <c r="F207" s="658"/>
      <c r="G207" s="659"/>
      <c r="H207" s="660"/>
      <c r="I207" s="659"/>
      <c r="J207" s="661"/>
      <c r="K207" s="658"/>
      <c r="L207" s="662"/>
      <c r="M207" s="663"/>
      <c r="N207" s="664"/>
      <c r="O207" s="665"/>
      <c r="P207" s="666"/>
      <c r="Q207" s="667"/>
      <c r="R207" s="668"/>
      <c r="S207" s="665"/>
      <c r="T207" s="669"/>
      <c r="U207" s="669"/>
      <c r="V207" s="665"/>
      <c r="W207" s="670"/>
      <c r="X207" s="670"/>
      <c r="Y207" s="671"/>
      <c r="Z207" s="671"/>
      <c r="AA207" s="672"/>
      <c r="AB207" s="673"/>
      <c r="AC207" s="673"/>
      <c r="AD207" s="673"/>
      <c r="AE207" s="673"/>
      <c r="AF207" s="673"/>
      <c r="AG207" s="673"/>
      <c r="AH207" s="673"/>
      <c r="AI207" s="673"/>
      <c r="AJ207" s="673"/>
      <c r="AK207" s="673"/>
      <c r="AL207" s="673"/>
      <c r="AM207" s="673"/>
      <c r="AN207" s="673"/>
      <c r="AO207" s="673"/>
      <c r="AP207" s="673"/>
      <c r="AQ207" s="673"/>
      <c r="AR207" s="673"/>
      <c r="AS207" s="673"/>
    </row>
    <row r="208">
      <c r="A208" s="653"/>
      <c r="B208" s="654"/>
      <c r="C208" s="655"/>
      <c r="D208" s="656"/>
      <c r="E208" s="657"/>
      <c r="F208" s="658"/>
      <c r="G208" s="659"/>
      <c r="H208" s="660"/>
      <c r="I208" s="659"/>
      <c r="J208" s="661"/>
      <c r="K208" s="658"/>
      <c r="L208" s="662"/>
      <c r="M208" s="663"/>
      <c r="N208" s="664"/>
      <c r="O208" s="665"/>
      <c r="P208" s="666"/>
      <c r="Q208" s="667"/>
      <c r="R208" s="668"/>
      <c r="S208" s="665"/>
      <c r="T208" s="669"/>
      <c r="U208" s="669"/>
      <c r="V208" s="665"/>
      <c r="W208" s="670"/>
      <c r="X208" s="670"/>
      <c r="Y208" s="671"/>
      <c r="Z208" s="671"/>
      <c r="AA208" s="672"/>
      <c r="AB208" s="673"/>
      <c r="AC208" s="673"/>
      <c r="AD208" s="673"/>
      <c r="AE208" s="673"/>
      <c r="AF208" s="673"/>
      <c r="AG208" s="673"/>
      <c r="AH208" s="673"/>
      <c r="AI208" s="673"/>
      <c r="AJ208" s="673"/>
      <c r="AK208" s="673"/>
      <c r="AL208" s="673"/>
      <c r="AM208" s="673"/>
      <c r="AN208" s="673"/>
      <c r="AO208" s="673"/>
      <c r="AP208" s="673"/>
      <c r="AQ208" s="673"/>
      <c r="AR208" s="673"/>
      <c r="AS208" s="673"/>
    </row>
    <row r="209">
      <c r="A209" s="653"/>
      <c r="B209" s="654"/>
      <c r="C209" s="655"/>
      <c r="D209" s="656"/>
      <c r="E209" s="657"/>
      <c r="F209" s="658"/>
      <c r="G209" s="659"/>
      <c r="H209" s="660"/>
      <c r="I209" s="659"/>
      <c r="J209" s="661"/>
      <c r="K209" s="658"/>
      <c r="L209" s="662"/>
      <c r="M209" s="663"/>
      <c r="N209" s="664"/>
      <c r="O209" s="665"/>
      <c r="P209" s="666"/>
      <c r="Q209" s="667"/>
      <c r="R209" s="668"/>
      <c r="S209" s="665"/>
      <c r="T209" s="669"/>
      <c r="U209" s="669"/>
      <c r="V209" s="665"/>
      <c r="W209" s="670"/>
      <c r="X209" s="670"/>
      <c r="Y209" s="671"/>
      <c r="Z209" s="671"/>
      <c r="AA209" s="672"/>
      <c r="AB209" s="673"/>
      <c r="AC209" s="673"/>
      <c r="AD209" s="673"/>
      <c r="AE209" s="673"/>
      <c r="AF209" s="673"/>
      <c r="AG209" s="673"/>
      <c r="AH209" s="673"/>
      <c r="AI209" s="673"/>
      <c r="AJ209" s="673"/>
      <c r="AK209" s="673"/>
      <c r="AL209" s="673"/>
      <c r="AM209" s="673"/>
      <c r="AN209" s="673"/>
      <c r="AO209" s="673"/>
      <c r="AP209" s="673"/>
      <c r="AQ209" s="673"/>
      <c r="AR209" s="673"/>
      <c r="AS209" s="673"/>
    </row>
    <row r="210">
      <c r="A210" s="653"/>
      <c r="B210" s="654"/>
      <c r="C210" s="655"/>
      <c r="D210" s="656"/>
      <c r="E210" s="657"/>
      <c r="F210" s="658"/>
      <c r="G210" s="659"/>
      <c r="H210" s="660"/>
      <c r="I210" s="659"/>
      <c r="J210" s="661"/>
      <c r="K210" s="658"/>
      <c r="L210" s="662"/>
      <c r="M210" s="663"/>
      <c r="N210" s="664"/>
      <c r="O210" s="665"/>
      <c r="P210" s="666"/>
      <c r="Q210" s="667"/>
      <c r="R210" s="668"/>
      <c r="S210" s="665"/>
      <c r="T210" s="669"/>
      <c r="U210" s="669"/>
      <c r="V210" s="665"/>
      <c r="W210" s="670"/>
      <c r="X210" s="670"/>
      <c r="Y210" s="671"/>
      <c r="Z210" s="671"/>
      <c r="AA210" s="672"/>
      <c r="AB210" s="673"/>
      <c r="AC210" s="673"/>
      <c r="AD210" s="673"/>
      <c r="AE210" s="673"/>
      <c r="AF210" s="673"/>
      <c r="AG210" s="673"/>
      <c r="AH210" s="673"/>
      <c r="AI210" s="673"/>
      <c r="AJ210" s="673"/>
      <c r="AK210" s="673"/>
      <c r="AL210" s="673"/>
      <c r="AM210" s="673"/>
      <c r="AN210" s="673"/>
      <c r="AO210" s="673"/>
      <c r="AP210" s="673"/>
      <c r="AQ210" s="673"/>
      <c r="AR210" s="673"/>
      <c r="AS210" s="673"/>
    </row>
    <row r="211">
      <c r="A211" s="653"/>
      <c r="B211" s="654"/>
      <c r="C211" s="655"/>
      <c r="D211" s="656"/>
      <c r="E211" s="657"/>
      <c r="F211" s="658"/>
      <c r="G211" s="659"/>
      <c r="H211" s="660"/>
      <c r="I211" s="659"/>
      <c r="J211" s="661"/>
      <c r="K211" s="658"/>
      <c r="L211" s="662"/>
      <c r="M211" s="663"/>
      <c r="N211" s="664"/>
      <c r="O211" s="665"/>
      <c r="P211" s="666"/>
      <c r="Q211" s="667"/>
      <c r="R211" s="668"/>
      <c r="S211" s="665"/>
      <c r="T211" s="669"/>
      <c r="U211" s="669"/>
      <c r="V211" s="665"/>
      <c r="W211" s="670"/>
      <c r="X211" s="670"/>
      <c r="Y211" s="671"/>
      <c r="Z211" s="671"/>
      <c r="AA211" s="672"/>
      <c r="AB211" s="673"/>
      <c r="AC211" s="673"/>
      <c r="AD211" s="673"/>
      <c r="AE211" s="673"/>
      <c r="AF211" s="673"/>
      <c r="AG211" s="673"/>
      <c r="AH211" s="673"/>
      <c r="AI211" s="673"/>
      <c r="AJ211" s="673"/>
      <c r="AK211" s="673"/>
      <c r="AL211" s="673"/>
      <c r="AM211" s="673"/>
      <c r="AN211" s="673"/>
      <c r="AO211" s="673"/>
      <c r="AP211" s="673"/>
      <c r="AQ211" s="673"/>
      <c r="AR211" s="673"/>
      <c r="AS211" s="673"/>
    </row>
    <row r="212">
      <c r="A212" s="653"/>
      <c r="B212" s="654"/>
      <c r="C212" s="655"/>
      <c r="D212" s="656"/>
      <c r="E212" s="657"/>
      <c r="F212" s="658"/>
      <c r="G212" s="659"/>
      <c r="H212" s="660"/>
      <c r="I212" s="659"/>
      <c r="J212" s="661"/>
      <c r="K212" s="658"/>
      <c r="L212" s="662"/>
      <c r="M212" s="663"/>
      <c r="N212" s="664"/>
      <c r="O212" s="665"/>
      <c r="P212" s="666"/>
      <c r="Q212" s="667"/>
      <c r="R212" s="668"/>
      <c r="S212" s="665"/>
      <c r="T212" s="669"/>
      <c r="U212" s="669"/>
      <c r="V212" s="665"/>
      <c r="W212" s="670"/>
      <c r="X212" s="670"/>
      <c r="Y212" s="671"/>
      <c r="Z212" s="671"/>
      <c r="AA212" s="672"/>
      <c r="AB212" s="673"/>
      <c r="AC212" s="673"/>
      <c r="AD212" s="673"/>
      <c r="AE212" s="673"/>
      <c r="AF212" s="673"/>
      <c r="AG212" s="673"/>
      <c r="AH212" s="673"/>
      <c r="AI212" s="673"/>
      <c r="AJ212" s="673"/>
      <c r="AK212" s="673"/>
      <c r="AL212" s="673"/>
      <c r="AM212" s="673"/>
      <c r="AN212" s="673"/>
      <c r="AO212" s="673"/>
      <c r="AP212" s="673"/>
      <c r="AQ212" s="673"/>
      <c r="AR212" s="673"/>
      <c r="AS212" s="673"/>
    </row>
    <row r="213">
      <c r="A213" s="653"/>
      <c r="B213" s="654"/>
      <c r="C213" s="655"/>
      <c r="D213" s="656"/>
      <c r="E213" s="657"/>
      <c r="F213" s="658"/>
      <c r="G213" s="659"/>
      <c r="H213" s="660"/>
      <c r="I213" s="659"/>
      <c r="J213" s="661"/>
      <c r="K213" s="658"/>
      <c r="L213" s="662"/>
      <c r="M213" s="663"/>
      <c r="N213" s="664"/>
      <c r="O213" s="665"/>
      <c r="P213" s="666"/>
      <c r="Q213" s="667"/>
      <c r="R213" s="668"/>
      <c r="S213" s="665"/>
      <c r="T213" s="669"/>
      <c r="U213" s="669"/>
      <c r="V213" s="665"/>
      <c r="W213" s="670"/>
      <c r="X213" s="670"/>
      <c r="Y213" s="671"/>
      <c r="Z213" s="671"/>
      <c r="AA213" s="672"/>
      <c r="AB213" s="673"/>
      <c r="AC213" s="673"/>
      <c r="AD213" s="673"/>
      <c r="AE213" s="673"/>
      <c r="AF213" s="673"/>
      <c r="AG213" s="673"/>
      <c r="AH213" s="673"/>
      <c r="AI213" s="673"/>
      <c r="AJ213" s="673"/>
      <c r="AK213" s="673"/>
      <c r="AL213" s="673"/>
      <c r="AM213" s="673"/>
      <c r="AN213" s="673"/>
      <c r="AO213" s="673"/>
      <c r="AP213" s="673"/>
      <c r="AQ213" s="673"/>
      <c r="AR213" s="673"/>
      <c r="AS213" s="673"/>
    </row>
    <row r="214">
      <c r="A214" s="653"/>
      <c r="B214" s="654"/>
      <c r="C214" s="655"/>
      <c r="D214" s="656"/>
      <c r="E214" s="657"/>
      <c r="F214" s="658"/>
      <c r="G214" s="659"/>
      <c r="H214" s="660"/>
      <c r="I214" s="659"/>
      <c r="J214" s="661"/>
      <c r="K214" s="658"/>
      <c r="L214" s="662"/>
      <c r="M214" s="663"/>
      <c r="N214" s="664"/>
      <c r="O214" s="665"/>
      <c r="P214" s="666"/>
      <c r="Q214" s="667"/>
      <c r="R214" s="668"/>
      <c r="S214" s="665"/>
      <c r="T214" s="669"/>
      <c r="U214" s="669"/>
      <c r="V214" s="665"/>
      <c r="W214" s="670"/>
      <c r="X214" s="670"/>
      <c r="Y214" s="671"/>
      <c r="Z214" s="671"/>
      <c r="AA214" s="672"/>
      <c r="AB214" s="673"/>
      <c r="AC214" s="673"/>
      <c r="AD214" s="673"/>
      <c r="AE214" s="673"/>
      <c r="AF214" s="673"/>
      <c r="AG214" s="673"/>
      <c r="AH214" s="673"/>
      <c r="AI214" s="673"/>
      <c r="AJ214" s="673"/>
      <c r="AK214" s="673"/>
      <c r="AL214" s="673"/>
      <c r="AM214" s="673"/>
      <c r="AN214" s="673"/>
      <c r="AO214" s="673"/>
      <c r="AP214" s="673"/>
      <c r="AQ214" s="673"/>
      <c r="AR214" s="673"/>
      <c r="AS214" s="673"/>
    </row>
    <row r="215">
      <c r="A215" s="653"/>
      <c r="B215" s="654"/>
      <c r="C215" s="655"/>
      <c r="D215" s="656"/>
      <c r="E215" s="657"/>
      <c r="F215" s="658"/>
      <c r="G215" s="659"/>
      <c r="H215" s="660"/>
      <c r="I215" s="659"/>
      <c r="J215" s="661"/>
      <c r="K215" s="658"/>
      <c r="L215" s="662"/>
      <c r="M215" s="663"/>
      <c r="N215" s="664"/>
      <c r="O215" s="665"/>
      <c r="P215" s="666"/>
      <c r="Q215" s="667"/>
      <c r="R215" s="668"/>
      <c r="S215" s="665"/>
      <c r="T215" s="669"/>
      <c r="U215" s="669"/>
      <c r="V215" s="665"/>
      <c r="W215" s="670"/>
      <c r="X215" s="670"/>
      <c r="Y215" s="671"/>
      <c r="Z215" s="671"/>
      <c r="AA215" s="672"/>
      <c r="AB215" s="673"/>
      <c r="AC215" s="673"/>
      <c r="AD215" s="673"/>
      <c r="AE215" s="673"/>
      <c r="AF215" s="673"/>
      <c r="AG215" s="673"/>
      <c r="AH215" s="673"/>
      <c r="AI215" s="673"/>
      <c r="AJ215" s="673"/>
      <c r="AK215" s="673"/>
      <c r="AL215" s="673"/>
      <c r="AM215" s="673"/>
      <c r="AN215" s="673"/>
      <c r="AO215" s="673"/>
      <c r="AP215" s="673"/>
      <c r="AQ215" s="673"/>
      <c r="AR215" s="673"/>
      <c r="AS215" s="673"/>
    </row>
    <row r="216">
      <c r="A216" s="653"/>
      <c r="B216" s="654"/>
      <c r="C216" s="655"/>
      <c r="D216" s="656"/>
      <c r="E216" s="657"/>
      <c r="F216" s="658"/>
      <c r="G216" s="659"/>
      <c r="H216" s="660"/>
      <c r="I216" s="659"/>
      <c r="J216" s="661"/>
      <c r="K216" s="658"/>
      <c r="L216" s="662"/>
      <c r="M216" s="663"/>
      <c r="N216" s="664"/>
      <c r="O216" s="665"/>
      <c r="P216" s="666"/>
      <c r="Q216" s="667"/>
      <c r="R216" s="668"/>
      <c r="S216" s="665"/>
      <c r="T216" s="669"/>
      <c r="U216" s="669"/>
      <c r="V216" s="665"/>
      <c r="W216" s="670"/>
      <c r="X216" s="670"/>
      <c r="Y216" s="671"/>
      <c r="Z216" s="671"/>
      <c r="AA216" s="672"/>
      <c r="AB216" s="673"/>
      <c r="AC216" s="673"/>
      <c r="AD216" s="673"/>
      <c r="AE216" s="673"/>
      <c r="AF216" s="673"/>
      <c r="AG216" s="673"/>
      <c r="AH216" s="673"/>
      <c r="AI216" s="673"/>
      <c r="AJ216" s="673"/>
      <c r="AK216" s="673"/>
      <c r="AL216" s="673"/>
      <c r="AM216" s="673"/>
      <c r="AN216" s="673"/>
      <c r="AO216" s="673"/>
      <c r="AP216" s="673"/>
      <c r="AQ216" s="673"/>
      <c r="AR216" s="673"/>
      <c r="AS216" s="673"/>
    </row>
    <row r="217">
      <c r="A217" s="653"/>
      <c r="B217" s="654"/>
      <c r="C217" s="655"/>
      <c r="D217" s="656"/>
      <c r="E217" s="657"/>
      <c r="F217" s="658"/>
      <c r="G217" s="659"/>
      <c r="H217" s="660"/>
      <c r="I217" s="659"/>
      <c r="J217" s="661"/>
      <c r="K217" s="658"/>
      <c r="L217" s="662"/>
      <c r="M217" s="663"/>
      <c r="N217" s="664"/>
      <c r="O217" s="665"/>
      <c r="P217" s="666"/>
      <c r="Q217" s="667"/>
      <c r="R217" s="668"/>
      <c r="S217" s="665"/>
      <c r="T217" s="669"/>
      <c r="U217" s="669"/>
      <c r="V217" s="665"/>
      <c r="W217" s="670"/>
      <c r="X217" s="670"/>
      <c r="Y217" s="671"/>
      <c r="Z217" s="671"/>
      <c r="AA217" s="672"/>
      <c r="AB217" s="673"/>
      <c r="AC217" s="673"/>
      <c r="AD217" s="673"/>
      <c r="AE217" s="673"/>
      <c r="AF217" s="673"/>
      <c r="AG217" s="673"/>
      <c r="AH217" s="673"/>
      <c r="AI217" s="673"/>
      <c r="AJ217" s="673"/>
      <c r="AK217" s="673"/>
      <c r="AL217" s="673"/>
      <c r="AM217" s="673"/>
      <c r="AN217" s="673"/>
      <c r="AO217" s="673"/>
      <c r="AP217" s="673"/>
      <c r="AQ217" s="673"/>
      <c r="AR217" s="673"/>
      <c r="AS217" s="673"/>
    </row>
    <row r="218">
      <c r="A218" s="653"/>
      <c r="B218" s="654"/>
      <c r="C218" s="655"/>
      <c r="D218" s="656"/>
      <c r="E218" s="657"/>
      <c r="F218" s="658"/>
      <c r="G218" s="659"/>
      <c r="H218" s="660"/>
      <c r="I218" s="659"/>
      <c r="J218" s="661"/>
      <c r="K218" s="658"/>
      <c r="L218" s="662"/>
      <c r="M218" s="663"/>
      <c r="N218" s="664"/>
      <c r="O218" s="665"/>
      <c r="P218" s="666"/>
      <c r="Q218" s="667"/>
      <c r="R218" s="668"/>
      <c r="S218" s="665"/>
      <c r="T218" s="669"/>
      <c r="U218" s="669"/>
      <c r="V218" s="665"/>
      <c r="W218" s="670"/>
      <c r="X218" s="670"/>
      <c r="Y218" s="671"/>
      <c r="Z218" s="671"/>
      <c r="AA218" s="672"/>
      <c r="AB218" s="673"/>
      <c r="AC218" s="673"/>
      <c r="AD218" s="673"/>
      <c r="AE218" s="673"/>
      <c r="AF218" s="673"/>
      <c r="AG218" s="673"/>
      <c r="AH218" s="673"/>
      <c r="AI218" s="673"/>
      <c r="AJ218" s="673"/>
      <c r="AK218" s="673"/>
      <c r="AL218" s="673"/>
      <c r="AM218" s="673"/>
      <c r="AN218" s="673"/>
      <c r="AO218" s="673"/>
      <c r="AP218" s="673"/>
      <c r="AQ218" s="673"/>
      <c r="AR218" s="673"/>
      <c r="AS218" s="673"/>
    </row>
    <row r="219">
      <c r="A219" s="653"/>
      <c r="B219" s="654"/>
      <c r="C219" s="655"/>
      <c r="D219" s="656"/>
      <c r="E219" s="657"/>
      <c r="F219" s="658"/>
      <c r="G219" s="659"/>
      <c r="H219" s="660"/>
      <c r="I219" s="659"/>
      <c r="J219" s="661"/>
      <c r="K219" s="658"/>
      <c r="L219" s="662"/>
      <c r="M219" s="663"/>
      <c r="N219" s="664"/>
      <c r="O219" s="665"/>
      <c r="P219" s="666"/>
      <c r="Q219" s="667"/>
      <c r="R219" s="668"/>
      <c r="S219" s="665"/>
      <c r="T219" s="669"/>
      <c r="U219" s="669"/>
      <c r="V219" s="665"/>
      <c r="W219" s="670"/>
      <c r="X219" s="670"/>
      <c r="Y219" s="671"/>
      <c r="Z219" s="671"/>
      <c r="AA219" s="672"/>
      <c r="AB219" s="673"/>
      <c r="AC219" s="673"/>
      <c r="AD219" s="673"/>
      <c r="AE219" s="673"/>
      <c r="AF219" s="673"/>
      <c r="AG219" s="673"/>
      <c r="AH219" s="673"/>
      <c r="AI219" s="673"/>
      <c r="AJ219" s="673"/>
      <c r="AK219" s="673"/>
      <c r="AL219" s="673"/>
      <c r="AM219" s="673"/>
      <c r="AN219" s="673"/>
      <c r="AO219" s="673"/>
      <c r="AP219" s="673"/>
      <c r="AQ219" s="673"/>
      <c r="AR219" s="673"/>
      <c r="AS219" s="673"/>
    </row>
    <row r="220">
      <c r="A220" s="653"/>
      <c r="B220" s="654"/>
      <c r="C220" s="655"/>
      <c r="D220" s="656"/>
      <c r="E220" s="657"/>
      <c r="F220" s="658"/>
      <c r="G220" s="659"/>
      <c r="H220" s="660"/>
      <c r="I220" s="659"/>
      <c r="J220" s="661"/>
      <c r="K220" s="658"/>
      <c r="L220" s="662"/>
      <c r="M220" s="663"/>
      <c r="N220" s="664"/>
      <c r="O220" s="665"/>
      <c r="P220" s="666"/>
      <c r="Q220" s="667"/>
      <c r="R220" s="668"/>
      <c r="S220" s="665"/>
      <c r="T220" s="669"/>
      <c r="U220" s="669"/>
      <c r="V220" s="665"/>
      <c r="W220" s="670"/>
      <c r="X220" s="670"/>
      <c r="Y220" s="671"/>
      <c r="Z220" s="671"/>
      <c r="AA220" s="672"/>
      <c r="AB220" s="673"/>
      <c r="AC220" s="673"/>
      <c r="AD220" s="673"/>
      <c r="AE220" s="673"/>
      <c r="AF220" s="673"/>
      <c r="AG220" s="673"/>
      <c r="AH220" s="673"/>
      <c r="AI220" s="673"/>
      <c r="AJ220" s="673"/>
      <c r="AK220" s="673"/>
      <c r="AL220" s="673"/>
      <c r="AM220" s="673"/>
      <c r="AN220" s="673"/>
      <c r="AO220" s="673"/>
      <c r="AP220" s="673"/>
      <c r="AQ220" s="673"/>
      <c r="AR220" s="673"/>
      <c r="AS220" s="673"/>
    </row>
    <row r="221">
      <c r="A221" s="653"/>
      <c r="B221" s="654"/>
      <c r="C221" s="655"/>
      <c r="D221" s="656"/>
      <c r="E221" s="657"/>
      <c r="F221" s="658"/>
      <c r="G221" s="659"/>
      <c r="H221" s="660"/>
      <c r="I221" s="659"/>
      <c r="J221" s="661"/>
      <c r="K221" s="658"/>
      <c r="L221" s="662"/>
      <c r="M221" s="663"/>
      <c r="N221" s="664"/>
      <c r="O221" s="665"/>
      <c r="P221" s="666"/>
      <c r="Q221" s="667"/>
      <c r="R221" s="668"/>
      <c r="S221" s="665"/>
      <c r="T221" s="669"/>
      <c r="U221" s="669"/>
      <c r="V221" s="665"/>
      <c r="W221" s="670"/>
      <c r="X221" s="670"/>
      <c r="Y221" s="671"/>
      <c r="Z221" s="671"/>
      <c r="AA221" s="672"/>
      <c r="AB221" s="673"/>
      <c r="AC221" s="673"/>
      <c r="AD221" s="673"/>
      <c r="AE221" s="673"/>
      <c r="AF221" s="673"/>
      <c r="AG221" s="673"/>
      <c r="AH221" s="673"/>
      <c r="AI221" s="673"/>
      <c r="AJ221" s="673"/>
      <c r="AK221" s="673"/>
      <c r="AL221" s="673"/>
      <c r="AM221" s="673"/>
      <c r="AN221" s="673"/>
      <c r="AO221" s="673"/>
      <c r="AP221" s="673"/>
      <c r="AQ221" s="673"/>
      <c r="AR221" s="673"/>
      <c r="AS221" s="673"/>
    </row>
    <row r="222">
      <c r="A222" s="653"/>
      <c r="B222" s="654"/>
      <c r="C222" s="655"/>
      <c r="D222" s="656"/>
      <c r="E222" s="657"/>
      <c r="F222" s="658"/>
      <c r="G222" s="659"/>
      <c r="H222" s="660"/>
      <c r="I222" s="659"/>
      <c r="J222" s="661"/>
      <c r="K222" s="658"/>
      <c r="L222" s="662"/>
      <c r="M222" s="663"/>
      <c r="N222" s="664"/>
      <c r="O222" s="665"/>
      <c r="P222" s="666"/>
      <c r="Q222" s="667"/>
      <c r="R222" s="668"/>
      <c r="S222" s="665"/>
      <c r="T222" s="669"/>
      <c r="U222" s="669"/>
      <c r="V222" s="665"/>
      <c r="W222" s="670"/>
      <c r="X222" s="670"/>
      <c r="Y222" s="671"/>
      <c r="Z222" s="671"/>
      <c r="AA222" s="672"/>
      <c r="AB222" s="673"/>
      <c r="AC222" s="673"/>
      <c r="AD222" s="673"/>
      <c r="AE222" s="673"/>
      <c r="AF222" s="673"/>
      <c r="AG222" s="673"/>
      <c r="AH222" s="673"/>
      <c r="AI222" s="673"/>
      <c r="AJ222" s="673"/>
      <c r="AK222" s="673"/>
      <c r="AL222" s="673"/>
      <c r="AM222" s="673"/>
      <c r="AN222" s="673"/>
      <c r="AO222" s="673"/>
      <c r="AP222" s="673"/>
      <c r="AQ222" s="673"/>
      <c r="AR222" s="673"/>
      <c r="AS222" s="673"/>
    </row>
    <row r="223">
      <c r="A223" s="653"/>
      <c r="B223" s="654"/>
      <c r="C223" s="655"/>
      <c r="D223" s="656"/>
      <c r="E223" s="657"/>
      <c r="F223" s="658"/>
      <c r="G223" s="659"/>
      <c r="H223" s="660"/>
      <c r="I223" s="659"/>
      <c r="J223" s="661"/>
      <c r="K223" s="658"/>
      <c r="L223" s="662"/>
      <c r="M223" s="663"/>
      <c r="N223" s="664"/>
      <c r="O223" s="665"/>
      <c r="P223" s="666"/>
      <c r="Q223" s="667"/>
      <c r="R223" s="668"/>
      <c r="S223" s="665"/>
      <c r="T223" s="669"/>
      <c r="U223" s="669"/>
      <c r="V223" s="665"/>
      <c r="W223" s="670"/>
      <c r="X223" s="670"/>
      <c r="Y223" s="671"/>
      <c r="Z223" s="671"/>
      <c r="AA223" s="672"/>
      <c r="AB223" s="673"/>
      <c r="AC223" s="673"/>
      <c r="AD223" s="673"/>
      <c r="AE223" s="673"/>
      <c r="AF223" s="673"/>
      <c r="AG223" s="673"/>
      <c r="AH223" s="673"/>
      <c r="AI223" s="673"/>
      <c r="AJ223" s="673"/>
      <c r="AK223" s="673"/>
      <c r="AL223" s="673"/>
      <c r="AM223" s="673"/>
      <c r="AN223" s="673"/>
      <c r="AO223" s="673"/>
      <c r="AP223" s="673"/>
      <c r="AQ223" s="673"/>
      <c r="AR223" s="673"/>
      <c r="AS223" s="673"/>
    </row>
    <row r="224">
      <c r="A224" s="653"/>
      <c r="B224" s="654"/>
      <c r="C224" s="655"/>
      <c r="D224" s="656"/>
      <c r="E224" s="657"/>
      <c r="F224" s="658"/>
      <c r="G224" s="659"/>
      <c r="H224" s="660"/>
      <c r="I224" s="659"/>
      <c r="J224" s="661"/>
      <c r="K224" s="658"/>
      <c r="L224" s="662"/>
      <c r="M224" s="663"/>
      <c r="N224" s="664"/>
      <c r="O224" s="665"/>
      <c r="P224" s="666"/>
      <c r="Q224" s="667"/>
      <c r="R224" s="668"/>
      <c r="S224" s="665"/>
      <c r="T224" s="669"/>
      <c r="U224" s="669"/>
      <c r="V224" s="665"/>
      <c r="W224" s="670"/>
      <c r="X224" s="670"/>
      <c r="Y224" s="671"/>
      <c r="Z224" s="671"/>
      <c r="AA224" s="672"/>
      <c r="AB224" s="673"/>
      <c r="AC224" s="673"/>
      <c r="AD224" s="673"/>
      <c r="AE224" s="673"/>
      <c r="AF224" s="673"/>
      <c r="AG224" s="673"/>
      <c r="AH224" s="673"/>
      <c r="AI224" s="673"/>
      <c r="AJ224" s="673"/>
      <c r="AK224" s="673"/>
      <c r="AL224" s="673"/>
      <c r="AM224" s="673"/>
      <c r="AN224" s="673"/>
      <c r="AO224" s="673"/>
      <c r="AP224" s="673"/>
      <c r="AQ224" s="673"/>
      <c r="AR224" s="673"/>
      <c r="AS224" s="673"/>
    </row>
    <row r="225">
      <c r="A225" s="653"/>
      <c r="B225" s="654"/>
      <c r="C225" s="655"/>
      <c r="D225" s="656"/>
      <c r="E225" s="657"/>
      <c r="F225" s="658"/>
      <c r="G225" s="659"/>
      <c r="H225" s="660"/>
      <c r="I225" s="659"/>
      <c r="J225" s="661"/>
      <c r="K225" s="658"/>
      <c r="L225" s="662"/>
      <c r="M225" s="663"/>
      <c r="N225" s="664"/>
      <c r="O225" s="665"/>
      <c r="P225" s="666"/>
      <c r="Q225" s="667"/>
      <c r="R225" s="668"/>
      <c r="S225" s="665"/>
      <c r="T225" s="669"/>
      <c r="U225" s="669"/>
      <c r="V225" s="665"/>
      <c r="W225" s="670"/>
      <c r="X225" s="670"/>
      <c r="Y225" s="671"/>
      <c r="Z225" s="671"/>
      <c r="AA225" s="672"/>
      <c r="AB225" s="673"/>
      <c r="AC225" s="673"/>
      <c r="AD225" s="673"/>
      <c r="AE225" s="673"/>
      <c r="AF225" s="673"/>
      <c r="AG225" s="673"/>
      <c r="AH225" s="673"/>
      <c r="AI225" s="673"/>
      <c r="AJ225" s="673"/>
      <c r="AK225" s="673"/>
      <c r="AL225" s="673"/>
      <c r="AM225" s="673"/>
      <c r="AN225" s="673"/>
      <c r="AO225" s="673"/>
      <c r="AP225" s="673"/>
      <c r="AQ225" s="673"/>
      <c r="AR225" s="673"/>
      <c r="AS225" s="673"/>
    </row>
    <row r="226">
      <c r="A226" s="653"/>
      <c r="B226" s="654"/>
      <c r="C226" s="655"/>
      <c r="D226" s="656"/>
      <c r="E226" s="657"/>
      <c r="F226" s="658"/>
      <c r="G226" s="659"/>
      <c r="H226" s="660"/>
      <c r="I226" s="659"/>
      <c r="J226" s="661"/>
      <c r="K226" s="658"/>
      <c r="L226" s="662"/>
      <c r="M226" s="663"/>
      <c r="N226" s="664"/>
      <c r="O226" s="665"/>
      <c r="P226" s="666"/>
      <c r="Q226" s="667"/>
      <c r="R226" s="668"/>
      <c r="S226" s="665"/>
      <c r="T226" s="669"/>
      <c r="U226" s="669"/>
      <c r="V226" s="665"/>
      <c r="W226" s="670"/>
      <c r="X226" s="670"/>
      <c r="Y226" s="671"/>
      <c r="Z226" s="671"/>
      <c r="AA226" s="672"/>
      <c r="AB226" s="673"/>
      <c r="AC226" s="673"/>
      <c r="AD226" s="673"/>
      <c r="AE226" s="673"/>
      <c r="AF226" s="673"/>
      <c r="AG226" s="673"/>
      <c r="AH226" s="673"/>
      <c r="AI226" s="673"/>
      <c r="AJ226" s="673"/>
      <c r="AK226" s="673"/>
      <c r="AL226" s="673"/>
      <c r="AM226" s="673"/>
      <c r="AN226" s="673"/>
      <c r="AO226" s="673"/>
      <c r="AP226" s="673"/>
      <c r="AQ226" s="673"/>
      <c r="AR226" s="673"/>
      <c r="AS226" s="673"/>
    </row>
    <row r="227">
      <c r="A227" s="653"/>
      <c r="B227" s="654"/>
      <c r="C227" s="655"/>
      <c r="D227" s="656"/>
      <c r="E227" s="657"/>
      <c r="F227" s="658"/>
      <c r="G227" s="659"/>
      <c r="H227" s="660"/>
      <c r="I227" s="659"/>
      <c r="J227" s="661"/>
      <c r="K227" s="658"/>
      <c r="L227" s="662"/>
      <c r="M227" s="663"/>
      <c r="N227" s="664"/>
      <c r="O227" s="665"/>
      <c r="P227" s="666"/>
      <c r="Q227" s="667"/>
      <c r="R227" s="668"/>
      <c r="S227" s="665"/>
      <c r="T227" s="669"/>
      <c r="U227" s="669"/>
      <c r="V227" s="665"/>
      <c r="W227" s="670"/>
      <c r="X227" s="670"/>
      <c r="Y227" s="671"/>
      <c r="Z227" s="671"/>
      <c r="AA227" s="672"/>
      <c r="AB227" s="673"/>
      <c r="AC227" s="673"/>
      <c r="AD227" s="673"/>
      <c r="AE227" s="673"/>
      <c r="AF227" s="673"/>
      <c r="AG227" s="673"/>
      <c r="AH227" s="673"/>
      <c r="AI227" s="673"/>
      <c r="AJ227" s="673"/>
      <c r="AK227" s="673"/>
      <c r="AL227" s="673"/>
      <c r="AM227" s="673"/>
      <c r="AN227" s="673"/>
      <c r="AO227" s="673"/>
      <c r="AP227" s="673"/>
      <c r="AQ227" s="673"/>
      <c r="AR227" s="673"/>
      <c r="AS227" s="673"/>
    </row>
    <row r="228">
      <c r="A228" s="653"/>
      <c r="B228" s="654"/>
      <c r="C228" s="655"/>
      <c r="D228" s="656"/>
      <c r="E228" s="657"/>
      <c r="F228" s="658"/>
      <c r="G228" s="659"/>
      <c r="H228" s="660"/>
      <c r="I228" s="659"/>
      <c r="J228" s="661"/>
      <c r="K228" s="658"/>
      <c r="L228" s="662"/>
      <c r="M228" s="663"/>
      <c r="N228" s="664"/>
      <c r="O228" s="665"/>
      <c r="P228" s="666"/>
      <c r="Q228" s="667"/>
      <c r="R228" s="668"/>
      <c r="S228" s="665"/>
      <c r="T228" s="669"/>
      <c r="U228" s="669"/>
      <c r="V228" s="665"/>
      <c r="W228" s="670"/>
      <c r="X228" s="670"/>
      <c r="Y228" s="671"/>
      <c r="Z228" s="671"/>
      <c r="AA228" s="672"/>
      <c r="AB228" s="673"/>
      <c r="AC228" s="673"/>
      <c r="AD228" s="673"/>
      <c r="AE228" s="673"/>
      <c r="AF228" s="673"/>
      <c r="AG228" s="673"/>
      <c r="AH228" s="673"/>
      <c r="AI228" s="673"/>
      <c r="AJ228" s="673"/>
      <c r="AK228" s="673"/>
      <c r="AL228" s="673"/>
      <c r="AM228" s="673"/>
      <c r="AN228" s="673"/>
      <c r="AO228" s="673"/>
      <c r="AP228" s="673"/>
      <c r="AQ228" s="673"/>
      <c r="AR228" s="673"/>
      <c r="AS228" s="673"/>
    </row>
    <row r="229">
      <c r="A229" s="653"/>
      <c r="B229" s="654"/>
      <c r="C229" s="655"/>
      <c r="D229" s="656"/>
      <c r="E229" s="657"/>
      <c r="F229" s="658"/>
      <c r="G229" s="659"/>
      <c r="H229" s="660"/>
      <c r="I229" s="659"/>
      <c r="J229" s="661"/>
      <c r="K229" s="658"/>
      <c r="L229" s="662"/>
      <c r="M229" s="663"/>
      <c r="N229" s="664"/>
      <c r="O229" s="665"/>
      <c r="P229" s="666"/>
      <c r="Q229" s="667"/>
      <c r="R229" s="668"/>
      <c r="S229" s="665"/>
      <c r="T229" s="669"/>
      <c r="U229" s="669"/>
      <c r="V229" s="665"/>
      <c r="W229" s="670"/>
      <c r="X229" s="670"/>
      <c r="Y229" s="671"/>
      <c r="Z229" s="671"/>
      <c r="AA229" s="672"/>
      <c r="AB229" s="673"/>
      <c r="AC229" s="673"/>
      <c r="AD229" s="673"/>
      <c r="AE229" s="673"/>
      <c r="AF229" s="673"/>
      <c r="AG229" s="673"/>
      <c r="AH229" s="673"/>
      <c r="AI229" s="673"/>
      <c r="AJ229" s="673"/>
      <c r="AK229" s="673"/>
      <c r="AL229" s="673"/>
      <c r="AM229" s="673"/>
      <c r="AN229" s="673"/>
      <c r="AO229" s="673"/>
      <c r="AP229" s="673"/>
      <c r="AQ229" s="673"/>
      <c r="AR229" s="673"/>
      <c r="AS229" s="673"/>
    </row>
    <row r="230">
      <c r="A230" s="653"/>
      <c r="B230" s="654"/>
      <c r="C230" s="655"/>
      <c r="D230" s="656"/>
      <c r="E230" s="657"/>
      <c r="F230" s="658"/>
      <c r="G230" s="659"/>
      <c r="H230" s="660"/>
      <c r="I230" s="659"/>
      <c r="J230" s="661"/>
      <c r="K230" s="658"/>
      <c r="L230" s="662"/>
      <c r="M230" s="663"/>
      <c r="N230" s="664"/>
      <c r="O230" s="665"/>
      <c r="P230" s="666"/>
      <c r="Q230" s="667"/>
      <c r="R230" s="668"/>
      <c r="S230" s="665"/>
      <c r="T230" s="669"/>
      <c r="U230" s="669"/>
      <c r="V230" s="665"/>
      <c r="W230" s="670"/>
      <c r="X230" s="670"/>
      <c r="Y230" s="671"/>
      <c r="Z230" s="671"/>
      <c r="AA230" s="672"/>
      <c r="AB230" s="673"/>
      <c r="AC230" s="673"/>
      <c r="AD230" s="673"/>
      <c r="AE230" s="673"/>
      <c r="AF230" s="673"/>
      <c r="AG230" s="673"/>
      <c r="AH230" s="673"/>
      <c r="AI230" s="673"/>
      <c r="AJ230" s="673"/>
      <c r="AK230" s="673"/>
      <c r="AL230" s="673"/>
      <c r="AM230" s="673"/>
      <c r="AN230" s="673"/>
      <c r="AO230" s="673"/>
      <c r="AP230" s="673"/>
      <c r="AQ230" s="673"/>
      <c r="AR230" s="673"/>
      <c r="AS230" s="673"/>
    </row>
    <row r="231">
      <c r="A231" s="653"/>
      <c r="B231" s="654"/>
      <c r="C231" s="655"/>
      <c r="D231" s="656"/>
      <c r="E231" s="657"/>
      <c r="F231" s="658"/>
      <c r="G231" s="659"/>
      <c r="H231" s="660"/>
      <c r="I231" s="659"/>
      <c r="J231" s="661"/>
      <c r="K231" s="658"/>
      <c r="L231" s="662"/>
      <c r="M231" s="663"/>
      <c r="N231" s="664"/>
      <c r="O231" s="665"/>
      <c r="P231" s="666"/>
      <c r="Q231" s="667"/>
      <c r="R231" s="668"/>
      <c r="S231" s="665"/>
      <c r="T231" s="669"/>
      <c r="U231" s="669"/>
      <c r="V231" s="665"/>
      <c r="W231" s="670"/>
      <c r="X231" s="670"/>
      <c r="Y231" s="671"/>
      <c r="Z231" s="671"/>
      <c r="AA231" s="672"/>
      <c r="AB231" s="673"/>
      <c r="AC231" s="673"/>
      <c r="AD231" s="673"/>
      <c r="AE231" s="673"/>
      <c r="AF231" s="673"/>
      <c r="AG231" s="673"/>
      <c r="AH231" s="673"/>
      <c r="AI231" s="673"/>
      <c r="AJ231" s="673"/>
      <c r="AK231" s="673"/>
      <c r="AL231" s="673"/>
      <c r="AM231" s="673"/>
      <c r="AN231" s="673"/>
      <c r="AO231" s="673"/>
      <c r="AP231" s="673"/>
      <c r="AQ231" s="673"/>
      <c r="AR231" s="673"/>
      <c r="AS231" s="673"/>
    </row>
    <row r="232">
      <c r="A232" s="653"/>
      <c r="B232" s="654"/>
      <c r="C232" s="655"/>
      <c r="D232" s="656"/>
      <c r="E232" s="657"/>
      <c r="F232" s="658"/>
      <c r="G232" s="659"/>
      <c r="H232" s="660"/>
      <c r="I232" s="659"/>
      <c r="J232" s="661"/>
      <c r="K232" s="658"/>
      <c r="L232" s="662"/>
      <c r="M232" s="663"/>
      <c r="N232" s="664"/>
      <c r="O232" s="665"/>
      <c r="P232" s="666"/>
      <c r="Q232" s="667"/>
      <c r="R232" s="668"/>
      <c r="S232" s="665"/>
      <c r="T232" s="669"/>
      <c r="U232" s="669"/>
      <c r="V232" s="665"/>
      <c r="W232" s="670"/>
      <c r="X232" s="670"/>
      <c r="Y232" s="671"/>
      <c r="Z232" s="671"/>
      <c r="AA232" s="672"/>
      <c r="AB232" s="673"/>
      <c r="AC232" s="673"/>
      <c r="AD232" s="673"/>
      <c r="AE232" s="673"/>
      <c r="AF232" s="673"/>
      <c r="AG232" s="673"/>
      <c r="AH232" s="673"/>
      <c r="AI232" s="673"/>
      <c r="AJ232" s="673"/>
      <c r="AK232" s="673"/>
      <c r="AL232" s="673"/>
      <c r="AM232" s="673"/>
      <c r="AN232" s="673"/>
      <c r="AO232" s="673"/>
      <c r="AP232" s="673"/>
      <c r="AQ232" s="673"/>
      <c r="AR232" s="673"/>
      <c r="AS232" s="673"/>
    </row>
    <row r="233">
      <c r="A233" s="653"/>
      <c r="B233" s="654"/>
      <c r="C233" s="655"/>
      <c r="D233" s="656"/>
      <c r="E233" s="657"/>
      <c r="F233" s="658"/>
      <c r="G233" s="659"/>
      <c r="H233" s="660"/>
      <c r="I233" s="659"/>
      <c r="J233" s="661"/>
      <c r="K233" s="658"/>
      <c r="L233" s="662"/>
      <c r="M233" s="663"/>
      <c r="N233" s="664"/>
      <c r="O233" s="665"/>
      <c r="P233" s="666"/>
      <c r="Q233" s="667"/>
      <c r="R233" s="668"/>
      <c r="S233" s="665"/>
      <c r="T233" s="669"/>
      <c r="U233" s="669"/>
      <c r="V233" s="665"/>
      <c r="W233" s="670"/>
      <c r="X233" s="670"/>
      <c r="Y233" s="671"/>
      <c r="Z233" s="671"/>
      <c r="AA233" s="672"/>
      <c r="AB233" s="673"/>
      <c r="AC233" s="673"/>
      <c r="AD233" s="673"/>
      <c r="AE233" s="673"/>
      <c r="AF233" s="673"/>
      <c r="AG233" s="673"/>
      <c r="AH233" s="673"/>
      <c r="AI233" s="673"/>
      <c r="AJ233" s="673"/>
      <c r="AK233" s="673"/>
      <c r="AL233" s="673"/>
      <c r="AM233" s="673"/>
      <c r="AN233" s="673"/>
      <c r="AO233" s="673"/>
      <c r="AP233" s="673"/>
      <c r="AQ233" s="673"/>
      <c r="AR233" s="673"/>
      <c r="AS233" s="673"/>
    </row>
    <row r="234">
      <c r="A234" s="653"/>
      <c r="B234" s="654"/>
      <c r="C234" s="655"/>
      <c r="D234" s="656"/>
      <c r="E234" s="657"/>
      <c r="F234" s="658"/>
      <c r="G234" s="659"/>
      <c r="H234" s="660"/>
      <c r="I234" s="659"/>
      <c r="J234" s="661"/>
      <c r="K234" s="658"/>
      <c r="L234" s="662"/>
      <c r="M234" s="663"/>
      <c r="N234" s="664"/>
      <c r="O234" s="665"/>
      <c r="P234" s="666"/>
      <c r="Q234" s="667"/>
      <c r="R234" s="668"/>
      <c r="S234" s="665"/>
      <c r="T234" s="669"/>
      <c r="U234" s="669"/>
      <c r="V234" s="665"/>
      <c r="W234" s="670"/>
      <c r="X234" s="670"/>
      <c r="Y234" s="671"/>
      <c r="Z234" s="671"/>
      <c r="AA234" s="672"/>
      <c r="AB234" s="673"/>
      <c r="AC234" s="673"/>
      <c r="AD234" s="673"/>
      <c r="AE234" s="673"/>
      <c r="AF234" s="673"/>
      <c r="AG234" s="673"/>
      <c r="AH234" s="673"/>
      <c r="AI234" s="673"/>
      <c r="AJ234" s="673"/>
      <c r="AK234" s="673"/>
      <c r="AL234" s="673"/>
      <c r="AM234" s="673"/>
      <c r="AN234" s="673"/>
      <c r="AO234" s="673"/>
      <c r="AP234" s="673"/>
      <c r="AQ234" s="673"/>
      <c r="AR234" s="673"/>
      <c r="AS234" s="673"/>
    </row>
    <row r="235">
      <c r="A235" s="653"/>
      <c r="B235" s="654"/>
      <c r="C235" s="655"/>
      <c r="D235" s="656"/>
      <c r="E235" s="657"/>
      <c r="F235" s="658"/>
      <c r="G235" s="659"/>
      <c r="H235" s="660"/>
      <c r="I235" s="659"/>
      <c r="J235" s="661"/>
      <c r="K235" s="658"/>
      <c r="L235" s="662"/>
      <c r="M235" s="663"/>
      <c r="N235" s="664"/>
      <c r="O235" s="665"/>
      <c r="P235" s="666"/>
      <c r="Q235" s="667"/>
      <c r="R235" s="668"/>
      <c r="S235" s="665"/>
      <c r="T235" s="669"/>
      <c r="U235" s="669"/>
      <c r="V235" s="665"/>
      <c r="W235" s="670"/>
      <c r="X235" s="670"/>
      <c r="Y235" s="671"/>
      <c r="Z235" s="671"/>
      <c r="AA235" s="672"/>
      <c r="AB235" s="673"/>
      <c r="AC235" s="673"/>
      <c r="AD235" s="673"/>
      <c r="AE235" s="673"/>
      <c r="AF235" s="673"/>
      <c r="AG235" s="673"/>
      <c r="AH235" s="673"/>
      <c r="AI235" s="673"/>
      <c r="AJ235" s="673"/>
      <c r="AK235" s="673"/>
      <c r="AL235" s="673"/>
      <c r="AM235" s="673"/>
      <c r="AN235" s="673"/>
      <c r="AO235" s="673"/>
      <c r="AP235" s="673"/>
      <c r="AQ235" s="673"/>
      <c r="AR235" s="673"/>
      <c r="AS235" s="673"/>
    </row>
    <row r="236">
      <c r="A236" s="653"/>
      <c r="B236" s="654"/>
      <c r="C236" s="655"/>
      <c r="D236" s="656"/>
      <c r="E236" s="657"/>
      <c r="F236" s="658"/>
      <c r="G236" s="659"/>
      <c r="H236" s="660"/>
      <c r="I236" s="659"/>
      <c r="J236" s="661"/>
      <c r="K236" s="658"/>
      <c r="L236" s="662"/>
      <c r="M236" s="663"/>
      <c r="N236" s="664"/>
      <c r="O236" s="665"/>
      <c r="P236" s="666"/>
      <c r="Q236" s="667"/>
      <c r="R236" s="668"/>
      <c r="S236" s="665"/>
      <c r="T236" s="669"/>
      <c r="U236" s="669"/>
      <c r="V236" s="665"/>
      <c r="W236" s="670"/>
      <c r="X236" s="670"/>
      <c r="Y236" s="671"/>
      <c r="Z236" s="671"/>
      <c r="AA236" s="672"/>
      <c r="AB236" s="673"/>
      <c r="AC236" s="673"/>
      <c r="AD236" s="673"/>
      <c r="AE236" s="673"/>
      <c r="AF236" s="673"/>
      <c r="AG236" s="673"/>
      <c r="AH236" s="673"/>
      <c r="AI236" s="673"/>
      <c r="AJ236" s="673"/>
      <c r="AK236" s="673"/>
      <c r="AL236" s="673"/>
      <c r="AM236" s="673"/>
      <c r="AN236" s="673"/>
      <c r="AO236" s="673"/>
      <c r="AP236" s="673"/>
      <c r="AQ236" s="673"/>
      <c r="AR236" s="673"/>
      <c r="AS236" s="673"/>
    </row>
    <row r="237">
      <c r="A237" s="653"/>
      <c r="B237" s="654"/>
      <c r="C237" s="655"/>
      <c r="D237" s="656"/>
      <c r="E237" s="657"/>
      <c r="F237" s="658"/>
      <c r="G237" s="659"/>
      <c r="H237" s="660"/>
      <c r="I237" s="659"/>
      <c r="J237" s="661"/>
      <c r="K237" s="658"/>
      <c r="L237" s="662"/>
      <c r="M237" s="663"/>
      <c r="N237" s="664"/>
      <c r="O237" s="665"/>
      <c r="P237" s="666"/>
      <c r="Q237" s="667"/>
      <c r="R237" s="668"/>
      <c r="S237" s="665"/>
      <c r="T237" s="669"/>
      <c r="U237" s="669"/>
      <c r="V237" s="665"/>
      <c r="W237" s="670"/>
      <c r="X237" s="670"/>
      <c r="Y237" s="671"/>
      <c r="Z237" s="671"/>
      <c r="AA237" s="672"/>
      <c r="AB237" s="673"/>
      <c r="AC237" s="673"/>
      <c r="AD237" s="673"/>
      <c r="AE237" s="673"/>
      <c r="AF237" s="673"/>
      <c r="AG237" s="673"/>
      <c r="AH237" s="673"/>
      <c r="AI237" s="673"/>
      <c r="AJ237" s="673"/>
      <c r="AK237" s="673"/>
      <c r="AL237" s="673"/>
      <c r="AM237" s="673"/>
      <c r="AN237" s="673"/>
      <c r="AO237" s="673"/>
      <c r="AP237" s="673"/>
      <c r="AQ237" s="673"/>
      <c r="AR237" s="673"/>
      <c r="AS237" s="673"/>
    </row>
    <row r="238">
      <c r="A238" s="653"/>
      <c r="B238" s="654"/>
      <c r="C238" s="655"/>
      <c r="D238" s="656"/>
      <c r="E238" s="657"/>
      <c r="F238" s="658"/>
      <c r="G238" s="659"/>
      <c r="H238" s="660"/>
      <c r="I238" s="659"/>
      <c r="J238" s="661"/>
      <c r="K238" s="658"/>
      <c r="L238" s="662"/>
      <c r="M238" s="663"/>
      <c r="N238" s="664"/>
      <c r="O238" s="665"/>
      <c r="P238" s="666"/>
      <c r="Q238" s="667"/>
      <c r="R238" s="668"/>
      <c r="S238" s="665"/>
      <c r="T238" s="669"/>
      <c r="U238" s="669"/>
      <c r="V238" s="665"/>
      <c r="W238" s="670"/>
      <c r="X238" s="670"/>
      <c r="Y238" s="671"/>
      <c r="Z238" s="671"/>
      <c r="AA238" s="672"/>
      <c r="AB238" s="673"/>
      <c r="AC238" s="673"/>
      <c r="AD238" s="673"/>
      <c r="AE238" s="673"/>
      <c r="AF238" s="673"/>
      <c r="AG238" s="673"/>
      <c r="AH238" s="673"/>
      <c r="AI238" s="673"/>
      <c r="AJ238" s="673"/>
      <c r="AK238" s="673"/>
      <c r="AL238" s="673"/>
      <c r="AM238" s="673"/>
      <c r="AN238" s="673"/>
      <c r="AO238" s="673"/>
      <c r="AP238" s="673"/>
      <c r="AQ238" s="673"/>
      <c r="AR238" s="673"/>
      <c r="AS238" s="673"/>
    </row>
    <row r="239">
      <c r="A239" s="653"/>
      <c r="B239" s="654"/>
      <c r="C239" s="655"/>
      <c r="D239" s="656"/>
      <c r="E239" s="657"/>
      <c r="F239" s="658"/>
      <c r="G239" s="659"/>
      <c r="H239" s="660"/>
      <c r="I239" s="659"/>
      <c r="J239" s="661"/>
      <c r="K239" s="658"/>
      <c r="L239" s="662"/>
      <c r="M239" s="663"/>
      <c r="N239" s="664"/>
      <c r="O239" s="665"/>
      <c r="P239" s="666"/>
      <c r="Q239" s="667"/>
      <c r="R239" s="668"/>
      <c r="S239" s="665"/>
      <c r="T239" s="669"/>
      <c r="U239" s="669"/>
      <c r="V239" s="665"/>
      <c r="W239" s="670"/>
      <c r="X239" s="670"/>
      <c r="Y239" s="671"/>
      <c r="Z239" s="671"/>
      <c r="AA239" s="672"/>
      <c r="AB239" s="673"/>
      <c r="AC239" s="673"/>
      <c r="AD239" s="673"/>
      <c r="AE239" s="673"/>
      <c r="AF239" s="673"/>
      <c r="AG239" s="673"/>
      <c r="AH239" s="673"/>
      <c r="AI239" s="673"/>
      <c r="AJ239" s="673"/>
      <c r="AK239" s="673"/>
      <c r="AL239" s="673"/>
      <c r="AM239" s="673"/>
      <c r="AN239" s="673"/>
      <c r="AO239" s="673"/>
      <c r="AP239" s="673"/>
      <c r="AQ239" s="673"/>
      <c r="AR239" s="673"/>
      <c r="AS239" s="673"/>
    </row>
    <row r="240">
      <c r="A240" s="653"/>
      <c r="B240" s="654"/>
      <c r="C240" s="655"/>
      <c r="D240" s="656"/>
      <c r="E240" s="657"/>
      <c r="F240" s="658"/>
      <c r="G240" s="659"/>
      <c r="H240" s="660"/>
      <c r="I240" s="659"/>
      <c r="J240" s="661"/>
      <c r="K240" s="658"/>
      <c r="L240" s="662"/>
      <c r="M240" s="663"/>
      <c r="N240" s="664"/>
      <c r="O240" s="665"/>
      <c r="P240" s="666"/>
      <c r="Q240" s="667"/>
      <c r="R240" s="668"/>
      <c r="S240" s="665"/>
      <c r="T240" s="669"/>
      <c r="U240" s="669"/>
      <c r="V240" s="665"/>
      <c r="W240" s="670"/>
      <c r="X240" s="670"/>
      <c r="Y240" s="671"/>
      <c r="Z240" s="671"/>
      <c r="AA240" s="672"/>
      <c r="AB240" s="673"/>
      <c r="AC240" s="673"/>
      <c r="AD240" s="673"/>
      <c r="AE240" s="673"/>
      <c r="AF240" s="673"/>
      <c r="AG240" s="673"/>
      <c r="AH240" s="673"/>
      <c r="AI240" s="673"/>
      <c r="AJ240" s="673"/>
      <c r="AK240" s="673"/>
      <c r="AL240" s="673"/>
      <c r="AM240" s="673"/>
      <c r="AN240" s="673"/>
      <c r="AO240" s="673"/>
      <c r="AP240" s="673"/>
      <c r="AQ240" s="673"/>
      <c r="AR240" s="673"/>
      <c r="AS240" s="673"/>
    </row>
    <row r="241">
      <c r="A241" s="653"/>
      <c r="B241" s="654"/>
      <c r="C241" s="655"/>
      <c r="D241" s="656"/>
      <c r="E241" s="657"/>
      <c r="F241" s="658"/>
      <c r="G241" s="659"/>
      <c r="H241" s="660"/>
      <c r="I241" s="659"/>
      <c r="J241" s="661"/>
      <c r="K241" s="658"/>
      <c r="L241" s="662"/>
      <c r="M241" s="663"/>
      <c r="N241" s="664"/>
      <c r="O241" s="665"/>
      <c r="P241" s="666"/>
      <c r="Q241" s="667"/>
      <c r="R241" s="668"/>
      <c r="S241" s="665"/>
      <c r="T241" s="669"/>
      <c r="U241" s="669"/>
      <c r="V241" s="665"/>
      <c r="W241" s="670"/>
      <c r="X241" s="670"/>
      <c r="Y241" s="671"/>
      <c r="Z241" s="671"/>
      <c r="AA241" s="672"/>
      <c r="AB241" s="673"/>
      <c r="AC241" s="673"/>
      <c r="AD241" s="673"/>
      <c r="AE241" s="673"/>
      <c r="AF241" s="673"/>
      <c r="AG241" s="673"/>
      <c r="AH241" s="673"/>
      <c r="AI241" s="673"/>
      <c r="AJ241" s="673"/>
      <c r="AK241" s="673"/>
      <c r="AL241" s="673"/>
      <c r="AM241" s="673"/>
      <c r="AN241" s="673"/>
      <c r="AO241" s="673"/>
      <c r="AP241" s="673"/>
      <c r="AQ241" s="673"/>
      <c r="AR241" s="673"/>
      <c r="AS241" s="673"/>
    </row>
    <row r="242">
      <c r="A242" s="653"/>
      <c r="B242" s="654"/>
      <c r="C242" s="655"/>
      <c r="D242" s="656"/>
      <c r="E242" s="657"/>
      <c r="F242" s="658"/>
      <c r="G242" s="659"/>
      <c r="H242" s="660"/>
      <c r="I242" s="659"/>
      <c r="J242" s="661"/>
      <c r="K242" s="658"/>
      <c r="L242" s="662"/>
      <c r="M242" s="663"/>
      <c r="N242" s="664"/>
      <c r="O242" s="665"/>
      <c r="P242" s="666"/>
      <c r="Q242" s="667"/>
      <c r="R242" s="668"/>
      <c r="S242" s="665"/>
      <c r="T242" s="669"/>
      <c r="U242" s="669"/>
      <c r="V242" s="665"/>
      <c r="W242" s="670"/>
      <c r="X242" s="670"/>
      <c r="Y242" s="671"/>
      <c r="Z242" s="671"/>
      <c r="AA242" s="672"/>
      <c r="AB242" s="673"/>
      <c r="AC242" s="673"/>
      <c r="AD242" s="673"/>
      <c r="AE242" s="673"/>
      <c r="AF242" s="673"/>
      <c r="AG242" s="673"/>
      <c r="AH242" s="673"/>
      <c r="AI242" s="673"/>
      <c r="AJ242" s="673"/>
      <c r="AK242" s="673"/>
      <c r="AL242" s="673"/>
      <c r="AM242" s="673"/>
      <c r="AN242" s="673"/>
      <c r="AO242" s="673"/>
      <c r="AP242" s="673"/>
      <c r="AQ242" s="673"/>
      <c r="AR242" s="673"/>
      <c r="AS242" s="673"/>
    </row>
    <row r="243">
      <c r="A243" s="653"/>
      <c r="B243" s="654"/>
      <c r="C243" s="655"/>
      <c r="D243" s="656"/>
      <c r="E243" s="657"/>
      <c r="F243" s="658"/>
      <c r="G243" s="659"/>
      <c r="H243" s="660"/>
      <c r="I243" s="659"/>
      <c r="J243" s="661"/>
      <c r="K243" s="658"/>
      <c r="L243" s="662"/>
      <c r="M243" s="663"/>
      <c r="N243" s="664"/>
      <c r="O243" s="665"/>
      <c r="P243" s="666"/>
      <c r="Q243" s="667"/>
      <c r="R243" s="668"/>
      <c r="S243" s="665"/>
      <c r="T243" s="669"/>
      <c r="U243" s="669"/>
      <c r="V243" s="665"/>
      <c r="W243" s="670"/>
      <c r="X243" s="670"/>
      <c r="Y243" s="671"/>
      <c r="Z243" s="671"/>
      <c r="AA243" s="672"/>
      <c r="AB243" s="673"/>
      <c r="AC243" s="673"/>
      <c r="AD243" s="673"/>
      <c r="AE243" s="673"/>
      <c r="AF243" s="673"/>
      <c r="AG243" s="673"/>
      <c r="AH243" s="673"/>
      <c r="AI243" s="673"/>
      <c r="AJ243" s="673"/>
      <c r="AK243" s="673"/>
      <c r="AL243" s="673"/>
      <c r="AM243" s="673"/>
      <c r="AN243" s="673"/>
      <c r="AO243" s="673"/>
      <c r="AP243" s="673"/>
      <c r="AQ243" s="673"/>
      <c r="AR243" s="673"/>
      <c r="AS243" s="673"/>
    </row>
    <row r="244">
      <c r="A244" s="653"/>
      <c r="B244" s="654"/>
      <c r="C244" s="655"/>
      <c r="D244" s="656"/>
      <c r="E244" s="657"/>
      <c r="F244" s="658"/>
      <c r="G244" s="659"/>
      <c r="H244" s="660"/>
      <c r="I244" s="659"/>
      <c r="J244" s="661"/>
      <c r="K244" s="658"/>
      <c r="L244" s="662"/>
      <c r="M244" s="663"/>
      <c r="N244" s="664"/>
      <c r="O244" s="665"/>
      <c r="P244" s="666"/>
      <c r="Q244" s="667"/>
      <c r="R244" s="668"/>
      <c r="S244" s="665"/>
      <c r="T244" s="669"/>
      <c r="U244" s="669"/>
      <c r="V244" s="665"/>
      <c r="W244" s="670"/>
      <c r="X244" s="670"/>
      <c r="Y244" s="671"/>
      <c r="Z244" s="671"/>
      <c r="AA244" s="672"/>
      <c r="AB244" s="673"/>
      <c r="AC244" s="673"/>
      <c r="AD244" s="673"/>
      <c r="AE244" s="673"/>
      <c r="AF244" s="673"/>
      <c r="AG244" s="673"/>
      <c r="AH244" s="673"/>
      <c r="AI244" s="673"/>
      <c r="AJ244" s="673"/>
      <c r="AK244" s="673"/>
      <c r="AL244" s="673"/>
      <c r="AM244" s="673"/>
      <c r="AN244" s="673"/>
      <c r="AO244" s="673"/>
      <c r="AP244" s="673"/>
      <c r="AQ244" s="673"/>
      <c r="AR244" s="673"/>
      <c r="AS244" s="673"/>
    </row>
    <row r="245">
      <c r="A245" s="653"/>
      <c r="B245" s="654"/>
      <c r="C245" s="655"/>
      <c r="D245" s="656"/>
      <c r="E245" s="657"/>
      <c r="F245" s="658"/>
      <c r="G245" s="659"/>
      <c r="H245" s="660"/>
      <c r="I245" s="659"/>
      <c r="J245" s="661"/>
      <c r="K245" s="658"/>
      <c r="L245" s="662"/>
      <c r="M245" s="663"/>
      <c r="N245" s="664"/>
      <c r="O245" s="665"/>
      <c r="P245" s="666"/>
      <c r="Q245" s="667"/>
      <c r="R245" s="668"/>
      <c r="S245" s="665"/>
      <c r="T245" s="669"/>
      <c r="U245" s="669"/>
      <c r="V245" s="665"/>
      <c r="W245" s="670"/>
      <c r="X245" s="670"/>
      <c r="Y245" s="671"/>
      <c r="Z245" s="671"/>
      <c r="AA245" s="672"/>
      <c r="AB245" s="673"/>
      <c r="AC245" s="673"/>
      <c r="AD245" s="673"/>
      <c r="AE245" s="673"/>
      <c r="AF245" s="673"/>
      <c r="AG245" s="673"/>
      <c r="AH245" s="673"/>
      <c r="AI245" s="673"/>
      <c r="AJ245" s="673"/>
      <c r="AK245" s="673"/>
      <c r="AL245" s="673"/>
      <c r="AM245" s="673"/>
      <c r="AN245" s="673"/>
      <c r="AO245" s="673"/>
      <c r="AP245" s="673"/>
      <c r="AQ245" s="673"/>
      <c r="AR245" s="673"/>
      <c r="AS245" s="673"/>
    </row>
    <row r="246">
      <c r="A246" s="653"/>
      <c r="B246" s="654"/>
      <c r="C246" s="655"/>
      <c r="D246" s="656"/>
      <c r="E246" s="657"/>
      <c r="F246" s="658"/>
      <c r="G246" s="659"/>
      <c r="H246" s="660"/>
      <c r="I246" s="659"/>
      <c r="J246" s="661"/>
      <c r="K246" s="658"/>
      <c r="L246" s="662"/>
      <c r="M246" s="663"/>
      <c r="N246" s="664"/>
      <c r="O246" s="665"/>
      <c r="P246" s="666"/>
      <c r="Q246" s="667"/>
      <c r="R246" s="668"/>
      <c r="S246" s="665"/>
      <c r="T246" s="669"/>
      <c r="U246" s="669"/>
      <c r="V246" s="665"/>
      <c r="W246" s="670"/>
      <c r="X246" s="670"/>
      <c r="Y246" s="671"/>
      <c r="Z246" s="671"/>
      <c r="AA246" s="672"/>
      <c r="AB246" s="673"/>
      <c r="AC246" s="673"/>
      <c r="AD246" s="673"/>
      <c r="AE246" s="673"/>
      <c r="AF246" s="673"/>
      <c r="AG246" s="673"/>
      <c r="AH246" s="673"/>
      <c r="AI246" s="673"/>
      <c r="AJ246" s="673"/>
      <c r="AK246" s="673"/>
      <c r="AL246" s="673"/>
      <c r="AM246" s="673"/>
      <c r="AN246" s="673"/>
      <c r="AO246" s="673"/>
      <c r="AP246" s="673"/>
      <c r="AQ246" s="673"/>
      <c r="AR246" s="673"/>
      <c r="AS246" s="673"/>
    </row>
    <row r="247">
      <c r="A247" s="653"/>
      <c r="B247" s="654"/>
      <c r="C247" s="655"/>
      <c r="D247" s="656"/>
      <c r="E247" s="657"/>
      <c r="F247" s="658"/>
      <c r="G247" s="659"/>
      <c r="H247" s="660"/>
      <c r="I247" s="659"/>
      <c r="J247" s="661"/>
      <c r="K247" s="658"/>
      <c r="L247" s="662"/>
      <c r="M247" s="663"/>
      <c r="N247" s="664"/>
      <c r="O247" s="665"/>
      <c r="P247" s="666"/>
      <c r="Q247" s="667"/>
      <c r="R247" s="668"/>
      <c r="S247" s="665"/>
      <c r="T247" s="669"/>
      <c r="U247" s="669"/>
      <c r="V247" s="665"/>
      <c r="W247" s="670"/>
      <c r="X247" s="670"/>
      <c r="Y247" s="671"/>
      <c r="Z247" s="671"/>
      <c r="AA247" s="672"/>
      <c r="AB247" s="673"/>
      <c r="AC247" s="673"/>
      <c r="AD247" s="673"/>
      <c r="AE247" s="673"/>
      <c r="AF247" s="673"/>
      <c r="AG247" s="673"/>
      <c r="AH247" s="673"/>
      <c r="AI247" s="673"/>
      <c r="AJ247" s="673"/>
      <c r="AK247" s="673"/>
      <c r="AL247" s="673"/>
      <c r="AM247" s="673"/>
      <c r="AN247" s="673"/>
      <c r="AO247" s="673"/>
      <c r="AP247" s="673"/>
      <c r="AQ247" s="673"/>
      <c r="AR247" s="673"/>
      <c r="AS247" s="673"/>
    </row>
    <row r="248">
      <c r="A248" s="653"/>
      <c r="B248" s="654"/>
      <c r="C248" s="655"/>
      <c r="D248" s="656"/>
      <c r="E248" s="657"/>
      <c r="F248" s="658"/>
      <c r="G248" s="659"/>
      <c r="H248" s="660"/>
      <c r="I248" s="659"/>
      <c r="J248" s="661"/>
      <c r="K248" s="658"/>
      <c r="L248" s="662"/>
      <c r="M248" s="663"/>
      <c r="N248" s="664"/>
      <c r="O248" s="665"/>
      <c r="P248" s="666"/>
      <c r="Q248" s="667"/>
      <c r="R248" s="668"/>
      <c r="S248" s="665"/>
      <c r="T248" s="669"/>
      <c r="U248" s="669"/>
      <c r="V248" s="665"/>
      <c r="W248" s="670"/>
      <c r="X248" s="670"/>
      <c r="Y248" s="671"/>
      <c r="Z248" s="671"/>
      <c r="AA248" s="672"/>
      <c r="AB248" s="673"/>
      <c r="AC248" s="673"/>
      <c r="AD248" s="673"/>
      <c r="AE248" s="673"/>
      <c r="AF248" s="673"/>
      <c r="AG248" s="673"/>
      <c r="AH248" s="673"/>
      <c r="AI248" s="673"/>
      <c r="AJ248" s="673"/>
      <c r="AK248" s="673"/>
      <c r="AL248" s="673"/>
      <c r="AM248" s="673"/>
      <c r="AN248" s="673"/>
      <c r="AO248" s="673"/>
      <c r="AP248" s="673"/>
      <c r="AQ248" s="673"/>
      <c r="AR248" s="673"/>
      <c r="AS248" s="673"/>
    </row>
    <row r="249">
      <c r="A249" s="653"/>
      <c r="B249" s="654"/>
      <c r="C249" s="655"/>
      <c r="D249" s="656"/>
      <c r="E249" s="657"/>
      <c r="F249" s="658"/>
      <c r="G249" s="659"/>
      <c r="H249" s="660"/>
      <c r="I249" s="659"/>
      <c r="J249" s="661"/>
      <c r="K249" s="658"/>
      <c r="L249" s="662"/>
      <c r="M249" s="663"/>
      <c r="N249" s="664"/>
      <c r="O249" s="665"/>
      <c r="P249" s="666"/>
      <c r="Q249" s="667"/>
      <c r="R249" s="668"/>
      <c r="S249" s="665"/>
      <c r="T249" s="669"/>
      <c r="U249" s="669"/>
      <c r="V249" s="665"/>
      <c r="W249" s="670"/>
      <c r="X249" s="670"/>
      <c r="Y249" s="671"/>
      <c r="Z249" s="671"/>
      <c r="AA249" s="672"/>
      <c r="AB249" s="673"/>
      <c r="AC249" s="673"/>
      <c r="AD249" s="673"/>
      <c r="AE249" s="673"/>
      <c r="AF249" s="673"/>
      <c r="AG249" s="673"/>
      <c r="AH249" s="673"/>
      <c r="AI249" s="673"/>
      <c r="AJ249" s="673"/>
      <c r="AK249" s="673"/>
      <c r="AL249" s="673"/>
      <c r="AM249" s="673"/>
      <c r="AN249" s="673"/>
      <c r="AO249" s="673"/>
      <c r="AP249" s="673"/>
      <c r="AQ249" s="673"/>
      <c r="AR249" s="673"/>
      <c r="AS249" s="673"/>
    </row>
    <row r="250">
      <c r="A250" s="653"/>
      <c r="B250" s="654"/>
      <c r="C250" s="655"/>
      <c r="D250" s="656"/>
      <c r="E250" s="657"/>
      <c r="F250" s="658"/>
      <c r="G250" s="659"/>
      <c r="H250" s="660"/>
      <c r="I250" s="659"/>
      <c r="J250" s="661"/>
      <c r="K250" s="658"/>
      <c r="L250" s="662"/>
      <c r="M250" s="663"/>
      <c r="N250" s="664"/>
      <c r="O250" s="665"/>
      <c r="P250" s="666"/>
      <c r="Q250" s="667"/>
      <c r="R250" s="668"/>
      <c r="S250" s="665"/>
      <c r="T250" s="669"/>
      <c r="U250" s="669"/>
      <c r="V250" s="665"/>
      <c r="W250" s="670"/>
      <c r="X250" s="670"/>
      <c r="Y250" s="671"/>
      <c r="Z250" s="671"/>
      <c r="AA250" s="672"/>
      <c r="AB250" s="673"/>
      <c r="AC250" s="673"/>
      <c r="AD250" s="673"/>
      <c r="AE250" s="673"/>
      <c r="AF250" s="673"/>
      <c r="AG250" s="673"/>
      <c r="AH250" s="673"/>
      <c r="AI250" s="673"/>
      <c r="AJ250" s="673"/>
      <c r="AK250" s="673"/>
      <c r="AL250" s="673"/>
      <c r="AM250" s="673"/>
      <c r="AN250" s="673"/>
      <c r="AO250" s="673"/>
      <c r="AP250" s="673"/>
      <c r="AQ250" s="673"/>
      <c r="AR250" s="673"/>
      <c r="AS250" s="673"/>
    </row>
    <row r="251">
      <c r="A251" s="653"/>
      <c r="B251" s="654"/>
      <c r="C251" s="655"/>
      <c r="D251" s="656"/>
      <c r="E251" s="657"/>
      <c r="F251" s="658"/>
      <c r="G251" s="659"/>
      <c r="H251" s="660"/>
      <c r="I251" s="659"/>
      <c r="J251" s="661"/>
      <c r="K251" s="658"/>
      <c r="L251" s="662"/>
      <c r="M251" s="663"/>
      <c r="N251" s="664"/>
      <c r="O251" s="665"/>
      <c r="P251" s="666"/>
      <c r="Q251" s="667"/>
      <c r="R251" s="668"/>
      <c r="S251" s="665"/>
      <c r="T251" s="669"/>
      <c r="U251" s="669"/>
      <c r="V251" s="665"/>
      <c r="W251" s="670"/>
      <c r="X251" s="670"/>
      <c r="Y251" s="671"/>
      <c r="Z251" s="671"/>
      <c r="AA251" s="672"/>
      <c r="AB251" s="673"/>
      <c r="AC251" s="673"/>
      <c r="AD251" s="673"/>
      <c r="AE251" s="673"/>
      <c r="AF251" s="673"/>
      <c r="AG251" s="673"/>
      <c r="AH251" s="673"/>
      <c r="AI251" s="673"/>
      <c r="AJ251" s="673"/>
      <c r="AK251" s="673"/>
      <c r="AL251" s="673"/>
      <c r="AM251" s="673"/>
      <c r="AN251" s="673"/>
      <c r="AO251" s="673"/>
      <c r="AP251" s="673"/>
      <c r="AQ251" s="673"/>
      <c r="AR251" s="673"/>
      <c r="AS251" s="673"/>
    </row>
    <row r="252">
      <c r="A252" s="653"/>
      <c r="B252" s="654"/>
      <c r="C252" s="655"/>
      <c r="D252" s="656"/>
      <c r="E252" s="657"/>
      <c r="F252" s="658"/>
      <c r="G252" s="659"/>
      <c r="H252" s="660"/>
      <c r="I252" s="659"/>
      <c r="J252" s="661"/>
      <c r="K252" s="658"/>
      <c r="L252" s="662"/>
      <c r="M252" s="663"/>
      <c r="N252" s="664"/>
      <c r="O252" s="665"/>
      <c r="P252" s="666"/>
      <c r="Q252" s="667"/>
      <c r="R252" s="668"/>
      <c r="S252" s="665"/>
      <c r="T252" s="669"/>
      <c r="U252" s="669"/>
      <c r="V252" s="665"/>
      <c r="W252" s="670"/>
      <c r="X252" s="670"/>
      <c r="Y252" s="671"/>
      <c r="Z252" s="671"/>
      <c r="AA252" s="672"/>
      <c r="AB252" s="673"/>
      <c r="AC252" s="673"/>
      <c r="AD252" s="673"/>
      <c r="AE252" s="673"/>
      <c r="AF252" s="673"/>
      <c r="AG252" s="673"/>
      <c r="AH252" s="673"/>
      <c r="AI252" s="673"/>
      <c r="AJ252" s="673"/>
      <c r="AK252" s="673"/>
      <c r="AL252" s="673"/>
      <c r="AM252" s="673"/>
      <c r="AN252" s="673"/>
      <c r="AO252" s="673"/>
      <c r="AP252" s="673"/>
      <c r="AQ252" s="673"/>
      <c r="AR252" s="673"/>
      <c r="AS252" s="673"/>
    </row>
    <row r="253">
      <c r="A253" s="653"/>
      <c r="B253" s="654"/>
      <c r="C253" s="655"/>
      <c r="D253" s="656"/>
      <c r="E253" s="657"/>
      <c r="F253" s="658"/>
      <c r="G253" s="659"/>
      <c r="H253" s="660"/>
      <c r="I253" s="659"/>
      <c r="J253" s="661"/>
      <c r="K253" s="658"/>
      <c r="L253" s="662"/>
      <c r="M253" s="663"/>
      <c r="N253" s="664"/>
      <c r="O253" s="665"/>
      <c r="P253" s="666"/>
      <c r="Q253" s="667"/>
      <c r="R253" s="668"/>
      <c r="S253" s="665"/>
      <c r="T253" s="669"/>
      <c r="U253" s="669"/>
      <c r="V253" s="665"/>
      <c r="W253" s="670"/>
      <c r="X253" s="670"/>
      <c r="Y253" s="671"/>
      <c r="Z253" s="671"/>
      <c r="AA253" s="672"/>
      <c r="AB253" s="673"/>
      <c r="AC253" s="673"/>
      <c r="AD253" s="673"/>
      <c r="AE253" s="673"/>
      <c r="AF253" s="673"/>
      <c r="AG253" s="673"/>
      <c r="AH253" s="673"/>
      <c r="AI253" s="673"/>
      <c r="AJ253" s="673"/>
      <c r="AK253" s="673"/>
      <c r="AL253" s="673"/>
      <c r="AM253" s="673"/>
      <c r="AN253" s="673"/>
      <c r="AO253" s="673"/>
      <c r="AP253" s="673"/>
      <c r="AQ253" s="673"/>
      <c r="AR253" s="673"/>
      <c r="AS253" s="673"/>
    </row>
    <row r="254">
      <c r="A254" s="653"/>
      <c r="B254" s="654"/>
      <c r="C254" s="655"/>
      <c r="D254" s="656"/>
      <c r="E254" s="657"/>
      <c r="F254" s="658"/>
      <c r="G254" s="659"/>
      <c r="H254" s="660"/>
      <c r="I254" s="659"/>
      <c r="J254" s="661"/>
      <c r="K254" s="658"/>
      <c r="L254" s="662"/>
      <c r="M254" s="663"/>
      <c r="N254" s="664"/>
      <c r="O254" s="665"/>
      <c r="P254" s="666"/>
      <c r="Q254" s="667"/>
      <c r="R254" s="668"/>
      <c r="S254" s="665"/>
      <c r="T254" s="669"/>
      <c r="U254" s="669"/>
      <c r="V254" s="665"/>
      <c r="W254" s="670"/>
      <c r="X254" s="670"/>
      <c r="Y254" s="671"/>
      <c r="Z254" s="671"/>
      <c r="AA254" s="672"/>
      <c r="AB254" s="673"/>
      <c r="AC254" s="673"/>
      <c r="AD254" s="673"/>
      <c r="AE254" s="673"/>
      <c r="AF254" s="673"/>
      <c r="AG254" s="673"/>
      <c r="AH254" s="673"/>
      <c r="AI254" s="673"/>
      <c r="AJ254" s="673"/>
      <c r="AK254" s="673"/>
      <c r="AL254" s="673"/>
      <c r="AM254" s="673"/>
      <c r="AN254" s="673"/>
      <c r="AO254" s="673"/>
      <c r="AP254" s="673"/>
      <c r="AQ254" s="673"/>
      <c r="AR254" s="673"/>
      <c r="AS254" s="673"/>
    </row>
    <row r="255">
      <c r="A255" s="653"/>
      <c r="B255" s="654"/>
      <c r="C255" s="655"/>
      <c r="D255" s="656"/>
      <c r="E255" s="657"/>
      <c r="F255" s="658"/>
      <c r="G255" s="659"/>
      <c r="H255" s="660"/>
      <c r="I255" s="659"/>
      <c r="J255" s="661"/>
      <c r="K255" s="658"/>
      <c r="L255" s="662"/>
      <c r="M255" s="663"/>
      <c r="N255" s="664"/>
      <c r="O255" s="665"/>
      <c r="P255" s="666"/>
      <c r="Q255" s="667"/>
      <c r="R255" s="668"/>
      <c r="S255" s="665"/>
      <c r="T255" s="669"/>
      <c r="U255" s="669"/>
      <c r="V255" s="665"/>
      <c r="W255" s="670"/>
      <c r="X255" s="670"/>
      <c r="Y255" s="671"/>
      <c r="Z255" s="671"/>
      <c r="AA255" s="672"/>
      <c r="AB255" s="673"/>
      <c r="AC255" s="673"/>
      <c r="AD255" s="673"/>
      <c r="AE255" s="673"/>
      <c r="AF255" s="673"/>
      <c r="AG255" s="673"/>
      <c r="AH255" s="673"/>
      <c r="AI255" s="673"/>
      <c r="AJ255" s="673"/>
      <c r="AK255" s="673"/>
      <c r="AL255" s="673"/>
      <c r="AM255" s="673"/>
      <c r="AN255" s="673"/>
      <c r="AO255" s="673"/>
      <c r="AP255" s="673"/>
      <c r="AQ255" s="673"/>
      <c r="AR255" s="673"/>
      <c r="AS255" s="673"/>
    </row>
    <row r="256">
      <c r="A256" s="653"/>
      <c r="B256" s="654"/>
      <c r="C256" s="655"/>
      <c r="D256" s="656"/>
      <c r="E256" s="657"/>
      <c r="F256" s="658"/>
      <c r="G256" s="659"/>
      <c r="H256" s="660"/>
      <c r="I256" s="659"/>
      <c r="J256" s="661"/>
      <c r="K256" s="658"/>
      <c r="L256" s="662"/>
      <c r="M256" s="663"/>
      <c r="N256" s="664"/>
      <c r="O256" s="665"/>
      <c r="P256" s="666"/>
      <c r="Q256" s="667"/>
      <c r="R256" s="668"/>
      <c r="S256" s="665"/>
      <c r="T256" s="669"/>
      <c r="U256" s="669"/>
      <c r="V256" s="665"/>
      <c r="W256" s="670"/>
      <c r="X256" s="670"/>
      <c r="Y256" s="671"/>
      <c r="Z256" s="671"/>
      <c r="AA256" s="672"/>
      <c r="AB256" s="673"/>
      <c r="AC256" s="673"/>
      <c r="AD256" s="673"/>
      <c r="AE256" s="673"/>
      <c r="AF256" s="673"/>
      <c r="AG256" s="673"/>
      <c r="AH256" s="673"/>
      <c r="AI256" s="673"/>
      <c r="AJ256" s="673"/>
      <c r="AK256" s="673"/>
      <c r="AL256" s="673"/>
      <c r="AM256" s="673"/>
      <c r="AN256" s="673"/>
      <c r="AO256" s="673"/>
      <c r="AP256" s="673"/>
      <c r="AQ256" s="673"/>
      <c r="AR256" s="673"/>
      <c r="AS256" s="673"/>
    </row>
    <row r="257">
      <c r="A257" s="653"/>
      <c r="B257" s="654"/>
      <c r="C257" s="655"/>
      <c r="D257" s="656"/>
      <c r="E257" s="657"/>
      <c r="F257" s="658"/>
      <c r="G257" s="659"/>
      <c r="H257" s="660"/>
      <c r="I257" s="659"/>
      <c r="J257" s="661"/>
      <c r="K257" s="658"/>
      <c r="L257" s="662"/>
      <c r="M257" s="663"/>
      <c r="N257" s="664"/>
      <c r="O257" s="665"/>
      <c r="P257" s="666"/>
      <c r="Q257" s="667"/>
      <c r="R257" s="668"/>
      <c r="S257" s="665"/>
      <c r="T257" s="669"/>
      <c r="U257" s="669"/>
      <c r="V257" s="665"/>
      <c r="W257" s="670"/>
      <c r="X257" s="670"/>
      <c r="Y257" s="671"/>
      <c r="Z257" s="671"/>
      <c r="AA257" s="672"/>
      <c r="AB257" s="673"/>
      <c r="AC257" s="673"/>
      <c r="AD257" s="673"/>
      <c r="AE257" s="673"/>
      <c r="AF257" s="673"/>
      <c r="AG257" s="673"/>
      <c r="AH257" s="673"/>
      <c r="AI257" s="673"/>
      <c r="AJ257" s="673"/>
      <c r="AK257" s="673"/>
      <c r="AL257" s="673"/>
      <c r="AM257" s="673"/>
      <c r="AN257" s="673"/>
      <c r="AO257" s="673"/>
      <c r="AP257" s="673"/>
      <c r="AQ257" s="673"/>
      <c r="AR257" s="673"/>
      <c r="AS257" s="673"/>
    </row>
    <row r="258">
      <c r="A258" s="653"/>
      <c r="B258" s="654"/>
      <c r="C258" s="655"/>
      <c r="D258" s="656"/>
      <c r="E258" s="657"/>
      <c r="F258" s="658"/>
      <c r="G258" s="659"/>
      <c r="H258" s="660"/>
      <c r="I258" s="659"/>
      <c r="J258" s="661"/>
      <c r="K258" s="658"/>
      <c r="L258" s="662"/>
      <c r="M258" s="663"/>
      <c r="N258" s="664"/>
      <c r="O258" s="665"/>
      <c r="P258" s="666"/>
      <c r="Q258" s="667"/>
      <c r="R258" s="668"/>
      <c r="S258" s="665"/>
      <c r="T258" s="669"/>
      <c r="U258" s="669"/>
      <c r="V258" s="665"/>
      <c r="W258" s="670"/>
      <c r="X258" s="670"/>
      <c r="Y258" s="671"/>
      <c r="Z258" s="671"/>
      <c r="AA258" s="672"/>
      <c r="AB258" s="673"/>
      <c r="AC258" s="673"/>
      <c r="AD258" s="673"/>
      <c r="AE258" s="673"/>
      <c r="AF258" s="673"/>
      <c r="AG258" s="673"/>
      <c r="AH258" s="673"/>
      <c r="AI258" s="673"/>
      <c r="AJ258" s="673"/>
      <c r="AK258" s="673"/>
      <c r="AL258" s="673"/>
      <c r="AM258" s="673"/>
      <c r="AN258" s="673"/>
      <c r="AO258" s="673"/>
      <c r="AP258" s="673"/>
      <c r="AQ258" s="673"/>
      <c r="AR258" s="673"/>
      <c r="AS258" s="673"/>
    </row>
    <row r="259">
      <c r="A259" s="653"/>
      <c r="B259" s="654"/>
      <c r="C259" s="655"/>
      <c r="D259" s="656"/>
      <c r="E259" s="657"/>
      <c r="F259" s="658"/>
      <c r="G259" s="659"/>
      <c r="H259" s="660"/>
      <c r="I259" s="659"/>
      <c r="J259" s="661"/>
      <c r="K259" s="658"/>
      <c r="L259" s="662"/>
      <c r="M259" s="663"/>
      <c r="N259" s="664"/>
      <c r="O259" s="665"/>
      <c r="P259" s="666"/>
      <c r="Q259" s="667"/>
      <c r="R259" s="668"/>
      <c r="S259" s="665"/>
      <c r="T259" s="669"/>
      <c r="U259" s="669"/>
      <c r="V259" s="665"/>
      <c r="W259" s="670"/>
      <c r="X259" s="670"/>
      <c r="Y259" s="671"/>
      <c r="Z259" s="671"/>
      <c r="AA259" s="672"/>
      <c r="AB259" s="673"/>
      <c r="AC259" s="673"/>
      <c r="AD259" s="673"/>
      <c r="AE259" s="673"/>
      <c r="AF259" s="673"/>
      <c r="AG259" s="673"/>
      <c r="AH259" s="673"/>
      <c r="AI259" s="673"/>
      <c r="AJ259" s="673"/>
      <c r="AK259" s="673"/>
      <c r="AL259" s="673"/>
      <c r="AM259" s="673"/>
      <c r="AN259" s="673"/>
      <c r="AO259" s="673"/>
      <c r="AP259" s="673"/>
      <c r="AQ259" s="673"/>
      <c r="AR259" s="673"/>
      <c r="AS259" s="673"/>
    </row>
    <row r="260">
      <c r="A260" s="653"/>
      <c r="B260" s="654"/>
      <c r="C260" s="655"/>
      <c r="D260" s="656"/>
      <c r="E260" s="657"/>
      <c r="F260" s="658"/>
      <c r="G260" s="659"/>
      <c r="H260" s="660"/>
      <c r="I260" s="659"/>
      <c r="J260" s="661"/>
      <c r="K260" s="658"/>
      <c r="L260" s="662"/>
      <c r="M260" s="663"/>
      <c r="N260" s="664"/>
      <c r="O260" s="665"/>
      <c r="P260" s="666"/>
      <c r="Q260" s="667"/>
      <c r="R260" s="668"/>
      <c r="S260" s="665"/>
      <c r="T260" s="669"/>
      <c r="U260" s="669"/>
      <c r="V260" s="665"/>
      <c r="W260" s="670"/>
      <c r="X260" s="670"/>
      <c r="Y260" s="671"/>
      <c r="Z260" s="671"/>
      <c r="AA260" s="672"/>
      <c r="AB260" s="673"/>
      <c r="AC260" s="673"/>
      <c r="AD260" s="673"/>
      <c r="AE260" s="673"/>
      <c r="AF260" s="673"/>
      <c r="AG260" s="673"/>
      <c r="AH260" s="673"/>
      <c r="AI260" s="673"/>
      <c r="AJ260" s="673"/>
      <c r="AK260" s="673"/>
      <c r="AL260" s="673"/>
      <c r="AM260" s="673"/>
      <c r="AN260" s="673"/>
      <c r="AO260" s="673"/>
      <c r="AP260" s="673"/>
      <c r="AQ260" s="673"/>
      <c r="AR260" s="673"/>
      <c r="AS260" s="673"/>
    </row>
    <row r="261">
      <c r="A261" s="653"/>
      <c r="B261" s="654"/>
      <c r="C261" s="655"/>
      <c r="D261" s="656"/>
      <c r="E261" s="657"/>
      <c r="F261" s="658"/>
      <c r="G261" s="659"/>
      <c r="H261" s="660"/>
      <c r="I261" s="659"/>
      <c r="J261" s="661"/>
      <c r="K261" s="658"/>
      <c r="L261" s="662"/>
      <c r="M261" s="663"/>
      <c r="N261" s="664"/>
      <c r="O261" s="665"/>
      <c r="P261" s="666"/>
      <c r="Q261" s="667"/>
      <c r="R261" s="668"/>
      <c r="S261" s="665"/>
      <c r="T261" s="669"/>
      <c r="U261" s="669"/>
      <c r="V261" s="665"/>
      <c r="W261" s="670"/>
      <c r="X261" s="670"/>
      <c r="Y261" s="671"/>
      <c r="Z261" s="671"/>
      <c r="AA261" s="672"/>
      <c r="AB261" s="673"/>
      <c r="AC261" s="673"/>
      <c r="AD261" s="673"/>
      <c r="AE261" s="673"/>
      <c r="AF261" s="673"/>
      <c r="AG261" s="673"/>
      <c r="AH261" s="673"/>
      <c r="AI261" s="673"/>
      <c r="AJ261" s="673"/>
      <c r="AK261" s="673"/>
      <c r="AL261" s="673"/>
      <c r="AM261" s="673"/>
      <c r="AN261" s="673"/>
      <c r="AO261" s="673"/>
      <c r="AP261" s="673"/>
      <c r="AQ261" s="673"/>
      <c r="AR261" s="673"/>
      <c r="AS261" s="673"/>
    </row>
    <row r="262">
      <c r="A262" s="653"/>
      <c r="B262" s="654"/>
      <c r="C262" s="655"/>
      <c r="D262" s="656"/>
      <c r="E262" s="657"/>
      <c r="F262" s="658"/>
      <c r="G262" s="659"/>
      <c r="H262" s="660"/>
      <c r="I262" s="659"/>
      <c r="J262" s="661"/>
      <c r="K262" s="658"/>
      <c r="L262" s="662"/>
      <c r="M262" s="663"/>
      <c r="N262" s="664"/>
      <c r="O262" s="665"/>
      <c r="P262" s="666"/>
      <c r="Q262" s="667"/>
      <c r="R262" s="668"/>
      <c r="S262" s="665"/>
      <c r="T262" s="669"/>
      <c r="U262" s="669"/>
      <c r="V262" s="665"/>
      <c r="W262" s="670"/>
      <c r="X262" s="670"/>
      <c r="Y262" s="671"/>
      <c r="Z262" s="671"/>
      <c r="AA262" s="672"/>
      <c r="AB262" s="673"/>
      <c r="AC262" s="673"/>
      <c r="AD262" s="673"/>
      <c r="AE262" s="673"/>
      <c r="AF262" s="673"/>
      <c r="AG262" s="673"/>
      <c r="AH262" s="673"/>
      <c r="AI262" s="673"/>
      <c r="AJ262" s="673"/>
      <c r="AK262" s="673"/>
      <c r="AL262" s="673"/>
      <c r="AM262" s="673"/>
      <c r="AN262" s="673"/>
      <c r="AO262" s="673"/>
      <c r="AP262" s="673"/>
      <c r="AQ262" s="673"/>
      <c r="AR262" s="673"/>
      <c r="AS262" s="673"/>
    </row>
    <row r="263">
      <c r="A263" s="653"/>
      <c r="B263" s="654"/>
      <c r="C263" s="655"/>
      <c r="D263" s="656"/>
      <c r="E263" s="657"/>
      <c r="F263" s="658"/>
      <c r="G263" s="659"/>
      <c r="H263" s="660"/>
      <c r="I263" s="659"/>
      <c r="J263" s="661"/>
      <c r="K263" s="658"/>
      <c r="L263" s="662"/>
      <c r="M263" s="663"/>
      <c r="N263" s="664"/>
      <c r="O263" s="665"/>
      <c r="P263" s="666"/>
      <c r="Q263" s="667"/>
      <c r="R263" s="668"/>
      <c r="S263" s="665"/>
      <c r="T263" s="669"/>
      <c r="U263" s="669"/>
      <c r="V263" s="665"/>
      <c r="W263" s="670"/>
      <c r="X263" s="670"/>
      <c r="Y263" s="671"/>
      <c r="Z263" s="671"/>
      <c r="AA263" s="672"/>
      <c r="AB263" s="673"/>
      <c r="AC263" s="673"/>
      <c r="AD263" s="673"/>
      <c r="AE263" s="673"/>
      <c r="AF263" s="673"/>
      <c r="AG263" s="673"/>
      <c r="AH263" s="673"/>
      <c r="AI263" s="673"/>
      <c r="AJ263" s="673"/>
      <c r="AK263" s="673"/>
      <c r="AL263" s="673"/>
      <c r="AM263" s="673"/>
      <c r="AN263" s="673"/>
      <c r="AO263" s="673"/>
      <c r="AP263" s="673"/>
      <c r="AQ263" s="673"/>
      <c r="AR263" s="673"/>
      <c r="AS263" s="673"/>
    </row>
    <row r="264">
      <c r="A264" s="653"/>
      <c r="B264" s="654"/>
      <c r="C264" s="655"/>
      <c r="D264" s="656"/>
      <c r="E264" s="657"/>
      <c r="F264" s="658"/>
      <c r="G264" s="659"/>
      <c r="H264" s="660"/>
      <c r="I264" s="659"/>
      <c r="J264" s="661"/>
      <c r="K264" s="658"/>
      <c r="L264" s="662"/>
      <c r="M264" s="663"/>
      <c r="N264" s="664"/>
      <c r="O264" s="665"/>
      <c r="P264" s="666"/>
      <c r="Q264" s="667"/>
      <c r="R264" s="668"/>
      <c r="S264" s="665"/>
      <c r="T264" s="669"/>
      <c r="U264" s="669"/>
      <c r="V264" s="665"/>
      <c r="W264" s="670"/>
      <c r="X264" s="670"/>
      <c r="Y264" s="671"/>
      <c r="Z264" s="671"/>
      <c r="AA264" s="672"/>
      <c r="AB264" s="673"/>
      <c r="AC264" s="673"/>
      <c r="AD264" s="673"/>
      <c r="AE264" s="673"/>
      <c r="AF264" s="673"/>
      <c r="AG264" s="673"/>
      <c r="AH264" s="673"/>
      <c r="AI264" s="673"/>
      <c r="AJ264" s="673"/>
      <c r="AK264" s="673"/>
      <c r="AL264" s="673"/>
      <c r="AM264" s="673"/>
      <c r="AN264" s="673"/>
      <c r="AO264" s="673"/>
      <c r="AP264" s="673"/>
      <c r="AQ264" s="673"/>
      <c r="AR264" s="673"/>
      <c r="AS264" s="673"/>
    </row>
    <row r="265">
      <c r="A265" s="653"/>
      <c r="B265" s="654"/>
      <c r="C265" s="655"/>
      <c r="D265" s="656"/>
      <c r="E265" s="657"/>
      <c r="F265" s="658"/>
      <c r="G265" s="659"/>
      <c r="H265" s="660"/>
      <c r="I265" s="659"/>
      <c r="J265" s="661"/>
      <c r="K265" s="658"/>
      <c r="L265" s="662"/>
      <c r="M265" s="663"/>
      <c r="N265" s="664"/>
      <c r="O265" s="665"/>
      <c r="P265" s="666"/>
      <c r="Q265" s="667"/>
      <c r="R265" s="668"/>
      <c r="S265" s="665"/>
      <c r="T265" s="669"/>
      <c r="U265" s="669"/>
      <c r="V265" s="665"/>
      <c r="W265" s="670"/>
      <c r="X265" s="670"/>
      <c r="Y265" s="671"/>
      <c r="Z265" s="671"/>
      <c r="AA265" s="672"/>
      <c r="AB265" s="673"/>
      <c r="AC265" s="673"/>
      <c r="AD265" s="673"/>
      <c r="AE265" s="673"/>
      <c r="AF265" s="673"/>
      <c r="AG265" s="673"/>
      <c r="AH265" s="673"/>
      <c r="AI265" s="673"/>
      <c r="AJ265" s="673"/>
      <c r="AK265" s="673"/>
      <c r="AL265" s="673"/>
      <c r="AM265" s="673"/>
      <c r="AN265" s="673"/>
      <c r="AO265" s="673"/>
      <c r="AP265" s="673"/>
      <c r="AQ265" s="673"/>
      <c r="AR265" s="673"/>
      <c r="AS265" s="673"/>
    </row>
    <row r="266">
      <c r="A266" s="653"/>
      <c r="B266" s="654"/>
      <c r="C266" s="655"/>
      <c r="D266" s="656"/>
      <c r="E266" s="657"/>
      <c r="F266" s="658"/>
      <c r="G266" s="659"/>
      <c r="H266" s="660"/>
      <c r="I266" s="659"/>
      <c r="J266" s="661"/>
      <c r="K266" s="658"/>
      <c r="L266" s="662"/>
      <c r="M266" s="663"/>
      <c r="N266" s="664"/>
      <c r="O266" s="665"/>
      <c r="P266" s="666"/>
      <c r="Q266" s="667"/>
      <c r="R266" s="668"/>
      <c r="S266" s="665"/>
      <c r="T266" s="669"/>
      <c r="U266" s="669"/>
      <c r="V266" s="665"/>
      <c r="W266" s="670"/>
      <c r="X266" s="670"/>
      <c r="Y266" s="671"/>
      <c r="Z266" s="671"/>
      <c r="AA266" s="672"/>
      <c r="AB266" s="673"/>
      <c r="AC266" s="673"/>
      <c r="AD266" s="673"/>
      <c r="AE266" s="673"/>
      <c r="AF266" s="673"/>
      <c r="AG266" s="673"/>
      <c r="AH266" s="673"/>
      <c r="AI266" s="673"/>
      <c r="AJ266" s="673"/>
      <c r="AK266" s="673"/>
      <c r="AL266" s="673"/>
      <c r="AM266" s="673"/>
      <c r="AN266" s="673"/>
      <c r="AO266" s="673"/>
      <c r="AP266" s="673"/>
      <c r="AQ266" s="673"/>
      <c r="AR266" s="673"/>
      <c r="AS266" s="673"/>
    </row>
    <row r="267">
      <c r="A267" s="653"/>
      <c r="B267" s="654"/>
      <c r="C267" s="655"/>
      <c r="D267" s="656"/>
      <c r="E267" s="657"/>
      <c r="F267" s="658"/>
      <c r="G267" s="659"/>
      <c r="H267" s="660"/>
      <c r="I267" s="659"/>
      <c r="J267" s="661"/>
      <c r="K267" s="658"/>
      <c r="L267" s="662"/>
      <c r="M267" s="663"/>
      <c r="N267" s="664"/>
      <c r="O267" s="665"/>
      <c r="P267" s="666"/>
      <c r="Q267" s="667"/>
      <c r="R267" s="668"/>
      <c r="S267" s="665"/>
      <c r="T267" s="669"/>
      <c r="U267" s="669"/>
      <c r="V267" s="665"/>
      <c r="W267" s="670"/>
      <c r="X267" s="670"/>
      <c r="Y267" s="671"/>
      <c r="Z267" s="671"/>
      <c r="AA267" s="672"/>
      <c r="AB267" s="673"/>
      <c r="AC267" s="673"/>
      <c r="AD267" s="673"/>
      <c r="AE267" s="673"/>
      <c r="AF267" s="673"/>
      <c r="AG267" s="673"/>
      <c r="AH267" s="673"/>
      <c r="AI267" s="673"/>
      <c r="AJ267" s="673"/>
      <c r="AK267" s="673"/>
      <c r="AL267" s="673"/>
      <c r="AM267" s="673"/>
      <c r="AN267" s="673"/>
      <c r="AO267" s="673"/>
      <c r="AP267" s="673"/>
      <c r="AQ267" s="673"/>
      <c r="AR267" s="673"/>
      <c r="AS267" s="673"/>
    </row>
    <row r="268">
      <c r="A268" s="653"/>
      <c r="B268" s="654"/>
      <c r="C268" s="655"/>
      <c r="D268" s="656"/>
      <c r="E268" s="657"/>
      <c r="F268" s="658"/>
      <c r="G268" s="659"/>
      <c r="H268" s="660"/>
      <c r="I268" s="659"/>
      <c r="J268" s="661"/>
      <c r="K268" s="658"/>
      <c r="L268" s="662"/>
      <c r="M268" s="663"/>
      <c r="N268" s="664"/>
      <c r="O268" s="665"/>
      <c r="P268" s="666"/>
      <c r="Q268" s="667"/>
      <c r="R268" s="668"/>
      <c r="S268" s="665"/>
      <c r="T268" s="669"/>
      <c r="U268" s="669"/>
      <c r="V268" s="665"/>
      <c r="W268" s="670"/>
      <c r="X268" s="670"/>
      <c r="Y268" s="671"/>
      <c r="Z268" s="671"/>
      <c r="AA268" s="672"/>
      <c r="AB268" s="673"/>
      <c r="AC268" s="673"/>
      <c r="AD268" s="673"/>
      <c r="AE268" s="673"/>
      <c r="AF268" s="673"/>
      <c r="AG268" s="673"/>
      <c r="AH268" s="673"/>
      <c r="AI268" s="673"/>
      <c r="AJ268" s="673"/>
      <c r="AK268" s="673"/>
      <c r="AL268" s="673"/>
      <c r="AM268" s="673"/>
      <c r="AN268" s="673"/>
      <c r="AO268" s="673"/>
      <c r="AP268" s="673"/>
      <c r="AQ268" s="673"/>
      <c r="AR268" s="673"/>
      <c r="AS268" s="673"/>
    </row>
    <row r="269">
      <c r="A269" s="653"/>
      <c r="B269" s="654"/>
      <c r="C269" s="655"/>
      <c r="D269" s="656"/>
      <c r="E269" s="657"/>
      <c r="F269" s="658"/>
      <c r="G269" s="659"/>
      <c r="H269" s="660"/>
      <c r="I269" s="659"/>
      <c r="J269" s="661"/>
      <c r="K269" s="658"/>
      <c r="L269" s="662"/>
      <c r="M269" s="663"/>
      <c r="N269" s="664"/>
      <c r="O269" s="665"/>
      <c r="P269" s="666"/>
      <c r="Q269" s="667"/>
      <c r="R269" s="668"/>
      <c r="S269" s="665"/>
      <c r="T269" s="669"/>
      <c r="U269" s="669"/>
      <c r="V269" s="665"/>
      <c r="W269" s="670"/>
      <c r="X269" s="670"/>
      <c r="Y269" s="671"/>
      <c r="Z269" s="671"/>
      <c r="AA269" s="672"/>
      <c r="AB269" s="673"/>
      <c r="AC269" s="673"/>
      <c r="AD269" s="673"/>
      <c r="AE269" s="673"/>
      <c r="AF269" s="673"/>
      <c r="AG269" s="673"/>
      <c r="AH269" s="673"/>
      <c r="AI269" s="673"/>
      <c r="AJ269" s="673"/>
      <c r="AK269" s="673"/>
      <c r="AL269" s="673"/>
      <c r="AM269" s="673"/>
      <c r="AN269" s="673"/>
      <c r="AO269" s="673"/>
      <c r="AP269" s="673"/>
      <c r="AQ269" s="673"/>
      <c r="AR269" s="673"/>
      <c r="AS269" s="673"/>
    </row>
    <row r="270">
      <c r="A270" s="653"/>
      <c r="B270" s="654"/>
      <c r="C270" s="655"/>
      <c r="D270" s="656"/>
      <c r="E270" s="657"/>
      <c r="F270" s="658"/>
      <c r="G270" s="659"/>
      <c r="H270" s="660"/>
      <c r="I270" s="659"/>
      <c r="J270" s="661"/>
      <c r="K270" s="658"/>
      <c r="L270" s="662"/>
      <c r="M270" s="663"/>
      <c r="N270" s="664"/>
      <c r="O270" s="665"/>
      <c r="P270" s="666"/>
      <c r="Q270" s="667"/>
      <c r="R270" s="668"/>
      <c r="S270" s="665"/>
      <c r="T270" s="669"/>
      <c r="U270" s="669"/>
      <c r="V270" s="665"/>
      <c r="W270" s="670"/>
      <c r="X270" s="670"/>
      <c r="Y270" s="671"/>
      <c r="Z270" s="671"/>
      <c r="AA270" s="672"/>
      <c r="AB270" s="673"/>
      <c r="AC270" s="673"/>
      <c r="AD270" s="673"/>
      <c r="AE270" s="673"/>
      <c r="AF270" s="673"/>
      <c r="AG270" s="673"/>
      <c r="AH270" s="673"/>
      <c r="AI270" s="673"/>
      <c r="AJ270" s="673"/>
      <c r="AK270" s="673"/>
      <c r="AL270" s="673"/>
      <c r="AM270" s="673"/>
      <c r="AN270" s="673"/>
      <c r="AO270" s="673"/>
      <c r="AP270" s="673"/>
      <c r="AQ270" s="673"/>
      <c r="AR270" s="673"/>
      <c r="AS270" s="673"/>
    </row>
    <row r="271">
      <c r="A271" s="653"/>
      <c r="B271" s="654"/>
      <c r="C271" s="655"/>
      <c r="D271" s="656"/>
      <c r="E271" s="657"/>
      <c r="F271" s="658"/>
      <c r="G271" s="659"/>
      <c r="H271" s="660"/>
      <c r="I271" s="659"/>
      <c r="J271" s="661"/>
      <c r="K271" s="658"/>
      <c r="L271" s="662"/>
      <c r="M271" s="663"/>
      <c r="N271" s="664"/>
      <c r="O271" s="665"/>
      <c r="P271" s="666"/>
      <c r="Q271" s="667"/>
      <c r="R271" s="668"/>
      <c r="S271" s="665"/>
      <c r="T271" s="669"/>
      <c r="U271" s="669"/>
      <c r="V271" s="665"/>
      <c r="W271" s="670"/>
      <c r="X271" s="670"/>
      <c r="Y271" s="671"/>
      <c r="Z271" s="671"/>
      <c r="AA271" s="672"/>
      <c r="AB271" s="673"/>
      <c r="AC271" s="673"/>
      <c r="AD271" s="673"/>
      <c r="AE271" s="673"/>
      <c r="AF271" s="673"/>
      <c r="AG271" s="673"/>
      <c r="AH271" s="673"/>
      <c r="AI271" s="673"/>
      <c r="AJ271" s="673"/>
      <c r="AK271" s="673"/>
      <c r="AL271" s="673"/>
      <c r="AM271" s="673"/>
      <c r="AN271" s="673"/>
      <c r="AO271" s="673"/>
      <c r="AP271" s="673"/>
      <c r="AQ271" s="673"/>
      <c r="AR271" s="673"/>
      <c r="AS271" s="673"/>
    </row>
    <row r="272">
      <c r="A272" s="653"/>
      <c r="B272" s="654"/>
      <c r="C272" s="655"/>
      <c r="D272" s="656"/>
      <c r="E272" s="657"/>
      <c r="F272" s="658"/>
      <c r="G272" s="659"/>
      <c r="H272" s="660"/>
      <c r="I272" s="659"/>
      <c r="J272" s="661"/>
      <c r="K272" s="658"/>
      <c r="L272" s="662"/>
      <c r="M272" s="663"/>
      <c r="N272" s="664"/>
      <c r="O272" s="665"/>
      <c r="P272" s="666"/>
      <c r="Q272" s="667"/>
      <c r="R272" s="668"/>
      <c r="S272" s="665"/>
      <c r="T272" s="669"/>
      <c r="U272" s="669"/>
      <c r="V272" s="665"/>
      <c r="W272" s="670"/>
      <c r="X272" s="670"/>
      <c r="Y272" s="671"/>
      <c r="Z272" s="671"/>
      <c r="AA272" s="672"/>
      <c r="AB272" s="673"/>
      <c r="AC272" s="673"/>
      <c r="AD272" s="673"/>
      <c r="AE272" s="673"/>
      <c r="AF272" s="673"/>
      <c r="AG272" s="673"/>
      <c r="AH272" s="673"/>
      <c r="AI272" s="673"/>
      <c r="AJ272" s="673"/>
      <c r="AK272" s="673"/>
      <c r="AL272" s="673"/>
      <c r="AM272" s="673"/>
      <c r="AN272" s="673"/>
      <c r="AO272" s="673"/>
      <c r="AP272" s="673"/>
      <c r="AQ272" s="673"/>
      <c r="AR272" s="673"/>
      <c r="AS272" s="673"/>
    </row>
    <row r="273">
      <c r="A273" s="653"/>
      <c r="B273" s="654"/>
      <c r="C273" s="655"/>
      <c r="D273" s="656"/>
      <c r="E273" s="657"/>
      <c r="F273" s="658"/>
      <c r="G273" s="659"/>
      <c r="H273" s="660"/>
      <c r="I273" s="659"/>
      <c r="J273" s="661"/>
      <c r="K273" s="658"/>
      <c r="L273" s="662"/>
      <c r="M273" s="663"/>
      <c r="N273" s="664"/>
      <c r="O273" s="665"/>
      <c r="P273" s="666"/>
      <c r="Q273" s="667"/>
      <c r="R273" s="668"/>
      <c r="S273" s="665"/>
      <c r="T273" s="669"/>
      <c r="U273" s="669"/>
      <c r="V273" s="665"/>
      <c r="W273" s="670"/>
      <c r="X273" s="670"/>
      <c r="Y273" s="671"/>
      <c r="Z273" s="671"/>
      <c r="AA273" s="672"/>
      <c r="AB273" s="673"/>
      <c r="AC273" s="673"/>
      <c r="AD273" s="673"/>
      <c r="AE273" s="673"/>
      <c r="AF273" s="673"/>
      <c r="AG273" s="673"/>
      <c r="AH273" s="673"/>
      <c r="AI273" s="673"/>
      <c r="AJ273" s="673"/>
      <c r="AK273" s="673"/>
      <c r="AL273" s="673"/>
      <c r="AM273" s="673"/>
      <c r="AN273" s="673"/>
      <c r="AO273" s="673"/>
      <c r="AP273" s="673"/>
      <c r="AQ273" s="673"/>
      <c r="AR273" s="673"/>
      <c r="AS273" s="673"/>
    </row>
    <row r="274">
      <c r="A274" s="653"/>
      <c r="B274" s="654"/>
      <c r="C274" s="655"/>
      <c r="D274" s="656"/>
      <c r="E274" s="657"/>
      <c r="F274" s="658"/>
      <c r="G274" s="659"/>
      <c r="H274" s="660"/>
      <c r="I274" s="659"/>
      <c r="J274" s="661"/>
      <c r="K274" s="658"/>
      <c r="L274" s="662"/>
      <c r="M274" s="663"/>
      <c r="N274" s="664"/>
      <c r="O274" s="665"/>
      <c r="P274" s="666"/>
      <c r="Q274" s="667"/>
      <c r="R274" s="668"/>
      <c r="S274" s="665"/>
      <c r="T274" s="669"/>
      <c r="U274" s="669"/>
      <c r="V274" s="665"/>
      <c r="W274" s="670"/>
      <c r="X274" s="670"/>
      <c r="Y274" s="671"/>
      <c r="Z274" s="671"/>
      <c r="AA274" s="672"/>
      <c r="AB274" s="673"/>
      <c r="AC274" s="673"/>
      <c r="AD274" s="673"/>
      <c r="AE274" s="673"/>
      <c r="AF274" s="673"/>
      <c r="AG274" s="673"/>
      <c r="AH274" s="673"/>
      <c r="AI274" s="673"/>
      <c r="AJ274" s="673"/>
      <c r="AK274" s="673"/>
      <c r="AL274" s="673"/>
      <c r="AM274" s="673"/>
      <c r="AN274" s="673"/>
      <c r="AO274" s="673"/>
      <c r="AP274" s="673"/>
      <c r="AQ274" s="673"/>
      <c r="AR274" s="673"/>
      <c r="AS274" s="673"/>
    </row>
    <row r="275">
      <c r="A275" s="653"/>
      <c r="B275" s="654"/>
      <c r="C275" s="655"/>
      <c r="D275" s="656"/>
      <c r="E275" s="657"/>
      <c r="F275" s="658"/>
      <c r="G275" s="659"/>
      <c r="H275" s="660"/>
      <c r="I275" s="659"/>
      <c r="J275" s="661"/>
      <c r="K275" s="658"/>
      <c r="L275" s="662"/>
      <c r="M275" s="663"/>
      <c r="N275" s="664"/>
      <c r="O275" s="665"/>
      <c r="P275" s="666"/>
      <c r="Q275" s="667"/>
      <c r="R275" s="668"/>
      <c r="S275" s="665"/>
      <c r="T275" s="669"/>
      <c r="U275" s="669"/>
      <c r="V275" s="665"/>
      <c r="W275" s="670"/>
      <c r="X275" s="670"/>
      <c r="Y275" s="671"/>
      <c r="Z275" s="671"/>
      <c r="AA275" s="672"/>
      <c r="AB275" s="673"/>
      <c r="AC275" s="673"/>
      <c r="AD275" s="673"/>
      <c r="AE275" s="673"/>
      <c r="AF275" s="673"/>
      <c r="AG275" s="673"/>
      <c r="AH275" s="673"/>
      <c r="AI275" s="673"/>
      <c r="AJ275" s="673"/>
      <c r="AK275" s="673"/>
      <c r="AL275" s="673"/>
      <c r="AM275" s="673"/>
      <c r="AN275" s="673"/>
      <c r="AO275" s="673"/>
      <c r="AP275" s="673"/>
      <c r="AQ275" s="673"/>
      <c r="AR275" s="673"/>
      <c r="AS275" s="673"/>
    </row>
    <row r="276">
      <c r="A276" s="653"/>
      <c r="B276" s="654"/>
      <c r="C276" s="655"/>
      <c r="D276" s="656"/>
      <c r="E276" s="657"/>
      <c r="F276" s="658"/>
      <c r="G276" s="659"/>
      <c r="H276" s="660"/>
      <c r="I276" s="659"/>
      <c r="J276" s="661"/>
      <c r="K276" s="658"/>
      <c r="L276" s="662"/>
      <c r="M276" s="663"/>
      <c r="N276" s="664"/>
      <c r="O276" s="665"/>
      <c r="P276" s="666"/>
      <c r="Q276" s="667"/>
      <c r="R276" s="668"/>
      <c r="S276" s="665"/>
      <c r="T276" s="669"/>
      <c r="U276" s="669"/>
      <c r="V276" s="665"/>
      <c r="W276" s="670"/>
      <c r="X276" s="670"/>
      <c r="Y276" s="671"/>
      <c r="Z276" s="671"/>
      <c r="AA276" s="672"/>
      <c r="AB276" s="673"/>
      <c r="AC276" s="673"/>
      <c r="AD276" s="673"/>
      <c r="AE276" s="673"/>
      <c r="AF276" s="673"/>
      <c r="AG276" s="673"/>
      <c r="AH276" s="673"/>
      <c r="AI276" s="673"/>
      <c r="AJ276" s="673"/>
      <c r="AK276" s="673"/>
      <c r="AL276" s="673"/>
      <c r="AM276" s="673"/>
      <c r="AN276" s="673"/>
      <c r="AO276" s="673"/>
      <c r="AP276" s="673"/>
      <c r="AQ276" s="673"/>
      <c r="AR276" s="673"/>
      <c r="AS276" s="673"/>
    </row>
    <row r="277">
      <c r="A277" s="653"/>
      <c r="B277" s="654"/>
      <c r="C277" s="655"/>
      <c r="D277" s="656"/>
      <c r="E277" s="657"/>
      <c r="F277" s="658"/>
      <c r="G277" s="659"/>
      <c r="H277" s="660"/>
      <c r="I277" s="659"/>
      <c r="J277" s="661"/>
      <c r="K277" s="658"/>
      <c r="L277" s="662"/>
      <c r="M277" s="663"/>
      <c r="N277" s="664"/>
      <c r="O277" s="665"/>
      <c r="P277" s="666"/>
      <c r="Q277" s="667"/>
      <c r="R277" s="668"/>
      <c r="S277" s="665"/>
      <c r="T277" s="669"/>
      <c r="U277" s="669"/>
      <c r="V277" s="665"/>
      <c r="W277" s="670"/>
      <c r="X277" s="670"/>
      <c r="Y277" s="671"/>
      <c r="Z277" s="671"/>
      <c r="AA277" s="672"/>
      <c r="AB277" s="673"/>
      <c r="AC277" s="673"/>
      <c r="AD277" s="673"/>
      <c r="AE277" s="673"/>
      <c r="AF277" s="673"/>
      <c r="AG277" s="673"/>
      <c r="AH277" s="673"/>
      <c r="AI277" s="673"/>
      <c r="AJ277" s="673"/>
      <c r="AK277" s="673"/>
      <c r="AL277" s="673"/>
      <c r="AM277" s="673"/>
      <c r="AN277" s="673"/>
      <c r="AO277" s="673"/>
      <c r="AP277" s="673"/>
      <c r="AQ277" s="673"/>
      <c r="AR277" s="673"/>
      <c r="AS277" s="673"/>
    </row>
    <row r="278">
      <c r="A278" s="653"/>
      <c r="B278" s="654"/>
      <c r="C278" s="655"/>
      <c r="D278" s="656"/>
      <c r="E278" s="657"/>
      <c r="F278" s="658"/>
      <c r="G278" s="659"/>
      <c r="H278" s="660"/>
      <c r="I278" s="659"/>
      <c r="J278" s="661"/>
      <c r="K278" s="658"/>
      <c r="L278" s="662"/>
      <c r="M278" s="663"/>
      <c r="N278" s="664"/>
      <c r="O278" s="665"/>
      <c r="P278" s="666"/>
      <c r="Q278" s="667"/>
      <c r="R278" s="668"/>
      <c r="S278" s="665"/>
      <c r="T278" s="669"/>
      <c r="U278" s="669"/>
      <c r="V278" s="665"/>
      <c r="W278" s="670"/>
      <c r="X278" s="670"/>
      <c r="Y278" s="671"/>
      <c r="Z278" s="671"/>
      <c r="AA278" s="672"/>
      <c r="AB278" s="673"/>
      <c r="AC278" s="673"/>
      <c r="AD278" s="673"/>
      <c r="AE278" s="673"/>
      <c r="AF278" s="673"/>
      <c r="AG278" s="673"/>
      <c r="AH278" s="673"/>
      <c r="AI278" s="673"/>
      <c r="AJ278" s="673"/>
      <c r="AK278" s="673"/>
      <c r="AL278" s="673"/>
      <c r="AM278" s="673"/>
      <c r="AN278" s="673"/>
      <c r="AO278" s="673"/>
      <c r="AP278" s="673"/>
      <c r="AQ278" s="673"/>
      <c r="AR278" s="673"/>
      <c r="AS278" s="673"/>
    </row>
    <row r="279">
      <c r="A279" s="653"/>
      <c r="B279" s="654"/>
      <c r="C279" s="655"/>
      <c r="D279" s="656"/>
      <c r="E279" s="657"/>
      <c r="F279" s="658"/>
      <c r="G279" s="659"/>
      <c r="H279" s="660"/>
      <c r="I279" s="659"/>
      <c r="J279" s="661"/>
      <c r="K279" s="658"/>
      <c r="L279" s="662"/>
      <c r="M279" s="663"/>
      <c r="N279" s="664"/>
      <c r="O279" s="665"/>
      <c r="P279" s="666"/>
      <c r="Q279" s="667"/>
      <c r="R279" s="668"/>
      <c r="S279" s="665"/>
      <c r="T279" s="669"/>
      <c r="U279" s="669"/>
      <c r="V279" s="665"/>
      <c r="W279" s="670"/>
      <c r="X279" s="670"/>
      <c r="Y279" s="671"/>
      <c r="Z279" s="671"/>
      <c r="AA279" s="672"/>
      <c r="AB279" s="673"/>
      <c r="AC279" s="673"/>
      <c r="AD279" s="673"/>
      <c r="AE279" s="673"/>
      <c r="AF279" s="673"/>
      <c r="AG279" s="673"/>
      <c r="AH279" s="673"/>
      <c r="AI279" s="673"/>
      <c r="AJ279" s="673"/>
      <c r="AK279" s="673"/>
      <c r="AL279" s="673"/>
      <c r="AM279" s="673"/>
      <c r="AN279" s="673"/>
      <c r="AO279" s="673"/>
      <c r="AP279" s="673"/>
      <c r="AQ279" s="673"/>
      <c r="AR279" s="673"/>
      <c r="AS279" s="673"/>
    </row>
    <row r="280">
      <c r="A280" s="653"/>
      <c r="B280" s="654"/>
      <c r="C280" s="655"/>
      <c r="D280" s="656"/>
      <c r="E280" s="657"/>
      <c r="F280" s="658"/>
      <c r="G280" s="659"/>
      <c r="H280" s="660"/>
      <c r="I280" s="659"/>
      <c r="J280" s="661"/>
      <c r="K280" s="658"/>
      <c r="L280" s="662"/>
      <c r="M280" s="663"/>
      <c r="N280" s="664"/>
      <c r="O280" s="665"/>
      <c r="P280" s="666"/>
      <c r="Q280" s="667"/>
      <c r="R280" s="668"/>
      <c r="S280" s="665"/>
      <c r="T280" s="669"/>
      <c r="U280" s="669"/>
      <c r="V280" s="665"/>
      <c r="W280" s="670"/>
      <c r="X280" s="670"/>
      <c r="Y280" s="671"/>
      <c r="Z280" s="671"/>
      <c r="AA280" s="672"/>
      <c r="AB280" s="673"/>
      <c r="AC280" s="673"/>
      <c r="AD280" s="673"/>
      <c r="AE280" s="673"/>
      <c r="AF280" s="673"/>
      <c r="AG280" s="673"/>
      <c r="AH280" s="673"/>
      <c r="AI280" s="673"/>
      <c r="AJ280" s="673"/>
      <c r="AK280" s="673"/>
      <c r="AL280" s="673"/>
      <c r="AM280" s="673"/>
      <c r="AN280" s="673"/>
      <c r="AO280" s="673"/>
      <c r="AP280" s="673"/>
      <c r="AQ280" s="673"/>
      <c r="AR280" s="673"/>
      <c r="AS280" s="673"/>
    </row>
    <row r="281">
      <c r="A281" s="653"/>
      <c r="B281" s="654"/>
      <c r="C281" s="655"/>
      <c r="D281" s="656"/>
      <c r="E281" s="657"/>
      <c r="F281" s="658"/>
      <c r="G281" s="659"/>
      <c r="H281" s="660"/>
      <c r="I281" s="659"/>
      <c r="J281" s="661"/>
      <c r="K281" s="658"/>
      <c r="L281" s="662"/>
      <c r="M281" s="663"/>
      <c r="N281" s="664"/>
      <c r="O281" s="665"/>
      <c r="P281" s="666"/>
      <c r="Q281" s="667"/>
      <c r="R281" s="668"/>
      <c r="S281" s="665"/>
      <c r="T281" s="669"/>
      <c r="U281" s="669"/>
      <c r="V281" s="665"/>
      <c r="W281" s="670"/>
      <c r="X281" s="670"/>
      <c r="Y281" s="671"/>
      <c r="Z281" s="671"/>
      <c r="AA281" s="672"/>
      <c r="AB281" s="673"/>
      <c r="AC281" s="673"/>
      <c r="AD281" s="673"/>
      <c r="AE281" s="673"/>
      <c r="AF281" s="673"/>
      <c r="AG281" s="673"/>
      <c r="AH281" s="673"/>
      <c r="AI281" s="673"/>
      <c r="AJ281" s="673"/>
      <c r="AK281" s="673"/>
      <c r="AL281" s="673"/>
      <c r="AM281" s="673"/>
      <c r="AN281" s="673"/>
      <c r="AO281" s="673"/>
      <c r="AP281" s="673"/>
      <c r="AQ281" s="673"/>
      <c r="AR281" s="673"/>
      <c r="AS281" s="673"/>
    </row>
    <row r="282">
      <c r="A282" s="653"/>
      <c r="B282" s="654"/>
      <c r="C282" s="655"/>
      <c r="D282" s="656"/>
      <c r="E282" s="657"/>
      <c r="F282" s="658"/>
      <c r="G282" s="659"/>
      <c r="H282" s="660"/>
      <c r="I282" s="659"/>
      <c r="J282" s="661"/>
      <c r="K282" s="658"/>
      <c r="L282" s="662"/>
      <c r="M282" s="663"/>
      <c r="N282" s="664"/>
      <c r="O282" s="665"/>
      <c r="P282" s="666"/>
      <c r="Q282" s="667"/>
      <c r="R282" s="668"/>
      <c r="S282" s="665"/>
      <c r="T282" s="669"/>
      <c r="U282" s="669"/>
      <c r="V282" s="665"/>
      <c r="W282" s="670"/>
      <c r="X282" s="670"/>
      <c r="Y282" s="671"/>
      <c r="Z282" s="671"/>
      <c r="AA282" s="672"/>
      <c r="AB282" s="673"/>
      <c r="AC282" s="673"/>
      <c r="AD282" s="673"/>
      <c r="AE282" s="673"/>
      <c r="AF282" s="673"/>
      <c r="AG282" s="673"/>
      <c r="AH282" s="673"/>
      <c r="AI282" s="673"/>
      <c r="AJ282" s="673"/>
      <c r="AK282" s="673"/>
      <c r="AL282" s="673"/>
      <c r="AM282" s="673"/>
      <c r="AN282" s="673"/>
      <c r="AO282" s="673"/>
      <c r="AP282" s="673"/>
      <c r="AQ282" s="673"/>
      <c r="AR282" s="673"/>
      <c r="AS282" s="673"/>
    </row>
    <row r="283">
      <c r="A283" s="653"/>
      <c r="B283" s="654"/>
      <c r="C283" s="655"/>
      <c r="D283" s="656"/>
      <c r="E283" s="657"/>
      <c r="F283" s="658"/>
      <c r="G283" s="659"/>
      <c r="H283" s="660"/>
      <c r="I283" s="659"/>
      <c r="J283" s="661"/>
      <c r="K283" s="658"/>
      <c r="L283" s="662"/>
      <c r="M283" s="663"/>
      <c r="N283" s="664"/>
      <c r="O283" s="665"/>
      <c r="P283" s="666"/>
      <c r="Q283" s="667"/>
      <c r="R283" s="668"/>
      <c r="S283" s="665"/>
      <c r="T283" s="669"/>
      <c r="U283" s="669"/>
      <c r="V283" s="665"/>
      <c r="W283" s="670"/>
      <c r="X283" s="670"/>
      <c r="Y283" s="671"/>
      <c r="Z283" s="671"/>
      <c r="AA283" s="672"/>
      <c r="AB283" s="673"/>
      <c r="AC283" s="673"/>
      <c r="AD283" s="673"/>
      <c r="AE283" s="673"/>
      <c r="AF283" s="673"/>
      <c r="AG283" s="673"/>
      <c r="AH283" s="673"/>
      <c r="AI283" s="673"/>
      <c r="AJ283" s="673"/>
      <c r="AK283" s="673"/>
      <c r="AL283" s="673"/>
      <c r="AM283" s="673"/>
      <c r="AN283" s="673"/>
      <c r="AO283" s="673"/>
      <c r="AP283" s="673"/>
      <c r="AQ283" s="673"/>
      <c r="AR283" s="673"/>
      <c r="AS283" s="673"/>
    </row>
    <row r="284">
      <c r="A284" s="653"/>
      <c r="B284" s="654"/>
      <c r="C284" s="655"/>
      <c r="D284" s="656"/>
      <c r="E284" s="657"/>
      <c r="F284" s="658"/>
      <c r="G284" s="659"/>
      <c r="H284" s="660"/>
      <c r="I284" s="659"/>
      <c r="J284" s="661"/>
      <c r="K284" s="658"/>
      <c r="L284" s="662"/>
      <c r="M284" s="663"/>
      <c r="N284" s="664"/>
      <c r="O284" s="665"/>
      <c r="P284" s="666"/>
      <c r="Q284" s="667"/>
      <c r="R284" s="668"/>
      <c r="S284" s="665"/>
      <c r="T284" s="669"/>
      <c r="U284" s="669"/>
      <c r="V284" s="665"/>
      <c r="W284" s="670"/>
      <c r="X284" s="670"/>
      <c r="Y284" s="671"/>
      <c r="Z284" s="671"/>
      <c r="AA284" s="672"/>
      <c r="AB284" s="673"/>
      <c r="AC284" s="673"/>
      <c r="AD284" s="673"/>
      <c r="AE284" s="673"/>
      <c r="AF284" s="673"/>
      <c r="AG284" s="673"/>
      <c r="AH284" s="673"/>
      <c r="AI284" s="673"/>
      <c r="AJ284" s="673"/>
      <c r="AK284" s="673"/>
      <c r="AL284" s="673"/>
      <c r="AM284" s="673"/>
      <c r="AN284" s="673"/>
      <c r="AO284" s="673"/>
      <c r="AP284" s="673"/>
      <c r="AQ284" s="673"/>
      <c r="AR284" s="673"/>
      <c r="AS284" s="673"/>
    </row>
    <row r="285">
      <c r="A285" s="653"/>
      <c r="B285" s="654"/>
      <c r="C285" s="655"/>
      <c r="D285" s="656"/>
      <c r="E285" s="657"/>
      <c r="F285" s="658"/>
      <c r="G285" s="659"/>
      <c r="H285" s="660"/>
      <c r="I285" s="659"/>
      <c r="J285" s="661"/>
      <c r="K285" s="658"/>
      <c r="L285" s="662"/>
      <c r="M285" s="663"/>
      <c r="N285" s="664"/>
      <c r="O285" s="665"/>
      <c r="P285" s="666"/>
      <c r="Q285" s="667"/>
      <c r="R285" s="668"/>
      <c r="S285" s="665"/>
      <c r="T285" s="669"/>
      <c r="U285" s="669"/>
      <c r="V285" s="665"/>
      <c r="W285" s="670"/>
      <c r="X285" s="670"/>
      <c r="Y285" s="671"/>
      <c r="Z285" s="671"/>
      <c r="AA285" s="672"/>
      <c r="AB285" s="673"/>
      <c r="AC285" s="673"/>
      <c r="AD285" s="673"/>
      <c r="AE285" s="673"/>
      <c r="AF285" s="673"/>
      <c r="AG285" s="673"/>
      <c r="AH285" s="673"/>
      <c r="AI285" s="673"/>
      <c r="AJ285" s="673"/>
      <c r="AK285" s="673"/>
      <c r="AL285" s="673"/>
      <c r="AM285" s="673"/>
      <c r="AN285" s="673"/>
      <c r="AO285" s="673"/>
      <c r="AP285" s="673"/>
      <c r="AQ285" s="673"/>
      <c r="AR285" s="673"/>
      <c r="AS285" s="673"/>
    </row>
    <row r="286">
      <c r="A286" s="653"/>
      <c r="B286" s="654"/>
      <c r="C286" s="655"/>
      <c r="D286" s="656"/>
      <c r="E286" s="657"/>
      <c r="F286" s="658"/>
      <c r="G286" s="659"/>
      <c r="H286" s="660"/>
      <c r="I286" s="659"/>
      <c r="J286" s="661"/>
      <c r="K286" s="658"/>
      <c r="L286" s="662"/>
      <c r="M286" s="663"/>
      <c r="N286" s="664"/>
      <c r="O286" s="665"/>
      <c r="P286" s="666"/>
      <c r="Q286" s="667"/>
      <c r="R286" s="668"/>
      <c r="S286" s="665"/>
      <c r="T286" s="669"/>
      <c r="U286" s="669"/>
      <c r="V286" s="665"/>
      <c r="W286" s="670"/>
      <c r="X286" s="670"/>
      <c r="Y286" s="671"/>
      <c r="Z286" s="671"/>
      <c r="AA286" s="672"/>
      <c r="AB286" s="673"/>
      <c r="AC286" s="673"/>
      <c r="AD286" s="673"/>
      <c r="AE286" s="673"/>
      <c r="AF286" s="673"/>
      <c r="AG286" s="673"/>
      <c r="AH286" s="673"/>
      <c r="AI286" s="673"/>
      <c r="AJ286" s="673"/>
      <c r="AK286" s="673"/>
      <c r="AL286" s="673"/>
      <c r="AM286" s="673"/>
      <c r="AN286" s="673"/>
      <c r="AO286" s="673"/>
      <c r="AP286" s="673"/>
      <c r="AQ286" s="673"/>
      <c r="AR286" s="673"/>
      <c r="AS286" s="673"/>
    </row>
    <row r="287">
      <c r="A287" s="653"/>
      <c r="B287" s="654"/>
      <c r="C287" s="655"/>
      <c r="D287" s="656"/>
      <c r="E287" s="657"/>
      <c r="F287" s="658"/>
      <c r="G287" s="659"/>
      <c r="H287" s="660"/>
      <c r="I287" s="659"/>
      <c r="J287" s="661"/>
      <c r="K287" s="658"/>
      <c r="L287" s="662"/>
      <c r="M287" s="663"/>
      <c r="N287" s="664"/>
      <c r="O287" s="665"/>
      <c r="P287" s="666"/>
      <c r="Q287" s="667"/>
      <c r="R287" s="668"/>
      <c r="S287" s="665"/>
      <c r="T287" s="669"/>
      <c r="U287" s="669"/>
      <c r="V287" s="665"/>
      <c r="W287" s="670"/>
      <c r="X287" s="670"/>
      <c r="Y287" s="671"/>
      <c r="Z287" s="671"/>
      <c r="AA287" s="672"/>
      <c r="AB287" s="673"/>
      <c r="AC287" s="673"/>
      <c r="AD287" s="673"/>
      <c r="AE287" s="673"/>
      <c r="AF287" s="673"/>
      <c r="AG287" s="673"/>
      <c r="AH287" s="673"/>
      <c r="AI287" s="673"/>
      <c r="AJ287" s="673"/>
      <c r="AK287" s="673"/>
      <c r="AL287" s="673"/>
      <c r="AM287" s="673"/>
      <c r="AN287" s="673"/>
      <c r="AO287" s="673"/>
      <c r="AP287" s="673"/>
      <c r="AQ287" s="673"/>
      <c r="AR287" s="673"/>
      <c r="AS287" s="673"/>
    </row>
    <row r="288">
      <c r="A288" s="653"/>
      <c r="B288" s="654"/>
      <c r="C288" s="655"/>
      <c r="D288" s="656"/>
      <c r="E288" s="657"/>
      <c r="F288" s="658"/>
      <c r="G288" s="659"/>
      <c r="H288" s="660"/>
      <c r="I288" s="659"/>
      <c r="J288" s="661"/>
      <c r="K288" s="658"/>
      <c r="L288" s="662"/>
      <c r="M288" s="663"/>
      <c r="N288" s="664"/>
      <c r="O288" s="665"/>
      <c r="P288" s="666"/>
      <c r="Q288" s="667"/>
      <c r="R288" s="668"/>
      <c r="S288" s="665"/>
      <c r="T288" s="669"/>
      <c r="U288" s="669"/>
      <c r="V288" s="665"/>
      <c r="W288" s="670"/>
      <c r="X288" s="670"/>
      <c r="Y288" s="671"/>
      <c r="Z288" s="671"/>
      <c r="AA288" s="672"/>
      <c r="AB288" s="673"/>
      <c r="AC288" s="673"/>
      <c r="AD288" s="673"/>
      <c r="AE288" s="673"/>
      <c r="AF288" s="673"/>
      <c r="AG288" s="673"/>
      <c r="AH288" s="673"/>
      <c r="AI288" s="673"/>
      <c r="AJ288" s="673"/>
      <c r="AK288" s="673"/>
      <c r="AL288" s="673"/>
      <c r="AM288" s="673"/>
      <c r="AN288" s="673"/>
      <c r="AO288" s="673"/>
      <c r="AP288" s="673"/>
      <c r="AQ288" s="673"/>
      <c r="AR288" s="673"/>
      <c r="AS288" s="673"/>
    </row>
    <row r="289">
      <c r="A289" s="653"/>
      <c r="B289" s="654"/>
      <c r="C289" s="655"/>
      <c r="D289" s="656"/>
      <c r="E289" s="657"/>
      <c r="F289" s="658"/>
      <c r="G289" s="659"/>
      <c r="H289" s="660"/>
      <c r="I289" s="659"/>
      <c r="J289" s="661"/>
      <c r="K289" s="658"/>
      <c r="L289" s="662"/>
      <c r="M289" s="663"/>
      <c r="N289" s="664"/>
      <c r="O289" s="665"/>
      <c r="P289" s="666"/>
      <c r="Q289" s="667"/>
      <c r="R289" s="668"/>
      <c r="S289" s="665"/>
      <c r="T289" s="669"/>
      <c r="U289" s="669"/>
      <c r="V289" s="665"/>
      <c r="W289" s="670"/>
      <c r="X289" s="670"/>
      <c r="Y289" s="671"/>
      <c r="Z289" s="671"/>
      <c r="AA289" s="672"/>
      <c r="AB289" s="673"/>
      <c r="AC289" s="673"/>
      <c r="AD289" s="673"/>
      <c r="AE289" s="673"/>
      <c r="AF289" s="673"/>
      <c r="AG289" s="673"/>
      <c r="AH289" s="673"/>
      <c r="AI289" s="673"/>
      <c r="AJ289" s="673"/>
      <c r="AK289" s="673"/>
      <c r="AL289" s="673"/>
      <c r="AM289" s="673"/>
      <c r="AN289" s="673"/>
      <c r="AO289" s="673"/>
      <c r="AP289" s="673"/>
      <c r="AQ289" s="673"/>
      <c r="AR289" s="673"/>
      <c r="AS289" s="673"/>
    </row>
    <row r="290">
      <c r="A290" s="653"/>
      <c r="B290" s="654"/>
      <c r="C290" s="655"/>
      <c r="D290" s="656"/>
      <c r="E290" s="657"/>
      <c r="F290" s="658"/>
      <c r="G290" s="659"/>
      <c r="H290" s="660"/>
      <c r="I290" s="659"/>
      <c r="J290" s="661"/>
      <c r="K290" s="658"/>
      <c r="L290" s="662"/>
      <c r="M290" s="663"/>
      <c r="N290" s="664"/>
      <c r="O290" s="665"/>
      <c r="P290" s="666"/>
      <c r="Q290" s="667"/>
      <c r="R290" s="668"/>
      <c r="S290" s="665"/>
      <c r="T290" s="669"/>
      <c r="U290" s="669"/>
      <c r="V290" s="665"/>
      <c r="W290" s="670"/>
      <c r="X290" s="670"/>
      <c r="Y290" s="671"/>
      <c r="Z290" s="671"/>
      <c r="AA290" s="672"/>
      <c r="AB290" s="673"/>
      <c r="AC290" s="673"/>
      <c r="AD290" s="673"/>
      <c r="AE290" s="673"/>
      <c r="AF290" s="673"/>
      <c r="AG290" s="673"/>
      <c r="AH290" s="673"/>
      <c r="AI290" s="673"/>
      <c r="AJ290" s="673"/>
      <c r="AK290" s="673"/>
      <c r="AL290" s="673"/>
      <c r="AM290" s="673"/>
      <c r="AN290" s="673"/>
      <c r="AO290" s="673"/>
      <c r="AP290" s="673"/>
      <c r="AQ290" s="673"/>
      <c r="AR290" s="673"/>
      <c r="AS290" s="673"/>
    </row>
    <row r="291">
      <c r="A291" s="653"/>
      <c r="B291" s="654"/>
      <c r="C291" s="655"/>
      <c r="D291" s="656"/>
      <c r="E291" s="657"/>
      <c r="F291" s="658"/>
      <c r="G291" s="659"/>
      <c r="H291" s="660"/>
      <c r="I291" s="659"/>
      <c r="J291" s="661"/>
      <c r="K291" s="658"/>
      <c r="L291" s="662"/>
      <c r="M291" s="663"/>
      <c r="N291" s="664"/>
      <c r="O291" s="665"/>
      <c r="P291" s="666"/>
      <c r="Q291" s="667"/>
      <c r="R291" s="668"/>
      <c r="S291" s="665"/>
      <c r="T291" s="669"/>
      <c r="U291" s="669"/>
      <c r="V291" s="665"/>
      <c r="W291" s="670"/>
      <c r="X291" s="670"/>
      <c r="Y291" s="671"/>
      <c r="Z291" s="671"/>
      <c r="AA291" s="672"/>
      <c r="AB291" s="673"/>
      <c r="AC291" s="673"/>
      <c r="AD291" s="673"/>
      <c r="AE291" s="673"/>
      <c r="AF291" s="673"/>
      <c r="AG291" s="673"/>
      <c r="AH291" s="673"/>
      <c r="AI291" s="673"/>
      <c r="AJ291" s="673"/>
      <c r="AK291" s="673"/>
      <c r="AL291" s="673"/>
      <c r="AM291" s="673"/>
      <c r="AN291" s="673"/>
      <c r="AO291" s="673"/>
      <c r="AP291" s="673"/>
      <c r="AQ291" s="673"/>
      <c r="AR291" s="673"/>
      <c r="AS291" s="673"/>
    </row>
    <row r="292">
      <c r="A292" s="653"/>
      <c r="B292" s="654"/>
      <c r="C292" s="655"/>
      <c r="D292" s="656"/>
      <c r="E292" s="657"/>
      <c r="F292" s="658"/>
      <c r="G292" s="659"/>
      <c r="H292" s="660"/>
      <c r="I292" s="659"/>
      <c r="J292" s="661"/>
      <c r="K292" s="658"/>
      <c r="L292" s="662"/>
      <c r="M292" s="663"/>
      <c r="N292" s="664"/>
      <c r="O292" s="665"/>
      <c r="P292" s="666"/>
      <c r="Q292" s="667"/>
      <c r="R292" s="668"/>
      <c r="S292" s="665"/>
      <c r="T292" s="669"/>
      <c r="U292" s="669"/>
      <c r="V292" s="665"/>
      <c r="W292" s="670"/>
      <c r="X292" s="670"/>
      <c r="Y292" s="671"/>
      <c r="Z292" s="671"/>
      <c r="AA292" s="672"/>
      <c r="AB292" s="673"/>
      <c r="AC292" s="673"/>
      <c r="AD292" s="673"/>
      <c r="AE292" s="673"/>
      <c r="AF292" s="673"/>
      <c r="AG292" s="673"/>
      <c r="AH292" s="673"/>
      <c r="AI292" s="673"/>
      <c r="AJ292" s="673"/>
      <c r="AK292" s="673"/>
      <c r="AL292" s="673"/>
      <c r="AM292" s="673"/>
      <c r="AN292" s="673"/>
      <c r="AO292" s="673"/>
      <c r="AP292" s="673"/>
      <c r="AQ292" s="673"/>
      <c r="AR292" s="673"/>
      <c r="AS292" s="673"/>
    </row>
    <row r="293">
      <c r="A293" s="653"/>
      <c r="B293" s="654"/>
      <c r="C293" s="655"/>
      <c r="D293" s="656"/>
      <c r="E293" s="657"/>
      <c r="F293" s="658"/>
      <c r="G293" s="659"/>
      <c r="H293" s="660"/>
      <c r="I293" s="659"/>
      <c r="J293" s="661"/>
      <c r="K293" s="658"/>
      <c r="L293" s="662"/>
      <c r="M293" s="663"/>
      <c r="N293" s="664"/>
      <c r="O293" s="665"/>
      <c r="P293" s="666"/>
      <c r="Q293" s="667"/>
      <c r="R293" s="668"/>
      <c r="S293" s="665"/>
      <c r="T293" s="669"/>
      <c r="U293" s="669"/>
      <c r="V293" s="665"/>
      <c r="W293" s="670"/>
      <c r="X293" s="670"/>
      <c r="Y293" s="671"/>
      <c r="Z293" s="671"/>
      <c r="AA293" s="672"/>
      <c r="AB293" s="673"/>
      <c r="AC293" s="673"/>
      <c r="AD293" s="673"/>
      <c r="AE293" s="673"/>
      <c r="AF293" s="673"/>
      <c r="AG293" s="673"/>
      <c r="AH293" s="673"/>
      <c r="AI293" s="673"/>
      <c r="AJ293" s="673"/>
      <c r="AK293" s="673"/>
      <c r="AL293" s="673"/>
      <c r="AM293" s="673"/>
      <c r="AN293" s="673"/>
      <c r="AO293" s="673"/>
      <c r="AP293" s="673"/>
      <c r="AQ293" s="673"/>
      <c r="AR293" s="673"/>
      <c r="AS293" s="673"/>
    </row>
    <row r="294">
      <c r="A294" s="653"/>
      <c r="B294" s="654"/>
      <c r="C294" s="655"/>
      <c r="D294" s="656"/>
      <c r="E294" s="657"/>
      <c r="F294" s="658"/>
      <c r="G294" s="659"/>
      <c r="H294" s="660"/>
      <c r="I294" s="659"/>
      <c r="J294" s="661"/>
      <c r="K294" s="658"/>
      <c r="L294" s="662"/>
      <c r="M294" s="663"/>
      <c r="N294" s="664"/>
      <c r="O294" s="665"/>
      <c r="P294" s="666"/>
      <c r="Q294" s="667"/>
      <c r="R294" s="668"/>
      <c r="S294" s="665"/>
      <c r="T294" s="669"/>
      <c r="U294" s="669"/>
      <c r="V294" s="665"/>
      <c r="W294" s="670"/>
      <c r="X294" s="670"/>
      <c r="Y294" s="671"/>
      <c r="Z294" s="671"/>
      <c r="AA294" s="672"/>
      <c r="AB294" s="673"/>
      <c r="AC294" s="673"/>
      <c r="AD294" s="673"/>
      <c r="AE294" s="673"/>
      <c r="AF294" s="673"/>
      <c r="AG294" s="673"/>
      <c r="AH294" s="673"/>
      <c r="AI294" s="673"/>
      <c r="AJ294" s="673"/>
      <c r="AK294" s="673"/>
      <c r="AL294" s="673"/>
      <c r="AM294" s="673"/>
      <c r="AN294" s="673"/>
      <c r="AO294" s="673"/>
      <c r="AP294" s="673"/>
      <c r="AQ294" s="673"/>
      <c r="AR294" s="673"/>
      <c r="AS294" s="673"/>
    </row>
    <row r="295">
      <c r="A295" s="653"/>
      <c r="B295" s="654"/>
      <c r="C295" s="655"/>
      <c r="D295" s="656"/>
      <c r="E295" s="657"/>
      <c r="F295" s="658"/>
      <c r="G295" s="659"/>
      <c r="H295" s="660"/>
      <c r="I295" s="659"/>
      <c r="J295" s="661"/>
      <c r="K295" s="658"/>
      <c r="L295" s="662"/>
      <c r="M295" s="663"/>
      <c r="N295" s="664"/>
      <c r="O295" s="665"/>
      <c r="P295" s="666"/>
      <c r="Q295" s="667"/>
      <c r="R295" s="668"/>
      <c r="S295" s="665"/>
      <c r="T295" s="669"/>
      <c r="U295" s="669"/>
      <c r="V295" s="665"/>
      <c r="W295" s="670"/>
      <c r="X295" s="670"/>
      <c r="Y295" s="671"/>
      <c r="Z295" s="671"/>
      <c r="AA295" s="672"/>
      <c r="AB295" s="673"/>
      <c r="AC295" s="673"/>
      <c r="AD295" s="673"/>
      <c r="AE295" s="673"/>
      <c r="AF295" s="673"/>
      <c r="AG295" s="673"/>
      <c r="AH295" s="673"/>
      <c r="AI295" s="673"/>
      <c r="AJ295" s="673"/>
      <c r="AK295" s="673"/>
      <c r="AL295" s="673"/>
      <c r="AM295" s="673"/>
      <c r="AN295" s="673"/>
      <c r="AO295" s="673"/>
      <c r="AP295" s="673"/>
      <c r="AQ295" s="673"/>
      <c r="AR295" s="673"/>
      <c r="AS295" s="673"/>
    </row>
    <row r="296">
      <c r="A296" s="653"/>
      <c r="B296" s="654"/>
      <c r="C296" s="655"/>
      <c r="D296" s="656"/>
      <c r="E296" s="657"/>
      <c r="F296" s="658"/>
      <c r="G296" s="659"/>
      <c r="H296" s="660"/>
      <c r="I296" s="659"/>
      <c r="J296" s="661"/>
      <c r="K296" s="658"/>
      <c r="L296" s="662"/>
      <c r="M296" s="663"/>
      <c r="N296" s="664"/>
      <c r="O296" s="665"/>
      <c r="P296" s="666"/>
      <c r="Q296" s="667"/>
      <c r="R296" s="668"/>
      <c r="S296" s="665"/>
      <c r="T296" s="669"/>
      <c r="U296" s="669"/>
      <c r="V296" s="665"/>
      <c r="W296" s="670"/>
      <c r="X296" s="670"/>
      <c r="Y296" s="671"/>
      <c r="Z296" s="671"/>
      <c r="AA296" s="672"/>
      <c r="AB296" s="673"/>
      <c r="AC296" s="673"/>
      <c r="AD296" s="673"/>
      <c r="AE296" s="673"/>
      <c r="AF296" s="673"/>
      <c r="AG296" s="673"/>
      <c r="AH296" s="673"/>
      <c r="AI296" s="673"/>
      <c r="AJ296" s="673"/>
      <c r="AK296" s="673"/>
      <c r="AL296" s="673"/>
      <c r="AM296" s="673"/>
      <c r="AN296" s="673"/>
      <c r="AO296" s="673"/>
      <c r="AP296" s="673"/>
      <c r="AQ296" s="673"/>
      <c r="AR296" s="673"/>
      <c r="AS296" s="673"/>
    </row>
    <row r="297">
      <c r="A297" s="653"/>
      <c r="B297" s="654"/>
      <c r="C297" s="655"/>
      <c r="D297" s="656"/>
      <c r="E297" s="657"/>
      <c r="F297" s="658"/>
      <c r="G297" s="659"/>
      <c r="H297" s="660"/>
      <c r="I297" s="659"/>
      <c r="J297" s="661"/>
      <c r="K297" s="658"/>
      <c r="L297" s="662"/>
      <c r="M297" s="663"/>
      <c r="N297" s="664"/>
      <c r="O297" s="665"/>
      <c r="P297" s="666"/>
      <c r="Q297" s="667"/>
      <c r="R297" s="668"/>
      <c r="S297" s="665"/>
      <c r="T297" s="669"/>
      <c r="U297" s="669"/>
      <c r="V297" s="665"/>
      <c r="W297" s="670"/>
      <c r="X297" s="670"/>
      <c r="Y297" s="671"/>
      <c r="Z297" s="671"/>
      <c r="AA297" s="672"/>
      <c r="AB297" s="673"/>
      <c r="AC297" s="673"/>
      <c r="AD297" s="673"/>
      <c r="AE297" s="673"/>
      <c r="AF297" s="673"/>
      <c r="AG297" s="673"/>
      <c r="AH297" s="673"/>
      <c r="AI297" s="673"/>
      <c r="AJ297" s="673"/>
      <c r="AK297" s="673"/>
      <c r="AL297" s="673"/>
      <c r="AM297" s="673"/>
      <c r="AN297" s="673"/>
      <c r="AO297" s="673"/>
      <c r="AP297" s="673"/>
      <c r="AQ297" s="673"/>
      <c r="AR297" s="673"/>
      <c r="AS297" s="673"/>
    </row>
    <row r="298">
      <c r="A298" s="653"/>
      <c r="B298" s="654"/>
      <c r="C298" s="655"/>
      <c r="D298" s="656"/>
      <c r="E298" s="657"/>
      <c r="F298" s="658"/>
      <c r="G298" s="659"/>
      <c r="H298" s="660"/>
      <c r="I298" s="659"/>
      <c r="J298" s="661"/>
      <c r="K298" s="658"/>
      <c r="L298" s="662"/>
      <c r="M298" s="663"/>
      <c r="N298" s="664"/>
      <c r="O298" s="665"/>
      <c r="P298" s="666"/>
      <c r="Q298" s="667"/>
      <c r="R298" s="668"/>
      <c r="S298" s="665"/>
      <c r="T298" s="669"/>
      <c r="U298" s="669"/>
      <c r="V298" s="665"/>
      <c r="W298" s="670"/>
      <c r="X298" s="670"/>
      <c r="Y298" s="671"/>
      <c r="Z298" s="671"/>
      <c r="AA298" s="672"/>
      <c r="AB298" s="673"/>
      <c r="AC298" s="673"/>
      <c r="AD298" s="673"/>
      <c r="AE298" s="673"/>
      <c r="AF298" s="673"/>
      <c r="AG298" s="673"/>
      <c r="AH298" s="673"/>
      <c r="AI298" s="673"/>
      <c r="AJ298" s="673"/>
      <c r="AK298" s="673"/>
      <c r="AL298" s="673"/>
      <c r="AM298" s="673"/>
      <c r="AN298" s="673"/>
      <c r="AO298" s="673"/>
      <c r="AP298" s="673"/>
      <c r="AQ298" s="673"/>
      <c r="AR298" s="673"/>
      <c r="AS298" s="673"/>
    </row>
    <row r="299">
      <c r="A299" s="653"/>
      <c r="B299" s="654"/>
      <c r="C299" s="655"/>
      <c r="D299" s="656"/>
      <c r="E299" s="657"/>
      <c r="F299" s="658"/>
      <c r="G299" s="659"/>
      <c r="H299" s="660"/>
      <c r="I299" s="659"/>
      <c r="J299" s="661"/>
      <c r="K299" s="658"/>
      <c r="L299" s="662"/>
      <c r="M299" s="663"/>
      <c r="N299" s="664"/>
      <c r="O299" s="665"/>
      <c r="P299" s="666"/>
      <c r="Q299" s="667"/>
      <c r="R299" s="668"/>
      <c r="S299" s="665"/>
      <c r="T299" s="669"/>
      <c r="U299" s="669"/>
      <c r="V299" s="665"/>
      <c r="W299" s="670"/>
      <c r="X299" s="670"/>
      <c r="Y299" s="671"/>
      <c r="Z299" s="671"/>
      <c r="AA299" s="672"/>
      <c r="AB299" s="673"/>
      <c r="AC299" s="673"/>
      <c r="AD299" s="673"/>
      <c r="AE299" s="673"/>
      <c r="AF299" s="673"/>
      <c r="AG299" s="673"/>
      <c r="AH299" s="673"/>
      <c r="AI299" s="673"/>
      <c r="AJ299" s="673"/>
      <c r="AK299" s="673"/>
      <c r="AL299" s="673"/>
      <c r="AM299" s="673"/>
      <c r="AN299" s="673"/>
      <c r="AO299" s="673"/>
      <c r="AP299" s="673"/>
      <c r="AQ299" s="673"/>
      <c r="AR299" s="673"/>
      <c r="AS299" s="673"/>
    </row>
    <row r="300">
      <c r="A300" s="653"/>
      <c r="B300" s="654"/>
      <c r="C300" s="655"/>
      <c r="D300" s="656"/>
      <c r="E300" s="657"/>
      <c r="F300" s="658"/>
      <c r="G300" s="659"/>
      <c r="H300" s="660"/>
      <c r="I300" s="659"/>
      <c r="J300" s="661"/>
      <c r="K300" s="658"/>
      <c r="L300" s="662"/>
      <c r="M300" s="663"/>
      <c r="N300" s="664"/>
      <c r="O300" s="665"/>
      <c r="P300" s="666"/>
      <c r="Q300" s="667"/>
      <c r="R300" s="668"/>
      <c r="S300" s="665"/>
      <c r="T300" s="669"/>
      <c r="U300" s="669"/>
      <c r="V300" s="665"/>
      <c r="W300" s="670"/>
      <c r="X300" s="670"/>
      <c r="Y300" s="671"/>
      <c r="Z300" s="671"/>
      <c r="AA300" s="672"/>
      <c r="AB300" s="673"/>
      <c r="AC300" s="673"/>
      <c r="AD300" s="673"/>
      <c r="AE300" s="673"/>
      <c r="AF300" s="673"/>
      <c r="AG300" s="673"/>
      <c r="AH300" s="673"/>
      <c r="AI300" s="673"/>
      <c r="AJ300" s="673"/>
      <c r="AK300" s="673"/>
      <c r="AL300" s="673"/>
      <c r="AM300" s="673"/>
      <c r="AN300" s="673"/>
      <c r="AO300" s="673"/>
      <c r="AP300" s="673"/>
      <c r="AQ300" s="673"/>
      <c r="AR300" s="673"/>
      <c r="AS300" s="673"/>
    </row>
    <row r="301">
      <c r="A301" s="653"/>
      <c r="B301" s="654"/>
      <c r="C301" s="655"/>
      <c r="D301" s="656"/>
      <c r="E301" s="657"/>
      <c r="F301" s="658"/>
      <c r="G301" s="659"/>
      <c r="H301" s="660"/>
      <c r="I301" s="659"/>
      <c r="J301" s="661"/>
      <c r="K301" s="658"/>
      <c r="L301" s="662"/>
      <c r="M301" s="663"/>
      <c r="N301" s="664"/>
      <c r="O301" s="665"/>
      <c r="P301" s="666"/>
      <c r="Q301" s="667"/>
      <c r="R301" s="668"/>
      <c r="S301" s="665"/>
      <c r="T301" s="669"/>
      <c r="U301" s="669"/>
      <c r="V301" s="665"/>
      <c r="W301" s="670"/>
      <c r="X301" s="670"/>
      <c r="Y301" s="671"/>
      <c r="Z301" s="671"/>
      <c r="AA301" s="672"/>
      <c r="AB301" s="673"/>
      <c r="AC301" s="673"/>
      <c r="AD301" s="673"/>
      <c r="AE301" s="673"/>
      <c r="AF301" s="673"/>
      <c r="AG301" s="673"/>
      <c r="AH301" s="673"/>
      <c r="AI301" s="673"/>
      <c r="AJ301" s="673"/>
      <c r="AK301" s="673"/>
      <c r="AL301" s="673"/>
      <c r="AM301" s="673"/>
      <c r="AN301" s="673"/>
      <c r="AO301" s="673"/>
      <c r="AP301" s="673"/>
      <c r="AQ301" s="673"/>
      <c r="AR301" s="673"/>
      <c r="AS301" s="673"/>
    </row>
    <row r="302">
      <c r="A302" s="653"/>
      <c r="B302" s="654"/>
      <c r="C302" s="655"/>
      <c r="D302" s="656"/>
      <c r="E302" s="657"/>
      <c r="F302" s="658"/>
      <c r="G302" s="659"/>
      <c r="H302" s="660"/>
      <c r="I302" s="659"/>
      <c r="J302" s="661"/>
      <c r="K302" s="658"/>
      <c r="L302" s="662"/>
      <c r="M302" s="663"/>
      <c r="N302" s="664"/>
      <c r="O302" s="665"/>
      <c r="P302" s="666"/>
      <c r="Q302" s="667"/>
      <c r="R302" s="668"/>
      <c r="S302" s="665"/>
      <c r="T302" s="669"/>
      <c r="U302" s="669"/>
      <c r="V302" s="665"/>
      <c r="W302" s="670"/>
      <c r="X302" s="670"/>
      <c r="Y302" s="671"/>
      <c r="Z302" s="671"/>
      <c r="AA302" s="672"/>
      <c r="AB302" s="673"/>
      <c r="AC302" s="673"/>
      <c r="AD302" s="673"/>
      <c r="AE302" s="673"/>
      <c r="AF302" s="673"/>
      <c r="AG302" s="673"/>
      <c r="AH302" s="673"/>
      <c r="AI302" s="673"/>
      <c r="AJ302" s="673"/>
      <c r="AK302" s="673"/>
      <c r="AL302" s="673"/>
      <c r="AM302" s="673"/>
      <c r="AN302" s="673"/>
      <c r="AO302" s="673"/>
      <c r="AP302" s="673"/>
      <c r="AQ302" s="673"/>
      <c r="AR302" s="673"/>
      <c r="AS302" s="673"/>
    </row>
    <row r="303">
      <c r="A303" s="653"/>
      <c r="B303" s="654"/>
      <c r="C303" s="655"/>
      <c r="D303" s="656"/>
      <c r="E303" s="657"/>
      <c r="F303" s="658"/>
      <c r="G303" s="659"/>
      <c r="H303" s="660"/>
      <c r="I303" s="659"/>
      <c r="J303" s="661"/>
      <c r="K303" s="658"/>
      <c r="L303" s="662"/>
      <c r="M303" s="663"/>
      <c r="N303" s="664"/>
      <c r="O303" s="665"/>
      <c r="P303" s="666"/>
      <c r="Q303" s="667"/>
      <c r="R303" s="668"/>
      <c r="S303" s="665"/>
      <c r="T303" s="669"/>
      <c r="U303" s="669"/>
      <c r="V303" s="665"/>
      <c r="W303" s="670"/>
      <c r="X303" s="670"/>
      <c r="Y303" s="671"/>
      <c r="Z303" s="671"/>
      <c r="AA303" s="672"/>
      <c r="AB303" s="673"/>
      <c r="AC303" s="673"/>
      <c r="AD303" s="673"/>
      <c r="AE303" s="673"/>
      <c r="AF303" s="673"/>
      <c r="AG303" s="673"/>
      <c r="AH303" s="673"/>
      <c r="AI303" s="673"/>
      <c r="AJ303" s="673"/>
      <c r="AK303" s="673"/>
      <c r="AL303" s="673"/>
      <c r="AM303" s="673"/>
      <c r="AN303" s="673"/>
      <c r="AO303" s="673"/>
      <c r="AP303" s="673"/>
      <c r="AQ303" s="673"/>
      <c r="AR303" s="673"/>
      <c r="AS303" s="673"/>
    </row>
    <row r="304">
      <c r="A304" s="653"/>
      <c r="B304" s="654"/>
      <c r="C304" s="655"/>
      <c r="D304" s="656"/>
      <c r="E304" s="657"/>
      <c r="F304" s="658"/>
      <c r="G304" s="659"/>
      <c r="H304" s="660"/>
      <c r="I304" s="659"/>
      <c r="J304" s="661"/>
      <c r="K304" s="658"/>
      <c r="L304" s="662"/>
      <c r="M304" s="663"/>
      <c r="N304" s="664"/>
      <c r="O304" s="665"/>
      <c r="P304" s="666"/>
      <c r="Q304" s="667"/>
      <c r="R304" s="668"/>
      <c r="S304" s="665"/>
      <c r="T304" s="669"/>
      <c r="U304" s="669"/>
      <c r="V304" s="665"/>
      <c r="W304" s="670"/>
      <c r="X304" s="670"/>
      <c r="Y304" s="671"/>
      <c r="Z304" s="671"/>
      <c r="AA304" s="672"/>
      <c r="AB304" s="673"/>
      <c r="AC304" s="673"/>
      <c r="AD304" s="673"/>
      <c r="AE304" s="673"/>
      <c r="AF304" s="673"/>
      <c r="AG304" s="673"/>
      <c r="AH304" s="673"/>
      <c r="AI304" s="673"/>
      <c r="AJ304" s="673"/>
      <c r="AK304" s="673"/>
      <c r="AL304" s="673"/>
      <c r="AM304" s="673"/>
      <c r="AN304" s="673"/>
      <c r="AO304" s="673"/>
      <c r="AP304" s="673"/>
      <c r="AQ304" s="673"/>
      <c r="AR304" s="673"/>
      <c r="AS304" s="673"/>
    </row>
    <row r="305">
      <c r="A305" s="653"/>
      <c r="B305" s="654"/>
      <c r="C305" s="655"/>
      <c r="D305" s="656"/>
      <c r="E305" s="657"/>
      <c r="F305" s="658"/>
      <c r="G305" s="659"/>
      <c r="H305" s="660"/>
      <c r="I305" s="659"/>
      <c r="J305" s="661"/>
      <c r="K305" s="658"/>
      <c r="L305" s="662"/>
      <c r="M305" s="663"/>
      <c r="N305" s="664"/>
      <c r="O305" s="665"/>
      <c r="P305" s="666"/>
      <c r="Q305" s="667"/>
      <c r="R305" s="668"/>
      <c r="S305" s="665"/>
      <c r="T305" s="669"/>
      <c r="U305" s="669"/>
      <c r="V305" s="665"/>
      <c r="W305" s="670"/>
      <c r="X305" s="670"/>
      <c r="Y305" s="671"/>
      <c r="Z305" s="671"/>
      <c r="AA305" s="672"/>
      <c r="AB305" s="673"/>
      <c r="AC305" s="673"/>
      <c r="AD305" s="673"/>
      <c r="AE305" s="673"/>
      <c r="AF305" s="673"/>
      <c r="AG305" s="673"/>
      <c r="AH305" s="673"/>
      <c r="AI305" s="673"/>
      <c r="AJ305" s="673"/>
      <c r="AK305" s="673"/>
      <c r="AL305" s="673"/>
      <c r="AM305" s="673"/>
      <c r="AN305" s="673"/>
      <c r="AO305" s="673"/>
      <c r="AP305" s="673"/>
      <c r="AQ305" s="673"/>
      <c r="AR305" s="673"/>
      <c r="AS305" s="673"/>
    </row>
    <row r="306">
      <c r="A306" s="653"/>
      <c r="B306" s="654"/>
      <c r="C306" s="655"/>
      <c r="D306" s="656"/>
      <c r="E306" s="657"/>
      <c r="F306" s="658"/>
      <c r="G306" s="659"/>
      <c r="H306" s="660"/>
      <c r="I306" s="659"/>
      <c r="J306" s="661"/>
      <c r="K306" s="658"/>
      <c r="L306" s="662"/>
      <c r="M306" s="663"/>
      <c r="N306" s="664"/>
      <c r="O306" s="665"/>
      <c r="P306" s="666"/>
      <c r="Q306" s="667"/>
      <c r="R306" s="668"/>
      <c r="S306" s="665"/>
      <c r="T306" s="669"/>
      <c r="U306" s="669"/>
      <c r="V306" s="665"/>
      <c r="W306" s="670"/>
      <c r="X306" s="670"/>
      <c r="Y306" s="671"/>
      <c r="Z306" s="671"/>
      <c r="AA306" s="672"/>
      <c r="AB306" s="673"/>
      <c r="AC306" s="673"/>
      <c r="AD306" s="673"/>
      <c r="AE306" s="673"/>
      <c r="AF306" s="673"/>
      <c r="AG306" s="673"/>
      <c r="AH306" s="673"/>
      <c r="AI306" s="673"/>
      <c r="AJ306" s="673"/>
      <c r="AK306" s="673"/>
      <c r="AL306" s="673"/>
      <c r="AM306" s="673"/>
      <c r="AN306" s="673"/>
      <c r="AO306" s="673"/>
      <c r="AP306" s="673"/>
      <c r="AQ306" s="673"/>
      <c r="AR306" s="673"/>
      <c r="AS306" s="673"/>
    </row>
    <row r="307">
      <c r="A307" s="653"/>
      <c r="B307" s="654"/>
      <c r="C307" s="655"/>
      <c r="D307" s="656"/>
      <c r="E307" s="657"/>
      <c r="F307" s="658"/>
      <c r="G307" s="659"/>
      <c r="H307" s="660"/>
      <c r="I307" s="659"/>
      <c r="J307" s="661"/>
      <c r="K307" s="658"/>
      <c r="L307" s="662"/>
      <c r="M307" s="663"/>
      <c r="N307" s="664"/>
      <c r="O307" s="665"/>
      <c r="P307" s="666"/>
      <c r="Q307" s="667"/>
      <c r="R307" s="668"/>
      <c r="S307" s="665"/>
      <c r="T307" s="669"/>
      <c r="U307" s="669"/>
      <c r="V307" s="665"/>
      <c r="W307" s="670"/>
      <c r="X307" s="670"/>
      <c r="Y307" s="671"/>
      <c r="Z307" s="671"/>
      <c r="AA307" s="672"/>
      <c r="AB307" s="673"/>
      <c r="AC307" s="673"/>
      <c r="AD307" s="673"/>
      <c r="AE307" s="673"/>
      <c r="AF307" s="673"/>
      <c r="AG307" s="673"/>
      <c r="AH307" s="673"/>
      <c r="AI307" s="673"/>
      <c r="AJ307" s="673"/>
      <c r="AK307" s="673"/>
      <c r="AL307" s="673"/>
      <c r="AM307" s="673"/>
      <c r="AN307" s="673"/>
      <c r="AO307" s="673"/>
      <c r="AP307" s="673"/>
      <c r="AQ307" s="673"/>
      <c r="AR307" s="673"/>
      <c r="AS307" s="673"/>
    </row>
    <row r="308">
      <c r="A308" s="653"/>
      <c r="B308" s="654"/>
      <c r="C308" s="655"/>
      <c r="D308" s="656"/>
      <c r="E308" s="657"/>
      <c r="F308" s="658"/>
      <c r="G308" s="659"/>
      <c r="H308" s="660"/>
      <c r="I308" s="659"/>
      <c r="J308" s="661"/>
      <c r="K308" s="658"/>
      <c r="L308" s="662"/>
      <c r="M308" s="663"/>
      <c r="N308" s="664"/>
      <c r="O308" s="665"/>
      <c r="P308" s="666"/>
      <c r="Q308" s="667"/>
      <c r="R308" s="668"/>
      <c r="S308" s="665"/>
      <c r="T308" s="669"/>
      <c r="U308" s="669"/>
      <c r="V308" s="665"/>
      <c r="W308" s="670"/>
      <c r="X308" s="670"/>
      <c r="Y308" s="671"/>
      <c r="Z308" s="671"/>
      <c r="AA308" s="672"/>
      <c r="AB308" s="673"/>
      <c r="AC308" s="673"/>
      <c r="AD308" s="673"/>
      <c r="AE308" s="673"/>
      <c r="AF308" s="673"/>
      <c r="AG308" s="673"/>
      <c r="AH308" s="673"/>
      <c r="AI308" s="673"/>
      <c r="AJ308" s="673"/>
      <c r="AK308" s="673"/>
      <c r="AL308" s="673"/>
      <c r="AM308" s="673"/>
      <c r="AN308" s="673"/>
      <c r="AO308" s="673"/>
      <c r="AP308" s="673"/>
      <c r="AQ308" s="673"/>
      <c r="AR308" s="673"/>
      <c r="AS308" s="673"/>
    </row>
    <row r="309">
      <c r="A309" s="653"/>
      <c r="B309" s="654"/>
      <c r="C309" s="655"/>
      <c r="D309" s="656"/>
      <c r="E309" s="657"/>
      <c r="F309" s="658"/>
      <c r="G309" s="659"/>
      <c r="H309" s="660"/>
      <c r="I309" s="659"/>
      <c r="J309" s="661"/>
      <c r="K309" s="658"/>
      <c r="L309" s="662"/>
      <c r="M309" s="663"/>
      <c r="N309" s="664"/>
      <c r="O309" s="665"/>
      <c r="P309" s="666"/>
      <c r="Q309" s="667"/>
      <c r="R309" s="668"/>
      <c r="S309" s="665"/>
      <c r="T309" s="669"/>
      <c r="U309" s="669"/>
      <c r="V309" s="665"/>
      <c r="W309" s="670"/>
      <c r="X309" s="670"/>
      <c r="Y309" s="671"/>
      <c r="Z309" s="671"/>
      <c r="AA309" s="672"/>
      <c r="AB309" s="673"/>
      <c r="AC309" s="673"/>
      <c r="AD309" s="673"/>
      <c r="AE309" s="673"/>
      <c r="AF309" s="673"/>
      <c r="AG309" s="673"/>
      <c r="AH309" s="673"/>
      <c r="AI309" s="673"/>
      <c r="AJ309" s="673"/>
      <c r="AK309" s="673"/>
      <c r="AL309" s="673"/>
      <c r="AM309" s="673"/>
      <c r="AN309" s="673"/>
      <c r="AO309" s="673"/>
      <c r="AP309" s="673"/>
      <c r="AQ309" s="673"/>
      <c r="AR309" s="673"/>
      <c r="AS309" s="673"/>
    </row>
    <row r="310">
      <c r="A310" s="653"/>
      <c r="B310" s="654"/>
      <c r="C310" s="655"/>
      <c r="D310" s="656"/>
      <c r="E310" s="657"/>
      <c r="F310" s="658"/>
      <c r="G310" s="659"/>
      <c r="H310" s="660"/>
      <c r="I310" s="659"/>
      <c r="J310" s="661"/>
      <c r="K310" s="658"/>
      <c r="L310" s="662"/>
      <c r="M310" s="663"/>
      <c r="N310" s="664"/>
      <c r="O310" s="665"/>
      <c r="P310" s="666"/>
      <c r="Q310" s="667"/>
      <c r="R310" s="668"/>
      <c r="S310" s="665"/>
      <c r="T310" s="669"/>
      <c r="U310" s="669"/>
      <c r="V310" s="665"/>
      <c r="W310" s="670"/>
      <c r="X310" s="670"/>
      <c r="Y310" s="671"/>
      <c r="Z310" s="671"/>
      <c r="AA310" s="672"/>
      <c r="AB310" s="673"/>
      <c r="AC310" s="673"/>
      <c r="AD310" s="673"/>
      <c r="AE310" s="673"/>
      <c r="AF310" s="673"/>
      <c r="AG310" s="673"/>
      <c r="AH310" s="673"/>
      <c r="AI310" s="673"/>
      <c r="AJ310" s="673"/>
      <c r="AK310" s="673"/>
      <c r="AL310" s="673"/>
      <c r="AM310" s="673"/>
      <c r="AN310" s="673"/>
      <c r="AO310" s="673"/>
      <c r="AP310" s="673"/>
      <c r="AQ310" s="673"/>
      <c r="AR310" s="673"/>
      <c r="AS310" s="673"/>
    </row>
    <row r="311">
      <c r="A311" s="653"/>
      <c r="B311" s="654"/>
      <c r="C311" s="655"/>
      <c r="D311" s="656"/>
      <c r="E311" s="657"/>
      <c r="F311" s="658"/>
      <c r="G311" s="659"/>
      <c r="H311" s="660"/>
      <c r="I311" s="659"/>
      <c r="J311" s="661"/>
      <c r="K311" s="658"/>
      <c r="L311" s="662"/>
      <c r="M311" s="663"/>
      <c r="N311" s="664"/>
      <c r="O311" s="665"/>
      <c r="P311" s="666"/>
      <c r="Q311" s="667"/>
      <c r="R311" s="668"/>
      <c r="S311" s="665"/>
      <c r="T311" s="669"/>
      <c r="U311" s="669"/>
      <c r="V311" s="665"/>
      <c r="W311" s="670"/>
      <c r="X311" s="670"/>
      <c r="Y311" s="671"/>
      <c r="Z311" s="671"/>
      <c r="AA311" s="672"/>
      <c r="AB311" s="673"/>
      <c r="AC311" s="673"/>
      <c r="AD311" s="673"/>
      <c r="AE311" s="673"/>
      <c r="AF311" s="673"/>
      <c r="AG311" s="673"/>
      <c r="AH311" s="673"/>
      <c r="AI311" s="673"/>
      <c r="AJ311" s="673"/>
      <c r="AK311" s="673"/>
      <c r="AL311" s="673"/>
      <c r="AM311" s="673"/>
      <c r="AN311" s="673"/>
      <c r="AO311" s="673"/>
      <c r="AP311" s="673"/>
      <c r="AQ311" s="673"/>
      <c r="AR311" s="673"/>
      <c r="AS311" s="673"/>
    </row>
    <row r="312">
      <c r="A312" s="653"/>
      <c r="B312" s="654"/>
      <c r="C312" s="655"/>
      <c r="D312" s="656"/>
      <c r="E312" s="657"/>
      <c r="F312" s="658"/>
      <c r="G312" s="659"/>
      <c r="H312" s="660"/>
      <c r="I312" s="659"/>
      <c r="J312" s="661"/>
      <c r="K312" s="658"/>
      <c r="L312" s="662"/>
      <c r="M312" s="663"/>
      <c r="N312" s="664"/>
      <c r="O312" s="665"/>
      <c r="P312" s="666"/>
      <c r="Q312" s="667"/>
      <c r="R312" s="668"/>
      <c r="S312" s="665"/>
      <c r="T312" s="669"/>
      <c r="U312" s="669"/>
      <c r="V312" s="665"/>
      <c r="W312" s="670"/>
      <c r="X312" s="670"/>
      <c r="Y312" s="671"/>
      <c r="Z312" s="671"/>
      <c r="AA312" s="672"/>
      <c r="AB312" s="673"/>
      <c r="AC312" s="673"/>
      <c r="AD312" s="673"/>
      <c r="AE312" s="673"/>
      <c r="AF312" s="673"/>
      <c r="AG312" s="673"/>
      <c r="AH312" s="673"/>
      <c r="AI312" s="673"/>
      <c r="AJ312" s="673"/>
      <c r="AK312" s="673"/>
      <c r="AL312" s="673"/>
      <c r="AM312" s="673"/>
      <c r="AN312" s="673"/>
      <c r="AO312" s="673"/>
      <c r="AP312" s="673"/>
      <c r="AQ312" s="673"/>
      <c r="AR312" s="673"/>
      <c r="AS312" s="673"/>
    </row>
    <row r="313">
      <c r="A313" s="653"/>
      <c r="B313" s="654"/>
      <c r="C313" s="655"/>
      <c r="D313" s="656"/>
      <c r="E313" s="657"/>
      <c r="F313" s="658"/>
      <c r="G313" s="659"/>
      <c r="H313" s="660"/>
      <c r="I313" s="659"/>
      <c r="J313" s="661"/>
      <c r="K313" s="658"/>
      <c r="L313" s="662"/>
      <c r="M313" s="663"/>
      <c r="N313" s="664"/>
      <c r="O313" s="665"/>
      <c r="P313" s="666"/>
      <c r="Q313" s="667"/>
      <c r="R313" s="668"/>
      <c r="S313" s="665"/>
      <c r="T313" s="669"/>
      <c r="U313" s="669"/>
      <c r="V313" s="665"/>
      <c r="W313" s="670"/>
      <c r="X313" s="670"/>
      <c r="Y313" s="671"/>
      <c r="Z313" s="671"/>
      <c r="AA313" s="672"/>
      <c r="AB313" s="673"/>
      <c r="AC313" s="673"/>
      <c r="AD313" s="673"/>
      <c r="AE313" s="673"/>
      <c r="AF313" s="673"/>
      <c r="AG313" s="673"/>
      <c r="AH313" s="673"/>
      <c r="AI313" s="673"/>
      <c r="AJ313" s="673"/>
      <c r="AK313" s="673"/>
      <c r="AL313" s="673"/>
      <c r="AM313" s="673"/>
      <c r="AN313" s="673"/>
      <c r="AO313" s="673"/>
      <c r="AP313" s="673"/>
      <c r="AQ313" s="673"/>
      <c r="AR313" s="673"/>
      <c r="AS313" s="673"/>
    </row>
    <row r="314">
      <c r="A314" s="653"/>
      <c r="B314" s="654"/>
      <c r="C314" s="655"/>
      <c r="D314" s="656"/>
      <c r="E314" s="657"/>
      <c r="F314" s="658"/>
      <c r="G314" s="659"/>
      <c r="H314" s="660"/>
      <c r="I314" s="659"/>
      <c r="J314" s="661"/>
      <c r="K314" s="658"/>
      <c r="L314" s="662"/>
      <c r="M314" s="663"/>
      <c r="N314" s="664"/>
      <c r="O314" s="665"/>
      <c r="P314" s="666"/>
      <c r="Q314" s="667"/>
      <c r="R314" s="668"/>
      <c r="S314" s="665"/>
      <c r="T314" s="669"/>
      <c r="U314" s="669"/>
      <c r="V314" s="665"/>
      <c r="W314" s="670"/>
      <c r="X314" s="670"/>
      <c r="Y314" s="671"/>
      <c r="Z314" s="671"/>
      <c r="AA314" s="672"/>
      <c r="AB314" s="673"/>
      <c r="AC314" s="673"/>
      <c r="AD314" s="673"/>
      <c r="AE314" s="673"/>
      <c r="AF314" s="673"/>
      <c r="AG314" s="673"/>
      <c r="AH314" s="673"/>
      <c r="AI314" s="673"/>
      <c r="AJ314" s="673"/>
      <c r="AK314" s="673"/>
      <c r="AL314" s="673"/>
      <c r="AM314" s="673"/>
      <c r="AN314" s="673"/>
      <c r="AO314" s="673"/>
      <c r="AP314" s="673"/>
      <c r="AQ314" s="673"/>
      <c r="AR314" s="673"/>
      <c r="AS314" s="673"/>
    </row>
    <row r="315">
      <c r="A315" s="653"/>
      <c r="B315" s="654"/>
      <c r="C315" s="655"/>
      <c r="D315" s="656"/>
      <c r="E315" s="657"/>
      <c r="F315" s="658"/>
      <c r="G315" s="659"/>
      <c r="H315" s="660"/>
      <c r="I315" s="659"/>
      <c r="J315" s="661"/>
      <c r="K315" s="658"/>
      <c r="L315" s="662"/>
      <c r="M315" s="663"/>
      <c r="N315" s="664"/>
      <c r="O315" s="665"/>
      <c r="P315" s="666"/>
      <c r="Q315" s="667"/>
      <c r="R315" s="668"/>
      <c r="S315" s="665"/>
      <c r="T315" s="669"/>
      <c r="U315" s="669"/>
      <c r="V315" s="665"/>
      <c r="W315" s="670"/>
      <c r="X315" s="670"/>
      <c r="Y315" s="671"/>
      <c r="Z315" s="671"/>
      <c r="AA315" s="672"/>
      <c r="AB315" s="673"/>
      <c r="AC315" s="673"/>
      <c r="AD315" s="673"/>
      <c r="AE315" s="673"/>
      <c r="AF315" s="673"/>
      <c r="AG315" s="673"/>
      <c r="AH315" s="673"/>
      <c r="AI315" s="673"/>
      <c r="AJ315" s="673"/>
      <c r="AK315" s="673"/>
      <c r="AL315" s="673"/>
      <c r="AM315" s="673"/>
      <c r="AN315" s="673"/>
      <c r="AO315" s="673"/>
      <c r="AP315" s="673"/>
      <c r="AQ315" s="673"/>
      <c r="AR315" s="673"/>
      <c r="AS315" s="673"/>
    </row>
    <row r="316">
      <c r="A316" s="653"/>
      <c r="B316" s="654"/>
      <c r="C316" s="655"/>
      <c r="D316" s="656"/>
      <c r="E316" s="657"/>
      <c r="F316" s="658"/>
      <c r="G316" s="659"/>
      <c r="H316" s="660"/>
      <c r="I316" s="659"/>
      <c r="J316" s="661"/>
      <c r="K316" s="658"/>
      <c r="L316" s="662"/>
      <c r="M316" s="663"/>
      <c r="N316" s="664"/>
      <c r="O316" s="665"/>
      <c r="P316" s="666"/>
      <c r="Q316" s="667"/>
      <c r="R316" s="668"/>
      <c r="S316" s="665"/>
      <c r="T316" s="669"/>
      <c r="U316" s="669"/>
      <c r="V316" s="665"/>
      <c r="W316" s="670"/>
      <c r="X316" s="670"/>
      <c r="Y316" s="671"/>
      <c r="Z316" s="671"/>
      <c r="AA316" s="672"/>
      <c r="AB316" s="673"/>
      <c r="AC316" s="673"/>
      <c r="AD316" s="673"/>
      <c r="AE316" s="673"/>
      <c r="AF316" s="673"/>
      <c r="AG316" s="673"/>
      <c r="AH316" s="673"/>
      <c r="AI316" s="673"/>
      <c r="AJ316" s="673"/>
      <c r="AK316" s="673"/>
      <c r="AL316" s="673"/>
      <c r="AM316" s="673"/>
      <c r="AN316" s="673"/>
      <c r="AO316" s="673"/>
      <c r="AP316" s="673"/>
      <c r="AQ316" s="673"/>
      <c r="AR316" s="673"/>
      <c r="AS316" s="673"/>
    </row>
    <row r="317">
      <c r="A317" s="653"/>
      <c r="B317" s="654"/>
      <c r="C317" s="655"/>
      <c r="D317" s="656"/>
      <c r="E317" s="657"/>
      <c r="F317" s="658"/>
      <c r="G317" s="659"/>
      <c r="H317" s="660"/>
      <c r="I317" s="659"/>
      <c r="J317" s="661"/>
      <c r="K317" s="658"/>
      <c r="L317" s="662"/>
      <c r="M317" s="663"/>
      <c r="N317" s="664"/>
      <c r="O317" s="665"/>
      <c r="P317" s="666"/>
      <c r="Q317" s="667"/>
      <c r="R317" s="668"/>
      <c r="S317" s="665"/>
      <c r="T317" s="669"/>
      <c r="U317" s="669"/>
      <c r="V317" s="665"/>
      <c r="W317" s="670"/>
      <c r="X317" s="670"/>
      <c r="Y317" s="671"/>
      <c r="Z317" s="671"/>
      <c r="AA317" s="672"/>
      <c r="AB317" s="673"/>
      <c r="AC317" s="673"/>
      <c r="AD317" s="673"/>
      <c r="AE317" s="673"/>
      <c r="AF317" s="673"/>
      <c r="AG317" s="673"/>
      <c r="AH317" s="673"/>
      <c r="AI317" s="673"/>
      <c r="AJ317" s="673"/>
      <c r="AK317" s="673"/>
      <c r="AL317" s="673"/>
      <c r="AM317" s="673"/>
      <c r="AN317" s="673"/>
      <c r="AO317" s="673"/>
      <c r="AP317" s="673"/>
      <c r="AQ317" s="673"/>
      <c r="AR317" s="673"/>
      <c r="AS317" s="673"/>
    </row>
    <row r="318">
      <c r="A318" s="653"/>
      <c r="B318" s="654"/>
      <c r="C318" s="655"/>
      <c r="D318" s="656"/>
      <c r="E318" s="657"/>
      <c r="F318" s="658"/>
      <c r="G318" s="659"/>
      <c r="H318" s="660"/>
      <c r="I318" s="659"/>
      <c r="J318" s="661"/>
      <c r="K318" s="658"/>
      <c r="L318" s="662"/>
      <c r="M318" s="663"/>
      <c r="N318" s="664"/>
      <c r="O318" s="665"/>
      <c r="P318" s="666"/>
      <c r="Q318" s="667"/>
      <c r="R318" s="668"/>
      <c r="S318" s="665"/>
      <c r="T318" s="669"/>
      <c r="U318" s="669"/>
      <c r="V318" s="665"/>
      <c r="W318" s="670"/>
      <c r="X318" s="670"/>
      <c r="Y318" s="671"/>
      <c r="Z318" s="671"/>
      <c r="AA318" s="672"/>
      <c r="AB318" s="673"/>
      <c r="AC318" s="673"/>
      <c r="AD318" s="673"/>
      <c r="AE318" s="673"/>
      <c r="AF318" s="673"/>
      <c r="AG318" s="673"/>
      <c r="AH318" s="673"/>
      <c r="AI318" s="673"/>
      <c r="AJ318" s="673"/>
      <c r="AK318" s="673"/>
      <c r="AL318" s="673"/>
      <c r="AM318" s="673"/>
      <c r="AN318" s="673"/>
      <c r="AO318" s="673"/>
      <c r="AP318" s="673"/>
      <c r="AQ318" s="673"/>
      <c r="AR318" s="673"/>
      <c r="AS318" s="673"/>
    </row>
    <row r="319">
      <c r="A319" s="653"/>
      <c r="B319" s="654"/>
      <c r="C319" s="655"/>
      <c r="D319" s="656"/>
      <c r="E319" s="657"/>
      <c r="F319" s="658"/>
      <c r="G319" s="659"/>
      <c r="H319" s="660"/>
      <c r="I319" s="659"/>
      <c r="J319" s="661"/>
      <c r="K319" s="658"/>
      <c r="L319" s="662"/>
      <c r="M319" s="663"/>
      <c r="N319" s="664"/>
      <c r="O319" s="665"/>
      <c r="P319" s="666"/>
      <c r="Q319" s="667"/>
      <c r="R319" s="668"/>
      <c r="S319" s="665"/>
      <c r="T319" s="669"/>
      <c r="U319" s="669"/>
      <c r="V319" s="665"/>
      <c r="W319" s="670"/>
      <c r="X319" s="670"/>
      <c r="Y319" s="671"/>
      <c r="Z319" s="671"/>
      <c r="AA319" s="672"/>
      <c r="AB319" s="673"/>
      <c r="AC319" s="673"/>
      <c r="AD319" s="673"/>
      <c r="AE319" s="673"/>
      <c r="AF319" s="673"/>
      <c r="AG319" s="673"/>
      <c r="AH319" s="673"/>
      <c r="AI319" s="673"/>
      <c r="AJ319" s="673"/>
      <c r="AK319" s="673"/>
      <c r="AL319" s="673"/>
      <c r="AM319" s="673"/>
      <c r="AN319" s="673"/>
      <c r="AO319" s="673"/>
      <c r="AP319" s="673"/>
      <c r="AQ319" s="673"/>
      <c r="AR319" s="673"/>
      <c r="AS319" s="673"/>
    </row>
    <row r="320">
      <c r="A320" s="653"/>
      <c r="B320" s="654"/>
      <c r="C320" s="655"/>
      <c r="D320" s="656"/>
      <c r="E320" s="657"/>
      <c r="F320" s="658"/>
      <c r="G320" s="659"/>
      <c r="H320" s="660"/>
      <c r="I320" s="659"/>
      <c r="J320" s="661"/>
      <c r="K320" s="658"/>
      <c r="L320" s="662"/>
      <c r="M320" s="663"/>
      <c r="N320" s="664"/>
      <c r="O320" s="665"/>
      <c r="P320" s="666"/>
      <c r="Q320" s="667"/>
      <c r="R320" s="668"/>
      <c r="S320" s="665"/>
      <c r="T320" s="669"/>
      <c r="U320" s="669"/>
      <c r="V320" s="665"/>
      <c r="W320" s="670"/>
      <c r="X320" s="670"/>
      <c r="Y320" s="671"/>
      <c r="Z320" s="671"/>
      <c r="AA320" s="672"/>
      <c r="AB320" s="673"/>
      <c r="AC320" s="673"/>
      <c r="AD320" s="673"/>
      <c r="AE320" s="673"/>
      <c r="AF320" s="673"/>
      <c r="AG320" s="673"/>
      <c r="AH320" s="673"/>
      <c r="AI320" s="673"/>
      <c r="AJ320" s="673"/>
      <c r="AK320" s="673"/>
      <c r="AL320" s="673"/>
      <c r="AM320" s="673"/>
      <c r="AN320" s="673"/>
      <c r="AO320" s="673"/>
      <c r="AP320" s="673"/>
      <c r="AQ320" s="673"/>
      <c r="AR320" s="673"/>
      <c r="AS320" s="673"/>
    </row>
    <row r="321">
      <c r="A321" s="653"/>
      <c r="B321" s="654"/>
      <c r="C321" s="655"/>
      <c r="D321" s="656"/>
      <c r="E321" s="657"/>
      <c r="F321" s="658"/>
      <c r="G321" s="659"/>
      <c r="H321" s="660"/>
      <c r="I321" s="659"/>
      <c r="J321" s="661"/>
      <c r="K321" s="658"/>
      <c r="L321" s="662"/>
      <c r="M321" s="663"/>
      <c r="N321" s="664"/>
      <c r="O321" s="665"/>
      <c r="P321" s="666"/>
      <c r="Q321" s="667"/>
      <c r="R321" s="668"/>
      <c r="S321" s="665"/>
      <c r="T321" s="669"/>
      <c r="U321" s="669"/>
      <c r="V321" s="665"/>
      <c r="W321" s="670"/>
      <c r="X321" s="670"/>
      <c r="Y321" s="671"/>
      <c r="Z321" s="671"/>
      <c r="AA321" s="672"/>
      <c r="AB321" s="673"/>
      <c r="AC321" s="673"/>
      <c r="AD321" s="673"/>
      <c r="AE321" s="673"/>
      <c r="AF321" s="673"/>
      <c r="AG321" s="673"/>
      <c r="AH321" s="673"/>
      <c r="AI321" s="673"/>
      <c r="AJ321" s="673"/>
      <c r="AK321" s="673"/>
      <c r="AL321" s="673"/>
      <c r="AM321" s="673"/>
      <c r="AN321" s="673"/>
      <c r="AO321" s="673"/>
      <c r="AP321" s="673"/>
      <c r="AQ321" s="673"/>
      <c r="AR321" s="673"/>
      <c r="AS321" s="673"/>
    </row>
    <row r="322">
      <c r="A322" s="653"/>
      <c r="B322" s="654"/>
      <c r="C322" s="655"/>
      <c r="D322" s="656"/>
      <c r="E322" s="657"/>
      <c r="F322" s="658"/>
      <c r="G322" s="659"/>
      <c r="H322" s="660"/>
      <c r="I322" s="659"/>
      <c r="J322" s="661"/>
      <c r="K322" s="658"/>
      <c r="L322" s="662"/>
      <c r="M322" s="663"/>
      <c r="N322" s="664"/>
      <c r="O322" s="665"/>
      <c r="P322" s="666"/>
      <c r="Q322" s="667"/>
      <c r="R322" s="668"/>
      <c r="S322" s="665"/>
      <c r="T322" s="669"/>
      <c r="U322" s="669"/>
      <c r="V322" s="665"/>
      <c r="W322" s="670"/>
      <c r="X322" s="670"/>
      <c r="Y322" s="671"/>
      <c r="Z322" s="671"/>
      <c r="AA322" s="672"/>
      <c r="AB322" s="673"/>
      <c r="AC322" s="673"/>
      <c r="AD322" s="673"/>
      <c r="AE322" s="673"/>
      <c r="AF322" s="673"/>
      <c r="AG322" s="673"/>
      <c r="AH322" s="673"/>
      <c r="AI322" s="673"/>
      <c r="AJ322" s="673"/>
      <c r="AK322" s="673"/>
      <c r="AL322" s="673"/>
      <c r="AM322" s="673"/>
      <c r="AN322" s="673"/>
      <c r="AO322" s="673"/>
      <c r="AP322" s="673"/>
      <c r="AQ322" s="673"/>
      <c r="AR322" s="673"/>
      <c r="AS322" s="673"/>
    </row>
    <row r="323">
      <c r="A323" s="653"/>
      <c r="B323" s="654"/>
      <c r="C323" s="655"/>
      <c r="D323" s="656"/>
      <c r="E323" s="657"/>
      <c r="F323" s="658"/>
      <c r="G323" s="659"/>
      <c r="H323" s="660"/>
      <c r="I323" s="659"/>
      <c r="J323" s="661"/>
      <c r="K323" s="658"/>
      <c r="L323" s="662"/>
      <c r="M323" s="663"/>
      <c r="N323" s="664"/>
      <c r="O323" s="665"/>
      <c r="P323" s="666"/>
      <c r="Q323" s="667"/>
      <c r="R323" s="668"/>
      <c r="S323" s="665"/>
      <c r="T323" s="669"/>
      <c r="U323" s="669"/>
      <c r="V323" s="665"/>
      <c r="W323" s="670"/>
      <c r="X323" s="670"/>
      <c r="Y323" s="671"/>
      <c r="Z323" s="671"/>
      <c r="AA323" s="672"/>
      <c r="AB323" s="673"/>
      <c r="AC323" s="673"/>
      <c r="AD323" s="673"/>
      <c r="AE323" s="673"/>
      <c r="AF323" s="673"/>
      <c r="AG323" s="673"/>
      <c r="AH323" s="673"/>
      <c r="AI323" s="673"/>
      <c r="AJ323" s="673"/>
      <c r="AK323" s="673"/>
      <c r="AL323" s="673"/>
      <c r="AM323" s="673"/>
      <c r="AN323" s="673"/>
      <c r="AO323" s="673"/>
      <c r="AP323" s="673"/>
      <c r="AQ323" s="673"/>
      <c r="AR323" s="673"/>
      <c r="AS323" s="673"/>
    </row>
    <row r="324">
      <c r="A324" s="653"/>
      <c r="B324" s="654"/>
      <c r="C324" s="655"/>
      <c r="D324" s="656"/>
      <c r="E324" s="657"/>
      <c r="F324" s="658"/>
      <c r="G324" s="659"/>
      <c r="H324" s="660"/>
      <c r="I324" s="659"/>
      <c r="J324" s="661"/>
      <c r="K324" s="658"/>
      <c r="L324" s="662"/>
      <c r="M324" s="663"/>
      <c r="N324" s="664"/>
      <c r="O324" s="665"/>
      <c r="P324" s="666"/>
      <c r="Q324" s="667"/>
      <c r="R324" s="668"/>
      <c r="S324" s="665"/>
      <c r="T324" s="669"/>
      <c r="U324" s="669"/>
      <c r="V324" s="665"/>
      <c r="W324" s="670"/>
      <c r="X324" s="670"/>
      <c r="Y324" s="671"/>
      <c r="Z324" s="671"/>
      <c r="AA324" s="672"/>
      <c r="AB324" s="673"/>
      <c r="AC324" s="673"/>
      <c r="AD324" s="673"/>
      <c r="AE324" s="673"/>
      <c r="AF324" s="673"/>
      <c r="AG324" s="673"/>
      <c r="AH324" s="673"/>
      <c r="AI324" s="673"/>
      <c r="AJ324" s="673"/>
      <c r="AK324" s="673"/>
      <c r="AL324" s="673"/>
      <c r="AM324" s="673"/>
      <c r="AN324" s="673"/>
      <c r="AO324" s="673"/>
      <c r="AP324" s="673"/>
      <c r="AQ324" s="673"/>
      <c r="AR324" s="673"/>
      <c r="AS324" s="673"/>
    </row>
    <row r="325">
      <c r="A325" s="653"/>
      <c r="B325" s="654"/>
      <c r="C325" s="655"/>
      <c r="D325" s="656"/>
      <c r="E325" s="657"/>
      <c r="F325" s="658"/>
      <c r="G325" s="659"/>
      <c r="H325" s="660"/>
      <c r="I325" s="659"/>
      <c r="J325" s="661"/>
      <c r="K325" s="658"/>
      <c r="L325" s="662"/>
      <c r="M325" s="663"/>
      <c r="N325" s="664"/>
      <c r="O325" s="665"/>
      <c r="P325" s="666"/>
      <c r="Q325" s="667"/>
      <c r="R325" s="668"/>
      <c r="S325" s="665"/>
      <c r="T325" s="669"/>
      <c r="U325" s="669"/>
      <c r="V325" s="665"/>
      <c r="W325" s="670"/>
      <c r="X325" s="670"/>
      <c r="Y325" s="671"/>
      <c r="Z325" s="671"/>
      <c r="AA325" s="672"/>
      <c r="AB325" s="673"/>
      <c r="AC325" s="673"/>
      <c r="AD325" s="673"/>
      <c r="AE325" s="673"/>
      <c r="AF325" s="673"/>
      <c r="AG325" s="673"/>
      <c r="AH325" s="673"/>
      <c r="AI325" s="673"/>
      <c r="AJ325" s="673"/>
      <c r="AK325" s="673"/>
      <c r="AL325" s="673"/>
      <c r="AM325" s="673"/>
      <c r="AN325" s="673"/>
      <c r="AO325" s="673"/>
      <c r="AP325" s="673"/>
      <c r="AQ325" s="673"/>
      <c r="AR325" s="673"/>
      <c r="AS325" s="673"/>
    </row>
    <row r="326">
      <c r="A326" s="653"/>
      <c r="B326" s="654"/>
      <c r="C326" s="655"/>
      <c r="D326" s="656"/>
      <c r="E326" s="657"/>
      <c r="F326" s="658"/>
      <c r="G326" s="659"/>
      <c r="H326" s="660"/>
      <c r="I326" s="659"/>
      <c r="J326" s="661"/>
      <c r="K326" s="658"/>
      <c r="L326" s="662"/>
      <c r="M326" s="663"/>
      <c r="N326" s="664"/>
      <c r="O326" s="665"/>
      <c r="P326" s="666"/>
      <c r="Q326" s="667"/>
      <c r="R326" s="668"/>
      <c r="S326" s="665"/>
      <c r="T326" s="669"/>
      <c r="U326" s="669"/>
      <c r="V326" s="665"/>
      <c r="W326" s="670"/>
      <c r="X326" s="670"/>
      <c r="Y326" s="671"/>
      <c r="Z326" s="671"/>
      <c r="AA326" s="672"/>
      <c r="AB326" s="673"/>
      <c r="AC326" s="673"/>
      <c r="AD326" s="673"/>
      <c r="AE326" s="673"/>
      <c r="AF326" s="673"/>
      <c r="AG326" s="673"/>
      <c r="AH326" s="673"/>
      <c r="AI326" s="673"/>
      <c r="AJ326" s="673"/>
      <c r="AK326" s="673"/>
      <c r="AL326" s="673"/>
      <c r="AM326" s="673"/>
      <c r="AN326" s="673"/>
      <c r="AO326" s="673"/>
      <c r="AP326" s="673"/>
      <c r="AQ326" s="673"/>
      <c r="AR326" s="673"/>
      <c r="AS326" s="673"/>
    </row>
    <row r="327">
      <c r="A327" s="653"/>
      <c r="B327" s="654"/>
      <c r="C327" s="655"/>
      <c r="D327" s="656"/>
      <c r="E327" s="657"/>
      <c r="F327" s="658"/>
      <c r="G327" s="659"/>
      <c r="H327" s="660"/>
      <c r="I327" s="659"/>
      <c r="J327" s="661"/>
      <c r="K327" s="658"/>
      <c r="L327" s="662"/>
      <c r="M327" s="663"/>
      <c r="N327" s="664"/>
      <c r="O327" s="665"/>
      <c r="P327" s="666"/>
      <c r="Q327" s="667"/>
      <c r="R327" s="668"/>
      <c r="S327" s="665"/>
      <c r="T327" s="669"/>
      <c r="U327" s="669"/>
      <c r="V327" s="665"/>
      <c r="W327" s="670"/>
      <c r="X327" s="670"/>
      <c r="Y327" s="671"/>
      <c r="Z327" s="671"/>
      <c r="AA327" s="672"/>
      <c r="AB327" s="673"/>
      <c r="AC327" s="673"/>
      <c r="AD327" s="673"/>
      <c r="AE327" s="673"/>
      <c r="AF327" s="673"/>
      <c r="AG327" s="673"/>
      <c r="AH327" s="673"/>
      <c r="AI327" s="673"/>
      <c r="AJ327" s="673"/>
      <c r="AK327" s="673"/>
      <c r="AL327" s="673"/>
      <c r="AM327" s="673"/>
      <c r="AN327" s="673"/>
      <c r="AO327" s="673"/>
      <c r="AP327" s="673"/>
      <c r="AQ327" s="673"/>
      <c r="AR327" s="673"/>
      <c r="AS327" s="673"/>
    </row>
    <row r="328">
      <c r="A328" s="653"/>
      <c r="B328" s="654"/>
      <c r="C328" s="655"/>
      <c r="D328" s="656"/>
      <c r="E328" s="657"/>
      <c r="F328" s="658"/>
      <c r="G328" s="659"/>
      <c r="H328" s="660"/>
      <c r="I328" s="659"/>
      <c r="J328" s="661"/>
      <c r="K328" s="658"/>
      <c r="L328" s="662"/>
      <c r="M328" s="663"/>
      <c r="N328" s="664"/>
      <c r="O328" s="665"/>
      <c r="P328" s="666"/>
      <c r="Q328" s="667"/>
      <c r="R328" s="668"/>
      <c r="S328" s="665"/>
      <c r="T328" s="669"/>
      <c r="U328" s="669"/>
      <c r="V328" s="665"/>
      <c r="W328" s="670"/>
      <c r="X328" s="670"/>
      <c r="Y328" s="671"/>
      <c r="Z328" s="671"/>
      <c r="AA328" s="672"/>
      <c r="AB328" s="673"/>
      <c r="AC328" s="673"/>
      <c r="AD328" s="673"/>
      <c r="AE328" s="673"/>
      <c r="AF328" s="673"/>
      <c r="AG328" s="673"/>
      <c r="AH328" s="673"/>
      <c r="AI328" s="673"/>
      <c r="AJ328" s="673"/>
      <c r="AK328" s="673"/>
      <c r="AL328" s="673"/>
      <c r="AM328" s="673"/>
      <c r="AN328" s="673"/>
      <c r="AO328" s="673"/>
      <c r="AP328" s="673"/>
      <c r="AQ328" s="673"/>
      <c r="AR328" s="673"/>
      <c r="AS328" s="673"/>
    </row>
    <row r="329">
      <c r="A329" s="653"/>
      <c r="B329" s="654"/>
      <c r="C329" s="655"/>
      <c r="D329" s="656"/>
      <c r="E329" s="657"/>
      <c r="F329" s="658"/>
      <c r="G329" s="659"/>
      <c r="H329" s="660"/>
      <c r="I329" s="659"/>
      <c r="J329" s="661"/>
      <c r="K329" s="658"/>
      <c r="L329" s="662"/>
      <c r="M329" s="663"/>
      <c r="N329" s="664"/>
      <c r="O329" s="665"/>
      <c r="P329" s="666"/>
      <c r="Q329" s="667"/>
      <c r="R329" s="668"/>
      <c r="S329" s="665"/>
      <c r="T329" s="669"/>
      <c r="U329" s="669"/>
      <c r="V329" s="665"/>
      <c r="W329" s="670"/>
      <c r="X329" s="670"/>
      <c r="Y329" s="671"/>
      <c r="Z329" s="671"/>
      <c r="AA329" s="672"/>
      <c r="AB329" s="673"/>
      <c r="AC329" s="673"/>
      <c r="AD329" s="673"/>
      <c r="AE329" s="673"/>
      <c r="AF329" s="673"/>
      <c r="AG329" s="673"/>
      <c r="AH329" s="673"/>
      <c r="AI329" s="673"/>
      <c r="AJ329" s="673"/>
      <c r="AK329" s="673"/>
      <c r="AL329" s="673"/>
      <c r="AM329" s="673"/>
      <c r="AN329" s="673"/>
      <c r="AO329" s="673"/>
      <c r="AP329" s="673"/>
      <c r="AQ329" s="673"/>
      <c r="AR329" s="673"/>
      <c r="AS329" s="673"/>
    </row>
    <row r="330">
      <c r="A330" s="653"/>
      <c r="B330" s="654"/>
      <c r="C330" s="655"/>
      <c r="D330" s="656"/>
      <c r="E330" s="657"/>
      <c r="F330" s="658"/>
      <c r="G330" s="659"/>
      <c r="H330" s="660"/>
      <c r="I330" s="659"/>
      <c r="J330" s="661"/>
      <c r="K330" s="658"/>
      <c r="L330" s="662"/>
      <c r="M330" s="663"/>
      <c r="N330" s="664"/>
      <c r="O330" s="665"/>
      <c r="P330" s="666"/>
      <c r="Q330" s="667"/>
      <c r="R330" s="668"/>
      <c r="S330" s="665"/>
      <c r="T330" s="669"/>
      <c r="U330" s="669"/>
      <c r="V330" s="665"/>
      <c r="W330" s="670"/>
      <c r="X330" s="670"/>
      <c r="Y330" s="671"/>
      <c r="Z330" s="671"/>
      <c r="AA330" s="672"/>
      <c r="AB330" s="673"/>
      <c r="AC330" s="673"/>
      <c r="AD330" s="673"/>
      <c r="AE330" s="673"/>
      <c r="AF330" s="673"/>
      <c r="AG330" s="673"/>
      <c r="AH330" s="673"/>
      <c r="AI330" s="673"/>
      <c r="AJ330" s="673"/>
      <c r="AK330" s="673"/>
      <c r="AL330" s="673"/>
      <c r="AM330" s="673"/>
      <c r="AN330" s="673"/>
      <c r="AO330" s="673"/>
      <c r="AP330" s="673"/>
      <c r="AQ330" s="673"/>
      <c r="AR330" s="673"/>
      <c r="AS330" s="673"/>
    </row>
    <row r="331">
      <c r="A331" s="653"/>
      <c r="B331" s="654"/>
      <c r="C331" s="655"/>
      <c r="D331" s="656"/>
      <c r="E331" s="657"/>
      <c r="F331" s="658"/>
      <c r="G331" s="659"/>
      <c r="H331" s="660"/>
      <c r="I331" s="659"/>
      <c r="J331" s="661"/>
      <c r="K331" s="658"/>
      <c r="L331" s="662"/>
      <c r="M331" s="663"/>
      <c r="N331" s="664"/>
      <c r="O331" s="665"/>
      <c r="P331" s="666"/>
      <c r="Q331" s="667"/>
      <c r="R331" s="668"/>
      <c r="S331" s="665"/>
      <c r="T331" s="669"/>
      <c r="U331" s="669"/>
      <c r="V331" s="665"/>
      <c r="W331" s="670"/>
      <c r="X331" s="670"/>
      <c r="Y331" s="671"/>
      <c r="Z331" s="671"/>
      <c r="AA331" s="672"/>
      <c r="AB331" s="673"/>
      <c r="AC331" s="673"/>
      <c r="AD331" s="673"/>
      <c r="AE331" s="673"/>
      <c r="AF331" s="673"/>
      <c r="AG331" s="673"/>
      <c r="AH331" s="673"/>
      <c r="AI331" s="673"/>
      <c r="AJ331" s="673"/>
      <c r="AK331" s="673"/>
      <c r="AL331" s="673"/>
      <c r="AM331" s="673"/>
      <c r="AN331" s="673"/>
      <c r="AO331" s="673"/>
      <c r="AP331" s="673"/>
      <c r="AQ331" s="673"/>
      <c r="AR331" s="673"/>
      <c r="AS331" s="673"/>
    </row>
    <row r="332">
      <c r="A332" s="653"/>
      <c r="B332" s="654"/>
      <c r="C332" s="655"/>
      <c r="D332" s="656"/>
      <c r="E332" s="657"/>
      <c r="F332" s="658"/>
      <c r="G332" s="659"/>
      <c r="H332" s="660"/>
      <c r="I332" s="659"/>
      <c r="J332" s="661"/>
      <c r="K332" s="658"/>
      <c r="L332" s="662"/>
      <c r="M332" s="663"/>
      <c r="N332" s="664"/>
      <c r="O332" s="665"/>
      <c r="P332" s="666"/>
      <c r="Q332" s="667"/>
      <c r="R332" s="668"/>
      <c r="S332" s="665"/>
      <c r="T332" s="669"/>
      <c r="U332" s="669"/>
      <c r="V332" s="665"/>
      <c r="W332" s="670"/>
      <c r="X332" s="670"/>
      <c r="Y332" s="671"/>
      <c r="Z332" s="671"/>
      <c r="AA332" s="672"/>
      <c r="AB332" s="673"/>
      <c r="AC332" s="673"/>
      <c r="AD332" s="673"/>
      <c r="AE332" s="673"/>
      <c r="AF332" s="673"/>
      <c r="AG332" s="673"/>
      <c r="AH332" s="673"/>
      <c r="AI332" s="673"/>
      <c r="AJ332" s="673"/>
      <c r="AK332" s="673"/>
      <c r="AL332" s="673"/>
      <c r="AM332" s="673"/>
      <c r="AN332" s="673"/>
      <c r="AO332" s="673"/>
      <c r="AP332" s="673"/>
      <c r="AQ332" s="673"/>
      <c r="AR332" s="673"/>
      <c r="AS332" s="673"/>
    </row>
    <row r="333">
      <c r="A333" s="653"/>
      <c r="B333" s="654"/>
      <c r="C333" s="655"/>
      <c r="D333" s="656"/>
      <c r="E333" s="657"/>
      <c r="F333" s="658"/>
      <c r="G333" s="659"/>
      <c r="H333" s="660"/>
      <c r="I333" s="659"/>
      <c r="J333" s="661"/>
      <c r="K333" s="658"/>
      <c r="L333" s="662"/>
      <c r="M333" s="663"/>
      <c r="N333" s="664"/>
      <c r="O333" s="665"/>
      <c r="P333" s="666"/>
      <c r="Q333" s="667"/>
      <c r="R333" s="668"/>
      <c r="S333" s="665"/>
      <c r="T333" s="669"/>
      <c r="U333" s="669"/>
      <c r="V333" s="665"/>
      <c r="W333" s="670"/>
      <c r="X333" s="670"/>
      <c r="Y333" s="671"/>
      <c r="Z333" s="671"/>
      <c r="AA333" s="672"/>
      <c r="AB333" s="673"/>
      <c r="AC333" s="673"/>
      <c r="AD333" s="673"/>
      <c r="AE333" s="673"/>
      <c r="AF333" s="673"/>
      <c r="AG333" s="673"/>
      <c r="AH333" s="673"/>
      <c r="AI333" s="673"/>
      <c r="AJ333" s="673"/>
      <c r="AK333" s="673"/>
      <c r="AL333" s="673"/>
      <c r="AM333" s="673"/>
      <c r="AN333" s="673"/>
      <c r="AO333" s="673"/>
      <c r="AP333" s="673"/>
      <c r="AQ333" s="673"/>
      <c r="AR333" s="673"/>
      <c r="AS333" s="673"/>
    </row>
    <row r="334">
      <c r="A334" s="653"/>
      <c r="B334" s="654"/>
      <c r="C334" s="655"/>
      <c r="D334" s="656"/>
      <c r="E334" s="657"/>
      <c r="F334" s="658"/>
      <c r="G334" s="659"/>
      <c r="H334" s="660"/>
      <c r="I334" s="659"/>
      <c r="J334" s="661"/>
      <c r="K334" s="658"/>
      <c r="L334" s="662"/>
      <c r="M334" s="663"/>
      <c r="N334" s="664"/>
      <c r="O334" s="665"/>
      <c r="P334" s="666"/>
      <c r="Q334" s="667"/>
      <c r="R334" s="668"/>
      <c r="S334" s="665"/>
      <c r="T334" s="669"/>
      <c r="U334" s="669"/>
      <c r="V334" s="665"/>
      <c r="W334" s="670"/>
      <c r="X334" s="670"/>
      <c r="Y334" s="671"/>
      <c r="Z334" s="671"/>
      <c r="AA334" s="672"/>
      <c r="AB334" s="673"/>
      <c r="AC334" s="673"/>
      <c r="AD334" s="673"/>
      <c r="AE334" s="673"/>
      <c r="AF334" s="673"/>
      <c r="AG334" s="673"/>
      <c r="AH334" s="673"/>
      <c r="AI334" s="673"/>
      <c r="AJ334" s="673"/>
      <c r="AK334" s="673"/>
      <c r="AL334" s="673"/>
      <c r="AM334" s="673"/>
      <c r="AN334" s="673"/>
      <c r="AO334" s="673"/>
      <c r="AP334" s="673"/>
      <c r="AQ334" s="673"/>
      <c r="AR334" s="673"/>
      <c r="AS334" s="673"/>
    </row>
    <row r="335">
      <c r="A335" s="653"/>
      <c r="B335" s="654"/>
      <c r="C335" s="655"/>
      <c r="D335" s="656"/>
      <c r="E335" s="657"/>
      <c r="F335" s="658"/>
      <c r="G335" s="659"/>
      <c r="H335" s="660"/>
      <c r="I335" s="659"/>
      <c r="J335" s="661"/>
      <c r="K335" s="658"/>
      <c r="L335" s="662"/>
      <c r="M335" s="663"/>
      <c r="N335" s="664"/>
      <c r="O335" s="665"/>
      <c r="P335" s="666"/>
      <c r="Q335" s="667"/>
      <c r="R335" s="668"/>
      <c r="S335" s="665"/>
      <c r="T335" s="669"/>
      <c r="U335" s="669"/>
      <c r="V335" s="665"/>
      <c r="W335" s="670"/>
      <c r="X335" s="670"/>
      <c r="Y335" s="671"/>
      <c r="Z335" s="671"/>
      <c r="AA335" s="672"/>
      <c r="AB335" s="673"/>
      <c r="AC335" s="673"/>
      <c r="AD335" s="673"/>
      <c r="AE335" s="673"/>
      <c r="AF335" s="673"/>
      <c r="AG335" s="673"/>
      <c r="AH335" s="673"/>
      <c r="AI335" s="673"/>
      <c r="AJ335" s="673"/>
      <c r="AK335" s="673"/>
      <c r="AL335" s="673"/>
      <c r="AM335" s="673"/>
      <c r="AN335" s="673"/>
      <c r="AO335" s="673"/>
      <c r="AP335" s="673"/>
      <c r="AQ335" s="673"/>
      <c r="AR335" s="673"/>
      <c r="AS335" s="673"/>
    </row>
    <row r="336">
      <c r="A336" s="653"/>
      <c r="B336" s="654"/>
      <c r="C336" s="655"/>
      <c r="D336" s="656"/>
      <c r="E336" s="657"/>
      <c r="F336" s="658"/>
      <c r="G336" s="659"/>
      <c r="H336" s="660"/>
      <c r="I336" s="659"/>
      <c r="J336" s="661"/>
      <c r="K336" s="658"/>
      <c r="L336" s="662"/>
      <c r="M336" s="663"/>
      <c r="N336" s="664"/>
      <c r="O336" s="665"/>
      <c r="P336" s="666"/>
      <c r="Q336" s="667"/>
      <c r="R336" s="668"/>
      <c r="S336" s="665"/>
      <c r="T336" s="669"/>
      <c r="U336" s="669"/>
      <c r="V336" s="665"/>
      <c r="W336" s="670"/>
      <c r="X336" s="670"/>
      <c r="Y336" s="671"/>
      <c r="Z336" s="671"/>
      <c r="AA336" s="672"/>
      <c r="AB336" s="673"/>
      <c r="AC336" s="673"/>
      <c r="AD336" s="673"/>
      <c r="AE336" s="673"/>
      <c r="AF336" s="673"/>
      <c r="AG336" s="673"/>
      <c r="AH336" s="673"/>
      <c r="AI336" s="673"/>
      <c r="AJ336" s="673"/>
      <c r="AK336" s="673"/>
      <c r="AL336" s="673"/>
      <c r="AM336" s="673"/>
      <c r="AN336" s="673"/>
      <c r="AO336" s="673"/>
      <c r="AP336" s="673"/>
      <c r="AQ336" s="673"/>
      <c r="AR336" s="673"/>
      <c r="AS336" s="673"/>
    </row>
    <row r="337">
      <c r="A337" s="653"/>
      <c r="B337" s="654"/>
      <c r="C337" s="655"/>
      <c r="D337" s="656"/>
      <c r="E337" s="657"/>
      <c r="F337" s="658"/>
      <c r="G337" s="659"/>
      <c r="H337" s="660"/>
      <c r="I337" s="659"/>
      <c r="J337" s="661"/>
      <c r="K337" s="658"/>
      <c r="L337" s="662"/>
      <c r="M337" s="663"/>
      <c r="N337" s="664"/>
      <c r="O337" s="665"/>
      <c r="P337" s="666"/>
      <c r="Q337" s="667"/>
      <c r="R337" s="668"/>
      <c r="S337" s="665"/>
      <c r="T337" s="669"/>
      <c r="U337" s="669"/>
      <c r="V337" s="665"/>
      <c r="W337" s="670"/>
      <c r="X337" s="670"/>
      <c r="Y337" s="671"/>
      <c r="Z337" s="671"/>
      <c r="AA337" s="672"/>
      <c r="AB337" s="673"/>
      <c r="AC337" s="673"/>
      <c r="AD337" s="673"/>
      <c r="AE337" s="673"/>
      <c r="AF337" s="673"/>
      <c r="AG337" s="673"/>
      <c r="AH337" s="673"/>
      <c r="AI337" s="673"/>
      <c r="AJ337" s="673"/>
      <c r="AK337" s="673"/>
      <c r="AL337" s="673"/>
      <c r="AM337" s="673"/>
      <c r="AN337" s="673"/>
      <c r="AO337" s="673"/>
      <c r="AP337" s="673"/>
      <c r="AQ337" s="673"/>
      <c r="AR337" s="673"/>
      <c r="AS337" s="673"/>
    </row>
    <row r="338">
      <c r="A338" s="653"/>
      <c r="B338" s="654"/>
      <c r="C338" s="655"/>
      <c r="D338" s="656"/>
      <c r="E338" s="657"/>
      <c r="F338" s="658"/>
      <c r="G338" s="659"/>
      <c r="H338" s="660"/>
      <c r="I338" s="659"/>
      <c r="J338" s="661"/>
      <c r="K338" s="658"/>
      <c r="L338" s="662"/>
      <c r="M338" s="663"/>
      <c r="N338" s="664"/>
      <c r="O338" s="665"/>
      <c r="P338" s="666"/>
      <c r="Q338" s="667"/>
      <c r="R338" s="668"/>
      <c r="S338" s="665"/>
      <c r="T338" s="669"/>
      <c r="U338" s="669"/>
      <c r="V338" s="665"/>
      <c r="W338" s="670"/>
      <c r="X338" s="670"/>
      <c r="Y338" s="671"/>
      <c r="Z338" s="671"/>
      <c r="AA338" s="672"/>
      <c r="AB338" s="673"/>
      <c r="AC338" s="673"/>
      <c r="AD338" s="673"/>
      <c r="AE338" s="673"/>
      <c r="AF338" s="673"/>
      <c r="AG338" s="673"/>
      <c r="AH338" s="673"/>
      <c r="AI338" s="673"/>
      <c r="AJ338" s="673"/>
      <c r="AK338" s="673"/>
      <c r="AL338" s="673"/>
      <c r="AM338" s="673"/>
      <c r="AN338" s="673"/>
      <c r="AO338" s="673"/>
      <c r="AP338" s="673"/>
      <c r="AQ338" s="673"/>
      <c r="AR338" s="673"/>
      <c r="AS338" s="673"/>
    </row>
    <row r="339">
      <c r="A339" s="653"/>
      <c r="B339" s="654"/>
      <c r="C339" s="655"/>
      <c r="D339" s="656"/>
      <c r="E339" s="657"/>
      <c r="F339" s="658"/>
      <c r="G339" s="659"/>
      <c r="H339" s="660"/>
      <c r="I339" s="659"/>
      <c r="J339" s="661"/>
      <c r="K339" s="658"/>
      <c r="L339" s="662"/>
      <c r="M339" s="663"/>
      <c r="N339" s="664"/>
      <c r="O339" s="665"/>
      <c r="P339" s="666"/>
      <c r="Q339" s="667"/>
      <c r="R339" s="668"/>
      <c r="S339" s="665"/>
      <c r="T339" s="669"/>
      <c r="U339" s="669"/>
      <c r="V339" s="665"/>
      <c r="W339" s="670"/>
      <c r="X339" s="670"/>
      <c r="Y339" s="671"/>
      <c r="Z339" s="671"/>
      <c r="AA339" s="672"/>
      <c r="AB339" s="673"/>
      <c r="AC339" s="673"/>
      <c r="AD339" s="673"/>
      <c r="AE339" s="673"/>
      <c r="AF339" s="673"/>
      <c r="AG339" s="673"/>
      <c r="AH339" s="673"/>
      <c r="AI339" s="673"/>
      <c r="AJ339" s="673"/>
      <c r="AK339" s="673"/>
      <c r="AL339" s="673"/>
      <c r="AM339" s="673"/>
      <c r="AN339" s="673"/>
      <c r="AO339" s="673"/>
      <c r="AP339" s="673"/>
      <c r="AQ339" s="673"/>
      <c r="AR339" s="673"/>
      <c r="AS339" s="673"/>
    </row>
    <row r="340">
      <c r="A340" s="653"/>
      <c r="B340" s="654"/>
      <c r="C340" s="655"/>
      <c r="D340" s="656"/>
      <c r="E340" s="657"/>
      <c r="F340" s="658"/>
      <c r="G340" s="659"/>
      <c r="H340" s="660"/>
      <c r="I340" s="659"/>
      <c r="J340" s="661"/>
      <c r="K340" s="658"/>
      <c r="L340" s="662"/>
      <c r="M340" s="663"/>
      <c r="N340" s="664"/>
      <c r="O340" s="665"/>
      <c r="P340" s="666"/>
      <c r="Q340" s="667"/>
      <c r="R340" s="668"/>
      <c r="S340" s="665"/>
      <c r="T340" s="669"/>
      <c r="U340" s="669"/>
      <c r="V340" s="665"/>
      <c r="W340" s="670"/>
      <c r="X340" s="670"/>
      <c r="Y340" s="671"/>
      <c r="Z340" s="671"/>
      <c r="AA340" s="672"/>
      <c r="AB340" s="673"/>
      <c r="AC340" s="673"/>
      <c r="AD340" s="673"/>
      <c r="AE340" s="673"/>
      <c r="AF340" s="673"/>
      <c r="AG340" s="673"/>
      <c r="AH340" s="673"/>
      <c r="AI340" s="673"/>
      <c r="AJ340" s="673"/>
      <c r="AK340" s="673"/>
      <c r="AL340" s="673"/>
      <c r="AM340" s="673"/>
      <c r="AN340" s="673"/>
      <c r="AO340" s="673"/>
      <c r="AP340" s="673"/>
      <c r="AQ340" s="673"/>
      <c r="AR340" s="673"/>
      <c r="AS340" s="673"/>
    </row>
    <row r="341">
      <c r="A341" s="653"/>
      <c r="B341" s="654"/>
      <c r="C341" s="655"/>
      <c r="D341" s="656"/>
      <c r="E341" s="657"/>
      <c r="F341" s="658"/>
      <c r="G341" s="659"/>
      <c r="H341" s="660"/>
      <c r="I341" s="659"/>
      <c r="J341" s="661"/>
      <c r="K341" s="658"/>
      <c r="L341" s="662"/>
      <c r="M341" s="663"/>
      <c r="N341" s="664"/>
      <c r="O341" s="665"/>
      <c r="P341" s="666"/>
      <c r="Q341" s="667"/>
      <c r="R341" s="668"/>
      <c r="S341" s="665"/>
      <c r="T341" s="669"/>
      <c r="U341" s="669"/>
      <c r="V341" s="665"/>
      <c r="W341" s="670"/>
      <c r="X341" s="670"/>
      <c r="Y341" s="671"/>
      <c r="Z341" s="671"/>
      <c r="AA341" s="672"/>
      <c r="AB341" s="673"/>
      <c r="AC341" s="673"/>
      <c r="AD341" s="673"/>
      <c r="AE341" s="673"/>
      <c r="AF341" s="673"/>
      <c r="AG341" s="673"/>
      <c r="AH341" s="673"/>
      <c r="AI341" s="673"/>
      <c r="AJ341" s="673"/>
      <c r="AK341" s="673"/>
      <c r="AL341" s="673"/>
      <c r="AM341" s="673"/>
      <c r="AN341" s="673"/>
      <c r="AO341" s="673"/>
      <c r="AP341" s="673"/>
      <c r="AQ341" s="673"/>
      <c r="AR341" s="673"/>
      <c r="AS341" s="673"/>
    </row>
    <row r="342">
      <c r="A342" s="653"/>
      <c r="B342" s="654"/>
      <c r="C342" s="655"/>
      <c r="D342" s="656"/>
      <c r="E342" s="657"/>
      <c r="F342" s="658"/>
      <c r="G342" s="659"/>
      <c r="H342" s="660"/>
      <c r="I342" s="659"/>
      <c r="J342" s="661"/>
      <c r="K342" s="658"/>
      <c r="L342" s="662"/>
      <c r="M342" s="663"/>
      <c r="N342" s="664"/>
      <c r="O342" s="665"/>
      <c r="P342" s="666"/>
      <c r="Q342" s="667"/>
      <c r="R342" s="668"/>
      <c r="S342" s="665"/>
      <c r="T342" s="669"/>
      <c r="U342" s="669"/>
      <c r="V342" s="665"/>
      <c r="W342" s="670"/>
      <c r="X342" s="670"/>
      <c r="Y342" s="671"/>
      <c r="Z342" s="671"/>
      <c r="AA342" s="672"/>
      <c r="AB342" s="673"/>
      <c r="AC342" s="673"/>
      <c r="AD342" s="673"/>
      <c r="AE342" s="673"/>
      <c r="AF342" s="673"/>
      <c r="AG342" s="673"/>
      <c r="AH342" s="673"/>
      <c r="AI342" s="673"/>
      <c r="AJ342" s="673"/>
      <c r="AK342" s="673"/>
      <c r="AL342" s="673"/>
      <c r="AM342" s="673"/>
      <c r="AN342" s="673"/>
      <c r="AO342" s="673"/>
      <c r="AP342" s="673"/>
      <c r="AQ342" s="673"/>
      <c r="AR342" s="673"/>
      <c r="AS342" s="673"/>
    </row>
    <row r="343">
      <c r="A343" s="653"/>
      <c r="B343" s="654"/>
      <c r="C343" s="655"/>
      <c r="D343" s="656"/>
      <c r="E343" s="657"/>
      <c r="F343" s="658"/>
      <c r="G343" s="659"/>
      <c r="H343" s="660"/>
      <c r="I343" s="659"/>
      <c r="J343" s="661"/>
      <c r="K343" s="658"/>
      <c r="L343" s="662"/>
      <c r="M343" s="663"/>
      <c r="N343" s="664"/>
      <c r="O343" s="665"/>
      <c r="P343" s="666"/>
      <c r="Q343" s="667"/>
      <c r="R343" s="668"/>
      <c r="S343" s="665"/>
      <c r="T343" s="669"/>
      <c r="U343" s="669"/>
      <c r="V343" s="665"/>
      <c r="W343" s="670"/>
      <c r="X343" s="670"/>
      <c r="Y343" s="671"/>
      <c r="Z343" s="671"/>
      <c r="AA343" s="672"/>
      <c r="AB343" s="673"/>
      <c r="AC343" s="673"/>
      <c r="AD343" s="673"/>
      <c r="AE343" s="673"/>
      <c r="AF343" s="673"/>
      <c r="AG343" s="673"/>
      <c r="AH343" s="673"/>
      <c r="AI343" s="673"/>
      <c r="AJ343" s="673"/>
      <c r="AK343" s="673"/>
      <c r="AL343" s="673"/>
      <c r="AM343" s="673"/>
      <c r="AN343" s="673"/>
      <c r="AO343" s="673"/>
      <c r="AP343" s="673"/>
      <c r="AQ343" s="673"/>
      <c r="AR343" s="673"/>
      <c r="AS343" s="673"/>
    </row>
    <row r="344">
      <c r="A344" s="653"/>
      <c r="B344" s="654"/>
      <c r="C344" s="655"/>
      <c r="D344" s="656"/>
      <c r="E344" s="657"/>
      <c r="F344" s="658"/>
      <c r="G344" s="659"/>
      <c r="H344" s="660"/>
      <c r="I344" s="659"/>
      <c r="J344" s="661"/>
      <c r="K344" s="658"/>
      <c r="L344" s="662"/>
      <c r="M344" s="663"/>
      <c r="N344" s="664"/>
      <c r="O344" s="665"/>
      <c r="P344" s="666"/>
      <c r="Q344" s="667"/>
      <c r="R344" s="668"/>
      <c r="S344" s="665"/>
      <c r="T344" s="669"/>
      <c r="U344" s="669"/>
      <c r="V344" s="665"/>
      <c r="W344" s="670"/>
      <c r="X344" s="670"/>
      <c r="Y344" s="671"/>
      <c r="Z344" s="671"/>
      <c r="AA344" s="672"/>
      <c r="AB344" s="673"/>
      <c r="AC344" s="673"/>
      <c r="AD344" s="673"/>
      <c r="AE344" s="673"/>
      <c r="AF344" s="673"/>
      <c r="AG344" s="673"/>
      <c r="AH344" s="673"/>
      <c r="AI344" s="673"/>
      <c r="AJ344" s="673"/>
      <c r="AK344" s="673"/>
      <c r="AL344" s="673"/>
      <c r="AM344" s="673"/>
      <c r="AN344" s="673"/>
      <c r="AO344" s="673"/>
      <c r="AP344" s="673"/>
      <c r="AQ344" s="673"/>
      <c r="AR344" s="673"/>
      <c r="AS344" s="673"/>
    </row>
    <row r="345">
      <c r="A345" s="653"/>
      <c r="B345" s="654"/>
      <c r="C345" s="655"/>
      <c r="D345" s="656"/>
      <c r="E345" s="657"/>
      <c r="F345" s="658"/>
      <c r="G345" s="659"/>
      <c r="H345" s="660"/>
      <c r="I345" s="659"/>
      <c r="J345" s="661"/>
      <c r="K345" s="658"/>
      <c r="L345" s="662"/>
      <c r="M345" s="663"/>
      <c r="N345" s="664"/>
      <c r="O345" s="665"/>
      <c r="P345" s="666"/>
      <c r="Q345" s="667"/>
      <c r="R345" s="668"/>
      <c r="S345" s="665"/>
      <c r="T345" s="669"/>
      <c r="U345" s="669"/>
      <c r="V345" s="665"/>
      <c r="W345" s="670"/>
      <c r="X345" s="670"/>
      <c r="Y345" s="671"/>
      <c r="Z345" s="671"/>
      <c r="AA345" s="672"/>
      <c r="AB345" s="673"/>
      <c r="AC345" s="673"/>
      <c r="AD345" s="673"/>
      <c r="AE345" s="673"/>
      <c r="AF345" s="673"/>
      <c r="AG345" s="673"/>
      <c r="AH345" s="673"/>
      <c r="AI345" s="673"/>
      <c r="AJ345" s="673"/>
      <c r="AK345" s="673"/>
      <c r="AL345" s="673"/>
      <c r="AM345" s="673"/>
      <c r="AN345" s="673"/>
      <c r="AO345" s="673"/>
      <c r="AP345" s="673"/>
      <c r="AQ345" s="673"/>
      <c r="AR345" s="673"/>
      <c r="AS345" s="673"/>
    </row>
    <row r="346">
      <c r="A346" s="653"/>
      <c r="B346" s="654"/>
      <c r="C346" s="655"/>
      <c r="D346" s="656"/>
      <c r="E346" s="657"/>
      <c r="F346" s="658"/>
      <c r="G346" s="659"/>
      <c r="H346" s="660"/>
      <c r="I346" s="659"/>
      <c r="J346" s="661"/>
      <c r="K346" s="658"/>
      <c r="L346" s="662"/>
      <c r="M346" s="663"/>
      <c r="N346" s="664"/>
      <c r="O346" s="665"/>
      <c r="P346" s="666"/>
      <c r="Q346" s="667"/>
      <c r="R346" s="668"/>
      <c r="S346" s="665"/>
      <c r="T346" s="669"/>
      <c r="U346" s="669"/>
      <c r="V346" s="665"/>
      <c r="W346" s="670"/>
      <c r="X346" s="670"/>
      <c r="Y346" s="671"/>
      <c r="Z346" s="671"/>
      <c r="AA346" s="672"/>
      <c r="AB346" s="673"/>
      <c r="AC346" s="673"/>
      <c r="AD346" s="673"/>
      <c r="AE346" s="673"/>
      <c r="AF346" s="673"/>
      <c r="AG346" s="673"/>
      <c r="AH346" s="673"/>
      <c r="AI346" s="673"/>
      <c r="AJ346" s="673"/>
      <c r="AK346" s="673"/>
      <c r="AL346" s="673"/>
      <c r="AM346" s="673"/>
      <c r="AN346" s="673"/>
      <c r="AO346" s="673"/>
      <c r="AP346" s="673"/>
      <c r="AQ346" s="673"/>
      <c r="AR346" s="673"/>
      <c r="AS346" s="673"/>
    </row>
    <row r="347">
      <c r="A347" s="653"/>
      <c r="B347" s="654"/>
      <c r="C347" s="655"/>
      <c r="D347" s="656"/>
      <c r="E347" s="657"/>
      <c r="F347" s="658"/>
      <c r="G347" s="659"/>
      <c r="H347" s="660"/>
      <c r="I347" s="659"/>
      <c r="J347" s="661"/>
      <c r="K347" s="658"/>
      <c r="L347" s="662"/>
      <c r="M347" s="663"/>
      <c r="N347" s="664"/>
      <c r="O347" s="665"/>
      <c r="P347" s="666"/>
      <c r="Q347" s="667"/>
      <c r="R347" s="668"/>
      <c r="S347" s="665"/>
      <c r="T347" s="669"/>
      <c r="U347" s="669"/>
      <c r="V347" s="665"/>
      <c r="W347" s="670"/>
      <c r="X347" s="670"/>
      <c r="Y347" s="671"/>
      <c r="Z347" s="671"/>
      <c r="AA347" s="672"/>
      <c r="AB347" s="673"/>
      <c r="AC347" s="673"/>
      <c r="AD347" s="673"/>
      <c r="AE347" s="673"/>
      <c r="AF347" s="673"/>
      <c r="AG347" s="673"/>
      <c r="AH347" s="673"/>
      <c r="AI347" s="673"/>
      <c r="AJ347" s="673"/>
      <c r="AK347" s="673"/>
      <c r="AL347" s="673"/>
      <c r="AM347" s="673"/>
      <c r="AN347" s="673"/>
      <c r="AO347" s="673"/>
      <c r="AP347" s="673"/>
      <c r="AQ347" s="673"/>
      <c r="AR347" s="673"/>
      <c r="AS347" s="673"/>
    </row>
    <row r="348">
      <c r="A348" s="653"/>
      <c r="B348" s="654"/>
      <c r="C348" s="655"/>
      <c r="D348" s="656"/>
      <c r="E348" s="657"/>
      <c r="F348" s="658"/>
      <c r="G348" s="659"/>
      <c r="H348" s="660"/>
      <c r="I348" s="659"/>
      <c r="J348" s="661"/>
      <c r="K348" s="658"/>
      <c r="L348" s="662"/>
      <c r="M348" s="663"/>
      <c r="N348" s="664"/>
      <c r="O348" s="665"/>
      <c r="P348" s="666"/>
      <c r="Q348" s="667"/>
      <c r="R348" s="668"/>
      <c r="S348" s="665"/>
      <c r="T348" s="669"/>
      <c r="U348" s="669"/>
      <c r="V348" s="665"/>
      <c r="W348" s="670"/>
      <c r="X348" s="670"/>
      <c r="Y348" s="671"/>
      <c r="Z348" s="671"/>
      <c r="AA348" s="672"/>
      <c r="AB348" s="673"/>
      <c r="AC348" s="673"/>
      <c r="AD348" s="673"/>
      <c r="AE348" s="673"/>
      <c r="AF348" s="673"/>
      <c r="AG348" s="673"/>
      <c r="AH348" s="673"/>
      <c r="AI348" s="673"/>
      <c r="AJ348" s="673"/>
      <c r="AK348" s="673"/>
      <c r="AL348" s="673"/>
      <c r="AM348" s="673"/>
      <c r="AN348" s="673"/>
      <c r="AO348" s="673"/>
      <c r="AP348" s="673"/>
      <c r="AQ348" s="673"/>
      <c r="AR348" s="673"/>
      <c r="AS348" s="673"/>
    </row>
    <row r="349">
      <c r="A349" s="653"/>
      <c r="B349" s="654"/>
      <c r="C349" s="655"/>
      <c r="D349" s="656"/>
      <c r="E349" s="657"/>
      <c r="F349" s="658"/>
      <c r="G349" s="659"/>
      <c r="H349" s="660"/>
      <c r="I349" s="659"/>
      <c r="J349" s="661"/>
      <c r="K349" s="658"/>
      <c r="L349" s="662"/>
      <c r="M349" s="663"/>
      <c r="N349" s="664"/>
      <c r="O349" s="665"/>
      <c r="P349" s="666"/>
      <c r="Q349" s="667"/>
      <c r="R349" s="668"/>
      <c r="S349" s="665"/>
      <c r="T349" s="669"/>
      <c r="U349" s="669"/>
      <c r="V349" s="665"/>
      <c r="W349" s="670"/>
      <c r="X349" s="670"/>
      <c r="Y349" s="671"/>
      <c r="Z349" s="671"/>
      <c r="AA349" s="672"/>
      <c r="AB349" s="673"/>
      <c r="AC349" s="673"/>
      <c r="AD349" s="673"/>
      <c r="AE349" s="673"/>
      <c r="AF349" s="673"/>
      <c r="AG349" s="673"/>
      <c r="AH349" s="673"/>
      <c r="AI349" s="673"/>
      <c r="AJ349" s="673"/>
      <c r="AK349" s="673"/>
      <c r="AL349" s="673"/>
      <c r="AM349" s="673"/>
      <c r="AN349" s="673"/>
      <c r="AO349" s="673"/>
      <c r="AP349" s="673"/>
      <c r="AQ349" s="673"/>
      <c r="AR349" s="673"/>
      <c r="AS349" s="673"/>
    </row>
    <row r="350">
      <c r="A350" s="653"/>
      <c r="B350" s="654"/>
      <c r="C350" s="655"/>
      <c r="D350" s="656"/>
      <c r="E350" s="657"/>
      <c r="F350" s="658"/>
      <c r="G350" s="659"/>
      <c r="H350" s="660"/>
      <c r="I350" s="659"/>
      <c r="J350" s="661"/>
      <c r="K350" s="658"/>
      <c r="L350" s="662"/>
      <c r="M350" s="663"/>
      <c r="N350" s="664"/>
      <c r="O350" s="665"/>
      <c r="P350" s="666"/>
      <c r="Q350" s="667"/>
      <c r="R350" s="668"/>
      <c r="S350" s="665"/>
      <c r="T350" s="669"/>
      <c r="U350" s="669"/>
      <c r="V350" s="665"/>
      <c r="W350" s="670"/>
      <c r="X350" s="670"/>
      <c r="Y350" s="671"/>
      <c r="Z350" s="671"/>
      <c r="AA350" s="672"/>
      <c r="AB350" s="673"/>
      <c r="AC350" s="673"/>
      <c r="AD350" s="673"/>
      <c r="AE350" s="673"/>
      <c r="AF350" s="673"/>
      <c r="AG350" s="673"/>
      <c r="AH350" s="673"/>
      <c r="AI350" s="673"/>
      <c r="AJ350" s="673"/>
      <c r="AK350" s="673"/>
      <c r="AL350" s="673"/>
      <c r="AM350" s="673"/>
      <c r="AN350" s="673"/>
      <c r="AO350" s="673"/>
      <c r="AP350" s="673"/>
      <c r="AQ350" s="673"/>
      <c r="AR350" s="673"/>
      <c r="AS350" s="673"/>
    </row>
    <row r="351">
      <c r="A351" s="653"/>
      <c r="B351" s="654"/>
      <c r="C351" s="655"/>
      <c r="D351" s="656"/>
      <c r="E351" s="657"/>
      <c r="F351" s="658"/>
      <c r="G351" s="659"/>
      <c r="H351" s="660"/>
      <c r="I351" s="659"/>
      <c r="J351" s="661"/>
      <c r="K351" s="658"/>
      <c r="L351" s="662"/>
      <c r="M351" s="663"/>
      <c r="N351" s="664"/>
      <c r="O351" s="665"/>
      <c r="P351" s="666"/>
      <c r="Q351" s="667"/>
      <c r="R351" s="668"/>
      <c r="S351" s="665"/>
      <c r="T351" s="669"/>
      <c r="U351" s="669"/>
      <c r="V351" s="665"/>
      <c r="W351" s="670"/>
      <c r="X351" s="670"/>
      <c r="Y351" s="671"/>
      <c r="Z351" s="671"/>
      <c r="AA351" s="672"/>
      <c r="AB351" s="673"/>
      <c r="AC351" s="673"/>
      <c r="AD351" s="673"/>
      <c r="AE351" s="673"/>
      <c r="AF351" s="673"/>
      <c r="AG351" s="673"/>
      <c r="AH351" s="673"/>
      <c r="AI351" s="673"/>
      <c r="AJ351" s="673"/>
      <c r="AK351" s="673"/>
      <c r="AL351" s="673"/>
      <c r="AM351" s="673"/>
      <c r="AN351" s="673"/>
      <c r="AO351" s="673"/>
      <c r="AP351" s="673"/>
      <c r="AQ351" s="673"/>
      <c r="AR351" s="673"/>
      <c r="AS351" s="673"/>
    </row>
    <row r="352">
      <c r="A352" s="653"/>
      <c r="B352" s="654"/>
      <c r="C352" s="655"/>
      <c r="D352" s="656"/>
      <c r="E352" s="657"/>
      <c r="F352" s="658"/>
      <c r="G352" s="659"/>
      <c r="H352" s="660"/>
      <c r="I352" s="659"/>
      <c r="J352" s="661"/>
      <c r="K352" s="658"/>
      <c r="L352" s="662"/>
      <c r="M352" s="663"/>
      <c r="N352" s="664"/>
      <c r="O352" s="665"/>
      <c r="P352" s="666"/>
      <c r="Q352" s="667"/>
      <c r="R352" s="668"/>
      <c r="S352" s="665"/>
      <c r="T352" s="669"/>
      <c r="U352" s="669"/>
      <c r="V352" s="665"/>
      <c r="W352" s="670"/>
      <c r="X352" s="670"/>
      <c r="Y352" s="671"/>
      <c r="Z352" s="671"/>
      <c r="AA352" s="672"/>
      <c r="AB352" s="673"/>
      <c r="AC352" s="673"/>
      <c r="AD352" s="673"/>
      <c r="AE352" s="673"/>
      <c r="AF352" s="673"/>
      <c r="AG352" s="673"/>
      <c r="AH352" s="673"/>
      <c r="AI352" s="673"/>
      <c r="AJ352" s="673"/>
      <c r="AK352" s="673"/>
      <c r="AL352" s="673"/>
      <c r="AM352" s="673"/>
      <c r="AN352" s="673"/>
      <c r="AO352" s="673"/>
      <c r="AP352" s="673"/>
      <c r="AQ352" s="673"/>
      <c r="AR352" s="673"/>
      <c r="AS352" s="673"/>
    </row>
    <row r="353">
      <c r="A353" s="653"/>
      <c r="B353" s="654"/>
      <c r="C353" s="655"/>
      <c r="D353" s="656"/>
      <c r="E353" s="657"/>
      <c r="F353" s="658"/>
      <c r="G353" s="659"/>
      <c r="H353" s="660"/>
      <c r="I353" s="659"/>
      <c r="J353" s="661"/>
      <c r="K353" s="658"/>
      <c r="L353" s="662"/>
      <c r="M353" s="663"/>
      <c r="N353" s="664"/>
      <c r="O353" s="665"/>
      <c r="P353" s="666"/>
      <c r="Q353" s="667"/>
      <c r="R353" s="668"/>
      <c r="S353" s="665"/>
      <c r="T353" s="669"/>
      <c r="U353" s="669"/>
      <c r="V353" s="665"/>
      <c r="W353" s="670"/>
      <c r="X353" s="670"/>
      <c r="Y353" s="671"/>
      <c r="Z353" s="671"/>
      <c r="AA353" s="672"/>
      <c r="AB353" s="673"/>
      <c r="AC353" s="673"/>
      <c r="AD353" s="673"/>
      <c r="AE353" s="673"/>
      <c r="AF353" s="673"/>
      <c r="AG353" s="673"/>
      <c r="AH353" s="673"/>
      <c r="AI353" s="673"/>
      <c r="AJ353" s="673"/>
      <c r="AK353" s="673"/>
      <c r="AL353" s="673"/>
      <c r="AM353" s="673"/>
      <c r="AN353" s="673"/>
      <c r="AO353" s="673"/>
      <c r="AP353" s="673"/>
      <c r="AQ353" s="673"/>
      <c r="AR353" s="673"/>
      <c r="AS353" s="673"/>
    </row>
    <row r="354">
      <c r="A354" s="653"/>
      <c r="B354" s="654"/>
      <c r="C354" s="655"/>
      <c r="D354" s="656"/>
      <c r="E354" s="657"/>
      <c r="F354" s="658"/>
      <c r="G354" s="659"/>
      <c r="H354" s="660"/>
      <c r="I354" s="659"/>
      <c r="J354" s="661"/>
      <c r="K354" s="658"/>
      <c r="L354" s="662"/>
      <c r="M354" s="663"/>
      <c r="N354" s="664"/>
      <c r="O354" s="665"/>
      <c r="P354" s="666"/>
      <c r="Q354" s="667"/>
      <c r="R354" s="668"/>
      <c r="S354" s="665"/>
      <c r="T354" s="669"/>
      <c r="U354" s="669"/>
      <c r="V354" s="665"/>
      <c r="W354" s="670"/>
      <c r="X354" s="670"/>
      <c r="Y354" s="671"/>
      <c r="Z354" s="671"/>
      <c r="AA354" s="672"/>
      <c r="AB354" s="673"/>
      <c r="AC354" s="673"/>
      <c r="AD354" s="673"/>
      <c r="AE354" s="673"/>
      <c r="AF354" s="673"/>
      <c r="AG354" s="673"/>
      <c r="AH354" s="673"/>
      <c r="AI354" s="673"/>
      <c r="AJ354" s="673"/>
      <c r="AK354" s="673"/>
      <c r="AL354" s="673"/>
      <c r="AM354" s="673"/>
      <c r="AN354" s="673"/>
      <c r="AO354" s="673"/>
      <c r="AP354" s="673"/>
      <c r="AQ354" s="673"/>
      <c r="AR354" s="673"/>
      <c r="AS354" s="673"/>
    </row>
    <row r="355">
      <c r="A355" s="653"/>
      <c r="B355" s="654"/>
      <c r="C355" s="655"/>
      <c r="D355" s="656"/>
      <c r="E355" s="657"/>
      <c r="F355" s="658"/>
      <c r="G355" s="659"/>
      <c r="H355" s="660"/>
      <c r="I355" s="659"/>
      <c r="J355" s="661"/>
      <c r="K355" s="658"/>
      <c r="L355" s="662"/>
      <c r="M355" s="663"/>
      <c r="N355" s="664"/>
      <c r="O355" s="665"/>
      <c r="P355" s="666"/>
      <c r="Q355" s="667"/>
      <c r="R355" s="668"/>
      <c r="S355" s="665"/>
      <c r="T355" s="669"/>
      <c r="U355" s="669"/>
      <c r="V355" s="665"/>
      <c r="W355" s="670"/>
      <c r="X355" s="670"/>
      <c r="Y355" s="671"/>
      <c r="Z355" s="671"/>
      <c r="AA355" s="672"/>
      <c r="AB355" s="673"/>
      <c r="AC355" s="673"/>
      <c r="AD355" s="673"/>
      <c r="AE355" s="673"/>
      <c r="AF355" s="673"/>
      <c r="AG355" s="673"/>
      <c r="AH355" s="673"/>
      <c r="AI355" s="673"/>
      <c r="AJ355" s="673"/>
      <c r="AK355" s="673"/>
      <c r="AL355" s="673"/>
      <c r="AM355" s="673"/>
      <c r="AN355" s="673"/>
      <c r="AO355" s="673"/>
      <c r="AP355" s="673"/>
      <c r="AQ355" s="673"/>
      <c r="AR355" s="673"/>
      <c r="AS355" s="673"/>
    </row>
    <row r="356">
      <c r="A356" s="653"/>
      <c r="B356" s="654"/>
      <c r="C356" s="655"/>
      <c r="D356" s="656"/>
      <c r="E356" s="657"/>
      <c r="F356" s="658"/>
      <c r="G356" s="659"/>
      <c r="H356" s="660"/>
      <c r="I356" s="659"/>
      <c r="J356" s="661"/>
      <c r="K356" s="658"/>
      <c r="L356" s="662"/>
      <c r="M356" s="663"/>
      <c r="N356" s="664"/>
      <c r="O356" s="665"/>
      <c r="P356" s="666"/>
      <c r="Q356" s="667"/>
      <c r="R356" s="668"/>
      <c r="S356" s="665"/>
      <c r="T356" s="669"/>
      <c r="U356" s="669"/>
      <c r="V356" s="665"/>
      <c r="W356" s="670"/>
      <c r="X356" s="670"/>
      <c r="Y356" s="671"/>
      <c r="Z356" s="671"/>
      <c r="AA356" s="672"/>
      <c r="AB356" s="673"/>
      <c r="AC356" s="673"/>
      <c r="AD356" s="673"/>
      <c r="AE356" s="673"/>
      <c r="AF356" s="673"/>
      <c r="AG356" s="673"/>
      <c r="AH356" s="673"/>
      <c r="AI356" s="673"/>
      <c r="AJ356" s="673"/>
      <c r="AK356" s="673"/>
      <c r="AL356" s="673"/>
      <c r="AM356" s="673"/>
      <c r="AN356" s="673"/>
      <c r="AO356" s="673"/>
      <c r="AP356" s="673"/>
      <c r="AQ356" s="673"/>
      <c r="AR356" s="673"/>
      <c r="AS356" s="673"/>
    </row>
    <row r="357">
      <c r="A357" s="653"/>
      <c r="B357" s="654"/>
      <c r="C357" s="655"/>
      <c r="D357" s="656"/>
      <c r="E357" s="657"/>
      <c r="F357" s="658"/>
      <c r="G357" s="659"/>
      <c r="H357" s="660"/>
      <c r="I357" s="659"/>
      <c r="J357" s="661"/>
      <c r="K357" s="658"/>
      <c r="L357" s="662"/>
      <c r="M357" s="663"/>
      <c r="N357" s="664"/>
      <c r="O357" s="665"/>
      <c r="P357" s="666"/>
      <c r="Q357" s="667"/>
      <c r="R357" s="668"/>
      <c r="S357" s="665"/>
      <c r="T357" s="669"/>
      <c r="U357" s="669"/>
      <c r="V357" s="665"/>
      <c r="W357" s="670"/>
      <c r="X357" s="670"/>
      <c r="Y357" s="671"/>
      <c r="Z357" s="671"/>
      <c r="AA357" s="672"/>
      <c r="AB357" s="673"/>
      <c r="AC357" s="673"/>
      <c r="AD357" s="673"/>
      <c r="AE357" s="673"/>
      <c r="AF357" s="673"/>
      <c r="AG357" s="673"/>
      <c r="AH357" s="673"/>
      <c r="AI357" s="673"/>
      <c r="AJ357" s="673"/>
      <c r="AK357" s="673"/>
      <c r="AL357" s="673"/>
      <c r="AM357" s="673"/>
      <c r="AN357" s="673"/>
      <c r="AO357" s="673"/>
      <c r="AP357" s="673"/>
      <c r="AQ357" s="673"/>
      <c r="AR357" s="673"/>
      <c r="AS357" s="673"/>
    </row>
    <row r="358">
      <c r="A358" s="653"/>
      <c r="B358" s="654"/>
      <c r="C358" s="655"/>
      <c r="D358" s="656"/>
      <c r="E358" s="657"/>
      <c r="F358" s="658"/>
      <c r="G358" s="659"/>
      <c r="H358" s="660"/>
      <c r="I358" s="659"/>
      <c r="J358" s="661"/>
      <c r="K358" s="658"/>
      <c r="L358" s="662"/>
      <c r="M358" s="663"/>
      <c r="N358" s="664"/>
      <c r="O358" s="665"/>
      <c r="P358" s="666"/>
      <c r="Q358" s="667"/>
      <c r="R358" s="668"/>
      <c r="S358" s="665"/>
      <c r="T358" s="669"/>
      <c r="U358" s="669"/>
      <c r="V358" s="665"/>
      <c r="W358" s="670"/>
      <c r="X358" s="670"/>
      <c r="Y358" s="671"/>
      <c r="Z358" s="671"/>
      <c r="AA358" s="672"/>
      <c r="AB358" s="673"/>
      <c r="AC358" s="673"/>
      <c r="AD358" s="673"/>
      <c r="AE358" s="673"/>
      <c r="AF358" s="673"/>
      <c r="AG358" s="673"/>
      <c r="AH358" s="673"/>
      <c r="AI358" s="673"/>
      <c r="AJ358" s="673"/>
      <c r="AK358" s="673"/>
      <c r="AL358" s="673"/>
      <c r="AM358" s="673"/>
      <c r="AN358" s="673"/>
      <c r="AO358" s="673"/>
      <c r="AP358" s="673"/>
      <c r="AQ358" s="673"/>
      <c r="AR358" s="673"/>
      <c r="AS358" s="673"/>
    </row>
    <row r="359">
      <c r="A359" s="653"/>
      <c r="B359" s="654"/>
      <c r="C359" s="655"/>
      <c r="D359" s="656"/>
      <c r="E359" s="657"/>
      <c r="F359" s="658"/>
      <c r="G359" s="659"/>
      <c r="H359" s="660"/>
      <c r="I359" s="659"/>
      <c r="J359" s="661"/>
      <c r="K359" s="658"/>
      <c r="L359" s="662"/>
      <c r="M359" s="663"/>
      <c r="N359" s="664"/>
      <c r="O359" s="665"/>
      <c r="P359" s="666"/>
      <c r="Q359" s="667"/>
      <c r="R359" s="668"/>
      <c r="S359" s="665"/>
      <c r="T359" s="669"/>
      <c r="U359" s="669"/>
      <c r="V359" s="665"/>
      <c r="W359" s="670"/>
      <c r="X359" s="670"/>
      <c r="Y359" s="671"/>
      <c r="Z359" s="671"/>
      <c r="AA359" s="672"/>
      <c r="AB359" s="673"/>
      <c r="AC359" s="673"/>
      <c r="AD359" s="673"/>
      <c r="AE359" s="673"/>
      <c r="AF359" s="673"/>
      <c r="AG359" s="673"/>
      <c r="AH359" s="673"/>
      <c r="AI359" s="673"/>
      <c r="AJ359" s="673"/>
      <c r="AK359" s="673"/>
      <c r="AL359" s="673"/>
      <c r="AM359" s="673"/>
      <c r="AN359" s="673"/>
      <c r="AO359" s="673"/>
      <c r="AP359" s="673"/>
      <c r="AQ359" s="673"/>
      <c r="AR359" s="673"/>
      <c r="AS359" s="673"/>
    </row>
    <row r="360">
      <c r="A360" s="653"/>
      <c r="B360" s="654"/>
      <c r="C360" s="655"/>
      <c r="D360" s="656"/>
      <c r="E360" s="657"/>
      <c r="F360" s="658"/>
      <c r="G360" s="659"/>
      <c r="H360" s="660"/>
      <c r="I360" s="659"/>
      <c r="J360" s="661"/>
      <c r="K360" s="658"/>
      <c r="L360" s="662"/>
      <c r="M360" s="663"/>
      <c r="N360" s="664"/>
      <c r="O360" s="665"/>
      <c r="P360" s="666"/>
      <c r="Q360" s="667"/>
      <c r="R360" s="668"/>
      <c r="S360" s="665"/>
      <c r="T360" s="669"/>
      <c r="U360" s="669"/>
      <c r="V360" s="665"/>
      <c r="W360" s="670"/>
      <c r="X360" s="670"/>
      <c r="Y360" s="671"/>
      <c r="Z360" s="671"/>
      <c r="AA360" s="672"/>
      <c r="AB360" s="673"/>
      <c r="AC360" s="673"/>
      <c r="AD360" s="673"/>
      <c r="AE360" s="673"/>
      <c r="AF360" s="673"/>
      <c r="AG360" s="673"/>
      <c r="AH360" s="673"/>
      <c r="AI360" s="673"/>
      <c r="AJ360" s="673"/>
      <c r="AK360" s="673"/>
      <c r="AL360" s="673"/>
      <c r="AM360" s="673"/>
      <c r="AN360" s="673"/>
      <c r="AO360" s="673"/>
      <c r="AP360" s="673"/>
      <c r="AQ360" s="673"/>
      <c r="AR360" s="673"/>
      <c r="AS360" s="673"/>
    </row>
    <row r="361">
      <c r="A361" s="653"/>
      <c r="B361" s="654"/>
      <c r="C361" s="655"/>
      <c r="D361" s="656"/>
      <c r="E361" s="657"/>
      <c r="F361" s="658"/>
      <c r="G361" s="659"/>
      <c r="H361" s="660"/>
      <c r="I361" s="659"/>
      <c r="J361" s="661"/>
      <c r="K361" s="658"/>
      <c r="L361" s="662"/>
      <c r="M361" s="663"/>
      <c r="N361" s="664"/>
      <c r="O361" s="665"/>
      <c r="P361" s="666"/>
      <c r="Q361" s="667"/>
      <c r="R361" s="668"/>
      <c r="S361" s="665"/>
      <c r="T361" s="669"/>
      <c r="U361" s="669"/>
      <c r="V361" s="665"/>
      <c r="W361" s="670"/>
      <c r="X361" s="670"/>
      <c r="Y361" s="671"/>
      <c r="Z361" s="671"/>
      <c r="AA361" s="672"/>
      <c r="AB361" s="673"/>
      <c r="AC361" s="673"/>
      <c r="AD361" s="673"/>
      <c r="AE361" s="673"/>
      <c r="AF361" s="673"/>
      <c r="AG361" s="673"/>
      <c r="AH361" s="673"/>
      <c r="AI361" s="673"/>
      <c r="AJ361" s="673"/>
      <c r="AK361" s="673"/>
      <c r="AL361" s="673"/>
      <c r="AM361" s="673"/>
      <c r="AN361" s="673"/>
      <c r="AO361" s="673"/>
      <c r="AP361" s="673"/>
      <c r="AQ361" s="673"/>
      <c r="AR361" s="673"/>
      <c r="AS361" s="673"/>
    </row>
    <row r="362">
      <c r="A362" s="653"/>
      <c r="B362" s="654"/>
      <c r="C362" s="655"/>
      <c r="D362" s="656"/>
      <c r="E362" s="657"/>
      <c r="F362" s="658"/>
      <c r="G362" s="659"/>
      <c r="H362" s="660"/>
      <c r="I362" s="659"/>
      <c r="J362" s="661"/>
      <c r="K362" s="658"/>
      <c r="L362" s="662"/>
      <c r="M362" s="663"/>
      <c r="N362" s="664"/>
      <c r="O362" s="665"/>
      <c r="P362" s="666"/>
      <c r="Q362" s="667"/>
      <c r="R362" s="668"/>
      <c r="S362" s="665"/>
      <c r="T362" s="669"/>
      <c r="U362" s="669"/>
      <c r="V362" s="665"/>
      <c r="W362" s="670"/>
      <c r="X362" s="670"/>
      <c r="Y362" s="671"/>
      <c r="Z362" s="671"/>
      <c r="AA362" s="672"/>
      <c r="AB362" s="673"/>
      <c r="AC362" s="673"/>
      <c r="AD362" s="673"/>
      <c r="AE362" s="673"/>
      <c r="AF362" s="673"/>
      <c r="AG362" s="673"/>
      <c r="AH362" s="673"/>
      <c r="AI362" s="673"/>
      <c r="AJ362" s="673"/>
      <c r="AK362" s="673"/>
      <c r="AL362" s="673"/>
      <c r="AM362" s="673"/>
      <c r="AN362" s="673"/>
      <c r="AO362" s="673"/>
      <c r="AP362" s="673"/>
      <c r="AQ362" s="673"/>
      <c r="AR362" s="673"/>
      <c r="AS362" s="673"/>
    </row>
    <row r="363">
      <c r="A363" s="653"/>
      <c r="B363" s="654"/>
      <c r="C363" s="655"/>
      <c r="D363" s="656"/>
      <c r="E363" s="657"/>
      <c r="F363" s="658"/>
      <c r="G363" s="659"/>
      <c r="H363" s="660"/>
      <c r="I363" s="659"/>
      <c r="J363" s="661"/>
      <c r="K363" s="658"/>
      <c r="L363" s="662"/>
      <c r="M363" s="663"/>
      <c r="N363" s="664"/>
      <c r="O363" s="665"/>
      <c r="P363" s="666"/>
      <c r="Q363" s="667"/>
      <c r="R363" s="668"/>
      <c r="S363" s="665"/>
      <c r="T363" s="669"/>
      <c r="U363" s="669"/>
      <c r="V363" s="665"/>
      <c r="W363" s="670"/>
      <c r="X363" s="670"/>
      <c r="Y363" s="671"/>
      <c r="Z363" s="671"/>
      <c r="AA363" s="672"/>
      <c r="AB363" s="673"/>
      <c r="AC363" s="673"/>
      <c r="AD363" s="673"/>
      <c r="AE363" s="673"/>
      <c r="AF363" s="673"/>
      <c r="AG363" s="673"/>
      <c r="AH363" s="673"/>
      <c r="AI363" s="673"/>
      <c r="AJ363" s="673"/>
      <c r="AK363" s="673"/>
      <c r="AL363" s="673"/>
      <c r="AM363" s="673"/>
      <c r="AN363" s="673"/>
      <c r="AO363" s="673"/>
      <c r="AP363" s="673"/>
      <c r="AQ363" s="673"/>
      <c r="AR363" s="673"/>
      <c r="AS363" s="673"/>
    </row>
    <row r="364">
      <c r="A364" s="653"/>
      <c r="B364" s="654"/>
      <c r="C364" s="655"/>
      <c r="D364" s="656"/>
      <c r="E364" s="657"/>
      <c r="F364" s="658"/>
      <c r="G364" s="659"/>
      <c r="H364" s="660"/>
      <c r="I364" s="659"/>
      <c r="J364" s="661"/>
      <c r="K364" s="658"/>
      <c r="L364" s="662"/>
      <c r="M364" s="663"/>
      <c r="N364" s="664"/>
      <c r="O364" s="665"/>
      <c r="P364" s="666"/>
      <c r="Q364" s="667"/>
      <c r="R364" s="668"/>
      <c r="S364" s="665"/>
      <c r="T364" s="669"/>
      <c r="U364" s="669"/>
      <c r="V364" s="665"/>
      <c r="W364" s="670"/>
      <c r="X364" s="670"/>
      <c r="Y364" s="671"/>
      <c r="Z364" s="671"/>
      <c r="AA364" s="672"/>
      <c r="AB364" s="673"/>
      <c r="AC364" s="673"/>
      <c r="AD364" s="673"/>
      <c r="AE364" s="673"/>
      <c r="AF364" s="673"/>
      <c r="AG364" s="673"/>
      <c r="AH364" s="673"/>
      <c r="AI364" s="673"/>
      <c r="AJ364" s="673"/>
      <c r="AK364" s="673"/>
      <c r="AL364" s="673"/>
      <c r="AM364" s="673"/>
      <c r="AN364" s="673"/>
      <c r="AO364" s="673"/>
      <c r="AP364" s="673"/>
      <c r="AQ364" s="673"/>
      <c r="AR364" s="673"/>
      <c r="AS364" s="673"/>
    </row>
    <row r="365">
      <c r="A365" s="653"/>
      <c r="B365" s="654"/>
      <c r="C365" s="655"/>
      <c r="D365" s="656"/>
      <c r="E365" s="657"/>
      <c r="F365" s="658"/>
      <c r="G365" s="659"/>
      <c r="H365" s="660"/>
      <c r="I365" s="659"/>
      <c r="J365" s="661"/>
      <c r="K365" s="658"/>
      <c r="L365" s="662"/>
      <c r="M365" s="663"/>
      <c r="N365" s="664"/>
      <c r="O365" s="665"/>
      <c r="P365" s="666"/>
      <c r="Q365" s="667"/>
      <c r="R365" s="668"/>
      <c r="S365" s="665"/>
      <c r="T365" s="669"/>
      <c r="U365" s="669"/>
      <c r="V365" s="665"/>
      <c r="W365" s="670"/>
      <c r="X365" s="670"/>
      <c r="Y365" s="671"/>
      <c r="Z365" s="671"/>
      <c r="AA365" s="672"/>
      <c r="AB365" s="673"/>
      <c r="AC365" s="673"/>
      <c r="AD365" s="673"/>
      <c r="AE365" s="673"/>
      <c r="AF365" s="673"/>
      <c r="AG365" s="673"/>
      <c r="AH365" s="673"/>
      <c r="AI365" s="673"/>
      <c r="AJ365" s="673"/>
      <c r="AK365" s="673"/>
      <c r="AL365" s="673"/>
      <c r="AM365" s="673"/>
      <c r="AN365" s="673"/>
      <c r="AO365" s="673"/>
      <c r="AP365" s="673"/>
      <c r="AQ365" s="673"/>
      <c r="AR365" s="673"/>
      <c r="AS365" s="673"/>
    </row>
    <row r="366">
      <c r="A366" s="653"/>
      <c r="B366" s="654"/>
      <c r="C366" s="655"/>
      <c r="D366" s="656"/>
      <c r="E366" s="657"/>
      <c r="F366" s="658"/>
      <c r="G366" s="659"/>
      <c r="H366" s="660"/>
      <c r="I366" s="659"/>
      <c r="J366" s="661"/>
      <c r="K366" s="658"/>
      <c r="L366" s="662"/>
      <c r="M366" s="663"/>
      <c r="N366" s="664"/>
      <c r="O366" s="665"/>
      <c r="P366" s="666"/>
      <c r="Q366" s="667"/>
      <c r="R366" s="668"/>
      <c r="S366" s="665"/>
      <c r="T366" s="669"/>
      <c r="U366" s="669"/>
      <c r="V366" s="665"/>
      <c r="W366" s="670"/>
      <c r="X366" s="670"/>
      <c r="Y366" s="671"/>
      <c r="Z366" s="671"/>
      <c r="AA366" s="672"/>
      <c r="AB366" s="673"/>
      <c r="AC366" s="673"/>
      <c r="AD366" s="673"/>
      <c r="AE366" s="673"/>
      <c r="AF366" s="673"/>
      <c r="AG366" s="673"/>
      <c r="AH366" s="673"/>
      <c r="AI366" s="673"/>
      <c r="AJ366" s="673"/>
      <c r="AK366" s="673"/>
      <c r="AL366" s="673"/>
      <c r="AM366" s="673"/>
      <c r="AN366" s="673"/>
      <c r="AO366" s="673"/>
      <c r="AP366" s="673"/>
      <c r="AQ366" s="673"/>
      <c r="AR366" s="673"/>
      <c r="AS366" s="673"/>
    </row>
    <row r="367">
      <c r="A367" s="653"/>
      <c r="B367" s="654"/>
      <c r="C367" s="655"/>
      <c r="D367" s="656"/>
      <c r="E367" s="657"/>
      <c r="F367" s="658"/>
      <c r="G367" s="659"/>
      <c r="H367" s="660"/>
      <c r="I367" s="659"/>
      <c r="J367" s="661"/>
      <c r="K367" s="658"/>
      <c r="L367" s="662"/>
      <c r="M367" s="663"/>
      <c r="N367" s="664"/>
      <c r="O367" s="665"/>
      <c r="P367" s="666"/>
      <c r="Q367" s="667"/>
      <c r="R367" s="668"/>
      <c r="S367" s="665"/>
      <c r="T367" s="669"/>
      <c r="U367" s="669"/>
      <c r="V367" s="665"/>
      <c r="W367" s="670"/>
      <c r="X367" s="670"/>
      <c r="Y367" s="671"/>
      <c r="Z367" s="671"/>
      <c r="AA367" s="672"/>
      <c r="AB367" s="673"/>
      <c r="AC367" s="673"/>
      <c r="AD367" s="673"/>
      <c r="AE367" s="673"/>
      <c r="AF367" s="673"/>
      <c r="AG367" s="673"/>
      <c r="AH367" s="673"/>
      <c r="AI367" s="673"/>
      <c r="AJ367" s="673"/>
      <c r="AK367" s="673"/>
      <c r="AL367" s="673"/>
      <c r="AM367" s="673"/>
      <c r="AN367" s="673"/>
      <c r="AO367" s="673"/>
      <c r="AP367" s="673"/>
      <c r="AQ367" s="673"/>
      <c r="AR367" s="673"/>
      <c r="AS367" s="673"/>
    </row>
    <row r="368">
      <c r="A368" s="653"/>
      <c r="B368" s="654"/>
      <c r="C368" s="655"/>
      <c r="D368" s="656"/>
      <c r="E368" s="657"/>
      <c r="F368" s="658"/>
      <c r="G368" s="659"/>
      <c r="H368" s="660"/>
      <c r="I368" s="659"/>
      <c r="J368" s="661"/>
      <c r="K368" s="658"/>
      <c r="L368" s="662"/>
      <c r="M368" s="663"/>
      <c r="N368" s="664"/>
      <c r="O368" s="665"/>
      <c r="P368" s="666"/>
      <c r="Q368" s="667"/>
      <c r="R368" s="668"/>
      <c r="S368" s="665"/>
      <c r="T368" s="669"/>
      <c r="U368" s="669"/>
      <c r="V368" s="665"/>
      <c r="W368" s="670"/>
      <c r="X368" s="670"/>
      <c r="Y368" s="671"/>
      <c r="Z368" s="671"/>
      <c r="AA368" s="672"/>
      <c r="AB368" s="673"/>
      <c r="AC368" s="673"/>
      <c r="AD368" s="673"/>
      <c r="AE368" s="673"/>
      <c r="AF368" s="673"/>
      <c r="AG368" s="673"/>
      <c r="AH368" s="673"/>
      <c r="AI368" s="673"/>
      <c r="AJ368" s="673"/>
      <c r="AK368" s="673"/>
      <c r="AL368" s="673"/>
      <c r="AM368" s="673"/>
      <c r="AN368" s="673"/>
      <c r="AO368" s="673"/>
      <c r="AP368" s="673"/>
      <c r="AQ368" s="673"/>
      <c r="AR368" s="673"/>
      <c r="AS368" s="673"/>
    </row>
    <row r="369">
      <c r="A369" s="653"/>
      <c r="B369" s="654"/>
      <c r="C369" s="655"/>
      <c r="D369" s="656"/>
      <c r="E369" s="657"/>
      <c r="F369" s="658"/>
      <c r="G369" s="659"/>
      <c r="H369" s="660"/>
      <c r="I369" s="659"/>
      <c r="J369" s="661"/>
      <c r="K369" s="658"/>
      <c r="L369" s="662"/>
      <c r="M369" s="663"/>
      <c r="N369" s="664"/>
      <c r="O369" s="665"/>
      <c r="P369" s="666"/>
      <c r="Q369" s="667"/>
      <c r="R369" s="668"/>
      <c r="S369" s="665"/>
      <c r="T369" s="669"/>
      <c r="U369" s="669"/>
      <c r="V369" s="665"/>
      <c r="W369" s="670"/>
      <c r="X369" s="670"/>
      <c r="Y369" s="671"/>
      <c r="Z369" s="671"/>
      <c r="AA369" s="672"/>
      <c r="AB369" s="673"/>
      <c r="AC369" s="673"/>
      <c r="AD369" s="673"/>
      <c r="AE369" s="673"/>
      <c r="AF369" s="673"/>
      <c r="AG369" s="673"/>
      <c r="AH369" s="673"/>
      <c r="AI369" s="673"/>
      <c r="AJ369" s="673"/>
      <c r="AK369" s="673"/>
      <c r="AL369" s="673"/>
      <c r="AM369" s="673"/>
      <c r="AN369" s="673"/>
      <c r="AO369" s="673"/>
      <c r="AP369" s="673"/>
      <c r="AQ369" s="673"/>
      <c r="AR369" s="673"/>
      <c r="AS369" s="673"/>
    </row>
    <row r="370">
      <c r="A370" s="653"/>
      <c r="B370" s="654"/>
      <c r="C370" s="655"/>
      <c r="D370" s="656"/>
      <c r="E370" s="657"/>
      <c r="F370" s="658"/>
      <c r="G370" s="659"/>
      <c r="H370" s="660"/>
      <c r="I370" s="659"/>
      <c r="J370" s="661"/>
      <c r="K370" s="658"/>
      <c r="L370" s="662"/>
      <c r="M370" s="663"/>
      <c r="N370" s="664"/>
      <c r="O370" s="665"/>
      <c r="P370" s="666"/>
      <c r="Q370" s="667"/>
      <c r="R370" s="668"/>
      <c r="S370" s="665"/>
      <c r="T370" s="669"/>
      <c r="U370" s="669"/>
      <c r="V370" s="665"/>
      <c r="W370" s="670"/>
      <c r="X370" s="670"/>
      <c r="Y370" s="671"/>
      <c r="Z370" s="671"/>
      <c r="AA370" s="672"/>
      <c r="AB370" s="673"/>
      <c r="AC370" s="673"/>
      <c r="AD370" s="673"/>
      <c r="AE370" s="673"/>
      <c r="AF370" s="673"/>
      <c r="AG370" s="673"/>
      <c r="AH370" s="673"/>
      <c r="AI370" s="673"/>
      <c r="AJ370" s="673"/>
      <c r="AK370" s="673"/>
      <c r="AL370" s="673"/>
      <c r="AM370" s="673"/>
      <c r="AN370" s="673"/>
      <c r="AO370" s="673"/>
      <c r="AP370" s="673"/>
      <c r="AQ370" s="673"/>
      <c r="AR370" s="673"/>
      <c r="AS370" s="673"/>
    </row>
    <row r="371">
      <c r="A371" s="653"/>
      <c r="B371" s="654"/>
      <c r="C371" s="655"/>
      <c r="D371" s="656"/>
      <c r="E371" s="657"/>
      <c r="F371" s="658"/>
      <c r="G371" s="659"/>
      <c r="H371" s="660"/>
      <c r="I371" s="659"/>
      <c r="J371" s="661"/>
      <c r="K371" s="658"/>
      <c r="L371" s="662"/>
      <c r="M371" s="663"/>
      <c r="N371" s="664"/>
      <c r="O371" s="665"/>
      <c r="P371" s="666"/>
      <c r="Q371" s="667"/>
      <c r="R371" s="668"/>
      <c r="S371" s="665"/>
      <c r="T371" s="669"/>
      <c r="U371" s="669"/>
      <c r="V371" s="665"/>
      <c r="W371" s="670"/>
      <c r="X371" s="670"/>
      <c r="Y371" s="671"/>
      <c r="Z371" s="671"/>
      <c r="AA371" s="672"/>
      <c r="AB371" s="673"/>
      <c r="AC371" s="673"/>
      <c r="AD371" s="673"/>
      <c r="AE371" s="673"/>
      <c r="AF371" s="673"/>
      <c r="AG371" s="673"/>
      <c r="AH371" s="673"/>
      <c r="AI371" s="673"/>
      <c r="AJ371" s="673"/>
      <c r="AK371" s="673"/>
      <c r="AL371" s="673"/>
      <c r="AM371" s="673"/>
      <c r="AN371" s="673"/>
      <c r="AO371" s="673"/>
      <c r="AP371" s="673"/>
      <c r="AQ371" s="673"/>
      <c r="AR371" s="673"/>
      <c r="AS371" s="673"/>
    </row>
    <row r="372">
      <c r="A372" s="653"/>
      <c r="B372" s="654"/>
      <c r="C372" s="655"/>
      <c r="D372" s="656"/>
      <c r="E372" s="657"/>
      <c r="F372" s="658"/>
      <c r="G372" s="659"/>
      <c r="H372" s="660"/>
      <c r="I372" s="659"/>
      <c r="J372" s="661"/>
      <c r="K372" s="658"/>
      <c r="L372" s="662"/>
      <c r="M372" s="663"/>
      <c r="N372" s="664"/>
      <c r="O372" s="665"/>
      <c r="P372" s="666"/>
      <c r="Q372" s="667"/>
      <c r="R372" s="668"/>
      <c r="S372" s="665"/>
      <c r="T372" s="669"/>
      <c r="U372" s="669"/>
      <c r="V372" s="665"/>
      <c r="W372" s="670"/>
      <c r="X372" s="670"/>
      <c r="Y372" s="671"/>
      <c r="Z372" s="671"/>
      <c r="AA372" s="672"/>
      <c r="AB372" s="673"/>
      <c r="AC372" s="673"/>
      <c r="AD372" s="673"/>
      <c r="AE372" s="673"/>
      <c r="AF372" s="673"/>
      <c r="AG372" s="673"/>
      <c r="AH372" s="673"/>
      <c r="AI372" s="673"/>
      <c r="AJ372" s="673"/>
      <c r="AK372" s="673"/>
      <c r="AL372" s="673"/>
      <c r="AM372" s="673"/>
      <c r="AN372" s="673"/>
      <c r="AO372" s="673"/>
      <c r="AP372" s="673"/>
      <c r="AQ372" s="673"/>
      <c r="AR372" s="673"/>
      <c r="AS372" s="673"/>
    </row>
    <row r="373">
      <c r="A373" s="653"/>
      <c r="B373" s="654"/>
      <c r="C373" s="655"/>
      <c r="D373" s="656"/>
      <c r="E373" s="657"/>
      <c r="F373" s="658"/>
      <c r="G373" s="659"/>
      <c r="H373" s="660"/>
      <c r="I373" s="659"/>
      <c r="J373" s="661"/>
      <c r="K373" s="658"/>
      <c r="L373" s="662"/>
      <c r="M373" s="663"/>
      <c r="N373" s="664"/>
      <c r="O373" s="665"/>
      <c r="P373" s="666"/>
      <c r="Q373" s="667"/>
      <c r="R373" s="668"/>
      <c r="S373" s="665"/>
      <c r="T373" s="669"/>
      <c r="U373" s="669"/>
      <c r="V373" s="665"/>
      <c r="W373" s="670"/>
      <c r="X373" s="670"/>
      <c r="Y373" s="671"/>
      <c r="Z373" s="671"/>
      <c r="AA373" s="672"/>
      <c r="AB373" s="673"/>
      <c r="AC373" s="673"/>
      <c r="AD373" s="673"/>
      <c r="AE373" s="673"/>
      <c r="AF373" s="673"/>
      <c r="AG373" s="673"/>
      <c r="AH373" s="673"/>
      <c r="AI373" s="673"/>
      <c r="AJ373" s="673"/>
      <c r="AK373" s="673"/>
      <c r="AL373" s="673"/>
      <c r="AM373" s="673"/>
      <c r="AN373" s="673"/>
      <c r="AO373" s="673"/>
      <c r="AP373" s="673"/>
      <c r="AQ373" s="673"/>
      <c r="AR373" s="673"/>
      <c r="AS373" s="673"/>
    </row>
    <row r="374">
      <c r="A374" s="653"/>
      <c r="B374" s="654"/>
      <c r="C374" s="655"/>
      <c r="D374" s="656"/>
      <c r="E374" s="657"/>
      <c r="F374" s="658"/>
      <c r="G374" s="659"/>
      <c r="H374" s="660"/>
      <c r="I374" s="659"/>
      <c r="J374" s="661"/>
      <c r="K374" s="658"/>
      <c r="L374" s="662"/>
      <c r="M374" s="663"/>
      <c r="N374" s="664"/>
      <c r="O374" s="665"/>
      <c r="P374" s="666"/>
      <c r="Q374" s="667"/>
      <c r="R374" s="668"/>
      <c r="S374" s="665"/>
      <c r="T374" s="669"/>
      <c r="U374" s="669"/>
      <c r="V374" s="665"/>
      <c r="W374" s="670"/>
      <c r="X374" s="670"/>
      <c r="Y374" s="671"/>
      <c r="Z374" s="671"/>
      <c r="AA374" s="672"/>
      <c r="AB374" s="673"/>
      <c r="AC374" s="673"/>
      <c r="AD374" s="673"/>
      <c r="AE374" s="673"/>
      <c r="AF374" s="673"/>
      <c r="AG374" s="673"/>
      <c r="AH374" s="673"/>
      <c r="AI374" s="673"/>
      <c r="AJ374" s="673"/>
      <c r="AK374" s="673"/>
      <c r="AL374" s="673"/>
      <c r="AM374" s="673"/>
      <c r="AN374" s="673"/>
      <c r="AO374" s="673"/>
      <c r="AP374" s="673"/>
      <c r="AQ374" s="673"/>
      <c r="AR374" s="673"/>
      <c r="AS374" s="673"/>
    </row>
    <row r="375">
      <c r="A375" s="653"/>
      <c r="B375" s="654"/>
      <c r="C375" s="655"/>
      <c r="D375" s="656"/>
      <c r="E375" s="657"/>
      <c r="F375" s="658"/>
      <c r="G375" s="659"/>
      <c r="H375" s="660"/>
      <c r="I375" s="659"/>
      <c r="J375" s="661"/>
      <c r="K375" s="658"/>
      <c r="L375" s="662"/>
      <c r="M375" s="663"/>
      <c r="N375" s="664"/>
      <c r="O375" s="665"/>
      <c r="P375" s="666"/>
      <c r="Q375" s="667"/>
      <c r="R375" s="668"/>
      <c r="S375" s="665"/>
      <c r="T375" s="669"/>
      <c r="U375" s="669"/>
      <c r="V375" s="665"/>
      <c r="W375" s="670"/>
      <c r="X375" s="670"/>
      <c r="Y375" s="671"/>
      <c r="Z375" s="671"/>
      <c r="AA375" s="672"/>
      <c r="AB375" s="673"/>
      <c r="AC375" s="673"/>
      <c r="AD375" s="673"/>
      <c r="AE375" s="673"/>
      <c r="AF375" s="673"/>
      <c r="AG375" s="673"/>
      <c r="AH375" s="673"/>
      <c r="AI375" s="673"/>
      <c r="AJ375" s="673"/>
      <c r="AK375" s="673"/>
      <c r="AL375" s="673"/>
      <c r="AM375" s="673"/>
      <c r="AN375" s="673"/>
      <c r="AO375" s="673"/>
      <c r="AP375" s="673"/>
      <c r="AQ375" s="673"/>
      <c r="AR375" s="673"/>
      <c r="AS375" s="673"/>
    </row>
    <row r="376">
      <c r="A376" s="653"/>
      <c r="B376" s="654"/>
      <c r="C376" s="655"/>
      <c r="D376" s="656"/>
      <c r="E376" s="657"/>
      <c r="F376" s="658"/>
      <c r="G376" s="659"/>
      <c r="H376" s="660"/>
      <c r="I376" s="659"/>
      <c r="J376" s="661"/>
      <c r="K376" s="658"/>
      <c r="L376" s="662"/>
      <c r="M376" s="663"/>
      <c r="N376" s="664"/>
      <c r="O376" s="665"/>
      <c r="P376" s="666"/>
      <c r="Q376" s="667"/>
      <c r="R376" s="668"/>
      <c r="S376" s="665"/>
      <c r="T376" s="669"/>
      <c r="U376" s="669"/>
      <c r="V376" s="665"/>
      <c r="W376" s="670"/>
      <c r="X376" s="670"/>
      <c r="Y376" s="671"/>
      <c r="Z376" s="671"/>
      <c r="AA376" s="672"/>
      <c r="AB376" s="673"/>
      <c r="AC376" s="673"/>
      <c r="AD376" s="673"/>
      <c r="AE376" s="673"/>
      <c r="AF376" s="673"/>
      <c r="AG376" s="673"/>
      <c r="AH376" s="673"/>
      <c r="AI376" s="673"/>
      <c r="AJ376" s="673"/>
      <c r="AK376" s="673"/>
      <c r="AL376" s="673"/>
      <c r="AM376" s="673"/>
      <c r="AN376" s="673"/>
      <c r="AO376" s="673"/>
      <c r="AP376" s="673"/>
      <c r="AQ376" s="673"/>
      <c r="AR376" s="673"/>
      <c r="AS376" s="673"/>
    </row>
    <row r="377">
      <c r="A377" s="653"/>
      <c r="B377" s="654"/>
      <c r="C377" s="655"/>
      <c r="D377" s="656"/>
      <c r="E377" s="657"/>
      <c r="F377" s="658"/>
      <c r="G377" s="659"/>
      <c r="H377" s="660"/>
      <c r="I377" s="659"/>
      <c r="J377" s="661"/>
      <c r="K377" s="658"/>
      <c r="L377" s="662"/>
      <c r="M377" s="663"/>
      <c r="N377" s="664"/>
      <c r="O377" s="665"/>
      <c r="P377" s="666"/>
      <c r="Q377" s="667"/>
      <c r="R377" s="668"/>
      <c r="S377" s="665"/>
      <c r="T377" s="669"/>
      <c r="U377" s="669"/>
      <c r="V377" s="665"/>
      <c r="W377" s="670"/>
      <c r="X377" s="670"/>
      <c r="Y377" s="671"/>
      <c r="Z377" s="671"/>
      <c r="AA377" s="672"/>
      <c r="AB377" s="673"/>
      <c r="AC377" s="673"/>
      <c r="AD377" s="673"/>
      <c r="AE377" s="673"/>
      <c r="AF377" s="673"/>
      <c r="AG377" s="673"/>
      <c r="AH377" s="673"/>
      <c r="AI377" s="673"/>
      <c r="AJ377" s="673"/>
      <c r="AK377" s="673"/>
      <c r="AL377" s="673"/>
      <c r="AM377" s="673"/>
      <c r="AN377" s="673"/>
      <c r="AO377" s="673"/>
      <c r="AP377" s="673"/>
      <c r="AQ377" s="673"/>
      <c r="AR377" s="673"/>
      <c r="AS377" s="673"/>
    </row>
    <row r="378">
      <c r="A378" s="653"/>
      <c r="B378" s="654"/>
      <c r="C378" s="655"/>
      <c r="D378" s="656"/>
      <c r="E378" s="657"/>
      <c r="F378" s="658"/>
      <c r="G378" s="659"/>
      <c r="H378" s="660"/>
      <c r="I378" s="659"/>
      <c r="J378" s="661"/>
      <c r="K378" s="658"/>
      <c r="L378" s="662"/>
      <c r="M378" s="663"/>
      <c r="N378" s="664"/>
      <c r="O378" s="665"/>
      <c r="P378" s="666"/>
      <c r="Q378" s="667"/>
      <c r="R378" s="668"/>
      <c r="S378" s="665"/>
      <c r="T378" s="669"/>
      <c r="U378" s="669"/>
      <c r="V378" s="665"/>
      <c r="W378" s="670"/>
      <c r="X378" s="670"/>
      <c r="Y378" s="671"/>
      <c r="Z378" s="671"/>
      <c r="AA378" s="672"/>
      <c r="AB378" s="673"/>
      <c r="AC378" s="673"/>
      <c r="AD378" s="673"/>
      <c r="AE378" s="673"/>
      <c r="AF378" s="673"/>
      <c r="AG378" s="673"/>
      <c r="AH378" s="673"/>
      <c r="AI378" s="673"/>
      <c r="AJ378" s="673"/>
      <c r="AK378" s="673"/>
      <c r="AL378" s="673"/>
      <c r="AM378" s="673"/>
      <c r="AN378" s="673"/>
      <c r="AO378" s="673"/>
      <c r="AP378" s="673"/>
      <c r="AQ378" s="673"/>
      <c r="AR378" s="673"/>
      <c r="AS378" s="673"/>
    </row>
    <row r="379">
      <c r="A379" s="653"/>
      <c r="B379" s="654"/>
      <c r="C379" s="655"/>
      <c r="D379" s="656"/>
      <c r="E379" s="657"/>
      <c r="F379" s="658"/>
      <c r="G379" s="659"/>
      <c r="H379" s="660"/>
      <c r="I379" s="659"/>
      <c r="J379" s="661"/>
      <c r="K379" s="658"/>
      <c r="L379" s="662"/>
      <c r="M379" s="663"/>
      <c r="N379" s="664"/>
      <c r="O379" s="665"/>
      <c r="P379" s="666"/>
      <c r="Q379" s="667"/>
      <c r="R379" s="668"/>
      <c r="S379" s="665"/>
      <c r="T379" s="669"/>
      <c r="U379" s="669"/>
      <c r="V379" s="665"/>
      <c r="W379" s="670"/>
      <c r="X379" s="670"/>
      <c r="Y379" s="671"/>
      <c r="Z379" s="671"/>
      <c r="AA379" s="672"/>
      <c r="AB379" s="673"/>
      <c r="AC379" s="673"/>
      <c r="AD379" s="673"/>
      <c r="AE379" s="673"/>
      <c r="AF379" s="673"/>
      <c r="AG379" s="673"/>
      <c r="AH379" s="673"/>
      <c r="AI379" s="673"/>
      <c r="AJ379" s="673"/>
      <c r="AK379" s="673"/>
      <c r="AL379" s="673"/>
      <c r="AM379" s="673"/>
      <c r="AN379" s="673"/>
      <c r="AO379" s="673"/>
      <c r="AP379" s="673"/>
      <c r="AQ379" s="673"/>
      <c r="AR379" s="673"/>
      <c r="AS379" s="673"/>
    </row>
    <row r="380">
      <c r="A380" s="653"/>
      <c r="B380" s="654"/>
      <c r="C380" s="655"/>
      <c r="D380" s="656"/>
      <c r="E380" s="657"/>
      <c r="F380" s="658"/>
      <c r="G380" s="659"/>
      <c r="H380" s="660"/>
      <c r="I380" s="659"/>
      <c r="J380" s="661"/>
      <c r="K380" s="658"/>
      <c r="L380" s="662"/>
      <c r="M380" s="663"/>
      <c r="N380" s="664"/>
      <c r="O380" s="665"/>
      <c r="P380" s="666"/>
      <c r="Q380" s="667"/>
      <c r="R380" s="668"/>
      <c r="S380" s="665"/>
      <c r="T380" s="669"/>
      <c r="U380" s="669"/>
      <c r="V380" s="665"/>
      <c r="W380" s="670"/>
      <c r="X380" s="670"/>
      <c r="Y380" s="671"/>
      <c r="Z380" s="671"/>
      <c r="AA380" s="672"/>
      <c r="AB380" s="673"/>
      <c r="AC380" s="673"/>
      <c r="AD380" s="673"/>
      <c r="AE380" s="673"/>
      <c r="AF380" s="673"/>
      <c r="AG380" s="673"/>
      <c r="AH380" s="673"/>
      <c r="AI380" s="673"/>
      <c r="AJ380" s="673"/>
      <c r="AK380" s="673"/>
      <c r="AL380" s="673"/>
      <c r="AM380" s="673"/>
      <c r="AN380" s="673"/>
      <c r="AO380" s="673"/>
      <c r="AP380" s="673"/>
      <c r="AQ380" s="673"/>
      <c r="AR380" s="673"/>
      <c r="AS380" s="673"/>
    </row>
    <row r="381">
      <c r="A381" s="653"/>
      <c r="B381" s="654"/>
      <c r="C381" s="655"/>
      <c r="D381" s="656"/>
      <c r="E381" s="657"/>
      <c r="F381" s="658"/>
      <c r="G381" s="659"/>
      <c r="H381" s="660"/>
      <c r="I381" s="659"/>
      <c r="J381" s="661"/>
      <c r="K381" s="658"/>
      <c r="L381" s="662"/>
      <c r="M381" s="663"/>
      <c r="N381" s="664"/>
      <c r="O381" s="665"/>
      <c r="P381" s="666"/>
      <c r="Q381" s="667"/>
      <c r="R381" s="668"/>
      <c r="S381" s="665"/>
      <c r="T381" s="669"/>
      <c r="U381" s="669"/>
      <c r="V381" s="665"/>
      <c r="W381" s="670"/>
      <c r="X381" s="670"/>
      <c r="Y381" s="671"/>
      <c r="Z381" s="671"/>
      <c r="AA381" s="672"/>
      <c r="AB381" s="673"/>
      <c r="AC381" s="673"/>
      <c r="AD381" s="673"/>
      <c r="AE381" s="673"/>
      <c r="AF381" s="673"/>
      <c r="AG381" s="673"/>
      <c r="AH381" s="673"/>
      <c r="AI381" s="673"/>
      <c r="AJ381" s="673"/>
      <c r="AK381" s="673"/>
      <c r="AL381" s="673"/>
      <c r="AM381" s="673"/>
      <c r="AN381" s="673"/>
      <c r="AO381" s="673"/>
      <c r="AP381" s="673"/>
      <c r="AQ381" s="673"/>
      <c r="AR381" s="673"/>
      <c r="AS381" s="673"/>
    </row>
    <row r="382">
      <c r="A382" s="653"/>
      <c r="B382" s="654"/>
      <c r="C382" s="655"/>
      <c r="D382" s="656"/>
      <c r="E382" s="657"/>
      <c r="F382" s="658"/>
      <c r="G382" s="659"/>
      <c r="H382" s="660"/>
      <c r="I382" s="659"/>
      <c r="J382" s="661"/>
      <c r="K382" s="658"/>
      <c r="L382" s="662"/>
      <c r="M382" s="663"/>
      <c r="N382" s="664"/>
      <c r="O382" s="665"/>
      <c r="P382" s="666"/>
      <c r="Q382" s="667"/>
      <c r="R382" s="668"/>
      <c r="S382" s="665"/>
      <c r="T382" s="669"/>
      <c r="U382" s="669"/>
      <c r="V382" s="665"/>
      <c r="W382" s="670"/>
      <c r="X382" s="670"/>
      <c r="Y382" s="671"/>
      <c r="Z382" s="671"/>
      <c r="AA382" s="672"/>
      <c r="AB382" s="673"/>
      <c r="AC382" s="673"/>
      <c r="AD382" s="673"/>
      <c r="AE382" s="673"/>
      <c r="AF382" s="673"/>
      <c r="AG382" s="673"/>
      <c r="AH382" s="673"/>
      <c r="AI382" s="673"/>
      <c r="AJ382" s="673"/>
      <c r="AK382" s="673"/>
      <c r="AL382" s="673"/>
      <c r="AM382" s="673"/>
      <c r="AN382" s="673"/>
      <c r="AO382" s="673"/>
      <c r="AP382" s="673"/>
      <c r="AQ382" s="673"/>
      <c r="AR382" s="673"/>
      <c r="AS382" s="673"/>
    </row>
    <row r="383">
      <c r="A383" s="653"/>
      <c r="B383" s="654"/>
      <c r="C383" s="655"/>
      <c r="D383" s="656"/>
      <c r="E383" s="657"/>
      <c r="F383" s="658"/>
      <c r="G383" s="659"/>
      <c r="H383" s="660"/>
      <c r="I383" s="659"/>
      <c r="J383" s="661"/>
      <c r="K383" s="658"/>
      <c r="L383" s="662"/>
      <c r="M383" s="663"/>
      <c r="N383" s="664"/>
      <c r="O383" s="665"/>
      <c r="P383" s="666"/>
      <c r="Q383" s="667"/>
      <c r="R383" s="668"/>
      <c r="S383" s="665"/>
      <c r="T383" s="669"/>
      <c r="U383" s="669"/>
      <c r="V383" s="665"/>
      <c r="W383" s="670"/>
      <c r="X383" s="670"/>
      <c r="Y383" s="671"/>
      <c r="Z383" s="671"/>
      <c r="AA383" s="672"/>
      <c r="AB383" s="673"/>
      <c r="AC383" s="673"/>
      <c r="AD383" s="673"/>
      <c r="AE383" s="673"/>
      <c r="AF383" s="673"/>
      <c r="AG383" s="673"/>
      <c r="AH383" s="673"/>
      <c r="AI383" s="673"/>
      <c r="AJ383" s="673"/>
      <c r="AK383" s="673"/>
      <c r="AL383" s="673"/>
      <c r="AM383" s="673"/>
      <c r="AN383" s="673"/>
      <c r="AO383" s="673"/>
      <c r="AP383" s="673"/>
      <c r="AQ383" s="673"/>
      <c r="AR383" s="673"/>
      <c r="AS383" s="673"/>
    </row>
    <row r="384">
      <c r="A384" s="653"/>
      <c r="B384" s="654"/>
      <c r="C384" s="655"/>
      <c r="D384" s="656"/>
      <c r="E384" s="657"/>
      <c r="F384" s="658"/>
      <c r="G384" s="659"/>
      <c r="H384" s="660"/>
      <c r="I384" s="659"/>
      <c r="J384" s="661"/>
      <c r="K384" s="658"/>
      <c r="L384" s="662"/>
      <c r="M384" s="663"/>
      <c r="N384" s="664"/>
      <c r="O384" s="665"/>
      <c r="P384" s="666"/>
      <c r="Q384" s="667"/>
      <c r="R384" s="668"/>
      <c r="S384" s="665"/>
      <c r="T384" s="669"/>
      <c r="U384" s="669"/>
      <c r="V384" s="665"/>
      <c r="W384" s="670"/>
      <c r="X384" s="670"/>
      <c r="Y384" s="671"/>
      <c r="Z384" s="671"/>
      <c r="AA384" s="672"/>
      <c r="AB384" s="673"/>
      <c r="AC384" s="673"/>
      <c r="AD384" s="673"/>
      <c r="AE384" s="673"/>
      <c r="AF384" s="673"/>
      <c r="AG384" s="673"/>
      <c r="AH384" s="673"/>
      <c r="AI384" s="673"/>
      <c r="AJ384" s="673"/>
      <c r="AK384" s="673"/>
      <c r="AL384" s="673"/>
      <c r="AM384" s="673"/>
      <c r="AN384" s="673"/>
      <c r="AO384" s="673"/>
      <c r="AP384" s="673"/>
      <c r="AQ384" s="673"/>
      <c r="AR384" s="673"/>
      <c r="AS384" s="673"/>
    </row>
    <row r="385">
      <c r="A385" s="653"/>
      <c r="B385" s="654"/>
      <c r="C385" s="655"/>
      <c r="D385" s="656"/>
      <c r="E385" s="657"/>
      <c r="F385" s="658"/>
      <c r="G385" s="659"/>
      <c r="H385" s="660"/>
      <c r="I385" s="659"/>
      <c r="J385" s="661"/>
      <c r="K385" s="658"/>
      <c r="L385" s="662"/>
      <c r="M385" s="663"/>
      <c r="N385" s="664"/>
      <c r="O385" s="665"/>
      <c r="P385" s="666"/>
      <c r="Q385" s="667"/>
      <c r="R385" s="668"/>
      <c r="S385" s="665"/>
      <c r="T385" s="669"/>
      <c r="U385" s="669"/>
      <c r="V385" s="665"/>
      <c r="W385" s="670"/>
      <c r="X385" s="670"/>
      <c r="Y385" s="671"/>
      <c r="Z385" s="671"/>
      <c r="AA385" s="672"/>
      <c r="AB385" s="673"/>
      <c r="AC385" s="673"/>
      <c r="AD385" s="673"/>
      <c r="AE385" s="673"/>
      <c r="AF385" s="673"/>
      <c r="AG385" s="673"/>
      <c r="AH385" s="673"/>
      <c r="AI385" s="673"/>
      <c r="AJ385" s="673"/>
      <c r="AK385" s="673"/>
      <c r="AL385" s="673"/>
      <c r="AM385" s="673"/>
      <c r="AN385" s="673"/>
      <c r="AO385" s="673"/>
      <c r="AP385" s="673"/>
      <c r="AQ385" s="673"/>
      <c r="AR385" s="673"/>
      <c r="AS385" s="673"/>
    </row>
    <row r="386">
      <c r="A386" s="653"/>
      <c r="B386" s="654"/>
      <c r="C386" s="655"/>
      <c r="D386" s="656"/>
      <c r="E386" s="657"/>
      <c r="F386" s="658"/>
      <c r="G386" s="659"/>
      <c r="H386" s="660"/>
      <c r="I386" s="659"/>
      <c r="J386" s="661"/>
      <c r="K386" s="658"/>
      <c r="L386" s="662"/>
      <c r="M386" s="663"/>
      <c r="N386" s="664"/>
      <c r="O386" s="665"/>
      <c r="P386" s="666"/>
      <c r="Q386" s="667"/>
      <c r="R386" s="668"/>
      <c r="S386" s="665"/>
      <c r="T386" s="669"/>
      <c r="U386" s="669"/>
      <c r="V386" s="665"/>
      <c r="W386" s="670"/>
      <c r="X386" s="670"/>
      <c r="Y386" s="671"/>
      <c r="Z386" s="671"/>
      <c r="AA386" s="672"/>
      <c r="AB386" s="673"/>
      <c r="AC386" s="673"/>
      <c r="AD386" s="673"/>
      <c r="AE386" s="673"/>
      <c r="AF386" s="673"/>
      <c r="AG386" s="673"/>
      <c r="AH386" s="673"/>
      <c r="AI386" s="673"/>
      <c r="AJ386" s="673"/>
      <c r="AK386" s="673"/>
      <c r="AL386" s="673"/>
      <c r="AM386" s="673"/>
      <c r="AN386" s="673"/>
      <c r="AO386" s="673"/>
      <c r="AP386" s="673"/>
      <c r="AQ386" s="673"/>
      <c r="AR386" s="673"/>
      <c r="AS386" s="673"/>
    </row>
    <row r="387">
      <c r="A387" s="653"/>
      <c r="B387" s="654"/>
      <c r="C387" s="655"/>
      <c r="D387" s="656"/>
      <c r="E387" s="657"/>
      <c r="F387" s="658"/>
      <c r="G387" s="659"/>
      <c r="H387" s="660"/>
      <c r="I387" s="659"/>
      <c r="J387" s="661"/>
      <c r="K387" s="658"/>
      <c r="L387" s="662"/>
      <c r="M387" s="663"/>
      <c r="N387" s="664"/>
      <c r="O387" s="665"/>
      <c r="P387" s="666"/>
      <c r="Q387" s="667"/>
      <c r="R387" s="668"/>
      <c r="S387" s="665"/>
      <c r="T387" s="669"/>
      <c r="U387" s="669"/>
      <c r="V387" s="665"/>
      <c r="W387" s="670"/>
      <c r="X387" s="670"/>
      <c r="Y387" s="671"/>
      <c r="Z387" s="671"/>
      <c r="AA387" s="672"/>
      <c r="AB387" s="673"/>
      <c r="AC387" s="673"/>
      <c r="AD387" s="673"/>
      <c r="AE387" s="673"/>
      <c r="AF387" s="673"/>
      <c r="AG387" s="673"/>
      <c r="AH387" s="673"/>
      <c r="AI387" s="673"/>
      <c r="AJ387" s="673"/>
      <c r="AK387" s="673"/>
      <c r="AL387" s="673"/>
      <c r="AM387" s="673"/>
      <c r="AN387" s="673"/>
      <c r="AO387" s="673"/>
      <c r="AP387" s="673"/>
      <c r="AQ387" s="673"/>
      <c r="AR387" s="673"/>
      <c r="AS387" s="673"/>
    </row>
    <row r="388">
      <c r="A388" s="653"/>
      <c r="B388" s="654"/>
      <c r="C388" s="655"/>
      <c r="D388" s="656"/>
      <c r="E388" s="657"/>
      <c r="F388" s="658"/>
      <c r="G388" s="659"/>
      <c r="H388" s="660"/>
      <c r="I388" s="659"/>
      <c r="J388" s="661"/>
      <c r="K388" s="658"/>
      <c r="L388" s="662"/>
      <c r="M388" s="663"/>
      <c r="N388" s="664"/>
      <c r="O388" s="665"/>
      <c r="P388" s="666"/>
      <c r="Q388" s="667"/>
      <c r="R388" s="668"/>
      <c r="S388" s="665"/>
      <c r="T388" s="669"/>
      <c r="U388" s="669"/>
      <c r="V388" s="665"/>
      <c r="W388" s="670"/>
      <c r="X388" s="670"/>
      <c r="Y388" s="671"/>
      <c r="Z388" s="671"/>
      <c r="AA388" s="672"/>
      <c r="AB388" s="673"/>
      <c r="AC388" s="673"/>
      <c r="AD388" s="673"/>
      <c r="AE388" s="673"/>
      <c r="AF388" s="673"/>
      <c r="AG388" s="673"/>
      <c r="AH388" s="673"/>
      <c r="AI388" s="673"/>
      <c r="AJ388" s="673"/>
      <c r="AK388" s="673"/>
      <c r="AL388" s="673"/>
      <c r="AM388" s="673"/>
      <c r="AN388" s="673"/>
      <c r="AO388" s="673"/>
      <c r="AP388" s="673"/>
      <c r="AQ388" s="673"/>
      <c r="AR388" s="673"/>
      <c r="AS388" s="673"/>
    </row>
    <row r="389">
      <c r="A389" s="653"/>
      <c r="B389" s="654"/>
      <c r="C389" s="655"/>
      <c r="D389" s="656"/>
      <c r="E389" s="657"/>
      <c r="F389" s="658"/>
      <c r="G389" s="659"/>
      <c r="H389" s="660"/>
      <c r="I389" s="659"/>
      <c r="J389" s="661"/>
      <c r="K389" s="658"/>
      <c r="L389" s="662"/>
      <c r="M389" s="663"/>
      <c r="N389" s="664"/>
      <c r="O389" s="665"/>
      <c r="P389" s="666"/>
      <c r="Q389" s="667"/>
      <c r="R389" s="668"/>
      <c r="S389" s="665"/>
      <c r="T389" s="669"/>
      <c r="U389" s="669"/>
      <c r="V389" s="665"/>
      <c r="W389" s="670"/>
      <c r="X389" s="670"/>
      <c r="Y389" s="671"/>
      <c r="Z389" s="671"/>
      <c r="AA389" s="672"/>
      <c r="AB389" s="673"/>
      <c r="AC389" s="673"/>
      <c r="AD389" s="673"/>
      <c r="AE389" s="673"/>
      <c r="AF389" s="673"/>
      <c r="AG389" s="673"/>
      <c r="AH389" s="673"/>
      <c r="AI389" s="673"/>
      <c r="AJ389" s="673"/>
      <c r="AK389" s="673"/>
      <c r="AL389" s="673"/>
      <c r="AM389" s="673"/>
      <c r="AN389" s="673"/>
      <c r="AO389" s="673"/>
      <c r="AP389" s="673"/>
      <c r="AQ389" s="673"/>
      <c r="AR389" s="673"/>
      <c r="AS389" s="673"/>
    </row>
    <row r="390">
      <c r="A390" s="653"/>
      <c r="B390" s="654"/>
      <c r="C390" s="655"/>
      <c r="D390" s="656"/>
      <c r="E390" s="657"/>
      <c r="F390" s="658"/>
      <c r="G390" s="659"/>
      <c r="H390" s="660"/>
      <c r="I390" s="659"/>
      <c r="J390" s="661"/>
      <c r="K390" s="658"/>
      <c r="L390" s="662"/>
      <c r="M390" s="663"/>
      <c r="N390" s="664"/>
      <c r="O390" s="665"/>
      <c r="P390" s="666"/>
      <c r="Q390" s="667"/>
      <c r="R390" s="668"/>
      <c r="S390" s="665"/>
      <c r="T390" s="669"/>
      <c r="U390" s="669"/>
      <c r="V390" s="665"/>
      <c r="W390" s="670"/>
      <c r="X390" s="670"/>
      <c r="Y390" s="671"/>
      <c r="Z390" s="671"/>
      <c r="AA390" s="672"/>
      <c r="AB390" s="673"/>
      <c r="AC390" s="673"/>
      <c r="AD390" s="673"/>
      <c r="AE390" s="673"/>
      <c r="AF390" s="673"/>
      <c r="AG390" s="673"/>
      <c r="AH390" s="673"/>
      <c r="AI390" s="673"/>
      <c r="AJ390" s="673"/>
      <c r="AK390" s="673"/>
      <c r="AL390" s="673"/>
      <c r="AM390" s="673"/>
      <c r="AN390" s="673"/>
      <c r="AO390" s="673"/>
      <c r="AP390" s="673"/>
      <c r="AQ390" s="673"/>
      <c r="AR390" s="673"/>
      <c r="AS390" s="673"/>
    </row>
    <row r="391">
      <c r="A391" s="653"/>
      <c r="B391" s="654"/>
      <c r="C391" s="655"/>
      <c r="D391" s="656"/>
      <c r="E391" s="657"/>
      <c r="F391" s="658"/>
      <c r="G391" s="659"/>
      <c r="H391" s="660"/>
      <c r="I391" s="659"/>
      <c r="J391" s="661"/>
      <c r="K391" s="658"/>
      <c r="L391" s="662"/>
      <c r="M391" s="663"/>
      <c r="N391" s="664"/>
      <c r="O391" s="665"/>
      <c r="P391" s="666"/>
      <c r="Q391" s="667"/>
      <c r="R391" s="668"/>
      <c r="S391" s="665"/>
      <c r="T391" s="669"/>
      <c r="U391" s="669"/>
      <c r="V391" s="665"/>
      <c r="W391" s="670"/>
      <c r="X391" s="670"/>
      <c r="Y391" s="671"/>
      <c r="Z391" s="671"/>
      <c r="AA391" s="672"/>
      <c r="AB391" s="673"/>
      <c r="AC391" s="673"/>
      <c r="AD391" s="673"/>
      <c r="AE391" s="673"/>
      <c r="AF391" s="673"/>
      <c r="AG391" s="673"/>
      <c r="AH391" s="673"/>
      <c r="AI391" s="673"/>
      <c r="AJ391" s="673"/>
      <c r="AK391" s="673"/>
      <c r="AL391" s="673"/>
      <c r="AM391" s="673"/>
      <c r="AN391" s="673"/>
      <c r="AO391" s="673"/>
      <c r="AP391" s="673"/>
      <c r="AQ391" s="673"/>
      <c r="AR391" s="673"/>
      <c r="AS391" s="673"/>
    </row>
    <row r="392">
      <c r="A392" s="653"/>
      <c r="B392" s="654"/>
      <c r="C392" s="655"/>
      <c r="D392" s="656"/>
      <c r="E392" s="657"/>
      <c r="F392" s="658"/>
      <c r="G392" s="659"/>
      <c r="H392" s="660"/>
      <c r="I392" s="659"/>
      <c r="J392" s="661"/>
      <c r="K392" s="658"/>
      <c r="L392" s="662"/>
      <c r="M392" s="663"/>
      <c r="N392" s="664"/>
      <c r="O392" s="665"/>
      <c r="P392" s="666"/>
      <c r="Q392" s="667"/>
      <c r="R392" s="668"/>
      <c r="S392" s="665"/>
      <c r="T392" s="669"/>
      <c r="U392" s="669"/>
      <c r="V392" s="665"/>
      <c r="W392" s="670"/>
      <c r="X392" s="670"/>
      <c r="Y392" s="671"/>
      <c r="Z392" s="671"/>
      <c r="AA392" s="672"/>
      <c r="AB392" s="673"/>
      <c r="AC392" s="673"/>
      <c r="AD392" s="673"/>
      <c r="AE392" s="673"/>
      <c r="AF392" s="673"/>
      <c r="AG392" s="673"/>
      <c r="AH392" s="673"/>
      <c r="AI392" s="673"/>
      <c r="AJ392" s="673"/>
      <c r="AK392" s="673"/>
      <c r="AL392" s="673"/>
      <c r="AM392" s="673"/>
      <c r="AN392" s="673"/>
      <c r="AO392" s="673"/>
      <c r="AP392" s="673"/>
      <c r="AQ392" s="673"/>
      <c r="AR392" s="673"/>
      <c r="AS392" s="673"/>
    </row>
    <row r="393">
      <c r="A393" s="653"/>
      <c r="B393" s="654"/>
      <c r="C393" s="655"/>
      <c r="D393" s="656"/>
      <c r="E393" s="657"/>
      <c r="F393" s="658"/>
      <c r="G393" s="659"/>
      <c r="H393" s="660"/>
      <c r="I393" s="659"/>
      <c r="J393" s="661"/>
      <c r="K393" s="658"/>
      <c r="L393" s="662"/>
      <c r="M393" s="663"/>
      <c r="N393" s="664"/>
      <c r="O393" s="665"/>
      <c r="P393" s="666"/>
      <c r="Q393" s="667"/>
      <c r="R393" s="668"/>
      <c r="S393" s="665"/>
      <c r="T393" s="669"/>
      <c r="U393" s="669"/>
      <c r="V393" s="665"/>
      <c r="W393" s="670"/>
      <c r="X393" s="670"/>
      <c r="Y393" s="671"/>
      <c r="Z393" s="671"/>
      <c r="AA393" s="672"/>
      <c r="AB393" s="673"/>
      <c r="AC393" s="673"/>
      <c r="AD393" s="673"/>
      <c r="AE393" s="673"/>
      <c r="AF393" s="673"/>
      <c r="AG393" s="673"/>
      <c r="AH393" s="673"/>
      <c r="AI393" s="673"/>
      <c r="AJ393" s="673"/>
      <c r="AK393" s="673"/>
      <c r="AL393" s="673"/>
      <c r="AM393" s="673"/>
      <c r="AN393" s="673"/>
      <c r="AO393" s="673"/>
      <c r="AP393" s="673"/>
      <c r="AQ393" s="673"/>
      <c r="AR393" s="673"/>
      <c r="AS393" s="673"/>
    </row>
    <row r="394">
      <c r="A394" s="653"/>
      <c r="B394" s="654"/>
      <c r="C394" s="655"/>
      <c r="D394" s="656"/>
      <c r="E394" s="657"/>
      <c r="F394" s="658"/>
      <c r="G394" s="659"/>
      <c r="H394" s="660"/>
      <c r="I394" s="659"/>
      <c r="J394" s="661"/>
      <c r="K394" s="658"/>
      <c r="L394" s="662"/>
      <c r="M394" s="663"/>
      <c r="N394" s="664"/>
      <c r="O394" s="665"/>
      <c r="P394" s="666"/>
      <c r="Q394" s="667"/>
      <c r="R394" s="668"/>
      <c r="S394" s="665"/>
      <c r="T394" s="669"/>
      <c r="U394" s="669"/>
      <c r="V394" s="665"/>
      <c r="W394" s="670"/>
      <c r="X394" s="670"/>
      <c r="Y394" s="671"/>
      <c r="Z394" s="671"/>
      <c r="AA394" s="672"/>
      <c r="AB394" s="673"/>
      <c r="AC394" s="673"/>
      <c r="AD394" s="673"/>
      <c r="AE394" s="673"/>
      <c r="AF394" s="673"/>
      <c r="AG394" s="673"/>
      <c r="AH394" s="673"/>
      <c r="AI394" s="673"/>
      <c r="AJ394" s="673"/>
      <c r="AK394" s="673"/>
      <c r="AL394" s="673"/>
      <c r="AM394" s="673"/>
      <c r="AN394" s="673"/>
      <c r="AO394" s="673"/>
      <c r="AP394" s="673"/>
      <c r="AQ394" s="673"/>
      <c r="AR394" s="673"/>
      <c r="AS394" s="673"/>
    </row>
    <row r="395">
      <c r="A395" s="653"/>
      <c r="B395" s="654"/>
      <c r="C395" s="655"/>
      <c r="D395" s="656"/>
      <c r="E395" s="657"/>
      <c r="F395" s="658"/>
      <c r="G395" s="659"/>
      <c r="H395" s="660"/>
      <c r="I395" s="659"/>
      <c r="J395" s="661"/>
      <c r="K395" s="658"/>
      <c r="L395" s="662"/>
      <c r="M395" s="663"/>
      <c r="N395" s="664"/>
      <c r="O395" s="665"/>
      <c r="P395" s="666"/>
      <c r="Q395" s="667"/>
      <c r="R395" s="668"/>
      <c r="S395" s="665"/>
      <c r="T395" s="669"/>
      <c r="U395" s="669"/>
      <c r="V395" s="665"/>
      <c r="W395" s="670"/>
      <c r="X395" s="670"/>
      <c r="Y395" s="671"/>
      <c r="Z395" s="671"/>
      <c r="AA395" s="672"/>
      <c r="AB395" s="673"/>
      <c r="AC395" s="673"/>
      <c r="AD395" s="673"/>
      <c r="AE395" s="673"/>
      <c r="AF395" s="673"/>
      <c r="AG395" s="673"/>
      <c r="AH395" s="673"/>
      <c r="AI395" s="673"/>
      <c r="AJ395" s="673"/>
      <c r="AK395" s="673"/>
      <c r="AL395" s="673"/>
      <c r="AM395" s="673"/>
      <c r="AN395" s="673"/>
      <c r="AO395" s="673"/>
      <c r="AP395" s="673"/>
      <c r="AQ395" s="673"/>
      <c r="AR395" s="673"/>
      <c r="AS395" s="673"/>
    </row>
    <row r="396">
      <c r="A396" s="653"/>
      <c r="B396" s="654"/>
      <c r="C396" s="655"/>
      <c r="D396" s="656"/>
      <c r="E396" s="657"/>
      <c r="F396" s="658"/>
      <c r="G396" s="659"/>
      <c r="H396" s="660"/>
      <c r="I396" s="659"/>
      <c r="J396" s="661"/>
      <c r="K396" s="658"/>
      <c r="L396" s="662"/>
      <c r="M396" s="663"/>
      <c r="N396" s="664"/>
      <c r="O396" s="665"/>
      <c r="P396" s="666"/>
      <c r="Q396" s="667"/>
      <c r="R396" s="668"/>
      <c r="S396" s="665"/>
      <c r="T396" s="669"/>
      <c r="U396" s="669"/>
      <c r="V396" s="665"/>
      <c r="W396" s="670"/>
      <c r="X396" s="670"/>
      <c r="Y396" s="671"/>
      <c r="Z396" s="671"/>
      <c r="AA396" s="672"/>
      <c r="AB396" s="673"/>
      <c r="AC396" s="673"/>
      <c r="AD396" s="673"/>
      <c r="AE396" s="673"/>
      <c r="AF396" s="673"/>
      <c r="AG396" s="673"/>
      <c r="AH396" s="673"/>
      <c r="AI396" s="673"/>
      <c r="AJ396" s="673"/>
      <c r="AK396" s="673"/>
      <c r="AL396" s="673"/>
      <c r="AM396" s="673"/>
      <c r="AN396" s="673"/>
      <c r="AO396" s="673"/>
      <c r="AP396" s="673"/>
      <c r="AQ396" s="673"/>
      <c r="AR396" s="673"/>
      <c r="AS396" s="673"/>
    </row>
    <row r="397">
      <c r="A397" s="653"/>
      <c r="B397" s="654"/>
      <c r="C397" s="655"/>
      <c r="D397" s="656"/>
      <c r="E397" s="657"/>
      <c r="F397" s="658"/>
      <c r="G397" s="659"/>
      <c r="H397" s="660"/>
      <c r="I397" s="659"/>
      <c r="J397" s="661"/>
      <c r="K397" s="658"/>
      <c r="L397" s="662"/>
      <c r="M397" s="663"/>
      <c r="N397" s="664"/>
      <c r="O397" s="665"/>
      <c r="P397" s="666"/>
      <c r="Q397" s="667"/>
      <c r="R397" s="668"/>
      <c r="S397" s="665"/>
      <c r="T397" s="669"/>
      <c r="U397" s="669"/>
      <c r="V397" s="665"/>
      <c r="W397" s="670"/>
      <c r="X397" s="670"/>
      <c r="Y397" s="671"/>
      <c r="Z397" s="671"/>
      <c r="AA397" s="672"/>
      <c r="AB397" s="673"/>
      <c r="AC397" s="673"/>
      <c r="AD397" s="673"/>
      <c r="AE397" s="673"/>
      <c r="AF397" s="673"/>
      <c r="AG397" s="673"/>
      <c r="AH397" s="673"/>
      <c r="AI397" s="673"/>
      <c r="AJ397" s="673"/>
      <c r="AK397" s="673"/>
      <c r="AL397" s="673"/>
      <c r="AM397" s="673"/>
      <c r="AN397" s="673"/>
      <c r="AO397" s="673"/>
      <c r="AP397" s="673"/>
      <c r="AQ397" s="673"/>
      <c r="AR397" s="673"/>
      <c r="AS397" s="673"/>
    </row>
    <row r="398">
      <c r="A398" s="653"/>
      <c r="B398" s="654"/>
      <c r="C398" s="655"/>
      <c r="D398" s="656"/>
      <c r="E398" s="657"/>
      <c r="F398" s="658"/>
      <c r="G398" s="659"/>
      <c r="H398" s="660"/>
      <c r="I398" s="659"/>
      <c r="J398" s="661"/>
      <c r="K398" s="658"/>
      <c r="L398" s="662"/>
      <c r="M398" s="663"/>
      <c r="N398" s="664"/>
      <c r="O398" s="665"/>
      <c r="P398" s="666"/>
      <c r="Q398" s="667"/>
      <c r="R398" s="668"/>
      <c r="S398" s="665"/>
      <c r="T398" s="669"/>
      <c r="U398" s="669"/>
      <c r="V398" s="665"/>
      <c r="W398" s="670"/>
      <c r="X398" s="670"/>
      <c r="Y398" s="671"/>
      <c r="Z398" s="671"/>
      <c r="AA398" s="672"/>
      <c r="AB398" s="673"/>
      <c r="AC398" s="673"/>
      <c r="AD398" s="673"/>
      <c r="AE398" s="673"/>
      <c r="AF398" s="673"/>
      <c r="AG398" s="673"/>
      <c r="AH398" s="673"/>
      <c r="AI398" s="673"/>
      <c r="AJ398" s="673"/>
      <c r="AK398" s="673"/>
      <c r="AL398" s="673"/>
      <c r="AM398" s="673"/>
      <c r="AN398" s="673"/>
      <c r="AO398" s="673"/>
      <c r="AP398" s="673"/>
      <c r="AQ398" s="673"/>
      <c r="AR398" s="673"/>
      <c r="AS398" s="673"/>
    </row>
    <row r="399">
      <c r="A399" s="653"/>
      <c r="B399" s="654"/>
      <c r="C399" s="655"/>
      <c r="D399" s="656"/>
      <c r="E399" s="657"/>
      <c r="F399" s="658"/>
      <c r="G399" s="659"/>
      <c r="H399" s="660"/>
      <c r="I399" s="659"/>
      <c r="J399" s="661"/>
      <c r="K399" s="658"/>
      <c r="L399" s="662"/>
      <c r="M399" s="663"/>
      <c r="N399" s="664"/>
      <c r="O399" s="665"/>
      <c r="P399" s="666"/>
      <c r="Q399" s="667"/>
      <c r="R399" s="668"/>
      <c r="S399" s="665"/>
      <c r="T399" s="669"/>
      <c r="U399" s="669"/>
      <c r="V399" s="665"/>
      <c r="W399" s="670"/>
      <c r="X399" s="670"/>
      <c r="Y399" s="671"/>
      <c r="Z399" s="671"/>
      <c r="AA399" s="672"/>
      <c r="AB399" s="673"/>
      <c r="AC399" s="673"/>
      <c r="AD399" s="673"/>
      <c r="AE399" s="673"/>
      <c r="AF399" s="673"/>
      <c r="AG399" s="673"/>
      <c r="AH399" s="673"/>
      <c r="AI399" s="673"/>
      <c r="AJ399" s="673"/>
      <c r="AK399" s="673"/>
      <c r="AL399" s="673"/>
      <c r="AM399" s="673"/>
      <c r="AN399" s="673"/>
      <c r="AO399" s="673"/>
      <c r="AP399" s="673"/>
      <c r="AQ399" s="673"/>
      <c r="AR399" s="673"/>
      <c r="AS399" s="673"/>
    </row>
    <row r="400">
      <c r="A400" s="653"/>
      <c r="B400" s="654"/>
      <c r="C400" s="655"/>
      <c r="D400" s="656"/>
      <c r="E400" s="657"/>
      <c r="F400" s="658"/>
      <c r="G400" s="659"/>
      <c r="H400" s="660"/>
      <c r="I400" s="659"/>
      <c r="J400" s="661"/>
      <c r="K400" s="658"/>
      <c r="L400" s="662"/>
      <c r="M400" s="663"/>
      <c r="N400" s="664"/>
      <c r="O400" s="665"/>
      <c r="P400" s="666"/>
      <c r="Q400" s="667"/>
      <c r="R400" s="668"/>
      <c r="S400" s="665"/>
      <c r="T400" s="669"/>
      <c r="U400" s="669"/>
      <c r="V400" s="665"/>
      <c r="W400" s="670"/>
      <c r="X400" s="670"/>
      <c r="Y400" s="671"/>
      <c r="Z400" s="671"/>
      <c r="AA400" s="672"/>
      <c r="AB400" s="673"/>
      <c r="AC400" s="673"/>
      <c r="AD400" s="673"/>
      <c r="AE400" s="673"/>
      <c r="AF400" s="673"/>
      <c r="AG400" s="673"/>
      <c r="AH400" s="673"/>
      <c r="AI400" s="673"/>
      <c r="AJ400" s="673"/>
      <c r="AK400" s="673"/>
      <c r="AL400" s="673"/>
      <c r="AM400" s="673"/>
      <c r="AN400" s="673"/>
      <c r="AO400" s="673"/>
      <c r="AP400" s="673"/>
      <c r="AQ400" s="673"/>
      <c r="AR400" s="673"/>
      <c r="AS400" s="673"/>
    </row>
    <row r="401">
      <c r="A401" s="653"/>
      <c r="B401" s="654"/>
      <c r="C401" s="655"/>
      <c r="D401" s="656"/>
      <c r="E401" s="657"/>
      <c r="F401" s="658"/>
      <c r="G401" s="659"/>
      <c r="H401" s="660"/>
      <c r="I401" s="659"/>
      <c r="J401" s="661"/>
      <c r="K401" s="658"/>
      <c r="L401" s="662"/>
      <c r="M401" s="663"/>
      <c r="N401" s="664"/>
      <c r="O401" s="665"/>
      <c r="P401" s="666"/>
      <c r="Q401" s="667"/>
      <c r="R401" s="668"/>
      <c r="S401" s="665"/>
      <c r="T401" s="669"/>
      <c r="U401" s="669"/>
      <c r="V401" s="665"/>
      <c r="W401" s="670"/>
      <c r="X401" s="670"/>
      <c r="Y401" s="671"/>
      <c r="Z401" s="671"/>
      <c r="AA401" s="672"/>
      <c r="AB401" s="673"/>
      <c r="AC401" s="673"/>
      <c r="AD401" s="673"/>
      <c r="AE401" s="673"/>
      <c r="AF401" s="673"/>
      <c r="AG401" s="673"/>
      <c r="AH401" s="673"/>
      <c r="AI401" s="673"/>
      <c r="AJ401" s="673"/>
      <c r="AK401" s="673"/>
      <c r="AL401" s="673"/>
      <c r="AM401" s="673"/>
      <c r="AN401" s="673"/>
      <c r="AO401" s="673"/>
      <c r="AP401" s="673"/>
      <c r="AQ401" s="673"/>
      <c r="AR401" s="673"/>
      <c r="AS401" s="673"/>
    </row>
    <row r="402">
      <c r="A402" s="653"/>
      <c r="B402" s="654"/>
      <c r="C402" s="655"/>
      <c r="D402" s="656"/>
      <c r="E402" s="657"/>
      <c r="F402" s="658"/>
      <c r="G402" s="659"/>
      <c r="H402" s="660"/>
      <c r="I402" s="659"/>
      <c r="J402" s="661"/>
      <c r="K402" s="658"/>
      <c r="L402" s="662"/>
      <c r="M402" s="663"/>
      <c r="N402" s="664"/>
      <c r="O402" s="665"/>
      <c r="P402" s="666"/>
      <c r="Q402" s="667"/>
      <c r="R402" s="668"/>
      <c r="S402" s="665"/>
      <c r="T402" s="669"/>
      <c r="U402" s="669"/>
      <c r="V402" s="665"/>
      <c r="W402" s="670"/>
      <c r="X402" s="670"/>
      <c r="Y402" s="671"/>
      <c r="Z402" s="671"/>
      <c r="AA402" s="672"/>
      <c r="AB402" s="673"/>
      <c r="AC402" s="673"/>
      <c r="AD402" s="673"/>
      <c r="AE402" s="673"/>
      <c r="AF402" s="673"/>
      <c r="AG402" s="673"/>
      <c r="AH402" s="673"/>
      <c r="AI402" s="673"/>
      <c r="AJ402" s="673"/>
      <c r="AK402" s="673"/>
      <c r="AL402" s="673"/>
      <c r="AM402" s="673"/>
      <c r="AN402" s="673"/>
      <c r="AO402" s="673"/>
      <c r="AP402" s="673"/>
      <c r="AQ402" s="673"/>
      <c r="AR402" s="673"/>
      <c r="AS402" s="673"/>
    </row>
    <row r="403">
      <c r="A403" s="653"/>
      <c r="B403" s="654"/>
      <c r="C403" s="655"/>
      <c r="D403" s="656"/>
      <c r="E403" s="657"/>
      <c r="F403" s="658"/>
      <c r="G403" s="659"/>
      <c r="H403" s="660"/>
      <c r="I403" s="659"/>
      <c r="J403" s="661"/>
      <c r="K403" s="658"/>
      <c r="L403" s="662"/>
      <c r="M403" s="663"/>
      <c r="N403" s="664"/>
      <c r="O403" s="665"/>
      <c r="P403" s="666"/>
      <c r="Q403" s="667"/>
      <c r="R403" s="668"/>
      <c r="S403" s="665"/>
      <c r="T403" s="669"/>
      <c r="U403" s="669"/>
      <c r="V403" s="665"/>
      <c r="W403" s="670"/>
      <c r="X403" s="670"/>
      <c r="Y403" s="671"/>
      <c r="Z403" s="671"/>
      <c r="AA403" s="672"/>
      <c r="AB403" s="673"/>
      <c r="AC403" s="673"/>
      <c r="AD403" s="673"/>
      <c r="AE403" s="673"/>
      <c r="AF403" s="673"/>
      <c r="AG403" s="673"/>
      <c r="AH403" s="673"/>
      <c r="AI403" s="673"/>
      <c r="AJ403" s="673"/>
      <c r="AK403" s="673"/>
      <c r="AL403" s="673"/>
      <c r="AM403" s="673"/>
      <c r="AN403" s="673"/>
      <c r="AO403" s="673"/>
      <c r="AP403" s="673"/>
      <c r="AQ403" s="673"/>
      <c r="AR403" s="673"/>
      <c r="AS403" s="673"/>
    </row>
    <row r="404">
      <c r="A404" s="653"/>
      <c r="B404" s="654"/>
      <c r="C404" s="655"/>
      <c r="D404" s="656"/>
      <c r="E404" s="657"/>
      <c r="F404" s="658"/>
      <c r="G404" s="659"/>
      <c r="H404" s="660"/>
      <c r="I404" s="659"/>
      <c r="J404" s="661"/>
      <c r="K404" s="658"/>
      <c r="L404" s="662"/>
      <c r="M404" s="663"/>
      <c r="N404" s="664"/>
      <c r="O404" s="665"/>
      <c r="P404" s="666"/>
      <c r="Q404" s="667"/>
      <c r="R404" s="668"/>
      <c r="S404" s="665"/>
      <c r="T404" s="669"/>
      <c r="U404" s="669"/>
      <c r="V404" s="665"/>
      <c r="W404" s="670"/>
      <c r="X404" s="670"/>
      <c r="Y404" s="671"/>
      <c r="Z404" s="671"/>
      <c r="AA404" s="672"/>
      <c r="AB404" s="673"/>
      <c r="AC404" s="673"/>
      <c r="AD404" s="673"/>
      <c r="AE404" s="673"/>
      <c r="AF404" s="673"/>
      <c r="AG404" s="673"/>
      <c r="AH404" s="673"/>
      <c r="AI404" s="673"/>
      <c r="AJ404" s="673"/>
      <c r="AK404" s="673"/>
      <c r="AL404" s="673"/>
      <c r="AM404" s="673"/>
      <c r="AN404" s="673"/>
      <c r="AO404" s="673"/>
      <c r="AP404" s="673"/>
      <c r="AQ404" s="673"/>
      <c r="AR404" s="673"/>
      <c r="AS404" s="673"/>
    </row>
    <row r="405">
      <c r="A405" s="653"/>
      <c r="B405" s="654"/>
      <c r="C405" s="655"/>
      <c r="D405" s="656"/>
      <c r="E405" s="657"/>
      <c r="F405" s="658"/>
      <c r="G405" s="659"/>
      <c r="H405" s="660"/>
      <c r="I405" s="659"/>
      <c r="J405" s="661"/>
      <c r="K405" s="658"/>
      <c r="L405" s="662"/>
      <c r="M405" s="663"/>
      <c r="N405" s="664"/>
      <c r="O405" s="665"/>
      <c r="P405" s="666"/>
      <c r="Q405" s="667"/>
      <c r="R405" s="668"/>
      <c r="S405" s="665"/>
      <c r="T405" s="669"/>
      <c r="U405" s="669"/>
      <c r="V405" s="665"/>
      <c r="W405" s="670"/>
      <c r="X405" s="670"/>
      <c r="Y405" s="671"/>
      <c r="Z405" s="671"/>
      <c r="AA405" s="672"/>
      <c r="AB405" s="673"/>
      <c r="AC405" s="673"/>
      <c r="AD405" s="673"/>
      <c r="AE405" s="673"/>
      <c r="AF405" s="673"/>
      <c r="AG405" s="673"/>
      <c r="AH405" s="673"/>
      <c r="AI405" s="673"/>
      <c r="AJ405" s="673"/>
      <c r="AK405" s="673"/>
      <c r="AL405" s="673"/>
      <c r="AM405" s="673"/>
      <c r="AN405" s="673"/>
      <c r="AO405" s="673"/>
      <c r="AP405" s="673"/>
      <c r="AQ405" s="673"/>
      <c r="AR405" s="673"/>
      <c r="AS405" s="673"/>
    </row>
    <row r="406">
      <c r="A406" s="653"/>
      <c r="B406" s="654"/>
      <c r="C406" s="655"/>
      <c r="D406" s="656"/>
      <c r="E406" s="657"/>
      <c r="F406" s="658"/>
      <c r="G406" s="659"/>
      <c r="H406" s="660"/>
      <c r="I406" s="659"/>
      <c r="J406" s="661"/>
      <c r="K406" s="658"/>
      <c r="L406" s="662"/>
      <c r="M406" s="663"/>
      <c r="N406" s="664"/>
      <c r="O406" s="665"/>
      <c r="P406" s="666"/>
      <c r="Q406" s="667"/>
      <c r="R406" s="668"/>
      <c r="S406" s="665"/>
      <c r="T406" s="669"/>
      <c r="U406" s="669"/>
      <c r="V406" s="665"/>
      <c r="W406" s="670"/>
      <c r="X406" s="670"/>
      <c r="Y406" s="671"/>
      <c r="Z406" s="671"/>
      <c r="AA406" s="672"/>
      <c r="AB406" s="673"/>
      <c r="AC406" s="673"/>
      <c r="AD406" s="673"/>
      <c r="AE406" s="673"/>
      <c r="AF406" s="673"/>
      <c r="AG406" s="673"/>
      <c r="AH406" s="673"/>
      <c r="AI406" s="673"/>
      <c r="AJ406" s="673"/>
      <c r="AK406" s="673"/>
      <c r="AL406" s="673"/>
      <c r="AM406" s="673"/>
      <c r="AN406" s="673"/>
      <c r="AO406" s="673"/>
      <c r="AP406" s="673"/>
      <c r="AQ406" s="673"/>
      <c r="AR406" s="673"/>
      <c r="AS406" s="673"/>
    </row>
    <row r="407">
      <c r="A407" s="653"/>
      <c r="B407" s="654"/>
      <c r="C407" s="655"/>
      <c r="D407" s="656"/>
      <c r="E407" s="657"/>
      <c r="F407" s="658"/>
      <c r="G407" s="659"/>
      <c r="H407" s="660"/>
      <c r="I407" s="659"/>
      <c r="J407" s="661"/>
      <c r="K407" s="658"/>
      <c r="L407" s="662"/>
      <c r="M407" s="663"/>
      <c r="N407" s="664"/>
      <c r="O407" s="665"/>
      <c r="P407" s="666"/>
      <c r="Q407" s="667"/>
      <c r="R407" s="668"/>
      <c r="S407" s="665"/>
      <c r="T407" s="669"/>
      <c r="U407" s="669"/>
      <c r="V407" s="665"/>
      <c r="W407" s="670"/>
      <c r="X407" s="670"/>
      <c r="Y407" s="671"/>
      <c r="Z407" s="671"/>
      <c r="AA407" s="672"/>
      <c r="AB407" s="673"/>
      <c r="AC407" s="673"/>
      <c r="AD407" s="673"/>
      <c r="AE407" s="673"/>
      <c r="AF407" s="673"/>
      <c r="AG407" s="673"/>
      <c r="AH407" s="673"/>
      <c r="AI407" s="673"/>
      <c r="AJ407" s="673"/>
      <c r="AK407" s="673"/>
      <c r="AL407" s="673"/>
      <c r="AM407" s="673"/>
      <c r="AN407" s="673"/>
      <c r="AO407" s="673"/>
      <c r="AP407" s="673"/>
      <c r="AQ407" s="673"/>
      <c r="AR407" s="673"/>
      <c r="AS407" s="673"/>
    </row>
    <row r="408">
      <c r="A408" s="653"/>
      <c r="B408" s="654"/>
      <c r="C408" s="655"/>
      <c r="D408" s="656"/>
      <c r="E408" s="657"/>
      <c r="F408" s="658"/>
      <c r="G408" s="659"/>
      <c r="H408" s="660"/>
      <c r="I408" s="659"/>
      <c r="J408" s="661"/>
      <c r="K408" s="658"/>
      <c r="L408" s="662"/>
      <c r="M408" s="663"/>
      <c r="N408" s="664"/>
      <c r="O408" s="665"/>
      <c r="P408" s="666"/>
      <c r="Q408" s="667"/>
      <c r="R408" s="668"/>
      <c r="S408" s="665"/>
      <c r="T408" s="669"/>
      <c r="U408" s="669"/>
      <c r="V408" s="665"/>
      <c r="W408" s="670"/>
      <c r="X408" s="670"/>
      <c r="Y408" s="671"/>
      <c r="Z408" s="671"/>
      <c r="AA408" s="672"/>
      <c r="AB408" s="673"/>
      <c r="AC408" s="673"/>
      <c r="AD408" s="673"/>
      <c r="AE408" s="673"/>
      <c r="AF408" s="673"/>
      <c r="AG408" s="673"/>
      <c r="AH408" s="673"/>
      <c r="AI408" s="673"/>
      <c r="AJ408" s="673"/>
      <c r="AK408" s="673"/>
      <c r="AL408" s="673"/>
      <c r="AM408" s="673"/>
      <c r="AN408" s="673"/>
      <c r="AO408" s="673"/>
      <c r="AP408" s="673"/>
      <c r="AQ408" s="673"/>
      <c r="AR408" s="673"/>
      <c r="AS408" s="673"/>
    </row>
    <row r="409">
      <c r="A409" s="653"/>
      <c r="B409" s="654"/>
      <c r="C409" s="655"/>
      <c r="D409" s="656"/>
      <c r="E409" s="657"/>
      <c r="F409" s="658"/>
      <c r="G409" s="659"/>
      <c r="H409" s="660"/>
      <c r="I409" s="659"/>
      <c r="J409" s="661"/>
      <c r="K409" s="658"/>
      <c r="L409" s="662"/>
      <c r="M409" s="663"/>
      <c r="N409" s="664"/>
      <c r="O409" s="665"/>
      <c r="P409" s="666"/>
      <c r="Q409" s="667"/>
      <c r="R409" s="668"/>
      <c r="S409" s="665"/>
      <c r="T409" s="669"/>
      <c r="U409" s="669"/>
      <c r="V409" s="665"/>
      <c r="W409" s="670"/>
      <c r="X409" s="670"/>
      <c r="Y409" s="671"/>
      <c r="Z409" s="671"/>
      <c r="AA409" s="672"/>
      <c r="AB409" s="673"/>
      <c r="AC409" s="673"/>
      <c r="AD409" s="673"/>
      <c r="AE409" s="673"/>
      <c r="AF409" s="673"/>
      <c r="AG409" s="673"/>
      <c r="AH409" s="673"/>
      <c r="AI409" s="673"/>
      <c r="AJ409" s="673"/>
      <c r="AK409" s="673"/>
      <c r="AL409" s="673"/>
      <c r="AM409" s="673"/>
      <c r="AN409" s="673"/>
      <c r="AO409" s="673"/>
      <c r="AP409" s="673"/>
      <c r="AQ409" s="673"/>
      <c r="AR409" s="673"/>
      <c r="AS409" s="673"/>
    </row>
    <row r="410">
      <c r="A410" s="653"/>
      <c r="B410" s="654"/>
      <c r="C410" s="655"/>
      <c r="D410" s="656"/>
      <c r="E410" s="657"/>
      <c r="F410" s="658"/>
      <c r="G410" s="659"/>
      <c r="H410" s="660"/>
      <c r="I410" s="659"/>
      <c r="J410" s="661"/>
      <c r="K410" s="658"/>
      <c r="L410" s="662"/>
      <c r="M410" s="663"/>
      <c r="N410" s="664"/>
      <c r="O410" s="665"/>
      <c r="P410" s="666"/>
      <c r="Q410" s="667"/>
      <c r="R410" s="668"/>
      <c r="S410" s="665"/>
      <c r="T410" s="669"/>
      <c r="U410" s="669"/>
      <c r="V410" s="665"/>
      <c r="W410" s="670"/>
      <c r="X410" s="670"/>
      <c r="Y410" s="671"/>
      <c r="Z410" s="671"/>
      <c r="AA410" s="672"/>
      <c r="AB410" s="673"/>
      <c r="AC410" s="673"/>
      <c r="AD410" s="673"/>
      <c r="AE410" s="673"/>
      <c r="AF410" s="673"/>
      <c r="AG410" s="673"/>
      <c r="AH410" s="673"/>
      <c r="AI410" s="673"/>
      <c r="AJ410" s="673"/>
      <c r="AK410" s="673"/>
      <c r="AL410" s="673"/>
      <c r="AM410" s="673"/>
      <c r="AN410" s="673"/>
      <c r="AO410" s="673"/>
      <c r="AP410" s="673"/>
      <c r="AQ410" s="673"/>
      <c r="AR410" s="673"/>
      <c r="AS410" s="673"/>
    </row>
    <row r="411">
      <c r="A411" s="653"/>
      <c r="B411" s="654"/>
      <c r="C411" s="655"/>
      <c r="D411" s="656"/>
      <c r="E411" s="657"/>
      <c r="F411" s="658"/>
      <c r="G411" s="659"/>
      <c r="H411" s="660"/>
      <c r="I411" s="659"/>
      <c r="J411" s="661"/>
      <c r="K411" s="658"/>
      <c r="L411" s="662"/>
      <c r="M411" s="663"/>
      <c r="N411" s="664"/>
      <c r="O411" s="665"/>
      <c r="P411" s="666"/>
      <c r="Q411" s="667"/>
      <c r="R411" s="668"/>
      <c r="S411" s="665"/>
      <c r="T411" s="669"/>
      <c r="U411" s="669"/>
      <c r="V411" s="665"/>
      <c r="W411" s="670"/>
      <c r="X411" s="670"/>
      <c r="Y411" s="671"/>
      <c r="Z411" s="671"/>
      <c r="AA411" s="672"/>
      <c r="AB411" s="673"/>
      <c r="AC411" s="673"/>
      <c r="AD411" s="673"/>
      <c r="AE411" s="673"/>
      <c r="AF411" s="673"/>
      <c r="AG411" s="673"/>
      <c r="AH411" s="673"/>
      <c r="AI411" s="673"/>
      <c r="AJ411" s="673"/>
      <c r="AK411" s="673"/>
      <c r="AL411" s="673"/>
      <c r="AM411" s="673"/>
      <c r="AN411" s="673"/>
      <c r="AO411" s="673"/>
      <c r="AP411" s="673"/>
      <c r="AQ411" s="673"/>
      <c r="AR411" s="673"/>
      <c r="AS411" s="673"/>
    </row>
    <row r="412">
      <c r="A412" s="653"/>
      <c r="B412" s="654"/>
      <c r="C412" s="655"/>
      <c r="D412" s="656"/>
      <c r="E412" s="657"/>
      <c r="F412" s="658"/>
      <c r="G412" s="659"/>
      <c r="H412" s="660"/>
      <c r="I412" s="659"/>
      <c r="J412" s="661"/>
      <c r="K412" s="658"/>
      <c r="L412" s="662"/>
      <c r="M412" s="663"/>
      <c r="N412" s="664"/>
      <c r="O412" s="665"/>
      <c r="P412" s="666"/>
      <c r="Q412" s="667"/>
      <c r="R412" s="668"/>
      <c r="S412" s="665"/>
      <c r="T412" s="669"/>
      <c r="U412" s="669"/>
      <c r="V412" s="665"/>
      <c r="W412" s="670"/>
      <c r="X412" s="670"/>
      <c r="Y412" s="671"/>
      <c r="Z412" s="671"/>
      <c r="AA412" s="672"/>
      <c r="AB412" s="673"/>
      <c r="AC412" s="673"/>
      <c r="AD412" s="673"/>
      <c r="AE412" s="673"/>
      <c r="AF412" s="673"/>
      <c r="AG412" s="673"/>
      <c r="AH412" s="673"/>
      <c r="AI412" s="673"/>
      <c r="AJ412" s="673"/>
      <c r="AK412" s="673"/>
      <c r="AL412" s="673"/>
      <c r="AM412" s="673"/>
      <c r="AN412" s="673"/>
      <c r="AO412" s="673"/>
      <c r="AP412" s="673"/>
      <c r="AQ412" s="673"/>
      <c r="AR412" s="673"/>
      <c r="AS412" s="673"/>
    </row>
    <row r="413">
      <c r="A413" s="653"/>
      <c r="B413" s="654"/>
      <c r="C413" s="655"/>
      <c r="D413" s="656"/>
      <c r="E413" s="657"/>
      <c r="F413" s="658"/>
      <c r="G413" s="659"/>
      <c r="H413" s="660"/>
      <c r="I413" s="659"/>
      <c r="J413" s="661"/>
      <c r="K413" s="658"/>
      <c r="L413" s="662"/>
      <c r="M413" s="663"/>
      <c r="N413" s="664"/>
      <c r="O413" s="665"/>
      <c r="P413" s="666"/>
      <c r="Q413" s="667"/>
      <c r="R413" s="668"/>
      <c r="S413" s="665"/>
      <c r="T413" s="669"/>
      <c r="U413" s="669"/>
      <c r="V413" s="665"/>
      <c r="W413" s="670"/>
      <c r="X413" s="670"/>
      <c r="Y413" s="671"/>
      <c r="Z413" s="671"/>
      <c r="AA413" s="672"/>
      <c r="AB413" s="673"/>
      <c r="AC413" s="673"/>
      <c r="AD413" s="673"/>
      <c r="AE413" s="673"/>
      <c r="AF413" s="673"/>
      <c r="AG413" s="673"/>
      <c r="AH413" s="673"/>
      <c r="AI413" s="673"/>
      <c r="AJ413" s="673"/>
      <c r="AK413" s="673"/>
      <c r="AL413" s="673"/>
      <c r="AM413" s="673"/>
      <c r="AN413" s="673"/>
      <c r="AO413" s="673"/>
      <c r="AP413" s="673"/>
      <c r="AQ413" s="673"/>
      <c r="AR413" s="673"/>
      <c r="AS413" s="673"/>
    </row>
    <row r="414">
      <c r="A414" s="653"/>
      <c r="B414" s="654"/>
      <c r="C414" s="655"/>
      <c r="D414" s="656"/>
      <c r="E414" s="657"/>
      <c r="F414" s="658"/>
      <c r="G414" s="659"/>
      <c r="H414" s="660"/>
      <c r="I414" s="659"/>
      <c r="J414" s="661"/>
      <c r="K414" s="658"/>
      <c r="L414" s="662"/>
      <c r="M414" s="663"/>
      <c r="N414" s="664"/>
      <c r="O414" s="665"/>
      <c r="P414" s="666"/>
      <c r="Q414" s="667"/>
      <c r="R414" s="668"/>
      <c r="S414" s="665"/>
      <c r="T414" s="669"/>
      <c r="U414" s="669"/>
      <c r="V414" s="665"/>
      <c r="W414" s="670"/>
      <c r="X414" s="670"/>
      <c r="Y414" s="671"/>
      <c r="Z414" s="671"/>
      <c r="AA414" s="672"/>
      <c r="AB414" s="673"/>
      <c r="AC414" s="673"/>
      <c r="AD414" s="673"/>
      <c r="AE414" s="673"/>
      <c r="AF414" s="673"/>
      <c r="AG414" s="673"/>
      <c r="AH414" s="673"/>
      <c r="AI414" s="673"/>
      <c r="AJ414" s="673"/>
      <c r="AK414" s="673"/>
      <c r="AL414" s="673"/>
      <c r="AM414" s="673"/>
      <c r="AN414" s="673"/>
      <c r="AO414" s="673"/>
      <c r="AP414" s="673"/>
      <c r="AQ414" s="673"/>
      <c r="AR414" s="673"/>
      <c r="AS414" s="673"/>
    </row>
    <row r="415">
      <c r="A415" s="653"/>
      <c r="B415" s="654"/>
      <c r="C415" s="655"/>
      <c r="D415" s="656"/>
      <c r="E415" s="657"/>
      <c r="F415" s="658"/>
      <c r="G415" s="659"/>
      <c r="H415" s="660"/>
      <c r="I415" s="659"/>
      <c r="J415" s="661"/>
      <c r="K415" s="658"/>
      <c r="L415" s="662"/>
      <c r="M415" s="663"/>
      <c r="N415" s="664"/>
      <c r="O415" s="665"/>
      <c r="P415" s="666"/>
      <c r="Q415" s="667"/>
      <c r="R415" s="668"/>
      <c r="S415" s="665"/>
      <c r="T415" s="669"/>
      <c r="U415" s="669"/>
      <c r="V415" s="665"/>
      <c r="W415" s="670"/>
      <c r="X415" s="670"/>
      <c r="Y415" s="671"/>
      <c r="Z415" s="671"/>
      <c r="AA415" s="672"/>
      <c r="AB415" s="673"/>
      <c r="AC415" s="673"/>
      <c r="AD415" s="673"/>
      <c r="AE415" s="673"/>
      <c r="AF415" s="673"/>
      <c r="AG415" s="673"/>
      <c r="AH415" s="673"/>
      <c r="AI415" s="673"/>
      <c r="AJ415" s="673"/>
      <c r="AK415" s="673"/>
      <c r="AL415" s="673"/>
      <c r="AM415" s="673"/>
      <c r="AN415" s="673"/>
      <c r="AO415" s="673"/>
      <c r="AP415" s="673"/>
      <c r="AQ415" s="673"/>
      <c r="AR415" s="673"/>
      <c r="AS415" s="673"/>
    </row>
    <row r="416">
      <c r="A416" s="653"/>
      <c r="B416" s="654"/>
      <c r="C416" s="655"/>
      <c r="D416" s="656"/>
      <c r="E416" s="657"/>
      <c r="F416" s="658"/>
      <c r="G416" s="659"/>
      <c r="H416" s="660"/>
      <c r="I416" s="659"/>
      <c r="J416" s="661"/>
      <c r="K416" s="658"/>
      <c r="L416" s="662"/>
      <c r="M416" s="663"/>
      <c r="N416" s="664"/>
      <c r="O416" s="665"/>
      <c r="P416" s="666"/>
      <c r="Q416" s="667"/>
      <c r="R416" s="668"/>
      <c r="S416" s="665"/>
      <c r="T416" s="669"/>
      <c r="U416" s="669"/>
      <c r="V416" s="665"/>
      <c r="W416" s="670"/>
      <c r="X416" s="670"/>
      <c r="Y416" s="671"/>
      <c r="Z416" s="671"/>
      <c r="AA416" s="672"/>
      <c r="AB416" s="673"/>
      <c r="AC416" s="673"/>
      <c r="AD416" s="673"/>
      <c r="AE416" s="673"/>
      <c r="AF416" s="673"/>
      <c r="AG416" s="673"/>
      <c r="AH416" s="673"/>
      <c r="AI416" s="673"/>
      <c r="AJ416" s="673"/>
      <c r="AK416" s="673"/>
      <c r="AL416" s="673"/>
      <c r="AM416" s="673"/>
      <c r="AN416" s="673"/>
      <c r="AO416" s="673"/>
      <c r="AP416" s="673"/>
      <c r="AQ416" s="673"/>
      <c r="AR416" s="673"/>
      <c r="AS416" s="673"/>
    </row>
    <row r="417">
      <c r="A417" s="653"/>
      <c r="B417" s="654"/>
      <c r="C417" s="655"/>
      <c r="D417" s="656"/>
      <c r="E417" s="657"/>
      <c r="F417" s="658"/>
      <c r="G417" s="659"/>
      <c r="H417" s="660"/>
      <c r="I417" s="659"/>
      <c r="J417" s="661"/>
      <c r="K417" s="658"/>
      <c r="L417" s="662"/>
      <c r="M417" s="663"/>
      <c r="N417" s="664"/>
      <c r="O417" s="665"/>
      <c r="P417" s="666"/>
      <c r="Q417" s="667"/>
      <c r="R417" s="668"/>
      <c r="S417" s="665"/>
      <c r="T417" s="669"/>
      <c r="U417" s="669"/>
      <c r="V417" s="665"/>
      <c r="W417" s="670"/>
      <c r="X417" s="670"/>
      <c r="Y417" s="671"/>
      <c r="Z417" s="671"/>
      <c r="AA417" s="672"/>
      <c r="AB417" s="673"/>
      <c r="AC417" s="673"/>
      <c r="AD417" s="673"/>
      <c r="AE417" s="673"/>
      <c r="AF417" s="673"/>
      <c r="AG417" s="673"/>
      <c r="AH417" s="673"/>
      <c r="AI417" s="673"/>
      <c r="AJ417" s="673"/>
      <c r="AK417" s="673"/>
      <c r="AL417" s="673"/>
      <c r="AM417" s="673"/>
      <c r="AN417" s="673"/>
      <c r="AO417" s="673"/>
      <c r="AP417" s="673"/>
      <c r="AQ417" s="673"/>
      <c r="AR417" s="673"/>
      <c r="AS417" s="673"/>
    </row>
    <row r="418">
      <c r="A418" s="653"/>
      <c r="B418" s="654"/>
      <c r="C418" s="655"/>
      <c r="D418" s="656"/>
      <c r="E418" s="657"/>
      <c r="F418" s="658"/>
      <c r="G418" s="659"/>
      <c r="H418" s="660"/>
      <c r="I418" s="659"/>
      <c r="J418" s="661"/>
      <c r="K418" s="658"/>
      <c r="L418" s="662"/>
      <c r="M418" s="663"/>
      <c r="N418" s="664"/>
      <c r="O418" s="665"/>
      <c r="P418" s="666"/>
      <c r="Q418" s="667"/>
      <c r="R418" s="668"/>
      <c r="S418" s="665"/>
      <c r="T418" s="669"/>
      <c r="U418" s="669"/>
      <c r="V418" s="665"/>
      <c r="W418" s="670"/>
      <c r="X418" s="670"/>
      <c r="Y418" s="671"/>
      <c r="Z418" s="671"/>
      <c r="AA418" s="672"/>
      <c r="AB418" s="673"/>
      <c r="AC418" s="673"/>
      <c r="AD418" s="673"/>
      <c r="AE418" s="673"/>
      <c r="AF418" s="673"/>
      <c r="AG418" s="673"/>
      <c r="AH418" s="673"/>
      <c r="AI418" s="673"/>
      <c r="AJ418" s="673"/>
      <c r="AK418" s="673"/>
      <c r="AL418" s="673"/>
      <c r="AM418" s="673"/>
      <c r="AN418" s="673"/>
      <c r="AO418" s="673"/>
      <c r="AP418" s="673"/>
      <c r="AQ418" s="673"/>
      <c r="AR418" s="673"/>
      <c r="AS418" s="673"/>
    </row>
    <row r="419">
      <c r="A419" s="653"/>
      <c r="B419" s="654"/>
      <c r="C419" s="655"/>
      <c r="D419" s="656"/>
      <c r="E419" s="657"/>
      <c r="F419" s="658"/>
      <c r="G419" s="659"/>
      <c r="H419" s="660"/>
      <c r="I419" s="659"/>
      <c r="J419" s="661"/>
      <c r="K419" s="658"/>
      <c r="L419" s="662"/>
      <c r="M419" s="663"/>
      <c r="N419" s="664"/>
      <c r="O419" s="665"/>
      <c r="P419" s="666"/>
      <c r="Q419" s="667"/>
      <c r="R419" s="668"/>
      <c r="S419" s="665"/>
      <c r="T419" s="669"/>
      <c r="U419" s="669"/>
      <c r="V419" s="665"/>
      <c r="W419" s="670"/>
      <c r="X419" s="670"/>
      <c r="Y419" s="671"/>
      <c r="Z419" s="671"/>
      <c r="AA419" s="672"/>
      <c r="AB419" s="673"/>
      <c r="AC419" s="673"/>
      <c r="AD419" s="673"/>
      <c r="AE419" s="673"/>
      <c r="AF419" s="673"/>
      <c r="AG419" s="673"/>
      <c r="AH419" s="673"/>
      <c r="AI419" s="673"/>
      <c r="AJ419" s="673"/>
      <c r="AK419" s="673"/>
      <c r="AL419" s="673"/>
      <c r="AM419" s="673"/>
      <c r="AN419" s="673"/>
      <c r="AO419" s="673"/>
      <c r="AP419" s="673"/>
      <c r="AQ419" s="673"/>
      <c r="AR419" s="673"/>
      <c r="AS419" s="673"/>
    </row>
    <row r="420">
      <c r="A420" s="653"/>
      <c r="B420" s="654"/>
      <c r="C420" s="655"/>
      <c r="D420" s="656"/>
      <c r="E420" s="657"/>
      <c r="F420" s="658"/>
      <c r="G420" s="659"/>
      <c r="H420" s="660"/>
      <c r="I420" s="659"/>
      <c r="J420" s="661"/>
      <c r="K420" s="658"/>
      <c r="L420" s="662"/>
      <c r="M420" s="663"/>
      <c r="N420" s="664"/>
      <c r="O420" s="665"/>
      <c r="P420" s="666"/>
      <c r="Q420" s="667"/>
      <c r="R420" s="668"/>
      <c r="S420" s="665"/>
      <c r="T420" s="669"/>
      <c r="U420" s="669"/>
      <c r="V420" s="665"/>
      <c r="W420" s="670"/>
      <c r="X420" s="670"/>
      <c r="Y420" s="671"/>
      <c r="Z420" s="671"/>
      <c r="AA420" s="672"/>
      <c r="AB420" s="673"/>
      <c r="AC420" s="673"/>
      <c r="AD420" s="673"/>
      <c r="AE420" s="673"/>
      <c r="AF420" s="673"/>
      <c r="AG420" s="673"/>
      <c r="AH420" s="673"/>
      <c r="AI420" s="673"/>
      <c r="AJ420" s="673"/>
      <c r="AK420" s="673"/>
      <c r="AL420" s="673"/>
      <c r="AM420" s="673"/>
      <c r="AN420" s="673"/>
      <c r="AO420" s="673"/>
      <c r="AP420" s="673"/>
      <c r="AQ420" s="673"/>
      <c r="AR420" s="673"/>
      <c r="AS420" s="673"/>
    </row>
    <row r="421">
      <c r="A421" s="653"/>
      <c r="B421" s="654"/>
      <c r="C421" s="655"/>
      <c r="D421" s="656"/>
      <c r="E421" s="657"/>
      <c r="F421" s="658"/>
      <c r="G421" s="659"/>
      <c r="H421" s="660"/>
      <c r="I421" s="659"/>
      <c r="J421" s="661"/>
      <c r="K421" s="658"/>
      <c r="L421" s="662"/>
      <c r="M421" s="663"/>
      <c r="N421" s="664"/>
      <c r="O421" s="665"/>
      <c r="P421" s="666"/>
      <c r="Q421" s="667"/>
      <c r="R421" s="668"/>
      <c r="S421" s="665"/>
      <c r="T421" s="669"/>
      <c r="U421" s="669"/>
      <c r="V421" s="665"/>
      <c r="W421" s="670"/>
      <c r="X421" s="670"/>
      <c r="Y421" s="671"/>
      <c r="Z421" s="671"/>
      <c r="AA421" s="672"/>
      <c r="AB421" s="673"/>
      <c r="AC421" s="673"/>
      <c r="AD421" s="673"/>
      <c r="AE421" s="673"/>
      <c r="AF421" s="673"/>
      <c r="AG421" s="673"/>
      <c r="AH421" s="673"/>
      <c r="AI421" s="673"/>
      <c r="AJ421" s="673"/>
      <c r="AK421" s="673"/>
      <c r="AL421" s="673"/>
      <c r="AM421" s="673"/>
      <c r="AN421" s="673"/>
      <c r="AO421" s="673"/>
      <c r="AP421" s="673"/>
      <c r="AQ421" s="673"/>
      <c r="AR421" s="673"/>
      <c r="AS421" s="673"/>
    </row>
    <row r="422">
      <c r="A422" s="653"/>
      <c r="B422" s="654"/>
      <c r="C422" s="655"/>
      <c r="D422" s="656"/>
      <c r="E422" s="657"/>
      <c r="F422" s="658"/>
      <c r="G422" s="659"/>
      <c r="H422" s="660"/>
      <c r="I422" s="659"/>
      <c r="J422" s="661"/>
      <c r="K422" s="658"/>
      <c r="L422" s="662"/>
      <c r="M422" s="663"/>
      <c r="N422" s="664"/>
      <c r="O422" s="665"/>
      <c r="P422" s="666"/>
      <c r="Q422" s="667"/>
      <c r="R422" s="668"/>
      <c r="S422" s="665"/>
      <c r="T422" s="669"/>
      <c r="U422" s="669"/>
      <c r="V422" s="665"/>
      <c r="W422" s="670"/>
      <c r="X422" s="670"/>
      <c r="Y422" s="671"/>
      <c r="Z422" s="671"/>
      <c r="AA422" s="672"/>
      <c r="AB422" s="673"/>
      <c r="AC422" s="673"/>
      <c r="AD422" s="673"/>
      <c r="AE422" s="673"/>
      <c r="AF422" s="673"/>
      <c r="AG422" s="673"/>
      <c r="AH422" s="673"/>
      <c r="AI422" s="673"/>
      <c r="AJ422" s="673"/>
      <c r="AK422" s="673"/>
      <c r="AL422" s="673"/>
      <c r="AM422" s="673"/>
      <c r="AN422" s="673"/>
      <c r="AO422" s="673"/>
      <c r="AP422" s="673"/>
      <c r="AQ422" s="673"/>
      <c r="AR422" s="673"/>
      <c r="AS422" s="673"/>
    </row>
    <row r="423">
      <c r="A423" s="653"/>
      <c r="B423" s="654"/>
      <c r="C423" s="655"/>
      <c r="D423" s="656"/>
      <c r="E423" s="657"/>
      <c r="F423" s="658"/>
      <c r="G423" s="659"/>
      <c r="H423" s="660"/>
      <c r="I423" s="659"/>
      <c r="J423" s="661"/>
      <c r="K423" s="658"/>
      <c r="L423" s="662"/>
      <c r="M423" s="663"/>
      <c r="N423" s="664"/>
      <c r="O423" s="665"/>
      <c r="P423" s="666"/>
      <c r="Q423" s="667"/>
      <c r="R423" s="668"/>
      <c r="S423" s="665"/>
      <c r="T423" s="669"/>
      <c r="U423" s="669"/>
      <c r="V423" s="665"/>
      <c r="W423" s="670"/>
      <c r="X423" s="670"/>
      <c r="Y423" s="671"/>
      <c r="Z423" s="671"/>
      <c r="AA423" s="672"/>
      <c r="AB423" s="673"/>
      <c r="AC423" s="673"/>
      <c r="AD423" s="673"/>
      <c r="AE423" s="673"/>
      <c r="AF423" s="673"/>
      <c r="AG423" s="673"/>
      <c r="AH423" s="673"/>
      <c r="AI423" s="673"/>
      <c r="AJ423" s="673"/>
      <c r="AK423" s="673"/>
      <c r="AL423" s="673"/>
      <c r="AM423" s="673"/>
      <c r="AN423" s="673"/>
      <c r="AO423" s="673"/>
      <c r="AP423" s="673"/>
      <c r="AQ423" s="673"/>
      <c r="AR423" s="673"/>
      <c r="AS423" s="673"/>
    </row>
    <row r="424">
      <c r="A424" s="653"/>
      <c r="B424" s="654"/>
      <c r="C424" s="655"/>
      <c r="D424" s="656"/>
      <c r="E424" s="657"/>
      <c r="F424" s="658"/>
      <c r="G424" s="659"/>
      <c r="H424" s="660"/>
      <c r="I424" s="659"/>
      <c r="J424" s="661"/>
      <c r="K424" s="658"/>
      <c r="L424" s="662"/>
      <c r="M424" s="663"/>
      <c r="N424" s="664"/>
      <c r="O424" s="665"/>
      <c r="P424" s="666"/>
      <c r="Q424" s="667"/>
      <c r="R424" s="668"/>
      <c r="S424" s="665"/>
      <c r="T424" s="669"/>
      <c r="U424" s="669"/>
      <c r="V424" s="665"/>
      <c r="W424" s="670"/>
      <c r="X424" s="670"/>
      <c r="Y424" s="671"/>
      <c r="Z424" s="671"/>
      <c r="AA424" s="672"/>
      <c r="AB424" s="673"/>
      <c r="AC424" s="673"/>
      <c r="AD424" s="673"/>
      <c r="AE424" s="673"/>
      <c r="AF424" s="673"/>
      <c r="AG424" s="673"/>
      <c r="AH424" s="673"/>
      <c r="AI424" s="673"/>
      <c r="AJ424" s="673"/>
      <c r="AK424" s="673"/>
      <c r="AL424" s="673"/>
      <c r="AM424" s="673"/>
      <c r="AN424" s="673"/>
      <c r="AO424" s="673"/>
      <c r="AP424" s="673"/>
      <c r="AQ424" s="673"/>
      <c r="AR424" s="673"/>
      <c r="AS424" s="673"/>
    </row>
    <row r="425">
      <c r="A425" s="653"/>
      <c r="B425" s="654"/>
      <c r="C425" s="655"/>
      <c r="D425" s="656"/>
      <c r="E425" s="657"/>
      <c r="F425" s="658"/>
      <c r="G425" s="659"/>
      <c r="H425" s="660"/>
      <c r="I425" s="659"/>
      <c r="J425" s="661"/>
      <c r="K425" s="658"/>
      <c r="L425" s="662"/>
      <c r="M425" s="663"/>
      <c r="N425" s="664"/>
      <c r="O425" s="665"/>
      <c r="P425" s="666"/>
      <c r="Q425" s="667"/>
      <c r="R425" s="668"/>
      <c r="S425" s="665"/>
      <c r="T425" s="669"/>
      <c r="U425" s="669"/>
      <c r="V425" s="665"/>
      <c r="W425" s="670"/>
      <c r="X425" s="670"/>
      <c r="Y425" s="671"/>
      <c r="Z425" s="671"/>
      <c r="AA425" s="672"/>
      <c r="AB425" s="673"/>
      <c r="AC425" s="673"/>
      <c r="AD425" s="673"/>
      <c r="AE425" s="673"/>
      <c r="AF425" s="673"/>
      <c r="AG425" s="673"/>
      <c r="AH425" s="673"/>
      <c r="AI425" s="673"/>
      <c r="AJ425" s="673"/>
      <c r="AK425" s="673"/>
      <c r="AL425" s="673"/>
      <c r="AM425" s="673"/>
      <c r="AN425" s="673"/>
      <c r="AO425" s="673"/>
      <c r="AP425" s="673"/>
      <c r="AQ425" s="673"/>
      <c r="AR425" s="673"/>
      <c r="AS425" s="673"/>
    </row>
    <row r="426">
      <c r="A426" s="653"/>
      <c r="B426" s="654"/>
      <c r="C426" s="655"/>
      <c r="D426" s="656"/>
      <c r="E426" s="657"/>
      <c r="F426" s="658"/>
      <c r="G426" s="659"/>
      <c r="H426" s="660"/>
      <c r="I426" s="659"/>
      <c r="J426" s="661"/>
      <c r="K426" s="658"/>
      <c r="L426" s="662"/>
      <c r="M426" s="663"/>
      <c r="N426" s="664"/>
      <c r="O426" s="665"/>
      <c r="P426" s="666"/>
      <c r="Q426" s="667"/>
      <c r="R426" s="668"/>
      <c r="S426" s="665"/>
      <c r="T426" s="669"/>
      <c r="U426" s="669"/>
      <c r="V426" s="665"/>
      <c r="W426" s="670"/>
      <c r="X426" s="670"/>
      <c r="Y426" s="671"/>
      <c r="Z426" s="671"/>
      <c r="AA426" s="672"/>
      <c r="AB426" s="673"/>
      <c r="AC426" s="673"/>
      <c r="AD426" s="673"/>
      <c r="AE426" s="673"/>
      <c r="AF426" s="673"/>
      <c r="AG426" s="673"/>
      <c r="AH426" s="673"/>
      <c r="AI426" s="673"/>
      <c r="AJ426" s="673"/>
      <c r="AK426" s="673"/>
      <c r="AL426" s="673"/>
      <c r="AM426" s="673"/>
      <c r="AN426" s="673"/>
      <c r="AO426" s="673"/>
      <c r="AP426" s="673"/>
      <c r="AQ426" s="673"/>
      <c r="AR426" s="673"/>
      <c r="AS426" s="673"/>
    </row>
    <row r="427">
      <c r="A427" s="653"/>
      <c r="B427" s="654"/>
      <c r="C427" s="655"/>
      <c r="D427" s="656"/>
      <c r="E427" s="657"/>
      <c r="F427" s="658"/>
      <c r="G427" s="659"/>
      <c r="H427" s="660"/>
      <c r="I427" s="659"/>
      <c r="J427" s="661"/>
      <c r="K427" s="658"/>
      <c r="L427" s="662"/>
      <c r="M427" s="663"/>
      <c r="N427" s="664"/>
      <c r="O427" s="665"/>
      <c r="P427" s="666"/>
      <c r="Q427" s="667"/>
      <c r="R427" s="668"/>
      <c r="S427" s="665"/>
      <c r="T427" s="669"/>
      <c r="U427" s="669"/>
      <c r="V427" s="665"/>
      <c r="W427" s="670"/>
      <c r="X427" s="670"/>
      <c r="Y427" s="671"/>
      <c r="Z427" s="671"/>
      <c r="AA427" s="672"/>
      <c r="AB427" s="673"/>
      <c r="AC427" s="673"/>
      <c r="AD427" s="673"/>
      <c r="AE427" s="673"/>
      <c r="AF427" s="673"/>
      <c r="AG427" s="673"/>
      <c r="AH427" s="673"/>
      <c r="AI427" s="673"/>
      <c r="AJ427" s="673"/>
      <c r="AK427" s="673"/>
      <c r="AL427" s="673"/>
      <c r="AM427" s="673"/>
      <c r="AN427" s="673"/>
      <c r="AO427" s="673"/>
      <c r="AP427" s="673"/>
      <c r="AQ427" s="673"/>
      <c r="AR427" s="673"/>
      <c r="AS427" s="673"/>
    </row>
    <row r="428">
      <c r="A428" s="653"/>
      <c r="B428" s="654"/>
      <c r="C428" s="655"/>
      <c r="D428" s="656"/>
      <c r="E428" s="657"/>
      <c r="F428" s="658"/>
      <c r="G428" s="659"/>
      <c r="H428" s="660"/>
      <c r="I428" s="659"/>
      <c r="J428" s="661"/>
      <c r="K428" s="658"/>
      <c r="L428" s="662"/>
      <c r="M428" s="663"/>
      <c r="N428" s="664"/>
      <c r="O428" s="665"/>
      <c r="P428" s="666"/>
      <c r="Q428" s="667"/>
      <c r="R428" s="668"/>
      <c r="S428" s="665"/>
      <c r="T428" s="669"/>
      <c r="U428" s="669"/>
      <c r="V428" s="665"/>
      <c r="W428" s="670"/>
      <c r="X428" s="670"/>
      <c r="Y428" s="671"/>
      <c r="Z428" s="671"/>
      <c r="AA428" s="672"/>
      <c r="AB428" s="673"/>
      <c r="AC428" s="673"/>
      <c r="AD428" s="673"/>
      <c r="AE428" s="673"/>
      <c r="AF428" s="673"/>
      <c r="AG428" s="673"/>
      <c r="AH428" s="673"/>
      <c r="AI428" s="673"/>
      <c r="AJ428" s="673"/>
      <c r="AK428" s="673"/>
      <c r="AL428" s="673"/>
      <c r="AM428" s="673"/>
      <c r="AN428" s="673"/>
      <c r="AO428" s="673"/>
      <c r="AP428" s="673"/>
      <c r="AQ428" s="673"/>
      <c r="AR428" s="673"/>
      <c r="AS428" s="673"/>
    </row>
    <row r="429">
      <c r="A429" s="653"/>
      <c r="B429" s="654"/>
      <c r="C429" s="655"/>
      <c r="D429" s="656"/>
      <c r="E429" s="657"/>
      <c r="F429" s="658"/>
      <c r="G429" s="659"/>
      <c r="H429" s="660"/>
      <c r="I429" s="659"/>
      <c r="J429" s="661"/>
      <c r="K429" s="658"/>
      <c r="L429" s="662"/>
      <c r="M429" s="663"/>
      <c r="N429" s="664"/>
      <c r="O429" s="665"/>
      <c r="P429" s="666"/>
      <c r="Q429" s="667"/>
      <c r="R429" s="668"/>
      <c r="S429" s="665"/>
      <c r="T429" s="669"/>
      <c r="U429" s="669"/>
      <c r="V429" s="665"/>
      <c r="W429" s="670"/>
      <c r="X429" s="670"/>
      <c r="Y429" s="671"/>
      <c r="Z429" s="671"/>
      <c r="AA429" s="672"/>
      <c r="AB429" s="673"/>
      <c r="AC429" s="673"/>
      <c r="AD429" s="673"/>
      <c r="AE429" s="673"/>
      <c r="AF429" s="673"/>
      <c r="AG429" s="673"/>
      <c r="AH429" s="673"/>
      <c r="AI429" s="673"/>
      <c r="AJ429" s="673"/>
      <c r="AK429" s="673"/>
      <c r="AL429" s="673"/>
      <c r="AM429" s="673"/>
      <c r="AN429" s="673"/>
      <c r="AO429" s="673"/>
      <c r="AP429" s="673"/>
      <c r="AQ429" s="673"/>
      <c r="AR429" s="673"/>
      <c r="AS429" s="673"/>
    </row>
    <row r="430">
      <c r="A430" s="653"/>
      <c r="B430" s="654"/>
      <c r="C430" s="655"/>
      <c r="D430" s="656"/>
      <c r="E430" s="657"/>
      <c r="F430" s="658"/>
      <c r="G430" s="659"/>
      <c r="H430" s="660"/>
      <c r="I430" s="659"/>
      <c r="J430" s="661"/>
      <c r="K430" s="658"/>
      <c r="L430" s="662"/>
      <c r="M430" s="663"/>
      <c r="N430" s="664"/>
      <c r="O430" s="665"/>
      <c r="P430" s="666"/>
      <c r="Q430" s="667"/>
      <c r="R430" s="668"/>
      <c r="S430" s="665"/>
      <c r="T430" s="669"/>
      <c r="U430" s="669"/>
      <c r="V430" s="665"/>
      <c r="W430" s="670"/>
      <c r="X430" s="670"/>
      <c r="Y430" s="671"/>
      <c r="Z430" s="671"/>
      <c r="AA430" s="672"/>
      <c r="AB430" s="673"/>
      <c r="AC430" s="673"/>
      <c r="AD430" s="673"/>
      <c r="AE430" s="673"/>
      <c r="AF430" s="673"/>
      <c r="AG430" s="673"/>
      <c r="AH430" s="673"/>
      <c r="AI430" s="673"/>
      <c r="AJ430" s="673"/>
      <c r="AK430" s="673"/>
      <c r="AL430" s="673"/>
      <c r="AM430" s="673"/>
      <c r="AN430" s="673"/>
      <c r="AO430" s="673"/>
      <c r="AP430" s="673"/>
      <c r="AQ430" s="673"/>
      <c r="AR430" s="673"/>
      <c r="AS430" s="673"/>
    </row>
    <row r="431">
      <c r="A431" s="653"/>
      <c r="B431" s="654"/>
      <c r="C431" s="655"/>
      <c r="D431" s="656"/>
      <c r="E431" s="657"/>
      <c r="F431" s="658"/>
      <c r="G431" s="659"/>
      <c r="H431" s="660"/>
      <c r="I431" s="659"/>
      <c r="J431" s="661"/>
      <c r="K431" s="658"/>
      <c r="L431" s="662"/>
      <c r="M431" s="663"/>
      <c r="N431" s="664"/>
      <c r="O431" s="665"/>
      <c r="P431" s="666"/>
      <c r="Q431" s="667"/>
      <c r="R431" s="668"/>
      <c r="S431" s="665"/>
      <c r="T431" s="669"/>
      <c r="U431" s="669"/>
      <c r="V431" s="665"/>
      <c r="W431" s="670"/>
      <c r="X431" s="670"/>
      <c r="Y431" s="671"/>
      <c r="Z431" s="671"/>
      <c r="AA431" s="672"/>
      <c r="AB431" s="673"/>
      <c r="AC431" s="673"/>
      <c r="AD431" s="673"/>
      <c r="AE431" s="673"/>
      <c r="AF431" s="673"/>
      <c r="AG431" s="673"/>
      <c r="AH431" s="673"/>
      <c r="AI431" s="673"/>
      <c r="AJ431" s="673"/>
      <c r="AK431" s="673"/>
      <c r="AL431" s="673"/>
      <c r="AM431" s="673"/>
      <c r="AN431" s="673"/>
      <c r="AO431" s="673"/>
      <c r="AP431" s="673"/>
      <c r="AQ431" s="673"/>
      <c r="AR431" s="673"/>
      <c r="AS431" s="673"/>
    </row>
    <row r="432">
      <c r="A432" s="653"/>
      <c r="B432" s="654"/>
      <c r="C432" s="655"/>
      <c r="D432" s="656"/>
      <c r="E432" s="657"/>
      <c r="F432" s="658"/>
      <c r="G432" s="659"/>
      <c r="H432" s="660"/>
      <c r="I432" s="659"/>
      <c r="J432" s="661"/>
      <c r="K432" s="658"/>
      <c r="L432" s="662"/>
      <c r="M432" s="663"/>
      <c r="N432" s="664"/>
      <c r="O432" s="665"/>
      <c r="P432" s="666"/>
      <c r="Q432" s="667"/>
      <c r="R432" s="668"/>
      <c r="S432" s="665"/>
      <c r="T432" s="669"/>
      <c r="U432" s="669"/>
      <c r="V432" s="665"/>
      <c r="W432" s="670"/>
      <c r="X432" s="670"/>
      <c r="Y432" s="671"/>
      <c r="Z432" s="671"/>
      <c r="AA432" s="672"/>
      <c r="AB432" s="673"/>
      <c r="AC432" s="673"/>
      <c r="AD432" s="673"/>
      <c r="AE432" s="673"/>
      <c r="AF432" s="673"/>
      <c r="AG432" s="673"/>
      <c r="AH432" s="673"/>
      <c r="AI432" s="673"/>
      <c r="AJ432" s="673"/>
      <c r="AK432" s="673"/>
      <c r="AL432" s="673"/>
      <c r="AM432" s="673"/>
      <c r="AN432" s="673"/>
      <c r="AO432" s="673"/>
      <c r="AP432" s="673"/>
      <c r="AQ432" s="673"/>
      <c r="AR432" s="673"/>
      <c r="AS432" s="673"/>
    </row>
    <row r="433">
      <c r="A433" s="653"/>
      <c r="B433" s="654"/>
      <c r="C433" s="655"/>
      <c r="D433" s="656"/>
      <c r="E433" s="657"/>
      <c r="F433" s="658"/>
      <c r="G433" s="659"/>
      <c r="H433" s="660"/>
      <c r="I433" s="659"/>
      <c r="J433" s="661"/>
      <c r="K433" s="658"/>
      <c r="L433" s="662"/>
      <c r="M433" s="663"/>
      <c r="N433" s="664"/>
      <c r="O433" s="665"/>
      <c r="P433" s="666"/>
      <c r="Q433" s="667"/>
      <c r="R433" s="668"/>
      <c r="S433" s="665"/>
      <c r="T433" s="669"/>
      <c r="U433" s="669"/>
      <c r="V433" s="665"/>
      <c r="W433" s="670"/>
      <c r="X433" s="670"/>
      <c r="Y433" s="671"/>
      <c r="Z433" s="671"/>
      <c r="AA433" s="672"/>
      <c r="AB433" s="673"/>
      <c r="AC433" s="673"/>
      <c r="AD433" s="673"/>
      <c r="AE433" s="673"/>
      <c r="AF433" s="673"/>
      <c r="AG433" s="673"/>
      <c r="AH433" s="673"/>
      <c r="AI433" s="673"/>
      <c r="AJ433" s="673"/>
      <c r="AK433" s="673"/>
      <c r="AL433" s="673"/>
      <c r="AM433" s="673"/>
      <c r="AN433" s="673"/>
      <c r="AO433" s="673"/>
      <c r="AP433" s="673"/>
      <c r="AQ433" s="673"/>
      <c r="AR433" s="673"/>
      <c r="AS433" s="673"/>
    </row>
    <row r="434">
      <c r="A434" s="653"/>
      <c r="B434" s="654"/>
      <c r="C434" s="655"/>
      <c r="D434" s="656"/>
      <c r="E434" s="657"/>
      <c r="F434" s="658"/>
      <c r="G434" s="659"/>
      <c r="H434" s="660"/>
      <c r="I434" s="659"/>
      <c r="J434" s="661"/>
      <c r="K434" s="658"/>
      <c r="L434" s="662"/>
      <c r="M434" s="663"/>
      <c r="N434" s="664"/>
      <c r="O434" s="665"/>
      <c r="P434" s="666"/>
      <c r="Q434" s="667"/>
      <c r="R434" s="668"/>
      <c r="S434" s="665"/>
      <c r="T434" s="669"/>
      <c r="U434" s="669"/>
      <c r="V434" s="665"/>
      <c r="W434" s="670"/>
      <c r="X434" s="670"/>
      <c r="Y434" s="671"/>
      <c r="Z434" s="671"/>
      <c r="AA434" s="672"/>
      <c r="AB434" s="673"/>
      <c r="AC434" s="673"/>
      <c r="AD434" s="673"/>
      <c r="AE434" s="673"/>
      <c r="AF434" s="673"/>
      <c r="AG434" s="673"/>
      <c r="AH434" s="673"/>
      <c r="AI434" s="673"/>
      <c r="AJ434" s="673"/>
      <c r="AK434" s="673"/>
      <c r="AL434" s="673"/>
      <c r="AM434" s="673"/>
      <c r="AN434" s="673"/>
      <c r="AO434" s="673"/>
      <c r="AP434" s="673"/>
      <c r="AQ434" s="673"/>
      <c r="AR434" s="673"/>
      <c r="AS434" s="673"/>
    </row>
    <row r="435">
      <c r="A435" s="653"/>
      <c r="B435" s="654"/>
      <c r="C435" s="655"/>
      <c r="D435" s="656"/>
      <c r="E435" s="657"/>
      <c r="F435" s="658"/>
      <c r="G435" s="659"/>
      <c r="H435" s="660"/>
      <c r="I435" s="659"/>
      <c r="J435" s="661"/>
      <c r="K435" s="658"/>
      <c r="L435" s="662"/>
      <c r="M435" s="663"/>
      <c r="N435" s="664"/>
      <c r="O435" s="665"/>
      <c r="P435" s="666"/>
      <c r="Q435" s="667"/>
      <c r="R435" s="668"/>
      <c r="S435" s="665"/>
      <c r="T435" s="669"/>
      <c r="U435" s="669"/>
      <c r="V435" s="665"/>
      <c r="W435" s="670"/>
      <c r="X435" s="670"/>
      <c r="Y435" s="671"/>
      <c r="Z435" s="671"/>
      <c r="AA435" s="672"/>
      <c r="AB435" s="673"/>
      <c r="AC435" s="673"/>
      <c r="AD435" s="673"/>
      <c r="AE435" s="673"/>
      <c r="AF435" s="673"/>
      <c r="AG435" s="673"/>
      <c r="AH435" s="673"/>
      <c r="AI435" s="673"/>
      <c r="AJ435" s="673"/>
      <c r="AK435" s="673"/>
      <c r="AL435" s="673"/>
      <c r="AM435" s="673"/>
      <c r="AN435" s="673"/>
      <c r="AO435" s="673"/>
      <c r="AP435" s="673"/>
      <c r="AQ435" s="673"/>
      <c r="AR435" s="673"/>
      <c r="AS435" s="673"/>
    </row>
    <row r="436">
      <c r="A436" s="653"/>
      <c r="B436" s="654"/>
      <c r="C436" s="655"/>
      <c r="D436" s="656"/>
      <c r="E436" s="657"/>
      <c r="F436" s="658"/>
      <c r="G436" s="659"/>
      <c r="H436" s="660"/>
      <c r="I436" s="659"/>
      <c r="J436" s="661"/>
      <c r="K436" s="658"/>
      <c r="L436" s="662"/>
      <c r="M436" s="663"/>
      <c r="N436" s="664"/>
      <c r="O436" s="665"/>
      <c r="P436" s="666"/>
      <c r="Q436" s="667"/>
      <c r="R436" s="668"/>
      <c r="S436" s="665"/>
      <c r="T436" s="669"/>
      <c r="U436" s="669"/>
      <c r="V436" s="665"/>
      <c r="W436" s="670"/>
      <c r="X436" s="670"/>
      <c r="Y436" s="671"/>
      <c r="Z436" s="671"/>
      <c r="AA436" s="672"/>
      <c r="AB436" s="673"/>
      <c r="AC436" s="673"/>
      <c r="AD436" s="673"/>
      <c r="AE436" s="673"/>
      <c r="AF436" s="673"/>
      <c r="AG436" s="673"/>
      <c r="AH436" s="673"/>
      <c r="AI436" s="673"/>
      <c r="AJ436" s="673"/>
      <c r="AK436" s="673"/>
      <c r="AL436" s="673"/>
      <c r="AM436" s="673"/>
      <c r="AN436" s="673"/>
      <c r="AO436" s="673"/>
      <c r="AP436" s="673"/>
      <c r="AQ436" s="673"/>
      <c r="AR436" s="673"/>
      <c r="AS436" s="673"/>
    </row>
    <row r="437">
      <c r="A437" s="653"/>
      <c r="B437" s="654"/>
      <c r="C437" s="655"/>
      <c r="D437" s="656"/>
      <c r="E437" s="657"/>
      <c r="F437" s="658"/>
      <c r="G437" s="659"/>
      <c r="H437" s="660"/>
      <c r="I437" s="659"/>
      <c r="J437" s="661"/>
      <c r="K437" s="658"/>
      <c r="L437" s="662"/>
      <c r="M437" s="663"/>
      <c r="N437" s="664"/>
      <c r="O437" s="665"/>
      <c r="P437" s="666"/>
      <c r="Q437" s="667"/>
      <c r="R437" s="668"/>
      <c r="S437" s="665"/>
      <c r="T437" s="669"/>
      <c r="U437" s="669"/>
      <c r="V437" s="665"/>
      <c r="W437" s="670"/>
      <c r="X437" s="670"/>
      <c r="Y437" s="671"/>
      <c r="Z437" s="671"/>
      <c r="AA437" s="672"/>
      <c r="AB437" s="673"/>
      <c r="AC437" s="673"/>
      <c r="AD437" s="673"/>
      <c r="AE437" s="673"/>
      <c r="AF437" s="673"/>
      <c r="AG437" s="673"/>
      <c r="AH437" s="673"/>
      <c r="AI437" s="673"/>
      <c r="AJ437" s="673"/>
      <c r="AK437" s="673"/>
      <c r="AL437" s="673"/>
      <c r="AM437" s="673"/>
      <c r="AN437" s="673"/>
      <c r="AO437" s="673"/>
      <c r="AP437" s="673"/>
      <c r="AQ437" s="673"/>
      <c r="AR437" s="673"/>
      <c r="AS437" s="673"/>
    </row>
    <row r="438">
      <c r="A438" s="653"/>
      <c r="B438" s="654"/>
      <c r="C438" s="655"/>
      <c r="D438" s="656"/>
      <c r="E438" s="657"/>
      <c r="F438" s="658"/>
      <c r="G438" s="659"/>
      <c r="H438" s="660"/>
      <c r="I438" s="659"/>
      <c r="J438" s="661"/>
      <c r="K438" s="658"/>
      <c r="L438" s="662"/>
      <c r="M438" s="663"/>
      <c r="N438" s="664"/>
      <c r="O438" s="665"/>
      <c r="P438" s="666"/>
      <c r="Q438" s="667"/>
      <c r="R438" s="668"/>
      <c r="S438" s="665"/>
      <c r="T438" s="669"/>
      <c r="U438" s="669"/>
      <c r="V438" s="665"/>
      <c r="W438" s="670"/>
      <c r="X438" s="670"/>
      <c r="Y438" s="671"/>
      <c r="Z438" s="671"/>
      <c r="AA438" s="672"/>
      <c r="AB438" s="673"/>
      <c r="AC438" s="673"/>
      <c r="AD438" s="673"/>
      <c r="AE438" s="673"/>
      <c r="AF438" s="673"/>
      <c r="AG438" s="673"/>
      <c r="AH438" s="673"/>
      <c r="AI438" s="673"/>
      <c r="AJ438" s="673"/>
      <c r="AK438" s="673"/>
      <c r="AL438" s="673"/>
      <c r="AM438" s="673"/>
      <c r="AN438" s="673"/>
      <c r="AO438" s="673"/>
      <c r="AP438" s="673"/>
      <c r="AQ438" s="673"/>
      <c r="AR438" s="673"/>
      <c r="AS438" s="673"/>
    </row>
    <row r="439">
      <c r="A439" s="653"/>
      <c r="B439" s="654"/>
      <c r="C439" s="655"/>
      <c r="D439" s="656"/>
      <c r="E439" s="657"/>
      <c r="F439" s="658"/>
      <c r="G439" s="659"/>
      <c r="H439" s="660"/>
      <c r="I439" s="659"/>
      <c r="J439" s="661"/>
      <c r="K439" s="658"/>
      <c r="L439" s="662"/>
      <c r="M439" s="663"/>
      <c r="N439" s="664"/>
      <c r="O439" s="665"/>
      <c r="P439" s="666"/>
      <c r="Q439" s="667"/>
      <c r="R439" s="668"/>
      <c r="S439" s="665"/>
      <c r="T439" s="669"/>
      <c r="U439" s="669"/>
      <c r="V439" s="665"/>
      <c r="W439" s="670"/>
      <c r="X439" s="670"/>
      <c r="Y439" s="671"/>
      <c r="Z439" s="671"/>
      <c r="AA439" s="672"/>
      <c r="AB439" s="673"/>
      <c r="AC439" s="673"/>
      <c r="AD439" s="673"/>
      <c r="AE439" s="673"/>
      <c r="AF439" s="673"/>
      <c r="AG439" s="673"/>
      <c r="AH439" s="673"/>
      <c r="AI439" s="673"/>
      <c r="AJ439" s="673"/>
      <c r="AK439" s="673"/>
      <c r="AL439" s="673"/>
      <c r="AM439" s="673"/>
      <c r="AN439" s="673"/>
      <c r="AO439" s="673"/>
      <c r="AP439" s="673"/>
      <c r="AQ439" s="673"/>
      <c r="AR439" s="673"/>
      <c r="AS439" s="673"/>
    </row>
    <row r="440">
      <c r="A440" s="653"/>
      <c r="B440" s="654"/>
      <c r="C440" s="655"/>
      <c r="D440" s="656"/>
      <c r="E440" s="657"/>
      <c r="F440" s="658"/>
      <c r="G440" s="659"/>
      <c r="H440" s="660"/>
      <c r="I440" s="659"/>
      <c r="J440" s="661"/>
      <c r="K440" s="658"/>
      <c r="L440" s="662"/>
      <c r="M440" s="663"/>
      <c r="N440" s="664"/>
      <c r="O440" s="665"/>
      <c r="P440" s="666"/>
      <c r="Q440" s="667"/>
      <c r="R440" s="668"/>
      <c r="S440" s="665"/>
      <c r="T440" s="669"/>
      <c r="U440" s="669"/>
      <c r="V440" s="665"/>
      <c r="W440" s="670"/>
      <c r="X440" s="670"/>
      <c r="Y440" s="671"/>
      <c r="Z440" s="671"/>
      <c r="AA440" s="672"/>
      <c r="AB440" s="673"/>
      <c r="AC440" s="673"/>
      <c r="AD440" s="673"/>
      <c r="AE440" s="673"/>
      <c r="AF440" s="673"/>
      <c r="AG440" s="673"/>
      <c r="AH440" s="673"/>
      <c r="AI440" s="673"/>
      <c r="AJ440" s="673"/>
      <c r="AK440" s="673"/>
      <c r="AL440" s="673"/>
      <c r="AM440" s="673"/>
      <c r="AN440" s="673"/>
      <c r="AO440" s="673"/>
      <c r="AP440" s="673"/>
      <c r="AQ440" s="673"/>
      <c r="AR440" s="673"/>
      <c r="AS440" s="673"/>
    </row>
    <row r="441">
      <c r="A441" s="653"/>
      <c r="B441" s="654"/>
      <c r="C441" s="655"/>
      <c r="D441" s="656"/>
      <c r="E441" s="657"/>
      <c r="F441" s="658"/>
      <c r="G441" s="659"/>
      <c r="H441" s="660"/>
      <c r="I441" s="659"/>
      <c r="J441" s="661"/>
      <c r="K441" s="658"/>
      <c r="L441" s="662"/>
      <c r="M441" s="663"/>
      <c r="N441" s="664"/>
      <c r="O441" s="665"/>
      <c r="P441" s="666"/>
      <c r="Q441" s="667"/>
      <c r="R441" s="668"/>
      <c r="S441" s="665"/>
      <c r="T441" s="669"/>
      <c r="U441" s="669"/>
      <c r="V441" s="665"/>
      <c r="W441" s="670"/>
      <c r="X441" s="670"/>
      <c r="Y441" s="671"/>
      <c r="Z441" s="671"/>
      <c r="AA441" s="672"/>
      <c r="AB441" s="673"/>
      <c r="AC441" s="673"/>
      <c r="AD441" s="673"/>
      <c r="AE441" s="673"/>
      <c r="AF441" s="673"/>
      <c r="AG441" s="673"/>
      <c r="AH441" s="673"/>
      <c r="AI441" s="673"/>
      <c r="AJ441" s="673"/>
      <c r="AK441" s="673"/>
      <c r="AL441" s="673"/>
      <c r="AM441" s="673"/>
      <c r="AN441" s="673"/>
      <c r="AO441" s="673"/>
      <c r="AP441" s="673"/>
      <c r="AQ441" s="673"/>
      <c r="AR441" s="673"/>
      <c r="AS441" s="673"/>
    </row>
    <row r="442">
      <c r="A442" s="653"/>
      <c r="B442" s="654"/>
      <c r="C442" s="655"/>
      <c r="D442" s="656"/>
      <c r="E442" s="657"/>
      <c r="F442" s="658"/>
      <c r="G442" s="659"/>
      <c r="H442" s="660"/>
      <c r="I442" s="659"/>
      <c r="J442" s="661"/>
      <c r="K442" s="658"/>
      <c r="L442" s="662"/>
      <c r="M442" s="663"/>
      <c r="N442" s="664"/>
      <c r="O442" s="665"/>
      <c r="P442" s="666"/>
      <c r="Q442" s="667"/>
      <c r="R442" s="668"/>
      <c r="S442" s="665"/>
      <c r="T442" s="669"/>
      <c r="U442" s="669"/>
      <c r="V442" s="665"/>
      <c r="W442" s="670"/>
      <c r="X442" s="670"/>
      <c r="Y442" s="671"/>
      <c r="Z442" s="671"/>
      <c r="AA442" s="672"/>
      <c r="AB442" s="673"/>
      <c r="AC442" s="673"/>
      <c r="AD442" s="673"/>
      <c r="AE442" s="673"/>
      <c r="AF442" s="673"/>
      <c r="AG442" s="673"/>
      <c r="AH442" s="673"/>
      <c r="AI442" s="673"/>
      <c r="AJ442" s="673"/>
      <c r="AK442" s="673"/>
      <c r="AL442" s="673"/>
      <c r="AM442" s="673"/>
      <c r="AN442" s="673"/>
      <c r="AO442" s="673"/>
      <c r="AP442" s="673"/>
      <c r="AQ442" s="673"/>
      <c r="AR442" s="673"/>
      <c r="AS442" s="673"/>
    </row>
    <row r="443">
      <c r="A443" s="653"/>
      <c r="B443" s="654"/>
      <c r="C443" s="655"/>
      <c r="D443" s="656"/>
      <c r="E443" s="657"/>
      <c r="F443" s="658"/>
      <c r="G443" s="659"/>
      <c r="H443" s="660"/>
      <c r="I443" s="659"/>
      <c r="J443" s="661"/>
      <c r="K443" s="658"/>
      <c r="L443" s="662"/>
      <c r="M443" s="663"/>
      <c r="N443" s="664"/>
      <c r="O443" s="665"/>
      <c r="P443" s="666"/>
      <c r="Q443" s="667"/>
      <c r="R443" s="668"/>
      <c r="S443" s="665"/>
      <c r="T443" s="669"/>
      <c r="U443" s="669"/>
      <c r="V443" s="665"/>
      <c r="W443" s="670"/>
      <c r="X443" s="670"/>
      <c r="Y443" s="671"/>
      <c r="Z443" s="671"/>
      <c r="AA443" s="672"/>
      <c r="AB443" s="673"/>
      <c r="AC443" s="673"/>
      <c r="AD443" s="673"/>
      <c r="AE443" s="673"/>
      <c r="AF443" s="673"/>
      <c r="AG443" s="673"/>
      <c r="AH443" s="673"/>
      <c r="AI443" s="673"/>
      <c r="AJ443" s="673"/>
      <c r="AK443" s="673"/>
      <c r="AL443" s="673"/>
      <c r="AM443" s="673"/>
      <c r="AN443" s="673"/>
      <c r="AO443" s="673"/>
      <c r="AP443" s="673"/>
      <c r="AQ443" s="673"/>
      <c r="AR443" s="673"/>
      <c r="AS443" s="673"/>
    </row>
    <row r="444">
      <c r="A444" s="653"/>
      <c r="B444" s="654"/>
      <c r="C444" s="655"/>
      <c r="D444" s="656"/>
      <c r="E444" s="657"/>
      <c r="F444" s="658"/>
      <c r="G444" s="659"/>
      <c r="H444" s="660"/>
      <c r="I444" s="659"/>
      <c r="J444" s="661"/>
      <c r="K444" s="658"/>
      <c r="L444" s="662"/>
      <c r="M444" s="663"/>
      <c r="N444" s="664"/>
      <c r="O444" s="665"/>
      <c r="P444" s="666"/>
      <c r="Q444" s="667"/>
      <c r="R444" s="668"/>
      <c r="S444" s="665"/>
      <c r="T444" s="669"/>
      <c r="U444" s="669"/>
      <c r="V444" s="665"/>
      <c r="W444" s="670"/>
      <c r="X444" s="670"/>
      <c r="Y444" s="671"/>
      <c r="Z444" s="671"/>
      <c r="AA444" s="672"/>
      <c r="AB444" s="673"/>
      <c r="AC444" s="673"/>
      <c r="AD444" s="673"/>
      <c r="AE444" s="673"/>
      <c r="AF444" s="673"/>
      <c r="AG444" s="673"/>
      <c r="AH444" s="673"/>
      <c r="AI444" s="673"/>
      <c r="AJ444" s="673"/>
      <c r="AK444" s="673"/>
      <c r="AL444" s="673"/>
      <c r="AM444" s="673"/>
      <c r="AN444" s="673"/>
      <c r="AO444" s="673"/>
      <c r="AP444" s="673"/>
      <c r="AQ444" s="673"/>
      <c r="AR444" s="673"/>
      <c r="AS444" s="673"/>
    </row>
    <row r="445">
      <c r="A445" s="653"/>
      <c r="B445" s="654"/>
      <c r="C445" s="655"/>
      <c r="D445" s="656"/>
      <c r="E445" s="657"/>
      <c r="F445" s="658"/>
      <c r="G445" s="659"/>
      <c r="H445" s="660"/>
      <c r="I445" s="659"/>
      <c r="J445" s="661"/>
      <c r="K445" s="658"/>
      <c r="L445" s="662"/>
      <c r="M445" s="663"/>
      <c r="N445" s="664"/>
      <c r="O445" s="665"/>
      <c r="P445" s="666"/>
      <c r="Q445" s="667"/>
      <c r="R445" s="668"/>
      <c r="S445" s="665"/>
      <c r="T445" s="669"/>
      <c r="U445" s="669"/>
      <c r="V445" s="665"/>
      <c r="W445" s="670"/>
      <c r="X445" s="670"/>
      <c r="Y445" s="671"/>
      <c r="Z445" s="671"/>
      <c r="AA445" s="672"/>
      <c r="AB445" s="673"/>
      <c r="AC445" s="673"/>
      <c r="AD445" s="673"/>
      <c r="AE445" s="673"/>
      <c r="AF445" s="673"/>
      <c r="AG445" s="673"/>
      <c r="AH445" s="673"/>
      <c r="AI445" s="673"/>
      <c r="AJ445" s="673"/>
      <c r="AK445" s="673"/>
      <c r="AL445" s="673"/>
      <c r="AM445" s="673"/>
      <c r="AN445" s="673"/>
      <c r="AO445" s="673"/>
      <c r="AP445" s="673"/>
      <c r="AQ445" s="673"/>
      <c r="AR445" s="673"/>
      <c r="AS445" s="673"/>
    </row>
    <row r="446">
      <c r="A446" s="653"/>
      <c r="B446" s="654"/>
      <c r="C446" s="655"/>
      <c r="D446" s="656"/>
      <c r="E446" s="657"/>
      <c r="F446" s="658"/>
      <c r="G446" s="659"/>
      <c r="H446" s="660"/>
      <c r="I446" s="659"/>
      <c r="J446" s="661"/>
      <c r="K446" s="658"/>
      <c r="L446" s="662"/>
      <c r="M446" s="663"/>
      <c r="N446" s="664"/>
      <c r="O446" s="665"/>
      <c r="P446" s="666"/>
      <c r="Q446" s="667"/>
      <c r="R446" s="668"/>
      <c r="S446" s="665"/>
      <c r="T446" s="669"/>
      <c r="U446" s="669"/>
      <c r="V446" s="665"/>
      <c r="W446" s="670"/>
      <c r="X446" s="670"/>
      <c r="Y446" s="671"/>
      <c r="Z446" s="671"/>
      <c r="AA446" s="672"/>
      <c r="AB446" s="673"/>
      <c r="AC446" s="673"/>
      <c r="AD446" s="673"/>
      <c r="AE446" s="673"/>
      <c r="AF446" s="673"/>
      <c r="AG446" s="673"/>
      <c r="AH446" s="673"/>
      <c r="AI446" s="673"/>
      <c r="AJ446" s="673"/>
      <c r="AK446" s="673"/>
      <c r="AL446" s="673"/>
      <c r="AM446" s="673"/>
      <c r="AN446" s="673"/>
      <c r="AO446" s="673"/>
      <c r="AP446" s="673"/>
      <c r="AQ446" s="673"/>
      <c r="AR446" s="673"/>
      <c r="AS446" s="673"/>
    </row>
    <row r="447">
      <c r="A447" s="653"/>
      <c r="B447" s="654"/>
      <c r="C447" s="655"/>
      <c r="D447" s="656"/>
      <c r="E447" s="657"/>
      <c r="F447" s="658"/>
      <c r="G447" s="659"/>
      <c r="H447" s="660"/>
      <c r="I447" s="659"/>
      <c r="J447" s="661"/>
      <c r="K447" s="658"/>
      <c r="L447" s="662"/>
      <c r="M447" s="663"/>
      <c r="N447" s="664"/>
      <c r="O447" s="665"/>
      <c r="P447" s="666"/>
      <c r="Q447" s="667"/>
      <c r="R447" s="668"/>
      <c r="S447" s="665"/>
      <c r="T447" s="669"/>
      <c r="U447" s="669"/>
      <c r="V447" s="665"/>
      <c r="W447" s="670"/>
      <c r="X447" s="670"/>
      <c r="Y447" s="671"/>
      <c r="Z447" s="671"/>
      <c r="AA447" s="672"/>
      <c r="AB447" s="673"/>
      <c r="AC447" s="673"/>
      <c r="AD447" s="673"/>
      <c r="AE447" s="673"/>
      <c r="AF447" s="673"/>
      <c r="AG447" s="673"/>
      <c r="AH447" s="673"/>
      <c r="AI447" s="673"/>
      <c r="AJ447" s="673"/>
      <c r="AK447" s="673"/>
      <c r="AL447" s="673"/>
      <c r="AM447" s="673"/>
      <c r="AN447" s="673"/>
      <c r="AO447" s="673"/>
      <c r="AP447" s="673"/>
      <c r="AQ447" s="673"/>
      <c r="AR447" s="673"/>
      <c r="AS447" s="673"/>
    </row>
    <row r="448">
      <c r="A448" s="653"/>
      <c r="B448" s="654"/>
      <c r="C448" s="655"/>
      <c r="D448" s="656"/>
      <c r="E448" s="657"/>
      <c r="F448" s="658"/>
      <c r="G448" s="659"/>
      <c r="H448" s="660"/>
      <c r="I448" s="659"/>
      <c r="J448" s="661"/>
      <c r="K448" s="658"/>
      <c r="L448" s="662"/>
      <c r="M448" s="663"/>
      <c r="N448" s="664"/>
      <c r="O448" s="665"/>
      <c r="P448" s="666"/>
      <c r="Q448" s="667"/>
      <c r="R448" s="668"/>
      <c r="S448" s="665"/>
      <c r="T448" s="669"/>
      <c r="U448" s="669"/>
      <c r="V448" s="665"/>
      <c r="W448" s="670"/>
      <c r="X448" s="670"/>
      <c r="Y448" s="671"/>
      <c r="Z448" s="671"/>
      <c r="AA448" s="672"/>
      <c r="AB448" s="673"/>
      <c r="AC448" s="673"/>
      <c r="AD448" s="673"/>
      <c r="AE448" s="673"/>
      <c r="AF448" s="673"/>
      <c r="AG448" s="673"/>
      <c r="AH448" s="673"/>
      <c r="AI448" s="673"/>
      <c r="AJ448" s="673"/>
      <c r="AK448" s="673"/>
      <c r="AL448" s="673"/>
      <c r="AM448" s="673"/>
      <c r="AN448" s="673"/>
      <c r="AO448" s="673"/>
      <c r="AP448" s="673"/>
      <c r="AQ448" s="673"/>
      <c r="AR448" s="673"/>
      <c r="AS448" s="673"/>
    </row>
    <row r="449">
      <c r="A449" s="653"/>
      <c r="B449" s="654"/>
      <c r="C449" s="655"/>
      <c r="D449" s="656"/>
      <c r="E449" s="657"/>
      <c r="F449" s="658"/>
      <c r="G449" s="659"/>
      <c r="H449" s="660"/>
      <c r="I449" s="659"/>
      <c r="J449" s="661"/>
      <c r="K449" s="658"/>
      <c r="L449" s="662"/>
      <c r="M449" s="663"/>
      <c r="N449" s="664"/>
      <c r="O449" s="665"/>
      <c r="P449" s="666"/>
      <c r="Q449" s="667"/>
      <c r="R449" s="668"/>
      <c r="S449" s="665"/>
      <c r="T449" s="669"/>
      <c r="U449" s="669"/>
      <c r="V449" s="665"/>
      <c r="W449" s="670"/>
      <c r="X449" s="670"/>
      <c r="Y449" s="671"/>
      <c r="Z449" s="671"/>
      <c r="AA449" s="672"/>
      <c r="AB449" s="673"/>
      <c r="AC449" s="673"/>
      <c r="AD449" s="673"/>
      <c r="AE449" s="673"/>
      <c r="AF449" s="673"/>
      <c r="AG449" s="673"/>
      <c r="AH449" s="673"/>
      <c r="AI449" s="673"/>
      <c r="AJ449" s="673"/>
      <c r="AK449" s="673"/>
      <c r="AL449" s="673"/>
      <c r="AM449" s="673"/>
      <c r="AN449" s="673"/>
      <c r="AO449" s="673"/>
      <c r="AP449" s="673"/>
      <c r="AQ449" s="673"/>
      <c r="AR449" s="673"/>
      <c r="AS449" s="673"/>
    </row>
    <row r="450">
      <c r="A450" s="653"/>
      <c r="B450" s="654"/>
      <c r="C450" s="655"/>
      <c r="D450" s="656"/>
      <c r="E450" s="657"/>
      <c r="F450" s="658"/>
      <c r="G450" s="659"/>
      <c r="H450" s="660"/>
      <c r="I450" s="659"/>
      <c r="J450" s="661"/>
      <c r="K450" s="658"/>
      <c r="L450" s="662"/>
      <c r="M450" s="663"/>
      <c r="N450" s="664"/>
      <c r="O450" s="665"/>
      <c r="P450" s="666"/>
      <c r="Q450" s="667"/>
      <c r="R450" s="668"/>
      <c r="S450" s="665"/>
      <c r="T450" s="669"/>
      <c r="U450" s="669"/>
      <c r="V450" s="665"/>
      <c r="W450" s="670"/>
      <c r="X450" s="670"/>
      <c r="Y450" s="671"/>
      <c r="Z450" s="671"/>
      <c r="AA450" s="672"/>
      <c r="AB450" s="673"/>
      <c r="AC450" s="673"/>
      <c r="AD450" s="673"/>
      <c r="AE450" s="673"/>
      <c r="AF450" s="673"/>
      <c r="AG450" s="673"/>
      <c r="AH450" s="673"/>
      <c r="AI450" s="673"/>
      <c r="AJ450" s="673"/>
      <c r="AK450" s="673"/>
      <c r="AL450" s="673"/>
      <c r="AM450" s="673"/>
      <c r="AN450" s="673"/>
      <c r="AO450" s="673"/>
      <c r="AP450" s="673"/>
      <c r="AQ450" s="673"/>
      <c r="AR450" s="673"/>
      <c r="AS450" s="673"/>
    </row>
    <row r="451">
      <c r="A451" s="653"/>
      <c r="B451" s="654"/>
      <c r="C451" s="655"/>
      <c r="D451" s="656"/>
      <c r="E451" s="657"/>
      <c r="F451" s="658"/>
      <c r="G451" s="659"/>
      <c r="H451" s="660"/>
      <c r="I451" s="659"/>
      <c r="J451" s="661"/>
      <c r="K451" s="658"/>
      <c r="L451" s="662"/>
      <c r="M451" s="663"/>
      <c r="N451" s="664"/>
      <c r="O451" s="665"/>
      <c r="P451" s="666"/>
      <c r="Q451" s="667"/>
      <c r="R451" s="668"/>
      <c r="S451" s="665"/>
      <c r="T451" s="669"/>
      <c r="U451" s="669"/>
      <c r="V451" s="665"/>
      <c r="W451" s="670"/>
      <c r="X451" s="670"/>
      <c r="Y451" s="671"/>
      <c r="Z451" s="671"/>
      <c r="AA451" s="672"/>
      <c r="AB451" s="673"/>
      <c r="AC451" s="673"/>
      <c r="AD451" s="673"/>
      <c r="AE451" s="673"/>
      <c r="AF451" s="673"/>
      <c r="AG451" s="673"/>
      <c r="AH451" s="673"/>
      <c r="AI451" s="673"/>
      <c r="AJ451" s="673"/>
      <c r="AK451" s="673"/>
      <c r="AL451" s="673"/>
      <c r="AM451" s="673"/>
      <c r="AN451" s="673"/>
      <c r="AO451" s="673"/>
      <c r="AP451" s="673"/>
      <c r="AQ451" s="673"/>
      <c r="AR451" s="673"/>
      <c r="AS451" s="673"/>
    </row>
    <row r="452">
      <c r="A452" s="653"/>
      <c r="B452" s="654"/>
      <c r="C452" s="655"/>
      <c r="D452" s="656"/>
      <c r="E452" s="657"/>
      <c r="F452" s="658"/>
      <c r="G452" s="659"/>
      <c r="H452" s="660"/>
      <c r="I452" s="659"/>
      <c r="J452" s="661"/>
      <c r="K452" s="658"/>
      <c r="L452" s="662"/>
      <c r="M452" s="663"/>
      <c r="N452" s="664"/>
      <c r="O452" s="665"/>
      <c r="P452" s="666"/>
      <c r="Q452" s="667"/>
      <c r="R452" s="668"/>
      <c r="S452" s="665"/>
      <c r="T452" s="669"/>
      <c r="U452" s="669"/>
      <c r="V452" s="665"/>
      <c r="W452" s="670"/>
      <c r="X452" s="670"/>
      <c r="Y452" s="671"/>
      <c r="Z452" s="671"/>
      <c r="AA452" s="672"/>
      <c r="AB452" s="673"/>
      <c r="AC452" s="673"/>
      <c r="AD452" s="673"/>
      <c r="AE452" s="673"/>
      <c r="AF452" s="673"/>
      <c r="AG452" s="673"/>
      <c r="AH452" s="673"/>
      <c r="AI452" s="673"/>
      <c r="AJ452" s="673"/>
      <c r="AK452" s="673"/>
      <c r="AL452" s="673"/>
      <c r="AM452" s="673"/>
      <c r="AN452" s="673"/>
      <c r="AO452" s="673"/>
      <c r="AP452" s="673"/>
      <c r="AQ452" s="673"/>
      <c r="AR452" s="673"/>
      <c r="AS452" s="673"/>
    </row>
    <row r="453">
      <c r="A453" s="653"/>
      <c r="B453" s="654"/>
      <c r="C453" s="655"/>
      <c r="D453" s="656"/>
      <c r="E453" s="657"/>
      <c r="F453" s="658"/>
      <c r="G453" s="659"/>
      <c r="H453" s="660"/>
      <c r="I453" s="659"/>
      <c r="J453" s="661"/>
      <c r="K453" s="658"/>
      <c r="L453" s="662"/>
      <c r="M453" s="663"/>
      <c r="N453" s="664"/>
      <c r="O453" s="665"/>
      <c r="P453" s="666"/>
      <c r="Q453" s="667"/>
      <c r="R453" s="668"/>
      <c r="S453" s="665"/>
      <c r="T453" s="669"/>
      <c r="U453" s="669"/>
      <c r="V453" s="665"/>
      <c r="W453" s="670"/>
      <c r="X453" s="670"/>
      <c r="Y453" s="671"/>
      <c r="Z453" s="671"/>
      <c r="AA453" s="672"/>
      <c r="AB453" s="673"/>
      <c r="AC453" s="673"/>
      <c r="AD453" s="673"/>
      <c r="AE453" s="673"/>
      <c r="AF453" s="673"/>
      <c r="AG453" s="673"/>
      <c r="AH453" s="673"/>
      <c r="AI453" s="673"/>
      <c r="AJ453" s="673"/>
      <c r="AK453" s="673"/>
      <c r="AL453" s="673"/>
      <c r="AM453" s="673"/>
      <c r="AN453" s="673"/>
      <c r="AO453" s="673"/>
      <c r="AP453" s="673"/>
      <c r="AQ453" s="673"/>
      <c r="AR453" s="673"/>
      <c r="AS453" s="673"/>
    </row>
    <row r="454">
      <c r="A454" s="653"/>
      <c r="B454" s="654"/>
      <c r="C454" s="655"/>
      <c r="D454" s="656"/>
      <c r="E454" s="657"/>
      <c r="F454" s="658"/>
      <c r="G454" s="659"/>
      <c r="H454" s="660"/>
      <c r="I454" s="659"/>
      <c r="J454" s="661"/>
      <c r="K454" s="658"/>
      <c r="L454" s="662"/>
      <c r="M454" s="663"/>
      <c r="N454" s="664"/>
      <c r="O454" s="665"/>
      <c r="P454" s="666"/>
      <c r="Q454" s="667"/>
      <c r="R454" s="668"/>
      <c r="S454" s="665"/>
      <c r="T454" s="669"/>
      <c r="U454" s="669"/>
      <c r="V454" s="665"/>
      <c r="W454" s="670"/>
      <c r="X454" s="670"/>
      <c r="Y454" s="671"/>
      <c r="Z454" s="671"/>
      <c r="AA454" s="672"/>
      <c r="AB454" s="673"/>
      <c r="AC454" s="673"/>
      <c r="AD454" s="673"/>
      <c r="AE454" s="673"/>
      <c r="AF454" s="673"/>
      <c r="AG454" s="673"/>
      <c r="AH454" s="673"/>
      <c r="AI454" s="673"/>
      <c r="AJ454" s="673"/>
      <c r="AK454" s="673"/>
      <c r="AL454" s="673"/>
      <c r="AM454" s="673"/>
      <c r="AN454" s="673"/>
      <c r="AO454" s="673"/>
      <c r="AP454" s="673"/>
      <c r="AQ454" s="673"/>
      <c r="AR454" s="673"/>
      <c r="AS454" s="673"/>
    </row>
    <row r="455">
      <c r="A455" s="653"/>
      <c r="B455" s="654"/>
      <c r="C455" s="655"/>
      <c r="D455" s="656"/>
      <c r="E455" s="657"/>
      <c r="F455" s="658"/>
      <c r="G455" s="659"/>
      <c r="H455" s="660"/>
      <c r="I455" s="659"/>
      <c r="J455" s="661"/>
      <c r="K455" s="658"/>
      <c r="L455" s="662"/>
      <c r="M455" s="663"/>
      <c r="N455" s="664"/>
      <c r="O455" s="665"/>
      <c r="P455" s="666"/>
      <c r="Q455" s="667"/>
      <c r="R455" s="668"/>
      <c r="S455" s="665"/>
      <c r="T455" s="669"/>
      <c r="U455" s="669"/>
      <c r="V455" s="665"/>
      <c r="W455" s="670"/>
      <c r="X455" s="670"/>
      <c r="Y455" s="671"/>
      <c r="Z455" s="671"/>
      <c r="AA455" s="672"/>
      <c r="AB455" s="673"/>
      <c r="AC455" s="673"/>
      <c r="AD455" s="673"/>
      <c r="AE455" s="673"/>
      <c r="AF455" s="673"/>
      <c r="AG455" s="673"/>
      <c r="AH455" s="673"/>
      <c r="AI455" s="673"/>
      <c r="AJ455" s="673"/>
      <c r="AK455" s="673"/>
      <c r="AL455" s="673"/>
      <c r="AM455" s="673"/>
      <c r="AN455" s="673"/>
      <c r="AO455" s="673"/>
      <c r="AP455" s="673"/>
      <c r="AQ455" s="673"/>
      <c r="AR455" s="673"/>
      <c r="AS455" s="673"/>
    </row>
    <row r="456">
      <c r="A456" s="653"/>
      <c r="B456" s="654"/>
      <c r="C456" s="655"/>
      <c r="D456" s="656"/>
      <c r="E456" s="657"/>
      <c r="F456" s="658"/>
      <c r="G456" s="659"/>
      <c r="H456" s="660"/>
      <c r="I456" s="659"/>
      <c r="J456" s="661"/>
      <c r="K456" s="658"/>
      <c r="L456" s="662"/>
      <c r="M456" s="663"/>
      <c r="N456" s="664"/>
      <c r="O456" s="665"/>
      <c r="P456" s="666"/>
      <c r="Q456" s="667"/>
      <c r="R456" s="668"/>
      <c r="S456" s="665"/>
      <c r="T456" s="669"/>
      <c r="U456" s="669"/>
      <c r="V456" s="665"/>
      <c r="W456" s="670"/>
      <c r="X456" s="670"/>
      <c r="Y456" s="671"/>
      <c r="Z456" s="671"/>
      <c r="AA456" s="672"/>
      <c r="AB456" s="673"/>
      <c r="AC456" s="673"/>
      <c r="AD456" s="673"/>
      <c r="AE456" s="673"/>
      <c r="AF456" s="673"/>
      <c r="AG456" s="673"/>
      <c r="AH456" s="673"/>
      <c r="AI456" s="673"/>
      <c r="AJ456" s="673"/>
      <c r="AK456" s="673"/>
      <c r="AL456" s="673"/>
      <c r="AM456" s="673"/>
      <c r="AN456" s="673"/>
      <c r="AO456" s="673"/>
      <c r="AP456" s="673"/>
      <c r="AQ456" s="673"/>
      <c r="AR456" s="673"/>
      <c r="AS456" s="673"/>
    </row>
    <row r="457">
      <c r="A457" s="653"/>
      <c r="B457" s="654"/>
      <c r="C457" s="655"/>
      <c r="D457" s="656"/>
      <c r="E457" s="657"/>
      <c r="F457" s="658"/>
      <c r="G457" s="659"/>
      <c r="H457" s="660"/>
      <c r="I457" s="659"/>
      <c r="J457" s="661"/>
      <c r="K457" s="658"/>
      <c r="L457" s="662"/>
      <c r="M457" s="663"/>
      <c r="N457" s="664"/>
      <c r="O457" s="665"/>
      <c r="P457" s="666"/>
      <c r="Q457" s="667"/>
      <c r="R457" s="668"/>
      <c r="S457" s="665"/>
      <c r="T457" s="669"/>
      <c r="U457" s="669"/>
      <c r="V457" s="665"/>
      <c r="W457" s="670"/>
      <c r="X457" s="670"/>
      <c r="Y457" s="671"/>
      <c r="Z457" s="671"/>
      <c r="AA457" s="672"/>
      <c r="AB457" s="673"/>
      <c r="AC457" s="673"/>
      <c r="AD457" s="673"/>
      <c r="AE457" s="673"/>
      <c r="AF457" s="673"/>
      <c r="AG457" s="673"/>
      <c r="AH457" s="673"/>
      <c r="AI457" s="673"/>
      <c r="AJ457" s="673"/>
      <c r="AK457" s="673"/>
      <c r="AL457" s="673"/>
      <c r="AM457" s="673"/>
      <c r="AN457" s="673"/>
      <c r="AO457" s="673"/>
      <c r="AP457" s="673"/>
      <c r="AQ457" s="673"/>
      <c r="AR457" s="673"/>
      <c r="AS457" s="673"/>
    </row>
    <row r="458">
      <c r="A458" s="653"/>
      <c r="B458" s="654"/>
      <c r="C458" s="655"/>
      <c r="D458" s="656"/>
      <c r="E458" s="657"/>
      <c r="F458" s="658"/>
      <c r="G458" s="659"/>
      <c r="H458" s="660"/>
      <c r="I458" s="659"/>
      <c r="J458" s="661"/>
      <c r="K458" s="658"/>
      <c r="L458" s="662"/>
      <c r="M458" s="663"/>
      <c r="N458" s="664"/>
      <c r="O458" s="665"/>
      <c r="P458" s="666"/>
      <c r="Q458" s="667"/>
      <c r="R458" s="668"/>
      <c r="S458" s="665"/>
      <c r="T458" s="669"/>
      <c r="U458" s="669"/>
      <c r="V458" s="665"/>
      <c r="W458" s="670"/>
      <c r="X458" s="670"/>
      <c r="Y458" s="671"/>
      <c r="Z458" s="671"/>
      <c r="AA458" s="672"/>
      <c r="AB458" s="673"/>
      <c r="AC458" s="673"/>
      <c r="AD458" s="673"/>
      <c r="AE458" s="673"/>
      <c r="AF458" s="673"/>
      <c r="AG458" s="673"/>
      <c r="AH458" s="673"/>
      <c r="AI458" s="673"/>
      <c r="AJ458" s="673"/>
      <c r="AK458" s="673"/>
      <c r="AL458" s="673"/>
      <c r="AM458" s="673"/>
      <c r="AN458" s="673"/>
      <c r="AO458" s="673"/>
      <c r="AP458" s="673"/>
      <c r="AQ458" s="673"/>
      <c r="AR458" s="673"/>
      <c r="AS458" s="673"/>
    </row>
    <row r="459">
      <c r="A459" s="653"/>
      <c r="B459" s="654"/>
      <c r="C459" s="655"/>
      <c r="D459" s="656"/>
      <c r="E459" s="657"/>
      <c r="F459" s="658"/>
      <c r="G459" s="659"/>
      <c r="H459" s="660"/>
      <c r="I459" s="659"/>
      <c r="J459" s="661"/>
      <c r="K459" s="658"/>
      <c r="L459" s="662"/>
      <c r="M459" s="663"/>
      <c r="N459" s="664"/>
      <c r="O459" s="665"/>
      <c r="P459" s="666"/>
      <c r="Q459" s="667"/>
      <c r="R459" s="668"/>
      <c r="S459" s="665"/>
      <c r="T459" s="669"/>
      <c r="U459" s="669"/>
      <c r="V459" s="665"/>
      <c r="W459" s="670"/>
      <c r="X459" s="670"/>
      <c r="Y459" s="671"/>
      <c r="Z459" s="671"/>
      <c r="AA459" s="672"/>
      <c r="AB459" s="673"/>
      <c r="AC459" s="673"/>
      <c r="AD459" s="673"/>
      <c r="AE459" s="673"/>
      <c r="AF459" s="673"/>
      <c r="AG459" s="673"/>
      <c r="AH459" s="673"/>
      <c r="AI459" s="673"/>
      <c r="AJ459" s="673"/>
      <c r="AK459" s="673"/>
      <c r="AL459" s="673"/>
      <c r="AM459" s="673"/>
      <c r="AN459" s="673"/>
      <c r="AO459" s="673"/>
      <c r="AP459" s="673"/>
      <c r="AQ459" s="673"/>
      <c r="AR459" s="673"/>
      <c r="AS459" s="673"/>
    </row>
    <row r="460">
      <c r="A460" s="653"/>
      <c r="B460" s="654"/>
      <c r="C460" s="655"/>
      <c r="D460" s="656"/>
      <c r="E460" s="657"/>
      <c r="F460" s="658"/>
      <c r="G460" s="659"/>
      <c r="H460" s="660"/>
      <c r="I460" s="659"/>
      <c r="J460" s="661"/>
      <c r="K460" s="658"/>
      <c r="L460" s="662"/>
      <c r="M460" s="663"/>
      <c r="N460" s="664"/>
      <c r="O460" s="665"/>
      <c r="P460" s="666"/>
      <c r="Q460" s="667"/>
      <c r="R460" s="668"/>
      <c r="S460" s="665"/>
      <c r="T460" s="669"/>
      <c r="U460" s="669"/>
      <c r="V460" s="665"/>
      <c r="W460" s="670"/>
      <c r="X460" s="670"/>
      <c r="Y460" s="671"/>
      <c r="Z460" s="671"/>
      <c r="AA460" s="672"/>
      <c r="AB460" s="673"/>
      <c r="AC460" s="673"/>
      <c r="AD460" s="673"/>
      <c r="AE460" s="673"/>
      <c r="AF460" s="673"/>
      <c r="AG460" s="673"/>
      <c r="AH460" s="673"/>
      <c r="AI460" s="673"/>
      <c r="AJ460" s="673"/>
      <c r="AK460" s="673"/>
      <c r="AL460" s="673"/>
      <c r="AM460" s="673"/>
      <c r="AN460" s="673"/>
      <c r="AO460" s="673"/>
      <c r="AP460" s="673"/>
      <c r="AQ460" s="673"/>
      <c r="AR460" s="673"/>
      <c r="AS460" s="673"/>
    </row>
    <row r="461">
      <c r="A461" s="653"/>
      <c r="B461" s="654"/>
      <c r="C461" s="655"/>
      <c r="D461" s="656"/>
      <c r="E461" s="657"/>
      <c r="F461" s="658"/>
      <c r="G461" s="659"/>
      <c r="H461" s="660"/>
      <c r="I461" s="659"/>
      <c r="J461" s="661"/>
      <c r="K461" s="658"/>
      <c r="L461" s="662"/>
      <c r="M461" s="663"/>
      <c r="N461" s="664"/>
      <c r="O461" s="665"/>
      <c r="P461" s="666"/>
      <c r="Q461" s="667"/>
      <c r="R461" s="668"/>
      <c r="S461" s="665"/>
      <c r="T461" s="669"/>
      <c r="U461" s="669"/>
      <c r="V461" s="665"/>
      <c r="W461" s="670"/>
      <c r="X461" s="670"/>
      <c r="Y461" s="671"/>
      <c r="Z461" s="671"/>
      <c r="AA461" s="672"/>
      <c r="AB461" s="673"/>
      <c r="AC461" s="673"/>
      <c r="AD461" s="673"/>
      <c r="AE461" s="673"/>
      <c r="AF461" s="673"/>
      <c r="AG461" s="673"/>
      <c r="AH461" s="673"/>
      <c r="AI461" s="673"/>
      <c r="AJ461" s="673"/>
      <c r="AK461" s="673"/>
      <c r="AL461" s="673"/>
      <c r="AM461" s="673"/>
      <c r="AN461" s="673"/>
      <c r="AO461" s="673"/>
      <c r="AP461" s="673"/>
      <c r="AQ461" s="673"/>
      <c r="AR461" s="673"/>
      <c r="AS461" s="673"/>
    </row>
    <row r="462">
      <c r="A462" s="653"/>
      <c r="B462" s="654"/>
      <c r="C462" s="655"/>
      <c r="D462" s="656"/>
      <c r="E462" s="657"/>
      <c r="F462" s="658"/>
      <c r="G462" s="659"/>
      <c r="H462" s="660"/>
      <c r="I462" s="659"/>
      <c r="J462" s="661"/>
      <c r="K462" s="658"/>
      <c r="L462" s="662"/>
      <c r="M462" s="663"/>
      <c r="N462" s="664"/>
      <c r="O462" s="665"/>
      <c r="P462" s="666"/>
      <c r="Q462" s="667"/>
      <c r="R462" s="668"/>
      <c r="S462" s="665"/>
      <c r="T462" s="669"/>
      <c r="U462" s="669"/>
      <c r="V462" s="665"/>
      <c r="W462" s="670"/>
      <c r="X462" s="670"/>
      <c r="Y462" s="671"/>
      <c r="Z462" s="671"/>
      <c r="AA462" s="672"/>
      <c r="AB462" s="673"/>
      <c r="AC462" s="673"/>
      <c r="AD462" s="673"/>
      <c r="AE462" s="673"/>
      <c r="AF462" s="673"/>
      <c r="AG462" s="673"/>
      <c r="AH462" s="673"/>
      <c r="AI462" s="673"/>
      <c r="AJ462" s="673"/>
      <c r="AK462" s="673"/>
      <c r="AL462" s="673"/>
      <c r="AM462" s="673"/>
      <c r="AN462" s="673"/>
      <c r="AO462" s="673"/>
      <c r="AP462" s="673"/>
      <c r="AQ462" s="673"/>
      <c r="AR462" s="673"/>
      <c r="AS462" s="673"/>
    </row>
    <row r="463">
      <c r="A463" s="653"/>
      <c r="B463" s="654"/>
      <c r="C463" s="655"/>
      <c r="D463" s="656"/>
      <c r="E463" s="657"/>
      <c r="F463" s="658"/>
      <c r="G463" s="659"/>
      <c r="H463" s="660"/>
      <c r="I463" s="659"/>
      <c r="J463" s="661"/>
      <c r="K463" s="658"/>
      <c r="L463" s="662"/>
      <c r="M463" s="663"/>
      <c r="N463" s="664"/>
      <c r="O463" s="665"/>
      <c r="P463" s="666"/>
      <c r="Q463" s="667"/>
      <c r="R463" s="668"/>
      <c r="S463" s="665"/>
      <c r="T463" s="669"/>
      <c r="U463" s="669"/>
      <c r="V463" s="665"/>
      <c r="W463" s="670"/>
      <c r="X463" s="670"/>
      <c r="Y463" s="671"/>
      <c r="Z463" s="671"/>
      <c r="AA463" s="672"/>
      <c r="AB463" s="673"/>
      <c r="AC463" s="673"/>
      <c r="AD463" s="673"/>
      <c r="AE463" s="673"/>
      <c r="AF463" s="673"/>
      <c r="AG463" s="673"/>
      <c r="AH463" s="673"/>
      <c r="AI463" s="673"/>
      <c r="AJ463" s="673"/>
      <c r="AK463" s="673"/>
      <c r="AL463" s="673"/>
      <c r="AM463" s="673"/>
      <c r="AN463" s="673"/>
      <c r="AO463" s="673"/>
      <c r="AP463" s="673"/>
      <c r="AQ463" s="673"/>
      <c r="AR463" s="673"/>
      <c r="AS463" s="673"/>
    </row>
    <row r="464">
      <c r="A464" s="653"/>
      <c r="B464" s="654"/>
      <c r="C464" s="655"/>
      <c r="D464" s="656"/>
      <c r="E464" s="657"/>
      <c r="F464" s="658"/>
      <c r="G464" s="659"/>
      <c r="H464" s="660"/>
      <c r="I464" s="659"/>
      <c r="J464" s="661"/>
      <c r="K464" s="658"/>
      <c r="L464" s="662"/>
      <c r="M464" s="663"/>
      <c r="N464" s="664"/>
      <c r="O464" s="665"/>
      <c r="P464" s="666"/>
      <c r="Q464" s="667"/>
      <c r="R464" s="668"/>
      <c r="S464" s="665"/>
      <c r="T464" s="669"/>
      <c r="U464" s="669"/>
      <c r="V464" s="665"/>
      <c r="W464" s="670"/>
      <c r="X464" s="670"/>
      <c r="Y464" s="671"/>
      <c r="Z464" s="671"/>
      <c r="AA464" s="672"/>
      <c r="AB464" s="673"/>
      <c r="AC464" s="673"/>
      <c r="AD464" s="673"/>
      <c r="AE464" s="673"/>
      <c r="AF464" s="673"/>
      <c r="AG464" s="673"/>
      <c r="AH464" s="673"/>
      <c r="AI464" s="673"/>
      <c r="AJ464" s="673"/>
      <c r="AK464" s="673"/>
      <c r="AL464" s="673"/>
      <c r="AM464" s="673"/>
      <c r="AN464" s="673"/>
      <c r="AO464" s="673"/>
      <c r="AP464" s="673"/>
      <c r="AQ464" s="673"/>
      <c r="AR464" s="673"/>
      <c r="AS464" s="673"/>
    </row>
    <row r="465">
      <c r="A465" s="653"/>
      <c r="B465" s="654"/>
      <c r="C465" s="655"/>
      <c r="D465" s="656"/>
      <c r="E465" s="657"/>
      <c r="F465" s="658"/>
      <c r="G465" s="659"/>
      <c r="H465" s="660"/>
      <c r="I465" s="659"/>
      <c r="J465" s="661"/>
      <c r="K465" s="658"/>
      <c r="L465" s="662"/>
      <c r="M465" s="663"/>
      <c r="N465" s="664"/>
      <c r="O465" s="665"/>
      <c r="P465" s="666"/>
      <c r="Q465" s="667"/>
      <c r="R465" s="668"/>
      <c r="S465" s="665"/>
      <c r="T465" s="669"/>
      <c r="U465" s="669"/>
      <c r="V465" s="665"/>
      <c r="W465" s="670"/>
      <c r="X465" s="670"/>
      <c r="Y465" s="671"/>
      <c r="Z465" s="671"/>
      <c r="AA465" s="672"/>
      <c r="AB465" s="673"/>
      <c r="AC465" s="673"/>
      <c r="AD465" s="673"/>
      <c r="AE465" s="673"/>
      <c r="AF465" s="673"/>
      <c r="AG465" s="673"/>
      <c r="AH465" s="673"/>
      <c r="AI465" s="673"/>
      <c r="AJ465" s="673"/>
      <c r="AK465" s="673"/>
      <c r="AL465" s="673"/>
      <c r="AM465" s="673"/>
      <c r="AN465" s="673"/>
      <c r="AO465" s="673"/>
      <c r="AP465" s="673"/>
      <c r="AQ465" s="673"/>
      <c r="AR465" s="673"/>
      <c r="AS465" s="673"/>
    </row>
    <row r="466">
      <c r="A466" s="653"/>
      <c r="B466" s="654"/>
      <c r="C466" s="655"/>
      <c r="D466" s="656"/>
      <c r="E466" s="657"/>
      <c r="F466" s="658"/>
      <c r="G466" s="659"/>
      <c r="H466" s="660"/>
      <c r="I466" s="659"/>
      <c r="J466" s="661"/>
      <c r="K466" s="658"/>
      <c r="L466" s="662"/>
      <c r="M466" s="663"/>
      <c r="N466" s="664"/>
      <c r="O466" s="665"/>
      <c r="P466" s="666"/>
      <c r="Q466" s="667"/>
      <c r="R466" s="668"/>
      <c r="S466" s="665"/>
      <c r="T466" s="669"/>
      <c r="U466" s="669"/>
      <c r="V466" s="665"/>
      <c r="W466" s="670"/>
      <c r="X466" s="670"/>
      <c r="Y466" s="671"/>
      <c r="Z466" s="671"/>
      <c r="AA466" s="672"/>
      <c r="AB466" s="673"/>
      <c r="AC466" s="673"/>
      <c r="AD466" s="673"/>
      <c r="AE466" s="673"/>
      <c r="AF466" s="673"/>
      <c r="AG466" s="673"/>
      <c r="AH466" s="673"/>
      <c r="AI466" s="673"/>
      <c r="AJ466" s="673"/>
      <c r="AK466" s="673"/>
      <c r="AL466" s="673"/>
      <c r="AM466" s="673"/>
      <c r="AN466" s="673"/>
      <c r="AO466" s="673"/>
      <c r="AP466" s="673"/>
      <c r="AQ466" s="673"/>
      <c r="AR466" s="673"/>
      <c r="AS466" s="673"/>
    </row>
    <row r="467">
      <c r="A467" s="653"/>
      <c r="B467" s="654"/>
      <c r="C467" s="655"/>
      <c r="D467" s="656"/>
      <c r="E467" s="657"/>
      <c r="F467" s="658"/>
      <c r="G467" s="659"/>
      <c r="H467" s="660"/>
      <c r="I467" s="659"/>
      <c r="J467" s="661"/>
      <c r="K467" s="658"/>
      <c r="L467" s="662"/>
      <c r="M467" s="663"/>
      <c r="N467" s="664"/>
      <c r="O467" s="665"/>
      <c r="P467" s="666"/>
      <c r="Q467" s="667"/>
      <c r="R467" s="668"/>
      <c r="S467" s="665"/>
      <c r="T467" s="669"/>
      <c r="U467" s="669"/>
      <c r="V467" s="665"/>
      <c r="W467" s="670"/>
      <c r="X467" s="670"/>
      <c r="Y467" s="671"/>
      <c r="Z467" s="671"/>
      <c r="AA467" s="672"/>
      <c r="AB467" s="673"/>
      <c r="AC467" s="673"/>
      <c r="AD467" s="673"/>
      <c r="AE467" s="673"/>
      <c r="AF467" s="673"/>
      <c r="AG467" s="673"/>
      <c r="AH467" s="673"/>
      <c r="AI467" s="673"/>
      <c r="AJ467" s="673"/>
      <c r="AK467" s="673"/>
      <c r="AL467" s="673"/>
      <c r="AM467" s="673"/>
      <c r="AN467" s="673"/>
      <c r="AO467" s="673"/>
      <c r="AP467" s="673"/>
      <c r="AQ467" s="673"/>
      <c r="AR467" s="673"/>
      <c r="AS467" s="673"/>
    </row>
    <row r="468">
      <c r="A468" s="653"/>
      <c r="B468" s="654"/>
      <c r="C468" s="655"/>
      <c r="D468" s="656"/>
      <c r="E468" s="657"/>
      <c r="F468" s="658"/>
      <c r="G468" s="659"/>
      <c r="H468" s="660"/>
      <c r="I468" s="659"/>
      <c r="J468" s="661"/>
      <c r="K468" s="658"/>
      <c r="L468" s="662"/>
      <c r="M468" s="663"/>
      <c r="N468" s="664"/>
      <c r="O468" s="665"/>
      <c r="P468" s="666"/>
      <c r="Q468" s="667"/>
      <c r="R468" s="668"/>
      <c r="S468" s="665"/>
      <c r="T468" s="669"/>
      <c r="U468" s="669"/>
      <c r="V468" s="665"/>
      <c r="W468" s="670"/>
      <c r="X468" s="670"/>
      <c r="Y468" s="671"/>
      <c r="Z468" s="671"/>
      <c r="AA468" s="672"/>
      <c r="AB468" s="673"/>
      <c r="AC468" s="673"/>
      <c r="AD468" s="673"/>
      <c r="AE468" s="673"/>
      <c r="AF468" s="673"/>
      <c r="AG468" s="673"/>
      <c r="AH468" s="673"/>
      <c r="AI468" s="673"/>
      <c r="AJ468" s="673"/>
      <c r="AK468" s="673"/>
      <c r="AL468" s="673"/>
      <c r="AM468" s="673"/>
      <c r="AN468" s="673"/>
      <c r="AO468" s="673"/>
      <c r="AP468" s="673"/>
      <c r="AQ468" s="673"/>
      <c r="AR468" s="673"/>
      <c r="AS468" s="673"/>
    </row>
    <row r="469">
      <c r="A469" s="653"/>
      <c r="B469" s="654"/>
      <c r="C469" s="655"/>
      <c r="D469" s="656"/>
      <c r="E469" s="657"/>
      <c r="F469" s="658"/>
      <c r="G469" s="659"/>
      <c r="H469" s="660"/>
      <c r="I469" s="659"/>
      <c r="J469" s="661"/>
      <c r="K469" s="658"/>
      <c r="L469" s="662"/>
      <c r="M469" s="663"/>
      <c r="N469" s="664"/>
      <c r="O469" s="665"/>
      <c r="P469" s="666"/>
      <c r="Q469" s="667"/>
      <c r="R469" s="668"/>
      <c r="S469" s="665"/>
      <c r="T469" s="669"/>
      <c r="U469" s="669"/>
      <c r="V469" s="665"/>
      <c r="W469" s="670"/>
      <c r="X469" s="670"/>
      <c r="Y469" s="671"/>
      <c r="Z469" s="671"/>
      <c r="AA469" s="672"/>
      <c r="AB469" s="673"/>
      <c r="AC469" s="673"/>
      <c r="AD469" s="673"/>
      <c r="AE469" s="673"/>
      <c r="AF469" s="673"/>
      <c r="AG469" s="673"/>
      <c r="AH469" s="673"/>
      <c r="AI469" s="673"/>
      <c r="AJ469" s="673"/>
      <c r="AK469" s="673"/>
      <c r="AL469" s="673"/>
      <c r="AM469" s="673"/>
      <c r="AN469" s="673"/>
      <c r="AO469" s="673"/>
      <c r="AP469" s="673"/>
      <c r="AQ469" s="673"/>
      <c r="AR469" s="673"/>
      <c r="AS469" s="673"/>
    </row>
    <row r="470">
      <c r="A470" s="653"/>
      <c r="B470" s="654"/>
      <c r="C470" s="655"/>
      <c r="D470" s="656"/>
      <c r="E470" s="657"/>
      <c r="F470" s="658"/>
      <c r="G470" s="659"/>
      <c r="H470" s="660"/>
      <c r="I470" s="659"/>
      <c r="J470" s="661"/>
      <c r="K470" s="658"/>
      <c r="L470" s="662"/>
      <c r="M470" s="663"/>
      <c r="N470" s="664"/>
      <c r="O470" s="665"/>
      <c r="P470" s="666"/>
      <c r="Q470" s="667"/>
      <c r="R470" s="668"/>
      <c r="S470" s="665"/>
      <c r="T470" s="669"/>
      <c r="U470" s="669"/>
      <c r="V470" s="665"/>
      <c r="W470" s="670"/>
      <c r="X470" s="670"/>
      <c r="Y470" s="671"/>
      <c r="Z470" s="671"/>
      <c r="AA470" s="672"/>
      <c r="AB470" s="673"/>
      <c r="AC470" s="673"/>
      <c r="AD470" s="673"/>
      <c r="AE470" s="673"/>
      <c r="AF470" s="673"/>
      <c r="AG470" s="673"/>
      <c r="AH470" s="673"/>
      <c r="AI470" s="673"/>
      <c r="AJ470" s="673"/>
      <c r="AK470" s="673"/>
      <c r="AL470" s="673"/>
      <c r="AM470" s="673"/>
      <c r="AN470" s="673"/>
      <c r="AO470" s="673"/>
      <c r="AP470" s="673"/>
      <c r="AQ470" s="673"/>
      <c r="AR470" s="673"/>
      <c r="AS470" s="673"/>
    </row>
    <row r="471">
      <c r="A471" s="653"/>
      <c r="B471" s="654"/>
      <c r="C471" s="655"/>
      <c r="D471" s="656"/>
      <c r="E471" s="657"/>
      <c r="F471" s="658"/>
      <c r="G471" s="659"/>
      <c r="H471" s="660"/>
      <c r="I471" s="659"/>
      <c r="J471" s="661"/>
      <c r="K471" s="658"/>
      <c r="L471" s="662"/>
      <c r="M471" s="663"/>
      <c r="N471" s="664"/>
      <c r="O471" s="665"/>
      <c r="P471" s="666"/>
      <c r="Q471" s="667"/>
      <c r="R471" s="668"/>
      <c r="S471" s="665"/>
      <c r="T471" s="669"/>
      <c r="U471" s="669"/>
      <c r="V471" s="665"/>
      <c r="W471" s="670"/>
      <c r="X471" s="670"/>
      <c r="Y471" s="671"/>
      <c r="Z471" s="671"/>
      <c r="AA471" s="672"/>
      <c r="AB471" s="673"/>
      <c r="AC471" s="673"/>
      <c r="AD471" s="673"/>
      <c r="AE471" s="673"/>
      <c r="AF471" s="673"/>
      <c r="AG471" s="673"/>
      <c r="AH471" s="673"/>
      <c r="AI471" s="673"/>
      <c r="AJ471" s="673"/>
      <c r="AK471" s="673"/>
      <c r="AL471" s="673"/>
      <c r="AM471" s="673"/>
      <c r="AN471" s="673"/>
      <c r="AO471" s="673"/>
      <c r="AP471" s="673"/>
      <c r="AQ471" s="673"/>
      <c r="AR471" s="673"/>
      <c r="AS471" s="673"/>
    </row>
    <row r="472">
      <c r="A472" s="653"/>
      <c r="B472" s="654"/>
      <c r="C472" s="655"/>
      <c r="D472" s="656"/>
      <c r="E472" s="657"/>
      <c r="F472" s="658"/>
      <c r="G472" s="659"/>
      <c r="H472" s="660"/>
      <c r="I472" s="659"/>
      <c r="J472" s="661"/>
      <c r="K472" s="658"/>
      <c r="L472" s="662"/>
      <c r="M472" s="663"/>
      <c r="N472" s="664"/>
      <c r="O472" s="665"/>
      <c r="P472" s="666"/>
      <c r="Q472" s="667"/>
      <c r="R472" s="668"/>
      <c r="S472" s="665"/>
      <c r="T472" s="669"/>
      <c r="U472" s="669"/>
      <c r="V472" s="665"/>
      <c r="W472" s="670"/>
      <c r="X472" s="670"/>
      <c r="Y472" s="671"/>
      <c r="Z472" s="671"/>
      <c r="AA472" s="672"/>
      <c r="AB472" s="673"/>
      <c r="AC472" s="673"/>
      <c r="AD472" s="673"/>
      <c r="AE472" s="673"/>
      <c r="AF472" s="673"/>
      <c r="AG472" s="673"/>
      <c r="AH472" s="673"/>
      <c r="AI472" s="673"/>
      <c r="AJ472" s="673"/>
      <c r="AK472" s="673"/>
      <c r="AL472" s="673"/>
      <c r="AM472" s="673"/>
      <c r="AN472" s="673"/>
      <c r="AO472" s="673"/>
      <c r="AP472" s="673"/>
      <c r="AQ472" s="673"/>
      <c r="AR472" s="673"/>
      <c r="AS472" s="673"/>
    </row>
    <row r="473">
      <c r="A473" s="653"/>
      <c r="B473" s="654"/>
      <c r="C473" s="655"/>
      <c r="D473" s="656"/>
      <c r="E473" s="657"/>
      <c r="F473" s="658"/>
      <c r="G473" s="659"/>
      <c r="H473" s="660"/>
      <c r="I473" s="659"/>
      <c r="J473" s="661"/>
      <c r="K473" s="658"/>
      <c r="L473" s="662"/>
      <c r="M473" s="663"/>
      <c r="N473" s="664"/>
      <c r="O473" s="665"/>
      <c r="P473" s="666"/>
      <c r="Q473" s="667"/>
      <c r="R473" s="668"/>
      <c r="S473" s="665"/>
      <c r="T473" s="669"/>
      <c r="U473" s="669"/>
      <c r="V473" s="665"/>
      <c r="W473" s="670"/>
      <c r="X473" s="670"/>
      <c r="Y473" s="671"/>
      <c r="Z473" s="671"/>
      <c r="AA473" s="672"/>
      <c r="AB473" s="673"/>
      <c r="AC473" s="673"/>
      <c r="AD473" s="673"/>
      <c r="AE473" s="673"/>
      <c r="AF473" s="673"/>
      <c r="AG473" s="673"/>
      <c r="AH473" s="673"/>
      <c r="AI473" s="673"/>
      <c r="AJ473" s="673"/>
      <c r="AK473" s="673"/>
      <c r="AL473" s="673"/>
      <c r="AM473" s="673"/>
      <c r="AN473" s="673"/>
      <c r="AO473" s="673"/>
      <c r="AP473" s="673"/>
      <c r="AQ473" s="673"/>
      <c r="AR473" s="673"/>
      <c r="AS473" s="673"/>
    </row>
    <row r="474">
      <c r="A474" s="653"/>
      <c r="B474" s="654"/>
      <c r="C474" s="655"/>
      <c r="D474" s="656"/>
      <c r="E474" s="657"/>
      <c r="F474" s="658"/>
      <c r="G474" s="659"/>
      <c r="H474" s="660"/>
      <c r="I474" s="659"/>
      <c r="J474" s="661"/>
      <c r="K474" s="658"/>
      <c r="L474" s="662"/>
      <c r="M474" s="663"/>
      <c r="N474" s="664"/>
      <c r="O474" s="665"/>
      <c r="P474" s="666"/>
      <c r="Q474" s="667"/>
      <c r="R474" s="668"/>
      <c r="S474" s="665"/>
      <c r="T474" s="669"/>
      <c r="U474" s="669"/>
      <c r="V474" s="665"/>
      <c r="W474" s="670"/>
      <c r="X474" s="670"/>
      <c r="Y474" s="671"/>
      <c r="Z474" s="671"/>
      <c r="AA474" s="672"/>
      <c r="AB474" s="673"/>
      <c r="AC474" s="673"/>
      <c r="AD474" s="673"/>
      <c r="AE474" s="673"/>
      <c r="AF474" s="673"/>
      <c r="AG474" s="673"/>
      <c r="AH474" s="673"/>
      <c r="AI474" s="673"/>
      <c r="AJ474" s="673"/>
      <c r="AK474" s="673"/>
      <c r="AL474" s="673"/>
      <c r="AM474" s="673"/>
      <c r="AN474" s="673"/>
      <c r="AO474" s="673"/>
      <c r="AP474" s="673"/>
      <c r="AQ474" s="673"/>
      <c r="AR474" s="673"/>
      <c r="AS474" s="673"/>
    </row>
    <row r="475">
      <c r="A475" s="653"/>
      <c r="B475" s="654"/>
      <c r="C475" s="655"/>
      <c r="D475" s="656"/>
      <c r="E475" s="657"/>
      <c r="F475" s="658"/>
      <c r="G475" s="659"/>
      <c r="H475" s="660"/>
      <c r="I475" s="659"/>
      <c r="J475" s="661"/>
      <c r="K475" s="658"/>
      <c r="L475" s="662"/>
      <c r="M475" s="663"/>
      <c r="N475" s="664"/>
      <c r="O475" s="665"/>
      <c r="P475" s="666"/>
      <c r="Q475" s="667"/>
      <c r="R475" s="668"/>
      <c r="S475" s="665"/>
      <c r="T475" s="669"/>
      <c r="U475" s="669"/>
      <c r="V475" s="665"/>
      <c r="W475" s="670"/>
      <c r="X475" s="670"/>
      <c r="Y475" s="671"/>
      <c r="Z475" s="671"/>
      <c r="AA475" s="672"/>
      <c r="AB475" s="673"/>
      <c r="AC475" s="673"/>
      <c r="AD475" s="673"/>
      <c r="AE475" s="673"/>
      <c r="AF475" s="673"/>
      <c r="AG475" s="673"/>
      <c r="AH475" s="673"/>
      <c r="AI475" s="673"/>
      <c r="AJ475" s="673"/>
      <c r="AK475" s="673"/>
      <c r="AL475" s="673"/>
      <c r="AM475" s="673"/>
      <c r="AN475" s="673"/>
      <c r="AO475" s="673"/>
      <c r="AP475" s="673"/>
      <c r="AQ475" s="673"/>
      <c r="AR475" s="673"/>
      <c r="AS475" s="673"/>
    </row>
    <row r="476">
      <c r="A476" s="653"/>
      <c r="B476" s="654"/>
      <c r="C476" s="655"/>
      <c r="D476" s="656"/>
      <c r="E476" s="657"/>
      <c r="F476" s="658"/>
      <c r="G476" s="659"/>
      <c r="H476" s="660"/>
      <c r="I476" s="659"/>
      <c r="J476" s="661"/>
      <c r="K476" s="658"/>
      <c r="L476" s="662"/>
      <c r="M476" s="663"/>
      <c r="N476" s="664"/>
      <c r="O476" s="665"/>
      <c r="P476" s="666"/>
      <c r="Q476" s="667"/>
      <c r="R476" s="668"/>
      <c r="S476" s="665"/>
      <c r="T476" s="669"/>
      <c r="U476" s="669"/>
      <c r="V476" s="665"/>
      <c r="W476" s="670"/>
      <c r="X476" s="670"/>
      <c r="Y476" s="671"/>
      <c r="Z476" s="671"/>
      <c r="AA476" s="672"/>
      <c r="AB476" s="673"/>
      <c r="AC476" s="673"/>
      <c r="AD476" s="673"/>
      <c r="AE476" s="673"/>
      <c r="AF476" s="673"/>
      <c r="AG476" s="673"/>
      <c r="AH476" s="673"/>
      <c r="AI476" s="673"/>
      <c r="AJ476" s="673"/>
      <c r="AK476" s="673"/>
      <c r="AL476" s="673"/>
      <c r="AM476" s="673"/>
      <c r="AN476" s="673"/>
      <c r="AO476" s="673"/>
      <c r="AP476" s="673"/>
      <c r="AQ476" s="673"/>
      <c r="AR476" s="673"/>
      <c r="AS476" s="673"/>
    </row>
    <row r="477">
      <c r="A477" s="653"/>
      <c r="B477" s="654"/>
      <c r="C477" s="655"/>
      <c r="D477" s="656"/>
      <c r="E477" s="657"/>
      <c r="F477" s="658"/>
      <c r="G477" s="659"/>
      <c r="H477" s="660"/>
      <c r="I477" s="659"/>
      <c r="J477" s="661"/>
      <c r="K477" s="658"/>
      <c r="L477" s="662"/>
      <c r="M477" s="663"/>
      <c r="N477" s="664"/>
      <c r="O477" s="665"/>
      <c r="P477" s="666"/>
      <c r="Q477" s="667"/>
      <c r="R477" s="668"/>
      <c r="S477" s="665"/>
      <c r="T477" s="669"/>
      <c r="U477" s="669"/>
      <c r="V477" s="665"/>
      <c r="W477" s="670"/>
      <c r="X477" s="670"/>
      <c r="Y477" s="671"/>
      <c r="Z477" s="671"/>
      <c r="AA477" s="672"/>
      <c r="AB477" s="673"/>
      <c r="AC477" s="673"/>
      <c r="AD477" s="673"/>
      <c r="AE477" s="673"/>
      <c r="AF477" s="673"/>
      <c r="AG477" s="673"/>
      <c r="AH477" s="673"/>
      <c r="AI477" s="673"/>
      <c r="AJ477" s="673"/>
      <c r="AK477" s="673"/>
      <c r="AL477" s="673"/>
      <c r="AM477" s="673"/>
      <c r="AN477" s="673"/>
      <c r="AO477" s="673"/>
      <c r="AP477" s="673"/>
      <c r="AQ477" s="673"/>
      <c r="AR477" s="673"/>
      <c r="AS477" s="673"/>
    </row>
    <row r="478">
      <c r="A478" s="653"/>
      <c r="B478" s="654"/>
      <c r="C478" s="655"/>
      <c r="D478" s="656"/>
      <c r="E478" s="657"/>
      <c r="F478" s="658"/>
      <c r="G478" s="659"/>
      <c r="H478" s="660"/>
      <c r="I478" s="659"/>
      <c r="J478" s="661"/>
      <c r="K478" s="658"/>
      <c r="L478" s="662"/>
      <c r="M478" s="663"/>
      <c r="N478" s="664"/>
      <c r="O478" s="665"/>
      <c r="P478" s="666"/>
      <c r="Q478" s="667"/>
      <c r="R478" s="668"/>
      <c r="S478" s="665"/>
      <c r="T478" s="669"/>
      <c r="U478" s="669"/>
      <c r="V478" s="665"/>
      <c r="W478" s="670"/>
      <c r="X478" s="670"/>
      <c r="Y478" s="671"/>
      <c r="Z478" s="671"/>
      <c r="AA478" s="672"/>
      <c r="AB478" s="673"/>
      <c r="AC478" s="673"/>
      <c r="AD478" s="673"/>
      <c r="AE478" s="673"/>
      <c r="AF478" s="673"/>
      <c r="AG478" s="673"/>
      <c r="AH478" s="673"/>
      <c r="AI478" s="673"/>
      <c r="AJ478" s="673"/>
      <c r="AK478" s="673"/>
      <c r="AL478" s="673"/>
      <c r="AM478" s="673"/>
      <c r="AN478" s="673"/>
      <c r="AO478" s="673"/>
      <c r="AP478" s="673"/>
      <c r="AQ478" s="673"/>
      <c r="AR478" s="673"/>
      <c r="AS478" s="673"/>
    </row>
    <row r="479">
      <c r="A479" s="653"/>
      <c r="B479" s="654"/>
      <c r="C479" s="655"/>
      <c r="D479" s="656"/>
      <c r="E479" s="657"/>
      <c r="F479" s="658"/>
      <c r="G479" s="659"/>
      <c r="H479" s="660"/>
      <c r="I479" s="659"/>
      <c r="J479" s="661"/>
      <c r="K479" s="658"/>
      <c r="L479" s="662"/>
      <c r="M479" s="663"/>
      <c r="N479" s="664"/>
      <c r="O479" s="665"/>
      <c r="P479" s="666"/>
      <c r="Q479" s="667"/>
      <c r="R479" s="668"/>
      <c r="S479" s="665"/>
      <c r="T479" s="669"/>
      <c r="U479" s="669"/>
      <c r="V479" s="665"/>
      <c r="W479" s="670"/>
      <c r="X479" s="670"/>
      <c r="Y479" s="671"/>
      <c r="Z479" s="671"/>
      <c r="AA479" s="672"/>
      <c r="AB479" s="673"/>
      <c r="AC479" s="673"/>
      <c r="AD479" s="673"/>
      <c r="AE479" s="673"/>
      <c r="AF479" s="673"/>
      <c r="AG479" s="673"/>
      <c r="AH479" s="673"/>
      <c r="AI479" s="673"/>
      <c r="AJ479" s="673"/>
      <c r="AK479" s="673"/>
      <c r="AL479" s="673"/>
      <c r="AM479" s="673"/>
      <c r="AN479" s="673"/>
      <c r="AO479" s="673"/>
      <c r="AP479" s="673"/>
      <c r="AQ479" s="673"/>
      <c r="AR479" s="673"/>
      <c r="AS479" s="673"/>
    </row>
    <row r="480">
      <c r="A480" s="653"/>
      <c r="B480" s="654"/>
      <c r="C480" s="655"/>
      <c r="D480" s="656"/>
      <c r="E480" s="657"/>
      <c r="F480" s="658"/>
      <c r="G480" s="659"/>
      <c r="H480" s="660"/>
      <c r="I480" s="659"/>
      <c r="J480" s="661"/>
      <c r="K480" s="658"/>
      <c r="L480" s="662"/>
      <c r="M480" s="663"/>
      <c r="N480" s="664"/>
      <c r="O480" s="665"/>
      <c r="P480" s="666"/>
      <c r="Q480" s="667"/>
      <c r="R480" s="668"/>
      <c r="S480" s="665"/>
      <c r="T480" s="669"/>
      <c r="U480" s="669"/>
      <c r="V480" s="665"/>
      <c r="W480" s="670"/>
      <c r="X480" s="670"/>
      <c r="Y480" s="671"/>
      <c r="Z480" s="671"/>
      <c r="AA480" s="672"/>
      <c r="AB480" s="673"/>
      <c r="AC480" s="673"/>
      <c r="AD480" s="673"/>
      <c r="AE480" s="673"/>
      <c r="AF480" s="673"/>
      <c r="AG480" s="673"/>
      <c r="AH480" s="673"/>
      <c r="AI480" s="673"/>
      <c r="AJ480" s="673"/>
      <c r="AK480" s="673"/>
      <c r="AL480" s="673"/>
      <c r="AM480" s="673"/>
      <c r="AN480" s="673"/>
      <c r="AO480" s="673"/>
      <c r="AP480" s="673"/>
      <c r="AQ480" s="673"/>
      <c r="AR480" s="673"/>
      <c r="AS480" s="673"/>
    </row>
    <row r="481">
      <c r="A481" s="653"/>
      <c r="B481" s="654"/>
      <c r="C481" s="655"/>
      <c r="D481" s="656"/>
      <c r="E481" s="657"/>
      <c r="F481" s="658"/>
      <c r="G481" s="659"/>
      <c r="H481" s="660"/>
      <c r="I481" s="659"/>
      <c r="J481" s="661"/>
      <c r="K481" s="658"/>
      <c r="L481" s="662"/>
      <c r="M481" s="663"/>
      <c r="N481" s="664"/>
      <c r="O481" s="665"/>
      <c r="P481" s="666"/>
      <c r="Q481" s="667"/>
      <c r="R481" s="668"/>
      <c r="S481" s="665"/>
      <c r="T481" s="669"/>
      <c r="U481" s="669"/>
      <c r="V481" s="665"/>
      <c r="W481" s="670"/>
      <c r="X481" s="670"/>
      <c r="Y481" s="671"/>
      <c r="Z481" s="671"/>
      <c r="AA481" s="672"/>
      <c r="AB481" s="673"/>
      <c r="AC481" s="673"/>
      <c r="AD481" s="673"/>
      <c r="AE481" s="673"/>
      <c r="AF481" s="673"/>
      <c r="AG481" s="673"/>
      <c r="AH481" s="673"/>
      <c r="AI481" s="673"/>
      <c r="AJ481" s="673"/>
      <c r="AK481" s="673"/>
      <c r="AL481" s="673"/>
      <c r="AM481" s="673"/>
      <c r="AN481" s="673"/>
      <c r="AO481" s="673"/>
      <c r="AP481" s="673"/>
      <c r="AQ481" s="673"/>
      <c r="AR481" s="673"/>
      <c r="AS481" s="673"/>
    </row>
    <row r="482">
      <c r="A482" s="653"/>
      <c r="B482" s="654"/>
      <c r="C482" s="655"/>
      <c r="D482" s="656"/>
      <c r="E482" s="657"/>
      <c r="F482" s="658"/>
      <c r="G482" s="659"/>
      <c r="H482" s="660"/>
      <c r="I482" s="659"/>
      <c r="J482" s="661"/>
      <c r="K482" s="658"/>
      <c r="L482" s="662"/>
      <c r="M482" s="663"/>
      <c r="N482" s="664"/>
      <c r="O482" s="665"/>
      <c r="P482" s="666"/>
      <c r="Q482" s="667"/>
      <c r="R482" s="668"/>
      <c r="S482" s="665"/>
      <c r="T482" s="669"/>
      <c r="U482" s="669"/>
      <c r="V482" s="665"/>
      <c r="W482" s="670"/>
      <c r="X482" s="670"/>
      <c r="Y482" s="671"/>
      <c r="Z482" s="671"/>
      <c r="AA482" s="672"/>
      <c r="AB482" s="673"/>
      <c r="AC482" s="673"/>
      <c r="AD482" s="673"/>
      <c r="AE482" s="673"/>
      <c r="AF482" s="673"/>
      <c r="AG482" s="673"/>
      <c r="AH482" s="673"/>
      <c r="AI482" s="673"/>
      <c r="AJ482" s="673"/>
      <c r="AK482" s="673"/>
      <c r="AL482" s="673"/>
      <c r="AM482" s="673"/>
      <c r="AN482" s="673"/>
      <c r="AO482" s="673"/>
      <c r="AP482" s="673"/>
      <c r="AQ482" s="673"/>
      <c r="AR482" s="673"/>
      <c r="AS482" s="673"/>
    </row>
    <row r="483">
      <c r="A483" s="653"/>
      <c r="B483" s="654"/>
      <c r="C483" s="655"/>
      <c r="D483" s="656"/>
      <c r="E483" s="657"/>
      <c r="F483" s="658"/>
      <c r="G483" s="659"/>
      <c r="H483" s="660"/>
      <c r="I483" s="659"/>
      <c r="J483" s="661"/>
      <c r="K483" s="658"/>
      <c r="L483" s="662"/>
      <c r="M483" s="663"/>
      <c r="N483" s="664"/>
      <c r="O483" s="665"/>
      <c r="P483" s="666"/>
      <c r="Q483" s="667"/>
      <c r="R483" s="668"/>
      <c r="S483" s="665"/>
      <c r="T483" s="669"/>
      <c r="U483" s="669"/>
      <c r="V483" s="665"/>
      <c r="W483" s="670"/>
      <c r="X483" s="670"/>
      <c r="Y483" s="671"/>
      <c r="Z483" s="671"/>
      <c r="AA483" s="672"/>
      <c r="AB483" s="673"/>
      <c r="AC483" s="673"/>
      <c r="AD483" s="673"/>
      <c r="AE483" s="673"/>
      <c r="AF483" s="673"/>
      <c r="AG483" s="673"/>
      <c r="AH483" s="673"/>
      <c r="AI483" s="673"/>
      <c r="AJ483" s="673"/>
      <c r="AK483" s="673"/>
      <c r="AL483" s="673"/>
      <c r="AM483" s="673"/>
      <c r="AN483" s="673"/>
      <c r="AO483" s="673"/>
      <c r="AP483" s="673"/>
      <c r="AQ483" s="673"/>
      <c r="AR483" s="673"/>
      <c r="AS483" s="673"/>
    </row>
    <row r="484">
      <c r="A484" s="653"/>
      <c r="B484" s="654"/>
      <c r="C484" s="655"/>
      <c r="D484" s="656"/>
      <c r="E484" s="657"/>
      <c r="F484" s="658"/>
      <c r="G484" s="659"/>
      <c r="H484" s="660"/>
      <c r="I484" s="659"/>
      <c r="J484" s="661"/>
      <c r="K484" s="658"/>
      <c r="L484" s="662"/>
      <c r="M484" s="663"/>
      <c r="N484" s="664"/>
      <c r="O484" s="665"/>
      <c r="P484" s="666"/>
      <c r="Q484" s="667"/>
      <c r="R484" s="668"/>
      <c r="S484" s="665"/>
      <c r="T484" s="669"/>
      <c r="U484" s="669"/>
      <c r="V484" s="665"/>
      <c r="W484" s="670"/>
      <c r="X484" s="670"/>
      <c r="Y484" s="671"/>
      <c r="Z484" s="671"/>
      <c r="AA484" s="672"/>
      <c r="AB484" s="673"/>
      <c r="AC484" s="673"/>
      <c r="AD484" s="673"/>
      <c r="AE484" s="673"/>
      <c r="AF484" s="673"/>
      <c r="AG484" s="673"/>
      <c r="AH484" s="673"/>
      <c r="AI484" s="673"/>
      <c r="AJ484" s="673"/>
      <c r="AK484" s="673"/>
      <c r="AL484" s="673"/>
      <c r="AM484" s="673"/>
      <c r="AN484" s="673"/>
      <c r="AO484" s="673"/>
      <c r="AP484" s="673"/>
      <c r="AQ484" s="673"/>
      <c r="AR484" s="673"/>
      <c r="AS484" s="673"/>
    </row>
    <row r="485">
      <c r="A485" s="653"/>
      <c r="B485" s="654"/>
      <c r="C485" s="655"/>
      <c r="D485" s="656"/>
      <c r="E485" s="657"/>
      <c r="F485" s="658"/>
      <c r="G485" s="659"/>
      <c r="H485" s="660"/>
      <c r="I485" s="659"/>
      <c r="J485" s="661"/>
      <c r="K485" s="658"/>
      <c r="L485" s="662"/>
      <c r="M485" s="663"/>
      <c r="N485" s="664"/>
      <c r="O485" s="665"/>
      <c r="P485" s="666"/>
      <c r="Q485" s="667"/>
      <c r="R485" s="668"/>
      <c r="S485" s="665"/>
      <c r="T485" s="669"/>
      <c r="U485" s="669"/>
      <c r="V485" s="665"/>
      <c r="W485" s="670"/>
      <c r="X485" s="670"/>
      <c r="Y485" s="671"/>
      <c r="Z485" s="671"/>
      <c r="AA485" s="672"/>
      <c r="AB485" s="673"/>
      <c r="AC485" s="673"/>
      <c r="AD485" s="673"/>
      <c r="AE485" s="673"/>
      <c r="AF485" s="673"/>
      <c r="AG485" s="673"/>
      <c r="AH485" s="673"/>
      <c r="AI485" s="673"/>
      <c r="AJ485" s="673"/>
      <c r="AK485" s="673"/>
      <c r="AL485" s="673"/>
      <c r="AM485" s="673"/>
      <c r="AN485" s="673"/>
      <c r="AO485" s="673"/>
      <c r="AP485" s="673"/>
      <c r="AQ485" s="673"/>
      <c r="AR485" s="673"/>
      <c r="AS485" s="673"/>
    </row>
    <row r="486">
      <c r="A486" s="653"/>
      <c r="B486" s="654"/>
      <c r="C486" s="655"/>
      <c r="D486" s="656"/>
      <c r="E486" s="657"/>
      <c r="F486" s="658"/>
      <c r="G486" s="659"/>
      <c r="H486" s="660"/>
      <c r="I486" s="659"/>
      <c r="J486" s="661"/>
      <c r="K486" s="658"/>
      <c r="L486" s="662"/>
      <c r="M486" s="663"/>
      <c r="N486" s="664"/>
      <c r="O486" s="665"/>
      <c r="P486" s="666"/>
      <c r="Q486" s="667"/>
      <c r="R486" s="668"/>
      <c r="S486" s="665"/>
      <c r="T486" s="669"/>
      <c r="U486" s="669"/>
      <c r="V486" s="665"/>
      <c r="W486" s="670"/>
      <c r="X486" s="670"/>
      <c r="Y486" s="671"/>
      <c r="Z486" s="671"/>
      <c r="AA486" s="672"/>
      <c r="AB486" s="673"/>
      <c r="AC486" s="673"/>
      <c r="AD486" s="673"/>
      <c r="AE486" s="673"/>
      <c r="AF486" s="673"/>
      <c r="AG486" s="673"/>
      <c r="AH486" s="673"/>
      <c r="AI486" s="673"/>
      <c r="AJ486" s="673"/>
      <c r="AK486" s="673"/>
      <c r="AL486" s="673"/>
      <c r="AM486" s="673"/>
      <c r="AN486" s="673"/>
      <c r="AO486" s="673"/>
      <c r="AP486" s="673"/>
      <c r="AQ486" s="673"/>
      <c r="AR486" s="673"/>
      <c r="AS486" s="673"/>
    </row>
    <row r="487">
      <c r="A487" s="653"/>
      <c r="B487" s="654"/>
      <c r="C487" s="655"/>
      <c r="D487" s="656"/>
      <c r="E487" s="657"/>
      <c r="F487" s="658"/>
      <c r="G487" s="659"/>
      <c r="H487" s="660"/>
      <c r="I487" s="659"/>
      <c r="J487" s="661"/>
      <c r="K487" s="658"/>
      <c r="L487" s="662"/>
      <c r="M487" s="663"/>
      <c r="N487" s="664"/>
      <c r="O487" s="665"/>
      <c r="P487" s="666"/>
      <c r="Q487" s="667"/>
      <c r="R487" s="668"/>
      <c r="S487" s="665"/>
      <c r="T487" s="669"/>
      <c r="U487" s="669"/>
      <c r="V487" s="665"/>
      <c r="W487" s="670"/>
      <c r="X487" s="670"/>
      <c r="Y487" s="671"/>
      <c r="Z487" s="671"/>
      <c r="AA487" s="672"/>
      <c r="AB487" s="673"/>
      <c r="AC487" s="673"/>
      <c r="AD487" s="673"/>
      <c r="AE487" s="673"/>
      <c r="AF487" s="673"/>
      <c r="AG487" s="673"/>
      <c r="AH487" s="673"/>
      <c r="AI487" s="673"/>
      <c r="AJ487" s="673"/>
      <c r="AK487" s="673"/>
      <c r="AL487" s="673"/>
      <c r="AM487" s="673"/>
      <c r="AN487" s="673"/>
      <c r="AO487" s="673"/>
      <c r="AP487" s="673"/>
      <c r="AQ487" s="673"/>
      <c r="AR487" s="673"/>
      <c r="AS487" s="673"/>
    </row>
    <row r="488">
      <c r="A488" s="653"/>
      <c r="B488" s="654"/>
      <c r="C488" s="655"/>
      <c r="D488" s="656"/>
      <c r="E488" s="657"/>
      <c r="F488" s="658"/>
      <c r="G488" s="659"/>
      <c r="H488" s="660"/>
      <c r="I488" s="659"/>
      <c r="J488" s="661"/>
      <c r="K488" s="658"/>
      <c r="L488" s="662"/>
      <c r="M488" s="663"/>
      <c r="N488" s="664"/>
      <c r="O488" s="665"/>
      <c r="P488" s="666"/>
      <c r="Q488" s="667"/>
      <c r="R488" s="668"/>
      <c r="S488" s="665"/>
      <c r="T488" s="669"/>
      <c r="U488" s="669"/>
      <c r="V488" s="665"/>
      <c r="W488" s="670"/>
      <c r="X488" s="670"/>
      <c r="Y488" s="671"/>
      <c r="Z488" s="671"/>
      <c r="AA488" s="672"/>
      <c r="AB488" s="673"/>
      <c r="AC488" s="673"/>
      <c r="AD488" s="673"/>
      <c r="AE488" s="673"/>
      <c r="AF488" s="673"/>
      <c r="AG488" s="673"/>
      <c r="AH488" s="673"/>
      <c r="AI488" s="673"/>
      <c r="AJ488" s="673"/>
      <c r="AK488" s="673"/>
      <c r="AL488" s="673"/>
      <c r="AM488" s="673"/>
      <c r="AN488" s="673"/>
      <c r="AO488" s="673"/>
      <c r="AP488" s="673"/>
      <c r="AQ488" s="673"/>
      <c r="AR488" s="673"/>
      <c r="AS488" s="673"/>
    </row>
    <row r="489">
      <c r="A489" s="653"/>
      <c r="B489" s="654"/>
      <c r="C489" s="655"/>
      <c r="D489" s="656"/>
      <c r="E489" s="657"/>
      <c r="F489" s="658"/>
      <c r="G489" s="659"/>
      <c r="H489" s="660"/>
      <c r="I489" s="659"/>
      <c r="J489" s="661"/>
      <c r="K489" s="658"/>
      <c r="L489" s="662"/>
      <c r="M489" s="663"/>
      <c r="N489" s="664"/>
      <c r="O489" s="665"/>
      <c r="P489" s="666"/>
      <c r="Q489" s="667"/>
      <c r="R489" s="668"/>
      <c r="S489" s="665"/>
      <c r="T489" s="669"/>
      <c r="U489" s="669"/>
      <c r="V489" s="665"/>
      <c r="W489" s="670"/>
      <c r="X489" s="670"/>
      <c r="Y489" s="671"/>
      <c r="Z489" s="671"/>
      <c r="AA489" s="672"/>
      <c r="AB489" s="673"/>
      <c r="AC489" s="673"/>
      <c r="AD489" s="673"/>
      <c r="AE489" s="673"/>
      <c r="AF489" s="673"/>
      <c r="AG489" s="673"/>
      <c r="AH489" s="673"/>
      <c r="AI489" s="673"/>
      <c r="AJ489" s="673"/>
      <c r="AK489" s="673"/>
      <c r="AL489" s="673"/>
      <c r="AM489" s="673"/>
      <c r="AN489" s="673"/>
      <c r="AO489" s="673"/>
      <c r="AP489" s="673"/>
      <c r="AQ489" s="673"/>
      <c r="AR489" s="673"/>
      <c r="AS489" s="673"/>
    </row>
    <row r="490">
      <c r="A490" s="653"/>
      <c r="B490" s="654"/>
      <c r="C490" s="655"/>
      <c r="D490" s="656"/>
      <c r="E490" s="657"/>
      <c r="F490" s="658"/>
      <c r="G490" s="659"/>
      <c r="H490" s="660"/>
      <c r="I490" s="659"/>
      <c r="J490" s="661"/>
      <c r="K490" s="658"/>
      <c r="L490" s="662"/>
      <c r="M490" s="663"/>
      <c r="N490" s="664"/>
      <c r="O490" s="665"/>
      <c r="P490" s="666"/>
      <c r="Q490" s="667"/>
      <c r="R490" s="668"/>
      <c r="S490" s="665"/>
      <c r="T490" s="669"/>
      <c r="U490" s="669"/>
      <c r="V490" s="665"/>
      <c r="W490" s="670"/>
      <c r="X490" s="670"/>
      <c r="Y490" s="671"/>
      <c r="Z490" s="671"/>
      <c r="AA490" s="672"/>
      <c r="AB490" s="673"/>
      <c r="AC490" s="673"/>
      <c r="AD490" s="673"/>
      <c r="AE490" s="673"/>
      <c r="AF490" s="673"/>
      <c r="AG490" s="673"/>
      <c r="AH490" s="673"/>
      <c r="AI490" s="673"/>
      <c r="AJ490" s="673"/>
      <c r="AK490" s="673"/>
      <c r="AL490" s="673"/>
      <c r="AM490" s="673"/>
      <c r="AN490" s="673"/>
      <c r="AO490" s="673"/>
      <c r="AP490" s="673"/>
      <c r="AQ490" s="673"/>
      <c r="AR490" s="673"/>
      <c r="AS490" s="673"/>
    </row>
    <row r="491">
      <c r="A491" s="653"/>
      <c r="B491" s="654"/>
      <c r="C491" s="655"/>
      <c r="D491" s="656"/>
      <c r="E491" s="657"/>
      <c r="F491" s="658"/>
      <c r="G491" s="659"/>
      <c r="H491" s="660"/>
      <c r="I491" s="659"/>
      <c r="J491" s="661"/>
      <c r="K491" s="658"/>
      <c r="L491" s="662"/>
      <c r="M491" s="663"/>
      <c r="N491" s="664"/>
      <c r="O491" s="665"/>
      <c r="P491" s="666"/>
      <c r="Q491" s="667"/>
      <c r="R491" s="668"/>
      <c r="S491" s="665"/>
      <c r="T491" s="669"/>
      <c r="U491" s="669"/>
      <c r="V491" s="665"/>
      <c r="W491" s="670"/>
      <c r="X491" s="670"/>
      <c r="Y491" s="671"/>
      <c r="Z491" s="671"/>
      <c r="AA491" s="672"/>
      <c r="AB491" s="673"/>
      <c r="AC491" s="673"/>
      <c r="AD491" s="673"/>
      <c r="AE491" s="673"/>
      <c r="AF491" s="673"/>
      <c r="AG491" s="673"/>
      <c r="AH491" s="673"/>
      <c r="AI491" s="673"/>
      <c r="AJ491" s="673"/>
      <c r="AK491" s="673"/>
      <c r="AL491" s="673"/>
      <c r="AM491" s="673"/>
      <c r="AN491" s="673"/>
      <c r="AO491" s="673"/>
      <c r="AP491" s="673"/>
      <c r="AQ491" s="673"/>
      <c r="AR491" s="673"/>
      <c r="AS491" s="673"/>
    </row>
    <row r="492">
      <c r="A492" s="653"/>
      <c r="B492" s="654"/>
      <c r="C492" s="655"/>
      <c r="D492" s="656"/>
      <c r="E492" s="657"/>
      <c r="F492" s="658"/>
      <c r="G492" s="659"/>
      <c r="H492" s="660"/>
      <c r="I492" s="659"/>
      <c r="J492" s="661"/>
      <c r="K492" s="658"/>
      <c r="L492" s="662"/>
      <c r="M492" s="663"/>
      <c r="N492" s="664"/>
      <c r="O492" s="665"/>
      <c r="P492" s="666"/>
      <c r="Q492" s="667"/>
      <c r="R492" s="668"/>
      <c r="S492" s="665"/>
      <c r="T492" s="669"/>
      <c r="U492" s="669"/>
      <c r="V492" s="665"/>
      <c r="W492" s="670"/>
      <c r="X492" s="670"/>
      <c r="Y492" s="671"/>
      <c r="Z492" s="671"/>
      <c r="AA492" s="672"/>
      <c r="AB492" s="673"/>
      <c r="AC492" s="673"/>
      <c r="AD492" s="673"/>
      <c r="AE492" s="673"/>
      <c r="AF492" s="673"/>
      <c r="AG492" s="673"/>
      <c r="AH492" s="673"/>
      <c r="AI492" s="673"/>
      <c r="AJ492" s="673"/>
      <c r="AK492" s="673"/>
      <c r="AL492" s="673"/>
      <c r="AM492" s="673"/>
      <c r="AN492" s="673"/>
      <c r="AO492" s="673"/>
      <c r="AP492" s="673"/>
      <c r="AQ492" s="673"/>
      <c r="AR492" s="673"/>
      <c r="AS492" s="673"/>
    </row>
    <row r="493">
      <c r="A493" s="653"/>
      <c r="B493" s="654"/>
      <c r="C493" s="655"/>
      <c r="D493" s="656"/>
      <c r="E493" s="657"/>
      <c r="F493" s="658"/>
      <c r="G493" s="659"/>
      <c r="H493" s="660"/>
      <c r="I493" s="659"/>
      <c r="J493" s="661"/>
      <c r="K493" s="658"/>
      <c r="L493" s="662"/>
      <c r="M493" s="663"/>
      <c r="N493" s="664"/>
      <c r="O493" s="665"/>
      <c r="P493" s="666"/>
      <c r="Q493" s="667"/>
      <c r="R493" s="668"/>
      <c r="S493" s="665"/>
      <c r="T493" s="669"/>
      <c r="U493" s="669"/>
      <c r="V493" s="665"/>
      <c r="W493" s="670"/>
      <c r="X493" s="670"/>
      <c r="Y493" s="671"/>
      <c r="Z493" s="671"/>
      <c r="AA493" s="672"/>
      <c r="AB493" s="673"/>
      <c r="AC493" s="673"/>
      <c r="AD493" s="673"/>
      <c r="AE493" s="673"/>
      <c r="AF493" s="673"/>
      <c r="AG493" s="673"/>
      <c r="AH493" s="673"/>
      <c r="AI493" s="673"/>
      <c r="AJ493" s="673"/>
      <c r="AK493" s="673"/>
      <c r="AL493" s="673"/>
      <c r="AM493" s="673"/>
      <c r="AN493" s="673"/>
      <c r="AO493" s="673"/>
      <c r="AP493" s="673"/>
      <c r="AQ493" s="673"/>
      <c r="AR493" s="673"/>
      <c r="AS493" s="673"/>
    </row>
    <row r="494">
      <c r="A494" s="653"/>
      <c r="B494" s="654"/>
      <c r="C494" s="655"/>
      <c r="D494" s="656"/>
      <c r="E494" s="657"/>
      <c r="F494" s="658"/>
      <c r="G494" s="659"/>
      <c r="H494" s="660"/>
      <c r="I494" s="659"/>
      <c r="J494" s="661"/>
      <c r="K494" s="658"/>
      <c r="L494" s="662"/>
      <c r="M494" s="663"/>
      <c r="N494" s="664"/>
      <c r="O494" s="665"/>
      <c r="P494" s="666"/>
      <c r="Q494" s="667"/>
      <c r="R494" s="668"/>
      <c r="S494" s="665"/>
      <c r="T494" s="669"/>
      <c r="U494" s="669"/>
      <c r="V494" s="665"/>
      <c r="W494" s="670"/>
      <c r="X494" s="670"/>
      <c r="Y494" s="671"/>
      <c r="Z494" s="671"/>
      <c r="AA494" s="672"/>
      <c r="AB494" s="673"/>
      <c r="AC494" s="673"/>
      <c r="AD494" s="673"/>
      <c r="AE494" s="673"/>
      <c r="AF494" s="673"/>
      <c r="AG494" s="673"/>
      <c r="AH494" s="673"/>
      <c r="AI494" s="673"/>
      <c r="AJ494" s="673"/>
      <c r="AK494" s="673"/>
      <c r="AL494" s="673"/>
      <c r="AM494" s="673"/>
      <c r="AN494" s="673"/>
      <c r="AO494" s="673"/>
      <c r="AP494" s="673"/>
      <c r="AQ494" s="673"/>
      <c r="AR494" s="673"/>
      <c r="AS494" s="673"/>
    </row>
    <row r="495">
      <c r="A495" s="653"/>
      <c r="B495" s="654"/>
      <c r="C495" s="655"/>
      <c r="D495" s="656"/>
      <c r="E495" s="657"/>
      <c r="F495" s="658"/>
      <c r="G495" s="659"/>
      <c r="H495" s="660"/>
      <c r="I495" s="659"/>
      <c r="J495" s="661"/>
      <c r="K495" s="658"/>
      <c r="L495" s="662"/>
      <c r="M495" s="663"/>
      <c r="N495" s="664"/>
      <c r="O495" s="665"/>
      <c r="P495" s="666"/>
      <c r="Q495" s="667"/>
      <c r="R495" s="668"/>
      <c r="S495" s="665"/>
      <c r="T495" s="669"/>
      <c r="U495" s="669"/>
      <c r="V495" s="665"/>
      <c r="W495" s="670"/>
      <c r="X495" s="670"/>
      <c r="Y495" s="671"/>
      <c r="Z495" s="671"/>
      <c r="AA495" s="672"/>
      <c r="AB495" s="673"/>
      <c r="AC495" s="673"/>
      <c r="AD495" s="673"/>
      <c r="AE495" s="673"/>
      <c r="AF495" s="673"/>
      <c r="AG495" s="673"/>
      <c r="AH495" s="673"/>
      <c r="AI495" s="673"/>
      <c r="AJ495" s="673"/>
      <c r="AK495" s="673"/>
      <c r="AL495" s="673"/>
      <c r="AM495" s="673"/>
      <c r="AN495" s="673"/>
      <c r="AO495" s="673"/>
      <c r="AP495" s="673"/>
      <c r="AQ495" s="673"/>
      <c r="AR495" s="673"/>
      <c r="AS495" s="673"/>
    </row>
    <row r="496">
      <c r="A496" s="653"/>
      <c r="B496" s="654"/>
      <c r="C496" s="655"/>
      <c r="D496" s="656"/>
      <c r="E496" s="657"/>
      <c r="F496" s="658"/>
      <c r="G496" s="659"/>
      <c r="H496" s="660"/>
      <c r="I496" s="659"/>
      <c r="J496" s="661"/>
      <c r="K496" s="658"/>
      <c r="L496" s="662"/>
      <c r="M496" s="663"/>
      <c r="N496" s="664"/>
      <c r="O496" s="665"/>
      <c r="P496" s="666"/>
      <c r="Q496" s="667"/>
      <c r="R496" s="668"/>
      <c r="S496" s="665"/>
      <c r="T496" s="669"/>
      <c r="U496" s="669"/>
      <c r="V496" s="665"/>
      <c r="W496" s="670"/>
      <c r="X496" s="670"/>
      <c r="Y496" s="671"/>
      <c r="Z496" s="671"/>
      <c r="AA496" s="672"/>
      <c r="AB496" s="673"/>
      <c r="AC496" s="673"/>
      <c r="AD496" s="673"/>
      <c r="AE496" s="673"/>
      <c r="AF496" s="673"/>
      <c r="AG496" s="673"/>
      <c r="AH496" s="673"/>
      <c r="AI496" s="673"/>
      <c r="AJ496" s="673"/>
      <c r="AK496" s="673"/>
      <c r="AL496" s="673"/>
      <c r="AM496" s="673"/>
      <c r="AN496" s="673"/>
      <c r="AO496" s="673"/>
      <c r="AP496" s="673"/>
      <c r="AQ496" s="673"/>
      <c r="AR496" s="673"/>
      <c r="AS496" s="673"/>
    </row>
    <row r="497">
      <c r="A497" s="653"/>
      <c r="B497" s="654"/>
      <c r="C497" s="655"/>
      <c r="D497" s="656"/>
      <c r="E497" s="657"/>
      <c r="F497" s="658"/>
      <c r="G497" s="659"/>
      <c r="H497" s="660"/>
      <c r="I497" s="659"/>
      <c r="J497" s="661"/>
      <c r="K497" s="658"/>
      <c r="L497" s="662"/>
      <c r="M497" s="663"/>
      <c r="N497" s="664"/>
      <c r="O497" s="665"/>
      <c r="P497" s="666"/>
      <c r="Q497" s="667"/>
      <c r="R497" s="668"/>
      <c r="S497" s="665"/>
      <c r="T497" s="669"/>
      <c r="U497" s="669"/>
      <c r="V497" s="665"/>
      <c r="W497" s="670"/>
      <c r="X497" s="670"/>
      <c r="Y497" s="671"/>
      <c r="Z497" s="671"/>
      <c r="AA497" s="672"/>
      <c r="AB497" s="673"/>
      <c r="AC497" s="673"/>
      <c r="AD497" s="673"/>
      <c r="AE497" s="673"/>
      <c r="AF497" s="673"/>
      <c r="AG497" s="673"/>
      <c r="AH497" s="673"/>
      <c r="AI497" s="673"/>
      <c r="AJ497" s="673"/>
      <c r="AK497" s="673"/>
      <c r="AL497" s="673"/>
      <c r="AM497" s="673"/>
      <c r="AN497" s="673"/>
      <c r="AO497" s="673"/>
      <c r="AP497" s="673"/>
      <c r="AQ497" s="673"/>
      <c r="AR497" s="673"/>
      <c r="AS497" s="673"/>
    </row>
    <row r="498">
      <c r="A498" s="653"/>
      <c r="B498" s="654"/>
      <c r="C498" s="655"/>
      <c r="D498" s="656"/>
      <c r="E498" s="657"/>
      <c r="F498" s="658"/>
      <c r="G498" s="659"/>
      <c r="H498" s="660"/>
      <c r="I498" s="659"/>
      <c r="J498" s="661"/>
      <c r="K498" s="658"/>
      <c r="L498" s="662"/>
      <c r="M498" s="663"/>
      <c r="N498" s="664"/>
      <c r="O498" s="665"/>
      <c r="P498" s="666"/>
      <c r="Q498" s="667"/>
      <c r="R498" s="668"/>
      <c r="S498" s="665"/>
      <c r="T498" s="669"/>
      <c r="U498" s="669"/>
      <c r="V498" s="665"/>
      <c r="W498" s="670"/>
      <c r="X498" s="670"/>
      <c r="Y498" s="671"/>
      <c r="Z498" s="671"/>
      <c r="AA498" s="672"/>
      <c r="AB498" s="673"/>
      <c r="AC498" s="673"/>
      <c r="AD498" s="673"/>
      <c r="AE498" s="673"/>
      <c r="AF498" s="673"/>
      <c r="AG498" s="673"/>
      <c r="AH498" s="673"/>
      <c r="AI498" s="673"/>
      <c r="AJ498" s="673"/>
      <c r="AK498" s="673"/>
      <c r="AL498" s="673"/>
      <c r="AM498" s="673"/>
      <c r="AN498" s="673"/>
      <c r="AO498" s="673"/>
      <c r="AP498" s="673"/>
      <c r="AQ498" s="673"/>
      <c r="AR498" s="673"/>
      <c r="AS498" s="673"/>
    </row>
    <row r="499">
      <c r="A499" s="653"/>
      <c r="B499" s="654"/>
      <c r="C499" s="655"/>
      <c r="D499" s="656"/>
      <c r="E499" s="657"/>
      <c r="F499" s="658"/>
      <c r="G499" s="659"/>
      <c r="H499" s="660"/>
      <c r="I499" s="659"/>
      <c r="J499" s="661"/>
      <c r="K499" s="658"/>
      <c r="L499" s="662"/>
      <c r="M499" s="663"/>
      <c r="N499" s="664"/>
      <c r="O499" s="665"/>
      <c r="P499" s="666"/>
      <c r="Q499" s="667"/>
      <c r="R499" s="668"/>
      <c r="S499" s="665"/>
      <c r="T499" s="669"/>
      <c r="U499" s="669"/>
      <c r="V499" s="665"/>
      <c r="W499" s="670"/>
      <c r="X499" s="670"/>
      <c r="Y499" s="671"/>
      <c r="Z499" s="671"/>
      <c r="AA499" s="672"/>
      <c r="AB499" s="673"/>
      <c r="AC499" s="673"/>
      <c r="AD499" s="673"/>
      <c r="AE499" s="673"/>
      <c r="AF499" s="673"/>
      <c r="AG499" s="673"/>
      <c r="AH499" s="673"/>
      <c r="AI499" s="673"/>
      <c r="AJ499" s="673"/>
      <c r="AK499" s="673"/>
      <c r="AL499" s="673"/>
      <c r="AM499" s="673"/>
      <c r="AN499" s="673"/>
      <c r="AO499" s="673"/>
      <c r="AP499" s="673"/>
      <c r="AQ499" s="673"/>
      <c r="AR499" s="673"/>
      <c r="AS499" s="673"/>
    </row>
    <row r="500">
      <c r="A500" s="653"/>
      <c r="B500" s="654"/>
      <c r="C500" s="655"/>
      <c r="D500" s="656"/>
      <c r="E500" s="657"/>
      <c r="F500" s="658"/>
      <c r="G500" s="659"/>
      <c r="H500" s="660"/>
      <c r="I500" s="659"/>
      <c r="J500" s="661"/>
      <c r="K500" s="658"/>
      <c r="L500" s="662"/>
      <c r="M500" s="663"/>
      <c r="N500" s="664"/>
      <c r="O500" s="665"/>
      <c r="P500" s="666"/>
      <c r="Q500" s="667"/>
      <c r="R500" s="668"/>
      <c r="S500" s="665"/>
      <c r="T500" s="669"/>
      <c r="U500" s="669"/>
      <c r="V500" s="665"/>
      <c r="W500" s="670"/>
      <c r="X500" s="670"/>
      <c r="Y500" s="671"/>
      <c r="Z500" s="671"/>
      <c r="AA500" s="672"/>
      <c r="AB500" s="673"/>
      <c r="AC500" s="673"/>
      <c r="AD500" s="673"/>
      <c r="AE500" s="673"/>
      <c r="AF500" s="673"/>
      <c r="AG500" s="673"/>
      <c r="AH500" s="673"/>
      <c r="AI500" s="673"/>
      <c r="AJ500" s="673"/>
      <c r="AK500" s="673"/>
      <c r="AL500" s="673"/>
      <c r="AM500" s="673"/>
      <c r="AN500" s="673"/>
      <c r="AO500" s="673"/>
      <c r="AP500" s="673"/>
      <c r="AQ500" s="673"/>
      <c r="AR500" s="673"/>
      <c r="AS500" s="673"/>
    </row>
    <row r="501">
      <c r="A501" s="653"/>
      <c r="B501" s="654"/>
      <c r="C501" s="655"/>
      <c r="D501" s="656"/>
      <c r="E501" s="657"/>
      <c r="F501" s="658"/>
      <c r="G501" s="659"/>
      <c r="H501" s="660"/>
      <c r="I501" s="659"/>
      <c r="J501" s="661"/>
      <c r="K501" s="658"/>
      <c r="L501" s="662"/>
      <c r="M501" s="663"/>
      <c r="N501" s="664"/>
      <c r="O501" s="665"/>
      <c r="P501" s="666"/>
      <c r="Q501" s="667"/>
      <c r="R501" s="668"/>
      <c r="S501" s="665"/>
      <c r="T501" s="669"/>
      <c r="U501" s="669"/>
      <c r="V501" s="665"/>
      <c r="W501" s="670"/>
      <c r="X501" s="670"/>
      <c r="Y501" s="671"/>
      <c r="Z501" s="671"/>
      <c r="AA501" s="672"/>
      <c r="AB501" s="673"/>
      <c r="AC501" s="673"/>
      <c r="AD501" s="673"/>
      <c r="AE501" s="673"/>
      <c r="AF501" s="673"/>
      <c r="AG501" s="673"/>
      <c r="AH501" s="673"/>
      <c r="AI501" s="673"/>
      <c r="AJ501" s="673"/>
      <c r="AK501" s="673"/>
      <c r="AL501" s="673"/>
      <c r="AM501" s="673"/>
      <c r="AN501" s="673"/>
      <c r="AO501" s="673"/>
      <c r="AP501" s="673"/>
      <c r="AQ501" s="673"/>
      <c r="AR501" s="673"/>
      <c r="AS501" s="673"/>
    </row>
    <row r="502">
      <c r="A502" s="653"/>
      <c r="B502" s="654"/>
      <c r="C502" s="655"/>
      <c r="D502" s="656"/>
      <c r="E502" s="657"/>
      <c r="F502" s="658"/>
      <c r="G502" s="659"/>
      <c r="H502" s="660"/>
      <c r="I502" s="659"/>
      <c r="J502" s="661"/>
      <c r="K502" s="658"/>
      <c r="L502" s="662"/>
      <c r="M502" s="663"/>
      <c r="N502" s="664"/>
      <c r="O502" s="665"/>
      <c r="P502" s="666"/>
      <c r="Q502" s="667"/>
      <c r="R502" s="668"/>
      <c r="S502" s="665"/>
      <c r="T502" s="669"/>
      <c r="U502" s="669"/>
      <c r="V502" s="665"/>
      <c r="W502" s="670"/>
      <c r="X502" s="670"/>
      <c r="Y502" s="671"/>
      <c r="Z502" s="671"/>
      <c r="AA502" s="672"/>
      <c r="AB502" s="673"/>
      <c r="AC502" s="673"/>
      <c r="AD502" s="673"/>
      <c r="AE502" s="673"/>
      <c r="AF502" s="673"/>
      <c r="AG502" s="673"/>
      <c r="AH502" s="673"/>
      <c r="AI502" s="673"/>
      <c r="AJ502" s="673"/>
      <c r="AK502" s="673"/>
      <c r="AL502" s="673"/>
      <c r="AM502" s="673"/>
      <c r="AN502" s="673"/>
      <c r="AO502" s="673"/>
      <c r="AP502" s="673"/>
      <c r="AQ502" s="673"/>
      <c r="AR502" s="673"/>
      <c r="AS502" s="673"/>
    </row>
    <row r="503">
      <c r="A503" s="653"/>
      <c r="B503" s="654"/>
      <c r="C503" s="655"/>
      <c r="D503" s="656"/>
      <c r="E503" s="657"/>
      <c r="F503" s="658"/>
      <c r="G503" s="659"/>
      <c r="H503" s="660"/>
      <c r="I503" s="659"/>
      <c r="J503" s="661"/>
      <c r="K503" s="658"/>
      <c r="L503" s="662"/>
      <c r="M503" s="663"/>
      <c r="N503" s="664"/>
      <c r="O503" s="665"/>
      <c r="P503" s="666"/>
      <c r="Q503" s="667"/>
      <c r="R503" s="668"/>
      <c r="S503" s="665"/>
      <c r="T503" s="669"/>
      <c r="U503" s="669"/>
      <c r="V503" s="665"/>
      <c r="W503" s="670"/>
      <c r="X503" s="670"/>
      <c r="Y503" s="671"/>
      <c r="Z503" s="671"/>
      <c r="AA503" s="672"/>
      <c r="AB503" s="673"/>
      <c r="AC503" s="673"/>
      <c r="AD503" s="673"/>
      <c r="AE503" s="673"/>
      <c r="AF503" s="673"/>
      <c r="AG503" s="673"/>
      <c r="AH503" s="673"/>
      <c r="AI503" s="673"/>
      <c r="AJ503" s="673"/>
      <c r="AK503" s="673"/>
      <c r="AL503" s="673"/>
      <c r="AM503" s="673"/>
      <c r="AN503" s="673"/>
      <c r="AO503" s="673"/>
      <c r="AP503" s="673"/>
      <c r="AQ503" s="673"/>
      <c r="AR503" s="673"/>
      <c r="AS503" s="673"/>
    </row>
    <row r="504">
      <c r="A504" s="653"/>
      <c r="B504" s="654"/>
      <c r="C504" s="655"/>
      <c r="D504" s="656"/>
      <c r="E504" s="657"/>
      <c r="F504" s="658"/>
      <c r="G504" s="659"/>
      <c r="H504" s="660"/>
      <c r="I504" s="659"/>
      <c r="J504" s="661"/>
      <c r="K504" s="658"/>
      <c r="L504" s="662"/>
      <c r="M504" s="663"/>
      <c r="N504" s="664"/>
      <c r="O504" s="665"/>
      <c r="P504" s="666"/>
      <c r="Q504" s="667"/>
      <c r="R504" s="668"/>
      <c r="S504" s="665"/>
      <c r="T504" s="669"/>
      <c r="U504" s="669"/>
      <c r="V504" s="665"/>
      <c r="W504" s="670"/>
      <c r="X504" s="670"/>
      <c r="Y504" s="671"/>
      <c r="Z504" s="671"/>
      <c r="AA504" s="672"/>
      <c r="AB504" s="673"/>
      <c r="AC504" s="673"/>
      <c r="AD504" s="673"/>
      <c r="AE504" s="673"/>
      <c r="AF504" s="673"/>
      <c r="AG504" s="673"/>
      <c r="AH504" s="673"/>
      <c r="AI504" s="673"/>
      <c r="AJ504" s="673"/>
      <c r="AK504" s="673"/>
      <c r="AL504" s="673"/>
      <c r="AM504" s="673"/>
      <c r="AN504" s="673"/>
      <c r="AO504" s="673"/>
      <c r="AP504" s="673"/>
      <c r="AQ504" s="673"/>
      <c r="AR504" s="673"/>
      <c r="AS504" s="673"/>
    </row>
    <row r="505">
      <c r="A505" s="653"/>
      <c r="B505" s="654"/>
      <c r="C505" s="655"/>
      <c r="D505" s="656"/>
      <c r="E505" s="657"/>
      <c r="F505" s="658"/>
      <c r="G505" s="659"/>
      <c r="H505" s="660"/>
      <c r="I505" s="659"/>
      <c r="J505" s="661"/>
      <c r="K505" s="658"/>
      <c r="L505" s="662"/>
      <c r="M505" s="663"/>
      <c r="N505" s="664"/>
      <c r="O505" s="665"/>
      <c r="P505" s="666"/>
      <c r="Q505" s="667"/>
      <c r="R505" s="668"/>
      <c r="S505" s="665"/>
      <c r="T505" s="669"/>
      <c r="U505" s="669"/>
      <c r="V505" s="665"/>
      <c r="W505" s="670"/>
      <c r="X505" s="670"/>
      <c r="Y505" s="671"/>
      <c r="Z505" s="671"/>
      <c r="AA505" s="672"/>
      <c r="AB505" s="673"/>
      <c r="AC505" s="673"/>
      <c r="AD505" s="673"/>
      <c r="AE505" s="673"/>
      <c r="AF505" s="673"/>
      <c r="AG505" s="673"/>
      <c r="AH505" s="673"/>
      <c r="AI505" s="673"/>
      <c r="AJ505" s="673"/>
      <c r="AK505" s="673"/>
      <c r="AL505" s="673"/>
      <c r="AM505" s="673"/>
      <c r="AN505" s="673"/>
      <c r="AO505" s="673"/>
      <c r="AP505" s="673"/>
      <c r="AQ505" s="673"/>
      <c r="AR505" s="673"/>
      <c r="AS505" s="673"/>
    </row>
    <row r="506">
      <c r="A506" s="653"/>
      <c r="B506" s="654"/>
      <c r="C506" s="655"/>
      <c r="D506" s="656"/>
      <c r="E506" s="657"/>
      <c r="F506" s="658"/>
      <c r="G506" s="659"/>
      <c r="H506" s="660"/>
      <c r="I506" s="659"/>
      <c r="J506" s="661"/>
      <c r="K506" s="658"/>
      <c r="L506" s="662"/>
      <c r="M506" s="663"/>
      <c r="N506" s="664"/>
      <c r="O506" s="665"/>
      <c r="P506" s="666"/>
      <c r="Q506" s="667"/>
      <c r="R506" s="668"/>
      <c r="S506" s="665"/>
      <c r="T506" s="669"/>
      <c r="U506" s="669"/>
      <c r="V506" s="665"/>
      <c r="W506" s="670"/>
      <c r="X506" s="670"/>
      <c r="Y506" s="671"/>
      <c r="Z506" s="671"/>
      <c r="AA506" s="672"/>
      <c r="AB506" s="673"/>
      <c r="AC506" s="673"/>
      <c r="AD506" s="673"/>
      <c r="AE506" s="673"/>
      <c r="AF506" s="673"/>
      <c r="AG506" s="673"/>
      <c r="AH506" s="673"/>
      <c r="AI506" s="673"/>
      <c r="AJ506" s="673"/>
      <c r="AK506" s="673"/>
      <c r="AL506" s="673"/>
      <c r="AM506" s="673"/>
      <c r="AN506" s="673"/>
      <c r="AO506" s="673"/>
      <c r="AP506" s="673"/>
      <c r="AQ506" s="673"/>
      <c r="AR506" s="673"/>
      <c r="AS506" s="673"/>
    </row>
    <row r="507">
      <c r="A507" s="653"/>
      <c r="B507" s="654"/>
      <c r="C507" s="655"/>
      <c r="D507" s="656"/>
      <c r="E507" s="657"/>
      <c r="F507" s="658"/>
      <c r="G507" s="659"/>
      <c r="H507" s="660"/>
      <c r="I507" s="659"/>
      <c r="J507" s="661"/>
      <c r="K507" s="658"/>
      <c r="L507" s="662"/>
      <c r="M507" s="663"/>
      <c r="N507" s="664"/>
      <c r="O507" s="665"/>
      <c r="P507" s="666"/>
      <c r="Q507" s="667"/>
      <c r="R507" s="668"/>
      <c r="S507" s="665"/>
      <c r="T507" s="669"/>
      <c r="U507" s="669"/>
      <c r="V507" s="665"/>
      <c r="W507" s="670"/>
      <c r="X507" s="670"/>
      <c r="Y507" s="671"/>
      <c r="Z507" s="671"/>
      <c r="AA507" s="672"/>
      <c r="AB507" s="673"/>
      <c r="AC507" s="673"/>
      <c r="AD507" s="673"/>
      <c r="AE507" s="673"/>
      <c r="AF507" s="673"/>
      <c r="AG507" s="673"/>
      <c r="AH507" s="673"/>
      <c r="AI507" s="673"/>
      <c r="AJ507" s="673"/>
      <c r="AK507" s="673"/>
      <c r="AL507" s="673"/>
      <c r="AM507" s="673"/>
      <c r="AN507" s="673"/>
      <c r="AO507" s="673"/>
      <c r="AP507" s="673"/>
      <c r="AQ507" s="673"/>
      <c r="AR507" s="673"/>
      <c r="AS507" s="673"/>
    </row>
    <row r="508">
      <c r="A508" s="653"/>
      <c r="B508" s="654"/>
      <c r="C508" s="655"/>
      <c r="D508" s="656"/>
      <c r="E508" s="657"/>
      <c r="F508" s="658"/>
      <c r="G508" s="659"/>
      <c r="H508" s="660"/>
      <c r="I508" s="659"/>
      <c r="J508" s="661"/>
      <c r="K508" s="658"/>
      <c r="L508" s="662"/>
      <c r="M508" s="663"/>
      <c r="N508" s="664"/>
      <c r="O508" s="665"/>
      <c r="P508" s="666"/>
      <c r="Q508" s="667"/>
      <c r="R508" s="668"/>
      <c r="S508" s="665"/>
      <c r="T508" s="669"/>
      <c r="U508" s="669"/>
      <c r="V508" s="665"/>
      <c r="W508" s="670"/>
      <c r="X508" s="670"/>
      <c r="Y508" s="671"/>
      <c r="Z508" s="671"/>
      <c r="AA508" s="672"/>
      <c r="AB508" s="673"/>
      <c r="AC508" s="673"/>
      <c r="AD508" s="673"/>
      <c r="AE508" s="673"/>
      <c r="AF508" s="673"/>
      <c r="AG508" s="673"/>
      <c r="AH508" s="673"/>
      <c r="AI508" s="673"/>
      <c r="AJ508" s="673"/>
      <c r="AK508" s="673"/>
      <c r="AL508" s="673"/>
      <c r="AM508" s="673"/>
      <c r="AN508" s="673"/>
      <c r="AO508" s="673"/>
      <c r="AP508" s="673"/>
      <c r="AQ508" s="673"/>
      <c r="AR508" s="673"/>
      <c r="AS508" s="673"/>
    </row>
    <row r="509">
      <c r="A509" s="653"/>
      <c r="B509" s="654"/>
      <c r="C509" s="655"/>
      <c r="D509" s="656"/>
      <c r="E509" s="657"/>
      <c r="F509" s="658"/>
      <c r="G509" s="659"/>
      <c r="H509" s="660"/>
      <c r="I509" s="659"/>
      <c r="J509" s="661"/>
      <c r="K509" s="658"/>
      <c r="L509" s="662"/>
      <c r="M509" s="663"/>
      <c r="N509" s="664"/>
      <c r="O509" s="665"/>
      <c r="P509" s="666"/>
      <c r="Q509" s="667"/>
      <c r="R509" s="668"/>
      <c r="S509" s="665"/>
      <c r="T509" s="669"/>
      <c r="U509" s="669"/>
      <c r="V509" s="665"/>
      <c r="W509" s="670"/>
      <c r="X509" s="670"/>
      <c r="Y509" s="671"/>
      <c r="Z509" s="671"/>
      <c r="AA509" s="672"/>
      <c r="AB509" s="673"/>
      <c r="AC509" s="673"/>
      <c r="AD509" s="673"/>
      <c r="AE509" s="673"/>
      <c r="AF509" s="673"/>
      <c r="AG509" s="673"/>
      <c r="AH509" s="673"/>
      <c r="AI509" s="673"/>
      <c r="AJ509" s="673"/>
      <c r="AK509" s="673"/>
      <c r="AL509" s="673"/>
      <c r="AM509" s="673"/>
      <c r="AN509" s="673"/>
      <c r="AO509" s="673"/>
      <c r="AP509" s="673"/>
      <c r="AQ509" s="673"/>
      <c r="AR509" s="673"/>
      <c r="AS509" s="673"/>
    </row>
    <row r="510">
      <c r="A510" s="653"/>
      <c r="B510" s="654"/>
      <c r="C510" s="655"/>
      <c r="D510" s="656"/>
      <c r="E510" s="657"/>
      <c r="F510" s="658"/>
      <c r="G510" s="659"/>
      <c r="H510" s="660"/>
      <c r="I510" s="659"/>
      <c r="J510" s="661"/>
      <c r="K510" s="658"/>
      <c r="L510" s="662"/>
      <c r="M510" s="663"/>
      <c r="N510" s="664"/>
      <c r="O510" s="665"/>
      <c r="P510" s="666"/>
      <c r="Q510" s="667"/>
      <c r="R510" s="668"/>
      <c r="S510" s="665"/>
      <c r="T510" s="669"/>
      <c r="U510" s="669"/>
      <c r="V510" s="665"/>
      <c r="W510" s="670"/>
      <c r="X510" s="670"/>
      <c r="Y510" s="671"/>
      <c r="Z510" s="671"/>
      <c r="AA510" s="672"/>
      <c r="AB510" s="673"/>
      <c r="AC510" s="673"/>
      <c r="AD510" s="673"/>
      <c r="AE510" s="673"/>
      <c r="AF510" s="673"/>
      <c r="AG510" s="673"/>
      <c r="AH510" s="673"/>
      <c r="AI510" s="673"/>
      <c r="AJ510" s="673"/>
      <c r="AK510" s="673"/>
      <c r="AL510" s="673"/>
      <c r="AM510" s="673"/>
      <c r="AN510" s="673"/>
      <c r="AO510" s="673"/>
      <c r="AP510" s="673"/>
      <c r="AQ510" s="673"/>
      <c r="AR510" s="673"/>
      <c r="AS510" s="673"/>
    </row>
    <row r="511">
      <c r="A511" s="653"/>
      <c r="B511" s="654"/>
      <c r="C511" s="655"/>
      <c r="D511" s="656"/>
      <c r="E511" s="657"/>
      <c r="F511" s="658"/>
      <c r="G511" s="659"/>
      <c r="H511" s="660"/>
      <c r="I511" s="659"/>
      <c r="J511" s="661"/>
      <c r="K511" s="658"/>
      <c r="L511" s="662"/>
      <c r="M511" s="663"/>
      <c r="N511" s="664"/>
      <c r="O511" s="665"/>
      <c r="P511" s="666"/>
      <c r="Q511" s="667"/>
      <c r="R511" s="668"/>
      <c r="S511" s="665"/>
      <c r="T511" s="669"/>
      <c r="U511" s="669"/>
      <c r="V511" s="665"/>
      <c r="W511" s="670"/>
      <c r="X511" s="670"/>
      <c r="Y511" s="671"/>
      <c r="Z511" s="671"/>
      <c r="AA511" s="672"/>
      <c r="AB511" s="673"/>
      <c r="AC511" s="673"/>
      <c r="AD511" s="673"/>
      <c r="AE511" s="673"/>
      <c r="AF511" s="673"/>
      <c r="AG511" s="673"/>
      <c r="AH511" s="673"/>
      <c r="AI511" s="673"/>
      <c r="AJ511" s="673"/>
      <c r="AK511" s="673"/>
      <c r="AL511" s="673"/>
      <c r="AM511" s="673"/>
      <c r="AN511" s="673"/>
      <c r="AO511" s="673"/>
      <c r="AP511" s="673"/>
      <c r="AQ511" s="673"/>
      <c r="AR511" s="673"/>
      <c r="AS511" s="673"/>
    </row>
    <row r="512">
      <c r="A512" s="653"/>
      <c r="B512" s="654"/>
      <c r="C512" s="655"/>
      <c r="D512" s="656"/>
      <c r="E512" s="657"/>
      <c r="F512" s="658"/>
      <c r="G512" s="659"/>
      <c r="H512" s="660"/>
      <c r="I512" s="659"/>
      <c r="J512" s="661"/>
      <c r="K512" s="658"/>
      <c r="L512" s="662"/>
      <c r="M512" s="663"/>
      <c r="N512" s="664"/>
      <c r="O512" s="665"/>
      <c r="P512" s="666"/>
      <c r="Q512" s="667"/>
      <c r="R512" s="668"/>
      <c r="S512" s="665"/>
      <c r="T512" s="669"/>
      <c r="U512" s="669"/>
      <c r="V512" s="665"/>
      <c r="W512" s="670"/>
      <c r="X512" s="670"/>
      <c r="Y512" s="671"/>
      <c r="Z512" s="671"/>
      <c r="AA512" s="672"/>
      <c r="AB512" s="673"/>
      <c r="AC512" s="673"/>
      <c r="AD512" s="673"/>
      <c r="AE512" s="673"/>
      <c r="AF512" s="673"/>
      <c r="AG512" s="673"/>
      <c r="AH512" s="673"/>
      <c r="AI512" s="673"/>
      <c r="AJ512" s="673"/>
      <c r="AK512" s="673"/>
      <c r="AL512" s="673"/>
      <c r="AM512" s="673"/>
      <c r="AN512" s="673"/>
      <c r="AO512" s="673"/>
      <c r="AP512" s="673"/>
      <c r="AQ512" s="673"/>
      <c r="AR512" s="673"/>
      <c r="AS512" s="673"/>
    </row>
    <row r="513">
      <c r="A513" s="653"/>
      <c r="B513" s="654"/>
      <c r="C513" s="655"/>
      <c r="D513" s="656"/>
      <c r="E513" s="657"/>
      <c r="F513" s="658"/>
      <c r="G513" s="659"/>
      <c r="H513" s="660"/>
      <c r="I513" s="659"/>
      <c r="J513" s="661"/>
      <c r="K513" s="658"/>
      <c r="L513" s="662"/>
      <c r="M513" s="663"/>
      <c r="N513" s="664"/>
      <c r="O513" s="665"/>
      <c r="P513" s="666"/>
      <c r="Q513" s="667"/>
      <c r="R513" s="668"/>
      <c r="S513" s="665"/>
      <c r="T513" s="669"/>
      <c r="U513" s="669"/>
      <c r="V513" s="665"/>
      <c r="W513" s="670"/>
      <c r="X513" s="670"/>
      <c r="Y513" s="671"/>
      <c r="Z513" s="671"/>
      <c r="AA513" s="672"/>
      <c r="AB513" s="673"/>
      <c r="AC513" s="673"/>
      <c r="AD513" s="673"/>
      <c r="AE513" s="673"/>
      <c r="AF513" s="673"/>
      <c r="AG513" s="673"/>
      <c r="AH513" s="673"/>
      <c r="AI513" s="673"/>
      <c r="AJ513" s="673"/>
      <c r="AK513" s="673"/>
      <c r="AL513" s="673"/>
      <c r="AM513" s="673"/>
      <c r="AN513" s="673"/>
      <c r="AO513" s="673"/>
      <c r="AP513" s="673"/>
      <c r="AQ513" s="673"/>
      <c r="AR513" s="673"/>
      <c r="AS513" s="673"/>
    </row>
    <row r="514">
      <c r="A514" s="653"/>
      <c r="B514" s="654"/>
      <c r="C514" s="655"/>
      <c r="D514" s="656"/>
      <c r="E514" s="657"/>
      <c r="F514" s="658"/>
      <c r="G514" s="659"/>
      <c r="H514" s="660"/>
      <c r="I514" s="659"/>
      <c r="J514" s="661"/>
      <c r="K514" s="658"/>
      <c r="L514" s="662"/>
      <c r="M514" s="663"/>
      <c r="N514" s="664"/>
      <c r="O514" s="665"/>
      <c r="P514" s="666"/>
      <c r="Q514" s="667"/>
      <c r="R514" s="668"/>
      <c r="S514" s="665"/>
      <c r="T514" s="669"/>
      <c r="U514" s="669"/>
      <c r="V514" s="665"/>
      <c r="W514" s="670"/>
      <c r="X514" s="670"/>
      <c r="Y514" s="671"/>
      <c r="Z514" s="671"/>
      <c r="AA514" s="672"/>
      <c r="AB514" s="673"/>
      <c r="AC514" s="673"/>
      <c r="AD514" s="673"/>
      <c r="AE514" s="673"/>
      <c r="AF514" s="673"/>
      <c r="AG514" s="673"/>
      <c r="AH514" s="673"/>
      <c r="AI514" s="673"/>
      <c r="AJ514" s="673"/>
      <c r="AK514" s="673"/>
      <c r="AL514" s="673"/>
      <c r="AM514" s="673"/>
      <c r="AN514" s="673"/>
      <c r="AO514" s="673"/>
      <c r="AP514" s="673"/>
      <c r="AQ514" s="673"/>
      <c r="AR514" s="673"/>
      <c r="AS514" s="673"/>
    </row>
    <row r="515">
      <c r="A515" s="653"/>
      <c r="B515" s="654"/>
      <c r="C515" s="655"/>
      <c r="D515" s="656"/>
      <c r="E515" s="657"/>
      <c r="F515" s="658"/>
      <c r="G515" s="659"/>
      <c r="H515" s="660"/>
      <c r="I515" s="659"/>
      <c r="J515" s="661"/>
      <c r="K515" s="658"/>
      <c r="L515" s="662"/>
      <c r="M515" s="663"/>
      <c r="N515" s="664"/>
      <c r="O515" s="665"/>
      <c r="P515" s="666"/>
      <c r="Q515" s="667"/>
      <c r="R515" s="668"/>
      <c r="S515" s="665"/>
      <c r="T515" s="669"/>
      <c r="U515" s="669"/>
      <c r="V515" s="665"/>
      <c r="W515" s="670"/>
      <c r="X515" s="670"/>
      <c r="Y515" s="671"/>
      <c r="Z515" s="671"/>
      <c r="AA515" s="672"/>
      <c r="AB515" s="673"/>
      <c r="AC515" s="673"/>
      <c r="AD515" s="673"/>
      <c r="AE515" s="673"/>
      <c r="AF515" s="673"/>
      <c r="AG515" s="673"/>
      <c r="AH515" s="673"/>
      <c r="AI515" s="673"/>
      <c r="AJ515" s="673"/>
      <c r="AK515" s="673"/>
      <c r="AL515" s="673"/>
      <c r="AM515" s="673"/>
      <c r="AN515" s="673"/>
      <c r="AO515" s="673"/>
      <c r="AP515" s="673"/>
      <c r="AQ515" s="673"/>
      <c r="AR515" s="673"/>
      <c r="AS515" s="673"/>
    </row>
    <row r="516">
      <c r="A516" s="653"/>
      <c r="B516" s="654"/>
      <c r="C516" s="655"/>
      <c r="D516" s="656"/>
      <c r="E516" s="657"/>
      <c r="F516" s="658"/>
      <c r="G516" s="659"/>
      <c r="H516" s="660"/>
      <c r="I516" s="659"/>
      <c r="J516" s="661"/>
      <c r="K516" s="658"/>
      <c r="L516" s="662"/>
      <c r="M516" s="663"/>
      <c r="N516" s="664"/>
      <c r="O516" s="665"/>
      <c r="P516" s="666"/>
      <c r="Q516" s="667"/>
      <c r="R516" s="668"/>
      <c r="S516" s="665"/>
      <c r="T516" s="669"/>
      <c r="U516" s="669"/>
      <c r="V516" s="665"/>
      <c r="W516" s="670"/>
      <c r="X516" s="670"/>
      <c r="Y516" s="671"/>
      <c r="Z516" s="671"/>
      <c r="AA516" s="672"/>
      <c r="AB516" s="673"/>
      <c r="AC516" s="673"/>
      <c r="AD516" s="673"/>
      <c r="AE516" s="673"/>
      <c r="AF516" s="673"/>
      <c r="AG516" s="673"/>
      <c r="AH516" s="673"/>
      <c r="AI516" s="673"/>
      <c r="AJ516" s="673"/>
      <c r="AK516" s="673"/>
      <c r="AL516" s="673"/>
      <c r="AM516" s="673"/>
      <c r="AN516" s="673"/>
      <c r="AO516" s="673"/>
      <c r="AP516" s="673"/>
      <c r="AQ516" s="673"/>
      <c r="AR516" s="673"/>
      <c r="AS516" s="673"/>
    </row>
    <row r="517">
      <c r="A517" s="653"/>
      <c r="B517" s="654"/>
      <c r="C517" s="655"/>
      <c r="D517" s="656"/>
      <c r="E517" s="657"/>
      <c r="F517" s="658"/>
      <c r="G517" s="659"/>
      <c r="H517" s="660"/>
      <c r="I517" s="659"/>
      <c r="J517" s="661"/>
      <c r="K517" s="658"/>
      <c r="L517" s="662"/>
      <c r="M517" s="663"/>
      <c r="N517" s="664"/>
      <c r="O517" s="665"/>
      <c r="P517" s="666"/>
      <c r="Q517" s="667"/>
      <c r="R517" s="668"/>
      <c r="S517" s="665"/>
      <c r="T517" s="669"/>
      <c r="U517" s="669"/>
      <c r="V517" s="665"/>
      <c r="W517" s="670"/>
      <c r="X517" s="670"/>
      <c r="Y517" s="671"/>
      <c r="Z517" s="671"/>
      <c r="AA517" s="672"/>
      <c r="AB517" s="673"/>
      <c r="AC517" s="673"/>
      <c r="AD517" s="673"/>
      <c r="AE517" s="673"/>
      <c r="AF517" s="673"/>
      <c r="AG517" s="673"/>
      <c r="AH517" s="673"/>
      <c r="AI517" s="673"/>
      <c r="AJ517" s="673"/>
      <c r="AK517" s="673"/>
      <c r="AL517" s="673"/>
      <c r="AM517" s="673"/>
      <c r="AN517" s="673"/>
      <c r="AO517" s="673"/>
      <c r="AP517" s="673"/>
      <c r="AQ517" s="673"/>
      <c r="AR517" s="673"/>
      <c r="AS517" s="673"/>
    </row>
    <row r="518">
      <c r="A518" s="653"/>
      <c r="B518" s="654"/>
      <c r="C518" s="655"/>
      <c r="D518" s="656"/>
      <c r="E518" s="657"/>
      <c r="F518" s="658"/>
      <c r="G518" s="659"/>
      <c r="H518" s="660"/>
      <c r="I518" s="659"/>
      <c r="J518" s="661"/>
      <c r="K518" s="658"/>
      <c r="L518" s="662"/>
      <c r="M518" s="663"/>
      <c r="N518" s="664"/>
      <c r="O518" s="665"/>
      <c r="P518" s="666"/>
      <c r="Q518" s="667"/>
      <c r="R518" s="668"/>
      <c r="S518" s="665"/>
      <c r="T518" s="669"/>
      <c r="U518" s="669"/>
      <c r="V518" s="665"/>
      <c r="W518" s="670"/>
      <c r="X518" s="670"/>
      <c r="Y518" s="671"/>
      <c r="Z518" s="671"/>
      <c r="AA518" s="672"/>
      <c r="AB518" s="673"/>
      <c r="AC518" s="673"/>
      <c r="AD518" s="673"/>
      <c r="AE518" s="673"/>
      <c r="AF518" s="673"/>
      <c r="AG518" s="673"/>
      <c r="AH518" s="673"/>
      <c r="AI518" s="673"/>
      <c r="AJ518" s="673"/>
      <c r="AK518" s="673"/>
      <c r="AL518" s="673"/>
      <c r="AM518" s="673"/>
      <c r="AN518" s="673"/>
      <c r="AO518" s="673"/>
      <c r="AP518" s="673"/>
      <c r="AQ518" s="673"/>
      <c r="AR518" s="673"/>
      <c r="AS518" s="673"/>
    </row>
    <row r="519">
      <c r="A519" s="653"/>
      <c r="B519" s="654"/>
      <c r="C519" s="655"/>
      <c r="D519" s="656"/>
      <c r="E519" s="657"/>
      <c r="F519" s="658"/>
      <c r="G519" s="659"/>
      <c r="H519" s="660"/>
      <c r="I519" s="659"/>
      <c r="J519" s="661"/>
      <c r="K519" s="658"/>
      <c r="L519" s="662"/>
      <c r="M519" s="663"/>
      <c r="N519" s="664"/>
      <c r="O519" s="665"/>
      <c r="P519" s="666"/>
      <c r="Q519" s="667"/>
      <c r="R519" s="668"/>
      <c r="S519" s="665"/>
      <c r="T519" s="669"/>
      <c r="U519" s="669"/>
      <c r="V519" s="665"/>
      <c r="W519" s="670"/>
      <c r="X519" s="670"/>
      <c r="Y519" s="671"/>
      <c r="Z519" s="671"/>
      <c r="AA519" s="672"/>
      <c r="AB519" s="673"/>
      <c r="AC519" s="673"/>
      <c r="AD519" s="673"/>
      <c r="AE519" s="673"/>
      <c r="AF519" s="673"/>
      <c r="AG519" s="673"/>
      <c r="AH519" s="673"/>
      <c r="AI519" s="673"/>
      <c r="AJ519" s="673"/>
      <c r="AK519" s="673"/>
      <c r="AL519" s="673"/>
      <c r="AM519" s="673"/>
      <c r="AN519" s="673"/>
      <c r="AO519" s="673"/>
      <c r="AP519" s="673"/>
      <c r="AQ519" s="673"/>
      <c r="AR519" s="673"/>
      <c r="AS519" s="673"/>
    </row>
    <row r="520">
      <c r="A520" s="653"/>
      <c r="B520" s="654"/>
      <c r="C520" s="655"/>
      <c r="D520" s="656"/>
      <c r="E520" s="657"/>
      <c r="F520" s="658"/>
      <c r="G520" s="659"/>
      <c r="H520" s="660"/>
      <c r="I520" s="659"/>
      <c r="J520" s="661"/>
      <c r="K520" s="658"/>
      <c r="L520" s="662"/>
      <c r="M520" s="663"/>
      <c r="N520" s="664"/>
      <c r="O520" s="665"/>
      <c r="P520" s="666"/>
      <c r="Q520" s="667"/>
      <c r="R520" s="668"/>
      <c r="S520" s="665"/>
      <c r="T520" s="669"/>
      <c r="U520" s="669"/>
      <c r="V520" s="665"/>
      <c r="W520" s="670"/>
      <c r="X520" s="670"/>
      <c r="Y520" s="671"/>
      <c r="Z520" s="671"/>
      <c r="AA520" s="672"/>
      <c r="AB520" s="673"/>
      <c r="AC520" s="673"/>
      <c r="AD520" s="673"/>
      <c r="AE520" s="673"/>
      <c r="AF520" s="673"/>
      <c r="AG520" s="673"/>
      <c r="AH520" s="673"/>
      <c r="AI520" s="673"/>
      <c r="AJ520" s="673"/>
      <c r="AK520" s="673"/>
      <c r="AL520" s="673"/>
      <c r="AM520" s="673"/>
      <c r="AN520" s="673"/>
      <c r="AO520" s="673"/>
      <c r="AP520" s="673"/>
      <c r="AQ520" s="673"/>
      <c r="AR520" s="673"/>
      <c r="AS520" s="673"/>
    </row>
    <row r="521">
      <c r="A521" s="653"/>
      <c r="B521" s="654"/>
      <c r="C521" s="655"/>
      <c r="D521" s="656"/>
      <c r="E521" s="657"/>
      <c r="F521" s="658"/>
      <c r="G521" s="659"/>
      <c r="H521" s="660"/>
      <c r="I521" s="659"/>
      <c r="J521" s="661"/>
      <c r="K521" s="658"/>
      <c r="L521" s="662"/>
      <c r="M521" s="663"/>
      <c r="N521" s="664"/>
      <c r="O521" s="665"/>
      <c r="P521" s="666"/>
      <c r="Q521" s="667"/>
      <c r="R521" s="668"/>
      <c r="S521" s="665"/>
      <c r="T521" s="669"/>
      <c r="U521" s="669"/>
      <c r="V521" s="665"/>
      <c r="W521" s="670"/>
      <c r="X521" s="670"/>
      <c r="Y521" s="671"/>
      <c r="Z521" s="671"/>
      <c r="AA521" s="672"/>
      <c r="AB521" s="673"/>
      <c r="AC521" s="673"/>
      <c r="AD521" s="673"/>
      <c r="AE521" s="673"/>
      <c r="AF521" s="673"/>
      <c r="AG521" s="673"/>
      <c r="AH521" s="673"/>
      <c r="AI521" s="673"/>
      <c r="AJ521" s="673"/>
      <c r="AK521" s="673"/>
      <c r="AL521" s="673"/>
      <c r="AM521" s="673"/>
      <c r="AN521" s="673"/>
      <c r="AO521" s="673"/>
      <c r="AP521" s="673"/>
      <c r="AQ521" s="673"/>
      <c r="AR521" s="673"/>
      <c r="AS521" s="673"/>
    </row>
    <row r="522">
      <c r="A522" s="653"/>
      <c r="B522" s="654"/>
      <c r="C522" s="655"/>
      <c r="D522" s="656"/>
      <c r="E522" s="657"/>
      <c r="F522" s="658"/>
      <c r="G522" s="659"/>
      <c r="H522" s="660"/>
      <c r="I522" s="659"/>
      <c r="J522" s="661"/>
      <c r="K522" s="658"/>
      <c r="L522" s="662"/>
      <c r="M522" s="663"/>
      <c r="N522" s="664"/>
      <c r="O522" s="665"/>
      <c r="P522" s="666"/>
      <c r="Q522" s="667"/>
      <c r="R522" s="668"/>
      <c r="S522" s="665"/>
      <c r="T522" s="669"/>
      <c r="U522" s="669"/>
      <c r="V522" s="665"/>
      <c r="W522" s="670"/>
      <c r="X522" s="670"/>
      <c r="Y522" s="671"/>
      <c r="Z522" s="671"/>
      <c r="AA522" s="672"/>
      <c r="AB522" s="673"/>
      <c r="AC522" s="673"/>
      <c r="AD522" s="673"/>
      <c r="AE522" s="673"/>
      <c r="AF522" s="673"/>
      <c r="AG522" s="673"/>
      <c r="AH522" s="673"/>
      <c r="AI522" s="673"/>
      <c r="AJ522" s="673"/>
      <c r="AK522" s="673"/>
      <c r="AL522" s="673"/>
      <c r="AM522" s="673"/>
      <c r="AN522" s="673"/>
      <c r="AO522" s="673"/>
      <c r="AP522" s="673"/>
      <c r="AQ522" s="673"/>
      <c r="AR522" s="673"/>
      <c r="AS522" s="673"/>
    </row>
    <row r="523">
      <c r="A523" s="653"/>
      <c r="B523" s="654"/>
      <c r="C523" s="655"/>
      <c r="D523" s="656"/>
      <c r="E523" s="657"/>
      <c r="F523" s="658"/>
      <c r="G523" s="659"/>
      <c r="H523" s="660"/>
      <c r="I523" s="659"/>
      <c r="J523" s="661"/>
      <c r="K523" s="658"/>
      <c r="L523" s="662"/>
      <c r="M523" s="663"/>
      <c r="N523" s="664"/>
      <c r="O523" s="665"/>
      <c r="P523" s="666"/>
      <c r="Q523" s="667"/>
      <c r="R523" s="668"/>
      <c r="S523" s="665"/>
      <c r="T523" s="669"/>
      <c r="U523" s="669"/>
      <c r="V523" s="665"/>
      <c r="W523" s="670"/>
      <c r="X523" s="670"/>
      <c r="Y523" s="671"/>
      <c r="Z523" s="671"/>
      <c r="AA523" s="672"/>
      <c r="AB523" s="673"/>
      <c r="AC523" s="673"/>
      <c r="AD523" s="673"/>
      <c r="AE523" s="673"/>
      <c r="AF523" s="673"/>
      <c r="AG523" s="673"/>
      <c r="AH523" s="673"/>
      <c r="AI523" s="673"/>
      <c r="AJ523" s="673"/>
      <c r="AK523" s="673"/>
      <c r="AL523" s="673"/>
      <c r="AM523" s="673"/>
      <c r="AN523" s="673"/>
      <c r="AO523" s="673"/>
      <c r="AP523" s="673"/>
      <c r="AQ523" s="673"/>
      <c r="AR523" s="673"/>
      <c r="AS523" s="673"/>
    </row>
    <row r="524">
      <c r="A524" s="653"/>
      <c r="B524" s="654"/>
      <c r="C524" s="655"/>
      <c r="D524" s="656"/>
      <c r="E524" s="657"/>
      <c r="F524" s="658"/>
      <c r="G524" s="659"/>
      <c r="H524" s="660"/>
      <c r="I524" s="659"/>
      <c r="J524" s="661"/>
      <c r="K524" s="658"/>
      <c r="L524" s="662"/>
      <c r="M524" s="663"/>
      <c r="N524" s="664"/>
      <c r="O524" s="665"/>
      <c r="P524" s="666"/>
      <c r="Q524" s="667"/>
      <c r="R524" s="668"/>
      <c r="S524" s="665"/>
      <c r="T524" s="669"/>
      <c r="U524" s="669"/>
      <c r="V524" s="665"/>
      <c r="W524" s="670"/>
      <c r="X524" s="670"/>
      <c r="Y524" s="671"/>
      <c r="Z524" s="671"/>
      <c r="AA524" s="672"/>
      <c r="AB524" s="673"/>
      <c r="AC524" s="673"/>
      <c r="AD524" s="673"/>
      <c r="AE524" s="673"/>
      <c r="AF524" s="673"/>
      <c r="AG524" s="673"/>
      <c r="AH524" s="673"/>
      <c r="AI524" s="673"/>
      <c r="AJ524" s="673"/>
      <c r="AK524" s="673"/>
      <c r="AL524" s="673"/>
      <c r="AM524" s="673"/>
      <c r="AN524" s="673"/>
      <c r="AO524" s="673"/>
      <c r="AP524" s="673"/>
      <c r="AQ524" s="673"/>
      <c r="AR524" s="673"/>
      <c r="AS524" s="673"/>
    </row>
    <row r="525">
      <c r="A525" s="653"/>
      <c r="B525" s="654"/>
      <c r="C525" s="655"/>
      <c r="D525" s="656"/>
      <c r="E525" s="657"/>
      <c r="F525" s="658"/>
      <c r="G525" s="659"/>
      <c r="H525" s="660"/>
      <c r="I525" s="659"/>
      <c r="J525" s="661"/>
      <c r="K525" s="658"/>
      <c r="L525" s="662"/>
      <c r="M525" s="663"/>
      <c r="N525" s="664"/>
      <c r="O525" s="665"/>
      <c r="P525" s="666"/>
      <c r="Q525" s="667"/>
      <c r="R525" s="668"/>
      <c r="S525" s="665"/>
      <c r="T525" s="669"/>
      <c r="U525" s="669"/>
      <c r="V525" s="665"/>
      <c r="W525" s="670"/>
      <c r="X525" s="670"/>
      <c r="Y525" s="671"/>
      <c r="Z525" s="671"/>
      <c r="AA525" s="672"/>
      <c r="AB525" s="673"/>
      <c r="AC525" s="673"/>
      <c r="AD525" s="673"/>
      <c r="AE525" s="673"/>
      <c r="AF525" s="673"/>
      <c r="AG525" s="673"/>
      <c r="AH525" s="673"/>
      <c r="AI525" s="673"/>
      <c r="AJ525" s="673"/>
      <c r="AK525" s="673"/>
      <c r="AL525" s="673"/>
      <c r="AM525" s="673"/>
      <c r="AN525" s="673"/>
      <c r="AO525" s="673"/>
      <c r="AP525" s="673"/>
      <c r="AQ525" s="673"/>
      <c r="AR525" s="673"/>
      <c r="AS525" s="673"/>
    </row>
    <row r="526">
      <c r="A526" s="653"/>
      <c r="B526" s="654"/>
      <c r="C526" s="655"/>
      <c r="D526" s="656"/>
      <c r="E526" s="657"/>
      <c r="F526" s="658"/>
      <c r="G526" s="659"/>
      <c r="H526" s="660"/>
      <c r="I526" s="659"/>
      <c r="J526" s="661"/>
      <c r="K526" s="658"/>
      <c r="L526" s="662"/>
      <c r="M526" s="663"/>
      <c r="N526" s="664"/>
      <c r="O526" s="665"/>
      <c r="P526" s="666"/>
      <c r="Q526" s="667"/>
      <c r="R526" s="668"/>
      <c r="S526" s="665"/>
      <c r="T526" s="669"/>
      <c r="U526" s="669"/>
      <c r="V526" s="665"/>
      <c r="W526" s="670"/>
      <c r="X526" s="670"/>
      <c r="Y526" s="671"/>
      <c r="Z526" s="671"/>
      <c r="AA526" s="672"/>
      <c r="AB526" s="673"/>
      <c r="AC526" s="673"/>
      <c r="AD526" s="673"/>
      <c r="AE526" s="673"/>
      <c r="AF526" s="673"/>
      <c r="AG526" s="673"/>
      <c r="AH526" s="673"/>
      <c r="AI526" s="673"/>
      <c r="AJ526" s="673"/>
      <c r="AK526" s="673"/>
      <c r="AL526" s="673"/>
      <c r="AM526" s="673"/>
      <c r="AN526" s="673"/>
      <c r="AO526" s="673"/>
      <c r="AP526" s="673"/>
      <c r="AQ526" s="673"/>
      <c r="AR526" s="673"/>
      <c r="AS526" s="673"/>
    </row>
    <row r="527">
      <c r="A527" s="653"/>
      <c r="B527" s="654"/>
      <c r="C527" s="655"/>
      <c r="D527" s="656"/>
      <c r="E527" s="657"/>
      <c r="F527" s="658"/>
      <c r="G527" s="659"/>
      <c r="H527" s="660"/>
      <c r="I527" s="659"/>
      <c r="J527" s="661"/>
      <c r="K527" s="658"/>
      <c r="L527" s="662"/>
      <c r="M527" s="663"/>
      <c r="N527" s="664"/>
      <c r="O527" s="665"/>
      <c r="P527" s="666"/>
      <c r="Q527" s="667"/>
      <c r="R527" s="668"/>
      <c r="S527" s="665"/>
      <c r="T527" s="669"/>
      <c r="U527" s="669"/>
      <c r="V527" s="665"/>
      <c r="W527" s="670"/>
      <c r="X527" s="670"/>
      <c r="Y527" s="671"/>
      <c r="Z527" s="671"/>
      <c r="AA527" s="672"/>
      <c r="AB527" s="673"/>
      <c r="AC527" s="673"/>
      <c r="AD527" s="673"/>
      <c r="AE527" s="673"/>
      <c r="AF527" s="673"/>
      <c r="AG527" s="673"/>
      <c r="AH527" s="673"/>
      <c r="AI527" s="673"/>
      <c r="AJ527" s="673"/>
      <c r="AK527" s="673"/>
      <c r="AL527" s="673"/>
      <c r="AM527" s="673"/>
      <c r="AN527" s="673"/>
      <c r="AO527" s="673"/>
      <c r="AP527" s="673"/>
      <c r="AQ527" s="673"/>
      <c r="AR527" s="673"/>
      <c r="AS527" s="673"/>
    </row>
    <row r="528">
      <c r="A528" s="653"/>
      <c r="B528" s="654"/>
      <c r="C528" s="655"/>
      <c r="D528" s="656"/>
      <c r="E528" s="657"/>
      <c r="F528" s="658"/>
      <c r="G528" s="659"/>
      <c r="H528" s="660"/>
      <c r="I528" s="659"/>
      <c r="J528" s="661"/>
      <c r="K528" s="658"/>
      <c r="L528" s="662"/>
      <c r="M528" s="663"/>
      <c r="N528" s="664"/>
      <c r="O528" s="665"/>
      <c r="P528" s="666"/>
      <c r="Q528" s="667"/>
      <c r="R528" s="668"/>
      <c r="S528" s="665"/>
      <c r="T528" s="669"/>
      <c r="U528" s="669"/>
      <c r="V528" s="665"/>
      <c r="W528" s="670"/>
      <c r="X528" s="670"/>
      <c r="Y528" s="671"/>
      <c r="Z528" s="671"/>
      <c r="AA528" s="672"/>
      <c r="AB528" s="673"/>
      <c r="AC528" s="673"/>
      <c r="AD528" s="673"/>
      <c r="AE528" s="673"/>
      <c r="AF528" s="673"/>
      <c r="AG528" s="673"/>
      <c r="AH528" s="673"/>
      <c r="AI528" s="673"/>
      <c r="AJ528" s="673"/>
      <c r="AK528" s="673"/>
      <c r="AL528" s="673"/>
      <c r="AM528" s="673"/>
      <c r="AN528" s="673"/>
      <c r="AO528" s="673"/>
      <c r="AP528" s="673"/>
      <c r="AQ528" s="673"/>
      <c r="AR528" s="673"/>
      <c r="AS528" s="673"/>
    </row>
    <row r="529">
      <c r="A529" s="653"/>
      <c r="B529" s="654"/>
      <c r="C529" s="655"/>
      <c r="D529" s="656"/>
      <c r="E529" s="657"/>
      <c r="F529" s="658"/>
      <c r="G529" s="659"/>
      <c r="H529" s="660"/>
      <c r="I529" s="659"/>
      <c r="J529" s="661"/>
      <c r="K529" s="658"/>
      <c r="L529" s="662"/>
      <c r="M529" s="663"/>
      <c r="N529" s="664"/>
      <c r="O529" s="665"/>
      <c r="P529" s="666"/>
      <c r="Q529" s="667"/>
      <c r="R529" s="668"/>
      <c r="S529" s="665"/>
      <c r="T529" s="669"/>
      <c r="U529" s="669"/>
      <c r="V529" s="665"/>
      <c r="W529" s="670"/>
      <c r="X529" s="670"/>
      <c r="Y529" s="671"/>
      <c r="Z529" s="671"/>
      <c r="AA529" s="672"/>
      <c r="AB529" s="673"/>
      <c r="AC529" s="673"/>
      <c r="AD529" s="673"/>
      <c r="AE529" s="673"/>
      <c r="AF529" s="673"/>
      <c r="AG529" s="673"/>
      <c r="AH529" s="673"/>
      <c r="AI529" s="673"/>
      <c r="AJ529" s="673"/>
      <c r="AK529" s="673"/>
      <c r="AL529" s="673"/>
      <c r="AM529" s="673"/>
      <c r="AN529" s="673"/>
      <c r="AO529" s="673"/>
      <c r="AP529" s="673"/>
      <c r="AQ529" s="673"/>
      <c r="AR529" s="673"/>
      <c r="AS529" s="673"/>
    </row>
    <row r="530">
      <c r="A530" s="653"/>
      <c r="B530" s="654"/>
      <c r="C530" s="655"/>
      <c r="D530" s="656"/>
      <c r="E530" s="657"/>
      <c r="F530" s="658"/>
      <c r="G530" s="659"/>
      <c r="H530" s="660"/>
      <c r="I530" s="659"/>
      <c r="J530" s="661"/>
      <c r="K530" s="658"/>
      <c r="L530" s="662"/>
      <c r="M530" s="663"/>
      <c r="N530" s="664"/>
      <c r="O530" s="665"/>
      <c r="P530" s="666"/>
      <c r="Q530" s="667"/>
      <c r="R530" s="668"/>
      <c r="S530" s="665"/>
      <c r="T530" s="669"/>
      <c r="U530" s="669"/>
      <c r="V530" s="665"/>
      <c r="W530" s="670"/>
      <c r="X530" s="670"/>
      <c r="Y530" s="671"/>
      <c r="Z530" s="671"/>
      <c r="AA530" s="672"/>
      <c r="AB530" s="673"/>
      <c r="AC530" s="673"/>
      <c r="AD530" s="673"/>
      <c r="AE530" s="673"/>
      <c r="AF530" s="673"/>
      <c r="AG530" s="673"/>
      <c r="AH530" s="673"/>
      <c r="AI530" s="673"/>
      <c r="AJ530" s="673"/>
      <c r="AK530" s="673"/>
      <c r="AL530" s="673"/>
      <c r="AM530" s="673"/>
      <c r="AN530" s="673"/>
      <c r="AO530" s="673"/>
      <c r="AP530" s="673"/>
      <c r="AQ530" s="673"/>
      <c r="AR530" s="673"/>
      <c r="AS530" s="673"/>
    </row>
    <row r="531">
      <c r="A531" s="653"/>
      <c r="B531" s="654"/>
      <c r="C531" s="655"/>
      <c r="D531" s="656"/>
      <c r="E531" s="657"/>
      <c r="F531" s="658"/>
      <c r="G531" s="659"/>
      <c r="H531" s="660"/>
      <c r="I531" s="659"/>
      <c r="J531" s="661"/>
      <c r="K531" s="658"/>
      <c r="L531" s="662"/>
      <c r="M531" s="663"/>
      <c r="N531" s="664"/>
      <c r="O531" s="665"/>
      <c r="P531" s="666"/>
      <c r="Q531" s="667"/>
      <c r="R531" s="668"/>
      <c r="S531" s="665"/>
      <c r="T531" s="669"/>
      <c r="U531" s="669"/>
      <c r="V531" s="665"/>
      <c r="W531" s="670"/>
      <c r="X531" s="670"/>
      <c r="Y531" s="671"/>
      <c r="Z531" s="671"/>
      <c r="AA531" s="672"/>
      <c r="AB531" s="673"/>
      <c r="AC531" s="673"/>
      <c r="AD531" s="673"/>
      <c r="AE531" s="673"/>
      <c r="AF531" s="673"/>
      <c r="AG531" s="673"/>
      <c r="AH531" s="673"/>
      <c r="AI531" s="673"/>
      <c r="AJ531" s="673"/>
      <c r="AK531" s="673"/>
      <c r="AL531" s="673"/>
      <c r="AM531" s="673"/>
      <c r="AN531" s="673"/>
      <c r="AO531" s="673"/>
      <c r="AP531" s="673"/>
      <c r="AQ531" s="673"/>
      <c r="AR531" s="673"/>
      <c r="AS531" s="673"/>
    </row>
    <row r="532">
      <c r="A532" s="653"/>
      <c r="B532" s="654"/>
      <c r="C532" s="655"/>
      <c r="D532" s="656"/>
      <c r="E532" s="657"/>
      <c r="F532" s="658"/>
      <c r="G532" s="659"/>
      <c r="H532" s="660"/>
      <c r="I532" s="659"/>
      <c r="J532" s="661"/>
      <c r="K532" s="658"/>
      <c r="L532" s="662"/>
      <c r="M532" s="663"/>
      <c r="N532" s="664"/>
      <c r="O532" s="665"/>
      <c r="P532" s="666"/>
      <c r="Q532" s="667"/>
      <c r="R532" s="668"/>
      <c r="S532" s="665"/>
      <c r="T532" s="669"/>
      <c r="U532" s="669"/>
      <c r="V532" s="665"/>
      <c r="W532" s="670"/>
      <c r="X532" s="670"/>
      <c r="Y532" s="671"/>
      <c r="Z532" s="671"/>
      <c r="AA532" s="672"/>
      <c r="AB532" s="673"/>
      <c r="AC532" s="673"/>
      <c r="AD532" s="673"/>
      <c r="AE532" s="673"/>
      <c r="AF532" s="673"/>
      <c r="AG532" s="673"/>
      <c r="AH532" s="673"/>
      <c r="AI532" s="673"/>
      <c r="AJ532" s="673"/>
      <c r="AK532" s="673"/>
      <c r="AL532" s="673"/>
      <c r="AM532" s="673"/>
      <c r="AN532" s="673"/>
      <c r="AO532" s="673"/>
      <c r="AP532" s="673"/>
      <c r="AQ532" s="673"/>
      <c r="AR532" s="673"/>
      <c r="AS532" s="673"/>
    </row>
    <row r="533">
      <c r="A533" s="653"/>
      <c r="B533" s="654"/>
      <c r="C533" s="655"/>
      <c r="D533" s="656"/>
      <c r="E533" s="657"/>
      <c r="F533" s="658"/>
      <c r="G533" s="659"/>
      <c r="H533" s="660"/>
      <c r="I533" s="659"/>
      <c r="J533" s="661"/>
      <c r="K533" s="658"/>
      <c r="L533" s="662"/>
      <c r="M533" s="663"/>
      <c r="N533" s="664"/>
      <c r="O533" s="665"/>
      <c r="P533" s="666"/>
      <c r="Q533" s="667"/>
      <c r="R533" s="668"/>
      <c r="S533" s="665"/>
      <c r="T533" s="669"/>
      <c r="U533" s="669"/>
      <c r="V533" s="665"/>
      <c r="W533" s="670"/>
      <c r="X533" s="670"/>
      <c r="Y533" s="671"/>
      <c r="Z533" s="671"/>
      <c r="AA533" s="672"/>
      <c r="AB533" s="673"/>
      <c r="AC533" s="673"/>
      <c r="AD533" s="673"/>
      <c r="AE533" s="673"/>
      <c r="AF533" s="673"/>
      <c r="AG533" s="673"/>
      <c r="AH533" s="673"/>
      <c r="AI533" s="673"/>
      <c r="AJ533" s="673"/>
      <c r="AK533" s="673"/>
      <c r="AL533" s="673"/>
      <c r="AM533" s="673"/>
      <c r="AN533" s="673"/>
      <c r="AO533" s="673"/>
      <c r="AP533" s="673"/>
      <c r="AQ533" s="673"/>
      <c r="AR533" s="673"/>
      <c r="AS533" s="673"/>
    </row>
    <row r="534">
      <c r="A534" s="653"/>
      <c r="B534" s="654"/>
      <c r="C534" s="655"/>
      <c r="D534" s="656"/>
      <c r="E534" s="657"/>
      <c r="F534" s="658"/>
      <c r="G534" s="659"/>
      <c r="H534" s="660"/>
      <c r="I534" s="659"/>
      <c r="J534" s="661"/>
      <c r="K534" s="658"/>
      <c r="L534" s="662"/>
      <c r="M534" s="663"/>
      <c r="N534" s="664"/>
      <c r="O534" s="665"/>
      <c r="P534" s="666"/>
      <c r="Q534" s="667"/>
      <c r="R534" s="668"/>
      <c r="S534" s="665"/>
      <c r="T534" s="669"/>
      <c r="U534" s="669"/>
      <c r="V534" s="665"/>
      <c r="W534" s="670"/>
      <c r="X534" s="670"/>
      <c r="Y534" s="671"/>
      <c r="Z534" s="671"/>
      <c r="AA534" s="672"/>
      <c r="AB534" s="673"/>
      <c r="AC534" s="673"/>
      <c r="AD534" s="673"/>
      <c r="AE534" s="673"/>
      <c r="AF534" s="673"/>
      <c r="AG534" s="673"/>
      <c r="AH534" s="673"/>
      <c r="AI534" s="673"/>
      <c r="AJ534" s="673"/>
      <c r="AK534" s="673"/>
      <c r="AL534" s="673"/>
      <c r="AM534" s="673"/>
      <c r="AN534" s="673"/>
      <c r="AO534" s="673"/>
      <c r="AP534" s="673"/>
      <c r="AQ534" s="673"/>
      <c r="AR534" s="673"/>
      <c r="AS534" s="673"/>
    </row>
    <row r="535">
      <c r="A535" s="653"/>
      <c r="B535" s="654"/>
      <c r="C535" s="655"/>
      <c r="D535" s="656"/>
      <c r="E535" s="657"/>
      <c r="F535" s="658"/>
      <c r="G535" s="659"/>
      <c r="H535" s="660"/>
      <c r="I535" s="659"/>
      <c r="J535" s="661"/>
      <c r="K535" s="658"/>
      <c r="L535" s="662"/>
      <c r="M535" s="663"/>
      <c r="N535" s="664"/>
      <c r="O535" s="665"/>
      <c r="P535" s="666"/>
      <c r="Q535" s="667"/>
      <c r="R535" s="668"/>
      <c r="S535" s="665"/>
      <c r="T535" s="669"/>
      <c r="U535" s="669"/>
      <c r="V535" s="665"/>
      <c r="W535" s="670"/>
      <c r="X535" s="670"/>
      <c r="Y535" s="671"/>
      <c r="Z535" s="671"/>
      <c r="AA535" s="672"/>
      <c r="AB535" s="673"/>
      <c r="AC535" s="673"/>
      <c r="AD535" s="673"/>
      <c r="AE535" s="673"/>
      <c r="AF535" s="673"/>
      <c r="AG535" s="673"/>
      <c r="AH535" s="673"/>
      <c r="AI535" s="673"/>
      <c r="AJ535" s="673"/>
      <c r="AK535" s="673"/>
      <c r="AL535" s="673"/>
      <c r="AM535" s="673"/>
      <c r="AN535" s="673"/>
      <c r="AO535" s="673"/>
      <c r="AP535" s="673"/>
      <c r="AQ535" s="673"/>
      <c r="AR535" s="673"/>
      <c r="AS535" s="673"/>
    </row>
    <row r="536">
      <c r="A536" s="653"/>
      <c r="B536" s="654"/>
      <c r="C536" s="655"/>
      <c r="D536" s="656"/>
      <c r="E536" s="657"/>
      <c r="F536" s="658"/>
      <c r="G536" s="659"/>
      <c r="H536" s="660"/>
      <c r="I536" s="659"/>
      <c r="J536" s="661"/>
      <c r="K536" s="658"/>
      <c r="L536" s="662"/>
      <c r="M536" s="663"/>
      <c r="N536" s="664"/>
      <c r="O536" s="665"/>
      <c r="P536" s="666"/>
      <c r="Q536" s="667"/>
      <c r="R536" s="668"/>
      <c r="S536" s="665"/>
      <c r="T536" s="669"/>
      <c r="U536" s="669"/>
      <c r="V536" s="665"/>
      <c r="W536" s="670"/>
      <c r="X536" s="670"/>
      <c r="Y536" s="671"/>
      <c r="Z536" s="671"/>
      <c r="AA536" s="672"/>
      <c r="AB536" s="673"/>
      <c r="AC536" s="673"/>
      <c r="AD536" s="673"/>
      <c r="AE536" s="673"/>
      <c r="AF536" s="673"/>
      <c r="AG536" s="673"/>
      <c r="AH536" s="673"/>
      <c r="AI536" s="673"/>
      <c r="AJ536" s="673"/>
      <c r="AK536" s="673"/>
      <c r="AL536" s="673"/>
      <c r="AM536" s="673"/>
      <c r="AN536" s="673"/>
      <c r="AO536" s="673"/>
      <c r="AP536" s="673"/>
      <c r="AQ536" s="673"/>
      <c r="AR536" s="673"/>
      <c r="AS536" s="673"/>
    </row>
    <row r="537">
      <c r="A537" s="653"/>
      <c r="B537" s="654"/>
      <c r="C537" s="655"/>
      <c r="D537" s="656"/>
      <c r="E537" s="657"/>
      <c r="F537" s="658"/>
      <c r="G537" s="659"/>
      <c r="H537" s="660"/>
      <c r="I537" s="659"/>
      <c r="J537" s="661"/>
      <c r="K537" s="658"/>
      <c r="L537" s="662"/>
      <c r="M537" s="663"/>
      <c r="N537" s="664"/>
      <c r="O537" s="665"/>
      <c r="P537" s="666"/>
      <c r="Q537" s="667"/>
      <c r="R537" s="668"/>
      <c r="S537" s="665"/>
      <c r="T537" s="669"/>
      <c r="U537" s="669"/>
      <c r="V537" s="665"/>
      <c r="W537" s="670"/>
      <c r="X537" s="670"/>
      <c r="Y537" s="671"/>
      <c r="Z537" s="671"/>
      <c r="AA537" s="672"/>
      <c r="AB537" s="673"/>
      <c r="AC537" s="673"/>
      <c r="AD537" s="673"/>
      <c r="AE537" s="673"/>
      <c r="AF537" s="673"/>
      <c r="AG537" s="673"/>
      <c r="AH537" s="673"/>
      <c r="AI537" s="673"/>
      <c r="AJ537" s="673"/>
      <c r="AK537" s="673"/>
      <c r="AL537" s="673"/>
      <c r="AM537" s="673"/>
      <c r="AN537" s="673"/>
      <c r="AO537" s="673"/>
      <c r="AP537" s="673"/>
      <c r="AQ537" s="673"/>
      <c r="AR537" s="673"/>
      <c r="AS537" s="673"/>
    </row>
    <row r="538">
      <c r="A538" s="653"/>
      <c r="B538" s="654"/>
      <c r="C538" s="655"/>
      <c r="D538" s="656"/>
      <c r="E538" s="657"/>
      <c r="F538" s="658"/>
      <c r="G538" s="659"/>
      <c r="H538" s="660"/>
      <c r="I538" s="659"/>
      <c r="J538" s="661"/>
      <c r="K538" s="658"/>
      <c r="L538" s="662"/>
      <c r="M538" s="663"/>
      <c r="N538" s="664"/>
      <c r="O538" s="665"/>
      <c r="P538" s="666"/>
      <c r="Q538" s="667"/>
      <c r="R538" s="668"/>
      <c r="S538" s="665"/>
      <c r="T538" s="669"/>
      <c r="U538" s="669"/>
      <c r="V538" s="665"/>
      <c r="W538" s="670"/>
      <c r="X538" s="670"/>
      <c r="Y538" s="671"/>
      <c r="Z538" s="671"/>
      <c r="AA538" s="672"/>
      <c r="AB538" s="673"/>
      <c r="AC538" s="673"/>
      <c r="AD538" s="673"/>
      <c r="AE538" s="673"/>
      <c r="AF538" s="673"/>
      <c r="AG538" s="673"/>
      <c r="AH538" s="673"/>
      <c r="AI538" s="673"/>
      <c r="AJ538" s="673"/>
      <c r="AK538" s="673"/>
      <c r="AL538" s="673"/>
      <c r="AM538" s="673"/>
      <c r="AN538" s="673"/>
      <c r="AO538" s="673"/>
      <c r="AP538" s="673"/>
      <c r="AQ538" s="673"/>
      <c r="AR538" s="673"/>
      <c r="AS538" s="673"/>
    </row>
    <row r="539">
      <c r="A539" s="653"/>
      <c r="B539" s="654"/>
      <c r="C539" s="655"/>
      <c r="D539" s="656"/>
      <c r="E539" s="657"/>
      <c r="F539" s="658"/>
      <c r="G539" s="659"/>
      <c r="H539" s="660"/>
      <c r="I539" s="659"/>
      <c r="J539" s="661"/>
      <c r="K539" s="658"/>
      <c r="L539" s="662"/>
      <c r="M539" s="663"/>
      <c r="N539" s="664"/>
      <c r="O539" s="665"/>
      <c r="P539" s="666"/>
      <c r="Q539" s="667"/>
      <c r="R539" s="668"/>
      <c r="S539" s="665"/>
      <c r="T539" s="669"/>
      <c r="U539" s="669"/>
      <c r="V539" s="665"/>
      <c r="W539" s="670"/>
      <c r="X539" s="670"/>
      <c r="Y539" s="671"/>
      <c r="Z539" s="671"/>
      <c r="AA539" s="672"/>
      <c r="AB539" s="673"/>
      <c r="AC539" s="673"/>
      <c r="AD539" s="673"/>
      <c r="AE539" s="673"/>
      <c r="AF539" s="673"/>
      <c r="AG539" s="673"/>
      <c r="AH539" s="673"/>
      <c r="AI539" s="673"/>
      <c r="AJ539" s="673"/>
      <c r="AK539" s="673"/>
      <c r="AL539" s="673"/>
      <c r="AM539" s="673"/>
      <c r="AN539" s="673"/>
      <c r="AO539" s="673"/>
      <c r="AP539" s="673"/>
      <c r="AQ539" s="673"/>
      <c r="AR539" s="673"/>
      <c r="AS539" s="673"/>
    </row>
    <row r="540">
      <c r="A540" s="653"/>
      <c r="B540" s="654"/>
      <c r="C540" s="655"/>
      <c r="D540" s="656"/>
      <c r="E540" s="657"/>
      <c r="F540" s="658"/>
      <c r="G540" s="659"/>
      <c r="H540" s="660"/>
      <c r="I540" s="659"/>
      <c r="J540" s="661"/>
      <c r="K540" s="658"/>
      <c r="L540" s="662"/>
      <c r="M540" s="663"/>
      <c r="N540" s="664"/>
      <c r="O540" s="665"/>
      <c r="P540" s="666"/>
      <c r="Q540" s="667"/>
      <c r="R540" s="668"/>
      <c r="S540" s="665"/>
      <c r="T540" s="669"/>
      <c r="U540" s="669"/>
      <c r="V540" s="665"/>
      <c r="W540" s="670"/>
      <c r="X540" s="670"/>
      <c r="Y540" s="671"/>
      <c r="Z540" s="671"/>
      <c r="AA540" s="672"/>
      <c r="AB540" s="673"/>
      <c r="AC540" s="673"/>
      <c r="AD540" s="673"/>
      <c r="AE540" s="673"/>
      <c r="AF540" s="673"/>
      <c r="AG540" s="673"/>
      <c r="AH540" s="673"/>
      <c r="AI540" s="673"/>
      <c r="AJ540" s="673"/>
      <c r="AK540" s="673"/>
      <c r="AL540" s="673"/>
      <c r="AM540" s="673"/>
      <c r="AN540" s="673"/>
      <c r="AO540" s="673"/>
      <c r="AP540" s="673"/>
      <c r="AQ540" s="673"/>
      <c r="AR540" s="673"/>
      <c r="AS540" s="673"/>
    </row>
    <row r="541">
      <c r="A541" s="653"/>
      <c r="B541" s="654"/>
      <c r="C541" s="655"/>
      <c r="D541" s="656"/>
      <c r="E541" s="657"/>
      <c r="F541" s="658"/>
      <c r="G541" s="659"/>
      <c r="H541" s="660"/>
      <c r="I541" s="659"/>
      <c r="J541" s="661"/>
      <c r="K541" s="658"/>
      <c r="L541" s="662"/>
      <c r="M541" s="663"/>
      <c r="N541" s="664"/>
      <c r="O541" s="665"/>
      <c r="P541" s="666"/>
      <c r="Q541" s="667"/>
      <c r="R541" s="668"/>
      <c r="S541" s="665"/>
      <c r="T541" s="669"/>
      <c r="U541" s="669"/>
      <c r="V541" s="665"/>
      <c r="W541" s="670"/>
      <c r="X541" s="670"/>
      <c r="Y541" s="671"/>
      <c r="Z541" s="671"/>
      <c r="AA541" s="672"/>
      <c r="AB541" s="673"/>
      <c r="AC541" s="673"/>
      <c r="AD541" s="673"/>
      <c r="AE541" s="673"/>
      <c r="AF541" s="673"/>
      <c r="AG541" s="673"/>
      <c r="AH541" s="673"/>
      <c r="AI541" s="673"/>
      <c r="AJ541" s="673"/>
      <c r="AK541" s="673"/>
      <c r="AL541" s="673"/>
      <c r="AM541" s="673"/>
      <c r="AN541" s="673"/>
      <c r="AO541" s="673"/>
      <c r="AP541" s="673"/>
      <c r="AQ541" s="673"/>
      <c r="AR541" s="673"/>
      <c r="AS541" s="673"/>
    </row>
    <row r="542">
      <c r="A542" s="653"/>
      <c r="B542" s="654"/>
      <c r="C542" s="655"/>
      <c r="D542" s="656"/>
      <c r="E542" s="657"/>
      <c r="F542" s="658"/>
      <c r="G542" s="659"/>
      <c r="H542" s="660"/>
      <c r="I542" s="659"/>
      <c r="J542" s="661"/>
      <c r="K542" s="658"/>
      <c r="L542" s="662"/>
      <c r="M542" s="663"/>
      <c r="N542" s="664"/>
      <c r="O542" s="665"/>
      <c r="P542" s="666"/>
      <c r="Q542" s="667"/>
      <c r="R542" s="668"/>
      <c r="S542" s="665"/>
      <c r="T542" s="669"/>
      <c r="U542" s="669"/>
      <c r="V542" s="665"/>
      <c r="W542" s="670"/>
      <c r="X542" s="670"/>
      <c r="Y542" s="671"/>
      <c r="Z542" s="671"/>
      <c r="AA542" s="672"/>
      <c r="AB542" s="673"/>
      <c r="AC542" s="673"/>
      <c r="AD542" s="673"/>
      <c r="AE542" s="673"/>
      <c r="AF542" s="673"/>
      <c r="AG542" s="673"/>
      <c r="AH542" s="673"/>
      <c r="AI542" s="673"/>
      <c r="AJ542" s="673"/>
      <c r="AK542" s="673"/>
      <c r="AL542" s="673"/>
      <c r="AM542" s="673"/>
      <c r="AN542" s="673"/>
      <c r="AO542" s="673"/>
      <c r="AP542" s="673"/>
      <c r="AQ542" s="673"/>
      <c r="AR542" s="673"/>
      <c r="AS542" s="673"/>
    </row>
    <row r="543">
      <c r="A543" s="653"/>
      <c r="B543" s="654"/>
      <c r="C543" s="655"/>
      <c r="D543" s="656"/>
      <c r="E543" s="657"/>
      <c r="F543" s="658"/>
      <c r="G543" s="659"/>
      <c r="H543" s="660"/>
      <c r="I543" s="659"/>
      <c r="J543" s="661"/>
      <c r="K543" s="658"/>
      <c r="L543" s="662"/>
      <c r="M543" s="663"/>
      <c r="N543" s="664"/>
      <c r="O543" s="665"/>
      <c r="P543" s="666"/>
      <c r="Q543" s="667"/>
      <c r="R543" s="668"/>
      <c r="S543" s="665"/>
      <c r="T543" s="669"/>
      <c r="U543" s="669"/>
      <c r="V543" s="665"/>
      <c r="W543" s="670"/>
      <c r="X543" s="670"/>
      <c r="Y543" s="671"/>
      <c r="Z543" s="671"/>
      <c r="AA543" s="672"/>
      <c r="AB543" s="673"/>
      <c r="AC543" s="673"/>
      <c r="AD543" s="673"/>
      <c r="AE543" s="673"/>
      <c r="AF543" s="673"/>
      <c r="AG543" s="673"/>
      <c r="AH543" s="673"/>
      <c r="AI543" s="673"/>
      <c r="AJ543" s="673"/>
      <c r="AK543" s="673"/>
      <c r="AL543" s="673"/>
      <c r="AM543" s="673"/>
      <c r="AN543" s="673"/>
      <c r="AO543" s="673"/>
      <c r="AP543" s="673"/>
      <c r="AQ543" s="673"/>
      <c r="AR543" s="673"/>
      <c r="AS543" s="673"/>
    </row>
    <row r="544">
      <c r="A544" s="653"/>
      <c r="B544" s="654"/>
      <c r="C544" s="655"/>
      <c r="D544" s="656"/>
      <c r="E544" s="657"/>
      <c r="F544" s="658"/>
      <c r="G544" s="659"/>
      <c r="H544" s="660"/>
      <c r="I544" s="659"/>
      <c r="J544" s="661"/>
      <c r="K544" s="658"/>
      <c r="L544" s="662"/>
      <c r="M544" s="663"/>
      <c r="N544" s="664"/>
      <c r="O544" s="665"/>
      <c r="P544" s="666"/>
      <c r="Q544" s="667"/>
      <c r="R544" s="668"/>
      <c r="S544" s="665"/>
      <c r="T544" s="669"/>
      <c r="U544" s="669"/>
      <c r="V544" s="665"/>
      <c r="W544" s="670"/>
      <c r="X544" s="670"/>
      <c r="Y544" s="671"/>
      <c r="Z544" s="671"/>
      <c r="AA544" s="672"/>
      <c r="AB544" s="673"/>
      <c r="AC544" s="673"/>
      <c r="AD544" s="673"/>
      <c r="AE544" s="673"/>
      <c r="AF544" s="673"/>
      <c r="AG544" s="673"/>
      <c r="AH544" s="673"/>
      <c r="AI544" s="673"/>
      <c r="AJ544" s="673"/>
      <c r="AK544" s="673"/>
      <c r="AL544" s="673"/>
      <c r="AM544" s="673"/>
      <c r="AN544" s="673"/>
      <c r="AO544" s="673"/>
      <c r="AP544" s="673"/>
      <c r="AQ544" s="673"/>
      <c r="AR544" s="673"/>
      <c r="AS544" s="673"/>
    </row>
    <row r="545">
      <c r="A545" s="653"/>
      <c r="B545" s="654"/>
      <c r="C545" s="655"/>
      <c r="D545" s="656"/>
      <c r="E545" s="657"/>
      <c r="F545" s="658"/>
      <c r="G545" s="659"/>
      <c r="H545" s="660"/>
      <c r="I545" s="659"/>
      <c r="J545" s="661"/>
      <c r="K545" s="658"/>
      <c r="L545" s="662"/>
      <c r="M545" s="663"/>
      <c r="N545" s="664"/>
      <c r="O545" s="665"/>
      <c r="P545" s="666"/>
      <c r="Q545" s="667"/>
      <c r="R545" s="668"/>
      <c r="S545" s="665"/>
      <c r="T545" s="669"/>
      <c r="U545" s="669"/>
      <c r="V545" s="665"/>
      <c r="W545" s="670"/>
      <c r="X545" s="670"/>
      <c r="Y545" s="671"/>
      <c r="Z545" s="671"/>
      <c r="AA545" s="672"/>
      <c r="AB545" s="673"/>
      <c r="AC545" s="673"/>
      <c r="AD545" s="673"/>
      <c r="AE545" s="673"/>
      <c r="AF545" s="673"/>
      <c r="AG545" s="673"/>
      <c r="AH545" s="673"/>
      <c r="AI545" s="673"/>
      <c r="AJ545" s="673"/>
      <c r="AK545" s="673"/>
      <c r="AL545" s="673"/>
      <c r="AM545" s="673"/>
      <c r="AN545" s="673"/>
      <c r="AO545" s="673"/>
      <c r="AP545" s="673"/>
      <c r="AQ545" s="673"/>
      <c r="AR545" s="673"/>
      <c r="AS545" s="673"/>
    </row>
    <row r="546">
      <c r="A546" s="653"/>
      <c r="B546" s="654"/>
      <c r="C546" s="655"/>
      <c r="D546" s="656"/>
      <c r="E546" s="657"/>
      <c r="F546" s="658"/>
      <c r="G546" s="659"/>
      <c r="H546" s="660"/>
      <c r="I546" s="659"/>
      <c r="J546" s="661"/>
      <c r="K546" s="658"/>
      <c r="L546" s="662"/>
      <c r="M546" s="663"/>
      <c r="N546" s="664"/>
      <c r="O546" s="665"/>
      <c r="P546" s="666"/>
      <c r="Q546" s="667"/>
      <c r="R546" s="668"/>
      <c r="S546" s="665"/>
      <c r="T546" s="669"/>
      <c r="U546" s="669"/>
      <c r="V546" s="665"/>
      <c r="W546" s="670"/>
      <c r="X546" s="670"/>
      <c r="Y546" s="671"/>
      <c r="Z546" s="671"/>
      <c r="AA546" s="672"/>
      <c r="AB546" s="673"/>
      <c r="AC546" s="673"/>
      <c r="AD546" s="673"/>
      <c r="AE546" s="673"/>
      <c r="AF546" s="673"/>
      <c r="AG546" s="673"/>
      <c r="AH546" s="673"/>
      <c r="AI546" s="673"/>
      <c r="AJ546" s="673"/>
      <c r="AK546" s="673"/>
      <c r="AL546" s="673"/>
      <c r="AM546" s="673"/>
      <c r="AN546" s="673"/>
      <c r="AO546" s="673"/>
      <c r="AP546" s="673"/>
      <c r="AQ546" s="673"/>
      <c r="AR546" s="673"/>
      <c r="AS546" s="673"/>
    </row>
    <row r="547">
      <c r="A547" s="653"/>
      <c r="B547" s="654"/>
      <c r="C547" s="655"/>
      <c r="D547" s="656"/>
      <c r="E547" s="657"/>
      <c r="F547" s="658"/>
      <c r="G547" s="659"/>
      <c r="H547" s="660"/>
      <c r="I547" s="659"/>
      <c r="J547" s="661"/>
      <c r="K547" s="658"/>
      <c r="L547" s="662"/>
      <c r="M547" s="663"/>
      <c r="N547" s="664"/>
      <c r="O547" s="665"/>
      <c r="P547" s="666"/>
      <c r="Q547" s="667"/>
      <c r="R547" s="668"/>
      <c r="S547" s="665"/>
      <c r="T547" s="669"/>
      <c r="U547" s="669"/>
      <c r="V547" s="665"/>
      <c r="W547" s="670"/>
      <c r="X547" s="670"/>
      <c r="Y547" s="671"/>
      <c r="Z547" s="671"/>
      <c r="AA547" s="672"/>
      <c r="AB547" s="673"/>
      <c r="AC547" s="673"/>
      <c r="AD547" s="673"/>
      <c r="AE547" s="673"/>
      <c r="AF547" s="673"/>
      <c r="AG547" s="673"/>
      <c r="AH547" s="673"/>
      <c r="AI547" s="673"/>
      <c r="AJ547" s="673"/>
      <c r="AK547" s="673"/>
      <c r="AL547" s="673"/>
      <c r="AM547" s="673"/>
      <c r="AN547" s="673"/>
      <c r="AO547" s="673"/>
      <c r="AP547" s="673"/>
      <c r="AQ547" s="673"/>
      <c r="AR547" s="673"/>
      <c r="AS547" s="673"/>
    </row>
    <row r="548">
      <c r="A548" s="653"/>
      <c r="B548" s="654"/>
      <c r="C548" s="655"/>
      <c r="D548" s="656"/>
      <c r="E548" s="657"/>
      <c r="F548" s="658"/>
      <c r="G548" s="659"/>
      <c r="H548" s="660"/>
      <c r="I548" s="659"/>
      <c r="J548" s="661"/>
      <c r="K548" s="658"/>
      <c r="L548" s="662"/>
      <c r="M548" s="663"/>
      <c r="N548" s="664"/>
      <c r="O548" s="665"/>
      <c r="P548" s="666"/>
      <c r="Q548" s="667"/>
      <c r="R548" s="668"/>
      <c r="S548" s="665"/>
      <c r="T548" s="669"/>
      <c r="U548" s="669"/>
      <c r="V548" s="665"/>
      <c r="W548" s="670"/>
      <c r="X548" s="670"/>
      <c r="Y548" s="671"/>
      <c r="Z548" s="671"/>
      <c r="AA548" s="672"/>
      <c r="AB548" s="673"/>
      <c r="AC548" s="673"/>
      <c r="AD548" s="673"/>
      <c r="AE548" s="673"/>
      <c r="AF548" s="673"/>
      <c r="AG548" s="673"/>
      <c r="AH548" s="673"/>
      <c r="AI548" s="673"/>
      <c r="AJ548" s="673"/>
      <c r="AK548" s="673"/>
      <c r="AL548" s="673"/>
      <c r="AM548" s="673"/>
      <c r="AN548" s="673"/>
      <c r="AO548" s="673"/>
      <c r="AP548" s="673"/>
      <c r="AQ548" s="673"/>
      <c r="AR548" s="673"/>
      <c r="AS548" s="673"/>
    </row>
    <row r="549">
      <c r="A549" s="653"/>
      <c r="B549" s="654"/>
      <c r="C549" s="655"/>
      <c r="D549" s="656"/>
      <c r="E549" s="657"/>
      <c r="F549" s="658"/>
      <c r="G549" s="659"/>
      <c r="H549" s="660"/>
      <c r="I549" s="659"/>
      <c r="J549" s="661"/>
      <c r="K549" s="658"/>
      <c r="L549" s="662"/>
      <c r="M549" s="663"/>
      <c r="N549" s="664"/>
      <c r="O549" s="665"/>
      <c r="P549" s="666"/>
      <c r="Q549" s="667"/>
      <c r="R549" s="668"/>
      <c r="S549" s="665"/>
      <c r="T549" s="669"/>
      <c r="U549" s="669"/>
      <c r="V549" s="665"/>
      <c r="W549" s="670"/>
      <c r="X549" s="670"/>
      <c r="Y549" s="671"/>
      <c r="Z549" s="671"/>
      <c r="AA549" s="672"/>
      <c r="AB549" s="673"/>
      <c r="AC549" s="673"/>
      <c r="AD549" s="673"/>
      <c r="AE549" s="673"/>
      <c r="AF549" s="673"/>
      <c r="AG549" s="673"/>
      <c r="AH549" s="673"/>
      <c r="AI549" s="673"/>
      <c r="AJ549" s="673"/>
      <c r="AK549" s="673"/>
      <c r="AL549" s="673"/>
      <c r="AM549" s="673"/>
      <c r="AN549" s="673"/>
      <c r="AO549" s="673"/>
      <c r="AP549" s="673"/>
      <c r="AQ549" s="673"/>
      <c r="AR549" s="673"/>
      <c r="AS549" s="673"/>
    </row>
    <row r="550">
      <c r="A550" s="653"/>
      <c r="B550" s="654"/>
      <c r="C550" s="655"/>
      <c r="D550" s="656"/>
      <c r="E550" s="657"/>
      <c r="F550" s="658"/>
      <c r="G550" s="659"/>
      <c r="H550" s="660"/>
      <c r="I550" s="659"/>
      <c r="J550" s="661"/>
      <c r="K550" s="658"/>
      <c r="L550" s="662"/>
      <c r="M550" s="663"/>
      <c r="N550" s="664"/>
      <c r="O550" s="665"/>
      <c r="P550" s="666"/>
      <c r="Q550" s="667"/>
      <c r="R550" s="668"/>
      <c r="S550" s="665"/>
      <c r="T550" s="669"/>
      <c r="U550" s="669"/>
      <c r="V550" s="665"/>
      <c r="W550" s="670"/>
      <c r="X550" s="670"/>
      <c r="Y550" s="671"/>
      <c r="Z550" s="671"/>
      <c r="AA550" s="672"/>
      <c r="AB550" s="673"/>
      <c r="AC550" s="673"/>
      <c r="AD550" s="673"/>
      <c r="AE550" s="673"/>
      <c r="AF550" s="673"/>
      <c r="AG550" s="673"/>
      <c r="AH550" s="673"/>
      <c r="AI550" s="673"/>
      <c r="AJ550" s="673"/>
      <c r="AK550" s="673"/>
      <c r="AL550" s="673"/>
      <c r="AM550" s="673"/>
      <c r="AN550" s="673"/>
      <c r="AO550" s="673"/>
      <c r="AP550" s="673"/>
      <c r="AQ550" s="673"/>
      <c r="AR550" s="673"/>
      <c r="AS550" s="673"/>
    </row>
    <row r="551">
      <c r="A551" s="653"/>
      <c r="B551" s="654"/>
      <c r="C551" s="655"/>
      <c r="D551" s="656"/>
      <c r="E551" s="657"/>
      <c r="F551" s="658"/>
      <c r="G551" s="659"/>
      <c r="H551" s="660"/>
      <c r="I551" s="659"/>
      <c r="J551" s="661"/>
      <c r="K551" s="658"/>
      <c r="L551" s="662"/>
      <c r="M551" s="663"/>
      <c r="N551" s="664"/>
      <c r="O551" s="665"/>
      <c r="P551" s="666"/>
      <c r="Q551" s="667"/>
      <c r="R551" s="668"/>
      <c r="S551" s="665"/>
      <c r="T551" s="669"/>
      <c r="U551" s="669"/>
      <c r="V551" s="665"/>
      <c r="W551" s="670"/>
      <c r="X551" s="670"/>
      <c r="Y551" s="671"/>
      <c r="Z551" s="671"/>
      <c r="AA551" s="672"/>
      <c r="AB551" s="673"/>
      <c r="AC551" s="673"/>
      <c r="AD551" s="673"/>
      <c r="AE551" s="673"/>
      <c r="AF551" s="673"/>
      <c r="AG551" s="673"/>
      <c r="AH551" s="673"/>
      <c r="AI551" s="673"/>
      <c r="AJ551" s="673"/>
      <c r="AK551" s="673"/>
      <c r="AL551" s="673"/>
      <c r="AM551" s="673"/>
      <c r="AN551" s="673"/>
      <c r="AO551" s="673"/>
      <c r="AP551" s="673"/>
      <c r="AQ551" s="673"/>
      <c r="AR551" s="673"/>
      <c r="AS551" s="673"/>
    </row>
    <row r="552">
      <c r="A552" s="653"/>
      <c r="B552" s="654"/>
      <c r="C552" s="655"/>
      <c r="D552" s="656"/>
      <c r="E552" s="657"/>
      <c r="F552" s="658"/>
      <c r="G552" s="659"/>
      <c r="H552" s="660"/>
      <c r="I552" s="659"/>
      <c r="J552" s="661"/>
      <c r="K552" s="658"/>
      <c r="L552" s="662"/>
      <c r="M552" s="663"/>
      <c r="N552" s="664"/>
      <c r="O552" s="665"/>
      <c r="P552" s="666"/>
      <c r="Q552" s="667"/>
      <c r="R552" s="668"/>
      <c r="S552" s="665"/>
      <c r="T552" s="669"/>
      <c r="U552" s="669"/>
      <c r="V552" s="665"/>
      <c r="W552" s="670"/>
      <c r="X552" s="670"/>
      <c r="Y552" s="671"/>
      <c r="Z552" s="671"/>
      <c r="AA552" s="672"/>
      <c r="AB552" s="673"/>
      <c r="AC552" s="673"/>
      <c r="AD552" s="673"/>
      <c r="AE552" s="673"/>
      <c r="AF552" s="673"/>
      <c r="AG552" s="673"/>
      <c r="AH552" s="673"/>
      <c r="AI552" s="673"/>
      <c r="AJ552" s="673"/>
      <c r="AK552" s="673"/>
      <c r="AL552" s="673"/>
      <c r="AM552" s="673"/>
      <c r="AN552" s="673"/>
      <c r="AO552" s="673"/>
      <c r="AP552" s="673"/>
      <c r="AQ552" s="673"/>
      <c r="AR552" s="673"/>
      <c r="AS552" s="673"/>
    </row>
    <row r="553">
      <c r="A553" s="653"/>
      <c r="B553" s="654"/>
      <c r="C553" s="655"/>
      <c r="D553" s="656"/>
      <c r="E553" s="657"/>
      <c r="F553" s="658"/>
      <c r="G553" s="659"/>
      <c r="H553" s="660"/>
      <c r="I553" s="659"/>
      <c r="J553" s="661"/>
      <c r="K553" s="658"/>
      <c r="L553" s="662"/>
      <c r="M553" s="663"/>
      <c r="N553" s="664"/>
      <c r="O553" s="665"/>
      <c r="P553" s="666"/>
      <c r="Q553" s="667"/>
      <c r="R553" s="668"/>
      <c r="S553" s="665"/>
      <c r="T553" s="669"/>
      <c r="U553" s="669"/>
      <c r="V553" s="665"/>
      <c r="W553" s="670"/>
      <c r="X553" s="670"/>
      <c r="Y553" s="671"/>
      <c r="Z553" s="671"/>
      <c r="AA553" s="672"/>
      <c r="AB553" s="673"/>
      <c r="AC553" s="673"/>
      <c r="AD553" s="673"/>
      <c r="AE553" s="673"/>
      <c r="AF553" s="673"/>
      <c r="AG553" s="673"/>
      <c r="AH553" s="673"/>
      <c r="AI553" s="673"/>
      <c r="AJ553" s="673"/>
      <c r="AK553" s="673"/>
      <c r="AL553" s="673"/>
      <c r="AM553" s="673"/>
      <c r="AN553" s="673"/>
      <c r="AO553" s="673"/>
      <c r="AP553" s="673"/>
      <c r="AQ553" s="673"/>
      <c r="AR553" s="673"/>
      <c r="AS553" s="673"/>
    </row>
    <row r="554">
      <c r="A554" s="653"/>
      <c r="B554" s="654"/>
      <c r="C554" s="655"/>
      <c r="D554" s="656"/>
      <c r="E554" s="657"/>
      <c r="F554" s="658"/>
      <c r="G554" s="659"/>
      <c r="H554" s="660"/>
      <c r="I554" s="659"/>
      <c r="J554" s="661"/>
      <c r="K554" s="658"/>
      <c r="L554" s="662"/>
      <c r="M554" s="663"/>
      <c r="N554" s="664"/>
      <c r="O554" s="665"/>
      <c r="P554" s="666"/>
      <c r="Q554" s="667"/>
      <c r="R554" s="668"/>
      <c r="S554" s="665"/>
      <c r="T554" s="669"/>
      <c r="U554" s="669"/>
      <c r="V554" s="665"/>
      <c r="W554" s="670"/>
      <c r="X554" s="670"/>
      <c r="Y554" s="671"/>
      <c r="Z554" s="671"/>
      <c r="AA554" s="672"/>
      <c r="AB554" s="673"/>
      <c r="AC554" s="673"/>
      <c r="AD554" s="673"/>
      <c r="AE554" s="673"/>
      <c r="AF554" s="673"/>
      <c r="AG554" s="673"/>
      <c r="AH554" s="673"/>
      <c r="AI554" s="673"/>
      <c r="AJ554" s="673"/>
      <c r="AK554" s="673"/>
      <c r="AL554" s="673"/>
      <c r="AM554" s="673"/>
      <c r="AN554" s="673"/>
      <c r="AO554" s="673"/>
      <c r="AP554" s="673"/>
      <c r="AQ554" s="673"/>
      <c r="AR554" s="673"/>
      <c r="AS554" s="673"/>
    </row>
    <row r="555">
      <c r="A555" s="653"/>
      <c r="B555" s="654"/>
      <c r="C555" s="655"/>
      <c r="D555" s="656"/>
      <c r="E555" s="657"/>
      <c r="F555" s="658"/>
      <c r="G555" s="659"/>
      <c r="H555" s="660"/>
      <c r="I555" s="659"/>
      <c r="J555" s="661"/>
      <c r="K555" s="658"/>
      <c r="L555" s="662"/>
      <c r="M555" s="663"/>
      <c r="N555" s="664"/>
      <c r="O555" s="665"/>
      <c r="P555" s="666"/>
      <c r="Q555" s="667"/>
      <c r="R555" s="668"/>
      <c r="S555" s="665"/>
      <c r="T555" s="669"/>
      <c r="U555" s="669"/>
      <c r="V555" s="665"/>
      <c r="W555" s="670"/>
      <c r="X555" s="670"/>
      <c r="Y555" s="671"/>
      <c r="Z555" s="671"/>
      <c r="AA555" s="672"/>
      <c r="AB555" s="673"/>
      <c r="AC555" s="673"/>
      <c r="AD555" s="673"/>
      <c r="AE555" s="673"/>
      <c r="AF555" s="673"/>
      <c r="AG555" s="673"/>
      <c r="AH555" s="673"/>
      <c r="AI555" s="673"/>
      <c r="AJ555" s="673"/>
      <c r="AK555" s="673"/>
      <c r="AL555" s="673"/>
      <c r="AM555" s="673"/>
      <c r="AN555" s="673"/>
      <c r="AO555" s="673"/>
      <c r="AP555" s="673"/>
      <c r="AQ555" s="673"/>
      <c r="AR555" s="673"/>
      <c r="AS555" s="673"/>
    </row>
    <row r="556">
      <c r="A556" s="653"/>
      <c r="B556" s="654"/>
      <c r="C556" s="655"/>
      <c r="D556" s="656"/>
      <c r="E556" s="657"/>
      <c r="F556" s="658"/>
      <c r="G556" s="659"/>
      <c r="H556" s="660"/>
      <c r="I556" s="659"/>
      <c r="J556" s="661"/>
      <c r="K556" s="658"/>
      <c r="L556" s="662"/>
      <c r="M556" s="663"/>
      <c r="N556" s="664"/>
      <c r="O556" s="665"/>
      <c r="P556" s="666"/>
      <c r="Q556" s="667"/>
      <c r="R556" s="668"/>
      <c r="S556" s="665"/>
      <c r="T556" s="669"/>
      <c r="U556" s="669"/>
      <c r="V556" s="665"/>
      <c r="W556" s="670"/>
      <c r="X556" s="670"/>
      <c r="Y556" s="671"/>
      <c r="Z556" s="671"/>
      <c r="AA556" s="672"/>
      <c r="AB556" s="673"/>
      <c r="AC556" s="673"/>
      <c r="AD556" s="673"/>
      <c r="AE556" s="673"/>
      <c r="AF556" s="673"/>
      <c r="AG556" s="673"/>
      <c r="AH556" s="673"/>
      <c r="AI556" s="673"/>
      <c r="AJ556" s="673"/>
      <c r="AK556" s="673"/>
      <c r="AL556" s="673"/>
      <c r="AM556" s="673"/>
      <c r="AN556" s="673"/>
      <c r="AO556" s="673"/>
      <c r="AP556" s="673"/>
      <c r="AQ556" s="673"/>
      <c r="AR556" s="673"/>
      <c r="AS556" s="673"/>
    </row>
    <row r="557">
      <c r="A557" s="653"/>
      <c r="B557" s="654"/>
      <c r="C557" s="655"/>
      <c r="D557" s="656"/>
      <c r="E557" s="657"/>
      <c r="F557" s="658"/>
      <c r="G557" s="659"/>
      <c r="H557" s="660"/>
      <c r="I557" s="659"/>
      <c r="J557" s="661"/>
      <c r="K557" s="658"/>
      <c r="L557" s="662"/>
      <c r="M557" s="663"/>
      <c r="N557" s="664"/>
      <c r="O557" s="665"/>
      <c r="P557" s="666"/>
      <c r="Q557" s="667"/>
      <c r="R557" s="668"/>
      <c r="S557" s="665"/>
      <c r="T557" s="669"/>
      <c r="U557" s="669"/>
      <c r="V557" s="665"/>
      <c r="W557" s="670"/>
      <c r="X557" s="670"/>
      <c r="Y557" s="671"/>
      <c r="Z557" s="671"/>
      <c r="AA557" s="672"/>
      <c r="AB557" s="673"/>
      <c r="AC557" s="673"/>
      <c r="AD557" s="673"/>
      <c r="AE557" s="673"/>
      <c r="AF557" s="673"/>
      <c r="AG557" s="673"/>
      <c r="AH557" s="673"/>
      <c r="AI557" s="673"/>
      <c r="AJ557" s="673"/>
      <c r="AK557" s="673"/>
      <c r="AL557" s="673"/>
      <c r="AM557" s="673"/>
      <c r="AN557" s="673"/>
      <c r="AO557" s="673"/>
      <c r="AP557" s="673"/>
      <c r="AQ557" s="673"/>
      <c r="AR557" s="673"/>
      <c r="AS557" s="673"/>
    </row>
    <row r="558">
      <c r="A558" s="653"/>
      <c r="B558" s="654"/>
      <c r="C558" s="655"/>
      <c r="D558" s="656"/>
      <c r="E558" s="657"/>
      <c r="F558" s="658"/>
      <c r="G558" s="659"/>
      <c r="H558" s="660"/>
      <c r="I558" s="659"/>
      <c r="J558" s="661"/>
      <c r="K558" s="658"/>
      <c r="L558" s="662"/>
      <c r="M558" s="663"/>
      <c r="N558" s="664"/>
      <c r="O558" s="665"/>
      <c r="P558" s="666"/>
      <c r="Q558" s="667"/>
      <c r="R558" s="668"/>
      <c r="S558" s="665"/>
      <c r="T558" s="669"/>
      <c r="U558" s="669"/>
      <c r="V558" s="665"/>
      <c r="W558" s="670"/>
      <c r="X558" s="670"/>
      <c r="Y558" s="671"/>
      <c r="Z558" s="671"/>
      <c r="AA558" s="672"/>
      <c r="AB558" s="673"/>
      <c r="AC558" s="673"/>
      <c r="AD558" s="673"/>
      <c r="AE558" s="673"/>
      <c r="AF558" s="673"/>
      <c r="AG558" s="673"/>
      <c r="AH558" s="673"/>
      <c r="AI558" s="673"/>
      <c r="AJ558" s="673"/>
      <c r="AK558" s="673"/>
      <c r="AL558" s="673"/>
      <c r="AM558" s="673"/>
      <c r="AN558" s="673"/>
      <c r="AO558" s="673"/>
      <c r="AP558" s="673"/>
      <c r="AQ558" s="673"/>
      <c r="AR558" s="673"/>
      <c r="AS558" s="673"/>
    </row>
    <row r="559">
      <c r="A559" s="653"/>
      <c r="B559" s="654"/>
      <c r="C559" s="655"/>
      <c r="D559" s="656"/>
      <c r="E559" s="657"/>
      <c r="F559" s="658"/>
      <c r="G559" s="659"/>
      <c r="H559" s="660"/>
      <c r="I559" s="659"/>
      <c r="J559" s="661"/>
      <c r="K559" s="658"/>
      <c r="L559" s="662"/>
      <c r="M559" s="663"/>
      <c r="N559" s="664"/>
      <c r="O559" s="665"/>
      <c r="P559" s="666"/>
      <c r="Q559" s="667"/>
      <c r="R559" s="668"/>
      <c r="S559" s="665"/>
      <c r="T559" s="669"/>
      <c r="U559" s="669"/>
      <c r="V559" s="665"/>
      <c r="W559" s="670"/>
      <c r="X559" s="670"/>
      <c r="Y559" s="671"/>
      <c r="Z559" s="671"/>
      <c r="AA559" s="672"/>
      <c r="AB559" s="673"/>
      <c r="AC559" s="673"/>
      <c r="AD559" s="673"/>
      <c r="AE559" s="673"/>
      <c r="AF559" s="673"/>
      <c r="AG559" s="673"/>
      <c r="AH559" s="673"/>
      <c r="AI559" s="673"/>
      <c r="AJ559" s="673"/>
      <c r="AK559" s="673"/>
      <c r="AL559" s="673"/>
      <c r="AM559" s="673"/>
      <c r="AN559" s="673"/>
      <c r="AO559" s="673"/>
      <c r="AP559" s="673"/>
      <c r="AQ559" s="673"/>
      <c r="AR559" s="673"/>
      <c r="AS559" s="673"/>
    </row>
    <row r="560">
      <c r="A560" s="653"/>
      <c r="B560" s="654"/>
      <c r="C560" s="655"/>
      <c r="D560" s="656"/>
      <c r="E560" s="657"/>
      <c r="F560" s="658"/>
      <c r="G560" s="659"/>
      <c r="H560" s="660"/>
      <c r="I560" s="659"/>
      <c r="J560" s="661"/>
      <c r="K560" s="658"/>
      <c r="L560" s="662"/>
      <c r="M560" s="663"/>
      <c r="N560" s="664"/>
      <c r="O560" s="665"/>
      <c r="P560" s="666"/>
      <c r="Q560" s="667"/>
      <c r="R560" s="668"/>
      <c r="S560" s="665"/>
      <c r="T560" s="669"/>
      <c r="U560" s="669"/>
      <c r="V560" s="665"/>
      <c r="W560" s="670"/>
      <c r="X560" s="670"/>
      <c r="Y560" s="671"/>
      <c r="Z560" s="671"/>
      <c r="AA560" s="672"/>
      <c r="AB560" s="673"/>
      <c r="AC560" s="673"/>
      <c r="AD560" s="673"/>
      <c r="AE560" s="673"/>
      <c r="AF560" s="673"/>
      <c r="AG560" s="673"/>
      <c r="AH560" s="673"/>
      <c r="AI560" s="673"/>
      <c r="AJ560" s="673"/>
      <c r="AK560" s="673"/>
      <c r="AL560" s="673"/>
      <c r="AM560" s="673"/>
      <c r="AN560" s="673"/>
      <c r="AO560" s="673"/>
      <c r="AP560" s="673"/>
      <c r="AQ560" s="673"/>
      <c r="AR560" s="673"/>
      <c r="AS560" s="673"/>
    </row>
    <row r="561">
      <c r="A561" s="653"/>
      <c r="B561" s="654"/>
      <c r="C561" s="655"/>
      <c r="D561" s="656"/>
      <c r="E561" s="657"/>
      <c r="F561" s="658"/>
      <c r="G561" s="659"/>
      <c r="H561" s="660"/>
      <c r="I561" s="659"/>
      <c r="J561" s="661"/>
      <c r="K561" s="658"/>
      <c r="L561" s="662"/>
      <c r="M561" s="663"/>
      <c r="N561" s="664"/>
      <c r="O561" s="665"/>
      <c r="P561" s="666"/>
      <c r="Q561" s="667"/>
      <c r="R561" s="668"/>
      <c r="S561" s="665"/>
      <c r="T561" s="669"/>
      <c r="U561" s="669"/>
      <c r="V561" s="665"/>
      <c r="W561" s="670"/>
      <c r="X561" s="670"/>
      <c r="Y561" s="671"/>
      <c r="Z561" s="671"/>
      <c r="AA561" s="672"/>
      <c r="AB561" s="673"/>
      <c r="AC561" s="673"/>
      <c r="AD561" s="673"/>
      <c r="AE561" s="673"/>
      <c r="AF561" s="673"/>
      <c r="AG561" s="673"/>
      <c r="AH561" s="673"/>
      <c r="AI561" s="673"/>
      <c r="AJ561" s="673"/>
      <c r="AK561" s="673"/>
      <c r="AL561" s="673"/>
      <c r="AM561" s="673"/>
      <c r="AN561" s="673"/>
      <c r="AO561" s="673"/>
      <c r="AP561" s="673"/>
      <c r="AQ561" s="673"/>
      <c r="AR561" s="673"/>
      <c r="AS561" s="673"/>
    </row>
    <row r="562">
      <c r="A562" s="653"/>
      <c r="B562" s="654"/>
      <c r="C562" s="655"/>
      <c r="D562" s="656"/>
      <c r="E562" s="657"/>
      <c r="F562" s="658"/>
      <c r="G562" s="659"/>
      <c r="H562" s="660"/>
      <c r="I562" s="659"/>
      <c r="J562" s="661"/>
      <c r="K562" s="658"/>
      <c r="L562" s="662"/>
      <c r="M562" s="663"/>
      <c r="N562" s="664"/>
      <c r="O562" s="665"/>
      <c r="P562" s="666"/>
      <c r="Q562" s="667"/>
      <c r="R562" s="668"/>
      <c r="S562" s="665"/>
      <c r="T562" s="669"/>
      <c r="U562" s="669"/>
      <c r="V562" s="665"/>
      <c r="W562" s="670"/>
      <c r="X562" s="670"/>
      <c r="Y562" s="671"/>
      <c r="Z562" s="671"/>
      <c r="AA562" s="672"/>
      <c r="AB562" s="673"/>
      <c r="AC562" s="673"/>
      <c r="AD562" s="673"/>
      <c r="AE562" s="673"/>
      <c r="AF562" s="673"/>
      <c r="AG562" s="673"/>
      <c r="AH562" s="673"/>
      <c r="AI562" s="673"/>
      <c r="AJ562" s="673"/>
      <c r="AK562" s="673"/>
      <c r="AL562" s="673"/>
      <c r="AM562" s="673"/>
      <c r="AN562" s="673"/>
      <c r="AO562" s="673"/>
      <c r="AP562" s="673"/>
      <c r="AQ562" s="673"/>
      <c r="AR562" s="673"/>
      <c r="AS562" s="673"/>
    </row>
    <row r="563">
      <c r="A563" s="653"/>
      <c r="B563" s="654"/>
      <c r="C563" s="655"/>
      <c r="D563" s="656"/>
      <c r="E563" s="657"/>
      <c r="F563" s="658"/>
      <c r="G563" s="659"/>
      <c r="H563" s="660"/>
      <c r="I563" s="659"/>
      <c r="J563" s="661"/>
      <c r="K563" s="658"/>
      <c r="L563" s="662"/>
      <c r="M563" s="663"/>
      <c r="N563" s="664"/>
      <c r="O563" s="665"/>
      <c r="P563" s="666"/>
      <c r="Q563" s="667"/>
      <c r="R563" s="668"/>
      <c r="S563" s="665"/>
      <c r="T563" s="669"/>
      <c r="U563" s="669"/>
      <c r="V563" s="665"/>
      <c r="W563" s="670"/>
      <c r="X563" s="670"/>
      <c r="Y563" s="671"/>
      <c r="Z563" s="671"/>
      <c r="AA563" s="672"/>
      <c r="AB563" s="673"/>
      <c r="AC563" s="673"/>
      <c r="AD563" s="673"/>
      <c r="AE563" s="673"/>
      <c r="AF563" s="673"/>
      <c r="AG563" s="673"/>
      <c r="AH563" s="673"/>
      <c r="AI563" s="673"/>
      <c r="AJ563" s="673"/>
      <c r="AK563" s="673"/>
      <c r="AL563" s="673"/>
      <c r="AM563" s="673"/>
      <c r="AN563" s="673"/>
      <c r="AO563" s="673"/>
      <c r="AP563" s="673"/>
      <c r="AQ563" s="673"/>
      <c r="AR563" s="673"/>
      <c r="AS563" s="673"/>
    </row>
    <row r="564">
      <c r="A564" s="653"/>
      <c r="B564" s="654"/>
      <c r="C564" s="655"/>
      <c r="D564" s="656"/>
      <c r="E564" s="657"/>
      <c r="F564" s="658"/>
      <c r="G564" s="659"/>
      <c r="H564" s="660"/>
      <c r="I564" s="659"/>
      <c r="J564" s="661"/>
      <c r="K564" s="658"/>
      <c r="L564" s="662"/>
      <c r="M564" s="663"/>
      <c r="N564" s="664"/>
      <c r="O564" s="665"/>
      <c r="P564" s="666"/>
      <c r="Q564" s="667"/>
      <c r="R564" s="668"/>
      <c r="S564" s="665"/>
      <c r="T564" s="669"/>
      <c r="U564" s="669"/>
      <c r="V564" s="665"/>
      <c r="W564" s="670"/>
      <c r="X564" s="670"/>
      <c r="Y564" s="671"/>
      <c r="Z564" s="671"/>
      <c r="AA564" s="672"/>
      <c r="AB564" s="673"/>
      <c r="AC564" s="673"/>
      <c r="AD564" s="673"/>
      <c r="AE564" s="673"/>
      <c r="AF564" s="673"/>
      <c r="AG564" s="673"/>
      <c r="AH564" s="673"/>
      <c r="AI564" s="673"/>
      <c r="AJ564" s="673"/>
      <c r="AK564" s="673"/>
      <c r="AL564" s="673"/>
      <c r="AM564" s="673"/>
      <c r="AN564" s="673"/>
      <c r="AO564" s="673"/>
      <c r="AP564" s="673"/>
      <c r="AQ564" s="673"/>
      <c r="AR564" s="673"/>
      <c r="AS564" s="673"/>
    </row>
    <row r="565">
      <c r="A565" s="653"/>
      <c r="B565" s="654"/>
      <c r="C565" s="655"/>
      <c r="D565" s="656"/>
      <c r="E565" s="657"/>
      <c r="F565" s="658"/>
      <c r="G565" s="659"/>
      <c r="H565" s="660"/>
      <c r="I565" s="659"/>
      <c r="J565" s="661"/>
      <c r="K565" s="658"/>
      <c r="L565" s="662"/>
      <c r="M565" s="663"/>
      <c r="N565" s="664"/>
      <c r="O565" s="665"/>
      <c r="P565" s="666"/>
      <c r="Q565" s="667"/>
      <c r="R565" s="668"/>
      <c r="S565" s="665"/>
      <c r="T565" s="669"/>
      <c r="U565" s="669"/>
      <c r="V565" s="665"/>
      <c r="W565" s="670"/>
      <c r="X565" s="670"/>
      <c r="Y565" s="671"/>
      <c r="Z565" s="671"/>
      <c r="AA565" s="672"/>
      <c r="AB565" s="673"/>
      <c r="AC565" s="673"/>
      <c r="AD565" s="673"/>
      <c r="AE565" s="673"/>
      <c r="AF565" s="673"/>
      <c r="AG565" s="673"/>
      <c r="AH565" s="673"/>
      <c r="AI565" s="673"/>
      <c r="AJ565" s="673"/>
      <c r="AK565" s="673"/>
      <c r="AL565" s="673"/>
      <c r="AM565" s="673"/>
      <c r="AN565" s="673"/>
      <c r="AO565" s="673"/>
      <c r="AP565" s="673"/>
      <c r="AQ565" s="673"/>
      <c r="AR565" s="673"/>
      <c r="AS565" s="673"/>
    </row>
    <row r="566">
      <c r="A566" s="653"/>
      <c r="B566" s="654"/>
      <c r="C566" s="655"/>
      <c r="D566" s="656"/>
      <c r="E566" s="657"/>
      <c r="F566" s="658"/>
      <c r="G566" s="659"/>
      <c r="H566" s="660"/>
      <c r="I566" s="659"/>
      <c r="J566" s="661"/>
      <c r="K566" s="658"/>
      <c r="L566" s="662"/>
      <c r="M566" s="663"/>
      <c r="N566" s="664"/>
      <c r="O566" s="665"/>
      <c r="P566" s="666"/>
      <c r="Q566" s="667"/>
      <c r="R566" s="668"/>
      <c r="S566" s="665"/>
      <c r="T566" s="669"/>
      <c r="U566" s="669"/>
      <c r="V566" s="665"/>
      <c r="W566" s="670"/>
      <c r="X566" s="670"/>
      <c r="Y566" s="671"/>
      <c r="Z566" s="671"/>
      <c r="AA566" s="672"/>
      <c r="AB566" s="673"/>
      <c r="AC566" s="673"/>
      <c r="AD566" s="673"/>
      <c r="AE566" s="673"/>
      <c r="AF566" s="673"/>
      <c r="AG566" s="673"/>
      <c r="AH566" s="673"/>
      <c r="AI566" s="673"/>
      <c r="AJ566" s="673"/>
      <c r="AK566" s="673"/>
      <c r="AL566" s="673"/>
      <c r="AM566" s="673"/>
      <c r="AN566" s="673"/>
      <c r="AO566" s="673"/>
      <c r="AP566" s="673"/>
      <c r="AQ566" s="673"/>
      <c r="AR566" s="673"/>
      <c r="AS566" s="673"/>
    </row>
    <row r="567">
      <c r="A567" s="653"/>
      <c r="B567" s="654"/>
      <c r="C567" s="655"/>
      <c r="D567" s="656"/>
      <c r="E567" s="657"/>
      <c r="F567" s="658"/>
      <c r="G567" s="659"/>
      <c r="H567" s="660"/>
      <c r="I567" s="659"/>
      <c r="J567" s="661"/>
      <c r="K567" s="658"/>
      <c r="L567" s="662"/>
      <c r="M567" s="663"/>
      <c r="N567" s="664"/>
      <c r="O567" s="665"/>
      <c r="P567" s="666"/>
      <c r="Q567" s="667"/>
      <c r="R567" s="668"/>
      <c r="S567" s="665"/>
      <c r="T567" s="669"/>
      <c r="U567" s="669"/>
      <c r="V567" s="665"/>
      <c r="W567" s="670"/>
      <c r="X567" s="670"/>
      <c r="Y567" s="671"/>
      <c r="Z567" s="671"/>
      <c r="AA567" s="672"/>
      <c r="AB567" s="673"/>
      <c r="AC567" s="673"/>
      <c r="AD567" s="673"/>
      <c r="AE567" s="673"/>
      <c r="AF567" s="673"/>
      <c r="AG567" s="673"/>
      <c r="AH567" s="673"/>
      <c r="AI567" s="673"/>
      <c r="AJ567" s="673"/>
      <c r="AK567" s="673"/>
      <c r="AL567" s="673"/>
      <c r="AM567" s="673"/>
      <c r="AN567" s="673"/>
      <c r="AO567" s="673"/>
      <c r="AP567" s="673"/>
      <c r="AQ567" s="673"/>
      <c r="AR567" s="673"/>
      <c r="AS567" s="673"/>
    </row>
    <row r="568">
      <c r="A568" s="653"/>
      <c r="B568" s="654"/>
      <c r="C568" s="655"/>
      <c r="D568" s="656"/>
      <c r="E568" s="657"/>
      <c r="F568" s="658"/>
      <c r="G568" s="659"/>
      <c r="H568" s="660"/>
      <c r="I568" s="659"/>
      <c r="J568" s="661"/>
      <c r="K568" s="658"/>
      <c r="L568" s="662"/>
      <c r="M568" s="663"/>
      <c r="N568" s="664"/>
      <c r="O568" s="665"/>
      <c r="P568" s="666"/>
      <c r="Q568" s="667"/>
      <c r="R568" s="668"/>
      <c r="S568" s="665"/>
      <c r="T568" s="669"/>
      <c r="U568" s="669"/>
      <c r="V568" s="665"/>
      <c r="W568" s="670"/>
      <c r="X568" s="670"/>
      <c r="Y568" s="671"/>
      <c r="Z568" s="671"/>
      <c r="AA568" s="672"/>
      <c r="AB568" s="673"/>
      <c r="AC568" s="673"/>
      <c r="AD568" s="673"/>
      <c r="AE568" s="673"/>
      <c r="AF568" s="673"/>
      <c r="AG568" s="673"/>
      <c r="AH568" s="673"/>
      <c r="AI568" s="673"/>
      <c r="AJ568" s="673"/>
      <c r="AK568" s="673"/>
      <c r="AL568" s="673"/>
      <c r="AM568" s="673"/>
      <c r="AN568" s="673"/>
      <c r="AO568" s="673"/>
      <c r="AP568" s="673"/>
      <c r="AQ568" s="673"/>
      <c r="AR568" s="673"/>
      <c r="AS568" s="673"/>
    </row>
    <row r="569">
      <c r="A569" s="653"/>
      <c r="B569" s="654"/>
      <c r="C569" s="655"/>
      <c r="D569" s="656"/>
      <c r="E569" s="657"/>
      <c r="F569" s="658"/>
      <c r="G569" s="659"/>
      <c r="H569" s="660"/>
      <c r="I569" s="659"/>
      <c r="J569" s="661"/>
      <c r="K569" s="658"/>
      <c r="L569" s="662"/>
      <c r="M569" s="663"/>
      <c r="N569" s="664"/>
      <c r="O569" s="665"/>
      <c r="P569" s="666"/>
      <c r="Q569" s="667"/>
      <c r="R569" s="668"/>
      <c r="S569" s="665"/>
      <c r="T569" s="669"/>
      <c r="U569" s="669"/>
      <c r="V569" s="665"/>
      <c r="W569" s="670"/>
      <c r="X569" s="670"/>
      <c r="Y569" s="671"/>
      <c r="Z569" s="671"/>
      <c r="AA569" s="672"/>
      <c r="AB569" s="673"/>
      <c r="AC569" s="673"/>
      <c r="AD569" s="673"/>
      <c r="AE569" s="673"/>
      <c r="AF569" s="673"/>
      <c r="AG569" s="673"/>
      <c r="AH569" s="673"/>
      <c r="AI569" s="673"/>
      <c r="AJ569" s="673"/>
      <c r="AK569" s="673"/>
      <c r="AL569" s="673"/>
      <c r="AM569" s="673"/>
      <c r="AN569" s="673"/>
      <c r="AO569" s="673"/>
      <c r="AP569" s="673"/>
      <c r="AQ569" s="673"/>
      <c r="AR569" s="673"/>
      <c r="AS569" s="673"/>
    </row>
    <row r="570">
      <c r="A570" s="653"/>
      <c r="B570" s="654"/>
      <c r="C570" s="655"/>
      <c r="D570" s="656"/>
      <c r="E570" s="657"/>
      <c r="F570" s="658"/>
      <c r="G570" s="659"/>
      <c r="H570" s="660"/>
      <c r="I570" s="659"/>
      <c r="J570" s="661"/>
      <c r="K570" s="658"/>
      <c r="L570" s="662"/>
      <c r="M570" s="663"/>
      <c r="N570" s="664"/>
      <c r="O570" s="665"/>
      <c r="P570" s="666"/>
      <c r="Q570" s="667"/>
      <c r="R570" s="668"/>
      <c r="S570" s="665"/>
      <c r="T570" s="669"/>
      <c r="U570" s="669"/>
      <c r="V570" s="665"/>
      <c r="W570" s="670"/>
      <c r="X570" s="670"/>
      <c r="Y570" s="671"/>
      <c r="Z570" s="671"/>
      <c r="AA570" s="672"/>
      <c r="AB570" s="673"/>
      <c r="AC570" s="673"/>
      <c r="AD570" s="673"/>
      <c r="AE570" s="673"/>
      <c r="AF570" s="673"/>
      <c r="AG570" s="673"/>
      <c r="AH570" s="673"/>
      <c r="AI570" s="673"/>
      <c r="AJ570" s="673"/>
      <c r="AK570" s="673"/>
      <c r="AL570" s="673"/>
      <c r="AM570" s="673"/>
      <c r="AN570" s="673"/>
      <c r="AO570" s="673"/>
      <c r="AP570" s="673"/>
      <c r="AQ570" s="673"/>
      <c r="AR570" s="673"/>
      <c r="AS570" s="673"/>
    </row>
    <row r="571">
      <c r="A571" s="653"/>
      <c r="B571" s="654"/>
      <c r="C571" s="655"/>
      <c r="D571" s="656"/>
      <c r="E571" s="657"/>
      <c r="F571" s="658"/>
      <c r="G571" s="659"/>
      <c r="H571" s="660"/>
      <c r="I571" s="659"/>
      <c r="J571" s="661"/>
      <c r="K571" s="658"/>
      <c r="L571" s="662"/>
      <c r="M571" s="663"/>
      <c r="N571" s="664"/>
      <c r="O571" s="665"/>
      <c r="P571" s="666"/>
      <c r="Q571" s="667"/>
      <c r="R571" s="668"/>
      <c r="S571" s="665"/>
      <c r="T571" s="669"/>
      <c r="U571" s="669"/>
      <c r="V571" s="665"/>
      <c r="W571" s="670"/>
      <c r="X571" s="670"/>
      <c r="Y571" s="671"/>
      <c r="Z571" s="671"/>
      <c r="AA571" s="672"/>
      <c r="AB571" s="673"/>
      <c r="AC571" s="673"/>
      <c r="AD571" s="673"/>
      <c r="AE571" s="673"/>
      <c r="AF571" s="673"/>
      <c r="AG571" s="673"/>
      <c r="AH571" s="673"/>
      <c r="AI571" s="673"/>
      <c r="AJ571" s="673"/>
      <c r="AK571" s="673"/>
      <c r="AL571" s="673"/>
      <c r="AM571" s="673"/>
      <c r="AN571" s="673"/>
      <c r="AO571" s="673"/>
      <c r="AP571" s="673"/>
      <c r="AQ571" s="673"/>
      <c r="AR571" s="673"/>
      <c r="AS571" s="673"/>
    </row>
    <row r="572">
      <c r="A572" s="653"/>
      <c r="B572" s="654"/>
      <c r="C572" s="655"/>
      <c r="D572" s="656"/>
      <c r="E572" s="657"/>
      <c r="F572" s="658"/>
      <c r="G572" s="659"/>
      <c r="H572" s="660"/>
      <c r="I572" s="659"/>
      <c r="J572" s="661"/>
      <c r="K572" s="658"/>
      <c r="L572" s="662"/>
      <c r="M572" s="663"/>
      <c r="N572" s="664"/>
      <c r="O572" s="665"/>
      <c r="P572" s="666"/>
      <c r="Q572" s="667"/>
      <c r="R572" s="668"/>
      <c r="S572" s="665"/>
      <c r="T572" s="669"/>
      <c r="U572" s="669"/>
      <c r="V572" s="665"/>
      <c r="W572" s="670"/>
      <c r="X572" s="670"/>
      <c r="Y572" s="671"/>
      <c r="Z572" s="671"/>
      <c r="AA572" s="672"/>
      <c r="AB572" s="673"/>
      <c r="AC572" s="673"/>
      <c r="AD572" s="673"/>
      <c r="AE572" s="673"/>
      <c r="AF572" s="673"/>
      <c r="AG572" s="673"/>
      <c r="AH572" s="673"/>
      <c r="AI572" s="673"/>
      <c r="AJ572" s="673"/>
      <c r="AK572" s="673"/>
      <c r="AL572" s="673"/>
      <c r="AM572" s="673"/>
      <c r="AN572" s="673"/>
      <c r="AO572" s="673"/>
      <c r="AP572" s="673"/>
      <c r="AQ572" s="673"/>
      <c r="AR572" s="673"/>
      <c r="AS572" s="673"/>
    </row>
    <row r="573">
      <c r="A573" s="653"/>
      <c r="B573" s="654"/>
      <c r="C573" s="655"/>
      <c r="D573" s="656"/>
      <c r="E573" s="657"/>
      <c r="F573" s="658"/>
      <c r="G573" s="659"/>
      <c r="H573" s="660"/>
      <c r="I573" s="659"/>
      <c r="J573" s="661"/>
      <c r="K573" s="658"/>
      <c r="L573" s="662"/>
      <c r="M573" s="663"/>
      <c r="N573" s="664"/>
      <c r="O573" s="665"/>
      <c r="P573" s="666"/>
      <c r="Q573" s="667"/>
      <c r="R573" s="668"/>
      <c r="S573" s="665"/>
      <c r="T573" s="669"/>
      <c r="U573" s="669"/>
      <c r="V573" s="665"/>
      <c r="W573" s="670"/>
      <c r="X573" s="670"/>
      <c r="Y573" s="671"/>
      <c r="Z573" s="671"/>
      <c r="AA573" s="672"/>
      <c r="AB573" s="673"/>
      <c r="AC573" s="673"/>
      <c r="AD573" s="673"/>
      <c r="AE573" s="673"/>
      <c r="AF573" s="673"/>
      <c r="AG573" s="673"/>
      <c r="AH573" s="673"/>
      <c r="AI573" s="673"/>
      <c r="AJ573" s="673"/>
      <c r="AK573" s="673"/>
      <c r="AL573" s="673"/>
      <c r="AM573" s="673"/>
      <c r="AN573" s="673"/>
      <c r="AO573" s="673"/>
      <c r="AP573" s="673"/>
      <c r="AQ573" s="673"/>
      <c r="AR573" s="673"/>
      <c r="AS573" s="673"/>
    </row>
    <row r="574">
      <c r="A574" s="653"/>
      <c r="B574" s="654"/>
      <c r="C574" s="655"/>
      <c r="D574" s="656"/>
      <c r="E574" s="657"/>
      <c r="F574" s="658"/>
      <c r="G574" s="659"/>
      <c r="H574" s="660"/>
      <c r="I574" s="659"/>
      <c r="J574" s="661"/>
      <c r="K574" s="658"/>
      <c r="L574" s="662"/>
      <c r="M574" s="663"/>
      <c r="N574" s="664"/>
      <c r="O574" s="665"/>
      <c r="P574" s="666"/>
      <c r="Q574" s="667"/>
      <c r="R574" s="668"/>
      <c r="S574" s="665"/>
      <c r="T574" s="669"/>
      <c r="U574" s="669"/>
      <c r="V574" s="665"/>
      <c r="W574" s="670"/>
      <c r="X574" s="670"/>
      <c r="Y574" s="671"/>
      <c r="Z574" s="671"/>
      <c r="AA574" s="672"/>
      <c r="AB574" s="673"/>
      <c r="AC574" s="673"/>
      <c r="AD574" s="673"/>
      <c r="AE574" s="673"/>
      <c r="AF574" s="673"/>
      <c r="AG574" s="673"/>
      <c r="AH574" s="673"/>
      <c r="AI574" s="673"/>
      <c r="AJ574" s="673"/>
      <c r="AK574" s="673"/>
      <c r="AL574" s="673"/>
      <c r="AM574" s="673"/>
      <c r="AN574" s="673"/>
      <c r="AO574" s="673"/>
      <c r="AP574" s="673"/>
      <c r="AQ574" s="673"/>
      <c r="AR574" s="673"/>
      <c r="AS574" s="673"/>
    </row>
    <row r="575">
      <c r="A575" s="653"/>
      <c r="B575" s="654"/>
      <c r="C575" s="655"/>
      <c r="D575" s="656"/>
      <c r="E575" s="657"/>
      <c r="F575" s="658"/>
      <c r="G575" s="659"/>
      <c r="H575" s="660"/>
      <c r="I575" s="659"/>
      <c r="J575" s="661"/>
      <c r="K575" s="658"/>
      <c r="L575" s="662"/>
      <c r="M575" s="663"/>
      <c r="N575" s="664"/>
      <c r="O575" s="665"/>
      <c r="P575" s="666"/>
      <c r="Q575" s="667"/>
      <c r="R575" s="668"/>
      <c r="S575" s="665"/>
      <c r="T575" s="669"/>
      <c r="U575" s="669"/>
      <c r="V575" s="665"/>
      <c r="W575" s="670"/>
      <c r="X575" s="670"/>
      <c r="Y575" s="671"/>
      <c r="Z575" s="671"/>
      <c r="AA575" s="672"/>
      <c r="AB575" s="673"/>
      <c r="AC575" s="673"/>
      <c r="AD575" s="673"/>
      <c r="AE575" s="673"/>
      <c r="AF575" s="673"/>
      <c r="AG575" s="673"/>
      <c r="AH575" s="673"/>
      <c r="AI575" s="673"/>
      <c r="AJ575" s="673"/>
      <c r="AK575" s="673"/>
      <c r="AL575" s="673"/>
      <c r="AM575" s="673"/>
      <c r="AN575" s="673"/>
      <c r="AO575" s="673"/>
      <c r="AP575" s="673"/>
      <c r="AQ575" s="673"/>
      <c r="AR575" s="673"/>
      <c r="AS575" s="673"/>
    </row>
    <row r="576">
      <c r="A576" s="653"/>
      <c r="B576" s="654"/>
      <c r="C576" s="655"/>
      <c r="D576" s="656"/>
      <c r="E576" s="657"/>
      <c r="F576" s="658"/>
      <c r="G576" s="659"/>
      <c r="H576" s="660"/>
      <c r="I576" s="659"/>
      <c r="J576" s="661"/>
      <c r="K576" s="658"/>
      <c r="L576" s="662"/>
      <c r="M576" s="663"/>
      <c r="N576" s="664"/>
      <c r="O576" s="665"/>
      <c r="P576" s="666"/>
      <c r="Q576" s="667"/>
      <c r="R576" s="668"/>
      <c r="S576" s="665"/>
      <c r="T576" s="669"/>
      <c r="U576" s="669"/>
      <c r="V576" s="665"/>
      <c r="W576" s="670"/>
      <c r="X576" s="670"/>
      <c r="Y576" s="671"/>
      <c r="Z576" s="671"/>
      <c r="AA576" s="672"/>
      <c r="AB576" s="673"/>
      <c r="AC576" s="673"/>
      <c r="AD576" s="673"/>
      <c r="AE576" s="673"/>
      <c r="AF576" s="673"/>
      <c r="AG576" s="673"/>
      <c r="AH576" s="673"/>
      <c r="AI576" s="673"/>
      <c r="AJ576" s="673"/>
      <c r="AK576" s="673"/>
      <c r="AL576" s="673"/>
      <c r="AM576" s="673"/>
      <c r="AN576" s="673"/>
      <c r="AO576" s="673"/>
      <c r="AP576" s="673"/>
      <c r="AQ576" s="673"/>
      <c r="AR576" s="673"/>
      <c r="AS576" s="673"/>
    </row>
    <row r="577">
      <c r="A577" s="653"/>
      <c r="B577" s="654"/>
      <c r="C577" s="655"/>
      <c r="D577" s="656"/>
      <c r="E577" s="657"/>
      <c r="F577" s="658"/>
      <c r="G577" s="659"/>
      <c r="H577" s="660"/>
      <c r="I577" s="659"/>
      <c r="J577" s="661"/>
      <c r="K577" s="658"/>
      <c r="L577" s="662"/>
      <c r="M577" s="663"/>
      <c r="N577" s="664"/>
      <c r="O577" s="665"/>
      <c r="P577" s="666"/>
      <c r="Q577" s="667"/>
      <c r="R577" s="668"/>
      <c r="S577" s="665"/>
      <c r="T577" s="669"/>
      <c r="U577" s="669"/>
      <c r="V577" s="665"/>
      <c r="W577" s="670"/>
      <c r="X577" s="670"/>
      <c r="Y577" s="671"/>
      <c r="Z577" s="671"/>
      <c r="AA577" s="672"/>
      <c r="AB577" s="673"/>
      <c r="AC577" s="673"/>
      <c r="AD577" s="673"/>
      <c r="AE577" s="673"/>
      <c r="AF577" s="673"/>
      <c r="AG577" s="673"/>
      <c r="AH577" s="673"/>
      <c r="AI577" s="673"/>
      <c r="AJ577" s="673"/>
      <c r="AK577" s="673"/>
      <c r="AL577" s="673"/>
      <c r="AM577" s="673"/>
      <c r="AN577" s="673"/>
      <c r="AO577" s="673"/>
      <c r="AP577" s="673"/>
      <c r="AQ577" s="673"/>
      <c r="AR577" s="673"/>
      <c r="AS577" s="673"/>
    </row>
    <row r="578">
      <c r="A578" s="653"/>
      <c r="B578" s="654"/>
      <c r="C578" s="655"/>
      <c r="D578" s="656"/>
      <c r="E578" s="657"/>
      <c r="F578" s="658"/>
      <c r="G578" s="659"/>
      <c r="H578" s="660"/>
      <c r="I578" s="659"/>
      <c r="J578" s="661"/>
      <c r="K578" s="658"/>
      <c r="L578" s="662"/>
      <c r="M578" s="663"/>
      <c r="N578" s="664"/>
      <c r="O578" s="665"/>
      <c r="P578" s="666"/>
      <c r="Q578" s="667"/>
      <c r="R578" s="668"/>
      <c r="S578" s="665"/>
      <c r="T578" s="669"/>
      <c r="U578" s="669"/>
      <c r="V578" s="665"/>
      <c r="W578" s="670"/>
      <c r="X578" s="670"/>
      <c r="Y578" s="671"/>
      <c r="Z578" s="671"/>
      <c r="AA578" s="672"/>
      <c r="AB578" s="673"/>
      <c r="AC578" s="673"/>
      <c r="AD578" s="673"/>
      <c r="AE578" s="673"/>
      <c r="AF578" s="673"/>
      <c r="AG578" s="673"/>
      <c r="AH578" s="673"/>
      <c r="AI578" s="673"/>
      <c r="AJ578" s="673"/>
      <c r="AK578" s="673"/>
      <c r="AL578" s="673"/>
      <c r="AM578" s="673"/>
      <c r="AN578" s="673"/>
      <c r="AO578" s="673"/>
      <c r="AP578" s="673"/>
      <c r="AQ578" s="673"/>
      <c r="AR578" s="673"/>
      <c r="AS578" s="673"/>
    </row>
    <row r="579">
      <c r="A579" s="653"/>
      <c r="B579" s="654"/>
      <c r="C579" s="655"/>
      <c r="D579" s="656"/>
      <c r="E579" s="657"/>
      <c r="F579" s="658"/>
      <c r="G579" s="659"/>
      <c r="H579" s="660"/>
      <c r="I579" s="659"/>
      <c r="J579" s="661"/>
      <c r="K579" s="658"/>
      <c r="L579" s="662"/>
      <c r="M579" s="663"/>
      <c r="N579" s="664"/>
      <c r="O579" s="665"/>
      <c r="P579" s="666"/>
      <c r="Q579" s="667"/>
      <c r="R579" s="668"/>
      <c r="S579" s="665"/>
      <c r="T579" s="669"/>
      <c r="U579" s="669"/>
      <c r="V579" s="665"/>
      <c r="W579" s="670"/>
      <c r="X579" s="670"/>
      <c r="Y579" s="671"/>
      <c r="Z579" s="671"/>
      <c r="AA579" s="672"/>
      <c r="AB579" s="673"/>
      <c r="AC579" s="673"/>
      <c r="AD579" s="673"/>
      <c r="AE579" s="673"/>
      <c r="AF579" s="673"/>
      <c r="AG579" s="673"/>
      <c r="AH579" s="673"/>
      <c r="AI579" s="673"/>
      <c r="AJ579" s="673"/>
      <c r="AK579" s="673"/>
      <c r="AL579" s="673"/>
      <c r="AM579" s="673"/>
      <c r="AN579" s="673"/>
      <c r="AO579" s="673"/>
      <c r="AP579" s="673"/>
      <c r="AQ579" s="673"/>
      <c r="AR579" s="673"/>
      <c r="AS579" s="673"/>
    </row>
    <row r="580">
      <c r="A580" s="653"/>
      <c r="B580" s="654"/>
      <c r="C580" s="655"/>
      <c r="D580" s="656"/>
      <c r="E580" s="657"/>
      <c r="F580" s="658"/>
      <c r="G580" s="659"/>
      <c r="H580" s="660"/>
      <c r="I580" s="659"/>
      <c r="J580" s="661"/>
      <c r="K580" s="658"/>
      <c r="L580" s="662"/>
      <c r="M580" s="663"/>
      <c r="N580" s="664"/>
      <c r="O580" s="665"/>
      <c r="P580" s="666"/>
      <c r="Q580" s="667"/>
      <c r="R580" s="668"/>
      <c r="S580" s="665"/>
      <c r="T580" s="669"/>
      <c r="U580" s="669"/>
      <c r="V580" s="665"/>
      <c r="W580" s="670"/>
      <c r="X580" s="670"/>
      <c r="Y580" s="671"/>
      <c r="Z580" s="671"/>
      <c r="AA580" s="672"/>
      <c r="AB580" s="673"/>
      <c r="AC580" s="673"/>
      <c r="AD580" s="673"/>
      <c r="AE580" s="673"/>
      <c r="AF580" s="673"/>
      <c r="AG580" s="673"/>
      <c r="AH580" s="673"/>
      <c r="AI580" s="673"/>
      <c r="AJ580" s="673"/>
      <c r="AK580" s="673"/>
      <c r="AL580" s="673"/>
      <c r="AM580" s="673"/>
      <c r="AN580" s="673"/>
      <c r="AO580" s="673"/>
      <c r="AP580" s="673"/>
      <c r="AQ580" s="673"/>
      <c r="AR580" s="673"/>
      <c r="AS580" s="673"/>
    </row>
    <row r="581">
      <c r="A581" s="653"/>
      <c r="B581" s="654"/>
      <c r="C581" s="655"/>
      <c r="D581" s="656"/>
      <c r="E581" s="657"/>
      <c r="F581" s="658"/>
      <c r="G581" s="659"/>
      <c r="H581" s="660"/>
      <c r="I581" s="659"/>
      <c r="J581" s="661"/>
      <c r="K581" s="658"/>
      <c r="L581" s="662"/>
      <c r="M581" s="663"/>
      <c r="N581" s="664"/>
      <c r="O581" s="665"/>
      <c r="P581" s="666"/>
      <c r="Q581" s="667"/>
      <c r="R581" s="668"/>
      <c r="S581" s="665"/>
      <c r="T581" s="669"/>
      <c r="U581" s="669"/>
      <c r="V581" s="665"/>
      <c r="W581" s="670"/>
      <c r="X581" s="670"/>
      <c r="Y581" s="671"/>
      <c r="Z581" s="671"/>
      <c r="AA581" s="672"/>
      <c r="AB581" s="673"/>
      <c r="AC581" s="673"/>
      <c r="AD581" s="673"/>
      <c r="AE581" s="673"/>
      <c r="AF581" s="673"/>
      <c r="AG581" s="673"/>
      <c r="AH581" s="673"/>
      <c r="AI581" s="673"/>
      <c r="AJ581" s="673"/>
      <c r="AK581" s="673"/>
      <c r="AL581" s="673"/>
      <c r="AM581" s="673"/>
      <c r="AN581" s="673"/>
      <c r="AO581" s="673"/>
      <c r="AP581" s="673"/>
      <c r="AQ581" s="673"/>
      <c r="AR581" s="673"/>
      <c r="AS581" s="673"/>
    </row>
    <row r="582">
      <c r="A582" s="653"/>
      <c r="B582" s="654"/>
      <c r="C582" s="655"/>
      <c r="D582" s="656"/>
      <c r="E582" s="657"/>
      <c r="F582" s="658"/>
      <c r="G582" s="659"/>
      <c r="H582" s="660"/>
      <c r="I582" s="659"/>
      <c r="J582" s="661"/>
      <c r="K582" s="658"/>
      <c r="L582" s="662"/>
      <c r="M582" s="663"/>
      <c r="N582" s="664"/>
      <c r="O582" s="665"/>
      <c r="P582" s="666"/>
      <c r="Q582" s="667"/>
      <c r="R582" s="668"/>
      <c r="S582" s="665"/>
      <c r="T582" s="669"/>
      <c r="U582" s="669"/>
      <c r="V582" s="665"/>
      <c r="W582" s="670"/>
      <c r="X582" s="670"/>
      <c r="Y582" s="671"/>
      <c r="Z582" s="671"/>
      <c r="AA582" s="672"/>
      <c r="AB582" s="673"/>
      <c r="AC582" s="673"/>
      <c r="AD582" s="673"/>
      <c r="AE582" s="673"/>
      <c r="AF582" s="673"/>
      <c r="AG582" s="673"/>
      <c r="AH582" s="673"/>
      <c r="AI582" s="673"/>
      <c r="AJ582" s="673"/>
      <c r="AK582" s="673"/>
      <c r="AL582" s="673"/>
      <c r="AM582" s="673"/>
      <c r="AN582" s="673"/>
      <c r="AO582" s="673"/>
      <c r="AP582" s="673"/>
      <c r="AQ582" s="673"/>
      <c r="AR582" s="673"/>
      <c r="AS582" s="673"/>
    </row>
    <row r="583">
      <c r="A583" s="653"/>
      <c r="B583" s="654"/>
      <c r="C583" s="655"/>
      <c r="D583" s="656"/>
      <c r="E583" s="657"/>
      <c r="F583" s="658"/>
      <c r="G583" s="659"/>
      <c r="H583" s="660"/>
      <c r="I583" s="659"/>
      <c r="J583" s="661"/>
      <c r="K583" s="658"/>
      <c r="L583" s="662"/>
      <c r="M583" s="663"/>
      <c r="N583" s="664"/>
      <c r="O583" s="665"/>
      <c r="P583" s="666"/>
      <c r="Q583" s="667"/>
      <c r="R583" s="668"/>
      <c r="S583" s="665"/>
      <c r="T583" s="669"/>
      <c r="U583" s="669"/>
      <c r="V583" s="665"/>
      <c r="W583" s="670"/>
      <c r="X583" s="670"/>
      <c r="Y583" s="671"/>
      <c r="Z583" s="671"/>
      <c r="AA583" s="672"/>
      <c r="AB583" s="673"/>
      <c r="AC583" s="673"/>
      <c r="AD583" s="673"/>
      <c r="AE583" s="673"/>
      <c r="AF583" s="673"/>
      <c r="AG583" s="673"/>
      <c r="AH583" s="673"/>
      <c r="AI583" s="673"/>
      <c r="AJ583" s="673"/>
      <c r="AK583" s="673"/>
      <c r="AL583" s="673"/>
      <c r="AM583" s="673"/>
      <c r="AN583" s="673"/>
      <c r="AO583" s="673"/>
      <c r="AP583" s="673"/>
      <c r="AQ583" s="673"/>
      <c r="AR583" s="673"/>
      <c r="AS583" s="673"/>
    </row>
    <row r="584">
      <c r="A584" s="653"/>
      <c r="B584" s="654"/>
      <c r="C584" s="655"/>
      <c r="D584" s="656"/>
      <c r="E584" s="657"/>
      <c r="F584" s="658"/>
      <c r="G584" s="659"/>
      <c r="H584" s="660"/>
      <c r="I584" s="659"/>
      <c r="J584" s="661"/>
      <c r="K584" s="658"/>
      <c r="L584" s="662"/>
      <c r="M584" s="663"/>
      <c r="N584" s="664"/>
      <c r="O584" s="665"/>
      <c r="P584" s="666"/>
      <c r="Q584" s="667"/>
      <c r="R584" s="668"/>
      <c r="S584" s="665"/>
      <c r="T584" s="669"/>
      <c r="U584" s="669"/>
      <c r="V584" s="665"/>
      <c r="W584" s="670"/>
      <c r="X584" s="670"/>
      <c r="Y584" s="671"/>
      <c r="Z584" s="671"/>
      <c r="AA584" s="672"/>
      <c r="AB584" s="673"/>
      <c r="AC584" s="673"/>
      <c r="AD584" s="673"/>
      <c r="AE584" s="673"/>
      <c r="AF584" s="673"/>
      <c r="AG584" s="673"/>
      <c r="AH584" s="673"/>
      <c r="AI584" s="673"/>
      <c r="AJ584" s="673"/>
      <c r="AK584" s="673"/>
      <c r="AL584" s="673"/>
      <c r="AM584" s="673"/>
      <c r="AN584" s="673"/>
      <c r="AO584" s="673"/>
      <c r="AP584" s="673"/>
      <c r="AQ584" s="673"/>
      <c r="AR584" s="673"/>
      <c r="AS584" s="673"/>
    </row>
    <row r="585">
      <c r="A585" s="653"/>
      <c r="B585" s="654"/>
      <c r="C585" s="655"/>
      <c r="D585" s="656"/>
      <c r="E585" s="657"/>
      <c r="F585" s="658"/>
      <c r="G585" s="659"/>
      <c r="H585" s="660"/>
      <c r="I585" s="659"/>
      <c r="J585" s="661"/>
      <c r="K585" s="658"/>
      <c r="L585" s="662"/>
      <c r="M585" s="663"/>
      <c r="N585" s="664"/>
      <c r="O585" s="665"/>
      <c r="P585" s="666"/>
      <c r="Q585" s="667"/>
      <c r="R585" s="668"/>
      <c r="S585" s="665"/>
      <c r="T585" s="669"/>
      <c r="U585" s="669"/>
      <c r="V585" s="665"/>
      <c r="W585" s="670"/>
      <c r="X585" s="670"/>
      <c r="Y585" s="671"/>
      <c r="Z585" s="671"/>
      <c r="AA585" s="672"/>
      <c r="AB585" s="673"/>
      <c r="AC585" s="673"/>
      <c r="AD585" s="673"/>
      <c r="AE585" s="673"/>
      <c r="AF585" s="673"/>
      <c r="AG585" s="673"/>
      <c r="AH585" s="673"/>
      <c r="AI585" s="673"/>
      <c r="AJ585" s="673"/>
      <c r="AK585" s="673"/>
      <c r="AL585" s="673"/>
      <c r="AM585" s="673"/>
      <c r="AN585" s="673"/>
      <c r="AO585" s="673"/>
      <c r="AP585" s="673"/>
      <c r="AQ585" s="673"/>
      <c r="AR585" s="673"/>
      <c r="AS585" s="673"/>
    </row>
    <row r="586">
      <c r="A586" s="653"/>
      <c r="B586" s="654"/>
      <c r="C586" s="655"/>
      <c r="D586" s="656"/>
      <c r="E586" s="657"/>
      <c r="F586" s="658"/>
      <c r="G586" s="659"/>
      <c r="H586" s="660"/>
      <c r="I586" s="659"/>
      <c r="J586" s="661"/>
      <c r="K586" s="658"/>
      <c r="L586" s="662"/>
      <c r="M586" s="663"/>
      <c r="N586" s="664"/>
      <c r="O586" s="665"/>
      <c r="P586" s="666"/>
      <c r="Q586" s="667"/>
      <c r="R586" s="668"/>
      <c r="S586" s="665"/>
      <c r="T586" s="669"/>
      <c r="U586" s="669"/>
      <c r="V586" s="665"/>
      <c r="W586" s="670"/>
      <c r="X586" s="670"/>
      <c r="Y586" s="671"/>
      <c r="Z586" s="671"/>
      <c r="AA586" s="672"/>
      <c r="AB586" s="673"/>
      <c r="AC586" s="673"/>
      <c r="AD586" s="673"/>
      <c r="AE586" s="673"/>
      <c r="AF586" s="673"/>
      <c r="AG586" s="673"/>
      <c r="AH586" s="673"/>
      <c r="AI586" s="673"/>
      <c r="AJ586" s="673"/>
      <c r="AK586" s="673"/>
      <c r="AL586" s="673"/>
      <c r="AM586" s="673"/>
      <c r="AN586" s="673"/>
      <c r="AO586" s="673"/>
      <c r="AP586" s="673"/>
      <c r="AQ586" s="673"/>
      <c r="AR586" s="673"/>
      <c r="AS586" s="673"/>
    </row>
    <row r="587">
      <c r="A587" s="653"/>
      <c r="B587" s="654"/>
      <c r="C587" s="655"/>
      <c r="D587" s="656"/>
      <c r="E587" s="657"/>
      <c r="F587" s="658"/>
      <c r="G587" s="659"/>
      <c r="H587" s="660"/>
      <c r="I587" s="659"/>
      <c r="J587" s="661"/>
      <c r="K587" s="658"/>
      <c r="L587" s="662"/>
      <c r="M587" s="663"/>
      <c r="N587" s="664"/>
      <c r="O587" s="665"/>
      <c r="P587" s="666"/>
      <c r="Q587" s="667"/>
      <c r="R587" s="668"/>
      <c r="S587" s="665"/>
      <c r="T587" s="669"/>
      <c r="U587" s="669"/>
      <c r="V587" s="665"/>
      <c r="W587" s="670"/>
      <c r="X587" s="670"/>
      <c r="Y587" s="671"/>
      <c r="Z587" s="671"/>
      <c r="AA587" s="672"/>
      <c r="AB587" s="673"/>
      <c r="AC587" s="673"/>
      <c r="AD587" s="673"/>
      <c r="AE587" s="673"/>
      <c r="AF587" s="673"/>
      <c r="AG587" s="673"/>
      <c r="AH587" s="673"/>
      <c r="AI587" s="673"/>
      <c r="AJ587" s="673"/>
      <c r="AK587" s="673"/>
      <c r="AL587" s="673"/>
      <c r="AM587" s="673"/>
      <c r="AN587" s="673"/>
      <c r="AO587" s="673"/>
      <c r="AP587" s="673"/>
      <c r="AQ587" s="673"/>
      <c r="AR587" s="673"/>
      <c r="AS587" s="673"/>
    </row>
    <row r="588">
      <c r="A588" s="653"/>
      <c r="B588" s="654"/>
      <c r="C588" s="655"/>
      <c r="D588" s="656"/>
      <c r="E588" s="657"/>
      <c r="F588" s="658"/>
      <c r="G588" s="659"/>
      <c r="H588" s="660"/>
      <c r="I588" s="659"/>
      <c r="J588" s="661"/>
      <c r="K588" s="658"/>
      <c r="L588" s="662"/>
      <c r="M588" s="663"/>
      <c r="N588" s="664"/>
      <c r="O588" s="665"/>
      <c r="P588" s="666"/>
      <c r="Q588" s="667"/>
      <c r="R588" s="668"/>
      <c r="S588" s="665"/>
      <c r="T588" s="669"/>
      <c r="U588" s="669"/>
      <c r="V588" s="665"/>
      <c r="W588" s="670"/>
      <c r="X588" s="670"/>
      <c r="Y588" s="671"/>
      <c r="Z588" s="671"/>
      <c r="AA588" s="672"/>
      <c r="AB588" s="673"/>
      <c r="AC588" s="673"/>
      <c r="AD588" s="673"/>
      <c r="AE588" s="673"/>
      <c r="AF588" s="673"/>
      <c r="AG588" s="673"/>
      <c r="AH588" s="673"/>
      <c r="AI588" s="673"/>
      <c r="AJ588" s="673"/>
      <c r="AK588" s="673"/>
      <c r="AL588" s="673"/>
      <c r="AM588" s="673"/>
      <c r="AN588" s="673"/>
      <c r="AO588" s="673"/>
      <c r="AP588" s="673"/>
      <c r="AQ588" s="673"/>
      <c r="AR588" s="673"/>
      <c r="AS588" s="673"/>
    </row>
    <row r="589">
      <c r="A589" s="653"/>
      <c r="B589" s="654"/>
      <c r="C589" s="655"/>
      <c r="D589" s="656"/>
      <c r="E589" s="657"/>
      <c r="F589" s="658"/>
      <c r="G589" s="659"/>
      <c r="H589" s="660"/>
      <c r="I589" s="659"/>
      <c r="J589" s="661"/>
      <c r="K589" s="658"/>
      <c r="L589" s="662"/>
      <c r="M589" s="663"/>
      <c r="N589" s="664"/>
      <c r="O589" s="665"/>
      <c r="P589" s="666"/>
      <c r="Q589" s="667"/>
      <c r="R589" s="668"/>
      <c r="S589" s="665"/>
      <c r="T589" s="669"/>
      <c r="U589" s="669"/>
      <c r="V589" s="665"/>
      <c r="W589" s="670"/>
      <c r="X589" s="670"/>
      <c r="Y589" s="671"/>
      <c r="Z589" s="671"/>
      <c r="AA589" s="672"/>
      <c r="AB589" s="673"/>
      <c r="AC589" s="673"/>
      <c r="AD589" s="673"/>
      <c r="AE589" s="673"/>
      <c r="AF589" s="673"/>
      <c r="AG589" s="673"/>
      <c r="AH589" s="673"/>
      <c r="AI589" s="673"/>
      <c r="AJ589" s="673"/>
      <c r="AK589" s="673"/>
      <c r="AL589" s="673"/>
      <c r="AM589" s="673"/>
      <c r="AN589" s="673"/>
      <c r="AO589" s="673"/>
      <c r="AP589" s="673"/>
      <c r="AQ589" s="673"/>
      <c r="AR589" s="673"/>
      <c r="AS589" s="673"/>
    </row>
    <row r="590">
      <c r="A590" s="653"/>
      <c r="B590" s="654"/>
      <c r="C590" s="655"/>
      <c r="D590" s="656"/>
      <c r="E590" s="657"/>
      <c r="F590" s="658"/>
      <c r="G590" s="659"/>
      <c r="H590" s="660"/>
      <c r="I590" s="659"/>
      <c r="J590" s="661"/>
      <c r="K590" s="658"/>
      <c r="L590" s="662"/>
      <c r="M590" s="663"/>
      <c r="N590" s="664"/>
      <c r="O590" s="665"/>
      <c r="P590" s="666"/>
      <c r="Q590" s="667"/>
      <c r="R590" s="668"/>
      <c r="S590" s="665"/>
      <c r="T590" s="669"/>
      <c r="U590" s="669"/>
      <c r="V590" s="665"/>
      <c r="W590" s="670"/>
      <c r="X590" s="670"/>
      <c r="Y590" s="671"/>
      <c r="Z590" s="671"/>
      <c r="AA590" s="672"/>
      <c r="AB590" s="673"/>
      <c r="AC590" s="673"/>
      <c r="AD590" s="673"/>
      <c r="AE590" s="673"/>
      <c r="AF590" s="673"/>
      <c r="AG590" s="673"/>
      <c r="AH590" s="673"/>
      <c r="AI590" s="673"/>
      <c r="AJ590" s="673"/>
      <c r="AK590" s="673"/>
      <c r="AL590" s="673"/>
      <c r="AM590" s="673"/>
      <c r="AN590" s="673"/>
      <c r="AO590" s="673"/>
      <c r="AP590" s="673"/>
      <c r="AQ590" s="673"/>
      <c r="AR590" s="673"/>
      <c r="AS590" s="673"/>
    </row>
    <row r="591">
      <c r="A591" s="653"/>
      <c r="B591" s="654"/>
      <c r="C591" s="655"/>
      <c r="D591" s="656"/>
      <c r="E591" s="657"/>
      <c r="F591" s="658"/>
      <c r="G591" s="659"/>
      <c r="H591" s="660"/>
      <c r="I591" s="659"/>
      <c r="J591" s="661"/>
      <c r="K591" s="658"/>
      <c r="L591" s="662"/>
      <c r="M591" s="663"/>
      <c r="N591" s="664"/>
      <c r="O591" s="665"/>
      <c r="P591" s="666"/>
      <c r="Q591" s="667"/>
      <c r="R591" s="668"/>
      <c r="S591" s="665"/>
      <c r="T591" s="669"/>
      <c r="U591" s="669"/>
      <c r="V591" s="665"/>
      <c r="W591" s="670"/>
      <c r="X591" s="670"/>
      <c r="Y591" s="671"/>
      <c r="Z591" s="671"/>
      <c r="AA591" s="672"/>
      <c r="AB591" s="673"/>
      <c r="AC591" s="673"/>
      <c r="AD591" s="673"/>
      <c r="AE591" s="673"/>
      <c r="AF591" s="673"/>
      <c r="AG591" s="673"/>
      <c r="AH591" s="673"/>
      <c r="AI591" s="673"/>
      <c r="AJ591" s="673"/>
      <c r="AK591" s="673"/>
      <c r="AL591" s="673"/>
      <c r="AM591" s="673"/>
      <c r="AN591" s="673"/>
      <c r="AO591" s="673"/>
      <c r="AP591" s="673"/>
      <c r="AQ591" s="673"/>
      <c r="AR591" s="673"/>
      <c r="AS591" s="673"/>
    </row>
    <row r="592">
      <c r="A592" s="653"/>
      <c r="B592" s="654"/>
      <c r="C592" s="655"/>
      <c r="D592" s="656"/>
      <c r="E592" s="657"/>
      <c r="F592" s="658"/>
      <c r="G592" s="659"/>
      <c r="H592" s="660"/>
      <c r="I592" s="659"/>
      <c r="J592" s="661"/>
      <c r="K592" s="658"/>
      <c r="L592" s="662"/>
      <c r="M592" s="663"/>
      <c r="N592" s="664"/>
      <c r="O592" s="665"/>
      <c r="P592" s="666"/>
      <c r="Q592" s="667"/>
      <c r="R592" s="668"/>
      <c r="S592" s="665"/>
      <c r="T592" s="669"/>
      <c r="U592" s="669"/>
      <c r="V592" s="665"/>
      <c r="W592" s="670"/>
      <c r="X592" s="670"/>
      <c r="Y592" s="671"/>
      <c r="Z592" s="671"/>
      <c r="AA592" s="672"/>
      <c r="AB592" s="673"/>
      <c r="AC592" s="673"/>
      <c r="AD592" s="673"/>
      <c r="AE592" s="673"/>
      <c r="AF592" s="673"/>
      <c r="AG592" s="673"/>
      <c r="AH592" s="673"/>
      <c r="AI592" s="673"/>
      <c r="AJ592" s="673"/>
      <c r="AK592" s="673"/>
      <c r="AL592" s="673"/>
      <c r="AM592" s="673"/>
      <c r="AN592" s="673"/>
      <c r="AO592" s="673"/>
      <c r="AP592" s="673"/>
      <c r="AQ592" s="673"/>
      <c r="AR592" s="673"/>
      <c r="AS592" s="673"/>
    </row>
    <row r="593">
      <c r="A593" s="653"/>
      <c r="B593" s="654"/>
      <c r="C593" s="655"/>
      <c r="D593" s="656"/>
      <c r="E593" s="657"/>
      <c r="F593" s="658"/>
      <c r="G593" s="659"/>
      <c r="H593" s="660"/>
      <c r="I593" s="659"/>
      <c r="J593" s="661"/>
      <c r="K593" s="658"/>
      <c r="L593" s="662"/>
      <c r="M593" s="663"/>
      <c r="N593" s="664"/>
      <c r="O593" s="665"/>
      <c r="P593" s="666"/>
      <c r="Q593" s="667"/>
      <c r="R593" s="668"/>
      <c r="S593" s="665"/>
      <c r="T593" s="669"/>
      <c r="U593" s="669"/>
      <c r="V593" s="665"/>
      <c r="W593" s="670"/>
      <c r="X593" s="670"/>
      <c r="Y593" s="671"/>
      <c r="Z593" s="671"/>
      <c r="AA593" s="672"/>
      <c r="AB593" s="673"/>
      <c r="AC593" s="673"/>
      <c r="AD593" s="673"/>
      <c r="AE593" s="673"/>
      <c r="AF593" s="673"/>
      <c r="AG593" s="673"/>
      <c r="AH593" s="673"/>
      <c r="AI593" s="673"/>
      <c r="AJ593" s="673"/>
      <c r="AK593" s="673"/>
      <c r="AL593" s="673"/>
      <c r="AM593" s="673"/>
      <c r="AN593" s="673"/>
      <c r="AO593" s="673"/>
      <c r="AP593" s="673"/>
      <c r="AQ593" s="673"/>
      <c r="AR593" s="673"/>
      <c r="AS593" s="673"/>
    </row>
    <row r="594">
      <c r="A594" s="653"/>
      <c r="B594" s="654"/>
      <c r="C594" s="655"/>
      <c r="D594" s="656"/>
      <c r="E594" s="657"/>
      <c r="F594" s="658"/>
      <c r="G594" s="659"/>
      <c r="H594" s="660"/>
      <c r="I594" s="659"/>
      <c r="J594" s="661"/>
      <c r="K594" s="658"/>
      <c r="L594" s="662"/>
      <c r="M594" s="663"/>
      <c r="N594" s="664"/>
      <c r="O594" s="665"/>
      <c r="P594" s="666"/>
      <c r="Q594" s="667"/>
      <c r="R594" s="668"/>
      <c r="S594" s="665"/>
      <c r="T594" s="669"/>
      <c r="U594" s="669"/>
      <c r="V594" s="665"/>
      <c r="W594" s="670"/>
      <c r="X594" s="670"/>
      <c r="Y594" s="671"/>
      <c r="Z594" s="671"/>
      <c r="AA594" s="672"/>
      <c r="AB594" s="673"/>
      <c r="AC594" s="673"/>
      <c r="AD594" s="673"/>
      <c r="AE594" s="673"/>
      <c r="AF594" s="673"/>
      <c r="AG594" s="673"/>
      <c r="AH594" s="673"/>
      <c r="AI594" s="673"/>
      <c r="AJ594" s="673"/>
      <c r="AK594" s="673"/>
      <c r="AL594" s="673"/>
      <c r="AM594" s="673"/>
      <c r="AN594" s="673"/>
      <c r="AO594" s="673"/>
      <c r="AP594" s="673"/>
      <c r="AQ594" s="673"/>
      <c r="AR594" s="673"/>
      <c r="AS594" s="673"/>
    </row>
    <row r="595">
      <c r="A595" s="653"/>
      <c r="B595" s="654"/>
      <c r="C595" s="655"/>
      <c r="D595" s="656"/>
      <c r="E595" s="657"/>
      <c r="F595" s="658"/>
      <c r="G595" s="659"/>
      <c r="H595" s="660"/>
      <c r="I595" s="659"/>
      <c r="J595" s="661"/>
      <c r="K595" s="658"/>
      <c r="L595" s="662"/>
      <c r="M595" s="663"/>
      <c r="N595" s="664"/>
      <c r="O595" s="665"/>
      <c r="P595" s="666"/>
      <c r="Q595" s="667"/>
      <c r="R595" s="668"/>
      <c r="S595" s="665"/>
      <c r="T595" s="669"/>
      <c r="U595" s="669"/>
      <c r="V595" s="665"/>
      <c r="W595" s="670"/>
      <c r="X595" s="670"/>
      <c r="Y595" s="671"/>
      <c r="Z595" s="671"/>
      <c r="AA595" s="672"/>
      <c r="AB595" s="673"/>
      <c r="AC595" s="673"/>
      <c r="AD595" s="673"/>
      <c r="AE595" s="673"/>
      <c r="AF595" s="673"/>
      <c r="AG595" s="673"/>
      <c r="AH595" s="673"/>
      <c r="AI595" s="673"/>
      <c r="AJ595" s="673"/>
      <c r="AK595" s="673"/>
      <c r="AL595" s="673"/>
      <c r="AM595" s="673"/>
      <c r="AN595" s="673"/>
      <c r="AO595" s="673"/>
      <c r="AP595" s="673"/>
      <c r="AQ595" s="673"/>
      <c r="AR595" s="673"/>
      <c r="AS595" s="673"/>
    </row>
    <row r="596">
      <c r="A596" s="653"/>
      <c r="B596" s="654"/>
      <c r="C596" s="655"/>
      <c r="D596" s="656"/>
      <c r="E596" s="657"/>
      <c r="F596" s="658"/>
      <c r="G596" s="659"/>
      <c r="H596" s="660"/>
      <c r="I596" s="659"/>
      <c r="J596" s="661"/>
      <c r="K596" s="658"/>
      <c r="L596" s="662"/>
      <c r="M596" s="663"/>
      <c r="N596" s="664"/>
      <c r="O596" s="665"/>
      <c r="P596" s="666"/>
      <c r="Q596" s="667"/>
      <c r="R596" s="668"/>
      <c r="S596" s="665"/>
      <c r="T596" s="669"/>
      <c r="U596" s="669"/>
      <c r="V596" s="665"/>
      <c r="W596" s="670"/>
      <c r="X596" s="670"/>
      <c r="Y596" s="671"/>
      <c r="Z596" s="671"/>
      <c r="AA596" s="672"/>
      <c r="AB596" s="673"/>
      <c r="AC596" s="673"/>
      <c r="AD596" s="673"/>
      <c r="AE596" s="673"/>
      <c r="AF596" s="673"/>
      <c r="AG596" s="673"/>
      <c r="AH596" s="673"/>
      <c r="AI596" s="673"/>
      <c r="AJ596" s="673"/>
      <c r="AK596" s="673"/>
      <c r="AL596" s="673"/>
      <c r="AM596" s="673"/>
      <c r="AN596" s="673"/>
      <c r="AO596" s="673"/>
      <c r="AP596" s="673"/>
      <c r="AQ596" s="673"/>
      <c r="AR596" s="673"/>
      <c r="AS596" s="673"/>
    </row>
    <row r="597">
      <c r="A597" s="653"/>
      <c r="B597" s="654"/>
      <c r="C597" s="655"/>
      <c r="D597" s="656"/>
      <c r="E597" s="657"/>
      <c r="F597" s="658"/>
      <c r="G597" s="659"/>
      <c r="H597" s="660"/>
      <c r="I597" s="659"/>
      <c r="J597" s="661"/>
      <c r="K597" s="658"/>
      <c r="L597" s="662"/>
      <c r="M597" s="663"/>
      <c r="N597" s="664"/>
      <c r="O597" s="665"/>
      <c r="P597" s="666"/>
      <c r="Q597" s="667"/>
      <c r="R597" s="668"/>
      <c r="S597" s="665"/>
      <c r="T597" s="669"/>
      <c r="U597" s="669"/>
      <c r="V597" s="665"/>
      <c r="W597" s="670"/>
      <c r="X597" s="670"/>
      <c r="Y597" s="671"/>
      <c r="Z597" s="671"/>
      <c r="AA597" s="672"/>
      <c r="AB597" s="673"/>
      <c r="AC597" s="673"/>
      <c r="AD597" s="673"/>
      <c r="AE597" s="673"/>
      <c r="AF597" s="673"/>
      <c r="AG597" s="673"/>
      <c r="AH597" s="673"/>
      <c r="AI597" s="673"/>
      <c r="AJ597" s="673"/>
      <c r="AK597" s="673"/>
      <c r="AL597" s="673"/>
      <c r="AM597" s="673"/>
      <c r="AN597" s="673"/>
      <c r="AO597" s="673"/>
      <c r="AP597" s="673"/>
      <c r="AQ597" s="673"/>
      <c r="AR597" s="673"/>
      <c r="AS597" s="673"/>
    </row>
    <row r="598">
      <c r="A598" s="653"/>
      <c r="B598" s="654"/>
      <c r="C598" s="655"/>
      <c r="D598" s="656"/>
      <c r="E598" s="657"/>
      <c r="F598" s="658"/>
      <c r="G598" s="659"/>
      <c r="H598" s="660"/>
      <c r="I598" s="659"/>
      <c r="J598" s="661"/>
      <c r="K598" s="658"/>
      <c r="L598" s="662"/>
      <c r="M598" s="663"/>
      <c r="N598" s="664"/>
      <c r="O598" s="665"/>
      <c r="P598" s="666"/>
      <c r="Q598" s="667"/>
      <c r="R598" s="668"/>
      <c r="S598" s="665"/>
      <c r="T598" s="669"/>
      <c r="U598" s="669"/>
      <c r="V598" s="665"/>
      <c r="W598" s="670"/>
      <c r="X598" s="670"/>
      <c r="Y598" s="671"/>
      <c r="Z598" s="671"/>
      <c r="AA598" s="672"/>
      <c r="AB598" s="673"/>
      <c r="AC598" s="673"/>
      <c r="AD598" s="673"/>
      <c r="AE598" s="673"/>
      <c r="AF598" s="673"/>
      <c r="AG598" s="673"/>
      <c r="AH598" s="673"/>
      <c r="AI598" s="673"/>
      <c r="AJ598" s="673"/>
      <c r="AK598" s="673"/>
      <c r="AL598" s="673"/>
      <c r="AM598" s="673"/>
      <c r="AN598" s="673"/>
      <c r="AO598" s="673"/>
      <c r="AP598" s="673"/>
      <c r="AQ598" s="673"/>
      <c r="AR598" s="673"/>
      <c r="AS598" s="673"/>
    </row>
    <row r="599">
      <c r="A599" s="653"/>
      <c r="B599" s="654"/>
      <c r="C599" s="655"/>
      <c r="D599" s="656"/>
      <c r="E599" s="657"/>
      <c r="F599" s="658"/>
      <c r="G599" s="659"/>
      <c r="H599" s="660"/>
      <c r="I599" s="659"/>
      <c r="J599" s="661"/>
      <c r="K599" s="658"/>
      <c r="L599" s="662"/>
      <c r="M599" s="663"/>
      <c r="N599" s="664"/>
      <c r="O599" s="665"/>
      <c r="P599" s="666"/>
      <c r="Q599" s="667"/>
      <c r="R599" s="668"/>
      <c r="S599" s="665"/>
      <c r="T599" s="669"/>
      <c r="U599" s="669"/>
      <c r="V599" s="665"/>
      <c r="W599" s="670"/>
      <c r="X599" s="670"/>
      <c r="Y599" s="671"/>
      <c r="Z599" s="671"/>
      <c r="AA599" s="672"/>
      <c r="AB599" s="673"/>
      <c r="AC599" s="673"/>
      <c r="AD599" s="673"/>
      <c r="AE599" s="673"/>
      <c r="AF599" s="673"/>
      <c r="AG599" s="673"/>
      <c r="AH599" s="673"/>
      <c r="AI599" s="673"/>
      <c r="AJ599" s="673"/>
      <c r="AK599" s="673"/>
      <c r="AL599" s="673"/>
      <c r="AM599" s="673"/>
      <c r="AN599" s="673"/>
      <c r="AO599" s="673"/>
      <c r="AP599" s="673"/>
      <c r="AQ599" s="673"/>
      <c r="AR599" s="673"/>
      <c r="AS599" s="673"/>
    </row>
    <row r="600">
      <c r="A600" s="653"/>
      <c r="B600" s="654"/>
      <c r="C600" s="655"/>
      <c r="D600" s="656"/>
      <c r="E600" s="657"/>
      <c r="F600" s="658"/>
      <c r="G600" s="659"/>
      <c r="H600" s="660"/>
      <c r="I600" s="659"/>
      <c r="J600" s="661"/>
      <c r="K600" s="658"/>
      <c r="L600" s="662"/>
      <c r="M600" s="663"/>
      <c r="N600" s="664"/>
      <c r="O600" s="665"/>
      <c r="P600" s="666"/>
      <c r="Q600" s="667"/>
      <c r="R600" s="668"/>
      <c r="S600" s="665"/>
      <c r="T600" s="669"/>
      <c r="U600" s="669"/>
      <c r="V600" s="665"/>
      <c r="W600" s="670"/>
      <c r="X600" s="670"/>
      <c r="Y600" s="671"/>
      <c r="Z600" s="671"/>
      <c r="AA600" s="672"/>
      <c r="AB600" s="673"/>
      <c r="AC600" s="673"/>
      <c r="AD600" s="673"/>
      <c r="AE600" s="673"/>
      <c r="AF600" s="673"/>
      <c r="AG600" s="673"/>
      <c r="AH600" s="673"/>
      <c r="AI600" s="673"/>
      <c r="AJ600" s="673"/>
      <c r="AK600" s="673"/>
      <c r="AL600" s="673"/>
      <c r="AM600" s="673"/>
      <c r="AN600" s="673"/>
      <c r="AO600" s="673"/>
      <c r="AP600" s="673"/>
      <c r="AQ600" s="673"/>
      <c r="AR600" s="673"/>
      <c r="AS600" s="673"/>
    </row>
    <row r="601">
      <c r="A601" s="653"/>
      <c r="B601" s="654"/>
      <c r="C601" s="655"/>
      <c r="D601" s="656"/>
      <c r="E601" s="657"/>
      <c r="F601" s="658"/>
      <c r="G601" s="659"/>
      <c r="H601" s="660"/>
      <c r="I601" s="659"/>
      <c r="J601" s="661"/>
      <c r="K601" s="658"/>
      <c r="L601" s="662"/>
      <c r="M601" s="663"/>
      <c r="N601" s="664"/>
      <c r="O601" s="665"/>
      <c r="P601" s="666"/>
      <c r="Q601" s="667"/>
      <c r="R601" s="668"/>
      <c r="S601" s="665"/>
      <c r="T601" s="669"/>
      <c r="U601" s="669"/>
      <c r="V601" s="665"/>
      <c r="W601" s="670"/>
      <c r="X601" s="670"/>
      <c r="Y601" s="671"/>
      <c r="Z601" s="671"/>
      <c r="AA601" s="672"/>
      <c r="AB601" s="673"/>
      <c r="AC601" s="673"/>
      <c r="AD601" s="673"/>
      <c r="AE601" s="673"/>
      <c r="AF601" s="673"/>
      <c r="AG601" s="673"/>
      <c r="AH601" s="673"/>
      <c r="AI601" s="673"/>
      <c r="AJ601" s="673"/>
      <c r="AK601" s="673"/>
      <c r="AL601" s="673"/>
      <c r="AM601" s="673"/>
      <c r="AN601" s="673"/>
      <c r="AO601" s="673"/>
      <c r="AP601" s="673"/>
      <c r="AQ601" s="673"/>
      <c r="AR601" s="673"/>
      <c r="AS601" s="673"/>
    </row>
    <row r="602">
      <c r="A602" s="653"/>
      <c r="B602" s="654"/>
      <c r="C602" s="655"/>
      <c r="D602" s="656"/>
      <c r="E602" s="657"/>
      <c r="F602" s="658"/>
      <c r="G602" s="659"/>
      <c r="H602" s="660"/>
      <c r="I602" s="659"/>
      <c r="J602" s="661"/>
      <c r="K602" s="658"/>
      <c r="L602" s="662"/>
      <c r="M602" s="663"/>
      <c r="N602" s="664"/>
      <c r="O602" s="665"/>
      <c r="P602" s="666"/>
      <c r="Q602" s="667"/>
      <c r="R602" s="668"/>
      <c r="S602" s="665"/>
      <c r="T602" s="669"/>
      <c r="U602" s="669"/>
      <c r="V602" s="665"/>
      <c r="W602" s="670"/>
      <c r="X602" s="670"/>
      <c r="Y602" s="671"/>
      <c r="Z602" s="671"/>
      <c r="AA602" s="672"/>
      <c r="AB602" s="673"/>
      <c r="AC602" s="673"/>
      <c r="AD602" s="673"/>
      <c r="AE602" s="673"/>
      <c r="AF602" s="673"/>
      <c r="AG602" s="673"/>
      <c r="AH602" s="673"/>
      <c r="AI602" s="673"/>
      <c r="AJ602" s="673"/>
      <c r="AK602" s="673"/>
      <c r="AL602" s="673"/>
      <c r="AM602" s="673"/>
      <c r="AN602" s="673"/>
      <c r="AO602" s="673"/>
      <c r="AP602" s="673"/>
      <c r="AQ602" s="673"/>
      <c r="AR602" s="673"/>
      <c r="AS602" s="673"/>
    </row>
    <row r="603">
      <c r="A603" s="653"/>
      <c r="B603" s="654"/>
      <c r="C603" s="655"/>
      <c r="D603" s="656"/>
      <c r="E603" s="657"/>
      <c r="F603" s="658"/>
      <c r="G603" s="659"/>
      <c r="H603" s="660"/>
      <c r="I603" s="659"/>
      <c r="J603" s="661"/>
      <c r="K603" s="658"/>
      <c r="L603" s="662"/>
      <c r="M603" s="663"/>
      <c r="N603" s="664"/>
      <c r="O603" s="665"/>
      <c r="P603" s="666"/>
      <c r="Q603" s="667"/>
      <c r="R603" s="668"/>
      <c r="S603" s="665"/>
      <c r="T603" s="669"/>
      <c r="U603" s="669"/>
      <c r="V603" s="665"/>
      <c r="W603" s="670"/>
      <c r="X603" s="670"/>
      <c r="Y603" s="671"/>
      <c r="Z603" s="671"/>
      <c r="AA603" s="672"/>
      <c r="AB603" s="673"/>
      <c r="AC603" s="673"/>
      <c r="AD603" s="673"/>
      <c r="AE603" s="673"/>
      <c r="AF603" s="673"/>
      <c r="AG603" s="673"/>
      <c r="AH603" s="673"/>
      <c r="AI603" s="673"/>
      <c r="AJ603" s="673"/>
      <c r="AK603" s="673"/>
      <c r="AL603" s="673"/>
      <c r="AM603" s="673"/>
      <c r="AN603" s="673"/>
      <c r="AO603" s="673"/>
      <c r="AP603" s="673"/>
      <c r="AQ603" s="673"/>
      <c r="AR603" s="673"/>
      <c r="AS603" s="673"/>
    </row>
    <row r="604">
      <c r="A604" s="653"/>
      <c r="B604" s="654"/>
      <c r="C604" s="655"/>
      <c r="D604" s="656"/>
      <c r="E604" s="657"/>
      <c r="F604" s="658"/>
      <c r="G604" s="659"/>
      <c r="H604" s="660"/>
      <c r="I604" s="659"/>
      <c r="J604" s="661"/>
      <c r="K604" s="658"/>
      <c r="L604" s="662"/>
      <c r="M604" s="663"/>
      <c r="N604" s="664"/>
      <c r="O604" s="665"/>
      <c r="P604" s="666"/>
      <c r="Q604" s="667"/>
      <c r="R604" s="668"/>
      <c r="S604" s="665"/>
      <c r="T604" s="669"/>
      <c r="U604" s="669"/>
      <c r="V604" s="665"/>
      <c r="W604" s="670"/>
      <c r="X604" s="670"/>
      <c r="Y604" s="671"/>
      <c r="Z604" s="671"/>
      <c r="AA604" s="672"/>
      <c r="AB604" s="673"/>
      <c r="AC604" s="673"/>
      <c r="AD604" s="673"/>
      <c r="AE604" s="673"/>
      <c r="AF604" s="673"/>
      <c r="AG604" s="673"/>
      <c r="AH604" s="673"/>
      <c r="AI604" s="673"/>
      <c r="AJ604" s="673"/>
      <c r="AK604" s="673"/>
      <c r="AL604" s="673"/>
      <c r="AM604" s="673"/>
      <c r="AN604" s="673"/>
      <c r="AO604" s="673"/>
      <c r="AP604" s="673"/>
      <c r="AQ604" s="673"/>
      <c r="AR604" s="673"/>
      <c r="AS604" s="673"/>
    </row>
    <row r="605">
      <c r="A605" s="653"/>
      <c r="B605" s="654"/>
      <c r="C605" s="655"/>
      <c r="D605" s="656"/>
      <c r="E605" s="657"/>
      <c r="F605" s="658"/>
      <c r="G605" s="659"/>
      <c r="H605" s="660"/>
      <c r="I605" s="659"/>
      <c r="J605" s="661"/>
      <c r="K605" s="658"/>
      <c r="L605" s="662"/>
      <c r="M605" s="663"/>
      <c r="N605" s="664"/>
      <c r="O605" s="665"/>
      <c r="P605" s="666"/>
      <c r="Q605" s="667"/>
      <c r="R605" s="668"/>
      <c r="S605" s="665"/>
      <c r="T605" s="669"/>
      <c r="U605" s="669"/>
      <c r="V605" s="665"/>
      <c r="W605" s="670"/>
      <c r="X605" s="670"/>
      <c r="Y605" s="671"/>
      <c r="Z605" s="671"/>
      <c r="AA605" s="672"/>
      <c r="AB605" s="673"/>
      <c r="AC605" s="673"/>
      <c r="AD605" s="673"/>
      <c r="AE605" s="673"/>
      <c r="AF605" s="673"/>
      <c r="AG605" s="673"/>
      <c r="AH605" s="673"/>
      <c r="AI605" s="673"/>
      <c r="AJ605" s="673"/>
      <c r="AK605" s="673"/>
      <c r="AL605" s="673"/>
      <c r="AM605" s="673"/>
      <c r="AN605" s="673"/>
      <c r="AO605" s="673"/>
      <c r="AP605" s="673"/>
      <c r="AQ605" s="673"/>
      <c r="AR605" s="673"/>
      <c r="AS605" s="673"/>
    </row>
    <row r="606">
      <c r="A606" s="653"/>
      <c r="B606" s="654"/>
      <c r="C606" s="655"/>
      <c r="D606" s="656"/>
      <c r="E606" s="657"/>
      <c r="F606" s="658"/>
      <c r="G606" s="659"/>
      <c r="H606" s="660"/>
      <c r="I606" s="659"/>
      <c r="J606" s="661"/>
      <c r="K606" s="658"/>
      <c r="L606" s="662"/>
      <c r="M606" s="663"/>
      <c r="N606" s="664"/>
      <c r="O606" s="665"/>
      <c r="P606" s="666"/>
      <c r="Q606" s="667"/>
      <c r="R606" s="668"/>
      <c r="S606" s="665"/>
      <c r="T606" s="669"/>
      <c r="U606" s="669"/>
      <c r="V606" s="665"/>
      <c r="W606" s="670"/>
      <c r="X606" s="670"/>
      <c r="Y606" s="671"/>
      <c r="Z606" s="671"/>
      <c r="AA606" s="672"/>
      <c r="AB606" s="673"/>
      <c r="AC606" s="673"/>
      <c r="AD606" s="673"/>
      <c r="AE606" s="673"/>
      <c r="AF606" s="673"/>
      <c r="AG606" s="673"/>
      <c r="AH606" s="673"/>
      <c r="AI606" s="673"/>
      <c r="AJ606" s="673"/>
      <c r="AK606" s="673"/>
      <c r="AL606" s="673"/>
      <c r="AM606" s="673"/>
      <c r="AN606" s="673"/>
      <c r="AO606" s="673"/>
      <c r="AP606" s="673"/>
      <c r="AQ606" s="673"/>
      <c r="AR606" s="673"/>
      <c r="AS606" s="673"/>
    </row>
    <row r="607">
      <c r="A607" s="653"/>
      <c r="B607" s="654"/>
      <c r="C607" s="655"/>
      <c r="D607" s="656"/>
      <c r="E607" s="657"/>
      <c r="F607" s="658"/>
      <c r="G607" s="659"/>
      <c r="H607" s="660"/>
      <c r="I607" s="659"/>
      <c r="J607" s="661"/>
      <c r="K607" s="658"/>
      <c r="L607" s="662"/>
      <c r="M607" s="663"/>
      <c r="N607" s="664"/>
      <c r="O607" s="665"/>
      <c r="P607" s="666"/>
      <c r="Q607" s="667"/>
      <c r="R607" s="668"/>
      <c r="S607" s="665"/>
      <c r="T607" s="669"/>
      <c r="U607" s="669"/>
      <c r="V607" s="665"/>
      <c r="W607" s="670"/>
      <c r="X607" s="670"/>
      <c r="Y607" s="671"/>
      <c r="Z607" s="671"/>
      <c r="AA607" s="672"/>
      <c r="AB607" s="673"/>
      <c r="AC607" s="673"/>
      <c r="AD607" s="673"/>
      <c r="AE607" s="673"/>
      <c r="AF607" s="673"/>
      <c r="AG607" s="673"/>
      <c r="AH607" s="673"/>
      <c r="AI607" s="673"/>
      <c r="AJ607" s="673"/>
      <c r="AK607" s="673"/>
      <c r="AL607" s="673"/>
      <c r="AM607" s="673"/>
      <c r="AN607" s="673"/>
      <c r="AO607" s="673"/>
      <c r="AP607" s="673"/>
      <c r="AQ607" s="673"/>
      <c r="AR607" s="673"/>
      <c r="AS607" s="673"/>
    </row>
    <row r="608">
      <c r="A608" s="653"/>
      <c r="B608" s="654"/>
      <c r="C608" s="655"/>
      <c r="D608" s="656"/>
      <c r="E608" s="657"/>
      <c r="F608" s="658"/>
      <c r="G608" s="659"/>
      <c r="H608" s="660"/>
      <c r="I608" s="659"/>
      <c r="J608" s="661"/>
      <c r="K608" s="658"/>
      <c r="L608" s="662"/>
      <c r="M608" s="663"/>
      <c r="N608" s="664"/>
      <c r="O608" s="665"/>
      <c r="P608" s="666"/>
      <c r="Q608" s="667"/>
      <c r="R608" s="668"/>
      <c r="S608" s="665"/>
      <c r="T608" s="669"/>
      <c r="U608" s="669"/>
      <c r="V608" s="665"/>
      <c r="W608" s="670"/>
      <c r="X608" s="670"/>
      <c r="Y608" s="671"/>
      <c r="Z608" s="671"/>
      <c r="AA608" s="672"/>
      <c r="AB608" s="673"/>
      <c r="AC608" s="673"/>
      <c r="AD608" s="673"/>
      <c r="AE608" s="673"/>
      <c r="AF608" s="673"/>
      <c r="AG608" s="673"/>
      <c r="AH608" s="673"/>
      <c r="AI608" s="673"/>
      <c r="AJ608" s="673"/>
      <c r="AK608" s="673"/>
      <c r="AL608" s="673"/>
      <c r="AM608" s="673"/>
      <c r="AN608" s="673"/>
      <c r="AO608" s="673"/>
      <c r="AP608" s="673"/>
      <c r="AQ608" s="673"/>
      <c r="AR608" s="673"/>
      <c r="AS608" s="673"/>
    </row>
    <row r="609">
      <c r="A609" s="653"/>
      <c r="B609" s="654"/>
      <c r="C609" s="655"/>
      <c r="D609" s="656"/>
      <c r="E609" s="657"/>
      <c r="F609" s="658"/>
      <c r="G609" s="659"/>
      <c r="H609" s="660"/>
      <c r="I609" s="659"/>
      <c r="J609" s="661"/>
      <c r="K609" s="658"/>
      <c r="L609" s="662"/>
      <c r="M609" s="663"/>
      <c r="N609" s="664"/>
      <c r="O609" s="665"/>
      <c r="P609" s="666"/>
      <c r="Q609" s="667"/>
      <c r="R609" s="668"/>
      <c r="S609" s="665"/>
      <c r="T609" s="669"/>
      <c r="U609" s="669"/>
      <c r="V609" s="665"/>
      <c r="W609" s="670"/>
      <c r="X609" s="670"/>
      <c r="Y609" s="671"/>
      <c r="Z609" s="671"/>
      <c r="AA609" s="672"/>
      <c r="AB609" s="673"/>
      <c r="AC609" s="673"/>
      <c r="AD609" s="673"/>
      <c r="AE609" s="673"/>
      <c r="AF609" s="673"/>
      <c r="AG609" s="673"/>
      <c r="AH609" s="673"/>
      <c r="AI609" s="673"/>
      <c r="AJ609" s="673"/>
      <c r="AK609" s="673"/>
      <c r="AL609" s="673"/>
      <c r="AM609" s="673"/>
      <c r="AN609" s="673"/>
      <c r="AO609" s="673"/>
      <c r="AP609" s="673"/>
      <c r="AQ609" s="673"/>
      <c r="AR609" s="673"/>
      <c r="AS609" s="673"/>
    </row>
    <row r="610">
      <c r="A610" s="653"/>
      <c r="B610" s="654"/>
      <c r="C610" s="655"/>
      <c r="D610" s="656"/>
      <c r="E610" s="657"/>
      <c r="F610" s="658"/>
      <c r="G610" s="659"/>
      <c r="H610" s="660"/>
      <c r="I610" s="659"/>
      <c r="J610" s="661"/>
      <c r="K610" s="658"/>
      <c r="L610" s="662"/>
      <c r="M610" s="663"/>
      <c r="N610" s="664"/>
      <c r="O610" s="665"/>
      <c r="P610" s="666"/>
      <c r="Q610" s="667"/>
      <c r="R610" s="668"/>
      <c r="S610" s="665"/>
      <c r="T610" s="669"/>
      <c r="U610" s="669"/>
      <c r="V610" s="665"/>
      <c r="W610" s="670"/>
      <c r="X610" s="670"/>
      <c r="Y610" s="671"/>
      <c r="Z610" s="671"/>
      <c r="AA610" s="672"/>
      <c r="AB610" s="673"/>
      <c r="AC610" s="673"/>
      <c r="AD610" s="673"/>
      <c r="AE610" s="673"/>
      <c r="AF610" s="673"/>
      <c r="AG610" s="673"/>
      <c r="AH610" s="673"/>
      <c r="AI610" s="673"/>
      <c r="AJ610" s="673"/>
      <c r="AK610" s="673"/>
      <c r="AL610" s="673"/>
      <c r="AM610" s="673"/>
      <c r="AN610" s="673"/>
      <c r="AO610" s="673"/>
      <c r="AP610" s="673"/>
      <c r="AQ610" s="673"/>
      <c r="AR610" s="673"/>
      <c r="AS610" s="673"/>
    </row>
    <row r="611">
      <c r="A611" s="653"/>
      <c r="B611" s="654"/>
      <c r="C611" s="655"/>
      <c r="D611" s="656"/>
      <c r="E611" s="657"/>
      <c r="F611" s="658"/>
      <c r="G611" s="659"/>
      <c r="H611" s="660"/>
      <c r="I611" s="659"/>
      <c r="J611" s="661"/>
      <c r="K611" s="658"/>
      <c r="L611" s="662"/>
      <c r="M611" s="663"/>
      <c r="N611" s="664"/>
      <c r="O611" s="665"/>
      <c r="P611" s="666"/>
      <c r="Q611" s="667"/>
      <c r="R611" s="668"/>
      <c r="S611" s="665"/>
      <c r="T611" s="669"/>
      <c r="U611" s="669"/>
      <c r="V611" s="665"/>
      <c r="W611" s="670"/>
      <c r="X611" s="670"/>
      <c r="Y611" s="671"/>
      <c r="Z611" s="671"/>
      <c r="AA611" s="672"/>
      <c r="AB611" s="673"/>
      <c r="AC611" s="673"/>
      <c r="AD611" s="673"/>
      <c r="AE611" s="673"/>
      <c r="AF611" s="673"/>
      <c r="AG611" s="673"/>
      <c r="AH611" s="673"/>
      <c r="AI611" s="673"/>
      <c r="AJ611" s="673"/>
      <c r="AK611" s="673"/>
      <c r="AL611" s="673"/>
      <c r="AM611" s="673"/>
      <c r="AN611" s="673"/>
      <c r="AO611" s="673"/>
      <c r="AP611" s="673"/>
      <c r="AQ611" s="673"/>
      <c r="AR611" s="673"/>
      <c r="AS611" s="673"/>
    </row>
    <row r="612">
      <c r="A612" s="653"/>
      <c r="B612" s="654"/>
      <c r="C612" s="655"/>
      <c r="D612" s="656"/>
      <c r="E612" s="657"/>
      <c r="F612" s="658"/>
      <c r="G612" s="659"/>
      <c r="H612" s="660"/>
      <c r="I612" s="659"/>
      <c r="J612" s="661"/>
      <c r="K612" s="658"/>
      <c r="L612" s="662"/>
      <c r="M612" s="663"/>
      <c r="N612" s="664"/>
      <c r="O612" s="665"/>
      <c r="P612" s="666"/>
      <c r="Q612" s="667"/>
      <c r="R612" s="668"/>
      <c r="S612" s="665"/>
      <c r="T612" s="669"/>
      <c r="U612" s="669"/>
      <c r="V612" s="665"/>
      <c r="W612" s="670"/>
      <c r="X612" s="670"/>
      <c r="Y612" s="671"/>
      <c r="Z612" s="671"/>
      <c r="AA612" s="672"/>
      <c r="AB612" s="673"/>
      <c r="AC612" s="673"/>
      <c r="AD612" s="673"/>
      <c r="AE612" s="673"/>
      <c r="AF612" s="673"/>
      <c r="AG612" s="673"/>
      <c r="AH612" s="673"/>
      <c r="AI612" s="673"/>
      <c r="AJ612" s="673"/>
      <c r="AK612" s="673"/>
      <c r="AL612" s="673"/>
      <c r="AM612" s="673"/>
      <c r="AN612" s="673"/>
      <c r="AO612" s="673"/>
      <c r="AP612" s="673"/>
      <c r="AQ612" s="673"/>
      <c r="AR612" s="673"/>
      <c r="AS612" s="673"/>
    </row>
    <row r="613">
      <c r="A613" s="653"/>
      <c r="B613" s="654"/>
      <c r="C613" s="655"/>
      <c r="D613" s="656"/>
      <c r="E613" s="657"/>
      <c r="F613" s="658"/>
      <c r="G613" s="659"/>
      <c r="H613" s="660"/>
      <c r="I613" s="659"/>
      <c r="J613" s="661"/>
      <c r="K613" s="658"/>
      <c r="L613" s="662"/>
      <c r="M613" s="663"/>
      <c r="N613" s="664"/>
      <c r="O613" s="665"/>
      <c r="P613" s="666"/>
      <c r="Q613" s="667"/>
      <c r="R613" s="668"/>
      <c r="S613" s="665"/>
      <c r="T613" s="669"/>
      <c r="U613" s="669"/>
      <c r="V613" s="665"/>
      <c r="W613" s="670"/>
      <c r="X613" s="670"/>
      <c r="Y613" s="671"/>
      <c r="Z613" s="671"/>
      <c r="AA613" s="672"/>
      <c r="AB613" s="673"/>
      <c r="AC613" s="673"/>
      <c r="AD613" s="673"/>
      <c r="AE613" s="673"/>
      <c r="AF613" s="673"/>
      <c r="AG613" s="673"/>
      <c r="AH613" s="673"/>
      <c r="AI613" s="673"/>
      <c r="AJ613" s="673"/>
      <c r="AK613" s="673"/>
      <c r="AL613" s="673"/>
      <c r="AM613" s="673"/>
      <c r="AN613" s="673"/>
      <c r="AO613" s="673"/>
      <c r="AP613" s="673"/>
      <c r="AQ613" s="673"/>
      <c r="AR613" s="673"/>
      <c r="AS613" s="673"/>
    </row>
    <row r="614">
      <c r="A614" s="653"/>
      <c r="B614" s="654"/>
      <c r="C614" s="655"/>
      <c r="D614" s="656"/>
      <c r="E614" s="657"/>
      <c r="F614" s="658"/>
      <c r="G614" s="659"/>
      <c r="H614" s="660"/>
      <c r="I614" s="659"/>
      <c r="J614" s="661"/>
      <c r="K614" s="658"/>
      <c r="L614" s="662"/>
      <c r="M614" s="663"/>
      <c r="N614" s="664"/>
      <c r="O614" s="665"/>
      <c r="P614" s="666"/>
      <c r="Q614" s="667"/>
      <c r="R614" s="668"/>
      <c r="S614" s="665"/>
      <c r="T614" s="669"/>
      <c r="U614" s="669"/>
      <c r="V614" s="665"/>
      <c r="W614" s="670"/>
      <c r="X614" s="670"/>
      <c r="Y614" s="671"/>
      <c r="Z614" s="671"/>
      <c r="AA614" s="672"/>
      <c r="AB614" s="673"/>
      <c r="AC614" s="673"/>
      <c r="AD614" s="673"/>
      <c r="AE614" s="673"/>
      <c r="AF614" s="673"/>
      <c r="AG614" s="673"/>
      <c r="AH614" s="673"/>
      <c r="AI614" s="673"/>
      <c r="AJ614" s="673"/>
      <c r="AK614" s="673"/>
      <c r="AL614" s="673"/>
      <c r="AM614" s="673"/>
      <c r="AN614" s="673"/>
      <c r="AO614" s="673"/>
      <c r="AP614" s="673"/>
      <c r="AQ614" s="673"/>
      <c r="AR614" s="673"/>
      <c r="AS614" s="673"/>
    </row>
    <row r="615">
      <c r="A615" s="653"/>
      <c r="B615" s="654"/>
      <c r="C615" s="655"/>
      <c r="D615" s="656"/>
      <c r="E615" s="657"/>
      <c r="F615" s="658"/>
      <c r="G615" s="659"/>
      <c r="H615" s="660"/>
      <c r="I615" s="659"/>
      <c r="J615" s="661"/>
      <c r="K615" s="658"/>
      <c r="L615" s="662"/>
      <c r="M615" s="663"/>
      <c r="N615" s="664"/>
      <c r="O615" s="665"/>
      <c r="P615" s="666"/>
      <c r="Q615" s="667"/>
      <c r="R615" s="668"/>
      <c r="S615" s="665"/>
      <c r="T615" s="669"/>
      <c r="U615" s="669"/>
      <c r="V615" s="665"/>
      <c r="W615" s="670"/>
      <c r="X615" s="670"/>
      <c r="Y615" s="671"/>
      <c r="Z615" s="671"/>
      <c r="AA615" s="672"/>
      <c r="AB615" s="673"/>
      <c r="AC615" s="673"/>
      <c r="AD615" s="673"/>
      <c r="AE615" s="673"/>
      <c r="AF615" s="673"/>
      <c r="AG615" s="673"/>
      <c r="AH615" s="673"/>
      <c r="AI615" s="673"/>
      <c r="AJ615" s="673"/>
      <c r="AK615" s="673"/>
      <c r="AL615" s="673"/>
      <c r="AM615" s="673"/>
      <c r="AN615" s="673"/>
      <c r="AO615" s="673"/>
      <c r="AP615" s="673"/>
      <c r="AQ615" s="673"/>
      <c r="AR615" s="673"/>
      <c r="AS615" s="673"/>
    </row>
    <row r="616">
      <c r="A616" s="653"/>
      <c r="B616" s="654"/>
      <c r="C616" s="655"/>
      <c r="D616" s="656"/>
      <c r="E616" s="657"/>
      <c r="F616" s="658"/>
      <c r="G616" s="659"/>
      <c r="H616" s="660"/>
      <c r="I616" s="659"/>
      <c r="J616" s="661"/>
      <c r="K616" s="658"/>
      <c r="L616" s="662"/>
      <c r="M616" s="663"/>
      <c r="N616" s="664"/>
      <c r="O616" s="665"/>
      <c r="P616" s="666"/>
      <c r="Q616" s="667"/>
      <c r="R616" s="668"/>
      <c r="S616" s="665"/>
      <c r="T616" s="669"/>
      <c r="U616" s="669"/>
      <c r="V616" s="665"/>
      <c r="W616" s="670"/>
      <c r="X616" s="670"/>
      <c r="Y616" s="671"/>
      <c r="Z616" s="671"/>
      <c r="AA616" s="672"/>
      <c r="AB616" s="673"/>
      <c r="AC616" s="673"/>
      <c r="AD616" s="673"/>
      <c r="AE616" s="673"/>
      <c r="AF616" s="673"/>
      <c r="AG616" s="673"/>
      <c r="AH616" s="673"/>
      <c r="AI616" s="673"/>
      <c r="AJ616" s="673"/>
      <c r="AK616" s="673"/>
      <c r="AL616" s="673"/>
      <c r="AM616" s="673"/>
      <c r="AN616" s="673"/>
      <c r="AO616" s="673"/>
      <c r="AP616" s="673"/>
      <c r="AQ616" s="673"/>
      <c r="AR616" s="673"/>
      <c r="AS616" s="673"/>
    </row>
    <row r="617">
      <c r="A617" s="653"/>
      <c r="B617" s="654"/>
      <c r="C617" s="655"/>
      <c r="D617" s="656"/>
      <c r="E617" s="657"/>
      <c r="F617" s="658"/>
      <c r="G617" s="659"/>
      <c r="H617" s="660"/>
      <c r="I617" s="659"/>
      <c r="J617" s="661"/>
      <c r="K617" s="658"/>
      <c r="L617" s="662"/>
      <c r="M617" s="663"/>
      <c r="N617" s="664"/>
      <c r="O617" s="665"/>
      <c r="P617" s="666"/>
      <c r="Q617" s="667"/>
      <c r="R617" s="668"/>
      <c r="S617" s="665"/>
      <c r="T617" s="669"/>
      <c r="U617" s="669"/>
      <c r="V617" s="665"/>
      <c r="W617" s="670"/>
      <c r="X617" s="670"/>
      <c r="Y617" s="671"/>
      <c r="Z617" s="671"/>
      <c r="AA617" s="672"/>
      <c r="AB617" s="673"/>
      <c r="AC617" s="673"/>
      <c r="AD617" s="673"/>
      <c r="AE617" s="673"/>
      <c r="AF617" s="673"/>
      <c r="AG617" s="673"/>
      <c r="AH617" s="673"/>
      <c r="AI617" s="673"/>
      <c r="AJ617" s="673"/>
      <c r="AK617" s="673"/>
      <c r="AL617" s="673"/>
      <c r="AM617" s="673"/>
      <c r="AN617" s="673"/>
      <c r="AO617" s="673"/>
      <c r="AP617" s="673"/>
      <c r="AQ617" s="673"/>
      <c r="AR617" s="673"/>
      <c r="AS617" s="673"/>
    </row>
    <row r="618">
      <c r="A618" s="653"/>
      <c r="B618" s="654"/>
      <c r="C618" s="655"/>
      <c r="D618" s="656"/>
      <c r="E618" s="657"/>
      <c r="F618" s="658"/>
      <c r="G618" s="659"/>
      <c r="H618" s="660"/>
      <c r="I618" s="659"/>
      <c r="J618" s="661"/>
      <c r="K618" s="658"/>
      <c r="L618" s="662"/>
      <c r="M618" s="663"/>
      <c r="N618" s="664"/>
      <c r="O618" s="665"/>
      <c r="P618" s="666"/>
      <c r="Q618" s="667"/>
      <c r="R618" s="668"/>
      <c r="S618" s="665"/>
      <c r="T618" s="669"/>
      <c r="U618" s="669"/>
      <c r="V618" s="665"/>
      <c r="W618" s="670"/>
      <c r="X618" s="670"/>
      <c r="Y618" s="671"/>
      <c r="Z618" s="671"/>
      <c r="AA618" s="672"/>
      <c r="AB618" s="673"/>
      <c r="AC618" s="673"/>
      <c r="AD618" s="673"/>
      <c r="AE618" s="673"/>
      <c r="AF618" s="673"/>
      <c r="AG618" s="673"/>
      <c r="AH618" s="673"/>
      <c r="AI618" s="673"/>
      <c r="AJ618" s="673"/>
      <c r="AK618" s="673"/>
      <c r="AL618" s="673"/>
      <c r="AM618" s="673"/>
      <c r="AN618" s="673"/>
      <c r="AO618" s="673"/>
      <c r="AP618" s="673"/>
      <c r="AQ618" s="673"/>
      <c r="AR618" s="673"/>
      <c r="AS618" s="673"/>
    </row>
    <row r="619">
      <c r="A619" s="653"/>
      <c r="B619" s="654"/>
      <c r="C619" s="655"/>
      <c r="D619" s="656"/>
      <c r="E619" s="657"/>
      <c r="F619" s="658"/>
      <c r="G619" s="659"/>
      <c r="H619" s="660"/>
      <c r="I619" s="659"/>
      <c r="J619" s="661"/>
      <c r="K619" s="658"/>
      <c r="L619" s="662"/>
      <c r="M619" s="663"/>
      <c r="N619" s="664"/>
      <c r="O619" s="665"/>
      <c r="P619" s="666"/>
      <c r="Q619" s="667"/>
      <c r="R619" s="668"/>
      <c r="S619" s="665"/>
      <c r="T619" s="669"/>
      <c r="U619" s="669"/>
      <c r="V619" s="665"/>
      <c r="W619" s="670"/>
      <c r="X619" s="670"/>
      <c r="Y619" s="671"/>
      <c r="Z619" s="671"/>
      <c r="AA619" s="672"/>
      <c r="AB619" s="673"/>
      <c r="AC619" s="673"/>
      <c r="AD619" s="673"/>
      <c r="AE619" s="673"/>
      <c r="AF619" s="673"/>
      <c r="AG619" s="673"/>
      <c r="AH619" s="673"/>
      <c r="AI619" s="673"/>
      <c r="AJ619" s="673"/>
      <c r="AK619" s="673"/>
      <c r="AL619" s="673"/>
      <c r="AM619" s="673"/>
      <c r="AN619" s="673"/>
      <c r="AO619" s="673"/>
      <c r="AP619" s="673"/>
      <c r="AQ619" s="673"/>
      <c r="AR619" s="673"/>
      <c r="AS619" s="673"/>
    </row>
    <row r="620">
      <c r="A620" s="653"/>
      <c r="B620" s="654"/>
      <c r="C620" s="655"/>
      <c r="D620" s="656"/>
      <c r="E620" s="657"/>
      <c r="F620" s="658"/>
      <c r="G620" s="659"/>
      <c r="H620" s="660"/>
      <c r="I620" s="659"/>
      <c r="J620" s="661"/>
      <c r="K620" s="658"/>
      <c r="L620" s="662"/>
      <c r="M620" s="663"/>
      <c r="N620" s="664"/>
      <c r="O620" s="665"/>
      <c r="P620" s="666"/>
      <c r="Q620" s="667"/>
      <c r="R620" s="668"/>
      <c r="S620" s="665"/>
      <c r="T620" s="669"/>
      <c r="U620" s="669"/>
      <c r="V620" s="665"/>
      <c r="W620" s="670"/>
      <c r="X620" s="670"/>
      <c r="Y620" s="671"/>
      <c r="Z620" s="671"/>
      <c r="AA620" s="672"/>
      <c r="AB620" s="673"/>
      <c r="AC620" s="673"/>
      <c r="AD620" s="673"/>
      <c r="AE620" s="673"/>
      <c r="AF620" s="673"/>
      <c r="AG620" s="673"/>
      <c r="AH620" s="673"/>
      <c r="AI620" s="673"/>
      <c r="AJ620" s="673"/>
      <c r="AK620" s="673"/>
      <c r="AL620" s="673"/>
      <c r="AM620" s="673"/>
      <c r="AN620" s="673"/>
      <c r="AO620" s="673"/>
      <c r="AP620" s="673"/>
      <c r="AQ620" s="673"/>
      <c r="AR620" s="673"/>
      <c r="AS620" s="673"/>
    </row>
    <row r="621">
      <c r="A621" s="653"/>
      <c r="B621" s="654"/>
      <c r="C621" s="655"/>
      <c r="D621" s="656"/>
      <c r="E621" s="657"/>
      <c r="F621" s="658"/>
      <c r="G621" s="659"/>
      <c r="H621" s="660"/>
      <c r="I621" s="659"/>
      <c r="J621" s="661"/>
      <c r="K621" s="658"/>
      <c r="L621" s="662"/>
      <c r="M621" s="663"/>
      <c r="N621" s="664"/>
      <c r="O621" s="665"/>
      <c r="P621" s="666"/>
      <c r="Q621" s="667"/>
      <c r="R621" s="668"/>
      <c r="S621" s="665"/>
      <c r="T621" s="669"/>
      <c r="U621" s="669"/>
      <c r="V621" s="665"/>
      <c r="W621" s="670"/>
      <c r="X621" s="670"/>
      <c r="Y621" s="671"/>
      <c r="Z621" s="671"/>
      <c r="AA621" s="672"/>
      <c r="AB621" s="673"/>
      <c r="AC621" s="673"/>
      <c r="AD621" s="673"/>
      <c r="AE621" s="673"/>
      <c r="AF621" s="673"/>
      <c r="AG621" s="673"/>
      <c r="AH621" s="673"/>
      <c r="AI621" s="673"/>
      <c r="AJ621" s="673"/>
      <c r="AK621" s="673"/>
      <c r="AL621" s="673"/>
      <c r="AM621" s="673"/>
      <c r="AN621" s="673"/>
      <c r="AO621" s="673"/>
      <c r="AP621" s="673"/>
      <c r="AQ621" s="673"/>
      <c r="AR621" s="673"/>
      <c r="AS621" s="673"/>
    </row>
    <row r="622">
      <c r="A622" s="653"/>
      <c r="B622" s="654"/>
      <c r="C622" s="655"/>
      <c r="D622" s="656"/>
      <c r="E622" s="657"/>
      <c r="F622" s="658"/>
      <c r="G622" s="659"/>
      <c r="H622" s="660"/>
      <c r="I622" s="659"/>
      <c r="J622" s="661"/>
      <c r="K622" s="658"/>
      <c r="L622" s="662"/>
      <c r="M622" s="663"/>
      <c r="N622" s="664"/>
      <c r="O622" s="665"/>
      <c r="P622" s="666"/>
      <c r="Q622" s="667"/>
      <c r="R622" s="668"/>
      <c r="S622" s="665"/>
      <c r="T622" s="669"/>
      <c r="U622" s="669"/>
      <c r="V622" s="665"/>
      <c r="W622" s="670"/>
      <c r="X622" s="670"/>
      <c r="Y622" s="671"/>
      <c r="Z622" s="671"/>
      <c r="AA622" s="672"/>
      <c r="AB622" s="673"/>
      <c r="AC622" s="673"/>
      <c r="AD622" s="673"/>
      <c r="AE622" s="673"/>
      <c r="AF622" s="673"/>
      <c r="AG622" s="673"/>
      <c r="AH622" s="673"/>
      <c r="AI622" s="673"/>
      <c r="AJ622" s="673"/>
      <c r="AK622" s="673"/>
      <c r="AL622" s="673"/>
      <c r="AM622" s="673"/>
      <c r="AN622" s="673"/>
      <c r="AO622" s="673"/>
      <c r="AP622" s="673"/>
      <c r="AQ622" s="673"/>
      <c r="AR622" s="673"/>
      <c r="AS622" s="673"/>
    </row>
    <row r="623">
      <c r="A623" s="653"/>
      <c r="B623" s="654"/>
      <c r="C623" s="655"/>
      <c r="D623" s="656"/>
      <c r="E623" s="657"/>
      <c r="F623" s="658"/>
      <c r="G623" s="659"/>
      <c r="H623" s="660"/>
      <c r="I623" s="659"/>
      <c r="J623" s="661"/>
      <c r="K623" s="658"/>
      <c r="L623" s="662"/>
      <c r="M623" s="663"/>
      <c r="N623" s="664"/>
      <c r="O623" s="665"/>
      <c r="P623" s="666"/>
      <c r="Q623" s="667"/>
      <c r="R623" s="668"/>
      <c r="S623" s="665"/>
      <c r="T623" s="669"/>
      <c r="U623" s="669"/>
      <c r="V623" s="665"/>
      <c r="W623" s="670"/>
      <c r="X623" s="670"/>
      <c r="Y623" s="671"/>
      <c r="Z623" s="671"/>
      <c r="AA623" s="672"/>
      <c r="AB623" s="673"/>
      <c r="AC623" s="673"/>
      <c r="AD623" s="673"/>
      <c r="AE623" s="673"/>
      <c r="AF623" s="673"/>
      <c r="AG623" s="673"/>
      <c r="AH623" s="673"/>
      <c r="AI623" s="673"/>
      <c r="AJ623" s="673"/>
      <c r="AK623" s="673"/>
      <c r="AL623" s="673"/>
      <c r="AM623" s="673"/>
      <c r="AN623" s="673"/>
      <c r="AO623" s="673"/>
      <c r="AP623" s="673"/>
      <c r="AQ623" s="673"/>
      <c r="AR623" s="673"/>
      <c r="AS623" s="673"/>
    </row>
    <row r="624">
      <c r="A624" s="653"/>
      <c r="B624" s="654"/>
      <c r="C624" s="655"/>
      <c r="D624" s="656"/>
      <c r="E624" s="657"/>
      <c r="F624" s="658"/>
      <c r="G624" s="659"/>
      <c r="H624" s="660"/>
      <c r="I624" s="659"/>
      <c r="J624" s="661"/>
      <c r="K624" s="658"/>
      <c r="L624" s="662"/>
      <c r="M624" s="663"/>
      <c r="N624" s="664"/>
      <c r="O624" s="665"/>
      <c r="P624" s="666"/>
      <c r="Q624" s="667"/>
      <c r="R624" s="668"/>
      <c r="S624" s="665"/>
      <c r="T624" s="669"/>
      <c r="U624" s="669"/>
      <c r="V624" s="665"/>
      <c r="W624" s="670"/>
      <c r="X624" s="670"/>
      <c r="Y624" s="671"/>
      <c r="Z624" s="671"/>
      <c r="AA624" s="672"/>
      <c r="AB624" s="673"/>
      <c r="AC624" s="673"/>
      <c r="AD624" s="673"/>
      <c r="AE624" s="673"/>
      <c r="AF624" s="673"/>
      <c r="AG624" s="673"/>
      <c r="AH624" s="673"/>
      <c r="AI624" s="673"/>
      <c r="AJ624" s="673"/>
      <c r="AK624" s="673"/>
      <c r="AL624" s="673"/>
      <c r="AM624" s="673"/>
      <c r="AN624" s="673"/>
      <c r="AO624" s="673"/>
      <c r="AP624" s="673"/>
      <c r="AQ624" s="673"/>
      <c r="AR624" s="673"/>
      <c r="AS624" s="673"/>
    </row>
    <row r="625">
      <c r="A625" s="653"/>
      <c r="B625" s="654"/>
      <c r="C625" s="655"/>
      <c r="D625" s="656"/>
      <c r="E625" s="657"/>
      <c r="F625" s="658"/>
      <c r="G625" s="659"/>
      <c r="H625" s="660"/>
      <c r="I625" s="659"/>
      <c r="J625" s="661"/>
      <c r="K625" s="658"/>
      <c r="L625" s="662"/>
      <c r="M625" s="663"/>
      <c r="N625" s="664"/>
      <c r="O625" s="665"/>
      <c r="P625" s="666"/>
      <c r="Q625" s="667"/>
      <c r="R625" s="668"/>
      <c r="S625" s="665"/>
      <c r="T625" s="669"/>
      <c r="U625" s="669"/>
      <c r="V625" s="665"/>
      <c r="W625" s="670"/>
      <c r="X625" s="670"/>
      <c r="Y625" s="671"/>
      <c r="Z625" s="671"/>
      <c r="AA625" s="672"/>
      <c r="AB625" s="673"/>
      <c r="AC625" s="673"/>
      <c r="AD625" s="673"/>
      <c r="AE625" s="673"/>
      <c r="AF625" s="673"/>
      <c r="AG625" s="673"/>
      <c r="AH625" s="673"/>
      <c r="AI625" s="673"/>
      <c r="AJ625" s="673"/>
      <c r="AK625" s="673"/>
      <c r="AL625" s="673"/>
      <c r="AM625" s="673"/>
      <c r="AN625" s="673"/>
      <c r="AO625" s="673"/>
      <c r="AP625" s="673"/>
      <c r="AQ625" s="673"/>
      <c r="AR625" s="673"/>
      <c r="AS625" s="673"/>
    </row>
    <row r="626">
      <c r="A626" s="653"/>
      <c r="B626" s="654"/>
      <c r="C626" s="655"/>
      <c r="D626" s="656"/>
      <c r="E626" s="657"/>
      <c r="F626" s="658"/>
      <c r="G626" s="659"/>
      <c r="H626" s="660"/>
      <c r="I626" s="659"/>
      <c r="J626" s="661"/>
      <c r="K626" s="658"/>
      <c r="L626" s="662"/>
      <c r="M626" s="663"/>
      <c r="N626" s="664"/>
      <c r="O626" s="665"/>
      <c r="P626" s="666"/>
      <c r="Q626" s="667"/>
      <c r="R626" s="668"/>
      <c r="S626" s="665"/>
      <c r="T626" s="669"/>
      <c r="U626" s="669"/>
      <c r="V626" s="665"/>
      <c r="W626" s="670"/>
      <c r="X626" s="670"/>
      <c r="Y626" s="671"/>
      <c r="Z626" s="671"/>
      <c r="AA626" s="672"/>
      <c r="AB626" s="673"/>
      <c r="AC626" s="673"/>
      <c r="AD626" s="673"/>
      <c r="AE626" s="673"/>
      <c r="AF626" s="673"/>
      <c r="AG626" s="673"/>
      <c r="AH626" s="673"/>
      <c r="AI626" s="673"/>
      <c r="AJ626" s="673"/>
      <c r="AK626" s="673"/>
      <c r="AL626" s="673"/>
      <c r="AM626" s="673"/>
      <c r="AN626" s="673"/>
      <c r="AO626" s="673"/>
      <c r="AP626" s="673"/>
      <c r="AQ626" s="673"/>
      <c r="AR626" s="673"/>
      <c r="AS626" s="673"/>
    </row>
    <row r="627">
      <c r="A627" s="653"/>
      <c r="B627" s="654"/>
      <c r="C627" s="655"/>
      <c r="D627" s="656"/>
      <c r="E627" s="657"/>
      <c r="F627" s="658"/>
      <c r="G627" s="659"/>
      <c r="H627" s="660"/>
      <c r="I627" s="659"/>
      <c r="J627" s="661"/>
      <c r="K627" s="658"/>
      <c r="L627" s="662"/>
      <c r="M627" s="663"/>
      <c r="N627" s="664"/>
      <c r="O627" s="665"/>
      <c r="P627" s="666"/>
      <c r="Q627" s="667"/>
      <c r="R627" s="668"/>
      <c r="S627" s="665"/>
      <c r="T627" s="669"/>
      <c r="U627" s="669"/>
      <c r="V627" s="665"/>
      <c r="W627" s="670"/>
      <c r="X627" s="670"/>
      <c r="Y627" s="671"/>
      <c r="Z627" s="671"/>
      <c r="AA627" s="672"/>
      <c r="AB627" s="673"/>
      <c r="AC627" s="673"/>
      <c r="AD627" s="673"/>
      <c r="AE627" s="673"/>
      <c r="AF627" s="673"/>
      <c r="AG627" s="673"/>
      <c r="AH627" s="673"/>
      <c r="AI627" s="673"/>
      <c r="AJ627" s="673"/>
      <c r="AK627" s="673"/>
      <c r="AL627" s="673"/>
      <c r="AM627" s="673"/>
      <c r="AN627" s="673"/>
      <c r="AO627" s="673"/>
      <c r="AP627" s="673"/>
      <c r="AQ627" s="673"/>
      <c r="AR627" s="673"/>
      <c r="AS627" s="673"/>
    </row>
    <row r="628">
      <c r="A628" s="653"/>
      <c r="B628" s="654"/>
      <c r="C628" s="655"/>
      <c r="D628" s="656"/>
      <c r="E628" s="657"/>
      <c r="F628" s="658"/>
      <c r="G628" s="659"/>
      <c r="H628" s="660"/>
      <c r="I628" s="659"/>
      <c r="J628" s="661"/>
      <c r="K628" s="658"/>
      <c r="L628" s="662"/>
      <c r="M628" s="663"/>
      <c r="N628" s="664"/>
      <c r="O628" s="665"/>
      <c r="P628" s="666"/>
      <c r="Q628" s="667"/>
      <c r="R628" s="668"/>
      <c r="S628" s="665"/>
      <c r="T628" s="669"/>
      <c r="U628" s="669"/>
      <c r="V628" s="665"/>
      <c r="W628" s="670"/>
      <c r="X628" s="670"/>
      <c r="Y628" s="671"/>
      <c r="Z628" s="671"/>
      <c r="AA628" s="672"/>
      <c r="AB628" s="673"/>
      <c r="AC628" s="673"/>
      <c r="AD628" s="673"/>
      <c r="AE628" s="673"/>
      <c r="AF628" s="673"/>
      <c r="AG628" s="673"/>
      <c r="AH628" s="673"/>
      <c r="AI628" s="673"/>
      <c r="AJ628" s="673"/>
      <c r="AK628" s="673"/>
      <c r="AL628" s="673"/>
      <c r="AM628" s="673"/>
      <c r="AN628" s="673"/>
      <c r="AO628" s="673"/>
      <c r="AP628" s="673"/>
      <c r="AQ628" s="673"/>
      <c r="AR628" s="673"/>
      <c r="AS628" s="673"/>
    </row>
    <row r="629">
      <c r="A629" s="653"/>
      <c r="B629" s="654"/>
      <c r="C629" s="655"/>
      <c r="D629" s="656"/>
      <c r="E629" s="657"/>
      <c r="F629" s="658"/>
      <c r="G629" s="659"/>
      <c r="H629" s="660"/>
      <c r="I629" s="659"/>
      <c r="J629" s="661"/>
      <c r="K629" s="658"/>
      <c r="L629" s="662"/>
      <c r="M629" s="663"/>
      <c r="N629" s="664"/>
      <c r="O629" s="665"/>
      <c r="P629" s="666"/>
      <c r="Q629" s="667"/>
      <c r="R629" s="668"/>
      <c r="S629" s="665"/>
      <c r="T629" s="669"/>
      <c r="U629" s="669"/>
      <c r="V629" s="665"/>
      <c r="W629" s="670"/>
      <c r="X629" s="670"/>
      <c r="Y629" s="671"/>
      <c r="Z629" s="671"/>
      <c r="AA629" s="672"/>
      <c r="AB629" s="673"/>
      <c r="AC629" s="673"/>
      <c r="AD629" s="673"/>
      <c r="AE629" s="673"/>
      <c r="AF629" s="673"/>
      <c r="AG629" s="673"/>
      <c r="AH629" s="673"/>
      <c r="AI629" s="673"/>
      <c r="AJ629" s="673"/>
      <c r="AK629" s="673"/>
      <c r="AL629" s="673"/>
      <c r="AM629" s="673"/>
      <c r="AN629" s="673"/>
      <c r="AO629" s="673"/>
      <c r="AP629" s="673"/>
      <c r="AQ629" s="673"/>
      <c r="AR629" s="673"/>
      <c r="AS629" s="673"/>
    </row>
    <row r="630">
      <c r="A630" s="653"/>
      <c r="B630" s="654"/>
      <c r="C630" s="655"/>
      <c r="D630" s="656"/>
      <c r="E630" s="657"/>
      <c r="F630" s="658"/>
      <c r="G630" s="659"/>
      <c r="H630" s="660"/>
      <c r="I630" s="659"/>
      <c r="J630" s="661"/>
      <c r="K630" s="658"/>
      <c r="L630" s="662"/>
      <c r="M630" s="663"/>
      <c r="N630" s="664"/>
      <c r="O630" s="665"/>
      <c r="P630" s="666"/>
      <c r="Q630" s="667"/>
      <c r="R630" s="668"/>
      <c r="S630" s="665"/>
      <c r="T630" s="669"/>
      <c r="U630" s="669"/>
      <c r="V630" s="665"/>
      <c r="W630" s="670"/>
      <c r="X630" s="670"/>
      <c r="Y630" s="671"/>
      <c r="Z630" s="671"/>
      <c r="AA630" s="672"/>
      <c r="AB630" s="673"/>
      <c r="AC630" s="673"/>
      <c r="AD630" s="673"/>
      <c r="AE630" s="673"/>
      <c r="AF630" s="673"/>
      <c r="AG630" s="673"/>
      <c r="AH630" s="673"/>
      <c r="AI630" s="673"/>
      <c r="AJ630" s="673"/>
      <c r="AK630" s="673"/>
      <c r="AL630" s="673"/>
      <c r="AM630" s="673"/>
      <c r="AN630" s="673"/>
      <c r="AO630" s="673"/>
      <c r="AP630" s="673"/>
      <c r="AQ630" s="673"/>
      <c r="AR630" s="673"/>
      <c r="AS630" s="673"/>
    </row>
    <row r="631">
      <c r="A631" s="653"/>
      <c r="B631" s="654"/>
      <c r="C631" s="655"/>
      <c r="D631" s="656"/>
      <c r="E631" s="657"/>
      <c r="F631" s="658"/>
      <c r="G631" s="659"/>
      <c r="H631" s="660"/>
      <c r="I631" s="659"/>
      <c r="J631" s="661"/>
      <c r="K631" s="658"/>
      <c r="L631" s="662"/>
      <c r="M631" s="663"/>
      <c r="N631" s="664"/>
      <c r="O631" s="665"/>
      <c r="P631" s="666"/>
      <c r="Q631" s="667"/>
      <c r="R631" s="668"/>
      <c r="S631" s="665"/>
      <c r="T631" s="669"/>
      <c r="U631" s="669"/>
      <c r="V631" s="665"/>
      <c r="W631" s="670"/>
      <c r="X631" s="670"/>
      <c r="Y631" s="671"/>
      <c r="Z631" s="671"/>
      <c r="AA631" s="672"/>
      <c r="AB631" s="673"/>
      <c r="AC631" s="673"/>
      <c r="AD631" s="673"/>
      <c r="AE631" s="673"/>
      <c r="AF631" s="673"/>
      <c r="AG631" s="673"/>
      <c r="AH631" s="673"/>
      <c r="AI631" s="673"/>
      <c r="AJ631" s="673"/>
      <c r="AK631" s="673"/>
      <c r="AL631" s="673"/>
      <c r="AM631" s="673"/>
      <c r="AN631" s="673"/>
      <c r="AO631" s="673"/>
      <c r="AP631" s="673"/>
      <c r="AQ631" s="673"/>
      <c r="AR631" s="673"/>
      <c r="AS631" s="673"/>
    </row>
    <row r="632">
      <c r="A632" s="653"/>
      <c r="B632" s="654"/>
      <c r="C632" s="655"/>
      <c r="D632" s="656"/>
      <c r="E632" s="657"/>
      <c r="F632" s="658"/>
      <c r="G632" s="659"/>
      <c r="H632" s="660"/>
      <c r="I632" s="659"/>
      <c r="J632" s="661"/>
      <c r="K632" s="658"/>
      <c r="L632" s="662"/>
      <c r="M632" s="663"/>
      <c r="N632" s="664"/>
      <c r="O632" s="665"/>
      <c r="P632" s="666"/>
      <c r="Q632" s="667"/>
      <c r="R632" s="668"/>
      <c r="S632" s="665"/>
      <c r="T632" s="669"/>
      <c r="U632" s="669"/>
      <c r="V632" s="665"/>
      <c r="W632" s="670"/>
      <c r="X632" s="670"/>
      <c r="Y632" s="671"/>
      <c r="Z632" s="671"/>
      <c r="AA632" s="672"/>
      <c r="AB632" s="673"/>
      <c r="AC632" s="673"/>
      <c r="AD632" s="673"/>
      <c r="AE632" s="673"/>
      <c r="AF632" s="673"/>
      <c r="AG632" s="673"/>
      <c r="AH632" s="673"/>
      <c r="AI632" s="673"/>
      <c r="AJ632" s="673"/>
      <c r="AK632" s="673"/>
      <c r="AL632" s="673"/>
      <c r="AM632" s="673"/>
      <c r="AN632" s="673"/>
      <c r="AO632" s="673"/>
      <c r="AP632" s="673"/>
      <c r="AQ632" s="673"/>
      <c r="AR632" s="673"/>
      <c r="AS632" s="673"/>
    </row>
    <row r="633">
      <c r="A633" s="653"/>
      <c r="B633" s="654"/>
      <c r="C633" s="655"/>
      <c r="D633" s="656"/>
      <c r="E633" s="657"/>
      <c r="F633" s="658"/>
      <c r="G633" s="659"/>
      <c r="H633" s="660"/>
      <c r="I633" s="659"/>
      <c r="J633" s="661"/>
      <c r="K633" s="658"/>
      <c r="L633" s="662"/>
      <c r="M633" s="663"/>
      <c r="N633" s="664"/>
      <c r="O633" s="665"/>
      <c r="P633" s="666"/>
      <c r="Q633" s="667"/>
      <c r="R633" s="668"/>
      <c r="S633" s="665"/>
      <c r="T633" s="669"/>
      <c r="U633" s="669"/>
      <c r="V633" s="665"/>
      <c r="W633" s="670"/>
      <c r="X633" s="670"/>
      <c r="Y633" s="671"/>
      <c r="Z633" s="671"/>
      <c r="AA633" s="672"/>
      <c r="AB633" s="673"/>
      <c r="AC633" s="673"/>
      <c r="AD633" s="673"/>
      <c r="AE633" s="673"/>
      <c r="AF633" s="673"/>
      <c r="AG633" s="673"/>
      <c r="AH633" s="673"/>
      <c r="AI633" s="673"/>
      <c r="AJ633" s="673"/>
      <c r="AK633" s="673"/>
      <c r="AL633" s="673"/>
      <c r="AM633" s="673"/>
      <c r="AN633" s="673"/>
      <c r="AO633" s="673"/>
      <c r="AP633" s="673"/>
      <c r="AQ633" s="673"/>
      <c r="AR633" s="673"/>
      <c r="AS633" s="673"/>
    </row>
    <row r="634">
      <c r="A634" s="653"/>
      <c r="B634" s="654"/>
      <c r="C634" s="655"/>
      <c r="D634" s="656"/>
      <c r="E634" s="657"/>
      <c r="F634" s="658"/>
      <c r="G634" s="659"/>
      <c r="H634" s="660"/>
      <c r="I634" s="659"/>
      <c r="J634" s="661"/>
      <c r="K634" s="658"/>
      <c r="L634" s="662"/>
      <c r="M634" s="663"/>
      <c r="N634" s="664"/>
      <c r="O634" s="665"/>
      <c r="P634" s="666"/>
      <c r="Q634" s="667"/>
      <c r="R634" s="668"/>
      <c r="S634" s="665"/>
      <c r="T634" s="669"/>
      <c r="U634" s="669"/>
      <c r="V634" s="665"/>
      <c r="W634" s="670"/>
      <c r="X634" s="670"/>
      <c r="Y634" s="671"/>
      <c r="Z634" s="671"/>
      <c r="AA634" s="672"/>
      <c r="AB634" s="673"/>
      <c r="AC634" s="673"/>
      <c r="AD634" s="673"/>
      <c r="AE634" s="673"/>
      <c r="AF634" s="673"/>
      <c r="AG634" s="673"/>
      <c r="AH634" s="673"/>
      <c r="AI634" s="673"/>
      <c r="AJ634" s="673"/>
      <c r="AK634" s="673"/>
      <c r="AL634" s="673"/>
      <c r="AM634" s="673"/>
      <c r="AN634" s="673"/>
      <c r="AO634" s="673"/>
      <c r="AP634" s="673"/>
      <c r="AQ634" s="673"/>
      <c r="AR634" s="673"/>
      <c r="AS634" s="673"/>
    </row>
    <row r="635">
      <c r="A635" s="653"/>
      <c r="B635" s="654"/>
      <c r="C635" s="655"/>
      <c r="D635" s="656"/>
      <c r="E635" s="657"/>
      <c r="F635" s="658"/>
      <c r="G635" s="659"/>
      <c r="H635" s="660"/>
      <c r="I635" s="659"/>
      <c r="J635" s="661"/>
      <c r="K635" s="658"/>
      <c r="L635" s="662"/>
      <c r="M635" s="663"/>
      <c r="N635" s="664"/>
      <c r="O635" s="665"/>
      <c r="P635" s="666"/>
      <c r="Q635" s="667"/>
      <c r="R635" s="668"/>
      <c r="S635" s="665"/>
      <c r="T635" s="669"/>
      <c r="U635" s="669"/>
      <c r="V635" s="665"/>
      <c r="W635" s="670"/>
      <c r="X635" s="670"/>
      <c r="Y635" s="671"/>
      <c r="Z635" s="671"/>
      <c r="AA635" s="672"/>
      <c r="AB635" s="673"/>
      <c r="AC635" s="673"/>
      <c r="AD635" s="673"/>
      <c r="AE635" s="673"/>
      <c r="AF635" s="673"/>
      <c r="AG635" s="673"/>
      <c r="AH635" s="673"/>
      <c r="AI635" s="673"/>
      <c r="AJ635" s="673"/>
      <c r="AK635" s="673"/>
      <c r="AL635" s="673"/>
      <c r="AM635" s="673"/>
      <c r="AN635" s="673"/>
      <c r="AO635" s="673"/>
      <c r="AP635" s="673"/>
      <c r="AQ635" s="673"/>
      <c r="AR635" s="673"/>
      <c r="AS635" s="673"/>
    </row>
    <row r="636">
      <c r="A636" s="653"/>
      <c r="B636" s="654"/>
      <c r="C636" s="655"/>
      <c r="D636" s="656"/>
      <c r="E636" s="657"/>
      <c r="F636" s="658"/>
      <c r="G636" s="659"/>
      <c r="H636" s="660"/>
      <c r="I636" s="659"/>
      <c r="J636" s="661"/>
      <c r="K636" s="658"/>
      <c r="L636" s="662"/>
      <c r="M636" s="663"/>
      <c r="N636" s="664"/>
      <c r="O636" s="665"/>
      <c r="P636" s="666"/>
      <c r="Q636" s="667"/>
      <c r="R636" s="668"/>
      <c r="S636" s="665"/>
      <c r="T636" s="669"/>
      <c r="U636" s="669"/>
      <c r="V636" s="665"/>
      <c r="W636" s="670"/>
      <c r="X636" s="670"/>
      <c r="Y636" s="671"/>
      <c r="Z636" s="671"/>
      <c r="AA636" s="672"/>
      <c r="AB636" s="673"/>
      <c r="AC636" s="673"/>
      <c r="AD636" s="673"/>
      <c r="AE636" s="673"/>
      <c r="AF636" s="673"/>
      <c r="AG636" s="673"/>
      <c r="AH636" s="673"/>
      <c r="AI636" s="673"/>
      <c r="AJ636" s="673"/>
      <c r="AK636" s="673"/>
      <c r="AL636" s="673"/>
      <c r="AM636" s="673"/>
      <c r="AN636" s="673"/>
      <c r="AO636" s="673"/>
      <c r="AP636" s="673"/>
      <c r="AQ636" s="673"/>
      <c r="AR636" s="673"/>
      <c r="AS636" s="673"/>
    </row>
    <row r="637">
      <c r="A637" s="653"/>
      <c r="B637" s="654"/>
      <c r="C637" s="655"/>
      <c r="D637" s="656"/>
      <c r="E637" s="657"/>
      <c r="F637" s="658"/>
      <c r="G637" s="659"/>
      <c r="H637" s="660"/>
      <c r="I637" s="659"/>
      <c r="J637" s="661"/>
      <c r="K637" s="658"/>
      <c r="L637" s="662"/>
      <c r="M637" s="663"/>
      <c r="N637" s="664"/>
      <c r="O637" s="665"/>
      <c r="P637" s="666"/>
      <c r="Q637" s="667"/>
      <c r="R637" s="668"/>
      <c r="S637" s="665"/>
      <c r="T637" s="669"/>
      <c r="U637" s="669"/>
      <c r="V637" s="665"/>
      <c r="W637" s="670"/>
      <c r="X637" s="670"/>
      <c r="Y637" s="671"/>
      <c r="Z637" s="671"/>
      <c r="AA637" s="672"/>
      <c r="AB637" s="673"/>
      <c r="AC637" s="673"/>
      <c r="AD637" s="673"/>
      <c r="AE637" s="673"/>
      <c r="AF637" s="673"/>
      <c r="AG637" s="673"/>
      <c r="AH637" s="673"/>
      <c r="AI637" s="673"/>
      <c r="AJ637" s="673"/>
      <c r="AK637" s="673"/>
      <c r="AL637" s="673"/>
      <c r="AM637" s="673"/>
      <c r="AN637" s="673"/>
      <c r="AO637" s="673"/>
      <c r="AP637" s="673"/>
      <c r="AQ637" s="673"/>
      <c r="AR637" s="673"/>
      <c r="AS637" s="673"/>
    </row>
    <row r="638">
      <c r="A638" s="653"/>
      <c r="B638" s="654"/>
      <c r="C638" s="655"/>
      <c r="D638" s="656"/>
      <c r="E638" s="657"/>
      <c r="F638" s="658"/>
      <c r="G638" s="659"/>
      <c r="H638" s="660"/>
      <c r="I638" s="659"/>
      <c r="J638" s="661"/>
      <c r="K638" s="658"/>
      <c r="L638" s="662"/>
      <c r="M638" s="663"/>
      <c r="N638" s="664"/>
      <c r="O638" s="665"/>
      <c r="P638" s="666"/>
      <c r="Q638" s="667"/>
      <c r="R638" s="668"/>
      <c r="S638" s="665"/>
      <c r="T638" s="669"/>
      <c r="U638" s="669"/>
      <c r="V638" s="665"/>
      <c r="W638" s="670"/>
      <c r="X638" s="670"/>
      <c r="Y638" s="671"/>
      <c r="Z638" s="671"/>
      <c r="AA638" s="672"/>
      <c r="AB638" s="673"/>
      <c r="AC638" s="673"/>
      <c r="AD638" s="673"/>
      <c r="AE638" s="673"/>
      <c r="AF638" s="673"/>
      <c r="AG638" s="673"/>
      <c r="AH638" s="673"/>
      <c r="AI638" s="673"/>
      <c r="AJ638" s="673"/>
      <c r="AK638" s="673"/>
      <c r="AL638" s="673"/>
      <c r="AM638" s="673"/>
      <c r="AN638" s="673"/>
      <c r="AO638" s="673"/>
      <c r="AP638" s="673"/>
      <c r="AQ638" s="673"/>
      <c r="AR638" s="673"/>
      <c r="AS638" s="673"/>
    </row>
    <row r="639">
      <c r="A639" s="653"/>
      <c r="B639" s="654"/>
      <c r="C639" s="655"/>
      <c r="D639" s="656"/>
      <c r="E639" s="657"/>
      <c r="F639" s="658"/>
      <c r="G639" s="659"/>
      <c r="H639" s="660"/>
      <c r="I639" s="659"/>
      <c r="J639" s="661"/>
      <c r="K639" s="658"/>
      <c r="L639" s="662"/>
      <c r="M639" s="663"/>
      <c r="N639" s="664"/>
      <c r="O639" s="665"/>
      <c r="P639" s="666"/>
      <c r="Q639" s="667"/>
      <c r="R639" s="668"/>
      <c r="S639" s="665"/>
      <c r="T639" s="669"/>
      <c r="U639" s="669"/>
      <c r="V639" s="665"/>
      <c r="W639" s="670"/>
      <c r="X639" s="670"/>
      <c r="Y639" s="671"/>
      <c r="Z639" s="671"/>
      <c r="AA639" s="672"/>
      <c r="AB639" s="673"/>
      <c r="AC639" s="673"/>
      <c r="AD639" s="673"/>
      <c r="AE639" s="673"/>
      <c r="AF639" s="673"/>
      <c r="AG639" s="673"/>
      <c r="AH639" s="673"/>
      <c r="AI639" s="673"/>
      <c r="AJ639" s="673"/>
      <c r="AK639" s="673"/>
      <c r="AL639" s="673"/>
      <c r="AM639" s="673"/>
      <c r="AN639" s="673"/>
      <c r="AO639" s="673"/>
      <c r="AP639" s="673"/>
      <c r="AQ639" s="673"/>
      <c r="AR639" s="673"/>
      <c r="AS639" s="673"/>
    </row>
    <row r="640">
      <c r="A640" s="653"/>
      <c r="B640" s="654"/>
      <c r="C640" s="655"/>
      <c r="D640" s="656"/>
      <c r="E640" s="657"/>
      <c r="F640" s="658"/>
      <c r="G640" s="659"/>
      <c r="H640" s="660"/>
      <c r="I640" s="659"/>
      <c r="J640" s="661"/>
      <c r="K640" s="658"/>
      <c r="L640" s="662"/>
      <c r="M640" s="663"/>
      <c r="N640" s="664"/>
      <c r="O640" s="665"/>
      <c r="P640" s="666"/>
      <c r="Q640" s="667"/>
      <c r="R640" s="668"/>
      <c r="S640" s="665"/>
      <c r="T640" s="669"/>
      <c r="U640" s="669"/>
      <c r="V640" s="665"/>
      <c r="W640" s="670"/>
      <c r="X640" s="670"/>
      <c r="Y640" s="671"/>
      <c r="Z640" s="671"/>
      <c r="AA640" s="672"/>
      <c r="AB640" s="673"/>
      <c r="AC640" s="673"/>
      <c r="AD640" s="673"/>
      <c r="AE640" s="673"/>
      <c r="AF640" s="673"/>
      <c r="AG640" s="673"/>
      <c r="AH640" s="673"/>
      <c r="AI640" s="673"/>
      <c r="AJ640" s="673"/>
      <c r="AK640" s="673"/>
      <c r="AL640" s="673"/>
      <c r="AM640" s="673"/>
      <c r="AN640" s="673"/>
      <c r="AO640" s="673"/>
      <c r="AP640" s="673"/>
      <c r="AQ640" s="673"/>
      <c r="AR640" s="673"/>
      <c r="AS640" s="673"/>
    </row>
    <row r="641">
      <c r="A641" s="653"/>
      <c r="B641" s="654"/>
      <c r="C641" s="655"/>
      <c r="D641" s="656"/>
      <c r="E641" s="657"/>
      <c r="F641" s="658"/>
      <c r="G641" s="659"/>
      <c r="H641" s="660"/>
      <c r="I641" s="659"/>
      <c r="J641" s="661"/>
      <c r="K641" s="658"/>
      <c r="L641" s="662"/>
      <c r="M641" s="663"/>
      <c r="N641" s="664"/>
      <c r="O641" s="665"/>
      <c r="P641" s="666"/>
      <c r="Q641" s="667"/>
      <c r="R641" s="668"/>
      <c r="S641" s="665"/>
      <c r="T641" s="669"/>
      <c r="U641" s="669"/>
      <c r="V641" s="665"/>
      <c r="W641" s="670"/>
      <c r="X641" s="670"/>
      <c r="Y641" s="671"/>
      <c r="Z641" s="671"/>
      <c r="AA641" s="672"/>
      <c r="AB641" s="673"/>
      <c r="AC641" s="673"/>
      <c r="AD641" s="673"/>
      <c r="AE641" s="673"/>
      <c r="AF641" s="673"/>
      <c r="AG641" s="673"/>
      <c r="AH641" s="673"/>
      <c r="AI641" s="673"/>
      <c r="AJ641" s="673"/>
      <c r="AK641" s="673"/>
      <c r="AL641" s="673"/>
      <c r="AM641" s="673"/>
      <c r="AN641" s="673"/>
      <c r="AO641" s="673"/>
      <c r="AP641" s="673"/>
      <c r="AQ641" s="673"/>
      <c r="AR641" s="673"/>
      <c r="AS641" s="673"/>
    </row>
    <row r="642">
      <c r="A642" s="653"/>
      <c r="B642" s="654"/>
      <c r="C642" s="655"/>
      <c r="D642" s="656"/>
      <c r="E642" s="657"/>
      <c r="F642" s="658"/>
      <c r="G642" s="659"/>
      <c r="H642" s="660"/>
      <c r="I642" s="659"/>
      <c r="J642" s="661"/>
      <c r="K642" s="658"/>
      <c r="L642" s="662"/>
      <c r="M642" s="663"/>
      <c r="N642" s="664"/>
      <c r="O642" s="665"/>
      <c r="P642" s="666"/>
      <c r="Q642" s="667"/>
      <c r="R642" s="668"/>
      <c r="S642" s="665"/>
      <c r="T642" s="669"/>
      <c r="U642" s="669"/>
      <c r="V642" s="665"/>
      <c r="W642" s="670"/>
      <c r="X642" s="670"/>
      <c r="Y642" s="671"/>
      <c r="Z642" s="671"/>
      <c r="AA642" s="672"/>
      <c r="AB642" s="673"/>
      <c r="AC642" s="673"/>
      <c r="AD642" s="673"/>
      <c r="AE642" s="673"/>
      <c r="AF642" s="673"/>
      <c r="AG642" s="673"/>
      <c r="AH642" s="673"/>
      <c r="AI642" s="673"/>
      <c r="AJ642" s="673"/>
      <c r="AK642" s="673"/>
      <c r="AL642" s="673"/>
      <c r="AM642" s="673"/>
      <c r="AN642" s="673"/>
      <c r="AO642" s="673"/>
      <c r="AP642" s="673"/>
      <c r="AQ642" s="673"/>
      <c r="AR642" s="673"/>
      <c r="AS642" s="673"/>
    </row>
    <row r="643">
      <c r="A643" s="653"/>
      <c r="B643" s="654"/>
      <c r="C643" s="655"/>
      <c r="D643" s="656"/>
      <c r="E643" s="657"/>
      <c r="F643" s="658"/>
      <c r="G643" s="659"/>
      <c r="H643" s="660"/>
      <c r="I643" s="659"/>
      <c r="J643" s="661"/>
      <c r="K643" s="658"/>
      <c r="L643" s="662"/>
      <c r="M643" s="663"/>
      <c r="N643" s="664"/>
      <c r="O643" s="665"/>
      <c r="P643" s="666"/>
      <c r="Q643" s="667"/>
      <c r="R643" s="668"/>
      <c r="S643" s="665"/>
      <c r="T643" s="669"/>
      <c r="U643" s="669"/>
      <c r="V643" s="665"/>
      <c r="W643" s="670"/>
      <c r="X643" s="670"/>
      <c r="Y643" s="671"/>
      <c r="Z643" s="671"/>
      <c r="AA643" s="672"/>
      <c r="AB643" s="673"/>
      <c r="AC643" s="673"/>
      <c r="AD643" s="673"/>
      <c r="AE643" s="673"/>
      <c r="AF643" s="673"/>
      <c r="AG643" s="673"/>
      <c r="AH643" s="673"/>
      <c r="AI643" s="673"/>
      <c r="AJ643" s="673"/>
      <c r="AK643" s="673"/>
      <c r="AL643" s="673"/>
      <c r="AM643" s="673"/>
      <c r="AN643" s="673"/>
      <c r="AO643" s="673"/>
      <c r="AP643" s="673"/>
      <c r="AQ643" s="673"/>
      <c r="AR643" s="673"/>
      <c r="AS643" s="673"/>
    </row>
    <row r="644">
      <c r="A644" s="653"/>
      <c r="B644" s="654"/>
      <c r="C644" s="655"/>
      <c r="D644" s="656"/>
      <c r="E644" s="657"/>
      <c r="F644" s="658"/>
      <c r="G644" s="659"/>
      <c r="H644" s="660"/>
      <c r="I644" s="659"/>
      <c r="J644" s="661"/>
      <c r="K644" s="658"/>
      <c r="L644" s="662"/>
      <c r="M644" s="663"/>
      <c r="N644" s="664"/>
      <c r="O644" s="665"/>
      <c r="P644" s="666"/>
      <c r="Q644" s="667"/>
      <c r="R644" s="668"/>
      <c r="S644" s="665"/>
      <c r="T644" s="669"/>
      <c r="U644" s="669"/>
      <c r="V644" s="665"/>
      <c r="W644" s="670"/>
      <c r="X644" s="670"/>
      <c r="Y644" s="671"/>
      <c r="Z644" s="671"/>
      <c r="AA644" s="672"/>
      <c r="AB644" s="673"/>
      <c r="AC644" s="673"/>
      <c r="AD644" s="673"/>
      <c r="AE644" s="673"/>
      <c r="AF644" s="673"/>
      <c r="AG644" s="673"/>
      <c r="AH644" s="673"/>
      <c r="AI644" s="673"/>
      <c r="AJ644" s="673"/>
      <c r="AK644" s="673"/>
      <c r="AL644" s="673"/>
      <c r="AM644" s="673"/>
      <c r="AN644" s="673"/>
      <c r="AO644" s="673"/>
      <c r="AP644" s="673"/>
      <c r="AQ644" s="673"/>
      <c r="AR644" s="673"/>
      <c r="AS644" s="673"/>
    </row>
    <row r="645">
      <c r="A645" s="653"/>
      <c r="B645" s="654"/>
      <c r="C645" s="655"/>
      <c r="D645" s="656"/>
      <c r="E645" s="657"/>
      <c r="F645" s="658"/>
      <c r="G645" s="659"/>
      <c r="H645" s="660"/>
      <c r="I645" s="659"/>
      <c r="J645" s="661"/>
      <c r="K645" s="658"/>
      <c r="L645" s="662"/>
      <c r="M645" s="663"/>
      <c r="N645" s="664"/>
      <c r="O645" s="665"/>
      <c r="P645" s="666"/>
      <c r="Q645" s="667"/>
      <c r="R645" s="668"/>
      <c r="S645" s="665"/>
      <c r="T645" s="669"/>
      <c r="U645" s="669"/>
      <c r="V645" s="665"/>
      <c r="W645" s="670"/>
      <c r="X645" s="670"/>
      <c r="Y645" s="671"/>
      <c r="Z645" s="671"/>
      <c r="AA645" s="672"/>
      <c r="AB645" s="673"/>
      <c r="AC645" s="673"/>
      <c r="AD645" s="673"/>
      <c r="AE645" s="673"/>
      <c r="AF645" s="673"/>
      <c r="AG645" s="673"/>
      <c r="AH645" s="673"/>
      <c r="AI645" s="673"/>
      <c r="AJ645" s="673"/>
      <c r="AK645" s="673"/>
      <c r="AL645" s="673"/>
      <c r="AM645" s="673"/>
      <c r="AN645" s="673"/>
      <c r="AO645" s="673"/>
      <c r="AP645" s="673"/>
      <c r="AQ645" s="673"/>
      <c r="AR645" s="673"/>
      <c r="AS645" s="673"/>
    </row>
    <row r="646">
      <c r="A646" s="653"/>
      <c r="B646" s="654"/>
      <c r="C646" s="655"/>
      <c r="D646" s="656"/>
      <c r="E646" s="657"/>
      <c r="F646" s="658"/>
      <c r="G646" s="659"/>
      <c r="H646" s="660"/>
      <c r="I646" s="659"/>
      <c r="J646" s="661"/>
      <c r="K646" s="658"/>
      <c r="L646" s="662"/>
      <c r="M646" s="663"/>
      <c r="N646" s="664"/>
      <c r="O646" s="665"/>
      <c r="P646" s="666"/>
      <c r="Q646" s="667"/>
      <c r="R646" s="668"/>
      <c r="S646" s="665"/>
      <c r="T646" s="669"/>
      <c r="U646" s="669"/>
      <c r="V646" s="665"/>
      <c r="W646" s="670"/>
      <c r="X646" s="670"/>
      <c r="Y646" s="671"/>
      <c r="Z646" s="671"/>
      <c r="AA646" s="672"/>
      <c r="AB646" s="673"/>
      <c r="AC646" s="673"/>
      <c r="AD646" s="673"/>
      <c r="AE646" s="673"/>
      <c r="AF646" s="673"/>
      <c r="AG646" s="673"/>
      <c r="AH646" s="673"/>
      <c r="AI646" s="673"/>
      <c r="AJ646" s="673"/>
      <c r="AK646" s="673"/>
      <c r="AL646" s="673"/>
      <c r="AM646" s="673"/>
      <c r="AN646" s="673"/>
      <c r="AO646" s="673"/>
      <c r="AP646" s="673"/>
      <c r="AQ646" s="673"/>
      <c r="AR646" s="673"/>
      <c r="AS646" s="673"/>
    </row>
    <row r="647">
      <c r="A647" s="653"/>
      <c r="B647" s="654"/>
      <c r="C647" s="655"/>
      <c r="D647" s="656"/>
      <c r="E647" s="657"/>
      <c r="F647" s="658"/>
      <c r="G647" s="659"/>
      <c r="H647" s="660"/>
      <c r="I647" s="659"/>
      <c r="J647" s="661"/>
      <c r="K647" s="658"/>
      <c r="L647" s="662"/>
      <c r="M647" s="663"/>
      <c r="N647" s="664"/>
      <c r="O647" s="665"/>
      <c r="P647" s="666"/>
      <c r="Q647" s="667"/>
      <c r="R647" s="668"/>
      <c r="S647" s="665"/>
      <c r="T647" s="669"/>
      <c r="U647" s="669"/>
      <c r="V647" s="665"/>
      <c r="W647" s="670"/>
      <c r="X647" s="670"/>
      <c r="Y647" s="671"/>
      <c r="Z647" s="671"/>
      <c r="AA647" s="672"/>
      <c r="AB647" s="673"/>
      <c r="AC647" s="673"/>
      <c r="AD647" s="673"/>
      <c r="AE647" s="673"/>
      <c r="AF647" s="673"/>
      <c r="AG647" s="673"/>
      <c r="AH647" s="673"/>
      <c r="AI647" s="673"/>
      <c r="AJ647" s="673"/>
      <c r="AK647" s="673"/>
      <c r="AL647" s="673"/>
      <c r="AM647" s="673"/>
      <c r="AN647" s="673"/>
      <c r="AO647" s="673"/>
      <c r="AP647" s="673"/>
      <c r="AQ647" s="673"/>
      <c r="AR647" s="673"/>
      <c r="AS647" s="673"/>
    </row>
    <row r="648">
      <c r="A648" s="653"/>
      <c r="B648" s="654"/>
      <c r="C648" s="655"/>
      <c r="D648" s="656"/>
      <c r="E648" s="657"/>
      <c r="F648" s="658"/>
      <c r="G648" s="659"/>
      <c r="H648" s="660"/>
      <c r="I648" s="659"/>
      <c r="J648" s="661"/>
      <c r="K648" s="658"/>
      <c r="L648" s="662"/>
      <c r="M648" s="663"/>
      <c r="N648" s="664"/>
      <c r="O648" s="665"/>
      <c r="P648" s="666"/>
      <c r="Q648" s="667"/>
      <c r="R648" s="668"/>
      <c r="S648" s="665"/>
      <c r="T648" s="669"/>
      <c r="U648" s="669"/>
      <c r="V648" s="665"/>
      <c r="W648" s="670"/>
      <c r="X648" s="670"/>
      <c r="Y648" s="671"/>
      <c r="Z648" s="671"/>
      <c r="AA648" s="672"/>
      <c r="AB648" s="673"/>
      <c r="AC648" s="673"/>
      <c r="AD648" s="673"/>
      <c r="AE648" s="673"/>
      <c r="AF648" s="673"/>
      <c r="AG648" s="673"/>
      <c r="AH648" s="673"/>
      <c r="AI648" s="673"/>
      <c r="AJ648" s="673"/>
      <c r="AK648" s="673"/>
      <c r="AL648" s="673"/>
      <c r="AM648" s="673"/>
      <c r="AN648" s="673"/>
      <c r="AO648" s="673"/>
      <c r="AP648" s="673"/>
      <c r="AQ648" s="673"/>
      <c r="AR648" s="673"/>
      <c r="AS648" s="673"/>
    </row>
    <row r="649">
      <c r="A649" s="653"/>
      <c r="B649" s="654"/>
      <c r="C649" s="655"/>
      <c r="D649" s="656"/>
      <c r="E649" s="657"/>
      <c r="F649" s="658"/>
      <c r="G649" s="659"/>
      <c r="H649" s="660"/>
      <c r="I649" s="659"/>
      <c r="J649" s="661"/>
      <c r="K649" s="658"/>
      <c r="L649" s="662"/>
      <c r="M649" s="663"/>
      <c r="N649" s="664"/>
      <c r="O649" s="665"/>
      <c r="P649" s="666"/>
      <c r="Q649" s="667"/>
      <c r="R649" s="668"/>
      <c r="S649" s="665"/>
      <c r="T649" s="669"/>
      <c r="U649" s="669"/>
      <c r="V649" s="665"/>
      <c r="W649" s="670"/>
      <c r="X649" s="670"/>
      <c r="Y649" s="671"/>
      <c r="Z649" s="671"/>
      <c r="AA649" s="672"/>
      <c r="AB649" s="673"/>
      <c r="AC649" s="673"/>
      <c r="AD649" s="673"/>
      <c r="AE649" s="673"/>
      <c r="AF649" s="673"/>
      <c r="AG649" s="673"/>
      <c r="AH649" s="673"/>
      <c r="AI649" s="673"/>
      <c r="AJ649" s="673"/>
      <c r="AK649" s="673"/>
      <c r="AL649" s="673"/>
      <c r="AM649" s="673"/>
      <c r="AN649" s="673"/>
      <c r="AO649" s="673"/>
      <c r="AP649" s="673"/>
      <c r="AQ649" s="673"/>
      <c r="AR649" s="673"/>
      <c r="AS649" s="673"/>
    </row>
    <row r="650">
      <c r="A650" s="653"/>
      <c r="B650" s="654"/>
      <c r="C650" s="655"/>
      <c r="D650" s="656"/>
      <c r="E650" s="657"/>
      <c r="F650" s="658"/>
      <c r="G650" s="659"/>
      <c r="H650" s="660"/>
      <c r="I650" s="659"/>
      <c r="J650" s="661"/>
      <c r="K650" s="658"/>
      <c r="L650" s="662"/>
      <c r="M650" s="663"/>
      <c r="N650" s="664"/>
      <c r="O650" s="665"/>
      <c r="P650" s="666"/>
      <c r="Q650" s="667"/>
      <c r="R650" s="668"/>
      <c r="S650" s="665"/>
      <c r="T650" s="669"/>
      <c r="U650" s="669"/>
      <c r="V650" s="665"/>
      <c r="W650" s="670"/>
      <c r="X650" s="670"/>
      <c r="Y650" s="671"/>
      <c r="Z650" s="671"/>
      <c r="AA650" s="672"/>
      <c r="AB650" s="673"/>
      <c r="AC650" s="673"/>
      <c r="AD650" s="673"/>
      <c r="AE650" s="673"/>
      <c r="AF650" s="673"/>
      <c r="AG650" s="673"/>
      <c r="AH650" s="673"/>
      <c r="AI650" s="673"/>
      <c r="AJ650" s="673"/>
      <c r="AK650" s="673"/>
      <c r="AL650" s="673"/>
      <c r="AM650" s="673"/>
      <c r="AN650" s="673"/>
      <c r="AO650" s="673"/>
      <c r="AP650" s="673"/>
      <c r="AQ650" s="673"/>
      <c r="AR650" s="673"/>
      <c r="AS650" s="673"/>
    </row>
    <row r="651">
      <c r="A651" s="653"/>
      <c r="B651" s="654"/>
      <c r="C651" s="655"/>
      <c r="D651" s="656"/>
      <c r="E651" s="657"/>
      <c r="F651" s="658"/>
      <c r="G651" s="659"/>
      <c r="H651" s="660"/>
      <c r="I651" s="659"/>
      <c r="J651" s="661"/>
      <c r="K651" s="658"/>
      <c r="L651" s="662"/>
      <c r="M651" s="663"/>
      <c r="N651" s="664"/>
      <c r="O651" s="665"/>
      <c r="P651" s="666"/>
      <c r="Q651" s="667"/>
      <c r="R651" s="668"/>
      <c r="S651" s="665"/>
      <c r="T651" s="669"/>
      <c r="U651" s="669"/>
      <c r="V651" s="665"/>
      <c r="W651" s="670"/>
      <c r="X651" s="670"/>
      <c r="Y651" s="671"/>
      <c r="Z651" s="671"/>
      <c r="AA651" s="672"/>
      <c r="AB651" s="673"/>
      <c r="AC651" s="673"/>
      <c r="AD651" s="673"/>
      <c r="AE651" s="673"/>
      <c r="AF651" s="673"/>
      <c r="AG651" s="673"/>
      <c r="AH651" s="673"/>
      <c r="AI651" s="673"/>
      <c r="AJ651" s="673"/>
      <c r="AK651" s="673"/>
      <c r="AL651" s="673"/>
      <c r="AM651" s="673"/>
      <c r="AN651" s="673"/>
      <c r="AO651" s="673"/>
      <c r="AP651" s="673"/>
      <c r="AQ651" s="673"/>
      <c r="AR651" s="673"/>
      <c r="AS651" s="673"/>
    </row>
    <row r="652">
      <c r="A652" s="653"/>
      <c r="B652" s="654"/>
      <c r="C652" s="655"/>
      <c r="D652" s="656"/>
      <c r="E652" s="657"/>
      <c r="F652" s="658"/>
      <c r="G652" s="659"/>
      <c r="H652" s="660"/>
      <c r="I652" s="659"/>
      <c r="J652" s="661"/>
      <c r="K652" s="658"/>
      <c r="L652" s="662"/>
      <c r="M652" s="663"/>
      <c r="N652" s="664"/>
      <c r="O652" s="665"/>
      <c r="P652" s="666"/>
      <c r="Q652" s="667"/>
      <c r="R652" s="668"/>
      <c r="S652" s="665"/>
      <c r="T652" s="669"/>
      <c r="U652" s="669"/>
      <c r="V652" s="665"/>
      <c r="W652" s="670"/>
      <c r="X652" s="670"/>
      <c r="Y652" s="671"/>
      <c r="Z652" s="671"/>
      <c r="AA652" s="672"/>
      <c r="AB652" s="673"/>
      <c r="AC652" s="673"/>
      <c r="AD652" s="673"/>
      <c r="AE652" s="673"/>
      <c r="AF652" s="673"/>
      <c r="AG652" s="673"/>
      <c r="AH652" s="673"/>
      <c r="AI652" s="673"/>
      <c r="AJ652" s="673"/>
      <c r="AK652" s="673"/>
      <c r="AL652" s="673"/>
      <c r="AM652" s="673"/>
      <c r="AN652" s="673"/>
      <c r="AO652" s="673"/>
      <c r="AP652" s="673"/>
      <c r="AQ652" s="673"/>
      <c r="AR652" s="673"/>
      <c r="AS652" s="673"/>
    </row>
    <row r="653">
      <c r="A653" s="653"/>
      <c r="B653" s="654"/>
      <c r="C653" s="655"/>
      <c r="D653" s="656"/>
      <c r="E653" s="657"/>
      <c r="F653" s="658"/>
      <c r="G653" s="659"/>
      <c r="H653" s="660"/>
      <c r="I653" s="659"/>
      <c r="J653" s="661"/>
      <c r="K653" s="658"/>
      <c r="L653" s="662"/>
      <c r="M653" s="663"/>
      <c r="N653" s="664"/>
      <c r="O653" s="665"/>
      <c r="P653" s="666"/>
      <c r="Q653" s="667"/>
      <c r="R653" s="668"/>
      <c r="S653" s="665"/>
      <c r="T653" s="669"/>
      <c r="U653" s="669"/>
      <c r="V653" s="665"/>
      <c r="W653" s="670"/>
      <c r="X653" s="670"/>
      <c r="Y653" s="671"/>
      <c r="Z653" s="671"/>
      <c r="AA653" s="672"/>
      <c r="AB653" s="673"/>
      <c r="AC653" s="673"/>
      <c r="AD653" s="673"/>
      <c r="AE653" s="673"/>
      <c r="AF653" s="673"/>
      <c r="AG653" s="673"/>
      <c r="AH653" s="673"/>
      <c r="AI653" s="673"/>
      <c r="AJ653" s="673"/>
      <c r="AK653" s="673"/>
      <c r="AL653" s="673"/>
      <c r="AM653" s="673"/>
      <c r="AN653" s="673"/>
      <c r="AO653" s="673"/>
      <c r="AP653" s="673"/>
      <c r="AQ653" s="673"/>
      <c r="AR653" s="673"/>
      <c r="AS653" s="673"/>
    </row>
    <row r="654">
      <c r="A654" s="653"/>
      <c r="B654" s="654"/>
      <c r="C654" s="655"/>
      <c r="D654" s="656"/>
      <c r="E654" s="657"/>
      <c r="F654" s="658"/>
      <c r="G654" s="659"/>
      <c r="H654" s="660"/>
      <c r="I654" s="659"/>
      <c r="J654" s="661"/>
      <c r="K654" s="658"/>
      <c r="L654" s="662"/>
      <c r="M654" s="663"/>
      <c r="N654" s="664"/>
      <c r="O654" s="665"/>
      <c r="P654" s="666"/>
      <c r="Q654" s="667"/>
      <c r="R654" s="668"/>
      <c r="S654" s="665"/>
      <c r="T654" s="669"/>
      <c r="U654" s="669"/>
      <c r="V654" s="665"/>
      <c r="W654" s="670"/>
      <c r="X654" s="670"/>
      <c r="Y654" s="671"/>
      <c r="Z654" s="671"/>
      <c r="AA654" s="672"/>
      <c r="AB654" s="673"/>
      <c r="AC654" s="673"/>
      <c r="AD654" s="673"/>
      <c r="AE654" s="673"/>
      <c r="AF654" s="673"/>
      <c r="AG654" s="673"/>
      <c r="AH654" s="673"/>
      <c r="AI654" s="673"/>
      <c r="AJ654" s="673"/>
      <c r="AK654" s="673"/>
      <c r="AL654" s="673"/>
      <c r="AM654" s="673"/>
      <c r="AN654" s="673"/>
      <c r="AO654" s="673"/>
      <c r="AP654" s="673"/>
      <c r="AQ654" s="673"/>
      <c r="AR654" s="673"/>
      <c r="AS654" s="673"/>
    </row>
    <row r="655">
      <c r="A655" s="653"/>
      <c r="B655" s="654"/>
      <c r="C655" s="655"/>
      <c r="D655" s="656"/>
      <c r="E655" s="657"/>
      <c r="F655" s="658"/>
      <c r="G655" s="659"/>
      <c r="H655" s="660"/>
      <c r="I655" s="659"/>
      <c r="J655" s="661"/>
      <c r="K655" s="658"/>
      <c r="L655" s="662"/>
      <c r="M655" s="663"/>
      <c r="N655" s="664"/>
      <c r="O655" s="665"/>
      <c r="P655" s="666"/>
      <c r="Q655" s="667"/>
      <c r="R655" s="668"/>
      <c r="S655" s="665"/>
      <c r="T655" s="669"/>
      <c r="U655" s="669"/>
      <c r="V655" s="665"/>
      <c r="W655" s="670"/>
      <c r="X655" s="670"/>
      <c r="Y655" s="671"/>
      <c r="Z655" s="671"/>
      <c r="AA655" s="672"/>
      <c r="AB655" s="673"/>
      <c r="AC655" s="673"/>
      <c r="AD655" s="673"/>
      <c r="AE655" s="673"/>
      <c r="AF655" s="673"/>
      <c r="AG655" s="673"/>
      <c r="AH655" s="673"/>
      <c r="AI655" s="673"/>
      <c r="AJ655" s="673"/>
      <c r="AK655" s="673"/>
      <c r="AL655" s="673"/>
      <c r="AM655" s="673"/>
      <c r="AN655" s="673"/>
      <c r="AO655" s="673"/>
      <c r="AP655" s="673"/>
      <c r="AQ655" s="673"/>
      <c r="AR655" s="673"/>
      <c r="AS655" s="673"/>
    </row>
    <row r="656">
      <c r="A656" s="653"/>
      <c r="B656" s="654"/>
      <c r="C656" s="655"/>
      <c r="D656" s="656"/>
      <c r="E656" s="657"/>
      <c r="F656" s="658"/>
      <c r="G656" s="659"/>
      <c r="H656" s="660"/>
      <c r="I656" s="659"/>
      <c r="J656" s="661"/>
      <c r="K656" s="658"/>
      <c r="L656" s="662"/>
      <c r="M656" s="663"/>
      <c r="N656" s="664"/>
      <c r="O656" s="665"/>
      <c r="P656" s="666"/>
      <c r="Q656" s="667"/>
      <c r="R656" s="668"/>
      <c r="S656" s="665"/>
      <c r="T656" s="669"/>
      <c r="U656" s="669"/>
      <c r="V656" s="665"/>
      <c r="W656" s="670"/>
      <c r="X656" s="670"/>
      <c r="Y656" s="671"/>
      <c r="Z656" s="671"/>
      <c r="AA656" s="672"/>
      <c r="AB656" s="673"/>
      <c r="AC656" s="673"/>
      <c r="AD656" s="673"/>
      <c r="AE656" s="673"/>
      <c r="AF656" s="673"/>
      <c r="AG656" s="673"/>
      <c r="AH656" s="673"/>
      <c r="AI656" s="673"/>
      <c r="AJ656" s="673"/>
      <c r="AK656" s="673"/>
      <c r="AL656" s="673"/>
      <c r="AM656" s="673"/>
      <c r="AN656" s="673"/>
      <c r="AO656" s="673"/>
      <c r="AP656" s="673"/>
      <c r="AQ656" s="673"/>
      <c r="AR656" s="673"/>
      <c r="AS656" s="673"/>
    </row>
    <row r="657">
      <c r="A657" s="653"/>
      <c r="B657" s="654"/>
      <c r="C657" s="655"/>
      <c r="D657" s="656"/>
      <c r="E657" s="657"/>
      <c r="F657" s="658"/>
      <c r="G657" s="659"/>
      <c r="H657" s="660"/>
      <c r="I657" s="659"/>
      <c r="J657" s="661"/>
      <c r="K657" s="658"/>
      <c r="L657" s="662"/>
      <c r="M657" s="663"/>
      <c r="N657" s="664"/>
      <c r="O657" s="665"/>
      <c r="P657" s="666"/>
      <c r="Q657" s="667"/>
      <c r="R657" s="668"/>
      <c r="S657" s="665"/>
      <c r="T657" s="669"/>
      <c r="U657" s="669"/>
      <c r="V657" s="665"/>
      <c r="W657" s="670"/>
      <c r="X657" s="670"/>
      <c r="Y657" s="671"/>
      <c r="Z657" s="671"/>
      <c r="AA657" s="672"/>
      <c r="AB657" s="673"/>
      <c r="AC657" s="673"/>
      <c r="AD657" s="673"/>
      <c r="AE657" s="673"/>
      <c r="AF657" s="673"/>
      <c r="AG657" s="673"/>
      <c r="AH657" s="673"/>
      <c r="AI657" s="673"/>
      <c r="AJ657" s="673"/>
      <c r="AK657" s="673"/>
      <c r="AL657" s="673"/>
      <c r="AM657" s="673"/>
      <c r="AN657" s="673"/>
      <c r="AO657" s="673"/>
      <c r="AP657" s="673"/>
      <c r="AQ657" s="673"/>
      <c r="AR657" s="673"/>
      <c r="AS657" s="673"/>
    </row>
    <row r="658">
      <c r="A658" s="653"/>
      <c r="B658" s="654"/>
      <c r="C658" s="655"/>
      <c r="D658" s="656"/>
      <c r="E658" s="657"/>
      <c r="F658" s="658"/>
      <c r="G658" s="659"/>
      <c r="H658" s="660"/>
      <c r="I658" s="659"/>
      <c r="J658" s="661"/>
      <c r="K658" s="658"/>
      <c r="L658" s="662"/>
      <c r="M658" s="663"/>
      <c r="N658" s="664"/>
      <c r="O658" s="665"/>
      <c r="P658" s="666"/>
      <c r="Q658" s="667"/>
      <c r="R658" s="668"/>
      <c r="S658" s="665"/>
      <c r="T658" s="669"/>
      <c r="U658" s="669"/>
      <c r="V658" s="665"/>
      <c r="W658" s="670"/>
      <c r="X658" s="670"/>
      <c r="Y658" s="671"/>
      <c r="Z658" s="671"/>
      <c r="AA658" s="672"/>
      <c r="AB658" s="673"/>
      <c r="AC658" s="673"/>
      <c r="AD658" s="673"/>
      <c r="AE658" s="673"/>
      <c r="AF658" s="673"/>
      <c r="AG658" s="673"/>
      <c r="AH658" s="673"/>
      <c r="AI658" s="673"/>
      <c r="AJ658" s="673"/>
      <c r="AK658" s="673"/>
      <c r="AL658" s="673"/>
      <c r="AM658" s="673"/>
      <c r="AN658" s="673"/>
      <c r="AO658" s="673"/>
      <c r="AP658" s="673"/>
      <c r="AQ658" s="673"/>
      <c r="AR658" s="673"/>
      <c r="AS658" s="673"/>
    </row>
    <row r="659">
      <c r="A659" s="653"/>
      <c r="B659" s="654"/>
      <c r="C659" s="655"/>
      <c r="D659" s="656"/>
      <c r="E659" s="657"/>
      <c r="F659" s="658"/>
      <c r="G659" s="659"/>
      <c r="H659" s="660"/>
      <c r="I659" s="659"/>
      <c r="J659" s="661"/>
      <c r="K659" s="658"/>
      <c r="L659" s="662"/>
      <c r="M659" s="663"/>
      <c r="N659" s="664"/>
      <c r="O659" s="665"/>
      <c r="P659" s="666"/>
      <c r="Q659" s="667"/>
      <c r="R659" s="668"/>
      <c r="S659" s="665"/>
      <c r="T659" s="669"/>
      <c r="U659" s="669"/>
      <c r="V659" s="665"/>
      <c r="W659" s="670"/>
      <c r="X659" s="670"/>
      <c r="Y659" s="671"/>
      <c r="Z659" s="671"/>
      <c r="AA659" s="672"/>
      <c r="AB659" s="673"/>
      <c r="AC659" s="673"/>
      <c r="AD659" s="673"/>
      <c r="AE659" s="673"/>
      <c r="AF659" s="673"/>
      <c r="AG659" s="673"/>
      <c r="AH659" s="673"/>
      <c r="AI659" s="673"/>
      <c r="AJ659" s="673"/>
      <c r="AK659" s="673"/>
      <c r="AL659" s="673"/>
      <c r="AM659" s="673"/>
      <c r="AN659" s="673"/>
      <c r="AO659" s="673"/>
      <c r="AP659" s="673"/>
      <c r="AQ659" s="673"/>
      <c r="AR659" s="673"/>
      <c r="AS659" s="673"/>
    </row>
    <row r="660">
      <c r="A660" s="653"/>
      <c r="B660" s="654"/>
      <c r="C660" s="655"/>
      <c r="D660" s="656"/>
      <c r="E660" s="657"/>
      <c r="F660" s="658"/>
      <c r="G660" s="659"/>
      <c r="H660" s="660"/>
      <c r="I660" s="659"/>
      <c r="J660" s="661"/>
      <c r="K660" s="658"/>
      <c r="L660" s="662"/>
      <c r="M660" s="663"/>
      <c r="N660" s="664"/>
      <c r="O660" s="665"/>
      <c r="P660" s="666"/>
      <c r="Q660" s="667"/>
      <c r="R660" s="668"/>
      <c r="S660" s="665"/>
      <c r="T660" s="669"/>
      <c r="U660" s="669"/>
      <c r="V660" s="665"/>
      <c r="W660" s="670"/>
      <c r="X660" s="670"/>
      <c r="Y660" s="671"/>
      <c r="Z660" s="671"/>
      <c r="AA660" s="672"/>
      <c r="AB660" s="673"/>
      <c r="AC660" s="673"/>
      <c r="AD660" s="673"/>
      <c r="AE660" s="673"/>
      <c r="AF660" s="673"/>
      <c r="AG660" s="673"/>
      <c r="AH660" s="673"/>
      <c r="AI660" s="673"/>
      <c r="AJ660" s="673"/>
      <c r="AK660" s="673"/>
      <c r="AL660" s="673"/>
      <c r="AM660" s="673"/>
      <c r="AN660" s="673"/>
      <c r="AO660" s="673"/>
      <c r="AP660" s="673"/>
      <c r="AQ660" s="673"/>
      <c r="AR660" s="673"/>
      <c r="AS660" s="673"/>
    </row>
    <row r="661">
      <c r="A661" s="653"/>
      <c r="B661" s="654"/>
      <c r="C661" s="655"/>
      <c r="D661" s="656"/>
      <c r="E661" s="657"/>
      <c r="F661" s="658"/>
      <c r="G661" s="659"/>
      <c r="H661" s="660"/>
      <c r="I661" s="659"/>
      <c r="J661" s="661"/>
      <c r="K661" s="658"/>
      <c r="L661" s="662"/>
      <c r="M661" s="663"/>
      <c r="N661" s="664"/>
      <c r="O661" s="665"/>
      <c r="P661" s="666"/>
      <c r="Q661" s="667"/>
      <c r="R661" s="668"/>
      <c r="S661" s="665"/>
      <c r="T661" s="669"/>
      <c r="U661" s="669"/>
      <c r="V661" s="665"/>
      <c r="W661" s="670"/>
      <c r="X661" s="670"/>
      <c r="Y661" s="671"/>
      <c r="Z661" s="671"/>
      <c r="AA661" s="672"/>
      <c r="AB661" s="673"/>
      <c r="AC661" s="673"/>
      <c r="AD661" s="673"/>
      <c r="AE661" s="673"/>
      <c r="AF661" s="673"/>
      <c r="AG661" s="673"/>
      <c r="AH661" s="673"/>
      <c r="AI661" s="673"/>
      <c r="AJ661" s="673"/>
      <c r="AK661" s="673"/>
      <c r="AL661" s="673"/>
      <c r="AM661" s="673"/>
      <c r="AN661" s="673"/>
      <c r="AO661" s="673"/>
      <c r="AP661" s="673"/>
      <c r="AQ661" s="673"/>
      <c r="AR661" s="673"/>
      <c r="AS661" s="673"/>
    </row>
    <row r="662">
      <c r="A662" s="653"/>
      <c r="B662" s="654"/>
      <c r="C662" s="655"/>
      <c r="D662" s="656"/>
      <c r="E662" s="657"/>
      <c r="F662" s="658"/>
      <c r="G662" s="659"/>
      <c r="H662" s="660"/>
      <c r="I662" s="659"/>
      <c r="J662" s="661"/>
      <c r="K662" s="658"/>
      <c r="L662" s="662"/>
      <c r="M662" s="663"/>
      <c r="N662" s="664"/>
      <c r="O662" s="665"/>
      <c r="P662" s="666"/>
      <c r="Q662" s="667"/>
      <c r="R662" s="668"/>
      <c r="S662" s="665"/>
      <c r="T662" s="669"/>
      <c r="U662" s="669"/>
      <c r="V662" s="665"/>
      <c r="W662" s="670"/>
      <c r="X662" s="670"/>
      <c r="Y662" s="671"/>
      <c r="Z662" s="671"/>
      <c r="AA662" s="672"/>
      <c r="AB662" s="673"/>
      <c r="AC662" s="673"/>
      <c r="AD662" s="673"/>
      <c r="AE662" s="673"/>
      <c r="AF662" s="673"/>
      <c r="AG662" s="673"/>
      <c r="AH662" s="673"/>
      <c r="AI662" s="673"/>
      <c r="AJ662" s="673"/>
      <c r="AK662" s="673"/>
      <c r="AL662" s="673"/>
      <c r="AM662" s="673"/>
      <c r="AN662" s="673"/>
      <c r="AO662" s="673"/>
      <c r="AP662" s="673"/>
      <c r="AQ662" s="673"/>
      <c r="AR662" s="673"/>
      <c r="AS662" s="673"/>
    </row>
    <row r="663">
      <c r="A663" s="653"/>
      <c r="B663" s="654"/>
      <c r="C663" s="655"/>
      <c r="D663" s="656"/>
      <c r="E663" s="657"/>
      <c r="F663" s="658"/>
      <c r="G663" s="659"/>
      <c r="H663" s="660"/>
      <c r="I663" s="659"/>
      <c r="J663" s="661"/>
      <c r="K663" s="658"/>
      <c r="L663" s="662"/>
      <c r="M663" s="663"/>
      <c r="N663" s="664"/>
      <c r="O663" s="665"/>
      <c r="P663" s="666"/>
      <c r="Q663" s="667"/>
      <c r="R663" s="668"/>
      <c r="S663" s="665"/>
      <c r="T663" s="669"/>
      <c r="U663" s="669"/>
      <c r="V663" s="665"/>
      <c r="W663" s="670"/>
      <c r="X663" s="670"/>
      <c r="Y663" s="671"/>
      <c r="Z663" s="671"/>
      <c r="AA663" s="672"/>
      <c r="AB663" s="673"/>
      <c r="AC663" s="673"/>
      <c r="AD663" s="673"/>
      <c r="AE663" s="673"/>
      <c r="AF663" s="673"/>
      <c r="AG663" s="673"/>
      <c r="AH663" s="673"/>
      <c r="AI663" s="673"/>
      <c r="AJ663" s="673"/>
      <c r="AK663" s="673"/>
      <c r="AL663" s="673"/>
      <c r="AM663" s="673"/>
      <c r="AN663" s="673"/>
      <c r="AO663" s="673"/>
      <c r="AP663" s="673"/>
      <c r="AQ663" s="673"/>
      <c r="AR663" s="673"/>
      <c r="AS663" s="673"/>
    </row>
    <row r="664">
      <c r="A664" s="653"/>
      <c r="B664" s="654"/>
      <c r="C664" s="655"/>
      <c r="D664" s="656"/>
      <c r="E664" s="657"/>
      <c r="F664" s="658"/>
      <c r="G664" s="659"/>
      <c r="H664" s="660"/>
      <c r="I664" s="659"/>
      <c r="J664" s="661"/>
      <c r="K664" s="658"/>
      <c r="L664" s="662"/>
      <c r="M664" s="663"/>
      <c r="N664" s="664"/>
      <c r="O664" s="665"/>
      <c r="P664" s="666"/>
      <c r="Q664" s="667"/>
      <c r="R664" s="668"/>
      <c r="S664" s="665"/>
      <c r="T664" s="669"/>
      <c r="U664" s="669"/>
      <c r="V664" s="665"/>
      <c r="W664" s="670"/>
      <c r="X664" s="670"/>
      <c r="Y664" s="671"/>
      <c r="Z664" s="671"/>
      <c r="AA664" s="672"/>
      <c r="AB664" s="673"/>
      <c r="AC664" s="673"/>
      <c r="AD664" s="673"/>
      <c r="AE664" s="673"/>
      <c r="AF664" s="673"/>
      <c r="AG664" s="673"/>
      <c r="AH664" s="673"/>
      <c r="AI664" s="673"/>
      <c r="AJ664" s="673"/>
      <c r="AK664" s="673"/>
      <c r="AL664" s="673"/>
      <c r="AM664" s="673"/>
      <c r="AN664" s="673"/>
      <c r="AO664" s="673"/>
      <c r="AP664" s="673"/>
      <c r="AQ664" s="673"/>
      <c r="AR664" s="673"/>
      <c r="AS664" s="673"/>
    </row>
    <row r="665">
      <c r="A665" s="653"/>
      <c r="B665" s="654"/>
      <c r="C665" s="655"/>
      <c r="D665" s="656"/>
      <c r="E665" s="657"/>
      <c r="F665" s="658"/>
      <c r="G665" s="659"/>
      <c r="H665" s="660"/>
      <c r="I665" s="659"/>
      <c r="J665" s="661"/>
      <c r="K665" s="658"/>
      <c r="L665" s="662"/>
      <c r="M665" s="663"/>
      <c r="N665" s="664"/>
      <c r="O665" s="665"/>
      <c r="P665" s="666"/>
      <c r="Q665" s="667"/>
      <c r="R665" s="668"/>
      <c r="S665" s="665"/>
      <c r="T665" s="669"/>
      <c r="U665" s="669"/>
      <c r="V665" s="665"/>
      <c r="W665" s="670"/>
      <c r="X665" s="670"/>
      <c r="Y665" s="671"/>
      <c r="Z665" s="671"/>
      <c r="AA665" s="672"/>
      <c r="AB665" s="673"/>
      <c r="AC665" s="673"/>
      <c r="AD665" s="673"/>
      <c r="AE665" s="673"/>
      <c r="AF665" s="673"/>
      <c r="AG665" s="673"/>
      <c r="AH665" s="673"/>
      <c r="AI665" s="673"/>
      <c r="AJ665" s="673"/>
      <c r="AK665" s="673"/>
      <c r="AL665" s="673"/>
      <c r="AM665" s="673"/>
      <c r="AN665" s="673"/>
      <c r="AO665" s="673"/>
      <c r="AP665" s="673"/>
      <c r="AQ665" s="673"/>
      <c r="AR665" s="673"/>
      <c r="AS665" s="673"/>
    </row>
    <row r="666">
      <c r="A666" s="653"/>
      <c r="B666" s="654"/>
      <c r="C666" s="655"/>
      <c r="D666" s="656"/>
      <c r="E666" s="657"/>
      <c r="F666" s="658"/>
      <c r="G666" s="659"/>
      <c r="H666" s="660"/>
      <c r="I666" s="659"/>
      <c r="J666" s="661"/>
      <c r="K666" s="658"/>
      <c r="L666" s="662"/>
      <c r="M666" s="663"/>
      <c r="N666" s="664"/>
      <c r="O666" s="665"/>
      <c r="P666" s="666"/>
      <c r="Q666" s="667"/>
      <c r="R666" s="668"/>
      <c r="S666" s="665"/>
      <c r="T666" s="669"/>
      <c r="U666" s="669"/>
      <c r="V666" s="665"/>
      <c r="W666" s="670"/>
      <c r="X666" s="670"/>
      <c r="Y666" s="671"/>
      <c r="Z666" s="671"/>
      <c r="AA666" s="672"/>
      <c r="AB666" s="673"/>
      <c r="AC666" s="673"/>
      <c r="AD666" s="673"/>
      <c r="AE666" s="673"/>
      <c r="AF666" s="673"/>
      <c r="AG666" s="673"/>
      <c r="AH666" s="673"/>
      <c r="AI666" s="673"/>
      <c r="AJ666" s="673"/>
      <c r="AK666" s="673"/>
      <c r="AL666" s="673"/>
      <c r="AM666" s="673"/>
      <c r="AN666" s="673"/>
      <c r="AO666" s="673"/>
      <c r="AP666" s="673"/>
      <c r="AQ666" s="673"/>
      <c r="AR666" s="673"/>
      <c r="AS666" s="673"/>
    </row>
    <row r="667">
      <c r="A667" s="653"/>
      <c r="B667" s="654"/>
      <c r="C667" s="655"/>
      <c r="D667" s="656"/>
      <c r="E667" s="657"/>
      <c r="F667" s="658"/>
      <c r="G667" s="659"/>
      <c r="H667" s="660"/>
      <c r="I667" s="659"/>
      <c r="J667" s="661"/>
      <c r="K667" s="658"/>
      <c r="L667" s="662"/>
      <c r="M667" s="663"/>
      <c r="N667" s="664"/>
      <c r="O667" s="665"/>
      <c r="P667" s="666"/>
      <c r="Q667" s="667"/>
      <c r="R667" s="668"/>
      <c r="S667" s="665"/>
      <c r="T667" s="669"/>
      <c r="U667" s="669"/>
      <c r="V667" s="665"/>
      <c r="W667" s="670"/>
      <c r="X667" s="670"/>
      <c r="Y667" s="671"/>
      <c r="Z667" s="671"/>
      <c r="AA667" s="672"/>
      <c r="AB667" s="673"/>
      <c r="AC667" s="673"/>
      <c r="AD667" s="673"/>
      <c r="AE667" s="673"/>
      <c r="AF667" s="673"/>
      <c r="AG667" s="673"/>
      <c r="AH667" s="673"/>
      <c r="AI667" s="673"/>
      <c r="AJ667" s="673"/>
      <c r="AK667" s="673"/>
      <c r="AL667" s="673"/>
      <c r="AM667" s="673"/>
      <c r="AN667" s="673"/>
      <c r="AO667" s="673"/>
      <c r="AP667" s="673"/>
      <c r="AQ667" s="673"/>
      <c r="AR667" s="673"/>
      <c r="AS667" s="673"/>
    </row>
    <row r="668">
      <c r="A668" s="653"/>
      <c r="B668" s="654"/>
      <c r="C668" s="655"/>
      <c r="D668" s="656"/>
      <c r="E668" s="657"/>
      <c r="F668" s="658"/>
      <c r="G668" s="659"/>
      <c r="H668" s="660"/>
      <c r="I668" s="659"/>
      <c r="J668" s="661"/>
      <c r="K668" s="658"/>
      <c r="L668" s="662"/>
      <c r="M668" s="663"/>
      <c r="N668" s="664"/>
      <c r="O668" s="665"/>
      <c r="P668" s="666"/>
      <c r="Q668" s="667"/>
      <c r="R668" s="668"/>
      <c r="S668" s="665"/>
      <c r="T668" s="669"/>
      <c r="U668" s="669"/>
      <c r="V668" s="665"/>
      <c r="W668" s="670"/>
      <c r="X668" s="670"/>
      <c r="Y668" s="671"/>
      <c r="Z668" s="671"/>
      <c r="AA668" s="672"/>
      <c r="AB668" s="673"/>
      <c r="AC668" s="673"/>
      <c r="AD668" s="673"/>
      <c r="AE668" s="673"/>
      <c r="AF668" s="673"/>
      <c r="AG668" s="673"/>
      <c r="AH668" s="673"/>
      <c r="AI668" s="673"/>
      <c r="AJ668" s="673"/>
      <c r="AK668" s="673"/>
      <c r="AL668" s="673"/>
      <c r="AM668" s="673"/>
      <c r="AN668" s="673"/>
      <c r="AO668" s="673"/>
      <c r="AP668" s="673"/>
      <c r="AQ668" s="673"/>
      <c r="AR668" s="673"/>
      <c r="AS668" s="673"/>
    </row>
    <row r="669">
      <c r="A669" s="653"/>
      <c r="B669" s="654"/>
      <c r="C669" s="655"/>
      <c r="D669" s="656"/>
      <c r="E669" s="657"/>
      <c r="F669" s="658"/>
      <c r="G669" s="659"/>
      <c r="H669" s="660"/>
      <c r="I669" s="659"/>
      <c r="J669" s="661"/>
      <c r="K669" s="658"/>
      <c r="L669" s="662"/>
      <c r="M669" s="663"/>
      <c r="N669" s="664"/>
      <c r="O669" s="665"/>
      <c r="P669" s="666"/>
      <c r="Q669" s="667"/>
      <c r="R669" s="668"/>
      <c r="S669" s="665"/>
      <c r="T669" s="669"/>
      <c r="U669" s="669"/>
      <c r="V669" s="665"/>
      <c r="W669" s="670"/>
      <c r="X669" s="670"/>
      <c r="Y669" s="671"/>
      <c r="Z669" s="671"/>
      <c r="AA669" s="672"/>
      <c r="AB669" s="673"/>
      <c r="AC669" s="673"/>
      <c r="AD669" s="673"/>
      <c r="AE669" s="673"/>
      <c r="AF669" s="673"/>
      <c r="AG669" s="673"/>
      <c r="AH669" s="673"/>
      <c r="AI669" s="673"/>
      <c r="AJ669" s="673"/>
      <c r="AK669" s="673"/>
      <c r="AL669" s="673"/>
      <c r="AM669" s="673"/>
      <c r="AN669" s="673"/>
      <c r="AO669" s="673"/>
      <c r="AP669" s="673"/>
      <c r="AQ669" s="673"/>
      <c r="AR669" s="673"/>
      <c r="AS669" s="673"/>
    </row>
    <row r="670">
      <c r="A670" s="653"/>
      <c r="B670" s="654"/>
      <c r="C670" s="655"/>
      <c r="D670" s="656"/>
      <c r="E670" s="657"/>
      <c r="F670" s="658"/>
      <c r="G670" s="659"/>
      <c r="H670" s="660"/>
      <c r="I670" s="659"/>
      <c r="J670" s="661"/>
      <c r="K670" s="658"/>
      <c r="L670" s="662"/>
      <c r="M670" s="663"/>
      <c r="N670" s="664"/>
      <c r="O670" s="665"/>
      <c r="P670" s="666"/>
      <c r="Q670" s="667"/>
      <c r="R670" s="668"/>
      <c r="S670" s="665"/>
      <c r="T670" s="669"/>
      <c r="U670" s="669"/>
      <c r="V670" s="665"/>
      <c r="W670" s="670"/>
      <c r="X670" s="670"/>
      <c r="Y670" s="671"/>
      <c r="Z670" s="671"/>
      <c r="AA670" s="672"/>
      <c r="AB670" s="673"/>
      <c r="AC670" s="673"/>
      <c r="AD670" s="673"/>
      <c r="AE670" s="673"/>
      <c r="AF670" s="673"/>
      <c r="AG670" s="673"/>
      <c r="AH670" s="673"/>
      <c r="AI670" s="673"/>
      <c r="AJ670" s="673"/>
      <c r="AK670" s="673"/>
      <c r="AL670" s="673"/>
      <c r="AM670" s="673"/>
      <c r="AN670" s="673"/>
      <c r="AO670" s="673"/>
      <c r="AP670" s="673"/>
      <c r="AQ670" s="673"/>
      <c r="AR670" s="673"/>
      <c r="AS670" s="673"/>
    </row>
    <row r="671">
      <c r="A671" s="653"/>
      <c r="B671" s="654"/>
      <c r="C671" s="655"/>
      <c r="D671" s="656"/>
      <c r="E671" s="657"/>
      <c r="F671" s="658"/>
      <c r="G671" s="659"/>
      <c r="H671" s="660"/>
      <c r="I671" s="659"/>
      <c r="J671" s="661"/>
      <c r="K671" s="658"/>
      <c r="L671" s="662"/>
      <c r="M671" s="663"/>
      <c r="N671" s="664"/>
      <c r="O671" s="665"/>
      <c r="P671" s="666"/>
      <c r="Q671" s="667"/>
      <c r="R671" s="668"/>
      <c r="S671" s="665"/>
      <c r="T671" s="669"/>
      <c r="U671" s="669"/>
      <c r="V671" s="665"/>
      <c r="W671" s="670"/>
      <c r="X671" s="670"/>
      <c r="Y671" s="671"/>
      <c r="Z671" s="671"/>
      <c r="AA671" s="672"/>
      <c r="AB671" s="673"/>
      <c r="AC671" s="673"/>
      <c r="AD671" s="673"/>
      <c r="AE671" s="673"/>
      <c r="AF671" s="673"/>
      <c r="AG671" s="673"/>
      <c r="AH671" s="673"/>
      <c r="AI671" s="673"/>
      <c r="AJ671" s="673"/>
      <c r="AK671" s="673"/>
      <c r="AL671" s="673"/>
      <c r="AM671" s="673"/>
      <c r="AN671" s="673"/>
      <c r="AO671" s="673"/>
      <c r="AP671" s="673"/>
      <c r="AQ671" s="673"/>
      <c r="AR671" s="673"/>
      <c r="AS671" s="673"/>
    </row>
    <row r="672">
      <c r="A672" s="653"/>
      <c r="B672" s="654"/>
      <c r="C672" s="655"/>
      <c r="D672" s="656"/>
      <c r="E672" s="657"/>
      <c r="F672" s="658"/>
      <c r="G672" s="659"/>
      <c r="H672" s="660"/>
      <c r="I672" s="659"/>
      <c r="J672" s="661"/>
      <c r="K672" s="658"/>
      <c r="L672" s="662"/>
      <c r="M672" s="663"/>
      <c r="N672" s="664"/>
      <c r="O672" s="665"/>
      <c r="P672" s="666"/>
      <c r="Q672" s="667"/>
      <c r="R672" s="668"/>
      <c r="S672" s="665"/>
      <c r="T672" s="669"/>
      <c r="U672" s="669"/>
      <c r="V672" s="665"/>
      <c r="W672" s="670"/>
      <c r="X672" s="670"/>
      <c r="Y672" s="671"/>
      <c r="Z672" s="671"/>
      <c r="AA672" s="672"/>
      <c r="AB672" s="673"/>
      <c r="AC672" s="673"/>
      <c r="AD672" s="673"/>
      <c r="AE672" s="673"/>
      <c r="AF672" s="673"/>
      <c r="AG672" s="673"/>
      <c r="AH672" s="673"/>
      <c r="AI672" s="673"/>
      <c r="AJ672" s="673"/>
      <c r="AK672" s="673"/>
      <c r="AL672" s="673"/>
      <c r="AM672" s="673"/>
      <c r="AN672" s="673"/>
      <c r="AO672" s="673"/>
      <c r="AP672" s="673"/>
      <c r="AQ672" s="673"/>
      <c r="AR672" s="673"/>
      <c r="AS672" s="673"/>
    </row>
    <row r="673">
      <c r="A673" s="653"/>
      <c r="B673" s="654"/>
      <c r="C673" s="655"/>
      <c r="D673" s="656"/>
      <c r="E673" s="657"/>
      <c r="F673" s="658"/>
      <c r="G673" s="659"/>
      <c r="H673" s="660"/>
      <c r="I673" s="659"/>
      <c r="J673" s="661"/>
      <c r="K673" s="658"/>
      <c r="L673" s="662"/>
      <c r="M673" s="663"/>
      <c r="N673" s="664"/>
      <c r="O673" s="665"/>
      <c r="P673" s="666"/>
      <c r="Q673" s="667"/>
      <c r="R673" s="668"/>
      <c r="S673" s="665"/>
      <c r="T673" s="669"/>
      <c r="U673" s="669"/>
      <c r="V673" s="665"/>
      <c r="W673" s="670"/>
      <c r="X673" s="670"/>
      <c r="Y673" s="671"/>
      <c r="Z673" s="671"/>
      <c r="AA673" s="672"/>
      <c r="AB673" s="673"/>
      <c r="AC673" s="673"/>
      <c r="AD673" s="673"/>
      <c r="AE673" s="673"/>
      <c r="AF673" s="673"/>
      <c r="AG673" s="673"/>
      <c r="AH673" s="673"/>
      <c r="AI673" s="673"/>
      <c r="AJ673" s="673"/>
      <c r="AK673" s="673"/>
      <c r="AL673" s="673"/>
      <c r="AM673" s="673"/>
      <c r="AN673" s="673"/>
      <c r="AO673" s="673"/>
      <c r="AP673" s="673"/>
      <c r="AQ673" s="673"/>
      <c r="AR673" s="673"/>
      <c r="AS673" s="673"/>
    </row>
    <row r="674">
      <c r="A674" s="653"/>
      <c r="B674" s="654"/>
      <c r="C674" s="655"/>
      <c r="D674" s="656"/>
      <c r="E674" s="657"/>
      <c r="F674" s="658"/>
      <c r="G674" s="659"/>
      <c r="H674" s="660"/>
      <c r="I674" s="659"/>
      <c r="J674" s="661"/>
      <c r="K674" s="658"/>
      <c r="L674" s="662"/>
      <c r="M674" s="663"/>
      <c r="N674" s="664"/>
      <c r="O674" s="665"/>
      <c r="P674" s="666"/>
      <c r="Q674" s="667"/>
      <c r="R674" s="668"/>
      <c r="S674" s="665"/>
      <c r="T674" s="669"/>
      <c r="U674" s="669"/>
      <c r="V674" s="665"/>
      <c r="W674" s="670"/>
      <c r="X674" s="670"/>
      <c r="Y674" s="671"/>
      <c r="Z674" s="671"/>
      <c r="AA674" s="672"/>
      <c r="AB674" s="673"/>
      <c r="AC674" s="673"/>
      <c r="AD674" s="673"/>
      <c r="AE674" s="673"/>
      <c r="AF674" s="673"/>
      <c r="AG674" s="673"/>
      <c r="AH674" s="673"/>
      <c r="AI674" s="673"/>
      <c r="AJ674" s="673"/>
      <c r="AK674" s="673"/>
      <c r="AL674" s="673"/>
      <c r="AM674" s="673"/>
      <c r="AN674" s="673"/>
      <c r="AO674" s="673"/>
      <c r="AP674" s="673"/>
      <c r="AQ674" s="673"/>
      <c r="AR674" s="673"/>
      <c r="AS674" s="673"/>
    </row>
    <row r="675">
      <c r="A675" s="653"/>
      <c r="B675" s="654"/>
      <c r="C675" s="655"/>
      <c r="D675" s="656"/>
      <c r="E675" s="657"/>
      <c r="F675" s="658"/>
      <c r="G675" s="659"/>
      <c r="H675" s="660"/>
      <c r="I675" s="659"/>
      <c r="J675" s="661"/>
      <c r="K675" s="658"/>
      <c r="L675" s="662"/>
      <c r="M675" s="663"/>
      <c r="N675" s="664"/>
      <c r="O675" s="665"/>
      <c r="P675" s="666"/>
      <c r="Q675" s="667"/>
      <c r="R675" s="668"/>
      <c r="S675" s="665"/>
      <c r="T675" s="669"/>
      <c r="U675" s="669"/>
      <c r="V675" s="665"/>
      <c r="W675" s="670"/>
      <c r="X675" s="670"/>
      <c r="Y675" s="671"/>
      <c r="Z675" s="671"/>
      <c r="AA675" s="672"/>
      <c r="AB675" s="673"/>
      <c r="AC675" s="673"/>
      <c r="AD675" s="673"/>
      <c r="AE675" s="673"/>
      <c r="AF675" s="673"/>
      <c r="AG675" s="673"/>
      <c r="AH675" s="673"/>
      <c r="AI675" s="673"/>
      <c r="AJ675" s="673"/>
      <c r="AK675" s="673"/>
      <c r="AL675" s="673"/>
      <c r="AM675" s="673"/>
      <c r="AN675" s="673"/>
      <c r="AO675" s="673"/>
      <c r="AP675" s="673"/>
      <c r="AQ675" s="673"/>
      <c r="AR675" s="673"/>
      <c r="AS675" s="673"/>
    </row>
    <row r="676">
      <c r="A676" s="653"/>
      <c r="B676" s="654"/>
      <c r="C676" s="655"/>
      <c r="D676" s="656"/>
      <c r="E676" s="657"/>
      <c r="F676" s="658"/>
      <c r="G676" s="659"/>
      <c r="H676" s="660"/>
      <c r="I676" s="659"/>
      <c r="J676" s="661"/>
      <c r="K676" s="658"/>
      <c r="L676" s="662"/>
      <c r="M676" s="663"/>
      <c r="N676" s="664"/>
      <c r="O676" s="665"/>
      <c r="P676" s="666"/>
      <c r="Q676" s="667"/>
      <c r="R676" s="668"/>
      <c r="S676" s="665"/>
      <c r="T676" s="669"/>
      <c r="U676" s="669"/>
      <c r="V676" s="665"/>
      <c r="W676" s="670"/>
      <c r="X676" s="670"/>
      <c r="Y676" s="671"/>
      <c r="Z676" s="671"/>
      <c r="AA676" s="672"/>
      <c r="AB676" s="673"/>
      <c r="AC676" s="673"/>
      <c r="AD676" s="673"/>
      <c r="AE676" s="673"/>
      <c r="AF676" s="673"/>
      <c r="AG676" s="673"/>
      <c r="AH676" s="673"/>
      <c r="AI676" s="673"/>
      <c r="AJ676" s="673"/>
      <c r="AK676" s="673"/>
      <c r="AL676" s="673"/>
      <c r="AM676" s="673"/>
      <c r="AN676" s="673"/>
      <c r="AO676" s="673"/>
      <c r="AP676" s="673"/>
      <c r="AQ676" s="673"/>
      <c r="AR676" s="673"/>
      <c r="AS676" s="673"/>
    </row>
    <row r="677">
      <c r="A677" s="653"/>
      <c r="B677" s="654"/>
      <c r="C677" s="655"/>
      <c r="D677" s="656"/>
      <c r="E677" s="657"/>
      <c r="F677" s="658"/>
      <c r="G677" s="659"/>
      <c r="H677" s="660"/>
      <c r="I677" s="659"/>
      <c r="J677" s="661"/>
      <c r="K677" s="658"/>
      <c r="L677" s="662"/>
      <c r="M677" s="663"/>
      <c r="N677" s="664"/>
      <c r="O677" s="665"/>
      <c r="P677" s="666"/>
      <c r="Q677" s="667"/>
      <c r="R677" s="668"/>
      <c r="S677" s="665"/>
      <c r="T677" s="669"/>
      <c r="U677" s="669"/>
      <c r="V677" s="665"/>
      <c r="W677" s="670"/>
      <c r="X677" s="670"/>
      <c r="Y677" s="671"/>
      <c r="Z677" s="671"/>
      <c r="AA677" s="672"/>
      <c r="AB677" s="673"/>
      <c r="AC677" s="673"/>
      <c r="AD677" s="673"/>
      <c r="AE677" s="673"/>
      <c r="AF677" s="673"/>
      <c r="AG677" s="673"/>
      <c r="AH677" s="673"/>
      <c r="AI677" s="673"/>
      <c r="AJ677" s="673"/>
      <c r="AK677" s="673"/>
      <c r="AL677" s="673"/>
      <c r="AM677" s="673"/>
      <c r="AN677" s="673"/>
      <c r="AO677" s="673"/>
      <c r="AP677" s="673"/>
      <c r="AQ677" s="673"/>
      <c r="AR677" s="673"/>
      <c r="AS677" s="673"/>
    </row>
    <row r="678">
      <c r="A678" s="653"/>
      <c r="B678" s="654"/>
      <c r="C678" s="655"/>
      <c r="D678" s="656"/>
      <c r="E678" s="657"/>
      <c r="F678" s="658"/>
      <c r="G678" s="659"/>
      <c r="H678" s="660"/>
      <c r="I678" s="659"/>
      <c r="J678" s="661"/>
      <c r="K678" s="658"/>
      <c r="L678" s="662"/>
      <c r="M678" s="663"/>
      <c r="N678" s="664"/>
      <c r="O678" s="665"/>
      <c r="P678" s="666"/>
      <c r="Q678" s="667"/>
      <c r="R678" s="668"/>
      <c r="S678" s="665"/>
      <c r="T678" s="669"/>
      <c r="U678" s="669"/>
      <c r="V678" s="665"/>
      <c r="W678" s="670"/>
      <c r="X678" s="670"/>
      <c r="Y678" s="671"/>
      <c r="Z678" s="671"/>
      <c r="AA678" s="672"/>
      <c r="AB678" s="673"/>
      <c r="AC678" s="673"/>
      <c r="AD678" s="673"/>
      <c r="AE678" s="673"/>
      <c r="AF678" s="673"/>
      <c r="AG678" s="673"/>
      <c r="AH678" s="673"/>
      <c r="AI678" s="673"/>
      <c r="AJ678" s="673"/>
      <c r="AK678" s="673"/>
      <c r="AL678" s="673"/>
      <c r="AM678" s="673"/>
      <c r="AN678" s="673"/>
      <c r="AO678" s="673"/>
      <c r="AP678" s="673"/>
      <c r="AQ678" s="673"/>
      <c r="AR678" s="673"/>
      <c r="AS678" s="673"/>
    </row>
    <row r="679">
      <c r="A679" s="653"/>
      <c r="B679" s="654"/>
      <c r="C679" s="655"/>
      <c r="D679" s="656"/>
      <c r="E679" s="657"/>
      <c r="F679" s="658"/>
      <c r="G679" s="659"/>
      <c r="H679" s="660"/>
      <c r="I679" s="659"/>
      <c r="J679" s="661"/>
      <c r="K679" s="658"/>
      <c r="L679" s="662"/>
      <c r="M679" s="663"/>
      <c r="N679" s="664"/>
      <c r="O679" s="665"/>
      <c r="P679" s="666"/>
      <c r="Q679" s="667"/>
      <c r="R679" s="668"/>
      <c r="S679" s="665"/>
      <c r="T679" s="669"/>
      <c r="U679" s="669"/>
      <c r="V679" s="665"/>
      <c r="W679" s="670"/>
      <c r="X679" s="670"/>
      <c r="Y679" s="671"/>
      <c r="Z679" s="671"/>
      <c r="AA679" s="672"/>
      <c r="AB679" s="673"/>
      <c r="AC679" s="673"/>
      <c r="AD679" s="673"/>
      <c r="AE679" s="673"/>
      <c r="AF679" s="673"/>
      <c r="AG679" s="673"/>
      <c r="AH679" s="673"/>
      <c r="AI679" s="673"/>
      <c r="AJ679" s="673"/>
      <c r="AK679" s="673"/>
      <c r="AL679" s="673"/>
      <c r="AM679" s="673"/>
      <c r="AN679" s="673"/>
      <c r="AO679" s="673"/>
      <c r="AP679" s="673"/>
      <c r="AQ679" s="673"/>
      <c r="AR679" s="673"/>
      <c r="AS679" s="673"/>
    </row>
    <row r="680">
      <c r="A680" s="653"/>
      <c r="B680" s="654"/>
      <c r="C680" s="655"/>
      <c r="D680" s="656"/>
      <c r="E680" s="657"/>
      <c r="F680" s="658"/>
      <c r="G680" s="659"/>
      <c r="H680" s="660"/>
      <c r="I680" s="659"/>
      <c r="J680" s="661"/>
      <c r="K680" s="658"/>
      <c r="L680" s="662"/>
      <c r="M680" s="663"/>
      <c r="N680" s="664"/>
      <c r="O680" s="665"/>
      <c r="P680" s="666"/>
      <c r="Q680" s="667"/>
      <c r="R680" s="668"/>
      <c r="S680" s="665"/>
      <c r="T680" s="669"/>
      <c r="U680" s="669"/>
      <c r="V680" s="665"/>
      <c r="W680" s="670"/>
      <c r="X680" s="670"/>
      <c r="Y680" s="671"/>
      <c r="Z680" s="671"/>
      <c r="AA680" s="672"/>
      <c r="AB680" s="673"/>
      <c r="AC680" s="673"/>
      <c r="AD680" s="673"/>
      <c r="AE680" s="673"/>
      <c r="AF680" s="673"/>
      <c r="AG680" s="673"/>
      <c r="AH680" s="673"/>
      <c r="AI680" s="673"/>
      <c r="AJ680" s="673"/>
      <c r="AK680" s="673"/>
      <c r="AL680" s="673"/>
      <c r="AM680" s="673"/>
      <c r="AN680" s="673"/>
      <c r="AO680" s="673"/>
      <c r="AP680" s="673"/>
      <c r="AQ680" s="673"/>
      <c r="AR680" s="673"/>
      <c r="AS680" s="673"/>
    </row>
    <row r="681">
      <c r="A681" s="653"/>
      <c r="B681" s="654"/>
      <c r="C681" s="655"/>
      <c r="D681" s="656"/>
      <c r="E681" s="657"/>
      <c r="F681" s="658"/>
      <c r="G681" s="659"/>
      <c r="H681" s="660"/>
      <c r="I681" s="659"/>
      <c r="J681" s="661"/>
      <c r="K681" s="658"/>
      <c r="L681" s="662"/>
      <c r="M681" s="663"/>
      <c r="N681" s="664"/>
      <c r="O681" s="665"/>
      <c r="P681" s="666"/>
      <c r="Q681" s="667"/>
      <c r="R681" s="668"/>
      <c r="S681" s="665"/>
      <c r="T681" s="669"/>
      <c r="U681" s="669"/>
      <c r="V681" s="665"/>
      <c r="W681" s="670"/>
      <c r="X681" s="670"/>
      <c r="Y681" s="671"/>
      <c r="Z681" s="671"/>
      <c r="AA681" s="672"/>
      <c r="AB681" s="673"/>
      <c r="AC681" s="673"/>
      <c r="AD681" s="673"/>
      <c r="AE681" s="673"/>
      <c r="AF681" s="673"/>
      <c r="AG681" s="673"/>
      <c r="AH681" s="673"/>
      <c r="AI681" s="673"/>
      <c r="AJ681" s="673"/>
      <c r="AK681" s="673"/>
      <c r="AL681" s="673"/>
      <c r="AM681" s="673"/>
      <c r="AN681" s="673"/>
      <c r="AO681" s="673"/>
      <c r="AP681" s="673"/>
      <c r="AQ681" s="673"/>
      <c r="AR681" s="673"/>
      <c r="AS681" s="673"/>
    </row>
    <row r="682">
      <c r="A682" s="653"/>
      <c r="B682" s="654"/>
      <c r="C682" s="655"/>
      <c r="D682" s="656"/>
      <c r="E682" s="657"/>
      <c r="F682" s="658"/>
      <c r="G682" s="659"/>
      <c r="H682" s="660"/>
      <c r="I682" s="659"/>
      <c r="J682" s="661"/>
      <c r="K682" s="658"/>
      <c r="L682" s="662"/>
      <c r="M682" s="663"/>
      <c r="N682" s="664"/>
      <c r="O682" s="665"/>
      <c r="P682" s="666"/>
      <c r="Q682" s="667"/>
      <c r="R682" s="668"/>
      <c r="S682" s="665"/>
      <c r="T682" s="669"/>
      <c r="U682" s="669"/>
      <c r="V682" s="665"/>
      <c r="W682" s="670"/>
      <c r="X682" s="670"/>
      <c r="Y682" s="671"/>
      <c r="Z682" s="671"/>
      <c r="AA682" s="672"/>
      <c r="AB682" s="673"/>
      <c r="AC682" s="673"/>
      <c r="AD682" s="673"/>
      <c r="AE682" s="673"/>
      <c r="AF682" s="673"/>
      <c r="AG682" s="673"/>
      <c r="AH682" s="673"/>
      <c r="AI682" s="673"/>
      <c r="AJ682" s="673"/>
      <c r="AK682" s="673"/>
      <c r="AL682" s="673"/>
      <c r="AM682" s="673"/>
      <c r="AN682" s="673"/>
      <c r="AO682" s="673"/>
      <c r="AP682" s="673"/>
      <c r="AQ682" s="673"/>
      <c r="AR682" s="673"/>
      <c r="AS682" s="673"/>
    </row>
    <row r="683">
      <c r="A683" s="653"/>
      <c r="B683" s="654"/>
      <c r="C683" s="655"/>
      <c r="D683" s="656"/>
      <c r="E683" s="657"/>
      <c r="F683" s="658"/>
      <c r="G683" s="659"/>
      <c r="H683" s="660"/>
      <c r="I683" s="659"/>
      <c r="J683" s="661"/>
      <c r="K683" s="658"/>
      <c r="L683" s="662"/>
      <c r="M683" s="663"/>
      <c r="N683" s="664"/>
      <c r="O683" s="665"/>
      <c r="P683" s="666"/>
      <c r="Q683" s="667"/>
      <c r="R683" s="668"/>
      <c r="S683" s="665"/>
      <c r="T683" s="669"/>
      <c r="U683" s="669"/>
      <c r="V683" s="665"/>
      <c r="W683" s="670"/>
      <c r="X683" s="670"/>
      <c r="Y683" s="671"/>
      <c r="Z683" s="671"/>
      <c r="AA683" s="672"/>
      <c r="AB683" s="673"/>
      <c r="AC683" s="673"/>
      <c r="AD683" s="673"/>
      <c r="AE683" s="673"/>
      <c r="AF683" s="673"/>
      <c r="AG683" s="673"/>
      <c r="AH683" s="673"/>
      <c r="AI683" s="673"/>
      <c r="AJ683" s="673"/>
      <c r="AK683" s="673"/>
      <c r="AL683" s="673"/>
      <c r="AM683" s="673"/>
      <c r="AN683" s="673"/>
      <c r="AO683" s="673"/>
      <c r="AP683" s="673"/>
      <c r="AQ683" s="673"/>
      <c r="AR683" s="673"/>
      <c r="AS683" s="673"/>
    </row>
    <row r="684">
      <c r="A684" s="653"/>
      <c r="B684" s="654"/>
      <c r="C684" s="655"/>
      <c r="D684" s="656"/>
      <c r="E684" s="657"/>
      <c r="F684" s="658"/>
      <c r="G684" s="659"/>
      <c r="H684" s="660"/>
      <c r="I684" s="659"/>
      <c r="J684" s="661"/>
      <c r="K684" s="658"/>
      <c r="L684" s="662"/>
      <c r="M684" s="663"/>
      <c r="N684" s="664"/>
      <c r="O684" s="665"/>
      <c r="P684" s="666"/>
      <c r="Q684" s="667"/>
      <c r="R684" s="668"/>
      <c r="S684" s="665"/>
      <c r="T684" s="669"/>
      <c r="U684" s="669"/>
      <c r="V684" s="665"/>
      <c r="W684" s="670"/>
      <c r="X684" s="670"/>
      <c r="Y684" s="671"/>
      <c r="Z684" s="671"/>
      <c r="AA684" s="672"/>
      <c r="AB684" s="673"/>
      <c r="AC684" s="673"/>
      <c r="AD684" s="673"/>
      <c r="AE684" s="673"/>
      <c r="AF684" s="673"/>
      <c r="AG684" s="673"/>
      <c r="AH684" s="673"/>
      <c r="AI684" s="673"/>
      <c r="AJ684" s="673"/>
      <c r="AK684" s="673"/>
      <c r="AL684" s="673"/>
      <c r="AM684" s="673"/>
      <c r="AN684" s="673"/>
      <c r="AO684" s="673"/>
      <c r="AP684" s="673"/>
      <c r="AQ684" s="673"/>
      <c r="AR684" s="673"/>
      <c r="AS684" s="673"/>
    </row>
    <row r="685">
      <c r="A685" s="653"/>
      <c r="B685" s="654"/>
      <c r="C685" s="655"/>
      <c r="D685" s="656"/>
      <c r="E685" s="657"/>
      <c r="F685" s="658"/>
      <c r="G685" s="659"/>
      <c r="H685" s="660"/>
      <c r="I685" s="659"/>
      <c r="J685" s="661"/>
      <c r="K685" s="658"/>
      <c r="L685" s="662"/>
      <c r="M685" s="663"/>
      <c r="N685" s="664"/>
      <c r="O685" s="665"/>
      <c r="P685" s="666"/>
      <c r="Q685" s="667"/>
      <c r="R685" s="668"/>
      <c r="S685" s="665"/>
      <c r="T685" s="669"/>
      <c r="U685" s="669"/>
      <c r="V685" s="665"/>
      <c r="W685" s="670"/>
      <c r="X685" s="670"/>
      <c r="Y685" s="671"/>
      <c r="Z685" s="671"/>
      <c r="AA685" s="672"/>
      <c r="AB685" s="673"/>
      <c r="AC685" s="673"/>
      <c r="AD685" s="673"/>
      <c r="AE685" s="673"/>
      <c r="AF685" s="673"/>
      <c r="AG685" s="673"/>
      <c r="AH685" s="673"/>
      <c r="AI685" s="673"/>
      <c r="AJ685" s="673"/>
      <c r="AK685" s="673"/>
      <c r="AL685" s="673"/>
      <c r="AM685" s="673"/>
      <c r="AN685" s="673"/>
      <c r="AO685" s="673"/>
      <c r="AP685" s="673"/>
      <c r="AQ685" s="673"/>
      <c r="AR685" s="673"/>
      <c r="AS685" s="673"/>
    </row>
    <row r="686">
      <c r="A686" s="653"/>
      <c r="B686" s="654"/>
      <c r="C686" s="655"/>
      <c r="D686" s="656"/>
      <c r="E686" s="657"/>
      <c r="F686" s="658"/>
      <c r="G686" s="659"/>
      <c r="H686" s="660"/>
      <c r="I686" s="659"/>
      <c r="J686" s="661"/>
      <c r="K686" s="658"/>
      <c r="L686" s="662"/>
      <c r="M686" s="663"/>
      <c r="N686" s="664"/>
      <c r="O686" s="665"/>
      <c r="P686" s="666"/>
      <c r="Q686" s="667"/>
      <c r="R686" s="668"/>
      <c r="S686" s="665"/>
      <c r="T686" s="669"/>
      <c r="U686" s="669"/>
      <c r="V686" s="665"/>
      <c r="W686" s="670"/>
      <c r="X686" s="670"/>
      <c r="Y686" s="671"/>
      <c r="Z686" s="671"/>
      <c r="AA686" s="672"/>
      <c r="AB686" s="673"/>
      <c r="AC686" s="673"/>
      <c r="AD686" s="673"/>
      <c r="AE686" s="673"/>
      <c r="AF686" s="673"/>
      <c r="AG686" s="673"/>
      <c r="AH686" s="673"/>
      <c r="AI686" s="673"/>
      <c r="AJ686" s="673"/>
      <c r="AK686" s="673"/>
      <c r="AL686" s="673"/>
      <c r="AM686" s="673"/>
      <c r="AN686" s="673"/>
      <c r="AO686" s="673"/>
      <c r="AP686" s="673"/>
      <c r="AQ686" s="673"/>
      <c r="AR686" s="673"/>
      <c r="AS686" s="673"/>
    </row>
    <row r="687">
      <c r="A687" s="653"/>
      <c r="B687" s="654"/>
      <c r="C687" s="655"/>
      <c r="D687" s="656"/>
      <c r="E687" s="657"/>
      <c r="F687" s="658"/>
      <c r="G687" s="659"/>
      <c r="H687" s="660"/>
      <c r="I687" s="659"/>
      <c r="J687" s="661"/>
      <c r="K687" s="658"/>
      <c r="L687" s="662"/>
      <c r="M687" s="663"/>
      <c r="N687" s="664"/>
      <c r="O687" s="665"/>
      <c r="P687" s="666"/>
      <c r="Q687" s="667"/>
      <c r="R687" s="668"/>
      <c r="S687" s="665"/>
      <c r="T687" s="669"/>
      <c r="U687" s="669"/>
      <c r="V687" s="665"/>
      <c r="W687" s="670"/>
      <c r="X687" s="670"/>
      <c r="Y687" s="671"/>
      <c r="Z687" s="671"/>
      <c r="AA687" s="672"/>
      <c r="AB687" s="673"/>
      <c r="AC687" s="673"/>
      <c r="AD687" s="673"/>
      <c r="AE687" s="673"/>
      <c r="AF687" s="673"/>
      <c r="AG687" s="673"/>
      <c r="AH687" s="673"/>
      <c r="AI687" s="673"/>
      <c r="AJ687" s="673"/>
      <c r="AK687" s="673"/>
      <c r="AL687" s="673"/>
      <c r="AM687" s="673"/>
      <c r="AN687" s="673"/>
      <c r="AO687" s="673"/>
      <c r="AP687" s="673"/>
      <c r="AQ687" s="673"/>
      <c r="AR687" s="673"/>
      <c r="AS687" s="673"/>
    </row>
    <row r="688">
      <c r="A688" s="653"/>
      <c r="B688" s="654"/>
      <c r="C688" s="655"/>
      <c r="D688" s="656"/>
      <c r="E688" s="657"/>
      <c r="F688" s="658"/>
      <c r="G688" s="659"/>
      <c r="H688" s="660"/>
      <c r="I688" s="659"/>
      <c r="J688" s="661"/>
      <c r="K688" s="658"/>
      <c r="L688" s="662"/>
      <c r="M688" s="663"/>
      <c r="N688" s="664"/>
      <c r="O688" s="665"/>
      <c r="P688" s="666"/>
      <c r="Q688" s="667"/>
      <c r="R688" s="668"/>
      <c r="S688" s="665"/>
      <c r="T688" s="669"/>
      <c r="U688" s="669"/>
      <c r="V688" s="665"/>
      <c r="W688" s="670"/>
      <c r="X688" s="670"/>
      <c r="Y688" s="671"/>
      <c r="Z688" s="671"/>
      <c r="AA688" s="672"/>
      <c r="AB688" s="673"/>
      <c r="AC688" s="673"/>
      <c r="AD688" s="673"/>
      <c r="AE688" s="673"/>
      <c r="AF688" s="673"/>
      <c r="AG688" s="673"/>
      <c r="AH688" s="673"/>
      <c r="AI688" s="673"/>
      <c r="AJ688" s="673"/>
      <c r="AK688" s="673"/>
      <c r="AL688" s="673"/>
      <c r="AM688" s="673"/>
      <c r="AN688" s="673"/>
      <c r="AO688" s="673"/>
      <c r="AP688" s="673"/>
      <c r="AQ688" s="673"/>
      <c r="AR688" s="673"/>
      <c r="AS688" s="673"/>
    </row>
    <row r="689">
      <c r="A689" s="653"/>
      <c r="B689" s="654"/>
      <c r="C689" s="655"/>
      <c r="D689" s="656"/>
      <c r="E689" s="657"/>
      <c r="F689" s="658"/>
      <c r="G689" s="659"/>
      <c r="H689" s="660"/>
      <c r="I689" s="659"/>
      <c r="J689" s="661"/>
      <c r="K689" s="658"/>
      <c r="L689" s="662"/>
      <c r="M689" s="663"/>
      <c r="N689" s="664"/>
      <c r="O689" s="665"/>
      <c r="P689" s="666"/>
      <c r="Q689" s="667"/>
      <c r="R689" s="668"/>
      <c r="S689" s="665"/>
      <c r="T689" s="669"/>
      <c r="U689" s="669"/>
      <c r="V689" s="665"/>
      <c r="W689" s="670"/>
      <c r="X689" s="670"/>
      <c r="Y689" s="671"/>
      <c r="Z689" s="671"/>
      <c r="AA689" s="672"/>
      <c r="AB689" s="673"/>
      <c r="AC689" s="673"/>
      <c r="AD689" s="673"/>
      <c r="AE689" s="673"/>
      <c r="AF689" s="673"/>
      <c r="AG689" s="673"/>
      <c r="AH689" s="673"/>
      <c r="AI689" s="673"/>
      <c r="AJ689" s="673"/>
      <c r="AK689" s="673"/>
      <c r="AL689" s="673"/>
      <c r="AM689" s="673"/>
      <c r="AN689" s="673"/>
      <c r="AO689" s="673"/>
      <c r="AP689" s="673"/>
      <c r="AQ689" s="673"/>
      <c r="AR689" s="673"/>
      <c r="AS689" s="673"/>
    </row>
    <row r="690">
      <c r="A690" s="653"/>
      <c r="B690" s="654"/>
      <c r="C690" s="655"/>
      <c r="D690" s="656"/>
      <c r="E690" s="657"/>
      <c r="F690" s="658"/>
      <c r="G690" s="659"/>
      <c r="H690" s="660"/>
      <c r="I690" s="659"/>
      <c r="J690" s="661"/>
      <c r="K690" s="658"/>
      <c r="L690" s="662"/>
      <c r="M690" s="663"/>
      <c r="N690" s="664"/>
      <c r="O690" s="665"/>
      <c r="P690" s="666"/>
      <c r="Q690" s="667"/>
      <c r="R690" s="668"/>
      <c r="S690" s="665"/>
      <c r="T690" s="669"/>
      <c r="U690" s="669"/>
      <c r="V690" s="665"/>
      <c r="W690" s="670"/>
      <c r="X690" s="670"/>
      <c r="Y690" s="671"/>
      <c r="Z690" s="671"/>
      <c r="AA690" s="672"/>
      <c r="AB690" s="673"/>
      <c r="AC690" s="673"/>
      <c r="AD690" s="673"/>
      <c r="AE690" s="673"/>
      <c r="AF690" s="673"/>
      <c r="AG690" s="673"/>
      <c r="AH690" s="673"/>
      <c r="AI690" s="673"/>
      <c r="AJ690" s="673"/>
      <c r="AK690" s="673"/>
      <c r="AL690" s="673"/>
      <c r="AM690" s="673"/>
      <c r="AN690" s="673"/>
      <c r="AO690" s="673"/>
      <c r="AP690" s="673"/>
      <c r="AQ690" s="673"/>
      <c r="AR690" s="673"/>
      <c r="AS690" s="673"/>
    </row>
    <row r="691">
      <c r="A691" s="653"/>
      <c r="B691" s="654"/>
      <c r="C691" s="655"/>
      <c r="D691" s="656"/>
      <c r="E691" s="657"/>
      <c r="F691" s="658"/>
      <c r="G691" s="659"/>
      <c r="H691" s="660"/>
      <c r="I691" s="659"/>
      <c r="J691" s="661"/>
      <c r="K691" s="658"/>
      <c r="L691" s="662"/>
      <c r="M691" s="663"/>
      <c r="N691" s="664"/>
      <c r="O691" s="665"/>
      <c r="P691" s="666"/>
      <c r="Q691" s="667"/>
      <c r="R691" s="668"/>
      <c r="S691" s="665"/>
      <c r="T691" s="669"/>
      <c r="U691" s="669"/>
      <c r="V691" s="665"/>
      <c r="W691" s="670"/>
      <c r="X691" s="670"/>
      <c r="Y691" s="671"/>
      <c r="Z691" s="671"/>
      <c r="AA691" s="672"/>
      <c r="AB691" s="673"/>
      <c r="AC691" s="673"/>
      <c r="AD691" s="673"/>
      <c r="AE691" s="673"/>
      <c r="AF691" s="673"/>
      <c r="AG691" s="673"/>
      <c r="AH691" s="673"/>
      <c r="AI691" s="673"/>
      <c r="AJ691" s="673"/>
      <c r="AK691" s="673"/>
      <c r="AL691" s="673"/>
      <c r="AM691" s="673"/>
      <c r="AN691" s="673"/>
      <c r="AO691" s="673"/>
      <c r="AP691" s="673"/>
      <c r="AQ691" s="673"/>
      <c r="AR691" s="673"/>
      <c r="AS691" s="673"/>
    </row>
    <row r="692">
      <c r="A692" s="653"/>
      <c r="B692" s="654"/>
      <c r="C692" s="655"/>
      <c r="D692" s="656"/>
      <c r="E692" s="657"/>
      <c r="F692" s="658"/>
      <c r="G692" s="659"/>
      <c r="H692" s="660"/>
      <c r="I692" s="659"/>
      <c r="J692" s="661"/>
      <c r="K692" s="658"/>
      <c r="L692" s="662"/>
      <c r="M692" s="663"/>
      <c r="N692" s="664"/>
      <c r="O692" s="665"/>
      <c r="P692" s="666"/>
      <c r="Q692" s="667"/>
      <c r="R692" s="668"/>
      <c r="S692" s="665"/>
      <c r="T692" s="669"/>
      <c r="U692" s="669"/>
      <c r="V692" s="665"/>
      <c r="W692" s="670"/>
      <c r="X692" s="670"/>
      <c r="Y692" s="671"/>
      <c r="Z692" s="671"/>
      <c r="AA692" s="672"/>
      <c r="AB692" s="673"/>
      <c r="AC692" s="673"/>
      <c r="AD692" s="673"/>
      <c r="AE692" s="673"/>
      <c r="AF692" s="673"/>
      <c r="AG692" s="673"/>
      <c r="AH692" s="673"/>
      <c r="AI692" s="673"/>
      <c r="AJ692" s="673"/>
      <c r="AK692" s="673"/>
      <c r="AL692" s="673"/>
      <c r="AM692" s="673"/>
      <c r="AN692" s="673"/>
      <c r="AO692" s="673"/>
      <c r="AP692" s="673"/>
      <c r="AQ692" s="673"/>
      <c r="AR692" s="673"/>
      <c r="AS692" s="673"/>
    </row>
    <row r="693">
      <c r="A693" s="653"/>
      <c r="B693" s="654"/>
      <c r="C693" s="655"/>
      <c r="D693" s="656"/>
      <c r="E693" s="657"/>
      <c r="F693" s="658"/>
      <c r="G693" s="659"/>
      <c r="H693" s="660"/>
      <c r="I693" s="659"/>
      <c r="J693" s="661"/>
      <c r="K693" s="658"/>
      <c r="L693" s="662"/>
      <c r="M693" s="663"/>
      <c r="N693" s="664"/>
      <c r="O693" s="665"/>
      <c r="P693" s="666"/>
      <c r="Q693" s="667"/>
      <c r="R693" s="668"/>
      <c r="S693" s="665"/>
      <c r="T693" s="669"/>
      <c r="U693" s="669"/>
      <c r="V693" s="665"/>
      <c r="W693" s="670"/>
      <c r="X693" s="670"/>
      <c r="Y693" s="671"/>
      <c r="Z693" s="671"/>
      <c r="AA693" s="672"/>
      <c r="AB693" s="673"/>
      <c r="AC693" s="673"/>
      <c r="AD693" s="673"/>
      <c r="AE693" s="673"/>
      <c r="AF693" s="673"/>
      <c r="AG693" s="673"/>
      <c r="AH693" s="673"/>
      <c r="AI693" s="673"/>
      <c r="AJ693" s="673"/>
      <c r="AK693" s="673"/>
      <c r="AL693" s="673"/>
      <c r="AM693" s="673"/>
      <c r="AN693" s="673"/>
      <c r="AO693" s="673"/>
      <c r="AP693" s="673"/>
      <c r="AQ693" s="673"/>
      <c r="AR693" s="673"/>
      <c r="AS693" s="673"/>
    </row>
    <row r="694">
      <c r="A694" s="653"/>
      <c r="B694" s="654"/>
      <c r="C694" s="655"/>
      <c r="D694" s="656"/>
      <c r="E694" s="657"/>
      <c r="F694" s="658"/>
      <c r="G694" s="659"/>
      <c r="H694" s="660"/>
      <c r="I694" s="659"/>
      <c r="J694" s="661"/>
      <c r="K694" s="658"/>
      <c r="L694" s="662"/>
      <c r="M694" s="663"/>
      <c r="N694" s="664"/>
      <c r="O694" s="665"/>
      <c r="P694" s="666"/>
      <c r="Q694" s="667"/>
      <c r="R694" s="668"/>
      <c r="S694" s="665"/>
      <c r="T694" s="669"/>
      <c r="U694" s="669"/>
      <c r="V694" s="665"/>
      <c r="W694" s="670"/>
      <c r="X694" s="670"/>
      <c r="Y694" s="671"/>
      <c r="Z694" s="671"/>
      <c r="AA694" s="672"/>
      <c r="AB694" s="673"/>
      <c r="AC694" s="673"/>
      <c r="AD694" s="673"/>
      <c r="AE694" s="673"/>
      <c r="AF694" s="673"/>
      <c r="AG694" s="673"/>
      <c r="AH694" s="673"/>
      <c r="AI694" s="673"/>
      <c r="AJ694" s="673"/>
      <c r="AK694" s="673"/>
      <c r="AL694" s="673"/>
      <c r="AM694" s="673"/>
      <c r="AN694" s="673"/>
      <c r="AO694" s="673"/>
      <c r="AP694" s="673"/>
      <c r="AQ694" s="673"/>
      <c r="AR694" s="673"/>
      <c r="AS694" s="673"/>
    </row>
    <row r="695">
      <c r="A695" s="653"/>
      <c r="B695" s="654"/>
      <c r="C695" s="655"/>
      <c r="D695" s="656"/>
      <c r="E695" s="657"/>
      <c r="F695" s="658"/>
      <c r="G695" s="659"/>
      <c r="H695" s="660"/>
      <c r="I695" s="659"/>
      <c r="J695" s="661"/>
      <c r="K695" s="658"/>
      <c r="L695" s="662"/>
      <c r="M695" s="663"/>
      <c r="N695" s="664"/>
      <c r="O695" s="665"/>
      <c r="P695" s="666"/>
      <c r="Q695" s="667"/>
      <c r="R695" s="668"/>
      <c r="S695" s="665"/>
      <c r="T695" s="669"/>
      <c r="U695" s="669"/>
      <c r="V695" s="665"/>
      <c r="W695" s="670"/>
      <c r="X695" s="670"/>
      <c r="Y695" s="671"/>
      <c r="Z695" s="671"/>
      <c r="AA695" s="672"/>
      <c r="AB695" s="673"/>
      <c r="AC695" s="673"/>
      <c r="AD695" s="673"/>
      <c r="AE695" s="673"/>
      <c r="AF695" s="673"/>
      <c r="AG695" s="673"/>
      <c r="AH695" s="673"/>
      <c r="AI695" s="673"/>
      <c r="AJ695" s="673"/>
      <c r="AK695" s="673"/>
      <c r="AL695" s="673"/>
      <c r="AM695" s="673"/>
      <c r="AN695" s="673"/>
      <c r="AO695" s="673"/>
      <c r="AP695" s="673"/>
      <c r="AQ695" s="673"/>
      <c r="AR695" s="673"/>
      <c r="AS695" s="673"/>
    </row>
    <row r="696">
      <c r="A696" s="653"/>
      <c r="B696" s="654"/>
      <c r="C696" s="655"/>
      <c r="D696" s="656"/>
      <c r="E696" s="657"/>
      <c r="F696" s="658"/>
      <c r="G696" s="659"/>
      <c r="H696" s="660"/>
      <c r="I696" s="659"/>
      <c r="J696" s="661"/>
      <c r="K696" s="658"/>
      <c r="L696" s="662"/>
      <c r="M696" s="663"/>
      <c r="N696" s="664"/>
      <c r="O696" s="665"/>
      <c r="P696" s="666"/>
      <c r="Q696" s="667"/>
      <c r="R696" s="668"/>
      <c r="S696" s="665"/>
      <c r="T696" s="669"/>
      <c r="U696" s="669"/>
      <c r="V696" s="665"/>
      <c r="W696" s="670"/>
      <c r="X696" s="670"/>
      <c r="Y696" s="671"/>
      <c r="Z696" s="671"/>
      <c r="AA696" s="672"/>
      <c r="AB696" s="673"/>
      <c r="AC696" s="673"/>
      <c r="AD696" s="673"/>
      <c r="AE696" s="673"/>
      <c r="AF696" s="673"/>
      <c r="AG696" s="673"/>
      <c r="AH696" s="673"/>
      <c r="AI696" s="673"/>
      <c r="AJ696" s="673"/>
      <c r="AK696" s="673"/>
      <c r="AL696" s="673"/>
      <c r="AM696" s="673"/>
      <c r="AN696" s="673"/>
      <c r="AO696" s="673"/>
      <c r="AP696" s="673"/>
      <c r="AQ696" s="673"/>
      <c r="AR696" s="673"/>
      <c r="AS696" s="673"/>
    </row>
    <row r="697">
      <c r="A697" s="653"/>
      <c r="B697" s="654"/>
      <c r="C697" s="655"/>
      <c r="D697" s="656"/>
      <c r="E697" s="657"/>
      <c r="F697" s="658"/>
      <c r="G697" s="659"/>
      <c r="H697" s="660"/>
      <c r="I697" s="659"/>
      <c r="J697" s="661"/>
      <c r="K697" s="658"/>
      <c r="L697" s="662"/>
      <c r="M697" s="663"/>
      <c r="N697" s="664"/>
      <c r="O697" s="665"/>
      <c r="P697" s="666"/>
      <c r="Q697" s="667"/>
      <c r="R697" s="668"/>
      <c r="S697" s="665"/>
      <c r="T697" s="669"/>
      <c r="U697" s="669"/>
      <c r="V697" s="665"/>
      <c r="W697" s="670"/>
      <c r="X697" s="670"/>
      <c r="Y697" s="671"/>
      <c r="Z697" s="671"/>
      <c r="AA697" s="672"/>
      <c r="AB697" s="673"/>
      <c r="AC697" s="673"/>
      <c r="AD697" s="673"/>
      <c r="AE697" s="673"/>
      <c r="AF697" s="673"/>
      <c r="AG697" s="673"/>
      <c r="AH697" s="673"/>
      <c r="AI697" s="673"/>
      <c r="AJ697" s="673"/>
      <c r="AK697" s="673"/>
      <c r="AL697" s="673"/>
      <c r="AM697" s="673"/>
      <c r="AN697" s="673"/>
      <c r="AO697" s="673"/>
      <c r="AP697" s="673"/>
      <c r="AQ697" s="673"/>
      <c r="AR697" s="673"/>
      <c r="AS697" s="673"/>
    </row>
    <row r="698">
      <c r="A698" s="653"/>
      <c r="B698" s="654"/>
      <c r="C698" s="655"/>
      <c r="D698" s="656"/>
      <c r="E698" s="657"/>
      <c r="F698" s="658"/>
      <c r="G698" s="659"/>
      <c r="H698" s="660"/>
      <c r="I698" s="659"/>
      <c r="J698" s="661"/>
      <c r="K698" s="658"/>
      <c r="L698" s="662"/>
      <c r="M698" s="663"/>
      <c r="N698" s="664"/>
      <c r="O698" s="665"/>
      <c r="P698" s="666"/>
      <c r="Q698" s="667"/>
      <c r="R698" s="668"/>
      <c r="S698" s="665"/>
      <c r="T698" s="669"/>
      <c r="U698" s="669"/>
      <c r="V698" s="665"/>
      <c r="W698" s="670"/>
      <c r="X698" s="670"/>
      <c r="Y698" s="671"/>
      <c r="Z698" s="671"/>
      <c r="AA698" s="672"/>
      <c r="AB698" s="673"/>
      <c r="AC698" s="673"/>
      <c r="AD698" s="673"/>
      <c r="AE698" s="673"/>
      <c r="AF698" s="673"/>
      <c r="AG698" s="673"/>
      <c r="AH698" s="673"/>
      <c r="AI698" s="673"/>
      <c r="AJ698" s="673"/>
      <c r="AK698" s="673"/>
      <c r="AL698" s="673"/>
      <c r="AM698" s="673"/>
      <c r="AN698" s="673"/>
      <c r="AO698" s="673"/>
      <c r="AP698" s="673"/>
      <c r="AQ698" s="673"/>
      <c r="AR698" s="673"/>
      <c r="AS698" s="673"/>
    </row>
    <row r="699">
      <c r="A699" s="653"/>
      <c r="B699" s="654"/>
      <c r="C699" s="655"/>
      <c r="D699" s="656"/>
      <c r="E699" s="657"/>
      <c r="F699" s="658"/>
      <c r="G699" s="659"/>
      <c r="H699" s="660"/>
      <c r="I699" s="659"/>
      <c r="J699" s="661"/>
      <c r="K699" s="658"/>
      <c r="L699" s="662"/>
      <c r="M699" s="663"/>
      <c r="N699" s="664"/>
      <c r="O699" s="665"/>
      <c r="P699" s="666"/>
      <c r="Q699" s="667"/>
      <c r="R699" s="668"/>
      <c r="S699" s="665"/>
      <c r="T699" s="669"/>
      <c r="U699" s="669"/>
      <c r="V699" s="665"/>
      <c r="W699" s="670"/>
      <c r="X699" s="670"/>
      <c r="Y699" s="671"/>
      <c r="Z699" s="671"/>
      <c r="AA699" s="672"/>
      <c r="AB699" s="673"/>
      <c r="AC699" s="673"/>
      <c r="AD699" s="673"/>
      <c r="AE699" s="673"/>
      <c r="AF699" s="673"/>
      <c r="AG699" s="673"/>
      <c r="AH699" s="673"/>
      <c r="AI699" s="673"/>
      <c r="AJ699" s="673"/>
      <c r="AK699" s="673"/>
      <c r="AL699" s="673"/>
      <c r="AM699" s="673"/>
      <c r="AN699" s="673"/>
      <c r="AO699" s="673"/>
      <c r="AP699" s="673"/>
      <c r="AQ699" s="673"/>
      <c r="AR699" s="673"/>
      <c r="AS699" s="673"/>
    </row>
    <row r="700">
      <c r="A700" s="653"/>
      <c r="B700" s="654"/>
      <c r="C700" s="655"/>
      <c r="D700" s="656"/>
      <c r="E700" s="657"/>
      <c r="F700" s="658"/>
      <c r="G700" s="659"/>
      <c r="H700" s="660"/>
      <c r="I700" s="659"/>
      <c r="J700" s="661"/>
      <c r="K700" s="658"/>
      <c r="L700" s="662"/>
      <c r="M700" s="663"/>
      <c r="N700" s="664"/>
      <c r="O700" s="665"/>
      <c r="P700" s="666"/>
      <c r="Q700" s="667"/>
      <c r="R700" s="668"/>
      <c r="S700" s="665"/>
      <c r="T700" s="669"/>
      <c r="U700" s="669"/>
      <c r="V700" s="665"/>
      <c r="W700" s="670"/>
      <c r="X700" s="670"/>
      <c r="Y700" s="671"/>
      <c r="Z700" s="671"/>
      <c r="AA700" s="672"/>
      <c r="AB700" s="673"/>
      <c r="AC700" s="673"/>
      <c r="AD700" s="673"/>
      <c r="AE700" s="673"/>
      <c r="AF700" s="673"/>
      <c r="AG700" s="673"/>
      <c r="AH700" s="673"/>
      <c r="AI700" s="673"/>
      <c r="AJ700" s="673"/>
      <c r="AK700" s="673"/>
      <c r="AL700" s="673"/>
      <c r="AM700" s="673"/>
      <c r="AN700" s="673"/>
      <c r="AO700" s="673"/>
      <c r="AP700" s="673"/>
      <c r="AQ700" s="673"/>
      <c r="AR700" s="673"/>
      <c r="AS700" s="673"/>
    </row>
    <row r="701">
      <c r="A701" s="653"/>
      <c r="B701" s="654"/>
      <c r="C701" s="655"/>
      <c r="D701" s="656"/>
      <c r="E701" s="657"/>
      <c r="F701" s="658"/>
      <c r="G701" s="659"/>
      <c r="H701" s="660"/>
      <c r="I701" s="659"/>
      <c r="J701" s="661"/>
      <c r="K701" s="658"/>
      <c r="L701" s="662"/>
      <c r="M701" s="663"/>
      <c r="N701" s="664"/>
      <c r="O701" s="665"/>
      <c r="P701" s="666"/>
      <c r="Q701" s="667"/>
      <c r="R701" s="668"/>
      <c r="S701" s="665"/>
      <c r="T701" s="669"/>
      <c r="U701" s="669"/>
      <c r="V701" s="665"/>
      <c r="W701" s="670"/>
      <c r="X701" s="670"/>
      <c r="Y701" s="671"/>
      <c r="Z701" s="671"/>
      <c r="AA701" s="672"/>
      <c r="AB701" s="673"/>
      <c r="AC701" s="673"/>
      <c r="AD701" s="673"/>
      <c r="AE701" s="673"/>
      <c r="AF701" s="673"/>
      <c r="AG701" s="673"/>
      <c r="AH701" s="673"/>
      <c r="AI701" s="673"/>
      <c r="AJ701" s="673"/>
      <c r="AK701" s="673"/>
      <c r="AL701" s="673"/>
      <c r="AM701" s="673"/>
      <c r="AN701" s="673"/>
      <c r="AO701" s="673"/>
      <c r="AP701" s="673"/>
      <c r="AQ701" s="673"/>
      <c r="AR701" s="673"/>
      <c r="AS701" s="673"/>
    </row>
    <row r="702">
      <c r="A702" s="653"/>
      <c r="B702" s="654"/>
      <c r="C702" s="655"/>
      <c r="D702" s="656"/>
      <c r="E702" s="657"/>
      <c r="F702" s="658"/>
      <c r="G702" s="659"/>
      <c r="H702" s="660"/>
      <c r="I702" s="659"/>
      <c r="J702" s="661"/>
      <c r="K702" s="658"/>
      <c r="L702" s="662"/>
      <c r="M702" s="663"/>
      <c r="N702" s="664"/>
      <c r="O702" s="665"/>
      <c r="P702" s="666"/>
      <c r="Q702" s="667"/>
      <c r="R702" s="668"/>
      <c r="S702" s="665"/>
      <c r="T702" s="669"/>
      <c r="U702" s="669"/>
      <c r="V702" s="665"/>
      <c r="W702" s="670"/>
      <c r="X702" s="670"/>
      <c r="Y702" s="671"/>
      <c r="Z702" s="671"/>
      <c r="AA702" s="672"/>
      <c r="AB702" s="673"/>
      <c r="AC702" s="673"/>
      <c r="AD702" s="673"/>
      <c r="AE702" s="673"/>
      <c r="AF702" s="673"/>
      <c r="AG702" s="673"/>
      <c r="AH702" s="673"/>
      <c r="AI702" s="673"/>
      <c r="AJ702" s="673"/>
      <c r="AK702" s="673"/>
      <c r="AL702" s="673"/>
      <c r="AM702" s="673"/>
      <c r="AN702" s="673"/>
      <c r="AO702" s="673"/>
      <c r="AP702" s="673"/>
      <c r="AQ702" s="673"/>
      <c r="AR702" s="673"/>
      <c r="AS702" s="673"/>
    </row>
    <row r="703">
      <c r="A703" s="653"/>
      <c r="B703" s="654"/>
      <c r="C703" s="655"/>
      <c r="D703" s="656"/>
      <c r="E703" s="657"/>
      <c r="F703" s="658"/>
      <c r="G703" s="659"/>
      <c r="H703" s="660"/>
      <c r="I703" s="659"/>
      <c r="J703" s="661"/>
      <c r="K703" s="658"/>
      <c r="L703" s="662"/>
      <c r="M703" s="663"/>
      <c r="N703" s="664"/>
      <c r="O703" s="665"/>
      <c r="P703" s="666"/>
      <c r="Q703" s="667"/>
      <c r="R703" s="668"/>
      <c r="S703" s="665"/>
      <c r="T703" s="669"/>
      <c r="U703" s="669"/>
      <c r="V703" s="665"/>
      <c r="W703" s="670"/>
      <c r="X703" s="670"/>
      <c r="Y703" s="671"/>
      <c r="Z703" s="671"/>
      <c r="AA703" s="672"/>
      <c r="AB703" s="673"/>
      <c r="AC703" s="673"/>
      <c r="AD703" s="673"/>
      <c r="AE703" s="673"/>
      <c r="AF703" s="673"/>
      <c r="AG703" s="673"/>
      <c r="AH703" s="673"/>
      <c r="AI703" s="673"/>
      <c r="AJ703" s="673"/>
      <c r="AK703" s="673"/>
      <c r="AL703" s="673"/>
      <c r="AM703" s="673"/>
      <c r="AN703" s="673"/>
      <c r="AO703" s="673"/>
      <c r="AP703" s="673"/>
      <c r="AQ703" s="673"/>
      <c r="AR703" s="673"/>
      <c r="AS703" s="673"/>
    </row>
    <row r="704">
      <c r="A704" s="653"/>
      <c r="B704" s="654"/>
      <c r="C704" s="655"/>
      <c r="D704" s="656"/>
      <c r="E704" s="657"/>
      <c r="F704" s="658"/>
      <c r="G704" s="659"/>
      <c r="H704" s="660"/>
      <c r="I704" s="659"/>
      <c r="J704" s="661"/>
      <c r="K704" s="658"/>
      <c r="L704" s="662"/>
      <c r="M704" s="663"/>
      <c r="N704" s="664"/>
      <c r="O704" s="665"/>
      <c r="P704" s="666"/>
      <c r="Q704" s="667"/>
      <c r="R704" s="668"/>
      <c r="S704" s="665"/>
      <c r="T704" s="669"/>
      <c r="U704" s="669"/>
      <c r="V704" s="665"/>
      <c r="W704" s="670"/>
      <c r="X704" s="670"/>
      <c r="Y704" s="671"/>
      <c r="Z704" s="671"/>
      <c r="AA704" s="672"/>
      <c r="AB704" s="673"/>
      <c r="AC704" s="673"/>
      <c r="AD704" s="673"/>
      <c r="AE704" s="673"/>
      <c r="AF704" s="673"/>
      <c r="AG704" s="673"/>
      <c r="AH704" s="673"/>
      <c r="AI704" s="673"/>
      <c r="AJ704" s="673"/>
      <c r="AK704" s="673"/>
      <c r="AL704" s="673"/>
      <c r="AM704" s="673"/>
      <c r="AN704" s="673"/>
      <c r="AO704" s="673"/>
      <c r="AP704" s="673"/>
      <c r="AQ704" s="673"/>
      <c r="AR704" s="673"/>
      <c r="AS704" s="673"/>
    </row>
    <row r="705">
      <c r="A705" s="653"/>
      <c r="B705" s="654"/>
      <c r="C705" s="655"/>
      <c r="D705" s="656"/>
      <c r="E705" s="657"/>
      <c r="F705" s="658"/>
      <c r="G705" s="659"/>
      <c r="H705" s="660"/>
      <c r="I705" s="659"/>
      <c r="J705" s="661"/>
      <c r="K705" s="658"/>
      <c r="L705" s="662"/>
      <c r="M705" s="663"/>
      <c r="N705" s="664"/>
      <c r="O705" s="665"/>
      <c r="P705" s="666"/>
      <c r="Q705" s="667"/>
      <c r="R705" s="668"/>
      <c r="S705" s="665"/>
      <c r="T705" s="669"/>
      <c r="U705" s="669"/>
      <c r="V705" s="665"/>
      <c r="W705" s="670"/>
      <c r="X705" s="670"/>
      <c r="Y705" s="671"/>
      <c r="Z705" s="671"/>
      <c r="AA705" s="672"/>
      <c r="AB705" s="673"/>
      <c r="AC705" s="673"/>
      <c r="AD705" s="673"/>
      <c r="AE705" s="673"/>
      <c r="AF705" s="673"/>
      <c r="AG705" s="673"/>
      <c r="AH705" s="673"/>
      <c r="AI705" s="673"/>
      <c r="AJ705" s="673"/>
      <c r="AK705" s="673"/>
      <c r="AL705" s="673"/>
      <c r="AM705" s="673"/>
      <c r="AN705" s="673"/>
      <c r="AO705" s="673"/>
      <c r="AP705" s="673"/>
      <c r="AQ705" s="673"/>
      <c r="AR705" s="673"/>
      <c r="AS705" s="673"/>
    </row>
    <row r="706">
      <c r="A706" s="653"/>
      <c r="B706" s="654"/>
      <c r="C706" s="655"/>
      <c r="D706" s="656"/>
      <c r="E706" s="657"/>
      <c r="F706" s="658"/>
      <c r="G706" s="659"/>
      <c r="H706" s="660"/>
      <c r="I706" s="659"/>
      <c r="J706" s="661"/>
      <c r="K706" s="658"/>
      <c r="L706" s="662"/>
      <c r="M706" s="663"/>
      <c r="N706" s="664"/>
      <c r="O706" s="665"/>
      <c r="P706" s="666"/>
      <c r="Q706" s="667"/>
      <c r="R706" s="668"/>
      <c r="S706" s="665"/>
      <c r="T706" s="669"/>
      <c r="U706" s="669"/>
      <c r="V706" s="665"/>
      <c r="W706" s="670"/>
      <c r="X706" s="670"/>
      <c r="Y706" s="671"/>
      <c r="Z706" s="671"/>
      <c r="AA706" s="672"/>
      <c r="AB706" s="673"/>
      <c r="AC706" s="673"/>
      <c r="AD706" s="673"/>
      <c r="AE706" s="673"/>
      <c r="AF706" s="673"/>
      <c r="AG706" s="673"/>
      <c r="AH706" s="673"/>
      <c r="AI706" s="673"/>
      <c r="AJ706" s="673"/>
      <c r="AK706" s="673"/>
      <c r="AL706" s="673"/>
      <c r="AM706" s="673"/>
      <c r="AN706" s="673"/>
      <c r="AO706" s="673"/>
      <c r="AP706" s="673"/>
      <c r="AQ706" s="673"/>
      <c r="AR706" s="673"/>
      <c r="AS706" s="673"/>
    </row>
    <row r="707">
      <c r="A707" s="653"/>
      <c r="B707" s="654"/>
      <c r="C707" s="655"/>
      <c r="D707" s="656"/>
      <c r="E707" s="657"/>
      <c r="F707" s="658"/>
      <c r="G707" s="659"/>
      <c r="H707" s="660"/>
      <c r="I707" s="659"/>
      <c r="J707" s="661"/>
      <c r="K707" s="658"/>
      <c r="L707" s="662"/>
      <c r="M707" s="663"/>
      <c r="N707" s="664"/>
      <c r="O707" s="665"/>
      <c r="P707" s="666"/>
      <c r="Q707" s="667"/>
      <c r="R707" s="668"/>
      <c r="S707" s="665"/>
      <c r="T707" s="669"/>
      <c r="U707" s="669"/>
      <c r="V707" s="665"/>
      <c r="W707" s="670"/>
      <c r="X707" s="670"/>
      <c r="Y707" s="671"/>
      <c r="Z707" s="671"/>
      <c r="AA707" s="672"/>
      <c r="AB707" s="673"/>
      <c r="AC707" s="673"/>
      <c r="AD707" s="673"/>
      <c r="AE707" s="673"/>
      <c r="AF707" s="673"/>
      <c r="AG707" s="673"/>
      <c r="AH707" s="673"/>
      <c r="AI707" s="673"/>
      <c r="AJ707" s="673"/>
      <c r="AK707" s="673"/>
      <c r="AL707" s="673"/>
      <c r="AM707" s="673"/>
      <c r="AN707" s="673"/>
      <c r="AO707" s="673"/>
      <c r="AP707" s="673"/>
      <c r="AQ707" s="673"/>
      <c r="AR707" s="673"/>
      <c r="AS707" s="673"/>
    </row>
    <row r="708">
      <c r="A708" s="653"/>
      <c r="B708" s="654"/>
      <c r="C708" s="655"/>
      <c r="D708" s="656"/>
      <c r="E708" s="657"/>
      <c r="F708" s="658"/>
      <c r="G708" s="659"/>
      <c r="H708" s="660"/>
      <c r="I708" s="659"/>
      <c r="J708" s="661"/>
      <c r="K708" s="658"/>
      <c r="L708" s="662"/>
      <c r="M708" s="663"/>
      <c r="N708" s="664"/>
      <c r="O708" s="665"/>
      <c r="P708" s="666"/>
      <c r="Q708" s="667"/>
      <c r="R708" s="668"/>
      <c r="S708" s="665"/>
      <c r="T708" s="669"/>
      <c r="U708" s="669"/>
      <c r="V708" s="665"/>
      <c r="W708" s="670"/>
      <c r="X708" s="670"/>
      <c r="Y708" s="671"/>
      <c r="Z708" s="671"/>
      <c r="AA708" s="672"/>
      <c r="AB708" s="673"/>
      <c r="AC708" s="673"/>
      <c r="AD708" s="673"/>
      <c r="AE708" s="673"/>
      <c r="AF708" s="673"/>
      <c r="AG708" s="673"/>
      <c r="AH708" s="673"/>
      <c r="AI708" s="673"/>
      <c r="AJ708" s="673"/>
      <c r="AK708" s="673"/>
      <c r="AL708" s="673"/>
      <c r="AM708" s="673"/>
      <c r="AN708" s="673"/>
      <c r="AO708" s="673"/>
      <c r="AP708" s="673"/>
      <c r="AQ708" s="673"/>
      <c r="AR708" s="673"/>
      <c r="AS708" s="673"/>
    </row>
    <row r="709">
      <c r="A709" s="653"/>
      <c r="B709" s="654"/>
      <c r="C709" s="655"/>
      <c r="D709" s="656"/>
      <c r="E709" s="657"/>
      <c r="F709" s="658"/>
      <c r="G709" s="659"/>
      <c r="H709" s="660"/>
      <c r="I709" s="659"/>
      <c r="J709" s="661"/>
      <c r="K709" s="658"/>
      <c r="L709" s="662"/>
      <c r="M709" s="663"/>
      <c r="N709" s="664"/>
      <c r="O709" s="665"/>
      <c r="P709" s="666"/>
      <c r="Q709" s="667"/>
      <c r="R709" s="668"/>
      <c r="S709" s="665"/>
      <c r="T709" s="669"/>
      <c r="U709" s="669"/>
      <c r="V709" s="665"/>
      <c r="W709" s="670"/>
      <c r="X709" s="670"/>
      <c r="Y709" s="671"/>
      <c r="Z709" s="671"/>
      <c r="AA709" s="672"/>
      <c r="AB709" s="673"/>
      <c r="AC709" s="673"/>
      <c r="AD709" s="673"/>
      <c r="AE709" s="673"/>
      <c r="AF709" s="673"/>
      <c r="AG709" s="673"/>
      <c r="AH709" s="673"/>
      <c r="AI709" s="673"/>
      <c r="AJ709" s="673"/>
      <c r="AK709" s="673"/>
      <c r="AL709" s="673"/>
      <c r="AM709" s="673"/>
      <c r="AN709" s="673"/>
      <c r="AO709" s="673"/>
      <c r="AP709" s="673"/>
      <c r="AQ709" s="673"/>
      <c r="AR709" s="673"/>
      <c r="AS709" s="673"/>
    </row>
    <row r="710">
      <c r="A710" s="653"/>
      <c r="B710" s="654"/>
      <c r="C710" s="655"/>
      <c r="D710" s="656"/>
      <c r="E710" s="657"/>
      <c r="F710" s="658"/>
      <c r="G710" s="659"/>
      <c r="H710" s="660"/>
      <c r="I710" s="659"/>
      <c r="J710" s="661"/>
      <c r="K710" s="658"/>
      <c r="L710" s="662"/>
      <c r="M710" s="663"/>
      <c r="N710" s="664"/>
      <c r="O710" s="665"/>
      <c r="P710" s="666"/>
      <c r="Q710" s="667"/>
      <c r="R710" s="668"/>
      <c r="S710" s="665"/>
      <c r="T710" s="669"/>
      <c r="U710" s="669"/>
      <c r="V710" s="665"/>
      <c r="W710" s="670"/>
      <c r="X710" s="670"/>
      <c r="Y710" s="671"/>
      <c r="Z710" s="671"/>
      <c r="AA710" s="672"/>
      <c r="AB710" s="673"/>
      <c r="AC710" s="673"/>
      <c r="AD710" s="673"/>
      <c r="AE710" s="673"/>
      <c r="AF710" s="673"/>
      <c r="AG710" s="673"/>
      <c r="AH710" s="673"/>
      <c r="AI710" s="673"/>
      <c r="AJ710" s="673"/>
      <c r="AK710" s="673"/>
      <c r="AL710" s="673"/>
      <c r="AM710" s="673"/>
      <c r="AN710" s="673"/>
      <c r="AO710" s="673"/>
      <c r="AP710" s="673"/>
      <c r="AQ710" s="673"/>
      <c r="AR710" s="673"/>
      <c r="AS710" s="673"/>
    </row>
    <row r="711">
      <c r="A711" s="653"/>
      <c r="B711" s="654"/>
      <c r="C711" s="655"/>
      <c r="D711" s="656"/>
      <c r="E711" s="657"/>
      <c r="F711" s="658"/>
      <c r="G711" s="659"/>
      <c r="H711" s="660"/>
      <c r="I711" s="659"/>
      <c r="J711" s="661"/>
      <c r="K711" s="658"/>
      <c r="L711" s="662"/>
      <c r="M711" s="663"/>
      <c r="N711" s="664"/>
      <c r="O711" s="665"/>
      <c r="P711" s="666"/>
      <c r="Q711" s="667"/>
      <c r="R711" s="668"/>
      <c r="S711" s="665"/>
      <c r="T711" s="669"/>
      <c r="U711" s="669"/>
      <c r="V711" s="665"/>
      <c r="W711" s="670"/>
      <c r="X711" s="670"/>
      <c r="Y711" s="671"/>
      <c r="Z711" s="671"/>
      <c r="AA711" s="672"/>
      <c r="AB711" s="673"/>
      <c r="AC711" s="673"/>
      <c r="AD711" s="673"/>
      <c r="AE711" s="673"/>
      <c r="AF711" s="673"/>
      <c r="AG711" s="673"/>
      <c r="AH711" s="673"/>
      <c r="AI711" s="673"/>
      <c r="AJ711" s="673"/>
      <c r="AK711" s="673"/>
      <c r="AL711" s="673"/>
      <c r="AM711" s="673"/>
      <c r="AN711" s="673"/>
      <c r="AO711" s="673"/>
      <c r="AP711" s="673"/>
      <c r="AQ711" s="673"/>
      <c r="AR711" s="673"/>
      <c r="AS711" s="673"/>
    </row>
    <row r="712">
      <c r="A712" s="653"/>
      <c r="B712" s="654"/>
      <c r="C712" s="655"/>
      <c r="D712" s="656"/>
      <c r="E712" s="657"/>
      <c r="F712" s="658"/>
      <c r="G712" s="659"/>
      <c r="H712" s="660"/>
      <c r="I712" s="659"/>
      <c r="J712" s="661"/>
      <c r="K712" s="658"/>
      <c r="L712" s="662"/>
      <c r="M712" s="663"/>
      <c r="N712" s="664"/>
      <c r="O712" s="665"/>
      <c r="P712" s="666"/>
      <c r="Q712" s="667"/>
      <c r="R712" s="668"/>
      <c r="S712" s="665"/>
      <c r="T712" s="669"/>
      <c r="U712" s="669"/>
      <c r="V712" s="665"/>
      <c r="W712" s="670"/>
      <c r="X712" s="670"/>
      <c r="Y712" s="671"/>
      <c r="Z712" s="671"/>
      <c r="AA712" s="672"/>
      <c r="AB712" s="673"/>
      <c r="AC712" s="673"/>
      <c r="AD712" s="673"/>
      <c r="AE712" s="673"/>
      <c r="AF712" s="673"/>
      <c r="AG712" s="673"/>
      <c r="AH712" s="673"/>
      <c r="AI712" s="673"/>
      <c r="AJ712" s="673"/>
      <c r="AK712" s="673"/>
      <c r="AL712" s="673"/>
      <c r="AM712" s="673"/>
      <c r="AN712" s="673"/>
      <c r="AO712" s="673"/>
      <c r="AP712" s="673"/>
      <c r="AQ712" s="673"/>
      <c r="AR712" s="673"/>
      <c r="AS712" s="673"/>
    </row>
    <row r="713">
      <c r="A713" s="653"/>
      <c r="B713" s="654"/>
      <c r="C713" s="655"/>
      <c r="D713" s="656"/>
      <c r="E713" s="657"/>
      <c r="F713" s="658"/>
      <c r="G713" s="659"/>
      <c r="H713" s="660"/>
      <c r="I713" s="659"/>
      <c r="J713" s="661"/>
      <c r="K713" s="658"/>
      <c r="L713" s="662"/>
      <c r="M713" s="663"/>
      <c r="N713" s="664"/>
      <c r="O713" s="665"/>
      <c r="P713" s="666"/>
      <c r="Q713" s="667"/>
      <c r="R713" s="668"/>
      <c r="S713" s="665"/>
      <c r="T713" s="669"/>
      <c r="U713" s="669"/>
      <c r="V713" s="665"/>
      <c r="W713" s="670"/>
      <c r="X713" s="670"/>
      <c r="Y713" s="671"/>
      <c r="Z713" s="671"/>
      <c r="AA713" s="672"/>
      <c r="AB713" s="673"/>
      <c r="AC713" s="673"/>
      <c r="AD713" s="673"/>
      <c r="AE713" s="673"/>
      <c r="AF713" s="673"/>
      <c r="AG713" s="673"/>
      <c r="AH713" s="673"/>
      <c r="AI713" s="673"/>
      <c r="AJ713" s="673"/>
      <c r="AK713" s="673"/>
      <c r="AL713" s="673"/>
      <c r="AM713" s="673"/>
      <c r="AN713" s="673"/>
      <c r="AO713" s="673"/>
      <c r="AP713" s="673"/>
      <c r="AQ713" s="673"/>
      <c r="AR713" s="673"/>
      <c r="AS713" s="673"/>
    </row>
    <row r="714">
      <c r="A714" s="653"/>
      <c r="B714" s="654"/>
      <c r="C714" s="655"/>
      <c r="D714" s="656"/>
      <c r="E714" s="657"/>
      <c r="F714" s="658"/>
      <c r="G714" s="659"/>
      <c r="H714" s="660"/>
      <c r="I714" s="659"/>
      <c r="J714" s="661"/>
      <c r="K714" s="658"/>
      <c r="L714" s="662"/>
      <c r="M714" s="663"/>
      <c r="N714" s="664"/>
      <c r="O714" s="665"/>
      <c r="P714" s="666"/>
      <c r="Q714" s="667"/>
      <c r="R714" s="668"/>
      <c r="S714" s="665"/>
      <c r="T714" s="669"/>
      <c r="U714" s="669"/>
      <c r="V714" s="665"/>
      <c r="W714" s="670"/>
      <c r="X714" s="670"/>
      <c r="Y714" s="671"/>
      <c r="Z714" s="671"/>
      <c r="AA714" s="672"/>
      <c r="AB714" s="673"/>
      <c r="AC714" s="673"/>
      <c r="AD714" s="673"/>
      <c r="AE714" s="673"/>
      <c r="AF714" s="673"/>
      <c r="AG714" s="673"/>
      <c r="AH714" s="673"/>
      <c r="AI714" s="673"/>
      <c r="AJ714" s="673"/>
      <c r="AK714" s="673"/>
      <c r="AL714" s="673"/>
      <c r="AM714" s="673"/>
      <c r="AN714" s="673"/>
      <c r="AO714" s="673"/>
      <c r="AP714" s="673"/>
      <c r="AQ714" s="673"/>
      <c r="AR714" s="673"/>
      <c r="AS714" s="673"/>
    </row>
    <row r="715">
      <c r="A715" s="653"/>
      <c r="B715" s="654"/>
      <c r="C715" s="655"/>
      <c r="D715" s="656"/>
      <c r="E715" s="657"/>
      <c r="F715" s="658"/>
      <c r="G715" s="659"/>
      <c r="H715" s="660"/>
      <c r="I715" s="659"/>
      <c r="J715" s="661"/>
      <c r="K715" s="658"/>
      <c r="L715" s="662"/>
      <c r="M715" s="663"/>
      <c r="N715" s="664"/>
      <c r="O715" s="665"/>
      <c r="P715" s="666"/>
      <c r="Q715" s="667"/>
      <c r="R715" s="668"/>
      <c r="S715" s="665"/>
      <c r="T715" s="669"/>
      <c r="U715" s="669"/>
      <c r="V715" s="665"/>
      <c r="W715" s="670"/>
      <c r="X715" s="670"/>
      <c r="Y715" s="671"/>
      <c r="Z715" s="671"/>
      <c r="AA715" s="672"/>
      <c r="AB715" s="673"/>
      <c r="AC715" s="673"/>
      <c r="AD715" s="673"/>
      <c r="AE715" s="673"/>
      <c r="AF715" s="673"/>
      <c r="AG715" s="673"/>
      <c r="AH715" s="673"/>
      <c r="AI715" s="673"/>
      <c r="AJ715" s="673"/>
      <c r="AK715" s="673"/>
      <c r="AL715" s="673"/>
      <c r="AM715" s="673"/>
      <c r="AN715" s="673"/>
      <c r="AO715" s="673"/>
      <c r="AP715" s="673"/>
      <c r="AQ715" s="673"/>
      <c r="AR715" s="673"/>
      <c r="AS715" s="673"/>
    </row>
    <row r="716">
      <c r="A716" s="653"/>
      <c r="B716" s="654"/>
      <c r="C716" s="655"/>
      <c r="D716" s="656"/>
      <c r="E716" s="657"/>
      <c r="F716" s="658"/>
      <c r="G716" s="659"/>
      <c r="H716" s="660"/>
      <c r="I716" s="659"/>
      <c r="J716" s="661"/>
      <c r="K716" s="658"/>
      <c r="L716" s="662"/>
      <c r="M716" s="663"/>
      <c r="N716" s="664"/>
      <c r="O716" s="665"/>
      <c r="P716" s="666"/>
      <c r="Q716" s="667"/>
      <c r="R716" s="668"/>
      <c r="S716" s="665"/>
      <c r="T716" s="669"/>
      <c r="U716" s="669"/>
      <c r="V716" s="665"/>
      <c r="W716" s="670"/>
      <c r="X716" s="670"/>
      <c r="Y716" s="671"/>
      <c r="Z716" s="671"/>
      <c r="AA716" s="672"/>
      <c r="AB716" s="673"/>
      <c r="AC716" s="673"/>
      <c r="AD716" s="673"/>
      <c r="AE716" s="673"/>
      <c r="AF716" s="673"/>
      <c r="AG716" s="673"/>
      <c r="AH716" s="673"/>
      <c r="AI716" s="673"/>
      <c r="AJ716" s="673"/>
      <c r="AK716" s="673"/>
      <c r="AL716" s="673"/>
      <c r="AM716" s="673"/>
      <c r="AN716" s="673"/>
      <c r="AO716" s="673"/>
      <c r="AP716" s="673"/>
      <c r="AQ716" s="673"/>
      <c r="AR716" s="673"/>
      <c r="AS716" s="673"/>
    </row>
    <row r="717">
      <c r="A717" s="653"/>
      <c r="B717" s="654"/>
      <c r="C717" s="655"/>
      <c r="D717" s="656"/>
      <c r="E717" s="657"/>
      <c r="F717" s="658"/>
      <c r="G717" s="659"/>
      <c r="H717" s="660"/>
      <c r="I717" s="659"/>
      <c r="J717" s="661"/>
      <c r="K717" s="658"/>
      <c r="L717" s="662"/>
      <c r="M717" s="663"/>
      <c r="N717" s="664"/>
      <c r="O717" s="665"/>
      <c r="P717" s="666"/>
      <c r="Q717" s="667"/>
      <c r="R717" s="668"/>
      <c r="S717" s="665"/>
      <c r="T717" s="669"/>
      <c r="U717" s="669"/>
      <c r="V717" s="665"/>
      <c r="W717" s="670"/>
      <c r="X717" s="670"/>
      <c r="Y717" s="671"/>
      <c r="Z717" s="671"/>
      <c r="AA717" s="672"/>
      <c r="AB717" s="673"/>
      <c r="AC717" s="673"/>
      <c r="AD717" s="673"/>
      <c r="AE717" s="673"/>
      <c r="AF717" s="673"/>
      <c r="AG717" s="673"/>
      <c r="AH717" s="673"/>
      <c r="AI717" s="673"/>
      <c r="AJ717" s="673"/>
      <c r="AK717" s="673"/>
      <c r="AL717" s="673"/>
      <c r="AM717" s="673"/>
      <c r="AN717" s="673"/>
      <c r="AO717" s="673"/>
      <c r="AP717" s="673"/>
      <c r="AQ717" s="673"/>
      <c r="AR717" s="673"/>
      <c r="AS717" s="673"/>
    </row>
    <row r="718">
      <c r="A718" s="653"/>
      <c r="B718" s="654"/>
      <c r="C718" s="655"/>
      <c r="D718" s="656"/>
      <c r="E718" s="657"/>
      <c r="F718" s="658"/>
      <c r="G718" s="659"/>
      <c r="H718" s="660"/>
      <c r="I718" s="659"/>
      <c r="J718" s="661"/>
      <c r="K718" s="658"/>
      <c r="L718" s="662"/>
      <c r="M718" s="663"/>
      <c r="N718" s="664"/>
      <c r="O718" s="665"/>
      <c r="P718" s="666"/>
      <c r="Q718" s="667"/>
      <c r="R718" s="668"/>
      <c r="S718" s="665"/>
      <c r="T718" s="669"/>
      <c r="U718" s="669"/>
      <c r="V718" s="665"/>
      <c r="W718" s="670"/>
      <c r="X718" s="670"/>
      <c r="Y718" s="671"/>
      <c r="Z718" s="671"/>
      <c r="AA718" s="672"/>
      <c r="AB718" s="673"/>
      <c r="AC718" s="673"/>
      <c r="AD718" s="673"/>
      <c r="AE718" s="673"/>
      <c r="AF718" s="673"/>
      <c r="AG718" s="673"/>
      <c r="AH718" s="673"/>
      <c r="AI718" s="673"/>
      <c r="AJ718" s="673"/>
      <c r="AK718" s="673"/>
      <c r="AL718" s="673"/>
      <c r="AM718" s="673"/>
      <c r="AN718" s="673"/>
      <c r="AO718" s="673"/>
      <c r="AP718" s="673"/>
      <c r="AQ718" s="673"/>
      <c r="AR718" s="673"/>
      <c r="AS718" s="673"/>
    </row>
    <row r="719">
      <c r="A719" s="653"/>
      <c r="B719" s="654"/>
      <c r="C719" s="655"/>
      <c r="D719" s="656"/>
      <c r="E719" s="657"/>
      <c r="F719" s="658"/>
      <c r="G719" s="659"/>
      <c r="H719" s="660"/>
      <c r="I719" s="659"/>
      <c r="J719" s="661"/>
      <c r="K719" s="658"/>
      <c r="L719" s="662"/>
      <c r="M719" s="663"/>
      <c r="N719" s="664"/>
      <c r="O719" s="665"/>
      <c r="P719" s="666"/>
      <c r="Q719" s="667"/>
      <c r="R719" s="668"/>
      <c r="S719" s="665"/>
      <c r="T719" s="669"/>
      <c r="U719" s="669"/>
      <c r="V719" s="665"/>
      <c r="W719" s="670"/>
      <c r="X719" s="670"/>
      <c r="Y719" s="671"/>
      <c r="Z719" s="671"/>
      <c r="AA719" s="672"/>
      <c r="AB719" s="673"/>
      <c r="AC719" s="673"/>
      <c r="AD719" s="673"/>
      <c r="AE719" s="673"/>
      <c r="AF719" s="673"/>
      <c r="AG719" s="673"/>
      <c r="AH719" s="673"/>
      <c r="AI719" s="673"/>
      <c r="AJ719" s="673"/>
      <c r="AK719" s="673"/>
      <c r="AL719" s="673"/>
      <c r="AM719" s="673"/>
      <c r="AN719" s="673"/>
      <c r="AO719" s="673"/>
      <c r="AP719" s="673"/>
      <c r="AQ719" s="673"/>
      <c r="AR719" s="673"/>
      <c r="AS719" s="673"/>
    </row>
    <row r="720">
      <c r="A720" s="653"/>
      <c r="B720" s="654"/>
      <c r="C720" s="655"/>
      <c r="D720" s="656"/>
      <c r="E720" s="657"/>
      <c r="F720" s="658"/>
      <c r="G720" s="659"/>
      <c r="H720" s="660"/>
      <c r="I720" s="659"/>
      <c r="J720" s="661"/>
      <c r="K720" s="658"/>
      <c r="L720" s="662"/>
      <c r="M720" s="663"/>
      <c r="N720" s="664"/>
      <c r="O720" s="665"/>
      <c r="P720" s="666"/>
      <c r="Q720" s="667"/>
      <c r="R720" s="668"/>
      <c r="S720" s="665"/>
      <c r="T720" s="669"/>
      <c r="U720" s="669"/>
      <c r="V720" s="665"/>
      <c r="W720" s="670"/>
      <c r="X720" s="670"/>
      <c r="Y720" s="671"/>
      <c r="Z720" s="671"/>
      <c r="AA720" s="672"/>
      <c r="AB720" s="673"/>
      <c r="AC720" s="673"/>
      <c r="AD720" s="673"/>
      <c r="AE720" s="673"/>
      <c r="AF720" s="673"/>
      <c r="AG720" s="673"/>
      <c r="AH720" s="673"/>
      <c r="AI720" s="673"/>
      <c r="AJ720" s="673"/>
      <c r="AK720" s="673"/>
      <c r="AL720" s="673"/>
      <c r="AM720" s="673"/>
      <c r="AN720" s="673"/>
      <c r="AO720" s="673"/>
      <c r="AP720" s="673"/>
      <c r="AQ720" s="673"/>
      <c r="AR720" s="673"/>
      <c r="AS720" s="673"/>
    </row>
    <row r="721">
      <c r="A721" s="653"/>
      <c r="B721" s="654"/>
      <c r="C721" s="655"/>
      <c r="D721" s="656"/>
      <c r="E721" s="657"/>
      <c r="F721" s="658"/>
      <c r="G721" s="659"/>
      <c r="H721" s="660"/>
      <c r="I721" s="659"/>
      <c r="J721" s="661"/>
      <c r="K721" s="658"/>
      <c r="L721" s="662"/>
      <c r="M721" s="663"/>
      <c r="N721" s="664"/>
      <c r="O721" s="665"/>
      <c r="P721" s="666"/>
      <c r="Q721" s="667"/>
      <c r="R721" s="668"/>
      <c r="S721" s="665"/>
      <c r="T721" s="669"/>
      <c r="U721" s="669"/>
      <c r="V721" s="665"/>
      <c r="W721" s="670"/>
      <c r="X721" s="670"/>
      <c r="Y721" s="671"/>
      <c r="Z721" s="671"/>
      <c r="AA721" s="672"/>
      <c r="AB721" s="673"/>
      <c r="AC721" s="673"/>
      <c r="AD721" s="673"/>
      <c r="AE721" s="673"/>
      <c r="AF721" s="673"/>
      <c r="AG721" s="673"/>
      <c r="AH721" s="673"/>
      <c r="AI721" s="673"/>
      <c r="AJ721" s="673"/>
      <c r="AK721" s="673"/>
      <c r="AL721" s="673"/>
      <c r="AM721" s="673"/>
      <c r="AN721" s="673"/>
      <c r="AO721" s="673"/>
      <c r="AP721" s="673"/>
      <c r="AQ721" s="673"/>
      <c r="AR721" s="673"/>
      <c r="AS721" s="673"/>
    </row>
    <row r="722">
      <c r="A722" s="653"/>
      <c r="B722" s="654"/>
      <c r="C722" s="655"/>
      <c r="D722" s="656"/>
      <c r="E722" s="657"/>
      <c r="F722" s="658"/>
      <c r="G722" s="659"/>
      <c r="H722" s="660"/>
      <c r="I722" s="659"/>
      <c r="J722" s="661"/>
      <c r="K722" s="658"/>
      <c r="L722" s="662"/>
      <c r="M722" s="663"/>
      <c r="N722" s="664"/>
      <c r="O722" s="665"/>
      <c r="P722" s="666"/>
      <c r="Q722" s="667"/>
      <c r="R722" s="668"/>
      <c r="S722" s="665"/>
      <c r="T722" s="669"/>
      <c r="U722" s="669"/>
      <c r="V722" s="665"/>
      <c r="W722" s="670"/>
      <c r="X722" s="670"/>
      <c r="Y722" s="671"/>
      <c r="Z722" s="671"/>
      <c r="AA722" s="672"/>
      <c r="AB722" s="673"/>
      <c r="AC722" s="673"/>
      <c r="AD722" s="673"/>
      <c r="AE722" s="673"/>
      <c r="AF722" s="673"/>
      <c r="AG722" s="673"/>
      <c r="AH722" s="673"/>
      <c r="AI722" s="673"/>
      <c r="AJ722" s="673"/>
      <c r="AK722" s="673"/>
      <c r="AL722" s="673"/>
      <c r="AM722" s="673"/>
      <c r="AN722" s="673"/>
      <c r="AO722" s="673"/>
      <c r="AP722" s="673"/>
      <c r="AQ722" s="673"/>
      <c r="AR722" s="673"/>
      <c r="AS722" s="673"/>
    </row>
    <row r="723">
      <c r="A723" s="653"/>
      <c r="B723" s="654"/>
      <c r="C723" s="655"/>
      <c r="D723" s="656"/>
      <c r="E723" s="657"/>
      <c r="F723" s="658"/>
      <c r="G723" s="659"/>
      <c r="H723" s="660"/>
      <c r="I723" s="659"/>
      <c r="J723" s="661"/>
      <c r="K723" s="658"/>
      <c r="L723" s="662"/>
      <c r="M723" s="663"/>
      <c r="N723" s="664"/>
      <c r="O723" s="665"/>
      <c r="P723" s="666"/>
      <c r="Q723" s="667"/>
      <c r="R723" s="668"/>
      <c r="S723" s="665"/>
      <c r="T723" s="669"/>
      <c r="U723" s="669"/>
      <c r="V723" s="665"/>
      <c r="W723" s="670"/>
      <c r="X723" s="670"/>
      <c r="Y723" s="671"/>
      <c r="Z723" s="671"/>
      <c r="AA723" s="672"/>
      <c r="AB723" s="673"/>
      <c r="AC723" s="673"/>
      <c r="AD723" s="673"/>
      <c r="AE723" s="673"/>
      <c r="AF723" s="673"/>
      <c r="AG723" s="673"/>
      <c r="AH723" s="673"/>
      <c r="AI723" s="673"/>
      <c r="AJ723" s="673"/>
      <c r="AK723" s="673"/>
      <c r="AL723" s="673"/>
      <c r="AM723" s="673"/>
      <c r="AN723" s="673"/>
      <c r="AO723" s="673"/>
      <c r="AP723" s="673"/>
      <c r="AQ723" s="673"/>
      <c r="AR723" s="673"/>
      <c r="AS723" s="673"/>
    </row>
    <row r="724">
      <c r="A724" s="653"/>
      <c r="B724" s="654"/>
      <c r="C724" s="655"/>
      <c r="D724" s="656"/>
      <c r="E724" s="657"/>
      <c r="F724" s="658"/>
      <c r="G724" s="659"/>
      <c r="H724" s="660"/>
      <c r="I724" s="659"/>
      <c r="J724" s="661"/>
      <c r="K724" s="658"/>
      <c r="L724" s="662"/>
      <c r="M724" s="663"/>
      <c r="N724" s="664"/>
      <c r="O724" s="665"/>
      <c r="P724" s="666"/>
      <c r="Q724" s="667"/>
      <c r="R724" s="668"/>
      <c r="S724" s="665"/>
      <c r="T724" s="669"/>
      <c r="U724" s="669"/>
      <c r="V724" s="665"/>
      <c r="W724" s="670"/>
      <c r="X724" s="670"/>
      <c r="Y724" s="671"/>
      <c r="Z724" s="671"/>
      <c r="AA724" s="672"/>
      <c r="AB724" s="673"/>
      <c r="AC724" s="673"/>
      <c r="AD724" s="673"/>
      <c r="AE724" s="673"/>
      <c r="AF724" s="673"/>
      <c r="AG724" s="673"/>
      <c r="AH724" s="673"/>
      <c r="AI724" s="673"/>
      <c r="AJ724" s="673"/>
      <c r="AK724" s="673"/>
      <c r="AL724" s="673"/>
      <c r="AM724" s="673"/>
      <c r="AN724" s="673"/>
      <c r="AO724" s="673"/>
      <c r="AP724" s="673"/>
      <c r="AQ724" s="673"/>
      <c r="AR724" s="673"/>
      <c r="AS724" s="673"/>
    </row>
    <row r="725">
      <c r="A725" s="653"/>
      <c r="B725" s="654"/>
      <c r="C725" s="655"/>
      <c r="D725" s="656"/>
      <c r="E725" s="657"/>
      <c r="F725" s="658"/>
      <c r="G725" s="659"/>
      <c r="H725" s="660"/>
      <c r="I725" s="659"/>
      <c r="J725" s="661"/>
      <c r="K725" s="658"/>
      <c r="L725" s="662"/>
      <c r="M725" s="663"/>
      <c r="N725" s="664"/>
      <c r="O725" s="665"/>
      <c r="P725" s="666"/>
      <c r="Q725" s="667"/>
      <c r="R725" s="668"/>
      <c r="S725" s="665"/>
      <c r="T725" s="669"/>
      <c r="U725" s="669"/>
      <c r="V725" s="665"/>
      <c r="W725" s="670"/>
      <c r="X725" s="670"/>
      <c r="Y725" s="671"/>
      <c r="Z725" s="671"/>
      <c r="AA725" s="672"/>
      <c r="AB725" s="673"/>
      <c r="AC725" s="673"/>
      <c r="AD725" s="673"/>
      <c r="AE725" s="673"/>
      <c r="AF725" s="673"/>
      <c r="AG725" s="673"/>
      <c r="AH725" s="673"/>
      <c r="AI725" s="673"/>
      <c r="AJ725" s="673"/>
      <c r="AK725" s="673"/>
      <c r="AL725" s="673"/>
      <c r="AM725" s="673"/>
      <c r="AN725" s="673"/>
      <c r="AO725" s="673"/>
      <c r="AP725" s="673"/>
      <c r="AQ725" s="673"/>
      <c r="AR725" s="673"/>
      <c r="AS725" s="673"/>
    </row>
    <row r="726">
      <c r="A726" s="653"/>
      <c r="B726" s="654"/>
      <c r="C726" s="655"/>
      <c r="D726" s="656"/>
      <c r="E726" s="657"/>
      <c r="F726" s="658"/>
      <c r="G726" s="659"/>
      <c r="H726" s="660"/>
      <c r="I726" s="659"/>
      <c r="J726" s="661"/>
      <c r="K726" s="658"/>
      <c r="L726" s="662"/>
      <c r="M726" s="663"/>
      <c r="N726" s="664"/>
      <c r="O726" s="665"/>
      <c r="P726" s="666"/>
      <c r="Q726" s="667"/>
      <c r="R726" s="668"/>
      <c r="S726" s="665"/>
      <c r="T726" s="669"/>
      <c r="U726" s="669"/>
      <c r="V726" s="665"/>
      <c r="W726" s="670"/>
      <c r="X726" s="670"/>
      <c r="Y726" s="671"/>
      <c r="Z726" s="671"/>
      <c r="AA726" s="672"/>
      <c r="AB726" s="673"/>
      <c r="AC726" s="673"/>
      <c r="AD726" s="673"/>
      <c r="AE726" s="673"/>
      <c r="AF726" s="673"/>
      <c r="AG726" s="673"/>
      <c r="AH726" s="673"/>
      <c r="AI726" s="673"/>
      <c r="AJ726" s="673"/>
      <c r="AK726" s="673"/>
      <c r="AL726" s="673"/>
      <c r="AM726" s="673"/>
      <c r="AN726" s="673"/>
      <c r="AO726" s="673"/>
      <c r="AP726" s="673"/>
      <c r="AQ726" s="673"/>
      <c r="AR726" s="673"/>
      <c r="AS726" s="673"/>
    </row>
    <row r="727">
      <c r="A727" s="653"/>
      <c r="B727" s="654"/>
      <c r="C727" s="655"/>
      <c r="D727" s="656"/>
      <c r="E727" s="657"/>
      <c r="F727" s="658"/>
      <c r="G727" s="659"/>
      <c r="H727" s="660"/>
      <c r="I727" s="659"/>
      <c r="J727" s="661"/>
      <c r="K727" s="658"/>
      <c r="L727" s="662"/>
      <c r="M727" s="663"/>
      <c r="N727" s="664"/>
      <c r="O727" s="665"/>
      <c r="P727" s="666"/>
      <c r="Q727" s="667"/>
      <c r="R727" s="668"/>
      <c r="S727" s="665"/>
      <c r="T727" s="669"/>
      <c r="U727" s="669"/>
      <c r="V727" s="665"/>
      <c r="W727" s="670"/>
      <c r="X727" s="670"/>
      <c r="Y727" s="671"/>
      <c r="Z727" s="671"/>
      <c r="AA727" s="672"/>
      <c r="AB727" s="673"/>
      <c r="AC727" s="673"/>
      <c r="AD727" s="673"/>
      <c r="AE727" s="673"/>
      <c r="AF727" s="673"/>
      <c r="AG727" s="673"/>
      <c r="AH727" s="673"/>
      <c r="AI727" s="673"/>
      <c r="AJ727" s="673"/>
      <c r="AK727" s="673"/>
      <c r="AL727" s="673"/>
      <c r="AM727" s="673"/>
      <c r="AN727" s="673"/>
      <c r="AO727" s="673"/>
      <c r="AP727" s="673"/>
      <c r="AQ727" s="673"/>
      <c r="AR727" s="673"/>
      <c r="AS727" s="673"/>
    </row>
    <row r="728">
      <c r="A728" s="653"/>
      <c r="B728" s="654"/>
      <c r="C728" s="655"/>
      <c r="D728" s="656"/>
      <c r="E728" s="657"/>
      <c r="F728" s="658"/>
      <c r="G728" s="659"/>
      <c r="H728" s="660"/>
      <c r="I728" s="659"/>
      <c r="J728" s="661"/>
      <c r="K728" s="658"/>
      <c r="L728" s="662"/>
      <c r="M728" s="663"/>
      <c r="N728" s="664"/>
      <c r="O728" s="665"/>
      <c r="P728" s="666"/>
      <c r="Q728" s="667"/>
      <c r="R728" s="668"/>
      <c r="S728" s="665"/>
      <c r="T728" s="669"/>
      <c r="U728" s="669"/>
      <c r="V728" s="665"/>
      <c r="W728" s="670"/>
      <c r="X728" s="670"/>
      <c r="Y728" s="671"/>
      <c r="Z728" s="671"/>
      <c r="AA728" s="672"/>
      <c r="AB728" s="673"/>
      <c r="AC728" s="673"/>
      <c r="AD728" s="673"/>
      <c r="AE728" s="673"/>
      <c r="AF728" s="673"/>
      <c r="AG728" s="673"/>
      <c r="AH728" s="673"/>
      <c r="AI728" s="673"/>
      <c r="AJ728" s="673"/>
      <c r="AK728" s="673"/>
      <c r="AL728" s="673"/>
      <c r="AM728" s="673"/>
      <c r="AN728" s="673"/>
      <c r="AO728" s="673"/>
      <c r="AP728" s="673"/>
      <c r="AQ728" s="673"/>
      <c r="AR728" s="673"/>
      <c r="AS728" s="673"/>
    </row>
    <row r="729">
      <c r="A729" s="653"/>
      <c r="B729" s="654"/>
      <c r="C729" s="655"/>
      <c r="D729" s="656"/>
      <c r="E729" s="657"/>
      <c r="F729" s="658"/>
      <c r="G729" s="659"/>
      <c r="H729" s="660"/>
      <c r="I729" s="659"/>
      <c r="J729" s="661"/>
      <c r="K729" s="658"/>
      <c r="L729" s="662"/>
      <c r="M729" s="663"/>
      <c r="N729" s="664"/>
      <c r="O729" s="665"/>
      <c r="P729" s="666"/>
      <c r="Q729" s="667"/>
      <c r="R729" s="668"/>
      <c r="S729" s="665"/>
      <c r="T729" s="669"/>
      <c r="U729" s="669"/>
      <c r="V729" s="665"/>
      <c r="W729" s="670"/>
      <c r="X729" s="670"/>
      <c r="Y729" s="671"/>
      <c r="Z729" s="671"/>
      <c r="AA729" s="672"/>
      <c r="AB729" s="673"/>
      <c r="AC729" s="673"/>
      <c r="AD729" s="673"/>
      <c r="AE729" s="673"/>
      <c r="AF729" s="673"/>
      <c r="AG729" s="673"/>
      <c r="AH729" s="673"/>
      <c r="AI729" s="673"/>
      <c r="AJ729" s="673"/>
      <c r="AK729" s="673"/>
      <c r="AL729" s="673"/>
      <c r="AM729" s="673"/>
      <c r="AN729" s="673"/>
      <c r="AO729" s="673"/>
      <c r="AP729" s="673"/>
      <c r="AQ729" s="673"/>
      <c r="AR729" s="673"/>
      <c r="AS729" s="673"/>
    </row>
    <row r="730">
      <c r="A730" s="653"/>
      <c r="B730" s="654"/>
      <c r="C730" s="655"/>
      <c r="D730" s="656"/>
      <c r="E730" s="657"/>
      <c r="F730" s="658"/>
      <c r="G730" s="659"/>
      <c r="H730" s="660"/>
      <c r="I730" s="659"/>
      <c r="J730" s="661"/>
      <c r="K730" s="658"/>
      <c r="L730" s="662"/>
      <c r="M730" s="663"/>
      <c r="N730" s="664"/>
      <c r="O730" s="665"/>
      <c r="P730" s="666"/>
      <c r="Q730" s="667"/>
      <c r="R730" s="668"/>
      <c r="S730" s="665"/>
      <c r="T730" s="669"/>
      <c r="U730" s="669"/>
      <c r="V730" s="665"/>
      <c r="W730" s="670"/>
      <c r="X730" s="670"/>
      <c r="Y730" s="671"/>
      <c r="Z730" s="671"/>
      <c r="AA730" s="672"/>
      <c r="AB730" s="673"/>
      <c r="AC730" s="673"/>
      <c r="AD730" s="673"/>
      <c r="AE730" s="673"/>
      <c r="AF730" s="673"/>
      <c r="AG730" s="673"/>
      <c r="AH730" s="673"/>
      <c r="AI730" s="673"/>
      <c r="AJ730" s="673"/>
      <c r="AK730" s="673"/>
      <c r="AL730" s="673"/>
      <c r="AM730" s="673"/>
      <c r="AN730" s="673"/>
      <c r="AO730" s="673"/>
      <c r="AP730" s="673"/>
      <c r="AQ730" s="673"/>
      <c r="AR730" s="673"/>
      <c r="AS730" s="673"/>
    </row>
    <row r="731">
      <c r="A731" s="653"/>
      <c r="B731" s="654"/>
      <c r="C731" s="655"/>
      <c r="D731" s="656"/>
      <c r="E731" s="657"/>
      <c r="F731" s="658"/>
      <c r="G731" s="659"/>
      <c r="H731" s="660"/>
      <c r="I731" s="659"/>
      <c r="J731" s="661"/>
      <c r="K731" s="658"/>
      <c r="L731" s="662"/>
      <c r="M731" s="663"/>
      <c r="N731" s="664"/>
      <c r="O731" s="665"/>
      <c r="P731" s="666"/>
      <c r="Q731" s="667"/>
      <c r="R731" s="668"/>
      <c r="S731" s="665"/>
      <c r="T731" s="669"/>
      <c r="U731" s="669"/>
      <c r="V731" s="665"/>
      <c r="W731" s="670"/>
      <c r="X731" s="670"/>
      <c r="Y731" s="671"/>
      <c r="Z731" s="671"/>
      <c r="AA731" s="672"/>
      <c r="AB731" s="673"/>
      <c r="AC731" s="673"/>
      <c r="AD731" s="673"/>
      <c r="AE731" s="673"/>
      <c r="AF731" s="673"/>
      <c r="AG731" s="673"/>
      <c r="AH731" s="673"/>
      <c r="AI731" s="673"/>
      <c r="AJ731" s="673"/>
      <c r="AK731" s="673"/>
      <c r="AL731" s="673"/>
      <c r="AM731" s="673"/>
      <c r="AN731" s="673"/>
      <c r="AO731" s="673"/>
      <c r="AP731" s="673"/>
      <c r="AQ731" s="673"/>
      <c r="AR731" s="673"/>
      <c r="AS731" s="673"/>
    </row>
    <row r="732">
      <c r="A732" s="653"/>
      <c r="B732" s="654"/>
      <c r="C732" s="655"/>
      <c r="D732" s="656"/>
      <c r="E732" s="657"/>
      <c r="F732" s="658"/>
      <c r="G732" s="659"/>
      <c r="H732" s="660"/>
      <c r="I732" s="659"/>
      <c r="J732" s="661"/>
      <c r="K732" s="658"/>
      <c r="L732" s="662"/>
      <c r="M732" s="663"/>
      <c r="N732" s="664"/>
      <c r="O732" s="665"/>
      <c r="P732" s="666"/>
      <c r="Q732" s="667"/>
      <c r="R732" s="668"/>
      <c r="S732" s="665"/>
      <c r="T732" s="669"/>
      <c r="U732" s="669"/>
      <c r="V732" s="665"/>
      <c r="W732" s="670"/>
      <c r="X732" s="670"/>
      <c r="Y732" s="671"/>
      <c r="Z732" s="671"/>
      <c r="AA732" s="672"/>
      <c r="AB732" s="673"/>
      <c r="AC732" s="673"/>
      <c r="AD732" s="673"/>
      <c r="AE732" s="673"/>
      <c r="AF732" s="673"/>
      <c r="AG732" s="673"/>
      <c r="AH732" s="673"/>
      <c r="AI732" s="673"/>
      <c r="AJ732" s="673"/>
      <c r="AK732" s="673"/>
      <c r="AL732" s="673"/>
      <c r="AM732" s="673"/>
      <c r="AN732" s="673"/>
      <c r="AO732" s="673"/>
      <c r="AP732" s="673"/>
      <c r="AQ732" s="673"/>
      <c r="AR732" s="673"/>
      <c r="AS732" s="673"/>
    </row>
    <row r="733">
      <c r="A733" s="653"/>
      <c r="B733" s="654"/>
      <c r="C733" s="655"/>
      <c r="D733" s="656"/>
      <c r="E733" s="657"/>
      <c r="F733" s="658"/>
      <c r="G733" s="659"/>
      <c r="H733" s="660"/>
      <c r="I733" s="659"/>
      <c r="J733" s="661"/>
      <c r="K733" s="658"/>
      <c r="L733" s="662"/>
      <c r="M733" s="663"/>
      <c r="N733" s="664"/>
      <c r="O733" s="665"/>
      <c r="P733" s="666"/>
      <c r="Q733" s="667"/>
      <c r="R733" s="668"/>
      <c r="S733" s="665"/>
      <c r="T733" s="669"/>
      <c r="U733" s="669"/>
      <c r="V733" s="665"/>
      <c r="W733" s="670"/>
      <c r="X733" s="670"/>
      <c r="Y733" s="671"/>
      <c r="Z733" s="671"/>
      <c r="AA733" s="672"/>
      <c r="AB733" s="673"/>
      <c r="AC733" s="673"/>
      <c r="AD733" s="673"/>
      <c r="AE733" s="673"/>
      <c r="AF733" s="673"/>
      <c r="AG733" s="673"/>
      <c r="AH733" s="673"/>
      <c r="AI733" s="673"/>
      <c r="AJ733" s="673"/>
      <c r="AK733" s="673"/>
      <c r="AL733" s="673"/>
      <c r="AM733" s="673"/>
      <c r="AN733" s="673"/>
      <c r="AO733" s="673"/>
      <c r="AP733" s="673"/>
      <c r="AQ733" s="673"/>
      <c r="AR733" s="673"/>
      <c r="AS733" s="673"/>
    </row>
    <row r="734">
      <c r="A734" s="653"/>
      <c r="B734" s="654"/>
      <c r="C734" s="655"/>
      <c r="D734" s="656"/>
      <c r="E734" s="657"/>
      <c r="F734" s="658"/>
      <c r="G734" s="659"/>
      <c r="H734" s="660"/>
      <c r="I734" s="659"/>
      <c r="J734" s="661"/>
      <c r="K734" s="658"/>
      <c r="L734" s="662"/>
      <c r="M734" s="663"/>
      <c r="N734" s="664"/>
      <c r="O734" s="665"/>
      <c r="P734" s="666"/>
      <c r="Q734" s="667"/>
      <c r="R734" s="668"/>
      <c r="S734" s="665"/>
      <c r="T734" s="669"/>
      <c r="U734" s="669"/>
      <c r="V734" s="665"/>
      <c r="W734" s="670"/>
      <c r="X734" s="670"/>
      <c r="Y734" s="671"/>
      <c r="Z734" s="671"/>
      <c r="AA734" s="672"/>
      <c r="AB734" s="673"/>
      <c r="AC734" s="673"/>
      <c r="AD734" s="673"/>
      <c r="AE734" s="673"/>
      <c r="AF734" s="673"/>
      <c r="AG734" s="673"/>
      <c r="AH734" s="673"/>
      <c r="AI734" s="673"/>
      <c r="AJ734" s="673"/>
      <c r="AK734" s="673"/>
      <c r="AL734" s="673"/>
      <c r="AM734" s="673"/>
      <c r="AN734" s="673"/>
      <c r="AO734" s="673"/>
      <c r="AP734" s="673"/>
      <c r="AQ734" s="673"/>
      <c r="AR734" s="673"/>
      <c r="AS734" s="673"/>
    </row>
    <row r="735">
      <c r="A735" s="653"/>
      <c r="B735" s="654"/>
      <c r="C735" s="655"/>
      <c r="D735" s="656"/>
      <c r="E735" s="657"/>
      <c r="F735" s="658"/>
      <c r="G735" s="659"/>
      <c r="H735" s="660"/>
      <c r="I735" s="659"/>
      <c r="J735" s="661"/>
      <c r="K735" s="658"/>
      <c r="L735" s="662"/>
      <c r="M735" s="663"/>
      <c r="N735" s="664"/>
      <c r="O735" s="665"/>
      <c r="P735" s="666"/>
      <c r="Q735" s="667"/>
      <c r="R735" s="668"/>
      <c r="S735" s="665"/>
      <c r="T735" s="669"/>
      <c r="U735" s="669"/>
      <c r="V735" s="665"/>
      <c r="W735" s="670"/>
      <c r="X735" s="670"/>
      <c r="Y735" s="671"/>
      <c r="Z735" s="671"/>
      <c r="AA735" s="672"/>
      <c r="AB735" s="673"/>
      <c r="AC735" s="673"/>
      <c r="AD735" s="673"/>
      <c r="AE735" s="673"/>
      <c r="AF735" s="673"/>
      <c r="AG735" s="673"/>
      <c r="AH735" s="673"/>
      <c r="AI735" s="673"/>
      <c r="AJ735" s="673"/>
      <c r="AK735" s="673"/>
      <c r="AL735" s="673"/>
      <c r="AM735" s="673"/>
      <c r="AN735" s="673"/>
      <c r="AO735" s="673"/>
      <c r="AP735" s="673"/>
      <c r="AQ735" s="673"/>
      <c r="AR735" s="673"/>
      <c r="AS735" s="673"/>
    </row>
    <row r="736">
      <c r="A736" s="653"/>
      <c r="B736" s="654"/>
      <c r="C736" s="655"/>
      <c r="D736" s="656"/>
      <c r="E736" s="657"/>
      <c r="F736" s="658"/>
      <c r="G736" s="659"/>
      <c r="H736" s="660"/>
      <c r="I736" s="659"/>
      <c r="J736" s="661"/>
      <c r="K736" s="658"/>
      <c r="L736" s="662"/>
      <c r="M736" s="663"/>
      <c r="N736" s="664"/>
      <c r="O736" s="665"/>
      <c r="P736" s="666"/>
      <c r="Q736" s="667"/>
      <c r="R736" s="668"/>
      <c r="S736" s="665"/>
      <c r="T736" s="669"/>
      <c r="U736" s="669"/>
      <c r="V736" s="665"/>
      <c r="W736" s="670"/>
      <c r="X736" s="670"/>
      <c r="Y736" s="671"/>
      <c r="Z736" s="671"/>
      <c r="AA736" s="672"/>
      <c r="AB736" s="673"/>
      <c r="AC736" s="673"/>
      <c r="AD736" s="673"/>
      <c r="AE736" s="673"/>
      <c r="AF736" s="673"/>
      <c r="AG736" s="673"/>
      <c r="AH736" s="673"/>
      <c r="AI736" s="673"/>
      <c r="AJ736" s="673"/>
      <c r="AK736" s="673"/>
      <c r="AL736" s="673"/>
      <c r="AM736" s="673"/>
      <c r="AN736" s="673"/>
      <c r="AO736" s="673"/>
      <c r="AP736" s="673"/>
      <c r="AQ736" s="673"/>
      <c r="AR736" s="673"/>
      <c r="AS736" s="673"/>
    </row>
    <row r="737">
      <c r="A737" s="653"/>
      <c r="B737" s="654"/>
      <c r="C737" s="655"/>
      <c r="D737" s="656"/>
      <c r="E737" s="657"/>
      <c r="F737" s="658"/>
      <c r="G737" s="659"/>
      <c r="H737" s="660"/>
      <c r="I737" s="659"/>
      <c r="J737" s="661"/>
      <c r="K737" s="658"/>
      <c r="L737" s="662"/>
      <c r="M737" s="663"/>
      <c r="N737" s="664"/>
      <c r="O737" s="665"/>
      <c r="P737" s="666"/>
      <c r="Q737" s="667"/>
      <c r="R737" s="668"/>
      <c r="S737" s="665"/>
      <c r="T737" s="669"/>
      <c r="U737" s="669"/>
      <c r="V737" s="665"/>
      <c r="W737" s="670"/>
      <c r="X737" s="670"/>
      <c r="Y737" s="671"/>
      <c r="Z737" s="671"/>
      <c r="AA737" s="672"/>
      <c r="AB737" s="673"/>
      <c r="AC737" s="673"/>
      <c r="AD737" s="673"/>
      <c r="AE737" s="673"/>
      <c r="AF737" s="673"/>
      <c r="AG737" s="673"/>
      <c r="AH737" s="673"/>
      <c r="AI737" s="673"/>
      <c r="AJ737" s="673"/>
      <c r="AK737" s="673"/>
      <c r="AL737" s="673"/>
      <c r="AM737" s="673"/>
      <c r="AN737" s="673"/>
      <c r="AO737" s="673"/>
      <c r="AP737" s="673"/>
      <c r="AQ737" s="673"/>
      <c r="AR737" s="673"/>
      <c r="AS737" s="673"/>
    </row>
    <row r="738">
      <c r="A738" s="653"/>
      <c r="B738" s="654"/>
      <c r="C738" s="655"/>
      <c r="D738" s="656"/>
      <c r="E738" s="657"/>
      <c r="F738" s="658"/>
      <c r="G738" s="659"/>
      <c r="H738" s="660"/>
      <c r="I738" s="659"/>
      <c r="J738" s="661"/>
      <c r="K738" s="658"/>
      <c r="L738" s="662"/>
      <c r="M738" s="663"/>
      <c r="N738" s="664"/>
      <c r="O738" s="665"/>
      <c r="P738" s="666"/>
      <c r="Q738" s="667"/>
      <c r="R738" s="668"/>
      <c r="S738" s="665"/>
      <c r="T738" s="669"/>
      <c r="U738" s="669"/>
      <c r="V738" s="665"/>
      <c r="W738" s="670"/>
      <c r="X738" s="670"/>
      <c r="Y738" s="671"/>
      <c r="Z738" s="671"/>
      <c r="AA738" s="672"/>
      <c r="AB738" s="673"/>
      <c r="AC738" s="673"/>
      <c r="AD738" s="673"/>
      <c r="AE738" s="673"/>
      <c r="AF738" s="673"/>
      <c r="AG738" s="673"/>
      <c r="AH738" s="673"/>
      <c r="AI738" s="673"/>
      <c r="AJ738" s="673"/>
      <c r="AK738" s="673"/>
      <c r="AL738" s="673"/>
      <c r="AM738" s="673"/>
      <c r="AN738" s="673"/>
      <c r="AO738" s="673"/>
      <c r="AP738" s="673"/>
      <c r="AQ738" s="673"/>
      <c r="AR738" s="673"/>
      <c r="AS738" s="673"/>
    </row>
    <row r="739">
      <c r="A739" s="653"/>
      <c r="B739" s="654"/>
      <c r="C739" s="655"/>
      <c r="D739" s="656"/>
      <c r="E739" s="657"/>
      <c r="F739" s="658"/>
      <c r="G739" s="659"/>
      <c r="H739" s="660"/>
      <c r="I739" s="659"/>
      <c r="J739" s="661"/>
      <c r="K739" s="658"/>
      <c r="L739" s="662"/>
      <c r="M739" s="663"/>
      <c r="N739" s="664"/>
      <c r="O739" s="665"/>
      <c r="P739" s="666"/>
      <c r="Q739" s="667"/>
      <c r="R739" s="668"/>
      <c r="S739" s="665"/>
      <c r="T739" s="669"/>
      <c r="U739" s="669"/>
      <c r="V739" s="665"/>
      <c r="W739" s="670"/>
      <c r="X739" s="670"/>
      <c r="Y739" s="671"/>
      <c r="Z739" s="671"/>
      <c r="AA739" s="672"/>
      <c r="AB739" s="673"/>
      <c r="AC739" s="673"/>
      <c r="AD739" s="673"/>
      <c r="AE739" s="673"/>
      <c r="AF739" s="673"/>
      <c r="AG739" s="673"/>
      <c r="AH739" s="673"/>
      <c r="AI739" s="673"/>
      <c r="AJ739" s="673"/>
      <c r="AK739" s="673"/>
      <c r="AL739" s="673"/>
      <c r="AM739" s="673"/>
      <c r="AN739" s="673"/>
      <c r="AO739" s="673"/>
      <c r="AP739" s="673"/>
      <c r="AQ739" s="673"/>
      <c r="AR739" s="673"/>
      <c r="AS739" s="673"/>
    </row>
    <row r="740">
      <c r="A740" s="653"/>
      <c r="B740" s="654"/>
      <c r="C740" s="655"/>
      <c r="D740" s="656"/>
      <c r="E740" s="657"/>
      <c r="F740" s="658"/>
      <c r="G740" s="659"/>
      <c r="H740" s="660"/>
      <c r="I740" s="659"/>
      <c r="J740" s="661"/>
      <c r="K740" s="658"/>
      <c r="L740" s="662"/>
      <c r="M740" s="663"/>
      <c r="N740" s="664"/>
      <c r="O740" s="665"/>
      <c r="P740" s="666"/>
      <c r="Q740" s="667"/>
      <c r="R740" s="668"/>
      <c r="S740" s="665"/>
      <c r="T740" s="669"/>
      <c r="U740" s="669"/>
      <c r="V740" s="665"/>
      <c r="W740" s="670"/>
      <c r="X740" s="670"/>
      <c r="Y740" s="671"/>
      <c r="Z740" s="671"/>
      <c r="AA740" s="672"/>
      <c r="AB740" s="673"/>
      <c r="AC740" s="673"/>
      <c r="AD740" s="673"/>
      <c r="AE740" s="673"/>
      <c r="AF740" s="673"/>
      <c r="AG740" s="673"/>
      <c r="AH740" s="673"/>
      <c r="AI740" s="673"/>
      <c r="AJ740" s="673"/>
      <c r="AK740" s="673"/>
      <c r="AL740" s="673"/>
      <c r="AM740" s="673"/>
      <c r="AN740" s="673"/>
      <c r="AO740" s="673"/>
      <c r="AP740" s="673"/>
      <c r="AQ740" s="673"/>
      <c r="AR740" s="673"/>
      <c r="AS740" s="673"/>
    </row>
    <row r="741">
      <c r="A741" s="653"/>
      <c r="B741" s="654"/>
      <c r="C741" s="655"/>
      <c r="D741" s="656"/>
      <c r="E741" s="657"/>
      <c r="F741" s="658"/>
      <c r="G741" s="659"/>
      <c r="H741" s="660"/>
      <c r="I741" s="659"/>
      <c r="J741" s="661"/>
      <c r="K741" s="658"/>
      <c r="L741" s="662"/>
      <c r="M741" s="663"/>
      <c r="N741" s="664"/>
      <c r="O741" s="665"/>
      <c r="P741" s="666"/>
      <c r="Q741" s="667"/>
      <c r="R741" s="668"/>
      <c r="S741" s="665"/>
      <c r="T741" s="669"/>
      <c r="U741" s="669"/>
      <c r="V741" s="665"/>
      <c r="W741" s="670"/>
      <c r="X741" s="670"/>
      <c r="Y741" s="671"/>
      <c r="Z741" s="671"/>
      <c r="AA741" s="672"/>
      <c r="AB741" s="673"/>
      <c r="AC741" s="673"/>
      <c r="AD741" s="673"/>
      <c r="AE741" s="673"/>
      <c r="AF741" s="673"/>
      <c r="AG741" s="673"/>
      <c r="AH741" s="673"/>
      <c r="AI741" s="673"/>
      <c r="AJ741" s="673"/>
      <c r="AK741" s="673"/>
      <c r="AL741" s="673"/>
      <c r="AM741" s="673"/>
      <c r="AN741" s="673"/>
      <c r="AO741" s="673"/>
      <c r="AP741" s="673"/>
      <c r="AQ741" s="673"/>
      <c r="AR741" s="673"/>
      <c r="AS741" s="673"/>
    </row>
    <row r="742">
      <c r="A742" s="653"/>
      <c r="B742" s="654"/>
      <c r="C742" s="655"/>
      <c r="D742" s="656"/>
      <c r="E742" s="657"/>
      <c r="F742" s="658"/>
      <c r="G742" s="659"/>
      <c r="H742" s="660"/>
      <c r="I742" s="659"/>
      <c r="J742" s="661"/>
      <c r="K742" s="658"/>
      <c r="L742" s="662"/>
      <c r="M742" s="663"/>
      <c r="N742" s="664"/>
      <c r="O742" s="665"/>
      <c r="P742" s="666"/>
      <c r="Q742" s="667"/>
      <c r="R742" s="668"/>
      <c r="S742" s="665"/>
      <c r="T742" s="669"/>
      <c r="U742" s="669"/>
      <c r="V742" s="665"/>
      <c r="W742" s="670"/>
      <c r="X742" s="670"/>
      <c r="Y742" s="671"/>
      <c r="Z742" s="671"/>
      <c r="AA742" s="672"/>
      <c r="AB742" s="673"/>
      <c r="AC742" s="673"/>
      <c r="AD742" s="673"/>
      <c r="AE742" s="673"/>
      <c r="AF742" s="673"/>
      <c r="AG742" s="673"/>
      <c r="AH742" s="673"/>
      <c r="AI742" s="673"/>
      <c r="AJ742" s="673"/>
      <c r="AK742" s="673"/>
      <c r="AL742" s="673"/>
      <c r="AM742" s="673"/>
      <c r="AN742" s="673"/>
      <c r="AO742" s="673"/>
      <c r="AP742" s="673"/>
      <c r="AQ742" s="673"/>
      <c r="AR742" s="673"/>
      <c r="AS742" s="673"/>
    </row>
    <row r="743">
      <c r="A743" s="653"/>
      <c r="B743" s="654"/>
      <c r="C743" s="655"/>
      <c r="D743" s="656"/>
      <c r="E743" s="657"/>
      <c r="F743" s="658"/>
      <c r="G743" s="659"/>
      <c r="H743" s="660"/>
      <c r="I743" s="659"/>
      <c r="J743" s="661"/>
      <c r="K743" s="658"/>
      <c r="L743" s="662"/>
      <c r="M743" s="663"/>
      <c r="N743" s="664"/>
      <c r="O743" s="665"/>
      <c r="P743" s="666"/>
      <c r="Q743" s="667"/>
      <c r="R743" s="668"/>
      <c r="S743" s="665"/>
      <c r="T743" s="669"/>
      <c r="U743" s="669"/>
      <c r="V743" s="665"/>
      <c r="W743" s="670"/>
      <c r="X743" s="670"/>
      <c r="Y743" s="671"/>
      <c r="Z743" s="671"/>
      <c r="AA743" s="672"/>
      <c r="AB743" s="673"/>
      <c r="AC743" s="673"/>
      <c r="AD743" s="673"/>
      <c r="AE743" s="673"/>
      <c r="AF743" s="673"/>
      <c r="AG743" s="673"/>
      <c r="AH743" s="673"/>
      <c r="AI743" s="673"/>
      <c r="AJ743" s="673"/>
      <c r="AK743" s="673"/>
      <c r="AL743" s="673"/>
      <c r="AM743" s="673"/>
      <c r="AN743" s="673"/>
      <c r="AO743" s="673"/>
      <c r="AP743" s="673"/>
      <c r="AQ743" s="673"/>
      <c r="AR743" s="673"/>
      <c r="AS743" s="673"/>
    </row>
    <row r="744">
      <c r="A744" s="653"/>
      <c r="B744" s="654"/>
      <c r="C744" s="655"/>
      <c r="D744" s="656"/>
      <c r="E744" s="657"/>
      <c r="F744" s="658"/>
      <c r="G744" s="659"/>
      <c r="H744" s="660"/>
      <c r="I744" s="659"/>
      <c r="J744" s="661"/>
      <c r="K744" s="658"/>
      <c r="L744" s="662"/>
      <c r="M744" s="663"/>
      <c r="N744" s="664"/>
      <c r="O744" s="665"/>
      <c r="P744" s="666"/>
      <c r="Q744" s="667"/>
      <c r="R744" s="668"/>
      <c r="S744" s="665"/>
      <c r="T744" s="669"/>
      <c r="U744" s="669"/>
      <c r="V744" s="665"/>
      <c r="W744" s="670"/>
      <c r="X744" s="670"/>
      <c r="Y744" s="671"/>
      <c r="Z744" s="671"/>
      <c r="AA744" s="672"/>
      <c r="AB744" s="673"/>
      <c r="AC744" s="673"/>
      <c r="AD744" s="673"/>
      <c r="AE744" s="673"/>
      <c r="AF744" s="673"/>
      <c r="AG744" s="673"/>
      <c r="AH744" s="673"/>
      <c r="AI744" s="673"/>
      <c r="AJ744" s="673"/>
      <c r="AK744" s="673"/>
      <c r="AL744" s="673"/>
      <c r="AM744" s="673"/>
      <c r="AN744" s="673"/>
      <c r="AO744" s="673"/>
      <c r="AP744" s="673"/>
      <c r="AQ744" s="673"/>
      <c r="AR744" s="673"/>
      <c r="AS744" s="673"/>
    </row>
    <row r="745">
      <c r="A745" s="653"/>
      <c r="B745" s="654"/>
      <c r="C745" s="655"/>
      <c r="D745" s="656"/>
      <c r="E745" s="657"/>
      <c r="F745" s="658"/>
      <c r="G745" s="659"/>
      <c r="H745" s="660"/>
      <c r="I745" s="659"/>
      <c r="J745" s="661"/>
      <c r="K745" s="658"/>
      <c r="L745" s="662"/>
      <c r="M745" s="663"/>
      <c r="N745" s="664"/>
      <c r="O745" s="665"/>
      <c r="P745" s="666"/>
      <c r="Q745" s="667"/>
      <c r="R745" s="668"/>
      <c r="S745" s="665"/>
      <c r="T745" s="669"/>
      <c r="U745" s="669"/>
      <c r="V745" s="665"/>
      <c r="W745" s="670"/>
      <c r="X745" s="670"/>
      <c r="Y745" s="671"/>
      <c r="Z745" s="671"/>
      <c r="AA745" s="672"/>
      <c r="AB745" s="673"/>
      <c r="AC745" s="673"/>
      <c r="AD745" s="673"/>
      <c r="AE745" s="673"/>
      <c r="AF745" s="673"/>
      <c r="AG745" s="673"/>
      <c r="AH745" s="673"/>
      <c r="AI745" s="673"/>
      <c r="AJ745" s="673"/>
      <c r="AK745" s="673"/>
      <c r="AL745" s="673"/>
      <c r="AM745" s="673"/>
      <c r="AN745" s="673"/>
      <c r="AO745" s="673"/>
      <c r="AP745" s="673"/>
      <c r="AQ745" s="673"/>
      <c r="AR745" s="673"/>
      <c r="AS745" s="673"/>
    </row>
    <row r="746">
      <c r="A746" s="653"/>
      <c r="B746" s="654"/>
      <c r="C746" s="655"/>
      <c r="D746" s="656"/>
      <c r="E746" s="657"/>
      <c r="F746" s="658"/>
      <c r="G746" s="659"/>
      <c r="H746" s="660"/>
      <c r="I746" s="659"/>
      <c r="J746" s="661"/>
      <c r="K746" s="658"/>
      <c r="L746" s="662"/>
      <c r="M746" s="663"/>
      <c r="N746" s="664"/>
      <c r="O746" s="665"/>
      <c r="P746" s="666"/>
      <c r="Q746" s="667"/>
      <c r="R746" s="668"/>
      <c r="S746" s="665"/>
      <c r="T746" s="669"/>
      <c r="U746" s="669"/>
      <c r="V746" s="665"/>
      <c r="W746" s="670"/>
      <c r="X746" s="670"/>
      <c r="Y746" s="671"/>
      <c r="Z746" s="671"/>
      <c r="AA746" s="672"/>
      <c r="AB746" s="673"/>
      <c r="AC746" s="673"/>
      <c r="AD746" s="673"/>
      <c r="AE746" s="673"/>
      <c r="AF746" s="673"/>
      <c r="AG746" s="673"/>
      <c r="AH746" s="673"/>
      <c r="AI746" s="673"/>
      <c r="AJ746" s="673"/>
      <c r="AK746" s="673"/>
      <c r="AL746" s="673"/>
      <c r="AM746" s="673"/>
      <c r="AN746" s="673"/>
      <c r="AO746" s="673"/>
      <c r="AP746" s="673"/>
      <c r="AQ746" s="673"/>
      <c r="AR746" s="673"/>
      <c r="AS746" s="673"/>
    </row>
    <row r="747">
      <c r="A747" s="653"/>
      <c r="B747" s="654"/>
      <c r="C747" s="655"/>
      <c r="D747" s="656"/>
      <c r="E747" s="657"/>
      <c r="F747" s="658"/>
      <c r="G747" s="659"/>
      <c r="H747" s="660"/>
      <c r="I747" s="659"/>
      <c r="J747" s="661"/>
      <c r="K747" s="658"/>
      <c r="L747" s="662"/>
      <c r="M747" s="663"/>
      <c r="N747" s="664"/>
      <c r="O747" s="665"/>
      <c r="P747" s="666"/>
      <c r="Q747" s="667"/>
      <c r="R747" s="668"/>
      <c r="S747" s="665"/>
      <c r="T747" s="669"/>
      <c r="U747" s="669"/>
      <c r="V747" s="665"/>
      <c r="W747" s="670"/>
      <c r="X747" s="670"/>
      <c r="Y747" s="671"/>
      <c r="Z747" s="671"/>
      <c r="AA747" s="672"/>
      <c r="AB747" s="673"/>
      <c r="AC747" s="673"/>
      <c r="AD747" s="673"/>
      <c r="AE747" s="673"/>
      <c r="AF747" s="673"/>
      <c r="AG747" s="673"/>
      <c r="AH747" s="673"/>
      <c r="AI747" s="673"/>
      <c r="AJ747" s="673"/>
      <c r="AK747" s="673"/>
      <c r="AL747" s="673"/>
      <c r="AM747" s="673"/>
      <c r="AN747" s="673"/>
      <c r="AO747" s="673"/>
      <c r="AP747" s="673"/>
      <c r="AQ747" s="673"/>
      <c r="AR747" s="673"/>
      <c r="AS747" s="673"/>
    </row>
    <row r="748">
      <c r="A748" s="653"/>
      <c r="B748" s="654"/>
      <c r="C748" s="655"/>
      <c r="D748" s="656"/>
      <c r="E748" s="657"/>
      <c r="F748" s="658"/>
      <c r="G748" s="659"/>
      <c r="H748" s="660"/>
      <c r="I748" s="659"/>
      <c r="J748" s="661"/>
      <c r="K748" s="658"/>
      <c r="L748" s="662"/>
      <c r="M748" s="663"/>
      <c r="N748" s="664"/>
      <c r="O748" s="665"/>
      <c r="P748" s="666"/>
      <c r="Q748" s="667"/>
      <c r="R748" s="668"/>
      <c r="S748" s="665"/>
      <c r="T748" s="669"/>
      <c r="U748" s="669"/>
      <c r="V748" s="665"/>
      <c r="W748" s="670"/>
      <c r="X748" s="670"/>
      <c r="Y748" s="671"/>
      <c r="Z748" s="671"/>
      <c r="AA748" s="672"/>
      <c r="AB748" s="673"/>
      <c r="AC748" s="673"/>
      <c r="AD748" s="673"/>
      <c r="AE748" s="673"/>
      <c r="AF748" s="673"/>
      <c r="AG748" s="673"/>
      <c r="AH748" s="673"/>
      <c r="AI748" s="673"/>
      <c r="AJ748" s="673"/>
      <c r="AK748" s="673"/>
      <c r="AL748" s="673"/>
      <c r="AM748" s="673"/>
      <c r="AN748" s="673"/>
      <c r="AO748" s="673"/>
      <c r="AP748" s="673"/>
      <c r="AQ748" s="673"/>
      <c r="AR748" s="673"/>
      <c r="AS748" s="673"/>
    </row>
    <row r="749">
      <c r="A749" s="653"/>
      <c r="B749" s="654"/>
      <c r="C749" s="655"/>
      <c r="D749" s="656"/>
      <c r="E749" s="657"/>
      <c r="F749" s="658"/>
      <c r="G749" s="659"/>
      <c r="H749" s="660"/>
      <c r="I749" s="659"/>
      <c r="J749" s="661"/>
      <c r="K749" s="658"/>
      <c r="L749" s="662"/>
      <c r="M749" s="663"/>
      <c r="N749" s="664"/>
      <c r="O749" s="665"/>
      <c r="P749" s="666"/>
      <c r="Q749" s="667"/>
      <c r="R749" s="668"/>
      <c r="S749" s="665"/>
      <c r="T749" s="669"/>
      <c r="U749" s="669"/>
      <c r="V749" s="665"/>
      <c r="W749" s="670"/>
      <c r="X749" s="670"/>
      <c r="Y749" s="671"/>
      <c r="Z749" s="671"/>
      <c r="AA749" s="672"/>
      <c r="AB749" s="673"/>
      <c r="AC749" s="673"/>
      <c r="AD749" s="673"/>
      <c r="AE749" s="673"/>
      <c r="AF749" s="673"/>
      <c r="AG749" s="673"/>
      <c r="AH749" s="673"/>
      <c r="AI749" s="673"/>
      <c r="AJ749" s="673"/>
      <c r="AK749" s="673"/>
      <c r="AL749" s="673"/>
      <c r="AM749" s="673"/>
      <c r="AN749" s="673"/>
      <c r="AO749" s="673"/>
      <c r="AP749" s="673"/>
      <c r="AQ749" s="673"/>
      <c r="AR749" s="673"/>
      <c r="AS749" s="673"/>
    </row>
    <row r="750">
      <c r="A750" s="653"/>
      <c r="B750" s="654"/>
      <c r="C750" s="655"/>
      <c r="D750" s="656"/>
      <c r="E750" s="657"/>
      <c r="F750" s="658"/>
      <c r="G750" s="659"/>
      <c r="H750" s="660"/>
      <c r="I750" s="659"/>
      <c r="J750" s="661"/>
      <c r="K750" s="658"/>
      <c r="L750" s="662"/>
      <c r="M750" s="663"/>
      <c r="N750" s="664"/>
      <c r="O750" s="665"/>
      <c r="P750" s="666"/>
      <c r="Q750" s="667"/>
      <c r="R750" s="668"/>
      <c r="S750" s="665"/>
      <c r="T750" s="669"/>
      <c r="U750" s="669"/>
      <c r="V750" s="665"/>
      <c r="W750" s="670"/>
      <c r="X750" s="670"/>
      <c r="Y750" s="671"/>
      <c r="Z750" s="671"/>
      <c r="AA750" s="672"/>
      <c r="AB750" s="673"/>
      <c r="AC750" s="673"/>
      <c r="AD750" s="673"/>
      <c r="AE750" s="673"/>
      <c r="AF750" s="673"/>
      <c r="AG750" s="673"/>
      <c r="AH750" s="673"/>
      <c r="AI750" s="673"/>
      <c r="AJ750" s="673"/>
      <c r="AK750" s="673"/>
      <c r="AL750" s="673"/>
      <c r="AM750" s="673"/>
      <c r="AN750" s="673"/>
      <c r="AO750" s="673"/>
      <c r="AP750" s="673"/>
      <c r="AQ750" s="673"/>
      <c r="AR750" s="673"/>
      <c r="AS750" s="673"/>
    </row>
    <row r="751">
      <c r="A751" s="653"/>
      <c r="B751" s="654"/>
      <c r="C751" s="655"/>
      <c r="D751" s="656"/>
      <c r="E751" s="657"/>
      <c r="F751" s="658"/>
      <c r="G751" s="659"/>
      <c r="H751" s="660"/>
      <c r="I751" s="659"/>
      <c r="J751" s="661"/>
      <c r="K751" s="658"/>
      <c r="L751" s="662"/>
      <c r="M751" s="663"/>
      <c r="N751" s="664"/>
      <c r="O751" s="665"/>
      <c r="P751" s="666"/>
      <c r="Q751" s="667"/>
      <c r="R751" s="668"/>
      <c r="S751" s="665"/>
      <c r="T751" s="669"/>
      <c r="U751" s="669"/>
      <c r="V751" s="665"/>
      <c r="W751" s="670"/>
      <c r="X751" s="670"/>
      <c r="Y751" s="671"/>
      <c r="Z751" s="671"/>
      <c r="AA751" s="672"/>
      <c r="AB751" s="673"/>
      <c r="AC751" s="673"/>
      <c r="AD751" s="673"/>
      <c r="AE751" s="673"/>
      <c r="AF751" s="673"/>
      <c r="AG751" s="673"/>
      <c r="AH751" s="673"/>
      <c r="AI751" s="673"/>
      <c r="AJ751" s="673"/>
      <c r="AK751" s="673"/>
      <c r="AL751" s="673"/>
      <c r="AM751" s="673"/>
      <c r="AN751" s="673"/>
      <c r="AO751" s="673"/>
      <c r="AP751" s="673"/>
      <c r="AQ751" s="673"/>
      <c r="AR751" s="673"/>
      <c r="AS751" s="673"/>
    </row>
    <row r="752">
      <c r="A752" s="653"/>
      <c r="B752" s="654"/>
      <c r="C752" s="655"/>
      <c r="D752" s="656"/>
      <c r="E752" s="657"/>
      <c r="F752" s="658"/>
      <c r="G752" s="659"/>
      <c r="H752" s="660"/>
      <c r="I752" s="659"/>
      <c r="J752" s="661"/>
      <c r="K752" s="658"/>
      <c r="L752" s="662"/>
      <c r="M752" s="663"/>
      <c r="N752" s="664"/>
      <c r="O752" s="665"/>
      <c r="P752" s="666"/>
      <c r="Q752" s="667"/>
      <c r="R752" s="668"/>
      <c r="S752" s="665"/>
      <c r="T752" s="669"/>
      <c r="U752" s="669"/>
      <c r="V752" s="665"/>
      <c r="W752" s="670"/>
      <c r="X752" s="670"/>
      <c r="Y752" s="671"/>
      <c r="Z752" s="671"/>
      <c r="AA752" s="672"/>
      <c r="AB752" s="673"/>
      <c r="AC752" s="673"/>
      <c r="AD752" s="673"/>
      <c r="AE752" s="673"/>
      <c r="AF752" s="673"/>
      <c r="AG752" s="673"/>
      <c r="AH752" s="673"/>
      <c r="AI752" s="673"/>
      <c r="AJ752" s="673"/>
      <c r="AK752" s="673"/>
      <c r="AL752" s="673"/>
      <c r="AM752" s="673"/>
      <c r="AN752" s="673"/>
      <c r="AO752" s="673"/>
      <c r="AP752" s="673"/>
      <c r="AQ752" s="673"/>
      <c r="AR752" s="673"/>
      <c r="AS752" s="673"/>
    </row>
    <row r="753">
      <c r="A753" s="653"/>
      <c r="B753" s="654"/>
      <c r="C753" s="655"/>
      <c r="D753" s="656"/>
      <c r="E753" s="657"/>
      <c r="F753" s="658"/>
      <c r="G753" s="659"/>
      <c r="H753" s="660"/>
      <c r="I753" s="659"/>
      <c r="J753" s="661"/>
      <c r="K753" s="658"/>
      <c r="L753" s="662"/>
      <c r="M753" s="663"/>
      <c r="N753" s="664"/>
      <c r="O753" s="665"/>
      <c r="P753" s="666"/>
      <c r="Q753" s="667"/>
      <c r="R753" s="668"/>
      <c r="S753" s="665"/>
      <c r="T753" s="669"/>
      <c r="U753" s="669"/>
      <c r="V753" s="665"/>
      <c r="W753" s="670"/>
      <c r="X753" s="670"/>
      <c r="Y753" s="671"/>
      <c r="Z753" s="671"/>
      <c r="AA753" s="672"/>
      <c r="AB753" s="673"/>
      <c r="AC753" s="673"/>
      <c r="AD753" s="673"/>
      <c r="AE753" s="673"/>
      <c r="AF753" s="673"/>
      <c r="AG753" s="673"/>
      <c r="AH753" s="673"/>
      <c r="AI753" s="673"/>
      <c r="AJ753" s="673"/>
      <c r="AK753" s="673"/>
      <c r="AL753" s="673"/>
      <c r="AM753" s="673"/>
      <c r="AN753" s="673"/>
      <c r="AO753" s="673"/>
      <c r="AP753" s="673"/>
      <c r="AQ753" s="673"/>
      <c r="AR753" s="673"/>
      <c r="AS753" s="673"/>
    </row>
    <row r="754">
      <c r="A754" s="653"/>
      <c r="B754" s="654"/>
      <c r="C754" s="655"/>
      <c r="D754" s="656"/>
      <c r="E754" s="657"/>
      <c r="F754" s="658"/>
      <c r="G754" s="659"/>
      <c r="H754" s="660"/>
      <c r="I754" s="659"/>
      <c r="J754" s="661"/>
      <c r="K754" s="658"/>
      <c r="L754" s="662"/>
      <c r="M754" s="663"/>
      <c r="N754" s="664"/>
      <c r="O754" s="665"/>
      <c r="P754" s="666"/>
      <c r="Q754" s="667"/>
      <c r="R754" s="668"/>
      <c r="S754" s="665"/>
      <c r="T754" s="669"/>
      <c r="U754" s="669"/>
      <c r="V754" s="665"/>
      <c r="W754" s="670"/>
      <c r="X754" s="670"/>
      <c r="Y754" s="671"/>
      <c r="Z754" s="671"/>
      <c r="AA754" s="672"/>
      <c r="AB754" s="673"/>
      <c r="AC754" s="673"/>
      <c r="AD754" s="673"/>
      <c r="AE754" s="673"/>
      <c r="AF754" s="673"/>
      <c r="AG754" s="673"/>
      <c r="AH754" s="673"/>
      <c r="AI754" s="673"/>
      <c r="AJ754" s="673"/>
      <c r="AK754" s="673"/>
      <c r="AL754" s="673"/>
      <c r="AM754" s="673"/>
      <c r="AN754" s="673"/>
      <c r="AO754" s="673"/>
      <c r="AP754" s="673"/>
      <c r="AQ754" s="673"/>
      <c r="AR754" s="673"/>
      <c r="AS754" s="673"/>
    </row>
    <row r="755">
      <c r="A755" s="653"/>
      <c r="B755" s="654"/>
      <c r="C755" s="655"/>
      <c r="D755" s="656"/>
      <c r="E755" s="657"/>
      <c r="F755" s="658"/>
      <c r="G755" s="659"/>
      <c r="H755" s="660"/>
      <c r="I755" s="659"/>
      <c r="J755" s="661"/>
      <c r="K755" s="658"/>
      <c r="L755" s="662"/>
      <c r="M755" s="663"/>
      <c r="N755" s="664"/>
      <c r="O755" s="665"/>
      <c r="P755" s="666"/>
      <c r="Q755" s="667"/>
      <c r="R755" s="668"/>
      <c r="S755" s="665"/>
      <c r="T755" s="669"/>
      <c r="U755" s="669"/>
      <c r="V755" s="665"/>
      <c r="W755" s="670"/>
      <c r="X755" s="670"/>
      <c r="Y755" s="671"/>
      <c r="Z755" s="671"/>
      <c r="AA755" s="672"/>
      <c r="AB755" s="673"/>
      <c r="AC755" s="673"/>
      <c r="AD755" s="673"/>
      <c r="AE755" s="673"/>
      <c r="AF755" s="673"/>
      <c r="AG755" s="673"/>
      <c r="AH755" s="673"/>
      <c r="AI755" s="673"/>
      <c r="AJ755" s="673"/>
      <c r="AK755" s="673"/>
      <c r="AL755" s="673"/>
      <c r="AM755" s="673"/>
      <c r="AN755" s="673"/>
      <c r="AO755" s="673"/>
      <c r="AP755" s="673"/>
      <c r="AQ755" s="673"/>
      <c r="AR755" s="673"/>
      <c r="AS755" s="673"/>
    </row>
    <row r="756">
      <c r="A756" s="653"/>
      <c r="B756" s="654"/>
      <c r="C756" s="655"/>
      <c r="D756" s="656"/>
      <c r="E756" s="657"/>
      <c r="F756" s="658"/>
      <c r="G756" s="659"/>
      <c r="H756" s="660"/>
      <c r="I756" s="659"/>
      <c r="J756" s="661"/>
      <c r="K756" s="658"/>
      <c r="L756" s="662"/>
      <c r="M756" s="663"/>
      <c r="N756" s="664"/>
      <c r="O756" s="665"/>
      <c r="P756" s="666"/>
      <c r="Q756" s="667"/>
      <c r="R756" s="668"/>
      <c r="S756" s="665"/>
      <c r="T756" s="669"/>
      <c r="U756" s="669"/>
      <c r="V756" s="665"/>
      <c r="W756" s="670"/>
      <c r="X756" s="670"/>
      <c r="Y756" s="671"/>
      <c r="Z756" s="671"/>
      <c r="AA756" s="672"/>
      <c r="AB756" s="673"/>
      <c r="AC756" s="673"/>
      <c r="AD756" s="673"/>
      <c r="AE756" s="673"/>
      <c r="AF756" s="673"/>
      <c r="AG756" s="673"/>
      <c r="AH756" s="673"/>
      <c r="AI756" s="673"/>
      <c r="AJ756" s="673"/>
      <c r="AK756" s="673"/>
      <c r="AL756" s="673"/>
      <c r="AM756" s="673"/>
      <c r="AN756" s="673"/>
      <c r="AO756" s="673"/>
      <c r="AP756" s="673"/>
      <c r="AQ756" s="673"/>
      <c r="AR756" s="673"/>
      <c r="AS756" s="673"/>
    </row>
    <row r="757">
      <c r="A757" s="653"/>
      <c r="B757" s="654"/>
      <c r="C757" s="655"/>
      <c r="D757" s="656"/>
      <c r="E757" s="657"/>
      <c r="F757" s="658"/>
      <c r="G757" s="659"/>
      <c r="H757" s="660"/>
      <c r="I757" s="659"/>
      <c r="J757" s="661"/>
      <c r="K757" s="658"/>
      <c r="L757" s="662"/>
      <c r="M757" s="663"/>
      <c r="N757" s="664"/>
      <c r="O757" s="665"/>
      <c r="P757" s="666"/>
      <c r="Q757" s="667"/>
      <c r="R757" s="668"/>
      <c r="S757" s="665"/>
      <c r="T757" s="669"/>
      <c r="U757" s="669"/>
      <c r="V757" s="665"/>
      <c r="W757" s="670"/>
      <c r="X757" s="670"/>
      <c r="Y757" s="671"/>
      <c r="Z757" s="671"/>
      <c r="AA757" s="672"/>
      <c r="AB757" s="673"/>
      <c r="AC757" s="673"/>
      <c r="AD757" s="673"/>
      <c r="AE757" s="673"/>
      <c r="AF757" s="673"/>
      <c r="AG757" s="673"/>
      <c r="AH757" s="673"/>
      <c r="AI757" s="673"/>
      <c r="AJ757" s="673"/>
      <c r="AK757" s="673"/>
      <c r="AL757" s="673"/>
      <c r="AM757" s="673"/>
      <c r="AN757" s="673"/>
      <c r="AO757" s="673"/>
      <c r="AP757" s="673"/>
      <c r="AQ757" s="673"/>
      <c r="AR757" s="673"/>
      <c r="AS757" s="673"/>
    </row>
    <row r="758">
      <c r="A758" s="653"/>
      <c r="B758" s="654"/>
      <c r="C758" s="655"/>
      <c r="D758" s="656"/>
      <c r="E758" s="657"/>
      <c r="F758" s="658"/>
      <c r="G758" s="659"/>
      <c r="H758" s="660"/>
      <c r="I758" s="659"/>
      <c r="J758" s="661"/>
      <c r="K758" s="658"/>
      <c r="L758" s="662"/>
      <c r="M758" s="663"/>
      <c r="N758" s="664"/>
      <c r="O758" s="665"/>
      <c r="P758" s="666"/>
      <c r="Q758" s="667"/>
      <c r="R758" s="668"/>
      <c r="S758" s="665"/>
      <c r="T758" s="669"/>
      <c r="U758" s="669"/>
      <c r="V758" s="665"/>
      <c r="W758" s="670"/>
      <c r="X758" s="670"/>
      <c r="Y758" s="671"/>
      <c r="Z758" s="671"/>
      <c r="AA758" s="672"/>
      <c r="AB758" s="673"/>
      <c r="AC758" s="673"/>
      <c r="AD758" s="673"/>
      <c r="AE758" s="673"/>
      <c r="AF758" s="673"/>
      <c r="AG758" s="673"/>
      <c r="AH758" s="673"/>
      <c r="AI758" s="673"/>
      <c r="AJ758" s="673"/>
      <c r="AK758" s="673"/>
      <c r="AL758" s="673"/>
      <c r="AM758" s="673"/>
      <c r="AN758" s="673"/>
      <c r="AO758" s="673"/>
      <c r="AP758" s="673"/>
      <c r="AQ758" s="673"/>
      <c r="AR758" s="673"/>
      <c r="AS758" s="673"/>
    </row>
    <row r="759">
      <c r="A759" s="653"/>
      <c r="B759" s="654"/>
      <c r="C759" s="655"/>
      <c r="D759" s="656"/>
      <c r="E759" s="657"/>
      <c r="F759" s="658"/>
      <c r="G759" s="659"/>
      <c r="H759" s="660"/>
      <c r="I759" s="659"/>
      <c r="J759" s="661"/>
      <c r="K759" s="658"/>
      <c r="L759" s="662"/>
      <c r="M759" s="663"/>
      <c r="N759" s="664"/>
      <c r="O759" s="665"/>
      <c r="P759" s="666"/>
      <c r="Q759" s="667"/>
      <c r="R759" s="668"/>
      <c r="S759" s="665"/>
      <c r="T759" s="669"/>
      <c r="U759" s="669"/>
      <c r="V759" s="665"/>
      <c r="W759" s="670"/>
      <c r="X759" s="670"/>
      <c r="Y759" s="671"/>
      <c r="Z759" s="671"/>
      <c r="AA759" s="672"/>
      <c r="AB759" s="673"/>
      <c r="AC759" s="673"/>
      <c r="AD759" s="673"/>
      <c r="AE759" s="673"/>
      <c r="AF759" s="673"/>
      <c r="AG759" s="673"/>
      <c r="AH759" s="673"/>
      <c r="AI759" s="673"/>
      <c r="AJ759" s="673"/>
      <c r="AK759" s="673"/>
      <c r="AL759" s="673"/>
      <c r="AM759" s="673"/>
      <c r="AN759" s="673"/>
      <c r="AO759" s="673"/>
      <c r="AP759" s="673"/>
      <c r="AQ759" s="673"/>
      <c r="AR759" s="673"/>
      <c r="AS759" s="673"/>
    </row>
    <row r="760">
      <c r="A760" s="653"/>
      <c r="B760" s="654"/>
      <c r="C760" s="655"/>
      <c r="D760" s="656"/>
      <c r="E760" s="657"/>
      <c r="F760" s="658"/>
      <c r="G760" s="659"/>
      <c r="H760" s="660"/>
      <c r="I760" s="659"/>
      <c r="J760" s="661"/>
      <c r="K760" s="658"/>
      <c r="L760" s="662"/>
      <c r="M760" s="663"/>
      <c r="N760" s="664"/>
      <c r="O760" s="665"/>
      <c r="P760" s="666"/>
      <c r="Q760" s="667"/>
      <c r="R760" s="668"/>
      <c r="S760" s="665"/>
      <c r="T760" s="669"/>
      <c r="U760" s="669"/>
      <c r="V760" s="665"/>
      <c r="W760" s="670"/>
      <c r="X760" s="670"/>
      <c r="Y760" s="671"/>
      <c r="Z760" s="671"/>
      <c r="AA760" s="672"/>
      <c r="AB760" s="673"/>
      <c r="AC760" s="673"/>
      <c r="AD760" s="673"/>
      <c r="AE760" s="673"/>
      <c r="AF760" s="673"/>
      <c r="AG760" s="673"/>
      <c r="AH760" s="673"/>
      <c r="AI760" s="673"/>
      <c r="AJ760" s="673"/>
      <c r="AK760" s="673"/>
      <c r="AL760" s="673"/>
      <c r="AM760" s="673"/>
      <c r="AN760" s="673"/>
      <c r="AO760" s="673"/>
      <c r="AP760" s="673"/>
      <c r="AQ760" s="673"/>
      <c r="AR760" s="673"/>
      <c r="AS760" s="673"/>
    </row>
    <row r="761">
      <c r="A761" s="653"/>
      <c r="B761" s="654"/>
      <c r="C761" s="655"/>
      <c r="D761" s="656"/>
      <c r="E761" s="657"/>
      <c r="F761" s="658"/>
      <c r="G761" s="659"/>
      <c r="H761" s="660"/>
      <c r="I761" s="659"/>
      <c r="J761" s="661"/>
      <c r="K761" s="658"/>
      <c r="L761" s="662"/>
      <c r="M761" s="663"/>
      <c r="N761" s="664"/>
      <c r="O761" s="665"/>
      <c r="P761" s="666"/>
      <c r="Q761" s="667"/>
      <c r="R761" s="668"/>
      <c r="S761" s="665"/>
      <c r="T761" s="669"/>
      <c r="U761" s="669"/>
      <c r="V761" s="665"/>
      <c r="W761" s="670"/>
      <c r="X761" s="670"/>
      <c r="Y761" s="671"/>
      <c r="Z761" s="671"/>
      <c r="AA761" s="672"/>
      <c r="AB761" s="673"/>
      <c r="AC761" s="673"/>
      <c r="AD761" s="673"/>
      <c r="AE761" s="673"/>
      <c r="AF761" s="673"/>
      <c r="AG761" s="673"/>
      <c r="AH761" s="673"/>
      <c r="AI761" s="673"/>
      <c r="AJ761" s="673"/>
      <c r="AK761" s="673"/>
      <c r="AL761" s="673"/>
      <c r="AM761" s="673"/>
      <c r="AN761" s="673"/>
      <c r="AO761" s="673"/>
      <c r="AP761" s="673"/>
      <c r="AQ761" s="673"/>
      <c r="AR761" s="673"/>
      <c r="AS761" s="673"/>
    </row>
    <row r="762">
      <c r="A762" s="653"/>
      <c r="B762" s="654"/>
      <c r="C762" s="655"/>
      <c r="D762" s="656"/>
      <c r="E762" s="657"/>
      <c r="F762" s="658"/>
      <c r="G762" s="659"/>
      <c r="H762" s="660"/>
      <c r="I762" s="659"/>
      <c r="J762" s="661"/>
      <c r="K762" s="658"/>
      <c r="L762" s="662"/>
      <c r="M762" s="663"/>
      <c r="N762" s="664"/>
      <c r="O762" s="665"/>
      <c r="P762" s="666"/>
      <c r="Q762" s="667"/>
      <c r="R762" s="668"/>
      <c r="S762" s="665"/>
      <c r="T762" s="669"/>
      <c r="U762" s="669"/>
      <c r="V762" s="665"/>
      <c r="W762" s="670"/>
      <c r="X762" s="670"/>
      <c r="Y762" s="671"/>
      <c r="Z762" s="671"/>
      <c r="AA762" s="672"/>
      <c r="AB762" s="673"/>
      <c r="AC762" s="673"/>
      <c r="AD762" s="673"/>
      <c r="AE762" s="673"/>
      <c r="AF762" s="673"/>
      <c r="AG762" s="673"/>
      <c r="AH762" s="673"/>
      <c r="AI762" s="673"/>
      <c r="AJ762" s="673"/>
      <c r="AK762" s="673"/>
      <c r="AL762" s="673"/>
      <c r="AM762" s="673"/>
      <c r="AN762" s="673"/>
      <c r="AO762" s="673"/>
      <c r="AP762" s="673"/>
      <c r="AQ762" s="673"/>
      <c r="AR762" s="673"/>
      <c r="AS762" s="673"/>
    </row>
    <row r="763">
      <c r="A763" s="653"/>
      <c r="B763" s="654"/>
      <c r="C763" s="655"/>
      <c r="D763" s="656"/>
      <c r="E763" s="657"/>
      <c r="F763" s="658"/>
      <c r="G763" s="659"/>
      <c r="H763" s="660"/>
      <c r="I763" s="659"/>
      <c r="J763" s="661"/>
      <c r="K763" s="658"/>
      <c r="L763" s="662"/>
      <c r="M763" s="663"/>
      <c r="N763" s="664"/>
      <c r="O763" s="665"/>
      <c r="P763" s="666"/>
      <c r="Q763" s="667"/>
      <c r="R763" s="668"/>
      <c r="S763" s="665"/>
      <c r="T763" s="669"/>
      <c r="U763" s="669"/>
      <c r="V763" s="665"/>
      <c r="W763" s="670"/>
      <c r="X763" s="670"/>
      <c r="Y763" s="671"/>
      <c r="Z763" s="671"/>
      <c r="AA763" s="672"/>
      <c r="AB763" s="673"/>
      <c r="AC763" s="673"/>
      <c r="AD763" s="673"/>
      <c r="AE763" s="673"/>
      <c r="AF763" s="673"/>
      <c r="AG763" s="673"/>
      <c r="AH763" s="673"/>
      <c r="AI763" s="673"/>
      <c r="AJ763" s="673"/>
      <c r="AK763" s="673"/>
      <c r="AL763" s="673"/>
      <c r="AM763" s="673"/>
      <c r="AN763" s="673"/>
      <c r="AO763" s="673"/>
      <c r="AP763" s="673"/>
      <c r="AQ763" s="673"/>
      <c r="AR763" s="673"/>
      <c r="AS763" s="673"/>
    </row>
    <row r="764">
      <c r="A764" s="653"/>
      <c r="B764" s="654"/>
      <c r="C764" s="655"/>
      <c r="D764" s="656"/>
      <c r="E764" s="657"/>
      <c r="F764" s="658"/>
      <c r="G764" s="659"/>
      <c r="H764" s="660"/>
      <c r="I764" s="659"/>
      <c r="J764" s="661"/>
      <c r="K764" s="658"/>
      <c r="L764" s="662"/>
      <c r="M764" s="663"/>
      <c r="N764" s="664"/>
      <c r="O764" s="665"/>
      <c r="P764" s="666"/>
      <c r="Q764" s="667"/>
      <c r="R764" s="668"/>
      <c r="S764" s="665"/>
      <c r="T764" s="669"/>
      <c r="U764" s="669"/>
      <c r="V764" s="665"/>
      <c r="W764" s="670"/>
      <c r="X764" s="670"/>
      <c r="Y764" s="671"/>
      <c r="Z764" s="671"/>
      <c r="AA764" s="672"/>
      <c r="AB764" s="673"/>
      <c r="AC764" s="673"/>
      <c r="AD764" s="673"/>
      <c r="AE764" s="673"/>
      <c r="AF764" s="673"/>
      <c r="AG764" s="673"/>
      <c r="AH764" s="673"/>
      <c r="AI764" s="673"/>
      <c r="AJ764" s="673"/>
      <c r="AK764" s="673"/>
      <c r="AL764" s="673"/>
      <c r="AM764" s="673"/>
      <c r="AN764" s="673"/>
      <c r="AO764" s="673"/>
      <c r="AP764" s="673"/>
      <c r="AQ764" s="673"/>
      <c r="AR764" s="673"/>
      <c r="AS764" s="673"/>
    </row>
    <row r="765">
      <c r="A765" s="653"/>
      <c r="B765" s="654"/>
      <c r="C765" s="655"/>
      <c r="D765" s="656"/>
      <c r="E765" s="657"/>
      <c r="F765" s="658"/>
      <c r="G765" s="659"/>
      <c r="H765" s="660"/>
      <c r="I765" s="659"/>
      <c r="J765" s="661"/>
      <c r="K765" s="658"/>
      <c r="L765" s="662"/>
      <c r="M765" s="663"/>
      <c r="N765" s="664"/>
      <c r="O765" s="665"/>
      <c r="P765" s="666"/>
      <c r="Q765" s="667"/>
      <c r="R765" s="668"/>
      <c r="S765" s="665"/>
      <c r="T765" s="669"/>
      <c r="U765" s="669"/>
      <c r="V765" s="665"/>
      <c r="W765" s="670"/>
      <c r="X765" s="670"/>
      <c r="Y765" s="671"/>
      <c r="Z765" s="671"/>
      <c r="AA765" s="672"/>
      <c r="AB765" s="673"/>
      <c r="AC765" s="673"/>
      <c r="AD765" s="673"/>
      <c r="AE765" s="673"/>
      <c r="AF765" s="673"/>
      <c r="AG765" s="673"/>
      <c r="AH765" s="673"/>
      <c r="AI765" s="673"/>
      <c r="AJ765" s="673"/>
      <c r="AK765" s="673"/>
      <c r="AL765" s="673"/>
      <c r="AM765" s="673"/>
      <c r="AN765" s="673"/>
      <c r="AO765" s="673"/>
      <c r="AP765" s="673"/>
      <c r="AQ765" s="673"/>
      <c r="AR765" s="673"/>
      <c r="AS765" s="673"/>
    </row>
    <row r="766">
      <c r="A766" s="653"/>
      <c r="B766" s="654"/>
      <c r="C766" s="655"/>
      <c r="D766" s="656"/>
      <c r="E766" s="657"/>
      <c r="F766" s="658"/>
      <c r="G766" s="659"/>
      <c r="H766" s="660"/>
      <c r="I766" s="659"/>
      <c r="J766" s="661"/>
      <c r="K766" s="658"/>
      <c r="L766" s="662"/>
      <c r="M766" s="663"/>
      <c r="N766" s="664"/>
      <c r="O766" s="665"/>
      <c r="P766" s="666"/>
      <c r="Q766" s="667"/>
      <c r="R766" s="668"/>
      <c r="S766" s="665"/>
      <c r="T766" s="669"/>
      <c r="U766" s="669"/>
      <c r="V766" s="665"/>
      <c r="W766" s="670"/>
      <c r="X766" s="670"/>
      <c r="Y766" s="671"/>
      <c r="Z766" s="671"/>
      <c r="AA766" s="672"/>
      <c r="AB766" s="673"/>
      <c r="AC766" s="673"/>
      <c r="AD766" s="673"/>
      <c r="AE766" s="673"/>
      <c r="AF766" s="673"/>
      <c r="AG766" s="673"/>
      <c r="AH766" s="673"/>
      <c r="AI766" s="673"/>
      <c r="AJ766" s="673"/>
      <c r="AK766" s="673"/>
      <c r="AL766" s="673"/>
      <c r="AM766" s="673"/>
      <c r="AN766" s="673"/>
      <c r="AO766" s="673"/>
      <c r="AP766" s="673"/>
      <c r="AQ766" s="673"/>
      <c r="AR766" s="673"/>
      <c r="AS766" s="673"/>
    </row>
    <row r="767">
      <c r="A767" s="653"/>
      <c r="B767" s="654"/>
      <c r="C767" s="655"/>
      <c r="D767" s="656"/>
      <c r="E767" s="657"/>
      <c r="F767" s="658"/>
      <c r="G767" s="659"/>
      <c r="H767" s="660"/>
      <c r="I767" s="659"/>
      <c r="J767" s="661"/>
      <c r="K767" s="658"/>
      <c r="L767" s="662"/>
      <c r="M767" s="663"/>
      <c r="N767" s="664"/>
      <c r="O767" s="665"/>
      <c r="P767" s="666"/>
      <c r="Q767" s="667"/>
      <c r="R767" s="668"/>
      <c r="S767" s="665"/>
      <c r="T767" s="669"/>
      <c r="U767" s="669"/>
      <c r="V767" s="665"/>
      <c r="W767" s="670"/>
      <c r="X767" s="670"/>
      <c r="Y767" s="671"/>
      <c r="Z767" s="671"/>
      <c r="AA767" s="672"/>
      <c r="AB767" s="673"/>
      <c r="AC767" s="673"/>
      <c r="AD767" s="673"/>
      <c r="AE767" s="673"/>
      <c r="AF767" s="673"/>
      <c r="AG767" s="673"/>
      <c r="AH767" s="673"/>
      <c r="AI767" s="673"/>
      <c r="AJ767" s="673"/>
      <c r="AK767" s="673"/>
      <c r="AL767" s="673"/>
      <c r="AM767" s="673"/>
      <c r="AN767" s="673"/>
      <c r="AO767" s="673"/>
      <c r="AP767" s="673"/>
      <c r="AQ767" s="673"/>
      <c r="AR767" s="673"/>
      <c r="AS767" s="673"/>
    </row>
    <row r="768">
      <c r="A768" s="653"/>
      <c r="B768" s="654"/>
      <c r="C768" s="655"/>
      <c r="D768" s="656"/>
      <c r="E768" s="657"/>
      <c r="F768" s="658"/>
      <c r="G768" s="659"/>
      <c r="H768" s="660"/>
      <c r="I768" s="659"/>
      <c r="J768" s="661"/>
      <c r="K768" s="658"/>
      <c r="L768" s="662"/>
      <c r="M768" s="663"/>
      <c r="N768" s="664"/>
      <c r="O768" s="665"/>
      <c r="P768" s="666"/>
      <c r="Q768" s="667"/>
      <c r="R768" s="668"/>
      <c r="S768" s="665"/>
      <c r="T768" s="669"/>
      <c r="U768" s="669"/>
      <c r="V768" s="665"/>
      <c r="W768" s="670"/>
      <c r="X768" s="670"/>
      <c r="Y768" s="671"/>
      <c r="Z768" s="671"/>
      <c r="AA768" s="672"/>
      <c r="AB768" s="673"/>
      <c r="AC768" s="673"/>
      <c r="AD768" s="673"/>
      <c r="AE768" s="673"/>
      <c r="AF768" s="673"/>
      <c r="AG768" s="673"/>
      <c r="AH768" s="673"/>
      <c r="AI768" s="673"/>
      <c r="AJ768" s="673"/>
      <c r="AK768" s="673"/>
      <c r="AL768" s="673"/>
      <c r="AM768" s="673"/>
      <c r="AN768" s="673"/>
      <c r="AO768" s="673"/>
      <c r="AP768" s="673"/>
      <c r="AQ768" s="673"/>
      <c r="AR768" s="673"/>
      <c r="AS768" s="673"/>
    </row>
    <row r="769">
      <c r="A769" s="653"/>
      <c r="B769" s="654"/>
      <c r="C769" s="655"/>
      <c r="D769" s="656"/>
      <c r="E769" s="657"/>
      <c r="F769" s="658"/>
      <c r="G769" s="659"/>
      <c r="H769" s="660"/>
      <c r="I769" s="659"/>
      <c r="J769" s="661"/>
      <c r="K769" s="658"/>
      <c r="L769" s="662"/>
      <c r="M769" s="663"/>
      <c r="N769" s="664"/>
      <c r="O769" s="665"/>
      <c r="P769" s="666"/>
      <c r="Q769" s="667"/>
      <c r="R769" s="668"/>
      <c r="S769" s="665"/>
      <c r="T769" s="669"/>
      <c r="U769" s="669"/>
      <c r="V769" s="665"/>
      <c r="W769" s="670"/>
      <c r="X769" s="670"/>
      <c r="Y769" s="671"/>
      <c r="Z769" s="671"/>
      <c r="AA769" s="672"/>
      <c r="AB769" s="673"/>
      <c r="AC769" s="673"/>
      <c r="AD769" s="673"/>
      <c r="AE769" s="673"/>
      <c r="AF769" s="673"/>
      <c r="AG769" s="673"/>
      <c r="AH769" s="673"/>
      <c r="AI769" s="673"/>
      <c r="AJ769" s="673"/>
      <c r="AK769" s="673"/>
      <c r="AL769" s="673"/>
      <c r="AM769" s="673"/>
      <c r="AN769" s="673"/>
      <c r="AO769" s="673"/>
      <c r="AP769" s="673"/>
      <c r="AQ769" s="673"/>
      <c r="AR769" s="673"/>
      <c r="AS769" s="673"/>
    </row>
    <row r="770">
      <c r="A770" s="653"/>
      <c r="B770" s="654"/>
      <c r="C770" s="655"/>
      <c r="D770" s="656"/>
      <c r="E770" s="657"/>
      <c r="F770" s="658"/>
      <c r="G770" s="659"/>
      <c r="H770" s="660"/>
      <c r="I770" s="659"/>
      <c r="J770" s="661"/>
      <c r="K770" s="658"/>
      <c r="L770" s="662"/>
      <c r="M770" s="663"/>
      <c r="N770" s="664"/>
      <c r="O770" s="665"/>
      <c r="P770" s="666"/>
      <c r="Q770" s="667"/>
      <c r="R770" s="668"/>
      <c r="S770" s="665"/>
      <c r="T770" s="669"/>
      <c r="U770" s="669"/>
      <c r="V770" s="665"/>
      <c r="W770" s="670"/>
      <c r="X770" s="670"/>
      <c r="Y770" s="671"/>
      <c r="Z770" s="671"/>
      <c r="AA770" s="672"/>
      <c r="AB770" s="673"/>
      <c r="AC770" s="673"/>
      <c r="AD770" s="673"/>
      <c r="AE770" s="673"/>
      <c r="AF770" s="673"/>
      <c r="AG770" s="673"/>
      <c r="AH770" s="673"/>
      <c r="AI770" s="673"/>
      <c r="AJ770" s="673"/>
      <c r="AK770" s="673"/>
      <c r="AL770" s="673"/>
      <c r="AM770" s="673"/>
      <c r="AN770" s="673"/>
      <c r="AO770" s="673"/>
      <c r="AP770" s="673"/>
      <c r="AQ770" s="673"/>
      <c r="AR770" s="673"/>
      <c r="AS770" s="673"/>
    </row>
    <row r="771">
      <c r="A771" s="653"/>
      <c r="B771" s="654"/>
      <c r="C771" s="655"/>
      <c r="D771" s="656"/>
      <c r="E771" s="657"/>
      <c r="F771" s="658"/>
      <c r="G771" s="659"/>
      <c r="H771" s="660"/>
      <c r="I771" s="659"/>
      <c r="J771" s="661"/>
      <c r="K771" s="658"/>
      <c r="L771" s="662"/>
      <c r="M771" s="663"/>
      <c r="N771" s="664"/>
      <c r="O771" s="665"/>
      <c r="P771" s="666"/>
      <c r="Q771" s="667"/>
      <c r="R771" s="668"/>
      <c r="S771" s="665"/>
      <c r="T771" s="669"/>
      <c r="U771" s="669"/>
      <c r="V771" s="665"/>
      <c r="W771" s="670"/>
      <c r="X771" s="670"/>
      <c r="Y771" s="671"/>
      <c r="Z771" s="671"/>
      <c r="AA771" s="672"/>
      <c r="AB771" s="673"/>
      <c r="AC771" s="673"/>
      <c r="AD771" s="673"/>
      <c r="AE771" s="673"/>
      <c r="AF771" s="673"/>
      <c r="AG771" s="673"/>
      <c r="AH771" s="673"/>
      <c r="AI771" s="673"/>
      <c r="AJ771" s="673"/>
      <c r="AK771" s="673"/>
      <c r="AL771" s="673"/>
      <c r="AM771" s="673"/>
      <c r="AN771" s="673"/>
      <c r="AO771" s="673"/>
      <c r="AP771" s="673"/>
      <c r="AQ771" s="673"/>
      <c r="AR771" s="673"/>
      <c r="AS771" s="673"/>
    </row>
    <row r="772">
      <c r="A772" s="653"/>
      <c r="B772" s="654"/>
      <c r="C772" s="655"/>
      <c r="D772" s="656"/>
      <c r="E772" s="657"/>
      <c r="F772" s="658"/>
      <c r="G772" s="659"/>
      <c r="H772" s="660"/>
      <c r="I772" s="659"/>
      <c r="J772" s="661"/>
      <c r="K772" s="658"/>
      <c r="L772" s="662"/>
      <c r="M772" s="663"/>
      <c r="N772" s="664"/>
      <c r="O772" s="665"/>
      <c r="P772" s="666"/>
      <c r="Q772" s="667"/>
      <c r="R772" s="668"/>
      <c r="S772" s="665"/>
      <c r="T772" s="669"/>
      <c r="U772" s="669"/>
      <c r="V772" s="665"/>
      <c r="W772" s="670"/>
      <c r="X772" s="670"/>
      <c r="Y772" s="671"/>
      <c r="Z772" s="671"/>
      <c r="AA772" s="672"/>
      <c r="AB772" s="673"/>
      <c r="AC772" s="673"/>
      <c r="AD772" s="673"/>
      <c r="AE772" s="673"/>
      <c r="AF772" s="673"/>
      <c r="AG772" s="673"/>
      <c r="AH772" s="673"/>
      <c r="AI772" s="673"/>
      <c r="AJ772" s="673"/>
      <c r="AK772" s="673"/>
      <c r="AL772" s="673"/>
      <c r="AM772" s="673"/>
      <c r="AN772" s="673"/>
      <c r="AO772" s="673"/>
      <c r="AP772" s="673"/>
      <c r="AQ772" s="673"/>
      <c r="AR772" s="673"/>
      <c r="AS772" s="673"/>
    </row>
    <row r="773">
      <c r="A773" s="653"/>
      <c r="B773" s="654"/>
      <c r="C773" s="655"/>
      <c r="D773" s="656"/>
      <c r="E773" s="657"/>
      <c r="F773" s="658"/>
      <c r="G773" s="659"/>
      <c r="H773" s="660"/>
      <c r="I773" s="659"/>
      <c r="J773" s="661"/>
      <c r="K773" s="658"/>
      <c r="L773" s="662"/>
      <c r="M773" s="663"/>
      <c r="N773" s="664"/>
      <c r="O773" s="665"/>
      <c r="P773" s="666"/>
      <c r="Q773" s="667"/>
      <c r="R773" s="668"/>
      <c r="S773" s="665"/>
      <c r="T773" s="669"/>
      <c r="U773" s="669"/>
      <c r="V773" s="665"/>
      <c r="W773" s="670"/>
      <c r="X773" s="670"/>
      <c r="Y773" s="671"/>
      <c r="Z773" s="671"/>
      <c r="AA773" s="672"/>
      <c r="AB773" s="673"/>
      <c r="AC773" s="673"/>
      <c r="AD773" s="673"/>
      <c r="AE773" s="673"/>
      <c r="AF773" s="673"/>
      <c r="AG773" s="673"/>
      <c r="AH773" s="673"/>
      <c r="AI773" s="673"/>
      <c r="AJ773" s="673"/>
      <c r="AK773" s="673"/>
      <c r="AL773" s="673"/>
      <c r="AM773" s="673"/>
      <c r="AN773" s="673"/>
      <c r="AO773" s="673"/>
      <c r="AP773" s="673"/>
      <c r="AQ773" s="673"/>
      <c r="AR773" s="673"/>
      <c r="AS773" s="673"/>
    </row>
    <row r="774">
      <c r="A774" s="653"/>
      <c r="B774" s="654"/>
      <c r="C774" s="655"/>
      <c r="D774" s="656"/>
      <c r="E774" s="657"/>
      <c r="F774" s="658"/>
      <c r="G774" s="659"/>
      <c r="H774" s="660"/>
      <c r="I774" s="659"/>
      <c r="J774" s="661"/>
      <c r="K774" s="658"/>
      <c r="L774" s="662"/>
      <c r="M774" s="663"/>
      <c r="N774" s="664"/>
      <c r="O774" s="665"/>
      <c r="P774" s="666"/>
      <c r="Q774" s="667"/>
      <c r="R774" s="668"/>
      <c r="S774" s="665"/>
      <c r="T774" s="669"/>
      <c r="U774" s="669"/>
      <c r="V774" s="665"/>
      <c r="W774" s="670"/>
      <c r="X774" s="670"/>
      <c r="Y774" s="671"/>
      <c r="Z774" s="671"/>
      <c r="AA774" s="672"/>
      <c r="AB774" s="673"/>
      <c r="AC774" s="673"/>
      <c r="AD774" s="673"/>
      <c r="AE774" s="673"/>
      <c r="AF774" s="673"/>
      <c r="AG774" s="673"/>
      <c r="AH774" s="673"/>
      <c r="AI774" s="673"/>
      <c r="AJ774" s="673"/>
      <c r="AK774" s="673"/>
      <c r="AL774" s="673"/>
      <c r="AM774" s="673"/>
      <c r="AN774" s="673"/>
      <c r="AO774" s="673"/>
      <c r="AP774" s="673"/>
      <c r="AQ774" s="673"/>
      <c r="AR774" s="673"/>
      <c r="AS774" s="673"/>
    </row>
    <row r="775">
      <c r="A775" s="653"/>
      <c r="B775" s="654"/>
      <c r="C775" s="655"/>
      <c r="D775" s="656"/>
      <c r="E775" s="657"/>
      <c r="F775" s="658"/>
      <c r="G775" s="659"/>
      <c r="H775" s="660"/>
      <c r="I775" s="659"/>
      <c r="J775" s="661"/>
      <c r="K775" s="658"/>
      <c r="L775" s="662"/>
      <c r="M775" s="663"/>
      <c r="N775" s="664"/>
      <c r="O775" s="665"/>
      <c r="P775" s="666"/>
      <c r="Q775" s="667"/>
      <c r="R775" s="668"/>
      <c r="S775" s="665"/>
      <c r="T775" s="669"/>
      <c r="U775" s="669"/>
      <c r="V775" s="665"/>
      <c r="W775" s="670"/>
      <c r="X775" s="670"/>
      <c r="Y775" s="671"/>
      <c r="Z775" s="671"/>
      <c r="AA775" s="672"/>
      <c r="AB775" s="673"/>
      <c r="AC775" s="673"/>
      <c r="AD775" s="673"/>
      <c r="AE775" s="673"/>
      <c r="AF775" s="673"/>
      <c r="AG775" s="673"/>
      <c r="AH775" s="673"/>
      <c r="AI775" s="673"/>
      <c r="AJ775" s="673"/>
      <c r="AK775" s="673"/>
      <c r="AL775" s="673"/>
      <c r="AM775" s="673"/>
      <c r="AN775" s="673"/>
      <c r="AO775" s="673"/>
      <c r="AP775" s="673"/>
      <c r="AQ775" s="673"/>
      <c r="AR775" s="673"/>
      <c r="AS775" s="673"/>
    </row>
    <row r="776">
      <c r="A776" s="653"/>
      <c r="B776" s="654"/>
      <c r="C776" s="655"/>
      <c r="D776" s="656"/>
      <c r="E776" s="657"/>
      <c r="F776" s="658"/>
      <c r="G776" s="659"/>
      <c r="H776" s="660"/>
      <c r="I776" s="659"/>
      <c r="J776" s="661"/>
      <c r="K776" s="658"/>
      <c r="L776" s="662"/>
      <c r="M776" s="663"/>
      <c r="N776" s="664"/>
      <c r="O776" s="665"/>
      <c r="P776" s="666"/>
      <c r="Q776" s="667"/>
      <c r="R776" s="668"/>
      <c r="S776" s="665"/>
      <c r="T776" s="669"/>
      <c r="U776" s="669"/>
      <c r="V776" s="665"/>
      <c r="W776" s="670"/>
      <c r="X776" s="670"/>
      <c r="Y776" s="671"/>
      <c r="Z776" s="671"/>
      <c r="AA776" s="672"/>
      <c r="AB776" s="673"/>
      <c r="AC776" s="673"/>
      <c r="AD776" s="673"/>
      <c r="AE776" s="673"/>
      <c r="AF776" s="673"/>
      <c r="AG776" s="673"/>
      <c r="AH776" s="673"/>
      <c r="AI776" s="673"/>
      <c r="AJ776" s="673"/>
      <c r="AK776" s="673"/>
      <c r="AL776" s="673"/>
      <c r="AM776" s="673"/>
      <c r="AN776" s="673"/>
      <c r="AO776" s="673"/>
      <c r="AP776" s="673"/>
      <c r="AQ776" s="673"/>
      <c r="AR776" s="673"/>
      <c r="AS776" s="673"/>
    </row>
    <row r="777">
      <c r="A777" s="653"/>
      <c r="B777" s="654"/>
      <c r="C777" s="655"/>
      <c r="D777" s="656"/>
      <c r="E777" s="657"/>
      <c r="F777" s="658"/>
      <c r="G777" s="659"/>
      <c r="H777" s="660"/>
      <c r="I777" s="659"/>
      <c r="J777" s="661"/>
      <c r="K777" s="658"/>
      <c r="L777" s="662"/>
      <c r="M777" s="663"/>
      <c r="N777" s="664"/>
      <c r="O777" s="665"/>
      <c r="P777" s="666"/>
      <c r="Q777" s="667"/>
      <c r="R777" s="668"/>
      <c r="S777" s="665"/>
      <c r="T777" s="669"/>
      <c r="U777" s="669"/>
      <c r="V777" s="665"/>
      <c r="W777" s="670"/>
      <c r="X777" s="670"/>
      <c r="Y777" s="671"/>
      <c r="Z777" s="671"/>
      <c r="AA777" s="672"/>
      <c r="AB777" s="673"/>
      <c r="AC777" s="673"/>
      <c r="AD777" s="673"/>
      <c r="AE777" s="673"/>
      <c r="AF777" s="673"/>
      <c r="AG777" s="673"/>
      <c r="AH777" s="673"/>
      <c r="AI777" s="673"/>
      <c r="AJ777" s="673"/>
      <c r="AK777" s="673"/>
      <c r="AL777" s="673"/>
      <c r="AM777" s="673"/>
      <c r="AN777" s="673"/>
      <c r="AO777" s="673"/>
      <c r="AP777" s="673"/>
      <c r="AQ777" s="673"/>
      <c r="AR777" s="673"/>
      <c r="AS777" s="673"/>
    </row>
    <row r="778">
      <c r="A778" s="653"/>
      <c r="B778" s="654"/>
      <c r="C778" s="655"/>
      <c r="D778" s="656"/>
      <c r="E778" s="657"/>
      <c r="F778" s="658"/>
      <c r="G778" s="659"/>
      <c r="H778" s="660"/>
      <c r="I778" s="659"/>
      <c r="J778" s="661"/>
      <c r="K778" s="658"/>
      <c r="L778" s="662"/>
      <c r="M778" s="663"/>
      <c r="N778" s="664"/>
      <c r="O778" s="665"/>
      <c r="P778" s="666"/>
      <c r="Q778" s="667"/>
      <c r="R778" s="668"/>
      <c r="S778" s="665"/>
      <c r="T778" s="669"/>
      <c r="U778" s="669"/>
      <c r="V778" s="665"/>
      <c r="W778" s="670"/>
      <c r="X778" s="670"/>
      <c r="Y778" s="671"/>
      <c r="Z778" s="671"/>
      <c r="AA778" s="672"/>
      <c r="AB778" s="673"/>
      <c r="AC778" s="673"/>
      <c r="AD778" s="673"/>
      <c r="AE778" s="673"/>
      <c r="AF778" s="673"/>
      <c r="AG778" s="673"/>
      <c r="AH778" s="673"/>
      <c r="AI778" s="673"/>
      <c r="AJ778" s="673"/>
      <c r="AK778" s="673"/>
      <c r="AL778" s="673"/>
      <c r="AM778" s="673"/>
      <c r="AN778" s="673"/>
      <c r="AO778" s="673"/>
      <c r="AP778" s="673"/>
      <c r="AQ778" s="673"/>
      <c r="AR778" s="673"/>
      <c r="AS778" s="673"/>
    </row>
    <row r="779">
      <c r="A779" s="653"/>
      <c r="B779" s="654"/>
      <c r="C779" s="655"/>
      <c r="D779" s="656"/>
      <c r="E779" s="657"/>
      <c r="F779" s="658"/>
      <c r="G779" s="659"/>
      <c r="H779" s="660"/>
      <c r="I779" s="659"/>
      <c r="J779" s="661"/>
      <c r="K779" s="658"/>
      <c r="L779" s="662"/>
      <c r="M779" s="663"/>
      <c r="N779" s="664"/>
      <c r="O779" s="665"/>
      <c r="P779" s="666"/>
      <c r="Q779" s="667"/>
      <c r="R779" s="668"/>
      <c r="S779" s="665"/>
      <c r="T779" s="669"/>
      <c r="U779" s="669"/>
      <c r="V779" s="665"/>
      <c r="W779" s="670"/>
      <c r="X779" s="670"/>
      <c r="Y779" s="671"/>
      <c r="Z779" s="671"/>
      <c r="AA779" s="672"/>
      <c r="AB779" s="673"/>
      <c r="AC779" s="673"/>
      <c r="AD779" s="673"/>
      <c r="AE779" s="673"/>
      <c r="AF779" s="673"/>
      <c r="AG779" s="673"/>
      <c r="AH779" s="673"/>
      <c r="AI779" s="673"/>
      <c r="AJ779" s="673"/>
      <c r="AK779" s="673"/>
      <c r="AL779" s="673"/>
      <c r="AM779" s="673"/>
      <c r="AN779" s="673"/>
      <c r="AO779" s="673"/>
      <c r="AP779" s="673"/>
      <c r="AQ779" s="673"/>
      <c r="AR779" s="673"/>
      <c r="AS779" s="673"/>
    </row>
    <row r="780">
      <c r="A780" s="653"/>
      <c r="B780" s="654"/>
      <c r="C780" s="655"/>
      <c r="D780" s="656"/>
      <c r="E780" s="657"/>
      <c r="F780" s="658"/>
      <c r="G780" s="659"/>
      <c r="H780" s="660"/>
      <c r="I780" s="659"/>
      <c r="J780" s="661"/>
      <c r="K780" s="658"/>
      <c r="L780" s="662"/>
      <c r="M780" s="663"/>
      <c r="N780" s="664"/>
      <c r="O780" s="665"/>
      <c r="P780" s="666"/>
      <c r="Q780" s="667"/>
      <c r="R780" s="668"/>
      <c r="S780" s="665"/>
      <c r="T780" s="669"/>
      <c r="U780" s="669"/>
      <c r="V780" s="665"/>
      <c r="W780" s="670"/>
      <c r="X780" s="670"/>
      <c r="Y780" s="671"/>
      <c r="Z780" s="671"/>
      <c r="AA780" s="672"/>
      <c r="AB780" s="673"/>
      <c r="AC780" s="673"/>
      <c r="AD780" s="673"/>
      <c r="AE780" s="673"/>
      <c r="AF780" s="673"/>
      <c r="AG780" s="673"/>
      <c r="AH780" s="673"/>
      <c r="AI780" s="673"/>
      <c r="AJ780" s="673"/>
      <c r="AK780" s="673"/>
      <c r="AL780" s="673"/>
      <c r="AM780" s="673"/>
      <c r="AN780" s="673"/>
      <c r="AO780" s="673"/>
      <c r="AP780" s="673"/>
      <c r="AQ780" s="673"/>
      <c r="AR780" s="673"/>
      <c r="AS780" s="673"/>
    </row>
    <row r="781">
      <c r="A781" s="653"/>
      <c r="B781" s="654"/>
      <c r="C781" s="655"/>
      <c r="D781" s="656"/>
      <c r="E781" s="657"/>
      <c r="F781" s="658"/>
      <c r="G781" s="659"/>
      <c r="H781" s="660"/>
      <c r="I781" s="659"/>
      <c r="J781" s="661"/>
      <c r="K781" s="658"/>
      <c r="L781" s="662"/>
      <c r="M781" s="663"/>
      <c r="N781" s="664"/>
      <c r="O781" s="665"/>
      <c r="P781" s="666"/>
      <c r="Q781" s="667"/>
      <c r="R781" s="668"/>
      <c r="S781" s="665"/>
      <c r="T781" s="669"/>
      <c r="U781" s="669"/>
      <c r="V781" s="665"/>
      <c r="W781" s="670"/>
      <c r="X781" s="670"/>
      <c r="Y781" s="671"/>
      <c r="Z781" s="671"/>
      <c r="AA781" s="672"/>
      <c r="AB781" s="673"/>
      <c r="AC781" s="673"/>
      <c r="AD781" s="673"/>
      <c r="AE781" s="673"/>
      <c r="AF781" s="673"/>
      <c r="AG781" s="673"/>
      <c r="AH781" s="673"/>
      <c r="AI781" s="673"/>
      <c r="AJ781" s="673"/>
      <c r="AK781" s="673"/>
      <c r="AL781" s="673"/>
      <c r="AM781" s="673"/>
      <c r="AN781" s="673"/>
      <c r="AO781" s="673"/>
      <c r="AP781" s="673"/>
      <c r="AQ781" s="673"/>
      <c r="AR781" s="673"/>
      <c r="AS781" s="673"/>
    </row>
    <row r="782">
      <c r="A782" s="653"/>
      <c r="B782" s="654"/>
      <c r="C782" s="655"/>
      <c r="D782" s="656"/>
      <c r="E782" s="657"/>
      <c r="F782" s="658"/>
      <c r="G782" s="659"/>
      <c r="H782" s="660"/>
      <c r="I782" s="659"/>
      <c r="J782" s="661"/>
      <c r="K782" s="658"/>
      <c r="L782" s="662"/>
      <c r="M782" s="663"/>
      <c r="N782" s="664"/>
      <c r="O782" s="665"/>
      <c r="P782" s="666"/>
      <c r="Q782" s="667"/>
      <c r="R782" s="668"/>
      <c r="S782" s="665"/>
      <c r="T782" s="669"/>
      <c r="U782" s="669"/>
      <c r="V782" s="665"/>
      <c r="W782" s="670"/>
      <c r="X782" s="670"/>
      <c r="Y782" s="671"/>
      <c r="Z782" s="671"/>
      <c r="AA782" s="672"/>
      <c r="AB782" s="673"/>
      <c r="AC782" s="673"/>
      <c r="AD782" s="673"/>
      <c r="AE782" s="673"/>
      <c r="AF782" s="673"/>
      <c r="AG782" s="673"/>
      <c r="AH782" s="673"/>
      <c r="AI782" s="673"/>
      <c r="AJ782" s="673"/>
      <c r="AK782" s="673"/>
      <c r="AL782" s="673"/>
      <c r="AM782" s="673"/>
      <c r="AN782" s="673"/>
      <c r="AO782" s="673"/>
      <c r="AP782" s="673"/>
      <c r="AQ782" s="673"/>
      <c r="AR782" s="673"/>
      <c r="AS782" s="673"/>
    </row>
    <row r="783">
      <c r="A783" s="653"/>
      <c r="B783" s="654"/>
      <c r="C783" s="655"/>
      <c r="D783" s="656"/>
      <c r="E783" s="657"/>
      <c r="F783" s="658"/>
      <c r="G783" s="659"/>
      <c r="H783" s="660"/>
      <c r="I783" s="659"/>
      <c r="J783" s="661"/>
      <c r="K783" s="658"/>
      <c r="L783" s="662"/>
      <c r="M783" s="663"/>
      <c r="N783" s="664"/>
      <c r="O783" s="665"/>
      <c r="P783" s="666"/>
      <c r="Q783" s="667"/>
      <c r="R783" s="668"/>
      <c r="S783" s="665"/>
      <c r="T783" s="669"/>
      <c r="U783" s="669"/>
      <c r="V783" s="665"/>
      <c r="W783" s="670"/>
      <c r="X783" s="670"/>
      <c r="Y783" s="671"/>
      <c r="Z783" s="671"/>
      <c r="AA783" s="672"/>
      <c r="AB783" s="673"/>
      <c r="AC783" s="673"/>
      <c r="AD783" s="673"/>
      <c r="AE783" s="673"/>
      <c r="AF783" s="673"/>
      <c r="AG783" s="673"/>
      <c r="AH783" s="673"/>
      <c r="AI783" s="673"/>
      <c r="AJ783" s="673"/>
      <c r="AK783" s="673"/>
      <c r="AL783" s="673"/>
      <c r="AM783" s="673"/>
      <c r="AN783" s="673"/>
      <c r="AO783" s="673"/>
      <c r="AP783" s="673"/>
      <c r="AQ783" s="673"/>
      <c r="AR783" s="673"/>
      <c r="AS783" s="673"/>
    </row>
    <row r="784">
      <c r="A784" s="653"/>
      <c r="B784" s="654"/>
      <c r="C784" s="655"/>
      <c r="D784" s="656"/>
      <c r="E784" s="657"/>
      <c r="F784" s="658"/>
      <c r="G784" s="659"/>
      <c r="H784" s="660"/>
      <c r="I784" s="659"/>
      <c r="J784" s="661"/>
      <c r="K784" s="658"/>
      <c r="L784" s="662"/>
      <c r="M784" s="663"/>
      <c r="N784" s="664"/>
      <c r="O784" s="665"/>
      <c r="P784" s="666"/>
      <c r="Q784" s="667"/>
      <c r="R784" s="668"/>
      <c r="S784" s="665"/>
      <c r="T784" s="669"/>
      <c r="U784" s="669"/>
      <c r="V784" s="665"/>
      <c r="W784" s="670"/>
      <c r="X784" s="670"/>
      <c r="Y784" s="671"/>
      <c r="Z784" s="671"/>
      <c r="AA784" s="672"/>
      <c r="AB784" s="673"/>
      <c r="AC784" s="673"/>
      <c r="AD784" s="673"/>
      <c r="AE784" s="673"/>
      <c r="AF784" s="673"/>
      <c r="AG784" s="673"/>
      <c r="AH784" s="673"/>
      <c r="AI784" s="673"/>
      <c r="AJ784" s="673"/>
      <c r="AK784" s="673"/>
      <c r="AL784" s="673"/>
      <c r="AM784" s="673"/>
      <c r="AN784" s="673"/>
      <c r="AO784" s="673"/>
      <c r="AP784" s="673"/>
      <c r="AQ784" s="673"/>
      <c r="AR784" s="673"/>
      <c r="AS784" s="673"/>
    </row>
    <row r="785">
      <c r="A785" s="653"/>
      <c r="B785" s="654"/>
      <c r="C785" s="655"/>
      <c r="D785" s="656"/>
      <c r="E785" s="657"/>
      <c r="F785" s="658"/>
      <c r="G785" s="659"/>
      <c r="H785" s="660"/>
      <c r="I785" s="659"/>
      <c r="J785" s="661"/>
      <c r="K785" s="658"/>
      <c r="L785" s="662"/>
      <c r="M785" s="663"/>
      <c r="N785" s="664"/>
      <c r="O785" s="665"/>
      <c r="P785" s="666"/>
      <c r="Q785" s="667"/>
      <c r="R785" s="668"/>
      <c r="S785" s="665"/>
      <c r="T785" s="669"/>
      <c r="U785" s="669"/>
      <c r="V785" s="665"/>
      <c r="W785" s="670"/>
      <c r="X785" s="670"/>
      <c r="Y785" s="671"/>
      <c r="Z785" s="671"/>
      <c r="AA785" s="672"/>
      <c r="AB785" s="673"/>
      <c r="AC785" s="673"/>
      <c r="AD785" s="673"/>
      <c r="AE785" s="673"/>
      <c r="AF785" s="673"/>
      <c r="AG785" s="673"/>
      <c r="AH785" s="673"/>
      <c r="AI785" s="673"/>
      <c r="AJ785" s="673"/>
      <c r="AK785" s="673"/>
      <c r="AL785" s="673"/>
      <c r="AM785" s="673"/>
      <c r="AN785" s="673"/>
      <c r="AO785" s="673"/>
      <c r="AP785" s="673"/>
      <c r="AQ785" s="673"/>
      <c r="AR785" s="673"/>
      <c r="AS785" s="673"/>
    </row>
    <row r="786">
      <c r="A786" s="653"/>
      <c r="B786" s="654"/>
      <c r="C786" s="655"/>
      <c r="D786" s="656"/>
      <c r="E786" s="657"/>
      <c r="F786" s="658"/>
      <c r="G786" s="659"/>
      <c r="H786" s="660"/>
      <c r="I786" s="659"/>
      <c r="J786" s="661"/>
      <c r="K786" s="658"/>
      <c r="L786" s="662"/>
      <c r="M786" s="663"/>
      <c r="N786" s="664"/>
      <c r="O786" s="665"/>
      <c r="P786" s="666"/>
      <c r="Q786" s="667"/>
      <c r="R786" s="668"/>
      <c r="S786" s="665"/>
      <c r="T786" s="669"/>
      <c r="U786" s="669"/>
      <c r="V786" s="665"/>
      <c r="W786" s="670"/>
      <c r="X786" s="670"/>
      <c r="Y786" s="671"/>
      <c r="Z786" s="671"/>
      <c r="AA786" s="672"/>
      <c r="AB786" s="673"/>
      <c r="AC786" s="673"/>
      <c r="AD786" s="673"/>
      <c r="AE786" s="673"/>
      <c r="AF786" s="673"/>
      <c r="AG786" s="673"/>
      <c r="AH786" s="673"/>
      <c r="AI786" s="673"/>
      <c r="AJ786" s="673"/>
      <c r="AK786" s="673"/>
      <c r="AL786" s="673"/>
      <c r="AM786" s="673"/>
      <c r="AN786" s="673"/>
      <c r="AO786" s="673"/>
      <c r="AP786" s="673"/>
      <c r="AQ786" s="673"/>
      <c r="AR786" s="673"/>
      <c r="AS786" s="673"/>
    </row>
    <row r="787">
      <c r="A787" s="653"/>
      <c r="B787" s="654"/>
      <c r="C787" s="655"/>
      <c r="D787" s="656"/>
      <c r="E787" s="657"/>
      <c r="F787" s="658"/>
      <c r="G787" s="659"/>
      <c r="H787" s="660"/>
      <c r="I787" s="659"/>
      <c r="J787" s="661"/>
      <c r="K787" s="658"/>
      <c r="L787" s="662"/>
      <c r="M787" s="663"/>
      <c r="N787" s="664"/>
      <c r="O787" s="665"/>
      <c r="P787" s="666"/>
      <c r="Q787" s="667"/>
      <c r="R787" s="668"/>
      <c r="S787" s="665"/>
      <c r="T787" s="669"/>
      <c r="U787" s="669"/>
      <c r="V787" s="665"/>
      <c r="W787" s="670"/>
      <c r="X787" s="670"/>
      <c r="Y787" s="671"/>
      <c r="Z787" s="671"/>
      <c r="AA787" s="672"/>
      <c r="AB787" s="673"/>
      <c r="AC787" s="673"/>
      <c r="AD787" s="673"/>
      <c r="AE787" s="673"/>
      <c r="AF787" s="673"/>
      <c r="AG787" s="673"/>
      <c r="AH787" s="673"/>
      <c r="AI787" s="673"/>
      <c r="AJ787" s="673"/>
      <c r="AK787" s="673"/>
      <c r="AL787" s="673"/>
      <c r="AM787" s="673"/>
      <c r="AN787" s="673"/>
      <c r="AO787" s="673"/>
      <c r="AP787" s="673"/>
      <c r="AQ787" s="673"/>
      <c r="AR787" s="673"/>
      <c r="AS787" s="673"/>
    </row>
    <row r="788">
      <c r="A788" s="653"/>
      <c r="B788" s="654"/>
      <c r="C788" s="655"/>
      <c r="D788" s="656"/>
      <c r="E788" s="657"/>
      <c r="F788" s="658"/>
      <c r="G788" s="659"/>
      <c r="H788" s="660"/>
      <c r="I788" s="659"/>
      <c r="J788" s="661"/>
      <c r="K788" s="658"/>
      <c r="L788" s="662"/>
      <c r="M788" s="663"/>
      <c r="N788" s="664"/>
      <c r="O788" s="665"/>
      <c r="P788" s="666"/>
      <c r="Q788" s="667"/>
      <c r="R788" s="668"/>
      <c r="S788" s="665"/>
      <c r="T788" s="669"/>
      <c r="U788" s="669"/>
      <c r="V788" s="665"/>
      <c r="W788" s="670"/>
      <c r="X788" s="670"/>
      <c r="Y788" s="671"/>
      <c r="Z788" s="671"/>
      <c r="AA788" s="672"/>
      <c r="AB788" s="673"/>
      <c r="AC788" s="673"/>
      <c r="AD788" s="673"/>
      <c r="AE788" s="673"/>
      <c r="AF788" s="673"/>
      <c r="AG788" s="673"/>
      <c r="AH788" s="673"/>
      <c r="AI788" s="673"/>
      <c r="AJ788" s="673"/>
      <c r="AK788" s="673"/>
      <c r="AL788" s="673"/>
      <c r="AM788" s="673"/>
      <c r="AN788" s="673"/>
      <c r="AO788" s="673"/>
      <c r="AP788" s="673"/>
      <c r="AQ788" s="673"/>
      <c r="AR788" s="673"/>
      <c r="AS788" s="673"/>
    </row>
    <row r="789">
      <c r="A789" s="653"/>
      <c r="B789" s="654"/>
      <c r="C789" s="655"/>
      <c r="D789" s="656"/>
      <c r="E789" s="657"/>
      <c r="F789" s="658"/>
      <c r="G789" s="659"/>
      <c r="H789" s="660"/>
      <c r="I789" s="659"/>
      <c r="J789" s="661"/>
      <c r="K789" s="658"/>
      <c r="L789" s="662"/>
      <c r="M789" s="663"/>
      <c r="N789" s="664"/>
      <c r="O789" s="665"/>
      <c r="P789" s="666"/>
      <c r="Q789" s="667"/>
      <c r="R789" s="668"/>
      <c r="S789" s="665"/>
      <c r="T789" s="669"/>
      <c r="U789" s="669"/>
      <c r="V789" s="665"/>
      <c r="W789" s="670"/>
      <c r="X789" s="670"/>
      <c r="Y789" s="671"/>
      <c r="Z789" s="671"/>
      <c r="AA789" s="672"/>
      <c r="AB789" s="673"/>
      <c r="AC789" s="673"/>
      <c r="AD789" s="673"/>
      <c r="AE789" s="673"/>
      <c r="AF789" s="673"/>
      <c r="AG789" s="673"/>
      <c r="AH789" s="673"/>
      <c r="AI789" s="673"/>
      <c r="AJ789" s="673"/>
      <c r="AK789" s="673"/>
      <c r="AL789" s="673"/>
      <c r="AM789" s="673"/>
      <c r="AN789" s="673"/>
      <c r="AO789" s="673"/>
      <c r="AP789" s="673"/>
      <c r="AQ789" s="673"/>
      <c r="AR789" s="673"/>
      <c r="AS789" s="673"/>
    </row>
    <row r="790">
      <c r="A790" s="653"/>
      <c r="B790" s="654"/>
      <c r="C790" s="655"/>
      <c r="D790" s="656"/>
      <c r="E790" s="657"/>
      <c r="F790" s="658"/>
      <c r="G790" s="659"/>
      <c r="H790" s="660"/>
      <c r="I790" s="659"/>
      <c r="J790" s="661"/>
      <c r="K790" s="658"/>
      <c r="L790" s="662"/>
      <c r="M790" s="663"/>
      <c r="N790" s="664"/>
      <c r="O790" s="665"/>
      <c r="P790" s="666"/>
      <c r="Q790" s="667"/>
      <c r="R790" s="668"/>
      <c r="S790" s="665"/>
      <c r="T790" s="669"/>
      <c r="U790" s="669"/>
      <c r="V790" s="665"/>
      <c r="W790" s="670"/>
      <c r="X790" s="670"/>
      <c r="Y790" s="671"/>
      <c r="Z790" s="671"/>
      <c r="AA790" s="672"/>
      <c r="AB790" s="673"/>
      <c r="AC790" s="673"/>
      <c r="AD790" s="673"/>
      <c r="AE790" s="673"/>
      <c r="AF790" s="673"/>
      <c r="AG790" s="673"/>
      <c r="AH790" s="673"/>
      <c r="AI790" s="673"/>
      <c r="AJ790" s="673"/>
      <c r="AK790" s="673"/>
      <c r="AL790" s="673"/>
      <c r="AM790" s="673"/>
      <c r="AN790" s="673"/>
      <c r="AO790" s="673"/>
      <c r="AP790" s="673"/>
      <c r="AQ790" s="673"/>
      <c r="AR790" s="673"/>
      <c r="AS790" s="673"/>
    </row>
    <row r="791">
      <c r="A791" s="653"/>
      <c r="B791" s="654"/>
      <c r="C791" s="655"/>
      <c r="D791" s="656"/>
      <c r="E791" s="657"/>
      <c r="F791" s="658"/>
      <c r="G791" s="659"/>
      <c r="H791" s="660"/>
      <c r="I791" s="659"/>
      <c r="J791" s="661"/>
      <c r="K791" s="658"/>
      <c r="L791" s="662"/>
      <c r="M791" s="663"/>
      <c r="N791" s="664"/>
      <c r="O791" s="665"/>
      <c r="P791" s="666"/>
      <c r="Q791" s="667"/>
      <c r="R791" s="668"/>
      <c r="S791" s="665"/>
      <c r="T791" s="669"/>
      <c r="U791" s="669"/>
      <c r="V791" s="665"/>
      <c r="W791" s="670"/>
      <c r="X791" s="670"/>
      <c r="Y791" s="671"/>
      <c r="Z791" s="671"/>
      <c r="AA791" s="672"/>
      <c r="AB791" s="673"/>
      <c r="AC791" s="673"/>
      <c r="AD791" s="673"/>
      <c r="AE791" s="673"/>
      <c r="AF791" s="673"/>
      <c r="AG791" s="673"/>
      <c r="AH791" s="673"/>
      <c r="AI791" s="673"/>
      <c r="AJ791" s="673"/>
      <c r="AK791" s="673"/>
      <c r="AL791" s="673"/>
      <c r="AM791" s="673"/>
      <c r="AN791" s="673"/>
      <c r="AO791" s="673"/>
      <c r="AP791" s="673"/>
      <c r="AQ791" s="673"/>
      <c r="AR791" s="673"/>
      <c r="AS791" s="673"/>
    </row>
    <row r="792">
      <c r="A792" s="653"/>
      <c r="B792" s="654"/>
      <c r="C792" s="655"/>
      <c r="D792" s="656"/>
      <c r="E792" s="657"/>
      <c r="F792" s="658"/>
      <c r="G792" s="659"/>
      <c r="H792" s="660"/>
      <c r="I792" s="659"/>
      <c r="J792" s="661"/>
      <c r="K792" s="658"/>
      <c r="L792" s="662"/>
      <c r="M792" s="663"/>
      <c r="N792" s="664"/>
      <c r="O792" s="665"/>
      <c r="P792" s="666"/>
      <c r="Q792" s="667"/>
      <c r="R792" s="668"/>
      <c r="S792" s="665"/>
      <c r="T792" s="669"/>
      <c r="U792" s="669"/>
      <c r="V792" s="665"/>
      <c r="W792" s="670"/>
      <c r="X792" s="670"/>
      <c r="Y792" s="671"/>
      <c r="Z792" s="671"/>
      <c r="AA792" s="672"/>
      <c r="AB792" s="673"/>
      <c r="AC792" s="673"/>
      <c r="AD792" s="673"/>
      <c r="AE792" s="673"/>
      <c r="AF792" s="673"/>
      <c r="AG792" s="673"/>
      <c r="AH792" s="673"/>
      <c r="AI792" s="673"/>
      <c r="AJ792" s="673"/>
      <c r="AK792" s="673"/>
      <c r="AL792" s="673"/>
      <c r="AM792" s="673"/>
      <c r="AN792" s="673"/>
      <c r="AO792" s="673"/>
      <c r="AP792" s="673"/>
      <c r="AQ792" s="673"/>
      <c r="AR792" s="673"/>
      <c r="AS792" s="673"/>
    </row>
    <row r="793">
      <c r="A793" s="653"/>
      <c r="B793" s="654"/>
      <c r="C793" s="655"/>
      <c r="D793" s="656"/>
      <c r="E793" s="657"/>
      <c r="F793" s="658"/>
      <c r="G793" s="659"/>
      <c r="H793" s="660"/>
      <c r="I793" s="659"/>
      <c r="J793" s="661"/>
      <c r="K793" s="658"/>
      <c r="L793" s="662"/>
      <c r="M793" s="663"/>
      <c r="N793" s="664"/>
      <c r="O793" s="665"/>
      <c r="P793" s="666"/>
      <c r="Q793" s="667"/>
      <c r="R793" s="668"/>
      <c r="S793" s="665"/>
      <c r="T793" s="669"/>
      <c r="U793" s="669"/>
      <c r="V793" s="665"/>
      <c r="W793" s="670"/>
      <c r="X793" s="670"/>
      <c r="Y793" s="671"/>
      <c r="Z793" s="671"/>
      <c r="AA793" s="672"/>
      <c r="AB793" s="673"/>
      <c r="AC793" s="673"/>
      <c r="AD793" s="673"/>
      <c r="AE793" s="673"/>
      <c r="AF793" s="673"/>
      <c r="AG793" s="673"/>
      <c r="AH793" s="673"/>
      <c r="AI793" s="673"/>
      <c r="AJ793" s="673"/>
      <c r="AK793" s="673"/>
      <c r="AL793" s="673"/>
      <c r="AM793" s="673"/>
      <c r="AN793" s="673"/>
      <c r="AO793" s="673"/>
      <c r="AP793" s="673"/>
      <c r="AQ793" s="673"/>
      <c r="AR793" s="673"/>
      <c r="AS793" s="673"/>
    </row>
    <row r="794">
      <c r="A794" s="653"/>
      <c r="B794" s="654"/>
      <c r="C794" s="655"/>
      <c r="D794" s="656"/>
      <c r="E794" s="657"/>
      <c r="F794" s="658"/>
      <c r="G794" s="659"/>
      <c r="H794" s="660"/>
      <c r="I794" s="659"/>
      <c r="J794" s="661"/>
      <c r="K794" s="658"/>
      <c r="L794" s="662"/>
      <c r="M794" s="663"/>
      <c r="N794" s="664"/>
      <c r="O794" s="665"/>
      <c r="P794" s="666"/>
      <c r="Q794" s="667"/>
      <c r="R794" s="668"/>
      <c r="S794" s="665"/>
      <c r="T794" s="669"/>
      <c r="U794" s="669"/>
      <c r="V794" s="665"/>
      <c r="W794" s="670"/>
      <c r="X794" s="670"/>
      <c r="Y794" s="671"/>
      <c r="Z794" s="671"/>
      <c r="AA794" s="672"/>
      <c r="AB794" s="673"/>
      <c r="AC794" s="673"/>
      <c r="AD794" s="673"/>
      <c r="AE794" s="673"/>
      <c r="AF794" s="673"/>
      <c r="AG794" s="673"/>
      <c r="AH794" s="673"/>
      <c r="AI794" s="673"/>
      <c r="AJ794" s="673"/>
      <c r="AK794" s="673"/>
      <c r="AL794" s="673"/>
      <c r="AM794" s="673"/>
      <c r="AN794" s="673"/>
      <c r="AO794" s="673"/>
      <c r="AP794" s="673"/>
      <c r="AQ794" s="673"/>
      <c r="AR794" s="673"/>
      <c r="AS794" s="673"/>
    </row>
    <row r="795">
      <c r="A795" s="653"/>
      <c r="B795" s="654"/>
      <c r="C795" s="655"/>
      <c r="D795" s="656"/>
      <c r="E795" s="657"/>
      <c r="F795" s="658"/>
      <c r="G795" s="659"/>
      <c r="H795" s="660"/>
      <c r="I795" s="659"/>
      <c r="J795" s="661"/>
      <c r="K795" s="658"/>
      <c r="L795" s="662"/>
      <c r="M795" s="663"/>
      <c r="N795" s="664"/>
      <c r="O795" s="665"/>
      <c r="P795" s="666"/>
      <c r="Q795" s="667"/>
      <c r="R795" s="668"/>
      <c r="S795" s="665"/>
      <c r="T795" s="669"/>
      <c r="U795" s="669"/>
      <c r="V795" s="665"/>
      <c r="W795" s="670"/>
      <c r="X795" s="670"/>
      <c r="Y795" s="671"/>
      <c r="Z795" s="671"/>
      <c r="AA795" s="672"/>
      <c r="AB795" s="673"/>
      <c r="AC795" s="673"/>
      <c r="AD795" s="673"/>
      <c r="AE795" s="673"/>
      <c r="AF795" s="673"/>
      <c r="AG795" s="673"/>
      <c r="AH795" s="673"/>
      <c r="AI795" s="673"/>
      <c r="AJ795" s="673"/>
      <c r="AK795" s="673"/>
      <c r="AL795" s="673"/>
      <c r="AM795" s="673"/>
      <c r="AN795" s="673"/>
      <c r="AO795" s="673"/>
      <c r="AP795" s="673"/>
      <c r="AQ795" s="673"/>
      <c r="AR795" s="673"/>
      <c r="AS795" s="673"/>
    </row>
    <row r="796">
      <c r="A796" s="653"/>
      <c r="B796" s="654"/>
      <c r="C796" s="655"/>
      <c r="D796" s="656"/>
      <c r="E796" s="657"/>
      <c r="F796" s="658"/>
      <c r="G796" s="659"/>
      <c r="H796" s="660"/>
      <c r="I796" s="659"/>
      <c r="J796" s="661"/>
      <c r="K796" s="658"/>
      <c r="L796" s="662"/>
      <c r="M796" s="663"/>
      <c r="N796" s="664"/>
      <c r="O796" s="665"/>
      <c r="P796" s="666"/>
      <c r="Q796" s="667"/>
      <c r="R796" s="668"/>
      <c r="S796" s="665"/>
      <c r="T796" s="669"/>
      <c r="U796" s="669"/>
      <c r="V796" s="665"/>
      <c r="W796" s="670"/>
      <c r="X796" s="670"/>
      <c r="Y796" s="671"/>
      <c r="Z796" s="671"/>
      <c r="AA796" s="672"/>
      <c r="AB796" s="673"/>
      <c r="AC796" s="673"/>
      <c r="AD796" s="673"/>
      <c r="AE796" s="673"/>
      <c r="AF796" s="673"/>
      <c r="AG796" s="673"/>
      <c r="AH796" s="673"/>
      <c r="AI796" s="673"/>
      <c r="AJ796" s="673"/>
      <c r="AK796" s="673"/>
      <c r="AL796" s="673"/>
      <c r="AM796" s="673"/>
      <c r="AN796" s="673"/>
      <c r="AO796" s="673"/>
      <c r="AP796" s="673"/>
      <c r="AQ796" s="673"/>
      <c r="AR796" s="673"/>
      <c r="AS796" s="673"/>
    </row>
    <row r="797">
      <c r="A797" s="653"/>
      <c r="B797" s="654"/>
      <c r="C797" s="655"/>
      <c r="D797" s="656"/>
      <c r="E797" s="657"/>
      <c r="F797" s="658"/>
      <c r="G797" s="659"/>
      <c r="H797" s="660"/>
      <c r="I797" s="659"/>
      <c r="J797" s="661"/>
      <c r="K797" s="658"/>
      <c r="L797" s="662"/>
      <c r="M797" s="663"/>
      <c r="N797" s="664"/>
      <c r="O797" s="665"/>
      <c r="P797" s="666"/>
      <c r="Q797" s="667"/>
      <c r="R797" s="668"/>
      <c r="S797" s="665"/>
      <c r="T797" s="669"/>
      <c r="U797" s="669"/>
      <c r="V797" s="665"/>
      <c r="W797" s="670"/>
      <c r="X797" s="670"/>
      <c r="Y797" s="671"/>
      <c r="Z797" s="671"/>
      <c r="AA797" s="672"/>
      <c r="AB797" s="673"/>
      <c r="AC797" s="673"/>
      <c r="AD797" s="673"/>
      <c r="AE797" s="673"/>
      <c r="AF797" s="673"/>
      <c r="AG797" s="673"/>
      <c r="AH797" s="673"/>
      <c r="AI797" s="673"/>
      <c r="AJ797" s="673"/>
      <c r="AK797" s="673"/>
      <c r="AL797" s="673"/>
      <c r="AM797" s="673"/>
      <c r="AN797" s="673"/>
      <c r="AO797" s="673"/>
      <c r="AP797" s="673"/>
      <c r="AQ797" s="673"/>
      <c r="AR797" s="673"/>
      <c r="AS797" s="673"/>
    </row>
    <row r="798">
      <c r="A798" s="653"/>
      <c r="B798" s="654"/>
      <c r="C798" s="655"/>
      <c r="D798" s="656"/>
      <c r="E798" s="657"/>
      <c r="F798" s="658"/>
      <c r="G798" s="659"/>
      <c r="H798" s="660"/>
      <c r="I798" s="659"/>
      <c r="J798" s="661"/>
      <c r="K798" s="658"/>
      <c r="L798" s="662"/>
      <c r="M798" s="663"/>
      <c r="N798" s="664"/>
      <c r="O798" s="665"/>
      <c r="P798" s="666"/>
      <c r="Q798" s="667"/>
      <c r="R798" s="668"/>
      <c r="S798" s="665"/>
      <c r="T798" s="669"/>
      <c r="U798" s="669"/>
      <c r="V798" s="665"/>
      <c r="W798" s="670"/>
      <c r="X798" s="670"/>
      <c r="Y798" s="671"/>
      <c r="Z798" s="671"/>
      <c r="AA798" s="672"/>
      <c r="AB798" s="673"/>
      <c r="AC798" s="673"/>
      <c r="AD798" s="673"/>
      <c r="AE798" s="673"/>
      <c r="AF798" s="673"/>
      <c r="AG798" s="673"/>
      <c r="AH798" s="673"/>
      <c r="AI798" s="673"/>
      <c r="AJ798" s="673"/>
      <c r="AK798" s="673"/>
      <c r="AL798" s="673"/>
      <c r="AM798" s="673"/>
      <c r="AN798" s="673"/>
      <c r="AO798" s="673"/>
      <c r="AP798" s="673"/>
      <c r="AQ798" s="673"/>
      <c r="AR798" s="673"/>
      <c r="AS798" s="673"/>
    </row>
    <row r="799">
      <c r="A799" s="653"/>
      <c r="B799" s="654"/>
      <c r="C799" s="655"/>
      <c r="D799" s="656"/>
      <c r="E799" s="657"/>
      <c r="F799" s="658"/>
      <c r="G799" s="659"/>
      <c r="H799" s="660"/>
      <c r="I799" s="659"/>
      <c r="J799" s="661"/>
      <c r="K799" s="658"/>
      <c r="L799" s="662"/>
      <c r="M799" s="663"/>
      <c r="N799" s="664"/>
      <c r="O799" s="665"/>
      <c r="P799" s="666"/>
      <c r="Q799" s="667"/>
      <c r="R799" s="668"/>
      <c r="S799" s="665"/>
      <c r="T799" s="669"/>
      <c r="U799" s="669"/>
      <c r="V799" s="665"/>
      <c r="W799" s="670"/>
      <c r="X799" s="670"/>
      <c r="Y799" s="671"/>
      <c r="Z799" s="671"/>
      <c r="AA799" s="672"/>
      <c r="AB799" s="673"/>
      <c r="AC799" s="673"/>
      <c r="AD799" s="673"/>
      <c r="AE799" s="673"/>
      <c r="AF799" s="673"/>
      <c r="AG799" s="673"/>
      <c r="AH799" s="673"/>
      <c r="AI799" s="673"/>
      <c r="AJ799" s="673"/>
      <c r="AK799" s="673"/>
      <c r="AL799" s="673"/>
      <c r="AM799" s="673"/>
      <c r="AN799" s="673"/>
      <c r="AO799" s="673"/>
      <c r="AP799" s="673"/>
      <c r="AQ799" s="673"/>
      <c r="AR799" s="673"/>
      <c r="AS799" s="673"/>
    </row>
    <row r="800">
      <c r="A800" s="653"/>
      <c r="B800" s="654"/>
      <c r="C800" s="655"/>
      <c r="D800" s="656"/>
      <c r="E800" s="657"/>
      <c r="F800" s="658"/>
      <c r="G800" s="659"/>
      <c r="H800" s="660"/>
      <c r="I800" s="659"/>
      <c r="J800" s="661"/>
      <c r="K800" s="658"/>
      <c r="L800" s="662"/>
      <c r="M800" s="663"/>
      <c r="N800" s="664"/>
      <c r="O800" s="665"/>
      <c r="P800" s="666"/>
      <c r="Q800" s="667"/>
      <c r="R800" s="668"/>
      <c r="S800" s="665"/>
      <c r="T800" s="669"/>
      <c r="U800" s="669"/>
      <c r="V800" s="665"/>
      <c r="W800" s="670"/>
      <c r="X800" s="670"/>
      <c r="Y800" s="671"/>
      <c r="Z800" s="671"/>
      <c r="AA800" s="672"/>
      <c r="AB800" s="673"/>
      <c r="AC800" s="673"/>
      <c r="AD800" s="673"/>
      <c r="AE800" s="673"/>
      <c r="AF800" s="673"/>
      <c r="AG800" s="673"/>
      <c r="AH800" s="673"/>
      <c r="AI800" s="673"/>
      <c r="AJ800" s="673"/>
      <c r="AK800" s="673"/>
      <c r="AL800" s="673"/>
      <c r="AM800" s="673"/>
      <c r="AN800" s="673"/>
      <c r="AO800" s="673"/>
      <c r="AP800" s="673"/>
      <c r="AQ800" s="673"/>
      <c r="AR800" s="673"/>
      <c r="AS800" s="673"/>
    </row>
    <row r="801">
      <c r="A801" s="653"/>
      <c r="B801" s="654"/>
      <c r="C801" s="655"/>
      <c r="D801" s="656"/>
      <c r="E801" s="657"/>
      <c r="F801" s="658"/>
      <c r="G801" s="659"/>
      <c r="H801" s="660"/>
      <c r="I801" s="659"/>
      <c r="J801" s="661"/>
      <c r="K801" s="658"/>
      <c r="L801" s="662"/>
      <c r="M801" s="663"/>
      <c r="N801" s="664"/>
      <c r="O801" s="665"/>
      <c r="P801" s="666"/>
      <c r="Q801" s="667"/>
      <c r="R801" s="668"/>
      <c r="S801" s="665"/>
      <c r="T801" s="669"/>
      <c r="U801" s="669"/>
      <c r="V801" s="665"/>
      <c r="W801" s="670"/>
      <c r="X801" s="670"/>
      <c r="Y801" s="671"/>
      <c r="Z801" s="671"/>
      <c r="AA801" s="672"/>
      <c r="AB801" s="673"/>
      <c r="AC801" s="673"/>
      <c r="AD801" s="673"/>
      <c r="AE801" s="673"/>
      <c r="AF801" s="673"/>
      <c r="AG801" s="673"/>
      <c r="AH801" s="673"/>
      <c r="AI801" s="673"/>
      <c r="AJ801" s="673"/>
      <c r="AK801" s="673"/>
      <c r="AL801" s="673"/>
      <c r="AM801" s="673"/>
      <c r="AN801" s="673"/>
      <c r="AO801" s="673"/>
      <c r="AP801" s="673"/>
      <c r="AQ801" s="673"/>
      <c r="AR801" s="673"/>
      <c r="AS801" s="673"/>
    </row>
    <row r="802">
      <c r="A802" s="653"/>
      <c r="B802" s="654"/>
      <c r="C802" s="655"/>
      <c r="D802" s="656"/>
      <c r="E802" s="657"/>
      <c r="F802" s="658"/>
      <c r="G802" s="659"/>
      <c r="H802" s="660"/>
      <c r="I802" s="659"/>
      <c r="J802" s="661"/>
      <c r="K802" s="658"/>
      <c r="L802" s="662"/>
      <c r="M802" s="663"/>
      <c r="N802" s="664"/>
      <c r="O802" s="665"/>
      <c r="P802" s="666"/>
      <c r="Q802" s="667"/>
      <c r="R802" s="668"/>
      <c r="S802" s="665"/>
      <c r="T802" s="669"/>
      <c r="U802" s="669"/>
      <c r="V802" s="665"/>
      <c r="W802" s="670"/>
      <c r="X802" s="670"/>
      <c r="Y802" s="671"/>
      <c r="Z802" s="671"/>
      <c r="AA802" s="672"/>
      <c r="AB802" s="673"/>
      <c r="AC802" s="673"/>
      <c r="AD802" s="673"/>
      <c r="AE802" s="673"/>
      <c r="AF802" s="673"/>
      <c r="AG802" s="673"/>
      <c r="AH802" s="673"/>
      <c r="AI802" s="673"/>
      <c r="AJ802" s="673"/>
      <c r="AK802" s="673"/>
      <c r="AL802" s="673"/>
      <c r="AM802" s="673"/>
      <c r="AN802" s="673"/>
      <c r="AO802" s="673"/>
      <c r="AP802" s="673"/>
      <c r="AQ802" s="673"/>
      <c r="AR802" s="673"/>
      <c r="AS802" s="673"/>
    </row>
    <row r="803">
      <c r="A803" s="653"/>
      <c r="B803" s="654"/>
      <c r="C803" s="655"/>
      <c r="D803" s="656"/>
      <c r="E803" s="657"/>
      <c r="F803" s="658"/>
      <c r="G803" s="659"/>
      <c r="H803" s="660"/>
      <c r="I803" s="659"/>
      <c r="J803" s="661"/>
      <c r="K803" s="658"/>
      <c r="L803" s="662"/>
      <c r="M803" s="663"/>
      <c r="N803" s="664"/>
      <c r="O803" s="665"/>
      <c r="P803" s="666"/>
      <c r="Q803" s="667"/>
      <c r="R803" s="668"/>
      <c r="S803" s="665"/>
      <c r="T803" s="669"/>
      <c r="U803" s="669"/>
      <c r="V803" s="665"/>
      <c r="W803" s="670"/>
      <c r="X803" s="670"/>
      <c r="Y803" s="671"/>
      <c r="Z803" s="671"/>
      <c r="AA803" s="672"/>
      <c r="AB803" s="673"/>
      <c r="AC803" s="673"/>
      <c r="AD803" s="673"/>
      <c r="AE803" s="673"/>
      <c r="AF803" s="673"/>
      <c r="AG803" s="673"/>
      <c r="AH803" s="673"/>
      <c r="AI803" s="673"/>
      <c r="AJ803" s="673"/>
      <c r="AK803" s="673"/>
      <c r="AL803" s="673"/>
      <c r="AM803" s="673"/>
      <c r="AN803" s="673"/>
      <c r="AO803" s="673"/>
      <c r="AP803" s="673"/>
      <c r="AQ803" s="673"/>
      <c r="AR803" s="673"/>
      <c r="AS803" s="673"/>
    </row>
    <row r="804">
      <c r="A804" s="653"/>
      <c r="B804" s="654"/>
      <c r="C804" s="655"/>
      <c r="D804" s="656"/>
      <c r="E804" s="657"/>
      <c r="F804" s="658"/>
      <c r="G804" s="659"/>
      <c r="H804" s="660"/>
      <c r="I804" s="659"/>
      <c r="J804" s="661"/>
      <c r="K804" s="658"/>
      <c r="L804" s="662"/>
      <c r="M804" s="663"/>
      <c r="N804" s="664"/>
      <c r="O804" s="665"/>
      <c r="P804" s="666"/>
      <c r="Q804" s="667"/>
      <c r="R804" s="668"/>
      <c r="S804" s="665"/>
      <c r="T804" s="669"/>
      <c r="U804" s="669"/>
      <c r="V804" s="665"/>
      <c r="W804" s="670"/>
      <c r="X804" s="670"/>
      <c r="Y804" s="671"/>
      <c r="Z804" s="671"/>
      <c r="AA804" s="672"/>
      <c r="AB804" s="673"/>
      <c r="AC804" s="673"/>
      <c r="AD804" s="673"/>
      <c r="AE804" s="673"/>
      <c r="AF804" s="673"/>
      <c r="AG804" s="673"/>
      <c r="AH804" s="673"/>
      <c r="AI804" s="673"/>
      <c r="AJ804" s="673"/>
      <c r="AK804" s="673"/>
      <c r="AL804" s="673"/>
      <c r="AM804" s="673"/>
      <c r="AN804" s="673"/>
      <c r="AO804" s="673"/>
      <c r="AP804" s="673"/>
      <c r="AQ804" s="673"/>
      <c r="AR804" s="673"/>
      <c r="AS804" s="673"/>
    </row>
    <row r="805">
      <c r="A805" s="653"/>
      <c r="B805" s="654"/>
      <c r="C805" s="655"/>
      <c r="D805" s="656"/>
      <c r="E805" s="657"/>
      <c r="F805" s="658"/>
      <c r="G805" s="659"/>
      <c r="H805" s="660"/>
      <c r="I805" s="659"/>
      <c r="J805" s="661"/>
      <c r="K805" s="658"/>
      <c r="L805" s="662"/>
      <c r="M805" s="663"/>
      <c r="N805" s="664"/>
      <c r="O805" s="665"/>
      <c r="P805" s="666"/>
      <c r="Q805" s="667"/>
      <c r="R805" s="668"/>
      <c r="S805" s="665"/>
      <c r="T805" s="669"/>
      <c r="U805" s="669"/>
      <c r="V805" s="665"/>
      <c r="W805" s="670"/>
      <c r="X805" s="670"/>
      <c r="Y805" s="671"/>
      <c r="Z805" s="671"/>
      <c r="AA805" s="672"/>
      <c r="AB805" s="673"/>
      <c r="AC805" s="673"/>
      <c r="AD805" s="673"/>
      <c r="AE805" s="673"/>
      <c r="AF805" s="673"/>
      <c r="AG805" s="673"/>
      <c r="AH805" s="673"/>
      <c r="AI805" s="673"/>
      <c r="AJ805" s="673"/>
      <c r="AK805" s="673"/>
      <c r="AL805" s="673"/>
      <c r="AM805" s="673"/>
      <c r="AN805" s="673"/>
      <c r="AO805" s="673"/>
      <c r="AP805" s="673"/>
      <c r="AQ805" s="673"/>
      <c r="AR805" s="673"/>
      <c r="AS805" s="673"/>
    </row>
    <row r="806">
      <c r="A806" s="653"/>
      <c r="B806" s="654"/>
      <c r="C806" s="655"/>
      <c r="D806" s="656"/>
      <c r="E806" s="657"/>
      <c r="F806" s="658"/>
      <c r="G806" s="659"/>
      <c r="H806" s="660"/>
      <c r="I806" s="659"/>
      <c r="J806" s="661"/>
      <c r="K806" s="658"/>
      <c r="L806" s="662"/>
      <c r="M806" s="663"/>
      <c r="N806" s="664"/>
      <c r="O806" s="665"/>
      <c r="P806" s="666"/>
      <c r="Q806" s="667"/>
      <c r="R806" s="668"/>
      <c r="S806" s="665"/>
      <c r="T806" s="669"/>
      <c r="U806" s="669"/>
      <c r="V806" s="665"/>
      <c r="W806" s="670"/>
      <c r="X806" s="670"/>
      <c r="Y806" s="671"/>
      <c r="Z806" s="671"/>
      <c r="AA806" s="672"/>
      <c r="AB806" s="673"/>
      <c r="AC806" s="673"/>
      <c r="AD806" s="673"/>
      <c r="AE806" s="673"/>
      <c r="AF806" s="673"/>
      <c r="AG806" s="673"/>
      <c r="AH806" s="673"/>
      <c r="AI806" s="673"/>
      <c r="AJ806" s="673"/>
      <c r="AK806" s="673"/>
      <c r="AL806" s="673"/>
      <c r="AM806" s="673"/>
      <c r="AN806" s="673"/>
      <c r="AO806" s="673"/>
      <c r="AP806" s="673"/>
      <c r="AQ806" s="673"/>
      <c r="AR806" s="673"/>
      <c r="AS806" s="673"/>
    </row>
    <row r="807">
      <c r="A807" s="653"/>
      <c r="B807" s="654"/>
      <c r="C807" s="655"/>
      <c r="D807" s="656"/>
      <c r="E807" s="657"/>
      <c r="F807" s="658"/>
      <c r="G807" s="659"/>
      <c r="H807" s="660"/>
      <c r="I807" s="659"/>
      <c r="J807" s="661"/>
      <c r="K807" s="658"/>
      <c r="L807" s="662"/>
      <c r="M807" s="663"/>
      <c r="N807" s="664"/>
      <c r="O807" s="665"/>
      <c r="P807" s="666"/>
      <c r="Q807" s="667"/>
      <c r="R807" s="668"/>
      <c r="S807" s="665"/>
      <c r="T807" s="669"/>
      <c r="U807" s="669"/>
      <c r="V807" s="665"/>
      <c r="W807" s="670"/>
      <c r="X807" s="670"/>
      <c r="Y807" s="671"/>
      <c r="Z807" s="671"/>
      <c r="AA807" s="672"/>
      <c r="AB807" s="673"/>
      <c r="AC807" s="673"/>
      <c r="AD807" s="673"/>
      <c r="AE807" s="673"/>
      <c r="AF807" s="673"/>
      <c r="AG807" s="673"/>
      <c r="AH807" s="673"/>
      <c r="AI807" s="673"/>
      <c r="AJ807" s="673"/>
      <c r="AK807" s="673"/>
      <c r="AL807" s="673"/>
      <c r="AM807" s="673"/>
      <c r="AN807" s="673"/>
      <c r="AO807" s="673"/>
      <c r="AP807" s="673"/>
      <c r="AQ807" s="673"/>
      <c r="AR807" s="673"/>
      <c r="AS807" s="673"/>
    </row>
    <row r="808">
      <c r="A808" s="653"/>
      <c r="B808" s="654"/>
      <c r="C808" s="655"/>
      <c r="D808" s="656"/>
      <c r="E808" s="657"/>
      <c r="F808" s="658"/>
      <c r="G808" s="659"/>
      <c r="H808" s="660"/>
      <c r="I808" s="659"/>
      <c r="J808" s="661"/>
      <c r="K808" s="658"/>
      <c r="L808" s="662"/>
      <c r="M808" s="663"/>
      <c r="N808" s="664"/>
      <c r="O808" s="665"/>
      <c r="P808" s="666"/>
      <c r="Q808" s="667"/>
      <c r="R808" s="668"/>
      <c r="S808" s="665"/>
      <c r="T808" s="669"/>
      <c r="U808" s="669"/>
      <c r="V808" s="665"/>
      <c r="W808" s="670"/>
      <c r="X808" s="670"/>
      <c r="Y808" s="671"/>
      <c r="Z808" s="671"/>
      <c r="AA808" s="672"/>
      <c r="AB808" s="673"/>
      <c r="AC808" s="673"/>
      <c r="AD808" s="673"/>
      <c r="AE808" s="673"/>
      <c r="AF808" s="673"/>
      <c r="AG808" s="673"/>
      <c r="AH808" s="673"/>
      <c r="AI808" s="673"/>
      <c r="AJ808" s="673"/>
      <c r="AK808" s="673"/>
      <c r="AL808" s="673"/>
      <c r="AM808" s="673"/>
      <c r="AN808" s="673"/>
      <c r="AO808" s="673"/>
      <c r="AP808" s="673"/>
      <c r="AQ808" s="673"/>
      <c r="AR808" s="673"/>
      <c r="AS808" s="673"/>
    </row>
    <row r="809">
      <c r="A809" s="653"/>
      <c r="B809" s="654"/>
      <c r="C809" s="655"/>
      <c r="D809" s="656"/>
      <c r="E809" s="657"/>
      <c r="F809" s="658"/>
      <c r="G809" s="659"/>
      <c r="H809" s="660"/>
      <c r="I809" s="659"/>
      <c r="J809" s="661"/>
      <c r="K809" s="658"/>
      <c r="L809" s="662"/>
      <c r="M809" s="663"/>
      <c r="N809" s="664"/>
      <c r="O809" s="665"/>
      <c r="P809" s="666"/>
      <c r="Q809" s="667"/>
      <c r="R809" s="668"/>
      <c r="S809" s="665"/>
      <c r="T809" s="669"/>
      <c r="U809" s="669"/>
      <c r="V809" s="665"/>
      <c r="W809" s="670"/>
      <c r="X809" s="670"/>
      <c r="Y809" s="671"/>
      <c r="Z809" s="671"/>
      <c r="AA809" s="672"/>
      <c r="AB809" s="673"/>
      <c r="AC809" s="673"/>
      <c r="AD809" s="673"/>
      <c r="AE809" s="673"/>
      <c r="AF809" s="673"/>
      <c r="AG809" s="673"/>
      <c r="AH809" s="673"/>
      <c r="AI809" s="673"/>
      <c r="AJ809" s="673"/>
      <c r="AK809" s="673"/>
      <c r="AL809" s="673"/>
      <c r="AM809" s="673"/>
      <c r="AN809" s="673"/>
      <c r="AO809" s="673"/>
      <c r="AP809" s="673"/>
      <c r="AQ809" s="673"/>
      <c r="AR809" s="673"/>
      <c r="AS809" s="673"/>
    </row>
    <row r="810">
      <c r="A810" s="653"/>
      <c r="B810" s="654"/>
      <c r="C810" s="655"/>
      <c r="D810" s="656"/>
      <c r="E810" s="657"/>
      <c r="F810" s="658"/>
      <c r="G810" s="659"/>
      <c r="H810" s="660"/>
      <c r="I810" s="659"/>
      <c r="J810" s="661"/>
      <c r="K810" s="658"/>
      <c r="L810" s="662"/>
      <c r="M810" s="663"/>
      <c r="N810" s="664"/>
      <c r="O810" s="665"/>
      <c r="P810" s="666"/>
      <c r="Q810" s="667"/>
      <c r="R810" s="668"/>
      <c r="S810" s="665"/>
      <c r="T810" s="669"/>
      <c r="U810" s="669"/>
      <c r="V810" s="665"/>
      <c r="W810" s="670"/>
      <c r="X810" s="670"/>
      <c r="Y810" s="671"/>
      <c r="Z810" s="671"/>
      <c r="AA810" s="672"/>
      <c r="AB810" s="673"/>
      <c r="AC810" s="673"/>
      <c r="AD810" s="673"/>
      <c r="AE810" s="673"/>
      <c r="AF810" s="673"/>
      <c r="AG810" s="673"/>
      <c r="AH810" s="673"/>
      <c r="AI810" s="673"/>
      <c r="AJ810" s="673"/>
      <c r="AK810" s="673"/>
      <c r="AL810" s="673"/>
      <c r="AM810" s="673"/>
      <c r="AN810" s="673"/>
      <c r="AO810" s="673"/>
      <c r="AP810" s="673"/>
      <c r="AQ810" s="673"/>
      <c r="AR810" s="673"/>
      <c r="AS810" s="673"/>
    </row>
    <row r="811">
      <c r="A811" s="653"/>
      <c r="B811" s="654"/>
      <c r="C811" s="655"/>
      <c r="D811" s="656"/>
      <c r="E811" s="657"/>
      <c r="F811" s="658"/>
      <c r="G811" s="659"/>
      <c r="H811" s="660"/>
      <c r="I811" s="659"/>
      <c r="J811" s="661"/>
      <c r="K811" s="658"/>
      <c r="L811" s="662"/>
      <c r="M811" s="663"/>
      <c r="N811" s="664"/>
      <c r="O811" s="665"/>
      <c r="P811" s="666"/>
      <c r="Q811" s="667"/>
      <c r="R811" s="668"/>
      <c r="S811" s="665"/>
      <c r="T811" s="669"/>
      <c r="U811" s="669"/>
      <c r="V811" s="665"/>
      <c r="W811" s="670"/>
      <c r="X811" s="670"/>
      <c r="Y811" s="671"/>
      <c r="Z811" s="671"/>
      <c r="AA811" s="672"/>
      <c r="AB811" s="673"/>
      <c r="AC811" s="673"/>
      <c r="AD811" s="673"/>
      <c r="AE811" s="673"/>
      <c r="AF811" s="673"/>
      <c r="AG811" s="673"/>
      <c r="AH811" s="673"/>
      <c r="AI811" s="673"/>
      <c r="AJ811" s="673"/>
      <c r="AK811" s="673"/>
      <c r="AL811" s="673"/>
      <c r="AM811" s="673"/>
      <c r="AN811" s="673"/>
      <c r="AO811" s="673"/>
      <c r="AP811" s="673"/>
      <c r="AQ811" s="673"/>
      <c r="AR811" s="673"/>
      <c r="AS811" s="673"/>
    </row>
    <row r="812">
      <c r="A812" s="653"/>
      <c r="B812" s="654"/>
      <c r="C812" s="655"/>
      <c r="D812" s="656"/>
      <c r="E812" s="657"/>
      <c r="F812" s="658"/>
      <c r="G812" s="659"/>
      <c r="H812" s="660"/>
      <c r="I812" s="659"/>
      <c r="J812" s="661"/>
      <c r="K812" s="658"/>
      <c r="L812" s="662"/>
      <c r="M812" s="663"/>
      <c r="N812" s="664"/>
      <c r="O812" s="665"/>
      <c r="P812" s="666"/>
      <c r="Q812" s="667"/>
      <c r="R812" s="668"/>
      <c r="S812" s="665"/>
      <c r="T812" s="669"/>
      <c r="U812" s="669"/>
      <c r="V812" s="665"/>
      <c r="W812" s="670"/>
      <c r="X812" s="670"/>
      <c r="Y812" s="671"/>
      <c r="Z812" s="671"/>
      <c r="AA812" s="672"/>
      <c r="AB812" s="673"/>
      <c r="AC812" s="673"/>
      <c r="AD812" s="673"/>
      <c r="AE812" s="673"/>
      <c r="AF812" s="673"/>
      <c r="AG812" s="673"/>
      <c r="AH812" s="673"/>
      <c r="AI812" s="673"/>
      <c r="AJ812" s="673"/>
      <c r="AK812" s="673"/>
      <c r="AL812" s="673"/>
      <c r="AM812" s="673"/>
      <c r="AN812" s="673"/>
      <c r="AO812" s="673"/>
      <c r="AP812" s="673"/>
      <c r="AQ812" s="673"/>
      <c r="AR812" s="673"/>
      <c r="AS812" s="673"/>
    </row>
    <row r="813">
      <c r="A813" s="653"/>
      <c r="B813" s="654"/>
      <c r="C813" s="655"/>
      <c r="D813" s="656"/>
      <c r="E813" s="657"/>
      <c r="F813" s="658"/>
      <c r="G813" s="659"/>
      <c r="H813" s="660"/>
      <c r="I813" s="659"/>
      <c r="J813" s="661"/>
      <c r="K813" s="658"/>
      <c r="L813" s="662"/>
      <c r="M813" s="663"/>
      <c r="N813" s="664"/>
      <c r="O813" s="665"/>
      <c r="P813" s="666"/>
      <c r="Q813" s="667"/>
      <c r="R813" s="668"/>
      <c r="S813" s="665"/>
      <c r="T813" s="669"/>
      <c r="U813" s="669"/>
      <c r="V813" s="665"/>
      <c r="W813" s="670"/>
      <c r="X813" s="670"/>
      <c r="Y813" s="671"/>
      <c r="Z813" s="671"/>
      <c r="AA813" s="672"/>
      <c r="AB813" s="673"/>
      <c r="AC813" s="673"/>
      <c r="AD813" s="673"/>
      <c r="AE813" s="673"/>
      <c r="AF813" s="673"/>
      <c r="AG813" s="673"/>
      <c r="AH813" s="673"/>
      <c r="AI813" s="673"/>
      <c r="AJ813" s="673"/>
      <c r="AK813" s="673"/>
      <c r="AL813" s="673"/>
      <c r="AM813" s="673"/>
      <c r="AN813" s="673"/>
      <c r="AO813" s="673"/>
      <c r="AP813" s="673"/>
      <c r="AQ813" s="673"/>
      <c r="AR813" s="673"/>
      <c r="AS813" s="673"/>
    </row>
    <row r="814">
      <c r="A814" s="653"/>
      <c r="B814" s="654"/>
      <c r="C814" s="655"/>
      <c r="D814" s="656"/>
      <c r="E814" s="657"/>
      <c r="F814" s="658"/>
      <c r="G814" s="659"/>
      <c r="H814" s="660"/>
      <c r="I814" s="659"/>
      <c r="J814" s="661"/>
      <c r="K814" s="658"/>
      <c r="L814" s="662"/>
      <c r="M814" s="663"/>
      <c r="N814" s="664"/>
      <c r="O814" s="665"/>
      <c r="P814" s="666"/>
      <c r="Q814" s="667"/>
      <c r="R814" s="668"/>
      <c r="S814" s="665"/>
      <c r="T814" s="669"/>
      <c r="U814" s="669"/>
      <c r="V814" s="665"/>
      <c r="W814" s="670"/>
      <c r="X814" s="670"/>
      <c r="Y814" s="671"/>
      <c r="Z814" s="671"/>
      <c r="AA814" s="672"/>
      <c r="AB814" s="673"/>
      <c r="AC814" s="673"/>
      <c r="AD814" s="673"/>
      <c r="AE814" s="673"/>
      <c r="AF814" s="673"/>
      <c r="AG814" s="673"/>
      <c r="AH814" s="673"/>
      <c r="AI814" s="673"/>
      <c r="AJ814" s="673"/>
      <c r="AK814" s="673"/>
      <c r="AL814" s="673"/>
      <c r="AM814" s="673"/>
      <c r="AN814" s="673"/>
      <c r="AO814" s="673"/>
      <c r="AP814" s="673"/>
      <c r="AQ814" s="673"/>
      <c r="AR814" s="673"/>
      <c r="AS814" s="673"/>
    </row>
    <row r="815">
      <c r="A815" s="653"/>
      <c r="B815" s="654"/>
      <c r="C815" s="655"/>
      <c r="D815" s="656"/>
      <c r="E815" s="657"/>
      <c r="F815" s="658"/>
      <c r="G815" s="659"/>
      <c r="H815" s="660"/>
      <c r="I815" s="659"/>
      <c r="J815" s="661"/>
      <c r="K815" s="658"/>
      <c r="L815" s="662"/>
      <c r="M815" s="663"/>
      <c r="N815" s="664"/>
      <c r="O815" s="665"/>
      <c r="P815" s="666"/>
      <c r="Q815" s="667"/>
      <c r="R815" s="668"/>
      <c r="S815" s="665"/>
      <c r="T815" s="669"/>
      <c r="U815" s="669"/>
      <c r="V815" s="665"/>
      <c r="W815" s="670"/>
      <c r="X815" s="670"/>
      <c r="Y815" s="671"/>
      <c r="Z815" s="671"/>
      <c r="AA815" s="672"/>
      <c r="AB815" s="673"/>
      <c r="AC815" s="673"/>
      <c r="AD815" s="673"/>
      <c r="AE815" s="673"/>
      <c r="AF815" s="673"/>
      <c r="AG815" s="673"/>
      <c r="AH815" s="673"/>
      <c r="AI815" s="673"/>
      <c r="AJ815" s="673"/>
      <c r="AK815" s="673"/>
      <c r="AL815" s="673"/>
      <c r="AM815" s="673"/>
      <c r="AN815" s="673"/>
      <c r="AO815" s="673"/>
      <c r="AP815" s="673"/>
      <c r="AQ815" s="673"/>
      <c r="AR815" s="673"/>
      <c r="AS815" s="673"/>
    </row>
    <row r="816">
      <c r="A816" s="653"/>
      <c r="B816" s="654"/>
      <c r="C816" s="655"/>
      <c r="D816" s="656"/>
      <c r="E816" s="657"/>
      <c r="F816" s="658"/>
      <c r="G816" s="659"/>
      <c r="H816" s="660"/>
      <c r="I816" s="659"/>
      <c r="J816" s="661"/>
      <c r="K816" s="658"/>
      <c r="L816" s="662"/>
      <c r="M816" s="663"/>
      <c r="N816" s="664"/>
      <c r="O816" s="665"/>
      <c r="P816" s="666"/>
      <c r="Q816" s="667"/>
      <c r="R816" s="668"/>
      <c r="S816" s="665"/>
      <c r="T816" s="669"/>
      <c r="U816" s="669"/>
      <c r="V816" s="665"/>
      <c r="W816" s="670"/>
      <c r="X816" s="670"/>
      <c r="Y816" s="671"/>
      <c r="Z816" s="671"/>
      <c r="AA816" s="672"/>
      <c r="AB816" s="673"/>
      <c r="AC816" s="673"/>
      <c r="AD816" s="673"/>
      <c r="AE816" s="673"/>
      <c r="AF816" s="673"/>
      <c r="AG816" s="673"/>
      <c r="AH816" s="673"/>
      <c r="AI816" s="673"/>
      <c r="AJ816" s="673"/>
      <c r="AK816" s="673"/>
      <c r="AL816" s="673"/>
      <c r="AM816" s="673"/>
      <c r="AN816" s="673"/>
      <c r="AO816" s="673"/>
      <c r="AP816" s="673"/>
      <c r="AQ816" s="673"/>
      <c r="AR816" s="673"/>
      <c r="AS816" s="673"/>
    </row>
    <row r="817">
      <c r="A817" s="653"/>
      <c r="B817" s="654"/>
      <c r="C817" s="655"/>
      <c r="D817" s="656"/>
      <c r="E817" s="657"/>
      <c r="F817" s="658"/>
      <c r="G817" s="659"/>
      <c r="H817" s="660"/>
      <c r="I817" s="659"/>
      <c r="J817" s="661"/>
      <c r="K817" s="658"/>
      <c r="L817" s="662"/>
      <c r="M817" s="663"/>
      <c r="N817" s="664"/>
      <c r="O817" s="665"/>
      <c r="P817" s="666"/>
      <c r="Q817" s="667"/>
      <c r="R817" s="668"/>
      <c r="S817" s="665"/>
      <c r="T817" s="669"/>
      <c r="U817" s="669"/>
      <c r="V817" s="665"/>
      <c r="W817" s="670"/>
      <c r="X817" s="670"/>
      <c r="Y817" s="671"/>
      <c r="Z817" s="671"/>
      <c r="AA817" s="672"/>
      <c r="AB817" s="673"/>
      <c r="AC817" s="673"/>
      <c r="AD817" s="673"/>
      <c r="AE817" s="673"/>
      <c r="AF817" s="673"/>
      <c r="AG817" s="673"/>
      <c r="AH817" s="673"/>
      <c r="AI817" s="673"/>
      <c r="AJ817" s="673"/>
      <c r="AK817" s="673"/>
      <c r="AL817" s="673"/>
      <c r="AM817" s="673"/>
      <c r="AN817" s="673"/>
      <c r="AO817" s="673"/>
      <c r="AP817" s="673"/>
      <c r="AQ817" s="673"/>
      <c r="AR817" s="673"/>
      <c r="AS817" s="673"/>
    </row>
    <row r="818">
      <c r="A818" s="653"/>
      <c r="B818" s="654"/>
      <c r="C818" s="655"/>
      <c r="D818" s="656"/>
      <c r="E818" s="657"/>
      <c r="F818" s="658"/>
      <c r="G818" s="659"/>
      <c r="H818" s="660"/>
      <c r="I818" s="659"/>
      <c r="J818" s="661"/>
      <c r="K818" s="658"/>
      <c r="L818" s="662"/>
      <c r="M818" s="663"/>
      <c r="N818" s="664"/>
      <c r="O818" s="665"/>
      <c r="P818" s="666"/>
      <c r="Q818" s="667"/>
      <c r="R818" s="668"/>
      <c r="S818" s="665"/>
      <c r="T818" s="669"/>
      <c r="U818" s="669"/>
      <c r="V818" s="665"/>
      <c r="W818" s="670"/>
      <c r="X818" s="670"/>
      <c r="Y818" s="671"/>
      <c r="Z818" s="671"/>
      <c r="AA818" s="672"/>
      <c r="AB818" s="673"/>
      <c r="AC818" s="673"/>
      <c r="AD818" s="673"/>
      <c r="AE818" s="673"/>
      <c r="AF818" s="673"/>
      <c r="AG818" s="673"/>
      <c r="AH818" s="673"/>
      <c r="AI818" s="673"/>
      <c r="AJ818" s="673"/>
      <c r="AK818" s="673"/>
      <c r="AL818" s="673"/>
      <c r="AM818" s="673"/>
      <c r="AN818" s="673"/>
      <c r="AO818" s="673"/>
      <c r="AP818" s="673"/>
      <c r="AQ818" s="673"/>
      <c r="AR818" s="673"/>
      <c r="AS818" s="673"/>
    </row>
    <row r="819">
      <c r="A819" s="653"/>
      <c r="B819" s="654"/>
      <c r="C819" s="655"/>
      <c r="D819" s="656"/>
      <c r="E819" s="657"/>
      <c r="F819" s="658"/>
      <c r="G819" s="659"/>
      <c r="H819" s="660"/>
      <c r="I819" s="659"/>
      <c r="J819" s="661"/>
      <c r="K819" s="658"/>
      <c r="L819" s="662"/>
      <c r="M819" s="663"/>
      <c r="N819" s="664"/>
      <c r="O819" s="665"/>
      <c r="P819" s="666"/>
      <c r="Q819" s="667"/>
      <c r="R819" s="668"/>
      <c r="S819" s="665"/>
      <c r="T819" s="669"/>
      <c r="U819" s="669"/>
      <c r="V819" s="665"/>
      <c r="W819" s="670"/>
      <c r="X819" s="670"/>
      <c r="Y819" s="671"/>
      <c r="Z819" s="671"/>
      <c r="AA819" s="672"/>
      <c r="AB819" s="673"/>
      <c r="AC819" s="673"/>
      <c r="AD819" s="673"/>
      <c r="AE819" s="673"/>
      <c r="AF819" s="673"/>
      <c r="AG819" s="673"/>
      <c r="AH819" s="673"/>
      <c r="AI819" s="673"/>
      <c r="AJ819" s="673"/>
      <c r="AK819" s="673"/>
      <c r="AL819" s="673"/>
      <c r="AM819" s="673"/>
      <c r="AN819" s="673"/>
      <c r="AO819" s="673"/>
      <c r="AP819" s="673"/>
      <c r="AQ819" s="673"/>
      <c r="AR819" s="673"/>
      <c r="AS819" s="673"/>
    </row>
    <row r="820">
      <c r="A820" s="653"/>
      <c r="B820" s="654"/>
      <c r="C820" s="655"/>
      <c r="D820" s="656"/>
      <c r="E820" s="657"/>
      <c r="F820" s="658"/>
      <c r="G820" s="659"/>
      <c r="H820" s="660"/>
      <c r="I820" s="659"/>
      <c r="J820" s="661"/>
      <c r="K820" s="658"/>
      <c r="L820" s="662"/>
      <c r="M820" s="663"/>
      <c r="N820" s="664"/>
      <c r="O820" s="665"/>
      <c r="P820" s="666"/>
      <c r="Q820" s="667"/>
      <c r="R820" s="668"/>
      <c r="S820" s="665"/>
      <c r="T820" s="669"/>
      <c r="U820" s="669"/>
      <c r="V820" s="665"/>
      <c r="W820" s="670"/>
      <c r="X820" s="670"/>
      <c r="Y820" s="671"/>
      <c r="Z820" s="671"/>
      <c r="AA820" s="672"/>
      <c r="AB820" s="673"/>
      <c r="AC820" s="673"/>
      <c r="AD820" s="673"/>
      <c r="AE820" s="673"/>
      <c r="AF820" s="673"/>
      <c r="AG820" s="673"/>
      <c r="AH820" s="673"/>
      <c r="AI820" s="673"/>
      <c r="AJ820" s="673"/>
      <c r="AK820" s="673"/>
      <c r="AL820" s="673"/>
      <c r="AM820" s="673"/>
      <c r="AN820" s="673"/>
      <c r="AO820" s="673"/>
      <c r="AP820" s="673"/>
      <c r="AQ820" s="673"/>
      <c r="AR820" s="673"/>
      <c r="AS820" s="673"/>
    </row>
    <row r="821">
      <c r="A821" s="653"/>
      <c r="B821" s="654"/>
      <c r="C821" s="655"/>
      <c r="D821" s="656"/>
      <c r="E821" s="657"/>
      <c r="F821" s="658"/>
      <c r="G821" s="659"/>
      <c r="H821" s="660"/>
      <c r="I821" s="659"/>
      <c r="J821" s="661"/>
      <c r="K821" s="658"/>
      <c r="L821" s="662"/>
      <c r="M821" s="663"/>
      <c r="N821" s="664"/>
      <c r="O821" s="665"/>
      <c r="P821" s="666"/>
      <c r="Q821" s="667"/>
      <c r="R821" s="668"/>
      <c r="S821" s="665"/>
      <c r="T821" s="669"/>
      <c r="U821" s="669"/>
      <c r="V821" s="665"/>
      <c r="W821" s="670"/>
      <c r="X821" s="670"/>
      <c r="Y821" s="671"/>
      <c r="Z821" s="671"/>
      <c r="AA821" s="672"/>
      <c r="AB821" s="673"/>
      <c r="AC821" s="673"/>
      <c r="AD821" s="673"/>
      <c r="AE821" s="673"/>
      <c r="AF821" s="673"/>
      <c r="AG821" s="673"/>
      <c r="AH821" s="673"/>
      <c r="AI821" s="673"/>
      <c r="AJ821" s="673"/>
      <c r="AK821" s="673"/>
      <c r="AL821" s="673"/>
      <c r="AM821" s="673"/>
      <c r="AN821" s="673"/>
      <c r="AO821" s="673"/>
      <c r="AP821" s="673"/>
      <c r="AQ821" s="673"/>
      <c r="AR821" s="673"/>
      <c r="AS821" s="673"/>
    </row>
    <row r="822">
      <c r="A822" s="653"/>
      <c r="B822" s="654"/>
      <c r="C822" s="655"/>
      <c r="D822" s="656"/>
      <c r="E822" s="657"/>
      <c r="F822" s="658"/>
      <c r="G822" s="659"/>
      <c r="H822" s="660"/>
      <c r="I822" s="659"/>
      <c r="J822" s="661"/>
      <c r="K822" s="658"/>
      <c r="L822" s="662"/>
      <c r="M822" s="663"/>
      <c r="N822" s="664"/>
      <c r="O822" s="665"/>
      <c r="P822" s="666"/>
      <c r="Q822" s="667"/>
      <c r="R822" s="668"/>
      <c r="S822" s="665"/>
      <c r="T822" s="669"/>
      <c r="U822" s="669"/>
      <c r="V822" s="665"/>
      <c r="W822" s="670"/>
      <c r="X822" s="670"/>
      <c r="Y822" s="671"/>
      <c r="Z822" s="671"/>
      <c r="AA822" s="672"/>
      <c r="AB822" s="673"/>
      <c r="AC822" s="673"/>
      <c r="AD822" s="673"/>
      <c r="AE822" s="673"/>
      <c r="AF822" s="673"/>
      <c r="AG822" s="673"/>
      <c r="AH822" s="673"/>
      <c r="AI822" s="673"/>
      <c r="AJ822" s="673"/>
      <c r="AK822" s="673"/>
      <c r="AL822" s="673"/>
      <c r="AM822" s="673"/>
      <c r="AN822" s="673"/>
      <c r="AO822" s="673"/>
      <c r="AP822" s="673"/>
      <c r="AQ822" s="673"/>
      <c r="AR822" s="673"/>
      <c r="AS822" s="673"/>
    </row>
    <row r="823">
      <c r="A823" s="653"/>
      <c r="B823" s="654"/>
      <c r="C823" s="655"/>
      <c r="D823" s="656"/>
      <c r="E823" s="657"/>
      <c r="F823" s="658"/>
      <c r="G823" s="659"/>
      <c r="H823" s="660"/>
      <c r="I823" s="659"/>
      <c r="J823" s="661"/>
      <c r="K823" s="658"/>
      <c r="L823" s="662"/>
      <c r="M823" s="663"/>
      <c r="N823" s="664"/>
      <c r="O823" s="665"/>
      <c r="P823" s="666"/>
      <c r="Q823" s="667"/>
      <c r="R823" s="668"/>
      <c r="S823" s="665"/>
      <c r="T823" s="669"/>
      <c r="U823" s="669"/>
      <c r="V823" s="665"/>
      <c r="W823" s="670"/>
      <c r="X823" s="670"/>
      <c r="Y823" s="671"/>
      <c r="Z823" s="671"/>
      <c r="AA823" s="672"/>
      <c r="AB823" s="673"/>
      <c r="AC823" s="673"/>
      <c r="AD823" s="673"/>
      <c r="AE823" s="673"/>
      <c r="AF823" s="673"/>
      <c r="AG823" s="673"/>
      <c r="AH823" s="673"/>
      <c r="AI823" s="673"/>
      <c r="AJ823" s="673"/>
      <c r="AK823" s="673"/>
      <c r="AL823" s="673"/>
      <c r="AM823" s="673"/>
      <c r="AN823" s="673"/>
      <c r="AO823" s="673"/>
      <c r="AP823" s="673"/>
      <c r="AQ823" s="673"/>
      <c r="AR823" s="673"/>
      <c r="AS823" s="673"/>
    </row>
    <row r="824">
      <c r="A824" s="653"/>
      <c r="B824" s="654"/>
      <c r="C824" s="655"/>
      <c r="D824" s="656"/>
      <c r="E824" s="657"/>
      <c r="F824" s="658"/>
      <c r="G824" s="659"/>
      <c r="H824" s="660"/>
      <c r="I824" s="659"/>
      <c r="J824" s="661"/>
      <c r="K824" s="658"/>
      <c r="L824" s="662"/>
      <c r="M824" s="663"/>
      <c r="N824" s="664"/>
      <c r="O824" s="665"/>
      <c r="P824" s="666"/>
      <c r="Q824" s="667"/>
      <c r="R824" s="668"/>
      <c r="S824" s="665"/>
      <c r="T824" s="669"/>
      <c r="U824" s="669"/>
      <c r="V824" s="665"/>
      <c r="W824" s="670"/>
      <c r="X824" s="670"/>
      <c r="Y824" s="671"/>
      <c r="Z824" s="671"/>
      <c r="AA824" s="672"/>
      <c r="AB824" s="673"/>
      <c r="AC824" s="673"/>
      <c r="AD824" s="673"/>
      <c r="AE824" s="673"/>
      <c r="AF824" s="673"/>
      <c r="AG824" s="673"/>
      <c r="AH824" s="673"/>
      <c r="AI824" s="673"/>
      <c r="AJ824" s="673"/>
      <c r="AK824" s="673"/>
      <c r="AL824" s="673"/>
      <c r="AM824" s="673"/>
      <c r="AN824" s="673"/>
      <c r="AO824" s="673"/>
      <c r="AP824" s="673"/>
      <c r="AQ824" s="673"/>
      <c r="AR824" s="673"/>
      <c r="AS824" s="673"/>
    </row>
    <row r="825">
      <c r="A825" s="653"/>
      <c r="B825" s="654"/>
      <c r="C825" s="655"/>
      <c r="D825" s="656"/>
      <c r="E825" s="657"/>
      <c r="F825" s="658"/>
      <c r="G825" s="659"/>
      <c r="H825" s="660"/>
      <c r="I825" s="659"/>
      <c r="J825" s="661"/>
      <c r="K825" s="658"/>
      <c r="L825" s="662"/>
      <c r="M825" s="663"/>
      <c r="N825" s="664"/>
      <c r="O825" s="665"/>
      <c r="P825" s="666"/>
      <c r="Q825" s="667"/>
      <c r="R825" s="668"/>
      <c r="S825" s="665"/>
      <c r="T825" s="669"/>
      <c r="U825" s="669"/>
      <c r="V825" s="665"/>
      <c r="W825" s="670"/>
      <c r="X825" s="670"/>
      <c r="Y825" s="671"/>
      <c r="Z825" s="671"/>
      <c r="AA825" s="672"/>
      <c r="AB825" s="673"/>
      <c r="AC825" s="673"/>
      <c r="AD825" s="673"/>
      <c r="AE825" s="673"/>
      <c r="AF825" s="673"/>
      <c r="AG825" s="673"/>
      <c r="AH825" s="673"/>
      <c r="AI825" s="673"/>
      <c r="AJ825" s="673"/>
      <c r="AK825" s="673"/>
      <c r="AL825" s="673"/>
      <c r="AM825" s="673"/>
      <c r="AN825" s="673"/>
      <c r="AO825" s="673"/>
      <c r="AP825" s="673"/>
      <c r="AQ825" s="673"/>
      <c r="AR825" s="673"/>
      <c r="AS825" s="673"/>
    </row>
    <row r="826">
      <c r="A826" s="653"/>
      <c r="B826" s="654"/>
      <c r="C826" s="655"/>
      <c r="D826" s="656"/>
      <c r="E826" s="657"/>
      <c r="F826" s="658"/>
      <c r="G826" s="659"/>
      <c r="H826" s="660"/>
      <c r="I826" s="659"/>
      <c r="J826" s="661"/>
      <c r="K826" s="658"/>
      <c r="L826" s="662"/>
      <c r="M826" s="663"/>
      <c r="N826" s="664"/>
      <c r="O826" s="665"/>
      <c r="P826" s="666"/>
      <c r="Q826" s="667"/>
      <c r="R826" s="668"/>
      <c r="S826" s="665"/>
      <c r="T826" s="669"/>
      <c r="U826" s="669"/>
      <c r="V826" s="665"/>
      <c r="W826" s="670"/>
      <c r="X826" s="670"/>
      <c r="Y826" s="671"/>
      <c r="Z826" s="671"/>
      <c r="AA826" s="672"/>
      <c r="AB826" s="673"/>
      <c r="AC826" s="673"/>
      <c r="AD826" s="673"/>
      <c r="AE826" s="673"/>
      <c r="AF826" s="673"/>
      <c r="AG826" s="673"/>
      <c r="AH826" s="673"/>
      <c r="AI826" s="673"/>
      <c r="AJ826" s="673"/>
      <c r="AK826" s="673"/>
      <c r="AL826" s="673"/>
      <c r="AM826" s="673"/>
      <c r="AN826" s="673"/>
      <c r="AO826" s="673"/>
      <c r="AP826" s="673"/>
      <c r="AQ826" s="673"/>
      <c r="AR826" s="673"/>
      <c r="AS826" s="673"/>
    </row>
    <row r="827">
      <c r="A827" s="653"/>
      <c r="B827" s="654"/>
      <c r="C827" s="655"/>
      <c r="D827" s="656"/>
      <c r="E827" s="657"/>
      <c r="F827" s="658"/>
      <c r="G827" s="659"/>
      <c r="H827" s="660"/>
      <c r="I827" s="659"/>
      <c r="J827" s="661"/>
      <c r="K827" s="658"/>
      <c r="L827" s="662"/>
      <c r="M827" s="663"/>
      <c r="N827" s="664"/>
      <c r="O827" s="665"/>
      <c r="P827" s="666"/>
      <c r="Q827" s="667"/>
      <c r="R827" s="668"/>
      <c r="S827" s="665"/>
      <c r="T827" s="669"/>
      <c r="U827" s="669"/>
      <c r="V827" s="665"/>
      <c r="W827" s="670"/>
      <c r="X827" s="670"/>
      <c r="Y827" s="671"/>
      <c r="Z827" s="671"/>
      <c r="AA827" s="672"/>
      <c r="AB827" s="673"/>
      <c r="AC827" s="673"/>
      <c r="AD827" s="673"/>
      <c r="AE827" s="673"/>
      <c r="AF827" s="673"/>
      <c r="AG827" s="673"/>
      <c r="AH827" s="673"/>
      <c r="AI827" s="673"/>
      <c r="AJ827" s="673"/>
      <c r="AK827" s="673"/>
      <c r="AL827" s="673"/>
      <c r="AM827" s="673"/>
      <c r="AN827" s="673"/>
      <c r="AO827" s="673"/>
      <c r="AP827" s="673"/>
      <c r="AQ827" s="673"/>
      <c r="AR827" s="673"/>
      <c r="AS827" s="673"/>
    </row>
    <row r="828">
      <c r="A828" s="653"/>
      <c r="B828" s="654"/>
      <c r="C828" s="655"/>
      <c r="D828" s="656"/>
      <c r="E828" s="657"/>
      <c r="F828" s="658"/>
      <c r="G828" s="659"/>
      <c r="H828" s="660"/>
      <c r="I828" s="659"/>
      <c r="J828" s="661"/>
      <c r="K828" s="658"/>
      <c r="L828" s="662"/>
      <c r="M828" s="663"/>
      <c r="N828" s="664"/>
      <c r="O828" s="665"/>
      <c r="P828" s="666"/>
      <c r="Q828" s="667"/>
      <c r="R828" s="668"/>
      <c r="S828" s="665"/>
      <c r="T828" s="669"/>
      <c r="U828" s="669"/>
      <c r="V828" s="665"/>
      <c r="W828" s="670"/>
      <c r="X828" s="670"/>
      <c r="Y828" s="671"/>
      <c r="Z828" s="671"/>
      <c r="AA828" s="672"/>
      <c r="AB828" s="673"/>
      <c r="AC828" s="673"/>
      <c r="AD828" s="673"/>
      <c r="AE828" s="673"/>
      <c r="AF828" s="673"/>
      <c r="AG828" s="673"/>
      <c r="AH828" s="673"/>
      <c r="AI828" s="673"/>
      <c r="AJ828" s="673"/>
      <c r="AK828" s="673"/>
      <c r="AL828" s="673"/>
      <c r="AM828" s="673"/>
      <c r="AN828" s="673"/>
      <c r="AO828" s="673"/>
      <c r="AP828" s="673"/>
      <c r="AQ828" s="673"/>
      <c r="AR828" s="673"/>
      <c r="AS828" s="673"/>
    </row>
    <row r="829">
      <c r="A829" s="653"/>
      <c r="B829" s="654"/>
      <c r="C829" s="655"/>
      <c r="D829" s="656"/>
      <c r="E829" s="657"/>
      <c r="F829" s="658"/>
      <c r="G829" s="659"/>
      <c r="H829" s="660"/>
      <c r="I829" s="659"/>
      <c r="J829" s="661"/>
      <c r="K829" s="658"/>
      <c r="L829" s="662"/>
      <c r="M829" s="663"/>
      <c r="N829" s="664"/>
      <c r="O829" s="665"/>
      <c r="P829" s="666"/>
      <c r="Q829" s="667"/>
      <c r="R829" s="668"/>
      <c r="S829" s="665"/>
      <c r="T829" s="669"/>
      <c r="U829" s="669"/>
      <c r="V829" s="665"/>
      <c r="W829" s="670"/>
      <c r="X829" s="670"/>
      <c r="Y829" s="671"/>
      <c r="Z829" s="671"/>
      <c r="AA829" s="672"/>
      <c r="AB829" s="673"/>
      <c r="AC829" s="673"/>
      <c r="AD829" s="673"/>
      <c r="AE829" s="673"/>
      <c r="AF829" s="673"/>
      <c r="AG829" s="673"/>
      <c r="AH829" s="673"/>
      <c r="AI829" s="673"/>
      <c r="AJ829" s="673"/>
      <c r="AK829" s="673"/>
      <c r="AL829" s="673"/>
      <c r="AM829" s="673"/>
      <c r="AN829" s="673"/>
      <c r="AO829" s="673"/>
      <c r="AP829" s="673"/>
      <c r="AQ829" s="673"/>
      <c r="AR829" s="673"/>
      <c r="AS829" s="673"/>
    </row>
    <row r="830">
      <c r="A830" s="653"/>
      <c r="B830" s="654"/>
      <c r="C830" s="655"/>
      <c r="D830" s="656"/>
      <c r="E830" s="657"/>
      <c r="F830" s="658"/>
      <c r="G830" s="659"/>
      <c r="H830" s="660"/>
      <c r="I830" s="659"/>
      <c r="J830" s="661"/>
      <c r="K830" s="658"/>
      <c r="L830" s="662"/>
      <c r="M830" s="663"/>
      <c r="N830" s="664"/>
      <c r="O830" s="665"/>
      <c r="P830" s="666"/>
      <c r="Q830" s="667"/>
      <c r="R830" s="668"/>
      <c r="S830" s="665"/>
      <c r="T830" s="669"/>
      <c r="U830" s="669"/>
      <c r="V830" s="665"/>
      <c r="W830" s="670"/>
      <c r="X830" s="670"/>
      <c r="Y830" s="671"/>
      <c r="Z830" s="671"/>
      <c r="AA830" s="672"/>
      <c r="AB830" s="673"/>
      <c r="AC830" s="673"/>
      <c r="AD830" s="673"/>
      <c r="AE830" s="673"/>
      <c r="AF830" s="673"/>
      <c r="AG830" s="673"/>
      <c r="AH830" s="673"/>
      <c r="AI830" s="673"/>
      <c r="AJ830" s="673"/>
      <c r="AK830" s="673"/>
      <c r="AL830" s="673"/>
      <c r="AM830" s="673"/>
      <c r="AN830" s="673"/>
      <c r="AO830" s="673"/>
      <c r="AP830" s="673"/>
      <c r="AQ830" s="673"/>
      <c r="AR830" s="673"/>
      <c r="AS830" s="673"/>
    </row>
    <row r="831">
      <c r="A831" s="653"/>
      <c r="B831" s="654"/>
      <c r="C831" s="655"/>
      <c r="D831" s="656"/>
      <c r="E831" s="657"/>
      <c r="F831" s="658"/>
      <c r="G831" s="659"/>
      <c r="H831" s="660"/>
      <c r="I831" s="659"/>
      <c r="J831" s="661"/>
      <c r="K831" s="658"/>
      <c r="L831" s="662"/>
      <c r="M831" s="663"/>
      <c r="N831" s="664"/>
      <c r="O831" s="665"/>
      <c r="P831" s="666"/>
      <c r="Q831" s="667"/>
      <c r="R831" s="668"/>
      <c r="S831" s="665"/>
      <c r="T831" s="669"/>
      <c r="U831" s="669"/>
      <c r="V831" s="665"/>
      <c r="W831" s="670"/>
      <c r="X831" s="670"/>
      <c r="Y831" s="671"/>
      <c r="Z831" s="671"/>
      <c r="AA831" s="672"/>
      <c r="AB831" s="673"/>
      <c r="AC831" s="673"/>
      <c r="AD831" s="673"/>
      <c r="AE831" s="673"/>
      <c r="AF831" s="673"/>
      <c r="AG831" s="673"/>
      <c r="AH831" s="673"/>
      <c r="AI831" s="673"/>
      <c r="AJ831" s="673"/>
      <c r="AK831" s="673"/>
      <c r="AL831" s="673"/>
      <c r="AM831" s="673"/>
      <c r="AN831" s="673"/>
      <c r="AO831" s="673"/>
      <c r="AP831" s="673"/>
      <c r="AQ831" s="673"/>
      <c r="AR831" s="673"/>
      <c r="AS831" s="673"/>
    </row>
    <row r="832">
      <c r="A832" s="653"/>
      <c r="B832" s="654"/>
      <c r="C832" s="655"/>
      <c r="D832" s="656"/>
      <c r="E832" s="657"/>
      <c r="F832" s="658"/>
      <c r="G832" s="659"/>
      <c r="H832" s="660"/>
      <c r="I832" s="659"/>
      <c r="J832" s="661"/>
      <c r="K832" s="658"/>
      <c r="L832" s="662"/>
      <c r="M832" s="663"/>
      <c r="N832" s="664"/>
      <c r="O832" s="665"/>
      <c r="P832" s="666"/>
      <c r="Q832" s="667"/>
      <c r="R832" s="668"/>
      <c r="S832" s="665"/>
      <c r="T832" s="669"/>
      <c r="U832" s="669"/>
      <c r="V832" s="665"/>
      <c r="W832" s="670"/>
      <c r="X832" s="670"/>
      <c r="Y832" s="671"/>
      <c r="Z832" s="671"/>
      <c r="AA832" s="672"/>
      <c r="AB832" s="673"/>
      <c r="AC832" s="673"/>
      <c r="AD832" s="673"/>
      <c r="AE832" s="673"/>
      <c r="AF832" s="673"/>
      <c r="AG832" s="673"/>
      <c r="AH832" s="673"/>
      <c r="AI832" s="673"/>
      <c r="AJ832" s="673"/>
      <c r="AK832" s="673"/>
      <c r="AL832" s="673"/>
      <c r="AM832" s="673"/>
      <c r="AN832" s="673"/>
      <c r="AO832" s="673"/>
      <c r="AP832" s="673"/>
      <c r="AQ832" s="673"/>
      <c r="AR832" s="673"/>
      <c r="AS832" s="673"/>
    </row>
    <row r="833">
      <c r="A833" s="653"/>
      <c r="B833" s="654"/>
      <c r="C833" s="655"/>
      <c r="D833" s="656"/>
      <c r="E833" s="657"/>
      <c r="F833" s="658"/>
      <c r="G833" s="659"/>
      <c r="H833" s="660"/>
      <c r="I833" s="659"/>
      <c r="J833" s="661"/>
      <c r="K833" s="658"/>
      <c r="L833" s="662"/>
      <c r="M833" s="663"/>
      <c r="N833" s="664"/>
      <c r="O833" s="665"/>
      <c r="P833" s="666"/>
      <c r="Q833" s="667"/>
      <c r="R833" s="668"/>
      <c r="S833" s="665"/>
      <c r="T833" s="669"/>
      <c r="U833" s="669"/>
      <c r="V833" s="665"/>
      <c r="W833" s="670"/>
      <c r="X833" s="670"/>
      <c r="Y833" s="671"/>
      <c r="Z833" s="671"/>
      <c r="AA833" s="672"/>
      <c r="AB833" s="673"/>
      <c r="AC833" s="673"/>
      <c r="AD833" s="673"/>
      <c r="AE833" s="673"/>
      <c r="AF833" s="673"/>
      <c r="AG833" s="673"/>
      <c r="AH833" s="673"/>
      <c r="AI833" s="673"/>
      <c r="AJ833" s="673"/>
      <c r="AK833" s="673"/>
      <c r="AL833" s="673"/>
      <c r="AM833" s="673"/>
      <c r="AN833" s="673"/>
      <c r="AO833" s="673"/>
      <c r="AP833" s="673"/>
      <c r="AQ833" s="673"/>
      <c r="AR833" s="673"/>
      <c r="AS833" s="673"/>
    </row>
    <row r="834">
      <c r="A834" s="653"/>
      <c r="B834" s="654"/>
      <c r="C834" s="655"/>
      <c r="D834" s="656"/>
      <c r="E834" s="657"/>
      <c r="F834" s="658"/>
      <c r="G834" s="659"/>
      <c r="H834" s="660"/>
      <c r="I834" s="659"/>
      <c r="J834" s="661"/>
      <c r="K834" s="658"/>
      <c r="L834" s="662"/>
      <c r="M834" s="663"/>
      <c r="N834" s="664"/>
      <c r="O834" s="665"/>
      <c r="P834" s="666"/>
      <c r="Q834" s="667"/>
      <c r="R834" s="668"/>
      <c r="S834" s="665"/>
      <c r="T834" s="669"/>
      <c r="U834" s="669"/>
      <c r="V834" s="665"/>
      <c r="W834" s="670"/>
      <c r="X834" s="670"/>
      <c r="Y834" s="671"/>
      <c r="Z834" s="671"/>
      <c r="AA834" s="672"/>
      <c r="AB834" s="673"/>
      <c r="AC834" s="673"/>
      <c r="AD834" s="673"/>
      <c r="AE834" s="673"/>
      <c r="AF834" s="673"/>
      <c r="AG834" s="673"/>
      <c r="AH834" s="673"/>
      <c r="AI834" s="673"/>
      <c r="AJ834" s="673"/>
      <c r="AK834" s="673"/>
      <c r="AL834" s="673"/>
      <c r="AM834" s="673"/>
      <c r="AN834" s="673"/>
      <c r="AO834" s="673"/>
      <c r="AP834" s="673"/>
      <c r="AQ834" s="673"/>
      <c r="AR834" s="673"/>
      <c r="AS834" s="673"/>
    </row>
    <row r="835">
      <c r="A835" s="653"/>
      <c r="B835" s="654"/>
      <c r="C835" s="655"/>
      <c r="D835" s="656"/>
      <c r="E835" s="657"/>
      <c r="F835" s="658"/>
      <c r="G835" s="659"/>
      <c r="H835" s="660"/>
      <c r="I835" s="659"/>
      <c r="J835" s="661"/>
      <c r="K835" s="658"/>
      <c r="L835" s="662"/>
      <c r="M835" s="663"/>
      <c r="N835" s="664"/>
      <c r="O835" s="665"/>
      <c r="P835" s="666"/>
      <c r="Q835" s="667"/>
      <c r="R835" s="668"/>
      <c r="S835" s="665"/>
      <c r="T835" s="669"/>
      <c r="U835" s="669"/>
      <c r="V835" s="665"/>
      <c r="W835" s="670"/>
      <c r="X835" s="670"/>
      <c r="Y835" s="671"/>
      <c r="Z835" s="671"/>
      <c r="AA835" s="672"/>
      <c r="AB835" s="673"/>
      <c r="AC835" s="673"/>
      <c r="AD835" s="673"/>
      <c r="AE835" s="673"/>
      <c r="AF835" s="673"/>
      <c r="AG835" s="673"/>
      <c r="AH835" s="673"/>
      <c r="AI835" s="673"/>
      <c r="AJ835" s="673"/>
      <c r="AK835" s="673"/>
      <c r="AL835" s="673"/>
      <c r="AM835" s="673"/>
      <c r="AN835" s="673"/>
      <c r="AO835" s="673"/>
      <c r="AP835" s="673"/>
      <c r="AQ835" s="673"/>
      <c r="AR835" s="673"/>
      <c r="AS835" s="673"/>
    </row>
    <row r="836">
      <c r="A836" s="653"/>
      <c r="B836" s="654"/>
      <c r="C836" s="655"/>
      <c r="D836" s="656"/>
      <c r="E836" s="657"/>
      <c r="F836" s="658"/>
      <c r="G836" s="659"/>
      <c r="H836" s="660"/>
      <c r="I836" s="659"/>
      <c r="J836" s="661"/>
      <c r="K836" s="658"/>
      <c r="L836" s="662"/>
      <c r="M836" s="663"/>
      <c r="N836" s="664"/>
      <c r="O836" s="665"/>
      <c r="P836" s="666"/>
      <c r="Q836" s="667"/>
      <c r="R836" s="668"/>
      <c r="S836" s="665"/>
      <c r="T836" s="669"/>
      <c r="U836" s="669"/>
      <c r="V836" s="665"/>
      <c r="W836" s="670"/>
      <c r="X836" s="670"/>
      <c r="Y836" s="671"/>
      <c r="Z836" s="671"/>
      <c r="AA836" s="672"/>
      <c r="AB836" s="673"/>
      <c r="AC836" s="673"/>
      <c r="AD836" s="673"/>
      <c r="AE836" s="673"/>
      <c r="AF836" s="673"/>
      <c r="AG836" s="673"/>
      <c r="AH836" s="673"/>
      <c r="AI836" s="673"/>
      <c r="AJ836" s="673"/>
      <c r="AK836" s="673"/>
      <c r="AL836" s="673"/>
      <c r="AM836" s="673"/>
      <c r="AN836" s="673"/>
      <c r="AO836" s="673"/>
      <c r="AP836" s="673"/>
      <c r="AQ836" s="673"/>
      <c r="AR836" s="673"/>
      <c r="AS836" s="673"/>
    </row>
    <row r="837">
      <c r="A837" s="653"/>
      <c r="B837" s="654"/>
      <c r="C837" s="655"/>
      <c r="D837" s="656"/>
      <c r="E837" s="657"/>
      <c r="F837" s="658"/>
      <c r="G837" s="659"/>
      <c r="H837" s="660"/>
      <c r="I837" s="659"/>
      <c r="J837" s="661"/>
      <c r="K837" s="658"/>
      <c r="L837" s="662"/>
      <c r="M837" s="663"/>
      <c r="N837" s="664"/>
      <c r="O837" s="665"/>
      <c r="P837" s="666"/>
      <c r="Q837" s="667"/>
      <c r="R837" s="668"/>
      <c r="S837" s="665"/>
      <c r="T837" s="669"/>
      <c r="U837" s="669"/>
      <c r="V837" s="665"/>
      <c r="W837" s="670"/>
      <c r="X837" s="670"/>
      <c r="Y837" s="671"/>
      <c r="Z837" s="671"/>
      <c r="AA837" s="672"/>
      <c r="AB837" s="673"/>
      <c r="AC837" s="673"/>
      <c r="AD837" s="673"/>
      <c r="AE837" s="673"/>
      <c r="AF837" s="673"/>
      <c r="AG837" s="673"/>
      <c r="AH837" s="673"/>
      <c r="AI837" s="673"/>
      <c r="AJ837" s="673"/>
      <c r="AK837" s="673"/>
      <c r="AL837" s="673"/>
      <c r="AM837" s="673"/>
      <c r="AN837" s="673"/>
      <c r="AO837" s="673"/>
      <c r="AP837" s="673"/>
      <c r="AQ837" s="673"/>
      <c r="AR837" s="673"/>
      <c r="AS837" s="673"/>
    </row>
    <row r="838">
      <c r="A838" s="653"/>
      <c r="B838" s="654"/>
      <c r="C838" s="655"/>
      <c r="D838" s="656"/>
      <c r="E838" s="657"/>
      <c r="F838" s="658"/>
      <c r="G838" s="659"/>
      <c r="H838" s="660"/>
      <c r="I838" s="659"/>
      <c r="J838" s="661"/>
      <c r="K838" s="658"/>
      <c r="L838" s="662"/>
      <c r="M838" s="663"/>
      <c r="N838" s="664"/>
      <c r="O838" s="665"/>
      <c r="P838" s="666"/>
      <c r="Q838" s="667"/>
      <c r="R838" s="668"/>
      <c r="S838" s="665"/>
      <c r="T838" s="669"/>
      <c r="U838" s="669"/>
      <c r="V838" s="665"/>
      <c r="W838" s="670"/>
      <c r="X838" s="670"/>
      <c r="Y838" s="671"/>
      <c r="Z838" s="671"/>
      <c r="AA838" s="672"/>
      <c r="AB838" s="673"/>
      <c r="AC838" s="673"/>
      <c r="AD838" s="673"/>
      <c r="AE838" s="673"/>
      <c r="AF838" s="673"/>
      <c r="AG838" s="673"/>
      <c r="AH838" s="673"/>
      <c r="AI838" s="673"/>
      <c r="AJ838" s="673"/>
      <c r="AK838" s="673"/>
      <c r="AL838" s="673"/>
      <c r="AM838" s="673"/>
      <c r="AN838" s="673"/>
      <c r="AO838" s="673"/>
      <c r="AP838" s="673"/>
      <c r="AQ838" s="673"/>
      <c r="AR838" s="673"/>
      <c r="AS838" s="673"/>
    </row>
    <row r="839">
      <c r="A839" s="653"/>
      <c r="B839" s="654"/>
      <c r="C839" s="655"/>
      <c r="D839" s="656"/>
      <c r="E839" s="657"/>
      <c r="F839" s="658"/>
      <c r="G839" s="659"/>
      <c r="H839" s="660"/>
      <c r="I839" s="659"/>
      <c r="J839" s="661"/>
      <c r="K839" s="658"/>
      <c r="L839" s="662"/>
      <c r="M839" s="663"/>
      <c r="N839" s="664"/>
      <c r="O839" s="665"/>
      <c r="P839" s="666"/>
      <c r="Q839" s="667"/>
      <c r="R839" s="668"/>
      <c r="S839" s="665"/>
      <c r="T839" s="669"/>
      <c r="U839" s="669"/>
      <c r="V839" s="665"/>
      <c r="W839" s="670"/>
      <c r="X839" s="670"/>
      <c r="Y839" s="671"/>
      <c r="Z839" s="671"/>
      <c r="AA839" s="672"/>
      <c r="AB839" s="673"/>
      <c r="AC839" s="673"/>
      <c r="AD839" s="673"/>
      <c r="AE839" s="673"/>
      <c r="AF839" s="673"/>
      <c r="AG839" s="673"/>
      <c r="AH839" s="673"/>
      <c r="AI839" s="673"/>
      <c r="AJ839" s="673"/>
      <c r="AK839" s="673"/>
      <c r="AL839" s="673"/>
      <c r="AM839" s="673"/>
      <c r="AN839" s="673"/>
      <c r="AO839" s="673"/>
      <c r="AP839" s="673"/>
      <c r="AQ839" s="673"/>
      <c r="AR839" s="673"/>
      <c r="AS839" s="673"/>
    </row>
    <row r="840">
      <c r="A840" s="653"/>
      <c r="B840" s="654"/>
      <c r="C840" s="655"/>
      <c r="D840" s="656"/>
      <c r="E840" s="657"/>
      <c r="F840" s="658"/>
      <c r="G840" s="659"/>
      <c r="H840" s="660"/>
      <c r="I840" s="659"/>
      <c r="J840" s="661"/>
      <c r="K840" s="658"/>
      <c r="L840" s="662"/>
      <c r="M840" s="663"/>
      <c r="N840" s="664"/>
      <c r="O840" s="665"/>
      <c r="P840" s="666"/>
      <c r="Q840" s="667"/>
      <c r="R840" s="668"/>
      <c r="S840" s="665"/>
      <c r="T840" s="669"/>
      <c r="U840" s="669"/>
      <c r="V840" s="665"/>
      <c r="W840" s="670"/>
      <c r="X840" s="670"/>
      <c r="Y840" s="671"/>
      <c r="Z840" s="671"/>
      <c r="AA840" s="672"/>
      <c r="AB840" s="673"/>
      <c r="AC840" s="673"/>
      <c r="AD840" s="673"/>
      <c r="AE840" s="673"/>
      <c r="AF840" s="673"/>
      <c r="AG840" s="673"/>
      <c r="AH840" s="673"/>
      <c r="AI840" s="673"/>
      <c r="AJ840" s="673"/>
      <c r="AK840" s="673"/>
      <c r="AL840" s="673"/>
      <c r="AM840" s="673"/>
      <c r="AN840" s="673"/>
      <c r="AO840" s="673"/>
      <c r="AP840" s="673"/>
      <c r="AQ840" s="673"/>
      <c r="AR840" s="673"/>
      <c r="AS840" s="673"/>
    </row>
    <row r="841">
      <c r="A841" s="653"/>
      <c r="B841" s="654"/>
      <c r="C841" s="655"/>
      <c r="D841" s="656"/>
      <c r="E841" s="657"/>
      <c r="F841" s="658"/>
      <c r="G841" s="659"/>
      <c r="H841" s="660"/>
      <c r="I841" s="659"/>
      <c r="J841" s="661"/>
      <c r="K841" s="658"/>
      <c r="L841" s="662"/>
      <c r="M841" s="663"/>
      <c r="N841" s="664"/>
      <c r="O841" s="665"/>
      <c r="P841" s="666"/>
      <c r="Q841" s="667"/>
      <c r="R841" s="668"/>
      <c r="S841" s="665"/>
      <c r="T841" s="669"/>
      <c r="U841" s="669"/>
      <c r="V841" s="665"/>
      <c r="W841" s="670"/>
      <c r="X841" s="670"/>
      <c r="Y841" s="671"/>
      <c r="Z841" s="671"/>
      <c r="AA841" s="672"/>
      <c r="AB841" s="673"/>
      <c r="AC841" s="673"/>
      <c r="AD841" s="673"/>
      <c r="AE841" s="673"/>
      <c r="AF841" s="673"/>
      <c r="AG841" s="673"/>
      <c r="AH841" s="673"/>
      <c r="AI841" s="673"/>
      <c r="AJ841" s="673"/>
      <c r="AK841" s="673"/>
      <c r="AL841" s="673"/>
      <c r="AM841" s="673"/>
      <c r="AN841" s="673"/>
      <c r="AO841" s="673"/>
      <c r="AP841" s="673"/>
      <c r="AQ841" s="673"/>
      <c r="AR841" s="673"/>
      <c r="AS841" s="673"/>
    </row>
    <row r="842">
      <c r="A842" s="653"/>
      <c r="B842" s="654"/>
      <c r="C842" s="655"/>
      <c r="D842" s="656"/>
      <c r="E842" s="657"/>
      <c r="F842" s="658"/>
      <c r="G842" s="659"/>
      <c r="H842" s="660"/>
      <c r="I842" s="659"/>
      <c r="J842" s="661"/>
      <c r="K842" s="658"/>
      <c r="L842" s="662"/>
      <c r="M842" s="663"/>
      <c r="N842" s="664"/>
      <c r="O842" s="665"/>
      <c r="P842" s="666"/>
      <c r="Q842" s="667"/>
      <c r="R842" s="668"/>
      <c r="S842" s="665"/>
      <c r="T842" s="669"/>
      <c r="U842" s="669"/>
      <c r="V842" s="665"/>
      <c r="W842" s="670"/>
      <c r="X842" s="670"/>
      <c r="Y842" s="671"/>
      <c r="Z842" s="671"/>
      <c r="AA842" s="672"/>
      <c r="AB842" s="673"/>
      <c r="AC842" s="673"/>
      <c r="AD842" s="673"/>
      <c r="AE842" s="673"/>
      <c r="AF842" s="673"/>
      <c r="AG842" s="673"/>
      <c r="AH842" s="673"/>
      <c r="AI842" s="673"/>
      <c r="AJ842" s="673"/>
      <c r="AK842" s="673"/>
      <c r="AL842" s="673"/>
      <c r="AM842" s="673"/>
      <c r="AN842" s="673"/>
      <c r="AO842" s="673"/>
      <c r="AP842" s="673"/>
      <c r="AQ842" s="673"/>
      <c r="AR842" s="673"/>
      <c r="AS842" s="673"/>
    </row>
    <row r="843">
      <c r="A843" s="653"/>
      <c r="B843" s="654"/>
      <c r="C843" s="655"/>
      <c r="D843" s="656"/>
      <c r="E843" s="657"/>
      <c r="F843" s="658"/>
      <c r="G843" s="659"/>
      <c r="H843" s="660"/>
      <c r="I843" s="659"/>
      <c r="J843" s="661"/>
      <c r="K843" s="658"/>
      <c r="L843" s="662"/>
      <c r="M843" s="663"/>
      <c r="N843" s="664"/>
      <c r="O843" s="665"/>
      <c r="P843" s="666"/>
      <c r="Q843" s="667"/>
      <c r="R843" s="668"/>
      <c r="S843" s="665"/>
      <c r="T843" s="669"/>
      <c r="U843" s="669"/>
      <c r="V843" s="665"/>
      <c r="W843" s="670"/>
      <c r="X843" s="670"/>
      <c r="Y843" s="671"/>
      <c r="Z843" s="671"/>
      <c r="AA843" s="672"/>
      <c r="AB843" s="673"/>
      <c r="AC843" s="673"/>
      <c r="AD843" s="673"/>
      <c r="AE843" s="673"/>
      <c r="AF843" s="673"/>
      <c r="AG843" s="673"/>
      <c r="AH843" s="673"/>
      <c r="AI843" s="673"/>
      <c r="AJ843" s="673"/>
      <c r="AK843" s="673"/>
      <c r="AL843" s="673"/>
      <c r="AM843" s="673"/>
      <c r="AN843" s="673"/>
      <c r="AO843" s="673"/>
      <c r="AP843" s="673"/>
      <c r="AQ843" s="673"/>
      <c r="AR843" s="673"/>
      <c r="AS843" s="673"/>
    </row>
    <row r="844">
      <c r="A844" s="653"/>
      <c r="B844" s="654"/>
      <c r="C844" s="655"/>
      <c r="D844" s="656"/>
      <c r="E844" s="657"/>
      <c r="F844" s="658"/>
      <c r="G844" s="659"/>
      <c r="H844" s="660"/>
      <c r="I844" s="659"/>
      <c r="J844" s="661"/>
      <c r="K844" s="658"/>
      <c r="L844" s="662"/>
      <c r="M844" s="663"/>
      <c r="N844" s="664"/>
      <c r="O844" s="665"/>
      <c r="P844" s="666"/>
      <c r="Q844" s="667"/>
      <c r="R844" s="668"/>
      <c r="S844" s="665"/>
      <c r="T844" s="669"/>
      <c r="U844" s="669"/>
      <c r="V844" s="665"/>
      <c r="W844" s="670"/>
      <c r="X844" s="670"/>
      <c r="Y844" s="671"/>
      <c r="Z844" s="671"/>
      <c r="AA844" s="672"/>
      <c r="AB844" s="673"/>
      <c r="AC844" s="673"/>
      <c r="AD844" s="673"/>
      <c r="AE844" s="673"/>
      <c r="AF844" s="673"/>
      <c r="AG844" s="673"/>
      <c r="AH844" s="673"/>
      <c r="AI844" s="673"/>
      <c r="AJ844" s="673"/>
      <c r="AK844" s="673"/>
      <c r="AL844" s="673"/>
      <c r="AM844" s="673"/>
      <c r="AN844" s="673"/>
      <c r="AO844" s="673"/>
      <c r="AP844" s="673"/>
      <c r="AQ844" s="673"/>
      <c r="AR844" s="673"/>
      <c r="AS844" s="673"/>
    </row>
    <row r="845">
      <c r="A845" s="653"/>
      <c r="B845" s="654"/>
      <c r="C845" s="655"/>
      <c r="D845" s="656"/>
      <c r="E845" s="657"/>
      <c r="F845" s="658"/>
      <c r="G845" s="659"/>
      <c r="H845" s="660"/>
      <c r="I845" s="659"/>
      <c r="J845" s="661"/>
      <c r="K845" s="658"/>
      <c r="L845" s="662"/>
      <c r="M845" s="663"/>
      <c r="N845" s="664"/>
      <c r="O845" s="665"/>
      <c r="P845" s="666"/>
      <c r="Q845" s="667"/>
      <c r="R845" s="668"/>
      <c r="S845" s="665"/>
      <c r="T845" s="669"/>
      <c r="U845" s="669"/>
      <c r="V845" s="665"/>
      <c r="W845" s="670"/>
      <c r="X845" s="670"/>
      <c r="Y845" s="671"/>
      <c r="Z845" s="671"/>
      <c r="AA845" s="672"/>
      <c r="AB845" s="673"/>
      <c r="AC845" s="673"/>
      <c r="AD845" s="673"/>
      <c r="AE845" s="673"/>
      <c r="AF845" s="673"/>
      <c r="AG845" s="673"/>
      <c r="AH845" s="673"/>
      <c r="AI845" s="673"/>
      <c r="AJ845" s="673"/>
      <c r="AK845" s="673"/>
      <c r="AL845" s="673"/>
      <c r="AM845" s="673"/>
      <c r="AN845" s="673"/>
      <c r="AO845" s="673"/>
      <c r="AP845" s="673"/>
      <c r="AQ845" s="673"/>
      <c r="AR845" s="673"/>
      <c r="AS845" s="673"/>
    </row>
    <row r="846">
      <c r="A846" s="653"/>
      <c r="B846" s="654"/>
      <c r="C846" s="655"/>
      <c r="D846" s="656"/>
      <c r="E846" s="657"/>
      <c r="F846" s="658"/>
      <c r="G846" s="659"/>
      <c r="H846" s="660"/>
      <c r="I846" s="659"/>
      <c r="J846" s="661"/>
      <c r="K846" s="658"/>
      <c r="L846" s="662"/>
      <c r="M846" s="663"/>
      <c r="N846" s="664"/>
      <c r="O846" s="665"/>
      <c r="P846" s="666"/>
      <c r="Q846" s="667"/>
      <c r="R846" s="668"/>
      <c r="S846" s="665"/>
      <c r="T846" s="669"/>
      <c r="U846" s="669"/>
      <c r="V846" s="665"/>
      <c r="W846" s="670"/>
      <c r="X846" s="670"/>
      <c r="Y846" s="671"/>
      <c r="Z846" s="671"/>
      <c r="AA846" s="672"/>
      <c r="AB846" s="673"/>
      <c r="AC846" s="673"/>
      <c r="AD846" s="673"/>
      <c r="AE846" s="673"/>
      <c r="AF846" s="673"/>
      <c r="AG846" s="673"/>
      <c r="AH846" s="673"/>
      <c r="AI846" s="673"/>
      <c r="AJ846" s="673"/>
      <c r="AK846" s="673"/>
      <c r="AL846" s="673"/>
      <c r="AM846" s="673"/>
      <c r="AN846" s="673"/>
      <c r="AO846" s="673"/>
      <c r="AP846" s="673"/>
      <c r="AQ846" s="673"/>
      <c r="AR846" s="673"/>
      <c r="AS846" s="673"/>
    </row>
    <row r="847">
      <c r="A847" s="653"/>
      <c r="B847" s="654"/>
      <c r="C847" s="655"/>
      <c r="D847" s="656"/>
      <c r="E847" s="657"/>
      <c r="F847" s="658"/>
      <c r="G847" s="659"/>
      <c r="H847" s="660"/>
      <c r="I847" s="659"/>
      <c r="J847" s="661"/>
      <c r="K847" s="658"/>
      <c r="L847" s="662"/>
      <c r="M847" s="663"/>
      <c r="N847" s="664"/>
      <c r="O847" s="665"/>
      <c r="P847" s="666"/>
      <c r="Q847" s="667"/>
      <c r="R847" s="668"/>
      <c r="S847" s="665"/>
      <c r="T847" s="669"/>
      <c r="U847" s="669"/>
      <c r="V847" s="665"/>
      <c r="W847" s="670"/>
      <c r="X847" s="670"/>
      <c r="Y847" s="671"/>
      <c r="Z847" s="671"/>
      <c r="AA847" s="672"/>
      <c r="AB847" s="673"/>
      <c r="AC847" s="673"/>
      <c r="AD847" s="673"/>
      <c r="AE847" s="673"/>
      <c r="AF847" s="673"/>
      <c r="AG847" s="673"/>
      <c r="AH847" s="673"/>
      <c r="AI847" s="673"/>
      <c r="AJ847" s="673"/>
      <c r="AK847" s="673"/>
      <c r="AL847" s="673"/>
      <c r="AM847" s="673"/>
      <c r="AN847" s="673"/>
      <c r="AO847" s="673"/>
      <c r="AP847" s="673"/>
      <c r="AQ847" s="673"/>
      <c r="AR847" s="673"/>
      <c r="AS847" s="673"/>
    </row>
    <row r="848">
      <c r="A848" s="653"/>
      <c r="B848" s="654"/>
      <c r="C848" s="655"/>
      <c r="D848" s="656"/>
      <c r="E848" s="657"/>
      <c r="F848" s="658"/>
      <c r="G848" s="659"/>
      <c r="H848" s="660"/>
      <c r="I848" s="659"/>
      <c r="J848" s="661"/>
      <c r="K848" s="658"/>
      <c r="L848" s="662"/>
      <c r="M848" s="663"/>
      <c r="N848" s="664"/>
      <c r="O848" s="665"/>
      <c r="P848" s="666"/>
      <c r="Q848" s="667"/>
      <c r="R848" s="668"/>
      <c r="S848" s="665"/>
      <c r="T848" s="669"/>
      <c r="U848" s="669"/>
      <c r="V848" s="665"/>
      <c r="W848" s="670"/>
      <c r="X848" s="670"/>
      <c r="Y848" s="671"/>
      <c r="Z848" s="671"/>
      <c r="AA848" s="672"/>
      <c r="AB848" s="673"/>
      <c r="AC848" s="673"/>
      <c r="AD848" s="673"/>
      <c r="AE848" s="673"/>
      <c r="AF848" s="673"/>
      <c r="AG848" s="673"/>
      <c r="AH848" s="673"/>
      <c r="AI848" s="673"/>
      <c r="AJ848" s="673"/>
      <c r="AK848" s="673"/>
      <c r="AL848" s="673"/>
      <c r="AM848" s="673"/>
      <c r="AN848" s="673"/>
      <c r="AO848" s="673"/>
      <c r="AP848" s="673"/>
      <c r="AQ848" s="673"/>
      <c r="AR848" s="673"/>
      <c r="AS848" s="673"/>
    </row>
    <row r="849">
      <c r="A849" s="653"/>
      <c r="B849" s="654"/>
      <c r="C849" s="655"/>
      <c r="D849" s="656"/>
      <c r="E849" s="657"/>
      <c r="F849" s="658"/>
      <c r="G849" s="659"/>
      <c r="H849" s="660"/>
      <c r="I849" s="659"/>
      <c r="J849" s="661"/>
      <c r="K849" s="658"/>
      <c r="L849" s="662"/>
      <c r="M849" s="663"/>
      <c r="N849" s="664"/>
      <c r="O849" s="665"/>
      <c r="P849" s="666"/>
      <c r="Q849" s="667"/>
      <c r="R849" s="668"/>
      <c r="S849" s="665"/>
      <c r="T849" s="669"/>
      <c r="U849" s="669"/>
      <c r="V849" s="665"/>
      <c r="W849" s="670"/>
      <c r="X849" s="670"/>
      <c r="Y849" s="671"/>
      <c r="Z849" s="671"/>
      <c r="AA849" s="672"/>
      <c r="AB849" s="673"/>
      <c r="AC849" s="673"/>
      <c r="AD849" s="673"/>
      <c r="AE849" s="673"/>
      <c r="AF849" s="673"/>
      <c r="AG849" s="673"/>
      <c r="AH849" s="673"/>
      <c r="AI849" s="673"/>
      <c r="AJ849" s="673"/>
      <c r="AK849" s="673"/>
      <c r="AL849" s="673"/>
      <c r="AM849" s="673"/>
      <c r="AN849" s="673"/>
      <c r="AO849" s="673"/>
      <c r="AP849" s="673"/>
      <c r="AQ849" s="673"/>
      <c r="AR849" s="673"/>
      <c r="AS849" s="673"/>
    </row>
    <row r="850">
      <c r="A850" s="653"/>
      <c r="B850" s="654"/>
      <c r="C850" s="655"/>
      <c r="D850" s="656"/>
      <c r="E850" s="657"/>
      <c r="F850" s="658"/>
      <c r="G850" s="659"/>
      <c r="H850" s="660"/>
      <c r="I850" s="659"/>
      <c r="J850" s="661"/>
      <c r="K850" s="658"/>
      <c r="L850" s="662"/>
      <c r="M850" s="663"/>
      <c r="N850" s="664"/>
      <c r="O850" s="665"/>
      <c r="P850" s="666"/>
      <c r="Q850" s="667"/>
      <c r="R850" s="668"/>
      <c r="S850" s="665"/>
      <c r="T850" s="669"/>
      <c r="U850" s="669"/>
      <c r="V850" s="665"/>
      <c r="W850" s="670"/>
      <c r="X850" s="670"/>
      <c r="Y850" s="671"/>
      <c r="Z850" s="671"/>
      <c r="AA850" s="672"/>
      <c r="AB850" s="673"/>
      <c r="AC850" s="673"/>
      <c r="AD850" s="673"/>
      <c r="AE850" s="673"/>
      <c r="AF850" s="673"/>
      <c r="AG850" s="673"/>
      <c r="AH850" s="673"/>
      <c r="AI850" s="673"/>
      <c r="AJ850" s="673"/>
      <c r="AK850" s="673"/>
      <c r="AL850" s="673"/>
      <c r="AM850" s="673"/>
      <c r="AN850" s="673"/>
      <c r="AO850" s="673"/>
      <c r="AP850" s="673"/>
      <c r="AQ850" s="673"/>
      <c r="AR850" s="673"/>
      <c r="AS850" s="673"/>
    </row>
    <row r="851">
      <c r="A851" s="653"/>
      <c r="B851" s="654"/>
      <c r="C851" s="655"/>
      <c r="D851" s="656"/>
      <c r="E851" s="657"/>
      <c r="F851" s="658"/>
      <c r="G851" s="659"/>
      <c r="H851" s="660"/>
      <c r="I851" s="659"/>
      <c r="J851" s="661"/>
      <c r="K851" s="658"/>
      <c r="L851" s="662"/>
      <c r="M851" s="663"/>
      <c r="N851" s="664"/>
      <c r="O851" s="665"/>
      <c r="P851" s="666"/>
      <c r="Q851" s="667"/>
      <c r="R851" s="668"/>
      <c r="S851" s="665"/>
      <c r="T851" s="669"/>
      <c r="U851" s="669"/>
      <c r="V851" s="665"/>
      <c r="W851" s="670"/>
      <c r="X851" s="670"/>
      <c r="Y851" s="671"/>
      <c r="Z851" s="671"/>
      <c r="AA851" s="672"/>
      <c r="AB851" s="673"/>
      <c r="AC851" s="673"/>
      <c r="AD851" s="673"/>
      <c r="AE851" s="673"/>
      <c r="AF851" s="673"/>
      <c r="AG851" s="673"/>
      <c r="AH851" s="673"/>
      <c r="AI851" s="673"/>
      <c r="AJ851" s="673"/>
      <c r="AK851" s="673"/>
      <c r="AL851" s="673"/>
      <c r="AM851" s="673"/>
      <c r="AN851" s="673"/>
      <c r="AO851" s="673"/>
      <c r="AP851" s="673"/>
      <c r="AQ851" s="673"/>
      <c r="AR851" s="673"/>
      <c r="AS851" s="673"/>
    </row>
    <row r="852">
      <c r="A852" s="653"/>
      <c r="B852" s="654"/>
      <c r="C852" s="655"/>
      <c r="D852" s="656"/>
      <c r="E852" s="657"/>
      <c r="F852" s="658"/>
      <c r="G852" s="659"/>
      <c r="H852" s="660"/>
      <c r="I852" s="659"/>
      <c r="J852" s="661"/>
      <c r="K852" s="658"/>
      <c r="L852" s="662"/>
      <c r="M852" s="663"/>
      <c r="N852" s="664"/>
      <c r="O852" s="665"/>
      <c r="P852" s="666"/>
      <c r="Q852" s="667"/>
      <c r="R852" s="668"/>
      <c r="S852" s="665"/>
      <c r="T852" s="669"/>
      <c r="U852" s="669"/>
      <c r="V852" s="665"/>
      <c r="W852" s="670"/>
      <c r="X852" s="670"/>
      <c r="Y852" s="671"/>
      <c r="Z852" s="671"/>
      <c r="AA852" s="672"/>
      <c r="AB852" s="673"/>
      <c r="AC852" s="673"/>
      <c r="AD852" s="673"/>
      <c r="AE852" s="673"/>
      <c r="AF852" s="673"/>
      <c r="AG852" s="673"/>
      <c r="AH852" s="673"/>
      <c r="AI852" s="673"/>
      <c r="AJ852" s="673"/>
      <c r="AK852" s="673"/>
      <c r="AL852" s="673"/>
      <c r="AM852" s="673"/>
      <c r="AN852" s="673"/>
      <c r="AO852" s="673"/>
      <c r="AP852" s="673"/>
      <c r="AQ852" s="673"/>
      <c r="AR852" s="673"/>
      <c r="AS852" s="673"/>
    </row>
    <row r="853">
      <c r="A853" s="653"/>
      <c r="B853" s="654"/>
      <c r="C853" s="655"/>
      <c r="D853" s="656"/>
      <c r="E853" s="657"/>
      <c r="F853" s="658"/>
      <c r="G853" s="659"/>
      <c r="H853" s="660"/>
      <c r="I853" s="659"/>
      <c r="J853" s="661"/>
      <c r="K853" s="658"/>
      <c r="L853" s="662"/>
      <c r="M853" s="663"/>
      <c r="N853" s="664"/>
      <c r="O853" s="665"/>
      <c r="P853" s="666"/>
      <c r="Q853" s="667"/>
      <c r="R853" s="668"/>
      <c r="S853" s="665"/>
      <c r="T853" s="669"/>
      <c r="U853" s="669"/>
      <c r="V853" s="665"/>
      <c r="W853" s="670"/>
      <c r="X853" s="670"/>
      <c r="Y853" s="671"/>
      <c r="Z853" s="671"/>
      <c r="AA853" s="672"/>
      <c r="AB853" s="673"/>
      <c r="AC853" s="673"/>
      <c r="AD853" s="673"/>
      <c r="AE853" s="673"/>
      <c r="AF853" s="673"/>
      <c r="AG853" s="673"/>
      <c r="AH853" s="673"/>
      <c r="AI853" s="673"/>
      <c r="AJ853" s="673"/>
      <c r="AK853" s="673"/>
      <c r="AL853" s="673"/>
      <c r="AM853" s="673"/>
      <c r="AN853" s="673"/>
      <c r="AO853" s="673"/>
      <c r="AP853" s="673"/>
      <c r="AQ853" s="673"/>
      <c r="AR853" s="673"/>
      <c r="AS853" s="673"/>
    </row>
    <row r="854">
      <c r="A854" s="653"/>
      <c r="B854" s="654"/>
      <c r="C854" s="655"/>
      <c r="D854" s="656"/>
      <c r="E854" s="657"/>
      <c r="F854" s="658"/>
      <c r="G854" s="659"/>
      <c r="H854" s="660"/>
      <c r="I854" s="659"/>
      <c r="J854" s="661"/>
      <c r="K854" s="658"/>
      <c r="L854" s="662"/>
      <c r="M854" s="663"/>
      <c r="N854" s="664"/>
      <c r="O854" s="665"/>
      <c r="P854" s="666"/>
      <c r="Q854" s="667"/>
      <c r="R854" s="668"/>
      <c r="S854" s="665"/>
      <c r="T854" s="669"/>
      <c r="U854" s="669"/>
      <c r="V854" s="665"/>
      <c r="W854" s="670"/>
      <c r="X854" s="670"/>
      <c r="Y854" s="671"/>
      <c r="Z854" s="671"/>
      <c r="AA854" s="672"/>
      <c r="AB854" s="673"/>
      <c r="AC854" s="673"/>
      <c r="AD854" s="673"/>
      <c r="AE854" s="673"/>
      <c r="AF854" s="673"/>
      <c r="AG854" s="673"/>
      <c r="AH854" s="673"/>
      <c r="AI854" s="673"/>
      <c r="AJ854" s="673"/>
      <c r="AK854" s="673"/>
      <c r="AL854" s="673"/>
      <c r="AM854" s="673"/>
      <c r="AN854" s="673"/>
      <c r="AO854" s="673"/>
      <c r="AP854" s="673"/>
      <c r="AQ854" s="673"/>
      <c r="AR854" s="673"/>
      <c r="AS854" s="673"/>
    </row>
    <row r="855">
      <c r="A855" s="653"/>
      <c r="B855" s="654"/>
      <c r="C855" s="655"/>
      <c r="D855" s="656"/>
      <c r="E855" s="657"/>
      <c r="F855" s="658"/>
      <c r="G855" s="659"/>
      <c r="H855" s="660"/>
      <c r="I855" s="659"/>
      <c r="J855" s="661"/>
      <c r="K855" s="658"/>
      <c r="L855" s="662"/>
      <c r="M855" s="663"/>
      <c r="N855" s="664"/>
      <c r="O855" s="665"/>
      <c r="P855" s="666"/>
      <c r="Q855" s="667"/>
      <c r="R855" s="668"/>
      <c r="S855" s="665"/>
      <c r="T855" s="669"/>
      <c r="U855" s="669"/>
      <c r="V855" s="665"/>
      <c r="W855" s="670"/>
      <c r="X855" s="670"/>
      <c r="Y855" s="671"/>
      <c r="Z855" s="671"/>
      <c r="AA855" s="672"/>
      <c r="AB855" s="673"/>
      <c r="AC855" s="673"/>
      <c r="AD855" s="673"/>
      <c r="AE855" s="673"/>
      <c r="AF855" s="673"/>
      <c r="AG855" s="673"/>
      <c r="AH855" s="673"/>
      <c r="AI855" s="673"/>
      <c r="AJ855" s="673"/>
      <c r="AK855" s="673"/>
      <c r="AL855" s="673"/>
      <c r="AM855" s="673"/>
      <c r="AN855" s="673"/>
      <c r="AO855" s="673"/>
      <c r="AP855" s="673"/>
      <c r="AQ855" s="673"/>
      <c r="AR855" s="673"/>
      <c r="AS855" s="673"/>
    </row>
    <row r="856">
      <c r="A856" s="653"/>
      <c r="B856" s="654"/>
      <c r="C856" s="655"/>
      <c r="D856" s="656"/>
      <c r="E856" s="657"/>
      <c r="F856" s="658"/>
      <c r="G856" s="659"/>
      <c r="H856" s="660"/>
      <c r="I856" s="659"/>
      <c r="J856" s="661"/>
      <c r="K856" s="658"/>
      <c r="L856" s="662"/>
      <c r="M856" s="663"/>
      <c r="N856" s="664"/>
      <c r="O856" s="665"/>
      <c r="P856" s="666"/>
      <c r="Q856" s="667"/>
      <c r="R856" s="668"/>
      <c r="S856" s="665"/>
      <c r="T856" s="669"/>
      <c r="U856" s="669"/>
      <c r="V856" s="665"/>
      <c r="W856" s="670"/>
      <c r="X856" s="670"/>
      <c r="Y856" s="671"/>
      <c r="Z856" s="671"/>
      <c r="AA856" s="672"/>
      <c r="AB856" s="673"/>
      <c r="AC856" s="673"/>
      <c r="AD856" s="673"/>
      <c r="AE856" s="673"/>
      <c r="AF856" s="673"/>
      <c r="AG856" s="673"/>
      <c r="AH856" s="673"/>
      <c r="AI856" s="673"/>
      <c r="AJ856" s="673"/>
      <c r="AK856" s="673"/>
      <c r="AL856" s="673"/>
      <c r="AM856" s="673"/>
      <c r="AN856" s="673"/>
      <c r="AO856" s="673"/>
      <c r="AP856" s="673"/>
      <c r="AQ856" s="673"/>
      <c r="AR856" s="673"/>
      <c r="AS856" s="673"/>
    </row>
    <row r="857">
      <c r="A857" s="653"/>
      <c r="B857" s="654"/>
      <c r="C857" s="655"/>
      <c r="D857" s="656"/>
      <c r="E857" s="657"/>
      <c r="F857" s="658"/>
      <c r="G857" s="659"/>
      <c r="H857" s="660"/>
      <c r="I857" s="659"/>
      <c r="J857" s="661"/>
      <c r="K857" s="658"/>
      <c r="L857" s="662"/>
      <c r="M857" s="663"/>
      <c r="N857" s="664"/>
      <c r="O857" s="665"/>
      <c r="P857" s="666"/>
      <c r="Q857" s="667"/>
      <c r="R857" s="668"/>
      <c r="S857" s="665"/>
      <c r="T857" s="669"/>
      <c r="U857" s="669"/>
      <c r="V857" s="665"/>
      <c r="W857" s="670"/>
      <c r="X857" s="670"/>
      <c r="Y857" s="671"/>
      <c r="Z857" s="671"/>
      <c r="AA857" s="672"/>
      <c r="AB857" s="673"/>
      <c r="AC857" s="673"/>
      <c r="AD857" s="673"/>
      <c r="AE857" s="673"/>
      <c r="AF857" s="673"/>
      <c r="AG857" s="673"/>
      <c r="AH857" s="673"/>
      <c r="AI857" s="673"/>
      <c r="AJ857" s="673"/>
      <c r="AK857" s="673"/>
      <c r="AL857" s="673"/>
      <c r="AM857" s="673"/>
      <c r="AN857" s="673"/>
      <c r="AO857" s="673"/>
      <c r="AP857" s="673"/>
      <c r="AQ857" s="673"/>
      <c r="AR857" s="673"/>
      <c r="AS857" s="673"/>
    </row>
    <row r="858">
      <c r="A858" s="653"/>
      <c r="B858" s="654"/>
      <c r="C858" s="655"/>
      <c r="D858" s="656"/>
      <c r="E858" s="657"/>
      <c r="F858" s="658"/>
      <c r="G858" s="659"/>
      <c r="H858" s="660"/>
      <c r="I858" s="659"/>
      <c r="J858" s="661"/>
      <c r="K858" s="658"/>
      <c r="L858" s="662"/>
      <c r="M858" s="663"/>
      <c r="N858" s="664"/>
      <c r="O858" s="665"/>
      <c r="P858" s="666"/>
      <c r="Q858" s="667"/>
      <c r="R858" s="668"/>
      <c r="S858" s="665"/>
      <c r="T858" s="669"/>
      <c r="U858" s="669"/>
      <c r="V858" s="665"/>
      <c r="W858" s="670"/>
      <c r="X858" s="670"/>
      <c r="Y858" s="671"/>
      <c r="Z858" s="671"/>
      <c r="AA858" s="672"/>
      <c r="AB858" s="673"/>
      <c r="AC858" s="673"/>
      <c r="AD858" s="673"/>
      <c r="AE858" s="673"/>
      <c r="AF858" s="673"/>
      <c r="AG858" s="673"/>
      <c r="AH858" s="673"/>
      <c r="AI858" s="673"/>
      <c r="AJ858" s="673"/>
      <c r="AK858" s="673"/>
      <c r="AL858" s="673"/>
      <c r="AM858" s="673"/>
      <c r="AN858" s="673"/>
      <c r="AO858" s="673"/>
      <c r="AP858" s="673"/>
      <c r="AQ858" s="673"/>
      <c r="AR858" s="673"/>
      <c r="AS858" s="673"/>
    </row>
    <row r="859">
      <c r="A859" s="653"/>
      <c r="B859" s="654"/>
      <c r="C859" s="655"/>
      <c r="D859" s="656"/>
      <c r="E859" s="657"/>
      <c r="F859" s="658"/>
      <c r="G859" s="659"/>
      <c r="H859" s="660"/>
      <c r="I859" s="659"/>
      <c r="J859" s="661"/>
      <c r="K859" s="658"/>
      <c r="L859" s="662"/>
      <c r="M859" s="663"/>
      <c r="N859" s="664"/>
      <c r="O859" s="665"/>
      <c r="P859" s="666"/>
      <c r="Q859" s="667"/>
      <c r="R859" s="668"/>
      <c r="S859" s="665"/>
      <c r="T859" s="669"/>
      <c r="U859" s="669"/>
      <c r="V859" s="665"/>
      <c r="W859" s="670"/>
      <c r="X859" s="670"/>
      <c r="Y859" s="671"/>
      <c r="Z859" s="671"/>
      <c r="AA859" s="672"/>
      <c r="AB859" s="673"/>
      <c r="AC859" s="673"/>
      <c r="AD859" s="673"/>
      <c r="AE859" s="673"/>
      <c r="AF859" s="673"/>
      <c r="AG859" s="673"/>
      <c r="AH859" s="673"/>
      <c r="AI859" s="673"/>
      <c r="AJ859" s="673"/>
      <c r="AK859" s="673"/>
      <c r="AL859" s="673"/>
      <c r="AM859" s="673"/>
      <c r="AN859" s="673"/>
      <c r="AO859" s="673"/>
      <c r="AP859" s="673"/>
      <c r="AQ859" s="673"/>
      <c r="AR859" s="673"/>
      <c r="AS859" s="673"/>
    </row>
    <row r="860">
      <c r="A860" s="653"/>
      <c r="B860" s="654"/>
      <c r="C860" s="655"/>
      <c r="D860" s="656"/>
      <c r="E860" s="657"/>
      <c r="F860" s="658"/>
      <c r="G860" s="659"/>
      <c r="H860" s="660"/>
      <c r="I860" s="659"/>
      <c r="J860" s="661"/>
      <c r="K860" s="658"/>
      <c r="L860" s="662"/>
      <c r="M860" s="663"/>
      <c r="N860" s="664"/>
      <c r="O860" s="665"/>
      <c r="P860" s="666"/>
      <c r="Q860" s="667"/>
      <c r="R860" s="668"/>
      <c r="S860" s="665"/>
      <c r="T860" s="669"/>
      <c r="U860" s="669"/>
      <c r="V860" s="665"/>
      <c r="W860" s="670"/>
      <c r="X860" s="670"/>
      <c r="Y860" s="671"/>
      <c r="Z860" s="671"/>
      <c r="AA860" s="672"/>
      <c r="AB860" s="673"/>
      <c r="AC860" s="673"/>
      <c r="AD860" s="673"/>
      <c r="AE860" s="673"/>
      <c r="AF860" s="673"/>
      <c r="AG860" s="673"/>
      <c r="AH860" s="673"/>
      <c r="AI860" s="673"/>
      <c r="AJ860" s="673"/>
      <c r="AK860" s="673"/>
      <c r="AL860" s="673"/>
      <c r="AM860" s="673"/>
      <c r="AN860" s="673"/>
      <c r="AO860" s="673"/>
      <c r="AP860" s="673"/>
      <c r="AQ860" s="673"/>
      <c r="AR860" s="673"/>
      <c r="AS860" s="673"/>
    </row>
    <row r="861">
      <c r="A861" s="653"/>
      <c r="B861" s="654"/>
      <c r="C861" s="655"/>
      <c r="D861" s="656"/>
      <c r="E861" s="657"/>
      <c r="F861" s="658"/>
      <c r="G861" s="659"/>
      <c r="H861" s="660"/>
      <c r="I861" s="659"/>
      <c r="J861" s="661"/>
      <c r="K861" s="658"/>
      <c r="L861" s="662"/>
      <c r="M861" s="663"/>
      <c r="N861" s="664"/>
      <c r="O861" s="665"/>
      <c r="P861" s="666"/>
      <c r="Q861" s="667"/>
      <c r="R861" s="668"/>
      <c r="S861" s="665"/>
      <c r="T861" s="669"/>
      <c r="U861" s="669"/>
      <c r="V861" s="665"/>
      <c r="W861" s="670"/>
      <c r="X861" s="670"/>
      <c r="Y861" s="671"/>
      <c r="Z861" s="671"/>
      <c r="AA861" s="672"/>
      <c r="AB861" s="673"/>
      <c r="AC861" s="673"/>
      <c r="AD861" s="673"/>
      <c r="AE861" s="673"/>
      <c r="AF861" s="673"/>
      <c r="AG861" s="673"/>
      <c r="AH861" s="673"/>
      <c r="AI861" s="673"/>
      <c r="AJ861" s="673"/>
      <c r="AK861" s="673"/>
      <c r="AL861" s="673"/>
      <c r="AM861" s="673"/>
      <c r="AN861" s="673"/>
      <c r="AO861" s="673"/>
      <c r="AP861" s="673"/>
      <c r="AQ861" s="673"/>
      <c r="AR861" s="673"/>
      <c r="AS861" s="673"/>
    </row>
    <row r="862">
      <c r="A862" s="653"/>
      <c r="B862" s="654"/>
      <c r="C862" s="655"/>
      <c r="D862" s="656"/>
      <c r="E862" s="657"/>
      <c r="F862" s="658"/>
      <c r="G862" s="659"/>
      <c r="H862" s="660"/>
      <c r="I862" s="659"/>
      <c r="J862" s="661"/>
      <c r="K862" s="658"/>
      <c r="L862" s="662"/>
      <c r="M862" s="663"/>
      <c r="N862" s="664"/>
      <c r="O862" s="665"/>
      <c r="P862" s="666"/>
      <c r="Q862" s="667"/>
      <c r="R862" s="668"/>
      <c r="S862" s="665"/>
      <c r="T862" s="669"/>
      <c r="U862" s="669"/>
      <c r="V862" s="665"/>
      <c r="W862" s="670"/>
      <c r="X862" s="670"/>
      <c r="Y862" s="671"/>
      <c r="Z862" s="671"/>
      <c r="AA862" s="672"/>
      <c r="AB862" s="673"/>
      <c r="AC862" s="673"/>
      <c r="AD862" s="673"/>
      <c r="AE862" s="673"/>
      <c r="AF862" s="673"/>
      <c r="AG862" s="673"/>
      <c r="AH862" s="673"/>
      <c r="AI862" s="673"/>
      <c r="AJ862" s="673"/>
      <c r="AK862" s="673"/>
      <c r="AL862" s="673"/>
      <c r="AM862" s="673"/>
      <c r="AN862" s="673"/>
      <c r="AO862" s="673"/>
      <c r="AP862" s="673"/>
      <c r="AQ862" s="673"/>
      <c r="AR862" s="673"/>
      <c r="AS862" s="673"/>
    </row>
    <row r="863">
      <c r="A863" s="653"/>
      <c r="B863" s="654"/>
      <c r="C863" s="655"/>
      <c r="D863" s="656"/>
      <c r="E863" s="657"/>
      <c r="F863" s="658"/>
      <c r="G863" s="659"/>
      <c r="H863" s="660"/>
      <c r="I863" s="659"/>
      <c r="J863" s="661"/>
      <c r="K863" s="658"/>
      <c r="L863" s="662"/>
      <c r="M863" s="663"/>
      <c r="N863" s="664"/>
      <c r="O863" s="665"/>
      <c r="P863" s="666"/>
      <c r="Q863" s="667"/>
      <c r="R863" s="668"/>
      <c r="S863" s="665"/>
      <c r="T863" s="669"/>
      <c r="U863" s="669"/>
      <c r="V863" s="665"/>
      <c r="W863" s="670"/>
      <c r="X863" s="670"/>
      <c r="Y863" s="671"/>
      <c r="Z863" s="671"/>
      <c r="AA863" s="672"/>
      <c r="AB863" s="673"/>
      <c r="AC863" s="673"/>
      <c r="AD863" s="673"/>
      <c r="AE863" s="673"/>
      <c r="AF863" s="673"/>
      <c r="AG863" s="673"/>
      <c r="AH863" s="673"/>
      <c r="AI863" s="673"/>
      <c r="AJ863" s="673"/>
      <c r="AK863" s="673"/>
      <c r="AL863" s="673"/>
      <c r="AM863" s="673"/>
      <c r="AN863" s="673"/>
      <c r="AO863" s="673"/>
      <c r="AP863" s="673"/>
      <c r="AQ863" s="673"/>
      <c r="AR863" s="673"/>
      <c r="AS863" s="673"/>
    </row>
    <row r="864">
      <c r="A864" s="653"/>
      <c r="B864" s="654"/>
      <c r="C864" s="655"/>
      <c r="D864" s="656"/>
      <c r="E864" s="657"/>
      <c r="F864" s="658"/>
      <c r="G864" s="659"/>
      <c r="H864" s="660"/>
      <c r="I864" s="659"/>
      <c r="J864" s="661"/>
      <c r="K864" s="658"/>
      <c r="L864" s="662"/>
      <c r="M864" s="663"/>
      <c r="N864" s="664"/>
      <c r="O864" s="665"/>
      <c r="P864" s="666"/>
      <c r="Q864" s="667"/>
      <c r="R864" s="668"/>
      <c r="S864" s="665"/>
      <c r="T864" s="669"/>
      <c r="U864" s="669"/>
      <c r="V864" s="665"/>
      <c r="W864" s="670"/>
      <c r="X864" s="670"/>
      <c r="Y864" s="671"/>
      <c r="Z864" s="671"/>
      <c r="AA864" s="672"/>
      <c r="AB864" s="673"/>
      <c r="AC864" s="673"/>
      <c r="AD864" s="673"/>
      <c r="AE864" s="673"/>
      <c r="AF864" s="673"/>
      <c r="AG864" s="673"/>
      <c r="AH864" s="673"/>
      <c r="AI864" s="673"/>
      <c r="AJ864" s="673"/>
      <c r="AK864" s="673"/>
      <c r="AL864" s="673"/>
      <c r="AM864" s="673"/>
      <c r="AN864" s="673"/>
      <c r="AO864" s="673"/>
      <c r="AP864" s="673"/>
      <c r="AQ864" s="673"/>
      <c r="AR864" s="673"/>
      <c r="AS864" s="673"/>
    </row>
    <row r="865">
      <c r="A865" s="653"/>
      <c r="B865" s="654"/>
      <c r="C865" s="655"/>
      <c r="D865" s="656"/>
      <c r="E865" s="657"/>
      <c r="F865" s="658"/>
      <c r="G865" s="659"/>
      <c r="H865" s="660"/>
      <c r="I865" s="659"/>
      <c r="J865" s="661"/>
      <c r="K865" s="658"/>
      <c r="L865" s="662"/>
      <c r="M865" s="663"/>
      <c r="N865" s="664"/>
      <c r="O865" s="665"/>
      <c r="P865" s="666"/>
      <c r="Q865" s="667"/>
      <c r="R865" s="668"/>
      <c r="S865" s="665"/>
      <c r="T865" s="669"/>
      <c r="U865" s="669"/>
      <c r="V865" s="665"/>
      <c r="W865" s="670"/>
      <c r="X865" s="670"/>
      <c r="Y865" s="671"/>
      <c r="Z865" s="671"/>
      <c r="AA865" s="672"/>
      <c r="AB865" s="673"/>
      <c r="AC865" s="673"/>
      <c r="AD865" s="673"/>
      <c r="AE865" s="673"/>
      <c r="AF865" s="673"/>
      <c r="AG865" s="673"/>
      <c r="AH865" s="673"/>
      <c r="AI865" s="673"/>
      <c r="AJ865" s="673"/>
      <c r="AK865" s="673"/>
      <c r="AL865" s="673"/>
      <c r="AM865" s="673"/>
      <c r="AN865" s="673"/>
      <c r="AO865" s="673"/>
      <c r="AP865" s="673"/>
      <c r="AQ865" s="673"/>
      <c r="AR865" s="673"/>
      <c r="AS865" s="673"/>
    </row>
    <row r="866">
      <c r="A866" s="653"/>
      <c r="B866" s="654"/>
      <c r="C866" s="655"/>
      <c r="D866" s="656"/>
      <c r="E866" s="657"/>
      <c r="F866" s="658"/>
      <c r="G866" s="659"/>
      <c r="H866" s="660"/>
      <c r="I866" s="659"/>
      <c r="J866" s="661"/>
      <c r="K866" s="658"/>
      <c r="L866" s="662"/>
      <c r="M866" s="663"/>
      <c r="N866" s="664"/>
      <c r="O866" s="665"/>
      <c r="P866" s="666"/>
      <c r="Q866" s="667"/>
      <c r="R866" s="668"/>
      <c r="S866" s="665"/>
      <c r="T866" s="669"/>
      <c r="U866" s="669"/>
      <c r="V866" s="665"/>
      <c r="W866" s="670"/>
      <c r="X866" s="670"/>
      <c r="Y866" s="671"/>
      <c r="Z866" s="671"/>
      <c r="AA866" s="672"/>
      <c r="AB866" s="673"/>
      <c r="AC866" s="673"/>
      <c r="AD866" s="673"/>
      <c r="AE866" s="673"/>
      <c r="AF866" s="673"/>
      <c r="AG866" s="673"/>
      <c r="AH866" s="673"/>
      <c r="AI866" s="673"/>
      <c r="AJ866" s="673"/>
      <c r="AK866" s="673"/>
      <c r="AL866" s="673"/>
      <c r="AM866" s="673"/>
      <c r="AN866" s="673"/>
      <c r="AO866" s="673"/>
      <c r="AP866" s="673"/>
      <c r="AQ866" s="673"/>
      <c r="AR866" s="673"/>
      <c r="AS866" s="673"/>
    </row>
    <row r="867">
      <c r="A867" s="653"/>
      <c r="B867" s="654"/>
      <c r="C867" s="655"/>
      <c r="D867" s="656"/>
      <c r="E867" s="657"/>
      <c r="F867" s="658"/>
      <c r="G867" s="659"/>
      <c r="H867" s="660"/>
      <c r="I867" s="659"/>
      <c r="J867" s="661"/>
      <c r="K867" s="658"/>
      <c r="L867" s="662"/>
      <c r="M867" s="663"/>
      <c r="N867" s="664"/>
      <c r="O867" s="665"/>
      <c r="P867" s="666"/>
      <c r="Q867" s="667"/>
      <c r="R867" s="668"/>
      <c r="S867" s="665"/>
      <c r="T867" s="669"/>
      <c r="U867" s="669"/>
      <c r="V867" s="665"/>
      <c r="W867" s="670"/>
      <c r="X867" s="670"/>
      <c r="Y867" s="671"/>
      <c r="Z867" s="671"/>
      <c r="AA867" s="672"/>
      <c r="AB867" s="673"/>
      <c r="AC867" s="673"/>
      <c r="AD867" s="673"/>
      <c r="AE867" s="673"/>
      <c r="AF867" s="673"/>
      <c r="AG867" s="673"/>
      <c r="AH867" s="673"/>
      <c r="AI867" s="673"/>
      <c r="AJ867" s="673"/>
      <c r="AK867" s="673"/>
      <c r="AL867" s="673"/>
      <c r="AM867" s="673"/>
      <c r="AN867" s="673"/>
      <c r="AO867" s="673"/>
      <c r="AP867" s="673"/>
      <c r="AQ867" s="673"/>
      <c r="AR867" s="673"/>
      <c r="AS867" s="673"/>
    </row>
    <row r="868">
      <c r="A868" s="653"/>
      <c r="B868" s="654"/>
      <c r="C868" s="655"/>
      <c r="D868" s="656"/>
      <c r="E868" s="657"/>
      <c r="F868" s="658"/>
      <c r="G868" s="659"/>
      <c r="H868" s="660"/>
      <c r="I868" s="659"/>
      <c r="J868" s="661"/>
      <c r="K868" s="658"/>
      <c r="L868" s="662"/>
      <c r="M868" s="663"/>
      <c r="N868" s="664"/>
      <c r="O868" s="665"/>
      <c r="P868" s="666"/>
      <c r="Q868" s="667"/>
      <c r="R868" s="668"/>
      <c r="S868" s="665"/>
      <c r="T868" s="669"/>
      <c r="U868" s="669"/>
      <c r="V868" s="665"/>
      <c r="W868" s="670"/>
      <c r="X868" s="670"/>
      <c r="Y868" s="671"/>
      <c r="Z868" s="671"/>
      <c r="AA868" s="672"/>
      <c r="AB868" s="673"/>
      <c r="AC868" s="673"/>
      <c r="AD868" s="673"/>
      <c r="AE868" s="673"/>
      <c r="AF868" s="673"/>
      <c r="AG868" s="673"/>
      <c r="AH868" s="673"/>
      <c r="AI868" s="673"/>
      <c r="AJ868" s="673"/>
      <c r="AK868" s="673"/>
      <c r="AL868" s="673"/>
      <c r="AM868" s="673"/>
      <c r="AN868" s="673"/>
      <c r="AO868" s="673"/>
      <c r="AP868" s="673"/>
      <c r="AQ868" s="673"/>
      <c r="AR868" s="673"/>
      <c r="AS868" s="673"/>
    </row>
    <row r="869">
      <c r="A869" s="653"/>
      <c r="B869" s="654"/>
      <c r="C869" s="655"/>
      <c r="D869" s="656"/>
      <c r="E869" s="657"/>
      <c r="F869" s="658"/>
      <c r="G869" s="659"/>
      <c r="H869" s="660"/>
      <c r="I869" s="659"/>
      <c r="J869" s="661"/>
      <c r="K869" s="658"/>
      <c r="L869" s="662"/>
      <c r="M869" s="663"/>
      <c r="N869" s="664"/>
      <c r="O869" s="665"/>
      <c r="P869" s="666"/>
      <c r="Q869" s="667"/>
      <c r="R869" s="668"/>
      <c r="S869" s="665"/>
      <c r="T869" s="669"/>
      <c r="U869" s="669"/>
      <c r="V869" s="665"/>
      <c r="W869" s="670"/>
      <c r="X869" s="670"/>
      <c r="Y869" s="671"/>
      <c r="Z869" s="671"/>
      <c r="AA869" s="672"/>
      <c r="AB869" s="673"/>
      <c r="AC869" s="673"/>
      <c r="AD869" s="673"/>
      <c r="AE869" s="673"/>
      <c r="AF869" s="673"/>
      <c r="AG869" s="673"/>
      <c r="AH869" s="673"/>
      <c r="AI869" s="673"/>
      <c r="AJ869" s="673"/>
      <c r="AK869" s="673"/>
      <c r="AL869" s="673"/>
      <c r="AM869" s="673"/>
      <c r="AN869" s="673"/>
      <c r="AO869" s="673"/>
      <c r="AP869" s="673"/>
      <c r="AQ869" s="673"/>
      <c r="AR869" s="673"/>
      <c r="AS869" s="673"/>
    </row>
    <row r="870">
      <c r="A870" s="653"/>
      <c r="B870" s="654"/>
      <c r="C870" s="655"/>
      <c r="D870" s="656"/>
      <c r="E870" s="657"/>
      <c r="F870" s="658"/>
      <c r="G870" s="659"/>
      <c r="H870" s="660"/>
      <c r="I870" s="659"/>
      <c r="J870" s="661"/>
      <c r="K870" s="658"/>
      <c r="L870" s="662"/>
      <c r="M870" s="663"/>
      <c r="N870" s="664"/>
      <c r="O870" s="665"/>
      <c r="P870" s="666"/>
      <c r="Q870" s="667"/>
      <c r="R870" s="668"/>
      <c r="S870" s="665"/>
      <c r="T870" s="669"/>
      <c r="U870" s="669"/>
      <c r="V870" s="665"/>
      <c r="W870" s="670"/>
      <c r="X870" s="670"/>
      <c r="Y870" s="671"/>
      <c r="Z870" s="671"/>
      <c r="AA870" s="672"/>
      <c r="AB870" s="673"/>
      <c r="AC870" s="673"/>
      <c r="AD870" s="673"/>
      <c r="AE870" s="673"/>
      <c r="AF870" s="673"/>
      <c r="AG870" s="673"/>
      <c r="AH870" s="673"/>
      <c r="AI870" s="673"/>
      <c r="AJ870" s="673"/>
      <c r="AK870" s="673"/>
      <c r="AL870" s="673"/>
      <c r="AM870" s="673"/>
      <c r="AN870" s="673"/>
      <c r="AO870" s="673"/>
      <c r="AP870" s="673"/>
      <c r="AQ870" s="673"/>
      <c r="AR870" s="673"/>
      <c r="AS870" s="673"/>
    </row>
    <row r="871">
      <c r="A871" s="653"/>
      <c r="B871" s="654"/>
      <c r="C871" s="655"/>
      <c r="D871" s="656"/>
      <c r="E871" s="657"/>
      <c r="F871" s="658"/>
      <c r="G871" s="659"/>
      <c r="H871" s="660"/>
      <c r="I871" s="659"/>
      <c r="J871" s="661"/>
      <c r="K871" s="658"/>
      <c r="L871" s="662"/>
      <c r="M871" s="663"/>
      <c r="N871" s="664"/>
      <c r="O871" s="665"/>
      <c r="P871" s="666"/>
      <c r="Q871" s="667"/>
      <c r="R871" s="668"/>
      <c r="S871" s="665"/>
      <c r="T871" s="669"/>
      <c r="U871" s="669"/>
      <c r="V871" s="665"/>
      <c r="W871" s="670"/>
      <c r="X871" s="670"/>
      <c r="Y871" s="671"/>
      <c r="Z871" s="671"/>
      <c r="AA871" s="672"/>
      <c r="AB871" s="673"/>
      <c r="AC871" s="673"/>
      <c r="AD871" s="673"/>
      <c r="AE871" s="673"/>
      <c r="AF871" s="673"/>
      <c r="AG871" s="673"/>
      <c r="AH871" s="673"/>
      <c r="AI871" s="673"/>
      <c r="AJ871" s="673"/>
      <c r="AK871" s="673"/>
      <c r="AL871" s="673"/>
      <c r="AM871" s="673"/>
      <c r="AN871" s="673"/>
      <c r="AO871" s="673"/>
      <c r="AP871" s="673"/>
      <c r="AQ871" s="673"/>
      <c r="AR871" s="673"/>
      <c r="AS871" s="673"/>
    </row>
    <row r="872">
      <c r="A872" s="653"/>
      <c r="B872" s="654"/>
      <c r="C872" s="655"/>
      <c r="D872" s="656"/>
      <c r="E872" s="657"/>
      <c r="F872" s="658"/>
      <c r="G872" s="659"/>
      <c r="H872" s="660"/>
      <c r="I872" s="659"/>
      <c r="J872" s="661"/>
      <c r="K872" s="658"/>
      <c r="L872" s="662"/>
      <c r="M872" s="663"/>
      <c r="N872" s="664"/>
      <c r="O872" s="665"/>
      <c r="P872" s="666"/>
      <c r="Q872" s="667"/>
      <c r="R872" s="668"/>
      <c r="S872" s="665"/>
      <c r="T872" s="669"/>
      <c r="U872" s="669"/>
      <c r="V872" s="665"/>
      <c r="W872" s="670"/>
      <c r="X872" s="670"/>
      <c r="Y872" s="671"/>
      <c r="Z872" s="671"/>
      <c r="AA872" s="672"/>
      <c r="AB872" s="673"/>
      <c r="AC872" s="673"/>
      <c r="AD872" s="673"/>
      <c r="AE872" s="673"/>
      <c r="AF872" s="673"/>
      <c r="AG872" s="673"/>
      <c r="AH872" s="673"/>
      <c r="AI872" s="673"/>
      <c r="AJ872" s="673"/>
      <c r="AK872" s="673"/>
      <c r="AL872" s="673"/>
      <c r="AM872" s="673"/>
      <c r="AN872" s="673"/>
      <c r="AO872" s="673"/>
      <c r="AP872" s="673"/>
      <c r="AQ872" s="673"/>
      <c r="AR872" s="673"/>
      <c r="AS872" s="673"/>
    </row>
    <row r="873">
      <c r="A873" s="653"/>
      <c r="B873" s="654"/>
      <c r="C873" s="655"/>
      <c r="D873" s="656"/>
      <c r="E873" s="657"/>
      <c r="F873" s="658"/>
      <c r="G873" s="659"/>
      <c r="H873" s="660"/>
      <c r="I873" s="659"/>
      <c r="J873" s="661"/>
      <c r="K873" s="658"/>
      <c r="L873" s="662"/>
      <c r="M873" s="663"/>
      <c r="N873" s="664"/>
      <c r="O873" s="665"/>
      <c r="P873" s="666"/>
      <c r="Q873" s="667"/>
      <c r="R873" s="668"/>
      <c r="S873" s="665"/>
      <c r="T873" s="669"/>
      <c r="U873" s="669"/>
      <c r="V873" s="665"/>
      <c r="W873" s="670"/>
      <c r="X873" s="670"/>
      <c r="Y873" s="671"/>
      <c r="Z873" s="671"/>
      <c r="AA873" s="672"/>
      <c r="AB873" s="673"/>
      <c r="AC873" s="673"/>
      <c r="AD873" s="673"/>
      <c r="AE873" s="673"/>
      <c r="AF873" s="673"/>
      <c r="AG873" s="673"/>
      <c r="AH873" s="673"/>
      <c r="AI873" s="673"/>
      <c r="AJ873" s="673"/>
      <c r="AK873" s="673"/>
      <c r="AL873" s="673"/>
      <c r="AM873" s="673"/>
      <c r="AN873" s="673"/>
      <c r="AO873" s="673"/>
      <c r="AP873" s="673"/>
      <c r="AQ873" s="673"/>
      <c r="AR873" s="673"/>
      <c r="AS873" s="673"/>
    </row>
    <row r="874">
      <c r="A874" s="653"/>
      <c r="B874" s="654"/>
      <c r="C874" s="655"/>
      <c r="D874" s="656"/>
      <c r="E874" s="657"/>
      <c r="F874" s="658"/>
      <c r="G874" s="659"/>
      <c r="H874" s="660"/>
      <c r="I874" s="659"/>
      <c r="J874" s="661"/>
      <c r="K874" s="658"/>
      <c r="L874" s="662"/>
      <c r="M874" s="663"/>
      <c r="N874" s="664"/>
      <c r="O874" s="665"/>
      <c r="P874" s="666"/>
      <c r="Q874" s="667"/>
      <c r="R874" s="668"/>
      <c r="S874" s="665"/>
      <c r="T874" s="669"/>
      <c r="U874" s="669"/>
      <c r="V874" s="665"/>
      <c r="W874" s="670"/>
      <c r="X874" s="670"/>
      <c r="Y874" s="671"/>
      <c r="Z874" s="671"/>
      <c r="AA874" s="672"/>
      <c r="AB874" s="673"/>
      <c r="AC874" s="673"/>
      <c r="AD874" s="673"/>
      <c r="AE874" s="673"/>
      <c r="AF874" s="673"/>
      <c r="AG874" s="673"/>
      <c r="AH874" s="673"/>
      <c r="AI874" s="673"/>
      <c r="AJ874" s="673"/>
      <c r="AK874" s="673"/>
      <c r="AL874" s="673"/>
      <c r="AM874" s="673"/>
      <c r="AN874" s="673"/>
      <c r="AO874" s="673"/>
      <c r="AP874" s="673"/>
      <c r="AQ874" s="673"/>
      <c r="AR874" s="673"/>
      <c r="AS874" s="673"/>
    </row>
    <row r="875">
      <c r="A875" s="653"/>
      <c r="B875" s="654"/>
      <c r="C875" s="655"/>
      <c r="D875" s="656"/>
      <c r="E875" s="657"/>
      <c r="F875" s="658"/>
      <c r="G875" s="659"/>
      <c r="H875" s="660"/>
      <c r="I875" s="659"/>
      <c r="J875" s="661"/>
      <c r="K875" s="658"/>
      <c r="L875" s="662"/>
      <c r="M875" s="663"/>
      <c r="N875" s="664"/>
      <c r="O875" s="665"/>
      <c r="P875" s="666"/>
      <c r="Q875" s="667"/>
      <c r="R875" s="668"/>
      <c r="S875" s="665"/>
      <c r="T875" s="669"/>
      <c r="U875" s="669"/>
      <c r="V875" s="665"/>
      <c r="W875" s="670"/>
      <c r="X875" s="670"/>
      <c r="Y875" s="671"/>
      <c r="Z875" s="671"/>
      <c r="AA875" s="672"/>
      <c r="AB875" s="673"/>
      <c r="AC875" s="673"/>
      <c r="AD875" s="673"/>
      <c r="AE875" s="673"/>
      <c r="AF875" s="673"/>
      <c r="AG875" s="673"/>
      <c r="AH875" s="673"/>
      <c r="AI875" s="673"/>
      <c r="AJ875" s="673"/>
      <c r="AK875" s="673"/>
      <c r="AL875" s="673"/>
      <c r="AM875" s="673"/>
      <c r="AN875" s="673"/>
      <c r="AO875" s="673"/>
      <c r="AP875" s="673"/>
      <c r="AQ875" s="673"/>
      <c r="AR875" s="673"/>
      <c r="AS875" s="673"/>
    </row>
    <row r="876">
      <c r="A876" s="653"/>
      <c r="B876" s="654"/>
      <c r="C876" s="655"/>
      <c r="D876" s="656"/>
      <c r="E876" s="657"/>
      <c r="F876" s="658"/>
      <c r="G876" s="659"/>
      <c r="H876" s="660"/>
      <c r="I876" s="659"/>
      <c r="J876" s="661"/>
      <c r="K876" s="658"/>
      <c r="L876" s="662"/>
      <c r="M876" s="663"/>
      <c r="N876" s="664"/>
      <c r="O876" s="665"/>
      <c r="P876" s="666"/>
      <c r="Q876" s="667"/>
      <c r="R876" s="668"/>
      <c r="S876" s="665"/>
      <c r="T876" s="669"/>
      <c r="U876" s="669"/>
      <c r="V876" s="665"/>
      <c r="W876" s="670"/>
      <c r="X876" s="670"/>
      <c r="Y876" s="671"/>
      <c r="Z876" s="671"/>
      <c r="AA876" s="672"/>
      <c r="AB876" s="673"/>
      <c r="AC876" s="673"/>
      <c r="AD876" s="673"/>
      <c r="AE876" s="673"/>
      <c r="AF876" s="673"/>
      <c r="AG876" s="673"/>
      <c r="AH876" s="673"/>
      <c r="AI876" s="673"/>
      <c r="AJ876" s="673"/>
      <c r="AK876" s="673"/>
      <c r="AL876" s="673"/>
      <c r="AM876" s="673"/>
      <c r="AN876" s="673"/>
      <c r="AO876" s="673"/>
      <c r="AP876" s="673"/>
      <c r="AQ876" s="673"/>
      <c r="AR876" s="673"/>
      <c r="AS876" s="673"/>
    </row>
    <row r="877">
      <c r="A877" s="653"/>
      <c r="B877" s="654"/>
      <c r="C877" s="655"/>
      <c r="D877" s="656"/>
      <c r="E877" s="657"/>
      <c r="F877" s="658"/>
      <c r="G877" s="659"/>
      <c r="H877" s="660"/>
      <c r="I877" s="659"/>
      <c r="J877" s="661"/>
      <c r="K877" s="658"/>
      <c r="L877" s="662"/>
      <c r="M877" s="663"/>
      <c r="N877" s="664"/>
      <c r="O877" s="665"/>
      <c r="P877" s="666"/>
      <c r="Q877" s="667"/>
      <c r="R877" s="668"/>
      <c r="S877" s="665"/>
      <c r="T877" s="669"/>
      <c r="U877" s="669"/>
      <c r="V877" s="665"/>
      <c r="W877" s="670"/>
      <c r="X877" s="670"/>
      <c r="Y877" s="671"/>
      <c r="Z877" s="671"/>
      <c r="AA877" s="672"/>
      <c r="AB877" s="673"/>
      <c r="AC877" s="673"/>
      <c r="AD877" s="673"/>
      <c r="AE877" s="673"/>
      <c r="AF877" s="673"/>
      <c r="AG877" s="673"/>
      <c r="AH877" s="673"/>
      <c r="AI877" s="673"/>
      <c r="AJ877" s="673"/>
      <c r="AK877" s="673"/>
      <c r="AL877" s="673"/>
      <c r="AM877" s="673"/>
      <c r="AN877" s="673"/>
      <c r="AO877" s="673"/>
      <c r="AP877" s="673"/>
      <c r="AQ877" s="673"/>
      <c r="AR877" s="673"/>
      <c r="AS877" s="673"/>
    </row>
    <row r="878">
      <c r="A878" s="653"/>
      <c r="B878" s="654"/>
      <c r="C878" s="655"/>
      <c r="D878" s="656"/>
      <c r="E878" s="657"/>
      <c r="F878" s="658"/>
      <c r="G878" s="659"/>
      <c r="H878" s="660"/>
      <c r="I878" s="659"/>
      <c r="J878" s="661"/>
      <c r="K878" s="658"/>
      <c r="L878" s="662"/>
      <c r="M878" s="663"/>
      <c r="N878" s="664"/>
      <c r="O878" s="665"/>
      <c r="P878" s="666"/>
      <c r="Q878" s="667"/>
      <c r="R878" s="668"/>
      <c r="S878" s="665"/>
      <c r="T878" s="669"/>
      <c r="U878" s="669"/>
      <c r="V878" s="665"/>
      <c r="W878" s="670"/>
      <c r="X878" s="670"/>
      <c r="Y878" s="671"/>
      <c r="Z878" s="671"/>
      <c r="AA878" s="672"/>
      <c r="AB878" s="673"/>
      <c r="AC878" s="673"/>
      <c r="AD878" s="673"/>
      <c r="AE878" s="673"/>
      <c r="AF878" s="673"/>
      <c r="AG878" s="673"/>
      <c r="AH878" s="673"/>
      <c r="AI878" s="673"/>
      <c r="AJ878" s="673"/>
      <c r="AK878" s="673"/>
      <c r="AL878" s="673"/>
      <c r="AM878" s="673"/>
      <c r="AN878" s="673"/>
      <c r="AO878" s="673"/>
      <c r="AP878" s="673"/>
      <c r="AQ878" s="673"/>
      <c r="AR878" s="673"/>
      <c r="AS878" s="673"/>
    </row>
    <row r="879">
      <c r="A879" s="653"/>
      <c r="B879" s="654"/>
      <c r="C879" s="655"/>
      <c r="D879" s="656"/>
      <c r="E879" s="657"/>
      <c r="F879" s="658"/>
      <c r="G879" s="659"/>
      <c r="H879" s="660"/>
      <c r="I879" s="659"/>
      <c r="J879" s="661"/>
      <c r="K879" s="658"/>
      <c r="L879" s="662"/>
      <c r="M879" s="663"/>
      <c r="N879" s="664"/>
      <c r="O879" s="665"/>
      <c r="P879" s="666"/>
      <c r="Q879" s="667"/>
      <c r="R879" s="668"/>
      <c r="S879" s="665"/>
      <c r="T879" s="669"/>
      <c r="U879" s="669"/>
      <c r="V879" s="665"/>
      <c r="W879" s="670"/>
      <c r="X879" s="670"/>
      <c r="Y879" s="671"/>
      <c r="Z879" s="671"/>
      <c r="AA879" s="672"/>
      <c r="AB879" s="673"/>
      <c r="AC879" s="673"/>
      <c r="AD879" s="673"/>
      <c r="AE879" s="673"/>
      <c r="AF879" s="673"/>
      <c r="AG879" s="673"/>
      <c r="AH879" s="673"/>
      <c r="AI879" s="673"/>
      <c r="AJ879" s="673"/>
      <c r="AK879" s="673"/>
      <c r="AL879" s="673"/>
      <c r="AM879" s="673"/>
      <c r="AN879" s="673"/>
      <c r="AO879" s="673"/>
      <c r="AP879" s="673"/>
      <c r="AQ879" s="673"/>
      <c r="AR879" s="673"/>
      <c r="AS879" s="673"/>
    </row>
    <row r="880">
      <c r="A880" s="653"/>
      <c r="B880" s="654"/>
      <c r="C880" s="655"/>
      <c r="D880" s="656"/>
      <c r="E880" s="657"/>
      <c r="F880" s="658"/>
      <c r="G880" s="659"/>
      <c r="H880" s="660"/>
      <c r="I880" s="659"/>
      <c r="J880" s="661"/>
      <c r="K880" s="658"/>
      <c r="L880" s="662"/>
      <c r="M880" s="663"/>
      <c r="N880" s="664"/>
      <c r="O880" s="665"/>
      <c r="P880" s="666"/>
      <c r="Q880" s="667"/>
      <c r="R880" s="668"/>
      <c r="S880" s="665"/>
      <c r="T880" s="669"/>
      <c r="U880" s="669"/>
      <c r="V880" s="665"/>
      <c r="W880" s="670"/>
      <c r="X880" s="670"/>
      <c r="Y880" s="671"/>
      <c r="Z880" s="671"/>
      <c r="AA880" s="672"/>
      <c r="AB880" s="673"/>
      <c r="AC880" s="673"/>
      <c r="AD880" s="673"/>
      <c r="AE880" s="673"/>
      <c r="AF880" s="673"/>
      <c r="AG880" s="673"/>
      <c r="AH880" s="673"/>
      <c r="AI880" s="673"/>
      <c r="AJ880" s="673"/>
      <c r="AK880" s="673"/>
      <c r="AL880" s="673"/>
      <c r="AM880" s="673"/>
      <c r="AN880" s="673"/>
      <c r="AO880" s="673"/>
      <c r="AP880" s="673"/>
      <c r="AQ880" s="673"/>
      <c r="AR880" s="673"/>
      <c r="AS880" s="673"/>
    </row>
    <row r="881">
      <c r="A881" s="653"/>
      <c r="B881" s="654"/>
      <c r="C881" s="655"/>
      <c r="D881" s="656"/>
      <c r="E881" s="657"/>
      <c r="F881" s="658"/>
      <c r="G881" s="659"/>
      <c r="H881" s="660"/>
      <c r="I881" s="659"/>
      <c r="J881" s="661"/>
      <c r="K881" s="658"/>
      <c r="L881" s="662"/>
      <c r="M881" s="663"/>
      <c r="N881" s="664"/>
      <c r="O881" s="665"/>
      <c r="P881" s="666"/>
      <c r="Q881" s="667"/>
      <c r="R881" s="668"/>
      <c r="S881" s="665"/>
      <c r="T881" s="669"/>
      <c r="U881" s="669"/>
      <c r="V881" s="665"/>
      <c r="W881" s="670"/>
      <c r="X881" s="670"/>
      <c r="Y881" s="671"/>
      <c r="Z881" s="671"/>
      <c r="AA881" s="672"/>
      <c r="AB881" s="673"/>
      <c r="AC881" s="673"/>
      <c r="AD881" s="673"/>
      <c r="AE881" s="673"/>
      <c r="AF881" s="673"/>
      <c r="AG881" s="673"/>
      <c r="AH881" s="673"/>
      <c r="AI881" s="673"/>
      <c r="AJ881" s="673"/>
      <c r="AK881" s="673"/>
      <c r="AL881" s="673"/>
      <c r="AM881" s="673"/>
      <c r="AN881" s="673"/>
      <c r="AO881" s="673"/>
      <c r="AP881" s="673"/>
      <c r="AQ881" s="673"/>
      <c r="AR881" s="673"/>
      <c r="AS881" s="673"/>
    </row>
    <row r="882">
      <c r="A882" s="653"/>
      <c r="B882" s="654"/>
      <c r="C882" s="655"/>
      <c r="D882" s="656"/>
      <c r="E882" s="657"/>
      <c r="F882" s="658"/>
      <c r="G882" s="659"/>
      <c r="H882" s="660"/>
      <c r="I882" s="659"/>
      <c r="J882" s="661"/>
      <c r="K882" s="658"/>
      <c r="L882" s="662"/>
      <c r="M882" s="663"/>
      <c r="N882" s="664"/>
      <c r="O882" s="665"/>
      <c r="P882" s="666"/>
      <c r="Q882" s="667"/>
      <c r="R882" s="668"/>
      <c r="S882" s="665"/>
      <c r="T882" s="669"/>
      <c r="U882" s="669"/>
      <c r="V882" s="665"/>
      <c r="W882" s="670"/>
      <c r="X882" s="670"/>
      <c r="Y882" s="671"/>
      <c r="Z882" s="671"/>
      <c r="AA882" s="672"/>
      <c r="AB882" s="673"/>
      <c r="AC882" s="673"/>
      <c r="AD882" s="673"/>
      <c r="AE882" s="673"/>
      <c r="AF882" s="673"/>
      <c r="AG882" s="673"/>
      <c r="AH882" s="673"/>
      <c r="AI882" s="673"/>
      <c r="AJ882" s="673"/>
      <c r="AK882" s="673"/>
      <c r="AL882" s="673"/>
      <c r="AM882" s="673"/>
      <c r="AN882" s="673"/>
      <c r="AO882" s="673"/>
      <c r="AP882" s="673"/>
      <c r="AQ882" s="673"/>
      <c r="AR882" s="673"/>
      <c r="AS882" s="673"/>
    </row>
    <row r="883">
      <c r="A883" s="653"/>
      <c r="B883" s="654"/>
      <c r="C883" s="655"/>
      <c r="D883" s="656"/>
      <c r="E883" s="657"/>
      <c r="F883" s="658"/>
      <c r="G883" s="659"/>
      <c r="H883" s="660"/>
      <c r="I883" s="659"/>
      <c r="J883" s="661"/>
      <c r="K883" s="658"/>
      <c r="L883" s="662"/>
      <c r="M883" s="663"/>
      <c r="N883" s="664"/>
      <c r="O883" s="665"/>
      <c r="P883" s="666"/>
      <c r="Q883" s="667"/>
      <c r="R883" s="668"/>
      <c r="S883" s="665"/>
      <c r="T883" s="669"/>
      <c r="U883" s="669"/>
      <c r="V883" s="665"/>
      <c r="W883" s="670"/>
      <c r="X883" s="670"/>
      <c r="Y883" s="671"/>
      <c r="Z883" s="671"/>
      <c r="AA883" s="672"/>
      <c r="AB883" s="673"/>
      <c r="AC883" s="673"/>
      <c r="AD883" s="673"/>
      <c r="AE883" s="673"/>
      <c r="AF883" s="673"/>
      <c r="AG883" s="673"/>
      <c r="AH883" s="673"/>
      <c r="AI883" s="673"/>
      <c r="AJ883" s="673"/>
      <c r="AK883" s="673"/>
      <c r="AL883" s="673"/>
      <c r="AM883" s="673"/>
      <c r="AN883" s="673"/>
      <c r="AO883" s="673"/>
      <c r="AP883" s="673"/>
      <c r="AQ883" s="673"/>
      <c r="AR883" s="673"/>
      <c r="AS883" s="673"/>
    </row>
    <row r="884">
      <c r="A884" s="653"/>
      <c r="B884" s="654"/>
      <c r="C884" s="655"/>
      <c r="D884" s="656"/>
      <c r="E884" s="657"/>
      <c r="F884" s="658"/>
      <c r="G884" s="659"/>
      <c r="H884" s="660"/>
      <c r="I884" s="659"/>
      <c r="J884" s="661"/>
      <c r="K884" s="658"/>
      <c r="L884" s="662"/>
      <c r="M884" s="663"/>
      <c r="N884" s="664"/>
      <c r="O884" s="665"/>
      <c r="P884" s="666"/>
      <c r="Q884" s="667"/>
      <c r="R884" s="668"/>
      <c r="S884" s="665"/>
      <c r="T884" s="669"/>
      <c r="U884" s="669"/>
      <c r="V884" s="665"/>
      <c r="W884" s="670"/>
      <c r="X884" s="670"/>
      <c r="Y884" s="671"/>
      <c r="Z884" s="671"/>
      <c r="AA884" s="672"/>
      <c r="AB884" s="673"/>
      <c r="AC884" s="673"/>
      <c r="AD884" s="673"/>
      <c r="AE884" s="673"/>
      <c r="AF884" s="673"/>
      <c r="AG884" s="673"/>
      <c r="AH884" s="673"/>
      <c r="AI884" s="673"/>
      <c r="AJ884" s="673"/>
      <c r="AK884" s="673"/>
      <c r="AL884" s="673"/>
      <c r="AM884" s="673"/>
      <c r="AN884" s="673"/>
      <c r="AO884" s="673"/>
      <c r="AP884" s="673"/>
      <c r="AQ884" s="673"/>
      <c r="AR884" s="673"/>
      <c r="AS884" s="673"/>
    </row>
    <row r="885">
      <c r="A885" s="653"/>
      <c r="B885" s="654"/>
      <c r="C885" s="655"/>
      <c r="D885" s="656"/>
      <c r="E885" s="657"/>
      <c r="F885" s="658"/>
      <c r="G885" s="659"/>
      <c r="H885" s="660"/>
      <c r="I885" s="659"/>
      <c r="J885" s="661"/>
      <c r="K885" s="658"/>
      <c r="L885" s="662"/>
      <c r="M885" s="663"/>
      <c r="N885" s="664"/>
      <c r="O885" s="665"/>
      <c r="P885" s="666"/>
      <c r="Q885" s="667"/>
      <c r="R885" s="668"/>
      <c r="S885" s="665"/>
      <c r="T885" s="669"/>
      <c r="U885" s="669"/>
      <c r="V885" s="665"/>
      <c r="W885" s="670"/>
      <c r="X885" s="670"/>
      <c r="Y885" s="671"/>
      <c r="Z885" s="671"/>
      <c r="AA885" s="672"/>
      <c r="AB885" s="673"/>
      <c r="AC885" s="673"/>
      <c r="AD885" s="673"/>
      <c r="AE885" s="673"/>
      <c r="AF885" s="673"/>
      <c r="AG885" s="673"/>
      <c r="AH885" s="673"/>
      <c r="AI885" s="673"/>
      <c r="AJ885" s="673"/>
      <c r="AK885" s="673"/>
      <c r="AL885" s="673"/>
      <c r="AM885" s="673"/>
      <c r="AN885" s="673"/>
      <c r="AO885" s="673"/>
      <c r="AP885" s="673"/>
      <c r="AQ885" s="673"/>
      <c r="AR885" s="673"/>
      <c r="AS885" s="673"/>
    </row>
    <row r="886">
      <c r="A886" s="653"/>
      <c r="B886" s="654"/>
      <c r="C886" s="655"/>
      <c r="D886" s="656"/>
      <c r="E886" s="657"/>
      <c r="F886" s="658"/>
      <c r="G886" s="659"/>
      <c r="H886" s="660"/>
      <c r="I886" s="659"/>
      <c r="J886" s="661"/>
      <c r="K886" s="658"/>
      <c r="L886" s="662"/>
      <c r="M886" s="663"/>
      <c r="N886" s="664"/>
      <c r="O886" s="665"/>
      <c r="P886" s="666"/>
      <c r="Q886" s="667"/>
      <c r="R886" s="668"/>
      <c r="S886" s="665"/>
      <c r="T886" s="669"/>
      <c r="U886" s="669"/>
      <c r="V886" s="665"/>
      <c r="W886" s="670"/>
      <c r="X886" s="670"/>
      <c r="Y886" s="671"/>
      <c r="Z886" s="671"/>
      <c r="AA886" s="672"/>
      <c r="AB886" s="673"/>
      <c r="AC886" s="673"/>
      <c r="AD886" s="673"/>
      <c r="AE886" s="673"/>
      <c r="AF886" s="673"/>
      <c r="AG886" s="673"/>
      <c r="AH886" s="673"/>
      <c r="AI886" s="673"/>
      <c r="AJ886" s="673"/>
      <c r="AK886" s="673"/>
      <c r="AL886" s="673"/>
      <c r="AM886" s="673"/>
      <c r="AN886" s="673"/>
      <c r="AO886" s="673"/>
      <c r="AP886" s="673"/>
      <c r="AQ886" s="673"/>
      <c r="AR886" s="673"/>
      <c r="AS886" s="673"/>
    </row>
    <row r="887">
      <c r="A887" s="653"/>
      <c r="B887" s="654"/>
      <c r="C887" s="655"/>
      <c r="D887" s="656"/>
      <c r="E887" s="657"/>
      <c r="F887" s="658"/>
      <c r="G887" s="659"/>
      <c r="H887" s="660"/>
      <c r="I887" s="659"/>
      <c r="J887" s="661"/>
      <c r="K887" s="658"/>
      <c r="L887" s="662"/>
      <c r="M887" s="663"/>
      <c r="N887" s="664"/>
      <c r="O887" s="665"/>
      <c r="P887" s="666"/>
      <c r="Q887" s="667"/>
      <c r="R887" s="668"/>
      <c r="S887" s="665"/>
      <c r="T887" s="669"/>
      <c r="U887" s="669"/>
      <c r="V887" s="665"/>
      <c r="W887" s="670"/>
      <c r="X887" s="670"/>
      <c r="Y887" s="671"/>
      <c r="Z887" s="671"/>
      <c r="AA887" s="672"/>
      <c r="AB887" s="673"/>
      <c r="AC887" s="673"/>
      <c r="AD887" s="673"/>
      <c r="AE887" s="673"/>
      <c r="AF887" s="673"/>
      <c r="AG887" s="673"/>
      <c r="AH887" s="673"/>
      <c r="AI887" s="673"/>
      <c r="AJ887" s="673"/>
      <c r="AK887" s="673"/>
      <c r="AL887" s="673"/>
      <c r="AM887" s="673"/>
      <c r="AN887" s="673"/>
      <c r="AO887" s="673"/>
      <c r="AP887" s="673"/>
      <c r="AQ887" s="673"/>
      <c r="AR887" s="673"/>
      <c r="AS887" s="673"/>
    </row>
    <row r="888">
      <c r="A888" s="653"/>
      <c r="B888" s="654"/>
      <c r="C888" s="655"/>
      <c r="D888" s="656"/>
      <c r="E888" s="657"/>
      <c r="F888" s="658"/>
      <c r="G888" s="659"/>
      <c r="H888" s="660"/>
      <c r="I888" s="659"/>
      <c r="J888" s="661"/>
      <c r="K888" s="658"/>
      <c r="L888" s="662"/>
      <c r="M888" s="663"/>
      <c r="N888" s="664"/>
      <c r="O888" s="665"/>
      <c r="P888" s="666"/>
      <c r="Q888" s="667"/>
      <c r="R888" s="668"/>
      <c r="S888" s="665"/>
      <c r="T888" s="669"/>
      <c r="U888" s="669"/>
      <c r="V888" s="665"/>
      <c r="W888" s="670"/>
      <c r="X888" s="670"/>
      <c r="Y888" s="671"/>
      <c r="Z888" s="671"/>
      <c r="AA888" s="672"/>
      <c r="AB888" s="673"/>
      <c r="AC888" s="673"/>
      <c r="AD888" s="673"/>
      <c r="AE888" s="673"/>
      <c r="AF888" s="673"/>
      <c r="AG888" s="673"/>
      <c r="AH888" s="673"/>
      <c r="AI888" s="673"/>
      <c r="AJ888" s="673"/>
      <c r="AK888" s="673"/>
      <c r="AL888" s="673"/>
      <c r="AM888" s="673"/>
      <c r="AN888" s="673"/>
      <c r="AO888" s="673"/>
      <c r="AP888" s="673"/>
      <c r="AQ888" s="673"/>
      <c r="AR888" s="673"/>
      <c r="AS888" s="673"/>
    </row>
    <row r="889">
      <c r="A889" s="653"/>
      <c r="B889" s="654"/>
      <c r="C889" s="655"/>
      <c r="D889" s="656"/>
      <c r="E889" s="657"/>
      <c r="F889" s="658"/>
      <c r="G889" s="659"/>
      <c r="H889" s="660"/>
      <c r="I889" s="659"/>
      <c r="J889" s="661"/>
      <c r="K889" s="658"/>
      <c r="L889" s="662"/>
      <c r="M889" s="663"/>
      <c r="N889" s="664"/>
      <c r="O889" s="665"/>
      <c r="P889" s="666"/>
      <c r="Q889" s="667"/>
      <c r="R889" s="668"/>
      <c r="S889" s="665"/>
      <c r="T889" s="669"/>
      <c r="U889" s="669"/>
      <c r="V889" s="665"/>
      <c r="W889" s="670"/>
      <c r="X889" s="670"/>
      <c r="Y889" s="671"/>
      <c r="Z889" s="671"/>
      <c r="AA889" s="672"/>
      <c r="AB889" s="673"/>
      <c r="AC889" s="673"/>
      <c r="AD889" s="673"/>
      <c r="AE889" s="673"/>
      <c r="AF889" s="673"/>
      <c r="AG889" s="673"/>
      <c r="AH889" s="673"/>
      <c r="AI889" s="673"/>
      <c r="AJ889" s="673"/>
      <c r="AK889" s="673"/>
      <c r="AL889" s="673"/>
      <c r="AM889" s="673"/>
      <c r="AN889" s="673"/>
      <c r="AO889" s="673"/>
      <c r="AP889" s="673"/>
      <c r="AQ889" s="673"/>
      <c r="AR889" s="673"/>
      <c r="AS889" s="673"/>
    </row>
    <row r="890">
      <c r="A890" s="653"/>
      <c r="B890" s="654"/>
      <c r="C890" s="655"/>
      <c r="D890" s="656"/>
      <c r="E890" s="657"/>
      <c r="F890" s="658"/>
      <c r="G890" s="659"/>
      <c r="H890" s="660"/>
      <c r="I890" s="659"/>
      <c r="J890" s="661"/>
      <c r="K890" s="658"/>
      <c r="L890" s="662"/>
      <c r="M890" s="663"/>
      <c r="N890" s="664"/>
      <c r="O890" s="665"/>
      <c r="P890" s="666"/>
      <c r="Q890" s="667"/>
      <c r="R890" s="668"/>
      <c r="S890" s="665"/>
      <c r="T890" s="669"/>
      <c r="U890" s="669"/>
      <c r="V890" s="665"/>
      <c r="W890" s="670"/>
      <c r="X890" s="670"/>
      <c r="Y890" s="671"/>
      <c r="Z890" s="671"/>
      <c r="AA890" s="672"/>
      <c r="AB890" s="673"/>
      <c r="AC890" s="673"/>
      <c r="AD890" s="673"/>
      <c r="AE890" s="673"/>
      <c r="AF890" s="673"/>
      <c r="AG890" s="673"/>
      <c r="AH890" s="673"/>
      <c r="AI890" s="673"/>
      <c r="AJ890" s="673"/>
      <c r="AK890" s="673"/>
      <c r="AL890" s="673"/>
      <c r="AM890" s="673"/>
      <c r="AN890" s="673"/>
      <c r="AO890" s="673"/>
      <c r="AP890" s="673"/>
      <c r="AQ890" s="673"/>
      <c r="AR890" s="673"/>
      <c r="AS890" s="673"/>
    </row>
    <row r="891">
      <c r="A891" s="653"/>
      <c r="B891" s="654"/>
      <c r="C891" s="655"/>
      <c r="D891" s="656"/>
      <c r="E891" s="657"/>
      <c r="F891" s="658"/>
      <c r="G891" s="659"/>
      <c r="H891" s="660"/>
      <c r="I891" s="659"/>
      <c r="J891" s="661"/>
      <c r="K891" s="658"/>
      <c r="L891" s="662"/>
      <c r="M891" s="663"/>
      <c r="N891" s="664"/>
      <c r="O891" s="665"/>
      <c r="P891" s="666"/>
      <c r="Q891" s="667"/>
      <c r="R891" s="668"/>
      <c r="S891" s="665"/>
      <c r="T891" s="669"/>
      <c r="U891" s="669"/>
      <c r="V891" s="665"/>
      <c r="W891" s="670"/>
      <c r="X891" s="670"/>
      <c r="Y891" s="671"/>
      <c r="Z891" s="671"/>
      <c r="AA891" s="672"/>
      <c r="AB891" s="673"/>
      <c r="AC891" s="673"/>
      <c r="AD891" s="673"/>
      <c r="AE891" s="673"/>
      <c r="AF891" s="673"/>
      <c r="AG891" s="673"/>
      <c r="AH891" s="673"/>
      <c r="AI891" s="673"/>
      <c r="AJ891" s="673"/>
      <c r="AK891" s="673"/>
      <c r="AL891" s="673"/>
      <c r="AM891" s="673"/>
      <c r="AN891" s="673"/>
      <c r="AO891" s="673"/>
      <c r="AP891" s="673"/>
      <c r="AQ891" s="673"/>
      <c r="AR891" s="673"/>
      <c r="AS891" s="673"/>
    </row>
    <row r="892">
      <c r="A892" s="653"/>
      <c r="B892" s="654"/>
      <c r="C892" s="655"/>
      <c r="D892" s="656"/>
      <c r="E892" s="657"/>
      <c r="F892" s="658"/>
      <c r="G892" s="659"/>
      <c r="H892" s="660"/>
      <c r="I892" s="659"/>
      <c r="J892" s="661"/>
      <c r="K892" s="658"/>
      <c r="L892" s="662"/>
      <c r="M892" s="663"/>
      <c r="N892" s="664"/>
      <c r="O892" s="665"/>
      <c r="P892" s="666"/>
      <c r="Q892" s="667"/>
      <c r="R892" s="668"/>
      <c r="S892" s="665"/>
      <c r="T892" s="669"/>
      <c r="U892" s="669"/>
      <c r="V892" s="665"/>
      <c r="W892" s="670"/>
      <c r="X892" s="670"/>
      <c r="Y892" s="671"/>
      <c r="Z892" s="671"/>
      <c r="AA892" s="672"/>
      <c r="AB892" s="673"/>
      <c r="AC892" s="673"/>
      <c r="AD892" s="673"/>
      <c r="AE892" s="673"/>
      <c r="AF892" s="673"/>
      <c r="AG892" s="673"/>
      <c r="AH892" s="673"/>
      <c r="AI892" s="673"/>
      <c r="AJ892" s="673"/>
      <c r="AK892" s="673"/>
      <c r="AL892" s="673"/>
      <c r="AM892" s="673"/>
      <c r="AN892" s="673"/>
      <c r="AO892" s="673"/>
      <c r="AP892" s="673"/>
      <c r="AQ892" s="673"/>
      <c r="AR892" s="673"/>
      <c r="AS892" s="673"/>
    </row>
    <row r="893">
      <c r="A893" s="653"/>
      <c r="B893" s="654"/>
      <c r="C893" s="655"/>
      <c r="D893" s="656"/>
      <c r="E893" s="657"/>
      <c r="F893" s="658"/>
      <c r="G893" s="659"/>
      <c r="H893" s="660"/>
      <c r="I893" s="659"/>
      <c r="J893" s="661"/>
      <c r="K893" s="658"/>
      <c r="L893" s="662"/>
      <c r="M893" s="663"/>
      <c r="N893" s="664"/>
      <c r="O893" s="665"/>
      <c r="P893" s="666"/>
      <c r="Q893" s="667"/>
      <c r="R893" s="668"/>
      <c r="S893" s="665"/>
      <c r="T893" s="669"/>
      <c r="U893" s="669"/>
      <c r="V893" s="665"/>
      <c r="W893" s="670"/>
      <c r="X893" s="670"/>
      <c r="Y893" s="671"/>
      <c r="Z893" s="671"/>
      <c r="AA893" s="672"/>
      <c r="AB893" s="673"/>
      <c r="AC893" s="673"/>
      <c r="AD893" s="673"/>
      <c r="AE893" s="673"/>
      <c r="AF893" s="673"/>
      <c r="AG893" s="673"/>
      <c r="AH893" s="673"/>
      <c r="AI893" s="673"/>
      <c r="AJ893" s="673"/>
      <c r="AK893" s="673"/>
      <c r="AL893" s="673"/>
      <c r="AM893" s="673"/>
      <c r="AN893" s="673"/>
      <c r="AO893" s="673"/>
      <c r="AP893" s="673"/>
      <c r="AQ893" s="673"/>
      <c r="AR893" s="673"/>
      <c r="AS893" s="673"/>
    </row>
    <row r="894">
      <c r="A894" s="653"/>
      <c r="B894" s="654"/>
      <c r="C894" s="655"/>
      <c r="D894" s="656"/>
      <c r="E894" s="657"/>
      <c r="F894" s="658"/>
      <c r="G894" s="659"/>
      <c r="H894" s="660"/>
      <c r="I894" s="659"/>
      <c r="J894" s="661"/>
      <c r="K894" s="658"/>
      <c r="L894" s="662"/>
      <c r="M894" s="663"/>
      <c r="N894" s="664"/>
      <c r="O894" s="665"/>
      <c r="P894" s="666"/>
      <c r="Q894" s="667"/>
      <c r="R894" s="668"/>
      <c r="S894" s="665"/>
      <c r="T894" s="669"/>
      <c r="U894" s="669"/>
      <c r="V894" s="665"/>
      <c r="W894" s="670"/>
      <c r="X894" s="670"/>
      <c r="Y894" s="671"/>
      <c r="Z894" s="671"/>
      <c r="AA894" s="672"/>
      <c r="AB894" s="673"/>
      <c r="AC894" s="673"/>
      <c r="AD894" s="673"/>
      <c r="AE894" s="673"/>
      <c r="AF894" s="673"/>
      <c r="AG894" s="673"/>
      <c r="AH894" s="673"/>
      <c r="AI894" s="673"/>
      <c r="AJ894" s="673"/>
      <c r="AK894" s="673"/>
      <c r="AL894" s="673"/>
      <c r="AM894" s="673"/>
      <c r="AN894" s="673"/>
      <c r="AO894" s="673"/>
      <c r="AP894" s="673"/>
      <c r="AQ894" s="673"/>
      <c r="AR894" s="673"/>
      <c r="AS894" s="673"/>
    </row>
    <row r="895">
      <c r="A895" s="653"/>
      <c r="B895" s="654"/>
      <c r="C895" s="655"/>
      <c r="D895" s="656"/>
      <c r="E895" s="657"/>
      <c r="F895" s="658"/>
      <c r="G895" s="659"/>
      <c r="H895" s="660"/>
      <c r="I895" s="659"/>
      <c r="J895" s="661"/>
      <c r="K895" s="658"/>
      <c r="L895" s="662"/>
      <c r="M895" s="663"/>
      <c r="N895" s="664"/>
      <c r="O895" s="665"/>
      <c r="P895" s="666"/>
      <c r="Q895" s="667"/>
      <c r="R895" s="668"/>
      <c r="S895" s="665"/>
      <c r="T895" s="669"/>
      <c r="U895" s="669"/>
      <c r="V895" s="665"/>
      <c r="W895" s="670"/>
      <c r="X895" s="670"/>
      <c r="Y895" s="671"/>
      <c r="Z895" s="671"/>
      <c r="AA895" s="672"/>
      <c r="AB895" s="673"/>
      <c r="AC895" s="673"/>
      <c r="AD895" s="673"/>
      <c r="AE895" s="673"/>
      <c r="AF895" s="673"/>
      <c r="AG895" s="673"/>
      <c r="AH895" s="673"/>
      <c r="AI895" s="673"/>
      <c r="AJ895" s="673"/>
      <c r="AK895" s="673"/>
      <c r="AL895" s="673"/>
      <c r="AM895" s="673"/>
      <c r="AN895" s="673"/>
      <c r="AO895" s="673"/>
      <c r="AP895" s="673"/>
      <c r="AQ895" s="673"/>
      <c r="AR895" s="673"/>
      <c r="AS895" s="673"/>
    </row>
    <row r="896">
      <c r="A896" s="653"/>
      <c r="B896" s="654"/>
      <c r="C896" s="655"/>
      <c r="D896" s="656"/>
      <c r="E896" s="657"/>
      <c r="F896" s="658"/>
      <c r="G896" s="659"/>
      <c r="H896" s="660"/>
      <c r="I896" s="659"/>
      <c r="J896" s="661"/>
      <c r="K896" s="658"/>
      <c r="L896" s="662"/>
      <c r="M896" s="663"/>
      <c r="N896" s="664"/>
      <c r="O896" s="665"/>
      <c r="P896" s="666"/>
      <c r="Q896" s="667"/>
      <c r="R896" s="668"/>
      <c r="S896" s="665"/>
      <c r="T896" s="669"/>
      <c r="U896" s="669"/>
      <c r="V896" s="665"/>
      <c r="W896" s="670"/>
      <c r="X896" s="670"/>
      <c r="Y896" s="671"/>
      <c r="Z896" s="671"/>
      <c r="AA896" s="672"/>
      <c r="AB896" s="673"/>
      <c r="AC896" s="673"/>
      <c r="AD896" s="673"/>
      <c r="AE896" s="673"/>
      <c r="AF896" s="673"/>
      <c r="AG896" s="673"/>
      <c r="AH896" s="673"/>
      <c r="AI896" s="673"/>
      <c r="AJ896" s="673"/>
      <c r="AK896" s="673"/>
      <c r="AL896" s="673"/>
      <c r="AM896" s="673"/>
      <c r="AN896" s="673"/>
      <c r="AO896" s="673"/>
      <c r="AP896" s="673"/>
      <c r="AQ896" s="673"/>
      <c r="AR896" s="673"/>
      <c r="AS896" s="673"/>
    </row>
    <row r="897">
      <c r="A897" s="653"/>
      <c r="B897" s="654"/>
      <c r="C897" s="655"/>
      <c r="D897" s="656"/>
      <c r="E897" s="657"/>
      <c r="F897" s="658"/>
      <c r="G897" s="659"/>
      <c r="H897" s="660"/>
      <c r="I897" s="659"/>
      <c r="J897" s="661"/>
      <c r="K897" s="658"/>
      <c r="L897" s="662"/>
      <c r="M897" s="663"/>
      <c r="N897" s="664"/>
      <c r="O897" s="665"/>
      <c r="P897" s="666"/>
      <c r="Q897" s="667"/>
      <c r="R897" s="668"/>
      <c r="S897" s="665"/>
      <c r="T897" s="669"/>
      <c r="U897" s="669"/>
      <c r="V897" s="665"/>
      <c r="W897" s="670"/>
      <c r="X897" s="670"/>
      <c r="Y897" s="671"/>
      <c r="Z897" s="671"/>
      <c r="AA897" s="672"/>
      <c r="AB897" s="673"/>
      <c r="AC897" s="673"/>
      <c r="AD897" s="673"/>
      <c r="AE897" s="673"/>
      <c r="AF897" s="673"/>
      <c r="AG897" s="673"/>
      <c r="AH897" s="673"/>
      <c r="AI897" s="673"/>
      <c r="AJ897" s="673"/>
      <c r="AK897" s="673"/>
      <c r="AL897" s="673"/>
      <c r="AM897" s="673"/>
      <c r="AN897" s="673"/>
      <c r="AO897" s="673"/>
      <c r="AP897" s="673"/>
      <c r="AQ897" s="673"/>
      <c r="AR897" s="673"/>
      <c r="AS897" s="673"/>
    </row>
    <row r="898">
      <c r="A898" s="653"/>
      <c r="B898" s="654"/>
      <c r="C898" s="655"/>
      <c r="D898" s="656"/>
      <c r="E898" s="657"/>
      <c r="F898" s="658"/>
      <c r="G898" s="659"/>
      <c r="H898" s="660"/>
      <c r="I898" s="659"/>
      <c r="J898" s="661"/>
      <c r="K898" s="658"/>
      <c r="L898" s="662"/>
      <c r="M898" s="663"/>
      <c r="N898" s="664"/>
      <c r="O898" s="665"/>
      <c r="P898" s="666"/>
      <c r="Q898" s="667"/>
      <c r="R898" s="668"/>
      <c r="S898" s="665"/>
      <c r="T898" s="669"/>
      <c r="U898" s="669"/>
      <c r="V898" s="665"/>
      <c r="W898" s="670"/>
      <c r="X898" s="670"/>
      <c r="Y898" s="671"/>
      <c r="Z898" s="671"/>
      <c r="AA898" s="672"/>
      <c r="AB898" s="673"/>
      <c r="AC898" s="673"/>
      <c r="AD898" s="673"/>
      <c r="AE898" s="673"/>
      <c r="AF898" s="673"/>
      <c r="AG898" s="673"/>
      <c r="AH898" s="673"/>
      <c r="AI898" s="673"/>
      <c r="AJ898" s="673"/>
      <c r="AK898" s="673"/>
      <c r="AL898" s="673"/>
      <c r="AM898" s="673"/>
      <c r="AN898" s="673"/>
      <c r="AO898" s="673"/>
      <c r="AP898" s="673"/>
      <c r="AQ898" s="673"/>
      <c r="AR898" s="673"/>
      <c r="AS898" s="673"/>
    </row>
    <row r="899">
      <c r="A899" s="653"/>
      <c r="B899" s="654"/>
      <c r="C899" s="655"/>
      <c r="D899" s="656"/>
      <c r="E899" s="657"/>
      <c r="F899" s="658"/>
      <c r="G899" s="659"/>
      <c r="H899" s="660"/>
      <c r="I899" s="659"/>
      <c r="J899" s="661"/>
      <c r="K899" s="658"/>
      <c r="L899" s="662"/>
      <c r="M899" s="663"/>
      <c r="N899" s="664"/>
      <c r="O899" s="665"/>
      <c r="P899" s="666"/>
      <c r="Q899" s="667"/>
      <c r="R899" s="668"/>
      <c r="S899" s="665"/>
      <c r="T899" s="669"/>
      <c r="U899" s="669"/>
      <c r="V899" s="665"/>
      <c r="W899" s="670"/>
      <c r="X899" s="670"/>
      <c r="Y899" s="671"/>
      <c r="Z899" s="671"/>
      <c r="AA899" s="672"/>
      <c r="AB899" s="673"/>
      <c r="AC899" s="673"/>
      <c r="AD899" s="673"/>
      <c r="AE899" s="673"/>
      <c r="AF899" s="673"/>
      <c r="AG899" s="673"/>
      <c r="AH899" s="673"/>
      <c r="AI899" s="673"/>
      <c r="AJ899" s="673"/>
      <c r="AK899" s="673"/>
      <c r="AL899" s="673"/>
      <c r="AM899" s="673"/>
      <c r="AN899" s="673"/>
      <c r="AO899" s="673"/>
      <c r="AP899" s="673"/>
      <c r="AQ899" s="673"/>
      <c r="AR899" s="673"/>
      <c r="AS899" s="673"/>
    </row>
    <row r="900">
      <c r="A900" s="653"/>
      <c r="B900" s="654"/>
      <c r="C900" s="655"/>
      <c r="D900" s="656"/>
      <c r="E900" s="657"/>
      <c r="F900" s="658"/>
      <c r="G900" s="659"/>
      <c r="H900" s="660"/>
      <c r="I900" s="659"/>
      <c r="J900" s="661"/>
      <c r="K900" s="658"/>
      <c r="L900" s="662"/>
      <c r="M900" s="663"/>
      <c r="N900" s="664"/>
      <c r="O900" s="665"/>
      <c r="P900" s="666"/>
      <c r="Q900" s="667"/>
      <c r="R900" s="668"/>
      <c r="S900" s="665"/>
      <c r="T900" s="669"/>
      <c r="U900" s="669"/>
      <c r="V900" s="665"/>
      <c r="W900" s="670"/>
      <c r="X900" s="670"/>
      <c r="Y900" s="671"/>
      <c r="Z900" s="671"/>
      <c r="AA900" s="672"/>
      <c r="AB900" s="673"/>
      <c r="AC900" s="673"/>
      <c r="AD900" s="673"/>
      <c r="AE900" s="673"/>
      <c r="AF900" s="673"/>
      <c r="AG900" s="673"/>
      <c r="AH900" s="673"/>
      <c r="AI900" s="673"/>
      <c r="AJ900" s="673"/>
      <c r="AK900" s="673"/>
      <c r="AL900" s="673"/>
      <c r="AM900" s="673"/>
      <c r="AN900" s="673"/>
      <c r="AO900" s="673"/>
      <c r="AP900" s="673"/>
      <c r="AQ900" s="673"/>
      <c r="AR900" s="673"/>
      <c r="AS900" s="673"/>
    </row>
    <row r="901">
      <c r="A901" s="653"/>
      <c r="B901" s="654"/>
      <c r="C901" s="655"/>
      <c r="D901" s="656"/>
      <c r="E901" s="657"/>
      <c r="F901" s="658"/>
      <c r="G901" s="659"/>
      <c r="H901" s="660"/>
      <c r="I901" s="659"/>
      <c r="J901" s="661"/>
      <c r="K901" s="658"/>
      <c r="L901" s="662"/>
      <c r="M901" s="663"/>
      <c r="N901" s="664"/>
      <c r="O901" s="665"/>
      <c r="P901" s="666"/>
      <c r="Q901" s="667"/>
      <c r="R901" s="668"/>
      <c r="S901" s="665"/>
      <c r="T901" s="669"/>
      <c r="U901" s="669"/>
      <c r="V901" s="665"/>
      <c r="W901" s="670"/>
      <c r="X901" s="670"/>
      <c r="Y901" s="671"/>
      <c r="Z901" s="671"/>
      <c r="AA901" s="672"/>
      <c r="AB901" s="673"/>
      <c r="AC901" s="673"/>
      <c r="AD901" s="673"/>
      <c r="AE901" s="673"/>
      <c r="AF901" s="673"/>
      <c r="AG901" s="673"/>
      <c r="AH901" s="673"/>
      <c r="AI901" s="673"/>
      <c r="AJ901" s="673"/>
      <c r="AK901" s="673"/>
      <c r="AL901" s="673"/>
      <c r="AM901" s="673"/>
      <c r="AN901" s="673"/>
      <c r="AO901" s="673"/>
      <c r="AP901" s="673"/>
      <c r="AQ901" s="673"/>
      <c r="AR901" s="673"/>
      <c r="AS901" s="673"/>
    </row>
    <row r="902">
      <c r="A902" s="653"/>
      <c r="B902" s="654"/>
      <c r="C902" s="655"/>
      <c r="D902" s="656"/>
      <c r="E902" s="657"/>
      <c r="F902" s="658"/>
      <c r="G902" s="659"/>
      <c r="H902" s="660"/>
      <c r="I902" s="659"/>
      <c r="J902" s="661"/>
      <c r="K902" s="658"/>
      <c r="L902" s="662"/>
      <c r="M902" s="663"/>
      <c r="N902" s="664"/>
      <c r="O902" s="665"/>
      <c r="P902" s="666"/>
      <c r="Q902" s="667"/>
      <c r="R902" s="668"/>
      <c r="S902" s="665"/>
      <c r="T902" s="669"/>
      <c r="U902" s="669"/>
      <c r="V902" s="665"/>
      <c r="W902" s="670"/>
      <c r="X902" s="670"/>
      <c r="Y902" s="671"/>
      <c r="Z902" s="671"/>
      <c r="AA902" s="672"/>
      <c r="AB902" s="673"/>
      <c r="AC902" s="673"/>
      <c r="AD902" s="673"/>
      <c r="AE902" s="673"/>
      <c r="AF902" s="673"/>
      <c r="AG902" s="673"/>
      <c r="AH902" s="673"/>
      <c r="AI902" s="673"/>
      <c r="AJ902" s="673"/>
      <c r="AK902" s="673"/>
      <c r="AL902" s="673"/>
      <c r="AM902" s="673"/>
      <c r="AN902" s="673"/>
      <c r="AO902" s="673"/>
      <c r="AP902" s="673"/>
      <c r="AQ902" s="673"/>
      <c r="AR902" s="673"/>
      <c r="AS902" s="673"/>
    </row>
    <row r="903">
      <c r="A903" s="653"/>
      <c r="B903" s="654"/>
      <c r="C903" s="655"/>
      <c r="D903" s="656"/>
      <c r="E903" s="657"/>
      <c r="F903" s="658"/>
      <c r="G903" s="659"/>
      <c r="H903" s="660"/>
      <c r="I903" s="659"/>
      <c r="J903" s="661"/>
      <c r="K903" s="658"/>
      <c r="L903" s="662"/>
      <c r="M903" s="663"/>
      <c r="N903" s="664"/>
      <c r="O903" s="665"/>
      <c r="P903" s="666"/>
      <c r="Q903" s="667"/>
      <c r="R903" s="668"/>
      <c r="S903" s="665"/>
      <c r="T903" s="669"/>
      <c r="U903" s="669"/>
      <c r="V903" s="665"/>
      <c r="W903" s="670"/>
      <c r="X903" s="670"/>
      <c r="Y903" s="671"/>
      <c r="Z903" s="671"/>
      <c r="AA903" s="672"/>
      <c r="AB903" s="673"/>
      <c r="AC903" s="673"/>
      <c r="AD903" s="673"/>
      <c r="AE903" s="673"/>
      <c r="AF903" s="673"/>
      <c r="AG903" s="673"/>
      <c r="AH903" s="673"/>
      <c r="AI903" s="673"/>
      <c r="AJ903" s="673"/>
      <c r="AK903" s="673"/>
      <c r="AL903" s="673"/>
      <c r="AM903" s="673"/>
      <c r="AN903" s="673"/>
      <c r="AO903" s="673"/>
      <c r="AP903" s="673"/>
      <c r="AQ903" s="673"/>
      <c r="AR903" s="673"/>
      <c r="AS903" s="673"/>
    </row>
    <row r="904">
      <c r="A904" s="653"/>
      <c r="B904" s="654"/>
      <c r="C904" s="655"/>
      <c r="D904" s="656"/>
      <c r="E904" s="657"/>
      <c r="F904" s="658"/>
      <c r="G904" s="659"/>
      <c r="H904" s="660"/>
      <c r="I904" s="659"/>
      <c r="J904" s="661"/>
      <c r="K904" s="658"/>
      <c r="L904" s="662"/>
      <c r="M904" s="663"/>
      <c r="N904" s="664"/>
      <c r="O904" s="665"/>
      <c r="P904" s="666"/>
      <c r="Q904" s="667"/>
      <c r="R904" s="668"/>
      <c r="S904" s="665"/>
      <c r="T904" s="669"/>
      <c r="U904" s="669"/>
      <c r="V904" s="665"/>
      <c r="W904" s="670"/>
      <c r="X904" s="670"/>
      <c r="Y904" s="671"/>
      <c r="Z904" s="671"/>
      <c r="AA904" s="672"/>
      <c r="AB904" s="673"/>
      <c r="AC904" s="673"/>
      <c r="AD904" s="673"/>
      <c r="AE904" s="673"/>
      <c r="AF904" s="673"/>
      <c r="AG904" s="673"/>
      <c r="AH904" s="673"/>
      <c r="AI904" s="673"/>
      <c r="AJ904" s="673"/>
      <c r="AK904" s="673"/>
      <c r="AL904" s="673"/>
      <c r="AM904" s="673"/>
      <c r="AN904" s="673"/>
      <c r="AO904" s="673"/>
      <c r="AP904" s="673"/>
      <c r="AQ904" s="673"/>
      <c r="AR904" s="673"/>
      <c r="AS904" s="673"/>
    </row>
    <row r="905">
      <c r="A905" s="653"/>
      <c r="B905" s="654"/>
      <c r="C905" s="655"/>
      <c r="D905" s="656"/>
      <c r="E905" s="657"/>
      <c r="F905" s="658"/>
      <c r="G905" s="659"/>
      <c r="H905" s="660"/>
      <c r="I905" s="659"/>
      <c r="J905" s="661"/>
      <c r="K905" s="658"/>
      <c r="L905" s="662"/>
      <c r="M905" s="663"/>
      <c r="N905" s="664"/>
      <c r="O905" s="665"/>
      <c r="P905" s="666"/>
      <c r="Q905" s="667"/>
      <c r="R905" s="668"/>
      <c r="S905" s="665"/>
      <c r="T905" s="669"/>
      <c r="U905" s="669"/>
      <c r="V905" s="665"/>
      <c r="W905" s="670"/>
      <c r="X905" s="670"/>
      <c r="Y905" s="671"/>
      <c r="Z905" s="671"/>
      <c r="AA905" s="672"/>
      <c r="AB905" s="673"/>
      <c r="AC905" s="673"/>
      <c r="AD905" s="673"/>
      <c r="AE905" s="673"/>
      <c r="AF905" s="673"/>
      <c r="AG905" s="673"/>
      <c r="AH905" s="673"/>
      <c r="AI905" s="673"/>
      <c r="AJ905" s="673"/>
      <c r="AK905" s="673"/>
      <c r="AL905" s="673"/>
      <c r="AM905" s="673"/>
      <c r="AN905" s="673"/>
      <c r="AO905" s="673"/>
      <c r="AP905" s="673"/>
      <c r="AQ905" s="673"/>
      <c r="AR905" s="673"/>
      <c r="AS905" s="673"/>
    </row>
    <row r="906">
      <c r="A906" s="653"/>
      <c r="B906" s="654"/>
      <c r="C906" s="655"/>
      <c r="D906" s="656"/>
      <c r="E906" s="657"/>
      <c r="F906" s="658"/>
      <c r="G906" s="659"/>
      <c r="H906" s="660"/>
      <c r="I906" s="659"/>
      <c r="J906" s="661"/>
      <c r="K906" s="658"/>
      <c r="L906" s="662"/>
      <c r="M906" s="663"/>
      <c r="N906" s="664"/>
      <c r="O906" s="665"/>
      <c r="P906" s="666"/>
      <c r="Q906" s="667"/>
      <c r="R906" s="668"/>
      <c r="S906" s="665"/>
      <c r="T906" s="669"/>
      <c r="U906" s="669"/>
      <c r="V906" s="665"/>
      <c r="W906" s="670"/>
      <c r="X906" s="670"/>
      <c r="Y906" s="671"/>
      <c r="Z906" s="671"/>
      <c r="AA906" s="672"/>
      <c r="AB906" s="673"/>
      <c r="AC906" s="673"/>
      <c r="AD906" s="673"/>
      <c r="AE906" s="673"/>
      <c r="AF906" s="673"/>
      <c r="AG906" s="673"/>
      <c r="AH906" s="673"/>
      <c r="AI906" s="673"/>
      <c r="AJ906" s="673"/>
      <c r="AK906" s="673"/>
      <c r="AL906" s="673"/>
      <c r="AM906" s="673"/>
      <c r="AN906" s="673"/>
      <c r="AO906" s="673"/>
      <c r="AP906" s="673"/>
      <c r="AQ906" s="673"/>
      <c r="AR906" s="673"/>
      <c r="AS906" s="673"/>
    </row>
    <row r="907">
      <c r="A907" s="653"/>
      <c r="B907" s="654"/>
      <c r="C907" s="655"/>
      <c r="D907" s="656"/>
      <c r="E907" s="657"/>
      <c r="F907" s="658"/>
      <c r="G907" s="659"/>
      <c r="H907" s="660"/>
      <c r="I907" s="659"/>
      <c r="J907" s="661"/>
      <c r="K907" s="658"/>
      <c r="L907" s="662"/>
      <c r="M907" s="663"/>
      <c r="N907" s="664"/>
      <c r="O907" s="665"/>
      <c r="P907" s="666"/>
      <c r="Q907" s="667"/>
      <c r="R907" s="668"/>
      <c r="S907" s="665"/>
      <c r="T907" s="669"/>
      <c r="U907" s="669"/>
      <c r="V907" s="665"/>
      <c r="W907" s="670"/>
      <c r="X907" s="670"/>
      <c r="Y907" s="671"/>
      <c r="Z907" s="671"/>
      <c r="AA907" s="672"/>
      <c r="AB907" s="673"/>
      <c r="AC907" s="673"/>
      <c r="AD907" s="673"/>
      <c r="AE907" s="673"/>
      <c r="AF907" s="673"/>
      <c r="AG907" s="673"/>
      <c r="AH907" s="673"/>
      <c r="AI907" s="673"/>
      <c r="AJ907" s="673"/>
      <c r="AK907" s="673"/>
      <c r="AL907" s="673"/>
      <c r="AM907" s="673"/>
      <c r="AN907" s="673"/>
      <c r="AO907" s="673"/>
      <c r="AP907" s="673"/>
      <c r="AQ907" s="673"/>
      <c r="AR907" s="673"/>
      <c r="AS907" s="673"/>
    </row>
    <row r="908">
      <c r="A908" s="653"/>
      <c r="B908" s="654"/>
      <c r="C908" s="655"/>
      <c r="D908" s="656"/>
      <c r="E908" s="657"/>
      <c r="F908" s="658"/>
      <c r="G908" s="659"/>
      <c r="H908" s="660"/>
      <c r="I908" s="659"/>
      <c r="J908" s="661"/>
      <c r="K908" s="658"/>
      <c r="L908" s="662"/>
      <c r="M908" s="663"/>
      <c r="N908" s="664"/>
      <c r="O908" s="665"/>
      <c r="P908" s="666"/>
      <c r="Q908" s="667"/>
      <c r="R908" s="668"/>
      <c r="S908" s="665"/>
      <c r="T908" s="669"/>
      <c r="U908" s="669"/>
      <c r="V908" s="665"/>
      <c r="W908" s="670"/>
      <c r="X908" s="670"/>
      <c r="Y908" s="671"/>
      <c r="Z908" s="671"/>
      <c r="AA908" s="672"/>
      <c r="AB908" s="673"/>
      <c r="AC908" s="673"/>
      <c r="AD908" s="673"/>
      <c r="AE908" s="673"/>
      <c r="AF908" s="673"/>
      <c r="AG908" s="673"/>
      <c r="AH908" s="673"/>
      <c r="AI908" s="673"/>
      <c r="AJ908" s="673"/>
      <c r="AK908" s="673"/>
      <c r="AL908" s="673"/>
      <c r="AM908" s="673"/>
      <c r="AN908" s="673"/>
      <c r="AO908" s="673"/>
      <c r="AP908" s="673"/>
      <c r="AQ908" s="673"/>
      <c r="AR908" s="673"/>
      <c r="AS908" s="673"/>
    </row>
    <row r="909">
      <c r="A909" s="653"/>
      <c r="B909" s="654"/>
      <c r="C909" s="655"/>
      <c r="D909" s="656"/>
      <c r="E909" s="657"/>
      <c r="F909" s="658"/>
      <c r="G909" s="659"/>
      <c r="H909" s="660"/>
      <c r="I909" s="659"/>
      <c r="J909" s="661"/>
      <c r="K909" s="658"/>
      <c r="L909" s="662"/>
      <c r="M909" s="663"/>
      <c r="N909" s="664"/>
      <c r="O909" s="665"/>
      <c r="P909" s="666"/>
      <c r="Q909" s="667"/>
      <c r="R909" s="668"/>
      <c r="S909" s="665"/>
      <c r="T909" s="669"/>
      <c r="U909" s="669"/>
      <c r="V909" s="665"/>
      <c r="W909" s="670"/>
      <c r="X909" s="670"/>
      <c r="Y909" s="671"/>
      <c r="Z909" s="671"/>
      <c r="AA909" s="672"/>
      <c r="AB909" s="673"/>
      <c r="AC909" s="673"/>
      <c r="AD909" s="673"/>
      <c r="AE909" s="673"/>
      <c r="AF909" s="673"/>
      <c r="AG909" s="673"/>
      <c r="AH909" s="673"/>
      <c r="AI909" s="673"/>
      <c r="AJ909" s="673"/>
      <c r="AK909" s="673"/>
      <c r="AL909" s="673"/>
      <c r="AM909" s="673"/>
      <c r="AN909" s="673"/>
      <c r="AO909" s="673"/>
      <c r="AP909" s="673"/>
      <c r="AQ909" s="673"/>
      <c r="AR909" s="673"/>
      <c r="AS909" s="673"/>
    </row>
    <row r="910">
      <c r="A910" s="653"/>
      <c r="B910" s="654"/>
      <c r="C910" s="655"/>
      <c r="D910" s="656"/>
      <c r="E910" s="657"/>
      <c r="F910" s="658"/>
      <c r="G910" s="659"/>
      <c r="H910" s="660"/>
      <c r="I910" s="659"/>
      <c r="J910" s="661"/>
      <c r="K910" s="658"/>
      <c r="L910" s="662"/>
      <c r="M910" s="663"/>
      <c r="N910" s="664"/>
      <c r="O910" s="665"/>
      <c r="P910" s="666"/>
      <c r="Q910" s="667"/>
      <c r="R910" s="668"/>
      <c r="S910" s="665"/>
      <c r="T910" s="669"/>
      <c r="U910" s="669"/>
      <c r="V910" s="665"/>
      <c r="W910" s="670"/>
      <c r="X910" s="670"/>
      <c r="Y910" s="671"/>
      <c r="Z910" s="671"/>
      <c r="AA910" s="672"/>
      <c r="AB910" s="673"/>
      <c r="AC910" s="673"/>
      <c r="AD910" s="673"/>
      <c r="AE910" s="673"/>
      <c r="AF910" s="673"/>
      <c r="AG910" s="673"/>
      <c r="AH910" s="673"/>
      <c r="AI910" s="673"/>
      <c r="AJ910" s="673"/>
      <c r="AK910" s="673"/>
      <c r="AL910" s="673"/>
      <c r="AM910" s="673"/>
      <c r="AN910" s="673"/>
      <c r="AO910" s="673"/>
      <c r="AP910" s="673"/>
      <c r="AQ910" s="673"/>
      <c r="AR910" s="673"/>
      <c r="AS910" s="673"/>
    </row>
    <row r="911">
      <c r="A911" s="653"/>
      <c r="B911" s="654"/>
      <c r="C911" s="655"/>
      <c r="D911" s="656"/>
      <c r="E911" s="657"/>
      <c r="F911" s="658"/>
      <c r="G911" s="659"/>
      <c r="H911" s="660"/>
      <c r="I911" s="659"/>
      <c r="J911" s="661"/>
      <c r="K911" s="658"/>
      <c r="L911" s="662"/>
      <c r="M911" s="663"/>
      <c r="N911" s="664"/>
      <c r="O911" s="665"/>
      <c r="P911" s="666"/>
      <c r="Q911" s="667"/>
      <c r="R911" s="668"/>
      <c r="S911" s="665"/>
      <c r="T911" s="669"/>
      <c r="U911" s="669"/>
      <c r="V911" s="665"/>
      <c r="W911" s="670"/>
      <c r="X911" s="670"/>
      <c r="Y911" s="671"/>
      <c r="Z911" s="671"/>
      <c r="AA911" s="672"/>
      <c r="AB911" s="673"/>
      <c r="AC911" s="673"/>
      <c r="AD911" s="673"/>
      <c r="AE911" s="673"/>
      <c r="AF911" s="673"/>
      <c r="AG911" s="673"/>
      <c r="AH911" s="673"/>
      <c r="AI911" s="673"/>
      <c r="AJ911" s="673"/>
      <c r="AK911" s="673"/>
      <c r="AL911" s="673"/>
      <c r="AM911" s="673"/>
      <c r="AN911" s="673"/>
      <c r="AO911" s="673"/>
      <c r="AP911" s="673"/>
      <c r="AQ911" s="673"/>
      <c r="AR911" s="673"/>
      <c r="AS911" s="673"/>
    </row>
    <row r="912">
      <c r="A912" s="653"/>
      <c r="B912" s="654"/>
      <c r="C912" s="655"/>
      <c r="D912" s="656"/>
      <c r="E912" s="657"/>
      <c r="F912" s="658"/>
      <c r="G912" s="659"/>
      <c r="H912" s="660"/>
      <c r="I912" s="659"/>
      <c r="J912" s="661"/>
      <c r="K912" s="658"/>
      <c r="L912" s="662"/>
      <c r="M912" s="663"/>
      <c r="N912" s="664"/>
      <c r="O912" s="665"/>
      <c r="P912" s="666"/>
      <c r="Q912" s="667"/>
      <c r="R912" s="668"/>
      <c r="S912" s="665"/>
      <c r="T912" s="669"/>
      <c r="U912" s="669"/>
      <c r="V912" s="665"/>
      <c r="W912" s="670"/>
      <c r="X912" s="670"/>
      <c r="Y912" s="671"/>
      <c r="Z912" s="671"/>
      <c r="AA912" s="672"/>
      <c r="AB912" s="673"/>
      <c r="AC912" s="673"/>
      <c r="AD912" s="673"/>
      <c r="AE912" s="673"/>
      <c r="AF912" s="673"/>
      <c r="AG912" s="673"/>
      <c r="AH912" s="673"/>
      <c r="AI912" s="673"/>
      <c r="AJ912" s="673"/>
      <c r="AK912" s="673"/>
      <c r="AL912" s="673"/>
      <c r="AM912" s="673"/>
      <c r="AN912" s="673"/>
      <c r="AO912" s="673"/>
      <c r="AP912" s="673"/>
      <c r="AQ912" s="673"/>
      <c r="AR912" s="673"/>
      <c r="AS912" s="673"/>
    </row>
    <row r="913">
      <c r="A913" s="653"/>
      <c r="B913" s="654"/>
      <c r="C913" s="655"/>
      <c r="D913" s="656"/>
      <c r="E913" s="657"/>
      <c r="F913" s="658"/>
      <c r="G913" s="659"/>
      <c r="H913" s="660"/>
      <c r="I913" s="659"/>
      <c r="J913" s="661"/>
      <c r="K913" s="658"/>
      <c r="L913" s="662"/>
      <c r="M913" s="663"/>
      <c r="N913" s="664"/>
      <c r="O913" s="665"/>
      <c r="P913" s="666"/>
      <c r="Q913" s="667"/>
      <c r="R913" s="668"/>
      <c r="S913" s="665"/>
      <c r="T913" s="669"/>
      <c r="U913" s="669"/>
      <c r="V913" s="665"/>
      <c r="W913" s="670"/>
      <c r="X913" s="670"/>
      <c r="Y913" s="671"/>
      <c r="Z913" s="671"/>
      <c r="AA913" s="672"/>
      <c r="AB913" s="673"/>
      <c r="AC913" s="673"/>
      <c r="AD913" s="673"/>
      <c r="AE913" s="673"/>
      <c r="AF913" s="673"/>
      <c r="AG913" s="673"/>
      <c r="AH913" s="673"/>
      <c r="AI913" s="673"/>
      <c r="AJ913" s="673"/>
      <c r="AK913" s="673"/>
      <c r="AL913" s="673"/>
      <c r="AM913" s="673"/>
      <c r="AN913" s="673"/>
      <c r="AO913" s="673"/>
      <c r="AP913" s="673"/>
      <c r="AQ913" s="673"/>
      <c r="AR913" s="673"/>
      <c r="AS913" s="673"/>
    </row>
    <row r="914">
      <c r="A914" s="653"/>
      <c r="B914" s="654"/>
      <c r="C914" s="655"/>
      <c r="D914" s="656"/>
      <c r="E914" s="657"/>
      <c r="F914" s="658"/>
      <c r="G914" s="659"/>
      <c r="H914" s="660"/>
      <c r="I914" s="659"/>
      <c r="J914" s="661"/>
      <c r="K914" s="658"/>
      <c r="L914" s="662"/>
      <c r="M914" s="663"/>
      <c r="N914" s="664"/>
      <c r="O914" s="665"/>
      <c r="P914" s="666"/>
      <c r="Q914" s="667"/>
      <c r="R914" s="668"/>
      <c r="S914" s="665"/>
      <c r="T914" s="669"/>
      <c r="U914" s="669"/>
      <c r="V914" s="665"/>
      <c r="W914" s="670"/>
      <c r="X914" s="670"/>
      <c r="Y914" s="671"/>
      <c r="Z914" s="671"/>
      <c r="AA914" s="672"/>
      <c r="AB914" s="673"/>
      <c r="AC914" s="673"/>
      <c r="AD914" s="673"/>
      <c r="AE914" s="673"/>
      <c r="AF914" s="673"/>
      <c r="AG914" s="673"/>
      <c r="AH914" s="673"/>
      <c r="AI914" s="673"/>
      <c r="AJ914" s="673"/>
      <c r="AK914" s="673"/>
      <c r="AL914" s="673"/>
      <c r="AM914" s="673"/>
      <c r="AN914" s="673"/>
      <c r="AO914" s="673"/>
      <c r="AP914" s="673"/>
      <c r="AQ914" s="673"/>
      <c r="AR914" s="673"/>
      <c r="AS914" s="673"/>
    </row>
    <row r="915">
      <c r="A915" s="653"/>
      <c r="B915" s="654"/>
      <c r="C915" s="655"/>
      <c r="D915" s="656"/>
      <c r="E915" s="657"/>
      <c r="F915" s="658"/>
      <c r="G915" s="659"/>
      <c r="H915" s="660"/>
      <c r="I915" s="659"/>
      <c r="J915" s="661"/>
      <c r="K915" s="658"/>
      <c r="L915" s="662"/>
      <c r="M915" s="663"/>
      <c r="N915" s="664"/>
      <c r="O915" s="665"/>
      <c r="P915" s="666"/>
      <c r="Q915" s="667"/>
      <c r="R915" s="668"/>
      <c r="S915" s="665"/>
      <c r="T915" s="669"/>
      <c r="U915" s="669"/>
      <c r="V915" s="665"/>
      <c r="W915" s="670"/>
      <c r="X915" s="670"/>
      <c r="Y915" s="671"/>
      <c r="Z915" s="671"/>
      <c r="AA915" s="672"/>
      <c r="AB915" s="673"/>
      <c r="AC915" s="673"/>
      <c r="AD915" s="673"/>
      <c r="AE915" s="673"/>
      <c r="AF915" s="673"/>
      <c r="AG915" s="673"/>
      <c r="AH915" s="673"/>
      <c r="AI915" s="673"/>
      <c r="AJ915" s="673"/>
      <c r="AK915" s="673"/>
      <c r="AL915" s="673"/>
      <c r="AM915" s="673"/>
      <c r="AN915" s="673"/>
      <c r="AO915" s="673"/>
      <c r="AP915" s="673"/>
      <c r="AQ915" s="673"/>
      <c r="AR915" s="673"/>
      <c r="AS915" s="673"/>
    </row>
    <row r="916">
      <c r="A916" s="653"/>
      <c r="B916" s="654"/>
      <c r="C916" s="655"/>
      <c r="D916" s="656"/>
      <c r="E916" s="657"/>
      <c r="F916" s="658"/>
      <c r="G916" s="659"/>
      <c r="H916" s="660"/>
      <c r="I916" s="659"/>
      <c r="J916" s="661"/>
      <c r="K916" s="658"/>
      <c r="L916" s="662"/>
      <c r="M916" s="663"/>
      <c r="N916" s="664"/>
      <c r="O916" s="665"/>
      <c r="P916" s="666"/>
      <c r="Q916" s="667"/>
      <c r="R916" s="668"/>
      <c r="S916" s="665"/>
      <c r="T916" s="669"/>
      <c r="U916" s="669"/>
      <c r="V916" s="665"/>
      <c r="W916" s="670"/>
      <c r="X916" s="670"/>
      <c r="Y916" s="671"/>
      <c r="Z916" s="671"/>
      <c r="AA916" s="672"/>
      <c r="AB916" s="673"/>
      <c r="AC916" s="673"/>
      <c r="AD916" s="673"/>
      <c r="AE916" s="673"/>
      <c r="AF916" s="673"/>
      <c r="AG916" s="673"/>
      <c r="AH916" s="673"/>
      <c r="AI916" s="673"/>
      <c r="AJ916" s="673"/>
      <c r="AK916" s="673"/>
      <c r="AL916" s="673"/>
      <c r="AM916" s="673"/>
      <c r="AN916" s="673"/>
      <c r="AO916" s="673"/>
      <c r="AP916" s="673"/>
      <c r="AQ916" s="673"/>
      <c r="AR916" s="673"/>
      <c r="AS916" s="673"/>
    </row>
    <row r="917">
      <c r="A917" s="653"/>
      <c r="B917" s="654"/>
      <c r="C917" s="655"/>
      <c r="D917" s="656"/>
      <c r="E917" s="657"/>
      <c r="F917" s="658"/>
      <c r="G917" s="659"/>
      <c r="H917" s="660"/>
      <c r="I917" s="659"/>
      <c r="J917" s="661"/>
      <c r="K917" s="658"/>
      <c r="L917" s="662"/>
      <c r="M917" s="663"/>
      <c r="N917" s="664"/>
      <c r="O917" s="665"/>
      <c r="P917" s="666"/>
      <c r="Q917" s="667"/>
      <c r="R917" s="668"/>
      <c r="S917" s="665"/>
      <c r="T917" s="669"/>
      <c r="U917" s="669"/>
      <c r="V917" s="665"/>
      <c r="W917" s="670"/>
      <c r="X917" s="670"/>
      <c r="Y917" s="671"/>
      <c r="Z917" s="671"/>
      <c r="AA917" s="672"/>
      <c r="AB917" s="673"/>
      <c r="AC917" s="673"/>
      <c r="AD917" s="673"/>
      <c r="AE917" s="673"/>
      <c r="AF917" s="673"/>
      <c r="AG917" s="673"/>
      <c r="AH917" s="673"/>
      <c r="AI917" s="673"/>
      <c r="AJ917" s="673"/>
      <c r="AK917" s="673"/>
      <c r="AL917" s="673"/>
      <c r="AM917" s="673"/>
      <c r="AN917" s="673"/>
      <c r="AO917" s="673"/>
      <c r="AP917" s="673"/>
      <c r="AQ917" s="673"/>
      <c r="AR917" s="673"/>
      <c r="AS917" s="673"/>
    </row>
    <row r="918">
      <c r="A918" s="653"/>
      <c r="B918" s="654"/>
      <c r="C918" s="655"/>
      <c r="D918" s="656"/>
      <c r="E918" s="657"/>
      <c r="F918" s="658"/>
      <c r="G918" s="659"/>
      <c r="H918" s="660"/>
      <c r="I918" s="659"/>
      <c r="J918" s="661"/>
      <c r="K918" s="658"/>
      <c r="L918" s="662"/>
      <c r="M918" s="663"/>
      <c r="N918" s="664"/>
      <c r="O918" s="665"/>
      <c r="P918" s="666"/>
      <c r="Q918" s="667"/>
      <c r="R918" s="668"/>
      <c r="S918" s="665"/>
      <c r="T918" s="669"/>
      <c r="U918" s="669"/>
      <c r="V918" s="665"/>
      <c r="W918" s="670"/>
      <c r="X918" s="670"/>
      <c r="Y918" s="671"/>
      <c r="Z918" s="671"/>
      <c r="AA918" s="672"/>
      <c r="AB918" s="673"/>
      <c r="AC918" s="673"/>
      <c r="AD918" s="673"/>
      <c r="AE918" s="673"/>
      <c r="AF918" s="673"/>
      <c r="AG918" s="673"/>
      <c r="AH918" s="673"/>
      <c r="AI918" s="673"/>
      <c r="AJ918" s="673"/>
      <c r="AK918" s="673"/>
      <c r="AL918" s="673"/>
      <c r="AM918" s="673"/>
      <c r="AN918" s="673"/>
      <c r="AO918" s="673"/>
      <c r="AP918" s="673"/>
      <c r="AQ918" s="673"/>
      <c r="AR918" s="673"/>
      <c r="AS918" s="673"/>
    </row>
    <row r="919">
      <c r="A919" s="653"/>
      <c r="B919" s="654"/>
      <c r="C919" s="655"/>
      <c r="D919" s="656"/>
      <c r="E919" s="657"/>
      <c r="F919" s="658"/>
      <c r="G919" s="659"/>
      <c r="H919" s="660"/>
      <c r="I919" s="659"/>
      <c r="J919" s="661"/>
      <c r="K919" s="658"/>
      <c r="L919" s="662"/>
      <c r="M919" s="663"/>
      <c r="N919" s="664"/>
      <c r="O919" s="665"/>
      <c r="P919" s="666"/>
      <c r="Q919" s="667"/>
      <c r="R919" s="668"/>
      <c r="S919" s="665"/>
      <c r="T919" s="669"/>
      <c r="U919" s="669"/>
      <c r="V919" s="665"/>
      <c r="W919" s="670"/>
      <c r="X919" s="670"/>
      <c r="Y919" s="671"/>
      <c r="Z919" s="671"/>
      <c r="AA919" s="672"/>
      <c r="AB919" s="673"/>
      <c r="AC919" s="673"/>
      <c r="AD919" s="673"/>
      <c r="AE919" s="673"/>
      <c r="AF919" s="673"/>
      <c r="AG919" s="673"/>
      <c r="AH919" s="673"/>
      <c r="AI919" s="673"/>
      <c r="AJ919" s="673"/>
      <c r="AK919" s="673"/>
      <c r="AL919" s="673"/>
      <c r="AM919" s="673"/>
      <c r="AN919" s="673"/>
      <c r="AO919" s="673"/>
      <c r="AP919" s="673"/>
      <c r="AQ919" s="673"/>
      <c r="AR919" s="673"/>
      <c r="AS919" s="673"/>
    </row>
    <row r="920">
      <c r="A920" s="653"/>
      <c r="B920" s="654"/>
      <c r="C920" s="655"/>
      <c r="D920" s="656"/>
      <c r="E920" s="657"/>
      <c r="F920" s="658"/>
      <c r="G920" s="659"/>
      <c r="H920" s="660"/>
      <c r="I920" s="659"/>
      <c r="J920" s="661"/>
      <c r="K920" s="658"/>
      <c r="L920" s="662"/>
      <c r="M920" s="663"/>
      <c r="N920" s="664"/>
      <c r="O920" s="665"/>
      <c r="P920" s="666"/>
      <c r="Q920" s="667"/>
      <c r="R920" s="668"/>
      <c r="S920" s="665"/>
      <c r="T920" s="669"/>
      <c r="U920" s="669"/>
      <c r="V920" s="665"/>
      <c r="W920" s="670"/>
      <c r="X920" s="670"/>
      <c r="Y920" s="671"/>
      <c r="Z920" s="671"/>
      <c r="AA920" s="672"/>
      <c r="AB920" s="673"/>
      <c r="AC920" s="673"/>
      <c r="AD920" s="673"/>
      <c r="AE920" s="673"/>
      <c r="AF920" s="673"/>
      <c r="AG920" s="673"/>
      <c r="AH920" s="673"/>
      <c r="AI920" s="673"/>
      <c r="AJ920" s="673"/>
      <c r="AK920" s="673"/>
      <c r="AL920" s="673"/>
      <c r="AM920" s="673"/>
      <c r="AN920" s="673"/>
      <c r="AO920" s="673"/>
      <c r="AP920" s="673"/>
      <c r="AQ920" s="673"/>
      <c r="AR920" s="673"/>
      <c r="AS920" s="673"/>
    </row>
    <row r="921">
      <c r="A921" s="653"/>
      <c r="B921" s="654"/>
      <c r="C921" s="655"/>
      <c r="D921" s="656"/>
      <c r="E921" s="657"/>
      <c r="F921" s="658"/>
      <c r="G921" s="659"/>
      <c r="H921" s="660"/>
      <c r="I921" s="659"/>
      <c r="J921" s="661"/>
      <c r="K921" s="658"/>
      <c r="L921" s="662"/>
      <c r="M921" s="663"/>
      <c r="N921" s="664"/>
      <c r="O921" s="665"/>
      <c r="P921" s="666"/>
      <c r="Q921" s="667"/>
      <c r="R921" s="668"/>
      <c r="S921" s="665"/>
      <c r="T921" s="669"/>
      <c r="U921" s="669"/>
      <c r="V921" s="665"/>
      <c r="W921" s="670"/>
      <c r="X921" s="670"/>
      <c r="Y921" s="671"/>
      <c r="Z921" s="671"/>
      <c r="AA921" s="672"/>
      <c r="AB921" s="673"/>
      <c r="AC921" s="673"/>
      <c r="AD921" s="673"/>
      <c r="AE921" s="673"/>
      <c r="AF921" s="673"/>
      <c r="AG921" s="673"/>
      <c r="AH921" s="673"/>
      <c r="AI921" s="673"/>
      <c r="AJ921" s="673"/>
      <c r="AK921" s="673"/>
      <c r="AL921" s="673"/>
      <c r="AM921" s="673"/>
      <c r="AN921" s="673"/>
      <c r="AO921" s="673"/>
      <c r="AP921" s="673"/>
      <c r="AQ921" s="673"/>
      <c r="AR921" s="673"/>
      <c r="AS921" s="673"/>
    </row>
    <row r="922">
      <c r="A922" s="653"/>
      <c r="B922" s="654"/>
      <c r="C922" s="655"/>
      <c r="D922" s="656"/>
      <c r="E922" s="657"/>
      <c r="F922" s="658"/>
      <c r="G922" s="659"/>
      <c r="H922" s="660"/>
      <c r="I922" s="659"/>
      <c r="J922" s="661"/>
      <c r="K922" s="658"/>
      <c r="L922" s="662"/>
      <c r="M922" s="663"/>
      <c r="N922" s="664"/>
      <c r="O922" s="665"/>
      <c r="P922" s="666"/>
      <c r="Q922" s="667"/>
      <c r="R922" s="668"/>
      <c r="S922" s="665"/>
      <c r="T922" s="669"/>
      <c r="U922" s="669"/>
      <c r="V922" s="665"/>
      <c r="W922" s="670"/>
      <c r="X922" s="670"/>
      <c r="Y922" s="671"/>
      <c r="Z922" s="671"/>
      <c r="AA922" s="672"/>
      <c r="AB922" s="673"/>
      <c r="AC922" s="673"/>
      <c r="AD922" s="673"/>
      <c r="AE922" s="673"/>
      <c r="AF922" s="673"/>
      <c r="AG922" s="673"/>
      <c r="AH922" s="673"/>
      <c r="AI922" s="673"/>
      <c r="AJ922" s="673"/>
      <c r="AK922" s="673"/>
      <c r="AL922" s="673"/>
      <c r="AM922" s="673"/>
      <c r="AN922" s="673"/>
      <c r="AO922" s="673"/>
      <c r="AP922" s="673"/>
      <c r="AQ922" s="673"/>
      <c r="AR922" s="673"/>
      <c r="AS922" s="673"/>
    </row>
    <row r="923">
      <c r="A923" s="653"/>
      <c r="B923" s="654"/>
      <c r="C923" s="655"/>
      <c r="D923" s="656"/>
      <c r="E923" s="657"/>
      <c r="F923" s="658"/>
      <c r="G923" s="659"/>
      <c r="H923" s="660"/>
      <c r="I923" s="659"/>
      <c r="J923" s="661"/>
      <c r="K923" s="658"/>
      <c r="L923" s="662"/>
      <c r="M923" s="663"/>
      <c r="N923" s="664"/>
      <c r="O923" s="665"/>
      <c r="P923" s="666"/>
      <c r="Q923" s="667"/>
      <c r="R923" s="668"/>
      <c r="S923" s="665"/>
      <c r="T923" s="669"/>
      <c r="U923" s="669"/>
      <c r="V923" s="665"/>
      <c r="W923" s="670"/>
      <c r="X923" s="670"/>
      <c r="Y923" s="671"/>
      <c r="Z923" s="671"/>
      <c r="AA923" s="672"/>
      <c r="AB923" s="673"/>
      <c r="AC923" s="673"/>
      <c r="AD923" s="673"/>
      <c r="AE923" s="673"/>
      <c r="AF923" s="673"/>
      <c r="AG923" s="673"/>
      <c r="AH923" s="673"/>
      <c r="AI923" s="673"/>
      <c r="AJ923" s="673"/>
      <c r="AK923" s="673"/>
      <c r="AL923" s="673"/>
      <c r="AM923" s="673"/>
      <c r="AN923" s="673"/>
      <c r="AO923" s="673"/>
      <c r="AP923" s="673"/>
      <c r="AQ923" s="673"/>
      <c r="AR923" s="673"/>
      <c r="AS923" s="673"/>
    </row>
    <row r="924">
      <c r="A924" s="653"/>
      <c r="B924" s="654"/>
      <c r="C924" s="655"/>
      <c r="D924" s="656"/>
      <c r="E924" s="657"/>
      <c r="F924" s="658"/>
      <c r="G924" s="659"/>
      <c r="H924" s="660"/>
      <c r="I924" s="659"/>
      <c r="J924" s="661"/>
      <c r="K924" s="658"/>
      <c r="L924" s="662"/>
      <c r="M924" s="663"/>
      <c r="N924" s="664"/>
      <c r="O924" s="665"/>
      <c r="P924" s="666"/>
      <c r="Q924" s="667"/>
      <c r="R924" s="668"/>
      <c r="S924" s="665"/>
      <c r="T924" s="669"/>
      <c r="U924" s="669"/>
      <c r="V924" s="665"/>
      <c r="W924" s="670"/>
      <c r="X924" s="670"/>
      <c r="Y924" s="671"/>
      <c r="Z924" s="671"/>
      <c r="AA924" s="672"/>
      <c r="AB924" s="673"/>
      <c r="AC924" s="673"/>
      <c r="AD924" s="673"/>
      <c r="AE924" s="673"/>
      <c r="AF924" s="673"/>
      <c r="AG924" s="673"/>
      <c r="AH924" s="673"/>
      <c r="AI924" s="673"/>
      <c r="AJ924" s="673"/>
      <c r="AK924" s="673"/>
      <c r="AL924" s="673"/>
      <c r="AM924" s="673"/>
      <c r="AN924" s="673"/>
      <c r="AO924" s="673"/>
      <c r="AP924" s="673"/>
      <c r="AQ924" s="673"/>
      <c r="AR924" s="673"/>
      <c r="AS924" s="673"/>
    </row>
    <row r="925">
      <c r="A925" s="653"/>
      <c r="B925" s="654"/>
      <c r="C925" s="655"/>
      <c r="D925" s="656"/>
      <c r="E925" s="657"/>
      <c r="F925" s="658"/>
      <c r="G925" s="659"/>
      <c r="H925" s="660"/>
      <c r="I925" s="659"/>
      <c r="J925" s="661"/>
      <c r="K925" s="658"/>
      <c r="L925" s="662"/>
      <c r="M925" s="663"/>
      <c r="N925" s="664"/>
      <c r="O925" s="665"/>
      <c r="P925" s="666"/>
      <c r="Q925" s="667"/>
      <c r="R925" s="668"/>
      <c r="S925" s="665"/>
      <c r="T925" s="669"/>
      <c r="U925" s="669"/>
      <c r="V925" s="665"/>
      <c r="W925" s="670"/>
      <c r="X925" s="670"/>
      <c r="Y925" s="671"/>
      <c r="Z925" s="671"/>
      <c r="AA925" s="672"/>
      <c r="AB925" s="673"/>
      <c r="AC925" s="673"/>
      <c r="AD925" s="673"/>
      <c r="AE925" s="673"/>
      <c r="AF925" s="673"/>
      <c r="AG925" s="673"/>
      <c r="AH925" s="673"/>
      <c r="AI925" s="673"/>
      <c r="AJ925" s="673"/>
      <c r="AK925" s="673"/>
      <c r="AL925" s="673"/>
      <c r="AM925" s="673"/>
      <c r="AN925" s="673"/>
      <c r="AO925" s="673"/>
      <c r="AP925" s="673"/>
      <c r="AQ925" s="673"/>
      <c r="AR925" s="673"/>
      <c r="AS925" s="673"/>
    </row>
    <row r="926">
      <c r="A926" s="653"/>
      <c r="B926" s="654"/>
      <c r="C926" s="655"/>
      <c r="D926" s="656"/>
      <c r="E926" s="657"/>
      <c r="F926" s="658"/>
      <c r="G926" s="659"/>
      <c r="H926" s="660"/>
      <c r="I926" s="659"/>
      <c r="J926" s="661"/>
      <c r="K926" s="658"/>
      <c r="L926" s="662"/>
      <c r="M926" s="663"/>
      <c r="N926" s="664"/>
      <c r="O926" s="665"/>
      <c r="P926" s="666"/>
      <c r="Q926" s="667"/>
      <c r="R926" s="668"/>
      <c r="S926" s="665"/>
      <c r="T926" s="669"/>
      <c r="U926" s="669"/>
      <c r="V926" s="665"/>
      <c r="W926" s="670"/>
      <c r="X926" s="670"/>
      <c r="Y926" s="671"/>
      <c r="Z926" s="671"/>
      <c r="AA926" s="672"/>
      <c r="AB926" s="673"/>
      <c r="AC926" s="673"/>
      <c r="AD926" s="673"/>
      <c r="AE926" s="673"/>
      <c r="AF926" s="673"/>
      <c r="AG926" s="673"/>
      <c r="AH926" s="673"/>
      <c r="AI926" s="673"/>
      <c r="AJ926" s="673"/>
      <c r="AK926" s="673"/>
      <c r="AL926" s="673"/>
      <c r="AM926" s="673"/>
      <c r="AN926" s="673"/>
      <c r="AO926" s="673"/>
      <c r="AP926" s="673"/>
      <c r="AQ926" s="673"/>
      <c r="AR926" s="673"/>
      <c r="AS926" s="673"/>
    </row>
    <row r="927">
      <c r="A927" s="653"/>
      <c r="B927" s="654"/>
      <c r="C927" s="655"/>
      <c r="D927" s="656"/>
      <c r="E927" s="657"/>
      <c r="F927" s="658"/>
      <c r="G927" s="659"/>
      <c r="H927" s="660"/>
      <c r="I927" s="659"/>
      <c r="J927" s="661"/>
      <c r="K927" s="658"/>
      <c r="L927" s="662"/>
      <c r="M927" s="663"/>
      <c r="N927" s="664"/>
      <c r="O927" s="665"/>
      <c r="P927" s="666"/>
      <c r="Q927" s="667"/>
      <c r="R927" s="668"/>
      <c r="S927" s="665"/>
      <c r="T927" s="669"/>
      <c r="U927" s="669"/>
      <c r="V927" s="665"/>
      <c r="W927" s="670"/>
      <c r="X927" s="670"/>
      <c r="Y927" s="671"/>
      <c r="Z927" s="671"/>
      <c r="AA927" s="672"/>
      <c r="AB927" s="673"/>
      <c r="AC927" s="673"/>
      <c r="AD927" s="673"/>
      <c r="AE927" s="673"/>
      <c r="AF927" s="673"/>
      <c r="AG927" s="673"/>
      <c r="AH927" s="673"/>
      <c r="AI927" s="673"/>
      <c r="AJ927" s="673"/>
      <c r="AK927" s="673"/>
      <c r="AL927" s="673"/>
      <c r="AM927" s="673"/>
      <c r="AN927" s="673"/>
      <c r="AO927" s="673"/>
      <c r="AP927" s="673"/>
      <c r="AQ927" s="673"/>
      <c r="AR927" s="673"/>
      <c r="AS927" s="673"/>
    </row>
    <row r="928">
      <c r="A928" s="653"/>
      <c r="B928" s="654"/>
      <c r="C928" s="655"/>
      <c r="D928" s="656"/>
      <c r="E928" s="657"/>
      <c r="F928" s="658"/>
      <c r="G928" s="659"/>
      <c r="H928" s="660"/>
      <c r="I928" s="659"/>
      <c r="J928" s="661"/>
      <c r="K928" s="658"/>
      <c r="L928" s="662"/>
      <c r="M928" s="663"/>
      <c r="N928" s="664"/>
      <c r="O928" s="665"/>
      <c r="P928" s="666"/>
      <c r="Q928" s="667"/>
      <c r="R928" s="668"/>
      <c r="S928" s="665"/>
      <c r="T928" s="669"/>
      <c r="U928" s="669"/>
      <c r="V928" s="665"/>
      <c r="W928" s="670"/>
      <c r="X928" s="670"/>
      <c r="Y928" s="671"/>
      <c r="Z928" s="671"/>
      <c r="AA928" s="672"/>
      <c r="AB928" s="673"/>
      <c r="AC928" s="673"/>
      <c r="AD928" s="673"/>
      <c r="AE928" s="673"/>
      <c r="AF928" s="673"/>
      <c r="AG928" s="673"/>
      <c r="AH928" s="673"/>
      <c r="AI928" s="673"/>
      <c r="AJ928" s="673"/>
      <c r="AK928" s="673"/>
      <c r="AL928" s="673"/>
      <c r="AM928" s="673"/>
      <c r="AN928" s="673"/>
      <c r="AO928" s="673"/>
      <c r="AP928" s="673"/>
      <c r="AQ928" s="673"/>
      <c r="AR928" s="673"/>
      <c r="AS928" s="673"/>
    </row>
    <row r="929">
      <c r="A929" s="653"/>
      <c r="B929" s="654"/>
      <c r="C929" s="655"/>
      <c r="D929" s="656"/>
      <c r="E929" s="657"/>
      <c r="F929" s="658"/>
      <c r="G929" s="659"/>
      <c r="H929" s="660"/>
      <c r="I929" s="659"/>
      <c r="J929" s="661"/>
      <c r="K929" s="658"/>
      <c r="L929" s="662"/>
      <c r="M929" s="663"/>
      <c r="N929" s="664"/>
      <c r="O929" s="665"/>
      <c r="P929" s="666"/>
      <c r="Q929" s="667"/>
      <c r="R929" s="668"/>
      <c r="S929" s="665"/>
      <c r="T929" s="669"/>
      <c r="U929" s="669"/>
      <c r="V929" s="665"/>
      <c r="W929" s="670"/>
      <c r="X929" s="670"/>
      <c r="Y929" s="671"/>
      <c r="Z929" s="671"/>
      <c r="AA929" s="672"/>
      <c r="AB929" s="673"/>
      <c r="AC929" s="673"/>
      <c r="AD929" s="673"/>
      <c r="AE929" s="673"/>
      <c r="AF929" s="673"/>
      <c r="AG929" s="673"/>
      <c r="AH929" s="673"/>
      <c r="AI929" s="673"/>
      <c r="AJ929" s="673"/>
      <c r="AK929" s="673"/>
      <c r="AL929" s="673"/>
      <c r="AM929" s="673"/>
      <c r="AN929" s="673"/>
      <c r="AO929" s="673"/>
      <c r="AP929" s="673"/>
      <c r="AQ929" s="673"/>
      <c r="AR929" s="673"/>
      <c r="AS929" s="673"/>
    </row>
    <row r="930">
      <c r="A930" s="653"/>
      <c r="B930" s="654"/>
      <c r="C930" s="655"/>
      <c r="D930" s="656"/>
      <c r="E930" s="657"/>
      <c r="F930" s="658"/>
      <c r="G930" s="659"/>
      <c r="H930" s="660"/>
      <c r="I930" s="659"/>
      <c r="J930" s="661"/>
      <c r="K930" s="658"/>
      <c r="L930" s="662"/>
      <c r="M930" s="663"/>
      <c r="N930" s="664"/>
      <c r="O930" s="665"/>
      <c r="P930" s="666"/>
      <c r="Q930" s="667"/>
      <c r="R930" s="668"/>
      <c r="S930" s="665"/>
      <c r="T930" s="669"/>
      <c r="U930" s="669"/>
      <c r="V930" s="665"/>
      <c r="W930" s="670"/>
      <c r="X930" s="670"/>
      <c r="Y930" s="671"/>
      <c r="Z930" s="671"/>
      <c r="AA930" s="672"/>
      <c r="AB930" s="673"/>
      <c r="AC930" s="673"/>
      <c r="AD930" s="673"/>
      <c r="AE930" s="673"/>
      <c r="AF930" s="673"/>
      <c r="AG930" s="673"/>
      <c r="AH930" s="673"/>
      <c r="AI930" s="673"/>
      <c r="AJ930" s="673"/>
      <c r="AK930" s="673"/>
      <c r="AL930" s="673"/>
      <c r="AM930" s="673"/>
      <c r="AN930" s="673"/>
      <c r="AO930" s="673"/>
      <c r="AP930" s="673"/>
      <c r="AQ930" s="673"/>
      <c r="AR930" s="673"/>
      <c r="AS930" s="673"/>
    </row>
    <row r="931">
      <c r="A931" s="653"/>
      <c r="B931" s="654"/>
      <c r="C931" s="655"/>
      <c r="D931" s="656"/>
      <c r="E931" s="657"/>
      <c r="F931" s="658"/>
      <c r="G931" s="659"/>
      <c r="H931" s="660"/>
      <c r="I931" s="659"/>
      <c r="J931" s="661"/>
      <c r="K931" s="658"/>
      <c r="L931" s="662"/>
      <c r="M931" s="663"/>
      <c r="N931" s="664"/>
      <c r="O931" s="665"/>
      <c r="P931" s="666"/>
      <c r="Q931" s="667"/>
      <c r="R931" s="668"/>
      <c r="S931" s="665"/>
      <c r="T931" s="669"/>
      <c r="U931" s="669"/>
      <c r="V931" s="665"/>
      <c r="W931" s="670"/>
      <c r="X931" s="670"/>
      <c r="Y931" s="671"/>
      <c r="Z931" s="671"/>
      <c r="AA931" s="672"/>
      <c r="AB931" s="673"/>
      <c r="AC931" s="673"/>
      <c r="AD931" s="673"/>
      <c r="AE931" s="673"/>
      <c r="AF931" s="673"/>
      <c r="AG931" s="673"/>
      <c r="AH931" s="673"/>
      <c r="AI931" s="673"/>
      <c r="AJ931" s="673"/>
      <c r="AK931" s="673"/>
      <c r="AL931" s="673"/>
      <c r="AM931" s="673"/>
      <c r="AN931" s="673"/>
      <c r="AO931" s="673"/>
      <c r="AP931" s="673"/>
      <c r="AQ931" s="673"/>
      <c r="AR931" s="673"/>
      <c r="AS931" s="673"/>
    </row>
    <row r="932">
      <c r="A932" s="653"/>
      <c r="B932" s="654"/>
      <c r="C932" s="655"/>
      <c r="D932" s="656"/>
      <c r="E932" s="657"/>
      <c r="F932" s="658"/>
      <c r="G932" s="659"/>
      <c r="H932" s="660"/>
      <c r="I932" s="659"/>
      <c r="J932" s="661"/>
      <c r="K932" s="658"/>
      <c r="L932" s="662"/>
      <c r="M932" s="663"/>
      <c r="N932" s="664"/>
      <c r="O932" s="665"/>
      <c r="P932" s="666"/>
      <c r="Q932" s="667"/>
      <c r="R932" s="668"/>
      <c r="S932" s="665"/>
      <c r="T932" s="669"/>
      <c r="U932" s="669"/>
      <c r="V932" s="665"/>
      <c r="W932" s="670"/>
      <c r="X932" s="670"/>
      <c r="Y932" s="671"/>
      <c r="Z932" s="671"/>
      <c r="AA932" s="672"/>
      <c r="AB932" s="673"/>
      <c r="AC932" s="673"/>
      <c r="AD932" s="673"/>
      <c r="AE932" s="673"/>
      <c r="AF932" s="673"/>
      <c r="AG932" s="673"/>
      <c r="AH932" s="673"/>
      <c r="AI932" s="673"/>
      <c r="AJ932" s="673"/>
      <c r="AK932" s="673"/>
      <c r="AL932" s="673"/>
      <c r="AM932" s="673"/>
      <c r="AN932" s="673"/>
      <c r="AO932" s="673"/>
      <c r="AP932" s="673"/>
      <c r="AQ932" s="673"/>
      <c r="AR932" s="673"/>
      <c r="AS932" s="673"/>
    </row>
    <row r="933">
      <c r="A933" s="653"/>
      <c r="B933" s="654"/>
      <c r="C933" s="655"/>
      <c r="D933" s="656"/>
      <c r="E933" s="657"/>
      <c r="F933" s="658"/>
      <c r="G933" s="659"/>
      <c r="H933" s="660"/>
      <c r="I933" s="659"/>
      <c r="J933" s="661"/>
      <c r="K933" s="658"/>
      <c r="L933" s="662"/>
      <c r="M933" s="663"/>
      <c r="N933" s="664"/>
      <c r="O933" s="665"/>
      <c r="P933" s="666"/>
      <c r="Q933" s="667"/>
      <c r="R933" s="668"/>
      <c r="S933" s="665"/>
      <c r="T933" s="669"/>
      <c r="U933" s="669"/>
      <c r="V933" s="665"/>
      <c r="W933" s="670"/>
      <c r="X933" s="670"/>
      <c r="Y933" s="671"/>
      <c r="Z933" s="671"/>
      <c r="AA933" s="672"/>
      <c r="AB933" s="673"/>
      <c r="AC933" s="673"/>
      <c r="AD933" s="673"/>
      <c r="AE933" s="673"/>
      <c r="AF933" s="673"/>
      <c r="AG933" s="673"/>
      <c r="AH933" s="673"/>
      <c r="AI933" s="673"/>
      <c r="AJ933" s="673"/>
      <c r="AK933" s="673"/>
      <c r="AL933" s="673"/>
      <c r="AM933" s="673"/>
      <c r="AN933" s="673"/>
      <c r="AO933" s="673"/>
      <c r="AP933" s="673"/>
      <c r="AQ933" s="673"/>
      <c r="AR933" s="673"/>
      <c r="AS933" s="673"/>
    </row>
    <row r="934">
      <c r="A934" s="653"/>
      <c r="B934" s="654"/>
      <c r="C934" s="655"/>
      <c r="D934" s="656"/>
      <c r="E934" s="657"/>
      <c r="F934" s="658"/>
      <c r="G934" s="659"/>
      <c r="H934" s="660"/>
      <c r="I934" s="659"/>
      <c r="J934" s="661"/>
      <c r="K934" s="658"/>
      <c r="L934" s="662"/>
      <c r="M934" s="663"/>
      <c r="N934" s="664"/>
      <c r="O934" s="665"/>
      <c r="P934" s="666"/>
      <c r="Q934" s="667"/>
      <c r="R934" s="668"/>
      <c r="S934" s="665"/>
      <c r="T934" s="669"/>
      <c r="U934" s="669"/>
      <c r="V934" s="665"/>
      <c r="W934" s="670"/>
      <c r="X934" s="670"/>
      <c r="Y934" s="671"/>
      <c r="Z934" s="671"/>
      <c r="AA934" s="672"/>
      <c r="AB934" s="673"/>
      <c r="AC934" s="673"/>
      <c r="AD934" s="673"/>
      <c r="AE934" s="673"/>
      <c r="AF934" s="673"/>
      <c r="AG934" s="673"/>
      <c r="AH934" s="673"/>
      <c r="AI934" s="673"/>
      <c r="AJ934" s="673"/>
      <c r="AK934" s="673"/>
      <c r="AL934" s="673"/>
      <c r="AM934" s="673"/>
      <c r="AN934" s="673"/>
      <c r="AO934" s="673"/>
      <c r="AP934" s="673"/>
      <c r="AQ934" s="673"/>
      <c r="AR934" s="673"/>
      <c r="AS934" s="673"/>
    </row>
    <row r="935">
      <c r="A935" s="653"/>
      <c r="B935" s="654"/>
      <c r="C935" s="655"/>
      <c r="D935" s="656"/>
      <c r="E935" s="657"/>
      <c r="F935" s="658"/>
      <c r="G935" s="659"/>
      <c r="H935" s="660"/>
      <c r="I935" s="659"/>
      <c r="J935" s="661"/>
      <c r="K935" s="658"/>
      <c r="L935" s="662"/>
      <c r="M935" s="663"/>
      <c r="N935" s="664"/>
      <c r="O935" s="665"/>
      <c r="P935" s="666"/>
      <c r="Q935" s="667"/>
      <c r="R935" s="668"/>
      <c r="S935" s="665"/>
      <c r="T935" s="669"/>
      <c r="U935" s="669"/>
      <c r="V935" s="665"/>
      <c r="W935" s="670"/>
      <c r="X935" s="670"/>
      <c r="Y935" s="671"/>
      <c r="Z935" s="671"/>
      <c r="AA935" s="672"/>
      <c r="AB935" s="673"/>
      <c r="AC935" s="673"/>
      <c r="AD935" s="673"/>
      <c r="AE935" s="673"/>
      <c r="AF935" s="673"/>
      <c r="AG935" s="673"/>
      <c r="AH935" s="673"/>
      <c r="AI935" s="673"/>
      <c r="AJ935" s="673"/>
      <c r="AK935" s="673"/>
      <c r="AL935" s="673"/>
      <c r="AM935" s="673"/>
      <c r="AN935" s="673"/>
      <c r="AO935" s="673"/>
      <c r="AP935" s="673"/>
      <c r="AQ935" s="673"/>
      <c r="AR935" s="673"/>
      <c r="AS935" s="673"/>
    </row>
    <row r="936">
      <c r="A936" s="653"/>
      <c r="B936" s="654"/>
      <c r="C936" s="655"/>
      <c r="D936" s="656"/>
      <c r="E936" s="657"/>
      <c r="F936" s="658"/>
      <c r="G936" s="659"/>
      <c r="H936" s="660"/>
      <c r="I936" s="659"/>
      <c r="J936" s="661"/>
      <c r="K936" s="658"/>
      <c r="L936" s="662"/>
      <c r="M936" s="663"/>
      <c r="N936" s="664"/>
      <c r="O936" s="665"/>
      <c r="P936" s="666"/>
      <c r="Q936" s="667"/>
      <c r="R936" s="668"/>
      <c r="S936" s="665"/>
      <c r="T936" s="669"/>
      <c r="U936" s="669"/>
      <c r="V936" s="665"/>
      <c r="W936" s="670"/>
      <c r="X936" s="670"/>
      <c r="Y936" s="671"/>
      <c r="Z936" s="671"/>
      <c r="AA936" s="672"/>
      <c r="AB936" s="673"/>
      <c r="AC936" s="673"/>
      <c r="AD936" s="673"/>
      <c r="AE936" s="673"/>
      <c r="AF936" s="673"/>
      <c r="AG936" s="673"/>
      <c r="AH936" s="673"/>
      <c r="AI936" s="673"/>
      <c r="AJ936" s="673"/>
      <c r="AK936" s="673"/>
      <c r="AL936" s="673"/>
      <c r="AM936" s="673"/>
      <c r="AN936" s="673"/>
      <c r="AO936" s="673"/>
      <c r="AP936" s="673"/>
      <c r="AQ936" s="673"/>
      <c r="AR936" s="673"/>
      <c r="AS936" s="673"/>
    </row>
    <row r="937">
      <c r="A937" s="653"/>
      <c r="B937" s="654"/>
      <c r="C937" s="655"/>
      <c r="D937" s="656"/>
      <c r="E937" s="657"/>
      <c r="F937" s="658"/>
      <c r="G937" s="659"/>
      <c r="H937" s="660"/>
      <c r="I937" s="659"/>
      <c r="J937" s="661"/>
      <c r="K937" s="658"/>
      <c r="L937" s="662"/>
      <c r="M937" s="663"/>
      <c r="N937" s="664"/>
      <c r="O937" s="665"/>
      <c r="P937" s="666"/>
      <c r="Q937" s="667"/>
      <c r="R937" s="668"/>
      <c r="S937" s="665"/>
      <c r="T937" s="669"/>
      <c r="U937" s="669"/>
      <c r="V937" s="665"/>
      <c r="W937" s="670"/>
      <c r="X937" s="670"/>
      <c r="Y937" s="671"/>
      <c r="Z937" s="671"/>
      <c r="AA937" s="672"/>
      <c r="AB937" s="673"/>
      <c r="AC937" s="673"/>
      <c r="AD937" s="673"/>
      <c r="AE937" s="673"/>
      <c r="AF937" s="673"/>
      <c r="AG937" s="673"/>
      <c r="AH937" s="673"/>
      <c r="AI937" s="673"/>
      <c r="AJ937" s="673"/>
      <c r="AK937" s="673"/>
      <c r="AL937" s="673"/>
      <c r="AM937" s="673"/>
      <c r="AN937" s="673"/>
      <c r="AO937" s="673"/>
      <c r="AP937" s="673"/>
      <c r="AQ937" s="673"/>
      <c r="AR937" s="673"/>
      <c r="AS937" s="673"/>
    </row>
    <row r="938">
      <c r="A938" s="653"/>
      <c r="B938" s="654"/>
      <c r="C938" s="655"/>
      <c r="D938" s="656"/>
      <c r="E938" s="657"/>
      <c r="F938" s="658"/>
      <c r="G938" s="659"/>
      <c r="H938" s="660"/>
      <c r="I938" s="659"/>
      <c r="J938" s="661"/>
      <c r="K938" s="658"/>
      <c r="L938" s="662"/>
      <c r="M938" s="663"/>
      <c r="N938" s="664"/>
      <c r="O938" s="665"/>
      <c r="P938" s="666"/>
      <c r="Q938" s="667"/>
      <c r="R938" s="668"/>
      <c r="S938" s="665"/>
      <c r="T938" s="669"/>
      <c r="U938" s="669"/>
      <c r="V938" s="665"/>
      <c r="W938" s="670"/>
      <c r="X938" s="670"/>
      <c r="Y938" s="671"/>
      <c r="Z938" s="671"/>
      <c r="AA938" s="672"/>
      <c r="AB938" s="673"/>
      <c r="AC938" s="673"/>
      <c r="AD938" s="673"/>
      <c r="AE938" s="673"/>
      <c r="AF938" s="673"/>
      <c r="AG938" s="673"/>
      <c r="AH938" s="673"/>
      <c r="AI938" s="673"/>
      <c r="AJ938" s="673"/>
      <c r="AK938" s="673"/>
      <c r="AL938" s="673"/>
      <c r="AM938" s="673"/>
      <c r="AN938" s="673"/>
      <c r="AO938" s="673"/>
      <c r="AP938" s="673"/>
      <c r="AQ938" s="673"/>
      <c r="AR938" s="673"/>
      <c r="AS938" s="673"/>
    </row>
    <row r="939">
      <c r="A939" s="653"/>
      <c r="B939" s="654"/>
      <c r="C939" s="655"/>
      <c r="D939" s="656"/>
      <c r="E939" s="657"/>
      <c r="F939" s="658"/>
      <c r="G939" s="659"/>
      <c r="H939" s="660"/>
      <c r="I939" s="659"/>
      <c r="J939" s="661"/>
      <c r="K939" s="658"/>
      <c r="L939" s="662"/>
      <c r="M939" s="663"/>
      <c r="N939" s="664"/>
      <c r="O939" s="665"/>
      <c r="P939" s="666"/>
      <c r="Q939" s="667"/>
      <c r="R939" s="668"/>
      <c r="S939" s="665"/>
      <c r="T939" s="669"/>
      <c r="U939" s="669"/>
      <c r="V939" s="665"/>
      <c r="W939" s="670"/>
      <c r="X939" s="670"/>
      <c r="Y939" s="671"/>
      <c r="Z939" s="671"/>
      <c r="AA939" s="672"/>
      <c r="AB939" s="673"/>
      <c r="AC939" s="673"/>
      <c r="AD939" s="673"/>
      <c r="AE939" s="673"/>
      <c r="AF939" s="673"/>
      <c r="AG939" s="673"/>
      <c r="AH939" s="673"/>
      <c r="AI939" s="673"/>
      <c r="AJ939" s="673"/>
      <c r="AK939" s="673"/>
      <c r="AL939" s="673"/>
      <c r="AM939" s="673"/>
      <c r="AN939" s="673"/>
      <c r="AO939" s="673"/>
      <c r="AP939" s="673"/>
      <c r="AQ939" s="673"/>
      <c r="AR939" s="673"/>
      <c r="AS939" s="673"/>
    </row>
    <row r="940">
      <c r="A940" s="653"/>
      <c r="B940" s="654"/>
      <c r="C940" s="655"/>
      <c r="D940" s="656"/>
      <c r="E940" s="657"/>
      <c r="F940" s="658"/>
      <c r="G940" s="659"/>
      <c r="H940" s="660"/>
      <c r="I940" s="659"/>
      <c r="J940" s="661"/>
      <c r="K940" s="658"/>
      <c r="L940" s="662"/>
      <c r="M940" s="663"/>
      <c r="N940" s="664"/>
      <c r="O940" s="665"/>
      <c r="P940" s="666"/>
      <c r="Q940" s="667"/>
      <c r="R940" s="668"/>
      <c r="S940" s="665"/>
      <c r="T940" s="669"/>
      <c r="U940" s="669"/>
      <c r="V940" s="665"/>
      <c r="W940" s="670"/>
      <c r="X940" s="670"/>
      <c r="Y940" s="671"/>
      <c r="Z940" s="671"/>
      <c r="AA940" s="672"/>
      <c r="AB940" s="673"/>
      <c r="AC940" s="673"/>
      <c r="AD940" s="673"/>
      <c r="AE940" s="673"/>
      <c r="AF940" s="673"/>
      <c r="AG940" s="673"/>
      <c r="AH940" s="673"/>
      <c r="AI940" s="673"/>
      <c r="AJ940" s="673"/>
      <c r="AK940" s="673"/>
      <c r="AL940" s="673"/>
      <c r="AM940" s="673"/>
      <c r="AN940" s="673"/>
      <c r="AO940" s="673"/>
      <c r="AP940" s="673"/>
      <c r="AQ940" s="673"/>
      <c r="AR940" s="673"/>
      <c r="AS940" s="673"/>
    </row>
    <row r="941">
      <c r="A941" s="653"/>
      <c r="B941" s="654"/>
      <c r="C941" s="655"/>
      <c r="D941" s="656"/>
      <c r="E941" s="657"/>
      <c r="F941" s="658"/>
      <c r="G941" s="659"/>
      <c r="H941" s="660"/>
      <c r="I941" s="659"/>
      <c r="J941" s="661"/>
      <c r="K941" s="658"/>
      <c r="L941" s="662"/>
      <c r="M941" s="663"/>
      <c r="N941" s="664"/>
      <c r="O941" s="665"/>
      <c r="P941" s="666"/>
      <c r="Q941" s="667"/>
      <c r="R941" s="668"/>
      <c r="S941" s="665"/>
      <c r="T941" s="669"/>
      <c r="U941" s="669"/>
      <c r="V941" s="665"/>
      <c r="W941" s="670"/>
      <c r="X941" s="670"/>
      <c r="Y941" s="671"/>
      <c r="Z941" s="671"/>
      <c r="AA941" s="672"/>
      <c r="AB941" s="673"/>
      <c r="AC941" s="673"/>
      <c r="AD941" s="673"/>
      <c r="AE941" s="673"/>
      <c r="AF941" s="673"/>
      <c r="AG941" s="673"/>
      <c r="AH941" s="673"/>
      <c r="AI941" s="673"/>
      <c r="AJ941" s="673"/>
      <c r="AK941" s="673"/>
      <c r="AL941" s="673"/>
      <c r="AM941" s="673"/>
      <c r="AN941" s="673"/>
      <c r="AO941" s="673"/>
      <c r="AP941" s="673"/>
      <c r="AQ941" s="673"/>
      <c r="AR941" s="673"/>
      <c r="AS941" s="673"/>
    </row>
    <row r="942">
      <c r="A942" s="653"/>
      <c r="B942" s="654"/>
      <c r="C942" s="655"/>
      <c r="D942" s="656"/>
      <c r="E942" s="657"/>
      <c r="F942" s="658"/>
      <c r="G942" s="659"/>
      <c r="H942" s="660"/>
      <c r="I942" s="659"/>
      <c r="J942" s="661"/>
      <c r="K942" s="658"/>
      <c r="L942" s="662"/>
      <c r="M942" s="663"/>
      <c r="N942" s="664"/>
      <c r="O942" s="665"/>
      <c r="P942" s="666"/>
      <c r="Q942" s="667"/>
      <c r="R942" s="668"/>
      <c r="S942" s="665"/>
      <c r="T942" s="669"/>
      <c r="U942" s="669"/>
      <c r="V942" s="665"/>
      <c r="W942" s="670"/>
      <c r="X942" s="670"/>
      <c r="Y942" s="671"/>
      <c r="Z942" s="671"/>
      <c r="AA942" s="672"/>
      <c r="AB942" s="673"/>
      <c r="AC942" s="673"/>
      <c r="AD942" s="673"/>
      <c r="AE942" s="673"/>
      <c r="AF942" s="673"/>
      <c r="AG942" s="673"/>
      <c r="AH942" s="673"/>
      <c r="AI942" s="673"/>
      <c r="AJ942" s="673"/>
      <c r="AK942" s="673"/>
      <c r="AL942" s="673"/>
      <c r="AM942" s="673"/>
      <c r="AN942" s="673"/>
      <c r="AO942" s="673"/>
      <c r="AP942" s="673"/>
      <c r="AQ942" s="673"/>
      <c r="AR942" s="673"/>
      <c r="AS942" s="673"/>
    </row>
    <row r="943">
      <c r="A943" s="653"/>
      <c r="B943" s="654"/>
      <c r="C943" s="655"/>
      <c r="D943" s="656"/>
      <c r="E943" s="657"/>
      <c r="F943" s="658"/>
      <c r="G943" s="659"/>
      <c r="H943" s="660"/>
      <c r="I943" s="659"/>
      <c r="J943" s="661"/>
      <c r="K943" s="658"/>
      <c r="L943" s="662"/>
      <c r="M943" s="663"/>
      <c r="N943" s="664"/>
      <c r="O943" s="665"/>
      <c r="P943" s="666"/>
      <c r="Q943" s="667"/>
      <c r="R943" s="668"/>
      <c r="S943" s="665"/>
      <c r="T943" s="669"/>
      <c r="U943" s="669"/>
      <c r="V943" s="665"/>
      <c r="W943" s="670"/>
      <c r="X943" s="670"/>
      <c r="Y943" s="671"/>
      <c r="Z943" s="671"/>
      <c r="AA943" s="672"/>
      <c r="AB943" s="673"/>
      <c r="AC943" s="673"/>
      <c r="AD943" s="673"/>
      <c r="AE943" s="673"/>
      <c r="AF943" s="673"/>
      <c r="AG943" s="673"/>
      <c r="AH943" s="673"/>
      <c r="AI943" s="673"/>
      <c r="AJ943" s="673"/>
      <c r="AK943" s="673"/>
      <c r="AL943" s="673"/>
      <c r="AM943" s="673"/>
      <c r="AN943" s="673"/>
      <c r="AO943" s="673"/>
      <c r="AP943" s="673"/>
      <c r="AQ943" s="673"/>
      <c r="AR943" s="673"/>
      <c r="AS943" s="673"/>
    </row>
    <row r="944">
      <c r="A944" s="653"/>
      <c r="B944" s="654"/>
      <c r="C944" s="655"/>
      <c r="D944" s="656"/>
      <c r="E944" s="657"/>
      <c r="F944" s="658"/>
      <c r="G944" s="659"/>
      <c r="H944" s="660"/>
      <c r="I944" s="659"/>
      <c r="J944" s="661"/>
      <c r="K944" s="658"/>
      <c r="L944" s="662"/>
      <c r="M944" s="663"/>
      <c r="N944" s="664"/>
      <c r="O944" s="665"/>
      <c r="P944" s="666"/>
      <c r="Q944" s="667"/>
      <c r="R944" s="668"/>
      <c r="S944" s="665"/>
      <c r="T944" s="669"/>
      <c r="U944" s="669"/>
      <c r="V944" s="665"/>
      <c r="W944" s="670"/>
      <c r="X944" s="670"/>
      <c r="Y944" s="671"/>
      <c r="Z944" s="671"/>
      <c r="AA944" s="672"/>
      <c r="AB944" s="673"/>
      <c r="AC944" s="673"/>
      <c r="AD944" s="673"/>
      <c r="AE944" s="673"/>
      <c r="AF944" s="673"/>
      <c r="AG944" s="673"/>
      <c r="AH944" s="673"/>
      <c r="AI944" s="673"/>
      <c r="AJ944" s="673"/>
      <c r="AK944" s="673"/>
      <c r="AL944" s="673"/>
      <c r="AM944" s="673"/>
      <c r="AN944" s="673"/>
      <c r="AO944" s="673"/>
      <c r="AP944" s="673"/>
      <c r="AQ944" s="673"/>
      <c r="AR944" s="673"/>
      <c r="AS944" s="673"/>
    </row>
    <row r="945">
      <c r="A945" s="653"/>
      <c r="B945" s="654"/>
      <c r="C945" s="655"/>
      <c r="D945" s="656"/>
      <c r="E945" s="657"/>
      <c r="F945" s="658"/>
      <c r="G945" s="659"/>
      <c r="H945" s="660"/>
      <c r="I945" s="659"/>
      <c r="J945" s="661"/>
      <c r="K945" s="658"/>
      <c r="L945" s="662"/>
      <c r="M945" s="663"/>
      <c r="N945" s="664"/>
      <c r="O945" s="665"/>
      <c r="P945" s="666"/>
      <c r="Q945" s="667"/>
      <c r="R945" s="668"/>
      <c r="S945" s="665"/>
      <c r="T945" s="669"/>
      <c r="U945" s="669"/>
      <c r="V945" s="665"/>
      <c r="W945" s="670"/>
      <c r="X945" s="670"/>
      <c r="Y945" s="671"/>
      <c r="Z945" s="671"/>
      <c r="AA945" s="672"/>
      <c r="AB945" s="673"/>
      <c r="AC945" s="673"/>
      <c r="AD945" s="673"/>
      <c r="AE945" s="673"/>
      <c r="AF945" s="673"/>
      <c r="AG945" s="673"/>
      <c r="AH945" s="673"/>
      <c r="AI945" s="673"/>
      <c r="AJ945" s="673"/>
      <c r="AK945" s="673"/>
      <c r="AL945" s="673"/>
      <c r="AM945" s="673"/>
      <c r="AN945" s="673"/>
      <c r="AO945" s="673"/>
      <c r="AP945" s="673"/>
      <c r="AQ945" s="673"/>
      <c r="AR945" s="673"/>
      <c r="AS945" s="673"/>
    </row>
    <row r="946">
      <c r="A946" s="653"/>
      <c r="B946" s="654"/>
      <c r="C946" s="655"/>
      <c r="D946" s="656"/>
      <c r="E946" s="657"/>
      <c r="F946" s="658"/>
      <c r="G946" s="659"/>
      <c r="H946" s="660"/>
      <c r="I946" s="659"/>
      <c r="J946" s="661"/>
      <c r="K946" s="658"/>
      <c r="L946" s="662"/>
      <c r="M946" s="663"/>
      <c r="N946" s="664"/>
      <c r="O946" s="665"/>
      <c r="P946" s="666"/>
      <c r="Q946" s="667"/>
      <c r="R946" s="668"/>
      <c r="S946" s="665"/>
      <c r="T946" s="669"/>
      <c r="U946" s="669"/>
      <c r="V946" s="665"/>
      <c r="W946" s="670"/>
      <c r="X946" s="670"/>
      <c r="Y946" s="671"/>
      <c r="Z946" s="671"/>
      <c r="AA946" s="672"/>
      <c r="AB946" s="673"/>
      <c r="AC946" s="673"/>
      <c r="AD946" s="673"/>
      <c r="AE946" s="673"/>
      <c r="AF946" s="673"/>
      <c r="AG946" s="673"/>
      <c r="AH946" s="673"/>
      <c r="AI946" s="673"/>
      <c r="AJ946" s="673"/>
      <c r="AK946" s="673"/>
      <c r="AL946" s="673"/>
      <c r="AM946" s="673"/>
      <c r="AN946" s="673"/>
      <c r="AO946" s="673"/>
      <c r="AP946" s="673"/>
      <c r="AQ946" s="673"/>
      <c r="AR946" s="673"/>
      <c r="AS946" s="673"/>
    </row>
    <row r="947">
      <c r="A947" s="653"/>
      <c r="B947" s="654"/>
      <c r="C947" s="655"/>
      <c r="D947" s="656"/>
      <c r="E947" s="657"/>
      <c r="F947" s="658"/>
      <c r="G947" s="659"/>
      <c r="H947" s="660"/>
      <c r="I947" s="659"/>
      <c r="J947" s="661"/>
      <c r="K947" s="658"/>
      <c r="L947" s="662"/>
      <c r="M947" s="663"/>
      <c r="N947" s="664"/>
      <c r="O947" s="665"/>
      <c r="P947" s="666"/>
      <c r="Q947" s="667"/>
      <c r="R947" s="668"/>
      <c r="S947" s="665"/>
      <c r="T947" s="669"/>
      <c r="U947" s="669"/>
      <c r="V947" s="665"/>
      <c r="W947" s="670"/>
      <c r="X947" s="670"/>
      <c r="Y947" s="671"/>
      <c r="Z947" s="671"/>
      <c r="AA947" s="672"/>
      <c r="AB947" s="673"/>
      <c r="AC947" s="673"/>
      <c r="AD947" s="673"/>
      <c r="AE947" s="673"/>
      <c r="AF947" s="673"/>
      <c r="AG947" s="673"/>
      <c r="AH947" s="673"/>
      <c r="AI947" s="673"/>
      <c r="AJ947" s="673"/>
      <c r="AK947" s="673"/>
      <c r="AL947" s="673"/>
      <c r="AM947" s="673"/>
      <c r="AN947" s="673"/>
      <c r="AO947" s="673"/>
      <c r="AP947" s="673"/>
      <c r="AQ947" s="673"/>
      <c r="AR947" s="673"/>
      <c r="AS947" s="673"/>
    </row>
    <row r="948">
      <c r="A948" s="653"/>
      <c r="B948" s="654"/>
      <c r="C948" s="655"/>
      <c r="D948" s="656"/>
      <c r="E948" s="657"/>
      <c r="F948" s="658"/>
      <c r="G948" s="659"/>
      <c r="H948" s="660"/>
      <c r="I948" s="659"/>
      <c r="J948" s="661"/>
      <c r="K948" s="658"/>
      <c r="L948" s="662"/>
      <c r="M948" s="663"/>
      <c r="N948" s="664"/>
      <c r="O948" s="665"/>
      <c r="P948" s="666"/>
      <c r="Q948" s="667"/>
      <c r="R948" s="668"/>
      <c r="S948" s="665"/>
      <c r="T948" s="669"/>
      <c r="U948" s="669"/>
      <c r="V948" s="665"/>
      <c r="W948" s="670"/>
      <c r="X948" s="670"/>
      <c r="Y948" s="671"/>
      <c r="Z948" s="671"/>
      <c r="AA948" s="672"/>
      <c r="AB948" s="673"/>
      <c r="AC948" s="673"/>
      <c r="AD948" s="673"/>
      <c r="AE948" s="673"/>
      <c r="AF948" s="673"/>
      <c r="AG948" s="673"/>
      <c r="AH948" s="673"/>
      <c r="AI948" s="673"/>
      <c r="AJ948" s="673"/>
      <c r="AK948" s="673"/>
      <c r="AL948" s="673"/>
      <c r="AM948" s="673"/>
      <c r="AN948" s="673"/>
      <c r="AO948" s="673"/>
      <c r="AP948" s="673"/>
      <c r="AQ948" s="673"/>
      <c r="AR948" s="673"/>
      <c r="AS948" s="673"/>
    </row>
    <row r="949">
      <c r="A949" s="653"/>
      <c r="B949" s="654"/>
      <c r="C949" s="655"/>
      <c r="D949" s="656"/>
      <c r="E949" s="657"/>
      <c r="F949" s="658"/>
      <c r="G949" s="659"/>
      <c r="H949" s="660"/>
      <c r="I949" s="659"/>
      <c r="J949" s="661"/>
      <c r="K949" s="658"/>
      <c r="L949" s="662"/>
      <c r="M949" s="663"/>
      <c r="N949" s="664"/>
      <c r="O949" s="665"/>
      <c r="P949" s="666"/>
      <c r="Q949" s="667"/>
      <c r="R949" s="668"/>
      <c r="S949" s="665"/>
      <c r="T949" s="669"/>
      <c r="U949" s="669"/>
      <c r="V949" s="665"/>
      <c r="W949" s="670"/>
      <c r="X949" s="670"/>
      <c r="Y949" s="671"/>
      <c r="Z949" s="671"/>
      <c r="AA949" s="672"/>
      <c r="AB949" s="673"/>
      <c r="AC949" s="673"/>
      <c r="AD949" s="673"/>
      <c r="AE949" s="673"/>
      <c r="AF949" s="673"/>
      <c r="AG949" s="673"/>
      <c r="AH949" s="673"/>
      <c r="AI949" s="673"/>
      <c r="AJ949" s="673"/>
      <c r="AK949" s="673"/>
      <c r="AL949" s="673"/>
      <c r="AM949" s="673"/>
      <c r="AN949" s="673"/>
      <c r="AO949" s="673"/>
      <c r="AP949" s="673"/>
      <c r="AQ949" s="673"/>
      <c r="AR949" s="673"/>
      <c r="AS949" s="673"/>
    </row>
    <row r="950">
      <c r="A950" s="653"/>
      <c r="B950" s="654"/>
      <c r="C950" s="655"/>
      <c r="D950" s="656"/>
      <c r="E950" s="657"/>
      <c r="F950" s="658"/>
      <c r="G950" s="659"/>
      <c r="H950" s="660"/>
      <c r="I950" s="659"/>
      <c r="J950" s="661"/>
      <c r="K950" s="658"/>
      <c r="L950" s="662"/>
      <c r="M950" s="663"/>
      <c r="N950" s="664"/>
      <c r="O950" s="665"/>
      <c r="P950" s="666"/>
      <c r="Q950" s="667"/>
      <c r="R950" s="668"/>
      <c r="S950" s="665"/>
      <c r="T950" s="669"/>
      <c r="U950" s="669"/>
      <c r="V950" s="665"/>
      <c r="W950" s="670"/>
      <c r="X950" s="670"/>
      <c r="Y950" s="671"/>
      <c r="Z950" s="671"/>
      <c r="AA950" s="672"/>
      <c r="AB950" s="673"/>
      <c r="AC950" s="673"/>
      <c r="AD950" s="673"/>
      <c r="AE950" s="673"/>
      <c r="AF950" s="673"/>
      <c r="AG950" s="673"/>
      <c r="AH950" s="673"/>
      <c r="AI950" s="673"/>
      <c r="AJ950" s="673"/>
      <c r="AK950" s="673"/>
      <c r="AL950" s="673"/>
      <c r="AM950" s="673"/>
      <c r="AN950" s="673"/>
      <c r="AO950" s="673"/>
      <c r="AP950" s="673"/>
      <c r="AQ950" s="673"/>
      <c r="AR950" s="673"/>
      <c r="AS950" s="673"/>
    </row>
    <row r="951">
      <c r="A951" s="653"/>
      <c r="B951" s="654"/>
      <c r="C951" s="655"/>
      <c r="D951" s="656"/>
      <c r="E951" s="657"/>
      <c r="F951" s="658"/>
      <c r="G951" s="659"/>
      <c r="H951" s="660"/>
      <c r="I951" s="659"/>
      <c r="J951" s="661"/>
      <c r="K951" s="658"/>
      <c r="L951" s="662"/>
      <c r="M951" s="663"/>
      <c r="N951" s="664"/>
      <c r="O951" s="665"/>
      <c r="P951" s="666"/>
      <c r="Q951" s="667"/>
      <c r="R951" s="668"/>
      <c r="S951" s="665"/>
      <c r="T951" s="669"/>
      <c r="U951" s="669"/>
      <c r="V951" s="665"/>
      <c r="W951" s="670"/>
      <c r="X951" s="670"/>
      <c r="Y951" s="671"/>
      <c r="Z951" s="671"/>
      <c r="AA951" s="672"/>
      <c r="AB951" s="673"/>
      <c r="AC951" s="673"/>
      <c r="AD951" s="673"/>
      <c r="AE951" s="673"/>
      <c r="AF951" s="673"/>
      <c r="AG951" s="673"/>
      <c r="AH951" s="673"/>
      <c r="AI951" s="673"/>
      <c r="AJ951" s="673"/>
      <c r="AK951" s="673"/>
      <c r="AL951" s="673"/>
      <c r="AM951" s="673"/>
      <c r="AN951" s="673"/>
      <c r="AO951" s="673"/>
      <c r="AP951" s="673"/>
      <c r="AQ951" s="673"/>
      <c r="AR951" s="673"/>
      <c r="AS951" s="673"/>
    </row>
    <row r="952">
      <c r="A952" s="653"/>
      <c r="B952" s="654"/>
      <c r="C952" s="655"/>
      <c r="D952" s="656"/>
      <c r="E952" s="657"/>
      <c r="F952" s="658"/>
      <c r="G952" s="659"/>
      <c r="H952" s="660"/>
      <c r="I952" s="659"/>
      <c r="J952" s="661"/>
      <c r="K952" s="658"/>
      <c r="L952" s="662"/>
      <c r="M952" s="663"/>
      <c r="N952" s="664"/>
      <c r="O952" s="665"/>
      <c r="P952" s="666"/>
      <c r="Q952" s="667"/>
      <c r="R952" s="668"/>
      <c r="S952" s="665"/>
      <c r="T952" s="669"/>
      <c r="U952" s="669"/>
      <c r="V952" s="665"/>
      <c r="W952" s="670"/>
      <c r="X952" s="670"/>
      <c r="Y952" s="671"/>
      <c r="Z952" s="671"/>
      <c r="AA952" s="672"/>
      <c r="AB952" s="673"/>
      <c r="AC952" s="673"/>
      <c r="AD952" s="673"/>
      <c r="AE952" s="673"/>
      <c r="AF952" s="673"/>
      <c r="AG952" s="673"/>
      <c r="AH952" s="673"/>
      <c r="AI952" s="673"/>
      <c r="AJ952" s="673"/>
      <c r="AK952" s="673"/>
      <c r="AL952" s="673"/>
      <c r="AM952" s="673"/>
      <c r="AN952" s="673"/>
      <c r="AO952" s="673"/>
      <c r="AP952" s="673"/>
      <c r="AQ952" s="673"/>
      <c r="AR952" s="673"/>
      <c r="AS952" s="673"/>
    </row>
    <row r="953">
      <c r="A953" s="653"/>
      <c r="B953" s="654"/>
      <c r="C953" s="655"/>
      <c r="D953" s="656"/>
      <c r="E953" s="657"/>
      <c r="F953" s="658"/>
      <c r="G953" s="659"/>
      <c r="H953" s="660"/>
      <c r="I953" s="659"/>
      <c r="J953" s="661"/>
      <c r="K953" s="658"/>
      <c r="L953" s="662"/>
      <c r="M953" s="663"/>
      <c r="N953" s="664"/>
      <c r="O953" s="665"/>
      <c r="P953" s="666"/>
      <c r="Q953" s="667"/>
      <c r="R953" s="668"/>
      <c r="S953" s="665"/>
      <c r="T953" s="669"/>
      <c r="U953" s="669"/>
      <c r="V953" s="665"/>
      <c r="W953" s="670"/>
      <c r="X953" s="670"/>
      <c r="Y953" s="671"/>
      <c r="Z953" s="671"/>
      <c r="AA953" s="672"/>
      <c r="AB953" s="673"/>
      <c r="AC953" s="673"/>
      <c r="AD953" s="673"/>
      <c r="AE953" s="673"/>
      <c r="AF953" s="673"/>
      <c r="AG953" s="673"/>
      <c r="AH953" s="673"/>
      <c r="AI953" s="673"/>
      <c r="AJ953" s="673"/>
      <c r="AK953" s="673"/>
      <c r="AL953" s="673"/>
      <c r="AM953" s="673"/>
      <c r="AN953" s="673"/>
      <c r="AO953" s="673"/>
      <c r="AP953" s="673"/>
      <c r="AQ953" s="673"/>
      <c r="AR953" s="673"/>
      <c r="AS953" s="673"/>
    </row>
    <row r="954">
      <c r="A954" s="653"/>
      <c r="B954" s="654"/>
      <c r="C954" s="655"/>
      <c r="D954" s="656"/>
      <c r="E954" s="657"/>
      <c r="F954" s="658"/>
      <c r="G954" s="659"/>
      <c r="H954" s="660"/>
      <c r="I954" s="659"/>
      <c r="J954" s="661"/>
      <c r="K954" s="658"/>
      <c r="L954" s="662"/>
      <c r="M954" s="663"/>
      <c r="N954" s="664"/>
      <c r="O954" s="665"/>
      <c r="P954" s="666"/>
      <c r="Q954" s="667"/>
      <c r="R954" s="668"/>
      <c r="S954" s="665"/>
      <c r="T954" s="669"/>
      <c r="U954" s="669"/>
      <c r="V954" s="665"/>
      <c r="W954" s="670"/>
      <c r="X954" s="670"/>
      <c r="Y954" s="671"/>
      <c r="Z954" s="671"/>
      <c r="AA954" s="672"/>
      <c r="AB954" s="673"/>
      <c r="AC954" s="673"/>
      <c r="AD954" s="673"/>
      <c r="AE954" s="673"/>
      <c r="AF954" s="673"/>
      <c r="AG954" s="673"/>
      <c r="AH954" s="673"/>
      <c r="AI954" s="673"/>
      <c r="AJ954" s="673"/>
      <c r="AK954" s="673"/>
      <c r="AL954" s="673"/>
      <c r="AM954" s="673"/>
      <c r="AN954" s="673"/>
      <c r="AO954" s="673"/>
      <c r="AP954" s="673"/>
      <c r="AQ954" s="673"/>
      <c r="AR954" s="673"/>
      <c r="AS954" s="673"/>
    </row>
    <row r="955">
      <c r="A955" s="653"/>
      <c r="B955" s="654"/>
      <c r="C955" s="655"/>
      <c r="D955" s="656"/>
      <c r="E955" s="657"/>
      <c r="F955" s="658"/>
      <c r="G955" s="659"/>
      <c r="H955" s="660"/>
      <c r="I955" s="659"/>
      <c r="J955" s="661"/>
      <c r="K955" s="658"/>
      <c r="L955" s="662"/>
      <c r="M955" s="663"/>
      <c r="N955" s="664"/>
      <c r="O955" s="665"/>
      <c r="P955" s="666"/>
      <c r="Q955" s="667"/>
      <c r="R955" s="668"/>
      <c r="S955" s="665"/>
      <c r="T955" s="669"/>
      <c r="U955" s="669"/>
      <c r="V955" s="665"/>
      <c r="W955" s="670"/>
      <c r="X955" s="670"/>
      <c r="Y955" s="671"/>
      <c r="Z955" s="671"/>
      <c r="AA955" s="672"/>
      <c r="AB955" s="673"/>
      <c r="AC955" s="673"/>
      <c r="AD955" s="673"/>
      <c r="AE955" s="673"/>
      <c r="AF955" s="673"/>
      <c r="AG955" s="673"/>
      <c r="AH955" s="673"/>
      <c r="AI955" s="673"/>
      <c r="AJ955" s="673"/>
      <c r="AK955" s="673"/>
      <c r="AL955" s="673"/>
      <c r="AM955" s="673"/>
      <c r="AN955" s="673"/>
      <c r="AO955" s="673"/>
      <c r="AP955" s="673"/>
      <c r="AQ955" s="673"/>
      <c r="AR955" s="673"/>
      <c r="AS955" s="673"/>
    </row>
    <row r="956">
      <c r="A956" s="653"/>
      <c r="B956" s="654"/>
      <c r="C956" s="655"/>
      <c r="D956" s="656"/>
      <c r="E956" s="657"/>
      <c r="F956" s="658"/>
      <c r="G956" s="659"/>
      <c r="H956" s="660"/>
      <c r="I956" s="659"/>
      <c r="J956" s="661"/>
      <c r="K956" s="658"/>
      <c r="L956" s="662"/>
      <c r="M956" s="663"/>
      <c r="N956" s="664"/>
      <c r="O956" s="665"/>
      <c r="P956" s="666"/>
      <c r="Q956" s="667"/>
      <c r="R956" s="668"/>
      <c r="S956" s="665"/>
      <c r="T956" s="669"/>
      <c r="U956" s="669"/>
      <c r="V956" s="665"/>
      <c r="W956" s="670"/>
      <c r="X956" s="670"/>
      <c r="Y956" s="671"/>
      <c r="Z956" s="671"/>
      <c r="AA956" s="672"/>
      <c r="AB956" s="673"/>
      <c r="AC956" s="673"/>
      <c r="AD956" s="673"/>
      <c r="AE956" s="673"/>
      <c r="AF956" s="673"/>
      <c r="AG956" s="673"/>
      <c r="AH956" s="673"/>
      <c r="AI956" s="673"/>
      <c r="AJ956" s="673"/>
      <c r="AK956" s="673"/>
      <c r="AL956" s="673"/>
      <c r="AM956" s="673"/>
      <c r="AN956" s="673"/>
      <c r="AO956" s="673"/>
      <c r="AP956" s="673"/>
      <c r="AQ956" s="673"/>
      <c r="AR956" s="673"/>
      <c r="AS956" s="673"/>
    </row>
    <row r="957">
      <c r="A957" s="653"/>
      <c r="B957" s="654"/>
      <c r="C957" s="655"/>
      <c r="D957" s="656"/>
      <c r="E957" s="657"/>
      <c r="F957" s="658"/>
      <c r="G957" s="659"/>
      <c r="H957" s="660"/>
      <c r="I957" s="659"/>
      <c r="J957" s="661"/>
      <c r="K957" s="658"/>
      <c r="L957" s="662"/>
      <c r="M957" s="663"/>
      <c r="N957" s="664"/>
      <c r="O957" s="665"/>
      <c r="P957" s="666"/>
      <c r="Q957" s="667"/>
      <c r="R957" s="668"/>
      <c r="S957" s="665"/>
      <c r="T957" s="669"/>
      <c r="U957" s="669"/>
      <c r="V957" s="665"/>
      <c r="W957" s="670"/>
      <c r="X957" s="670"/>
      <c r="Y957" s="671"/>
      <c r="Z957" s="671"/>
      <c r="AA957" s="672"/>
      <c r="AB957" s="673"/>
      <c r="AC957" s="673"/>
      <c r="AD957" s="673"/>
      <c r="AE957" s="673"/>
      <c r="AF957" s="673"/>
      <c r="AG957" s="673"/>
      <c r="AH957" s="673"/>
      <c r="AI957" s="673"/>
      <c r="AJ957" s="673"/>
      <c r="AK957" s="673"/>
      <c r="AL957" s="673"/>
      <c r="AM957" s="673"/>
      <c r="AN957" s="673"/>
      <c r="AO957" s="673"/>
      <c r="AP957" s="673"/>
      <c r="AQ957" s="673"/>
      <c r="AR957" s="673"/>
      <c r="AS957" s="673"/>
    </row>
    <row r="958">
      <c r="A958" s="653"/>
      <c r="B958" s="654"/>
      <c r="C958" s="655"/>
      <c r="D958" s="656"/>
      <c r="E958" s="657"/>
      <c r="F958" s="658"/>
      <c r="G958" s="659"/>
      <c r="H958" s="660"/>
      <c r="I958" s="659"/>
      <c r="J958" s="661"/>
      <c r="K958" s="658"/>
      <c r="L958" s="662"/>
      <c r="M958" s="663"/>
      <c r="N958" s="664"/>
      <c r="O958" s="665"/>
      <c r="P958" s="666"/>
      <c r="Q958" s="667"/>
      <c r="R958" s="668"/>
      <c r="S958" s="665"/>
      <c r="T958" s="669"/>
      <c r="U958" s="669"/>
      <c r="V958" s="665"/>
      <c r="W958" s="670"/>
      <c r="X958" s="670"/>
      <c r="Y958" s="671"/>
      <c r="Z958" s="671"/>
      <c r="AA958" s="672"/>
      <c r="AB958" s="673"/>
      <c r="AC958" s="673"/>
      <c r="AD958" s="673"/>
      <c r="AE958" s="673"/>
      <c r="AF958" s="673"/>
      <c r="AG958" s="673"/>
      <c r="AH958" s="673"/>
      <c r="AI958" s="673"/>
      <c r="AJ958" s="673"/>
      <c r="AK958" s="673"/>
      <c r="AL958" s="673"/>
      <c r="AM958" s="673"/>
      <c r="AN958" s="673"/>
      <c r="AO958" s="673"/>
      <c r="AP958" s="673"/>
      <c r="AQ958" s="673"/>
      <c r="AR958" s="673"/>
      <c r="AS958" s="673"/>
    </row>
    <row r="959">
      <c r="A959" s="653"/>
      <c r="B959" s="654"/>
      <c r="C959" s="655"/>
      <c r="D959" s="656"/>
      <c r="E959" s="657"/>
      <c r="F959" s="658"/>
      <c r="G959" s="659"/>
      <c r="H959" s="660"/>
      <c r="I959" s="659"/>
      <c r="J959" s="661"/>
      <c r="K959" s="658"/>
      <c r="L959" s="662"/>
      <c r="M959" s="663"/>
      <c r="N959" s="664"/>
      <c r="O959" s="665"/>
      <c r="P959" s="666"/>
      <c r="Q959" s="667"/>
      <c r="R959" s="668"/>
      <c r="S959" s="665"/>
      <c r="T959" s="669"/>
      <c r="U959" s="669"/>
      <c r="V959" s="665"/>
      <c r="W959" s="670"/>
      <c r="X959" s="670"/>
      <c r="Y959" s="671"/>
      <c r="Z959" s="671"/>
      <c r="AA959" s="672"/>
      <c r="AB959" s="673"/>
      <c r="AC959" s="673"/>
      <c r="AD959" s="673"/>
      <c r="AE959" s="673"/>
      <c r="AF959" s="673"/>
      <c r="AG959" s="673"/>
      <c r="AH959" s="673"/>
      <c r="AI959" s="673"/>
      <c r="AJ959" s="673"/>
      <c r="AK959" s="673"/>
      <c r="AL959" s="673"/>
      <c r="AM959" s="673"/>
      <c r="AN959" s="673"/>
      <c r="AO959" s="673"/>
      <c r="AP959" s="673"/>
      <c r="AQ959" s="673"/>
      <c r="AR959" s="673"/>
      <c r="AS959" s="673"/>
    </row>
    <row r="960">
      <c r="A960" s="653"/>
      <c r="B960" s="654"/>
      <c r="C960" s="655"/>
      <c r="D960" s="656"/>
      <c r="E960" s="657"/>
      <c r="F960" s="658"/>
      <c r="G960" s="659"/>
      <c r="H960" s="660"/>
      <c r="I960" s="659"/>
      <c r="J960" s="661"/>
      <c r="K960" s="658"/>
      <c r="L960" s="662"/>
      <c r="M960" s="663"/>
      <c r="N960" s="664"/>
      <c r="O960" s="665"/>
      <c r="P960" s="666"/>
      <c r="Q960" s="667"/>
      <c r="R960" s="668"/>
      <c r="S960" s="665"/>
      <c r="T960" s="669"/>
      <c r="U960" s="669"/>
      <c r="V960" s="665"/>
      <c r="W960" s="670"/>
      <c r="X960" s="670"/>
      <c r="Y960" s="671"/>
      <c r="Z960" s="671"/>
      <c r="AA960" s="672"/>
      <c r="AB960" s="673"/>
      <c r="AC960" s="673"/>
      <c r="AD960" s="673"/>
      <c r="AE960" s="673"/>
      <c r="AF960" s="673"/>
      <c r="AG960" s="673"/>
      <c r="AH960" s="673"/>
      <c r="AI960" s="673"/>
      <c r="AJ960" s="673"/>
      <c r="AK960" s="673"/>
      <c r="AL960" s="673"/>
      <c r="AM960" s="673"/>
      <c r="AN960" s="673"/>
      <c r="AO960" s="673"/>
      <c r="AP960" s="673"/>
      <c r="AQ960" s="673"/>
      <c r="AR960" s="673"/>
      <c r="AS960" s="673"/>
    </row>
    <row r="961">
      <c r="A961" s="653"/>
      <c r="B961" s="654"/>
      <c r="C961" s="655"/>
      <c r="D961" s="656"/>
      <c r="E961" s="657"/>
      <c r="F961" s="658"/>
      <c r="G961" s="659"/>
      <c r="H961" s="660"/>
      <c r="I961" s="659"/>
      <c r="J961" s="661"/>
      <c r="K961" s="658"/>
      <c r="L961" s="662"/>
      <c r="M961" s="663"/>
      <c r="N961" s="664"/>
      <c r="O961" s="665"/>
      <c r="P961" s="666"/>
      <c r="Q961" s="667"/>
      <c r="R961" s="668"/>
      <c r="S961" s="665"/>
      <c r="T961" s="669"/>
      <c r="U961" s="669"/>
      <c r="V961" s="665"/>
      <c r="W961" s="670"/>
      <c r="X961" s="670"/>
      <c r="Y961" s="671"/>
      <c r="Z961" s="671"/>
      <c r="AA961" s="672"/>
      <c r="AB961" s="673"/>
      <c r="AC961" s="673"/>
      <c r="AD961" s="673"/>
      <c r="AE961" s="673"/>
      <c r="AF961" s="673"/>
      <c r="AG961" s="673"/>
      <c r="AH961" s="673"/>
      <c r="AI961" s="673"/>
      <c r="AJ961" s="673"/>
      <c r="AK961" s="673"/>
      <c r="AL961" s="673"/>
      <c r="AM961" s="673"/>
      <c r="AN961" s="673"/>
      <c r="AO961" s="673"/>
      <c r="AP961" s="673"/>
      <c r="AQ961" s="673"/>
      <c r="AR961" s="673"/>
      <c r="AS961" s="673"/>
    </row>
    <row r="962">
      <c r="A962" s="653"/>
      <c r="B962" s="654"/>
      <c r="C962" s="655"/>
      <c r="D962" s="656"/>
      <c r="E962" s="657"/>
      <c r="F962" s="658"/>
      <c r="G962" s="659"/>
      <c r="H962" s="660"/>
      <c r="I962" s="659"/>
      <c r="J962" s="661"/>
      <c r="K962" s="658"/>
      <c r="L962" s="662"/>
      <c r="M962" s="663"/>
      <c r="N962" s="664"/>
      <c r="O962" s="665"/>
      <c r="P962" s="666"/>
      <c r="Q962" s="667"/>
      <c r="R962" s="668"/>
      <c r="S962" s="665"/>
      <c r="T962" s="669"/>
      <c r="U962" s="669"/>
      <c r="V962" s="665"/>
      <c r="W962" s="670"/>
      <c r="X962" s="670"/>
      <c r="Y962" s="671"/>
      <c r="Z962" s="671"/>
      <c r="AA962" s="672"/>
      <c r="AB962" s="673"/>
      <c r="AC962" s="673"/>
      <c r="AD962" s="673"/>
      <c r="AE962" s="673"/>
      <c r="AF962" s="673"/>
      <c r="AG962" s="673"/>
      <c r="AH962" s="673"/>
      <c r="AI962" s="673"/>
      <c r="AJ962" s="673"/>
      <c r="AK962" s="673"/>
      <c r="AL962" s="673"/>
      <c r="AM962" s="673"/>
      <c r="AN962" s="673"/>
      <c r="AO962" s="673"/>
      <c r="AP962" s="673"/>
      <c r="AQ962" s="673"/>
      <c r="AR962" s="673"/>
      <c r="AS962" s="673"/>
    </row>
    <row r="963">
      <c r="A963" s="653"/>
      <c r="B963" s="654"/>
      <c r="C963" s="655"/>
      <c r="D963" s="656"/>
      <c r="E963" s="657"/>
      <c r="F963" s="658"/>
      <c r="G963" s="659"/>
      <c r="H963" s="660"/>
      <c r="I963" s="659"/>
      <c r="J963" s="661"/>
      <c r="K963" s="658"/>
      <c r="L963" s="662"/>
      <c r="M963" s="663"/>
      <c r="N963" s="664"/>
      <c r="O963" s="665"/>
      <c r="P963" s="666"/>
      <c r="Q963" s="667"/>
      <c r="R963" s="668"/>
      <c r="S963" s="665"/>
      <c r="T963" s="669"/>
      <c r="U963" s="669"/>
      <c r="V963" s="665"/>
      <c r="W963" s="670"/>
      <c r="X963" s="670"/>
      <c r="Y963" s="671"/>
      <c r="Z963" s="671"/>
      <c r="AA963" s="672"/>
      <c r="AB963" s="673"/>
      <c r="AC963" s="673"/>
      <c r="AD963" s="673"/>
      <c r="AE963" s="673"/>
      <c r="AF963" s="673"/>
      <c r="AG963" s="673"/>
      <c r="AH963" s="673"/>
      <c r="AI963" s="673"/>
      <c r="AJ963" s="673"/>
      <c r="AK963" s="673"/>
      <c r="AL963" s="673"/>
      <c r="AM963" s="673"/>
      <c r="AN963" s="673"/>
      <c r="AO963" s="673"/>
      <c r="AP963" s="673"/>
      <c r="AQ963" s="673"/>
      <c r="AR963" s="673"/>
      <c r="AS963" s="673"/>
    </row>
    <row r="964">
      <c r="A964" s="653"/>
      <c r="B964" s="654"/>
      <c r="C964" s="655"/>
      <c r="D964" s="656"/>
      <c r="E964" s="657"/>
      <c r="F964" s="658"/>
      <c r="G964" s="659"/>
      <c r="H964" s="660"/>
      <c r="I964" s="659"/>
      <c r="J964" s="661"/>
      <c r="K964" s="658"/>
      <c r="L964" s="662"/>
      <c r="M964" s="663"/>
      <c r="N964" s="664"/>
      <c r="O964" s="665"/>
      <c r="P964" s="666"/>
      <c r="Q964" s="667"/>
      <c r="R964" s="668"/>
      <c r="S964" s="665"/>
      <c r="T964" s="669"/>
      <c r="U964" s="669"/>
      <c r="V964" s="665"/>
      <c r="W964" s="670"/>
      <c r="X964" s="670"/>
      <c r="Y964" s="671"/>
      <c r="Z964" s="671"/>
      <c r="AA964" s="672"/>
      <c r="AB964" s="673"/>
      <c r="AC964" s="673"/>
      <c r="AD964" s="673"/>
      <c r="AE964" s="673"/>
      <c r="AF964" s="673"/>
      <c r="AG964" s="673"/>
      <c r="AH964" s="673"/>
      <c r="AI964" s="673"/>
      <c r="AJ964" s="673"/>
      <c r="AK964" s="673"/>
      <c r="AL964" s="673"/>
      <c r="AM964" s="673"/>
      <c r="AN964" s="673"/>
      <c r="AO964" s="673"/>
      <c r="AP964" s="673"/>
      <c r="AQ964" s="673"/>
      <c r="AR964" s="673"/>
      <c r="AS964" s="673"/>
    </row>
    <row r="965">
      <c r="A965" s="653"/>
      <c r="B965" s="654"/>
      <c r="C965" s="655"/>
      <c r="D965" s="656"/>
      <c r="E965" s="657"/>
      <c r="F965" s="658"/>
      <c r="G965" s="659"/>
      <c r="H965" s="660"/>
      <c r="I965" s="659"/>
      <c r="J965" s="661"/>
      <c r="K965" s="658"/>
      <c r="L965" s="662"/>
      <c r="M965" s="663"/>
      <c r="N965" s="664"/>
      <c r="O965" s="665"/>
      <c r="P965" s="666"/>
      <c r="Q965" s="667"/>
      <c r="R965" s="668"/>
      <c r="S965" s="665"/>
      <c r="T965" s="669"/>
      <c r="U965" s="669"/>
      <c r="V965" s="665"/>
      <c r="W965" s="670"/>
      <c r="X965" s="670"/>
      <c r="Y965" s="671"/>
      <c r="Z965" s="671"/>
      <c r="AA965" s="672"/>
      <c r="AB965" s="673"/>
      <c r="AC965" s="673"/>
      <c r="AD965" s="673"/>
      <c r="AE965" s="673"/>
      <c r="AF965" s="673"/>
      <c r="AG965" s="673"/>
      <c r="AH965" s="673"/>
      <c r="AI965" s="673"/>
      <c r="AJ965" s="673"/>
      <c r="AK965" s="673"/>
      <c r="AL965" s="673"/>
      <c r="AM965" s="673"/>
      <c r="AN965" s="673"/>
      <c r="AO965" s="673"/>
      <c r="AP965" s="673"/>
      <c r="AQ965" s="673"/>
      <c r="AR965" s="673"/>
      <c r="AS965" s="673"/>
    </row>
    <row r="966">
      <c r="A966" s="653"/>
      <c r="B966" s="654"/>
      <c r="C966" s="655"/>
      <c r="D966" s="656"/>
      <c r="E966" s="657"/>
      <c r="F966" s="658"/>
      <c r="G966" s="659"/>
      <c r="H966" s="660"/>
      <c r="I966" s="659"/>
      <c r="J966" s="661"/>
      <c r="K966" s="658"/>
      <c r="L966" s="662"/>
      <c r="M966" s="663"/>
      <c r="N966" s="664"/>
      <c r="O966" s="665"/>
      <c r="P966" s="666"/>
      <c r="Q966" s="667"/>
      <c r="R966" s="668"/>
      <c r="S966" s="665"/>
      <c r="T966" s="669"/>
      <c r="U966" s="669"/>
      <c r="V966" s="665"/>
      <c r="W966" s="670"/>
      <c r="X966" s="670"/>
      <c r="Y966" s="671"/>
      <c r="Z966" s="671"/>
      <c r="AA966" s="672"/>
      <c r="AB966" s="673"/>
      <c r="AC966" s="673"/>
      <c r="AD966" s="673"/>
      <c r="AE966" s="673"/>
      <c r="AF966" s="673"/>
      <c r="AG966" s="673"/>
      <c r="AH966" s="673"/>
      <c r="AI966" s="673"/>
      <c r="AJ966" s="673"/>
      <c r="AK966" s="673"/>
      <c r="AL966" s="673"/>
      <c r="AM966" s="673"/>
      <c r="AN966" s="673"/>
      <c r="AO966" s="673"/>
      <c r="AP966" s="673"/>
      <c r="AQ966" s="673"/>
      <c r="AR966" s="673"/>
      <c r="AS966" s="673"/>
    </row>
    <row r="967">
      <c r="A967" s="653"/>
      <c r="B967" s="654"/>
      <c r="C967" s="655"/>
      <c r="D967" s="656"/>
      <c r="E967" s="657"/>
      <c r="F967" s="658"/>
      <c r="G967" s="659"/>
      <c r="H967" s="660"/>
      <c r="I967" s="659"/>
      <c r="J967" s="661"/>
      <c r="K967" s="658"/>
      <c r="L967" s="662"/>
      <c r="M967" s="663"/>
      <c r="N967" s="664"/>
      <c r="O967" s="665"/>
      <c r="P967" s="666"/>
      <c r="Q967" s="667"/>
      <c r="R967" s="668"/>
      <c r="S967" s="665"/>
      <c r="T967" s="669"/>
      <c r="U967" s="669"/>
      <c r="V967" s="665"/>
      <c r="W967" s="670"/>
      <c r="X967" s="670"/>
      <c r="Y967" s="671"/>
      <c r="Z967" s="671"/>
      <c r="AA967" s="672"/>
      <c r="AB967" s="673"/>
      <c r="AC967" s="673"/>
      <c r="AD967" s="673"/>
      <c r="AE967" s="673"/>
      <c r="AF967" s="673"/>
      <c r="AG967" s="673"/>
      <c r="AH967" s="673"/>
      <c r="AI967" s="673"/>
      <c r="AJ967" s="673"/>
      <c r="AK967" s="673"/>
      <c r="AL967" s="673"/>
      <c r="AM967" s="673"/>
      <c r="AN967" s="673"/>
      <c r="AO967" s="673"/>
      <c r="AP967" s="673"/>
      <c r="AQ967" s="673"/>
      <c r="AR967" s="673"/>
      <c r="AS967" s="673"/>
    </row>
    <row r="968">
      <c r="A968" s="653"/>
      <c r="B968" s="654"/>
      <c r="C968" s="655"/>
      <c r="D968" s="656"/>
      <c r="E968" s="657"/>
      <c r="F968" s="658"/>
      <c r="G968" s="659"/>
      <c r="H968" s="660"/>
      <c r="I968" s="659"/>
      <c r="J968" s="661"/>
      <c r="K968" s="658"/>
      <c r="L968" s="662"/>
      <c r="M968" s="663"/>
      <c r="N968" s="664"/>
      <c r="O968" s="665"/>
      <c r="P968" s="666"/>
      <c r="Q968" s="667"/>
      <c r="R968" s="668"/>
      <c r="S968" s="665"/>
      <c r="T968" s="669"/>
      <c r="U968" s="669"/>
      <c r="V968" s="665"/>
      <c r="W968" s="670"/>
      <c r="X968" s="670"/>
      <c r="Y968" s="671"/>
      <c r="Z968" s="671"/>
      <c r="AA968" s="672"/>
      <c r="AB968" s="673"/>
      <c r="AC968" s="673"/>
      <c r="AD968" s="673"/>
      <c r="AE968" s="673"/>
      <c r="AF968" s="673"/>
      <c r="AG968" s="673"/>
      <c r="AH968" s="673"/>
      <c r="AI968" s="673"/>
      <c r="AJ968" s="673"/>
      <c r="AK968" s="673"/>
      <c r="AL968" s="673"/>
      <c r="AM968" s="673"/>
      <c r="AN968" s="673"/>
      <c r="AO968" s="673"/>
      <c r="AP968" s="673"/>
      <c r="AQ968" s="673"/>
      <c r="AR968" s="673"/>
      <c r="AS968" s="673"/>
    </row>
    <row r="969">
      <c r="A969" s="653"/>
      <c r="B969" s="654"/>
      <c r="C969" s="655"/>
      <c r="D969" s="656"/>
      <c r="E969" s="657"/>
      <c r="F969" s="658"/>
      <c r="G969" s="659"/>
      <c r="H969" s="660"/>
      <c r="I969" s="659"/>
      <c r="J969" s="661"/>
      <c r="K969" s="658"/>
      <c r="L969" s="662"/>
      <c r="M969" s="663"/>
      <c r="N969" s="664"/>
      <c r="O969" s="665"/>
      <c r="P969" s="666"/>
      <c r="Q969" s="667"/>
      <c r="R969" s="668"/>
      <c r="S969" s="665"/>
      <c r="T969" s="669"/>
      <c r="U969" s="669"/>
      <c r="V969" s="665"/>
      <c r="W969" s="670"/>
      <c r="X969" s="670"/>
      <c r="Y969" s="671"/>
      <c r="Z969" s="671"/>
      <c r="AA969" s="672"/>
      <c r="AB969" s="673"/>
      <c r="AC969" s="673"/>
      <c r="AD969" s="673"/>
      <c r="AE969" s="673"/>
      <c r="AF969" s="673"/>
      <c r="AG969" s="673"/>
      <c r="AH969" s="673"/>
      <c r="AI969" s="673"/>
      <c r="AJ969" s="673"/>
      <c r="AK969" s="673"/>
      <c r="AL969" s="673"/>
      <c r="AM969" s="673"/>
      <c r="AN969" s="673"/>
      <c r="AO969" s="673"/>
      <c r="AP969" s="673"/>
      <c r="AQ969" s="673"/>
      <c r="AR969" s="673"/>
      <c r="AS969" s="673"/>
    </row>
    <row r="970">
      <c r="A970" s="653"/>
      <c r="B970" s="654"/>
      <c r="C970" s="655"/>
      <c r="D970" s="656"/>
      <c r="E970" s="657"/>
      <c r="F970" s="658"/>
      <c r="G970" s="659"/>
      <c r="H970" s="660"/>
      <c r="I970" s="659"/>
      <c r="J970" s="661"/>
      <c r="K970" s="658"/>
      <c r="L970" s="662"/>
      <c r="M970" s="663"/>
      <c r="N970" s="664"/>
      <c r="O970" s="665"/>
      <c r="P970" s="666"/>
      <c r="Q970" s="667"/>
      <c r="R970" s="668"/>
      <c r="S970" s="665"/>
      <c r="T970" s="669"/>
      <c r="U970" s="669"/>
      <c r="V970" s="665"/>
      <c r="W970" s="670"/>
      <c r="X970" s="670"/>
      <c r="Y970" s="671"/>
      <c r="Z970" s="671"/>
      <c r="AA970" s="672"/>
      <c r="AB970" s="673"/>
      <c r="AC970" s="673"/>
      <c r="AD970" s="673"/>
      <c r="AE970" s="673"/>
      <c r="AF970" s="673"/>
      <c r="AG970" s="673"/>
      <c r="AH970" s="673"/>
      <c r="AI970" s="673"/>
      <c r="AJ970" s="673"/>
      <c r="AK970" s="673"/>
      <c r="AL970" s="673"/>
      <c r="AM970" s="673"/>
      <c r="AN970" s="673"/>
      <c r="AO970" s="673"/>
      <c r="AP970" s="673"/>
      <c r="AQ970" s="673"/>
      <c r="AR970" s="673"/>
      <c r="AS970" s="673"/>
    </row>
    <row r="971">
      <c r="A971" s="653"/>
      <c r="B971" s="654"/>
      <c r="C971" s="655"/>
      <c r="D971" s="656"/>
      <c r="E971" s="657"/>
      <c r="F971" s="658"/>
      <c r="G971" s="659"/>
      <c r="H971" s="660"/>
      <c r="I971" s="659"/>
      <c r="J971" s="661"/>
      <c r="K971" s="658"/>
      <c r="L971" s="662"/>
      <c r="M971" s="663"/>
      <c r="N971" s="664"/>
      <c r="O971" s="665"/>
      <c r="P971" s="666"/>
      <c r="Q971" s="667"/>
      <c r="R971" s="668"/>
      <c r="S971" s="665"/>
      <c r="T971" s="669"/>
      <c r="U971" s="669"/>
      <c r="V971" s="665"/>
      <c r="W971" s="670"/>
      <c r="X971" s="670"/>
      <c r="Y971" s="671"/>
      <c r="Z971" s="671"/>
      <c r="AA971" s="672"/>
      <c r="AB971" s="673"/>
      <c r="AC971" s="673"/>
      <c r="AD971" s="673"/>
      <c r="AE971" s="673"/>
      <c r="AF971" s="673"/>
      <c r="AG971" s="673"/>
      <c r="AH971" s="673"/>
      <c r="AI971" s="673"/>
      <c r="AJ971" s="673"/>
      <c r="AK971" s="673"/>
      <c r="AL971" s="673"/>
      <c r="AM971" s="673"/>
      <c r="AN971" s="673"/>
      <c r="AO971" s="673"/>
      <c r="AP971" s="673"/>
      <c r="AQ971" s="673"/>
      <c r="AR971" s="673"/>
      <c r="AS971" s="673"/>
    </row>
    <row r="972">
      <c r="A972" s="653"/>
      <c r="B972" s="654"/>
      <c r="C972" s="655"/>
      <c r="D972" s="656"/>
      <c r="E972" s="657"/>
      <c r="F972" s="658"/>
      <c r="G972" s="659"/>
      <c r="H972" s="660"/>
      <c r="I972" s="659"/>
      <c r="J972" s="661"/>
      <c r="K972" s="658"/>
      <c r="L972" s="662"/>
      <c r="M972" s="663"/>
      <c r="N972" s="664"/>
      <c r="O972" s="665"/>
      <c r="P972" s="666"/>
      <c r="Q972" s="667"/>
      <c r="R972" s="668"/>
      <c r="S972" s="665"/>
      <c r="T972" s="669"/>
      <c r="U972" s="669"/>
      <c r="V972" s="665"/>
      <c r="W972" s="670"/>
      <c r="X972" s="670"/>
      <c r="Y972" s="671"/>
      <c r="Z972" s="671"/>
      <c r="AA972" s="672"/>
      <c r="AB972" s="673"/>
      <c r="AC972" s="673"/>
      <c r="AD972" s="673"/>
      <c r="AE972" s="673"/>
      <c r="AF972" s="673"/>
      <c r="AG972" s="673"/>
      <c r="AH972" s="673"/>
      <c r="AI972" s="673"/>
      <c r="AJ972" s="673"/>
      <c r="AK972" s="673"/>
      <c r="AL972" s="673"/>
      <c r="AM972" s="673"/>
      <c r="AN972" s="673"/>
      <c r="AO972" s="673"/>
      <c r="AP972" s="673"/>
      <c r="AQ972" s="673"/>
      <c r="AR972" s="673"/>
      <c r="AS972" s="673"/>
    </row>
    <row r="973">
      <c r="A973" s="653"/>
      <c r="B973" s="654"/>
      <c r="C973" s="655"/>
      <c r="D973" s="656"/>
      <c r="E973" s="657"/>
      <c r="F973" s="658"/>
      <c r="G973" s="659"/>
      <c r="H973" s="660"/>
      <c r="I973" s="659"/>
      <c r="J973" s="661"/>
      <c r="K973" s="658"/>
      <c r="L973" s="662"/>
      <c r="M973" s="663"/>
      <c r="N973" s="664"/>
      <c r="O973" s="665"/>
      <c r="P973" s="666"/>
      <c r="Q973" s="667"/>
      <c r="R973" s="668"/>
      <c r="S973" s="665"/>
      <c r="T973" s="669"/>
      <c r="U973" s="669"/>
      <c r="V973" s="665"/>
      <c r="W973" s="670"/>
      <c r="X973" s="670"/>
      <c r="Y973" s="671"/>
      <c r="Z973" s="671"/>
      <c r="AA973" s="672"/>
      <c r="AB973" s="673"/>
      <c r="AC973" s="673"/>
      <c r="AD973" s="673"/>
      <c r="AE973" s="673"/>
      <c r="AF973" s="673"/>
      <c r="AG973" s="673"/>
      <c r="AH973" s="673"/>
      <c r="AI973" s="673"/>
      <c r="AJ973" s="673"/>
      <c r="AK973" s="673"/>
      <c r="AL973" s="673"/>
      <c r="AM973" s="673"/>
      <c r="AN973" s="673"/>
      <c r="AO973" s="673"/>
      <c r="AP973" s="673"/>
      <c r="AQ973" s="673"/>
      <c r="AR973" s="673"/>
      <c r="AS973" s="673"/>
    </row>
    <row r="974">
      <c r="A974" s="653"/>
      <c r="B974" s="654"/>
      <c r="C974" s="655"/>
      <c r="D974" s="656"/>
      <c r="E974" s="657"/>
      <c r="F974" s="658"/>
      <c r="G974" s="659"/>
      <c r="H974" s="660"/>
      <c r="I974" s="659"/>
      <c r="J974" s="661"/>
      <c r="K974" s="658"/>
      <c r="L974" s="662"/>
      <c r="M974" s="663"/>
      <c r="N974" s="664"/>
      <c r="O974" s="665"/>
      <c r="P974" s="666"/>
      <c r="Q974" s="667"/>
      <c r="R974" s="668"/>
      <c r="S974" s="665"/>
      <c r="T974" s="669"/>
      <c r="U974" s="669"/>
      <c r="V974" s="665"/>
      <c r="W974" s="670"/>
      <c r="X974" s="670"/>
      <c r="Y974" s="671"/>
      <c r="Z974" s="671"/>
      <c r="AA974" s="672"/>
      <c r="AB974" s="673"/>
      <c r="AC974" s="673"/>
      <c r="AD974" s="673"/>
      <c r="AE974" s="673"/>
      <c r="AF974" s="673"/>
      <c r="AG974" s="673"/>
      <c r="AH974" s="673"/>
      <c r="AI974" s="673"/>
      <c r="AJ974" s="673"/>
      <c r="AK974" s="673"/>
      <c r="AL974" s="673"/>
      <c r="AM974" s="673"/>
      <c r="AN974" s="673"/>
      <c r="AO974" s="673"/>
      <c r="AP974" s="673"/>
      <c r="AQ974" s="673"/>
      <c r="AR974" s="673"/>
      <c r="AS974" s="673"/>
    </row>
    <row r="975">
      <c r="A975" s="653"/>
      <c r="B975" s="654"/>
      <c r="C975" s="655"/>
      <c r="D975" s="656"/>
      <c r="E975" s="657"/>
      <c r="F975" s="658"/>
      <c r="G975" s="659"/>
      <c r="H975" s="660"/>
      <c r="I975" s="659"/>
      <c r="J975" s="661"/>
      <c r="K975" s="658"/>
      <c r="L975" s="662"/>
      <c r="M975" s="663"/>
      <c r="N975" s="664"/>
      <c r="O975" s="665"/>
      <c r="P975" s="666"/>
      <c r="Q975" s="667"/>
      <c r="R975" s="668"/>
      <c r="S975" s="665"/>
      <c r="T975" s="669"/>
      <c r="U975" s="669"/>
      <c r="V975" s="665"/>
      <c r="W975" s="670"/>
      <c r="X975" s="670"/>
      <c r="Y975" s="671"/>
      <c r="Z975" s="671"/>
      <c r="AA975" s="672"/>
      <c r="AB975" s="673"/>
      <c r="AC975" s="673"/>
      <c r="AD975" s="673"/>
      <c r="AE975" s="673"/>
      <c r="AF975" s="673"/>
      <c r="AG975" s="673"/>
      <c r="AH975" s="673"/>
      <c r="AI975" s="673"/>
      <c r="AJ975" s="673"/>
      <c r="AK975" s="673"/>
      <c r="AL975" s="673"/>
      <c r="AM975" s="673"/>
      <c r="AN975" s="673"/>
      <c r="AO975" s="673"/>
      <c r="AP975" s="673"/>
      <c r="AQ975" s="673"/>
      <c r="AR975" s="673"/>
      <c r="AS975" s="673"/>
    </row>
    <row r="976">
      <c r="A976" s="653"/>
      <c r="B976" s="654"/>
      <c r="C976" s="655"/>
      <c r="D976" s="656"/>
      <c r="E976" s="657"/>
      <c r="F976" s="658"/>
      <c r="G976" s="659"/>
      <c r="H976" s="660"/>
      <c r="I976" s="659"/>
      <c r="J976" s="661"/>
      <c r="K976" s="658"/>
      <c r="L976" s="662"/>
      <c r="M976" s="663"/>
      <c r="N976" s="664"/>
      <c r="O976" s="665"/>
      <c r="P976" s="666"/>
      <c r="Q976" s="667"/>
      <c r="R976" s="668"/>
      <c r="S976" s="665"/>
      <c r="T976" s="669"/>
      <c r="U976" s="669"/>
      <c r="V976" s="665"/>
      <c r="W976" s="670"/>
      <c r="X976" s="670"/>
      <c r="Y976" s="671"/>
      <c r="Z976" s="671"/>
      <c r="AA976" s="672"/>
      <c r="AB976" s="673"/>
      <c r="AC976" s="673"/>
      <c r="AD976" s="673"/>
      <c r="AE976" s="673"/>
      <c r="AF976" s="673"/>
      <c r="AG976" s="673"/>
      <c r="AH976" s="673"/>
      <c r="AI976" s="673"/>
      <c r="AJ976" s="673"/>
      <c r="AK976" s="673"/>
      <c r="AL976" s="673"/>
      <c r="AM976" s="673"/>
      <c r="AN976" s="673"/>
      <c r="AO976" s="673"/>
      <c r="AP976" s="673"/>
      <c r="AQ976" s="673"/>
      <c r="AR976" s="673"/>
      <c r="AS976" s="673"/>
    </row>
    <row r="977">
      <c r="A977" s="653"/>
      <c r="B977" s="654"/>
      <c r="C977" s="655"/>
      <c r="D977" s="656"/>
      <c r="E977" s="657"/>
      <c r="F977" s="658"/>
      <c r="G977" s="659"/>
      <c r="H977" s="660"/>
      <c r="I977" s="659"/>
      <c r="J977" s="661"/>
      <c r="K977" s="658"/>
      <c r="L977" s="662"/>
      <c r="M977" s="663"/>
      <c r="N977" s="664"/>
      <c r="O977" s="665"/>
      <c r="P977" s="666"/>
      <c r="Q977" s="667"/>
      <c r="R977" s="668"/>
      <c r="S977" s="665"/>
      <c r="T977" s="669"/>
      <c r="U977" s="669"/>
      <c r="V977" s="665"/>
      <c r="W977" s="670"/>
      <c r="X977" s="670"/>
      <c r="Y977" s="671"/>
      <c r="Z977" s="671"/>
      <c r="AA977" s="672"/>
      <c r="AB977" s="673"/>
      <c r="AC977" s="673"/>
      <c r="AD977" s="673"/>
      <c r="AE977" s="673"/>
      <c r="AF977" s="673"/>
      <c r="AG977" s="673"/>
      <c r="AH977" s="673"/>
      <c r="AI977" s="673"/>
      <c r="AJ977" s="673"/>
      <c r="AK977" s="673"/>
      <c r="AL977" s="673"/>
      <c r="AM977" s="673"/>
      <c r="AN977" s="673"/>
      <c r="AO977" s="673"/>
      <c r="AP977" s="673"/>
      <c r="AQ977" s="673"/>
      <c r="AR977" s="673"/>
      <c r="AS977" s="673"/>
    </row>
    <row r="978">
      <c r="A978" s="653"/>
      <c r="B978" s="654"/>
      <c r="C978" s="655"/>
      <c r="D978" s="656"/>
      <c r="E978" s="657"/>
      <c r="F978" s="658"/>
      <c r="G978" s="659"/>
      <c r="H978" s="660"/>
      <c r="I978" s="659"/>
      <c r="J978" s="661"/>
      <c r="K978" s="658"/>
      <c r="L978" s="662"/>
      <c r="M978" s="663"/>
      <c r="N978" s="664"/>
      <c r="O978" s="665"/>
      <c r="P978" s="666"/>
      <c r="Q978" s="667"/>
      <c r="R978" s="668"/>
      <c r="S978" s="665"/>
      <c r="T978" s="669"/>
      <c r="U978" s="669"/>
      <c r="V978" s="665"/>
      <c r="W978" s="670"/>
      <c r="X978" s="670"/>
      <c r="Y978" s="671"/>
      <c r="Z978" s="671"/>
      <c r="AA978" s="672"/>
      <c r="AB978" s="673"/>
      <c r="AC978" s="673"/>
      <c r="AD978" s="673"/>
      <c r="AE978" s="673"/>
      <c r="AF978" s="673"/>
      <c r="AG978" s="673"/>
      <c r="AH978" s="673"/>
      <c r="AI978" s="673"/>
      <c r="AJ978" s="673"/>
      <c r="AK978" s="673"/>
      <c r="AL978" s="673"/>
      <c r="AM978" s="673"/>
      <c r="AN978" s="673"/>
      <c r="AO978" s="673"/>
      <c r="AP978" s="673"/>
      <c r="AQ978" s="673"/>
      <c r="AR978" s="673"/>
      <c r="AS978" s="673"/>
    </row>
    <row r="979">
      <c r="A979" s="653"/>
      <c r="B979" s="654"/>
      <c r="C979" s="655"/>
      <c r="D979" s="656"/>
      <c r="E979" s="657"/>
      <c r="F979" s="658"/>
      <c r="G979" s="659"/>
      <c r="H979" s="660"/>
      <c r="I979" s="659"/>
      <c r="J979" s="661"/>
      <c r="K979" s="658"/>
      <c r="L979" s="662"/>
      <c r="M979" s="663"/>
      <c r="N979" s="664"/>
      <c r="O979" s="665"/>
      <c r="P979" s="666"/>
      <c r="Q979" s="667"/>
      <c r="R979" s="668"/>
      <c r="S979" s="665"/>
      <c r="T979" s="669"/>
      <c r="U979" s="669"/>
      <c r="V979" s="665"/>
      <c r="W979" s="670"/>
      <c r="X979" s="670"/>
      <c r="Y979" s="671"/>
      <c r="Z979" s="671"/>
      <c r="AA979" s="672"/>
      <c r="AB979" s="673"/>
      <c r="AC979" s="673"/>
      <c r="AD979" s="673"/>
      <c r="AE979" s="673"/>
      <c r="AF979" s="673"/>
      <c r="AG979" s="673"/>
      <c r="AH979" s="673"/>
      <c r="AI979" s="673"/>
      <c r="AJ979" s="673"/>
      <c r="AK979" s="673"/>
      <c r="AL979" s="673"/>
      <c r="AM979" s="673"/>
      <c r="AN979" s="673"/>
      <c r="AO979" s="673"/>
      <c r="AP979" s="673"/>
      <c r="AQ979" s="673"/>
      <c r="AR979" s="673"/>
      <c r="AS979" s="673"/>
    </row>
    <row r="980">
      <c r="A980" s="653"/>
      <c r="B980" s="654"/>
      <c r="C980" s="655"/>
      <c r="D980" s="656"/>
      <c r="E980" s="657"/>
      <c r="F980" s="658"/>
      <c r="G980" s="659"/>
      <c r="H980" s="660"/>
      <c r="I980" s="659"/>
      <c r="J980" s="661"/>
      <c r="K980" s="658"/>
      <c r="L980" s="662"/>
      <c r="M980" s="663"/>
      <c r="N980" s="664"/>
      <c r="O980" s="665"/>
      <c r="P980" s="666"/>
      <c r="Q980" s="667"/>
      <c r="R980" s="668"/>
      <c r="S980" s="665"/>
      <c r="T980" s="669"/>
      <c r="U980" s="669"/>
      <c r="V980" s="665"/>
      <c r="W980" s="670"/>
      <c r="X980" s="670"/>
      <c r="Y980" s="671"/>
      <c r="Z980" s="671"/>
      <c r="AA980" s="672"/>
      <c r="AB980" s="673"/>
      <c r="AC980" s="673"/>
      <c r="AD980" s="673"/>
      <c r="AE980" s="673"/>
      <c r="AF980" s="673"/>
      <c r="AG980" s="673"/>
      <c r="AH980" s="673"/>
      <c r="AI980" s="673"/>
      <c r="AJ980" s="673"/>
      <c r="AK980" s="673"/>
      <c r="AL980" s="673"/>
      <c r="AM980" s="673"/>
      <c r="AN980" s="673"/>
      <c r="AO980" s="673"/>
      <c r="AP980" s="673"/>
      <c r="AQ980" s="673"/>
      <c r="AR980" s="673"/>
      <c r="AS980" s="673"/>
    </row>
    <row r="981">
      <c r="A981" s="653"/>
      <c r="B981" s="654"/>
      <c r="C981" s="655"/>
      <c r="D981" s="656"/>
      <c r="E981" s="657"/>
      <c r="F981" s="658"/>
      <c r="G981" s="659"/>
      <c r="H981" s="660"/>
      <c r="I981" s="659"/>
      <c r="J981" s="661"/>
      <c r="K981" s="658"/>
      <c r="L981" s="662"/>
      <c r="M981" s="663"/>
      <c r="N981" s="664"/>
      <c r="O981" s="665"/>
      <c r="P981" s="666"/>
      <c r="Q981" s="667"/>
      <c r="R981" s="668"/>
      <c r="S981" s="665"/>
      <c r="T981" s="669"/>
      <c r="U981" s="669"/>
      <c r="V981" s="665"/>
      <c r="W981" s="670"/>
      <c r="X981" s="670"/>
      <c r="Y981" s="671"/>
      <c r="Z981" s="671"/>
      <c r="AA981" s="672"/>
      <c r="AB981" s="673"/>
      <c r="AC981" s="673"/>
      <c r="AD981" s="673"/>
      <c r="AE981" s="673"/>
      <c r="AF981" s="673"/>
      <c r="AG981" s="673"/>
      <c r="AH981" s="673"/>
      <c r="AI981" s="673"/>
      <c r="AJ981" s="673"/>
      <c r="AK981" s="673"/>
      <c r="AL981" s="673"/>
      <c r="AM981" s="673"/>
      <c r="AN981" s="673"/>
      <c r="AO981" s="673"/>
      <c r="AP981" s="673"/>
      <c r="AQ981" s="673"/>
      <c r="AR981" s="673"/>
      <c r="AS981" s="673"/>
    </row>
    <row r="982">
      <c r="A982" s="653"/>
      <c r="B982" s="654"/>
      <c r="C982" s="655"/>
      <c r="D982" s="656"/>
      <c r="E982" s="657"/>
      <c r="F982" s="658"/>
      <c r="G982" s="659"/>
      <c r="H982" s="660"/>
      <c r="I982" s="659"/>
      <c r="J982" s="661"/>
      <c r="K982" s="658"/>
      <c r="L982" s="662"/>
      <c r="M982" s="663"/>
      <c r="N982" s="664"/>
      <c r="O982" s="665"/>
      <c r="P982" s="666"/>
      <c r="Q982" s="667"/>
      <c r="R982" s="668"/>
      <c r="S982" s="665"/>
      <c r="T982" s="669"/>
      <c r="U982" s="669"/>
      <c r="V982" s="665"/>
      <c r="W982" s="670"/>
      <c r="X982" s="670"/>
      <c r="Y982" s="671"/>
      <c r="Z982" s="671"/>
      <c r="AA982" s="672"/>
      <c r="AB982" s="673"/>
      <c r="AC982" s="673"/>
      <c r="AD982" s="673"/>
      <c r="AE982" s="673"/>
      <c r="AF982" s="673"/>
      <c r="AG982" s="673"/>
      <c r="AH982" s="673"/>
      <c r="AI982" s="673"/>
      <c r="AJ982" s="673"/>
      <c r="AK982" s="673"/>
      <c r="AL982" s="673"/>
      <c r="AM982" s="673"/>
      <c r="AN982" s="673"/>
      <c r="AO982" s="673"/>
      <c r="AP982" s="673"/>
      <c r="AQ982" s="673"/>
      <c r="AR982" s="673"/>
      <c r="AS982" s="673"/>
    </row>
    <row r="983">
      <c r="A983" s="653"/>
      <c r="B983" s="654"/>
      <c r="C983" s="655"/>
      <c r="D983" s="656"/>
      <c r="E983" s="657"/>
      <c r="F983" s="658"/>
      <c r="G983" s="659"/>
      <c r="H983" s="660"/>
      <c r="I983" s="659"/>
      <c r="J983" s="661"/>
      <c r="K983" s="658"/>
      <c r="L983" s="662"/>
      <c r="M983" s="663"/>
      <c r="N983" s="664"/>
      <c r="O983" s="665"/>
      <c r="P983" s="666"/>
      <c r="Q983" s="667"/>
      <c r="R983" s="668"/>
      <c r="S983" s="665"/>
      <c r="T983" s="669"/>
      <c r="U983" s="669"/>
      <c r="V983" s="665"/>
      <c r="W983" s="670"/>
      <c r="X983" s="670"/>
      <c r="Y983" s="671"/>
      <c r="Z983" s="671"/>
      <c r="AA983" s="672"/>
      <c r="AB983" s="673"/>
      <c r="AC983" s="673"/>
      <c r="AD983" s="673"/>
      <c r="AE983" s="673"/>
      <c r="AF983" s="673"/>
      <c r="AG983" s="673"/>
      <c r="AH983" s="673"/>
      <c r="AI983" s="673"/>
      <c r="AJ983" s="673"/>
      <c r="AK983" s="673"/>
      <c r="AL983" s="673"/>
      <c r="AM983" s="673"/>
      <c r="AN983" s="673"/>
      <c r="AO983" s="673"/>
      <c r="AP983" s="673"/>
      <c r="AQ983" s="673"/>
      <c r="AR983" s="673"/>
      <c r="AS983" s="673"/>
    </row>
    <row r="984">
      <c r="A984" s="653"/>
      <c r="B984" s="654"/>
      <c r="C984" s="655"/>
      <c r="D984" s="656"/>
      <c r="E984" s="657"/>
      <c r="F984" s="658"/>
      <c r="G984" s="659"/>
      <c r="H984" s="660"/>
      <c r="I984" s="659"/>
      <c r="J984" s="661"/>
      <c r="K984" s="658"/>
      <c r="L984" s="662"/>
      <c r="M984" s="663"/>
      <c r="N984" s="664"/>
      <c r="O984" s="665"/>
      <c r="P984" s="666"/>
      <c r="Q984" s="667"/>
      <c r="R984" s="668"/>
      <c r="S984" s="665"/>
      <c r="T984" s="669"/>
      <c r="U984" s="669"/>
      <c r="V984" s="665"/>
      <c r="W984" s="670"/>
      <c r="X984" s="670"/>
      <c r="Y984" s="671"/>
      <c r="Z984" s="671"/>
      <c r="AA984" s="672"/>
      <c r="AB984" s="673"/>
      <c r="AC984" s="673"/>
      <c r="AD984" s="673"/>
      <c r="AE984" s="673"/>
      <c r="AF984" s="673"/>
      <c r="AG984" s="673"/>
      <c r="AH984" s="673"/>
      <c r="AI984" s="673"/>
      <c r="AJ984" s="673"/>
      <c r="AK984" s="673"/>
      <c r="AL984" s="673"/>
      <c r="AM984" s="673"/>
      <c r="AN984" s="673"/>
      <c r="AO984" s="673"/>
      <c r="AP984" s="673"/>
      <c r="AQ984" s="673"/>
      <c r="AR984" s="673"/>
      <c r="AS984" s="673"/>
    </row>
    <row r="985">
      <c r="A985" s="653"/>
      <c r="B985" s="654"/>
      <c r="C985" s="655"/>
      <c r="D985" s="656"/>
      <c r="E985" s="657"/>
      <c r="F985" s="658"/>
      <c r="G985" s="659"/>
      <c r="H985" s="660"/>
      <c r="I985" s="659"/>
      <c r="J985" s="661"/>
      <c r="K985" s="658"/>
      <c r="L985" s="662"/>
      <c r="M985" s="663"/>
      <c r="N985" s="664"/>
      <c r="O985" s="665"/>
      <c r="P985" s="666"/>
      <c r="Q985" s="667"/>
      <c r="R985" s="668"/>
      <c r="S985" s="665"/>
      <c r="T985" s="669"/>
      <c r="U985" s="669"/>
      <c r="V985" s="665"/>
      <c r="W985" s="670"/>
      <c r="X985" s="670"/>
      <c r="Y985" s="671"/>
      <c r="Z985" s="671"/>
      <c r="AA985" s="672"/>
      <c r="AB985" s="673"/>
      <c r="AC985" s="673"/>
      <c r="AD985" s="673"/>
      <c r="AE985" s="673"/>
      <c r="AF985" s="673"/>
      <c r="AG985" s="673"/>
      <c r="AH985" s="673"/>
      <c r="AI985" s="673"/>
      <c r="AJ985" s="673"/>
      <c r="AK985" s="673"/>
      <c r="AL985" s="673"/>
      <c r="AM985" s="673"/>
      <c r="AN985" s="673"/>
      <c r="AO985" s="673"/>
      <c r="AP985" s="673"/>
      <c r="AQ985" s="673"/>
      <c r="AR985" s="673"/>
      <c r="AS985" s="673"/>
    </row>
    <row r="986">
      <c r="A986" s="653"/>
      <c r="B986" s="654"/>
      <c r="C986" s="655"/>
      <c r="D986" s="656"/>
      <c r="E986" s="657"/>
      <c r="F986" s="658"/>
      <c r="G986" s="659"/>
      <c r="H986" s="660"/>
      <c r="I986" s="659"/>
      <c r="J986" s="661"/>
      <c r="K986" s="658"/>
      <c r="L986" s="662"/>
      <c r="M986" s="663"/>
      <c r="N986" s="664"/>
      <c r="O986" s="665"/>
      <c r="P986" s="666"/>
      <c r="Q986" s="667"/>
      <c r="R986" s="668"/>
      <c r="S986" s="665"/>
      <c r="T986" s="669"/>
      <c r="U986" s="669"/>
      <c r="V986" s="665"/>
      <c r="W986" s="670"/>
      <c r="X986" s="670"/>
      <c r="Y986" s="671"/>
      <c r="Z986" s="671"/>
      <c r="AA986" s="672"/>
      <c r="AB986" s="673"/>
      <c r="AC986" s="673"/>
      <c r="AD986" s="673"/>
      <c r="AE986" s="673"/>
      <c r="AF986" s="673"/>
      <c r="AG986" s="673"/>
      <c r="AH986" s="673"/>
      <c r="AI986" s="673"/>
      <c r="AJ986" s="673"/>
      <c r="AK986" s="673"/>
      <c r="AL986" s="673"/>
      <c r="AM986" s="673"/>
      <c r="AN986" s="673"/>
      <c r="AO986" s="673"/>
      <c r="AP986" s="673"/>
      <c r="AQ986" s="673"/>
      <c r="AR986" s="673"/>
      <c r="AS986" s="673"/>
    </row>
    <row r="987">
      <c r="A987" s="653"/>
      <c r="B987" s="654"/>
      <c r="C987" s="655"/>
      <c r="D987" s="656"/>
      <c r="E987" s="657"/>
      <c r="F987" s="658"/>
      <c r="G987" s="659"/>
      <c r="H987" s="660"/>
      <c r="I987" s="659"/>
      <c r="J987" s="661"/>
      <c r="K987" s="658"/>
      <c r="L987" s="662"/>
      <c r="M987" s="663"/>
      <c r="N987" s="664"/>
      <c r="O987" s="665"/>
      <c r="P987" s="666"/>
      <c r="Q987" s="667"/>
      <c r="R987" s="668"/>
      <c r="S987" s="665"/>
      <c r="T987" s="669"/>
      <c r="U987" s="669"/>
      <c r="V987" s="665"/>
      <c r="W987" s="670"/>
      <c r="X987" s="670"/>
      <c r="Y987" s="671"/>
      <c r="Z987" s="671"/>
      <c r="AA987" s="672"/>
      <c r="AB987" s="673"/>
      <c r="AC987" s="673"/>
      <c r="AD987" s="673"/>
      <c r="AE987" s="673"/>
      <c r="AF987" s="673"/>
      <c r="AG987" s="673"/>
      <c r="AH987" s="673"/>
      <c r="AI987" s="673"/>
      <c r="AJ987" s="673"/>
      <c r="AK987" s="673"/>
      <c r="AL987" s="673"/>
      <c r="AM987" s="673"/>
      <c r="AN987" s="673"/>
      <c r="AO987" s="673"/>
      <c r="AP987" s="673"/>
      <c r="AQ987" s="673"/>
      <c r="AR987" s="673"/>
      <c r="AS987" s="673"/>
    </row>
    <row r="988">
      <c r="A988" s="653"/>
      <c r="B988" s="654"/>
      <c r="C988" s="655"/>
      <c r="D988" s="656"/>
      <c r="E988" s="657"/>
      <c r="F988" s="658"/>
      <c r="G988" s="659"/>
      <c r="H988" s="660"/>
      <c r="I988" s="659"/>
      <c r="J988" s="661"/>
      <c r="K988" s="658"/>
      <c r="L988" s="662"/>
      <c r="M988" s="663"/>
      <c r="N988" s="664"/>
      <c r="O988" s="665"/>
      <c r="P988" s="666"/>
      <c r="Q988" s="667"/>
      <c r="R988" s="668"/>
      <c r="S988" s="665"/>
      <c r="T988" s="669"/>
      <c r="U988" s="669"/>
      <c r="V988" s="665"/>
      <c r="W988" s="670"/>
      <c r="X988" s="670"/>
      <c r="Y988" s="671"/>
      <c r="Z988" s="671"/>
      <c r="AA988" s="672"/>
      <c r="AB988" s="673"/>
      <c r="AC988" s="673"/>
      <c r="AD988" s="673"/>
      <c r="AE988" s="673"/>
      <c r="AF988" s="673"/>
      <c r="AG988" s="673"/>
      <c r="AH988" s="673"/>
      <c r="AI988" s="673"/>
      <c r="AJ988" s="673"/>
      <c r="AK988" s="673"/>
      <c r="AL988" s="673"/>
      <c r="AM988" s="673"/>
      <c r="AN988" s="673"/>
      <c r="AO988" s="673"/>
      <c r="AP988" s="673"/>
      <c r="AQ988" s="673"/>
      <c r="AR988" s="673"/>
      <c r="AS988" s="673"/>
    </row>
    <row r="989">
      <c r="A989" s="653"/>
      <c r="B989" s="654"/>
      <c r="C989" s="655"/>
      <c r="D989" s="656"/>
      <c r="E989" s="657"/>
      <c r="F989" s="658"/>
      <c r="G989" s="659"/>
      <c r="H989" s="660"/>
      <c r="I989" s="659"/>
      <c r="J989" s="661"/>
      <c r="K989" s="658"/>
      <c r="L989" s="662"/>
      <c r="M989" s="663"/>
      <c r="N989" s="664"/>
      <c r="O989" s="665"/>
      <c r="P989" s="666"/>
      <c r="Q989" s="667"/>
      <c r="R989" s="668"/>
      <c r="S989" s="665"/>
      <c r="T989" s="669"/>
      <c r="U989" s="669"/>
      <c r="V989" s="665"/>
      <c r="W989" s="670"/>
      <c r="X989" s="670"/>
      <c r="Y989" s="671"/>
      <c r="Z989" s="671"/>
      <c r="AA989" s="672"/>
      <c r="AB989" s="673"/>
      <c r="AC989" s="673"/>
      <c r="AD989" s="673"/>
      <c r="AE989" s="673"/>
      <c r="AF989" s="673"/>
      <c r="AG989" s="673"/>
      <c r="AH989" s="673"/>
      <c r="AI989" s="673"/>
      <c r="AJ989" s="673"/>
      <c r="AK989" s="673"/>
      <c r="AL989" s="673"/>
      <c r="AM989" s="673"/>
      <c r="AN989" s="673"/>
      <c r="AO989" s="673"/>
      <c r="AP989" s="673"/>
      <c r="AQ989" s="673"/>
      <c r="AR989" s="673"/>
      <c r="AS989" s="673"/>
    </row>
    <row r="990">
      <c r="A990" s="653"/>
      <c r="B990" s="654"/>
      <c r="C990" s="655"/>
      <c r="D990" s="656"/>
      <c r="E990" s="657"/>
      <c r="F990" s="658"/>
      <c r="G990" s="659"/>
      <c r="H990" s="660"/>
      <c r="I990" s="659"/>
      <c r="J990" s="661"/>
      <c r="K990" s="658"/>
      <c r="L990" s="662"/>
      <c r="M990" s="663"/>
      <c r="N990" s="664"/>
      <c r="O990" s="665"/>
      <c r="P990" s="666"/>
      <c r="Q990" s="667"/>
      <c r="R990" s="668"/>
      <c r="S990" s="665"/>
      <c r="T990" s="669"/>
      <c r="U990" s="669"/>
      <c r="V990" s="665"/>
      <c r="W990" s="670"/>
      <c r="X990" s="670"/>
      <c r="Y990" s="671"/>
      <c r="Z990" s="671"/>
      <c r="AA990" s="672"/>
      <c r="AB990" s="673"/>
      <c r="AC990" s="673"/>
      <c r="AD990" s="673"/>
      <c r="AE990" s="673"/>
      <c r="AF990" s="673"/>
      <c r="AG990" s="673"/>
      <c r="AH990" s="673"/>
      <c r="AI990" s="673"/>
      <c r="AJ990" s="673"/>
      <c r="AK990" s="673"/>
      <c r="AL990" s="673"/>
      <c r="AM990" s="673"/>
      <c r="AN990" s="673"/>
      <c r="AO990" s="673"/>
      <c r="AP990" s="673"/>
      <c r="AQ990" s="673"/>
      <c r="AR990" s="673"/>
      <c r="AS990" s="673"/>
    </row>
    <row r="991">
      <c r="A991" s="653"/>
      <c r="B991" s="654"/>
      <c r="C991" s="655"/>
      <c r="D991" s="656"/>
      <c r="E991" s="657"/>
      <c r="F991" s="658"/>
      <c r="G991" s="659"/>
      <c r="H991" s="660"/>
      <c r="I991" s="659"/>
      <c r="J991" s="661"/>
      <c r="K991" s="658"/>
      <c r="L991" s="662"/>
      <c r="M991" s="663"/>
      <c r="N991" s="664"/>
      <c r="O991" s="665"/>
      <c r="P991" s="666"/>
      <c r="Q991" s="667"/>
      <c r="R991" s="668"/>
      <c r="S991" s="665"/>
      <c r="T991" s="669"/>
      <c r="U991" s="669"/>
      <c r="V991" s="665"/>
      <c r="W991" s="670"/>
      <c r="X991" s="670"/>
      <c r="Y991" s="671"/>
      <c r="Z991" s="671"/>
      <c r="AA991" s="672"/>
      <c r="AB991" s="673"/>
      <c r="AC991" s="673"/>
      <c r="AD991" s="673"/>
      <c r="AE991" s="673"/>
      <c r="AF991" s="673"/>
      <c r="AG991" s="673"/>
      <c r="AH991" s="673"/>
      <c r="AI991" s="673"/>
      <c r="AJ991" s="673"/>
      <c r="AK991" s="673"/>
      <c r="AL991" s="673"/>
      <c r="AM991" s="673"/>
      <c r="AN991" s="673"/>
      <c r="AO991" s="673"/>
      <c r="AP991" s="673"/>
      <c r="AQ991" s="673"/>
      <c r="AR991" s="673"/>
      <c r="AS991" s="673"/>
    </row>
    <row r="992">
      <c r="A992" s="653"/>
      <c r="B992" s="654"/>
      <c r="C992" s="655"/>
      <c r="D992" s="656"/>
      <c r="E992" s="657"/>
      <c r="F992" s="658"/>
      <c r="G992" s="659"/>
      <c r="H992" s="660"/>
      <c r="I992" s="659"/>
      <c r="J992" s="661"/>
      <c r="K992" s="658"/>
      <c r="L992" s="662"/>
      <c r="M992" s="663"/>
      <c r="N992" s="664"/>
      <c r="O992" s="665"/>
      <c r="P992" s="666"/>
      <c r="Q992" s="667"/>
      <c r="R992" s="668"/>
      <c r="S992" s="665"/>
      <c r="T992" s="669"/>
      <c r="U992" s="669"/>
      <c r="V992" s="665"/>
      <c r="W992" s="670"/>
      <c r="X992" s="670"/>
      <c r="Y992" s="671"/>
      <c r="Z992" s="671"/>
      <c r="AA992" s="672"/>
      <c r="AB992" s="673"/>
      <c r="AC992" s="673"/>
      <c r="AD992" s="673"/>
      <c r="AE992" s="673"/>
      <c r="AF992" s="673"/>
      <c r="AG992" s="673"/>
      <c r="AH992" s="673"/>
      <c r="AI992" s="673"/>
      <c r="AJ992" s="673"/>
      <c r="AK992" s="673"/>
      <c r="AL992" s="673"/>
      <c r="AM992" s="673"/>
      <c r="AN992" s="673"/>
      <c r="AO992" s="673"/>
      <c r="AP992" s="673"/>
      <c r="AQ992" s="673"/>
      <c r="AR992" s="673"/>
      <c r="AS992" s="673"/>
    </row>
    <row r="993">
      <c r="A993" s="653"/>
      <c r="B993" s="654"/>
      <c r="C993" s="655"/>
      <c r="D993" s="656"/>
      <c r="E993" s="657"/>
      <c r="F993" s="658"/>
      <c r="G993" s="659"/>
      <c r="H993" s="660"/>
      <c r="I993" s="659"/>
      <c r="J993" s="661"/>
      <c r="K993" s="658"/>
      <c r="L993" s="662"/>
      <c r="M993" s="663"/>
      <c r="N993" s="664"/>
      <c r="O993" s="665"/>
      <c r="P993" s="666"/>
      <c r="Q993" s="667"/>
      <c r="R993" s="668"/>
      <c r="S993" s="665"/>
      <c r="T993" s="669"/>
      <c r="U993" s="669"/>
      <c r="V993" s="665"/>
      <c r="W993" s="670"/>
      <c r="X993" s="670"/>
      <c r="Y993" s="671"/>
      <c r="Z993" s="671"/>
      <c r="AA993" s="672"/>
      <c r="AB993" s="673"/>
      <c r="AC993" s="673"/>
      <c r="AD993" s="673"/>
      <c r="AE993" s="673"/>
      <c r="AF993" s="673"/>
      <c r="AG993" s="673"/>
      <c r="AH993" s="673"/>
      <c r="AI993" s="673"/>
      <c r="AJ993" s="673"/>
      <c r="AK993" s="673"/>
      <c r="AL993" s="673"/>
      <c r="AM993" s="673"/>
      <c r="AN993" s="673"/>
      <c r="AO993" s="673"/>
      <c r="AP993" s="673"/>
      <c r="AQ993" s="673"/>
      <c r="AR993" s="673"/>
      <c r="AS993" s="673"/>
    </row>
    <row r="994">
      <c r="A994" s="653"/>
      <c r="B994" s="654"/>
      <c r="C994" s="655"/>
      <c r="D994" s="656"/>
      <c r="E994" s="657"/>
      <c r="F994" s="658"/>
      <c r="G994" s="659"/>
      <c r="H994" s="660"/>
      <c r="I994" s="659"/>
      <c r="J994" s="661"/>
      <c r="K994" s="658"/>
      <c r="L994" s="662"/>
      <c r="M994" s="663"/>
      <c r="N994" s="664"/>
      <c r="O994" s="665"/>
      <c r="P994" s="666"/>
      <c r="Q994" s="667"/>
      <c r="R994" s="668"/>
      <c r="S994" s="665"/>
      <c r="T994" s="669"/>
      <c r="U994" s="669"/>
      <c r="V994" s="665"/>
      <c r="W994" s="670"/>
      <c r="X994" s="670"/>
      <c r="Y994" s="671"/>
      <c r="Z994" s="671"/>
      <c r="AA994" s="672"/>
      <c r="AB994" s="673"/>
      <c r="AC994" s="673"/>
      <c r="AD994" s="673"/>
      <c r="AE994" s="673"/>
      <c r="AF994" s="673"/>
      <c r="AG994" s="673"/>
      <c r="AH994" s="673"/>
      <c r="AI994" s="673"/>
      <c r="AJ994" s="673"/>
      <c r="AK994" s="673"/>
      <c r="AL994" s="673"/>
      <c r="AM994" s="673"/>
      <c r="AN994" s="673"/>
      <c r="AO994" s="673"/>
      <c r="AP994" s="673"/>
      <c r="AQ994" s="673"/>
      <c r="AR994" s="673"/>
      <c r="AS994" s="673"/>
    </row>
    <row r="995">
      <c r="A995" s="653"/>
      <c r="B995" s="654"/>
      <c r="C995" s="655"/>
      <c r="D995" s="656"/>
      <c r="E995" s="657"/>
      <c r="F995" s="658"/>
      <c r="G995" s="659"/>
      <c r="H995" s="660"/>
      <c r="I995" s="659"/>
      <c r="J995" s="661"/>
      <c r="K995" s="658"/>
      <c r="L995" s="662"/>
      <c r="M995" s="663"/>
      <c r="N995" s="664"/>
      <c r="O995" s="665"/>
      <c r="P995" s="666"/>
      <c r="Q995" s="667"/>
      <c r="R995" s="668"/>
      <c r="S995" s="665"/>
      <c r="T995" s="669"/>
      <c r="U995" s="669"/>
      <c r="V995" s="665"/>
      <c r="W995" s="670"/>
      <c r="X995" s="670"/>
      <c r="Y995" s="671"/>
      <c r="Z995" s="671"/>
      <c r="AA995" s="672"/>
      <c r="AB995" s="673"/>
      <c r="AC995" s="673"/>
      <c r="AD995" s="673"/>
      <c r="AE995" s="673"/>
      <c r="AF995" s="673"/>
      <c r="AG995" s="673"/>
      <c r="AH995" s="673"/>
      <c r="AI995" s="673"/>
      <c r="AJ995" s="673"/>
      <c r="AK995" s="673"/>
      <c r="AL995" s="673"/>
      <c r="AM995" s="673"/>
      <c r="AN995" s="673"/>
      <c r="AO995" s="673"/>
      <c r="AP995" s="673"/>
      <c r="AQ995" s="673"/>
      <c r="AR995" s="673"/>
      <c r="AS995" s="673"/>
    </row>
    <row r="996">
      <c r="A996" s="653"/>
      <c r="B996" s="654"/>
      <c r="C996" s="655"/>
      <c r="D996" s="656"/>
      <c r="E996" s="657"/>
      <c r="F996" s="658"/>
      <c r="G996" s="659"/>
      <c r="H996" s="660"/>
      <c r="I996" s="659"/>
      <c r="J996" s="661"/>
      <c r="K996" s="658"/>
      <c r="L996" s="662"/>
      <c r="M996" s="663"/>
      <c r="N996" s="664"/>
      <c r="O996" s="665"/>
      <c r="P996" s="666"/>
      <c r="Q996" s="667"/>
      <c r="R996" s="668"/>
      <c r="S996" s="665"/>
      <c r="T996" s="669"/>
      <c r="U996" s="669"/>
      <c r="V996" s="665"/>
      <c r="W996" s="670"/>
      <c r="X996" s="670"/>
      <c r="Y996" s="671"/>
      <c r="Z996" s="671"/>
      <c r="AA996" s="672"/>
      <c r="AB996" s="673"/>
      <c r="AC996" s="673"/>
      <c r="AD996" s="673"/>
      <c r="AE996" s="673"/>
      <c r="AF996" s="673"/>
      <c r="AG996" s="673"/>
      <c r="AH996" s="673"/>
      <c r="AI996" s="673"/>
      <c r="AJ996" s="673"/>
      <c r="AK996" s="673"/>
      <c r="AL996" s="673"/>
      <c r="AM996" s="673"/>
      <c r="AN996" s="673"/>
      <c r="AO996" s="673"/>
      <c r="AP996" s="673"/>
      <c r="AQ996" s="673"/>
      <c r="AR996" s="673"/>
      <c r="AS996" s="673"/>
    </row>
    <row r="997">
      <c r="A997" s="653"/>
      <c r="B997" s="654"/>
      <c r="C997" s="655"/>
      <c r="D997" s="656"/>
      <c r="E997" s="657"/>
      <c r="F997" s="658"/>
      <c r="G997" s="659"/>
      <c r="H997" s="660"/>
      <c r="I997" s="659"/>
      <c r="J997" s="661"/>
      <c r="K997" s="658"/>
      <c r="L997" s="662"/>
      <c r="M997" s="663"/>
      <c r="N997" s="664"/>
      <c r="O997" s="665"/>
      <c r="P997" s="666"/>
      <c r="Q997" s="667"/>
      <c r="R997" s="668"/>
      <c r="S997" s="665"/>
      <c r="T997" s="669"/>
      <c r="U997" s="669"/>
      <c r="V997" s="665"/>
      <c r="W997" s="670"/>
      <c r="X997" s="670"/>
      <c r="Y997" s="671"/>
      <c r="Z997" s="671"/>
      <c r="AA997" s="672"/>
      <c r="AB997" s="673"/>
      <c r="AC997" s="673"/>
      <c r="AD997" s="673"/>
      <c r="AE997" s="673"/>
      <c r="AF997" s="673"/>
      <c r="AG997" s="673"/>
      <c r="AH997" s="673"/>
      <c r="AI997" s="673"/>
      <c r="AJ997" s="673"/>
      <c r="AK997" s="673"/>
      <c r="AL997" s="673"/>
      <c r="AM997" s="673"/>
      <c r="AN997" s="673"/>
      <c r="AO997" s="673"/>
      <c r="AP997" s="673"/>
      <c r="AQ997" s="673"/>
      <c r="AR997" s="673"/>
      <c r="AS997" s="673"/>
    </row>
    <row r="998">
      <c r="A998" s="653"/>
      <c r="B998" s="654"/>
      <c r="C998" s="655"/>
      <c r="D998" s="656"/>
      <c r="E998" s="657"/>
      <c r="F998" s="658"/>
      <c r="G998" s="659"/>
      <c r="H998" s="660"/>
      <c r="I998" s="659"/>
      <c r="J998" s="661"/>
      <c r="K998" s="658"/>
      <c r="L998" s="662"/>
      <c r="M998" s="663"/>
      <c r="N998" s="664"/>
      <c r="O998" s="665"/>
      <c r="P998" s="666"/>
      <c r="Q998" s="667"/>
      <c r="R998" s="668"/>
      <c r="S998" s="665"/>
      <c r="T998" s="669"/>
      <c r="U998" s="669"/>
      <c r="V998" s="665"/>
      <c r="W998" s="670"/>
      <c r="X998" s="670"/>
      <c r="Y998" s="671"/>
      <c r="Z998" s="671"/>
      <c r="AA998" s="672"/>
      <c r="AB998" s="673"/>
      <c r="AC998" s="673"/>
      <c r="AD998" s="673"/>
      <c r="AE998" s="673"/>
      <c r="AF998" s="673"/>
      <c r="AG998" s="673"/>
      <c r="AH998" s="673"/>
      <c r="AI998" s="673"/>
      <c r="AJ998" s="673"/>
      <c r="AK998" s="673"/>
      <c r="AL998" s="673"/>
      <c r="AM998" s="673"/>
      <c r="AN998" s="673"/>
      <c r="AO998" s="673"/>
      <c r="AP998" s="673"/>
      <c r="AQ998" s="673"/>
      <c r="AR998" s="673"/>
      <c r="AS998" s="673"/>
    </row>
    <row r="999">
      <c r="A999" s="653"/>
      <c r="B999" s="654"/>
      <c r="C999" s="655"/>
      <c r="D999" s="656"/>
      <c r="E999" s="657"/>
      <c r="F999" s="658"/>
      <c r="G999" s="659"/>
      <c r="H999" s="660"/>
      <c r="I999" s="659"/>
      <c r="J999" s="661"/>
      <c r="K999" s="658"/>
      <c r="L999" s="662"/>
      <c r="M999" s="663"/>
      <c r="N999" s="664"/>
      <c r="O999" s="665"/>
      <c r="P999" s="666"/>
      <c r="Q999" s="667"/>
      <c r="R999" s="668"/>
      <c r="S999" s="665"/>
      <c r="T999" s="669"/>
      <c r="U999" s="669"/>
      <c r="V999" s="665"/>
      <c r="W999" s="670"/>
      <c r="X999" s="670"/>
      <c r="Y999" s="671"/>
      <c r="Z999" s="671"/>
      <c r="AA999" s="672"/>
      <c r="AB999" s="673"/>
      <c r="AC999" s="673"/>
      <c r="AD999" s="673"/>
      <c r="AE999" s="673"/>
      <c r="AF999" s="673"/>
      <c r="AG999" s="673"/>
      <c r="AH999" s="673"/>
      <c r="AI999" s="673"/>
      <c r="AJ999" s="673"/>
      <c r="AK999" s="673"/>
      <c r="AL999" s="673"/>
      <c r="AM999" s="673"/>
      <c r="AN999" s="673"/>
      <c r="AO999" s="673"/>
      <c r="AP999" s="673"/>
      <c r="AQ999" s="673"/>
      <c r="AR999" s="673"/>
      <c r="AS999" s="673"/>
    </row>
    <row r="1000">
      <c r="A1000" s="653"/>
      <c r="B1000" s="654"/>
      <c r="C1000" s="655"/>
      <c r="D1000" s="656"/>
      <c r="E1000" s="657"/>
      <c r="F1000" s="658"/>
      <c r="G1000" s="659"/>
      <c r="H1000" s="660"/>
      <c r="I1000" s="659"/>
      <c r="J1000" s="661"/>
      <c r="K1000" s="658"/>
      <c r="L1000" s="662"/>
      <c r="M1000" s="663"/>
      <c r="N1000" s="664"/>
      <c r="O1000" s="665"/>
      <c r="P1000" s="666"/>
      <c r="Q1000" s="667"/>
      <c r="R1000" s="668"/>
      <c r="S1000" s="665"/>
      <c r="T1000" s="669"/>
      <c r="U1000" s="669"/>
      <c r="V1000" s="665"/>
      <c r="W1000" s="670"/>
      <c r="X1000" s="670"/>
      <c r="Y1000" s="671"/>
      <c r="Z1000" s="671"/>
      <c r="AA1000" s="672"/>
      <c r="AB1000" s="673"/>
      <c r="AC1000" s="673"/>
      <c r="AD1000" s="673"/>
      <c r="AE1000" s="673"/>
      <c r="AF1000" s="673"/>
      <c r="AG1000" s="673"/>
      <c r="AH1000" s="673"/>
      <c r="AI1000" s="673"/>
      <c r="AJ1000" s="673"/>
      <c r="AK1000" s="673"/>
      <c r="AL1000" s="673"/>
      <c r="AM1000" s="673"/>
      <c r="AN1000" s="673"/>
      <c r="AO1000" s="673"/>
      <c r="AP1000" s="673"/>
      <c r="AQ1000" s="673"/>
      <c r="AR1000" s="673"/>
      <c r="AS1000" s="673"/>
    </row>
    <row r="1001">
      <c r="A1001" s="653"/>
      <c r="B1001" s="654"/>
      <c r="C1001" s="655"/>
      <c r="D1001" s="656"/>
      <c r="E1001" s="657"/>
      <c r="F1001" s="658"/>
      <c r="G1001" s="659"/>
      <c r="H1001" s="660"/>
      <c r="I1001" s="659"/>
      <c r="J1001" s="661"/>
      <c r="K1001" s="658"/>
      <c r="L1001" s="662"/>
      <c r="M1001" s="663"/>
      <c r="N1001" s="664"/>
      <c r="O1001" s="665"/>
      <c r="P1001" s="666"/>
      <c r="Q1001" s="667"/>
      <c r="R1001" s="668"/>
      <c r="S1001" s="665"/>
      <c r="T1001" s="669"/>
      <c r="U1001" s="669"/>
      <c r="V1001" s="665"/>
      <c r="W1001" s="670"/>
      <c r="X1001" s="670"/>
      <c r="Y1001" s="671"/>
      <c r="Z1001" s="671"/>
      <c r="AA1001" s="672"/>
      <c r="AB1001" s="673"/>
      <c r="AC1001" s="673"/>
      <c r="AD1001" s="673"/>
      <c r="AE1001" s="673"/>
      <c r="AF1001" s="673"/>
      <c r="AG1001" s="673"/>
      <c r="AH1001" s="673"/>
      <c r="AI1001" s="673"/>
      <c r="AJ1001" s="673"/>
      <c r="AK1001" s="673"/>
      <c r="AL1001" s="673"/>
      <c r="AM1001" s="673"/>
      <c r="AN1001" s="673"/>
      <c r="AO1001" s="673"/>
      <c r="AP1001" s="673"/>
      <c r="AQ1001" s="673"/>
      <c r="AR1001" s="673"/>
      <c r="AS1001" s="673"/>
    </row>
    <row r="1002">
      <c r="A1002" s="653"/>
      <c r="B1002" s="654"/>
      <c r="C1002" s="655"/>
      <c r="D1002" s="656"/>
      <c r="E1002" s="657"/>
      <c r="F1002" s="658"/>
      <c r="G1002" s="659"/>
      <c r="H1002" s="660"/>
      <c r="I1002" s="659"/>
      <c r="J1002" s="661"/>
      <c r="K1002" s="658"/>
      <c r="L1002" s="662"/>
      <c r="M1002" s="663"/>
      <c r="N1002" s="664"/>
      <c r="O1002" s="665"/>
      <c r="P1002" s="666"/>
      <c r="Q1002" s="667"/>
      <c r="R1002" s="668"/>
      <c r="S1002" s="665"/>
      <c r="T1002" s="669"/>
      <c r="U1002" s="669"/>
      <c r="V1002" s="665"/>
      <c r="W1002" s="670"/>
      <c r="X1002" s="670"/>
      <c r="Y1002" s="671"/>
      <c r="Z1002" s="671"/>
      <c r="AA1002" s="672"/>
      <c r="AB1002" s="673"/>
      <c r="AC1002" s="673"/>
      <c r="AD1002" s="673"/>
      <c r="AE1002" s="673"/>
      <c r="AF1002" s="673"/>
      <c r="AG1002" s="673"/>
      <c r="AH1002" s="673"/>
      <c r="AI1002" s="673"/>
      <c r="AJ1002" s="673"/>
      <c r="AK1002" s="673"/>
      <c r="AL1002" s="673"/>
      <c r="AM1002" s="673"/>
      <c r="AN1002" s="673"/>
      <c r="AO1002" s="673"/>
      <c r="AP1002" s="673"/>
      <c r="AQ1002" s="673"/>
      <c r="AR1002" s="673"/>
      <c r="AS1002" s="673"/>
    </row>
    <row r="1003">
      <c r="A1003" s="653"/>
      <c r="B1003" s="654"/>
      <c r="C1003" s="655"/>
      <c r="D1003" s="656"/>
      <c r="E1003" s="657"/>
      <c r="F1003" s="658"/>
      <c r="G1003" s="659"/>
      <c r="H1003" s="660"/>
      <c r="I1003" s="659"/>
      <c r="J1003" s="661"/>
      <c r="K1003" s="658"/>
      <c r="L1003" s="662"/>
      <c r="M1003" s="663"/>
      <c r="N1003" s="664"/>
      <c r="O1003" s="665"/>
      <c r="P1003" s="666"/>
      <c r="Q1003" s="667"/>
      <c r="R1003" s="668"/>
      <c r="S1003" s="665"/>
      <c r="T1003" s="669"/>
      <c r="U1003" s="669"/>
      <c r="V1003" s="665"/>
      <c r="W1003" s="670"/>
      <c r="X1003" s="670"/>
      <c r="Y1003" s="671"/>
      <c r="Z1003" s="671"/>
      <c r="AA1003" s="672"/>
      <c r="AB1003" s="673"/>
      <c r="AC1003" s="673"/>
      <c r="AD1003" s="673"/>
      <c r="AE1003" s="673"/>
      <c r="AF1003" s="673"/>
      <c r="AG1003" s="673"/>
      <c r="AH1003" s="673"/>
      <c r="AI1003" s="673"/>
      <c r="AJ1003" s="673"/>
      <c r="AK1003" s="673"/>
      <c r="AL1003" s="673"/>
      <c r="AM1003" s="673"/>
      <c r="AN1003" s="673"/>
      <c r="AO1003" s="673"/>
      <c r="AP1003" s="673"/>
      <c r="AQ1003" s="673"/>
      <c r="AR1003" s="673"/>
      <c r="AS1003" s="673"/>
    </row>
    <row r="1004">
      <c r="A1004" s="653"/>
      <c r="B1004" s="654"/>
      <c r="C1004" s="655"/>
      <c r="D1004" s="656"/>
      <c r="E1004" s="657"/>
      <c r="F1004" s="658"/>
      <c r="G1004" s="659"/>
      <c r="H1004" s="660"/>
      <c r="I1004" s="659"/>
      <c r="J1004" s="661"/>
      <c r="K1004" s="658"/>
      <c r="L1004" s="662"/>
      <c r="M1004" s="663"/>
      <c r="N1004" s="664"/>
      <c r="O1004" s="665"/>
      <c r="P1004" s="666"/>
      <c r="Q1004" s="667"/>
      <c r="R1004" s="668"/>
      <c r="S1004" s="665"/>
      <c r="T1004" s="669"/>
      <c r="U1004" s="669"/>
      <c r="V1004" s="665"/>
      <c r="W1004" s="670"/>
      <c r="X1004" s="670"/>
      <c r="Y1004" s="671"/>
      <c r="Z1004" s="671"/>
      <c r="AA1004" s="672"/>
      <c r="AB1004" s="673"/>
      <c r="AC1004" s="673"/>
      <c r="AD1004" s="673"/>
      <c r="AE1004" s="673"/>
      <c r="AF1004" s="673"/>
      <c r="AG1004" s="673"/>
      <c r="AH1004" s="673"/>
      <c r="AI1004" s="673"/>
      <c r="AJ1004" s="673"/>
      <c r="AK1004" s="673"/>
      <c r="AL1004" s="673"/>
      <c r="AM1004" s="673"/>
      <c r="AN1004" s="673"/>
      <c r="AO1004" s="673"/>
      <c r="AP1004" s="673"/>
      <c r="AQ1004" s="673"/>
      <c r="AR1004" s="673"/>
      <c r="AS1004" s="673"/>
    </row>
    <row r="1005">
      <c r="A1005" s="653"/>
      <c r="B1005" s="654"/>
      <c r="C1005" s="655"/>
      <c r="D1005" s="656"/>
      <c r="E1005" s="657"/>
      <c r="F1005" s="658"/>
      <c r="G1005" s="659"/>
      <c r="H1005" s="660"/>
      <c r="I1005" s="659"/>
      <c r="J1005" s="661"/>
      <c r="K1005" s="658"/>
      <c r="L1005" s="662"/>
      <c r="M1005" s="663"/>
      <c r="N1005" s="664"/>
      <c r="O1005" s="665"/>
      <c r="P1005" s="666"/>
      <c r="Q1005" s="667"/>
      <c r="R1005" s="668"/>
      <c r="S1005" s="665"/>
      <c r="T1005" s="669"/>
      <c r="U1005" s="669"/>
      <c r="V1005" s="665"/>
      <c r="W1005" s="670"/>
      <c r="X1005" s="670"/>
      <c r="Y1005" s="671"/>
      <c r="Z1005" s="671"/>
      <c r="AA1005" s="672"/>
      <c r="AB1005" s="673"/>
      <c r="AC1005" s="673"/>
      <c r="AD1005" s="673"/>
      <c r="AE1005" s="673"/>
      <c r="AF1005" s="673"/>
      <c r="AG1005" s="673"/>
      <c r="AH1005" s="673"/>
      <c r="AI1005" s="673"/>
      <c r="AJ1005" s="673"/>
      <c r="AK1005" s="673"/>
      <c r="AL1005" s="673"/>
      <c r="AM1005" s="673"/>
      <c r="AN1005" s="673"/>
      <c r="AO1005" s="673"/>
      <c r="AP1005" s="673"/>
      <c r="AQ1005" s="673"/>
      <c r="AR1005" s="673"/>
      <c r="AS1005" s="673"/>
    </row>
    <row r="1006">
      <c r="A1006" s="653"/>
      <c r="B1006" s="654"/>
      <c r="C1006" s="655"/>
      <c r="D1006" s="656"/>
      <c r="E1006" s="657"/>
      <c r="F1006" s="658"/>
      <c r="G1006" s="659"/>
      <c r="H1006" s="660"/>
      <c r="I1006" s="659"/>
      <c r="J1006" s="661"/>
      <c r="K1006" s="658"/>
      <c r="L1006" s="662"/>
      <c r="M1006" s="663"/>
      <c r="N1006" s="664"/>
      <c r="O1006" s="665"/>
      <c r="P1006" s="666"/>
      <c r="Q1006" s="667"/>
      <c r="R1006" s="668"/>
      <c r="S1006" s="665"/>
      <c r="T1006" s="669"/>
      <c r="U1006" s="669"/>
      <c r="V1006" s="665"/>
      <c r="W1006" s="670"/>
      <c r="X1006" s="670"/>
      <c r="Y1006" s="671"/>
      <c r="Z1006" s="671"/>
      <c r="AA1006" s="672"/>
      <c r="AB1006" s="673"/>
      <c r="AC1006" s="673"/>
      <c r="AD1006" s="673"/>
      <c r="AE1006" s="673"/>
      <c r="AF1006" s="673"/>
      <c r="AG1006" s="673"/>
      <c r="AH1006" s="673"/>
      <c r="AI1006" s="673"/>
      <c r="AJ1006" s="673"/>
      <c r="AK1006" s="673"/>
      <c r="AL1006" s="673"/>
      <c r="AM1006" s="673"/>
      <c r="AN1006" s="673"/>
      <c r="AO1006" s="673"/>
      <c r="AP1006" s="673"/>
      <c r="AQ1006" s="673"/>
      <c r="AR1006" s="673"/>
      <c r="AS1006" s="673"/>
    </row>
    <row r="1007">
      <c r="A1007" s="653"/>
      <c r="B1007" s="654"/>
      <c r="C1007" s="655"/>
      <c r="D1007" s="656"/>
      <c r="E1007" s="657"/>
      <c r="F1007" s="658"/>
      <c r="G1007" s="659"/>
      <c r="H1007" s="660"/>
      <c r="I1007" s="659"/>
      <c r="J1007" s="661"/>
      <c r="K1007" s="658"/>
      <c r="L1007" s="662"/>
      <c r="M1007" s="663"/>
      <c r="N1007" s="664"/>
      <c r="O1007" s="665"/>
      <c r="P1007" s="666"/>
      <c r="Q1007" s="667"/>
      <c r="R1007" s="668"/>
      <c r="S1007" s="665"/>
      <c r="T1007" s="669"/>
      <c r="U1007" s="669"/>
      <c r="V1007" s="665"/>
      <c r="W1007" s="670"/>
      <c r="X1007" s="670"/>
      <c r="Y1007" s="671"/>
      <c r="Z1007" s="671"/>
      <c r="AA1007" s="672"/>
      <c r="AB1007" s="673"/>
      <c r="AC1007" s="673"/>
      <c r="AD1007" s="673"/>
      <c r="AE1007" s="673"/>
      <c r="AF1007" s="673"/>
      <c r="AG1007" s="673"/>
      <c r="AH1007" s="673"/>
      <c r="AI1007" s="673"/>
      <c r="AJ1007" s="673"/>
      <c r="AK1007" s="673"/>
      <c r="AL1007" s="673"/>
      <c r="AM1007" s="673"/>
      <c r="AN1007" s="673"/>
      <c r="AO1007" s="673"/>
      <c r="AP1007" s="673"/>
      <c r="AQ1007" s="673"/>
      <c r="AR1007" s="673"/>
      <c r="AS1007" s="673"/>
    </row>
    <row r="1008">
      <c r="A1008" s="653"/>
      <c r="B1008" s="654"/>
      <c r="C1008" s="655"/>
      <c r="D1008" s="656"/>
      <c r="E1008" s="657"/>
      <c r="F1008" s="658"/>
      <c r="G1008" s="659"/>
      <c r="H1008" s="660"/>
      <c r="I1008" s="659"/>
      <c r="J1008" s="661"/>
      <c r="K1008" s="658"/>
      <c r="L1008" s="662"/>
      <c r="M1008" s="663"/>
      <c r="N1008" s="664"/>
      <c r="O1008" s="665"/>
      <c r="P1008" s="666"/>
      <c r="Q1008" s="667"/>
      <c r="R1008" s="668"/>
      <c r="S1008" s="665"/>
      <c r="T1008" s="669"/>
      <c r="U1008" s="669"/>
      <c r="V1008" s="665"/>
      <c r="W1008" s="670"/>
      <c r="X1008" s="670"/>
      <c r="Y1008" s="671"/>
      <c r="Z1008" s="671"/>
      <c r="AA1008" s="672"/>
      <c r="AB1008" s="673"/>
      <c r="AC1008" s="673"/>
      <c r="AD1008" s="673"/>
      <c r="AE1008" s="673"/>
      <c r="AF1008" s="673"/>
      <c r="AG1008" s="673"/>
      <c r="AH1008" s="673"/>
      <c r="AI1008" s="673"/>
      <c r="AJ1008" s="673"/>
      <c r="AK1008" s="673"/>
      <c r="AL1008" s="673"/>
      <c r="AM1008" s="673"/>
      <c r="AN1008" s="673"/>
      <c r="AO1008" s="673"/>
      <c r="AP1008" s="673"/>
      <c r="AQ1008" s="673"/>
      <c r="AR1008" s="673"/>
      <c r="AS1008" s="673"/>
    </row>
    <row r="1009">
      <c r="A1009" s="653"/>
      <c r="B1009" s="654"/>
      <c r="C1009" s="655"/>
      <c r="D1009" s="656"/>
      <c r="E1009" s="657"/>
      <c r="F1009" s="658"/>
      <c r="G1009" s="659"/>
      <c r="H1009" s="660"/>
      <c r="I1009" s="659"/>
      <c r="J1009" s="661"/>
      <c r="K1009" s="658"/>
      <c r="L1009" s="662"/>
      <c r="M1009" s="663"/>
      <c r="N1009" s="664"/>
      <c r="O1009" s="665"/>
      <c r="P1009" s="666"/>
      <c r="Q1009" s="667"/>
      <c r="R1009" s="668"/>
      <c r="S1009" s="665"/>
      <c r="T1009" s="669"/>
      <c r="U1009" s="669"/>
      <c r="V1009" s="665"/>
      <c r="W1009" s="670"/>
      <c r="X1009" s="670"/>
      <c r="Y1009" s="671"/>
      <c r="Z1009" s="671"/>
      <c r="AA1009" s="672"/>
      <c r="AB1009" s="673"/>
      <c r="AC1009" s="673"/>
      <c r="AD1009" s="673"/>
      <c r="AE1009" s="673"/>
      <c r="AF1009" s="673"/>
      <c r="AG1009" s="673"/>
      <c r="AH1009" s="673"/>
      <c r="AI1009" s="673"/>
      <c r="AJ1009" s="673"/>
      <c r="AK1009" s="673"/>
      <c r="AL1009" s="673"/>
      <c r="AM1009" s="673"/>
      <c r="AN1009" s="673"/>
      <c r="AO1009" s="673"/>
      <c r="AP1009" s="673"/>
      <c r="AQ1009" s="673"/>
      <c r="AR1009" s="673"/>
      <c r="AS1009" s="673"/>
    </row>
    <row r="1010">
      <c r="A1010" s="653"/>
      <c r="B1010" s="654"/>
      <c r="C1010" s="655"/>
      <c r="D1010" s="656"/>
      <c r="E1010" s="657"/>
      <c r="F1010" s="658"/>
      <c r="G1010" s="659"/>
      <c r="H1010" s="660"/>
      <c r="I1010" s="659"/>
      <c r="J1010" s="661"/>
      <c r="K1010" s="658"/>
      <c r="L1010" s="662"/>
      <c r="M1010" s="663"/>
      <c r="N1010" s="664"/>
      <c r="O1010" s="665"/>
      <c r="P1010" s="666"/>
      <c r="Q1010" s="667"/>
      <c r="R1010" s="668"/>
      <c r="S1010" s="665"/>
      <c r="T1010" s="669"/>
      <c r="U1010" s="669"/>
      <c r="V1010" s="665"/>
      <c r="W1010" s="670"/>
      <c r="X1010" s="670"/>
      <c r="Y1010" s="671"/>
      <c r="Z1010" s="671"/>
      <c r="AA1010" s="672"/>
      <c r="AB1010" s="673"/>
      <c r="AC1010" s="673"/>
      <c r="AD1010" s="673"/>
      <c r="AE1010" s="673"/>
      <c r="AF1010" s="673"/>
      <c r="AG1010" s="673"/>
      <c r="AH1010" s="673"/>
      <c r="AI1010" s="673"/>
      <c r="AJ1010" s="673"/>
      <c r="AK1010" s="673"/>
      <c r="AL1010" s="673"/>
      <c r="AM1010" s="673"/>
      <c r="AN1010" s="673"/>
      <c r="AO1010" s="673"/>
      <c r="AP1010" s="673"/>
      <c r="AQ1010" s="673"/>
      <c r="AR1010" s="673"/>
      <c r="AS1010" s="673"/>
    </row>
    <row r="1011">
      <c r="A1011" s="653"/>
      <c r="B1011" s="654"/>
      <c r="C1011" s="655"/>
      <c r="D1011" s="656"/>
      <c r="E1011" s="657"/>
      <c r="F1011" s="658"/>
      <c r="G1011" s="659"/>
      <c r="H1011" s="660"/>
      <c r="I1011" s="659"/>
      <c r="J1011" s="661"/>
      <c r="K1011" s="658"/>
      <c r="L1011" s="662"/>
      <c r="M1011" s="663"/>
      <c r="N1011" s="664"/>
      <c r="O1011" s="665"/>
      <c r="P1011" s="666"/>
      <c r="Q1011" s="667"/>
      <c r="R1011" s="668"/>
      <c r="S1011" s="665"/>
      <c r="T1011" s="669"/>
      <c r="U1011" s="669"/>
      <c r="V1011" s="665"/>
      <c r="W1011" s="670"/>
      <c r="X1011" s="670"/>
      <c r="Y1011" s="671"/>
      <c r="Z1011" s="671"/>
      <c r="AA1011" s="672"/>
      <c r="AB1011" s="673"/>
      <c r="AC1011" s="673"/>
      <c r="AD1011" s="673"/>
      <c r="AE1011" s="673"/>
      <c r="AF1011" s="673"/>
      <c r="AG1011" s="673"/>
      <c r="AH1011" s="673"/>
      <c r="AI1011" s="673"/>
      <c r="AJ1011" s="673"/>
      <c r="AK1011" s="673"/>
      <c r="AL1011" s="673"/>
      <c r="AM1011" s="673"/>
      <c r="AN1011" s="673"/>
      <c r="AO1011" s="673"/>
      <c r="AP1011" s="673"/>
      <c r="AQ1011" s="673"/>
      <c r="AR1011" s="673"/>
      <c r="AS1011" s="673"/>
    </row>
    <row r="1012">
      <c r="A1012" s="653"/>
      <c r="B1012" s="654"/>
      <c r="C1012" s="655"/>
      <c r="D1012" s="656"/>
      <c r="E1012" s="657"/>
      <c r="F1012" s="658"/>
      <c r="G1012" s="659"/>
      <c r="H1012" s="660"/>
      <c r="I1012" s="659"/>
      <c r="J1012" s="661"/>
      <c r="K1012" s="658"/>
      <c r="L1012" s="662"/>
      <c r="M1012" s="663"/>
      <c r="N1012" s="664"/>
      <c r="O1012" s="665"/>
      <c r="P1012" s="666"/>
      <c r="Q1012" s="667"/>
      <c r="R1012" s="668"/>
      <c r="S1012" s="665"/>
      <c r="T1012" s="669"/>
      <c r="U1012" s="669"/>
      <c r="V1012" s="665"/>
      <c r="W1012" s="670"/>
      <c r="X1012" s="670"/>
      <c r="Y1012" s="671"/>
      <c r="Z1012" s="671"/>
      <c r="AA1012" s="672"/>
      <c r="AB1012" s="673"/>
      <c r="AC1012" s="673"/>
      <c r="AD1012" s="673"/>
      <c r="AE1012" s="673"/>
      <c r="AF1012" s="673"/>
      <c r="AG1012" s="673"/>
      <c r="AH1012" s="673"/>
      <c r="AI1012" s="673"/>
      <c r="AJ1012" s="673"/>
      <c r="AK1012" s="673"/>
      <c r="AL1012" s="673"/>
      <c r="AM1012" s="673"/>
      <c r="AN1012" s="673"/>
      <c r="AO1012" s="673"/>
      <c r="AP1012" s="673"/>
      <c r="AQ1012" s="673"/>
      <c r="AR1012" s="673"/>
      <c r="AS1012" s="673"/>
    </row>
    <row r="1013">
      <c r="A1013" s="653"/>
      <c r="B1013" s="654"/>
      <c r="C1013" s="655"/>
      <c r="D1013" s="656"/>
      <c r="E1013" s="657"/>
      <c r="F1013" s="658"/>
      <c r="G1013" s="659"/>
      <c r="H1013" s="660"/>
      <c r="I1013" s="659"/>
      <c r="J1013" s="661"/>
      <c r="K1013" s="658"/>
      <c r="L1013" s="662"/>
      <c r="M1013" s="663"/>
      <c r="N1013" s="664"/>
      <c r="O1013" s="665"/>
      <c r="P1013" s="666"/>
      <c r="Q1013" s="667"/>
      <c r="R1013" s="668"/>
      <c r="S1013" s="665"/>
      <c r="T1013" s="669"/>
      <c r="U1013" s="669"/>
      <c r="V1013" s="665"/>
      <c r="W1013" s="670"/>
      <c r="X1013" s="670"/>
      <c r="Y1013" s="671"/>
      <c r="Z1013" s="671"/>
      <c r="AA1013" s="672"/>
      <c r="AB1013" s="673"/>
      <c r="AC1013" s="673"/>
      <c r="AD1013" s="673"/>
      <c r="AE1013" s="673"/>
      <c r="AF1013" s="673"/>
      <c r="AG1013" s="673"/>
      <c r="AH1013" s="673"/>
      <c r="AI1013" s="673"/>
      <c r="AJ1013" s="673"/>
      <c r="AK1013" s="673"/>
      <c r="AL1013" s="673"/>
      <c r="AM1013" s="673"/>
      <c r="AN1013" s="673"/>
      <c r="AO1013" s="673"/>
      <c r="AP1013" s="673"/>
      <c r="AQ1013" s="673"/>
      <c r="AR1013" s="673"/>
      <c r="AS1013" s="673"/>
    </row>
    <row r="1014">
      <c r="A1014" s="653"/>
      <c r="B1014" s="654"/>
      <c r="C1014" s="655"/>
      <c r="D1014" s="656"/>
      <c r="E1014" s="657"/>
      <c r="F1014" s="658"/>
      <c r="G1014" s="659"/>
      <c r="H1014" s="660"/>
      <c r="I1014" s="659"/>
      <c r="J1014" s="661"/>
      <c r="K1014" s="658"/>
      <c r="L1014" s="662"/>
      <c r="M1014" s="663"/>
      <c r="N1014" s="664"/>
      <c r="O1014" s="665"/>
      <c r="P1014" s="666"/>
      <c r="Q1014" s="667"/>
      <c r="R1014" s="668"/>
      <c r="S1014" s="665"/>
      <c r="T1014" s="669"/>
      <c r="U1014" s="669"/>
      <c r="V1014" s="665"/>
      <c r="W1014" s="670"/>
      <c r="X1014" s="670"/>
      <c r="Y1014" s="671"/>
      <c r="Z1014" s="671"/>
      <c r="AA1014" s="672"/>
      <c r="AB1014" s="673"/>
      <c r="AC1014" s="673"/>
      <c r="AD1014" s="673"/>
      <c r="AE1014" s="673"/>
      <c r="AF1014" s="673"/>
      <c r="AG1014" s="673"/>
      <c r="AH1014" s="673"/>
      <c r="AI1014" s="673"/>
      <c r="AJ1014" s="673"/>
      <c r="AK1014" s="673"/>
      <c r="AL1014" s="673"/>
      <c r="AM1014" s="673"/>
      <c r="AN1014" s="673"/>
      <c r="AO1014" s="673"/>
      <c r="AP1014" s="673"/>
      <c r="AQ1014" s="673"/>
      <c r="AR1014" s="673"/>
      <c r="AS1014" s="673"/>
    </row>
    <row r="1015">
      <c r="A1015" s="653"/>
      <c r="B1015" s="654"/>
      <c r="C1015" s="655"/>
      <c r="D1015" s="656"/>
      <c r="E1015" s="657"/>
      <c r="F1015" s="658"/>
      <c r="G1015" s="659"/>
      <c r="H1015" s="660"/>
      <c r="I1015" s="659"/>
      <c r="J1015" s="661"/>
      <c r="K1015" s="658"/>
      <c r="L1015" s="662"/>
      <c r="M1015" s="663"/>
      <c r="N1015" s="664"/>
      <c r="O1015" s="665"/>
      <c r="P1015" s="666"/>
      <c r="Q1015" s="667"/>
      <c r="R1015" s="668"/>
      <c r="S1015" s="665"/>
      <c r="T1015" s="669"/>
      <c r="U1015" s="669"/>
      <c r="V1015" s="665"/>
      <c r="W1015" s="670"/>
      <c r="X1015" s="670"/>
      <c r="Y1015" s="671"/>
      <c r="Z1015" s="671"/>
      <c r="AA1015" s="672"/>
      <c r="AB1015" s="673"/>
      <c r="AC1015" s="673"/>
      <c r="AD1015" s="673"/>
      <c r="AE1015" s="673"/>
      <c r="AF1015" s="673"/>
      <c r="AG1015" s="673"/>
      <c r="AH1015" s="673"/>
      <c r="AI1015" s="673"/>
      <c r="AJ1015" s="673"/>
      <c r="AK1015" s="673"/>
      <c r="AL1015" s="673"/>
      <c r="AM1015" s="673"/>
      <c r="AN1015" s="673"/>
      <c r="AO1015" s="673"/>
      <c r="AP1015" s="673"/>
      <c r="AQ1015" s="673"/>
      <c r="AR1015" s="673"/>
      <c r="AS1015" s="673"/>
    </row>
    <row r="1016">
      <c r="A1016" s="653"/>
      <c r="B1016" s="654"/>
      <c r="C1016" s="655"/>
      <c r="D1016" s="656"/>
      <c r="E1016" s="657"/>
      <c r="F1016" s="658"/>
      <c r="G1016" s="659"/>
      <c r="H1016" s="660"/>
      <c r="I1016" s="659"/>
      <c r="J1016" s="661"/>
      <c r="K1016" s="658"/>
      <c r="L1016" s="662"/>
      <c r="M1016" s="663"/>
      <c r="N1016" s="664"/>
      <c r="O1016" s="665"/>
      <c r="P1016" s="666"/>
      <c r="Q1016" s="667"/>
      <c r="R1016" s="668"/>
      <c r="S1016" s="665"/>
      <c r="T1016" s="669"/>
      <c r="U1016" s="669"/>
      <c r="V1016" s="665"/>
      <c r="W1016" s="670"/>
      <c r="X1016" s="670"/>
      <c r="Y1016" s="671"/>
      <c r="Z1016" s="671"/>
      <c r="AA1016" s="672"/>
      <c r="AB1016" s="673"/>
      <c r="AC1016" s="673"/>
      <c r="AD1016" s="673"/>
      <c r="AE1016" s="673"/>
      <c r="AF1016" s="673"/>
      <c r="AG1016" s="673"/>
      <c r="AH1016" s="673"/>
      <c r="AI1016" s="673"/>
      <c r="AJ1016" s="673"/>
      <c r="AK1016" s="673"/>
      <c r="AL1016" s="673"/>
      <c r="AM1016" s="673"/>
      <c r="AN1016" s="673"/>
      <c r="AO1016" s="673"/>
      <c r="AP1016" s="673"/>
      <c r="AQ1016" s="673"/>
      <c r="AR1016" s="673"/>
      <c r="AS1016" s="673"/>
    </row>
    <row r="1017">
      <c r="A1017" s="653"/>
      <c r="B1017" s="654"/>
      <c r="C1017" s="655"/>
      <c r="D1017" s="656"/>
      <c r="E1017" s="657"/>
      <c r="F1017" s="658"/>
      <c r="G1017" s="659"/>
      <c r="H1017" s="660"/>
      <c r="I1017" s="659"/>
      <c r="J1017" s="661"/>
      <c r="K1017" s="658"/>
      <c r="L1017" s="662"/>
      <c r="M1017" s="663"/>
      <c r="N1017" s="664"/>
      <c r="O1017" s="665"/>
      <c r="P1017" s="666"/>
      <c r="Q1017" s="667"/>
      <c r="R1017" s="668"/>
      <c r="S1017" s="665"/>
      <c r="T1017" s="669"/>
      <c r="U1017" s="669"/>
      <c r="V1017" s="665"/>
      <c r="W1017" s="670"/>
      <c r="X1017" s="670"/>
      <c r="Y1017" s="671"/>
      <c r="Z1017" s="671"/>
      <c r="AA1017" s="672"/>
      <c r="AB1017" s="673"/>
      <c r="AC1017" s="673"/>
      <c r="AD1017" s="673"/>
      <c r="AE1017" s="673"/>
      <c r="AF1017" s="673"/>
      <c r="AG1017" s="673"/>
      <c r="AH1017" s="673"/>
      <c r="AI1017" s="673"/>
      <c r="AJ1017" s="673"/>
      <c r="AK1017" s="673"/>
      <c r="AL1017" s="673"/>
      <c r="AM1017" s="673"/>
      <c r="AN1017" s="673"/>
      <c r="AO1017" s="673"/>
      <c r="AP1017" s="673"/>
      <c r="AQ1017" s="673"/>
      <c r="AR1017" s="673"/>
      <c r="AS1017" s="673"/>
    </row>
    <row r="1018">
      <c r="A1018" s="653"/>
      <c r="B1018" s="654"/>
      <c r="C1018" s="655"/>
      <c r="D1018" s="656"/>
      <c r="E1018" s="657"/>
      <c r="F1018" s="658"/>
      <c r="G1018" s="659"/>
      <c r="H1018" s="660"/>
      <c r="I1018" s="659"/>
      <c r="J1018" s="661"/>
      <c r="K1018" s="658"/>
      <c r="L1018" s="662"/>
      <c r="M1018" s="663"/>
      <c r="N1018" s="664"/>
      <c r="O1018" s="665"/>
      <c r="P1018" s="666"/>
      <c r="Q1018" s="667"/>
      <c r="R1018" s="668"/>
      <c r="S1018" s="665"/>
      <c r="T1018" s="669"/>
      <c r="U1018" s="669"/>
      <c r="V1018" s="665"/>
      <c r="W1018" s="670"/>
      <c r="X1018" s="670"/>
      <c r="Y1018" s="671"/>
      <c r="Z1018" s="671"/>
      <c r="AA1018" s="672"/>
      <c r="AB1018" s="673"/>
      <c r="AC1018" s="673"/>
      <c r="AD1018" s="673"/>
      <c r="AE1018" s="673"/>
      <c r="AF1018" s="673"/>
      <c r="AG1018" s="673"/>
      <c r="AH1018" s="673"/>
      <c r="AI1018" s="673"/>
      <c r="AJ1018" s="673"/>
      <c r="AK1018" s="673"/>
      <c r="AL1018" s="673"/>
      <c r="AM1018" s="673"/>
      <c r="AN1018" s="673"/>
      <c r="AO1018" s="673"/>
      <c r="AP1018" s="673"/>
      <c r="AQ1018" s="673"/>
      <c r="AR1018" s="673"/>
      <c r="AS1018" s="673"/>
    </row>
    <row r="1019">
      <c r="A1019" s="653"/>
      <c r="B1019" s="654"/>
      <c r="C1019" s="655"/>
      <c r="D1019" s="656"/>
      <c r="E1019" s="657"/>
      <c r="F1019" s="658"/>
      <c r="G1019" s="659"/>
      <c r="H1019" s="660"/>
      <c r="I1019" s="659"/>
      <c r="J1019" s="661"/>
      <c r="K1019" s="658"/>
      <c r="L1019" s="662"/>
      <c r="M1019" s="663"/>
      <c r="N1019" s="664"/>
      <c r="O1019" s="665"/>
      <c r="P1019" s="666"/>
      <c r="Q1019" s="667"/>
      <c r="R1019" s="668"/>
      <c r="S1019" s="665"/>
      <c r="T1019" s="669"/>
      <c r="U1019" s="669"/>
      <c r="V1019" s="665"/>
      <c r="W1019" s="670"/>
      <c r="X1019" s="670"/>
      <c r="Y1019" s="671"/>
      <c r="Z1019" s="671"/>
      <c r="AA1019" s="672"/>
      <c r="AB1019" s="673"/>
      <c r="AC1019" s="673"/>
      <c r="AD1019" s="673"/>
      <c r="AE1019" s="673"/>
      <c r="AF1019" s="673"/>
      <c r="AG1019" s="673"/>
      <c r="AH1019" s="673"/>
      <c r="AI1019" s="673"/>
      <c r="AJ1019" s="673"/>
      <c r="AK1019" s="673"/>
      <c r="AL1019" s="673"/>
      <c r="AM1019" s="673"/>
      <c r="AN1019" s="673"/>
      <c r="AO1019" s="673"/>
      <c r="AP1019" s="673"/>
      <c r="AQ1019" s="673"/>
      <c r="AR1019" s="673"/>
      <c r="AS1019" s="673"/>
    </row>
    <row r="1020">
      <c r="A1020" s="653"/>
      <c r="B1020" s="654"/>
      <c r="C1020" s="655"/>
      <c r="D1020" s="656"/>
      <c r="E1020" s="657"/>
      <c r="F1020" s="658"/>
      <c r="G1020" s="659"/>
      <c r="H1020" s="660"/>
      <c r="I1020" s="659"/>
      <c r="J1020" s="661"/>
      <c r="K1020" s="658"/>
      <c r="L1020" s="662"/>
      <c r="M1020" s="663"/>
      <c r="N1020" s="664"/>
      <c r="O1020" s="665"/>
      <c r="P1020" s="666"/>
      <c r="Q1020" s="667"/>
      <c r="R1020" s="668"/>
      <c r="S1020" s="665"/>
      <c r="T1020" s="669"/>
      <c r="U1020" s="669"/>
      <c r="V1020" s="665"/>
      <c r="W1020" s="670"/>
      <c r="X1020" s="670"/>
      <c r="Y1020" s="671"/>
      <c r="Z1020" s="671"/>
      <c r="AA1020" s="672"/>
      <c r="AB1020" s="673"/>
      <c r="AC1020" s="673"/>
      <c r="AD1020" s="673"/>
      <c r="AE1020" s="673"/>
      <c r="AF1020" s="673"/>
      <c r="AG1020" s="673"/>
      <c r="AH1020" s="673"/>
      <c r="AI1020" s="673"/>
      <c r="AJ1020" s="673"/>
      <c r="AK1020" s="673"/>
      <c r="AL1020" s="673"/>
      <c r="AM1020" s="673"/>
      <c r="AN1020" s="673"/>
      <c r="AO1020" s="673"/>
      <c r="AP1020" s="673"/>
      <c r="AQ1020" s="673"/>
      <c r="AR1020" s="673"/>
      <c r="AS1020" s="673"/>
    </row>
    <row r="1021">
      <c r="A1021" s="653"/>
      <c r="B1021" s="654"/>
      <c r="C1021" s="655"/>
      <c r="D1021" s="656"/>
      <c r="E1021" s="657"/>
      <c r="F1021" s="658"/>
      <c r="G1021" s="659"/>
      <c r="H1021" s="660"/>
      <c r="I1021" s="659"/>
      <c r="J1021" s="661"/>
      <c r="K1021" s="658"/>
      <c r="L1021" s="662"/>
      <c r="M1021" s="663"/>
      <c r="N1021" s="664"/>
      <c r="O1021" s="665"/>
      <c r="P1021" s="666"/>
      <c r="Q1021" s="667"/>
      <c r="R1021" s="668"/>
      <c r="S1021" s="665"/>
      <c r="T1021" s="669"/>
      <c r="U1021" s="669"/>
      <c r="V1021" s="665"/>
      <c r="W1021" s="670"/>
      <c r="X1021" s="670"/>
      <c r="Y1021" s="671"/>
      <c r="Z1021" s="671"/>
      <c r="AA1021" s="672"/>
      <c r="AB1021" s="673"/>
      <c r="AC1021" s="673"/>
      <c r="AD1021" s="673"/>
      <c r="AE1021" s="673"/>
      <c r="AF1021" s="673"/>
      <c r="AG1021" s="673"/>
      <c r="AH1021" s="673"/>
      <c r="AI1021" s="673"/>
      <c r="AJ1021" s="673"/>
      <c r="AK1021" s="673"/>
      <c r="AL1021" s="673"/>
      <c r="AM1021" s="673"/>
      <c r="AN1021" s="673"/>
      <c r="AO1021" s="673"/>
      <c r="AP1021" s="673"/>
      <c r="AQ1021" s="673"/>
      <c r="AR1021" s="673"/>
      <c r="AS1021" s="673"/>
    </row>
    <row r="1022">
      <c r="A1022" s="653"/>
      <c r="B1022" s="654"/>
      <c r="C1022" s="655"/>
      <c r="D1022" s="656"/>
      <c r="E1022" s="657"/>
      <c r="F1022" s="658"/>
      <c r="G1022" s="659"/>
      <c r="H1022" s="660"/>
      <c r="I1022" s="659"/>
      <c r="J1022" s="661"/>
      <c r="K1022" s="658"/>
      <c r="L1022" s="662"/>
      <c r="M1022" s="663"/>
      <c r="N1022" s="664"/>
      <c r="O1022" s="665"/>
      <c r="P1022" s="666"/>
      <c r="Q1022" s="667"/>
      <c r="R1022" s="668"/>
      <c r="S1022" s="665"/>
      <c r="T1022" s="669"/>
      <c r="U1022" s="669"/>
      <c r="V1022" s="665"/>
      <c r="W1022" s="670"/>
      <c r="X1022" s="670"/>
      <c r="Y1022" s="671"/>
      <c r="Z1022" s="671"/>
      <c r="AA1022" s="672"/>
      <c r="AB1022" s="673"/>
      <c r="AC1022" s="673"/>
      <c r="AD1022" s="673"/>
      <c r="AE1022" s="673"/>
      <c r="AF1022" s="673"/>
      <c r="AG1022" s="673"/>
      <c r="AH1022" s="673"/>
      <c r="AI1022" s="673"/>
      <c r="AJ1022" s="673"/>
      <c r="AK1022" s="673"/>
      <c r="AL1022" s="673"/>
      <c r="AM1022" s="673"/>
      <c r="AN1022" s="673"/>
      <c r="AO1022" s="673"/>
      <c r="AP1022" s="673"/>
      <c r="AQ1022" s="673"/>
      <c r="AR1022" s="673"/>
      <c r="AS1022" s="673"/>
    </row>
    <row r="1023">
      <c r="A1023" s="653"/>
      <c r="B1023" s="654"/>
      <c r="C1023" s="655"/>
      <c r="D1023" s="656"/>
      <c r="E1023" s="657"/>
      <c r="F1023" s="658"/>
      <c r="G1023" s="659"/>
      <c r="H1023" s="660"/>
      <c r="I1023" s="659"/>
      <c r="J1023" s="661"/>
      <c r="K1023" s="658"/>
      <c r="L1023" s="662"/>
      <c r="M1023" s="663"/>
      <c r="N1023" s="664"/>
      <c r="O1023" s="665"/>
      <c r="P1023" s="666"/>
      <c r="Q1023" s="667"/>
      <c r="R1023" s="668"/>
      <c r="S1023" s="665"/>
      <c r="T1023" s="669"/>
      <c r="U1023" s="669"/>
      <c r="V1023" s="665"/>
      <c r="W1023" s="670"/>
      <c r="X1023" s="670"/>
      <c r="Y1023" s="671"/>
      <c r="Z1023" s="671"/>
      <c r="AA1023" s="672"/>
      <c r="AB1023" s="673"/>
      <c r="AC1023" s="673"/>
      <c r="AD1023" s="673"/>
      <c r="AE1023" s="673"/>
      <c r="AF1023" s="673"/>
      <c r="AG1023" s="673"/>
      <c r="AH1023" s="673"/>
      <c r="AI1023" s="673"/>
      <c r="AJ1023" s="673"/>
      <c r="AK1023" s="673"/>
      <c r="AL1023" s="673"/>
      <c r="AM1023" s="673"/>
      <c r="AN1023" s="673"/>
      <c r="AO1023" s="673"/>
      <c r="AP1023" s="673"/>
      <c r="AQ1023" s="673"/>
      <c r="AR1023" s="673"/>
      <c r="AS1023" s="673"/>
    </row>
    <row r="1024">
      <c r="A1024" s="653"/>
      <c r="B1024" s="654"/>
      <c r="C1024" s="655"/>
      <c r="D1024" s="656"/>
      <c r="E1024" s="657"/>
      <c r="F1024" s="658"/>
      <c r="G1024" s="659"/>
      <c r="H1024" s="660"/>
      <c r="I1024" s="659"/>
      <c r="J1024" s="661"/>
      <c r="K1024" s="658"/>
      <c r="L1024" s="662"/>
      <c r="M1024" s="663"/>
      <c r="N1024" s="664"/>
      <c r="O1024" s="665"/>
      <c r="P1024" s="666"/>
      <c r="Q1024" s="667"/>
      <c r="R1024" s="668"/>
      <c r="S1024" s="665"/>
      <c r="T1024" s="669"/>
      <c r="U1024" s="669"/>
      <c r="V1024" s="665"/>
      <c r="W1024" s="670"/>
      <c r="X1024" s="670"/>
      <c r="Y1024" s="671"/>
      <c r="Z1024" s="671"/>
      <c r="AA1024" s="672"/>
      <c r="AB1024" s="673"/>
      <c r="AC1024" s="673"/>
      <c r="AD1024" s="673"/>
      <c r="AE1024" s="673"/>
      <c r="AF1024" s="673"/>
      <c r="AG1024" s="673"/>
      <c r="AH1024" s="673"/>
      <c r="AI1024" s="673"/>
      <c r="AJ1024" s="673"/>
      <c r="AK1024" s="673"/>
      <c r="AL1024" s="673"/>
      <c r="AM1024" s="673"/>
      <c r="AN1024" s="673"/>
      <c r="AO1024" s="673"/>
      <c r="AP1024" s="673"/>
      <c r="AQ1024" s="673"/>
      <c r="AR1024" s="673"/>
      <c r="AS1024" s="673"/>
    </row>
    <row r="1025">
      <c r="A1025" s="653"/>
      <c r="B1025" s="654"/>
      <c r="C1025" s="655"/>
      <c r="D1025" s="656"/>
      <c r="E1025" s="657"/>
      <c r="F1025" s="658"/>
      <c r="G1025" s="659"/>
      <c r="H1025" s="660"/>
      <c r="I1025" s="659"/>
      <c r="J1025" s="661"/>
      <c r="K1025" s="658"/>
      <c r="L1025" s="662"/>
      <c r="M1025" s="663"/>
      <c r="N1025" s="664"/>
      <c r="O1025" s="665"/>
      <c r="P1025" s="666"/>
      <c r="Q1025" s="667"/>
      <c r="R1025" s="668"/>
      <c r="S1025" s="665"/>
      <c r="T1025" s="669"/>
      <c r="U1025" s="669"/>
      <c r="V1025" s="665"/>
      <c r="W1025" s="670"/>
      <c r="X1025" s="670"/>
      <c r="Y1025" s="671"/>
      <c r="Z1025" s="671"/>
      <c r="AA1025" s="672"/>
      <c r="AB1025" s="673"/>
      <c r="AC1025" s="673"/>
      <c r="AD1025" s="673"/>
      <c r="AE1025" s="673"/>
      <c r="AF1025" s="673"/>
      <c r="AG1025" s="673"/>
      <c r="AH1025" s="673"/>
      <c r="AI1025" s="673"/>
      <c r="AJ1025" s="673"/>
      <c r="AK1025" s="673"/>
      <c r="AL1025" s="673"/>
      <c r="AM1025" s="673"/>
      <c r="AN1025" s="673"/>
      <c r="AO1025" s="673"/>
      <c r="AP1025" s="673"/>
      <c r="AQ1025" s="673"/>
      <c r="AR1025" s="673"/>
      <c r="AS1025" s="673"/>
    </row>
    <row r="1026">
      <c r="A1026" s="653"/>
      <c r="B1026" s="654"/>
      <c r="C1026" s="655"/>
      <c r="D1026" s="656"/>
      <c r="E1026" s="657"/>
      <c r="F1026" s="658"/>
      <c r="G1026" s="659"/>
      <c r="H1026" s="660"/>
      <c r="I1026" s="659"/>
      <c r="J1026" s="661"/>
      <c r="K1026" s="658"/>
      <c r="L1026" s="662"/>
      <c r="M1026" s="663"/>
      <c r="N1026" s="664"/>
      <c r="O1026" s="665"/>
      <c r="P1026" s="666"/>
      <c r="Q1026" s="667"/>
      <c r="R1026" s="668"/>
      <c r="S1026" s="665"/>
      <c r="T1026" s="669"/>
      <c r="U1026" s="669"/>
      <c r="V1026" s="665"/>
      <c r="W1026" s="670"/>
      <c r="X1026" s="670"/>
      <c r="Y1026" s="671"/>
      <c r="Z1026" s="671"/>
      <c r="AA1026" s="672"/>
      <c r="AB1026" s="673"/>
      <c r="AC1026" s="673"/>
      <c r="AD1026" s="673"/>
      <c r="AE1026" s="673"/>
      <c r="AF1026" s="673"/>
      <c r="AG1026" s="673"/>
      <c r="AH1026" s="673"/>
      <c r="AI1026" s="673"/>
      <c r="AJ1026" s="673"/>
      <c r="AK1026" s="673"/>
      <c r="AL1026" s="673"/>
      <c r="AM1026" s="673"/>
      <c r="AN1026" s="673"/>
      <c r="AO1026" s="673"/>
      <c r="AP1026" s="673"/>
      <c r="AQ1026" s="673"/>
      <c r="AR1026" s="673"/>
      <c r="AS1026" s="673"/>
    </row>
    <row r="1027">
      <c r="A1027" s="653"/>
      <c r="B1027" s="654"/>
      <c r="C1027" s="655"/>
      <c r="D1027" s="656"/>
      <c r="E1027" s="657"/>
      <c r="F1027" s="658"/>
      <c r="G1027" s="659"/>
      <c r="H1027" s="660"/>
      <c r="I1027" s="659"/>
      <c r="J1027" s="661"/>
      <c r="K1027" s="658"/>
      <c r="L1027" s="662"/>
      <c r="M1027" s="663"/>
      <c r="N1027" s="664"/>
      <c r="O1027" s="665"/>
      <c r="P1027" s="666"/>
      <c r="Q1027" s="667"/>
      <c r="R1027" s="668"/>
      <c r="S1027" s="665"/>
      <c r="T1027" s="669"/>
      <c r="U1027" s="669"/>
      <c r="V1027" s="665"/>
      <c r="W1027" s="670"/>
      <c r="X1027" s="670"/>
      <c r="Y1027" s="671"/>
      <c r="Z1027" s="671"/>
      <c r="AA1027" s="672"/>
      <c r="AB1027" s="673"/>
      <c r="AC1027" s="673"/>
      <c r="AD1027" s="673"/>
      <c r="AE1027" s="673"/>
      <c r="AF1027" s="673"/>
      <c r="AG1027" s="673"/>
      <c r="AH1027" s="673"/>
      <c r="AI1027" s="673"/>
      <c r="AJ1027" s="673"/>
      <c r="AK1027" s="673"/>
      <c r="AL1027" s="673"/>
      <c r="AM1027" s="673"/>
      <c r="AN1027" s="673"/>
      <c r="AO1027" s="673"/>
      <c r="AP1027" s="673"/>
      <c r="AQ1027" s="673"/>
      <c r="AR1027" s="673"/>
      <c r="AS1027" s="673"/>
    </row>
    <row r="1028">
      <c r="A1028" s="653"/>
      <c r="B1028" s="654"/>
      <c r="C1028" s="655"/>
      <c r="D1028" s="656"/>
      <c r="E1028" s="657"/>
      <c r="F1028" s="658"/>
      <c r="G1028" s="659"/>
      <c r="H1028" s="660"/>
      <c r="I1028" s="659"/>
      <c r="J1028" s="661"/>
      <c r="K1028" s="658"/>
      <c r="L1028" s="662"/>
      <c r="M1028" s="663"/>
      <c r="N1028" s="664"/>
      <c r="O1028" s="665"/>
      <c r="P1028" s="666"/>
      <c r="Q1028" s="667"/>
      <c r="R1028" s="668"/>
      <c r="S1028" s="665"/>
      <c r="T1028" s="669"/>
      <c r="U1028" s="669"/>
      <c r="V1028" s="665"/>
      <c r="W1028" s="670"/>
      <c r="X1028" s="670"/>
      <c r="Y1028" s="671"/>
      <c r="Z1028" s="671"/>
      <c r="AA1028" s="672"/>
      <c r="AB1028" s="673"/>
      <c r="AC1028" s="673"/>
      <c r="AD1028" s="673"/>
      <c r="AE1028" s="673"/>
      <c r="AF1028" s="673"/>
      <c r="AG1028" s="673"/>
      <c r="AH1028" s="673"/>
      <c r="AI1028" s="673"/>
      <c r="AJ1028" s="673"/>
      <c r="AK1028" s="673"/>
      <c r="AL1028" s="673"/>
      <c r="AM1028" s="673"/>
      <c r="AN1028" s="673"/>
      <c r="AO1028" s="673"/>
      <c r="AP1028" s="673"/>
      <c r="AQ1028" s="673"/>
      <c r="AR1028" s="673"/>
      <c r="AS1028" s="673"/>
    </row>
    <row r="1029">
      <c r="A1029" s="653"/>
      <c r="B1029" s="654"/>
      <c r="C1029" s="655"/>
      <c r="D1029" s="656"/>
      <c r="E1029" s="657"/>
      <c r="F1029" s="658"/>
      <c r="G1029" s="659"/>
      <c r="H1029" s="660"/>
      <c r="I1029" s="659"/>
      <c r="J1029" s="661"/>
      <c r="K1029" s="658"/>
      <c r="L1029" s="662"/>
      <c r="M1029" s="663"/>
      <c r="N1029" s="664"/>
      <c r="O1029" s="665"/>
      <c r="P1029" s="666"/>
      <c r="Q1029" s="667"/>
      <c r="R1029" s="668"/>
      <c r="S1029" s="665"/>
      <c r="T1029" s="669"/>
      <c r="U1029" s="669"/>
      <c r="V1029" s="665"/>
      <c r="W1029" s="670"/>
      <c r="X1029" s="670"/>
      <c r="Y1029" s="671"/>
      <c r="Z1029" s="671"/>
      <c r="AA1029" s="672"/>
      <c r="AB1029" s="673"/>
      <c r="AC1029" s="673"/>
      <c r="AD1029" s="673"/>
      <c r="AE1029" s="673"/>
      <c r="AF1029" s="673"/>
      <c r="AG1029" s="673"/>
      <c r="AH1029" s="673"/>
      <c r="AI1029" s="673"/>
      <c r="AJ1029" s="673"/>
      <c r="AK1029" s="673"/>
      <c r="AL1029" s="673"/>
      <c r="AM1029" s="673"/>
      <c r="AN1029" s="673"/>
      <c r="AO1029" s="673"/>
      <c r="AP1029" s="673"/>
      <c r="AQ1029" s="673"/>
      <c r="AR1029" s="673"/>
      <c r="AS1029" s="673"/>
    </row>
    <row r="1030">
      <c r="A1030" s="653"/>
      <c r="B1030" s="654"/>
      <c r="C1030" s="655"/>
      <c r="D1030" s="656"/>
      <c r="E1030" s="657"/>
      <c r="F1030" s="658"/>
      <c r="G1030" s="659"/>
      <c r="H1030" s="660"/>
      <c r="I1030" s="659"/>
      <c r="J1030" s="661"/>
      <c r="K1030" s="658"/>
      <c r="L1030" s="662"/>
      <c r="M1030" s="663"/>
      <c r="N1030" s="664"/>
      <c r="O1030" s="665"/>
      <c r="P1030" s="666"/>
      <c r="Q1030" s="667"/>
      <c r="R1030" s="668"/>
      <c r="S1030" s="665"/>
      <c r="T1030" s="669"/>
      <c r="U1030" s="669"/>
      <c r="V1030" s="665"/>
      <c r="W1030" s="670"/>
      <c r="X1030" s="670"/>
      <c r="Y1030" s="671"/>
      <c r="Z1030" s="671"/>
      <c r="AA1030" s="672"/>
      <c r="AB1030" s="673"/>
      <c r="AC1030" s="673"/>
      <c r="AD1030" s="673"/>
      <c r="AE1030" s="673"/>
      <c r="AF1030" s="673"/>
      <c r="AG1030" s="673"/>
      <c r="AH1030" s="673"/>
      <c r="AI1030" s="673"/>
      <c r="AJ1030" s="673"/>
      <c r="AK1030" s="673"/>
      <c r="AL1030" s="673"/>
      <c r="AM1030" s="673"/>
      <c r="AN1030" s="673"/>
      <c r="AO1030" s="673"/>
      <c r="AP1030" s="673"/>
      <c r="AQ1030" s="673"/>
      <c r="AR1030" s="673"/>
      <c r="AS1030" s="673"/>
    </row>
    <row r="1031">
      <c r="A1031" s="653"/>
      <c r="B1031" s="654"/>
      <c r="C1031" s="655"/>
      <c r="D1031" s="656"/>
      <c r="E1031" s="657"/>
      <c r="F1031" s="658"/>
      <c r="G1031" s="659"/>
      <c r="H1031" s="660"/>
      <c r="I1031" s="659"/>
      <c r="J1031" s="661"/>
      <c r="K1031" s="658"/>
      <c r="L1031" s="662"/>
      <c r="M1031" s="663"/>
      <c r="N1031" s="664"/>
      <c r="O1031" s="665"/>
      <c r="P1031" s="666"/>
      <c r="Q1031" s="667"/>
      <c r="R1031" s="668"/>
      <c r="S1031" s="665"/>
      <c r="T1031" s="669"/>
      <c r="U1031" s="669"/>
      <c r="V1031" s="665"/>
      <c r="W1031" s="670"/>
      <c r="X1031" s="670"/>
      <c r="Y1031" s="671"/>
      <c r="Z1031" s="671"/>
      <c r="AA1031" s="672"/>
      <c r="AB1031" s="673"/>
      <c r="AC1031" s="673"/>
      <c r="AD1031" s="673"/>
      <c r="AE1031" s="673"/>
      <c r="AF1031" s="673"/>
      <c r="AG1031" s="673"/>
      <c r="AH1031" s="673"/>
      <c r="AI1031" s="673"/>
      <c r="AJ1031" s="673"/>
      <c r="AK1031" s="673"/>
      <c r="AL1031" s="673"/>
      <c r="AM1031" s="673"/>
      <c r="AN1031" s="673"/>
      <c r="AO1031" s="673"/>
      <c r="AP1031" s="673"/>
      <c r="AQ1031" s="673"/>
      <c r="AR1031" s="673"/>
      <c r="AS1031" s="673"/>
    </row>
    <row r="1032">
      <c r="A1032" s="653"/>
      <c r="B1032" s="654"/>
      <c r="C1032" s="655"/>
      <c r="D1032" s="656"/>
      <c r="E1032" s="657"/>
      <c r="F1032" s="658"/>
      <c r="G1032" s="659"/>
      <c r="H1032" s="660"/>
      <c r="I1032" s="659"/>
      <c r="J1032" s="661"/>
      <c r="K1032" s="658"/>
      <c r="L1032" s="662"/>
      <c r="M1032" s="663"/>
      <c r="N1032" s="664"/>
      <c r="O1032" s="665"/>
      <c r="P1032" s="666"/>
      <c r="Q1032" s="667"/>
      <c r="R1032" s="668"/>
      <c r="S1032" s="665"/>
      <c r="T1032" s="669"/>
      <c r="U1032" s="669"/>
      <c r="V1032" s="665"/>
      <c r="W1032" s="670"/>
      <c r="X1032" s="670"/>
      <c r="Y1032" s="671"/>
      <c r="Z1032" s="671"/>
      <c r="AA1032" s="672"/>
      <c r="AB1032" s="673"/>
      <c r="AC1032" s="673"/>
      <c r="AD1032" s="673"/>
      <c r="AE1032" s="673"/>
      <c r="AF1032" s="673"/>
      <c r="AG1032" s="673"/>
      <c r="AH1032" s="673"/>
      <c r="AI1032" s="673"/>
      <c r="AJ1032" s="673"/>
      <c r="AK1032" s="673"/>
      <c r="AL1032" s="673"/>
      <c r="AM1032" s="673"/>
      <c r="AN1032" s="673"/>
      <c r="AO1032" s="673"/>
      <c r="AP1032" s="673"/>
      <c r="AQ1032" s="673"/>
      <c r="AR1032" s="673"/>
      <c r="AS1032" s="673"/>
    </row>
    <row r="1033">
      <c r="A1033" s="653"/>
      <c r="B1033" s="654"/>
      <c r="C1033" s="655"/>
      <c r="D1033" s="656"/>
      <c r="E1033" s="657"/>
      <c r="F1033" s="658"/>
      <c r="G1033" s="659"/>
      <c r="H1033" s="660"/>
      <c r="I1033" s="659"/>
      <c r="J1033" s="661"/>
      <c r="K1033" s="658"/>
      <c r="L1033" s="662"/>
      <c r="M1033" s="663"/>
      <c r="N1033" s="664"/>
      <c r="O1033" s="665"/>
      <c r="P1033" s="666"/>
      <c r="Q1033" s="667"/>
      <c r="R1033" s="668"/>
      <c r="S1033" s="665"/>
      <c r="T1033" s="669"/>
      <c r="U1033" s="669"/>
      <c r="V1033" s="665"/>
      <c r="W1033" s="670"/>
      <c r="X1033" s="670"/>
      <c r="Y1033" s="671"/>
      <c r="Z1033" s="671"/>
      <c r="AA1033" s="672"/>
      <c r="AB1033" s="673"/>
      <c r="AC1033" s="673"/>
      <c r="AD1033" s="673"/>
      <c r="AE1033" s="673"/>
      <c r="AF1033" s="673"/>
      <c r="AG1033" s="673"/>
      <c r="AH1033" s="673"/>
      <c r="AI1033" s="673"/>
      <c r="AJ1033" s="673"/>
      <c r="AK1033" s="673"/>
      <c r="AL1033" s="673"/>
      <c r="AM1033" s="673"/>
      <c r="AN1033" s="673"/>
      <c r="AO1033" s="673"/>
      <c r="AP1033" s="673"/>
      <c r="AQ1033" s="673"/>
      <c r="AR1033" s="673"/>
      <c r="AS1033" s="673"/>
    </row>
    <row r="1034">
      <c r="A1034" s="653"/>
      <c r="B1034" s="654"/>
      <c r="C1034" s="655"/>
      <c r="D1034" s="656"/>
      <c r="E1034" s="657"/>
      <c r="F1034" s="658"/>
      <c r="G1034" s="659"/>
      <c r="H1034" s="660"/>
      <c r="I1034" s="659"/>
      <c r="J1034" s="661"/>
      <c r="K1034" s="658"/>
      <c r="L1034" s="662"/>
      <c r="M1034" s="663"/>
      <c r="N1034" s="664"/>
      <c r="O1034" s="665"/>
      <c r="P1034" s="666"/>
      <c r="Q1034" s="667"/>
      <c r="R1034" s="668"/>
      <c r="S1034" s="665"/>
      <c r="T1034" s="669"/>
      <c r="U1034" s="669"/>
      <c r="V1034" s="665"/>
      <c r="W1034" s="670"/>
      <c r="X1034" s="670"/>
      <c r="Y1034" s="671"/>
      <c r="Z1034" s="671"/>
      <c r="AA1034" s="672"/>
      <c r="AB1034" s="673"/>
      <c r="AC1034" s="673"/>
      <c r="AD1034" s="673"/>
      <c r="AE1034" s="673"/>
      <c r="AF1034" s="673"/>
      <c r="AG1034" s="673"/>
      <c r="AH1034" s="673"/>
      <c r="AI1034" s="673"/>
      <c r="AJ1034" s="673"/>
      <c r="AK1034" s="673"/>
      <c r="AL1034" s="673"/>
      <c r="AM1034" s="673"/>
      <c r="AN1034" s="673"/>
      <c r="AO1034" s="673"/>
      <c r="AP1034" s="673"/>
      <c r="AQ1034" s="673"/>
      <c r="AR1034" s="673"/>
      <c r="AS1034" s="673"/>
    </row>
    <row r="1035">
      <c r="A1035" s="653"/>
      <c r="B1035" s="654"/>
      <c r="C1035" s="655"/>
      <c r="D1035" s="656"/>
      <c r="E1035" s="657"/>
      <c r="F1035" s="658"/>
      <c r="G1035" s="659"/>
      <c r="H1035" s="660"/>
      <c r="I1035" s="659"/>
      <c r="J1035" s="661"/>
      <c r="K1035" s="658"/>
      <c r="L1035" s="662"/>
      <c r="M1035" s="663"/>
      <c r="N1035" s="664"/>
      <c r="O1035" s="665"/>
      <c r="P1035" s="666"/>
      <c r="Q1035" s="667"/>
      <c r="R1035" s="668"/>
      <c r="S1035" s="665"/>
      <c r="T1035" s="669"/>
      <c r="U1035" s="669"/>
      <c r="V1035" s="665"/>
      <c r="W1035" s="670"/>
      <c r="X1035" s="670"/>
      <c r="Y1035" s="671"/>
      <c r="Z1035" s="671"/>
      <c r="AA1035" s="672"/>
      <c r="AB1035" s="673"/>
      <c r="AC1035" s="673"/>
      <c r="AD1035" s="673"/>
      <c r="AE1035" s="673"/>
      <c r="AF1035" s="673"/>
      <c r="AG1035" s="673"/>
      <c r="AH1035" s="673"/>
      <c r="AI1035" s="673"/>
      <c r="AJ1035" s="673"/>
      <c r="AK1035" s="673"/>
      <c r="AL1035" s="673"/>
      <c r="AM1035" s="673"/>
      <c r="AN1035" s="673"/>
      <c r="AO1035" s="673"/>
      <c r="AP1035" s="673"/>
      <c r="AQ1035" s="673"/>
      <c r="AR1035" s="673"/>
      <c r="AS1035" s="673"/>
    </row>
    <row r="1036">
      <c r="A1036" s="653"/>
      <c r="B1036" s="654"/>
      <c r="C1036" s="655"/>
      <c r="D1036" s="656"/>
      <c r="E1036" s="657"/>
      <c r="F1036" s="658"/>
      <c r="G1036" s="659"/>
      <c r="H1036" s="660"/>
      <c r="I1036" s="659"/>
      <c r="J1036" s="661"/>
      <c r="K1036" s="658"/>
      <c r="L1036" s="662"/>
      <c r="M1036" s="663"/>
      <c r="N1036" s="664"/>
      <c r="O1036" s="665"/>
      <c r="P1036" s="666"/>
      <c r="Q1036" s="667"/>
      <c r="R1036" s="668"/>
      <c r="S1036" s="665"/>
      <c r="T1036" s="669"/>
      <c r="U1036" s="669"/>
      <c r="V1036" s="665"/>
      <c r="W1036" s="670"/>
      <c r="X1036" s="670"/>
      <c r="Y1036" s="671"/>
      <c r="Z1036" s="671"/>
      <c r="AA1036" s="672"/>
      <c r="AB1036" s="673"/>
      <c r="AC1036" s="673"/>
      <c r="AD1036" s="673"/>
      <c r="AE1036" s="673"/>
      <c r="AF1036" s="673"/>
      <c r="AG1036" s="673"/>
      <c r="AH1036" s="673"/>
      <c r="AI1036" s="673"/>
      <c r="AJ1036" s="673"/>
      <c r="AK1036" s="673"/>
      <c r="AL1036" s="673"/>
      <c r="AM1036" s="673"/>
      <c r="AN1036" s="673"/>
      <c r="AO1036" s="673"/>
      <c r="AP1036" s="673"/>
      <c r="AQ1036" s="673"/>
      <c r="AR1036" s="673"/>
      <c r="AS1036" s="673"/>
    </row>
    <row r="1037">
      <c r="A1037" s="653"/>
      <c r="B1037" s="654"/>
      <c r="C1037" s="655"/>
      <c r="D1037" s="656"/>
      <c r="E1037" s="657"/>
      <c r="F1037" s="658"/>
      <c r="G1037" s="659"/>
      <c r="H1037" s="660"/>
      <c r="I1037" s="659"/>
      <c r="J1037" s="661"/>
      <c r="K1037" s="658"/>
      <c r="L1037" s="662"/>
      <c r="M1037" s="663"/>
      <c r="N1037" s="664"/>
      <c r="O1037" s="665"/>
      <c r="P1037" s="666"/>
      <c r="Q1037" s="667"/>
      <c r="R1037" s="668"/>
      <c r="S1037" s="665"/>
      <c r="T1037" s="669"/>
      <c r="U1037" s="669"/>
      <c r="V1037" s="665"/>
      <c r="W1037" s="670"/>
      <c r="X1037" s="670"/>
      <c r="Y1037" s="671"/>
      <c r="Z1037" s="671"/>
      <c r="AA1037" s="672"/>
      <c r="AB1037" s="673"/>
      <c r="AC1037" s="673"/>
      <c r="AD1037" s="673"/>
      <c r="AE1037" s="673"/>
      <c r="AF1037" s="673"/>
      <c r="AG1037" s="673"/>
      <c r="AH1037" s="673"/>
      <c r="AI1037" s="673"/>
      <c r="AJ1037" s="673"/>
      <c r="AK1037" s="673"/>
      <c r="AL1037" s="673"/>
      <c r="AM1037" s="673"/>
      <c r="AN1037" s="673"/>
      <c r="AO1037" s="673"/>
      <c r="AP1037" s="673"/>
      <c r="AQ1037" s="673"/>
      <c r="AR1037" s="673"/>
      <c r="AS1037" s="673"/>
    </row>
    <row r="1038">
      <c r="A1038" s="653"/>
      <c r="B1038" s="654"/>
      <c r="C1038" s="655"/>
      <c r="D1038" s="656"/>
      <c r="E1038" s="657"/>
      <c r="F1038" s="658"/>
      <c r="G1038" s="659"/>
      <c r="H1038" s="660"/>
      <c r="I1038" s="659"/>
      <c r="J1038" s="661"/>
      <c r="K1038" s="658"/>
      <c r="L1038" s="662"/>
      <c r="M1038" s="663"/>
      <c r="N1038" s="664"/>
      <c r="O1038" s="665"/>
      <c r="P1038" s="666"/>
      <c r="Q1038" s="667"/>
      <c r="R1038" s="668"/>
      <c r="S1038" s="665"/>
      <c r="T1038" s="669"/>
      <c r="U1038" s="669"/>
      <c r="V1038" s="665"/>
      <c r="W1038" s="670"/>
      <c r="X1038" s="670"/>
      <c r="Y1038" s="671"/>
      <c r="Z1038" s="671"/>
      <c r="AA1038" s="672"/>
      <c r="AB1038" s="673"/>
      <c r="AC1038" s="673"/>
      <c r="AD1038" s="673"/>
      <c r="AE1038" s="673"/>
      <c r="AF1038" s="673"/>
      <c r="AG1038" s="673"/>
      <c r="AH1038" s="673"/>
      <c r="AI1038" s="673"/>
      <c r="AJ1038" s="673"/>
      <c r="AK1038" s="673"/>
      <c r="AL1038" s="673"/>
      <c r="AM1038" s="673"/>
      <c r="AN1038" s="673"/>
      <c r="AO1038" s="673"/>
      <c r="AP1038" s="673"/>
      <c r="AQ1038" s="673"/>
      <c r="AR1038" s="673"/>
      <c r="AS1038" s="673"/>
    </row>
    <row r="1039">
      <c r="A1039" s="653"/>
      <c r="B1039" s="654"/>
      <c r="C1039" s="655"/>
      <c r="D1039" s="656"/>
      <c r="E1039" s="657"/>
      <c r="F1039" s="658"/>
      <c r="G1039" s="659"/>
      <c r="H1039" s="660"/>
      <c r="I1039" s="659"/>
      <c r="J1039" s="661"/>
      <c r="K1039" s="658"/>
      <c r="L1039" s="662"/>
      <c r="M1039" s="663"/>
      <c r="N1039" s="664"/>
      <c r="O1039" s="665"/>
      <c r="P1039" s="666"/>
      <c r="Q1039" s="667"/>
      <c r="R1039" s="668"/>
      <c r="S1039" s="665"/>
      <c r="T1039" s="669"/>
      <c r="U1039" s="669"/>
      <c r="V1039" s="665"/>
      <c r="W1039" s="670"/>
      <c r="X1039" s="670"/>
      <c r="Y1039" s="671"/>
      <c r="Z1039" s="671"/>
      <c r="AA1039" s="672"/>
      <c r="AB1039" s="673"/>
      <c r="AC1039" s="673"/>
      <c r="AD1039" s="673"/>
      <c r="AE1039" s="673"/>
      <c r="AF1039" s="673"/>
      <c r="AG1039" s="673"/>
      <c r="AH1039" s="673"/>
      <c r="AI1039" s="673"/>
      <c r="AJ1039" s="673"/>
      <c r="AK1039" s="673"/>
      <c r="AL1039" s="673"/>
      <c r="AM1039" s="673"/>
      <c r="AN1039" s="673"/>
      <c r="AO1039" s="673"/>
      <c r="AP1039" s="673"/>
      <c r="AQ1039" s="673"/>
      <c r="AR1039" s="673"/>
      <c r="AS1039" s="673"/>
    </row>
    <row r="1040">
      <c r="A1040" s="653"/>
      <c r="B1040" s="654"/>
      <c r="C1040" s="655"/>
      <c r="D1040" s="656"/>
      <c r="E1040" s="657"/>
      <c r="F1040" s="658"/>
      <c r="G1040" s="659"/>
      <c r="H1040" s="660"/>
      <c r="I1040" s="659"/>
      <c r="J1040" s="661"/>
      <c r="K1040" s="658"/>
      <c r="L1040" s="662"/>
      <c r="M1040" s="663"/>
      <c r="N1040" s="664"/>
      <c r="O1040" s="665"/>
      <c r="P1040" s="666"/>
      <c r="Q1040" s="667"/>
      <c r="R1040" s="668"/>
      <c r="S1040" s="665"/>
      <c r="T1040" s="669"/>
      <c r="U1040" s="669"/>
      <c r="V1040" s="665"/>
      <c r="W1040" s="670"/>
      <c r="X1040" s="670"/>
      <c r="Y1040" s="671"/>
      <c r="Z1040" s="671"/>
      <c r="AA1040" s="672"/>
      <c r="AB1040" s="673"/>
      <c r="AC1040" s="673"/>
      <c r="AD1040" s="673"/>
      <c r="AE1040" s="673"/>
      <c r="AF1040" s="673"/>
      <c r="AG1040" s="673"/>
      <c r="AH1040" s="673"/>
      <c r="AI1040" s="673"/>
      <c r="AJ1040" s="673"/>
      <c r="AK1040" s="673"/>
      <c r="AL1040" s="673"/>
      <c r="AM1040" s="673"/>
      <c r="AN1040" s="673"/>
      <c r="AO1040" s="673"/>
      <c r="AP1040" s="673"/>
      <c r="AQ1040" s="673"/>
      <c r="AR1040" s="673"/>
      <c r="AS1040" s="673"/>
    </row>
    <row r="1041">
      <c r="A1041" s="653"/>
      <c r="B1041" s="654"/>
      <c r="C1041" s="655"/>
      <c r="D1041" s="656"/>
      <c r="E1041" s="657"/>
      <c r="F1041" s="658"/>
      <c r="G1041" s="659"/>
      <c r="H1041" s="660"/>
      <c r="I1041" s="659"/>
      <c r="J1041" s="661"/>
      <c r="K1041" s="658"/>
      <c r="L1041" s="662"/>
      <c r="M1041" s="663"/>
      <c r="N1041" s="664"/>
      <c r="O1041" s="665"/>
      <c r="P1041" s="666"/>
      <c r="Q1041" s="667"/>
      <c r="R1041" s="668"/>
      <c r="S1041" s="665"/>
      <c r="T1041" s="669"/>
      <c r="U1041" s="669"/>
      <c r="V1041" s="665"/>
      <c r="W1041" s="670"/>
      <c r="X1041" s="670"/>
      <c r="Y1041" s="671"/>
      <c r="Z1041" s="671"/>
      <c r="AA1041" s="672"/>
      <c r="AB1041" s="673"/>
      <c r="AC1041" s="673"/>
      <c r="AD1041" s="673"/>
      <c r="AE1041" s="673"/>
      <c r="AF1041" s="673"/>
      <c r="AG1041" s="673"/>
      <c r="AH1041" s="673"/>
      <c r="AI1041" s="673"/>
      <c r="AJ1041" s="673"/>
      <c r="AK1041" s="673"/>
      <c r="AL1041" s="673"/>
      <c r="AM1041" s="673"/>
      <c r="AN1041" s="673"/>
      <c r="AO1041" s="673"/>
      <c r="AP1041" s="673"/>
      <c r="AQ1041" s="673"/>
      <c r="AR1041" s="673"/>
      <c r="AS1041" s="673"/>
    </row>
    <row r="1042">
      <c r="A1042" s="653"/>
      <c r="B1042" s="654"/>
      <c r="C1042" s="655"/>
      <c r="D1042" s="656"/>
      <c r="E1042" s="657"/>
      <c r="F1042" s="658"/>
      <c r="G1042" s="659"/>
      <c r="H1042" s="660"/>
      <c r="I1042" s="659"/>
      <c r="J1042" s="661"/>
      <c r="K1042" s="658"/>
      <c r="L1042" s="662"/>
      <c r="M1042" s="663"/>
      <c r="N1042" s="664"/>
      <c r="O1042" s="665"/>
      <c r="P1042" s="666"/>
      <c r="Q1042" s="667"/>
      <c r="R1042" s="668"/>
      <c r="S1042" s="665"/>
      <c r="T1042" s="669"/>
      <c r="U1042" s="669"/>
      <c r="V1042" s="665"/>
      <c r="W1042" s="670"/>
      <c r="X1042" s="670"/>
      <c r="Y1042" s="671"/>
      <c r="Z1042" s="671"/>
      <c r="AA1042" s="672"/>
      <c r="AB1042" s="673"/>
      <c r="AC1042" s="673"/>
      <c r="AD1042" s="673"/>
      <c r="AE1042" s="673"/>
      <c r="AF1042" s="673"/>
      <c r="AG1042" s="673"/>
      <c r="AH1042" s="673"/>
      <c r="AI1042" s="673"/>
      <c r="AJ1042" s="673"/>
      <c r="AK1042" s="673"/>
      <c r="AL1042" s="673"/>
      <c r="AM1042" s="673"/>
      <c r="AN1042" s="673"/>
      <c r="AO1042" s="673"/>
      <c r="AP1042" s="673"/>
      <c r="AQ1042" s="673"/>
      <c r="AR1042" s="673"/>
      <c r="AS1042" s="673"/>
    </row>
    <row r="1043">
      <c r="A1043" s="653"/>
      <c r="B1043" s="654"/>
      <c r="C1043" s="655"/>
      <c r="D1043" s="656"/>
      <c r="E1043" s="657"/>
      <c r="F1043" s="658"/>
      <c r="G1043" s="659"/>
      <c r="H1043" s="660"/>
      <c r="I1043" s="659"/>
      <c r="J1043" s="661"/>
      <c r="K1043" s="658"/>
      <c r="L1043" s="662"/>
      <c r="M1043" s="663"/>
      <c r="N1043" s="664"/>
      <c r="O1043" s="665"/>
      <c r="P1043" s="666"/>
      <c r="Q1043" s="667"/>
      <c r="R1043" s="668"/>
      <c r="S1043" s="665"/>
      <c r="T1043" s="669"/>
      <c r="U1043" s="669"/>
      <c r="V1043" s="665"/>
      <c r="W1043" s="670"/>
      <c r="X1043" s="670"/>
      <c r="Y1043" s="671"/>
      <c r="Z1043" s="671"/>
      <c r="AA1043" s="672"/>
      <c r="AB1043" s="673"/>
      <c r="AC1043" s="673"/>
      <c r="AD1043" s="673"/>
      <c r="AE1043" s="673"/>
      <c r="AF1043" s="673"/>
      <c r="AG1043" s="673"/>
      <c r="AH1043" s="673"/>
      <c r="AI1043" s="673"/>
      <c r="AJ1043" s="673"/>
      <c r="AK1043" s="673"/>
      <c r="AL1043" s="673"/>
      <c r="AM1043" s="673"/>
      <c r="AN1043" s="673"/>
      <c r="AO1043" s="673"/>
      <c r="AP1043" s="673"/>
      <c r="AQ1043" s="673"/>
      <c r="AR1043" s="673"/>
      <c r="AS1043" s="673"/>
    </row>
    <row r="1044">
      <c r="A1044" s="653"/>
      <c r="B1044" s="654"/>
      <c r="C1044" s="655"/>
      <c r="D1044" s="656"/>
      <c r="E1044" s="657"/>
      <c r="F1044" s="658"/>
      <c r="G1044" s="659"/>
      <c r="H1044" s="660"/>
      <c r="I1044" s="659"/>
      <c r="J1044" s="661"/>
      <c r="K1044" s="658"/>
      <c r="L1044" s="662"/>
      <c r="M1044" s="663"/>
      <c r="N1044" s="664"/>
      <c r="O1044" s="665"/>
      <c r="P1044" s="666"/>
      <c r="Q1044" s="667"/>
      <c r="R1044" s="668"/>
      <c r="S1044" s="665"/>
      <c r="T1044" s="669"/>
      <c r="U1044" s="669"/>
      <c r="V1044" s="665"/>
      <c r="W1044" s="670"/>
      <c r="X1044" s="670"/>
      <c r="Y1044" s="671"/>
      <c r="Z1044" s="671"/>
      <c r="AA1044" s="672"/>
      <c r="AB1044" s="673"/>
      <c r="AC1044" s="673"/>
      <c r="AD1044" s="673"/>
      <c r="AE1044" s="673"/>
      <c r="AF1044" s="673"/>
      <c r="AG1044" s="673"/>
      <c r="AH1044" s="673"/>
      <c r="AI1044" s="673"/>
      <c r="AJ1044" s="673"/>
      <c r="AK1044" s="673"/>
      <c r="AL1044" s="673"/>
      <c r="AM1044" s="673"/>
      <c r="AN1044" s="673"/>
      <c r="AO1044" s="673"/>
      <c r="AP1044" s="673"/>
      <c r="AQ1044" s="673"/>
      <c r="AR1044" s="673"/>
      <c r="AS1044" s="673"/>
    </row>
    <row r="1045">
      <c r="A1045" s="653"/>
      <c r="B1045" s="654"/>
      <c r="C1045" s="655"/>
      <c r="D1045" s="656"/>
      <c r="E1045" s="657"/>
      <c r="F1045" s="658"/>
      <c r="G1045" s="659"/>
      <c r="H1045" s="660"/>
      <c r="I1045" s="659"/>
      <c r="J1045" s="661"/>
      <c r="K1045" s="658"/>
      <c r="L1045" s="662"/>
      <c r="M1045" s="663"/>
      <c r="N1045" s="664"/>
      <c r="O1045" s="665"/>
      <c r="P1045" s="666"/>
      <c r="Q1045" s="667"/>
      <c r="R1045" s="668"/>
      <c r="S1045" s="665"/>
      <c r="T1045" s="669"/>
      <c r="U1045" s="669"/>
      <c r="V1045" s="665"/>
      <c r="W1045" s="670"/>
      <c r="X1045" s="670"/>
      <c r="Y1045" s="671"/>
      <c r="Z1045" s="671"/>
      <c r="AA1045" s="672"/>
      <c r="AB1045" s="673"/>
      <c r="AC1045" s="673"/>
      <c r="AD1045" s="673"/>
      <c r="AE1045" s="673"/>
      <c r="AF1045" s="673"/>
      <c r="AG1045" s="673"/>
      <c r="AH1045" s="673"/>
      <c r="AI1045" s="673"/>
      <c r="AJ1045" s="673"/>
      <c r="AK1045" s="673"/>
      <c r="AL1045" s="673"/>
      <c r="AM1045" s="673"/>
      <c r="AN1045" s="673"/>
      <c r="AO1045" s="673"/>
      <c r="AP1045" s="673"/>
      <c r="AQ1045" s="673"/>
      <c r="AR1045" s="673"/>
      <c r="AS1045" s="673"/>
    </row>
    <row r="1046">
      <c r="A1046" s="653"/>
      <c r="B1046" s="654"/>
      <c r="C1046" s="655"/>
      <c r="D1046" s="656"/>
      <c r="E1046" s="657"/>
      <c r="F1046" s="658"/>
      <c r="G1046" s="659"/>
      <c r="H1046" s="660"/>
      <c r="I1046" s="659"/>
      <c r="J1046" s="661"/>
      <c r="K1046" s="658"/>
      <c r="L1046" s="662"/>
      <c r="M1046" s="663"/>
      <c r="N1046" s="664"/>
      <c r="O1046" s="665"/>
      <c r="P1046" s="666"/>
      <c r="Q1046" s="667"/>
      <c r="R1046" s="668"/>
      <c r="S1046" s="665"/>
      <c r="T1046" s="669"/>
      <c r="U1046" s="669"/>
      <c r="V1046" s="665"/>
      <c r="W1046" s="670"/>
      <c r="X1046" s="670"/>
      <c r="Y1046" s="671"/>
      <c r="Z1046" s="671"/>
      <c r="AA1046" s="672"/>
      <c r="AB1046" s="673"/>
      <c r="AC1046" s="673"/>
      <c r="AD1046" s="673"/>
      <c r="AE1046" s="673"/>
      <c r="AF1046" s="673"/>
      <c r="AG1046" s="673"/>
      <c r="AH1046" s="673"/>
      <c r="AI1046" s="673"/>
      <c r="AJ1046" s="673"/>
      <c r="AK1046" s="673"/>
      <c r="AL1046" s="673"/>
      <c r="AM1046" s="673"/>
      <c r="AN1046" s="673"/>
      <c r="AO1046" s="673"/>
      <c r="AP1046" s="673"/>
      <c r="AQ1046" s="673"/>
      <c r="AR1046" s="673"/>
      <c r="AS1046" s="673"/>
    </row>
    <row r="1047">
      <c r="A1047" s="653"/>
      <c r="B1047" s="654"/>
      <c r="C1047" s="655"/>
      <c r="D1047" s="656"/>
      <c r="E1047" s="657"/>
      <c r="F1047" s="658"/>
      <c r="G1047" s="659"/>
      <c r="H1047" s="660"/>
      <c r="I1047" s="659"/>
      <c r="J1047" s="661"/>
      <c r="K1047" s="658"/>
      <c r="L1047" s="662"/>
      <c r="M1047" s="663"/>
      <c r="N1047" s="664"/>
      <c r="O1047" s="665"/>
      <c r="P1047" s="666"/>
      <c r="Q1047" s="667"/>
      <c r="R1047" s="668"/>
      <c r="S1047" s="665"/>
      <c r="T1047" s="669"/>
      <c r="U1047" s="669"/>
      <c r="V1047" s="665"/>
      <c r="W1047" s="670"/>
      <c r="X1047" s="670"/>
      <c r="Y1047" s="671"/>
      <c r="Z1047" s="671"/>
      <c r="AA1047" s="672"/>
      <c r="AB1047" s="673"/>
      <c r="AC1047" s="673"/>
      <c r="AD1047" s="673"/>
      <c r="AE1047" s="673"/>
      <c r="AF1047" s="673"/>
      <c r="AG1047" s="673"/>
      <c r="AH1047" s="673"/>
      <c r="AI1047" s="673"/>
      <c r="AJ1047" s="673"/>
      <c r="AK1047" s="673"/>
      <c r="AL1047" s="673"/>
      <c r="AM1047" s="673"/>
      <c r="AN1047" s="673"/>
      <c r="AO1047" s="673"/>
      <c r="AP1047" s="673"/>
      <c r="AQ1047" s="673"/>
      <c r="AR1047" s="673"/>
      <c r="AS1047" s="673"/>
    </row>
    <row r="1048">
      <c r="A1048" s="653"/>
      <c r="B1048" s="654"/>
      <c r="C1048" s="655"/>
      <c r="D1048" s="656"/>
      <c r="E1048" s="657"/>
      <c r="F1048" s="658"/>
      <c r="G1048" s="659"/>
      <c r="H1048" s="660"/>
      <c r="I1048" s="659"/>
      <c r="J1048" s="661"/>
      <c r="K1048" s="658"/>
      <c r="L1048" s="662"/>
      <c r="M1048" s="663"/>
      <c r="N1048" s="664"/>
      <c r="O1048" s="665"/>
      <c r="P1048" s="666"/>
      <c r="Q1048" s="667"/>
      <c r="R1048" s="668"/>
      <c r="S1048" s="665"/>
      <c r="T1048" s="669"/>
      <c r="U1048" s="669"/>
      <c r="V1048" s="665"/>
      <c r="W1048" s="670"/>
      <c r="X1048" s="670"/>
      <c r="Y1048" s="671"/>
      <c r="Z1048" s="671"/>
      <c r="AA1048" s="672"/>
      <c r="AB1048" s="673"/>
      <c r="AC1048" s="673"/>
      <c r="AD1048" s="673"/>
      <c r="AE1048" s="673"/>
      <c r="AF1048" s="673"/>
      <c r="AG1048" s="673"/>
      <c r="AH1048" s="673"/>
      <c r="AI1048" s="673"/>
      <c r="AJ1048" s="673"/>
      <c r="AK1048" s="673"/>
      <c r="AL1048" s="673"/>
      <c r="AM1048" s="673"/>
      <c r="AN1048" s="673"/>
      <c r="AO1048" s="673"/>
      <c r="AP1048" s="673"/>
      <c r="AQ1048" s="673"/>
      <c r="AR1048" s="673"/>
      <c r="AS1048" s="673"/>
    </row>
    <row r="1049">
      <c r="A1049" s="653"/>
      <c r="B1049" s="654"/>
      <c r="C1049" s="655"/>
      <c r="D1049" s="656"/>
      <c r="E1049" s="657"/>
      <c r="F1049" s="658"/>
      <c r="G1049" s="659"/>
      <c r="H1049" s="660"/>
      <c r="I1049" s="659"/>
      <c r="J1049" s="661"/>
      <c r="K1049" s="658"/>
      <c r="L1049" s="662"/>
      <c r="M1049" s="663"/>
      <c r="N1049" s="664"/>
      <c r="O1049" s="665"/>
      <c r="P1049" s="666"/>
      <c r="Q1049" s="667"/>
      <c r="R1049" s="668"/>
      <c r="S1049" s="665"/>
      <c r="T1049" s="669"/>
      <c r="U1049" s="669"/>
      <c r="V1049" s="665"/>
      <c r="W1049" s="670"/>
      <c r="X1049" s="670"/>
      <c r="Y1049" s="671"/>
      <c r="Z1049" s="671"/>
      <c r="AA1049" s="672"/>
      <c r="AB1049" s="673"/>
      <c r="AC1049" s="673"/>
      <c r="AD1049" s="673"/>
      <c r="AE1049" s="673"/>
      <c r="AF1049" s="673"/>
      <c r="AG1049" s="673"/>
      <c r="AH1049" s="673"/>
      <c r="AI1049" s="673"/>
      <c r="AJ1049" s="673"/>
      <c r="AK1049" s="673"/>
      <c r="AL1049" s="673"/>
      <c r="AM1049" s="673"/>
      <c r="AN1049" s="673"/>
      <c r="AO1049" s="673"/>
      <c r="AP1049" s="673"/>
      <c r="AQ1049" s="673"/>
      <c r="AR1049" s="673"/>
      <c r="AS1049" s="673"/>
    </row>
    <row r="1050">
      <c r="A1050" s="653"/>
      <c r="B1050" s="654"/>
      <c r="C1050" s="655"/>
      <c r="D1050" s="656"/>
      <c r="E1050" s="657"/>
      <c r="F1050" s="658"/>
      <c r="G1050" s="659"/>
      <c r="H1050" s="660"/>
      <c r="I1050" s="659"/>
      <c r="J1050" s="661"/>
      <c r="K1050" s="658"/>
      <c r="L1050" s="662"/>
      <c r="M1050" s="663"/>
      <c r="N1050" s="664"/>
      <c r="O1050" s="665"/>
      <c r="P1050" s="666"/>
      <c r="Q1050" s="667"/>
      <c r="R1050" s="668"/>
      <c r="S1050" s="665"/>
      <c r="T1050" s="669"/>
      <c r="U1050" s="669"/>
      <c r="V1050" s="665"/>
      <c r="W1050" s="670"/>
      <c r="X1050" s="670"/>
      <c r="Y1050" s="671"/>
      <c r="Z1050" s="671"/>
      <c r="AA1050" s="672"/>
      <c r="AB1050" s="673"/>
      <c r="AC1050" s="673"/>
      <c r="AD1050" s="673"/>
      <c r="AE1050" s="673"/>
      <c r="AF1050" s="673"/>
      <c r="AG1050" s="673"/>
      <c r="AH1050" s="673"/>
      <c r="AI1050" s="673"/>
      <c r="AJ1050" s="673"/>
      <c r="AK1050" s="673"/>
      <c r="AL1050" s="673"/>
      <c r="AM1050" s="673"/>
      <c r="AN1050" s="673"/>
      <c r="AO1050" s="673"/>
      <c r="AP1050" s="673"/>
      <c r="AQ1050" s="673"/>
      <c r="AR1050" s="673"/>
      <c r="AS1050" s="673"/>
    </row>
    <row r="1051">
      <c r="A1051" s="653"/>
      <c r="B1051" s="654"/>
      <c r="C1051" s="655"/>
      <c r="D1051" s="656"/>
      <c r="E1051" s="657"/>
      <c r="F1051" s="658"/>
      <c r="G1051" s="659"/>
      <c r="H1051" s="660"/>
      <c r="I1051" s="659"/>
      <c r="J1051" s="661"/>
      <c r="K1051" s="658"/>
      <c r="L1051" s="662"/>
      <c r="M1051" s="663"/>
      <c r="N1051" s="664"/>
      <c r="O1051" s="665"/>
      <c r="P1051" s="666"/>
      <c r="Q1051" s="667"/>
      <c r="R1051" s="668"/>
      <c r="S1051" s="665"/>
      <c r="T1051" s="669"/>
      <c r="U1051" s="669"/>
      <c r="V1051" s="665"/>
      <c r="W1051" s="670"/>
      <c r="X1051" s="670"/>
      <c r="Y1051" s="671"/>
      <c r="Z1051" s="671"/>
      <c r="AA1051" s="672"/>
      <c r="AB1051" s="673"/>
      <c r="AC1051" s="673"/>
      <c r="AD1051" s="673"/>
      <c r="AE1051" s="673"/>
      <c r="AF1051" s="673"/>
      <c r="AG1051" s="673"/>
      <c r="AH1051" s="673"/>
      <c r="AI1051" s="673"/>
      <c r="AJ1051" s="673"/>
      <c r="AK1051" s="673"/>
      <c r="AL1051" s="673"/>
      <c r="AM1051" s="673"/>
      <c r="AN1051" s="673"/>
      <c r="AO1051" s="673"/>
      <c r="AP1051" s="673"/>
      <c r="AQ1051" s="673"/>
      <c r="AR1051" s="673"/>
      <c r="AS1051" s="673"/>
    </row>
    <row r="1052">
      <c r="A1052" s="653"/>
      <c r="B1052" s="654"/>
      <c r="C1052" s="655"/>
      <c r="D1052" s="656"/>
      <c r="E1052" s="657"/>
      <c r="F1052" s="658"/>
      <c r="G1052" s="659"/>
      <c r="H1052" s="660"/>
      <c r="I1052" s="659"/>
      <c r="J1052" s="661"/>
      <c r="K1052" s="658"/>
      <c r="L1052" s="662"/>
      <c r="M1052" s="663"/>
      <c r="N1052" s="664"/>
      <c r="O1052" s="665"/>
      <c r="P1052" s="666"/>
      <c r="Q1052" s="667"/>
      <c r="R1052" s="668"/>
      <c r="S1052" s="665"/>
      <c r="T1052" s="669"/>
      <c r="U1052" s="669"/>
      <c r="V1052" s="665"/>
      <c r="W1052" s="670"/>
      <c r="X1052" s="670"/>
      <c r="Y1052" s="671"/>
      <c r="Z1052" s="671"/>
      <c r="AA1052" s="672"/>
      <c r="AB1052" s="673"/>
      <c r="AC1052" s="673"/>
      <c r="AD1052" s="673"/>
      <c r="AE1052" s="673"/>
      <c r="AF1052" s="673"/>
      <c r="AG1052" s="673"/>
      <c r="AH1052" s="673"/>
      <c r="AI1052" s="673"/>
      <c r="AJ1052" s="673"/>
      <c r="AK1052" s="673"/>
      <c r="AL1052" s="673"/>
      <c r="AM1052" s="673"/>
      <c r="AN1052" s="673"/>
      <c r="AO1052" s="673"/>
      <c r="AP1052" s="673"/>
      <c r="AQ1052" s="673"/>
      <c r="AR1052" s="673"/>
      <c r="AS1052" s="673"/>
    </row>
    <row r="1053">
      <c r="A1053" s="653"/>
      <c r="B1053" s="654"/>
      <c r="C1053" s="655"/>
      <c r="D1053" s="656"/>
      <c r="E1053" s="657"/>
      <c r="F1053" s="658"/>
      <c r="G1053" s="659"/>
      <c r="H1053" s="660"/>
      <c r="I1053" s="659"/>
      <c r="J1053" s="661"/>
      <c r="K1053" s="658"/>
      <c r="L1053" s="662"/>
      <c r="M1053" s="663"/>
      <c r="N1053" s="664"/>
      <c r="O1053" s="665"/>
      <c r="P1053" s="666"/>
      <c r="Q1053" s="667"/>
      <c r="R1053" s="668"/>
      <c r="S1053" s="665"/>
      <c r="T1053" s="669"/>
      <c r="U1053" s="669"/>
      <c r="V1053" s="665"/>
      <c r="W1053" s="670"/>
      <c r="X1053" s="670"/>
      <c r="Y1053" s="671"/>
      <c r="Z1053" s="671"/>
      <c r="AA1053" s="672"/>
      <c r="AB1053" s="673"/>
      <c r="AC1053" s="673"/>
      <c r="AD1053" s="673"/>
      <c r="AE1053" s="673"/>
      <c r="AF1053" s="673"/>
      <c r="AG1053" s="673"/>
      <c r="AH1053" s="673"/>
      <c r="AI1053" s="673"/>
      <c r="AJ1053" s="673"/>
      <c r="AK1053" s="673"/>
      <c r="AL1053" s="673"/>
      <c r="AM1053" s="673"/>
      <c r="AN1053" s="673"/>
      <c r="AO1053" s="673"/>
      <c r="AP1053" s="673"/>
      <c r="AQ1053" s="673"/>
      <c r="AR1053" s="673"/>
      <c r="AS1053" s="673"/>
    </row>
    <row r="1054">
      <c r="A1054" s="653"/>
      <c r="B1054" s="654"/>
      <c r="C1054" s="655"/>
      <c r="D1054" s="656"/>
      <c r="E1054" s="657"/>
      <c r="F1054" s="658"/>
      <c r="G1054" s="659"/>
      <c r="H1054" s="660"/>
      <c r="I1054" s="659"/>
      <c r="J1054" s="661"/>
      <c r="K1054" s="658"/>
      <c r="L1054" s="662"/>
      <c r="M1054" s="663"/>
      <c r="N1054" s="664"/>
      <c r="O1054" s="665"/>
      <c r="P1054" s="666"/>
      <c r="Q1054" s="667"/>
      <c r="R1054" s="668"/>
      <c r="S1054" s="665"/>
      <c r="T1054" s="669"/>
      <c r="U1054" s="669"/>
      <c r="V1054" s="665"/>
      <c r="W1054" s="670"/>
      <c r="X1054" s="670"/>
      <c r="Y1054" s="671"/>
      <c r="Z1054" s="671"/>
      <c r="AA1054" s="672"/>
      <c r="AB1054" s="673"/>
      <c r="AC1054" s="673"/>
      <c r="AD1054" s="673"/>
      <c r="AE1054" s="673"/>
      <c r="AF1054" s="673"/>
      <c r="AG1054" s="673"/>
      <c r="AH1054" s="673"/>
      <c r="AI1054" s="673"/>
      <c r="AJ1054" s="673"/>
      <c r="AK1054" s="673"/>
      <c r="AL1054" s="673"/>
      <c r="AM1054" s="673"/>
      <c r="AN1054" s="673"/>
      <c r="AO1054" s="673"/>
      <c r="AP1054" s="673"/>
      <c r="AQ1054" s="673"/>
      <c r="AR1054" s="673"/>
      <c r="AS1054" s="673"/>
    </row>
    <row r="1055">
      <c r="A1055" s="653"/>
      <c r="B1055" s="654"/>
      <c r="C1055" s="655"/>
      <c r="D1055" s="656"/>
      <c r="E1055" s="657"/>
      <c r="F1055" s="658"/>
      <c r="G1055" s="659"/>
      <c r="H1055" s="660"/>
      <c r="I1055" s="659"/>
      <c r="J1055" s="661"/>
      <c r="K1055" s="658"/>
      <c r="L1055" s="662"/>
      <c r="M1055" s="663"/>
      <c r="N1055" s="664"/>
      <c r="O1055" s="665"/>
      <c r="P1055" s="666"/>
      <c r="Q1055" s="667"/>
      <c r="R1055" s="668"/>
      <c r="S1055" s="665"/>
      <c r="T1055" s="669"/>
      <c r="U1055" s="669"/>
      <c r="V1055" s="665"/>
      <c r="W1055" s="670"/>
      <c r="X1055" s="670"/>
      <c r="Y1055" s="671"/>
      <c r="Z1055" s="671"/>
      <c r="AA1055" s="672"/>
      <c r="AB1055" s="673"/>
      <c r="AC1055" s="673"/>
      <c r="AD1055" s="673"/>
      <c r="AE1055" s="673"/>
      <c r="AF1055" s="673"/>
      <c r="AG1055" s="673"/>
      <c r="AH1055" s="673"/>
      <c r="AI1055" s="673"/>
      <c r="AJ1055" s="673"/>
      <c r="AK1055" s="673"/>
      <c r="AL1055" s="673"/>
      <c r="AM1055" s="673"/>
      <c r="AN1055" s="673"/>
      <c r="AO1055" s="673"/>
      <c r="AP1055" s="673"/>
      <c r="AQ1055" s="673"/>
      <c r="AR1055" s="673"/>
      <c r="AS1055" s="673"/>
    </row>
    <row r="1056">
      <c r="A1056" s="653"/>
      <c r="B1056" s="654"/>
      <c r="C1056" s="655"/>
      <c r="D1056" s="656"/>
      <c r="E1056" s="657"/>
      <c r="F1056" s="658"/>
      <c r="G1056" s="659"/>
      <c r="H1056" s="660"/>
      <c r="I1056" s="659"/>
      <c r="J1056" s="661"/>
      <c r="K1056" s="658"/>
      <c r="L1056" s="662"/>
      <c r="M1056" s="663"/>
      <c r="N1056" s="664"/>
      <c r="O1056" s="665"/>
      <c r="P1056" s="666"/>
      <c r="Q1056" s="667"/>
      <c r="R1056" s="668"/>
      <c r="S1056" s="665"/>
      <c r="T1056" s="669"/>
      <c r="U1056" s="669"/>
      <c r="V1056" s="665"/>
      <c r="W1056" s="670"/>
      <c r="X1056" s="670"/>
      <c r="Y1056" s="671"/>
      <c r="Z1056" s="671"/>
      <c r="AA1056" s="672"/>
      <c r="AB1056" s="673"/>
      <c r="AC1056" s="673"/>
      <c r="AD1056" s="673"/>
      <c r="AE1056" s="673"/>
      <c r="AF1056" s="673"/>
      <c r="AG1056" s="673"/>
      <c r="AH1056" s="673"/>
      <c r="AI1056" s="673"/>
      <c r="AJ1056" s="673"/>
      <c r="AK1056" s="673"/>
      <c r="AL1056" s="673"/>
      <c r="AM1056" s="673"/>
      <c r="AN1056" s="673"/>
      <c r="AO1056" s="673"/>
      <c r="AP1056" s="673"/>
      <c r="AQ1056" s="673"/>
      <c r="AR1056" s="673"/>
      <c r="AS1056" s="673"/>
    </row>
    <row r="1057">
      <c r="A1057" s="653"/>
      <c r="B1057" s="654"/>
      <c r="C1057" s="655"/>
      <c r="D1057" s="656"/>
      <c r="E1057" s="657"/>
      <c r="F1057" s="658"/>
      <c r="G1057" s="659"/>
      <c r="H1057" s="660"/>
      <c r="I1057" s="659"/>
      <c r="J1057" s="661"/>
      <c r="K1057" s="658"/>
      <c r="L1057" s="662"/>
      <c r="M1057" s="663"/>
      <c r="N1057" s="664"/>
      <c r="O1057" s="665"/>
      <c r="P1057" s="666"/>
      <c r="Q1057" s="667"/>
      <c r="R1057" s="668"/>
      <c r="S1057" s="665"/>
      <c r="T1057" s="669"/>
      <c r="U1057" s="669"/>
      <c r="V1057" s="665"/>
      <c r="W1057" s="670"/>
      <c r="X1057" s="670"/>
      <c r="Y1057" s="671"/>
      <c r="Z1057" s="671"/>
      <c r="AA1057" s="672"/>
      <c r="AB1057" s="673"/>
      <c r="AC1057" s="673"/>
      <c r="AD1057" s="673"/>
      <c r="AE1057" s="673"/>
      <c r="AF1057" s="673"/>
      <c r="AG1057" s="673"/>
      <c r="AH1057" s="673"/>
      <c r="AI1057" s="673"/>
      <c r="AJ1057" s="673"/>
      <c r="AK1057" s="673"/>
      <c r="AL1057" s="673"/>
      <c r="AM1057" s="673"/>
      <c r="AN1057" s="673"/>
      <c r="AO1057" s="673"/>
      <c r="AP1057" s="673"/>
      <c r="AQ1057" s="673"/>
      <c r="AR1057" s="673"/>
      <c r="AS1057" s="673"/>
    </row>
    <row r="1058">
      <c r="A1058" s="653"/>
      <c r="B1058" s="654"/>
      <c r="C1058" s="655"/>
      <c r="D1058" s="656"/>
      <c r="E1058" s="657"/>
      <c r="F1058" s="658"/>
      <c r="G1058" s="659"/>
      <c r="H1058" s="660"/>
      <c r="I1058" s="659"/>
      <c r="J1058" s="661"/>
      <c r="K1058" s="658"/>
      <c r="L1058" s="662"/>
      <c r="M1058" s="663"/>
      <c r="N1058" s="664"/>
      <c r="O1058" s="665"/>
      <c r="P1058" s="666"/>
      <c r="Q1058" s="667"/>
      <c r="R1058" s="668"/>
      <c r="S1058" s="665"/>
      <c r="T1058" s="669"/>
      <c r="U1058" s="669"/>
      <c r="V1058" s="665"/>
      <c r="W1058" s="670"/>
      <c r="X1058" s="670"/>
      <c r="Y1058" s="671"/>
      <c r="Z1058" s="671"/>
      <c r="AA1058" s="672"/>
      <c r="AB1058" s="673"/>
      <c r="AC1058" s="673"/>
      <c r="AD1058" s="673"/>
      <c r="AE1058" s="673"/>
      <c r="AF1058" s="673"/>
      <c r="AG1058" s="673"/>
      <c r="AH1058" s="673"/>
      <c r="AI1058" s="673"/>
      <c r="AJ1058" s="673"/>
      <c r="AK1058" s="673"/>
      <c r="AL1058" s="673"/>
      <c r="AM1058" s="673"/>
      <c r="AN1058" s="673"/>
      <c r="AO1058" s="673"/>
      <c r="AP1058" s="673"/>
      <c r="AQ1058" s="673"/>
      <c r="AR1058" s="673"/>
      <c r="AS1058" s="673"/>
    </row>
    <row r="1059">
      <c r="A1059" s="653"/>
      <c r="B1059" s="654"/>
      <c r="C1059" s="655"/>
      <c r="D1059" s="656"/>
      <c r="E1059" s="657"/>
      <c r="F1059" s="658"/>
      <c r="G1059" s="659"/>
      <c r="H1059" s="660"/>
      <c r="I1059" s="659"/>
      <c r="J1059" s="661"/>
      <c r="K1059" s="658"/>
      <c r="L1059" s="662"/>
      <c r="M1059" s="663"/>
      <c r="N1059" s="664"/>
      <c r="O1059" s="665"/>
      <c r="P1059" s="666"/>
      <c r="Q1059" s="667"/>
      <c r="R1059" s="668"/>
      <c r="S1059" s="665"/>
      <c r="T1059" s="669"/>
      <c r="U1059" s="669"/>
      <c r="V1059" s="665"/>
      <c r="W1059" s="670"/>
      <c r="X1059" s="670"/>
      <c r="Y1059" s="671"/>
      <c r="Z1059" s="671"/>
      <c r="AA1059" s="672"/>
      <c r="AB1059" s="673"/>
      <c r="AC1059" s="673"/>
      <c r="AD1059" s="673"/>
      <c r="AE1059" s="673"/>
      <c r="AF1059" s="673"/>
      <c r="AG1059" s="673"/>
      <c r="AH1059" s="673"/>
      <c r="AI1059" s="673"/>
      <c r="AJ1059" s="673"/>
      <c r="AK1059" s="673"/>
      <c r="AL1059" s="673"/>
      <c r="AM1059" s="673"/>
      <c r="AN1059" s="673"/>
      <c r="AO1059" s="673"/>
      <c r="AP1059" s="673"/>
      <c r="AQ1059" s="673"/>
      <c r="AR1059" s="673"/>
      <c r="AS1059" s="673"/>
    </row>
    <row r="1060">
      <c r="A1060" s="653"/>
      <c r="B1060" s="654"/>
      <c r="C1060" s="655"/>
      <c r="D1060" s="656"/>
      <c r="E1060" s="657"/>
      <c r="F1060" s="658"/>
      <c r="G1060" s="659"/>
      <c r="H1060" s="660"/>
      <c r="I1060" s="659"/>
      <c r="J1060" s="661"/>
      <c r="K1060" s="658"/>
      <c r="L1060" s="662"/>
      <c r="M1060" s="663"/>
      <c r="N1060" s="664"/>
      <c r="O1060" s="665"/>
      <c r="P1060" s="666"/>
      <c r="Q1060" s="667"/>
      <c r="R1060" s="668"/>
      <c r="S1060" s="665"/>
      <c r="T1060" s="669"/>
      <c r="U1060" s="669"/>
      <c r="V1060" s="665"/>
      <c r="W1060" s="670"/>
      <c r="X1060" s="670"/>
      <c r="Y1060" s="671"/>
      <c r="Z1060" s="671"/>
      <c r="AA1060" s="672"/>
      <c r="AB1060" s="673"/>
      <c r="AC1060" s="673"/>
      <c r="AD1060" s="673"/>
      <c r="AE1060" s="673"/>
      <c r="AF1060" s="673"/>
      <c r="AG1060" s="673"/>
      <c r="AH1060" s="673"/>
      <c r="AI1060" s="673"/>
      <c r="AJ1060" s="673"/>
      <c r="AK1060" s="673"/>
      <c r="AL1060" s="673"/>
      <c r="AM1060" s="673"/>
      <c r="AN1060" s="673"/>
      <c r="AO1060" s="673"/>
      <c r="AP1060" s="673"/>
      <c r="AQ1060" s="673"/>
      <c r="AR1060" s="673"/>
      <c r="AS1060" s="673"/>
    </row>
    <row r="1061">
      <c r="A1061" s="653"/>
      <c r="B1061" s="654"/>
      <c r="C1061" s="655"/>
      <c r="D1061" s="656"/>
      <c r="E1061" s="657"/>
      <c r="F1061" s="658"/>
      <c r="G1061" s="659"/>
      <c r="H1061" s="660"/>
      <c r="I1061" s="659"/>
      <c r="J1061" s="661"/>
      <c r="K1061" s="658"/>
      <c r="L1061" s="662"/>
      <c r="M1061" s="663"/>
      <c r="N1061" s="664"/>
      <c r="O1061" s="665"/>
      <c r="P1061" s="666"/>
      <c r="Q1061" s="667"/>
      <c r="R1061" s="668"/>
      <c r="S1061" s="665"/>
      <c r="T1061" s="669"/>
      <c r="U1061" s="669"/>
      <c r="V1061" s="665"/>
      <c r="W1061" s="670"/>
      <c r="X1061" s="670"/>
      <c r="Y1061" s="671"/>
      <c r="Z1061" s="671"/>
      <c r="AA1061" s="672"/>
      <c r="AB1061" s="673"/>
      <c r="AC1061" s="673"/>
      <c r="AD1061" s="673"/>
      <c r="AE1061" s="673"/>
      <c r="AF1061" s="673"/>
      <c r="AG1061" s="673"/>
      <c r="AH1061" s="673"/>
      <c r="AI1061" s="673"/>
      <c r="AJ1061" s="673"/>
      <c r="AK1061" s="673"/>
      <c r="AL1061" s="673"/>
      <c r="AM1061" s="673"/>
      <c r="AN1061" s="673"/>
      <c r="AO1061" s="673"/>
      <c r="AP1061" s="673"/>
      <c r="AQ1061" s="673"/>
      <c r="AR1061" s="673"/>
      <c r="AS1061" s="673"/>
    </row>
    <row r="1062">
      <c r="A1062" s="653"/>
      <c r="B1062" s="654"/>
      <c r="C1062" s="655"/>
      <c r="D1062" s="656"/>
      <c r="E1062" s="657"/>
      <c r="F1062" s="658"/>
      <c r="G1062" s="659"/>
      <c r="H1062" s="660"/>
      <c r="I1062" s="659"/>
      <c r="J1062" s="661"/>
      <c r="K1062" s="658"/>
      <c r="L1062" s="662"/>
      <c r="M1062" s="663"/>
      <c r="N1062" s="664"/>
      <c r="O1062" s="665"/>
      <c r="P1062" s="666"/>
      <c r="Q1062" s="667"/>
      <c r="R1062" s="668"/>
      <c r="S1062" s="665"/>
      <c r="T1062" s="669"/>
      <c r="U1062" s="669"/>
      <c r="V1062" s="665"/>
      <c r="W1062" s="670"/>
      <c r="X1062" s="670"/>
      <c r="Y1062" s="671"/>
      <c r="Z1062" s="671"/>
      <c r="AA1062" s="672"/>
      <c r="AB1062" s="673"/>
      <c r="AC1062" s="673"/>
      <c r="AD1062" s="673"/>
      <c r="AE1062" s="673"/>
      <c r="AF1062" s="673"/>
      <c r="AG1062" s="673"/>
      <c r="AH1062" s="673"/>
      <c r="AI1062" s="673"/>
      <c r="AJ1062" s="673"/>
      <c r="AK1062" s="673"/>
      <c r="AL1062" s="673"/>
      <c r="AM1062" s="673"/>
      <c r="AN1062" s="673"/>
      <c r="AO1062" s="673"/>
      <c r="AP1062" s="673"/>
      <c r="AQ1062" s="673"/>
      <c r="AR1062" s="673"/>
      <c r="AS1062" s="673"/>
    </row>
    <row r="1063">
      <c r="A1063" s="653"/>
      <c r="B1063" s="654"/>
      <c r="C1063" s="655"/>
      <c r="D1063" s="656"/>
      <c r="E1063" s="657"/>
      <c r="F1063" s="658"/>
      <c r="G1063" s="659"/>
      <c r="H1063" s="660"/>
      <c r="I1063" s="659"/>
      <c r="J1063" s="661"/>
      <c r="K1063" s="658"/>
      <c r="L1063" s="662"/>
      <c r="M1063" s="663"/>
      <c r="N1063" s="664"/>
      <c r="O1063" s="665"/>
      <c r="P1063" s="666"/>
      <c r="Q1063" s="667"/>
      <c r="R1063" s="668"/>
      <c r="S1063" s="665"/>
      <c r="T1063" s="669"/>
      <c r="U1063" s="669"/>
      <c r="V1063" s="665"/>
      <c r="W1063" s="670"/>
      <c r="X1063" s="670"/>
      <c r="Y1063" s="671"/>
      <c r="Z1063" s="671"/>
      <c r="AA1063" s="672"/>
      <c r="AB1063" s="673"/>
      <c r="AC1063" s="673"/>
      <c r="AD1063" s="673"/>
      <c r="AE1063" s="673"/>
      <c r="AF1063" s="673"/>
      <c r="AG1063" s="673"/>
      <c r="AH1063" s="673"/>
      <c r="AI1063" s="673"/>
      <c r="AJ1063" s="673"/>
      <c r="AK1063" s="673"/>
      <c r="AL1063" s="673"/>
      <c r="AM1063" s="673"/>
      <c r="AN1063" s="673"/>
      <c r="AO1063" s="673"/>
      <c r="AP1063" s="673"/>
      <c r="AQ1063" s="673"/>
      <c r="AR1063" s="673"/>
      <c r="AS1063" s="673"/>
    </row>
    <row r="1064">
      <c r="A1064" s="653"/>
      <c r="B1064" s="654"/>
      <c r="C1064" s="655"/>
      <c r="D1064" s="656"/>
      <c r="E1064" s="657"/>
      <c r="F1064" s="658"/>
      <c r="G1064" s="659"/>
      <c r="H1064" s="660"/>
      <c r="I1064" s="659"/>
      <c r="J1064" s="661"/>
      <c r="K1064" s="658"/>
      <c r="L1064" s="662"/>
      <c r="M1064" s="663"/>
      <c r="N1064" s="664"/>
      <c r="O1064" s="665"/>
      <c r="P1064" s="666"/>
      <c r="Q1064" s="667"/>
      <c r="R1064" s="668"/>
      <c r="S1064" s="665"/>
      <c r="T1064" s="669"/>
      <c r="U1064" s="669"/>
      <c r="V1064" s="665"/>
      <c r="W1064" s="670"/>
      <c r="X1064" s="670"/>
      <c r="Y1064" s="671"/>
      <c r="Z1064" s="671"/>
      <c r="AA1064" s="672"/>
      <c r="AB1064" s="673"/>
      <c r="AC1064" s="673"/>
      <c r="AD1064" s="673"/>
      <c r="AE1064" s="673"/>
      <c r="AF1064" s="673"/>
      <c r="AG1064" s="673"/>
      <c r="AH1064" s="673"/>
      <c r="AI1064" s="673"/>
      <c r="AJ1064" s="673"/>
      <c r="AK1064" s="673"/>
      <c r="AL1064" s="673"/>
      <c r="AM1064" s="673"/>
      <c r="AN1064" s="673"/>
      <c r="AO1064" s="673"/>
      <c r="AP1064" s="673"/>
      <c r="AQ1064" s="673"/>
      <c r="AR1064" s="673"/>
      <c r="AS1064" s="673"/>
    </row>
    <row r="1065">
      <c r="A1065" s="653"/>
      <c r="B1065" s="654"/>
      <c r="C1065" s="655"/>
      <c r="D1065" s="656"/>
      <c r="E1065" s="657"/>
      <c r="F1065" s="658"/>
      <c r="G1065" s="659"/>
      <c r="H1065" s="660"/>
      <c r="I1065" s="659"/>
      <c r="J1065" s="661"/>
      <c r="K1065" s="658"/>
      <c r="L1065" s="662"/>
      <c r="M1065" s="663"/>
      <c r="N1065" s="664"/>
      <c r="O1065" s="665"/>
      <c r="P1065" s="666"/>
      <c r="Q1065" s="667"/>
      <c r="R1065" s="668"/>
      <c r="S1065" s="665"/>
      <c r="T1065" s="669"/>
      <c r="U1065" s="669"/>
      <c r="V1065" s="665"/>
      <c r="W1065" s="670"/>
      <c r="X1065" s="670"/>
      <c r="Y1065" s="671"/>
      <c r="Z1065" s="671"/>
      <c r="AA1065" s="672"/>
      <c r="AB1065" s="673"/>
      <c r="AC1065" s="673"/>
      <c r="AD1065" s="673"/>
      <c r="AE1065" s="673"/>
      <c r="AF1065" s="673"/>
      <c r="AG1065" s="673"/>
      <c r="AH1065" s="673"/>
      <c r="AI1065" s="673"/>
      <c r="AJ1065" s="673"/>
      <c r="AK1065" s="673"/>
      <c r="AL1065" s="673"/>
      <c r="AM1065" s="673"/>
      <c r="AN1065" s="673"/>
      <c r="AO1065" s="673"/>
      <c r="AP1065" s="673"/>
      <c r="AQ1065" s="673"/>
      <c r="AR1065" s="673"/>
      <c r="AS1065" s="673"/>
    </row>
    <row r="1066">
      <c r="A1066" s="653"/>
      <c r="B1066" s="654"/>
      <c r="C1066" s="655"/>
      <c r="D1066" s="656"/>
      <c r="E1066" s="657"/>
      <c r="F1066" s="658"/>
      <c r="G1066" s="659"/>
      <c r="H1066" s="660"/>
      <c r="I1066" s="659"/>
      <c r="J1066" s="661"/>
      <c r="K1066" s="658"/>
      <c r="L1066" s="662"/>
      <c r="M1066" s="663"/>
      <c r="N1066" s="664"/>
      <c r="O1066" s="665"/>
      <c r="P1066" s="666"/>
      <c r="Q1066" s="667"/>
      <c r="R1066" s="668"/>
      <c r="S1066" s="665"/>
      <c r="T1066" s="669"/>
      <c r="U1066" s="669"/>
      <c r="V1066" s="665"/>
      <c r="W1066" s="670"/>
      <c r="X1066" s="670"/>
      <c r="Y1066" s="671"/>
      <c r="Z1066" s="671"/>
      <c r="AA1066" s="672"/>
      <c r="AB1066" s="673"/>
      <c r="AC1066" s="673"/>
      <c r="AD1066" s="673"/>
      <c r="AE1066" s="673"/>
      <c r="AF1066" s="673"/>
      <c r="AG1066" s="673"/>
      <c r="AH1066" s="673"/>
      <c r="AI1066" s="673"/>
      <c r="AJ1066" s="673"/>
      <c r="AK1066" s="673"/>
      <c r="AL1066" s="673"/>
      <c r="AM1066" s="673"/>
      <c r="AN1066" s="673"/>
      <c r="AO1066" s="673"/>
      <c r="AP1066" s="673"/>
      <c r="AQ1066" s="673"/>
      <c r="AR1066" s="673"/>
      <c r="AS1066" s="673"/>
    </row>
    <row r="1067">
      <c r="A1067" s="653"/>
      <c r="B1067" s="654"/>
      <c r="C1067" s="655"/>
      <c r="D1067" s="656"/>
      <c r="E1067" s="657"/>
      <c r="F1067" s="658"/>
      <c r="G1067" s="659"/>
      <c r="H1067" s="660"/>
      <c r="I1067" s="659"/>
      <c r="J1067" s="661"/>
      <c r="K1067" s="658"/>
      <c r="L1067" s="662"/>
      <c r="M1067" s="663"/>
      <c r="N1067" s="664"/>
      <c r="O1067" s="665"/>
      <c r="P1067" s="666"/>
      <c r="Q1067" s="667"/>
      <c r="R1067" s="668"/>
      <c r="S1067" s="665"/>
      <c r="T1067" s="669"/>
      <c r="U1067" s="669"/>
      <c r="V1067" s="665"/>
      <c r="W1067" s="670"/>
      <c r="X1067" s="670"/>
      <c r="Y1067" s="671"/>
      <c r="Z1067" s="671"/>
      <c r="AA1067" s="672"/>
      <c r="AB1067" s="673"/>
      <c r="AC1067" s="673"/>
      <c r="AD1067" s="673"/>
      <c r="AE1067" s="673"/>
      <c r="AF1067" s="673"/>
      <c r="AG1067" s="673"/>
      <c r="AH1067" s="673"/>
      <c r="AI1067" s="673"/>
      <c r="AJ1067" s="673"/>
      <c r="AK1067" s="673"/>
      <c r="AL1067" s="673"/>
      <c r="AM1067" s="673"/>
      <c r="AN1067" s="673"/>
      <c r="AO1067" s="673"/>
      <c r="AP1067" s="673"/>
      <c r="AQ1067" s="673"/>
      <c r="AR1067" s="673"/>
      <c r="AS1067" s="673"/>
    </row>
    <row r="1068">
      <c r="A1068" s="653"/>
      <c r="B1068" s="654"/>
      <c r="C1068" s="655"/>
      <c r="D1068" s="656"/>
      <c r="E1068" s="657"/>
      <c r="F1068" s="658"/>
      <c r="G1068" s="659"/>
      <c r="H1068" s="660"/>
      <c r="I1068" s="659"/>
      <c r="J1068" s="661"/>
      <c r="K1068" s="658"/>
      <c r="L1068" s="662"/>
      <c r="M1068" s="663"/>
      <c r="N1068" s="664"/>
      <c r="O1068" s="665"/>
      <c r="P1068" s="666"/>
      <c r="Q1068" s="667"/>
      <c r="R1068" s="668"/>
      <c r="S1068" s="665"/>
      <c r="T1068" s="669"/>
      <c r="U1068" s="669"/>
      <c r="V1068" s="665"/>
      <c r="W1068" s="670"/>
      <c r="X1068" s="670"/>
      <c r="Y1068" s="671"/>
      <c r="Z1068" s="671"/>
      <c r="AA1068" s="672"/>
      <c r="AB1068" s="673"/>
      <c r="AC1068" s="673"/>
      <c r="AD1068" s="673"/>
      <c r="AE1068" s="673"/>
      <c r="AF1068" s="673"/>
      <c r="AG1068" s="673"/>
      <c r="AH1068" s="673"/>
      <c r="AI1068" s="673"/>
      <c r="AJ1068" s="673"/>
      <c r="AK1068" s="673"/>
      <c r="AL1068" s="673"/>
      <c r="AM1068" s="673"/>
      <c r="AN1068" s="673"/>
      <c r="AO1068" s="673"/>
      <c r="AP1068" s="673"/>
      <c r="AQ1068" s="673"/>
      <c r="AR1068" s="673"/>
      <c r="AS1068" s="673"/>
    </row>
    <row r="1069">
      <c r="A1069" s="653"/>
      <c r="B1069" s="654"/>
      <c r="C1069" s="655"/>
      <c r="D1069" s="656"/>
      <c r="E1069" s="657"/>
      <c r="F1069" s="658"/>
      <c r="G1069" s="659"/>
      <c r="H1069" s="660"/>
      <c r="I1069" s="659"/>
      <c r="J1069" s="661"/>
      <c r="K1069" s="658"/>
      <c r="L1069" s="662"/>
      <c r="M1069" s="663"/>
      <c r="N1069" s="664"/>
      <c r="O1069" s="665"/>
      <c r="P1069" s="666"/>
      <c r="Q1069" s="667"/>
      <c r="R1069" s="668"/>
      <c r="S1069" s="665"/>
      <c r="T1069" s="669"/>
      <c r="U1069" s="669"/>
      <c r="V1069" s="665"/>
      <c r="W1069" s="670"/>
      <c r="X1069" s="670"/>
      <c r="Y1069" s="671"/>
      <c r="Z1069" s="671"/>
      <c r="AA1069" s="672"/>
      <c r="AB1069" s="673"/>
      <c r="AC1069" s="673"/>
      <c r="AD1069" s="673"/>
      <c r="AE1069" s="673"/>
      <c r="AF1069" s="673"/>
      <c r="AG1069" s="673"/>
      <c r="AH1069" s="673"/>
      <c r="AI1069" s="673"/>
      <c r="AJ1069" s="673"/>
      <c r="AK1069" s="673"/>
      <c r="AL1069" s="673"/>
      <c r="AM1069" s="673"/>
      <c r="AN1069" s="673"/>
      <c r="AO1069" s="673"/>
      <c r="AP1069" s="673"/>
      <c r="AQ1069" s="673"/>
      <c r="AR1069" s="673"/>
      <c r="AS1069" s="673"/>
    </row>
    <row r="1070">
      <c r="A1070" s="653"/>
      <c r="B1070" s="654"/>
      <c r="C1070" s="655"/>
      <c r="D1070" s="656"/>
      <c r="E1070" s="657"/>
      <c r="F1070" s="658"/>
      <c r="G1070" s="659"/>
      <c r="H1070" s="660"/>
      <c r="I1070" s="659"/>
      <c r="J1070" s="661"/>
      <c r="K1070" s="658"/>
      <c r="L1070" s="662"/>
      <c r="M1070" s="663"/>
      <c r="N1070" s="664"/>
      <c r="O1070" s="665"/>
      <c r="P1070" s="666"/>
      <c r="Q1070" s="667"/>
      <c r="R1070" s="668"/>
      <c r="S1070" s="665"/>
      <c r="T1070" s="669"/>
      <c r="U1070" s="669"/>
      <c r="V1070" s="665"/>
      <c r="W1070" s="670"/>
      <c r="X1070" s="670"/>
      <c r="Y1070" s="671"/>
      <c r="Z1070" s="671"/>
      <c r="AA1070" s="672"/>
      <c r="AB1070" s="673"/>
      <c r="AC1070" s="673"/>
      <c r="AD1070" s="673"/>
      <c r="AE1070" s="673"/>
      <c r="AF1070" s="673"/>
      <c r="AG1070" s="673"/>
      <c r="AH1070" s="673"/>
      <c r="AI1070" s="673"/>
      <c r="AJ1070" s="673"/>
      <c r="AK1070" s="673"/>
      <c r="AL1070" s="673"/>
      <c r="AM1070" s="673"/>
      <c r="AN1070" s="673"/>
      <c r="AO1070" s="673"/>
      <c r="AP1070" s="673"/>
      <c r="AQ1070" s="673"/>
      <c r="AR1070" s="673"/>
      <c r="AS1070" s="673"/>
    </row>
    <row r="1071">
      <c r="A1071" s="653"/>
      <c r="B1071" s="654"/>
      <c r="C1071" s="655"/>
      <c r="D1071" s="656"/>
      <c r="E1071" s="657"/>
      <c r="F1071" s="658"/>
      <c r="G1071" s="659"/>
      <c r="H1071" s="660"/>
      <c r="I1071" s="659"/>
      <c r="J1071" s="661"/>
      <c r="K1071" s="658"/>
      <c r="L1071" s="662"/>
      <c r="M1071" s="663"/>
      <c r="N1071" s="664"/>
      <c r="O1071" s="665"/>
      <c r="P1071" s="666"/>
      <c r="Q1071" s="667"/>
      <c r="R1071" s="668"/>
      <c r="S1071" s="665"/>
      <c r="T1071" s="669"/>
      <c r="U1071" s="669"/>
      <c r="V1071" s="665"/>
      <c r="W1071" s="670"/>
      <c r="X1071" s="670"/>
      <c r="Y1071" s="671"/>
      <c r="Z1071" s="671"/>
      <c r="AA1071" s="672"/>
      <c r="AB1071" s="673"/>
      <c r="AC1071" s="673"/>
      <c r="AD1071" s="673"/>
      <c r="AE1071" s="673"/>
      <c r="AF1071" s="673"/>
      <c r="AG1071" s="673"/>
      <c r="AH1071" s="673"/>
      <c r="AI1071" s="673"/>
      <c r="AJ1071" s="673"/>
      <c r="AK1071" s="673"/>
      <c r="AL1071" s="673"/>
      <c r="AM1071" s="673"/>
      <c r="AN1071" s="673"/>
      <c r="AO1071" s="673"/>
      <c r="AP1071" s="673"/>
      <c r="AQ1071" s="673"/>
      <c r="AR1071" s="673"/>
      <c r="AS1071" s="673"/>
    </row>
    <row r="1072">
      <c r="A1072" s="653"/>
      <c r="B1072" s="654"/>
      <c r="C1072" s="655"/>
      <c r="D1072" s="656"/>
      <c r="E1072" s="657"/>
      <c r="F1072" s="658"/>
      <c r="G1072" s="659"/>
      <c r="H1072" s="660"/>
      <c r="I1072" s="659"/>
      <c r="J1072" s="661"/>
      <c r="K1072" s="658"/>
      <c r="L1072" s="662"/>
      <c r="M1072" s="663"/>
      <c r="N1072" s="664"/>
      <c r="O1072" s="665"/>
      <c r="P1072" s="666"/>
      <c r="Q1072" s="667"/>
      <c r="R1072" s="668"/>
      <c r="S1072" s="665"/>
      <c r="T1072" s="669"/>
      <c r="U1072" s="669"/>
      <c r="V1072" s="665"/>
      <c r="W1072" s="670"/>
      <c r="X1072" s="670"/>
      <c r="Y1072" s="671"/>
      <c r="Z1072" s="671"/>
      <c r="AA1072" s="672"/>
      <c r="AB1072" s="673"/>
      <c r="AC1072" s="673"/>
      <c r="AD1072" s="673"/>
      <c r="AE1072" s="673"/>
      <c r="AF1072" s="673"/>
      <c r="AG1072" s="673"/>
      <c r="AH1072" s="673"/>
      <c r="AI1072" s="673"/>
      <c r="AJ1072" s="673"/>
      <c r="AK1072" s="673"/>
      <c r="AL1072" s="673"/>
      <c r="AM1072" s="673"/>
      <c r="AN1072" s="673"/>
      <c r="AO1072" s="673"/>
      <c r="AP1072" s="673"/>
      <c r="AQ1072" s="673"/>
      <c r="AR1072" s="673"/>
      <c r="AS1072" s="673"/>
    </row>
    <row r="1073">
      <c r="A1073" s="653"/>
      <c r="B1073" s="654"/>
      <c r="C1073" s="655"/>
      <c r="D1073" s="656"/>
      <c r="E1073" s="657"/>
      <c r="F1073" s="658"/>
      <c r="G1073" s="659"/>
      <c r="H1073" s="660"/>
      <c r="I1073" s="659"/>
      <c r="J1073" s="661"/>
      <c r="K1073" s="658"/>
      <c r="L1073" s="662"/>
      <c r="M1073" s="663"/>
      <c r="N1073" s="664"/>
      <c r="O1073" s="665"/>
      <c r="P1073" s="666"/>
      <c r="Q1073" s="667"/>
      <c r="R1073" s="668"/>
      <c r="S1073" s="665"/>
      <c r="T1073" s="669"/>
      <c r="U1073" s="669"/>
      <c r="V1073" s="665"/>
      <c r="W1073" s="670"/>
      <c r="X1073" s="670"/>
      <c r="Y1073" s="671"/>
      <c r="Z1073" s="671"/>
      <c r="AA1073" s="672"/>
      <c r="AB1073" s="673"/>
      <c r="AC1073" s="673"/>
      <c r="AD1073" s="673"/>
      <c r="AE1073" s="673"/>
      <c r="AF1073" s="673"/>
      <c r="AG1073" s="673"/>
      <c r="AH1073" s="673"/>
      <c r="AI1073" s="673"/>
      <c r="AJ1073" s="673"/>
      <c r="AK1073" s="673"/>
      <c r="AL1073" s="673"/>
      <c r="AM1073" s="673"/>
      <c r="AN1073" s="673"/>
      <c r="AO1073" s="673"/>
      <c r="AP1073" s="673"/>
      <c r="AQ1073" s="673"/>
      <c r="AR1073" s="673"/>
      <c r="AS1073" s="673"/>
    </row>
    <row r="1074">
      <c r="A1074" s="653"/>
      <c r="B1074" s="654"/>
      <c r="C1074" s="655"/>
      <c r="D1074" s="656"/>
      <c r="E1074" s="657"/>
      <c r="F1074" s="658"/>
      <c r="G1074" s="659"/>
      <c r="H1074" s="660"/>
      <c r="I1074" s="659"/>
      <c r="J1074" s="661"/>
      <c r="K1074" s="658"/>
      <c r="L1074" s="662"/>
      <c r="M1074" s="663"/>
      <c r="N1074" s="664"/>
      <c r="O1074" s="665"/>
      <c r="P1074" s="666"/>
      <c r="Q1074" s="667"/>
      <c r="R1074" s="668"/>
      <c r="S1074" s="665"/>
      <c r="T1074" s="669"/>
      <c r="U1074" s="669"/>
      <c r="V1074" s="665"/>
      <c r="W1074" s="670"/>
      <c r="X1074" s="670"/>
      <c r="Y1074" s="671"/>
      <c r="Z1074" s="671"/>
      <c r="AA1074" s="672"/>
      <c r="AB1074" s="673"/>
      <c r="AC1074" s="673"/>
      <c r="AD1074" s="673"/>
      <c r="AE1074" s="673"/>
      <c r="AF1074" s="673"/>
      <c r="AG1074" s="673"/>
      <c r="AH1074" s="673"/>
      <c r="AI1074" s="673"/>
      <c r="AJ1074" s="673"/>
      <c r="AK1074" s="673"/>
      <c r="AL1074" s="673"/>
      <c r="AM1074" s="673"/>
      <c r="AN1074" s="673"/>
      <c r="AO1074" s="673"/>
      <c r="AP1074" s="673"/>
      <c r="AQ1074" s="673"/>
      <c r="AR1074" s="673"/>
      <c r="AS1074" s="673"/>
    </row>
    <row r="1075">
      <c r="A1075" s="653"/>
      <c r="B1075" s="654"/>
      <c r="C1075" s="655"/>
      <c r="D1075" s="656"/>
      <c r="E1075" s="657"/>
      <c r="F1075" s="658"/>
      <c r="G1075" s="659"/>
      <c r="H1075" s="660"/>
      <c r="I1075" s="659"/>
      <c r="J1075" s="661"/>
      <c r="K1075" s="658"/>
      <c r="L1075" s="662"/>
      <c r="M1075" s="663"/>
      <c r="N1075" s="664"/>
      <c r="O1075" s="665"/>
      <c r="P1075" s="666"/>
      <c r="Q1075" s="667"/>
      <c r="R1075" s="668"/>
      <c r="S1075" s="665"/>
      <c r="T1075" s="669"/>
      <c r="U1075" s="669"/>
      <c r="V1075" s="665"/>
      <c r="W1075" s="670"/>
      <c r="X1075" s="670"/>
      <c r="Y1075" s="671"/>
      <c r="Z1075" s="671"/>
      <c r="AA1075" s="672"/>
      <c r="AB1075" s="673"/>
      <c r="AC1075" s="673"/>
      <c r="AD1075" s="673"/>
      <c r="AE1075" s="673"/>
      <c r="AF1075" s="673"/>
      <c r="AG1075" s="673"/>
      <c r="AH1075" s="673"/>
      <c r="AI1075" s="673"/>
      <c r="AJ1075" s="673"/>
      <c r="AK1075" s="673"/>
      <c r="AL1075" s="673"/>
      <c r="AM1075" s="673"/>
      <c r="AN1075" s="673"/>
      <c r="AO1075" s="673"/>
      <c r="AP1075" s="673"/>
      <c r="AQ1075" s="673"/>
      <c r="AR1075" s="673"/>
      <c r="AS1075" s="673"/>
    </row>
    <row r="1076">
      <c r="A1076" s="653"/>
      <c r="B1076" s="654"/>
      <c r="C1076" s="655"/>
      <c r="D1076" s="656"/>
      <c r="E1076" s="657"/>
      <c r="F1076" s="658"/>
      <c r="G1076" s="659"/>
      <c r="H1076" s="660"/>
      <c r="I1076" s="659"/>
      <c r="J1076" s="661"/>
      <c r="K1076" s="658"/>
      <c r="L1076" s="662"/>
      <c r="M1076" s="663"/>
      <c r="N1076" s="664"/>
      <c r="O1076" s="665"/>
      <c r="P1076" s="666"/>
      <c r="Q1076" s="667"/>
      <c r="R1076" s="668"/>
      <c r="S1076" s="665"/>
      <c r="T1076" s="669"/>
      <c r="U1076" s="669"/>
      <c r="V1076" s="665"/>
      <c r="W1076" s="670"/>
      <c r="X1076" s="670"/>
      <c r="Y1076" s="671"/>
      <c r="Z1076" s="671"/>
      <c r="AA1076" s="672"/>
      <c r="AB1076" s="673"/>
      <c r="AC1076" s="673"/>
      <c r="AD1076" s="673"/>
      <c r="AE1076" s="673"/>
      <c r="AF1076" s="673"/>
      <c r="AG1076" s="673"/>
      <c r="AH1076" s="673"/>
      <c r="AI1076" s="673"/>
      <c r="AJ1076" s="673"/>
      <c r="AK1076" s="673"/>
      <c r="AL1076" s="673"/>
      <c r="AM1076" s="673"/>
      <c r="AN1076" s="673"/>
      <c r="AO1076" s="673"/>
      <c r="AP1076" s="673"/>
      <c r="AQ1076" s="673"/>
      <c r="AR1076" s="673"/>
      <c r="AS1076" s="673"/>
    </row>
    <row r="1077">
      <c r="A1077" s="653"/>
      <c r="B1077" s="654"/>
      <c r="C1077" s="655"/>
      <c r="D1077" s="656"/>
      <c r="E1077" s="657"/>
      <c r="F1077" s="658"/>
      <c r="G1077" s="659"/>
      <c r="H1077" s="660"/>
      <c r="I1077" s="659"/>
      <c r="J1077" s="661"/>
      <c r="K1077" s="658"/>
      <c r="L1077" s="662"/>
      <c r="M1077" s="663"/>
      <c r="N1077" s="664"/>
      <c r="O1077" s="665"/>
      <c r="P1077" s="666"/>
      <c r="Q1077" s="667"/>
      <c r="R1077" s="668"/>
      <c r="S1077" s="665"/>
      <c r="T1077" s="669"/>
      <c r="U1077" s="669"/>
      <c r="V1077" s="665"/>
      <c r="W1077" s="670"/>
      <c r="X1077" s="670"/>
      <c r="Y1077" s="671"/>
      <c r="Z1077" s="671"/>
      <c r="AA1077" s="672"/>
      <c r="AB1077" s="673"/>
      <c r="AC1077" s="673"/>
      <c r="AD1077" s="673"/>
      <c r="AE1077" s="673"/>
      <c r="AF1077" s="673"/>
      <c r="AG1077" s="673"/>
      <c r="AH1077" s="673"/>
      <c r="AI1077" s="673"/>
      <c r="AJ1077" s="673"/>
      <c r="AK1077" s="673"/>
      <c r="AL1077" s="673"/>
      <c r="AM1077" s="673"/>
      <c r="AN1077" s="673"/>
      <c r="AO1077" s="673"/>
      <c r="AP1077" s="673"/>
      <c r="AQ1077" s="673"/>
      <c r="AR1077" s="673"/>
      <c r="AS1077" s="673"/>
    </row>
    <row r="1078">
      <c r="A1078" s="653"/>
      <c r="B1078" s="654"/>
      <c r="C1078" s="655"/>
      <c r="D1078" s="656"/>
      <c r="E1078" s="657"/>
      <c r="F1078" s="658"/>
      <c r="G1078" s="659"/>
      <c r="H1078" s="660"/>
      <c r="I1078" s="659"/>
      <c r="J1078" s="661"/>
      <c r="K1078" s="658"/>
      <c r="L1078" s="662"/>
      <c r="M1078" s="663"/>
      <c r="N1078" s="664"/>
      <c r="O1078" s="665"/>
      <c r="P1078" s="666"/>
      <c r="Q1078" s="667"/>
      <c r="R1078" s="668"/>
      <c r="S1078" s="665"/>
      <c r="T1078" s="669"/>
      <c r="U1078" s="669"/>
      <c r="V1078" s="665"/>
      <c r="W1078" s="670"/>
      <c r="X1078" s="670"/>
      <c r="Y1078" s="671"/>
      <c r="Z1078" s="671"/>
      <c r="AA1078" s="672"/>
      <c r="AB1078" s="673"/>
      <c r="AC1078" s="673"/>
      <c r="AD1078" s="673"/>
      <c r="AE1078" s="673"/>
      <c r="AF1078" s="673"/>
      <c r="AG1078" s="673"/>
      <c r="AH1078" s="673"/>
      <c r="AI1078" s="673"/>
      <c r="AJ1078" s="673"/>
      <c r="AK1078" s="673"/>
      <c r="AL1078" s="673"/>
      <c r="AM1078" s="673"/>
      <c r="AN1078" s="673"/>
      <c r="AO1078" s="673"/>
      <c r="AP1078" s="673"/>
      <c r="AQ1078" s="673"/>
      <c r="AR1078" s="673"/>
      <c r="AS1078" s="673"/>
    </row>
    <row r="1079">
      <c r="A1079" s="653"/>
      <c r="B1079" s="654"/>
      <c r="C1079" s="655"/>
      <c r="D1079" s="656"/>
      <c r="E1079" s="657"/>
      <c r="F1079" s="658"/>
      <c r="G1079" s="659"/>
      <c r="H1079" s="660"/>
      <c r="I1079" s="659"/>
      <c r="J1079" s="661"/>
      <c r="K1079" s="658"/>
      <c r="L1079" s="662"/>
      <c r="M1079" s="663"/>
      <c r="N1079" s="664"/>
      <c r="O1079" s="665"/>
      <c r="P1079" s="666"/>
      <c r="Q1079" s="667"/>
      <c r="R1079" s="668"/>
      <c r="S1079" s="665"/>
      <c r="T1079" s="669"/>
      <c r="U1079" s="669"/>
      <c r="V1079" s="665"/>
      <c r="W1079" s="670"/>
      <c r="X1079" s="670"/>
      <c r="Y1079" s="671"/>
      <c r="Z1079" s="671"/>
      <c r="AA1079" s="672"/>
      <c r="AB1079" s="673"/>
      <c r="AC1079" s="673"/>
      <c r="AD1079" s="673"/>
      <c r="AE1079" s="673"/>
      <c r="AF1079" s="673"/>
      <c r="AG1079" s="673"/>
      <c r="AH1079" s="673"/>
      <c r="AI1079" s="673"/>
      <c r="AJ1079" s="673"/>
      <c r="AK1079" s="673"/>
      <c r="AL1079" s="673"/>
      <c r="AM1079" s="673"/>
      <c r="AN1079" s="673"/>
      <c r="AO1079" s="673"/>
      <c r="AP1079" s="673"/>
      <c r="AQ1079" s="673"/>
      <c r="AR1079" s="673"/>
      <c r="AS1079" s="673"/>
    </row>
    <row r="1080">
      <c r="A1080" s="653"/>
      <c r="B1080" s="654"/>
      <c r="C1080" s="655"/>
      <c r="D1080" s="656"/>
      <c r="E1080" s="657"/>
      <c r="F1080" s="658"/>
      <c r="G1080" s="659"/>
      <c r="H1080" s="660"/>
      <c r="I1080" s="659"/>
      <c r="J1080" s="661"/>
      <c r="K1080" s="658"/>
      <c r="L1080" s="662"/>
      <c r="M1080" s="663"/>
      <c r="N1080" s="664"/>
      <c r="O1080" s="665"/>
      <c r="P1080" s="666"/>
      <c r="Q1080" s="667"/>
      <c r="R1080" s="668"/>
      <c r="S1080" s="665"/>
      <c r="T1080" s="669"/>
      <c r="U1080" s="669"/>
      <c r="V1080" s="665"/>
      <c r="W1080" s="670"/>
      <c r="X1080" s="670"/>
      <c r="Y1080" s="671"/>
      <c r="Z1080" s="671"/>
      <c r="AA1080" s="672"/>
      <c r="AB1080" s="673"/>
      <c r="AC1080" s="673"/>
      <c r="AD1080" s="673"/>
      <c r="AE1080" s="673"/>
      <c r="AF1080" s="673"/>
      <c r="AG1080" s="673"/>
      <c r="AH1080" s="673"/>
      <c r="AI1080" s="673"/>
      <c r="AJ1080" s="673"/>
      <c r="AK1080" s="673"/>
      <c r="AL1080" s="673"/>
      <c r="AM1080" s="673"/>
      <c r="AN1080" s="673"/>
      <c r="AO1080" s="673"/>
      <c r="AP1080" s="673"/>
      <c r="AQ1080" s="673"/>
      <c r="AR1080" s="673"/>
      <c r="AS1080" s="673"/>
    </row>
    <row r="1081">
      <c r="A1081" s="653"/>
      <c r="B1081" s="654"/>
      <c r="C1081" s="655"/>
      <c r="D1081" s="656"/>
      <c r="E1081" s="657"/>
      <c r="F1081" s="658"/>
      <c r="G1081" s="659"/>
      <c r="H1081" s="660"/>
      <c r="I1081" s="659"/>
      <c r="J1081" s="661"/>
      <c r="K1081" s="658"/>
      <c r="L1081" s="662"/>
      <c r="M1081" s="663"/>
      <c r="N1081" s="664"/>
      <c r="O1081" s="665"/>
      <c r="P1081" s="666"/>
      <c r="Q1081" s="667"/>
      <c r="R1081" s="668"/>
      <c r="S1081" s="665"/>
      <c r="T1081" s="669"/>
      <c r="U1081" s="669"/>
      <c r="V1081" s="665"/>
      <c r="W1081" s="670"/>
      <c r="X1081" s="670"/>
      <c r="Y1081" s="671"/>
      <c r="Z1081" s="671"/>
      <c r="AA1081" s="672"/>
      <c r="AB1081" s="673"/>
      <c r="AC1081" s="673"/>
      <c r="AD1081" s="673"/>
      <c r="AE1081" s="673"/>
      <c r="AF1081" s="673"/>
      <c r="AG1081" s="673"/>
      <c r="AH1081" s="673"/>
      <c r="AI1081" s="673"/>
      <c r="AJ1081" s="673"/>
      <c r="AK1081" s="673"/>
      <c r="AL1081" s="673"/>
      <c r="AM1081" s="673"/>
      <c r="AN1081" s="673"/>
      <c r="AO1081" s="673"/>
      <c r="AP1081" s="673"/>
      <c r="AQ1081" s="673"/>
      <c r="AR1081" s="673"/>
      <c r="AS1081" s="673"/>
    </row>
    <row r="1082">
      <c r="A1082" s="653"/>
      <c r="B1082" s="654"/>
      <c r="C1082" s="655"/>
      <c r="D1082" s="656"/>
      <c r="E1082" s="657"/>
      <c r="F1082" s="658"/>
      <c r="G1082" s="659"/>
      <c r="H1082" s="660"/>
      <c r="I1082" s="659"/>
      <c r="J1082" s="661"/>
      <c r="K1082" s="658"/>
      <c r="L1082" s="662"/>
      <c r="M1082" s="663"/>
      <c r="N1082" s="664"/>
      <c r="O1082" s="665"/>
      <c r="P1082" s="666"/>
      <c r="Q1082" s="667"/>
      <c r="R1082" s="668"/>
      <c r="S1082" s="665"/>
      <c r="T1082" s="669"/>
      <c r="U1082" s="669"/>
      <c r="V1082" s="665"/>
      <c r="W1082" s="670"/>
      <c r="X1082" s="670"/>
      <c r="Y1082" s="671"/>
      <c r="Z1082" s="671"/>
      <c r="AA1082" s="672"/>
      <c r="AB1082" s="673"/>
      <c r="AC1082" s="673"/>
      <c r="AD1082" s="673"/>
      <c r="AE1082" s="673"/>
      <c r="AF1082" s="673"/>
      <c r="AG1082" s="673"/>
      <c r="AH1082" s="673"/>
      <c r="AI1082" s="673"/>
      <c r="AJ1082" s="673"/>
      <c r="AK1082" s="673"/>
      <c r="AL1082" s="673"/>
      <c r="AM1082" s="673"/>
      <c r="AN1082" s="673"/>
      <c r="AO1082" s="673"/>
      <c r="AP1082" s="673"/>
      <c r="AQ1082" s="673"/>
      <c r="AR1082" s="673"/>
      <c r="AS1082" s="673"/>
    </row>
    <row r="1083">
      <c r="A1083" s="653"/>
      <c r="B1083" s="654"/>
      <c r="C1083" s="655"/>
      <c r="D1083" s="656"/>
      <c r="E1083" s="657"/>
      <c r="F1083" s="658"/>
      <c r="G1083" s="659"/>
      <c r="H1083" s="660"/>
      <c r="I1083" s="659"/>
      <c r="J1083" s="661"/>
      <c r="K1083" s="658"/>
      <c r="L1083" s="662"/>
      <c r="M1083" s="663"/>
      <c r="N1083" s="664"/>
      <c r="O1083" s="665"/>
      <c r="P1083" s="666"/>
      <c r="Q1083" s="667"/>
      <c r="R1083" s="668"/>
      <c r="S1083" s="665"/>
      <c r="T1083" s="669"/>
      <c r="U1083" s="669"/>
      <c r="V1083" s="665"/>
      <c r="W1083" s="670"/>
      <c r="X1083" s="670"/>
      <c r="Y1083" s="671"/>
      <c r="Z1083" s="671"/>
      <c r="AA1083" s="672"/>
      <c r="AB1083" s="673"/>
      <c r="AC1083" s="673"/>
      <c r="AD1083" s="673"/>
      <c r="AE1083" s="673"/>
      <c r="AF1083" s="673"/>
      <c r="AG1083" s="673"/>
      <c r="AH1083" s="673"/>
      <c r="AI1083" s="673"/>
      <c r="AJ1083" s="673"/>
      <c r="AK1083" s="673"/>
      <c r="AL1083" s="673"/>
      <c r="AM1083" s="673"/>
      <c r="AN1083" s="673"/>
      <c r="AO1083" s="673"/>
      <c r="AP1083" s="673"/>
      <c r="AQ1083" s="673"/>
      <c r="AR1083" s="673"/>
      <c r="AS1083" s="673"/>
    </row>
    <row r="1084">
      <c r="A1084" s="653"/>
      <c r="B1084" s="654"/>
      <c r="C1084" s="655"/>
      <c r="D1084" s="656"/>
      <c r="E1084" s="657"/>
      <c r="F1084" s="658"/>
      <c r="G1084" s="659"/>
      <c r="H1084" s="660"/>
      <c r="I1084" s="659"/>
      <c r="J1084" s="661"/>
      <c r="K1084" s="658"/>
      <c r="L1084" s="662"/>
      <c r="M1084" s="663"/>
      <c r="N1084" s="664"/>
      <c r="O1084" s="665"/>
      <c r="P1084" s="666"/>
      <c r="Q1084" s="667"/>
      <c r="R1084" s="668"/>
      <c r="S1084" s="665"/>
      <c r="T1084" s="669"/>
      <c r="U1084" s="669"/>
      <c r="V1084" s="665"/>
      <c r="W1084" s="670"/>
      <c r="X1084" s="670"/>
      <c r="Y1084" s="671"/>
      <c r="Z1084" s="671"/>
      <c r="AA1084" s="672"/>
      <c r="AB1084" s="673"/>
      <c r="AC1084" s="673"/>
      <c r="AD1084" s="673"/>
      <c r="AE1084" s="673"/>
      <c r="AF1084" s="673"/>
      <c r="AG1084" s="673"/>
      <c r="AH1084" s="673"/>
      <c r="AI1084" s="673"/>
      <c r="AJ1084" s="673"/>
      <c r="AK1084" s="673"/>
      <c r="AL1084" s="673"/>
      <c r="AM1084" s="673"/>
      <c r="AN1084" s="673"/>
      <c r="AO1084" s="673"/>
      <c r="AP1084" s="673"/>
      <c r="AQ1084" s="673"/>
      <c r="AR1084" s="673"/>
      <c r="AS1084" s="673"/>
    </row>
    <row r="1085">
      <c r="A1085" s="653"/>
      <c r="B1085" s="654"/>
      <c r="C1085" s="655"/>
      <c r="D1085" s="656"/>
      <c r="E1085" s="657"/>
      <c r="F1085" s="658"/>
      <c r="G1085" s="659"/>
      <c r="H1085" s="660"/>
      <c r="I1085" s="659"/>
      <c r="J1085" s="661"/>
      <c r="K1085" s="658"/>
      <c r="L1085" s="662"/>
      <c r="M1085" s="663"/>
      <c r="N1085" s="664"/>
      <c r="O1085" s="665"/>
      <c r="P1085" s="666"/>
      <c r="Q1085" s="667"/>
      <c r="R1085" s="668"/>
      <c r="S1085" s="665"/>
      <c r="T1085" s="669"/>
      <c r="U1085" s="669"/>
      <c r="V1085" s="665"/>
      <c r="W1085" s="670"/>
      <c r="X1085" s="670"/>
      <c r="Y1085" s="671"/>
      <c r="Z1085" s="671"/>
      <c r="AA1085" s="672"/>
      <c r="AB1085" s="673"/>
      <c r="AC1085" s="673"/>
      <c r="AD1085" s="673"/>
      <c r="AE1085" s="673"/>
      <c r="AF1085" s="673"/>
      <c r="AG1085" s="673"/>
      <c r="AH1085" s="673"/>
      <c r="AI1085" s="673"/>
      <c r="AJ1085" s="673"/>
      <c r="AK1085" s="673"/>
      <c r="AL1085" s="673"/>
      <c r="AM1085" s="673"/>
      <c r="AN1085" s="673"/>
      <c r="AO1085" s="673"/>
      <c r="AP1085" s="673"/>
      <c r="AQ1085" s="673"/>
      <c r="AR1085" s="673"/>
      <c r="AS1085" s="673"/>
    </row>
    <row r="1086">
      <c r="A1086" s="653"/>
      <c r="B1086" s="654"/>
      <c r="C1086" s="655"/>
      <c r="D1086" s="656"/>
      <c r="E1086" s="657"/>
      <c r="F1086" s="658"/>
      <c r="G1086" s="659"/>
      <c r="H1086" s="660"/>
      <c r="I1086" s="659"/>
      <c r="J1086" s="661"/>
      <c r="K1086" s="658"/>
      <c r="L1086" s="662"/>
      <c r="M1086" s="663"/>
      <c r="N1086" s="664"/>
      <c r="O1086" s="665"/>
      <c r="P1086" s="666"/>
      <c r="Q1086" s="667"/>
      <c r="R1086" s="668"/>
      <c r="S1086" s="665"/>
      <c r="T1086" s="669"/>
      <c r="U1086" s="669"/>
      <c r="V1086" s="665"/>
      <c r="W1086" s="670"/>
      <c r="X1086" s="670"/>
      <c r="Y1086" s="671"/>
      <c r="Z1086" s="671"/>
      <c r="AA1086" s="672"/>
      <c r="AB1086" s="673"/>
      <c r="AC1086" s="673"/>
      <c r="AD1086" s="673"/>
      <c r="AE1086" s="673"/>
      <c r="AF1086" s="673"/>
      <c r="AG1086" s="673"/>
      <c r="AH1086" s="673"/>
      <c r="AI1086" s="673"/>
      <c r="AJ1086" s="673"/>
      <c r="AK1086" s="673"/>
      <c r="AL1086" s="673"/>
      <c r="AM1086" s="673"/>
      <c r="AN1086" s="673"/>
      <c r="AO1086" s="673"/>
      <c r="AP1086" s="673"/>
      <c r="AQ1086" s="673"/>
      <c r="AR1086" s="673"/>
      <c r="AS1086" s="673"/>
    </row>
    <row r="1087">
      <c r="A1087" s="653"/>
      <c r="B1087" s="654"/>
      <c r="C1087" s="655"/>
      <c r="D1087" s="656"/>
      <c r="E1087" s="657"/>
      <c r="F1087" s="658"/>
      <c r="G1087" s="659"/>
      <c r="H1087" s="660"/>
      <c r="I1087" s="659"/>
      <c r="J1087" s="661"/>
      <c r="K1087" s="658"/>
      <c r="L1087" s="662"/>
      <c r="M1087" s="663"/>
      <c r="N1087" s="664"/>
      <c r="O1087" s="665"/>
      <c r="P1087" s="666"/>
      <c r="Q1087" s="667"/>
      <c r="R1087" s="668"/>
      <c r="S1087" s="665"/>
      <c r="T1087" s="669"/>
      <c r="U1087" s="669"/>
      <c r="V1087" s="665"/>
      <c r="W1087" s="670"/>
      <c r="X1087" s="670"/>
      <c r="Y1087" s="671"/>
      <c r="Z1087" s="671"/>
      <c r="AA1087" s="672"/>
      <c r="AB1087" s="673"/>
      <c r="AC1087" s="673"/>
      <c r="AD1087" s="673"/>
      <c r="AE1087" s="673"/>
      <c r="AF1087" s="673"/>
      <c r="AG1087" s="673"/>
      <c r="AH1087" s="673"/>
      <c r="AI1087" s="673"/>
      <c r="AJ1087" s="673"/>
      <c r="AK1087" s="673"/>
      <c r="AL1087" s="673"/>
      <c r="AM1087" s="673"/>
      <c r="AN1087" s="673"/>
      <c r="AO1087" s="673"/>
      <c r="AP1087" s="673"/>
      <c r="AQ1087" s="673"/>
      <c r="AR1087" s="673"/>
      <c r="AS1087" s="673"/>
    </row>
    <row r="1088">
      <c r="A1088" s="653"/>
      <c r="B1088" s="654"/>
      <c r="C1088" s="655"/>
      <c r="D1088" s="656"/>
      <c r="E1088" s="657"/>
      <c r="F1088" s="658"/>
      <c r="G1088" s="659"/>
      <c r="H1088" s="660"/>
      <c r="I1088" s="659"/>
      <c r="J1088" s="661"/>
      <c r="K1088" s="658"/>
      <c r="L1088" s="662"/>
      <c r="M1088" s="663"/>
      <c r="N1088" s="664"/>
      <c r="O1088" s="665"/>
      <c r="P1088" s="666"/>
      <c r="Q1088" s="667"/>
      <c r="R1088" s="668"/>
      <c r="S1088" s="665"/>
      <c r="T1088" s="669"/>
      <c r="U1088" s="669"/>
      <c r="V1088" s="665"/>
      <c r="W1088" s="670"/>
      <c r="X1088" s="670"/>
      <c r="Y1088" s="671"/>
      <c r="Z1088" s="671"/>
      <c r="AA1088" s="672"/>
      <c r="AB1088" s="673"/>
      <c r="AC1088" s="673"/>
      <c r="AD1088" s="673"/>
      <c r="AE1088" s="673"/>
      <c r="AF1088" s="673"/>
      <c r="AG1088" s="673"/>
      <c r="AH1088" s="673"/>
      <c r="AI1088" s="673"/>
      <c r="AJ1088" s="673"/>
      <c r="AK1088" s="673"/>
      <c r="AL1088" s="673"/>
      <c r="AM1088" s="673"/>
      <c r="AN1088" s="673"/>
      <c r="AO1088" s="673"/>
      <c r="AP1088" s="673"/>
      <c r="AQ1088" s="673"/>
      <c r="AR1088" s="673"/>
      <c r="AS1088" s="673"/>
    </row>
    <row r="1089">
      <c r="A1089" s="653"/>
      <c r="B1089" s="654"/>
      <c r="C1089" s="655"/>
      <c r="D1089" s="656"/>
      <c r="E1089" s="657"/>
      <c r="F1089" s="658"/>
      <c r="G1089" s="659"/>
      <c r="H1089" s="660"/>
      <c r="I1089" s="659"/>
      <c r="J1089" s="661"/>
      <c r="K1089" s="658"/>
      <c r="L1089" s="662"/>
      <c r="M1089" s="663"/>
      <c r="N1089" s="664"/>
      <c r="O1089" s="665"/>
      <c r="P1089" s="666"/>
      <c r="Q1089" s="667"/>
      <c r="R1089" s="668"/>
      <c r="S1089" s="665"/>
      <c r="T1089" s="669"/>
      <c r="U1089" s="669"/>
      <c r="V1089" s="665"/>
      <c r="W1089" s="670"/>
      <c r="X1089" s="670"/>
      <c r="Y1089" s="671"/>
      <c r="Z1089" s="671"/>
      <c r="AA1089" s="672"/>
      <c r="AB1089" s="673"/>
      <c r="AC1089" s="673"/>
      <c r="AD1089" s="673"/>
      <c r="AE1089" s="673"/>
      <c r="AF1089" s="673"/>
      <c r="AG1089" s="673"/>
      <c r="AH1089" s="673"/>
      <c r="AI1089" s="673"/>
      <c r="AJ1089" s="673"/>
      <c r="AK1089" s="673"/>
      <c r="AL1089" s="673"/>
      <c r="AM1089" s="673"/>
      <c r="AN1089" s="673"/>
      <c r="AO1089" s="673"/>
      <c r="AP1089" s="673"/>
      <c r="AQ1089" s="673"/>
      <c r="AR1089" s="673"/>
      <c r="AS1089" s="673"/>
    </row>
    <row r="1090">
      <c r="A1090" s="653"/>
      <c r="B1090" s="654"/>
      <c r="C1090" s="655"/>
      <c r="D1090" s="656"/>
      <c r="E1090" s="657"/>
      <c r="F1090" s="658"/>
      <c r="G1090" s="659"/>
      <c r="H1090" s="660"/>
      <c r="I1090" s="659"/>
      <c r="J1090" s="661"/>
      <c r="K1090" s="658"/>
      <c r="L1090" s="662"/>
      <c r="M1090" s="663"/>
      <c r="N1090" s="664"/>
      <c r="O1090" s="665"/>
      <c r="P1090" s="666"/>
      <c r="Q1090" s="667"/>
      <c r="R1090" s="668"/>
      <c r="S1090" s="665"/>
      <c r="T1090" s="669"/>
      <c r="U1090" s="669"/>
      <c r="V1090" s="665"/>
      <c r="W1090" s="670"/>
      <c r="X1090" s="670"/>
      <c r="Y1090" s="671"/>
      <c r="Z1090" s="671"/>
      <c r="AA1090" s="672"/>
      <c r="AB1090" s="673"/>
      <c r="AC1090" s="673"/>
      <c r="AD1090" s="673"/>
      <c r="AE1090" s="673"/>
      <c r="AF1090" s="673"/>
      <c r="AG1090" s="673"/>
      <c r="AH1090" s="673"/>
      <c r="AI1090" s="673"/>
      <c r="AJ1090" s="673"/>
      <c r="AK1090" s="673"/>
      <c r="AL1090" s="673"/>
      <c r="AM1090" s="673"/>
      <c r="AN1090" s="673"/>
      <c r="AO1090" s="673"/>
      <c r="AP1090" s="673"/>
      <c r="AQ1090" s="673"/>
      <c r="AR1090" s="673"/>
      <c r="AS1090" s="673"/>
    </row>
    <row r="1091">
      <c r="A1091" s="653"/>
      <c r="B1091" s="654"/>
      <c r="C1091" s="655"/>
      <c r="D1091" s="656"/>
      <c r="E1091" s="657"/>
      <c r="F1091" s="658"/>
      <c r="G1091" s="659"/>
      <c r="H1091" s="660"/>
      <c r="I1091" s="659"/>
      <c r="J1091" s="661"/>
      <c r="K1091" s="658"/>
      <c r="L1091" s="662"/>
      <c r="M1091" s="663"/>
      <c r="N1091" s="664"/>
      <c r="O1091" s="665"/>
      <c r="P1091" s="666"/>
      <c r="Q1091" s="667"/>
      <c r="R1091" s="668"/>
      <c r="S1091" s="665"/>
      <c r="T1091" s="669"/>
      <c r="U1091" s="669"/>
      <c r="V1091" s="665"/>
      <c r="W1091" s="670"/>
      <c r="X1091" s="670"/>
      <c r="Y1091" s="671"/>
      <c r="Z1091" s="671"/>
      <c r="AA1091" s="672"/>
      <c r="AB1091" s="673"/>
      <c r="AC1091" s="673"/>
      <c r="AD1091" s="673"/>
      <c r="AE1091" s="673"/>
      <c r="AF1091" s="673"/>
      <c r="AG1091" s="673"/>
      <c r="AH1091" s="673"/>
      <c r="AI1091" s="673"/>
      <c r="AJ1091" s="673"/>
      <c r="AK1091" s="673"/>
      <c r="AL1091" s="673"/>
      <c r="AM1091" s="673"/>
      <c r="AN1091" s="673"/>
      <c r="AO1091" s="673"/>
      <c r="AP1091" s="673"/>
      <c r="AQ1091" s="673"/>
      <c r="AR1091" s="673"/>
      <c r="AS1091" s="673"/>
    </row>
    <row r="1092">
      <c r="A1092" s="653"/>
      <c r="B1092" s="654"/>
      <c r="C1092" s="655"/>
      <c r="D1092" s="656"/>
      <c r="E1092" s="657"/>
      <c r="F1092" s="658"/>
      <c r="G1092" s="659"/>
      <c r="H1092" s="660"/>
      <c r="I1092" s="659"/>
      <c r="J1092" s="661"/>
      <c r="K1092" s="658"/>
      <c r="L1092" s="662"/>
      <c r="M1092" s="663"/>
      <c r="N1092" s="664"/>
      <c r="O1092" s="665"/>
      <c r="P1092" s="666"/>
      <c r="Q1092" s="667"/>
      <c r="R1092" s="668"/>
      <c r="S1092" s="665"/>
      <c r="T1092" s="669"/>
      <c r="U1092" s="669"/>
      <c r="V1092" s="665"/>
      <c r="W1092" s="670"/>
      <c r="X1092" s="670"/>
      <c r="Y1092" s="671"/>
      <c r="Z1092" s="671"/>
      <c r="AA1092" s="672"/>
      <c r="AB1092" s="673"/>
      <c r="AC1092" s="673"/>
      <c r="AD1092" s="673"/>
      <c r="AE1092" s="673"/>
      <c r="AF1092" s="673"/>
      <c r="AG1092" s="673"/>
      <c r="AH1092" s="673"/>
      <c r="AI1092" s="673"/>
      <c r="AJ1092" s="673"/>
      <c r="AK1092" s="673"/>
      <c r="AL1092" s="673"/>
      <c r="AM1092" s="673"/>
      <c r="AN1092" s="673"/>
      <c r="AO1092" s="673"/>
      <c r="AP1092" s="673"/>
      <c r="AQ1092" s="673"/>
      <c r="AR1092" s="673"/>
      <c r="AS1092" s="673"/>
    </row>
    <row r="1093">
      <c r="A1093" s="653"/>
      <c r="B1093" s="654"/>
      <c r="C1093" s="655"/>
      <c r="D1093" s="656"/>
      <c r="E1093" s="657"/>
      <c r="F1093" s="658"/>
      <c r="G1093" s="659"/>
      <c r="H1093" s="660"/>
      <c r="I1093" s="659"/>
      <c r="J1093" s="661"/>
      <c r="K1093" s="658"/>
      <c r="L1093" s="662"/>
      <c r="M1093" s="663"/>
      <c r="N1093" s="664"/>
      <c r="O1093" s="665"/>
      <c r="P1093" s="666"/>
      <c r="Q1093" s="667"/>
      <c r="R1093" s="668"/>
      <c r="S1093" s="665"/>
      <c r="T1093" s="669"/>
      <c r="U1093" s="669"/>
      <c r="V1093" s="665"/>
      <c r="W1093" s="670"/>
      <c r="X1093" s="670"/>
      <c r="Y1093" s="671"/>
      <c r="Z1093" s="671"/>
      <c r="AA1093" s="672"/>
      <c r="AB1093" s="673"/>
      <c r="AC1093" s="673"/>
      <c r="AD1093" s="673"/>
      <c r="AE1093" s="673"/>
      <c r="AF1093" s="673"/>
      <c r="AG1093" s="673"/>
      <c r="AH1093" s="673"/>
      <c r="AI1093" s="673"/>
      <c r="AJ1093" s="673"/>
      <c r="AK1093" s="673"/>
      <c r="AL1093" s="673"/>
      <c r="AM1093" s="673"/>
      <c r="AN1093" s="673"/>
      <c r="AO1093" s="673"/>
      <c r="AP1093" s="673"/>
      <c r="AQ1093" s="673"/>
      <c r="AR1093" s="673"/>
      <c r="AS1093" s="673"/>
    </row>
    <row r="1094">
      <c r="A1094" s="653"/>
      <c r="B1094" s="654"/>
      <c r="C1094" s="655"/>
      <c r="D1094" s="656"/>
      <c r="E1094" s="657"/>
      <c r="F1094" s="658"/>
      <c r="G1094" s="659"/>
      <c r="H1094" s="660"/>
      <c r="I1094" s="659"/>
      <c r="J1094" s="661"/>
      <c r="K1094" s="658"/>
      <c r="L1094" s="662"/>
      <c r="M1094" s="663"/>
      <c r="N1094" s="664"/>
      <c r="O1094" s="665"/>
      <c r="P1094" s="666"/>
      <c r="Q1094" s="667"/>
      <c r="R1094" s="668"/>
      <c r="S1094" s="665"/>
      <c r="T1094" s="669"/>
      <c r="U1094" s="669"/>
      <c r="V1094" s="665"/>
      <c r="W1094" s="670"/>
      <c r="X1094" s="670"/>
      <c r="Y1094" s="671"/>
      <c r="Z1094" s="671"/>
      <c r="AA1094" s="672"/>
      <c r="AB1094" s="673"/>
      <c r="AC1094" s="673"/>
      <c r="AD1094" s="673"/>
      <c r="AE1094" s="673"/>
      <c r="AF1094" s="673"/>
      <c r="AG1094" s="673"/>
      <c r="AH1094" s="673"/>
      <c r="AI1094" s="673"/>
      <c r="AJ1094" s="673"/>
      <c r="AK1094" s="673"/>
      <c r="AL1094" s="673"/>
      <c r="AM1094" s="673"/>
      <c r="AN1094" s="673"/>
      <c r="AO1094" s="673"/>
      <c r="AP1094" s="673"/>
      <c r="AQ1094" s="673"/>
      <c r="AR1094" s="673"/>
      <c r="AS1094" s="673"/>
    </row>
    <row r="1095">
      <c r="A1095" s="653"/>
      <c r="B1095" s="654"/>
      <c r="C1095" s="655"/>
      <c r="D1095" s="656"/>
      <c r="E1095" s="657"/>
      <c r="F1095" s="658"/>
      <c r="G1095" s="659"/>
      <c r="H1095" s="660"/>
      <c r="I1095" s="659"/>
      <c r="J1095" s="661"/>
      <c r="K1095" s="658"/>
      <c r="L1095" s="662"/>
      <c r="M1095" s="663"/>
      <c r="N1095" s="664"/>
      <c r="O1095" s="665"/>
      <c r="P1095" s="666"/>
      <c r="Q1095" s="667"/>
      <c r="R1095" s="668"/>
      <c r="S1095" s="665"/>
      <c r="T1095" s="669"/>
      <c r="U1095" s="669"/>
      <c r="V1095" s="665"/>
      <c r="W1095" s="670"/>
      <c r="X1095" s="670"/>
      <c r="Y1095" s="671"/>
      <c r="Z1095" s="671"/>
      <c r="AA1095" s="672"/>
      <c r="AB1095" s="673"/>
      <c r="AC1095" s="673"/>
      <c r="AD1095" s="673"/>
      <c r="AE1095" s="673"/>
      <c r="AF1095" s="673"/>
      <c r="AG1095" s="673"/>
      <c r="AH1095" s="673"/>
      <c r="AI1095" s="673"/>
      <c r="AJ1095" s="673"/>
      <c r="AK1095" s="673"/>
      <c r="AL1095" s="673"/>
      <c r="AM1095" s="673"/>
      <c r="AN1095" s="673"/>
      <c r="AO1095" s="673"/>
      <c r="AP1095" s="673"/>
      <c r="AQ1095" s="673"/>
      <c r="AR1095" s="673"/>
      <c r="AS1095" s="673"/>
    </row>
    <row r="1096">
      <c r="A1096" s="653"/>
      <c r="B1096" s="654"/>
      <c r="C1096" s="655"/>
      <c r="D1096" s="656"/>
      <c r="E1096" s="657"/>
      <c r="F1096" s="658"/>
      <c r="G1096" s="659"/>
      <c r="H1096" s="660"/>
      <c r="I1096" s="659"/>
      <c r="J1096" s="661"/>
      <c r="K1096" s="658"/>
      <c r="L1096" s="662"/>
      <c r="M1096" s="663"/>
      <c r="N1096" s="664"/>
      <c r="O1096" s="665"/>
      <c r="P1096" s="666"/>
      <c r="Q1096" s="667"/>
      <c r="R1096" s="668"/>
      <c r="S1096" s="665"/>
      <c r="T1096" s="669"/>
      <c r="U1096" s="669"/>
      <c r="V1096" s="665"/>
      <c r="W1096" s="670"/>
      <c r="X1096" s="670"/>
      <c r="Y1096" s="671"/>
      <c r="Z1096" s="671"/>
      <c r="AA1096" s="672"/>
      <c r="AB1096" s="673"/>
      <c r="AC1096" s="673"/>
      <c r="AD1096" s="673"/>
      <c r="AE1096" s="673"/>
      <c r="AF1096" s="673"/>
      <c r="AG1096" s="673"/>
      <c r="AH1096" s="673"/>
      <c r="AI1096" s="673"/>
      <c r="AJ1096" s="673"/>
      <c r="AK1096" s="673"/>
      <c r="AL1096" s="673"/>
      <c r="AM1096" s="673"/>
      <c r="AN1096" s="673"/>
      <c r="AO1096" s="673"/>
      <c r="AP1096" s="673"/>
      <c r="AQ1096" s="673"/>
      <c r="AR1096" s="673"/>
      <c r="AS1096" s="673"/>
    </row>
    <row r="1097">
      <c r="A1097" s="653"/>
      <c r="B1097" s="654"/>
      <c r="C1097" s="655"/>
      <c r="D1097" s="656"/>
      <c r="E1097" s="657"/>
      <c r="F1097" s="658"/>
      <c r="G1097" s="659"/>
      <c r="H1097" s="660"/>
      <c r="I1097" s="659"/>
      <c r="J1097" s="661"/>
      <c r="K1097" s="658"/>
      <c r="L1097" s="662"/>
      <c r="M1097" s="663"/>
      <c r="N1097" s="664"/>
      <c r="O1097" s="665"/>
      <c r="P1097" s="666"/>
      <c r="Q1097" s="667"/>
      <c r="R1097" s="668"/>
      <c r="S1097" s="665"/>
      <c r="T1097" s="669"/>
      <c r="U1097" s="669"/>
      <c r="V1097" s="665"/>
      <c r="W1097" s="670"/>
      <c r="X1097" s="670"/>
      <c r="Y1097" s="671"/>
      <c r="Z1097" s="671"/>
      <c r="AA1097" s="672"/>
      <c r="AB1097" s="673"/>
      <c r="AC1097" s="673"/>
      <c r="AD1097" s="673"/>
      <c r="AE1097" s="673"/>
      <c r="AF1097" s="673"/>
      <c r="AG1097" s="673"/>
      <c r="AH1097" s="673"/>
      <c r="AI1097" s="673"/>
      <c r="AJ1097" s="673"/>
      <c r="AK1097" s="673"/>
      <c r="AL1097" s="673"/>
      <c r="AM1097" s="673"/>
      <c r="AN1097" s="673"/>
      <c r="AO1097" s="673"/>
      <c r="AP1097" s="673"/>
      <c r="AQ1097" s="673"/>
      <c r="AR1097" s="673"/>
      <c r="AS1097" s="673"/>
    </row>
    <row r="1098">
      <c r="A1098" s="653"/>
      <c r="B1098" s="654"/>
      <c r="C1098" s="655"/>
      <c r="D1098" s="656"/>
      <c r="E1098" s="657"/>
      <c r="F1098" s="658"/>
      <c r="G1098" s="659"/>
      <c r="H1098" s="660"/>
      <c r="I1098" s="659"/>
      <c r="J1098" s="661"/>
      <c r="K1098" s="658"/>
      <c r="L1098" s="662"/>
      <c r="M1098" s="663"/>
      <c r="N1098" s="664"/>
      <c r="O1098" s="665"/>
      <c r="P1098" s="666"/>
      <c r="Q1098" s="667"/>
      <c r="R1098" s="668"/>
      <c r="S1098" s="665"/>
      <c r="T1098" s="669"/>
      <c r="U1098" s="669"/>
      <c r="V1098" s="665"/>
      <c r="W1098" s="670"/>
      <c r="X1098" s="670"/>
      <c r="Y1098" s="671"/>
      <c r="Z1098" s="671"/>
      <c r="AA1098" s="672"/>
      <c r="AB1098" s="673"/>
      <c r="AC1098" s="673"/>
      <c r="AD1098" s="673"/>
      <c r="AE1098" s="673"/>
      <c r="AF1098" s="673"/>
      <c r="AG1098" s="673"/>
      <c r="AH1098" s="673"/>
      <c r="AI1098" s="673"/>
      <c r="AJ1098" s="673"/>
      <c r="AK1098" s="673"/>
      <c r="AL1098" s="673"/>
      <c r="AM1098" s="673"/>
      <c r="AN1098" s="673"/>
      <c r="AO1098" s="673"/>
      <c r="AP1098" s="673"/>
      <c r="AQ1098" s="673"/>
      <c r="AR1098" s="673"/>
      <c r="AS1098" s="673"/>
    </row>
    <row r="1099">
      <c r="A1099" s="653"/>
      <c r="B1099" s="654"/>
      <c r="C1099" s="655"/>
      <c r="D1099" s="656"/>
      <c r="E1099" s="657"/>
      <c r="F1099" s="658"/>
      <c r="G1099" s="659"/>
      <c r="H1099" s="660"/>
      <c r="I1099" s="659"/>
      <c r="J1099" s="661"/>
      <c r="K1099" s="658"/>
      <c r="L1099" s="662"/>
      <c r="M1099" s="663"/>
      <c r="N1099" s="664"/>
      <c r="O1099" s="665"/>
      <c r="P1099" s="666"/>
      <c r="Q1099" s="667"/>
      <c r="R1099" s="668"/>
      <c r="S1099" s="665"/>
      <c r="T1099" s="669"/>
      <c r="U1099" s="669"/>
      <c r="V1099" s="665"/>
      <c r="W1099" s="670"/>
      <c r="X1099" s="670"/>
      <c r="Y1099" s="671"/>
      <c r="Z1099" s="671"/>
      <c r="AA1099" s="672"/>
      <c r="AB1099" s="673"/>
      <c r="AC1099" s="673"/>
      <c r="AD1099" s="673"/>
      <c r="AE1099" s="673"/>
      <c r="AF1099" s="673"/>
      <c r="AG1099" s="673"/>
      <c r="AH1099" s="673"/>
      <c r="AI1099" s="673"/>
      <c r="AJ1099" s="673"/>
      <c r="AK1099" s="673"/>
      <c r="AL1099" s="673"/>
      <c r="AM1099" s="673"/>
      <c r="AN1099" s="673"/>
      <c r="AO1099" s="673"/>
      <c r="AP1099" s="673"/>
      <c r="AQ1099" s="673"/>
      <c r="AR1099" s="673"/>
      <c r="AS1099" s="673"/>
    </row>
    <row r="1100">
      <c r="A1100" s="653"/>
      <c r="B1100" s="654"/>
      <c r="C1100" s="655"/>
      <c r="D1100" s="656"/>
      <c r="E1100" s="657"/>
      <c r="F1100" s="658"/>
      <c r="G1100" s="659"/>
      <c r="H1100" s="660"/>
      <c r="I1100" s="659"/>
      <c r="J1100" s="661"/>
      <c r="K1100" s="658"/>
      <c r="L1100" s="662"/>
      <c r="M1100" s="663"/>
      <c r="N1100" s="664"/>
      <c r="O1100" s="665"/>
      <c r="P1100" s="666"/>
      <c r="Q1100" s="667"/>
      <c r="R1100" s="668"/>
      <c r="S1100" s="665"/>
      <c r="T1100" s="669"/>
      <c r="U1100" s="669"/>
      <c r="V1100" s="665"/>
      <c r="W1100" s="670"/>
      <c r="X1100" s="670"/>
      <c r="Y1100" s="671"/>
      <c r="Z1100" s="671"/>
      <c r="AA1100" s="672"/>
      <c r="AB1100" s="673"/>
      <c r="AC1100" s="673"/>
      <c r="AD1100" s="673"/>
      <c r="AE1100" s="673"/>
      <c r="AF1100" s="673"/>
      <c r="AG1100" s="673"/>
      <c r="AH1100" s="673"/>
      <c r="AI1100" s="673"/>
      <c r="AJ1100" s="673"/>
      <c r="AK1100" s="673"/>
      <c r="AL1100" s="673"/>
      <c r="AM1100" s="673"/>
      <c r="AN1100" s="673"/>
      <c r="AO1100" s="673"/>
      <c r="AP1100" s="673"/>
      <c r="AQ1100" s="673"/>
      <c r="AR1100" s="673"/>
      <c r="AS1100" s="673"/>
    </row>
    <row r="1101">
      <c r="A1101" s="653"/>
      <c r="B1101" s="654"/>
      <c r="C1101" s="655"/>
      <c r="D1101" s="656"/>
      <c r="E1101" s="657"/>
      <c r="F1101" s="658"/>
      <c r="G1101" s="659"/>
      <c r="H1101" s="660"/>
      <c r="I1101" s="659"/>
      <c r="J1101" s="661"/>
      <c r="K1101" s="658"/>
      <c r="L1101" s="662"/>
      <c r="M1101" s="663"/>
      <c r="N1101" s="664"/>
      <c r="O1101" s="665"/>
      <c r="P1101" s="666"/>
      <c r="Q1101" s="667"/>
      <c r="R1101" s="668"/>
      <c r="S1101" s="665"/>
      <c r="T1101" s="669"/>
      <c r="U1101" s="669"/>
      <c r="V1101" s="665"/>
      <c r="W1101" s="670"/>
      <c r="X1101" s="670"/>
      <c r="Y1101" s="671"/>
      <c r="Z1101" s="671"/>
      <c r="AA1101" s="672"/>
      <c r="AB1101" s="673"/>
      <c r="AC1101" s="673"/>
      <c r="AD1101" s="673"/>
      <c r="AE1101" s="673"/>
      <c r="AF1101" s="673"/>
      <c r="AG1101" s="673"/>
      <c r="AH1101" s="673"/>
      <c r="AI1101" s="673"/>
      <c r="AJ1101" s="673"/>
      <c r="AK1101" s="673"/>
      <c r="AL1101" s="673"/>
      <c r="AM1101" s="673"/>
      <c r="AN1101" s="673"/>
      <c r="AO1101" s="673"/>
      <c r="AP1101" s="673"/>
      <c r="AQ1101" s="673"/>
      <c r="AR1101" s="673"/>
      <c r="AS1101" s="673"/>
    </row>
    <row r="1102">
      <c r="A1102" s="653"/>
      <c r="B1102" s="654"/>
      <c r="C1102" s="655"/>
      <c r="D1102" s="656"/>
      <c r="E1102" s="657"/>
      <c r="F1102" s="658"/>
      <c r="G1102" s="659"/>
      <c r="H1102" s="660"/>
      <c r="I1102" s="659"/>
      <c r="J1102" s="661"/>
      <c r="K1102" s="658"/>
      <c r="L1102" s="662"/>
      <c r="M1102" s="663"/>
      <c r="N1102" s="664"/>
      <c r="O1102" s="665"/>
      <c r="P1102" s="666"/>
      <c r="Q1102" s="667"/>
      <c r="R1102" s="668"/>
      <c r="S1102" s="665"/>
      <c r="T1102" s="669"/>
      <c r="U1102" s="669"/>
      <c r="V1102" s="665"/>
      <c r="W1102" s="670"/>
      <c r="X1102" s="670"/>
      <c r="Y1102" s="671"/>
      <c r="Z1102" s="671"/>
      <c r="AA1102" s="672"/>
      <c r="AB1102" s="673"/>
      <c r="AC1102" s="673"/>
      <c r="AD1102" s="673"/>
      <c r="AE1102" s="673"/>
      <c r="AF1102" s="673"/>
      <c r="AG1102" s="673"/>
      <c r="AH1102" s="673"/>
      <c r="AI1102" s="673"/>
      <c r="AJ1102" s="673"/>
      <c r="AK1102" s="673"/>
      <c r="AL1102" s="673"/>
      <c r="AM1102" s="673"/>
      <c r="AN1102" s="673"/>
      <c r="AO1102" s="673"/>
      <c r="AP1102" s="673"/>
      <c r="AQ1102" s="673"/>
      <c r="AR1102" s="673"/>
      <c r="AS1102" s="673"/>
    </row>
    <row r="1103">
      <c r="A1103" s="653"/>
      <c r="B1103" s="654"/>
      <c r="C1103" s="655"/>
      <c r="D1103" s="656"/>
      <c r="E1103" s="657"/>
      <c r="F1103" s="658"/>
      <c r="G1103" s="659"/>
      <c r="H1103" s="660"/>
      <c r="I1103" s="659"/>
      <c r="J1103" s="661"/>
      <c r="K1103" s="658"/>
      <c r="L1103" s="662"/>
      <c r="M1103" s="663"/>
      <c r="N1103" s="664"/>
      <c r="O1103" s="665"/>
      <c r="P1103" s="666"/>
      <c r="Q1103" s="667"/>
      <c r="R1103" s="668"/>
      <c r="S1103" s="665"/>
      <c r="T1103" s="669"/>
      <c r="U1103" s="669"/>
      <c r="V1103" s="665"/>
      <c r="W1103" s="670"/>
      <c r="X1103" s="670"/>
      <c r="Y1103" s="671"/>
      <c r="Z1103" s="671"/>
      <c r="AA1103" s="672"/>
      <c r="AB1103" s="673"/>
      <c r="AC1103" s="673"/>
      <c r="AD1103" s="673"/>
      <c r="AE1103" s="673"/>
      <c r="AF1103" s="673"/>
      <c r="AG1103" s="673"/>
      <c r="AH1103" s="673"/>
      <c r="AI1103" s="673"/>
      <c r="AJ1103" s="673"/>
      <c r="AK1103" s="673"/>
      <c r="AL1103" s="673"/>
      <c r="AM1103" s="673"/>
      <c r="AN1103" s="673"/>
      <c r="AO1103" s="673"/>
      <c r="AP1103" s="673"/>
      <c r="AQ1103" s="673"/>
      <c r="AR1103" s="673"/>
      <c r="AS1103" s="673"/>
    </row>
    <row r="1104">
      <c r="A1104" s="653"/>
      <c r="B1104" s="654"/>
      <c r="C1104" s="655"/>
      <c r="D1104" s="656"/>
      <c r="E1104" s="657"/>
      <c r="F1104" s="658"/>
      <c r="G1104" s="659"/>
      <c r="H1104" s="660"/>
      <c r="I1104" s="659"/>
      <c r="J1104" s="661"/>
      <c r="K1104" s="658"/>
      <c r="L1104" s="662"/>
      <c r="M1104" s="663"/>
      <c r="N1104" s="664"/>
      <c r="O1104" s="665"/>
      <c r="P1104" s="666"/>
      <c r="Q1104" s="667"/>
      <c r="R1104" s="668"/>
      <c r="S1104" s="665"/>
      <c r="T1104" s="669"/>
      <c r="U1104" s="669"/>
      <c r="V1104" s="665"/>
      <c r="W1104" s="670"/>
      <c r="X1104" s="670"/>
      <c r="Y1104" s="671"/>
      <c r="Z1104" s="671"/>
      <c r="AA1104" s="672"/>
      <c r="AB1104" s="673"/>
      <c r="AC1104" s="673"/>
      <c r="AD1104" s="673"/>
      <c r="AE1104" s="673"/>
      <c r="AF1104" s="673"/>
      <c r="AG1104" s="673"/>
      <c r="AH1104" s="673"/>
      <c r="AI1104" s="673"/>
      <c r="AJ1104" s="673"/>
      <c r="AK1104" s="673"/>
      <c r="AL1104" s="673"/>
      <c r="AM1104" s="673"/>
      <c r="AN1104" s="673"/>
      <c r="AO1104" s="673"/>
      <c r="AP1104" s="673"/>
      <c r="AQ1104" s="673"/>
      <c r="AR1104" s="673"/>
      <c r="AS1104" s="673"/>
    </row>
    <row r="1105">
      <c r="A1105" s="653"/>
      <c r="B1105" s="654"/>
      <c r="C1105" s="655"/>
      <c r="D1105" s="656"/>
      <c r="E1105" s="657"/>
      <c r="F1105" s="658"/>
      <c r="G1105" s="659"/>
      <c r="H1105" s="660"/>
      <c r="I1105" s="659"/>
      <c r="J1105" s="661"/>
      <c r="K1105" s="658"/>
      <c r="L1105" s="662"/>
      <c r="M1105" s="663"/>
      <c r="N1105" s="664"/>
      <c r="O1105" s="665"/>
      <c r="P1105" s="666"/>
      <c r="Q1105" s="667"/>
      <c r="R1105" s="668"/>
      <c r="S1105" s="665"/>
      <c r="T1105" s="669"/>
      <c r="U1105" s="669"/>
      <c r="V1105" s="665"/>
      <c r="W1105" s="670"/>
      <c r="X1105" s="670"/>
      <c r="Y1105" s="671"/>
      <c r="Z1105" s="671"/>
      <c r="AA1105" s="672"/>
      <c r="AB1105" s="673"/>
      <c r="AC1105" s="673"/>
      <c r="AD1105" s="673"/>
      <c r="AE1105" s="673"/>
      <c r="AF1105" s="673"/>
      <c r="AG1105" s="673"/>
      <c r="AH1105" s="673"/>
      <c r="AI1105" s="673"/>
      <c r="AJ1105" s="673"/>
      <c r="AK1105" s="673"/>
      <c r="AL1105" s="673"/>
      <c r="AM1105" s="673"/>
      <c r="AN1105" s="673"/>
      <c r="AO1105" s="673"/>
      <c r="AP1105" s="673"/>
      <c r="AQ1105" s="673"/>
      <c r="AR1105" s="673"/>
      <c r="AS1105" s="673"/>
    </row>
    <row r="1106">
      <c r="A1106" s="653"/>
      <c r="B1106" s="654"/>
      <c r="C1106" s="655"/>
      <c r="D1106" s="656"/>
      <c r="E1106" s="657"/>
      <c r="F1106" s="658"/>
      <c r="G1106" s="659"/>
      <c r="H1106" s="660"/>
      <c r="I1106" s="659"/>
      <c r="J1106" s="661"/>
      <c r="K1106" s="658"/>
      <c r="L1106" s="662"/>
      <c r="M1106" s="663"/>
      <c r="N1106" s="664"/>
      <c r="O1106" s="665"/>
      <c r="P1106" s="666"/>
      <c r="Q1106" s="667"/>
      <c r="R1106" s="668"/>
      <c r="S1106" s="665"/>
      <c r="T1106" s="669"/>
      <c r="U1106" s="669"/>
      <c r="V1106" s="665"/>
      <c r="W1106" s="670"/>
      <c r="X1106" s="670"/>
      <c r="Y1106" s="671"/>
      <c r="Z1106" s="671"/>
      <c r="AA1106" s="672"/>
      <c r="AB1106" s="673"/>
      <c r="AC1106" s="673"/>
      <c r="AD1106" s="673"/>
      <c r="AE1106" s="673"/>
      <c r="AF1106" s="673"/>
      <c r="AG1106" s="673"/>
      <c r="AH1106" s="673"/>
      <c r="AI1106" s="673"/>
      <c r="AJ1106" s="673"/>
      <c r="AK1106" s="673"/>
      <c r="AL1106" s="673"/>
      <c r="AM1106" s="673"/>
      <c r="AN1106" s="673"/>
      <c r="AO1106" s="673"/>
      <c r="AP1106" s="673"/>
      <c r="AQ1106" s="673"/>
      <c r="AR1106" s="673"/>
      <c r="AS1106" s="673"/>
    </row>
    <row r="1107">
      <c r="A1107" s="653"/>
      <c r="B1107" s="654"/>
      <c r="C1107" s="655"/>
      <c r="D1107" s="656"/>
      <c r="E1107" s="657"/>
      <c r="F1107" s="658"/>
      <c r="G1107" s="659"/>
      <c r="H1107" s="660"/>
      <c r="I1107" s="659"/>
      <c r="J1107" s="661"/>
      <c r="K1107" s="658"/>
      <c r="L1107" s="662"/>
      <c r="M1107" s="663"/>
      <c r="N1107" s="664"/>
      <c r="O1107" s="665"/>
      <c r="P1107" s="666"/>
      <c r="Q1107" s="667"/>
      <c r="R1107" s="668"/>
      <c r="S1107" s="665"/>
      <c r="T1107" s="669"/>
      <c r="U1107" s="669"/>
      <c r="V1107" s="665"/>
      <c r="W1107" s="670"/>
      <c r="X1107" s="670"/>
      <c r="Y1107" s="671"/>
      <c r="Z1107" s="671"/>
      <c r="AA1107" s="672"/>
      <c r="AB1107" s="673"/>
      <c r="AC1107" s="673"/>
      <c r="AD1107" s="673"/>
      <c r="AE1107" s="673"/>
      <c r="AF1107" s="673"/>
      <c r="AG1107" s="673"/>
      <c r="AH1107" s="673"/>
      <c r="AI1107" s="673"/>
      <c r="AJ1107" s="673"/>
      <c r="AK1107" s="673"/>
      <c r="AL1107" s="673"/>
      <c r="AM1107" s="673"/>
      <c r="AN1107" s="673"/>
      <c r="AO1107" s="673"/>
      <c r="AP1107" s="673"/>
      <c r="AQ1107" s="673"/>
      <c r="AR1107" s="673"/>
      <c r="AS1107" s="673"/>
    </row>
    <row r="1108">
      <c r="A1108" s="653"/>
      <c r="B1108" s="654"/>
      <c r="C1108" s="655"/>
      <c r="D1108" s="656"/>
      <c r="E1108" s="657"/>
      <c r="F1108" s="658"/>
      <c r="G1108" s="659"/>
      <c r="H1108" s="660"/>
      <c r="I1108" s="659"/>
      <c r="J1108" s="661"/>
      <c r="K1108" s="658"/>
      <c r="L1108" s="662"/>
      <c r="M1108" s="663"/>
      <c r="N1108" s="664"/>
      <c r="O1108" s="665"/>
      <c r="P1108" s="666"/>
      <c r="Q1108" s="667"/>
      <c r="R1108" s="668"/>
      <c r="S1108" s="665"/>
      <c r="T1108" s="669"/>
      <c r="U1108" s="669"/>
      <c r="V1108" s="665"/>
      <c r="W1108" s="670"/>
      <c r="X1108" s="670"/>
      <c r="Y1108" s="671"/>
      <c r="Z1108" s="671"/>
      <c r="AA1108" s="672"/>
      <c r="AB1108" s="673"/>
      <c r="AC1108" s="673"/>
      <c r="AD1108" s="673"/>
      <c r="AE1108" s="673"/>
      <c r="AF1108" s="673"/>
      <c r="AG1108" s="673"/>
      <c r="AH1108" s="673"/>
      <c r="AI1108" s="673"/>
      <c r="AJ1108" s="673"/>
      <c r="AK1108" s="673"/>
      <c r="AL1108" s="673"/>
      <c r="AM1108" s="673"/>
      <c r="AN1108" s="673"/>
      <c r="AO1108" s="673"/>
      <c r="AP1108" s="673"/>
      <c r="AQ1108" s="673"/>
      <c r="AR1108" s="673"/>
      <c r="AS1108" s="673"/>
    </row>
    <row r="1109">
      <c r="A1109" s="653"/>
      <c r="B1109" s="654"/>
      <c r="C1109" s="655"/>
      <c r="D1109" s="656"/>
      <c r="E1109" s="657"/>
      <c r="F1109" s="658"/>
      <c r="G1109" s="659"/>
      <c r="H1109" s="660"/>
      <c r="I1109" s="659"/>
      <c r="J1109" s="661"/>
      <c r="K1109" s="658"/>
      <c r="L1109" s="662"/>
      <c r="M1109" s="663"/>
      <c r="N1109" s="664"/>
      <c r="O1109" s="665"/>
      <c r="P1109" s="666"/>
      <c r="Q1109" s="667"/>
      <c r="R1109" s="668"/>
      <c r="S1109" s="665"/>
      <c r="T1109" s="669"/>
      <c r="U1109" s="669"/>
      <c r="V1109" s="665"/>
      <c r="W1109" s="670"/>
      <c r="X1109" s="670"/>
      <c r="Y1109" s="671"/>
      <c r="Z1109" s="671"/>
      <c r="AA1109" s="672"/>
      <c r="AB1109" s="673"/>
      <c r="AC1109" s="673"/>
      <c r="AD1109" s="673"/>
      <c r="AE1109" s="673"/>
      <c r="AF1109" s="673"/>
      <c r="AG1109" s="673"/>
      <c r="AH1109" s="673"/>
      <c r="AI1109" s="673"/>
      <c r="AJ1109" s="673"/>
      <c r="AK1109" s="673"/>
      <c r="AL1109" s="673"/>
      <c r="AM1109" s="673"/>
      <c r="AN1109" s="673"/>
      <c r="AO1109" s="673"/>
      <c r="AP1109" s="673"/>
      <c r="AQ1109" s="673"/>
      <c r="AR1109" s="673"/>
      <c r="AS1109" s="673"/>
    </row>
    <row r="1110">
      <c r="A1110" s="653"/>
      <c r="B1110" s="654"/>
      <c r="C1110" s="655"/>
      <c r="D1110" s="656"/>
      <c r="E1110" s="657"/>
      <c r="F1110" s="658"/>
      <c r="G1110" s="659"/>
      <c r="H1110" s="660"/>
      <c r="I1110" s="659"/>
      <c r="J1110" s="661"/>
      <c r="K1110" s="658"/>
      <c r="L1110" s="662"/>
      <c r="M1110" s="663"/>
      <c r="N1110" s="664"/>
      <c r="O1110" s="665"/>
      <c r="P1110" s="666"/>
      <c r="Q1110" s="667"/>
      <c r="R1110" s="668"/>
      <c r="S1110" s="665"/>
      <c r="T1110" s="669"/>
      <c r="U1110" s="669"/>
      <c r="V1110" s="665"/>
      <c r="W1110" s="670"/>
      <c r="X1110" s="670"/>
      <c r="Y1110" s="671"/>
      <c r="Z1110" s="671"/>
      <c r="AA1110" s="672"/>
      <c r="AB1110" s="673"/>
      <c r="AC1110" s="673"/>
      <c r="AD1110" s="673"/>
      <c r="AE1110" s="673"/>
      <c r="AF1110" s="673"/>
      <c r="AG1110" s="673"/>
      <c r="AH1110" s="673"/>
      <c r="AI1110" s="673"/>
      <c r="AJ1110" s="673"/>
      <c r="AK1110" s="673"/>
      <c r="AL1110" s="673"/>
      <c r="AM1110" s="673"/>
      <c r="AN1110" s="673"/>
      <c r="AO1110" s="673"/>
      <c r="AP1110" s="673"/>
      <c r="AQ1110" s="673"/>
      <c r="AR1110" s="673"/>
      <c r="AS1110" s="673"/>
    </row>
    <row r="1111">
      <c r="A1111" s="653"/>
      <c r="B1111" s="654"/>
      <c r="C1111" s="655"/>
      <c r="D1111" s="656"/>
      <c r="E1111" s="657"/>
      <c r="F1111" s="658"/>
      <c r="G1111" s="659"/>
      <c r="H1111" s="660"/>
      <c r="I1111" s="659"/>
      <c r="J1111" s="661"/>
      <c r="K1111" s="658"/>
      <c r="L1111" s="662"/>
      <c r="M1111" s="663"/>
      <c r="N1111" s="664"/>
      <c r="O1111" s="665"/>
      <c r="P1111" s="666"/>
      <c r="Q1111" s="667"/>
      <c r="R1111" s="668"/>
      <c r="S1111" s="665"/>
      <c r="T1111" s="669"/>
      <c r="U1111" s="669"/>
      <c r="V1111" s="665"/>
      <c r="W1111" s="670"/>
      <c r="X1111" s="670"/>
      <c r="Y1111" s="671"/>
      <c r="Z1111" s="671"/>
      <c r="AA1111" s="672"/>
      <c r="AB1111" s="673"/>
      <c r="AC1111" s="673"/>
      <c r="AD1111" s="673"/>
      <c r="AE1111" s="673"/>
      <c r="AF1111" s="673"/>
      <c r="AG1111" s="673"/>
      <c r="AH1111" s="673"/>
      <c r="AI1111" s="673"/>
      <c r="AJ1111" s="673"/>
      <c r="AK1111" s="673"/>
      <c r="AL1111" s="673"/>
      <c r="AM1111" s="673"/>
      <c r="AN1111" s="673"/>
      <c r="AO1111" s="673"/>
      <c r="AP1111" s="673"/>
      <c r="AQ1111" s="673"/>
      <c r="AR1111" s="673"/>
      <c r="AS1111" s="673"/>
    </row>
    <row r="1112">
      <c r="A1112" s="653"/>
      <c r="B1112" s="654"/>
      <c r="C1112" s="655"/>
      <c r="D1112" s="656"/>
      <c r="E1112" s="657"/>
      <c r="F1112" s="658"/>
      <c r="G1112" s="659"/>
      <c r="H1112" s="660"/>
      <c r="I1112" s="659"/>
      <c r="J1112" s="661"/>
      <c r="K1112" s="658"/>
      <c r="L1112" s="662"/>
      <c r="M1112" s="663"/>
      <c r="N1112" s="664"/>
      <c r="O1112" s="665"/>
      <c r="P1112" s="666"/>
      <c r="Q1112" s="667"/>
      <c r="R1112" s="668"/>
      <c r="S1112" s="665"/>
      <c r="T1112" s="669"/>
      <c r="U1112" s="669"/>
      <c r="V1112" s="665"/>
      <c r="W1112" s="670"/>
      <c r="X1112" s="670"/>
      <c r="Y1112" s="671"/>
      <c r="Z1112" s="671"/>
      <c r="AA1112" s="672"/>
      <c r="AB1112" s="673"/>
      <c r="AC1112" s="673"/>
      <c r="AD1112" s="673"/>
      <c r="AE1112" s="673"/>
      <c r="AF1112" s="673"/>
      <c r="AG1112" s="673"/>
      <c r="AH1112" s="673"/>
      <c r="AI1112" s="673"/>
      <c r="AJ1112" s="673"/>
      <c r="AK1112" s="673"/>
      <c r="AL1112" s="673"/>
      <c r="AM1112" s="673"/>
      <c r="AN1112" s="673"/>
      <c r="AO1112" s="673"/>
      <c r="AP1112" s="673"/>
      <c r="AQ1112" s="673"/>
      <c r="AR1112" s="673"/>
      <c r="AS1112" s="673"/>
    </row>
    <row r="1113">
      <c r="A1113" s="653"/>
      <c r="B1113" s="654"/>
      <c r="C1113" s="655"/>
      <c r="D1113" s="656"/>
      <c r="E1113" s="657"/>
      <c r="F1113" s="658"/>
      <c r="G1113" s="659"/>
      <c r="H1113" s="660"/>
      <c r="I1113" s="659"/>
      <c r="J1113" s="661"/>
      <c r="K1113" s="658"/>
      <c r="L1113" s="662"/>
      <c r="M1113" s="663"/>
      <c r="N1113" s="664"/>
      <c r="O1113" s="665"/>
      <c r="P1113" s="666"/>
      <c r="Q1113" s="667"/>
      <c r="R1113" s="668"/>
      <c r="S1113" s="665"/>
      <c r="T1113" s="669"/>
      <c r="U1113" s="669"/>
      <c r="V1113" s="665"/>
      <c r="W1113" s="670"/>
      <c r="X1113" s="670"/>
      <c r="Y1113" s="671"/>
      <c r="Z1113" s="671"/>
      <c r="AA1113" s="672"/>
      <c r="AB1113" s="673"/>
      <c r="AC1113" s="673"/>
      <c r="AD1113" s="673"/>
      <c r="AE1113" s="673"/>
      <c r="AF1113" s="673"/>
      <c r="AG1113" s="673"/>
      <c r="AH1113" s="673"/>
      <c r="AI1113" s="673"/>
      <c r="AJ1113" s="673"/>
      <c r="AK1113" s="673"/>
      <c r="AL1113" s="673"/>
      <c r="AM1113" s="673"/>
      <c r="AN1113" s="673"/>
      <c r="AO1113" s="673"/>
      <c r="AP1113" s="673"/>
      <c r="AQ1113" s="673"/>
      <c r="AR1113" s="673"/>
      <c r="AS1113" s="673"/>
    </row>
    <row r="1114">
      <c r="A1114" s="653"/>
      <c r="B1114" s="654"/>
      <c r="C1114" s="655"/>
      <c r="D1114" s="656"/>
      <c r="E1114" s="657"/>
      <c r="F1114" s="658"/>
      <c r="G1114" s="659"/>
      <c r="H1114" s="660"/>
      <c r="I1114" s="659"/>
      <c r="J1114" s="661"/>
      <c r="K1114" s="658"/>
      <c r="L1114" s="662"/>
      <c r="M1114" s="663"/>
      <c r="N1114" s="664"/>
      <c r="O1114" s="665"/>
      <c r="P1114" s="666"/>
      <c r="Q1114" s="667"/>
      <c r="R1114" s="668"/>
      <c r="S1114" s="665"/>
      <c r="T1114" s="669"/>
      <c r="U1114" s="669"/>
      <c r="V1114" s="665"/>
      <c r="W1114" s="670"/>
      <c r="X1114" s="670"/>
      <c r="Y1114" s="671"/>
      <c r="Z1114" s="671"/>
      <c r="AA1114" s="672"/>
      <c r="AB1114" s="673"/>
      <c r="AC1114" s="673"/>
      <c r="AD1114" s="673"/>
      <c r="AE1114" s="673"/>
      <c r="AF1114" s="673"/>
      <c r="AG1114" s="673"/>
      <c r="AH1114" s="673"/>
      <c r="AI1114" s="673"/>
      <c r="AJ1114" s="673"/>
      <c r="AK1114" s="673"/>
      <c r="AL1114" s="673"/>
      <c r="AM1114" s="673"/>
      <c r="AN1114" s="673"/>
      <c r="AO1114" s="673"/>
      <c r="AP1114" s="673"/>
      <c r="AQ1114" s="673"/>
      <c r="AR1114" s="673"/>
      <c r="AS1114" s="673"/>
    </row>
    <row r="1115">
      <c r="A1115" s="653"/>
      <c r="B1115" s="654"/>
      <c r="C1115" s="655"/>
      <c r="D1115" s="656"/>
      <c r="E1115" s="657"/>
      <c r="F1115" s="658"/>
      <c r="G1115" s="659"/>
      <c r="H1115" s="660"/>
      <c r="I1115" s="659"/>
      <c r="J1115" s="661"/>
      <c r="K1115" s="658"/>
      <c r="L1115" s="662"/>
      <c r="M1115" s="663"/>
      <c r="N1115" s="664"/>
      <c r="O1115" s="665"/>
      <c r="P1115" s="666"/>
      <c r="Q1115" s="667"/>
      <c r="R1115" s="668"/>
      <c r="S1115" s="665"/>
      <c r="T1115" s="669"/>
      <c r="U1115" s="669"/>
      <c r="V1115" s="665"/>
      <c r="W1115" s="670"/>
      <c r="X1115" s="670"/>
      <c r="Y1115" s="671"/>
      <c r="Z1115" s="671"/>
      <c r="AA1115" s="672"/>
      <c r="AB1115" s="673"/>
      <c r="AC1115" s="673"/>
      <c r="AD1115" s="673"/>
      <c r="AE1115" s="673"/>
      <c r="AF1115" s="673"/>
      <c r="AG1115" s="673"/>
      <c r="AH1115" s="673"/>
      <c r="AI1115" s="673"/>
      <c r="AJ1115" s="673"/>
      <c r="AK1115" s="673"/>
      <c r="AL1115" s="673"/>
      <c r="AM1115" s="673"/>
      <c r="AN1115" s="673"/>
      <c r="AO1115" s="673"/>
      <c r="AP1115" s="673"/>
      <c r="AQ1115" s="673"/>
      <c r="AR1115" s="673"/>
      <c r="AS1115" s="673"/>
    </row>
    <row r="1116">
      <c r="A1116" s="653"/>
      <c r="B1116" s="654"/>
      <c r="C1116" s="655"/>
      <c r="D1116" s="656"/>
      <c r="E1116" s="657"/>
      <c r="F1116" s="658"/>
      <c r="G1116" s="659"/>
      <c r="H1116" s="660"/>
      <c r="I1116" s="659"/>
      <c r="J1116" s="661"/>
      <c r="K1116" s="658"/>
      <c r="L1116" s="662"/>
      <c r="M1116" s="663"/>
      <c r="N1116" s="664"/>
      <c r="O1116" s="665"/>
      <c r="P1116" s="666"/>
      <c r="Q1116" s="667"/>
      <c r="R1116" s="668"/>
      <c r="S1116" s="665"/>
      <c r="T1116" s="669"/>
      <c r="U1116" s="669"/>
      <c r="V1116" s="665"/>
      <c r="W1116" s="670"/>
      <c r="X1116" s="670"/>
      <c r="Y1116" s="671"/>
      <c r="Z1116" s="671"/>
      <c r="AA1116" s="672"/>
      <c r="AB1116" s="673"/>
      <c r="AC1116" s="673"/>
      <c r="AD1116" s="673"/>
      <c r="AE1116" s="673"/>
      <c r="AF1116" s="673"/>
      <c r="AG1116" s="673"/>
      <c r="AH1116" s="673"/>
      <c r="AI1116" s="673"/>
      <c r="AJ1116" s="673"/>
      <c r="AK1116" s="673"/>
      <c r="AL1116" s="673"/>
      <c r="AM1116" s="673"/>
      <c r="AN1116" s="673"/>
      <c r="AO1116" s="673"/>
      <c r="AP1116" s="673"/>
      <c r="AQ1116" s="673"/>
      <c r="AR1116" s="673"/>
      <c r="AS1116" s="673"/>
    </row>
    <row r="1117">
      <c r="A1117" s="653"/>
      <c r="B1117" s="654"/>
      <c r="C1117" s="655"/>
      <c r="D1117" s="656"/>
      <c r="E1117" s="657"/>
      <c r="F1117" s="658"/>
      <c r="G1117" s="659"/>
      <c r="H1117" s="660"/>
      <c r="I1117" s="659"/>
      <c r="J1117" s="661"/>
      <c r="K1117" s="658"/>
      <c r="L1117" s="662"/>
      <c r="M1117" s="663"/>
      <c r="N1117" s="664"/>
      <c r="O1117" s="665"/>
      <c r="P1117" s="666"/>
      <c r="Q1117" s="667"/>
      <c r="R1117" s="668"/>
      <c r="S1117" s="665"/>
      <c r="T1117" s="669"/>
      <c r="U1117" s="669"/>
      <c r="V1117" s="665"/>
      <c r="W1117" s="670"/>
      <c r="X1117" s="670"/>
      <c r="Y1117" s="671"/>
      <c r="Z1117" s="671"/>
      <c r="AA1117" s="672"/>
      <c r="AB1117" s="673"/>
      <c r="AC1117" s="673"/>
      <c r="AD1117" s="673"/>
      <c r="AE1117" s="673"/>
      <c r="AF1117" s="673"/>
      <c r="AG1117" s="673"/>
      <c r="AH1117" s="673"/>
      <c r="AI1117" s="673"/>
      <c r="AJ1117" s="673"/>
      <c r="AK1117" s="673"/>
      <c r="AL1117" s="673"/>
      <c r="AM1117" s="673"/>
      <c r="AN1117" s="673"/>
      <c r="AO1117" s="673"/>
      <c r="AP1117" s="673"/>
      <c r="AQ1117" s="673"/>
      <c r="AR1117" s="673"/>
      <c r="AS1117" s="673"/>
    </row>
    <row r="1118">
      <c r="A1118" s="653"/>
      <c r="B1118" s="654"/>
      <c r="C1118" s="655"/>
      <c r="D1118" s="656"/>
      <c r="E1118" s="657"/>
      <c r="F1118" s="658"/>
      <c r="G1118" s="659"/>
      <c r="H1118" s="660"/>
      <c r="I1118" s="659"/>
      <c r="J1118" s="661"/>
      <c r="K1118" s="658"/>
      <c r="L1118" s="662"/>
      <c r="M1118" s="663"/>
      <c r="N1118" s="664"/>
      <c r="O1118" s="665"/>
      <c r="P1118" s="666"/>
      <c r="Q1118" s="667"/>
      <c r="R1118" s="668"/>
      <c r="S1118" s="665"/>
      <c r="T1118" s="669"/>
      <c r="U1118" s="669"/>
      <c r="V1118" s="665"/>
      <c r="W1118" s="670"/>
      <c r="X1118" s="670"/>
      <c r="Y1118" s="671"/>
      <c r="Z1118" s="671"/>
      <c r="AA1118" s="672"/>
      <c r="AB1118" s="673"/>
      <c r="AC1118" s="673"/>
      <c r="AD1118" s="673"/>
      <c r="AE1118" s="673"/>
      <c r="AF1118" s="673"/>
      <c r="AG1118" s="673"/>
      <c r="AH1118" s="673"/>
      <c r="AI1118" s="673"/>
      <c r="AJ1118" s="673"/>
      <c r="AK1118" s="673"/>
      <c r="AL1118" s="673"/>
      <c r="AM1118" s="673"/>
      <c r="AN1118" s="673"/>
      <c r="AO1118" s="673"/>
      <c r="AP1118" s="673"/>
      <c r="AQ1118" s="673"/>
      <c r="AR1118" s="673"/>
      <c r="AS1118" s="673"/>
    </row>
    <row r="1119">
      <c r="A1119" s="653"/>
      <c r="B1119" s="654"/>
      <c r="C1119" s="655"/>
      <c r="D1119" s="656"/>
      <c r="E1119" s="657"/>
      <c r="F1119" s="658"/>
      <c r="G1119" s="659"/>
      <c r="H1119" s="660"/>
      <c r="I1119" s="659"/>
      <c r="J1119" s="661"/>
      <c r="K1119" s="658"/>
      <c r="L1119" s="662"/>
      <c r="M1119" s="663"/>
      <c r="N1119" s="664"/>
      <c r="O1119" s="665"/>
      <c r="P1119" s="666"/>
      <c r="Q1119" s="667"/>
      <c r="R1119" s="668"/>
      <c r="S1119" s="665"/>
      <c r="T1119" s="669"/>
      <c r="U1119" s="669"/>
      <c r="V1119" s="665"/>
      <c r="W1119" s="670"/>
      <c r="X1119" s="670"/>
      <c r="Y1119" s="671"/>
      <c r="Z1119" s="671"/>
      <c r="AA1119" s="672"/>
      <c r="AB1119" s="673"/>
      <c r="AC1119" s="673"/>
      <c r="AD1119" s="673"/>
      <c r="AE1119" s="673"/>
      <c r="AF1119" s="673"/>
      <c r="AG1119" s="673"/>
      <c r="AH1119" s="673"/>
      <c r="AI1119" s="673"/>
      <c r="AJ1119" s="673"/>
      <c r="AK1119" s="673"/>
      <c r="AL1119" s="673"/>
      <c r="AM1119" s="673"/>
      <c r="AN1119" s="673"/>
      <c r="AO1119" s="673"/>
      <c r="AP1119" s="673"/>
      <c r="AQ1119" s="673"/>
      <c r="AR1119" s="673"/>
      <c r="AS1119" s="673"/>
    </row>
    <row r="1120">
      <c r="A1120" s="653"/>
      <c r="B1120" s="654"/>
      <c r="C1120" s="655"/>
      <c r="D1120" s="656"/>
      <c r="E1120" s="657"/>
      <c r="F1120" s="658"/>
      <c r="G1120" s="659"/>
      <c r="H1120" s="660"/>
      <c r="I1120" s="659"/>
      <c r="J1120" s="661"/>
      <c r="K1120" s="658"/>
      <c r="L1120" s="662"/>
      <c r="M1120" s="663"/>
      <c r="N1120" s="664"/>
      <c r="O1120" s="665"/>
      <c r="P1120" s="666"/>
      <c r="Q1120" s="667"/>
      <c r="R1120" s="668"/>
      <c r="S1120" s="665"/>
      <c r="T1120" s="669"/>
      <c r="U1120" s="669"/>
      <c r="V1120" s="665"/>
      <c r="W1120" s="670"/>
      <c r="X1120" s="670"/>
      <c r="Y1120" s="671"/>
      <c r="Z1120" s="671"/>
      <c r="AA1120" s="672"/>
      <c r="AB1120" s="673"/>
      <c r="AC1120" s="673"/>
      <c r="AD1120" s="673"/>
      <c r="AE1120" s="673"/>
      <c r="AF1120" s="673"/>
      <c r="AG1120" s="673"/>
      <c r="AH1120" s="673"/>
      <c r="AI1120" s="673"/>
      <c r="AJ1120" s="673"/>
      <c r="AK1120" s="673"/>
      <c r="AL1120" s="673"/>
      <c r="AM1120" s="673"/>
      <c r="AN1120" s="673"/>
      <c r="AO1120" s="673"/>
      <c r="AP1120" s="673"/>
      <c r="AQ1120" s="673"/>
      <c r="AR1120" s="673"/>
      <c r="AS1120" s="673"/>
    </row>
    <row r="1121">
      <c r="A1121" s="653"/>
      <c r="B1121" s="654"/>
      <c r="C1121" s="655"/>
      <c r="D1121" s="656"/>
      <c r="E1121" s="657"/>
      <c r="F1121" s="658"/>
      <c r="G1121" s="659"/>
      <c r="H1121" s="660"/>
      <c r="I1121" s="659"/>
      <c r="J1121" s="661"/>
      <c r="K1121" s="658"/>
      <c r="L1121" s="662"/>
      <c r="M1121" s="663"/>
      <c r="N1121" s="664"/>
      <c r="O1121" s="665"/>
      <c r="P1121" s="666"/>
      <c r="Q1121" s="667"/>
      <c r="R1121" s="668"/>
      <c r="S1121" s="665"/>
      <c r="T1121" s="669"/>
      <c r="U1121" s="669"/>
      <c r="V1121" s="665"/>
      <c r="W1121" s="670"/>
      <c r="X1121" s="670"/>
      <c r="Y1121" s="671"/>
      <c r="Z1121" s="671"/>
      <c r="AA1121" s="672"/>
      <c r="AB1121" s="673"/>
      <c r="AC1121" s="673"/>
      <c r="AD1121" s="673"/>
      <c r="AE1121" s="673"/>
      <c r="AF1121" s="673"/>
      <c r="AG1121" s="673"/>
      <c r="AH1121" s="673"/>
      <c r="AI1121" s="673"/>
      <c r="AJ1121" s="673"/>
      <c r="AK1121" s="673"/>
      <c r="AL1121" s="673"/>
      <c r="AM1121" s="673"/>
      <c r="AN1121" s="673"/>
      <c r="AO1121" s="673"/>
      <c r="AP1121" s="673"/>
      <c r="AQ1121" s="673"/>
      <c r="AR1121" s="673"/>
      <c r="AS1121" s="673"/>
    </row>
    <row r="1122">
      <c r="A1122" s="653"/>
      <c r="B1122" s="654"/>
      <c r="C1122" s="655"/>
      <c r="D1122" s="656"/>
      <c r="E1122" s="657"/>
      <c r="F1122" s="658"/>
      <c r="G1122" s="659"/>
      <c r="H1122" s="660"/>
      <c r="I1122" s="659"/>
      <c r="J1122" s="661"/>
      <c r="K1122" s="658"/>
      <c r="L1122" s="662"/>
      <c r="M1122" s="663"/>
      <c r="N1122" s="664"/>
      <c r="O1122" s="665"/>
      <c r="P1122" s="666"/>
      <c r="Q1122" s="667"/>
      <c r="R1122" s="668"/>
      <c r="S1122" s="665"/>
      <c r="T1122" s="669"/>
      <c r="U1122" s="669"/>
      <c r="V1122" s="665"/>
      <c r="W1122" s="670"/>
      <c r="X1122" s="670"/>
      <c r="Y1122" s="671"/>
      <c r="Z1122" s="671"/>
      <c r="AA1122" s="672"/>
      <c r="AB1122" s="673"/>
      <c r="AC1122" s="673"/>
      <c r="AD1122" s="673"/>
      <c r="AE1122" s="673"/>
      <c r="AF1122" s="673"/>
      <c r="AG1122" s="673"/>
      <c r="AH1122" s="673"/>
      <c r="AI1122" s="673"/>
      <c r="AJ1122" s="673"/>
      <c r="AK1122" s="673"/>
      <c r="AL1122" s="673"/>
      <c r="AM1122" s="673"/>
      <c r="AN1122" s="673"/>
      <c r="AO1122" s="673"/>
      <c r="AP1122" s="673"/>
      <c r="AQ1122" s="673"/>
      <c r="AR1122" s="673"/>
      <c r="AS1122" s="673"/>
    </row>
    <row r="1123">
      <c r="A1123" s="653"/>
      <c r="B1123" s="654"/>
      <c r="C1123" s="655"/>
      <c r="D1123" s="656"/>
      <c r="E1123" s="657"/>
      <c r="F1123" s="658"/>
      <c r="G1123" s="659"/>
      <c r="H1123" s="660"/>
      <c r="I1123" s="659"/>
      <c r="J1123" s="661"/>
      <c r="K1123" s="658"/>
      <c r="L1123" s="662"/>
      <c r="M1123" s="663"/>
      <c r="N1123" s="664"/>
      <c r="O1123" s="665"/>
      <c r="P1123" s="666"/>
      <c r="Q1123" s="667"/>
      <c r="R1123" s="668"/>
      <c r="S1123" s="665"/>
      <c r="T1123" s="669"/>
      <c r="U1123" s="669"/>
      <c r="V1123" s="665"/>
      <c r="W1123" s="670"/>
      <c r="X1123" s="670"/>
      <c r="Y1123" s="671"/>
      <c r="Z1123" s="671"/>
      <c r="AA1123" s="672"/>
      <c r="AB1123" s="673"/>
      <c r="AC1123" s="673"/>
      <c r="AD1123" s="673"/>
      <c r="AE1123" s="673"/>
      <c r="AF1123" s="673"/>
      <c r="AG1123" s="673"/>
      <c r="AH1123" s="673"/>
      <c r="AI1123" s="673"/>
      <c r="AJ1123" s="673"/>
      <c r="AK1123" s="673"/>
      <c r="AL1123" s="673"/>
      <c r="AM1123" s="673"/>
      <c r="AN1123" s="673"/>
      <c r="AO1123" s="673"/>
      <c r="AP1123" s="673"/>
      <c r="AQ1123" s="673"/>
      <c r="AR1123" s="673"/>
      <c r="AS1123" s="673"/>
    </row>
    <row r="1124">
      <c r="A1124" s="653"/>
      <c r="B1124" s="654"/>
      <c r="C1124" s="655"/>
      <c r="D1124" s="656"/>
      <c r="E1124" s="657"/>
      <c r="F1124" s="658"/>
      <c r="G1124" s="659"/>
      <c r="H1124" s="660"/>
      <c r="I1124" s="659"/>
      <c r="J1124" s="661"/>
      <c r="K1124" s="658"/>
      <c r="L1124" s="662"/>
      <c r="M1124" s="663"/>
      <c r="N1124" s="664"/>
      <c r="O1124" s="665"/>
      <c r="P1124" s="666"/>
      <c r="Q1124" s="667"/>
      <c r="R1124" s="668"/>
      <c r="S1124" s="665"/>
      <c r="T1124" s="669"/>
      <c r="U1124" s="669"/>
      <c r="V1124" s="665"/>
      <c r="W1124" s="670"/>
      <c r="X1124" s="670"/>
      <c r="Y1124" s="671"/>
      <c r="Z1124" s="671"/>
      <c r="AA1124" s="672"/>
      <c r="AB1124" s="673"/>
      <c r="AC1124" s="673"/>
      <c r="AD1124" s="673"/>
      <c r="AE1124" s="673"/>
      <c r="AF1124" s="673"/>
      <c r="AG1124" s="673"/>
      <c r="AH1124" s="673"/>
      <c r="AI1124" s="673"/>
      <c r="AJ1124" s="673"/>
      <c r="AK1124" s="673"/>
      <c r="AL1124" s="673"/>
      <c r="AM1124" s="673"/>
      <c r="AN1124" s="673"/>
      <c r="AO1124" s="673"/>
      <c r="AP1124" s="673"/>
      <c r="AQ1124" s="673"/>
      <c r="AR1124" s="673"/>
      <c r="AS1124" s="673"/>
    </row>
    <row r="1125">
      <c r="A1125" s="653"/>
      <c r="B1125" s="654"/>
      <c r="C1125" s="655"/>
      <c r="D1125" s="656"/>
      <c r="E1125" s="657"/>
      <c r="F1125" s="658"/>
      <c r="G1125" s="659"/>
      <c r="H1125" s="660"/>
      <c r="I1125" s="659"/>
      <c r="J1125" s="661"/>
      <c r="K1125" s="658"/>
      <c r="L1125" s="662"/>
      <c r="M1125" s="663"/>
      <c r="N1125" s="664"/>
      <c r="O1125" s="665"/>
      <c r="P1125" s="666"/>
      <c r="Q1125" s="667"/>
      <c r="R1125" s="668"/>
      <c r="S1125" s="665"/>
      <c r="T1125" s="669"/>
      <c r="U1125" s="669"/>
      <c r="V1125" s="665"/>
      <c r="W1125" s="670"/>
      <c r="X1125" s="670"/>
      <c r="Y1125" s="671"/>
      <c r="Z1125" s="671"/>
      <c r="AA1125" s="672"/>
      <c r="AB1125" s="673"/>
      <c r="AC1125" s="673"/>
      <c r="AD1125" s="673"/>
      <c r="AE1125" s="673"/>
      <c r="AF1125" s="673"/>
      <c r="AG1125" s="673"/>
      <c r="AH1125" s="673"/>
      <c r="AI1125" s="673"/>
      <c r="AJ1125" s="673"/>
      <c r="AK1125" s="673"/>
      <c r="AL1125" s="673"/>
      <c r="AM1125" s="673"/>
      <c r="AN1125" s="673"/>
      <c r="AO1125" s="673"/>
      <c r="AP1125" s="673"/>
      <c r="AQ1125" s="673"/>
      <c r="AR1125" s="673"/>
      <c r="AS1125" s="673"/>
    </row>
    <row r="1126">
      <c r="A1126" s="653"/>
      <c r="B1126" s="654"/>
      <c r="C1126" s="655"/>
      <c r="D1126" s="656"/>
      <c r="E1126" s="657"/>
      <c r="F1126" s="658"/>
      <c r="G1126" s="659"/>
      <c r="H1126" s="660"/>
      <c r="I1126" s="659"/>
      <c r="J1126" s="661"/>
      <c r="K1126" s="658"/>
      <c r="L1126" s="662"/>
      <c r="M1126" s="663"/>
      <c r="N1126" s="664"/>
      <c r="O1126" s="665"/>
      <c r="P1126" s="666"/>
      <c r="Q1126" s="667"/>
      <c r="R1126" s="668"/>
      <c r="S1126" s="665"/>
      <c r="T1126" s="669"/>
      <c r="U1126" s="669"/>
      <c r="V1126" s="665"/>
      <c r="W1126" s="670"/>
      <c r="X1126" s="670"/>
      <c r="Y1126" s="671"/>
      <c r="Z1126" s="671"/>
      <c r="AA1126" s="672"/>
      <c r="AB1126" s="673"/>
      <c r="AC1126" s="673"/>
      <c r="AD1126" s="673"/>
      <c r="AE1126" s="673"/>
      <c r="AF1126" s="673"/>
      <c r="AG1126" s="673"/>
      <c r="AH1126" s="673"/>
      <c r="AI1126" s="673"/>
      <c r="AJ1126" s="673"/>
      <c r="AK1126" s="673"/>
      <c r="AL1126" s="673"/>
      <c r="AM1126" s="673"/>
      <c r="AN1126" s="673"/>
      <c r="AO1126" s="673"/>
      <c r="AP1126" s="673"/>
      <c r="AQ1126" s="673"/>
      <c r="AR1126" s="673"/>
      <c r="AS1126" s="673"/>
    </row>
    <row r="1127">
      <c r="A1127" s="653"/>
      <c r="B1127" s="654"/>
      <c r="C1127" s="655"/>
      <c r="D1127" s="656"/>
      <c r="E1127" s="657"/>
      <c r="F1127" s="658"/>
      <c r="G1127" s="659"/>
      <c r="H1127" s="660"/>
      <c r="I1127" s="659"/>
      <c r="J1127" s="661"/>
      <c r="K1127" s="658"/>
      <c r="L1127" s="662"/>
      <c r="M1127" s="663"/>
      <c r="N1127" s="664"/>
      <c r="O1127" s="665"/>
      <c r="P1127" s="666"/>
      <c r="Q1127" s="667"/>
      <c r="R1127" s="668"/>
      <c r="S1127" s="665"/>
      <c r="T1127" s="669"/>
      <c r="U1127" s="669"/>
      <c r="V1127" s="665"/>
      <c r="W1127" s="670"/>
      <c r="X1127" s="670"/>
      <c r="Y1127" s="671"/>
      <c r="Z1127" s="671"/>
      <c r="AA1127" s="672"/>
      <c r="AB1127" s="673"/>
      <c r="AC1127" s="673"/>
      <c r="AD1127" s="673"/>
      <c r="AE1127" s="673"/>
      <c r="AF1127" s="673"/>
      <c r="AG1127" s="673"/>
      <c r="AH1127" s="673"/>
      <c r="AI1127" s="673"/>
      <c r="AJ1127" s="673"/>
      <c r="AK1127" s="673"/>
      <c r="AL1127" s="673"/>
      <c r="AM1127" s="673"/>
      <c r="AN1127" s="673"/>
      <c r="AO1127" s="673"/>
      <c r="AP1127" s="673"/>
      <c r="AQ1127" s="673"/>
      <c r="AR1127" s="673"/>
      <c r="AS1127" s="673"/>
    </row>
    <row r="1128">
      <c r="A1128" s="653"/>
      <c r="B1128" s="654"/>
      <c r="C1128" s="655"/>
      <c r="D1128" s="656"/>
      <c r="E1128" s="657"/>
      <c r="F1128" s="658"/>
      <c r="G1128" s="659"/>
      <c r="H1128" s="660"/>
      <c r="I1128" s="659"/>
      <c r="J1128" s="661"/>
      <c r="K1128" s="658"/>
      <c r="L1128" s="662"/>
      <c r="M1128" s="663"/>
      <c r="N1128" s="664"/>
      <c r="O1128" s="665"/>
      <c r="P1128" s="666"/>
      <c r="Q1128" s="667"/>
      <c r="R1128" s="668"/>
      <c r="S1128" s="665"/>
      <c r="T1128" s="669"/>
      <c r="U1128" s="669"/>
      <c r="V1128" s="665"/>
      <c r="W1128" s="670"/>
      <c r="X1128" s="670"/>
      <c r="Y1128" s="671"/>
      <c r="Z1128" s="671"/>
      <c r="AA1128" s="672"/>
      <c r="AB1128" s="673"/>
      <c r="AC1128" s="673"/>
      <c r="AD1128" s="673"/>
      <c r="AE1128" s="673"/>
      <c r="AF1128" s="673"/>
      <c r="AG1128" s="673"/>
      <c r="AH1128" s="673"/>
      <c r="AI1128" s="673"/>
      <c r="AJ1128" s="673"/>
      <c r="AK1128" s="673"/>
      <c r="AL1128" s="673"/>
      <c r="AM1128" s="673"/>
      <c r="AN1128" s="673"/>
      <c r="AO1128" s="673"/>
      <c r="AP1128" s="673"/>
      <c r="AQ1128" s="673"/>
      <c r="AR1128" s="673"/>
      <c r="AS1128" s="673"/>
    </row>
    <row r="1129">
      <c r="A1129" s="653"/>
      <c r="B1129" s="654"/>
      <c r="C1129" s="655"/>
      <c r="D1129" s="656"/>
      <c r="E1129" s="657"/>
      <c r="F1129" s="658"/>
      <c r="G1129" s="659"/>
      <c r="H1129" s="660"/>
      <c r="I1129" s="659"/>
      <c r="J1129" s="661"/>
      <c r="K1129" s="658"/>
      <c r="L1129" s="662"/>
      <c r="M1129" s="663"/>
      <c r="N1129" s="664"/>
      <c r="O1129" s="665"/>
      <c r="P1129" s="666"/>
      <c r="Q1129" s="667"/>
      <c r="R1129" s="668"/>
      <c r="S1129" s="665"/>
      <c r="T1129" s="669"/>
      <c r="U1129" s="669"/>
      <c r="V1129" s="665"/>
      <c r="W1129" s="670"/>
      <c r="X1129" s="670"/>
      <c r="Y1129" s="671"/>
      <c r="Z1129" s="671"/>
      <c r="AA1129" s="672"/>
      <c r="AB1129" s="673"/>
      <c r="AC1129" s="673"/>
      <c r="AD1129" s="673"/>
      <c r="AE1129" s="673"/>
      <c r="AF1129" s="673"/>
      <c r="AG1129" s="673"/>
      <c r="AH1129" s="673"/>
      <c r="AI1129" s="673"/>
      <c r="AJ1129" s="673"/>
      <c r="AK1129" s="673"/>
      <c r="AL1129" s="673"/>
      <c r="AM1129" s="673"/>
      <c r="AN1129" s="673"/>
      <c r="AO1129" s="673"/>
      <c r="AP1129" s="673"/>
      <c r="AQ1129" s="673"/>
      <c r="AR1129" s="673"/>
      <c r="AS1129" s="673"/>
    </row>
    <row r="1130">
      <c r="A1130" s="653"/>
      <c r="B1130" s="654"/>
      <c r="C1130" s="655"/>
      <c r="D1130" s="656"/>
      <c r="E1130" s="657"/>
      <c r="F1130" s="658"/>
      <c r="G1130" s="659"/>
      <c r="H1130" s="660"/>
      <c r="I1130" s="659"/>
      <c r="J1130" s="661"/>
      <c r="K1130" s="658"/>
      <c r="L1130" s="662"/>
      <c r="M1130" s="663"/>
      <c r="N1130" s="664"/>
      <c r="O1130" s="665"/>
      <c r="P1130" s="666"/>
      <c r="Q1130" s="667"/>
      <c r="R1130" s="668"/>
      <c r="S1130" s="665"/>
      <c r="T1130" s="669"/>
      <c r="U1130" s="669"/>
      <c r="V1130" s="665"/>
      <c r="W1130" s="670"/>
      <c r="X1130" s="670"/>
      <c r="Y1130" s="671"/>
      <c r="Z1130" s="671"/>
      <c r="AA1130" s="672"/>
      <c r="AB1130" s="673"/>
      <c r="AC1130" s="673"/>
      <c r="AD1130" s="673"/>
      <c r="AE1130" s="673"/>
      <c r="AF1130" s="673"/>
      <c r="AG1130" s="673"/>
      <c r="AH1130" s="673"/>
      <c r="AI1130" s="673"/>
      <c r="AJ1130" s="673"/>
      <c r="AK1130" s="673"/>
      <c r="AL1130" s="673"/>
      <c r="AM1130" s="673"/>
      <c r="AN1130" s="673"/>
      <c r="AO1130" s="673"/>
      <c r="AP1130" s="673"/>
      <c r="AQ1130" s="673"/>
      <c r="AR1130" s="673"/>
      <c r="AS1130" s="673"/>
    </row>
    <row r="1131">
      <c r="A1131" s="653"/>
      <c r="B1131" s="654"/>
      <c r="C1131" s="655"/>
      <c r="D1131" s="656"/>
      <c r="E1131" s="657"/>
      <c r="F1131" s="658"/>
      <c r="G1131" s="659"/>
      <c r="H1131" s="660"/>
      <c r="I1131" s="659"/>
      <c r="J1131" s="661"/>
      <c r="K1131" s="658"/>
      <c r="L1131" s="662"/>
      <c r="M1131" s="663"/>
      <c r="N1131" s="664"/>
      <c r="O1131" s="665"/>
      <c r="P1131" s="666"/>
      <c r="Q1131" s="667"/>
      <c r="R1131" s="668"/>
      <c r="S1131" s="665"/>
      <c r="T1131" s="669"/>
      <c r="U1131" s="669"/>
      <c r="V1131" s="665"/>
      <c r="W1131" s="670"/>
      <c r="X1131" s="670"/>
      <c r="Y1131" s="671"/>
      <c r="Z1131" s="671"/>
      <c r="AA1131" s="672"/>
      <c r="AB1131" s="673"/>
      <c r="AC1131" s="673"/>
      <c r="AD1131" s="673"/>
      <c r="AE1131" s="673"/>
      <c r="AF1131" s="673"/>
      <c r="AG1131" s="673"/>
      <c r="AH1131" s="673"/>
      <c r="AI1131" s="673"/>
      <c r="AJ1131" s="673"/>
      <c r="AK1131" s="673"/>
      <c r="AL1131" s="673"/>
      <c r="AM1131" s="673"/>
      <c r="AN1131" s="673"/>
      <c r="AO1131" s="673"/>
      <c r="AP1131" s="673"/>
      <c r="AQ1131" s="673"/>
      <c r="AR1131" s="673"/>
      <c r="AS1131" s="673"/>
    </row>
    <row r="1132">
      <c r="A1132" s="653"/>
      <c r="B1132" s="654"/>
      <c r="C1132" s="655"/>
      <c r="D1132" s="656"/>
      <c r="E1132" s="657"/>
      <c r="F1132" s="658"/>
      <c r="G1132" s="659"/>
      <c r="H1132" s="660"/>
      <c r="I1132" s="659"/>
      <c r="J1132" s="661"/>
      <c r="K1132" s="658"/>
      <c r="L1132" s="662"/>
      <c r="M1132" s="663"/>
      <c r="N1132" s="664"/>
      <c r="O1132" s="665"/>
      <c r="P1132" s="666"/>
      <c r="Q1132" s="667"/>
      <c r="R1132" s="668"/>
      <c r="S1132" s="665"/>
      <c r="T1132" s="669"/>
      <c r="U1132" s="669"/>
      <c r="V1132" s="665"/>
      <c r="W1132" s="670"/>
      <c r="X1132" s="670"/>
      <c r="Y1132" s="671"/>
      <c r="Z1132" s="671"/>
      <c r="AA1132" s="672"/>
      <c r="AB1132" s="673"/>
      <c r="AC1132" s="673"/>
      <c r="AD1132" s="673"/>
      <c r="AE1132" s="673"/>
      <c r="AF1132" s="673"/>
      <c r="AG1132" s="673"/>
      <c r="AH1132" s="673"/>
      <c r="AI1132" s="673"/>
      <c r="AJ1132" s="673"/>
      <c r="AK1132" s="673"/>
      <c r="AL1132" s="673"/>
      <c r="AM1132" s="673"/>
      <c r="AN1132" s="673"/>
      <c r="AO1132" s="673"/>
      <c r="AP1132" s="673"/>
      <c r="AQ1132" s="673"/>
      <c r="AR1132" s="673"/>
      <c r="AS1132" s="673"/>
    </row>
    <row r="1133">
      <c r="A1133" s="653"/>
      <c r="B1133" s="654"/>
      <c r="C1133" s="655"/>
      <c r="D1133" s="656"/>
      <c r="E1133" s="657"/>
      <c r="F1133" s="658"/>
      <c r="G1133" s="659"/>
      <c r="H1133" s="660"/>
      <c r="I1133" s="659"/>
      <c r="J1133" s="661"/>
      <c r="K1133" s="658"/>
      <c r="L1133" s="662"/>
      <c r="M1133" s="663"/>
      <c r="N1133" s="664"/>
      <c r="O1133" s="665"/>
      <c r="P1133" s="666"/>
      <c r="Q1133" s="667"/>
      <c r="R1133" s="668"/>
      <c r="S1133" s="665"/>
      <c r="T1133" s="669"/>
      <c r="U1133" s="669"/>
      <c r="V1133" s="665"/>
      <c r="W1133" s="670"/>
      <c r="X1133" s="670"/>
      <c r="Y1133" s="671"/>
      <c r="Z1133" s="671"/>
      <c r="AA1133" s="672"/>
      <c r="AB1133" s="673"/>
      <c r="AC1133" s="673"/>
      <c r="AD1133" s="673"/>
      <c r="AE1133" s="673"/>
      <c r="AF1133" s="673"/>
      <c r="AG1133" s="673"/>
      <c r="AH1133" s="673"/>
      <c r="AI1133" s="673"/>
      <c r="AJ1133" s="673"/>
      <c r="AK1133" s="673"/>
      <c r="AL1133" s="673"/>
      <c r="AM1133" s="673"/>
      <c r="AN1133" s="673"/>
      <c r="AO1133" s="673"/>
      <c r="AP1133" s="673"/>
      <c r="AQ1133" s="673"/>
      <c r="AR1133" s="673"/>
      <c r="AS1133" s="673"/>
    </row>
    <row r="1134">
      <c r="A1134" s="653"/>
      <c r="B1134" s="654"/>
      <c r="C1134" s="655"/>
      <c r="D1134" s="656"/>
      <c r="E1134" s="657"/>
      <c r="F1134" s="658"/>
      <c r="G1134" s="659"/>
      <c r="H1134" s="660"/>
      <c r="I1134" s="659"/>
      <c r="J1134" s="661"/>
      <c r="K1134" s="658"/>
      <c r="L1134" s="662"/>
      <c r="M1134" s="663"/>
      <c r="N1134" s="664"/>
      <c r="O1134" s="665"/>
      <c r="P1134" s="666"/>
      <c r="Q1134" s="667"/>
      <c r="R1134" s="668"/>
      <c r="S1134" s="665"/>
      <c r="T1134" s="669"/>
      <c r="U1134" s="669"/>
      <c r="V1134" s="665"/>
      <c r="W1134" s="670"/>
      <c r="X1134" s="670"/>
      <c r="Y1134" s="671"/>
      <c r="Z1134" s="671"/>
      <c r="AA1134" s="672"/>
      <c r="AB1134" s="673"/>
      <c r="AC1134" s="673"/>
      <c r="AD1134" s="673"/>
      <c r="AE1134" s="673"/>
      <c r="AF1134" s="673"/>
      <c r="AG1134" s="673"/>
      <c r="AH1134" s="673"/>
      <c r="AI1134" s="673"/>
      <c r="AJ1134" s="673"/>
      <c r="AK1134" s="673"/>
      <c r="AL1134" s="673"/>
      <c r="AM1134" s="673"/>
      <c r="AN1134" s="673"/>
      <c r="AO1134" s="673"/>
      <c r="AP1134" s="673"/>
      <c r="AQ1134" s="673"/>
      <c r="AR1134" s="673"/>
      <c r="AS1134" s="673"/>
    </row>
    <row r="1135">
      <c r="A1135" s="653"/>
      <c r="B1135" s="654"/>
      <c r="C1135" s="655"/>
      <c r="D1135" s="656"/>
      <c r="E1135" s="657"/>
      <c r="F1135" s="658"/>
      <c r="G1135" s="659"/>
      <c r="H1135" s="660"/>
      <c r="I1135" s="659"/>
      <c r="J1135" s="661"/>
      <c r="K1135" s="658"/>
      <c r="L1135" s="662"/>
      <c r="M1135" s="663"/>
      <c r="N1135" s="664"/>
      <c r="O1135" s="665"/>
      <c r="P1135" s="666"/>
      <c r="Q1135" s="667"/>
      <c r="R1135" s="668"/>
      <c r="S1135" s="665"/>
      <c r="T1135" s="669"/>
      <c r="U1135" s="669"/>
      <c r="V1135" s="665"/>
      <c r="W1135" s="670"/>
      <c r="X1135" s="670"/>
      <c r="Y1135" s="671"/>
      <c r="Z1135" s="671"/>
      <c r="AA1135" s="672"/>
      <c r="AB1135" s="673"/>
      <c r="AC1135" s="673"/>
      <c r="AD1135" s="673"/>
      <c r="AE1135" s="673"/>
      <c r="AF1135" s="673"/>
      <c r="AG1135" s="673"/>
      <c r="AH1135" s="673"/>
      <c r="AI1135" s="673"/>
      <c r="AJ1135" s="673"/>
      <c r="AK1135" s="673"/>
      <c r="AL1135" s="673"/>
      <c r="AM1135" s="673"/>
      <c r="AN1135" s="673"/>
      <c r="AO1135" s="673"/>
      <c r="AP1135" s="673"/>
      <c r="AQ1135" s="673"/>
      <c r="AR1135" s="673"/>
      <c r="AS1135" s="673"/>
    </row>
    <row r="1136">
      <c r="A1136" s="653"/>
      <c r="B1136" s="654"/>
      <c r="C1136" s="655"/>
      <c r="D1136" s="656"/>
      <c r="E1136" s="657"/>
      <c r="F1136" s="658"/>
      <c r="G1136" s="659"/>
      <c r="H1136" s="660"/>
      <c r="I1136" s="659"/>
      <c r="J1136" s="661"/>
      <c r="K1136" s="658"/>
      <c r="L1136" s="662"/>
      <c r="M1136" s="663"/>
      <c r="N1136" s="664"/>
      <c r="O1136" s="665"/>
      <c r="P1136" s="666"/>
      <c r="Q1136" s="667"/>
      <c r="R1136" s="668"/>
      <c r="S1136" s="665"/>
      <c r="T1136" s="669"/>
      <c r="U1136" s="669"/>
      <c r="V1136" s="665"/>
      <c r="W1136" s="670"/>
      <c r="X1136" s="670"/>
      <c r="Y1136" s="671"/>
      <c r="Z1136" s="671"/>
      <c r="AA1136" s="672"/>
      <c r="AB1136" s="673"/>
      <c r="AC1136" s="673"/>
      <c r="AD1136" s="673"/>
      <c r="AE1136" s="673"/>
      <c r="AF1136" s="673"/>
      <c r="AG1136" s="673"/>
      <c r="AH1136" s="673"/>
      <c r="AI1136" s="673"/>
      <c r="AJ1136" s="673"/>
      <c r="AK1136" s="673"/>
      <c r="AL1136" s="673"/>
      <c r="AM1136" s="673"/>
      <c r="AN1136" s="673"/>
      <c r="AO1136" s="673"/>
      <c r="AP1136" s="673"/>
      <c r="AQ1136" s="673"/>
      <c r="AR1136" s="673"/>
      <c r="AS1136" s="673"/>
    </row>
    <row r="1137">
      <c r="A1137" s="653"/>
      <c r="B1137" s="654"/>
      <c r="C1137" s="655"/>
      <c r="D1137" s="656"/>
      <c r="E1137" s="657"/>
      <c r="F1137" s="658"/>
      <c r="G1137" s="659"/>
      <c r="H1137" s="660"/>
      <c r="I1137" s="659"/>
      <c r="J1137" s="661"/>
      <c r="K1137" s="658"/>
      <c r="L1137" s="662"/>
      <c r="M1137" s="663"/>
      <c r="N1137" s="664"/>
      <c r="O1137" s="665"/>
      <c r="P1137" s="666"/>
      <c r="Q1137" s="667"/>
      <c r="R1137" s="668"/>
      <c r="S1137" s="665"/>
      <c r="T1137" s="669"/>
      <c r="U1137" s="669"/>
      <c r="V1137" s="665"/>
      <c r="W1137" s="670"/>
      <c r="X1137" s="670"/>
      <c r="Y1137" s="671"/>
      <c r="Z1137" s="671"/>
      <c r="AA1137" s="672"/>
      <c r="AB1137" s="673"/>
      <c r="AC1137" s="673"/>
      <c r="AD1137" s="673"/>
      <c r="AE1137" s="673"/>
      <c r="AF1137" s="673"/>
      <c r="AG1137" s="673"/>
      <c r="AH1137" s="673"/>
      <c r="AI1137" s="673"/>
      <c r="AJ1137" s="673"/>
      <c r="AK1137" s="673"/>
      <c r="AL1137" s="673"/>
      <c r="AM1137" s="673"/>
      <c r="AN1137" s="673"/>
      <c r="AO1137" s="673"/>
      <c r="AP1137" s="673"/>
      <c r="AQ1137" s="673"/>
      <c r="AR1137" s="673"/>
      <c r="AS1137" s="673"/>
    </row>
    <row r="1138">
      <c r="A1138" s="653"/>
      <c r="B1138" s="654"/>
      <c r="C1138" s="655"/>
      <c r="D1138" s="656"/>
      <c r="E1138" s="657"/>
      <c r="F1138" s="658"/>
      <c r="G1138" s="659"/>
      <c r="H1138" s="660"/>
      <c r="I1138" s="659"/>
      <c r="J1138" s="661"/>
      <c r="K1138" s="658"/>
      <c r="L1138" s="662"/>
      <c r="M1138" s="663"/>
      <c r="N1138" s="664"/>
      <c r="O1138" s="665"/>
      <c r="P1138" s="666"/>
      <c r="Q1138" s="667"/>
      <c r="R1138" s="668"/>
      <c r="S1138" s="665"/>
      <c r="T1138" s="669"/>
      <c r="U1138" s="669"/>
      <c r="V1138" s="665"/>
      <c r="W1138" s="670"/>
      <c r="X1138" s="670"/>
      <c r="Y1138" s="671"/>
      <c r="Z1138" s="671"/>
      <c r="AA1138" s="672"/>
      <c r="AB1138" s="673"/>
      <c r="AC1138" s="673"/>
      <c r="AD1138" s="673"/>
      <c r="AE1138" s="673"/>
      <c r="AF1138" s="673"/>
      <c r="AG1138" s="673"/>
      <c r="AH1138" s="673"/>
      <c r="AI1138" s="673"/>
      <c r="AJ1138" s="673"/>
      <c r="AK1138" s="673"/>
      <c r="AL1138" s="673"/>
      <c r="AM1138" s="673"/>
      <c r="AN1138" s="673"/>
      <c r="AO1138" s="673"/>
      <c r="AP1138" s="673"/>
      <c r="AQ1138" s="673"/>
      <c r="AR1138" s="673"/>
      <c r="AS1138" s="673"/>
    </row>
    <row r="1139">
      <c r="A1139" s="653"/>
      <c r="B1139" s="654"/>
      <c r="C1139" s="655"/>
      <c r="D1139" s="656"/>
      <c r="E1139" s="657"/>
      <c r="F1139" s="658"/>
      <c r="G1139" s="659"/>
      <c r="H1139" s="660"/>
      <c r="I1139" s="659"/>
      <c r="J1139" s="661"/>
      <c r="K1139" s="658"/>
      <c r="L1139" s="662"/>
      <c r="M1139" s="663"/>
      <c r="N1139" s="664"/>
      <c r="O1139" s="665"/>
      <c r="P1139" s="666"/>
      <c r="Q1139" s="667"/>
      <c r="R1139" s="668"/>
      <c r="S1139" s="665"/>
      <c r="T1139" s="669"/>
      <c r="U1139" s="669"/>
      <c r="V1139" s="665"/>
      <c r="W1139" s="670"/>
      <c r="X1139" s="670"/>
      <c r="Y1139" s="671"/>
      <c r="Z1139" s="671"/>
      <c r="AA1139" s="672"/>
      <c r="AB1139" s="673"/>
      <c r="AC1139" s="673"/>
      <c r="AD1139" s="673"/>
      <c r="AE1139" s="673"/>
      <c r="AF1139" s="673"/>
      <c r="AG1139" s="673"/>
      <c r="AH1139" s="673"/>
      <c r="AI1139" s="673"/>
      <c r="AJ1139" s="673"/>
      <c r="AK1139" s="673"/>
      <c r="AL1139" s="673"/>
      <c r="AM1139" s="673"/>
      <c r="AN1139" s="673"/>
      <c r="AO1139" s="673"/>
      <c r="AP1139" s="673"/>
      <c r="AQ1139" s="673"/>
      <c r="AR1139" s="673"/>
      <c r="AS1139" s="673"/>
    </row>
    <row r="1140">
      <c r="A1140" s="653"/>
      <c r="B1140" s="654"/>
      <c r="C1140" s="655"/>
      <c r="D1140" s="656"/>
      <c r="E1140" s="657"/>
      <c r="F1140" s="658"/>
      <c r="G1140" s="659"/>
      <c r="H1140" s="660"/>
      <c r="I1140" s="659"/>
      <c r="J1140" s="661"/>
      <c r="K1140" s="658"/>
      <c r="L1140" s="662"/>
      <c r="M1140" s="663"/>
      <c r="N1140" s="664"/>
      <c r="O1140" s="665"/>
      <c r="P1140" s="666"/>
      <c r="Q1140" s="667"/>
      <c r="R1140" s="668"/>
      <c r="S1140" s="665"/>
      <c r="T1140" s="669"/>
      <c r="U1140" s="669"/>
      <c r="V1140" s="665"/>
      <c r="W1140" s="670"/>
      <c r="X1140" s="670"/>
      <c r="Y1140" s="671"/>
      <c r="Z1140" s="671"/>
      <c r="AA1140" s="672"/>
      <c r="AB1140" s="673"/>
      <c r="AC1140" s="673"/>
      <c r="AD1140" s="673"/>
      <c r="AE1140" s="673"/>
      <c r="AF1140" s="673"/>
      <c r="AG1140" s="673"/>
      <c r="AH1140" s="673"/>
      <c r="AI1140" s="673"/>
      <c r="AJ1140" s="673"/>
      <c r="AK1140" s="673"/>
      <c r="AL1140" s="673"/>
      <c r="AM1140" s="673"/>
      <c r="AN1140" s="673"/>
      <c r="AO1140" s="673"/>
      <c r="AP1140" s="673"/>
      <c r="AQ1140" s="673"/>
      <c r="AR1140" s="673"/>
      <c r="AS1140" s="673"/>
    </row>
    <row r="1141">
      <c r="A1141" s="653"/>
      <c r="B1141" s="654"/>
      <c r="C1141" s="655"/>
      <c r="D1141" s="656"/>
      <c r="E1141" s="657"/>
      <c r="F1141" s="658"/>
      <c r="G1141" s="659"/>
      <c r="H1141" s="660"/>
      <c r="I1141" s="659"/>
      <c r="J1141" s="661"/>
      <c r="K1141" s="658"/>
      <c r="L1141" s="662"/>
      <c r="M1141" s="663"/>
      <c r="N1141" s="664"/>
      <c r="O1141" s="665"/>
      <c r="P1141" s="666"/>
      <c r="Q1141" s="667"/>
      <c r="R1141" s="668"/>
      <c r="S1141" s="665"/>
      <c r="T1141" s="669"/>
      <c r="U1141" s="669"/>
      <c r="V1141" s="665"/>
      <c r="W1141" s="670"/>
      <c r="X1141" s="670"/>
      <c r="Y1141" s="671"/>
      <c r="Z1141" s="671"/>
      <c r="AA1141" s="672"/>
      <c r="AB1141" s="673"/>
      <c r="AC1141" s="673"/>
      <c r="AD1141" s="673"/>
      <c r="AE1141" s="673"/>
      <c r="AF1141" s="673"/>
      <c r="AG1141" s="673"/>
      <c r="AH1141" s="673"/>
      <c r="AI1141" s="673"/>
      <c r="AJ1141" s="673"/>
      <c r="AK1141" s="673"/>
      <c r="AL1141" s="673"/>
      <c r="AM1141" s="673"/>
      <c r="AN1141" s="673"/>
      <c r="AO1141" s="673"/>
      <c r="AP1141" s="673"/>
      <c r="AQ1141" s="673"/>
      <c r="AR1141" s="673"/>
      <c r="AS1141" s="673"/>
    </row>
    <row r="1142">
      <c r="A1142" s="653"/>
      <c r="B1142" s="654"/>
      <c r="C1142" s="655"/>
      <c r="D1142" s="656"/>
      <c r="E1142" s="657"/>
      <c r="F1142" s="658"/>
      <c r="G1142" s="659"/>
      <c r="H1142" s="660"/>
      <c r="I1142" s="659"/>
      <c r="J1142" s="661"/>
      <c r="K1142" s="658"/>
      <c r="L1142" s="662"/>
      <c r="M1142" s="663"/>
      <c r="N1142" s="664"/>
      <c r="O1142" s="665"/>
      <c r="P1142" s="666"/>
      <c r="Q1142" s="667"/>
      <c r="R1142" s="668"/>
      <c r="S1142" s="665"/>
      <c r="T1142" s="669"/>
      <c r="U1142" s="669"/>
      <c r="V1142" s="665"/>
      <c r="W1142" s="670"/>
      <c r="X1142" s="670"/>
      <c r="Y1142" s="671"/>
      <c r="Z1142" s="671"/>
      <c r="AA1142" s="672"/>
      <c r="AB1142" s="673"/>
      <c r="AC1142" s="673"/>
      <c r="AD1142" s="673"/>
      <c r="AE1142" s="673"/>
      <c r="AF1142" s="673"/>
      <c r="AG1142" s="673"/>
      <c r="AH1142" s="673"/>
      <c r="AI1142" s="673"/>
      <c r="AJ1142" s="673"/>
      <c r="AK1142" s="673"/>
      <c r="AL1142" s="673"/>
      <c r="AM1142" s="673"/>
      <c r="AN1142" s="673"/>
      <c r="AO1142" s="673"/>
      <c r="AP1142" s="673"/>
      <c r="AQ1142" s="673"/>
      <c r="AR1142" s="673"/>
      <c r="AS1142" s="673"/>
    </row>
    <row r="1143">
      <c r="A1143" s="653"/>
      <c r="B1143" s="654"/>
      <c r="C1143" s="655"/>
      <c r="D1143" s="656"/>
      <c r="E1143" s="657"/>
      <c r="F1143" s="658"/>
      <c r="G1143" s="659"/>
      <c r="H1143" s="660"/>
      <c r="I1143" s="659"/>
      <c r="J1143" s="661"/>
      <c r="K1143" s="658"/>
      <c r="L1143" s="662"/>
      <c r="M1143" s="663"/>
      <c r="N1143" s="664"/>
      <c r="O1143" s="665"/>
      <c r="P1143" s="666"/>
      <c r="Q1143" s="667"/>
      <c r="R1143" s="668"/>
      <c r="S1143" s="665"/>
      <c r="T1143" s="669"/>
      <c r="U1143" s="669"/>
      <c r="V1143" s="665"/>
      <c r="W1143" s="670"/>
      <c r="X1143" s="670"/>
      <c r="Y1143" s="671"/>
      <c r="Z1143" s="671"/>
      <c r="AA1143" s="672"/>
      <c r="AB1143" s="673"/>
      <c r="AC1143" s="673"/>
      <c r="AD1143" s="673"/>
      <c r="AE1143" s="673"/>
      <c r="AF1143" s="673"/>
      <c r="AG1143" s="673"/>
      <c r="AH1143" s="673"/>
      <c r="AI1143" s="673"/>
      <c r="AJ1143" s="673"/>
      <c r="AK1143" s="673"/>
      <c r="AL1143" s="673"/>
      <c r="AM1143" s="673"/>
      <c r="AN1143" s="673"/>
      <c r="AO1143" s="673"/>
      <c r="AP1143" s="673"/>
      <c r="AQ1143" s="673"/>
      <c r="AR1143" s="673"/>
      <c r="AS1143" s="673"/>
    </row>
    <row r="1144">
      <c r="A1144" s="653"/>
      <c r="B1144" s="654"/>
      <c r="C1144" s="655"/>
      <c r="D1144" s="656"/>
      <c r="E1144" s="657"/>
      <c r="F1144" s="658"/>
      <c r="G1144" s="659"/>
      <c r="H1144" s="660"/>
      <c r="I1144" s="659"/>
      <c r="J1144" s="661"/>
      <c r="K1144" s="658"/>
      <c r="L1144" s="662"/>
      <c r="M1144" s="663"/>
      <c r="N1144" s="664"/>
      <c r="O1144" s="665"/>
      <c r="P1144" s="666"/>
      <c r="Q1144" s="667"/>
      <c r="R1144" s="668"/>
      <c r="S1144" s="665"/>
      <c r="T1144" s="669"/>
      <c r="U1144" s="669"/>
      <c r="V1144" s="665"/>
      <c r="W1144" s="670"/>
      <c r="X1144" s="670"/>
      <c r="Y1144" s="671"/>
      <c r="Z1144" s="671"/>
      <c r="AA1144" s="672"/>
      <c r="AB1144" s="673"/>
      <c r="AC1144" s="673"/>
      <c r="AD1144" s="673"/>
      <c r="AE1144" s="673"/>
      <c r="AF1144" s="673"/>
      <c r="AG1144" s="673"/>
      <c r="AH1144" s="673"/>
      <c r="AI1144" s="673"/>
      <c r="AJ1144" s="673"/>
      <c r="AK1144" s="673"/>
      <c r="AL1144" s="673"/>
      <c r="AM1144" s="673"/>
      <c r="AN1144" s="673"/>
      <c r="AO1144" s="673"/>
      <c r="AP1144" s="673"/>
      <c r="AQ1144" s="673"/>
      <c r="AR1144" s="673"/>
      <c r="AS1144" s="673"/>
    </row>
    <row r="1145">
      <c r="A1145" s="653"/>
      <c r="B1145" s="654"/>
      <c r="C1145" s="655"/>
      <c r="D1145" s="656"/>
      <c r="E1145" s="657"/>
      <c r="F1145" s="658"/>
      <c r="G1145" s="659"/>
      <c r="H1145" s="660"/>
      <c r="I1145" s="659"/>
      <c r="J1145" s="661"/>
      <c r="K1145" s="658"/>
      <c r="L1145" s="662"/>
      <c r="M1145" s="663"/>
      <c r="N1145" s="664"/>
      <c r="O1145" s="665"/>
      <c r="P1145" s="666"/>
      <c r="Q1145" s="667"/>
      <c r="R1145" s="668"/>
      <c r="S1145" s="665"/>
      <c r="T1145" s="669"/>
      <c r="U1145" s="669"/>
      <c r="V1145" s="665"/>
      <c r="W1145" s="670"/>
      <c r="X1145" s="670"/>
      <c r="Y1145" s="671"/>
      <c r="Z1145" s="671"/>
      <c r="AA1145" s="672"/>
      <c r="AB1145" s="673"/>
      <c r="AC1145" s="673"/>
      <c r="AD1145" s="673"/>
      <c r="AE1145" s="673"/>
      <c r="AF1145" s="673"/>
      <c r="AG1145" s="673"/>
      <c r="AH1145" s="673"/>
      <c r="AI1145" s="673"/>
      <c r="AJ1145" s="673"/>
      <c r="AK1145" s="673"/>
      <c r="AL1145" s="673"/>
      <c r="AM1145" s="673"/>
      <c r="AN1145" s="673"/>
      <c r="AO1145" s="673"/>
      <c r="AP1145" s="673"/>
      <c r="AQ1145" s="673"/>
      <c r="AR1145" s="673"/>
      <c r="AS1145" s="673"/>
    </row>
    <row r="1146">
      <c r="A1146" s="653"/>
      <c r="B1146" s="654"/>
      <c r="C1146" s="655"/>
      <c r="D1146" s="656"/>
      <c r="E1146" s="657"/>
      <c r="F1146" s="658"/>
      <c r="G1146" s="659"/>
      <c r="H1146" s="660"/>
      <c r="I1146" s="659"/>
      <c r="J1146" s="661"/>
      <c r="K1146" s="658"/>
      <c r="L1146" s="662"/>
      <c r="M1146" s="663"/>
      <c r="N1146" s="664"/>
      <c r="O1146" s="665"/>
      <c r="P1146" s="666"/>
      <c r="Q1146" s="667"/>
      <c r="R1146" s="668"/>
      <c r="S1146" s="665"/>
      <c r="T1146" s="669"/>
      <c r="U1146" s="669"/>
      <c r="V1146" s="665"/>
      <c r="W1146" s="670"/>
      <c r="X1146" s="670"/>
      <c r="Y1146" s="671"/>
      <c r="Z1146" s="671"/>
      <c r="AA1146" s="672"/>
      <c r="AB1146" s="673"/>
      <c r="AC1146" s="673"/>
      <c r="AD1146" s="673"/>
      <c r="AE1146" s="673"/>
      <c r="AF1146" s="673"/>
      <c r="AG1146" s="673"/>
      <c r="AH1146" s="673"/>
      <c r="AI1146" s="673"/>
      <c r="AJ1146" s="673"/>
      <c r="AK1146" s="673"/>
      <c r="AL1146" s="673"/>
      <c r="AM1146" s="673"/>
      <c r="AN1146" s="673"/>
      <c r="AO1146" s="673"/>
      <c r="AP1146" s="673"/>
      <c r="AQ1146" s="673"/>
      <c r="AR1146" s="673"/>
      <c r="AS1146" s="673"/>
    </row>
    <row r="1147">
      <c r="A1147" s="653"/>
      <c r="B1147" s="654"/>
      <c r="C1147" s="655"/>
      <c r="D1147" s="656"/>
      <c r="E1147" s="657"/>
      <c r="F1147" s="658"/>
      <c r="G1147" s="659"/>
      <c r="H1147" s="660"/>
      <c r="I1147" s="659"/>
      <c r="J1147" s="661"/>
      <c r="K1147" s="658"/>
      <c r="L1147" s="662"/>
      <c r="M1147" s="663"/>
      <c r="N1147" s="664"/>
      <c r="O1147" s="665"/>
      <c r="P1147" s="666"/>
      <c r="Q1147" s="667"/>
      <c r="R1147" s="668"/>
      <c r="S1147" s="665"/>
      <c r="T1147" s="669"/>
      <c r="U1147" s="669"/>
      <c r="V1147" s="665"/>
      <c r="W1147" s="670"/>
      <c r="X1147" s="670"/>
      <c r="Y1147" s="671"/>
      <c r="Z1147" s="671"/>
      <c r="AA1147" s="672"/>
      <c r="AB1147" s="673"/>
      <c r="AC1147" s="673"/>
      <c r="AD1147" s="673"/>
      <c r="AE1147" s="673"/>
      <c r="AF1147" s="673"/>
      <c r="AG1147" s="673"/>
      <c r="AH1147" s="673"/>
      <c r="AI1147" s="673"/>
      <c r="AJ1147" s="673"/>
      <c r="AK1147" s="673"/>
      <c r="AL1147" s="673"/>
      <c r="AM1147" s="673"/>
      <c r="AN1147" s="673"/>
      <c r="AO1147" s="673"/>
      <c r="AP1147" s="673"/>
      <c r="AQ1147" s="673"/>
      <c r="AR1147" s="673"/>
      <c r="AS1147" s="673"/>
    </row>
    <row r="1148">
      <c r="A1148" s="653"/>
      <c r="B1148" s="654"/>
      <c r="C1148" s="655"/>
      <c r="D1148" s="656"/>
      <c r="E1148" s="657"/>
      <c r="F1148" s="658"/>
      <c r="G1148" s="659"/>
      <c r="H1148" s="660"/>
      <c r="I1148" s="659"/>
      <c r="J1148" s="661"/>
      <c r="K1148" s="658"/>
      <c r="L1148" s="662"/>
      <c r="M1148" s="663"/>
      <c r="N1148" s="664"/>
      <c r="O1148" s="665"/>
      <c r="P1148" s="666"/>
      <c r="Q1148" s="667"/>
      <c r="R1148" s="668"/>
      <c r="S1148" s="665"/>
      <c r="T1148" s="669"/>
      <c r="U1148" s="669"/>
      <c r="V1148" s="665"/>
      <c r="W1148" s="670"/>
      <c r="X1148" s="670"/>
      <c r="Y1148" s="671"/>
      <c r="Z1148" s="671"/>
      <c r="AA1148" s="672"/>
      <c r="AB1148" s="673"/>
      <c r="AC1148" s="673"/>
      <c r="AD1148" s="673"/>
      <c r="AE1148" s="673"/>
      <c r="AF1148" s="673"/>
      <c r="AG1148" s="673"/>
      <c r="AH1148" s="673"/>
      <c r="AI1148" s="673"/>
      <c r="AJ1148" s="673"/>
      <c r="AK1148" s="673"/>
      <c r="AL1148" s="673"/>
      <c r="AM1148" s="673"/>
      <c r="AN1148" s="673"/>
      <c r="AO1148" s="673"/>
      <c r="AP1148" s="673"/>
      <c r="AQ1148" s="673"/>
      <c r="AR1148" s="673"/>
      <c r="AS1148" s="673"/>
    </row>
    <row r="1149">
      <c r="A1149" s="653"/>
      <c r="B1149" s="654"/>
      <c r="C1149" s="655"/>
      <c r="D1149" s="656"/>
      <c r="E1149" s="657"/>
      <c r="F1149" s="658"/>
      <c r="G1149" s="659"/>
      <c r="H1149" s="660"/>
      <c r="I1149" s="659"/>
      <c r="J1149" s="661"/>
      <c r="K1149" s="658"/>
      <c r="L1149" s="662"/>
      <c r="M1149" s="663"/>
      <c r="N1149" s="664"/>
      <c r="O1149" s="665"/>
      <c r="P1149" s="666"/>
      <c r="Q1149" s="667"/>
      <c r="R1149" s="668"/>
      <c r="S1149" s="665"/>
      <c r="T1149" s="669"/>
      <c r="U1149" s="669"/>
      <c r="V1149" s="665"/>
      <c r="W1149" s="670"/>
      <c r="X1149" s="670"/>
      <c r="Y1149" s="671"/>
      <c r="Z1149" s="671"/>
      <c r="AA1149" s="672"/>
      <c r="AB1149" s="673"/>
      <c r="AC1149" s="673"/>
      <c r="AD1149" s="673"/>
      <c r="AE1149" s="673"/>
      <c r="AF1149" s="673"/>
      <c r="AG1149" s="673"/>
      <c r="AH1149" s="673"/>
      <c r="AI1149" s="673"/>
      <c r="AJ1149" s="673"/>
      <c r="AK1149" s="673"/>
      <c r="AL1149" s="673"/>
      <c r="AM1149" s="673"/>
      <c r="AN1149" s="673"/>
      <c r="AO1149" s="673"/>
      <c r="AP1149" s="673"/>
      <c r="AQ1149" s="673"/>
      <c r="AR1149" s="673"/>
      <c r="AS1149" s="673"/>
    </row>
    <row r="1150">
      <c r="A1150" s="653"/>
      <c r="B1150" s="654"/>
      <c r="C1150" s="655"/>
      <c r="D1150" s="656"/>
      <c r="E1150" s="657"/>
      <c r="F1150" s="658"/>
      <c r="G1150" s="659"/>
      <c r="H1150" s="660"/>
      <c r="I1150" s="659"/>
      <c r="J1150" s="661"/>
      <c r="K1150" s="658"/>
      <c r="L1150" s="662"/>
      <c r="M1150" s="663"/>
      <c r="N1150" s="664"/>
      <c r="O1150" s="665"/>
      <c r="P1150" s="666"/>
      <c r="Q1150" s="667"/>
      <c r="R1150" s="668"/>
      <c r="S1150" s="665"/>
      <c r="T1150" s="669"/>
      <c r="U1150" s="669"/>
      <c r="V1150" s="665"/>
      <c r="W1150" s="670"/>
      <c r="X1150" s="670"/>
      <c r="Y1150" s="671"/>
      <c r="Z1150" s="671"/>
      <c r="AA1150" s="672"/>
      <c r="AB1150" s="673"/>
      <c r="AC1150" s="673"/>
      <c r="AD1150" s="673"/>
      <c r="AE1150" s="673"/>
      <c r="AF1150" s="673"/>
      <c r="AG1150" s="673"/>
      <c r="AH1150" s="673"/>
      <c r="AI1150" s="673"/>
      <c r="AJ1150" s="673"/>
      <c r="AK1150" s="673"/>
      <c r="AL1150" s="673"/>
      <c r="AM1150" s="673"/>
      <c r="AN1150" s="673"/>
      <c r="AO1150" s="673"/>
      <c r="AP1150" s="673"/>
      <c r="AQ1150" s="673"/>
      <c r="AR1150" s="673"/>
      <c r="AS1150" s="673"/>
    </row>
    <row r="1151">
      <c r="A1151" s="653"/>
      <c r="B1151" s="654"/>
      <c r="C1151" s="655"/>
      <c r="D1151" s="656"/>
      <c r="E1151" s="657"/>
      <c r="F1151" s="658"/>
      <c r="G1151" s="659"/>
      <c r="H1151" s="660"/>
      <c r="I1151" s="659"/>
      <c r="J1151" s="661"/>
      <c r="K1151" s="658"/>
      <c r="L1151" s="662"/>
      <c r="M1151" s="663"/>
      <c r="N1151" s="664"/>
      <c r="O1151" s="665"/>
      <c r="P1151" s="666"/>
      <c r="Q1151" s="667"/>
      <c r="R1151" s="668"/>
      <c r="S1151" s="665"/>
      <c r="T1151" s="669"/>
      <c r="U1151" s="669"/>
      <c r="V1151" s="665"/>
      <c r="W1151" s="670"/>
      <c r="X1151" s="670"/>
      <c r="Y1151" s="671"/>
      <c r="Z1151" s="671"/>
      <c r="AA1151" s="672"/>
      <c r="AB1151" s="673"/>
      <c r="AC1151" s="673"/>
      <c r="AD1151" s="673"/>
      <c r="AE1151" s="673"/>
      <c r="AF1151" s="673"/>
      <c r="AG1151" s="673"/>
      <c r="AH1151" s="673"/>
      <c r="AI1151" s="673"/>
      <c r="AJ1151" s="673"/>
      <c r="AK1151" s="673"/>
      <c r="AL1151" s="673"/>
      <c r="AM1151" s="673"/>
      <c r="AN1151" s="673"/>
      <c r="AO1151" s="673"/>
      <c r="AP1151" s="673"/>
      <c r="AQ1151" s="673"/>
      <c r="AR1151" s="673"/>
      <c r="AS1151" s="673"/>
    </row>
    <row r="1152">
      <c r="A1152" s="653"/>
      <c r="B1152" s="654"/>
      <c r="C1152" s="655"/>
      <c r="D1152" s="656"/>
      <c r="E1152" s="657"/>
      <c r="F1152" s="658"/>
      <c r="G1152" s="659"/>
      <c r="H1152" s="660"/>
      <c r="I1152" s="659"/>
      <c r="J1152" s="661"/>
      <c r="K1152" s="658"/>
      <c r="L1152" s="662"/>
      <c r="M1152" s="663"/>
      <c r="N1152" s="664"/>
      <c r="O1152" s="665"/>
      <c r="P1152" s="666"/>
      <c r="Q1152" s="667"/>
      <c r="R1152" s="668"/>
      <c r="S1152" s="665"/>
      <c r="T1152" s="669"/>
      <c r="U1152" s="669"/>
      <c r="V1152" s="665"/>
      <c r="W1152" s="670"/>
      <c r="X1152" s="670"/>
      <c r="Y1152" s="671"/>
      <c r="Z1152" s="671"/>
      <c r="AA1152" s="672"/>
      <c r="AB1152" s="673"/>
      <c r="AC1152" s="673"/>
      <c r="AD1152" s="673"/>
      <c r="AE1152" s="673"/>
      <c r="AF1152" s="673"/>
      <c r="AG1152" s="673"/>
      <c r="AH1152" s="673"/>
      <c r="AI1152" s="673"/>
      <c r="AJ1152" s="673"/>
      <c r="AK1152" s="673"/>
      <c r="AL1152" s="673"/>
      <c r="AM1152" s="673"/>
      <c r="AN1152" s="673"/>
      <c r="AO1152" s="673"/>
      <c r="AP1152" s="673"/>
      <c r="AQ1152" s="673"/>
      <c r="AR1152" s="673"/>
      <c r="AS1152" s="673"/>
    </row>
    <row r="1153">
      <c r="A1153" s="653"/>
      <c r="B1153" s="654"/>
      <c r="C1153" s="655"/>
      <c r="D1153" s="656"/>
      <c r="E1153" s="657"/>
      <c r="F1153" s="658"/>
      <c r="G1153" s="659"/>
      <c r="H1153" s="660"/>
      <c r="I1153" s="659"/>
      <c r="J1153" s="661"/>
      <c r="K1153" s="658"/>
      <c r="L1153" s="662"/>
      <c r="M1153" s="663"/>
      <c r="N1153" s="664"/>
      <c r="O1153" s="665"/>
      <c r="P1153" s="666"/>
      <c r="Q1153" s="667"/>
      <c r="R1153" s="668"/>
      <c r="S1153" s="665"/>
      <c r="T1153" s="669"/>
      <c r="U1153" s="669"/>
      <c r="V1153" s="665"/>
      <c r="W1153" s="670"/>
      <c r="X1153" s="670"/>
      <c r="Y1153" s="671"/>
      <c r="Z1153" s="671"/>
      <c r="AA1153" s="672"/>
      <c r="AB1153" s="673"/>
      <c r="AC1153" s="673"/>
      <c r="AD1153" s="673"/>
      <c r="AE1153" s="673"/>
      <c r="AF1153" s="673"/>
      <c r="AG1153" s="673"/>
      <c r="AH1153" s="673"/>
      <c r="AI1153" s="673"/>
      <c r="AJ1153" s="673"/>
      <c r="AK1153" s="673"/>
      <c r="AL1153" s="673"/>
      <c r="AM1153" s="673"/>
      <c r="AN1153" s="673"/>
      <c r="AO1153" s="673"/>
      <c r="AP1153" s="673"/>
      <c r="AQ1153" s="673"/>
      <c r="AR1153" s="673"/>
      <c r="AS1153" s="673"/>
    </row>
    <row r="1154">
      <c r="A1154" s="653"/>
      <c r="B1154" s="654"/>
      <c r="C1154" s="655"/>
      <c r="D1154" s="656"/>
      <c r="E1154" s="657"/>
      <c r="F1154" s="658"/>
      <c r="G1154" s="659"/>
      <c r="H1154" s="660"/>
      <c r="I1154" s="659"/>
      <c r="J1154" s="661"/>
      <c r="K1154" s="658"/>
      <c r="L1154" s="662"/>
      <c r="M1154" s="663"/>
      <c r="N1154" s="664"/>
      <c r="O1154" s="665"/>
      <c r="P1154" s="666"/>
      <c r="Q1154" s="667"/>
      <c r="R1154" s="668"/>
      <c r="S1154" s="665"/>
      <c r="T1154" s="669"/>
      <c r="U1154" s="669"/>
      <c r="V1154" s="665"/>
      <c r="W1154" s="670"/>
      <c r="X1154" s="670"/>
      <c r="Y1154" s="671"/>
      <c r="Z1154" s="671"/>
      <c r="AA1154" s="672"/>
      <c r="AB1154" s="673"/>
      <c r="AC1154" s="673"/>
      <c r="AD1154" s="673"/>
      <c r="AE1154" s="673"/>
      <c r="AF1154" s="673"/>
      <c r="AG1154" s="673"/>
      <c r="AH1154" s="673"/>
      <c r="AI1154" s="673"/>
      <c r="AJ1154" s="673"/>
      <c r="AK1154" s="673"/>
      <c r="AL1154" s="673"/>
      <c r="AM1154" s="673"/>
      <c r="AN1154" s="673"/>
      <c r="AO1154" s="673"/>
      <c r="AP1154" s="673"/>
      <c r="AQ1154" s="673"/>
      <c r="AR1154" s="673"/>
      <c r="AS1154" s="673"/>
    </row>
    <row r="1155">
      <c r="A1155" s="653"/>
      <c r="B1155" s="654"/>
      <c r="C1155" s="655"/>
      <c r="D1155" s="656"/>
      <c r="E1155" s="657"/>
      <c r="F1155" s="658"/>
      <c r="G1155" s="659"/>
      <c r="H1155" s="660"/>
      <c r="I1155" s="659"/>
      <c r="J1155" s="661"/>
      <c r="K1155" s="658"/>
      <c r="L1155" s="662"/>
      <c r="M1155" s="663"/>
      <c r="N1155" s="664"/>
      <c r="O1155" s="665"/>
      <c r="P1155" s="666"/>
      <c r="Q1155" s="667"/>
      <c r="R1155" s="668"/>
      <c r="S1155" s="665"/>
      <c r="T1155" s="669"/>
      <c r="U1155" s="669"/>
      <c r="V1155" s="665"/>
      <c r="W1155" s="670"/>
      <c r="X1155" s="670"/>
      <c r="Y1155" s="671"/>
      <c r="Z1155" s="671"/>
      <c r="AA1155" s="672"/>
      <c r="AB1155" s="673"/>
      <c r="AC1155" s="673"/>
      <c r="AD1155" s="673"/>
      <c r="AE1155" s="673"/>
      <c r="AF1155" s="673"/>
      <c r="AG1155" s="673"/>
      <c r="AH1155" s="673"/>
      <c r="AI1155" s="673"/>
      <c r="AJ1155" s="673"/>
      <c r="AK1155" s="673"/>
      <c r="AL1155" s="673"/>
      <c r="AM1155" s="673"/>
      <c r="AN1155" s="673"/>
      <c r="AO1155" s="673"/>
      <c r="AP1155" s="673"/>
      <c r="AQ1155" s="673"/>
      <c r="AR1155" s="673"/>
      <c r="AS1155" s="673"/>
    </row>
    <row r="1156">
      <c r="A1156" s="653"/>
      <c r="B1156" s="654"/>
      <c r="C1156" s="655"/>
      <c r="D1156" s="656"/>
      <c r="E1156" s="657"/>
      <c r="F1156" s="658"/>
      <c r="G1156" s="659"/>
      <c r="H1156" s="660"/>
      <c r="I1156" s="659"/>
      <c r="J1156" s="661"/>
      <c r="K1156" s="658"/>
      <c r="L1156" s="662"/>
      <c r="M1156" s="663"/>
      <c r="N1156" s="664"/>
      <c r="O1156" s="665"/>
      <c r="P1156" s="666"/>
      <c r="Q1156" s="667"/>
      <c r="R1156" s="668"/>
      <c r="S1156" s="665"/>
      <c r="T1156" s="669"/>
      <c r="U1156" s="669"/>
      <c r="V1156" s="665"/>
      <c r="W1156" s="670"/>
      <c r="X1156" s="670"/>
      <c r="Y1156" s="671"/>
      <c r="Z1156" s="671"/>
      <c r="AA1156" s="672"/>
      <c r="AB1156" s="673"/>
      <c r="AC1156" s="673"/>
      <c r="AD1156" s="673"/>
      <c r="AE1156" s="673"/>
      <c r="AF1156" s="673"/>
      <c r="AG1156" s="673"/>
      <c r="AH1156" s="673"/>
      <c r="AI1156" s="673"/>
      <c r="AJ1156" s="673"/>
      <c r="AK1156" s="673"/>
      <c r="AL1156" s="673"/>
      <c r="AM1156" s="673"/>
      <c r="AN1156" s="673"/>
      <c r="AO1156" s="673"/>
      <c r="AP1156" s="673"/>
      <c r="AQ1156" s="673"/>
      <c r="AR1156" s="673"/>
      <c r="AS1156" s="673"/>
    </row>
    <row r="1157">
      <c r="A1157" s="653"/>
      <c r="B1157" s="654"/>
      <c r="C1157" s="655"/>
      <c r="D1157" s="656"/>
      <c r="E1157" s="657"/>
      <c r="F1157" s="658"/>
      <c r="G1157" s="659"/>
      <c r="H1157" s="660"/>
      <c r="I1157" s="659"/>
      <c r="J1157" s="661"/>
      <c r="K1157" s="658"/>
      <c r="L1157" s="662"/>
      <c r="M1157" s="663"/>
      <c r="N1157" s="664"/>
      <c r="O1157" s="665"/>
      <c r="P1157" s="666"/>
      <c r="Q1157" s="667"/>
      <c r="R1157" s="668"/>
      <c r="S1157" s="665"/>
      <c r="T1157" s="669"/>
      <c r="U1157" s="669"/>
      <c r="V1157" s="665"/>
      <c r="W1157" s="670"/>
      <c r="X1157" s="670"/>
      <c r="Y1157" s="671"/>
      <c r="Z1157" s="671"/>
      <c r="AA1157" s="672"/>
      <c r="AB1157" s="673"/>
      <c r="AC1157" s="673"/>
      <c r="AD1157" s="673"/>
      <c r="AE1157" s="673"/>
      <c r="AF1157" s="673"/>
      <c r="AG1157" s="673"/>
      <c r="AH1157" s="673"/>
      <c r="AI1157" s="673"/>
      <c r="AJ1157" s="673"/>
      <c r="AK1157" s="673"/>
      <c r="AL1157" s="673"/>
      <c r="AM1157" s="673"/>
      <c r="AN1157" s="673"/>
      <c r="AO1157" s="673"/>
      <c r="AP1157" s="673"/>
      <c r="AQ1157" s="673"/>
      <c r="AR1157" s="673"/>
      <c r="AS1157" s="673"/>
    </row>
    <row r="1158">
      <c r="A1158" s="653"/>
      <c r="B1158" s="654"/>
      <c r="C1158" s="655"/>
      <c r="D1158" s="656"/>
      <c r="E1158" s="657"/>
      <c r="F1158" s="658"/>
      <c r="G1158" s="659"/>
      <c r="H1158" s="660"/>
      <c r="I1158" s="659"/>
      <c r="J1158" s="661"/>
      <c r="K1158" s="658"/>
      <c r="L1158" s="662"/>
      <c r="M1158" s="663"/>
      <c r="N1158" s="664"/>
      <c r="O1158" s="665"/>
      <c r="P1158" s="666"/>
      <c r="Q1158" s="667"/>
      <c r="R1158" s="668"/>
      <c r="S1158" s="665"/>
      <c r="T1158" s="669"/>
      <c r="U1158" s="669"/>
      <c r="V1158" s="665"/>
      <c r="W1158" s="670"/>
      <c r="X1158" s="670"/>
      <c r="Y1158" s="671"/>
      <c r="Z1158" s="671"/>
      <c r="AA1158" s="672"/>
      <c r="AB1158" s="673"/>
      <c r="AC1158" s="673"/>
      <c r="AD1158" s="673"/>
      <c r="AE1158" s="673"/>
      <c r="AF1158" s="673"/>
      <c r="AG1158" s="673"/>
      <c r="AH1158" s="673"/>
      <c r="AI1158" s="673"/>
      <c r="AJ1158" s="673"/>
      <c r="AK1158" s="673"/>
      <c r="AL1158" s="673"/>
      <c r="AM1158" s="673"/>
      <c r="AN1158" s="673"/>
      <c r="AO1158" s="673"/>
      <c r="AP1158" s="673"/>
      <c r="AQ1158" s="673"/>
      <c r="AR1158" s="673"/>
      <c r="AS1158" s="673"/>
    </row>
    <row r="1159">
      <c r="A1159" s="653"/>
      <c r="B1159" s="654"/>
      <c r="C1159" s="655"/>
      <c r="D1159" s="656"/>
      <c r="E1159" s="657"/>
      <c r="F1159" s="658"/>
      <c r="G1159" s="659"/>
      <c r="H1159" s="660"/>
      <c r="I1159" s="659"/>
      <c r="J1159" s="661"/>
      <c r="K1159" s="658"/>
      <c r="L1159" s="662"/>
      <c r="M1159" s="663"/>
      <c r="N1159" s="664"/>
      <c r="O1159" s="665"/>
      <c r="P1159" s="666"/>
      <c r="Q1159" s="667"/>
      <c r="R1159" s="668"/>
      <c r="S1159" s="665"/>
      <c r="T1159" s="669"/>
      <c r="U1159" s="669"/>
      <c r="V1159" s="665"/>
      <c r="W1159" s="670"/>
      <c r="X1159" s="670"/>
      <c r="Y1159" s="671"/>
      <c r="Z1159" s="671"/>
      <c r="AA1159" s="672"/>
      <c r="AB1159" s="673"/>
      <c r="AC1159" s="673"/>
      <c r="AD1159" s="673"/>
      <c r="AE1159" s="673"/>
      <c r="AF1159" s="673"/>
      <c r="AG1159" s="673"/>
      <c r="AH1159" s="673"/>
      <c r="AI1159" s="673"/>
      <c r="AJ1159" s="673"/>
      <c r="AK1159" s="673"/>
      <c r="AL1159" s="673"/>
      <c r="AM1159" s="673"/>
      <c r="AN1159" s="673"/>
      <c r="AO1159" s="673"/>
      <c r="AP1159" s="673"/>
      <c r="AQ1159" s="673"/>
      <c r="AR1159" s="673"/>
      <c r="AS1159" s="673"/>
    </row>
    <row r="1160">
      <c r="A1160" s="653"/>
      <c r="B1160" s="654"/>
      <c r="C1160" s="655"/>
      <c r="D1160" s="656"/>
      <c r="E1160" s="657"/>
      <c r="F1160" s="658"/>
      <c r="G1160" s="659"/>
      <c r="H1160" s="660"/>
      <c r="I1160" s="659"/>
      <c r="J1160" s="661"/>
      <c r="K1160" s="658"/>
      <c r="L1160" s="662"/>
      <c r="M1160" s="663"/>
      <c r="N1160" s="664"/>
      <c r="O1160" s="665"/>
      <c r="P1160" s="666"/>
      <c r="Q1160" s="667"/>
      <c r="R1160" s="668"/>
      <c r="S1160" s="665"/>
      <c r="T1160" s="669"/>
      <c r="U1160" s="669"/>
      <c r="V1160" s="665"/>
      <c r="W1160" s="670"/>
      <c r="X1160" s="670"/>
      <c r="Y1160" s="671"/>
      <c r="Z1160" s="671"/>
      <c r="AA1160" s="672"/>
      <c r="AB1160" s="673"/>
      <c r="AC1160" s="673"/>
      <c r="AD1160" s="673"/>
      <c r="AE1160" s="673"/>
      <c r="AF1160" s="673"/>
      <c r="AG1160" s="673"/>
      <c r="AH1160" s="673"/>
      <c r="AI1160" s="673"/>
      <c r="AJ1160" s="673"/>
      <c r="AK1160" s="673"/>
      <c r="AL1160" s="673"/>
      <c r="AM1160" s="673"/>
      <c r="AN1160" s="673"/>
      <c r="AO1160" s="673"/>
      <c r="AP1160" s="673"/>
      <c r="AQ1160" s="673"/>
      <c r="AR1160" s="673"/>
      <c r="AS1160" s="673"/>
    </row>
    <row r="1161">
      <c r="A1161" s="653"/>
      <c r="B1161" s="654"/>
      <c r="C1161" s="655"/>
      <c r="D1161" s="656"/>
      <c r="E1161" s="657"/>
      <c r="F1161" s="658"/>
      <c r="G1161" s="659"/>
      <c r="H1161" s="660"/>
      <c r="I1161" s="659"/>
      <c r="J1161" s="661"/>
      <c r="K1161" s="658"/>
      <c r="L1161" s="662"/>
      <c r="M1161" s="663"/>
      <c r="N1161" s="664"/>
      <c r="O1161" s="665"/>
      <c r="P1161" s="666"/>
      <c r="Q1161" s="667"/>
      <c r="R1161" s="668"/>
      <c r="S1161" s="665"/>
      <c r="T1161" s="669"/>
      <c r="U1161" s="669"/>
      <c r="V1161" s="665"/>
      <c r="W1161" s="670"/>
      <c r="X1161" s="670"/>
      <c r="Y1161" s="671"/>
      <c r="Z1161" s="671"/>
      <c r="AA1161" s="672"/>
      <c r="AB1161" s="673"/>
      <c r="AC1161" s="673"/>
      <c r="AD1161" s="673"/>
      <c r="AE1161" s="673"/>
      <c r="AF1161" s="673"/>
      <c r="AG1161" s="673"/>
      <c r="AH1161" s="673"/>
      <c r="AI1161" s="673"/>
      <c r="AJ1161" s="673"/>
      <c r="AK1161" s="673"/>
      <c r="AL1161" s="673"/>
      <c r="AM1161" s="673"/>
      <c r="AN1161" s="673"/>
      <c r="AO1161" s="673"/>
      <c r="AP1161" s="673"/>
      <c r="AQ1161" s="673"/>
      <c r="AR1161" s="673"/>
      <c r="AS1161" s="673"/>
    </row>
    <row r="1162">
      <c r="A1162" s="653"/>
      <c r="B1162" s="654"/>
      <c r="C1162" s="655"/>
      <c r="D1162" s="656"/>
      <c r="E1162" s="657"/>
      <c r="F1162" s="658"/>
      <c r="G1162" s="659"/>
      <c r="H1162" s="660"/>
      <c r="I1162" s="659"/>
      <c r="J1162" s="661"/>
      <c r="K1162" s="658"/>
      <c r="L1162" s="662"/>
      <c r="M1162" s="663"/>
      <c r="N1162" s="664"/>
      <c r="O1162" s="665"/>
      <c r="P1162" s="666"/>
      <c r="Q1162" s="667"/>
      <c r="R1162" s="668"/>
      <c r="S1162" s="665"/>
      <c r="T1162" s="669"/>
      <c r="U1162" s="669"/>
      <c r="V1162" s="665"/>
      <c r="W1162" s="670"/>
      <c r="X1162" s="670"/>
      <c r="Y1162" s="671"/>
      <c r="Z1162" s="671"/>
      <c r="AA1162" s="672"/>
      <c r="AB1162" s="673"/>
      <c r="AC1162" s="673"/>
      <c r="AD1162" s="673"/>
      <c r="AE1162" s="673"/>
      <c r="AF1162" s="673"/>
      <c r="AG1162" s="673"/>
      <c r="AH1162" s="673"/>
      <c r="AI1162" s="673"/>
      <c r="AJ1162" s="673"/>
      <c r="AK1162" s="673"/>
      <c r="AL1162" s="673"/>
      <c r="AM1162" s="673"/>
      <c r="AN1162" s="673"/>
      <c r="AO1162" s="673"/>
      <c r="AP1162" s="673"/>
      <c r="AQ1162" s="673"/>
      <c r="AR1162" s="673"/>
      <c r="AS1162" s="673"/>
    </row>
    <row r="1163">
      <c r="A1163" s="653"/>
      <c r="B1163" s="654"/>
      <c r="C1163" s="655"/>
      <c r="D1163" s="656"/>
      <c r="E1163" s="657"/>
      <c r="F1163" s="658"/>
      <c r="G1163" s="659"/>
      <c r="H1163" s="660"/>
      <c r="I1163" s="659"/>
      <c r="J1163" s="661"/>
      <c r="K1163" s="658"/>
      <c r="L1163" s="662"/>
      <c r="M1163" s="663"/>
      <c r="N1163" s="664"/>
      <c r="O1163" s="665"/>
      <c r="P1163" s="666"/>
      <c r="Q1163" s="667"/>
      <c r="R1163" s="668"/>
      <c r="S1163" s="665"/>
      <c r="T1163" s="669"/>
      <c r="U1163" s="669"/>
      <c r="V1163" s="665"/>
      <c r="W1163" s="670"/>
      <c r="X1163" s="670"/>
      <c r="Y1163" s="671"/>
      <c r="Z1163" s="671"/>
      <c r="AA1163" s="672"/>
      <c r="AB1163" s="673"/>
      <c r="AC1163" s="673"/>
      <c r="AD1163" s="673"/>
      <c r="AE1163" s="673"/>
      <c r="AF1163" s="673"/>
      <c r="AG1163" s="673"/>
      <c r="AH1163" s="673"/>
      <c r="AI1163" s="673"/>
      <c r="AJ1163" s="673"/>
      <c r="AK1163" s="673"/>
      <c r="AL1163" s="673"/>
      <c r="AM1163" s="673"/>
      <c r="AN1163" s="673"/>
      <c r="AO1163" s="673"/>
      <c r="AP1163" s="673"/>
      <c r="AQ1163" s="673"/>
      <c r="AR1163" s="673"/>
      <c r="AS1163" s="673"/>
    </row>
    <row r="1164">
      <c r="A1164" s="653"/>
      <c r="B1164" s="654"/>
      <c r="C1164" s="655"/>
      <c r="D1164" s="656"/>
      <c r="E1164" s="657"/>
      <c r="F1164" s="658"/>
      <c r="G1164" s="659"/>
      <c r="H1164" s="660"/>
      <c r="I1164" s="659"/>
      <c r="J1164" s="661"/>
      <c r="K1164" s="658"/>
      <c r="L1164" s="662"/>
      <c r="M1164" s="663"/>
      <c r="N1164" s="664"/>
      <c r="O1164" s="665"/>
      <c r="P1164" s="666"/>
      <c r="Q1164" s="667"/>
      <c r="R1164" s="668"/>
      <c r="S1164" s="665"/>
      <c r="T1164" s="669"/>
      <c r="U1164" s="669"/>
      <c r="V1164" s="665"/>
      <c r="W1164" s="670"/>
      <c r="X1164" s="670"/>
      <c r="Y1164" s="671"/>
      <c r="Z1164" s="671"/>
      <c r="AA1164" s="672"/>
      <c r="AB1164" s="673"/>
      <c r="AC1164" s="673"/>
      <c r="AD1164" s="673"/>
      <c r="AE1164" s="673"/>
      <c r="AF1164" s="673"/>
      <c r="AG1164" s="673"/>
      <c r="AH1164" s="673"/>
      <c r="AI1164" s="673"/>
      <c r="AJ1164" s="673"/>
      <c r="AK1164" s="673"/>
      <c r="AL1164" s="673"/>
      <c r="AM1164" s="673"/>
      <c r="AN1164" s="673"/>
      <c r="AO1164" s="673"/>
      <c r="AP1164" s="673"/>
      <c r="AQ1164" s="673"/>
      <c r="AR1164" s="673"/>
      <c r="AS1164" s="673"/>
    </row>
    <row r="1165">
      <c r="A1165" s="653"/>
      <c r="B1165" s="654"/>
      <c r="C1165" s="655"/>
      <c r="D1165" s="656"/>
      <c r="E1165" s="657"/>
      <c r="F1165" s="658"/>
      <c r="G1165" s="659"/>
      <c r="H1165" s="660"/>
      <c r="I1165" s="659"/>
      <c r="J1165" s="661"/>
      <c r="K1165" s="658"/>
      <c r="L1165" s="662"/>
      <c r="M1165" s="663"/>
      <c r="N1165" s="664"/>
      <c r="O1165" s="665"/>
      <c r="P1165" s="666"/>
      <c r="Q1165" s="667"/>
      <c r="R1165" s="668"/>
      <c r="S1165" s="665"/>
      <c r="T1165" s="669"/>
      <c r="U1165" s="669"/>
      <c r="V1165" s="665"/>
      <c r="W1165" s="670"/>
      <c r="X1165" s="670"/>
      <c r="Y1165" s="671"/>
      <c r="Z1165" s="671"/>
      <c r="AA1165" s="672"/>
      <c r="AB1165" s="673"/>
      <c r="AC1165" s="673"/>
      <c r="AD1165" s="673"/>
      <c r="AE1165" s="673"/>
      <c r="AF1165" s="673"/>
      <c r="AG1165" s="673"/>
      <c r="AH1165" s="673"/>
      <c r="AI1165" s="673"/>
      <c r="AJ1165" s="673"/>
      <c r="AK1165" s="673"/>
      <c r="AL1165" s="673"/>
      <c r="AM1165" s="673"/>
      <c r="AN1165" s="673"/>
      <c r="AO1165" s="673"/>
      <c r="AP1165" s="673"/>
      <c r="AQ1165" s="673"/>
      <c r="AR1165" s="673"/>
      <c r="AS1165" s="673"/>
    </row>
    <row r="1166">
      <c r="A1166" s="653"/>
      <c r="B1166" s="654"/>
      <c r="C1166" s="655"/>
      <c r="D1166" s="656"/>
      <c r="E1166" s="657"/>
      <c r="F1166" s="658"/>
      <c r="G1166" s="659"/>
      <c r="H1166" s="660"/>
      <c r="I1166" s="659"/>
      <c r="J1166" s="661"/>
      <c r="K1166" s="658"/>
      <c r="L1166" s="662"/>
      <c r="M1166" s="663"/>
      <c r="N1166" s="664"/>
      <c r="O1166" s="665"/>
      <c r="P1166" s="666"/>
      <c r="Q1166" s="667"/>
      <c r="R1166" s="668"/>
      <c r="S1166" s="665"/>
      <c r="T1166" s="669"/>
      <c r="U1166" s="669"/>
      <c r="V1166" s="665"/>
      <c r="W1166" s="670"/>
      <c r="X1166" s="670"/>
      <c r="Y1166" s="671"/>
      <c r="Z1166" s="671"/>
      <c r="AA1166" s="672"/>
      <c r="AB1166" s="673"/>
      <c r="AC1166" s="673"/>
      <c r="AD1166" s="673"/>
      <c r="AE1166" s="673"/>
      <c r="AF1166" s="673"/>
      <c r="AG1166" s="673"/>
      <c r="AH1166" s="673"/>
      <c r="AI1166" s="673"/>
      <c r="AJ1166" s="673"/>
      <c r="AK1166" s="673"/>
      <c r="AL1166" s="673"/>
      <c r="AM1166" s="673"/>
      <c r="AN1166" s="673"/>
      <c r="AO1166" s="673"/>
      <c r="AP1166" s="673"/>
      <c r="AQ1166" s="673"/>
      <c r="AR1166" s="673"/>
      <c r="AS1166" s="673"/>
    </row>
    <row r="1167">
      <c r="A1167" s="653"/>
      <c r="B1167" s="654"/>
      <c r="C1167" s="655"/>
      <c r="D1167" s="656"/>
      <c r="E1167" s="657"/>
      <c r="F1167" s="658"/>
      <c r="G1167" s="659"/>
      <c r="H1167" s="660"/>
      <c r="I1167" s="659"/>
      <c r="J1167" s="661"/>
      <c r="K1167" s="658"/>
      <c r="L1167" s="662"/>
      <c r="M1167" s="663"/>
      <c r="N1167" s="664"/>
      <c r="O1167" s="665"/>
      <c r="P1167" s="666"/>
      <c r="Q1167" s="667"/>
      <c r="R1167" s="668"/>
      <c r="S1167" s="665"/>
      <c r="T1167" s="669"/>
      <c r="U1167" s="669"/>
      <c r="V1167" s="665"/>
      <c r="W1167" s="670"/>
      <c r="X1167" s="670"/>
      <c r="Y1167" s="671"/>
      <c r="Z1167" s="671"/>
      <c r="AA1167" s="672"/>
      <c r="AB1167" s="673"/>
      <c r="AC1167" s="673"/>
      <c r="AD1167" s="673"/>
      <c r="AE1167" s="673"/>
      <c r="AF1167" s="673"/>
      <c r="AG1167" s="673"/>
      <c r="AH1167" s="673"/>
      <c r="AI1167" s="673"/>
      <c r="AJ1167" s="673"/>
      <c r="AK1167" s="673"/>
      <c r="AL1167" s="673"/>
      <c r="AM1167" s="673"/>
      <c r="AN1167" s="673"/>
      <c r="AO1167" s="673"/>
      <c r="AP1167" s="673"/>
      <c r="AQ1167" s="673"/>
      <c r="AR1167" s="673"/>
      <c r="AS1167" s="673"/>
    </row>
    <row r="1168">
      <c r="A1168" s="653"/>
      <c r="B1168" s="654"/>
      <c r="C1168" s="655"/>
      <c r="D1168" s="656"/>
      <c r="E1168" s="657"/>
      <c r="F1168" s="658"/>
      <c r="G1168" s="659"/>
      <c r="H1168" s="660"/>
      <c r="I1168" s="659"/>
      <c r="J1168" s="661"/>
      <c r="K1168" s="658"/>
      <c r="L1168" s="662"/>
      <c r="M1168" s="663"/>
      <c r="N1168" s="664"/>
      <c r="O1168" s="665"/>
      <c r="P1168" s="666"/>
      <c r="Q1168" s="667"/>
      <c r="R1168" s="668"/>
      <c r="S1168" s="665"/>
      <c r="T1168" s="669"/>
      <c r="U1168" s="669"/>
      <c r="V1168" s="665"/>
      <c r="W1168" s="670"/>
      <c r="X1168" s="670"/>
      <c r="Y1168" s="671"/>
      <c r="Z1168" s="671"/>
      <c r="AA1168" s="672"/>
      <c r="AB1168" s="673"/>
      <c r="AC1168" s="673"/>
      <c r="AD1168" s="673"/>
      <c r="AE1168" s="673"/>
      <c r="AF1168" s="673"/>
      <c r="AG1168" s="673"/>
      <c r="AH1168" s="673"/>
      <c r="AI1168" s="673"/>
      <c r="AJ1168" s="673"/>
      <c r="AK1168" s="673"/>
      <c r="AL1168" s="673"/>
      <c r="AM1168" s="673"/>
      <c r="AN1168" s="673"/>
      <c r="AO1168" s="673"/>
      <c r="AP1168" s="673"/>
      <c r="AQ1168" s="673"/>
      <c r="AR1168" s="673"/>
      <c r="AS1168" s="673"/>
    </row>
    <row r="1169">
      <c r="A1169" s="653"/>
      <c r="B1169" s="654"/>
      <c r="C1169" s="655"/>
      <c r="D1169" s="656"/>
      <c r="E1169" s="657"/>
      <c r="F1169" s="658"/>
      <c r="G1169" s="659"/>
      <c r="H1169" s="660"/>
      <c r="I1169" s="659"/>
      <c r="J1169" s="661"/>
      <c r="K1169" s="658"/>
      <c r="L1169" s="662"/>
      <c r="M1169" s="663"/>
      <c r="N1169" s="664"/>
      <c r="O1169" s="665"/>
      <c r="P1169" s="666"/>
      <c r="Q1169" s="667"/>
      <c r="R1169" s="668"/>
      <c r="S1169" s="665"/>
      <c r="T1169" s="669"/>
      <c r="U1169" s="669"/>
      <c r="V1169" s="665"/>
      <c r="W1169" s="670"/>
      <c r="X1169" s="670"/>
      <c r="Y1169" s="671"/>
      <c r="Z1169" s="671"/>
      <c r="AA1169" s="672"/>
      <c r="AB1169" s="673"/>
      <c r="AC1169" s="673"/>
      <c r="AD1169" s="673"/>
      <c r="AE1169" s="673"/>
      <c r="AF1169" s="673"/>
      <c r="AG1169" s="673"/>
      <c r="AH1169" s="673"/>
      <c r="AI1169" s="673"/>
      <c r="AJ1169" s="673"/>
      <c r="AK1169" s="673"/>
      <c r="AL1169" s="673"/>
      <c r="AM1169" s="673"/>
      <c r="AN1169" s="673"/>
      <c r="AO1169" s="673"/>
      <c r="AP1169" s="673"/>
      <c r="AQ1169" s="673"/>
      <c r="AR1169" s="673"/>
      <c r="AS1169" s="673"/>
    </row>
    <row r="1170">
      <c r="A1170" s="653"/>
      <c r="B1170" s="654"/>
      <c r="C1170" s="655"/>
      <c r="D1170" s="656"/>
      <c r="E1170" s="657"/>
      <c r="F1170" s="658"/>
      <c r="G1170" s="659"/>
      <c r="H1170" s="660"/>
      <c r="I1170" s="659"/>
      <c r="J1170" s="661"/>
      <c r="K1170" s="658"/>
      <c r="L1170" s="662"/>
      <c r="M1170" s="663"/>
      <c r="N1170" s="664"/>
      <c r="O1170" s="665"/>
      <c r="P1170" s="666"/>
      <c r="Q1170" s="667"/>
      <c r="R1170" s="668"/>
      <c r="S1170" s="665"/>
      <c r="T1170" s="669"/>
      <c r="U1170" s="669"/>
      <c r="V1170" s="665"/>
      <c r="W1170" s="670"/>
      <c r="X1170" s="670"/>
      <c r="Y1170" s="671"/>
      <c r="Z1170" s="671"/>
      <c r="AA1170" s="672"/>
      <c r="AB1170" s="673"/>
      <c r="AC1170" s="673"/>
      <c r="AD1170" s="673"/>
      <c r="AE1170" s="673"/>
      <c r="AF1170" s="673"/>
      <c r="AG1170" s="673"/>
      <c r="AH1170" s="673"/>
      <c r="AI1170" s="673"/>
      <c r="AJ1170" s="673"/>
      <c r="AK1170" s="673"/>
      <c r="AL1170" s="673"/>
      <c r="AM1170" s="673"/>
      <c r="AN1170" s="673"/>
      <c r="AO1170" s="673"/>
      <c r="AP1170" s="673"/>
      <c r="AQ1170" s="673"/>
      <c r="AR1170" s="673"/>
      <c r="AS1170" s="673"/>
    </row>
    <row r="1171">
      <c r="A1171" s="653"/>
      <c r="B1171" s="654"/>
      <c r="C1171" s="655"/>
      <c r="D1171" s="656"/>
      <c r="E1171" s="657"/>
      <c r="F1171" s="658"/>
      <c r="G1171" s="659"/>
      <c r="H1171" s="660"/>
      <c r="I1171" s="659"/>
      <c r="J1171" s="661"/>
      <c r="K1171" s="658"/>
      <c r="L1171" s="662"/>
      <c r="M1171" s="663"/>
      <c r="N1171" s="664"/>
      <c r="O1171" s="665"/>
      <c r="P1171" s="666"/>
      <c r="Q1171" s="667"/>
      <c r="R1171" s="668"/>
      <c r="S1171" s="665"/>
      <c r="T1171" s="669"/>
      <c r="U1171" s="669"/>
      <c r="V1171" s="665"/>
      <c r="W1171" s="670"/>
      <c r="X1171" s="670"/>
      <c r="Y1171" s="671"/>
      <c r="Z1171" s="671"/>
      <c r="AA1171" s="672"/>
      <c r="AB1171" s="673"/>
      <c r="AC1171" s="673"/>
      <c r="AD1171" s="673"/>
      <c r="AE1171" s="673"/>
      <c r="AF1171" s="673"/>
      <c r="AG1171" s="673"/>
      <c r="AH1171" s="673"/>
      <c r="AI1171" s="673"/>
      <c r="AJ1171" s="673"/>
      <c r="AK1171" s="673"/>
      <c r="AL1171" s="673"/>
      <c r="AM1171" s="673"/>
      <c r="AN1171" s="673"/>
      <c r="AO1171" s="673"/>
      <c r="AP1171" s="673"/>
      <c r="AQ1171" s="673"/>
      <c r="AR1171" s="673"/>
      <c r="AS1171" s="673"/>
    </row>
    <row r="1172">
      <c r="A1172" s="653"/>
      <c r="B1172" s="654"/>
      <c r="C1172" s="655"/>
      <c r="D1172" s="656"/>
      <c r="E1172" s="657"/>
      <c r="F1172" s="658"/>
      <c r="G1172" s="659"/>
      <c r="H1172" s="660"/>
      <c r="I1172" s="659"/>
      <c r="J1172" s="661"/>
      <c r="K1172" s="658"/>
      <c r="L1172" s="662"/>
      <c r="M1172" s="663"/>
      <c r="N1172" s="664"/>
      <c r="O1172" s="665"/>
      <c r="P1172" s="666"/>
      <c r="Q1172" s="667"/>
      <c r="R1172" s="668"/>
      <c r="S1172" s="665"/>
      <c r="T1172" s="669"/>
      <c r="U1172" s="669"/>
      <c r="V1172" s="665"/>
      <c r="W1172" s="670"/>
      <c r="X1172" s="670"/>
      <c r="Y1172" s="671"/>
      <c r="Z1172" s="671"/>
      <c r="AA1172" s="672"/>
      <c r="AB1172" s="673"/>
      <c r="AC1172" s="673"/>
      <c r="AD1172" s="673"/>
      <c r="AE1172" s="673"/>
      <c r="AF1172" s="673"/>
      <c r="AG1172" s="673"/>
      <c r="AH1172" s="673"/>
      <c r="AI1172" s="673"/>
      <c r="AJ1172" s="673"/>
      <c r="AK1172" s="673"/>
      <c r="AL1172" s="673"/>
      <c r="AM1172" s="673"/>
      <c r="AN1172" s="673"/>
      <c r="AO1172" s="673"/>
      <c r="AP1172" s="673"/>
      <c r="AQ1172" s="673"/>
      <c r="AR1172" s="673"/>
      <c r="AS1172" s="673"/>
    </row>
    <row r="1173">
      <c r="A1173" s="653"/>
      <c r="B1173" s="654"/>
      <c r="C1173" s="655"/>
      <c r="D1173" s="656"/>
      <c r="E1173" s="657"/>
      <c r="F1173" s="658"/>
      <c r="G1173" s="659"/>
      <c r="H1173" s="660"/>
      <c r="I1173" s="659"/>
      <c r="J1173" s="661"/>
      <c r="K1173" s="658"/>
      <c r="L1173" s="662"/>
      <c r="M1173" s="663"/>
      <c r="N1173" s="664"/>
      <c r="O1173" s="665"/>
      <c r="P1173" s="666"/>
      <c r="Q1173" s="667"/>
      <c r="R1173" s="668"/>
      <c r="S1173" s="665"/>
      <c r="T1173" s="669"/>
      <c r="U1173" s="669"/>
      <c r="V1173" s="665"/>
      <c r="W1173" s="670"/>
      <c r="X1173" s="670"/>
      <c r="Y1173" s="671"/>
      <c r="Z1173" s="671"/>
      <c r="AA1173" s="672"/>
      <c r="AB1173" s="673"/>
      <c r="AC1173" s="673"/>
      <c r="AD1173" s="673"/>
      <c r="AE1173" s="673"/>
      <c r="AF1173" s="673"/>
      <c r="AG1173" s="673"/>
      <c r="AH1173" s="673"/>
      <c r="AI1173" s="673"/>
      <c r="AJ1173" s="673"/>
      <c r="AK1173" s="673"/>
      <c r="AL1173" s="673"/>
      <c r="AM1173" s="673"/>
      <c r="AN1173" s="673"/>
      <c r="AO1173" s="673"/>
      <c r="AP1173" s="673"/>
      <c r="AQ1173" s="673"/>
      <c r="AR1173" s="673"/>
      <c r="AS1173" s="673"/>
    </row>
    <row r="1174">
      <c r="A1174" s="653"/>
      <c r="B1174" s="654"/>
      <c r="C1174" s="655"/>
      <c r="D1174" s="656"/>
      <c r="E1174" s="657"/>
      <c r="F1174" s="658"/>
      <c r="G1174" s="659"/>
      <c r="H1174" s="660"/>
      <c r="I1174" s="659"/>
      <c r="J1174" s="661"/>
      <c r="K1174" s="658"/>
      <c r="L1174" s="662"/>
      <c r="M1174" s="663"/>
      <c r="N1174" s="664"/>
      <c r="O1174" s="665"/>
      <c r="P1174" s="666"/>
      <c r="Q1174" s="667"/>
      <c r="R1174" s="668"/>
      <c r="S1174" s="665"/>
      <c r="T1174" s="669"/>
      <c r="U1174" s="669"/>
      <c r="V1174" s="665"/>
      <c r="W1174" s="670"/>
      <c r="X1174" s="670"/>
      <c r="Y1174" s="671"/>
      <c r="Z1174" s="671"/>
      <c r="AA1174" s="672"/>
      <c r="AB1174" s="673"/>
      <c r="AC1174" s="673"/>
      <c r="AD1174" s="673"/>
      <c r="AE1174" s="673"/>
      <c r="AF1174" s="673"/>
      <c r="AG1174" s="673"/>
      <c r="AH1174" s="673"/>
      <c r="AI1174" s="673"/>
      <c r="AJ1174" s="673"/>
      <c r="AK1174" s="673"/>
      <c r="AL1174" s="673"/>
      <c r="AM1174" s="673"/>
      <c r="AN1174" s="673"/>
      <c r="AO1174" s="673"/>
      <c r="AP1174" s="673"/>
      <c r="AQ1174" s="673"/>
      <c r="AR1174" s="673"/>
      <c r="AS1174" s="673"/>
    </row>
    <row r="1175">
      <c r="A1175" s="653"/>
      <c r="B1175" s="654"/>
      <c r="C1175" s="655"/>
      <c r="D1175" s="656"/>
      <c r="E1175" s="657"/>
      <c r="F1175" s="658"/>
      <c r="G1175" s="659"/>
      <c r="H1175" s="660"/>
      <c r="I1175" s="659"/>
      <c r="J1175" s="661"/>
      <c r="K1175" s="658"/>
      <c r="L1175" s="662"/>
      <c r="M1175" s="663"/>
      <c r="N1175" s="664"/>
      <c r="O1175" s="665"/>
      <c r="P1175" s="666"/>
      <c r="Q1175" s="667"/>
      <c r="R1175" s="668"/>
      <c r="S1175" s="665"/>
      <c r="T1175" s="669"/>
      <c r="U1175" s="669"/>
      <c r="V1175" s="665"/>
      <c r="W1175" s="670"/>
      <c r="X1175" s="670"/>
      <c r="Y1175" s="671"/>
      <c r="Z1175" s="671"/>
      <c r="AA1175" s="672"/>
      <c r="AB1175" s="673"/>
      <c r="AC1175" s="673"/>
      <c r="AD1175" s="673"/>
      <c r="AE1175" s="673"/>
      <c r="AF1175" s="673"/>
      <c r="AG1175" s="673"/>
      <c r="AH1175" s="673"/>
      <c r="AI1175" s="673"/>
      <c r="AJ1175" s="673"/>
      <c r="AK1175" s="673"/>
      <c r="AL1175" s="673"/>
      <c r="AM1175" s="673"/>
      <c r="AN1175" s="673"/>
      <c r="AO1175" s="673"/>
      <c r="AP1175" s="673"/>
      <c r="AQ1175" s="673"/>
      <c r="AR1175" s="673"/>
      <c r="AS1175" s="673"/>
    </row>
    <row r="1176">
      <c r="A1176" s="653"/>
      <c r="B1176" s="654"/>
      <c r="C1176" s="655"/>
      <c r="D1176" s="656"/>
      <c r="E1176" s="657"/>
      <c r="F1176" s="658"/>
      <c r="G1176" s="659"/>
      <c r="H1176" s="660"/>
      <c r="I1176" s="659"/>
      <c r="J1176" s="661"/>
      <c r="K1176" s="658"/>
      <c r="L1176" s="662"/>
      <c r="M1176" s="663"/>
      <c r="N1176" s="664"/>
      <c r="O1176" s="665"/>
      <c r="P1176" s="666"/>
      <c r="Q1176" s="667"/>
      <c r="R1176" s="668"/>
      <c r="S1176" s="665"/>
      <c r="T1176" s="669"/>
      <c r="U1176" s="669"/>
      <c r="V1176" s="665"/>
      <c r="W1176" s="670"/>
      <c r="X1176" s="670"/>
      <c r="Y1176" s="671"/>
      <c r="Z1176" s="671"/>
      <c r="AA1176" s="672"/>
      <c r="AB1176" s="673"/>
      <c r="AC1176" s="673"/>
      <c r="AD1176" s="673"/>
      <c r="AE1176" s="673"/>
      <c r="AF1176" s="673"/>
      <c r="AG1176" s="673"/>
      <c r="AH1176" s="673"/>
      <c r="AI1176" s="673"/>
      <c r="AJ1176" s="673"/>
      <c r="AK1176" s="673"/>
      <c r="AL1176" s="673"/>
      <c r="AM1176" s="673"/>
      <c r="AN1176" s="673"/>
      <c r="AO1176" s="673"/>
      <c r="AP1176" s="673"/>
      <c r="AQ1176" s="673"/>
      <c r="AR1176" s="673"/>
      <c r="AS1176" s="673"/>
    </row>
    <row r="1177">
      <c r="A1177" s="653"/>
      <c r="B1177" s="654"/>
      <c r="C1177" s="655"/>
      <c r="D1177" s="656"/>
      <c r="E1177" s="657"/>
      <c r="F1177" s="658"/>
      <c r="G1177" s="659"/>
      <c r="H1177" s="660"/>
      <c r="I1177" s="659"/>
      <c r="J1177" s="661"/>
      <c r="K1177" s="658"/>
      <c r="L1177" s="662"/>
      <c r="M1177" s="663"/>
      <c r="N1177" s="664"/>
      <c r="O1177" s="665"/>
      <c r="P1177" s="666"/>
      <c r="Q1177" s="667"/>
      <c r="R1177" s="668"/>
      <c r="S1177" s="665"/>
      <c r="T1177" s="669"/>
      <c r="U1177" s="669"/>
      <c r="V1177" s="665"/>
      <c r="W1177" s="670"/>
      <c r="X1177" s="670"/>
      <c r="Y1177" s="671"/>
      <c r="Z1177" s="671"/>
      <c r="AA1177" s="672"/>
      <c r="AB1177" s="673"/>
      <c r="AC1177" s="673"/>
      <c r="AD1177" s="673"/>
      <c r="AE1177" s="673"/>
      <c r="AF1177" s="673"/>
      <c r="AG1177" s="673"/>
      <c r="AH1177" s="673"/>
      <c r="AI1177" s="673"/>
      <c r="AJ1177" s="673"/>
      <c r="AK1177" s="673"/>
      <c r="AL1177" s="673"/>
      <c r="AM1177" s="673"/>
      <c r="AN1177" s="673"/>
      <c r="AO1177" s="673"/>
      <c r="AP1177" s="673"/>
      <c r="AQ1177" s="673"/>
      <c r="AR1177" s="673"/>
      <c r="AS1177" s="673"/>
    </row>
    <row r="1178">
      <c r="A1178" s="653"/>
      <c r="B1178" s="654"/>
      <c r="C1178" s="655"/>
      <c r="D1178" s="656"/>
      <c r="E1178" s="657"/>
      <c r="F1178" s="658"/>
      <c r="G1178" s="659"/>
      <c r="H1178" s="660"/>
      <c r="I1178" s="659"/>
      <c r="J1178" s="661"/>
      <c r="K1178" s="658"/>
      <c r="L1178" s="662"/>
      <c r="M1178" s="663"/>
      <c r="N1178" s="664"/>
      <c r="O1178" s="665"/>
      <c r="P1178" s="666"/>
      <c r="Q1178" s="667"/>
      <c r="R1178" s="668"/>
      <c r="S1178" s="665"/>
      <c r="T1178" s="669"/>
      <c r="U1178" s="669"/>
      <c r="V1178" s="665"/>
      <c r="W1178" s="670"/>
      <c r="X1178" s="670"/>
      <c r="Y1178" s="671"/>
      <c r="Z1178" s="671"/>
      <c r="AA1178" s="672"/>
      <c r="AB1178" s="673"/>
      <c r="AC1178" s="673"/>
      <c r="AD1178" s="673"/>
      <c r="AE1178" s="673"/>
      <c r="AF1178" s="673"/>
      <c r="AG1178" s="673"/>
      <c r="AH1178" s="673"/>
      <c r="AI1178" s="673"/>
      <c r="AJ1178" s="673"/>
      <c r="AK1178" s="673"/>
      <c r="AL1178" s="673"/>
      <c r="AM1178" s="673"/>
      <c r="AN1178" s="673"/>
      <c r="AO1178" s="673"/>
      <c r="AP1178" s="673"/>
      <c r="AQ1178" s="673"/>
      <c r="AR1178" s="673"/>
      <c r="AS1178" s="673"/>
    </row>
    <row r="1179">
      <c r="A1179" s="653"/>
      <c r="B1179" s="654"/>
      <c r="C1179" s="655"/>
      <c r="D1179" s="656"/>
      <c r="E1179" s="657"/>
      <c r="F1179" s="658"/>
      <c r="G1179" s="659"/>
      <c r="H1179" s="660"/>
      <c r="I1179" s="659"/>
      <c r="J1179" s="661"/>
      <c r="K1179" s="658"/>
      <c r="L1179" s="662"/>
      <c r="M1179" s="663"/>
      <c r="N1179" s="664"/>
      <c r="O1179" s="665"/>
      <c r="P1179" s="666"/>
      <c r="Q1179" s="667"/>
      <c r="R1179" s="668"/>
      <c r="S1179" s="665"/>
      <c r="T1179" s="669"/>
      <c r="U1179" s="669"/>
      <c r="V1179" s="665"/>
      <c r="W1179" s="670"/>
      <c r="X1179" s="670"/>
      <c r="Y1179" s="671"/>
      <c r="Z1179" s="671"/>
      <c r="AA1179" s="672"/>
      <c r="AB1179" s="673"/>
      <c r="AC1179" s="673"/>
      <c r="AD1179" s="673"/>
      <c r="AE1179" s="673"/>
      <c r="AF1179" s="673"/>
      <c r="AG1179" s="673"/>
      <c r="AH1179" s="673"/>
      <c r="AI1179" s="673"/>
      <c r="AJ1179" s="673"/>
      <c r="AK1179" s="673"/>
      <c r="AL1179" s="673"/>
      <c r="AM1179" s="673"/>
      <c r="AN1179" s="673"/>
      <c r="AO1179" s="673"/>
      <c r="AP1179" s="673"/>
      <c r="AQ1179" s="673"/>
      <c r="AR1179" s="673"/>
      <c r="AS1179" s="673"/>
    </row>
    <row r="1180">
      <c r="A1180" s="653"/>
      <c r="B1180" s="654"/>
      <c r="C1180" s="655"/>
      <c r="D1180" s="656"/>
      <c r="E1180" s="657"/>
      <c r="F1180" s="658"/>
      <c r="G1180" s="659"/>
      <c r="H1180" s="660"/>
      <c r="I1180" s="659"/>
      <c r="J1180" s="661"/>
      <c r="K1180" s="658"/>
      <c r="L1180" s="662"/>
      <c r="M1180" s="663"/>
      <c r="N1180" s="664"/>
      <c r="O1180" s="665"/>
      <c r="P1180" s="666"/>
      <c r="Q1180" s="667"/>
      <c r="R1180" s="668"/>
      <c r="S1180" s="665"/>
      <c r="T1180" s="669"/>
      <c r="U1180" s="669"/>
      <c r="V1180" s="665"/>
      <c r="W1180" s="670"/>
      <c r="X1180" s="670"/>
      <c r="Y1180" s="671"/>
      <c r="Z1180" s="671"/>
      <c r="AA1180" s="672"/>
      <c r="AB1180" s="673"/>
      <c r="AC1180" s="673"/>
      <c r="AD1180" s="673"/>
      <c r="AE1180" s="673"/>
      <c r="AF1180" s="673"/>
      <c r="AG1180" s="673"/>
      <c r="AH1180" s="673"/>
      <c r="AI1180" s="673"/>
      <c r="AJ1180" s="673"/>
      <c r="AK1180" s="673"/>
      <c r="AL1180" s="673"/>
      <c r="AM1180" s="673"/>
      <c r="AN1180" s="673"/>
      <c r="AO1180" s="673"/>
      <c r="AP1180" s="673"/>
      <c r="AQ1180" s="673"/>
      <c r="AR1180" s="673"/>
      <c r="AS1180" s="673"/>
    </row>
    <row r="1181">
      <c r="A1181" s="653"/>
      <c r="B1181" s="654"/>
      <c r="C1181" s="655"/>
      <c r="D1181" s="656"/>
      <c r="E1181" s="657"/>
      <c r="F1181" s="658"/>
      <c r="G1181" s="659"/>
      <c r="H1181" s="660"/>
      <c r="I1181" s="659"/>
      <c r="J1181" s="661"/>
      <c r="K1181" s="658"/>
      <c r="L1181" s="662"/>
      <c r="M1181" s="663"/>
      <c r="N1181" s="664"/>
      <c r="O1181" s="665"/>
      <c r="P1181" s="666"/>
      <c r="Q1181" s="667"/>
      <c r="R1181" s="668"/>
      <c r="S1181" s="665"/>
      <c r="T1181" s="669"/>
      <c r="U1181" s="669"/>
      <c r="V1181" s="665"/>
      <c r="W1181" s="670"/>
      <c r="X1181" s="670"/>
      <c r="Y1181" s="671"/>
      <c r="Z1181" s="671"/>
      <c r="AA1181" s="672"/>
      <c r="AB1181" s="673"/>
      <c r="AC1181" s="673"/>
      <c r="AD1181" s="673"/>
      <c r="AE1181" s="673"/>
      <c r="AF1181" s="673"/>
      <c r="AG1181" s="673"/>
      <c r="AH1181" s="673"/>
      <c r="AI1181" s="673"/>
      <c r="AJ1181" s="673"/>
      <c r="AK1181" s="673"/>
      <c r="AL1181" s="673"/>
      <c r="AM1181" s="673"/>
      <c r="AN1181" s="673"/>
      <c r="AO1181" s="673"/>
      <c r="AP1181" s="673"/>
      <c r="AQ1181" s="673"/>
      <c r="AR1181" s="673"/>
      <c r="AS1181" s="673"/>
    </row>
    <row r="1182">
      <c r="A1182" s="653"/>
      <c r="B1182" s="654"/>
      <c r="C1182" s="655"/>
      <c r="D1182" s="656"/>
      <c r="E1182" s="657"/>
      <c r="F1182" s="658"/>
      <c r="G1182" s="659"/>
      <c r="H1182" s="660"/>
      <c r="I1182" s="659"/>
      <c r="J1182" s="661"/>
      <c r="K1182" s="658"/>
      <c r="L1182" s="662"/>
      <c r="M1182" s="663"/>
      <c r="N1182" s="664"/>
      <c r="O1182" s="665"/>
      <c r="P1182" s="666"/>
      <c r="Q1182" s="667"/>
      <c r="R1182" s="668"/>
      <c r="S1182" s="665"/>
      <c r="T1182" s="669"/>
      <c r="U1182" s="669"/>
      <c r="V1182" s="665"/>
      <c r="W1182" s="670"/>
      <c r="X1182" s="670"/>
      <c r="Y1182" s="671"/>
      <c r="Z1182" s="671"/>
      <c r="AA1182" s="672"/>
      <c r="AB1182" s="673"/>
      <c r="AC1182" s="673"/>
      <c r="AD1182" s="673"/>
      <c r="AE1182" s="673"/>
      <c r="AF1182" s="673"/>
      <c r="AG1182" s="673"/>
      <c r="AH1182" s="673"/>
      <c r="AI1182" s="673"/>
      <c r="AJ1182" s="673"/>
      <c r="AK1182" s="673"/>
      <c r="AL1182" s="673"/>
      <c r="AM1182" s="673"/>
      <c r="AN1182" s="673"/>
      <c r="AO1182" s="673"/>
      <c r="AP1182" s="673"/>
      <c r="AQ1182" s="673"/>
      <c r="AR1182" s="673"/>
      <c r="AS1182" s="673"/>
    </row>
    <row r="1183">
      <c r="A1183" s="653"/>
      <c r="B1183" s="654"/>
      <c r="C1183" s="655"/>
      <c r="D1183" s="656"/>
      <c r="E1183" s="657"/>
      <c r="F1183" s="658"/>
      <c r="G1183" s="659"/>
      <c r="H1183" s="660"/>
      <c r="I1183" s="659"/>
      <c r="J1183" s="661"/>
      <c r="K1183" s="658"/>
      <c r="L1183" s="662"/>
      <c r="M1183" s="663"/>
      <c r="N1183" s="664"/>
      <c r="O1183" s="665"/>
      <c r="P1183" s="666"/>
      <c r="Q1183" s="667"/>
      <c r="R1183" s="668"/>
      <c r="S1183" s="665"/>
      <c r="T1183" s="669"/>
      <c r="U1183" s="669"/>
      <c r="V1183" s="665"/>
      <c r="W1183" s="670"/>
      <c r="X1183" s="670"/>
      <c r="Y1183" s="671"/>
      <c r="Z1183" s="671"/>
      <c r="AA1183" s="672"/>
      <c r="AB1183" s="673"/>
      <c r="AC1183" s="673"/>
      <c r="AD1183" s="673"/>
      <c r="AE1183" s="673"/>
      <c r="AF1183" s="673"/>
      <c r="AG1183" s="673"/>
      <c r="AH1183" s="673"/>
      <c r="AI1183" s="673"/>
      <c r="AJ1183" s="673"/>
      <c r="AK1183" s="673"/>
      <c r="AL1183" s="673"/>
      <c r="AM1183" s="673"/>
      <c r="AN1183" s="673"/>
      <c r="AO1183" s="673"/>
      <c r="AP1183" s="673"/>
      <c r="AQ1183" s="673"/>
      <c r="AR1183" s="673"/>
      <c r="AS1183" s="673"/>
    </row>
    <row r="1184">
      <c r="A1184" s="653"/>
      <c r="B1184" s="654"/>
      <c r="C1184" s="655"/>
      <c r="D1184" s="656"/>
      <c r="E1184" s="657"/>
      <c r="F1184" s="658"/>
      <c r="G1184" s="659"/>
      <c r="H1184" s="660"/>
      <c r="I1184" s="659"/>
      <c r="J1184" s="661"/>
      <c r="K1184" s="658"/>
      <c r="L1184" s="662"/>
      <c r="M1184" s="663"/>
      <c r="N1184" s="664"/>
      <c r="O1184" s="665"/>
      <c r="P1184" s="666"/>
      <c r="Q1184" s="667"/>
      <c r="R1184" s="668"/>
      <c r="S1184" s="665"/>
      <c r="T1184" s="669"/>
      <c r="U1184" s="669"/>
      <c r="V1184" s="665"/>
      <c r="W1184" s="670"/>
      <c r="X1184" s="670"/>
      <c r="Y1184" s="671"/>
      <c r="Z1184" s="671"/>
      <c r="AA1184" s="672"/>
      <c r="AB1184" s="673"/>
      <c r="AC1184" s="673"/>
      <c r="AD1184" s="673"/>
      <c r="AE1184" s="673"/>
      <c r="AF1184" s="673"/>
      <c r="AG1184" s="673"/>
      <c r="AH1184" s="673"/>
      <c r="AI1184" s="673"/>
      <c r="AJ1184" s="673"/>
      <c r="AK1184" s="673"/>
      <c r="AL1184" s="673"/>
      <c r="AM1184" s="673"/>
      <c r="AN1184" s="673"/>
      <c r="AO1184" s="673"/>
      <c r="AP1184" s="673"/>
      <c r="AQ1184" s="673"/>
      <c r="AR1184" s="673"/>
      <c r="AS1184" s="673"/>
    </row>
    <row r="1185">
      <c r="A1185" s="653"/>
      <c r="B1185" s="654"/>
      <c r="C1185" s="655"/>
      <c r="D1185" s="656"/>
      <c r="E1185" s="657"/>
      <c r="F1185" s="658"/>
      <c r="G1185" s="659"/>
      <c r="H1185" s="660"/>
      <c r="I1185" s="659"/>
      <c r="J1185" s="661"/>
      <c r="K1185" s="658"/>
      <c r="L1185" s="662"/>
      <c r="M1185" s="663"/>
      <c r="N1185" s="664"/>
      <c r="O1185" s="665"/>
      <c r="P1185" s="666"/>
      <c r="Q1185" s="667"/>
      <c r="R1185" s="668"/>
      <c r="S1185" s="665"/>
      <c r="T1185" s="669"/>
      <c r="U1185" s="669"/>
      <c r="V1185" s="665"/>
      <c r="W1185" s="670"/>
      <c r="X1185" s="670"/>
      <c r="Y1185" s="671"/>
      <c r="Z1185" s="671"/>
      <c r="AA1185" s="672"/>
      <c r="AB1185" s="673"/>
      <c r="AC1185" s="673"/>
      <c r="AD1185" s="673"/>
      <c r="AE1185" s="673"/>
      <c r="AF1185" s="673"/>
      <c r="AG1185" s="673"/>
      <c r="AH1185" s="673"/>
      <c r="AI1185" s="673"/>
      <c r="AJ1185" s="673"/>
      <c r="AK1185" s="673"/>
      <c r="AL1185" s="673"/>
      <c r="AM1185" s="673"/>
      <c r="AN1185" s="673"/>
      <c r="AO1185" s="673"/>
      <c r="AP1185" s="673"/>
      <c r="AQ1185" s="673"/>
      <c r="AR1185" s="673"/>
      <c r="AS1185" s="673"/>
    </row>
    <row r="1186">
      <c r="A1186" s="653"/>
      <c r="B1186" s="654"/>
      <c r="C1186" s="655"/>
      <c r="D1186" s="656"/>
      <c r="E1186" s="657"/>
      <c r="F1186" s="658"/>
      <c r="G1186" s="659"/>
      <c r="H1186" s="660"/>
      <c r="I1186" s="659"/>
      <c r="J1186" s="661"/>
      <c r="K1186" s="658"/>
      <c r="L1186" s="662"/>
      <c r="M1186" s="663"/>
      <c r="N1186" s="664"/>
      <c r="O1186" s="665"/>
      <c r="P1186" s="666"/>
      <c r="Q1186" s="667"/>
      <c r="R1186" s="668"/>
      <c r="S1186" s="665"/>
      <c r="T1186" s="669"/>
      <c r="U1186" s="669"/>
      <c r="V1186" s="665"/>
      <c r="W1186" s="670"/>
      <c r="X1186" s="670"/>
      <c r="Y1186" s="671"/>
      <c r="Z1186" s="671"/>
      <c r="AA1186" s="672"/>
      <c r="AB1186" s="673"/>
      <c r="AC1186" s="673"/>
      <c r="AD1186" s="673"/>
      <c r="AE1186" s="673"/>
      <c r="AF1186" s="673"/>
      <c r="AG1186" s="673"/>
      <c r="AH1186" s="673"/>
      <c r="AI1186" s="673"/>
      <c r="AJ1186" s="673"/>
      <c r="AK1186" s="673"/>
      <c r="AL1186" s="673"/>
      <c r="AM1186" s="673"/>
      <c r="AN1186" s="673"/>
      <c r="AO1186" s="673"/>
      <c r="AP1186" s="673"/>
      <c r="AQ1186" s="673"/>
      <c r="AR1186" s="673"/>
      <c r="AS1186" s="673"/>
    </row>
    <row r="1187">
      <c r="A1187" s="653"/>
      <c r="B1187" s="654"/>
      <c r="C1187" s="655"/>
      <c r="D1187" s="656"/>
      <c r="E1187" s="657"/>
      <c r="F1187" s="658"/>
      <c r="G1187" s="659"/>
      <c r="H1187" s="660"/>
      <c r="I1187" s="659"/>
      <c r="J1187" s="661"/>
      <c r="K1187" s="658"/>
      <c r="L1187" s="662"/>
      <c r="M1187" s="663"/>
      <c r="N1187" s="664"/>
      <c r="O1187" s="665"/>
      <c r="P1187" s="666"/>
      <c r="Q1187" s="667"/>
      <c r="R1187" s="668"/>
      <c r="S1187" s="665"/>
      <c r="T1187" s="669"/>
      <c r="U1187" s="669"/>
      <c r="V1187" s="665"/>
      <c r="W1187" s="670"/>
      <c r="X1187" s="670"/>
      <c r="Y1187" s="671"/>
      <c r="Z1187" s="671"/>
      <c r="AA1187" s="672"/>
      <c r="AB1187" s="673"/>
      <c r="AC1187" s="673"/>
      <c r="AD1187" s="673"/>
      <c r="AE1187" s="673"/>
      <c r="AF1187" s="673"/>
      <c r="AG1187" s="673"/>
      <c r="AH1187" s="673"/>
      <c r="AI1187" s="673"/>
      <c r="AJ1187" s="673"/>
      <c r="AK1187" s="673"/>
      <c r="AL1187" s="673"/>
      <c r="AM1187" s="673"/>
      <c r="AN1187" s="673"/>
      <c r="AO1187" s="673"/>
      <c r="AP1187" s="673"/>
      <c r="AQ1187" s="673"/>
      <c r="AR1187" s="673"/>
      <c r="AS1187" s="673"/>
    </row>
    <row r="1188">
      <c r="A1188" s="653"/>
      <c r="B1188" s="654"/>
      <c r="C1188" s="655"/>
      <c r="D1188" s="656"/>
      <c r="E1188" s="657"/>
      <c r="F1188" s="658"/>
      <c r="G1188" s="659"/>
      <c r="H1188" s="660"/>
      <c r="I1188" s="659"/>
      <c r="J1188" s="661"/>
      <c r="K1188" s="658"/>
      <c r="L1188" s="662"/>
      <c r="M1188" s="663"/>
      <c r="N1188" s="664"/>
      <c r="O1188" s="665"/>
      <c r="P1188" s="666"/>
      <c r="Q1188" s="667"/>
      <c r="R1188" s="668"/>
      <c r="S1188" s="665"/>
      <c r="T1188" s="669"/>
      <c r="U1188" s="669"/>
      <c r="V1188" s="665"/>
      <c r="W1188" s="670"/>
      <c r="X1188" s="670"/>
      <c r="Y1188" s="671"/>
      <c r="Z1188" s="671"/>
      <c r="AA1188" s="672"/>
      <c r="AB1188" s="673"/>
      <c r="AC1188" s="673"/>
      <c r="AD1188" s="673"/>
      <c r="AE1188" s="673"/>
      <c r="AF1188" s="673"/>
      <c r="AG1188" s="673"/>
      <c r="AH1188" s="673"/>
      <c r="AI1188" s="673"/>
      <c r="AJ1188" s="673"/>
      <c r="AK1188" s="673"/>
      <c r="AL1188" s="673"/>
      <c r="AM1188" s="673"/>
      <c r="AN1188" s="673"/>
      <c r="AO1188" s="673"/>
      <c r="AP1188" s="673"/>
      <c r="AQ1188" s="673"/>
      <c r="AR1188" s="673"/>
      <c r="AS1188" s="673"/>
    </row>
    <row r="1189">
      <c r="A1189" s="653"/>
      <c r="B1189" s="654"/>
      <c r="C1189" s="655"/>
      <c r="D1189" s="656"/>
      <c r="E1189" s="657"/>
      <c r="F1189" s="658"/>
      <c r="G1189" s="659"/>
      <c r="H1189" s="660"/>
      <c r="I1189" s="659"/>
      <c r="J1189" s="661"/>
      <c r="K1189" s="658"/>
      <c r="L1189" s="662"/>
      <c r="M1189" s="663"/>
      <c r="N1189" s="664"/>
      <c r="O1189" s="665"/>
      <c r="P1189" s="666"/>
      <c r="Q1189" s="667"/>
      <c r="R1189" s="668"/>
      <c r="S1189" s="665"/>
      <c r="T1189" s="669"/>
      <c r="U1189" s="669"/>
      <c r="V1189" s="665"/>
      <c r="W1189" s="670"/>
      <c r="X1189" s="670"/>
      <c r="Y1189" s="671"/>
      <c r="Z1189" s="671"/>
      <c r="AA1189" s="672"/>
      <c r="AB1189" s="673"/>
      <c r="AC1189" s="673"/>
      <c r="AD1189" s="673"/>
      <c r="AE1189" s="673"/>
      <c r="AF1189" s="673"/>
      <c r="AG1189" s="673"/>
      <c r="AH1189" s="673"/>
      <c r="AI1189" s="673"/>
      <c r="AJ1189" s="673"/>
      <c r="AK1189" s="673"/>
      <c r="AL1189" s="673"/>
      <c r="AM1189" s="673"/>
      <c r="AN1189" s="673"/>
      <c r="AO1189" s="673"/>
      <c r="AP1189" s="673"/>
      <c r="AQ1189" s="673"/>
      <c r="AR1189" s="673"/>
      <c r="AS1189" s="673"/>
    </row>
    <row r="1190">
      <c r="A1190" s="653"/>
      <c r="B1190" s="654"/>
      <c r="C1190" s="655"/>
      <c r="D1190" s="656"/>
      <c r="E1190" s="657"/>
      <c r="F1190" s="658"/>
      <c r="G1190" s="659"/>
      <c r="H1190" s="660"/>
      <c r="I1190" s="659"/>
      <c r="J1190" s="661"/>
      <c r="K1190" s="658"/>
      <c r="L1190" s="662"/>
      <c r="M1190" s="663"/>
      <c r="N1190" s="664"/>
      <c r="O1190" s="665"/>
      <c r="P1190" s="666"/>
      <c r="Q1190" s="667"/>
      <c r="R1190" s="668"/>
      <c r="S1190" s="665"/>
      <c r="T1190" s="669"/>
      <c r="U1190" s="669"/>
      <c r="V1190" s="665"/>
      <c r="W1190" s="670"/>
      <c r="X1190" s="670"/>
      <c r="Y1190" s="671"/>
      <c r="Z1190" s="671"/>
      <c r="AA1190" s="672"/>
      <c r="AB1190" s="673"/>
      <c r="AC1190" s="673"/>
      <c r="AD1190" s="673"/>
      <c r="AE1190" s="673"/>
      <c r="AF1190" s="673"/>
      <c r="AG1190" s="673"/>
      <c r="AH1190" s="673"/>
      <c r="AI1190" s="673"/>
      <c r="AJ1190" s="673"/>
      <c r="AK1190" s="673"/>
      <c r="AL1190" s="673"/>
      <c r="AM1190" s="673"/>
      <c r="AN1190" s="673"/>
      <c r="AO1190" s="673"/>
      <c r="AP1190" s="673"/>
      <c r="AQ1190" s="673"/>
      <c r="AR1190" s="673"/>
      <c r="AS1190" s="673"/>
    </row>
    <row r="1191">
      <c r="A1191" s="653"/>
      <c r="B1191" s="654"/>
      <c r="C1191" s="655"/>
      <c r="D1191" s="656"/>
      <c r="E1191" s="657"/>
      <c r="F1191" s="658"/>
      <c r="G1191" s="659"/>
      <c r="H1191" s="660"/>
      <c r="I1191" s="659"/>
      <c r="J1191" s="661"/>
      <c r="K1191" s="658"/>
      <c r="L1191" s="662"/>
      <c r="M1191" s="663"/>
      <c r="N1191" s="664"/>
      <c r="O1191" s="665"/>
      <c r="P1191" s="666"/>
      <c r="Q1191" s="667"/>
      <c r="R1191" s="668"/>
      <c r="S1191" s="665"/>
      <c r="T1191" s="669"/>
      <c r="U1191" s="669"/>
      <c r="V1191" s="665"/>
      <c r="W1191" s="670"/>
      <c r="X1191" s="670"/>
      <c r="Y1191" s="671"/>
      <c r="Z1191" s="671"/>
      <c r="AA1191" s="672"/>
      <c r="AB1191" s="673"/>
      <c r="AC1191" s="673"/>
      <c r="AD1191" s="673"/>
      <c r="AE1191" s="673"/>
      <c r="AF1191" s="673"/>
      <c r="AG1191" s="673"/>
      <c r="AH1191" s="673"/>
      <c r="AI1191" s="673"/>
      <c r="AJ1191" s="673"/>
      <c r="AK1191" s="673"/>
      <c r="AL1191" s="673"/>
      <c r="AM1191" s="673"/>
      <c r="AN1191" s="673"/>
      <c r="AO1191" s="673"/>
      <c r="AP1191" s="673"/>
      <c r="AQ1191" s="673"/>
      <c r="AR1191" s="673"/>
      <c r="AS1191" s="673"/>
    </row>
    <row r="1192">
      <c r="A1192" s="653"/>
      <c r="B1192" s="654"/>
      <c r="C1192" s="655"/>
      <c r="D1192" s="656"/>
      <c r="E1192" s="657"/>
      <c r="F1192" s="658"/>
      <c r="G1192" s="659"/>
      <c r="H1192" s="660"/>
      <c r="I1192" s="659"/>
      <c r="J1192" s="661"/>
      <c r="K1192" s="658"/>
      <c r="L1192" s="662"/>
      <c r="M1192" s="663"/>
      <c r="N1192" s="664"/>
      <c r="O1192" s="665"/>
      <c r="P1192" s="666"/>
      <c r="Q1192" s="667"/>
      <c r="R1192" s="668"/>
      <c r="S1192" s="665"/>
      <c r="T1192" s="669"/>
      <c r="U1192" s="669"/>
      <c r="V1192" s="665"/>
      <c r="W1192" s="670"/>
      <c r="X1192" s="670"/>
      <c r="Y1192" s="671"/>
      <c r="Z1192" s="671"/>
      <c r="AA1192" s="672"/>
      <c r="AB1192" s="673"/>
      <c r="AC1192" s="673"/>
      <c r="AD1192" s="673"/>
      <c r="AE1192" s="673"/>
      <c r="AF1192" s="673"/>
      <c r="AG1192" s="673"/>
      <c r="AH1192" s="673"/>
      <c r="AI1192" s="673"/>
      <c r="AJ1192" s="673"/>
      <c r="AK1192" s="673"/>
      <c r="AL1192" s="673"/>
      <c r="AM1192" s="673"/>
      <c r="AN1192" s="673"/>
      <c r="AO1192" s="673"/>
      <c r="AP1192" s="673"/>
      <c r="AQ1192" s="673"/>
      <c r="AR1192" s="673"/>
      <c r="AS1192" s="673"/>
    </row>
    <row r="1193">
      <c r="A1193" s="653"/>
      <c r="B1193" s="654"/>
      <c r="C1193" s="655"/>
      <c r="D1193" s="656"/>
      <c r="E1193" s="657"/>
      <c r="F1193" s="658"/>
      <c r="G1193" s="659"/>
      <c r="H1193" s="660"/>
      <c r="I1193" s="659"/>
      <c r="J1193" s="661"/>
      <c r="K1193" s="658"/>
      <c r="L1193" s="662"/>
      <c r="M1193" s="663"/>
      <c r="N1193" s="664"/>
      <c r="O1193" s="665"/>
      <c r="P1193" s="666"/>
      <c r="Q1193" s="667"/>
      <c r="R1193" s="668"/>
      <c r="S1193" s="665"/>
      <c r="T1193" s="669"/>
      <c r="U1193" s="669"/>
      <c r="V1193" s="665"/>
      <c r="W1193" s="670"/>
      <c r="X1193" s="670"/>
      <c r="Y1193" s="671"/>
      <c r="Z1193" s="671"/>
      <c r="AA1193" s="672"/>
      <c r="AB1193" s="673"/>
      <c r="AC1193" s="673"/>
      <c r="AD1193" s="673"/>
      <c r="AE1193" s="673"/>
      <c r="AF1193" s="673"/>
      <c r="AG1193" s="673"/>
      <c r="AH1193" s="673"/>
      <c r="AI1193" s="673"/>
      <c r="AJ1193" s="673"/>
      <c r="AK1193" s="673"/>
      <c r="AL1193" s="673"/>
      <c r="AM1193" s="673"/>
      <c r="AN1193" s="673"/>
      <c r="AO1193" s="673"/>
      <c r="AP1193" s="673"/>
      <c r="AQ1193" s="673"/>
      <c r="AR1193" s="673"/>
      <c r="AS1193" s="673"/>
    </row>
    <row r="1194">
      <c r="A1194" s="653"/>
      <c r="B1194" s="654"/>
      <c r="C1194" s="655"/>
      <c r="D1194" s="656"/>
      <c r="E1194" s="657"/>
      <c r="F1194" s="658"/>
      <c r="G1194" s="659"/>
      <c r="H1194" s="660"/>
      <c r="I1194" s="659"/>
      <c r="J1194" s="661"/>
      <c r="K1194" s="658"/>
      <c r="L1194" s="662"/>
      <c r="M1194" s="663"/>
      <c r="N1194" s="664"/>
      <c r="O1194" s="665"/>
      <c r="P1194" s="666"/>
      <c r="Q1194" s="667"/>
      <c r="R1194" s="668"/>
      <c r="S1194" s="665"/>
      <c r="T1194" s="669"/>
      <c r="U1194" s="669"/>
      <c r="V1194" s="665"/>
      <c r="W1194" s="670"/>
      <c r="X1194" s="670"/>
      <c r="Y1194" s="671"/>
      <c r="Z1194" s="671"/>
      <c r="AA1194" s="672"/>
      <c r="AB1194" s="673"/>
      <c r="AC1194" s="673"/>
      <c r="AD1194" s="673"/>
      <c r="AE1194" s="673"/>
      <c r="AF1194" s="673"/>
      <c r="AG1194" s="673"/>
      <c r="AH1194" s="673"/>
      <c r="AI1194" s="673"/>
      <c r="AJ1194" s="673"/>
      <c r="AK1194" s="673"/>
      <c r="AL1194" s="673"/>
      <c r="AM1194" s="673"/>
      <c r="AN1194" s="673"/>
      <c r="AO1194" s="673"/>
      <c r="AP1194" s="673"/>
      <c r="AQ1194" s="673"/>
      <c r="AR1194" s="673"/>
      <c r="AS1194" s="673"/>
    </row>
    <row r="1195">
      <c r="A1195" s="653"/>
      <c r="B1195" s="654"/>
      <c r="C1195" s="655"/>
      <c r="D1195" s="656"/>
      <c r="E1195" s="657"/>
      <c r="F1195" s="658"/>
      <c r="G1195" s="659"/>
      <c r="H1195" s="660"/>
      <c r="I1195" s="659"/>
      <c r="J1195" s="661"/>
      <c r="K1195" s="658"/>
      <c r="L1195" s="662"/>
      <c r="M1195" s="663"/>
      <c r="N1195" s="664"/>
      <c r="O1195" s="665"/>
      <c r="P1195" s="666"/>
      <c r="Q1195" s="667"/>
      <c r="R1195" s="668"/>
      <c r="S1195" s="665"/>
      <c r="T1195" s="669"/>
      <c r="U1195" s="669"/>
      <c r="V1195" s="665"/>
      <c r="W1195" s="670"/>
      <c r="X1195" s="670"/>
      <c r="Y1195" s="671"/>
      <c r="Z1195" s="671"/>
      <c r="AA1195" s="672"/>
      <c r="AB1195" s="673"/>
      <c r="AC1195" s="673"/>
      <c r="AD1195" s="673"/>
      <c r="AE1195" s="673"/>
      <c r="AF1195" s="673"/>
      <c r="AG1195" s="673"/>
      <c r="AH1195" s="673"/>
      <c r="AI1195" s="673"/>
      <c r="AJ1195" s="673"/>
      <c r="AK1195" s="673"/>
      <c r="AL1195" s="673"/>
      <c r="AM1195" s="673"/>
      <c r="AN1195" s="673"/>
      <c r="AO1195" s="673"/>
      <c r="AP1195" s="673"/>
      <c r="AQ1195" s="673"/>
      <c r="AR1195" s="673"/>
      <c r="AS1195" s="673"/>
    </row>
    <row r="1196">
      <c r="A1196" s="653"/>
      <c r="B1196" s="654"/>
      <c r="C1196" s="655"/>
      <c r="D1196" s="656"/>
      <c r="E1196" s="657"/>
      <c r="F1196" s="658"/>
      <c r="G1196" s="659"/>
      <c r="H1196" s="660"/>
      <c r="I1196" s="659"/>
      <c r="J1196" s="661"/>
      <c r="K1196" s="658"/>
      <c r="L1196" s="662"/>
      <c r="M1196" s="663"/>
      <c r="N1196" s="664"/>
      <c r="O1196" s="665"/>
      <c r="P1196" s="666"/>
      <c r="Q1196" s="667"/>
      <c r="R1196" s="668"/>
      <c r="S1196" s="665"/>
      <c r="T1196" s="669"/>
      <c r="U1196" s="669"/>
      <c r="V1196" s="665"/>
      <c r="W1196" s="670"/>
      <c r="X1196" s="670"/>
      <c r="Y1196" s="671"/>
      <c r="Z1196" s="671"/>
      <c r="AA1196" s="672"/>
      <c r="AB1196" s="673"/>
      <c r="AC1196" s="673"/>
      <c r="AD1196" s="673"/>
      <c r="AE1196" s="673"/>
      <c r="AF1196" s="673"/>
      <c r="AG1196" s="673"/>
      <c r="AH1196" s="673"/>
      <c r="AI1196" s="673"/>
      <c r="AJ1196" s="673"/>
      <c r="AK1196" s="673"/>
      <c r="AL1196" s="673"/>
      <c r="AM1196" s="673"/>
      <c r="AN1196" s="673"/>
      <c r="AO1196" s="673"/>
      <c r="AP1196" s="673"/>
      <c r="AQ1196" s="673"/>
      <c r="AR1196" s="673"/>
      <c r="AS1196" s="673"/>
    </row>
    <row r="1197">
      <c r="A1197" s="653"/>
      <c r="B1197" s="654"/>
      <c r="C1197" s="655"/>
      <c r="D1197" s="656"/>
      <c r="E1197" s="657"/>
      <c r="F1197" s="658"/>
      <c r="G1197" s="659"/>
      <c r="H1197" s="660"/>
      <c r="I1197" s="659"/>
      <c r="J1197" s="661"/>
      <c r="K1197" s="658"/>
      <c r="L1197" s="662"/>
      <c r="M1197" s="663"/>
      <c r="N1197" s="664"/>
      <c r="O1197" s="665"/>
      <c r="P1197" s="666"/>
      <c r="Q1197" s="667"/>
      <c r="R1197" s="668"/>
      <c r="S1197" s="665"/>
      <c r="T1197" s="669"/>
      <c r="U1197" s="669"/>
      <c r="V1197" s="665"/>
      <c r="W1197" s="670"/>
      <c r="X1197" s="670"/>
      <c r="Y1197" s="671"/>
      <c r="Z1197" s="671"/>
      <c r="AA1197" s="672"/>
      <c r="AB1197" s="673"/>
      <c r="AC1197" s="673"/>
      <c r="AD1197" s="673"/>
      <c r="AE1197" s="673"/>
      <c r="AF1197" s="673"/>
      <c r="AG1197" s="673"/>
      <c r="AH1197" s="673"/>
      <c r="AI1197" s="673"/>
      <c r="AJ1197" s="673"/>
      <c r="AK1197" s="673"/>
      <c r="AL1197" s="673"/>
      <c r="AM1197" s="673"/>
      <c r="AN1197" s="673"/>
      <c r="AO1197" s="673"/>
      <c r="AP1197" s="673"/>
      <c r="AQ1197" s="673"/>
      <c r="AR1197" s="673"/>
      <c r="AS1197" s="673"/>
    </row>
    <row r="1198">
      <c r="A1198" s="653"/>
      <c r="B1198" s="654"/>
      <c r="C1198" s="655"/>
      <c r="D1198" s="656"/>
      <c r="E1198" s="657"/>
      <c r="F1198" s="658"/>
      <c r="G1198" s="659"/>
      <c r="H1198" s="660"/>
      <c r="I1198" s="659"/>
      <c r="J1198" s="661"/>
      <c r="K1198" s="658"/>
      <c r="L1198" s="662"/>
      <c r="M1198" s="663"/>
      <c r="N1198" s="664"/>
      <c r="O1198" s="665"/>
      <c r="P1198" s="666"/>
      <c r="Q1198" s="667"/>
      <c r="R1198" s="668"/>
      <c r="S1198" s="665"/>
      <c r="T1198" s="669"/>
      <c r="U1198" s="669"/>
      <c r="V1198" s="665"/>
      <c r="W1198" s="670"/>
      <c r="X1198" s="670"/>
      <c r="Y1198" s="671"/>
      <c r="Z1198" s="671"/>
      <c r="AA1198" s="672"/>
      <c r="AB1198" s="673"/>
      <c r="AC1198" s="673"/>
      <c r="AD1198" s="673"/>
      <c r="AE1198" s="673"/>
      <c r="AF1198" s="673"/>
      <c r="AG1198" s="673"/>
      <c r="AH1198" s="673"/>
      <c r="AI1198" s="673"/>
      <c r="AJ1198" s="673"/>
      <c r="AK1198" s="673"/>
      <c r="AL1198" s="673"/>
      <c r="AM1198" s="673"/>
      <c r="AN1198" s="673"/>
      <c r="AO1198" s="673"/>
      <c r="AP1198" s="673"/>
      <c r="AQ1198" s="673"/>
      <c r="AR1198" s="673"/>
      <c r="AS1198" s="673"/>
    </row>
    <row r="1199">
      <c r="A1199" s="653"/>
      <c r="B1199" s="654"/>
      <c r="C1199" s="655"/>
      <c r="D1199" s="656"/>
      <c r="E1199" s="657"/>
      <c r="F1199" s="658"/>
      <c r="G1199" s="659"/>
      <c r="H1199" s="660"/>
      <c r="I1199" s="659"/>
      <c r="J1199" s="661"/>
      <c r="K1199" s="658"/>
      <c r="L1199" s="662"/>
      <c r="M1199" s="663"/>
      <c r="N1199" s="664"/>
      <c r="O1199" s="665"/>
      <c r="P1199" s="666"/>
      <c r="Q1199" s="667"/>
      <c r="R1199" s="668"/>
      <c r="S1199" s="665"/>
      <c r="T1199" s="669"/>
      <c r="U1199" s="669"/>
      <c r="V1199" s="665"/>
      <c r="W1199" s="670"/>
      <c r="X1199" s="670"/>
      <c r="Y1199" s="671"/>
      <c r="Z1199" s="671"/>
      <c r="AA1199" s="672"/>
      <c r="AB1199" s="673"/>
      <c r="AC1199" s="673"/>
      <c r="AD1199" s="673"/>
      <c r="AE1199" s="673"/>
      <c r="AF1199" s="673"/>
      <c r="AG1199" s="673"/>
      <c r="AH1199" s="673"/>
      <c r="AI1199" s="673"/>
      <c r="AJ1199" s="673"/>
      <c r="AK1199" s="673"/>
      <c r="AL1199" s="673"/>
      <c r="AM1199" s="673"/>
      <c r="AN1199" s="673"/>
      <c r="AO1199" s="673"/>
      <c r="AP1199" s="673"/>
      <c r="AQ1199" s="673"/>
      <c r="AR1199" s="673"/>
      <c r="AS1199" s="673"/>
    </row>
    <row r="1200">
      <c r="A1200" s="653"/>
      <c r="B1200" s="654"/>
      <c r="C1200" s="655"/>
      <c r="D1200" s="656"/>
      <c r="E1200" s="657"/>
      <c r="F1200" s="658"/>
      <c r="G1200" s="659"/>
      <c r="H1200" s="660"/>
      <c r="I1200" s="659"/>
      <c r="J1200" s="661"/>
      <c r="K1200" s="658"/>
      <c r="L1200" s="662"/>
      <c r="M1200" s="663"/>
      <c r="N1200" s="664"/>
      <c r="O1200" s="665"/>
      <c r="P1200" s="666"/>
      <c r="Q1200" s="667"/>
      <c r="R1200" s="668"/>
      <c r="S1200" s="665"/>
      <c r="T1200" s="669"/>
      <c r="U1200" s="669"/>
      <c r="V1200" s="665"/>
      <c r="W1200" s="670"/>
      <c r="X1200" s="670"/>
      <c r="Y1200" s="671"/>
      <c r="Z1200" s="671"/>
      <c r="AA1200" s="672"/>
      <c r="AB1200" s="673"/>
      <c r="AC1200" s="673"/>
      <c r="AD1200" s="673"/>
      <c r="AE1200" s="673"/>
      <c r="AF1200" s="673"/>
      <c r="AG1200" s="673"/>
      <c r="AH1200" s="673"/>
      <c r="AI1200" s="673"/>
      <c r="AJ1200" s="673"/>
      <c r="AK1200" s="673"/>
      <c r="AL1200" s="673"/>
      <c r="AM1200" s="673"/>
      <c r="AN1200" s="673"/>
      <c r="AO1200" s="673"/>
      <c r="AP1200" s="673"/>
      <c r="AQ1200" s="673"/>
      <c r="AR1200" s="673"/>
      <c r="AS1200" s="673"/>
    </row>
    <row r="1201">
      <c r="A1201" s="653"/>
      <c r="B1201" s="654"/>
      <c r="C1201" s="655"/>
      <c r="D1201" s="656"/>
      <c r="E1201" s="657"/>
      <c r="F1201" s="658"/>
      <c r="G1201" s="659"/>
      <c r="H1201" s="660"/>
      <c r="I1201" s="659"/>
      <c r="J1201" s="661"/>
      <c r="K1201" s="658"/>
      <c r="L1201" s="662"/>
      <c r="M1201" s="663"/>
      <c r="N1201" s="664"/>
      <c r="O1201" s="665"/>
      <c r="P1201" s="666"/>
      <c r="Q1201" s="667"/>
      <c r="R1201" s="668"/>
      <c r="S1201" s="665"/>
      <c r="T1201" s="669"/>
      <c r="U1201" s="669"/>
      <c r="V1201" s="665"/>
      <c r="W1201" s="670"/>
      <c r="X1201" s="670"/>
      <c r="Y1201" s="671"/>
      <c r="Z1201" s="671"/>
      <c r="AA1201" s="672"/>
      <c r="AB1201" s="673"/>
      <c r="AC1201" s="673"/>
      <c r="AD1201" s="673"/>
      <c r="AE1201" s="673"/>
      <c r="AF1201" s="673"/>
      <c r="AG1201" s="673"/>
      <c r="AH1201" s="673"/>
      <c r="AI1201" s="673"/>
      <c r="AJ1201" s="673"/>
      <c r="AK1201" s="673"/>
      <c r="AL1201" s="673"/>
      <c r="AM1201" s="673"/>
      <c r="AN1201" s="673"/>
      <c r="AO1201" s="673"/>
      <c r="AP1201" s="673"/>
      <c r="AQ1201" s="673"/>
      <c r="AR1201" s="673"/>
      <c r="AS1201" s="673"/>
    </row>
    <row r="1202">
      <c r="A1202" s="653"/>
      <c r="B1202" s="654"/>
      <c r="C1202" s="655"/>
      <c r="D1202" s="656"/>
      <c r="E1202" s="657"/>
      <c r="F1202" s="658"/>
      <c r="G1202" s="659"/>
      <c r="H1202" s="660"/>
      <c r="I1202" s="659"/>
      <c r="J1202" s="661"/>
      <c r="K1202" s="658"/>
      <c r="L1202" s="662"/>
      <c r="M1202" s="663"/>
      <c r="N1202" s="664"/>
      <c r="O1202" s="665"/>
      <c r="P1202" s="666"/>
      <c r="Q1202" s="667"/>
      <c r="R1202" s="668"/>
      <c r="S1202" s="665"/>
      <c r="T1202" s="669"/>
      <c r="U1202" s="669"/>
      <c r="V1202" s="665"/>
      <c r="W1202" s="670"/>
      <c r="X1202" s="670"/>
      <c r="Y1202" s="671"/>
      <c r="Z1202" s="671"/>
      <c r="AA1202" s="672"/>
      <c r="AB1202" s="673"/>
      <c r="AC1202" s="673"/>
      <c r="AD1202" s="673"/>
      <c r="AE1202" s="673"/>
      <c r="AF1202" s="673"/>
      <c r="AG1202" s="673"/>
      <c r="AH1202" s="673"/>
      <c r="AI1202" s="673"/>
      <c r="AJ1202" s="673"/>
      <c r="AK1202" s="673"/>
      <c r="AL1202" s="673"/>
      <c r="AM1202" s="673"/>
      <c r="AN1202" s="673"/>
      <c r="AO1202" s="673"/>
      <c r="AP1202" s="673"/>
      <c r="AQ1202" s="673"/>
      <c r="AR1202" s="673"/>
      <c r="AS1202" s="673"/>
    </row>
    <row r="1203">
      <c r="A1203" s="653"/>
      <c r="B1203" s="654"/>
      <c r="C1203" s="655"/>
      <c r="D1203" s="656"/>
      <c r="E1203" s="657"/>
      <c r="F1203" s="658"/>
      <c r="G1203" s="659"/>
      <c r="H1203" s="660"/>
      <c r="I1203" s="659"/>
      <c r="J1203" s="661"/>
      <c r="K1203" s="658"/>
      <c r="L1203" s="662"/>
      <c r="M1203" s="663"/>
      <c r="N1203" s="664"/>
      <c r="O1203" s="665"/>
      <c r="P1203" s="666"/>
      <c r="Q1203" s="667"/>
      <c r="R1203" s="668"/>
      <c r="S1203" s="665"/>
      <c r="T1203" s="669"/>
      <c r="U1203" s="669"/>
      <c r="V1203" s="665"/>
      <c r="W1203" s="670"/>
      <c r="X1203" s="670"/>
      <c r="Y1203" s="671"/>
      <c r="Z1203" s="671"/>
      <c r="AA1203" s="672"/>
      <c r="AB1203" s="673"/>
      <c r="AC1203" s="673"/>
      <c r="AD1203" s="673"/>
      <c r="AE1203" s="673"/>
      <c r="AF1203" s="673"/>
      <c r="AG1203" s="673"/>
      <c r="AH1203" s="673"/>
      <c r="AI1203" s="673"/>
      <c r="AJ1203" s="673"/>
      <c r="AK1203" s="673"/>
      <c r="AL1203" s="673"/>
      <c r="AM1203" s="673"/>
      <c r="AN1203" s="673"/>
      <c r="AO1203" s="673"/>
      <c r="AP1203" s="673"/>
      <c r="AQ1203" s="673"/>
      <c r="AR1203" s="673"/>
      <c r="AS1203" s="673"/>
    </row>
    <row r="1204">
      <c r="A1204" s="653"/>
      <c r="B1204" s="654"/>
      <c r="C1204" s="655"/>
      <c r="D1204" s="656"/>
      <c r="E1204" s="657"/>
      <c r="F1204" s="658"/>
      <c r="G1204" s="659"/>
      <c r="H1204" s="660"/>
      <c r="I1204" s="659"/>
      <c r="J1204" s="661"/>
      <c r="K1204" s="658"/>
      <c r="L1204" s="662"/>
      <c r="M1204" s="663"/>
      <c r="N1204" s="664"/>
      <c r="O1204" s="665"/>
      <c r="P1204" s="666"/>
      <c r="Q1204" s="667"/>
      <c r="R1204" s="668"/>
      <c r="S1204" s="665"/>
      <c r="T1204" s="669"/>
      <c r="U1204" s="669"/>
      <c r="V1204" s="665"/>
      <c r="W1204" s="670"/>
      <c r="X1204" s="670"/>
      <c r="Y1204" s="671"/>
      <c r="Z1204" s="671"/>
      <c r="AA1204" s="672"/>
      <c r="AB1204" s="673"/>
      <c r="AC1204" s="673"/>
      <c r="AD1204" s="673"/>
      <c r="AE1204" s="673"/>
      <c r="AF1204" s="673"/>
      <c r="AG1204" s="673"/>
      <c r="AH1204" s="673"/>
      <c r="AI1204" s="673"/>
      <c r="AJ1204" s="673"/>
      <c r="AK1204" s="673"/>
      <c r="AL1204" s="673"/>
      <c r="AM1204" s="673"/>
      <c r="AN1204" s="673"/>
      <c r="AO1204" s="673"/>
      <c r="AP1204" s="673"/>
      <c r="AQ1204" s="673"/>
      <c r="AR1204" s="673"/>
      <c r="AS1204" s="673"/>
    </row>
    <row r="1205">
      <c r="A1205" s="653"/>
      <c r="B1205" s="654"/>
      <c r="C1205" s="655"/>
      <c r="D1205" s="656"/>
      <c r="E1205" s="657"/>
      <c r="F1205" s="658"/>
      <c r="G1205" s="659"/>
      <c r="H1205" s="660"/>
      <c r="I1205" s="659"/>
      <c r="J1205" s="661"/>
      <c r="K1205" s="658"/>
      <c r="L1205" s="662"/>
      <c r="M1205" s="663"/>
      <c r="N1205" s="664"/>
      <c r="O1205" s="665"/>
      <c r="P1205" s="666"/>
      <c r="Q1205" s="667"/>
      <c r="R1205" s="668"/>
      <c r="S1205" s="665"/>
      <c r="T1205" s="669"/>
      <c r="U1205" s="669"/>
      <c r="V1205" s="665"/>
      <c r="W1205" s="670"/>
      <c r="X1205" s="670"/>
      <c r="Y1205" s="671"/>
      <c r="Z1205" s="671"/>
      <c r="AA1205" s="672"/>
      <c r="AB1205" s="673"/>
      <c r="AC1205" s="673"/>
      <c r="AD1205" s="673"/>
      <c r="AE1205" s="673"/>
      <c r="AF1205" s="673"/>
      <c r="AG1205" s="673"/>
      <c r="AH1205" s="673"/>
      <c r="AI1205" s="673"/>
      <c r="AJ1205" s="673"/>
      <c r="AK1205" s="673"/>
      <c r="AL1205" s="673"/>
      <c r="AM1205" s="673"/>
      <c r="AN1205" s="673"/>
      <c r="AO1205" s="673"/>
      <c r="AP1205" s="673"/>
      <c r="AQ1205" s="673"/>
      <c r="AR1205" s="673"/>
      <c r="AS1205" s="673"/>
    </row>
    <row r="1206">
      <c r="A1206" s="653"/>
      <c r="B1206" s="654"/>
      <c r="C1206" s="655"/>
      <c r="D1206" s="656"/>
      <c r="E1206" s="657"/>
      <c r="F1206" s="658"/>
      <c r="G1206" s="659"/>
      <c r="H1206" s="660"/>
      <c r="I1206" s="659"/>
      <c r="J1206" s="661"/>
      <c r="K1206" s="658"/>
      <c r="L1206" s="662"/>
      <c r="M1206" s="663"/>
      <c r="N1206" s="664"/>
      <c r="O1206" s="665"/>
      <c r="P1206" s="666"/>
      <c r="Q1206" s="667"/>
      <c r="R1206" s="668"/>
      <c r="S1206" s="665"/>
      <c r="T1206" s="669"/>
      <c r="U1206" s="669"/>
      <c r="V1206" s="665"/>
      <c r="W1206" s="670"/>
      <c r="X1206" s="670"/>
      <c r="Y1206" s="671"/>
      <c r="Z1206" s="671"/>
      <c r="AA1206" s="672"/>
      <c r="AB1206" s="673"/>
      <c r="AC1206" s="673"/>
      <c r="AD1206" s="673"/>
      <c r="AE1206" s="673"/>
      <c r="AF1206" s="673"/>
      <c r="AG1206" s="673"/>
      <c r="AH1206" s="673"/>
      <c r="AI1206" s="673"/>
      <c r="AJ1206" s="673"/>
      <c r="AK1206" s="673"/>
      <c r="AL1206" s="673"/>
      <c r="AM1206" s="673"/>
      <c r="AN1206" s="673"/>
      <c r="AO1206" s="673"/>
      <c r="AP1206" s="673"/>
      <c r="AQ1206" s="673"/>
      <c r="AR1206" s="673"/>
      <c r="AS1206" s="673"/>
    </row>
    <row r="1207">
      <c r="A1207" s="653"/>
      <c r="B1207" s="654"/>
      <c r="C1207" s="655"/>
      <c r="D1207" s="656"/>
      <c r="E1207" s="657"/>
      <c r="F1207" s="658"/>
      <c r="G1207" s="659"/>
      <c r="H1207" s="660"/>
      <c r="I1207" s="659"/>
      <c r="J1207" s="661"/>
      <c r="K1207" s="658"/>
      <c r="L1207" s="662"/>
      <c r="M1207" s="663"/>
      <c r="N1207" s="664"/>
      <c r="O1207" s="665"/>
      <c r="P1207" s="666"/>
      <c r="Q1207" s="667"/>
      <c r="R1207" s="668"/>
      <c r="S1207" s="665"/>
      <c r="T1207" s="669"/>
      <c r="U1207" s="669"/>
      <c r="V1207" s="665"/>
      <c r="W1207" s="670"/>
      <c r="X1207" s="670"/>
      <c r="Y1207" s="671"/>
      <c r="Z1207" s="671"/>
      <c r="AA1207" s="672"/>
      <c r="AB1207" s="673"/>
      <c r="AC1207" s="673"/>
      <c r="AD1207" s="673"/>
      <c r="AE1207" s="673"/>
      <c r="AF1207" s="673"/>
      <c r="AG1207" s="673"/>
      <c r="AH1207" s="673"/>
      <c r="AI1207" s="673"/>
      <c r="AJ1207" s="673"/>
      <c r="AK1207" s="673"/>
      <c r="AL1207" s="673"/>
      <c r="AM1207" s="673"/>
      <c r="AN1207" s="673"/>
      <c r="AO1207" s="673"/>
      <c r="AP1207" s="673"/>
      <c r="AQ1207" s="673"/>
      <c r="AR1207" s="673"/>
      <c r="AS1207" s="673"/>
    </row>
    <row r="1208">
      <c r="A1208" s="653"/>
      <c r="B1208" s="654"/>
      <c r="C1208" s="655"/>
      <c r="D1208" s="656"/>
      <c r="E1208" s="657"/>
      <c r="F1208" s="658"/>
      <c r="G1208" s="659"/>
      <c r="H1208" s="660"/>
      <c r="I1208" s="659"/>
      <c r="J1208" s="661"/>
      <c r="K1208" s="658"/>
      <c r="L1208" s="662"/>
      <c r="M1208" s="663"/>
      <c r="N1208" s="664"/>
      <c r="O1208" s="665"/>
      <c r="P1208" s="666"/>
      <c r="Q1208" s="667"/>
      <c r="R1208" s="668"/>
      <c r="S1208" s="665"/>
      <c r="T1208" s="669"/>
      <c r="U1208" s="669"/>
      <c r="V1208" s="665"/>
      <c r="W1208" s="670"/>
      <c r="X1208" s="670"/>
      <c r="Y1208" s="671"/>
      <c r="Z1208" s="671"/>
      <c r="AA1208" s="672"/>
      <c r="AB1208" s="673"/>
      <c r="AC1208" s="673"/>
      <c r="AD1208" s="673"/>
      <c r="AE1208" s="673"/>
      <c r="AF1208" s="673"/>
      <c r="AG1208" s="673"/>
      <c r="AH1208" s="673"/>
      <c r="AI1208" s="673"/>
      <c r="AJ1208" s="673"/>
      <c r="AK1208" s="673"/>
      <c r="AL1208" s="673"/>
      <c r="AM1208" s="673"/>
      <c r="AN1208" s="673"/>
      <c r="AO1208" s="673"/>
      <c r="AP1208" s="673"/>
      <c r="AQ1208" s="673"/>
      <c r="AR1208" s="673"/>
      <c r="AS1208" s="673"/>
    </row>
    <row r="1209">
      <c r="A1209" s="653"/>
      <c r="B1209" s="654"/>
      <c r="C1209" s="655"/>
      <c r="D1209" s="656"/>
      <c r="E1209" s="657"/>
      <c r="F1209" s="658"/>
      <c r="G1209" s="659"/>
      <c r="H1209" s="660"/>
      <c r="I1209" s="659"/>
      <c r="J1209" s="661"/>
      <c r="K1209" s="658"/>
      <c r="L1209" s="662"/>
      <c r="M1209" s="663"/>
      <c r="N1209" s="664"/>
      <c r="O1209" s="665"/>
      <c r="P1209" s="666"/>
      <c r="Q1209" s="667"/>
      <c r="R1209" s="668"/>
      <c r="S1209" s="665"/>
      <c r="T1209" s="669"/>
      <c r="U1209" s="669"/>
      <c r="V1209" s="665"/>
      <c r="W1209" s="670"/>
      <c r="X1209" s="670"/>
      <c r="Y1209" s="671"/>
      <c r="Z1209" s="671"/>
      <c r="AA1209" s="672"/>
      <c r="AB1209" s="673"/>
      <c r="AC1209" s="673"/>
      <c r="AD1209" s="673"/>
      <c r="AE1209" s="673"/>
      <c r="AF1209" s="673"/>
      <c r="AG1209" s="673"/>
      <c r="AH1209" s="673"/>
      <c r="AI1209" s="673"/>
      <c r="AJ1209" s="673"/>
      <c r="AK1209" s="673"/>
      <c r="AL1209" s="673"/>
      <c r="AM1209" s="673"/>
      <c r="AN1209" s="673"/>
      <c r="AO1209" s="673"/>
      <c r="AP1209" s="673"/>
      <c r="AQ1209" s="673"/>
      <c r="AR1209" s="673"/>
      <c r="AS1209" s="673"/>
    </row>
    <row r="1210">
      <c r="A1210" s="653"/>
      <c r="B1210" s="654"/>
      <c r="C1210" s="655"/>
      <c r="D1210" s="656"/>
      <c r="E1210" s="657"/>
      <c r="F1210" s="658"/>
      <c r="G1210" s="659"/>
      <c r="H1210" s="660"/>
      <c r="I1210" s="659"/>
      <c r="J1210" s="661"/>
      <c r="K1210" s="658"/>
      <c r="L1210" s="662"/>
      <c r="M1210" s="663"/>
      <c r="N1210" s="664"/>
      <c r="O1210" s="665"/>
      <c r="P1210" s="666"/>
      <c r="Q1210" s="667"/>
      <c r="R1210" s="668"/>
      <c r="S1210" s="665"/>
      <c r="T1210" s="669"/>
      <c r="U1210" s="669"/>
      <c r="V1210" s="665"/>
      <c r="W1210" s="670"/>
      <c r="X1210" s="670"/>
      <c r="Y1210" s="671"/>
      <c r="Z1210" s="671"/>
      <c r="AA1210" s="672"/>
      <c r="AB1210" s="673"/>
      <c r="AC1210" s="673"/>
      <c r="AD1210" s="673"/>
      <c r="AE1210" s="673"/>
      <c r="AF1210" s="673"/>
      <c r="AG1210" s="673"/>
      <c r="AH1210" s="673"/>
      <c r="AI1210" s="673"/>
      <c r="AJ1210" s="673"/>
      <c r="AK1210" s="673"/>
      <c r="AL1210" s="673"/>
      <c r="AM1210" s="673"/>
      <c r="AN1210" s="673"/>
      <c r="AO1210" s="673"/>
      <c r="AP1210" s="673"/>
      <c r="AQ1210" s="673"/>
      <c r="AR1210" s="673"/>
      <c r="AS1210" s="673"/>
    </row>
    <row r="1211">
      <c r="A1211" s="653"/>
      <c r="B1211" s="654"/>
      <c r="C1211" s="655"/>
      <c r="D1211" s="656"/>
      <c r="E1211" s="657"/>
      <c r="F1211" s="658"/>
      <c r="G1211" s="659"/>
      <c r="H1211" s="660"/>
      <c r="I1211" s="659"/>
      <c r="J1211" s="661"/>
      <c r="K1211" s="658"/>
      <c r="L1211" s="662"/>
      <c r="M1211" s="663"/>
      <c r="N1211" s="664"/>
      <c r="O1211" s="665"/>
      <c r="P1211" s="666"/>
      <c r="Q1211" s="667"/>
      <c r="R1211" s="668"/>
      <c r="S1211" s="665"/>
      <c r="T1211" s="669"/>
      <c r="U1211" s="669"/>
      <c r="V1211" s="665"/>
      <c r="W1211" s="670"/>
      <c r="X1211" s="670"/>
      <c r="Y1211" s="671"/>
      <c r="Z1211" s="671"/>
      <c r="AA1211" s="672"/>
      <c r="AB1211" s="673"/>
      <c r="AC1211" s="673"/>
      <c r="AD1211" s="673"/>
      <c r="AE1211" s="673"/>
      <c r="AF1211" s="673"/>
      <c r="AG1211" s="673"/>
      <c r="AH1211" s="673"/>
      <c r="AI1211" s="673"/>
      <c r="AJ1211" s="673"/>
      <c r="AK1211" s="673"/>
      <c r="AL1211" s="673"/>
      <c r="AM1211" s="673"/>
      <c r="AN1211" s="673"/>
      <c r="AO1211" s="673"/>
      <c r="AP1211" s="673"/>
      <c r="AQ1211" s="673"/>
      <c r="AR1211" s="673"/>
      <c r="AS1211" s="673"/>
    </row>
    <row r="1212">
      <c r="A1212" s="653"/>
      <c r="B1212" s="654"/>
      <c r="C1212" s="655"/>
      <c r="D1212" s="656"/>
      <c r="E1212" s="657"/>
      <c r="F1212" s="658"/>
      <c r="G1212" s="659"/>
      <c r="H1212" s="660"/>
      <c r="I1212" s="659"/>
      <c r="J1212" s="661"/>
      <c r="K1212" s="658"/>
      <c r="L1212" s="662"/>
      <c r="M1212" s="663"/>
      <c r="N1212" s="664"/>
      <c r="O1212" s="665"/>
      <c r="P1212" s="666"/>
      <c r="Q1212" s="667"/>
      <c r="R1212" s="668"/>
      <c r="S1212" s="665"/>
      <c r="T1212" s="669"/>
      <c r="U1212" s="669"/>
      <c r="V1212" s="665"/>
      <c r="W1212" s="670"/>
      <c r="X1212" s="670"/>
      <c r="Y1212" s="671"/>
      <c r="Z1212" s="671"/>
      <c r="AA1212" s="672"/>
      <c r="AB1212" s="673"/>
      <c r="AC1212" s="673"/>
      <c r="AD1212" s="673"/>
      <c r="AE1212" s="673"/>
      <c r="AF1212" s="673"/>
      <c r="AG1212" s="673"/>
      <c r="AH1212" s="673"/>
      <c r="AI1212" s="673"/>
      <c r="AJ1212" s="673"/>
      <c r="AK1212" s="673"/>
      <c r="AL1212" s="673"/>
      <c r="AM1212" s="673"/>
      <c r="AN1212" s="673"/>
      <c r="AO1212" s="673"/>
      <c r="AP1212" s="673"/>
      <c r="AQ1212" s="673"/>
      <c r="AR1212" s="673"/>
      <c r="AS1212" s="673"/>
    </row>
    <row r="1213">
      <c r="A1213" s="653"/>
      <c r="B1213" s="654"/>
      <c r="C1213" s="655"/>
      <c r="D1213" s="656"/>
      <c r="E1213" s="657"/>
      <c r="F1213" s="658"/>
      <c r="G1213" s="659"/>
      <c r="H1213" s="660"/>
      <c r="I1213" s="659"/>
      <c r="J1213" s="661"/>
      <c r="K1213" s="658"/>
      <c r="L1213" s="662"/>
      <c r="M1213" s="663"/>
      <c r="N1213" s="664"/>
      <c r="O1213" s="665"/>
      <c r="P1213" s="666"/>
      <c r="Q1213" s="667"/>
      <c r="R1213" s="668"/>
      <c r="S1213" s="665"/>
      <c r="T1213" s="669"/>
      <c r="U1213" s="669"/>
      <c r="V1213" s="665"/>
      <c r="W1213" s="670"/>
      <c r="X1213" s="670"/>
      <c r="Y1213" s="671"/>
      <c r="Z1213" s="671"/>
      <c r="AA1213" s="672"/>
      <c r="AB1213" s="673"/>
      <c r="AC1213" s="673"/>
      <c r="AD1213" s="673"/>
      <c r="AE1213" s="673"/>
      <c r="AF1213" s="673"/>
      <c r="AG1213" s="673"/>
      <c r="AH1213" s="673"/>
      <c r="AI1213" s="673"/>
      <c r="AJ1213" s="673"/>
      <c r="AK1213" s="673"/>
      <c r="AL1213" s="673"/>
      <c r="AM1213" s="673"/>
      <c r="AN1213" s="673"/>
      <c r="AO1213" s="673"/>
      <c r="AP1213" s="673"/>
      <c r="AQ1213" s="673"/>
      <c r="AR1213" s="673"/>
      <c r="AS1213" s="673"/>
    </row>
    <row r="1214">
      <c r="A1214" s="653"/>
      <c r="B1214" s="654"/>
      <c r="C1214" s="655"/>
      <c r="D1214" s="656"/>
      <c r="E1214" s="657"/>
      <c r="F1214" s="658"/>
      <c r="G1214" s="659"/>
      <c r="H1214" s="660"/>
      <c r="I1214" s="659"/>
      <c r="J1214" s="661"/>
      <c r="K1214" s="658"/>
      <c r="L1214" s="662"/>
      <c r="M1214" s="663"/>
      <c r="N1214" s="664"/>
      <c r="O1214" s="665"/>
      <c r="P1214" s="666"/>
      <c r="Q1214" s="667"/>
      <c r="R1214" s="668"/>
      <c r="S1214" s="665"/>
      <c r="T1214" s="669"/>
      <c r="U1214" s="669"/>
      <c r="V1214" s="665"/>
      <c r="W1214" s="670"/>
      <c r="X1214" s="670"/>
      <c r="Y1214" s="671"/>
      <c r="Z1214" s="671"/>
      <c r="AA1214" s="672"/>
      <c r="AB1214" s="673"/>
      <c r="AC1214" s="673"/>
      <c r="AD1214" s="673"/>
      <c r="AE1214" s="673"/>
      <c r="AF1214" s="673"/>
      <c r="AG1214" s="673"/>
      <c r="AH1214" s="673"/>
      <c r="AI1214" s="673"/>
      <c r="AJ1214" s="673"/>
      <c r="AK1214" s="673"/>
      <c r="AL1214" s="673"/>
      <c r="AM1214" s="673"/>
      <c r="AN1214" s="673"/>
      <c r="AO1214" s="673"/>
      <c r="AP1214" s="673"/>
      <c r="AQ1214" s="673"/>
      <c r="AR1214" s="673"/>
      <c r="AS1214" s="673"/>
    </row>
    <row r="1215">
      <c r="A1215" s="653"/>
      <c r="B1215" s="654"/>
      <c r="C1215" s="655"/>
      <c r="D1215" s="656"/>
      <c r="E1215" s="657"/>
      <c r="F1215" s="658"/>
      <c r="G1215" s="659"/>
      <c r="H1215" s="660"/>
      <c r="I1215" s="659"/>
      <c r="J1215" s="661"/>
      <c r="K1215" s="658"/>
      <c r="L1215" s="662"/>
      <c r="M1215" s="663"/>
      <c r="N1215" s="664"/>
      <c r="O1215" s="665"/>
      <c r="P1215" s="666"/>
      <c r="Q1215" s="667"/>
      <c r="R1215" s="668"/>
      <c r="S1215" s="665"/>
      <c r="T1215" s="669"/>
      <c r="U1215" s="669"/>
      <c r="V1215" s="665"/>
      <c r="W1215" s="670"/>
      <c r="X1215" s="670"/>
      <c r="Y1215" s="671"/>
      <c r="Z1215" s="671"/>
      <c r="AA1215" s="672"/>
      <c r="AB1215" s="673"/>
      <c r="AC1215" s="673"/>
      <c r="AD1215" s="673"/>
      <c r="AE1215" s="673"/>
      <c r="AF1215" s="673"/>
      <c r="AG1215" s="673"/>
      <c r="AH1215" s="673"/>
      <c r="AI1215" s="673"/>
      <c r="AJ1215" s="673"/>
      <c r="AK1215" s="673"/>
      <c r="AL1215" s="673"/>
      <c r="AM1215" s="673"/>
      <c r="AN1215" s="673"/>
      <c r="AO1215" s="673"/>
      <c r="AP1215" s="673"/>
      <c r="AQ1215" s="673"/>
      <c r="AR1215" s="673"/>
      <c r="AS1215" s="673"/>
    </row>
    <row r="1216">
      <c r="A1216" s="653"/>
      <c r="B1216" s="654"/>
      <c r="C1216" s="655"/>
      <c r="D1216" s="656"/>
      <c r="E1216" s="657"/>
      <c r="F1216" s="658"/>
      <c r="G1216" s="659"/>
      <c r="H1216" s="660"/>
      <c r="I1216" s="659"/>
      <c r="J1216" s="661"/>
      <c r="K1216" s="658"/>
      <c r="L1216" s="662"/>
      <c r="M1216" s="663"/>
      <c r="N1216" s="664"/>
      <c r="O1216" s="665"/>
      <c r="P1216" s="666"/>
      <c r="Q1216" s="667"/>
      <c r="R1216" s="668"/>
      <c r="S1216" s="665"/>
      <c r="T1216" s="669"/>
      <c r="U1216" s="669"/>
      <c r="V1216" s="665"/>
      <c r="W1216" s="670"/>
      <c r="X1216" s="670"/>
      <c r="Y1216" s="671"/>
      <c r="Z1216" s="671"/>
      <c r="AA1216" s="672"/>
      <c r="AB1216" s="673"/>
      <c r="AC1216" s="673"/>
      <c r="AD1216" s="673"/>
      <c r="AE1216" s="673"/>
      <c r="AF1216" s="673"/>
      <c r="AG1216" s="673"/>
      <c r="AH1216" s="673"/>
      <c r="AI1216" s="673"/>
      <c r="AJ1216" s="673"/>
      <c r="AK1216" s="673"/>
      <c r="AL1216" s="673"/>
      <c r="AM1216" s="673"/>
      <c r="AN1216" s="673"/>
      <c r="AO1216" s="673"/>
      <c r="AP1216" s="673"/>
      <c r="AQ1216" s="673"/>
      <c r="AR1216" s="673"/>
      <c r="AS1216" s="673"/>
    </row>
    <row r="1217">
      <c r="A1217" s="653"/>
      <c r="B1217" s="654"/>
      <c r="C1217" s="655"/>
      <c r="D1217" s="656"/>
      <c r="E1217" s="657"/>
      <c r="F1217" s="658"/>
      <c r="G1217" s="659"/>
      <c r="H1217" s="660"/>
      <c r="I1217" s="659"/>
      <c r="J1217" s="661"/>
      <c r="K1217" s="658"/>
      <c r="L1217" s="662"/>
      <c r="M1217" s="663"/>
      <c r="N1217" s="664"/>
      <c r="O1217" s="665"/>
      <c r="P1217" s="666"/>
      <c r="Q1217" s="667"/>
      <c r="R1217" s="668"/>
      <c r="S1217" s="665"/>
      <c r="T1217" s="669"/>
      <c r="U1217" s="669"/>
      <c r="V1217" s="665"/>
      <c r="W1217" s="670"/>
      <c r="X1217" s="670"/>
      <c r="Y1217" s="671"/>
      <c r="Z1217" s="671"/>
      <c r="AA1217" s="672"/>
      <c r="AB1217" s="673"/>
      <c r="AC1217" s="673"/>
      <c r="AD1217" s="673"/>
      <c r="AE1217" s="673"/>
      <c r="AF1217" s="673"/>
      <c r="AG1217" s="673"/>
      <c r="AH1217" s="673"/>
      <c r="AI1217" s="673"/>
      <c r="AJ1217" s="673"/>
      <c r="AK1217" s="673"/>
      <c r="AL1217" s="673"/>
      <c r="AM1217" s="673"/>
      <c r="AN1217" s="673"/>
      <c r="AO1217" s="673"/>
      <c r="AP1217" s="673"/>
      <c r="AQ1217" s="673"/>
      <c r="AR1217" s="673"/>
      <c r="AS1217" s="673"/>
    </row>
    <row r="1218">
      <c r="A1218" s="653"/>
      <c r="B1218" s="654"/>
      <c r="C1218" s="655"/>
      <c r="D1218" s="656"/>
      <c r="E1218" s="657"/>
      <c r="F1218" s="658"/>
      <c r="G1218" s="659"/>
      <c r="H1218" s="660"/>
      <c r="I1218" s="659"/>
      <c r="J1218" s="661"/>
      <c r="K1218" s="658"/>
      <c r="L1218" s="662"/>
      <c r="M1218" s="663"/>
      <c r="N1218" s="664"/>
      <c r="O1218" s="665"/>
      <c r="P1218" s="666"/>
      <c r="Q1218" s="667"/>
      <c r="R1218" s="668"/>
      <c r="S1218" s="665"/>
      <c r="T1218" s="669"/>
      <c r="U1218" s="669"/>
      <c r="V1218" s="665"/>
      <c r="W1218" s="670"/>
      <c r="X1218" s="670"/>
      <c r="Y1218" s="671"/>
      <c r="Z1218" s="671"/>
      <c r="AA1218" s="672"/>
      <c r="AB1218" s="673"/>
      <c r="AC1218" s="673"/>
      <c r="AD1218" s="673"/>
      <c r="AE1218" s="673"/>
      <c r="AF1218" s="673"/>
      <c r="AG1218" s="673"/>
      <c r="AH1218" s="673"/>
      <c r="AI1218" s="673"/>
      <c r="AJ1218" s="673"/>
      <c r="AK1218" s="673"/>
      <c r="AL1218" s="673"/>
      <c r="AM1218" s="673"/>
      <c r="AN1218" s="673"/>
      <c r="AO1218" s="673"/>
      <c r="AP1218" s="673"/>
      <c r="AQ1218" s="673"/>
      <c r="AR1218" s="673"/>
      <c r="AS1218" s="673"/>
    </row>
    <row r="1219">
      <c r="A1219" s="653"/>
      <c r="B1219" s="654"/>
      <c r="C1219" s="655"/>
      <c r="D1219" s="656"/>
      <c r="E1219" s="657"/>
      <c r="F1219" s="658"/>
      <c r="G1219" s="659"/>
      <c r="H1219" s="660"/>
      <c r="I1219" s="659"/>
      <c r="J1219" s="661"/>
      <c r="K1219" s="658"/>
      <c r="L1219" s="662"/>
      <c r="M1219" s="663"/>
      <c r="N1219" s="664"/>
      <c r="O1219" s="665"/>
      <c r="P1219" s="666"/>
      <c r="Q1219" s="667"/>
      <c r="R1219" s="668"/>
      <c r="S1219" s="665"/>
      <c r="T1219" s="669"/>
      <c r="U1219" s="669"/>
      <c r="V1219" s="665"/>
      <c r="W1219" s="670"/>
      <c r="X1219" s="670"/>
      <c r="Y1219" s="671"/>
      <c r="Z1219" s="671"/>
      <c r="AA1219" s="672"/>
      <c r="AB1219" s="673"/>
      <c r="AC1219" s="673"/>
      <c r="AD1219" s="673"/>
      <c r="AE1219" s="673"/>
      <c r="AF1219" s="673"/>
      <c r="AG1219" s="673"/>
      <c r="AH1219" s="673"/>
      <c r="AI1219" s="673"/>
      <c r="AJ1219" s="673"/>
      <c r="AK1219" s="673"/>
      <c r="AL1219" s="673"/>
      <c r="AM1219" s="673"/>
      <c r="AN1219" s="673"/>
      <c r="AO1219" s="673"/>
      <c r="AP1219" s="673"/>
      <c r="AQ1219" s="673"/>
      <c r="AR1219" s="673"/>
      <c r="AS1219" s="673"/>
    </row>
    <row r="1220">
      <c r="A1220" s="653"/>
      <c r="B1220" s="654"/>
      <c r="C1220" s="655"/>
      <c r="D1220" s="656"/>
      <c r="E1220" s="657"/>
      <c r="F1220" s="658"/>
      <c r="G1220" s="659"/>
      <c r="H1220" s="660"/>
      <c r="I1220" s="659"/>
      <c r="J1220" s="661"/>
      <c r="K1220" s="658"/>
      <c r="L1220" s="662"/>
      <c r="M1220" s="663"/>
      <c r="N1220" s="664"/>
      <c r="O1220" s="665"/>
      <c r="P1220" s="666"/>
      <c r="Q1220" s="667"/>
      <c r="R1220" s="668"/>
      <c r="S1220" s="665"/>
      <c r="T1220" s="669"/>
      <c r="U1220" s="669"/>
      <c r="V1220" s="665"/>
      <c r="W1220" s="670"/>
      <c r="X1220" s="670"/>
      <c r="Y1220" s="671"/>
      <c r="Z1220" s="671"/>
      <c r="AA1220" s="672"/>
      <c r="AB1220" s="673"/>
      <c r="AC1220" s="673"/>
      <c r="AD1220" s="673"/>
      <c r="AE1220" s="673"/>
      <c r="AF1220" s="673"/>
      <c r="AG1220" s="673"/>
      <c r="AH1220" s="673"/>
      <c r="AI1220" s="673"/>
      <c r="AJ1220" s="673"/>
      <c r="AK1220" s="673"/>
      <c r="AL1220" s="673"/>
      <c r="AM1220" s="673"/>
      <c r="AN1220" s="673"/>
      <c r="AO1220" s="673"/>
      <c r="AP1220" s="673"/>
      <c r="AQ1220" s="673"/>
      <c r="AR1220" s="673"/>
      <c r="AS1220" s="673"/>
    </row>
    <row r="1221">
      <c r="A1221" s="653"/>
      <c r="B1221" s="654"/>
      <c r="C1221" s="655"/>
      <c r="D1221" s="656"/>
      <c r="E1221" s="657"/>
      <c r="F1221" s="658"/>
      <c r="G1221" s="659"/>
      <c r="H1221" s="660"/>
      <c r="I1221" s="659"/>
      <c r="J1221" s="661"/>
      <c r="K1221" s="658"/>
      <c r="L1221" s="662"/>
      <c r="M1221" s="663"/>
      <c r="N1221" s="664"/>
      <c r="O1221" s="665"/>
      <c r="P1221" s="666"/>
      <c r="Q1221" s="667"/>
      <c r="R1221" s="668"/>
      <c r="S1221" s="665"/>
      <c r="T1221" s="669"/>
      <c r="U1221" s="669"/>
      <c r="V1221" s="665"/>
      <c r="W1221" s="670"/>
      <c r="X1221" s="670"/>
      <c r="Y1221" s="671"/>
      <c r="Z1221" s="671"/>
      <c r="AA1221" s="672"/>
      <c r="AB1221" s="673"/>
      <c r="AC1221" s="673"/>
      <c r="AD1221" s="673"/>
      <c r="AE1221" s="673"/>
      <c r="AF1221" s="673"/>
      <c r="AG1221" s="673"/>
      <c r="AH1221" s="673"/>
      <c r="AI1221" s="673"/>
      <c r="AJ1221" s="673"/>
      <c r="AK1221" s="673"/>
      <c r="AL1221" s="673"/>
      <c r="AM1221" s="673"/>
      <c r="AN1221" s="673"/>
      <c r="AO1221" s="673"/>
      <c r="AP1221" s="673"/>
      <c r="AQ1221" s="673"/>
      <c r="AR1221" s="673"/>
      <c r="AS1221" s="673"/>
    </row>
    <row r="1222">
      <c r="A1222" s="653"/>
      <c r="B1222" s="654"/>
      <c r="C1222" s="655"/>
      <c r="D1222" s="656"/>
      <c r="E1222" s="657"/>
      <c r="F1222" s="658"/>
      <c r="G1222" s="659"/>
      <c r="H1222" s="660"/>
      <c r="I1222" s="659"/>
      <c r="J1222" s="661"/>
      <c r="K1222" s="658"/>
      <c r="L1222" s="662"/>
      <c r="M1222" s="663"/>
      <c r="N1222" s="664"/>
      <c r="O1222" s="665"/>
      <c r="P1222" s="666"/>
      <c r="Q1222" s="667"/>
      <c r="R1222" s="668"/>
      <c r="S1222" s="665"/>
      <c r="T1222" s="669"/>
      <c r="U1222" s="669"/>
      <c r="V1222" s="665"/>
      <c r="W1222" s="670"/>
      <c r="X1222" s="670"/>
      <c r="Y1222" s="671"/>
      <c r="Z1222" s="671"/>
      <c r="AA1222" s="672"/>
      <c r="AB1222" s="673"/>
      <c r="AC1222" s="673"/>
      <c r="AD1222" s="673"/>
      <c r="AE1222" s="673"/>
      <c r="AF1222" s="673"/>
      <c r="AG1222" s="673"/>
      <c r="AH1222" s="673"/>
      <c r="AI1222" s="673"/>
      <c r="AJ1222" s="673"/>
      <c r="AK1222" s="673"/>
      <c r="AL1222" s="673"/>
      <c r="AM1222" s="673"/>
      <c r="AN1222" s="673"/>
      <c r="AO1222" s="673"/>
      <c r="AP1222" s="673"/>
      <c r="AQ1222" s="673"/>
      <c r="AR1222" s="673"/>
      <c r="AS1222" s="673"/>
    </row>
    <row r="1223">
      <c r="A1223" s="653"/>
      <c r="B1223" s="654"/>
      <c r="C1223" s="655"/>
      <c r="D1223" s="656"/>
      <c r="E1223" s="657"/>
      <c r="F1223" s="658"/>
      <c r="G1223" s="659"/>
      <c r="H1223" s="660"/>
      <c r="I1223" s="659"/>
      <c r="J1223" s="661"/>
      <c r="K1223" s="658"/>
      <c r="L1223" s="662"/>
      <c r="M1223" s="663"/>
      <c r="N1223" s="664"/>
      <c r="O1223" s="665"/>
      <c r="P1223" s="666"/>
      <c r="Q1223" s="667"/>
      <c r="R1223" s="668"/>
      <c r="S1223" s="665"/>
      <c r="T1223" s="669"/>
      <c r="U1223" s="669"/>
      <c r="V1223" s="665"/>
      <c r="W1223" s="670"/>
      <c r="X1223" s="670"/>
      <c r="Y1223" s="671"/>
      <c r="Z1223" s="671"/>
      <c r="AA1223" s="672"/>
      <c r="AB1223" s="673"/>
      <c r="AC1223" s="673"/>
      <c r="AD1223" s="673"/>
      <c r="AE1223" s="673"/>
      <c r="AF1223" s="673"/>
      <c r="AG1223" s="673"/>
      <c r="AH1223" s="673"/>
      <c r="AI1223" s="673"/>
      <c r="AJ1223" s="673"/>
      <c r="AK1223" s="673"/>
      <c r="AL1223" s="673"/>
      <c r="AM1223" s="673"/>
      <c r="AN1223" s="673"/>
      <c r="AO1223" s="673"/>
      <c r="AP1223" s="673"/>
      <c r="AQ1223" s="673"/>
      <c r="AR1223" s="673"/>
      <c r="AS1223" s="673"/>
    </row>
    <row r="1224">
      <c r="A1224" s="653"/>
      <c r="B1224" s="654"/>
      <c r="C1224" s="655"/>
      <c r="D1224" s="656"/>
      <c r="E1224" s="657"/>
      <c r="F1224" s="658"/>
      <c r="G1224" s="659"/>
      <c r="H1224" s="660"/>
      <c r="I1224" s="659"/>
      <c r="J1224" s="661"/>
      <c r="K1224" s="658"/>
      <c r="L1224" s="662"/>
      <c r="M1224" s="663"/>
      <c r="N1224" s="664"/>
      <c r="O1224" s="665"/>
      <c r="P1224" s="666"/>
      <c r="Q1224" s="667"/>
      <c r="R1224" s="668"/>
      <c r="S1224" s="665"/>
      <c r="T1224" s="669"/>
      <c r="U1224" s="669"/>
      <c r="V1224" s="665"/>
      <c r="W1224" s="670"/>
      <c r="X1224" s="670"/>
      <c r="Y1224" s="671"/>
      <c r="Z1224" s="671"/>
      <c r="AA1224" s="672"/>
      <c r="AB1224" s="673"/>
      <c r="AC1224" s="673"/>
      <c r="AD1224" s="673"/>
      <c r="AE1224" s="673"/>
      <c r="AF1224" s="673"/>
      <c r="AG1224" s="673"/>
      <c r="AH1224" s="673"/>
      <c r="AI1224" s="673"/>
      <c r="AJ1224" s="673"/>
      <c r="AK1224" s="673"/>
      <c r="AL1224" s="673"/>
      <c r="AM1224" s="673"/>
      <c r="AN1224" s="673"/>
      <c r="AO1224" s="673"/>
      <c r="AP1224" s="673"/>
      <c r="AQ1224" s="673"/>
      <c r="AR1224" s="673"/>
      <c r="AS1224" s="673"/>
    </row>
    <row r="1225">
      <c r="A1225" s="653"/>
      <c r="B1225" s="654"/>
      <c r="C1225" s="655"/>
      <c r="D1225" s="656"/>
      <c r="E1225" s="657"/>
      <c r="F1225" s="658"/>
      <c r="G1225" s="659"/>
      <c r="H1225" s="660"/>
      <c r="I1225" s="659"/>
      <c r="J1225" s="661"/>
      <c r="K1225" s="658"/>
      <c r="L1225" s="662"/>
      <c r="M1225" s="663"/>
      <c r="N1225" s="664"/>
      <c r="O1225" s="665"/>
      <c r="P1225" s="666"/>
      <c r="Q1225" s="667"/>
      <c r="R1225" s="668"/>
      <c r="S1225" s="665"/>
      <c r="T1225" s="669"/>
      <c r="U1225" s="669"/>
      <c r="V1225" s="665"/>
      <c r="W1225" s="670"/>
      <c r="X1225" s="670"/>
      <c r="Y1225" s="671"/>
      <c r="Z1225" s="671"/>
      <c r="AA1225" s="672"/>
      <c r="AB1225" s="673"/>
      <c r="AC1225" s="673"/>
      <c r="AD1225" s="673"/>
      <c r="AE1225" s="673"/>
      <c r="AF1225" s="673"/>
      <c r="AG1225" s="673"/>
      <c r="AH1225" s="673"/>
      <c r="AI1225" s="673"/>
      <c r="AJ1225" s="673"/>
      <c r="AK1225" s="673"/>
      <c r="AL1225" s="673"/>
      <c r="AM1225" s="673"/>
      <c r="AN1225" s="673"/>
      <c r="AO1225" s="673"/>
      <c r="AP1225" s="673"/>
      <c r="AQ1225" s="673"/>
      <c r="AR1225" s="673"/>
      <c r="AS1225" s="673"/>
    </row>
    <row r="1226">
      <c r="A1226" s="653"/>
      <c r="B1226" s="654"/>
      <c r="C1226" s="655"/>
      <c r="D1226" s="656"/>
      <c r="E1226" s="657"/>
      <c r="F1226" s="658"/>
      <c r="G1226" s="659"/>
      <c r="H1226" s="660"/>
      <c r="I1226" s="659"/>
      <c r="J1226" s="661"/>
      <c r="K1226" s="658"/>
      <c r="L1226" s="662"/>
      <c r="M1226" s="663"/>
      <c r="N1226" s="664"/>
      <c r="O1226" s="665"/>
      <c r="P1226" s="666"/>
      <c r="Q1226" s="667"/>
      <c r="R1226" s="668"/>
      <c r="S1226" s="665"/>
      <c r="T1226" s="669"/>
      <c r="U1226" s="669"/>
      <c r="V1226" s="665"/>
      <c r="W1226" s="670"/>
      <c r="X1226" s="670"/>
      <c r="Y1226" s="671"/>
      <c r="Z1226" s="671"/>
      <c r="AA1226" s="672"/>
      <c r="AB1226" s="673"/>
      <c r="AC1226" s="673"/>
      <c r="AD1226" s="673"/>
      <c r="AE1226" s="673"/>
      <c r="AF1226" s="673"/>
      <c r="AG1226" s="673"/>
      <c r="AH1226" s="673"/>
      <c r="AI1226" s="673"/>
      <c r="AJ1226" s="673"/>
      <c r="AK1226" s="673"/>
      <c r="AL1226" s="673"/>
      <c r="AM1226" s="673"/>
      <c r="AN1226" s="673"/>
      <c r="AO1226" s="673"/>
      <c r="AP1226" s="673"/>
      <c r="AQ1226" s="673"/>
      <c r="AR1226" s="673"/>
      <c r="AS1226" s="673"/>
    </row>
    <row r="1227">
      <c r="A1227" s="653"/>
      <c r="B1227" s="654"/>
      <c r="C1227" s="655"/>
      <c r="D1227" s="656"/>
      <c r="E1227" s="657"/>
      <c r="F1227" s="658"/>
      <c r="G1227" s="659"/>
      <c r="H1227" s="660"/>
      <c r="I1227" s="659"/>
      <c r="J1227" s="661"/>
      <c r="K1227" s="658"/>
      <c r="L1227" s="662"/>
      <c r="M1227" s="663"/>
      <c r="N1227" s="664"/>
      <c r="O1227" s="665"/>
      <c r="P1227" s="666"/>
      <c r="Q1227" s="667"/>
      <c r="R1227" s="668"/>
      <c r="S1227" s="665"/>
      <c r="T1227" s="669"/>
      <c r="U1227" s="669"/>
      <c r="V1227" s="665"/>
      <c r="W1227" s="670"/>
      <c r="X1227" s="670"/>
      <c r="Y1227" s="671"/>
      <c r="Z1227" s="671"/>
      <c r="AA1227" s="672"/>
      <c r="AB1227" s="673"/>
      <c r="AC1227" s="673"/>
      <c r="AD1227" s="673"/>
      <c r="AE1227" s="673"/>
      <c r="AF1227" s="673"/>
      <c r="AG1227" s="673"/>
      <c r="AH1227" s="673"/>
      <c r="AI1227" s="673"/>
      <c r="AJ1227" s="673"/>
      <c r="AK1227" s="673"/>
      <c r="AL1227" s="673"/>
      <c r="AM1227" s="673"/>
      <c r="AN1227" s="673"/>
      <c r="AO1227" s="673"/>
      <c r="AP1227" s="673"/>
      <c r="AQ1227" s="673"/>
      <c r="AR1227" s="673"/>
      <c r="AS1227" s="673"/>
    </row>
    <row r="1228">
      <c r="A1228" s="653"/>
      <c r="B1228" s="654"/>
      <c r="C1228" s="655"/>
      <c r="D1228" s="656"/>
      <c r="E1228" s="657"/>
      <c r="F1228" s="658"/>
      <c r="G1228" s="659"/>
      <c r="H1228" s="660"/>
      <c r="I1228" s="659"/>
      <c r="J1228" s="661"/>
      <c r="K1228" s="658"/>
      <c r="L1228" s="662"/>
      <c r="M1228" s="663"/>
      <c r="N1228" s="664"/>
      <c r="O1228" s="665"/>
      <c r="P1228" s="666"/>
      <c r="Q1228" s="667"/>
      <c r="R1228" s="668"/>
      <c r="S1228" s="665"/>
      <c r="T1228" s="669"/>
      <c r="U1228" s="669"/>
      <c r="V1228" s="665"/>
      <c r="W1228" s="670"/>
      <c r="X1228" s="670"/>
      <c r="Y1228" s="671"/>
      <c r="Z1228" s="671"/>
      <c r="AA1228" s="672"/>
      <c r="AB1228" s="673"/>
      <c r="AC1228" s="673"/>
      <c r="AD1228" s="673"/>
      <c r="AE1228" s="673"/>
      <c r="AF1228" s="673"/>
      <c r="AG1228" s="673"/>
      <c r="AH1228" s="673"/>
      <c r="AI1228" s="673"/>
      <c r="AJ1228" s="673"/>
      <c r="AK1228" s="673"/>
      <c r="AL1228" s="673"/>
      <c r="AM1228" s="673"/>
      <c r="AN1228" s="673"/>
      <c r="AO1228" s="673"/>
      <c r="AP1228" s="673"/>
      <c r="AQ1228" s="673"/>
      <c r="AR1228" s="673"/>
      <c r="AS1228" s="673"/>
    </row>
    <row r="1229">
      <c r="A1229" s="653"/>
      <c r="B1229" s="654"/>
      <c r="C1229" s="655"/>
      <c r="D1229" s="656"/>
      <c r="E1229" s="657"/>
      <c r="F1229" s="658"/>
      <c r="G1229" s="659"/>
      <c r="H1229" s="660"/>
      <c r="I1229" s="659"/>
      <c r="J1229" s="661"/>
      <c r="K1229" s="658"/>
      <c r="L1229" s="662"/>
      <c r="M1229" s="663"/>
      <c r="N1229" s="664"/>
      <c r="O1229" s="665"/>
      <c r="P1229" s="666"/>
      <c r="Q1229" s="667"/>
      <c r="R1229" s="668"/>
      <c r="S1229" s="665"/>
      <c r="T1229" s="669"/>
      <c r="U1229" s="669"/>
      <c r="V1229" s="665"/>
      <c r="W1229" s="670"/>
      <c r="X1229" s="670"/>
      <c r="Y1229" s="671"/>
      <c r="Z1229" s="671"/>
      <c r="AA1229" s="672"/>
      <c r="AB1229" s="673"/>
      <c r="AC1229" s="673"/>
      <c r="AD1229" s="673"/>
      <c r="AE1229" s="673"/>
      <c r="AF1229" s="673"/>
      <c r="AG1229" s="673"/>
      <c r="AH1229" s="673"/>
      <c r="AI1229" s="673"/>
      <c r="AJ1229" s="673"/>
      <c r="AK1229" s="673"/>
      <c r="AL1229" s="673"/>
      <c r="AM1229" s="673"/>
      <c r="AN1229" s="673"/>
      <c r="AO1229" s="673"/>
      <c r="AP1229" s="673"/>
      <c r="AQ1229" s="673"/>
      <c r="AR1229" s="673"/>
      <c r="AS1229" s="673"/>
    </row>
    <row r="1230">
      <c r="A1230" s="653"/>
      <c r="B1230" s="654"/>
      <c r="C1230" s="655"/>
      <c r="D1230" s="656"/>
      <c r="E1230" s="657"/>
      <c r="F1230" s="658"/>
      <c r="G1230" s="659"/>
      <c r="H1230" s="660"/>
      <c r="I1230" s="659"/>
      <c r="J1230" s="661"/>
      <c r="K1230" s="658"/>
      <c r="L1230" s="662"/>
      <c r="M1230" s="663"/>
      <c r="N1230" s="664"/>
      <c r="O1230" s="665"/>
      <c r="P1230" s="666"/>
      <c r="Q1230" s="667"/>
      <c r="R1230" s="668"/>
      <c r="S1230" s="665"/>
      <c r="T1230" s="669"/>
      <c r="U1230" s="669"/>
      <c r="V1230" s="665"/>
      <c r="W1230" s="670"/>
      <c r="X1230" s="670"/>
      <c r="Y1230" s="671"/>
      <c r="Z1230" s="671"/>
      <c r="AA1230" s="672"/>
      <c r="AB1230" s="673"/>
      <c r="AC1230" s="673"/>
      <c r="AD1230" s="673"/>
      <c r="AE1230" s="673"/>
      <c r="AF1230" s="673"/>
      <c r="AG1230" s="673"/>
      <c r="AH1230" s="673"/>
      <c r="AI1230" s="673"/>
      <c r="AJ1230" s="673"/>
      <c r="AK1230" s="673"/>
      <c r="AL1230" s="673"/>
      <c r="AM1230" s="673"/>
      <c r="AN1230" s="673"/>
      <c r="AO1230" s="673"/>
      <c r="AP1230" s="673"/>
      <c r="AQ1230" s="673"/>
      <c r="AR1230" s="673"/>
      <c r="AS1230" s="673"/>
    </row>
    <row r="1231">
      <c r="A1231" s="653"/>
      <c r="B1231" s="654"/>
      <c r="C1231" s="655"/>
      <c r="D1231" s="656"/>
      <c r="E1231" s="657"/>
      <c r="F1231" s="658"/>
      <c r="G1231" s="659"/>
      <c r="H1231" s="660"/>
      <c r="I1231" s="659"/>
      <c r="J1231" s="661"/>
      <c r="K1231" s="658"/>
      <c r="L1231" s="662"/>
      <c r="M1231" s="663"/>
      <c r="N1231" s="664"/>
      <c r="O1231" s="665"/>
      <c r="P1231" s="666"/>
      <c r="Q1231" s="667"/>
      <c r="R1231" s="668"/>
      <c r="S1231" s="665"/>
      <c r="T1231" s="669"/>
      <c r="U1231" s="669"/>
      <c r="V1231" s="665"/>
      <c r="W1231" s="670"/>
      <c r="X1231" s="670"/>
      <c r="Y1231" s="671"/>
      <c r="Z1231" s="671"/>
      <c r="AA1231" s="672"/>
      <c r="AB1231" s="673"/>
      <c r="AC1231" s="673"/>
      <c r="AD1231" s="673"/>
      <c r="AE1231" s="673"/>
      <c r="AF1231" s="673"/>
      <c r="AG1231" s="673"/>
      <c r="AH1231" s="673"/>
      <c r="AI1231" s="673"/>
      <c r="AJ1231" s="673"/>
      <c r="AK1231" s="673"/>
      <c r="AL1231" s="673"/>
      <c r="AM1231" s="673"/>
      <c r="AN1231" s="673"/>
      <c r="AO1231" s="673"/>
      <c r="AP1231" s="673"/>
      <c r="AQ1231" s="673"/>
      <c r="AR1231" s="673"/>
      <c r="AS1231" s="673"/>
    </row>
    <row r="1232">
      <c r="A1232" s="653"/>
      <c r="B1232" s="654"/>
      <c r="C1232" s="655"/>
      <c r="D1232" s="656"/>
      <c r="E1232" s="657"/>
      <c r="F1232" s="658"/>
      <c r="G1232" s="659"/>
      <c r="H1232" s="660"/>
      <c r="I1232" s="659"/>
      <c r="J1232" s="661"/>
      <c r="K1232" s="658"/>
      <c r="L1232" s="662"/>
      <c r="M1232" s="663"/>
      <c r="N1232" s="664"/>
      <c r="O1232" s="665"/>
      <c r="P1232" s="666"/>
      <c r="Q1232" s="667"/>
      <c r="R1232" s="668"/>
      <c r="S1232" s="665"/>
      <c r="T1232" s="669"/>
      <c r="U1232" s="669"/>
      <c r="V1232" s="665"/>
      <c r="W1232" s="670"/>
      <c r="X1232" s="670"/>
      <c r="Y1232" s="671"/>
      <c r="Z1232" s="671"/>
      <c r="AA1232" s="672"/>
      <c r="AB1232" s="673"/>
      <c r="AC1232" s="673"/>
      <c r="AD1232" s="673"/>
      <c r="AE1232" s="673"/>
      <c r="AF1232" s="673"/>
      <c r="AG1232" s="673"/>
      <c r="AH1232" s="673"/>
      <c r="AI1232" s="673"/>
      <c r="AJ1232" s="673"/>
      <c r="AK1232" s="673"/>
      <c r="AL1232" s="673"/>
      <c r="AM1232" s="673"/>
      <c r="AN1232" s="673"/>
      <c r="AO1232" s="673"/>
      <c r="AP1232" s="673"/>
      <c r="AQ1232" s="673"/>
      <c r="AR1232" s="673"/>
      <c r="AS1232" s="673"/>
    </row>
    <row r="1233">
      <c r="A1233" s="653"/>
      <c r="B1233" s="654"/>
      <c r="C1233" s="655"/>
      <c r="D1233" s="656"/>
      <c r="E1233" s="657"/>
      <c r="F1233" s="658"/>
      <c r="G1233" s="659"/>
      <c r="H1233" s="660"/>
      <c r="I1233" s="659"/>
      <c r="J1233" s="661"/>
      <c r="K1233" s="658"/>
      <c r="L1233" s="662"/>
      <c r="M1233" s="663"/>
      <c r="N1233" s="664"/>
      <c r="O1233" s="665"/>
      <c r="P1233" s="666"/>
      <c r="Q1233" s="667"/>
      <c r="R1233" s="668"/>
      <c r="S1233" s="665"/>
      <c r="T1233" s="669"/>
      <c r="U1233" s="669"/>
      <c r="V1233" s="665"/>
      <c r="W1233" s="670"/>
      <c r="X1233" s="670"/>
      <c r="Y1233" s="671"/>
      <c r="Z1233" s="671"/>
      <c r="AA1233" s="672"/>
      <c r="AB1233" s="673"/>
      <c r="AC1233" s="673"/>
      <c r="AD1233" s="673"/>
      <c r="AE1233" s="673"/>
      <c r="AF1233" s="673"/>
      <c r="AG1233" s="673"/>
      <c r="AH1233" s="673"/>
      <c r="AI1233" s="673"/>
      <c r="AJ1233" s="673"/>
      <c r="AK1233" s="673"/>
      <c r="AL1233" s="673"/>
      <c r="AM1233" s="673"/>
      <c r="AN1233" s="673"/>
      <c r="AO1233" s="673"/>
      <c r="AP1233" s="673"/>
      <c r="AQ1233" s="673"/>
      <c r="AR1233" s="673"/>
      <c r="AS1233" s="673"/>
    </row>
    <row r="1234">
      <c r="A1234" s="653"/>
      <c r="B1234" s="654"/>
      <c r="C1234" s="655"/>
      <c r="D1234" s="656"/>
      <c r="E1234" s="657"/>
      <c r="F1234" s="658"/>
      <c r="G1234" s="659"/>
      <c r="H1234" s="660"/>
      <c r="I1234" s="659"/>
      <c r="J1234" s="661"/>
      <c r="K1234" s="658"/>
      <c r="L1234" s="662"/>
      <c r="M1234" s="663"/>
      <c r="N1234" s="664"/>
      <c r="O1234" s="665"/>
      <c r="P1234" s="666"/>
      <c r="Q1234" s="667"/>
      <c r="R1234" s="668"/>
      <c r="S1234" s="665"/>
      <c r="T1234" s="669"/>
      <c r="U1234" s="669"/>
      <c r="V1234" s="665"/>
      <c r="W1234" s="670"/>
      <c r="X1234" s="670"/>
      <c r="Y1234" s="671"/>
      <c r="Z1234" s="671"/>
      <c r="AA1234" s="672"/>
      <c r="AB1234" s="673"/>
      <c r="AC1234" s="673"/>
      <c r="AD1234" s="673"/>
      <c r="AE1234" s="673"/>
      <c r="AF1234" s="673"/>
      <c r="AG1234" s="673"/>
      <c r="AH1234" s="673"/>
      <c r="AI1234" s="673"/>
      <c r="AJ1234" s="673"/>
      <c r="AK1234" s="673"/>
      <c r="AL1234" s="673"/>
      <c r="AM1234" s="673"/>
      <c r="AN1234" s="673"/>
      <c r="AO1234" s="673"/>
      <c r="AP1234" s="673"/>
      <c r="AQ1234" s="673"/>
      <c r="AR1234" s="673"/>
      <c r="AS1234" s="673"/>
    </row>
    <row r="1235">
      <c r="A1235" s="653"/>
      <c r="B1235" s="654"/>
      <c r="C1235" s="655"/>
      <c r="D1235" s="656"/>
      <c r="E1235" s="657"/>
      <c r="F1235" s="658"/>
      <c r="G1235" s="659"/>
      <c r="H1235" s="660"/>
      <c r="I1235" s="659"/>
      <c r="J1235" s="661"/>
      <c r="K1235" s="658"/>
      <c r="L1235" s="662"/>
      <c r="M1235" s="663"/>
      <c r="N1235" s="664"/>
      <c r="O1235" s="665"/>
      <c r="P1235" s="666"/>
      <c r="Q1235" s="667"/>
      <c r="R1235" s="668"/>
      <c r="S1235" s="665"/>
      <c r="T1235" s="669"/>
      <c r="U1235" s="669"/>
      <c r="V1235" s="665"/>
      <c r="W1235" s="670"/>
      <c r="X1235" s="670"/>
      <c r="Y1235" s="671"/>
      <c r="Z1235" s="671"/>
      <c r="AA1235" s="672"/>
      <c r="AB1235" s="673"/>
      <c r="AC1235" s="673"/>
      <c r="AD1235" s="673"/>
      <c r="AE1235" s="673"/>
      <c r="AF1235" s="673"/>
      <c r="AG1235" s="673"/>
      <c r="AH1235" s="673"/>
      <c r="AI1235" s="673"/>
      <c r="AJ1235" s="673"/>
      <c r="AK1235" s="673"/>
      <c r="AL1235" s="673"/>
      <c r="AM1235" s="673"/>
      <c r="AN1235" s="673"/>
      <c r="AO1235" s="673"/>
      <c r="AP1235" s="673"/>
      <c r="AQ1235" s="673"/>
      <c r="AR1235" s="673"/>
      <c r="AS1235" s="673"/>
    </row>
    <row r="1236">
      <c r="A1236" s="653"/>
      <c r="B1236" s="654"/>
      <c r="C1236" s="655"/>
      <c r="D1236" s="656"/>
      <c r="E1236" s="657"/>
      <c r="F1236" s="658"/>
      <c r="G1236" s="659"/>
      <c r="H1236" s="660"/>
      <c r="I1236" s="659"/>
      <c r="J1236" s="661"/>
      <c r="K1236" s="658"/>
      <c r="L1236" s="662"/>
      <c r="M1236" s="663"/>
      <c r="N1236" s="664"/>
      <c r="O1236" s="665"/>
      <c r="P1236" s="666"/>
      <c r="Q1236" s="667"/>
      <c r="R1236" s="668"/>
      <c r="S1236" s="665"/>
      <c r="T1236" s="669"/>
      <c r="U1236" s="669"/>
      <c r="V1236" s="665"/>
      <c r="W1236" s="670"/>
      <c r="X1236" s="670"/>
      <c r="Y1236" s="671"/>
      <c r="Z1236" s="671"/>
      <c r="AA1236" s="672"/>
      <c r="AB1236" s="673"/>
      <c r="AC1236" s="673"/>
      <c r="AD1236" s="673"/>
      <c r="AE1236" s="673"/>
      <c r="AF1236" s="673"/>
      <c r="AG1236" s="673"/>
      <c r="AH1236" s="673"/>
      <c r="AI1236" s="673"/>
      <c r="AJ1236" s="673"/>
      <c r="AK1236" s="673"/>
      <c r="AL1236" s="673"/>
      <c r="AM1236" s="673"/>
      <c r="AN1236" s="673"/>
      <c r="AO1236" s="673"/>
      <c r="AP1236" s="673"/>
      <c r="AQ1236" s="673"/>
      <c r="AR1236" s="673"/>
      <c r="AS1236" s="673"/>
    </row>
    <row r="1237">
      <c r="A1237" s="653"/>
      <c r="B1237" s="654"/>
      <c r="C1237" s="655"/>
      <c r="D1237" s="656"/>
      <c r="E1237" s="657"/>
      <c r="F1237" s="658"/>
      <c r="G1237" s="659"/>
      <c r="H1237" s="660"/>
      <c r="I1237" s="659"/>
      <c r="J1237" s="661"/>
      <c r="K1237" s="658"/>
      <c r="L1237" s="662"/>
      <c r="M1237" s="663"/>
      <c r="N1237" s="664"/>
      <c r="O1237" s="665"/>
      <c r="P1237" s="666"/>
      <c r="Q1237" s="667"/>
      <c r="R1237" s="668"/>
      <c r="S1237" s="665"/>
      <c r="T1237" s="669"/>
      <c r="U1237" s="669"/>
      <c r="V1237" s="665"/>
      <c r="W1237" s="670"/>
      <c r="X1237" s="670"/>
      <c r="Y1237" s="671"/>
      <c r="Z1237" s="671"/>
      <c r="AA1237" s="672"/>
      <c r="AB1237" s="673"/>
      <c r="AC1237" s="673"/>
      <c r="AD1237" s="673"/>
      <c r="AE1237" s="673"/>
      <c r="AF1237" s="673"/>
      <c r="AG1237" s="673"/>
      <c r="AH1237" s="673"/>
      <c r="AI1237" s="673"/>
      <c r="AJ1237" s="673"/>
      <c r="AK1237" s="673"/>
      <c r="AL1237" s="673"/>
      <c r="AM1237" s="673"/>
      <c r="AN1237" s="673"/>
      <c r="AO1237" s="673"/>
      <c r="AP1237" s="673"/>
      <c r="AQ1237" s="673"/>
      <c r="AR1237" s="673"/>
      <c r="AS1237" s="673"/>
    </row>
    <row r="1238">
      <c r="A1238" s="653"/>
      <c r="B1238" s="654"/>
      <c r="C1238" s="655"/>
      <c r="D1238" s="656"/>
      <c r="E1238" s="657"/>
      <c r="F1238" s="658"/>
      <c r="G1238" s="659"/>
      <c r="H1238" s="660"/>
      <c r="I1238" s="659"/>
      <c r="J1238" s="661"/>
      <c r="K1238" s="658"/>
      <c r="L1238" s="662"/>
      <c r="M1238" s="663"/>
      <c r="N1238" s="664"/>
      <c r="O1238" s="665"/>
      <c r="P1238" s="666"/>
      <c r="Q1238" s="667"/>
      <c r="R1238" s="668"/>
      <c r="S1238" s="665"/>
      <c r="T1238" s="669"/>
      <c r="U1238" s="669"/>
      <c r="V1238" s="665"/>
      <c r="W1238" s="670"/>
      <c r="X1238" s="670"/>
      <c r="Y1238" s="671"/>
      <c r="Z1238" s="671"/>
      <c r="AA1238" s="672"/>
      <c r="AB1238" s="673"/>
      <c r="AC1238" s="673"/>
      <c r="AD1238" s="673"/>
      <c r="AE1238" s="673"/>
      <c r="AF1238" s="673"/>
      <c r="AG1238" s="673"/>
      <c r="AH1238" s="673"/>
      <c r="AI1238" s="673"/>
      <c r="AJ1238" s="673"/>
      <c r="AK1238" s="673"/>
      <c r="AL1238" s="673"/>
      <c r="AM1238" s="673"/>
      <c r="AN1238" s="673"/>
      <c r="AO1238" s="673"/>
      <c r="AP1238" s="673"/>
      <c r="AQ1238" s="673"/>
      <c r="AR1238" s="673"/>
      <c r="AS1238" s="673"/>
    </row>
    <row r="1239">
      <c r="A1239" s="653"/>
      <c r="B1239" s="654"/>
      <c r="C1239" s="655"/>
      <c r="D1239" s="656"/>
      <c r="E1239" s="657"/>
      <c r="F1239" s="658"/>
      <c r="G1239" s="659"/>
      <c r="H1239" s="660"/>
      <c r="I1239" s="659"/>
      <c r="J1239" s="661"/>
      <c r="K1239" s="658"/>
      <c r="L1239" s="662"/>
      <c r="M1239" s="663"/>
      <c r="N1239" s="664"/>
      <c r="O1239" s="665"/>
      <c r="P1239" s="666"/>
      <c r="Q1239" s="667"/>
      <c r="R1239" s="668"/>
      <c r="S1239" s="665"/>
      <c r="T1239" s="669"/>
      <c r="U1239" s="669"/>
      <c r="V1239" s="665"/>
      <c r="W1239" s="670"/>
      <c r="X1239" s="670"/>
      <c r="Y1239" s="671"/>
      <c r="Z1239" s="671"/>
      <c r="AA1239" s="672"/>
      <c r="AB1239" s="673"/>
      <c r="AC1239" s="673"/>
      <c r="AD1239" s="673"/>
      <c r="AE1239" s="673"/>
      <c r="AF1239" s="673"/>
      <c r="AG1239" s="673"/>
      <c r="AH1239" s="673"/>
      <c r="AI1239" s="673"/>
      <c r="AJ1239" s="673"/>
      <c r="AK1239" s="673"/>
      <c r="AL1239" s="673"/>
      <c r="AM1239" s="673"/>
      <c r="AN1239" s="673"/>
      <c r="AO1239" s="673"/>
      <c r="AP1239" s="673"/>
      <c r="AQ1239" s="673"/>
      <c r="AR1239" s="673"/>
      <c r="AS1239" s="673"/>
    </row>
    <row r="1240">
      <c r="A1240" s="653"/>
      <c r="B1240" s="654"/>
      <c r="C1240" s="655"/>
      <c r="D1240" s="656"/>
      <c r="E1240" s="657"/>
      <c r="F1240" s="658"/>
      <c r="G1240" s="659"/>
      <c r="H1240" s="660"/>
      <c r="I1240" s="659"/>
      <c r="J1240" s="661"/>
      <c r="K1240" s="658"/>
      <c r="L1240" s="662"/>
      <c r="M1240" s="663"/>
      <c r="N1240" s="664"/>
      <c r="O1240" s="665"/>
      <c r="P1240" s="666"/>
      <c r="Q1240" s="667"/>
      <c r="R1240" s="668"/>
      <c r="S1240" s="665"/>
      <c r="T1240" s="669"/>
      <c r="U1240" s="669"/>
      <c r="V1240" s="665"/>
      <c r="W1240" s="670"/>
      <c r="X1240" s="670"/>
      <c r="Y1240" s="671"/>
      <c r="Z1240" s="671"/>
      <c r="AA1240" s="672"/>
      <c r="AB1240" s="673"/>
      <c r="AC1240" s="673"/>
      <c r="AD1240" s="673"/>
      <c r="AE1240" s="673"/>
      <c r="AF1240" s="673"/>
      <c r="AG1240" s="673"/>
      <c r="AH1240" s="673"/>
      <c r="AI1240" s="673"/>
      <c r="AJ1240" s="673"/>
      <c r="AK1240" s="673"/>
      <c r="AL1240" s="673"/>
      <c r="AM1240" s="673"/>
      <c r="AN1240" s="673"/>
      <c r="AO1240" s="673"/>
      <c r="AP1240" s="673"/>
      <c r="AQ1240" s="673"/>
      <c r="AR1240" s="673"/>
      <c r="AS1240" s="673"/>
    </row>
    <row r="1241">
      <c r="A1241" s="653"/>
      <c r="B1241" s="654"/>
      <c r="C1241" s="655"/>
      <c r="D1241" s="656"/>
      <c r="E1241" s="657"/>
      <c r="F1241" s="658"/>
      <c r="G1241" s="659"/>
      <c r="H1241" s="660"/>
      <c r="I1241" s="659"/>
      <c r="J1241" s="661"/>
      <c r="K1241" s="658"/>
      <c r="L1241" s="662"/>
      <c r="M1241" s="663"/>
      <c r="N1241" s="664"/>
      <c r="O1241" s="665"/>
      <c r="P1241" s="666"/>
      <c r="Q1241" s="667"/>
      <c r="R1241" s="668"/>
      <c r="S1241" s="665"/>
      <c r="T1241" s="669"/>
      <c r="U1241" s="669"/>
      <c r="V1241" s="665"/>
      <c r="W1241" s="670"/>
      <c r="X1241" s="670"/>
      <c r="Y1241" s="671"/>
      <c r="Z1241" s="671"/>
      <c r="AA1241" s="672"/>
      <c r="AB1241" s="673"/>
      <c r="AC1241" s="673"/>
      <c r="AD1241" s="673"/>
      <c r="AE1241" s="673"/>
      <c r="AF1241" s="673"/>
      <c r="AG1241" s="673"/>
      <c r="AH1241" s="673"/>
      <c r="AI1241" s="673"/>
      <c r="AJ1241" s="673"/>
      <c r="AK1241" s="673"/>
      <c r="AL1241" s="673"/>
      <c r="AM1241" s="673"/>
      <c r="AN1241" s="673"/>
      <c r="AO1241" s="673"/>
      <c r="AP1241" s="673"/>
      <c r="AQ1241" s="673"/>
      <c r="AR1241" s="673"/>
      <c r="AS1241" s="673"/>
    </row>
    <row r="1242">
      <c r="A1242" s="653"/>
      <c r="B1242" s="654"/>
      <c r="C1242" s="655"/>
      <c r="D1242" s="656"/>
      <c r="E1242" s="657"/>
      <c r="F1242" s="658"/>
      <c r="G1242" s="659"/>
      <c r="H1242" s="660"/>
      <c r="I1242" s="659"/>
      <c r="J1242" s="661"/>
      <c r="K1242" s="658"/>
      <c r="L1242" s="662"/>
      <c r="M1242" s="663"/>
      <c r="N1242" s="664"/>
      <c r="O1242" s="665"/>
      <c r="P1242" s="666"/>
      <c r="Q1242" s="667"/>
      <c r="R1242" s="668"/>
      <c r="S1242" s="665"/>
      <c r="T1242" s="669"/>
      <c r="U1242" s="669"/>
      <c r="V1242" s="665"/>
      <c r="W1242" s="670"/>
      <c r="X1242" s="670"/>
      <c r="Y1242" s="671"/>
      <c r="Z1242" s="671"/>
      <c r="AA1242" s="672"/>
      <c r="AB1242" s="673"/>
      <c r="AC1242" s="673"/>
      <c r="AD1242" s="673"/>
      <c r="AE1242" s="673"/>
      <c r="AF1242" s="673"/>
      <c r="AG1242" s="673"/>
      <c r="AH1242" s="673"/>
      <c r="AI1242" s="673"/>
      <c r="AJ1242" s="673"/>
      <c r="AK1242" s="673"/>
      <c r="AL1242" s="673"/>
      <c r="AM1242" s="673"/>
      <c r="AN1242" s="673"/>
      <c r="AO1242" s="673"/>
      <c r="AP1242" s="673"/>
      <c r="AQ1242" s="673"/>
      <c r="AR1242" s="673"/>
      <c r="AS1242" s="673"/>
    </row>
    <row r="1243">
      <c r="A1243" s="653"/>
      <c r="B1243" s="654"/>
      <c r="C1243" s="655"/>
      <c r="D1243" s="656"/>
      <c r="E1243" s="657"/>
      <c r="F1243" s="658"/>
      <c r="G1243" s="659"/>
      <c r="H1243" s="660"/>
      <c r="I1243" s="659"/>
      <c r="J1243" s="661"/>
      <c r="K1243" s="658"/>
      <c r="L1243" s="662"/>
      <c r="M1243" s="663"/>
      <c r="N1243" s="664"/>
      <c r="O1243" s="665"/>
      <c r="P1243" s="666"/>
      <c r="Q1243" s="667"/>
      <c r="R1243" s="668"/>
      <c r="S1243" s="665"/>
      <c r="T1243" s="669"/>
      <c r="U1243" s="669"/>
      <c r="V1243" s="665"/>
      <c r="W1243" s="670"/>
      <c r="X1243" s="670"/>
      <c r="Y1243" s="671"/>
      <c r="Z1243" s="671"/>
      <c r="AA1243" s="672"/>
      <c r="AB1243" s="673"/>
      <c r="AC1243" s="673"/>
      <c r="AD1243" s="673"/>
      <c r="AE1243" s="673"/>
      <c r="AF1243" s="673"/>
      <c r="AG1243" s="673"/>
      <c r="AH1243" s="673"/>
      <c r="AI1243" s="673"/>
      <c r="AJ1243" s="673"/>
      <c r="AK1243" s="673"/>
      <c r="AL1243" s="673"/>
      <c r="AM1243" s="673"/>
      <c r="AN1243" s="673"/>
      <c r="AO1243" s="673"/>
      <c r="AP1243" s="673"/>
      <c r="AQ1243" s="673"/>
      <c r="AR1243" s="673"/>
      <c r="AS1243" s="673"/>
    </row>
    <row r="1244">
      <c r="A1244" s="653"/>
      <c r="B1244" s="654"/>
      <c r="C1244" s="655"/>
      <c r="D1244" s="656"/>
      <c r="E1244" s="657"/>
      <c r="F1244" s="658"/>
      <c r="G1244" s="659"/>
      <c r="H1244" s="660"/>
      <c r="I1244" s="659"/>
      <c r="J1244" s="661"/>
      <c r="K1244" s="658"/>
      <c r="L1244" s="662"/>
      <c r="M1244" s="663"/>
      <c r="N1244" s="664"/>
      <c r="O1244" s="665"/>
      <c r="P1244" s="666"/>
      <c r="Q1244" s="667"/>
      <c r="R1244" s="668"/>
      <c r="S1244" s="665"/>
      <c r="T1244" s="669"/>
      <c r="U1244" s="669"/>
      <c r="V1244" s="665"/>
      <c r="W1244" s="670"/>
      <c r="X1244" s="670"/>
      <c r="Y1244" s="671"/>
      <c r="Z1244" s="671"/>
      <c r="AA1244" s="672"/>
      <c r="AB1244" s="673"/>
      <c r="AC1244" s="673"/>
      <c r="AD1244" s="673"/>
      <c r="AE1244" s="673"/>
      <c r="AF1244" s="673"/>
      <c r="AG1244" s="673"/>
      <c r="AH1244" s="673"/>
      <c r="AI1244" s="673"/>
      <c r="AJ1244" s="673"/>
      <c r="AK1244" s="673"/>
      <c r="AL1244" s="673"/>
      <c r="AM1244" s="673"/>
      <c r="AN1244" s="673"/>
      <c r="AO1244" s="673"/>
      <c r="AP1244" s="673"/>
      <c r="AQ1244" s="673"/>
      <c r="AR1244" s="673"/>
      <c r="AS1244" s="673"/>
    </row>
    <row r="1245">
      <c r="A1245" s="653"/>
      <c r="B1245" s="654"/>
      <c r="C1245" s="655"/>
      <c r="D1245" s="656"/>
      <c r="E1245" s="657"/>
      <c r="F1245" s="658"/>
      <c r="G1245" s="659"/>
      <c r="H1245" s="660"/>
      <c r="I1245" s="659"/>
      <c r="J1245" s="661"/>
      <c r="K1245" s="658"/>
      <c r="L1245" s="662"/>
      <c r="M1245" s="663"/>
      <c r="N1245" s="664"/>
      <c r="O1245" s="665"/>
      <c r="P1245" s="666"/>
      <c r="Q1245" s="667"/>
      <c r="R1245" s="668"/>
      <c r="S1245" s="665"/>
      <c r="T1245" s="669"/>
      <c r="U1245" s="669"/>
      <c r="V1245" s="665"/>
      <c r="W1245" s="670"/>
      <c r="X1245" s="670"/>
      <c r="Y1245" s="671"/>
      <c r="Z1245" s="671"/>
      <c r="AA1245" s="672"/>
      <c r="AB1245" s="673"/>
      <c r="AC1245" s="673"/>
      <c r="AD1245" s="673"/>
      <c r="AE1245" s="673"/>
      <c r="AF1245" s="673"/>
      <c r="AG1245" s="673"/>
      <c r="AH1245" s="673"/>
      <c r="AI1245" s="673"/>
      <c r="AJ1245" s="673"/>
      <c r="AK1245" s="673"/>
      <c r="AL1245" s="673"/>
      <c r="AM1245" s="673"/>
      <c r="AN1245" s="673"/>
      <c r="AO1245" s="673"/>
      <c r="AP1245" s="673"/>
      <c r="AQ1245" s="673"/>
      <c r="AR1245" s="673"/>
      <c r="AS1245" s="673"/>
    </row>
    <row r="1246">
      <c r="A1246" s="653"/>
      <c r="B1246" s="654"/>
      <c r="C1246" s="655"/>
      <c r="D1246" s="656"/>
      <c r="E1246" s="657"/>
      <c r="F1246" s="658"/>
      <c r="G1246" s="659"/>
      <c r="H1246" s="660"/>
      <c r="I1246" s="659"/>
      <c r="J1246" s="661"/>
      <c r="K1246" s="658"/>
      <c r="L1246" s="662"/>
      <c r="M1246" s="663"/>
      <c r="N1246" s="664"/>
      <c r="O1246" s="665"/>
      <c r="P1246" s="666"/>
      <c r="Q1246" s="667"/>
      <c r="R1246" s="668"/>
      <c r="S1246" s="665"/>
      <c r="T1246" s="669"/>
      <c r="U1246" s="669"/>
      <c r="V1246" s="665"/>
      <c r="W1246" s="670"/>
      <c r="X1246" s="670"/>
      <c r="Y1246" s="671"/>
      <c r="Z1246" s="671"/>
      <c r="AA1246" s="672"/>
      <c r="AB1246" s="673"/>
      <c r="AC1246" s="673"/>
      <c r="AD1246" s="673"/>
      <c r="AE1246" s="673"/>
      <c r="AF1246" s="673"/>
      <c r="AG1246" s="673"/>
      <c r="AH1246" s="673"/>
      <c r="AI1246" s="673"/>
      <c r="AJ1246" s="673"/>
      <c r="AK1246" s="673"/>
      <c r="AL1246" s="673"/>
      <c r="AM1246" s="673"/>
      <c r="AN1246" s="673"/>
      <c r="AO1246" s="673"/>
      <c r="AP1246" s="673"/>
      <c r="AQ1246" s="673"/>
      <c r="AR1246" s="673"/>
      <c r="AS1246" s="673"/>
    </row>
    <row r="1247">
      <c r="A1247" s="653"/>
      <c r="B1247" s="654"/>
      <c r="C1247" s="655"/>
      <c r="D1247" s="656"/>
      <c r="E1247" s="657"/>
      <c r="F1247" s="658"/>
      <c r="G1247" s="659"/>
      <c r="H1247" s="660"/>
      <c r="I1247" s="659"/>
      <c r="J1247" s="661"/>
      <c r="K1247" s="658"/>
      <c r="L1247" s="662"/>
      <c r="M1247" s="663"/>
      <c r="N1247" s="664"/>
      <c r="O1247" s="665"/>
      <c r="P1247" s="666"/>
      <c r="Q1247" s="667"/>
      <c r="R1247" s="668"/>
      <c r="S1247" s="665"/>
      <c r="T1247" s="669"/>
      <c r="U1247" s="669"/>
      <c r="V1247" s="665"/>
      <c r="W1247" s="670"/>
      <c r="X1247" s="670"/>
      <c r="Y1247" s="671"/>
      <c r="Z1247" s="671"/>
      <c r="AA1247" s="672"/>
      <c r="AB1247" s="673"/>
      <c r="AC1247" s="673"/>
      <c r="AD1247" s="673"/>
      <c r="AE1247" s="673"/>
      <c r="AF1247" s="673"/>
      <c r="AG1247" s="673"/>
      <c r="AH1247" s="673"/>
      <c r="AI1247" s="673"/>
      <c r="AJ1247" s="673"/>
      <c r="AK1247" s="673"/>
      <c r="AL1247" s="673"/>
      <c r="AM1247" s="673"/>
      <c r="AN1247" s="673"/>
      <c r="AO1247" s="673"/>
      <c r="AP1247" s="673"/>
      <c r="AQ1247" s="673"/>
      <c r="AR1247" s="673"/>
      <c r="AS1247" s="673"/>
    </row>
    <row r="1248">
      <c r="A1248" s="653"/>
      <c r="B1248" s="654"/>
      <c r="C1248" s="655"/>
      <c r="D1248" s="656"/>
      <c r="E1248" s="657"/>
      <c r="F1248" s="658"/>
      <c r="G1248" s="659"/>
      <c r="H1248" s="660"/>
      <c r="I1248" s="659"/>
      <c r="J1248" s="661"/>
      <c r="K1248" s="658"/>
      <c r="L1248" s="662"/>
      <c r="M1248" s="663"/>
      <c r="N1248" s="664"/>
      <c r="O1248" s="665"/>
      <c r="P1248" s="666"/>
      <c r="Q1248" s="667"/>
      <c r="R1248" s="668"/>
      <c r="S1248" s="665"/>
      <c r="T1248" s="669"/>
      <c r="U1248" s="669"/>
      <c r="V1248" s="665"/>
      <c r="W1248" s="670"/>
      <c r="X1248" s="670"/>
      <c r="Y1248" s="671"/>
      <c r="Z1248" s="671"/>
      <c r="AA1248" s="672"/>
      <c r="AB1248" s="673"/>
      <c r="AC1248" s="673"/>
      <c r="AD1248" s="673"/>
      <c r="AE1248" s="673"/>
      <c r="AF1248" s="673"/>
      <c r="AG1248" s="673"/>
      <c r="AH1248" s="673"/>
      <c r="AI1248" s="673"/>
      <c r="AJ1248" s="673"/>
      <c r="AK1248" s="673"/>
      <c r="AL1248" s="673"/>
      <c r="AM1248" s="673"/>
      <c r="AN1248" s="673"/>
      <c r="AO1248" s="673"/>
      <c r="AP1248" s="673"/>
      <c r="AQ1248" s="673"/>
      <c r="AR1248" s="673"/>
      <c r="AS1248" s="673"/>
    </row>
    <row r="1249">
      <c r="A1249" s="653"/>
      <c r="B1249" s="654"/>
      <c r="C1249" s="655"/>
      <c r="D1249" s="656"/>
      <c r="E1249" s="657"/>
      <c r="F1249" s="658"/>
      <c r="G1249" s="659"/>
      <c r="H1249" s="660"/>
      <c r="I1249" s="659"/>
      <c r="J1249" s="661"/>
      <c r="K1249" s="658"/>
      <c r="L1249" s="662"/>
      <c r="M1249" s="663"/>
      <c r="N1249" s="664"/>
      <c r="O1249" s="665"/>
      <c r="P1249" s="666"/>
      <c r="Q1249" s="667"/>
      <c r="R1249" s="668"/>
      <c r="S1249" s="665"/>
      <c r="T1249" s="669"/>
      <c r="U1249" s="669"/>
      <c r="V1249" s="665"/>
      <c r="W1249" s="670"/>
      <c r="X1249" s="670"/>
      <c r="Y1249" s="671"/>
      <c r="Z1249" s="671"/>
      <c r="AA1249" s="672"/>
      <c r="AB1249" s="673"/>
      <c r="AC1249" s="673"/>
      <c r="AD1249" s="673"/>
      <c r="AE1249" s="673"/>
      <c r="AF1249" s="673"/>
      <c r="AG1249" s="673"/>
      <c r="AH1249" s="673"/>
      <c r="AI1249" s="673"/>
      <c r="AJ1249" s="673"/>
      <c r="AK1249" s="673"/>
      <c r="AL1249" s="673"/>
      <c r="AM1249" s="673"/>
      <c r="AN1249" s="673"/>
      <c r="AO1249" s="673"/>
      <c r="AP1249" s="673"/>
      <c r="AQ1249" s="673"/>
      <c r="AR1249" s="673"/>
      <c r="AS1249" s="673"/>
    </row>
    <row r="1250">
      <c r="A1250" s="653"/>
      <c r="B1250" s="654"/>
      <c r="C1250" s="655"/>
      <c r="D1250" s="656"/>
      <c r="E1250" s="657"/>
      <c r="F1250" s="658"/>
      <c r="G1250" s="659"/>
      <c r="H1250" s="660"/>
      <c r="I1250" s="659"/>
      <c r="J1250" s="661"/>
      <c r="K1250" s="658"/>
      <c r="L1250" s="662"/>
      <c r="M1250" s="663"/>
      <c r="N1250" s="664"/>
      <c r="O1250" s="665"/>
      <c r="P1250" s="666"/>
      <c r="Q1250" s="667"/>
      <c r="R1250" s="668"/>
      <c r="S1250" s="665"/>
      <c r="T1250" s="669"/>
      <c r="U1250" s="669"/>
      <c r="V1250" s="665"/>
      <c r="W1250" s="670"/>
      <c r="X1250" s="670"/>
      <c r="Y1250" s="671"/>
      <c r="Z1250" s="671"/>
      <c r="AA1250" s="672"/>
      <c r="AB1250" s="673"/>
      <c r="AC1250" s="673"/>
      <c r="AD1250" s="673"/>
      <c r="AE1250" s="673"/>
      <c r="AF1250" s="673"/>
      <c r="AG1250" s="673"/>
      <c r="AH1250" s="673"/>
      <c r="AI1250" s="673"/>
      <c r="AJ1250" s="673"/>
      <c r="AK1250" s="673"/>
      <c r="AL1250" s="673"/>
      <c r="AM1250" s="673"/>
      <c r="AN1250" s="673"/>
      <c r="AO1250" s="673"/>
      <c r="AP1250" s="673"/>
      <c r="AQ1250" s="673"/>
      <c r="AR1250" s="673"/>
      <c r="AS1250" s="673"/>
    </row>
    <row r="1251">
      <c r="A1251" s="653"/>
      <c r="B1251" s="654"/>
      <c r="C1251" s="655"/>
      <c r="D1251" s="656"/>
      <c r="E1251" s="657"/>
      <c r="F1251" s="658"/>
      <c r="G1251" s="659"/>
      <c r="H1251" s="660"/>
      <c r="I1251" s="659"/>
      <c r="J1251" s="661"/>
      <c r="K1251" s="658"/>
      <c r="L1251" s="662"/>
      <c r="M1251" s="663"/>
      <c r="N1251" s="664"/>
      <c r="O1251" s="665"/>
      <c r="P1251" s="666"/>
      <c r="Q1251" s="667"/>
      <c r="R1251" s="668"/>
      <c r="S1251" s="665"/>
      <c r="T1251" s="669"/>
      <c r="U1251" s="669"/>
      <c r="V1251" s="665"/>
      <c r="W1251" s="670"/>
      <c r="X1251" s="670"/>
      <c r="Y1251" s="671"/>
      <c r="Z1251" s="671"/>
      <c r="AA1251" s="672"/>
      <c r="AB1251" s="673"/>
      <c r="AC1251" s="673"/>
      <c r="AD1251" s="673"/>
      <c r="AE1251" s="673"/>
      <c r="AF1251" s="673"/>
      <c r="AG1251" s="673"/>
      <c r="AH1251" s="673"/>
      <c r="AI1251" s="673"/>
      <c r="AJ1251" s="673"/>
      <c r="AK1251" s="673"/>
      <c r="AL1251" s="673"/>
      <c r="AM1251" s="673"/>
      <c r="AN1251" s="673"/>
      <c r="AO1251" s="673"/>
      <c r="AP1251" s="673"/>
      <c r="AQ1251" s="673"/>
      <c r="AR1251" s="673"/>
      <c r="AS1251" s="673"/>
    </row>
    <row r="1252">
      <c r="A1252" s="653"/>
      <c r="B1252" s="654"/>
      <c r="C1252" s="655"/>
      <c r="D1252" s="656"/>
      <c r="E1252" s="657"/>
      <c r="F1252" s="658"/>
      <c r="G1252" s="659"/>
      <c r="H1252" s="660"/>
      <c r="I1252" s="659"/>
      <c r="J1252" s="661"/>
      <c r="K1252" s="658"/>
      <c r="L1252" s="662"/>
      <c r="M1252" s="663"/>
      <c r="N1252" s="664"/>
      <c r="O1252" s="665"/>
      <c r="P1252" s="666"/>
      <c r="Q1252" s="667"/>
      <c r="R1252" s="668"/>
      <c r="S1252" s="665"/>
      <c r="T1252" s="669"/>
      <c r="U1252" s="669"/>
      <c r="V1252" s="665"/>
      <c r="W1252" s="670"/>
      <c r="X1252" s="670"/>
      <c r="Y1252" s="671"/>
      <c r="Z1252" s="671"/>
      <c r="AA1252" s="672"/>
      <c r="AB1252" s="673"/>
      <c r="AC1252" s="673"/>
      <c r="AD1252" s="673"/>
      <c r="AE1252" s="673"/>
      <c r="AF1252" s="673"/>
      <c r="AG1252" s="673"/>
      <c r="AH1252" s="673"/>
      <c r="AI1252" s="673"/>
      <c r="AJ1252" s="673"/>
      <c r="AK1252" s="673"/>
      <c r="AL1252" s="673"/>
      <c r="AM1252" s="673"/>
      <c r="AN1252" s="673"/>
      <c r="AO1252" s="673"/>
      <c r="AP1252" s="673"/>
      <c r="AQ1252" s="673"/>
      <c r="AR1252" s="673"/>
      <c r="AS1252" s="673"/>
    </row>
    <row r="1253">
      <c r="A1253" s="653"/>
      <c r="B1253" s="654"/>
      <c r="C1253" s="655"/>
      <c r="D1253" s="656"/>
      <c r="E1253" s="657"/>
      <c r="F1253" s="658"/>
      <c r="G1253" s="659"/>
      <c r="H1253" s="660"/>
      <c r="I1253" s="659"/>
      <c r="J1253" s="661"/>
      <c r="K1253" s="658"/>
      <c r="L1253" s="662"/>
      <c r="M1253" s="663"/>
      <c r="N1253" s="664"/>
      <c r="O1253" s="665"/>
      <c r="P1253" s="666"/>
      <c r="Q1253" s="667"/>
      <c r="R1253" s="668"/>
      <c r="S1253" s="665"/>
      <c r="T1253" s="669"/>
      <c r="U1253" s="669"/>
      <c r="V1253" s="665"/>
      <c r="W1253" s="670"/>
      <c r="X1253" s="670"/>
      <c r="Y1253" s="671"/>
      <c r="Z1253" s="671"/>
      <c r="AA1253" s="672"/>
      <c r="AB1253" s="673"/>
      <c r="AC1253" s="673"/>
      <c r="AD1253" s="673"/>
      <c r="AE1253" s="673"/>
      <c r="AF1253" s="673"/>
      <c r="AG1253" s="673"/>
      <c r="AH1253" s="673"/>
      <c r="AI1253" s="673"/>
      <c r="AJ1253" s="673"/>
      <c r="AK1253" s="673"/>
      <c r="AL1253" s="673"/>
      <c r="AM1253" s="673"/>
      <c r="AN1253" s="673"/>
      <c r="AO1253" s="673"/>
      <c r="AP1253" s="673"/>
      <c r="AQ1253" s="673"/>
      <c r="AR1253" s="673"/>
      <c r="AS1253" s="673"/>
    </row>
    <row r="1254">
      <c r="A1254" s="653"/>
      <c r="B1254" s="654"/>
      <c r="C1254" s="655"/>
      <c r="D1254" s="656"/>
      <c r="E1254" s="657"/>
      <c r="F1254" s="658"/>
      <c r="G1254" s="659"/>
      <c r="H1254" s="660"/>
      <c r="I1254" s="659"/>
      <c r="J1254" s="661"/>
      <c r="K1254" s="658"/>
      <c r="L1254" s="662"/>
      <c r="M1254" s="663"/>
      <c r="N1254" s="664"/>
      <c r="O1254" s="665"/>
      <c r="P1254" s="666"/>
      <c r="Q1254" s="667"/>
      <c r="R1254" s="668"/>
      <c r="S1254" s="665"/>
      <c r="T1254" s="669"/>
      <c r="U1254" s="669"/>
      <c r="V1254" s="665"/>
      <c r="W1254" s="670"/>
      <c r="X1254" s="670"/>
      <c r="Y1254" s="671"/>
      <c r="Z1254" s="671"/>
      <c r="AA1254" s="672"/>
      <c r="AB1254" s="673"/>
      <c r="AC1254" s="673"/>
      <c r="AD1254" s="673"/>
      <c r="AE1254" s="673"/>
      <c r="AF1254" s="673"/>
      <c r="AG1254" s="673"/>
      <c r="AH1254" s="673"/>
      <c r="AI1254" s="673"/>
      <c r="AJ1254" s="673"/>
      <c r="AK1254" s="673"/>
      <c r="AL1254" s="673"/>
      <c r="AM1254" s="673"/>
      <c r="AN1254" s="673"/>
      <c r="AO1254" s="673"/>
      <c r="AP1254" s="673"/>
      <c r="AQ1254" s="673"/>
      <c r="AR1254" s="673"/>
      <c r="AS1254" s="673"/>
    </row>
    <row r="1255">
      <c r="A1255" s="653"/>
      <c r="B1255" s="654"/>
      <c r="C1255" s="655"/>
      <c r="D1255" s="656"/>
      <c r="E1255" s="657"/>
      <c r="F1255" s="658"/>
      <c r="G1255" s="659"/>
      <c r="H1255" s="660"/>
      <c r="I1255" s="659"/>
      <c r="J1255" s="661"/>
      <c r="K1255" s="658"/>
      <c r="L1255" s="662"/>
      <c r="M1255" s="663"/>
      <c r="N1255" s="664"/>
      <c r="O1255" s="665"/>
      <c r="P1255" s="666"/>
      <c r="Q1255" s="667"/>
      <c r="R1255" s="668"/>
      <c r="S1255" s="665"/>
      <c r="T1255" s="669"/>
      <c r="U1255" s="669"/>
      <c r="V1255" s="665"/>
      <c r="W1255" s="670"/>
      <c r="X1255" s="670"/>
      <c r="Y1255" s="671"/>
      <c r="Z1255" s="671"/>
      <c r="AA1255" s="672"/>
      <c r="AB1255" s="673"/>
      <c r="AC1255" s="673"/>
      <c r="AD1255" s="673"/>
      <c r="AE1255" s="673"/>
      <c r="AF1255" s="673"/>
      <c r="AG1255" s="673"/>
      <c r="AH1255" s="673"/>
      <c r="AI1255" s="673"/>
      <c r="AJ1255" s="673"/>
      <c r="AK1255" s="673"/>
      <c r="AL1255" s="673"/>
      <c r="AM1255" s="673"/>
      <c r="AN1255" s="673"/>
      <c r="AO1255" s="673"/>
      <c r="AP1255" s="673"/>
      <c r="AQ1255" s="673"/>
      <c r="AR1255" s="673"/>
      <c r="AS1255" s="673"/>
    </row>
    <row r="1256">
      <c r="A1256" s="653"/>
      <c r="B1256" s="654"/>
      <c r="C1256" s="655"/>
      <c r="D1256" s="656"/>
      <c r="E1256" s="657"/>
      <c r="F1256" s="658"/>
      <c r="G1256" s="659"/>
      <c r="H1256" s="660"/>
      <c r="I1256" s="659"/>
      <c r="J1256" s="661"/>
      <c r="K1256" s="658"/>
      <c r="L1256" s="662"/>
      <c r="M1256" s="663"/>
      <c r="N1256" s="664"/>
      <c r="O1256" s="665"/>
      <c r="P1256" s="666"/>
      <c r="Q1256" s="667"/>
      <c r="R1256" s="668"/>
      <c r="S1256" s="665"/>
      <c r="T1256" s="669"/>
      <c r="U1256" s="669"/>
      <c r="V1256" s="665"/>
      <c r="W1256" s="670"/>
      <c r="X1256" s="670"/>
      <c r="Y1256" s="671"/>
      <c r="Z1256" s="671"/>
      <c r="AA1256" s="672"/>
      <c r="AB1256" s="673"/>
      <c r="AC1256" s="673"/>
      <c r="AD1256" s="673"/>
      <c r="AE1256" s="673"/>
      <c r="AF1256" s="673"/>
      <c r="AG1256" s="673"/>
      <c r="AH1256" s="673"/>
      <c r="AI1256" s="673"/>
      <c r="AJ1256" s="673"/>
      <c r="AK1256" s="673"/>
      <c r="AL1256" s="673"/>
      <c r="AM1256" s="673"/>
      <c r="AN1256" s="673"/>
      <c r="AO1256" s="673"/>
      <c r="AP1256" s="673"/>
      <c r="AQ1256" s="673"/>
      <c r="AR1256" s="673"/>
      <c r="AS1256" s="673"/>
    </row>
    <row r="1257">
      <c r="A1257" s="653"/>
      <c r="B1257" s="654"/>
      <c r="C1257" s="655"/>
      <c r="D1257" s="656"/>
      <c r="E1257" s="657"/>
      <c r="F1257" s="658"/>
      <c r="G1257" s="659"/>
      <c r="H1257" s="660"/>
      <c r="I1257" s="659"/>
      <c r="J1257" s="661"/>
      <c r="K1257" s="658"/>
      <c r="L1257" s="662"/>
      <c r="M1257" s="663"/>
      <c r="N1257" s="664"/>
      <c r="O1257" s="665"/>
      <c r="P1257" s="666"/>
      <c r="Q1257" s="667"/>
      <c r="R1257" s="668"/>
      <c r="S1257" s="665"/>
      <c r="T1257" s="669"/>
      <c r="U1257" s="669"/>
      <c r="V1257" s="665"/>
      <c r="W1257" s="670"/>
      <c r="X1257" s="670"/>
      <c r="Y1257" s="671"/>
      <c r="Z1257" s="671"/>
      <c r="AA1257" s="672"/>
      <c r="AB1257" s="673"/>
      <c r="AC1257" s="673"/>
      <c r="AD1257" s="673"/>
      <c r="AE1257" s="673"/>
      <c r="AF1257" s="673"/>
      <c r="AG1257" s="673"/>
      <c r="AH1257" s="673"/>
      <c r="AI1257" s="673"/>
      <c r="AJ1257" s="673"/>
      <c r="AK1257" s="673"/>
      <c r="AL1257" s="673"/>
      <c r="AM1257" s="673"/>
      <c r="AN1257" s="673"/>
      <c r="AO1257" s="673"/>
      <c r="AP1257" s="673"/>
      <c r="AQ1257" s="673"/>
      <c r="AR1257" s="673"/>
      <c r="AS1257" s="673"/>
    </row>
    <row r="1258">
      <c r="A1258" s="653"/>
      <c r="B1258" s="654"/>
      <c r="C1258" s="655"/>
      <c r="D1258" s="656"/>
      <c r="E1258" s="657"/>
      <c r="F1258" s="658"/>
      <c r="G1258" s="659"/>
      <c r="H1258" s="660"/>
      <c r="I1258" s="659"/>
      <c r="J1258" s="661"/>
      <c r="K1258" s="658"/>
      <c r="L1258" s="662"/>
      <c r="M1258" s="663"/>
      <c r="N1258" s="664"/>
      <c r="O1258" s="665"/>
      <c r="P1258" s="666"/>
      <c r="Q1258" s="667"/>
      <c r="R1258" s="668"/>
      <c r="S1258" s="665"/>
      <c r="T1258" s="669"/>
      <c r="U1258" s="669"/>
      <c r="V1258" s="665"/>
      <c r="W1258" s="670"/>
      <c r="X1258" s="670"/>
      <c r="Y1258" s="671"/>
      <c r="Z1258" s="671"/>
      <c r="AA1258" s="672"/>
      <c r="AB1258" s="673"/>
      <c r="AC1258" s="673"/>
      <c r="AD1258" s="673"/>
      <c r="AE1258" s="673"/>
      <c r="AF1258" s="673"/>
      <c r="AG1258" s="673"/>
      <c r="AH1258" s="673"/>
      <c r="AI1258" s="673"/>
      <c r="AJ1258" s="673"/>
      <c r="AK1258" s="673"/>
      <c r="AL1258" s="673"/>
      <c r="AM1258" s="673"/>
      <c r="AN1258" s="673"/>
      <c r="AO1258" s="673"/>
      <c r="AP1258" s="673"/>
      <c r="AQ1258" s="673"/>
      <c r="AR1258" s="673"/>
      <c r="AS1258" s="673"/>
    </row>
    <row r="1259">
      <c r="A1259" s="653"/>
      <c r="B1259" s="654"/>
      <c r="C1259" s="655"/>
      <c r="D1259" s="656"/>
      <c r="E1259" s="657"/>
      <c r="F1259" s="658"/>
      <c r="G1259" s="659"/>
      <c r="H1259" s="660"/>
      <c r="I1259" s="659"/>
      <c r="J1259" s="661"/>
      <c r="K1259" s="658"/>
      <c r="L1259" s="662"/>
      <c r="M1259" s="663"/>
      <c r="N1259" s="664"/>
      <c r="O1259" s="665"/>
      <c r="P1259" s="666"/>
      <c r="Q1259" s="667"/>
      <c r="R1259" s="668"/>
      <c r="S1259" s="665"/>
      <c r="T1259" s="669"/>
      <c r="U1259" s="669"/>
      <c r="V1259" s="665"/>
      <c r="W1259" s="670"/>
      <c r="X1259" s="670"/>
      <c r="Y1259" s="671"/>
      <c r="Z1259" s="671"/>
      <c r="AA1259" s="672"/>
      <c r="AB1259" s="673"/>
      <c r="AC1259" s="673"/>
      <c r="AD1259" s="673"/>
      <c r="AE1259" s="673"/>
      <c r="AF1259" s="673"/>
      <c r="AG1259" s="673"/>
      <c r="AH1259" s="673"/>
      <c r="AI1259" s="673"/>
      <c r="AJ1259" s="673"/>
      <c r="AK1259" s="673"/>
      <c r="AL1259" s="673"/>
      <c r="AM1259" s="673"/>
      <c r="AN1259" s="673"/>
      <c r="AO1259" s="673"/>
      <c r="AP1259" s="673"/>
      <c r="AQ1259" s="673"/>
      <c r="AR1259" s="673"/>
      <c r="AS1259" s="673"/>
    </row>
    <row r="1260">
      <c r="A1260" s="653"/>
      <c r="B1260" s="654"/>
      <c r="C1260" s="655"/>
      <c r="D1260" s="656"/>
      <c r="E1260" s="657"/>
      <c r="F1260" s="658"/>
      <c r="G1260" s="659"/>
      <c r="H1260" s="660"/>
      <c r="I1260" s="659"/>
      <c r="J1260" s="661"/>
      <c r="K1260" s="658"/>
      <c r="L1260" s="662"/>
      <c r="M1260" s="663"/>
      <c r="N1260" s="664"/>
      <c r="O1260" s="665"/>
      <c r="P1260" s="666"/>
      <c r="Q1260" s="667"/>
      <c r="R1260" s="668"/>
      <c r="S1260" s="665"/>
      <c r="T1260" s="669"/>
      <c r="U1260" s="669"/>
      <c r="V1260" s="665"/>
      <c r="W1260" s="670"/>
      <c r="X1260" s="670"/>
      <c r="Y1260" s="671"/>
      <c r="Z1260" s="671"/>
      <c r="AA1260" s="672"/>
      <c r="AB1260" s="673"/>
      <c r="AC1260" s="673"/>
      <c r="AD1260" s="673"/>
      <c r="AE1260" s="673"/>
      <c r="AF1260" s="673"/>
      <c r="AG1260" s="673"/>
      <c r="AH1260" s="673"/>
      <c r="AI1260" s="673"/>
      <c r="AJ1260" s="673"/>
      <c r="AK1260" s="673"/>
      <c r="AL1260" s="673"/>
      <c r="AM1260" s="673"/>
      <c r="AN1260" s="673"/>
      <c r="AO1260" s="673"/>
      <c r="AP1260" s="673"/>
      <c r="AQ1260" s="673"/>
      <c r="AR1260" s="673"/>
      <c r="AS1260" s="673"/>
    </row>
    <row r="1261">
      <c r="A1261" s="653"/>
      <c r="B1261" s="654"/>
      <c r="C1261" s="655"/>
      <c r="D1261" s="656"/>
      <c r="E1261" s="657"/>
      <c r="F1261" s="658"/>
      <c r="G1261" s="659"/>
      <c r="H1261" s="660"/>
      <c r="I1261" s="659"/>
      <c r="J1261" s="661"/>
      <c r="K1261" s="658"/>
      <c r="L1261" s="662"/>
      <c r="M1261" s="663"/>
      <c r="N1261" s="664"/>
      <c r="O1261" s="665"/>
      <c r="P1261" s="666"/>
      <c r="Q1261" s="667"/>
      <c r="R1261" s="668"/>
      <c r="S1261" s="665"/>
      <c r="T1261" s="669"/>
      <c r="U1261" s="669"/>
      <c r="V1261" s="665"/>
      <c r="W1261" s="670"/>
      <c r="X1261" s="670"/>
      <c r="Y1261" s="671"/>
      <c r="Z1261" s="671"/>
      <c r="AA1261" s="672"/>
      <c r="AB1261" s="673"/>
      <c r="AC1261" s="673"/>
      <c r="AD1261" s="673"/>
      <c r="AE1261" s="673"/>
      <c r="AF1261" s="673"/>
      <c r="AG1261" s="673"/>
      <c r="AH1261" s="673"/>
      <c r="AI1261" s="673"/>
      <c r="AJ1261" s="673"/>
      <c r="AK1261" s="673"/>
      <c r="AL1261" s="673"/>
      <c r="AM1261" s="673"/>
      <c r="AN1261" s="673"/>
      <c r="AO1261" s="673"/>
      <c r="AP1261" s="673"/>
      <c r="AQ1261" s="673"/>
      <c r="AR1261" s="673"/>
      <c r="AS1261" s="673"/>
    </row>
    <row r="1262">
      <c r="A1262" s="653"/>
      <c r="B1262" s="654"/>
      <c r="C1262" s="655"/>
      <c r="D1262" s="656"/>
      <c r="E1262" s="657"/>
      <c r="F1262" s="658"/>
      <c r="G1262" s="659"/>
      <c r="H1262" s="660"/>
      <c r="I1262" s="659"/>
      <c r="J1262" s="661"/>
      <c r="K1262" s="658"/>
      <c r="L1262" s="662"/>
      <c r="M1262" s="663"/>
      <c r="N1262" s="664"/>
      <c r="O1262" s="665"/>
      <c r="P1262" s="666"/>
      <c r="Q1262" s="667"/>
      <c r="R1262" s="668"/>
      <c r="S1262" s="665"/>
      <c r="T1262" s="669"/>
      <c r="U1262" s="669"/>
      <c r="V1262" s="665"/>
      <c r="W1262" s="670"/>
      <c r="X1262" s="670"/>
      <c r="Y1262" s="671"/>
      <c r="Z1262" s="671"/>
      <c r="AA1262" s="672"/>
      <c r="AB1262" s="673"/>
      <c r="AC1262" s="673"/>
      <c r="AD1262" s="673"/>
      <c r="AE1262" s="673"/>
      <c r="AF1262" s="673"/>
      <c r="AG1262" s="673"/>
      <c r="AH1262" s="673"/>
      <c r="AI1262" s="673"/>
      <c r="AJ1262" s="673"/>
      <c r="AK1262" s="673"/>
      <c r="AL1262" s="673"/>
      <c r="AM1262" s="673"/>
      <c r="AN1262" s="673"/>
      <c r="AO1262" s="673"/>
      <c r="AP1262" s="673"/>
      <c r="AQ1262" s="673"/>
      <c r="AR1262" s="673"/>
      <c r="AS1262" s="673"/>
    </row>
    <row r="1263">
      <c r="A1263" s="653"/>
      <c r="B1263" s="654"/>
      <c r="C1263" s="655"/>
      <c r="D1263" s="656"/>
      <c r="E1263" s="657"/>
      <c r="F1263" s="658"/>
      <c r="G1263" s="659"/>
      <c r="H1263" s="660"/>
      <c r="I1263" s="659"/>
      <c r="J1263" s="661"/>
      <c r="K1263" s="658"/>
      <c r="L1263" s="662"/>
      <c r="M1263" s="663"/>
      <c r="N1263" s="664"/>
      <c r="O1263" s="665"/>
      <c r="P1263" s="666"/>
      <c r="Q1263" s="667"/>
      <c r="R1263" s="668"/>
      <c r="S1263" s="665"/>
      <c r="T1263" s="669"/>
      <c r="U1263" s="669"/>
      <c r="V1263" s="665"/>
      <c r="W1263" s="670"/>
      <c r="X1263" s="670"/>
      <c r="Y1263" s="671"/>
      <c r="Z1263" s="671"/>
      <c r="AA1263" s="672"/>
      <c r="AB1263" s="673"/>
      <c r="AC1263" s="673"/>
      <c r="AD1263" s="673"/>
      <c r="AE1263" s="673"/>
      <c r="AF1263" s="673"/>
      <c r="AG1263" s="673"/>
      <c r="AH1263" s="673"/>
      <c r="AI1263" s="673"/>
      <c r="AJ1263" s="673"/>
      <c r="AK1263" s="673"/>
      <c r="AL1263" s="673"/>
      <c r="AM1263" s="673"/>
      <c r="AN1263" s="673"/>
      <c r="AO1263" s="673"/>
      <c r="AP1263" s="673"/>
      <c r="AQ1263" s="673"/>
      <c r="AR1263" s="673"/>
      <c r="AS1263" s="673"/>
    </row>
    <row r="1264">
      <c r="A1264" s="653"/>
      <c r="B1264" s="654"/>
      <c r="C1264" s="655"/>
      <c r="D1264" s="656"/>
      <c r="E1264" s="657"/>
      <c r="F1264" s="658"/>
      <c r="G1264" s="659"/>
      <c r="H1264" s="660"/>
      <c r="I1264" s="659"/>
      <c r="J1264" s="661"/>
      <c r="K1264" s="658"/>
      <c r="L1264" s="662"/>
      <c r="M1264" s="663"/>
      <c r="N1264" s="664"/>
      <c r="O1264" s="665"/>
      <c r="P1264" s="666"/>
      <c r="Q1264" s="667"/>
      <c r="R1264" s="668"/>
      <c r="S1264" s="665"/>
      <c r="T1264" s="669"/>
      <c r="U1264" s="669"/>
      <c r="V1264" s="665"/>
      <c r="W1264" s="670"/>
      <c r="X1264" s="670"/>
      <c r="Y1264" s="671"/>
      <c r="Z1264" s="671"/>
      <c r="AA1264" s="672"/>
      <c r="AB1264" s="673"/>
      <c r="AC1264" s="673"/>
      <c r="AD1264" s="673"/>
      <c r="AE1264" s="673"/>
      <c r="AF1264" s="673"/>
      <c r="AG1264" s="673"/>
      <c r="AH1264" s="673"/>
      <c r="AI1264" s="673"/>
      <c r="AJ1264" s="673"/>
      <c r="AK1264" s="673"/>
      <c r="AL1264" s="673"/>
      <c r="AM1264" s="673"/>
      <c r="AN1264" s="673"/>
      <c r="AO1264" s="673"/>
      <c r="AP1264" s="673"/>
      <c r="AQ1264" s="673"/>
      <c r="AR1264" s="673"/>
      <c r="AS1264" s="673"/>
    </row>
    <row r="1265">
      <c r="A1265" s="653"/>
      <c r="B1265" s="654"/>
      <c r="C1265" s="655"/>
      <c r="D1265" s="656"/>
      <c r="E1265" s="657"/>
      <c r="F1265" s="658"/>
      <c r="G1265" s="659"/>
      <c r="H1265" s="660"/>
      <c r="I1265" s="659"/>
      <c r="J1265" s="661"/>
      <c r="K1265" s="658"/>
      <c r="L1265" s="662"/>
      <c r="M1265" s="663"/>
      <c r="N1265" s="664"/>
      <c r="O1265" s="665"/>
      <c r="P1265" s="666"/>
      <c r="Q1265" s="667"/>
      <c r="R1265" s="668"/>
      <c r="S1265" s="665"/>
      <c r="T1265" s="669"/>
      <c r="U1265" s="669"/>
      <c r="V1265" s="665"/>
      <c r="W1265" s="670"/>
      <c r="X1265" s="670"/>
      <c r="Y1265" s="671"/>
      <c r="Z1265" s="671"/>
      <c r="AA1265" s="672"/>
      <c r="AB1265" s="673"/>
      <c r="AC1265" s="673"/>
      <c r="AD1265" s="673"/>
      <c r="AE1265" s="673"/>
      <c r="AF1265" s="673"/>
      <c r="AG1265" s="673"/>
      <c r="AH1265" s="673"/>
      <c r="AI1265" s="673"/>
      <c r="AJ1265" s="673"/>
      <c r="AK1265" s="673"/>
      <c r="AL1265" s="673"/>
      <c r="AM1265" s="673"/>
      <c r="AN1265" s="673"/>
      <c r="AO1265" s="673"/>
      <c r="AP1265" s="673"/>
      <c r="AQ1265" s="673"/>
      <c r="AR1265" s="673"/>
      <c r="AS1265" s="673"/>
    </row>
    <row r="1266">
      <c r="A1266" s="653"/>
      <c r="B1266" s="654"/>
      <c r="C1266" s="655"/>
      <c r="D1266" s="656"/>
      <c r="E1266" s="657"/>
      <c r="F1266" s="658"/>
      <c r="G1266" s="659"/>
      <c r="H1266" s="660"/>
      <c r="I1266" s="659"/>
      <c r="J1266" s="661"/>
      <c r="K1266" s="658"/>
      <c r="L1266" s="662"/>
      <c r="M1266" s="663"/>
      <c r="N1266" s="664"/>
      <c r="O1266" s="665"/>
      <c r="P1266" s="666"/>
      <c r="Q1266" s="667"/>
      <c r="R1266" s="668"/>
      <c r="S1266" s="665"/>
      <c r="T1266" s="669"/>
      <c r="U1266" s="669"/>
      <c r="V1266" s="665"/>
      <c r="W1266" s="670"/>
      <c r="X1266" s="670"/>
      <c r="Y1266" s="671"/>
      <c r="Z1266" s="671"/>
      <c r="AA1266" s="672"/>
      <c r="AB1266" s="673"/>
      <c r="AC1266" s="673"/>
      <c r="AD1266" s="673"/>
      <c r="AE1266" s="673"/>
      <c r="AF1266" s="673"/>
      <c r="AG1266" s="673"/>
      <c r="AH1266" s="673"/>
      <c r="AI1266" s="673"/>
      <c r="AJ1266" s="673"/>
      <c r="AK1266" s="673"/>
      <c r="AL1266" s="673"/>
      <c r="AM1266" s="673"/>
      <c r="AN1266" s="673"/>
      <c r="AO1266" s="673"/>
      <c r="AP1266" s="673"/>
      <c r="AQ1266" s="673"/>
      <c r="AR1266" s="673"/>
      <c r="AS1266" s="673"/>
    </row>
    <row r="1267">
      <c r="A1267" s="653"/>
      <c r="B1267" s="654"/>
      <c r="C1267" s="655"/>
      <c r="D1267" s="656"/>
      <c r="E1267" s="657"/>
      <c r="F1267" s="658"/>
      <c r="G1267" s="659"/>
      <c r="H1267" s="660"/>
      <c r="I1267" s="659"/>
      <c r="J1267" s="661"/>
      <c r="K1267" s="658"/>
      <c r="L1267" s="662"/>
      <c r="M1267" s="663"/>
      <c r="N1267" s="664"/>
      <c r="O1267" s="665"/>
      <c r="P1267" s="666"/>
      <c r="Q1267" s="667"/>
      <c r="R1267" s="668"/>
      <c r="S1267" s="665"/>
      <c r="T1267" s="669"/>
      <c r="U1267" s="669"/>
      <c r="V1267" s="665"/>
      <c r="W1267" s="670"/>
      <c r="X1267" s="670"/>
      <c r="Y1267" s="671"/>
      <c r="Z1267" s="671"/>
      <c r="AA1267" s="672"/>
      <c r="AB1267" s="673"/>
      <c r="AC1267" s="673"/>
      <c r="AD1267" s="673"/>
      <c r="AE1267" s="673"/>
      <c r="AF1267" s="673"/>
      <c r="AG1267" s="673"/>
      <c r="AH1267" s="673"/>
      <c r="AI1267" s="673"/>
      <c r="AJ1267" s="673"/>
      <c r="AK1267" s="673"/>
      <c r="AL1267" s="673"/>
      <c r="AM1267" s="673"/>
      <c r="AN1267" s="673"/>
      <c r="AO1267" s="673"/>
      <c r="AP1267" s="673"/>
      <c r="AQ1267" s="673"/>
      <c r="AR1267" s="673"/>
      <c r="AS1267" s="673"/>
    </row>
    <row r="1268">
      <c r="A1268" s="653"/>
      <c r="B1268" s="654"/>
      <c r="C1268" s="655"/>
      <c r="D1268" s="656"/>
      <c r="E1268" s="657"/>
      <c r="F1268" s="658"/>
      <c r="G1268" s="659"/>
      <c r="H1268" s="660"/>
      <c r="I1268" s="659"/>
      <c r="J1268" s="661"/>
      <c r="K1268" s="658"/>
      <c r="L1268" s="662"/>
      <c r="M1268" s="663"/>
      <c r="N1268" s="664"/>
      <c r="O1268" s="665"/>
      <c r="P1268" s="666"/>
      <c r="Q1268" s="667"/>
      <c r="R1268" s="668"/>
      <c r="S1268" s="665"/>
      <c r="T1268" s="669"/>
      <c r="U1268" s="669"/>
      <c r="V1268" s="665"/>
      <c r="W1268" s="670"/>
      <c r="X1268" s="670"/>
      <c r="Y1268" s="671"/>
      <c r="Z1268" s="671"/>
      <c r="AA1268" s="672"/>
      <c r="AB1268" s="673"/>
      <c r="AC1268" s="673"/>
      <c r="AD1268" s="673"/>
      <c r="AE1268" s="673"/>
      <c r="AF1268" s="673"/>
      <c r="AG1268" s="673"/>
      <c r="AH1268" s="673"/>
      <c r="AI1268" s="673"/>
      <c r="AJ1268" s="673"/>
      <c r="AK1268" s="673"/>
      <c r="AL1268" s="673"/>
      <c r="AM1268" s="673"/>
      <c r="AN1268" s="673"/>
      <c r="AO1268" s="673"/>
      <c r="AP1268" s="673"/>
      <c r="AQ1268" s="673"/>
      <c r="AR1268" s="673"/>
      <c r="AS1268" s="673"/>
    </row>
    <row r="1269">
      <c r="A1269" s="653"/>
      <c r="B1269" s="654"/>
      <c r="C1269" s="655"/>
      <c r="D1269" s="656"/>
      <c r="E1269" s="657"/>
      <c r="F1269" s="658"/>
      <c r="G1269" s="659"/>
      <c r="H1269" s="660"/>
      <c r="I1269" s="659"/>
      <c r="J1269" s="661"/>
      <c r="K1269" s="658"/>
      <c r="L1269" s="662"/>
      <c r="M1269" s="663"/>
      <c r="N1269" s="664"/>
      <c r="O1269" s="665"/>
      <c r="P1269" s="666"/>
      <c r="Q1269" s="667"/>
      <c r="R1269" s="668"/>
      <c r="S1269" s="665"/>
      <c r="T1269" s="669"/>
      <c r="U1269" s="669"/>
      <c r="V1269" s="665"/>
      <c r="W1269" s="670"/>
      <c r="X1269" s="670"/>
      <c r="Y1269" s="671"/>
      <c r="Z1269" s="671"/>
      <c r="AA1269" s="672"/>
      <c r="AB1269" s="673"/>
      <c r="AC1269" s="673"/>
      <c r="AD1269" s="673"/>
      <c r="AE1269" s="673"/>
      <c r="AF1269" s="673"/>
      <c r="AG1269" s="673"/>
      <c r="AH1269" s="673"/>
      <c r="AI1269" s="673"/>
      <c r="AJ1269" s="673"/>
      <c r="AK1269" s="673"/>
      <c r="AL1269" s="673"/>
      <c r="AM1269" s="673"/>
      <c r="AN1269" s="673"/>
      <c r="AO1269" s="673"/>
      <c r="AP1269" s="673"/>
      <c r="AQ1269" s="673"/>
      <c r="AR1269" s="673"/>
      <c r="AS1269" s="673"/>
    </row>
    <row r="1270">
      <c r="A1270" s="653"/>
      <c r="B1270" s="654"/>
      <c r="C1270" s="655"/>
      <c r="D1270" s="656"/>
      <c r="E1270" s="657"/>
      <c r="F1270" s="658"/>
      <c r="G1270" s="659"/>
      <c r="H1270" s="660"/>
      <c r="I1270" s="659"/>
      <c r="J1270" s="661"/>
      <c r="K1270" s="658"/>
      <c r="L1270" s="662"/>
      <c r="M1270" s="663"/>
      <c r="N1270" s="664"/>
      <c r="O1270" s="665"/>
      <c r="P1270" s="666"/>
      <c r="Q1270" s="667"/>
      <c r="R1270" s="668"/>
      <c r="S1270" s="665"/>
      <c r="T1270" s="669"/>
      <c r="U1270" s="669"/>
      <c r="V1270" s="665"/>
      <c r="W1270" s="670"/>
      <c r="X1270" s="670"/>
      <c r="Y1270" s="671"/>
      <c r="Z1270" s="671"/>
      <c r="AA1270" s="672"/>
      <c r="AB1270" s="673"/>
      <c r="AC1270" s="673"/>
      <c r="AD1270" s="673"/>
      <c r="AE1270" s="673"/>
      <c r="AF1270" s="673"/>
      <c r="AG1270" s="673"/>
      <c r="AH1270" s="673"/>
      <c r="AI1270" s="673"/>
      <c r="AJ1270" s="673"/>
      <c r="AK1270" s="673"/>
      <c r="AL1270" s="673"/>
      <c r="AM1270" s="673"/>
      <c r="AN1270" s="673"/>
      <c r="AO1270" s="673"/>
      <c r="AP1270" s="673"/>
      <c r="AQ1270" s="673"/>
      <c r="AR1270" s="673"/>
      <c r="AS1270" s="673"/>
    </row>
    <row r="1271">
      <c r="A1271" s="653"/>
      <c r="B1271" s="654"/>
      <c r="C1271" s="655"/>
      <c r="D1271" s="656"/>
      <c r="E1271" s="657"/>
      <c r="F1271" s="658"/>
      <c r="G1271" s="659"/>
      <c r="H1271" s="660"/>
      <c r="I1271" s="659"/>
      <c r="J1271" s="661"/>
      <c r="K1271" s="658"/>
      <c r="L1271" s="662"/>
      <c r="M1271" s="663"/>
      <c r="N1271" s="664"/>
      <c r="O1271" s="665"/>
      <c r="P1271" s="666"/>
      <c r="Q1271" s="667"/>
      <c r="R1271" s="668"/>
      <c r="S1271" s="665"/>
      <c r="T1271" s="669"/>
      <c r="U1271" s="669"/>
      <c r="V1271" s="665"/>
      <c r="W1271" s="670"/>
      <c r="X1271" s="670"/>
      <c r="Y1271" s="671"/>
      <c r="Z1271" s="671"/>
      <c r="AA1271" s="672"/>
      <c r="AB1271" s="673"/>
      <c r="AC1271" s="673"/>
      <c r="AD1271" s="673"/>
      <c r="AE1271" s="673"/>
      <c r="AF1271" s="673"/>
      <c r="AG1271" s="673"/>
      <c r="AH1271" s="673"/>
      <c r="AI1271" s="673"/>
      <c r="AJ1271" s="673"/>
      <c r="AK1271" s="673"/>
      <c r="AL1271" s="673"/>
      <c r="AM1271" s="673"/>
      <c r="AN1271" s="673"/>
      <c r="AO1271" s="673"/>
      <c r="AP1271" s="673"/>
      <c r="AQ1271" s="673"/>
      <c r="AR1271" s="673"/>
      <c r="AS1271" s="673"/>
    </row>
    <row r="1272">
      <c r="A1272" s="653"/>
      <c r="B1272" s="654"/>
      <c r="C1272" s="655"/>
      <c r="D1272" s="656"/>
      <c r="E1272" s="657"/>
      <c r="F1272" s="658"/>
      <c r="G1272" s="659"/>
      <c r="H1272" s="660"/>
      <c r="I1272" s="659"/>
      <c r="J1272" s="661"/>
      <c r="K1272" s="658"/>
      <c r="L1272" s="662"/>
      <c r="M1272" s="663"/>
      <c r="N1272" s="664"/>
      <c r="O1272" s="665"/>
      <c r="P1272" s="666"/>
      <c r="Q1272" s="667"/>
      <c r="R1272" s="668"/>
      <c r="S1272" s="665"/>
      <c r="T1272" s="669"/>
      <c r="U1272" s="669"/>
      <c r="V1272" s="665"/>
      <c r="W1272" s="670"/>
      <c r="X1272" s="670"/>
      <c r="Y1272" s="671"/>
      <c r="Z1272" s="671"/>
      <c r="AA1272" s="672"/>
      <c r="AB1272" s="673"/>
      <c r="AC1272" s="673"/>
      <c r="AD1272" s="673"/>
      <c r="AE1272" s="673"/>
      <c r="AF1272" s="673"/>
      <c r="AG1272" s="673"/>
      <c r="AH1272" s="673"/>
      <c r="AI1272" s="673"/>
      <c r="AJ1272" s="673"/>
      <c r="AK1272" s="673"/>
      <c r="AL1272" s="673"/>
      <c r="AM1272" s="673"/>
      <c r="AN1272" s="673"/>
      <c r="AO1272" s="673"/>
      <c r="AP1272" s="673"/>
      <c r="AQ1272" s="673"/>
      <c r="AR1272" s="673"/>
      <c r="AS1272" s="673"/>
    </row>
    <row r="1273">
      <c r="A1273" s="653"/>
      <c r="B1273" s="654"/>
      <c r="C1273" s="655"/>
      <c r="D1273" s="656"/>
      <c r="E1273" s="657"/>
      <c r="F1273" s="658"/>
      <c r="G1273" s="659"/>
      <c r="H1273" s="660"/>
      <c r="I1273" s="659"/>
      <c r="J1273" s="661"/>
      <c r="K1273" s="658"/>
      <c r="L1273" s="662"/>
      <c r="M1273" s="663"/>
      <c r="N1273" s="664"/>
      <c r="O1273" s="665"/>
      <c r="P1273" s="666"/>
      <c r="Q1273" s="667"/>
      <c r="R1273" s="668"/>
      <c r="S1273" s="665"/>
      <c r="T1273" s="669"/>
      <c r="U1273" s="669"/>
      <c r="V1273" s="665"/>
      <c r="W1273" s="670"/>
      <c r="X1273" s="670"/>
      <c r="Y1273" s="671"/>
      <c r="Z1273" s="671"/>
      <c r="AA1273" s="672"/>
      <c r="AB1273" s="673"/>
      <c r="AC1273" s="673"/>
      <c r="AD1273" s="673"/>
      <c r="AE1273" s="673"/>
      <c r="AF1273" s="673"/>
      <c r="AG1273" s="673"/>
      <c r="AH1273" s="673"/>
      <c r="AI1273" s="673"/>
      <c r="AJ1273" s="673"/>
      <c r="AK1273" s="673"/>
      <c r="AL1273" s="673"/>
      <c r="AM1273" s="673"/>
      <c r="AN1273" s="673"/>
      <c r="AO1273" s="673"/>
      <c r="AP1273" s="673"/>
      <c r="AQ1273" s="673"/>
      <c r="AR1273" s="673"/>
      <c r="AS1273" s="673"/>
    </row>
    <row r="1274">
      <c r="A1274" s="653"/>
      <c r="B1274" s="654"/>
      <c r="C1274" s="655"/>
      <c r="D1274" s="656"/>
      <c r="E1274" s="657"/>
      <c r="F1274" s="658"/>
      <c r="G1274" s="659"/>
      <c r="H1274" s="660"/>
      <c r="I1274" s="659"/>
      <c r="J1274" s="661"/>
      <c r="K1274" s="658"/>
      <c r="L1274" s="662"/>
      <c r="M1274" s="663"/>
      <c r="N1274" s="664"/>
      <c r="O1274" s="665"/>
      <c r="P1274" s="666"/>
      <c r="Q1274" s="667"/>
      <c r="R1274" s="668"/>
      <c r="S1274" s="665"/>
      <c r="T1274" s="669"/>
      <c r="U1274" s="669"/>
      <c r="V1274" s="665"/>
      <c r="W1274" s="670"/>
      <c r="X1274" s="670"/>
      <c r="Y1274" s="671"/>
      <c r="Z1274" s="671"/>
      <c r="AA1274" s="672"/>
      <c r="AB1274" s="673"/>
      <c r="AC1274" s="673"/>
      <c r="AD1274" s="673"/>
      <c r="AE1274" s="673"/>
      <c r="AF1274" s="673"/>
      <c r="AG1274" s="673"/>
      <c r="AH1274" s="673"/>
      <c r="AI1274" s="673"/>
      <c r="AJ1274" s="673"/>
      <c r="AK1274" s="673"/>
      <c r="AL1274" s="673"/>
      <c r="AM1274" s="673"/>
      <c r="AN1274" s="673"/>
      <c r="AO1274" s="673"/>
      <c r="AP1274" s="673"/>
      <c r="AQ1274" s="673"/>
      <c r="AR1274" s="673"/>
      <c r="AS1274" s="673"/>
    </row>
    <row r="1275">
      <c r="A1275" s="653"/>
      <c r="B1275" s="654"/>
      <c r="C1275" s="655"/>
      <c r="D1275" s="656"/>
      <c r="E1275" s="657"/>
      <c r="F1275" s="658"/>
      <c r="G1275" s="659"/>
      <c r="H1275" s="660"/>
      <c r="I1275" s="659"/>
      <c r="J1275" s="661"/>
      <c r="K1275" s="658"/>
      <c r="L1275" s="662"/>
      <c r="M1275" s="663"/>
      <c r="N1275" s="664"/>
      <c r="O1275" s="665"/>
      <c r="P1275" s="666"/>
      <c r="Q1275" s="667"/>
      <c r="R1275" s="668"/>
      <c r="S1275" s="665"/>
      <c r="T1275" s="669"/>
      <c r="U1275" s="669"/>
      <c r="V1275" s="665"/>
      <c r="W1275" s="670"/>
      <c r="X1275" s="670"/>
      <c r="Y1275" s="671"/>
      <c r="Z1275" s="671"/>
      <c r="AA1275" s="672"/>
      <c r="AB1275" s="673"/>
      <c r="AC1275" s="673"/>
      <c r="AD1275" s="673"/>
      <c r="AE1275" s="673"/>
      <c r="AF1275" s="673"/>
      <c r="AG1275" s="673"/>
      <c r="AH1275" s="673"/>
      <c r="AI1275" s="673"/>
      <c r="AJ1275" s="673"/>
      <c r="AK1275" s="673"/>
      <c r="AL1275" s="673"/>
      <c r="AM1275" s="673"/>
      <c r="AN1275" s="673"/>
      <c r="AO1275" s="673"/>
      <c r="AP1275" s="673"/>
      <c r="AQ1275" s="673"/>
      <c r="AR1275" s="673"/>
      <c r="AS1275" s="673"/>
    </row>
    <row r="1276">
      <c r="A1276" s="653"/>
      <c r="B1276" s="654"/>
      <c r="C1276" s="655"/>
      <c r="D1276" s="656"/>
      <c r="E1276" s="657"/>
      <c r="F1276" s="658"/>
      <c r="G1276" s="659"/>
      <c r="H1276" s="660"/>
      <c r="I1276" s="659"/>
      <c r="J1276" s="661"/>
      <c r="K1276" s="658"/>
      <c r="L1276" s="662"/>
      <c r="M1276" s="663"/>
      <c r="N1276" s="664"/>
      <c r="O1276" s="665"/>
      <c r="P1276" s="666"/>
      <c r="Q1276" s="667"/>
      <c r="R1276" s="668"/>
      <c r="S1276" s="665"/>
      <c r="T1276" s="669"/>
      <c r="U1276" s="669"/>
      <c r="V1276" s="665"/>
      <c r="W1276" s="670"/>
      <c r="X1276" s="670"/>
      <c r="Y1276" s="671"/>
      <c r="Z1276" s="671"/>
      <c r="AA1276" s="672"/>
      <c r="AB1276" s="673"/>
      <c r="AC1276" s="673"/>
      <c r="AD1276" s="673"/>
      <c r="AE1276" s="673"/>
      <c r="AF1276" s="673"/>
      <c r="AG1276" s="673"/>
      <c r="AH1276" s="673"/>
      <c r="AI1276" s="673"/>
      <c r="AJ1276" s="673"/>
      <c r="AK1276" s="673"/>
      <c r="AL1276" s="673"/>
      <c r="AM1276" s="673"/>
      <c r="AN1276" s="673"/>
      <c r="AO1276" s="673"/>
      <c r="AP1276" s="673"/>
      <c r="AQ1276" s="673"/>
      <c r="AR1276" s="673"/>
      <c r="AS1276" s="673"/>
    </row>
    <row r="1277">
      <c r="A1277" s="653"/>
      <c r="B1277" s="654"/>
      <c r="C1277" s="655"/>
      <c r="D1277" s="656"/>
      <c r="E1277" s="657"/>
      <c r="F1277" s="658"/>
      <c r="G1277" s="659"/>
      <c r="H1277" s="660"/>
      <c r="I1277" s="659"/>
      <c r="J1277" s="661"/>
      <c r="K1277" s="658"/>
      <c r="L1277" s="662"/>
      <c r="M1277" s="663"/>
      <c r="N1277" s="664"/>
      <c r="O1277" s="665"/>
      <c r="P1277" s="666"/>
      <c r="Q1277" s="667"/>
      <c r="R1277" s="668"/>
      <c r="S1277" s="665"/>
      <c r="T1277" s="669"/>
      <c r="U1277" s="669"/>
      <c r="V1277" s="665"/>
      <c r="W1277" s="670"/>
      <c r="X1277" s="670"/>
      <c r="Y1277" s="671"/>
      <c r="Z1277" s="671"/>
      <c r="AA1277" s="672"/>
      <c r="AB1277" s="673"/>
      <c r="AC1277" s="673"/>
      <c r="AD1277" s="673"/>
      <c r="AE1277" s="673"/>
      <c r="AF1277" s="673"/>
      <c r="AG1277" s="673"/>
      <c r="AH1277" s="673"/>
      <c r="AI1277" s="673"/>
      <c r="AJ1277" s="673"/>
      <c r="AK1277" s="673"/>
      <c r="AL1277" s="673"/>
      <c r="AM1277" s="673"/>
      <c r="AN1277" s="673"/>
      <c r="AO1277" s="673"/>
      <c r="AP1277" s="673"/>
      <c r="AQ1277" s="673"/>
      <c r="AR1277" s="673"/>
      <c r="AS1277" s="673"/>
    </row>
    <row r="1278">
      <c r="A1278" s="653"/>
      <c r="B1278" s="654"/>
      <c r="C1278" s="655"/>
      <c r="D1278" s="656"/>
      <c r="E1278" s="657"/>
      <c r="F1278" s="658"/>
      <c r="G1278" s="659"/>
      <c r="H1278" s="660"/>
      <c r="I1278" s="659"/>
      <c r="J1278" s="661"/>
      <c r="K1278" s="658"/>
      <c r="L1278" s="662"/>
      <c r="M1278" s="663"/>
      <c r="N1278" s="664"/>
      <c r="O1278" s="665"/>
      <c r="P1278" s="666"/>
      <c r="Q1278" s="667"/>
      <c r="R1278" s="668"/>
      <c r="S1278" s="665"/>
      <c r="T1278" s="669"/>
      <c r="U1278" s="669"/>
      <c r="V1278" s="665"/>
      <c r="W1278" s="670"/>
      <c r="X1278" s="670"/>
      <c r="Y1278" s="671"/>
      <c r="Z1278" s="671"/>
      <c r="AA1278" s="672"/>
      <c r="AB1278" s="673"/>
      <c r="AC1278" s="673"/>
      <c r="AD1278" s="673"/>
      <c r="AE1278" s="673"/>
      <c r="AF1278" s="673"/>
      <c r="AG1278" s="673"/>
      <c r="AH1278" s="673"/>
      <c r="AI1278" s="673"/>
      <c r="AJ1278" s="673"/>
      <c r="AK1278" s="673"/>
      <c r="AL1278" s="673"/>
      <c r="AM1278" s="673"/>
      <c r="AN1278" s="673"/>
      <c r="AO1278" s="673"/>
      <c r="AP1278" s="673"/>
      <c r="AQ1278" s="673"/>
      <c r="AR1278" s="673"/>
      <c r="AS1278" s="673"/>
    </row>
    <row r="1279">
      <c r="A1279" s="653"/>
      <c r="B1279" s="654"/>
      <c r="C1279" s="655"/>
      <c r="D1279" s="656"/>
      <c r="E1279" s="657"/>
      <c r="F1279" s="658"/>
      <c r="G1279" s="659"/>
      <c r="H1279" s="660"/>
      <c r="I1279" s="659"/>
      <c r="J1279" s="661"/>
      <c r="K1279" s="658"/>
      <c r="L1279" s="662"/>
      <c r="M1279" s="663"/>
      <c r="N1279" s="664"/>
      <c r="O1279" s="665"/>
      <c r="P1279" s="666"/>
      <c r="Q1279" s="667"/>
      <c r="R1279" s="668"/>
      <c r="S1279" s="665"/>
      <c r="T1279" s="669"/>
      <c r="U1279" s="669"/>
      <c r="V1279" s="665"/>
      <c r="W1279" s="670"/>
      <c r="X1279" s="670"/>
      <c r="Y1279" s="671"/>
      <c r="Z1279" s="671"/>
      <c r="AA1279" s="672"/>
      <c r="AB1279" s="673"/>
      <c r="AC1279" s="673"/>
      <c r="AD1279" s="673"/>
      <c r="AE1279" s="673"/>
      <c r="AF1279" s="673"/>
      <c r="AG1279" s="673"/>
      <c r="AH1279" s="673"/>
      <c r="AI1279" s="673"/>
      <c r="AJ1279" s="673"/>
      <c r="AK1279" s="673"/>
      <c r="AL1279" s="673"/>
      <c r="AM1279" s="673"/>
      <c r="AN1279" s="673"/>
      <c r="AO1279" s="673"/>
      <c r="AP1279" s="673"/>
      <c r="AQ1279" s="673"/>
      <c r="AR1279" s="673"/>
      <c r="AS1279" s="673"/>
    </row>
    <row r="1280">
      <c r="A1280" s="653"/>
      <c r="B1280" s="654"/>
      <c r="C1280" s="655"/>
      <c r="D1280" s="656"/>
      <c r="E1280" s="657"/>
      <c r="F1280" s="658"/>
      <c r="G1280" s="659"/>
      <c r="H1280" s="660"/>
      <c r="I1280" s="659"/>
      <c r="J1280" s="661"/>
      <c r="K1280" s="658"/>
      <c r="L1280" s="662"/>
      <c r="M1280" s="663"/>
      <c r="N1280" s="664"/>
      <c r="O1280" s="665"/>
      <c r="P1280" s="666"/>
      <c r="Q1280" s="667"/>
      <c r="R1280" s="668"/>
      <c r="S1280" s="665"/>
      <c r="T1280" s="669"/>
      <c r="U1280" s="669"/>
      <c r="V1280" s="665"/>
      <c r="W1280" s="670"/>
      <c r="X1280" s="670"/>
      <c r="Y1280" s="671"/>
      <c r="Z1280" s="671"/>
      <c r="AA1280" s="672"/>
      <c r="AB1280" s="673"/>
      <c r="AC1280" s="673"/>
      <c r="AD1280" s="673"/>
      <c r="AE1280" s="673"/>
      <c r="AF1280" s="673"/>
      <c r="AG1280" s="673"/>
      <c r="AH1280" s="673"/>
      <c r="AI1280" s="673"/>
      <c r="AJ1280" s="673"/>
      <c r="AK1280" s="673"/>
      <c r="AL1280" s="673"/>
      <c r="AM1280" s="673"/>
      <c r="AN1280" s="673"/>
      <c r="AO1280" s="673"/>
      <c r="AP1280" s="673"/>
      <c r="AQ1280" s="673"/>
      <c r="AR1280" s="673"/>
      <c r="AS1280" s="673"/>
    </row>
    <row r="1281">
      <c r="A1281" s="653"/>
      <c r="B1281" s="654"/>
      <c r="C1281" s="655"/>
      <c r="D1281" s="656"/>
      <c r="E1281" s="657"/>
      <c r="F1281" s="658"/>
      <c r="G1281" s="659"/>
      <c r="H1281" s="660"/>
      <c r="I1281" s="659"/>
      <c r="J1281" s="661"/>
      <c r="K1281" s="658"/>
      <c r="L1281" s="662"/>
      <c r="M1281" s="663"/>
      <c r="N1281" s="664"/>
      <c r="O1281" s="665"/>
      <c r="P1281" s="666"/>
      <c r="Q1281" s="667"/>
      <c r="R1281" s="668"/>
      <c r="S1281" s="665"/>
      <c r="T1281" s="669"/>
      <c r="U1281" s="669"/>
      <c r="V1281" s="665"/>
      <c r="W1281" s="670"/>
      <c r="X1281" s="670"/>
      <c r="Y1281" s="671"/>
      <c r="Z1281" s="671"/>
      <c r="AA1281" s="672"/>
      <c r="AB1281" s="673"/>
      <c r="AC1281" s="673"/>
      <c r="AD1281" s="673"/>
      <c r="AE1281" s="673"/>
      <c r="AF1281" s="673"/>
      <c r="AG1281" s="673"/>
      <c r="AH1281" s="673"/>
      <c r="AI1281" s="673"/>
      <c r="AJ1281" s="673"/>
      <c r="AK1281" s="673"/>
      <c r="AL1281" s="673"/>
      <c r="AM1281" s="673"/>
      <c r="AN1281" s="673"/>
      <c r="AO1281" s="673"/>
      <c r="AP1281" s="673"/>
      <c r="AQ1281" s="673"/>
      <c r="AR1281" s="673"/>
      <c r="AS1281" s="673"/>
    </row>
    <row r="1282">
      <c r="A1282" s="653"/>
      <c r="B1282" s="654"/>
      <c r="C1282" s="655"/>
      <c r="D1282" s="656"/>
      <c r="E1282" s="657"/>
      <c r="F1282" s="658"/>
      <c r="G1282" s="659"/>
      <c r="H1282" s="660"/>
      <c r="I1282" s="659"/>
      <c r="J1282" s="661"/>
      <c r="K1282" s="658"/>
      <c r="L1282" s="662"/>
      <c r="M1282" s="663"/>
      <c r="N1282" s="664"/>
      <c r="O1282" s="665"/>
      <c r="P1282" s="666"/>
      <c r="Q1282" s="667"/>
      <c r="R1282" s="668"/>
      <c r="S1282" s="665"/>
      <c r="T1282" s="669"/>
      <c r="U1282" s="669"/>
      <c r="V1282" s="665"/>
      <c r="W1282" s="670"/>
      <c r="X1282" s="670"/>
      <c r="Y1282" s="671"/>
      <c r="Z1282" s="671"/>
      <c r="AA1282" s="672"/>
      <c r="AB1282" s="673"/>
      <c r="AC1282" s="673"/>
      <c r="AD1282" s="673"/>
      <c r="AE1282" s="673"/>
      <c r="AF1282" s="673"/>
      <c r="AG1282" s="673"/>
      <c r="AH1282" s="673"/>
      <c r="AI1282" s="673"/>
      <c r="AJ1282" s="673"/>
      <c r="AK1282" s="673"/>
      <c r="AL1282" s="673"/>
      <c r="AM1282" s="673"/>
      <c r="AN1282" s="673"/>
      <c r="AO1282" s="673"/>
      <c r="AP1282" s="673"/>
      <c r="AQ1282" s="673"/>
      <c r="AR1282" s="673"/>
      <c r="AS1282" s="673"/>
    </row>
    <row r="1283">
      <c r="A1283" s="653"/>
      <c r="B1283" s="654"/>
      <c r="C1283" s="655"/>
      <c r="D1283" s="656"/>
      <c r="E1283" s="657"/>
      <c r="F1283" s="658"/>
      <c r="G1283" s="659"/>
      <c r="H1283" s="660"/>
      <c r="I1283" s="659"/>
      <c r="J1283" s="661"/>
      <c r="K1283" s="658"/>
      <c r="L1283" s="662"/>
      <c r="M1283" s="663"/>
      <c r="N1283" s="664"/>
      <c r="O1283" s="665"/>
      <c r="P1283" s="666"/>
      <c r="Q1283" s="667"/>
      <c r="R1283" s="668"/>
      <c r="S1283" s="665"/>
      <c r="T1283" s="669"/>
      <c r="U1283" s="669"/>
      <c r="V1283" s="665"/>
      <c r="W1283" s="670"/>
      <c r="X1283" s="670"/>
      <c r="Y1283" s="671"/>
      <c r="Z1283" s="671"/>
      <c r="AA1283" s="672"/>
      <c r="AB1283" s="673"/>
      <c r="AC1283" s="673"/>
      <c r="AD1283" s="673"/>
      <c r="AE1283" s="673"/>
      <c r="AF1283" s="673"/>
      <c r="AG1283" s="673"/>
      <c r="AH1283" s="673"/>
      <c r="AI1283" s="673"/>
      <c r="AJ1283" s="673"/>
      <c r="AK1283" s="673"/>
      <c r="AL1283" s="673"/>
      <c r="AM1283" s="673"/>
      <c r="AN1283" s="673"/>
      <c r="AO1283" s="673"/>
      <c r="AP1283" s="673"/>
      <c r="AQ1283" s="673"/>
      <c r="AR1283" s="673"/>
      <c r="AS1283" s="673"/>
    </row>
    <row r="1284">
      <c r="A1284" s="653"/>
      <c r="B1284" s="654"/>
      <c r="C1284" s="655"/>
      <c r="D1284" s="656"/>
      <c r="E1284" s="657"/>
      <c r="F1284" s="658"/>
      <c r="G1284" s="659"/>
      <c r="H1284" s="660"/>
      <c r="I1284" s="659"/>
      <c r="J1284" s="661"/>
      <c r="K1284" s="658"/>
      <c r="L1284" s="662"/>
      <c r="M1284" s="663"/>
      <c r="N1284" s="664"/>
      <c r="O1284" s="665"/>
      <c r="P1284" s="666"/>
      <c r="Q1284" s="667"/>
      <c r="R1284" s="668"/>
      <c r="S1284" s="665"/>
      <c r="T1284" s="669"/>
      <c r="U1284" s="669"/>
      <c r="V1284" s="665"/>
      <c r="W1284" s="670"/>
      <c r="X1284" s="670"/>
      <c r="Y1284" s="671"/>
      <c r="Z1284" s="671"/>
      <c r="AA1284" s="672"/>
      <c r="AB1284" s="673"/>
      <c r="AC1284" s="673"/>
      <c r="AD1284" s="673"/>
      <c r="AE1284" s="673"/>
      <c r="AF1284" s="673"/>
      <c r="AG1284" s="673"/>
      <c r="AH1284" s="673"/>
      <c r="AI1284" s="673"/>
      <c r="AJ1284" s="673"/>
      <c r="AK1284" s="673"/>
      <c r="AL1284" s="673"/>
      <c r="AM1284" s="673"/>
      <c r="AN1284" s="673"/>
      <c r="AO1284" s="673"/>
      <c r="AP1284" s="673"/>
      <c r="AQ1284" s="673"/>
      <c r="AR1284" s="673"/>
      <c r="AS1284" s="673"/>
    </row>
    <row r="1285">
      <c r="A1285" s="653"/>
      <c r="B1285" s="654"/>
      <c r="C1285" s="655"/>
      <c r="D1285" s="656"/>
      <c r="E1285" s="657"/>
      <c r="F1285" s="658"/>
      <c r="G1285" s="659"/>
      <c r="H1285" s="660"/>
      <c r="I1285" s="659"/>
      <c r="J1285" s="661"/>
      <c r="K1285" s="658"/>
      <c r="L1285" s="662"/>
      <c r="M1285" s="663"/>
      <c r="N1285" s="664"/>
      <c r="O1285" s="665"/>
      <c r="P1285" s="666"/>
      <c r="Q1285" s="667"/>
      <c r="R1285" s="668"/>
      <c r="S1285" s="665"/>
      <c r="T1285" s="669"/>
      <c r="U1285" s="669"/>
      <c r="V1285" s="665"/>
      <c r="W1285" s="670"/>
      <c r="X1285" s="670"/>
      <c r="Y1285" s="671"/>
      <c r="Z1285" s="671"/>
      <c r="AA1285" s="672"/>
      <c r="AB1285" s="673"/>
      <c r="AC1285" s="673"/>
      <c r="AD1285" s="673"/>
      <c r="AE1285" s="673"/>
      <c r="AF1285" s="673"/>
      <c r="AG1285" s="673"/>
      <c r="AH1285" s="673"/>
      <c r="AI1285" s="673"/>
      <c r="AJ1285" s="673"/>
      <c r="AK1285" s="673"/>
      <c r="AL1285" s="673"/>
      <c r="AM1285" s="673"/>
      <c r="AN1285" s="673"/>
      <c r="AO1285" s="673"/>
      <c r="AP1285" s="673"/>
      <c r="AQ1285" s="673"/>
      <c r="AR1285" s="673"/>
      <c r="AS1285" s="673"/>
    </row>
    <row r="1286">
      <c r="A1286" s="653"/>
      <c r="B1286" s="654"/>
      <c r="C1286" s="655"/>
      <c r="D1286" s="656"/>
      <c r="E1286" s="657"/>
      <c r="F1286" s="658"/>
      <c r="G1286" s="659"/>
      <c r="H1286" s="660"/>
      <c r="I1286" s="659"/>
      <c r="J1286" s="661"/>
      <c r="K1286" s="658"/>
      <c r="L1286" s="662"/>
      <c r="M1286" s="663"/>
      <c r="N1286" s="664"/>
      <c r="O1286" s="665"/>
      <c r="P1286" s="666"/>
      <c r="Q1286" s="667"/>
      <c r="R1286" s="668"/>
      <c r="S1286" s="665"/>
      <c r="T1286" s="669"/>
      <c r="U1286" s="669"/>
      <c r="V1286" s="665"/>
      <c r="W1286" s="670"/>
      <c r="X1286" s="670"/>
      <c r="Y1286" s="671"/>
      <c r="Z1286" s="671"/>
      <c r="AA1286" s="672"/>
      <c r="AB1286" s="673"/>
      <c r="AC1286" s="673"/>
      <c r="AD1286" s="673"/>
      <c r="AE1286" s="673"/>
      <c r="AF1286" s="673"/>
      <c r="AG1286" s="673"/>
      <c r="AH1286" s="673"/>
      <c r="AI1286" s="673"/>
      <c r="AJ1286" s="673"/>
      <c r="AK1286" s="673"/>
      <c r="AL1286" s="673"/>
      <c r="AM1286" s="673"/>
      <c r="AN1286" s="673"/>
      <c r="AO1286" s="673"/>
      <c r="AP1286" s="673"/>
      <c r="AQ1286" s="673"/>
      <c r="AR1286" s="673"/>
      <c r="AS1286" s="673"/>
    </row>
    <row r="1287">
      <c r="A1287" s="653"/>
      <c r="B1287" s="654"/>
      <c r="C1287" s="655"/>
      <c r="D1287" s="656"/>
      <c r="E1287" s="657"/>
      <c r="F1287" s="658"/>
      <c r="G1287" s="659"/>
      <c r="H1287" s="660"/>
      <c r="I1287" s="659"/>
      <c r="J1287" s="661"/>
      <c r="K1287" s="658"/>
      <c r="L1287" s="662"/>
      <c r="M1287" s="663"/>
      <c r="N1287" s="664"/>
      <c r="O1287" s="665"/>
      <c r="P1287" s="666"/>
      <c r="Q1287" s="667"/>
      <c r="R1287" s="668"/>
      <c r="S1287" s="665"/>
      <c r="T1287" s="669"/>
      <c r="U1287" s="669"/>
      <c r="V1287" s="665"/>
      <c r="W1287" s="670"/>
      <c r="X1287" s="670"/>
      <c r="Y1287" s="671"/>
      <c r="Z1287" s="671"/>
      <c r="AA1287" s="672"/>
      <c r="AB1287" s="673"/>
      <c r="AC1287" s="673"/>
      <c r="AD1287" s="673"/>
      <c r="AE1287" s="673"/>
      <c r="AF1287" s="673"/>
      <c r="AG1287" s="673"/>
      <c r="AH1287" s="673"/>
      <c r="AI1287" s="673"/>
      <c r="AJ1287" s="673"/>
      <c r="AK1287" s="673"/>
      <c r="AL1287" s="673"/>
      <c r="AM1287" s="673"/>
      <c r="AN1287" s="673"/>
      <c r="AO1287" s="673"/>
      <c r="AP1287" s="673"/>
      <c r="AQ1287" s="673"/>
      <c r="AR1287" s="673"/>
      <c r="AS1287" s="673"/>
    </row>
    <row r="1288">
      <c r="A1288" s="653"/>
      <c r="B1288" s="654"/>
      <c r="C1288" s="655"/>
      <c r="D1288" s="656"/>
      <c r="E1288" s="657"/>
      <c r="F1288" s="658"/>
      <c r="G1288" s="659"/>
      <c r="H1288" s="660"/>
      <c r="I1288" s="659"/>
      <c r="J1288" s="661"/>
      <c r="K1288" s="658"/>
      <c r="L1288" s="662"/>
      <c r="M1288" s="663"/>
      <c r="N1288" s="664"/>
      <c r="O1288" s="665"/>
      <c r="P1288" s="666"/>
      <c r="Q1288" s="667"/>
      <c r="R1288" s="668"/>
      <c r="S1288" s="665"/>
      <c r="T1288" s="669"/>
      <c r="U1288" s="669"/>
      <c r="V1288" s="665"/>
      <c r="W1288" s="670"/>
      <c r="X1288" s="670"/>
      <c r="Y1288" s="671"/>
      <c r="Z1288" s="671"/>
      <c r="AA1288" s="672"/>
      <c r="AB1288" s="673"/>
      <c r="AC1288" s="673"/>
      <c r="AD1288" s="673"/>
      <c r="AE1288" s="673"/>
      <c r="AF1288" s="673"/>
      <c r="AG1288" s="673"/>
      <c r="AH1288" s="673"/>
      <c r="AI1288" s="673"/>
      <c r="AJ1288" s="673"/>
      <c r="AK1288" s="673"/>
      <c r="AL1288" s="673"/>
      <c r="AM1288" s="673"/>
      <c r="AN1288" s="673"/>
      <c r="AO1288" s="673"/>
      <c r="AP1288" s="673"/>
      <c r="AQ1288" s="673"/>
      <c r="AR1288" s="673"/>
      <c r="AS1288" s="673"/>
    </row>
    <row r="1289">
      <c r="A1289" s="653"/>
      <c r="B1289" s="654"/>
      <c r="C1289" s="655"/>
      <c r="D1289" s="656"/>
      <c r="E1289" s="657"/>
      <c r="F1289" s="658"/>
      <c r="G1289" s="659"/>
      <c r="H1289" s="660"/>
      <c r="I1289" s="659"/>
      <c r="J1289" s="661"/>
      <c r="K1289" s="658"/>
      <c r="L1289" s="662"/>
      <c r="M1289" s="663"/>
      <c r="N1289" s="664"/>
      <c r="O1289" s="665"/>
      <c r="P1289" s="666"/>
      <c r="Q1289" s="667"/>
      <c r="R1289" s="668"/>
      <c r="S1289" s="665"/>
      <c r="T1289" s="669"/>
      <c r="U1289" s="669"/>
      <c r="V1289" s="665"/>
      <c r="W1289" s="670"/>
      <c r="X1289" s="670"/>
      <c r="Y1289" s="671"/>
      <c r="Z1289" s="671"/>
      <c r="AA1289" s="672"/>
      <c r="AB1289" s="673"/>
      <c r="AC1289" s="673"/>
      <c r="AD1289" s="673"/>
      <c r="AE1289" s="673"/>
      <c r="AF1289" s="673"/>
      <c r="AG1289" s="673"/>
      <c r="AH1289" s="673"/>
      <c r="AI1289" s="673"/>
      <c r="AJ1289" s="673"/>
      <c r="AK1289" s="673"/>
      <c r="AL1289" s="673"/>
      <c r="AM1289" s="673"/>
      <c r="AN1289" s="673"/>
      <c r="AO1289" s="673"/>
      <c r="AP1289" s="673"/>
      <c r="AQ1289" s="673"/>
      <c r="AR1289" s="673"/>
      <c r="AS1289" s="673"/>
    </row>
    <row r="1290">
      <c r="A1290" s="653"/>
      <c r="B1290" s="654"/>
      <c r="C1290" s="655"/>
      <c r="D1290" s="656"/>
      <c r="E1290" s="657"/>
      <c r="F1290" s="658"/>
      <c r="G1290" s="659"/>
      <c r="H1290" s="660"/>
      <c r="I1290" s="659"/>
      <c r="J1290" s="661"/>
      <c r="K1290" s="658"/>
      <c r="L1290" s="662"/>
      <c r="M1290" s="663"/>
      <c r="N1290" s="664"/>
      <c r="O1290" s="665"/>
      <c r="P1290" s="666"/>
      <c r="Q1290" s="667"/>
      <c r="R1290" s="668"/>
      <c r="S1290" s="665"/>
      <c r="T1290" s="669"/>
      <c r="U1290" s="669"/>
      <c r="V1290" s="665"/>
      <c r="W1290" s="670"/>
      <c r="X1290" s="670"/>
      <c r="Y1290" s="671"/>
      <c r="Z1290" s="671"/>
      <c r="AA1290" s="672"/>
      <c r="AB1290" s="673"/>
      <c r="AC1290" s="673"/>
      <c r="AD1290" s="673"/>
      <c r="AE1290" s="673"/>
      <c r="AF1290" s="673"/>
      <c r="AG1290" s="673"/>
      <c r="AH1290" s="673"/>
      <c r="AI1290" s="673"/>
      <c r="AJ1290" s="673"/>
      <c r="AK1290" s="673"/>
      <c r="AL1290" s="673"/>
      <c r="AM1290" s="673"/>
      <c r="AN1290" s="673"/>
      <c r="AO1290" s="673"/>
      <c r="AP1290" s="673"/>
      <c r="AQ1290" s="673"/>
      <c r="AR1290" s="673"/>
      <c r="AS1290" s="673"/>
    </row>
    <row r="1291">
      <c r="A1291" s="653"/>
      <c r="B1291" s="654"/>
      <c r="C1291" s="655"/>
      <c r="D1291" s="656"/>
      <c r="E1291" s="657"/>
      <c r="F1291" s="658"/>
      <c r="G1291" s="659"/>
      <c r="H1291" s="660"/>
      <c r="I1291" s="659"/>
      <c r="J1291" s="661"/>
      <c r="K1291" s="658"/>
      <c r="L1291" s="662"/>
      <c r="M1291" s="663"/>
      <c r="N1291" s="664"/>
      <c r="O1291" s="665"/>
      <c r="P1291" s="666"/>
      <c r="Q1291" s="667"/>
      <c r="R1291" s="668"/>
      <c r="S1291" s="665"/>
      <c r="T1291" s="669"/>
      <c r="U1291" s="669"/>
      <c r="V1291" s="665"/>
      <c r="W1291" s="670"/>
      <c r="X1291" s="670"/>
      <c r="Y1291" s="671"/>
      <c r="Z1291" s="671"/>
      <c r="AA1291" s="672"/>
      <c r="AB1291" s="673"/>
      <c r="AC1291" s="673"/>
      <c r="AD1291" s="673"/>
      <c r="AE1291" s="673"/>
      <c r="AF1291" s="673"/>
      <c r="AG1291" s="673"/>
      <c r="AH1291" s="673"/>
      <c r="AI1291" s="673"/>
      <c r="AJ1291" s="673"/>
      <c r="AK1291" s="673"/>
      <c r="AL1291" s="673"/>
      <c r="AM1291" s="673"/>
      <c r="AN1291" s="673"/>
      <c r="AO1291" s="673"/>
      <c r="AP1291" s="673"/>
      <c r="AQ1291" s="673"/>
      <c r="AR1291" s="673"/>
      <c r="AS1291" s="673"/>
    </row>
    <row r="1292">
      <c r="A1292" s="653"/>
      <c r="B1292" s="654"/>
      <c r="C1292" s="655"/>
      <c r="D1292" s="656"/>
      <c r="E1292" s="657"/>
      <c r="F1292" s="658"/>
      <c r="G1292" s="659"/>
      <c r="H1292" s="660"/>
      <c r="I1292" s="659"/>
      <c r="J1292" s="661"/>
      <c r="K1292" s="658"/>
      <c r="L1292" s="662"/>
      <c r="M1292" s="663"/>
      <c r="N1292" s="664"/>
      <c r="O1292" s="665"/>
      <c r="P1292" s="666"/>
      <c r="Q1292" s="667"/>
      <c r="R1292" s="668"/>
      <c r="S1292" s="665"/>
      <c r="T1292" s="669"/>
      <c r="U1292" s="669"/>
      <c r="V1292" s="665"/>
      <c r="W1292" s="670"/>
      <c r="X1292" s="670"/>
      <c r="Y1292" s="671"/>
      <c r="Z1292" s="671"/>
      <c r="AA1292" s="672"/>
      <c r="AB1292" s="673"/>
      <c r="AC1292" s="673"/>
      <c r="AD1292" s="673"/>
      <c r="AE1292" s="673"/>
      <c r="AF1292" s="673"/>
      <c r="AG1292" s="673"/>
      <c r="AH1292" s="673"/>
      <c r="AI1292" s="673"/>
      <c r="AJ1292" s="673"/>
      <c r="AK1292" s="673"/>
      <c r="AL1292" s="673"/>
      <c r="AM1292" s="673"/>
      <c r="AN1292" s="673"/>
      <c r="AO1292" s="673"/>
      <c r="AP1292" s="673"/>
      <c r="AQ1292" s="673"/>
      <c r="AR1292" s="673"/>
      <c r="AS1292" s="673"/>
    </row>
    <row r="1293">
      <c r="A1293" s="653"/>
      <c r="B1293" s="654"/>
      <c r="C1293" s="655"/>
      <c r="D1293" s="656"/>
      <c r="E1293" s="657"/>
      <c r="F1293" s="658"/>
      <c r="G1293" s="659"/>
      <c r="H1293" s="660"/>
      <c r="I1293" s="659"/>
      <c r="J1293" s="661"/>
      <c r="K1293" s="658"/>
      <c r="L1293" s="662"/>
      <c r="M1293" s="663"/>
      <c r="N1293" s="664"/>
      <c r="O1293" s="665"/>
      <c r="P1293" s="666"/>
      <c r="Q1293" s="667"/>
      <c r="R1293" s="668"/>
      <c r="S1293" s="665"/>
      <c r="T1293" s="669"/>
      <c r="U1293" s="669"/>
      <c r="V1293" s="665"/>
      <c r="W1293" s="670"/>
      <c r="X1293" s="670"/>
      <c r="Y1293" s="671"/>
      <c r="Z1293" s="671"/>
      <c r="AA1293" s="672"/>
      <c r="AB1293" s="673"/>
      <c r="AC1293" s="673"/>
      <c r="AD1293" s="673"/>
      <c r="AE1293" s="673"/>
      <c r="AF1293" s="673"/>
      <c r="AG1293" s="673"/>
      <c r="AH1293" s="673"/>
      <c r="AI1293" s="673"/>
      <c r="AJ1293" s="673"/>
      <c r="AK1293" s="673"/>
      <c r="AL1293" s="673"/>
      <c r="AM1293" s="673"/>
      <c r="AN1293" s="673"/>
      <c r="AO1293" s="673"/>
      <c r="AP1293" s="673"/>
      <c r="AQ1293" s="673"/>
      <c r="AR1293" s="673"/>
      <c r="AS1293" s="673"/>
    </row>
    <row r="1294">
      <c r="A1294" s="653"/>
      <c r="B1294" s="654"/>
      <c r="C1294" s="655"/>
      <c r="D1294" s="656"/>
      <c r="E1294" s="657"/>
      <c r="F1294" s="658"/>
      <c r="G1294" s="659"/>
      <c r="H1294" s="660"/>
      <c r="I1294" s="659"/>
      <c r="J1294" s="661"/>
      <c r="K1294" s="658"/>
      <c r="L1294" s="662"/>
      <c r="M1294" s="663"/>
      <c r="N1294" s="664"/>
      <c r="O1294" s="665"/>
      <c r="P1294" s="666"/>
      <c r="Q1294" s="667"/>
      <c r="R1294" s="668"/>
      <c r="S1294" s="665"/>
      <c r="T1294" s="669"/>
      <c r="U1294" s="669"/>
      <c r="V1294" s="665"/>
      <c r="W1294" s="670"/>
      <c r="X1294" s="670"/>
      <c r="Y1294" s="671"/>
      <c r="Z1294" s="671"/>
      <c r="AA1294" s="672"/>
      <c r="AB1294" s="673"/>
      <c r="AC1294" s="673"/>
      <c r="AD1294" s="673"/>
      <c r="AE1294" s="673"/>
      <c r="AF1294" s="673"/>
      <c r="AG1294" s="673"/>
      <c r="AH1294" s="673"/>
      <c r="AI1294" s="673"/>
      <c r="AJ1294" s="673"/>
      <c r="AK1294" s="673"/>
      <c r="AL1294" s="673"/>
      <c r="AM1294" s="673"/>
      <c r="AN1294" s="673"/>
      <c r="AO1294" s="673"/>
      <c r="AP1294" s="673"/>
      <c r="AQ1294" s="673"/>
      <c r="AR1294" s="673"/>
      <c r="AS1294" s="673"/>
    </row>
    <row r="1295">
      <c r="A1295" s="653"/>
      <c r="B1295" s="654"/>
      <c r="C1295" s="655"/>
      <c r="D1295" s="656"/>
      <c r="E1295" s="657"/>
      <c r="F1295" s="658"/>
      <c r="G1295" s="659"/>
      <c r="H1295" s="660"/>
      <c r="I1295" s="659"/>
      <c r="J1295" s="661"/>
      <c r="K1295" s="658"/>
      <c r="L1295" s="662"/>
      <c r="M1295" s="663"/>
      <c r="N1295" s="664"/>
      <c r="O1295" s="665"/>
      <c r="P1295" s="666"/>
      <c r="Q1295" s="667"/>
      <c r="R1295" s="668"/>
      <c r="S1295" s="665"/>
      <c r="T1295" s="669"/>
      <c r="U1295" s="669"/>
      <c r="V1295" s="665"/>
      <c r="W1295" s="670"/>
      <c r="X1295" s="670"/>
      <c r="Y1295" s="671"/>
      <c r="Z1295" s="671"/>
      <c r="AA1295" s="672"/>
      <c r="AB1295" s="673"/>
      <c r="AC1295" s="673"/>
      <c r="AD1295" s="673"/>
      <c r="AE1295" s="673"/>
      <c r="AF1295" s="673"/>
      <c r="AG1295" s="673"/>
      <c r="AH1295" s="673"/>
      <c r="AI1295" s="673"/>
      <c r="AJ1295" s="673"/>
      <c r="AK1295" s="673"/>
      <c r="AL1295" s="673"/>
      <c r="AM1295" s="673"/>
      <c r="AN1295" s="673"/>
      <c r="AO1295" s="673"/>
      <c r="AP1295" s="673"/>
      <c r="AQ1295" s="673"/>
      <c r="AR1295" s="673"/>
      <c r="AS1295" s="673"/>
    </row>
    <row r="1296">
      <c r="A1296" s="653"/>
      <c r="B1296" s="654"/>
      <c r="C1296" s="655"/>
      <c r="D1296" s="656"/>
      <c r="E1296" s="657"/>
      <c r="F1296" s="658"/>
      <c r="G1296" s="659"/>
      <c r="H1296" s="660"/>
      <c r="I1296" s="659"/>
      <c r="J1296" s="661"/>
      <c r="K1296" s="658"/>
      <c r="L1296" s="662"/>
      <c r="M1296" s="663"/>
      <c r="N1296" s="664"/>
      <c r="O1296" s="665"/>
      <c r="P1296" s="666"/>
      <c r="Q1296" s="667"/>
      <c r="R1296" s="668"/>
      <c r="S1296" s="665"/>
      <c r="T1296" s="669"/>
      <c r="U1296" s="669"/>
      <c r="V1296" s="665"/>
      <c r="W1296" s="670"/>
      <c r="X1296" s="670"/>
      <c r="Y1296" s="671"/>
      <c r="Z1296" s="671"/>
      <c r="AA1296" s="672"/>
      <c r="AB1296" s="673"/>
      <c r="AC1296" s="673"/>
      <c r="AD1296" s="673"/>
      <c r="AE1296" s="673"/>
      <c r="AF1296" s="673"/>
      <c r="AG1296" s="673"/>
      <c r="AH1296" s="673"/>
      <c r="AI1296" s="673"/>
      <c r="AJ1296" s="673"/>
      <c r="AK1296" s="673"/>
      <c r="AL1296" s="673"/>
      <c r="AM1296" s="673"/>
      <c r="AN1296" s="673"/>
      <c r="AO1296" s="673"/>
      <c r="AP1296" s="673"/>
      <c r="AQ1296" s="673"/>
      <c r="AR1296" s="673"/>
      <c r="AS1296" s="673"/>
    </row>
    <row r="1297">
      <c r="A1297" s="653"/>
      <c r="B1297" s="654"/>
      <c r="C1297" s="655"/>
      <c r="D1297" s="656"/>
      <c r="E1297" s="657"/>
      <c r="F1297" s="658"/>
      <c r="G1297" s="659"/>
      <c r="H1297" s="660"/>
      <c r="I1297" s="659"/>
      <c r="J1297" s="661"/>
      <c r="K1297" s="658"/>
      <c r="L1297" s="662"/>
      <c r="M1297" s="663"/>
      <c r="N1297" s="664"/>
      <c r="O1297" s="665"/>
      <c r="P1297" s="666"/>
      <c r="Q1297" s="667"/>
      <c r="R1297" s="668"/>
      <c r="S1297" s="665"/>
      <c r="T1297" s="669"/>
      <c r="U1297" s="669"/>
      <c r="V1297" s="665"/>
      <c r="W1297" s="670"/>
      <c r="X1297" s="670"/>
      <c r="Y1297" s="671"/>
      <c r="Z1297" s="671"/>
      <c r="AA1297" s="672"/>
      <c r="AB1297" s="673"/>
      <c r="AC1297" s="673"/>
      <c r="AD1297" s="673"/>
      <c r="AE1297" s="673"/>
      <c r="AF1297" s="673"/>
      <c r="AG1297" s="673"/>
      <c r="AH1297" s="673"/>
      <c r="AI1297" s="673"/>
      <c r="AJ1297" s="673"/>
      <c r="AK1297" s="673"/>
      <c r="AL1297" s="673"/>
      <c r="AM1297" s="673"/>
      <c r="AN1297" s="673"/>
      <c r="AO1297" s="673"/>
      <c r="AP1297" s="673"/>
      <c r="AQ1297" s="673"/>
      <c r="AR1297" s="673"/>
      <c r="AS1297" s="673"/>
    </row>
    <row r="1298">
      <c r="A1298" s="653"/>
      <c r="B1298" s="654"/>
      <c r="C1298" s="655"/>
      <c r="D1298" s="656"/>
      <c r="E1298" s="657"/>
      <c r="F1298" s="658"/>
      <c r="G1298" s="659"/>
      <c r="H1298" s="660"/>
      <c r="I1298" s="659"/>
      <c r="J1298" s="661"/>
      <c r="K1298" s="658"/>
      <c r="L1298" s="662"/>
      <c r="M1298" s="663"/>
      <c r="N1298" s="664"/>
      <c r="O1298" s="665"/>
      <c r="P1298" s="666"/>
      <c r="Q1298" s="667"/>
      <c r="R1298" s="668"/>
      <c r="S1298" s="665"/>
      <c r="T1298" s="669"/>
      <c r="U1298" s="669"/>
      <c r="V1298" s="665"/>
      <c r="W1298" s="670"/>
      <c r="X1298" s="670"/>
      <c r="Y1298" s="671"/>
      <c r="Z1298" s="671"/>
      <c r="AA1298" s="672"/>
      <c r="AB1298" s="673"/>
      <c r="AC1298" s="673"/>
      <c r="AD1298" s="673"/>
      <c r="AE1298" s="673"/>
      <c r="AF1298" s="673"/>
      <c r="AG1298" s="673"/>
      <c r="AH1298" s="673"/>
      <c r="AI1298" s="673"/>
      <c r="AJ1298" s="673"/>
      <c r="AK1298" s="673"/>
      <c r="AL1298" s="673"/>
      <c r="AM1298" s="673"/>
      <c r="AN1298" s="673"/>
      <c r="AO1298" s="673"/>
      <c r="AP1298" s="673"/>
      <c r="AQ1298" s="673"/>
      <c r="AR1298" s="673"/>
      <c r="AS1298" s="673"/>
    </row>
    <row r="1299">
      <c r="A1299" s="653"/>
      <c r="B1299" s="654"/>
      <c r="C1299" s="655"/>
      <c r="D1299" s="656"/>
      <c r="E1299" s="657"/>
      <c r="F1299" s="658"/>
      <c r="G1299" s="659"/>
      <c r="H1299" s="660"/>
      <c r="I1299" s="659"/>
      <c r="J1299" s="661"/>
      <c r="K1299" s="658"/>
      <c r="L1299" s="662"/>
      <c r="M1299" s="663"/>
      <c r="N1299" s="664"/>
      <c r="O1299" s="665"/>
      <c r="P1299" s="666"/>
      <c r="Q1299" s="667"/>
      <c r="R1299" s="668"/>
      <c r="S1299" s="665"/>
      <c r="T1299" s="669"/>
      <c r="U1299" s="669"/>
      <c r="V1299" s="665"/>
      <c r="W1299" s="670"/>
      <c r="X1299" s="670"/>
      <c r="Y1299" s="671"/>
      <c r="Z1299" s="671"/>
      <c r="AA1299" s="672"/>
      <c r="AB1299" s="673"/>
      <c r="AC1299" s="673"/>
      <c r="AD1299" s="673"/>
      <c r="AE1299" s="673"/>
      <c r="AF1299" s="673"/>
      <c r="AG1299" s="673"/>
      <c r="AH1299" s="673"/>
      <c r="AI1299" s="673"/>
      <c r="AJ1299" s="673"/>
      <c r="AK1299" s="673"/>
      <c r="AL1299" s="673"/>
      <c r="AM1299" s="673"/>
      <c r="AN1299" s="673"/>
      <c r="AO1299" s="673"/>
      <c r="AP1299" s="673"/>
      <c r="AQ1299" s="673"/>
      <c r="AR1299" s="673"/>
      <c r="AS1299" s="673"/>
    </row>
    <row r="1300">
      <c r="A1300" s="653"/>
      <c r="B1300" s="654"/>
      <c r="C1300" s="655"/>
      <c r="D1300" s="656"/>
      <c r="E1300" s="657"/>
      <c r="F1300" s="658"/>
      <c r="G1300" s="659"/>
      <c r="H1300" s="660"/>
      <c r="I1300" s="659"/>
      <c r="J1300" s="661"/>
      <c r="K1300" s="658"/>
      <c r="L1300" s="662"/>
      <c r="M1300" s="663"/>
      <c r="N1300" s="664"/>
      <c r="O1300" s="665"/>
      <c r="P1300" s="666"/>
      <c r="Q1300" s="667"/>
      <c r="R1300" s="668"/>
      <c r="S1300" s="665"/>
      <c r="T1300" s="669"/>
      <c r="U1300" s="669"/>
      <c r="V1300" s="665"/>
      <c r="W1300" s="670"/>
      <c r="X1300" s="670"/>
      <c r="Y1300" s="671"/>
      <c r="Z1300" s="671"/>
      <c r="AA1300" s="672"/>
      <c r="AB1300" s="673"/>
      <c r="AC1300" s="673"/>
      <c r="AD1300" s="673"/>
      <c r="AE1300" s="673"/>
      <c r="AF1300" s="673"/>
      <c r="AG1300" s="673"/>
      <c r="AH1300" s="673"/>
      <c r="AI1300" s="673"/>
      <c r="AJ1300" s="673"/>
      <c r="AK1300" s="673"/>
      <c r="AL1300" s="673"/>
      <c r="AM1300" s="673"/>
      <c r="AN1300" s="673"/>
      <c r="AO1300" s="673"/>
      <c r="AP1300" s="673"/>
      <c r="AQ1300" s="673"/>
      <c r="AR1300" s="673"/>
      <c r="AS1300" s="673"/>
    </row>
    <row r="1301">
      <c r="A1301" s="653"/>
      <c r="B1301" s="654"/>
      <c r="C1301" s="655"/>
      <c r="D1301" s="656"/>
      <c r="E1301" s="657"/>
      <c r="F1301" s="658"/>
      <c r="G1301" s="659"/>
      <c r="H1301" s="660"/>
      <c r="I1301" s="659"/>
      <c r="J1301" s="661"/>
      <c r="K1301" s="658"/>
      <c r="L1301" s="662"/>
      <c r="M1301" s="663"/>
      <c r="N1301" s="664"/>
      <c r="O1301" s="665"/>
      <c r="P1301" s="666"/>
      <c r="Q1301" s="667"/>
      <c r="R1301" s="668"/>
      <c r="S1301" s="665"/>
      <c r="T1301" s="669"/>
      <c r="U1301" s="669"/>
      <c r="V1301" s="665"/>
      <c r="W1301" s="670"/>
      <c r="X1301" s="670"/>
      <c r="Y1301" s="671"/>
      <c r="Z1301" s="671"/>
      <c r="AA1301" s="672"/>
      <c r="AB1301" s="673"/>
      <c r="AC1301" s="673"/>
      <c r="AD1301" s="673"/>
      <c r="AE1301" s="673"/>
      <c r="AF1301" s="673"/>
      <c r="AG1301" s="673"/>
      <c r="AH1301" s="673"/>
      <c r="AI1301" s="673"/>
      <c r="AJ1301" s="673"/>
      <c r="AK1301" s="673"/>
      <c r="AL1301" s="673"/>
      <c r="AM1301" s="673"/>
      <c r="AN1301" s="673"/>
      <c r="AO1301" s="673"/>
      <c r="AP1301" s="673"/>
      <c r="AQ1301" s="673"/>
      <c r="AR1301" s="673"/>
      <c r="AS1301" s="673"/>
    </row>
    <row r="1302">
      <c r="A1302" s="653"/>
      <c r="B1302" s="654"/>
      <c r="C1302" s="655"/>
      <c r="D1302" s="656"/>
      <c r="E1302" s="657"/>
      <c r="F1302" s="658"/>
      <c r="G1302" s="659"/>
      <c r="H1302" s="660"/>
      <c r="I1302" s="659"/>
      <c r="J1302" s="661"/>
      <c r="K1302" s="658"/>
      <c r="L1302" s="662"/>
      <c r="M1302" s="663"/>
      <c r="N1302" s="664"/>
      <c r="O1302" s="665"/>
      <c r="P1302" s="666"/>
      <c r="Q1302" s="667"/>
      <c r="R1302" s="668"/>
      <c r="S1302" s="665"/>
      <c r="T1302" s="669"/>
      <c r="U1302" s="669"/>
      <c r="V1302" s="665"/>
      <c r="W1302" s="670"/>
      <c r="X1302" s="670"/>
      <c r="Y1302" s="671"/>
      <c r="Z1302" s="671"/>
      <c r="AA1302" s="672"/>
      <c r="AB1302" s="673"/>
      <c r="AC1302" s="673"/>
      <c r="AD1302" s="673"/>
      <c r="AE1302" s="673"/>
      <c r="AF1302" s="673"/>
      <c r="AG1302" s="673"/>
      <c r="AH1302" s="673"/>
      <c r="AI1302" s="673"/>
      <c r="AJ1302" s="673"/>
      <c r="AK1302" s="673"/>
      <c r="AL1302" s="673"/>
      <c r="AM1302" s="673"/>
      <c r="AN1302" s="673"/>
      <c r="AO1302" s="673"/>
      <c r="AP1302" s="673"/>
      <c r="AQ1302" s="673"/>
      <c r="AR1302" s="673"/>
      <c r="AS1302" s="673"/>
    </row>
    <row r="1303">
      <c r="A1303" s="653"/>
      <c r="B1303" s="654"/>
      <c r="C1303" s="655"/>
      <c r="D1303" s="656"/>
      <c r="E1303" s="657"/>
      <c r="F1303" s="658"/>
      <c r="G1303" s="659"/>
      <c r="H1303" s="660"/>
      <c r="I1303" s="659"/>
      <c r="J1303" s="661"/>
      <c r="K1303" s="658"/>
      <c r="L1303" s="662"/>
      <c r="M1303" s="663"/>
      <c r="N1303" s="664"/>
      <c r="O1303" s="665"/>
      <c r="P1303" s="666"/>
      <c r="Q1303" s="667"/>
      <c r="R1303" s="668"/>
      <c r="S1303" s="665"/>
      <c r="T1303" s="669"/>
      <c r="U1303" s="669"/>
      <c r="V1303" s="665"/>
      <c r="W1303" s="670"/>
      <c r="X1303" s="670"/>
      <c r="Y1303" s="671"/>
      <c r="Z1303" s="671"/>
      <c r="AA1303" s="672"/>
      <c r="AB1303" s="673"/>
      <c r="AC1303" s="673"/>
      <c r="AD1303" s="673"/>
      <c r="AE1303" s="673"/>
      <c r="AF1303" s="673"/>
      <c r="AG1303" s="673"/>
      <c r="AH1303" s="673"/>
      <c r="AI1303" s="673"/>
      <c r="AJ1303" s="673"/>
      <c r="AK1303" s="673"/>
      <c r="AL1303" s="673"/>
      <c r="AM1303" s="673"/>
      <c r="AN1303" s="673"/>
      <c r="AO1303" s="673"/>
      <c r="AP1303" s="673"/>
      <c r="AQ1303" s="673"/>
      <c r="AR1303" s="673"/>
      <c r="AS1303" s="673"/>
    </row>
    <row r="1304">
      <c r="A1304" s="653"/>
      <c r="B1304" s="654"/>
      <c r="C1304" s="655"/>
      <c r="D1304" s="656"/>
      <c r="E1304" s="657"/>
      <c r="F1304" s="658"/>
      <c r="G1304" s="659"/>
      <c r="H1304" s="660"/>
      <c r="I1304" s="659"/>
      <c r="J1304" s="661"/>
      <c r="K1304" s="658"/>
      <c r="L1304" s="662"/>
      <c r="M1304" s="663"/>
      <c r="N1304" s="664"/>
      <c r="O1304" s="665"/>
      <c r="P1304" s="666"/>
      <c r="Q1304" s="667"/>
      <c r="R1304" s="668"/>
      <c r="S1304" s="665"/>
      <c r="T1304" s="669"/>
      <c r="U1304" s="669"/>
      <c r="V1304" s="665"/>
      <c r="W1304" s="670"/>
      <c r="X1304" s="670"/>
      <c r="Y1304" s="671"/>
      <c r="Z1304" s="671"/>
      <c r="AA1304" s="672"/>
      <c r="AB1304" s="673"/>
      <c r="AC1304" s="673"/>
      <c r="AD1304" s="673"/>
      <c r="AE1304" s="673"/>
      <c r="AF1304" s="673"/>
      <c r="AG1304" s="673"/>
      <c r="AH1304" s="673"/>
      <c r="AI1304" s="673"/>
      <c r="AJ1304" s="673"/>
      <c r="AK1304" s="673"/>
      <c r="AL1304" s="673"/>
      <c r="AM1304" s="673"/>
      <c r="AN1304" s="673"/>
      <c r="AO1304" s="673"/>
      <c r="AP1304" s="673"/>
      <c r="AQ1304" s="673"/>
      <c r="AR1304" s="673"/>
      <c r="AS1304" s="673"/>
    </row>
    <row r="1305">
      <c r="A1305" s="653"/>
      <c r="B1305" s="654"/>
      <c r="C1305" s="655"/>
      <c r="D1305" s="656"/>
      <c r="E1305" s="657"/>
      <c r="F1305" s="658"/>
      <c r="G1305" s="659"/>
      <c r="H1305" s="660"/>
      <c r="I1305" s="659"/>
      <c r="J1305" s="661"/>
      <c r="K1305" s="658"/>
      <c r="L1305" s="662"/>
      <c r="M1305" s="663"/>
      <c r="N1305" s="664"/>
      <c r="O1305" s="665"/>
      <c r="P1305" s="666"/>
      <c r="Q1305" s="667"/>
      <c r="R1305" s="668"/>
      <c r="S1305" s="665"/>
      <c r="T1305" s="669"/>
      <c r="U1305" s="669"/>
      <c r="V1305" s="665"/>
      <c r="W1305" s="670"/>
      <c r="X1305" s="670"/>
      <c r="Y1305" s="671"/>
      <c r="Z1305" s="671"/>
      <c r="AA1305" s="672"/>
      <c r="AB1305" s="673"/>
      <c r="AC1305" s="673"/>
      <c r="AD1305" s="673"/>
      <c r="AE1305" s="673"/>
      <c r="AF1305" s="673"/>
      <c r="AG1305" s="673"/>
      <c r="AH1305" s="673"/>
      <c r="AI1305" s="673"/>
      <c r="AJ1305" s="673"/>
      <c r="AK1305" s="673"/>
      <c r="AL1305" s="673"/>
      <c r="AM1305" s="673"/>
      <c r="AN1305" s="673"/>
      <c r="AO1305" s="673"/>
      <c r="AP1305" s="673"/>
      <c r="AQ1305" s="673"/>
      <c r="AR1305" s="673"/>
      <c r="AS1305" s="673"/>
    </row>
    <row r="1306">
      <c r="A1306" s="653"/>
      <c r="B1306" s="654"/>
      <c r="C1306" s="655"/>
      <c r="D1306" s="656"/>
      <c r="E1306" s="657"/>
      <c r="F1306" s="658"/>
      <c r="G1306" s="659"/>
      <c r="H1306" s="660"/>
      <c r="I1306" s="659"/>
      <c r="J1306" s="661"/>
      <c r="K1306" s="658"/>
      <c r="L1306" s="662"/>
      <c r="M1306" s="663"/>
      <c r="N1306" s="664"/>
      <c r="O1306" s="665"/>
      <c r="P1306" s="666"/>
      <c r="Q1306" s="667"/>
      <c r="R1306" s="668"/>
      <c r="S1306" s="665"/>
      <c r="T1306" s="669"/>
      <c r="U1306" s="669"/>
      <c r="V1306" s="665"/>
      <c r="W1306" s="670"/>
      <c r="X1306" s="670"/>
      <c r="Y1306" s="671"/>
      <c r="Z1306" s="671"/>
      <c r="AA1306" s="672"/>
      <c r="AB1306" s="673"/>
      <c r="AC1306" s="673"/>
      <c r="AD1306" s="673"/>
      <c r="AE1306" s="673"/>
      <c r="AF1306" s="673"/>
      <c r="AG1306" s="673"/>
      <c r="AH1306" s="673"/>
      <c r="AI1306" s="673"/>
      <c r="AJ1306" s="673"/>
      <c r="AK1306" s="673"/>
      <c r="AL1306" s="673"/>
      <c r="AM1306" s="673"/>
      <c r="AN1306" s="673"/>
      <c r="AO1306" s="673"/>
      <c r="AP1306" s="673"/>
      <c r="AQ1306" s="673"/>
      <c r="AR1306" s="673"/>
      <c r="AS1306" s="673"/>
    </row>
    <row r="1307">
      <c r="A1307" s="653"/>
      <c r="B1307" s="654"/>
      <c r="C1307" s="655"/>
      <c r="D1307" s="656"/>
      <c r="E1307" s="657"/>
      <c r="F1307" s="658"/>
      <c r="G1307" s="659"/>
      <c r="H1307" s="660"/>
      <c r="I1307" s="659"/>
      <c r="J1307" s="661"/>
      <c r="K1307" s="658"/>
      <c r="L1307" s="662"/>
      <c r="M1307" s="663"/>
      <c r="N1307" s="664"/>
      <c r="O1307" s="665"/>
      <c r="P1307" s="666"/>
      <c r="Q1307" s="667"/>
      <c r="R1307" s="668"/>
      <c r="S1307" s="665"/>
      <c r="T1307" s="669"/>
      <c r="U1307" s="669"/>
      <c r="V1307" s="665"/>
      <c r="W1307" s="670"/>
      <c r="X1307" s="670"/>
      <c r="Y1307" s="671"/>
      <c r="Z1307" s="671"/>
      <c r="AA1307" s="672"/>
      <c r="AB1307" s="673"/>
      <c r="AC1307" s="673"/>
      <c r="AD1307" s="673"/>
      <c r="AE1307" s="673"/>
      <c r="AF1307" s="673"/>
      <c r="AG1307" s="673"/>
      <c r="AH1307" s="673"/>
      <c r="AI1307" s="673"/>
      <c r="AJ1307" s="673"/>
      <c r="AK1307" s="673"/>
      <c r="AL1307" s="673"/>
      <c r="AM1307" s="673"/>
      <c r="AN1307" s="673"/>
      <c r="AO1307" s="673"/>
      <c r="AP1307" s="673"/>
      <c r="AQ1307" s="673"/>
      <c r="AR1307" s="673"/>
      <c r="AS1307" s="673"/>
    </row>
    <row r="1308">
      <c r="A1308" s="653"/>
      <c r="B1308" s="654"/>
      <c r="C1308" s="655"/>
      <c r="D1308" s="656"/>
      <c r="E1308" s="657"/>
      <c r="F1308" s="658"/>
      <c r="G1308" s="659"/>
      <c r="H1308" s="660"/>
      <c r="I1308" s="659"/>
      <c r="J1308" s="661"/>
      <c r="K1308" s="658"/>
      <c r="L1308" s="662"/>
      <c r="M1308" s="663"/>
      <c r="N1308" s="664"/>
      <c r="O1308" s="665"/>
      <c r="P1308" s="666"/>
      <c r="Q1308" s="667"/>
      <c r="R1308" s="668"/>
      <c r="S1308" s="665"/>
      <c r="T1308" s="669"/>
      <c r="U1308" s="669"/>
      <c r="V1308" s="665"/>
      <c r="W1308" s="670"/>
      <c r="X1308" s="670"/>
      <c r="Y1308" s="671"/>
      <c r="Z1308" s="671"/>
      <c r="AA1308" s="672"/>
      <c r="AB1308" s="673"/>
      <c r="AC1308" s="673"/>
      <c r="AD1308" s="673"/>
      <c r="AE1308" s="673"/>
      <c r="AF1308" s="673"/>
      <c r="AG1308" s="673"/>
      <c r="AH1308" s="673"/>
      <c r="AI1308" s="673"/>
      <c r="AJ1308" s="673"/>
      <c r="AK1308" s="673"/>
      <c r="AL1308" s="673"/>
      <c r="AM1308" s="673"/>
      <c r="AN1308" s="673"/>
      <c r="AO1308" s="673"/>
      <c r="AP1308" s="673"/>
      <c r="AQ1308" s="673"/>
      <c r="AR1308" s="673"/>
      <c r="AS1308" s="673"/>
    </row>
    <row r="1309">
      <c r="A1309" s="653"/>
      <c r="B1309" s="654"/>
      <c r="C1309" s="655"/>
      <c r="D1309" s="656"/>
      <c r="E1309" s="657"/>
      <c r="F1309" s="658"/>
      <c r="G1309" s="659"/>
      <c r="H1309" s="660"/>
      <c r="I1309" s="659"/>
      <c r="J1309" s="661"/>
      <c r="K1309" s="658"/>
      <c r="L1309" s="662"/>
      <c r="M1309" s="663"/>
      <c r="N1309" s="664"/>
      <c r="O1309" s="665"/>
      <c r="P1309" s="666"/>
      <c r="Q1309" s="667"/>
      <c r="R1309" s="668"/>
      <c r="S1309" s="665"/>
      <c r="T1309" s="669"/>
      <c r="U1309" s="669"/>
      <c r="V1309" s="665"/>
      <c r="W1309" s="670"/>
      <c r="X1309" s="670"/>
      <c r="Y1309" s="671"/>
      <c r="Z1309" s="671"/>
      <c r="AA1309" s="672"/>
      <c r="AB1309" s="673"/>
      <c r="AC1309" s="673"/>
      <c r="AD1309" s="673"/>
      <c r="AE1309" s="673"/>
      <c r="AF1309" s="673"/>
      <c r="AG1309" s="673"/>
      <c r="AH1309" s="673"/>
      <c r="AI1309" s="673"/>
      <c r="AJ1309" s="673"/>
      <c r="AK1309" s="673"/>
      <c r="AL1309" s="673"/>
      <c r="AM1309" s="673"/>
      <c r="AN1309" s="673"/>
      <c r="AO1309" s="673"/>
      <c r="AP1309" s="673"/>
      <c r="AQ1309" s="673"/>
      <c r="AR1309" s="673"/>
      <c r="AS1309" s="673"/>
    </row>
    <row r="1310">
      <c r="A1310" s="653"/>
      <c r="B1310" s="654"/>
      <c r="C1310" s="655"/>
      <c r="D1310" s="656"/>
      <c r="E1310" s="657"/>
      <c r="F1310" s="658"/>
      <c r="G1310" s="659"/>
      <c r="H1310" s="660"/>
      <c r="I1310" s="659"/>
      <c r="J1310" s="661"/>
      <c r="K1310" s="658"/>
      <c r="L1310" s="662"/>
      <c r="M1310" s="663"/>
      <c r="N1310" s="664"/>
      <c r="O1310" s="665"/>
      <c r="P1310" s="666"/>
      <c r="Q1310" s="667"/>
      <c r="R1310" s="668"/>
      <c r="S1310" s="665"/>
      <c r="T1310" s="669"/>
      <c r="U1310" s="669"/>
      <c r="V1310" s="665"/>
      <c r="W1310" s="670"/>
      <c r="X1310" s="670"/>
      <c r="Y1310" s="671"/>
      <c r="Z1310" s="671"/>
      <c r="AA1310" s="672"/>
      <c r="AB1310" s="673"/>
      <c r="AC1310" s="673"/>
      <c r="AD1310" s="673"/>
      <c r="AE1310" s="673"/>
      <c r="AF1310" s="673"/>
      <c r="AG1310" s="673"/>
      <c r="AH1310" s="673"/>
      <c r="AI1310" s="673"/>
      <c r="AJ1310" s="673"/>
      <c r="AK1310" s="673"/>
      <c r="AL1310" s="673"/>
      <c r="AM1310" s="673"/>
      <c r="AN1310" s="673"/>
      <c r="AO1310" s="673"/>
      <c r="AP1310" s="673"/>
      <c r="AQ1310" s="673"/>
      <c r="AR1310" s="673"/>
      <c r="AS1310" s="673"/>
    </row>
    <row r="1311">
      <c r="A1311" s="653"/>
      <c r="B1311" s="654"/>
      <c r="C1311" s="655"/>
      <c r="D1311" s="656"/>
      <c r="E1311" s="657"/>
      <c r="F1311" s="658"/>
      <c r="G1311" s="659"/>
      <c r="H1311" s="660"/>
      <c r="I1311" s="659"/>
      <c r="J1311" s="661"/>
      <c r="K1311" s="658"/>
      <c r="L1311" s="662"/>
      <c r="M1311" s="663"/>
      <c r="N1311" s="664"/>
      <c r="O1311" s="665"/>
      <c r="P1311" s="666"/>
      <c r="Q1311" s="667"/>
      <c r="R1311" s="668"/>
      <c r="S1311" s="665"/>
      <c r="T1311" s="669"/>
      <c r="U1311" s="669"/>
      <c r="V1311" s="665"/>
      <c r="W1311" s="670"/>
      <c r="X1311" s="670"/>
      <c r="Y1311" s="671"/>
      <c r="Z1311" s="671"/>
      <c r="AA1311" s="672"/>
      <c r="AB1311" s="673"/>
      <c r="AC1311" s="673"/>
      <c r="AD1311" s="673"/>
      <c r="AE1311" s="673"/>
      <c r="AF1311" s="673"/>
      <c r="AG1311" s="673"/>
      <c r="AH1311" s="673"/>
      <c r="AI1311" s="673"/>
      <c r="AJ1311" s="673"/>
      <c r="AK1311" s="673"/>
      <c r="AL1311" s="673"/>
      <c r="AM1311" s="673"/>
      <c r="AN1311" s="673"/>
      <c r="AO1311" s="673"/>
      <c r="AP1311" s="673"/>
      <c r="AQ1311" s="673"/>
      <c r="AR1311" s="673"/>
      <c r="AS1311" s="673"/>
    </row>
    <row r="1312">
      <c r="A1312" s="653"/>
      <c r="B1312" s="654"/>
      <c r="C1312" s="655"/>
      <c r="D1312" s="656"/>
      <c r="E1312" s="657"/>
      <c r="F1312" s="658"/>
      <c r="G1312" s="659"/>
      <c r="H1312" s="660"/>
      <c r="I1312" s="659"/>
      <c r="J1312" s="661"/>
      <c r="K1312" s="658"/>
      <c r="L1312" s="662"/>
      <c r="M1312" s="663"/>
      <c r="N1312" s="664"/>
      <c r="O1312" s="665"/>
      <c r="P1312" s="666"/>
      <c r="Q1312" s="667"/>
      <c r="R1312" s="668"/>
      <c r="S1312" s="665"/>
      <c r="T1312" s="669"/>
      <c r="U1312" s="669"/>
      <c r="V1312" s="665"/>
      <c r="W1312" s="670"/>
      <c r="X1312" s="670"/>
      <c r="Y1312" s="671"/>
      <c r="Z1312" s="671"/>
      <c r="AA1312" s="672"/>
      <c r="AB1312" s="673"/>
      <c r="AC1312" s="673"/>
      <c r="AD1312" s="673"/>
      <c r="AE1312" s="673"/>
      <c r="AF1312" s="673"/>
      <c r="AG1312" s="673"/>
      <c r="AH1312" s="673"/>
      <c r="AI1312" s="673"/>
      <c r="AJ1312" s="673"/>
      <c r="AK1312" s="673"/>
      <c r="AL1312" s="673"/>
      <c r="AM1312" s="673"/>
      <c r="AN1312" s="673"/>
      <c r="AO1312" s="673"/>
      <c r="AP1312" s="673"/>
      <c r="AQ1312" s="673"/>
      <c r="AR1312" s="673"/>
      <c r="AS1312" s="673"/>
    </row>
    <row r="1313">
      <c r="A1313" s="653"/>
      <c r="B1313" s="654"/>
      <c r="C1313" s="655"/>
      <c r="D1313" s="656"/>
      <c r="E1313" s="657"/>
      <c r="F1313" s="658"/>
      <c r="G1313" s="659"/>
      <c r="H1313" s="660"/>
      <c r="I1313" s="659"/>
      <c r="J1313" s="661"/>
      <c r="K1313" s="658"/>
      <c r="L1313" s="662"/>
      <c r="M1313" s="663"/>
      <c r="N1313" s="664"/>
      <c r="O1313" s="665"/>
      <c r="P1313" s="666"/>
      <c r="Q1313" s="667"/>
      <c r="R1313" s="668"/>
      <c r="S1313" s="665"/>
      <c r="T1313" s="669"/>
      <c r="U1313" s="669"/>
      <c r="V1313" s="665"/>
      <c r="W1313" s="670"/>
      <c r="X1313" s="670"/>
      <c r="Y1313" s="671"/>
      <c r="Z1313" s="671"/>
      <c r="AA1313" s="672"/>
      <c r="AB1313" s="673"/>
      <c r="AC1313" s="673"/>
      <c r="AD1313" s="673"/>
      <c r="AE1313" s="673"/>
      <c r="AF1313" s="673"/>
      <c r="AG1313" s="673"/>
      <c r="AH1313" s="673"/>
      <c r="AI1313" s="673"/>
      <c r="AJ1313" s="673"/>
      <c r="AK1313" s="673"/>
      <c r="AL1313" s="673"/>
      <c r="AM1313" s="673"/>
      <c r="AN1313" s="673"/>
      <c r="AO1313" s="673"/>
      <c r="AP1313" s="673"/>
      <c r="AQ1313" s="673"/>
      <c r="AR1313" s="673"/>
      <c r="AS1313" s="673"/>
    </row>
    <row r="1314">
      <c r="A1314" s="653"/>
      <c r="B1314" s="654"/>
      <c r="C1314" s="655"/>
      <c r="D1314" s="656"/>
      <c r="E1314" s="657"/>
      <c r="F1314" s="658"/>
      <c r="G1314" s="659"/>
      <c r="H1314" s="660"/>
      <c r="I1314" s="659"/>
      <c r="J1314" s="661"/>
      <c r="K1314" s="658"/>
      <c r="L1314" s="662"/>
      <c r="M1314" s="663"/>
      <c r="N1314" s="664"/>
      <c r="O1314" s="665"/>
      <c r="P1314" s="666"/>
      <c r="Q1314" s="667"/>
      <c r="R1314" s="668"/>
      <c r="S1314" s="665"/>
      <c r="T1314" s="669"/>
      <c r="U1314" s="669"/>
      <c r="V1314" s="665"/>
      <c r="W1314" s="670"/>
      <c r="X1314" s="670"/>
      <c r="Y1314" s="671"/>
      <c r="Z1314" s="671"/>
      <c r="AA1314" s="672"/>
      <c r="AB1314" s="673"/>
      <c r="AC1314" s="673"/>
      <c r="AD1314" s="673"/>
      <c r="AE1314" s="673"/>
      <c r="AF1314" s="673"/>
      <c r="AG1314" s="673"/>
      <c r="AH1314" s="673"/>
      <c r="AI1314" s="673"/>
      <c r="AJ1314" s="673"/>
      <c r="AK1314" s="673"/>
      <c r="AL1314" s="673"/>
      <c r="AM1314" s="673"/>
      <c r="AN1314" s="673"/>
      <c r="AO1314" s="673"/>
      <c r="AP1314" s="673"/>
      <c r="AQ1314" s="673"/>
      <c r="AR1314" s="673"/>
      <c r="AS1314" s="673"/>
    </row>
    <row r="1315">
      <c r="A1315" s="653"/>
      <c r="B1315" s="654"/>
      <c r="C1315" s="655"/>
      <c r="D1315" s="656"/>
      <c r="E1315" s="657"/>
      <c r="F1315" s="658"/>
      <c r="G1315" s="659"/>
      <c r="H1315" s="660"/>
      <c r="I1315" s="659"/>
      <c r="J1315" s="661"/>
      <c r="K1315" s="658"/>
      <c r="L1315" s="662"/>
      <c r="M1315" s="663"/>
      <c r="N1315" s="664"/>
      <c r="O1315" s="665"/>
      <c r="P1315" s="666"/>
      <c r="Q1315" s="667"/>
      <c r="R1315" s="668"/>
      <c r="S1315" s="665"/>
      <c r="T1315" s="669"/>
      <c r="U1315" s="669"/>
      <c r="V1315" s="665"/>
      <c r="W1315" s="670"/>
      <c r="X1315" s="670"/>
      <c r="Y1315" s="671"/>
      <c r="Z1315" s="671"/>
      <c r="AA1315" s="672"/>
      <c r="AB1315" s="673"/>
      <c r="AC1315" s="673"/>
      <c r="AD1315" s="673"/>
      <c r="AE1315" s="673"/>
      <c r="AF1315" s="673"/>
      <c r="AG1315" s="673"/>
      <c r="AH1315" s="673"/>
      <c r="AI1315" s="673"/>
      <c r="AJ1315" s="673"/>
      <c r="AK1315" s="673"/>
      <c r="AL1315" s="673"/>
      <c r="AM1315" s="673"/>
      <c r="AN1315" s="673"/>
      <c r="AO1315" s="673"/>
      <c r="AP1315" s="673"/>
      <c r="AQ1315" s="673"/>
      <c r="AR1315" s="673"/>
      <c r="AS1315" s="673"/>
    </row>
    <row r="1316">
      <c r="A1316" s="653"/>
      <c r="B1316" s="654"/>
      <c r="C1316" s="655"/>
      <c r="D1316" s="656"/>
      <c r="E1316" s="657"/>
      <c r="F1316" s="658"/>
      <c r="G1316" s="659"/>
      <c r="H1316" s="660"/>
      <c r="I1316" s="659"/>
      <c r="J1316" s="661"/>
      <c r="K1316" s="658"/>
      <c r="L1316" s="662"/>
      <c r="M1316" s="663"/>
      <c r="N1316" s="664"/>
      <c r="O1316" s="665"/>
      <c r="P1316" s="666"/>
      <c r="Q1316" s="667"/>
      <c r="R1316" s="668"/>
      <c r="S1316" s="665"/>
      <c r="T1316" s="669"/>
      <c r="U1316" s="669"/>
      <c r="V1316" s="665"/>
      <c r="W1316" s="670"/>
      <c r="X1316" s="670"/>
      <c r="Y1316" s="671"/>
      <c r="Z1316" s="671"/>
      <c r="AA1316" s="672"/>
      <c r="AB1316" s="673"/>
      <c r="AC1316" s="673"/>
      <c r="AD1316" s="673"/>
      <c r="AE1316" s="673"/>
      <c r="AF1316" s="673"/>
      <c r="AG1316" s="673"/>
      <c r="AH1316" s="673"/>
      <c r="AI1316" s="673"/>
      <c r="AJ1316" s="673"/>
      <c r="AK1316" s="673"/>
      <c r="AL1316" s="673"/>
      <c r="AM1316" s="673"/>
      <c r="AN1316" s="673"/>
      <c r="AO1316" s="673"/>
      <c r="AP1316" s="673"/>
      <c r="AQ1316" s="673"/>
      <c r="AR1316" s="673"/>
      <c r="AS1316" s="673"/>
    </row>
    <row r="1317">
      <c r="A1317" s="653"/>
      <c r="B1317" s="654"/>
      <c r="C1317" s="655"/>
      <c r="D1317" s="656"/>
      <c r="E1317" s="657"/>
      <c r="F1317" s="658"/>
      <c r="G1317" s="659"/>
      <c r="H1317" s="660"/>
      <c r="I1317" s="659"/>
      <c r="J1317" s="661"/>
      <c r="K1317" s="658"/>
      <c r="L1317" s="662"/>
      <c r="M1317" s="663"/>
      <c r="N1317" s="664"/>
      <c r="O1317" s="665"/>
      <c r="P1317" s="666"/>
      <c r="Q1317" s="667"/>
      <c r="R1317" s="668"/>
      <c r="S1317" s="665"/>
      <c r="T1317" s="669"/>
      <c r="U1317" s="669"/>
      <c r="V1317" s="665"/>
      <c r="W1317" s="670"/>
      <c r="X1317" s="670"/>
      <c r="Y1317" s="671"/>
      <c r="Z1317" s="671"/>
      <c r="AA1317" s="672"/>
      <c r="AB1317" s="673"/>
      <c r="AC1317" s="673"/>
      <c r="AD1317" s="673"/>
      <c r="AE1317" s="673"/>
      <c r="AF1317" s="673"/>
      <c r="AG1317" s="673"/>
      <c r="AH1317" s="673"/>
      <c r="AI1317" s="673"/>
      <c r="AJ1317" s="673"/>
      <c r="AK1317" s="673"/>
      <c r="AL1317" s="673"/>
      <c r="AM1317" s="673"/>
      <c r="AN1317" s="673"/>
      <c r="AO1317" s="673"/>
      <c r="AP1317" s="673"/>
      <c r="AQ1317" s="673"/>
      <c r="AR1317" s="673"/>
      <c r="AS1317" s="673"/>
    </row>
    <row r="1318">
      <c r="A1318" s="653"/>
      <c r="B1318" s="654"/>
      <c r="C1318" s="655"/>
      <c r="D1318" s="656"/>
      <c r="E1318" s="657"/>
      <c r="F1318" s="658"/>
      <c r="G1318" s="659"/>
      <c r="H1318" s="660"/>
      <c r="I1318" s="659"/>
      <c r="J1318" s="661"/>
      <c r="K1318" s="658"/>
      <c r="L1318" s="662"/>
      <c r="M1318" s="663"/>
      <c r="N1318" s="664"/>
      <c r="O1318" s="665"/>
      <c r="P1318" s="666"/>
      <c r="Q1318" s="667"/>
      <c r="R1318" s="668"/>
      <c r="S1318" s="665"/>
      <c r="T1318" s="669"/>
      <c r="U1318" s="669"/>
      <c r="V1318" s="665"/>
      <c r="W1318" s="670"/>
      <c r="X1318" s="670"/>
      <c r="Y1318" s="671"/>
      <c r="Z1318" s="671"/>
      <c r="AA1318" s="672"/>
      <c r="AB1318" s="673"/>
      <c r="AC1318" s="673"/>
      <c r="AD1318" s="673"/>
      <c r="AE1318" s="673"/>
      <c r="AF1318" s="673"/>
      <c r="AG1318" s="673"/>
      <c r="AH1318" s="673"/>
      <c r="AI1318" s="673"/>
      <c r="AJ1318" s="673"/>
      <c r="AK1318" s="673"/>
      <c r="AL1318" s="673"/>
      <c r="AM1318" s="673"/>
      <c r="AN1318" s="673"/>
      <c r="AO1318" s="673"/>
      <c r="AP1318" s="673"/>
      <c r="AQ1318" s="673"/>
      <c r="AR1318" s="673"/>
      <c r="AS1318" s="673"/>
    </row>
    <row r="1319">
      <c r="A1319" s="653"/>
      <c r="B1319" s="654"/>
      <c r="C1319" s="655"/>
      <c r="D1319" s="656"/>
      <c r="E1319" s="657"/>
      <c r="F1319" s="658"/>
      <c r="G1319" s="659"/>
      <c r="H1319" s="660"/>
      <c r="I1319" s="659"/>
      <c r="J1319" s="661"/>
      <c r="K1319" s="658"/>
      <c r="L1319" s="662"/>
      <c r="M1319" s="663"/>
      <c r="N1319" s="664"/>
      <c r="O1319" s="665"/>
      <c r="P1319" s="666"/>
      <c r="Q1319" s="667"/>
      <c r="R1319" s="668"/>
      <c r="S1319" s="665"/>
      <c r="T1319" s="669"/>
      <c r="U1319" s="669"/>
      <c r="V1319" s="665"/>
      <c r="W1319" s="670"/>
      <c r="X1319" s="670"/>
      <c r="Y1319" s="671"/>
      <c r="Z1319" s="671"/>
      <c r="AA1319" s="672"/>
      <c r="AB1319" s="673"/>
      <c r="AC1319" s="673"/>
      <c r="AD1319" s="673"/>
      <c r="AE1319" s="673"/>
      <c r="AF1319" s="673"/>
      <c r="AG1319" s="673"/>
      <c r="AH1319" s="673"/>
      <c r="AI1319" s="673"/>
      <c r="AJ1319" s="673"/>
      <c r="AK1319" s="673"/>
      <c r="AL1319" s="673"/>
      <c r="AM1319" s="673"/>
      <c r="AN1319" s="673"/>
      <c r="AO1319" s="673"/>
      <c r="AP1319" s="673"/>
      <c r="AQ1319" s="673"/>
      <c r="AR1319" s="673"/>
      <c r="AS1319" s="673"/>
    </row>
    <row r="1320">
      <c r="A1320" s="653"/>
      <c r="B1320" s="654"/>
      <c r="C1320" s="655"/>
      <c r="D1320" s="656"/>
      <c r="E1320" s="657"/>
      <c r="F1320" s="658"/>
      <c r="G1320" s="659"/>
      <c r="H1320" s="660"/>
      <c r="I1320" s="659"/>
      <c r="J1320" s="661"/>
      <c r="K1320" s="658"/>
      <c r="L1320" s="662"/>
      <c r="M1320" s="663"/>
      <c r="N1320" s="664"/>
      <c r="O1320" s="665"/>
      <c r="P1320" s="666"/>
      <c r="Q1320" s="667"/>
      <c r="R1320" s="668"/>
      <c r="S1320" s="665"/>
      <c r="T1320" s="669"/>
      <c r="U1320" s="669"/>
      <c r="V1320" s="665"/>
      <c r="W1320" s="670"/>
      <c r="X1320" s="670"/>
      <c r="Y1320" s="671"/>
      <c r="Z1320" s="671"/>
      <c r="AA1320" s="672"/>
      <c r="AB1320" s="673"/>
      <c r="AC1320" s="673"/>
      <c r="AD1320" s="673"/>
      <c r="AE1320" s="673"/>
      <c r="AF1320" s="673"/>
      <c r="AG1320" s="673"/>
      <c r="AH1320" s="673"/>
      <c r="AI1320" s="673"/>
      <c r="AJ1320" s="673"/>
      <c r="AK1320" s="673"/>
      <c r="AL1320" s="673"/>
      <c r="AM1320" s="673"/>
      <c r="AN1320" s="673"/>
      <c r="AO1320" s="673"/>
      <c r="AP1320" s="673"/>
      <c r="AQ1320" s="673"/>
      <c r="AR1320" s="673"/>
      <c r="AS1320" s="673"/>
    </row>
    <row r="1321">
      <c r="A1321" s="653"/>
      <c r="B1321" s="654"/>
      <c r="C1321" s="655"/>
      <c r="D1321" s="656"/>
      <c r="E1321" s="657"/>
      <c r="F1321" s="658"/>
      <c r="G1321" s="659"/>
      <c r="H1321" s="660"/>
      <c r="I1321" s="659"/>
      <c r="J1321" s="661"/>
      <c r="K1321" s="658"/>
      <c r="L1321" s="662"/>
      <c r="M1321" s="663"/>
      <c r="N1321" s="664"/>
      <c r="O1321" s="665"/>
      <c r="P1321" s="666"/>
      <c r="Q1321" s="667"/>
      <c r="R1321" s="668"/>
      <c r="S1321" s="665"/>
      <c r="T1321" s="669"/>
      <c r="U1321" s="669"/>
      <c r="V1321" s="665"/>
      <c r="W1321" s="670"/>
      <c r="X1321" s="670"/>
      <c r="Y1321" s="671"/>
      <c r="Z1321" s="671"/>
      <c r="AA1321" s="672"/>
      <c r="AB1321" s="673"/>
      <c r="AC1321" s="673"/>
      <c r="AD1321" s="673"/>
      <c r="AE1321" s="673"/>
      <c r="AF1321" s="673"/>
      <c r="AG1321" s="673"/>
      <c r="AH1321" s="673"/>
      <c r="AI1321" s="673"/>
      <c r="AJ1321" s="673"/>
      <c r="AK1321" s="673"/>
      <c r="AL1321" s="673"/>
      <c r="AM1321" s="673"/>
      <c r="AN1321" s="673"/>
      <c r="AO1321" s="673"/>
      <c r="AP1321" s="673"/>
      <c r="AQ1321" s="673"/>
      <c r="AR1321" s="673"/>
      <c r="AS1321" s="673"/>
    </row>
    <row r="1322">
      <c r="A1322" s="653"/>
      <c r="B1322" s="654"/>
      <c r="C1322" s="655"/>
      <c r="D1322" s="656"/>
      <c r="E1322" s="657"/>
      <c r="F1322" s="658"/>
      <c r="G1322" s="659"/>
      <c r="H1322" s="660"/>
      <c r="I1322" s="659"/>
      <c r="J1322" s="661"/>
      <c r="K1322" s="658"/>
      <c r="L1322" s="662"/>
      <c r="M1322" s="663"/>
      <c r="N1322" s="664"/>
      <c r="O1322" s="665"/>
      <c r="P1322" s="666"/>
      <c r="Q1322" s="667"/>
      <c r="R1322" s="668"/>
      <c r="S1322" s="665"/>
      <c r="T1322" s="669"/>
      <c r="U1322" s="669"/>
      <c r="V1322" s="665"/>
      <c r="W1322" s="670"/>
      <c r="X1322" s="670"/>
      <c r="Y1322" s="671"/>
      <c r="Z1322" s="671"/>
      <c r="AA1322" s="672"/>
      <c r="AB1322" s="673"/>
      <c r="AC1322" s="673"/>
      <c r="AD1322" s="673"/>
      <c r="AE1322" s="673"/>
      <c r="AF1322" s="673"/>
      <c r="AG1322" s="673"/>
      <c r="AH1322" s="673"/>
      <c r="AI1322" s="673"/>
      <c r="AJ1322" s="673"/>
      <c r="AK1322" s="673"/>
      <c r="AL1322" s="673"/>
      <c r="AM1322" s="673"/>
      <c r="AN1322" s="673"/>
      <c r="AO1322" s="673"/>
      <c r="AP1322" s="673"/>
      <c r="AQ1322" s="673"/>
      <c r="AR1322" s="673"/>
      <c r="AS1322" s="673"/>
    </row>
    <row r="1323">
      <c r="A1323" s="653"/>
      <c r="B1323" s="654"/>
      <c r="C1323" s="655"/>
      <c r="D1323" s="656"/>
      <c r="E1323" s="657"/>
      <c r="F1323" s="658"/>
      <c r="G1323" s="659"/>
      <c r="H1323" s="660"/>
      <c r="I1323" s="659"/>
      <c r="J1323" s="661"/>
      <c r="K1323" s="658"/>
      <c r="L1323" s="662"/>
      <c r="M1323" s="663"/>
      <c r="N1323" s="664"/>
      <c r="O1323" s="665"/>
      <c r="P1323" s="666"/>
      <c r="Q1323" s="667"/>
      <c r="R1323" s="668"/>
      <c r="S1323" s="665"/>
      <c r="T1323" s="669"/>
      <c r="U1323" s="669"/>
      <c r="V1323" s="665"/>
      <c r="W1323" s="670"/>
      <c r="X1323" s="670"/>
      <c r="Y1323" s="671"/>
      <c r="Z1323" s="671"/>
      <c r="AA1323" s="672"/>
      <c r="AB1323" s="673"/>
      <c r="AC1323" s="673"/>
      <c r="AD1323" s="673"/>
      <c r="AE1323" s="673"/>
      <c r="AF1323" s="673"/>
      <c r="AG1323" s="673"/>
      <c r="AH1323" s="673"/>
      <c r="AI1323" s="673"/>
      <c r="AJ1323" s="673"/>
      <c r="AK1323" s="673"/>
      <c r="AL1323" s="673"/>
      <c r="AM1323" s="673"/>
      <c r="AN1323" s="673"/>
      <c r="AO1323" s="673"/>
      <c r="AP1323" s="673"/>
      <c r="AQ1323" s="673"/>
      <c r="AR1323" s="673"/>
      <c r="AS1323" s="673"/>
    </row>
    <row r="1324">
      <c r="A1324" s="653"/>
      <c r="B1324" s="654"/>
      <c r="C1324" s="655"/>
      <c r="D1324" s="656"/>
      <c r="E1324" s="657"/>
      <c r="F1324" s="658"/>
      <c r="G1324" s="659"/>
      <c r="H1324" s="660"/>
      <c r="I1324" s="659"/>
      <c r="J1324" s="661"/>
      <c r="K1324" s="658"/>
      <c r="L1324" s="662"/>
      <c r="M1324" s="663"/>
      <c r="N1324" s="664"/>
      <c r="O1324" s="665"/>
      <c r="P1324" s="666"/>
      <c r="Q1324" s="667"/>
      <c r="R1324" s="668"/>
      <c r="S1324" s="665"/>
      <c r="T1324" s="669"/>
      <c r="U1324" s="669"/>
      <c r="V1324" s="665"/>
      <c r="W1324" s="670"/>
      <c r="X1324" s="670"/>
      <c r="Y1324" s="671"/>
      <c r="Z1324" s="671"/>
      <c r="AA1324" s="672"/>
      <c r="AB1324" s="673"/>
      <c r="AC1324" s="673"/>
      <c r="AD1324" s="673"/>
      <c r="AE1324" s="673"/>
      <c r="AF1324" s="673"/>
      <c r="AG1324" s="673"/>
      <c r="AH1324" s="673"/>
      <c r="AI1324" s="673"/>
      <c r="AJ1324" s="673"/>
      <c r="AK1324" s="673"/>
      <c r="AL1324" s="673"/>
      <c r="AM1324" s="673"/>
      <c r="AN1324" s="673"/>
      <c r="AO1324" s="673"/>
      <c r="AP1324" s="673"/>
      <c r="AQ1324" s="673"/>
      <c r="AR1324" s="673"/>
      <c r="AS1324" s="673"/>
    </row>
    <row r="1325">
      <c r="A1325" s="653"/>
      <c r="B1325" s="654"/>
      <c r="C1325" s="655"/>
      <c r="D1325" s="656"/>
      <c r="E1325" s="657"/>
      <c r="F1325" s="658"/>
      <c r="G1325" s="659"/>
      <c r="H1325" s="660"/>
      <c r="I1325" s="659"/>
      <c r="J1325" s="661"/>
      <c r="K1325" s="658"/>
      <c r="L1325" s="662"/>
      <c r="M1325" s="663"/>
      <c r="N1325" s="664"/>
      <c r="O1325" s="665"/>
      <c r="P1325" s="666"/>
      <c r="Q1325" s="667"/>
      <c r="R1325" s="668"/>
      <c r="S1325" s="665"/>
      <c r="T1325" s="669"/>
      <c r="U1325" s="669"/>
      <c r="V1325" s="665"/>
      <c r="W1325" s="670"/>
      <c r="X1325" s="670"/>
      <c r="Y1325" s="671"/>
      <c r="Z1325" s="671"/>
      <c r="AA1325" s="672"/>
      <c r="AB1325" s="673"/>
      <c r="AC1325" s="673"/>
      <c r="AD1325" s="673"/>
      <c r="AE1325" s="673"/>
      <c r="AF1325" s="673"/>
      <c r="AG1325" s="673"/>
      <c r="AH1325" s="673"/>
      <c r="AI1325" s="673"/>
      <c r="AJ1325" s="673"/>
      <c r="AK1325" s="673"/>
      <c r="AL1325" s="673"/>
      <c r="AM1325" s="673"/>
      <c r="AN1325" s="673"/>
      <c r="AO1325" s="673"/>
      <c r="AP1325" s="673"/>
      <c r="AQ1325" s="673"/>
      <c r="AR1325" s="673"/>
      <c r="AS1325" s="673"/>
    </row>
    <row r="1326">
      <c r="A1326" s="653"/>
      <c r="B1326" s="654"/>
      <c r="C1326" s="655"/>
      <c r="D1326" s="656"/>
      <c r="E1326" s="657"/>
      <c r="F1326" s="658"/>
      <c r="G1326" s="659"/>
      <c r="H1326" s="660"/>
      <c r="I1326" s="659"/>
      <c r="J1326" s="661"/>
      <c r="K1326" s="658"/>
      <c r="L1326" s="662"/>
      <c r="M1326" s="663"/>
      <c r="N1326" s="664"/>
      <c r="O1326" s="665"/>
      <c r="P1326" s="666"/>
      <c r="Q1326" s="667"/>
      <c r="R1326" s="668"/>
      <c r="S1326" s="665"/>
      <c r="T1326" s="669"/>
      <c r="U1326" s="669"/>
      <c r="V1326" s="665"/>
      <c r="W1326" s="670"/>
      <c r="X1326" s="670"/>
      <c r="Y1326" s="671"/>
      <c r="Z1326" s="671"/>
      <c r="AA1326" s="672"/>
      <c r="AB1326" s="673"/>
      <c r="AC1326" s="673"/>
      <c r="AD1326" s="673"/>
      <c r="AE1326" s="673"/>
      <c r="AF1326" s="673"/>
      <c r="AG1326" s="673"/>
      <c r="AH1326" s="673"/>
      <c r="AI1326" s="673"/>
      <c r="AJ1326" s="673"/>
      <c r="AK1326" s="673"/>
      <c r="AL1326" s="673"/>
      <c r="AM1326" s="673"/>
      <c r="AN1326" s="673"/>
      <c r="AO1326" s="673"/>
      <c r="AP1326" s="673"/>
      <c r="AQ1326" s="673"/>
      <c r="AR1326" s="673"/>
      <c r="AS1326" s="673"/>
    </row>
    <row r="1327">
      <c r="A1327" s="653"/>
      <c r="B1327" s="654"/>
      <c r="C1327" s="655"/>
      <c r="D1327" s="656"/>
      <c r="E1327" s="657"/>
      <c r="F1327" s="658"/>
      <c r="G1327" s="659"/>
      <c r="H1327" s="660"/>
      <c r="I1327" s="659"/>
      <c r="J1327" s="661"/>
      <c r="K1327" s="658"/>
      <c r="L1327" s="662"/>
      <c r="M1327" s="663"/>
      <c r="N1327" s="664"/>
      <c r="O1327" s="665"/>
      <c r="P1327" s="666"/>
      <c r="Q1327" s="667"/>
      <c r="R1327" s="668"/>
      <c r="S1327" s="665"/>
      <c r="T1327" s="669"/>
      <c r="U1327" s="669"/>
      <c r="V1327" s="665"/>
      <c r="W1327" s="670"/>
      <c r="X1327" s="670"/>
      <c r="Y1327" s="671"/>
      <c r="Z1327" s="671"/>
      <c r="AA1327" s="672"/>
      <c r="AB1327" s="673"/>
      <c r="AC1327" s="673"/>
      <c r="AD1327" s="673"/>
      <c r="AE1327" s="673"/>
      <c r="AF1327" s="673"/>
      <c r="AG1327" s="673"/>
      <c r="AH1327" s="673"/>
      <c r="AI1327" s="673"/>
      <c r="AJ1327" s="673"/>
      <c r="AK1327" s="673"/>
      <c r="AL1327" s="673"/>
      <c r="AM1327" s="673"/>
      <c r="AN1327" s="673"/>
      <c r="AO1327" s="673"/>
      <c r="AP1327" s="673"/>
      <c r="AQ1327" s="673"/>
      <c r="AR1327" s="673"/>
      <c r="AS1327" s="673"/>
    </row>
    <row r="1328">
      <c r="A1328" s="653"/>
      <c r="B1328" s="654"/>
      <c r="C1328" s="655"/>
      <c r="D1328" s="656"/>
      <c r="E1328" s="657"/>
      <c r="F1328" s="658"/>
      <c r="G1328" s="659"/>
      <c r="H1328" s="660"/>
      <c r="I1328" s="659"/>
      <c r="J1328" s="661"/>
      <c r="K1328" s="658"/>
      <c r="L1328" s="662"/>
      <c r="M1328" s="663"/>
      <c r="N1328" s="664"/>
      <c r="O1328" s="665"/>
      <c r="P1328" s="666"/>
      <c r="Q1328" s="667"/>
      <c r="R1328" s="668"/>
      <c r="S1328" s="665"/>
      <c r="T1328" s="669"/>
      <c r="U1328" s="669"/>
      <c r="V1328" s="665"/>
      <c r="W1328" s="670"/>
      <c r="X1328" s="670"/>
      <c r="Y1328" s="671"/>
      <c r="Z1328" s="671"/>
      <c r="AA1328" s="672"/>
      <c r="AB1328" s="673"/>
      <c r="AC1328" s="673"/>
      <c r="AD1328" s="673"/>
      <c r="AE1328" s="673"/>
      <c r="AF1328" s="673"/>
      <c r="AG1328" s="673"/>
      <c r="AH1328" s="673"/>
      <c r="AI1328" s="673"/>
      <c r="AJ1328" s="673"/>
      <c r="AK1328" s="673"/>
      <c r="AL1328" s="673"/>
      <c r="AM1328" s="673"/>
      <c r="AN1328" s="673"/>
      <c r="AO1328" s="673"/>
      <c r="AP1328" s="673"/>
      <c r="AQ1328" s="673"/>
      <c r="AR1328" s="673"/>
      <c r="AS1328" s="673"/>
    </row>
    <row r="1329">
      <c r="A1329" s="653"/>
      <c r="B1329" s="654"/>
      <c r="C1329" s="655"/>
      <c r="D1329" s="656"/>
      <c r="E1329" s="657"/>
      <c r="F1329" s="658"/>
      <c r="G1329" s="659"/>
      <c r="H1329" s="660"/>
      <c r="I1329" s="659"/>
      <c r="J1329" s="661"/>
      <c r="K1329" s="658"/>
      <c r="L1329" s="662"/>
      <c r="M1329" s="663"/>
      <c r="N1329" s="664"/>
      <c r="O1329" s="665"/>
      <c r="P1329" s="666"/>
      <c r="Q1329" s="667"/>
      <c r="R1329" s="668"/>
      <c r="S1329" s="665"/>
      <c r="T1329" s="669"/>
      <c r="U1329" s="669"/>
      <c r="V1329" s="665"/>
      <c r="W1329" s="670"/>
      <c r="X1329" s="670"/>
      <c r="Y1329" s="671"/>
      <c r="Z1329" s="671"/>
      <c r="AA1329" s="672"/>
      <c r="AB1329" s="673"/>
      <c r="AC1329" s="673"/>
      <c r="AD1329" s="673"/>
      <c r="AE1329" s="673"/>
      <c r="AF1329" s="673"/>
      <c r="AG1329" s="673"/>
      <c r="AH1329" s="673"/>
      <c r="AI1329" s="673"/>
      <c r="AJ1329" s="673"/>
      <c r="AK1329" s="673"/>
      <c r="AL1329" s="673"/>
      <c r="AM1329" s="673"/>
      <c r="AN1329" s="673"/>
      <c r="AO1329" s="673"/>
      <c r="AP1329" s="673"/>
      <c r="AQ1329" s="673"/>
      <c r="AR1329" s="673"/>
      <c r="AS1329" s="673"/>
    </row>
    <row r="1330">
      <c r="A1330" s="653"/>
      <c r="B1330" s="654"/>
      <c r="C1330" s="655"/>
      <c r="D1330" s="656"/>
      <c r="E1330" s="657"/>
      <c r="F1330" s="658"/>
      <c r="G1330" s="659"/>
      <c r="H1330" s="660"/>
      <c r="I1330" s="659"/>
      <c r="J1330" s="661"/>
      <c r="K1330" s="658"/>
      <c r="L1330" s="662"/>
      <c r="M1330" s="663"/>
      <c r="N1330" s="664"/>
      <c r="O1330" s="665"/>
      <c r="P1330" s="666"/>
      <c r="Q1330" s="667"/>
      <c r="R1330" s="668"/>
      <c r="S1330" s="665"/>
      <c r="T1330" s="669"/>
      <c r="U1330" s="669"/>
      <c r="V1330" s="665"/>
      <c r="W1330" s="670"/>
      <c r="X1330" s="670"/>
      <c r="Y1330" s="671"/>
      <c r="Z1330" s="671"/>
      <c r="AA1330" s="672"/>
      <c r="AB1330" s="673"/>
      <c r="AC1330" s="673"/>
      <c r="AD1330" s="673"/>
      <c r="AE1330" s="673"/>
      <c r="AF1330" s="673"/>
      <c r="AG1330" s="673"/>
      <c r="AH1330" s="673"/>
      <c r="AI1330" s="673"/>
      <c r="AJ1330" s="673"/>
      <c r="AK1330" s="673"/>
      <c r="AL1330" s="673"/>
      <c r="AM1330" s="673"/>
      <c r="AN1330" s="673"/>
      <c r="AO1330" s="673"/>
      <c r="AP1330" s="673"/>
      <c r="AQ1330" s="673"/>
      <c r="AR1330" s="673"/>
      <c r="AS1330" s="673"/>
    </row>
    <row r="1331">
      <c r="A1331" s="653"/>
      <c r="B1331" s="654"/>
      <c r="C1331" s="655"/>
      <c r="D1331" s="656"/>
      <c r="E1331" s="657"/>
      <c r="F1331" s="658"/>
      <c r="G1331" s="659"/>
      <c r="H1331" s="660"/>
      <c r="I1331" s="659"/>
      <c r="J1331" s="661"/>
      <c r="K1331" s="658"/>
      <c r="L1331" s="662"/>
      <c r="M1331" s="663"/>
      <c r="N1331" s="664"/>
      <c r="O1331" s="665"/>
      <c r="P1331" s="666"/>
      <c r="Q1331" s="667"/>
      <c r="R1331" s="668"/>
      <c r="S1331" s="665"/>
      <c r="T1331" s="669"/>
      <c r="U1331" s="669"/>
      <c r="V1331" s="665"/>
      <c r="W1331" s="670"/>
      <c r="X1331" s="670"/>
      <c r="Y1331" s="671"/>
      <c r="Z1331" s="671"/>
      <c r="AA1331" s="672"/>
      <c r="AB1331" s="673"/>
      <c r="AC1331" s="673"/>
      <c r="AD1331" s="673"/>
      <c r="AE1331" s="673"/>
      <c r="AF1331" s="673"/>
      <c r="AG1331" s="673"/>
      <c r="AH1331" s="673"/>
      <c r="AI1331" s="673"/>
      <c r="AJ1331" s="673"/>
      <c r="AK1331" s="673"/>
      <c r="AL1331" s="673"/>
      <c r="AM1331" s="673"/>
      <c r="AN1331" s="673"/>
      <c r="AO1331" s="673"/>
      <c r="AP1331" s="673"/>
      <c r="AQ1331" s="673"/>
      <c r="AR1331" s="673"/>
      <c r="AS1331" s="673"/>
    </row>
    <row r="1332">
      <c r="A1332" s="653"/>
      <c r="B1332" s="654"/>
      <c r="C1332" s="655"/>
      <c r="D1332" s="656"/>
      <c r="E1332" s="657"/>
      <c r="F1332" s="658"/>
      <c r="G1332" s="659"/>
      <c r="H1332" s="660"/>
      <c r="I1332" s="659"/>
      <c r="J1332" s="661"/>
      <c r="K1332" s="658"/>
      <c r="L1332" s="662"/>
      <c r="M1332" s="663"/>
      <c r="N1332" s="664"/>
      <c r="O1332" s="665"/>
      <c r="P1332" s="666"/>
      <c r="Q1332" s="667"/>
      <c r="R1332" s="668"/>
      <c r="S1332" s="665"/>
      <c r="T1332" s="669"/>
      <c r="U1332" s="669"/>
      <c r="V1332" s="665"/>
      <c r="W1332" s="670"/>
      <c r="X1332" s="670"/>
      <c r="Y1332" s="671"/>
      <c r="Z1332" s="671"/>
      <c r="AA1332" s="672"/>
      <c r="AB1332" s="673"/>
      <c r="AC1332" s="673"/>
      <c r="AD1332" s="673"/>
      <c r="AE1332" s="673"/>
      <c r="AF1332" s="673"/>
      <c r="AG1332" s="673"/>
      <c r="AH1332" s="673"/>
      <c r="AI1332" s="673"/>
      <c r="AJ1332" s="673"/>
      <c r="AK1332" s="673"/>
      <c r="AL1332" s="673"/>
      <c r="AM1332" s="673"/>
      <c r="AN1332" s="673"/>
      <c r="AO1332" s="673"/>
      <c r="AP1332" s="673"/>
      <c r="AQ1332" s="673"/>
      <c r="AR1332" s="673"/>
      <c r="AS1332" s="673"/>
    </row>
    <row r="1333">
      <c r="A1333" s="653"/>
      <c r="B1333" s="654"/>
      <c r="C1333" s="655"/>
      <c r="D1333" s="656"/>
      <c r="E1333" s="657"/>
      <c r="F1333" s="658"/>
      <c r="G1333" s="659"/>
      <c r="H1333" s="660"/>
      <c r="I1333" s="659"/>
      <c r="J1333" s="661"/>
      <c r="K1333" s="658"/>
      <c r="L1333" s="662"/>
      <c r="M1333" s="663"/>
      <c r="N1333" s="664"/>
      <c r="O1333" s="665"/>
      <c r="P1333" s="666"/>
      <c r="Q1333" s="667"/>
      <c r="R1333" s="668"/>
      <c r="S1333" s="665"/>
      <c r="T1333" s="669"/>
      <c r="U1333" s="669"/>
      <c r="V1333" s="665"/>
      <c r="W1333" s="670"/>
      <c r="X1333" s="670"/>
      <c r="Y1333" s="671"/>
      <c r="Z1333" s="671"/>
      <c r="AA1333" s="672"/>
      <c r="AB1333" s="673"/>
      <c r="AC1333" s="673"/>
      <c r="AD1333" s="673"/>
      <c r="AE1333" s="673"/>
      <c r="AF1333" s="673"/>
      <c r="AG1333" s="673"/>
      <c r="AH1333" s="673"/>
      <c r="AI1333" s="673"/>
      <c r="AJ1333" s="673"/>
      <c r="AK1333" s="673"/>
      <c r="AL1333" s="673"/>
      <c r="AM1333" s="673"/>
      <c r="AN1333" s="673"/>
      <c r="AO1333" s="673"/>
      <c r="AP1333" s="673"/>
      <c r="AQ1333" s="673"/>
      <c r="AR1333" s="673"/>
      <c r="AS1333" s="673"/>
    </row>
    <row r="1334">
      <c r="A1334" s="653"/>
      <c r="B1334" s="654"/>
      <c r="C1334" s="655"/>
      <c r="D1334" s="656"/>
      <c r="E1334" s="657"/>
      <c r="F1334" s="658"/>
      <c r="G1334" s="659"/>
      <c r="H1334" s="660"/>
      <c r="I1334" s="659"/>
      <c r="J1334" s="661"/>
      <c r="K1334" s="658"/>
      <c r="L1334" s="662"/>
      <c r="M1334" s="663"/>
      <c r="N1334" s="664"/>
      <c r="O1334" s="665"/>
      <c r="P1334" s="666"/>
      <c r="Q1334" s="667"/>
      <c r="R1334" s="668"/>
      <c r="S1334" s="665"/>
      <c r="T1334" s="669"/>
      <c r="U1334" s="669"/>
      <c r="V1334" s="665"/>
      <c r="W1334" s="670"/>
      <c r="X1334" s="670"/>
      <c r="Y1334" s="671"/>
      <c r="Z1334" s="671"/>
      <c r="AA1334" s="672"/>
      <c r="AB1334" s="673"/>
      <c r="AC1334" s="673"/>
      <c r="AD1334" s="673"/>
      <c r="AE1334" s="673"/>
      <c r="AF1334" s="673"/>
      <c r="AG1334" s="673"/>
      <c r="AH1334" s="673"/>
      <c r="AI1334" s="673"/>
      <c r="AJ1334" s="673"/>
      <c r="AK1334" s="673"/>
      <c r="AL1334" s="673"/>
      <c r="AM1334" s="673"/>
      <c r="AN1334" s="673"/>
      <c r="AO1334" s="673"/>
      <c r="AP1334" s="673"/>
      <c r="AQ1334" s="673"/>
      <c r="AR1334" s="673"/>
      <c r="AS1334" s="673"/>
    </row>
    <row r="1335">
      <c r="A1335" s="653"/>
      <c r="B1335" s="654"/>
      <c r="C1335" s="655"/>
      <c r="D1335" s="656"/>
      <c r="E1335" s="657"/>
      <c r="F1335" s="658"/>
      <c r="G1335" s="659"/>
      <c r="H1335" s="660"/>
      <c r="I1335" s="659"/>
      <c r="J1335" s="661"/>
      <c r="K1335" s="658"/>
      <c r="L1335" s="662"/>
      <c r="M1335" s="663"/>
      <c r="N1335" s="664"/>
      <c r="O1335" s="665"/>
      <c r="P1335" s="666"/>
      <c r="Q1335" s="667"/>
      <c r="R1335" s="668"/>
      <c r="S1335" s="665"/>
      <c r="T1335" s="669"/>
      <c r="U1335" s="669"/>
      <c r="V1335" s="665"/>
      <c r="W1335" s="670"/>
      <c r="X1335" s="670"/>
      <c r="Y1335" s="671"/>
      <c r="Z1335" s="671"/>
      <c r="AA1335" s="672"/>
      <c r="AB1335" s="673"/>
      <c r="AC1335" s="673"/>
      <c r="AD1335" s="673"/>
      <c r="AE1335" s="673"/>
      <c r="AF1335" s="673"/>
      <c r="AG1335" s="673"/>
      <c r="AH1335" s="673"/>
      <c r="AI1335" s="673"/>
      <c r="AJ1335" s="673"/>
      <c r="AK1335" s="673"/>
      <c r="AL1335" s="673"/>
      <c r="AM1335" s="673"/>
      <c r="AN1335" s="673"/>
      <c r="AO1335" s="673"/>
      <c r="AP1335" s="673"/>
      <c r="AQ1335" s="673"/>
      <c r="AR1335" s="673"/>
      <c r="AS1335" s="673"/>
    </row>
    <row r="1336">
      <c r="A1336" s="653"/>
      <c r="B1336" s="654"/>
      <c r="C1336" s="655"/>
      <c r="D1336" s="656"/>
      <c r="E1336" s="657"/>
      <c r="F1336" s="658"/>
      <c r="G1336" s="659"/>
      <c r="H1336" s="660"/>
      <c r="I1336" s="659"/>
      <c r="J1336" s="661"/>
      <c r="K1336" s="658"/>
      <c r="L1336" s="662"/>
      <c r="M1336" s="663"/>
      <c r="N1336" s="664"/>
      <c r="O1336" s="665"/>
      <c r="P1336" s="666"/>
      <c r="Q1336" s="667"/>
      <c r="R1336" s="668"/>
      <c r="S1336" s="665"/>
      <c r="T1336" s="669"/>
      <c r="U1336" s="669"/>
      <c r="V1336" s="665"/>
      <c r="W1336" s="670"/>
      <c r="X1336" s="670"/>
      <c r="Y1336" s="671"/>
      <c r="Z1336" s="671"/>
      <c r="AA1336" s="672"/>
      <c r="AB1336" s="673"/>
      <c r="AC1336" s="673"/>
      <c r="AD1336" s="673"/>
      <c r="AE1336" s="673"/>
      <c r="AF1336" s="673"/>
      <c r="AG1336" s="673"/>
      <c r="AH1336" s="673"/>
      <c r="AI1336" s="673"/>
      <c r="AJ1336" s="673"/>
      <c r="AK1336" s="673"/>
      <c r="AL1336" s="673"/>
      <c r="AM1336" s="673"/>
      <c r="AN1336" s="673"/>
      <c r="AO1336" s="673"/>
      <c r="AP1336" s="673"/>
      <c r="AQ1336" s="673"/>
      <c r="AR1336" s="673"/>
      <c r="AS1336" s="673"/>
    </row>
    <row r="1337">
      <c r="A1337" s="653"/>
      <c r="B1337" s="654"/>
      <c r="C1337" s="655"/>
      <c r="D1337" s="656"/>
      <c r="E1337" s="657"/>
      <c r="F1337" s="658"/>
      <c r="G1337" s="659"/>
      <c r="H1337" s="660"/>
      <c r="I1337" s="659"/>
      <c r="J1337" s="661"/>
      <c r="K1337" s="658"/>
      <c r="L1337" s="662"/>
      <c r="M1337" s="663"/>
      <c r="N1337" s="664"/>
      <c r="O1337" s="665"/>
      <c r="P1337" s="666"/>
      <c r="Q1337" s="667"/>
      <c r="R1337" s="668"/>
      <c r="S1337" s="665"/>
      <c r="T1337" s="669"/>
      <c r="U1337" s="669"/>
      <c r="V1337" s="665"/>
      <c r="W1337" s="670"/>
      <c r="X1337" s="670"/>
      <c r="Y1337" s="671"/>
      <c r="Z1337" s="671"/>
      <c r="AA1337" s="672"/>
      <c r="AB1337" s="673"/>
      <c r="AC1337" s="673"/>
      <c r="AD1337" s="673"/>
      <c r="AE1337" s="673"/>
      <c r="AF1337" s="673"/>
      <c r="AG1337" s="673"/>
      <c r="AH1337" s="673"/>
      <c r="AI1337" s="673"/>
      <c r="AJ1337" s="673"/>
      <c r="AK1337" s="673"/>
      <c r="AL1337" s="673"/>
      <c r="AM1337" s="673"/>
      <c r="AN1337" s="673"/>
      <c r="AO1337" s="673"/>
      <c r="AP1337" s="673"/>
      <c r="AQ1337" s="673"/>
      <c r="AR1337" s="673"/>
      <c r="AS1337" s="673"/>
    </row>
    <row r="1338">
      <c r="A1338" s="653"/>
      <c r="B1338" s="654"/>
      <c r="C1338" s="655"/>
      <c r="D1338" s="656"/>
      <c r="E1338" s="657"/>
      <c r="F1338" s="658"/>
      <c r="G1338" s="659"/>
      <c r="H1338" s="660"/>
      <c r="I1338" s="659"/>
      <c r="J1338" s="661"/>
      <c r="K1338" s="658"/>
      <c r="L1338" s="662"/>
      <c r="M1338" s="663"/>
      <c r="N1338" s="664"/>
      <c r="O1338" s="665"/>
      <c r="P1338" s="666"/>
      <c r="Q1338" s="667"/>
      <c r="R1338" s="668"/>
      <c r="S1338" s="665"/>
      <c r="T1338" s="669"/>
      <c r="U1338" s="669"/>
      <c r="V1338" s="665"/>
      <c r="W1338" s="670"/>
      <c r="X1338" s="670"/>
      <c r="Y1338" s="671"/>
      <c r="Z1338" s="671"/>
      <c r="AA1338" s="672"/>
      <c r="AB1338" s="673"/>
      <c r="AC1338" s="673"/>
      <c r="AD1338" s="673"/>
      <c r="AE1338" s="673"/>
      <c r="AF1338" s="673"/>
      <c r="AG1338" s="673"/>
      <c r="AH1338" s="673"/>
      <c r="AI1338" s="673"/>
      <c r="AJ1338" s="673"/>
      <c r="AK1338" s="673"/>
      <c r="AL1338" s="673"/>
      <c r="AM1338" s="673"/>
      <c r="AN1338" s="673"/>
      <c r="AO1338" s="673"/>
      <c r="AP1338" s="673"/>
      <c r="AQ1338" s="673"/>
      <c r="AR1338" s="673"/>
      <c r="AS1338" s="673"/>
    </row>
    <row r="1339">
      <c r="A1339" s="653"/>
      <c r="B1339" s="654"/>
      <c r="C1339" s="655"/>
      <c r="D1339" s="656"/>
      <c r="E1339" s="657"/>
      <c r="F1339" s="658"/>
      <c r="G1339" s="659"/>
      <c r="H1339" s="660"/>
      <c r="I1339" s="659"/>
      <c r="J1339" s="661"/>
      <c r="K1339" s="658"/>
      <c r="L1339" s="662"/>
      <c r="M1339" s="663"/>
      <c r="N1339" s="664"/>
      <c r="O1339" s="665"/>
      <c r="P1339" s="666"/>
      <c r="Q1339" s="667"/>
      <c r="R1339" s="668"/>
      <c r="S1339" s="665"/>
      <c r="T1339" s="669"/>
      <c r="U1339" s="669"/>
      <c r="V1339" s="665"/>
      <c r="W1339" s="670"/>
      <c r="X1339" s="670"/>
      <c r="Y1339" s="671"/>
      <c r="Z1339" s="671"/>
      <c r="AA1339" s="672"/>
      <c r="AB1339" s="673"/>
      <c r="AC1339" s="673"/>
      <c r="AD1339" s="673"/>
      <c r="AE1339" s="673"/>
      <c r="AF1339" s="673"/>
      <c r="AG1339" s="673"/>
      <c r="AH1339" s="673"/>
      <c r="AI1339" s="673"/>
      <c r="AJ1339" s="673"/>
      <c r="AK1339" s="673"/>
      <c r="AL1339" s="673"/>
      <c r="AM1339" s="673"/>
      <c r="AN1339" s="673"/>
      <c r="AO1339" s="673"/>
      <c r="AP1339" s="673"/>
      <c r="AQ1339" s="673"/>
      <c r="AR1339" s="673"/>
      <c r="AS1339" s="673"/>
    </row>
    <row r="1340">
      <c r="A1340" s="653"/>
      <c r="B1340" s="654"/>
      <c r="C1340" s="655"/>
      <c r="D1340" s="656"/>
      <c r="E1340" s="657"/>
      <c r="F1340" s="658"/>
      <c r="G1340" s="659"/>
      <c r="H1340" s="660"/>
      <c r="I1340" s="659"/>
      <c r="J1340" s="661"/>
      <c r="K1340" s="658"/>
      <c r="L1340" s="662"/>
      <c r="M1340" s="663"/>
      <c r="N1340" s="664"/>
      <c r="O1340" s="665"/>
      <c r="P1340" s="666"/>
      <c r="Q1340" s="667"/>
      <c r="R1340" s="668"/>
      <c r="S1340" s="665"/>
      <c r="T1340" s="669"/>
      <c r="U1340" s="669"/>
      <c r="V1340" s="665"/>
      <c r="W1340" s="670"/>
      <c r="X1340" s="670"/>
      <c r="Y1340" s="671"/>
      <c r="Z1340" s="671"/>
      <c r="AA1340" s="672"/>
      <c r="AB1340" s="673"/>
      <c r="AC1340" s="673"/>
      <c r="AD1340" s="673"/>
      <c r="AE1340" s="673"/>
      <c r="AF1340" s="673"/>
      <c r="AG1340" s="673"/>
      <c r="AH1340" s="673"/>
      <c r="AI1340" s="673"/>
      <c r="AJ1340" s="673"/>
      <c r="AK1340" s="673"/>
      <c r="AL1340" s="673"/>
      <c r="AM1340" s="673"/>
      <c r="AN1340" s="673"/>
      <c r="AO1340" s="673"/>
      <c r="AP1340" s="673"/>
      <c r="AQ1340" s="673"/>
      <c r="AR1340" s="673"/>
      <c r="AS1340" s="673"/>
    </row>
    <row r="1341">
      <c r="A1341" s="653"/>
      <c r="B1341" s="654"/>
      <c r="C1341" s="655"/>
      <c r="D1341" s="656"/>
      <c r="E1341" s="657"/>
      <c r="F1341" s="658"/>
      <c r="G1341" s="659"/>
      <c r="H1341" s="660"/>
      <c r="I1341" s="659"/>
      <c r="J1341" s="661"/>
      <c r="K1341" s="658"/>
      <c r="L1341" s="662"/>
      <c r="M1341" s="663"/>
      <c r="N1341" s="664"/>
      <c r="O1341" s="665"/>
      <c r="P1341" s="666"/>
      <c r="Q1341" s="667"/>
      <c r="R1341" s="668"/>
      <c r="S1341" s="665"/>
      <c r="T1341" s="669"/>
      <c r="U1341" s="669"/>
      <c r="V1341" s="665"/>
      <c r="W1341" s="670"/>
      <c r="X1341" s="670"/>
      <c r="Y1341" s="671"/>
      <c r="Z1341" s="671"/>
      <c r="AA1341" s="672"/>
      <c r="AB1341" s="673"/>
      <c r="AC1341" s="673"/>
      <c r="AD1341" s="673"/>
      <c r="AE1341" s="673"/>
      <c r="AF1341" s="673"/>
      <c r="AG1341" s="673"/>
      <c r="AH1341" s="673"/>
      <c r="AI1341" s="673"/>
      <c r="AJ1341" s="673"/>
      <c r="AK1341" s="673"/>
      <c r="AL1341" s="673"/>
      <c r="AM1341" s="673"/>
      <c r="AN1341" s="673"/>
      <c r="AO1341" s="673"/>
      <c r="AP1341" s="673"/>
      <c r="AQ1341" s="673"/>
      <c r="AR1341" s="673"/>
      <c r="AS1341" s="673"/>
    </row>
    <row r="1342">
      <c r="A1342" s="653"/>
      <c r="B1342" s="654"/>
      <c r="C1342" s="655"/>
      <c r="D1342" s="656"/>
      <c r="E1342" s="657"/>
      <c r="F1342" s="658"/>
      <c r="G1342" s="659"/>
      <c r="H1342" s="660"/>
      <c r="I1342" s="659"/>
      <c r="J1342" s="661"/>
      <c r="K1342" s="658"/>
      <c r="L1342" s="662"/>
      <c r="M1342" s="663"/>
      <c r="N1342" s="664"/>
      <c r="O1342" s="665"/>
      <c r="P1342" s="666"/>
      <c r="Q1342" s="667"/>
      <c r="R1342" s="668"/>
      <c r="S1342" s="665"/>
      <c r="T1342" s="669"/>
      <c r="U1342" s="669"/>
      <c r="V1342" s="665"/>
      <c r="W1342" s="670"/>
      <c r="X1342" s="670"/>
      <c r="Y1342" s="671"/>
      <c r="Z1342" s="671"/>
      <c r="AA1342" s="672"/>
      <c r="AB1342" s="673"/>
      <c r="AC1342" s="673"/>
      <c r="AD1342" s="673"/>
      <c r="AE1342" s="673"/>
      <c r="AF1342" s="673"/>
      <c r="AG1342" s="673"/>
      <c r="AH1342" s="673"/>
      <c r="AI1342" s="673"/>
      <c r="AJ1342" s="673"/>
      <c r="AK1342" s="673"/>
      <c r="AL1342" s="673"/>
      <c r="AM1342" s="673"/>
      <c r="AN1342" s="673"/>
      <c r="AO1342" s="673"/>
      <c r="AP1342" s="673"/>
      <c r="AQ1342" s="673"/>
      <c r="AR1342" s="673"/>
      <c r="AS1342" s="673"/>
    </row>
    <row r="1343">
      <c r="A1343" s="653"/>
      <c r="B1343" s="654"/>
      <c r="C1343" s="655"/>
      <c r="D1343" s="656"/>
      <c r="E1343" s="657"/>
      <c r="F1343" s="658"/>
      <c r="G1343" s="659"/>
      <c r="H1343" s="660"/>
      <c r="I1343" s="659"/>
      <c r="J1343" s="661"/>
      <c r="K1343" s="658"/>
      <c r="L1343" s="662"/>
      <c r="M1343" s="663"/>
      <c r="N1343" s="664"/>
      <c r="O1343" s="665"/>
      <c r="P1343" s="666"/>
      <c r="Q1343" s="667"/>
      <c r="R1343" s="668"/>
      <c r="S1343" s="665"/>
      <c r="T1343" s="669"/>
      <c r="U1343" s="669"/>
      <c r="V1343" s="665"/>
      <c r="W1343" s="670"/>
      <c r="X1343" s="670"/>
      <c r="Y1343" s="671"/>
      <c r="Z1343" s="671"/>
      <c r="AA1343" s="672"/>
      <c r="AB1343" s="673"/>
      <c r="AC1343" s="673"/>
      <c r="AD1343" s="673"/>
      <c r="AE1343" s="673"/>
      <c r="AF1343" s="673"/>
      <c r="AG1343" s="673"/>
      <c r="AH1343" s="673"/>
      <c r="AI1343" s="673"/>
      <c r="AJ1343" s="673"/>
      <c r="AK1343" s="673"/>
      <c r="AL1343" s="673"/>
      <c r="AM1343" s="673"/>
      <c r="AN1343" s="673"/>
      <c r="AO1343" s="673"/>
      <c r="AP1343" s="673"/>
      <c r="AQ1343" s="673"/>
      <c r="AR1343" s="673"/>
      <c r="AS1343" s="673"/>
    </row>
    <row r="1344">
      <c r="A1344" s="653"/>
      <c r="B1344" s="654"/>
      <c r="C1344" s="655"/>
      <c r="D1344" s="656"/>
      <c r="E1344" s="657"/>
      <c r="F1344" s="658"/>
      <c r="G1344" s="659"/>
      <c r="H1344" s="660"/>
      <c r="I1344" s="659"/>
      <c r="J1344" s="661"/>
      <c r="K1344" s="658"/>
      <c r="L1344" s="662"/>
      <c r="M1344" s="663"/>
      <c r="N1344" s="664"/>
      <c r="O1344" s="665"/>
      <c r="P1344" s="666"/>
      <c r="Q1344" s="667"/>
      <c r="R1344" s="668"/>
      <c r="S1344" s="665"/>
      <c r="T1344" s="669"/>
      <c r="U1344" s="669"/>
      <c r="V1344" s="665"/>
      <c r="W1344" s="670"/>
      <c r="X1344" s="670"/>
      <c r="Y1344" s="671"/>
      <c r="Z1344" s="671"/>
      <c r="AA1344" s="672"/>
      <c r="AB1344" s="673"/>
      <c r="AC1344" s="673"/>
      <c r="AD1344" s="673"/>
      <c r="AE1344" s="673"/>
      <c r="AF1344" s="673"/>
      <c r="AG1344" s="673"/>
      <c r="AH1344" s="673"/>
      <c r="AI1344" s="673"/>
      <c r="AJ1344" s="673"/>
      <c r="AK1344" s="673"/>
      <c r="AL1344" s="673"/>
      <c r="AM1344" s="673"/>
      <c r="AN1344" s="673"/>
      <c r="AO1344" s="673"/>
      <c r="AP1344" s="673"/>
      <c r="AQ1344" s="673"/>
      <c r="AR1344" s="673"/>
      <c r="AS1344" s="673"/>
    </row>
    <row r="1345">
      <c r="A1345" s="653"/>
      <c r="B1345" s="654"/>
      <c r="C1345" s="655"/>
      <c r="D1345" s="656"/>
      <c r="E1345" s="657"/>
      <c r="F1345" s="658"/>
      <c r="G1345" s="659"/>
      <c r="H1345" s="660"/>
      <c r="I1345" s="659"/>
      <c r="J1345" s="661"/>
      <c r="K1345" s="658"/>
      <c r="L1345" s="662"/>
      <c r="M1345" s="663"/>
      <c r="N1345" s="664"/>
      <c r="O1345" s="665"/>
      <c r="P1345" s="666"/>
      <c r="Q1345" s="667"/>
      <c r="R1345" s="668"/>
      <c r="S1345" s="665"/>
      <c r="T1345" s="669"/>
      <c r="U1345" s="669"/>
      <c r="V1345" s="665"/>
      <c r="W1345" s="670"/>
      <c r="X1345" s="670"/>
      <c r="Y1345" s="671"/>
      <c r="Z1345" s="671"/>
      <c r="AA1345" s="672"/>
      <c r="AB1345" s="673"/>
      <c r="AC1345" s="673"/>
      <c r="AD1345" s="673"/>
      <c r="AE1345" s="673"/>
      <c r="AF1345" s="673"/>
      <c r="AG1345" s="673"/>
      <c r="AH1345" s="673"/>
      <c r="AI1345" s="673"/>
      <c r="AJ1345" s="673"/>
      <c r="AK1345" s="673"/>
      <c r="AL1345" s="673"/>
      <c r="AM1345" s="673"/>
      <c r="AN1345" s="673"/>
      <c r="AO1345" s="673"/>
      <c r="AP1345" s="673"/>
      <c r="AQ1345" s="673"/>
      <c r="AR1345" s="673"/>
      <c r="AS1345" s="673"/>
    </row>
    <row r="1346">
      <c r="A1346" s="653"/>
      <c r="B1346" s="654"/>
      <c r="C1346" s="655"/>
      <c r="D1346" s="656"/>
      <c r="E1346" s="657"/>
      <c r="F1346" s="658"/>
      <c r="G1346" s="659"/>
      <c r="H1346" s="660"/>
      <c r="I1346" s="659"/>
      <c r="J1346" s="661"/>
      <c r="K1346" s="658"/>
      <c r="L1346" s="662"/>
      <c r="M1346" s="663"/>
      <c r="N1346" s="664"/>
      <c r="O1346" s="665"/>
      <c r="P1346" s="666"/>
      <c r="Q1346" s="667"/>
      <c r="R1346" s="668"/>
      <c r="S1346" s="665"/>
      <c r="T1346" s="669"/>
      <c r="U1346" s="669"/>
      <c r="V1346" s="665"/>
      <c r="W1346" s="670"/>
      <c r="X1346" s="670"/>
      <c r="Y1346" s="671"/>
      <c r="Z1346" s="671"/>
      <c r="AA1346" s="672"/>
      <c r="AB1346" s="673"/>
      <c r="AC1346" s="673"/>
      <c r="AD1346" s="673"/>
      <c r="AE1346" s="673"/>
      <c r="AF1346" s="673"/>
      <c r="AG1346" s="673"/>
      <c r="AH1346" s="673"/>
      <c r="AI1346" s="673"/>
      <c r="AJ1346" s="673"/>
      <c r="AK1346" s="673"/>
      <c r="AL1346" s="673"/>
      <c r="AM1346" s="673"/>
      <c r="AN1346" s="673"/>
      <c r="AO1346" s="673"/>
      <c r="AP1346" s="673"/>
      <c r="AQ1346" s="673"/>
      <c r="AR1346" s="673"/>
      <c r="AS1346" s="673"/>
    </row>
    <row r="1347">
      <c r="A1347" s="653"/>
      <c r="B1347" s="654"/>
      <c r="C1347" s="655"/>
      <c r="D1347" s="656"/>
      <c r="E1347" s="657"/>
      <c r="F1347" s="658"/>
      <c r="G1347" s="659"/>
      <c r="H1347" s="660"/>
      <c r="I1347" s="659"/>
      <c r="J1347" s="661"/>
      <c r="K1347" s="658"/>
      <c r="L1347" s="662"/>
      <c r="M1347" s="663"/>
      <c r="N1347" s="664"/>
      <c r="O1347" s="665"/>
      <c r="P1347" s="666"/>
      <c r="Q1347" s="667"/>
      <c r="R1347" s="668"/>
      <c r="S1347" s="665"/>
      <c r="T1347" s="669"/>
      <c r="U1347" s="669"/>
      <c r="V1347" s="665"/>
      <c r="W1347" s="670"/>
      <c r="X1347" s="670"/>
      <c r="Y1347" s="671"/>
      <c r="Z1347" s="671"/>
      <c r="AA1347" s="672"/>
      <c r="AB1347" s="673"/>
      <c r="AC1347" s="673"/>
      <c r="AD1347" s="673"/>
      <c r="AE1347" s="673"/>
      <c r="AF1347" s="673"/>
      <c r="AG1347" s="673"/>
      <c r="AH1347" s="673"/>
      <c r="AI1347" s="673"/>
      <c r="AJ1347" s="673"/>
      <c r="AK1347" s="673"/>
      <c r="AL1347" s="673"/>
      <c r="AM1347" s="673"/>
      <c r="AN1347" s="673"/>
      <c r="AO1347" s="673"/>
      <c r="AP1347" s="673"/>
      <c r="AQ1347" s="673"/>
      <c r="AR1347" s="673"/>
      <c r="AS1347" s="673"/>
    </row>
    <row r="1348">
      <c r="A1348" s="653"/>
      <c r="B1348" s="654"/>
      <c r="C1348" s="655"/>
      <c r="D1348" s="656"/>
      <c r="E1348" s="657"/>
      <c r="F1348" s="658"/>
      <c r="G1348" s="659"/>
      <c r="H1348" s="660"/>
      <c r="I1348" s="659"/>
      <c r="J1348" s="661"/>
      <c r="K1348" s="658"/>
      <c r="L1348" s="662"/>
      <c r="M1348" s="663"/>
      <c r="N1348" s="664"/>
      <c r="O1348" s="665"/>
      <c r="P1348" s="666"/>
      <c r="Q1348" s="667"/>
      <c r="R1348" s="668"/>
      <c r="S1348" s="665"/>
      <c r="T1348" s="669"/>
      <c r="U1348" s="669"/>
      <c r="V1348" s="665"/>
      <c r="W1348" s="670"/>
      <c r="X1348" s="670"/>
      <c r="Y1348" s="671"/>
      <c r="Z1348" s="671"/>
      <c r="AA1348" s="672"/>
      <c r="AB1348" s="673"/>
      <c r="AC1348" s="673"/>
      <c r="AD1348" s="673"/>
      <c r="AE1348" s="673"/>
      <c r="AF1348" s="673"/>
      <c r="AG1348" s="673"/>
      <c r="AH1348" s="673"/>
      <c r="AI1348" s="673"/>
      <c r="AJ1348" s="673"/>
      <c r="AK1348" s="673"/>
      <c r="AL1348" s="673"/>
      <c r="AM1348" s="673"/>
      <c r="AN1348" s="673"/>
      <c r="AO1348" s="673"/>
      <c r="AP1348" s="673"/>
      <c r="AQ1348" s="673"/>
      <c r="AR1348" s="673"/>
      <c r="AS1348" s="673"/>
    </row>
    <row r="1349">
      <c r="A1349" s="653"/>
      <c r="B1349" s="654"/>
      <c r="C1349" s="655"/>
      <c r="D1349" s="656"/>
      <c r="E1349" s="657"/>
      <c r="F1349" s="658"/>
      <c r="G1349" s="659"/>
      <c r="H1349" s="660"/>
      <c r="I1349" s="659"/>
      <c r="J1349" s="661"/>
      <c r="K1349" s="658"/>
      <c r="L1349" s="662"/>
      <c r="M1349" s="663"/>
      <c r="N1349" s="664"/>
      <c r="O1349" s="665"/>
      <c r="P1349" s="666"/>
      <c r="Q1349" s="667"/>
      <c r="R1349" s="668"/>
      <c r="S1349" s="665"/>
      <c r="T1349" s="669"/>
      <c r="U1349" s="669"/>
      <c r="V1349" s="665"/>
      <c r="W1349" s="670"/>
      <c r="X1349" s="670"/>
      <c r="Y1349" s="671"/>
      <c r="Z1349" s="671"/>
      <c r="AA1349" s="672"/>
      <c r="AB1349" s="673"/>
      <c r="AC1349" s="673"/>
      <c r="AD1349" s="673"/>
      <c r="AE1349" s="673"/>
      <c r="AF1349" s="673"/>
      <c r="AG1349" s="673"/>
      <c r="AH1349" s="673"/>
      <c r="AI1349" s="673"/>
      <c r="AJ1349" s="673"/>
      <c r="AK1349" s="673"/>
      <c r="AL1349" s="673"/>
      <c r="AM1349" s="673"/>
      <c r="AN1349" s="673"/>
      <c r="AO1349" s="673"/>
      <c r="AP1349" s="673"/>
      <c r="AQ1349" s="673"/>
      <c r="AR1349" s="673"/>
      <c r="AS1349" s="673"/>
    </row>
    <row r="1350">
      <c r="A1350" s="653"/>
      <c r="B1350" s="654"/>
      <c r="C1350" s="655"/>
      <c r="D1350" s="656"/>
      <c r="E1350" s="657"/>
      <c r="F1350" s="658"/>
      <c r="G1350" s="659"/>
      <c r="H1350" s="660"/>
      <c r="I1350" s="659"/>
      <c r="J1350" s="661"/>
      <c r="K1350" s="658"/>
      <c r="L1350" s="662"/>
      <c r="M1350" s="663"/>
      <c r="N1350" s="664"/>
      <c r="O1350" s="665"/>
      <c r="P1350" s="666"/>
      <c r="Q1350" s="667"/>
      <c r="R1350" s="668"/>
      <c r="S1350" s="665"/>
      <c r="T1350" s="669"/>
      <c r="U1350" s="669"/>
      <c r="V1350" s="665"/>
      <c r="W1350" s="670"/>
      <c r="X1350" s="670"/>
      <c r="Y1350" s="671"/>
      <c r="Z1350" s="671"/>
      <c r="AA1350" s="672"/>
      <c r="AB1350" s="673"/>
      <c r="AC1350" s="673"/>
      <c r="AD1350" s="673"/>
      <c r="AE1350" s="673"/>
      <c r="AF1350" s="673"/>
      <c r="AG1350" s="673"/>
      <c r="AH1350" s="673"/>
      <c r="AI1350" s="673"/>
      <c r="AJ1350" s="673"/>
      <c r="AK1350" s="673"/>
      <c r="AL1350" s="673"/>
      <c r="AM1350" s="673"/>
      <c r="AN1350" s="673"/>
      <c r="AO1350" s="673"/>
      <c r="AP1350" s="673"/>
      <c r="AQ1350" s="673"/>
      <c r="AR1350" s="673"/>
      <c r="AS1350" s="673"/>
    </row>
    <row r="1351">
      <c r="A1351" s="653"/>
      <c r="B1351" s="654"/>
      <c r="C1351" s="655"/>
      <c r="D1351" s="656"/>
      <c r="E1351" s="657"/>
      <c r="F1351" s="658"/>
      <c r="G1351" s="659"/>
      <c r="H1351" s="660"/>
      <c r="I1351" s="659"/>
      <c r="J1351" s="661"/>
      <c r="K1351" s="658"/>
      <c r="L1351" s="662"/>
      <c r="M1351" s="663"/>
      <c r="N1351" s="664"/>
      <c r="O1351" s="665"/>
      <c r="P1351" s="666"/>
      <c r="Q1351" s="667"/>
      <c r="R1351" s="668"/>
      <c r="S1351" s="665"/>
      <c r="T1351" s="669"/>
      <c r="U1351" s="669"/>
      <c r="V1351" s="665"/>
      <c r="W1351" s="670"/>
      <c r="X1351" s="670"/>
      <c r="Y1351" s="671"/>
      <c r="Z1351" s="671"/>
      <c r="AA1351" s="672"/>
      <c r="AB1351" s="673"/>
      <c r="AC1351" s="673"/>
      <c r="AD1351" s="673"/>
      <c r="AE1351" s="673"/>
      <c r="AF1351" s="673"/>
      <c r="AG1351" s="673"/>
      <c r="AH1351" s="673"/>
      <c r="AI1351" s="673"/>
      <c r="AJ1351" s="673"/>
      <c r="AK1351" s="673"/>
      <c r="AL1351" s="673"/>
      <c r="AM1351" s="673"/>
      <c r="AN1351" s="673"/>
      <c r="AO1351" s="673"/>
      <c r="AP1351" s="673"/>
      <c r="AQ1351" s="673"/>
      <c r="AR1351" s="673"/>
      <c r="AS1351" s="673"/>
    </row>
    <row r="1352">
      <c r="A1352" s="653"/>
      <c r="B1352" s="654"/>
      <c r="C1352" s="655"/>
      <c r="D1352" s="656"/>
      <c r="E1352" s="657"/>
      <c r="F1352" s="658"/>
      <c r="G1352" s="659"/>
      <c r="H1352" s="660"/>
      <c r="I1352" s="659"/>
      <c r="J1352" s="661"/>
      <c r="K1352" s="658"/>
      <c r="L1352" s="662"/>
      <c r="M1352" s="663"/>
      <c r="N1352" s="664"/>
      <c r="O1352" s="665"/>
      <c r="P1352" s="666"/>
      <c r="Q1352" s="667"/>
      <c r="R1352" s="668"/>
      <c r="S1352" s="665"/>
      <c r="T1352" s="669"/>
      <c r="U1352" s="669"/>
      <c r="V1352" s="665"/>
      <c r="W1352" s="670"/>
      <c r="X1352" s="670"/>
      <c r="Y1352" s="671"/>
      <c r="Z1352" s="671"/>
      <c r="AA1352" s="672"/>
      <c r="AB1352" s="673"/>
      <c r="AC1352" s="673"/>
      <c r="AD1352" s="673"/>
      <c r="AE1352" s="673"/>
      <c r="AF1352" s="673"/>
      <c r="AG1352" s="673"/>
      <c r="AH1352" s="673"/>
      <c r="AI1352" s="673"/>
      <c r="AJ1352" s="673"/>
      <c r="AK1352" s="673"/>
      <c r="AL1352" s="673"/>
      <c r="AM1352" s="673"/>
      <c r="AN1352" s="673"/>
      <c r="AO1352" s="673"/>
      <c r="AP1352" s="673"/>
      <c r="AQ1352" s="673"/>
      <c r="AR1352" s="673"/>
      <c r="AS1352" s="673"/>
    </row>
    <row r="1353">
      <c r="A1353" s="653"/>
      <c r="B1353" s="654"/>
      <c r="C1353" s="655"/>
      <c r="D1353" s="656"/>
      <c r="E1353" s="657"/>
      <c r="F1353" s="658"/>
      <c r="G1353" s="659"/>
      <c r="H1353" s="660"/>
      <c r="I1353" s="659"/>
      <c r="J1353" s="661"/>
      <c r="K1353" s="658"/>
      <c r="L1353" s="662"/>
      <c r="M1353" s="663"/>
      <c r="N1353" s="664"/>
      <c r="O1353" s="665"/>
      <c r="P1353" s="666"/>
      <c r="Q1353" s="667"/>
      <c r="R1353" s="668"/>
      <c r="S1353" s="665"/>
      <c r="T1353" s="669"/>
      <c r="U1353" s="669"/>
      <c r="V1353" s="665"/>
      <c r="W1353" s="670"/>
      <c r="X1353" s="670"/>
      <c r="Y1353" s="671"/>
      <c r="Z1353" s="671"/>
      <c r="AA1353" s="672"/>
      <c r="AB1353" s="673"/>
      <c r="AC1353" s="673"/>
      <c r="AD1353" s="673"/>
      <c r="AE1353" s="673"/>
      <c r="AF1353" s="673"/>
      <c r="AG1353" s="673"/>
      <c r="AH1353" s="673"/>
      <c r="AI1353" s="673"/>
      <c r="AJ1353" s="673"/>
      <c r="AK1353" s="673"/>
      <c r="AL1353" s="673"/>
      <c r="AM1353" s="673"/>
      <c r="AN1353" s="673"/>
      <c r="AO1353" s="673"/>
      <c r="AP1353" s="673"/>
      <c r="AQ1353" s="673"/>
      <c r="AR1353" s="673"/>
      <c r="AS1353" s="673"/>
    </row>
    <row r="1354">
      <c r="A1354" s="653"/>
      <c r="B1354" s="654"/>
      <c r="C1354" s="655"/>
      <c r="D1354" s="656"/>
      <c r="E1354" s="657"/>
      <c r="F1354" s="658"/>
      <c r="G1354" s="659"/>
      <c r="H1354" s="660"/>
      <c r="I1354" s="659"/>
      <c r="J1354" s="661"/>
      <c r="K1354" s="658"/>
      <c r="L1354" s="662"/>
      <c r="M1354" s="663"/>
      <c r="N1354" s="664"/>
      <c r="O1354" s="665"/>
      <c r="P1354" s="666"/>
      <c r="Q1354" s="667"/>
      <c r="R1354" s="668"/>
      <c r="S1354" s="665"/>
      <c r="T1354" s="669"/>
      <c r="U1354" s="669"/>
      <c r="V1354" s="665"/>
      <c r="W1354" s="670"/>
      <c r="X1354" s="670"/>
      <c r="Y1354" s="671"/>
      <c r="Z1354" s="671"/>
      <c r="AA1354" s="672"/>
      <c r="AB1354" s="673"/>
      <c r="AC1354" s="673"/>
      <c r="AD1354" s="673"/>
      <c r="AE1354" s="673"/>
      <c r="AF1354" s="673"/>
      <c r="AG1354" s="673"/>
      <c r="AH1354" s="673"/>
      <c r="AI1354" s="673"/>
      <c r="AJ1354" s="673"/>
      <c r="AK1354" s="673"/>
      <c r="AL1354" s="673"/>
      <c r="AM1354" s="673"/>
      <c r="AN1354" s="673"/>
      <c r="AO1354" s="673"/>
      <c r="AP1354" s="673"/>
      <c r="AQ1354" s="673"/>
      <c r="AR1354" s="673"/>
      <c r="AS1354" s="673"/>
    </row>
    <row r="1355">
      <c r="A1355" s="653"/>
      <c r="B1355" s="654"/>
      <c r="C1355" s="655"/>
      <c r="D1355" s="656"/>
      <c r="E1355" s="657"/>
      <c r="F1355" s="658"/>
      <c r="G1355" s="659"/>
      <c r="H1355" s="660"/>
      <c r="I1355" s="659"/>
      <c r="J1355" s="661"/>
      <c r="K1355" s="658"/>
      <c r="L1355" s="662"/>
      <c r="M1355" s="663"/>
      <c r="N1355" s="664"/>
      <c r="O1355" s="665"/>
      <c r="P1355" s="666"/>
      <c r="Q1355" s="667"/>
      <c r="R1355" s="668"/>
      <c r="S1355" s="665"/>
      <c r="T1355" s="669"/>
      <c r="U1355" s="669"/>
      <c r="V1355" s="665"/>
      <c r="W1355" s="670"/>
      <c r="X1355" s="670"/>
      <c r="Y1355" s="671"/>
      <c r="Z1355" s="671"/>
      <c r="AA1355" s="672"/>
      <c r="AB1355" s="673"/>
      <c r="AC1355" s="673"/>
      <c r="AD1355" s="673"/>
      <c r="AE1355" s="673"/>
      <c r="AF1355" s="673"/>
      <c r="AG1355" s="673"/>
      <c r="AH1355" s="673"/>
      <c r="AI1355" s="673"/>
      <c r="AJ1355" s="673"/>
      <c r="AK1355" s="673"/>
      <c r="AL1355" s="673"/>
      <c r="AM1355" s="673"/>
      <c r="AN1355" s="673"/>
      <c r="AO1355" s="673"/>
      <c r="AP1355" s="673"/>
      <c r="AQ1355" s="673"/>
      <c r="AR1355" s="673"/>
      <c r="AS1355" s="673"/>
    </row>
    <row r="1356">
      <c r="A1356" s="653"/>
      <c r="B1356" s="654"/>
      <c r="C1356" s="655"/>
      <c r="D1356" s="656"/>
      <c r="E1356" s="657"/>
      <c r="F1356" s="658"/>
      <c r="G1356" s="659"/>
      <c r="H1356" s="660"/>
      <c r="I1356" s="659"/>
      <c r="J1356" s="661"/>
      <c r="K1356" s="658"/>
      <c r="L1356" s="662"/>
      <c r="M1356" s="663"/>
      <c r="N1356" s="664"/>
      <c r="O1356" s="665"/>
      <c r="P1356" s="666"/>
      <c r="Q1356" s="667"/>
      <c r="R1356" s="668"/>
      <c r="S1356" s="665"/>
      <c r="T1356" s="669"/>
      <c r="U1356" s="669"/>
      <c r="V1356" s="665"/>
      <c r="W1356" s="670"/>
      <c r="X1356" s="670"/>
      <c r="Y1356" s="671"/>
      <c r="Z1356" s="671"/>
      <c r="AA1356" s="672"/>
      <c r="AB1356" s="673"/>
      <c r="AC1356" s="673"/>
      <c r="AD1356" s="673"/>
      <c r="AE1356" s="673"/>
      <c r="AF1356" s="673"/>
      <c r="AG1356" s="673"/>
      <c r="AH1356" s="673"/>
      <c r="AI1356" s="673"/>
      <c r="AJ1356" s="673"/>
      <c r="AK1356" s="673"/>
      <c r="AL1356" s="673"/>
      <c r="AM1356" s="673"/>
      <c r="AN1356" s="673"/>
      <c r="AO1356" s="673"/>
      <c r="AP1356" s="673"/>
      <c r="AQ1356" s="673"/>
      <c r="AR1356" s="673"/>
      <c r="AS1356" s="673"/>
    </row>
    <row r="1357">
      <c r="A1357" s="653"/>
      <c r="B1357" s="654"/>
      <c r="C1357" s="655"/>
      <c r="D1357" s="656"/>
      <c r="E1357" s="657"/>
      <c r="F1357" s="658"/>
      <c r="G1357" s="659"/>
      <c r="H1357" s="660"/>
      <c r="I1357" s="659"/>
      <c r="J1357" s="661"/>
      <c r="K1357" s="658"/>
      <c r="L1357" s="662"/>
      <c r="M1357" s="663"/>
      <c r="N1357" s="664"/>
      <c r="O1357" s="665"/>
      <c r="P1357" s="666"/>
      <c r="Q1357" s="667"/>
      <c r="R1357" s="668"/>
      <c r="S1357" s="665"/>
      <c r="T1357" s="669"/>
      <c r="U1357" s="669"/>
      <c r="V1357" s="665"/>
      <c r="W1357" s="670"/>
      <c r="X1357" s="670"/>
      <c r="Y1357" s="671"/>
      <c r="Z1357" s="671"/>
      <c r="AA1357" s="672"/>
      <c r="AB1357" s="673"/>
      <c r="AC1357" s="673"/>
      <c r="AD1357" s="673"/>
      <c r="AE1357" s="673"/>
      <c r="AF1357" s="673"/>
      <c r="AG1357" s="673"/>
      <c r="AH1357" s="673"/>
      <c r="AI1357" s="673"/>
      <c r="AJ1357" s="673"/>
      <c r="AK1357" s="673"/>
      <c r="AL1357" s="673"/>
      <c r="AM1357" s="673"/>
      <c r="AN1357" s="673"/>
      <c r="AO1357" s="673"/>
      <c r="AP1357" s="673"/>
      <c r="AQ1357" s="673"/>
      <c r="AR1357" s="673"/>
      <c r="AS1357" s="673"/>
    </row>
    <row r="1358">
      <c r="A1358" s="653"/>
      <c r="B1358" s="654"/>
      <c r="C1358" s="655"/>
      <c r="D1358" s="656"/>
      <c r="E1358" s="657"/>
      <c r="F1358" s="658"/>
      <c r="G1358" s="659"/>
      <c r="H1358" s="660"/>
      <c r="I1358" s="659"/>
      <c r="J1358" s="661"/>
      <c r="K1358" s="658"/>
      <c r="L1358" s="662"/>
      <c r="M1358" s="663"/>
      <c r="N1358" s="664"/>
      <c r="O1358" s="665"/>
      <c r="P1358" s="666"/>
      <c r="Q1358" s="667"/>
      <c r="R1358" s="668"/>
      <c r="S1358" s="665"/>
      <c r="T1358" s="669"/>
      <c r="U1358" s="669"/>
      <c r="V1358" s="665"/>
      <c r="W1358" s="670"/>
      <c r="X1358" s="670"/>
      <c r="Y1358" s="671"/>
      <c r="Z1358" s="671"/>
      <c r="AA1358" s="672"/>
      <c r="AB1358" s="673"/>
      <c r="AC1358" s="673"/>
      <c r="AD1358" s="673"/>
      <c r="AE1358" s="673"/>
      <c r="AF1358" s="673"/>
      <c r="AG1358" s="673"/>
      <c r="AH1358" s="673"/>
      <c r="AI1358" s="673"/>
      <c r="AJ1358" s="673"/>
      <c r="AK1358" s="673"/>
      <c r="AL1358" s="673"/>
      <c r="AM1358" s="673"/>
      <c r="AN1358" s="673"/>
      <c r="AO1358" s="673"/>
      <c r="AP1358" s="673"/>
      <c r="AQ1358" s="673"/>
      <c r="AR1358" s="673"/>
      <c r="AS1358" s="673"/>
    </row>
    <row r="1359">
      <c r="A1359" s="653"/>
      <c r="B1359" s="654"/>
      <c r="C1359" s="655"/>
      <c r="D1359" s="656"/>
      <c r="E1359" s="657"/>
      <c r="F1359" s="658"/>
      <c r="G1359" s="659"/>
      <c r="H1359" s="660"/>
      <c r="I1359" s="659"/>
      <c r="J1359" s="661"/>
      <c r="K1359" s="658"/>
      <c r="L1359" s="662"/>
      <c r="M1359" s="663"/>
      <c r="N1359" s="664"/>
      <c r="O1359" s="665"/>
      <c r="P1359" s="666"/>
      <c r="Q1359" s="667"/>
      <c r="R1359" s="668"/>
      <c r="S1359" s="665"/>
      <c r="T1359" s="669"/>
      <c r="U1359" s="669"/>
      <c r="V1359" s="665"/>
      <c r="W1359" s="670"/>
      <c r="X1359" s="670"/>
      <c r="Y1359" s="671"/>
      <c r="Z1359" s="671"/>
      <c r="AA1359" s="672"/>
      <c r="AB1359" s="673"/>
      <c r="AC1359" s="673"/>
      <c r="AD1359" s="673"/>
      <c r="AE1359" s="673"/>
      <c r="AF1359" s="673"/>
      <c r="AG1359" s="673"/>
      <c r="AH1359" s="673"/>
      <c r="AI1359" s="673"/>
      <c r="AJ1359" s="673"/>
      <c r="AK1359" s="673"/>
      <c r="AL1359" s="673"/>
      <c r="AM1359" s="673"/>
      <c r="AN1359" s="673"/>
      <c r="AO1359" s="673"/>
      <c r="AP1359" s="673"/>
      <c r="AQ1359" s="673"/>
      <c r="AR1359" s="673"/>
      <c r="AS1359" s="673"/>
    </row>
    <row r="1360">
      <c r="A1360" s="653"/>
      <c r="B1360" s="654"/>
      <c r="C1360" s="655"/>
      <c r="D1360" s="656"/>
      <c r="E1360" s="657"/>
      <c r="F1360" s="658"/>
      <c r="G1360" s="659"/>
      <c r="H1360" s="660"/>
      <c r="I1360" s="659"/>
      <c r="J1360" s="661"/>
      <c r="K1360" s="658"/>
      <c r="L1360" s="662"/>
      <c r="M1360" s="663"/>
      <c r="N1360" s="664"/>
      <c r="O1360" s="665"/>
      <c r="P1360" s="666"/>
      <c r="Q1360" s="667"/>
      <c r="R1360" s="668"/>
      <c r="S1360" s="665"/>
      <c r="T1360" s="669"/>
      <c r="U1360" s="669"/>
      <c r="V1360" s="665"/>
      <c r="W1360" s="670"/>
      <c r="X1360" s="670"/>
      <c r="Y1360" s="671"/>
      <c r="Z1360" s="671"/>
      <c r="AA1360" s="672"/>
      <c r="AB1360" s="673"/>
      <c r="AC1360" s="673"/>
      <c r="AD1360" s="673"/>
      <c r="AE1360" s="673"/>
      <c r="AF1360" s="673"/>
      <c r="AG1360" s="673"/>
      <c r="AH1360" s="673"/>
      <c r="AI1360" s="673"/>
      <c r="AJ1360" s="673"/>
      <c r="AK1360" s="673"/>
      <c r="AL1360" s="673"/>
      <c r="AM1360" s="673"/>
      <c r="AN1360" s="673"/>
      <c r="AO1360" s="673"/>
      <c r="AP1360" s="673"/>
      <c r="AQ1360" s="673"/>
      <c r="AR1360" s="673"/>
      <c r="AS1360" s="673"/>
    </row>
    <row r="1361">
      <c r="A1361" s="653"/>
      <c r="B1361" s="654"/>
      <c r="C1361" s="655"/>
      <c r="D1361" s="656"/>
      <c r="E1361" s="657"/>
      <c r="F1361" s="658"/>
      <c r="G1361" s="659"/>
      <c r="H1361" s="660"/>
      <c r="I1361" s="659"/>
      <c r="J1361" s="661"/>
      <c r="K1361" s="658"/>
      <c r="L1361" s="662"/>
      <c r="M1361" s="663"/>
      <c r="N1361" s="664"/>
      <c r="O1361" s="665"/>
      <c r="P1361" s="666"/>
      <c r="Q1361" s="667"/>
      <c r="R1361" s="668"/>
      <c r="S1361" s="665"/>
      <c r="T1361" s="669"/>
      <c r="U1361" s="669"/>
      <c r="V1361" s="665"/>
      <c r="W1361" s="670"/>
      <c r="X1361" s="670"/>
      <c r="Y1361" s="671"/>
      <c r="Z1361" s="671"/>
      <c r="AA1361" s="672"/>
      <c r="AB1361" s="673"/>
      <c r="AC1361" s="673"/>
      <c r="AD1361" s="673"/>
      <c r="AE1361" s="673"/>
      <c r="AF1361" s="673"/>
      <c r="AG1361" s="673"/>
      <c r="AH1361" s="673"/>
      <c r="AI1361" s="673"/>
      <c r="AJ1361" s="673"/>
      <c r="AK1361" s="673"/>
      <c r="AL1361" s="673"/>
      <c r="AM1361" s="673"/>
      <c r="AN1361" s="673"/>
      <c r="AO1361" s="673"/>
      <c r="AP1361" s="673"/>
      <c r="AQ1361" s="673"/>
      <c r="AR1361" s="673"/>
      <c r="AS1361" s="673"/>
    </row>
    <row r="1362">
      <c r="A1362" s="653"/>
      <c r="B1362" s="654"/>
      <c r="C1362" s="655"/>
      <c r="D1362" s="656"/>
      <c r="E1362" s="657"/>
      <c r="F1362" s="658"/>
      <c r="G1362" s="659"/>
      <c r="H1362" s="660"/>
      <c r="I1362" s="659"/>
      <c r="J1362" s="661"/>
      <c r="K1362" s="658"/>
      <c r="L1362" s="662"/>
      <c r="M1362" s="663"/>
      <c r="N1362" s="664"/>
      <c r="O1362" s="665"/>
      <c r="P1362" s="666"/>
      <c r="Q1362" s="667"/>
      <c r="R1362" s="668"/>
      <c r="S1362" s="665"/>
      <c r="T1362" s="669"/>
      <c r="U1362" s="669"/>
      <c r="V1362" s="665"/>
      <c r="W1362" s="670"/>
      <c r="X1362" s="670"/>
      <c r="Y1362" s="671"/>
      <c r="Z1362" s="671"/>
      <c r="AA1362" s="672"/>
      <c r="AB1362" s="673"/>
      <c r="AC1362" s="673"/>
      <c r="AD1362" s="673"/>
      <c r="AE1362" s="673"/>
      <c r="AF1362" s="673"/>
      <c r="AG1362" s="673"/>
      <c r="AH1362" s="673"/>
      <c r="AI1362" s="673"/>
      <c r="AJ1362" s="673"/>
      <c r="AK1362" s="673"/>
      <c r="AL1362" s="673"/>
      <c r="AM1362" s="673"/>
      <c r="AN1362" s="673"/>
      <c r="AO1362" s="673"/>
      <c r="AP1362" s="673"/>
      <c r="AQ1362" s="673"/>
      <c r="AR1362" s="673"/>
      <c r="AS1362" s="673"/>
    </row>
    <row r="1363">
      <c r="A1363" s="653"/>
      <c r="B1363" s="654"/>
      <c r="C1363" s="655"/>
      <c r="D1363" s="656"/>
      <c r="E1363" s="657"/>
      <c r="F1363" s="658"/>
      <c r="G1363" s="659"/>
      <c r="H1363" s="660"/>
      <c r="I1363" s="659"/>
      <c r="J1363" s="661"/>
      <c r="K1363" s="658"/>
      <c r="L1363" s="662"/>
      <c r="M1363" s="663"/>
      <c r="N1363" s="664"/>
      <c r="O1363" s="665"/>
      <c r="P1363" s="666"/>
      <c r="Q1363" s="667"/>
      <c r="R1363" s="668"/>
      <c r="S1363" s="665"/>
      <c r="T1363" s="669"/>
      <c r="U1363" s="669"/>
      <c r="V1363" s="665"/>
      <c r="W1363" s="670"/>
      <c r="X1363" s="670"/>
      <c r="Y1363" s="671"/>
      <c r="Z1363" s="671"/>
      <c r="AA1363" s="672"/>
      <c r="AB1363" s="673"/>
      <c r="AC1363" s="673"/>
      <c r="AD1363" s="673"/>
      <c r="AE1363" s="673"/>
      <c r="AF1363" s="673"/>
      <c r="AG1363" s="673"/>
      <c r="AH1363" s="673"/>
      <c r="AI1363" s="673"/>
      <c r="AJ1363" s="673"/>
      <c r="AK1363" s="673"/>
      <c r="AL1363" s="673"/>
      <c r="AM1363" s="673"/>
      <c r="AN1363" s="673"/>
      <c r="AO1363" s="673"/>
      <c r="AP1363" s="673"/>
      <c r="AQ1363" s="673"/>
      <c r="AR1363" s="673"/>
      <c r="AS1363" s="673"/>
    </row>
    <row r="1364">
      <c r="A1364" s="653"/>
      <c r="B1364" s="654"/>
      <c r="C1364" s="655"/>
      <c r="D1364" s="656"/>
      <c r="E1364" s="657"/>
      <c r="F1364" s="658"/>
      <c r="G1364" s="659"/>
      <c r="H1364" s="660"/>
      <c r="I1364" s="659"/>
      <c r="J1364" s="661"/>
      <c r="K1364" s="658"/>
      <c r="L1364" s="662"/>
      <c r="M1364" s="663"/>
      <c r="N1364" s="664"/>
      <c r="O1364" s="665"/>
      <c r="P1364" s="666"/>
      <c r="Q1364" s="667"/>
      <c r="R1364" s="668"/>
      <c r="S1364" s="665"/>
      <c r="T1364" s="669"/>
      <c r="U1364" s="669"/>
      <c r="V1364" s="665"/>
      <c r="W1364" s="670"/>
      <c r="X1364" s="670"/>
      <c r="Y1364" s="671"/>
      <c r="Z1364" s="671"/>
      <c r="AA1364" s="672"/>
      <c r="AB1364" s="673"/>
      <c r="AC1364" s="673"/>
      <c r="AD1364" s="673"/>
      <c r="AE1364" s="673"/>
      <c r="AF1364" s="673"/>
      <c r="AG1364" s="673"/>
      <c r="AH1364" s="673"/>
      <c r="AI1364" s="673"/>
      <c r="AJ1364" s="673"/>
      <c r="AK1364" s="673"/>
      <c r="AL1364" s="673"/>
      <c r="AM1364" s="673"/>
      <c r="AN1364" s="673"/>
      <c r="AO1364" s="673"/>
      <c r="AP1364" s="673"/>
      <c r="AQ1364" s="673"/>
      <c r="AR1364" s="673"/>
      <c r="AS1364" s="673"/>
    </row>
    <row r="1365">
      <c r="A1365" s="653"/>
      <c r="B1365" s="654"/>
      <c r="C1365" s="655"/>
      <c r="D1365" s="656"/>
      <c r="E1365" s="657"/>
      <c r="F1365" s="658"/>
      <c r="G1365" s="659"/>
      <c r="H1365" s="660"/>
      <c r="I1365" s="659"/>
      <c r="J1365" s="661"/>
      <c r="K1365" s="658"/>
      <c r="L1365" s="662"/>
      <c r="M1365" s="663"/>
      <c r="N1365" s="664"/>
      <c r="O1365" s="665"/>
      <c r="P1365" s="666"/>
      <c r="Q1365" s="667"/>
      <c r="R1365" s="668"/>
      <c r="S1365" s="665"/>
      <c r="T1365" s="669"/>
      <c r="U1365" s="669"/>
      <c r="V1365" s="665"/>
      <c r="W1365" s="670"/>
      <c r="X1365" s="670"/>
      <c r="Y1365" s="671"/>
      <c r="Z1365" s="671"/>
      <c r="AA1365" s="672"/>
      <c r="AB1365" s="673"/>
      <c r="AC1365" s="673"/>
      <c r="AD1365" s="673"/>
      <c r="AE1365" s="673"/>
      <c r="AF1365" s="673"/>
      <c r="AG1365" s="673"/>
      <c r="AH1365" s="673"/>
      <c r="AI1365" s="673"/>
      <c r="AJ1365" s="673"/>
      <c r="AK1365" s="673"/>
      <c r="AL1365" s="673"/>
      <c r="AM1365" s="673"/>
      <c r="AN1365" s="673"/>
      <c r="AO1365" s="673"/>
      <c r="AP1365" s="673"/>
      <c r="AQ1365" s="673"/>
      <c r="AR1365" s="673"/>
      <c r="AS1365" s="673"/>
    </row>
    <row r="1366">
      <c r="A1366" s="653"/>
      <c r="B1366" s="654"/>
      <c r="C1366" s="655"/>
      <c r="D1366" s="656"/>
      <c r="E1366" s="657"/>
      <c r="F1366" s="658"/>
      <c r="G1366" s="659"/>
      <c r="H1366" s="660"/>
      <c r="I1366" s="659"/>
      <c r="J1366" s="661"/>
      <c r="K1366" s="658"/>
      <c r="L1366" s="662"/>
      <c r="M1366" s="663"/>
      <c r="N1366" s="664"/>
      <c r="O1366" s="665"/>
      <c r="P1366" s="666"/>
      <c r="Q1366" s="667"/>
      <c r="R1366" s="668"/>
      <c r="S1366" s="665"/>
      <c r="T1366" s="669"/>
      <c r="U1366" s="669"/>
      <c r="V1366" s="665"/>
      <c r="W1366" s="670"/>
      <c r="X1366" s="670"/>
      <c r="Y1366" s="671"/>
      <c r="Z1366" s="671"/>
      <c r="AA1366" s="672"/>
      <c r="AB1366" s="673"/>
      <c r="AC1366" s="673"/>
      <c r="AD1366" s="673"/>
      <c r="AE1366" s="673"/>
      <c r="AF1366" s="673"/>
      <c r="AG1366" s="673"/>
      <c r="AH1366" s="673"/>
      <c r="AI1366" s="673"/>
      <c r="AJ1366" s="673"/>
      <c r="AK1366" s="673"/>
      <c r="AL1366" s="673"/>
      <c r="AM1366" s="673"/>
      <c r="AN1366" s="673"/>
      <c r="AO1366" s="673"/>
      <c r="AP1366" s="673"/>
      <c r="AQ1366" s="673"/>
      <c r="AR1366" s="673"/>
      <c r="AS1366" s="673"/>
    </row>
    <row r="1367">
      <c r="A1367" s="653"/>
      <c r="B1367" s="654"/>
      <c r="C1367" s="655"/>
      <c r="D1367" s="656"/>
      <c r="E1367" s="657"/>
      <c r="F1367" s="658"/>
      <c r="G1367" s="659"/>
      <c r="H1367" s="660"/>
      <c r="I1367" s="659"/>
      <c r="J1367" s="661"/>
      <c r="K1367" s="658"/>
      <c r="L1367" s="662"/>
      <c r="M1367" s="663"/>
      <c r="N1367" s="664"/>
      <c r="O1367" s="665"/>
      <c r="P1367" s="666"/>
      <c r="Q1367" s="667"/>
      <c r="R1367" s="668"/>
      <c r="S1367" s="665"/>
      <c r="T1367" s="669"/>
      <c r="U1367" s="669"/>
      <c r="V1367" s="665"/>
      <c r="W1367" s="670"/>
      <c r="X1367" s="670"/>
      <c r="Y1367" s="671"/>
      <c r="Z1367" s="671"/>
      <c r="AA1367" s="672"/>
      <c r="AB1367" s="673"/>
      <c r="AC1367" s="673"/>
      <c r="AD1367" s="673"/>
      <c r="AE1367" s="673"/>
      <c r="AF1367" s="673"/>
      <c r="AG1367" s="673"/>
      <c r="AH1367" s="673"/>
      <c r="AI1367" s="673"/>
      <c r="AJ1367" s="673"/>
      <c r="AK1367" s="673"/>
      <c r="AL1367" s="673"/>
      <c r="AM1367" s="673"/>
      <c r="AN1367" s="673"/>
      <c r="AO1367" s="673"/>
      <c r="AP1367" s="673"/>
      <c r="AQ1367" s="673"/>
      <c r="AR1367" s="673"/>
      <c r="AS1367" s="673"/>
    </row>
    <row r="1368">
      <c r="A1368" s="653"/>
      <c r="B1368" s="654"/>
      <c r="C1368" s="655"/>
      <c r="D1368" s="656"/>
      <c r="E1368" s="657"/>
      <c r="F1368" s="658"/>
      <c r="G1368" s="659"/>
      <c r="H1368" s="660"/>
      <c r="I1368" s="659"/>
      <c r="J1368" s="661"/>
      <c r="K1368" s="658"/>
      <c r="L1368" s="662"/>
      <c r="M1368" s="663"/>
      <c r="N1368" s="664"/>
      <c r="O1368" s="665"/>
      <c r="P1368" s="666"/>
      <c r="Q1368" s="667"/>
      <c r="R1368" s="668"/>
      <c r="S1368" s="665"/>
      <c r="T1368" s="669"/>
      <c r="U1368" s="669"/>
      <c r="V1368" s="665"/>
      <c r="W1368" s="670"/>
      <c r="X1368" s="670"/>
      <c r="Y1368" s="671"/>
      <c r="Z1368" s="671"/>
      <c r="AA1368" s="672"/>
      <c r="AB1368" s="673"/>
      <c r="AC1368" s="673"/>
      <c r="AD1368" s="673"/>
      <c r="AE1368" s="673"/>
      <c r="AF1368" s="673"/>
      <c r="AG1368" s="673"/>
      <c r="AH1368" s="673"/>
      <c r="AI1368" s="673"/>
      <c r="AJ1368" s="673"/>
      <c r="AK1368" s="673"/>
      <c r="AL1368" s="673"/>
      <c r="AM1368" s="673"/>
      <c r="AN1368" s="673"/>
      <c r="AO1368" s="673"/>
      <c r="AP1368" s="673"/>
      <c r="AQ1368" s="673"/>
      <c r="AR1368" s="673"/>
      <c r="AS1368" s="673"/>
    </row>
    <row r="1369">
      <c r="A1369" s="653"/>
      <c r="B1369" s="654"/>
      <c r="C1369" s="655"/>
      <c r="D1369" s="656"/>
      <c r="E1369" s="657"/>
      <c r="F1369" s="658"/>
      <c r="G1369" s="659"/>
      <c r="H1369" s="660"/>
      <c r="I1369" s="659"/>
      <c r="J1369" s="661"/>
      <c r="K1369" s="658"/>
      <c r="L1369" s="662"/>
      <c r="M1369" s="663"/>
      <c r="N1369" s="664"/>
      <c r="O1369" s="665"/>
      <c r="P1369" s="666"/>
      <c r="Q1369" s="667"/>
      <c r="R1369" s="668"/>
      <c r="S1369" s="665"/>
      <c r="T1369" s="669"/>
      <c r="U1369" s="669"/>
      <c r="V1369" s="665"/>
      <c r="W1369" s="670"/>
      <c r="X1369" s="670"/>
      <c r="Y1369" s="671"/>
      <c r="Z1369" s="671"/>
      <c r="AA1369" s="672"/>
      <c r="AB1369" s="673"/>
      <c r="AC1369" s="673"/>
      <c r="AD1369" s="673"/>
      <c r="AE1369" s="673"/>
      <c r="AF1369" s="673"/>
      <c r="AG1369" s="673"/>
      <c r="AH1369" s="673"/>
      <c r="AI1369" s="673"/>
      <c r="AJ1369" s="673"/>
      <c r="AK1369" s="673"/>
      <c r="AL1369" s="673"/>
      <c r="AM1369" s="673"/>
      <c r="AN1369" s="673"/>
      <c r="AO1369" s="673"/>
      <c r="AP1369" s="673"/>
      <c r="AQ1369" s="673"/>
      <c r="AR1369" s="673"/>
      <c r="AS1369" s="673"/>
    </row>
    <row r="1370">
      <c r="A1370" s="653"/>
      <c r="B1370" s="654"/>
      <c r="C1370" s="655"/>
      <c r="D1370" s="656"/>
      <c r="E1370" s="657"/>
      <c r="F1370" s="658"/>
      <c r="G1370" s="659"/>
      <c r="H1370" s="660"/>
      <c r="I1370" s="659"/>
      <c r="J1370" s="661"/>
      <c r="K1370" s="658"/>
      <c r="L1370" s="662"/>
      <c r="M1370" s="663"/>
      <c r="N1370" s="664"/>
      <c r="O1370" s="665"/>
      <c r="P1370" s="666"/>
      <c r="Q1370" s="667"/>
      <c r="R1370" s="668"/>
      <c r="S1370" s="665"/>
      <c r="T1370" s="669"/>
      <c r="U1370" s="669"/>
      <c r="V1370" s="665"/>
      <c r="W1370" s="670"/>
      <c r="X1370" s="670"/>
      <c r="Y1370" s="671"/>
      <c r="Z1370" s="671"/>
      <c r="AA1370" s="672"/>
      <c r="AB1370" s="673"/>
      <c r="AC1370" s="673"/>
      <c r="AD1370" s="673"/>
      <c r="AE1370" s="673"/>
      <c r="AF1370" s="673"/>
      <c r="AG1370" s="673"/>
      <c r="AH1370" s="673"/>
      <c r="AI1370" s="673"/>
      <c r="AJ1370" s="673"/>
      <c r="AK1370" s="673"/>
      <c r="AL1370" s="673"/>
      <c r="AM1370" s="673"/>
      <c r="AN1370" s="673"/>
      <c r="AO1370" s="673"/>
      <c r="AP1370" s="673"/>
      <c r="AQ1370" s="673"/>
      <c r="AR1370" s="673"/>
      <c r="AS1370" s="673"/>
    </row>
    <row r="1371">
      <c r="A1371" s="653"/>
      <c r="B1371" s="654"/>
      <c r="C1371" s="655"/>
      <c r="D1371" s="656"/>
      <c r="E1371" s="657"/>
      <c r="F1371" s="658"/>
      <c r="G1371" s="659"/>
      <c r="H1371" s="660"/>
      <c r="I1371" s="659"/>
      <c r="J1371" s="661"/>
      <c r="K1371" s="658"/>
      <c r="L1371" s="662"/>
      <c r="M1371" s="663"/>
      <c r="N1371" s="664"/>
      <c r="O1371" s="665"/>
      <c r="P1371" s="666"/>
      <c r="Q1371" s="667"/>
      <c r="R1371" s="668"/>
      <c r="S1371" s="665"/>
      <c r="T1371" s="669"/>
      <c r="U1371" s="669"/>
      <c r="V1371" s="665"/>
      <c r="W1371" s="670"/>
      <c r="X1371" s="670"/>
      <c r="Y1371" s="671"/>
      <c r="Z1371" s="671"/>
      <c r="AA1371" s="672"/>
      <c r="AB1371" s="673"/>
      <c r="AC1371" s="673"/>
      <c r="AD1371" s="673"/>
      <c r="AE1371" s="673"/>
      <c r="AF1371" s="673"/>
      <c r="AG1371" s="673"/>
      <c r="AH1371" s="673"/>
      <c r="AI1371" s="673"/>
      <c r="AJ1371" s="673"/>
      <c r="AK1371" s="673"/>
      <c r="AL1371" s="673"/>
      <c r="AM1371" s="673"/>
      <c r="AN1371" s="673"/>
      <c r="AO1371" s="673"/>
      <c r="AP1371" s="673"/>
      <c r="AQ1371" s="673"/>
      <c r="AR1371" s="673"/>
      <c r="AS1371" s="673"/>
    </row>
    <row r="1372">
      <c r="A1372" s="653"/>
      <c r="B1372" s="654"/>
      <c r="C1372" s="655"/>
      <c r="D1372" s="656"/>
      <c r="E1372" s="657"/>
      <c r="F1372" s="658"/>
      <c r="G1372" s="659"/>
      <c r="H1372" s="660"/>
      <c r="I1372" s="659"/>
      <c r="J1372" s="661"/>
      <c r="K1372" s="658"/>
      <c r="L1372" s="662"/>
      <c r="M1372" s="663"/>
      <c r="N1372" s="664"/>
      <c r="O1372" s="665"/>
      <c r="P1372" s="666"/>
      <c r="Q1372" s="667"/>
      <c r="R1372" s="668"/>
      <c r="S1372" s="665"/>
      <c r="T1372" s="669"/>
      <c r="U1372" s="669"/>
      <c r="V1372" s="665"/>
      <c r="W1372" s="670"/>
      <c r="X1372" s="670"/>
      <c r="Y1372" s="671"/>
      <c r="Z1372" s="671"/>
      <c r="AA1372" s="672"/>
      <c r="AB1372" s="673"/>
      <c r="AC1372" s="673"/>
      <c r="AD1372" s="673"/>
      <c r="AE1372" s="673"/>
      <c r="AF1372" s="673"/>
      <c r="AG1372" s="673"/>
      <c r="AH1372" s="673"/>
      <c r="AI1372" s="673"/>
      <c r="AJ1372" s="673"/>
      <c r="AK1372" s="673"/>
      <c r="AL1372" s="673"/>
      <c r="AM1372" s="673"/>
      <c r="AN1372" s="673"/>
      <c r="AO1372" s="673"/>
      <c r="AP1372" s="673"/>
      <c r="AQ1372" s="673"/>
      <c r="AR1372" s="673"/>
      <c r="AS1372" s="673"/>
    </row>
    <row r="1373">
      <c r="A1373" s="653"/>
      <c r="B1373" s="654"/>
      <c r="C1373" s="655"/>
      <c r="D1373" s="656"/>
      <c r="E1373" s="657"/>
      <c r="F1373" s="658"/>
      <c r="G1373" s="659"/>
      <c r="H1373" s="660"/>
      <c r="I1373" s="659"/>
      <c r="J1373" s="661"/>
      <c r="K1373" s="658"/>
      <c r="L1373" s="662"/>
      <c r="M1373" s="663"/>
      <c r="N1373" s="664"/>
      <c r="O1373" s="665"/>
      <c r="P1373" s="666"/>
      <c r="Q1373" s="667"/>
      <c r="R1373" s="668"/>
      <c r="S1373" s="665"/>
      <c r="T1373" s="669"/>
      <c r="U1373" s="669"/>
      <c r="V1373" s="665"/>
      <c r="W1373" s="670"/>
      <c r="X1373" s="670"/>
      <c r="Y1373" s="671"/>
      <c r="Z1373" s="671"/>
      <c r="AA1373" s="672"/>
      <c r="AB1373" s="673"/>
      <c r="AC1373" s="673"/>
      <c r="AD1373" s="673"/>
      <c r="AE1373" s="673"/>
      <c r="AF1373" s="673"/>
      <c r="AG1373" s="673"/>
      <c r="AH1373" s="673"/>
      <c r="AI1373" s="673"/>
      <c r="AJ1373" s="673"/>
      <c r="AK1373" s="673"/>
      <c r="AL1373" s="673"/>
      <c r="AM1373" s="673"/>
      <c r="AN1373" s="673"/>
      <c r="AO1373" s="673"/>
      <c r="AP1373" s="673"/>
      <c r="AQ1373" s="673"/>
      <c r="AR1373" s="673"/>
      <c r="AS1373" s="673"/>
    </row>
    <row r="1374">
      <c r="A1374" s="653"/>
      <c r="B1374" s="654"/>
      <c r="C1374" s="655"/>
      <c r="D1374" s="656"/>
      <c r="E1374" s="657"/>
      <c r="F1374" s="658"/>
      <c r="G1374" s="659"/>
      <c r="H1374" s="660"/>
      <c r="I1374" s="659"/>
      <c r="J1374" s="661"/>
      <c r="K1374" s="658"/>
      <c r="L1374" s="662"/>
      <c r="M1374" s="663"/>
      <c r="N1374" s="664"/>
      <c r="O1374" s="665"/>
      <c r="P1374" s="666"/>
      <c r="Q1374" s="667"/>
      <c r="R1374" s="668"/>
      <c r="S1374" s="665"/>
      <c r="T1374" s="669"/>
      <c r="U1374" s="669"/>
      <c r="V1374" s="665"/>
      <c r="W1374" s="670"/>
      <c r="X1374" s="670"/>
      <c r="Y1374" s="671"/>
      <c r="Z1374" s="671"/>
      <c r="AA1374" s="672"/>
      <c r="AB1374" s="673"/>
      <c r="AC1374" s="673"/>
      <c r="AD1374" s="673"/>
      <c r="AE1374" s="673"/>
      <c r="AF1374" s="673"/>
      <c r="AG1374" s="673"/>
      <c r="AH1374" s="673"/>
      <c r="AI1374" s="673"/>
      <c r="AJ1374" s="673"/>
      <c r="AK1374" s="673"/>
      <c r="AL1374" s="673"/>
      <c r="AM1374" s="673"/>
      <c r="AN1374" s="673"/>
      <c r="AO1374" s="673"/>
      <c r="AP1374" s="673"/>
      <c r="AQ1374" s="673"/>
      <c r="AR1374" s="673"/>
      <c r="AS1374" s="673"/>
    </row>
    <row r="1375">
      <c r="A1375" s="653"/>
      <c r="B1375" s="654"/>
      <c r="C1375" s="655"/>
      <c r="D1375" s="656"/>
      <c r="E1375" s="657"/>
      <c r="F1375" s="658"/>
      <c r="G1375" s="659"/>
      <c r="H1375" s="660"/>
      <c r="I1375" s="659"/>
      <c r="J1375" s="661"/>
      <c r="K1375" s="658"/>
      <c r="L1375" s="662"/>
      <c r="M1375" s="663"/>
      <c r="N1375" s="664"/>
      <c r="O1375" s="665"/>
      <c r="P1375" s="666"/>
      <c r="Q1375" s="667"/>
      <c r="R1375" s="668"/>
      <c r="S1375" s="665"/>
      <c r="T1375" s="669"/>
      <c r="U1375" s="669"/>
      <c r="V1375" s="665"/>
      <c r="W1375" s="670"/>
      <c r="X1375" s="670"/>
      <c r="Y1375" s="671"/>
      <c r="Z1375" s="671"/>
      <c r="AA1375" s="672"/>
      <c r="AB1375" s="673"/>
      <c r="AC1375" s="673"/>
      <c r="AD1375" s="673"/>
      <c r="AE1375" s="673"/>
      <c r="AF1375" s="673"/>
      <c r="AG1375" s="673"/>
      <c r="AH1375" s="673"/>
      <c r="AI1375" s="673"/>
      <c r="AJ1375" s="673"/>
      <c r="AK1375" s="673"/>
      <c r="AL1375" s="673"/>
      <c r="AM1375" s="673"/>
      <c r="AN1375" s="673"/>
      <c r="AO1375" s="673"/>
      <c r="AP1375" s="673"/>
      <c r="AQ1375" s="673"/>
      <c r="AR1375" s="673"/>
      <c r="AS1375" s="673"/>
    </row>
    <row r="1376">
      <c r="A1376" s="653"/>
      <c r="B1376" s="654"/>
      <c r="C1376" s="655"/>
      <c r="D1376" s="656"/>
      <c r="E1376" s="657"/>
      <c r="F1376" s="658"/>
      <c r="G1376" s="659"/>
      <c r="H1376" s="660"/>
      <c r="I1376" s="659"/>
      <c r="J1376" s="661"/>
      <c r="K1376" s="658"/>
      <c r="L1376" s="662"/>
      <c r="M1376" s="663"/>
      <c r="N1376" s="664"/>
      <c r="O1376" s="665"/>
      <c r="P1376" s="666"/>
      <c r="Q1376" s="667"/>
      <c r="R1376" s="668"/>
      <c r="S1376" s="665"/>
      <c r="T1376" s="669"/>
      <c r="U1376" s="669"/>
      <c r="V1376" s="665"/>
      <c r="W1376" s="670"/>
      <c r="X1376" s="670"/>
      <c r="Y1376" s="671"/>
      <c r="Z1376" s="671"/>
      <c r="AA1376" s="672"/>
      <c r="AB1376" s="673"/>
      <c r="AC1376" s="673"/>
      <c r="AD1376" s="673"/>
      <c r="AE1376" s="673"/>
      <c r="AF1376" s="673"/>
      <c r="AG1376" s="673"/>
      <c r="AH1376" s="673"/>
      <c r="AI1376" s="673"/>
      <c r="AJ1376" s="673"/>
      <c r="AK1376" s="673"/>
      <c r="AL1376" s="673"/>
      <c r="AM1376" s="673"/>
      <c r="AN1376" s="673"/>
      <c r="AO1376" s="673"/>
      <c r="AP1376" s="673"/>
      <c r="AQ1376" s="673"/>
      <c r="AR1376" s="673"/>
      <c r="AS1376" s="673"/>
    </row>
    <row r="1377">
      <c r="A1377" s="653"/>
      <c r="B1377" s="654"/>
      <c r="C1377" s="655"/>
      <c r="D1377" s="656"/>
      <c r="E1377" s="657"/>
      <c r="F1377" s="658"/>
      <c r="G1377" s="659"/>
      <c r="H1377" s="660"/>
      <c r="I1377" s="659"/>
      <c r="J1377" s="661"/>
      <c r="K1377" s="658"/>
      <c r="L1377" s="662"/>
      <c r="M1377" s="663"/>
      <c r="N1377" s="664"/>
      <c r="O1377" s="665"/>
      <c r="P1377" s="666"/>
      <c r="Q1377" s="667"/>
      <c r="R1377" s="668"/>
      <c r="S1377" s="665"/>
      <c r="T1377" s="669"/>
      <c r="U1377" s="669"/>
      <c r="V1377" s="665"/>
      <c r="W1377" s="670"/>
      <c r="X1377" s="670"/>
      <c r="Y1377" s="671"/>
      <c r="Z1377" s="671"/>
      <c r="AA1377" s="672"/>
      <c r="AB1377" s="673"/>
      <c r="AC1377" s="673"/>
      <c r="AD1377" s="673"/>
      <c r="AE1377" s="673"/>
      <c r="AF1377" s="673"/>
      <c r="AG1377" s="673"/>
      <c r="AH1377" s="673"/>
      <c r="AI1377" s="673"/>
      <c r="AJ1377" s="673"/>
      <c r="AK1377" s="673"/>
      <c r="AL1377" s="673"/>
      <c r="AM1377" s="673"/>
      <c r="AN1377" s="673"/>
      <c r="AO1377" s="673"/>
      <c r="AP1377" s="673"/>
      <c r="AQ1377" s="673"/>
      <c r="AR1377" s="673"/>
      <c r="AS1377" s="673"/>
    </row>
    <row r="1378">
      <c r="A1378" s="653"/>
      <c r="B1378" s="654"/>
      <c r="C1378" s="655"/>
      <c r="D1378" s="656"/>
      <c r="E1378" s="657"/>
      <c r="F1378" s="658"/>
      <c r="G1378" s="659"/>
      <c r="H1378" s="660"/>
      <c r="I1378" s="659"/>
      <c r="J1378" s="661"/>
      <c r="K1378" s="658"/>
      <c r="L1378" s="662"/>
      <c r="M1378" s="663"/>
      <c r="N1378" s="664"/>
      <c r="O1378" s="665"/>
      <c r="P1378" s="666"/>
      <c r="Q1378" s="667"/>
      <c r="R1378" s="668"/>
      <c r="S1378" s="665"/>
      <c r="T1378" s="669"/>
      <c r="U1378" s="669"/>
      <c r="V1378" s="665"/>
      <c r="W1378" s="670"/>
      <c r="X1378" s="670"/>
      <c r="Y1378" s="671"/>
      <c r="Z1378" s="671"/>
      <c r="AA1378" s="672"/>
      <c r="AB1378" s="673"/>
      <c r="AC1378" s="673"/>
      <c r="AD1378" s="673"/>
      <c r="AE1378" s="673"/>
      <c r="AF1378" s="673"/>
      <c r="AG1378" s="673"/>
      <c r="AH1378" s="673"/>
      <c r="AI1378" s="673"/>
      <c r="AJ1378" s="673"/>
      <c r="AK1378" s="673"/>
      <c r="AL1378" s="673"/>
      <c r="AM1378" s="673"/>
      <c r="AN1378" s="673"/>
      <c r="AO1378" s="673"/>
      <c r="AP1378" s="673"/>
      <c r="AQ1378" s="673"/>
      <c r="AR1378" s="673"/>
      <c r="AS1378" s="673"/>
    </row>
    <row r="1379">
      <c r="A1379" s="653"/>
      <c r="B1379" s="654"/>
      <c r="C1379" s="655"/>
      <c r="D1379" s="656"/>
      <c r="E1379" s="657"/>
      <c r="F1379" s="658"/>
      <c r="G1379" s="659"/>
      <c r="H1379" s="660"/>
      <c r="I1379" s="659"/>
      <c r="J1379" s="661"/>
      <c r="K1379" s="658"/>
      <c r="L1379" s="662"/>
      <c r="M1379" s="663"/>
      <c r="N1379" s="664"/>
      <c r="O1379" s="665"/>
      <c r="P1379" s="666"/>
      <c r="Q1379" s="667"/>
      <c r="R1379" s="668"/>
      <c r="S1379" s="665"/>
      <c r="T1379" s="669"/>
      <c r="U1379" s="669"/>
      <c r="V1379" s="665"/>
      <c r="W1379" s="670"/>
      <c r="X1379" s="670"/>
      <c r="Y1379" s="671"/>
      <c r="Z1379" s="671"/>
      <c r="AA1379" s="672"/>
      <c r="AB1379" s="673"/>
      <c r="AC1379" s="673"/>
      <c r="AD1379" s="673"/>
      <c r="AE1379" s="673"/>
      <c r="AF1379" s="673"/>
      <c r="AG1379" s="673"/>
      <c r="AH1379" s="673"/>
      <c r="AI1379" s="673"/>
      <c r="AJ1379" s="673"/>
      <c r="AK1379" s="673"/>
      <c r="AL1379" s="673"/>
      <c r="AM1379" s="673"/>
      <c r="AN1379" s="673"/>
      <c r="AO1379" s="673"/>
      <c r="AP1379" s="673"/>
      <c r="AQ1379" s="673"/>
      <c r="AR1379" s="673"/>
      <c r="AS1379" s="673"/>
    </row>
    <row r="1380">
      <c r="A1380" s="653"/>
      <c r="B1380" s="654"/>
      <c r="C1380" s="655"/>
      <c r="D1380" s="656"/>
      <c r="E1380" s="657"/>
      <c r="F1380" s="658"/>
      <c r="G1380" s="659"/>
      <c r="H1380" s="660"/>
      <c r="I1380" s="659"/>
      <c r="J1380" s="661"/>
      <c r="K1380" s="658"/>
      <c r="L1380" s="662"/>
      <c r="M1380" s="663"/>
      <c r="N1380" s="664"/>
      <c r="O1380" s="665"/>
      <c r="P1380" s="666"/>
      <c r="Q1380" s="667"/>
      <c r="R1380" s="668"/>
      <c r="S1380" s="665"/>
      <c r="T1380" s="669"/>
      <c r="U1380" s="669"/>
      <c r="V1380" s="665"/>
      <c r="W1380" s="670"/>
      <c r="X1380" s="670"/>
      <c r="Y1380" s="671"/>
      <c r="Z1380" s="671"/>
      <c r="AA1380" s="672"/>
      <c r="AB1380" s="673"/>
      <c r="AC1380" s="673"/>
      <c r="AD1380" s="673"/>
      <c r="AE1380" s="673"/>
      <c r="AF1380" s="673"/>
      <c r="AG1380" s="673"/>
      <c r="AH1380" s="673"/>
      <c r="AI1380" s="673"/>
      <c r="AJ1380" s="673"/>
      <c r="AK1380" s="673"/>
      <c r="AL1380" s="673"/>
      <c r="AM1380" s="673"/>
      <c r="AN1380" s="673"/>
      <c r="AO1380" s="673"/>
      <c r="AP1380" s="673"/>
      <c r="AQ1380" s="673"/>
      <c r="AR1380" s="673"/>
      <c r="AS1380" s="673"/>
    </row>
    <row r="1381">
      <c r="A1381" s="653"/>
      <c r="B1381" s="654"/>
      <c r="C1381" s="655"/>
      <c r="D1381" s="656"/>
      <c r="E1381" s="657"/>
      <c r="F1381" s="658"/>
      <c r="G1381" s="659"/>
      <c r="H1381" s="660"/>
      <c r="I1381" s="659"/>
      <c r="J1381" s="661"/>
      <c r="K1381" s="658"/>
      <c r="L1381" s="662"/>
      <c r="M1381" s="663"/>
      <c r="N1381" s="664"/>
      <c r="O1381" s="665"/>
      <c r="P1381" s="666"/>
      <c r="Q1381" s="667"/>
      <c r="R1381" s="668"/>
      <c r="S1381" s="665"/>
      <c r="T1381" s="669"/>
      <c r="U1381" s="669"/>
      <c r="V1381" s="665"/>
      <c r="W1381" s="670"/>
      <c r="X1381" s="670"/>
      <c r="Y1381" s="671"/>
      <c r="Z1381" s="671"/>
      <c r="AA1381" s="672"/>
      <c r="AB1381" s="673"/>
      <c r="AC1381" s="673"/>
      <c r="AD1381" s="673"/>
      <c r="AE1381" s="673"/>
      <c r="AF1381" s="673"/>
      <c r="AG1381" s="673"/>
      <c r="AH1381" s="673"/>
      <c r="AI1381" s="673"/>
      <c r="AJ1381" s="673"/>
      <c r="AK1381" s="673"/>
      <c r="AL1381" s="673"/>
      <c r="AM1381" s="673"/>
      <c r="AN1381" s="673"/>
      <c r="AO1381" s="673"/>
      <c r="AP1381" s="673"/>
      <c r="AQ1381" s="673"/>
      <c r="AR1381" s="673"/>
      <c r="AS1381" s="673"/>
    </row>
    <row r="1382">
      <c r="A1382" s="653"/>
      <c r="B1382" s="654"/>
      <c r="C1382" s="655"/>
      <c r="D1382" s="656"/>
      <c r="E1382" s="657"/>
      <c r="F1382" s="658"/>
      <c r="G1382" s="659"/>
      <c r="H1382" s="660"/>
      <c r="I1382" s="659"/>
      <c r="J1382" s="661"/>
      <c r="K1382" s="658"/>
      <c r="L1382" s="662"/>
      <c r="M1382" s="663"/>
      <c r="N1382" s="664"/>
      <c r="O1382" s="665"/>
      <c r="P1382" s="666"/>
      <c r="Q1382" s="667"/>
      <c r="R1382" s="668"/>
      <c r="S1382" s="665"/>
      <c r="T1382" s="669"/>
      <c r="U1382" s="669"/>
      <c r="V1382" s="665"/>
      <c r="W1382" s="670"/>
      <c r="X1382" s="670"/>
      <c r="Y1382" s="671"/>
      <c r="Z1382" s="671"/>
      <c r="AA1382" s="672"/>
      <c r="AB1382" s="673"/>
      <c r="AC1382" s="673"/>
      <c r="AD1382" s="673"/>
      <c r="AE1382" s="673"/>
      <c r="AF1382" s="673"/>
      <c r="AG1382" s="673"/>
      <c r="AH1382" s="673"/>
      <c r="AI1382" s="673"/>
      <c r="AJ1382" s="673"/>
      <c r="AK1382" s="673"/>
      <c r="AL1382" s="673"/>
      <c r="AM1382" s="673"/>
      <c r="AN1382" s="673"/>
      <c r="AO1382" s="673"/>
      <c r="AP1382" s="673"/>
      <c r="AQ1382" s="673"/>
      <c r="AR1382" s="673"/>
      <c r="AS1382" s="673"/>
    </row>
    <row r="1383">
      <c r="A1383" s="653"/>
      <c r="B1383" s="654"/>
      <c r="C1383" s="655"/>
      <c r="D1383" s="656"/>
      <c r="E1383" s="657"/>
      <c r="F1383" s="658"/>
      <c r="G1383" s="659"/>
      <c r="H1383" s="660"/>
      <c r="I1383" s="659"/>
      <c r="J1383" s="661"/>
      <c r="K1383" s="658"/>
      <c r="L1383" s="662"/>
      <c r="M1383" s="663"/>
      <c r="N1383" s="664"/>
      <c r="O1383" s="665"/>
      <c r="P1383" s="666"/>
      <c r="Q1383" s="667"/>
      <c r="R1383" s="668"/>
      <c r="S1383" s="665"/>
      <c r="T1383" s="669"/>
      <c r="U1383" s="669"/>
      <c r="V1383" s="665"/>
      <c r="W1383" s="670"/>
      <c r="X1383" s="670"/>
      <c r="Y1383" s="671"/>
      <c r="Z1383" s="671"/>
      <c r="AA1383" s="672"/>
      <c r="AB1383" s="673"/>
      <c r="AC1383" s="673"/>
      <c r="AD1383" s="673"/>
      <c r="AE1383" s="673"/>
      <c r="AF1383" s="673"/>
      <c r="AG1383" s="673"/>
      <c r="AH1383" s="673"/>
      <c r="AI1383" s="673"/>
      <c r="AJ1383" s="673"/>
      <c r="AK1383" s="673"/>
      <c r="AL1383" s="673"/>
      <c r="AM1383" s="673"/>
      <c r="AN1383" s="673"/>
      <c r="AO1383" s="673"/>
      <c r="AP1383" s="673"/>
      <c r="AQ1383" s="673"/>
      <c r="AR1383" s="673"/>
      <c r="AS1383" s="673"/>
    </row>
    <row r="1384">
      <c r="A1384" s="653"/>
      <c r="B1384" s="654"/>
      <c r="C1384" s="655"/>
      <c r="D1384" s="656"/>
      <c r="E1384" s="657"/>
      <c r="F1384" s="658"/>
      <c r="G1384" s="659"/>
      <c r="H1384" s="660"/>
      <c r="I1384" s="659"/>
      <c r="J1384" s="661"/>
      <c r="K1384" s="658"/>
      <c r="L1384" s="662"/>
      <c r="M1384" s="663"/>
      <c r="N1384" s="664"/>
      <c r="O1384" s="665"/>
      <c r="P1384" s="666"/>
      <c r="Q1384" s="667"/>
      <c r="R1384" s="668"/>
      <c r="S1384" s="665"/>
      <c r="T1384" s="669"/>
      <c r="U1384" s="669"/>
      <c r="V1384" s="665"/>
      <c r="W1384" s="670"/>
      <c r="X1384" s="670"/>
      <c r="Y1384" s="671"/>
      <c r="Z1384" s="671"/>
      <c r="AA1384" s="672"/>
      <c r="AB1384" s="673"/>
      <c r="AC1384" s="673"/>
      <c r="AD1384" s="673"/>
      <c r="AE1384" s="673"/>
      <c r="AF1384" s="673"/>
      <c r="AG1384" s="673"/>
      <c r="AH1384" s="673"/>
      <c r="AI1384" s="673"/>
      <c r="AJ1384" s="673"/>
      <c r="AK1384" s="673"/>
      <c r="AL1384" s="673"/>
      <c r="AM1384" s="673"/>
      <c r="AN1384" s="673"/>
      <c r="AO1384" s="673"/>
      <c r="AP1384" s="673"/>
      <c r="AQ1384" s="673"/>
      <c r="AR1384" s="673"/>
      <c r="AS1384" s="673"/>
    </row>
    <row r="1385">
      <c r="A1385" s="653"/>
      <c r="B1385" s="654"/>
      <c r="C1385" s="655"/>
      <c r="D1385" s="656"/>
      <c r="E1385" s="657"/>
      <c r="F1385" s="658"/>
      <c r="G1385" s="659"/>
      <c r="H1385" s="660"/>
      <c r="I1385" s="659"/>
      <c r="J1385" s="661"/>
      <c r="K1385" s="658"/>
      <c r="L1385" s="662"/>
      <c r="M1385" s="663"/>
      <c r="N1385" s="664"/>
      <c r="O1385" s="665"/>
      <c r="P1385" s="666"/>
      <c r="Q1385" s="667"/>
      <c r="R1385" s="668"/>
      <c r="S1385" s="665"/>
      <c r="T1385" s="669"/>
      <c r="U1385" s="669"/>
      <c r="V1385" s="665"/>
      <c r="W1385" s="670"/>
      <c r="X1385" s="670"/>
      <c r="Y1385" s="671"/>
      <c r="Z1385" s="671"/>
      <c r="AA1385" s="672"/>
      <c r="AB1385" s="673"/>
      <c r="AC1385" s="673"/>
      <c r="AD1385" s="673"/>
      <c r="AE1385" s="673"/>
      <c r="AF1385" s="673"/>
      <c r="AG1385" s="673"/>
      <c r="AH1385" s="673"/>
      <c r="AI1385" s="673"/>
      <c r="AJ1385" s="673"/>
      <c r="AK1385" s="673"/>
      <c r="AL1385" s="673"/>
      <c r="AM1385" s="673"/>
      <c r="AN1385" s="673"/>
      <c r="AO1385" s="673"/>
      <c r="AP1385" s="673"/>
      <c r="AQ1385" s="673"/>
      <c r="AR1385" s="673"/>
      <c r="AS1385" s="673"/>
    </row>
    <row r="1386">
      <c r="A1386" s="653"/>
      <c r="B1386" s="654"/>
      <c r="C1386" s="655"/>
      <c r="D1386" s="656"/>
      <c r="E1386" s="657"/>
      <c r="F1386" s="658"/>
      <c r="G1386" s="659"/>
      <c r="H1386" s="660"/>
      <c r="I1386" s="659"/>
      <c r="J1386" s="661"/>
      <c r="K1386" s="658"/>
      <c r="L1386" s="662"/>
      <c r="M1386" s="663"/>
      <c r="N1386" s="664"/>
      <c r="O1386" s="665"/>
      <c r="P1386" s="666"/>
      <c r="Q1386" s="667"/>
      <c r="R1386" s="668"/>
      <c r="S1386" s="665"/>
      <c r="T1386" s="669"/>
      <c r="U1386" s="669"/>
      <c r="V1386" s="665"/>
      <c r="W1386" s="670"/>
      <c r="X1386" s="670"/>
      <c r="Y1386" s="671"/>
      <c r="Z1386" s="671"/>
      <c r="AA1386" s="672"/>
      <c r="AB1386" s="673"/>
      <c r="AC1386" s="673"/>
      <c r="AD1386" s="673"/>
      <c r="AE1386" s="673"/>
      <c r="AF1386" s="673"/>
      <c r="AG1386" s="673"/>
      <c r="AH1386" s="673"/>
      <c r="AI1386" s="673"/>
      <c r="AJ1386" s="673"/>
      <c r="AK1386" s="673"/>
      <c r="AL1386" s="673"/>
      <c r="AM1386" s="673"/>
      <c r="AN1386" s="673"/>
      <c r="AO1386" s="673"/>
      <c r="AP1386" s="673"/>
      <c r="AQ1386" s="673"/>
      <c r="AR1386" s="673"/>
      <c r="AS1386" s="673"/>
    </row>
    <row r="1387">
      <c r="A1387" s="653"/>
      <c r="B1387" s="654"/>
      <c r="C1387" s="655"/>
      <c r="D1387" s="656"/>
      <c r="E1387" s="657"/>
      <c r="F1387" s="658"/>
      <c r="G1387" s="659"/>
      <c r="H1387" s="660"/>
      <c r="I1387" s="659"/>
      <c r="J1387" s="661"/>
      <c r="K1387" s="658"/>
      <c r="L1387" s="662"/>
      <c r="M1387" s="663"/>
      <c r="N1387" s="664"/>
      <c r="O1387" s="665"/>
      <c r="P1387" s="666"/>
      <c r="Q1387" s="667"/>
      <c r="R1387" s="668"/>
      <c r="S1387" s="665"/>
      <c r="T1387" s="669"/>
      <c r="U1387" s="669"/>
      <c r="V1387" s="665"/>
      <c r="W1387" s="670"/>
      <c r="X1387" s="670"/>
      <c r="Y1387" s="671"/>
      <c r="Z1387" s="671"/>
      <c r="AA1387" s="672"/>
      <c r="AB1387" s="673"/>
      <c r="AC1387" s="673"/>
      <c r="AD1387" s="673"/>
      <c r="AE1387" s="673"/>
      <c r="AF1387" s="673"/>
      <c r="AG1387" s="673"/>
      <c r="AH1387" s="673"/>
      <c r="AI1387" s="673"/>
      <c r="AJ1387" s="673"/>
      <c r="AK1387" s="673"/>
      <c r="AL1387" s="673"/>
      <c r="AM1387" s="673"/>
      <c r="AN1387" s="673"/>
      <c r="AO1387" s="673"/>
      <c r="AP1387" s="673"/>
      <c r="AQ1387" s="673"/>
      <c r="AR1387" s="673"/>
      <c r="AS1387" s="673"/>
    </row>
    <row r="1388">
      <c r="A1388" s="653"/>
      <c r="B1388" s="654"/>
      <c r="C1388" s="655"/>
      <c r="D1388" s="656"/>
      <c r="E1388" s="657"/>
      <c r="F1388" s="658"/>
      <c r="G1388" s="659"/>
      <c r="H1388" s="660"/>
      <c r="I1388" s="659"/>
      <c r="J1388" s="661"/>
      <c r="K1388" s="658"/>
      <c r="L1388" s="662"/>
      <c r="M1388" s="663"/>
      <c r="N1388" s="664"/>
      <c r="O1388" s="665"/>
      <c r="P1388" s="666"/>
      <c r="Q1388" s="667"/>
      <c r="R1388" s="668"/>
      <c r="S1388" s="665"/>
      <c r="T1388" s="669"/>
      <c r="U1388" s="669"/>
      <c r="V1388" s="665"/>
      <c r="W1388" s="670"/>
      <c r="X1388" s="670"/>
      <c r="Y1388" s="671"/>
      <c r="Z1388" s="671"/>
      <c r="AA1388" s="672"/>
      <c r="AB1388" s="673"/>
      <c r="AC1388" s="673"/>
      <c r="AD1388" s="673"/>
      <c r="AE1388" s="673"/>
      <c r="AF1388" s="673"/>
      <c r="AG1388" s="673"/>
      <c r="AH1388" s="673"/>
      <c r="AI1388" s="673"/>
      <c r="AJ1388" s="673"/>
      <c r="AK1388" s="673"/>
      <c r="AL1388" s="673"/>
      <c r="AM1388" s="673"/>
      <c r="AN1388" s="673"/>
      <c r="AO1388" s="673"/>
      <c r="AP1388" s="673"/>
      <c r="AQ1388" s="673"/>
      <c r="AR1388" s="673"/>
      <c r="AS1388" s="673"/>
    </row>
    <row r="1389">
      <c r="A1389" s="653"/>
      <c r="B1389" s="654"/>
      <c r="C1389" s="655"/>
      <c r="D1389" s="656"/>
      <c r="E1389" s="657"/>
      <c r="F1389" s="658"/>
      <c r="G1389" s="659"/>
      <c r="H1389" s="660"/>
      <c r="I1389" s="659"/>
      <c r="J1389" s="661"/>
      <c r="K1389" s="658"/>
      <c r="L1389" s="662"/>
      <c r="M1389" s="663"/>
      <c r="N1389" s="664"/>
      <c r="O1389" s="665"/>
      <c r="P1389" s="666"/>
      <c r="Q1389" s="667"/>
      <c r="R1389" s="668"/>
      <c r="S1389" s="665"/>
      <c r="T1389" s="669"/>
      <c r="U1389" s="669"/>
      <c r="V1389" s="665"/>
      <c r="W1389" s="670"/>
      <c r="X1389" s="670"/>
      <c r="Y1389" s="671"/>
      <c r="Z1389" s="671"/>
      <c r="AA1389" s="672"/>
      <c r="AB1389" s="673"/>
      <c r="AC1389" s="673"/>
      <c r="AD1389" s="673"/>
      <c r="AE1389" s="673"/>
      <c r="AF1389" s="673"/>
      <c r="AG1389" s="673"/>
      <c r="AH1389" s="673"/>
      <c r="AI1389" s="673"/>
      <c r="AJ1389" s="673"/>
      <c r="AK1389" s="673"/>
      <c r="AL1389" s="673"/>
      <c r="AM1389" s="673"/>
      <c r="AN1389" s="673"/>
      <c r="AO1389" s="673"/>
      <c r="AP1389" s="673"/>
      <c r="AQ1389" s="673"/>
      <c r="AR1389" s="673"/>
      <c r="AS1389" s="673"/>
    </row>
    <row r="1390">
      <c r="A1390" s="653"/>
      <c r="B1390" s="654"/>
      <c r="C1390" s="655"/>
      <c r="D1390" s="656"/>
      <c r="E1390" s="657"/>
      <c r="F1390" s="658"/>
      <c r="G1390" s="659"/>
      <c r="H1390" s="660"/>
      <c r="I1390" s="659"/>
      <c r="J1390" s="661"/>
      <c r="K1390" s="658"/>
      <c r="L1390" s="662"/>
      <c r="M1390" s="663"/>
      <c r="N1390" s="664"/>
      <c r="O1390" s="665"/>
      <c r="P1390" s="666"/>
      <c r="Q1390" s="667"/>
      <c r="R1390" s="668"/>
      <c r="S1390" s="665"/>
      <c r="T1390" s="669"/>
      <c r="U1390" s="669"/>
      <c r="V1390" s="665"/>
      <c r="W1390" s="670"/>
      <c r="X1390" s="670"/>
      <c r="Y1390" s="671"/>
      <c r="Z1390" s="671"/>
      <c r="AA1390" s="672"/>
      <c r="AB1390" s="673"/>
      <c r="AC1390" s="673"/>
      <c r="AD1390" s="673"/>
      <c r="AE1390" s="673"/>
      <c r="AF1390" s="673"/>
      <c r="AG1390" s="673"/>
      <c r="AH1390" s="673"/>
      <c r="AI1390" s="673"/>
      <c r="AJ1390" s="673"/>
      <c r="AK1390" s="673"/>
      <c r="AL1390" s="673"/>
      <c r="AM1390" s="673"/>
      <c r="AN1390" s="673"/>
      <c r="AO1390" s="673"/>
      <c r="AP1390" s="673"/>
      <c r="AQ1390" s="673"/>
      <c r="AR1390" s="673"/>
      <c r="AS1390" s="673"/>
    </row>
    <row r="1391">
      <c r="A1391" s="653"/>
      <c r="B1391" s="654"/>
      <c r="C1391" s="655"/>
      <c r="D1391" s="656"/>
      <c r="E1391" s="657"/>
      <c r="F1391" s="658"/>
      <c r="G1391" s="659"/>
      <c r="H1391" s="660"/>
      <c r="I1391" s="659"/>
      <c r="J1391" s="661"/>
      <c r="K1391" s="658"/>
      <c r="L1391" s="662"/>
      <c r="M1391" s="663"/>
      <c r="N1391" s="664"/>
      <c r="O1391" s="665"/>
      <c r="P1391" s="666"/>
      <c r="Q1391" s="667"/>
      <c r="R1391" s="668"/>
      <c r="S1391" s="665"/>
      <c r="T1391" s="669"/>
      <c r="U1391" s="669"/>
      <c r="V1391" s="665"/>
      <c r="W1391" s="670"/>
      <c r="X1391" s="670"/>
      <c r="Y1391" s="671"/>
      <c r="Z1391" s="671"/>
      <c r="AA1391" s="672"/>
      <c r="AB1391" s="673"/>
      <c r="AC1391" s="673"/>
      <c r="AD1391" s="673"/>
      <c r="AE1391" s="673"/>
      <c r="AF1391" s="673"/>
      <c r="AG1391" s="673"/>
      <c r="AH1391" s="673"/>
      <c r="AI1391" s="673"/>
      <c r="AJ1391" s="673"/>
      <c r="AK1391" s="673"/>
      <c r="AL1391" s="673"/>
      <c r="AM1391" s="673"/>
      <c r="AN1391" s="673"/>
      <c r="AO1391" s="673"/>
      <c r="AP1391" s="673"/>
      <c r="AQ1391" s="673"/>
      <c r="AR1391" s="673"/>
      <c r="AS1391" s="673"/>
    </row>
    <row r="1392">
      <c r="A1392" s="653"/>
      <c r="B1392" s="654"/>
      <c r="C1392" s="655"/>
      <c r="D1392" s="656"/>
      <c r="E1392" s="657"/>
      <c r="F1392" s="658"/>
      <c r="G1392" s="659"/>
      <c r="H1392" s="660"/>
      <c r="I1392" s="659"/>
      <c r="J1392" s="661"/>
      <c r="K1392" s="658"/>
      <c r="L1392" s="662"/>
      <c r="M1392" s="663"/>
      <c r="N1392" s="664"/>
      <c r="O1392" s="665"/>
      <c r="P1392" s="666"/>
      <c r="Q1392" s="667"/>
      <c r="R1392" s="668"/>
      <c r="S1392" s="665"/>
      <c r="T1392" s="669"/>
      <c r="U1392" s="669"/>
      <c r="V1392" s="665"/>
      <c r="W1392" s="670"/>
      <c r="X1392" s="670"/>
      <c r="Y1392" s="671"/>
      <c r="Z1392" s="671"/>
      <c r="AA1392" s="672"/>
      <c r="AB1392" s="673"/>
      <c r="AC1392" s="673"/>
      <c r="AD1392" s="673"/>
      <c r="AE1392" s="673"/>
      <c r="AF1392" s="673"/>
      <c r="AG1392" s="673"/>
      <c r="AH1392" s="673"/>
      <c r="AI1392" s="673"/>
      <c r="AJ1392" s="673"/>
      <c r="AK1392" s="673"/>
      <c r="AL1392" s="673"/>
      <c r="AM1392" s="673"/>
      <c r="AN1392" s="673"/>
      <c r="AO1392" s="673"/>
      <c r="AP1392" s="673"/>
      <c r="AQ1392" s="673"/>
      <c r="AR1392" s="673"/>
      <c r="AS1392" s="673"/>
    </row>
    <row r="1393">
      <c r="A1393" s="653"/>
      <c r="B1393" s="654"/>
      <c r="C1393" s="655"/>
      <c r="D1393" s="656"/>
      <c r="E1393" s="657"/>
      <c r="F1393" s="658"/>
      <c r="G1393" s="659"/>
      <c r="H1393" s="660"/>
      <c r="I1393" s="659"/>
      <c r="J1393" s="661"/>
      <c r="K1393" s="658"/>
      <c r="L1393" s="662"/>
      <c r="M1393" s="663"/>
      <c r="N1393" s="664"/>
      <c r="O1393" s="665"/>
      <c r="P1393" s="666"/>
      <c r="Q1393" s="667"/>
      <c r="R1393" s="668"/>
      <c r="S1393" s="665"/>
      <c r="T1393" s="669"/>
      <c r="U1393" s="669"/>
      <c r="V1393" s="665"/>
      <c r="W1393" s="670"/>
      <c r="X1393" s="670"/>
      <c r="Y1393" s="671"/>
      <c r="Z1393" s="671"/>
      <c r="AA1393" s="672"/>
      <c r="AB1393" s="673"/>
      <c r="AC1393" s="673"/>
      <c r="AD1393" s="673"/>
      <c r="AE1393" s="673"/>
      <c r="AF1393" s="673"/>
      <c r="AG1393" s="673"/>
      <c r="AH1393" s="673"/>
      <c r="AI1393" s="673"/>
      <c r="AJ1393" s="673"/>
      <c r="AK1393" s="673"/>
      <c r="AL1393" s="673"/>
      <c r="AM1393" s="673"/>
      <c r="AN1393" s="673"/>
      <c r="AO1393" s="673"/>
      <c r="AP1393" s="673"/>
      <c r="AQ1393" s="673"/>
      <c r="AR1393" s="673"/>
      <c r="AS1393" s="673"/>
    </row>
    <row r="1394">
      <c r="A1394" s="653"/>
      <c r="B1394" s="654"/>
      <c r="C1394" s="655"/>
      <c r="D1394" s="656"/>
      <c r="E1394" s="657"/>
      <c r="F1394" s="658"/>
      <c r="G1394" s="659"/>
      <c r="H1394" s="660"/>
      <c r="I1394" s="659"/>
      <c r="J1394" s="661"/>
      <c r="K1394" s="658"/>
      <c r="L1394" s="662"/>
      <c r="M1394" s="663"/>
      <c r="N1394" s="664"/>
      <c r="O1394" s="665"/>
      <c r="P1394" s="666"/>
      <c r="Q1394" s="667"/>
      <c r="R1394" s="668"/>
      <c r="S1394" s="665"/>
      <c r="T1394" s="669"/>
      <c r="U1394" s="669"/>
      <c r="V1394" s="665"/>
      <c r="W1394" s="670"/>
      <c r="X1394" s="670"/>
      <c r="Y1394" s="671"/>
      <c r="Z1394" s="671"/>
      <c r="AA1394" s="672"/>
      <c r="AB1394" s="673"/>
      <c r="AC1394" s="673"/>
      <c r="AD1394" s="673"/>
      <c r="AE1394" s="673"/>
      <c r="AF1394" s="673"/>
      <c r="AG1394" s="673"/>
      <c r="AH1394" s="673"/>
      <c r="AI1394" s="673"/>
      <c r="AJ1394" s="673"/>
      <c r="AK1394" s="673"/>
      <c r="AL1394" s="673"/>
      <c r="AM1394" s="673"/>
      <c r="AN1394" s="673"/>
      <c r="AO1394" s="673"/>
      <c r="AP1394" s="673"/>
      <c r="AQ1394" s="673"/>
      <c r="AR1394" s="673"/>
      <c r="AS1394" s="673"/>
    </row>
    <row r="1395">
      <c r="A1395" s="653"/>
      <c r="B1395" s="654"/>
      <c r="C1395" s="655"/>
      <c r="D1395" s="656"/>
      <c r="E1395" s="657"/>
      <c r="F1395" s="658"/>
      <c r="G1395" s="659"/>
      <c r="H1395" s="660"/>
      <c r="I1395" s="659"/>
      <c r="J1395" s="661"/>
      <c r="K1395" s="658"/>
      <c r="L1395" s="662"/>
      <c r="M1395" s="663"/>
      <c r="N1395" s="664"/>
      <c r="O1395" s="665"/>
      <c r="P1395" s="666"/>
      <c r="Q1395" s="667"/>
      <c r="R1395" s="668"/>
      <c r="S1395" s="665"/>
      <c r="T1395" s="669"/>
      <c r="U1395" s="669"/>
      <c r="V1395" s="665"/>
      <c r="W1395" s="670"/>
      <c r="X1395" s="670"/>
      <c r="Y1395" s="671"/>
      <c r="Z1395" s="671"/>
      <c r="AA1395" s="672"/>
      <c r="AB1395" s="673"/>
      <c r="AC1395" s="673"/>
      <c r="AD1395" s="673"/>
      <c r="AE1395" s="673"/>
      <c r="AF1395" s="673"/>
      <c r="AG1395" s="673"/>
      <c r="AH1395" s="673"/>
      <c r="AI1395" s="673"/>
      <c r="AJ1395" s="673"/>
      <c r="AK1395" s="673"/>
      <c r="AL1395" s="673"/>
      <c r="AM1395" s="673"/>
      <c r="AN1395" s="673"/>
      <c r="AO1395" s="673"/>
      <c r="AP1395" s="673"/>
      <c r="AQ1395" s="673"/>
      <c r="AR1395" s="673"/>
      <c r="AS1395" s="673"/>
    </row>
    <row r="1396">
      <c r="A1396" s="653"/>
      <c r="B1396" s="654"/>
      <c r="C1396" s="655"/>
      <c r="D1396" s="656"/>
      <c r="E1396" s="657"/>
      <c r="F1396" s="658"/>
      <c r="G1396" s="659"/>
      <c r="H1396" s="660"/>
      <c r="I1396" s="659"/>
      <c r="J1396" s="661"/>
      <c r="K1396" s="658"/>
      <c r="L1396" s="662"/>
      <c r="M1396" s="663"/>
      <c r="N1396" s="664"/>
      <c r="O1396" s="665"/>
      <c r="P1396" s="666"/>
      <c r="Q1396" s="667"/>
      <c r="R1396" s="668"/>
      <c r="S1396" s="665"/>
      <c r="T1396" s="669"/>
      <c r="U1396" s="669"/>
      <c r="V1396" s="665"/>
      <c r="W1396" s="670"/>
      <c r="X1396" s="670"/>
      <c r="Y1396" s="671"/>
      <c r="Z1396" s="671"/>
      <c r="AA1396" s="672"/>
      <c r="AB1396" s="673"/>
      <c r="AC1396" s="673"/>
      <c r="AD1396" s="673"/>
      <c r="AE1396" s="673"/>
      <c r="AF1396" s="673"/>
      <c r="AG1396" s="673"/>
      <c r="AH1396" s="673"/>
      <c r="AI1396" s="673"/>
      <c r="AJ1396" s="673"/>
      <c r="AK1396" s="673"/>
      <c r="AL1396" s="673"/>
      <c r="AM1396" s="673"/>
      <c r="AN1396" s="673"/>
      <c r="AO1396" s="673"/>
      <c r="AP1396" s="673"/>
      <c r="AQ1396" s="673"/>
      <c r="AR1396" s="673"/>
      <c r="AS1396" s="673"/>
    </row>
    <row r="1397">
      <c r="A1397" s="653"/>
      <c r="B1397" s="654"/>
      <c r="C1397" s="655"/>
      <c r="D1397" s="656"/>
      <c r="E1397" s="657"/>
      <c r="F1397" s="658"/>
      <c r="G1397" s="659"/>
      <c r="H1397" s="660"/>
      <c r="I1397" s="659"/>
      <c r="J1397" s="661"/>
      <c r="K1397" s="658"/>
      <c r="L1397" s="662"/>
      <c r="M1397" s="663"/>
      <c r="N1397" s="664"/>
      <c r="O1397" s="665"/>
      <c r="P1397" s="666"/>
      <c r="Q1397" s="667"/>
      <c r="R1397" s="668"/>
      <c r="S1397" s="665"/>
      <c r="T1397" s="669"/>
      <c r="U1397" s="669"/>
      <c r="V1397" s="665"/>
      <c r="W1397" s="670"/>
      <c r="X1397" s="670"/>
      <c r="Y1397" s="671"/>
      <c r="Z1397" s="671"/>
      <c r="AA1397" s="672"/>
      <c r="AB1397" s="673"/>
      <c r="AC1397" s="673"/>
      <c r="AD1397" s="673"/>
      <c r="AE1397" s="673"/>
      <c r="AF1397" s="673"/>
      <c r="AG1397" s="673"/>
      <c r="AH1397" s="673"/>
      <c r="AI1397" s="673"/>
      <c r="AJ1397" s="673"/>
      <c r="AK1397" s="673"/>
      <c r="AL1397" s="673"/>
      <c r="AM1397" s="673"/>
      <c r="AN1397" s="673"/>
      <c r="AO1397" s="673"/>
      <c r="AP1397" s="673"/>
      <c r="AQ1397" s="673"/>
      <c r="AR1397" s="673"/>
      <c r="AS1397" s="673"/>
    </row>
    <row r="1398">
      <c r="A1398" s="653"/>
      <c r="B1398" s="654"/>
      <c r="C1398" s="655"/>
      <c r="D1398" s="656"/>
      <c r="E1398" s="657"/>
      <c r="F1398" s="658"/>
      <c r="G1398" s="659"/>
      <c r="H1398" s="660"/>
      <c r="I1398" s="659"/>
      <c r="J1398" s="661"/>
      <c r="K1398" s="658"/>
      <c r="L1398" s="662"/>
      <c r="M1398" s="663"/>
      <c r="N1398" s="664"/>
      <c r="O1398" s="665"/>
      <c r="P1398" s="666"/>
      <c r="Q1398" s="667"/>
      <c r="R1398" s="668"/>
      <c r="S1398" s="665"/>
      <c r="T1398" s="669"/>
      <c r="U1398" s="669"/>
      <c r="V1398" s="665"/>
      <c r="W1398" s="670"/>
      <c r="X1398" s="670"/>
      <c r="Y1398" s="671"/>
      <c r="Z1398" s="671"/>
      <c r="AA1398" s="672"/>
      <c r="AB1398" s="673"/>
      <c r="AC1398" s="673"/>
      <c r="AD1398" s="673"/>
      <c r="AE1398" s="673"/>
      <c r="AF1398" s="673"/>
      <c r="AG1398" s="673"/>
      <c r="AH1398" s="673"/>
      <c r="AI1398" s="673"/>
      <c r="AJ1398" s="673"/>
      <c r="AK1398" s="673"/>
      <c r="AL1398" s="673"/>
      <c r="AM1398" s="673"/>
      <c r="AN1398" s="673"/>
      <c r="AO1398" s="673"/>
      <c r="AP1398" s="673"/>
      <c r="AQ1398" s="673"/>
      <c r="AR1398" s="673"/>
      <c r="AS1398" s="673"/>
    </row>
    <row r="1399">
      <c r="A1399" s="653"/>
      <c r="B1399" s="654"/>
      <c r="C1399" s="655"/>
      <c r="D1399" s="656"/>
      <c r="E1399" s="657"/>
      <c r="F1399" s="658"/>
      <c r="G1399" s="659"/>
      <c r="H1399" s="660"/>
      <c r="I1399" s="659"/>
      <c r="J1399" s="661"/>
      <c r="K1399" s="658"/>
      <c r="L1399" s="662"/>
      <c r="M1399" s="663"/>
      <c r="N1399" s="664"/>
      <c r="O1399" s="665"/>
      <c r="P1399" s="666"/>
      <c r="Q1399" s="667"/>
      <c r="R1399" s="668"/>
      <c r="S1399" s="665"/>
      <c r="T1399" s="669"/>
      <c r="U1399" s="669"/>
      <c r="V1399" s="665"/>
      <c r="W1399" s="670"/>
      <c r="X1399" s="670"/>
      <c r="Y1399" s="671"/>
      <c r="Z1399" s="671"/>
      <c r="AA1399" s="672"/>
      <c r="AB1399" s="673"/>
      <c r="AC1399" s="673"/>
      <c r="AD1399" s="673"/>
      <c r="AE1399" s="673"/>
      <c r="AF1399" s="673"/>
      <c r="AG1399" s="673"/>
      <c r="AH1399" s="673"/>
      <c r="AI1399" s="673"/>
      <c r="AJ1399" s="673"/>
      <c r="AK1399" s="673"/>
      <c r="AL1399" s="673"/>
      <c r="AM1399" s="673"/>
      <c r="AN1399" s="673"/>
      <c r="AO1399" s="673"/>
      <c r="AP1399" s="673"/>
      <c r="AQ1399" s="673"/>
      <c r="AR1399" s="673"/>
      <c r="AS1399" s="673"/>
    </row>
    <row r="1400">
      <c r="A1400" s="653"/>
      <c r="B1400" s="654"/>
      <c r="C1400" s="655"/>
      <c r="D1400" s="656"/>
      <c r="E1400" s="657"/>
      <c r="F1400" s="658"/>
      <c r="G1400" s="659"/>
      <c r="H1400" s="660"/>
      <c r="I1400" s="659"/>
      <c r="J1400" s="661"/>
      <c r="K1400" s="658"/>
      <c r="L1400" s="662"/>
      <c r="M1400" s="663"/>
      <c r="N1400" s="664"/>
      <c r="O1400" s="665"/>
      <c r="P1400" s="666"/>
      <c r="Q1400" s="667"/>
      <c r="R1400" s="668"/>
      <c r="S1400" s="665"/>
      <c r="T1400" s="669"/>
      <c r="U1400" s="669"/>
      <c r="V1400" s="665"/>
      <c r="W1400" s="670"/>
      <c r="X1400" s="670"/>
      <c r="Y1400" s="671"/>
      <c r="Z1400" s="671"/>
      <c r="AA1400" s="672"/>
      <c r="AB1400" s="673"/>
      <c r="AC1400" s="673"/>
      <c r="AD1400" s="673"/>
      <c r="AE1400" s="673"/>
      <c r="AF1400" s="673"/>
      <c r="AG1400" s="673"/>
      <c r="AH1400" s="673"/>
      <c r="AI1400" s="673"/>
      <c r="AJ1400" s="673"/>
      <c r="AK1400" s="673"/>
      <c r="AL1400" s="673"/>
      <c r="AM1400" s="673"/>
      <c r="AN1400" s="673"/>
      <c r="AO1400" s="673"/>
      <c r="AP1400" s="673"/>
      <c r="AQ1400" s="673"/>
      <c r="AR1400" s="673"/>
      <c r="AS1400" s="673"/>
    </row>
    <row r="1401">
      <c r="A1401" s="653"/>
      <c r="B1401" s="654"/>
      <c r="C1401" s="655"/>
      <c r="D1401" s="656"/>
      <c r="E1401" s="657"/>
      <c r="F1401" s="658"/>
      <c r="G1401" s="659"/>
      <c r="H1401" s="660"/>
      <c r="I1401" s="659"/>
      <c r="J1401" s="661"/>
      <c r="K1401" s="658"/>
      <c r="L1401" s="662"/>
      <c r="M1401" s="663"/>
      <c r="N1401" s="664"/>
      <c r="O1401" s="665"/>
      <c r="P1401" s="666"/>
      <c r="Q1401" s="667"/>
      <c r="R1401" s="668"/>
      <c r="S1401" s="665"/>
      <c r="T1401" s="669"/>
      <c r="U1401" s="669"/>
      <c r="V1401" s="665"/>
      <c r="W1401" s="670"/>
      <c r="X1401" s="670"/>
      <c r="Y1401" s="671"/>
      <c r="Z1401" s="671"/>
      <c r="AA1401" s="672"/>
      <c r="AB1401" s="673"/>
      <c r="AC1401" s="673"/>
      <c r="AD1401" s="673"/>
      <c r="AE1401" s="673"/>
      <c r="AF1401" s="673"/>
      <c r="AG1401" s="673"/>
      <c r="AH1401" s="673"/>
      <c r="AI1401" s="673"/>
      <c r="AJ1401" s="673"/>
      <c r="AK1401" s="673"/>
      <c r="AL1401" s="673"/>
      <c r="AM1401" s="673"/>
      <c r="AN1401" s="673"/>
      <c r="AO1401" s="673"/>
      <c r="AP1401" s="673"/>
      <c r="AQ1401" s="673"/>
      <c r="AR1401" s="673"/>
      <c r="AS1401" s="673"/>
    </row>
    <row r="1402">
      <c r="A1402" s="653"/>
      <c r="B1402" s="654"/>
      <c r="C1402" s="655"/>
      <c r="D1402" s="656"/>
      <c r="E1402" s="657"/>
      <c r="F1402" s="658"/>
      <c r="G1402" s="659"/>
      <c r="H1402" s="660"/>
      <c r="I1402" s="659"/>
      <c r="J1402" s="661"/>
      <c r="K1402" s="658"/>
      <c r="L1402" s="662"/>
      <c r="M1402" s="663"/>
      <c r="N1402" s="664"/>
      <c r="O1402" s="665"/>
      <c r="P1402" s="666"/>
      <c r="Q1402" s="667"/>
      <c r="R1402" s="668"/>
      <c r="S1402" s="665"/>
      <c r="T1402" s="669"/>
      <c r="U1402" s="669"/>
      <c r="V1402" s="665"/>
      <c r="W1402" s="670"/>
      <c r="X1402" s="670"/>
      <c r="Y1402" s="671"/>
      <c r="Z1402" s="671"/>
      <c r="AA1402" s="672"/>
      <c r="AB1402" s="673"/>
      <c r="AC1402" s="673"/>
      <c r="AD1402" s="673"/>
      <c r="AE1402" s="673"/>
      <c r="AF1402" s="673"/>
      <c r="AG1402" s="673"/>
      <c r="AH1402" s="673"/>
      <c r="AI1402" s="673"/>
      <c r="AJ1402" s="673"/>
      <c r="AK1402" s="673"/>
      <c r="AL1402" s="673"/>
      <c r="AM1402" s="673"/>
      <c r="AN1402" s="673"/>
      <c r="AO1402" s="673"/>
      <c r="AP1402" s="673"/>
      <c r="AQ1402" s="673"/>
      <c r="AR1402" s="673"/>
      <c r="AS1402" s="673"/>
    </row>
    <row r="1403">
      <c r="A1403" s="653"/>
      <c r="B1403" s="654"/>
      <c r="C1403" s="655"/>
      <c r="D1403" s="656"/>
      <c r="E1403" s="657"/>
      <c r="F1403" s="658"/>
      <c r="G1403" s="659"/>
      <c r="H1403" s="660"/>
      <c r="I1403" s="659"/>
      <c r="J1403" s="661"/>
      <c r="K1403" s="658"/>
      <c r="L1403" s="662"/>
      <c r="M1403" s="663"/>
      <c r="N1403" s="664"/>
      <c r="O1403" s="665"/>
      <c r="P1403" s="666"/>
      <c r="Q1403" s="667"/>
      <c r="R1403" s="668"/>
      <c r="S1403" s="665"/>
      <c r="T1403" s="669"/>
      <c r="U1403" s="669"/>
      <c r="V1403" s="665"/>
      <c r="W1403" s="670"/>
      <c r="X1403" s="670"/>
      <c r="Y1403" s="671"/>
      <c r="Z1403" s="671"/>
      <c r="AA1403" s="672"/>
      <c r="AB1403" s="673"/>
      <c r="AC1403" s="673"/>
      <c r="AD1403" s="673"/>
      <c r="AE1403" s="673"/>
      <c r="AF1403" s="673"/>
      <c r="AG1403" s="673"/>
      <c r="AH1403" s="673"/>
      <c r="AI1403" s="673"/>
      <c r="AJ1403" s="673"/>
      <c r="AK1403" s="673"/>
      <c r="AL1403" s="673"/>
      <c r="AM1403" s="673"/>
      <c r="AN1403" s="673"/>
      <c r="AO1403" s="673"/>
      <c r="AP1403" s="673"/>
      <c r="AQ1403" s="673"/>
      <c r="AR1403" s="673"/>
      <c r="AS1403" s="673"/>
    </row>
    <row r="1404">
      <c r="A1404" s="653"/>
      <c r="B1404" s="654"/>
      <c r="C1404" s="655"/>
      <c r="D1404" s="656"/>
      <c r="E1404" s="657"/>
      <c r="F1404" s="658"/>
      <c r="G1404" s="659"/>
      <c r="H1404" s="660"/>
      <c r="I1404" s="659"/>
      <c r="J1404" s="661"/>
      <c r="K1404" s="658"/>
      <c r="L1404" s="662"/>
      <c r="M1404" s="663"/>
      <c r="N1404" s="664"/>
      <c r="O1404" s="665"/>
      <c r="P1404" s="666"/>
      <c r="Q1404" s="667"/>
      <c r="R1404" s="668"/>
      <c r="S1404" s="665"/>
      <c r="T1404" s="669"/>
      <c r="U1404" s="669"/>
      <c r="V1404" s="665"/>
      <c r="W1404" s="670"/>
      <c r="X1404" s="670"/>
      <c r="Y1404" s="671"/>
      <c r="Z1404" s="671"/>
      <c r="AA1404" s="672"/>
      <c r="AB1404" s="673"/>
      <c r="AC1404" s="673"/>
      <c r="AD1404" s="673"/>
      <c r="AE1404" s="673"/>
      <c r="AF1404" s="673"/>
      <c r="AG1404" s="673"/>
      <c r="AH1404" s="673"/>
      <c r="AI1404" s="673"/>
      <c r="AJ1404" s="673"/>
      <c r="AK1404" s="673"/>
      <c r="AL1404" s="673"/>
      <c r="AM1404" s="673"/>
      <c r="AN1404" s="673"/>
      <c r="AO1404" s="673"/>
      <c r="AP1404" s="673"/>
      <c r="AQ1404" s="673"/>
      <c r="AR1404" s="673"/>
      <c r="AS1404" s="673"/>
    </row>
    <row r="1405">
      <c r="A1405" s="653"/>
      <c r="B1405" s="654"/>
      <c r="C1405" s="655"/>
      <c r="D1405" s="656"/>
      <c r="E1405" s="657"/>
      <c r="F1405" s="658"/>
      <c r="G1405" s="659"/>
      <c r="H1405" s="660"/>
      <c r="I1405" s="659"/>
      <c r="J1405" s="661"/>
      <c r="K1405" s="658"/>
      <c r="L1405" s="662"/>
      <c r="M1405" s="663"/>
      <c r="N1405" s="664"/>
      <c r="O1405" s="665"/>
      <c r="P1405" s="666"/>
      <c r="Q1405" s="667"/>
      <c r="R1405" s="668"/>
      <c r="S1405" s="665"/>
      <c r="T1405" s="669"/>
      <c r="U1405" s="669"/>
      <c r="V1405" s="665"/>
      <c r="W1405" s="670"/>
      <c r="X1405" s="670"/>
      <c r="Y1405" s="671"/>
      <c r="Z1405" s="671"/>
      <c r="AA1405" s="672"/>
      <c r="AB1405" s="673"/>
      <c r="AC1405" s="673"/>
      <c r="AD1405" s="673"/>
      <c r="AE1405" s="673"/>
      <c r="AF1405" s="673"/>
      <c r="AG1405" s="673"/>
      <c r="AH1405" s="673"/>
      <c r="AI1405" s="673"/>
      <c r="AJ1405" s="673"/>
      <c r="AK1405" s="673"/>
      <c r="AL1405" s="673"/>
      <c r="AM1405" s="673"/>
      <c r="AN1405" s="673"/>
      <c r="AO1405" s="673"/>
      <c r="AP1405" s="673"/>
      <c r="AQ1405" s="673"/>
      <c r="AR1405" s="673"/>
      <c r="AS1405" s="673"/>
    </row>
    <row r="1406">
      <c r="A1406" s="653"/>
      <c r="B1406" s="654"/>
      <c r="C1406" s="655"/>
      <c r="D1406" s="656"/>
      <c r="E1406" s="657"/>
      <c r="F1406" s="658"/>
      <c r="G1406" s="659"/>
      <c r="H1406" s="660"/>
      <c r="I1406" s="659"/>
      <c r="J1406" s="661"/>
      <c r="K1406" s="658"/>
      <c r="L1406" s="662"/>
      <c r="M1406" s="663"/>
      <c r="N1406" s="664"/>
      <c r="O1406" s="665"/>
      <c r="P1406" s="666"/>
      <c r="Q1406" s="667"/>
      <c r="R1406" s="668"/>
      <c r="S1406" s="665"/>
      <c r="T1406" s="669"/>
      <c r="U1406" s="669"/>
      <c r="V1406" s="665"/>
      <c r="W1406" s="670"/>
      <c r="X1406" s="670"/>
      <c r="Y1406" s="671"/>
      <c r="Z1406" s="671"/>
      <c r="AA1406" s="672"/>
      <c r="AB1406" s="673"/>
      <c r="AC1406" s="673"/>
      <c r="AD1406" s="673"/>
      <c r="AE1406" s="673"/>
      <c r="AF1406" s="673"/>
      <c r="AG1406" s="673"/>
      <c r="AH1406" s="673"/>
      <c r="AI1406" s="673"/>
      <c r="AJ1406" s="673"/>
      <c r="AK1406" s="673"/>
      <c r="AL1406" s="673"/>
      <c r="AM1406" s="673"/>
      <c r="AN1406" s="673"/>
      <c r="AO1406" s="673"/>
      <c r="AP1406" s="673"/>
      <c r="AQ1406" s="673"/>
      <c r="AR1406" s="673"/>
      <c r="AS1406" s="673"/>
    </row>
    <row r="1407">
      <c r="A1407" s="653"/>
      <c r="B1407" s="654"/>
      <c r="C1407" s="655"/>
      <c r="D1407" s="656"/>
      <c r="E1407" s="657"/>
      <c r="F1407" s="658"/>
      <c r="G1407" s="659"/>
      <c r="H1407" s="660"/>
      <c r="I1407" s="659"/>
      <c r="J1407" s="661"/>
      <c r="K1407" s="658"/>
      <c r="L1407" s="662"/>
      <c r="M1407" s="663"/>
      <c r="N1407" s="664"/>
      <c r="O1407" s="665"/>
      <c r="P1407" s="666"/>
      <c r="Q1407" s="667"/>
      <c r="R1407" s="668"/>
      <c r="S1407" s="665"/>
      <c r="T1407" s="669"/>
      <c r="U1407" s="669"/>
      <c r="V1407" s="665"/>
      <c r="W1407" s="670"/>
      <c r="X1407" s="670"/>
      <c r="Y1407" s="671"/>
      <c r="Z1407" s="671"/>
      <c r="AA1407" s="672"/>
      <c r="AB1407" s="673"/>
      <c r="AC1407" s="673"/>
      <c r="AD1407" s="673"/>
      <c r="AE1407" s="673"/>
      <c r="AF1407" s="673"/>
      <c r="AG1407" s="673"/>
      <c r="AH1407" s="673"/>
      <c r="AI1407" s="673"/>
      <c r="AJ1407" s="673"/>
      <c r="AK1407" s="673"/>
      <c r="AL1407" s="673"/>
      <c r="AM1407" s="673"/>
      <c r="AN1407" s="673"/>
      <c r="AO1407" s="673"/>
      <c r="AP1407" s="673"/>
      <c r="AQ1407" s="673"/>
      <c r="AR1407" s="673"/>
      <c r="AS1407" s="673"/>
    </row>
    <row r="1408">
      <c r="A1408" s="653"/>
      <c r="B1408" s="654"/>
      <c r="C1408" s="655"/>
      <c r="D1408" s="656"/>
      <c r="E1408" s="657"/>
      <c r="F1408" s="658"/>
      <c r="G1408" s="659"/>
      <c r="H1408" s="660"/>
      <c r="I1408" s="659"/>
      <c r="J1408" s="661"/>
      <c r="K1408" s="658"/>
      <c r="L1408" s="662"/>
      <c r="M1408" s="663"/>
      <c r="N1408" s="664"/>
      <c r="O1408" s="665"/>
      <c r="P1408" s="666"/>
      <c r="Q1408" s="667"/>
      <c r="R1408" s="668"/>
      <c r="S1408" s="665"/>
      <c r="T1408" s="669"/>
      <c r="U1408" s="669"/>
      <c r="V1408" s="665"/>
      <c r="W1408" s="670"/>
      <c r="X1408" s="670"/>
      <c r="Y1408" s="671"/>
      <c r="Z1408" s="671"/>
      <c r="AA1408" s="672"/>
      <c r="AB1408" s="673"/>
      <c r="AC1408" s="673"/>
      <c r="AD1408" s="673"/>
      <c r="AE1408" s="673"/>
      <c r="AF1408" s="673"/>
      <c r="AG1408" s="673"/>
      <c r="AH1408" s="673"/>
      <c r="AI1408" s="673"/>
      <c r="AJ1408" s="673"/>
      <c r="AK1408" s="673"/>
      <c r="AL1408" s="673"/>
      <c r="AM1408" s="673"/>
      <c r="AN1408" s="673"/>
      <c r="AO1408" s="673"/>
      <c r="AP1408" s="673"/>
      <c r="AQ1408" s="673"/>
      <c r="AR1408" s="673"/>
      <c r="AS1408" s="673"/>
    </row>
    <row r="1409">
      <c r="A1409" s="653"/>
      <c r="B1409" s="654"/>
      <c r="C1409" s="655"/>
      <c r="D1409" s="656"/>
      <c r="E1409" s="657"/>
      <c r="F1409" s="658"/>
      <c r="G1409" s="659"/>
      <c r="H1409" s="660"/>
      <c r="I1409" s="659"/>
      <c r="J1409" s="661"/>
      <c r="K1409" s="658"/>
      <c r="L1409" s="662"/>
      <c r="M1409" s="663"/>
      <c r="N1409" s="664"/>
      <c r="O1409" s="665"/>
      <c r="P1409" s="666"/>
      <c r="Q1409" s="667"/>
      <c r="R1409" s="668"/>
      <c r="S1409" s="665"/>
      <c r="T1409" s="669"/>
      <c r="U1409" s="669"/>
      <c r="V1409" s="665"/>
      <c r="W1409" s="670"/>
      <c r="X1409" s="670"/>
      <c r="Y1409" s="671"/>
      <c r="Z1409" s="671"/>
      <c r="AA1409" s="672"/>
      <c r="AB1409" s="673"/>
      <c r="AC1409" s="673"/>
      <c r="AD1409" s="673"/>
      <c r="AE1409" s="673"/>
      <c r="AF1409" s="673"/>
      <c r="AG1409" s="673"/>
      <c r="AH1409" s="673"/>
      <c r="AI1409" s="673"/>
      <c r="AJ1409" s="673"/>
      <c r="AK1409" s="673"/>
      <c r="AL1409" s="673"/>
      <c r="AM1409" s="673"/>
      <c r="AN1409" s="673"/>
      <c r="AO1409" s="673"/>
      <c r="AP1409" s="673"/>
      <c r="AQ1409" s="673"/>
      <c r="AR1409" s="673"/>
      <c r="AS1409" s="673"/>
    </row>
    <row r="1410">
      <c r="A1410" s="653"/>
      <c r="B1410" s="654"/>
      <c r="C1410" s="655"/>
      <c r="D1410" s="656"/>
      <c r="E1410" s="657"/>
      <c r="F1410" s="658"/>
      <c r="G1410" s="659"/>
      <c r="H1410" s="660"/>
      <c r="I1410" s="659"/>
      <c r="J1410" s="661"/>
      <c r="K1410" s="658"/>
      <c r="L1410" s="662"/>
      <c r="M1410" s="663"/>
      <c r="N1410" s="664"/>
      <c r="O1410" s="665"/>
      <c r="P1410" s="666"/>
      <c r="Q1410" s="667"/>
      <c r="R1410" s="668"/>
      <c r="S1410" s="665"/>
      <c r="T1410" s="669"/>
      <c r="U1410" s="669"/>
      <c r="V1410" s="665"/>
      <c r="W1410" s="670"/>
      <c r="X1410" s="670"/>
      <c r="Y1410" s="671"/>
      <c r="Z1410" s="671"/>
      <c r="AA1410" s="672"/>
      <c r="AB1410" s="673"/>
      <c r="AC1410" s="673"/>
      <c r="AD1410" s="673"/>
      <c r="AE1410" s="673"/>
      <c r="AF1410" s="673"/>
      <c r="AG1410" s="673"/>
      <c r="AH1410" s="673"/>
      <c r="AI1410" s="673"/>
      <c r="AJ1410" s="673"/>
      <c r="AK1410" s="673"/>
      <c r="AL1410" s="673"/>
      <c r="AM1410" s="673"/>
      <c r="AN1410" s="673"/>
      <c r="AO1410" s="673"/>
      <c r="AP1410" s="673"/>
      <c r="AQ1410" s="673"/>
      <c r="AR1410" s="673"/>
      <c r="AS1410" s="673"/>
    </row>
    <row r="1411">
      <c r="A1411" s="653"/>
      <c r="B1411" s="654"/>
      <c r="C1411" s="655"/>
      <c r="D1411" s="656"/>
      <c r="E1411" s="657"/>
      <c r="F1411" s="658"/>
      <c r="G1411" s="659"/>
      <c r="H1411" s="660"/>
      <c r="I1411" s="659"/>
      <c r="J1411" s="661"/>
      <c r="K1411" s="658"/>
      <c r="L1411" s="662"/>
      <c r="M1411" s="663"/>
      <c r="N1411" s="664"/>
      <c r="O1411" s="665"/>
      <c r="P1411" s="666"/>
      <c r="Q1411" s="667"/>
      <c r="R1411" s="668"/>
      <c r="S1411" s="665"/>
      <c r="T1411" s="669"/>
      <c r="U1411" s="669"/>
      <c r="V1411" s="665"/>
      <c r="W1411" s="670"/>
      <c r="X1411" s="670"/>
      <c r="Y1411" s="671"/>
      <c r="Z1411" s="671"/>
      <c r="AA1411" s="672"/>
      <c r="AB1411" s="673"/>
      <c r="AC1411" s="673"/>
      <c r="AD1411" s="673"/>
      <c r="AE1411" s="673"/>
      <c r="AF1411" s="673"/>
      <c r="AG1411" s="673"/>
      <c r="AH1411" s="673"/>
      <c r="AI1411" s="673"/>
      <c r="AJ1411" s="673"/>
      <c r="AK1411" s="673"/>
      <c r="AL1411" s="673"/>
      <c r="AM1411" s="673"/>
      <c r="AN1411" s="673"/>
      <c r="AO1411" s="673"/>
      <c r="AP1411" s="673"/>
      <c r="AQ1411" s="673"/>
      <c r="AR1411" s="673"/>
      <c r="AS1411" s="673"/>
    </row>
    <row r="1412">
      <c r="A1412" s="653"/>
      <c r="B1412" s="654"/>
      <c r="C1412" s="655"/>
      <c r="D1412" s="656"/>
      <c r="E1412" s="657"/>
      <c r="F1412" s="658"/>
      <c r="G1412" s="659"/>
      <c r="H1412" s="660"/>
      <c r="I1412" s="659"/>
      <c r="J1412" s="661"/>
      <c r="K1412" s="658"/>
      <c r="L1412" s="662"/>
      <c r="M1412" s="663"/>
      <c r="N1412" s="664"/>
      <c r="O1412" s="665"/>
      <c r="P1412" s="666"/>
      <c r="Q1412" s="667"/>
      <c r="R1412" s="668"/>
      <c r="S1412" s="665"/>
      <c r="T1412" s="669"/>
      <c r="U1412" s="669"/>
      <c r="V1412" s="665"/>
      <c r="W1412" s="670"/>
      <c r="X1412" s="670"/>
      <c r="Y1412" s="671"/>
      <c r="Z1412" s="671"/>
      <c r="AA1412" s="672"/>
      <c r="AB1412" s="673"/>
      <c r="AC1412" s="673"/>
      <c r="AD1412" s="673"/>
      <c r="AE1412" s="673"/>
      <c r="AF1412" s="673"/>
      <c r="AG1412" s="673"/>
      <c r="AH1412" s="673"/>
      <c r="AI1412" s="673"/>
      <c r="AJ1412" s="673"/>
      <c r="AK1412" s="673"/>
      <c r="AL1412" s="673"/>
      <c r="AM1412" s="673"/>
      <c r="AN1412" s="673"/>
      <c r="AO1412" s="673"/>
      <c r="AP1412" s="673"/>
      <c r="AQ1412" s="673"/>
      <c r="AR1412" s="673"/>
      <c r="AS1412" s="673"/>
    </row>
    <row r="1413">
      <c r="A1413" s="653"/>
      <c r="B1413" s="654"/>
      <c r="C1413" s="655"/>
      <c r="D1413" s="656"/>
      <c r="E1413" s="657"/>
      <c r="F1413" s="658"/>
      <c r="G1413" s="659"/>
      <c r="H1413" s="660"/>
      <c r="I1413" s="659"/>
      <c r="J1413" s="661"/>
      <c r="K1413" s="658"/>
      <c r="L1413" s="662"/>
      <c r="M1413" s="663"/>
      <c r="N1413" s="664"/>
      <c r="O1413" s="665"/>
      <c r="P1413" s="666"/>
      <c r="Q1413" s="667"/>
      <c r="R1413" s="668"/>
      <c r="S1413" s="665"/>
      <c r="T1413" s="669"/>
      <c r="U1413" s="669"/>
      <c r="V1413" s="665"/>
      <c r="W1413" s="670"/>
      <c r="X1413" s="670"/>
      <c r="Y1413" s="671"/>
      <c r="Z1413" s="671"/>
      <c r="AA1413" s="672"/>
      <c r="AB1413" s="673"/>
      <c r="AC1413" s="673"/>
      <c r="AD1413" s="673"/>
      <c r="AE1413" s="673"/>
      <c r="AF1413" s="673"/>
      <c r="AG1413" s="673"/>
      <c r="AH1413" s="673"/>
      <c r="AI1413" s="673"/>
      <c r="AJ1413" s="673"/>
      <c r="AK1413" s="673"/>
      <c r="AL1413" s="673"/>
      <c r="AM1413" s="673"/>
      <c r="AN1413" s="673"/>
      <c r="AO1413" s="673"/>
      <c r="AP1413" s="673"/>
      <c r="AQ1413" s="673"/>
      <c r="AR1413" s="673"/>
      <c r="AS1413" s="673"/>
    </row>
    <row r="1414">
      <c r="A1414" s="653"/>
      <c r="B1414" s="654"/>
      <c r="C1414" s="655"/>
      <c r="D1414" s="656"/>
      <c r="E1414" s="657"/>
      <c r="F1414" s="658"/>
      <c r="G1414" s="659"/>
      <c r="H1414" s="660"/>
      <c r="I1414" s="659"/>
      <c r="J1414" s="661"/>
      <c r="K1414" s="658"/>
      <c r="L1414" s="662"/>
      <c r="M1414" s="663"/>
      <c r="N1414" s="664"/>
      <c r="O1414" s="665"/>
      <c r="P1414" s="666"/>
      <c r="Q1414" s="667"/>
      <c r="R1414" s="668"/>
      <c r="S1414" s="665"/>
      <c r="T1414" s="669"/>
      <c r="U1414" s="669"/>
      <c r="V1414" s="665"/>
      <c r="W1414" s="670"/>
      <c r="X1414" s="670"/>
      <c r="Y1414" s="671"/>
      <c r="Z1414" s="671"/>
      <c r="AA1414" s="672"/>
      <c r="AB1414" s="673"/>
      <c r="AC1414" s="673"/>
      <c r="AD1414" s="673"/>
      <c r="AE1414" s="673"/>
      <c r="AF1414" s="673"/>
      <c r="AG1414" s="673"/>
      <c r="AH1414" s="673"/>
      <c r="AI1414" s="673"/>
      <c r="AJ1414" s="673"/>
      <c r="AK1414" s="673"/>
      <c r="AL1414" s="673"/>
      <c r="AM1414" s="673"/>
      <c r="AN1414" s="673"/>
      <c r="AO1414" s="673"/>
      <c r="AP1414" s="673"/>
      <c r="AQ1414" s="673"/>
      <c r="AR1414" s="673"/>
      <c r="AS1414" s="673"/>
    </row>
    <row r="1415">
      <c r="A1415" s="653"/>
      <c r="B1415" s="654"/>
      <c r="C1415" s="655"/>
      <c r="D1415" s="656"/>
      <c r="E1415" s="657"/>
      <c r="F1415" s="658"/>
      <c r="G1415" s="659"/>
      <c r="H1415" s="660"/>
      <c r="I1415" s="659"/>
      <c r="J1415" s="661"/>
      <c r="K1415" s="658"/>
      <c r="L1415" s="662"/>
      <c r="M1415" s="663"/>
      <c r="N1415" s="664"/>
      <c r="O1415" s="665"/>
      <c r="P1415" s="666"/>
      <c r="Q1415" s="667"/>
      <c r="R1415" s="668"/>
      <c r="S1415" s="665"/>
      <c r="T1415" s="669"/>
      <c r="U1415" s="669"/>
      <c r="V1415" s="665"/>
      <c r="W1415" s="670"/>
      <c r="X1415" s="670"/>
      <c r="Y1415" s="671"/>
      <c r="Z1415" s="671"/>
      <c r="AA1415" s="672"/>
      <c r="AB1415" s="673"/>
      <c r="AC1415" s="673"/>
      <c r="AD1415" s="673"/>
      <c r="AE1415" s="673"/>
      <c r="AF1415" s="673"/>
      <c r="AG1415" s="673"/>
      <c r="AH1415" s="673"/>
      <c r="AI1415" s="673"/>
      <c r="AJ1415" s="673"/>
      <c r="AK1415" s="673"/>
      <c r="AL1415" s="673"/>
      <c r="AM1415" s="673"/>
      <c r="AN1415" s="673"/>
      <c r="AO1415" s="673"/>
      <c r="AP1415" s="673"/>
      <c r="AQ1415" s="673"/>
      <c r="AR1415" s="673"/>
      <c r="AS1415" s="673"/>
    </row>
    <row r="1416">
      <c r="A1416" s="653"/>
      <c r="B1416" s="654"/>
      <c r="C1416" s="655"/>
      <c r="D1416" s="656"/>
      <c r="E1416" s="657"/>
      <c r="F1416" s="658"/>
      <c r="G1416" s="659"/>
      <c r="H1416" s="660"/>
      <c r="I1416" s="659"/>
      <c r="J1416" s="661"/>
      <c r="K1416" s="658"/>
      <c r="L1416" s="662"/>
      <c r="M1416" s="663"/>
      <c r="N1416" s="664"/>
      <c r="O1416" s="665"/>
      <c r="P1416" s="666"/>
      <c r="Q1416" s="667"/>
      <c r="R1416" s="668"/>
      <c r="S1416" s="665"/>
      <c r="T1416" s="669"/>
      <c r="U1416" s="669"/>
      <c r="V1416" s="665"/>
      <c r="W1416" s="670"/>
      <c r="X1416" s="670"/>
      <c r="Y1416" s="671"/>
      <c r="Z1416" s="671"/>
      <c r="AA1416" s="672"/>
      <c r="AB1416" s="673"/>
      <c r="AC1416" s="673"/>
      <c r="AD1416" s="673"/>
      <c r="AE1416" s="673"/>
      <c r="AF1416" s="673"/>
      <c r="AG1416" s="673"/>
      <c r="AH1416" s="673"/>
      <c r="AI1416" s="673"/>
      <c r="AJ1416" s="673"/>
      <c r="AK1416" s="673"/>
      <c r="AL1416" s="673"/>
      <c r="AM1416" s="673"/>
      <c r="AN1416" s="673"/>
      <c r="AO1416" s="673"/>
      <c r="AP1416" s="673"/>
      <c r="AQ1416" s="673"/>
      <c r="AR1416" s="673"/>
      <c r="AS1416" s="673"/>
    </row>
    <row r="1417">
      <c r="A1417" s="653"/>
      <c r="B1417" s="654"/>
      <c r="C1417" s="655"/>
      <c r="D1417" s="656"/>
      <c r="E1417" s="657"/>
      <c r="F1417" s="658"/>
      <c r="G1417" s="659"/>
      <c r="H1417" s="660"/>
      <c r="I1417" s="659"/>
      <c r="J1417" s="661"/>
      <c r="K1417" s="658"/>
      <c r="L1417" s="662"/>
      <c r="M1417" s="663"/>
      <c r="N1417" s="664"/>
      <c r="O1417" s="665"/>
      <c r="P1417" s="666"/>
      <c r="Q1417" s="667"/>
      <c r="R1417" s="668"/>
      <c r="S1417" s="665"/>
      <c r="T1417" s="669"/>
      <c r="U1417" s="669"/>
      <c r="V1417" s="665"/>
      <c r="W1417" s="670"/>
      <c r="X1417" s="670"/>
      <c r="Y1417" s="671"/>
      <c r="Z1417" s="671"/>
      <c r="AA1417" s="672"/>
      <c r="AB1417" s="673"/>
      <c r="AC1417" s="673"/>
      <c r="AD1417" s="673"/>
      <c r="AE1417" s="673"/>
      <c r="AF1417" s="673"/>
      <c r="AG1417" s="673"/>
      <c r="AH1417" s="673"/>
      <c r="AI1417" s="673"/>
      <c r="AJ1417" s="673"/>
      <c r="AK1417" s="673"/>
      <c r="AL1417" s="673"/>
      <c r="AM1417" s="673"/>
      <c r="AN1417" s="673"/>
      <c r="AO1417" s="673"/>
      <c r="AP1417" s="673"/>
      <c r="AQ1417" s="673"/>
      <c r="AR1417" s="673"/>
      <c r="AS1417" s="673"/>
    </row>
    <row r="1418">
      <c r="A1418" s="653"/>
      <c r="B1418" s="654"/>
      <c r="C1418" s="655"/>
      <c r="D1418" s="656"/>
      <c r="E1418" s="657"/>
      <c r="F1418" s="658"/>
      <c r="G1418" s="659"/>
      <c r="H1418" s="660"/>
      <c r="I1418" s="659"/>
      <c r="J1418" s="661"/>
      <c r="K1418" s="658"/>
      <c r="L1418" s="662"/>
      <c r="M1418" s="663"/>
      <c r="N1418" s="664"/>
      <c r="O1418" s="665"/>
      <c r="P1418" s="666"/>
      <c r="Q1418" s="667"/>
      <c r="R1418" s="668"/>
      <c r="S1418" s="665"/>
      <c r="T1418" s="669"/>
      <c r="U1418" s="669"/>
      <c r="V1418" s="665"/>
      <c r="W1418" s="670"/>
      <c r="X1418" s="670"/>
      <c r="Y1418" s="671"/>
      <c r="Z1418" s="671"/>
      <c r="AA1418" s="672"/>
      <c r="AB1418" s="673"/>
      <c r="AC1418" s="673"/>
      <c r="AD1418" s="673"/>
      <c r="AE1418" s="673"/>
      <c r="AF1418" s="673"/>
      <c r="AG1418" s="673"/>
      <c r="AH1418" s="673"/>
      <c r="AI1418" s="673"/>
      <c r="AJ1418" s="673"/>
      <c r="AK1418" s="673"/>
      <c r="AL1418" s="673"/>
      <c r="AM1418" s="673"/>
      <c r="AN1418" s="673"/>
      <c r="AO1418" s="673"/>
      <c r="AP1418" s="673"/>
      <c r="AQ1418" s="673"/>
      <c r="AR1418" s="673"/>
      <c r="AS1418" s="673"/>
    </row>
    <row r="1419">
      <c r="A1419" s="653"/>
      <c r="B1419" s="654"/>
      <c r="C1419" s="655"/>
      <c r="D1419" s="656"/>
      <c r="E1419" s="657"/>
      <c r="F1419" s="658"/>
      <c r="G1419" s="659"/>
      <c r="H1419" s="660"/>
      <c r="I1419" s="659"/>
      <c r="J1419" s="661"/>
      <c r="K1419" s="658"/>
      <c r="L1419" s="662"/>
      <c r="M1419" s="663"/>
      <c r="N1419" s="664"/>
      <c r="O1419" s="665"/>
      <c r="P1419" s="666"/>
      <c r="Q1419" s="667"/>
      <c r="R1419" s="668"/>
      <c r="S1419" s="665"/>
      <c r="T1419" s="669"/>
      <c r="U1419" s="669"/>
      <c r="V1419" s="665"/>
      <c r="W1419" s="670"/>
      <c r="X1419" s="670"/>
      <c r="Y1419" s="671"/>
      <c r="Z1419" s="671"/>
      <c r="AA1419" s="672"/>
      <c r="AB1419" s="673"/>
      <c r="AC1419" s="673"/>
      <c r="AD1419" s="673"/>
      <c r="AE1419" s="673"/>
      <c r="AF1419" s="673"/>
      <c r="AG1419" s="673"/>
      <c r="AH1419" s="673"/>
      <c r="AI1419" s="673"/>
      <c r="AJ1419" s="673"/>
      <c r="AK1419" s="673"/>
      <c r="AL1419" s="673"/>
      <c r="AM1419" s="673"/>
      <c r="AN1419" s="673"/>
      <c r="AO1419" s="673"/>
      <c r="AP1419" s="673"/>
      <c r="AQ1419" s="673"/>
      <c r="AR1419" s="673"/>
      <c r="AS1419" s="673"/>
    </row>
    <row r="1420">
      <c r="A1420" s="653"/>
      <c r="B1420" s="654"/>
      <c r="C1420" s="655"/>
      <c r="D1420" s="656"/>
      <c r="E1420" s="657"/>
      <c r="F1420" s="658"/>
      <c r="G1420" s="659"/>
      <c r="H1420" s="660"/>
      <c r="I1420" s="659"/>
      <c r="J1420" s="661"/>
      <c r="K1420" s="658"/>
      <c r="L1420" s="662"/>
      <c r="M1420" s="663"/>
      <c r="N1420" s="664"/>
      <c r="O1420" s="665"/>
      <c r="P1420" s="666"/>
      <c r="Q1420" s="667"/>
      <c r="R1420" s="668"/>
      <c r="S1420" s="665"/>
      <c r="T1420" s="669"/>
      <c r="U1420" s="669"/>
      <c r="V1420" s="665"/>
      <c r="W1420" s="670"/>
      <c r="X1420" s="670"/>
      <c r="Y1420" s="671"/>
      <c r="Z1420" s="671"/>
      <c r="AA1420" s="672"/>
      <c r="AB1420" s="673"/>
      <c r="AC1420" s="673"/>
      <c r="AD1420" s="673"/>
      <c r="AE1420" s="673"/>
      <c r="AF1420" s="673"/>
      <c r="AG1420" s="673"/>
      <c r="AH1420" s="673"/>
      <c r="AI1420" s="673"/>
      <c r="AJ1420" s="673"/>
      <c r="AK1420" s="673"/>
      <c r="AL1420" s="673"/>
      <c r="AM1420" s="673"/>
      <c r="AN1420" s="673"/>
      <c r="AO1420" s="673"/>
      <c r="AP1420" s="673"/>
      <c r="AQ1420" s="673"/>
      <c r="AR1420" s="673"/>
      <c r="AS1420" s="673"/>
    </row>
    <row r="1421">
      <c r="A1421" s="653"/>
      <c r="B1421" s="654"/>
      <c r="C1421" s="655"/>
      <c r="D1421" s="656"/>
      <c r="E1421" s="657"/>
      <c r="F1421" s="658"/>
      <c r="G1421" s="659"/>
      <c r="H1421" s="660"/>
      <c r="I1421" s="659"/>
      <c r="J1421" s="661"/>
      <c r="K1421" s="658"/>
      <c r="L1421" s="662"/>
      <c r="M1421" s="663"/>
      <c r="N1421" s="664"/>
      <c r="O1421" s="665"/>
      <c r="P1421" s="666"/>
      <c r="Q1421" s="667"/>
      <c r="R1421" s="668"/>
      <c r="S1421" s="665"/>
      <c r="T1421" s="669"/>
      <c r="U1421" s="669"/>
      <c r="V1421" s="665"/>
      <c r="W1421" s="670"/>
      <c r="X1421" s="670"/>
      <c r="Y1421" s="671"/>
      <c r="Z1421" s="671"/>
      <c r="AA1421" s="672"/>
      <c r="AB1421" s="673"/>
      <c r="AC1421" s="673"/>
      <c r="AD1421" s="673"/>
      <c r="AE1421" s="673"/>
      <c r="AF1421" s="673"/>
      <c r="AG1421" s="673"/>
      <c r="AH1421" s="673"/>
      <c r="AI1421" s="673"/>
      <c r="AJ1421" s="673"/>
      <c r="AK1421" s="673"/>
      <c r="AL1421" s="673"/>
      <c r="AM1421" s="673"/>
      <c r="AN1421" s="673"/>
      <c r="AO1421" s="673"/>
      <c r="AP1421" s="673"/>
      <c r="AQ1421" s="673"/>
      <c r="AR1421" s="673"/>
      <c r="AS1421" s="673"/>
    </row>
    <row r="1422">
      <c r="A1422" s="653"/>
      <c r="B1422" s="654"/>
      <c r="C1422" s="655"/>
      <c r="D1422" s="656"/>
      <c r="E1422" s="657"/>
      <c r="F1422" s="658"/>
      <c r="G1422" s="659"/>
      <c r="H1422" s="660"/>
      <c r="I1422" s="659"/>
      <c r="J1422" s="661"/>
      <c r="K1422" s="658"/>
      <c r="L1422" s="662"/>
      <c r="M1422" s="663"/>
      <c r="N1422" s="664"/>
      <c r="O1422" s="665"/>
      <c r="P1422" s="666"/>
      <c r="Q1422" s="667"/>
      <c r="R1422" s="668"/>
      <c r="S1422" s="665"/>
      <c r="T1422" s="669"/>
      <c r="U1422" s="669"/>
      <c r="V1422" s="665"/>
      <c r="W1422" s="670"/>
      <c r="X1422" s="670"/>
      <c r="Y1422" s="671"/>
      <c r="Z1422" s="671"/>
      <c r="AA1422" s="672"/>
      <c r="AB1422" s="673"/>
      <c r="AC1422" s="673"/>
      <c r="AD1422" s="673"/>
      <c r="AE1422" s="673"/>
      <c r="AF1422" s="673"/>
      <c r="AG1422" s="673"/>
      <c r="AH1422" s="673"/>
      <c r="AI1422" s="673"/>
      <c r="AJ1422" s="673"/>
      <c r="AK1422" s="673"/>
      <c r="AL1422" s="673"/>
      <c r="AM1422" s="673"/>
      <c r="AN1422" s="673"/>
      <c r="AO1422" s="673"/>
      <c r="AP1422" s="673"/>
      <c r="AQ1422" s="673"/>
      <c r="AR1422" s="673"/>
      <c r="AS1422" s="673"/>
    </row>
    <row r="1423">
      <c r="A1423" s="653"/>
      <c r="B1423" s="654"/>
      <c r="C1423" s="655"/>
      <c r="D1423" s="656"/>
      <c r="E1423" s="657"/>
      <c r="F1423" s="658"/>
      <c r="G1423" s="659"/>
      <c r="H1423" s="660"/>
      <c r="I1423" s="659"/>
      <c r="J1423" s="661"/>
      <c r="K1423" s="658"/>
      <c r="L1423" s="662"/>
      <c r="M1423" s="663"/>
      <c r="N1423" s="664"/>
      <c r="O1423" s="665"/>
      <c r="P1423" s="666"/>
      <c r="Q1423" s="667"/>
      <c r="R1423" s="668"/>
      <c r="S1423" s="665"/>
      <c r="T1423" s="669"/>
      <c r="U1423" s="669"/>
      <c r="V1423" s="665"/>
      <c r="W1423" s="670"/>
      <c r="X1423" s="670"/>
      <c r="Y1423" s="671"/>
      <c r="Z1423" s="671"/>
      <c r="AA1423" s="672"/>
      <c r="AB1423" s="673"/>
      <c r="AC1423" s="673"/>
      <c r="AD1423" s="673"/>
      <c r="AE1423" s="673"/>
      <c r="AF1423" s="673"/>
      <c r="AG1423" s="673"/>
      <c r="AH1423" s="673"/>
      <c r="AI1423" s="673"/>
      <c r="AJ1423" s="673"/>
      <c r="AK1423" s="673"/>
      <c r="AL1423" s="673"/>
      <c r="AM1423" s="673"/>
      <c r="AN1423" s="673"/>
      <c r="AO1423" s="673"/>
      <c r="AP1423" s="673"/>
      <c r="AQ1423" s="673"/>
      <c r="AR1423" s="673"/>
      <c r="AS1423" s="673"/>
    </row>
    <row r="1424">
      <c r="A1424" s="653"/>
      <c r="B1424" s="654"/>
      <c r="C1424" s="655"/>
      <c r="D1424" s="656"/>
      <c r="E1424" s="657"/>
      <c r="F1424" s="658"/>
      <c r="G1424" s="659"/>
      <c r="H1424" s="660"/>
      <c r="I1424" s="659"/>
      <c r="J1424" s="661"/>
      <c r="K1424" s="658"/>
      <c r="L1424" s="662"/>
      <c r="M1424" s="663"/>
      <c r="N1424" s="664"/>
      <c r="O1424" s="665"/>
      <c r="P1424" s="666"/>
      <c r="Q1424" s="667"/>
      <c r="R1424" s="668"/>
      <c r="S1424" s="665"/>
      <c r="T1424" s="669"/>
      <c r="U1424" s="669"/>
      <c r="V1424" s="665"/>
      <c r="W1424" s="670"/>
      <c r="X1424" s="670"/>
      <c r="Y1424" s="671"/>
      <c r="Z1424" s="671"/>
      <c r="AA1424" s="672"/>
      <c r="AB1424" s="673"/>
      <c r="AC1424" s="673"/>
      <c r="AD1424" s="673"/>
      <c r="AE1424" s="673"/>
      <c r="AF1424" s="673"/>
      <c r="AG1424" s="673"/>
      <c r="AH1424" s="673"/>
      <c r="AI1424" s="673"/>
      <c r="AJ1424" s="673"/>
      <c r="AK1424" s="673"/>
      <c r="AL1424" s="673"/>
      <c r="AM1424" s="673"/>
      <c r="AN1424" s="673"/>
      <c r="AO1424" s="673"/>
      <c r="AP1424" s="673"/>
      <c r="AQ1424" s="673"/>
      <c r="AR1424" s="673"/>
      <c r="AS1424" s="673"/>
    </row>
    <row r="1425">
      <c r="A1425" s="653"/>
      <c r="B1425" s="654"/>
      <c r="C1425" s="655"/>
      <c r="D1425" s="656"/>
      <c r="E1425" s="657"/>
      <c r="F1425" s="658"/>
      <c r="G1425" s="659"/>
      <c r="H1425" s="660"/>
      <c r="I1425" s="659"/>
      <c r="J1425" s="661"/>
      <c r="K1425" s="658"/>
      <c r="L1425" s="662"/>
      <c r="M1425" s="663"/>
      <c r="N1425" s="664"/>
      <c r="O1425" s="665"/>
      <c r="P1425" s="666"/>
      <c r="Q1425" s="667"/>
      <c r="R1425" s="668"/>
      <c r="S1425" s="665"/>
      <c r="T1425" s="669"/>
      <c r="U1425" s="669"/>
      <c r="V1425" s="665"/>
      <c r="W1425" s="670"/>
      <c r="X1425" s="670"/>
      <c r="Y1425" s="671"/>
      <c r="Z1425" s="671"/>
      <c r="AA1425" s="672"/>
      <c r="AB1425" s="673"/>
      <c r="AC1425" s="673"/>
      <c r="AD1425" s="673"/>
      <c r="AE1425" s="673"/>
      <c r="AF1425" s="673"/>
      <c r="AG1425" s="673"/>
      <c r="AH1425" s="673"/>
      <c r="AI1425" s="673"/>
      <c r="AJ1425" s="673"/>
      <c r="AK1425" s="673"/>
      <c r="AL1425" s="673"/>
      <c r="AM1425" s="673"/>
      <c r="AN1425" s="673"/>
      <c r="AO1425" s="673"/>
      <c r="AP1425" s="673"/>
      <c r="AQ1425" s="673"/>
      <c r="AR1425" s="673"/>
      <c r="AS1425" s="673"/>
    </row>
    <row r="1426">
      <c r="A1426" s="653"/>
      <c r="B1426" s="654"/>
      <c r="C1426" s="655"/>
      <c r="D1426" s="656"/>
      <c r="E1426" s="657"/>
      <c r="F1426" s="658"/>
      <c r="G1426" s="659"/>
      <c r="H1426" s="660"/>
      <c r="I1426" s="659"/>
      <c r="J1426" s="661"/>
      <c r="K1426" s="658"/>
      <c r="L1426" s="662"/>
      <c r="M1426" s="663"/>
      <c r="N1426" s="664"/>
      <c r="O1426" s="665"/>
      <c r="P1426" s="666"/>
      <c r="Q1426" s="667"/>
      <c r="R1426" s="668"/>
      <c r="S1426" s="665"/>
      <c r="T1426" s="669"/>
      <c r="U1426" s="669"/>
      <c r="V1426" s="665"/>
      <c r="W1426" s="670"/>
      <c r="X1426" s="670"/>
      <c r="Y1426" s="671"/>
      <c r="Z1426" s="671"/>
      <c r="AA1426" s="672"/>
      <c r="AB1426" s="673"/>
      <c r="AC1426" s="673"/>
      <c r="AD1426" s="673"/>
      <c r="AE1426" s="673"/>
      <c r="AF1426" s="673"/>
      <c r="AG1426" s="673"/>
      <c r="AH1426" s="673"/>
      <c r="AI1426" s="673"/>
      <c r="AJ1426" s="673"/>
      <c r="AK1426" s="673"/>
      <c r="AL1426" s="673"/>
      <c r="AM1426" s="673"/>
      <c r="AN1426" s="673"/>
      <c r="AO1426" s="673"/>
      <c r="AP1426" s="673"/>
      <c r="AQ1426" s="673"/>
      <c r="AR1426" s="673"/>
      <c r="AS1426" s="673"/>
    </row>
    <row r="1427">
      <c r="A1427" s="653"/>
      <c r="B1427" s="654"/>
      <c r="C1427" s="655"/>
      <c r="D1427" s="656"/>
      <c r="E1427" s="657"/>
      <c r="F1427" s="658"/>
      <c r="G1427" s="659"/>
      <c r="H1427" s="660"/>
      <c r="I1427" s="659"/>
      <c r="J1427" s="661"/>
      <c r="K1427" s="658"/>
      <c r="L1427" s="662"/>
      <c r="M1427" s="663"/>
      <c r="N1427" s="664"/>
      <c r="O1427" s="665"/>
      <c r="P1427" s="666"/>
      <c r="Q1427" s="667"/>
      <c r="R1427" s="668"/>
      <c r="S1427" s="665"/>
      <c r="T1427" s="669"/>
      <c r="U1427" s="669"/>
      <c r="V1427" s="665"/>
      <c r="W1427" s="670"/>
      <c r="X1427" s="670"/>
      <c r="Y1427" s="671"/>
      <c r="Z1427" s="671"/>
      <c r="AA1427" s="672"/>
      <c r="AB1427" s="673"/>
      <c r="AC1427" s="673"/>
      <c r="AD1427" s="673"/>
      <c r="AE1427" s="673"/>
      <c r="AF1427" s="673"/>
      <c r="AG1427" s="673"/>
      <c r="AH1427" s="673"/>
      <c r="AI1427" s="673"/>
      <c r="AJ1427" s="673"/>
      <c r="AK1427" s="673"/>
      <c r="AL1427" s="673"/>
      <c r="AM1427" s="673"/>
      <c r="AN1427" s="673"/>
      <c r="AO1427" s="673"/>
      <c r="AP1427" s="673"/>
      <c r="AQ1427" s="673"/>
      <c r="AR1427" s="673"/>
      <c r="AS1427" s="673"/>
    </row>
    <row r="1428">
      <c r="A1428" s="653"/>
      <c r="B1428" s="654"/>
      <c r="C1428" s="655"/>
      <c r="D1428" s="656"/>
      <c r="E1428" s="657"/>
      <c r="F1428" s="658"/>
      <c r="G1428" s="659"/>
      <c r="H1428" s="660"/>
      <c r="I1428" s="659"/>
      <c r="J1428" s="661"/>
      <c r="K1428" s="658"/>
      <c r="L1428" s="662"/>
      <c r="M1428" s="663"/>
      <c r="N1428" s="664"/>
      <c r="O1428" s="665"/>
      <c r="P1428" s="666"/>
      <c r="Q1428" s="667"/>
      <c r="R1428" s="668"/>
      <c r="S1428" s="665"/>
      <c r="T1428" s="669"/>
      <c r="U1428" s="669"/>
      <c r="V1428" s="665"/>
      <c r="W1428" s="670"/>
      <c r="X1428" s="670"/>
      <c r="Y1428" s="671"/>
      <c r="Z1428" s="671"/>
      <c r="AA1428" s="672"/>
      <c r="AB1428" s="673"/>
      <c r="AC1428" s="673"/>
      <c r="AD1428" s="673"/>
      <c r="AE1428" s="673"/>
      <c r="AF1428" s="673"/>
      <c r="AG1428" s="673"/>
      <c r="AH1428" s="673"/>
      <c r="AI1428" s="673"/>
      <c r="AJ1428" s="673"/>
      <c r="AK1428" s="673"/>
      <c r="AL1428" s="673"/>
      <c r="AM1428" s="673"/>
      <c r="AN1428" s="673"/>
      <c r="AO1428" s="673"/>
      <c r="AP1428" s="673"/>
      <c r="AQ1428" s="673"/>
      <c r="AR1428" s="673"/>
      <c r="AS1428" s="673"/>
    </row>
    <row r="1429">
      <c r="A1429" s="653"/>
      <c r="B1429" s="654"/>
      <c r="C1429" s="655"/>
      <c r="D1429" s="656"/>
      <c r="E1429" s="657"/>
      <c r="F1429" s="658"/>
      <c r="G1429" s="659"/>
      <c r="H1429" s="660"/>
      <c r="I1429" s="659"/>
      <c r="J1429" s="661"/>
      <c r="K1429" s="658"/>
      <c r="L1429" s="662"/>
      <c r="M1429" s="663"/>
      <c r="N1429" s="664"/>
      <c r="O1429" s="665"/>
      <c r="P1429" s="666"/>
      <c r="Q1429" s="667"/>
      <c r="R1429" s="668"/>
      <c r="S1429" s="665"/>
      <c r="T1429" s="669"/>
      <c r="U1429" s="669"/>
      <c r="V1429" s="665"/>
      <c r="W1429" s="670"/>
      <c r="X1429" s="670"/>
      <c r="Y1429" s="671"/>
      <c r="Z1429" s="671"/>
      <c r="AA1429" s="672"/>
      <c r="AB1429" s="673"/>
      <c r="AC1429" s="673"/>
      <c r="AD1429" s="673"/>
      <c r="AE1429" s="673"/>
      <c r="AF1429" s="673"/>
      <c r="AG1429" s="673"/>
      <c r="AH1429" s="673"/>
      <c r="AI1429" s="673"/>
      <c r="AJ1429" s="673"/>
      <c r="AK1429" s="673"/>
      <c r="AL1429" s="673"/>
      <c r="AM1429" s="673"/>
      <c r="AN1429" s="673"/>
      <c r="AO1429" s="673"/>
      <c r="AP1429" s="673"/>
      <c r="AQ1429" s="673"/>
      <c r="AR1429" s="673"/>
      <c r="AS1429" s="673"/>
    </row>
    <row r="1430">
      <c r="A1430" s="653"/>
      <c r="B1430" s="654"/>
      <c r="C1430" s="655"/>
      <c r="D1430" s="656"/>
      <c r="E1430" s="657"/>
      <c r="F1430" s="658"/>
      <c r="G1430" s="659"/>
      <c r="H1430" s="660"/>
      <c r="I1430" s="659"/>
      <c r="J1430" s="661"/>
      <c r="K1430" s="658"/>
      <c r="L1430" s="662"/>
      <c r="M1430" s="663"/>
      <c r="N1430" s="664"/>
      <c r="O1430" s="665"/>
      <c r="P1430" s="666"/>
      <c r="Q1430" s="667"/>
      <c r="R1430" s="668"/>
      <c r="S1430" s="665"/>
      <c r="T1430" s="669"/>
      <c r="U1430" s="669"/>
      <c r="V1430" s="665"/>
      <c r="W1430" s="670"/>
      <c r="X1430" s="670"/>
      <c r="Y1430" s="671"/>
      <c r="Z1430" s="671"/>
      <c r="AA1430" s="672"/>
      <c r="AB1430" s="673"/>
      <c r="AC1430" s="673"/>
      <c r="AD1430" s="673"/>
      <c r="AE1430" s="673"/>
      <c r="AF1430" s="673"/>
      <c r="AG1430" s="673"/>
      <c r="AH1430" s="673"/>
      <c r="AI1430" s="673"/>
      <c r="AJ1430" s="673"/>
      <c r="AK1430" s="673"/>
      <c r="AL1430" s="673"/>
      <c r="AM1430" s="673"/>
      <c r="AN1430" s="673"/>
      <c r="AO1430" s="673"/>
      <c r="AP1430" s="673"/>
      <c r="AQ1430" s="673"/>
      <c r="AR1430" s="673"/>
      <c r="AS1430" s="673"/>
    </row>
    <row r="1431">
      <c r="A1431" s="653"/>
      <c r="B1431" s="654"/>
      <c r="C1431" s="655"/>
      <c r="D1431" s="656"/>
      <c r="E1431" s="657"/>
      <c r="F1431" s="658"/>
      <c r="G1431" s="659"/>
      <c r="H1431" s="660"/>
      <c r="I1431" s="659"/>
      <c r="J1431" s="661"/>
      <c r="K1431" s="658"/>
      <c r="L1431" s="662"/>
      <c r="M1431" s="663"/>
      <c r="N1431" s="664"/>
      <c r="O1431" s="665"/>
      <c r="P1431" s="666"/>
      <c r="Q1431" s="667"/>
      <c r="R1431" s="668"/>
      <c r="S1431" s="665"/>
      <c r="T1431" s="669"/>
      <c r="U1431" s="669"/>
      <c r="V1431" s="665"/>
      <c r="W1431" s="670"/>
      <c r="X1431" s="670"/>
      <c r="Y1431" s="671"/>
      <c r="Z1431" s="671"/>
      <c r="AA1431" s="672"/>
      <c r="AB1431" s="673"/>
      <c r="AC1431" s="673"/>
      <c r="AD1431" s="673"/>
      <c r="AE1431" s="673"/>
      <c r="AF1431" s="673"/>
      <c r="AG1431" s="673"/>
      <c r="AH1431" s="673"/>
      <c r="AI1431" s="673"/>
      <c r="AJ1431" s="673"/>
      <c r="AK1431" s="673"/>
      <c r="AL1431" s="673"/>
      <c r="AM1431" s="673"/>
      <c r="AN1431" s="673"/>
      <c r="AO1431" s="673"/>
      <c r="AP1431" s="673"/>
      <c r="AQ1431" s="673"/>
      <c r="AR1431" s="673"/>
      <c r="AS1431" s="673"/>
    </row>
    <row r="1432">
      <c r="A1432" s="653"/>
      <c r="B1432" s="654"/>
      <c r="C1432" s="655"/>
      <c r="D1432" s="656"/>
      <c r="E1432" s="657"/>
      <c r="F1432" s="658"/>
      <c r="G1432" s="659"/>
      <c r="H1432" s="660"/>
      <c r="I1432" s="659"/>
      <c r="J1432" s="661"/>
      <c r="K1432" s="658"/>
      <c r="L1432" s="662"/>
      <c r="M1432" s="663"/>
      <c r="N1432" s="664"/>
      <c r="O1432" s="665"/>
      <c r="P1432" s="666"/>
      <c r="Q1432" s="667"/>
      <c r="R1432" s="668"/>
      <c r="S1432" s="665"/>
      <c r="T1432" s="669"/>
      <c r="U1432" s="669"/>
      <c r="V1432" s="665"/>
      <c r="W1432" s="670"/>
      <c r="X1432" s="670"/>
      <c r="Y1432" s="671"/>
      <c r="Z1432" s="671"/>
      <c r="AA1432" s="672"/>
      <c r="AB1432" s="673"/>
      <c r="AC1432" s="673"/>
      <c r="AD1432" s="673"/>
      <c r="AE1432" s="673"/>
      <c r="AF1432" s="673"/>
      <c r="AG1432" s="673"/>
      <c r="AH1432" s="673"/>
      <c r="AI1432" s="673"/>
      <c r="AJ1432" s="673"/>
      <c r="AK1432" s="673"/>
      <c r="AL1432" s="673"/>
      <c r="AM1432" s="673"/>
      <c r="AN1432" s="673"/>
      <c r="AO1432" s="673"/>
      <c r="AP1432" s="673"/>
      <c r="AQ1432" s="673"/>
      <c r="AR1432" s="673"/>
      <c r="AS1432" s="673"/>
    </row>
    <row r="1433">
      <c r="A1433" s="653"/>
      <c r="B1433" s="654"/>
      <c r="C1433" s="655"/>
      <c r="D1433" s="656"/>
      <c r="E1433" s="657"/>
      <c r="F1433" s="658"/>
      <c r="G1433" s="659"/>
      <c r="H1433" s="660"/>
      <c r="I1433" s="659"/>
      <c r="J1433" s="661"/>
      <c r="K1433" s="658"/>
      <c r="L1433" s="662"/>
      <c r="M1433" s="663"/>
      <c r="N1433" s="664"/>
      <c r="O1433" s="665"/>
      <c r="P1433" s="666"/>
      <c r="Q1433" s="667"/>
      <c r="R1433" s="668"/>
      <c r="S1433" s="665"/>
      <c r="T1433" s="669"/>
      <c r="U1433" s="669"/>
      <c r="V1433" s="665"/>
      <c r="W1433" s="670"/>
      <c r="X1433" s="670"/>
      <c r="Y1433" s="671"/>
      <c r="Z1433" s="671"/>
      <c r="AA1433" s="672"/>
      <c r="AB1433" s="673"/>
      <c r="AC1433" s="673"/>
      <c r="AD1433" s="673"/>
      <c r="AE1433" s="673"/>
      <c r="AF1433" s="673"/>
      <c r="AG1433" s="673"/>
      <c r="AH1433" s="673"/>
      <c r="AI1433" s="673"/>
      <c r="AJ1433" s="673"/>
      <c r="AK1433" s="673"/>
      <c r="AL1433" s="673"/>
      <c r="AM1433" s="673"/>
      <c r="AN1433" s="673"/>
      <c r="AO1433" s="673"/>
      <c r="AP1433" s="673"/>
      <c r="AQ1433" s="673"/>
      <c r="AR1433" s="673"/>
      <c r="AS1433" s="673"/>
    </row>
    <row r="1434">
      <c r="A1434" s="653"/>
      <c r="B1434" s="654"/>
      <c r="C1434" s="655"/>
      <c r="D1434" s="656"/>
      <c r="E1434" s="657"/>
      <c r="F1434" s="658"/>
      <c r="G1434" s="659"/>
      <c r="H1434" s="660"/>
      <c r="I1434" s="659"/>
      <c r="J1434" s="661"/>
      <c r="K1434" s="658"/>
      <c r="L1434" s="662"/>
      <c r="M1434" s="663"/>
      <c r="N1434" s="664"/>
      <c r="O1434" s="665"/>
      <c r="P1434" s="666"/>
      <c r="Q1434" s="667"/>
      <c r="R1434" s="668"/>
      <c r="S1434" s="665"/>
      <c r="T1434" s="669"/>
      <c r="U1434" s="669"/>
      <c r="V1434" s="665"/>
      <c r="W1434" s="670"/>
      <c r="X1434" s="670"/>
      <c r="Y1434" s="671"/>
      <c r="Z1434" s="671"/>
      <c r="AA1434" s="672"/>
      <c r="AB1434" s="673"/>
      <c r="AC1434" s="673"/>
      <c r="AD1434" s="673"/>
      <c r="AE1434" s="673"/>
      <c r="AF1434" s="673"/>
      <c r="AG1434" s="673"/>
      <c r="AH1434" s="673"/>
      <c r="AI1434" s="673"/>
      <c r="AJ1434" s="673"/>
      <c r="AK1434" s="673"/>
      <c r="AL1434" s="673"/>
      <c r="AM1434" s="673"/>
      <c r="AN1434" s="673"/>
      <c r="AO1434" s="673"/>
      <c r="AP1434" s="673"/>
      <c r="AQ1434" s="673"/>
      <c r="AR1434" s="673"/>
      <c r="AS1434" s="673"/>
    </row>
    <row r="1435">
      <c r="A1435" s="653"/>
      <c r="B1435" s="654"/>
      <c r="C1435" s="655"/>
      <c r="D1435" s="656"/>
      <c r="E1435" s="657"/>
      <c r="F1435" s="658"/>
      <c r="G1435" s="659"/>
      <c r="H1435" s="660"/>
      <c r="I1435" s="659"/>
      <c r="J1435" s="661"/>
      <c r="K1435" s="658"/>
      <c r="L1435" s="662"/>
      <c r="M1435" s="663"/>
      <c r="N1435" s="664"/>
      <c r="O1435" s="665"/>
      <c r="P1435" s="666"/>
      <c r="Q1435" s="667"/>
      <c r="R1435" s="668"/>
      <c r="S1435" s="665"/>
      <c r="T1435" s="669"/>
      <c r="U1435" s="669"/>
      <c r="V1435" s="665"/>
      <c r="W1435" s="670"/>
      <c r="X1435" s="670"/>
      <c r="Y1435" s="671"/>
      <c r="Z1435" s="671"/>
      <c r="AA1435" s="672"/>
      <c r="AB1435" s="673"/>
      <c r="AC1435" s="673"/>
      <c r="AD1435" s="673"/>
      <c r="AE1435" s="673"/>
      <c r="AF1435" s="673"/>
      <c r="AG1435" s="673"/>
      <c r="AH1435" s="673"/>
      <c r="AI1435" s="673"/>
      <c r="AJ1435" s="673"/>
      <c r="AK1435" s="673"/>
      <c r="AL1435" s="673"/>
      <c r="AM1435" s="673"/>
      <c r="AN1435" s="673"/>
      <c r="AO1435" s="673"/>
      <c r="AP1435" s="673"/>
      <c r="AQ1435" s="673"/>
      <c r="AR1435" s="673"/>
      <c r="AS1435" s="673"/>
    </row>
    <row r="1436">
      <c r="A1436" s="653"/>
      <c r="B1436" s="654"/>
      <c r="C1436" s="655"/>
      <c r="D1436" s="656"/>
      <c r="E1436" s="657"/>
      <c r="F1436" s="658"/>
      <c r="G1436" s="659"/>
      <c r="H1436" s="660"/>
      <c r="I1436" s="659"/>
      <c r="J1436" s="661"/>
      <c r="K1436" s="658"/>
      <c r="L1436" s="662"/>
      <c r="M1436" s="663"/>
      <c r="N1436" s="664"/>
      <c r="O1436" s="665"/>
      <c r="P1436" s="666"/>
      <c r="Q1436" s="667"/>
      <c r="R1436" s="668"/>
      <c r="S1436" s="665"/>
      <c r="T1436" s="669"/>
      <c r="U1436" s="669"/>
      <c r="V1436" s="665"/>
      <c r="W1436" s="670"/>
      <c r="X1436" s="670"/>
      <c r="Y1436" s="671"/>
      <c r="Z1436" s="671"/>
      <c r="AA1436" s="672"/>
      <c r="AB1436" s="673"/>
      <c r="AC1436" s="673"/>
      <c r="AD1436" s="673"/>
      <c r="AE1436" s="673"/>
      <c r="AF1436" s="673"/>
      <c r="AG1436" s="673"/>
      <c r="AH1436" s="673"/>
      <c r="AI1436" s="673"/>
      <c r="AJ1436" s="673"/>
      <c r="AK1436" s="673"/>
      <c r="AL1436" s="673"/>
      <c r="AM1436" s="673"/>
      <c r="AN1436" s="673"/>
      <c r="AO1436" s="673"/>
      <c r="AP1436" s="673"/>
      <c r="AQ1436" s="673"/>
      <c r="AR1436" s="673"/>
      <c r="AS1436" s="673"/>
    </row>
    <row r="1437">
      <c r="A1437" s="653"/>
      <c r="B1437" s="654"/>
      <c r="C1437" s="655"/>
      <c r="D1437" s="656"/>
      <c r="E1437" s="657"/>
      <c r="F1437" s="658"/>
      <c r="G1437" s="659"/>
      <c r="H1437" s="660"/>
      <c r="I1437" s="659"/>
      <c r="J1437" s="661"/>
      <c r="K1437" s="658"/>
      <c r="L1437" s="662"/>
      <c r="M1437" s="663"/>
      <c r="N1437" s="664"/>
      <c r="O1437" s="665"/>
      <c r="P1437" s="666"/>
      <c r="Q1437" s="667"/>
      <c r="R1437" s="668"/>
      <c r="S1437" s="665"/>
      <c r="T1437" s="669"/>
      <c r="U1437" s="669"/>
      <c r="V1437" s="665"/>
      <c r="W1437" s="670"/>
      <c r="X1437" s="670"/>
      <c r="Y1437" s="671"/>
      <c r="Z1437" s="671"/>
      <c r="AA1437" s="672"/>
      <c r="AB1437" s="673"/>
      <c r="AC1437" s="673"/>
      <c r="AD1437" s="673"/>
      <c r="AE1437" s="673"/>
      <c r="AF1437" s="673"/>
      <c r="AG1437" s="673"/>
      <c r="AH1437" s="673"/>
      <c r="AI1437" s="673"/>
      <c r="AJ1437" s="673"/>
      <c r="AK1437" s="673"/>
      <c r="AL1437" s="673"/>
      <c r="AM1437" s="673"/>
      <c r="AN1437" s="673"/>
      <c r="AO1437" s="673"/>
      <c r="AP1437" s="673"/>
      <c r="AQ1437" s="673"/>
      <c r="AR1437" s="673"/>
      <c r="AS1437" s="673"/>
    </row>
    <row r="1438">
      <c r="A1438" s="653"/>
      <c r="B1438" s="654"/>
      <c r="C1438" s="655"/>
      <c r="D1438" s="656"/>
      <c r="E1438" s="657"/>
      <c r="F1438" s="658"/>
      <c r="G1438" s="659"/>
      <c r="H1438" s="660"/>
      <c r="I1438" s="659"/>
      <c r="J1438" s="661"/>
      <c r="K1438" s="658"/>
      <c r="L1438" s="662"/>
      <c r="M1438" s="663"/>
      <c r="N1438" s="664"/>
      <c r="O1438" s="665"/>
      <c r="P1438" s="666"/>
      <c r="Q1438" s="667"/>
      <c r="R1438" s="668"/>
      <c r="S1438" s="665"/>
      <c r="T1438" s="669"/>
      <c r="U1438" s="669"/>
      <c r="V1438" s="665"/>
      <c r="W1438" s="670"/>
      <c r="X1438" s="670"/>
      <c r="Y1438" s="671"/>
      <c r="Z1438" s="671"/>
      <c r="AA1438" s="672"/>
      <c r="AB1438" s="673"/>
      <c r="AC1438" s="673"/>
      <c r="AD1438" s="673"/>
      <c r="AE1438" s="673"/>
      <c r="AF1438" s="673"/>
      <c r="AG1438" s="673"/>
      <c r="AH1438" s="673"/>
      <c r="AI1438" s="673"/>
      <c r="AJ1438" s="673"/>
      <c r="AK1438" s="673"/>
      <c r="AL1438" s="673"/>
      <c r="AM1438" s="673"/>
      <c r="AN1438" s="673"/>
      <c r="AO1438" s="673"/>
      <c r="AP1438" s="673"/>
      <c r="AQ1438" s="673"/>
      <c r="AR1438" s="673"/>
      <c r="AS1438" s="673"/>
    </row>
    <row r="1439">
      <c r="A1439" s="653"/>
      <c r="B1439" s="654"/>
      <c r="C1439" s="655"/>
      <c r="D1439" s="656"/>
      <c r="E1439" s="657"/>
      <c r="F1439" s="658"/>
      <c r="G1439" s="659"/>
      <c r="H1439" s="660"/>
      <c r="I1439" s="659"/>
      <c r="J1439" s="661"/>
      <c r="K1439" s="658"/>
      <c r="L1439" s="662"/>
      <c r="M1439" s="663"/>
      <c r="N1439" s="664"/>
      <c r="O1439" s="665"/>
      <c r="P1439" s="666"/>
      <c r="Q1439" s="667"/>
      <c r="R1439" s="668"/>
      <c r="S1439" s="665"/>
      <c r="T1439" s="669"/>
      <c r="U1439" s="669"/>
      <c r="V1439" s="665"/>
      <c r="W1439" s="670"/>
      <c r="X1439" s="670"/>
      <c r="Y1439" s="671"/>
      <c r="Z1439" s="671"/>
      <c r="AA1439" s="672"/>
      <c r="AB1439" s="673"/>
      <c r="AC1439" s="673"/>
      <c r="AD1439" s="673"/>
      <c r="AE1439" s="673"/>
      <c r="AF1439" s="673"/>
      <c r="AG1439" s="673"/>
      <c r="AH1439" s="673"/>
      <c r="AI1439" s="673"/>
      <c r="AJ1439" s="673"/>
      <c r="AK1439" s="673"/>
      <c r="AL1439" s="673"/>
      <c r="AM1439" s="673"/>
      <c r="AN1439" s="673"/>
      <c r="AO1439" s="673"/>
      <c r="AP1439" s="673"/>
      <c r="AQ1439" s="673"/>
      <c r="AR1439" s="673"/>
      <c r="AS1439" s="673"/>
    </row>
    <row r="1440">
      <c r="A1440" s="653"/>
      <c r="B1440" s="654"/>
      <c r="C1440" s="655"/>
      <c r="D1440" s="656"/>
      <c r="E1440" s="657"/>
      <c r="F1440" s="658"/>
      <c r="G1440" s="659"/>
      <c r="H1440" s="660"/>
      <c r="I1440" s="659"/>
      <c r="J1440" s="661"/>
      <c r="K1440" s="658"/>
      <c r="L1440" s="662"/>
      <c r="M1440" s="663"/>
      <c r="N1440" s="664"/>
      <c r="O1440" s="665"/>
      <c r="P1440" s="666"/>
      <c r="Q1440" s="667"/>
      <c r="R1440" s="668"/>
      <c r="S1440" s="665"/>
      <c r="T1440" s="669"/>
      <c r="U1440" s="669"/>
      <c r="V1440" s="665"/>
      <c r="W1440" s="670"/>
      <c r="X1440" s="670"/>
      <c r="Y1440" s="671"/>
      <c r="Z1440" s="671"/>
      <c r="AA1440" s="672"/>
      <c r="AB1440" s="673"/>
      <c r="AC1440" s="673"/>
      <c r="AD1440" s="673"/>
      <c r="AE1440" s="673"/>
      <c r="AF1440" s="673"/>
      <c r="AG1440" s="673"/>
      <c r="AH1440" s="673"/>
      <c r="AI1440" s="673"/>
      <c r="AJ1440" s="673"/>
      <c r="AK1440" s="673"/>
      <c r="AL1440" s="673"/>
      <c r="AM1440" s="673"/>
      <c r="AN1440" s="673"/>
      <c r="AO1440" s="673"/>
      <c r="AP1440" s="673"/>
      <c r="AQ1440" s="673"/>
      <c r="AR1440" s="673"/>
      <c r="AS1440" s="673"/>
    </row>
    <row r="1441">
      <c r="A1441" s="653"/>
      <c r="B1441" s="654"/>
      <c r="C1441" s="655"/>
      <c r="D1441" s="656"/>
      <c r="E1441" s="657"/>
      <c r="F1441" s="658"/>
      <c r="G1441" s="659"/>
      <c r="H1441" s="660"/>
      <c r="I1441" s="659"/>
      <c r="J1441" s="661"/>
      <c r="K1441" s="658"/>
      <c r="L1441" s="662"/>
      <c r="M1441" s="663"/>
      <c r="N1441" s="664"/>
      <c r="O1441" s="665"/>
      <c r="P1441" s="666"/>
      <c r="Q1441" s="667"/>
      <c r="R1441" s="668"/>
      <c r="S1441" s="665"/>
      <c r="T1441" s="669"/>
      <c r="U1441" s="669"/>
      <c r="V1441" s="665"/>
      <c r="W1441" s="670"/>
      <c r="X1441" s="670"/>
      <c r="Y1441" s="671"/>
      <c r="Z1441" s="671"/>
      <c r="AA1441" s="672"/>
      <c r="AB1441" s="673"/>
      <c r="AC1441" s="673"/>
      <c r="AD1441" s="673"/>
      <c r="AE1441" s="673"/>
      <c r="AF1441" s="673"/>
      <c r="AG1441" s="673"/>
      <c r="AH1441" s="673"/>
      <c r="AI1441" s="673"/>
      <c r="AJ1441" s="673"/>
      <c r="AK1441" s="673"/>
      <c r="AL1441" s="673"/>
      <c r="AM1441" s="673"/>
      <c r="AN1441" s="673"/>
      <c r="AO1441" s="673"/>
      <c r="AP1441" s="673"/>
      <c r="AQ1441" s="673"/>
      <c r="AR1441" s="673"/>
      <c r="AS1441" s="673"/>
    </row>
    <row r="1442">
      <c r="A1442" s="653"/>
      <c r="B1442" s="654"/>
      <c r="C1442" s="655"/>
      <c r="D1442" s="656"/>
      <c r="E1442" s="657"/>
      <c r="F1442" s="658"/>
      <c r="G1442" s="659"/>
      <c r="H1442" s="660"/>
      <c r="I1442" s="659"/>
      <c r="J1442" s="661"/>
      <c r="K1442" s="658"/>
      <c r="L1442" s="662"/>
      <c r="M1442" s="663"/>
      <c r="N1442" s="664"/>
      <c r="O1442" s="665"/>
      <c r="P1442" s="666"/>
      <c r="Q1442" s="667"/>
      <c r="R1442" s="668"/>
      <c r="S1442" s="665"/>
      <c r="T1442" s="669"/>
      <c r="U1442" s="669"/>
      <c r="V1442" s="665"/>
      <c r="W1442" s="670"/>
      <c r="X1442" s="670"/>
      <c r="Y1442" s="671"/>
      <c r="Z1442" s="671"/>
      <c r="AA1442" s="672"/>
      <c r="AB1442" s="673"/>
      <c r="AC1442" s="673"/>
      <c r="AD1442" s="673"/>
      <c r="AE1442" s="673"/>
      <c r="AF1442" s="673"/>
      <c r="AG1442" s="673"/>
      <c r="AH1442" s="673"/>
      <c r="AI1442" s="673"/>
      <c r="AJ1442" s="673"/>
      <c r="AK1442" s="673"/>
      <c r="AL1442" s="673"/>
      <c r="AM1442" s="673"/>
      <c r="AN1442" s="673"/>
      <c r="AO1442" s="673"/>
      <c r="AP1442" s="673"/>
      <c r="AQ1442" s="673"/>
      <c r="AR1442" s="673"/>
      <c r="AS1442" s="673"/>
    </row>
    <row r="1443">
      <c r="A1443" s="653"/>
      <c r="B1443" s="654"/>
      <c r="C1443" s="655"/>
      <c r="D1443" s="656"/>
      <c r="E1443" s="657"/>
      <c r="F1443" s="658"/>
      <c r="G1443" s="659"/>
      <c r="H1443" s="660"/>
      <c r="I1443" s="659"/>
      <c r="J1443" s="661"/>
      <c r="K1443" s="658"/>
      <c r="L1443" s="662"/>
      <c r="M1443" s="663"/>
      <c r="N1443" s="664"/>
      <c r="O1443" s="665"/>
      <c r="P1443" s="666"/>
      <c r="Q1443" s="667"/>
      <c r="R1443" s="668"/>
      <c r="S1443" s="665"/>
      <c r="T1443" s="669"/>
      <c r="U1443" s="669"/>
      <c r="V1443" s="665"/>
      <c r="W1443" s="670"/>
      <c r="X1443" s="670"/>
      <c r="Y1443" s="671"/>
      <c r="Z1443" s="671"/>
      <c r="AA1443" s="672"/>
      <c r="AB1443" s="673"/>
      <c r="AC1443" s="673"/>
      <c r="AD1443" s="673"/>
      <c r="AE1443" s="673"/>
      <c r="AF1443" s="673"/>
      <c r="AG1443" s="673"/>
      <c r="AH1443" s="673"/>
      <c r="AI1443" s="673"/>
      <c r="AJ1443" s="673"/>
      <c r="AK1443" s="673"/>
      <c r="AL1443" s="673"/>
      <c r="AM1443" s="673"/>
      <c r="AN1443" s="673"/>
      <c r="AO1443" s="673"/>
      <c r="AP1443" s="673"/>
      <c r="AQ1443" s="673"/>
      <c r="AR1443" s="673"/>
      <c r="AS1443" s="673"/>
    </row>
    <row r="1444">
      <c r="A1444" s="653"/>
      <c r="B1444" s="654"/>
      <c r="C1444" s="655"/>
      <c r="D1444" s="656"/>
      <c r="E1444" s="657"/>
      <c r="F1444" s="658"/>
      <c r="G1444" s="659"/>
      <c r="H1444" s="660"/>
      <c r="I1444" s="659"/>
      <c r="J1444" s="661"/>
      <c r="K1444" s="658"/>
      <c r="L1444" s="662"/>
      <c r="M1444" s="663"/>
      <c r="N1444" s="664"/>
      <c r="O1444" s="665"/>
      <c r="P1444" s="666"/>
      <c r="Q1444" s="667"/>
      <c r="R1444" s="668"/>
      <c r="S1444" s="665"/>
      <c r="T1444" s="669"/>
      <c r="U1444" s="669"/>
      <c r="V1444" s="665"/>
      <c r="W1444" s="670"/>
      <c r="X1444" s="670"/>
      <c r="Y1444" s="671"/>
      <c r="Z1444" s="671"/>
      <c r="AA1444" s="672"/>
      <c r="AB1444" s="673"/>
      <c r="AC1444" s="673"/>
      <c r="AD1444" s="673"/>
      <c r="AE1444" s="673"/>
      <c r="AF1444" s="673"/>
      <c r="AG1444" s="673"/>
      <c r="AH1444" s="673"/>
      <c r="AI1444" s="673"/>
      <c r="AJ1444" s="673"/>
      <c r="AK1444" s="673"/>
      <c r="AL1444" s="673"/>
      <c r="AM1444" s="673"/>
      <c r="AN1444" s="673"/>
      <c r="AO1444" s="673"/>
      <c r="AP1444" s="673"/>
      <c r="AQ1444" s="673"/>
      <c r="AR1444" s="673"/>
      <c r="AS1444" s="673"/>
    </row>
    <row r="1445">
      <c r="A1445" s="653"/>
      <c r="B1445" s="654"/>
      <c r="C1445" s="655"/>
      <c r="D1445" s="656"/>
      <c r="E1445" s="657"/>
      <c r="F1445" s="658"/>
      <c r="G1445" s="659"/>
      <c r="H1445" s="660"/>
      <c r="I1445" s="659"/>
      <c r="J1445" s="661"/>
      <c r="K1445" s="658"/>
      <c r="L1445" s="662"/>
      <c r="M1445" s="663"/>
      <c r="N1445" s="664"/>
      <c r="O1445" s="665"/>
      <c r="P1445" s="666"/>
      <c r="Q1445" s="667"/>
      <c r="R1445" s="668"/>
      <c r="S1445" s="665"/>
      <c r="T1445" s="669"/>
      <c r="U1445" s="669"/>
      <c r="V1445" s="665"/>
      <c r="W1445" s="670"/>
      <c r="X1445" s="670"/>
      <c r="Y1445" s="671"/>
      <c r="Z1445" s="671"/>
      <c r="AA1445" s="672"/>
      <c r="AB1445" s="673"/>
      <c r="AC1445" s="673"/>
      <c r="AD1445" s="673"/>
      <c r="AE1445" s="673"/>
      <c r="AF1445" s="673"/>
      <c r="AG1445" s="673"/>
      <c r="AH1445" s="673"/>
      <c r="AI1445" s="673"/>
      <c r="AJ1445" s="673"/>
      <c r="AK1445" s="673"/>
      <c r="AL1445" s="673"/>
      <c r="AM1445" s="673"/>
      <c r="AN1445" s="673"/>
      <c r="AO1445" s="673"/>
      <c r="AP1445" s="673"/>
      <c r="AQ1445" s="673"/>
      <c r="AR1445" s="673"/>
      <c r="AS1445" s="673"/>
    </row>
    <row r="1446">
      <c r="A1446" s="653"/>
      <c r="B1446" s="654"/>
      <c r="C1446" s="655"/>
      <c r="D1446" s="656"/>
      <c r="E1446" s="657"/>
      <c r="F1446" s="658"/>
      <c r="G1446" s="659"/>
      <c r="H1446" s="660"/>
      <c r="I1446" s="659"/>
      <c r="J1446" s="661"/>
      <c r="K1446" s="658"/>
      <c r="L1446" s="662"/>
      <c r="M1446" s="663"/>
      <c r="N1446" s="664"/>
      <c r="O1446" s="665"/>
      <c r="P1446" s="666"/>
      <c r="Q1446" s="667"/>
      <c r="R1446" s="668"/>
      <c r="S1446" s="665"/>
      <c r="T1446" s="669"/>
      <c r="U1446" s="669"/>
      <c r="V1446" s="665"/>
      <c r="W1446" s="670"/>
      <c r="X1446" s="670"/>
      <c r="Y1446" s="671"/>
      <c r="Z1446" s="671"/>
      <c r="AA1446" s="672"/>
      <c r="AB1446" s="673"/>
      <c r="AC1446" s="673"/>
      <c r="AD1446" s="673"/>
      <c r="AE1446" s="673"/>
      <c r="AF1446" s="673"/>
      <c r="AG1446" s="673"/>
      <c r="AH1446" s="673"/>
      <c r="AI1446" s="673"/>
      <c r="AJ1446" s="673"/>
      <c r="AK1446" s="673"/>
      <c r="AL1446" s="673"/>
      <c r="AM1446" s="673"/>
      <c r="AN1446" s="673"/>
      <c r="AO1446" s="673"/>
      <c r="AP1446" s="673"/>
      <c r="AQ1446" s="673"/>
      <c r="AR1446" s="673"/>
      <c r="AS1446" s="673"/>
    </row>
    <row r="1447">
      <c r="A1447" s="653"/>
      <c r="B1447" s="654"/>
      <c r="C1447" s="655"/>
      <c r="D1447" s="656"/>
      <c r="E1447" s="657"/>
      <c r="F1447" s="658"/>
      <c r="G1447" s="659"/>
      <c r="H1447" s="660"/>
      <c r="I1447" s="659"/>
      <c r="J1447" s="661"/>
      <c r="K1447" s="658"/>
      <c r="L1447" s="662"/>
      <c r="M1447" s="663"/>
      <c r="N1447" s="664"/>
      <c r="O1447" s="665"/>
      <c r="P1447" s="666"/>
      <c r="Q1447" s="667"/>
      <c r="R1447" s="668"/>
      <c r="S1447" s="665"/>
      <c r="T1447" s="669"/>
      <c r="U1447" s="669"/>
      <c r="V1447" s="665"/>
      <c r="W1447" s="670"/>
      <c r="X1447" s="670"/>
      <c r="Y1447" s="671"/>
      <c r="Z1447" s="671"/>
      <c r="AA1447" s="672"/>
      <c r="AB1447" s="673"/>
      <c r="AC1447" s="673"/>
      <c r="AD1447" s="673"/>
      <c r="AE1447" s="673"/>
      <c r="AF1447" s="673"/>
      <c r="AG1447" s="673"/>
      <c r="AH1447" s="673"/>
      <c r="AI1447" s="673"/>
      <c r="AJ1447" s="673"/>
      <c r="AK1447" s="673"/>
      <c r="AL1447" s="673"/>
      <c r="AM1447" s="673"/>
      <c r="AN1447" s="673"/>
      <c r="AO1447" s="673"/>
      <c r="AP1447" s="673"/>
      <c r="AQ1447" s="673"/>
      <c r="AR1447" s="673"/>
      <c r="AS1447" s="673"/>
    </row>
    <row r="1448">
      <c r="A1448" s="653"/>
      <c r="B1448" s="654"/>
      <c r="C1448" s="655"/>
      <c r="D1448" s="656"/>
      <c r="E1448" s="657"/>
      <c r="F1448" s="658"/>
      <c r="G1448" s="659"/>
      <c r="H1448" s="660"/>
      <c r="I1448" s="659"/>
      <c r="J1448" s="661"/>
      <c r="K1448" s="658"/>
      <c r="L1448" s="662"/>
      <c r="M1448" s="663"/>
      <c r="N1448" s="664"/>
      <c r="O1448" s="665"/>
      <c r="P1448" s="666"/>
      <c r="Q1448" s="667"/>
      <c r="R1448" s="668"/>
      <c r="S1448" s="665"/>
      <c r="T1448" s="669"/>
      <c r="U1448" s="669"/>
      <c r="V1448" s="665"/>
      <c r="W1448" s="670"/>
      <c r="X1448" s="670"/>
      <c r="Y1448" s="671"/>
      <c r="Z1448" s="671"/>
      <c r="AA1448" s="672"/>
      <c r="AB1448" s="673"/>
      <c r="AC1448" s="673"/>
      <c r="AD1448" s="673"/>
      <c r="AE1448" s="673"/>
      <c r="AF1448" s="673"/>
      <c r="AG1448" s="673"/>
      <c r="AH1448" s="673"/>
      <c r="AI1448" s="673"/>
      <c r="AJ1448" s="673"/>
      <c r="AK1448" s="673"/>
      <c r="AL1448" s="673"/>
      <c r="AM1448" s="673"/>
      <c r="AN1448" s="673"/>
      <c r="AO1448" s="673"/>
      <c r="AP1448" s="673"/>
      <c r="AQ1448" s="673"/>
      <c r="AR1448" s="673"/>
      <c r="AS1448" s="673"/>
    </row>
    <row r="1449">
      <c r="A1449" s="653"/>
      <c r="B1449" s="654"/>
      <c r="C1449" s="655"/>
      <c r="D1449" s="656"/>
      <c r="E1449" s="657"/>
      <c r="F1449" s="658"/>
      <c r="G1449" s="659"/>
      <c r="H1449" s="660"/>
      <c r="I1449" s="659"/>
      <c r="J1449" s="661"/>
      <c r="K1449" s="658"/>
      <c r="L1449" s="662"/>
      <c r="M1449" s="663"/>
      <c r="N1449" s="664"/>
      <c r="O1449" s="665"/>
      <c r="P1449" s="666"/>
      <c r="Q1449" s="667"/>
      <c r="R1449" s="668"/>
      <c r="S1449" s="665"/>
      <c r="T1449" s="669"/>
      <c r="U1449" s="669"/>
      <c r="V1449" s="665"/>
      <c r="W1449" s="670"/>
      <c r="X1449" s="670"/>
      <c r="Y1449" s="671"/>
      <c r="Z1449" s="671"/>
      <c r="AA1449" s="672"/>
      <c r="AB1449" s="673"/>
      <c r="AC1449" s="673"/>
      <c r="AD1449" s="673"/>
      <c r="AE1449" s="673"/>
      <c r="AF1449" s="673"/>
      <c r="AG1449" s="673"/>
      <c r="AH1449" s="673"/>
      <c r="AI1449" s="673"/>
      <c r="AJ1449" s="673"/>
      <c r="AK1449" s="673"/>
      <c r="AL1449" s="673"/>
      <c r="AM1449" s="673"/>
      <c r="AN1449" s="673"/>
      <c r="AO1449" s="673"/>
      <c r="AP1449" s="673"/>
      <c r="AQ1449" s="673"/>
      <c r="AR1449" s="673"/>
      <c r="AS1449" s="673"/>
    </row>
    <row r="1450">
      <c r="A1450" s="653"/>
      <c r="B1450" s="654"/>
      <c r="C1450" s="655"/>
      <c r="D1450" s="656"/>
      <c r="E1450" s="657"/>
      <c r="F1450" s="658"/>
      <c r="G1450" s="659"/>
      <c r="H1450" s="660"/>
      <c r="I1450" s="659"/>
      <c r="J1450" s="661"/>
      <c r="K1450" s="658"/>
      <c r="L1450" s="662"/>
      <c r="M1450" s="663"/>
      <c r="N1450" s="664"/>
      <c r="O1450" s="665"/>
      <c r="P1450" s="666"/>
      <c r="Q1450" s="667"/>
      <c r="R1450" s="668"/>
      <c r="S1450" s="665"/>
      <c r="T1450" s="669"/>
      <c r="U1450" s="669"/>
      <c r="V1450" s="665"/>
      <c r="W1450" s="670"/>
      <c r="X1450" s="670"/>
      <c r="Y1450" s="671"/>
      <c r="Z1450" s="671"/>
      <c r="AA1450" s="672"/>
      <c r="AB1450" s="673"/>
      <c r="AC1450" s="673"/>
      <c r="AD1450" s="673"/>
      <c r="AE1450" s="673"/>
      <c r="AF1450" s="673"/>
      <c r="AG1450" s="673"/>
      <c r="AH1450" s="673"/>
      <c r="AI1450" s="673"/>
      <c r="AJ1450" s="673"/>
      <c r="AK1450" s="673"/>
      <c r="AL1450" s="673"/>
      <c r="AM1450" s="673"/>
      <c r="AN1450" s="673"/>
      <c r="AO1450" s="673"/>
      <c r="AP1450" s="673"/>
      <c r="AQ1450" s="673"/>
      <c r="AR1450" s="673"/>
      <c r="AS1450" s="673"/>
    </row>
    <row r="1451">
      <c r="A1451" s="653"/>
      <c r="B1451" s="654"/>
      <c r="C1451" s="655"/>
      <c r="D1451" s="656"/>
      <c r="E1451" s="657"/>
      <c r="F1451" s="658"/>
      <c r="G1451" s="659"/>
      <c r="H1451" s="660"/>
      <c r="I1451" s="659"/>
      <c r="J1451" s="661"/>
      <c r="K1451" s="658"/>
      <c r="L1451" s="662"/>
      <c r="M1451" s="663"/>
      <c r="N1451" s="664"/>
      <c r="O1451" s="665"/>
      <c r="P1451" s="666"/>
      <c r="Q1451" s="667"/>
      <c r="R1451" s="668"/>
      <c r="S1451" s="665"/>
      <c r="T1451" s="669"/>
      <c r="U1451" s="669"/>
      <c r="V1451" s="665"/>
      <c r="W1451" s="670"/>
      <c r="X1451" s="670"/>
      <c r="Y1451" s="671"/>
      <c r="Z1451" s="671"/>
      <c r="AA1451" s="672"/>
      <c r="AB1451" s="673"/>
      <c r="AC1451" s="673"/>
      <c r="AD1451" s="673"/>
      <c r="AE1451" s="673"/>
      <c r="AF1451" s="673"/>
      <c r="AG1451" s="673"/>
      <c r="AH1451" s="673"/>
      <c r="AI1451" s="673"/>
      <c r="AJ1451" s="673"/>
      <c r="AK1451" s="673"/>
      <c r="AL1451" s="673"/>
      <c r="AM1451" s="673"/>
      <c r="AN1451" s="673"/>
      <c r="AO1451" s="673"/>
      <c r="AP1451" s="673"/>
      <c r="AQ1451" s="673"/>
      <c r="AR1451" s="673"/>
      <c r="AS1451" s="673"/>
    </row>
    <row r="1452">
      <c r="A1452" s="653"/>
      <c r="B1452" s="654"/>
      <c r="C1452" s="655"/>
      <c r="D1452" s="656"/>
      <c r="E1452" s="657"/>
      <c r="F1452" s="658"/>
      <c r="G1452" s="659"/>
      <c r="H1452" s="660"/>
      <c r="I1452" s="659"/>
      <c r="J1452" s="661"/>
      <c r="K1452" s="658"/>
      <c r="L1452" s="662"/>
      <c r="M1452" s="663"/>
      <c r="N1452" s="664"/>
      <c r="O1452" s="665"/>
      <c r="P1452" s="666"/>
      <c r="Q1452" s="667"/>
      <c r="R1452" s="668"/>
      <c r="S1452" s="665"/>
      <c r="T1452" s="669"/>
      <c r="U1452" s="669"/>
      <c r="V1452" s="665"/>
      <c r="W1452" s="670"/>
      <c r="X1452" s="670"/>
      <c r="Y1452" s="671"/>
      <c r="Z1452" s="671"/>
      <c r="AA1452" s="672"/>
      <c r="AB1452" s="673"/>
      <c r="AC1452" s="673"/>
      <c r="AD1452" s="673"/>
      <c r="AE1452" s="673"/>
      <c r="AF1452" s="673"/>
      <c r="AG1452" s="673"/>
      <c r="AH1452" s="673"/>
      <c r="AI1452" s="673"/>
      <c r="AJ1452" s="673"/>
      <c r="AK1452" s="673"/>
      <c r="AL1452" s="673"/>
      <c r="AM1452" s="673"/>
      <c r="AN1452" s="673"/>
      <c r="AO1452" s="673"/>
      <c r="AP1452" s="673"/>
      <c r="AQ1452" s="673"/>
      <c r="AR1452" s="673"/>
      <c r="AS1452" s="673"/>
    </row>
    <row r="1453">
      <c r="A1453" s="653"/>
      <c r="B1453" s="654"/>
      <c r="C1453" s="655"/>
      <c r="D1453" s="656"/>
      <c r="E1453" s="657"/>
      <c r="F1453" s="658"/>
      <c r="G1453" s="659"/>
      <c r="H1453" s="660"/>
      <c r="I1453" s="659"/>
      <c r="J1453" s="661"/>
      <c r="K1453" s="658"/>
      <c r="L1453" s="662"/>
      <c r="M1453" s="663"/>
      <c r="N1453" s="664"/>
      <c r="O1453" s="665"/>
      <c r="P1453" s="666"/>
      <c r="Q1453" s="667"/>
      <c r="R1453" s="668"/>
      <c r="S1453" s="665"/>
      <c r="T1453" s="669"/>
      <c r="U1453" s="669"/>
      <c r="V1453" s="665"/>
      <c r="W1453" s="670"/>
      <c r="X1453" s="670"/>
      <c r="Y1453" s="671"/>
      <c r="Z1453" s="671"/>
      <c r="AA1453" s="672"/>
      <c r="AB1453" s="673"/>
      <c r="AC1453" s="673"/>
      <c r="AD1453" s="673"/>
      <c r="AE1453" s="673"/>
      <c r="AF1453" s="673"/>
      <c r="AG1453" s="673"/>
      <c r="AH1453" s="673"/>
      <c r="AI1453" s="673"/>
      <c r="AJ1453" s="673"/>
      <c r="AK1453" s="673"/>
      <c r="AL1453" s="673"/>
      <c r="AM1453" s="673"/>
      <c r="AN1453" s="673"/>
      <c r="AO1453" s="673"/>
      <c r="AP1453" s="673"/>
      <c r="AQ1453" s="673"/>
      <c r="AR1453" s="673"/>
      <c r="AS1453" s="673"/>
    </row>
    <row r="1454">
      <c r="A1454" s="653"/>
      <c r="B1454" s="654"/>
      <c r="C1454" s="655"/>
      <c r="D1454" s="656"/>
      <c r="E1454" s="657"/>
      <c r="F1454" s="658"/>
      <c r="G1454" s="659"/>
      <c r="H1454" s="660"/>
      <c r="I1454" s="659"/>
      <c r="J1454" s="661"/>
      <c r="K1454" s="658"/>
      <c r="L1454" s="662"/>
      <c r="M1454" s="663"/>
      <c r="N1454" s="664"/>
      <c r="O1454" s="665"/>
      <c r="P1454" s="666"/>
      <c r="Q1454" s="667"/>
      <c r="R1454" s="668"/>
      <c r="S1454" s="665"/>
      <c r="T1454" s="669"/>
      <c r="U1454" s="669"/>
      <c r="V1454" s="665"/>
      <c r="W1454" s="670"/>
      <c r="X1454" s="670"/>
      <c r="Y1454" s="671"/>
      <c r="Z1454" s="671"/>
      <c r="AA1454" s="672"/>
      <c r="AB1454" s="673"/>
      <c r="AC1454" s="673"/>
      <c r="AD1454" s="673"/>
      <c r="AE1454" s="673"/>
      <c r="AF1454" s="673"/>
      <c r="AG1454" s="673"/>
      <c r="AH1454" s="673"/>
      <c r="AI1454" s="673"/>
      <c r="AJ1454" s="673"/>
      <c r="AK1454" s="673"/>
      <c r="AL1454" s="673"/>
      <c r="AM1454" s="673"/>
      <c r="AN1454" s="673"/>
      <c r="AO1454" s="673"/>
      <c r="AP1454" s="673"/>
      <c r="AQ1454" s="673"/>
      <c r="AR1454" s="673"/>
      <c r="AS1454" s="673"/>
    </row>
    <row r="1455">
      <c r="A1455" s="653"/>
      <c r="B1455" s="654"/>
      <c r="C1455" s="655"/>
      <c r="D1455" s="656"/>
      <c r="E1455" s="657"/>
      <c r="F1455" s="658"/>
      <c r="G1455" s="659"/>
      <c r="H1455" s="660"/>
      <c r="I1455" s="659"/>
      <c r="J1455" s="661"/>
      <c r="K1455" s="658"/>
      <c r="L1455" s="662"/>
      <c r="M1455" s="663"/>
      <c r="N1455" s="664"/>
      <c r="O1455" s="665"/>
      <c r="P1455" s="666"/>
      <c r="Q1455" s="667"/>
      <c r="R1455" s="668"/>
      <c r="S1455" s="665"/>
      <c r="T1455" s="669"/>
      <c r="U1455" s="669"/>
      <c r="V1455" s="665"/>
      <c r="W1455" s="670"/>
      <c r="X1455" s="670"/>
      <c r="Y1455" s="671"/>
      <c r="Z1455" s="671"/>
      <c r="AA1455" s="672"/>
      <c r="AB1455" s="673"/>
      <c r="AC1455" s="673"/>
      <c r="AD1455" s="673"/>
      <c r="AE1455" s="673"/>
      <c r="AF1455" s="673"/>
      <c r="AG1455" s="673"/>
      <c r="AH1455" s="673"/>
      <c r="AI1455" s="673"/>
      <c r="AJ1455" s="673"/>
      <c r="AK1455" s="673"/>
      <c r="AL1455" s="673"/>
      <c r="AM1455" s="673"/>
      <c r="AN1455" s="673"/>
      <c r="AO1455" s="673"/>
      <c r="AP1455" s="673"/>
      <c r="AQ1455" s="673"/>
      <c r="AR1455" s="673"/>
      <c r="AS1455" s="673"/>
    </row>
    <row r="1456">
      <c r="A1456" s="653"/>
      <c r="B1456" s="654"/>
      <c r="C1456" s="655"/>
      <c r="D1456" s="656"/>
      <c r="E1456" s="657"/>
      <c r="F1456" s="658"/>
      <c r="G1456" s="659"/>
      <c r="H1456" s="660"/>
      <c r="I1456" s="659"/>
      <c r="J1456" s="661"/>
      <c r="K1456" s="658"/>
      <c r="L1456" s="662"/>
      <c r="M1456" s="663"/>
      <c r="N1456" s="664"/>
      <c r="O1456" s="665"/>
      <c r="P1456" s="666"/>
      <c r="Q1456" s="667"/>
      <c r="R1456" s="668"/>
      <c r="S1456" s="665"/>
      <c r="T1456" s="669"/>
      <c r="U1456" s="669"/>
      <c r="V1456" s="665"/>
      <c r="W1456" s="670"/>
      <c r="X1456" s="670"/>
      <c r="Y1456" s="671"/>
      <c r="Z1456" s="671"/>
      <c r="AA1456" s="672"/>
      <c r="AB1456" s="673"/>
      <c r="AC1456" s="673"/>
      <c r="AD1456" s="673"/>
      <c r="AE1456" s="673"/>
      <c r="AF1456" s="673"/>
      <c r="AG1456" s="673"/>
      <c r="AH1456" s="673"/>
      <c r="AI1456" s="673"/>
      <c r="AJ1456" s="673"/>
      <c r="AK1456" s="673"/>
      <c r="AL1456" s="673"/>
      <c r="AM1456" s="673"/>
      <c r="AN1456" s="673"/>
      <c r="AO1456" s="673"/>
      <c r="AP1456" s="673"/>
      <c r="AQ1456" s="673"/>
      <c r="AR1456" s="673"/>
      <c r="AS1456" s="673"/>
    </row>
    <row r="1457">
      <c r="A1457" s="653"/>
      <c r="B1457" s="654"/>
      <c r="C1457" s="655"/>
      <c r="D1457" s="656"/>
      <c r="E1457" s="657"/>
      <c r="F1457" s="658"/>
      <c r="G1457" s="659"/>
      <c r="H1457" s="660"/>
      <c r="I1457" s="659"/>
      <c r="J1457" s="661"/>
      <c r="K1457" s="658"/>
      <c r="L1457" s="662"/>
      <c r="M1457" s="663"/>
      <c r="N1457" s="664"/>
      <c r="O1457" s="665"/>
      <c r="P1457" s="666"/>
      <c r="Q1457" s="667"/>
      <c r="R1457" s="668"/>
      <c r="S1457" s="665"/>
      <c r="T1457" s="669"/>
      <c r="U1457" s="669"/>
      <c r="V1457" s="665"/>
      <c r="W1457" s="670"/>
      <c r="X1457" s="670"/>
      <c r="Y1457" s="671"/>
      <c r="Z1457" s="671"/>
      <c r="AA1457" s="672"/>
      <c r="AB1457" s="673"/>
      <c r="AC1457" s="673"/>
      <c r="AD1457" s="673"/>
      <c r="AE1457" s="673"/>
      <c r="AF1457" s="673"/>
      <c r="AG1457" s="673"/>
      <c r="AH1457" s="673"/>
      <c r="AI1457" s="673"/>
      <c r="AJ1457" s="673"/>
      <c r="AK1457" s="673"/>
      <c r="AL1457" s="673"/>
      <c r="AM1457" s="673"/>
      <c r="AN1457" s="673"/>
      <c r="AO1457" s="673"/>
      <c r="AP1457" s="673"/>
      <c r="AQ1457" s="673"/>
      <c r="AR1457" s="673"/>
      <c r="AS1457" s="673"/>
    </row>
    <row r="1458">
      <c r="A1458" s="653"/>
      <c r="B1458" s="654"/>
      <c r="C1458" s="655"/>
      <c r="D1458" s="656"/>
      <c r="E1458" s="657"/>
      <c r="F1458" s="658"/>
      <c r="G1458" s="659"/>
      <c r="H1458" s="660"/>
      <c r="I1458" s="659"/>
      <c r="J1458" s="661"/>
      <c r="K1458" s="658"/>
      <c r="L1458" s="662"/>
      <c r="M1458" s="663"/>
      <c r="N1458" s="664"/>
      <c r="O1458" s="665"/>
      <c r="P1458" s="666"/>
      <c r="Q1458" s="667"/>
      <c r="R1458" s="668"/>
      <c r="S1458" s="665"/>
      <c r="T1458" s="669"/>
      <c r="U1458" s="669"/>
      <c r="V1458" s="665"/>
      <c r="W1458" s="670"/>
      <c r="X1458" s="670"/>
      <c r="Y1458" s="671"/>
      <c r="Z1458" s="671"/>
      <c r="AA1458" s="672"/>
      <c r="AB1458" s="673"/>
      <c r="AC1458" s="673"/>
      <c r="AD1458" s="673"/>
      <c r="AE1458" s="673"/>
      <c r="AF1458" s="673"/>
      <c r="AG1458" s="673"/>
      <c r="AH1458" s="673"/>
      <c r="AI1458" s="673"/>
      <c r="AJ1458" s="673"/>
      <c r="AK1458" s="673"/>
      <c r="AL1458" s="673"/>
      <c r="AM1458" s="673"/>
      <c r="AN1458" s="673"/>
      <c r="AO1458" s="673"/>
      <c r="AP1458" s="673"/>
      <c r="AQ1458" s="673"/>
      <c r="AR1458" s="673"/>
      <c r="AS1458" s="673"/>
    </row>
    <row r="1459">
      <c r="A1459" s="653"/>
      <c r="B1459" s="654"/>
      <c r="C1459" s="655"/>
      <c r="D1459" s="656"/>
      <c r="E1459" s="657"/>
      <c r="F1459" s="658"/>
      <c r="G1459" s="659"/>
      <c r="H1459" s="660"/>
      <c r="I1459" s="659"/>
      <c r="J1459" s="661"/>
      <c r="K1459" s="658"/>
      <c r="L1459" s="662"/>
      <c r="M1459" s="663"/>
      <c r="N1459" s="664"/>
      <c r="O1459" s="665"/>
      <c r="P1459" s="666"/>
      <c r="Q1459" s="667"/>
      <c r="R1459" s="668"/>
      <c r="S1459" s="665"/>
      <c r="T1459" s="669"/>
      <c r="U1459" s="669"/>
      <c r="V1459" s="665"/>
      <c r="W1459" s="670"/>
      <c r="X1459" s="670"/>
      <c r="Y1459" s="671"/>
      <c r="Z1459" s="671"/>
      <c r="AA1459" s="672"/>
      <c r="AB1459" s="673"/>
      <c r="AC1459" s="673"/>
      <c r="AD1459" s="673"/>
      <c r="AE1459" s="673"/>
      <c r="AF1459" s="673"/>
      <c r="AG1459" s="673"/>
      <c r="AH1459" s="673"/>
      <c r="AI1459" s="673"/>
      <c r="AJ1459" s="673"/>
      <c r="AK1459" s="673"/>
      <c r="AL1459" s="673"/>
      <c r="AM1459" s="673"/>
      <c r="AN1459" s="673"/>
      <c r="AO1459" s="673"/>
      <c r="AP1459" s="673"/>
      <c r="AQ1459" s="673"/>
      <c r="AR1459" s="673"/>
      <c r="AS1459" s="673"/>
    </row>
    <row r="1460">
      <c r="A1460" s="653"/>
      <c r="B1460" s="654"/>
      <c r="C1460" s="655"/>
      <c r="D1460" s="656"/>
      <c r="E1460" s="657"/>
      <c r="F1460" s="658"/>
      <c r="G1460" s="659"/>
      <c r="H1460" s="660"/>
      <c r="I1460" s="659"/>
      <c r="J1460" s="661"/>
      <c r="K1460" s="658"/>
      <c r="L1460" s="662"/>
      <c r="M1460" s="663"/>
      <c r="N1460" s="664"/>
      <c r="O1460" s="665"/>
      <c r="P1460" s="666"/>
      <c r="Q1460" s="667"/>
      <c r="R1460" s="668"/>
      <c r="S1460" s="665"/>
      <c r="T1460" s="669"/>
      <c r="U1460" s="669"/>
      <c r="V1460" s="665"/>
      <c r="W1460" s="670"/>
      <c r="X1460" s="670"/>
      <c r="Y1460" s="671"/>
      <c r="Z1460" s="671"/>
      <c r="AA1460" s="672"/>
      <c r="AB1460" s="673"/>
      <c r="AC1460" s="673"/>
      <c r="AD1460" s="673"/>
      <c r="AE1460" s="673"/>
      <c r="AF1460" s="673"/>
      <c r="AG1460" s="673"/>
      <c r="AH1460" s="673"/>
      <c r="AI1460" s="673"/>
      <c r="AJ1460" s="673"/>
      <c r="AK1460" s="673"/>
      <c r="AL1460" s="673"/>
      <c r="AM1460" s="673"/>
      <c r="AN1460" s="673"/>
      <c r="AO1460" s="673"/>
      <c r="AP1460" s="673"/>
      <c r="AQ1460" s="673"/>
      <c r="AR1460" s="673"/>
      <c r="AS1460" s="673"/>
    </row>
    <row r="1461">
      <c r="A1461" s="653"/>
      <c r="B1461" s="654"/>
      <c r="C1461" s="655"/>
      <c r="D1461" s="656"/>
      <c r="E1461" s="657"/>
      <c r="F1461" s="658"/>
      <c r="G1461" s="659"/>
      <c r="H1461" s="660"/>
      <c r="I1461" s="659"/>
      <c r="J1461" s="661"/>
      <c r="K1461" s="658"/>
      <c r="L1461" s="662"/>
      <c r="M1461" s="663"/>
      <c r="N1461" s="664"/>
      <c r="O1461" s="665"/>
      <c r="P1461" s="666"/>
      <c r="Q1461" s="667"/>
      <c r="R1461" s="668"/>
      <c r="S1461" s="665"/>
      <c r="T1461" s="669"/>
      <c r="U1461" s="669"/>
      <c r="V1461" s="665"/>
      <c r="W1461" s="670"/>
      <c r="X1461" s="670"/>
      <c r="Y1461" s="671"/>
      <c r="Z1461" s="671"/>
      <c r="AA1461" s="672"/>
      <c r="AB1461" s="673"/>
      <c r="AC1461" s="673"/>
      <c r="AD1461" s="673"/>
      <c r="AE1461" s="673"/>
      <c r="AF1461" s="673"/>
      <c r="AG1461" s="673"/>
      <c r="AH1461" s="673"/>
      <c r="AI1461" s="673"/>
      <c r="AJ1461" s="673"/>
      <c r="AK1461" s="673"/>
      <c r="AL1461" s="673"/>
      <c r="AM1461" s="673"/>
      <c r="AN1461" s="673"/>
      <c r="AO1461" s="673"/>
      <c r="AP1461" s="673"/>
      <c r="AQ1461" s="673"/>
      <c r="AR1461" s="673"/>
      <c r="AS1461" s="673"/>
    </row>
    <row r="1462">
      <c r="A1462" s="653"/>
      <c r="B1462" s="654"/>
      <c r="C1462" s="655"/>
      <c r="D1462" s="656"/>
      <c r="E1462" s="657"/>
      <c r="F1462" s="658"/>
      <c r="G1462" s="659"/>
      <c r="H1462" s="660"/>
      <c r="I1462" s="659"/>
      <c r="J1462" s="661"/>
      <c r="K1462" s="658"/>
      <c r="L1462" s="662"/>
      <c r="M1462" s="663"/>
      <c r="N1462" s="664"/>
      <c r="O1462" s="665"/>
      <c r="P1462" s="666"/>
      <c r="Q1462" s="667"/>
      <c r="R1462" s="668"/>
      <c r="S1462" s="665"/>
      <c r="T1462" s="669"/>
      <c r="U1462" s="669"/>
      <c r="V1462" s="665"/>
      <c r="W1462" s="670"/>
      <c r="X1462" s="670"/>
      <c r="Y1462" s="671"/>
      <c r="Z1462" s="671"/>
      <c r="AA1462" s="672"/>
      <c r="AB1462" s="673"/>
      <c r="AC1462" s="673"/>
      <c r="AD1462" s="673"/>
      <c r="AE1462" s="673"/>
      <c r="AF1462" s="673"/>
      <c r="AG1462" s="673"/>
      <c r="AH1462" s="673"/>
      <c r="AI1462" s="673"/>
      <c r="AJ1462" s="673"/>
      <c r="AK1462" s="673"/>
      <c r="AL1462" s="673"/>
      <c r="AM1462" s="673"/>
      <c r="AN1462" s="673"/>
      <c r="AO1462" s="673"/>
      <c r="AP1462" s="673"/>
      <c r="AQ1462" s="673"/>
      <c r="AR1462" s="673"/>
      <c r="AS1462" s="673"/>
    </row>
    <row r="1463">
      <c r="A1463" s="653"/>
      <c r="B1463" s="654"/>
      <c r="C1463" s="655"/>
      <c r="D1463" s="656"/>
      <c r="E1463" s="657"/>
      <c r="F1463" s="658"/>
      <c r="G1463" s="659"/>
      <c r="H1463" s="660"/>
      <c r="I1463" s="659"/>
      <c r="J1463" s="661"/>
      <c r="K1463" s="658"/>
      <c r="L1463" s="662"/>
      <c r="M1463" s="663"/>
      <c r="N1463" s="664"/>
      <c r="O1463" s="665"/>
      <c r="P1463" s="666"/>
      <c r="Q1463" s="667"/>
      <c r="R1463" s="668"/>
      <c r="S1463" s="665"/>
      <c r="T1463" s="669"/>
      <c r="U1463" s="669"/>
      <c r="V1463" s="665"/>
      <c r="W1463" s="670"/>
      <c r="X1463" s="670"/>
      <c r="Y1463" s="671"/>
      <c r="Z1463" s="671"/>
      <c r="AA1463" s="672"/>
      <c r="AB1463" s="673"/>
      <c r="AC1463" s="673"/>
      <c r="AD1463" s="673"/>
      <c r="AE1463" s="673"/>
      <c r="AF1463" s="673"/>
      <c r="AG1463" s="673"/>
      <c r="AH1463" s="673"/>
      <c r="AI1463" s="673"/>
      <c r="AJ1463" s="673"/>
      <c r="AK1463" s="673"/>
      <c r="AL1463" s="673"/>
      <c r="AM1463" s="673"/>
      <c r="AN1463" s="673"/>
      <c r="AO1463" s="673"/>
      <c r="AP1463" s="673"/>
      <c r="AQ1463" s="673"/>
      <c r="AR1463" s="673"/>
      <c r="AS1463" s="673"/>
    </row>
    <row r="1464">
      <c r="A1464" s="653"/>
      <c r="B1464" s="654"/>
      <c r="C1464" s="655"/>
      <c r="D1464" s="656"/>
      <c r="E1464" s="657"/>
      <c r="F1464" s="658"/>
      <c r="G1464" s="659"/>
      <c r="H1464" s="660"/>
      <c r="I1464" s="659"/>
      <c r="J1464" s="661"/>
      <c r="K1464" s="658"/>
      <c r="L1464" s="662"/>
      <c r="M1464" s="663"/>
      <c r="N1464" s="664"/>
      <c r="O1464" s="665"/>
      <c r="P1464" s="666"/>
      <c r="Q1464" s="667"/>
      <c r="R1464" s="668"/>
      <c r="S1464" s="665"/>
      <c r="T1464" s="669"/>
      <c r="U1464" s="669"/>
      <c r="V1464" s="665"/>
      <c r="W1464" s="670"/>
      <c r="X1464" s="670"/>
      <c r="Y1464" s="671"/>
      <c r="Z1464" s="671"/>
      <c r="AA1464" s="672"/>
      <c r="AB1464" s="673"/>
      <c r="AC1464" s="673"/>
      <c r="AD1464" s="673"/>
      <c r="AE1464" s="673"/>
      <c r="AF1464" s="673"/>
      <c r="AG1464" s="673"/>
      <c r="AH1464" s="673"/>
      <c r="AI1464" s="673"/>
      <c r="AJ1464" s="673"/>
      <c r="AK1464" s="673"/>
      <c r="AL1464" s="673"/>
      <c r="AM1464" s="673"/>
      <c r="AN1464" s="673"/>
      <c r="AO1464" s="673"/>
      <c r="AP1464" s="673"/>
      <c r="AQ1464" s="673"/>
      <c r="AR1464" s="673"/>
      <c r="AS1464" s="673"/>
    </row>
    <row r="1465">
      <c r="A1465" s="653"/>
      <c r="B1465" s="654"/>
      <c r="C1465" s="655"/>
      <c r="D1465" s="656"/>
      <c r="E1465" s="657"/>
      <c r="F1465" s="658"/>
      <c r="G1465" s="659"/>
      <c r="H1465" s="660"/>
      <c r="I1465" s="659"/>
      <c r="J1465" s="661"/>
      <c r="K1465" s="658"/>
      <c r="L1465" s="662"/>
      <c r="M1465" s="663"/>
      <c r="N1465" s="664"/>
      <c r="O1465" s="665"/>
      <c r="P1465" s="666"/>
      <c r="Q1465" s="667"/>
      <c r="R1465" s="668"/>
      <c r="S1465" s="665"/>
      <c r="T1465" s="669"/>
      <c r="U1465" s="669"/>
      <c r="V1465" s="665"/>
      <c r="W1465" s="670"/>
      <c r="X1465" s="670"/>
      <c r="Y1465" s="671"/>
      <c r="Z1465" s="671"/>
      <c r="AA1465" s="672"/>
      <c r="AB1465" s="673"/>
      <c r="AC1465" s="673"/>
      <c r="AD1465" s="673"/>
      <c r="AE1465" s="673"/>
      <c r="AF1465" s="673"/>
      <c r="AG1465" s="673"/>
      <c r="AH1465" s="673"/>
      <c r="AI1465" s="673"/>
      <c r="AJ1465" s="673"/>
      <c r="AK1465" s="673"/>
      <c r="AL1465" s="673"/>
      <c r="AM1465" s="673"/>
      <c r="AN1465" s="673"/>
      <c r="AO1465" s="673"/>
      <c r="AP1465" s="673"/>
      <c r="AQ1465" s="673"/>
      <c r="AR1465" s="673"/>
      <c r="AS1465" s="673"/>
    </row>
    <row r="1466">
      <c r="A1466" s="653"/>
      <c r="B1466" s="654"/>
      <c r="C1466" s="655"/>
      <c r="D1466" s="656"/>
      <c r="E1466" s="657"/>
      <c r="F1466" s="658"/>
      <c r="G1466" s="659"/>
      <c r="H1466" s="660"/>
      <c r="I1466" s="659"/>
      <c r="J1466" s="661"/>
      <c r="K1466" s="658"/>
      <c r="L1466" s="662"/>
      <c r="M1466" s="663"/>
      <c r="N1466" s="664"/>
      <c r="O1466" s="665"/>
      <c r="P1466" s="666"/>
      <c r="Q1466" s="667"/>
      <c r="R1466" s="668"/>
      <c r="S1466" s="665"/>
      <c r="T1466" s="669"/>
      <c r="U1466" s="669"/>
      <c r="V1466" s="665"/>
      <c r="W1466" s="670"/>
      <c r="X1466" s="670"/>
      <c r="Y1466" s="671"/>
      <c r="Z1466" s="671"/>
      <c r="AA1466" s="672"/>
      <c r="AB1466" s="673"/>
      <c r="AC1466" s="673"/>
      <c r="AD1466" s="673"/>
      <c r="AE1466" s="673"/>
      <c r="AF1466" s="673"/>
      <c r="AG1466" s="673"/>
      <c r="AH1466" s="673"/>
      <c r="AI1466" s="673"/>
      <c r="AJ1466" s="673"/>
      <c r="AK1466" s="673"/>
      <c r="AL1466" s="673"/>
      <c r="AM1466" s="673"/>
      <c r="AN1466" s="673"/>
      <c r="AO1466" s="673"/>
      <c r="AP1466" s="673"/>
      <c r="AQ1466" s="673"/>
      <c r="AR1466" s="673"/>
      <c r="AS1466" s="673"/>
    </row>
    <row r="1467">
      <c r="A1467" s="653"/>
      <c r="B1467" s="654"/>
      <c r="C1467" s="655"/>
      <c r="D1467" s="656"/>
      <c r="E1467" s="657"/>
      <c r="F1467" s="658"/>
      <c r="G1467" s="659"/>
      <c r="H1467" s="660"/>
      <c r="I1467" s="659"/>
      <c r="J1467" s="661"/>
      <c r="K1467" s="658"/>
      <c r="L1467" s="662"/>
      <c r="M1467" s="663"/>
      <c r="N1467" s="664"/>
      <c r="O1467" s="665"/>
      <c r="P1467" s="666"/>
      <c r="Q1467" s="667"/>
      <c r="R1467" s="668"/>
      <c r="S1467" s="665"/>
      <c r="T1467" s="669"/>
      <c r="U1467" s="669"/>
      <c r="V1467" s="665"/>
      <c r="W1467" s="670"/>
      <c r="X1467" s="670"/>
      <c r="Y1467" s="671"/>
      <c r="Z1467" s="671"/>
      <c r="AA1467" s="672"/>
      <c r="AB1467" s="673"/>
      <c r="AC1467" s="673"/>
      <c r="AD1467" s="673"/>
      <c r="AE1467" s="673"/>
      <c r="AF1467" s="673"/>
      <c r="AG1467" s="673"/>
      <c r="AH1467" s="673"/>
      <c r="AI1467" s="673"/>
      <c r="AJ1467" s="673"/>
      <c r="AK1467" s="673"/>
      <c r="AL1467" s="673"/>
      <c r="AM1467" s="673"/>
      <c r="AN1467" s="673"/>
      <c r="AO1467" s="673"/>
      <c r="AP1467" s="673"/>
      <c r="AQ1467" s="673"/>
      <c r="AR1467" s="673"/>
      <c r="AS1467" s="673"/>
    </row>
    <row r="1468">
      <c r="A1468" s="653"/>
      <c r="B1468" s="654"/>
      <c r="C1468" s="655"/>
      <c r="D1468" s="656"/>
      <c r="E1468" s="657"/>
      <c r="F1468" s="658"/>
      <c r="G1468" s="659"/>
      <c r="H1468" s="660"/>
      <c r="I1468" s="659"/>
      <c r="J1468" s="661"/>
      <c r="K1468" s="658"/>
      <c r="L1468" s="662"/>
      <c r="M1468" s="663"/>
      <c r="N1468" s="664"/>
      <c r="O1468" s="665"/>
      <c r="P1468" s="666"/>
      <c r="Q1468" s="667"/>
      <c r="R1468" s="668"/>
      <c r="S1468" s="665"/>
      <c r="T1468" s="669"/>
      <c r="U1468" s="669"/>
      <c r="V1468" s="665"/>
      <c r="W1468" s="670"/>
      <c r="X1468" s="670"/>
      <c r="Y1468" s="671"/>
      <c r="Z1468" s="671"/>
      <c r="AA1468" s="672"/>
      <c r="AB1468" s="673"/>
      <c r="AC1468" s="673"/>
      <c r="AD1468" s="673"/>
      <c r="AE1468" s="673"/>
      <c r="AF1468" s="673"/>
      <c r="AG1468" s="673"/>
      <c r="AH1468" s="673"/>
      <c r="AI1468" s="673"/>
      <c r="AJ1468" s="673"/>
      <c r="AK1468" s="673"/>
      <c r="AL1468" s="673"/>
      <c r="AM1468" s="673"/>
      <c r="AN1468" s="673"/>
      <c r="AO1468" s="673"/>
      <c r="AP1468" s="673"/>
      <c r="AQ1468" s="673"/>
      <c r="AR1468" s="673"/>
      <c r="AS1468" s="673"/>
    </row>
    <row r="1469">
      <c r="A1469" s="653"/>
      <c r="B1469" s="654"/>
      <c r="C1469" s="655"/>
      <c r="D1469" s="656"/>
      <c r="E1469" s="657"/>
      <c r="F1469" s="658"/>
      <c r="G1469" s="659"/>
      <c r="H1469" s="660"/>
      <c r="I1469" s="659"/>
      <c r="J1469" s="661"/>
      <c r="K1469" s="658"/>
      <c r="L1469" s="662"/>
      <c r="M1469" s="663"/>
      <c r="N1469" s="664"/>
      <c r="O1469" s="665"/>
      <c r="P1469" s="666"/>
      <c r="Q1469" s="667"/>
      <c r="R1469" s="668"/>
      <c r="S1469" s="665"/>
      <c r="T1469" s="669"/>
      <c r="U1469" s="669"/>
      <c r="V1469" s="665"/>
      <c r="W1469" s="670"/>
      <c r="X1469" s="670"/>
      <c r="Y1469" s="671"/>
      <c r="Z1469" s="671"/>
      <c r="AA1469" s="672"/>
      <c r="AB1469" s="673"/>
      <c r="AC1469" s="673"/>
      <c r="AD1469" s="673"/>
      <c r="AE1469" s="673"/>
      <c r="AF1469" s="673"/>
      <c r="AG1469" s="673"/>
      <c r="AH1469" s="673"/>
      <c r="AI1469" s="673"/>
      <c r="AJ1469" s="673"/>
      <c r="AK1469" s="673"/>
      <c r="AL1469" s="673"/>
      <c r="AM1469" s="673"/>
      <c r="AN1469" s="673"/>
      <c r="AO1469" s="673"/>
      <c r="AP1469" s="673"/>
      <c r="AQ1469" s="673"/>
      <c r="AR1469" s="673"/>
      <c r="AS1469" s="673"/>
    </row>
    <row r="1470">
      <c r="A1470" s="653"/>
      <c r="B1470" s="654"/>
      <c r="C1470" s="655"/>
      <c r="D1470" s="656"/>
      <c r="E1470" s="657"/>
      <c r="F1470" s="658"/>
      <c r="G1470" s="659"/>
      <c r="H1470" s="660"/>
      <c r="I1470" s="659"/>
      <c r="J1470" s="661"/>
      <c r="K1470" s="658"/>
      <c r="L1470" s="662"/>
      <c r="M1470" s="663"/>
      <c r="N1470" s="664"/>
      <c r="O1470" s="665"/>
      <c r="P1470" s="666"/>
      <c r="Q1470" s="667"/>
      <c r="R1470" s="668"/>
      <c r="S1470" s="665"/>
      <c r="T1470" s="669"/>
      <c r="U1470" s="669"/>
      <c r="V1470" s="665"/>
      <c r="W1470" s="670"/>
      <c r="X1470" s="670"/>
      <c r="Y1470" s="671"/>
      <c r="Z1470" s="671"/>
      <c r="AA1470" s="672"/>
      <c r="AB1470" s="673"/>
      <c r="AC1470" s="673"/>
      <c r="AD1470" s="673"/>
      <c r="AE1470" s="673"/>
      <c r="AF1470" s="673"/>
      <c r="AG1470" s="673"/>
      <c r="AH1470" s="673"/>
      <c r="AI1470" s="673"/>
      <c r="AJ1470" s="673"/>
      <c r="AK1470" s="673"/>
      <c r="AL1470" s="673"/>
      <c r="AM1470" s="673"/>
      <c r="AN1470" s="673"/>
      <c r="AO1470" s="673"/>
      <c r="AP1470" s="673"/>
      <c r="AQ1470" s="673"/>
      <c r="AR1470" s="673"/>
      <c r="AS1470" s="673"/>
    </row>
    <row r="1471">
      <c r="A1471" s="653"/>
      <c r="B1471" s="654"/>
      <c r="C1471" s="655"/>
      <c r="D1471" s="656"/>
      <c r="E1471" s="657"/>
      <c r="F1471" s="658"/>
      <c r="G1471" s="659"/>
      <c r="H1471" s="660"/>
      <c r="I1471" s="659"/>
      <c r="J1471" s="661"/>
      <c r="K1471" s="658"/>
      <c r="L1471" s="662"/>
      <c r="M1471" s="663"/>
      <c r="N1471" s="664"/>
      <c r="O1471" s="665"/>
      <c r="P1471" s="666"/>
      <c r="Q1471" s="667"/>
      <c r="R1471" s="668"/>
      <c r="S1471" s="665"/>
      <c r="T1471" s="669"/>
      <c r="U1471" s="669"/>
      <c r="V1471" s="665"/>
      <c r="W1471" s="670"/>
      <c r="X1471" s="670"/>
      <c r="Y1471" s="671"/>
      <c r="Z1471" s="671"/>
      <c r="AA1471" s="672"/>
      <c r="AB1471" s="673"/>
      <c r="AC1471" s="673"/>
      <c r="AD1471" s="673"/>
      <c r="AE1471" s="673"/>
      <c r="AF1471" s="673"/>
      <c r="AG1471" s="673"/>
      <c r="AH1471" s="673"/>
      <c r="AI1471" s="673"/>
      <c r="AJ1471" s="673"/>
      <c r="AK1471" s="673"/>
      <c r="AL1471" s="673"/>
      <c r="AM1471" s="673"/>
      <c r="AN1471" s="673"/>
      <c r="AO1471" s="673"/>
      <c r="AP1471" s="673"/>
      <c r="AQ1471" s="673"/>
      <c r="AR1471" s="673"/>
      <c r="AS1471" s="673"/>
    </row>
    <row r="1472">
      <c r="A1472" s="653"/>
      <c r="B1472" s="654"/>
      <c r="C1472" s="655"/>
      <c r="D1472" s="656"/>
      <c r="E1472" s="657"/>
      <c r="F1472" s="658"/>
      <c r="G1472" s="659"/>
      <c r="H1472" s="660"/>
      <c r="I1472" s="659"/>
      <c r="J1472" s="661"/>
      <c r="K1472" s="658"/>
      <c r="L1472" s="662"/>
      <c r="M1472" s="663"/>
      <c r="N1472" s="664"/>
      <c r="O1472" s="665"/>
      <c r="P1472" s="666"/>
      <c r="Q1472" s="667"/>
      <c r="R1472" s="668"/>
      <c r="S1472" s="665"/>
      <c r="T1472" s="669"/>
      <c r="U1472" s="669"/>
      <c r="V1472" s="665"/>
      <c r="W1472" s="670"/>
      <c r="X1472" s="670"/>
      <c r="Y1472" s="671"/>
      <c r="Z1472" s="671"/>
      <c r="AA1472" s="672"/>
      <c r="AB1472" s="673"/>
      <c r="AC1472" s="673"/>
      <c r="AD1472" s="673"/>
      <c r="AE1472" s="673"/>
      <c r="AF1472" s="673"/>
      <c r="AG1472" s="673"/>
      <c r="AH1472" s="673"/>
      <c r="AI1472" s="673"/>
      <c r="AJ1472" s="673"/>
      <c r="AK1472" s="673"/>
      <c r="AL1472" s="673"/>
      <c r="AM1472" s="673"/>
      <c r="AN1472" s="673"/>
      <c r="AO1472" s="673"/>
      <c r="AP1472" s="673"/>
      <c r="AQ1472" s="673"/>
      <c r="AR1472" s="673"/>
      <c r="AS1472" s="673"/>
    </row>
    <row r="1473">
      <c r="A1473" s="653"/>
      <c r="B1473" s="654"/>
      <c r="C1473" s="655"/>
      <c r="D1473" s="656"/>
      <c r="E1473" s="657"/>
      <c r="F1473" s="658"/>
      <c r="G1473" s="659"/>
      <c r="H1473" s="660"/>
      <c r="I1473" s="659"/>
      <c r="J1473" s="661"/>
      <c r="K1473" s="658"/>
      <c r="L1473" s="662"/>
      <c r="M1473" s="663"/>
      <c r="N1473" s="664"/>
      <c r="O1473" s="665"/>
      <c r="P1473" s="666"/>
      <c r="Q1473" s="667"/>
      <c r="R1473" s="668"/>
      <c r="S1473" s="665"/>
      <c r="T1473" s="669"/>
      <c r="U1473" s="669"/>
      <c r="V1473" s="665"/>
      <c r="W1473" s="670"/>
      <c r="X1473" s="670"/>
      <c r="Y1473" s="671"/>
      <c r="Z1473" s="671"/>
      <c r="AA1473" s="672"/>
      <c r="AB1473" s="673"/>
      <c r="AC1473" s="673"/>
      <c r="AD1473" s="673"/>
      <c r="AE1473" s="673"/>
      <c r="AF1473" s="673"/>
      <c r="AG1473" s="673"/>
      <c r="AH1473" s="673"/>
      <c r="AI1473" s="673"/>
      <c r="AJ1473" s="673"/>
      <c r="AK1473" s="673"/>
      <c r="AL1473" s="673"/>
      <c r="AM1473" s="673"/>
      <c r="AN1473" s="673"/>
      <c r="AO1473" s="673"/>
      <c r="AP1473" s="673"/>
      <c r="AQ1473" s="673"/>
      <c r="AR1473" s="673"/>
      <c r="AS1473" s="673"/>
    </row>
    <row r="1474">
      <c r="A1474" s="653"/>
      <c r="B1474" s="654"/>
      <c r="C1474" s="655"/>
      <c r="D1474" s="656"/>
      <c r="E1474" s="657"/>
      <c r="F1474" s="658"/>
      <c r="G1474" s="659"/>
      <c r="H1474" s="660"/>
      <c r="I1474" s="659"/>
      <c r="J1474" s="661"/>
      <c r="K1474" s="658"/>
      <c r="L1474" s="662"/>
      <c r="M1474" s="663"/>
      <c r="N1474" s="664"/>
      <c r="O1474" s="665"/>
      <c r="P1474" s="666"/>
      <c r="Q1474" s="667"/>
      <c r="R1474" s="668"/>
      <c r="S1474" s="665"/>
      <c r="T1474" s="669"/>
      <c r="U1474" s="669"/>
      <c r="V1474" s="665"/>
      <c r="W1474" s="670"/>
      <c r="X1474" s="670"/>
      <c r="Y1474" s="671"/>
      <c r="Z1474" s="671"/>
      <c r="AA1474" s="672"/>
      <c r="AB1474" s="673"/>
      <c r="AC1474" s="673"/>
      <c r="AD1474" s="673"/>
      <c r="AE1474" s="673"/>
      <c r="AF1474" s="673"/>
      <c r="AG1474" s="673"/>
      <c r="AH1474" s="673"/>
      <c r="AI1474" s="673"/>
      <c r="AJ1474" s="673"/>
      <c r="AK1474" s="673"/>
      <c r="AL1474" s="673"/>
      <c r="AM1474" s="673"/>
      <c r="AN1474" s="673"/>
      <c r="AO1474" s="673"/>
      <c r="AP1474" s="673"/>
      <c r="AQ1474" s="673"/>
      <c r="AR1474" s="673"/>
      <c r="AS1474" s="673"/>
    </row>
    <row r="1475">
      <c r="A1475" s="653"/>
      <c r="B1475" s="654"/>
      <c r="C1475" s="655"/>
      <c r="D1475" s="656"/>
      <c r="E1475" s="657"/>
      <c r="F1475" s="658"/>
      <c r="G1475" s="659"/>
      <c r="H1475" s="660"/>
      <c r="I1475" s="659"/>
      <c r="J1475" s="661"/>
      <c r="K1475" s="658"/>
      <c r="L1475" s="662"/>
      <c r="M1475" s="663"/>
      <c r="N1475" s="664"/>
      <c r="O1475" s="665"/>
      <c r="P1475" s="666"/>
      <c r="Q1475" s="667"/>
      <c r="R1475" s="668"/>
      <c r="S1475" s="665"/>
      <c r="T1475" s="669"/>
      <c r="U1475" s="669"/>
      <c r="V1475" s="665"/>
      <c r="W1475" s="670"/>
      <c r="X1475" s="670"/>
      <c r="Y1475" s="671"/>
      <c r="Z1475" s="671"/>
      <c r="AA1475" s="672"/>
      <c r="AB1475" s="673"/>
      <c r="AC1475" s="673"/>
      <c r="AD1475" s="673"/>
      <c r="AE1475" s="673"/>
      <c r="AF1475" s="673"/>
      <c r="AG1475" s="673"/>
      <c r="AH1475" s="673"/>
      <c r="AI1475" s="673"/>
      <c r="AJ1475" s="673"/>
      <c r="AK1475" s="673"/>
      <c r="AL1475" s="673"/>
      <c r="AM1475" s="673"/>
      <c r="AN1475" s="673"/>
      <c r="AO1475" s="673"/>
      <c r="AP1475" s="673"/>
      <c r="AQ1475" s="673"/>
      <c r="AR1475" s="673"/>
      <c r="AS1475" s="673"/>
    </row>
    <row r="1476">
      <c r="A1476" s="653"/>
      <c r="B1476" s="654"/>
      <c r="C1476" s="655"/>
      <c r="D1476" s="656"/>
      <c r="E1476" s="657"/>
      <c r="F1476" s="658"/>
      <c r="G1476" s="659"/>
      <c r="H1476" s="660"/>
      <c r="I1476" s="659"/>
      <c r="J1476" s="661"/>
      <c r="K1476" s="658"/>
      <c r="L1476" s="662"/>
      <c r="M1476" s="663"/>
      <c r="N1476" s="664"/>
      <c r="O1476" s="665"/>
      <c r="P1476" s="666"/>
      <c r="Q1476" s="667"/>
      <c r="R1476" s="668"/>
      <c r="S1476" s="665"/>
      <c r="T1476" s="669"/>
      <c r="U1476" s="669"/>
      <c r="V1476" s="665"/>
      <c r="W1476" s="670"/>
      <c r="X1476" s="670"/>
      <c r="Y1476" s="671"/>
      <c r="Z1476" s="671"/>
      <c r="AA1476" s="672"/>
      <c r="AB1476" s="673"/>
      <c r="AC1476" s="673"/>
      <c r="AD1476" s="673"/>
      <c r="AE1476" s="673"/>
      <c r="AF1476" s="673"/>
      <c r="AG1476" s="673"/>
      <c r="AH1476" s="673"/>
      <c r="AI1476" s="673"/>
      <c r="AJ1476" s="673"/>
      <c r="AK1476" s="673"/>
      <c r="AL1476" s="673"/>
      <c r="AM1476" s="673"/>
      <c r="AN1476" s="673"/>
      <c r="AO1476" s="673"/>
      <c r="AP1476" s="673"/>
      <c r="AQ1476" s="673"/>
      <c r="AR1476" s="673"/>
      <c r="AS1476" s="673"/>
    </row>
    <row r="1477">
      <c r="A1477" s="653"/>
      <c r="B1477" s="654"/>
      <c r="C1477" s="655"/>
      <c r="D1477" s="656"/>
      <c r="E1477" s="657"/>
      <c r="F1477" s="658"/>
      <c r="G1477" s="659"/>
      <c r="H1477" s="660"/>
      <c r="I1477" s="659"/>
      <c r="J1477" s="661"/>
      <c r="K1477" s="658"/>
      <c r="L1477" s="662"/>
      <c r="M1477" s="663"/>
      <c r="N1477" s="664"/>
      <c r="O1477" s="665"/>
      <c r="P1477" s="666"/>
      <c r="Q1477" s="667"/>
      <c r="R1477" s="668"/>
      <c r="S1477" s="665"/>
      <c r="T1477" s="669"/>
      <c r="U1477" s="669"/>
      <c r="V1477" s="665"/>
      <c r="W1477" s="670"/>
      <c r="X1477" s="670"/>
      <c r="Y1477" s="671"/>
      <c r="Z1477" s="671"/>
      <c r="AA1477" s="672"/>
      <c r="AB1477" s="673"/>
      <c r="AC1477" s="673"/>
      <c r="AD1477" s="673"/>
      <c r="AE1477" s="673"/>
      <c r="AF1477" s="673"/>
      <c r="AG1477" s="673"/>
      <c r="AH1477" s="673"/>
      <c r="AI1477" s="673"/>
      <c r="AJ1477" s="673"/>
      <c r="AK1477" s="673"/>
      <c r="AL1477" s="673"/>
      <c r="AM1477" s="673"/>
      <c r="AN1477" s="673"/>
      <c r="AO1477" s="673"/>
      <c r="AP1477" s="673"/>
      <c r="AQ1477" s="673"/>
      <c r="AR1477" s="673"/>
      <c r="AS1477" s="673"/>
    </row>
    <row r="1478">
      <c r="A1478" s="653"/>
      <c r="B1478" s="654"/>
      <c r="C1478" s="655"/>
      <c r="D1478" s="656"/>
      <c r="E1478" s="657"/>
      <c r="F1478" s="658"/>
      <c r="G1478" s="659"/>
      <c r="H1478" s="660"/>
      <c r="I1478" s="659"/>
      <c r="J1478" s="661"/>
      <c r="K1478" s="658"/>
      <c r="L1478" s="662"/>
      <c r="M1478" s="663"/>
      <c r="N1478" s="664"/>
      <c r="O1478" s="665"/>
      <c r="P1478" s="666"/>
      <c r="Q1478" s="667"/>
      <c r="R1478" s="668"/>
      <c r="S1478" s="665"/>
      <c r="T1478" s="669"/>
      <c r="U1478" s="669"/>
      <c r="V1478" s="665"/>
      <c r="W1478" s="670"/>
      <c r="X1478" s="670"/>
      <c r="Y1478" s="671"/>
      <c r="Z1478" s="671"/>
      <c r="AA1478" s="672"/>
      <c r="AB1478" s="673"/>
      <c r="AC1478" s="673"/>
      <c r="AD1478" s="673"/>
      <c r="AE1478" s="673"/>
      <c r="AF1478" s="673"/>
      <c r="AG1478" s="673"/>
      <c r="AH1478" s="673"/>
      <c r="AI1478" s="673"/>
      <c r="AJ1478" s="673"/>
      <c r="AK1478" s="673"/>
      <c r="AL1478" s="673"/>
      <c r="AM1478" s="673"/>
      <c r="AN1478" s="673"/>
      <c r="AO1478" s="673"/>
      <c r="AP1478" s="673"/>
      <c r="AQ1478" s="673"/>
      <c r="AR1478" s="673"/>
      <c r="AS1478" s="673"/>
    </row>
    <row r="1479">
      <c r="A1479" s="653"/>
      <c r="B1479" s="654"/>
      <c r="C1479" s="655"/>
      <c r="D1479" s="656"/>
      <c r="E1479" s="657"/>
      <c r="F1479" s="658"/>
      <c r="G1479" s="659"/>
      <c r="H1479" s="660"/>
      <c r="I1479" s="659"/>
      <c r="J1479" s="661"/>
      <c r="K1479" s="658"/>
      <c r="L1479" s="662"/>
      <c r="M1479" s="663"/>
      <c r="N1479" s="664"/>
      <c r="O1479" s="665"/>
      <c r="P1479" s="666"/>
      <c r="Q1479" s="667"/>
      <c r="R1479" s="668"/>
      <c r="S1479" s="665"/>
      <c r="T1479" s="669"/>
      <c r="U1479" s="669"/>
      <c r="V1479" s="665"/>
      <c r="W1479" s="670"/>
      <c r="X1479" s="670"/>
      <c r="Y1479" s="671"/>
      <c r="Z1479" s="671"/>
      <c r="AA1479" s="672"/>
      <c r="AB1479" s="673"/>
      <c r="AC1479" s="673"/>
      <c r="AD1479" s="673"/>
      <c r="AE1479" s="673"/>
      <c r="AF1479" s="673"/>
      <c r="AG1479" s="673"/>
      <c r="AH1479" s="673"/>
      <c r="AI1479" s="673"/>
      <c r="AJ1479" s="673"/>
      <c r="AK1479" s="673"/>
      <c r="AL1479" s="673"/>
      <c r="AM1479" s="673"/>
      <c r="AN1479" s="673"/>
      <c r="AO1479" s="673"/>
      <c r="AP1479" s="673"/>
      <c r="AQ1479" s="673"/>
      <c r="AR1479" s="673"/>
      <c r="AS1479" s="673"/>
    </row>
    <row r="1480">
      <c r="A1480" s="653"/>
      <c r="B1480" s="654"/>
      <c r="C1480" s="655"/>
      <c r="D1480" s="656"/>
      <c r="E1480" s="657"/>
      <c r="F1480" s="658"/>
      <c r="G1480" s="659"/>
      <c r="H1480" s="660"/>
      <c r="I1480" s="659"/>
      <c r="J1480" s="661"/>
      <c r="K1480" s="658"/>
      <c r="L1480" s="662"/>
      <c r="M1480" s="663"/>
      <c r="N1480" s="664"/>
      <c r="O1480" s="665"/>
      <c r="P1480" s="666"/>
      <c r="Q1480" s="667"/>
      <c r="R1480" s="668"/>
      <c r="S1480" s="665"/>
      <c r="T1480" s="669"/>
      <c r="U1480" s="669"/>
      <c r="V1480" s="665"/>
      <c r="W1480" s="670"/>
      <c r="X1480" s="670"/>
      <c r="Y1480" s="671"/>
      <c r="Z1480" s="671"/>
      <c r="AA1480" s="672"/>
      <c r="AB1480" s="673"/>
      <c r="AC1480" s="673"/>
      <c r="AD1480" s="673"/>
      <c r="AE1480" s="673"/>
      <c r="AF1480" s="673"/>
      <c r="AG1480" s="673"/>
      <c r="AH1480" s="673"/>
      <c r="AI1480" s="673"/>
      <c r="AJ1480" s="673"/>
      <c r="AK1480" s="673"/>
      <c r="AL1480" s="673"/>
      <c r="AM1480" s="673"/>
      <c r="AN1480" s="673"/>
      <c r="AO1480" s="673"/>
      <c r="AP1480" s="673"/>
      <c r="AQ1480" s="673"/>
      <c r="AR1480" s="673"/>
      <c r="AS1480" s="673"/>
    </row>
    <row r="1481">
      <c r="A1481" s="653"/>
      <c r="B1481" s="654"/>
      <c r="C1481" s="655"/>
      <c r="D1481" s="656"/>
      <c r="E1481" s="657"/>
      <c r="F1481" s="658"/>
      <c r="G1481" s="659"/>
      <c r="H1481" s="660"/>
      <c r="I1481" s="659"/>
      <c r="J1481" s="661"/>
      <c r="K1481" s="658"/>
      <c r="L1481" s="662"/>
      <c r="M1481" s="663"/>
      <c r="N1481" s="664"/>
      <c r="O1481" s="665"/>
      <c r="P1481" s="666"/>
      <c r="Q1481" s="667"/>
      <c r="R1481" s="668"/>
      <c r="S1481" s="665"/>
      <c r="T1481" s="669"/>
      <c r="U1481" s="669"/>
      <c r="V1481" s="665"/>
      <c r="W1481" s="670"/>
      <c r="X1481" s="670"/>
      <c r="Y1481" s="671"/>
      <c r="Z1481" s="671"/>
      <c r="AA1481" s="672"/>
      <c r="AB1481" s="673"/>
      <c r="AC1481" s="673"/>
      <c r="AD1481" s="673"/>
      <c r="AE1481" s="673"/>
      <c r="AF1481" s="673"/>
      <c r="AG1481" s="673"/>
      <c r="AH1481" s="673"/>
      <c r="AI1481" s="673"/>
      <c r="AJ1481" s="673"/>
      <c r="AK1481" s="673"/>
      <c r="AL1481" s="673"/>
      <c r="AM1481" s="673"/>
      <c r="AN1481" s="673"/>
      <c r="AO1481" s="673"/>
      <c r="AP1481" s="673"/>
      <c r="AQ1481" s="673"/>
      <c r="AR1481" s="673"/>
      <c r="AS1481" s="673"/>
    </row>
    <row r="1482">
      <c r="A1482" s="653"/>
      <c r="B1482" s="654"/>
      <c r="C1482" s="655"/>
      <c r="D1482" s="656"/>
      <c r="E1482" s="657"/>
      <c r="F1482" s="658"/>
      <c r="G1482" s="659"/>
      <c r="H1482" s="660"/>
      <c r="I1482" s="659"/>
      <c r="J1482" s="661"/>
      <c r="K1482" s="658"/>
      <c r="L1482" s="662"/>
      <c r="M1482" s="663"/>
      <c r="N1482" s="664"/>
      <c r="O1482" s="665"/>
      <c r="P1482" s="666"/>
      <c r="Q1482" s="667"/>
      <c r="R1482" s="668"/>
      <c r="S1482" s="665"/>
      <c r="T1482" s="669"/>
      <c r="U1482" s="669"/>
      <c r="V1482" s="665"/>
      <c r="W1482" s="670"/>
      <c r="X1482" s="670"/>
      <c r="Y1482" s="671"/>
      <c r="Z1482" s="671"/>
      <c r="AA1482" s="672"/>
      <c r="AB1482" s="673"/>
      <c r="AC1482" s="673"/>
      <c r="AD1482" s="673"/>
      <c r="AE1482" s="673"/>
      <c r="AF1482" s="673"/>
      <c r="AG1482" s="673"/>
      <c r="AH1482" s="673"/>
      <c r="AI1482" s="673"/>
      <c r="AJ1482" s="673"/>
      <c r="AK1482" s="673"/>
      <c r="AL1482" s="673"/>
      <c r="AM1482" s="673"/>
      <c r="AN1482" s="673"/>
      <c r="AO1482" s="673"/>
      <c r="AP1482" s="673"/>
      <c r="AQ1482" s="673"/>
      <c r="AR1482" s="673"/>
      <c r="AS1482" s="673"/>
    </row>
    <row r="1483">
      <c r="A1483" s="653"/>
      <c r="B1483" s="654"/>
      <c r="C1483" s="655"/>
      <c r="D1483" s="656"/>
      <c r="E1483" s="657"/>
      <c r="F1483" s="658"/>
      <c r="G1483" s="659"/>
      <c r="H1483" s="660"/>
      <c r="I1483" s="659"/>
      <c r="J1483" s="661"/>
      <c r="K1483" s="658"/>
      <c r="L1483" s="662"/>
      <c r="M1483" s="663"/>
      <c r="N1483" s="664"/>
      <c r="O1483" s="665"/>
      <c r="P1483" s="666"/>
      <c r="Q1483" s="667"/>
      <c r="R1483" s="668"/>
      <c r="S1483" s="665"/>
      <c r="T1483" s="669"/>
      <c r="U1483" s="669"/>
      <c r="V1483" s="665"/>
      <c r="W1483" s="670"/>
      <c r="X1483" s="670"/>
      <c r="Y1483" s="671"/>
      <c r="Z1483" s="671"/>
      <c r="AA1483" s="672"/>
      <c r="AB1483" s="673"/>
      <c r="AC1483" s="673"/>
      <c r="AD1483" s="673"/>
      <c r="AE1483" s="673"/>
      <c r="AF1483" s="673"/>
      <c r="AG1483" s="673"/>
      <c r="AH1483" s="673"/>
      <c r="AI1483" s="673"/>
      <c r="AJ1483" s="673"/>
      <c r="AK1483" s="673"/>
      <c r="AL1483" s="673"/>
      <c r="AM1483" s="673"/>
      <c r="AN1483" s="673"/>
      <c r="AO1483" s="673"/>
      <c r="AP1483" s="673"/>
      <c r="AQ1483" s="673"/>
      <c r="AR1483" s="673"/>
      <c r="AS1483" s="673"/>
    </row>
    <row r="1484">
      <c r="A1484" s="653"/>
      <c r="B1484" s="654"/>
      <c r="C1484" s="655"/>
      <c r="D1484" s="656"/>
      <c r="E1484" s="657"/>
      <c r="F1484" s="658"/>
      <c r="G1484" s="659"/>
      <c r="H1484" s="660"/>
      <c r="I1484" s="659"/>
      <c r="J1484" s="661"/>
      <c r="K1484" s="658"/>
      <c r="L1484" s="662"/>
      <c r="M1484" s="663"/>
      <c r="N1484" s="664"/>
      <c r="O1484" s="665"/>
      <c r="P1484" s="666"/>
      <c r="Q1484" s="667"/>
      <c r="R1484" s="668"/>
      <c r="S1484" s="665"/>
      <c r="T1484" s="669"/>
      <c r="U1484" s="669"/>
      <c r="V1484" s="665"/>
      <c r="W1484" s="670"/>
      <c r="X1484" s="670"/>
      <c r="Y1484" s="671"/>
      <c r="Z1484" s="671"/>
      <c r="AA1484" s="672"/>
      <c r="AB1484" s="673"/>
      <c r="AC1484" s="673"/>
      <c r="AD1484" s="673"/>
      <c r="AE1484" s="673"/>
      <c r="AF1484" s="673"/>
      <c r="AG1484" s="673"/>
      <c r="AH1484" s="673"/>
      <c r="AI1484" s="673"/>
      <c r="AJ1484" s="673"/>
      <c r="AK1484" s="673"/>
      <c r="AL1484" s="673"/>
      <c r="AM1484" s="673"/>
      <c r="AN1484" s="673"/>
      <c r="AO1484" s="673"/>
      <c r="AP1484" s="673"/>
      <c r="AQ1484" s="673"/>
      <c r="AR1484" s="673"/>
      <c r="AS1484" s="673"/>
    </row>
    <row r="1485">
      <c r="A1485" s="653"/>
      <c r="B1485" s="654"/>
      <c r="C1485" s="655"/>
      <c r="D1485" s="656"/>
      <c r="E1485" s="657"/>
      <c r="F1485" s="658"/>
      <c r="G1485" s="659"/>
      <c r="H1485" s="660"/>
      <c r="I1485" s="659"/>
      <c r="J1485" s="661"/>
      <c r="K1485" s="658"/>
      <c r="L1485" s="662"/>
      <c r="M1485" s="663"/>
      <c r="N1485" s="664"/>
      <c r="O1485" s="665"/>
      <c r="P1485" s="666"/>
      <c r="Q1485" s="667"/>
      <c r="R1485" s="668"/>
      <c r="S1485" s="665"/>
      <c r="T1485" s="669"/>
      <c r="U1485" s="669"/>
      <c r="V1485" s="665"/>
      <c r="W1485" s="670"/>
      <c r="X1485" s="670"/>
      <c r="Y1485" s="671"/>
      <c r="Z1485" s="671"/>
      <c r="AA1485" s="672"/>
      <c r="AB1485" s="673"/>
      <c r="AC1485" s="673"/>
      <c r="AD1485" s="673"/>
      <c r="AE1485" s="673"/>
      <c r="AF1485" s="673"/>
      <c r="AG1485" s="673"/>
      <c r="AH1485" s="673"/>
      <c r="AI1485" s="673"/>
      <c r="AJ1485" s="673"/>
      <c r="AK1485" s="673"/>
      <c r="AL1485" s="673"/>
      <c r="AM1485" s="673"/>
      <c r="AN1485" s="673"/>
      <c r="AO1485" s="673"/>
      <c r="AP1485" s="673"/>
      <c r="AQ1485" s="673"/>
      <c r="AR1485" s="673"/>
      <c r="AS1485" s="673"/>
    </row>
    <row r="1486">
      <c r="A1486" s="653"/>
      <c r="B1486" s="654"/>
      <c r="C1486" s="655"/>
      <c r="D1486" s="656"/>
      <c r="E1486" s="657"/>
      <c r="F1486" s="658"/>
      <c r="G1486" s="659"/>
      <c r="H1486" s="660"/>
      <c r="I1486" s="659"/>
      <c r="J1486" s="661"/>
      <c r="K1486" s="658"/>
      <c r="L1486" s="662"/>
      <c r="M1486" s="663"/>
      <c r="N1486" s="664"/>
      <c r="O1486" s="665"/>
      <c r="P1486" s="666"/>
      <c r="Q1486" s="667"/>
      <c r="R1486" s="668"/>
      <c r="S1486" s="665"/>
      <c r="T1486" s="669"/>
      <c r="U1486" s="669"/>
      <c r="V1486" s="665"/>
      <c r="W1486" s="670"/>
      <c r="X1486" s="670"/>
      <c r="Y1486" s="671"/>
      <c r="Z1486" s="671"/>
      <c r="AA1486" s="672"/>
      <c r="AB1486" s="673"/>
      <c r="AC1486" s="673"/>
      <c r="AD1486" s="673"/>
      <c r="AE1486" s="673"/>
      <c r="AF1486" s="673"/>
      <c r="AG1486" s="673"/>
      <c r="AH1486" s="673"/>
      <c r="AI1486" s="673"/>
      <c r="AJ1486" s="673"/>
      <c r="AK1486" s="673"/>
      <c r="AL1486" s="673"/>
      <c r="AM1486" s="673"/>
      <c r="AN1486" s="673"/>
      <c r="AO1486" s="673"/>
      <c r="AP1486" s="673"/>
      <c r="AQ1486" s="673"/>
      <c r="AR1486" s="673"/>
      <c r="AS1486" s="673"/>
    </row>
    <row r="1487">
      <c r="A1487" s="653"/>
      <c r="B1487" s="654"/>
      <c r="C1487" s="655"/>
      <c r="D1487" s="656"/>
      <c r="E1487" s="657"/>
      <c r="F1487" s="658"/>
      <c r="G1487" s="659"/>
      <c r="H1487" s="660"/>
      <c r="I1487" s="659"/>
      <c r="J1487" s="661"/>
      <c r="K1487" s="658"/>
      <c r="L1487" s="662"/>
      <c r="M1487" s="663"/>
      <c r="N1487" s="664"/>
      <c r="O1487" s="665"/>
      <c r="P1487" s="666"/>
      <c r="Q1487" s="667"/>
      <c r="R1487" s="668"/>
      <c r="S1487" s="665"/>
      <c r="T1487" s="669"/>
      <c r="U1487" s="669"/>
      <c r="V1487" s="665"/>
      <c r="W1487" s="670"/>
      <c r="X1487" s="670"/>
      <c r="Y1487" s="671"/>
      <c r="Z1487" s="671"/>
      <c r="AA1487" s="672"/>
      <c r="AB1487" s="673"/>
      <c r="AC1487" s="673"/>
      <c r="AD1487" s="673"/>
      <c r="AE1487" s="673"/>
      <c r="AF1487" s="673"/>
      <c r="AG1487" s="673"/>
      <c r="AH1487" s="673"/>
      <c r="AI1487" s="673"/>
      <c r="AJ1487" s="673"/>
      <c r="AK1487" s="673"/>
      <c r="AL1487" s="673"/>
      <c r="AM1487" s="673"/>
      <c r="AN1487" s="673"/>
      <c r="AO1487" s="673"/>
      <c r="AP1487" s="673"/>
      <c r="AQ1487" s="673"/>
      <c r="AR1487" s="673"/>
      <c r="AS1487" s="673"/>
    </row>
    <row r="1488">
      <c r="A1488" s="653"/>
      <c r="B1488" s="654"/>
      <c r="C1488" s="655"/>
      <c r="D1488" s="656"/>
      <c r="E1488" s="657"/>
      <c r="F1488" s="658"/>
      <c r="G1488" s="659"/>
      <c r="H1488" s="660"/>
      <c r="I1488" s="659"/>
      <c r="J1488" s="661"/>
      <c r="K1488" s="658"/>
      <c r="L1488" s="662"/>
      <c r="M1488" s="663"/>
      <c r="N1488" s="664"/>
      <c r="O1488" s="665"/>
      <c r="P1488" s="666"/>
      <c r="Q1488" s="667"/>
      <c r="R1488" s="668"/>
      <c r="S1488" s="665"/>
      <c r="T1488" s="669"/>
      <c r="U1488" s="669"/>
      <c r="V1488" s="665"/>
      <c r="W1488" s="670"/>
      <c r="X1488" s="670"/>
      <c r="Y1488" s="671"/>
      <c r="Z1488" s="671"/>
      <c r="AA1488" s="672"/>
      <c r="AB1488" s="673"/>
      <c r="AC1488" s="673"/>
      <c r="AD1488" s="673"/>
      <c r="AE1488" s="673"/>
      <c r="AF1488" s="673"/>
      <c r="AG1488" s="673"/>
      <c r="AH1488" s="673"/>
      <c r="AI1488" s="673"/>
      <c r="AJ1488" s="673"/>
      <c r="AK1488" s="673"/>
      <c r="AL1488" s="673"/>
      <c r="AM1488" s="673"/>
      <c r="AN1488" s="673"/>
      <c r="AO1488" s="673"/>
      <c r="AP1488" s="673"/>
      <c r="AQ1488" s="673"/>
      <c r="AR1488" s="673"/>
      <c r="AS1488" s="673"/>
    </row>
    <row r="1489">
      <c r="A1489" s="653"/>
      <c r="B1489" s="654"/>
      <c r="C1489" s="655"/>
      <c r="D1489" s="656"/>
      <c r="E1489" s="657"/>
      <c r="F1489" s="658"/>
      <c r="G1489" s="659"/>
      <c r="H1489" s="660"/>
      <c r="I1489" s="659"/>
      <c r="J1489" s="661"/>
      <c r="K1489" s="658"/>
      <c r="L1489" s="662"/>
      <c r="M1489" s="663"/>
      <c r="N1489" s="664"/>
      <c r="O1489" s="665"/>
      <c r="P1489" s="666"/>
      <c r="Q1489" s="667"/>
      <c r="R1489" s="668"/>
      <c r="S1489" s="665"/>
      <c r="T1489" s="669"/>
      <c r="U1489" s="669"/>
      <c r="V1489" s="665"/>
      <c r="W1489" s="670"/>
      <c r="X1489" s="670"/>
      <c r="Y1489" s="671"/>
      <c r="Z1489" s="671"/>
      <c r="AA1489" s="672"/>
      <c r="AB1489" s="673"/>
      <c r="AC1489" s="673"/>
      <c r="AD1489" s="673"/>
      <c r="AE1489" s="673"/>
      <c r="AF1489" s="673"/>
      <c r="AG1489" s="673"/>
      <c r="AH1489" s="673"/>
      <c r="AI1489" s="673"/>
      <c r="AJ1489" s="673"/>
      <c r="AK1489" s="673"/>
      <c r="AL1489" s="673"/>
      <c r="AM1489" s="673"/>
      <c r="AN1489" s="673"/>
      <c r="AO1489" s="673"/>
      <c r="AP1489" s="673"/>
      <c r="AQ1489" s="673"/>
      <c r="AR1489" s="673"/>
      <c r="AS1489" s="673"/>
    </row>
    <row r="1490">
      <c r="A1490" s="653"/>
      <c r="B1490" s="654"/>
      <c r="C1490" s="655"/>
      <c r="D1490" s="656"/>
      <c r="E1490" s="657"/>
      <c r="F1490" s="658"/>
      <c r="G1490" s="659"/>
      <c r="H1490" s="660"/>
      <c r="I1490" s="659"/>
      <c r="J1490" s="661"/>
      <c r="K1490" s="658"/>
      <c r="L1490" s="662"/>
      <c r="M1490" s="663"/>
      <c r="N1490" s="664"/>
      <c r="O1490" s="665"/>
      <c r="P1490" s="666"/>
      <c r="Q1490" s="667"/>
      <c r="R1490" s="668"/>
      <c r="S1490" s="665"/>
      <c r="T1490" s="669"/>
      <c r="U1490" s="669"/>
      <c r="V1490" s="665"/>
      <c r="W1490" s="670"/>
      <c r="X1490" s="670"/>
      <c r="Y1490" s="671"/>
      <c r="Z1490" s="671"/>
      <c r="AA1490" s="672"/>
      <c r="AB1490" s="673"/>
      <c r="AC1490" s="673"/>
      <c r="AD1490" s="673"/>
      <c r="AE1490" s="673"/>
      <c r="AF1490" s="673"/>
      <c r="AG1490" s="673"/>
      <c r="AH1490" s="673"/>
      <c r="AI1490" s="673"/>
      <c r="AJ1490" s="673"/>
      <c r="AK1490" s="673"/>
      <c r="AL1490" s="673"/>
      <c r="AM1490" s="673"/>
      <c r="AN1490" s="673"/>
      <c r="AO1490" s="673"/>
      <c r="AP1490" s="673"/>
      <c r="AQ1490" s="673"/>
      <c r="AR1490" s="673"/>
      <c r="AS1490" s="673"/>
    </row>
    <row r="1491">
      <c r="A1491" s="653"/>
      <c r="B1491" s="654"/>
      <c r="C1491" s="655"/>
      <c r="D1491" s="656"/>
      <c r="E1491" s="657"/>
      <c r="F1491" s="658"/>
      <c r="G1491" s="659"/>
      <c r="H1491" s="660"/>
      <c r="I1491" s="659"/>
      <c r="J1491" s="661"/>
      <c r="K1491" s="658"/>
      <c r="L1491" s="662"/>
      <c r="M1491" s="663"/>
      <c r="N1491" s="664"/>
      <c r="O1491" s="665"/>
      <c r="P1491" s="666"/>
      <c r="Q1491" s="667"/>
      <c r="R1491" s="668"/>
      <c r="S1491" s="665"/>
      <c r="T1491" s="669"/>
      <c r="U1491" s="669"/>
      <c r="V1491" s="665"/>
      <c r="W1491" s="670"/>
      <c r="X1491" s="670"/>
      <c r="Y1491" s="671"/>
      <c r="Z1491" s="671"/>
      <c r="AA1491" s="672"/>
      <c r="AB1491" s="673"/>
      <c r="AC1491" s="673"/>
      <c r="AD1491" s="673"/>
      <c r="AE1491" s="673"/>
      <c r="AF1491" s="673"/>
      <c r="AG1491" s="673"/>
      <c r="AH1491" s="673"/>
      <c r="AI1491" s="673"/>
      <c r="AJ1491" s="673"/>
      <c r="AK1491" s="673"/>
      <c r="AL1491" s="673"/>
      <c r="AM1491" s="673"/>
      <c r="AN1491" s="673"/>
      <c r="AO1491" s="673"/>
      <c r="AP1491" s="673"/>
      <c r="AQ1491" s="673"/>
      <c r="AR1491" s="673"/>
      <c r="AS1491" s="673"/>
    </row>
    <row r="1492">
      <c r="A1492" s="653"/>
      <c r="B1492" s="654"/>
      <c r="C1492" s="655"/>
      <c r="D1492" s="656"/>
      <c r="E1492" s="657"/>
      <c r="F1492" s="658"/>
      <c r="G1492" s="659"/>
      <c r="H1492" s="660"/>
      <c r="I1492" s="659"/>
      <c r="J1492" s="661"/>
      <c r="K1492" s="658"/>
      <c r="L1492" s="662"/>
      <c r="M1492" s="663"/>
      <c r="N1492" s="664"/>
      <c r="O1492" s="665"/>
      <c r="P1492" s="666"/>
      <c r="Q1492" s="667"/>
      <c r="R1492" s="668"/>
      <c r="S1492" s="665"/>
      <c r="T1492" s="669"/>
      <c r="U1492" s="669"/>
      <c r="V1492" s="665"/>
      <c r="W1492" s="670"/>
      <c r="X1492" s="670"/>
      <c r="Y1492" s="671"/>
      <c r="Z1492" s="671"/>
      <c r="AA1492" s="672"/>
      <c r="AB1492" s="673"/>
      <c r="AC1492" s="673"/>
      <c r="AD1492" s="673"/>
      <c r="AE1492" s="673"/>
      <c r="AF1492" s="673"/>
      <c r="AG1492" s="673"/>
      <c r="AH1492" s="673"/>
      <c r="AI1492" s="673"/>
      <c r="AJ1492" s="673"/>
      <c r="AK1492" s="673"/>
      <c r="AL1492" s="673"/>
      <c r="AM1492" s="673"/>
      <c r="AN1492" s="673"/>
      <c r="AO1492" s="673"/>
      <c r="AP1492" s="673"/>
      <c r="AQ1492" s="673"/>
      <c r="AR1492" s="673"/>
      <c r="AS1492" s="673"/>
    </row>
    <row r="1493">
      <c r="A1493" s="653"/>
      <c r="B1493" s="654"/>
      <c r="C1493" s="655"/>
      <c r="D1493" s="656"/>
      <c r="E1493" s="657"/>
      <c r="F1493" s="658"/>
      <c r="G1493" s="659"/>
      <c r="H1493" s="660"/>
      <c r="I1493" s="659"/>
      <c r="J1493" s="661"/>
      <c r="K1493" s="658"/>
      <c r="L1493" s="662"/>
      <c r="M1493" s="663"/>
      <c r="N1493" s="664"/>
      <c r="O1493" s="665"/>
      <c r="P1493" s="666"/>
      <c r="Q1493" s="667"/>
      <c r="R1493" s="668"/>
      <c r="S1493" s="665"/>
      <c r="T1493" s="669"/>
      <c r="U1493" s="669"/>
      <c r="V1493" s="665"/>
      <c r="W1493" s="670"/>
      <c r="X1493" s="670"/>
      <c r="Y1493" s="671"/>
      <c r="Z1493" s="671"/>
      <c r="AA1493" s="672"/>
      <c r="AB1493" s="673"/>
      <c r="AC1493" s="673"/>
      <c r="AD1493" s="673"/>
      <c r="AE1493" s="673"/>
      <c r="AF1493" s="673"/>
      <c r="AG1493" s="673"/>
      <c r="AH1493" s="673"/>
      <c r="AI1493" s="673"/>
      <c r="AJ1493" s="673"/>
      <c r="AK1493" s="673"/>
      <c r="AL1493" s="673"/>
      <c r="AM1493" s="673"/>
      <c r="AN1493" s="673"/>
      <c r="AO1493" s="673"/>
      <c r="AP1493" s="673"/>
      <c r="AQ1493" s="673"/>
      <c r="AR1493" s="673"/>
      <c r="AS1493" s="673"/>
    </row>
    <row r="1494">
      <c r="A1494" s="653"/>
      <c r="B1494" s="654"/>
      <c r="C1494" s="655"/>
      <c r="D1494" s="656"/>
      <c r="E1494" s="657"/>
      <c r="F1494" s="658"/>
      <c r="G1494" s="659"/>
      <c r="H1494" s="660"/>
      <c r="I1494" s="659"/>
      <c r="J1494" s="661"/>
      <c r="K1494" s="658"/>
      <c r="L1494" s="662"/>
      <c r="M1494" s="663"/>
      <c r="N1494" s="664"/>
      <c r="O1494" s="665"/>
      <c r="P1494" s="666"/>
      <c r="Q1494" s="667"/>
      <c r="R1494" s="668"/>
      <c r="S1494" s="665"/>
      <c r="T1494" s="669"/>
      <c r="U1494" s="669"/>
      <c r="V1494" s="665"/>
      <c r="W1494" s="670"/>
      <c r="X1494" s="670"/>
      <c r="Y1494" s="671"/>
      <c r="Z1494" s="671"/>
      <c r="AA1494" s="672"/>
      <c r="AB1494" s="673"/>
      <c r="AC1494" s="673"/>
      <c r="AD1494" s="673"/>
      <c r="AE1494" s="673"/>
      <c r="AF1494" s="673"/>
      <c r="AG1494" s="673"/>
      <c r="AH1494" s="673"/>
      <c r="AI1494" s="673"/>
      <c r="AJ1494" s="673"/>
      <c r="AK1494" s="673"/>
      <c r="AL1494" s="673"/>
      <c r="AM1494" s="673"/>
      <c r="AN1494" s="673"/>
      <c r="AO1494" s="673"/>
      <c r="AP1494" s="673"/>
      <c r="AQ1494" s="673"/>
      <c r="AR1494" s="673"/>
      <c r="AS1494" s="673"/>
    </row>
    <row r="1495">
      <c r="A1495" s="653"/>
      <c r="B1495" s="654"/>
      <c r="C1495" s="655"/>
      <c r="D1495" s="656"/>
      <c r="E1495" s="657"/>
      <c r="F1495" s="658"/>
      <c r="G1495" s="659"/>
      <c r="H1495" s="660"/>
      <c r="I1495" s="659"/>
      <c r="J1495" s="661"/>
      <c r="K1495" s="658"/>
      <c r="L1495" s="662"/>
      <c r="M1495" s="663"/>
      <c r="N1495" s="664"/>
      <c r="O1495" s="665"/>
      <c r="P1495" s="666"/>
      <c r="Q1495" s="667"/>
      <c r="R1495" s="668"/>
      <c r="S1495" s="665"/>
      <c r="T1495" s="669"/>
      <c r="U1495" s="669"/>
      <c r="V1495" s="665"/>
      <c r="W1495" s="670"/>
      <c r="X1495" s="670"/>
      <c r="Y1495" s="671"/>
      <c r="Z1495" s="671"/>
      <c r="AA1495" s="672"/>
      <c r="AB1495" s="673"/>
      <c r="AC1495" s="673"/>
      <c r="AD1495" s="673"/>
      <c r="AE1495" s="673"/>
      <c r="AF1495" s="673"/>
      <c r="AG1495" s="673"/>
      <c r="AH1495" s="673"/>
      <c r="AI1495" s="673"/>
      <c r="AJ1495" s="673"/>
      <c r="AK1495" s="673"/>
      <c r="AL1495" s="673"/>
      <c r="AM1495" s="673"/>
      <c r="AN1495" s="673"/>
      <c r="AO1495" s="673"/>
      <c r="AP1495" s="673"/>
      <c r="AQ1495" s="673"/>
      <c r="AR1495" s="673"/>
      <c r="AS1495" s="673"/>
    </row>
    <row r="1496">
      <c r="A1496" s="653"/>
      <c r="B1496" s="654"/>
      <c r="C1496" s="655"/>
      <c r="D1496" s="656"/>
      <c r="E1496" s="657"/>
      <c r="F1496" s="658"/>
      <c r="G1496" s="659"/>
      <c r="H1496" s="660"/>
      <c r="I1496" s="659"/>
      <c r="J1496" s="661"/>
      <c r="K1496" s="658"/>
      <c r="L1496" s="662"/>
      <c r="M1496" s="663"/>
      <c r="N1496" s="664"/>
      <c r="O1496" s="665"/>
      <c r="P1496" s="666"/>
      <c r="Q1496" s="667"/>
      <c r="R1496" s="668"/>
      <c r="S1496" s="665"/>
      <c r="T1496" s="669"/>
      <c r="U1496" s="669"/>
      <c r="V1496" s="665"/>
      <c r="W1496" s="670"/>
      <c r="X1496" s="670"/>
      <c r="Y1496" s="671"/>
      <c r="Z1496" s="671"/>
      <c r="AA1496" s="672"/>
      <c r="AB1496" s="673"/>
      <c r="AC1496" s="673"/>
      <c r="AD1496" s="673"/>
      <c r="AE1496" s="673"/>
      <c r="AF1496" s="673"/>
      <c r="AG1496" s="673"/>
      <c r="AH1496" s="673"/>
      <c r="AI1496" s="673"/>
      <c r="AJ1496" s="673"/>
      <c r="AK1496" s="673"/>
      <c r="AL1496" s="673"/>
      <c r="AM1496" s="673"/>
      <c r="AN1496" s="673"/>
      <c r="AO1496" s="673"/>
      <c r="AP1496" s="673"/>
      <c r="AQ1496" s="673"/>
      <c r="AR1496" s="673"/>
      <c r="AS1496" s="673"/>
    </row>
    <row r="1497">
      <c r="A1497" s="653"/>
      <c r="B1497" s="654"/>
      <c r="C1497" s="655"/>
      <c r="D1497" s="656"/>
      <c r="E1497" s="657"/>
      <c r="F1497" s="658"/>
      <c r="G1497" s="659"/>
      <c r="H1497" s="660"/>
      <c r="I1497" s="659"/>
      <c r="J1497" s="661"/>
      <c r="K1497" s="658"/>
      <c r="L1497" s="662"/>
      <c r="M1497" s="663"/>
      <c r="N1497" s="664"/>
      <c r="O1497" s="665"/>
      <c r="P1497" s="666"/>
      <c r="Q1497" s="667"/>
      <c r="R1497" s="668"/>
      <c r="S1497" s="665"/>
      <c r="T1497" s="669"/>
      <c r="U1497" s="669"/>
      <c r="V1497" s="665"/>
      <c r="W1497" s="670"/>
      <c r="X1497" s="670"/>
      <c r="Y1497" s="671"/>
      <c r="Z1497" s="671"/>
      <c r="AA1497" s="672"/>
      <c r="AB1497" s="673"/>
      <c r="AC1497" s="673"/>
      <c r="AD1497" s="673"/>
      <c r="AE1497" s="673"/>
      <c r="AF1497" s="673"/>
      <c r="AG1497" s="673"/>
      <c r="AH1497" s="673"/>
      <c r="AI1497" s="673"/>
      <c r="AJ1497" s="673"/>
      <c r="AK1497" s="673"/>
      <c r="AL1497" s="673"/>
      <c r="AM1497" s="673"/>
      <c r="AN1497" s="673"/>
      <c r="AO1497" s="673"/>
      <c r="AP1497" s="673"/>
      <c r="AQ1497" s="673"/>
      <c r="AR1497" s="673"/>
      <c r="AS1497" s="673"/>
    </row>
    <row r="1498">
      <c r="A1498" s="653"/>
      <c r="B1498" s="654"/>
      <c r="C1498" s="655"/>
      <c r="D1498" s="656"/>
      <c r="E1498" s="657"/>
      <c r="F1498" s="658"/>
      <c r="G1498" s="659"/>
      <c r="H1498" s="660"/>
      <c r="I1498" s="659"/>
      <c r="J1498" s="661"/>
      <c r="K1498" s="658"/>
      <c r="L1498" s="662"/>
      <c r="M1498" s="663"/>
      <c r="N1498" s="664"/>
      <c r="O1498" s="665"/>
      <c r="P1498" s="666"/>
      <c r="Q1498" s="667"/>
      <c r="R1498" s="668"/>
      <c r="S1498" s="665"/>
      <c r="T1498" s="669"/>
      <c r="U1498" s="669"/>
      <c r="V1498" s="665"/>
      <c r="W1498" s="670"/>
      <c r="X1498" s="670"/>
      <c r="Y1498" s="671"/>
      <c r="Z1498" s="671"/>
      <c r="AA1498" s="672"/>
      <c r="AB1498" s="673"/>
      <c r="AC1498" s="673"/>
      <c r="AD1498" s="673"/>
      <c r="AE1498" s="673"/>
      <c r="AF1498" s="673"/>
      <c r="AG1498" s="673"/>
      <c r="AH1498" s="673"/>
      <c r="AI1498" s="673"/>
      <c r="AJ1498" s="673"/>
      <c r="AK1498" s="673"/>
      <c r="AL1498" s="673"/>
      <c r="AM1498" s="673"/>
      <c r="AN1498" s="673"/>
      <c r="AO1498" s="673"/>
      <c r="AP1498" s="673"/>
      <c r="AQ1498" s="673"/>
      <c r="AR1498" s="673"/>
      <c r="AS1498" s="673"/>
    </row>
    <row r="1499">
      <c r="A1499" s="653"/>
      <c r="B1499" s="654"/>
      <c r="C1499" s="655"/>
      <c r="D1499" s="656"/>
      <c r="E1499" s="657"/>
      <c r="F1499" s="658"/>
      <c r="G1499" s="659"/>
      <c r="H1499" s="660"/>
      <c r="I1499" s="659"/>
      <c r="J1499" s="661"/>
      <c r="K1499" s="658"/>
      <c r="L1499" s="662"/>
      <c r="M1499" s="663"/>
      <c r="N1499" s="664"/>
      <c r="O1499" s="665"/>
      <c r="P1499" s="666"/>
      <c r="Q1499" s="667"/>
      <c r="R1499" s="668"/>
      <c r="S1499" s="665"/>
      <c r="T1499" s="669"/>
      <c r="U1499" s="669"/>
      <c r="V1499" s="665"/>
      <c r="W1499" s="670"/>
      <c r="X1499" s="670"/>
      <c r="Y1499" s="671"/>
      <c r="Z1499" s="671"/>
      <c r="AA1499" s="672"/>
      <c r="AB1499" s="673"/>
      <c r="AC1499" s="673"/>
      <c r="AD1499" s="673"/>
      <c r="AE1499" s="673"/>
      <c r="AF1499" s="673"/>
      <c r="AG1499" s="673"/>
      <c r="AH1499" s="673"/>
      <c r="AI1499" s="673"/>
      <c r="AJ1499" s="673"/>
      <c r="AK1499" s="673"/>
      <c r="AL1499" s="673"/>
      <c r="AM1499" s="673"/>
      <c r="AN1499" s="673"/>
      <c r="AO1499" s="673"/>
      <c r="AP1499" s="673"/>
      <c r="AQ1499" s="673"/>
      <c r="AR1499" s="673"/>
      <c r="AS1499" s="673"/>
    </row>
    <row r="1500">
      <c r="A1500" s="653"/>
      <c r="B1500" s="654"/>
      <c r="C1500" s="655"/>
      <c r="D1500" s="656"/>
      <c r="E1500" s="657"/>
      <c r="F1500" s="658"/>
      <c r="G1500" s="659"/>
      <c r="H1500" s="660"/>
      <c r="I1500" s="659"/>
      <c r="J1500" s="661"/>
      <c r="K1500" s="658"/>
      <c r="L1500" s="662"/>
      <c r="M1500" s="663"/>
      <c r="N1500" s="664"/>
      <c r="O1500" s="665"/>
      <c r="P1500" s="666"/>
      <c r="Q1500" s="667"/>
      <c r="R1500" s="668"/>
      <c r="S1500" s="665"/>
      <c r="T1500" s="669"/>
      <c r="U1500" s="669"/>
      <c r="V1500" s="665"/>
      <c r="W1500" s="670"/>
      <c r="X1500" s="670"/>
      <c r="Y1500" s="671"/>
      <c r="Z1500" s="671"/>
      <c r="AA1500" s="672"/>
      <c r="AB1500" s="673"/>
      <c r="AC1500" s="673"/>
      <c r="AD1500" s="673"/>
      <c r="AE1500" s="673"/>
      <c r="AF1500" s="673"/>
      <c r="AG1500" s="673"/>
      <c r="AH1500" s="673"/>
      <c r="AI1500" s="673"/>
      <c r="AJ1500" s="673"/>
      <c r="AK1500" s="673"/>
      <c r="AL1500" s="673"/>
      <c r="AM1500" s="673"/>
      <c r="AN1500" s="673"/>
      <c r="AO1500" s="673"/>
      <c r="AP1500" s="673"/>
      <c r="AQ1500" s="673"/>
      <c r="AR1500" s="673"/>
      <c r="AS1500" s="673"/>
    </row>
    <row r="1501">
      <c r="A1501" s="653"/>
      <c r="B1501" s="654"/>
      <c r="C1501" s="655"/>
      <c r="D1501" s="656"/>
      <c r="E1501" s="657"/>
      <c r="F1501" s="658"/>
      <c r="G1501" s="659"/>
      <c r="H1501" s="660"/>
      <c r="I1501" s="659"/>
      <c r="J1501" s="661"/>
      <c r="K1501" s="658"/>
      <c r="L1501" s="662"/>
      <c r="M1501" s="663"/>
      <c r="N1501" s="664"/>
      <c r="O1501" s="665"/>
      <c r="P1501" s="666"/>
      <c r="Q1501" s="667"/>
      <c r="R1501" s="668"/>
      <c r="S1501" s="665"/>
      <c r="T1501" s="669"/>
      <c r="U1501" s="669"/>
      <c r="V1501" s="665"/>
      <c r="W1501" s="670"/>
      <c r="X1501" s="670"/>
      <c r="Y1501" s="671"/>
      <c r="Z1501" s="671"/>
      <c r="AA1501" s="672"/>
      <c r="AB1501" s="673"/>
      <c r="AC1501" s="673"/>
      <c r="AD1501" s="673"/>
      <c r="AE1501" s="673"/>
      <c r="AF1501" s="673"/>
      <c r="AG1501" s="673"/>
      <c r="AH1501" s="673"/>
      <c r="AI1501" s="673"/>
      <c r="AJ1501" s="673"/>
      <c r="AK1501" s="673"/>
      <c r="AL1501" s="673"/>
      <c r="AM1501" s="673"/>
      <c r="AN1501" s="673"/>
      <c r="AO1501" s="673"/>
      <c r="AP1501" s="673"/>
      <c r="AQ1501" s="673"/>
      <c r="AR1501" s="673"/>
      <c r="AS1501" s="673"/>
    </row>
    <row r="1502">
      <c r="A1502" s="653"/>
      <c r="B1502" s="654"/>
      <c r="C1502" s="655"/>
      <c r="D1502" s="656"/>
      <c r="E1502" s="657"/>
      <c r="F1502" s="658"/>
      <c r="G1502" s="659"/>
      <c r="H1502" s="660"/>
      <c r="I1502" s="659"/>
      <c r="J1502" s="661"/>
      <c r="K1502" s="658"/>
      <c r="L1502" s="662"/>
      <c r="M1502" s="663"/>
      <c r="N1502" s="664"/>
      <c r="O1502" s="665"/>
      <c r="P1502" s="666"/>
      <c r="Q1502" s="667"/>
      <c r="R1502" s="668"/>
      <c r="S1502" s="665"/>
      <c r="T1502" s="669"/>
      <c r="U1502" s="669"/>
      <c r="V1502" s="665"/>
      <c r="W1502" s="670"/>
      <c r="X1502" s="670"/>
      <c r="Y1502" s="671"/>
      <c r="Z1502" s="671"/>
      <c r="AA1502" s="672"/>
      <c r="AB1502" s="673"/>
      <c r="AC1502" s="673"/>
      <c r="AD1502" s="673"/>
      <c r="AE1502" s="673"/>
      <c r="AF1502" s="673"/>
      <c r="AG1502" s="673"/>
      <c r="AH1502" s="673"/>
      <c r="AI1502" s="673"/>
      <c r="AJ1502" s="673"/>
      <c r="AK1502" s="673"/>
      <c r="AL1502" s="673"/>
      <c r="AM1502" s="673"/>
      <c r="AN1502" s="673"/>
      <c r="AO1502" s="673"/>
      <c r="AP1502" s="673"/>
      <c r="AQ1502" s="673"/>
      <c r="AR1502" s="673"/>
      <c r="AS1502" s="673"/>
    </row>
    <row r="1503">
      <c r="A1503" s="653"/>
      <c r="B1503" s="654"/>
      <c r="C1503" s="655"/>
      <c r="D1503" s="656"/>
      <c r="E1503" s="657"/>
      <c r="F1503" s="658"/>
      <c r="G1503" s="659"/>
      <c r="H1503" s="660"/>
      <c r="I1503" s="659"/>
      <c r="J1503" s="661"/>
      <c r="K1503" s="658"/>
      <c r="L1503" s="662"/>
      <c r="M1503" s="663"/>
      <c r="N1503" s="664"/>
      <c r="O1503" s="665"/>
      <c r="P1503" s="666"/>
      <c r="Q1503" s="667"/>
      <c r="R1503" s="668"/>
      <c r="S1503" s="665"/>
      <c r="T1503" s="669"/>
      <c r="U1503" s="669"/>
      <c r="V1503" s="665"/>
      <c r="W1503" s="670"/>
      <c r="X1503" s="670"/>
      <c r="Y1503" s="671"/>
      <c r="Z1503" s="671"/>
      <c r="AA1503" s="672"/>
      <c r="AB1503" s="673"/>
      <c r="AC1503" s="673"/>
      <c r="AD1503" s="673"/>
      <c r="AE1503" s="673"/>
      <c r="AF1503" s="673"/>
      <c r="AG1503" s="673"/>
      <c r="AH1503" s="673"/>
      <c r="AI1503" s="673"/>
      <c r="AJ1503" s="673"/>
      <c r="AK1503" s="673"/>
      <c r="AL1503" s="673"/>
      <c r="AM1503" s="673"/>
      <c r="AN1503" s="673"/>
      <c r="AO1503" s="673"/>
      <c r="AP1503" s="673"/>
      <c r="AQ1503" s="673"/>
      <c r="AR1503" s="673"/>
      <c r="AS1503" s="673"/>
    </row>
    <row r="1504">
      <c r="A1504" s="653"/>
      <c r="B1504" s="654"/>
      <c r="C1504" s="655"/>
      <c r="D1504" s="656"/>
      <c r="E1504" s="657"/>
      <c r="F1504" s="658"/>
      <c r="G1504" s="659"/>
      <c r="H1504" s="660"/>
      <c r="I1504" s="659"/>
      <c r="J1504" s="661"/>
      <c r="K1504" s="658"/>
      <c r="L1504" s="662"/>
      <c r="M1504" s="663"/>
      <c r="N1504" s="664"/>
      <c r="O1504" s="665"/>
      <c r="P1504" s="666"/>
      <c r="Q1504" s="667"/>
      <c r="R1504" s="668"/>
      <c r="S1504" s="665"/>
      <c r="T1504" s="669"/>
      <c r="U1504" s="669"/>
      <c r="V1504" s="665"/>
      <c r="W1504" s="670"/>
      <c r="X1504" s="670"/>
      <c r="Y1504" s="671"/>
      <c r="Z1504" s="671"/>
      <c r="AA1504" s="672"/>
      <c r="AB1504" s="673"/>
      <c r="AC1504" s="673"/>
      <c r="AD1504" s="673"/>
      <c r="AE1504" s="673"/>
      <c r="AF1504" s="673"/>
      <c r="AG1504" s="673"/>
      <c r="AH1504" s="673"/>
      <c r="AI1504" s="673"/>
      <c r="AJ1504" s="673"/>
      <c r="AK1504" s="673"/>
      <c r="AL1504" s="673"/>
      <c r="AM1504" s="673"/>
      <c r="AN1504" s="673"/>
      <c r="AO1504" s="673"/>
      <c r="AP1504" s="673"/>
      <c r="AQ1504" s="673"/>
      <c r="AR1504" s="673"/>
      <c r="AS1504" s="673"/>
    </row>
    <row r="1505">
      <c r="A1505" s="653"/>
      <c r="B1505" s="654"/>
      <c r="C1505" s="655"/>
      <c r="D1505" s="656"/>
      <c r="E1505" s="657"/>
      <c r="F1505" s="658"/>
      <c r="G1505" s="659"/>
      <c r="H1505" s="660"/>
      <c r="I1505" s="659"/>
      <c r="J1505" s="661"/>
      <c r="K1505" s="658"/>
      <c r="L1505" s="662"/>
      <c r="M1505" s="663"/>
      <c r="N1505" s="664"/>
      <c r="O1505" s="665"/>
      <c r="P1505" s="666"/>
      <c r="Q1505" s="667"/>
      <c r="R1505" s="668"/>
      <c r="S1505" s="665"/>
      <c r="T1505" s="669"/>
      <c r="U1505" s="669"/>
      <c r="V1505" s="665"/>
      <c r="W1505" s="670"/>
      <c r="X1505" s="670"/>
      <c r="Y1505" s="671"/>
      <c r="Z1505" s="671"/>
      <c r="AA1505" s="672"/>
      <c r="AB1505" s="673"/>
      <c r="AC1505" s="673"/>
      <c r="AD1505" s="673"/>
      <c r="AE1505" s="673"/>
      <c r="AF1505" s="673"/>
      <c r="AG1505" s="673"/>
      <c r="AH1505" s="673"/>
      <c r="AI1505" s="673"/>
      <c r="AJ1505" s="673"/>
      <c r="AK1505" s="673"/>
      <c r="AL1505" s="673"/>
      <c r="AM1505" s="673"/>
      <c r="AN1505" s="673"/>
      <c r="AO1505" s="673"/>
      <c r="AP1505" s="673"/>
      <c r="AQ1505" s="673"/>
      <c r="AR1505" s="673"/>
      <c r="AS1505" s="673"/>
    </row>
    <row r="1506">
      <c r="A1506" s="653"/>
      <c r="B1506" s="654"/>
      <c r="C1506" s="655"/>
      <c r="D1506" s="656"/>
      <c r="E1506" s="657"/>
      <c r="F1506" s="658"/>
      <c r="G1506" s="659"/>
      <c r="H1506" s="660"/>
      <c r="I1506" s="659"/>
      <c r="J1506" s="661"/>
      <c r="K1506" s="658"/>
      <c r="L1506" s="662"/>
      <c r="M1506" s="663"/>
      <c r="N1506" s="664"/>
      <c r="O1506" s="665"/>
      <c r="P1506" s="666"/>
      <c r="Q1506" s="667"/>
      <c r="R1506" s="668"/>
      <c r="S1506" s="665"/>
      <c r="T1506" s="669"/>
      <c r="U1506" s="669"/>
      <c r="V1506" s="665"/>
      <c r="W1506" s="670"/>
      <c r="X1506" s="670"/>
      <c r="Y1506" s="671"/>
      <c r="Z1506" s="671"/>
      <c r="AA1506" s="672"/>
      <c r="AB1506" s="673"/>
      <c r="AC1506" s="673"/>
      <c r="AD1506" s="673"/>
      <c r="AE1506" s="673"/>
      <c r="AF1506" s="673"/>
      <c r="AG1506" s="673"/>
      <c r="AH1506" s="673"/>
      <c r="AI1506" s="673"/>
      <c r="AJ1506" s="673"/>
      <c r="AK1506" s="673"/>
      <c r="AL1506" s="673"/>
      <c r="AM1506" s="673"/>
      <c r="AN1506" s="673"/>
      <c r="AO1506" s="673"/>
      <c r="AP1506" s="673"/>
      <c r="AQ1506" s="673"/>
      <c r="AR1506" s="673"/>
      <c r="AS1506" s="673"/>
    </row>
    <row r="1507">
      <c r="A1507" s="653"/>
      <c r="B1507" s="654"/>
      <c r="C1507" s="655"/>
      <c r="D1507" s="656"/>
      <c r="E1507" s="657"/>
      <c r="F1507" s="658"/>
      <c r="G1507" s="659"/>
      <c r="H1507" s="660"/>
      <c r="I1507" s="659"/>
      <c r="J1507" s="661"/>
      <c r="K1507" s="658"/>
      <c r="L1507" s="662"/>
      <c r="M1507" s="663"/>
      <c r="N1507" s="664"/>
      <c r="O1507" s="665"/>
      <c r="P1507" s="666"/>
      <c r="Q1507" s="667"/>
      <c r="R1507" s="668"/>
      <c r="S1507" s="665"/>
      <c r="T1507" s="669"/>
      <c r="U1507" s="669"/>
      <c r="V1507" s="665"/>
      <c r="W1507" s="670"/>
      <c r="X1507" s="670"/>
      <c r="Y1507" s="671"/>
      <c r="Z1507" s="671"/>
      <c r="AA1507" s="672"/>
      <c r="AB1507" s="673"/>
      <c r="AC1507" s="673"/>
      <c r="AD1507" s="673"/>
      <c r="AE1507" s="673"/>
      <c r="AF1507" s="673"/>
      <c r="AG1507" s="673"/>
      <c r="AH1507" s="673"/>
      <c r="AI1507" s="673"/>
      <c r="AJ1507" s="673"/>
      <c r="AK1507" s="673"/>
      <c r="AL1507" s="673"/>
      <c r="AM1507" s="673"/>
      <c r="AN1507" s="673"/>
      <c r="AO1507" s="673"/>
      <c r="AP1507" s="673"/>
      <c r="AQ1507" s="673"/>
      <c r="AR1507" s="673"/>
      <c r="AS1507" s="673"/>
    </row>
    <row r="1508">
      <c r="A1508" s="653"/>
      <c r="B1508" s="654"/>
      <c r="C1508" s="655"/>
      <c r="D1508" s="656"/>
      <c r="E1508" s="657"/>
      <c r="F1508" s="658"/>
      <c r="G1508" s="659"/>
      <c r="H1508" s="660"/>
      <c r="I1508" s="659"/>
      <c r="J1508" s="661"/>
      <c r="K1508" s="658"/>
      <c r="L1508" s="662"/>
      <c r="M1508" s="663"/>
      <c r="N1508" s="664"/>
      <c r="O1508" s="665"/>
      <c r="P1508" s="666"/>
      <c r="Q1508" s="667"/>
      <c r="R1508" s="668"/>
      <c r="S1508" s="665"/>
      <c r="T1508" s="669"/>
      <c r="U1508" s="669"/>
      <c r="V1508" s="665"/>
      <c r="W1508" s="670"/>
      <c r="X1508" s="670"/>
      <c r="Y1508" s="671"/>
      <c r="Z1508" s="671"/>
      <c r="AA1508" s="672"/>
      <c r="AB1508" s="673"/>
      <c r="AC1508" s="673"/>
      <c r="AD1508" s="673"/>
      <c r="AE1508" s="673"/>
      <c r="AF1508" s="673"/>
      <c r="AG1508" s="673"/>
      <c r="AH1508" s="673"/>
      <c r="AI1508" s="673"/>
      <c r="AJ1508" s="673"/>
      <c r="AK1508" s="673"/>
      <c r="AL1508" s="673"/>
      <c r="AM1508" s="673"/>
      <c r="AN1508" s="673"/>
      <c r="AO1508" s="673"/>
      <c r="AP1508" s="673"/>
      <c r="AQ1508" s="673"/>
      <c r="AR1508" s="673"/>
      <c r="AS1508" s="673"/>
    </row>
    <row r="1509">
      <c r="A1509" s="653"/>
      <c r="B1509" s="654"/>
      <c r="C1509" s="655"/>
      <c r="D1509" s="656"/>
      <c r="E1509" s="657"/>
      <c r="F1509" s="658"/>
      <c r="G1509" s="659"/>
      <c r="H1509" s="660"/>
      <c r="I1509" s="659"/>
      <c r="J1509" s="661"/>
      <c r="K1509" s="658"/>
      <c r="L1509" s="662"/>
      <c r="M1509" s="663"/>
      <c r="N1509" s="664"/>
      <c r="O1509" s="665"/>
      <c r="P1509" s="666"/>
      <c r="Q1509" s="667"/>
      <c r="R1509" s="668"/>
      <c r="S1509" s="665"/>
      <c r="T1509" s="669"/>
      <c r="U1509" s="669"/>
      <c r="V1509" s="665"/>
      <c r="W1509" s="670"/>
      <c r="X1509" s="670"/>
      <c r="Y1509" s="671"/>
      <c r="Z1509" s="671"/>
      <c r="AA1509" s="672"/>
      <c r="AB1509" s="673"/>
      <c r="AC1509" s="673"/>
      <c r="AD1509" s="673"/>
      <c r="AE1509" s="673"/>
      <c r="AF1509" s="673"/>
      <c r="AG1509" s="673"/>
      <c r="AH1509" s="673"/>
      <c r="AI1509" s="673"/>
      <c r="AJ1509" s="673"/>
      <c r="AK1509" s="673"/>
      <c r="AL1509" s="673"/>
      <c r="AM1509" s="673"/>
      <c r="AN1509" s="673"/>
      <c r="AO1509" s="673"/>
      <c r="AP1509" s="673"/>
      <c r="AQ1509" s="673"/>
      <c r="AR1509" s="673"/>
      <c r="AS1509" s="673"/>
    </row>
    <row r="1510">
      <c r="A1510" s="653"/>
      <c r="B1510" s="654"/>
      <c r="C1510" s="655"/>
      <c r="D1510" s="656"/>
      <c r="E1510" s="657"/>
      <c r="F1510" s="658"/>
      <c r="G1510" s="659"/>
      <c r="H1510" s="660"/>
      <c r="I1510" s="659"/>
      <c r="J1510" s="661"/>
      <c r="K1510" s="658"/>
      <c r="L1510" s="662"/>
      <c r="M1510" s="663"/>
      <c r="N1510" s="664"/>
      <c r="O1510" s="665"/>
      <c r="P1510" s="666"/>
      <c r="Q1510" s="667"/>
      <c r="R1510" s="668"/>
      <c r="S1510" s="665"/>
      <c r="T1510" s="669"/>
      <c r="U1510" s="669"/>
      <c r="V1510" s="665"/>
      <c r="W1510" s="670"/>
      <c r="X1510" s="670"/>
      <c r="Y1510" s="671"/>
      <c r="Z1510" s="671"/>
      <c r="AA1510" s="672"/>
      <c r="AB1510" s="673"/>
      <c r="AC1510" s="673"/>
      <c r="AD1510" s="673"/>
      <c r="AE1510" s="673"/>
      <c r="AF1510" s="673"/>
      <c r="AG1510" s="673"/>
      <c r="AH1510" s="673"/>
      <c r="AI1510" s="673"/>
      <c r="AJ1510" s="673"/>
      <c r="AK1510" s="673"/>
      <c r="AL1510" s="673"/>
      <c r="AM1510" s="673"/>
      <c r="AN1510" s="673"/>
      <c r="AO1510" s="673"/>
      <c r="AP1510" s="673"/>
      <c r="AQ1510" s="673"/>
      <c r="AR1510" s="673"/>
      <c r="AS1510" s="673"/>
    </row>
    <row r="1511">
      <c r="A1511" s="653"/>
      <c r="B1511" s="654"/>
      <c r="C1511" s="655"/>
      <c r="D1511" s="656"/>
      <c r="E1511" s="657"/>
      <c r="F1511" s="658"/>
      <c r="G1511" s="659"/>
      <c r="H1511" s="660"/>
      <c r="I1511" s="659"/>
      <c r="J1511" s="661"/>
      <c r="K1511" s="658"/>
      <c r="L1511" s="662"/>
      <c r="M1511" s="663"/>
      <c r="N1511" s="664"/>
      <c r="O1511" s="665"/>
      <c r="P1511" s="666"/>
      <c r="Q1511" s="667"/>
      <c r="R1511" s="668"/>
      <c r="S1511" s="665"/>
      <c r="T1511" s="669"/>
      <c r="U1511" s="669"/>
      <c r="V1511" s="665"/>
      <c r="W1511" s="670"/>
      <c r="X1511" s="670"/>
      <c r="Y1511" s="671"/>
      <c r="Z1511" s="671"/>
      <c r="AA1511" s="672"/>
      <c r="AB1511" s="673"/>
      <c r="AC1511" s="673"/>
      <c r="AD1511" s="673"/>
      <c r="AE1511" s="673"/>
      <c r="AF1511" s="673"/>
      <c r="AG1511" s="673"/>
      <c r="AH1511" s="673"/>
      <c r="AI1511" s="673"/>
      <c r="AJ1511" s="673"/>
      <c r="AK1511" s="673"/>
      <c r="AL1511" s="673"/>
      <c r="AM1511" s="673"/>
      <c r="AN1511" s="673"/>
      <c r="AO1511" s="673"/>
      <c r="AP1511" s="673"/>
      <c r="AQ1511" s="673"/>
      <c r="AR1511" s="673"/>
      <c r="AS1511" s="673"/>
    </row>
    <row r="1512">
      <c r="A1512" s="653"/>
      <c r="B1512" s="654"/>
      <c r="C1512" s="655"/>
      <c r="D1512" s="656"/>
      <c r="E1512" s="657"/>
      <c r="F1512" s="658"/>
      <c r="G1512" s="659"/>
      <c r="H1512" s="660"/>
      <c r="I1512" s="659"/>
      <c r="J1512" s="661"/>
      <c r="K1512" s="658"/>
      <c r="L1512" s="662"/>
      <c r="M1512" s="663"/>
      <c r="N1512" s="664"/>
      <c r="O1512" s="665"/>
      <c r="P1512" s="666"/>
      <c r="Q1512" s="667"/>
      <c r="R1512" s="668"/>
      <c r="S1512" s="665"/>
      <c r="T1512" s="669"/>
      <c r="U1512" s="669"/>
      <c r="V1512" s="665"/>
      <c r="W1512" s="670"/>
      <c r="X1512" s="670"/>
      <c r="Y1512" s="671"/>
      <c r="Z1512" s="671"/>
      <c r="AA1512" s="672"/>
      <c r="AB1512" s="673"/>
      <c r="AC1512" s="673"/>
      <c r="AD1512" s="673"/>
      <c r="AE1512" s="673"/>
      <c r="AF1512" s="673"/>
      <c r="AG1512" s="673"/>
      <c r="AH1512" s="673"/>
      <c r="AI1512" s="673"/>
      <c r="AJ1512" s="673"/>
      <c r="AK1512" s="673"/>
      <c r="AL1512" s="673"/>
      <c r="AM1512" s="673"/>
      <c r="AN1512" s="673"/>
      <c r="AO1512" s="673"/>
      <c r="AP1512" s="673"/>
      <c r="AQ1512" s="673"/>
      <c r="AR1512" s="673"/>
      <c r="AS1512" s="673"/>
    </row>
    <row r="1513">
      <c r="A1513" s="653"/>
      <c r="B1513" s="654"/>
      <c r="C1513" s="655"/>
      <c r="D1513" s="656"/>
      <c r="E1513" s="657"/>
      <c r="F1513" s="658"/>
      <c r="G1513" s="659"/>
      <c r="H1513" s="660"/>
      <c r="I1513" s="659"/>
      <c r="J1513" s="661"/>
      <c r="K1513" s="658"/>
      <c r="L1513" s="662"/>
      <c r="M1513" s="663"/>
      <c r="N1513" s="664"/>
      <c r="O1513" s="665"/>
      <c r="P1513" s="666"/>
      <c r="Q1513" s="667"/>
      <c r="R1513" s="668"/>
      <c r="S1513" s="665"/>
      <c r="T1513" s="669"/>
      <c r="U1513" s="669"/>
      <c r="V1513" s="665"/>
      <c r="W1513" s="670"/>
      <c r="X1513" s="670"/>
      <c r="Y1513" s="671"/>
      <c r="Z1513" s="671"/>
      <c r="AA1513" s="672"/>
      <c r="AB1513" s="673"/>
      <c r="AC1513" s="673"/>
      <c r="AD1513" s="673"/>
      <c r="AE1513" s="673"/>
      <c r="AF1513" s="673"/>
      <c r="AG1513" s="673"/>
      <c r="AH1513" s="673"/>
      <c r="AI1513" s="673"/>
      <c r="AJ1513" s="673"/>
      <c r="AK1513" s="673"/>
      <c r="AL1513" s="673"/>
      <c r="AM1513" s="673"/>
      <c r="AN1513" s="673"/>
      <c r="AO1513" s="673"/>
      <c r="AP1513" s="673"/>
      <c r="AQ1513" s="673"/>
      <c r="AR1513" s="673"/>
      <c r="AS1513" s="673"/>
    </row>
    <row r="1514">
      <c r="A1514" s="653"/>
      <c r="B1514" s="654"/>
      <c r="C1514" s="655"/>
      <c r="D1514" s="656"/>
      <c r="E1514" s="657"/>
      <c r="F1514" s="658"/>
      <c r="G1514" s="659"/>
      <c r="H1514" s="660"/>
      <c r="I1514" s="659"/>
      <c r="J1514" s="661"/>
      <c r="K1514" s="658"/>
      <c r="L1514" s="662"/>
      <c r="M1514" s="663"/>
      <c r="N1514" s="664"/>
      <c r="O1514" s="665"/>
      <c r="P1514" s="666"/>
      <c r="Q1514" s="667"/>
      <c r="R1514" s="668"/>
      <c r="S1514" s="665"/>
      <c r="T1514" s="669"/>
      <c r="U1514" s="669"/>
      <c r="V1514" s="665"/>
      <c r="W1514" s="670"/>
      <c r="X1514" s="670"/>
      <c r="Y1514" s="671"/>
      <c r="Z1514" s="671"/>
      <c r="AA1514" s="672"/>
      <c r="AB1514" s="673"/>
      <c r="AC1514" s="673"/>
      <c r="AD1514" s="673"/>
      <c r="AE1514" s="673"/>
      <c r="AF1514" s="673"/>
      <c r="AG1514" s="673"/>
      <c r="AH1514" s="673"/>
      <c r="AI1514" s="673"/>
      <c r="AJ1514" s="673"/>
      <c r="AK1514" s="673"/>
      <c r="AL1514" s="673"/>
      <c r="AM1514" s="673"/>
      <c r="AN1514" s="673"/>
      <c r="AO1514" s="673"/>
      <c r="AP1514" s="673"/>
      <c r="AQ1514" s="673"/>
      <c r="AR1514" s="673"/>
      <c r="AS1514" s="673"/>
    </row>
    <row r="1515">
      <c r="A1515" s="653"/>
      <c r="B1515" s="654"/>
      <c r="C1515" s="655"/>
      <c r="D1515" s="656"/>
      <c r="E1515" s="657"/>
      <c r="F1515" s="658"/>
      <c r="G1515" s="659"/>
      <c r="H1515" s="660"/>
      <c r="I1515" s="659"/>
      <c r="J1515" s="661"/>
      <c r="K1515" s="658"/>
      <c r="L1515" s="662"/>
      <c r="M1515" s="663"/>
      <c r="N1515" s="664"/>
      <c r="O1515" s="665"/>
      <c r="P1515" s="666"/>
      <c r="Q1515" s="667"/>
      <c r="R1515" s="668"/>
      <c r="S1515" s="665"/>
      <c r="T1515" s="669"/>
      <c r="U1515" s="669"/>
      <c r="V1515" s="665"/>
      <c r="W1515" s="670"/>
      <c r="X1515" s="670"/>
      <c r="Y1515" s="671"/>
      <c r="Z1515" s="671"/>
      <c r="AA1515" s="672"/>
      <c r="AB1515" s="673"/>
      <c r="AC1515" s="673"/>
      <c r="AD1515" s="673"/>
      <c r="AE1515" s="673"/>
      <c r="AF1515" s="673"/>
      <c r="AG1515" s="673"/>
      <c r="AH1515" s="673"/>
      <c r="AI1515" s="673"/>
      <c r="AJ1515" s="673"/>
      <c r="AK1515" s="673"/>
      <c r="AL1515" s="673"/>
      <c r="AM1515" s="673"/>
      <c r="AN1515" s="673"/>
      <c r="AO1515" s="673"/>
      <c r="AP1515" s="673"/>
      <c r="AQ1515" s="673"/>
      <c r="AR1515" s="673"/>
      <c r="AS1515" s="673"/>
    </row>
    <row r="1516">
      <c r="A1516" s="653"/>
      <c r="B1516" s="654"/>
      <c r="C1516" s="655"/>
      <c r="D1516" s="656"/>
      <c r="E1516" s="657"/>
      <c r="F1516" s="658"/>
      <c r="G1516" s="659"/>
      <c r="H1516" s="660"/>
      <c r="I1516" s="659"/>
      <c r="J1516" s="661"/>
      <c r="K1516" s="658"/>
      <c r="L1516" s="662"/>
      <c r="M1516" s="663"/>
      <c r="N1516" s="664"/>
      <c r="O1516" s="665"/>
      <c r="P1516" s="666"/>
      <c r="Q1516" s="667"/>
      <c r="R1516" s="668"/>
      <c r="S1516" s="665"/>
      <c r="T1516" s="669"/>
      <c r="U1516" s="669"/>
      <c r="V1516" s="665"/>
      <c r="W1516" s="670"/>
      <c r="X1516" s="670"/>
      <c r="Y1516" s="671"/>
      <c r="Z1516" s="671"/>
      <c r="AA1516" s="672"/>
      <c r="AB1516" s="673"/>
      <c r="AC1516" s="673"/>
      <c r="AD1516" s="673"/>
      <c r="AE1516" s="673"/>
      <c r="AF1516" s="673"/>
      <c r="AG1516" s="673"/>
      <c r="AH1516" s="673"/>
      <c r="AI1516" s="673"/>
      <c r="AJ1516" s="673"/>
      <c r="AK1516" s="673"/>
      <c r="AL1516" s="673"/>
      <c r="AM1516" s="673"/>
      <c r="AN1516" s="673"/>
      <c r="AO1516" s="673"/>
      <c r="AP1516" s="673"/>
      <c r="AQ1516" s="673"/>
      <c r="AR1516" s="673"/>
      <c r="AS1516" s="673"/>
    </row>
    <row r="1517">
      <c r="A1517" s="653"/>
      <c r="B1517" s="654"/>
      <c r="C1517" s="655"/>
      <c r="D1517" s="656"/>
      <c r="E1517" s="657"/>
      <c r="F1517" s="658"/>
      <c r="G1517" s="659"/>
      <c r="H1517" s="660"/>
      <c r="I1517" s="659"/>
      <c r="J1517" s="661"/>
      <c r="K1517" s="658"/>
      <c r="L1517" s="662"/>
      <c r="M1517" s="663"/>
      <c r="N1517" s="664"/>
      <c r="O1517" s="665"/>
      <c r="P1517" s="666"/>
      <c r="Q1517" s="667"/>
      <c r="R1517" s="668"/>
      <c r="S1517" s="665"/>
      <c r="T1517" s="669"/>
      <c r="U1517" s="669"/>
      <c r="V1517" s="665"/>
      <c r="W1517" s="670"/>
      <c r="X1517" s="670"/>
      <c r="Y1517" s="671"/>
      <c r="Z1517" s="671"/>
      <c r="AA1517" s="672"/>
      <c r="AB1517" s="673"/>
      <c r="AC1517" s="673"/>
      <c r="AD1517" s="673"/>
      <c r="AE1517" s="673"/>
      <c r="AF1517" s="673"/>
      <c r="AG1517" s="673"/>
      <c r="AH1517" s="673"/>
      <c r="AI1517" s="673"/>
      <c r="AJ1517" s="673"/>
      <c r="AK1517" s="673"/>
      <c r="AL1517" s="673"/>
      <c r="AM1517" s="673"/>
      <c r="AN1517" s="673"/>
      <c r="AO1517" s="673"/>
      <c r="AP1517" s="673"/>
      <c r="AQ1517" s="673"/>
      <c r="AR1517" s="673"/>
      <c r="AS1517" s="673"/>
    </row>
    <row r="1518">
      <c r="A1518" s="653"/>
      <c r="B1518" s="654"/>
      <c r="C1518" s="655"/>
      <c r="D1518" s="656"/>
      <c r="E1518" s="657"/>
      <c r="F1518" s="658"/>
      <c r="G1518" s="659"/>
      <c r="H1518" s="660"/>
      <c r="I1518" s="659"/>
      <c r="J1518" s="661"/>
      <c r="K1518" s="658"/>
      <c r="L1518" s="662"/>
      <c r="M1518" s="663"/>
      <c r="N1518" s="664"/>
      <c r="O1518" s="665"/>
      <c r="P1518" s="666"/>
      <c r="Q1518" s="667"/>
      <c r="R1518" s="668"/>
      <c r="S1518" s="665"/>
      <c r="T1518" s="669"/>
      <c r="U1518" s="669"/>
      <c r="V1518" s="665"/>
      <c r="W1518" s="670"/>
      <c r="X1518" s="670"/>
      <c r="Y1518" s="671"/>
      <c r="Z1518" s="671"/>
      <c r="AA1518" s="672"/>
      <c r="AB1518" s="673"/>
      <c r="AC1518" s="673"/>
      <c r="AD1518" s="673"/>
      <c r="AE1518" s="673"/>
      <c r="AF1518" s="673"/>
      <c r="AG1518" s="673"/>
      <c r="AH1518" s="673"/>
      <c r="AI1518" s="673"/>
      <c r="AJ1518" s="673"/>
      <c r="AK1518" s="673"/>
      <c r="AL1518" s="673"/>
      <c r="AM1518" s="673"/>
      <c r="AN1518" s="673"/>
      <c r="AO1518" s="673"/>
      <c r="AP1518" s="673"/>
      <c r="AQ1518" s="673"/>
      <c r="AR1518" s="673"/>
      <c r="AS1518" s="673"/>
    </row>
    <row r="1519">
      <c r="A1519" s="653"/>
      <c r="B1519" s="654"/>
      <c r="C1519" s="655"/>
      <c r="D1519" s="656"/>
      <c r="E1519" s="657"/>
      <c r="F1519" s="658"/>
      <c r="G1519" s="659"/>
      <c r="H1519" s="660"/>
      <c r="I1519" s="659"/>
      <c r="J1519" s="661"/>
      <c r="K1519" s="658"/>
      <c r="L1519" s="662"/>
      <c r="M1519" s="663"/>
      <c r="N1519" s="664"/>
      <c r="O1519" s="665"/>
      <c r="P1519" s="666"/>
      <c r="Q1519" s="667"/>
      <c r="R1519" s="668"/>
      <c r="S1519" s="665"/>
      <c r="T1519" s="669"/>
      <c r="U1519" s="669"/>
      <c r="V1519" s="665"/>
      <c r="W1519" s="670"/>
      <c r="X1519" s="670"/>
      <c r="Y1519" s="671"/>
      <c r="Z1519" s="671"/>
      <c r="AA1519" s="672"/>
      <c r="AB1519" s="673"/>
      <c r="AC1519" s="673"/>
      <c r="AD1519" s="673"/>
      <c r="AE1519" s="673"/>
      <c r="AF1519" s="673"/>
      <c r="AG1519" s="673"/>
      <c r="AH1519" s="673"/>
      <c r="AI1519" s="673"/>
      <c r="AJ1519" s="673"/>
      <c r="AK1519" s="673"/>
      <c r="AL1519" s="673"/>
      <c r="AM1519" s="673"/>
      <c r="AN1519" s="673"/>
      <c r="AO1519" s="673"/>
      <c r="AP1519" s="673"/>
      <c r="AQ1519" s="673"/>
      <c r="AR1519" s="673"/>
      <c r="AS1519" s="673"/>
    </row>
    <row r="1520">
      <c r="A1520" s="653"/>
      <c r="B1520" s="654"/>
      <c r="C1520" s="655"/>
      <c r="D1520" s="656"/>
      <c r="E1520" s="657"/>
      <c r="F1520" s="658"/>
      <c r="G1520" s="659"/>
      <c r="H1520" s="660"/>
      <c r="I1520" s="659"/>
      <c r="J1520" s="661"/>
      <c r="K1520" s="658"/>
      <c r="L1520" s="662"/>
      <c r="M1520" s="663"/>
      <c r="N1520" s="664"/>
      <c r="O1520" s="665"/>
      <c r="P1520" s="666"/>
      <c r="Q1520" s="667"/>
      <c r="R1520" s="668"/>
      <c r="S1520" s="665"/>
      <c r="T1520" s="669"/>
      <c r="U1520" s="669"/>
      <c r="V1520" s="665"/>
      <c r="W1520" s="670"/>
      <c r="X1520" s="670"/>
      <c r="Y1520" s="671"/>
      <c r="Z1520" s="671"/>
      <c r="AA1520" s="672"/>
      <c r="AB1520" s="673"/>
      <c r="AC1520" s="673"/>
      <c r="AD1520" s="673"/>
      <c r="AE1520" s="673"/>
      <c r="AF1520" s="673"/>
      <c r="AG1520" s="673"/>
      <c r="AH1520" s="673"/>
      <c r="AI1520" s="673"/>
      <c r="AJ1520" s="673"/>
      <c r="AK1520" s="673"/>
      <c r="AL1520" s="673"/>
      <c r="AM1520" s="673"/>
      <c r="AN1520" s="673"/>
      <c r="AO1520" s="673"/>
      <c r="AP1520" s="673"/>
      <c r="AQ1520" s="673"/>
      <c r="AR1520" s="673"/>
      <c r="AS1520" s="673"/>
    </row>
    <row r="1521">
      <c r="A1521" s="653"/>
      <c r="B1521" s="654"/>
      <c r="C1521" s="655"/>
      <c r="D1521" s="656"/>
      <c r="E1521" s="657"/>
      <c r="F1521" s="658"/>
      <c r="G1521" s="659"/>
      <c r="H1521" s="660"/>
      <c r="I1521" s="659"/>
      <c r="J1521" s="661"/>
      <c r="K1521" s="658"/>
      <c r="L1521" s="662"/>
      <c r="M1521" s="663"/>
      <c r="N1521" s="664"/>
      <c r="O1521" s="665"/>
      <c r="P1521" s="666"/>
      <c r="Q1521" s="667"/>
      <c r="R1521" s="668"/>
      <c r="S1521" s="665"/>
      <c r="T1521" s="669"/>
      <c r="U1521" s="669"/>
      <c r="V1521" s="665"/>
      <c r="W1521" s="670"/>
      <c r="X1521" s="670"/>
      <c r="Y1521" s="671"/>
      <c r="Z1521" s="671"/>
      <c r="AA1521" s="672"/>
      <c r="AB1521" s="673"/>
      <c r="AC1521" s="673"/>
      <c r="AD1521" s="673"/>
      <c r="AE1521" s="673"/>
      <c r="AF1521" s="673"/>
      <c r="AG1521" s="673"/>
      <c r="AH1521" s="673"/>
      <c r="AI1521" s="673"/>
      <c r="AJ1521" s="673"/>
      <c r="AK1521" s="673"/>
      <c r="AL1521" s="673"/>
      <c r="AM1521" s="673"/>
      <c r="AN1521" s="673"/>
      <c r="AO1521" s="673"/>
      <c r="AP1521" s="673"/>
      <c r="AQ1521" s="673"/>
      <c r="AR1521" s="673"/>
      <c r="AS1521" s="673"/>
    </row>
    <row r="1522">
      <c r="A1522" s="653"/>
      <c r="B1522" s="654"/>
      <c r="C1522" s="655"/>
      <c r="D1522" s="656"/>
      <c r="E1522" s="657"/>
      <c r="F1522" s="658"/>
      <c r="G1522" s="659"/>
      <c r="H1522" s="660"/>
      <c r="I1522" s="659"/>
      <c r="J1522" s="661"/>
      <c r="K1522" s="658"/>
      <c r="L1522" s="662"/>
      <c r="M1522" s="663"/>
      <c r="N1522" s="664"/>
      <c r="O1522" s="665"/>
      <c r="P1522" s="666"/>
      <c r="Q1522" s="667"/>
      <c r="R1522" s="668"/>
      <c r="S1522" s="665"/>
      <c r="T1522" s="669"/>
      <c r="U1522" s="669"/>
      <c r="V1522" s="665"/>
      <c r="W1522" s="670"/>
      <c r="X1522" s="670"/>
      <c r="Y1522" s="671"/>
      <c r="Z1522" s="671"/>
      <c r="AA1522" s="672"/>
      <c r="AB1522" s="673"/>
      <c r="AC1522" s="673"/>
      <c r="AD1522" s="673"/>
      <c r="AE1522" s="673"/>
      <c r="AF1522" s="673"/>
      <c r="AG1522" s="673"/>
      <c r="AH1522" s="673"/>
      <c r="AI1522" s="673"/>
      <c r="AJ1522" s="673"/>
      <c r="AK1522" s="673"/>
      <c r="AL1522" s="673"/>
      <c r="AM1522" s="673"/>
      <c r="AN1522" s="673"/>
      <c r="AO1522" s="673"/>
      <c r="AP1522" s="673"/>
      <c r="AQ1522" s="673"/>
      <c r="AR1522" s="673"/>
      <c r="AS1522" s="673"/>
    </row>
    <row r="1523">
      <c r="A1523" s="653"/>
      <c r="B1523" s="654"/>
      <c r="C1523" s="655"/>
      <c r="D1523" s="656"/>
      <c r="E1523" s="657"/>
      <c r="F1523" s="658"/>
      <c r="G1523" s="659"/>
      <c r="H1523" s="660"/>
      <c r="I1523" s="659"/>
      <c r="J1523" s="661"/>
      <c r="K1523" s="658"/>
      <c r="L1523" s="662"/>
      <c r="M1523" s="663"/>
      <c r="N1523" s="664"/>
      <c r="O1523" s="665"/>
      <c r="P1523" s="666"/>
      <c r="Q1523" s="667"/>
      <c r="R1523" s="668"/>
      <c r="S1523" s="665"/>
      <c r="T1523" s="669"/>
      <c r="U1523" s="669"/>
      <c r="V1523" s="665"/>
      <c r="W1523" s="670"/>
      <c r="X1523" s="670"/>
      <c r="Y1523" s="671"/>
      <c r="Z1523" s="671"/>
      <c r="AA1523" s="672"/>
      <c r="AB1523" s="673"/>
      <c r="AC1523" s="673"/>
      <c r="AD1523" s="673"/>
      <c r="AE1523" s="673"/>
      <c r="AF1523" s="673"/>
      <c r="AG1523" s="673"/>
      <c r="AH1523" s="673"/>
      <c r="AI1523" s="673"/>
      <c r="AJ1523" s="673"/>
      <c r="AK1523" s="673"/>
      <c r="AL1523" s="673"/>
      <c r="AM1523" s="673"/>
      <c r="AN1523" s="673"/>
      <c r="AO1523" s="673"/>
      <c r="AP1523" s="673"/>
      <c r="AQ1523" s="673"/>
      <c r="AR1523" s="673"/>
      <c r="AS1523" s="673"/>
    </row>
    <row r="1524">
      <c r="A1524" s="653"/>
      <c r="B1524" s="654"/>
      <c r="C1524" s="655"/>
      <c r="D1524" s="656"/>
      <c r="E1524" s="657"/>
      <c r="F1524" s="658"/>
      <c r="G1524" s="659"/>
      <c r="H1524" s="660"/>
      <c r="I1524" s="659"/>
      <c r="J1524" s="661"/>
      <c r="K1524" s="658"/>
      <c r="L1524" s="662"/>
      <c r="M1524" s="663"/>
      <c r="N1524" s="664"/>
      <c r="O1524" s="665"/>
      <c r="P1524" s="666"/>
      <c r="Q1524" s="667"/>
      <c r="R1524" s="668"/>
      <c r="S1524" s="665"/>
      <c r="T1524" s="669"/>
      <c r="U1524" s="669"/>
      <c r="V1524" s="665"/>
      <c r="W1524" s="670"/>
      <c r="X1524" s="670"/>
      <c r="Y1524" s="671"/>
      <c r="Z1524" s="671"/>
      <c r="AA1524" s="672"/>
      <c r="AB1524" s="673"/>
      <c r="AC1524" s="673"/>
      <c r="AD1524" s="673"/>
      <c r="AE1524" s="673"/>
      <c r="AF1524" s="673"/>
      <c r="AG1524" s="673"/>
      <c r="AH1524" s="673"/>
      <c r="AI1524" s="673"/>
      <c r="AJ1524" s="673"/>
      <c r="AK1524" s="673"/>
      <c r="AL1524" s="673"/>
      <c r="AM1524" s="673"/>
      <c r="AN1524" s="673"/>
      <c r="AO1524" s="673"/>
      <c r="AP1524" s="673"/>
      <c r="AQ1524" s="673"/>
      <c r="AR1524" s="673"/>
      <c r="AS1524" s="673"/>
    </row>
    <row r="1525">
      <c r="A1525" s="653"/>
      <c r="B1525" s="654"/>
      <c r="C1525" s="655"/>
      <c r="D1525" s="656"/>
      <c r="E1525" s="657"/>
      <c r="F1525" s="658"/>
      <c r="G1525" s="659"/>
      <c r="H1525" s="660"/>
      <c r="I1525" s="659"/>
      <c r="J1525" s="661"/>
      <c r="K1525" s="658"/>
      <c r="L1525" s="662"/>
      <c r="M1525" s="663"/>
      <c r="N1525" s="664"/>
      <c r="O1525" s="665"/>
      <c r="P1525" s="666"/>
      <c r="Q1525" s="667"/>
      <c r="R1525" s="668"/>
      <c r="S1525" s="665"/>
      <c r="T1525" s="669"/>
      <c r="U1525" s="669"/>
      <c r="V1525" s="665"/>
      <c r="W1525" s="670"/>
      <c r="X1525" s="670"/>
      <c r="Y1525" s="671"/>
      <c r="Z1525" s="671"/>
      <c r="AA1525" s="672"/>
      <c r="AB1525" s="673"/>
      <c r="AC1525" s="673"/>
      <c r="AD1525" s="673"/>
      <c r="AE1525" s="673"/>
      <c r="AF1525" s="673"/>
      <c r="AG1525" s="673"/>
      <c r="AH1525" s="673"/>
      <c r="AI1525" s="673"/>
      <c r="AJ1525" s="673"/>
      <c r="AK1525" s="673"/>
      <c r="AL1525" s="673"/>
      <c r="AM1525" s="673"/>
      <c r="AN1525" s="673"/>
      <c r="AO1525" s="673"/>
      <c r="AP1525" s="673"/>
      <c r="AQ1525" s="673"/>
      <c r="AR1525" s="673"/>
      <c r="AS1525" s="673"/>
    </row>
    <row r="1526">
      <c r="A1526" s="653"/>
      <c r="B1526" s="654"/>
      <c r="C1526" s="655"/>
      <c r="D1526" s="656"/>
      <c r="E1526" s="657"/>
      <c r="F1526" s="658"/>
      <c r="G1526" s="659"/>
      <c r="H1526" s="660"/>
      <c r="I1526" s="659"/>
      <c r="J1526" s="661"/>
      <c r="K1526" s="658"/>
      <c r="L1526" s="662"/>
      <c r="M1526" s="663"/>
      <c r="N1526" s="664"/>
      <c r="O1526" s="665"/>
      <c r="P1526" s="666"/>
      <c r="Q1526" s="667"/>
      <c r="R1526" s="668"/>
      <c r="S1526" s="665"/>
      <c r="T1526" s="669"/>
      <c r="U1526" s="669"/>
      <c r="V1526" s="665"/>
      <c r="W1526" s="670"/>
      <c r="X1526" s="670"/>
      <c r="Y1526" s="671"/>
      <c r="Z1526" s="671"/>
      <c r="AA1526" s="672"/>
      <c r="AB1526" s="673"/>
      <c r="AC1526" s="673"/>
      <c r="AD1526" s="673"/>
      <c r="AE1526" s="673"/>
      <c r="AF1526" s="673"/>
      <c r="AG1526" s="673"/>
      <c r="AH1526" s="673"/>
      <c r="AI1526" s="673"/>
      <c r="AJ1526" s="673"/>
      <c r="AK1526" s="673"/>
      <c r="AL1526" s="673"/>
      <c r="AM1526" s="673"/>
      <c r="AN1526" s="673"/>
      <c r="AO1526" s="673"/>
      <c r="AP1526" s="673"/>
      <c r="AQ1526" s="673"/>
      <c r="AR1526" s="673"/>
      <c r="AS1526" s="673"/>
    </row>
    <row r="1527">
      <c r="A1527" s="653"/>
      <c r="B1527" s="654"/>
      <c r="C1527" s="655"/>
      <c r="D1527" s="656"/>
      <c r="E1527" s="657"/>
      <c r="F1527" s="658"/>
      <c r="G1527" s="659"/>
      <c r="H1527" s="660"/>
      <c r="I1527" s="659"/>
      <c r="J1527" s="661"/>
      <c r="K1527" s="658"/>
      <c r="L1527" s="662"/>
      <c r="M1527" s="663"/>
      <c r="N1527" s="664"/>
      <c r="O1527" s="665"/>
      <c r="P1527" s="666"/>
      <c r="Q1527" s="667"/>
      <c r="R1527" s="668"/>
      <c r="S1527" s="665"/>
      <c r="T1527" s="669"/>
      <c r="U1527" s="669"/>
      <c r="V1527" s="665"/>
      <c r="W1527" s="670"/>
      <c r="X1527" s="670"/>
      <c r="Y1527" s="671"/>
      <c r="Z1527" s="671"/>
      <c r="AA1527" s="672"/>
      <c r="AB1527" s="673"/>
      <c r="AC1527" s="673"/>
      <c r="AD1527" s="673"/>
      <c r="AE1527" s="673"/>
      <c r="AF1527" s="673"/>
      <c r="AG1527" s="673"/>
      <c r="AH1527" s="673"/>
      <c r="AI1527" s="673"/>
      <c r="AJ1527" s="673"/>
      <c r="AK1527" s="673"/>
      <c r="AL1527" s="673"/>
      <c r="AM1527" s="673"/>
      <c r="AN1527" s="673"/>
      <c r="AO1527" s="673"/>
      <c r="AP1527" s="673"/>
      <c r="AQ1527" s="673"/>
      <c r="AR1527" s="673"/>
      <c r="AS1527" s="673"/>
    </row>
    <row r="1528">
      <c r="A1528" s="653"/>
      <c r="B1528" s="654"/>
      <c r="C1528" s="655"/>
      <c r="D1528" s="656"/>
      <c r="E1528" s="657"/>
      <c r="F1528" s="658"/>
      <c r="G1528" s="659"/>
      <c r="H1528" s="660"/>
      <c r="I1528" s="659"/>
      <c r="J1528" s="661"/>
      <c r="K1528" s="658"/>
      <c r="L1528" s="662"/>
      <c r="M1528" s="663"/>
      <c r="N1528" s="664"/>
      <c r="O1528" s="665"/>
      <c r="P1528" s="666"/>
      <c r="Q1528" s="667"/>
      <c r="R1528" s="668"/>
      <c r="S1528" s="665"/>
      <c r="T1528" s="669"/>
      <c r="U1528" s="669"/>
      <c r="V1528" s="665"/>
      <c r="W1528" s="670"/>
      <c r="X1528" s="670"/>
      <c r="Y1528" s="671"/>
      <c r="Z1528" s="671"/>
      <c r="AA1528" s="672"/>
      <c r="AB1528" s="673"/>
      <c r="AC1528" s="673"/>
      <c r="AD1528" s="673"/>
      <c r="AE1528" s="673"/>
      <c r="AF1528" s="673"/>
      <c r="AG1528" s="673"/>
      <c r="AH1528" s="673"/>
      <c r="AI1528" s="673"/>
      <c r="AJ1528" s="673"/>
      <c r="AK1528" s="673"/>
      <c r="AL1528" s="673"/>
      <c r="AM1528" s="673"/>
      <c r="AN1528" s="673"/>
      <c r="AO1528" s="673"/>
      <c r="AP1528" s="673"/>
      <c r="AQ1528" s="673"/>
      <c r="AR1528" s="673"/>
      <c r="AS1528" s="673"/>
    </row>
    <row r="1529">
      <c r="A1529" s="653"/>
      <c r="B1529" s="654"/>
      <c r="C1529" s="655"/>
      <c r="D1529" s="656"/>
      <c r="E1529" s="657"/>
      <c r="F1529" s="658"/>
      <c r="G1529" s="659"/>
      <c r="H1529" s="660"/>
      <c r="I1529" s="659"/>
      <c r="J1529" s="661"/>
      <c r="K1529" s="658"/>
      <c r="L1529" s="662"/>
      <c r="M1529" s="663"/>
      <c r="N1529" s="664"/>
      <c r="O1529" s="665"/>
      <c r="P1529" s="666"/>
      <c r="Q1529" s="667"/>
      <c r="R1529" s="668"/>
      <c r="S1529" s="665"/>
      <c r="T1529" s="669"/>
      <c r="U1529" s="669"/>
      <c r="V1529" s="665"/>
      <c r="W1529" s="670"/>
      <c r="X1529" s="670"/>
      <c r="Y1529" s="671"/>
      <c r="Z1529" s="671"/>
      <c r="AA1529" s="672"/>
      <c r="AB1529" s="673"/>
      <c r="AC1529" s="673"/>
      <c r="AD1529" s="673"/>
      <c r="AE1529" s="673"/>
      <c r="AF1529" s="673"/>
      <c r="AG1529" s="673"/>
      <c r="AH1529" s="673"/>
      <c r="AI1529" s="673"/>
      <c r="AJ1529" s="673"/>
      <c r="AK1529" s="673"/>
      <c r="AL1529" s="673"/>
      <c r="AM1529" s="673"/>
      <c r="AN1529" s="673"/>
      <c r="AO1529" s="673"/>
      <c r="AP1529" s="673"/>
      <c r="AQ1529" s="673"/>
      <c r="AR1529" s="673"/>
      <c r="AS1529" s="673"/>
    </row>
    <row r="1530">
      <c r="A1530" s="653"/>
      <c r="B1530" s="654"/>
      <c r="C1530" s="655"/>
      <c r="D1530" s="656"/>
      <c r="E1530" s="657"/>
      <c r="F1530" s="658"/>
      <c r="G1530" s="659"/>
      <c r="H1530" s="660"/>
      <c r="I1530" s="659"/>
      <c r="J1530" s="661"/>
      <c r="K1530" s="658"/>
      <c r="L1530" s="662"/>
      <c r="M1530" s="663"/>
      <c r="N1530" s="664"/>
      <c r="O1530" s="665"/>
      <c r="P1530" s="666"/>
      <c r="Q1530" s="667"/>
      <c r="R1530" s="668"/>
      <c r="S1530" s="665"/>
      <c r="T1530" s="669"/>
      <c r="U1530" s="669"/>
      <c r="V1530" s="665"/>
      <c r="W1530" s="670"/>
      <c r="X1530" s="670"/>
      <c r="Y1530" s="671"/>
      <c r="Z1530" s="671"/>
      <c r="AA1530" s="672"/>
      <c r="AB1530" s="673"/>
      <c r="AC1530" s="673"/>
      <c r="AD1530" s="673"/>
      <c r="AE1530" s="673"/>
      <c r="AF1530" s="673"/>
      <c r="AG1530" s="673"/>
      <c r="AH1530" s="673"/>
      <c r="AI1530" s="673"/>
      <c r="AJ1530" s="673"/>
      <c r="AK1530" s="673"/>
      <c r="AL1530" s="673"/>
      <c r="AM1530" s="673"/>
      <c r="AN1530" s="673"/>
      <c r="AO1530" s="673"/>
      <c r="AP1530" s="673"/>
      <c r="AQ1530" s="673"/>
      <c r="AR1530" s="673"/>
      <c r="AS1530" s="673"/>
    </row>
    <row r="1531">
      <c r="A1531" s="653"/>
      <c r="B1531" s="654"/>
      <c r="C1531" s="655"/>
      <c r="D1531" s="656"/>
      <c r="E1531" s="657"/>
      <c r="F1531" s="658"/>
      <c r="G1531" s="659"/>
      <c r="H1531" s="660"/>
      <c r="I1531" s="659"/>
      <c r="J1531" s="661"/>
      <c r="K1531" s="658"/>
      <c r="L1531" s="662"/>
      <c r="M1531" s="663"/>
      <c r="N1531" s="664"/>
      <c r="O1531" s="665"/>
      <c r="P1531" s="666"/>
      <c r="Q1531" s="667"/>
      <c r="R1531" s="668"/>
      <c r="S1531" s="665"/>
      <c r="T1531" s="669"/>
      <c r="U1531" s="669"/>
      <c r="V1531" s="665"/>
      <c r="W1531" s="670"/>
      <c r="X1531" s="670"/>
      <c r="Y1531" s="671"/>
      <c r="Z1531" s="671"/>
      <c r="AA1531" s="672"/>
      <c r="AB1531" s="673"/>
      <c r="AC1531" s="673"/>
      <c r="AD1531" s="673"/>
      <c r="AE1531" s="673"/>
      <c r="AF1531" s="673"/>
      <c r="AG1531" s="673"/>
      <c r="AH1531" s="673"/>
      <c r="AI1531" s="673"/>
      <c r="AJ1531" s="673"/>
      <c r="AK1531" s="673"/>
      <c r="AL1531" s="673"/>
      <c r="AM1531" s="673"/>
      <c r="AN1531" s="673"/>
      <c r="AO1531" s="673"/>
      <c r="AP1531" s="673"/>
      <c r="AQ1531" s="673"/>
      <c r="AR1531" s="673"/>
      <c r="AS1531" s="673"/>
    </row>
    <row r="1532">
      <c r="A1532" s="653"/>
      <c r="B1532" s="654"/>
      <c r="C1532" s="655"/>
      <c r="D1532" s="656"/>
      <c r="E1532" s="657"/>
      <c r="F1532" s="658"/>
      <c r="G1532" s="659"/>
      <c r="H1532" s="660"/>
      <c r="I1532" s="659"/>
      <c r="J1532" s="661"/>
      <c r="K1532" s="658"/>
      <c r="L1532" s="662"/>
      <c r="M1532" s="663"/>
      <c r="N1532" s="664"/>
      <c r="O1532" s="665"/>
      <c r="P1532" s="666"/>
      <c r="Q1532" s="667"/>
      <c r="R1532" s="668"/>
      <c r="S1532" s="665"/>
      <c r="T1532" s="669"/>
      <c r="U1532" s="669"/>
      <c r="V1532" s="665"/>
      <c r="W1532" s="670"/>
      <c r="X1532" s="670"/>
      <c r="Y1532" s="671"/>
      <c r="Z1532" s="671"/>
      <c r="AA1532" s="672"/>
      <c r="AB1532" s="673"/>
      <c r="AC1532" s="673"/>
      <c r="AD1532" s="673"/>
      <c r="AE1532" s="673"/>
      <c r="AF1532" s="673"/>
      <c r="AG1532" s="673"/>
      <c r="AH1532" s="673"/>
      <c r="AI1532" s="673"/>
      <c r="AJ1532" s="673"/>
      <c r="AK1532" s="673"/>
      <c r="AL1532" s="673"/>
      <c r="AM1532" s="673"/>
      <c r="AN1532" s="673"/>
      <c r="AO1532" s="673"/>
      <c r="AP1532" s="673"/>
      <c r="AQ1532" s="673"/>
      <c r="AR1532" s="673"/>
      <c r="AS1532" s="673"/>
    </row>
    <row r="1533">
      <c r="A1533" s="653"/>
      <c r="B1533" s="654"/>
      <c r="C1533" s="655"/>
      <c r="D1533" s="656"/>
      <c r="E1533" s="657"/>
      <c r="F1533" s="658"/>
      <c r="G1533" s="659"/>
      <c r="H1533" s="660"/>
      <c r="I1533" s="659"/>
      <c r="J1533" s="661"/>
      <c r="K1533" s="658"/>
      <c r="L1533" s="662"/>
      <c r="M1533" s="663"/>
      <c r="N1533" s="664"/>
      <c r="O1533" s="665"/>
      <c r="P1533" s="666"/>
      <c r="Q1533" s="667"/>
      <c r="R1533" s="668"/>
      <c r="S1533" s="665"/>
      <c r="T1533" s="669"/>
      <c r="U1533" s="669"/>
      <c r="V1533" s="665"/>
      <c r="W1533" s="670"/>
      <c r="X1533" s="670"/>
      <c r="Y1533" s="671"/>
      <c r="Z1533" s="671"/>
      <c r="AA1533" s="672"/>
      <c r="AB1533" s="673"/>
      <c r="AC1533" s="673"/>
      <c r="AD1533" s="673"/>
      <c r="AE1533" s="673"/>
      <c r="AF1533" s="673"/>
      <c r="AG1533" s="673"/>
      <c r="AH1533" s="673"/>
      <c r="AI1533" s="673"/>
      <c r="AJ1533" s="673"/>
      <c r="AK1533" s="673"/>
      <c r="AL1533" s="673"/>
      <c r="AM1533" s="673"/>
      <c r="AN1533" s="673"/>
      <c r="AO1533" s="673"/>
      <c r="AP1533" s="673"/>
      <c r="AQ1533" s="673"/>
      <c r="AR1533" s="673"/>
      <c r="AS1533" s="673"/>
    </row>
    <row r="1534">
      <c r="A1534" s="653"/>
      <c r="B1534" s="654"/>
      <c r="C1534" s="655"/>
      <c r="D1534" s="656"/>
      <c r="E1534" s="657"/>
      <c r="F1534" s="658"/>
      <c r="G1534" s="659"/>
      <c r="H1534" s="660"/>
      <c r="I1534" s="659"/>
      <c r="J1534" s="661"/>
      <c r="K1534" s="658"/>
      <c r="L1534" s="662"/>
      <c r="M1534" s="663"/>
      <c r="N1534" s="664"/>
      <c r="O1534" s="665"/>
      <c r="P1534" s="666"/>
      <c r="Q1534" s="667"/>
      <c r="R1534" s="668"/>
      <c r="S1534" s="665"/>
      <c r="T1534" s="669"/>
      <c r="U1534" s="669"/>
      <c r="V1534" s="665"/>
      <c r="W1534" s="670"/>
      <c r="X1534" s="670"/>
      <c r="Y1534" s="671"/>
      <c r="Z1534" s="671"/>
      <c r="AA1534" s="672"/>
      <c r="AB1534" s="673"/>
      <c r="AC1534" s="673"/>
      <c r="AD1534" s="673"/>
      <c r="AE1534" s="673"/>
      <c r="AF1534" s="673"/>
      <c r="AG1534" s="673"/>
      <c r="AH1534" s="673"/>
      <c r="AI1534" s="673"/>
      <c r="AJ1534" s="673"/>
      <c r="AK1534" s="673"/>
      <c r="AL1534" s="673"/>
      <c r="AM1534" s="673"/>
      <c r="AN1534" s="673"/>
      <c r="AO1534" s="673"/>
      <c r="AP1534" s="673"/>
      <c r="AQ1534" s="673"/>
      <c r="AR1534" s="673"/>
      <c r="AS1534" s="673"/>
    </row>
    <row r="1535">
      <c r="A1535" s="653"/>
      <c r="B1535" s="654"/>
      <c r="C1535" s="655"/>
      <c r="D1535" s="656"/>
      <c r="E1535" s="657"/>
      <c r="F1535" s="658"/>
      <c r="G1535" s="659"/>
      <c r="H1535" s="660"/>
      <c r="I1535" s="659"/>
      <c r="J1535" s="661"/>
      <c r="K1535" s="658"/>
      <c r="L1535" s="662"/>
      <c r="M1535" s="663"/>
      <c r="N1535" s="664"/>
      <c r="O1535" s="665"/>
      <c r="P1535" s="666"/>
      <c r="Q1535" s="667"/>
      <c r="R1535" s="668"/>
      <c r="S1535" s="665"/>
      <c r="T1535" s="669"/>
      <c r="U1535" s="669"/>
      <c r="V1535" s="665"/>
      <c r="W1535" s="670"/>
      <c r="X1535" s="670"/>
      <c r="Y1535" s="671"/>
      <c r="Z1535" s="671"/>
      <c r="AA1535" s="672"/>
      <c r="AB1535" s="673"/>
      <c r="AC1535" s="673"/>
      <c r="AD1535" s="673"/>
      <c r="AE1535" s="673"/>
      <c r="AF1535" s="673"/>
      <c r="AG1535" s="673"/>
      <c r="AH1535" s="673"/>
      <c r="AI1535" s="673"/>
      <c r="AJ1535" s="673"/>
      <c r="AK1535" s="673"/>
      <c r="AL1535" s="673"/>
      <c r="AM1535" s="673"/>
      <c r="AN1535" s="673"/>
      <c r="AO1535" s="673"/>
      <c r="AP1535" s="673"/>
      <c r="AQ1535" s="673"/>
      <c r="AR1535" s="673"/>
      <c r="AS1535" s="673"/>
    </row>
    <row r="1536">
      <c r="A1536" s="653"/>
      <c r="B1536" s="654"/>
      <c r="C1536" s="655"/>
      <c r="D1536" s="656"/>
      <c r="E1536" s="657"/>
      <c r="F1536" s="658"/>
      <c r="G1536" s="659"/>
      <c r="H1536" s="660"/>
      <c r="I1536" s="659"/>
      <c r="J1536" s="661"/>
      <c r="K1536" s="658"/>
      <c r="L1536" s="662"/>
      <c r="M1536" s="663"/>
      <c r="N1536" s="664"/>
      <c r="O1536" s="665"/>
      <c r="P1536" s="666"/>
      <c r="Q1536" s="667"/>
      <c r="R1536" s="668"/>
      <c r="S1536" s="665"/>
      <c r="T1536" s="669"/>
      <c r="U1536" s="669"/>
      <c r="V1536" s="665"/>
      <c r="W1536" s="670"/>
      <c r="X1536" s="670"/>
      <c r="Y1536" s="671"/>
      <c r="Z1536" s="671"/>
      <c r="AA1536" s="672"/>
      <c r="AB1536" s="673"/>
      <c r="AC1536" s="673"/>
      <c r="AD1536" s="673"/>
      <c r="AE1536" s="673"/>
      <c r="AF1536" s="673"/>
      <c r="AG1536" s="673"/>
      <c r="AH1536" s="673"/>
      <c r="AI1536" s="673"/>
      <c r="AJ1536" s="673"/>
      <c r="AK1536" s="673"/>
      <c r="AL1536" s="673"/>
      <c r="AM1536" s="673"/>
      <c r="AN1536" s="673"/>
      <c r="AO1536" s="673"/>
      <c r="AP1536" s="673"/>
      <c r="AQ1536" s="673"/>
      <c r="AR1536" s="673"/>
      <c r="AS1536" s="673"/>
    </row>
    <row r="1537">
      <c r="A1537" s="653"/>
      <c r="B1537" s="654"/>
      <c r="C1537" s="655"/>
      <c r="D1537" s="656"/>
      <c r="E1537" s="657"/>
      <c r="F1537" s="658"/>
      <c r="G1537" s="659"/>
      <c r="H1537" s="660"/>
      <c r="I1537" s="659"/>
      <c r="J1537" s="661"/>
      <c r="K1537" s="658"/>
      <c r="L1537" s="662"/>
      <c r="M1537" s="663"/>
      <c r="N1537" s="664"/>
      <c r="O1537" s="665"/>
      <c r="P1537" s="666"/>
      <c r="Q1537" s="667"/>
      <c r="R1537" s="668"/>
      <c r="S1537" s="665"/>
      <c r="T1537" s="669"/>
      <c r="U1537" s="669"/>
      <c r="V1537" s="665"/>
      <c r="W1537" s="670"/>
      <c r="X1537" s="670"/>
      <c r="Y1537" s="671"/>
      <c r="Z1537" s="671"/>
      <c r="AA1537" s="672"/>
      <c r="AB1537" s="673"/>
      <c r="AC1537" s="673"/>
      <c r="AD1537" s="673"/>
      <c r="AE1537" s="673"/>
      <c r="AF1537" s="673"/>
      <c r="AG1537" s="673"/>
      <c r="AH1537" s="673"/>
      <c r="AI1537" s="673"/>
      <c r="AJ1537" s="673"/>
      <c r="AK1537" s="673"/>
      <c r="AL1537" s="673"/>
      <c r="AM1537" s="673"/>
      <c r="AN1537" s="673"/>
      <c r="AO1537" s="673"/>
      <c r="AP1537" s="673"/>
      <c r="AQ1537" s="673"/>
      <c r="AR1537" s="673"/>
      <c r="AS1537" s="673"/>
    </row>
    <row r="1538">
      <c r="A1538" s="653"/>
      <c r="B1538" s="654"/>
      <c r="C1538" s="655"/>
      <c r="D1538" s="656"/>
      <c r="E1538" s="657"/>
      <c r="F1538" s="658"/>
      <c r="G1538" s="659"/>
      <c r="H1538" s="660"/>
      <c r="I1538" s="659"/>
      <c r="J1538" s="661"/>
      <c r="K1538" s="658"/>
      <c r="L1538" s="662"/>
      <c r="M1538" s="663"/>
      <c r="N1538" s="664"/>
      <c r="O1538" s="665"/>
      <c r="P1538" s="666"/>
      <c r="Q1538" s="667"/>
      <c r="R1538" s="668"/>
      <c r="S1538" s="665"/>
      <c r="T1538" s="669"/>
      <c r="U1538" s="669"/>
      <c r="V1538" s="665"/>
      <c r="W1538" s="670"/>
      <c r="X1538" s="670"/>
      <c r="Y1538" s="671"/>
      <c r="Z1538" s="671"/>
      <c r="AA1538" s="672"/>
      <c r="AB1538" s="673"/>
      <c r="AC1538" s="673"/>
      <c r="AD1538" s="673"/>
      <c r="AE1538" s="673"/>
      <c r="AF1538" s="673"/>
      <c r="AG1538" s="673"/>
      <c r="AH1538" s="673"/>
      <c r="AI1538" s="673"/>
      <c r="AJ1538" s="673"/>
      <c r="AK1538" s="673"/>
      <c r="AL1538" s="673"/>
      <c r="AM1538" s="673"/>
      <c r="AN1538" s="673"/>
      <c r="AO1538" s="673"/>
      <c r="AP1538" s="673"/>
      <c r="AQ1538" s="673"/>
      <c r="AR1538" s="673"/>
      <c r="AS1538" s="673"/>
    </row>
    <row r="1539">
      <c r="A1539" s="653"/>
      <c r="B1539" s="654"/>
      <c r="C1539" s="655"/>
      <c r="D1539" s="656"/>
      <c r="E1539" s="657"/>
      <c r="F1539" s="658"/>
      <c r="G1539" s="659"/>
      <c r="H1539" s="660"/>
      <c r="I1539" s="659"/>
      <c r="J1539" s="661"/>
      <c r="K1539" s="658"/>
      <c r="L1539" s="662"/>
      <c r="M1539" s="663"/>
      <c r="N1539" s="664"/>
      <c r="O1539" s="665"/>
      <c r="P1539" s="666"/>
      <c r="Q1539" s="667"/>
      <c r="R1539" s="668"/>
      <c r="S1539" s="665"/>
      <c r="T1539" s="669"/>
      <c r="U1539" s="669"/>
      <c r="V1539" s="665"/>
      <c r="W1539" s="670"/>
      <c r="X1539" s="670"/>
      <c r="Y1539" s="671"/>
      <c r="Z1539" s="671"/>
      <c r="AA1539" s="672"/>
      <c r="AB1539" s="673"/>
      <c r="AC1539" s="673"/>
      <c r="AD1539" s="673"/>
      <c r="AE1539" s="673"/>
      <c r="AF1539" s="673"/>
      <c r="AG1539" s="673"/>
      <c r="AH1539" s="673"/>
      <c r="AI1539" s="673"/>
      <c r="AJ1539" s="673"/>
      <c r="AK1539" s="673"/>
      <c r="AL1539" s="673"/>
      <c r="AM1539" s="673"/>
      <c r="AN1539" s="673"/>
      <c r="AO1539" s="673"/>
      <c r="AP1539" s="673"/>
      <c r="AQ1539" s="673"/>
      <c r="AR1539" s="673"/>
      <c r="AS1539" s="673"/>
    </row>
    <row r="1540">
      <c r="A1540" s="653"/>
      <c r="B1540" s="654"/>
      <c r="C1540" s="655"/>
      <c r="D1540" s="656"/>
      <c r="E1540" s="657"/>
      <c r="F1540" s="658"/>
      <c r="G1540" s="659"/>
      <c r="H1540" s="660"/>
      <c r="I1540" s="659"/>
      <c r="J1540" s="661"/>
      <c r="K1540" s="658"/>
      <c r="L1540" s="662"/>
      <c r="M1540" s="663"/>
      <c r="N1540" s="664"/>
      <c r="O1540" s="665"/>
      <c r="P1540" s="666"/>
      <c r="Q1540" s="667"/>
      <c r="R1540" s="668"/>
      <c r="S1540" s="665"/>
      <c r="T1540" s="669"/>
      <c r="U1540" s="669"/>
      <c r="V1540" s="665"/>
      <c r="W1540" s="670"/>
      <c r="X1540" s="670"/>
      <c r="Y1540" s="671"/>
      <c r="Z1540" s="671"/>
      <c r="AA1540" s="672"/>
      <c r="AB1540" s="673"/>
      <c r="AC1540" s="673"/>
      <c r="AD1540" s="673"/>
      <c r="AE1540" s="673"/>
      <c r="AF1540" s="673"/>
      <c r="AG1540" s="673"/>
      <c r="AH1540" s="673"/>
      <c r="AI1540" s="673"/>
      <c r="AJ1540" s="673"/>
      <c r="AK1540" s="673"/>
      <c r="AL1540" s="673"/>
      <c r="AM1540" s="673"/>
      <c r="AN1540" s="673"/>
      <c r="AO1540" s="673"/>
      <c r="AP1540" s="673"/>
      <c r="AQ1540" s="673"/>
      <c r="AR1540" s="673"/>
      <c r="AS1540" s="673"/>
    </row>
    <row r="1541">
      <c r="A1541" s="653"/>
      <c r="B1541" s="654"/>
      <c r="C1541" s="655"/>
      <c r="D1541" s="656"/>
      <c r="E1541" s="657"/>
      <c r="F1541" s="658"/>
      <c r="G1541" s="659"/>
      <c r="H1541" s="660"/>
      <c r="I1541" s="659"/>
      <c r="J1541" s="661"/>
      <c r="K1541" s="658"/>
      <c r="L1541" s="662"/>
      <c r="M1541" s="663"/>
      <c r="N1541" s="664"/>
      <c r="O1541" s="665"/>
      <c r="P1541" s="666"/>
      <c r="Q1541" s="667"/>
      <c r="R1541" s="668"/>
      <c r="S1541" s="665"/>
      <c r="T1541" s="669"/>
      <c r="U1541" s="669"/>
      <c r="V1541" s="665"/>
      <c r="W1541" s="670"/>
      <c r="X1541" s="670"/>
      <c r="Y1541" s="671"/>
      <c r="Z1541" s="671"/>
      <c r="AA1541" s="672"/>
      <c r="AB1541" s="673"/>
      <c r="AC1541" s="673"/>
      <c r="AD1541" s="673"/>
      <c r="AE1541" s="673"/>
      <c r="AF1541" s="673"/>
      <c r="AG1541" s="673"/>
      <c r="AH1541" s="673"/>
      <c r="AI1541" s="673"/>
      <c r="AJ1541" s="673"/>
      <c r="AK1541" s="673"/>
      <c r="AL1541" s="673"/>
      <c r="AM1541" s="673"/>
      <c r="AN1541" s="673"/>
      <c r="AO1541" s="673"/>
      <c r="AP1541" s="673"/>
      <c r="AQ1541" s="673"/>
      <c r="AR1541" s="673"/>
      <c r="AS1541" s="673"/>
    </row>
    <row r="1542">
      <c r="A1542" s="653"/>
      <c r="B1542" s="654"/>
      <c r="C1542" s="655"/>
      <c r="D1542" s="656"/>
      <c r="E1542" s="657"/>
      <c r="F1542" s="658"/>
      <c r="G1542" s="659"/>
      <c r="H1542" s="660"/>
      <c r="I1542" s="659"/>
      <c r="J1542" s="661"/>
      <c r="K1542" s="658"/>
      <c r="L1542" s="662"/>
      <c r="M1542" s="663"/>
      <c r="N1542" s="664"/>
      <c r="O1542" s="665"/>
      <c r="P1542" s="666"/>
      <c r="Q1542" s="667"/>
      <c r="R1542" s="668"/>
      <c r="S1542" s="665"/>
      <c r="T1542" s="669"/>
      <c r="U1542" s="669"/>
      <c r="V1542" s="665"/>
      <c r="W1542" s="670"/>
      <c r="X1542" s="670"/>
      <c r="Y1542" s="671"/>
      <c r="Z1542" s="671"/>
      <c r="AA1542" s="672"/>
      <c r="AB1542" s="673"/>
      <c r="AC1542" s="673"/>
      <c r="AD1542" s="673"/>
      <c r="AE1542" s="673"/>
      <c r="AF1542" s="673"/>
      <c r="AG1542" s="673"/>
      <c r="AH1542" s="673"/>
      <c r="AI1542" s="673"/>
      <c r="AJ1542" s="673"/>
      <c r="AK1542" s="673"/>
      <c r="AL1542" s="673"/>
      <c r="AM1542" s="673"/>
      <c r="AN1542" s="673"/>
      <c r="AO1542" s="673"/>
      <c r="AP1542" s="673"/>
      <c r="AQ1542" s="673"/>
      <c r="AR1542" s="673"/>
      <c r="AS1542" s="673"/>
    </row>
    <row r="1543">
      <c r="A1543" s="653"/>
      <c r="B1543" s="654"/>
      <c r="C1543" s="655"/>
      <c r="D1543" s="656"/>
      <c r="E1543" s="657"/>
      <c r="F1543" s="658"/>
      <c r="G1543" s="659"/>
      <c r="H1543" s="660"/>
      <c r="I1543" s="659"/>
      <c r="J1543" s="661"/>
      <c r="K1543" s="658"/>
      <c r="L1543" s="662"/>
      <c r="M1543" s="663"/>
      <c r="N1543" s="664"/>
      <c r="O1543" s="665"/>
      <c r="P1543" s="666"/>
      <c r="Q1543" s="667"/>
      <c r="R1543" s="668"/>
      <c r="S1543" s="665"/>
      <c r="T1543" s="669"/>
      <c r="U1543" s="669"/>
      <c r="V1543" s="665"/>
      <c r="W1543" s="670"/>
      <c r="X1543" s="670"/>
      <c r="Y1543" s="671"/>
      <c r="Z1543" s="671"/>
      <c r="AA1543" s="672"/>
      <c r="AB1543" s="673"/>
      <c r="AC1543" s="673"/>
      <c r="AD1543" s="673"/>
      <c r="AE1543" s="673"/>
      <c r="AF1543" s="673"/>
      <c r="AG1543" s="673"/>
      <c r="AH1543" s="673"/>
      <c r="AI1543" s="673"/>
      <c r="AJ1543" s="673"/>
      <c r="AK1543" s="673"/>
      <c r="AL1543" s="673"/>
      <c r="AM1543" s="673"/>
      <c r="AN1543" s="673"/>
      <c r="AO1543" s="673"/>
      <c r="AP1543" s="673"/>
      <c r="AQ1543" s="673"/>
      <c r="AR1543" s="673"/>
      <c r="AS1543" s="673"/>
    </row>
    <row r="1544">
      <c r="A1544" s="653"/>
      <c r="B1544" s="654"/>
      <c r="C1544" s="655"/>
      <c r="D1544" s="656"/>
      <c r="E1544" s="657"/>
      <c r="F1544" s="658"/>
      <c r="G1544" s="659"/>
      <c r="H1544" s="660"/>
      <c r="I1544" s="659"/>
      <c r="J1544" s="661"/>
      <c r="K1544" s="658"/>
      <c r="L1544" s="662"/>
      <c r="M1544" s="663"/>
      <c r="N1544" s="664"/>
      <c r="O1544" s="665"/>
      <c r="P1544" s="666"/>
      <c r="Q1544" s="667"/>
      <c r="R1544" s="668"/>
      <c r="S1544" s="665"/>
      <c r="T1544" s="669"/>
      <c r="U1544" s="669"/>
      <c r="V1544" s="665"/>
      <c r="W1544" s="670"/>
      <c r="X1544" s="670"/>
      <c r="Y1544" s="671"/>
      <c r="Z1544" s="671"/>
      <c r="AA1544" s="672"/>
      <c r="AB1544" s="673"/>
      <c r="AC1544" s="673"/>
      <c r="AD1544" s="673"/>
      <c r="AE1544" s="673"/>
      <c r="AF1544" s="673"/>
      <c r="AG1544" s="673"/>
      <c r="AH1544" s="673"/>
      <c r="AI1544" s="673"/>
      <c r="AJ1544" s="673"/>
      <c r="AK1544" s="673"/>
      <c r="AL1544" s="673"/>
      <c r="AM1544" s="673"/>
      <c r="AN1544" s="673"/>
      <c r="AO1544" s="673"/>
      <c r="AP1544" s="673"/>
      <c r="AQ1544" s="673"/>
      <c r="AR1544" s="673"/>
      <c r="AS1544" s="673"/>
    </row>
    <row r="1545">
      <c r="A1545" s="653"/>
      <c r="B1545" s="654"/>
      <c r="C1545" s="655"/>
      <c r="D1545" s="656"/>
      <c r="E1545" s="657"/>
      <c r="F1545" s="658"/>
      <c r="G1545" s="659"/>
      <c r="H1545" s="660"/>
      <c r="I1545" s="659"/>
      <c r="J1545" s="661"/>
      <c r="K1545" s="658"/>
      <c r="L1545" s="662"/>
      <c r="M1545" s="663"/>
      <c r="N1545" s="664"/>
      <c r="O1545" s="665"/>
      <c r="P1545" s="666"/>
      <c r="Q1545" s="667"/>
      <c r="R1545" s="668"/>
      <c r="S1545" s="665"/>
      <c r="T1545" s="669"/>
      <c r="U1545" s="669"/>
      <c r="V1545" s="665"/>
      <c r="W1545" s="670"/>
      <c r="X1545" s="670"/>
      <c r="Y1545" s="671"/>
      <c r="Z1545" s="671"/>
      <c r="AA1545" s="672"/>
      <c r="AB1545" s="673"/>
      <c r="AC1545" s="673"/>
      <c r="AD1545" s="673"/>
      <c r="AE1545" s="673"/>
      <c r="AF1545" s="673"/>
      <c r="AG1545" s="673"/>
      <c r="AH1545" s="673"/>
      <c r="AI1545" s="673"/>
      <c r="AJ1545" s="673"/>
      <c r="AK1545" s="673"/>
      <c r="AL1545" s="673"/>
      <c r="AM1545" s="673"/>
      <c r="AN1545" s="673"/>
      <c r="AO1545" s="673"/>
      <c r="AP1545" s="673"/>
      <c r="AQ1545" s="673"/>
      <c r="AR1545" s="673"/>
      <c r="AS1545" s="673"/>
    </row>
    <row r="1546">
      <c r="A1546" s="653"/>
      <c r="B1546" s="654"/>
      <c r="C1546" s="655"/>
      <c r="D1546" s="656"/>
      <c r="E1546" s="657"/>
      <c r="F1546" s="658"/>
      <c r="G1546" s="659"/>
      <c r="H1546" s="660"/>
      <c r="I1546" s="659"/>
      <c r="J1546" s="661"/>
      <c r="K1546" s="658"/>
      <c r="L1546" s="662"/>
      <c r="M1546" s="663"/>
      <c r="N1546" s="664"/>
      <c r="O1546" s="665"/>
      <c r="P1546" s="666"/>
      <c r="Q1546" s="667"/>
      <c r="R1546" s="668"/>
      <c r="S1546" s="665"/>
      <c r="T1546" s="669"/>
      <c r="U1546" s="669"/>
      <c r="V1546" s="665"/>
      <c r="W1546" s="670"/>
      <c r="X1546" s="670"/>
      <c r="Y1546" s="671"/>
      <c r="Z1546" s="671"/>
      <c r="AA1546" s="672"/>
      <c r="AB1546" s="673"/>
      <c r="AC1546" s="673"/>
      <c r="AD1546" s="673"/>
      <c r="AE1546" s="673"/>
      <c r="AF1546" s="673"/>
      <c r="AG1546" s="673"/>
      <c r="AH1546" s="673"/>
      <c r="AI1546" s="673"/>
      <c r="AJ1546" s="673"/>
      <c r="AK1546" s="673"/>
      <c r="AL1546" s="673"/>
      <c r="AM1546" s="673"/>
      <c r="AN1546" s="673"/>
      <c r="AO1546" s="673"/>
      <c r="AP1546" s="673"/>
      <c r="AQ1546" s="673"/>
      <c r="AR1546" s="673"/>
      <c r="AS1546" s="673"/>
    </row>
    <row r="1547">
      <c r="A1547" s="653"/>
      <c r="B1547" s="654"/>
      <c r="C1547" s="655"/>
      <c r="D1547" s="656"/>
      <c r="E1547" s="657"/>
      <c r="F1547" s="658"/>
      <c r="G1547" s="659"/>
      <c r="H1547" s="660"/>
      <c r="I1547" s="659"/>
      <c r="J1547" s="661"/>
      <c r="K1547" s="658"/>
      <c r="L1547" s="662"/>
      <c r="M1547" s="663"/>
      <c r="N1547" s="664"/>
      <c r="O1547" s="665"/>
      <c r="P1547" s="666"/>
      <c r="Q1547" s="667"/>
      <c r="R1547" s="668"/>
      <c r="S1547" s="665"/>
      <c r="T1547" s="669"/>
      <c r="U1547" s="669"/>
      <c r="V1547" s="665"/>
      <c r="W1547" s="670"/>
      <c r="X1547" s="670"/>
      <c r="Y1547" s="671"/>
      <c r="Z1547" s="671"/>
      <c r="AA1547" s="672"/>
      <c r="AB1547" s="673"/>
      <c r="AC1547" s="673"/>
      <c r="AD1547" s="673"/>
      <c r="AE1547" s="673"/>
      <c r="AF1547" s="673"/>
      <c r="AG1547" s="673"/>
      <c r="AH1547" s="673"/>
      <c r="AI1547" s="673"/>
      <c r="AJ1547" s="673"/>
      <c r="AK1547" s="673"/>
      <c r="AL1547" s="673"/>
      <c r="AM1547" s="673"/>
      <c r="AN1547" s="673"/>
      <c r="AO1547" s="673"/>
      <c r="AP1547" s="673"/>
      <c r="AQ1547" s="673"/>
      <c r="AR1547" s="673"/>
      <c r="AS1547" s="673"/>
    </row>
    <row r="1548">
      <c r="A1548" s="653"/>
      <c r="B1548" s="654"/>
      <c r="C1548" s="655"/>
      <c r="D1548" s="656"/>
      <c r="E1548" s="657"/>
      <c r="F1548" s="658"/>
      <c r="G1548" s="659"/>
      <c r="H1548" s="660"/>
      <c r="I1548" s="659"/>
      <c r="J1548" s="661"/>
      <c r="K1548" s="658"/>
      <c r="L1548" s="662"/>
      <c r="M1548" s="663"/>
      <c r="N1548" s="664"/>
      <c r="O1548" s="665"/>
      <c r="P1548" s="666"/>
      <c r="Q1548" s="667"/>
      <c r="R1548" s="668"/>
      <c r="S1548" s="665"/>
      <c r="T1548" s="669"/>
      <c r="U1548" s="669"/>
      <c r="V1548" s="665"/>
      <c r="W1548" s="670"/>
      <c r="X1548" s="670"/>
      <c r="Y1548" s="671"/>
      <c r="Z1548" s="671"/>
      <c r="AA1548" s="672"/>
      <c r="AB1548" s="673"/>
      <c r="AC1548" s="673"/>
      <c r="AD1548" s="673"/>
      <c r="AE1548" s="673"/>
      <c r="AF1548" s="673"/>
      <c r="AG1548" s="673"/>
      <c r="AH1548" s="673"/>
      <c r="AI1548" s="673"/>
      <c r="AJ1548" s="673"/>
      <c r="AK1548" s="673"/>
      <c r="AL1548" s="673"/>
      <c r="AM1548" s="673"/>
      <c r="AN1548" s="673"/>
      <c r="AO1548" s="673"/>
      <c r="AP1548" s="673"/>
      <c r="AQ1548" s="673"/>
      <c r="AR1548" s="673"/>
      <c r="AS1548" s="673"/>
    </row>
    <row r="1549">
      <c r="A1549" s="653"/>
      <c r="B1549" s="654"/>
      <c r="C1549" s="655"/>
      <c r="D1549" s="656"/>
      <c r="E1549" s="657"/>
      <c r="F1549" s="658"/>
      <c r="G1549" s="659"/>
      <c r="H1549" s="660"/>
      <c r="I1549" s="659"/>
      <c r="J1549" s="661"/>
      <c r="K1549" s="658"/>
      <c r="L1549" s="662"/>
      <c r="M1549" s="663"/>
      <c r="N1549" s="664"/>
      <c r="O1549" s="665"/>
      <c r="P1549" s="666"/>
      <c r="Q1549" s="667"/>
      <c r="R1549" s="668"/>
      <c r="S1549" s="665"/>
      <c r="T1549" s="669"/>
      <c r="U1549" s="669"/>
      <c r="V1549" s="665"/>
      <c r="W1549" s="670"/>
      <c r="X1549" s="670"/>
      <c r="Y1549" s="671"/>
      <c r="Z1549" s="671"/>
      <c r="AA1549" s="672"/>
      <c r="AB1549" s="673"/>
      <c r="AC1549" s="673"/>
      <c r="AD1549" s="673"/>
      <c r="AE1549" s="673"/>
      <c r="AF1549" s="673"/>
      <c r="AG1549" s="673"/>
      <c r="AH1549" s="673"/>
      <c r="AI1549" s="673"/>
      <c r="AJ1549" s="673"/>
      <c r="AK1549" s="673"/>
      <c r="AL1549" s="673"/>
      <c r="AM1549" s="673"/>
      <c r="AN1549" s="673"/>
      <c r="AO1549" s="673"/>
      <c r="AP1549" s="673"/>
      <c r="AQ1549" s="673"/>
      <c r="AR1549" s="673"/>
      <c r="AS1549" s="673"/>
    </row>
    <row r="1550">
      <c r="A1550" s="653"/>
      <c r="B1550" s="654"/>
      <c r="C1550" s="655"/>
      <c r="D1550" s="656"/>
      <c r="E1550" s="657"/>
      <c r="F1550" s="658"/>
      <c r="G1550" s="659"/>
      <c r="H1550" s="660"/>
      <c r="I1550" s="659"/>
      <c r="J1550" s="661"/>
      <c r="K1550" s="658"/>
      <c r="L1550" s="662"/>
      <c r="M1550" s="663"/>
      <c r="N1550" s="664"/>
      <c r="O1550" s="665"/>
      <c r="P1550" s="666"/>
      <c r="Q1550" s="667"/>
      <c r="R1550" s="668"/>
      <c r="S1550" s="665"/>
      <c r="T1550" s="669"/>
      <c r="U1550" s="669"/>
      <c r="V1550" s="665"/>
      <c r="W1550" s="670"/>
      <c r="X1550" s="670"/>
      <c r="Y1550" s="671"/>
      <c r="Z1550" s="671"/>
      <c r="AA1550" s="672"/>
      <c r="AB1550" s="673"/>
      <c r="AC1550" s="673"/>
      <c r="AD1550" s="673"/>
      <c r="AE1550" s="673"/>
      <c r="AF1550" s="673"/>
      <c r="AG1550" s="673"/>
      <c r="AH1550" s="673"/>
      <c r="AI1550" s="673"/>
      <c r="AJ1550" s="673"/>
      <c r="AK1550" s="673"/>
      <c r="AL1550" s="673"/>
      <c r="AM1550" s="673"/>
      <c r="AN1550" s="673"/>
      <c r="AO1550" s="673"/>
      <c r="AP1550" s="673"/>
      <c r="AQ1550" s="673"/>
      <c r="AR1550" s="673"/>
      <c r="AS1550" s="673"/>
    </row>
    <row r="1551">
      <c r="A1551" s="653"/>
      <c r="B1551" s="654"/>
      <c r="C1551" s="655"/>
      <c r="D1551" s="656"/>
      <c r="E1551" s="657"/>
      <c r="F1551" s="658"/>
      <c r="G1551" s="659"/>
      <c r="H1551" s="660"/>
      <c r="I1551" s="659"/>
      <c r="J1551" s="661"/>
      <c r="K1551" s="658"/>
      <c r="L1551" s="662"/>
      <c r="M1551" s="663"/>
      <c r="N1551" s="664"/>
      <c r="O1551" s="665"/>
      <c r="P1551" s="666"/>
      <c r="Q1551" s="667"/>
      <c r="R1551" s="668"/>
      <c r="S1551" s="665"/>
      <c r="T1551" s="669"/>
      <c r="U1551" s="669"/>
      <c r="V1551" s="665"/>
      <c r="W1551" s="670"/>
      <c r="X1551" s="670"/>
      <c r="Y1551" s="671"/>
      <c r="Z1551" s="671"/>
      <c r="AA1551" s="672"/>
      <c r="AB1551" s="673"/>
      <c r="AC1551" s="673"/>
      <c r="AD1551" s="673"/>
      <c r="AE1551" s="673"/>
      <c r="AF1551" s="673"/>
      <c r="AG1551" s="673"/>
      <c r="AH1551" s="673"/>
      <c r="AI1551" s="673"/>
      <c r="AJ1551" s="673"/>
      <c r="AK1551" s="673"/>
      <c r="AL1551" s="673"/>
      <c r="AM1551" s="673"/>
      <c r="AN1551" s="673"/>
      <c r="AO1551" s="673"/>
      <c r="AP1551" s="673"/>
      <c r="AQ1551" s="673"/>
      <c r="AR1551" s="673"/>
      <c r="AS1551" s="673"/>
    </row>
    <row r="1552">
      <c r="A1552" s="653"/>
      <c r="B1552" s="654"/>
      <c r="C1552" s="655"/>
      <c r="D1552" s="656"/>
      <c r="E1552" s="657"/>
      <c r="F1552" s="658"/>
      <c r="G1552" s="659"/>
      <c r="H1552" s="660"/>
      <c r="I1552" s="659"/>
      <c r="J1552" s="661"/>
      <c r="K1552" s="658"/>
      <c r="L1552" s="662"/>
      <c r="M1552" s="663"/>
      <c r="N1552" s="664"/>
      <c r="O1552" s="665"/>
      <c r="P1552" s="666"/>
      <c r="Q1552" s="667"/>
      <c r="R1552" s="668"/>
      <c r="S1552" s="665"/>
      <c r="T1552" s="669"/>
      <c r="U1552" s="669"/>
      <c r="V1552" s="665"/>
      <c r="W1552" s="670"/>
      <c r="X1552" s="670"/>
      <c r="Y1552" s="671"/>
      <c r="Z1552" s="671"/>
      <c r="AA1552" s="672"/>
      <c r="AB1552" s="673"/>
      <c r="AC1552" s="673"/>
      <c r="AD1552" s="673"/>
      <c r="AE1552" s="673"/>
      <c r="AF1552" s="673"/>
      <c r="AG1552" s="673"/>
      <c r="AH1552" s="673"/>
      <c r="AI1552" s="673"/>
      <c r="AJ1552" s="673"/>
      <c r="AK1552" s="673"/>
      <c r="AL1552" s="673"/>
      <c r="AM1552" s="673"/>
      <c r="AN1552" s="673"/>
      <c r="AO1552" s="673"/>
      <c r="AP1552" s="673"/>
      <c r="AQ1552" s="673"/>
      <c r="AR1552" s="673"/>
      <c r="AS1552" s="673"/>
    </row>
    <row r="1553">
      <c r="A1553" s="653"/>
      <c r="B1553" s="654"/>
      <c r="C1553" s="655"/>
      <c r="D1553" s="656"/>
      <c r="E1553" s="657"/>
      <c r="F1553" s="658"/>
      <c r="G1553" s="659"/>
      <c r="H1553" s="660"/>
      <c r="I1553" s="659"/>
      <c r="J1553" s="661"/>
      <c r="K1553" s="658"/>
      <c r="L1553" s="662"/>
      <c r="M1553" s="663"/>
      <c r="N1553" s="664"/>
      <c r="O1553" s="665"/>
      <c r="P1553" s="666"/>
      <c r="Q1553" s="667"/>
      <c r="R1553" s="668"/>
      <c r="S1553" s="665"/>
      <c r="T1553" s="669"/>
      <c r="U1553" s="669"/>
      <c r="V1553" s="665"/>
      <c r="W1553" s="670"/>
      <c r="X1553" s="670"/>
      <c r="Y1553" s="671"/>
      <c r="Z1553" s="671"/>
      <c r="AA1553" s="672"/>
      <c r="AB1553" s="673"/>
      <c r="AC1553" s="673"/>
      <c r="AD1553" s="673"/>
      <c r="AE1553" s="673"/>
      <c r="AF1553" s="673"/>
      <c r="AG1553" s="673"/>
      <c r="AH1553" s="673"/>
      <c r="AI1553" s="673"/>
      <c r="AJ1553" s="673"/>
      <c r="AK1553" s="673"/>
      <c r="AL1553" s="673"/>
      <c r="AM1553" s="673"/>
      <c r="AN1553" s="673"/>
      <c r="AO1553" s="673"/>
      <c r="AP1553" s="673"/>
      <c r="AQ1553" s="673"/>
      <c r="AR1553" s="673"/>
      <c r="AS1553" s="673"/>
    </row>
    <row r="1554">
      <c r="A1554" s="653"/>
      <c r="B1554" s="654"/>
      <c r="C1554" s="655"/>
      <c r="D1554" s="656"/>
      <c r="E1554" s="657"/>
      <c r="F1554" s="658"/>
      <c r="G1554" s="659"/>
      <c r="H1554" s="660"/>
      <c r="I1554" s="659"/>
      <c r="J1554" s="661"/>
      <c r="K1554" s="658"/>
      <c r="L1554" s="662"/>
      <c r="M1554" s="663"/>
      <c r="N1554" s="664"/>
      <c r="O1554" s="665"/>
      <c r="P1554" s="666"/>
      <c r="Q1554" s="667"/>
      <c r="R1554" s="668"/>
      <c r="S1554" s="665"/>
      <c r="T1554" s="669"/>
      <c r="U1554" s="669"/>
      <c r="V1554" s="665"/>
      <c r="W1554" s="670"/>
      <c r="X1554" s="670"/>
      <c r="Y1554" s="671"/>
      <c r="Z1554" s="671"/>
      <c r="AA1554" s="672"/>
      <c r="AB1554" s="673"/>
      <c r="AC1554" s="673"/>
      <c r="AD1554" s="673"/>
      <c r="AE1554" s="673"/>
      <c r="AF1554" s="673"/>
      <c r="AG1554" s="673"/>
      <c r="AH1554" s="673"/>
      <c r="AI1554" s="673"/>
      <c r="AJ1554" s="673"/>
      <c r="AK1554" s="673"/>
      <c r="AL1554" s="673"/>
      <c r="AM1554" s="673"/>
      <c r="AN1554" s="673"/>
      <c r="AO1554" s="673"/>
      <c r="AP1554" s="673"/>
      <c r="AQ1554" s="673"/>
      <c r="AR1554" s="673"/>
      <c r="AS1554" s="673"/>
    </row>
    <row r="1555">
      <c r="A1555" s="653"/>
      <c r="B1555" s="654"/>
      <c r="C1555" s="655"/>
      <c r="D1555" s="656"/>
      <c r="E1555" s="657"/>
      <c r="F1555" s="658"/>
      <c r="G1555" s="659"/>
      <c r="H1555" s="660"/>
      <c r="I1555" s="659"/>
      <c r="J1555" s="661"/>
      <c r="K1555" s="658"/>
      <c r="L1555" s="662"/>
      <c r="M1555" s="663"/>
      <c r="N1555" s="664"/>
      <c r="O1555" s="665"/>
      <c r="P1555" s="666"/>
      <c r="Q1555" s="667"/>
      <c r="R1555" s="668"/>
      <c r="S1555" s="665"/>
      <c r="T1555" s="669"/>
      <c r="U1555" s="669"/>
      <c r="V1555" s="665"/>
      <c r="W1555" s="670"/>
      <c r="X1555" s="670"/>
      <c r="Y1555" s="671"/>
      <c r="Z1555" s="671"/>
      <c r="AA1555" s="672"/>
      <c r="AB1555" s="673"/>
      <c r="AC1555" s="673"/>
      <c r="AD1555" s="673"/>
      <c r="AE1555" s="673"/>
      <c r="AF1555" s="673"/>
      <c r="AG1555" s="673"/>
      <c r="AH1555" s="673"/>
      <c r="AI1555" s="673"/>
      <c r="AJ1555" s="673"/>
      <c r="AK1555" s="673"/>
      <c r="AL1555" s="673"/>
      <c r="AM1555" s="673"/>
      <c r="AN1555" s="673"/>
      <c r="AO1555" s="673"/>
      <c r="AP1555" s="673"/>
      <c r="AQ1555" s="673"/>
      <c r="AR1555" s="673"/>
      <c r="AS1555" s="673"/>
    </row>
    <row r="1556">
      <c r="A1556" s="653"/>
      <c r="B1556" s="654"/>
      <c r="C1556" s="655"/>
      <c r="D1556" s="656"/>
      <c r="E1556" s="657"/>
      <c r="F1556" s="658"/>
      <c r="G1556" s="659"/>
      <c r="H1556" s="660"/>
      <c r="I1556" s="659"/>
      <c r="J1556" s="661"/>
      <c r="K1556" s="658"/>
      <c r="L1556" s="662"/>
      <c r="M1556" s="663"/>
      <c r="N1556" s="664"/>
      <c r="O1556" s="665"/>
      <c r="P1556" s="666"/>
      <c r="Q1556" s="667"/>
      <c r="R1556" s="668"/>
      <c r="S1556" s="665"/>
      <c r="T1556" s="669"/>
      <c r="U1556" s="669"/>
      <c r="V1556" s="665"/>
      <c r="W1556" s="670"/>
      <c r="X1556" s="670"/>
      <c r="Y1556" s="671"/>
      <c r="Z1556" s="671"/>
      <c r="AA1556" s="672"/>
      <c r="AB1556" s="673"/>
      <c r="AC1556" s="673"/>
      <c r="AD1556" s="673"/>
      <c r="AE1556" s="673"/>
      <c r="AF1556" s="673"/>
      <c r="AG1556" s="673"/>
      <c r="AH1556" s="673"/>
      <c r="AI1556" s="673"/>
      <c r="AJ1556" s="673"/>
      <c r="AK1556" s="673"/>
      <c r="AL1556" s="673"/>
      <c r="AM1556" s="673"/>
      <c r="AN1556" s="673"/>
      <c r="AO1556" s="673"/>
      <c r="AP1556" s="673"/>
      <c r="AQ1556" s="673"/>
      <c r="AR1556" s="673"/>
      <c r="AS1556" s="673"/>
    </row>
    <row r="1557">
      <c r="A1557" s="653"/>
      <c r="B1557" s="654"/>
      <c r="C1557" s="655"/>
      <c r="D1557" s="656"/>
      <c r="E1557" s="657"/>
      <c r="F1557" s="658"/>
      <c r="G1557" s="659"/>
      <c r="H1557" s="660"/>
      <c r="I1557" s="659"/>
      <c r="J1557" s="661"/>
      <c r="K1557" s="658"/>
      <c r="L1557" s="662"/>
      <c r="M1557" s="663"/>
      <c r="N1557" s="664"/>
      <c r="O1557" s="665"/>
      <c r="P1557" s="666"/>
      <c r="Q1557" s="667"/>
      <c r="R1557" s="668"/>
      <c r="S1557" s="665"/>
      <c r="T1557" s="669"/>
      <c r="U1557" s="669"/>
      <c r="V1557" s="665"/>
      <c r="W1557" s="670"/>
      <c r="X1557" s="670"/>
      <c r="Y1557" s="671"/>
      <c r="Z1557" s="671"/>
      <c r="AA1557" s="672"/>
      <c r="AB1557" s="673"/>
      <c r="AC1557" s="673"/>
      <c r="AD1557" s="673"/>
      <c r="AE1557" s="673"/>
      <c r="AF1557" s="673"/>
      <c r="AG1557" s="673"/>
      <c r="AH1557" s="673"/>
      <c r="AI1557" s="673"/>
      <c r="AJ1557" s="673"/>
      <c r="AK1557" s="673"/>
      <c r="AL1557" s="673"/>
      <c r="AM1557" s="673"/>
      <c r="AN1557" s="673"/>
      <c r="AO1557" s="673"/>
      <c r="AP1557" s="673"/>
      <c r="AQ1557" s="673"/>
      <c r="AR1557" s="673"/>
      <c r="AS1557" s="673"/>
    </row>
    <row r="1558">
      <c r="A1558" s="653"/>
      <c r="B1558" s="654"/>
      <c r="C1558" s="655"/>
      <c r="D1558" s="656"/>
      <c r="E1558" s="657"/>
      <c r="F1558" s="658"/>
      <c r="G1558" s="659"/>
      <c r="H1558" s="660"/>
      <c r="I1558" s="659"/>
      <c r="J1558" s="661"/>
      <c r="K1558" s="658"/>
      <c r="L1558" s="662"/>
      <c r="M1558" s="663"/>
      <c r="N1558" s="664"/>
      <c r="O1558" s="665"/>
      <c r="P1558" s="666"/>
      <c r="Q1558" s="667"/>
      <c r="R1558" s="668"/>
      <c r="S1558" s="665"/>
      <c r="T1558" s="669"/>
      <c r="U1558" s="669"/>
      <c r="V1558" s="665"/>
      <c r="W1558" s="670"/>
      <c r="X1558" s="670"/>
      <c r="Y1558" s="671"/>
      <c r="Z1558" s="671"/>
      <c r="AA1558" s="672"/>
      <c r="AB1558" s="673"/>
      <c r="AC1558" s="673"/>
      <c r="AD1558" s="673"/>
      <c r="AE1558" s="673"/>
      <c r="AF1558" s="673"/>
      <c r="AG1558" s="673"/>
      <c r="AH1558" s="673"/>
      <c r="AI1558" s="673"/>
      <c r="AJ1558" s="673"/>
      <c r="AK1558" s="673"/>
      <c r="AL1558" s="673"/>
      <c r="AM1558" s="673"/>
      <c r="AN1558" s="673"/>
      <c r="AO1558" s="673"/>
      <c r="AP1558" s="673"/>
      <c r="AQ1558" s="673"/>
      <c r="AR1558" s="673"/>
      <c r="AS1558" s="673"/>
    </row>
    <row r="1559">
      <c r="A1559" s="653"/>
      <c r="B1559" s="654"/>
      <c r="C1559" s="655"/>
      <c r="D1559" s="656"/>
      <c r="E1559" s="657"/>
      <c r="F1559" s="658"/>
      <c r="G1559" s="659"/>
      <c r="H1559" s="660"/>
      <c r="I1559" s="659"/>
      <c r="J1559" s="661"/>
      <c r="K1559" s="658"/>
      <c r="L1559" s="662"/>
      <c r="M1559" s="663"/>
      <c r="N1559" s="664"/>
      <c r="O1559" s="665"/>
      <c r="P1559" s="666"/>
      <c r="Q1559" s="667"/>
      <c r="R1559" s="668"/>
      <c r="S1559" s="665"/>
      <c r="T1559" s="669"/>
      <c r="U1559" s="669"/>
      <c r="V1559" s="665"/>
      <c r="W1559" s="670"/>
      <c r="X1559" s="670"/>
      <c r="Y1559" s="671"/>
      <c r="Z1559" s="671"/>
      <c r="AA1559" s="672"/>
      <c r="AB1559" s="673"/>
      <c r="AC1559" s="673"/>
      <c r="AD1559" s="673"/>
      <c r="AE1559" s="673"/>
      <c r="AF1559" s="673"/>
      <c r="AG1559" s="673"/>
      <c r="AH1559" s="673"/>
      <c r="AI1559" s="673"/>
      <c r="AJ1559" s="673"/>
      <c r="AK1559" s="673"/>
      <c r="AL1559" s="673"/>
      <c r="AM1559" s="673"/>
      <c r="AN1559" s="673"/>
      <c r="AO1559" s="673"/>
      <c r="AP1559" s="673"/>
      <c r="AQ1559" s="673"/>
      <c r="AR1559" s="673"/>
      <c r="AS1559" s="673"/>
    </row>
    <row r="1560">
      <c r="A1560" s="653"/>
      <c r="B1560" s="654"/>
      <c r="C1560" s="655"/>
      <c r="D1560" s="656"/>
      <c r="E1560" s="657"/>
      <c r="F1560" s="658"/>
      <c r="G1560" s="659"/>
      <c r="H1560" s="660"/>
      <c r="I1560" s="659"/>
      <c r="J1560" s="661"/>
      <c r="K1560" s="658"/>
      <c r="L1560" s="662"/>
      <c r="M1560" s="663"/>
      <c r="N1560" s="664"/>
      <c r="O1560" s="665"/>
      <c r="P1560" s="666"/>
      <c r="Q1560" s="667"/>
      <c r="R1560" s="668"/>
      <c r="S1560" s="665"/>
      <c r="T1560" s="669"/>
      <c r="U1560" s="669"/>
      <c r="V1560" s="665"/>
      <c r="W1560" s="670"/>
      <c r="X1560" s="670"/>
      <c r="Y1560" s="671"/>
      <c r="Z1560" s="671"/>
      <c r="AA1560" s="672"/>
      <c r="AB1560" s="673"/>
      <c r="AC1560" s="673"/>
      <c r="AD1560" s="673"/>
      <c r="AE1560" s="673"/>
      <c r="AF1560" s="673"/>
      <c r="AG1560" s="673"/>
      <c r="AH1560" s="673"/>
      <c r="AI1560" s="673"/>
      <c r="AJ1560" s="673"/>
      <c r="AK1560" s="673"/>
      <c r="AL1560" s="673"/>
      <c r="AM1560" s="673"/>
      <c r="AN1560" s="673"/>
      <c r="AO1560" s="673"/>
      <c r="AP1560" s="673"/>
      <c r="AQ1560" s="673"/>
      <c r="AR1560" s="673"/>
      <c r="AS1560" s="673"/>
    </row>
    <row r="1561">
      <c r="A1561" s="653"/>
      <c r="B1561" s="654"/>
      <c r="C1561" s="655"/>
      <c r="D1561" s="656"/>
      <c r="E1561" s="657"/>
      <c r="F1561" s="658"/>
      <c r="G1561" s="659"/>
      <c r="H1561" s="660"/>
      <c r="I1561" s="659"/>
      <c r="J1561" s="661"/>
      <c r="K1561" s="658"/>
      <c r="L1561" s="662"/>
      <c r="M1561" s="663"/>
      <c r="N1561" s="664"/>
      <c r="O1561" s="665"/>
      <c r="P1561" s="666"/>
      <c r="Q1561" s="667"/>
      <c r="R1561" s="668"/>
      <c r="S1561" s="665"/>
      <c r="T1561" s="669"/>
      <c r="U1561" s="669"/>
      <c r="V1561" s="665"/>
      <c r="W1561" s="670"/>
      <c r="X1561" s="670"/>
      <c r="Y1561" s="671"/>
      <c r="Z1561" s="671"/>
      <c r="AA1561" s="672"/>
      <c r="AB1561" s="673"/>
      <c r="AC1561" s="673"/>
      <c r="AD1561" s="673"/>
      <c r="AE1561" s="673"/>
      <c r="AF1561" s="673"/>
      <c r="AG1561" s="673"/>
      <c r="AH1561" s="673"/>
      <c r="AI1561" s="673"/>
      <c r="AJ1561" s="673"/>
      <c r="AK1561" s="673"/>
      <c r="AL1561" s="673"/>
      <c r="AM1561" s="673"/>
      <c r="AN1561" s="673"/>
      <c r="AO1561" s="673"/>
      <c r="AP1561" s="673"/>
      <c r="AQ1561" s="673"/>
      <c r="AR1561" s="673"/>
      <c r="AS1561" s="673"/>
    </row>
    <row r="1562">
      <c r="A1562" s="653"/>
      <c r="B1562" s="654"/>
      <c r="C1562" s="655"/>
      <c r="D1562" s="656"/>
      <c r="E1562" s="657"/>
      <c r="F1562" s="658"/>
      <c r="G1562" s="659"/>
      <c r="H1562" s="660"/>
      <c r="I1562" s="659"/>
      <c r="J1562" s="661"/>
      <c r="K1562" s="658"/>
      <c r="L1562" s="662"/>
      <c r="M1562" s="663"/>
      <c r="N1562" s="664"/>
      <c r="O1562" s="665"/>
      <c r="P1562" s="666"/>
      <c r="Q1562" s="667"/>
      <c r="R1562" s="668"/>
      <c r="S1562" s="665"/>
      <c r="T1562" s="669"/>
      <c r="U1562" s="669"/>
      <c r="V1562" s="665"/>
      <c r="W1562" s="670"/>
      <c r="X1562" s="670"/>
      <c r="Y1562" s="671"/>
      <c r="Z1562" s="671"/>
      <c r="AA1562" s="672"/>
      <c r="AB1562" s="673"/>
      <c r="AC1562" s="673"/>
      <c r="AD1562" s="673"/>
      <c r="AE1562" s="673"/>
      <c r="AF1562" s="673"/>
      <c r="AG1562" s="673"/>
      <c r="AH1562" s="673"/>
      <c r="AI1562" s="673"/>
      <c r="AJ1562" s="673"/>
      <c r="AK1562" s="673"/>
      <c r="AL1562" s="673"/>
      <c r="AM1562" s="673"/>
      <c r="AN1562" s="673"/>
      <c r="AO1562" s="673"/>
      <c r="AP1562" s="673"/>
      <c r="AQ1562" s="673"/>
      <c r="AR1562" s="673"/>
      <c r="AS1562" s="673"/>
    </row>
    <row r="1563">
      <c r="A1563" s="653"/>
      <c r="B1563" s="654"/>
      <c r="C1563" s="655"/>
      <c r="D1563" s="656"/>
      <c r="E1563" s="657"/>
      <c r="F1563" s="658"/>
      <c r="G1563" s="659"/>
      <c r="H1563" s="660"/>
      <c r="I1563" s="659"/>
      <c r="J1563" s="661"/>
      <c r="K1563" s="658"/>
      <c r="L1563" s="662"/>
      <c r="M1563" s="663"/>
      <c r="N1563" s="664"/>
      <c r="O1563" s="665"/>
      <c r="P1563" s="666"/>
      <c r="Q1563" s="667"/>
      <c r="R1563" s="668"/>
      <c r="S1563" s="665"/>
      <c r="T1563" s="669"/>
      <c r="U1563" s="669"/>
      <c r="V1563" s="665"/>
      <c r="W1563" s="670"/>
      <c r="X1563" s="670"/>
      <c r="Y1563" s="671"/>
      <c r="Z1563" s="671"/>
      <c r="AA1563" s="672"/>
      <c r="AB1563" s="673"/>
      <c r="AC1563" s="673"/>
      <c r="AD1563" s="673"/>
      <c r="AE1563" s="673"/>
      <c r="AF1563" s="673"/>
      <c r="AG1563" s="673"/>
      <c r="AH1563" s="673"/>
      <c r="AI1563" s="673"/>
      <c r="AJ1563" s="673"/>
      <c r="AK1563" s="673"/>
      <c r="AL1563" s="673"/>
      <c r="AM1563" s="673"/>
      <c r="AN1563" s="673"/>
      <c r="AO1563" s="673"/>
      <c r="AP1563" s="673"/>
      <c r="AQ1563" s="673"/>
      <c r="AR1563" s="673"/>
      <c r="AS1563" s="673"/>
    </row>
    <row r="1564">
      <c r="A1564" s="653"/>
      <c r="B1564" s="654"/>
      <c r="C1564" s="655"/>
      <c r="D1564" s="656"/>
      <c r="E1564" s="657"/>
      <c r="F1564" s="658"/>
      <c r="G1564" s="659"/>
      <c r="H1564" s="660"/>
      <c r="I1564" s="659"/>
      <c r="J1564" s="661"/>
      <c r="K1564" s="658"/>
      <c r="L1564" s="662"/>
      <c r="M1564" s="663"/>
      <c r="N1564" s="664"/>
      <c r="O1564" s="665"/>
      <c r="P1564" s="666"/>
      <c r="Q1564" s="667"/>
      <c r="R1564" s="668"/>
      <c r="S1564" s="665"/>
      <c r="T1564" s="669"/>
      <c r="U1564" s="669"/>
      <c r="V1564" s="665"/>
      <c r="W1564" s="670"/>
      <c r="X1564" s="670"/>
      <c r="Y1564" s="671"/>
      <c r="Z1564" s="671"/>
      <c r="AA1564" s="672"/>
      <c r="AB1564" s="673"/>
      <c r="AC1564" s="673"/>
      <c r="AD1564" s="673"/>
      <c r="AE1564" s="673"/>
      <c r="AF1564" s="673"/>
      <c r="AG1564" s="673"/>
      <c r="AH1564" s="673"/>
      <c r="AI1564" s="673"/>
      <c r="AJ1564" s="673"/>
      <c r="AK1564" s="673"/>
      <c r="AL1564" s="673"/>
      <c r="AM1564" s="673"/>
      <c r="AN1564" s="673"/>
      <c r="AO1564" s="673"/>
      <c r="AP1564" s="673"/>
      <c r="AQ1564" s="673"/>
      <c r="AR1564" s="673"/>
      <c r="AS1564" s="673"/>
    </row>
    <row r="1565">
      <c r="A1565" s="653"/>
      <c r="B1565" s="654"/>
      <c r="C1565" s="655"/>
      <c r="D1565" s="656"/>
      <c r="E1565" s="657"/>
      <c r="F1565" s="658"/>
      <c r="G1565" s="659"/>
      <c r="H1565" s="660"/>
      <c r="I1565" s="659"/>
      <c r="J1565" s="661"/>
      <c r="K1565" s="658"/>
      <c r="L1565" s="662"/>
      <c r="M1565" s="663"/>
      <c r="N1565" s="664"/>
      <c r="O1565" s="665"/>
      <c r="P1565" s="666"/>
      <c r="Q1565" s="667"/>
      <c r="R1565" s="668"/>
      <c r="S1565" s="665"/>
      <c r="T1565" s="669"/>
      <c r="U1565" s="669"/>
      <c r="V1565" s="665"/>
      <c r="W1565" s="670"/>
      <c r="X1565" s="670"/>
      <c r="Y1565" s="671"/>
      <c r="Z1565" s="671"/>
      <c r="AA1565" s="672"/>
      <c r="AB1565" s="673"/>
      <c r="AC1565" s="673"/>
      <c r="AD1565" s="673"/>
      <c r="AE1565" s="673"/>
      <c r="AF1565" s="673"/>
      <c r="AG1565" s="673"/>
      <c r="AH1565" s="673"/>
      <c r="AI1565" s="673"/>
      <c r="AJ1565" s="673"/>
      <c r="AK1565" s="673"/>
      <c r="AL1565" s="673"/>
      <c r="AM1565" s="673"/>
      <c r="AN1565" s="673"/>
      <c r="AO1565" s="673"/>
      <c r="AP1565" s="673"/>
      <c r="AQ1565" s="673"/>
      <c r="AR1565" s="673"/>
      <c r="AS1565" s="673"/>
    </row>
    <row r="1566">
      <c r="A1566" s="653"/>
      <c r="B1566" s="654"/>
      <c r="C1566" s="655"/>
      <c r="D1566" s="656"/>
      <c r="E1566" s="657"/>
      <c r="F1566" s="658"/>
      <c r="G1566" s="659"/>
      <c r="H1566" s="660"/>
      <c r="I1566" s="659"/>
      <c r="J1566" s="661"/>
      <c r="K1566" s="658"/>
      <c r="L1566" s="662"/>
      <c r="M1566" s="663"/>
      <c r="N1566" s="664"/>
      <c r="O1566" s="665"/>
      <c r="P1566" s="666"/>
      <c r="Q1566" s="667"/>
      <c r="R1566" s="668"/>
      <c r="S1566" s="665"/>
      <c r="T1566" s="669"/>
      <c r="U1566" s="669"/>
      <c r="V1566" s="665"/>
      <c r="W1566" s="670"/>
      <c r="X1566" s="670"/>
      <c r="Y1566" s="671"/>
      <c r="Z1566" s="671"/>
      <c r="AA1566" s="672"/>
      <c r="AB1566" s="673"/>
      <c r="AC1566" s="673"/>
      <c r="AD1566" s="673"/>
      <c r="AE1566" s="673"/>
      <c r="AF1566" s="673"/>
      <c r="AG1566" s="673"/>
      <c r="AH1566" s="673"/>
      <c r="AI1566" s="673"/>
      <c r="AJ1566" s="673"/>
      <c r="AK1566" s="673"/>
      <c r="AL1566" s="673"/>
      <c r="AM1566" s="673"/>
      <c r="AN1566" s="673"/>
      <c r="AO1566" s="673"/>
      <c r="AP1566" s="673"/>
      <c r="AQ1566" s="673"/>
      <c r="AR1566" s="673"/>
      <c r="AS1566" s="673"/>
    </row>
    <row r="1567">
      <c r="A1567" s="653"/>
      <c r="B1567" s="654"/>
      <c r="C1567" s="655"/>
      <c r="D1567" s="656"/>
      <c r="E1567" s="657"/>
      <c r="F1567" s="658"/>
      <c r="G1567" s="659"/>
      <c r="H1567" s="660"/>
      <c r="I1567" s="659"/>
      <c r="J1567" s="661"/>
      <c r="K1567" s="658"/>
      <c r="L1567" s="662"/>
      <c r="M1567" s="663"/>
      <c r="N1567" s="664"/>
      <c r="O1567" s="665"/>
      <c r="P1567" s="666"/>
      <c r="Q1567" s="667"/>
      <c r="R1567" s="668"/>
      <c r="S1567" s="665"/>
      <c r="T1567" s="669"/>
      <c r="U1567" s="669"/>
      <c r="V1567" s="665"/>
      <c r="W1567" s="670"/>
      <c r="X1567" s="670"/>
      <c r="Y1567" s="671"/>
      <c r="Z1567" s="671"/>
      <c r="AA1567" s="672"/>
      <c r="AB1567" s="673"/>
      <c r="AC1567" s="673"/>
      <c r="AD1567" s="673"/>
      <c r="AE1567" s="673"/>
      <c r="AF1567" s="673"/>
      <c r="AG1567" s="673"/>
      <c r="AH1567" s="673"/>
      <c r="AI1567" s="673"/>
      <c r="AJ1567" s="673"/>
      <c r="AK1567" s="673"/>
      <c r="AL1567" s="673"/>
      <c r="AM1567" s="673"/>
      <c r="AN1567" s="673"/>
      <c r="AO1567" s="673"/>
      <c r="AP1567" s="673"/>
      <c r="AQ1567" s="673"/>
      <c r="AR1567" s="673"/>
      <c r="AS1567" s="673"/>
    </row>
    <row r="1568">
      <c r="A1568" s="653"/>
      <c r="B1568" s="654"/>
      <c r="C1568" s="655"/>
      <c r="D1568" s="656"/>
      <c r="E1568" s="657"/>
      <c r="F1568" s="658"/>
      <c r="G1568" s="659"/>
      <c r="H1568" s="660"/>
      <c r="I1568" s="659"/>
      <c r="J1568" s="661"/>
      <c r="K1568" s="658"/>
      <c r="L1568" s="662"/>
      <c r="M1568" s="663"/>
      <c r="N1568" s="664"/>
      <c r="O1568" s="665"/>
      <c r="P1568" s="666"/>
      <c r="Q1568" s="667"/>
      <c r="R1568" s="668"/>
      <c r="S1568" s="665"/>
      <c r="T1568" s="669"/>
      <c r="U1568" s="669"/>
      <c r="V1568" s="665"/>
      <c r="W1568" s="670"/>
      <c r="X1568" s="670"/>
      <c r="Y1568" s="671"/>
      <c r="Z1568" s="671"/>
      <c r="AA1568" s="672"/>
      <c r="AB1568" s="673"/>
      <c r="AC1568" s="673"/>
      <c r="AD1568" s="673"/>
      <c r="AE1568" s="673"/>
      <c r="AF1568" s="673"/>
      <c r="AG1568" s="673"/>
      <c r="AH1568" s="673"/>
      <c r="AI1568" s="673"/>
      <c r="AJ1568" s="673"/>
      <c r="AK1568" s="673"/>
      <c r="AL1568" s="673"/>
      <c r="AM1568" s="673"/>
      <c r="AN1568" s="673"/>
      <c r="AO1568" s="673"/>
      <c r="AP1568" s="673"/>
      <c r="AQ1568" s="673"/>
      <c r="AR1568" s="673"/>
      <c r="AS1568" s="673"/>
    </row>
    <row r="1569">
      <c r="A1569" s="653"/>
      <c r="B1569" s="654"/>
      <c r="C1569" s="655"/>
      <c r="D1569" s="656"/>
      <c r="E1569" s="657"/>
      <c r="F1569" s="658"/>
      <c r="G1569" s="659"/>
      <c r="H1569" s="660"/>
      <c r="I1569" s="659"/>
      <c r="J1569" s="661"/>
      <c r="K1569" s="658"/>
      <c r="L1569" s="662"/>
      <c r="M1569" s="663"/>
      <c r="N1569" s="664"/>
      <c r="O1569" s="665"/>
      <c r="P1569" s="666"/>
      <c r="Q1569" s="667"/>
      <c r="R1569" s="668"/>
      <c r="S1569" s="665"/>
      <c r="T1569" s="669"/>
      <c r="U1569" s="669"/>
      <c r="V1569" s="665"/>
      <c r="W1569" s="670"/>
      <c r="X1569" s="670"/>
      <c r="Y1569" s="671"/>
      <c r="Z1569" s="671"/>
      <c r="AA1569" s="672"/>
      <c r="AB1569" s="673"/>
      <c r="AC1569" s="673"/>
      <c r="AD1569" s="673"/>
      <c r="AE1569" s="673"/>
      <c r="AF1569" s="673"/>
      <c r="AG1569" s="673"/>
      <c r="AH1569" s="673"/>
      <c r="AI1569" s="673"/>
      <c r="AJ1569" s="673"/>
      <c r="AK1569" s="673"/>
      <c r="AL1569" s="673"/>
      <c r="AM1569" s="673"/>
      <c r="AN1569" s="673"/>
      <c r="AO1569" s="673"/>
      <c r="AP1569" s="673"/>
      <c r="AQ1569" s="673"/>
      <c r="AR1569" s="673"/>
      <c r="AS1569" s="673"/>
    </row>
    <row r="1570">
      <c r="A1570" s="653"/>
      <c r="B1570" s="654"/>
      <c r="C1570" s="655"/>
      <c r="D1570" s="656"/>
      <c r="E1570" s="657"/>
      <c r="F1570" s="658"/>
      <c r="G1570" s="659"/>
      <c r="H1570" s="660"/>
      <c r="I1570" s="659"/>
      <c r="J1570" s="661"/>
      <c r="K1570" s="658"/>
      <c r="L1570" s="662"/>
      <c r="M1570" s="663"/>
      <c r="N1570" s="664"/>
      <c r="O1570" s="665"/>
      <c r="P1570" s="666"/>
      <c r="Q1570" s="667"/>
      <c r="R1570" s="668"/>
      <c r="S1570" s="665"/>
      <c r="T1570" s="669"/>
      <c r="U1570" s="669"/>
      <c r="V1570" s="665"/>
      <c r="W1570" s="670"/>
      <c r="X1570" s="670"/>
      <c r="Y1570" s="671"/>
      <c r="Z1570" s="671"/>
      <c r="AA1570" s="672"/>
      <c r="AB1570" s="673"/>
      <c r="AC1570" s="673"/>
      <c r="AD1570" s="673"/>
      <c r="AE1570" s="673"/>
      <c r="AF1570" s="673"/>
      <c r="AG1570" s="673"/>
      <c r="AH1570" s="673"/>
      <c r="AI1570" s="673"/>
      <c r="AJ1570" s="673"/>
      <c r="AK1570" s="673"/>
      <c r="AL1570" s="673"/>
      <c r="AM1570" s="673"/>
      <c r="AN1570" s="673"/>
      <c r="AO1570" s="673"/>
      <c r="AP1570" s="673"/>
      <c r="AQ1570" s="673"/>
      <c r="AR1570" s="673"/>
      <c r="AS1570" s="673"/>
    </row>
    <row r="1571">
      <c r="A1571" s="653"/>
      <c r="B1571" s="654"/>
      <c r="C1571" s="655"/>
      <c r="D1571" s="656"/>
      <c r="E1571" s="657"/>
      <c r="F1571" s="658"/>
      <c r="G1571" s="659"/>
      <c r="H1571" s="660"/>
      <c r="I1571" s="659"/>
      <c r="J1571" s="661"/>
      <c r="K1571" s="658"/>
      <c r="L1571" s="662"/>
      <c r="M1571" s="663"/>
      <c r="N1571" s="664"/>
      <c r="O1571" s="665"/>
      <c r="P1571" s="666"/>
      <c r="Q1571" s="667"/>
      <c r="R1571" s="668"/>
      <c r="S1571" s="665"/>
      <c r="T1571" s="669"/>
      <c r="U1571" s="669"/>
      <c r="V1571" s="665"/>
      <c r="W1571" s="670"/>
      <c r="X1571" s="670"/>
      <c r="Y1571" s="671"/>
      <c r="Z1571" s="671"/>
      <c r="AA1571" s="672"/>
      <c r="AB1571" s="673"/>
      <c r="AC1571" s="673"/>
      <c r="AD1571" s="673"/>
      <c r="AE1571" s="673"/>
      <c r="AF1571" s="673"/>
      <c r="AG1571" s="673"/>
      <c r="AH1571" s="673"/>
      <c r="AI1571" s="673"/>
      <c r="AJ1571" s="673"/>
      <c r="AK1571" s="673"/>
      <c r="AL1571" s="673"/>
      <c r="AM1571" s="673"/>
      <c r="AN1571" s="673"/>
      <c r="AO1571" s="673"/>
      <c r="AP1571" s="673"/>
      <c r="AQ1571" s="673"/>
      <c r="AR1571" s="673"/>
      <c r="AS1571" s="673"/>
    </row>
    <row r="1572">
      <c r="A1572" s="653"/>
      <c r="B1572" s="654"/>
      <c r="C1572" s="655"/>
      <c r="D1572" s="656"/>
      <c r="E1572" s="657"/>
      <c r="F1572" s="658"/>
      <c r="G1572" s="659"/>
      <c r="H1572" s="660"/>
      <c r="I1572" s="659"/>
      <c r="J1572" s="661"/>
      <c r="K1572" s="658"/>
      <c r="L1572" s="662"/>
      <c r="M1572" s="663"/>
      <c r="N1572" s="664"/>
      <c r="O1572" s="665"/>
      <c r="P1572" s="666"/>
      <c r="Q1572" s="667"/>
      <c r="R1572" s="668"/>
      <c r="S1572" s="665"/>
      <c r="T1572" s="669"/>
      <c r="U1572" s="669"/>
      <c r="V1572" s="665"/>
      <c r="W1572" s="670"/>
      <c r="X1572" s="670"/>
      <c r="Y1572" s="671"/>
      <c r="Z1572" s="671"/>
      <c r="AA1572" s="672"/>
      <c r="AB1572" s="673"/>
      <c r="AC1572" s="673"/>
      <c r="AD1572" s="673"/>
      <c r="AE1572" s="673"/>
      <c r="AF1572" s="673"/>
      <c r="AG1572" s="673"/>
      <c r="AH1572" s="673"/>
      <c r="AI1572" s="673"/>
      <c r="AJ1572" s="673"/>
      <c r="AK1572" s="673"/>
      <c r="AL1572" s="673"/>
      <c r="AM1572" s="673"/>
      <c r="AN1572" s="673"/>
      <c r="AO1572" s="673"/>
      <c r="AP1572" s="673"/>
      <c r="AQ1572" s="673"/>
      <c r="AR1572" s="673"/>
      <c r="AS1572" s="673"/>
    </row>
    <row r="1573">
      <c r="A1573" s="653"/>
      <c r="B1573" s="654"/>
      <c r="C1573" s="655"/>
      <c r="D1573" s="656"/>
      <c r="E1573" s="657"/>
      <c r="F1573" s="658"/>
      <c r="G1573" s="659"/>
      <c r="H1573" s="660"/>
      <c r="I1573" s="659"/>
      <c r="J1573" s="661"/>
      <c r="K1573" s="658"/>
      <c r="L1573" s="662"/>
      <c r="M1573" s="663"/>
      <c r="N1573" s="664"/>
      <c r="O1573" s="665"/>
      <c r="P1573" s="666"/>
      <c r="Q1573" s="667"/>
      <c r="R1573" s="668"/>
      <c r="S1573" s="665"/>
      <c r="T1573" s="669"/>
      <c r="U1573" s="669"/>
      <c r="V1573" s="665"/>
      <c r="W1573" s="670"/>
      <c r="X1573" s="670"/>
      <c r="Y1573" s="671"/>
      <c r="Z1573" s="671"/>
      <c r="AA1573" s="672"/>
      <c r="AB1573" s="673"/>
      <c r="AC1573" s="673"/>
      <c r="AD1573" s="673"/>
      <c r="AE1573" s="673"/>
      <c r="AF1573" s="673"/>
      <c r="AG1573" s="673"/>
      <c r="AH1573" s="673"/>
      <c r="AI1573" s="673"/>
      <c r="AJ1573" s="673"/>
      <c r="AK1573" s="673"/>
      <c r="AL1573" s="673"/>
      <c r="AM1573" s="673"/>
      <c r="AN1573" s="673"/>
      <c r="AO1573" s="673"/>
      <c r="AP1573" s="673"/>
      <c r="AQ1573" s="673"/>
      <c r="AR1573" s="673"/>
      <c r="AS1573" s="673"/>
    </row>
    <row r="1574">
      <c r="A1574" s="653"/>
      <c r="B1574" s="654"/>
      <c r="C1574" s="655"/>
      <c r="D1574" s="656"/>
      <c r="E1574" s="657"/>
      <c r="F1574" s="658"/>
      <c r="G1574" s="659"/>
      <c r="H1574" s="660"/>
      <c r="I1574" s="659"/>
      <c r="J1574" s="661"/>
      <c r="K1574" s="658"/>
      <c r="L1574" s="662"/>
      <c r="M1574" s="663"/>
      <c r="N1574" s="664"/>
      <c r="O1574" s="665"/>
      <c r="P1574" s="666"/>
      <c r="Q1574" s="667"/>
      <c r="R1574" s="668"/>
      <c r="S1574" s="665"/>
      <c r="T1574" s="669"/>
      <c r="U1574" s="669"/>
      <c r="V1574" s="665"/>
      <c r="W1574" s="670"/>
      <c r="X1574" s="670"/>
      <c r="Y1574" s="671"/>
      <c r="Z1574" s="671"/>
      <c r="AA1574" s="672"/>
      <c r="AB1574" s="673"/>
      <c r="AC1574" s="673"/>
      <c r="AD1574" s="673"/>
      <c r="AE1574" s="673"/>
      <c r="AF1574" s="673"/>
      <c r="AG1574" s="673"/>
      <c r="AH1574" s="673"/>
      <c r="AI1574" s="673"/>
      <c r="AJ1574" s="673"/>
      <c r="AK1574" s="673"/>
      <c r="AL1574" s="673"/>
      <c r="AM1574" s="673"/>
      <c r="AN1574" s="673"/>
      <c r="AO1574" s="673"/>
      <c r="AP1574" s="673"/>
      <c r="AQ1574" s="673"/>
      <c r="AR1574" s="673"/>
      <c r="AS1574" s="673"/>
    </row>
    <row r="1575">
      <c r="A1575" s="653"/>
      <c r="B1575" s="654"/>
      <c r="C1575" s="655"/>
      <c r="D1575" s="656"/>
      <c r="E1575" s="657"/>
      <c r="F1575" s="658"/>
      <c r="G1575" s="659"/>
      <c r="H1575" s="660"/>
      <c r="I1575" s="659"/>
      <c r="J1575" s="661"/>
      <c r="K1575" s="658"/>
      <c r="L1575" s="662"/>
      <c r="M1575" s="663"/>
      <c r="N1575" s="664"/>
      <c r="O1575" s="665"/>
      <c r="P1575" s="666"/>
      <c r="Q1575" s="667"/>
      <c r="R1575" s="668"/>
      <c r="S1575" s="665"/>
      <c r="T1575" s="669"/>
      <c r="U1575" s="669"/>
      <c r="V1575" s="665"/>
      <c r="W1575" s="670"/>
      <c r="X1575" s="670"/>
      <c r="Y1575" s="671"/>
      <c r="Z1575" s="671"/>
      <c r="AA1575" s="672"/>
      <c r="AB1575" s="673"/>
      <c r="AC1575" s="673"/>
      <c r="AD1575" s="673"/>
      <c r="AE1575" s="673"/>
      <c r="AF1575" s="673"/>
      <c r="AG1575" s="673"/>
      <c r="AH1575" s="673"/>
      <c r="AI1575" s="673"/>
      <c r="AJ1575" s="673"/>
      <c r="AK1575" s="673"/>
      <c r="AL1575" s="673"/>
      <c r="AM1575" s="673"/>
      <c r="AN1575" s="673"/>
      <c r="AO1575" s="673"/>
      <c r="AP1575" s="673"/>
      <c r="AQ1575" s="673"/>
      <c r="AR1575" s="673"/>
      <c r="AS1575" s="673"/>
    </row>
    <row r="1576">
      <c r="A1576" s="653"/>
      <c r="B1576" s="654"/>
      <c r="C1576" s="655"/>
      <c r="D1576" s="656"/>
      <c r="E1576" s="657"/>
      <c r="F1576" s="658"/>
      <c r="G1576" s="659"/>
      <c r="H1576" s="660"/>
      <c r="I1576" s="659"/>
      <c r="J1576" s="661"/>
      <c r="K1576" s="658"/>
      <c r="L1576" s="662"/>
      <c r="M1576" s="663"/>
      <c r="N1576" s="664"/>
      <c r="O1576" s="665"/>
      <c r="P1576" s="666"/>
      <c r="Q1576" s="667"/>
      <c r="R1576" s="668"/>
      <c r="S1576" s="665"/>
      <c r="T1576" s="669"/>
      <c r="U1576" s="669"/>
      <c r="V1576" s="665"/>
      <c r="W1576" s="670"/>
      <c r="X1576" s="670"/>
      <c r="Y1576" s="671"/>
      <c r="Z1576" s="671"/>
      <c r="AA1576" s="672"/>
      <c r="AB1576" s="673"/>
      <c r="AC1576" s="673"/>
      <c r="AD1576" s="673"/>
      <c r="AE1576" s="673"/>
      <c r="AF1576" s="673"/>
      <c r="AG1576" s="673"/>
      <c r="AH1576" s="673"/>
      <c r="AI1576" s="673"/>
      <c r="AJ1576" s="673"/>
      <c r="AK1576" s="673"/>
      <c r="AL1576" s="673"/>
      <c r="AM1576" s="673"/>
      <c r="AN1576" s="673"/>
      <c r="AO1576" s="673"/>
      <c r="AP1576" s="673"/>
      <c r="AQ1576" s="673"/>
      <c r="AR1576" s="673"/>
      <c r="AS1576" s="673"/>
    </row>
    <row r="1577">
      <c r="A1577" s="653"/>
      <c r="B1577" s="654"/>
      <c r="C1577" s="655"/>
      <c r="D1577" s="656"/>
      <c r="E1577" s="657"/>
      <c r="F1577" s="658"/>
      <c r="G1577" s="659"/>
      <c r="H1577" s="660"/>
      <c r="I1577" s="659"/>
      <c r="J1577" s="661"/>
      <c r="K1577" s="658"/>
      <c r="L1577" s="662"/>
      <c r="M1577" s="663"/>
      <c r="N1577" s="664"/>
      <c r="O1577" s="665"/>
      <c r="P1577" s="666"/>
      <c r="Q1577" s="667"/>
      <c r="R1577" s="668"/>
      <c r="S1577" s="665"/>
      <c r="T1577" s="669"/>
      <c r="U1577" s="669"/>
      <c r="V1577" s="665"/>
      <c r="W1577" s="670"/>
      <c r="X1577" s="670"/>
      <c r="Y1577" s="671"/>
      <c r="Z1577" s="671"/>
      <c r="AA1577" s="672"/>
      <c r="AB1577" s="673"/>
      <c r="AC1577" s="673"/>
      <c r="AD1577" s="673"/>
      <c r="AE1577" s="673"/>
      <c r="AF1577" s="673"/>
      <c r="AG1577" s="673"/>
      <c r="AH1577" s="673"/>
      <c r="AI1577" s="673"/>
      <c r="AJ1577" s="673"/>
      <c r="AK1577" s="673"/>
      <c r="AL1577" s="673"/>
      <c r="AM1577" s="673"/>
      <c r="AN1577" s="673"/>
      <c r="AO1577" s="673"/>
      <c r="AP1577" s="673"/>
      <c r="AQ1577" s="673"/>
      <c r="AR1577" s="673"/>
      <c r="AS1577" s="673"/>
    </row>
    <row r="1578">
      <c r="A1578" s="653"/>
      <c r="B1578" s="654"/>
      <c r="C1578" s="655"/>
      <c r="D1578" s="656"/>
      <c r="E1578" s="657"/>
      <c r="F1578" s="658"/>
      <c r="G1578" s="659"/>
      <c r="H1578" s="660"/>
      <c r="I1578" s="659"/>
      <c r="J1578" s="661"/>
      <c r="K1578" s="658"/>
      <c r="L1578" s="662"/>
      <c r="M1578" s="663"/>
      <c r="N1578" s="664"/>
      <c r="O1578" s="665"/>
      <c r="P1578" s="666"/>
      <c r="Q1578" s="667"/>
      <c r="R1578" s="668"/>
      <c r="S1578" s="665"/>
      <c r="T1578" s="669"/>
      <c r="U1578" s="669"/>
      <c r="V1578" s="665"/>
      <c r="W1578" s="670"/>
      <c r="X1578" s="670"/>
      <c r="Y1578" s="671"/>
      <c r="Z1578" s="671"/>
      <c r="AA1578" s="672"/>
      <c r="AB1578" s="673"/>
      <c r="AC1578" s="673"/>
      <c r="AD1578" s="673"/>
      <c r="AE1578" s="673"/>
      <c r="AF1578" s="673"/>
      <c r="AG1578" s="673"/>
      <c r="AH1578" s="673"/>
      <c r="AI1578" s="673"/>
      <c r="AJ1578" s="673"/>
      <c r="AK1578" s="673"/>
      <c r="AL1578" s="673"/>
      <c r="AM1578" s="673"/>
      <c r="AN1578" s="673"/>
      <c r="AO1578" s="673"/>
      <c r="AP1578" s="673"/>
      <c r="AQ1578" s="673"/>
      <c r="AR1578" s="673"/>
      <c r="AS1578" s="673"/>
    </row>
    <row r="1579">
      <c r="A1579" s="653"/>
      <c r="B1579" s="654"/>
      <c r="C1579" s="655"/>
      <c r="D1579" s="656"/>
      <c r="E1579" s="657"/>
      <c r="F1579" s="658"/>
      <c r="G1579" s="659"/>
      <c r="H1579" s="660"/>
      <c r="I1579" s="659"/>
      <c r="J1579" s="661"/>
      <c r="K1579" s="658"/>
      <c r="L1579" s="662"/>
      <c r="M1579" s="663"/>
      <c r="N1579" s="664"/>
      <c r="O1579" s="665"/>
      <c r="P1579" s="666"/>
      <c r="Q1579" s="667"/>
      <c r="R1579" s="668"/>
      <c r="S1579" s="665"/>
      <c r="T1579" s="669"/>
      <c r="U1579" s="669"/>
      <c r="V1579" s="665"/>
      <c r="W1579" s="670"/>
      <c r="X1579" s="670"/>
      <c r="Y1579" s="671"/>
      <c r="Z1579" s="671"/>
      <c r="AA1579" s="672"/>
      <c r="AB1579" s="673"/>
      <c r="AC1579" s="673"/>
      <c r="AD1579" s="673"/>
      <c r="AE1579" s="673"/>
      <c r="AF1579" s="673"/>
      <c r="AG1579" s="673"/>
      <c r="AH1579" s="673"/>
      <c r="AI1579" s="673"/>
      <c r="AJ1579" s="673"/>
      <c r="AK1579" s="673"/>
      <c r="AL1579" s="673"/>
      <c r="AM1579" s="673"/>
      <c r="AN1579" s="673"/>
      <c r="AO1579" s="673"/>
      <c r="AP1579" s="673"/>
      <c r="AQ1579" s="673"/>
      <c r="AR1579" s="673"/>
      <c r="AS1579" s="673"/>
    </row>
    <row r="1580">
      <c r="A1580" s="653"/>
      <c r="B1580" s="654"/>
      <c r="C1580" s="655"/>
      <c r="D1580" s="656"/>
      <c r="E1580" s="657"/>
      <c r="F1580" s="658"/>
      <c r="G1580" s="659"/>
      <c r="H1580" s="660"/>
      <c r="I1580" s="659"/>
      <c r="J1580" s="661"/>
      <c r="K1580" s="658"/>
      <c r="L1580" s="662"/>
      <c r="M1580" s="663"/>
      <c r="N1580" s="664"/>
      <c r="O1580" s="665"/>
      <c r="P1580" s="666"/>
      <c r="Q1580" s="667"/>
      <c r="R1580" s="668"/>
      <c r="S1580" s="665"/>
      <c r="T1580" s="669"/>
      <c r="U1580" s="669"/>
      <c r="V1580" s="665"/>
      <c r="W1580" s="670"/>
      <c r="X1580" s="670"/>
      <c r="Y1580" s="671"/>
      <c r="Z1580" s="671"/>
      <c r="AA1580" s="672"/>
      <c r="AB1580" s="673"/>
      <c r="AC1580" s="673"/>
      <c r="AD1580" s="673"/>
      <c r="AE1580" s="673"/>
      <c r="AF1580" s="673"/>
      <c r="AG1580" s="673"/>
      <c r="AH1580" s="673"/>
      <c r="AI1580" s="673"/>
      <c r="AJ1580" s="673"/>
      <c r="AK1580" s="673"/>
      <c r="AL1580" s="673"/>
      <c r="AM1580" s="673"/>
      <c r="AN1580" s="673"/>
      <c r="AO1580" s="673"/>
      <c r="AP1580" s="673"/>
      <c r="AQ1580" s="673"/>
      <c r="AR1580" s="673"/>
      <c r="AS1580" s="673"/>
    </row>
    <row r="1581">
      <c r="A1581" s="653"/>
      <c r="B1581" s="654"/>
      <c r="C1581" s="655"/>
      <c r="D1581" s="656"/>
      <c r="E1581" s="657"/>
      <c r="F1581" s="658"/>
      <c r="G1581" s="659"/>
      <c r="H1581" s="660"/>
      <c r="I1581" s="659"/>
      <c r="J1581" s="661"/>
      <c r="K1581" s="658"/>
      <c r="L1581" s="662"/>
      <c r="M1581" s="663"/>
      <c r="N1581" s="664"/>
      <c r="O1581" s="665"/>
      <c r="P1581" s="666"/>
      <c r="Q1581" s="667"/>
      <c r="R1581" s="668"/>
      <c r="S1581" s="665"/>
      <c r="T1581" s="669"/>
      <c r="U1581" s="669"/>
      <c r="V1581" s="665"/>
      <c r="W1581" s="670"/>
      <c r="X1581" s="670"/>
      <c r="Y1581" s="671"/>
      <c r="Z1581" s="671"/>
      <c r="AA1581" s="672"/>
      <c r="AB1581" s="673"/>
      <c r="AC1581" s="673"/>
      <c r="AD1581" s="673"/>
      <c r="AE1581" s="673"/>
      <c r="AF1581" s="673"/>
      <c r="AG1581" s="673"/>
      <c r="AH1581" s="673"/>
      <c r="AI1581" s="673"/>
      <c r="AJ1581" s="673"/>
      <c r="AK1581" s="673"/>
      <c r="AL1581" s="673"/>
      <c r="AM1581" s="673"/>
      <c r="AN1581" s="673"/>
      <c r="AO1581" s="673"/>
      <c r="AP1581" s="673"/>
      <c r="AQ1581" s="673"/>
      <c r="AR1581" s="673"/>
      <c r="AS1581" s="673"/>
    </row>
    <row r="1582">
      <c r="A1582" s="653"/>
      <c r="B1582" s="654"/>
      <c r="C1582" s="655"/>
      <c r="D1582" s="656"/>
      <c r="E1582" s="657"/>
      <c r="F1582" s="658"/>
      <c r="G1582" s="659"/>
      <c r="H1582" s="660"/>
      <c r="I1582" s="659"/>
      <c r="J1582" s="661"/>
      <c r="K1582" s="658"/>
      <c r="L1582" s="662"/>
      <c r="M1582" s="663"/>
      <c r="N1582" s="664"/>
      <c r="O1582" s="665"/>
      <c r="P1582" s="666"/>
      <c r="Q1582" s="667"/>
      <c r="R1582" s="668"/>
      <c r="S1582" s="665"/>
      <c r="T1582" s="669"/>
      <c r="U1582" s="669"/>
      <c r="V1582" s="665"/>
      <c r="W1582" s="670"/>
      <c r="X1582" s="670"/>
      <c r="Y1582" s="671"/>
      <c r="Z1582" s="671"/>
      <c r="AA1582" s="672"/>
      <c r="AB1582" s="673"/>
      <c r="AC1582" s="673"/>
      <c r="AD1582" s="673"/>
      <c r="AE1582" s="673"/>
      <c r="AF1582" s="673"/>
      <c r="AG1582" s="673"/>
      <c r="AH1582" s="673"/>
      <c r="AI1582" s="673"/>
      <c r="AJ1582" s="673"/>
      <c r="AK1582" s="673"/>
      <c r="AL1582" s="673"/>
      <c r="AM1582" s="673"/>
      <c r="AN1582" s="673"/>
      <c r="AO1582" s="673"/>
      <c r="AP1582" s="673"/>
      <c r="AQ1582" s="673"/>
      <c r="AR1582" s="673"/>
      <c r="AS1582" s="673"/>
    </row>
    <row r="1583">
      <c r="A1583" s="653"/>
      <c r="B1583" s="654"/>
      <c r="C1583" s="655"/>
      <c r="D1583" s="656"/>
      <c r="E1583" s="657"/>
      <c r="F1583" s="658"/>
      <c r="G1583" s="659"/>
      <c r="H1583" s="660"/>
      <c r="I1583" s="659"/>
      <c r="J1583" s="661"/>
      <c r="K1583" s="658"/>
      <c r="L1583" s="662"/>
      <c r="M1583" s="663"/>
      <c r="N1583" s="664"/>
      <c r="O1583" s="665"/>
      <c r="P1583" s="666"/>
      <c r="Q1583" s="667"/>
      <c r="R1583" s="668"/>
      <c r="S1583" s="665"/>
      <c r="T1583" s="669"/>
      <c r="U1583" s="669"/>
      <c r="V1583" s="665"/>
      <c r="W1583" s="670"/>
      <c r="X1583" s="670"/>
      <c r="Y1583" s="671"/>
      <c r="Z1583" s="671"/>
      <c r="AA1583" s="672"/>
      <c r="AB1583" s="673"/>
      <c r="AC1583" s="673"/>
      <c r="AD1583" s="673"/>
      <c r="AE1583" s="673"/>
      <c r="AF1583" s="673"/>
      <c r="AG1583" s="673"/>
      <c r="AH1583" s="673"/>
      <c r="AI1583" s="673"/>
      <c r="AJ1583" s="673"/>
      <c r="AK1583" s="673"/>
      <c r="AL1583" s="673"/>
      <c r="AM1583" s="673"/>
      <c r="AN1583" s="673"/>
      <c r="AO1583" s="673"/>
      <c r="AP1583" s="673"/>
      <c r="AQ1583" s="673"/>
      <c r="AR1583" s="673"/>
      <c r="AS1583" s="673"/>
    </row>
    <row r="1584">
      <c r="A1584" s="653"/>
      <c r="B1584" s="654"/>
      <c r="C1584" s="655"/>
      <c r="D1584" s="656"/>
      <c r="E1584" s="657"/>
      <c r="F1584" s="658"/>
      <c r="G1584" s="659"/>
      <c r="H1584" s="660"/>
      <c r="I1584" s="659"/>
      <c r="J1584" s="661"/>
      <c r="K1584" s="658"/>
      <c r="L1584" s="662"/>
      <c r="M1584" s="663"/>
      <c r="N1584" s="664"/>
      <c r="O1584" s="665"/>
      <c r="P1584" s="666"/>
      <c r="Q1584" s="667"/>
      <c r="R1584" s="668"/>
      <c r="S1584" s="665"/>
      <c r="T1584" s="669"/>
      <c r="U1584" s="669"/>
      <c r="V1584" s="665"/>
      <c r="W1584" s="670"/>
      <c r="X1584" s="670"/>
      <c r="Y1584" s="671"/>
      <c r="Z1584" s="671"/>
      <c r="AA1584" s="672"/>
      <c r="AB1584" s="673"/>
      <c r="AC1584" s="673"/>
      <c r="AD1584" s="673"/>
      <c r="AE1584" s="673"/>
      <c r="AF1584" s="673"/>
      <c r="AG1584" s="673"/>
      <c r="AH1584" s="673"/>
      <c r="AI1584" s="673"/>
      <c r="AJ1584" s="673"/>
      <c r="AK1584" s="673"/>
      <c r="AL1584" s="673"/>
      <c r="AM1584" s="673"/>
      <c r="AN1584" s="673"/>
      <c r="AO1584" s="673"/>
      <c r="AP1584" s="673"/>
      <c r="AQ1584" s="673"/>
      <c r="AR1584" s="673"/>
      <c r="AS1584" s="673"/>
    </row>
    <row r="1585">
      <c r="A1585" s="653"/>
      <c r="B1585" s="654"/>
      <c r="C1585" s="655"/>
      <c r="D1585" s="656"/>
      <c r="E1585" s="657"/>
      <c r="F1585" s="658"/>
      <c r="G1585" s="659"/>
      <c r="H1585" s="660"/>
      <c r="I1585" s="659"/>
      <c r="J1585" s="661"/>
      <c r="K1585" s="658"/>
      <c r="L1585" s="662"/>
      <c r="M1585" s="663"/>
      <c r="N1585" s="664"/>
      <c r="O1585" s="665"/>
      <c r="P1585" s="666"/>
      <c r="Q1585" s="667"/>
      <c r="R1585" s="668"/>
      <c r="S1585" s="665"/>
      <c r="T1585" s="669"/>
      <c r="U1585" s="669"/>
      <c r="V1585" s="665"/>
      <c r="W1585" s="670"/>
      <c r="X1585" s="670"/>
      <c r="Y1585" s="671"/>
      <c r="Z1585" s="671"/>
      <c r="AA1585" s="672"/>
      <c r="AB1585" s="673"/>
      <c r="AC1585" s="673"/>
      <c r="AD1585" s="673"/>
      <c r="AE1585" s="673"/>
      <c r="AF1585" s="673"/>
      <c r="AG1585" s="673"/>
      <c r="AH1585" s="673"/>
      <c r="AI1585" s="673"/>
      <c r="AJ1585" s="673"/>
      <c r="AK1585" s="673"/>
      <c r="AL1585" s="673"/>
      <c r="AM1585" s="673"/>
      <c r="AN1585" s="673"/>
      <c r="AO1585" s="673"/>
      <c r="AP1585" s="673"/>
      <c r="AQ1585" s="673"/>
      <c r="AR1585" s="673"/>
      <c r="AS1585" s="673"/>
    </row>
    <row r="1586">
      <c r="A1586" s="653"/>
      <c r="B1586" s="654"/>
      <c r="C1586" s="655"/>
      <c r="D1586" s="656"/>
      <c r="E1586" s="657"/>
      <c r="F1586" s="658"/>
      <c r="G1586" s="659"/>
      <c r="H1586" s="660"/>
      <c r="I1586" s="659"/>
      <c r="J1586" s="661"/>
      <c r="K1586" s="658"/>
      <c r="L1586" s="662"/>
      <c r="M1586" s="663"/>
      <c r="N1586" s="664"/>
      <c r="O1586" s="665"/>
      <c r="P1586" s="666"/>
      <c r="Q1586" s="667"/>
      <c r="R1586" s="668"/>
      <c r="S1586" s="665"/>
      <c r="T1586" s="669"/>
      <c r="U1586" s="669"/>
      <c r="V1586" s="665"/>
      <c r="W1586" s="670"/>
      <c r="X1586" s="670"/>
      <c r="Y1586" s="671"/>
      <c r="Z1586" s="671"/>
      <c r="AA1586" s="672"/>
      <c r="AB1586" s="673"/>
      <c r="AC1586" s="673"/>
      <c r="AD1586" s="673"/>
      <c r="AE1586" s="673"/>
      <c r="AF1586" s="673"/>
      <c r="AG1586" s="673"/>
      <c r="AH1586" s="673"/>
      <c r="AI1586" s="673"/>
      <c r="AJ1586" s="673"/>
      <c r="AK1586" s="673"/>
      <c r="AL1586" s="673"/>
      <c r="AM1586" s="673"/>
      <c r="AN1586" s="673"/>
      <c r="AO1586" s="673"/>
      <c r="AP1586" s="673"/>
      <c r="AQ1586" s="673"/>
      <c r="AR1586" s="673"/>
      <c r="AS1586" s="673"/>
    </row>
    <row r="1587">
      <c r="A1587" s="653"/>
      <c r="B1587" s="654"/>
      <c r="C1587" s="655"/>
      <c r="D1587" s="656"/>
      <c r="E1587" s="657"/>
      <c r="F1587" s="658"/>
      <c r="G1587" s="659"/>
      <c r="H1587" s="660"/>
      <c r="I1587" s="659"/>
      <c r="J1587" s="661"/>
      <c r="K1587" s="658"/>
      <c r="L1587" s="662"/>
      <c r="M1587" s="663"/>
      <c r="N1587" s="664"/>
      <c r="O1587" s="665"/>
      <c r="P1587" s="666"/>
      <c r="Q1587" s="667"/>
      <c r="R1587" s="668"/>
      <c r="S1587" s="665"/>
      <c r="T1587" s="669"/>
      <c r="U1587" s="669"/>
      <c r="V1587" s="665"/>
      <c r="W1587" s="670"/>
      <c r="X1587" s="670"/>
      <c r="Y1587" s="671"/>
      <c r="Z1587" s="671"/>
      <c r="AA1587" s="672"/>
      <c r="AB1587" s="673"/>
      <c r="AC1587" s="673"/>
      <c r="AD1587" s="673"/>
      <c r="AE1587" s="673"/>
      <c r="AF1587" s="673"/>
      <c r="AG1587" s="673"/>
      <c r="AH1587" s="673"/>
      <c r="AI1587" s="673"/>
      <c r="AJ1587" s="673"/>
      <c r="AK1587" s="673"/>
      <c r="AL1587" s="673"/>
      <c r="AM1587" s="673"/>
      <c r="AN1587" s="673"/>
      <c r="AO1587" s="673"/>
      <c r="AP1587" s="673"/>
      <c r="AQ1587" s="673"/>
      <c r="AR1587" s="673"/>
      <c r="AS1587" s="673"/>
    </row>
    <row r="1588">
      <c r="A1588" s="653"/>
      <c r="B1588" s="654"/>
      <c r="C1588" s="655"/>
      <c r="D1588" s="656"/>
      <c r="E1588" s="657"/>
      <c r="F1588" s="658"/>
      <c r="G1588" s="659"/>
      <c r="H1588" s="660"/>
      <c r="I1588" s="659"/>
      <c r="J1588" s="661"/>
      <c r="K1588" s="658"/>
      <c r="L1588" s="662"/>
      <c r="M1588" s="663"/>
      <c r="N1588" s="664"/>
      <c r="O1588" s="665"/>
      <c r="P1588" s="666"/>
      <c r="Q1588" s="667"/>
      <c r="R1588" s="668"/>
      <c r="S1588" s="665"/>
      <c r="T1588" s="669"/>
      <c r="U1588" s="669"/>
      <c r="V1588" s="665"/>
      <c r="W1588" s="670"/>
      <c r="X1588" s="670"/>
      <c r="Y1588" s="671"/>
      <c r="Z1588" s="671"/>
      <c r="AA1588" s="672"/>
      <c r="AB1588" s="673"/>
      <c r="AC1588" s="673"/>
      <c r="AD1588" s="673"/>
      <c r="AE1588" s="673"/>
      <c r="AF1588" s="673"/>
      <c r="AG1588" s="673"/>
      <c r="AH1588" s="673"/>
      <c r="AI1588" s="673"/>
      <c r="AJ1588" s="673"/>
      <c r="AK1588" s="673"/>
      <c r="AL1588" s="673"/>
      <c r="AM1588" s="673"/>
      <c r="AN1588" s="673"/>
      <c r="AO1588" s="673"/>
      <c r="AP1588" s="673"/>
      <c r="AQ1588" s="673"/>
      <c r="AR1588" s="673"/>
      <c r="AS1588" s="673"/>
    </row>
    <row r="1589">
      <c r="A1589" s="653"/>
      <c r="B1589" s="654"/>
      <c r="C1589" s="655"/>
      <c r="D1589" s="656"/>
      <c r="E1589" s="657"/>
      <c r="F1589" s="658"/>
      <c r="G1589" s="659"/>
      <c r="H1589" s="660"/>
      <c r="I1589" s="659"/>
      <c r="J1589" s="661"/>
      <c r="K1589" s="658"/>
      <c r="L1589" s="662"/>
      <c r="M1589" s="663"/>
      <c r="N1589" s="664"/>
      <c r="O1589" s="665"/>
      <c r="P1589" s="666"/>
      <c r="Q1589" s="667"/>
      <c r="R1589" s="668"/>
      <c r="S1589" s="665"/>
      <c r="T1589" s="669"/>
      <c r="U1589" s="669"/>
      <c r="V1589" s="665"/>
      <c r="W1589" s="670"/>
      <c r="X1589" s="670"/>
      <c r="Y1589" s="671"/>
      <c r="Z1589" s="671"/>
      <c r="AA1589" s="672"/>
      <c r="AB1589" s="673"/>
      <c r="AC1589" s="673"/>
      <c r="AD1589" s="673"/>
      <c r="AE1589" s="673"/>
      <c r="AF1589" s="673"/>
      <c r="AG1589" s="673"/>
      <c r="AH1589" s="673"/>
      <c r="AI1589" s="673"/>
      <c r="AJ1589" s="673"/>
      <c r="AK1589" s="673"/>
      <c r="AL1589" s="673"/>
      <c r="AM1589" s="673"/>
      <c r="AN1589" s="673"/>
      <c r="AO1589" s="673"/>
      <c r="AP1589" s="673"/>
      <c r="AQ1589" s="673"/>
      <c r="AR1589" s="673"/>
      <c r="AS1589" s="673"/>
    </row>
    <row r="1590">
      <c r="A1590" s="653"/>
      <c r="B1590" s="654"/>
      <c r="C1590" s="655"/>
      <c r="D1590" s="656"/>
      <c r="E1590" s="657"/>
      <c r="F1590" s="658"/>
      <c r="G1590" s="659"/>
      <c r="H1590" s="660"/>
      <c r="I1590" s="659"/>
      <c r="J1590" s="661"/>
      <c r="K1590" s="658"/>
      <c r="L1590" s="662"/>
      <c r="M1590" s="663"/>
      <c r="N1590" s="664"/>
      <c r="O1590" s="665"/>
      <c r="P1590" s="666"/>
      <c r="Q1590" s="667"/>
      <c r="R1590" s="668"/>
      <c r="S1590" s="665"/>
      <c r="T1590" s="669"/>
      <c r="U1590" s="669"/>
      <c r="V1590" s="665"/>
      <c r="W1590" s="670"/>
      <c r="X1590" s="670"/>
      <c r="Y1590" s="671"/>
      <c r="Z1590" s="671"/>
      <c r="AA1590" s="672"/>
      <c r="AB1590" s="673"/>
      <c r="AC1590" s="673"/>
      <c r="AD1590" s="673"/>
      <c r="AE1590" s="673"/>
      <c r="AF1590" s="673"/>
      <c r="AG1590" s="673"/>
      <c r="AH1590" s="673"/>
      <c r="AI1590" s="673"/>
      <c r="AJ1590" s="673"/>
      <c r="AK1590" s="673"/>
      <c r="AL1590" s="673"/>
      <c r="AM1590" s="673"/>
      <c r="AN1590" s="673"/>
      <c r="AO1590" s="673"/>
      <c r="AP1590" s="673"/>
      <c r="AQ1590" s="673"/>
      <c r="AR1590" s="673"/>
      <c r="AS1590" s="673"/>
    </row>
    <row r="1591">
      <c r="A1591" s="653"/>
      <c r="B1591" s="654"/>
      <c r="C1591" s="655"/>
      <c r="D1591" s="656"/>
      <c r="E1591" s="657"/>
      <c r="F1591" s="658"/>
      <c r="G1591" s="659"/>
      <c r="H1591" s="660"/>
      <c r="I1591" s="659"/>
      <c r="J1591" s="661"/>
      <c r="K1591" s="658"/>
      <c r="L1591" s="662"/>
      <c r="M1591" s="663"/>
      <c r="N1591" s="664"/>
      <c r="O1591" s="665"/>
      <c r="P1591" s="666"/>
      <c r="Q1591" s="667"/>
      <c r="R1591" s="668"/>
      <c r="S1591" s="665"/>
      <c r="T1591" s="669"/>
      <c r="U1591" s="669"/>
      <c r="V1591" s="665"/>
      <c r="W1591" s="670"/>
      <c r="X1591" s="670"/>
      <c r="Y1591" s="671"/>
      <c r="Z1591" s="671"/>
      <c r="AA1591" s="672"/>
      <c r="AB1591" s="673"/>
      <c r="AC1591" s="673"/>
      <c r="AD1591" s="673"/>
      <c r="AE1591" s="673"/>
      <c r="AF1591" s="673"/>
      <c r="AG1591" s="673"/>
      <c r="AH1591" s="673"/>
      <c r="AI1591" s="673"/>
      <c r="AJ1591" s="673"/>
      <c r="AK1591" s="673"/>
      <c r="AL1591" s="673"/>
      <c r="AM1591" s="673"/>
      <c r="AN1591" s="673"/>
      <c r="AO1591" s="673"/>
      <c r="AP1591" s="673"/>
      <c r="AQ1591" s="673"/>
      <c r="AR1591" s="673"/>
      <c r="AS1591" s="673"/>
    </row>
    <row r="1592">
      <c r="A1592" s="653"/>
      <c r="B1592" s="654"/>
      <c r="C1592" s="655"/>
      <c r="D1592" s="656"/>
      <c r="E1592" s="657"/>
      <c r="F1592" s="658"/>
      <c r="G1592" s="659"/>
      <c r="H1592" s="660"/>
      <c r="I1592" s="659"/>
      <c r="J1592" s="661"/>
      <c r="K1592" s="658"/>
      <c r="L1592" s="662"/>
      <c r="M1592" s="663"/>
      <c r="N1592" s="664"/>
      <c r="O1592" s="665"/>
      <c r="P1592" s="666"/>
      <c r="Q1592" s="667"/>
      <c r="R1592" s="668"/>
      <c r="S1592" s="665"/>
      <c r="T1592" s="669"/>
      <c r="U1592" s="669"/>
      <c r="V1592" s="665"/>
      <c r="W1592" s="670"/>
      <c r="X1592" s="670"/>
      <c r="Y1592" s="671"/>
      <c r="Z1592" s="671"/>
      <c r="AA1592" s="672"/>
      <c r="AB1592" s="673"/>
      <c r="AC1592" s="673"/>
      <c r="AD1592" s="673"/>
      <c r="AE1592" s="673"/>
      <c r="AF1592" s="673"/>
      <c r="AG1592" s="673"/>
      <c r="AH1592" s="673"/>
      <c r="AI1592" s="673"/>
      <c r="AJ1592" s="673"/>
      <c r="AK1592" s="673"/>
      <c r="AL1592" s="673"/>
      <c r="AM1592" s="673"/>
      <c r="AN1592" s="673"/>
      <c r="AO1592" s="673"/>
      <c r="AP1592" s="673"/>
      <c r="AQ1592" s="673"/>
      <c r="AR1592" s="673"/>
      <c r="AS1592" s="673"/>
    </row>
    <row r="1593">
      <c r="A1593" s="653"/>
      <c r="B1593" s="654"/>
      <c r="C1593" s="655"/>
      <c r="D1593" s="656"/>
      <c r="E1593" s="657"/>
      <c r="F1593" s="658"/>
      <c r="G1593" s="659"/>
      <c r="H1593" s="660"/>
      <c r="I1593" s="659"/>
      <c r="J1593" s="661"/>
      <c r="K1593" s="658"/>
      <c r="L1593" s="662"/>
      <c r="M1593" s="663"/>
      <c r="N1593" s="664"/>
      <c r="O1593" s="665"/>
      <c r="P1593" s="666"/>
      <c r="Q1593" s="667"/>
      <c r="R1593" s="668"/>
      <c r="S1593" s="665"/>
      <c r="T1593" s="669"/>
      <c r="U1593" s="669"/>
      <c r="V1593" s="665"/>
      <c r="W1593" s="670"/>
      <c r="X1593" s="670"/>
      <c r="Y1593" s="671"/>
      <c r="Z1593" s="671"/>
      <c r="AA1593" s="672"/>
      <c r="AB1593" s="673"/>
      <c r="AC1593" s="673"/>
      <c r="AD1593" s="673"/>
      <c r="AE1593" s="673"/>
      <c r="AF1593" s="673"/>
      <c r="AG1593" s="673"/>
      <c r="AH1593" s="673"/>
      <c r="AI1593" s="673"/>
      <c r="AJ1593" s="673"/>
      <c r="AK1593" s="673"/>
      <c r="AL1593" s="673"/>
      <c r="AM1593" s="673"/>
      <c r="AN1593" s="673"/>
      <c r="AO1593" s="673"/>
      <c r="AP1593" s="673"/>
      <c r="AQ1593" s="673"/>
      <c r="AR1593" s="673"/>
      <c r="AS1593" s="673"/>
    </row>
    <row r="1594">
      <c r="A1594" s="653"/>
      <c r="B1594" s="654"/>
      <c r="C1594" s="655"/>
      <c r="D1594" s="656"/>
      <c r="E1594" s="657"/>
      <c r="F1594" s="658"/>
      <c r="G1594" s="659"/>
      <c r="H1594" s="660"/>
      <c r="I1594" s="659"/>
      <c r="J1594" s="661"/>
      <c r="K1594" s="658"/>
      <c r="L1594" s="662"/>
      <c r="M1594" s="663"/>
      <c r="N1594" s="664"/>
      <c r="O1594" s="665"/>
      <c r="P1594" s="666"/>
      <c r="Q1594" s="667"/>
      <c r="R1594" s="668"/>
      <c r="S1594" s="665"/>
      <c r="T1594" s="669"/>
      <c r="U1594" s="669"/>
      <c r="V1594" s="665"/>
      <c r="W1594" s="670"/>
      <c r="X1594" s="670"/>
      <c r="Y1594" s="671"/>
      <c r="Z1594" s="671"/>
      <c r="AA1594" s="672"/>
      <c r="AB1594" s="673"/>
      <c r="AC1594" s="673"/>
      <c r="AD1594" s="673"/>
      <c r="AE1594" s="673"/>
      <c r="AF1594" s="673"/>
      <c r="AG1594" s="673"/>
      <c r="AH1594" s="673"/>
      <c r="AI1594" s="673"/>
      <c r="AJ1594" s="673"/>
      <c r="AK1594" s="673"/>
      <c r="AL1594" s="673"/>
      <c r="AM1594" s="673"/>
      <c r="AN1594" s="673"/>
      <c r="AO1594" s="673"/>
      <c r="AP1594" s="673"/>
      <c r="AQ1594" s="673"/>
      <c r="AR1594" s="673"/>
      <c r="AS1594" s="673"/>
    </row>
    <row r="1595">
      <c r="A1595" s="653"/>
      <c r="B1595" s="654"/>
      <c r="C1595" s="655"/>
      <c r="D1595" s="656"/>
      <c r="E1595" s="657"/>
      <c r="F1595" s="658"/>
      <c r="G1595" s="659"/>
      <c r="H1595" s="660"/>
      <c r="I1595" s="659"/>
      <c r="J1595" s="661"/>
      <c r="K1595" s="658"/>
      <c r="L1595" s="662"/>
      <c r="M1595" s="663"/>
      <c r="N1595" s="664"/>
      <c r="O1595" s="665"/>
      <c r="P1595" s="666"/>
      <c r="Q1595" s="667"/>
      <c r="R1595" s="668"/>
      <c r="S1595" s="665"/>
      <c r="T1595" s="669"/>
      <c r="U1595" s="669"/>
      <c r="V1595" s="665"/>
      <c r="W1595" s="670"/>
      <c r="X1595" s="670"/>
      <c r="Y1595" s="671"/>
      <c r="Z1595" s="671"/>
      <c r="AA1595" s="672"/>
      <c r="AB1595" s="673"/>
      <c r="AC1595" s="673"/>
      <c r="AD1595" s="673"/>
      <c r="AE1595" s="673"/>
      <c r="AF1595" s="673"/>
      <c r="AG1595" s="673"/>
      <c r="AH1595" s="673"/>
      <c r="AI1595" s="673"/>
      <c r="AJ1595" s="673"/>
      <c r="AK1595" s="673"/>
      <c r="AL1595" s="673"/>
      <c r="AM1595" s="673"/>
      <c r="AN1595" s="673"/>
      <c r="AO1595" s="673"/>
      <c r="AP1595" s="673"/>
      <c r="AQ1595" s="673"/>
      <c r="AR1595" s="673"/>
      <c r="AS1595" s="673"/>
    </row>
    <row r="1596">
      <c r="A1596" s="653"/>
      <c r="B1596" s="654"/>
      <c r="C1596" s="655"/>
      <c r="D1596" s="656"/>
      <c r="E1596" s="657"/>
      <c r="F1596" s="658"/>
      <c r="G1596" s="659"/>
      <c r="H1596" s="660"/>
      <c r="I1596" s="659"/>
      <c r="J1596" s="661"/>
      <c r="K1596" s="658"/>
      <c r="L1596" s="662"/>
      <c r="M1596" s="663"/>
      <c r="N1596" s="664"/>
      <c r="O1596" s="665"/>
      <c r="P1596" s="666"/>
      <c r="Q1596" s="667"/>
      <c r="R1596" s="668"/>
      <c r="S1596" s="665"/>
      <c r="T1596" s="669"/>
      <c r="U1596" s="669"/>
      <c r="V1596" s="665"/>
      <c r="W1596" s="670"/>
      <c r="X1596" s="670"/>
      <c r="Y1596" s="671"/>
      <c r="Z1596" s="671"/>
      <c r="AA1596" s="672"/>
      <c r="AB1596" s="673"/>
      <c r="AC1596" s="673"/>
      <c r="AD1596" s="673"/>
      <c r="AE1596" s="673"/>
      <c r="AF1596" s="673"/>
      <c r="AG1596" s="673"/>
      <c r="AH1596" s="673"/>
      <c r="AI1596" s="673"/>
      <c r="AJ1596" s="673"/>
      <c r="AK1596" s="673"/>
      <c r="AL1596" s="673"/>
      <c r="AM1596" s="673"/>
      <c r="AN1596" s="673"/>
      <c r="AO1596" s="673"/>
      <c r="AP1596" s="673"/>
      <c r="AQ1596" s="673"/>
      <c r="AR1596" s="673"/>
      <c r="AS1596" s="673"/>
    </row>
    <row r="1597">
      <c r="A1597" s="653"/>
      <c r="B1597" s="654"/>
      <c r="C1597" s="655"/>
      <c r="D1597" s="656"/>
      <c r="E1597" s="657"/>
      <c r="F1597" s="658"/>
      <c r="G1597" s="659"/>
      <c r="H1597" s="660"/>
      <c r="I1597" s="659"/>
      <c r="J1597" s="661"/>
      <c r="K1597" s="658"/>
      <c r="L1597" s="662"/>
      <c r="M1597" s="663"/>
      <c r="N1597" s="664"/>
      <c r="O1597" s="665"/>
      <c r="P1597" s="666"/>
      <c r="Q1597" s="667"/>
      <c r="R1597" s="668"/>
      <c r="S1597" s="665"/>
      <c r="T1597" s="669"/>
      <c r="U1597" s="669"/>
      <c r="V1597" s="665"/>
      <c r="W1597" s="670"/>
      <c r="X1597" s="670"/>
      <c r="Y1597" s="671"/>
      <c r="Z1597" s="671"/>
      <c r="AA1597" s="672"/>
      <c r="AB1597" s="673"/>
      <c r="AC1597" s="673"/>
      <c r="AD1597" s="673"/>
      <c r="AE1597" s="673"/>
      <c r="AF1597" s="673"/>
      <c r="AG1597" s="673"/>
      <c r="AH1597" s="673"/>
      <c r="AI1597" s="673"/>
      <c r="AJ1597" s="673"/>
      <c r="AK1597" s="673"/>
      <c r="AL1597" s="673"/>
      <c r="AM1597" s="673"/>
      <c r="AN1597" s="673"/>
      <c r="AO1597" s="673"/>
      <c r="AP1597" s="673"/>
      <c r="AQ1597" s="673"/>
      <c r="AR1597" s="673"/>
      <c r="AS1597" s="673"/>
    </row>
    <row r="1598">
      <c r="A1598" s="653"/>
      <c r="B1598" s="654"/>
      <c r="C1598" s="655"/>
      <c r="D1598" s="656"/>
      <c r="E1598" s="657"/>
      <c r="F1598" s="658"/>
      <c r="G1598" s="659"/>
      <c r="H1598" s="660"/>
      <c r="I1598" s="659"/>
      <c r="J1598" s="661"/>
      <c r="K1598" s="658"/>
      <c r="L1598" s="662"/>
      <c r="M1598" s="663"/>
      <c r="N1598" s="664"/>
      <c r="O1598" s="665"/>
      <c r="P1598" s="666"/>
      <c r="Q1598" s="667"/>
      <c r="R1598" s="668"/>
      <c r="S1598" s="665"/>
      <c r="T1598" s="669"/>
      <c r="U1598" s="669"/>
      <c r="V1598" s="665"/>
      <c r="W1598" s="670"/>
      <c r="X1598" s="670"/>
      <c r="Y1598" s="671"/>
      <c r="Z1598" s="671"/>
      <c r="AA1598" s="672"/>
      <c r="AB1598" s="673"/>
      <c r="AC1598" s="673"/>
      <c r="AD1598" s="673"/>
      <c r="AE1598" s="673"/>
      <c r="AF1598" s="673"/>
      <c r="AG1598" s="673"/>
      <c r="AH1598" s="673"/>
      <c r="AI1598" s="673"/>
      <c r="AJ1598" s="673"/>
      <c r="AK1598" s="673"/>
      <c r="AL1598" s="673"/>
      <c r="AM1598" s="673"/>
      <c r="AN1598" s="673"/>
      <c r="AO1598" s="673"/>
      <c r="AP1598" s="673"/>
      <c r="AQ1598" s="673"/>
      <c r="AR1598" s="673"/>
      <c r="AS1598" s="673"/>
    </row>
    <row r="1599">
      <c r="A1599" s="653"/>
      <c r="B1599" s="654"/>
      <c r="C1599" s="655"/>
      <c r="D1599" s="656"/>
      <c r="E1599" s="657"/>
      <c r="F1599" s="658"/>
      <c r="G1599" s="659"/>
      <c r="H1599" s="660"/>
      <c r="I1599" s="659"/>
      <c r="J1599" s="661"/>
      <c r="K1599" s="658"/>
      <c r="L1599" s="662"/>
      <c r="M1599" s="663"/>
      <c r="N1599" s="664"/>
      <c r="O1599" s="665"/>
      <c r="P1599" s="666"/>
      <c r="Q1599" s="667"/>
      <c r="R1599" s="668"/>
      <c r="S1599" s="665"/>
      <c r="T1599" s="669"/>
      <c r="U1599" s="669"/>
      <c r="V1599" s="665"/>
      <c r="W1599" s="670"/>
      <c r="X1599" s="670"/>
      <c r="Y1599" s="671"/>
      <c r="Z1599" s="671"/>
      <c r="AA1599" s="672"/>
      <c r="AB1599" s="673"/>
      <c r="AC1599" s="673"/>
      <c r="AD1599" s="673"/>
      <c r="AE1599" s="673"/>
      <c r="AF1599" s="673"/>
      <c r="AG1599" s="673"/>
      <c r="AH1599" s="673"/>
      <c r="AI1599" s="673"/>
      <c r="AJ1599" s="673"/>
      <c r="AK1599" s="673"/>
      <c r="AL1599" s="673"/>
      <c r="AM1599" s="673"/>
      <c r="AN1599" s="673"/>
      <c r="AO1599" s="673"/>
      <c r="AP1599" s="673"/>
      <c r="AQ1599" s="673"/>
      <c r="AR1599" s="673"/>
      <c r="AS1599" s="673"/>
    </row>
    <row r="1600">
      <c r="A1600" s="653"/>
      <c r="B1600" s="654"/>
      <c r="C1600" s="655"/>
      <c r="D1600" s="656"/>
      <c r="E1600" s="657"/>
      <c r="F1600" s="658"/>
      <c r="G1600" s="659"/>
      <c r="H1600" s="660"/>
      <c r="I1600" s="659"/>
      <c r="J1600" s="661"/>
      <c r="K1600" s="658"/>
      <c r="L1600" s="662"/>
      <c r="M1600" s="663"/>
      <c r="N1600" s="664"/>
      <c r="O1600" s="665"/>
      <c r="P1600" s="666"/>
      <c r="Q1600" s="667"/>
      <c r="R1600" s="668"/>
      <c r="S1600" s="665"/>
      <c r="T1600" s="669"/>
      <c r="U1600" s="669"/>
      <c r="V1600" s="665"/>
      <c r="W1600" s="670"/>
      <c r="X1600" s="670"/>
      <c r="Y1600" s="671"/>
      <c r="Z1600" s="671"/>
      <c r="AA1600" s="672"/>
      <c r="AB1600" s="673"/>
      <c r="AC1600" s="673"/>
      <c r="AD1600" s="673"/>
      <c r="AE1600" s="673"/>
      <c r="AF1600" s="673"/>
      <c r="AG1600" s="673"/>
      <c r="AH1600" s="673"/>
      <c r="AI1600" s="673"/>
      <c r="AJ1600" s="673"/>
      <c r="AK1600" s="673"/>
      <c r="AL1600" s="673"/>
      <c r="AM1600" s="673"/>
      <c r="AN1600" s="673"/>
      <c r="AO1600" s="673"/>
      <c r="AP1600" s="673"/>
      <c r="AQ1600" s="673"/>
      <c r="AR1600" s="673"/>
      <c r="AS1600" s="673"/>
    </row>
    <row r="1601">
      <c r="A1601" s="653"/>
      <c r="B1601" s="654"/>
      <c r="C1601" s="655"/>
      <c r="D1601" s="656"/>
      <c r="E1601" s="657"/>
      <c r="F1601" s="658"/>
      <c r="G1601" s="659"/>
      <c r="H1601" s="660"/>
      <c r="I1601" s="659"/>
      <c r="J1601" s="661"/>
      <c r="K1601" s="658"/>
      <c r="L1601" s="662"/>
      <c r="M1601" s="663"/>
      <c r="N1601" s="664"/>
      <c r="O1601" s="665"/>
      <c r="P1601" s="666"/>
      <c r="Q1601" s="667"/>
      <c r="R1601" s="668"/>
      <c r="S1601" s="665"/>
      <c r="T1601" s="669"/>
      <c r="U1601" s="669"/>
      <c r="V1601" s="665"/>
      <c r="W1601" s="670"/>
      <c r="X1601" s="670"/>
      <c r="Y1601" s="671"/>
      <c r="Z1601" s="671"/>
      <c r="AA1601" s="672"/>
      <c r="AB1601" s="673"/>
      <c r="AC1601" s="673"/>
      <c r="AD1601" s="673"/>
      <c r="AE1601" s="673"/>
      <c r="AF1601" s="673"/>
      <c r="AG1601" s="673"/>
      <c r="AH1601" s="673"/>
      <c r="AI1601" s="673"/>
      <c r="AJ1601" s="673"/>
      <c r="AK1601" s="673"/>
      <c r="AL1601" s="673"/>
      <c r="AM1601" s="673"/>
      <c r="AN1601" s="673"/>
      <c r="AO1601" s="673"/>
      <c r="AP1601" s="673"/>
      <c r="AQ1601" s="673"/>
      <c r="AR1601" s="673"/>
      <c r="AS1601" s="673"/>
    </row>
    <row r="1602">
      <c r="A1602" s="653"/>
      <c r="B1602" s="654"/>
      <c r="C1602" s="655"/>
      <c r="D1602" s="656"/>
      <c r="E1602" s="657"/>
      <c r="F1602" s="658"/>
      <c r="G1602" s="659"/>
      <c r="H1602" s="660"/>
      <c r="I1602" s="659"/>
      <c r="J1602" s="661"/>
      <c r="K1602" s="658"/>
      <c r="L1602" s="662"/>
      <c r="M1602" s="663"/>
      <c r="N1602" s="664"/>
      <c r="O1602" s="665"/>
      <c r="P1602" s="666"/>
      <c r="Q1602" s="667"/>
      <c r="R1602" s="668"/>
      <c r="S1602" s="665"/>
      <c r="T1602" s="669"/>
      <c r="U1602" s="669"/>
      <c r="V1602" s="665"/>
      <c r="W1602" s="670"/>
      <c r="X1602" s="670"/>
      <c r="Y1602" s="671"/>
      <c r="Z1602" s="671"/>
      <c r="AA1602" s="672"/>
      <c r="AB1602" s="673"/>
      <c r="AC1602" s="673"/>
      <c r="AD1602" s="673"/>
      <c r="AE1602" s="673"/>
      <c r="AF1602" s="673"/>
      <c r="AG1602" s="673"/>
      <c r="AH1602" s="673"/>
      <c r="AI1602" s="673"/>
      <c r="AJ1602" s="673"/>
      <c r="AK1602" s="673"/>
      <c r="AL1602" s="673"/>
      <c r="AM1602" s="673"/>
      <c r="AN1602" s="673"/>
      <c r="AO1602" s="673"/>
      <c r="AP1602" s="673"/>
      <c r="AQ1602" s="673"/>
      <c r="AR1602" s="673"/>
      <c r="AS1602" s="673"/>
    </row>
    <row r="1603">
      <c r="A1603" s="653"/>
      <c r="B1603" s="654"/>
      <c r="C1603" s="655"/>
      <c r="D1603" s="656"/>
      <c r="E1603" s="657"/>
      <c r="F1603" s="658"/>
      <c r="G1603" s="659"/>
      <c r="H1603" s="660"/>
      <c r="I1603" s="659"/>
      <c r="J1603" s="661"/>
      <c r="K1603" s="658"/>
      <c r="L1603" s="662"/>
      <c r="M1603" s="663"/>
      <c r="N1603" s="664"/>
      <c r="O1603" s="665"/>
      <c r="P1603" s="666"/>
      <c r="Q1603" s="667"/>
      <c r="R1603" s="668"/>
      <c r="S1603" s="665"/>
      <c r="T1603" s="669"/>
      <c r="U1603" s="669"/>
      <c r="V1603" s="665"/>
      <c r="W1603" s="670"/>
      <c r="X1603" s="670"/>
      <c r="Y1603" s="671"/>
      <c r="Z1603" s="671"/>
      <c r="AA1603" s="672"/>
      <c r="AB1603" s="673"/>
      <c r="AC1603" s="673"/>
      <c r="AD1603" s="673"/>
      <c r="AE1603" s="673"/>
      <c r="AF1603" s="673"/>
      <c r="AG1603" s="673"/>
      <c r="AH1603" s="673"/>
      <c r="AI1603" s="673"/>
      <c r="AJ1603" s="673"/>
      <c r="AK1603" s="673"/>
      <c r="AL1603" s="673"/>
      <c r="AM1603" s="673"/>
      <c r="AN1603" s="673"/>
      <c r="AO1603" s="673"/>
      <c r="AP1603" s="673"/>
      <c r="AQ1603" s="673"/>
      <c r="AR1603" s="673"/>
      <c r="AS1603" s="673"/>
    </row>
    <row r="1604">
      <c r="A1604" s="653"/>
      <c r="B1604" s="654"/>
      <c r="C1604" s="655"/>
      <c r="D1604" s="656"/>
      <c r="E1604" s="657"/>
      <c r="F1604" s="658"/>
      <c r="G1604" s="659"/>
      <c r="H1604" s="660"/>
      <c r="I1604" s="659"/>
      <c r="J1604" s="661"/>
      <c r="K1604" s="658"/>
      <c r="L1604" s="662"/>
      <c r="M1604" s="663"/>
      <c r="N1604" s="664"/>
      <c r="O1604" s="665"/>
      <c r="P1604" s="666"/>
      <c r="Q1604" s="667"/>
      <c r="R1604" s="668"/>
      <c r="S1604" s="665"/>
      <c r="T1604" s="669"/>
      <c r="U1604" s="669"/>
      <c r="V1604" s="665"/>
      <c r="W1604" s="670"/>
      <c r="X1604" s="670"/>
      <c r="Y1604" s="671"/>
      <c r="Z1604" s="671"/>
      <c r="AA1604" s="672"/>
      <c r="AB1604" s="673"/>
      <c r="AC1604" s="673"/>
      <c r="AD1604" s="673"/>
      <c r="AE1604" s="673"/>
      <c r="AF1604" s="673"/>
      <c r="AG1604" s="673"/>
      <c r="AH1604" s="673"/>
      <c r="AI1604" s="673"/>
      <c r="AJ1604" s="673"/>
      <c r="AK1604" s="673"/>
      <c r="AL1604" s="673"/>
      <c r="AM1604" s="673"/>
      <c r="AN1604" s="673"/>
      <c r="AO1604" s="673"/>
      <c r="AP1604" s="673"/>
      <c r="AQ1604" s="673"/>
      <c r="AR1604" s="673"/>
      <c r="AS1604" s="673"/>
    </row>
    <row r="1605">
      <c r="A1605" s="653"/>
      <c r="B1605" s="654"/>
      <c r="C1605" s="655"/>
      <c r="D1605" s="656"/>
      <c r="E1605" s="657"/>
      <c r="F1605" s="658"/>
      <c r="G1605" s="659"/>
      <c r="H1605" s="660"/>
      <c r="I1605" s="659"/>
      <c r="J1605" s="661"/>
      <c r="K1605" s="658"/>
      <c r="L1605" s="662"/>
      <c r="M1605" s="663"/>
      <c r="N1605" s="664"/>
      <c r="O1605" s="665"/>
      <c r="P1605" s="666"/>
      <c r="Q1605" s="667"/>
      <c r="R1605" s="668"/>
      <c r="S1605" s="665"/>
      <c r="T1605" s="669"/>
      <c r="U1605" s="669"/>
      <c r="V1605" s="665"/>
      <c r="W1605" s="670"/>
      <c r="X1605" s="670"/>
      <c r="Y1605" s="671"/>
      <c r="Z1605" s="671"/>
      <c r="AA1605" s="672"/>
      <c r="AB1605" s="673"/>
      <c r="AC1605" s="673"/>
      <c r="AD1605" s="673"/>
      <c r="AE1605" s="673"/>
      <c r="AF1605" s="673"/>
      <c r="AG1605" s="673"/>
      <c r="AH1605" s="673"/>
      <c r="AI1605" s="673"/>
      <c r="AJ1605" s="673"/>
      <c r="AK1605" s="673"/>
      <c r="AL1605" s="673"/>
      <c r="AM1605" s="673"/>
      <c r="AN1605" s="673"/>
      <c r="AO1605" s="673"/>
      <c r="AP1605" s="673"/>
      <c r="AQ1605" s="673"/>
      <c r="AR1605" s="673"/>
      <c r="AS1605" s="673"/>
    </row>
    <row r="1606">
      <c r="A1606" s="653"/>
      <c r="B1606" s="654"/>
      <c r="C1606" s="655"/>
      <c r="D1606" s="656"/>
      <c r="E1606" s="657"/>
      <c r="F1606" s="658"/>
      <c r="G1606" s="659"/>
      <c r="H1606" s="660"/>
      <c r="I1606" s="659"/>
      <c r="J1606" s="661"/>
      <c r="K1606" s="658"/>
      <c r="L1606" s="662"/>
      <c r="M1606" s="663"/>
      <c r="N1606" s="664"/>
      <c r="O1606" s="665"/>
      <c r="P1606" s="666"/>
      <c r="Q1606" s="667"/>
      <c r="R1606" s="668"/>
      <c r="S1606" s="665"/>
      <c r="T1606" s="669"/>
      <c r="U1606" s="669"/>
      <c r="V1606" s="665"/>
      <c r="W1606" s="670"/>
      <c r="X1606" s="670"/>
      <c r="Y1606" s="671"/>
      <c r="Z1606" s="671"/>
      <c r="AA1606" s="672"/>
      <c r="AB1606" s="673"/>
      <c r="AC1606" s="673"/>
      <c r="AD1606" s="673"/>
      <c r="AE1606" s="673"/>
      <c r="AF1606" s="673"/>
      <c r="AG1606" s="673"/>
      <c r="AH1606" s="673"/>
      <c r="AI1606" s="673"/>
      <c r="AJ1606" s="673"/>
      <c r="AK1606" s="673"/>
      <c r="AL1606" s="673"/>
      <c r="AM1606" s="673"/>
      <c r="AN1606" s="673"/>
      <c r="AO1606" s="673"/>
      <c r="AP1606" s="673"/>
      <c r="AQ1606" s="673"/>
      <c r="AR1606" s="673"/>
      <c r="AS1606" s="673"/>
    </row>
    <row r="1607">
      <c r="A1607" s="653"/>
      <c r="B1607" s="654"/>
      <c r="C1607" s="655"/>
      <c r="D1607" s="656"/>
      <c r="E1607" s="657"/>
      <c r="F1607" s="658"/>
      <c r="G1607" s="659"/>
      <c r="H1607" s="660"/>
      <c r="I1607" s="659"/>
      <c r="J1607" s="661"/>
      <c r="K1607" s="658"/>
      <c r="L1607" s="662"/>
      <c r="M1607" s="663"/>
      <c r="N1607" s="664"/>
      <c r="O1607" s="665"/>
      <c r="P1607" s="666"/>
      <c r="Q1607" s="667"/>
      <c r="R1607" s="668"/>
      <c r="S1607" s="665"/>
      <c r="T1607" s="669"/>
      <c r="U1607" s="669"/>
      <c r="V1607" s="665"/>
      <c r="W1607" s="670"/>
      <c r="X1607" s="670"/>
      <c r="Y1607" s="671"/>
      <c r="Z1607" s="671"/>
      <c r="AA1607" s="672"/>
      <c r="AB1607" s="673"/>
      <c r="AC1607" s="673"/>
      <c r="AD1607" s="673"/>
      <c r="AE1607" s="673"/>
      <c r="AF1607" s="673"/>
      <c r="AG1607" s="673"/>
      <c r="AH1607" s="673"/>
      <c r="AI1607" s="673"/>
      <c r="AJ1607" s="673"/>
      <c r="AK1607" s="673"/>
      <c r="AL1607" s="673"/>
      <c r="AM1607" s="673"/>
      <c r="AN1607" s="673"/>
      <c r="AO1607" s="673"/>
      <c r="AP1607" s="673"/>
      <c r="AQ1607" s="673"/>
      <c r="AR1607" s="673"/>
      <c r="AS1607" s="673"/>
    </row>
    <row r="1608">
      <c r="A1608" s="653"/>
      <c r="B1608" s="654"/>
      <c r="C1608" s="655"/>
      <c r="D1608" s="656"/>
      <c r="E1608" s="657"/>
      <c r="F1608" s="658"/>
      <c r="G1608" s="659"/>
      <c r="H1608" s="660"/>
      <c r="I1608" s="659"/>
      <c r="J1608" s="661"/>
      <c r="K1608" s="658"/>
      <c r="L1608" s="662"/>
      <c r="M1608" s="663"/>
      <c r="N1608" s="664"/>
      <c r="O1608" s="665"/>
      <c r="P1608" s="666"/>
      <c r="Q1608" s="667"/>
      <c r="R1608" s="668"/>
      <c r="S1608" s="665"/>
      <c r="T1608" s="669"/>
      <c r="U1608" s="669"/>
      <c r="V1608" s="665"/>
      <c r="W1608" s="670"/>
      <c r="X1608" s="670"/>
      <c r="Y1608" s="671"/>
      <c r="Z1608" s="671"/>
      <c r="AA1608" s="672"/>
      <c r="AB1608" s="673"/>
      <c r="AC1608" s="673"/>
      <c r="AD1608" s="673"/>
      <c r="AE1608" s="673"/>
      <c r="AF1608" s="673"/>
      <c r="AG1608" s="673"/>
      <c r="AH1608" s="673"/>
      <c r="AI1608" s="673"/>
      <c r="AJ1608" s="673"/>
      <c r="AK1608" s="673"/>
      <c r="AL1608" s="673"/>
      <c r="AM1608" s="673"/>
      <c r="AN1608" s="673"/>
      <c r="AO1608" s="673"/>
      <c r="AP1608" s="673"/>
      <c r="AQ1608" s="673"/>
      <c r="AR1608" s="673"/>
      <c r="AS1608" s="673"/>
    </row>
    <row r="1609">
      <c r="A1609" s="653"/>
      <c r="B1609" s="654"/>
      <c r="C1609" s="655"/>
      <c r="D1609" s="656"/>
      <c r="E1609" s="657"/>
      <c r="F1609" s="658"/>
      <c r="G1609" s="659"/>
      <c r="H1609" s="660"/>
      <c r="I1609" s="659"/>
      <c r="J1609" s="661"/>
      <c r="K1609" s="658"/>
      <c r="L1609" s="662"/>
      <c r="M1609" s="663"/>
      <c r="N1609" s="664"/>
      <c r="O1609" s="665"/>
      <c r="P1609" s="666"/>
      <c r="Q1609" s="667"/>
      <c r="R1609" s="668"/>
      <c r="S1609" s="665"/>
      <c r="T1609" s="669"/>
      <c r="U1609" s="669"/>
      <c r="V1609" s="665"/>
      <c r="W1609" s="670"/>
      <c r="X1609" s="670"/>
      <c r="Y1609" s="671"/>
      <c r="Z1609" s="671"/>
      <c r="AA1609" s="672"/>
      <c r="AB1609" s="673"/>
      <c r="AC1609" s="673"/>
      <c r="AD1609" s="673"/>
      <c r="AE1609" s="673"/>
      <c r="AF1609" s="673"/>
      <c r="AG1609" s="673"/>
      <c r="AH1609" s="673"/>
      <c r="AI1609" s="673"/>
      <c r="AJ1609" s="673"/>
      <c r="AK1609" s="673"/>
      <c r="AL1609" s="673"/>
      <c r="AM1609" s="673"/>
      <c r="AN1609" s="673"/>
      <c r="AO1609" s="673"/>
      <c r="AP1609" s="673"/>
      <c r="AQ1609" s="673"/>
      <c r="AR1609" s="673"/>
      <c r="AS1609" s="673"/>
    </row>
    <row r="1610">
      <c r="A1610" s="653"/>
      <c r="B1610" s="654"/>
      <c r="C1610" s="655"/>
      <c r="D1610" s="656"/>
      <c r="E1610" s="657"/>
      <c r="F1610" s="658"/>
      <c r="G1610" s="659"/>
      <c r="H1610" s="660"/>
      <c r="I1610" s="659"/>
      <c r="J1610" s="661"/>
      <c r="K1610" s="658"/>
      <c r="L1610" s="662"/>
      <c r="M1610" s="663"/>
      <c r="N1610" s="664"/>
      <c r="O1610" s="665"/>
      <c r="P1610" s="666"/>
      <c r="Q1610" s="667"/>
      <c r="R1610" s="668"/>
      <c r="S1610" s="665"/>
      <c r="T1610" s="669"/>
      <c r="U1610" s="669"/>
      <c r="V1610" s="665"/>
      <c r="W1610" s="670"/>
      <c r="X1610" s="670"/>
      <c r="Y1610" s="671"/>
      <c r="Z1610" s="671"/>
      <c r="AA1610" s="672"/>
      <c r="AB1610" s="673"/>
      <c r="AC1610" s="673"/>
      <c r="AD1610" s="673"/>
      <c r="AE1610" s="673"/>
      <c r="AF1610" s="673"/>
      <c r="AG1610" s="673"/>
      <c r="AH1610" s="673"/>
      <c r="AI1610" s="673"/>
      <c r="AJ1610" s="673"/>
      <c r="AK1610" s="673"/>
      <c r="AL1610" s="673"/>
      <c r="AM1610" s="673"/>
      <c r="AN1610" s="673"/>
      <c r="AO1610" s="673"/>
      <c r="AP1610" s="673"/>
      <c r="AQ1610" s="673"/>
      <c r="AR1610" s="673"/>
      <c r="AS1610" s="673"/>
    </row>
    <row r="1611">
      <c r="A1611" s="653"/>
      <c r="B1611" s="654"/>
      <c r="C1611" s="655"/>
      <c r="D1611" s="656"/>
      <c r="E1611" s="657"/>
      <c r="F1611" s="658"/>
      <c r="G1611" s="659"/>
      <c r="H1611" s="660"/>
      <c r="I1611" s="659"/>
      <c r="J1611" s="661"/>
      <c r="K1611" s="658"/>
      <c r="L1611" s="662"/>
      <c r="M1611" s="663"/>
      <c r="N1611" s="664"/>
      <c r="O1611" s="665"/>
      <c r="P1611" s="666"/>
      <c r="Q1611" s="667"/>
      <c r="R1611" s="668"/>
      <c r="S1611" s="665"/>
      <c r="T1611" s="669"/>
      <c r="U1611" s="669"/>
      <c r="V1611" s="665"/>
      <c r="W1611" s="670"/>
      <c r="X1611" s="670"/>
      <c r="Y1611" s="671"/>
      <c r="Z1611" s="671"/>
      <c r="AA1611" s="672"/>
      <c r="AB1611" s="673"/>
      <c r="AC1611" s="673"/>
      <c r="AD1611" s="673"/>
      <c r="AE1611" s="673"/>
      <c r="AF1611" s="673"/>
      <c r="AG1611" s="673"/>
      <c r="AH1611" s="673"/>
      <c r="AI1611" s="673"/>
      <c r="AJ1611" s="673"/>
      <c r="AK1611" s="673"/>
      <c r="AL1611" s="673"/>
      <c r="AM1611" s="673"/>
      <c r="AN1611" s="673"/>
      <c r="AO1611" s="673"/>
      <c r="AP1611" s="673"/>
      <c r="AQ1611" s="673"/>
      <c r="AR1611" s="673"/>
      <c r="AS1611" s="673"/>
    </row>
    <row r="1612">
      <c r="A1612" s="653"/>
      <c r="B1612" s="654"/>
      <c r="C1612" s="655"/>
      <c r="D1612" s="656"/>
      <c r="E1612" s="657"/>
      <c r="F1612" s="658"/>
      <c r="G1612" s="659"/>
      <c r="H1612" s="660"/>
      <c r="I1612" s="659"/>
      <c r="J1612" s="661"/>
      <c r="K1612" s="658"/>
      <c r="L1612" s="662"/>
      <c r="M1612" s="663"/>
      <c r="N1612" s="664"/>
      <c r="O1612" s="665"/>
      <c r="P1612" s="666"/>
      <c r="Q1612" s="667"/>
      <c r="R1612" s="668"/>
      <c r="S1612" s="665"/>
      <c r="T1612" s="669"/>
      <c r="U1612" s="669"/>
      <c r="V1612" s="665"/>
      <c r="W1612" s="670"/>
      <c r="X1612" s="670"/>
      <c r="Y1612" s="671"/>
      <c r="Z1612" s="671"/>
      <c r="AA1612" s="672"/>
      <c r="AB1612" s="673"/>
      <c r="AC1612" s="673"/>
      <c r="AD1612" s="673"/>
      <c r="AE1612" s="673"/>
      <c r="AF1612" s="673"/>
      <c r="AG1612" s="673"/>
      <c r="AH1612" s="673"/>
      <c r="AI1612" s="673"/>
      <c r="AJ1612" s="673"/>
      <c r="AK1612" s="673"/>
      <c r="AL1612" s="673"/>
      <c r="AM1612" s="673"/>
      <c r="AN1612" s="673"/>
      <c r="AO1612" s="673"/>
      <c r="AP1612" s="673"/>
      <c r="AQ1612" s="673"/>
      <c r="AR1612" s="673"/>
      <c r="AS1612" s="673"/>
    </row>
    <row r="1613">
      <c r="A1613" s="653"/>
      <c r="B1613" s="654"/>
      <c r="C1613" s="655"/>
      <c r="D1613" s="656"/>
      <c r="E1613" s="657"/>
      <c r="F1613" s="658"/>
      <c r="G1613" s="659"/>
      <c r="H1613" s="660"/>
      <c r="I1613" s="659"/>
      <c r="J1613" s="661"/>
      <c r="K1613" s="658"/>
      <c r="L1613" s="662"/>
      <c r="M1613" s="663"/>
      <c r="N1613" s="664"/>
      <c r="O1613" s="665"/>
      <c r="P1613" s="666"/>
      <c r="Q1613" s="667"/>
      <c r="R1613" s="668"/>
      <c r="S1613" s="665"/>
      <c r="T1613" s="669"/>
      <c r="U1613" s="669"/>
      <c r="V1613" s="665"/>
      <c r="W1613" s="670"/>
      <c r="X1613" s="670"/>
      <c r="Y1613" s="671"/>
      <c r="Z1613" s="671"/>
      <c r="AA1613" s="672"/>
      <c r="AB1613" s="673"/>
      <c r="AC1613" s="673"/>
      <c r="AD1613" s="673"/>
      <c r="AE1613" s="673"/>
      <c r="AF1613" s="673"/>
      <c r="AG1613" s="673"/>
      <c r="AH1613" s="673"/>
      <c r="AI1613" s="673"/>
      <c r="AJ1613" s="673"/>
      <c r="AK1613" s="673"/>
      <c r="AL1613" s="673"/>
      <c r="AM1613" s="673"/>
      <c r="AN1613" s="673"/>
      <c r="AO1613" s="673"/>
      <c r="AP1613" s="673"/>
      <c r="AQ1613" s="673"/>
      <c r="AR1613" s="673"/>
      <c r="AS1613" s="673"/>
    </row>
    <row r="1614">
      <c r="A1614" s="653"/>
      <c r="B1614" s="654"/>
      <c r="C1614" s="655"/>
      <c r="D1614" s="656"/>
      <c r="E1614" s="657"/>
      <c r="F1614" s="658"/>
      <c r="G1614" s="659"/>
      <c r="H1614" s="660"/>
      <c r="I1614" s="659"/>
      <c r="J1614" s="661"/>
      <c r="K1614" s="658"/>
      <c r="L1614" s="662"/>
      <c r="M1614" s="663"/>
      <c r="N1614" s="664"/>
      <c r="O1614" s="665"/>
      <c r="P1614" s="666"/>
      <c r="Q1614" s="667"/>
      <c r="R1614" s="668"/>
      <c r="S1614" s="665"/>
      <c r="T1614" s="669"/>
      <c r="U1614" s="669"/>
      <c r="V1614" s="665"/>
      <c r="W1614" s="670"/>
      <c r="X1614" s="670"/>
      <c r="Y1614" s="671"/>
      <c r="Z1614" s="671"/>
      <c r="AA1614" s="672"/>
      <c r="AB1614" s="673"/>
      <c r="AC1614" s="673"/>
      <c r="AD1614" s="673"/>
      <c r="AE1614" s="673"/>
      <c r="AF1614" s="673"/>
      <c r="AG1614" s="673"/>
      <c r="AH1614" s="673"/>
      <c r="AI1614" s="673"/>
      <c r="AJ1614" s="673"/>
      <c r="AK1614" s="673"/>
      <c r="AL1614" s="673"/>
      <c r="AM1614" s="673"/>
      <c r="AN1614" s="673"/>
      <c r="AO1614" s="673"/>
      <c r="AP1614" s="673"/>
      <c r="AQ1614" s="673"/>
      <c r="AR1614" s="673"/>
      <c r="AS1614" s="673"/>
    </row>
    <row r="1615">
      <c r="A1615" s="653"/>
      <c r="B1615" s="654"/>
      <c r="C1615" s="655"/>
      <c r="D1615" s="656"/>
      <c r="E1615" s="657"/>
      <c r="F1615" s="658"/>
      <c r="G1615" s="659"/>
      <c r="H1615" s="660"/>
      <c r="I1615" s="659"/>
      <c r="J1615" s="661"/>
      <c r="K1615" s="658"/>
      <c r="L1615" s="662"/>
      <c r="M1615" s="663"/>
      <c r="N1615" s="664"/>
      <c r="O1615" s="665"/>
      <c r="P1615" s="666"/>
      <c r="Q1615" s="667"/>
      <c r="R1615" s="668"/>
      <c r="S1615" s="665"/>
      <c r="T1615" s="669"/>
      <c r="U1615" s="669"/>
      <c r="V1615" s="665"/>
      <c r="W1615" s="670"/>
      <c r="X1615" s="670"/>
      <c r="Y1615" s="671"/>
      <c r="Z1615" s="671"/>
      <c r="AA1615" s="672"/>
      <c r="AB1615" s="673"/>
      <c r="AC1615" s="673"/>
      <c r="AD1615" s="673"/>
      <c r="AE1615" s="673"/>
      <c r="AF1615" s="673"/>
      <c r="AG1615" s="673"/>
      <c r="AH1615" s="673"/>
      <c r="AI1615" s="673"/>
      <c r="AJ1615" s="673"/>
      <c r="AK1615" s="673"/>
      <c r="AL1615" s="673"/>
      <c r="AM1615" s="673"/>
      <c r="AN1615" s="673"/>
      <c r="AO1615" s="673"/>
      <c r="AP1615" s="673"/>
      <c r="AQ1615" s="673"/>
      <c r="AR1615" s="673"/>
      <c r="AS1615" s="673"/>
    </row>
    <row r="1616">
      <c r="A1616" s="653"/>
      <c r="B1616" s="654"/>
      <c r="C1616" s="655"/>
      <c r="D1616" s="656"/>
      <c r="E1616" s="657"/>
      <c r="F1616" s="658"/>
      <c r="G1616" s="659"/>
      <c r="H1616" s="660"/>
      <c r="I1616" s="659"/>
      <c r="J1616" s="661"/>
      <c r="K1616" s="658"/>
      <c r="L1616" s="662"/>
      <c r="M1616" s="663"/>
      <c r="N1616" s="664"/>
      <c r="O1616" s="665"/>
      <c r="P1616" s="666"/>
      <c r="Q1616" s="667"/>
      <c r="R1616" s="668"/>
      <c r="S1616" s="665"/>
      <c r="T1616" s="669"/>
      <c r="U1616" s="669"/>
      <c r="V1616" s="665"/>
      <c r="W1616" s="670"/>
      <c r="X1616" s="670"/>
      <c r="Y1616" s="671"/>
      <c r="Z1616" s="671"/>
      <c r="AA1616" s="672"/>
      <c r="AB1616" s="673"/>
      <c r="AC1616" s="673"/>
      <c r="AD1616" s="673"/>
      <c r="AE1616" s="673"/>
      <c r="AF1616" s="673"/>
      <c r="AG1616" s="673"/>
      <c r="AH1616" s="673"/>
      <c r="AI1616" s="673"/>
      <c r="AJ1616" s="673"/>
      <c r="AK1616" s="673"/>
      <c r="AL1616" s="673"/>
      <c r="AM1616" s="673"/>
      <c r="AN1616" s="673"/>
      <c r="AO1616" s="673"/>
      <c r="AP1616" s="673"/>
      <c r="AQ1616" s="673"/>
      <c r="AR1616" s="673"/>
      <c r="AS1616" s="673"/>
    </row>
    <row r="1617">
      <c r="A1617" s="653"/>
      <c r="B1617" s="654"/>
      <c r="C1617" s="655"/>
      <c r="D1617" s="656"/>
      <c r="E1617" s="657"/>
      <c r="F1617" s="658"/>
      <c r="G1617" s="659"/>
      <c r="H1617" s="660"/>
      <c r="I1617" s="659"/>
      <c r="J1617" s="661"/>
      <c r="K1617" s="658"/>
      <c r="L1617" s="662"/>
      <c r="M1617" s="663"/>
      <c r="N1617" s="664"/>
      <c r="O1617" s="665"/>
      <c r="P1617" s="666"/>
      <c r="Q1617" s="667"/>
      <c r="R1617" s="668"/>
      <c r="S1617" s="665"/>
      <c r="T1617" s="669"/>
      <c r="U1617" s="669"/>
      <c r="V1617" s="665"/>
      <c r="W1617" s="670"/>
      <c r="X1617" s="670"/>
      <c r="Y1617" s="671"/>
      <c r="Z1617" s="671"/>
      <c r="AA1617" s="672"/>
      <c r="AB1617" s="673"/>
      <c r="AC1617" s="673"/>
      <c r="AD1617" s="673"/>
      <c r="AE1617" s="673"/>
      <c r="AF1617" s="673"/>
      <c r="AG1617" s="673"/>
      <c r="AH1617" s="673"/>
      <c r="AI1617" s="673"/>
      <c r="AJ1617" s="673"/>
      <c r="AK1617" s="673"/>
      <c r="AL1617" s="673"/>
      <c r="AM1617" s="673"/>
      <c r="AN1617" s="673"/>
      <c r="AO1617" s="673"/>
      <c r="AP1617" s="673"/>
      <c r="AQ1617" s="673"/>
      <c r="AR1617" s="673"/>
      <c r="AS1617" s="673"/>
    </row>
    <row r="1618">
      <c r="A1618" s="653"/>
      <c r="B1618" s="654"/>
      <c r="C1618" s="655"/>
      <c r="D1618" s="656"/>
      <c r="E1618" s="657"/>
      <c r="F1618" s="658"/>
      <c r="G1618" s="659"/>
      <c r="H1618" s="660"/>
      <c r="I1618" s="659"/>
      <c r="J1618" s="661"/>
      <c r="K1618" s="658"/>
      <c r="L1618" s="662"/>
      <c r="M1618" s="663"/>
      <c r="N1618" s="664"/>
      <c r="O1618" s="665"/>
      <c r="P1618" s="666"/>
      <c r="Q1618" s="667"/>
      <c r="R1618" s="668"/>
      <c r="S1618" s="665"/>
      <c r="T1618" s="669"/>
      <c r="U1618" s="669"/>
      <c r="V1618" s="665"/>
      <c r="W1618" s="670"/>
      <c r="X1618" s="670"/>
      <c r="Y1618" s="671"/>
      <c r="Z1618" s="671"/>
      <c r="AA1618" s="672"/>
      <c r="AB1618" s="673"/>
      <c r="AC1618" s="673"/>
      <c r="AD1618" s="673"/>
      <c r="AE1618" s="673"/>
      <c r="AF1618" s="673"/>
      <c r="AG1618" s="673"/>
      <c r="AH1618" s="673"/>
      <c r="AI1618" s="673"/>
      <c r="AJ1618" s="673"/>
      <c r="AK1618" s="673"/>
      <c r="AL1618" s="673"/>
      <c r="AM1618" s="673"/>
      <c r="AN1618" s="673"/>
      <c r="AO1618" s="673"/>
      <c r="AP1618" s="673"/>
      <c r="AQ1618" s="673"/>
      <c r="AR1618" s="673"/>
      <c r="AS1618" s="673"/>
    </row>
    <row r="1619">
      <c r="A1619" s="653"/>
      <c r="B1619" s="654"/>
      <c r="C1619" s="655"/>
      <c r="D1619" s="656"/>
      <c r="E1619" s="657"/>
      <c r="F1619" s="658"/>
      <c r="G1619" s="659"/>
      <c r="H1619" s="660"/>
      <c r="I1619" s="659"/>
      <c r="J1619" s="661"/>
      <c r="K1619" s="658"/>
      <c r="L1619" s="662"/>
      <c r="M1619" s="663"/>
      <c r="N1619" s="664"/>
      <c r="O1619" s="665"/>
      <c r="P1619" s="666"/>
      <c r="Q1619" s="667"/>
      <c r="R1619" s="668"/>
      <c r="S1619" s="665"/>
      <c r="T1619" s="669"/>
      <c r="U1619" s="669"/>
      <c r="V1619" s="665"/>
      <c r="W1619" s="670"/>
      <c r="X1619" s="670"/>
      <c r="Y1619" s="671"/>
      <c r="Z1619" s="671"/>
      <c r="AA1619" s="672"/>
      <c r="AB1619" s="673"/>
      <c r="AC1619" s="673"/>
      <c r="AD1619" s="673"/>
      <c r="AE1619" s="673"/>
      <c r="AF1619" s="673"/>
      <c r="AG1619" s="673"/>
      <c r="AH1619" s="673"/>
      <c r="AI1619" s="673"/>
      <c r="AJ1619" s="673"/>
      <c r="AK1619" s="673"/>
      <c r="AL1619" s="673"/>
      <c r="AM1619" s="673"/>
      <c r="AN1619" s="673"/>
      <c r="AO1619" s="673"/>
      <c r="AP1619" s="673"/>
      <c r="AQ1619" s="673"/>
      <c r="AR1619" s="673"/>
      <c r="AS1619" s="673"/>
    </row>
    <row r="1620">
      <c r="A1620" s="653"/>
      <c r="B1620" s="654"/>
      <c r="C1620" s="655"/>
      <c r="D1620" s="656"/>
      <c r="E1620" s="657"/>
      <c r="F1620" s="658"/>
      <c r="G1620" s="659"/>
      <c r="H1620" s="660"/>
      <c r="I1620" s="659"/>
      <c r="J1620" s="661"/>
      <c r="K1620" s="658"/>
      <c r="L1620" s="662"/>
      <c r="M1620" s="663"/>
      <c r="N1620" s="664"/>
      <c r="O1620" s="665"/>
      <c r="P1620" s="666"/>
      <c r="Q1620" s="667"/>
      <c r="R1620" s="668"/>
      <c r="S1620" s="665"/>
      <c r="T1620" s="669"/>
      <c r="U1620" s="669"/>
      <c r="V1620" s="665"/>
      <c r="W1620" s="670"/>
      <c r="X1620" s="670"/>
      <c r="Y1620" s="671"/>
      <c r="Z1620" s="671"/>
      <c r="AA1620" s="672"/>
      <c r="AB1620" s="673"/>
      <c r="AC1620" s="673"/>
      <c r="AD1620" s="673"/>
      <c r="AE1620" s="673"/>
      <c r="AF1620" s="673"/>
      <c r="AG1620" s="673"/>
      <c r="AH1620" s="673"/>
      <c r="AI1620" s="673"/>
      <c r="AJ1620" s="673"/>
      <c r="AK1620" s="673"/>
      <c r="AL1620" s="673"/>
      <c r="AM1620" s="673"/>
      <c r="AN1620" s="673"/>
      <c r="AO1620" s="673"/>
      <c r="AP1620" s="673"/>
      <c r="AQ1620" s="673"/>
      <c r="AR1620" s="673"/>
      <c r="AS1620" s="673"/>
    </row>
    <row r="1621">
      <c r="A1621" s="653"/>
      <c r="B1621" s="654"/>
      <c r="C1621" s="655"/>
      <c r="D1621" s="656"/>
      <c r="E1621" s="657"/>
      <c r="F1621" s="658"/>
      <c r="G1621" s="659"/>
      <c r="H1621" s="660"/>
      <c r="I1621" s="659"/>
      <c r="J1621" s="661"/>
      <c r="K1621" s="658"/>
      <c r="L1621" s="662"/>
      <c r="M1621" s="663"/>
      <c r="N1621" s="664"/>
      <c r="O1621" s="665"/>
      <c r="P1621" s="666"/>
      <c r="Q1621" s="667"/>
      <c r="R1621" s="668"/>
      <c r="S1621" s="665"/>
      <c r="T1621" s="669"/>
      <c r="U1621" s="669"/>
      <c r="V1621" s="665"/>
      <c r="W1621" s="670"/>
      <c r="X1621" s="670"/>
      <c r="Y1621" s="671"/>
      <c r="Z1621" s="671"/>
      <c r="AA1621" s="672"/>
      <c r="AB1621" s="673"/>
      <c r="AC1621" s="673"/>
      <c r="AD1621" s="673"/>
      <c r="AE1621" s="673"/>
      <c r="AF1621" s="673"/>
      <c r="AG1621" s="673"/>
      <c r="AH1621" s="673"/>
      <c r="AI1621" s="673"/>
      <c r="AJ1621" s="673"/>
      <c r="AK1621" s="673"/>
      <c r="AL1621" s="673"/>
      <c r="AM1621" s="673"/>
      <c r="AN1621" s="673"/>
      <c r="AO1621" s="673"/>
      <c r="AP1621" s="673"/>
      <c r="AQ1621" s="673"/>
      <c r="AR1621" s="673"/>
      <c r="AS1621" s="673"/>
    </row>
    <row r="1622">
      <c r="A1622" s="653"/>
      <c r="B1622" s="654"/>
      <c r="C1622" s="655"/>
      <c r="D1622" s="656"/>
      <c r="E1622" s="657"/>
      <c r="F1622" s="658"/>
      <c r="G1622" s="659"/>
      <c r="H1622" s="660"/>
      <c r="I1622" s="659"/>
      <c r="J1622" s="661"/>
      <c r="K1622" s="658"/>
      <c r="L1622" s="662"/>
      <c r="M1622" s="663"/>
      <c r="N1622" s="664"/>
      <c r="O1622" s="665"/>
      <c r="P1622" s="666"/>
      <c r="Q1622" s="667"/>
      <c r="R1622" s="668"/>
      <c r="S1622" s="665"/>
      <c r="T1622" s="669"/>
      <c r="U1622" s="669"/>
      <c r="V1622" s="665"/>
      <c r="W1622" s="670"/>
      <c r="X1622" s="670"/>
      <c r="Y1622" s="671"/>
      <c r="Z1622" s="671"/>
      <c r="AA1622" s="672"/>
      <c r="AB1622" s="673"/>
      <c r="AC1622" s="673"/>
      <c r="AD1622" s="673"/>
      <c r="AE1622" s="673"/>
      <c r="AF1622" s="673"/>
      <c r="AG1622" s="673"/>
      <c r="AH1622" s="673"/>
      <c r="AI1622" s="673"/>
      <c r="AJ1622" s="673"/>
      <c r="AK1622" s="673"/>
      <c r="AL1622" s="673"/>
      <c r="AM1622" s="673"/>
      <c r="AN1622" s="673"/>
      <c r="AO1622" s="673"/>
      <c r="AP1622" s="673"/>
      <c r="AQ1622" s="673"/>
      <c r="AR1622" s="673"/>
      <c r="AS1622" s="673"/>
    </row>
    <row r="1623">
      <c r="A1623" s="653"/>
      <c r="B1623" s="654"/>
      <c r="C1623" s="655"/>
      <c r="D1623" s="656"/>
      <c r="E1623" s="657"/>
      <c r="F1623" s="658"/>
      <c r="G1623" s="659"/>
      <c r="H1623" s="660"/>
      <c r="I1623" s="659"/>
      <c r="J1623" s="661"/>
      <c r="K1623" s="658"/>
      <c r="L1623" s="662"/>
      <c r="M1623" s="663"/>
      <c r="N1623" s="664"/>
      <c r="O1623" s="665"/>
      <c r="P1623" s="666"/>
      <c r="Q1623" s="667"/>
      <c r="R1623" s="668"/>
      <c r="S1623" s="665"/>
      <c r="T1623" s="669"/>
      <c r="U1623" s="669"/>
      <c r="V1623" s="665"/>
      <c r="W1623" s="670"/>
      <c r="X1623" s="670"/>
      <c r="Y1623" s="671"/>
      <c r="Z1623" s="671"/>
      <c r="AA1623" s="672"/>
      <c r="AB1623" s="673"/>
      <c r="AC1623" s="673"/>
      <c r="AD1623" s="673"/>
      <c r="AE1623" s="673"/>
      <c r="AF1623" s="673"/>
      <c r="AG1623" s="673"/>
      <c r="AH1623" s="673"/>
      <c r="AI1623" s="673"/>
      <c r="AJ1623" s="673"/>
      <c r="AK1623" s="673"/>
      <c r="AL1623" s="673"/>
      <c r="AM1623" s="673"/>
      <c r="AN1623" s="673"/>
      <c r="AO1623" s="673"/>
      <c r="AP1623" s="673"/>
      <c r="AQ1623" s="673"/>
      <c r="AR1623" s="673"/>
      <c r="AS1623" s="673"/>
    </row>
    <row r="1624">
      <c r="A1624" s="653"/>
      <c r="B1624" s="654"/>
      <c r="C1624" s="655"/>
      <c r="D1624" s="656"/>
      <c r="E1624" s="657"/>
      <c r="F1624" s="658"/>
      <c r="G1624" s="659"/>
      <c r="H1624" s="660"/>
      <c r="I1624" s="659"/>
      <c r="J1624" s="661"/>
      <c r="K1624" s="658"/>
      <c r="L1624" s="662"/>
      <c r="M1624" s="663"/>
      <c r="N1624" s="664"/>
      <c r="O1624" s="665"/>
      <c r="P1624" s="666"/>
      <c r="Q1624" s="667"/>
      <c r="R1624" s="668"/>
      <c r="S1624" s="665"/>
      <c r="T1624" s="669"/>
      <c r="U1624" s="669"/>
      <c r="V1624" s="665"/>
      <c r="W1624" s="670"/>
      <c r="X1624" s="670"/>
      <c r="Y1624" s="671"/>
      <c r="Z1624" s="671"/>
      <c r="AA1624" s="672"/>
      <c r="AB1624" s="673"/>
      <c r="AC1624" s="673"/>
      <c r="AD1624" s="673"/>
      <c r="AE1624" s="673"/>
      <c r="AF1624" s="673"/>
      <c r="AG1624" s="673"/>
      <c r="AH1624" s="673"/>
      <c r="AI1624" s="673"/>
      <c r="AJ1624" s="673"/>
      <c r="AK1624" s="673"/>
      <c r="AL1624" s="673"/>
      <c r="AM1624" s="673"/>
      <c r="AN1624" s="673"/>
      <c r="AO1624" s="673"/>
      <c r="AP1624" s="673"/>
      <c r="AQ1624" s="673"/>
      <c r="AR1624" s="673"/>
      <c r="AS1624" s="673"/>
    </row>
    <row r="1625">
      <c r="A1625" s="653"/>
      <c r="B1625" s="654"/>
      <c r="C1625" s="655"/>
      <c r="D1625" s="656"/>
      <c r="E1625" s="657"/>
      <c r="F1625" s="658"/>
      <c r="G1625" s="659"/>
      <c r="H1625" s="660"/>
      <c r="I1625" s="659"/>
      <c r="J1625" s="661"/>
      <c r="K1625" s="658"/>
      <c r="L1625" s="662"/>
      <c r="M1625" s="663"/>
      <c r="N1625" s="664"/>
      <c r="O1625" s="665"/>
      <c r="P1625" s="666"/>
      <c r="Q1625" s="667"/>
      <c r="R1625" s="668"/>
      <c r="S1625" s="665"/>
      <c r="T1625" s="669"/>
      <c r="U1625" s="669"/>
      <c r="V1625" s="665"/>
      <c r="W1625" s="670"/>
      <c r="X1625" s="670"/>
      <c r="Y1625" s="671"/>
      <c r="Z1625" s="671"/>
      <c r="AA1625" s="672"/>
      <c r="AB1625" s="673"/>
      <c r="AC1625" s="673"/>
      <c r="AD1625" s="673"/>
      <c r="AE1625" s="673"/>
      <c r="AF1625" s="673"/>
      <c r="AG1625" s="673"/>
      <c r="AH1625" s="673"/>
      <c r="AI1625" s="673"/>
      <c r="AJ1625" s="673"/>
      <c r="AK1625" s="673"/>
      <c r="AL1625" s="673"/>
      <c r="AM1625" s="673"/>
      <c r="AN1625" s="673"/>
      <c r="AO1625" s="673"/>
      <c r="AP1625" s="673"/>
      <c r="AQ1625" s="673"/>
      <c r="AR1625" s="673"/>
      <c r="AS1625" s="673"/>
    </row>
    <row r="1626">
      <c r="A1626" s="653"/>
      <c r="B1626" s="654"/>
      <c r="C1626" s="655"/>
      <c r="D1626" s="656"/>
      <c r="E1626" s="657"/>
      <c r="F1626" s="658"/>
      <c r="G1626" s="659"/>
      <c r="H1626" s="660"/>
      <c r="I1626" s="659"/>
      <c r="J1626" s="661"/>
      <c r="K1626" s="658"/>
      <c r="L1626" s="662"/>
      <c r="M1626" s="663"/>
      <c r="N1626" s="664"/>
      <c r="O1626" s="665"/>
      <c r="P1626" s="666"/>
      <c r="Q1626" s="667"/>
      <c r="R1626" s="668"/>
      <c r="S1626" s="665"/>
      <c r="T1626" s="669"/>
      <c r="U1626" s="669"/>
      <c r="V1626" s="665"/>
      <c r="W1626" s="670"/>
      <c r="X1626" s="670"/>
      <c r="Y1626" s="671"/>
      <c r="Z1626" s="671"/>
      <c r="AA1626" s="672"/>
      <c r="AB1626" s="673"/>
      <c r="AC1626" s="673"/>
      <c r="AD1626" s="673"/>
      <c r="AE1626" s="673"/>
      <c r="AF1626" s="673"/>
      <c r="AG1626" s="673"/>
      <c r="AH1626" s="673"/>
      <c r="AI1626" s="673"/>
      <c r="AJ1626" s="673"/>
      <c r="AK1626" s="673"/>
      <c r="AL1626" s="673"/>
      <c r="AM1626" s="673"/>
      <c r="AN1626" s="673"/>
      <c r="AO1626" s="673"/>
      <c r="AP1626" s="673"/>
      <c r="AQ1626" s="673"/>
      <c r="AR1626" s="673"/>
      <c r="AS1626" s="673"/>
    </row>
    <row r="1627">
      <c r="A1627" s="653"/>
      <c r="B1627" s="654"/>
      <c r="C1627" s="655"/>
      <c r="D1627" s="656"/>
      <c r="E1627" s="657"/>
      <c r="F1627" s="658"/>
      <c r="G1627" s="659"/>
      <c r="H1627" s="660"/>
      <c r="I1627" s="659"/>
      <c r="J1627" s="661"/>
      <c r="K1627" s="658"/>
      <c r="L1627" s="662"/>
      <c r="M1627" s="663"/>
      <c r="N1627" s="664"/>
      <c r="O1627" s="665"/>
      <c r="P1627" s="666"/>
      <c r="Q1627" s="667"/>
      <c r="R1627" s="668"/>
      <c r="S1627" s="665"/>
      <c r="T1627" s="669"/>
      <c r="U1627" s="669"/>
      <c r="V1627" s="665"/>
      <c r="W1627" s="670"/>
      <c r="X1627" s="670"/>
      <c r="Y1627" s="671"/>
      <c r="Z1627" s="671"/>
      <c r="AA1627" s="672"/>
      <c r="AB1627" s="673"/>
      <c r="AC1627" s="673"/>
      <c r="AD1627" s="673"/>
      <c r="AE1627" s="673"/>
      <c r="AF1627" s="673"/>
      <c r="AG1627" s="673"/>
      <c r="AH1627" s="673"/>
      <c r="AI1627" s="673"/>
      <c r="AJ1627" s="673"/>
      <c r="AK1627" s="673"/>
      <c r="AL1627" s="673"/>
      <c r="AM1627" s="673"/>
      <c r="AN1627" s="673"/>
      <c r="AO1627" s="673"/>
      <c r="AP1627" s="673"/>
      <c r="AQ1627" s="673"/>
      <c r="AR1627" s="673"/>
      <c r="AS1627" s="673"/>
    </row>
    <row r="1628">
      <c r="A1628" s="653"/>
      <c r="B1628" s="654"/>
      <c r="C1628" s="655"/>
      <c r="D1628" s="656"/>
      <c r="E1628" s="657"/>
      <c r="F1628" s="658"/>
      <c r="G1628" s="659"/>
      <c r="H1628" s="660"/>
      <c r="I1628" s="659"/>
      <c r="J1628" s="661"/>
      <c r="K1628" s="658"/>
      <c r="L1628" s="662"/>
      <c r="M1628" s="663"/>
      <c r="N1628" s="664"/>
      <c r="O1628" s="665"/>
      <c r="P1628" s="666"/>
      <c r="Q1628" s="667"/>
      <c r="R1628" s="668"/>
      <c r="S1628" s="665"/>
      <c r="T1628" s="669"/>
      <c r="U1628" s="669"/>
      <c r="V1628" s="665"/>
      <c r="W1628" s="670"/>
      <c r="X1628" s="670"/>
      <c r="Y1628" s="671"/>
      <c r="Z1628" s="671"/>
      <c r="AA1628" s="672"/>
      <c r="AB1628" s="673"/>
      <c r="AC1628" s="673"/>
      <c r="AD1628" s="673"/>
      <c r="AE1628" s="673"/>
      <c r="AF1628" s="673"/>
      <c r="AG1628" s="673"/>
      <c r="AH1628" s="673"/>
      <c r="AI1628" s="673"/>
      <c r="AJ1628" s="673"/>
      <c r="AK1628" s="673"/>
      <c r="AL1628" s="673"/>
      <c r="AM1628" s="673"/>
      <c r="AN1628" s="673"/>
      <c r="AO1628" s="673"/>
      <c r="AP1628" s="673"/>
      <c r="AQ1628" s="673"/>
      <c r="AR1628" s="673"/>
      <c r="AS1628" s="673"/>
    </row>
    <row r="1629">
      <c r="A1629" s="653"/>
      <c r="B1629" s="654"/>
      <c r="C1629" s="655"/>
      <c r="D1629" s="656"/>
      <c r="E1629" s="657"/>
      <c r="F1629" s="658"/>
      <c r="G1629" s="659"/>
      <c r="H1629" s="660"/>
      <c r="I1629" s="659"/>
      <c r="J1629" s="661"/>
      <c r="K1629" s="658"/>
      <c r="L1629" s="662"/>
      <c r="M1629" s="663"/>
      <c r="N1629" s="664"/>
      <c r="O1629" s="665"/>
      <c r="P1629" s="666"/>
      <c r="Q1629" s="667"/>
      <c r="R1629" s="668"/>
      <c r="S1629" s="665"/>
      <c r="T1629" s="669"/>
      <c r="U1629" s="669"/>
      <c r="V1629" s="665"/>
      <c r="W1629" s="670"/>
      <c r="X1629" s="670"/>
      <c r="Y1629" s="671"/>
      <c r="Z1629" s="671"/>
      <c r="AA1629" s="672"/>
      <c r="AB1629" s="673"/>
      <c r="AC1629" s="673"/>
      <c r="AD1629" s="673"/>
      <c r="AE1629" s="673"/>
      <c r="AF1629" s="673"/>
      <c r="AG1629" s="673"/>
      <c r="AH1629" s="673"/>
      <c r="AI1629" s="673"/>
      <c r="AJ1629" s="673"/>
      <c r="AK1629" s="673"/>
      <c r="AL1629" s="673"/>
      <c r="AM1629" s="673"/>
      <c r="AN1629" s="673"/>
      <c r="AO1629" s="673"/>
      <c r="AP1629" s="673"/>
      <c r="AQ1629" s="673"/>
      <c r="AR1629" s="673"/>
      <c r="AS1629" s="673"/>
    </row>
    <row r="1630">
      <c r="A1630" s="653"/>
      <c r="B1630" s="654"/>
      <c r="C1630" s="655"/>
      <c r="D1630" s="656"/>
      <c r="E1630" s="657"/>
      <c r="F1630" s="658"/>
      <c r="G1630" s="659"/>
      <c r="H1630" s="660"/>
      <c r="I1630" s="659"/>
      <c r="J1630" s="661"/>
      <c r="K1630" s="658"/>
      <c r="L1630" s="662"/>
      <c r="M1630" s="663"/>
      <c r="N1630" s="664"/>
      <c r="O1630" s="665"/>
      <c r="P1630" s="666"/>
      <c r="Q1630" s="667"/>
      <c r="R1630" s="668"/>
      <c r="S1630" s="665"/>
      <c r="T1630" s="669"/>
      <c r="U1630" s="669"/>
      <c r="V1630" s="665"/>
      <c r="W1630" s="670"/>
      <c r="X1630" s="670"/>
      <c r="Y1630" s="671"/>
      <c r="Z1630" s="671"/>
      <c r="AA1630" s="672"/>
      <c r="AB1630" s="673"/>
      <c r="AC1630" s="673"/>
      <c r="AD1630" s="673"/>
      <c r="AE1630" s="673"/>
      <c r="AF1630" s="673"/>
      <c r="AG1630" s="673"/>
      <c r="AH1630" s="673"/>
      <c r="AI1630" s="673"/>
      <c r="AJ1630" s="673"/>
      <c r="AK1630" s="673"/>
      <c r="AL1630" s="673"/>
      <c r="AM1630" s="673"/>
      <c r="AN1630" s="673"/>
      <c r="AO1630" s="673"/>
      <c r="AP1630" s="673"/>
      <c r="AQ1630" s="673"/>
      <c r="AR1630" s="673"/>
      <c r="AS1630" s="673"/>
    </row>
    <row r="1631">
      <c r="A1631" s="653"/>
      <c r="B1631" s="654"/>
      <c r="C1631" s="655"/>
      <c r="D1631" s="656"/>
      <c r="E1631" s="657"/>
      <c r="F1631" s="658"/>
      <c r="G1631" s="659"/>
      <c r="H1631" s="660"/>
      <c r="I1631" s="659"/>
      <c r="J1631" s="661"/>
      <c r="K1631" s="658"/>
      <c r="L1631" s="662"/>
      <c r="M1631" s="663"/>
      <c r="N1631" s="664"/>
      <c r="O1631" s="665"/>
      <c r="P1631" s="666"/>
      <c r="Q1631" s="667"/>
      <c r="R1631" s="668"/>
      <c r="S1631" s="665"/>
      <c r="T1631" s="669"/>
      <c r="U1631" s="669"/>
      <c r="V1631" s="665"/>
      <c r="W1631" s="670"/>
      <c r="X1631" s="670"/>
      <c r="Y1631" s="671"/>
      <c r="Z1631" s="671"/>
      <c r="AA1631" s="672"/>
      <c r="AB1631" s="673"/>
      <c r="AC1631" s="673"/>
      <c r="AD1631" s="673"/>
      <c r="AE1631" s="673"/>
      <c r="AF1631" s="673"/>
      <c r="AG1631" s="673"/>
      <c r="AH1631" s="673"/>
      <c r="AI1631" s="673"/>
      <c r="AJ1631" s="673"/>
      <c r="AK1631" s="673"/>
      <c r="AL1631" s="673"/>
      <c r="AM1631" s="673"/>
      <c r="AN1631" s="673"/>
      <c r="AO1631" s="673"/>
      <c r="AP1631" s="673"/>
      <c r="AQ1631" s="673"/>
      <c r="AR1631" s="673"/>
      <c r="AS1631" s="673"/>
    </row>
    <row r="1632">
      <c r="A1632" s="653"/>
      <c r="B1632" s="654"/>
      <c r="C1632" s="655"/>
      <c r="D1632" s="656"/>
      <c r="E1632" s="657"/>
      <c r="F1632" s="658"/>
      <c r="G1632" s="659"/>
      <c r="H1632" s="660"/>
      <c r="I1632" s="659"/>
      <c r="J1632" s="661"/>
      <c r="K1632" s="658"/>
      <c r="L1632" s="662"/>
      <c r="M1632" s="663"/>
      <c r="N1632" s="664"/>
      <c r="O1632" s="665"/>
      <c r="P1632" s="666"/>
      <c r="Q1632" s="667"/>
      <c r="R1632" s="668"/>
      <c r="S1632" s="665"/>
      <c r="T1632" s="669"/>
      <c r="U1632" s="669"/>
      <c r="V1632" s="665"/>
      <c r="W1632" s="670"/>
      <c r="X1632" s="670"/>
      <c r="Y1632" s="671"/>
      <c r="Z1632" s="671"/>
      <c r="AA1632" s="672"/>
      <c r="AB1632" s="673"/>
      <c r="AC1632" s="673"/>
      <c r="AD1632" s="673"/>
      <c r="AE1632" s="673"/>
      <c r="AF1632" s="673"/>
      <c r="AG1632" s="673"/>
      <c r="AH1632" s="673"/>
      <c r="AI1632" s="673"/>
      <c r="AJ1632" s="673"/>
      <c r="AK1632" s="673"/>
      <c r="AL1632" s="673"/>
      <c r="AM1632" s="673"/>
      <c r="AN1632" s="673"/>
      <c r="AO1632" s="673"/>
      <c r="AP1632" s="673"/>
      <c r="AQ1632" s="673"/>
      <c r="AR1632" s="673"/>
      <c r="AS1632" s="673"/>
    </row>
    <row r="1633">
      <c r="A1633" s="653"/>
      <c r="B1633" s="654"/>
      <c r="C1633" s="655"/>
      <c r="D1633" s="656"/>
      <c r="E1633" s="657"/>
      <c r="F1633" s="658"/>
      <c r="G1633" s="659"/>
      <c r="H1633" s="660"/>
      <c r="I1633" s="659"/>
      <c r="J1633" s="661"/>
      <c r="K1633" s="658"/>
      <c r="L1633" s="662"/>
      <c r="M1633" s="663"/>
      <c r="N1633" s="664"/>
      <c r="O1633" s="665"/>
      <c r="P1633" s="666"/>
      <c r="Q1633" s="667"/>
      <c r="R1633" s="668"/>
      <c r="S1633" s="665"/>
      <c r="T1633" s="669"/>
      <c r="U1633" s="669"/>
      <c r="V1633" s="665"/>
      <c r="W1633" s="670"/>
      <c r="X1633" s="670"/>
      <c r="Y1633" s="671"/>
      <c r="Z1633" s="671"/>
      <c r="AA1633" s="672"/>
      <c r="AB1633" s="673"/>
      <c r="AC1633" s="673"/>
      <c r="AD1633" s="673"/>
      <c r="AE1633" s="673"/>
      <c r="AF1633" s="673"/>
      <c r="AG1633" s="673"/>
      <c r="AH1633" s="673"/>
      <c r="AI1633" s="673"/>
      <c r="AJ1633" s="673"/>
      <c r="AK1633" s="673"/>
      <c r="AL1633" s="673"/>
      <c r="AM1633" s="673"/>
      <c r="AN1633" s="673"/>
      <c r="AO1633" s="673"/>
      <c r="AP1633" s="673"/>
      <c r="AQ1633" s="673"/>
      <c r="AR1633" s="673"/>
      <c r="AS1633" s="673"/>
    </row>
    <row r="1634">
      <c r="A1634" s="653"/>
      <c r="B1634" s="654"/>
      <c r="C1634" s="655"/>
      <c r="D1634" s="656"/>
      <c r="E1634" s="657"/>
      <c r="F1634" s="658"/>
      <c r="G1634" s="659"/>
      <c r="H1634" s="660"/>
      <c r="I1634" s="659"/>
      <c r="J1634" s="661"/>
      <c r="K1634" s="658"/>
      <c r="L1634" s="662"/>
      <c r="M1634" s="663"/>
      <c r="N1634" s="664"/>
      <c r="O1634" s="665"/>
      <c r="P1634" s="666"/>
      <c r="Q1634" s="667"/>
      <c r="R1634" s="668"/>
      <c r="S1634" s="665"/>
      <c r="T1634" s="669"/>
      <c r="U1634" s="669"/>
      <c r="V1634" s="665"/>
      <c r="W1634" s="670"/>
      <c r="X1634" s="670"/>
      <c r="Y1634" s="671"/>
      <c r="Z1634" s="671"/>
      <c r="AA1634" s="672"/>
      <c r="AB1634" s="673"/>
      <c r="AC1634" s="673"/>
      <c r="AD1634" s="673"/>
      <c r="AE1634" s="673"/>
      <c r="AF1634" s="673"/>
      <c r="AG1634" s="673"/>
      <c r="AH1634" s="673"/>
      <c r="AI1634" s="673"/>
      <c r="AJ1634" s="673"/>
      <c r="AK1634" s="673"/>
      <c r="AL1634" s="673"/>
      <c r="AM1634" s="673"/>
      <c r="AN1634" s="673"/>
      <c r="AO1634" s="673"/>
      <c r="AP1634" s="673"/>
      <c r="AQ1634" s="673"/>
      <c r="AR1634" s="673"/>
      <c r="AS1634" s="673"/>
    </row>
    <row r="1635">
      <c r="A1635" s="653"/>
      <c r="B1635" s="654"/>
      <c r="C1635" s="655"/>
      <c r="D1635" s="656"/>
      <c r="E1635" s="657"/>
      <c r="F1635" s="658"/>
      <c r="G1635" s="659"/>
      <c r="H1635" s="660"/>
      <c r="I1635" s="659"/>
      <c r="J1635" s="661"/>
      <c r="K1635" s="658"/>
      <c r="L1635" s="662"/>
      <c r="M1635" s="663"/>
      <c r="N1635" s="664"/>
      <c r="O1635" s="665"/>
      <c r="P1635" s="666"/>
      <c r="Q1635" s="667"/>
      <c r="R1635" s="668"/>
      <c r="S1635" s="665"/>
      <c r="T1635" s="669"/>
      <c r="U1635" s="669"/>
      <c r="V1635" s="665"/>
      <c r="W1635" s="670"/>
      <c r="X1635" s="670"/>
      <c r="Y1635" s="671"/>
      <c r="Z1635" s="671"/>
      <c r="AA1635" s="672"/>
      <c r="AB1635" s="673"/>
      <c r="AC1635" s="673"/>
      <c r="AD1635" s="673"/>
      <c r="AE1635" s="673"/>
      <c r="AF1635" s="673"/>
      <c r="AG1635" s="673"/>
      <c r="AH1635" s="673"/>
      <c r="AI1635" s="673"/>
      <c r="AJ1635" s="673"/>
      <c r="AK1635" s="673"/>
      <c r="AL1635" s="673"/>
      <c r="AM1635" s="673"/>
      <c r="AN1635" s="673"/>
      <c r="AO1635" s="673"/>
      <c r="AP1635" s="673"/>
      <c r="AQ1635" s="673"/>
      <c r="AR1635" s="673"/>
      <c r="AS1635" s="673"/>
    </row>
    <row r="1636">
      <c r="A1636" s="653"/>
      <c r="B1636" s="654"/>
      <c r="C1636" s="655"/>
      <c r="D1636" s="656"/>
      <c r="E1636" s="657"/>
      <c r="F1636" s="658"/>
      <c r="G1636" s="659"/>
      <c r="H1636" s="660"/>
      <c r="I1636" s="659"/>
      <c r="J1636" s="661"/>
      <c r="K1636" s="658"/>
      <c r="L1636" s="662"/>
      <c r="M1636" s="663"/>
      <c r="N1636" s="664"/>
      <c r="O1636" s="665"/>
      <c r="P1636" s="666"/>
      <c r="Q1636" s="667"/>
      <c r="R1636" s="668"/>
      <c r="S1636" s="665"/>
      <c r="T1636" s="669"/>
      <c r="U1636" s="669"/>
      <c r="V1636" s="665"/>
      <c r="W1636" s="670"/>
      <c r="X1636" s="670"/>
      <c r="Y1636" s="671"/>
      <c r="Z1636" s="671"/>
      <c r="AA1636" s="672"/>
      <c r="AB1636" s="673"/>
      <c r="AC1636" s="673"/>
      <c r="AD1636" s="673"/>
      <c r="AE1636" s="673"/>
      <c r="AF1636" s="673"/>
      <c r="AG1636" s="673"/>
      <c r="AH1636" s="673"/>
      <c r="AI1636" s="673"/>
      <c r="AJ1636" s="673"/>
      <c r="AK1636" s="673"/>
      <c r="AL1636" s="673"/>
      <c r="AM1636" s="673"/>
      <c r="AN1636" s="673"/>
      <c r="AO1636" s="673"/>
      <c r="AP1636" s="673"/>
      <c r="AQ1636" s="673"/>
      <c r="AR1636" s="673"/>
      <c r="AS1636" s="673"/>
    </row>
    <row r="1637">
      <c r="A1637" s="653"/>
      <c r="B1637" s="654"/>
      <c r="C1637" s="655"/>
      <c r="D1637" s="656"/>
      <c r="E1637" s="657"/>
      <c r="F1637" s="658"/>
      <c r="G1637" s="659"/>
      <c r="H1637" s="660"/>
      <c r="I1637" s="659"/>
      <c r="J1637" s="661"/>
      <c r="K1637" s="658"/>
      <c r="L1637" s="662"/>
      <c r="M1637" s="663"/>
      <c r="N1637" s="664"/>
      <c r="O1637" s="665"/>
      <c r="P1637" s="666"/>
      <c r="Q1637" s="667"/>
      <c r="R1637" s="668"/>
      <c r="S1637" s="665"/>
      <c r="T1637" s="669"/>
      <c r="U1637" s="669"/>
      <c r="V1637" s="665"/>
      <c r="W1637" s="670"/>
      <c r="X1637" s="670"/>
      <c r="Y1637" s="671"/>
      <c r="Z1637" s="671"/>
      <c r="AA1637" s="672"/>
      <c r="AB1637" s="673"/>
      <c r="AC1637" s="673"/>
      <c r="AD1637" s="673"/>
      <c r="AE1637" s="673"/>
      <c r="AF1637" s="673"/>
      <c r="AG1637" s="673"/>
      <c r="AH1637" s="673"/>
      <c r="AI1637" s="673"/>
      <c r="AJ1637" s="673"/>
      <c r="AK1637" s="673"/>
      <c r="AL1637" s="673"/>
      <c r="AM1637" s="673"/>
      <c r="AN1637" s="673"/>
      <c r="AO1637" s="673"/>
      <c r="AP1637" s="673"/>
      <c r="AQ1637" s="673"/>
      <c r="AR1637" s="673"/>
      <c r="AS1637" s="673"/>
    </row>
    <row r="1638">
      <c r="A1638" s="653"/>
      <c r="B1638" s="654"/>
      <c r="C1638" s="655"/>
      <c r="D1638" s="656"/>
      <c r="E1638" s="657"/>
      <c r="F1638" s="658"/>
      <c r="G1638" s="659"/>
      <c r="H1638" s="660"/>
      <c r="I1638" s="659"/>
      <c r="J1638" s="661"/>
      <c r="K1638" s="658"/>
      <c r="L1638" s="662"/>
      <c r="M1638" s="663"/>
      <c r="N1638" s="664"/>
      <c r="O1638" s="665"/>
      <c r="P1638" s="666"/>
      <c r="Q1638" s="667"/>
      <c r="R1638" s="668"/>
      <c r="S1638" s="665"/>
      <c r="T1638" s="669"/>
      <c r="U1638" s="669"/>
      <c r="V1638" s="665"/>
      <c r="W1638" s="670"/>
      <c r="X1638" s="670"/>
      <c r="Y1638" s="671"/>
      <c r="Z1638" s="671"/>
      <c r="AA1638" s="672"/>
      <c r="AB1638" s="673"/>
      <c r="AC1638" s="673"/>
      <c r="AD1638" s="673"/>
      <c r="AE1638" s="673"/>
      <c r="AF1638" s="673"/>
      <c r="AG1638" s="673"/>
      <c r="AH1638" s="673"/>
      <c r="AI1638" s="673"/>
      <c r="AJ1638" s="673"/>
      <c r="AK1638" s="673"/>
      <c r="AL1638" s="673"/>
      <c r="AM1638" s="673"/>
      <c r="AN1638" s="673"/>
      <c r="AO1638" s="673"/>
      <c r="AP1638" s="673"/>
      <c r="AQ1638" s="673"/>
      <c r="AR1638" s="673"/>
      <c r="AS1638" s="673"/>
    </row>
    <row r="1639">
      <c r="A1639" s="653"/>
      <c r="B1639" s="654"/>
      <c r="C1639" s="655"/>
      <c r="D1639" s="656"/>
      <c r="E1639" s="657"/>
      <c r="F1639" s="658"/>
      <c r="G1639" s="659"/>
      <c r="H1639" s="660"/>
      <c r="I1639" s="659"/>
      <c r="J1639" s="661"/>
      <c r="K1639" s="658"/>
      <c r="L1639" s="662"/>
      <c r="M1639" s="663"/>
      <c r="N1639" s="664"/>
      <c r="O1639" s="665"/>
      <c r="P1639" s="666"/>
      <c r="Q1639" s="667"/>
      <c r="R1639" s="668"/>
      <c r="S1639" s="665"/>
      <c r="T1639" s="669"/>
      <c r="U1639" s="669"/>
      <c r="V1639" s="665"/>
      <c r="W1639" s="670"/>
      <c r="X1639" s="670"/>
      <c r="Y1639" s="671"/>
      <c r="Z1639" s="671"/>
      <c r="AA1639" s="672"/>
      <c r="AB1639" s="673"/>
      <c r="AC1639" s="673"/>
      <c r="AD1639" s="673"/>
      <c r="AE1639" s="673"/>
      <c r="AF1639" s="673"/>
      <c r="AG1639" s="673"/>
      <c r="AH1639" s="673"/>
      <c r="AI1639" s="673"/>
      <c r="AJ1639" s="673"/>
      <c r="AK1639" s="673"/>
      <c r="AL1639" s="673"/>
      <c r="AM1639" s="673"/>
      <c r="AN1639" s="673"/>
      <c r="AO1639" s="673"/>
      <c r="AP1639" s="673"/>
      <c r="AQ1639" s="673"/>
      <c r="AR1639" s="673"/>
      <c r="AS1639" s="673"/>
    </row>
    <row r="1640">
      <c r="A1640" s="653"/>
      <c r="B1640" s="654"/>
      <c r="C1640" s="655"/>
      <c r="D1640" s="656"/>
      <c r="E1640" s="657"/>
      <c r="F1640" s="658"/>
      <c r="G1640" s="659"/>
      <c r="H1640" s="660"/>
      <c r="I1640" s="659"/>
      <c r="J1640" s="661"/>
      <c r="K1640" s="658"/>
      <c r="L1640" s="662"/>
      <c r="M1640" s="663"/>
      <c r="N1640" s="664"/>
      <c r="O1640" s="665"/>
      <c r="P1640" s="666"/>
      <c r="Q1640" s="667"/>
      <c r="R1640" s="668"/>
      <c r="S1640" s="665"/>
      <c r="T1640" s="669"/>
      <c r="U1640" s="669"/>
      <c r="V1640" s="665"/>
      <c r="W1640" s="670"/>
      <c r="X1640" s="670"/>
      <c r="Y1640" s="671"/>
      <c r="Z1640" s="671"/>
      <c r="AA1640" s="672"/>
      <c r="AB1640" s="673"/>
      <c r="AC1640" s="673"/>
      <c r="AD1640" s="673"/>
      <c r="AE1640" s="673"/>
      <c r="AF1640" s="673"/>
      <c r="AG1640" s="673"/>
      <c r="AH1640" s="673"/>
      <c r="AI1640" s="673"/>
      <c r="AJ1640" s="673"/>
      <c r="AK1640" s="673"/>
      <c r="AL1640" s="673"/>
      <c r="AM1640" s="673"/>
      <c r="AN1640" s="673"/>
      <c r="AO1640" s="673"/>
      <c r="AP1640" s="673"/>
      <c r="AQ1640" s="673"/>
      <c r="AR1640" s="673"/>
      <c r="AS1640" s="673"/>
    </row>
    <row r="1641">
      <c r="A1641" s="653"/>
      <c r="B1641" s="654"/>
      <c r="C1641" s="655"/>
      <c r="D1641" s="656"/>
      <c r="E1641" s="657"/>
      <c r="F1641" s="658"/>
      <c r="G1641" s="659"/>
      <c r="H1641" s="660"/>
      <c r="I1641" s="659"/>
      <c r="J1641" s="661"/>
      <c r="K1641" s="658"/>
      <c r="L1641" s="662"/>
      <c r="M1641" s="663"/>
      <c r="N1641" s="664"/>
      <c r="O1641" s="665"/>
      <c r="P1641" s="666"/>
      <c r="Q1641" s="667"/>
      <c r="R1641" s="668"/>
      <c r="S1641" s="665"/>
      <c r="T1641" s="669"/>
      <c r="U1641" s="669"/>
      <c r="V1641" s="665"/>
      <c r="W1641" s="670"/>
      <c r="X1641" s="670"/>
      <c r="Y1641" s="671"/>
      <c r="Z1641" s="671"/>
      <c r="AA1641" s="672"/>
      <c r="AB1641" s="673"/>
      <c r="AC1641" s="673"/>
      <c r="AD1641" s="673"/>
      <c r="AE1641" s="673"/>
      <c r="AF1641" s="673"/>
      <c r="AG1641" s="673"/>
      <c r="AH1641" s="673"/>
      <c r="AI1641" s="673"/>
      <c r="AJ1641" s="673"/>
      <c r="AK1641" s="673"/>
      <c r="AL1641" s="673"/>
      <c r="AM1641" s="673"/>
      <c r="AN1641" s="673"/>
      <c r="AO1641" s="673"/>
      <c r="AP1641" s="673"/>
      <c r="AQ1641" s="673"/>
      <c r="AR1641" s="673"/>
      <c r="AS1641" s="673"/>
    </row>
    <row r="1642">
      <c r="A1642" s="653"/>
      <c r="B1642" s="654"/>
      <c r="C1642" s="655"/>
      <c r="D1642" s="656"/>
      <c r="E1642" s="657"/>
      <c r="F1642" s="658"/>
      <c r="G1642" s="659"/>
      <c r="H1642" s="660"/>
      <c r="I1642" s="659"/>
      <c r="J1642" s="661"/>
      <c r="K1642" s="658"/>
      <c r="L1642" s="662"/>
      <c r="M1642" s="663"/>
      <c r="N1642" s="664"/>
      <c r="O1642" s="665"/>
      <c r="P1642" s="666"/>
      <c r="Q1642" s="667"/>
      <c r="R1642" s="668"/>
      <c r="S1642" s="665"/>
      <c r="T1642" s="669"/>
      <c r="U1642" s="669"/>
      <c r="V1642" s="665"/>
      <c r="W1642" s="670"/>
      <c r="X1642" s="670"/>
      <c r="Y1642" s="671"/>
      <c r="Z1642" s="671"/>
      <c r="AA1642" s="672"/>
      <c r="AB1642" s="673"/>
      <c r="AC1642" s="673"/>
      <c r="AD1642" s="673"/>
      <c r="AE1642" s="673"/>
      <c r="AF1642" s="673"/>
      <c r="AG1642" s="673"/>
      <c r="AH1642" s="673"/>
      <c r="AI1642" s="673"/>
      <c r="AJ1642" s="673"/>
      <c r="AK1642" s="673"/>
      <c r="AL1642" s="673"/>
      <c r="AM1642" s="673"/>
      <c r="AN1642" s="673"/>
      <c r="AO1642" s="673"/>
      <c r="AP1642" s="673"/>
      <c r="AQ1642" s="673"/>
      <c r="AR1642" s="673"/>
      <c r="AS1642" s="673"/>
    </row>
    <row r="1643">
      <c r="A1643" s="653"/>
      <c r="B1643" s="654"/>
      <c r="C1643" s="655"/>
      <c r="D1643" s="656"/>
      <c r="E1643" s="657"/>
      <c r="F1643" s="658"/>
      <c r="G1643" s="659"/>
      <c r="H1643" s="660"/>
      <c r="I1643" s="659"/>
      <c r="J1643" s="661"/>
      <c r="K1643" s="658"/>
      <c r="L1643" s="662"/>
      <c r="M1643" s="663"/>
      <c r="N1643" s="664"/>
      <c r="O1643" s="665"/>
      <c r="P1643" s="666"/>
      <c r="Q1643" s="667"/>
      <c r="R1643" s="668"/>
      <c r="S1643" s="665"/>
      <c r="T1643" s="669"/>
      <c r="U1643" s="669"/>
      <c r="V1643" s="665"/>
      <c r="W1643" s="670"/>
      <c r="X1643" s="670"/>
      <c r="Y1643" s="671"/>
      <c r="Z1643" s="671"/>
      <c r="AA1643" s="672"/>
      <c r="AB1643" s="673"/>
      <c r="AC1643" s="673"/>
      <c r="AD1643" s="673"/>
      <c r="AE1643" s="673"/>
      <c r="AF1643" s="673"/>
      <c r="AG1643" s="673"/>
      <c r="AH1643" s="673"/>
      <c r="AI1643" s="673"/>
      <c r="AJ1643" s="673"/>
      <c r="AK1643" s="673"/>
      <c r="AL1643" s="673"/>
      <c r="AM1643" s="673"/>
      <c r="AN1643" s="673"/>
      <c r="AO1643" s="673"/>
      <c r="AP1643" s="673"/>
      <c r="AQ1643" s="673"/>
      <c r="AR1643" s="673"/>
      <c r="AS1643" s="673"/>
    </row>
    <row r="1644">
      <c r="A1644" s="653"/>
      <c r="B1644" s="654"/>
      <c r="C1644" s="655"/>
      <c r="D1644" s="656"/>
      <c r="E1644" s="657"/>
      <c r="F1644" s="658"/>
      <c r="G1644" s="659"/>
      <c r="H1644" s="660"/>
      <c r="I1644" s="659"/>
      <c r="J1644" s="661"/>
      <c r="K1644" s="658"/>
      <c r="L1644" s="662"/>
      <c r="M1644" s="663"/>
      <c r="N1644" s="664"/>
      <c r="O1644" s="665"/>
      <c r="P1644" s="666"/>
      <c r="Q1644" s="667"/>
      <c r="R1644" s="668"/>
      <c r="S1644" s="665"/>
      <c r="T1644" s="669"/>
      <c r="U1644" s="669"/>
      <c r="V1644" s="665"/>
      <c r="W1644" s="670"/>
      <c r="X1644" s="670"/>
      <c r="Y1644" s="671"/>
      <c r="Z1644" s="671"/>
      <c r="AA1644" s="672"/>
      <c r="AB1644" s="673"/>
      <c r="AC1644" s="673"/>
      <c r="AD1644" s="673"/>
      <c r="AE1644" s="673"/>
      <c r="AF1644" s="673"/>
      <c r="AG1644" s="673"/>
      <c r="AH1644" s="673"/>
      <c r="AI1644" s="673"/>
      <c r="AJ1644" s="673"/>
      <c r="AK1644" s="673"/>
      <c r="AL1644" s="673"/>
      <c r="AM1644" s="673"/>
      <c r="AN1644" s="673"/>
      <c r="AO1644" s="673"/>
      <c r="AP1644" s="673"/>
      <c r="AQ1644" s="673"/>
      <c r="AR1644" s="673"/>
      <c r="AS1644" s="673"/>
    </row>
    <row r="1645">
      <c r="A1645" s="653"/>
      <c r="B1645" s="654"/>
      <c r="C1645" s="655"/>
      <c r="D1645" s="656"/>
      <c r="E1645" s="657"/>
      <c r="F1645" s="658"/>
      <c r="G1645" s="659"/>
      <c r="H1645" s="660"/>
      <c r="I1645" s="659"/>
      <c r="J1645" s="661"/>
      <c r="K1645" s="658"/>
      <c r="L1645" s="662"/>
      <c r="M1645" s="663"/>
      <c r="N1645" s="664"/>
      <c r="O1645" s="665"/>
      <c r="P1645" s="666"/>
      <c r="Q1645" s="667"/>
      <c r="R1645" s="668"/>
      <c r="S1645" s="665"/>
      <c r="T1645" s="669"/>
      <c r="U1645" s="669"/>
      <c r="V1645" s="665"/>
      <c r="W1645" s="670"/>
      <c r="X1645" s="670"/>
      <c r="Y1645" s="671"/>
      <c r="Z1645" s="671"/>
      <c r="AA1645" s="672"/>
      <c r="AB1645" s="673"/>
      <c r="AC1645" s="673"/>
      <c r="AD1645" s="673"/>
      <c r="AE1645" s="673"/>
      <c r="AF1645" s="673"/>
      <c r="AG1645" s="673"/>
      <c r="AH1645" s="673"/>
      <c r="AI1645" s="673"/>
      <c r="AJ1645" s="673"/>
      <c r="AK1645" s="673"/>
      <c r="AL1645" s="673"/>
      <c r="AM1645" s="673"/>
      <c r="AN1645" s="673"/>
      <c r="AO1645" s="673"/>
      <c r="AP1645" s="673"/>
      <c r="AQ1645" s="673"/>
      <c r="AR1645" s="673"/>
      <c r="AS1645" s="673"/>
    </row>
    <row r="1646">
      <c r="A1646" s="653"/>
      <c r="B1646" s="654"/>
      <c r="C1646" s="655"/>
      <c r="D1646" s="656"/>
      <c r="E1646" s="657"/>
      <c r="F1646" s="658"/>
      <c r="G1646" s="659"/>
      <c r="H1646" s="660"/>
      <c r="I1646" s="659"/>
      <c r="J1646" s="661"/>
      <c r="K1646" s="658"/>
      <c r="L1646" s="662"/>
      <c r="M1646" s="663"/>
      <c r="N1646" s="664"/>
      <c r="O1646" s="665"/>
      <c r="P1646" s="666"/>
      <c r="Q1646" s="667"/>
      <c r="R1646" s="668"/>
      <c r="S1646" s="665"/>
      <c r="T1646" s="669"/>
      <c r="U1646" s="669"/>
      <c r="V1646" s="665"/>
      <c r="W1646" s="670"/>
      <c r="X1646" s="670"/>
      <c r="Y1646" s="671"/>
      <c r="Z1646" s="671"/>
      <c r="AA1646" s="672"/>
      <c r="AB1646" s="673"/>
      <c r="AC1646" s="673"/>
      <c r="AD1646" s="673"/>
      <c r="AE1646" s="673"/>
      <c r="AF1646" s="673"/>
      <c r="AG1646" s="673"/>
      <c r="AH1646" s="673"/>
      <c r="AI1646" s="673"/>
      <c r="AJ1646" s="673"/>
      <c r="AK1646" s="673"/>
      <c r="AL1646" s="673"/>
      <c r="AM1646" s="673"/>
      <c r="AN1646" s="673"/>
      <c r="AO1646" s="673"/>
      <c r="AP1646" s="673"/>
      <c r="AQ1646" s="673"/>
      <c r="AR1646" s="673"/>
      <c r="AS1646" s="673"/>
    </row>
    <row r="1647">
      <c r="A1647" s="653"/>
      <c r="B1647" s="654"/>
      <c r="C1647" s="655"/>
      <c r="D1647" s="656"/>
      <c r="E1647" s="657"/>
      <c r="F1647" s="658"/>
      <c r="G1647" s="659"/>
      <c r="H1647" s="660"/>
      <c r="I1647" s="659"/>
      <c r="J1647" s="661"/>
      <c r="K1647" s="658"/>
      <c r="L1647" s="662"/>
      <c r="M1647" s="663"/>
      <c r="N1647" s="664"/>
      <c r="O1647" s="665"/>
      <c r="P1647" s="666"/>
      <c r="Q1647" s="667"/>
      <c r="R1647" s="668"/>
      <c r="S1647" s="665"/>
      <c r="T1647" s="669"/>
      <c r="U1647" s="669"/>
      <c r="V1647" s="665"/>
      <c r="W1647" s="670"/>
      <c r="X1647" s="670"/>
      <c r="Y1647" s="671"/>
      <c r="Z1647" s="671"/>
      <c r="AA1647" s="672"/>
      <c r="AB1647" s="673"/>
      <c r="AC1647" s="673"/>
      <c r="AD1647" s="673"/>
      <c r="AE1647" s="673"/>
      <c r="AF1647" s="673"/>
      <c r="AG1647" s="673"/>
      <c r="AH1647" s="673"/>
      <c r="AI1647" s="673"/>
      <c r="AJ1647" s="673"/>
      <c r="AK1647" s="673"/>
      <c r="AL1647" s="673"/>
      <c r="AM1647" s="673"/>
      <c r="AN1647" s="673"/>
      <c r="AO1647" s="673"/>
      <c r="AP1647" s="673"/>
      <c r="AQ1647" s="673"/>
      <c r="AR1647" s="673"/>
      <c r="AS1647" s="673"/>
    </row>
    <row r="1648">
      <c r="A1648" s="653"/>
      <c r="B1648" s="654"/>
      <c r="C1648" s="655"/>
      <c r="D1648" s="656"/>
      <c r="E1648" s="657"/>
      <c r="F1648" s="658"/>
      <c r="G1648" s="659"/>
      <c r="H1648" s="660"/>
      <c r="I1648" s="659"/>
      <c r="J1648" s="661"/>
      <c r="K1648" s="658"/>
      <c r="L1648" s="662"/>
      <c r="M1648" s="663"/>
      <c r="N1648" s="664"/>
      <c r="O1648" s="665"/>
      <c r="P1648" s="666"/>
      <c r="Q1648" s="667"/>
      <c r="R1648" s="668"/>
      <c r="S1648" s="665"/>
      <c r="T1648" s="669"/>
      <c r="U1648" s="669"/>
      <c r="V1648" s="665"/>
      <c r="W1648" s="670"/>
      <c r="X1648" s="670"/>
      <c r="Y1648" s="671"/>
      <c r="Z1648" s="671"/>
      <c r="AA1648" s="672"/>
      <c r="AB1648" s="673"/>
      <c r="AC1648" s="673"/>
      <c r="AD1648" s="673"/>
      <c r="AE1648" s="673"/>
      <c r="AF1648" s="673"/>
      <c r="AG1648" s="673"/>
      <c r="AH1648" s="673"/>
      <c r="AI1648" s="673"/>
      <c r="AJ1648" s="673"/>
      <c r="AK1648" s="673"/>
      <c r="AL1648" s="673"/>
      <c r="AM1648" s="673"/>
      <c r="AN1648" s="673"/>
      <c r="AO1648" s="673"/>
      <c r="AP1648" s="673"/>
      <c r="AQ1648" s="673"/>
      <c r="AR1648" s="673"/>
      <c r="AS1648" s="673"/>
    </row>
    <row r="1649">
      <c r="A1649" s="653"/>
      <c r="B1649" s="654"/>
      <c r="C1649" s="655"/>
      <c r="D1649" s="656"/>
      <c r="E1649" s="657"/>
      <c r="F1649" s="658"/>
      <c r="G1649" s="659"/>
      <c r="H1649" s="660"/>
      <c r="I1649" s="659"/>
      <c r="J1649" s="661"/>
      <c r="K1649" s="658"/>
      <c r="L1649" s="662"/>
      <c r="M1649" s="663"/>
      <c r="N1649" s="664"/>
      <c r="O1649" s="665"/>
      <c r="P1649" s="666"/>
      <c r="Q1649" s="667"/>
      <c r="R1649" s="668"/>
      <c r="S1649" s="665"/>
      <c r="T1649" s="669"/>
      <c r="U1649" s="669"/>
      <c r="V1649" s="665"/>
      <c r="W1649" s="670"/>
      <c r="X1649" s="670"/>
      <c r="Y1649" s="671"/>
      <c r="Z1649" s="671"/>
      <c r="AA1649" s="672"/>
      <c r="AB1649" s="673"/>
      <c r="AC1649" s="673"/>
      <c r="AD1649" s="673"/>
      <c r="AE1649" s="673"/>
      <c r="AF1649" s="673"/>
      <c r="AG1649" s="673"/>
      <c r="AH1649" s="673"/>
      <c r="AI1649" s="673"/>
      <c r="AJ1649" s="673"/>
      <c r="AK1649" s="673"/>
      <c r="AL1649" s="673"/>
      <c r="AM1649" s="673"/>
      <c r="AN1649" s="673"/>
      <c r="AO1649" s="673"/>
      <c r="AP1649" s="673"/>
      <c r="AQ1649" s="673"/>
      <c r="AR1649" s="673"/>
      <c r="AS1649" s="673"/>
    </row>
    <row r="1650">
      <c r="A1650" s="653"/>
      <c r="B1650" s="654"/>
      <c r="C1650" s="655"/>
      <c r="D1650" s="656"/>
      <c r="E1650" s="657"/>
      <c r="F1650" s="658"/>
      <c r="G1650" s="659"/>
      <c r="H1650" s="660"/>
      <c r="I1650" s="659"/>
      <c r="J1650" s="661"/>
      <c r="K1650" s="658"/>
      <c r="L1650" s="662"/>
      <c r="M1650" s="663"/>
      <c r="N1650" s="664"/>
      <c r="O1650" s="665"/>
      <c r="P1650" s="666"/>
      <c r="Q1650" s="667"/>
      <c r="R1650" s="668"/>
      <c r="S1650" s="665"/>
      <c r="T1650" s="669"/>
      <c r="U1650" s="669"/>
      <c r="V1650" s="665"/>
      <c r="W1650" s="670"/>
      <c r="X1650" s="670"/>
      <c r="Y1650" s="671"/>
      <c r="Z1650" s="671"/>
      <c r="AA1650" s="672"/>
      <c r="AB1650" s="673"/>
      <c r="AC1650" s="673"/>
      <c r="AD1650" s="673"/>
      <c r="AE1650" s="673"/>
      <c r="AF1650" s="673"/>
      <c r="AG1650" s="673"/>
      <c r="AH1650" s="673"/>
      <c r="AI1650" s="673"/>
      <c r="AJ1650" s="673"/>
      <c r="AK1650" s="673"/>
      <c r="AL1650" s="673"/>
      <c r="AM1650" s="673"/>
      <c r="AN1650" s="673"/>
      <c r="AO1650" s="673"/>
      <c r="AP1650" s="673"/>
      <c r="AQ1650" s="673"/>
      <c r="AR1650" s="673"/>
      <c r="AS1650" s="673"/>
    </row>
    <row r="1651">
      <c r="A1651" s="653"/>
      <c r="B1651" s="654"/>
      <c r="C1651" s="655"/>
      <c r="D1651" s="656"/>
      <c r="E1651" s="657"/>
      <c r="F1651" s="658"/>
      <c r="G1651" s="659"/>
      <c r="H1651" s="660"/>
      <c r="I1651" s="659"/>
      <c r="J1651" s="661"/>
      <c r="K1651" s="658"/>
      <c r="L1651" s="662"/>
      <c r="M1651" s="663"/>
      <c r="N1651" s="664"/>
      <c r="O1651" s="665"/>
      <c r="P1651" s="666"/>
      <c r="Q1651" s="667"/>
      <c r="R1651" s="668"/>
      <c r="S1651" s="665"/>
      <c r="T1651" s="669"/>
      <c r="U1651" s="669"/>
      <c r="V1651" s="665"/>
      <c r="W1651" s="670"/>
      <c r="X1651" s="670"/>
      <c r="Y1651" s="671"/>
      <c r="Z1651" s="671"/>
      <c r="AA1651" s="672"/>
      <c r="AB1651" s="673"/>
      <c r="AC1651" s="673"/>
      <c r="AD1651" s="673"/>
      <c r="AE1651" s="673"/>
      <c r="AF1651" s="673"/>
      <c r="AG1651" s="673"/>
      <c r="AH1651" s="673"/>
      <c r="AI1651" s="673"/>
      <c r="AJ1651" s="673"/>
      <c r="AK1651" s="673"/>
      <c r="AL1651" s="673"/>
      <c r="AM1651" s="673"/>
      <c r="AN1651" s="673"/>
      <c r="AO1651" s="673"/>
      <c r="AP1651" s="673"/>
      <c r="AQ1651" s="673"/>
      <c r="AR1651" s="673"/>
      <c r="AS1651" s="673"/>
    </row>
    <row r="1652">
      <c r="A1652" s="653"/>
      <c r="B1652" s="654"/>
      <c r="C1652" s="655"/>
      <c r="D1652" s="656"/>
      <c r="E1652" s="657"/>
      <c r="F1652" s="658"/>
      <c r="G1652" s="659"/>
      <c r="H1652" s="660"/>
      <c r="I1652" s="659"/>
      <c r="J1652" s="661"/>
      <c r="K1652" s="658"/>
      <c r="L1652" s="662"/>
      <c r="M1652" s="663"/>
      <c r="N1652" s="664"/>
      <c r="O1652" s="665"/>
      <c r="P1652" s="666"/>
      <c r="Q1652" s="667"/>
      <c r="R1652" s="668"/>
      <c r="S1652" s="665"/>
      <c r="T1652" s="669"/>
      <c r="U1652" s="669"/>
      <c r="V1652" s="665"/>
      <c r="W1652" s="670"/>
      <c r="X1652" s="670"/>
      <c r="Y1652" s="671"/>
      <c r="Z1652" s="671"/>
      <c r="AA1652" s="672"/>
      <c r="AB1652" s="673"/>
      <c r="AC1652" s="673"/>
      <c r="AD1652" s="673"/>
      <c r="AE1652" s="673"/>
      <c r="AF1652" s="673"/>
      <c r="AG1652" s="673"/>
      <c r="AH1652" s="673"/>
      <c r="AI1652" s="673"/>
      <c r="AJ1652" s="673"/>
      <c r="AK1652" s="673"/>
      <c r="AL1652" s="673"/>
      <c r="AM1652" s="673"/>
      <c r="AN1652" s="673"/>
      <c r="AO1652" s="673"/>
      <c r="AP1652" s="673"/>
      <c r="AQ1652" s="673"/>
      <c r="AR1652" s="673"/>
      <c r="AS1652" s="673"/>
    </row>
    <row r="1653">
      <c r="A1653" s="653"/>
      <c r="B1653" s="654"/>
      <c r="C1653" s="655"/>
      <c r="D1653" s="656"/>
      <c r="E1653" s="657"/>
      <c r="F1653" s="658"/>
      <c r="G1653" s="659"/>
      <c r="H1653" s="660"/>
      <c r="I1653" s="659"/>
      <c r="J1653" s="661"/>
      <c r="K1653" s="658"/>
      <c r="L1653" s="662"/>
      <c r="M1653" s="663"/>
      <c r="N1653" s="664"/>
      <c r="O1653" s="665"/>
      <c r="P1653" s="666"/>
      <c r="Q1653" s="667"/>
      <c r="R1653" s="668"/>
      <c r="S1653" s="665"/>
      <c r="T1653" s="669"/>
      <c r="U1653" s="669"/>
      <c r="V1653" s="665"/>
      <c r="W1653" s="670"/>
      <c r="X1653" s="670"/>
      <c r="Y1653" s="671"/>
      <c r="Z1653" s="671"/>
      <c r="AA1653" s="672"/>
      <c r="AB1653" s="673"/>
      <c r="AC1653" s="673"/>
      <c r="AD1653" s="673"/>
      <c r="AE1653" s="673"/>
      <c r="AF1653" s="673"/>
      <c r="AG1653" s="673"/>
      <c r="AH1653" s="673"/>
      <c r="AI1653" s="673"/>
      <c r="AJ1653" s="673"/>
      <c r="AK1653" s="673"/>
      <c r="AL1653" s="673"/>
      <c r="AM1653" s="673"/>
      <c r="AN1653" s="673"/>
      <c r="AO1653" s="673"/>
      <c r="AP1653" s="673"/>
      <c r="AQ1653" s="673"/>
      <c r="AR1653" s="673"/>
      <c r="AS1653" s="673"/>
    </row>
    <row r="1654">
      <c r="A1654" s="653"/>
      <c r="B1654" s="654"/>
      <c r="C1654" s="655"/>
      <c r="D1654" s="656"/>
      <c r="E1654" s="657"/>
      <c r="F1654" s="658"/>
      <c r="G1654" s="659"/>
      <c r="H1654" s="660"/>
      <c r="I1654" s="659"/>
      <c r="J1654" s="661"/>
      <c r="K1654" s="658"/>
      <c r="L1654" s="662"/>
      <c r="M1654" s="663"/>
      <c r="N1654" s="664"/>
      <c r="O1654" s="665"/>
      <c r="P1654" s="666"/>
      <c r="Q1654" s="667"/>
      <c r="R1654" s="668"/>
      <c r="S1654" s="665"/>
      <c r="T1654" s="669"/>
      <c r="U1654" s="669"/>
      <c r="V1654" s="665"/>
      <c r="W1654" s="670"/>
      <c r="X1654" s="670"/>
      <c r="Y1654" s="671"/>
      <c r="Z1654" s="671"/>
      <c r="AA1654" s="672"/>
      <c r="AB1654" s="673"/>
      <c r="AC1654" s="673"/>
      <c r="AD1654" s="673"/>
      <c r="AE1654" s="673"/>
      <c r="AF1654" s="673"/>
      <c r="AG1654" s="673"/>
      <c r="AH1654" s="673"/>
      <c r="AI1654" s="673"/>
      <c r="AJ1654" s="673"/>
      <c r="AK1654" s="673"/>
      <c r="AL1654" s="673"/>
      <c r="AM1654" s="673"/>
      <c r="AN1654" s="673"/>
      <c r="AO1654" s="673"/>
      <c r="AP1654" s="673"/>
      <c r="AQ1654" s="673"/>
      <c r="AR1654" s="673"/>
      <c r="AS1654" s="673"/>
    </row>
    <row r="1655">
      <c r="A1655" s="653"/>
      <c r="B1655" s="654"/>
      <c r="C1655" s="655"/>
      <c r="D1655" s="656"/>
      <c r="E1655" s="657"/>
      <c r="F1655" s="658"/>
      <c r="G1655" s="659"/>
      <c r="H1655" s="660"/>
      <c r="I1655" s="659"/>
      <c r="J1655" s="661"/>
      <c r="K1655" s="658"/>
      <c r="L1655" s="662"/>
      <c r="M1655" s="663"/>
      <c r="N1655" s="664"/>
      <c r="O1655" s="665"/>
      <c r="P1655" s="666"/>
      <c r="Q1655" s="667"/>
      <c r="R1655" s="668"/>
      <c r="S1655" s="665"/>
      <c r="T1655" s="669"/>
      <c r="U1655" s="669"/>
      <c r="V1655" s="665"/>
      <c r="W1655" s="670"/>
      <c r="X1655" s="670"/>
      <c r="Y1655" s="671"/>
      <c r="Z1655" s="671"/>
      <c r="AA1655" s="672"/>
      <c r="AB1655" s="673"/>
      <c r="AC1655" s="673"/>
      <c r="AD1655" s="673"/>
      <c r="AE1655" s="673"/>
      <c r="AF1655" s="673"/>
      <c r="AG1655" s="673"/>
      <c r="AH1655" s="673"/>
      <c r="AI1655" s="673"/>
      <c r="AJ1655" s="673"/>
      <c r="AK1655" s="673"/>
      <c r="AL1655" s="673"/>
      <c r="AM1655" s="673"/>
      <c r="AN1655" s="673"/>
      <c r="AO1655" s="673"/>
      <c r="AP1655" s="673"/>
      <c r="AQ1655" s="673"/>
      <c r="AR1655" s="673"/>
      <c r="AS1655" s="673"/>
    </row>
    <row r="1656">
      <c r="A1656" s="653"/>
      <c r="B1656" s="654"/>
      <c r="C1656" s="655"/>
      <c r="D1656" s="656"/>
      <c r="E1656" s="657"/>
      <c r="F1656" s="658"/>
      <c r="G1656" s="659"/>
      <c r="H1656" s="660"/>
      <c r="I1656" s="659"/>
      <c r="J1656" s="661"/>
      <c r="K1656" s="658"/>
      <c r="L1656" s="662"/>
      <c r="M1656" s="663"/>
      <c r="N1656" s="664"/>
      <c r="O1656" s="665"/>
      <c r="P1656" s="666"/>
      <c r="Q1656" s="667"/>
      <c r="R1656" s="668"/>
      <c r="S1656" s="665"/>
      <c r="T1656" s="669"/>
      <c r="U1656" s="669"/>
      <c r="V1656" s="665"/>
      <c r="W1656" s="670"/>
      <c r="X1656" s="670"/>
      <c r="Y1656" s="671"/>
      <c r="Z1656" s="671"/>
      <c r="AA1656" s="672"/>
      <c r="AB1656" s="673"/>
      <c r="AC1656" s="673"/>
      <c r="AD1656" s="673"/>
      <c r="AE1656" s="673"/>
      <c r="AF1656" s="673"/>
      <c r="AG1656" s="673"/>
      <c r="AH1656" s="673"/>
      <c r="AI1656" s="673"/>
      <c r="AJ1656" s="673"/>
      <c r="AK1656" s="673"/>
      <c r="AL1656" s="673"/>
      <c r="AM1656" s="673"/>
      <c r="AN1656" s="673"/>
      <c r="AO1656" s="673"/>
      <c r="AP1656" s="673"/>
      <c r="AQ1656" s="673"/>
      <c r="AR1656" s="673"/>
      <c r="AS1656" s="673"/>
    </row>
    <row r="1657">
      <c r="A1657" s="653"/>
      <c r="B1657" s="654"/>
      <c r="C1657" s="655"/>
      <c r="D1657" s="656"/>
      <c r="E1657" s="657"/>
      <c r="F1657" s="658"/>
      <c r="G1657" s="659"/>
      <c r="H1657" s="660"/>
      <c r="I1657" s="659"/>
      <c r="J1657" s="661"/>
      <c r="K1657" s="658"/>
      <c r="L1657" s="662"/>
      <c r="M1657" s="663"/>
      <c r="N1657" s="664"/>
      <c r="O1657" s="665"/>
      <c r="P1657" s="666"/>
      <c r="Q1657" s="667"/>
      <c r="R1657" s="668"/>
      <c r="S1657" s="665"/>
      <c r="T1657" s="669"/>
      <c r="U1657" s="669"/>
      <c r="V1657" s="665"/>
      <c r="W1657" s="670"/>
      <c r="X1657" s="670"/>
      <c r="Y1657" s="671"/>
      <c r="Z1657" s="671"/>
      <c r="AA1657" s="672"/>
      <c r="AB1657" s="673"/>
      <c r="AC1657" s="673"/>
      <c r="AD1657" s="673"/>
      <c r="AE1657" s="673"/>
      <c r="AF1657" s="673"/>
      <c r="AG1657" s="673"/>
      <c r="AH1657" s="673"/>
      <c r="AI1657" s="673"/>
      <c r="AJ1657" s="673"/>
      <c r="AK1657" s="673"/>
      <c r="AL1657" s="673"/>
      <c r="AM1657" s="673"/>
      <c r="AN1657" s="673"/>
      <c r="AO1657" s="673"/>
      <c r="AP1657" s="673"/>
      <c r="AQ1657" s="673"/>
      <c r="AR1657" s="673"/>
      <c r="AS1657" s="673"/>
    </row>
    <row r="1658">
      <c r="A1658" s="653"/>
      <c r="B1658" s="654"/>
      <c r="C1658" s="655"/>
      <c r="D1658" s="656"/>
      <c r="E1658" s="657"/>
      <c r="F1658" s="658"/>
      <c r="G1658" s="659"/>
      <c r="H1658" s="660"/>
      <c r="I1658" s="659"/>
      <c r="J1658" s="661"/>
      <c r="K1658" s="658"/>
      <c r="L1658" s="662"/>
      <c r="M1658" s="663"/>
      <c r="N1658" s="664"/>
      <c r="O1658" s="665"/>
      <c r="P1658" s="666"/>
      <c r="Q1658" s="667"/>
      <c r="R1658" s="668"/>
      <c r="S1658" s="665"/>
      <c r="T1658" s="669"/>
      <c r="U1658" s="669"/>
      <c r="V1658" s="665"/>
      <c r="W1658" s="670"/>
      <c r="X1658" s="670"/>
      <c r="Y1658" s="671"/>
      <c r="Z1658" s="671"/>
      <c r="AA1658" s="672"/>
      <c r="AB1658" s="673"/>
      <c r="AC1658" s="673"/>
      <c r="AD1658" s="673"/>
      <c r="AE1658" s="673"/>
      <c r="AF1658" s="673"/>
      <c r="AG1658" s="673"/>
      <c r="AH1658" s="673"/>
      <c r="AI1658" s="673"/>
      <c r="AJ1658" s="673"/>
      <c r="AK1658" s="673"/>
      <c r="AL1658" s="673"/>
      <c r="AM1658" s="673"/>
      <c r="AN1658" s="673"/>
      <c r="AO1658" s="673"/>
      <c r="AP1658" s="673"/>
      <c r="AQ1658" s="673"/>
      <c r="AR1658" s="673"/>
      <c r="AS1658" s="673"/>
    </row>
    <row r="1659">
      <c r="A1659" s="653"/>
      <c r="B1659" s="654"/>
      <c r="C1659" s="655"/>
      <c r="D1659" s="656"/>
      <c r="E1659" s="657"/>
      <c r="F1659" s="658"/>
      <c r="G1659" s="659"/>
      <c r="H1659" s="660"/>
      <c r="I1659" s="659"/>
      <c r="J1659" s="661"/>
      <c r="K1659" s="658"/>
      <c r="L1659" s="662"/>
      <c r="M1659" s="663"/>
      <c r="N1659" s="664"/>
      <c r="O1659" s="665"/>
      <c r="P1659" s="666"/>
      <c r="Q1659" s="667"/>
      <c r="R1659" s="668"/>
      <c r="S1659" s="665"/>
      <c r="T1659" s="669"/>
      <c r="U1659" s="669"/>
      <c r="V1659" s="665"/>
      <c r="W1659" s="670"/>
      <c r="X1659" s="670"/>
      <c r="Y1659" s="671"/>
      <c r="Z1659" s="671"/>
      <c r="AA1659" s="672"/>
      <c r="AB1659" s="673"/>
      <c r="AC1659" s="673"/>
      <c r="AD1659" s="673"/>
      <c r="AE1659" s="673"/>
      <c r="AF1659" s="673"/>
      <c r="AG1659" s="673"/>
      <c r="AH1659" s="673"/>
      <c r="AI1659" s="673"/>
      <c r="AJ1659" s="673"/>
      <c r="AK1659" s="673"/>
      <c r="AL1659" s="673"/>
      <c r="AM1659" s="673"/>
      <c r="AN1659" s="673"/>
      <c r="AO1659" s="673"/>
      <c r="AP1659" s="673"/>
      <c r="AQ1659" s="673"/>
      <c r="AR1659" s="673"/>
      <c r="AS1659" s="673"/>
    </row>
    <row r="1660">
      <c r="A1660" s="653"/>
      <c r="B1660" s="654"/>
      <c r="C1660" s="655"/>
      <c r="D1660" s="656"/>
      <c r="E1660" s="657"/>
      <c r="F1660" s="658"/>
      <c r="G1660" s="659"/>
      <c r="H1660" s="660"/>
      <c r="I1660" s="659"/>
      <c r="J1660" s="661"/>
      <c r="K1660" s="658"/>
      <c r="L1660" s="662"/>
      <c r="M1660" s="663"/>
      <c r="N1660" s="664"/>
      <c r="O1660" s="665"/>
      <c r="P1660" s="666"/>
      <c r="Q1660" s="667"/>
      <c r="R1660" s="668"/>
      <c r="S1660" s="665"/>
      <c r="T1660" s="669"/>
      <c r="U1660" s="669"/>
      <c r="V1660" s="665"/>
      <c r="W1660" s="670"/>
      <c r="X1660" s="670"/>
      <c r="Y1660" s="671"/>
      <c r="Z1660" s="671"/>
      <c r="AA1660" s="672"/>
      <c r="AB1660" s="673"/>
      <c r="AC1660" s="673"/>
      <c r="AD1660" s="673"/>
      <c r="AE1660" s="673"/>
      <c r="AF1660" s="673"/>
      <c r="AG1660" s="673"/>
      <c r="AH1660" s="673"/>
      <c r="AI1660" s="673"/>
      <c r="AJ1660" s="673"/>
      <c r="AK1660" s="673"/>
      <c r="AL1660" s="673"/>
      <c r="AM1660" s="673"/>
      <c r="AN1660" s="673"/>
      <c r="AO1660" s="673"/>
      <c r="AP1660" s="673"/>
      <c r="AQ1660" s="673"/>
      <c r="AR1660" s="673"/>
      <c r="AS1660" s="673"/>
    </row>
    <row r="1661">
      <c r="A1661" s="653"/>
      <c r="B1661" s="654"/>
      <c r="C1661" s="655"/>
      <c r="D1661" s="656"/>
      <c r="E1661" s="657"/>
      <c r="F1661" s="658"/>
      <c r="G1661" s="659"/>
      <c r="H1661" s="660"/>
      <c r="I1661" s="659"/>
      <c r="J1661" s="661"/>
      <c r="K1661" s="658"/>
      <c r="L1661" s="662"/>
      <c r="M1661" s="663"/>
      <c r="N1661" s="664"/>
      <c r="O1661" s="665"/>
      <c r="P1661" s="666"/>
      <c r="Q1661" s="667"/>
      <c r="R1661" s="668"/>
      <c r="S1661" s="665"/>
      <c r="T1661" s="669"/>
      <c r="U1661" s="669"/>
      <c r="V1661" s="665"/>
      <c r="W1661" s="670"/>
      <c r="X1661" s="670"/>
      <c r="Y1661" s="671"/>
      <c r="Z1661" s="671"/>
      <c r="AA1661" s="672"/>
      <c r="AB1661" s="673"/>
      <c r="AC1661" s="673"/>
      <c r="AD1661" s="673"/>
      <c r="AE1661" s="673"/>
      <c r="AF1661" s="673"/>
      <c r="AG1661" s="673"/>
      <c r="AH1661" s="673"/>
      <c r="AI1661" s="673"/>
      <c r="AJ1661" s="673"/>
      <c r="AK1661" s="673"/>
      <c r="AL1661" s="673"/>
      <c r="AM1661" s="673"/>
      <c r="AN1661" s="673"/>
      <c r="AO1661" s="673"/>
      <c r="AP1661" s="673"/>
      <c r="AQ1661" s="673"/>
      <c r="AR1661" s="673"/>
      <c r="AS1661" s="673"/>
    </row>
    <row r="1662">
      <c r="A1662" s="653"/>
      <c r="B1662" s="654"/>
      <c r="C1662" s="655"/>
      <c r="D1662" s="656"/>
      <c r="E1662" s="657"/>
      <c r="F1662" s="658"/>
      <c r="G1662" s="659"/>
      <c r="H1662" s="660"/>
      <c r="I1662" s="659"/>
      <c r="J1662" s="661"/>
      <c r="K1662" s="658"/>
      <c r="L1662" s="662"/>
      <c r="M1662" s="663"/>
      <c r="N1662" s="664"/>
      <c r="O1662" s="665"/>
      <c r="P1662" s="666"/>
      <c r="Q1662" s="667"/>
      <c r="R1662" s="668"/>
      <c r="S1662" s="665"/>
      <c r="T1662" s="669"/>
      <c r="U1662" s="669"/>
      <c r="V1662" s="665"/>
      <c r="W1662" s="670"/>
      <c r="X1662" s="670"/>
      <c r="Y1662" s="671"/>
      <c r="Z1662" s="671"/>
      <c r="AA1662" s="672"/>
      <c r="AB1662" s="673"/>
      <c r="AC1662" s="673"/>
      <c r="AD1662" s="673"/>
      <c r="AE1662" s="673"/>
      <c r="AF1662" s="673"/>
      <c r="AG1662" s="673"/>
      <c r="AH1662" s="673"/>
      <c r="AI1662" s="673"/>
      <c r="AJ1662" s="673"/>
      <c r="AK1662" s="673"/>
      <c r="AL1662" s="673"/>
      <c r="AM1662" s="673"/>
      <c r="AN1662" s="673"/>
      <c r="AO1662" s="673"/>
      <c r="AP1662" s="673"/>
      <c r="AQ1662" s="673"/>
      <c r="AR1662" s="673"/>
      <c r="AS1662" s="673"/>
    </row>
    <row r="1663">
      <c r="A1663" s="653"/>
      <c r="B1663" s="654"/>
      <c r="C1663" s="655"/>
      <c r="D1663" s="656"/>
      <c r="E1663" s="657"/>
      <c r="F1663" s="658"/>
      <c r="G1663" s="659"/>
      <c r="H1663" s="660"/>
      <c r="I1663" s="659"/>
      <c r="J1663" s="661"/>
      <c r="K1663" s="658"/>
      <c r="L1663" s="662"/>
      <c r="M1663" s="663"/>
      <c r="N1663" s="664"/>
      <c r="O1663" s="665"/>
      <c r="P1663" s="666"/>
      <c r="Q1663" s="667"/>
      <c r="R1663" s="668"/>
      <c r="S1663" s="665"/>
      <c r="T1663" s="669"/>
      <c r="U1663" s="669"/>
      <c r="V1663" s="665"/>
      <c r="W1663" s="670"/>
      <c r="X1663" s="670"/>
      <c r="Y1663" s="671"/>
      <c r="Z1663" s="671"/>
      <c r="AA1663" s="672"/>
      <c r="AB1663" s="673"/>
      <c r="AC1663" s="673"/>
      <c r="AD1663" s="673"/>
      <c r="AE1663" s="673"/>
      <c r="AF1663" s="673"/>
      <c r="AG1663" s="673"/>
      <c r="AH1663" s="673"/>
      <c r="AI1663" s="673"/>
      <c r="AJ1663" s="673"/>
      <c r="AK1663" s="673"/>
      <c r="AL1663" s="673"/>
      <c r="AM1663" s="673"/>
      <c r="AN1663" s="673"/>
      <c r="AO1663" s="673"/>
      <c r="AP1663" s="673"/>
      <c r="AQ1663" s="673"/>
      <c r="AR1663" s="673"/>
      <c r="AS1663" s="673"/>
    </row>
    <row r="1664">
      <c r="A1664" s="653"/>
      <c r="B1664" s="654"/>
      <c r="C1664" s="655"/>
      <c r="D1664" s="656"/>
      <c r="E1664" s="657"/>
      <c r="F1664" s="658"/>
      <c r="G1664" s="659"/>
      <c r="H1664" s="660"/>
      <c r="I1664" s="659"/>
      <c r="J1664" s="661"/>
      <c r="K1664" s="658"/>
      <c r="L1664" s="662"/>
      <c r="M1664" s="663"/>
      <c r="N1664" s="664"/>
      <c r="O1664" s="665"/>
      <c r="P1664" s="666"/>
      <c r="Q1664" s="667"/>
      <c r="R1664" s="668"/>
      <c r="S1664" s="665"/>
      <c r="T1664" s="669"/>
      <c r="U1664" s="669"/>
      <c r="V1664" s="665"/>
      <c r="W1664" s="670"/>
      <c r="X1664" s="670"/>
      <c r="Y1664" s="671"/>
      <c r="Z1664" s="671"/>
      <c r="AA1664" s="672"/>
      <c r="AB1664" s="673"/>
      <c r="AC1664" s="673"/>
      <c r="AD1664" s="673"/>
      <c r="AE1664" s="673"/>
      <c r="AF1664" s="673"/>
      <c r="AG1664" s="673"/>
      <c r="AH1664" s="673"/>
      <c r="AI1664" s="673"/>
      <c r="AJ1664" s="673"/>
      <c r="AK1664" s="673"/>
      <c r="AL1664" s="673"/>
      <c r="AM1664" s="673"/>
      <c r="AN1664" s="673"/>
      <c r="AO1664" s="673"/>
      <c r="AP1664" s="673"/>
      <c r="AQ1664" s="673"/>
      <c r="AR1664" s="673"/>
      <c r="AS1664" s="673"/>
    </row>
    <row r="1665">
      <c r="A1665" s="653"/>
      <c r="B1665" s="654"/>
      <c r="C1665" s="655"/>
      <c r="D1665" s="656"/>
      <c r="E1665" s="657"/>
      <c r="F1665" s="658"/>
      <c r="G1665" s="659"/>
      <c r="H1665" s="660"/>
      <c r="I1665" s="659"/>
      <c r="J1665" s="661"/>
      <c r="K1665" s="658"/>
      <c r="L1665" s="662"/>
      <c r="M1665" s="663"/>
      <c r="N1665" s="664"/>
      <c r="O1665" s="665"/>
      <c r="P1665" s="666"/>
      <c r="Q1665" s="667"/>
      <c r="R1665" s="668"/>
      <c r="S1665" s="665"/>
      <c r="T1665" s="669"/>
      <c r="U1665" s="669"/>
      <c r="V1665" s="665"/>
      <c r="W1665" s="670"/>
      <c r="X1665" s="670"/>
      <c r="Y1665" s="671"/>
      <c r="Z1665" s="671"/>
      <c r="AA1665" s="672"/>
      <c r="AB1665" s="673"/>
      <c r="AC1665" s="673"/>
      <c r="AD1665" s="673"/>
      <c r="AE1665" s="673"/>
      <c r="AF1665" s="673"/>
      <c r="AG1665" s="673"/>
      <c r="AH1665" s="673"/>
      <c r="AI1665" s="673"/>
      <c r="AJ1665" s="673"/>
      <c r="AK1665" s="673"/>
      <c r="AL1665" s="673"/>
      <c r="AM1665" s="673"/>
      <c r="AN1665" s="673"/>
      <c r="AO1665" s="673"/>
      <c r="AP1665" s="673"/>
      <c r="AQ1665" s="673"/>
      <c r="AR1665" s="673"/>
      <c r="AS1665" s="673"/>
    </row>
    <row r="1666">
      <c r="A1666" s="653"/>
      <c r="B1666" s="654"/>
      <c r="C1666" s="655"/>
      <c r="D1666" s="656"/>
      <c r="E1666" s="657"/>
      <c r="F1666" s="658"/>
      <c r="G1666" s="659"/>
      <c r="H1666" s="660"/>
      <c r="I1666" s="659"/>
      <c r="J1666" s="661"/>
      <c r="K1666" s="658"/>
      <c r="L1666" s="662"/>
      <c r="M1666" s="663"/>
      <c r="N1666" s="664"/>
      <c r="O1666" s="665"/>
      <c r="P1666" s="666"/>
      <c r="Q1666" s="667"/>
      <c r="R1666" s="668"/>
      <c r="S1666" s="665"/>
      <c r="T1666" s="669"/>
      <c r="U1666" s="669"/>
      <c r="V1666" s="665"/>
      <c r="W1666" s="670"/>
      <c r="X1666" s="670"/>
      <c r="Y1666" s="671"/>
      <c r="Z1666" s="671"/>
      <c r="AA1666" s="672"/>
      <c r="AB1666" s="673"/>
      <c r="AC1666" s="673"/>
      <c r="AD1666" s="673"/>
      <c r="AE1666" s="673"/>
      <c r="AF1666" s="673"/>
      <c r="AG1666" s="673"/>
      <c r="AH1666" s="673"/>
      <c r="AI1666" s="673"/>
      <c r="AJ1666" s="673"/>
      <c r="AK1666" s="673"/>
      <c r="AL1666" s="673"/>
      <c r="AM1666" s="673"/>
      <c r="AN1666" s="673"/>
      <c r="AO1666" s="673"/>
      <c r="AP1666" s="673"/>
      <c r="AQ1666" s="673"/>
      <c r="AR1666" s="673"/>
      <c r="AS1666" s="673"/>
    </row>
    <row r="1667">
      <c r="A1667" s="653"/>
      <c r="B1667" s="654"/>
      <c r="C1667" s="655"/>
      <c r="D1667" s="656"/>
      <c r="E1667" s="657"/>
      <c r="F1667" s="658"/>
      <c r="G1667" s="659"/>
      <c r="H1667" s="660"/>
      <c r="I1667" s="659"/>
      <c r="J1667" s="661"/>
      <c r="K1667" s="658"/>
      <c r="L1667" s="662"/>
      <c r="M1667" s="663"/>
      <c r="N1667" s="664"/>
      <c r="O1667" s="665"/>
      <c r="P1667" s="666"/>
      <c r="Q1667" s="667"/>
      <c r="R1667" s="668"/>
      <c r="S1667" s="665"/>
      <c r="T1667" s="669"/>
      <c r="U1667" s="669"/>
      <c r="V1667" s="665"/>
      <c r="W1667" s="670"/>
      <c r="X1667" s="670"/>
      <c r="Y1667" s="671"/>
      <c r="Z1667" s="671"/>
      <c r="AA1667" s="672"/>
      <c r="AB1667" s="673"/>
      <c r="AC1667" s="673"/>
      <c r="AD1667" s="673"/>
      <c r="AE1667" s="673"/>
      <c r="AF1667" s="673"/>
      <c r="AG1667" s="673"/>
      <c r="AH1667" s="673"/>
      <c r="AI1667" s="673"/>
      <c r="AJ1667" s="673"/>
      <c r="AK1667" s="673"/>
      <c r="AL1667" s="673"/>
      <c r="AM1667" s="673"/>
      <c r="AN1667" s="673"/>
      <c r="AO1667" s="673"/>
      <c r="AP1667" s="673"/>
      <c r="AQ1667" s="673"/>
      <c r="AR1667" s="673"/>
      <c r="AS1667" s="673"/>
    </row>
    <row r="1668">
      <c r="A1668" s="653"/>
      <c r="B1668" s="654"/>
      <c r="C1668" s="655"/>
      <c r="D1668" s="656"/>
      <c r="E1668" s="657"/>
      <c r="F1668" s="658"/>
      <c r="G1668" s="659"/>
      <c r="H1668" s="660"/>
      <c r="I1668" s="659"/>
      <c r="J1668" s="661"/>
      <c r="K1668" s="658"/>
      <c r="L1668" s="662"/>
      <c r="M1668" s="663"/>
      <c r="N1668" s="664"/>
      <c r="O1668" s="665"/>
      <c r="P1668" s="666"/>
      <c r="Q1668" s="667"/>
      <c r="R1668" s="668"/>
      <c r="S1668" s="665"/>
      <c r="T1668" s="669"/>
      <c r="U1668" s="669"/>
      <c r="V1668" s="665"/>
      <c r="W1668" s="670"/>
      <c r="X1668" s="670"/>
      <c r="Y1668" s="671"/>
      <c r="Z1668" s="671"/>
      <c r="AA1668" s="672"/>
      <c r="AB1668" s="673"/>
      <c r="AC1668" s="673"/>
      <c r="AD1668" s="673"/>
      <c r="AE1668" s="673"/>
      <c r="AF1668" s="673"/>
      <c r="AG1668" s="673"/>
      <c r="AH1668" s="673"/>
      <c r="AI1668" s="673"/>
      <c r="AJ1668" s="673"/>
      <c r="AK1668" s="673"/>
      <c r="AL1668" s="673"/>
      <c r="AM1668" s="673"/>
      <c r="AN1668" s="673"/>
      <c r="AO1668" s="673"/>
      <c r="AP1668" s="673"/>
      <c r="AQ1668" s="673"/>
      <c r="AR1668" s="673"/>
      <c r="AS1668" s="673"/>
    </row>
    <row r="1669">
      <c r="A1669" s="653"/>
      <c r="B1669" s="654"/>
      <c r="C1669" s="655"/>
      <c r="D1669" s="656"/>
      <c r="E1669" s="657"/>
      <c r="F1669" s="658"/>
      <c r="G1669" s="659"/>
      <c r="H1669" s="660"/>
      <c r="I1669" s="659"/>
      <c r="J1669" s="661"/>
      <c r="K1669" s="658"/>
      <c r="L1669" s="662"/>
      <c r="M1669" s="663"/>
      <c r="N1669" s="664"/>
      <c r="O1669" s="665"/>
      <c r="P1669" s="666"/>
      <c r="Q1669" s="667"/>
      <c r="R1669" s="668"/>
      <c r="S1669" s="665"/>
      <c r="T1669" s="669"/>
      <c r="U1669" s="669"/>
      <c r="V1669" s="665"/>
      <c r="W1669" s="670"/>
      <c r="X1669" s="670"/>
      <c r="Y1669" s="671"/>
      <c r="Z1669" s="671"/>
      <c r="AA1669" s="672"/>
      <c r="AB1669" s="673"/>
      <c r="AC1669" s="673"/>
      <c r="AD1669" s="673"/>
      <c r="AE1669" s="673"/>
      <c r="AF1669" s="673"/>
      <c r="AG1669" s="673"/>
      <c r="AH1669" s="673"/>
      <c r="AI1669" s="673"/>
      <c r="AJ1669" s="673"/>
      <c r="AK1669" s="673"/>
      <c r="AL1669" s="673"/>
      <c r="AM1669" s="673"/>
      <c r="AN1669" s="673"/>
      <c r="AO1669" s="673"/>
      <c r="AP1669" s="673"/>
      <c r="AQ1669" s="673"/>
      <c r="AR1669" s="673"/>
      <c r="AS1669" s="673"/>
    </row>
    <row r="1670">
      <c r="A1670" s="653"/>
      <c r="B1670" s="654"/>
      <c r="C1670" s="655"/>
      <c r="D1670" s="656"/>
      <c r="E1670" s="657"/>
      <c r="F1670" s="658"/>
      <c r="G1670" s="659"/>
      <c r="H1670" s="660"/>
      <c r="I1670" s="659"/>
      <c r="J1670" s="661"/>
      <c r="K1670" s="658"/>
      <c r="L1670" s="662"/>
      <c r="M1670" s="663"/>
      <c r="N1670" s="664"/>
      <c r="O1670" s="665"/>
      <c r="P1670" s="666"/>
      <c r="Q1670" s="667"/>
      <c r="R1670" s="668"/>
      <c r="S1670" s="665"/>
      <c r="T1670" s="669"/>
      <c r="U1670" s="669"/>
      <c r="V1670" s="665"/>
      <c r="W1670" s="670"/>
      <c r="X1670" s="670"/>
      <c r="Y1670" s="671"/>
      <c r="Z1670" s="671"/>
      <c r="AA1670" s="672"/>
      <c r="AB1670" s="673"/>
      <c r="AC1670" s="673"/>
      <c r="AD1670" s="673"/>
      <c r="AE1670" s="673"/>
      <c r="AF1670" s="673"/>
      <c r="AG1670" s="673"/>
      <c r="AH1670" s="673"/>
      <c r="AI1670" s="673"/>
      <c r="AJ1670" s="673"/>
      <c r="AK1670" s="673"/>
      <c r="AL1670" s="673"/>
      <c r="AM1670" s="673"/>
      <c r="AN1670" s="673"/>
      <c r="AO1670" s="673"/>
      <c r="AP1670" s="673"/>
      <c r="AQ1670" s="673"/>
      <c r="AR1670" s="673"/>
      <c r="AS1670" s="673"/>
    </row>
    <row r="1671">
      <c r="A1671" s="653"/>
      <c r="B1671" s="654"/>
      <c r="C1671" s="655"/>
      <c r="D1671" s="656"/>
      <c r="E1671" s="657"/>
      <c r="F1671" s="658"/>
      <c r="G1671" s="659"/>
      <c r="H1671" s="660"/>
      <c r="I1671" s="659"/>
      <c r="J1671" s="661"/>
      <c r="K1671" s="658"/>
      <c r="L1671" s="662"/>
      <c r="M1671" s="663"/>
      <c r="N1671" s="664"/>
      <c r="O1671" s="665"/>
      <c r="P1671" s="666"/>
      <c r="Q1671" s="667"/>
      <c r="R1671" s="668"/>
      <c r="S1671" s="665"/>
      <c r="T1671" s="669"/>
      <c r="U1671" s="669"/>
      <c r="V1671" s="665"/>
      <c r="W1671" s="670"/>
      <c r="X1671" s="670"/>
      <c r="Y1671" s="671"/>
      <c r="Z1671" s="671"/>
      <c r="AA1671" s="672"/>
      <c r="AB1671" s="673"/>
      <c r="AC1671" s="673"/>
      <c r="AD1671" s="673"/>
      <c r="AE1671" s="673"/>
      <c r="AF1671" s="673"/>
      <c r="AG1671" s="673"/>
      <c r="AH1671" s="673"/>
      <c r="AI1671" s="673"/>
      <c r="AJ1671" s="673"/>
      <c r="AK1671" s="673"/>
      <c r="AL1671" s="673"/>
      <c r="AM1671" s="673"/>
      <c r="AN1671" s="673"/>
      <c r="AO1671" s="673"/>
      <c r="AP1671" s="673"/>
      <c r="AQ1671" s="673"/>
      <c r="AR1671" s="673"/>
      <c r="AS1671" s="673"/>
    </row>
    <row r="1672">
      <c r="A1672" s="653"/>
      <c r="B1672" s="654"/>
      <c r="C1672" s="655"/>
      <c r="D1672" s="656"/>
      <c r="E1672" s="657"/>
      <c r="F1672" s="658"/>
      <c r="G1672" s="659"/>
      <c r="H1672" s="660"/>
      <c r="I1672" s="659"/>
      <c r="J1672" s="661"/>
      <c r="K1672" s="658"/>
      <c r="L1672" s="662"/>
      <c r="M1672" s="663"/>
      <c r="N1672" s="664"/>
      <c r="O1672" s="665"/>
      <c r="P1672" s="666"/>
      <c r="Q1672" s="667"/>
      <c r="R1672" s="668"/>
      <c r="S1672" s="665"/>
      <c r="T1672" s="669"/>
      <c r="U1672" s="669"/>
      <c r="V1672" s="665"/>
      <c r="W1672" s="670"/>
      <c r="X1672" s="670"/>
      <c r="Y1672" s="671"/>
      <c r="Z1672" s="671"/>
      <c r="AA1672" s="672"/>
      <c r="AB1672" s="673"/>
      <c r="AC1672" s="673"/>
      <c r="AD1672" s="673"/>
      <c r="AE1672" s="673"/>
      <c r="AF1672" s="673"/>
      <c r="AG1672" s="673"/>
      <c r="AH1672" s="673"/>
      <c r="AI1672" s="673"/>
      <c r="AJ1672" s="673"/>
      <c r="AK1672" s="673"/>
      <c r="AL1672" s="673"/>
      <c r="AM1672" s="673"/>
      <c r="AN1672" s="673"/>
      <c r="AO1672" s="673"/>
      <c r="AP1672" s="673"/>
      <c r="AQ1672" s="673"/>
      <c r="AR1672" s="673"/>
      <c r="AS1672" s="673"/>
    </row>
    <row r="1673">
      <c r="A1673" s="653"/>
      <c r="B1673" s="654"/>
      <c r="C1673" s="655"/>
      <c r="D1673" s="656"/>
      <c r="E1673" s="657"/>
      <c r="F1673" s="658"/>
      <c r="G1673" s="659"/>
      <c r="H1673" s="660"/>
      <c r="I1673" s="659"/>
      <c r="J1673" s="661"/>
      <c r="K1673" s="658"/>
      <c r="L1673" s="662"/>
      <c r="M1673" s="663"/>
      <c r="N1673" s="664"/>
      <c r="O1673" s="665"/>
      <c r="P1673" s="666"/>
      <c r="Q1673" s="667"/>
      <c r="R1673" s="668"/>
      <c r="S1673" s="665"/>
      <c r="T1673" s="669"/>
      <c r="U1673" s="669"/>
      <c r="V1673" s="665"/>
      <c r="W1673" s="670"/>
      <c r="X1673" s="670"/>
      <c r="Y1673" s="671"/>
      <c r="Z1673" s="671"/>
      <c r="AA1673" s="672"/>
      <c r="AB1673" s="673"/>
      <c r="AC1673" s="673"/>
      <c r="AD1673" s="673"/>
      <c r="AE1673" s="673"/>
      <c r="AF1673" s="673"/>
      <c r="AG1673" s="673"/>
      <c r="AH1673" s="673"/>
      <c r="AI1673" s="673"/>
      <c r="AJ1673" s="673"/>
      <c r="AK1673" s="673"/>
      <c r="AL1673" s="673"/>
      <c r="AM1673" s="673"/>
      <c r="AN1673" s="673"/>
      <c r="AO1673" s="673"/>
      <c r="AP1673" s="673"/>
      <c r="AQ1673" s="673"/>
      <c r="AR1673" s="673"/>
      <c r="AS1673" s="673"/>
    </row>
    <row r="1674">
      <c r="A1674" s="653"/>
      <c r="B1674" s="654"/>
      <c r="C1674" s="655"/>
      <c r="D1674" s="656"/>
      <c r="E1674" s="657"/>
      <c r="F1674" s="658"/>
      <c r="G1674" s="659"/>
      <c r="H1674" s="660"/>
      <c r="I1674" s="659"/>
      <c r="J1674" s="661"/>
      <c r="K1674" s="658"/>
      <c r="L1674" s="662"/>
      <c r="M1674" s="663"/>
      <c r="N1674" s="664"/>
      <c r="O1674" s="665"/>
      <c r="P1674" s="666"/>
      <c r="Q1674" s="667"/>
      <c r="R1674" s="668"/>
      <c r="S1674" s="665"/>
      <c r="T1674" s="669"/>
      <c r="U1674" s="669"/>
      <c r="V1674" s="665"/>
      <c r="W1674" s="670"/>
      <c r="X1674" s="670"/>
      <c r="Y1674" s="671"/>
      <c r="Z1674" s="671"/>
      <c r="AA1674" s="672"/>
      <c r="AB1674" s="673"/>
      <c r="AC1674" s="673"/>
      <c r="AD1674" s="673"/>
      <c r="AE1674" s="673"/>
      <c r="AF1674" s="673"/>
      <c r="AG1674" s="673"/>
      <c r="AH1674" s="673"/>
      <c r="AI1674" s="673"/>
      <c r="AJ1674" s="673"/>
      <c r="AK1674" s="673"/>
      <c r="AL1674" s="673"/>
      <c r="AM1674" s="673"/>
      <c r="AN1674" s="673"/>
      <c r="AO1674" s="673"/>
      <c r="AP1674" s="673"/>
      <c r="AQ1674" s="673"/>
      <c r="AR1674" s="673"/>
      <c r="AS1674" s="673"/>
    </row>
    <row r="1675">
      <c r="A1675" s="653"/>
      <c r="B1675" s="654"/>
      <c r="C1675" s="655"/>
      <c r="D1675" s="656"/>
      <c r="E1675" s="657"/>
      <c r="F1675" s="658"/>
      <c r="G1675" s="659"/>
      <c r="H1675" s="660"/>
      <c r="I1675" s="659"/>
      <c r="J1675" s="661"/>
      <c r="K1675" s="658"/>
      <c r="L1675" s="662"/>
      <c r="M1675" s="663"/>
      <c r="N1675" s="664"/>
      <c r="O1675" s="665"/>
      <c r="P1675" s="666"/>
      <c r="Q1675" s="667"/>
      <c r="R1675" s="668"/>
      <c r="S1675" s="665"/>
      <c r="T1675" s="669"/>
      <c r="U1675" s="669"/>
      <c r="V1675" s="665"/>
      <c r="W1675" s="670"/>
      <c r="X1675" s="670"/>
      <c r="Y1675" s="671"/>
      <c r="Z1675" s="671"/>
      <c r="AA1675" s="672"/>
      <c r="AB1675" s="673"/>
      <c r="AC1675" s="673"/>
      <c r="AD1675" s="673"/>
      <c r="AE1675" s="673"/>
      <c r="AF1675" s="673"/>
      <c r="AG1675" s="673"/>
      <c r="AH1675" s="673"/>
      <c r="AI1675" s="673"/>
      <c r="AJ1675" s="673"/>
      <c r="AK1675" s="673"/>
      <c r="AL1675" s="673"/>
      <c r="AM1675" s="673"/>
      <c r="AN1675" s="673"/>
      <c r="AO1675" s="673"/>
      <c r="AP1675" s="673"/>
      <c r="AQ1675" s="673"/>
      <c r="AR1675" s="673"/>
      <c r="AS1675" s="673"/>
    </row>
    <row r="1676">
      <c r="A1676" s="653"/>
      <c r="B1676" s="654"/>
      <c r="C1676" s="655"/>
      <c r="D1676" s="656"/>
      <c r="E1676" s="657"/>
      <c r="F1676" s="658"/>
      <c r="G1676" s="659"/>
      <c r="H1676" s="660"/>
      <c r="I1676" s="659"/>
      <c r="J1676" s="661"/>
      <c r="K1676" s="658"/>
      <c r="L1676" s="662"/>
      <c r="M1676" s="663"/>
      <c r="N1676" s="664"/>
      <c r="O1676" s="665"/>
      <c r="P1676" s="666"/>
      <c r="Q1676" s="667"/>
      <c r="R1676" s="668"/>
      <c r="S1676" s="665"/>
      <c r="T1676" s="669"/>
      <c r="U1676" s="669"/>
      <c r="V1676" s="665"/>
      <c r="W1676" s="670"/>
      <c r="X1676" s="670"/>
      <c r="Y1676" s="671"/>
      <c r="Z1676" s="671"/>
      <c r="AA1676" s="672"/>
      <c r="AB1676" s="673"/>
      <c r="AC1676" s="673"/>
      <c r="AD1676" s="673"/>
      <c r="AE1676" s="673"/>
      <c r="AF1676" s="673"/>
      <c r="AG1676" s="673"/>
      <c r="AH1676" s="673"/>
      <c r="AI1676" s="673"/>
      <c r="AJ1676" s="673"/>
      <c r="AK1676" s="673"/>
      <c r="AL1676" s="673"/>
      <c r="AM1676" s="673"/>
      <c r="AN1676" s="673"/>
      <c r="AO1676" s="673"/>
      <c r="AP1676" s="673"/>
      <c r="AQ1676" s="673"/>
      <c r="AR1676" s="673"/>
      <c r="AS1676" s="673"/>
    </row>
    <row r="1677">
      <c r="A1677" s="653"/>
      <c r="B1677" s="654"/>
      <c r="C1677" s="655"/>
      <c r="D1677" s="656"/>
      <c r="E1677" s="657"/>
      <c r="F1677" s="658"/>
      <c r="G1677" s="659"/>
      <c r="H1677" s="660"/>
      <c r="I1677" s="659"/>
      <c r="J1677" s="661"/>
      <c r="K1677" s="658"/>
      <c r="L1677" s="662"/>
      <c r="M1677" s="663"/>
      <c r="N1677" s="664"/>
      <c r="O1677" s="665"/>
      <c r="P1677" s="666"/>
      <c r="Q1677" s="667"/>
      <c r="R1677" s="668"/>
      <c r="S1677" s="665"/>
      <c r="T1677" s="669"/>
      <c r="U1677" s="669"/>
      <c r="V1677" s="665"/>
      <c r="W1677" s="670"/>
      <c r="X1677" s="670"/>
      <c r="Y1677" s="671"/>
      <c r="Z1677" s="671"/>
      <c r="AA1677" s="672"/>
      <c r="AB1677" s="673"/>
      <c r="AC1677" s="673"/>
      <c r="AD1677" s="673"/>
      <c r="AE1677" s="673"/>
      <c r="AF1677" s="673"/>
      <c r="AG1677" s="673"/>
      <c r="AH1677" s="673"/>
      <c r="AI1677" s="673"/>
      <c r="AJ1677" s="673"/>
      <c r="AK1677" s="673"/>
      <c r="AL1677" s="673"/>
      <c r="AM1677" s="673"/>
      <c r="AN1677" s="673"/>
      <c r="AO1677" s="673"/>
      <c r="AP1677" s="673"/>
      <c r="AQ1677" s="673"/>
      <c r="AR1677" s="673"/>
      <c r="AS1677" s="673"/>
    </row>
    <row r="1678">
      <c r="A1678" s="653"/>
      <c r="B1678" s="654"/>
      <c r="C1678" s="655"/>
      <c r="D1678" s="656"/>
      <c r="E1678" s="657"/>
      <c r="F1678" s="658"/>
      <c r="G1678" s="659"/>
      <c r="H1678" s="660"/>
      <c r="I1678" s="659"/>
      <c r="J1678" s="661"/>
      <c r="K1678" s="658"/>
      <c r="L1678" s="662"/>
      <c r="M1678" s="663"/>
      <c r="N1678" s="664"/>
      <c r="O1678" s="665"/>
      <c r="P1678" s="666"/>
      <c r="Q1678" s="667"/>
      <c r="R1678" s="668"/>
      <c r="S1678" s="665"/>
      <c r="T1678" s="669"/>
      <c r="U1678" s="669"/>
      <c r="V1678" s="665"/>
      <c r="W1678" s="670"/>
      <c r="X1678" s="670"/>
      <c r="Y1678" s="671"/>
      <c r="Z1678" s="671"/>
      <c r="AA1678" s="672"/>
      <c r="AB1678" s="673"/>
      <c r="AC1678" s="673"/>
      <c r="AD1678" s="673"/>
      <c r="AE1678" s="673"/>
      <c r="AF1678" s="673"/>
      <c r="AG1678" s="673"/>
      <c r="AH1678" s="673"/>
      <c r="AI1678" s="673"/>
      <c r="AJ1678" s="673"/>
      <c r="AK1678" s="673"/>
      <c r="AL1678" s="673"/>
      <c r="AM1678" s="673"/>
      <c r="AN1678" s="673"/>
      <c r="AO1678" s="673"/>
      <c r="AP1678" s="673"/>
      <c r="AQ1678" s="673"/>
      <c r="AR1678" s="673"/>
      <c r="AS1678" s="673"/>
    </row>
    <row r="1679">
      <c r="A1679" s="653"/>
      <c r="B1679" s="654"/>
      <c r="C1679" s="655"/>
      <c r="D1679" s="656"/>
      <c r="E1679" s="657"/>
      <c r="F1679" s="658"/>
      <c r="G1679" s="659"/>
      <c r="H1679" s="660"/>
      <c r="I1679" s="659"/>
      <c r="J1679" s="661"/>
      <c r="K1679" s="658"/>
      <c r="L1679" s="662"/>
      <c r="M1679" s="663"/>
      <c r="N1679" s="664"/>
      <c r="O1679" s="665"/>
      <c r="P1679" s="666"/>
      <c r="Q1679" s="667"/>
      <c r="R1679" s="668"/>
      <c r="S1679" s="665"/>
      <c r="T1679" s="669"/>
      <c r="U1679" s="669"/>
      <c r="V1679" s="665"/>
      <c r="W1679" s="670"/>
      <c r="X1679" s="670"/>
      <c r="Y1679" s="671"/>
      <c r="Z1679" s="671"/>
      <c r="AA1679" s="672"/>
      <c r="AB1679" s="673"/>
      <c r="AC1679" s="673"/>
      <c r="AD1679" s="673"/>
      <c r="AE1679" s="673"/>
      <c r="AF1679" s="673"/>
      <c r="AG1679" s="673"/>
      <c r="AH1679" s="673"/>
      <c r="AI1679" s="673"/>
      <c r="AJ1679" s="673"/>
      <c r="AK1679" s="673"/>
      <c r="AL1679" s="673"/>
      <c r="AM1679" s="673"/>
      <c r="AN1679" s="673"/>
      <c r="AO1679" s="673"/>
      <c r="AP1679" s="673"/>
      <c r="AQ1679" s="673"/>
      <c r="AR1679" s="673"/>
      <c r="AS1679" s="673"/>
    </row>
    <row r="1680">
      <c r="A1680" s="653"/>
      <c r="B1680" s="654"/>
      <c r="C1680" s="655"/>
      <c r="D1680" s="656"/>
      <c r="E1680" s="657"/>
      <c r="F1680" s="658"/>
      <c r="G1680" s="659"/>
      <c r="H1680" s="660"/>
      <c r="I1680" s="659"/>
      <c r="J1680" s="661"/>
      <c r="K1680" s="658"/>
      <c r="L1680" s="662"/>
      <c r="M1680" s="663"/>
      <c r="N1680" s="664"/>
      <c r="O1680" s="665"/>
      <c r="P1680" s="666"/>
      <c r="Q1680" s="667"/>
      <c r="R1680" s="668"/>
      <c r="S1680" s="665"/>
      <c r="T1680" s="669"/>
      <c r="U1680" s="669"/>
      <c r="V1680" s="665"/>
      <c r="W1680" s="670"/>
      <c r="X1680" s="670"/>
      <c r="Y1680" s="671"/>
      <c r="Z1680" s="671"/>
      <c r="AA1680" s="672"/>
      <c r="AB1680" s="673"/>
      <c r="AC1680" s="673"/>
      <c r="AD1680" s="673"/>
      <c r="AE1680" s="673"/>
      <c r="AF1680" s="673"/>
      <c r="AG1680" s="673"/>
      <c r="AH1680" s="673"/>
      <c r="AI1680" s="673"/>
      <c r="AJ1680" s="673"/>
      <c r="AK1680" s="673"/>
      <c r="AL1680" s="673"/>
      <c r="AM1680" s="673"/>
      <c r="AN1680" s="673"/>
      <c r="AO1680" s="673"/>
      <c r="AP1680" s="673"/>
      <c r="AQ1680" s="673"/>
      <c r="AR1680" s="673"/>
      <c r="AS1680" s="673"/>
    </row>
    <row r="1681">
      <c r="A1681" s="653"/>
      <c r="B1681" s="654"/>
      <c r="C1681" s="655"/>
      <c r="D1681" s="656"/>
      <c r="E1681" s="657"/>
      <c r="F1681" s="658"/>
      <c r="G1681" s="659"/>
      <c r="H1681" s="660"/>
      <c r="I1681" s="659"/>
      <c r="J1681" s="661"/>
      <c r="K1681" s="658"/>
      <c r="L1681" s="662"/>
      <c r="M1681" s="663"/>
      <c r="N1681" s="664"/>
      <c r="O1681" s="665"/>
      <c r="P1681" s="666"/>
      <c r="Q1681" s="667"/>
      <c r="R1681" s="668"/>
      <c r="S1681" s="665"/>
      <c r="T1681" s="669"/>
      <c r="U1681" s="669"/>
      <c r="V1681" s="665"/>
      <c r="W1681" s="670"/>
      <c r="X1681" s="670"/>
      <c r="Y1681" s="671"/>
      <c r="Z1681" s="671"/>
      <c r="AA1681" s="672"/>
      <c r="AB1681" s="673"/>
      <c r="AC1681" s="673"/>
      <c r="AD1681" s="673"/>
      <c r="AE1681" s="673"/>
      <c r="AF1681" s="673"/>
      <c r="AG1681" s="673"/>
      <c r="AH1681" s="673"/>
      <c r="AI1681" s="673"/>
      <c r="AJ1681" s="673"/>
      <c r="AK1681" s="673"/>
      <c r="AL1681" s="673"/>
      <c r="AM1681" s="673"/>
      <c r="AN1681" s="673"/>
      <c r="AO1681" s="673"/>
      <c r="AP1681" s="673"/>
      <c r="AQ1681" s="673"/>
      <c r="AR1681" s="673"/>
      <c r="AS1681" s="673"/>
    </row>
    <row r="1682">
      <c r="A1682" s="653"/>
      <c r="B1682" s="654"/>
      <c r="C1682" s="655"/>
      <c r="D1682" s="656"/>
      <c r="E1682" s="657"/>
      <c r="F1682" s="658"/>
      <c r="G1682" s="659"/>
      <c r="H1682" s="660"/>
      <c r="I1682" s="659"/>
      <c r="J1682" s="661"/>
      <c r="K1682" s="658"/>
      <c r="L1682" s="662"/>
      <c r="M1682" s="663"/>
      <c r="N1682" s="664"/>
      <c r="O1682" s="665"/>
      <c r="P1682" s="666"/>
      <c r="Q1682" s="667"/>
      <c r="R1682" s="668"/>
      <c r="S1682" s="665"/>
      <c r="T1682" s="669"/>
      <c r="U1682" s="669"/>
      <c r="V1682" s="665"/>
      <c r="W1682" s="670"/>
      <c r="X1682" s="670"/>
      <c r="Y1682" s="671"/>
      <c r="Z1682" s="671"/>
      <c r="AA1682" s="672"/>
      <c r="AB1682" s="673"/>
      <c r="AC1682" s="673"/>
      <c r="AD1682" s="673"/>
      <c r="AE1682" s="673"/>
      <c r="AF1682" s="673"/>
      <c r="AG1682" s="673"/>
      <c r="AH1682" s="673"/>
      <c r="AI1682" s="673"/>
      <c r="AJ1682" s="673"/>
      <c r="AK1682" s="673"/>
      <c r="AL1682" s="673"/>
      <c r="AM1682" s="673"/>
      <c r="AN1682" s="673"/>
      <c r="AO1682" s="673"/>
      <c r="AP1682" s="673"/>
      <c r="AQ1682" s="673"/>
      <c r="AR1682" s="673"/>
      <c r="AS1682" s="673"/>
    </row>
    <row r="1683">
      <c r="A1683" s="653"/>
      <c r="B1683" s="654"/>
      <c r="C1683" s="655"/>
      <c r="D1683" s="656"/>
      <c r="E1683" s="657"/>
      <c r="F1683" s="658"/>
      <c r="G1683" s="659"/>
      <c r="H1683" s="660"/>
      <c r="I1683" s="659"/>
      <c r="J1683" s="661"/>
      <c r="K1683" s="658"/>
      <c r="L1683" s="662"/>
      <c r="M1683" s="663"/>
      <c r="N1683" s="664"/>
      <c r="O1683" s="665"/>
      <c r="P1683" s="666"/>
      <c r="Q1683" s="667"/>
      <c r="R1683" s="668"/>
      <c r="S1683" s="665"/>
      <c r="T1683" s="669"/>
      <c r="U1683" s="669"/>
      <c r="V1683" s="665"/>
      <c r="W1683" s="670"/>
      <c r="X1683" s="670"/>
      <c r="Y1683" s="671"/>
      <c r="Z1683" s="671"/>
      <c r="AA1683" s="672"/>
      <c r="AB1683" s="673"/>
      <c r="AC1683" s="673"/>
      <c r="AD1683" s="673"/>
      <c r="AE1683" s="673"/>
      <c r="AF1683" s="673"/>
      <c r="AG1683" s="673"/>
      <c r="AH1683" s="673"/>
      <c r="AI1683" s="673"/>
      <c r="AJ1683" s="673"/>
      <c r="AK1683" s="673"/>
      <c r="AL1683" s="673"/>
      <c r="AM1683" s="673"/>
      <c r="AN1683" s="673"/>
      <c r="AO1683" s="673"/>
      <c r="AP1683" s="673"/>
      <c r="AQ1683" s="673"/>
      <c r="AR1683" s="673"/>
      <c r="AS1683" s="673"/>
    </row>
    <row r="1684">
      <c r="A1684" s="653"/>
      <c r="B1684" s="654"/>
      <c r="C1684" s="655"/>
      <c r="D1684" s="656"/>
      <c r="E1684" s="657"/>
      <c r="F1684" s="658"/>
      <c r="G1684" s="659"/>
      <c r="H1684" s="660"/>
      <c r="I1684" s="659"/>
      <c r="J1684" s="661"/>
      <c r="K1684" s="658"/>
      <c r="L1684" s="662"/>
      <c r="M1684" s="663"/>
      <c r="N1684" s="664"/>
      <c r="O1684" s="665"/>
      <c r="P1684" s="666"/>
      <c r="Q1684" s="667"/>
      <c r="R1684" s="668"/>
      <c r="S1684" s="665"/>
      <c r="T1684" s="669"/>
      <c r="U1684" s="669"/>
      <c r="V1684" s="665"/>
      <c r="W1684" s="670"/>
      <c r="X1684" s="670"/>
      <c r="Y1684" s="671"/>
      <c r="Z1684" s="671"/>
      <c r="AA1684" s="672"/>
      <c r="AB1684" s="673"/>
      <c r="AC1684" s="673"/>
      <c r="AD1684" s="673"/>
      <c r="AE1684" s="673"/>
      <c r="AF1684" s="673"/>
      <c r="AG1684" s="673"/>
      <c r="AH1684" s="673"/>
      <c r="AI1684" s="673"/>
      <c r="AJ1684" s="673"/>
      <c r="AK1684" s="673"/>
      <c r="AL1684" s="673"/>
      <c r="AM1684" s="673"/>
      <c r="AN1684" s="673"/>
      <c r="AO1684" s="673"/>
      <c r="AP1684" s="673"/>
      <c r="AQ1684" s="673"/>
      <c r="AR1684" s="673"/>
      <c r="AS1684" s="673"/>
    </row>
    <row r="1685">
      <c r="A1685" s="653"/>
      <c r="B1685" s="654"/>
      <c r="C1685" s="655"/>
      <c r="D1685" s="656"/>
      <c r="E1685" s="657"/>
      <c r="F1685" s="658"/>
      <c r="G1685" s="659"/>
      <c r="H1685" s="660"/>
      <c r="I1685" s="659"/>
      <c r="J1685" s="661"/>
      <c r="K1685" s="658"/>
      <c r="L1685" s="662"/>
      <c r="M1685" s="663"/>
      <c r="N1685" s="664"/>
      <c r="O1685" s="665"/>
      <c r="P1685" s="666"/>
      <c r="Q1685" s="667"/>
      <c r="R1685" s="668"/>
      <c r="S1685" s="665"/>
      <c r="T1685" s="669"/>
      <c r="U1685" s="669"/>
      <c r="V1685" s="665"/>
      <c r="W1685" s="670"/>
      <c r="X1685" s="670"/>
      <c r="Y1685" s="671"/>
      <c r="Z1685" s="671"/>
      <c r="AA1685" s="672"/>
      <c r="AB1685" s="673"/>
      <c r="AC1685" s="673"/>
      <c r="AD1685" s="673"/>
      <c r="AE1685" s="673"/>
      <c r="AF1685" s="673"/>
      <c r="AG1685" s="673"/>
      <c r="AH1685" s="673"/>
      <c r="AI1685" s="673"/>
      <c r="AJ1685" s="673"/>
      <c r="AK1685" s="673"/>
      <c r="AL1685" s="673"/>
      <c r="AM1685" s="673"/>
      <c r="AN1685" s="673"/>
      <c r="AO1685" s="673"/>
      <c r="AP1685" s="673"/>
      <c r="AQ1685" s="673"/>
      <c r="AR1685" s="673"/>
      <c r="AS1685" s="673"/>
    </row>
    <row r="1686">
      <c r="A1686" s="653"/>
      <c r="B1686" s="654"/>
      <c r="C1686" s="655"/>
      <c r="D1686" s="656"/>
      <c r="E1686" s="657"/>
      <c r="F1686" s="658"/>
      <c r="G1686" s="659"/>
      <c r="H1686" s="660"/>
      <c r="I1686" s="659"/>
      <c r="J1686" s="661"/>
      <c r="K1686" s="658"/>
      <c r="L1686" s="662"/>
      <c r="M1686" s="663"/>
      <c r="N1686" s="664"/>
      <c r="O1686" s="665"/>
      <c r="P1686" s="666"/>
      <c r="Q1686" s="667"/>
      <c r="R1686" s="668"/>
      <c r="S1686" s="665"/>
      <c r="T1686" s="669"/>
      <c r="U1686" s="669"/>
      <c r="V1686" s="665"/>
      <c r="W1686" s="670"/>
      <c r="X1686" s="670"/>
      <c r="Y1686" s="671"/>
      <c r="Z1686" s="671"/>
      <c r="AA1686" s="672"/>
      <c r="AB1686" s="673"/>
      <c r="AC1686" s="673"/>
      <c r="AD1686" s="673"/>
      <c r="AE1686" s="673"/>
      <c r="AF1686" s="673"/>
      <c r="AG1686" s="673"/>
      <c r="AH1686" s="673"/>
      <c r="AI1686" s="673"/>
      <c r="AJ1686" s="673"/>
      <c r="AK1686" s="673"/>
      <c r="AL1686" s="673"/>
      <c r="AM1686" s="673"/>
      <c r="AN1686" s="673"/>
      <c r="AO1686" s="673"/>
      <c r="AP1686" s="673"/>
      <c r="AQ1686" s="673"/>
      <c r="AR1686" s="673"/>
      <c r="AS1686" s="673"/>
    </row>
    <row r="1687">
      <c r="A1687" s="653"/>
      <c r="B1687" s="654"/>
      <c r="C1687" s="655"/>
      <c r="D1687" s="656"/>
      <c r="E1687" s="657"/>
      <c r="F1687" s="658"/>
      <c r="G1687" s="659"/>
      <c r="H1687" s="660"/>
      <c r="I1687" s="659"/>
      <c r="J1687" s="661"/>
      <c r="K1687" s="658"/>
      <c r="L1687" s="662"/>
      <c r="M1687" s="663"/>
      <c r="N1687" s="664"/>
      <c r="O1687" s="665"/>
      <c r="P1687" s="666"/>
      <c r="Q1687" s="667"/>
      <c r="R1687" s="668"/>
      <c r="S1687" s="665"/>
      <c r="T1687" s="669"/>
      <c r="U1687" s="669"/>
      <c r="V1687" s="665"/>
      <c r="W1687" s="670"/>
      <c r="X1687" s="670"/>
      <c r="Y1687" s="671"/>
      <c r="Z1687" s="671"/>
      <c r="AA1687" s="672"/>
      <c r="AB1687" s="673"/>
      <c r="AC1687" s="673"/>
      <c r="AD1687" s="673"/>
      <c r="AE1687" s="673"/>
      <c r="AF1687" s="673"/>
      <c r="AG1687" s="673"/>
      <c r="AH1687" s="673"/>
      <c r="AI1687" s="673"/>
      <c r="AJ1687" s="673"/>
      <c r="AK1687" s="673"/>
      <c r="AL1687" s="673"/>
      <c r="AM1687" s="673"/>
      <c r="AN1687" s="673"/>
      <c r="AO1687" s="673"/>
      <c r="AP1687" s="673"/>
      <c r="AQ1687" s="673"/>
      <c r="AR1687" s="673"/>
      <c r="AS1687" s="673"/>
    </row>
    <row r="1688">
      <c r="A1688" s="653"/>
      <c r="B1688" s="654"/>
      <c r="C1688" s="655"/>
      <c r="D1688" s="656"/>
      <c r="E1688" s="657"/>
      <c r="F1688" s="658"/>
      <c r="G1688" s="659"/>
      <c r="H1688" s="660"/>
      <c r="I1688" s="659"/>
      <c r="J1688" s="661"/>
      <c r="K1688" s="658"/>
      <c r="L1688" s="662"/>
      <c r="M1688" s="663"/>
      <c r="N1688" s="664"/>
      <c r="O1688" s="665"/>
      <c r="P1688" s="666"/>
      <c r="Q1688" s="667"/>
      <c r="R1688" s="668"/>
      <c r="S1688" s="665"/>
      <c r="T1688" s="669"/>
      <c r="U1688" s="669"/>
      <c r="V1688" s="665"/>
      <c r="W1688" s="670"/>
      <c r="X1688" s="670"/>
      <c r="Y1688" s="671"/>
      <c r="Z1688" s="671"/>
      <c r="AA1688" s="672"/>
      <c r="AB1688" s="673"/>
      <c r="AC1688" s="673"/>
      <c r="AD1688" s="673"/>
      <c r="AE1688" s="673"/>
      <c r="AF1688" s="673"/>
      <c r="AG1688" s="673"/>
      <c r="AH1688" s="673"/>
      <c r="AI1688" s="673"/>
      <c r="AJ1688" s="673"/>
      <c r="AK1688" s="673"/>
      <c r="AL1688" s="673"/>
      <c r="AM1688" s="673"/>
      <c r="AN1688" s="673"/>
      <c r="AO1688" s="673"/>
      <c r="AP1688" s="673"/>
      <c r="AQ1688" s="673"/>
      <c r="AR1688" s="673"/>
      <c r="AS1688" s="673"/>
    </row>
    <row r="1689">
      <c r="A1689" s="653"/>
      <c r="B1689" s="654"/>
      <c r="C1689" s="655"/>
      <c r="D1689" s="656"/>
      <c r="E1689" s="657"/>
      <c r="F1689" s="658"/>
      <c r="G1689" s="659"/>
      <c r="H1689" s="660"/>
      <c r="I1689" s="659"/>
      <c r="J1689" s="661"/>
      <c r="K1689" s="658"/>
      <c r="L1689" s="662"/>
      <c r="M1689" s="663"/>
      <c r="N1689" s="664"/>
      <c r="O1689" s="665"/>
      <c r="P1689" s="666"/>
      <c r="Q1689" s="667"/>
      <c r="R1689" s="668"/>
      <c r="S1689" s="665"/>
      <c r="T1689" s="669"/>
      <c r="U1689" s="669"/>
      <c r="V1689" s="665"/>
      <c r="W1689" s="670"/>
      <c r="X1689" s="670"/>
      <c r="Y1689" s="671"/>
      <c r="Z1689" s="671"/>
      <c r="AA1689" s="672"/>
      <c r="AB1689" s="673"/>
      <c r="AC1689" s="673"/>
      <c r="AD1689" s="673"/>
      <c r="AE1689" s="673"/>
      <c r="AF1689" s="673"/>
      <c r="AG1689" s="673"/>
      <c r="AH1689" s="673"/>
      <c r="AI1689" s="673"/>
      <c r="AJ1689" s="673"/>
      <c r="AK1689" s="673"/>
      <c r="AL1689" s="673"/>
      <c r="AM1689" s="673"/>
      <c r="AN1689" s="673"/>
      <c r="AO1689" s="673"/>
      <c r="AP1689" s="673"/>
      <c r="AQ1689" s="673"/>
      <c r="AR1689" s="673"/>
      <c r="AS1689" s="673"/>
    </row>
    <row r="1690">
      <c r="A1690" s="653"/>
      <c r="B1690" s="654"/>
      <c r="C1690" s="655"/>
      <c r="D1690" s="656"/>
      <c r="E1690" s="657"/>
      <c r="F1690" s="658"/>
      <c r="G1690" s="659"/>
      <c r="H1690" s="660"/>
      <c r="I1690" s="659"/>
      <c r="J1690" s="661"/>
      <c r="K1690" s="658"/>
      <c r="L1690" s="662"/>
      <c r="M1690" s="663"/>
      <c r="N1690" s="664"/>
      <c r="O1690" s="665"/>
      <c r="P1690" s="666"/>
      <c r="Q1690" s="667"/>
      <c r="R1690" s="668"/>
      <c r="S1690" s="665"/>
      <c r="T1690" s="669"/>
      <c r="U1690" s="669"/>
      <c r="V1690" s="665"/>
      <c r="W1690" s="670"/>
      <c r="X1690" s="670"/>
      <c r="Y1690" s="671"/>
      <c r="Z1690" s="671"/>
      <c r="AA1690" s="672"/>
      <c r="AB1690" s="673"/>
      <c r="AC1690" s="673"/>
      <c r="AD1690" s="673"/>
      <c r="AE1690" s="673"/>
      <c r="AF1690" s="673"/>
      <c r="AG1690" s="673"/>
      <c r="AH1690" s="673"/>
      <c r="AI1690" s="673"/>
      <c r="AJ1690" s="673"/>
      <c r="AK1690" s="673"/>
      <c r="AL1690" s="673"/>
      <c r="AM1690" s="673"/>
      <c r="AN1690" s="673"/>
      <c r="AO1690" s="673"/>
      <c r="AP1690" s="673"/>
      <c r="AQ1690" s="673"/>
      <c r="AR1690" s="673"/>
      <c r="AS1690" s="673"/>
    </row>
    <row r="1691">
      <c r="A1691" s="653"/>
      <c r="B1691" s="654"/>
      <c r="C1691" s="655"/>
      <c r="D1691" s="656"/>
      <c r="E1691" s="657"/>
      <c r="F1691" s="658"/>
      <c r="G1691" s="659"/>
      <c r="H1691" s="660"/>
      <c r="I1691" s="659"/>
      <c r="J1691" s="661"/>
      <c r="K1691" s="658"/>
      <c r="L1691" s="662"/>
      <c r="M1691" s="663"/>
      <c r="N1691" s="664"/>
      <c r="O1691" s="665"/>
      <c r="P1691" s="666"/>
      <c r="Q1691" s="667"/>
      <c r="R1691" s="668"/>
      <c r="S1691" s="665"/>
      <c r="T1691" s="669"/>
      <c r="U1691" s="669"/>
      <c r="V1691" s="665"/>
      <c r="W1691" s="670"/>
      <c r="X1691" s="670"/>
      <c r="Y1691" s="671"/>
      <c r="Z1691" s="671"/>
      <c r="AA1691" s="672"/>
      <c r="AB1691" s="673"/>
      <c r="AC1691" s="673"/>
      <c r="AD1691" s="673"/>
      <c r="AE1691" s="673"/>
      <c r="AF1691" s="673"/>
      <c r="AG1691" s="673"/>
      <c r="AH1691" s="673"/>
      <c r="AI1691" s="673"/>
      <c r="AJ1691" s="673"/>
      <c r="AK1691" s="673"/>
      <c r="AL1691" s="673"/>
      <c r="AM1691" s="673"/>
      <c r="AN1691" s="673"/>
      <c r="AO1691" s="673"/>
      <c r="AP1691" s="673"/>
      <c r="AQ1691" s="673"/>
      <c r="AR1691" s="673"/>
      <c r="AS1691" s="673"/>
    </row>
    <row r="1692">
      <c r="A1692" s="653"/>
      <c r="B1692" s="654"/>
      <c r="C1692" s="655"/>
      <c r="D1692" s="656"/>
      <c r="E1692" s="657"/>
      <c r="F1692" s="658"/>
      <c r="G1692" s="659"/>
      <c r="H1692" s="660"/>
      <c r="I1692" s="659"/>
      <c r="J1692" s="661"/>
      <c r="K1692" s="658"/>
      <c r="L1692" s="662"/>
      <c r="M1692" s="663"/>
      <c r="N1692" s="664"/>
      <c r="O1692" s="665"/>
      <c r="P1692" s="666"/>
      <c r="Q1692" s="667"/>
      <c r="R1692" s="668"/>
      <c r="S1692" s="665"/>
      <c r="T1692" s="669"/>
      <c r="U1692" s="669"/>
      <c r="V1692" s="665"/>
      <c r="W1692" s="670"/>
      <c r="X1692" s="670"/>
      <c r="Y1692" s="671"/>
      <c r="Z1692" s="671"/>
      <c r="AA1692" s="672"/>
      <c r="AB1692" s="673"/>
      <c r="AC1692" s="673"/>
      <c r="AD1692" s="673"/>
      <c r="AE1692" s="673"/>
      <c r="AF1692" s="673"/>
      <c r="AG1692" s="673"/>
      <c r="AH1692" s="673"/>
      <c r="AI1692" s="673"/>
      <c r="AJ1692" s="673"/>
      <c r="AK1692" s="673"/>
      <c r="AL1692" s="673"/>
      <c r="AM1692" s="673"/>
      <c r="AN1692" s="673"/>
      <c r="AO1692" s="673"/>
      <c r="AP1692" s="673"/>
      <c r="AQ1692" s="673"/>
      <c r="AR1692" s="673"/>
      <c r="AS1692" s="673"/>
    </row>
    <row r="1693">
      <c r="A1693" s="653"/>
      <c r="B1693" s="654"/>
      <c r="C1693" s="655"/>
      <c r="D1693" s="656"/>
      <c r="E1693" s="657"/>
      <c r="F1693" s="658"/>
      <c r="G1693" s="659"/>
      <c r="H1693" s="660"/>
      <c r="I1693" s="659"/>
      <c r="J1693" s="661"/>
      <c r="K1693" s="658"/>
      <c r="L1693" s="662"/>
      <c r="M1693" s="663"/>
      <c r="N1693" s="664"/>
      <c r="O1693" s="665"/>
      <c r="P1693" s="666"/>
      <c r="Q1693" s="667"/>
      <c r="R1693" s="668"/>
      <c r="S1693" s="665"/>
      <c r="T1693" s="669"/>
      <c r="U1693" s="669"/>
      <c r="V1693" s="665"/>
      <c r="W1693" s="670"/>
      <c r="X1693" s="670"/>
      <c r="Y1693" s="671"/>
      <c r="Z1693" s="671"/>
      <c r="AA1693" s="672"/>
      <c r="AB1693" s="673"/>
      <c r="AC1693" s="673"/>
      <c r="AD1693" s="673"/>
      <c r="AE1693" s="673"/>
      <c r="AF1693" s="673"/>
      <c r="AG1693" s="673"/>
      <c r="AH1693" s="673"/>
      <c r="AI1693" s="673"/>
      <c r="AJ1693" s="673"/>
      <c r="AK1693" s="673"/>
      <c r="AL1693" s="673"/>
      <c r="AM1693" s="673"/>
      <c r="AN1693" s="673"/>
      <c r="AO1693" s="673"/>
      <c r="AP1693" s="673"/>
      <c r="AQ1693" s="673"/>
      <c r="AR1693" s="673"/>
      <c r="AS1693" s="673"/>
    </row>
    <row r="1694">
      <c r="A1694" s="653"/>
      <c r="B1694" s="654"/>
      <c r="C1694" s="655"/>
      <c r="D1694" s="656"/>
      <c r="E1694" s="657"/>
      <c r="F1694" s="658"/>
      <c r="G1694" s="659"/>
      <c r="H1694" s="660"/>
      <c r="I1694" s="659"/>
      <c r="J1694" s="661"/>
      <c r="K1694" s="658"/>
      <c r="L1694" s="662"/>
      <c r="M1694" s="663"/>
      <c r="N1694" s="664"/>
      <c r="O1694" s="665"/>
      <c r="P1694" s="666"/>
      <c r="Q1694" s="667"/>
      <c r="R1694" s="668"/>
      <c r="S1694" s="665"/>
      <c r="T1694" s="669"/>
      <c r="U1694" s="669"/>
      <c r="V1694" s="665"/>
      <c r="W1694" s="670"/>
      <c r="X1694" s="670"/>
      <c r="Y1694" s="671"/>
      <c r="Z1694" s="671"/>
      <c r="AA1694" s="672"/>
      <c r="AB1694" s="673"/>
      <c r="AC1694" s="673"/>
      <c r="AD1694" s="673"/>
      <c r="AE1694" s="673"/>
      <c r="AF1694" s="673"/>
      <c r="AG1694" s="673"/>
      <c r="AH1694" s="673"/>
      <c r="AI1694" s="673"/>
      <c r="AJ1694" s="673"/>
      <c r="AK1694" s="673"/>
      <c r="AL1694" s="673"/>
      <c r="AM1694" s="673"/>
      <c r="AN1694" s="673"/>
      <c r="AO1694" s="673"/>
      <c r="AP1694" s="673"/>
      <c r="AQ1694" s="673"/>
      <c r="AR1694" s="673"/>
      <c r="AS1694" s="673"/>
    </row>
    <row r="1695">
      <c r="A1695" s="653"/>
      <c r="B1695" s="654"/>
      <c r="C1695" s="655"/>
      <c r="D1695" s="656"/>
      <c r="E1695" s="657"/>
      <c r="F1695" s="658"/>
      <c r="G1695" s="659"/>
      <c r="H1695" s="660"/>
      <c r="I1695" s="659"/>
      <c r="J1695" s="661"/>
      <c r="K1695" s="658"/>
      <c r="L1695" s="662"/>
      <c r="M1695" s="663"/>
      <c r="N1695" s="664"/>
      <c r="O1695" s="665"/>
      <c r="P1695" s="666"/>
      <c r="Q1695" s="667"/>
      <c r="R1695" s="668"/>
      <c r="S1695" s="665"/>
      <c r="T1695" s="669"/>
      <c r="U1695" s="669"/>
      <c r="V1695" s="665"/>
      <c r="W1695" s="670"/>
      <c r="X1695" s="670"/>
      <c r="Y1695" s="671"/>
      <c r="Z1695" s="671"/>
      <c r="AA1695" s="672"/>
      <c r="AB1695" s="673"/>
      <c r="AC1695" s="673"/>
      <c r="AD1695" s="673"/>
      <c r="AE1695" s="673"/>
      <c r="AF1695" s="673"/>
      <c r="AG1695" s="673"/>
      <c r="AH1695" s="673"/>
      <c r="AI1695" s="673"/>
      <c r="AJ1695" s="673"/>
      <c r="AK1695" s="673"/>
      <c r="AL1695" s="673"/>
      <c r="AM1695" s="673"/>
      <c r="AN1695" s="673"/>
      <c r="AO1695" s="673"/>
      <c r="AP1695" s="673"/>
      <c r="AQ1695" s="673"/>
      <c r="AR1695" s="673"/>
      <c r="AS1695" s="673"/>
    </row>
    <row r="1696">
      <c r="A1696" s="653"/>
      <c r="B1696" s="654"/>
      <c r="C1696" s="655"/>
      <c r="D1696" s="656"/>
      <c r="E1696" s="657"/>
      <c r="F1696" s="658"/>
      <c r="G1696" s="659"/>
      <c r="H1696" s="660"/>
      <c r="I1696" s="659"/>
      <c r="J1696" s="661"/>
      <c r="K1696" s="658"/>
      <c r="L1696" s="662"/>
      <c r="M1696" s="663"/>
      <c r="N1696" s="664"/>
      <c r="O1696" s="665"/>
      <c r="P1696" s="666"/>
      <c r="Q1696" s="667"/>
      <c r="R1696" s="668"/>
      <c r="S1696" s="665"/>
      <c r="T1696" s="669"/>
      <c r="U1696" s="669"/>
      <c r="V1696" s="665"/>
      <c r="W1696" s="670"/>
      <c r="X1696" s="670"/>
      <c r="Y1696" s="671"/>
      <c r="Z1696" s="671"/>
      <c r="AA1696" s="672"/>
      <c r="AB1696" s="673"/>
      <c r="AC1696" s="673"/>
      <c r="AD1696" s="673"/>
      <c r="AE1696" s="673"/>
      <c r="AF1696" s="673"/>
      <c r="AG1696" s="673"/>
      <c r="AH1696" s="673"/>
      <c r="AI1696" s="673"/>
      <c r="AJ1696" s="673"/>
      <c r="AK1696" s="673"/>
      <c r="AL1696" s="673"/>
      <c r="AM1696" s="673"/>
      <c r="AN1696" s="673"/>
      <c r="AO1696" s="673"/>
      <c r="AP1696" s="673"/>
      <c r="AQ1696" s="673"/>
      <c r="AR1696" s="673"/>
      <c r="AS1696" s="673"/>
    </row>
    <row r="1697">
      <c r="A1697" s="653"/>
      <c r="B1697" s="654"/>
      <c r="C1697" s="655"/>
      <c r="D1697" s="656"/>
      <c r="E1697" s="657"/>
      <c r="F1697" s="658"/>
      <c r="G1697" s="659"/>
      <c r="H1697" s="660"/>
      <c r="I1697" s="659"/>
      <c r="J1697" s="661"/>
      <c r="K1697" s="658"/>
      <c r="L1697" s="662"/>
      <c r="M1697" s="663"/>
      <c r="N1697" s="664"/>
      <c r="O1697" s="665"/>
      <c r="P1697" s="666"/>
      <c r="Q1697" s="667"/>
      <c r="R1697" s="668"/>
      <c r="S1697" s="665"/>
      <c r="T1697" s="669"/>
      <c r="U1697" s="669"/>
      <c r="V1697" s="665"/>
      <c r="W1697" s="670"/>
      <c r="X1697" s="670"/>
      <c r="Y1697" s="671"/>
      <c r="Z1697" s="671"/>
      <c r="AA1697" s="672"/>
      <c r="AB1697" s="673"/>
      <c r="AC1697" s="673"/>
      <c r="AD1697" s="673"/>
      <c r="AE1697" s="673"/>
      <c r="AF1697" s="673"/>
      <c r="AG1697" s="673"/>
      <c r="AH1697" s="673"/>
      <c r="AI1697" s="673"/>
      <c r="AJ1697" s="673"/>
      <c r="AK1697" s="673"/>
      <c r="AL1697" s="673"/>
      <c r="AM1697" s="673"/>
      <c r="AN1697" s="673"/>
      <c r="AO1697" s="673"/>
      <c r="AP1697" s="673"/>
      <c r="AQ1697" s="673"/>
      <c r="AR1697" s="673"/>
      <c r="AS1697" s="673"/>
    </row>
    <row r="1698">
      <c r="A1698" s="653"/>
      <c r="B1698" s="654"/>
      <c r="C1698" s="655"/>
      <c r="D1698" s="656"/>
      <c r="E1698" s="657"/>
      <c r="F1698" s="658"/>
      <c r="G1698" s="659"/>
      <c r="H1698" s="660"/>
      <c r="I1698" s="659"/>
      <c r="J1698" s="661"/>
      <c r="K1698" s="658"/>
      <c r="L1698" s="662"/>
      <c r="M1698" s="663"/>
      <c r="N1698" s="664"/>
      <c r="O1698" s="665"/>
      <c r="P1698" s="666"/>
      <c r="Q1698" s="667"/>
      <c r="R1698" s="668"/>
      <c r="S1698" s="665"/>
      <c r="T1698" s="669"/>
      <c r="U1698" s="669"/>
      <c r="V1698" s="665"/>
      <c r="W1698" s="670"/>
      <c r="X1698" s="670"/>
      <c r="Y1698" s="671"/>
      <c r="Z1698" s="671"/>
      <c r="AA1698" s="672"/>
      <c r="AB1698" s="673"/>
      <c r="AC1698" s="673"/>
      <c r="AD1698" s="673"/>
      <c r="AE1698" s="673"/>
      <c r="AF1698" s="673"/>
      <c r="AG1698" s="673"/>
      <c r="AH1698" s="673"/>
      <c r="AI1698" s="673"/>
      <c r="AJ1698" s="673"/>
      <c r="AK1698" s="673"/>
      <c r="AL1698" s="673"/>
      <c r="AM1698" s="673"/>
      <c r="AN1698" s="673"/>
      <c r="AO1698" s="673"/>
      <c r="AP1698" s="673"/>
      <c r="AQ1698" s="673"/>
      <c r="AR1698" s="673"/>
      <c r="AS1698" s="673"/>
    </row>
    <row r="1699">
      <c r="A1699" s="653"/>
      <c r="B1699" s="654"/>
      <c r="C1699" s="655"/>
      <c r="D1699" s="656"/>
      <c r="E1699" s="657"/>
      <c r="F1699" s="658"/>
      <c r="G1699" s="659"/>
      <c r="H1699" s="660"/>
      <c r="I1699" s="659"/>
      <c r="J1699" s="661"/>
      <c r="K1699" s="658"/>
      <c r="L1699" s="662"/>
      <c r="M1699" s="663"/>
      <c r="N1699" s="664"/>
      <c r="O1699" s="665"/>
      <c r="P1699" s="666"/>
      <c r="Q1699" s="667"/>
      <c r="R1699" s="668"/>
      <c r="S1699" s="665"/>
      <c r="T1699" s="669"/>
      <c r="U1699" s="669"/>
      <c r="V1699" s="665"/>
      <c r="W1699" s="670"/>
      <c r="X1699" s="670"/>
      <c r="Y1699" s="671"/>
      <c r="Z1699" s="671"/>
      <c r="AA1699" s="672"/>
      <c r="AB1699" s="673"/>
      <c r="AC1699" s="673"/>
      <c r="AD1699" s="673"/>
      <c r="AE1699" s="673"/>
      <c r="AF1699" s="673"/>
      <c r="AG1699" s="673"/>
      <c r="AH1699" s="673"/>
      <c r="AI1699" s="673"/>
      <c r="AJ1699" s="673"/>
      <c r="AK1699" s="673"/>
      <c r="AL1699" s="673"/>
      <c r="AM1699" s="673"/>
      <c r="AN1699" s="673"/>
      <c r="AO1699" s="673"/>
      <c r="AP1699" s="673"/>
      <c r="AQ1699" s="673"/>
      <c r="AR1699" s="673"/>
      <c r="AS1699" s="673"/>
    </row>
    <row r="1700">
      <c r="A1700" s="653"/>
      <c r="B1700" s="654"/>
      <c r="C1700" s="655"/>
      <c r="D1700" s="656"/>
      <c r="E1700" s="657"/>
      <c r="F1700" s="658"/>
      <c r="G1700" s="659"/>
      <c r="H1700" s="660"/>
      <c r="I1700" s="659"/>
      <c r="J1700" s="661"/>
      <c r="K1700" s="658"/>
      <c r="L1700" s="662"/>
      <c r="M1700" s="663"/>
      <c r="N1700" s="664"/>
      <c r="O1700" s="665"/>
      <c r="P1700" s="666"/>
      <c r="Q1700" s="667"/>
      <c r="R1700" s="668"/>
      <c r="S1700" s="665"/>
      <c r="T1700" s="669"/>
      <c r="U1700" s="669"/>
      <c r="V1700" s="665"/>
      <c r="W1700" s="670"/>
      <c r="X1700" s="670"/>
      <c r="Y1700" s="671"/>
      <c r="Z1700" s="671"/>
      <c r="AA1700" s="672"/>
      <c r="AB1700" s="673"/>
      <c r="AC1700" s="673"/>
      <c r="AD1700" s="673"/>
      <c r="AE1700" s="673"/>
      <c r="AF1700" s="673"/>
      <c r="AG1700" s="673"/>
      <c r="AH1700" s="673"/>
      <c r="AI1700" s="673"/>
      <c r="AJ1700" s="673"/>
      <c r="AK1700" s="673"/>
      <c r="AL1700" s="673"/>
      <c r="AM1700" s="673"/>
      <c r="AN1700" s="673"/>
      <c r="AO1700" s="673"/>
      <c r="AP1700" s="673"/>
      <c r="AQ1700" s="673"/>
      <c r="AR1700" s="673"/>
      <c r="AS1700" s="673"/>
    </row>
    <row r="1701">
      <c r="A1701" s="653"/>
      <c r="B1701" s="654"/>
      <c r="C1701" s="655"/>
      <c r="D1701" s="656"/>
      <c r="E1701" s="657"/>
      <c r="F1701" s="658"/>
      <c r="G1701" s="659"/>
      <c r="H1701" s="660"/>
      <c r="I1701" s="659"/>
      <c r="J1701" s="661"/>
      <c r="K1701" s="658"/>
      <c r="L1701" s="662"/>
      <c r="M1701" s="663"/>
      <c r="N1701" s="664"/>
      <c r="O1701" s="665"/>
      <c r="P1701" s="666"/>
      <c r="Q1701" s="667"/>
      <c r="R1701" s="668"/>
      <c r="S1701" s="665"/>
      <c r="T1701" s="669"/>
      <c r="U1701" s="669"/>
      <c r="V1701" s="665"/>
      <c r="W1701" s="670"/>
      <c r="X1701" s="670"/>
      <c r="Y1701" s="671"/>
      <c r="Z1701" s="671"/>
      <c r="AA1701" s="672"/>
      <c r="AB1701" s="673"/>
      <c r="AC1701" s="673"/>
      <c r="AD1701" s="673"/>
      <c r="AE1701" s="673"/>
      <c r="AF1701" s="673"/>
      <c r="AG1701" s="673"/>
      <c r="AH1701" s="673"/>
      <c r="AI1701" s="673"/>
      <c r="AJ1701" s="673"/>
      <c r="AK1701" s="673"/>
      <c r="AL1701" s="673"/>
      <c r="AM1701" s="673"/>
      <c r="AN1701" s="673"/>
      <c r="AO1701" s="673"/>
      <c r="AP1701" s="673"/>
      <c r="AQ1701" s="673"/>
      <c r="AR1701" s="673"/>
      <c r="AS1701" s="673"/>
    </row>
    <row r="1702">
      <c r="A1702" s="653"/>
      <c r="B1702" s="654"/>
      <c r="C1702" s="655"/>
      <c r="D1702" s="656"/>
      <c r="E1702" s="657"/>
      <c r="F1702" s="658"/>
      <c r="G1702" s="659"/>
      <c r="H1702" s="660"/>
      <c r="I1702" s="659"/>
      <c r="J1702" s="661"/>
      <c r="K1702" s="658"/>
      <c r="L1702" s="662"/>
      <c r="M1702" s="663"/>
      <c r="N1702" s="664"/>
      <c r="O1702" s="665"/>
      <c r="P1702" s="666"/>
      <c r="Q1702" s="667"/>
      <c r="R1702" s="668"/>
      <c r="S1702" s="665"/>
      <c r="T1702" s="669"/>
      <c r="U1702" s="669"/>
      <c r="V1702" s="665"/>
      <c r="W1702" s="670"/>
      <c r="X1702" s="670"/>
      <c r="Y1702" s="671"/>
      <c r="Z1702" s="671"/>
      <c r="AA1702" s="672"/>
      <c r="AB1702" s="673"/>
      <c r="AC1702" s="673"/>
      <c r="AD1702" s="673"/>
      <c r="AE1702" s="673"/>
      <c r="AF1702" s="673"/>
      <c r="AG1702" s="673"/>
      <c r="AH1702" s="673"/>
      <c r="AI1702" s="673"/>
      <c r="AJ1702" s="673"/>
      <c r="AK1702" s="673"/>
      <c r="AL1702" s="673"/>
      <c r="AM1702" s="673"/>
      <c r="AN1702" s="673"/>
      <c r="AO1702" s="673"/>
      <c r="AP1702" s="673"/>
      <c r="AQ1702" s="673"/>
      <c r="AR1702" s="673"/>
      <c r="AS1702" s="673"/>
    </row>
    <row r="1703">
      <c r="A1703" s="653"/>
      <c r="B1703" s="654"/>
      <c r="C1703" s="655"/>
      <c r="D1703" s="656"/>
      <c r="E1703" s="657"/>
      <c r="F1703" s="658"/>
      <c r="G1703" s="659"/>
      <c r="H1703" s="660"/>
      <c r="I1703" s="659"/>
      <c r="J1703" s="661"/>
      <c r="K1703" s="658"/>
      <c r="L1703" s="662"/>
      <c r="M1703" s="663"/>
      <c r="N1703" s="664"/>
      <c r="O1703" s="665"/>
      <c r="P1703" s="666"/>
      <c r="Q1703" s="667"/>
      <c r="R1703" s="668"/>
      <c r="S1703" s="665"/>
      <c r="T1703" s="669"/>
      <c r="U1703" s="669"/>
      <c r="V1703" s="665"/>
      <c r="W1703" s="670"/>
      <c r="X1703" s="670"/>
      <c r="Y1703" s="671"/>
      <c r="Z1703" s="671"/>
      <c r="AA1703" s="672"/>
      <c r="AB1703" s="673"/>
      <c r="AC1703" s="673"/>
      <c r="AD1703" s="673"/>
      <c r="AE1703" s="673"/>
      <c r="AF1703" s="673"/>
      <c r="AG1703" s="673"/>
      <c r="AH1703" s="673"/>
      <c r="AI1703" s="673"/>
      <c r="AJ1703" s="673"/>
      <c r="AK1703" s="673"/>
      <c r="AL1703" s="673"/>
      <c r="AM1703" s="673"/>
      <c r="AN1703" s="673"/>
      <c r="AO1703" s="673"/>
      <c r="AP1703" s="673"/>
      <c r="AQ1703" s="673"/>
      <c r="AR1703" s="673"/>
      <c r="AS1703" s="673"/>
    </row>
    <row r="1704">
      <c r="A1704" s="653"/>
      <c r="B1704" s="654"/>
      <c r="C1704" s="655"/>
      <c r="D1704" s="656"/>
      <c r="E1704" s="657"/>
      <c r="F1704" s="658"/>
      <c r="G1704" s="659"/>
      <c r="H1704" s="660"/>
      <c r="I1704" s="659"/>
      <c r="J1704" s="661"/>
      <c r="K1704" s="658"/>
      <c r="L1704" s="662"/>
      <c r="M1704" s="663"/>
      <c r="N1704" s="664"/>
      <c r="O1704" s="665"/>
      <c r="P1704" s="666"/>
      <c r="Q1704" s="667"/>
      <c r="R1704" s="668"/>
      <c r="S1704" s="665"/>
      <c r="T1704" s="669"/>
      <c r="U1704" s="669"/>
      <c r="V1704" s="665"/>
      <c r="W1704" s="670"/>
      <c r="X1704" s="670"/>
      <c r="Y1704" s="671"/>
      <c r="Z1704" s="671"/>
      <c r="AA1704" s="672"/>
      <c r="AB1704" s="673"/>
      <c r="AC1704" s="673"/>
      <c r="AD1704" s="673"/>
      <c r="AE1704" s="673"/>
      <c r="AF1704" s="673"/>
      <c r="AG1704" s="673"/>
      <c r="AH1704" s="673"/>
      <c r="AI1704" s="673"/>
      <c r="AJ1704" s="673"/>
      <c r="AK1704" s="673"/>
      <c r="AL1704" s="673"/>
      <c r="AM1704" s="673"/>
      <c r="AN1704" s="673"/>
      <c r="AO1704" s="673"/>
      <c r="AP1704" s="673"/>
      <c r="AQ1704" s="673"/>
      <c r="AR1704" s="673"/>
      <c r="AS1704" s="673"/>
    </row>
    <row r="1705">
      <c r="A1705" s="653"/>
      <c r="B1705" s="654"/>
      <c r="C1705" s="655"/>
      <c r="D1705" s="656"/>
      <c r="E1705" s="657"/>
      <c r="F1705" s="658"/>
      <c r="G1705" s="659"/>
      <c r="H1705" s="660"/>
      <c r="I1705" s="659"/>
      <c r="J1705" s="661"/>
      <c r="K1705" s="658"/>
      <c r="L1705" s="662"/>
      <c r="M1705" s="663"/>
      <c r="N1705" s="664"/>
      <c r="O1705" s="665"/>
      <c r="P1705" s="666"/>
      <c r="Q1705" s="667"/>
      <c r="R1705" s="668"/>
      <c r="S1705" s="665"/>
      <c r="T1705" s="669"/>
      <c r="U1705" s="669"/>
      <c r="V1705" s="665"/>
      <c r="W1705" s="670"/>
      <c r="X1705" s="670"/>
      <c r="Y1705" s="671"/>
      <c r="Z1705" s="671"/>
      <c r="AA1705" s="672"/>
      <c r="AB1705" s="673"/>
      <c r="AC1705" s="673"/>
      <c r="AD1705" s="673"/>
      <c r="AE1705" s="673"/>
      <c r="AF1705" s="673"/>
      <c r="AG1705" s="673"/>
      <c r="AH1705" s="673"/>
      <c r="AI1705" s="673"/>
      <c r="AJ1705" s="673"/>
      <c r="AK1705" s="673"/>
      <c r="AL1705" s="673"/>
      <c r="AM1705" s="673"/>
      <c r="AN1705" s="673"/>
      <c r="AO1705" s="673"/>
      <c r="AP1705" s="673"/>
      <c r="AQ1705" s="673"/>
      <c r="AR1705" s="673"/>
      <c r="AS1705" s="673"/>
    </row>
    <row r="1706">
      <c r="A1706" s="653"/>
      <c r="B1706" s="654"/>
      <c r="C1706" s="655"/>
      <c r="D1706" s="656"/>
      <c r="E1706" s="657"/>
      <c r="F1706" s="658"/>
      <c r="G1706" s="659"/>
      <c r="H1706" s="660"/>
      <c r="I1706" s="659"/>
      <c r="J1706" s="661"/>
      <c r="K1706" s="658"/>
      <c r="L1706" s="662"/>
      <c r="M1706" s="663"/>
      <c r="N1706" s="664"/>
      <c r="O1706" s="665"/>
      <c r="P1706" s="666"/>
      <c r="Q1706" s="667"/>
      <c r="R1706" s="668"/>
      <c r="S1706" s="665"/>
      <c r="T1706" s="669"/>
      <c r="U1706" s="669"/>
      <c r="V1706" s="665"/>
      <c r="W1706" s="670"/>
      <c r="X1706" s="670"/>
      <c r="Y1706" s="671"/>
      <c r="Z1706" s="671"/>
      <c r="AA1706" s="672"/>
      <c r="AB1706" s="673"/>
      <c r="AC1706" s="673"/>
      <c r="AD1706" s="673"/>
      <c r="AE1706" s="673"/>
      <c r="AF1706" s="673"/>
      <c r="AG1706" s="673"/>
      <c r="AH1706" s="673"/>
      <c r="AI1706" s="673"/>
      <c r="AJ1706" s="673"/>
      <c r="AK1706" s="673"/>
      <c r="AL1706" s="673"/>
      <c r="AM1706" s="673"/>
      <c r="AN1706" s="673"/>
      <c r="AO1706" s="673"/>
      <c r="AP1706" s="673"/>
      <c r="AQ1706" s="673"/>
      <c r="AR1706" s="673"/>
      <c r="AS1706" s="673"/>
    </row>
    <row r="1707">
      <c r="A1707" s="653"/>
      <c r="B1707" s="654"/>
      <c r="C1707" s="655"/>
      <c r="D1707" s="656"/>
      <c r="E1707" s="657"/>
      <c r="F1707" s="658"/>
      <c r="G1707" s="659"/>
      <c r="H1707" s="660"/>
      <c r="I1707" s="659"/>
      <c r="J1707" s="661"/>
      <c r="K1707" s="658"/>
      <c r="L1707" s="662"/>
      <c r="M1707" s="663"/>
      <c r="N1707" s="664"/>
      <c r="O1707" s="665"/>
      <c r="P1707" s="666"/>
      <c r="Q1707" s="667"/>
      <c r="R1707" s="668"/>
      <c r="S1707" s="665"/>
      <c r="T1707" s="669"/>
      <c r="U1707" s="669"/>
      <c r="V1707" s="665"/>
      <c r="W1707" s="670"/>
      <c r="X1707" s="670"/>
      <c r="Y1707" s="671"/>
      <c r="Z1707" s="671"/>
      <c r="AA1707" s="672"/>
      <c r="AB1707" s="673"/>
      <c r="AC1707" s="673"/>
      <c r="AD1707" s="673"/>
      <c r="AE1707" s="673"/>
      <c r="AF1707" s="673"/>
      <c r="AG1707" s="673"/>
      <c r="AH1707" s="673"/>
      <c r="AI1707" s="673"/>
      <c r="AJ1707" s="673"/>
      <c r="AK1707" s="673"/>
      <c r="AL1707" s="673"/>
      <c r="AM1707" s="673"/>
      <c r="AN1707" s="673"/>
      <c r="AO1707" s="673"/>
      <c r="AP1707" s="673"/>
      <c r="AQ1707" s="673"/>
      <c r="AR1707" s="673"/>
      <c r="AS1707" s="673"/>
    </row>
    <row r="1708">
      <c r="A1708" s="653"/>
      <c r="B1708" s="654"/>
      <c r="C1708" s="655"/>
      <c r="D1708" s="656"/>
      <c r="E1708" s="657"/>
      <c r="F1708" s="658"/>
      <c r="G1708" s="659"/>
      <c r="H1708" s="660"/>
      <c r="I1708" s="659"/>
      <c r="J1708" s="661"/>
      <c r="K1708" s="658"/>
      <c r="L1708" s="662"/>
      <c r="M1708" s="663"/>
      <c r="N1708" s="664"/>
      <c r="O1708" s="665"/>
      <c r="P1708" s="666"/>
      <c r="Q1708" s="667"/>
      <c r="R1708" s="668"/>
      <c r="S1708" s="665"/>
      <c r="T1708" s="669"/>
      <c r="U1708" s="669"/>
      <c r="V1708" s="665"/>
      <c r="W1708" s="670"/>
      <c r="X1708" s="670"/>
      <c r="Y1708" s="671"/>
      <c r="Z1708" s="671"/>
      <c r="AA1708" s="672"/>
      <c r="AB1708" s="673"/>
      <c r="AC1708" s="673"/>
      <c r="AD1708" s="673"/>
      <c r="AE1708" s="673"/>
      <c r="AF1708" s="673"/>
      <c r="AG1708" s="673"/>
      <c r="AH1708" s="673"/>
      <c r="AI1708" s="673"/>
      <c r="AJ1708" s="673"/>
      <c r="AK1708" s="673"/>
      <c r="AL1708" s="673"/>
      <c r="AM1708" s="673"/>
      <c r="AN1708" s="673"/>
      <c r="AO1708" s="673"/>
      <c r="AP1708" s="673"/>
      <c r="AQ1708" s="673"/>
      <c r="AR1708" s="673"/>
      <c r="AS1708" s="673"/>
    </row>
    <row r="1709">
      <c r="A1709" s="653"/>
      <c r="B1709" s="654"/>
      <c r="C1709" s="655"/>
      <c r="D1709" s="656"/>
      <c r="E1709" s="657"/>
      <c r="F1709" s="658"/>
      <c r="G1709" s="659"/>
      <c r="H1709" s="660"/>
      <c r="I1709" s="659"/>
      <c r="J1709" s="661"/>
      <c r="K1709" s="658"/>
      <c r="L1709" s="662"/>
      <c r="M1709" s="663"/>
      <c r="N1709" s="664"/>
      <c r="O1709" s="665"/>
      <c r="P1709" s="666"/>
      <c r="Q1709" s="667"/>
      <c r="R1709" s="668"/>
      <c r="S1709" s="665"/>
      <c r="T1709" s="669"/>
      <c r="U1709" s="669"/>
      <c r="V1709" s="665"/>
      <c r="W1709" s="670"/>
      <c r="X1709" s="670"/>
      <c r="Y1709" s="671"/>
      <c r="Z1709" s="671"/>
      <c r="AA1709" s="672"/>
      <c r="AB1709" s="673"/>
      <c r="AC1709" s="673"/>
      <c r="AD1709" s="673"/>
      <c r="AE1709" s="673"/>
      <c r="AF1709" s="673"/>
      <c r="AG1709" s="673"/>
      <c r="AH1709" s="673"/>
      <c r="AI1709" s="673"/>
      <c r="AJ1709" s="673"/>
      <c r="AK1709" s="673"/>
      <c r="AL1709" s="673"/>
      <c r="AM1709" s="673"/>
      <c r="AN1709" s="673"/>
      <c r="AO1709" s="673"/>
      <c r="AP1709" s="673"/>
      <c r="AQ1709" s="673"/>
      <c r="AR1709" s="673"/>
      <c r="AS1709" s="673"/>
    </row>
    <row r="1710">
      <c r="A1710" s="653"/>
      <c r="B1710" s="654"/>
      <c r="C1710" s="655"/>
      <c r="D1710" s="656"/>
      <c r="E1710" s="657"/>
      <c r="F1710" s="658"/>
      <c r="G1710" s="659"/>
      <c r="H1710" s="660"/>
      <c r="I1710" s="659"/>
      <c r="J1710" s="661"/>
      <c r="K1710" s="658"/>
      <c r="L1710" s="662"/>
      <c r="M1710" s="663"/>
      <c r="N1710" s="664"/>
      <c r="O1710" s="665"/>
      <c r="P1710" s="666"/>
      <c r="Q1710" s="667"/>
      <c r="R1710" s="668"/>
      <c r="S1710" s="665"/>
      <c r="T1710" s="669"/>
      <c r="U1710" s="669"/>
      <c r="V1710" s="665"/>
      <c r="W1710" s="670"/>
      <c r="X1710" s="670"/>
      <c r="Y1710" s="671"/>
      <c r="Z1710" s="671"/>
      <c r="AA1710" s="672"/>
      <c r="AB1710" s="673"/>
      <c r="AC1710" s="673"/>
      <c r="AD1710" s="673"/>
      <c r="AE1710" s="673"/>
      <c r="AF1710" s="673"/>
      <c r="AG1710" s="673"/>
      <c r="AH1710" s="673"/>
      <c r="AI1710" s="673"/>
      <c r="AJ1710" s="673"/>
      <c r="AK1710" s="673"/>
      <c r="AL1710" s="673"/>
      <c r="AM1710" s="673"/>
      <c r="AN1710" s="673"/>
      <c r="AO1710" s="673"/>
      <c r="AP1710" s="673"/>
      <c r="AQ1710" s="673"/>
      <c r="AR1710" s="673"/>
      <c r="AS1710" s="673"/>
    </row>
    <row r="1711">
      <c r="A1711" s="653"/>
      <c r="B1711" s="654"/>
      <c r="C1711" s="655"/>
      <c r="D1711" s="656"/>
      <c r="E1711" s="657"/>
      <c r="F1711" s="658"/>
      <c r="G1711" s="659"/>
      <c r="H1711" s="660"/>
      <c r="I1711" s="659"/>
      <c r="J1711" s="661"/>
      <c r="K1711" s="658"/>
      <c r="L1711" s="662"/>
      <c r="M1711" s="663"/>
      <c r="N1711" s="664"/>
      <c r="O1711" s="665"/>
      <c r="P1711" s="666"/>
      <c r="Q1711" s="667"/>
      <c r="R1711" s="668"/>
      <c r="S1711" s="665"/>
      <c r="T1711" s="669"/>
      <c r="U1711" s="669"/>
      <c r="V1711" s="665"/>
      <c r="W1711" s="670"/>
      <c r="X1711" s="670"/>
      <c r="Y1711" s="671"/>
      <c r="Z1711" s="671"/>
      <c r="AA1711" s="672"/>
      <c r="AB1711" s="673"/>
      <c r="AC1711" s="673"/>
      <c r="AD1711" s="673"/>
      <c r="AE1711" s="673"/>
      <c r="AF1711" s="673"/>
      <c r="AG1711" s="673"/>
      <c r="AH1711" s="673"/>
      <c r="AI1711" s="673"/>
      <c r="AJ1711" s="673"/>
      <c r="AK1711" s="673"/>
      <c r="AL1711" s="673"/>
      <c r="AM1711" s="673"/>
      <c r="AN1711" s="673"/>
      <c r="AO1711" s="673"/>
      <c r="AP1711" s="673"/>
      <c r="AQ1711" s="673"/>
      <c r="AR1711" s="673"/>
      <c r="AS1711" s="673"/>
    </row>
    <row r="1712">
      <c r="A1712" s="653"/>
      <c r="B1712" s="654"/>
      <c r="C1712" s="655"/>
      <c r="D1712" s="656"/>
      <c r="E1712" s="657"/>
      <c r="F1712" s="658"/>
      <c r="G1712" s="659"/>
      <c r="H1712" s="660"/>
      <c r="I1712" s="659"/>
      <c r="J1712" s="661"/>
      <c r="K1712" s="658"/>
      <c r="L1712" s="662"/>
      <c r="M1712" s="663"/>
      <c r="N1712" s="664"/>
      <c r="O1712" s="665"/>
      <c r="P1712" s="666"/>
      <c r="Q1712" s="667"/>
      <c r="R1712" s="668"/>
      <c r="S1712" s="665"/>
      <c r="T1712" s="669"/>
      <c r="U1712" s="669"/>
      <c r="V1712" s="665"/>
      <c r="W1712" s="670"/>
      <c r="X1712" s="670"/>
      <c r="Y1712" s="671"/>
      <c r="Z1712" s="671"/>
      <c r="AA1712" s="672"/>
      <c r="AB1712" s="673"/>
      <c r="AC1712" s="673"/>
      <c r="AD1712" s="673"/>
      <c r="AE1712" s="673"/>
      <c r="AF1712" s="673"/>
      <c r="AG1712" s="673"/>
      <c r="AH1712" s="673"/>
      <c r="AI1712" s="673"/>
      <c r="AJ1712" s="673"/>
      <c r="AK1712" s="673"/>
      <c r="AL1712" s="673"/>
      <c r="AM1712" s="673"/>
      <c r="AN1712" s="673"/>
      <c r="AO1712" s="673"/>
      <c r="AP1712" s="673"/>
      <c r="AQ1712" s="673"/>
      <c r="AR1712" s="673"/>
      <c r="AS1712" s="673"/>
    </row>
    <row r="1713">
      <c r="A1713" s="653"/>
      <c r="B1713" s="654"/>
      <c r="C1713" s="655"/>
      <c r="D1713" s="656"/>
      <c r="E1713" s="657"/>
      <c r="F1713" s="658"/>
      <c r="G1713" s="659"/>
      <c r="H1713" s="660"/>
      <c r="I1713" s="659"/>
      <c r="J1713" s="661"/>
      <c r="K1713" s="658"/>
      <c r="L1713" s="662"/>
      <c r="M1713" s="663"/>
      <c r="N1713" s="664"/>
      <c r="O1713" s="665"/>
      <c r="P1713" s="666"/>
      <c r="Q1713" s="667"/>
      <c r="R1713" s="668"/>
      <c r="S1713" s="665"/>
      <c r="T1713" s="669"/>
      <c r="U1713" s="669"/>
      <c r="V1713" s="665"/>
      <c r="W1713" s="670"/>
      <c r="X1713" s="670"/>
      <c r="Y1713" s="671"/>
      <c r="Z1713" s="671"/>
      <c r="AA1713" s="672"/>
      <c r="AB1713" s="673"/>
      <c r="AC1713" s="673"/>
      <c r="AD1713" s="673"/>
      <c r="AE1713" s="673"/>
      <c r="AF1713" s="673"/>
      <c r="AG1713" s="673"/>
      <c r="AH1713" s="673"/>
      <c r="AI1713" s="673"/>
      <c r="AJ1713" s="673"/>
      <c r="AK1713" s="673"/>
      <c r="AL1713" s="673"/>
      <c r="AM1713" s="673"/>
      <c r="AN1713" s="673"/>
      <c r="AO1713" s="673"/>
      <c r="AP1713" s="673"/>
      <c r="AQ1713" s="673"/>
      <c r="AR1713" s="673"/>
      <c r="AS1713" s="673"/>
    </row>
    <row r="1714">
      <c r="A1714" s="653"/>
      <c r="B1714" s="654"/>
      <c r="C1714" s="655"/>
      <c r="D1714" s="656"/>
      <c r="E1714" s="657"/>
      <c r="F1714" s="658"/>
      <c r="G1714" s="659"/>
      <c r="H1714" s="660"/>
      <c r="I1714" s="659"/>
      <c r="J1714" s="661"/>
      <c r="K1714" s="658"/>
      <c r="L1714" s="662"/>
      <c r="M1714" s="663"/>
      <c r="N1714" s="664"/>
      <c r="O1714" s="665"/>
      <c r="P1714" s="666"/>
      <c r="Q1714" s="667"/>
      <c r="R1714" s="668"/>
      <c r="S1714" s="665"/>
      <c r="T1714" s="669"/>
      <c r="U1714" s="669"/>
      <c r="V1714" s="665"/>
      <c r="W1714" s="670"/>
      <c r="X1714" s="670"/>
      <c r="Y1714" s="671"/>
      <c r="Z1714" s="671"/>
      <c r="AA1714" s="672"/>
      <c r="AB1714" s="673"/>
      <c r="AC1714" s="673"/>
      <c r="AD1714" s="673"/>
      <c r="AE1714" s="673"/>
      <c r="AF1714" s="673"/>
      <c r="AG1714" s="673"/>
      <c r="AH1714" s="673"/>
      <c r="AI1714" s="673"/>
      <c r="AJ1714" s="673"/>
      <c r="AK1714" s="673"/>
      <c r="AL1714" s="673"/>
      <c r="AM1714" s="673"/>
      <c r="AN1714" s="673"/>
      <c r="AO1714" s="673"/>
      <c r="AP1714" s="673"/>
      <c r="AQ1714" s="673"/>
      <c r="AR1714" s="673"/>
      <c r="AS1714" s="673"/>
    </row>
    <row r="1715">
      <c r="A1715" s="653"/>
      <c r="B1715" s="654"/>
      <c r="C1715" s="655"/>
      <c r="D1715" s="656"/>
      <c r="E1715" s="657"/>
      <c r="F1715" s="658"/>
      <c r="G1715" s="659"/>
      <c r="H1715" s="660"/>
      <c r="I1715" s="659"/>
      <c r="J1715" s="661"/>
      <c r="K1715" s="658"/>
      <c r="L1715" s="662"/>
      <c r="M1715" s="663"/>
      <c r="N1715" s="664"/>
      <c r="O1715" s="665"/>
      <c r="P1715" s="666"/>
      <c r="Q1715" s="667"/>
      <c r="R1715" s="668"/>
      <c r="S1715" s="665"/>
      <c r="T1715" s="669"/>
      <c r="U1715" s="669"/>
      <c r="V1715" s="665"/>
      <c r="W1715" s="670"/>
      <c r="X1715" s="670"/>
      <c r="Y1715" s="671"/>
      <c r="Z1715" s="671"/>
      <c r="AA1715" s="672"/>
      <c r="AB1715" s="673"/>
      <c r="AC1715" s="673"/>
      <c r="AD1715" s="673"/>
      <c r="AE1715" s="673"/>
      <c r="AF1715" s="673"/>
      <c r="AG1715" s="673"/>
      <c r="AH1715" s="673"/>
      <c r="AI1715" s="673"/>
      <c r="AJ1715" s="673"/>
      <c r="AK1715" s="673"/>
      <c r="AL1715" s="673"/>
      <c r="AM1715" s="673"/>
      <c r="AN1715" s="673"/>
      <c r="AO1715" s="673"/>
      <c r="AP1715" s="673"/>
      <c r="AQ1715" s="673"/>
      <c r="AR1715" s="673"/>
      <c r="AS1715" s="673"/>
    </row>
    <row r="1716">
      <c r="A1716" s="653"/>
      <c r="B1716" s="654"/>
      <c r="C1716" s="655"/>
      <c r="D1716" s="656"/>
      <c r="E1716" s="657"/>
      <c r="F1716" s="658"/>
      <c r="G1716" s="659"/>
      <c r="H1716" s="660"/>
      <c r="I1716" s="659"/>
      <c r="J1716" s="661"/>
      <c r="K1716" s="658"/>
      <c r="L1716" s="662"/>
      <c r="M1716" s="663"/>
      <c r="N1716" s="664"/>
      <c r="O1716" s="665"/>
      <c r="P1716" s="666"/>
      <c r="Q1716" s="667"/>
      <c r="R1716" s="668"/>
      <c r="S1716" s="665"/>
      <c r="T1716" s="669"/>
      <c r="U1716" s="669"/>
      <c r="V1716" s="665"/>
      <c r="W1716" s="670"/>
      <c r="X1716" s="670"/>
      <c r="Y1716" s="671"/>
      <c r="Z1716" s="671"/>
      <c r="AA1716" s="672"/>
      <c r="AB1716" s="673"/>
      <c r="AC1716" s="673"/>
      <c r="AD1716" s="673"/>
      <c r="AE1716" s="673"/>
      <c r="AF1716" s="673"/>
      <c r="AG1716" s="673"/>
      <c r="AH1716" s="673"/>
      <c r="AI1716" s="673"/>
      <c r="AJ1716" s="673"/>
      <c r="AK1716" s="673"/>
      <c r="AL1716" s="673"/>
      <c r="AM1716" s="673"/>
      <c r="AN1716" s="673"/>
      <c r="AO1716" s="673"/>
      <c r="AP1716" s="673"/>
      <c r="AQ1716" s="673"/>
      <c r="AR1716" s="673"/>
      <c r="AS1716" s="673"/>
    </row>
    <row r="1717">
      <c r="A1717" s="653"/>
      <c r="B1717" s="654"/>
      <c r="C1717" s="655"/>
      <c r="D1717" s="656"/>
      <c r="E1717" s="657"/>
      <c r="F1717" s="658"/>
      <c r="G1717" s="659"/>
      <c r="H1717" s="660"/>
      <c r="I1717" s="659"/>
      <c r="J1717" s="661"/>
      <c r="K1717" s="658"/>
      <c r="L1717" s="662"/>
      <c r="M1717" s="663"/>
      <c r="N1717" s="664"/>
      <c r="O1717" s="665"/>
      <c r="P1717" s="666"/>
      <c r="Q1717" s="667"/>
      <c r="R1717" s="668"/>
      <c r="S1717" s="665"/>
      <c r="T1717" s="669"/>
      <c r="U1717" s="669"/>
      <c r="V1717" s="665"/>
      <c r="W1717" s="670"/>
      <c r="X1717" s="670"/>
      <c r="Y1717" s="671"/>
      <c r="Z1717" s="671"/>
      <c r="AA1717" s="672"/>
      <c r="AB1717" s="673"/>
      <c r="AC1717" s="673"/>
      <c r="AD1717" s="673"/>
      <c r="AE1717" s="673"/>
      <c r="AF1717" s="673"/>
      <c r="AG1717" s="673"/>
      <c r="AH1717" s="673"/>
      <c r="AI1717" s="673"/>
      <c r="AJ1717" s="673"/>
      <c r="AK1717" s="673"/>
      <c r="AL1717" s="673"/>
      <c r="AM1717" s="673"/>
      <c r="AN1717" s="673"/>
      <c r="AO1717" s="673"/>
      <c r="AP1717" s="673"/>
      <c r="AQ1717" s="673"/>
      <c r="AR1717" s="673"/>
      <c r="AS1717" s="673"/>
    </row>
    <row r="1718">
      <c r="A1718" s="653"/>
      <c r="B1718" s="654"/>
      <c r="C1718" s="655"/>
      <c r="D1718" s="656"/>
      <c r="E1718" s="657"/>
      <c r="F1718" s="658"/>
      <c r="G1718" s="659"/>
      <c r="H1718" s="660"/>
      <c r="I1718" s="659"/>
      <c r="J1718" s="661"/>
      <c r="K1718" s="658"/>
      <c r="L1718" s="662"/>
      <c r="M1718" s="663"/>
      <c r="N1718" s="664"/>
      <c r="O1718" s="665"/>
      <c r="P1718" s="666"/>
      <c r="Q1718" s="667"/>
      <c r="R1718" s="668"/>
      <c r="S1718" s="665"/>
      <c r="T1718" s="669"/>
      <c r="U1718" s="669"/>
      <c r="V1718" s="665"/>
      <c r="W1718" s="670"/>
      <c r="X1718" s="670"/>
      <c r="Y1718" s="671"/>
      <c r="Z1718" s="671"/>
      <c r="AA1718" s="672"/>
      <c r="AB1718" s="673"/>
      <c r="AC1718" s="673"/>
      <c r="AD1718" s="673"/>
      <c r="AE1718" s="673"/>
      <c r="AF1718" s="673"/>
      <c r="AG1718" s="673"/>
      <c r="AH1718" s="673"/>
      <c r="AI1718" s="673"/>
      <c r="AJ1718" s="673"/>
      <c r="AK1718" s="673"/>
      <c r="AL1718" s="673"/>
      <c r="AM1718" s="673"/>
      <c r="AN1718" s="673"/>
      <c r="AO1718" s="673"/>
      <c r="AP1718" s="673"/>
      <c r="AQ1718" s="673"/>
      <c r="AR1718" s="673"/>
      <c r="AS1718" s="673"/>
    </row>
    <row r="1719">
      <c r="A1719" s="653"/>
      <c r="B1719" s="654"/>
      <c r="C1719" s="655"/>
      <c r="D1719" s="656"/>
      <c r="E1719" s="657"/>
      <c r="F1719" s="658"/>
      <c r="G1719" s="659"/>
      <c r="H1719" s="660"/>
      <c r="I1719" s="659"/>
      <c r="J1719" s="661"/>
      <c r="K1719" s="658"/>
      <c r="L1719" s="662"/>
      <c r="M1719" s="663"/>
      <c r="N1719" s="664"/>
      <c r="O1719" s="665"/>
      <c r="P1719" s="666"/>
      <c r="Q1719" s="667"/>
      <c r="R1719" s="668"/>
      <c r="S1719" s="665"/>
      <c r="T1719" s="669"/>
      <c r="U1719" s="669"/>
      <c r="V1719" s="665"/>
      <c r="W1719" s="670"/>
      <c r="X1719" s="670"/>
      <c r="Y1719" s="671"/>
      <c r="Z1719" s="671"/>
      <c r="AA1719" s="672"/>
      <c r="AB1719" s="673"/>
      <c r="AC1719" s="673"/>
      <c r="AD1719" s="673"/>
      <c r="AE1719" s="673"/>
      <c r="AF1719" s="673"/>
      <c r="AG1719" s="673"/>
      <c r="AH1719" s="673"/>
      <c r="AI1719" s="673"/>
      <c r="AJ1719" s="673"/>
      <c r="AK1719" s="673"/>
      <c r="AL1719" s="673"/>
      <c r="AM1719" s="673"/>
      <c r="AN1719" s="673"/>
      <c r="AO1719" s="673"/>
      <c r="AP1719" s="673"/>
      <c r="AQ1719" s="673"/>
      <c r="AR1719" s="673"/>
      <c r="AS1719" s="673"/>
    </row>
    <row r="1720">
      <c r="A1720" s="653"/>
      <c r="B1720" s="654"/>
      <c r="C1720" s="655"/>
      <c r="D1720" s="656"/>
      <c r="E1720" s="657"/>
      <c r="F1720" s="658"/>
      <c r="G1720" s="659"/>
      <c r="H1720" s="660"/>
      <c r="I1720" s="659"/>
      <c r="J1720" s="661"/>
      <c r="K1720" s="658"/>
      <c r="L1720" s="662"/>
      <c r="M1720" s="663"/>
      <c r="N1720" s="664"/>
      <c r="O1720" s="665"/>
      <c r="P1720" s="666"/>
      <c r="Q1720" s="667"/>
      <c r="R1720" s="668"/>
      <c r="S1720" s="665"/>
      <c r="T1720" s="669"/>
      <c r="U1720" s="669"/>
      <c r="V1720" s="665"/>
      <c r="W1720" s="670"/>
      <c r="X1720" s="670"/>
      <c r="Y1720" s="671"/>
      <c r="Z1720" s="671"/>
      <c r="AA1720" s="672"/>
      <c r="AB1720" s="673"/>
      <c r="AC1720" s="673"/>
      <c r="AD1720" s="673"/>
      <c r="AE1720" s="673"/>
      <c r="AF1720" s="673"/>
      <c r="AG1720" s="673"/>
      <c r="AH1720" s="673"/>
      <c r="AI1720" s="673"/>
      <c r="AJ1720" s="673"/>
      <c r="AK1720" s="673"/>
      <c r="AL1720" s="673"/>
      <c r="AM1720" s="673"/>
      <c r="AN1720" s="673"/>
      <c r="AO1720" s="673"/>
      <c r="AP1720" s="673"/>
      <c r="AQ1720" s="673"/>
      <c r="AR1720" s="673"/>
      <c r="AS1720" s="673"/>
    </row>
    <row r="1721">
      <c r="A1721" s="653"/>
      <c r="B1721" s="654"/>
      <c r="C1721" s="655"/>
      <c r="D1721" s="656"/>
      <c r="E1721" s="657"/>
      <c r="F1721" s="658"/>
      <c r="G1721" s="659"/>
      <c r="H1721" s="660"/>
      <c r="I1721" s="659"/>
      <c r="J1721" s="661"/>
      <c r="K1721" s="658"/>
      <c r="L1721" s="662"/>
      <c r="M1721" s="663"/>
      <c r="N1721" s="664"/>
      <c r="O1721" s="665"/>
      <c r="P1721" s="666"/>
      <c r="Q1721" s="667"/>
      <c r="R1721" s="668"/>
      <c r="S1721" s="665"/>
      <c r="T1721" s="669"/>
      <c r="U1721" s="669"/>
      <c r="V1721" s="665"/>
      <c r="W1721" s="670"/>
      <c r="X1721" s="670"/>
      <c r="Y1721" s="671"/>
      <c r="Z1721" s="671"/>
      <c r="AA1721" s="672"/>
      <c r="AB1721" s="673"/>
      <c r="AC1721" s="673"/>
      <c r="AD1721" s="673"/>
      <c r="AE1721" s="673"/>
      <c r="AF1721" s="673"/>
      <c r="AG1721" s="673"/>
      <c r="AH1721" s="673"/>
      <c r="AI1721" s="673"/>
      <c r="AJ1721" s="673"/>
      <c r="AK1721" s="673"/>
      <c r="AL1721" s="673"/>
      <c r="AM1721" s="673"/>
      <c r="AN1721" s="673"/>
      <c r="AO1721" s="673"/>
      <c r="AP1721" s="673"/>
      <c r="AQ1721" s="673"/>
      <c r="AR1721" s="673"/>
      <c r="AS1721" s="673"/>
    </row>
    <row r="1722">
      <c r="A1722" s="653"/>
      <c r="B1722" s="654"/>
      <c r="C1722" s="655"/>
      <c r="D1722" s="656"/>
      <c r="E1722" s="657"/>
      <c r="F1722" s="658"/>
      <c r="G1722" s="659"/>
      <c r="H1722" s="660"/>
      <c r="I1722" s="659"/>
      <c r="J1722" s="661"/>
      <c r="K1722" s="658"/>
      <c r="L1722" s="662"/>
      <c r="M1722" s="663"/>
      <c r="N1722" s="664"/>
      <c r="O1722" s="665"/>
      <c r="P1722" s="666"/>
      <c r="Q1722" s="667"/>
      <c r="R1722" s="668"/>
      <c r="S1722" s="665"/>
      <c r="T1722" s="669"/>
      <c r="U1722" s="669"/>
      <c r="V1722" s="665"/>
      <c r="W1722" s="670"/>
      <c r="X1722" s="670"/>
      <c r="Y1722" s="671"/>
      <c r="Z1722" s="671"/>
      <c r="AA1722" s="672"/>
      <c r="AB1722" s="673"/>
      <c r="AC1722" s="673"/>
      <c r="AD1722" s="673"/>
      <c r="AE1722" s="673"/>
      <c r="AF1722" s="673"/>
      <c r="AG1722" s="673"/>
      <c r="AH1722" s="673"/>
      <c r="AI1722" s="673"/>
      <c r="AJ1722" s="673"/>
      <c r="AK1722" s="673"/>
      <c r="AL1722" s="673"/>
      <c r="AM1722" s="673"/>
      <c r="AN1722" s="673"/>
      <c r="AO1722" s="673"/>
      <c r="AP1722" s="673"/>
      <c r="AQ1722" s="673"/>
      <c r="AR1722" s="673"/>
      <c r="AS1722" s="673"/>
    </row>
    <row r="1723">
      <c r="A1723" s="653"/>
      <c r="B1723" s="654"/>
      <c r="C1723" s="655"/>
      <c r="D1723" s="656"/>
      <c r="E1723" s="657"/>
      <c r="F1723" s="658"/>
      <c r="G1723" s="659"/>
      <c r="H1723" s="660"/>
      <c r="I1723" s="659"/>
      <c r="J1723" s="661"/>
      <c r="K1723" s="658"/>
      <c r="L1723" s="662"/>
      <c r="M1723" s="663"/>
      <c r="N1723" s="664"/>
      <c r="O1723" s="665"/>
      <c r="P1723" s="666"/>
      <c r="Q1723" s="667"/>
      <c r="R1723" s="668"/>
      <c r="S1723" s="665"/>
      <c r="T1723" s="669"/>
      <c r="U1723" s="669"/>
      <c r="V1723" s="665"/>
      <c r="W1723" s="670"/>
      <c r="X1723" s="670"/>
      <c r="Y1723" s="671"/>
      <c r="Z1723" s="671"/>
      <c r="AA1723" s="672"/>
      <c r="AB1723" s="673"/>
      <c r="AC1723" s="673"/>
      <c r="AD1723" s="673"/>
      <c r="AE1723" s="673"/>
      <c r="AF1723" s="673"/>
      <c r="AG1723" s="673"/>
      <c r="AH1723" s="673"/>
      <c r="AI1723" s="673"/>
      <c r="AJ1723" s="673"/>
      <c r="AK1723" s="673"/>
      <c r="AL1723" s="673"/>
      <c r="AM1723" s="673"/>
      <c r="AN1723" s="673"/>
      <c r="AO1723" s="673"/>
      <c r="AP1723" s="673"/>
      <c r="AQ1723" s="673"/>
      <c r="AR1723" s="673"/>
      <c r="AS1723" s="673"/>
    </row>
    <row r="1724">
      <c r="A1724" s="653"/>
      <c r="B1724" s="654"/>
      <c r="C1724" s="655"/>
      <c r="D1724" s="656"/>
      <c r="E1724" s="657"/>
      <c r="F1724" s="658"/>
      <c r="G1724" s="659"/>
      <c r="H1724" s="660"/>
      <c r="I1724" s="659"/>
      <c r="J1724" s="661"/>
      <c r="K1724" s="658"/>
      <c r="L1724" s="662"/>
      <c r="M1724" s="663"/>
      <c r="N1724" s="664"/>
      <c r="O1724" s="665"/>
      <c r="P1724" s="666"/>
      <c r="Q1724" s="667"/>
      <c r="R1724" s="668"/>
      <c r="S1724" s="665"/>
      <c r="T1724" s="669"/>
      <c r="U1724" s="669"/>
      <c r="V1724" s="665"/>
      <c r="W1724" s="670"/>
      <c r="X1724" s="670"/>
      <c r="Y1724" s="671"/>
      <c r="Z1724" s="671"/>
      <c r="AA1724" s="672"/>
      <c r="AB1724" s="673"/>
      <c r="AC1724" s="673"/>
      <c r="AD1724" s="673"/>
      <c r="AE1724" s="673"/>
      <c r="AF1724" s="673"/>
      <c r="AG1724" s="673"/>
      <c r="AH1724" s="673"/>
      <c r="AI1724" s="673"/>
      <c r="AJ1724" s="673"/>
      <c r="AK1724" s="673"/>
      <c r="AL1724" s="673"/>
      <c r="AM1724" s="673"/>
      <c r="AN1724" s="673"/>
      <c r="AO1724" s="673"/>
      <c r="AP1724" s="673"/>
      <c r="AQ1724" s="673"/>
      <c r="AR1724" s="673"/>
      <c r="AS1724" s="673"/>
    </row>
    <row r="1725">
      <c r="A1725" s="653"/>
      <c r="B1725" s="654"/>
      <c r="C1725" s="655"/>
      <c r="D1725" s="656"/>
      <c r="E1725" s="657"/>
      <c r="F1725" s="658"/>
      <c r="G1725" s="659"/>
      <c r="H1725" s="660"/>
      <c r="I1725" s="659"/>
      <c r="J1725" s="661"/>
      <c r="K1725" s="658"/>
      <c r="L1725" s="662"/>
      <c r="M1725" s="663"/>
      <c r="N1725" s="664"/>
      <c r="O1725" s="665"/>
      <c r="P1725" s="666"/>
      <c r="Q1725" s="667"/>
      <c r="R1725" s="668"/>
      <c r="S1725" s="665"/>
      <c r="T1725" s="669"/>
      <c r="U1725" s="669"/>
      <c r="V1725" s="665"/>
      <c r="W1725" s="670"/>
      <c r="X1725" s="670"/>
      <c r="Y1725" s="671"/>
      <c r="Z1725" s="671"/>
      <c r="AA1725" s="672"/>
      <c r="AB1725" s="673"/>
      <c r="AC1725" s="673"/>
      <c r="AD1725" s="673"/>
      <c r="AE1725" s="673"/>
      <c r="AF1725" s="673"/>
      <c r="AG1725" s="673"/>
      <c r="AH1725" s="673"/>
      <c r="AI1725" s="673"/>
      <c r="AJ1725" s="673"/>
      <c r="AK1725" s="673"/>
      <c r="AL1725" s="673"/>
      <c r="AM1725" s="673"/>
      <c r="AN1725" s="673"/>
      <c r="AO1725" s="673"/>
      <c r="AP1725" s="673"/>
      <c r="AQ1725" s="673"/>
      <c r="AR1725" s="673"/>
      <c r="AS1725" s="673"/>
    </row>
    <row r="1726">
      <c r="A1726" s="653"/>
      <c r="B1726" s="654"/>
      <c r="C1726" s="655"/>
      <c r="D1726" s="656"/>
      <c r="E1726" s="657"/>
      <c r="F1726" s="658"/>
      <c r="G1726" s="659"/>
      <c r="H1726" s="660"/>
      <c r="I1726" s="659"/>
      <c r="J1726" s="661"/>
      <c r="K1726" s="658"/>
      <c r="L1726" s="662"/>
      <c r="M1726" s="663"/>
      <c r="N1726" s="664"/>
      <c r="O1726" s="665"/>
      <c r="P1726" s="666"/>
      <c r="Q1726" s="667"/>
      <c r="R1726" s="668"/>
      <c r="S1726" s="665"/>
      <c r="T1726" s="669"/>
      <c r="U1726" s="669"/>
      <c r="V1726" s="665"/>
      <c r="W1726" s="670"/>
      <c r="X1726" s="670"/>
      <c r="Y1726" s="671"/>
      <c r="Z1726" s="671"/>
      <c r="AA1726" s="672"/>
      <c r="AB1726" s="673"/>
      <c r="AC1726" s="673"/>
      <c r="AD1726" s="673"/>
      <c r="AE1726" s="673"/>
      <c r="AF1726" s="673"/>
      <c r="AG1726" s="673"/>
      <c r="AH1726" s="673"/>
      <c r="AI1726" s="673"/>
      <c r="AJ1726" s="673"/>
      <c r="AK1726" s="673"/>
      <c r="AL1726" s="673"/>
      <c r="AM1726" s="673"/>
      <c r="AN1726" s="673"/>
      <c r="AO1726" s="673"/>
      <c r="AP1726" s="673"/>
      <c r="AQ1726" s="673"/>
      <c r="AR1726" s="673"/>
      <c r="AS1726" s="673"/>
    </row>
    <row r="1727">
      <c r="A1727" s="653"/>
      <c r="B1727" s="654"/>
      <c r="C1727" s="655"/>
      <c r="D1727" s="656"/>
      <c r="E1727" s="657"/>
      <c r="F1727" s="658"/>
      <c r="G1727" s="659"/>
      <c r="H1727" s="660"/>
      <c r="I1727" s="659"/>
      <c r="J1727" s="661"/>
      <c r="K1727" s="658"/>
      <c r="L1727" s="662"/>
      <c r="M1727" s="663"/>
      <c r="N1727" s="664"/>
      <c r="O1727" s="665"/>
      <c r="P1727" s="666"/>
      <c r="Q1727" s="667"/>
      <c r="R1727" s="668"/>
      <c r="S1727" s="665"/>
      <c r="T1727" s="669"/>
      <c r="U1727" s="669"/>
      <c r="V1727" s="665"/>
      <c r="W1727" s="670"/>
      <c r="X1727" s="670"/>
      <c r="Y1727" s="671"/>
      <c r="Z1727" s="671"/>
      <c r="AA1727" s="672"/>
      <c r="AB1727" s="673"/>
      <c r="AC1727" s="673"/>
      <c r="AD1727" s="673"/>
      <c r="AE1727" s="673"/>
      <c r="AF1727" s="673"/>
      <c r="AG1727" s="673"/>
      <c r="AH1727" s="673"/>
      <c r="AI1727" s="673"/>
      <c r="AJ1727" s="673"/>
      <c r="AK1727" s="673"/>
      <c r="AL1727" s="673"/>
      <c r="AM1727" s="673"/>
      <c r="AN1727" s="673"/>
      <c r="AO1727" s="673"/>
      <c r="AP1727" s="673"/>
      <c r="AQ1727" s="673"/>
      <c r="AR1727" s="673"/>
      <c r="AS1727" s="673"/>
    </row>
    <row r="1728">
      <c r="A1728" s="653"/>
      <c r="B1728" s="654"/>
      <c r="C1728" s="655"/>
      <c r="D1728" s="656"/>
      <c r="E1728" s="657"/>
      <c r="F1728" s="658"/>
      <c r="G1728" s="659"/>
      <c r="H1728" s="660"/>
      <c r="I1728" s="659"/>
      <c r="J1728" s="661"/>
      <c r="K1728" s="658"/>
      <c r="L1728" s="662"/>
      <c r="M1728" s="663"/>
      <c r="N1728" s="664"/>
      <c r="O1728" s="665"/>
      <c r="P1728" s="666"/>
      <c r="Q1728" s="667"/>
      <c r="R1728" s="668"/>
      <c r="S1728" s="665"/>
      <c r="T1728" s="669"/>
      <c r="U1728" s="669"/>
      <c r="V1728" s="665"/>
      <c r="W1728" s="670"/>
      <c r="X1728" s="670"/>
      <c r="Y1728" s="671"/>
      <c r="Z1728" s="671"/>
      <c r="AA1728" s="672"/>
      <c r="AB1728" s="673"/>
      <c r="AC1728" s="673"/>
      <c r="AD1728" s="673"/>
      <c r="AE1728" s="673"/>
      <c r="AF1728" s="673"/>
      <c r="AG1728" s="673"/>
      <c r="AH1728" s="673"/>
      <c r="AI1728" s="673"/>
      <c r="AJ1728" s="673"/>
      <c r="AK1728" s="673"/>
      <c r="AL1728" s="673"/>
      <c r="AM1728" s="673"/>
      <c r="AN1728" s="673"/>
      <c r="AO1728" s="673"/>
      <c r="AP1728" s="673"/>
      <c r="AQ1728" s="673"/>
      <c r="AR1728" s="673"/>
      <c r="AS1728" s="673"/>
    </row>
    <row r="1729">
      <c r="A1729" s="653"/>
      <c r="B1729" s="654"/>
      <c r="C1729" s="655"/>
      <c r="D1729" s="656"/>
      <c r="E1729" s="657"/>
      <c r="F1729" s="658"/>
      <c r="G1729" s="659"/>
      <c r="H1729" s="660"/>
      <c r="I1729" s="659"/>
      <c r="J1729" s="661"/>
      <c r="K1729" s="658"/>
      <c r="L1729" s="662"/>
      <c r="M1729" s="663"/>
      <c r="N1729" s="664"/>
      <c r="O1729" s="665"/>
      <c r="P1729" s="666"/>
      <c r="Q1729" s="667"/>
      <c r="R1729" s="668"/>
      <c r="S1729" s="665"/>
      <c r="T1729" s="669"/>
      <c r="U1729" s="669"/>
      <c r="V1729" s="665"/>
      <c r="W1729" s="670"/>
      <c r="X1729" s="670"/>
      <c r="Y1729" s="671"/>
      <c r="Z1729" s="671"/>
      <c r="AA1729" s="672"/>
      <c r="AB1729" s="673"/>
      <c r="AC1729" s="673"/>
      <c r="AD1729" s="673"/>
      <c r="AE1729" s="673"/>
      <c r="AF1729" s="673"/>
      <c r="AG1729" s="673"/>
      <c r="AH1729" s="673"/>
      <c r="AI1729" s="673"/>
      <c r="AJ1729" s="673"/>
      <c r="AK1729" s="673"/>
      <c r="AL1729" s="673"/>
      <c r="AM1729" s="673"/>
      <c r="AN1729" s="673"/>
      <c r="AO1729" s="673"/>
      <c r="AP1729" s="673"/>
      <c r="AQ1729" s="673"/>
      <c r="AR1729" s="673"/>
      <c r="AS1729" s="673"/>
    </row>
    <row r="1730">
      <c r="A1730" s="653"/>
      <c r="B1730" s="654"/>
      <c r="C1730" s="655"/>
      <c r="D1730" s="656"/>
      <c r="E1730" s="657"/>
      <c r="F1730" s="658"/>
      <c r="G1730" s="659"/>
      <c r="H1730" s="660"/>
      <c r="I1730" s="659"/>
      <c r="J1730" s="661"/>
      <c r="K1730" s="658"/>
      <c r="L1730" s="662"/>
      <c r="M1730" s="663"/>
      <c r="N1730" s="664"/>
      <c r="O1730" s="665"/>
      <c r="P1730" s="666"/>
      <c r="Q1730" s="667"/>
      <c r="R1730" s="668"/>
      <c r="S1730" s="665"/>
      <c r="T1730" s="669"/>
      <c r="U1730" s="669"/>
      <c r="V1730" s="665"/>
      <c r="W1730" s="670"/>
      <c r="X1730" s="670"/>
      <c r="Y1730" s="671"/>
      <c r="Z1730" s="671"/>
      <c r="AA1730" s="672"/>
      <c r="AB1730" s="673"/>
      <c r="AC1730" s="673"/>
      <c r="AD1730" s="673"/>
      <c r="AE1730" s="673"/>
      <c r="AF1730" s="673"/>
      <c r="AG1730" s="673"/>
      <c r="AH1730" s="673"/>
      <c r="AI1730" s="673"/>
      <c r="AJ1730" s="673"/>
      <c r="AK1730" s="673"/>
      <c r="AL1730" s="673"/>
      <c r="AM1730" s="673"/>
      <c r="AN1730" s="673"/>
      <c r="AO1730" s="673"/>
      <c r="AP1730" s="673"/>
      <c r="AQ1730" s="673"/>
      <c r="AR1730" s="673"/>
      <c r="AS1730" s="673"/>
    </row>
    <row r="1731">
      <c r="A1731" s="653"/>
      <c r="B1731" s="654"/>
      <c r="C1731" s="655"/>
      <c r="D1731" s="656"/>
      <c r="E1731" s="657"/>
      <c r="F1731" s="658"/>
      <c r="G1731" s="659"/>
      <c r="H1731" s="660"/>
      <c r="I1731" s="659"/>
      <c r="J1731" s="661"/>
      <c r="K1731" s="658"/>
      <c r="L1731" s="662"/>
      <c r="M1731" s="663"/>
      <c r="N1731" s="664"/>
      <c r="O1731" s="665"/>
      <c r="P1731" s="666"/>
      <c r="Q1731" s="667"/>
      <c r="R1731" s="668"/>
      <c r="S1731" s="665"/>
      <c r="T1731" s="669"/>
      <c r="U1731" s="669"/>
      <c r="V1731" s="665"/>
      <c r="W1731" s="670"/>
      <c r="X1731" s="670"/>
      <c r="Y1731" s="671"/>
      <c r="Z1731" s="671"/>
      <c r="AA1731" s="672"/>
      <c r="AB1731" s="673"/>
      <c r="AC1731" s="673"/>
      <c r="AD1731" s="673"/>
      <c r="AE1731" s="673"/>
      <c r="AF1731" s="673"/>
      <c r="AG1731" s="673"/>
      <c r="AH1731" s="673"/>
      <c r="AI1731" s="673"/>
      <c r="AJ1731" s="673"/>
      <c r="AK1731" s="673"/>
      <c r="AL1731" s="673"/>
      <c r="AM1731" s="673"/>
      <c r="AN1731" s="673"/>
      <c r="AO1731" s="673"/>
      <c r="AP1731" s="673"/>
      <c r="AQ1731" s="673"/>
      <c r="AR1731" s="673"/>
      <c r="AS1731" s="673"/>
    </row>
    <row r="1732">
      <c r="A1732" s="653"/>
      <c r="B1732" s="654"/>
      <c r="C1732" s="655"/>
      <c r="D1732" s="656"/>
      <c r="E1732" s="657"/>
      <c r="F1732" s="658"/>
      <c r="G1732" s="659"/>
      <c r="H1732" s="660"/>
      <c r="I1732" s="659"/>
      <c r="J1732" s="661"/>
      <c r="K1732" s="658"/>
      <c r="L1732" s="662"/>
      <c r="M1732" s="663"/>
      <c r="N1732" s="664"/>
      <c r="O1732" s="665"/>
      <c r="P1732" s="666"/>
      <c r="Q1732" s="667"/>
      <c r="R1732" s="668"/>
      <c r="S1732" s="665"/>
      <c r="T1732" s="669"/>
      <c r="U1732" s="669"/>
      <c r="V1732" s="665"/>
      <c r="W1732" s="670"/>
      <c r="X1732" s="670"/>
      <c r="Y1732" s="671"/>
      <c r="Z1732" s="671"/>
      <c r="AA1732" s="672"/>
      <c r="AB1732" s="673"/>
      <c r="AC1732" s="673"/>
      <c r="AD1732" s="673"/>
      <c r="AE1732" s="673"/>
      <c r="AF1732" s="673"/>
      <c r="AG1732" s="673"/>
      <c r="AH1732" s="673"/>
      <c r="AI1732" s="673"/>
      <c r="AJ1732" s="673"/>
      <c r="AK1732" s="673"/>
      <c r="AL1732" s="673"/>
      <c r="AM1732" s="673"/>
      <c r="AN1732" s="673"/>
      <c r="AO1732" s="673"/>
      <c r="AP1732" s="673"/>
      <c r="AQ1732" s="673"/>
      <c r="AR1732" s="673"/>
      <c r="AS1732" s="673"/>
    </row>
    <row r="1733">
      <c r="A1733" s="653"/>
      <c r="B1733" s="654"/>
      <c r="C1733" s="655"/>
      <c r="D1733" s="656"/>
      <c r="E1733" s="657"/>
      <c r="F1733" s="658"/>
      <c r="G1733" s="659"/>
      <c r="H1733" s="660"/>
      <c r="I1733" s="659"/>
      <c r="J1733" s="661"/>
      <c r="K1733" s="658"/>
      <c r="L1733" s="662"/>
      <c r="M1733" s="663"/>
      <c r="N1733" s="664"/>
      <c r="O1733" s="665"/>
      <c r="P1733" s="666"/>
      <c r="Q1733" s="667"/>
      <c r="R1733" s="668"/>
      <c r="S1733" s="665"/>
      <c r="T1733" s="669"/>
      <c r="U1733" s="669"/>
      <c r="V1733" s="665"/>
      <c r="W1733" s="670"/>
      <c r="X1733" s="670"/>
      <c r="Y1733" s="671"/>
      <c r="Z1733" s="671"/>
      <c r="AA1733" s="672"/>
      <c r="AB1733" s="673"/>
      <c r="AC1733" s="673"/>
      <c r="AD1733" s="673"/>
      <c r="AE1733" s="673"/>
      <c r="AF1733" s="673"/>
      <c r="AG1733" s="673"/>
      <c r="AH1733" s="673"/>
      <c r="AI1733" s="673"/>
      <c r="AJ1733" s="673"/>
      <c r="AK1733" s="673"/>
      <c r="AL1733" s="673"/>
      <c r="AM1733" s="673"/>
      <c r="AN1733" s="673"/>
      <c r="AO1733" s="673"/>
      <c r="AP1733" s="673"/>
      <c r="AQ1733" s="673"/>
      <c r="AR1733" s="673"/>
      <c r="AS1733" s="673"/>
    </row>
    <row r="1734">
      <c r="A1734" s="653"/>
      <c r="B1734" s="654"/>
      <c r="C1734" s="655"/>
      <c r="D1734" s="656"/>
      <c r="E1734" s="657"/>
      <c r="F1734" s="658"/>
      <c r="G1734" s="659"/>
      <c r="H1734" s="660"/>
      <c r="I1734" s="659"/>
      <c r="J1734" s="661"/>
      <c r="K1734" s="658"/>
      <c r="L1734" s="662"/>
      <c r="M1734" s="663"/>
      <c r="N1734" s="664"/>
      <c r="O1734" s="665"/>
      <c r="P1734" s="666"/>
      <c r="Q1734" s="667"/>
      <c r="R1734" s="668"/>
      <c r="S1734" s="665"/>
      <c r="T1734" s="669"/>
      <c r="U1734" s="669"/>
      <c r="V1734" s="665"/>
      <c r="W1734" s="670"/>
      <c r="X1734" s="670"/>
      <c r="Y1734" s="671"/>
      <c r="Z1734" s="671"/>
      <c r="AA1734" s="672"/>
      <c r="AB1734" s="673"/>
      <c r="AC1734" s="673"/>
      <c r="AD1734" s="673"/>
      <c r="AE1734" s="673"/>
      <c r="AF1734" s="673"/>
      <c r="AG1734" s="673"/>
      <c r="AH1734" s="673"/>
      <c r="AI1734" s="673"/>
      <c r="AJ1734" s="673"/>
      <c r="AK1734" s="673"/>
      <c r="AL1734" s="673"/>
      <c r="AM1734" s="673"/>
      <c r="AN1734" s="673"/>
      <c r="AO1734" s="673"/>
      <c r="AP1734" s="673"/>
      <c r="AQ1734" s="673"/>
      <c r="AR1734" s="673"/>
      <c r="AS1734" s="673"/>
    </row>
    <row r="1735">
      <c r="A1735" s="653"/>
      <c r="B1735" s="654"/>
      <c r="C1735" s="655"/>
      <c r="D1735" s="656"/>
      <c r="E1735" s="657"/>
      <c r="F1735" s="658"/>
      <c r="G1735" s="659"/>
      <c r="H1735" s="660"/>
      <c r="I1735" s="659"/>
      <c r="J1735" s="661"/>
      <c r="K1735" s="658"/>
      <c r="L1735" s="662"/>
      <c r="M1735" s="663"/>
      <c r="N1735" s="664"/>
      <c r="O1735" s="665"/>
      <c r="P1735" s="666"/>
      <c r="Q1735" s="667"/>
      <c r="R1735" s="668"/>
      <c r="S1735" s="665"/>
      <c r="T1735" s="669"/>
      <c r="U1735" s="669"/>
      <c r="V1735" s="665"/>
      <c r="W1735" s="670"/>
      <c r="X1735" s="670"/>
      <c r="Y1735" s="671"/>
      <c r="Z1735" s="671"/>
      <c r="AA1735" s="672"/>
      <c r="AB1735" s="673"/>
      <c r="AC1735" s="673"/>
      <c r="AD1735" s="673"/>
      <c r="AE1735" s="673"/>
      <c r="AF1735" s="673"/>
      <c r="AG1735" s="673"/>
      <c r="AH1735" s="673"/>
      <c r="AI1735" s="673"/>
      <c r="AJ1735" s="673"/>
      <c r="AK1735" s="673"/>
      <c r="AL1735" s="673"/>
      <c r="AM1735" s="673"/>
      <c r="AN1735" s="673"/>
      <c r="AO1735" s="673"/>
      <c r="AP1735" s="673"/>
      <c r="AQ1735" s="673"/>
      <c r="AR1735" s="673"/>
      <c r="AS1735" s="673"/>
    </row>
    <row r="1736">
      <c r="A1736" s="653"/>
      <c r="B1736" s="654"/>
      <c r="C1736" s="655"/>
      <c r="D1736" s="656"/>
      <c r="E1736" s="657"/>
      <c r="F1736" s="658"/>
      <c r="G1736" s="659"/>
      <c r="H1736" s="660"/>
      <c r="I1736" s="659"/>
      <c r="J1736" s="661"/>
      <c r="K1736" s="658"/>
      <c r="L1736" s="662"/>
      <c r="M1736" s="663"/>
      <c r="N1736" s="664"/>
      <c r="O1736" s="665"/>
      <c r="P1736" s="666"/>
      <c r="Q1736" s="667"/>
      <c r="R1736" s="668"/>
      <c r="S1736" s="665"/>
      <c r="T1736" s="669"/>
      <c r="U1736" s="669"/>
      <c r="V1736" s="665"/>
      <c r="W1736" s="670"/>
      <c r="X1736" s="670"/>
      <c r="Y1736" s="671"/>
      <c r="Z1736" s="671"/>
      <c r="AA1736" s="672"/>
      <c r="AB1736" s="673"/>
      <c r="AC1736" s="673"/>
      <c r="AD1736" s="673"/>
      <c r="AE1736" s="673"/>
      <c r="AF1736" s="673"/>
      <c r="AG1736" s="673"/>
      <c r="AH1736" s="673"/>
      <c r="AI1736" s="673"/>
      <c r="AJ1736" s="673"/>
      <c r="AK1736" s="673"/>
      <c r="AL1736" s="673"/>
      <c r="AM1736" s="673"/>
      <c r="AN1736" s="673"/>
      <c r="AO1736" s="673"/>
      <c r="AP1736" s="673"/>
      <c r="AQ1736" s="673"/>
      <c r="AR1736" s="673"/>
      <c r="AS1736" s="673"/>
    </row>
    <row r="1737">
      <c r="A1737" s="653"/>
      <c r="B1737" s="654"/>
      <c r="C1737" s="655"/>
      <c r="D1737" s="656"/>
      <c r="E1737" s="657"/>
      <c r="F1737" s="658"/>
      <c r="G1737" s="659"/>
      <c r="H1737" s="660"/>
      <c r="I1737" s="659"/>
      <c r="J1737" s="661"/>
      <c r="K1737" s="658"/>
      <c r="L1737" s="662"/>
      <c r="M1737" s="663"/>
      <c r="N1737" s="664"/>
      <c r="O1737" s="665"/>
      <c r="P1737" s="666"/>
      <c r="Q1737" s="667"/>
      <c r="R1737" s="668"/>
      <c r="S1737" s="665"/>
      <c r="T1737" s="669"/>
      <c r="U1737" s="669"/>
      <c r="V1737" s="665"/>
      <c r="W1737" s="670"/>
      <c r="X1737" s="670"/>
      <c r="Y1737" s="671"/>
      <c r="Z1737" s="671"/>
      <c r="AA1737" s="672"/>
      <c r="AB1737" s="673"/>
      <c r="AC1737" s="673"/>
      <c r="AD1737" s="673"/>
      <c r="AE1737" s="673"/>
      <c r="AF1737" s="673"/>
      <c r="AG1737" s="673"/>
      <c r="AH1737" s="673"/>
      <c r="AI1737" s="673"/>
      <c r="AJ1737" s="673"/>
      <c r="AK1737" s="673"/>
      <c r="AL1737" s="673"/>
      <c r="AM1737" s="673"/>
      <c r="AN1737" s="673"/>
      <c r="AO1737" s="673"/>
      <c r="AP1737" s="673"/>
      <c r="AQ1737" s="673"/>
      <c r="AR1737" s="673"/>
      <c r="AS1737" s="673"/>
    </row>
    <row r="1738">
      <c r="A1738" s="653"/>
      <c r="B1738" s="654"/>
      <c r="C1738" s="655"/>
      <c r="D1738" s="656"/>
      <c r="E1738" s="657"/>
      <c r="F1738" s="658"/>
      <c r="G1738" s="659"/>
      <c r="H1738" s="660"/>
      <c r="I1738" s="659"/>
      <c r="J1738" s="661"/>
      <c r="K1738" s="658"/>
      <c r="L1738" s="662"/>
      <c r="M1738" s="663"/>
      <c r="N1738" s="664"/>
      <c r="O1738" s="665"/>
      <c r="P1738" s="666"/>
      <c r="Q1738" s="667"/>
      <c r="R1738" s="668"/>
      <c r="S1738" s="665"/>
      <c r="T1738" s="669"/>
      <c r="U1738" s="669"/>
      <c r="V1738" s="665"/>
      <c r="W1738" s="670"/>
      <c r="X1738" s="670"/>
      <c r="Y1738" s="671"/>
      <c r="Z1738" s="671"/>
      <c r="AA1738" s="672"/>
      <c r="AB1738" s="673"/>
      <c r="AC1738" s="673"/>
      <c r="AD1738" s="673"/>
      <c r="AE1738" s="673"/>
      <c r="AF1738" s="673"/>
      <c r="AG1738" s="673"/>
      <c r="AH1738" s="673"/>
      <c r="AI1738" s="673"/>
      <c r="AJ1738" s="673"/>
      <c r="AK1738" s="673"/>
      <c r="AL1738" s="673"/>
      <c r="AM1738" s="673"/>
      <c r="AN1738" s="673"/>
      <c r="AO1738" s="673"/>
      <c r="AP1738" s="673"/>
      <c r="AQ1738" s="673"/>
      <c r="AR1738" s="673"/>
      <c r="AS1738" s="673"/>
    </row>
    <row r="1739">
      <c r="A1739" s="653"/>
      <c r="B1739" s="654"/>
      <c r="C1739" s="655"/>
      <c r="D1739" s="656"/>
      <c r="E1739" s="657"/>
      <c r="F1739" s="658"/>
      <c r="G1739" s="659"/>
      <c r="H1739" s="660"/>
      <c r="I1739" s="659"/>
      <c r="J1739" s="661"/>
      <c r="K1739" s="658"/>
      <c r="L1739" s="662"/>
      <c r="M1739" s="663"/>
      <c r="N1739" s="664"/>
      <c r="O1739" s="665"/>
      <c r="P1739" s="666"/>
      <c r="Q1739" s="667"/>
      <c r="R1739" s="668"/>
      <c r="S1739" s="665"/>
      <c r="T1739" s="669"/>
      <c r="U1739" s="669"/>
      <c r="V1739" s="665"/>
      <c r="W1739" s="670"/>
      <c r="X1739" s="670"/>
      <c r="Y1739" s="671"/>
      <c r="Z1739" s="671"/>
      <c r="AA1739" s="672"/>
      <c r="AB1739" s="673"/>
      <c r="AC1739" s="673"/>
      <c r="AD1739" s="673"/>
      <c r="AE1739" s="673"/>
      <c r="AF1739" s="673"/>
      <c r="AG1739" s="673"/>
      <c r="AH1739" s="673"/>
      <c r="AI1739" s="673"/>
      <c r="AJ1739" s="673"/>
      <c r="AK1739" s="673"/>
      <c r="AL1739" s="673"/>
      <c r="AM1739" s="673"/>
      <c r="AN1739" s="673"/>
      <c r="AO1739" s="673"/>
      <c r="AP1739" s="673"/>
      <c r="AQ1739" s="673"/>
      <c r="AR1739" s="673"/>
      <c r="AS1739" s="673"/>
    </row>
    <row r="1740">
      <c r="A1740" s="653"/>
      <c r="B1740" s="654"/>
      <c r="C1740" s="655"/>
      <c r="D1740" s="656"/>
      <c r="E1740" s="657"/>
      <c r="F1740" s="658"/>
      <c r="G1740" s="659"/>
      <c r="H1740" s="660"/>
      <c r="I1740" s="659"/>
      <c r="J1740" s="661"/>
      <c r="K1740" s="658"/>
      <c r="L1740" s="662"/>
      <c r="M1740" s="663"/>
      <c r="N1740" s="664"/>
      <c r="O1740" s="665"/>
      <c r="P1740" s="666"/>
      <c r="Q1740" s="667"/>
      <c r="R1740" s="668"/>
      <c r="S1740" s="665"/>
      <c r="T1740" s="669"/>
      <c r="U1740" s="669"/>
      <c r="V1740" s="665"/>
      <c r="W1740" s="670"/>
      <c r="X1740" s="670"/>
      <c r="Y1740" s="671"/>
      <c r="Z1740" s="671"/>
      <c r="AA1740" s="672"/>
      <c r="AB1740" s="673"/>
      <c r="AC1740" s="673"/>
      <c r="AD1740" s="673"/>
      <c r="AE1740" s="673"/>
      <c r="AF1740" s="673"/>
      <c r="AG1740" s="673"/>
      <c r="AH1740" s="673"/>
      <c r="AI1740" s="673"/>
      <c r="AJ1740" s="673"/>
      <c r="AK1740" s="673"/>
      <c r="AL1740" s="673"/>
      <c r="AM1740" s="673"/>
      <c r="AN1740" s="673"/>
      <c r="AO1740" s="673"/>
      <c r="AP1740" s="673"/>
      <c r="AQ1740" s="673"/>
      <c r="AR1740" s="673"/>
      <c r="AS1740" s="673"/>
    </row>
    <row r="1741">
      <c r="A1741" s="653"/>
      <c r="B1741" s="654"/>
      <c r="C1741" s="655"/>
      <c r="D1741" s="656"/>
      <c r="E1741" s="657"/>
      <c r="F1741" s="658"/>
      <c r="G1741" s="659"/>
      <c r="H1741" s="660"/>
      <c r="I1741" s="659"/>
      <c r="J1741" s="661"/>
      <c r="K1741" s="658"/>
      <c r="L1741" s="662"/>
      <c r="M1741" s="663"/>
      <c r="N1741" s="664"/>
      <c r="O1741" s="665"/>
      <c r="P1741" s="666"/>
      <c r="Q1741" s="667"/>
      <c r="R1741" s="668"/>
      <c r="S1741" s="665"/>
      <c r="T1741" s="669"/>
      <c r="U1741" s="669"/>
      <c r="V1741" s="665"/>
      <c r="W1741" s="670"/>
      <c r="X1741" s="670"/>
      <c r="Y1741" s="671"/>
      <c r="Z1741" s="671"/>
      <c r="AA1741" s="672"/>
      <c r="AB1741" s="673"/>
      <c r="AC1741" s="673"/>
      <c r="AD1741" s="673"/>
      <c r="AE1741" s="673"/>
      <c r="AF1741" s="673"/>
      <c r="AG1741" s="673"/>
      <c r="AH1741" s="673"/>
      <c r="AI1741" s="673"/>
      <c r="AJ1741" s="673"/>
      <c r="AK1741" s="673"/>
      <c r="AL1741" s="673"/>
      <c r="AM1741" s="673"/>
      <c r="AN1741" s="673"/>
      <c r="AO1741" s="673"/>
      <c r="AP1741" s="673"/>
      <c r="AQ1741" s="673"/>
      <c r="AR1741" s="673"/>
      <c r="AS1741" s="673"/>
    </row>
    <row r="1742">
      <c r="A1742" s="653"/>
      <c r="B1742" s="654"/>
      <c r="C1742" s="655"/>
      <c r="D1742" s="656"/>
      <c r="E1742" s="657"/>
      <c r="F1742" s="658"/>
      <c r="G1742" s="659"/>
      <c r="H1742" s="660"/>
      <c r="I1742" s="659"/>
      <c r="J1742" s="661"/>
      <c r="K1742" s="658"/>
      <c r="L1742" s="662"/>
      <c r="M1742" s="663"/>
      <c r="N1742" s="664"/>
      <c r="O1742" s="665"/>
      <c r="P1742" s="666"/>
      <c r="Q1742" s="667"/>
      <c r="R1742" s="668"/>
      <c r="S1742" s="665"/>
      <c r="T1742" s="669"/>
      <c r="U1742" s="669"/>
      <c r="V1742" s="665"/>
      <c r="W1742" s="670"/>
      <c r="X1742" s="670"/>
      <c r="Y1742" s="671"/>
      <c r="Z1742" s="671"/>
      <c r="AA1742" s="672"/>
      <c r="AB1742" s="673"/>
      <c r="AC1742" s="673"/>
      <c r="AD1742" s="673"/>
      <c r="AE1742" s="673"/>
      <c r="AF1742" s="673"/>
      <c r="AG1742" s="673"/>
      <c r="AH1742" s="673"/>
      <c r="AI1742" s="673"/>
      <c r="AJ1742" s="673"/>
      <c r="AK1742" s="673"/>
      <c r="AL1742" s="673"/>
      <c r="AM1742" s="673"/>
      <c r="AN1742" s="673"/>
      <c r="AO1742" s="673"/>
      <c r="AP1742" s="673"/>
      <c r="AQ1742" s="673"/>
      <c r="AR1742" s="673"/>
      <c r="AS1742" s="673"/>
    </row>
    <row r="1743">
      <c r="A1743" s="653"/>
      <c r="B1743" s="654"/>
      <c r="C1743" s="655"/>
      <c r="D1743" s="656"/>
      <c r="E1743" s="657"/>
      <c r="F1743" s="658"/>
      <c r="G1743" s="659"/>
      <c r="H1743" s="660"/>
      <c r="I1743" s="659"/>
      <c r="J1743" s="661"/>
      <c r="K1743" s="658"/>
      <c r="L1743" s="662"/>
      <c r="M1743" s="663"/>
      <c r="N1743" s="664"/>
      <c r="O1743" s="665"/>
      <c r="P1743" s="666"/>
      <c r="Q1743" s="667"/>
      <c r="R1743" s="668"/>
      <c r="S1743" s="665"/>
      <c r="T1743" s="669"/>
      <c r="U1743" s="669"/>
      <c r="V1743" s="665"/>
      <c r="W1743" s="670"/>
      <c r="X1743" s="670"/>
      <c r="Y1743" s="671"/>
      <c r="Z1743" s="671"/>
      <c r="AA1743" s="672"/>
      <c r="AB1743" s="673"/>
      <c r="AC1743" s="673"/>
      <c r="AD1743" s="673"/>
      <c r="AE1743" s="673"/>
      <c r="AF1743" s="673"/>
      <c r="AG1743" s="673"/>
      <c r="AH1743" s="673"/>
      <c r="AI1743" s="673"/>
      <c r="AJ1743" s="673"/>
      <c r="AK1743" s="673"/>
      <c r="AL1743" s="673"/>
      <c r="AM1743" s="673"/>
      <c r="AN1743" s="673"/>
      <c r="AO1743" s="673"/>
      <c r="AP1743" s="673"/>
      <c r="AQ1743" s="673"/>
      <c r="AR1743" s="673"/>
      <c r="AS1743" s="673"/>
    </row>
    <row r="1744">
      <c r="A1744" s="653"/>
      <c r="B1744" s="654"/>
      <c r="C1744" s="655"/>
      <c r="D1744" s="656"/>
      <c r="E1744" s="657"/>
      <c r="F1744" s="658"/>
      <c r="G1744" s="659"/>
      <c r="H1744" s="660"/>
      <c r="I1744" s="659"/>
      <c r="J1744" s="661"/>
      <c r="K1744" s="658"/>
      <c r="L1744" s="662"/>
      <c r="M1744" s="663"/>
      <c r="N1744" s="664"/>
      <c r="O1744" s="665"/>
      <c r="P1744" s="666"/>
      <c r="Q1744" s="667"/>
      <c r="R1744" s="668"/>
      <c r="S1744" s="665"/>
      <c r="T1744" s="669"/>
      <c r="U1744" s="669"/>
      <c r="V1744" s="665"/>
      <c r="W1744" s="670"/>
      <c r="X1744" s="670"/>
      <c r="Y1744" s="671"/>
      <c r="Z1744" s="671"/>
      <c r="AA1744" s="672"/>
      <c r="AB1744" s="673"/>
      <c r="AC1744" s="673"/>
      <c r="AD1744" s="673"/>
      <c r="AE1744" s="673"/>
      <c r="AF1744" s="673"/>
      <c r="AG1744" s="673"/>
      <c r="AH1744" s="673"/>
      <c r="AI1744" s="673"/>
      <c r="AJ1744" s="673"/>
      <c r="AK1744" s="673"/>
      <c r="AL1744" s="673"/>
      <c r="AM1744" s="673"/>
      <c r="AN1744" s="673"/>
      <c r="AO1744" s="673"/>
      <c r="AP1744" s="673"/>
      <c r="AQ1744" s="673"/>
      <c r="AR1744" s="673"/>
      <c r="AS1744" s="673"/>
    </row>
    <row r="1745">
      <c r="A1745" s="653"/>
      <c r="B1745" s="654"/>
      <c r="C1745" s="655"/>
      <c r="D1745" s="656"/>
      <c r="E1745" s="657"/>
      <c r="F1745" s="658"/>
      <c r="G1745" s="659"/>
      <c r="H1745" s="660"/>
      <c r="I1745" s="659"/>
      <c r="J1745" s="661"/>
      <c r="K1745" s="658"/>
      <c r="L1745" s="662"/>
      <c r="M1745" s="663"/>
      <c r="N1745" s="664"/>
      <c r="O1745" s="665"/>
      <c r="P1745" s="666"/>
      <c r="Q1745" s="667"/>
      <c r="R1745" s="668"/>
      <c r="S1745" s="665"/>
      <c r="T1745" s="669"/>
      <c r="U1745" s="669"/>
      <c r="V1745" s="665"/>
      <c r="W1745" s="670"/>
      <c r="X1745" s="670"/>
      <c r="Y1745" s="671"/>
      <c r="Z1745" s="671"/>
      <c r="AA1745" s="672"/>
      <c r="AB1745" s="673"/>
      <c r="AC1745" s="673"/>
      <c r="AD1745" s="673"/>
      <c r="AE1745" s="673"/>
      <c r="AF1745" s="673"/>
      <c r="AG1745" s="673"/>
      <c r="AH1745" s="673"/>
      <c r="AI1745" s="673"/>
      <c r="AJ1745" s="673"/>
      <c r="AK1745" s="673"/>
      <c r="AL1745" s="673"/>
      <c r="AM1745" s="673"/>
      <c r="AN1745" s="673"/>
      <c r="AO1745" s="673"/>
      <c r="AP1745" s="673"/>
      <c r="AQ1745" s="673"/>
      <c r="AR1745" s="673"/>
      <c r="AS1745" s="673"/>
    </row>
    <row r="1746">
      <c r="A1746" s="653"/>
      <c r="B1746" s="654"/>
      <c r="C1746" s="655"/>
      <c r="D1746" s="656"/>
      <c r="E1746" s="657"/>
      <c r="F1746" s="658"/>
      <c r="G1746" s="659"/>
      <c r="H1746" s="660"/>
      <c r="I1746" s="659"/>
      <c r="J1746" s="661"/>
      <c r="K1746" s="658"/>
      <c r="L1746" s="662"/>
      <c r="M1746" s="663"/>
      <c r="N1746" s="664"/>
      <c r="O1746" s="665"/>
      <c r="P1746" s="666"/>
      <c r="Q1746" s="667"/>
      <c r="R1746" s="668"/>
      <c r="S1746" s="665"/>
      <c r="T1746" s="669"/>
      <c r="U1746" s="669"/>
      <c r="V1746" s="665"/>
      <c r="W1746" s="670"/>
      <c r="X1746" s="670"/>
      <c r="Y1746" s="671"/>
      <c r="Z1746" s="671"/>
      <c r="AA1746" s="672"/>
      <c r="AB1746" s="673"/>
      <c r="AC1746" s="673"/>
      <c r="AD1746" s="673"/>
      <c r="AE1746" s="673"/>
      <c r="AF1746" s="673"/>
      <c r="AG1746" s="673"/>
      <c r="AH1746" s="673"/>
      <c r="AI1746" s="673"/>
      <c r="AJ1746" s="673"/>
      <c r="AK1746" s="673"/>
      <c r="AL1746" s="673"/>
      <c r="AM1746" s="673"/>
      <c r="AN1746" s="673"/>
      <c r="AO1746" s="673"/>
      <c r="AP1746" s="673"/>
      <c r="AQ1746" s="673"/>
      <c r="AR1746" s="673"/>
      <c r="AS1746" s="673"/>
    </row>
    <row r="1747">
      <c r="A1747" s="653"/>
      <c r="B1747" s="654"/>
      <c r="C1747" s="655"/>
      <c r="D1747" s="656"/>
      <c r="E1747" s="657"/>
      <c r="F1747" s="658"/>
      <c r="G1747" s="659"/>
      <c r="H1747" s="660"/>
      <c r="I1747" s="659"/>
      <c r="J1747" s="661"/>
      <c r="K1747" s="658"/>
      <c r="L1747" s="662"/>
      <c r="M1747" s="663"/>
      <c r="N1747" s="664"/>
      <c r="O1747" s="665"/>
      <c r="P1747" s="666"/>
      <c r="Q1747" s="667"/>
      <c r="R1747" s="668"/>
      <c r="S1747" s="665"/>
      <c r="T1747" s="669"/>
      <c r="U1747" s="669"/>
      <c r="V1747" s="665"/>
      <c r="W1747" s="670"/>
      <c r="X1747" s="670"/>
      <c r="Y1747" s="671"/>
      <c r="Z1747" s="671"/>
      <c r="AA1747" s="672"/>
      <c r="AB1747" s="673"/>
      <c r="AC1747" s="673"/>
      <c r="AD1747" s="673"/>
      <c r="AE1747" s="673"/>
      <c r="AF1747" s="673"/>
      <c r="AG1747" s="673"/>
      <c r="AH1747" s="673"/>
      <c r="AI1747" s="673"/>
      <c r="AJ1747" s="673"/>
      <c r="AK1747" s="673"/>
      <c r="AL1747" s="673"/>
      <c r="AM1747" s="673"/>
      <c r="AN1747" s="673"/>
      <c r="AO1747" s="673"/>
      <c r="AP1747" s="673"/>
      <c r="AQ1747" s="673"/>
      <c r="AR1747" s="673"/>
      <c r="AS1747" s="673"/>
    </row>
    <row r="1748">
      <c r="A1748" s="653"/>
      <c r="B1748" s="654"/>
      <c r="C1748" s="655"/>
      <c r="D1748" s="656"/>
      <c r="E1748" s="657"/>
      <c r="F1748" s="658"/>
      <c r="G1748" s="659"/>
      <c r="H1748" s="660"/>
      <c r="I1748" s="659"/>
      <c r="J1748" s="661"/>
      <c r="K1748" s="658"/>
      <c r="L1748" s="662"/>
      <c r="M1748" s="663"/>
      <c r="N1748" s="664"/>
      <c r="O1748" s="665"/>
      <c r="P1748" s="666"/>
      <c r="Q1748" s="667"/>
      <c r="R1748" s="668"/>
      <c r="S1748" s="665"/>
      <c r="T1748" s="669"/>
      <c r="U1748" s="669"/>
      <c r="V1748" s="665"/>
      <c r="W1748" s="670"/>
      <c r="X1748" s="670"/>
      <c r="Y1748" s="671"/>
      <c r="Z1748" s="671"/>
      <c r="AA1748" s="672"/>
      <c r="AB1748" s="673"/>
      <c r="AC1748" s="673"/>
      <c r="AD1748" s="673"/>
      <c r="AE1748" s="673"/>
      <c r="AF1748" s="673"/>
      <c r="AG1748" s="673"/>
      <c r="AH1748" s="673"/>
      <c r="AI1748" s="673"/>
      <c r="AJ1748" s="673"/>
      <c r="AK1748" s="673"/>
      <c r="AL1748" s="673"/>
      <c r="AM1748" s="673"/>
      <c r="AN1748" s="673"/>
      <c r="AO1748" s="673"/>
      <c r="AP1748" s="673"/>
      <c r="AQ1748" s="673"/>
      <c r="AR1748" s="673"/>
      <c r="AS1748" s="673"/>
    </row>
    <row r="1749">
      <c r="A1749" s="653"/>
      <c r="B1749" s="654"/>
      <c r="C1749" s="655"/>
      <c r="D1749" s="656"/>
      <c r="E1749" s="657"/>
      <c r="F1749" s="658"/>
      <c r="G1749" s="659"/>
      <c r="H1749" s="660"/>
      <c r="I1749" s="659"/>
      <c r="J1749" s="661"/>
      <c r="K1749" s="658"/>
      <c r="L1749" s="662"/>
      <c r="M1749" s="663"/>
      <c r="N1749" s="664"/>
      <c r="O1749" s="665"/>
      <c r="P1749" s="666"/>
      <c r="Q1749" s="667"/>
      <c r="R1749" s="668"/>
      <c r="S1749" s="665"/>
      <c r="T1749" s="669"/>
      <c r="U1749" s="669"/>
      <c r="V1749" s="665"/>
      <c r="W1749" s="670"/>
      <c r="X1749" s="670"/>
      <c r="Y1749" s="671"/>
      <c r="Z1749" s="671"/>
      <c r="AA1749" s="672"/>
      <c r="AB1749" s="673"/>
      <c r="AC1749" s="673"/>
      <c r="AD1749" s="673"/>
      <c r="AE1749" s="673"/>
      <c r="AF1749" s="673"/>
      <c r="AG1749" s="673"/>
      <c r="AH1749" s="673"/>
      <c r="AI1749" s="673"/>
      <c r="AJ1749" s="673"/>
      <c r="AK1749" s="673"/>
      <c r="AL1749" s="673"/>
      <c r="AM1749" s="673"/>
      <c r="AN1749" s="673"/>
      <c r="AO1749" s="673"/>
      <c r="AP1749" s="673"/>
      <c r="AQ1749" s="673"/>
      <c r="AR1749" s="673"/>
      <c r="AS1749" s="673"/>
    </row>
    <row r="1750">
      <c r="A1750" s="653"/>
      <c r="B1750" s="654"/>
      <c r="C1750" s="655"/>
      <c r="D1750" s="656"/>
      <c r="E1750" s="657"/>
      <c r="F1750" s="658"/>
      <c r="G1750" s="659"/>
      <c r="H1750" s="660"/>
      <c r="I1750" s="659"/>
      <c r="J1750" s="661"/>
      <c r="K1750" s="658"/>
      <c r="L1750" s="662"/>
      <c r="M1750" s="663"/>
      <c r="N1750" s="664"/>
      <c r="O1750" s="665"/>
      <c r="P1750" s="666"/>
      <c r="Q1750" s="667"/>
      <c r="R1750" s="668"/>
      <c r="S1750" s="665"/>
      <c r="T1750" s="669"/>
      <c r="U1750" s="669"/>
      <c r="V1750" s="665"/>
      <c r="W1750" s="670"/>
      <c r="X1750" s="670"/>
      <c r="Y1750" s="671"/>
      <c r="Z1750" s="671"/>
      <c r="AA1750" s="672"/>
      <c r="AB1750" s="673"/>
      <c r="AC1750" s="673"/>
      <c r="AD1750" s="673"/>
      <c r="AE1750" s="673"/>
      <c r="AF1750" s="673"/>
      <c r="AG1750" s="673"/>
      <c r="AH1750" s="673"/>
      <c r="AI1750" s="673"/>
      <c r="AJ1750" s="673"/>
      <c r="AK1750" s="673"/>
      <c r="AL1750" s="673"/>
      <c r="AM1750" s="673"/>
      <c r="AN1750" s="673"/>
      <c r="AO1750" s="673"/>
      <c r="AP1750" s="673"/>
      <c r="AQ1750" s="673"/>
      <c r="AR1750" s="673"/>
      <c r="AS1750" s="673"/>
    </row>
    <row r="1751">
      <c r="A1751" s="653"/>
      <c r="B1751" s="654"/>
      <c r="C1751" s="655"/>
      <c r="D1751" s="656"/>
      <c r="E1751" s="657"/>
      <c r="F1751" s="658"/>
      <c r="G1751" s="659"/>
      <c r="H1751" s="660"/>
      <c r="I1751" s="659"/>
      <c r="J1751" s="661"/>
      <c r="K1751" s="658"/>
      <c r="L1751" s="662"/>
      <c r="M1751" s="663"/>
      <c r="N1751" s="664"/>
      <c r="O1751" s="665"/>
      <c r="P1751" s="666"/>
      <c r="Q1751" s="667"/>
      <c r="R1751" s="668"/>
      <c r="S1751" s="665"/>
      <c r="T1751" s="669"/>
      <c r="U1751" s="669"/>
      <c r="V1751" s="665"/>
      <c r="W1751" s="670"/>
      <c r="X1751" s="670"/>
      <c r="Y1751" s="671"/>
      <c r="Z1751" s="671"/>
      <c r="AA1751" s="672"/>
      <c r="AB1751" s="673"/>
      <c r="AC1751" s="673"/>
      <c r="AD1751" s="673"/>
      <c r="AE1751" s="673"/>
      <c r="AF1751" s="673"/>
      <c r="AG1751" s="673"/>
      <c r="AH1751" s="673"/>
      <c r="AI1751" s="673"/>
      <c r="AJ1751" s="673"/>
      <c r="AK1751" s="673"/>
      <c r="AL1751" s="673"/>
      <c r="AM1751" s="673"/>
      <c r="AN1751" s="673"/>
      <c r="AO1751" s="673"/>
      <c r="AP1751" s="673"/>
      <c r="AQ1751" s="673"/>
      <c r="AR1751" s="673"/>
      <c r="AS1751" s="673"/>
    </row>
    <row r="1752">
      <c r="A1752" s="653"/>
      <c r="B1752" s="654"/>
      <c r="C1752" s="655"/>
      <c r="D1752" s="656"/>
      <c r="E1752" s="657"/>
      <c r="F1752" s="658"/>
      <c r="G1752" s="659"/>
      <c r="H1752" s="660"/>
      <c r="I1752" s="659"/>
      <c r="J1752" s="661"/>
      <c r="K1752" s="658"/>
      <c r="L1752" s="662"/>
      <c r="M1752" s="663"/>
      <c r="N1752" s="664"/>
      <c r="O1752" s="665"/>
      <c r="P1752" s="666"/>
      <c r="Q1752" s="667"/>
      <c r="R1752" s="668"/>
      <c r="S1752" s="665"/>
      <c r="T1752" s="669"/>
      <c r="U1752" s="669"/>
      <c r="V1752" s="665"/>
      <c r="W1752" s="670"/>
      <c r="X1752" s="670"/>
      <c r="Y1752" s="671"/>
      <c r="Z1752" s="671"/>
      <c r="AA1752" s="672"/>
      <c r="AB1752" s="673"/>
      <c r="AC1752" s="673"/>
      <c r="AD1752" s="673"/>
      <c r="AE1752" s="673"/>
      <c r="AF1752" s="673"/>
      <c r="AG1752" s="673"/>
      <c r="AH1752" s="673"/>
      <c r="AI1752" s="673"/>
      <c r="AJ1752" s="673"/>
      <c r="AK1752" s="673"/>
      <c r="AL1752" s="673"/>
      <c r="AM1752" s="673"/>
      <c r="AN1752" s="673"/>
      <c r="AO1752" s="673"/>
      <c r="AP1752" s="673"/>
      <c r="AQ1752" s="673"/>
      <c r="AR1752" s="673"/>
      <c r="AS1752" s="673"/>
    </row>
    <row r="1753">
      <c r="A1753" s="653"/>
      <c r="B1753" s="654"/>
      <c r="C1753" s="655"/>
      <c r="D1753" s="656"/>
      <c r="E1753" s="657"/>
      <c r="F1753" s="658"/>
      <c r="G1753" s="659"/>
      <c r="H1753" s="660"/>
      <c r="I1753" s="659"/>
      <c r="J1753" s="661"/>
      <c r="K1753" s="658"/>
      <c r="L1753" s="662"/>
      <c r="M1753" s="663"/>
      <c r="N1753" s="664"/>
      <c r="O1753" s="665"/>
      <c r="P1753" s="666"/>
      <c r="Q1753" s="667"/>
      <c r="R1753" s="668"/>
      <c r="S1753" s="665"/>
      <c r="T1753" s="669"/>
      <c r="U1753" s="669"/>
      <c r="V1753" s="665"/>
      <c r="W1753" s="670"/>
      <c r="X1753" s="670"/>
      <c r="Y1753" s="671"/>
      <c r="Z1753" s="671"/>
      <c r="AA1753" s="672"/>
      <c r="AB1753" s="673"/>
      <c r="AC1753" s="673"/>
      <c r="AD1753" s="673"/>
      <c r="AE1753" s="673"/>
      <c r="AF1753" s="673"/>
      <c r="AG1753" s="673"/>
      <c r="AH1753" s="673"/>
      <c r="AI1753" s="673"/>
      <c r="AJ1753" s="673"/>
      <c r="AK1753" s="673"/>
      <c r="AL1753" s="673"/>
      <c r="AM1753" s="673"/>
      <c r="AN1753" s="673"/>
      <c r="AO1753" s="673"/>
      <c r="AP1753" s="673"/>
      <c r="AQ1753" s="673"/>
      <c r="AR1753" s="673"/>
      <c r="AS1753" s="673"/>
    </row>
    <row r="1754">
      <c r="A1754" s="653"/>
      <c r="B1754" s="654"/>
      <c r="C1754" s="655"/>
      <c r="D1754" s="656"/>
      <c r="E1754" s="657"/>
      <c r="F1754" s="658"/>
      <c r="G1754" s="659"/>
      <c r="H1754" s="660"/>
      <c r="I1754" s="659"/>
      <c r="J1754" s="661"/>
      <c r="K1754" s="658"/>
      <c r="L1754" s="662"/>
      <c r="M1754" s="663"/>
      <c r="N1754" s="664"/>
      <c r="O1754" s="665"/>
      <c r="P1754" s="666"/>
      <c r="Q1754" s="667"/>
      <c r="R1754" s="668"/>
      <c r="S1754" s="665"/>
      <c r="T1754" s="669"/>
      <c r="U1754" s="669"/>
      <c r="V1754" s="665"/>
      <c r="W1754" s="670"/>
      <c r="X1754" s="670"/>
      <c r="Y1754" s="671"/>
      <c r="Z1754" s="671"/>
      <c r="AA1754" s="672"/>
      <c r="AB1754" s="673"/>
      <c r="AC1754" s="673"/>
      <c r="AD1754" s="673"/>
      <c r="AE1754" s="673"/>
      <c r="AF1754" s="673"/>
      <c r="AG1754" s="673"/>
      <c r="AH1754" s="673"/>
      <c r="AI1754" s="673"/>
      <c r="AJ1754" s="673"/>
      <c r="AK1754" s="673"/>
      <c r="AL1754" s="673"/>
      <c r="AM1754" s="673"/>
      <c r="AN1754" s="673"/>
      <c r="AO1754" s="673"/>
      <c r="AP1754" s="673"/>
      <c r="AQ1754" s="673"/>
      <c r="AR1754" s="673"/>
      <c r="AS1754" s="673"/>
    </row>
    <row r="1755">
      <c r="A1755" s="653"/>
      <c r="B1755" s="654"/>
      <c r="C1755" s="655"/>
      <c r="D1755" s="656"/>
      <c r="E1755" s="657"/>
      <c r="F1755" s="658"/>
      <c r="G1755" s="659"/>
      <c r="H1755" s="660"/>
      <c r="I1755" s="659"/>
      <c r="J1755" s="661"/>
      <c r="K1755" s="658"/>
      <c r="L1755" s="662"/>
      <c r="M1755" s="663"/>
      <c r="N1755" s="664"/>
      <c r="O1755" s="665"/>
      <c r="P1755" s="666"/>
      <c r="Q1755" s="667"/>
      <c r="R1755" s="668"/>
      <c r="S1755" s="665"/>
      <c r="T1755" s="669"/>
      <c r="U1755" s="669"/>
      <c r="V1755" s="665"/>
      <c r="W1755" s="670"/>
      <c r="X1755" s="670"/>
      <c r="Y1755" s="671"/>
      <c r="Z1755" s="671"/>
      <c r="AA1755" s="672"/>
      <c r="AB1755" s="673"/>
      <c r="AC1755" s="673"/>
      <c r="AD1755" s="673"/>
      <c r="AE1755" s="673"/>
      <c r="AF1755" s="673"/>
      <c r="AG1755" s="673"/>
      <c r="AH1755" s="673"/>
      <c r="AI1755" s="673"/>
      <c r="AJ1755" s="673"/>
      <c r="AK1755" s="673"/>
      <c r="AL1755" s="673"/>
      <c r="AM1755" s="673"/>
      <c r="AN1755" s="673"/>
      <c r="AO1755" s="673"/>
      <c r="AP1755" s="673"/>
      <c r="AQ1755" s="673"/>
      <c r="AR1755" s="673"/>
      <c r="AS1755" s="673"/>
    </row>
    <row r="1756">
      <c r="A1756" s="653"/>
      <c r="B1756" s="654"/>
      <c r="C1756" s="655"/>
      <c r="D1756" s="656"/>
      <c r="E1756" s="657"/>
      <c r="F1756" s="658"/>
      <c r="G1756" s="659"/>
      <c r="H1756" s="660"/>
      <c r="I1756" s="659"/>
      <c r="J1756" s="661"/>
      <c r="K1756" s="658"/>
      <c r="L1756" s="662"/>
      <c r="M1756" s="663"/>
      <c r="N1756" s="664"/>
      <c r="O1756" s="665"/>
      <c r="P1756" s="666"/>
      <c r="Q1756" s="667"/>
      <c r="R1756" s="668"/>
      <c r="S1756" s="665"/>
      <c r="T1756" s="669"/>
      <c r="U1756" s="669"/>
      <c r="V1756" s="665"/>
      <c r="W1756" s="670"/>
      <c r="X1756" s="670"/>
      <c r="Y1756" s="671"/>
      <c r="Z1756" s="671"/>
      <c r="AA1756" s="672"/>
      <c r="AB1756" s="673"/>
      <c r="AC1756" s="673"/>
      <c r="AD1756" s="673"/>
      <c r="AE1756" s="673"/>
      <c r="AF1756" s="673"/>
      <c r="AG1756" s="673"/>
      <c r="AH1756" s="673"/>
      <c r="AI1756" s="673"/>
      <c r="AJ1756" s="673"/>
      <c r="AK1756" s="673"/>
      <c r="AL1756" s="673"/>
      <c r="AM1756" s="673"/>
      <c r="AN1756" s="673"/>
      <c r="AO1756" s="673"/>
      <c r="AP1756" s="673"/>
      <c r="AQ1756" s="673"/>
      <c r="AR1756" s="673"/>
      <c r="AS1756" s="673"/>
    </row>
    <row r="1757">
      <c r="A1757" s="653"/>
      <c r="B1757" s="654"/>
      <c r="C1757" s="655"/>
      <c r="D1757" s="656"/>
      <c r="E1757" s="657"/>
      <c r="F1757" s="658"/>
      <c r="G1757" s="659"/>
      <c r="H1757" s="660"/>
      <c r="I1757" s="659"/>
      <c r="J1757" s="661"/>
      <c r="K1757" s="658"/>
      <c r="L1757" s="662"/>
      <c r="M1757" s="663"/>
      <c r="N1757" s="664"/>
      <c r="O1757" s="665"/>
      <c r="P1757" s="666"/>
      <c r="Q1757" s="667"/>
      <c r="R1757" s="668"/>
      <c r="S1757" s="665"/>
      <c r="T1757" s="669"/>
      <c r="U1757" s="669"/>
      <c r="V1757" s="665"/>
      <c r="W1757" s="670"/>
      <c r="X1757" s="670"/>
      <c r="Y1757" s="671"/>
      <c r="Z1757" s="671"/>
      <c r="AA1757" s="672"/>
      <c r="AB1757" s="673"/>
      <c r="AC1757" s="673"/>
      <c r="AD1757" s="673"/>
      <c r="AE1757" s="673"/>
      <c r="AF1757" s="673"/>
      <c r="AG1757" s="673"/>
      <c r="AH1757" s="673"/>
      <c r="AI1757" s="673"/>
      <c r="AJ1757" s="673"/>
      <c r="AK1757" s="673"/>
      <c r="AL1757" s="673"/>
      <c r="AM1757" s="673"/>
      <c r="AN1757" s="673"/>
      <c r="AO1757" s="673"/>
      <c r="AP1757" s="673"/>
      <c r="AQ1757" s="673"/>
      <c r="AR1757" s="673"/>
      <c r="AS1757" s="673"/>
    </row>
    <row r="1758">
      <c r="A1758" s="653"/>
      <c r="B1758" s="654"/>
      <c r="C1758" s="655"/>
      <c r="D1758" s="656"/>
      <c r="E1758" s="657"/>
      <c r="F1758" s="658"/>
      <c r="G1758" s="659"/>
      <c r="H1758" s="660"/>
      <c r="I1758" s="659"/>
      <c r="J1758" s="661"/>
      <c r="K1758" s="658"/>
      <c r="L1758" s="662"/>
      <c r="M1758" s="663"/>
      <c r="N1758" s="664"/>
      <c r="O1758" s="665"/>
      <c r="P1758" s="666"/>
      <c r="Q1758" s="667"/>
      <c r="R1758" s="668"/>
      <c r="S1758" s="665"/>
      <c r="T1758" s="669"/>
      <c r="U1758" s="669"/>
      <c r="V1758" s="665"/>
      <c r="W1758" s="670"/>
      <c r="X1758" s="670"/>
      <c r="Y1758" s="671"/>
      <c r="Z1758" s="671"/>
      <c r="AA1758" s="672"/>
      <c r="AB1758" s="673"/>
      <c r="AC1758" s="673"/>
      <c r="AD1758" s="673"/>
      <c r="AE1758" s="673"/>
      <c r="AF1758" s="673"/>
      <c r="AG1758" s="673"/>
      <c r="AH1758" s="673"/>
      <c r="AI1758" s="673"/>
      <c r="AJ1758" s="673"/>
      <c r="AK1758" s="673"/>
      <c r="AL1758" s="673"/>
      <c r="AM1758" s="673"/>
      <c r="AN1758" s="673"/>
      <c r="AO1758" s="673"/>
      <c r="AP1758" s="673"/>
      <c r="AQ1758" s="673"/>
      <c r="AR1758" s="673"/>
      <c r="AS1758" s="673"/>
    </row>
    <row r="1759">
      <c r="A1759" s="653"/>
      <c r="B1759" s="654"/>
      <c r="C1759" s="655"/>
      <c r="D1759" s="656"/>
      <c r="E1759" s="657"/>
      <c r="F1759" s="658"/>
      <c r="G1759" s="659"/>
      <c r="H1759" s="660"/>
      <c r="I1759" s="659"/>
      <c r="J1759" s="661"/>
      <c r="K1759" s="658"/>
      <c r="L1759" s="662"/>
      <c r="M1759" s="663"/>
      <c r="N1759" s="664"/>
      <c r="O1759" s="665"/>
      <c r="P1759" s="666"/>
      <c r="Q1759" s="667"/>
      <c r="R1759" s="668"/>
      <c r="S1759" s="665"/>
      <c r="T1759" s="669"/>
      <c r="U1759" s="669"/>
      <c r="V1759" s="665"/>
      <c r="W1759" s="670"/>
      <c r="X1759" s="670"/>
      <c r="Y1759" s="671"/>
      <c r="Z1759" s="671"/>
      <c r="AA1759" s="672"/>
      <c r="AB1759" s="673"/>
      <c r="AC1759" s="673"/>
      <c r="AD1759" s="673"/>
      <c r="AE1759" s="673"/>
      <c r="AF1759" s="673"/>
      <c r="AG1759" s="673"/>
      <c r="AH1759" s="673"/>
      <c r="AI1759" s="673"/>
      <c r="AJ1759" s="673"/>
      <c r="AK1759" s="673"/>
      <c r="AL1759" s="673"/>
      <c r="AM1759" s="673"/>
      <c r="AN1759" s="673"/>
      <c r="AO1759" s="673"/>
      <c r="AP1759" s="673"/>
      <c r="AQ1759" s="673"/>
      <c r="AR1759" s="673"/>
      <c r="AS1759" s="673"/>
    </row>
    <row r="1760">
      <c r="A1760" s="653"/>
      <c r="B1760" s="654"/>
      <c r="C1760" s="655"/>
      <c r="D1760" s="656"/>
      <c r="E1760" s="657"/>
      <c r="F1760" s="658"/>
      <c r="G1760" s="659"/>
      <c r="H1760" s="660"/>
      <c r="I1760" s="659"/>
      <c r="J1760" s="661"/>
      <c r="K1760" s="658"/>
      <c r="L1760" s="662"/>
      <c r="M1760" s="663"/>
      <c r="N1760" s="664"/>
      <c r="O1760" s="665"/>
      <c r="P1760" s="666"/>
      <c r="Q1760" s="667"/>
      <c r="R1760" s="668"/>
      <c r="S1760" s="665"/>
      <c r="T1760" s="669"/>
      <c r="U1760" s="669"/>
      <c r="V1760" s="665"/>
      <c r="W1760" s="670"/>
      <c r="X1760" s="670"/>
      <c r="Y1760" s="671"/>
      <c r="Z1760" s="671"/>
      <c r="AA1760" s="672"/>
      <c r="AB1760" s="673"/>
      <c r="AC1760" s="673"/>
      <c r="AD1760" s="673"/>
      <c r="AE1760" s="673"/>
      <c r="AF1760" s="673"/>
      <c r="AG1760" s="673"/>
      <c r="AH1760" s="673"/>
      <c r="AI1760" s="673"/>
      <c r="AJ1760" s="673"/>
      <c r="AK1760" s="673"/>
      <c r="AL1760" s="673"/>
      <c r="AM1760" s="673"/>
      <c r="AN1760" s="673"/>
      <c r="AO1760" s="673"/>
      <c r="AP1760" s="673"/>
      <c r="AQ1760" s="673"/>
      <c r="AR1760" s="673"/>
      <c r="AS1760" s="673"/>
    </row>
    <row r="1761">
      <c r="A1761" s="653"/>
      <c r="B1761" s="654"/>
      <c r="C1761" s="655"/>
      <c r="D1761" s="656"/>
      <c r="E1761" s="657"/>
      <c r="F1761" s="658"/>
      <c r="G1761" s="659"/>
      <c r="H1761" s="660"/>
      <c r="I1761" s="659"/>
      <c r="J1761" s="661"/>
      <c r="K1761" s="658"/>
      <c r="L1761" s="662"/>
      <c r="M1761" s="663"/>
      <c r="N1761" s="664"/>
      <c r="O1761" s="665"/>
      <c r="P1761" s="666"/>
      <c r="Q1761" s="667"/>
      <c r="R1761" s="668"/>
      <c r="S1761" s="665"/>
      <c r="T1761" s="669"/>
      <c r="U1761" s="669"/>
      <c r="V1761" s="665"/>
      <c r="W1761" s="670"/>
      <c r="X1761" s="670"/>
      <c r="Y1761" s="671"/>
      <c r="Z1761" s="671"/>
      <c r="AA1761" s="672"/>
      <c r="AB1761" s="673"/>
      <c r="AC1761" s="673"/>
      <c r="AD1761" s="673"/>
      <c r="AE1761" s="673"/>
      <c r="AF1761" s="673"/>
      <c r="AG1761" s="673"/>
      <c r="AH1761" s="673"/>
      <c r="AI1761" s="673"/>
      <c r="AJ1761" s="673"/>
      <c r="AK1761" s="673"/>
      <c r="AL1761" s="673"/>
      <c r="AM1761" s="673"/>
      <c r="AN1761" s="673"/>
      <c r="AO1761" s="673"/>
      <c r="AP1761" s="673"/>
      <c r="AQ1761" s="673"/>
      <c r="AR1761" s="673"/>
      <c r="AS1761" s="673"/>
    </row>
    <row r="1762">
      <c r="A1762" s="653"/>
      <c r="B1762" s="654"/>
      <c r="C1762" s="655"/>
      <c r="D1762" s="656"/>
      <c r="E1762" s="657"/>
      <c r="F1762" s="658"/>
      <c r="G1762" s="659"/>
      <c r="H1762" s="660"/>
      <c r="I1762" s="659"/>
      <c r="J1762" s="661"/>
      <c r="K1762" s="658"/>
      <c r="L1762" s="662"/>
      <c r="M1762" s="663"/>
      <c r="N1762" s="664"/>
      <c r="O1762" s="665"/>
      <c r="P1762" s="666"/>
      <c r="Q1762" s="667"/>
      <c r="R1762" s="668"/>
      <c r="S1762" s="665"/>
      <c r="T1762" s="669"/>
      <c r="U1762" s="669"/>
      <c r="V1762" s="665"/>
      <c r="W1762" s="670"/>
      <c r="X1762" s="670"/>
      <c r="Y1762" s="671"/>
      <c r="Z1762" s="671"/>
      <c r="AA1762" s="672"/>
      <c r="AB1762" s="673"/>
      <c r="AC1762" s="673"/>
      <c r="AD1762" s="673"/>
      <c r="AE1762" s="673"/>
      <c r="AF1762" s="673"/>
      <c r="AG1762" s="673"/>
      <c r="AH1762" s="673"/>
      <c r="AI1762" s="673"/>
      <c r="AJ1762" s="673"/>
      <c r="AK1762" s="673"/>
      <c r="AL1762" s="673"/>
      <c r="AM1762" s="673"/>
      <c r="AN1762" s="673"/>
      <c r="AO1762" s="673"/>
      <c r="AP1762" s="673"/>
      <c r="AQ1762" s="673"/>
      <c r="AR1762" s="673"/>
      <c r="AS1762" s="673"/>
    </row>
    <row r="1763">
      <c r="A1763" s="653"/>
      <c r="B1763" s="654"/>
      <c r="C1763" s="655"/>
      <c r="D1763" s="656"/>
      <c r="E1763" s="657"/>
      <c r="F1763" s="658"/>
      <c r="G1763" s="659"/>
      <c r="H1763" s="660"/>
      <c r="I1763" s="659"/>
      <c r="J1763" s="661"/>
      <c r="K1763" s="658"/>
      <c r="L1763" s="662"/>
      <c r="M1763" s="663"/>
      <c r="N1763" s="664"/>
      <c r="O1763" s="665"/>
      <c r="P1763" s="666"/>
      <c r="Q1763" s="667"/>
      <c r="R1763" s="668"/>
      <c r="S1763" s="665"/>
      <c r="T1763" s="669"/>
      <c r="U1763" s="669"/>
      <c r="V1763" s="665"/>
      <c r="W1763" s="670"/>
      <c r="X1763" s="670"/>
      <c r="Y1763" s="671"/>
      <c r="Z1763" s="671"/>
      <c r="AA1763" s="672"/>
      <c r="AB1763" s="673"/>
      <c r="AC1763" s="673"/>
      <c r="AD1763" s="673"/>
      <c r="AE1763" s="673"/>
      <c r="AF1763" s="673"/>
      <c r="AG1763" s="673"/>
      <c r="AH1763" s="673"/>
      <c r="AI1763" s="673"/>
      <c r="AJ1763" s="673"/>
      <c r="AK1763" s="673"/>
      <c r="AL1763" s="673"/>
      <c r="AM1763" s="673"/>
      <c r="AN1763" s="673"/>
      <c r="AO1763" s="673"/>
      <c r="AP1763" s="673"/>
      <c r="AQ1763" s="673"/>
      <c r="AR1763" s="673"/>
      <c r="AS1763" s="673"/>
    </row>
    <row r="1764">
      <c r="A1764" s="653"/>
      <c r="B1764" s="654"/>
      <c r="C1764" s="655"/>
      <c r="D1764" s="656"/>
      <c r="E1764" s="657"/>
      <c r="F1764" s="658"/>
      <c r="G1764" s="659"/>
      <c r="H1764" s="660"/>
      <c r="I1764" s="659"/>
      <c r="J1764" s="661"/>
      <c r="K1764" s="658"/>
      <c r="L1764" s="662"/>
      <c r="M1764" s="663"/>
      <c r="N1764" s="664"/>
      <c r="O1764" s="665"/>
      <c r="P1764" s="666"/>
      <c r="Q1764" s="667"/>
      <c r="R1764" s="668"/>
      <c r="S1764" s="665"/>
      <c r="T1764" s="669"/>
      <c r="U1764" s="669"/>
      <c r="V1764" s="665"/>
      <c r="W1764" s="670"/>
      <c r="X1764" s="670"/>
      <c r="Y1764" s="671"/>
      <c r="Z1764" s="671"/>
      <c r="AA1764" s="672"/>
      <c r="AB1764" s="673"/>
      <c r="AC1764" s="673"/>
      <c r="AD1764" s="673"/>
      <c r="AE1764" s="673"/>
      <c r="AF1764" s="673"/>
      <c r="AG1764" s="673"/>
      <c r="AH1764" s="673"/>
      <c r="AI1764" s="673"/>
      <c r="AJ1764" s="673"/>
      <c r="AK1764" s="673"/>
      <c r="AL1764" s="673"/>
      <c r="AM1764" s="673"/>
      <c r="AN1764" s="673"/>
      <c r="AO1764" s="673"/>
      <c r="AP1764" s="673"/>
      <c r="AQ1764" s="673"/>
      <c r="AR1764" s="673"/>
      <c r="AS1764" s="673"/>
    </row>
    <row r="1765">
      <c r="A1765" s="653"/>
      <c r="B1765" s="654"/>
      <c r="C1765" s="655"/>
      <c r="D1765" s="656"/>
      <c r="E1765" s="657"/>
      <c r="F1765" s="658"/>
      <c r="G1765" s="659"/>
      <c r="H1765" s="660"/>
      <c r="I1765" s="659"/>
      <c r="J1765" s="661"/>
      <c r="K1765" s="658"/>
      <c r="L1765" s="662"/>
      <c r="M1765" s="663"/>
      <c r="N1765" s="664"/>
      <c r="O1765" s="665"/>
      <c r="P1765" s="666"/>
      <c r="Q1765" s="667"/>
      <c r="R1765" s="668"/>
      <c r="S1765" s="665"/>
      <c r="T1765" s="669"/>
      <c r="U1765" s="669"/>
      <c r="V1765" s="665"/>
      <c r="W1765" s="670"/>
      <c r="X1765" s="670"/>
      <c r="Y1765" s="671"/>
      <c r="Z1765" s="671"/>
      <c r="AA1765" s="672"/>
      <c r="AB1765" s="673"/>
      <c r="AC1765" s="673"/>
      <c r="AD1765" s="673"/>
      <c r="AE1765" s="673"/>
      <c r="AF1765" s="673"/>
      <c r="AG1765" s="673"/>
      <c r="AH1765" s="673"/>
      <c r="AI1765" s="673"/>
      <c r="AJ1765" s="673"/>
      <c r="AK1765" s="673"/>
      <c r="AL1765" s="673"/>
      <c r="AM1765" s="673"/>
      <c r="AN1765" s="673"/>
      <c r="AO1765" s="673"/>
      <c r="AP1765" s="673"/>
      <c r="AQ1765" s="673"/>
      <c r="AR1765" s="673"/>
      <c r="AS1765" s="673"/>
    </row>
    <row r="1766">
      <c r="A1766" s="653"/>
      <c r="B1766" s="654"/>
      <c r="C1766" s="655"/>
      <c r="D1766" s="656"/>
      <c r="E1766" s="657"/>
      <c r="F1766" s="658"/>
      <c r="G1766" s="659"/>
      <c r="H1766" s="660"/>
      <c r="I1766" s="659"/>
      <c r="J1766" s="661"/>
      <c r="K1766" s="658"/>
      <c r="L1766" s="662"/>
      <c r="M1766" s="663"/>
      <c r="N1766" s="664"/>
      <c r="O1766" s="665"/>
      <c r="P1766" s="666"/>
      <c r="Q1766" s="667"/>
      <c r="R1766" s="668"/>
      <c r="S1766" s="665"/>
      <c r="T1766" s="669"/>
      <c r="U1766" s="669"/>
      <c r="V1766" s="665"/>
      <c r="W1766" s="670"/>
      <c r="X1766" s="670"/>
      <c r="Y1766" s="671"/>
      <c r="Z1766" s="671"/>
      <c r="AA1766" s="672"/>
      <c r="AB1766" s="673"/>
      <c r="AC1766" s="673"/>
      <c r="AD1766" s="673"/>
      <c r="AE1766" s="673"/>
      <c r="AF1766" s="673"/>
      <c r="AG1766" s="673"/>
      <c r="AH1766" s="673"/>
      <c r="AI1766" s="673"/>
      <c r="AJ1766" s="673"/>
      <c r="AK1766" s="673"/>
      <c r="AL1766" s="673"/>
      <c r="AM1766" s="673"/>
      <c r="AN1766" s="673"/>
      <c r="AO1766" s="673"/>
      <c r="AP1766" s="673"/>
      <c r="AQ1766" s="673"/>
      <c r="AR1766" s="673"/>
      <c r="AS1766" s="673"/>
    </row>
    <row r="1767">
      <c r="A1767" s="653"/>
      <c r="B1767" s="654"/>
      <c r="C1767" s="655"/>
      <c r="D1767" s="656"/>
      <c r="E1767" s="657"/>
      <c r="F1767" s="658"/>
      <c r="G1767" s="659"/>
      <c r="H1767" s="660"/>
      <c r="I1767" s="659"/>
      <c r="J1767" s="661"/>
      <c r="K1767" s="658"/>
      <c r="L1767" s="662"/>
      <c r="M1767" s="663"/>
      <c r="N1767" s="664"/>
      <c r="O1767" s="665"/>
      <c r="P1767" s="666"/>
      <c r="Q1767" s="667"/>
      <c r="R1767" s="668"/>
      <c r="S1767" s="665"/>
      <c r="T1767" s="669"/>
      <c r="U1767" s="669"/>
      <c r="V1767" s="665"/>
      <c r="W1767" s="670"/>
      <c r="X1767" s="670"/>
      <c r="Y1767" s="671"/>
      <c r="Z1767" s="671"/>
      <c r="AA1767" s="672"/>
      <c r="AB1767" s="673"/>
      <c r="AC1767" s="673"/>
      <c r="AD1767" s="673"/>
      <c r="AE1767" s="673"/>
      <c r="AF1767" s="673"/>
      <c r="AG1767" s="673"/>
      <c r="AH1767" s="673"/>
      <c r="AI1767" s="673"/>
      <c r="AJ1767" s="673"/>
      <c r="AK1767" s="673"/>
      <c r="AL1767" s="673"/>
      <c r="AM1767" s="673"/>
      <c r="AN1767" s="673"/>
      <c r="AO1767" s="673"/>
      <c r="AP1767" s="673"/>
      <c r="AQ1767" s="673"/>
      <c r="AR1767" s="673"/>
      <c r="AS1767" s="673"/>
    </row>
    <row r="1768">
      <c r="A1768" s="653"/>
      <c r="B1768" s="654"/>
      <c r="C1768" s="655"/>
      <c r="D1768" s="656"/>
      <c r="E1768" s="657"/>
      <c r="F1768" s="658"/>
      <c r="G1768" s="659"/>
      <c r="H1768" s="660"/>
      <c r="I1768" s="659"/>
      <c r="J1768" s="661"/>
      <c r="K1768" s="658"/>
      <c r="L1768" s="662"/>
      <c r="M1768" s="663"/>
      <c r="N1768" s="664"/>
      <c r="O1768" s="665"/>
      <c r="P1768" s="666"/>
      <c r="Q1768" s="667"/>
      <c r="R1768" s="668"/>
      <c r="S1768" s="665"/>
      <c r="T1768" s="669"/>
      <c r="U1768" s="669"/>
      <c r="V1768" s="665"/>
      <c r="W1768" s="670"/>
      <c r="X1768" s="670"/>
      <c r="Y1768" s="671"/>
      <c r="Z1768" s="671"/>
      <c r="AA1768" s="672"/>
      <c r="AB1768" s="673"/>
      <c r="AC1768" s="673"/>
      <c r="AD1768" s="673"/>
      <c r="AE1768" s="673"/>
      <c r="AF1768" s="673"/>
      <c r="AG1768" s="673"/>
      <c r="AH1768" s="673"/>
      <c r="AI1768" s="673"/>
      <c r="AJ1768" s="673"/>
      <c r="AK1768" s="673"/>
      <c r="AL1768" s="673"/>
      <c r="AM1768" s="673"/>
      <c r="AN1768" s="673"/>
      <c r="AO1768" s="673"/>
      <c r="AP1768" s="673"/>
      <c r="AQ1768" s="673"/>
      <c r="AR1768" s="673"/>
      <c r="AS1768" s="673"/>
    </row>
    <row r="1769">
      <c r="A1769" s="653"/>
      <c r="B1769" s="654"/>
      <c r="C1769" s="655"/>
      <c r="D1769" s="656"/>
      <c r="E1769" s="657"/>
      <c r="F1769" s="658"/>
      <c r="G1769" s="659"/>
      <c r="H1769" s="660"/>
      <c r="I1769" s="659"/>
      <c r="J1769" s="661"/>
      <c r="K1769" s="658"/>
      <c r="L1769" s="662"/>
      <c r="M1769" s="663"/>
      <c r="N1769" s="664"/>
      <c r="O1769" s="665"/>
      <c r="P1769" s="666"/>
      <c r="Q1769" s="667"/>
      <c r="R1769" s="668"/>
      <c r="S1769" s="665"/>
      <c r="T1769" s="669"/>
      <c r="U1769" s="669"/>
      <c r="V1769" s="665"/>
      <c r="W1769" s="670"/>
      <c r="X1769" s="670"/>
      <c r="Y1769" s="671"/>
      <c r="Z1769" s="671"/>
      <c r="AA1769" s="672"/>
      <c r="AB1769" s="673"/>
      <c r="AC1769" s="673"/>
      <c r="AD1769" s="673"/>
      <c r="AE1769" s="673"/>
      <c r="AF1769" s="673"/>
      <c r="AG1769" s="673"/>
      <c r="AH1769" s="673"/>
      <c r="AI1769" s="673"/>
      <c r="AJ1769" s="673"/>
      <c r="AK1769" s="673"/>
      <c r="AL1769" s="673"/>
      <c r="AM1769" s="673"/>
      <c r="AN1769" s="673"/>
      <c r="AO1769" s="673"/>
      <c r="AP1769" s="673"/>
      <c r="AQ1769" s="673"/>
      <c r="AR1769" s="673"/>
      <c r="AS1769" s="673"/>
    </row>
    <row r="1770">
      <c r="A1770" s="653"/>
      <c r="B1770" s="654"/>
      <c r="C1770" s="655"/>
      <c r="D1770" s="656"/>
      <c r="E1770" s="657"/>
      <c r="F1770" s="658"/>
      <c r="G1770" s="659"/>
      <c r="H1770" s="660"/>
      <c r="I1770" s="659"/>
      <c r="J1770" s="661"/>
      <c r="K1770" s="658"/>
      <c r="L1770" s="662"/>
      <c r="M1770" s="663"/>
      <c r="N1770" s="664"/>
      <c r="O1770" s="665"/>
      <c r="P1770" s="666"/>
      <c r="Q1770" s="667"/>
      <c r="R1770" s="668"/>
      <c r="S1770" s="665"/>
      <c r="T1770" s="669"/>
      <c r="U1770" s="669"/>
      <c r="V1770" s="665"/>
      <c r="W1770" s="670"/>
      <c r="X1770" s="670"/>
      <c r="Y1770" s="671"/>
      <c r="Z1770" s="671"/>
      <c r="AA1770" s="672"/>
      <c r="AB1770" s="673"/>
      <c r="AC1770" s="673"/>
      <c r="AD1770" s="673"/>
      <c r="AE1770" s="673"/>
      <c r="AF1770" s="673"/>
      <c r="AG1770" s="673"/>
      <c r="AH1770" s="673"/>
      <c r="AI1770" s="673"/>
      <c r="AJ1770" s="673"/>
      <c r="AK1770" s="673"/>
      <c r="AL1770" s="673"/>
      <c r="AM1770" s="673"/>
      <c r="AN1770" s="673"/>
      <c r="AO1770" s="673"/>
      <c r="AP1770" s="673"/>
      <c r="AQ1770" s="673"/>
      <c r="AR1770" s="673"/>
      <c r="AS1770" s="673"/>
    </row>
    <row r="1771">
      <c r="A1771" s="653"/>
      <c r="B1771" s="654"/>
      <c r="C1771" s="655"/>
      <c r="D1771" s="656"/>
      <c r="E1771" s="657"/>
      <c r="F1771" s="658"/>
      <c r="G1771" s="659"/>
      <c r="H1771" s="660"/>
      <c r="I1771" s="659"/>
      <c r="J1771" s="661"/>
      <c r="K1771" s="658"/>
      <c r="L1771" s="662"/>
      <c r="M1771" s="663"/>
      <c r="N1771" s="664"/>
      <c r="O1771" s="665"/>
      <c r="P1771" s="666"/>
      <c r="Q1771" s="667"/>
      <c r="R1771" s="668"/>
      <c r="S1771" s="665"/>
      <c r="T1771" s="669"/>
      <c r="U1771" s="669"/>
      <c r="V1771" s="665"/>
      <c r="W1771" s="670"/>
      <c r="X1771" s="670"/>
      <c r="Y1771" s="671"/>
      <c r="Z1771" s="671"/>
      <c r="AA1771" s="672"/>
      <c r="AB1771" s="673"/>
      <c r="AC1771" s="673"/>
      <c r="AD1771" s="673"/>
      <c r="AE1771" s="673"/>
      <c r="AF1771" s="673"/>
      <c r="AG1771" s="673"/>
      <c r="AH1771" s="673"/>
      <c r="AI1771" s="673"/>
      <c r="AJ1771" s="673"/>
      <c r="AK1771" s="673"/>
      <c r="AL1771" s="673"/>
      <c r="AM1771" s="673"/>
      <c r="AN1771" s="673"/>
      <c r="AO1771" s="673"/>
      <c r="AP1771" s="673"/>
      <c r="AQ1771" s="673"/>
      <c r="AR1771" s="673"/>
      <c r="AS1771" s="673"/>
    </row>
    <row r="1772">
      <c r="A1772" s="653"/>
      <c r="B1772" s="654"/>
      <c r="C1772" s="655"/>
      <c r="D1772" s="656"/>
      <c r="E1772" s="657"/>
      <c r="F1772" s="658"/>
      <c r="G1772" s="659"/>
      <c r="H1772" s="660"/>
      <c r="I1772" s="659"/>
      <c r="J1772" s="661"/>
      <c r="K1772" s="658"/>
      <c r="L1772" s="662"/>
      <c r="M1772" s="663"/>
      <c r="N1772" s="664"/>
      <c r="O1772" s="665"/>
      <c r="P1772" s="666"/>
      <c r="Q1772" s="667"/>
      <c r="R1772" s="668"/>
      <c r="S1772" s="665"/>
      <c r="T1772" s="669"/>
      <c r="U1772" s="669"/>
      <c r="V1772" s="665"/>
      <c r="W1772" s="670"/>
      <c r="X1772" s="670"/>
      <c r="Y1772" s="671"/>
      <c r="Z1772" s="671"/>
      <c r="AA1772" s="672"/>
      <c r="AB1772" s="673"/>
      <c r="AC1772" s="673"/>
      <c r="AD1772" s="673"/>
      <c r="AE1772" s="673"/>
      <c r="AF1772" s="673"/>
      <c r="AG1772" s="673"/>
      <c r="AH1772" s="673"/>
      <c r="AI1772" s="673"/>
      <c r="AJ1772" s="673"/>
      <c r="AK1772" s="673"/>
      <c r="AL1772" s="673"/>
      <c r="AM1772" s="673"/>
      <c r="AN1772" s="673"/>
      <c r="AO1772" s="673"/>
      <c r="AP1772" s="673"/>
      <c r="AQ1772" s="673"/>
      <c r="AR1772" s="673"/>
      <c r="AS1772" s="673"/>
    </row>
    <row r="1773">
      <c r="A1773" s="653"/>
      <c r="B1773" s="654"/>
      <c r="C1773" s="655"/>
      <c r="D1773" s="656"/>
      <c r="E1773" s="657"/>
      <c r="F1773" s="658"/>
      <c r="G1773" s="659"/>
      <c r="H1773" s="660"/>
      <c r="I1773" s="659"/>
      <c r="J1773" s="661"/>
      <c r="K1773" s="658"/>
      <c r="L1773" s="662"/>
      <c r="M1773" s="663"/>
      <c r="N1773" s="664"/>
      <c r="O1773" s="665"/>
      <c r="P1773" s="666"/>
      <c r="Q1773" s="667"/>
      <c r="R1773" s="668"/>
      <c r="S1773" s="665"/>
      <c r="T1773" s="669"/>
      <c r="U1773" s="669"/>
      <c r="V1773" s="665"/>
      <c r="W1773" s="670"/>
      <c r="X1773" s="670"/>
      <c r="Y1773" s="671"/>
      <c r="Z1773" s="671"/>
      <c r="AA1773" s="672"/>
      <c r="AB1773" s="673"/>
      <c r="AC1773" s="673"/>
      <c r="AD1773" s="673"/>
      <c r="AE1773" s="673"/>
      <c r="AF1773" s="673"/>
      <c r="AG1773" s="673"/>
      <c r="AH1773" s="673"/>
      <c r="AI1773" s="673"/>
      <c r="AJ1773" s="673"/>
      <c r="AK1773" s="673"/>
      <c r="AL1773" s="673"/>
      <c r="AM1773" s="673"/>
      <c r="AN1773" s="673"/>
      <c r="AO1773" s="673"/>
      <c r="AP1773" s="673"/>
      <c r="AQ1773" s="673"/>
      <c r="AR1773" s="673"/>
      <c r="AS1773" s="673"/>
    </row>
    <row r="1774">
      <c r="A1774" s="653"/>
      <c r="B1774" s="654"/>
      <c r="C1774" s="655"/>
      <c r="D1774" s="656"/>
      <c r="E1774" s="657"/>
      <c r="F1774" s="658"/>
      <c r="G1774" s="659"/>
      <c r="H1774" s="660"/>
      <c r="I1774" s="659"/>
      <c r="J1774" s="661"/>
      <c r="K1774" s="658"/>
      <c r="L1774" s="662"/>
      <c r="M1774" s="663"/>
      <c r="N1774" s="664"/>
      <c r="O1774" s="665"/>
      <c r="P1774" s="666"/>
      <c r="Q1774" s="667"/>
      <c r="R1774" s="668"/>
      <c r="S1774" s="665"/>
      <c r="T1774" s="669"/>
      <c r="U1774" s="669"/>
      <c r="V1774" s="665"/>
      <c r="W1774" s="670"/>
      <c r="X1774" s="670"/>
      <c r="Y1774" s="671"/>
      <c r="Z1774" s="671"/>
      <c r="AA1774" s="672"/>
      <c r="AB1774" s="673"/>
      <c r="AC1774" s="673"/>
      <c r="AD1774" s="673"/>
      <c r="AE1774" s="673"/>
      <c r="AF1774" s="673"/>
      <c r="AG1774" s="673"/>
      <c r="AH1774" s="673"/>
      <c r="AI1774" s="673"/>
      <c r="AJ1774" s="673"/>
      <c r="AK1774" s="673"/>
      <c r="AL1774" s="673"/>
      <c r="AM1774" s="673"/>
      <c r="AN1774" s="673"/>
      <c r="AO1774" s="673"/>
      <c r="AP1774" s="673"/>
      <c r="AQ1774" s="673"/>
      <c r="AR1774" s="673"/>
      <c r="AS1774" s="673"/>
    </row>
    <row r="1775">
      <c r="A1775" s="653"/>
      <c r="B1775" s="654"/>
      <c r="C1775" s="655"/>
      <c r="D1775" s="656"/>
      <c r="E1775" s="657"/>
      <c r="F1775" s="658"/>
      <c r="G1775" s="659"/>
      <c r="H1775" s="660"/>
      <c r="I1775" s="659"/>
      <c r="J1775" s="661"/>
      <c r="K1775" s="658"/>
      <c r="L1775" s="662"/>
      <c r="M1775" s="663"/>
      <c r="N1775" s="664"/>
      <c r="O1775" s="665"/>
      <c r="P1775" s="666"/>
      <c r="Q1775" s="667"/>
      <c r="R1775" s="668"/>
      <c r="S1775" s="665"/>
      <c r="T1775" s="669"/>
      <c r="U1775" s="669"/>
      <c r="V1775" s="665"/>
      <c r="W1775" s="670"/>
      <c r="X1775" s="670"/>
      <c r="Y1775" s="671"/>
      <c r="Z1775" s="671"/>
      <c r="AA1775" s="672"/>
      <c r="AB1775" s="673"/>
      <c r="AC1775" s="673"/>
      <c r="AD1775" s="673"/>
      <c r="AE1775" s="673"/>
      <c r="AF1775" s="673"/>
      <c r="AG1775" s="673"/>
      <c r="AH1775" s="673"/>
      <c r="AI1775" s="673"/>
      <c r="AJ1775" s="673"/>
      <c r="AK1775" s="673"/>
      <c r="AL1775" s="673"/>
      <c r="AM1775" s="673"/>
      <c r="AN1775" s="673"/>
      <c r="AO1775" s="673"/>
      <c r="AP1775" s="673"/>
      <c r="AQ1775" s="673"/>
      <c r="AR1775" s="673"/>
      <c r="AS1775" s="673"/>
    </row>
    <row r="1776">
      <c r="A1776" s="653"/>
      <c r="B1776" s="654"/>
      <c r="C1776" s="655"/>
      <c r="D1776" s="656"/>
      <c r="E1776" s="657"/>
      <c r="F1776" s="658"/>
      <c r="G1776" s="659"/>
      <c r="H1776" s="660"/>
      <c r="I1776" s="659"/>
      <c r="J1776" s="661"/>
      <c r="K1776" s="658"/>
      <c r="L1776" s="662"/>
      <c r="M1776" s="663"/>
      <c r="N1776" s="664"/>
      <c r="O1776" s="665"/>
      <c r="P1776" s="666"/>
      <c r="Q1776" s="667"/>
      <c r="R1776" s="668"/>
      <c r="S1776" s="665"/>
      <c r="T1776" s="669"/>
      <c r="U1776" s="669"/>
      <c r="V1776" s="665"/>
      <c r="W1776" s="670"/>
      <c r="X1776" s="670"/>
      <c r="Y1776" s="671"/>
      <c r="Z1776" s="671"/>
      <c r="AA1776" s="672"/>
      <c r="AB1776" s="673"/>
      <c r="AC1776" s="673"/>
      <c r="AD1776" s="673"/>
      <c r="AE1776" s="673"/>
      <c r="AF1776" s="673"/>
      <c r="AG1776" s="673"/>
      <c r="AH1776" s="673"/>
      <c r="AI1776" s="673"/>
      <c r="AJ1776" s="673"/>
      <c r="AK1776" s="673"/>
      <c r="AL1776" s="673"/>
      <c r="AM1776" s="673"/>
      <c r="AN1776" s="673"/>
      <c r="AO1776" s="673"/>
      <c r="AP1776" s="673"/>
      <c r="AQ1776" s="673"/>
      <c r="AR1776" s="673"/>
      <c r="AS1776" s="673"/>
    </row>
    <row r="1777">
      <c r="A1777" s="653"/>
      <c r="B1777" s="654"/>
      <c r="C1777" s="655"/>
      <c r="D1777" s="656"/>
      <c r="E1777" s="657"/>
      <c r="F1777" s="658"/>
      <c r="G1777" s="659"/>
      <c r="H1777" s="660"/>
      <c r="I1777" s="659"/>
      <c r="J1777" s="661"/>
      <c r="K1777" s="658"/>
      <c r="L1777" s="662"/>
      <c r="M1777" s="663"/>
      <c r="N1777" s="664"/>
      <c r="O1777" s="665"/>
      <c r="P1777" s="666"/>
      <c r="Q1777" s="667"/>
      <c r="R1777" s="668"/>
      <c r="S1777" s="665"/>
      <c r="T1777" s="669"/>
      <c r="U1777" s="669"/>
      <c r="V1777" s="665"/>
      <c r="W1777" s="670"/>
      <c r="X1777" s="670"/>
      <c r="Y1777" s="671"/>
      <c r="Z1777" s="671"/>
      <c r="AA1777" s="672"/>
      <c r="AB1777" s="673"/>
      <c r="AC1777" s="673"/>
      <c r="AD1777" s="673"/>
      <c r="AE1777" s="673"/>
      <c r="AF1777" s="673"/>
      <c r="AG1777" s="673"/>
      <c r="AH1777" s="673"/>
      <c r="AI1777" s="673"/>
      <c r="AJ1777" s="673"/>
      <c r="AK1777" s="673"/>
      <c r="AL1777" s="673"/>
      <c r="AM1777" s="673"/>
      <c r="AN1777" s="673"/>
      <c r="AO1777" s="673"/>
      <c r="AP1777" s="673"/>
      <c r="AQ1777" s="673"/>
      <c r="AR1777" s="673"/>
      <c r="AS1777" s="673"/>
    </row>
    <row r="1778">
      <c r="A1778" s="653"/>
      <c r="B1778" s="654"/>
      <c r="C1778" s="655"/>
      <c r="D1778" s="656"/>
      <c r="E1778" s="657"/>
      <c r="F1778" s="658"/>
      <c r="G1778" s="659"/>
      <c r="H1778" s="660"/>
      <c r="I1778" s="659"/>
      <c r="J1778" s="661"/>
      <c r="K1778" s="658"/>
      <c r="L1778" s="662"/>
      <c r="M1778" s="663"/>
      <c r="N1778" s="664"/>
      <c r="O1778" s="665"/>
      <c r="P1778" s="666"/>
      <c r="Q1778" s="667"/>
      <c r="R1778" s="668"/>
      <c r="S1778" s="665"/>
      <c r="T1778" s="669"/>
      <c r="U1778" s="669"/>
      <c r="V1778" s="665"/>
      <c r="W1778" s="670"/>
      <c r="X1778" s="670"/>
      <c r="Y1778" s="671"/>
      <c r="Z1778" s="671"/>
      <c r="AA1778" s="672"/>
      <c r="AB1778" s="673"/>
      <c r="AC1778" s="673"/>
      <c r="AD1778" s="673"/>
      <c r="AE1778" s="673"/>
      <c r="AF1778" s="673"/>
      <c r="AG1778" s="673"/>
      <c r="AH1778" s="673"/>
      <c r="AI1778" s="673"/>
      <c r="AJ1778" s="673"/>
      <c r="AK1778" s="673"/>
      <c r="AL1778" s="673"/>
      <c r="AM1778" s="673"/>
      <c r="AN1778" s="673"/>
      <c r="AO1778" s="673"/>
      <c r="AP1778" s="673"/>
      <c r="AQ1778" s="673"/>
      <c r="AR1778" s="673"/>
      <c r="AS1778" s="673"/>
    </row>
    <row r="1779">
      <c r="A1779" s="653"/>
      <c r="B1779" s="654"/>
      <c r="C1779" s="655"/>
      <c r="D1779" s="656"/>
      <c r="E1779" s="657"/>
      <c r="F1779" s="658"/>
      <c r="G1779" s="659"/>
      <c r="H1779" s="660"/>
      <c r="I1779" s="659"/>
      <c r="J1779" s="661"/>
      <c r="K1779" s="658"/>
      <c r="L1779" s="662"/>
      <c r="M1779" s="663"/>
      <c r="N1779" s="664"/>
      <c r="O1779" s="665"/>
      <c r="P1779" s="666"/>
      <c r="Q1779" s="667"/>
      <c r="R1779" s="668"/>
      <c r="S1779" s="665"/>
      <c r="T1779" s="669"/>
      <c r="U1779" s="669"/>
      <c r="V1779" s="665"/>
      <c r="W1779" s="670"/>
      <c r="X1779" s="670"/>
      <c r="Y1779" s="671"/>
      <c r="Z1779" s="671"/>
      <c r="AA1779" s="672"/>
      <c r="AB1779" s="673"/>
      <c r="AC1779" s="673"/>
      <c r="AD1779" s="673"/>
      <c r="AE1779" s="673"/>
      <c r="AF1779" s="673"/>
      <c r="AG1779" s="673"/>
      <c r="AH1779" s="673"/>
      <c r="AI1779" s="673"/>
      <c r="AJ1779" s="673"/>
      <c r="AK1779" s="673"/>
      <c r="AL1779" s="673"/>
      <c r="AM1779" s="673"/>
      <c r="AN1779" s="673"/>
      <c r="AO1779" s="673"/>
      <c r="AP1779" s="673"/>
      <c r="AQ1779" s="673"/>
      <c r="AR1779" s="673"/>
      <c r="AS1779" s="673"/>
    </row>
    <row r="1780">
      <c r="A1780" s="653"/>
      <c r="B1780" s="654"/>
      <c r="C1780" s="655"/>
      <c r="D1780" s="656"/>
      <c r="E1780" s="657"/>
      <c r="F1780" s="658"/>
      <c r="G1780" s="659"/>
      <c r="H1780" s="660"/>
      <c r="I1780" s="659"/>
      <c r="J1780" s="661"/>
      <c r="K1780" s="658"/>
      <c r="L1780" s="662"/>
      <c r="M1780" s="663"/>
      <c r="N1780" s="664"/>
      <c r="O1780" s="665"/>
      <c r="P1780" s="666"/>
      <c r="Q1780" s="667"/>
      <c r="R1780" s="668"/>
      <c r="S1780" s="665"/>
      <c r="T1780" s="669"/>
      <c r="U1780" s="669"/>
      <c r="V1780" s="665"/>
      <c r="W1780" s="670"/>
      <c r="X1780" s="670"/>
      <c r="Y1780" s="671"/>
      <c r="Z1780" s="671"/>
      <c r="AA1780" s="672"/>
      <c r="AB1780" s="673"/>
      <c r="AC1780" s="673"/>
      <c r="AD1780" s="673"/>
      <c r="AE1780" s="673"/>
      <c r="AF1780" s="673"/>
      <c r="AG1780" s="673"/>
      <c r="AH1780" s="673"/>
      <c r="AI1780" s="673"/>
      <c r="AJ1780" s="673"/>
      <c r="AK1780" s="673"/>
      <c r="AL1780" s="673"/>
      <c r="AM1780" s="673"/>
      <c r="AN1780" s="673"/>
      <c r="AO1780" s="673"/>
      <c r="AP1780" s="673"/>
      <c r="AQ1780" s="673"/>
      <c r="AR1780" s="673"/>
      <c r="AS1780" s="673"/>
    </row>
    <row r="1781">
      <c r="A1781" s="653"/>
      <c r="B1781" s="654"/>
      <c r="C1781" s="655"/>
      <c r="D1781" s="656"/>
      <c r="E1781" s="657"/>
      <c r="F1781" s="658"/>
      <c r="G1781" s="659"/>
      <c r="H1781" s="660"/>
      <c r="I1781" s="659"/>
      <c r="J1781" s="661"/>
      <c r="K1781" s="658"/>
      <c r="L1781" s="662"/>
      <c r="M1781" s="663"/>
      <c r="N1781" s="664"/>
      <c r="O1781" s="665"/>
      <c r="P1781" s="666"/>
      <c r="Q1781" s="667"/>
      <c r="R1781" s="668"/>
      <c r="S1781" s="665"/>
      <c r="T1781" s="669"/>
      <c r="U1781" s="669"/>
      <c r="V1781" s="665"/>
      <c r="W1781" s="670"/>
      <c r="X1781" s="670"/>
      <c r="Y1781" s="671"/>
      <c r="Z1781" s="671"/>
      <c r="AA1781" s="672"/>
      <c r="AB1781" s="673"/>
      <c r="AC1781" s="673"/>
      <c r="AD1781" s="673"/>
      <c r="AE1781" s="673"/>
      <c r="AF1781" s="673"/>
      <c r="AG1781" s="673"/>
      <c r="AH1781" s="673"/>
      <c r="AI1781" s="673"/>
      <c r="AJ1781" s="673"/>
      <c r="AK1781" s="673"/>
      <c r="AL1781" s="673"/>
      <c r="AM1781" s="673"/>
      <c r="AN1781" s="673"/>
      <c r="AO1781" s="673"/>
      <c r="AP1781" s="673"/>
      <c r="AQ1781" s="673"/>
      <c r="AR1781" s="673"/>
      <c r="AS1781" s="673"/>
    </row>
    <row r="1782">
      <c r="A1782" s="653"/>
      <c r="B1782" s="654"/>
      <c r="C1782" s="655"/>
      <c r="D1782" s="656"/>
      <c r="E1782" s="657"/>
      <c r="F1782" s="658"/>
      <c r="G1782" s="659"/>
      <c r="H1782" s="660"/>
      <c r="I1782" s="659"/>
      <c r="J1782" s="661"/>
      <c r="K1782" s="658"/>
      <c r="L1782" s="662"/>
      <c r="M1782" s="663"/>
      <c r="N1782" s="664"/>
      <c r="O1782" s="665"/>
      <c r="P1782" s="666"/>
      <c r="Q1782" s="667"/>
      <c r="R1782" s="668"/>
      <c r="S1782" s="665"/>
      <c r="T1782" s="669"/>
      <c r="U1782" s="669"/>
      <c r="V1782" s="665"/>
      <c r="W1782" s="670"/>
      <c r="X1782" s="670"/>
      <c r="Y1782" s="671"/>
      <c r="Z1782" s="671"/>
      <c r="AA1782" s="672"/>
      <c r="AB1782" s="673"/>
      <c r="AC1782" s="673"/>
      <c r="AD1782" s="673"/>
      <c r="AE1782" s="673"/>
      <c r="AF1782" s="673"/>
      <c r="AG1782" s="673"/>
      <c r="AH1782" s="673"/>
      <c r="AI1782" s="673"/>
      <c r="AJ1782" s="673"/>
      <c r="AK1782" s="673"/>
      <c r="AL1782" s="673"/>
      <c r="AM1782" s="673"/>
      <c r="AN1782" s="673"/>
      <c r="AO1782" s="673"/>
      <c r="AP1782" s="673"/>
      <c r="AQ1782" s="673"/>
      <c r="AR1782" s="673"/>
      <c r="AS1782" s="673"/>
    </row>
    <row r="1783">
      <c r="A1783" s="653"/>
      <c r="B1783" s="654"/>
      <c r="C1783" s="655"/>
      <c r="D1783" s="656"/>
      <c r="E1783" s="657"/>
      <c r="F1783" s="658"/>
      <c r="G1783" s="659"/>
      <c r="H1783" s="660"/>
      <c r="I1783" s="659"/>
      <c r="J1783" s="661"/>
      <c r="K1783" s="658"/>
      <c r="L1783" s="662"/>
      <c r="M1783" s="663"/>
      <c r="N1783" s="664"/>
      <c r="O1783" s="665"/>
      <c r="P1783" s="666"/>
      <c r="Q1783" s="667"/>
      <c r="R1783" s="668"/>
      <c r="S1783" s="665"/>
      <c r="T1783" s="669"/>
      <c r="U1783" s="669"/>
      <c r="V1783" s="665"/>
      <c r="W1783" s="670"/>
      <c r="X1783" s="670"/>
      <c r="Y1783" s="671"/>
      <c r="Z1783" s="671"/>
      <c r="AA1783" s="672"/>
      <c r="AB1783" s="673"/>
      <c r="AC1783" s="673"/>
      <c r="AD1783" s="673"/>
      <c r="AE1783" s="673"/>
      <c r="AF1783" s="673"/>
      <c r="AG1783" s="673"/>
      <c r="AH1783" s="673"/>
      <c r="AI1783" s="673"/>
      <c r="AJ1783" s="673"/>
      <c r="AK1783" s="673"/>
      <c r="AL1783" s="673"/>
      <c r="AM1783" s="673"/>
      <c r="AN1783" s="673"/>
      <c r="AO1783" s="673"/>
      <c r="AP1783" s="673"/>
      <c r="AQ1783" s="673"/>
      <c r="AR1783" s="673"/>
      <c r="AS1783" s="673"/>
    </row>
    <row r="1784">
      <c r="A1784" s="653"/>
      <c r="B1784" s="654"/>
      <c r="C1784" s="655"/>
      <c r="D1784" s="656"/>
      <c r="E1784" s="657"/>
      <c r="F1784" s="658"/>
      <c r="G1784" s="659"/>
      <c r="H1784" s="660"/>
      <c r="I1784" s="659"/>
      <c r="J1784" s="661"/>
      <c r="K1784" s="658"/>
      <c r="L1784" s="662"/>
      <c r="M1784" s="663"/>
      <c r="N1784" s="664"/>
      <c r="O1784" s="665"/>
      <c r="P1784" s="666"/>
      <c r="Q1784" s="667"/>
      <c r="R1784" s="668"/>
      <c r="S1784" s="665"/>
      <c r="T1784" s="669"/>
      <c r="U1784" s="669"/>
      <c r="V1784" s="665"/>
      <c r="W1784" s="670"/>
      <c r="X1784" s="670"/>
      <c r="Y1784" s="671"/>
      <c r="Z1784" s="671"/>
      <c r="AA1784" s="672"/>
      <c r="AB1784" s="673"/>
      <c r="AC1784" s="673"/>
      <c r="AD1784" s="673"/>
      <c r="AE1784" s="673"/>
      <c r="AF1784" s="673"/>
      <c r="AG1784" s="673"/>
      <c r="AH1784" s="673"/>
      <c r="AI1784" s="673"/>
      <c r="AJ1784" s="673"/>
      <c r="AK1784" s="673"/>
      <c r="AL1784" s="673"/>
      <c r="AM1784" s="673"/>
      <c r="AN1784" s="673"/>
      <c r="AO1784" s="673"/>
      <c r="AP1784" s="673"/>
      <c r="AQ1784" s="673"/>
      <c r="AR1784" s="673"/>
      <c r="AS1784" s="673"/>
    </row>
    <row r="1785">
      <c r="A1785" s="653"/>
      <c r="B1785" s="654"/>
      <c r="C1785" s="655"/>
      <c r="D1785" s="656"/>
      <c r="E1785" s="657"/>
      <c r="F1785" s="658"/>
      <c r="G1785" s="659"/>
      <c r="H1785" s="660"/>
      <c r="I1785" s="659"/>
      <c r="J1785" s="661"/>
      <c r="K1785" s="658"/>
      <c r="L1785" s="662"/>
      <c r="M1785" s="663"/>
      <c r="N1785" s="664"/>
      <c r="O1785" s="665"/>
      <c r="P1785" s="666"/>
      <c r="Q1785" s="667"/>
      <c r="R1785" s="668"/>
      <c r="S1785" s="665"/>
      <c r="T1785" s="669"/>
      <c r="U1785" s="669"/>
      <c r="V1785" s="665"/>
      <c r="W1785" s="670"/>
      <c r="X1785" s="670"/>
      <c r="Y1785" s="671"/>
      <c r="Z1785" s="671"/>
      <c r="AA1785" s="672"/>
      <c r="AB1785" s="673"/>
      <c r="AC1785" s="673"/>
      <c r="AD1785" s="673"/>
      <c r="AE1785" s="673"/>
      <c r="AF1785" s="673"/>
      <c r="AG1785" s="673"/>
      <c r="AH1785" s="673"/>
      <c r="AI1785" s="673"/>
      <c r="AJ1785" s="673"/>
      <c r="AK1785" s="673"/>
      <c r="AL1785" s="673"/>
      <c r="AM1785" s="673"/>
      <c r="AN1785" s="673"/>
      <c r="AO1785" s="673"/>
      <c r="AP1785" s="673"/>
      <c r="AQ1785" s="673"/>
      <c r="AR1785" s="673"/>
      <c r="AS1785" s="673"/>
    </row>
    <row r="1786">
      <c r="A1786" s="653"/>
      <c r="B1786" s="654"/>
      <c r="C1786" s="655"/>
      <c r="D1786" s="656"/>
      <c r="E1786" s="657"/>
      <c r="F1786" s="658"/>
      <c r="G1786" s="659"/>
      <c r="H1786" s="660"/>
      <c r="I1786" s="659"/>
      <c r="J1786" s="661"/>
      <c r="K1786" s="658"/>
      <c r="L1786" s="662"/>
      <c r="M1786" s="663"/>
      <c r="N1786" s="664"/>
      <c r="O1786" s="665"/>
      <c r="P1786" s="666"/>
      <c r="Q1786" s="667"/>
      <c r="R1786" s="668"/>
      <c r="S1786" s="665"/>
      <c r="T1786" s="669"/>
      <c r="U1786" s="669"/>
      <c r="V1786" s="665"/>
      <c r="W1786" s="670"/>
      <c r="X1786" s="670"/>
      <c r="Y1786" s="671"/>
      <c r="Z1786" s="671"/>
      <c r="AA1786" s="672"/>
      <c r="AB1786" s="673"/>
      <c r="AC1786" s="673"/>
      <c r="AD1786" s="673"/>
      <c r="AE1786" s="673"/>
      <c r="AF1786" s="673"/>
      <c r="AG1786" s="673"/>
      <c r="AH1786" s="673"/>
      <c r="AI1786" s="673"/>
      <c r="AJ1786" s="673"/>
      <c r="AK1786" s="673"/>
      <c r="AL1786" s="673"/>
      <c r="AM1786" s="673"/>
      <c r="AN1786" s="673"/>
      <c r="AO1786" s="673"/>
      <c r="AP1786" s="673"/>
      <c r="AQ1786" s="673"/>
      <c r="AR1786" s="673"/>
      <c r="AS1786" s="673"/>
    </row>
    <row r="1787">
      <c r="A1787" s="653"/>
      <c r="B1787" s="654"/>
      <c r="C1787" s="655"/>
      <c r="D1787" s="656"/>
      <c r="E1787" s="657"/>
      <c r="F1787" s="658"/>
      <c r="G1787" s="659"/>
      <c r="H1787" s="660"/>
      <c r="I1787" s="659"/>
      <c r="J1787" s="661"/>
      <c r="K1787" s="658"/>
      <c r="L1787" s="662"/>
      <c r="M1787" s="663"/>
      <c r="N1787" s="664"/>
      <c r="O1787" s="665"/>
      <c r="P1787" s="666"/>
      <c r="Q1787" s="667"/>
      <c r="R1787" s="668"/>
      <c r="S1787" s="665"/>
      <c r="T1787" s="669"/>
      <c r="U1787" s="669"/>
      <c r="V1787" s="665"/>
      <c r="W1787" s="670"/>
      <c r="X1787" s="670"/>
      <c r="Y1787" s="671"/>
      <c r="Z1787" s="671"/>
      <c r="AA1787" s="672"/>
      <c r="AB1787" s="673"/>
      <c r="AC1787" s="673"/>
      <c r="AD1787" s="673"/>
      <c r="AE1787" s="673"/>
      <c r="AF1787" s="673"/>
      <c r="AG1787" s="673"/>
      <c r="AH1787" s="673"/>
      <c r="AI1787" s="673"/>
      <c r="AJ1787" s="673"/>
      <c r="AK1787" s="673"/>
      <c r="AL1787" s="673"/>
      <c r="AM1787" s="673"/>
      <c r="AN1787" s="673"/>
      <c r="AO1787" s="673"/>
      <c r="AP1787" s="673"/>
      <c r="AQ1787" s="673"/>
      <c r="AR1787" s="673"/>
      <c r="AS1787" s="673"/>
    </row>
    <row r="1788">
      <c r="A1788" s="653"/>
      <c r="B1788" s="654"/>
      <c r="C1788" s="655"/>
      <c r="D1788" s="656"/>
      <c r="E1788" s="657"/>
      <c r="F1788" s="658"/>
      <c r="G1788" s="659"/>
      <c r="H1788" s="660"/>
      <c r="I1788" s="659"/>
      <c r="J1788" s="661"/>
      <c r="K1788" s="658"/>
      <c r="L1788" s="662"/>
      <c r="M1788" s="663"/>
      <c r="N1788" s="664"/>
      <c r="O1788" s="665"/>
      <c r="P1788" s="666"/>
      <c r="Q1788" s="667"/>
      <c r="R1788" s="668"/>
      <c r="S1788" s="665"/>
      <c r="T1788" s="669"/>
      <c r="U1788" s="669"/>
      <c r="V1788" s="665"/>
      <c r="W1788" s="670"/>
      <c r="X1788" s="670"/>
      <c r="Y1788" s="671"/>
      <c r="Z1788" s="671"/>
      <c r="AA1788" s="672"/>
      <c r="AB1788" s="673"/>
      <c r="AC1788" s="673"/>
      <c r="AD1788" s="673"/>
      <c r="AE1788" s="673"/>
      <c r="AF1788" s="673"/>
      <c r="AG1788" s="673"/>
      <c r="AH1788" s="673"/>
      <c r="AI1788" s="673"/>
      <c r="AJ1788" s="673"/>
      <c r="AK1788" s="673"/>
      <c r="AL1788" s="673"/>
      <c r="AM1788" s="673"/>
      <c r="AN1788" s="673"/>
      <c r="AO1788" s="673"/>
      <c r="AP1788" s="673"/>
      <c r="AQ1788" s="673"/>
      <c r="AR1788" s="673"/>
      <c r="AS1788" s="673"/>
    </row>
    <row r="1789">
      <c r="A1789" s="653"/>
      <c r="B1789" s="654"/>
      <c r="C1789" s="655"/>
      <c r="D1789" s="656"/>
      <c r="E1789" s="657"/>
      <c r="F1789" s="658"/>
      <c r="G1789" s="659"/>
      <c r="H1789" s="660"/>
      <c r="I1789" s="659"/>
      <c r="J1789" s="661"/>
      <c r="K1789" s="658"/>
      <c r="L1789" s="662"/>
      <c r="M1789" s="663"/>
      <c r="N1789" s="664"/>
      <c r="O1789" s="665"/>
      <c r="P1789" s="666"/>
      <c r="Q1789" s="667"/>
      <c r="R1789" s="668"/>
      <c r="S1789" s="665"/>
      <c r="T1789" s="669"/>
      <c r="U1789" s="669"/>
      <c r="V1789" s="665"/>
      <c r="W1789" s="670"/>
      <c r="X1789" s="670"/>
      <c r="Y1789" s="671"/>
      <c r="Z1789" s="671"/>
      <c r="AA1789" s="672"/>
      <c r="AB1789" s="673"/>
      <c r="AC1789" s="673"/>
      <c r="AD1789" s="673"/>
      <c r="AE1789" s="673"/>
      <c r="AF1789" s="673"/>
      <c r="AG1789" s="673"/>
      <c r="AH1789" s="673"/>
      <c r="AI1789" s="673"/>
      <c r="AJ1789" s="673"/>
      <c r="AK1789" s="673"/>
      <c r="AL1789" s="673"/>
      <c r="AM1789" s="673"/>
      <c r="AN1789" s="673"/>
      <c r="AO1789" s="673"/>
      <c r="AP1789" s="673"/>
      <c r="AQ1789" s="673"/>
      <c r="AR1789" s="673"/>
      <c r="AS1789" s="673"/>
    </row>
    <row r="1790">
      <c r="A1790" s="653"/>
      <c r="B1790" s="654"/>
      <c r="C1790" s="655"/>
      <c r="D1790" s="656"/>
      <c r="E1790" s="657"/>
      <c r="F1790" s="658"/>
      <c r="G1790" s="659"/>
      <c r="H1790" s="660"/>
      <c r="I1790" s="659"/>
      <c r="J1790" s="661"/>
      <c r="K1790" s="658"/>
      <c r="L1790" s="662"/>
      <c r="M1790" s="663"/>
      <c r="N1790" s="664"/>
      <c r="O1790" s="665"/>
      <c r="P1790" s="666"/>
      <c r="Q1790" s="667"/>
      <c r="R1790" s="668"/>
      <c r="S1790" s="665"/>
      <c r="T1790" s="669"/>
      <c r="U1790" s="669"/>
      <c r="V1790" s="665"/>
      <c r="W1790" s="670"/>
      <c r="X1790" s="670"/>
      <c r="Y1790" s="671"/>
      <c r="Z1790" s="671"/>
      <c r="AA1790" s="672"/>
      <c r="AB1790" s="673"/>
      <c r="AC1790" s="673"/>
      <c r="AD1790" s="673"/>
      <c r="AE1790" s="673"/>
      <c r="AF1790" s="673"/>
      <c r="AG1790" s="673"/>
      <c r="AH1790" s="673"/>
      <c r="AI1790" s="673"/>
      <c r="AJ1790" s="673"/>
      <c r="AK1790" s="673"/>
      <c r="AL1790" s="673"/>
      <c r="AM1790" s="673"/>
      <c r="AN1790" s="673"/>
      <c r="AO1790" s="673"/>
      <c r="AP1790" s="673"/>
      <c r="AQ1790" s="673"/>
      <c r="AR1790" s="673"/>
      <c r="AS1790" s="673"/>
    </row>
    <row r="1791">
      <c r="A1791" s="653"/>
      <c r="B1791" s="654"/>
      <c r="C1791" s="655"/>
      <c r="D1791" s="656"/>
      <c r="E1791" s="657"/>
      <c r="F1791" s="658"/>
      <c r="G1791" s="659"/>
      <c r="H1791" s="660"/>
      <c r="I1791" s="659"/>
      <c r="J1791" s="661"/>
      <c r="K1791" s="658"/>
      <c r="L1791" s="662"/>
      <c r="M1791" s="663"/>
      <c r="N1791" s="664"/>
      <c r="O1791" s="665"/>
      <c r="P1791" s="666"/>
      <c r="Q1791" s="667"/>
      <c r="R1791" s="668"/>
      <c r="S1791" s="665"/>
      <c r="T1791" s="669"/>
      <c r="U1791" s="669"/>
      <c r="V1791" s="665"/>
      <c r="W1791" s="670"/>
      <c r="X1791" s="670"/>
      <c r="Y1791" s="671"/>
      <c r="Z1791" s="671"/>
      <c r="AA1791" s="672"/>
      <c r="AB1791" s="673"/>
      <c r="AC1791" s="673"/>
      <c r="AD1791" s="673"/>
      <c r="AE1791" s="673"/>
      <c r="AF1791" s="673"/>
      <c r="AG1791" s="673"/>
      <c r="AH1791" s="673"/>
      <c r="AI1791" s="673"/>
      <c r="AJ1791" s="673"/>
      <c r="AK1791" s="673"/>
      <c r="AL1791" s="673"/>
      <c r="AM1791" s="673"/>
      <c r="AN1791" s="673"/>
      <c r="AO1791" s="673"/>
      <c r="AP1791" s="673"/>
      <c r="AQ1791" s="673"/>
      <c r="AR1791" s="673"/>
      <c r="AS1791" s="673"/>
    </row>
    <row r="1792">
      <c r="A1792" s="653"/>
      <c r="B1792" s="654"/>
      <c r="C1792" s="655"/>
      <c r="D1792" s="656"/>
      <c r="E1792" s="657"/>
      <c r="F1792" s="658"/>
      <c r="G1792" s="659"/>
      <c r="H1792" s="660"/>
      <c r="I1792" s="659"/>
      <c r="J1792" s="661"/>
      <c r="K1792" s="658"/>
      <c r="L1792" s="662"/>
      <c r="M1792" s="663"/>
      <c r="N1792" s="664"/>
      <c r="O1792" s="665"/>
      <c r="P1792" s="666"/>
      <c r="Q1792" s="667"/>
      <c r="R1792" s="668"/>
      <c r="S1792" s="665"/>
      <c r="T1792" s="669"/>
      <c r="U1792" s="669"/>
      <c r="V1792" s="665"/>
      <c r="W1792" s="670"/>
      <c r="X1792" s="670"/>
      <c r="Y1792" s="671"/>
      <c r="Z1792" s="671"/>
      <c r="AA1792" s="672"/>
      <c r="AB1792" s="673"/>
      <c r="AC1792" s="673"/>
      <c r="AD1792" s="673"/>
      <c r="AE1792" s="673"/>
      <c r="AF1792" s="673"/>
      <c r="AG1792" s="673"/>
      <c r="AH1792" s="673"/>
      <c r="AI1792" s="673"/>
      <c r="AJ1792" s="673"/>
      <c r="AK1792" s="673"/>
      <c r="AL1792" s="673"/>
      <c r="AM1792" s="673"/>
      <c r="AN1792" s="673"/>
      <c r="AO1792" s="673"/>
      <c r="AP1792" s="673"/>
      <c r="AQ1792" s="673"/>
      <c r="AR1792" s="673"/>
      <c r="AS1792" s="673"/>
    </row>
    <row r="1793">
      <c r="A1793" s="653"/>
      <c r="B1793" s="654"/>
      <c r="C1793" s="655"/>
      <c r="D1793" s="656"/>
      <c r="E1793" s="657"/>
      <c r="F1793" s="658"/>
      <c r="G1793" s="659"/>
      <c r="H1793" s="660"/>
      <c r="I1793" s="659"/>
      <c r="J1793" s="661"/>
      <c r="K1793" s="658"/>
      <c r="L1793" s="662"/>
      <c r="M1793" s="663"/>
      <c r="N1793" s="664"/>
      <c r="O1793" s="665"/>
      <c r="P1793" s="666"/>
      <c r="Q1793" s="667"/>
      <c r="R1793" s="668"/>
      <c r="S1793" s="665"/>
      <c r="T1793" s="669"/>
      <c r="U1793" s="669"/>
      <c r="V1793" s="665"/>
      <c r="W1793" s="670"/>
      <c r="X1793" s="670"/>
      <c r="Y1793" s="671"/>
      <c r="Z1793" s="671"/>
      <c r="AA1793" s="672"/>
      <c r="AB1793" s="673"/>
      <c r="AC1793" s="673"/>
      <c r="AD1793" s="673"/>
      <c r="AE1793" s="673"/>
      <c r="AF1793" s="673"/>
      <c r="AG1793" s="673"/>
      <c r="AH1793" s="673"/>
      <c r="AI1793" s="673"/>
      <c r="AJ1793" s="673"/>
      <c r="AK1793" s="673"/>
      <c r="AL1793" s="673"/>
      <c r="AM1793" s="673"/>
      <c r="AN1793" s="673"/>
      <c r="AO1793" s="673"/>
      <c r="AP1793" s="673"/>
      <c r="AQ1793" s="673"/>
      <c r="AR1793" s="673"/>
      <c r="AS1793" s="673"/>
    </row>
    <row r="1794">
      <c r="A1794" s="653"/>
      <c r="B1794" s="654"/>
      <c r="C1794" s="655"/>
      <c r="D1794" s="656"/>
      <c r="E1794" s="657"/>
      <c r="F1794" s="658"/>
      <c r="G1794" s="659"/>
      <c r="H1794" s="660"/>
      <c r="I1794" s="659"/>
      <c r="J1794" s="661"/>
      <c r="K1794" s="658"/>
      <c r="L1794" s="662"/>
      <c r="M1794" s="663"/>
      <c r="N1794" s="664"/>
      <c r="O1794" s="665"/>
      <c r="P1794" s="666"/>
      <c r="Q1794" s="667"/>
      <c r="R1794" s="668"/>
      <c r="S1794" s="665"/>
      <c r="T1794" s="669"/>
      <c r="U1794" s="669"/>
      <c r="V1794" s="665"/>
      <c r="W1794" s="670"/>
      <c r="X1794" s="670"/>
      <c r="Y1794" s="671"/>
      <c r="Z1794" s="671"/>
      <c r="AA1794" s="672"/>
      <c r="AB1794" s="673"/>
      <c r="AC1794" s="673"/>
      <c r="AD1794" s="673"/>
      <c r="AE1794" s="673"/>
      <c r="AF1794" s="673"/>
      <c r="AG1794" s="673"/>
      <c r="AH1794" s="673"/>
      <c r="AI1794" s="673"/>
      <c r="AJ1794" s="673"/>
      <c r="AK1794" s="673"/>
      <c r="AL1794" s="673"/>
      <c r="AM1794" s="673"/>
      <c r="AN1794" s="673"/>
      <c r="AO1794" s="673"/>
      <c r="AP1794" s="673"/>
      <c r="AQ1794" s="673"/>
      <c r="AR1794" s="673"/>
      <c r="AS1794" s="673"/>
    </row>
    <row r="1795">
      <c r="A1795" s="653"/>
      <c r="B1795" s="654"/>
      <c r="C1795" s="655"/>
      <c r="D1795" s="656"/>
      <c r="E1795" s="657"/>
      <c r="F1795" s="658"/>
      <c r="G1795" s="659"/>
      <c r="H1795" s="660"/>
      <c r="I1795" s="659"/>
      <c r="J1795" s="661"/>
      <c r="K1795" s="658"/>
      <c r="L1795" s="662"/>
      <c r="M1795" s="663"/>
      <c r="N1795" s="664"/>
      <c r="O1795" s="665"/>
      <c r="P1795" s="666"/>
      <c r="Q1795" s="667"/>
      <c r="R1795" s="668"/>
      <c r="S1795" s="665"/>
      <c r="T1795" s="669"/>
      <c r="U1795" s="669"/>
      <c r="V1795" s="665"/>
      <c r="W1795" s="670"/>
      <c r="X1795" s="670"/>
      <c r="Y1795" s="671"/>
      <c r="Z1795" s="671"/>
      <c r="AA1795" s="672"/>
      <c r="AB1795" s="673"/>
      <c r="AC1795" s="673"/>
      <c r="AD1795" s="673"/>
      <c r="AE1795" s="673"/>
      <c r="AF1795" s="673"/>
      <c r="AG1795" s="673"/>
      <c r="AH1795" s="673"/>
      <c r="AI1795" s="673"/>
      <c r="AJ1795" s="673"/>
      <c r="AK1795" s="673"/>
      <c r="AL1795" s="673"/>
      <c r="AM1795" s="673"/>
      <c r="AN1795" s="673"/>
      <c r="AO1795" s="673"/>
      <c r="AP1795" s="673"/>
      <c r="AQ1795" s="673"/>
      <c r="AR1795" s="673"/>
      <c r="AS1795" s="673"/>
    </row>
    <row r="1796">
      <c r="A1796" s="653"/>
      <c r="B1796" s="654"/>
      <c r="C1796" s="655"/>
      <c r="D1796" s="656"/>
      <c r="E1796" s="657"/>
      <c r="F1796" s="658"/>
      <c r="G1796" s="659"/>
      <c r="H1796" s="660"/>
      <c r="I1796" s="659"/>
      <c r="J1796" s="661"/>
      <c r="K1796" s="658"/>
      <c r="L1796" s="662"/>
      <c r="M1796" s="663"/>
      <c r="N1796" s="664"/>
      <c r="O1796" s="665"/>
      <c r="P1796" s="666"/>
      <c r="Q1796" s="667"/>
      <c r="R1796" s="668"/>
      <c r="S1796" s="665"/>
      <c r="T1796" s="669"/>
      <c r="U1796" s="669"/>
      <c r="V1796" s="665"/>
      <c r="W1796" s="670"/>
      <c r="X1796" s="670"/>
      <c r="Y1796" s="671"/>
      <c r="Z1796" s="671"/>
      <c r="AA1796" s="672"/>
      <c r="AB1796" s="673"/>
      <c r="AC1796" s="673"/>
      <c r="AD1796" s="673"/>
      <c r="AE1796" s="673"/>
      <c r="AF1796" s="673"/>
      <c r="AG1796" s="673"/>
      <c r="AH1796" s="673"/>
      <c r="AI1796" s="673"/>
      <c r="AJ1796" s="673"/>
      <c r="AK1796" s="673"/>
      <c r="AL1796" s="673"/>
      <c r="AM1796" s="673"/>
      <c r="AN1796" s="673"/>
      <c r="AO1796" s="673"/>
      <c r="AP1796" s="673"/>
      <c r="AQ1796" s="673"/>
      <c r="AR1796" s="673"/>
      <c r="AS1796" s="673"/>
    </row>
    <row r="1797">
      <c r="A1797" s="653"/>
      <c r="B1797" s="654"/>
      <c r="C1797" s="655"/>
      <c r="D1797" s="656"/>
      <c r="E1797" s="657"/>
      <c r="F1797" s="658"/>
      <c r="G1797" s="659"/>
      <c r="H1797" s="660"/>
      <c r="I1797" s="659"/>
      <c r="J1797" s="661"/>
      <c r="K1797" s="658"/>
      <c r="L1797" s="662"/>
      <c r="M1797" s="663"/>
      <c r="N1797" s="664"/>
      <c r="O1797" s="665"/>
      <c r="P1797" s="666"/>
      <c r="Q1797" s="667"/>
      <c r="R1797" s="668"/>
      <c r="S1797" s="665"/>
      <c r="T1797" s="669"/>
      <c r="U1797" s="669"/>
      <c r="V1797" s="665"/>
      <c r="W1797" s="670"/>
      <c r="X1797" s="670"/>
      <c r="Y1797" s="671"/>
      <c r="Z1797" s="671"/>
      <c r="AA1797" s="672"/>
      <c r="AB1797" s="673"/>
      <c r="AC1797" s="673"/>
      <c r="AD1797" s="673"/>
      <c r="AE1797" s="673"/>
      <c r="AF1797" s="673"/>
      <c r="AG1797" s="673"/>
      <c r="AH1797" s="673"/>
      <c r="AI1797" s="673"/>
      <c r="AJ1797" s="673"/>
      <c r="AK1797" s="673"/>
      <c r="AL1797" s="673"/>
      <c r="AM1797" s="673"/>
      <c r="AN1797" s="673"/>
      <c r="AO1797" s="673"/>
      <c r="AP1797" s="673"/>
      <c r="AQ1797" s="673"/>
      <c r="AR1797" s="673"/>
      <c r="AS1797" s="673"/>
    </row>
    <row r="1798">
      <c r="A1798" s="653"/>
      <c r="B1798" s="654"/>
      <c r="C1798" s="655"/>
      <c r="D1798" s="656"/>
      <c r="E1798" s="657"/>
      <c r="F1798" s="658"/>
      <c r="G1798" s="659"/>
      <c r="H1798" s="660"/>
      <c r="I1798" s="659"/>
      <c r="J1798" s="661"/>
      <c r="K1798" s="658"/>
      <c r="L1798" s="662"/>
      <c r="M1798" s="663"/>
      <c r="N1798" s="664"/>
      <c r="O1798" s="665"/>
      <c r="P1798" s="666"/>
      <c r="Q1798" s="667"/>
      <c r="R1798" s="668"/>
      <c r="S1798" s="665"/>
      <c r="T1798" s="669"/>
      <c r="U1798" s="669"/>
      <c r="V1798" s="665"/>
      <c r="W1798" s="670"/>
      <c r="X1798" s="670"/>
      <c r="Y1798" s="671"/>
      <c r="Z1798" s="671"/>
      <c r="AA1798" s="672"/>
      <c r="AB1798" s="673"/>
      <c r="AC1798" s="673"/>
      <c r="AD1798" s="673"/>
      <c r="AE1798" s="673"/>
      <c r="AF1798" s="673"/>
      <c r="AG1798" s="673"/>
      <c r="AH1798" s="673"/>
      <c r="AI1798" s="673"/>
      <c r="AJ1798" s="673"/>
      <c r="AK1798" s="673"/>
      <c r="AL1798" s="673"/>
      <c r="AM1798" s="673"/>
      <c r="AN1798" s="673"/>
      <c r="AO1798" s="673"/>
      <c r="AP1798" s="673"/>
      <c r="AQ1798" s="673"/>
      <c r="AR1798" s="673"/>
      <c r="AS1798" s="673"/>
    </row>
    <row r="1799">
      <c r="A1799" s="653"/>
      <c r="B1799" s="654"/>
      <c r="C1799" s="655"/>
      <c r="D1799" s="656"/>
      <c r="E1799" s="657"/>
      <c r="F1799" s="658"/>
      <c r="G1799" s="659"/>
      <c r="H1799" s="660"/>
      <c r="I1799" s="659"/>
      <c r="J1799" s="661"/>
      <c r="K1799" s="658"/>
      <c r="L1799" s="662"/>
      <c r="M1799" s="663"/>
      <c r="N1799" s="664"/>
      <c r="O1799" s="665"/>
      <c r="P1799" s="666"/>
      <c r="Q1799" s="667"/>
      <c r="R1799" s="668"/>
      <c r="S1799" s="665"/>
      <c r="T1799" s="669"/>
      <c r="U1799" s="669"/>
      <c r="V1799" s="665"/>
      <c r="W1799" s="670"/>
      <c r="X1799" s="670"/>
      <c r="Y1799" s="671"/>
      <c r="Z1799" s="671"/>
      <c r="AA1799" s="672"/>
      <c r="AB1799" s="673"/>
      <c r="AC1799" s="673"/>
      <c r="AD1799" s="673"/>
      <c r="AE1799" s="673"/>
      <c r="AF1799" s="673"/>
      <c r="AG1799" s="673"/>
      <c r="AH1799" s="673"/>
      <c r="AI1799" s="673"/>
      <c r="AJ1799" s="673"/>
      <c r="AK1799" s="673"/>
      <c r="AL1799" s="673"/>
      <c r="AM1799" s="673"/>
      <c r="AN1799" s="673"/>
      <c r="AO1799" s="673"/>
      <c r="AP1799" s="673"/>
      <c r="AQ1799" s="673"/>
      <c r="AR1799" s="673"/>
      <c r="AS1799" s="673"/>
    </row>
    <row r="1800">
      <c r="A1800" s="653"/>
      <c r="B1800" s="654"/>
      <c r="C1800" s="655"/>
      <c r="D1800" s="656"/>
      <c r="E1800" s="657"/>
      <c r="F1800" s="658"/>
      <c r="G1800" s="659"/>
      <c r="H1800" s="660"/>
      <c r="I1800" s="659"/>
      <c r="J1800" s="661"/>
      <c r="K1800" s="658"/>
      <c r="L1800" s="662"/>
      <c r="M1800" s="663"/>
      <c r="N1800" s="664"/>
      <c r="O1800" s="665"/>
      <c r="P1800" s="666"/>
      <c r="Q1800" s="667"/>
      <c r="R1800" s="668"/>
      <c r="S1800" s="665"/>
      <c r="T1800" s="669"/>
      <c r="U1800" s="669"/>
      <c r="V1800" s="665"/>
      <c r="W1800" s="670"/>
      <c r="X1800" s="670"/>
      <c r="Y1800" s="671"/>
      <c r="Z1800" s="671"/>
      <c r="AA1800" s="672"/>
      <c r="AB1800" s="673"/>
      <c r="AC1800" s="673"/>
      <c r="AD1800" s="673"/>
      <c r="AE1800" s="673"/>
      <c r="AF1800" s="673"/>
      <c r="AG1800" s="673"/>
      <c r="AH1800" s="673"/>
      <c r="AI1800" s="673"/>
      <c r="AJ1800" s="673"/>
      <c r="AK1800" s="673"/>
      <c r="AL1800" s="673"/>
      <c r="AM1800" s="673"/>
      <c r="AN1800" s="673"/>
      <c r="AO1800" s="673"/>
      <c r="AP1800" s="673"/>
      <c r="AQ1800" s="673"/>
      <c r="AR1800" s="673"/>
      <c r="AS1800" s="673"/>
    </row>
    <row r="1801">
      <c r="A1801" s="653"/>
      <c r="B1801" s="654"/>
      <c r="C1801" s="655"/>
      <c r="D1801" s="656"/>
      <c r="E1801" s="657"/>
      <c r="F1801" s="658"/>
      <c r="G1801" s="659"/>
      <c r="H1801" s="660"/>
      <c r="I1801" s="659"/>
      <c r="J1801" s="661"/>
      <c r="K1801" s="658"/>
      <c r="L1801" s="662"/>
      <c r="M1801" s="663"/>
      <c r="N1801" s="664"/>
      <c r="O1801" s="665"/>
      <c r="P1801" s="666"/>
      <c r="Q1801" s="667"/>
      <c r="R1801" s="668"/>
      <c r="S1801" s="665"/>
      <c r="T1801" s="669"/>
      <c r="U1801" s="669"/>
      <c r="V1801" s="665"/>
      <c r="W1801" s="670"/>
      <c r="X1801" s="670"/>
      <c r="Y1801" s="671"/>
      <c r="Z1801" s="671"/>
      <c r="AA1801" s="672"/>
      <c r="AB1801" s="673"/>
      <c r="AC1801" s="673"/>
      <c r="AD1801" s="673"/>
      <c r="AE1801" s="673"/>
      <c r="AF1801" s="673"/>
      <c r="AG1801" s="673"/>
      <c r="AH1801" s="673"/>
      <c r="AI1801" s="673"/>
      <c r="AJ1801" s="673"/>
      <c r="AK1801" s="673"/>
      <c r="AL1801" s="673"/>
      <c r="AM1801" s="673"/>
      <c r="AN1801" s="673"/>
      <c r="AO1801" s="673"/>
      <c r="AP1801" s="673"/>
      <c r="AQ1801" s="673"/>
      <c r="AR1801" s="673"/>
      <c r="AS1801" s="673"/>
    </row>
    <row r="1802">
      <c r="A1802" s="653"/>
      <c r="B1802" s="654"/>
      <c r="C1802" s="655"/>
      <c r="D1802" s="656"/>
      <c r="E1802" s="657"/>
      <c r="F1802" s="658"/>
      <c r="G1802" s="659"/>
      <c r="H1802" s="660"/>
      <c r="I1802" s="659"/>
      <c r="J1802" s="661"/>
      <c r="K1802" s="658"/>
      <c r="L1802" s="662"/>
      <c r="M1802" s="663"/>
      <c r="N1802" s="664"/>
      <c r="O1802" s="665"/>
      <c r="P1802" s="666"/>
      <c r="Q1802" s="667"/>
      <c r="R1802" s="668"/>
      <c r="S1802" s="665"/>
      <c r="T1802" s="669"/>
      <c r="U1802" s="669"/>
      <c r="V1802" s="665"/>
      <c r="W1802" s="670"/>
      <c r="X1802" s="670"/>
      <c r="Y1802" s="671"/>
      <c r="Z1802" s="671"/>
      <c r="AA1802" s="672"/>
      <c r="AB1802" s="673"/>
      <c r="AC1802" s="673"/>
      <c r="AD1802" s="673"/>
      <c r="AE1802" s="673"/>
      <c r="AF1802" s="673"/>
      <c r="AG1802" s="673"/>
      <c r="AH1802" s="673"/>
      <c r="AI1802" s="673"/>
      <c r="AJ1802" s="673"/>
      <c r="AK1802" s="673"/>
      <c r="AL1802" s="673"/>
      <c r="AM1802" s="673"/>
      <c r="AN1802" s="673"/>
      <c r="AO1802" s="673"/>
      <c r="AP1802" s="673"/>
      <c r="AQ1802" s="673"/>
      <c r="AR1802" s="673"/>
      <c r="AS1802" s="673"/>
    </row>
    <row r="1803">
      <c r="A1803" s="653"/>
      <c r="B1803" s="654"/>
      <c r="C1803" s="655"/>
      <c r="D1803" s="656"/>
      <c r="E1803" s="657"/>
      <c r="F1803" s="658"/>
      <c r="G1803" s="659"/>
      <c r="H1803" s="660"/>
      <c r="I1803" s="659"/>
      <c r="J1803" s="661"/>
      <c r="K1803" s="658"/>
      <c r="L1803" s="662"/>
      <c r="M1803" s="663"/>
      <c r="N1803" s="664"/>
      <c r="O1803" s="665"/>
      <c r="P1803" s="666"/>
      <c r="Q1803" s="667"/>
      <c r="R1803" s="668"/>
      <c r="S1803" s="665"/>
      <c r="T1803" s="669"/>
      <c r="U1803" s="669"/>
      <c r="V1803" s="665"/>
      <c r="W1803" s="670"/>
      <c r="X1803" s="670"/>
      <c r="Y1803" s="671"/>
      <c r="Z1803" s="671"/>
      <c r="AA1803" s="672"/>
      <c r="AB1803" s="673"/>
      <c r="AC1803" s="673"/>
      <c r="AD1803" s="673"/>
      <c r="AE1803" s="673"/>
      <c r="AF1803" s="673"/>
      <c r="AG1803" s="673"/>
      <c r="AH1803" s="673"/>
      <c r="AI1803" s="673"/>
      <c r="AJ1803" s="673"/>
      <c r="AK1803" s="673"/>
      <c r="AL1803" s="673"/>
      <c r="AM1803" s="673"/>
      <c r="AN1803" s="673"/>
      <c r="AO1803" s="673"/>
      <c r="AP1803" s="673"/>
      <c r="AQ1803" s="673"/>
      <c r="AR1803" s="673"/>
      <c r="AS1803" s="673"/>
    </row>
    <row r="1804">
      <c r="A1804" s="653"/>
      <c r="B1804" s="654"/>
      <c r="C1804" s="655"/>
      <c r="D1804" s="656"/>
      <c r="E1804" s="657"/>
      <c r="F1804" s="658"/>
      <c r="G1804" s="659"/>
      <c r="H1804" s="660"/>
      <c r="I1804" s="659"/>
      <c r="J1804" s="661"/>
      <c r="K1804" s="658"/>
      <c r="L1804" s="662"/>
      <c r="M1804" s="663"/>
      <c r="N1804" s="664"/>
      <c r="O1804" s="665"/>
      <c r="P1804" s="666"/>
      <c r="Q1804" s="667"/>
      <c r="R1804" s="668"/>
      <c r="S1804" s="665"/>
      <c r="T1804" s="669"/>
      <c r="U1804" s="669"/>
      <c r="V1804" s="665"/>
      <c r="W1804" s="670"/>
      <c r="X1804" s="670"/>
      <c r="Y1804" s="671"/>
      <c r="Z1804" s="671"/>
      <c r="AA1804" s="672"/>
      <c r="AB1804" s="673"/>
      <c r="AC1804" s="673"/>
      <c r="AD1804" s="673"/>
      <c r="AE1804" s="673"/>
      <c r="AF1804" s="673"/>
      <c r="AG1804" s="673"/>
      <c r="AH1804" s="673"/>
      <c r="AI1804" s="673"/>
      <c r="AJ1804" s="673"/>
      <c r="AK1804" s="673"/>
      <c r="AL1804" s="673"/>
      <c r="AM1804" s="673"/>
      <c r="AN1804" s="673"/>
      <c r="AO1804" s="673"/>
      <c r="AP1804" s="673"/>
      <c r="AQ1804" s="673"/>
      <c r="AR1804" s="673"/>
      <c r="AS1804" s="673"/>
    </row>
    <row r="1805">
      <c r="A1805" s="653"/>
      <c r="B1805" s="654"/>
      <c r="C1805" s="655"/>
      <c r="D1805" s="656"/>
      <c r="E1805" s="657"/>
      <c r="F1805" s="658"/>
      <c r="G1805" s="659"/>
      <c r="H1805" s="660"/>
      <c r="I1805" s="659"/>
      <c r="J1805" s="661"/>
      <c r="K1805" s="658"/>
      <c r="L1805" s="662"/>
      <c r="M1805" s="663"/>
      <c r="N1805" s="664"/>
      <c r="O1805" s="665"/>
      <c r="P1805" s="666"/>
      <c r="Q1805" s="667"/>
      <c r="R1805" s="668"/>
      <c r="S1805" s="665"/>
      <c r="T1805" s="669"/>
      <c r="U1805" s="669"/>
      <c r="V1805" s="665"/>
      <c r="W1805" s="670"/>
      <c r="X1805" s="670"/>
      <c r="Y1805" s="671"/>
      <c r="Z1805" s="671"/>
      <c r="AA1805" s="672"/>
      <c r="AB1805" s="673"/>
      <c r="AC1805" s="673"/>
      <c r="AD1805" s="673"/>
      <c r="AE1805" s="673"/>
      <c r="AF1805" s="673"/>
      <c r="AG1805" s="673"/>
      <c r="AH1805" s="673"/>
      <c r="AI1805" s="673"/>
      <c r="AJ1805" s="673"/>
      <c r="AK1805" s="673"/>
      <c r="AL1805" s="673"/>
      <c r="AM1805" s="673"/>
      <c r="AN1805" s="673"/>
      <c r="AO1805" s="673"/>
      <c r="AP1805" s="673"/>
      <c r="AQ1805" s="673"/>
      <c r="AR1805" s="673"/>
      <c r="AS1805" s="673"/>
    </row>
    <row r="1806">
      <c r="A1806" s="653"/>
      <c r="B1806" s="654"/>
      <c r="C1806" s="655"/>
      <c r="D1806" s="656"/>
      <c r="E1806" s="657"/>
      <c r="F1806" s="658"/>
      <c r="G1806" s="659"/>
      <c r="H1806" s="660"/>
      <c r="I1806" s="659"/>
      <c r="J1806" s="661"/>
      <c r="K1806" s="658"/>
      <c r="L1806" s="662"/>
      <c r="M1806" s="663"/>
      <c r="N1806" s="664"/>
      <c r="O1806" s="665"/>
      <c r="P1806" s="666"/>
      <c r="Q1806" s="667"/>
      <c r="R1806" s="668"/>
      <c r="S1806" s="665"/>
      <c r="T1806" s="669"/>
      <c r="U1806" s="669"/>
      <c r="V1806" s="665"/>
      <c r="W1806" s="670"/>
      <c r="X1806" s="670"/>
      <c r="Y1806" s="671"/>
      <c r="Z1806" s="671"/>
      <c r="AA1806" s="672"/>
      <c r="AB1806" s="673"/>
      <c r="AC1806" s="673"/>
      <c r="AD1806" s="673"/>
      <c r="AE1806" s="673"/>
      <c r="AF1806" s="673"/>
      <c r="AG1806" s="673"/>
      <c r="AH1806" s="673"/>
      <c r="AI1806" s="673"/>
      <c r="AJ1806" s="673"/>
      <c r="AK1806" s="673"/>
      <c r="AL1806" s="673"/>
      <c r="AM1806" s="673"/>
      <c r="AN1806" s="673"/>
      <c r="AO1806" s="673"/>
      <c r="AP1806" s="673"/>
      <c r="AQ1806" s="673"/>
      <c r="AR1806" s="673"/>
      <c r="AS1806" s="673"/>
    </row>
    <row r="1807">
      <c r="A1807" s="653"/>
      <c r="B1807" s="654"/>
      <c r="C1807" s="655"/>
      <c r="D1807" s="656"/>
      <c r="E1807" s="657"/>
      <c r="F1807" s="658"/>
      <c r="G1807" s="659"/>
      <c r="H1807" s="660"/>
      <c r="I1807" s="659"/>
      <c r="J1807" s="661"/>
      <c r="K1807" s="658"/>
      <c r="L1807" s="662"/>
      <c r="M1807" s="663"/>
      <c r="N1807" s="664"/>
      <c r="O1807" s="665"/>
      <c r="P1807" s="666"/>
      <c r="Q1807" s="667"/>
      <c r="R1807" s="668"/>
      <c r="S1807" s="665"/>
      <c r="T1807" s="669"/>
      <c r="U1807" s="669"/>
      <c r="V1807" s="665"/>
      <c r="W1807" s="670"/>
      <c r="X1807" s="670"/>
      <c r="Y1807" s="671"/>
      <c r="Z1807" s="671"/>
      <c r="AA1807" s="672"/>
      <c r="AB1807" s="673"/>
      <c r="AC1807" s="673"/>
      <c r="AD1807" s="673"/>
      <c r="AE1807" s="673"/>
      <c r="AF1807" s="673"/>
      <c r="AG1807" s="673"/>
      <c r="AH1807" s="673"/>
      <c r="AI1807" s="673"/>
      <c r="AJ1807" s="673"/>
      <c r="AK1807" s="673"/>
      <c r="AL1807" s="673"/>
      <c r="AM1807" s="673"/>
      <c r="AN1807" s="673"/>
      <c r="AO1807" s="673"/>
      <c r="AP1807" s="673"/>
      <c r="AQ1807" s="673"/>
      <c r="AR1807" s="673"/>
      <c r="AS1807" s="673"/>
    </row>
    <row r="1808">
      <c r="A1808" s="653"/>
      <c r="B1808" s="654"/>
      <c r="C1808" s="655"/>
      <c r="D1808" s="656"/>
      <c r="E1808" s="657"/>
      <c r="F1808" s="658"/>
      <c r="G1808" s="659"/>
      <c r="H1808" s="660"/>
      <c r="I1808" s="659"/>
      <c r="J1808" s="661"/>
      <c r="K1808" s="658"/>
      <c r="L1808" s="662"/>
      <c r="M1808" s="663"/>
      <c r="N1808" s="664"/>
      <c r="O1808" s="665"/>
      <c r="P1808" s="666"/>
      <c r="Q1808" s="667"/>
      <c r="R1808" s="668"/>
      <c r="S1808" s="665"/>
      <c r="T1808" s="669"/>
      <c r="U1808" s="669"/>
      <c r="V1808" s="665"/>
      <c r="W1808" s="670"/>
      <c r="X1808" s="670"/>
      <c r="Y1808" s="671"/>
      <c r="Z1808" s="671"/>
      <c r="AA1808" s="672"/>
      <c r="AB1808" s="673"/>
      <c r="AC1808" s="673"/>
      <c r="AD1808" s="673"/>
      <c r="AE1808" s="673"/>
      <c r="AF1808" s="673"/>
      <c r="AG1808" s="673"/>
      <c r="AH1808" s="673"/>
      <c r="AI1808" s="673"/>
      <c r="AJ1808" s="673"/>
      <c r="AK1808" s="673"/>
      <c r="AL1808" s="673"/>
      <c r="AM1808" s="673"/>
      <c r="AN1808" s="673"/>
      <c r="AO1808" s="673"/>
      <c r="AP1808" s="673"/>
      <c r="AQ1808" s="673"/>
      <c r="AR1808" s="673"/>
      <c r="AS1808" s="673"/>
    </row>
    <row r="1809">
      <c r="A1809" s="653"/>
      <c r="B1809" s="654"/>
      <c r="C1809" s="655"/>
      <c r="D1809" s="656"/>
      <c r="E1809" s="657"/>
      <c r="F1809" s="658"/>
      <c r="G1809" s="659"/>
      <c r="H1809" s="660"/>
      <c r="I1809" s="659"/>
      <c r="J1809" s="661"/>
      <c r="K1809" s="658"/>
      <c r="L1809" s="662"/>
      <c r="M1809" s="663"/>
      <c r="N1809" s="664"/>
      <c r="O1809" s="665"/>
      <c r="P1809" s="666"/>
      <c r="Q1809" s="667"/>
      <c r="R1809" s="668"/>
      <c r="S1809" s="665"/>
      <c r="T1809" s="669"/>
      <c r="U1809" s="669"/>
      <c r="V1809" s="665"/>
      <c r="W1809" s="670"/>
      <c r="X1809" s="670"/>
      <c r="Y1809" s="671"/>
      <c r="Z1809" s="671"/>
      <c r="AA1809" s="672"/>
      <c r="AB1809" s="673"/>
      <c r="AC1809" s="673"/>
      <c r="AD1809" s="673"/>
      <c r="AE1809" s="673"/>
      <c r="AF1809" s="673"/>
      <c r="AG1809" s="673"/>
      <c r="AH1809" s="673"/>
      <c r="AI1809" s="673"/>
      <c r="AJ1809" s="673"/>
      <c r="AK1809" s="673"/>
      <c r="AL1809" s="673"/>
      <c r="AM1809" s="673"/>
      <c r="AN1809" s="673"/>
      <c r="AO1809" s="673"/>
      <c r="AP1809" s="673"/>
      <c r="AQ1809" s="673"/>
      <c r="AR1809" s="673"/>
      <c r="AS1809" s="673"/>
    </row>
    <row r="1810">
      <c r="A1810" s="653"/>
      <c r="B1810" s="654"/>
      <c r="C1810" s="655"/>
      <c r="D1810" s="656"/>
      <c r="E1810" s="657"/>
      <c r="F1810" s="658"/>
      <c r="G1810" s="659"/>
      <c r="H1810" s="660"/>
      <c r="I1810" s="659"/>
      <c r="J1810" s="661"/>
      <c r="K1810" s="658"/>
      <c r="L1810" s="662"/>
      <c r="M1810" s="663"/>
      <c r="N1810" s="664"/>
      <c r="O1810" s="665"/>
      <c r="P1810" s="666"/>
      <c r="Q1810" s="667"/>
      <c r="R1810" s="668"/>
      <c r="S1810" s="665"/>
      <c r="T1810" s="669"/>
      <c r="U1810" s="669"/>
      <c r="V1810" s="665"/>
      <c r="W1810" s="670"/>
      <c r="X1810" s="670"/>
      <c r="Y1810" s="671"/>
      <c r="Z1810" s="671"/>
      <c r="AA1810" s="672"/>
      <c r="AB1810" s="673"/>
      <c r="AC1810" s="673"/>
      <c r="AD1810" s="673"/>
      <c r="AE1810" s="673"/>
      <c r="AF1810" s="673"/>
      <c r="AG1810" s="673"/>
      <c r="AH1810" s="673"/>
      <c r="AI1810" s="673"/>
      <c r="AJ1810" s="673"/>
      <c r="AK1810" s="673"/>
      <c r="AL1810" s="673"/>
      <c r="AM1810" s="673"/>
      <c r="AN1810" s="673"/>
      <c r="AO1810" s="673"/>
      <c r="AP1810" s="673"/>
      <c r="AQ1810" s="673"/>
      <c r="AR1810" s="673"/>
      <c r="AS1810" s="673"/>
    </row>
    <row r="1811">
      <c r="A1811" s="653"/>
      <c r="B1811" s="654"/>
      <c r="C1811" s="655"/>
      <c r="D1811" s="656"/>
      <c r="E1811" s="657"/>
      <c r="F1811" s="658"/>
      <c r="G1811" s="659"/>
      <c r="H1811" s="660"/>
      <c r="I1811" s="659"/>
      <c r="J1811" s="661"/>
      <c r="K1811" s="658"/>
      <c r="L1811" s="662"/>
      <c r="M1811" s="663"/>
      <c r="N1811" s="664"/>
      <c r="O1811" s="665"/>
      <c r="P1811" s="666"/>
      <c r="Q1811" s="667"/>
      <c r="R1811" s="668"/>
      <c r="S1811" s="665"/>
      <c r="T1811" s="669"/>
      <c r="U1811" s="669"/>
      <c r="V1811" s="665"/>
      <c r="W1811" s="670"/>
      <c r="X1811" s="670"/>
      <c r="Y1811" s="671"/>
      <c r="Z1811" s="671"/>
      <c r="AA1811" s="672"/>
      <c r="AB1811" s="673"/>
      <c r="AC1811" s="673"/>
      <c r="AD1811" s="673"/>
      <c r="AE1811" s="673"/>
      <c r="AF1811" s="673"/>
      <c r="AG1811" s="673"/>
      <c r="AH1811" s="673"/>
      <c r="AI1811" s="673"/>
      <c r="AJ1811" s="673"/>
      <c r="AK1811" s="673"/>
      <c r="AL1811" s="673"/>
      <c r="AM1811" s="673"/>
      <c r="AN1811" s="673"/>
      <c r="AO1811" s="673"/>
      <c r="AP1811" s="673"/>
      <c r="AQ1811" s="673"/>
      <c r="AR1811" s="673"/>
      <c r="AS1811" s="673"/>
    </row>
    <row r="1812">
      <c r="A1812" s="653"/>
      <c r="B1812" s="654"/>
      <c r="C1812" s="655"/>
      <c r="D1812" s="656"/>
      <c r="E1812" s="657"/>
      <c r="F1812" s="658"/>
      <c r="G1812" s="659"/>
      <c r="H1812" s="660"/>
      <c r="I1812" s="659"/>
      <c r="J1812" s="661"/>
      <c r="K1812" s="658"/>
      <c r="L1812" s="662"/>
      <c r="M1812" s="663"/>
      <c r="N1812" s="664"/>
      <c r="O1812" s="665"/>
      <c r="P1812" s="666"/>
      <c r="Q1812" s="667"/>
      <c r="R1812" s="668"/>
      <c r="S1812" s="665"/>
      <c r="T1812" s="669"/>
      <c r="U1812" s="669"/>
      <c r="V1812" s="665"/>
      <c r="W1812" s="670"/>
      <c r="X1812" s="670"/>
      <c r="Y1812" s="671"/>
      <c r="Z1812" s="671"/>
      <c r="AA1812" s="672"/>
      <c r="AB1812" s="673"/>
      <c r="AC1812" s="673"/>
      <c r="AD1812" s="673"/>
      <c r="AE1812" s="673"/>
      <c r="AF1812" s="673"/>
      <c r="AG1812" s="673"/>
      <c r="AH1812" s="673"/>
      <c r="AI1812" s="673"/>
      <c r="AJ1812" s="673"/>
      <c r="AK1812" s="673"/>
      <c r="AL1812" s="673"/>
      <c r="AM1812" s="673"/>
      <c r="AN1812" s="673"/>
      <c r="AO1812" s="673"/>
      <c r="AP1812" s="673"/>
      <c r="AQ1812" s="673"/>
      <c r="AR1812" s="673"/>
      <c r="AS1812" s="673"/>
    </row>
    <row r="1813">
      <c r="A1813" s="653"/>
      <c r="B1813" s="654"/>
      <c r="C1813" s="655"/>
      <c r="D1813" s="656"/>
      <c r="E1813" s="657"/>
      <c r="F1813" s="658"/>
      <c r="G1813" s="659"/>
      <c r="H1813" s="660"/>
      <c r="I1813" s="659"/>
      <c r="J1813" s="661"/>
      <c r="K1813" s="658"/>
      <c r="L1813" s="662"/>
      <c r="M1813" s="663"/>
      <c r="N1813" s="664"/>
      <c r="O1813" s="665"/>
      <c r="P1813" s="666"/>
      <c r="Q1813" s="667"/>
      <c r="R1813" s="668"/>
      <c r="S1813" s="665"/>
      <c r="T1813" s="669"/>
      <c r="U1813" s="669"/>
      <c r="V1813" s="665"/>
      <c r="W1813" s="670"/>
      <c r="X1813" s="670"/>
      <c r="Y1813" s="671"/>
      <c r="Z1813" s="671"/>
      <c r="AA1813" s="672"/>
      <c r="AB1813" s="673"/>
      <c r="AC1813" s="673"/>
      <c r="AD1813" s="673"/>
      <c r="AE1813" s="673"/>
      <c r="AF1813" s="673"/>
      <c r="AG1813" s="673"/>
      <c r="AH1813" s="673"/>
      <c r="AI1813" s="673"/>
      <c r="AJ1813" s="673"/>
      <c r="AK1813" s="673"/>
      <c r="AL1813" s="673"/>
      <c r="AM1813" s="673"/>
      <c r="AN1813" s="673"/>
      <c r="AO1813" s="673"/>
      <c r="AP1813" s="673"/>
      <c r="AQ1813" s="673"/>
      <c r="AR1813" s="673"/>
      <c r="AS1813" s="673"/>
    </row>
    <row r="1814">
      <c r="A1814" s="653"/>
      <c r="B1814" s="654"/>
      <c r="C1814" s="655"/>
      <c r="D1814" s="656"/>
      <c r="E1814" s="657"/>
      <c r="F1814" s="658"/>
      <c r="G1814" s="659"/>
      <c r="H1814" s="660"/>
      <c r="I1814" s="659"/>
      <c r="J1814" s="661"/>
      <c r="K1814" s="658"/>
      <c r="L1814" s="662"/>
      <c r="M1814" s="663"/>
      <c r="N1814" s="664"/>
      <c r="O1814" s="665"/>
      <c r="P1814" s="666"/>
      <c r="Q1814" s="667"/>
      <c r="R1814" s="668"/>
      <c r="S1814" s="665"/>
      <c r="T1814" s="669"/>
      <c r="U1814" s="669"/>
      <c r="V1814" s="665"/>
      <c r="W1814" s="670"/>
      <c r="X1814" s="670"/>
      <c r="Y1814" s="671"/>
      <c r="Z1814" s="671"/>
      <c r="AA1814" s="672"/>
      <c r="AB1814" s="673"/>
      <c r="AC1814" s="673"/>
      <c r="AD1814" s="673"/>
      <c r="AE1814" s="673"/>
      <c r="AF1814" s="673"/>
      <c r="AG1814" s="673"/>
      <c r="AH1814" s="673"/>
      <c r="AI1814" s="673"/>
      <c r="AJ1814" s="673"/>
      <c r="AK1814" s="673"/>
      <c r="AL1814" s="673"/>
      <c r="AM1814" s="673"/>
      <c r="AN1814" s="673"/>
      <c r="AO1814" s="673"/>
      <c r="AP1814" s="673"/>
      <c r="AQ1814" s="673"/>
      <c r="AR1814" s="673"/>
      <c r="AS1814" s="673"/>
    </row>
    <row r="1815">
      <c r="A1815" s="653"/>
      <c r="B1815" s="654"/>
      <c r="C1815" s="655"/>
      <c r="D1815" s="656"/>
      <c r="E1815" s="657"/>
      <c r="F1815" s="658"/>
      <c r="G1815" s="659"/>
      <c r="H1815" s="660"/>
      <c r="I1815" s="659"/>
      <c r="J1815" s="661"/>
      <c r="K1815" s="658"/>
      <c r="L1815" s="662"/>
      <c r="M1815" s="663"/>
      <c r="N1815" s="664"/>
      <c r="O1815" s="665"/>
      <c r="P1815" s="666"/>
      <c r="Q1815" s="667"/>
      <c r="R1815" s="668"/>
      <c r="S1815" s="665"/>
      <c r="T1815" s="669"/>
      <c r="U1815" s="669"/>
      <c r="V1815" s="665"/>
      <c r="W1815" s="670"/>
      <c r="X1815" s="670"/>
      <c r="Y1815" s="671"/>
      <c r="Z1815" s="671"/>
      <c r="AA1815" s="672"/>
      <c r="AB1815" s="673"/>
      <c r="AC1815" s="673"/>
      <c r="AD1815" s="673"/>
      <c r="AE1815" s="673"/>
      <c r="AF1815" s="673"/>
      <c r="AG1815" s="673"/>
      <c r="AH1815" s="673"/>
      <c r="AI1815" s="673"/>
      <c r="AJ1815" s="673"/>
      <c r="AK1815" s="673"/>
      <c r="AL1815" s="673"/>
      <c r="AM1815" s="673"/>
      <c r="AN1815" s="673"/>
      <c r="AO1815" s="673"/>
      <c r="AP1815" s="673"/>
      <c r="AQ1815" s="673"/>
      <c r="AR1815" s="673"/>
      <c r="AS1815" s="673"/>
    </row>
    <row r="1816">
      <c r="A1816" s="653"/>
      <c r="B1816" s="654"/>
      <c r="C1816" s="655"/>
      <c r="D1816" s="656"/>
      <c r="E1816" s="657"/>
      <c r="F1816" s="658"/>
      <c r="G1816" s="659"/>
      <c r="H1816" s="660"/>
      <c r="I1816" s="659"/>
      <c r="J1816" s="661"/>
      <c r="K1816" s="658"/>
      <c r="L1816" s="662"/>
      <c r="M1816" s="663"/>
      <c r="N1816" s="664"/>
      <c r="O1816" s="665"/>
      <c r="P1816" s="666"/>
      <c r="Q1816" s="667"/>
      <c r="R1816" s="668"/>
      <c r="S1816" s="665"/>
      <c r="T1816" s="669"/>
      <c r="U1816" s="669"/>
      <c r="V1816" s="665"/>
      <c r="W1816" s="670"/>
      <c r="X1816" s="670"/>
      <c r="Y1816" s="671"/>
      <c r="Z1816" s="671"/>
      <c r="AA1816" s="672"/>
      <c r="AB1816" s="673"/>
      <c r="AC1816" s="673"/>
      <c r="AD1816" s="673"/>
      <c r="AE1816" s="673"/>
      <c r="AF1816" s="673"/>
      <c r="AG1816" s="673"/>
      <c r="AH1816" s="673"/>
      <c r="AI1816" s="673"/>
      <c r="AJ1816" s="673"/>
      <c r="AK1816" s="673"/>
      <c r="AL1816" s="673"/>
      <c r="AM1816" s="673"/>
      <c r="AN1816" s="673"/>
      <c r="AO1816" s="673"/>
      <c r="AP1816" s="673"/>
      <c r="AQ1816" s="673"/>
      <c r="AR1816" s="673"/>
      <c r="AS1816" s="673"/>
    </row>
    <row r="1817">
      <c r="A1817" s="653"/>
      <c r="B1817" s="654"/>
      <c r="C1817" s="655"/>
      <c r="D1817" s="656"/>
      <c r="E1817" s="657"/>
      <c r="F1817" s="658"/>
      <c r="G1817" s="659"/>
      <c r="H1817" s="660"/>
      <c r="I1817" s="659"/>
      <c r="J1817" s="661"/>
      <c r="K1817" s="658"/>
      <c r="L1817" s="662"/>
      <c r="M1817" s="663"/>
      <c r="N1817" s="664"/>
      <c r="O1817" s="665"/>
      <c r="P1817" s="666"/>
      <c r="Q1817" s="667"/>
      <c r="R1817" s="668"/>
      <c r="S1817" s="665"/>
      <c r="T1817" s="669"/>
      <c r="U1817" s="669"/>
      <c r="V1817" s="665"/>
      <c r="W1817" s="670"/>
      <c r="X1817" s="670"/>
      <c r="Y1817" s="671"/>
      <c r="Z1817" s="671"/>
      <c r="AA1817" s="672"/>
      <c r="AB1817" s="673"/>
      <c r="AC1817" s="673"/>
      <c r="AD1817" s="673"/>
      <c r="AE1817" s="673"/>
      <c r="AF1817" s="673"/>
      <c r="AG1817" s="673"/>
      <c r="AH1817" s="673"/>
      <c r="AI1817" s="673"/>
      <c r="AJ1817" s="673"/>
      <c r="AK1817" s="673"/>
      <c r="AL1817" s="673"/>
      <c r="AM1817" s="673"/>
      <c r="AN1817" s="673"/>
      <c r="AO1817" s="673"/>
      <c r="AP1817" s="673"/>
      <c r="AQ1817" s="673"/>
      <c r="AR1817" s="673"/>
      <c r="AS1817" s="673"/>
    </row>
    <row r="1818">
      <c r="A1818" s="653"/>
      <c r="B1818" s="654"/>
      <c r="C1818" s="655"/>
      <c r="D1818" s="656"/>
      <c r="E1818" s="657"/>
      <c r="F1818" s="658"/>
      <c r="G1818" s="659"/>
      <c r="H1818" s="660"/>
      <c r="I1818" s="659"/>
      <c r="J1818" s="661"/>
      <c r="K1818" s="658"/>
      <c r="L1818" s="662"/>
      <c r="M1818" s="663"/>
      <c r="N1818" s="664"/>
      <c r="O1818" s="665"/>
      <c r="P1818" s="666"/>
      <c r="Q1818" s="667"/>
      <c r="R1818" s="668"/>
      <c r="S1818" s="665"/>
      <c r="T1818" s="669"/>
      <c r="U1818" s="669"/>
      <c r="V1818" s="665"/>
      <c r="W1818" s="670"/>
      <c r="X1818" s="670"/>
      <c r="Y1818" s="671"/>
      <c r="Z1818" s="671"/>
      <c r="AA1818" s="672"/>
      <c r="AB1818" s="673"/>
      <c r="AC1818" s="673"/>
      <c r="AD1818" s="673"/>
      <c r="AE1818" s="673"/>
      <c r="AF1818" s="673"/>
      <c r="AG1818" s="673"/>
      <c r="AH1818" s="673"/>
      <c r="AI1818" s="673"/>
      <c r="AJ1818" s="673"/>
      <c r="AK1818" s="673"/>
      <c r="AL1818" s="673"/>
      <c r="AM1818" s="673"/>
      <c r="AN1818" s="673"/>
      <c r="AO1818" s="673"/>
      <c r="AP1818" s="673"/>
      <c r="AQ1818" s="673"/>
      <c r="AR1818" s="673"/>
      <c r="AS1818" s="673"/>
    </row>
    <row r="1819">
      <c r="A1819" s="653"/>
      <c r="B1819" s="654"/>
      <c r="C1819" s="655"/>
      <c r="D1819" s="656"/>
      <c r="E1819" s="657"/>
      <c r="F1819" s="658"/>
      <c r="G1819" s="659"/>
      <c r="H1819" s="660"/>
      <c r="I1819" s="659"/>
      <c r="J1819" s="661"/>
      <c r="K1819" s="658"/>
      <c r="L1819" s="662"/>
      <c r="M1819" s="663"/>
      <c r="N1819" s="664"/>
      <c r="O1819" s="665"/>
      <c r="P1819" s="666"/>
      <c r="Q1819" s="667"/>
      <c r="R1819" s="668"/>
      <c r="S1819" s="665"/>
      <c r="T1819" s="669"/>
      <c r="U1819" s="669"/>
      <c r="V1819" s="665"/>
      <c r="W1819" s="670"/>
      <c r="X1819" s="670"/>
      <c r="Y1819" s="671"/>
      <c r="Z1819" s="671"/>
      <c r="AA1819" s="672"/>
      <c r="AB1819" s="673"/>
      <c r="AC1819" s="673"/>
      <c r="AD1819" s="673"/>
      <c r="AE1819" s="673"/>
      <c r="AF1819" s="673"/>
      <c r="AG1819" s="673"/>
      <c r="AH1819" s="673"/>
      <c r="AI1819" s="673"/>
      <c r="AJ1819" s="673"/>
      <c r="AK1819" s="673"/>
      <c r="AL1819" s="673"/>
      <c r="AM1819" s="673"/>
      <c r="AN1819" s="673"/>
      <c r="AO1819" s="673"/>
      <c r="AP1819" s="673"/>
      <c r="AQ1819" s="673"/>
      <c r="AR1819" s="673"/>
      <c r="AS1819" s="673"/>
    </row>
    <row r="1820">
      <c r="A1820" s="653"/>
      <c r="B1820" s="654"/>
      <c r="C1820" s="655"/>
      <c r="D1820" s="656"/>
      <c r="E1820" s="657"/>
      <c r="F1820" s="658"/>
      <c r="G1820" s="659"/>
      <c r="H1820" s="660"/>
      <c r="I1820" s="659"/>
      <c r="J1820" s="661"/>
      <c r="K1820" s="658"/>
      <c r="L1820" s="662"/>
      <c r="M1820" s="663"/>
      <c r="N1820" s="664"/>
      <c r="O1820" s="665"/>
      <c r="P1820" s="666"/>
      <c r="Q1820" s="667"/>
      <c r="R1820" s="668"/>
      <c r="S1820" s="665"/>
      <c r="T1820" s="669"/>
      <c r="U1820" s="669"/>
      <c r="V1820" s="665"/>
      <c r="W1820" s="670"/>
      <c r="X1820" s="670"/>
      <c r="Y1820" s="671"/>
      <c r="Z1820" s="671"/>
      <c r="AA1820" s="672"/>
      <c r="AB1820" s="673"/>
      <c r="AC1820" s="673"/>
      <c r="AD1820" s="673"/>
      <c r="AE1820" s="673"/>
      <c r="AF1820" s="673"/>
      <c r="AG1820" s="673"/>
      <c r="AH1820" s="673"/>
      <c r="AI1820" s="673"/>
      <c r="AJ1820" s="673"/>
      <c r="AK1820" s="673"/>
      <c r="AL1820" s="673"/>
      <c r="AM1820" s="673"/>
      <c r="AN1820" s="673"/>
      <c r="AO1820" s="673"/>
      <c r="AP1820" s="673"/>
      <c r="AQ1820" s="673"/>
      <c r="AR1820" s="673"/>
      <c r="AS1820" s="673"/>
    </row>
    <row r="1821">
      <c r="A1821" s="653"/>
      <c r="B1821" s="654"/>
      <c r="C1821" s="655"/>
      <c r="D1821" s="656"/>
      <c r="E1821" s="657"/>
      <c r="F1821" s="658"/>
      <c r="G1821" s="659"/>
      <c r="H1821" s="660"/>
      <c r="I1821" s="659"/>
      <c r="J1821" s="661"/>
      <c r="K1821" s="658"/>
      <c r="L1821" s="662"/>
      <c r="M1821" s="663"/>
      <c r="N1821" s="664"/>
      <c r="O1821" s="665"/>
      <c r="P1821" s="666"/>
      <c r="Q1821" s="667"/>
      <c r="R1821" s="668"/>
      <c r="S1821" s="665"/>
      <c r="T1821" s="669"/>
      <c r="U1821" s="669"/>
      <c r="V1821" s="665"/>
      <c r="W1821" s="670"/>
      <c r="X1821" s="670"/>
      <c r="Y1821" s="671"/>
      <c r="Z1821" s="671"/>
      <c r="AA1821" s="672"/>
      <c r="AB1821" s="673"/>
      <c r="AC1821" s="673"/>
      <c r="AD1821" s="673"/>
      <c r="AE1821" s="673"/>
      <c r="AF1821" s="673"/>
      <c r="AG1821" s="673"/>
      <c r="AH1821" s="673"/>
      <c r="AI1821" s="673"/>
      <c r="AJ1821" s="673"/>
      <c r="AK1821" s="673"/>
      <c r="AL1821" s="673"/>
      <c r="AM1821" s="673"/>
      <c r="AN1821" s="673"/>
      <c r="AO1821" s="673"/>
      <c r="AP1821" s="673"/>
      <c r="AQ1821" s="673"/>
      <c r="AR1821" s="673"/>
      <c r="AS1821" s="673"/>
    </row>
    <row r="1822">
      <c r="A1822" s="653"/>
      <c r="B1822" s="654"/>
      <c r="C1822" s="655"/>
      <c r="D1822" s="656"/>
      <c r="E1822" s="657"/>
      <c r="F1822" s="658"/>
      <c r="G1822" s="659"/>
      <c r="H1822" s="660"/>
      <c r="I1822" s="659"/>
      <c r="J1822" s="661"/>
      <c r="K1822" s="658"/>
      <c r="L1822" s="662"/>
      <c r="M1822" s="663"/>
      <c r="N1822" s="664"/>
      <c r="O1822" s="665"/>
      <c r="P1822" s="666"/>
      <c r="Q1822" s="667"/>
      <c r="R1822" s="668"/>
      <c r="S1822" s="665"/>
      <c r="T1822" s="669"/>
      <c r="U1822" s="669"/>
      <c r="V1822" s="665"/>
      <c r="W1822" s="670"/>
      <c r="X1822" s="670"/>
      <c r="Y1822" s="671"/>
      <c r="Z1822" s="671"/>
      <c r="AA1822" s="672"/>
      <c r="AB1822" s="673"/>
      <c r="AC1822" s="673"/>
      <c r="AD1822" s="673"/>
      <c r="AE1822" s="673"/>
      <c r="AF1822" s="673"/>
      <c r="AG1822" s="673"/>
      <c r="AH1822" s="673"/>
      <c r="AI1822" s="673"/>
      <c r="AJ1822" s="673"/>
      <c r="AK1822" s="673"/>
      <c r="AL1822" s="673"/>
      <c r="AM1822" s="673"/>
      <c r="AN1822" s="673"/>
      <c r="AO1822" s="673"/>
      <c r="AP1822" s="673"/>
      <c r="AQ1822" s="673"/>
      <c r="AR1822" s="673"/>
      <c r="AS1822" s="673"/>
    </row>
    <row r="1823">
      <c r="A1823" s="653"/>
      <c r="B1823" s="654"/>
      <c r="C1823" s="655"/>
      <c r="D1823" s="656"/>
      <c r="E1823" s="657"/>
      <c r="F1823" s="658"/>
      <c r="G1823" s="659"/>
      <c r="H1823" s="660"/>
      <c r="I1823" s="659"/>
      <c r="J1823" s="661"/>
      <c r="K1823" s="658"/>
      <c r="L1823" s="662"/>
      <c r="M1823" s="663"/>
      <c r="N1823" s="664"/>
      <c r="O1823" s="665"/>
      <c r="P1823" s="666"/>
      <c r="Q1823" s="667"/>
      <c r="R1823" s="668"/>
      <c r="S1823" s="665"/>
      <c r="T1823" s="669"/>
      <c r="U1823" s="669"/>
      <c r="V1823" s="665"/>
      <c r="W1823" s="670"/>
      <c r="X1823" s="670"/>
      <c r="Y1823" s="671"/>
      <c r="Z1823" s="671"/>
      <c r="AA1823" s="672"/>
      <c r="AB1823" s="673"/>
      <c r="AC1823" s="673"/>
      <c r="AD1823" s="673"/>
      <c r="AE1823" s="673"/>
      <c r="AF1823" s="673"/>
      <c r="AG1823" s="673"/>
      <c r="AH1823" s="673"/>
      <c r="AI1823" s="673"/>
      <c r="AJ1823" s="673"/>
      <c r="AK1823" s="673"/>
      <c r="AL1823" s="673"/>
      <c r="AM1823" s="673"/>
      <c r="AN1823" s="673"/>
      <c r="AO1823" s="673"/>
      <c r="AP1823" s="673"/>
      <c r="AQ1823" s="673"/>
      <c r="AR1823" s="673"/>
      <c r="AS1823" s="673"/>
    </row>
    <row r="1824">
      <c r="A1824" s="653"/>
      <c r="B1824" s="654"/>
      <c r="C1824" s="655"/>
      <c r="D1824" s="656"/>
      <c r="E1824" s="657"/>
      <c r="F1824" s="658"/>
      <c r="G1824" s="659"/>
      <c r="H1824" s="660"/>
      <c r="I1824" s="659"/>
      <c r="J1824" s="661"/>
      <c r="K1824" s="658"/>
      <c r="L1824" s="662"/>
      <c r="M1824" s="663"/>
      <c r="N1824" s="664"/>
      <c r="O1824" s="665"/>
      <c r="P1824" s="666"/>
      <c r="Q1824" s="667"/>
      <c r="R1824" s="668"/>
      <c r="S1824" s="665"/>
      <c r="T1824" s="669"/>
      <c r="U1824" s="669"/>
      <c r="V1824" s="665"/>
      <c r="W1824" s="670"/>
      <c r="X1824" s="670"/>
      <c r="Y1824" s="671"/>
      <c r="Z1824" s="671"/>
      <c r="AA1824" s="672"/>
      <c r="AB1824" s="673"/>
      <c r="AC1824" s="673"/>
      <c r="AD1824" s="673"/>
      <c r="AE1824" s="673"/>
      <c r="AF1824" s="673"/>
      <c r="AG1824" s="673"/>
      <c r="AH1824" s="673"/>
      <c r="AI1824" s="673"/>
      <c r="AJ1824" s="673"/>
      <c r="AK1824" s="673"/>
      <c r="AL1824" s="673"/>
      <c r="AM1824" s="673"/>
      <c r="AN1824" s="673"/>
      <c r="AO1824" s="673"/>
      <c r="AP1824" s="673"/>
      <c r="AQ1824" s="673"/>
      <c r="AR1824" s="673"/>
      <c r="AS1824" s="673"/>
    </row>
    <row r="1825">
      <c r="A1825" s="653"/>
      <c r="B1825" s="654"/>
      <c r="C1825" s="655"/>
      <c r="D1825" s="656"/>
      <c r="E1825" s="657"/>
      <c r="F1825" s="658"/>
      <c r="G1825" s="659"/>
      <c r="H1825" s="660"/>
      <c r="I1825" s="659"/>
      <c r="J1825" s="661"/>
      <c r="K1825" s="658"/>
      <c r="L1825" s="662"/>
      <c r="M1825" s="663"/>
      <c r="N1825" s="664"/>
      <c r="O1825" s="665"/>
      <c r="P1825" s="666"/>
      <c r="Q1825" s="667"/>
      <c r="R1825" s="668"/>
      <c r="S1825" s="665"/>
      <c r="T1825" s="669"/>
      <c r="U1825" s="669"/>
      <c r="V1825" s="665"/>
      <c r="W1825" s="670"/>
      <c r="X1825" s="670"/>
      <c r="Y1825" s="671"/>
      <c r="Z1825" s="671"/>
      <c r="AA1825" s="672"/>
      <c r="AB1825" s="673"/>
      <c r="AC1825" s="673"/>
      <c r="AD1825" s="673"/>
      <c r="AE1825" s="673"/>
      <c r="AF1825" s="673"/>
      <c r="AG1825" s="673"/>
      <c r="AH1825" s="673"/>
      <c r="AI1825" s="673"/>
      <c r="AJ1825" s="673"/>
      <c r="AK1825" s="673"/>
      <c r="AL1825" s="673"/>
      <c r="AM1825" s="673"/>
      <c r="AN1825" s="673"/>
      <c r="AO1825" s="673"/>
      <c r="AP1825" s="673"/>
      <c r="AQ1825" s="673"/>
      <c r="AR1825" s="673"/>
      <c r="AS1825" s="673"/>
    </row>
    <row r="1826">
      <c r="A1826" s="653"/>
      <c r="B1826" s="654"/>
      <c r="C1826" s="655"/>
      <c r="D1826" s="656"/>
      <c r="E1826" s="657"/>
      <c r="F1826" s="658"/>
      <c r="G1826" s="659"/>
      <c r="H1826" s="660"/>
      <c r="I1826" s="659"/>
      <c r="J1826" s="661"/>
      <c r="K1826" s="658"/>
      <c r="L1826" s="662"/>
      <c r="M1826" s="663"/>
      <c r="N1826" s="664"/>
      <c r="O1826" s="665"/>
      <c r="P1826" s="666"/>
      <c r="Q1826" s="667"/>
      <c r="R1826" s="668"/>
      <c r="S1826" s="665"/>
      <c r="T1826" s="669"/>
      <c r="U1826" s="669"/>
      <c r="V1826" s="665"/>
      <c r="W1826" s="670"/>
      <c r="X1826" s="670"/>
      <c r="Y1826" s="671"/>
      <c r="Z1826" s="671"/>
      <c r="AA1826" s="672"/>
      <c r="AB1826" s="673"/>
      <c r="AC1826" s="673"/>
      <c r="AD1826" s="673"/>
      <c r="AE1826" s="673"/>
      <c r="AF1826" s="673"/>
      <c r="AG1826" s="673"/>
      <c r="AH1826" s="673"/>
      <c r="AI1826" s="673"/>
      <c r="AJ1826" s="673"/>
      <c r="AK1826" s="673"/>
      <c r="AL1826" s="673"/>
      <c r="AM1826" s="673"/>
      <c r="AN1826" s="673"/>
      <c r="AO1826" s="673"/>
      <c r="AP1826" s="673"/>
      <c r="AQ1826" s="673"/>
      <c r="AR1826" s="673"/>
      <c r="AS1826" s="673"/>
    </row>
    <row r="1827">
      <c r="A1827" s="653"/>
      <c r="B1827" s="654"/>
      <c r="C1827" s="655"/>
      <c r="D1827" s="656"/>
      <c r="E1827" s="657"/>
      <c r="F1827" s="658"/>
      <c r="G1827" s="659"/>
      <c r="H1827" s="660"/>
      <c r="I1827" s="659"/>
      <c r="J1827" s="661"/>
      <c r="K1827" s="658"/>
      <c r="L1827" s="662"/>
      <c r="M1827" s="663"/>
      <c r="N1827" s="664"/>
      <c r="O1827" s="665"/>
      <c r="P1827" s="666"/>
      <c r="Q1827" s="667"/>
      <c r="R1827" s="668"/>
      <c r="S1827" s="665"/>
      <c r="T1827" s="669"/>
      <c r="U1827" s="669"/>
      <c r="V1827" s="665"/>
      <c r="W1827" s="670"/>
      <c r="X1827" s="670"/>
      <c r="Y1827" s="671"/>
      <c r="Z1827" s="671"/>
      <c r="AA1827" s="672"/>
      <c r="AB1827" s="673"/>
      <c r="AC1827" s="673"/>
      <c r="AD1827" s="673"/>
      <c r="AE1827" s="673"/>
      <c r="AF1827" s="673"/>
      <c r="AG1827" s="673"/>
      <c r="AH1827" s="673"/>
      <c r="AI1827" s="673"/>
      <c r="AJ1827" s="673"/>
      <c r="AK1827" s="673"/>
      <c r="AL1827" s="673"/>
      <c r="AM1827" s="673"/>
      <c r="AN1827" s="673"/>
      <c r="AO1827" s="673"/>
      <c r="AP1827" s="673"/>
      <c r="AQ1827" s="673"/>
      <c r="AR1827" s="673"/>
      <c r="AS1827" s="673"/>
    </row>
    <row r="1828">
      <c r="A1828" s="653"/>
      <c r="B1828" s="654"/>
      <c r="C1828" s="655"/>
      <c r="D1828" s="656"/>
      <c r="E1828" s="657"/>
      <c r="F1828" s="658"/>
      <c r="G1828" s="659"/>
      <c r="H1828" s="660"/>
      <c r="I1828" s="659"/>
      <c r="J1828" s="661"/>
      <c r="K1828" s="658"/>
      <c r="L1828" s="662"/>
      <c r="M1828" s="663"/>
      <c r="N1828" s="664"/>
      <c r="O1828" s="665"/>
      <c r="P1828" s="666"/>
      <c r="Q1828" s="667"/>
      <c r="R1828" s="668"/>
      <c r="S1828" s="665"/>
      <c r="T1828" s="669"/>
      <c r="U1828" s="669"/>
      <c r="V1828" s="665"/>
      <c r="W1828" s="670"/>
      <c r="X1828" s="670"/>
      <c r="Y1828" s="671"/>
      <c r="Z1828" s="671"/>
      <c r="AA1828" s="672"/>
      <c r="AB1828" s="673"/>
      <c r="AC1828" s="673"/>
      <c r="AD1828" s="673"/>
      <c r="AE1828" s="673"/>
      <c r="AF1828" s="673"/>
      <c r="AG1828" s="673"/>
      <c r="AH1828" s="673"/>
      <c r="AI1828" s="673"/>
      <c r="AJ1828" s="673"/>
      <c r="AK1828" s="673"/>
      <c r="AL1828" s="673"/>
      <c r="AM1828" s="673"/>
      <c r="AN1828" s="673"/>
      <c r="AO1828" s="673"/>
      <c r="AP1828" s="673"/>
      <c r="AQ1828" s="673"/>
      <c r="AR1828" s="673"/>
      <c r="AS1828" s="673"/>
    </row>
    <row r="1829">
      <c r="A1829" s="653"/>
      <c r="B1829" s="654"/>
      <c r="C1829" s="655"/>
      <c r="D1829" s="656"/>
      <c r="E1829" s="657"/>
      <c r="F1829" s="658"/>
      <c r="G1829" s="659"/>
      <c r="H1829" s="660"/>
      <c r="I1829" s="659"/>
      <c r="J1829" s="661"/>
      <c r="K1829" s="658"/>
      <c r="L1829" s="662"/>
      <c r="M1829" s="663"/>
      <c r="N1829" s="664"/>
      <c r="O1829" s="665"/>
      <c r="P1829" s="666"/>
      <c r="Q1829" s="667"/>
      <c r="R1829" s="668"/>
      <c r="S1829" s="665"/>
      <c r="T1829" s="669"/>
      <c r="U1829" s="669"/>
      <c r="V1829" s="665"/>
      <c r="W1829" s="670"/>
      <c r="X1829" s="670"/>
      <c r="Y1829" s="671"/>
      <c r="Z1829" s="671"/>
      <c r="AA1829" s="672"/>
      <c r="AB1829" s="673"/>
      <c r="AC1829" s="673"/>
      <c r="AD1829" s="673"/>
      <c r="AE1829" s="673"/>
      <c r="AF1829" s="673"/>
      <c r="AG1829" s="673"/>
      <c r="AH1829" s="673"/>
      <c r="AI1829" s="673"/>
      <c r="AJ1829" s="673"/>
      <c r="AK1829" s="673"/>
      <c r="AL1829" s="673"/>
      <c r="AM1829" s="673"/>
      <c r="AN1829" s="673"/>
      <c r="AO1829" s="673"/>
      <c r="AP1829" s="673"/>
      <c r="AQ1829" s="673"/>
      <c r="AR1829" s="673"/>
      <c r="AS1829" s="673"/>
    </row>
    <row r="1830">
      <c r="A1830" s="653"/>
      <c r="B1830" s="654"/>
      <c r="C1830" s="655"/>
      <c r="D1830" s="656"/>
      <c r="E1830" s="657"/>
      <c r="F1830" s="658"/>
      <c r="G1830" s="659"/>
      <c r="H1830" s="660"/>
      <c r="I1830" s="659"/>
      <c r="J1830" s="661"/>
      <c r="K1830" s="658"/>
      <c r="L1830" s="662"/>
      <c r="M1830" s="663"/>
      <c r="N1830" s="664"/>
      <c r="O1830" s="665"/>
      <c r="P1830" s="666"/>
      <c r="Q1830" s="667"/>
      <c r="R1830" s="668"/>
      <c r="S1830" s="665"/>
      <c r="T1830" s="669"/>
      <c r="U1830" s="669"/>
      <c r="V1830" s="665"/>
      <c r="W1830" s="670"/>
      <c r="X1830" s="670"/>
      <c r="Y1830" s="671"/>
      <c r="Z1830" s="671"/>
      <c r="AA1830" s="672"/>
      <c r="AB1830" s="673"/>
      <c r="AC1830" s="673"/>
      <c r="AD1830" s="673"/>
      <c r="AE1830" s="673"/>
      <c r="AF1830" s="673"/>
      <c r="AG1830" s="673"/>
      <c r="AH1830" s="673"/>
      <c r="AI1830" s="673"/>
      <c r="AJ1830" s="673"/>
      <c r="AK1830" s="673"/>
      <c r="AL1830" s="673"/>
      <c r="AM1830" s="673"/>
      <c r="AN1830" s="673"/>
      <c r="AO1830" s="673"/>
      <c r="AP1830" s="673"/>
      <c r="AQ1830" s="673"/>
      <c r="AR1830" s="673"/>
      <c r="AS1830" s="673"/>
    </row>
    <row r="1831">
      <c r="A1831" s="653"/>
      <c r="B1831" s="654"/>
      <c r="C1831" s="655"/>
      <c r="D1831" s="656"/>
      <c r="E1831" s="657"/>
      <c r="F1831" s="658"/>
      <c r="G1831" s="659"/>
      <c r="H1831" s="660"/>
      <c r="I1831" s="659"/>
      <c r="J1831" s="661"/>
      <c r="K1831" s="658"/>
      <c r="L1831" s="662"/>
      <c r="M1831" s="663"/>
      <c r="N1831" s="664"/>
      <c r="O1831" s="665"/>
      <c r="P1831" s="666"/>
      <c r="Q1831" s="667"/>
      <c r="R1831" s="668"/>
      <c r="S1831" s="665"/>
      <c r="T1831" s="669"/>
      <c r="U1831" s="669"/>
      <c r="V1831" s="665"/>
      <c r="W1831" s="670"/>
      <c r="X1831" s="670"/>
      <c r="Y1831" s="671"/>
      <c r="Z1831" s="671"/>
      <c r="AA1831" s="672"/>
      <c r="AB1831" s="673"/>
      <c r="AC1831" s="673"/>
      <c r="AD1831" s="673"/>
      <c r="AE1831" s="673"/>
      <c r="AF1831" s="673"/>
      <c r="AG1831" s="673"/>
      <c r="AH1831" s="673"/>
      <c r="AI1831" s="673"/>
      <c r="AJ1831" s="673"/>
      <c r="AK1831" s="673"/>
      <c r="AL1831" s="673"/>
      <c r="AM1831" s="673"/>
      <c r="AN1831" s="673"/>
      <c r="AO1831" s="673"/>
      <c r="AP1831" s="673"/>
      <c r="AQ1831" s="673"/>
      <c r="AR1831" s="673"/>
      <c r="AS1831" s="673"/>
    </row>
    <row r="1832">
      <c r="A1832" s="653"/>
      <c r="B1832" s="654"/>
      <c r="C1832" s="655"/>
      <c r="D1832" s="656"/>
      <c r="E1832" s="657"/>
      <c r="F1832" s="658"/>
      <c r="G1832" s="659"/>
      <c r="H1832" s="660"/>
      <c r="I1832" s="659"/>
      <c r="J1832" s="661"/>
      <c r="K1832" s="658"/>
      <c r="L1832" s="662"/>
      <c r="M1832" s="663"/>
      <c r="N1832" s="664"/>
      <c r="O1832" s="665"/>
      <c r="P1832" s="666"/>
      <c r="Q1832" s="667"/>
      <c r="R1832" s="668"/>
      <c r="S1832" s="665"/>
      <c r="T1832" s="669"/>
      <c r="U1832" s="669"/>
      <c r="V1832" s="665"/>
      <c r="W1832" s="670"/>
      <c r="X1832" s="670"/>
      <c r="Y1832" s="671"/>
      <c r="Z1832" s="671"/>
      <c r="AA1832" s="672"/>
      <c r="AB1832" s="673"/>
      <c r="AC1832" s="673"/>
      <c r="AD1832" s="673"/>
      <c r="AE1832" s="673"/>
      <c r="AF1832" s="673"/>
      <c r="AG1832" s="673"/>
      <c r="AH1832" s="673"/>
      <c r="AI1832" s="673"/>
      <c r="AJ1832" s="673"/>
      <c r="AK1832" s="673"/>
      <c r="AL1832" s="673"/>
      <c r="AM1832" s="673"/>
      <c r="AN1832" s="673"/>
      <c r="AO1832" s="673"/>
      <c r="AP1832" s="673"/>
      <c r="AQ1832" s="673"/>
      <c r="AR1832" s="673"/>
      <c r="AS1832" s="673"/>
    </row>
    <row r="1833">
      <c r="A1833" s="653"/>
      <c r="B1833" s="654"/>
      <c r="C1833" s="655"/>
      <c r="D1833" s="656"/>
      <c r="E1833" s="657"/>
      <c r="F1833" s="658"/>
      <c r="G1833" s="659"/>
      <c r="H1833" s="660"/>
      <c r="I1833" s="659"/>
      <c r="J1833" s="661"/>
      <c r="K1833" s="658"/>
      <c r="L1833" s="662"/>
      <c r="M1833" s="663"/>
      <c r="N1833" s="664"/>
      <c r="O1833" s="665"/>
      <c r="P1833" s="666"/>
      <c r="Q1833" s="667"/>
      <c r="R1833" s="668"/>
      <c r="S1833" s="665"/>
      <c r="T1833" s="669"/>
      <c r="U1833" s="669"/>
      <c r="V1833" s="665"/>
      <c r="W1833" s="670"/>
      <c r="X1833" s="670"/>
      <c r="Y1833" s="671"/>
      <c r="Z1833" s="671"/>
      <c r="AA1833" s="672"/>
      <c r="AB1833" s="673"/>
      <c r="AC1833" s="673"/>
      <c r="AD1833" s="673"/>
      <c r="AE1833" s="673"/>
      <c r="AF1833" s="673"/>
      <c r="AG1833" s="673"/>
      <c r="AH1833" s="673"/>
      <c r="AI1833" s="673"/>
      <c r="AJ1833" s="673"/>
      <c r="AK1833" s="673"/>
      <c r="AL1833" s="673"/>
      <c r="AM1833" s="673"/>
      <c r="AN1833" s="673"/>
      <c r="AO1833" s="673"/>
      <c r="AP1833" s="673"/>
      <c r="AQ1833" s="673"/>
      <c r="AR1833" s="673"/>
      <c r="AS1833" s="673"/>
    </row>
    <row r="1834">
      <c r="A1834" s="653"/>
      <c r="B1834" s="654"/>
      <c r="C1834" s="655"/>
      <c r="D1834" s="656"/>
      <c r="E1834" s="657"/>
      <c r="F1834" s="658"/>
      <c r="G1834" s="659"/>
      <c r="H1834" s="660"/>
      <c r="I1834" s="659"/>
      <c r="J1834" s="661"/>
      <c r="K1834" s="658"/>
      <c r="L1834" s="662"/>
      <c r="M1834" s="663"/>
      <c r="N1834" s="664"/>
      <c r="O1834" s="665"/>
      <c r="P1834" s="666"/>
      <c r="Q1834" s="667"/>
      <c r="R1834" s="668"/>
      <c r="S1834" s="665"/>
      <c r="T1834" s="669"/>
      <c r="U1834" s="669"/>
      <c r="V1834" s="665"/>
      <c r="W1834" s="670"/>
      <c r="X1834" s="670"/>
      <c r="Y1834" s="671"/>
      <c r="Z1834" s="671"/>
      <c r="AA1834" s="672"/>
      <c r="AB1834" s="673"/>
      <c r="AC1834" s="673"/>
      <c r="AD1834" s="673"/>
      <c r="AE1834" s="673"/>
      <c r="AF1834" s="673"/>
      <c r="AG1834" s="673"/>
      <c r="AH1834" s="673"/>
      <c r="AI1834" s="673"/>
      <c r="AJ1834" s="673"/>
      <c r="AK1834" s="673"/>
      <c r="AL1834" s="673"/>
      <c r="AM1834" s="673"/>
      <c r="AN1834" s="673"/>
      <c r="AO1834" s="673"/>
      <c r="AP1834" s="673"/>
      <c r="AQ1834" s="673"/>
      <c r="AR1834" s="673"/>
      <c r="AS1834" s="673"/>
    </row>
    <row r="1835">
      <c r="A1835" s="653"/>
      <c r="B1835" s="654"/>
      <c r="C1835" s="655"/>
      <c r="D1835" s="656"/>
      <c r="E1835" s="657"/>
      <c r="F1835" s="658"/>
      <c r="G1835" s="659"/>
      <c r="H1835" s="660"/>
      <c r="I1835" s="659"/>
      <c r="J1835" s="661"/>
      <c r="K1835" s="658"/>
      <c r="L1835" s="662"/>
      <c r="M1835" s="663"/>
      <c r="N1835" s="664"/>
      <c r="O1835" s="665"/>
      <c r="P1835" s="666"/>
      <c r="Q1835" s="667"/>
      <c r="R1835" s="668"/>
      <c r="S1835" s="665"/>
      <c r="T1835" s="669"/>
      <c r="U1835" s="669"/>
      <c r="V1835" s="665"/>
      <c r="W1835" s="670"/>
      <c r="X1835" s="670"/>
      <c r="Y1835" s="671"/>
      <c r="Z1835" s="671"/>
      <c r="AA1835" s="672"/>
      <c r="AB1835" s="673"/>
      <c r="AC1835" s="673"/>
      <c r="AD1835" s="673"/>
      <c r="AE1835" s="673"/>
      <c r="AF1835" s="673"/>
      <c r="AG1835" s="673"/>
      <c r="AH1835" s="673"/>
      <c r="AI1835" s="673"/>
      <c r="AJ1835" s="673"/>
      <c r="AK1835" s="673"/>
      <c r="AL1835" s="673"/>
      <c r="AM1835" s="673"/>
      <c r="AN1835" s="673"/>
      <c r="AO1835" s="673"/>
      <c r="AP1835" s="673"/>
      <c r="AQ1835" s="673"/>
      <c r="AR1835" s="673"/>
      <c r="AS1835" s="673"/>
    </row>
    <row r="1836">
      <c r="A1836" s="653"/>
      <c r="B1836" s="654"/>
      <c r="C1836" s="655"/>
      <c r="D1836" s="656"/>
      <c r="E1836" s="657"/>
      <c r="F1836" s="658"/>
      <c r="G1836" s="659"/>
      <c r="H1836" s="660"/>
      <c r="I1836" s="659"/>
      <c r="J1836" s="661"/>
      <c r="K1836" s="658"/>
      <c r="L1836" s="662"/>
      <c r="M1836" s="663"/>
      <c r="N1836" s="664"/>
      <c r="O1836" s="665"/>
      <c r="P1836" s="666"/>
      <c r="Q1836" s="667"/>
      <c r="R1836" s="668"/>
      <c r="S1836" s="665"/>
      <c r="T1836" s="669"/>
      <c r="U1836" s="669"/>
      <c r="V1836" s="665"/>
      <c r="W1836" s="670"/>
      <c r="X1836" s="670"/>
      <c r="Y1836" s="671"/>
      <c r="Z1836" s="671"/>
      <c r="AA1836" s="672"/>
      <c r="AB1836" s="673"/>
      <c r="AC1836" s="673"/>
      <c r="AD1836" s="673"/>
      <c r="AE1836" s="673"/>
      <c r="AF1836" s="673"/>
      <c r="AG1836" s="673"/>
      <c r="AH1836" s="673"/>
      <c r="AI1836" s="673"/>
      <c r="AJ1836" s="673"/>
      <c r="AK1836" s="673"/>
      <c r="AL1836" s="673"/>
      <c r="AM1836" s="673"/>
      <c r="AN1836" s="673"/>
      <c r="AO1836" s="673"/>
      <c r="AP1836" s="673"/>
      <c r="AQ1836" s="673"/>
      <c r="AR1836" s="673"/>
      <c r="AS1836" s="673"/>
    </row>
    <row r="1837">
      <c r="A1837" s="653"/>
      <c r="B1837" s="654"/>
      <c r="C1837" s="655"/>
      <c r="D1837" s="656"/>
      <c r="E1837" s="657"/>
      <c r="F1837" s="658"/>
      <c r="G1837" s="659"/>
      <c r="H1837" s="660"/>
      <c r="I1837" s="659"/>
      <c r="J1837" s="661"/>
      <c r="K1837" s="658"/>
      <c r="L1837" s="662"/>
      <c r="M1837" s="663"/>
      <c r="N1837" s="664"/>
      <c r="O1837" s="665"/>
      <c r="P1837" s="666"/>
      <c r="Q1837" s="667"/>
      <c r="R1837" s="668"/>
      <c r="S1837" s="665"/>
      <c r="T1837" s="669"/>
      <c r="U1837" s="669"/>
      <c r="V1837" s="665"/>
      <c r="W1837" s="670"/>
      <c r="X1837" s="670"/>
      <c r="Y1837" s="671"/>
      <c r="Z1837" s="671"/>
      <c r="AA1837" s="672"/>
      <c r="AB1837" s="673"/>
      <c r="AC1837" s="673"/>
      <c r="AD1837" s="673"/>
      <c r="AE1837" s="673"/>
      <c r="AF1837" s="673"/>
      <c r="AG1837" s="673"/>
      <c r="AH1837" s="673"/>
      <c r="AI1837" s="673"/>
      <c r="AJ1837" s="673"/>
      <c r="AK1837" s="673"/>
      <c r="AL1837" s="673"/>
      <c r="AM1837" s="673"/>
      <c r="AN1837" s="673"/>
      <c r="AO1837" s="673"/>
      <c r="AP1837" s="673"/>
      <c r="AQ1837" s="673"/>
      <c r="AR1837" s="673"/>
      <c r="AS1837" s="673"/>
    </row>
    <row r="1838">
      <c r="A1838" s="653"/>
      <c r="B1838" s="654"/>
      <c r="C1838" s="655"/>
      <c r="D1838" s="656"/>
      <c r="E1838" s="657"/>
      <c r="F1838" s="658"/>
      <c r="G1838" s="659"/>
      <c r="H1838" s="660"/>
      <c r="I1838" s="659"/>
      <c r="J1838" s="661"/>
      <c r="K1838" s="658"/>
      <c r="L1838" s="662"/>
      <c r="M1838" s="663"/>
      <c r="N1838" s="664"/>
      <c r="O1838" s="665"/>
      <c r="P1838" s="666"/>
      <c r="Q1838" s="667"/>
      <c r="R1838" s="668"/>
      <c r="S1838" s="665"/>
      <c r="T1838" s="669"/>
      <c r="U1838" s="669"/>
      <c r="V1838" s="665"/>
      <c r="W1838" s="670"/>
      <c r="X1838" s="670"/>
      <c r="Y1838" s="671"/>
      <c r="Z1838" s="671"/>
      <c r="AA1838" s="672"/>
      <c r="AB1838" s="673"/>
      <c r="AC1838" s="673"/>
      <c r="AD1838" s="673"/>
      <c r="AE1838" s="673"/>
      <c r="AF1838" s="673"/>
      <c r="AG1838" s="673"/>
      <c r="AH1838" s="673"/>
      <c r="AI1838" s="673"/>
      <c r="AJ1838" s="673"/>
      <c r="AK1838" s="673"/>
      <c r="AL1838" s="673"/>
      <c r="AM1838" s="673"/>
      <c r="AN1838" s="673"/>
      <c r="AO1838" s="673"/>
      <c r="AP1838" s="673"/>
      <c r="AQ1838" s="673"/>
      <c r="AR1838" s="673"/>
      <c r="AS1838" s="673"/>
    </row>
    <row r="1839">
      <c r="A1839" s="653"/>
      <c r="B1839" s="654"/>
      <c r="C1839" s="655"/>
      <c r="D1839" s="656"/>
      <c r="E1839" s="657"/>
      <c r="F1839" s="658"/>
      <c r="G1839" s="659"/>
      <c r="H1839" s="660"/>
      <c r="I1839" s="659"/>
      <c r="J1839" s="661"/>
      <c r="K1839" s="658"/>
      <c r="L1839" s="662"/>
      <c r="M1839" s="663"/>
      <c r="N1839" s="664"/>
      <c r="O1839" s="665"/>
      <c r="P1839" s="666"/>
      <c r="Q1839" s="667"/>
      <c r="R1839" s="668"/>
      <c r="S1839" s="665"/>
      <c r="T1839" s="669"/>
      <c r="U1839" s="669"/>
      <c r="V1839" s="665"/>
      <c r="W1839" s="670"/>
      <c r="X1839" s="670"/>
      <c r="Y1839" s="671"/>
      <c r="Z1839" s="671"/>
      <c r="AA1839" s="672"/>
      <c r="AB1839" s="673"/>
      <c r="AC1839" s="673"/>
      <c r="AD1839" s="673"/>
      <c r="AE1839" s="673"/>
      <c r="AF1839" s="673"/>
      <c r="AG1839" s="673"/>
      <c r="AH1839" s="673"/>
      <c r="AI1839" s="673"/>
      <c r="AJ1839" s="673"/>
      <c r="AK1839" s="673"/>
      <c r="AL1839" s="673"/>
      <c r="AM1839" s="673"/>
      <c r="AN1839" s="673"/>
      <c r="AO1839" s="673"/>
      <c r="AP1839" s="673"/>
      <c r="AQ1839" s="673"/>
      <c r="AR1839" s="673"/>
      <c r="AS1839" s="673"/>
    </row>
    <row r="1840">
      <c r="A1840" s="653"/>
      <c r="B1840" s="654"/>
      <c r="C1840" s="655"/>
      <c r="D1840" s="656"/>
      <c r="E1840" s="657"/>
      <c r="F1840" s="658"/>
      <c r="G1840" s="659"/>
      <c r="H1840" s="660"/>
      <c r="I1840" s="659"/>
      <c r="J1840" s="661"/>
      <c r="K1840" s="658"/>
      <c r="L1840" s="662"/>
      <c r="M1840" s="663"/>
      <c r="N1840" s="664"/>
      <c r="O1840" s="665"/>
      <c r="P1840" s="666"/>
      <c r="Q1840" s="667"/>
      <c r="R1840" s="668"/>
      <c r="S1840" s="665"/>
      <c r="T1840" s="669"/>
      <c r="U1840" s="669"/>
      <c r="V1840" s="665"/>
      <c r="W1840" s="670"/>
      <c r="X1840" s="670"/>
      <c r="Y1840" s="671"/>
      <c r="Z1840" s="671"/>
      <c r="AA1840" s="672"/>
      <c r="AB1840" s="673"/>
      <c r="AC1840" s="673"/>
      <c r="AD1840" s="673"/>
      <c r="AE1840" s="673"/>
      <c r="AF1840" s="673"/>
      <c r="AG1840" s="673"/>
      <c r="AH1840" s="673"/>
      <c r="AI1840" s="673"/>
      <c r="AJ1840" s="673"/>
      <c r="AK1840" s="673"/>
      <c r="AL1840" s="673"/>
      <c r="AM1840" s="673"/>
      <c r="AN1840" s="673"/>
      <c r="AO1840" s="673"/>
      <c r="AP1840" s="673"/>
      <c r="AQ1840" s="673"/>
      <c r="AR1840" s="673"/>
      <c r="AS1840" s="673"/>
    </row>
    <row r="1841">
      <c r="A1841" s="653"/>
      <c r="B1841" s="654"/>
      <c r="C1841" s="655"/>
      <c r="D1841" s="656"/>
      <c r="E1841" s="657"/>
      <c r="F1841" s="658"/>
      <c r="G1841" s="659"/>
      <c r="H1841" s="660"/>
      <c r="I1841" s="659"/>
      <c r="J1841" s="661"/>
      <c r="K1841" s="658"/>
      <c r="L1841" s="662"/>
      <c r="M1841" s="663"/>
      <c r="N1841" s="664"/>
      <c r="O1841" s="665"/>
      <c r="P1841" s="666"/>
      <c r="Q1841" s="667"/>
      <c r="R1841" s="668"/>
      <c r="S1841" s="665"/>
      <c r="T1841" s="669"/>
      <c r="U1841" s="669"/>
      <c r="V1841" s="665"/>
      <c r="W1841" s="670"/>
      <c r="X1841" s="670"/>
      <c r="Y1841" s="671"/>
      <c r="Z1841" s="671"/>
      <c r="AA1841" s="672"/>
      <c r="AB1841" s="673"/>
      <c r="AC1841" s="673"/>
      <c r="AD1841" s="673"/>
      <c r="AE1841" s="673"/>
      <c r="AF1841" s="673"/>
      <c r="AG1841" s="673"/>
      <c r="AH1841" s="673"/>
      <c r="AI1841" s="673"/>
      <c r="AJ1841" s="673"/>
      <c r="AK1841" s="673"/>
      <c r="AL1841" s="673"/>
      <c r="AM1841" s="673"/>
      <c r="AN1841" s="673"/>
      <c r="AO1841" s="673"/>
      <c r="AP1841" s="673"/>
      <c r="AQ1841" s="673"/>
      <c r="AR1841" s="673"/>
      <c r="AS1841" s="673"/>
    </row>
    <row r="1842">
      <c r="A1842" s="653"/>
      <c r="B1842" s="654"/>
      <c r="C1842" s="655"/>
      <c r="D1842" s="656"/>
      <c r="E1842" s="657"/>
      <c r="F1842" s="658"/>
      <c r="G1842" s="659"/>
      <c r="H1842" s="660"/>
      <c r="I1842" s="659"/>
      <c r="J1842" s="661"/>
      <c r="K1842" s="658"/>
      <c r="L1842" s="662"/>
      <c r="M1842" s="663"/>
      <c r="N1842" s="664"/>
      <c r="O1842" s="665"/>
      <c r="P1842" s="666"/>
      <c r="Q1842" s="667"/>
      <c r="R1842" s="668"/>
      <c r="S1842" s="665"/>
      <c r="T1842" s="669"/>
      <c r="U1842" s="669"/>
      <c r="V1842" s="665"/>
      <c r="W1842" s="670"/>
      <c r="X1842" s="670"/>
      <c r="Y1842" s="671"/>
      <c r="Z1842" s="671"/>
      <c r="AA1842" s="672"/>
      <c r="AB1842" s="673"/>
      <c r="AC1842" s="673"/>
      <c r="AD1842" s="673"/>
      <c r="AE1842" s="673"/>
      <c r="AF1842" s="673"/>
      <c r="AG1842" s="673"/>
      <c r="AH1842" s="673"/>
      <c r="AI1842" s="673"/>
      <c r="AJ1842" s="673"/>
      <c r="AK1842" s="673"/>
      <c r="AL1842" s="673"/>
      <c r="AM1842" s="673"/>
      <c r="AN1842" s="673"/>
      <c r="AO1842" s="673"/>
      <c r="AP1842" s="673"/>
      <c r="AQ1842" s="673"/>
      <c r="AR1842" s="673"/>
      <c r="AS1842" s="673"/>
    </row>
    <row r="1843">
      <c r="A1843" s="653"/>
      <c r="B1843" s="654"/>
      <c r="C1843" s="655"/>
      <c r="D1843" s="656"/>
      <c r="E1843" s="657"/>
      <c r="F1843" s="658"/>
      <c r="G1843" s="659"/>
      <c r="H1843" s="660"/>
      <c r="I1843" s="659"/>
      <c r="J1843" s="661"/>
      <c r="K1843" s="658"/>
      <c r="L1843" s="662"/>
      <c r="M1843" s="663"/>
      <c r="N1843" s="664"/>
      <c r="O1843" s="665"/>
      <c r="P1843" s="666"/>
      <c r="Q1843" s="667"/>
      <c r="R1843" s="668"/>
      <c r="S1843" s="665"/>
      <c r="T1843" s="669"/>
      <c r="U1843" s="669"/>
      <c r="V1843" s="665"/>
      <c r="W1843" s="670"/>
      <c r="X1843" s="670"/>
      <c r="Y1843" s="671"/>
      <c r="Z1843" s="671"/>
      <c r="AA1843" s="672"/>
      <c r="AB1843" s="673"/>
      <c r="AC1843" s="673"/>
      <c r="AD1843" s="673"/>
      <c r="AE1843" s="673"/>
      <c r="AF1843" s="673"/>
      <c r="AG1843" s="673"/>
      <c r="AH1843" s="673"/>
      <c r="AI1843" s="673"/>
      <c r="AJ1843" s="673"/>
      <c r="AK1843" s="673"/>
      <c r="AL1843" s="673"/>
      <c r="AM1843" s="673"/>
      <c r="AN1843" s="673"/>
      <c r="AO1843" s="673"/>
      <c r="AP1843" s="673"/>
      <c r="AQ1843" s="673"/>
      <c r="AR1843" s="673"/>
      <c r="AS1843" s="673"/>
    </row>
    <row r="1844">
      <c r="A1844" s="653"/>
      <c r="B1844" s="654"/>
      <c r="C1844" s="655"/>
      <c r="D1844" s="656"/>
      <c r="E1844" s="657"/>
      <c r="F1844" s="658"/>
      <c r="G1844" s="659"/>
      <c r="H1844" s="660"/>
      <c r="I1844" s="659"/>
      <c r="J1844" s="661"/>
      <c r="K1844" s="658"/>
      <c r="L1844" s="662"/>
      <c r="M1844" s="663"/>
      <c r="N1844" s="664"/>
      <c r="O1844" s="665"/>
      <c r="P1844" s="666"/>
      <c r="Q1844" s="667"/>
      <c r="R1844" s="668"/>
      <c r="S1844" s="665"/>
      <c r="T1844" s="669"/>
      <c r="U1844" s="669"/>
      <c r="V1844" s="665"/>
      <c r="W1844" s="670"/>
      <c r="X1844" s="670"/>
      <c r="Y1844" s="671"/>
      <c r="Z1844" s="671"/>
      <c r="AA1844" s="672"/>
      <c r="AB1844" s="673"/>
      <c r="AC1844" s="673"/>
      <c r="AD1844" s="673"/>
      <c r="AE1844" s="673"/>
      <c r="AF1844" s="673"/>
      <c r="AG1844" s="673"/>
      <c r="AH1844" s="673"/>
      <c r="AI1844" s="673"/>
      <c r="AJ1844" s="673"/>
      <c r="AK1844" s="673"/>
      <c r="AL1844" s="673"/>
      <c r="AM1844" s="673"/>
      <c r="AN1844" s="673"/>
      <c r="AO1844" s="673"/>
      <c r="AP1844" s="673"/>
      <c r="AQ1844" s="673"/>
      <c r="AR1844" s="673"/>
      <c r="AS1844" s="673"/>
    </row>
    <row r="1845">
      <c r="A1845" s="653"/>
      <c r="B1845" s="654"/>
      <c r="C1845" s="655"/>
      <c r="D1845" s="656"/>
      <c r="E1845" s="657"/>
      <c r="F1845" s="658"/>
      <c r="G1845" s="659"/>
      <c r="H1845" s="660"/>
      <c r="I1845" s="659"/>
      <c r="J1845" s="661"/>
      <c r="K1845" s="658"/>
      <c r="L1845" s="662"/>
      <c r="M1845" s="663"/>
      <c r="N1845" s="664"/>
      <c r="O1845" s="665"/>
      <c r="P1845" s="666"/>
      <c r="Q1845" s="667"/>
      <c r="R1845" s="668"/>
      <c r="S1845" s="665"/>
      <c r="T1845" s="669"/>
      <c r="U1845" s="669"/>
      <c r="V1845" s="665"/>
      <c r="W1845" s="670"/>
      <c r="X1845" s="670"/>
      <c r="Y1845" s="671"/>
      <c r="Z1845" s="671"/>
      <c r="AA1845" s="672"/>
      <c r="AB1845" s="673"/>
      <c r="AC1845" s="673"/>
      <c r="AD1845" s="673"/>
      <c r="AE1845" s="673"/>
      <c r="AF1845" s="673"/>
      <c r="AG1845" s="673"/>
      <c r="AH1845" s="673"/>
      <c r="AI1845" s="673"/>
      <c r="AJ1845" s="673"/>
      <c r="AK1845" s="673"/>
      <c r="AL1845" s="673"/>
      <c r="AM1845" s="673"/>
      <c r="AN1845" s="673"/>
      <c r="AO1845" s="673"/>
      <c r="AP1845" s="673"/>
      <c r="AQ1845" s="673"/>
      <c r="AR1845" s="673"/>
      <c r="AS1845" s="673"/>
    </row>
    <row r="1846">
      <c r="A1846" s="653"/>
      <c r="B1846" s="654"/>
      <c r="C1846" s="655"/>
      <c r="D1846" s="656"/>
      <c r="E1846" s="657"/>
      <c r="F1846" s="658"/>
      <c r="G1846" s="659"/>
      <c r="H1846" s="660"/>
      <c r="I1846" s="659"/>
      <c r="J1846" s="661"/>
      <c r="K1846" s="658"/>
      <c r="L1846" s="662"/>
      <c r="M1846" s="663"/>
      <c r="N1846" s="664"/>
      <c r="O1846" s="665"/>
      <c r="P1846" s="666"/>
      <c r="Q1846" s="667"/>
      <c r="R1846" s="668"/>
      <c r="S1846" s="665"/>
      <c r="T1846" s="669"/>
      <c r="U1846" s="669"/>
      <c r="V1846" s="665"/>
      <c r="W1846" s="670"/>
      <c r="X1846" s="670"/>
      <c r="Y1846" s="671"/>
      <c r="Z1846" s="671"/>
      <c r="AA1846" s="672"/>
      <c r="AB1846" s="673"/>
      <c r="AC1846" s="673"/>
      <c r="AD1846" s="673"/>
      <c r="AE1846" s="673"/>
      <c r="AF1846" s="673"/>
      <c r="AG1846" s="673"/>
      <c r="AH1846" s="673"/>
      <c r="AI1846" s="673"/>
      <c r="AJ1846" s="673"/>
      <c r="AK1846" s="673"/>
      <c r="AL1846" s="673"/>
      <c r="AM1846" s="673"/>
      <c r="AN1846" s="673"/>
      <c r="AO1846" s="673"/>
      <c r="AP1846" s="673"/>
      <c r="AQ1846" s="673"/>
      <c r="AR1846" s="673"/>
      <c r="AS1846" s="673"/>
    </row>
    <row r="1847">
      <c r="A1847" s="653"/>
      <c r="B1847" s="654"/>
      <c r="C1847" s="655"/>
      <c r="D1847" s="656"/>
      <c r="E1847" s="657"/>
      <c r="F1847" s="658"/>
      <c r="G1847" s="659"/>
      <c r="H1847" s="660"/>
      <c r="I1847" s="659"/>
      <c r="J1847" s="661"/>
      <c r="K1847" s="658"/>
      <c r="L1847" s="662"/>
      <c r="M1847" s="663"/>
      <c r="N1847" s="664"/>
      <c r="O1847" s="665"/>
      <c r="P1847" s="666"/>
      <c r="Q1847" s="667"/>
      <c r="R1847" s="668"/>
      <c r="S1847" s="665"/>
      <c r="T1847" s="669"/>
      <c r="U1847" s="669"/>
      <c r="V1847" s="665"/>
      <c r="W1847" s="670"/>
      <c r="X1847" s="670"/>
      <c r="Y1847" s="671"/>
      <c r="Z1847" s="671"/>
      <c r="AA1847" s="672"/>
      <c r="AB1847" s="673"/>
      <c r="AC1847" s="673"/>
      <c r="AD1847" s="673"/>
      <c r="AE1847" s="673"/>
      <c r="AF1847" s="673"/>
      <c r="AG1847" s="673"/>
      <c r="AH1847" s="673"/>
      <c r="AI1847" s="673"/>
      <c r="AJ1847" s="673"/>
      <c r="AK1847" s="673"/>
      <c r="AL1847" s="673"/>
      <c r="AM1847" s="673"/>
      <c r="AN1847" s="673"/>
      <c r="AO1847" s="673"/>
      <c r="AP1847" s="673"/>
      <c r="AQ1847" s="673"/>
      <c r="AR1847" s="673"/>
      <c r="AS1847" s="673"/>
    </row>
    <row r="1848">
      <c r="A1848" s="653"/>
      <c r="B1848" s="654"/>
      <c r="C1848" s="655"/>
      <c r="D1848" s="656"/>
      <c r="E1848" s="657"/>
      <c r="F1848" s="658"/>
      <c r="G1848" s="659"/>
      <c r="H1848" s="660"/>
      <c r="I1848" s="659"/>
      <c r="J1848" s="661"/>
      <c r="K1848" s="658"/>
      <c r="L1848" s="662"/>
      <c r="M1848" s="663"/>
      <c r="N1848" s="664"/>
      <c r="O1848" s="665"/>
      <c r="P1848" s="666"/>
      <c r="Q1848" s="667"/>
      <c r="R1848" s="668"/>
      <c r="S1848" s="665"/>
      <c r="T1848" s="669"/>
      <c r="U1848" s="669"/>
      <c r="V1848" s="665"/>
      <c r="W1848" s="670"/>
      <c r="X1848" s="670"/>
      <c r="Y1848" s="671"/>
      <c r="Z1848" s="671"/>
      <c r="AA1848" s="672"/>
      <c r="AB1848" s="673"/>
      <c r="AC1848" s="673"/>
      <c r="AD1848" s="673"/>
      <c r="AE1848" s="673"/>
      <c r="AF1848" s="673"/>
      <c r="AG1848" s="673"/>
      <c r="AH1848" s="673"/>
      <c r="AI1848" s="673"/>
      <c r="AJ1848" s="673"/>
      <c r="AK1848" s="673"/>
      <c r="AL1848" s="673"/>
      <c r="AM1848" s="673"/>
      <c r="AN1848" s="673"/>
      <c r="AO1848" s="673"/>
      <c r="AP1848" s="673"/>
      <c r="AQ1848" s="673"/>
      <c r="AR1848" s="673"/>
      <c r="AS1848" s="673"/>
    </row>
    <row r="1849">
      <c r="A1849" s="653"/>
      <c r="B1849" s="654"/>
      <c r="C1849" s="655"/>
      <c r="D1849" s="656"/>
      <c r="E1849" s="657"/>
      <c r="F1849" s="658"/>
      <c r="G1849" s="659"/>
      <c r="H1849" s="660"/>
      <c r="I1849" s="659"/>
      <c r="J1849" s="661"/>
      <c r="K1849" s="658"/>
      <c r="L1849" s="662"/>
      <c r="M1849" s="663"/>
      <c r="N1849" s="664"/>
      <c r="O1849" s="665"/>
      <c r="P1849" s="666"/>
      <c r="Q1849" s="667"/>
      <c r="R1849" s="668"/>
      <c r="S1849" s="665"/>
      <c r="T1849" s="669"/>
      <c r="U1849" s="669"/>
      <c r="V1849" s="665"/>
      <c r="W1849" s="670"/>
      <c r="X1849" s="670"/>
      <c r="Y1849" s="671"/>
      <c r="Z1849" s="671"/>
      <c r="AA1849" s="672"/>
      <c r="AB1849" s="673"/>
      <c r="AC1849" s="673"/>
      <c r="AD1849" s="673"/>
      <c r="AE1849" s="673"/>
      <c r="AF1849" s="673"/>
      <c r="AG1849" s="673"/>
      <c r="AH1849" s="673"/>
      <c r="AI1849" s="673"/>
      <c r="AJ1849" s="673"/>
      <c r="AK1849" s="673"/>
      <c r="AL1849" s="673"/>
      <c r="AM1849" s="673"/>
      <c r="AN1849" s="673"/>
      <c r="AO1849" s="673"/>
      <c r="AP1849" s="673"/>
      <c r="AQ1849" s="673"/>
      <c r="AR1849" s="673"/>
      <c r="AS1849" s="673"/>
    </row>
    <row r="1850">
      <c r="A1850" s="653"/>
      <c r="B1850" s="654"/>
      <c r="C1850" s="655"/>
      <c r="D1850" s="656"/>
      <c r="E1850" s="657"/>
      <c r="F1850" s="658"/>
      <c r="G1850" s="659"/>
      <c r="H1850" s="660"/>
      <c r="I1850" s="659"/>
      <c r="J1850" s="661"/>
      <c r="K1850" s="658"/>
      <c r="L1850" s="662"/>
      <c r="M1850" s="663"/>
      <c r="N1850" s="664"/>
      <c r="O1850" s="665"/>
      <c r="P1850" s="666"/>
      <c r="Q1850" s="667"/>
      <c r="R1850" s="668"/>
      <c r="S1850" s="665"/>
      <c r="T1850" s="669"/>
      <c r="U1850" s="669"/>
      <c r="V1850" s="665"/>
      <c r="W1850" s="670"/>
      <c r="X1850" s="670"/>
      <c r="Y1850" s="671"/>
      <c r="Z1850" s="671"/>
      <c r="AA1850" s="672"/>
      <c r="AB1850" s="673"/>
      <c r="AC1850" s="673"/>
      <c r="AD1850" s="673"/>
      <c r="AE1850" s="673"/>
      <c r="AF1850" s="673"/>
      <c r="AG1850" s="673"/>
      <c r="AH1850" s="673"/>
      <c r="AI1850" s="673"/>
      <c r="AJ1850" s="673"/>
      <c r="AK1850" s="673"/>
      <c r="AL1850" s="673"/>
      <c r="AM1850" s="673"/>
      <c r="AN1850" s="673"/>
      <c r="AO1850" s="673"/>
      <c r="AP1850" s="673"/>
      <c r="AQ1850" s="673"/>
      <c r="AR1850" s="673"/>
      <c r="AS1850" s="673"/>
    </row>
    <row r="1851">
      <c r="A1851" s="653"/>
      <c r="B1851" s="654"/>
      <c r="C1851" s="655"/>
      <c r="D1851" s="656"/>
      <c r="E1851" s="657"/>
      <c r="F1851" s="658"/>
      <c r="G1851" s="659"/>
      <c r="H1851" s="660"/>
      <c r="I1851" s="659"/>
      <c r="J1851" s="661"/>
      <c r="K1851" s="658"/>
      <c r="L1851" s="662"/>
      <c r="M1851" s="663"/>
      <c r="N1851" s="664"/>
      <c r="O1851" s="665"/>
      <c r="P1851" s="666"/>
      <c r="Q1851" s="667"/>
      <c r="R1851" s="668"/>
      <c r="S1851" s="665"/>
      <c r="T1851" s="669"/>
      <c r="U1851" s="669"/>
      <c r="V1851" s="665"/>
      <c r="W1851" s="670"/>
      <c r="X1851" s="670"/>
      <c r="Y1851" s="671"/>
      <c r="Z1851" s="671"/>
      <c r="AA1851" s="672"/>
      <c r="AB1851" s="673"/>
      <c r="AC1851" s="673"/>
      <c r="AD1851" s="673"/>
      <c r="AE1851" s="673"/>
      <c r="AF1851" s="673"/>
      <c r="AG1851" s="673"/>
      <c r="AH1851" s="673"/>
      <c r="AI1851" s="673"/>
      <c r="AJ1851" s="673"/>
      <c r="AK1851" s="673"/>
      <c r="AL1851" s="673"/>
      <c r="AM1851" s="673"/>
      <c r="AN1851" s="673"/>
      <c r="AO1851" s="673"/>
      <c r="AP1851" s="673"/>
      <c r="AQ1851" s="673"/>
      <c r="AR1851" s="673"/>
      <c r="AS1851" s="673"/>
    </row>
    <row r="1852">
      <c r="A1852" s="653"/>
      <c r="B1852" s="654"/>
      <c r="C1852" s="655"/>
      <c r="D1852" s="656"/>
      <c r="E1852" s="657"/>
      <c r="F1852" s="658"/>
      <c r="G1852" s="659"/>
      <c r="H1852" s="660"/>
      <c r="I1852" s="659"/>
      <c r="J1852" s="661"/>
      <c r="K1852" s="658"/>
      <c r="L1852" s="662"/>
      <c r="M1852" s="663"/>
      <c r="N1852" s="664"/>
      <c r="O1852" s="665"/>
      <c r="P1852" s="666"/>
      <c r="Q1852" s="667"/>
      <c r="R1852" s="668"/>
      <c r="S1852" s="665"/>
      <c r="T1852" s="669"/>
      <c r="U1852" s="669"/>
      <c r="V1852" s="665"/>
      <c r="W1852" s="670"/>
      <c r="X1852" s="670"/>
      <c r="Y1852" s="671"/>
      <c r="Z1852" s="671"/>
      <c r="AA1852" s="672"/>
      <c r="AB1852" s="673"/>
      <c r="AC1852" s="673"/>
      <c r="AD1852" s="673"/>
      <c r="AE1852" s="673"/>
      <c r="AF1852" s="673"/>
      <c r="AG1852" s="673"/>
      <c r="AH1852" s="673"/>
      <c r="AI1852" s="673"/>
      <c r="AJ1852" s="673"/>
      <c r="AK1852" s="673"/>
      <c r="AL1852" s="673"/>
      <c r="AM1852" s="673"/>
      <c r="AN1852" s="673"/>
      <c r="AO1852" s="673"/>
      <c r="AP1852" s="673"/>
      <c r="AQ1852" s="673"/>
      <c r="AR1852" s="673"/>
      <c r="AS1852" s="673"/>
    </row>
    <row r="1853">
      <c r="A1853" s="653"/>
      <c r="B1853" s="654"/>
      <c r="C1853" s="655"/>
      <c r="D1853" s="656"/>
      <c r="E1853" s="657"/>
      <c r="F1853" s="658"/>
      <c r="G1853" s="659"/>
      <c r="H1853" s="660"/>
      <c r="I1853" s="659"/>
      <c r="J1853" s="661"/>
      <c r="K1853" s="658"/>
      <c r="L1853" s="662"/>
      <c r="M1853" s="663"/>
      <c r="N1853" s="664"/>
      <c r="O1853" s="665"/>
      <c r="P1853" s="666"/>
      <c r="Q1853" s="667"/>
      <c r="R1853" s="668"/>
      <c r="S1853" s="665"/>
      <c r="T1853" s="669"/>
      <c r="U1853" s="669"/>
      <c r="V1853" s="665"/>
      <c r="W1853" s="670"/>
      <c r="X1853" s="670"/>
      <c r="Y1853" s="671"/>
      <c r="Z1853" s="671"/>
      <c r="AA1853" s="672"/>
      <c r="AB1853" s="673"/>
      <c r="AC1853" s="673"/>
      <c r="AD1853" s="673"/>
      <c r="AE1853" s="673"/>
      <c r="AF1853" s="673"/>
      <c r="AG1853" s="673"/>
      <c r="AH1853" s="673"/>
      <c r="AI1853" s="673"/>
      <c r="AJ1853" s="673"/>
      <c r="AK1853" s="673"/>
      <c r="AL1853" s="673"/>
      <c r="AM1853" s="673"/>
      <c r="AN1853" s="673"/>
      <c r="AO1853" s="673"/>
      <c r="AP1853" s="673"/>
      <c r="AQ1853" s="673"/>
      <c r="AR1853" s="673"/>
      <c r="AS1853" s="673"/>
    </row>
    <row r="1854">
      <c r="A1854" s="653"/>
      <c r="B1854" s="654"/>
      <c r="C1854" s="655"/>
      <c r="D1854" s="656"/>
      <c r="E1854" s="657"/>
      <c r="F1854" s="658"/>
      <c r="G1854" s="659"/>
      <c r="H1854" s="660"/>
      <c r="I1854" s="659"/>
      <c r="J1854" s="661"/>
      <c r="K1854" s="658"/>
      <c r="L1854" s="662"/>
      <c r="M1854" s="663"/>
      <c r="N1854" s="664"/>
      <c r="O1854" s="665"/>
      <c r="P1854" s="666"/>
      <c r="Q1854" s="667"/>
      <c r="R1854" s="668"/>
      <c r="S1854" s="665"/>
      <c r="T1854" s="669"/>
      <c r="U1854" s="669"/>
      <c r="V1854" s="665"/>
      <c r="W1854" s="670"/>
      <c r="X1854" s="670"/>
      <c r="Y1854" s="671"/>
      <c r="Z1854" s="671"/>
      <c r="AA1854" s="672"/>
      <c r="AB1854" s="673"/>
      <c r="AC1854" s="673"/>
      <c r="AD1854" s="673"/>
      <c r="AE1854" s="673"/>
      <c r="AF1854" s="673"/>
      <c r="AG1854" s="673"/>
      <c r="AH1854" s="673"/>
      <c r="AI1854" s="673"/>
      <c r="AJ1854" s="673"/>
      <c r="AK1854" s="673"/>
      <c r="AL1854" s="673"/>
      <c r="AM1854" s="673"/>
      <c r="AN1854" s="673"/>
      <c r="AO1854" s="673"/>
      <c r="AP1854" s="673"/>
      <c r="AQ1854" s="673"/>
      <c r="AR1854" s="673"/>
      <c r="AS1854" s="673"/>
    </row>
    <row r="1855">
      <c r="A1855" s="653"/>
      <c r="B1855" s="654"/>
      <c r="C1855" s="655"/>
      <c r="D1855" s="656"/>
      <c r="E1855" s="657"/>
      <c r="F1855" s="658"/>
      <c r="G1855" s="659"/>
      <c r="H1855" s="660"/>
      <c r="I1855" s="659"/>
      <c r="J1855" s="661"/>
      <c r="K1855" s="658"/>
      <c r="L1855" s="662"/>
      <c r="M1855" s="663"/>
      <c r="N1855" s="664"/>
      <c r="O1855" s="665"/>
      <c r="P1855" s="666"/>
      <c r="Q1855" s="667"/>
      <c r="R1855" s="668"/>
      <c r="S1855" s="665"/>
      <c r="T1855" s="669"/>
      <c r="U1855" s="669"/>
      <c r="V1855" s="665"/>
      <c r="W1855" s="670"/>
      <c r="X1855" s="670"/>
      <c r="Y1855" s="671"/>
      <c r="Z1855" s="671"/>
      <c r="AA1855" s="672"/>
      <c r="AB1855" s="673"/>
      <c r="AC1855" s="673"/>
      <c r="AD1855" s="673"/>
      <c r="AE1855" s="673"/>
      <c r="AF1855" s="673"/>
      <c r="AG1855" s="673"/>
      <c r="AH1855" s="673"/>
      <c r="AI1855" s="673"/>
      <c r="AJ1855" s="673"/>
      <c r="AK1855" s="673"/>
      <c r="AL1855" s="673"/>
      <c r="AM1855" s="673"/>
      <c r="AN1855" s="673"/>
      <c r="AO1855" s="673"/>
      <c r="AP1855" s="673"/>
      <c r="AQ1855" s="673"/>
      <c r="AR1855" s="673"/>
      <c r="AS1855" s="673"/>
    </row>
    <row r="1856">
      <c r="A1856" s="653"/>
      <c r="B1856" s="654"/>
      <c r="C1856" s="655"/>
      <c r="D1856" s="656"/>
      <c r="E1856" s="657"/>
      <c r="F1856" s="658"/>
      <c r="G1856" s="659"/>
      <c r="H1856" s="660"/>
      <c r="I1856" s="659"/>
      <c r="J1856" s="661"/>
      <c r="K1856" s="658"/>
      <c r="L1856" s="662"/>
      <c r="M1856" s="663"/>
      <c r="N1856" s="664"/>
      <c r="O1856" s="665"/>
      <c r="P1856" s="666"/>
      <c r="Q1856" s="667"/>
      <c r="R1856" s="668"/>
      <c r="S1856" s="665"/>
      <c r="T1856" s="669"/>
      <c r="U1856" s="669"/>
      <c r="V1856" s="665"/>
      <c r="W1856" s="670"/>
      <c r="X1856" s="670"/>
      <c r="Y1856" s="671"/>
      <c r="Z1856" s="671"/>
      <c r="AA1856" s="672"/>
      <c r="AB1856" s="673"/>
      <c r="AC1856" s="673"/>
      <c r="AD1856" s="673"/>
      <c r="AE1856" s="673"/>
      <c r="AF1856" s="673"/>
      <c r="AG1856" s="673"/>
      <c r="AH1856" s="673"/>
      <c r="AI1856" s="673"/>
      <c r="AJ1856" s="673"/>
      <c r="AK1856" s="673"/>
      <c r="AL1856" s="673"/>
      <c r="AM1856" s="673"/>
      <c r="AN1856" s="673"/>
      <c r="AO1856" s="673"/>
      <c r="AP1856" s="673"/>
      <c r="AQ1856" s="673"/>
      <c r="AR1856" s="673"/>
      <c r="AS1856" s="673"/>
    </row>
    <row r="1857">
      <c r="A1857" s="653"/>
      <c r="B1857" s="654"/>
      <c r="C1857" s="655"/>
      <c r="D1857" s="656"/>
      <c r="E1857" s="657"/>
      <c r="F1857" s="658"/>
      <c r="G1857" s="659"/>
      <c r="H1857" s="660"/>
      <c r="I1857" s="659"/>
      <c r="J1857" s="661"/>
      <c r="K1857" s="658"/>
      <c r="L1857" s="662"/>
      <c r="M1857" s="663"/>
      <c r="N1857" s="664"/>
      <c r="O1857" s="665"/>
      <c r="P1857" s="666"/>
      <c r="Q1857" s="667"/>
      <c r="R1857" s="668"/>
      <c r="S1857" s="665"/>
      <c r="T1857" s="669"/>
      <c r="U1857" s="669"/>
      <c r="V1857" s="665"/>
      <c r="W1857" s="670"/>
      <c r="X1857" s="670"/>
      <c r="Y1857" s="671"/>
      <c r="Z1857" s="671"/>
      <c r="AA1857" s="672"/>
      <c r="AB1857" s="673"/>
      <c r="AC1857" s="673"/>
      <c r="AD1857" s="673"/>
      <c r="AE1857" s="673"/>
      <c r="AF1857" s="673"/>
      <c r="AG1857" s="673"/>
      <c r="AH1857" s="673"/>
      <c r="AI1857" s="673"/>
      <c r="AJ1857" s="673"/>
      <c r="AK1857" s="673"/>
      <c r="AL1857" s="673"/>
      <c r="AM1857" s="673"/>
      <c r="AN1857" s="673"/>
      <c r="AO1857" s="673"/>
      <c r="AP1857" s="673"/>
      <c r="AQ1857" s="673"/>
      <c r="AR1857" s="673"/>
      <c r="AS1857" s="673"/>
    </row>
    <row r="1858">
      <c r="A1858" s="653"/>
      <c r="B1858" s="654"/>
      <c r="C1858" s="655"/>
      <c r="D1858" s="656"/>
      <c r="E1858" s="657"/>
      <c r="F1858" s="658"/>
      <c r="G1858" s="659"/>
      <c r="H1858" s="660"/>
      <c r="I1858" s="659"/>
      <c r="J1858" s="661"/>
      <c r="K1858" s="658"/>
      <c r="L1858" s="662"/>
      <c r="M1858" s="663"/>
      <c r="N1858" s="664"/>
      <c r="O1858" s="665"/>
      <c r="P1858" s="666"/>
      <c r="Q1858" s="667"/>
      <c r="R1858" s="668"/>
      <c r="S1858" s="665"/>
      <c r="T1858" s="669"/>
      <c r="U1858" s="669"/>
      <c r="V1858" s="665"/>
      <c r="W1858" s="670"/>
      <c r="X1858" s="670"/>
      <c r="Y1858" s="671"/>
      <c r="Z1858" s="671"/>
      <c r="AA1858" s="672"/>
      <c r="AB1858" s="673"/>
      <c r="AC1858" s="673"/>
      <c r="AD1858" s="673"/>
      <c r="AE1858" s="673"/>
      <c r="AF1858" s="673"/>
      <c r="AG1858" s="673"/>
      <c r="AH1858" s="673"/>
      <c r="AI1858" s="673"/>
      <c r="AJ1858" s="673"/>
      <c r="AK1858" s="673"/>
      <c r="AL1858" s="673"/>
      <c r="AM1858" s="673"/>
      <c r="AN1858" s="673"/>
      <c r="AO1858" s="673"/>
      <c r="AP1858" s="673"/>
      <c r="AQ1858" s="673"/>
      <c r="AR1858" s="673"/>
      <c r="AS1858" s="673"/>
    </row>
    <row r="1859">
      <c r="A1859" s="653"/>
      <c r="B1859" s="654"/>
      <c r="C1859" s="655"/>
      <c r="D1859" s="656"/>
      <c r="E1859" s="657"/>
      <c r="F1859" s="658"/>
      <c r="G1859" s="659"/>
      <c r="H1859" s="660"/>
      <c r="I1859" s="659"/>
      <c r="J1859" s="661"/>
      <c r="K1859" s="658"/>
      <c r="L1859" s="662"/>
      <c r="M1859" s="663"/>
      <c r="N1859" s="664"/>
      <c r="O1859" s="665"/>
      <c r="P1859" s="666"/>
      <c r="Q1859" s="667"/>
      <c r="R1859" s="668"/>
      <c r="S1859" s="665"/>
      <c r="T1859" s="669"/>
      <c r="U1859" s="669"/>
      <c r="V1859" s="665"/>
      <c r="W1859" s="670"/>
      <c r="X1859" s="670"/>
      <c r="Y1859" s="671"/>
      <c r="Z1859" s="671"/>
      <c r="AA1859" s="672"/>
      <c r="AB1859" s="673"/>
      <c r="AC1859" s="673"/>
      <c r="AD1859" s="673"/>
      <c r="AE1859" s="673"/>
      <c r="AF1859" s="673"/>
      <c r="AG1859" s="673"/>
      <c r="AH1859" s="673"/>
      <c r="AI1859" s="673"/>
      <c r="AJ1859" s="673"/>
      <c r="AK1859" s="673"/>
      <c r="AL1859" s="673"/>
      <c r="AM1859" s="673"/>
      <c r="AN1859" s="673"/>
      <c r="AO1859" s="673"/>
      <c r="AP1859" s="673"/>
      <c r="AQ1859" s="673"/>
      <c r="AR1859" s="673"/>
      <c r="AS1859" s="673"/>
    </row>
    <row r="1860">
      <c r="A1860" s="653"/>
      <c r="B1860" s="654"/>
      <c r="C1860" s="655"/>
      <c r="D1860" s="656"/>
      <c r="E1860" s="657"/>
      <c r="F1860" s="658"/>
      <c r="G1860" s="659"/>
      <c r="H1860" s="660"/>
      <c r="I1860" s="659"/>
      <c r="J1860" s="661"/>
      <c r="K1860" s="658"/>
      <c r="L1860" s="662"/>
      <c r="M1860" s="663"/>
      <c r="N1860" s="664"/>
      <c r="O1860" s="665"/>
      <c r="P1860" s="666"/>
      <c r="Q1860" s="667"/>
      <c r="R1860" s="668"/>
      <c r="S1860" s="665"/>
      <c r="T1860" s="669"/>
      <c r="U1860" s="669"/>
      <c r="V1860" s="665"/>
      <c r="W1860" s="670"/>
      <c r="X1860" s="670"/>
      <c r="Y1860" s="671"/>
      <c r="Z1860" s="671"/>
      <c r="AA1860" s="672"/>
      <c r="AB1860" s="673"/>
      <c r="AC1860" s="673"/>
      <c r="AD1860" s="673"/>
      <c r="AE1860" s="673"/>
      <c r="AF1860" s="673"/>
      <c r="AG1860" s="673"/>
      <c r="AH1860" s="673"/>
      <c r="AI1860" s="673"/>
      <c r="AJ1860" s="673"/>
      <c r="AK1860" s="673"/>
      <c r="AL1860" s="673"/>
      <c r="AM1860" s="673"/>
      <c r="AN1860" s="673"/>
      <c r="AO1860" s="673"/>
      <c r="AP1860" s="673"/>
      <c r="AQ1860" s="673"/>
      <c r="AR1860" s="673"/>
      <c r="AS1860" s="673"/>
    </row>
    <row r="1861">
      <c r="A1861" s="653"/>
      <c r="B1861" s="654"/>
      <c r="C1861" s="655"/>
      <c r="D1861" s="656"/>
      <c r="E1861" s="657"/>
      <c r="F1861" s="658"/>
      <c r="G1861" s="659"/>
      <c r="H1861" s="660"/>
      <c r="I1861" s="659"/>
      <c r="J1861" s="661"/>
      <c r="K1861" s="658"/>
      <c r="L1861" s="662"/>
      <c r="M1861" s="663"/>
      <c r="N1861" s="664"/>
      <c r="O1861" s="665"/>
      <c r="P1861" s="666"/>
      <c r="Q1861" s="667"/>
      <c r="R1861" s="668"/>
      <c r="S1861" s="665"/>
      <c r="T1861" s="669"/>
      <c r="U1861" s="669"/>
      <c r="V1861" s="665"/>
      <c r="W1861" s="670"/>
      <c r="X1861" s="670"/>
      <c r="Y1861" s="671"/>
      <c r="Z1861" s="671"/>
      <c r="AA1861" s="672"/>
      <c r="AB1861" s="673"/>
      <c r="AC1861" s="673"/>
      <c r="AD1861" s="673"/>
      <c r="AE1861" s="673"/>
      <c r="AF1861" s="673"/>
      <c r="AG1861" s="673"/>
      <c r="AH1861" s="673"/>
      <c r="AI1861" s="673"/>
      <c r="AJ1861" s="673"/>
      <c r="AK1861" s="673"/>
      <c r="AL1861" s="673"/>
      <c r="AM1861" s="673"/>
      <c r="AN1861" s="673"/>
      <c r="AO1861" s="673"/>
      <c r="AP1861" s="673"/>
      <c r="AQ1861" s="673"/>
      <c r="AR1861" s="673"/>
      <c r="AS1861" s="673"/>
    </row>
    <row r="1862">
      <c r="A1862" s="653"/>
      <c r="B1862" s="654"/>
      <c r="C1862" s="655"/>
      <c r="D1862" s="656"/>
      <c r="E1862" s="657"/>
      <c r="F1862" s="658"/>
      <c r="G1862" s="659"/>
      <c r="H1862" s="660"/>
      <c r="I1862" s="659"/>
      <c r="J1862" s="661"/>
      <c r="K1862" s="658"/>
      <c r="L1862" s="662"/>
      <c r="M1862" s="663"/>
      <c r="N1862" s="664"/>
      <c r="O1862" s="665"/>
      <c r="P1862" s="666"/>
      <c r="Q1862" s="667"/>
      <c r="R1862" s="668"/>
      <c r="S1862" s="665"/>
      <c r="T1862" s="669"/>
      <c r="U1862" s="669"/>
      <c r="V1862" s="665"/>
      <c r="W1862" s="670"/>
      <c r="X1862" s="670"/>
      <c r="Y1862" s="671"/>
      <c r="Z1862" s="671"/>
      <c r="AA1862" s="672"/>
      <c r="AB1862" s="673"/>
      <c r="AC1862" s="673"/>
      <c r="AD1862" s="673"/>
      <c r="AE1862" s="673"/>
      <c r="AF1862" s="673"/>
      <c r="AG1862" s="673"/>
      <c r="AH1862" s="673"/>
      <c r="AI1862" s="673"/>
      <c r="AJ1862" s="673"/>
      <c r="AK1862" s="673"/>
      <c r="AL1862" s="673"/>
      <c r="AM1862" s="673"/>
      <c r="AN1862" s="673"/>
      <c r="AO1862" s="673"/>
      <c r="AP1862" s="673"/>
      <c r="AQ1862" s="673"/>
      <c r="AR1862" s="673"/>
      <c r="AS1862" s="673"/>
    </row>
    <row r="1863">
      <c r="A1863" s="653"/>
      <c r="B1863" s="654"/>
      <c r="C1863" s="655"/>
      <c r="D1863" s="656"/>
      <c r="E1863" s="657"/>
      <c r="F1863" s="658"/>
      <c r="G1863" s="659"/>
      <c r="H1863" s="660"/>
      <c r="I1863" s="659"/>
      <c r="J1863" s="661"/>
      <c r="K1863" s="658"/>
      <c r="L1863" s="662"/>
      <c r="M1863" s="663"/>
      <c r="N1863" s="664"/>
      <c r="O1863" s="665"/>
      <c r="P1863" s="666"/>
      <c r="Q1863" s="667"/>
      <c r="R1863" s="668"/>
      <c r="S1863" s="665"/>
      <c r="T1863" s="669"/>
      <c r="U1863" s="669"/>
      <c r="V1863" s="665"/>
      <c r="W1863" s="670"/>
      <c r="X1863" s="670"/>
      <c r="Y1863" s="671"/>
      <c r="Z1863" s="671"/>
      <c r="AA1863" s="672"/>
      <c r="AB1863" s="673"/>
      <c r="AC1863" s="673"/>
      <c r="AD1863" s="673"/>
      <c r="AE1863" s="673"/>
      <c r="AF1863" s="673"/>
      <c r="AG1863" s="673"/>
      <c r="AH1863" s="673"/>
      <c r="AI1863" s="673"/>
      <c r="AJ1863" s="673"/>
      <c r="AK1863" s="673"/>
      <c r="AL1863" s="673"/>
      <c r="AM1863" s="673"/>
      <c r="AN1863" s="673"/>
      <c r="AO1863" s="673"/>
      <c r="AP1863" s="673"/>
      <c r="AQ1863" s="673"/>
      <c r="AR1863" s="673"/>
      <c r="AS1863" s="673"/>
    </row>
    <row r="1864">
      <c r="A1864" s="653"/>
      <c r="B1864" s="654"/>
      <c r="C1864" s="655"/>
      <c r="D1864" s="656"/>
      <c r="E1864" s="657"/>
      <c r="F1864" s="658"/>
      <c r="G1864" s="659"/>
      <c r="H1864" s="660"/>
      <c r="I1864" s="659"/>
      <c r="J1864" s="661"/>
      <c r="K1864" s="658"/>
      <c r="L1864" s="662"/>
      <c r="M1864" s="663"/>
      <c r="N1864" s="664"/>
      <c r="O1864" s="665"/>
      <c r="P1864" s="666"/>
      <c r="Q1864" s="667"/>
      <c r="R1864" s="668"/>
      <c r="S1864" s="665"/>
      <c r="T1864" s="669"/>
      <c r="U1864" s="669"/>
      <c r="V1864" s="665"/>
      <c r="W1864" s="670"/>
      <c r="X1864" s="670"/>
      <c r="Y1864" s="671"/>
      <c r="Z1864" s="671"/>
      <c r="AA1864" s="672"/>
      <c r="AB1864" s="673"/>
      <c r="AC1864" s="673"/>
      <c r="AD1864" s="673"/>
      <c r="AE1864" s="673"/>
      <c r="AF1864" s="673"/>
      <c r="AG1864" s="673"/>
      <c r="AH1864" s="673"/>
      <c r="AI1864" s="673"/>
      <c r="AJ1864" s="673"/>
      <c r="AK1864" s="673"/>
      <c r="AL1864" s="673"/>
      <c r="AM1864" s="673"/>
      <c r="AN1864" s="673"/>
      <c r="AO1864" s="673"/>
      <c r="AP1864" s="673"/>
      <c r="AQ1864" s="673"/>
      <c r="AR1864" s="673"/>
      <c r="AS1864" s="673"/>
    </row>
    <row r="1865">
      <c r="A1865" s="653"/>
      <c r="B1865" s="654"/>
      <c r="C1865" s="655"/>
      <c r="D1865" s="656"/>
      <c r="E1865" s="657"/>
      <c r="F1865" s="658"/>
      <c r="G1865" s="659"/>
      <c r="H1865" s="660"/>
      <c r="I1865" s="659"/>
      <c r="J1865" s="661"/>
      <c r="K1865" s="658"/>
      <c r="L1865" s="662"/>
      <c r="M1865" s="663"/>
      <c r="N1865" s="664"/>
      <c r="O1865" s="665"/>
      <c r="P1865" s="666"/>
      <c r="Q1865" s="667"/>
      <c r="R1865" s="668"/>
      <c r="S1865" s="665"/>
      <c r="T1865" s="669"/>
      <c r="U1865" s="669"/>
      <c r="V1865" s="665"/>
      <c r="W1865" s="670"/>
      <c r="X1865" s="670"/>
      <c r="Y1865" s="671"/>
      <c r="Z1865" s="671"/>
      <c r="AA1865" s="672"/>
      <c r="AB1865" s="673"/>
      <c r="AC1865" s="673"/>
      <c r="AD1865" s="673"/>
      <c r="AE1865" s="673"/>
      <c r="AF1865" s="673"/>
      <c r="AG1865" s="673"/>
      <c r="AH1865" s="673"/>
      <c r="AI1865" s="673"/>
      <c r="AJ1865" s="673"/>
      <c r="AK1865" s="673"/>
      <c r="AL1865" s="673"/>
      <c r="AM1865" s="673"/>
      <c r="AN1865" s="673"/>
      <c r="AO1865" s="673"/>
      <c r="AP1865" s="673"/>
      <c r="AQ1865" s="673"/>
      <c r="AR1865" s="673"/>
      <c r="AS1865" s="673"/>
    </row>
    <row r="1866">
      <c r="A1866" s="653"/>
      <c r="B1866" s="654"/>
      <c r="C1866" s="655"/>
      <c r="D1866" s="656"/>
      <c r="E1866" s="657"/>
      <c r="F1866" s="658"/>
      <c r="G1866" s="659"/>
      <c r="H1866" s="660"/>
      <c r="I1866" s="659"/>
      <c r="J1866" s="661"/>
      <c r="K1866" s="658"/>
      <c r="L1866" s="662"/>
      <c r="M1866" s="663"/>
      <c r="N1866" s="664"/>
      <c r="O1866" s="665"/>
      <c r="P1866" s="666"/>
      <c r="Q1866" s="667"/>
      <c r="R1866" s="668"/>
      <c r="S1866" s="665"/>
      <c r="T1866" s="669"/>
      <c r="U1866" s="669"/>
      <c r="V1866" s="665"/>
      <c r="W1866" s="670"/>
      <c r="X1866" s="670"/>
      <c r="Y1866" s="671"/>
      <c r="Z1866" s="671"/>
      <c r="AA1866" s="672"/>
      <c r="AB1866" s="673"/>
      <c r="AC1866" s="673"/>
      <c r="AD1866" s="673"/>
      <c r="AE1866" s="673"/>
      <c r="AF1866" s="673"/>
      <c r="AG1866" s="673"/>
      <c r="AH1866" s="673"/>
      <c r="AI1866" s="673"/>
      <c r="AJ1866" s="673"/>
      <c r="AK1866" s="673"/>
      <c r="AL1866" s="673"/>
      <c r="AM1866" s="673"/>
      <c r="AN1866" s="673"/>
      <c r="AO1866" s="673"/>
      <c r="AP1866" s="673"/>
      <c r="AQ1866" s="673"/>
      <c r="AR1866" s="673"/>
      <c r="AS1866" s="673"/>
    </row>
    <row r="1867">
      <c r="A1867" s="653"/>
      <c r="B1867" s="654"/>
      <c r="C1867" s="655"/>
      <c r="D1867" s="656"/>
      <c r="E1867" s="657"/>
      <c r="F1867" s="658"/>
      <c r="G1867" s="659"/>
      <c r="H1867" s="660"/>
      <c r="I1867" s="659"/>
      <c r="J1867" s="661"/>
      <c r="K1867" s="658"/>
      <c r="L1867" s="662"/>
      <c r="M1867" s="663"/>
      <c r="N1867" s="664"/>
      <c r="O1867" s="665"/>
      <c r="P1867" s="666"/>
      <c r="Q1867" s="667"/>
      <c r="R1867" s="668"/>
      <c r="S1867" s="665"/>
      <c r="T1867" s="669"/>
      <c r="U1867" s="669"/>
      <c r="V1867" s="665"/>
      <c r="W1867" s="670"/>
      <c r="X1867" s="670"/>
      <c r="Y1867" s="671"/>
      <c r="Z1867" s="671"/>
      <c r="AA1867" s="672"/>
      <c r="AB1867" s="673"/>
      <c r="AC1867" s="673"/>
      <c r="AD1867" s="673"/>
      <c r="AE1867" s="673"/>
      <c r="AF1867" s="673"/>
      <c r="AG1867" s="673"/>
      <c r="AH1867" s="673"/>
      <c r="AI1867" s="673"/>
      <c r="AJ1867" s="673"/>
      <c r="AK1867" s="673"/>
      <c r="AL1867" s="673"/>
      <c r="AM1867" s="673"/>
      <c r="AN1867" s="673"/>
      <c r="AO1867" s="673"/>
      <c r="AP1867" s="673"/>
      <c r="AQ1867" s="673"/>
      <c r="AR1867" s="673"/>
      <c r="AS1867" s="673"/>
    </row>
    <row r="1868">
      <c r="A1868" s="653"/>
      <c r="B1868" s="654"/>
      <c r="C1868" s="655"/>
      <c r="D1868" s="656"/>
      <c r="E1868" s="657"/>
      <c r="F1868" s="658"/>
      <c r="G1868" s="659"/>
      <c r="H1868" s="660"/>
      <c r="I1868" s="659"/>
      <c r="J1868" s="661"/>
      <c r="K1868" s="658"/>
      <c r="L1868" s="662"/>
      <c r="M1868" s="663"/>
      <c r="N1868" s="664"/>
      <c r="O1868" s="665"/>
      <c r="P1868" s="666"/>
      <c r="Q1868" s="667"/>
      <c r="R1868" s="668"/>
      <c r="S1868" s="665"/>
      <c r="T1868" s="669"/>
      <c r="U1868" s="669"/>
      <c r="V1868" s="665"/>
      <c r="W1868" s="670"/>
      <c r="X1868" s="670"/>
      <c r="Y1868" s="671"/>
      <c r="Z1868" s="671"/>
      <c r="AA1868" s="672"/>
      <c r="AB1868" s="673"/>
      <c r="AC1868" s="673"/>
      <c r="AD1868" s="673"/>
      <c r="AE1868" s="673"/>
      <c r="AF1868" s="673"/>
      <c r="AG1868" s="673"/>
      <c r="AH1868" s="673"/>
      <c r="AI1868" s="673"/>
      <c r="AJ1868" s="673"/>
      <c r="AK1868" s="673"/>
      <c r="AL1868" s="673"/>
      <c r="AM1868" s="673"/>
      <c r="AN1868" s="673"/>
      <c r="AO1868" s="673"/>
      <c r="AP1868" s="673"/>
      <c r="AQ1868" s="673"/>
      <c r="AR1868" s="673"/>
      <c r="AS1868" s="673"/>
    </row>
    <row r="1869">
      <c r="A1869" s="653"/>
      <c r="B1869" s="654"/>
      <c r="C1869" s="655"/>
      <c r="D1869" s="656"/>
      <c r="E1869" s="657"/>
      <c r="F1869" s="658"/>
      <c r="G1869" s="659"/>
      <c r="H1869" s="660"/>
      <c r="I1869" s="659"/>
      <c r="J1869" s="661"/>
      <c r="K1869" s="658"/>
      <c r="L1869" s="662"/>
      <c r="M1869" s="663"/>
      <c r="N1869" s="664"/>
      <c r="O1869" s="665"/>
      <c r="P1869" s="666"/>
      <c r="Q1869" s="667"/>
      <c r="R1869" s="668"/>
      <c r="S1869" s="665"/>
      <c r="T1869" s="669"/>
      <c r="U1869" s="669"/>
      <c r="V1869" s="665"/>
      <c r="W1869" s="670"/>
      <c r="X1869" s="670"/>
      <c r="Y1869" s="671"/>
      <c r="Z1869" s="671"/>
      <c r="AA1869" s="672"/>
      <c r="AB1869" s="673"/>
      <c r="AC1869" s="673"/>
      <c r="AD1869" s="673"/>
      <c r="AE1869" s="673"/>
      <c r="AF1869" s="673"/>
      <c r="AG1869" s="673"/>
      <c r="AH1869" s="673"/>
      <c r="AI1869" s="673"/>
      <c r="AJ1869" s="673"/>
      <c r="AK1869" s="673"/>
      <c r="AL1869" s="673"/>
      <c r="AM1869" s="673"/>
      <c r="AN1869" s="673"/>
      <c r="AO1869" s="673"/>
      <c r="AP1869" s="673"/>
      <c r="AQ1869" s="673"/>
      <c r="AR1869" s="673"/>
      <c r="AS1869" s="673"/>
    </row>
    <row r="1870">
      <c r="A1870" s="653"/>
      <c r="B1870" s="654"/>
      <c r="C1870" s="655"/>
      <c r="D1870" s="656"/>
      <c r="E1870" s="657"/>
      <c r="F1870" s="658"/>
      <c r="G1870" s="659"/>
      <c r="H1870" s="660"/>
      <c r="I1870" s="659"/>
      <c r="J1870" s="661"/>
      <c r="K1870" s="658"/>
      <c r="L1870" s="662"/>
      <c r="M1870" s="663"/>
      <c r="N1870" s="664"/>
      <c r="O1870" s="665"/>
      <c r="P1870" s="666"/>
      <c r="Q1870" s="667"/>
      <c r="R1870" s="668"/>
      <c r="S1870" s="665"/>
      <c r="T1870" s="669"/>
      <c r="U1870" s="669"/>
      <c r="V1870" s="665"/>
      <c r="W1870" s="670"/>
      <c r="X1870" s="670"/>
      <c r="Y1870" s="671"/>
      <c r="Z1870" s="671"/>
      <c r="AA1870" s="672"/>
      <c r="AB1870" s="673"/>
      <c r="AC1870" s="673"/>
      <c r="AD1870" s="673"/>
      <c r="AE1870" s="673"/>
      <c r="AF1870" s="673"/>
      <c r="AG1870" s="673"/>
      <c r="AH1870" s="673"/>
      <c r="AI1870" s="673"/>
      <c r="AJ1870" s="673"/>
      <c r="AK1870" s="673"/>
      <c r="AL1870" s="673"/>
      <c r="AM1870" s="673"/>
      <c r="AN1870" s="673"/>
      <c r="AO1870" s="673"/>
      <c r="AP1870" s="673"/>
      <c r="AQ1870" s="673"/>
      <c r="AR1870" s="673"/>
      <c r="AS1870" s="673"/>
    </row>
    <row r="1871">
      <c r="A1871" s="653"/>
      <c r="B1871" s="654"/>
      <c r="C1871" s="655"/>
      <c r="D1871" s="656"/>
      <c r="E1871" s="657"/>
      <c r="F1871" s="658"/>
      <c r="G1871" s="659"/>
      <c r="H1871" s="660"/>
      <c r="I1871" s="659"/>
      <c r="J1871" s="661"/>
      <c r="K1871" s="658"/>
      <c r="L1871" s="662"/>
      <c r="M1871" s="663"/>
      <c r="N1871" s="664"/>
      <c r="O1871" s="665"/>
      <c r="P1871" s="666"/>
      <c r="Q1871" s="667"/>
      <c r="R1871" s="668"/>
      <c r="S1871" s="665"/>
      <c r="T1871" s="669"/>
      <c r="U1871" s="669"/>
      <c r="V1871" s="665"/>
      <c r="W1871" s="670"/>
      <c r="X1871" s="670"/>
      <c r="Y1871" s="671"/>
      <c r="Z1871" s="671"/>
      <c r="AA1871" s="672"/>
      <c r="AB1871" s="673"/>
      <c r="AC1871" s="673"/>
      <c r="AD1871" s="673"/>
      <c r="AE1871" s="673"/>
      <c r="AF1871" s="673"/>
      <c r="AG1871" s="673"/>
      <c r="AH1871" s="673"/>
      <c r="AI1871" s="673"/>
      <c r="AJ1871" s="673"/>
      <c r="AK1871" s="673"/>
      <c r="AL1871" s="673"/>
      <c r="AM1871" s="673"/>
      <c r="AN1871" s="673"/>
      <c r="AO1871" s="673"/>
      <c r="AP1871" s="673"/>
      <c r="AQ1871" s="673"/>
      <c r="AR1871" s="673"/>
      <c r="AS1871" s="673"/>
    </row>
    <row r="1872">
      <c r="A1872" s="653"/>
      <c r="B1872" s="654"/>
      <c r="C1872" s="655"/>
      <c r="D1872" s="656"/>
      <c r="E1872" s="657"/>
      <c r="F1872" s="658"/>
      <c r="G1872" s="659"/>
      <c r="H1872" s="660"/>
      <c r="I1872" s="659"/>
      <c r="J1872" s="661"/>
      <c r="K1872" s="658"/>
      <c r="L1872" s="662"/>
      <c r="M1872" s="663"/>
      <c r="N1872" s="664"/>
      <c r="O1872" s="665"/>
      <c r="P1872" s="666"/>
      <c r="Q1872" s="667"/>
      <c r="R1872" s="668"/>
      <c r="S1872" s="665"/>
      <c r="T1872" s="669"/>
      <c r="U1872" s="669"/>
      <c r="V1872" s="665"/>
      <c r="W1872" s="670"/>
      <c r="X1872" s="670"/>
      <c r="Y1872" s="671"/>
      <c r="Z1872" s="671"/>
      <c r="AA1872" s="672"/>
      <c r="AB1872" s="673"/>
      <c r="AC1872" s="673"/>
      <c r="AD1872" s="673"/>
      <c r="AE1872" s="673"/>
      <c r="AF1872" s="673"/>
      <c r="AG1872" s="673"/>
      <c r="AH1872" s="673"/>
      <c r="AI1872" s="673"/>
      <c r="AJ1872" s="673"/>
      <c r="AK1872" s="673"/>
      <c r="AL1872" s="673"/>
      <c r="AM1872" s="673"/>
      <c r="AN1872" s="673"/>
      <c r="AO1872" s="673"/>
      <c r="AP1872" s="673"/>
      <c r="AQ1872" s="673"/>
      <c r="AR1872" s="673"/>
      <c r="AS1872" s="673"/>
    </row>
    <row r="1873">
      <c r="A1873" s="653"/>
      <c r="B1873" s="654"/>
      <c r="C1873" s="655"/>
      <c r="D1873" s="656"/>
      <c r="E1873" s="657"/>
      <c r="F1873" s="658"/>
      <c r="G1873" s="659"/>
      <c r="H1873" s="660"/>
      <c r="I1873" s="659"/>
      <c r="J1873" s="661"/>
      <c r="K1873" s="658"/>
      <c r="L1873" s="662"/>
      <c r="M1873" s="663"/>
      <c r="N1873" s="664"/>
      <c r="O1873" s="665"/>
      <c r="P1873" s="666"/>
      <c r="Q1873" s="667"/>
      <c r="R1873" s="668"/>
      <c r="S1873" s="665"/>
      <c r="T1873" s="669"/>
      <c r="U1873" s="669"/>
      <c r="V1873" s="665"/>
      <c r="W1873" s="670"/>
      <c r="X1873" s="670"/>
      <c r="Y1873" s="671"/>
      <c r="Z1873" s="671"/>
      <c r="AA1873" s="672"/>
      <c r="AB1873" s="673"/>
      <c r="AC1873" s="673"/>
      <c r="AD1873" s="673"/>
      <c r="AE1873" s="673"/>
      <c r="AF1873" s="673"/>
      <c r="AG1873" s="673"/>
      <c r="AH1873" s="673"/>
      <c r="AI1873" s="673"/>
      <c r="AJ1873" s="673"/>
      <c r="AK1873" s="673"/>
      <c r="AL1873" s="673"/>
      <c r="AM1873" s="673"/>
      <c r="AN1873" s="673"/>
      <c r="AO1873" s="673"/>
      <c r="AP1873" s="673"/>
      <c r="AQ1873" s="673"/>
      <c r="AR1873" s="673"/>
      <c r="AS1873" s="673"/>
    </row>
    <row r="1874">
      <c r="A1874" s="653"/>
      <c r="B1874" s="654"/>
      <c r="C1874" s="655"/>
      <c r="D1874" s="656"/>
      <c r="E1874" s="657"/>
      <c r="F1874" s="658"/>
      <c r="G1874" s="659"/>
      <c r="H1874" s="660"/>
      <c r="I1874" s="659"/>
      <c r="J1874" s="661"/>
      <c r="K1874" s="658"/>
      <c r="L1874" s="662"/>
      <c r="M1874" s="663"/>
      <c r="N1874" s="664"/>
      <c r="O1874" s="665"/>
      <c r="P1874" s="666"/>
      <c r="Q1874" s="667"/>
      <c r="R1874" s="668"/>
      <c r="S1874" s="665"/>
      <c r="T1874" s="669"/>
      <c r="U1874" s="669"/>
      <c r="V1874" s="665"/>
      <c r="W1874" s="670"/>
      <c r="X1874" s="670"/>
      <c r="Y1874" s="671"/>
      <c r="Z1874" s="671"/>
      <c r="AA1874" s="672"/>
      <c r="AB1874" s="673"/>
      <c r="AC1874" s="673"/>
      <c r="AD1874" s="673"/>
      <c r="AE1874" s="673"/>
      <c r="AF1874" s="673"/>
      <c r="AG1874" s="673"/>
      <c r="AH1874" s="673"/>
      <c r="AI1874" s="673"/>
      <c r="AJ1874" s="673"/>
      <c r="AK1874" s="673"/>
      <c r="AL1874" s="673"/>
      <c r="AM1874" s="673"/>
      <c r="AN1874" s="673"/>
      <c r="AO1874" s="673"/>
      <c r="AP1874" s="673"/>
      <c r="AQ1874" s="673"/>
      <c r="AR1874" s="673"/>
      <c r="AS1874" s="673"/>
    </row>
    <row r="1875">
      <c r="A1875" s="653"/>
      <c r="B1875" s="654"/>
      <c r="C1875" s="655"/>
      <c r="D1875" s="656"/>
      <c r="E1875" s="657"/>
      <c r="F1875" s="658"/>
      <c r="G1875" s="659"/>
      <c r="H1875" s="660"/>
      <c r="I1875" s="659"/>
      <c r="J1875" s="661"/>
      <c r="K1875" s="658"/>
      <c r="L1875" s="662"/>
      <c r="M1875" s="663"/>
      <c r="N1875" s="664"/>
      <c r="O1875" s="665"/>
      <c r="P1875" s="666"/>
      <c r="Q1875" s="667"/>
      <c r="R1875" s="668"/>
      <c r="S1875" s="665"/>
      <c r="T1875" s="669"/>
      <c r="U1875" s="669"/>
      <c r="V1875" s="665"/>
      <c r="W1875" s="670"/>
      <c r="X1875" s="670"/>
      <c r="Y1875" s="671"/>
      <c r="Z1875" s="671"/>
      <c r="AA1875" s="672"/>
      <c r="AB1875" s="673"/>
      <c r="AC1875" s="673"/>
      <c r="AD1875" s="673"/>
      <c r="AE1875" s="673"/>
      <c r="AF1875" s="673"/>
      <c r="AG1875" s="673"/>
      <c r="AH1875" s="673"/>
      <c r="AI1875" s="673"/>
      <c r="AJ1875" s="673"/>
      <c r="AK1875" s="673"/>
      <c r="AL1875" s="673"/>
      <c r="AM1875" s="673"/>
      <c r="AN1875" s="673"/>
      <c r="AO1875" s="673"/>
      <c r="AP1875" s="673"/>
      <c r="AQ1875" s="673"/>
      <c r="AR1875" s="673"/>
      <c r="AS1875" s="673"/>
    </row>
    <row r="1876">
      <c r="A1876" s="653"/>
      <c r="B1876" s="654"/>
      <c r="C1876" s="655"/>
      <c r="D1876" s="656"/>
      <c r="E1876" s="657"/>
      <c r="F1876" s="658"/>
      <c r="G1876" s="659"/>
      <c r="H1876" s="660"/>
      <c r="I1876" s="659"/>
      <c r="J1876" s="661"/>
      <c r="K1876" s="658"/>
      <c r="L1876" s="662"/>
      <c r="M1876" s="663"/>
      <c r="N1876" s="664"/>
      <c r="O1876" s="665"/>
      <c r="P1876" s="666"/>
      <c r="Q1876" s="667"/>
      <c r="R1876" s="668"/>
      <c r="S1876" s="665"/>
      <c r="T1876" s="669"/>
      <c r="U1876" s="669"/>
      <c r="V1876" s="665"/>
      <c r="W1876" s="670"/>
      <c r="X1876" s="670"/>
      <c r="Y1876" s="671"/>
      <c r="Z1876" s="671"/>
      <c r="AA1876" s="672"/>
      <c r="AB1876" s="673"/>
      <c r="AC1876" s="673"/>
      <c r="AD1876" s="673"/>
      <c r="AE1876" s="673"/>
      <c r="AF1876" s="673"/>
      <c r="AG1876" s="673"/>
      <c r="AH1876" s="673"/>
      <c r="AI1876" s="673"/>
      <c r="AJ1876" s="673"/>
      <c r="AK1876" s="673"/>
      <c r="AL1876" s="673"/>
      <c r="AM1876" s="673"/>
      <c r="AN1876" s="673"/>
      <c r="AO1876" s="673"/>
      <c r="AP1876" s="673"/>
      <c r="AQ1876" s="673"/>
      <c r="AR1876" s="673"/>
      <c r="AS1876" s="673"/>
    </row>
    <row r="1877">
      <c r="A1877" s="653"/>
      <c r="B1877" s="654"/>
      <c r="C1877" s="655"/>
      <c r="D1877" s="656"/>
      <c r="E1877" s="657"/>
      <c r="F1877" s="658"/>
      <c r="G1877" s="659"/>
      <c r="H1877" s="660"/>
      <c r="I1877" s="659"/>
      <c r="J1877" s="661"/>
      <c r="K1877" s="658"/>
      <c r="L1877" s="662"/>
      <c r="M1877" s="663"/>
      <c r="N1877" s="664"/>
      <c r="O1877" s="665"/>
      <c r="P1877" s="666"/>
      <c r="Q1877" s="667"/>
      <c r="R1877" s="668"/>
      <c r="S1877" s="665"/>
      <c r="T1877" s="669"/>
      <c r="U1877" s="669"/>
      <c r="V1877" s="665"/>
      <c r="W1877" s="670"/>
      <c r="X1877" s="670"/>
      <c r="Y1877" s="671"/>
      <c r="Z1877" s="671"/>
      <c r="AA1877" s="672"/>
      <c r="AB1877" s="673"/>
      <c r="AC1877" s="673"/>
      <c r="AD1877" s="673"/>
      <c r="AE1877" s="673"/>
      <c r="AF1877" s="673"/>
      <c r="AG1877" s="673"/>
      <c r="AH1877" s="673"/>
      <c r="AI1877" s="673"/>
      <c r="AJ1877" s="673"/>
      <c r="AK1877" s="673"/>
      <c r="AL1877" s="673"/>
      <c r="AM1877" s="673"/>
      <c r="AN1877" s="673"/>
      <c r="AO1877" s="673"/>
      <c r="AP1877" s="673"/>
      <c r="AQ1877" s="673"/>
      <c r="AR1877" s="673"/>
      <c r="AS1877" s="673"/>
    </row>
    <row r="1878">
      <c r="A1878" s="653"/>
      <c r="B1878" s="654"/>
      <c r="C1878" s="655"/>
      <c r="D1878" s="656"/>
      <c r="E1878" s="657"/>
      <c r="F1878" s="658"/>
      <c r="G1878" s="659"/>
      <c r="H1878" s="660"/>
      <c r="I1878" s="659"/>
      <c r="J1878" s="661"/>
      <c r="K1878" s="658"/>
      <c r="L1878" s="662"/>
      <c r="M1878" s="663"/>
      <c r="N1878" s="664"/>
      <c r="O1878" s="665"/>
      <c r="P1878" s="666"/>
      <c r="Q1878" s="667"/>
      <c r="R1878" s="668"/>
      <c r="S1878" s="665"/>
      <c r="T1878" s="669"/>
      <c r="U1878" s="669"/>
      <c r="V1878" s="665"/>
      <c r="W1878" s="670"/>
      <c r="X1878" s="670"/>
      <c r="Y1878" s="671"/>
      <c r="Z1878" s="671"/>
      <c r="AA1878" s="672"/>
      <c r="AB1878" s="673"/>
      <c r="AC1878" s="673"/>
      <c r="AD1878" s="673"/>
      <c r="AE1878" s="673"/>
      <c r="AF1878" s="673"/>
      <c r="AG1878" s="673"/>
      <c r="AH1878" s="673"/>
      <c r="AI1878" s="673"/>
      <c r="AJ1878" s="673"/>
      <c r="AK1878" s="673"/>
      <c r="AL1878" s="673"/>
      <c r="AM1878" s="673"/>
      <c r="AN1878" s="673"/>
      <c r="AO1878" s="673"/>
      <c r="AP1878" s="673"/>
      <c r="AQ1878" s="673"/>
      <c r="AR1878" s="673"/>
      <c r="AS1878" s="673"/>
    </row>
    <row r="1879">
      <c r="A1879" s="653"/>
      <c r="B1879" s="654"/>
      <c r="C1879" s="655"/>
      <c r="D1879" s="656"/>
      <c r="E1879" s="657"/>
      <c r="F1879" s="658"/>
      <c r="G1879" s="659"/>
      <c r="H1879" s="660"/>
      <c r="I1879" s="659"/>
      <c r="J1879" s="661"/>
      <c r="K1879" s="658"/>
      <c r="L1879" s="662"/>
      <c r="M1879" s="663"/>
      <c r="N1879" s="664"/>
      <c r="O1879" s="665"/>
      <c r="P1879" s="666"/>
      <c r="Q1879" s="667"/>
      <c r="R1879" s="668"/>
      <c r="S1879" s="665"/>
      <c r="T1879" s="669"/>
      <c r="U1879" s="669"/>
      <c r="V1879" s="665"/>
      <c r="W1879" s="670"/>
      <c r="X1879" s="670"/>
      <c r="Y1879" s="671"/>
      <c r="Z1879" s="671"/>
      <c r="AA1879" s="672"/>
      <c r="AB1879" s="673"/>
      <c r="AC1879" s="673"/>
      <c r="AD1879" s="673"/>
      <c r="AE1879" s="673"/>
      <c r="AF1879" s="673"/>
      <c r="AG1879" s="673"/>
      <c r="AH1879" s="673"/>
      <c r="AI1879" s="673"/>
      <c r="AJ1879" s="673"/>
      <c r="AK1879" s="673"/>
      <c r="AL1879" s="673"/>
      <c r="AM1879" s="673"/>
      <c r="AN1879" s="673"/>
      <c r="AO1879" s="673"/>
      <c r="AP1879" s="673"/>
      <c r="AQ1879" s="673"/>
      <c r="AR1879" s="673"/>
      <c r="AS1879" s="673"/>
    </row>
    <row r="1880">
      <c r="A1880" s="653"/>
      <c r="B1880" s="654"/>
      <c r="C1880" s="655"/>
      <c r="D1880" s="656"/>
      <c r="E1880" s="657"/>
      <c r="F1880" s="658"/>
      <c r="G1880" s="659"/>
      <c r="H1880" s="660"/>
      <c r="I1880" s="659"/>
      <c r="J1880" s="661"/>
      <c r="K1880" s="658"/>
      <c r="L1880" s="662"/>
      <c r="M1880" s="663"/>
      <c r="N1880" s="664"/>
      <c r="O1880" s="665"/>
      <c r="P1880" s="666"/>
      <c r="Q1880" s="667"/>
      <c r="R1880" s="668"/>
      <c r="S1880" s="665"/>
      <c r="T1880" s="669"/>
      <c r="U1880" s="669"/>
      <c r="V1880" s="665"/>
      <c r="W1880" s="670"/>
      <c r="X1880" s="670"/>
      <c r="Y1880" s="671"/>
      <c r="Z1880" s="671"/>
      <c r="AA1880" s="672"/>
      <c r="AB1880" s="673"/>
      <c r="AC1880" s="673"/>
      <c r="AD1880" s="673"/>
      <c r="AE1880" s="673"/>
      <c r="AF1880" s="673"/>
      <c r="AG1880" s="673"/>
      <c r="AH1880" s="673"/>
      <c r="AI1880" s="673"/>
      <c r="AJ1880" s="673"/>
      <c r="AK1880" s="673"/>
      <c r="AL1880" s="673"/>
      <c r="AM1880" s="673"/>
      <c r="AN1880" s="673"/>
      <c r="AO1880" s="673"/>
      <c r="AP1880" s="673"/>
      <c r="AQ1880" s="673"/>
      <c r="AR1880" s="673"/>
      <c r="AS1880" s="673"/>
    </row>
    <row r="1881">
      <c r="A1881" s="653"/>
      <c r="B1881" s="654"/>
      <c r="C1881" s="655"/>
      <c r="D1881" s="656"/>
      <c r="E1881" s="657"/>
      <c r="F1881" s="658"/>
      <c r="G1881" s="659"/>
      <c r="H1881" s="660"/>
      <c r="I1881" s="659"/>
      <c r="J1881" s="661"/>
      <c r="K1881" s="658"/>
      <c r="L1881" s="662"/>
      <c r="M1881" s="663"/>
      <c r="N1881" s="664"/>
      <c r="O1881" s="665"/>
      <c r="P1881" s="666"/>
      <c r="Q1881" s="667"/>
      <c r="R1881" s="668"/>
      <c r="S1881" s="665"/>
      <c r="T1881" s="669"/>
      <c r="U1881" s="669"/>
      <c r="V1881" s="665"/>
      <c r="W1881" s="670"/>
      <c r="X1881" s="670"/>
      <c r="Y1881" s="671"/>
      <c r="Z1881" s="671"/>
      <c r="AA1881" s="672"/>
      <c r="AB1881" s="673"/>
      <c r="AC1881" s="673"/>
      <c r="AD1881" s="673"/>
      <c r="AE1881" s="673"/>
      <c r="AF1881" s="673"/>
      <c r="AG1881" s="673"/>
      <c r="AH1881" s="673"/>
      <c r="AI1881" s="673"/>
      <c r="AJ1881" s="673"/>
      <c r="AK1881" s="673"/>
      <c r="AL1881" s="673"/>
      <c r="AM1881" s="673"/>
      <c r="AN1881" s="673"/>
      <c r="AO1881" s="673"/>
      <c r="AP1881" s="673"/>
      <c r="AQ1881" s="673"/>
      <c r="AR1881" s="673"/>
      <c r="AS1881" s="673"/>
    </row>
    <row r="1882">
      <c r="A1882" s="653"/>
      <c r="B1882" s="654"/>
      <c r="C1882" s="655"/>
      <c r="D1882" s="656"/>
      <c r="E1882" s="657"/>
      <c r="F1882" s="658"/>
      <c r="G1882" s="659"/>
      <c r="H1882" s="660"/>
      <c r="I1882" s="659"/>
      <c r="J1882" s="661"/>
      <c r="K1882" s="658"/>
      <c r="L1882" s="662"/>
      <c r="M1882" s="663"/>
      <c r="N1882" s="664"/>
      <c r="O1882" s="665"/>
      <c r="P1882" s="666"/>
      <c r="Q1882" s="667"/>
      <c r="R1882" s="668"/>
      <c r="S1882" s="665"/>
      <c r="T1882" s="669"/>
      <c r="U1882" s="669"/>
      <c r="V1882" s="665"/>
      <c r="W1882" s="670"/>
      <c r="X1882" s="670"/>
      <c r="Y1882" s="671"/>
      <c r="Z1882" s="671"/>
      <c r="AA1882" s="672"/>
      <c r="AB1882" s="673"/>
      <c r="AC1882" s="673"/>
      <c r="AD1882" s="673"/>
      <c r="AE1882" s="673"/>
      <c r="AF1882" s="673"/>
      <c r="AG1882" s="673"/>
      <c r="AH1882" s="673"/>
      <c r="AI1882" s="673"/>
      <c r="AJ1882" s="673"/>
      <c r="AK1882" s="673"/>
      <c r="AL1882" s="673"/>
      <c r="AM1882" s="673"/>
      <c r="AN1882" s="673"/>
      <c r="AO1882" s="673"/>
      <c r="AP1882" s="673"/>
      <c r="AQ1882" s="673"/>
      <c r="AR1882" s="673"/>
      <c r="AS1882" s="673"/>
    </row>
    <row r="1883">
      <c r="A1883" s="653"/>
      <c r="B1883" s="654"/>
      <c r="C1883" s="655"/>
      <c r="D1883" s="656"/>
      <c r="E1883" s="657"/>
      <c r="F1883" s="658"/>
      <c r="G1883" s="659"/>
      <c r="H1883" s="660"/>
      <c r="I1883" s="659"/>
      <c r="J1883" s="661"/>
      <c r="K1883" s="658"/>
      <c r="L1883" s="662"/>
      <c r="M1883" s="663"/>
      <c r="N1883" s="664"/>
      <c r="O1883" s="665"/>
      <c r="P1883" s="666"/>
      <c r="Q1883" s="667"/>
      <c r="R1883" s="668"/>
      <c r="S1883" s="665"/>
      <c r="T1883" s="669"/>
      <c r="U1883" s="669"/>
      <c r="V1883" s="665"/>
      <c r="W1883" s="670"/>
      <c r="X1883" s="670"/>
      <c r="Y1883" s="671"/>
      <c r="Z1883" s="671"/>
      <c r="AA1883" s="672"/>
      <c r="AB1883" s="673"/>
      <c r="AC1883" s="673"/>
      <c r="AD1883" s="673"/>
      <c r="AE1883" s="673"/>
      <c r="AF1883" s="673"/>
      <c r="AG1883" s="673"/>
      <c r="AH1883" s="673"/>
      <c r="AI1883" s="673"/>
      <c r="AJ1883" s="673"/>
      <c r="AK1883" s="673"/>
      <c r="AL1883" s="673"/>
      <c r="AM1883" s="673"/>
      <c r="AN1883" s="673"/>
      <c r="AO1883" s="673"/>
      <c r="AP1883" s="673"/>
      <c r="AQ1883" s="673"/>
      <c r="AR1883" s="673"/>
      <c r="AS1883" s="673"/>
    </row>
    <row r="1884">
      <c r="A1884" s="653"/>
      <c r="B1884" s="654"/>
      <c r="C1884" s="655"/>
      <c r="D1884" s="656"/>
      <c r="E1884" s="657"/>
      <c r="F1884" s="658"/>
      <c r="G1884" s="659"/>
      <c r="H1884" s="660"/>
      <c r="I1884" s="659"/>
      <c r="J1884" s="661"/>
      <c r="K1884" s="658"/>
      <c r="L1884" s="662"/>
      <c r="M1884" s="663"/>
      <c r="N1884" s="664"/>
      <c r="O1884" s="665"/>
      <c r="P1884" s="666"/>
      <c r="Q1884" s="667"/>
      <c r="R1884" s="668"/>
      <c r="S1884" s="665"/>
      <c r="T1884" s="669"/>
      <c r="U1884" s="669"/>
      <c r="V1884" s="665"/>
      <c r="W1884" s="670"/>
      <c r="X1884" s="670"/>
      <c r="Y1884" s="671"/>
      <c r="Z1884" s="671"/>
      <c r="AA1884" s="672"/>
      <c r="AB1884" s="673"/>
      <c r="AC1884" s="673"/>
      <c r="AD1884" s="673"/>
      <c r="AE1884" s="673"/>
      <c r="AF1884" s="673"/>
      <c r="AG1884" s="673"/>
      <c r="AH1884" s="673"/>
      <c r="AI1884" s="673"/>
      <c r="AJ1884" s="673"/>
      <c r="AK1884" s="673"/>
      <c r="AL1884" s="673"/>
      <c r="AM1884" s="673"/>
      <c r="AN1884" s="673"/>
      <c r="AO1884" s="673"/>
      <c r="AP1884" s="673"/>
      <c r="AQ1884" s="673"/>
      <c r="AR1884" s="673"/>
      <c r="AS1884" s="673"/>
    </row>
    <row r="1885">
      <c r="A1885" s="653"/>
      <c r="B1885" s="654"/>
      <c r="C1885" s="655"/>
      <c r="D1885" s="656"/>
      <c r="E1885" s="657"/>
      <c r="F1885" s="658"/>
      <c r="G1885" s="659"/>
      <c r="H1885" s="660"/>
      <c r="I1885" s="659"/>
      <c r="J1885" s="661"/>
      <c r="K1885" s="658"/>
      <c r="L1885" s="662"/>
      <c r="M1885" s="663"/>
      <c r="N1885" s="664"/>
      <c r="O1885" s="665"/>
      <c r="P1885" s="666"/>
      <c r="Q1885" s="667"/>
      <c r="R1885" s="668"/>
      <c r="S1885" s="665"/>
      <c r="T1885" s="669"/>
      <c r="U1885" s="669"/>
      <c r="V1885" s="665"/>
      <c r="W1885" s="670"/>
      <c r="X1885" s="670"/>
      <c r="Y1885" s="671"/>
      <c r="Z1885" s="671"/>
      <c r="AA1885" s="672"/>
      <c r="AB1885" s="673"/>
      <c r="AC1885" s="673"/>
      <c r="AD1885" s="673"/>
      <c r="AE1885" s="673"/>
      <c r="AF1885" s="673"/>
      <c r="AG1885" s="673"/>
      <c r="AH1885" s="673"/>
      <c r="AI1885" s="673"/>
      <c r="AJ1885" s="673"/>
      <c r="AK1885" s="673"/>
      <c r="AL1885" s="673"/>
      <c r="AM1885" s="673"/>
      <c r="AN1885" s="673"/>
      <c r="AO1885" s="673"/>
      <c r="AP1885" s="673"/>
      <c r="AQ1885" s="673"/>
      <c r="AR1885" s="673"/>
      <c r="AS1885" s="673"/>
    </row>
    <row r="1886">
      <c r="A1886" s="653"/>
      <c r="B1886" s="654"/>
      <c r="C1886" s="655"/>
      <c r="D1886" s="656"/>
      <c r="E1886" s="657"/>
      <c r="F1886" s="658"/>
      <c r="G1886" s="659"/>
      <c r="H1886" s="660"/>
      <c r="I1886" s="659"/>
      <c r="J1886" s="661"/>
      <c r="K1886" s="658"/>
      <c r="L1886" s="662"/>
      <c r="M1886" s="663"/>
      <c r="N1886" s="664"/>
      <c r="O1886" s="665"/>
      <c r="P1886" s="666"/>
      <c r="Q1886" s="667"/>
      <c r="R1886" s="668"/>
      <c r="S1886" s="665"/>
      <c r="T1886" s="669"/>
      <c r="U1886" s="669"/>
      <c r="V1886" s="665"/>
      <c r="W1886" s="670"/>
      <c r="X1886" s="670"/>
      <c r="Y1886" s="671"/>
      <c r="Z1886" s="671"/>
      <c r="AA1886" s="672"/>
      <c r="AB1886" s="673"/>
      <c r="AC1886" s="673"/>
      <c r="AD1886" s="673"/>
      <c r="AE1886" s="673"/>
      <c r="AF1886" s="673"/>
      <c r="AG1886" s="673"/>
      <c r="AH1886" s="673"/>
      <c r="AI1886" s="673"/>
      <c r="AJ1886" s="673"/>
      <c r="AK1886" s="673"/>
      <c r="AL1886" s="673"/>
      <c r="AM1886" s="673"/>
      <c r="AN1886" s="673"/>
      <c r="AO1886" s="673"/>
      <c r="AP1886" s="673"/>
      <c r="AQ1886" s="673"/>
      <c r="AR1886" s="673"/>
      <c r="AS1886" s="673"/>
    </row>
    <row r="1887">
      <c r="A1887" s="653"/>
      <c r="B1887" s="654"/>
      <c r="C1887" s="655"/>
      <c r="D1887" s="656"/>
      <c r="E1887" s="657"/>
      <c r="F1887" s="658"/>
      <c r="G1887" s="659"/>
      <c r="H1887" s="660"/>
      <c r="I1887" s="659"/>
      <c r="J1887" s="661"/>
      <c r="K1887" s="658"/>
      <c r="L1887" s="662"/>
      <c r="M1887" s="663"/>
      <c r="N1887" s="664"/>
      <c r="O1887" s="665"/>
      <c r="P1887" s="666"/>
      <c r="Q1887" s="667"/>
      <c r="R1887" s="668"/>
      <c r="S1887" s="665"/>
      <c r="T1887" s="669"/>
      <c r="U1887" s="669"/>
      <c r="V1887" s="665"/>
      <c r="W1887" s="670"/>
      <c r="X1887" s="670"/>
      <c r="Y1887" s="671"/>
      <c r="Z1887" s="671"/>
      <c r="AA1887" s="672"/>
      <c r="AB1887" s="673"/>
      <c r="AC1887" s="673"/>
      <c r="AD1887" s="673"/>
      <c r="AE1887" s="673"/>
      <c r="AF1887" s="673"/>
      <c r="AG1887" s="673"/>
      <c r="AH1887" s="673"/>
      <c r="AI1887" s="673"/>
      <c r="AJ1887" s="673"/>
      <c r="AK1887" s="673"/>
      <c r="AL1887" s="673"/>
      <c r="AM1887" s="673"/>
      <c r="AN1887" s="673"/>
      <c r="AO1887" s="673"/>
      <c r="AP1887" s="673"/>
      <c r="AQ1887" s="673"/>
      <c r="AR1887" s="673"/>
      <c r="AS1887" s="673"/>
    </row>
    <row r="1888">
      <c r="A1888" s="653"/>
      <c r="B1888" s="654"/>
      <c r="C1888" s="655"/>
      <c r="D1888" s="656"/>
      <c r="E1888" s="657"/>
      <c r="F1888" s="658"/>
      <c r="G1888" s="659"/>
      <c r="H1888" s="660"/>
      <c r="I1888" s="659"/>
      <c r="J1888" s="661"/>
      <c r="K1888" s="658"/>
      <c r="L1888" s="662"/>
      <c r="M1888" s="663"/>
      <c r="N1888" s="664"/>
      <c r="O1888" s="665"/>
      <c r="P1888" s="666"/>
      <c r="Q1888" s="667"/>
      <c r="R1888" s="668"/>
      <c r="S1888" s="665"/>
      <c r="T1888" s="669"/>
      <c r="U1888" s="669"/>
      <c r="V1888" s="665"/>
      <c r="W1888" s="670"/>
      <c r="X1888" s="670"/>
      <c r="Y1888" s="671"/>
      <c r="Z1888" s="671"/>
      <c r="AA1888" s="672"/>
      <c r="AB1888" s="673"/>
      <c r="AC1888" s="673"/>
      <c r="AD1888" s="673"/>
      <c r="AE1888" s="673"/>
      <c r="AF1888" s="673"/>
      <c r="AG1888" s="673"/>
      <c r="AH1888" s="673"/>
      <c r="AI1888" s="673"/>
      <c r="AJ1888" s="673"/>
      <c r="AK1888" s="673"/>
      <c r="AL1888" s="673"/>
      <c r="AM1888" s="673"/>
      <c r="AN1888" s="673"/>
      <c r="AO1888" s="673"/>
      <c r="AP1888" s="673"/>
      <c r="AQ1888" s="673"/>
      <c r="AR1888" s="673"/>
      <c r="AS1888" s="673"/>
    </row>
    <row r="1889">
      <c r="A1889" s="653"/>
      <c r="B1889" s="654"/>
      <c r="C1889" s="655"/>
      <c r="D1889" s="656"/>
      <c r="E1889" s="657"/>
      <c r="F1889" s="658"/>
      <c r="G1889" s="659"/>
      <c r="H1889" s="660"/>
      <c r="I1889" s="659"/>
      <c r="J1889" s="661"/>
      <c r="K1889" s="658"/>
      <c r="L1889" s="662"/>
      <c r="M1889" s="663"/>
      <c r="N1889" s="664"/>
      <c r="O1889" s="665"/>
      <c r="P1889" s="666"/>
      <c r="Q1889" s="667"/>
      <c r="R1889" s="668"/>
      <c r="S1889" s="665"/>
      <c r="T1889" s="669"/>
      <c r="U1889" s="669"/>
      <c r="V1889" s="665"/>
      <c r="W1889" s="670"/>
      <c r="X1889" s="670"/>
      <c r="Y1889" s="671"/>
      <c r="Z1889" s="671"/>
      <c r="AA1889" s="672"/>
      <c r="AB1889" s="673"/>
      <c r="AC1889" s="673"/>
      <c r="AD1889" s="673"/>
      <c r="AE1889" s="673"/>
      <c r="AF1889" s="673"/>
      <c r="AG1889" s="673"/>
      <c r="AH1889" s="673"/>
      <c r="AI1889" s="673"/>
      <c r="AJ1889" s="673"/>
      <c r="AK1889" s="673"/>
      <c r="AL1889" s="673"/>
      <c r="AM1889" s="673"/>
      <c r="AN1889" s="673"/>
      <c r="AO1889" s="673"/>
      <c r="AP1889" s="673"/>
      <c r="AQ1889" s="673"/>
      <c r="AR1889" s="673"/>
      <c r="AS1889" s="673"/>
    </row>
    <row r="1890">
      <c r="A1890" s="653"/>
      <c r="B1890" s="654"/>
      <c r="C1890" s="655"/>
      <c r="D1890" s="656"/>
      <c r="E1890" s="657"/>
      <c r="F1890" s="658"/>
      <c r="G1890" s="659"/>
      <c r="H1890" s="660"/>
      <c r="I1890" s="659"/>
      <c r="J1890" s="661"/>
      <c r="K1890" s="658"/>
      <c r="L1890" s="662"/>
      <c r="M1890" s="663"/>
      <c r="N1890" s="664"/>
      <c r="O1890" s="665"/>
      <c r="P1890" s="666"/>
      <c r="Q1890" s="667"/>
      <c r="R1890" s="668"/>
      <c r="S1890" s="665"/>
      <c r="T1890" s="669"/>
      <c r="U1890" s="669"/>
      <c r="V1890" s="665"/>
      <c r="W1890" s="670"/>
      <c r="X1890" s="670"/>
      <c r="Y1890" s="671"/>
      <c r="Z1890" s="671"/>
      <c r="AA1890" s="672"/>
      <c r="AB1890" s="673"/>
      <c r="AC1890" s="673"/>
      <c r="AD1890" s="673"/>
      <c r="AE1890" s="673"/>
      <c r="AF1890" s="673"/>
      <c r="AG1890" s="673"/>
      <c r="AH1890" s="673"/>
      <c r="AI1890" s="673"/>
      <c r="AJ1890" s="673"/>
      <c r="AK1890" s="673"/>
      <c r="AL1890" s="673"/>
      <c r="AM1890" s="673"/>
      <c r="AN1890" s="673"/>
      <c r="AO1890" s="673"/>
      <c r="AP1890" s="673"/>
      <c r="AQ1890" s="673"/>
      <c r="AR1890" s="673"/>
      <c r="AS1890" s="673"/>
    </row>
    <row r="1891">
      <c r="A1891" s="653"/>
      <c r="B1891" s="654"/>
      <c r="C1891" s="655"/>
      <c r="D1891" s="656"/>
      <c r="E1891" s="657"/>
      <c r="F1891" s="658"/>
      <c r="G1891" s="659"/>
      <c r="H1891" s="660"/>
      <c r="I1891" s="659"/>
      <c r="J1891" s="661"/>
      <c r="K1891" s="658"/>
      <c r="L1891" s="662"/>
      <c r="M1891" s="663"/>
      <c r="N1891" s="664"/>
      <c r="O1891" s="665"/>
      <c r="P1891" s="666"/>
      <c r="Q1891" s="667"/>
      <c r="R1891" s="668"/>
      <c r="S1891" s="665"/>
      <c r="T1891" s="669"/>
      <c r="U1891" s="669"/>
      <c r="V1891" s="665"/>
      <c r="W1891" s="670"/>
      <c r="X1891" s="670"/>
      <c r="Y1891" s="671"/>
      <c r="Z1891" s="671"/>
      <c r="AA1891" s="672"/>
      <c r="AB1891" s="673"/>
      <c r="AC1891" s="673"/>
      <c r="AD1891" s="673"/>
      <c r="AE1891" s="673"/>
      <c r="AF1891" s="673"/>
      <c r="AG1891" s="673"/>
      <c r="AH1891" s="673"/>
      <c r="AI1891" s="673"/>
      <c r="AJ1891" s="673"/>
      <c r="AK1891" s="673"/>
      <c r="AL1891" s="673"/>
      <c r="AM1891" s="673"/>
      <c r="AN1891" s="673"/>
      <c r="AO1891" s="673"/>
      <c r="AP1891" s="673"/>
      <c r="AQ1891" s="673"/>
      <c r="AR1891" s="673"/>
      <c r="AS1891" s="673"/>
    </row>
    <row r="1892">
      <c r="A1892" s="653"/>
      <c r="B1892" s="654"/>
      <c r="C1892" s="655"/>
      <c r="D1892" s="656"/>
      <c r="E1892" s="657"/>
      <c r="F1892" s="658"/>
      <c r="G1892" s="659"/>
      <c r="H1892" s="660"/>
      <c r="I1892" s="659"/>
      <c r="J1892" s="661"/>
      <c r="K1892" s="658"/>
      <c r="L1892" s="662"/>
      <c r="M1892" s="663"/>
      <c r="N1892" s="664"/>
      <c r="O1892" s="665"/>
      <c r="P1892" s="666"/>
      <c r="Q1892" s="667"/>
      <c r="R1892" s="668"/>
      <c r="S1892" s="665"/>
      <c r="T1892" s="669"/>
      <c r="U1892" s="669"/>
      <c r="V1892" s="665"/>
      <c r="W1892" s="670"/>
      <c r="X1892" s="670"/>
      <c r="Y1892" s="671"/>
      <c r="Z1892" s="671"/>
      <c r="AA1892" s="672"/>
      <c r="AB1892" s="673"/>
      <c r="AC1892" s="673"/>
      <c r="AD1892" s="673"/>
      <c r="AE1892" s="673"/>
      <c r="AF1892" s="673"/>
      <c r="AG1892" s="673"/>
      <c r="AH1892" s="673"/>
      <c r="AI1892" s="673"/>
      <c r="AJ1892" s="673"/>
      <c r="AK1892" s="673"/>
      <c r="AL1892" s="673"/>
      <c r="AM1892" s="673"/>
      <c r="AN1892" s="673"/>
      <c r="AO1892" s="673"/>
      <c r="AP1892" s="673"/>
      <c r="AQ1892" s="673"/>
      <c r="AR1892" s="673"/>
      <c r="AS1892" s="673"/>
    </row>
    <row r="1893">
      <c r="A1893" s="653"/>
      <c r="B1893" s="654"/>
      <c r="C1893" s="655"/>
      <c r="D1893" s="656"/>
      <c r="E1893" s="657"/>
      <c r="F1893" s="658"/>
      <c r="G1893" s="659"/>
      <c r="H1893" s="660"/>
      <c r="I1893" s="659"/>
      <c r="J1893" s="661"/>
      <c r="K1893" s="658"/>
      <c r="L1893" s="662"/>
      <c r="M1893" s="663"/>
      <c r="N1893" s="664"/>
      <c r="O1893" s="665"/>
      <c r="P1893" s="666"/>
      <c r="Q1893" s="667"/>
      <c r="R1893" s="668"/>
      <c r="S1893" s="665"/>
      <c r="T1893" s="669"/>
      <c r="U1893" s="669"/>
      <c r="V1893" s="665"/>
      <c r="W1893" s="670"/>
      <c r="X1893" s="670"/>
      <c r="Y1893" s="671"/>
      <c r="Z1893" s="671"/>
      <c r="AA1893" s="672"/>
      <c r="AB1893" s="673"/>
      <c r="AC1893" s="673"/>
      <c r="AD1893" s="673"/>
      <c r="AE1893" s="673"/>
      <c r="AF1893" s="673"/>
      <c r="AG1893" s="673"/>
      <c r="AH1893" s="673"/>
      <c r="AI1893" s="673"/>
      <c r="AJ1893" s="673"/>
      <c r="AK1893" s="673"/>
      <c r="AL1893" s="673"/>
      <c r="AM1893" s="673"/>
      <c r="AN1893" s="673"/>
      <c r="AO1893" s="673"/>
      <c r="AP1893" s="673"/>
      <c r="AQ1893" s="673"/>
      <c r="AR1893" s="673"/>
      <c r="AS1893" s="673"/>
    </row>
    <row r="1894">
      <c r="A1894" s="653"/>
      <c r="B1894" s="654"/>
      <c r="C1894" s="655"/>
      <c r="D1894" s="656"/>
      <c r="E1894" s="657"/>
      <c r="F1894" s="658"/>
      <c r="G1894" s="659"/>
      <c r="H1894" s="660"/>
      <c r="I1894" s="659"/>
      <c r="J1894" s="661"/>
      <c r="K1894" s="658"/>
      <c r="L1894" s="662"/>
      <c r="M1894" s="663"/>
      <c r="N1894" s="664"/>
      <c r="O1894" s="665"/>
      <c r="P1894" s="666"/>
      <c r="Q1894" s="667"/>
      <c r="R1894" s="668"/>
      <c r="S1894" s="665"/>
      <c r="T1894" s="669"/>
      <c r="U1894" s="669"/>
      <c r="V1894" s="665"/>
      <c r="W1894" s="670"/>
      <c r="X1894" s="670"/>
      <c r="Y1894" s="671"/>
      <c r="Z1894" s="671"/>
      <c r="AA1894" s="672"/>
      <c r="AB1894" s="673"/>
      <c r="AC1894" s="673"/>
      <c r="AD1894" s="673"/>
      <c r="AE1894" s="673"/>
      <c r="AF1894" s="673"/>
      <c r="AG1894" s="673"/>
      <c r="AH1894" s="673"/>
      <c r="AI1894" s="673"/>
      <c r="AJ1894" s="673"/>
      <c r="AK1894" s="673"/>
      <c r="AL1894" s="673"/>
      <c r="AM1894" s="673"/>
      <c r="AN1894" s="673"/>
      <c r="AO1894" s="673"/>
      <c r="AP1894" s="673"/>
      <c r="AQ1894" s="673"/>
      <c r="AR1894" s="673"/>
      <c r="AS1894" s="673"/>
    </row>
    <row r="1895">
      <c r="A1895" s="653"/>
      <c r="B1895" s="654"/>
      <c r="C1895" s="655"/>
      <c r="D1895" s="656"/>
      <c r="E1895" s="657"/>
      <c r="F1895" s="658"/>
      <c r="G1895" s="659"/>
      <c r="H1895" s="660"/>
      <c r="I1895" s="659"/>
      <c r="J1895" s="661"/>
      <c r="K1895" s="658"/>
      <c r="L1895" s="662"/>
      <c r="M1895" s="663"/>
      <c r="N1895" s="664"/>
      <c r="O1895" s="665"/>
      <c r="P1895" s="666"/>
      <c r="Q1895" s="667"/>
      <c r="R1895" s="668"/>
      <c r="S1895" s="665"/>
      <c r="T1895" s="669"/>
      <c r="U1895" s="669"/>
      <c r="V1895" s="665"/>
      <c r="W1895" s="670"/>
      <c r="X1895" s="670"/>
      <c r="Y1895" s="671"/>
      <c r="Z1895" s="671"/>
      <c r="AA1895" s="672"/>
      <c r="AB1895" s="673"/>
      <c r="AC1895" s="673"/>
      <c r="AD1895" s="673"/>
      <c r="AE1895" s="673"/>
      <c r="AF1895" s="673"/>
      <c r="AG1895" s="673"/>
      <c r="AH1895" s="673"/>
      <c r="AI1895" s="673"/>
      <c r="AJ1895" s="673"/>
      <c r="AK1895" s="673"/>
      <c r="AL1895" s="673"/>
      <c r="AM1895" s="673"/>
      <c r="AN1895" s="673"/>
      <c r="AO1895" s="673"/>
      <c r="AP1895" s="673"/>
      <c r="AQ1895" s="673"/>
      <c r="AR1895" s="673"/>
      <c r="AS1895" s="673"/>
    </row>
    <row r="1896">
      <c r="A1896" s="653"/>
      <c r="B1896" s="654"/>
      <c r="C1896" s="655"/>
      <c r="D1896" s="656"/>
      <c r="E1896" s="657"/>
      <c r="F1896" s="658"/>
      <c r="G1896" s="659"/>
      <c r="H1896" s="660"/>
      <c r="I1896" s="659"/>
      <c r="J1896" s="661"/>
      <c r="K1896" s="658"/>
      <c r="L1896" s="662"/>
      <c r="M1896" s="663"/>
      <c r="N1896" s="664"/>
      <c r="O1896" s="665"/>
      <c r="P1896" s="666"/>
      <c r="Q1896" s="667"/>
      <c r="R1896" s="668"/>
      <c r="S1896" s="665"/>
      <c r="T1896" s="669"/>
      <c r="U1896" s="669"/>
      <c r="V1896" s="665"/>
      <c r="W1896" s="670"/>
      <c r="X1896" s="670"/>
      <c r="Y1896" s="671"/>
      <c r="Z1896" s="671"/>
      <c r="AA1896" s="672"/>
      <c r="AB1896" s="673"/>
      <c r="AC1896" s="673"/>
      <c r="AD1896" s="673"/>
      <c r="AE1896" s="673"/>
      <c r="AF1896" s="673"/>
      <c r="AG1896" s="673"/>
      <c r="AH1896" s="673"/>
      <c r="AI1896" s="673"/>
      <c r="AJ1896" s="673"/>
      <c r="AK1896" s="673"/>
      <c r="AL1896" s="673"/>
      <c r="AM1896" s="673"/>
      <c r="AN1896" s="673"/>
      <c r="AO1896" s="673"/>
      <c r="AP1896" s="673"/>
      <c r="AQ1896" s="673"/>
      <c r="AR1896" s="673"/>
      <c r="AS1896" s="673"/>
    </row>
    <row r="1897">
      <c r="A1897" s="653"/>
      <c r="B1897" s="654"/>
      <c r="C1897" s="655"/>
      <c r="D1897" s="656"/>
      <c r="E1897" s="657"/>
      <c r="F1897" s="658"/>
      <c r="G1897" s="659"/>
      <c r="H1897" s="660"/>
      <c r="I1897" s="659"/>
      <c r="J1897" s="661"/>
      <c r="K1897" s="658"/>
      <c r="L1897" s="662"/>
      <c r="M1897" s="663"/>
      <c r="N1897" s="664"/>
      <c r="O1897" s="665"/>
      <c r="P1897" s="666"/>
      <c r="Q1897" s="667"/>
      <c r="R1897" s="668"/>
      <c r="S1897" s="665"/>
      <c r="T1897" s="669"/>
      <c r="U1897" s="669"/>
      <c r="V1897" s="665"/>
      <c r="W1897" s="670"/>
      <c r="X1897" s="670"/>
      <c r="Y1897" s="671"/>
      <c r="Z1897" s="671"/>
      <c r="AA1897" s="672"/>
      <c r="AB1897" s="673"/>
      <c r="AC1897" s="673"/>
      <c r="AD1897" s="673"/>
      <c r="AE1897" s="673"/>
      <c r="AF1897" s="673"/>
      <c r="AG1897" s="673"/>
      <c r="AH1897" s="673"/>
      <c r="AI1897" s="673"/>
      <c r="AJ1897" s="673"/>
      <c r="AK1897" s="673"/>
      <c r="AL1897" s="673"/>
      <c r="AM1897" s="673"/>
      <c r="AN1897" s="673"/>
      <c r="AO1897" s="673"/>
      <c r="AP1897" s="673"/>
      <c r="AQ1897" s="673"/>
      <c r="AR1897" s="673"/>
      <c r="AS1897" s="673"/>
    </row>
    <row r="1898">
      <c r="A1898" s="653"/>
      <c r="B1898" s="654"/>
      <c r="C1898" s="655"/>
      <c r="D1898" s="656"/>
      <c r="E1898" s="657"/>
      <c r="F1898" s="658"/>
      <c r="G1898" s="659"/>
      <c r="H1898" s="660"/>
      <c r="I1898" s="659"/>
      <c r="J1898" s="661"/>
      <c r="K1898" s="658"/>
      <c r="L1898" s="662"/>
      <c r="M1898" s="663"/>
      <c r="N1898" s="664"/>
      <c r="O1898" s="665"/>
      <c r="P1898" s="666"/>
      <c r="Q1898" s="667"/>
      <c r="R1898" s="668"/>
      <c r="S1898" s="665"/>
      <c r="T1898" s="669"/>
      <c r="U1898" s="669"/>
      <c r="V1898" s="665"/>
      <c r="W1898" s="670"/>
      <c r="X1898" s="670"/>
      <c r="Y1898" s="671"/>
      <c r="Z1898" s="671"/>
      <c r="AA1898" s="672"/>
      <c r="AB1898" s="673"/>
      <c r="AC1898" s="673"/>
      <c r="AD1898" s="673"/>
      <c r="AE1898" s="673"/>
      <c r="AF1898" s="673"/>
      <c r="AG1898" s="673"/>
      <c r="AH1898" s="673"/>
      <c r="AI1898" s="673"/>
      <c r="AJ1898" s="673"/>
      <c r="AK1898" s="673"/>
      <c r="AL1898" s="673"/>
      <c r="AM1898" s="673"/>
      <c r="AN1898" s="673"/>
      <c r="AO1898" s="673"/>
      <c r="AP1898" s="673"/>
      <c r="AQ1898" s="673"/>
      <c r="AR1898" s="673"/>
      <c r="AS1898" s="673"/>
    </row>
    <row r="1899">
      <c r="A1899" s="653"/>
      <c r="B1899" s="654"/>
      <c r="C1899" s="655"/>
      <c r="D1899" s="656"/>
      <c r="E1899" s="657"/>
      <c r="F1899" s="658"/>
      <c r="G1899" s="659"/>
      <c r="H1899" s="660"/>
      <c r="I1899" s="659"/>
      <c r="J1899" s="661"/>
      <c r="K1899" s="658"/>
      <c r="L1899" s="662"/>
      <c r="M1899" s="663"/>
      <c r="N1899" s="664"/>
      <c r="O1899" s="665"/>
      <c r="P1899" s="666"/>
      <c r="Q1899" s="667"/>
      <c r="R1899" s="668"/>
      <c r="S1899" s="665"/>
      <c r="T1899" s="669"/>
      <c r="U1899" s="669"/>
      <c r="V1899" s="665"/>
      <c r="W1899" s="670"/>
      <c r="X1899" s="670"/>
      <c r="Y1899" s="671"/>
      <c r="Z1899" s="671"/>
      <c r="AA1899" s="672"/>
      <c r="AB1899" s="673"/>
      <c r="AC1899" s="673"/>
      <c r="AD1899" s="673"/>
      <c r="AE1899" s="673"/>
      <c r="AF1899" s="673"/>
      <c r="AG1899" s="673"/>
      <c r="AH1899" s="673"/>
      <c r="AI1899" s="673"/>
      <c r="AJ1899" s="673"/>
      <c r="AK1899" s="673"/>
      <c r="AL1899" s="673"/>
      <c r="AM1899" s="673"/>
      <c r="AN1899" s="673"/>
      <c r="AO1899" s="673"/>
      <c r="AP1899" s="673"/>
      <c r="AQ1899" s="673"/>
      <c r="AR1899" s="673"/>
      <c r="AS1899" s="673"/>
    </row>
    <row r="1900">
      <c r="A1900" s="653"/>
      <c r="B1900" s="654"/>
      <c r="C1900" s="655"/>
      <c r="D1900" s="656"/>
      <c r="E1900" s="657"/>
      <c r="F1900" s="658"/>
      <c r="G1900" s="659"/>
      <c r="H1900" s="660"/>
      <c r="I1900" s="659"/>
      <c r="J1900" s="661"/>
      <c r="K1900" s="658"/>
      <c r="L1900" s="662"/>
      <c r="M1900" s="663"/>
      <c r="N1900" s="664"/>
      <c r="O1900" s="665"/>
      <c r="P1900" s="666"/>
      <c r="Q1900" s="667"/>
      <c r="R1900" s="668"/>
      <c r="S1900" s="665"/>
      <c r="T1900" s="669"/>
      <c r="U1900" s="669"/>
      <c r="V1900" s="665"/>
      <c r="W1900" s="670"/>
      <c r="X1900" s="670"/>
      <c r="Y1900" s="671"/>
      <c r="Z1900" s="671"/>
      <c r="AA1900" s="672"/>
      <c r="AB1900" s="673"/>
      <c r="AC1900" s="673"/>
      <c r="AD1900" s="673"/>
      <c r="AE1900" s="673"/>
      <c r="AF1900" s="673"/>
      <c r="AG1900" s="673"/>
      <c r="AH1900" s="673"/>
      <c r="AI1900" s="673"/>
      <c r="AJ1900" s="673"/>
      <c r="AK1900" s="673"/>
      <c r="AL1900" s="673"/>
      <c r="AM1900" s="673"/>
      <c r="AN1900" s="673"/>
      <c r="AO1900" s="673"/>
      <c r="AP1900" s="673"/>
      <c r="AQ1900" s="673"/>
      <c r="AR1900" s="673"/>
      <c r="AS1900" s="673"/>
    </row>
    <row r="1901">
      <c r="A1901" s="653"/>
      <c r="B1901" s="654"/>
      <c r="C1901" s="655"/>
      <c r="D1901" s="656"/>
      <c r="E1901" s="657"/>
      <c r="F1901" s="658"/>
      <c r="G1901" s="659"/>
      <c r="H1901" s="660"/>
      <c r="I1901" s="659"/>
      <c r="J1901" s="661"/>
      <c r="K1901" s="658"/>
      <c r="L1901" s="662"/>
      <c r="M1901" s="663"/>
      <c r="N1901" s="664"/>
      <c r="O1901" s="665"/>
      <c r="P1901" s="666"/>
      <c r="Q1901" s="667"/>
      <c r="R1901" s="668"/>
      <c r="S1901" s="665"/>
      <c r="T1901" s="669"/>
      <c r="U1901" s="669"/>
      <c r="V1901" s="665"/>
      <c r="W1901" s="670"/>
      <c r="X1901" s="670"/>
      <c r="Y1901" s="671"/>
      <c r="Z1901" s="671"/>
      <c r="AA1901" s="672"/>
      <c r="AB1901" s="673"/>
      <c r="AC1901" s="673"/>
      <c r="AD1901" s="673"/>
      <c r="AE1901" s="673"/>
      <c r="AF1901" s="673"/>
      <c r="AG1901" s="673"/>
      <c r="AH1901" s="673"/>
      <c r="AI1901" s="673"/>
      <c r="AJ1901" s="673"/>
      <c r="AK1901" s="673"/>
      <c r="AL1901" s="673"/>
      <c r="AM1901" s="673"/>
      <c r="AN1901" s="673"/>
      <c r="AO1901" s="673"/>
      <c r="AP1901" s="673"/>
      <c r="AQ1901" s="673"/>
      <c r="AR1901" s="673"/>
      <c r="AS1901" s="673"/>
    </row>
    <row r="1902">
      <c r="A1902" s="653"/>
      <c r="B1902" s="654"/>
      <c r="C1902" s="655"/>
      <c r="D1902" s="656"/>
      <c r="E1902" s="657"/>
      <c r="F1902" s="658"/>
      <c r="G1902" s="659"/>
      <c r="H1902" s="660"/>
      <c r="I1902" s="659"/>
      <c r="J1902" s="661"/>
      <c r="K1902" s="658"/>
      <c r="L1902" s="662"/>
      <c r="M1902" s="663"/>
      <c r="N1902" s="664"/>
      <c r="O1902" s="665"/>
      <c r="P1902" s="666"/>
      <c r="Q1902" s="667"/>
      <c r="R1902" s="668"/>
      <c r="S1902" s="665"/>
      <c r="T1902" s="669"/>
      <c r="U1902" s="669"/>
      <c r="V1902" s="665"/>
      <c r="W1902" s="670"/>
      <c r="X1902" s="670"/>
      <c r="Y1902" s="671"/>
      <c r="Z1902" s="671"/>
      <c r="AA1902" s="672"/>
      <c r="AB1902" s="673"/>
      <c r="AC1902" s="673"/>
      <c r="AD1902" s="673"/>
      <c r="AE1902" s="673"/>
      <c r="AF1902" s="673"/>
      <c r="AG1902" s="673"/>
      <c r="AH1902" s="673"/>
      <c r="AI1902" s="673"/>
      <c r="AJ1902" s="673"/>
      <c r="AK1902" s="673"/>
      <c r="AL1902" s="673"/>
      <c r="AM1902" s="673"/>
      <c r="AN1902" s="673"/>
      <c r="AO1902" s="673"/>
      <c r="AP1902" s="673"/>
      <c r="AQ1902" s="673"/>
      <c r="AR1902" s="673"/>
      <c r="AS1902" s="673"/>
    </row>
    <row r="1903">
      <c r="A1903" s="653"/>
      <c r="B1903" s="654"/>
      <c r="C1903" s="655"/>
      <c r="D1903" s="656"/>
      <c r="E1903" s="657"/>
      <c r="F1903" s="658"/>
      <c r="G1903" s="659"/>
      <c r="H1903" s="660"/>
      <c r="I1903" s="659"/>
      <c r="J1903" s="661"/>
      <c r="K1903" s="658"/>
      <c r="L1903" s="662"/>
      <c r="M1903" s="663"/>
      <c r="N1903" s="664"/>
      <c r="O1903" s="665"/>
      <c r="P1903" s="666"/>
      <c r="Q1903" s="667"/>
      <c r="R1903" s="668"/>
      <c r="S1903" s="665"/>
      <c r="T1903" s="669"/>
      <c r="U1903" s="669"/>
      <c r="V1903" s="665"/>
      <c r="W1903" s="670"/>
      <c r="X1903" s="670"/>
      <c r="Y1903" s="671"/>
      <c r="Z1903" s="671"/>
      <c r="AA1903" s="672"/>
      <c r="AB1903" s="673"/>
      <c r="AC1903" s="673"/>
      <c r="AD1903" s="673"/>
      <c r="AE1903" s="673"/>
      <c r="AF1903" s="673"/>
      <c r="AG1903" s="673"/>
      <c r="AH1903" s="673"/>
      <c r="AI1903" s="673"/>
      <c r="AJ1903" s="673"/>
      <c r="AK1903" s="673"/>
      <c r="AL1903" s="673"/>
      <c r="AM1903" s="673"/>
      <c r="AN1903" s="673"/>
      <c r="AO1903" s="673"/>
      <c r="AP1903" s="673"/>
      <c r="AQ1903" s="673"/>
      <c r="AR1903" s="673"/>
      <c r="AS1903" s="673"/>
    </row>
    <row r="1904">
      <c r="A1904" s="653"/>
      <c r="B1904" s="654"/>
      <c r="C1904" s="655"/>
      <c r="D1904" s="656"/>
      <c r="E1904" s="657"/>
      <c r="F1904" s="658"/>
      <c r="G1904" s="659"/>
      <c r="H1904" s="660"/>
      <c r="I1904" s="659"/>
      <c r="J1904" s="661"/>
      <c r="K1904" s="658"/>
      <c r="L1904" s="662"/>
      <c r="M1904" s="663"/>
      <c r="N1904" s="664"/>
      <c r="O1904" s="665"/>
      <c r="P1904" s="666"/>
      <c r="Q1904" s="667"/>
      <c r="R1904" s="668"/>
      <c r="S1904" s="665"/>
      <c r="T1904" s="669"/>
      <c r="U1904" s="669"/>
      <c r="V1904" s="665"/>
      <c r="W1904" s="670"/>
      <c r="X1904" s="670"/>
      <c r="Y1904" s="671"/>
      <c r="Z1904" s="671"/>
      <c r="AA1904" s="672"/>
      <c r="AB1904" s="673"/>
      <c r="AC1904" s="673"/>
      <c r="AD1904" s="673"/>
      <c r="AE1904" s="673"/>
      <c r="AF1904" s="673"/>
      <c r="AG1904" s="673"/>
      <c r="AH1904" s="673"/>
      <c r="AI1904" s="673"/>
      <c r="AJ1904" s="673"/>
      <c r="AK1904" s="673"/>
      <c r="AL1904" s="673"/>
      <c r="AM1904" s="673"/>
      <c r="AN1904" s="673"/>
      <c r="AO1904" s="673"/>
      <c r="AP1904" s="673"/>
      <c r="AQ1904" s="673"/>
      <c r="AR1904" s="673"/>
      <c r="AS1904" s="673"/>
    </row>
    <row r="1905">
      <c r="A1905" s="653"/>
      <c r="B1905" s="654"/>
      <c r="C1905" s="655"/>
      <c r="D1905" s="656"/>
      <c r="E1905" s="657"/>
      <c r="F1905" s="658"/>
      <c r="G1905" s="659"/>
      <c r="H1905" s="660"/>
      <c r="I1905" s="659"/>
      <c r="J1905" s="661"/>
      <c r="K1905" s="658"/>
      <c r="L1905" s="662"/>
      <c r="M1905" s="663"/>
      <c r="N1905" s="664"/>
      <c r="O1905" s="665"/>
      <c r="P1905" s="666"/>
      <c r="Q1905" s="667"/>
      <c r="R1905" s="668"/>
      <c r="S1905" s="665"/>
      <c r="T1905" s="669"/>
      <c r="U1905" s="669"/>
      <c r="V1905" s="665"/>
      <c r="W1905" s="670"/>
      <c r="X1905" s="670"/>
      <c r="Y1905" s="671"/>
      <c r="Z1905" s="671"/>
      <c r="AA1905" s="672"/>
      <c r="AB1905" s="673"/>
      <c r="AC1905" s="673"/>
      <c r="AD1905" s="673"/>
      <c r="AE1905" s="673"/>
      <c r="AF1905" s="673"/>
      <c r="AG1905" s="673"/>
      <c r="AH1905" s="673"/>
      <c r="AI1905" s="673"/>
      <c r="AJ1905" s="673"/>
      <c r="AK1905" s="673"/>
      <c r="AL1905" s="673"/>
      <c r="AM1905" s="673"/>
      <c r="AN1905" s="673"/>
      <c r="AO1905" s="673"/>
      <c r="AP1905" s="673"/>
      <c r="AQ1905" s="673"/>
      <c r="AR1905" s="673"/>
      <c r="AS1905" s="673"/>
    </row>
    <row r="1906">
      <c r="A1906" s="653"/>
      <c r="B1906" s="654"/>
      <c r="C1906" s="655"/>
      <c r="D1906" s="656"/>
      <c r="E1906" s="657"/>
      <c r="F1906" s="658"/>
      <c r="G1906" s="659"/>
      <c r="H1906" s="660"/>
      <c r="I1906" s="659"/>
      <c r="J1906" s="661"/>
      <c r="K1906" s="658"/>
      <c r="L1906" s="662"/>
      <c r="M1906" s="663"/>
      <c r="N1906" s="664"/>
      <c r="O1906" s="665"/>
      <c r="P1906" s="666"/>
      <c r="Q1906" s="667"/>
      <c r="R1906" s="668"/>
      <c r="S1906" s="665"/>
      <c r="T1906" s="669"/>
      <c r="U1906" s="669"/>
      <c r="V1906" s="665"/>
      <c r="W1906" s="670"/>
      <c r="X1906" s="670"/>
      <c r="Y1906" s="671"/>
      <c r="Z1906" s="671"/>
      <c r="AA1906" s="672"/>
      <c r="AB1906" s="673"/>
      <c r="AC1906" s="673"/>
      <c r="AD1906" s="673"/>
      <c r="AE1906" s="673"/>
      <c r="AF1906" s="673"/>
      <c r="AG1906" s="673"/>
      <c r="AH1906" s="673"/>
      <c r="AI1906" s="673"/>
      <c r="AJ1906" s="673"/>
      <c r="AK1906" s="673"/>
      <c r="AL1906" s="673"/>
      <c r="AM1906" s="673"/>
      <c r="AN1906" s="673"/>
      <c r="AO1906" s="673"/>
      <c r="AP1906" s="673"/>
      <c r="AQ1906" s="673"/>
      <c r="AR1906" s="673"/>
      <c r="AS1906" s="673"/>
    </row>
    <row r="1907">
      <c r="A1907" s="653"/>
      <c r="B1907" s="654"/>
      <c r="C1907" s="655"/>
      <c r="D1907" s="656"/>
      <c r="E1907" s="657"/>
      <c r="F1907" s="658"/>
      <c r="G1907" s="659"/>
      <c r="H1907" s="660"/>
      <c r="I1907" s="659"/>
      <c r="J1907" s="661"/>
      <c r="K1907" s="658"/>
      <c r="L1907" s="662"/>
      <c r="M1907" s="663"/>
      <c r="N1907" s="664"/>
      <c r="O1907" s="665"/>
      <c r="P1907" s="666"/>
      <c r="Q1907" s="667"/>
      <c r="R1907" s="668"/>
      <c r="S1907" s="665"/>
      <c r="T1907" s="669"/>
      <c r="U1907" s="669"/>
      <c r="V1907" s="665"/>
      <c r="W1907" s="670"/>
      <c r="X1907" s="670"/>
      <c r="Y1907" s="671"/>
      <c r="Z1907" s="671"/>
      <c r="AA1907" s="672"/>
      <c r="AB1907" s="673"/>
      <c r="AC1907" s="673"/>
      <c r="AD1907" s="673"/>
      <c r="AE1907" s="673"/>
      <c r="AF1907" s="673"/>
      <c r="AG1907" s="673"/>
      <c r="AH1907" s="673"/>
      <c r="AI1907" s="673"/>
      <c r="AJ1907" s="673"/>
      <c r="AK1907" s="673"/>
      <c r="AL1907" s="673"/>
      <c r="AM1907" s="673"/>
      <c r="AN1907" s="673"/>
      <c r="AO1907" s="673"/>
      <c r="AP1907" s="673"/>
      <c r="AQ1907" s="673"/>
      <c r="AR1907" s="673"/>
      <c r="AS1907" s="673"/>
    </row>
    <row r="1908">
      <c r="A1908" s="653"/>
      <c r="B1908" s="654"/>
      <c r="C1908" s="655"/>
      <c r="D1908" s="656"/>
      <c r="E1908" s="657"/>
      <c r="F1908" s="658"/>
      <c r="G1908" s="659"/>
      <c r="H1908" s="660"/>
      <c r="I1908" s="659"/>
      <c r="J1908" s="661"/>
      <c r="K1908" s="658"/>
      <c r="L1908" s="662"/>
      <c r="M1908" s="663"/>
      <c r="N1908" s="664"/>
      <c r="O1908" s="665"/>
      <c r="P1908" s="666"/>
      <c r="Q1908" s="667"/>
      <c r="R1908" s="668"/>
      <c r="S1908" s="665"/>
      <c r="T1908" s="669"/>
      <c r="U1908" s="669"/>
      <c r="V1908" s="665"/>
      <c r="W1908" s="670"/>
      <c r="X1908" s="670"/>
      <c r="Y1908" s="671"/>
      <c r="Z1908" s="671"/>
      <c r="AA1908" s="672"/>
      <c r="AB1908" s="673"/>
      <c r="AC1908" s="673"/>
      <c r="AD1908" s="673"/>
      <c r="AE1908" s="673"/>
      <c r="AF1908" s="673"/>
      <c r="AG1908" s="673"/>
      <c r="AH1908" s="673"/>
      <c r="AI1908" s="673"/>
      <c r="AJ1908" s="673"/>
      <c r="AK1908" s="673"/>
      <c r="AL1908" s="673"/>
      <c r="AM1908" s="673"/>
      <c r="AN1908" s="673"/>
      <c r="AO1908" s="673"/>
      <c r="AP1908" s="673"/>
      <c r="AQ1908" s="673"/>
      <c r="AR1908" s="673"/>
      <c r="AS1908" s="673"/>
    </row>
    <row r="1909">
      <c r="A1909" s="653"/>
      <c r="B1909" s="654"/>
      <c r="C1909" s="655"/>
      <c r="D1909" s="656"/>
      <c r="E1909" s="657"/>
      <c r="F1909" s="658"/>
      <c r="G1909" s="659"/>
      <c r="H1909" s="660"/>
      <c r="I1909" s="659"/>
      <c r="J1909" s="661"/>
      <c r="K1909" s="658"/>
      <c r="L1909" s="662"/>
      <c r="M1909" s="663"/>
      <c r="N1909" s="664"/>
      <c r="O1909" s="665"/>
      <c r="P1909" s="666"/>
      <c r="Q1909" s="667"/>
      <c r="R1909" s="668"/>
      <c r="S1909" s="665"/>
      <c r="T1909" s="669"/>
      <c r="U1909" s="669"/>
      <c r="V1909" s="665"/>
      <c r="W1909" s="670"/>
      <c r="X1909" s="670"/>
      <c r="Y1909" s="671"/>
      <c r="Z1909" s="671"/>
      <c r="AA1909" s="672"/>
      <c r="AB1909" s="673"/>
      <c r="AC1909" s="673"/>
      <c r="AD1909" s="673"/>
      <c r="AE1909" s="673"/>
      <c r="AF1909" s="673"/>
      <c r="AG1909" s="673"/>
      <c r="AH1909" s="673"/>
      <c r="AI1909" s="673"/>
      <c r="AJ1909" s="673"/>
      <c r="AK1909" s="673"/>
      <c r="AL1909" s="673"/>
      <c r="AM1909" s="673"/>
      <c r="AN1909" s="673"/>
      <c r="AO1909" s="673"/>
      <c r="AP1909" s="673"/>
      <c r="AQ1909" s="673"/>
      <c r="AR1909" s="673"/>
      <c r="AS1909" s="673"/>
    </row>
    <row r="1910">
      <c r="A1910" s="653"/>
      <c r="B1910" s="654"/>
      <c r="C1910" s="655"/>
      <c r="D1910" s="656"/>
      <c r="E1910" s="657"/>
      <c r="F1910" s="658"/>
      <c r="G1910" s="659"/>
      <c r="H1910" s="660"/>
      <c r="I1910" s="659"/>
      <c r="J1910" s="661"/>
      <c r="K1910" s="658"/>
      <c r="L1910" s="662"/>
      <c r="M1910" s="663"/>
      <c r="N1910" s="664"/>
      <c r="O1910" s="665"/>
      <c r="P1910" s="666"/>
      <c r="Q1910" s="667"/>
      <c r="R1910" s="668"/>
      <c r="S1910" s="665"/>
      <c r="T1910" s="669"/>
      <c r="U1910" s="669"/>
      <c r="V1910" s="665"/>
      <c r="W1910" s="670"/>
      <c r="X1910" s="670"/>
      <c r="Y1910" s="671"/>
      <c r="Z1910" s="671"/>
      <c r="AA1910" s="672"/>
      <c r="AB1910" s="673"/>
      <c r="AC1910" s="673"/>
      <c r="AD1910" s="673"/>
      <c r="AE1910" s="673"/>
      <c r="AF1910" s="673"/>
      <c r="AG1910" s="673"/>
      <c r="AH1910" s="673"/>
      <c r="AI1910" s="673"/>
      <c r="AJ1910" s="673"/>
      <c r="AK1910" s="673"/>
      <c r="AL1910" s="673"/>
      <c r="AM1910" s="673"/>
      <c r="AN1910" s="673"/>
      <c r="AO1910" s="673"/>
      <c r="AP1910" s="673"/>
      <c r="AQ1910" s="673"/>
      <c r="AR1910" s="673"/>
      <c r="AS1910" s="673"/>
    </row>
    <row r="1911">
      <c r="A1911" s="653"/>
      <c r="B1911" s="654"/>
      <c r="C1911" s="655"/>
      <c r="D1911" s="656"/>
      <c r="E1911" s="657"/>
      <c r="F1911" s="658"/>
      <c r="G1911" s="659"/>
      <c r="H1911" s="660"/>
      <c r="I1911" s="659"/>
      <c r="J1911" s="661"/>
      <c r="K1911" s="658"/>
      <c r="L1911" s="662"/>
      <c r="M1911" s="663"/>
      <c r="N1911" s="664"/>
      <c r="O1911" s="665"/>
      <c r="P1911" s="666"/>
      <c r="Q1911" s="667"/>
      <c r="R1911" s="668"/>
      <c r="S1911" s="665"/>
      <c r="T1911" s="669"/>
      <c r="U1911" s="669"/>
      <c r="V1911" s="665"/>
      <c r="W1911" s="670"/>
      <c r="X1911" s="670"/>
      <c r="Y1911" s="671"/>
      <c r="Z1911" s="671"/>
      <c r="AA1911" s="672"/>
      <c r="AB1911" s="673"/>
      <c r="AC1911" s="673"/>
      <c r="AD1911" s="673"/>
      <c r="AE1911" s="673"/>
      <c r="AF1911" s="673"/>
      <c r="AG1911" s="673"/>
      <c r="AH1911" s="673"/>
      <c r="AI1911" s="673"/>
      <c r="AJ1911" s="673"/>
      <c r="AK1911" s="673"/>
      <c r="AL1911" s="673"/>
      <c r="AM1911" s="673"/>
      <c r="AN1911" s="673"/>
      <c r="AO1911" s="673"/>
      <c r="AP1911" s="673"/>
      <c r="AQ1911" s="673"/>
      <c r="AR1911" s="673"/>
      <c r="AS1911" s="673"/>
    </row>
    <row r="1912">
      <c r="A1912" s="653"/>
      <c r="B1912" s="654"/>
      <c r="C1912" s="655"/>
      <c r="D1912" s="656"/>
      <c r="E1912" s="657"/>
      <c r="F1912" s="658"/>
      <c r="G1912" s="659"/>
      <c r="H1912" s="660"/>
      <c r="I1912" s="659"/>
      <c r="J1912" s="661"/>
      <c r="K1912" s="658"/>
      <c r="L1912" s="662"/>
      <c r="M1912" s="663"/>
      <c r="N1912" s="664"/>
      <c r="O1912" s="665"/>
      <c r="P1912" s="666"/>
      <c r="Q1912" s="667"/>
      <c r="R1912" s="668"/>
      <c r="S1912" s="665"/>
      <c r="T1912" s="669"/>
      <c r="U1912" s="669"/>
      <c r="V1912" s="665"/>
      <c r="W1912" s="670"/>
      <c r="X1912" s="670"/>
      <c r="Y1912" s="671"/>
      <c r="Z1912" s="671"/>
      <c r="AA1912" s="672"/>
      <c r="AB1912" s="673"/>
      <c r="AC1912" s="673"/>
      <c r="AD1912" s="673"/>
      <c r="AE1912" s="673"/>
      <c r="AF1912" s="673"/>
      <c r="AG1912" s="673"/>
      <c r="AH1912" s="673"/>
      <c r="AI1912" s="673"/>
      <c r="AJ1912" s="673"/>
      <c r="AK1912" s="673"/>
      <c r="AL1912" s="673"/>
      <c r="AM1912" s="673"/>
      <c r="AN1912" s="673"/>
      <c r="AO1912" s="673"/>
      <c r="AP1912" s="673"/>
      <c r="AQ1912" s="673"/>
      <c r="AR1912" s="673"/>
      <c r="AS1912" s="673"/>
    </row>
    <row r="1913">
      <c r="A1913" s="653"/>
      <c r="B1913" s="654"/>
      <c r="C1913" s="655"/>
      <c r="D1913" s="656"/>
      <c r="E1913" s="657"/>
      <c r="F1913" s="658"/>
      <c r="G1913" s="659"/>
      <c r="H1913" s="660"/>
      <c r="I1913" s="659"/>
      <c r="J1913" s="661"/>
      <c r="K1913" s="658"/>
      <c r="L1913" s="662"/>
      <c r="M1913" s="663"/>
      <c r="N1913" s="664"/>
      <c r="O1913" s="665"/>
      <c r="P1913" s="666"/>
      <c r="Q1913" s="667"/>
      <c r="R1913" s="668"/>
      <c r="S1913" s="665"/>
      <c r="T1913" s="669"/>
      <c r="U1913" s="669"/>
      <c r="V1913" s="665"/>
      <c r="W1913" s="670"/>
      <c r="X1913" s="670"/>
      <c r="Y1913" s="671"/>
      <c r="Z1913" s="671"/>
      <c r="AA1913" s="672"/>
      <c r="AB1913" s="673"/>
      <c r="AC1913" s="673"/>
      <c r="AD1913" s="673"/>
      <c r="AE1913" s="673"/>
      <c r="AF1913" s="673"/>
      <c r="AG1913" s="673"/>
      <c r="AH1913" s="673"/>
      <c r="AI1913" s="673"/>
      <c r="AJ1913" s="673"/>
      <c r="AK1913" s="673"/>
      <c r="AL1913" s="673"/>
      <c r="AM1913" s="673"/>
      <c r="AN1913" s="673"/>
      <c r="AO1913" s="673"/>
      <c r="AP1913" s="673"/>
      <c r="AQ1913" s="673"/>
      <c r="AR1913" s="673"/>
      <c r="AS1913" s="673"/>
    </row>
    <row r="1914">
      <c r="A1914" s="653"/>
      <c r="B1914" s="654"/>
      <c r="C1914" s="655"/>
      <c r="D1914" s="656"/>
      <c r="E1914" s="657"/>
      <c r="F1914" s="658"/>
      <c r="G1914" s="659"/>
      <c r="H1914" s="660"/>
      <c r="I1914" s="659"/>
      <c r="J1914" s="661"/>
      <c r="K1914" s="658"/>
      <c r="L1914" s="662"/>
      <c r="M1914" s="663"/>
      <c r="N1914" s="664"/>
      <c r="O1914" s="665"/>
      <c r="P1914" s="666"/>
      <c r="Q1914" s="667"/>
      <c r="R1914" s="668"/>
      <c r="S1914" s="665"/>
      <c r="T1914" s="669"/>
      <c r="U1914" s="669"/>
      <c r="V1914" s="665"/>
      <c r="W1914" s="670"/>
      <c r="X1914" s="670"/>
      <c r="Y1914" s="671"/>
      <c r="Z1914" s="671"/>
      <c r="AA1914" s="672"/>
      <c r="AB1914" s="673"/>
      <c r="AC1914" s="673"/>
      <c r="AD1914" s="673"/>
      <c r="AE1914" s="673"/>
      <c r="AF1914" s="673"/>
      <c r="AG1914" s="673"/>
      <c r="AH1914" s="673"/>
      <c r="AI1914" s="673"/>
      <c r="AJ1914" s="673"/>
      <c r="AK1914" s="673"/>
      <c r="AL1914" s="673"/>
      <c r="AM1914" s="673"/>
      <c r="AN1914" s="673"/>
      <c r="AO1914" s="673"/>
      <c r="AP1914" s="673"/>
      <c r="AQ1914" s="673"/>
      <c r="AR1914" s="673"/>
      <c r="AS1914" s="673"/>
    </row>
    <row r="1915">
      <c r="A1915" s="653"/>
      <c r="B1915" s="654"/>
      <c r="C1915" s="655"/>
      <c r="D1915" s="656"/>
      <c r="E1915" s="657"/>
      <c r="F1915" s="658"/>
      <c r="G1915" s="659"/>
      <c r="H1915" s="660"/>
      <c r="I1915" s="659"/>
      <c r="J1915" s="661"/>
      <c r="K1915" s="658"/>
      <c r="L1915" s="662"/>
      <c r="M1915" s="663"/>
      <c r="N1915" s="664"/>
      <c r="O1915" s="665"/>
      <c r="P1915" s="666"/>
      <c r="Q1915" s="667"/>
      <c r="R1915" s="668"/>
      <c r="S1915" s="665"/>
      <c r="T1915" s="669"/>
      <c r="U1915" s="669"/>
      <c r="V1915" s="665"/>
      <c r="W1915" s="670"/>
      <c r="X1915" s="670"/>
      <c r="Y1915" s="671"/>
      <c r="Z1915" s="671"/>
      <c r="AA1915" s="672"/>
      <c r="AB1915" s="673"/>
      <c r="AC1915" s="673"/>
      <c r="AD1915" s="673"/>
      <c r="AE1915" s="673"/>
      <c r="AF1915" s="673"/>
      <c r="AG1915" s="673"/>
      <c r="AH1915" s="673"/>
      <c r="AI1915" s="673"/>
      <c r="AJ1915" s="673"/>
      <c r="AK1915" s="673"/>
      <c r="AL1915" s="673"/>
      <c r="AM1915" s="673"/>
      <c r="AN1915" s="673"/>
      <c r="AO1915" s="673"/>
      <c r="AP1915" s="673"/>
      <c r="AQ1915" s="673"/>
      <c r="AR1915" s="673"/>
      <c r="AS1915" s="673"/>
    </row>
    <row r="1916">
      <c r="A1916" s="653"/>
      <c r="B1916" s="654"/>
      <c r="C1916" s="655"/>
      <c r="D1916" s="656"/>
      <c r="E1916" s="657"/>
      <c r="F1916" s="658"/>
      <c r="G1916" s="659"/>
      <c r="H1916" s="660"/>
      <c r="I1916" s="659"/>
      <c r="J1916" s="661"/>
      <c r="K1916" s="658"/>
      <c r="L1916" s="662"/>
      <c r="M1916" s="663"/>
      <c r="N1916" s="664"/>
      <c r="O1916" s="665"/>
      <c r="P1916" s="666"/>
      <c r="Q1916" s="667"/>
      <c r="R1916" s="668"/>
      <c r="S1916" s="665"/>
      <c r="T1916" s="669"/>
      <c r="U1916" s="669"/>
      <c r="V1916" s="665"/>
      <c r="W1916" s="670"/>
      <c r="X1916" s="670"/>
      <c r="Y1916" s="671"/>
      <c r="Z1916" s="671"/>
      <c r="AA1916" s="672"/>
      <c r="AB1916" s="673"/>
      <c r="AC1916" s="673"/>
      <c r="AD1916" s="673"/>
      <c r="AE1916" s="673"/>
      <c r="AF1916" s="673"/>
      <c r="AG1916" s="673"/>
      <c r="AH1916" s="673"/>
      <c r="AI1916" s="673"/>
      <c r="AJ1916" s="673"/>
      <c r="AK1916" s="673"/>
      <c r="AL1916" s="673"/>
      <c r="AM1916" s="673"/>
      <c r="AN1916" s="673"/>
      <c r="AO1916" s="673"/>
      <c r="AP1916" s="673"/>
      <c r="AQ1916" s="673"/>
      <c r="AR1916" s="673"/>
      <c r="AS1916" s="673"/>
    </row>
    <row r="1917">
      <c r="A1917" s="653"/>
      <c r="B1917" s="654"/>
      <c r="C1917" s="655"/>
      <c r="D1917" s="656"/>
      <c r="E1917" s="657"/>
      <c r="F1917" s="658"/>
      <c r="G1917" s="659"/>
      <c r="H1917" s="660"/>
      <c r="I1917" s="659"/>
      <c r="J1917" s="661"/>
      <c r="K1917" s="658"/>
      <c r="L1917" s="662"/>
      <c r="M1917" s="663"/>
      <c r="N1917" s="664"/>
      <c r="O1917" s="665"/>
      <c r="P1917" s="666"/>
      <c r="Q1917" s="667"/>
      <c r="R1917" s="668"/>
      <c r="S1917" s="665"/>
      <c r="T1917" s="669"/>
      <c r="U1917" s="669"/>
      <c r="V1917" s="665"/>
      <c r="W1917" s="670"/>
      <c r="X1917" s="670"/>
      <c r="Y1917" s="671"/>
      <c r="Z1917" s="671"/>
      <c r="AA1917" s="672"/>
      <c r="AB1917" s="673"/>
      <c r="AC1917" s="673"/>
      <c r="AD1917" s="673"/>
      <c r="AE1917" s="673"/>
      <c r="AF1917" s="673"/>
      <c r="AG1917" s="673"/>
      <c r="AH1917" s="673"/>
      <c r="AI1917" s="673"/>
      <c r="AJ1917" s="673"/>
      <c r="AK1917" s="673"/>
      <c r="AL1917" s="673"/>
      <c r="AM1917" s="673"/>
      <c r="AN1917" s="673"/>
      <c r="AO1917" s="673"/>
      <c r="AP1917" s="673"/>
      <c r="AQ1917" s="673"/>
      <c r="AR1917" s="673"/>
      <c r="AS1917" s="673"/>
    </row>
    <row r="1918">
      <c r="A1918" s="653"/>
      <c r="B1918" s="654"/>
      <c r="C1918" s="655"/>
      <c r="D1918" s="656"/>
      <c r="E1918" s="657"/>
      <c r="F1918" s="658"/>
      <c r="G1918" s="659"/>
      <c r="H1918" s="660"/>
      <c r="I1918" s="659"/>
      <c r="J1918" s="661"/>
      <c r="K1918" s="658"/>
      <c r="L1918" s="662"/>
      <c r="M1918" s="663"/>
      <c r="N1918" s="664"/>
      <c r="O1918" s="665"/>
      <c r="P1918" s="666"/>
      <c r="Q1918" s="667"/>
      <c r="R1918" s="668"/>
      <c r="S1918" s="665"/>
      <c r="T1918" s="669"/>
      <c r="U1918" s="669"/>
      <c r="V1918" s="665"/>
      <c r="W1918" s="670"/>
      <c r="X1918" s="670"/>
      <c r="Y1918" s="671"/>
      <c r="Z1918" s="671"/>
      <c r="AA1918" s="672"/>
      <c r="AB1918" s="673"/>
      <c r="AC1918" s="673"/>
      <c r="AD1918" s="673"/>
      <c r="AE1918" s="673"/>
      <c r="AF1918" s="673"/>
      <c r="AG1918" s="673"/>
      <c r="AH1918" s="673"/>
      <c r="AI1918" s="673"/>
      <c r="AJ1918" s="673"/>
      <c r="AK1918" s="673"/>
      <c r="AL1918" s="673"/>
      <c r="AM1918" s="673"/>
      <c r="AN1918" s="673"/>
      <c r="AO1918" s="673"/>
      <c r="AP1918" s="673"/>
      <c r="AQ1918" s="673"/>
      <c r="AR1918" s="673"/>
      <c r="AS1918" s="673"/>
    </row>
    <row r="1919">
      <c r="A1919" s="653"/>
      <c r="B1919" s="654"/>
      <c r="C1919" s="655"/>
      <c r="D1919" s="656"/>
      <c r="E1919" s="657"/>
      <c r="F1919" s="658"/>
      <c r="G1919" s="659"/>
      <c r="H1919" s="660"/>
      <c r="I1919" s="659"/>
      <c r="J1919" s="661"/>
      <c r="K1919" s="658"/>
      <c r="L1919" s="662"/>
      <c r="M1919" s="663"/>
      <c r="N1919" s="664"/>
      <c r="O1919" s="665"/>
      <c r="P1919" s="666"/>
      <c r="Q1919" s="667"/>
      <c r="R1919" s="668"/>
      <c r="S1919" s="665"/>
      <c r="T1919" s="669"/>
      <c r="U1919" s="669"/>
      <c r="V1919" s="665"/>
      <c r="W1919" s="670"/>
      <c r="X1919" s="670"/>
      <c r="Y1919" s="671"/>
      <c r="Z1919" s="671"/>
      <c r="AA1919" s="672"/>
      <c r="AB1919" s="673"/>
      <c r="AC1919" s="673"/>
      <c r="AD1919" s="673"/>
      <c r="AE1919" s="673"/>
      <c r="AF1919" s="673"/>
      <c r="AG1919" s="673"/>
      <c r="AH1919" s="673"/>
      <c r="AI1919" s="673"/>
      <c r="AJ1919" s="673"/>
      <c r="AK1919" s="673"/>
      <c r="AL1919" s="673"/>
      <c r="AM1919" s="673"/>
      <c r="AN1919" s="673"/>
      <c r="AO1919" s="673"/>
      <c r="AP1919" s="673"/>
      <c r="AQ1919" s="673"/>
      <c r="AR1919" s="673"/>
      <c r="AS1919" s="673"/>
    </row>
    <row r="1920">
      <c r="A1920" s="653"/>
      <c r="B1920" s="654"/>
      <c r="C1920" s="655"/>
      <c r="D1920" s="656"/>
      <c r="E1920" s="657"/>
      <c r="F1920" s="658"/>
      <c r="G1920" s="659"/>
      <c r="H1920" s="660"/>
      <c r="I1920" s="659"/>
      <c r="J1920" s="661"/>
      <c r="K1920" s="658"/>
      <c r="L1920" s="662"/>
      <c r="M1920" s="663"/>
      <c r="N1920" s="664"/>
      <c r="O1920" s="665"/>
      <c r="P1920" s="666"/>
      <c r="Q1920" s="667"/>
      <c r="R1920" s="668"/>
      <c r="S1920" s="665"/>
      <c r="T1920" s="669"/>
      <c r="U1920" s="669"/>
      <c r="V1920" s="665"/>
      <c r="W1920" s="670"/>
      <c r="X1920" s="670"/>
      <c r="Y1920" s="671"/>
      <c r="Z1920" s="671"/>
      <c r="AA1920" s="672"/>
      <c r="AB1920" s="673"/>
      <c r="AC1920" s="673"/>
      <c r="AD1920" s="673"/>
      <c r="AE1920" s="673"/>
      <c r="AF1920" s="673"/>
      <c r="AG1920" s="673"/>
      <c r="AH1920" s="673"/>
      <c r="AI1920" s="673"/>
      <c r="AJ1920" s="673"/>
      <c r="AK1920" s="673"/>
      <c r="AL1920" s="673"/>
      <c r="AM1920" s="673"/>
      <c r="AN1920" s="673"/>
      <c r="AO1920" s="673"/>
      <c r="AP1920" s="673"/>
      <c r="AQ1920" s="673"/>
      <c r="AR1920" s="673"/>
      <c r="AS1920" s="673"/>
    </row>
    <row r="1921">
      <c r="A1921" s="653"/>
      <c r="B1921" s="654"/>
      <c r="C1921" s="655"/>
      <c r="D1921" s="656"/>
      <c r="E1921" s="657"/>
      <c r="F1921" s="658"/>
      <c r="G1921" s="659"/>
      <c r="H1921" s="660"/>
      <c r="I1921" s="659"/>
      <c r="J1921" s="661"/>
      <c r="K1921" s="658"/>
      <c r="L1921" s="662"/>
      <c r="M1921" s="663"/>
      <c r="N1921" s="664"/>
      <c r="O1921" s="665"/>
      <c r="P1921" s="666"/>
      <c r="Q1921" s="667"/>
      <c r="R1921" s="668"/>
      <c r="S1921" s="665"/>
      <c r="T1921" s="669"/>
      <c r="U1921" s="669"/>
      <c r="V1921" s="665"/>
      <c r="W1921" s="670"/>
      <c r="X1921" s="670"/>
      <c r="Y1921" s="671"/>
      <c r="Z1921" s="671"/>
      <c r="AA1921" s="672"/>
      <c r="AB1921" s="673"/>
      <c r="AC1921" s="673"/>
      <c r="AD1921" s="673"/>
      <c r="AE1921" s="673"/>
      <c r="AF1921" s="673"/>
      <c r="AG1921" s="673"/>
      <c r="AH1921" s="673"/>
      <c r="AI1921" s="673"/>
      <c r="AJ1921" s="673"/>
      <c r="AK1921" s="673"/>
      <c r="AL1921" s="673"/>
      <c r="AM1921" s="673"/>
      <c r="AN1921" s="673"/>
      <c r="AO1921" s="673"/>
      <c r="AP1921" s="673"/>
      <c r="AQ1921" s="673"/>
      <c r="AR1921" s="673"/>
      <c r="AS1921" s="673"/>
    </row>
    <row r="1922">
      <c r="A1922" s="653"/>
      <c r="B1922" s="654"/>
      <c r="C1922" s="655"/>
      <c r="D1922" s="656"/>
      <c r="E1922" s="657"/>
      <c r="F1922" s="658"/>
      <c r="G1922" s="659"/>
      <c r="H1922" s="660"/>
      <c r="I1922" s="659"/>
      <c r="J1922" s="661"/>
      <c r="K1922" s="658"/>
      <c r="L1922" s="662"/>
      <c r="M1922" s="663"/>
      <c r="N1922" s="664"/>
      <c r="O1922" s="665"/>
      <c r="P1922" s="666"/>
      <c r="Q1922" s="667"/>
      <c r="R1922" s="668"/>
      <c r="S1922" s="665"/>
      <c r="T1922" s="669"/>
      <c r="U1922" s="669"/>
      <c r="V1922" s="665"/>
      <c r="W1922" s="670"/>
      <c r="X1922" s="670"/>
      <c r="Y1922" s="671"/>
      <c r="Z1922" s="671"/>
      <c r="AA1922" s="672"/>
      <c r="AB1922" s="673"/>
      <c r="AC1922" s="673"/>
      <c r="AD1922" s="673"/>
      <c r="AE1922" s="673"/>
      <c r="AF1922" s="673"/>
      <c r="AG1922" s="673"/>
      <c r="AH1922" s="673"/>
      <c r="AI1922" s="673"/>
      <c r="AJ1922" s="673"/>
      <c r="AK1922" s="673"/>
      <c r="AL1922" s="673"/>
      <c r="AM1922" s="673"/>
      <c r="AN1922" s="673"/>
      <c r="AO1922" s="673"/>
      <c r="AP1922" s="673"/>
      <c r="AQ1922" s="673"/>
      <c r="AR1922" s="673"/>
      <c r="AS1922" s="673"/>
    </row>
    <row r="1923">
      <c r="A1923" s="653"/>
      <c r="B1923" s="654"/>
      <c r="C1923" s="655"/>
      <c r="D1923" s="656"/>
      <c r="E1923" s="657"/>
      <c r="F1923" s="658"/>
      <c r="G1923" s="659"/>
      <c r="H1923" s="660"/>
      <c r="I1923" s="659"/>
      <c r="J1923" s="661"/>
      <c r="K1923" s="658"/>
      <c r="L1923" s="662"/>
      <c r="M1923" s="663"/>
      <c r="N1923" s="664"/>
      <c r="O1923" s="665"/>
      <c r="P1923" s="666"/>
      <c r="Q1923" s="667"/>
      <c r="R1923" s="668"/>
      <c r="S1923" s="665"/>
      <c r="T1923" s="669"/>
      <c r="U1923" s="669"/>
      <c r="V1923" s="665"/>
      <c r="W1923" s="670"/>
      <c r="X1923" s="670"/>
      <c r="Y1923" s="671"/>
      <c r="Z1923" s="671"/>
      <c r="AA1923" s="672"/>
      <c r="AB1923" s="673"/>
      <c r="AC1923" s="673"/>
      <c r="AD1923" s="673"/>
      <c r="AE1923" s="673"/>
      <c r="AF1923" s="673"/>
      <c r="AG1923" s="673"/>
      <c r="AH1923" s="673"/>
      <c r="AI1923" s="673"/>
      <c r="AJ1923" s="673"/>
      <c r="AK1923" s="673"/>
      <c r="AL1923" s="673"/>
      <c r="AM1923" s="673"/>
      <c r="AN1923" s="673"/>
      <c r="AO1923" s="673"/>
      <c r="AP1923" s="673"/>
      <c r="AQ1923" s="673"/>
      <c r="AR1923" s="673"/>
      <c r="AS1923" s="673"/>
    </row>
    <row r="1924">
      <c r="A1924" s="653"/>
      <c r="B1924" s="654"/>
      <c r="C1924" s="655"/>
      <c r="D1924" s="656"/>
      <c r="E1924" s="657"/>
      <c r="F1924" s="658"/>
      <c r="G1924" s="659"/>
      <c r="H1924" s="660"/>
      <c r="I1924" s="659"/>
      <c r="J1924" s="661"/>
      <c r="K1924" s="658"/>
      <c r="L1924" s="662"/>
      <c r="M1924" s="663"/>
      <c r="N1924" s="664"/>
      <c r="O1924" s="665"/>
      <c r="P1924" s="666"/>
      <c r="Q1924" s="667"/>
      <c r="R1924" s="668"/>
      <c r="S1924" s="665"/>
      <c r="T1924" s="669"/>
      <c r="U1924" s="669"/>
      <c r="V1924" s="665"/>
      <c r="W1924" s="670"/>
      <c r="X1924" s="670"/>
      <c r="Y1924" s="671"/>
      <c r="Z1924" s="671"/>
      <c r="AA1924" s="672"/>
      <c r="AB1924" s="673"/>
      <c r="AC1924" s="673"/>
      <c r="AD1924" s="673"/>
      <c r="AE1924" s="673"/>
      <c r="AF1924" s="673"/>
      <c r="AG1924" s="673"/>
      <c r="AH1924" s="673"/>
      <c r="AI1924" s="673"/>
      <c r="AJ1924" s="673"/>
      <c r="AK1924" s="673"/>
      <c r="AL1924" s="673"/>
      <c r="AM1924" s="673"/>
      <c r="AN1924" s="673"/>
      <c r="AO1924" s="673"/>
      <c r="AP1924" s="673"/>
      <c r="AQ1924" s="673"/>
      <c r="AR1924" s="673"/>
      <c r="AS1924" s="673"/>
    </row>
    <row r="1925">
      <c r="A1925" s="653"/>
      <c r="B1925" s="654"/>
      <c r="C1925" s="655"/>
      <c r="D1925" s="656"/>
      <c r="E1925" s="657"/>
      <c r="F1925" s="658"/>
      <c r="G1925" s="659"/>
      <c r="H1925" s="660"/>
      <c r="I1925" s="659"/>
      <c r="J1925" s="661"/>
      <c r="K1925" s="658"/>
      <c r="L1925" s="662"/>
      <c r="M1925" s="663"/>
      <c r="N1925" s="664"/>
      <c r="O1925" s="665"/>
      <c r="P1925" s="666"/>
      <c r="Q1925" s="667"/>
      <c r="R1925" s="668"/>
      <c r="S1925" s="665"/>
      <c r="T1925" s="669"/>
      <c r="U1925" s="669"/>
      <c r="V1925" s="665"/>
      <c r="W1925" s="670"/>
      <c r="X1925" s="670"/>
      <c r="Y1925" s="671"/>
      <c r="Z1925" s="671"/>
      <c r="AA1925" s="672"/>
      <c r="AB1925" s="673"/>
      <c r="AC1925" s="673"/>
      <c r="AD1925" s="673"/>
      <c r="AE1925" s="673"/>
      <c r="AF1925" s="673"/>
      <c r="AG1925" s="673"/>
      <c r="AH1925" s="673"/>
      <c r="AI1925" s="673"/>
      <c r="AJ1925" s="673"/>
      <c r="AK1925" s="673"/>
      <c r="AL1925" s="673"/>
      <c r="AM1925" s="673"/>
      <c r="AN1925" s="673"/>
      <c r="AO1925" s="673"/>
      <c r="AP1925" s="673"/>
      <c r="AQ1925" s="673"/>
      <c r="AR1925" s="673"/>
      <c r="AS1925" s="673"/>
    </row>
    <row r="1926">
      <c r="A1926" s="653"/>
      <c r="B1926" s="654"/>
      <c r="C1926" s="655"/>
      <c r="D1926" s="656"/>
      <c r="E1926" s="657"/>
      <c r="F1926" s="658"/>
      <c r="G1926" s="659"/>
      <c r="H1926" s="660"/>
      <c r="I1926" s="659"/>
      <c r="J1926" s="661"/>
      <c r="K1926" s="658"/>
      <c r="L1926" s="662"/>
      <c r="M1926" s="663"/>
      <c r="N1926" s="664"/>
      <c r="O1926" s="665"/>
      <c r="P1926" s="666"/>
      <c r="Q1926" s="667"/>
      <c r="R1926" s="668"/>
      <c r="S1926" s="665"/>
      <c r="T1926" s="669"/>
      <c r="U1926" s="669"/>
      <c r="V1926" s="665"/>
      <c r="W1926" s="670"/>
      <c r="X1926" s="670"/>
      <c r="Y1926" s="671"/>
      <c r="Z1926" s="671"/>
      <c r="AA1926" s="672"/>
      <c r="AB1926" s="673"/>
      <c r="AC1926" s="673"/>
      <c r="AD1926" s="673"/>
      <c r="AE1926" s="673"/>
      <c r="AF1926" s="673"/>
      <c r="AG1926" s="673"/>
      <c r="AH1926" s="673"/>
      <c r="AI1926" s="673"/>
      <c r="AJ1926" s="673"/>
      <c r="AK1926" s="673"/>
      <c r="AL1926" s="673"/>
      <c r="AM1926" s="673"/>
      <c r="AN1926" s="673"/>
      <c r="AO1926" s="673"/>
      <c r="AP1926" s="673"/>
      <c r="AQ1926" s="673"/>
      <c r="AR1926" s="673"/>
      <c r="AS1926" s="673"/>
    </row>
    <row r="1927">
      <c r="A1927" s="653"/>
      <c r="B1927" s="654"/>
      <c r="C1927" s="655"/>
      <c r="D1927" s="656"/>
      <c r="E1927" s="657"/>
      <c r="F1927" s="658"/>
      <c r="G1927" s="659"/>
      <c r="H1927" s="660"/>
      <c r="I1927" s="659"/>
      <c r="J1927" s="661"/>
      <c r="K1927" s="658"/>
      <c r="L1927" s="662"/>
      <c r="M1927" s="663"/>
      <c r="N1927" s="664"/>
      <c r="O1927" s="665"/>
      <c r="P1927" s="666"/>
      <c r="Q1927" s="667"/>
      <c r="R1927" s="668"/>
      <c r="S1927" s="665"/>
      <c r="T1927" s="669"/>
      <c r="U1927" s="669"/>
      <c r="V1927" s="665"/>
      <c r="W1927" s="670"/>
      <c r="X1927" s="670"/>
      <c r="Y1927" s="671"/>
      <c r="Z1927" s="671"/>
      <c r="AA1927" s="672"/>
      <c r="AB1927" s="673"/>
      <c r="AC1927" s="673"/>
      <c r="AD1927" s="673"/>
      <c r="AE1927" s="673"/>
      <c r="AF1927" s="673"/>
      <c r="AG1927" s="673"/>
      <c r="AH1927" s="673"/>
      <c r="AI1927" s="673"/>
      <c r="AJ1927" s="673"/>
      <c r="AK1927" s="673"/>
      <c r="AL1927" s="673"/>
      <c r="AM1927" s="673"/>
      <c r="AN1927" s="673"/>
      <c r="AO1927" s="673"/>
      <c r="AP1927" s="673"/>
      <c r="AQ1927" s="673"/>
      <c r="AR1927" s="673"/>
      <c r="AS1927" s="673"/>
    </row>
    <row r="1928">
      <c r="A1928" s="653"/>
      <c r="B1928" s="654"/>
      <c r="C1928" s="655"/>
      <c r="D1928" s="656"/>
      <c r="E1928" s="657"/>
      <c r="F1928" s="658"/>
      <c r="G1928" s="659"/>
      <c r="H1928" s="660"/>
      <c r="I1928" s="659"/>
      <c r="J1928" s="661"/>
      <c r="K1928" s="658"/>
      <c r="L1928" s="662"/>
      <c r="M1928" s="663"/>
      <c r="N1928" s="664"/>
      <c r="O1928" s="665"/>
      <c r="P1928" s="666"/>
      <c r="Q1928" s="667"/>
      <c r="R1928" s="668"/>
      <c r="S1928" s="665"/>
      <c r="T1928" s="669"/>
      <c r="U1928" s="669"/>
      <c r="V1928" s="665"/>
      <c r="W1928" s="670"/>
      <c r="X1928" s="670"/>
      <c r="Y1928" s="671"/>
      <c r="Z1928" s="671"/>
      <c r="AA1928" s="672"/>
      <c r="AB1928" s="673"/>
      <c r="AC1928" s="673"/>
      <c r="AD1928" s="673"/>
      <c r="AE1928" s="673"/>
      <c r="AF1928" s="673"/>
      <c r="AG1928" s="673"/>
      <c r="AH1928" s="673"/>
      <c r="AI1928" s="673"/>
      <c r="AJ1928" s="673"/>
      <c r="AK1928" s="673"/>
      <c r="AL1928" s="673"/>
      <c r="AM1928" s="673"/>
      <c r="AN1928" s="673"/>
      <c r="AO1928" s="673"/>
      <c r="AP1928" s="673"/>
      <c r="AQ1928" s="673"/>
      <c r="AR1928" s="673"/>
      <c r="AS1928" s="673"/>
    </row>
    <row r="1929">
      <c r="A1929" s="653"/>
      <c r="B1929" s="654"/>
      <c r="C1929" s="655"/>
      <c r="D1929" s="656"/>
      <c r="E1929" s="657"/>
      <c r="F1929" s="658"/>
      <c r="G1929" s="659"/>
      <c r="H1929" s="660"/>
      <c r="I1929" s="659"/>
      <c r="J1929" s="661"/>
      <c r="K1929" s="658"/>
      <c r="L1929" s="662"/>
      <c r="M1929" s="663"/>
      <c r="N1929" s="664"/>
      <c r="O1929" s="665"/>
      <c r="P1929" s="666"/>
      <c r="Q1929" s="667"/>
      <c r="R1929" s="668"/>
      <c r="S1929" s="665"/>
      <c r="T1929" s="669"/>
      <c r="U1929" s="669"/>
      <c r="V1929" s="665"/>
      <c r="W1929" s="670"/>
      <c r="X1929" s="670"/>
      <c r="Y1929" s="671"/>
      <c r="Z1929" s="671"/>
      <c r="AA1929" s="672"/>
      <c r="AB1929" s="673"/>
      <c r="AC1929" s="673"/>
      <c r="AD1929" s="673"/>
      <c r="AE1929" s="673"/>
      <c r="AF1929" s="673"/>
      <c r="AG1929" s="673"/>
      <c r="AH1929" s="673"/>
      <c r="AI1929" s="673"/>
      <c r="AJ1929" s="673"/>
      <c r="AK1929" s="673"/>
      <c r="AL1929" s="673"/>
      <c r="AM1929" s="673"/>
      <c r="AN1929" s="673"/>
      <c r="AO1929" s="673"/>
      <c r="AP1929" s="673"/>
      <c r="AQ1929" s="673"/>
      <c r="AR1929" s="673"/>
      <c r="AS1929" s="673"/>
    </row>
    <row r="1930">
      <c r="A1930" s="653"/>
      <c r="B1930" s="654"/>
      <c r="C1930" s="655"/>
      <c r="D1930" s="656"/>
      <c r="E1930" s="657"/>
      <c r="F1930" s="658"/>
      <c r="G1930" s="659"/>
      <c r="H1930" s="660"/>
      <c r="I1930" s="659"/>
      <c r="J1930" s="661"/>
      <c r="K1930" s="658"/>
      <c r="L1930" s="662"/>
      <c r="M1930" s="663"/>
      <c r="N1930" s="664"/>
      <c r="O1930" s="665"/>
      <c r="P1930" s="666"/>
      <c r="Q1930" s="667"/>
      <c r="R1930" s="668"/>
      <c r="S1930" s="665"/>
      <c r="T1930" s="669"/>
      <c r="U1930" s="669"/>
      <c r="V1930" s="665"/>
      <c r="W1930" s="670"/>
      <c r="X1930" s="670"/>
      <c r="Y1930" s="671"/>
      <c r="Z1930" s="671"/>
      <c r="AA1930" s="672"/>
      <c r="AB1930" s="673"/>
      <c r="AC1930" s="673"/>
      <c r="AD1930" s="673"/>
      <c r="AE1930" s="673"/>
      <c r="AF1930" s="673"/>
      <c r="AG1930" s="673"/>
      <c r="AH1930" s="673"/>
      <c r="AI1930" s="673"/>
      <c r="AJ1930" s="673"/>
      <c r="AK1930" s="673"/>
      <c r="AL1930" s="673"/>
      <c r="AM1930" s="673"/>
      <c r="AN1930" s="673"/>
      <c r="AO1930" s="673"/>
      <c r="AP1930" s="673"/>
      <c r="AQ1930" s="673"/>
      <c r="AR1930" s="673"/>
      <c r="AS1930" s="673"/>
    </row>
    <row r="1931">
      <c r="A1931" s="653"/>
      <c r="B1931" s="654"/>
      <c r="C1931" s="655"/>
      <c r="D1931" s="656"/>
      <c r="E1931" s="657"/>
      <c r="F1931" s="658"/>
      <c r="G1931" s="659"/>
      <c r="H1931" s="660"/>
      <c r="I1931" s="659"/>
      <c r="J1931" s="661"/>
      <c r="K1931" s="658"/>
      <c r="L1931" s="662"/>
      <c r="M1931" s="663"/>
      <c r="N1931" s="664"/>
      <c r="O1931" s="665"/>
      <c r="P1931" s="666"/>
      <c r="Q1931" s="667"/>
      <c r="R1931" s="668"/>
      <c r="S1931" s="665"/>
      <c r="T1931" s="669"/>
      <c r="U1931" s="669"/>
      <c r="V1931" s="665"/>
      <c r="W1931" s="670"/>
      <c r="X1931" s="670"/>
      <c r="Y1931" s="671"/>
      <c r="Z1931" s="671"/>
      <c r="AA1931" s="672"/>
      <c r="AB1931" s="673"/>
      <c r="AC1931" s="673"/>
      <c r="AD1931" s="673"/>
      <c r="AE1931" s="673"/>
      <c r="AF1931" s="673"/>
      <c r="AG1931" s="673"/>
      <c r="AH1931" s="673"/>
      <c r="AI1931" s="673"/>
      <c r="AJ1931" s="673"/>
      <c r="AK1931" s="673"/>
      <c r="AL1931" s="673"/>
      <c r="AM1931" s="673"/>
      <c r="AN1931" s="673"/>
      <c r="AO1931" s="673"/>
      <c r="AP1931" s="673"/>
      <c r="AQ1931" s="673"/>
      <c r="AR1931" s="673"/>
      <c r="AS1931" s="673"/>
    </row>
    <row r="1932">
      <c r="A1932" s="653"/>
      <c r="B1932" s="654"/>
      <c r="C1932" s="655"/>
      <c r="D1932" s="656"/>
      <c r="E1932" s="657"/>
      <c r="F1932" s="658"/>
      <c r="G1932" s="659"/>
      <c r="H1932" s="660"/>
      <c r="I1932" s="659"/>
      <c r="J1932" s="661"/>
      <c r="K1932" s="658"/>
      <c r="L1932" s="662"/>
      <c r="M1932" s="663"/>
      <c r="N1932" s="664"/>
      <c r="O1932" s="665"/>
      <c r="P1932" s="666"/>
      <c r="Q1932" s="667"/>
      <c r="R1932" s="668"/>
      <c r="S1932" s="665"/>
      <c r="T1932" s="669"/>
      <c r="U1932" s="669"/>
      <c r="V1932" s="665"/>
      <c r="W1932" s="670"/>
      <c r="X1932" s="670"/>
      <c r="Y1932" s="671"/>
      <c r="Z1932" s="671"/>
      <c r="AA1932" s="672"/>
      <c r="AB1932" s="673"/>
      <c r="AC1932" s="673"/>
      <c r="AD1932" s="673"/>
      <c r="AE1932" s="673"/>
      <c r="AF1932" s="673"/>
      <c r="AG1932" s="673"/>
      <c r="AH1932" s="673"/>
      <c r="AI1932" s="673"/>
      <c r="AJ1932" s="673"/>
      <c r="AK1932" s="673"/>
      <c r="AL1932" s="673"/>
      <c r="AM1932" s="673"/>
      <c r="AN1932" s="673"/>
      <c r="AO1932" s="673"/>
      <c r="AP1932" s="673"/>
      <c r="AQ1932" s="673"/>
      <c r="AR1932" s="673"/>
      <c r="AS1932" s="673"/>
    </row>
    <row r="1933">
      <c r="A1933" s="653"/>
      <c r="B1933" s="654"/>
      <c r="C1933" s="655"/>
      <c r="D1933" s="656"/>
      <c r="E1933" s="657"/>
      <c r="F1933" s="658"/>
      <c r="G1933" s="659"/>
      <c r="H1933" s="660"/>
      <c r="I1933" s="659"/>
      <c r="J1933" s="661"/>
      <c r="K1933" s="658"/>
      <c r="L1933" s="662"/>
      <c r="M1933" s="663"/>
      <c r="N1933" s="664"/>
      <c r="O1933" s="665"/>
      <c r="P1933" s="666"/>
      <c r="Q1933" s="667"/>
      <c r="R1933" s="668"/>
      <c r="S1933" s="665"/>
      <c r="T1933" s="669"/>
      <c r="U1933" s="669"/>
      <c r="V1933" s="665"/>
      <c r="W1933" s="670"/>
      <c r="X1933" s="670"/>
      <c r="Y1933" s="671"/>
      <c r="Z1933" s="671"/>
      <c r="AA1933" s="672"/>
      <c r="AB1933" s="673"/>
      <c r="AC1933" s="673"/>
      <c r="AD1933" s="673"/>
      <c r="AE1933" s="673"/>
      <c r="AF1933" s="673"/>
      <c r="AG1933" s="673"/>
      <c r="AH1933" s="673"/>
      <c r="AI1933" s="673"/>
      <c r="AJ1933" s="673"/>
      <c r="AK1933" s="673"/>
      <c r="AL1933" s="673"/>
      <c r="AM1933" s="673"/>
      <c r="AN1933" s="673"/>
      <c r="AO1933" s="673"/>
      <c r="AP1933" s="673"/>
      <c r="AQ1933" s="673"/>
      <c r="AR1933" s="673"/>
      <c r="AS1933" s="673"/>
    </row>
    <row r="1934">
      <c r="A1934" s="653"/>
      <c r="B1934" s="654"/>
      <c r="C1934" s="655"/>
      <c r="D1934" s="656"/>
      <c r="E1934" s="657"/>
      <c r="F1934" s="658"/>
      <c r="G1934" s="659"/>
      <c r="H1934" s="660"/>
      <c r="I1934" s="659"/>
      <c r="J1934" s="661"/>
      <c r="K1934" s="658"/>
      <c r="L1934" s="662"/>
      <c r="M1934" s="663"/>
      <c r="N1934" s="664"/>
      <c r="O1934" s="665"/>
      <c r="P1934" s="666"/>
      <c r="Q1934" s="667"/>
      <c r="R1934" s="668"/>
      <c r="S1934" s="665"/>
      <c r="T1934" s="669"/>
      <c r="U1934" s="669"/>
      <c r="V1934" s="665"/>
      <c r="W1934" s="670"/>
      <c r="X1934" s="670"/>
      <c r="Y1934" s="671"/>
      <c r="Z1934" s="671"/>
      <c r="AA1934" s="672"/>
      <c r="AB1934" s="673"/>
      <c r="AC1934" s="673"/>
      <c r="AD1934" s="673"/>
      <c r="AE1934" s="673"/>
      <c r="AF1934" s="673"/>
      <c r="AG1934" s="673"/>
      <c r="AH1934" s="673"/>
      <c r="AI1934" s="673"/>
      <c r="AJ1934" s="673"/>
      <c r="AK1934" s="673"/>
      <c r="AL1934" s="673"/>
      <c r="AM1934" s="673"/>
      <c r="AN1934" s="673"/>
      <c r="AO1934" s="673"/>
      <c r="AP1934" s="673"/>
      <c r="AQ1934" s="673"/>
      <c r="AR1934" s="673"/>
      <c r="AS1934" s="673"/>
    </row>
    <row r="1935">
      <c r="A1935" s="653"/>
      <c r="B1935" s="654"/>
      <c r="C1935" s="655"/>
      <c r="D1935" s="656"/>
      <c r="E1935" s="657"/>
      <c r="F1935" s="658"/>
      <c r="G1935" s="659"/>
      <c r="H1935" s="660"/>
      <c r="I1935" s="659"/>
      <c r="J1935" s="661"/>
      <c r="K1935" s="658"/>
      <c r="L1935" s="662"/>
      <c r="M1935" s="663"/>
      <c r="N1935" s="664"/>
      <c r="O1935" s="665"/>
      <c r="P1935" s="666"/>
      <c r="Q1935" s="667"/>
      <c r="R1935" s="668"/>
      <c r="S1935" s="665"/>
      <c r="T1935" s="669"/>
      <c r="U1935" s="669"/>
      <c r="V1935" s="665"/>
      <c r="W1935" s="670"/>
      <c r="X1935" s="670"/>
      <c r="Y1935" s="671"/>
      <c r="Z1935" s="671"/>
      <c r="AA1935" s="672"/>
      <c r="AB1935" s="673"/>
      <c r="AC1935" s="673"/>
      <c r="AD1935" s="673"/>
      <c r="AE1935" s="673"/>
      <c r="AF1935" s="673"/>
      <c r="AG1935" s="673"/>
      <c r="AH1935" s="673"/>
      <c r="AI1935" s="673"/>
      <c r="AJ1935" s="673"/>
      <c r="AK1935" s="673"/>
      <c r="AL1935" s="673"/>
      <c r="AM1935" s="673"/>
      <c r="AN1935" s="673"/>
      <c r="AO1935" s="673"/>
      <c r="AP1935" s="673"/>
      <c r="AQ1935" s="673"/>
      <c r="AR1935" s="673"/>
      <c r="AS1935" s="673"/>
    </row>
    <row r="1936">
      <c r="A1936" s="653"/>
      <c r="B1936" s="654"/>
      <c r="C1936" s="655"/>
      <c r="D1936" s="656"/>
      <c r="E1936" s="657"/>
      <c r="F1936" s="658"/>
      <c r="G1936" s="659"/>
      <c r="H1936" s="660"/>
      <c r="I1936" s="659"/>
      <c r="J1936" s="661"/>
      <c r="K1936" s="658"/>
      <c r="L1936" s="662"/>
      <c r="M1936" s="663"/>
      <c r="N1936" s="664"/>
      <c r="O1936" s="665"/>
      <c r="P1936" s="666"/>
      <c r="Q1936" s="667"/>
      <c r="R1936" s="668"/>
      <c r="S1936" s="665"/>
      <c r="T1936" s="669"/>
      <c r="U1936" s="669"/>
      <c r="V1936" s="665"/>
      <c r="W1936" s="670"/>
      <c r="X1936" s="670"/>
      <c r="Y1936" s="671"/>
      <c r="Z1936" s="671"/>
      <c r="AA1936" s="672"/>
      <c r="AB1936" s="673"/>
      <c r="AC1936" s="673"/>
      <c r="AD1936" s="673"/>
      <c r="AE1936" s="673"/>
      <c r="AF1936" s="673"/>
      <c r="AG1936" s="673"/>
      <c r="AH1936" s="673"/>
      <c r="AI1936" s="673"/>
      <c r="AJ1936" s="673"/>
      <c r="AK1936" s="673"/>
      <c r="AL1936" s="673"/>
      <c r="AM1936" s="673"/>
      <c r="AN1936" s="673"/>
      <c r="AO1936" s="673"/>
      <c r="AP1936" s="673"/>
      <c r="AQ1936" s="673"/>
      <c r="AR1936" s="673"/>
      <c r="AS1936" s="673"/>
    </row>
    <row r="1937">
      <c r="A1937" s="653"/>
      <c r="B1937" s="654"/>
      <c r="C1937" s="655"/>
      <c r="D1937" s="656"/>
      <c r="E1937" s="657"/>
      <c r="F1937" s="658"/>
      <c r="G1937" s="659"/>
      <c r="H1937" s="660"/>
      <c r="I1937" s="659"/>
      <c r="J1937" s="661"/>
      <c r="K1937" s="658"/>
      <c r="L1937" s="662"/>
      <c r="M1937" s="663"/>
      <c r="N1937" s="664"/>
      <c r="O1937" s="665"/>
      <c r="P1937" s="666"/>
      <c r="Q1937" s="667"/>
      <c r="R1937" s="668"/>
      <c r="S1937" s="665"/>
      <c r="T1937" s="669"/>
      <c r="U1937" s="669"/>
      <c r="V1937" s="665"/>
      <c r="W1937" s="670"/>
      <c r="X1937" s="670"/>
      <c r="Y1937" s="671"/>
      <c r="Z1937" s="671"/>
      <c r="AA1937" s="672"/>
      <c r="AB1937" s="673"/>
      <c r="AC1937" s="673"/>
      <c r="AD1937" s="673"/>
      <c r="AE1937" s="673"/>
      <c r="AF1937" s="673"/>
      <c r="AG1937" s="673"/>
      <c r="AH1937" s="673"/>
      <c r="AI1937" s="673"/>
      <c r="AJ1937" s="673"/>
      <c r="AK1937" s="673"/>
      <c r="AL1937" s="673"/>
      <c r="AM1937" s="673"/>
      <c r="AN1937" s="673"/>
      <c r="AO1937" s="673"/>
      <c r="AP1937" s="673"/>
      <c r="AQ1937" s="673"/>
      <c r="AR1937" s="673"/>
      <c r="AS1937" s="673"/>
    </row>
    <row r="1938">
      <c r="A1938" s="653"/>
      <c r="B1938" s="654"/>
      <c r="C1938" s="655"/>
      <c r="D1938" s="656"/>
      <c r="E1938" s="657"/>
      <c r="F1938" s="658"/>
      <c r="G1938" s="659"/>
      <c r="H1938" s="660"/>
      <c r="I1938" s="659"/>
      <c r="J1938" s="661"/>
      <c r="K1938" s="658"/>
      <c r="L1938" s="662"/>
      <c r="M1938" s="663"/>
      <c r="N1938" s="664"/>
      <c r="O1938" s="665"/>
      <c r="P1938" s="666"/>
      <c r="Q1938" s="667"/>
      <c r="R1938" s="668"/>
      <c r="S1938" s="665"/>
      <c r="T1938" s="669"/>
      <c r="U1938" s="669"/>
      <c r="V1938" s="665"/>
      <c r="W1938" s="670"/>
      <c r="X1938" s="670"/>
      <c r="Y1938" s="671"/>
      <c r="Z1938" s="671"/>
      <c r="AA1938" s="672"/>
      <c r="AB1938" s="673"/>
      <c r="AC1938" s="673"/>
      <c r="AD1938" s="673"/>
      <c r="AE1938" s="673"/>
      <c r="AF1938" s="673"/>
      <c r="AG1938" s="673"/>
      <c r="AH1938" s="673"/>
      <c r="AI1938" s="673"/>
      <c r="AJ1938" s="673"/>
      <c r="AK1938" s="673"/>
      <c r="AL1938" s="673"/>
      <c r="AM1938" s="673"/>
      <c r="AN1938" s="673"/>
      <c r="AO1938" s="673"/>
      <c r="AP1938" s="673"/>
      <c r="AQ1938" s="673"/>
      <c r="AR1938" s="673"/>
      <c r="AS1938" s="673"/>
    </row>
    <row r="1939">
      <c r="A1939" s="653"/>
      <c r="B1939" s="654"/>
      <c r="C1939" s="655"/>
      <c r="D1939" s="656"/>
      <c r="E1939" s="657"/>
      <c r="F1939" s="658"/>
      <c r="G1939" s="659"/>
      <c r="H1939" s="660"/>
      <c r="I1939" s="659"/>
      <c r="J1939" s="661"/>
      <c r="K1939" s="658"/>
      <c r="L1939" s="662"/>
      <c r="M1939" s="663"/>
      <c r="N1939" s="664"/>
      <c r="O1939" s="665"/>
      <c r="P1939" s="666"/>
      <c r="Q1939" s="667"/>
      <c r="R1939" s="668"/>
      <c r="S1939" s="665"/>
      <c r="T1939" s="669"/>
      <c r="U1939" s="669"/>
      <c r="V1939" s="665"/>
      <c r="W1939" s="670"/>
      <c r="X1939" s="670"/>
      <c r="Y1939" s="671"/>
      <c r="Z1939" s="671"/>
      <c r="AA1939" s="672"/>
      <c r="AB1939" s="673"/>
      <c r="AC1939" s="673"/>
      <c r="AD1939" s="673"/>
      <c r="AE1939" s="673"/>
      <c r="AF1939" s="673"/>
      <c r="AG1939" s="673"/>
      <c r="AH1939" s="673"/>
      <c r="AI1939" s="673"/>
      <c r="AJ1939" s="673"/>
      <c r="AK1939" s="673"/>
      <c r="AL1939" s="673"/>
      <c r="AM1939" s="673"/>
      <c r="AN1939" s="673"/>
      <c r="AO1939" s="673"/>
      <c r="AP1939" s="673"/>
      <c r="AQ1939" s="673"/>
      <c r="AR1939" s="673"/>
      <c r="AS1939" s="673"/>
    </row>
    <row r="1940">
      <c r="A1940" s="653"/>
      <c r="B1940" s="654"/>
      <c r="C1940" s="655"/>
      <c r="D1940" s="656"/>
      <c r="E1940" s="657"/>
      <c r="F1940" s="658"/>
      <c r="G1940" s="659"/>
      <c r="H1940" s="660"/>
      <c r="I1940" s="659"/>
      <c r="J1940" s="661"/>
      <c r="K1940" s="658"/>
      <c r="L1940" s="662"/>
      <c r="M1940" s="663"/>
      <c r="N1940" s="664"/>
      <c r="O1940" s="665"/>
      <c r="P1940" s="666"/>
      <c r="Q1940" s="667"/>
      <c r="R1940" s="668"/>
      <c r="S1940" s="665"/>
      <c r="T1940" s="669"/>
      <c r="U1940" s="669"/>
      <c r="V1940" s="665"/>
      <c r="W1940" s="670"/>
      <c r="X1940" s="670"/>
      <c r="Y1940" s="671"/>
      <c r="Z1940" s="671"/>
      <c r="AA1940" s="672"/>
      <c r="AB1940" s="673"/>
      <c r="AC1940" s="673"/>
      <c r="AD1940" s="673"/>
      <c r="AE1940" s="673"/>
      <c r="AF1940" s="673"/>
      <c r="AG1940" s="673"/>
      <c r="AH1940" s="673"/>
      <c r="AI1940" s="673"/>
      <c r="AJ1940" s="673"/>
      <c r="AK1940" s="673"/>
      <c r="AL1940" s="673"/>
      <c r="AM1940" s="673"/>
      <c r="AN1940" s="673"/>
      <c r="AO1940" s="673"/>
      <c r="AP1940" s="673"/>
      <c r="AQ1940" s="673"/>
      <c r="AR1940" s="673"/>
      <c r="AS1940" s="673"/>
    </row>
    <row r="1941">
      <c r="A1941" s="653"/>
      <c r="B1941" s="654"/>
      <c r="C1941" s="655"/>
      <c r="D1941" s="656"/>
      <c r="E1941" s="657"/>
      <c r="F1941" s="658"/>
      <c r="G1941" s="659"/>
      <c r="H1941" s="660"/>
      <c r="I1941" s="659"/>
      <c r="J1941" s="661"/>
      <c r="K1941" s="658"/>
      <c r="L1941" s="662"/>
      <c r="M1941" s="663"/>
      <c r="N1941" s="664"/>
      <c r="O1941" s="665"/>
      <c r="P1941" s="666"/>
      <c r="Q1941" s="667"/>
      <c r="R1941" s="668"/>
      <c r="S1941" s="665"/>
      <c r="T1941" s="669"/>
      <c r="U1941" s="669"/>
      <c r="V1941" s="665"/>
      <c r="W1941" s="670"/>
      <c r="X1941" s="670"/>
      <c r="Y1941" s="671"/>
      <c r="Z1941" s="671"/>
      <c r="AA1941" s="672"/>
      <c r="AB1941" s="673"/>
      <c r="AC1941" s="673"/>
      <c r="AD1941" s="673"/>
      <c r="AE1941" s="673"/>
      <c r="AF1941" s="673"/>
      <c r="AG1941" s="673"/>
      <c r="AH1941" s="673"/>
      <c r="AI1941" s="673"/>
      <c r="AJ1941" s="673"/>
      <c r="AK1941" s="673"/>
      <c r="AL1941" s="673"/>
      <c r="AM1941" s="673"/>
      <c r="AN1941" s="673"/>
      <c r="AO1941" s="673"/>
      <c r="AP1941" s="673"/>
      <c r="AQ1941" s="673"/>
      <c r="AR1941" s="673"/>
      <c r="AS1941" s="673"/>
    </row>
    <row r="1942">
      <c r="A1942" s="653"/>
      <c r="B1942" s="654"/>
      <c r="C1942" s="655"/>
      <c r="D1942" s="656"/>
      <c r="E1942" s="657"/>
      <c r="F1942" s="658"/>
      <c r="G1942" s="659"/>
      <c r="H1942" s="660"/>
      <c r="I1942" s="659"/>
      <c r="J1942" s="661"/>
      <c r="K1942" s="658"/>
      <c r="L1942" s="662"/>
      <c r="M1942" s="663"/>
      <c r="N1942" s="664"/>
      <c r="O1942" s="665"/>
      <c r="P1942" s="666"/>
      <c r="Q1942" s="667"/>
      <c r="R1942" s="668"/>
      <c r="S1942" s="665"/>
      <c r="T1942" s="669"/>
      <c r="U1942" s="669"/>
      <c r="V1942" s="665"/>
      <c r="W1942" s="670"/>
      <c r="X1942" s="670"/>
      <c r="Y1942" s="671"/>
      <c r="Z1942" s="671"/>
      <c r="AA1942" s="672"/>
      <c r="AB1942" s="673"/>
      <c r="AC1942" s="673"/>
      <c r="AD1942" s="673"/>
      <c r="AE1942" s="673"/>
      <c r="AF1942" s="673"/>
      <c r="AG1942" s="673"/>
      <c r="AH1942" s="673"/>
      <c r="AI1942" s="673"/>
      <c r="AJ1942" s="673"/>
      <c r="AK1942" s="673"/>
      <c r="AL1942" s="673"/>
      <c r="AM1942" s="673"/>
      <c r="AN1942" s="673"/>
      <c r="AO1942" s="673"/>
      <c r="AP1942" s="673"/>
      <c r="AQ1942" s="673"/>
      <c r="AR1942" s="673"/>
      <c r="AS1942" s="673"/>
    </row>
    <row r="1943">
      <c r="A1943" s="653"/>
      <c r="B1943" s="654"/>
      <c r="C1943" s="655"/>
      <c r="D1943" s="656"/>
      <c r="E1943" s="657"/>
      <c r="F1943" s="658"/>
      <c r="G1943" s="659"/>
      <c r="H1943" s="660"/>
      <c r="I1943" s="659"/>
      <c r="J1943" s="661"/>
      <c r="K1943" s="658"/>
      <c r="L1943" s="662"/>
      <c r="M1943" s="663"/>
      <c r="N1943" s="664"/>
      <c r="O1943" s="665"/>
      <c r="P1943" s="666"/>
      <c r="Q1943" s="667"/>
      <c r="R1943" s="668"/>
      <c r="S1943" s="665"/>
      <c r="T1943" s="669"/>
      <c r="U1943" s="669"/>
      <c r="V1943" s="665"/>
      <c r="W1943" s="670"/>
      <c r="X1943" s="670"/>
      <c r="Y1943" s="671"/>
      <c r="Z1943" s="671"/>
      <c r="AA1943" s="672"/>
      <c r="AB1943" s="673"/>
      <c r="AC1943" s="673"/>
      <c r="AD1943" s="673"/>
      <c r="AE1943" s="673"/>
      <c r="AF1943" s="673"/>
      <c r="AG1943" s="673"/>
      <c r="AH1943" s="673"/>
      <c r="AI1943" s="673"/>
      <c r="AJ1943" s="673"/>
      <c r="AK1943" s="673"/>
      <c r="AL1943" s="673"/>
      <c r="AM1943" s="673"/>
      <c r="AN1943" s="673"/>
      <c r="AO1943" s="673"/>
      <c r="AP1943" s="673"/>
      <c r="AQ1943" s="673"/>
      <c r="AR1943" s="673"/>
      <c r="AS1943" s="673"/>
    </row>
    <row r="1944">
      <c r="A1944" s="653"/>
      <c r="B1944" s="654"/>
      <c r="C1944" s="655"/>
      <c r="D1944" s="656"/>
      <c r="E1944" s="657"/>
      <c r="F1944" s="658"/>
      <c r="G1944" s="659"/>
      <c r="H1944" s="660"/>
      <c r="I1944" s="659"/>
      <c r="J1944" s="661"/>
      <c r="K1944" s="658"/>
      <c r="L1944" s="662"/>
      <c r="M1944" s="663"/>
      <c r="N1944" s="664"/>
      <c r="O1944" s="665"/>
      <c r="P1944" s="666"/>
      <c r="Q1944" s="667"/>
      <c r="R1944" s="668"/>
      <c r="S1944" s="665"/>
      <c r="T1944" s="669"/>
      <c r="U1944" s="669"/>
      <c r="V1944" s="665"/>
      <c r="W1944" s="670"/>
      <c r="X1944" s="670"/>
      <c r="Y1944" s="671"/>
      <c r="Z1944" s="671"/>
      <c r="AA1944" s="672"/>
      <c r="AB1944" s="673"/>
      <c r="AC1944" s="673"/>
      <c r="AD1944" s="673"/>
      <c r="AE1944" s="673"/>
      <c r="AF1944" s="673"/>
      <c r="AG1944" s="673"/>
      <c r="AH1944" s="673"/>
      <c r="AI1944" s="673"/>
      <c r="AJ1944" s="673"/>
      <c r="AK1944" s="673"/>
      <c r="AL1944" s="673"/>
      <c r="AM1944" s="673"/>
      <c r="AN1944" s="673"/>
      <c r="AO1944" s="673"/>
      <c r="AP1944" s="673"/>
      <c r="AQ1944" s="673"/>
      <c r="AR1944" s="673"/>
      <c r="AS1944" s="673"/>
    </row>
    <row r="1945">
      <c r="A1945" s="653"/>
      <c r="B1945" s="654"/>
      <c r="C1945" s="655"/>
      <c r="D1945" s="656"/>
      <c r="E1945" s="657"/>
      <c r="F1945" s="658"/>
      <c r="G1945" s="659"/>
      <c r="H1945" s="660"/>
      <c r="I1945" s="659"/>
      <c r="J1945" s="661"/>
      <c r="K1945" s="658"/>
      <c r="L1945" s="662"/>
      <c r="M1945" s="663"/>
      <c r="N1945" s="664"/>
      <c r="O1945" s="665"/>
      <c r="P1945" s="666"/>
      <c r="Q1945" s="667"/>
      <c r="R1945" s="668"/>
      <c r="S1945" s="665"/>
      <c r="T1945" s="669"/>
      <c r="U1945" s="669"/>
      <c r="V1945" s="665"/>
      <c r="W1945" s="670"/>
      <c r="X1945" s="670"/>
      <c r="Y1945" s="671"/>
      <c r="Z1945" s="671"/>
      <c r="AA1945" s="672"/>
      <c r="AB1945" s="673"/>
      <c r="AC1945" s="673"/>
      <c r="AD1945" s="673"/>
      <c r="AE1945" s="673"/>
      <c r="AF1945" s="673"/>
      <c r="AG1945" s="673"/>
      <c r="AH1945" s="673"/>
      <c r="AI1945" s="673"/>
      <c r="AJ1945" s="673"/>
      <c r="AK1945" s="673"/>
      <c r="AL1945" s="673"/>
      <c r="AM1945" s="673"/>
      <c r="AN1945" s="673"/>
      <c r="AO1945" s="673"/>
      <c r="AP1945" s="673"/>
      <c r="AQ1945" s="673"/>
      <c r="AR1945" s="673"/>
      <c r="AS1945" s="673"/>
    </row>
    <row r="1946">
      <c r="A1946" s="653"/>
      <c r="B1946" s="654"/>
      <c r="C1946" s="655"/>
      <c r="D1946" s="656"/>
      <c r="E1946" s="657"/>
      <c r="F1946" s="658"/>
      <c r="G1946" s="659"/>
      <c r="H1946" s="660"/>
      <c r="I1946" s="659"/>
      <c r="J1946" s="661"/>
      <c r="K1946" s="658"/>
      <c r="L1946" s="662"/>
      <c r="M1946" s="663"/>
      <c r="N1946" s="664"/>
      <c r="O1946" s="665"/>
      <c r="P1946" s="666"/>
      <c r="Q1946" s="667"/>
      <c r="R1946" s="668"/>
      <c r="S1946" s="665"/>
      <c r="T1946" s="669"/>
      <c r="U1946" s="669"/>
      <c r="V1946" s="665"/>
      <c r="W1946" s="670"/>
      <c r="X1946" s="670"/>
      <c r="Y1946" s="671"/>
      <c r="Z1946" s="671"/>
      <c r="AA1946" s="672"/>
      <c r="AB1946" s="673"/>
      <c r="AC1946" s="673"/>
      <c r="AD1946" s="673"/>
      <c r="AE1946" s="673"/>
      <c r="AF1946" s="673"/>
      <c r="AG1946" s="673"/>
      <c r="AH1946" s="673"/>
      <c r="AI1946" s="673"/>
      <c r="AJ1946" s="673"/>
      <c r="AK1946" s="673"/>
      <c r="AL1946" s="673"/>
      <c r="AM1946" s="673"/>
      <c r="AN1946" s="673"/>
      <c r="AO1946" s="673"/>
      <c r="AP1946" s="673"/>
      <c r="AQ1946" s="673"/>
      <c r="AR1946" s="673"/>
      <c r="AS1946" s="673"/>
    </row>
    <row r="1947">
      <c r="A1947" s="653"/>
      <c r="B1947" s="654"/>
      <c r="C1947" s="655"/>
      <c r="D1947" s="656"/>
      <c r="E1947" s="657"/>
      <c r="F1947" s="658"/>
      <c r="G1947" s="659"/>
      <c r="H1947" s="660"/>
      <c r="I1947" s="659"/>
      <c r="J1947" s="661"/>
      <c r="K1947" s="658"/>
      <c r="L1947" s="662"/>
      <c r="M1947" s="663"/>
      <c r="N1947" s="664"/>
      <c r="O1947" s="665"/>
      <c r="P1947" s="666"/>
      <c r="Q1947" s="667"/>
      <c r="R1947" s="668"/>
      <c r="S1947" s="665"/>
      <c r="T1947" s="669"/>
      <c r="U1947" s="669"/>
      <c r="V1947" s="665"/>
      <c r="W1947" s="670"/>
      <c r="X1947" s="670"/>
      <c r="Y1947" s="671"/>
      <c r="Z1947" s="671"/>
      <c r="AA1947" s="672"/>
      <c r="AB1947" s="673"/>
      <c r="AC1947" s="673"/>
      <c r="AD1947" s="673"/>
      <c r="AE1947" s="673"/>
      <c r="AF1947" s="673"/>
      <c r="AG1947" s="673"/>
      <c r="AH1947" s="673"/>
      <c r="AI1947" s="673"/>
      <c r="AJ1947" s="673"/>
      <c r="AK1947" s="673"/>
      <c r="AL1947" s="673"/>
      <c r="AM1947" s="673"/>
      <c r="AN1947" s="673"/>
      <c r="AO1947" s="673"/>
      <c r="AP1947" s="673"/>
      <c r="AQ1947" s="673"/>
      <c r="AR1947" s="673"/>
      <c r="AS1947" s="673"/>
    </row>
    <row r="1948">
      <c r="A1948" s="653"/>
      <c r="B1948" s="654"/>
      <c r="C1948" s="655"/>
      <c r="D1948" s="656"/>
      <c r="E1948" s="657"/>
      <c r="F1948" s="658"/>
      <c r="G1948" s="659"/>
      <c r="H1948" s="660"/>
      <c r="I1948" s="659"/>
      <c r="J1948" s="661"/>
      <c r="K1948" s="658"/>
      <c r="L1948" s="662"/>
      <c r="M1948" s="663"/>
      <c r="N1948" s="664"/>
      <c r="O1948" s="665"/>
      <c r="P1948" s="666"/>
      <c r="Q1948" s="667"/>
      <c r="R1948" s="668"/>
      <c r="S1948" s="665"/>
      <c r="T1948" s="669"/>
      <c r="U1948" s="669"/>
      <c r="V1948" s="665"/>
      <c r="W1948" s="670"/>
      <c r="X1948" s="670"/>
      <c r="Y1948" s="671"/>
      <c r="Z1948" s="671"/>
      <c r="AA1948" s="672"/>
      <c r="AB1948" s="673"/>
      <c r="AC1948" s="673"/>
      <c r="AD1948" s="673"/>
      <c r="AE1948" s="673"/>
      <c r="AF1948" s="673"/>
      <c r="AG1948" s="673"/>
      <c r="AH1948" s="673"/>
      <c r="AI1948" s="673"/>
      <c r="AJ1948" s="673"/>
      <c r="AK1948" s="673"/>
      <c r="AL1948" s="673"/>
      <c r="AM1948" s="673"/>
      <c r="AN1948" s="673"/>
      <c r="AO1948" s="673"/>
      <c r="AP1948" s="673"/>
      <c r="AQ1948" s="673"/>
      <c r="AR1948" s="673"/>
      <c r="AS1948" s="673"/>
    </row>
    <row r="1949">
      <c r="A1949" s="653"/>
      <c r="B1949" s="654"/>
      <c r="C1949" s="655"/>
      <c r="D1949" s="656"/>
      <c r="E1949" s="657"/>
      <c r="F1949" s="658"/>
      <c r="G1949" s="659"/>
      <c r="H1949" s="660"/>
      <c r="I1949" s="659"/>
      <c r="J1949" s="661"/>
      <c r="K1949" s="658"/>
      <c r="L1949" s="662"/>
      <c r="M1949" s="663"/>
      <c r="N1949" s="664"/>
      <c r="O1949" s="665"/>
      <c r="P1949" s="666"/>
      <c r="Q1949" s="667"/>
      <c r="R1949" s="668"/>
      <c r="S1949" s="665"/>
      <c r="T1949" s="669"/>
      <c r="U1949" s="669"/>
      <c r="V1949" s="665"/>
      <c r="W1949" s="670"/>
      <c r="X1949" s="670"/>
      <c r="Y1949" s="671"/>
      <c r="Z1949" s="671"/>
      <c r="AA1949" s="672"/>
      <c r="AB1949" s="673"/>
      <c r="AC1949" s="673"/>
      <c r="AD1949" s="673"/>
      <c r="AE1949" s="673"/>
      <c r="AF1949" s="673"/>
      <c r="AG1949" s="673"/>
      <c r="AH1949" s="673"/>
      <c r="AI1949" s="673"/>
      <c r="AJ1949" s="673"/>
      <c r="AK1949" s="673"/>
      <c r="AL1949" s="673"/>
      <c r="AM1949" s="673"/>
      <c r="AN1949" s="673"/>
      <c r="AO1949" s="673"/>
      <c r="AP1949" s="673"/>
      <c r="AQ1949" s="673"/>
      <c r="AR1949" s="673"/>
      <c r="AS1949" s="673"/>
    </row>
    <row r="1950">
      <c r="A1950" s="653"/>
      <c r="B1950" s="654"/>
      <c r="C1950" s="655"/>
      <c r="D1950" s="656"/>
      <c r="E1950" s="657"/>
      <c r="F1950" s="658"/>
      <c r="G1950" s="659"/>
      <c r="H1950" s="660"/>
      <c r="I1950" s="659"/>
      <c r="J1950" s="661"/>
      <c r="K1950" s="658"/>
      <c r="L1950" s="662"/>
      <c r="M1950" s="663"/>
      <c r="N1950" s="664"/>
      <c r="O1950" s="665"/>
      <c r="P1950" s="666"/>
      <c r="Q1950" s="667"/>
      <c r="R1950" s="668"/>
      <c r="S1950" s="665"/>
      <c r="T1950" s="669"/>
      <c r="U1950" s="669"/>
      <c r="V1950" s="665"/>
      <c r="W1950" s="670"/>
      <c r="X1950" s="670"/>
      <c r="Y1950" s="671"/>
      <c r="Z1950" s="671"/>
      <c r="AA1950" s="672"/>
      <c r="AB1950" s="673"/>
      <c r="AC1950" s="673"/>
      <c r="AD1950" s="673"/>
      <c r="AE1950" s="673"/>
      <c r="AF1950" s="673"/>
      <c r="AG1950" s="673"/>
      <c r="AH1950" s="673"/>
      <c r="AI1950" s="673"/>
      <c r="AJ1950" s="673"/>
      <c r="AK1950" s="673"/>
      <c r="AL1950" s="673"/>
      <c r="AM1950" s="673"/>
      <c r="AN1950" s="673"/>
      <c r="AO1950" s="673"/>
      <c r="AP1950" s="673"/>
      <c r="AQ1950" s="673"/>
      <c r="AR1950" s="673"/>
      <c r="AS1950" s="673"/>
    </row>
    <row r="1951">
      <c r="A1951" s="653"/>
      <c r="B1951" s="654"/>
      <c r="C1951" s="655"/>
      <c r="D1951" s="656"/>
      <c r="E1951" s="657"/>
      <c r="F1951" s="658"/>
      <c r="G1951" s="659"/>
      <c r="H1951" s="660"/>
      <c r="I1951" s="659"/>
      <c r="J1951" s="661"/>
      <c r="K1951" s="658"/>
      <c r="L1951" s="662"/>
      <c r="M1951" s="663"/>
      <c r="N1951" s="664"/>
      <c r="O1951" s="665"/>
      <c r="P1951" s="666"/>
      <c r="Q1951" s="667"/>
      <c r="R1951" s="668"/>
      <c r="S1951" s="665"/>
      <c r="T1951" s="669"/>
      <c r="U1951" s="669"/>
      <c r="V1951" s="665"/>
      <c r="W1951" s="670"/>
      <c r="X1951" s="670"/>
      <c r="Y1951" s="671"/>
      <c r="Z1951" s="671"/>
      <c r="AA1951" s="672"/>
      <c r="AB1951" s="673"/>
      <c r="AC1951" s="673"/>
      <c r="AD1951" s="673"/>
      <c r="AE1951" s="673"/>
      <c r="AF1951" s="673"/>
      <c r="AG1951" s="673"/>
      <c r="AH1951" s="673"/>
      <c r="AI1951" s="673"/>
      <c r="AJ1951" s="673"/>
      <c r="AK1951" s="673"/>
      <c r="AL1951" s="673"/>
      <c r="AM1951" s="673"/>
      <c r="AN1951" s="673"/>
      <c r="AO1951" s="673"/>
      <c r="AP1951" s="673"/>
      <c r="AQ1951" s="673"/>
      <c r="AR1951" s="673"/>
      <c r="AS1951" s="673"/>
    </row>
    <row r="1952">
      <c r="A1952" s="653"/>
      <c r="B1952" s="654"/>
      <c r="C1952" s="655"/>
      <c r="D1952" s="656"/>
      <c r="E1952" s="657"/>
      <c r="F1952" s="658"/>
      <c r="G1952" s="659"/>
      <c r="H1952" s="660"/>
      <c r="I1952" s="659"/>
      <c r="J1952" s="661"/>
      <c r="K1952" s="658"/>
      <c r="L1952" s="662"/>
      <c r="M1952" s="663"/>
      <c r="N1952" s="664"/>
      <c r="O1952" s="665"/>
      <c r="P1952" s="666"/>
      <c r="Q1952" s="667"/>
      <c r="R1952" s="668"/>
      <c r="S1952" s="665"/>
      <c r="T1952" s="669"/>
      <c r="U1952" s="669"/>
      <c r="V1952" s="665"/>
      <c r="W1952" s="670"/>
      <c r="X1952" s="670"/>
      <c r="Y1952" s="671"/>
      <c r="Z1952" s="671"/>
      <c r="AA1952" s="672"/>
      <c r="AB1952" s="673"/>
      <c r="AC1952" s="673"/>
      <c r="AD1952" s="673"/>
      <c r="AE1952" s="673"/>
      <c r="AF1952" s="673"/>
      <c r="AG1952" s="673"/>
      <c r="AH1952" s="673"/>
      <c r="AI1952" s="673"/>
      <c r="AJ1952" s="673"/>
      <c r="AK1952" s="673"/>
      <c r="AL1952" s="673"/>
      <c r="AM1952" s="673"/>
      <c r="AN1952" s="673"/>
      <c r="AO1952" s="673"/>
      <c r="AP1952" s="673"/>
      <c r="AQ1952" s="673"/>
      <c r="AR1952" s="673"/>
      <c r="AS1952" s="673"/>
    </row>
    <row r="1953">
      <c r="A1953" s="653"/>
      <c r="B1953" s="654"/>
      <c r="C1953" s="655"/>
      <c r="D1953" s="656"/>
      <c r="E1953" s="657"/>
      <c r="F1953" s="658"/>
      <c r="G1953" s="659"/>
      <c r="H1953" s="660"/>
      <c r="I1953" s="659"/>
      <c r="J1953" s="661"/>
      <c r="K1953" s="658"/>
      <c r="L1953" s="662"/>
      <c r="M1953" s="663"/>
      <c r="N1953" s="664"/>
      <c r="O1953" s="665"/>
      <c r="P1953" s="666"/>
      <c r="Q1953" s="667"/>
      <c r="R1953" s="668"/>
      <c r="S1953" s="665"/>
      <c r="T1953" s="669"/>
      <c r="U1953" s="669"/>
      <c r="V1953" s="665"/>
      <c r="W1953" s="670"/>
      <c r="X1953" s="670"/>
      <c r="Y1953" s="671"/>
      <c r="Z1953" s="671"/>
      <c r="AA1953" s="672"/>
      <c r="AB1953" s="673"/>
      <c r="AC1953" s="673"/>
      <c r="AD1953" s="673"/>
      <c r="AE1953" s="673"/>
      <c r="AF1953" s="673"/>
      <c r="AG1953" s="673"/>
      <c r="AH1953" s="673"/>
      <c r="AI1953" s="673"/>
      <c r="AJ1953" s="673"/>
      <c r="AK1953" s="673"/>
      <c r="AL1953" s="673"/>
      <c r="AM1953" s="673"/>
      <c r="AN1953" s="673"/>
      <c r="AO1953" s="673"/>
      <c r="AP1953" s="673"/>
      <c r="AQ1953" s="673"/>
      <c r="AR1953" s="673"/>
      <c r="AS1953" s="673"/>
    </row>
    <row r="1954">
      <c r="A1954" s="653"/>
      <c r="B1954" s="654"/>
      <c r="C1954" s="655"/>
      <c r="D1954" s="656"/>
      <c r="E1954" s="657"/>
      <c r="F1954" s="658"/>
      <c r="G1954" s="659"/>
      <c r="H1954" s="660"/>
      <c r="I1954" s="659"/>
      <c r="J1954" s="661"/>
      <c r="K1954" s="658"/>
      <c r="L1954" s="662"/>
      <c r="M1954" s="663"/>
      <c r="N1954" s="664"/>
      <c r="O1954" s="665"/>
      <c r="P1954" s="666"/>
      <c r="Q1954" s="667"/>
      <c r="R1954" s="668"/>
      <c r="S1954" s="665"/>
      <c r="T1954" s="669"/>
      <c r="U1954" s="669"/>
      <c r="V1954" s="665"/>
      <c r="W1954" s="670"/>
      <c r="X1954" s="670"/>
      <c r="Y1954" s="671"/>
      <c r="Z1954" s="671"/>
      <c r="AA1954" s="672"/>
      <c r="AB1954" s="673"/>
      <c r="AC1954" s="673"/>
      <c r="AD1954" s="673"/>
      <c r="AE1954" s="673"/>
      <c r="AF1954" s="673"/>
      <c r="AG1954" s="673"/>
      <c r="AH1954" s="673"/>
      <c r="AI1954" s="673"/>
      <c r="AJ1954" s="673"/>
      <c r="AK1954" s="673"/>
      <c r="AL1954" s="673"/>
      <c r="AM1954" s="673"/>
      <c r="AN1954" s="673"/>
      <c r="AO1954" s="673"/>
      <c r="AP1954" s="673"/>
      <c r="AQ1954" s="673"/>
      <c r="AR1954" s="673"/>
      <c r="AS1954" s="673"/>
    </row>
    <row r="1955">
      <c r="A1955" s="653"/>
      <c r="B1955" s="654"/>
      <c r="C1955" s="655"/>
      <c r="D1955" s="656"/>
      <c r="E1955" s="657"/>
      <c r="F1955" s="658"/>
      <c r="G1955" s="659"/>
      <c r="H1955" s="660"/>
      <c r="I1955" s="659"/>
      <c r="J1955" s="661"/>
      <c r="K1955" s="658"/>
      <c r="L1955" s="662"/>
      <c r="M1955" s="663"/>
      <c r="N1955" s="664"/>
      <c r="O1955" s="665"/>
      <c r="P1955" s="666"/>
      <c r="Q1955" s="667"/>
      <c r="R1955" s="668"/>
      <c r="S1955" s="665"/>
      <c r="T1955" s="669"/>
      <c r="U1955" s="669"/>
      <c r="V1955" s="665"/>
      <c r="W1955" s="670"/>
      <c r="X1955" s="670"/>
      <c r="Y1955" s="671"/>
      <c r="Z1955" s="671"/>
      <c r="AA1955" s="672"/>
      <c r="AB1955" s="673"/>
      <c r="AC1955" s="673"/>
      <c r="AD1955" s="673"/>
      <c r="AE1955" s="673"/>
      <c r="AF1955" s="673"/>
      <c r="AG1955" s="673"/>
      <c r="AH1955" s="673"/>
      <c r="AI1955" s="673"/>
      <c r="AJ1955" s="673"/>
      <c r="AK1955" s="673"/>
      <c r="AL1955" s="673"/>
      <c r="AM1955" s="673"/>
      <c r="AN1955" s="673"/>
      <c r="AO1955" s="673"/>
      <c r="AP1955" s="673"/>
      <c r="AQ1955" s="673"/>
      <c r="AR1955" s="673"/>
      <c r="AS1955" s="673"/>
    </row>
    <row r="1956">
      <c r="A1956" s="653"/>
      <c r="B1956" s="654"/>
      <c r="C1956" s="655"/>
      <c r="D1956" s="656"/>
      <c r="E1956" s="657"/>
      <c r="F1956" s="658"/>
      <c r="G1956" s="659"/>
      <c r="H1956" s="660"/>
      <c r="I1956" s="659"/>
      <c r="J1956" s="661"/>
      <c r="K1956" s="658"/>
      <c r="L1956" s="662"/>
      <c r="M1956" s="663"/>
      <c r="N1956" s="664"/>
      <c r="O1956" s="665"/>
      <c r="P1956" s="666"/>
      <c r="Q1956" s="667"/>
      <c r="R1956" s="668"/>
      <c r="S1956" s="665"/>
      <c r="T1956" s="669"/>
      <c r="U1956" s="669"/>
      <c r="V1956" s="665"/>
      <c r="W1956" s="670"/>
      <c r="X1956" s="670"/>
      <c r="Y1956" s="671"/>
      <c r="Z1956" s="671"/>
      <c r="AA1956" s="672"/>
      <c r="AB1956" s="673"/>
      <c r="AC1956" s="673"/>
      <c r="AD1956" s="673"/>
      <c r="AE1956" s="673"/>
      <c r="AF1956" s="673"/>
      <c r="AG1956" s="673"/>
      <c r="AH1956" s="673"/>
      <c r="AI1956" s="673"/>
      <c r="AJ1956" s="673"/>
      <c r="AK1956" s="673"/>
      <c r="AL1956" s="673"/>
      <c r="AM1956" s="673"/>
      <c r="AN1956" s="673"/>
      <c r="AO1956" s="673"/>
      <c r="AP1956" s="673"/>
      <c r="AQ1956" s="673"/>
      <c r="AR1956" s="673"/>
      <c r="AS1956" s="673"/>
    </row>
    <row r="1957">
      <c r="A1957" s="653"/>
      <c r="B1957" s="654"/>
      <c r="C1957" s="655"/>
      <c r="D1957" s="656"/>
      <c r="E1957" s="657"/>
      <c r="F1957" s="658"/>
      <c r="G1957" s="659"/>
      <c r="H1957" s="660"/>
      <c r="I1957" s="659"/>
      <c r="J1957" s="661"/>
      <c r="K1957" s="658"/>
      <c r="L1957" s="662"/>
      <c r="M1957" s="663"/>
      <c r="N1957" s="664"/>
      <c r="O1957" s="665"/>
      <c r="P1957" s="666"/>
      <c r="Q1957" s="667"/>
      <c r="R1957" s="668"/>
      <c r="S1957" s="665"/>
      <c r="T1957" s="669"/>
      <c r="U1957" s="669"/>
      <c r="V1957" s="665"/>
      <c r="W1957" s="670"/>
      <c r="X1957" s="670"/>
      <c r="Y1957" s="671"/>
      <c r="Z1957" s="671"/>
      <c r="AA1957" s="672"/>
      <c r="AB1957" s="673"/>
      <c r="AC1957" s="673"/>
      <c r="AD1957" s="673"/>
      <c r="AE1957" s="673"/>
      <c r="AF1957" s="673"/>
      <c r="AG1957" s="673"/>
      <c r="AH1957" s="673"/>
      <c r="AI1957" s="673"/>
      <c r="AJ1957" s="673"/>
      <c r="AK1957" s="673"/>
      <c r="AL1957" s="673"/>
      <c r="AM1957" s="673"/>
      <c r="AN1957" s="673"/>
      <c r="AO1957" s="673"/>
      <c r="AP1957" s="673"/>
      <c r="AQ1957" s="673"/>
      <c r="AR1957" s="673"/>
      <c r="AS1957" s="673"/>
    </row>
    <row r="1958">
      <c r="A1958" s="653"/>
      <c r="B1958" s="654"/>
      <c r="C1958" s="655"/>
      <c r="D1958" s="656"/>
      <c r="E1958" s="657"/>
      <c r="F1958" s="658"/>
      <c r="G1958" s="659"/>
      <c r="H1958" s="660"/>
      <c r="I1958" s="659"/>
      <c r="J1958" s="661"/>
      <c r="K1958" s="658"/>
      <c r="L1958" s="662"/>
      <c r="M1958" s="663"/>
      <c r="N1958" s="664"/>
      <c r="O1958" s="665"/>
      <c r="P1958" s="666"/>
      <c r="Q1958" s="667"/>
      <c r="R1958" s="668"/>
      <c r="S1958" s="665"/>
      <c r="T1958" s="669"/>
      <c r="U1958" s="669"/>
      <c r="V1958" s="665"/>
      <c r="W1958" s="670"/>
      <c r="X1958" s="670"/>
      <c r="Y1958" s="671"/>
      <c r="Z1958" s="671"/>
      <c r="AA1958" s="672"/>
      <c r="AB1958" s="673"/>
      <c r="AC1958" s="673"/>
      <c r="AD1958" s="673"/>
      <c r="AE1958" s="673"/>
      <c r="AF1958" s="673"/>
      <c r="AG1958" s="673"/>
      <c r="AH1958" s="673"/>
      <c r="AI1958" s="673"/>
      <c r="AJ1958" s="673"/>
      <c r="AK1958" s="673"/>
      <c r="AL1958" s="673"/>
      <c r="AM1958" s="673"/>
      <c r="AN1958" s="673"/>
      <c r="AO1958" s="673"/>
      <c r="AP1958" s="673"/>
      <c r="AQ1958" s="673"/>
      <c r="AR1958" s="673"/>
      <c r="AS1958" s="673"/>
    </row>
    <row r="1959">
      <c r="A1959" s="653"/>
      <c r="B1959" s="654"/>
      <c r="C1959" s="655"/>
      <c r="D1959" s="656"/>
      <c r="E1959" s="657"/>
      <c r="F1959" s="658"/>
      <c r="G1959" s="659"/>
      <c r="H1959" s="660"/>
      <c r="I1959" s="659"/>
      <c r="J1959" s="661"/>
      <c r="K1959" s="658"/>
      <c r="L1959" s="662"/>
      <c r="M1959" s="663"/>
      <c r="N1959" s="664"/>
      <c r="O1959" s="665"/>
      <c r="P1959" s="666"/>
      <c r="Q1959" s="667"/>
      <c r="R1959" s="668"/>
      <c r="S1959" s="665"/>
      <c r="T1959" s="669"/>
      <c r="U1959" s="669"/>
      <c r="V1959" s="665"/>
      <c r="W1959" s="670"/>
      <c r="X1959" s="670"/>
      <c r="Y1959" s="671"/>
      <c r="Z1959" s="671"/>
      <c r="AA1959" s="672"/>
      <c r="AB1959" s="673"/>
      <c r="AC1959" s="673"/>
      <c r="AD1959" s="673"/>
      <c r="AE1959" s="673"/>
      <c r="AF1959" s="673"/>
      <c r="AG1959" s="673"/>
      <c r="AH1959" s="673"/>
      <c r="AI1959" s="673"/>
      <c r="AJ1959" s="673"/>
      <c r="AK1959" s="673"/>
      <c r="AL1959" s="673"/>
      <c r="AM1959" s="673"/>
      <c r="AN1959" s="673"/>
      <c r="AO1959" s="673"/>
      <c r="AP1959" s="673"/>
      <c r="AQ1959" s="673"/>
      <c r="AR1959" s="673"/>
      <c r="AS1959" s="673"/>
    </row>
    <row r="1960">
      <c r="A1960" s="653"/>
      <c r="B1960" s="654"/>
      <c r="C1960" s="655"/>
      <c r="D1960" s="656"/>
      <c r="E1960" s="657"/>
      <c r="F1960" s="658"/>
      <c r="G1960" s="659"/>
      <c r="H1960" s="660"/>
      <c r="I1960" s="659"/>
      <c r="J1960" s="661"/>
      <c r="K1960" s="658"/>
      <c r="L1960" s="662"/>
      <c r="M1960" s="663"/>
      <c r="N1960" s="664"/>
      <c r="O1960" s="665"/>
      <c r="P1960" s="666"/>
      <c r="Q1960" s="667"/>
      <c r="R1960" s="668"/>
      <c r="S1960" s="665"/>
      <c r="T1960" s="669"/>
      <c r="U1960" s="669"/>
      <c r="V1960" s="665"/>
      <c r="W1960" s="670"/>
      <c r="X1960" s="670"/>
      <c r="Y1960" s="671"/>
      <c r="Z1960" s="671"/>
      <c r="AA1960" s="672"/>
      <c r="AB1960" s="673"/>
      <c r="AC1960" s="673"/>
      <c r="AD1960" s="673"/>
      <c r="AE1960" s="673"/>
      <c r="AF1960" s="673"/>
      <c r="AG1960" s="673"/>
      <c r="AH1960" s="673"/>
      <c r="AI1960" s="673"/>
      <c r="AJ1960" s="673"/>
      <c r="AK1960" s="673"/>
      <c r="AL1960" s="673"/>
      <c r="AM1960" s="673"/>
      <c r="AN1960" s="673"/>
      <c r="AO1960" s="673"/>
      <c r="AP1960" s="673"/>
      <c r="AQ1960" s="673"/>
      <c r="AR1960" s="673"/>
      <c r="AS1960" s="673"/>
    </row>
    <row r="1961">
      <c r="A1961" s="653"/>
      <c r="B1961" s="654"/>
      <c r="C1961" s="655"/>
      <c r="D1961" s="656"/>
      <c r="E1961" s="657"/>
      <c r="F1961" s="658"/>
      <c r="G1961" s="659"/>
      <c r="H1961" s="660"/>
      <c r="I1961" s="659"/>
      <c r="J1961" s="661"/>
      <c r="K1961" s="658"/>
      <c r="L1961" s="662"/>
      <c r="M1961" s="663"/>
      <c r="N1961" s="664"/>
      <c r="O1961" s="665"/>
      <c r="P1961" s="666"/>
      <c r="Q1961" s="667"/>
      <c r="R1961" s="668"/>
      <c r="S1961" s="665"/>
      <c r="T1961" s="669"/>
      <c r="U1961" s="669"/>
      <c r="V1961" s="665"/>
      <c r="W1961" s="670"/>
      <c r="X1961" s="670"/>
      <c r="Y1961" s="671"/>
      <c r="Z1961" s="671"/>
      <c r="AA1961" s="672"/>
      <c r="AB1961" s="673"/>
      <c r="AC1961" s="673"/>
      <c r="AD1961" s="673"/>
      <c r="AE1961" s="673"/>
      <c r="AF1961" s="673"/>
      <c r="AG1961" s="673"/>
      <c r="AH1961" s="673"/>
      <c r="AI1961" s="673"/>
      <c r="AJ1961" s="673"/>
      <c r="AK1961" s="673"/>
      <c r="AL1961" s="673"/>
      <c r="AM1961" s="673"/>
      <c r="AN1961" s="673"/>
      <c r="AO1961" s="673"/>
      <c r="AP1961" s="673"/>
      <c r="AQ1961" s="673"/>
      <c r="AR1961" s="673"/>
      <c r="AS1961" s="673"/>
    </row>
    <row r="1962">
      <c r="A1962" s="653"/>
      <c r="B1962" s="654"/>
      <c r="C1962" s="655"/>
      <c r="D1962" s="656"/>
      <c r="E1962" s="657"/>
      <c r="F1962" s="658"/>
      <c r="G1962" s="659"/>
      <c r="H1962" s="660"/>
      <c r="I1962" s="659"/>
      <c r="J1962" s="661"/>
      <c r="K1962" s="658"/>
      <c r="L1962" s="662"/>
      <c r="M1962" s="663"/>
      <c r="N1962" s="664"/>
      <c r="O1962" s="665"/>
      <c r="P1962" s="666"/>
      <c r="Q1962" s="667"/>
      <c r="R1962" s="668"/>
      <c r="S1962" s="665"/>
      <c r="T1962" s="669"/>
      <c r="U1962" s="669"/>
      <c r="V1962" s="665"/>
      <c r="W1962" s="670"/>
      <c r="X1962" s="670"/>
      <c r="Y1962" s="671"/>
      <c r="Z1962" s="671"/>
      <c r="AA1962" s="672"/>
      <c r="AB1962" s="673"/>
      <c r="AC1962" s="673"/>
      <c r="AD1962" s="673"/>
      <c r="AE1962" s="673"/>
      <c r="AF1962" s="673"/>
      <c r="AG1962" s="673"/>
      <c r="AH1962" s="673"/>
      <c r="AI1962" s="673"/>
      <c r="AJ1962" s="673"/>
      <c r="AK1962" s="673"/>
      <c r="AL1962" s="673"/>
      <c r="AM1962" s="673"/>
      <c r="AN1962" s="673"/>
      <c r="AO1962" s="673"/>
      <c r="AP1962" s="673"/>
      <c r="AQ1962" s="673"/>
      <c r="AR1962" s="673"/>
      <c r="AS1962" s="673"/>
    </row>
    <row r="1963">
      <c r="A1963" s="653"/>
      <c r="B1963" s="654"/>
      <c r="C1963" s="655"/>
      <c r="D1963" s="656"/>
      <c r="E1963" s="657"/>
      <c r="F1963" s="658"/>
      <c r="G1963" s="659"/>
      <c r="H1963" s="660"/>
      <c r="I1963" s="659"/>
      <c r="J1963" s="661"/>
      <c r="K1963" s="658"/>
      <c r="L1963" s="662"/>
      <c r="M1963" s="663"/>
      <c r="N1963" s="664"/>
      <c r="O1963" s="665"/>
      <c r="P1963" s="666"/>
      <c r="Q1963" s="667"/>
      <c r="R1963" s="668"/>
      <c r="S1963" s="665"/>
      <c r="T1963" s="669"/>
      <c r="U1963" s="669"/>
      <c r="V1963" s="665"/>
      <c r="W1963" s="670"/>
      <c r="X1963" s="670"/>
      <c r="Y1963" s="671"/>
      <c r="Z1963" s="671"/>
      <c r="AA1963" s="672"/>
      <c r="AB1963" s="673"/>
      <c r="AC1963" s="673"/>
      <c r="AD1963" s="673"/>
      <c r="AE1963" s="673"/>
      <c r="AF1963" s="673"/>
      <c r="AG1963" s="673"/>
      <c r="AH1963" s="673"/>
      <c r="AI1963" s="673"/>
      <c r="AJ1963" s="673"/>
      <c r="AK1963" s="673"/>
      <c r="AL1963" s="673"/>
      <c r="AM1963" s="673"/>
      <c r="AN1963" s="673"/>
      <c r="AO1963" s="673"/>
      <c r="AP1963" s="673"/>
      <c r="AQ1963" s="673"/>
      <c r="AR1963" s="673"/>
      <c r="AS1963" s="673"/>
    </row>
    <row r="1964">
      <c r="A1964" s="653"/>
      <c r="B1964" s="654"/>
      <c r="C1964" s="655"/>
      <c r="D1964" s="656"/>
      <c r="E1964" s="657"/>
      <c r="F1964" s="658"/>
      <c r="G1964" s="659"/>
      <c r="H1964" s="660"/>
      <c r="I1964" s="659"/>
      <c r="J1964" s="661"/>
      <c r="K1964" s="658"/>
      <c r="L1964" s="662"/>
      <c r="M1964" s="663"/>
      <c r="N1964" s="664"/>
      <c r="O1964" s="665"/>
      <c r="P1964" s="666"/>
      <c r="Q1964" s="667"/>
      <c r="R1964" s="668"/>
      <c r="S1964" s="665"/>
      <c r="T1964" s="669"/>
      <c r="U1964" s="669"/>
      <c r="V1964" s="665"/>
      <c r="W1964" s="670"/>
      <c r="X1964" s="670"/>
      <c r="Y1964" s="671"/>
      <c r="Z1964" s="671"/>
      <c r="AA1964" s="672"/>
      <c r="AB1964" s="673"/>
      <c r="AC1964" s="673"/>
      <c r="AD1964" s="673"/>
      <c r="AE1964" s="673"/>
      <c r="AF1964" s="673"/>
      <c r="AG1964" s="673"/>
      <c r="AH1964" s="673"/>
      <c r="AI1964" s="673"/>
      <c r="AJ1964" s="673"/>
      <c r="AK1964" s="673"/>
      <c r="AL1964" s="673"/>
      <c r="AM1964" s="673"/>
      <c r="AN1964" s="673"/>
      <c r="AO1964" s="673"/>
      <c r="AP1964" s="673"/>
      <c r="AQ1964" s="673"/>
      <c r="AR1964" s="673"/>
      <c r="AS1964" s="673"/>
    </row>
    <row r="1965">
      <c r="A1965" s="653"/>
      <c r="B1965" s="654"/>
      <c r="C1965" s="655"/>
      <c r="D1965" s="656"/>
      <c r="E1965" s="657"/>
      <c r="F1965" s="658"/>
      <c r="G1965" s="659"/>
      <c r="H1965" s="660"/>
      <c r="I1965" s="659"/>
      <c r="J1965" s="661"/>
      <c r="K1965" s="658"/>
      <c r="L1965" s="662"/>
      <c r="M1965" s="663"/>
      <c r="N1965" s="664"/>
      <c r="O1965" s="665"/>
      <c r="P1965" s="666"/>
      <c r="Q1965" s="667"/>
      <c r="R1965" s="668"/>
      <c r="S1965" s="665"/>
      <c r="T1965" s="669"/>
      <c r="U1965" s="669"/>
      <c r="V1965" s="665"/>
      <c r="W1965" s="670"/>
      <c r="X1965" s="670"/>
      <c r="Y1965" s="671"/>
      <c r="Z1965" s="671"/>
      <c r="AA1965" s="672"/>
      <c r="AB1965" s="673"/>
      <c r="AC1965" s="673"/>
      <c r="AD1965" s="673"/>
      <c r="AE1965" s="673"/>
      <c r="AF1965" s="673"/>
      <c r="AG1965" s="673"/>
      <c r="AH1965" s="673"/>
      <c r="AI1965" s="673"/>
      <c r="AJ1965" s="673"/>
      <c r="AK1965" s="673"/>
      <c r="AL1965" s="673"/>
      <c r="AM1965" s="673"/>
      <c r="AN1965" s="673"/>
      <c r="AO1965" s="673"/>
      <c r="AP1965" s="673"/>
      <c r="AQ1965" s="673"/>
      <c r="AR1965" s="673"/>
      <c r="AS1965" s="673"/>
    </row>
    <row r="1966">
      <c r="A1966" s="653"/>
      <c r="B1966" s="654"/>
      <c r="C1966" s="655"/>
      <c r="D1966" s="656"/>
      <c r="E1966" s="657"/>
      <c r="F1966" s="658"/>
      <c r="G1966" s="659"/>
      <c r="H1966" s="660"/>
      <c r="I1966" s="659"/>
      <c r="J1966" s="661"/>
      <c r="K1966" s="658"/>
      <c r="L1966" s="662"/>
      <c r="M1966" s="663"/>
      <c r="N1966" s="664"/>
      <c r="O1966" s="665"/>
      <c r="P1966" s="666"/>
      <c r="Q1966" s="667"/>
      <c r="R1966" s="668"/>
      <c r="S1966" s="665"/>
      <c r="T1966" s="669"/>
      <c r="U1966" s="669"/>
      <c r="V1966" s="665"/>
      <c r="W1966" s="670"/>
      <c r="X1966" s="670"/>
      <c r="Y1966" s="671"/>
      <c r="Z1966" s="671"/>
      <c r="AA1966" s="672"/>
      <c r="AB1966" s="673"/>
      <c r="AC1966" s="673"/>
      <c r="AD1966" s="673"/>
      <c r="AE1966" s="673"/>
      <c r="AF1966" s="673"/>
      <c r="AG1966" s="673"/>
      <c r="AH1966" s="673"/>
      <c r="AI1966" s="673"/>
      <c r="AJ1966" s="673"/>
      <c r="AK1966" s="673"/>
      <c r="AL1966" s="673"/>
      <c r="AM1966" s="673"/>
      <c r="AN1966" s="673"/>
      <c r="AO1966" s="673"/>
      <c r="AP1966" s="673"/>
      <c r="AQ1966" s="673"/>
      <c r="AR1966" s="673"/>
      <c r="AS1966" s="673"/>
    </row>
    <row r="1967">
      <c r="A1967" s="653"/>
      <c r="B1967" s="654"/>
      <c r="C1967" s="655"/>
      <c r="D1967" s="656"/>
      <c r="E1967" s="657"/>
      <c r="F1967" s="658"/>
      <c r="G1967" s="659"/>
      <c r="H1967" s="660"/>
      <c r="I1967" s="659"/>
      <c r="J1967" s="661"/>
      <c r="K1967" s="658"/>
      <c r="L1967" s="662"/>
      <c r="M1967" s="663"/>
      <c r="N1967" s="664"/>
      <c r="O1967" s="665"/>
      <c r="P1967" s="666"/>
      <c r="Q1967" s="667"/>
      <c r="R1967" s="668"/>
      <c r="S1967" s="665"/>
      <c r="T1967" s="669"/>
      <c r="U1967" s="669"/>
      <c r="V1967" s="665"/>
      <c r="W1967" s="670"/>
      <c r="X1967" s="670"/>
      <c r="Y1967" s="671"/>
      <c r="Z1967" s="671"/>
      <c r="AA1967" s="672"/>
      <c r="AB1967" s="673"/>
      <c r="AC1967" s="673"/>
      <c r="AD1967" s="673"/>
      <c r="AE1967" s="673"/>
      <c r="AF1967" s="673"/>
      <c r="AG1967" s="673"/>
      <c r="AH1967" s="673"/>
      <c r="AI1967" s="673"/>
      <c r="AJ1967" s="673"/>
      <c r="AK1967" s="673"/>
      <c r="AL1967" s="673"/>
      <c r="AM1967" s="673"/>
      <c r="AN1967" s="673"/>
      <c r="AO1967" s="673"/>
      <c r="AP1967" s="673"/>
      <c r="AQ1967" s="673"/>
      <c r="AR1967" s="673"/>
      <c r="AS1967" s="673"/>
    </row>
    <row r="1968">
      <c r="A1968" s="653"/>
      <c r="B1968" s="654"/>
      <c r="C1968" s="655"/>
      <c r="D1968" s="656"/>
      <c r="E1968" s="657"/>
      <c r="F1968" s="658"/>
      <c r="G1968" s="659"/>
      <c r="H1968" s="660"/>
      <c r="I1968" s="659"/>
      <c r="J1968" s="661"/>
      <c r="K1968" s="658"/>
      <c r="L1968" s="662"/>
      <c r="M1968" s="663"/>
      <c r="N1968" s="664"/>
      <c r="O1968" s="665"/>
      <c r="P1968" s="666"/>
      <c r="Q1968" s="667"/>
      <c r="R1968" s="668"/>
      <c r="S1968" s="665"/>
      <c r="T1968" s="669"/>
      <c r="U1968" s="669"/>
      <c r="V1968" s="665"/>
      <c r="W1968" s="670"/>
      <c r="X1968" s="670"/>
      <c r="Y1968" s="671"/>
      <c r="Z1968" s="671"/>
      <c r="AA1968" s="672"/>
      <c r="AB1968" s="673"/>
      <c r="AC1968" s="673"/>
      <c r="AD1968" s="673"/>
      <c r="AE1968" s="673"/>
      <c r="AF1968" s="673"/>
      <c r="AG1968" s="673"/>
      <c r="AH1968" s="673"/>
      <c r="AI1968" s="673"/>
      <c r="AJ1968" s="673"/>
      <c r="AK1968" s="673"/>
      <c r="AL1968" s="673"/>
      <c r="AM1968" s="673"/>
      <c r="AN1968" s="673"/>
      <c r="AO1968" s="673"/>
      <c r="AP1968" s="673"/>
      <c r="AQ1968" s="673"/>
      <c r="AR1968" s="673"/>
      <c r="AS1968" s="673"/>
    </row>
    <row r="1969">
      <c r="A1969" s="653"/>
      <c r="B1969" s="654"/>
      <c r="C1969" s="655"/>
      <c r="D1969" s="656"/>
      <c r="E1969" s="657"/>
      <c r="F1969" s="658"/>
      <c r="G1969" s="659"/>
      <c r="H1969" s="660"/>
      <c r="I1969" s="659"/>
      <c r="J1969" s="661"/>
      <c r="K1969" s="658"/>
      <c r="L1969" s="662"/>
      <c r="M1969" s="663"/>
      <c r="N1969" s="664"/>
      <c r="O1969" s="665"/>
      <c r="P1969" s="666"/>
      <c r="Q1969" s="667"/>
      <c r="R1969" s="668"/>
      <c r="S1969" s="665"/>
      <c r="T1969" s="669"/>
      <c r="U1969" s="669"/>
      <c r="V1969" s="665"/>
      <c r="W1969" s="670"/>
      <c r="X1969" s="670"/>
      <c r="Y1969" s="671"/>
      <c r="Z1969" s="671"/>
      <c r="AA1969" s="672"/>
      <c r="AB1969" s="673"/>
      <c r="AC1969" s="673"/>
      <c r="AD1969" s="673"/>
      <c r="AE1969" s="673"/>
      <c r="AF1969" s="673"/>
      <c r="AG1969" s="673"/>
      <c r="AH1969" s="673"/>
      <c r="AI1969" s="673"/>
      <c r="AJ1969" s="673"/>
      <c r="AK1969" s="673"/>
      <c r="AL1969" s="673"/>
      <c r="AM1969" s="673"/>
      <c r="AN1969" s="673"/>
      <c r="AO1969" s="673"/>
      <c r="AP1969" s="673"/>
      <c r="AQ1969" s="673"/>
      <c r="AR1969" s="673"/>
      <c r="AS1969" s="673"/>
    </row>
    <row r="1970">
      <c r="A1970" s="653"/>
      <c r="B1970" s="654"/>
      <c r="C1970" s="655"/>
      <c r="D1970" s="656"/>
      <c r="E1970" s="657"/>
      <c r="F1970" s="658"/>
      <c r="G1970" s="659"/>
      <c r="H1970" s="660"/>
      <c r="I1970" s="659"/>
      <c r="J1970" s="661"/>
      <c r="K1970" s="658"/>
      <c r="L1970" s="662"/>
      <c r="M1970" s="663"/>
      <c r="N1970" s="664"/>
      <c r="O1970" s="665"/>
      <c r="P1970" s="666"/>
      <c r="Q1970" s="667"/>
      <c r="R1970" s="668"/>
      <c r="S1970" s="665"/>
      <c r="T1970" s="669"/>
      <c r="U1970" s="669"/>
      <c r="V1970" s="665"/>
      <c r="W1970" s="670"/>
      <c r="X1970" s="670"/>
      <c r="Y1970" s="671"/>
      <c r="Z1970" s="671"/>
      <c r="AA1970" s="672"/>
      <c r="AB1970" s="673"/>
      <c r="AC1970" s="673"/>
      <c r="AD1970" s="673"/>
      <c r="AE1970" s="673"/>
      <c r="AF1970" s="673"/>
      <c r="AG1970" s="673"/>
      <c r="AH1970" s="673"/>
      <c r="AI1970" s="673"/>
      <c r="AJ1970" s="673"/>
      <c r="AK1970" s="673"/>
      <c r="AL1970" s="673"/>
      <c r="AM1970" s="673"/>
      <c r="AN1970" s="673"/>
      <c r="AO1970" s="673"/>
      <c r="AP1970" s="673"/>
      <c r="AQ1970" s="673"/>
      <c r="AR1970" s="673"/>
      <c r="AS1970" s="673"/>
    </row>
    <row r="1971">
      <c r="A1971" s="653"/>
      <c r="B1971" s="654"/>
      <c r="C1971" s="655"/>
      <c r="D1971" s="656"/>
      <c r="E1971" s="657"/>
      <c r="F1971" s="658"/>
      <c r="G1971" s="659"/>
      <c r="H1971" s="660"/>
      <c r="I1971" s="659"/>
      <c r="J1971" s="661"/>
      <c r="K1971" s="658"/>
      <c r="L1971" s="662"/>
      <c r="M1971" s="663"/>
      <c r="N1971" s="664"/>
      <c r="O1971" s="665"/>
      <c r="P1971" s="666"/>
      <c r="Q1971" s="667"/>
      <c r="R1971" s="668"/>
      <c r="S1971" s="665"/>
      <c r="T1971" s="669"/>
      <c r="U1971" s="669"/>
      <c r="V1971" s="665"/>
      <c r="W1971" s="670"/>
      <c r="X1971" s="670"/>
      <c r="Y1971" s="671"/>
      <c r="Z1971" s="671"/>
      <c r="AA1971" s="672"/>
      <c r="AB1971" s="673"/>
      <c r="AC1971" s="673"/>
      <c r="AD1971" s="673"/>
      <c r="AE1971" s="673"/>
      <c r="AF1971" s="673"/>
      <c r="AG1971" s="673"/>
      <c r="AH1971" s="673"/>
      <c r="AI1971" s="673"/>
      <c r="AJ1971" s="673"/>
      <c r="AK1971" s="673"/>
      <c r="AL1971" s="673"/>
      <c r="AM1971" s="673"/>
      <c r="AN1971" s="673"/>
      <c r="AO1971" s="673"/>
      <c r="AP1971" s="673"/>
      <c r="AQ1971" s="673"/>
      <c r="AR1971" s="673"/>
      <c r="AS1971" s="673"/>
    </row>
    <row r="1972">
      <c r="A1972" s="653"/>
      <c r="B1972" s="654"/>
      <c r="C1972" s="655"/>
      <c r="D1972" s="656"/>
      <c r="E1972" s="657"/>
      <c r="F1972" s="658"/>
      <c r="G1972" s="659"/>
      <c r="H1972" s="660"/>
      <c r="I1972" s="659"/>
      <c r="J1972" s="661"/>
      <c r="K1972" s="658"/>
      <c r="L1972" s="662"/>
      <c r="M1972" s="663"/>
      <c r="N1972" s="664"/>
      <c r="O1972" s="665"/>
      <c r="P1972" s="666"/>
      <c r="Q1972" s="667"/>
      <c r="R1972" s="668"/>
      <c r="S1972" s="665"/>
      <c r="T1972" s="669"/>
      <c r="U1972" s="669"/>
      <c r="V1972" s="665"/>
      <c r="W1972" s="670"/>
      <c r="X1972" s="670"/>
      <c r="Y1972" s="671"/>
      <c r="Z1972" s="671"/>
      <c r="AA1972" s="672"/>
      <c r="AB1972" s="673"/>
      <c r="AC1972" s="673"/>
      <c r="AD1972" s="673"/>
      <c r="AE1972" s="673"/>
      <c r="AF1972" s="673"/>
      <c r="AG1972" s="673"/>
      <c r="AH1972" s="673"/>
      <c r="AI1972" s="673"/>
      <c r="AJ1972" s="673"/>
      <c r="AK1972" s="673"/>
      <c r="AL1972" s="673"/>
      <c r="AM1972" s="673"/>
      <c r="AN1972" s="673"/>
      <c r="AO1972" s="673"/>
      <c r="AP1972" s="673"/>
      <c r="AQ1972" s="673"/>
      <c r="AR1972" s="673"/>
      <c r="AS1972" s="673"/>
    </row>
    <row r="1973">
      <c r="A1973" s="653"/>
      <c r="B1973" s="654"/>
      <c r="C1973" s="655"/>
      <c r="D1973" s="656"/>
      <c r="E1973" s="657"/>
      <c r="F1973" s="658"/>
      <c r="G1973" s="659"/>
      <c r="H1973" s="660"/>
      <c r="I1973" s="659"/>
      <c r="J1973" s="661"/>
      <c r="K1973" s="658"/>
      <c r="L1973" s="662"/>
      <c r="M1973" s="663"/>
      <c r="N1973" s="664"/>
      <c r="O1973" s="665"/>
      <c r="P1973" s="666"/>
      <c r="Q1973" s="667"/>
      <c r="R1973" s="668"/>
      <c r="S1973" s="665"/>
      <c r="T1973" s="669"/>
      <c r="U1973" s="669"/>
      <c r="V1973" s="665"/>
      <c r="W1973" s="670"/>
      <c r="X1973" s="670"/>
      <c r="Y1973" s="671"/>
      <c r="Z1973" s="671"/>
      <c r="AA1973" s="672"/>
      <c r="AB1973" s="673"/>
      <c r="AC1973" s="673"/>
      <c r="AD1973" s="673"/>
      <c r="AE1973" s="673"/>
      <c r="AF1973" s="673"/>
      <c r="AG1973" s="673"/>
      <c r="AH1973" s="673"/>
      <c r="AI1973" s="673"/>
      <c r="AJ1973" s="673"/>
      <c r="AK1973" s="673"/>
      <c r="AL1973" s="673"/>
      <c r="AM1973" s="673"/>
      <c r="AN1973" s="673"/>
      <c r="AO1973" s="673"/>
      <c r="AP1973" s="673"/>
      <c r="AQ1973" s="673"/>
      <c r="AR1973" s="673"/>
      <c r="AS1973" s="673"/>
    </row>
    <row r="1974">
      <c r="A1974" s="653"/>
      <c r="B1974" s="654"/>
      <c r="C1974" s="655"/>
      <c r="D1974" s="656"/>
      <c r="E1974" s="657"/>
      <c r="F1974" s="658"/>
      <c r="G1974" s="659"/>
      <c r="H1974" s="660"/>
      <c r="I1974" s="659"/>
      <c r="J1974" s="661"/>
      <c r="K1974" s="658"/>
      <c r="L1974" s="662"/>
      <c r="M1974" s="663"/>
      <c r="N1974" s="664"/>
      <c r="O1974" s="665"/>
      <c r="P1974" s="666"/>
      <c r="Q1974" s="667"/>
      <c r="R1974" s="668"/>
      <c r="S1974" s="665"/>
      <c r="T1974" s="669"/>
      <c r="U1974" s="669"/>
      <c r="V1974" s="665"/>
      <c r="W1974" s="670"/>
      <c r="X1974" s="670"/>
      <c r="Y1974" s="671"/>
      <c r="Z1974" s="671"/>
      <c r="AA1974" s="672"/>
      <c r="AB1974" s="673"/>
      <c r="AC1974" s="673"/>
      <c r="AD1974" s="673"/>
      <c r="AE1974" s="673"/>
      <c r="AF1974" s="673"/>
      <c r="AG1974" s="673"/>
      <c r="AH1974" s="673"/>
      <c r="AI1974" s="673"/>
      <c r="AJ1974" s="673"/>
      <c r="AK1974" s="673"/>
      <c r="AL1974" s="673"/>
      <c r="AM1974" s="673"/>
      <c r="AN1974" s="673"/>
      <c r="AO1974" s="673"/>
      <c r="AP1974" s="673"/>
      <c r="AQ1974" s="673"/>
      <c r="AR1974" s="673"/>
      <c r="AS1974" s="673"/>
    </row>
    <row r="1975">
      <c r="A1975" s="653"/>
      <c r="B1975" s="654"/>
      <c r="C1975" s="655"/>
      <c r="D1975" s="656"/>
      <c r="E1975" s="657"/>
      <c r="F1975" s="658"/>
      <c r="G1975" s="659"/>
      <c r="H1975" s="660"/>
      <c r="I1975" s="659"/>
      <c r="J1975" s="661"/>
      <c r="K1975" s="658"/>
      <c r="L1975" s="662"/>
      <c r="M1975" s="663"/>
      <c r="N1975" s="664"/>
      <c r="O1975" s="665"/>
      <c r="P1975" s="666"/>
      <c r="Q1975" s="667"/>
      <c r="R1975" s="668"/>
      <c r="S1975" s="665"/>
      <c r="T1975" s="669"/>
      <c r="U1975" s="669"/>
      <c r="V1975" s="665"/>
      <c r="W1975" s="670"/>
      <c r="X1975" s="670"/>
      <c r="Y1975" s="671"/>
      <c r="Z1975" s="671"/>
      <c r="AA1975" s="672"/>
      <c r="AB1975" s="673"/>
      <c r="AC1975" s="673"/>
      <c r="AD1975" s="673"/>
      <c r="AE1975" s="673"/>
      <c r="AF1975" s="673"/>
      <c r="AG1975" s="673"/>
      <c r="AH1975" s="673"/>
      <c r="AI1975" s="673"/>
      <c r="AJ1975" s="673"/>
      <c r="AK1975" s="673"/>
      <c r="AL1975" s="673"/>
      <c r="AM1975" s="673"/>
      <c r="AN1975" s="673"/>
      <c r="AO1975" s="673"/>
      <c r="AP1975" s="673"/>
      <c r="AQ1975" s="673"/>
      <c r="AR1975" s="673"/>
      <c r="AS1975" s="673"/>
    </row>
    <row r="1976">
      <c r="A1976" s="653"/>
      <c r="B1976" s="654"/>
      <c r="C1976" s="655"/>
      <c r="D1976" s="656"/>
      <c r="E1976" s="657"/>
      <c r="F1976" s="658"/>
      <c r="G1976" s="659"/>
      <c r="H1976" s="660"/>
      <c r="I1976" s="659"/>
      <c r="J1976" s="661"/>
      <c r="K1976" s="658"/>
      <c r="L1976" s="662"/>
      <c r="M1976" s="663"/>
      <c r="N1976" s="664"/>
      <c r="O1976" s="665"/>
      <c r="P1976" s="666"/>
      <c r="Q1976" s="667"/>
      <c r="R1976" s="668"/>
      <c r="S1976" s="665"/>
      <c r="T1976" s="669"/>
      <c r="U1976" s="669"/>
      <c r="V1976" s="665"/>
      <c r="W1976" s="670"/>
      <c r="X1976" s="670"/>
      <c r="Y1976" s="671"/>
      <c r="Z1976" s="671"/>
      <c r="AA1976" s="672"/>
      <c r="AB1976" s="673"/>
      <c r="AC1976" s="673"/>
      <c r="AD1976" s="673"/>
      <c r="AE1976" s="673"/>
      <c r="AF1976" s="673"/>
      <c r="AG1976" s="673"/>
      <c r="AH1976" s="673"/>
      <c r="AI1976" s="673"/>
      <c r="AJ1976" s="673"/>
      <c r="AK1976" s="673"/>
      <c r="AL1976" s="673"/>
      <c r="AM1976" s="673"/>
      <c r="AN1976" s="673"/>
      <c r="AO1976" s="673"/>
      <c r="AP1976" s="673"/>
      <c r="AQ1976" s="673"/>
      <c r="AR1976" s="673"/>
      <c r="AS1976" s="673"/>
    </row>
    <row r="1977">
      <c r="A1977" s="653"/>
      <c r="B1977" s="654"/>
      <c r="C1977" s="655"/>
      <c r="D1977" s="656"/>
      <c r="E1977" s="657"/>
      <c r="F1977" s="658"/>
      <c r="G1977" s="659"/>
      <c r="H1977" s="660"/>
      <c r="I1977" s="659"/>
      <c r="J1977" s="661"/>
      <c r="K1977" s="658"/>
      <c r="L1977" s="662"/>
      <c r="M1977" s="663"/>
      <c r="N1977" s="664"/>
      <c r="O1977" s="665"/>
      <c r="P1977" s="666"/>
      <c r="Q1977" s="667"/>
      <c r="R1977" s="668"/>
      <c r="S1977" s="665"/>
      <c r="T1977" s="669"/>
      <c r="U1977" s="669"/>
      <c r="V1977" s="665"/>
      <c r="W1977" s="670"/>
      <c r="X1977" s="670"/>
      <c r="Y1977" s="671"/>
      <c r="Z1977" s="671"/>
      <c r="AA1977" s="672"/>
      <c r="AB1977" s="673"/>
      <c r="AC1977" s="673"/>
      <c r="AD1977" s="673"/>
      <c r="AE1977" s="673"/>
      <c r="AF1977" s="673"/>
      <c r="AG1977" s="673"/>
      <c r="AH1977" s="673"/>
      <c r="AI1977" s="673"/>
      <c r="AJ1977" s="673"/>
      <c r="AK1977" s="673"/>
      <c r="AL1977" s="673"/>
      <c r="AM1977" s="673"/>
      <c r="AN1977" s="673"/>
      <c r="AO1977" s="673"/>
      <c r="AP1977" s="673"/>
      <c r="AQ1977" s="673"/>
      <c r="AR1977" s="673"/>
      <c r="AS1977" s="673"/>
    </row>
    <row r="1978">
      <c r="A1978" s="653"/>
      <c r="B1978" s="654"/>
      <c r="C1978" s="655"/>
      <c r="D1978" s="656"/>
      <c r="E1978" s="657"/>
      <c r="F1978" s="658"/>
      <c r="G1978" s="659"/>
      <c r="H1978" s="660"/>
      <c r="I1978" s="659"/>
      <c r="J1978" s="661"/>
      <c r="K1978" s="658"/>
      <c r="L1978" s="662"/>
      <c r="M1978" s="663"/>
      <c r="N1978" s="664"/>
      <c r="O1978" s="665"/>
      <c r="P1978" s="666"/>
      <c r="Q1978" s="667"/>
      <c r="R1978" s="668"/>
      <c r="S1978" s="665"/>
      <c r="T1978" s="669"/>
      <c r="U1978" s="669"/>
      <c r="V1978" s="665"/>
      <c r="W1978" s="670"/>
      <c r="X1978" s="670"/>
      <c r="Y1978" s="671"/>
      <c r="Z1978" s="671"/>
      <c r="AA1978" s="672"/>
      <c r="AB1978" s="673"/>
      <c r="AC1978" s="673"/>
      <c r="AD1978" s="673"/>
      <c r="AE1978" s="673"/>
      <c r="AF1978" s="673"/>
      <c r="AG1978" s="673"/>
      <c r="AH1978" s="673"/>
      <c r="AI1978" s="673"/>
      <c r="AJ1978" s="673"/>
      <c r="AK1978" s="673"/>
      <c r="AL1978" s="673"/>
      <c r="AM1978" s="673"/>
      <c r="AN1978" s="673"/>
      <c r="AO1978" s="673"/>
      <c r="AP1978" s="673"/>
      <c r="AQ1978" s="673"/>
      <c r="AR1978" s="673"/>
      <c r="AS1978" s="673"/>
    </row>
    <row r="1979">
      <c r="A1979" s="653"/>
      <c r="B1979" s="654"/>
      <c r="C1979" s="655"/>
      <c r="D1979" s="656"/>
      <c r="E1979" s="657"/>
      <c r="F1979" s="658"/>
      <c r="G1979" s="659"/>
      <c r="H1979" s="660"/>
      <c r="I1979" s="659"/>
      <c r="J1979" s="661"/>
      <c r="K1979" s="658"/>
      <c r="L1979" s="662"/>
      <c r="M1979" s="663"/>
      <c r="N1979" s="664"/>
      <c r="O1979" s="665"/>
      <c r="P1979" s="666"/>
      <c r="Q1979" s="667"/>
      <c r="R1979" s="668"/>
      <c r="S1979" s="665"/>
      <c r="T1979" s="669"/>
      <c r="U1979" s="669"/>
      <c r="V1979" s="665"/>
      <c r="W1979" s="670"/>
      <c r="X1979" s="670"/>
      <c r="Y1979" s="671"/>
      <c r="Z1979" s="671"/>
      <c r="AA1979" s="672"/>
      <c r="AB1979" s="673"/>
      <c r="AC1979" s="673"/>
      <c r="AD1979" s="673"/>
      <c r="AE1979" s="673"/>
      <c r="AF1979" s="673"/>
      <c r="AG1979" s="673"/>
      <c r="AH1979" s="673"/>
      <c r="AI1979" s="673"/>
      <c r="AJ1979" s="673"/>
      <c r="AK1979" s="673"/>
      <c r="AL1979" s="673"/>
      <c r="AM1979" s="673"/>
      <c r="AN1979" s="673"/>
      <c r="AO1979" s="673"/>
      <c r="AP1979" s="673"/>
      <c r="AQ1979" s="673"/>
      <c r="AR1979" s="673"/>
      <c r="AS1979" s="673"/>
    </row>
    <row r="1980">
      <c r="A1980" s="653"/>
      <c r="B1980" s="654"/>
      <c r="C1980" s="655"/>
      <c r="D1980" s="656"/>
      <c r="E1980" s="657"/>
      <c r="F1980" s="658"/>
      <c r="G1980" s="659"/>
      <c r="H1980" s="660"/>
      <c r="I1980" s="659"/>
      <c r="J1980" s="661"/>
      <c r="K1980" s="658"/>
      <c r="L1980" s="662"/>
      <c r="M1980" s="663"/>
      <c r="N1980" s="664"/>
      <c r="O1980" s="665"/>
      <c r="P1980" s="666"/>
      <c r="Q1980" s="667"/>
      <c r="R1980" s="668"/>
      <c r="S1980" s="665"/>
      <c r="T1980" s="669"/>
      <c r="U1980" s="669"/>
      <c r="V1980" s="665"/>
      <c r="W1980" s="670"/>
      <c r="X1980" s="670"/>
      <c r="Y1980" s="671"/>
      <c r="Z1980" s="671"/>
      <c r="AA1980" s="672"/>
      <c r="AB1980" s="673"/>
      <c r="AC1980" s="673"/>
      <c r="AD1980" s="673"/>
      <c r="AE1980" s="673"/>
      <c r="AF1980" s="673"/>
      <c r="AG1980" s="673"/>
      <c r="AH1980" s="673"/>
      <c r="AI1980" s="673"/>
      <c r="AJ1980" s="673"/>
      <c r="AK1980" s="673"/>
      <c r="AL1980" s="673"/>
      <c r="AM1980" s="673"/>
      <c r="AN1980" s="673"/>
      <c r="AO1980" s="673"/>
      <c r="AP1980" s="673"/>
      <c r="AQ1980" s="673"/>
      <c r="AR1980" s="673"/>
      <c r="AS1980" s="673"/>
    </row>
    <row r="1981">
      <c r="A1981" s="653"/>
      <c r="B1981" s="654"/>
      <c r="C1981" s="655"/>
      <c r="D1981" s="656"/>
      <c r="E1981" s="657"/>
      <c r="F1981" s="658"/>
      <c r="G1981" s="659"/>
      <c r="H1981" s="660"/>
      <c r="I1981" s="659"/>
      <c r="J1981" s="661"/>
      <c r="K1981" s="658"/>
      <c r="L1981" s="662"/>
      <c r="M1981" s="663"/>
      <c r="N1981" s="664"/>
      <c r="O1981" s="665"/>
      <c r="P1981" s="666"/>
      <c r="Q1981" s="667"/>
      <c r="R1981" s="668"/>
      <c r="S1981" s="665"/>
      <c r="T1981" s="669"/>
      <c r="U1981" s="669"/>
      <c r="V1981" s="665"/>
      <c r="W1981" s="670"/>
      <c r="X1981" s="670"/>
      <c r="Y1981" s="671"/>
      <c r="Z1981" s="671"/>
      <c r="AA1981" s="672"/>
      <c r="AB1981" s="673"/>
      <c r="AC1981" s="673"/>
      <c r="AD1981" s="673"/>
      <c r="AE1981" s="673"/>
      <c r="AF1981" s="673"/>
      <c r="AG1981" s="673"/>
      <c r="AH1981" s="673"/>
      <c r="AI1981" s="673"/>
      <c r="AJ1981" s="673"/>
      <c r="AK1981" s="673"/>
      <c r="AL1981" s="673"/>
      <c r="AM1981" s="673"/>
      <c r="AN1981" s="673"/>
      <c r="AO1981" s="673"/>
      <c r="AP1981" s="673"/>
      <c r="AQ1981" s="673"/>
      <c r="AR1981" s="673"/>
      <c r="AS1981" s="673"/>
    </row>
    <row r="1982">
      <c r="A1982" s="653"/>
      <c r="B1982" s="654"/>
      <c r="C1982" s="655"/>
      <c r="D1982" s="656"/>
      <c r="E1982" s="657"/>
      <c r="F1982" s="658"/>
      <c r="G1982" s="659"/>
      <c r="H1982" s="660"/>
      <c r="I1982" s="659"/>
      <c r="J1982" s="661"/>
      <c r="K1982" s="658"/>
      <c r="L1982" s="662"/>
      <c r="M1982" s="663"/>
      <c r="N1982" s="664"/>
      <c r="O1982" s="665"/>
      <c r="P1982" s="666"/>
      <c r="Q1982" s="667"/>
      <c r="R1982" s="668"/>
      <c r="S1982" s="665"/>
      <c r="T1982" s="669"/>
      <c r="U1982" s="669"/>
      <c r="V1982" s="665"/>
      <c r="W1982" s="670"/>
      <c r="X1982" s="670"/>
      <c r="Y1982" s="671"/>
      <c r="Z1982" s="671"/>
      <c r="AA1982" s="672"/>
      <c r="AB1982" s="673"/>
      <c r="AC1982" s="673"/>
      <c r="AD1982" s="673"/>
      <c r="AE1982" s="673"/>
      <c r="AF1982" s="673"/>
      <c r="AG1982" s="673"/>
      <c r="AH1982" s="673"/>
      <c r="AI1982" s="673"/>
      <c r="AJ1982" s="673"/>
      <c r="AK1982" s="673"/>
      <c r="AL1982" s="673"/>
      <c r="AM1982" s="673"/>
      <c r="AN1982" s="673"/>
      <c r="AO1982" s="673"/>
      <c r="AP1982" s="673"/>
      <c r="AQ1982" s="673"/>
      <c r="AR1982" s="673"/>
      <c r="AS1982" s="673"/>
    </row>
    <row r="1983">
      <c r="A1983" s="653"/>
      <c r="B1983" s="654"/>
      <c r="C1983" s="655"/>
      <c r="D1983" s="656"/>
      <c r="E1983" s="657"/>
      <c r="F1983" s="658"/>
      <c r="G1983" s="659"/>
      <c r="H1983" s="660"/>
      <c r="I1983" s="659"/>
      <c r="J1983" s="661"/>
      <c r="K1983" s="658"/>
      <c r="L1983" s="662"/>
      <c r="M1983" s="663"/>
      <c r="N1983" s="664"/>
      <c r="O1983" s="665"/>
      <c r="P1983" s="666"/>
      <c r="Q1983" s="667"/>
      <c r="R1983" s="668"/>
      <c r="S1983" s="665"/>
      <c r="T1983" s="669"/>
      <c r="U1983" s="669"/>
      <c r="V1983" s="665"/>
      <c r="W1983" s="670"/>
      <c r="X1983" s="670"/>
      <c r="Y1983" s="671"/>
      <c r="Z1983" s="671"/>
      <c r="AA1983" s="672"/>
      <c r="AB1983" s="673"/>
      <c r="AC1983" s="673"/>
      <c r="AD1983" s="673"/>
      <c r="AE1983" s="673"/>
      <c r="AF1983" s="673"/>
      <c r="AG1983" s="673"/>
      <c r="AH1983" s="673"/>
      <c r="AI1983" s="673"/>
      <c r="AJ1983" s="673"/>
      <c r="AK1983" s="673"/>
      <c r="AL1983" s="673"/>
      <c r="AM1983" s="673"/>
      <c r="AN1983" s="673"/>
      <c r="AO1983" s="673"/>
      <c r="AP1983" s="673"/>
      <c r="AQ1983" s="673"/>
      <c r="AR1983" s="673"/>
      <c r="AS1983" s="673"/>
    </row>
    <row r="1984">
      <c r="A1984" s="653"/>
      <c r="B1984" s="654"/>
      <c r="C1984" s="655"/>
      <c r="D1984" s="656"/>
      <c r="E1984" s="657"/>
      <c r="F1984" s="658"/>
      <c r="G1984" s="659"/>
      <c r="H1984" s="660"/>
      <c r="I1984" s="659"/>
      <c r="J1984" s="661"/>
      <c r="K1984" s="658"/>
      <c r="L1984" s="662"/>
      <c r="M1984" s="663"/>
      <c r="N1984" s="664"/>
      <c r="O1984" s="665"/>
      <c r="P1984" s="666"/>
      <c r="Q1984" s="667"/>
      <c r="R1984" s="668"/>
      <c r="S1984" s="665"/>
      <c r="T1984" s="669"/>
      <c r="U1984" s="669"/>
      <c r="V1984" s="665"/>
      <c r="W1984" s="670"/>
      <c r="X1984" s="670"/>
      <c r="Y1984" s="671"/>
      <c r="Z1984" s="671"/>
      <c r="AA1984" s="672"/>
      <c r="AB1984" s="673"/>
      <c r="AC1984" s="673"/>
      <c r="AD1984" s="673"/>
      <c r="AE1984" s="673"/>
      <c r="AF1984" s="673"/>
      <c r="AG1984" s="673"/>
      <c r="AH1984" s="673"/>
      <c r="AI1984" s="673"/>
      <c r="AJ1984" s="673"/>
      <c r="AK1984" s="673"/>
      <c r="AL1984" s="673"/>
      <c r="AM1984" s="673"/>
      <c r="AN1984" s="673"/>
      <c r="AO1984" s="673"/>
      <c r="AP1984" s="673"/>
      <c r="AQ1984" s="673"/>
      <c r="AR1984" s="673"/>
      <c r="AS1984" s="673"/>
    </row>
    <row r="1985">
      <c r="A1985" s="653"/>
      <c r="B1985" s="654"/>
      <c r="C1985" s="655"/>
      <c r="D1985" s="656"/>
      <c r="E1985" s="657"/>
      <c r="F1985" s="658"/>
      <c r="G1985" s="659"/>
      <c r="H1985" s="660"/>
      <c r="I1985" s="659"/>
      <c r="J1985" s="661"/>
      <c r="K1985" s="658"/>
      <c r="L1985" s="662"/>
      <c r="M1985" s="663"/>
      <c r="N1985" s="664"/>
      <c r="O1985" s="665"/>
      <c r="P1985" s="666"/>
      <c r="Q1985" s="667"/>
      <c r="R1985" s="668"/>
      <c r="S1985" s="665"/>
      <c r="T1985" s="669"/>
      <c r="U1985" s="669"/>
      <c r="V1985" s="665"/>
      <c r="W1985" s="670"/>
      <c r="X1985" s="670"/>
      <c r="Y1985" s="671"/>
      <c r="Z1985" s="671"/>
      <c r="AA1985" s="672"/>
      <c r="AB1985" s="673"/>
      <c r="AC1985" s="673"/>
      <c r="AD1985" s="673"/>
      <c r="AE1985" s="673"/>
      <c r="AF1985" s="673"/>
      <c r="AG1985" s="673"/>
      <c r="AH1985" s="673"/>
      <c r="AI1985" s="673"/>
      <c r="AJ1985" s="673"/>
      <c r="AK1985" s="673"/>
      <c r="AL1985" s="673"/>
      <c r="AM1985" s="673"/>
      <c r="AN1985" s="673"/>
      <c r="AO1985" s="673"/>
      <c r="AP1985" s="673"/>
      <c r="AQ1985" s="673"/>
      <c r="AR1985" s="673"/>
      <c r="AS1985" s="673"/>
    </row>
    <row r="1986">
      <c r="A1986" s="653"/>
      <c r="B1986" s="654"/>
      <c r="C1986" s="655"/>
      <c r="D1986" s="656"/>
      <c r="E1986" s="657"/>
      <c r="F1986" s="658"/>
      <c r="G1986" s="659"/>
      <c r="H1986" s="660"/>
      <c r="I1986" s="659"/>
      <c r="J1986" s="661"/>
      <c r="K1986" s="658"/>
      <c r="L1986" s="662"/>
      <c r="M1986" s="663"/>
      <c r="N1986" s="664"/>
      <c r="O1986" s="665"/>
      <c r="P1986" s="666"/>
      <c r="Q1986" s="667"/>
      <c r="R1986" s="668"/>
      <c r="S1986" s="665"/>
      <c r="T1986" s="669"/>
      <c r="U1986" s="669"/>
      <c r="V1986" s="665"/>
      <c r="W1986" s="670"/>
      <c r="X1986" s="670"/>
      <c r="Y1986" s="671"/>
      <c r="Z1986" s="671"/>
      <c r="AA1986" s="672"/>
      <c r="AB1986" s="673"/>
      <c r="AC1986" s="673"/>
      <c r="AD1986" s="673"/>
      <c r="AE1986" s="673"/>
      <c r="AF1986" s="673"/>
      <c r="AG1986" s="673"/>
      <c r="AH1986" s="673"/>
      <c r="AI1986" s="673"/>
      <c r="AJ1986" s="673"/>
      <c r="AK1986" s="673"/>
      <c r="AL1986" s="673"/>
      <c r="AM1986" s="673"/>
      <c r="AN1986" s="673"/>
      <c r="AO1986" s="673"/>
      <c r="AP1986" s="673"/>
      <c r="AQ1986" s="673"/>
      <c r="AR1986" s="673"/>
      <c r="AS1986" s="673"/>
    </row>
    <row r="1987">
      <c r="A1987" s="653"/>
      <c r="B1987" s="654"/>
      <c r="C1987" s="655"/>
      <c r="D1987" s="656"/>
      <c r="E1987" s="657"/>
      <c r="F1987" s="658"/>
      <c r="G1987" s="659"/>
      <c r="H1987" s="660"/>
      <c r="I1987" s="659"/>
      <c r="J1987" s="661"/>
      <c r="K1987" s="658"/>
      <c r="L1987" s="662"/>
      <c r="M1987" s="663"/>
      <c r="N1987" s="664"/>
      <c r="O1987" s="665"/>
      <c r="P1987" s="666"/>
      <c r="Q1987" s="667"/>
      <c r="R1987" s="668"/>
      <c r="S1987" s="665"/>
      <c r="T1987" s="669"/>
      <c r="U1987" s="669"/>
      <c r="V1987" s="665"/>
      <c r="W1987" s="670"/>
      <c r="X1987" s="670"/>
      <c r="Y1987" s="671"/>
      <c r="Z1987" s="671"/>
      <c r="AA1987" s="672"/>
      <c r="AB1987" s="673"/>
      <c r="AC1987" s="673"/>
      <c r="AD1987" s="673"/>
      <c r="AE1987" s="673"/>
      <c r="AF1987" s="673"/>
      <c r="AG1987" s="673"/>
      <c r="AH1987" s="673"/>
      <c r="AI1987" s="673"/>
      <c r="AJ1987" s="673"/>
      <c r="AK1987" s="673"/>
      <c r="AL1987" s="673"/>
      <c r="AM1987" s="673"/>
      <c r="AN1987" s="673"/>
      <c r="AO1987" s="673"/>
      <c r="AP1987" s="673"/>
      <c r="AQ1987" s="673"/>
      <c r="AR1987" s="673"/>
      <c r="AS1987" s="673"/>
    </row>
    <row r="1988">
      <c r="A1988" s="653"/>
      <c r="B1988" s="654"/>
      <c r="C1988" s="655"/>
      <c r="D1988" s="656"/>
      <c r="E1988" s="657"/>
      <c r="F1988" s="658"/>
      <c r="G1988" s="659"/>
      <c r="H1988" s="660"/>
      <c r="I1988" s="659"/>
      <c r="J1988" s="661"/>
      <c r="K1988" s="658"/>
      <c r="L1988" s="662"/>
      <c r="M1988" s="663"/>
      <c r="N1988" s="664"/>
      <c r="O1988" s="665"/>
      <c r="P1988" s="666"/>
      <c r="Q1988" s="667"/>
      <c r="R1988" s="668"/>
      <c r="S1988" s="665"/>
      <c r="T1988" s="669"/>
      <c r="U1988" s="669"/>
      <c r="V1988" s="665"/>
      <c r="W1988" s="670"/>
      <c r="X1988" s="670"/>
      <c r="Y1988" s="671"/>
      <c r="Z1988" s="671"/>
      <c r="AA1988" s="672"/>
      <c r="AB1988" s="673"/>
      <c r="AC1988" s="673"/>
      <c r="AD1988" s="673"/>
      <c r="AE1988" s="673"/>
      <c r="AF1988" s="673"/>
      <c r="AG1988" s="673"/>
      <c r="AH1988" s="673"/>
      <c r="AI1988" s="673"/>
      <c r="AJ1988" s="673"/>
      <c r="AK1988" s="673"/>
      <c r="AL1988" s="673"/>
      <c r="AM1988" s="673"/>
      <c r="AN1988" s="673"/>
      <c r="AO1988" s="673"/>
      <c r="AP1988" s="673"/>
      <c r="AQ1988" s="673"/>
      <c r="AR1988" s="673"/>
      <c r="AS1988" s="673"/>
    </row>
    <row r="1989">
      <c r="A1989" s="653"/>
      <c r="B1989" s="654"/>
      <c r="C1989" s="655"/>
      <c r="D1989" s="656"/>
      <c r="E1989" s="657"/>
      <c r="F1989" s="658"/>
      <c r="G1989" s="659"/>
      <c r="H1989" s="660"/>
      <c r="I1989" s="659"/>
      <c r="J1989" s="661"/>
      <c r="K1989" s="658"/>
      <c r="L1989" s="662"/>
      <c r="M1989" s="663"/>
      <c r="N1989" s="664"/>
      <c r="O1989" s="665"/>
      <c r="P1989" s="666"/>
      <c r="Q1989" s="667"/>
      <c r="R1989" s="668"/>
      <c r="S1989" s="665"/>
      <c r="T1989" s="669"/>
      <c r="U1989" s="669"/>
      <c r="V1989" s="665"/>
      <c r="W1989" s="670"/>
      <c r="X1989" s="670"/>
      <c r="Y1989" s="671"/>
      <c r="Z1989" s="671"/>
      <c r="AA1989" s="672"/>
      <c r="AB1989" s="673"/>
      <c r="AC1989" s="673"/>
      <c r="AD1989" s="673"/>
      <c r="AE1989" s="673"/>
      <c r="AF1989" s="673"/>
      <c r="AG1989" s="673"/>
      <c r="AH1989" s="673"/>
      <c r="AI1989" s="673"/>
      <c r="AJ1989" s="673"/>
      <c r="AK1989" s="673"/>
      <c r="AL1989" s="673"/>
      <c r="AM1989" s="673"/>
      <c r="AN1989" s="673"/>
      <c r="AO1989" s="673"/>
      <c r="AP1989" s="673"/>
      <c r="AQ1989" s="673"/>
      <c r="AR1989" s="673"/>
      <c r="AS1989" s="673"/>
    </row>
    <row r="1990">
      <c r="A1990" s="653"/>
      <c r="B1990" s="654"/>
      <c r="C1990" s="655"/>
      <c r="D1990" s="656"/>
      <c r="E1990" s="657"/>
      <c r="F1990" s="658"/>
      <c r="G1990" s="659"/>
      <c r="H1990" s="660"/>
      <c r="I1990" s="659"/>
      <c r="J1990" s="661"/>
      <c r="K1990" s="658"/>
      <c r="L1990" s="662"/>
      <c r="M1990" s="663"/>
      <c r="N1990" s="664"/>
      <c r="O1990" s="665"/>
      <c r="P1990" s="666"/>
      <c r="Q1990" s="667"/>
      <c r="R1990" s="668"/>
      <c r="S1990" s="665"/>
      <c r="T1990" s="669"/>
      <c r="U1990" s="669"/>
      <c r="V1990" s="665"/>
      <c r="W1990" s="670"/>
      <c r="X1990" s="670"/>
      <c r="Y1990" s="671"/>
      <c r="Z1990" s="671"/>
      <c r="AA1990" s="672"/>
      <c r="AB1990" s="673"/>
      <c r="AC1990" s="673"/>
      <c r="AD1990" s="673"/>
      <c r="AE1990" s="673"/>
      <c r="AF1990" s="673"/>
      <c r="AG1990" s="673"/>
      <c r="AH1990" s="673"/>
      <c r="AI1990" s="673"/>
      <c r="AJ1990" s="673"/>
      <c r="AK1990" s="673"/>
      <c r="AL1990" s="673"/>
      <c r="AM1990" s="673"/>
      <c r="AN1990" s="673"/>
      <c r="AO1990" s="673"/>
      <c r="AP1990" s="673"/>
      <c r="AQ1990" s="673"/>
      <c r="AR1990" s="673"/>
      <c r="AS1990" s="673"/>
    </row>
    <row r="1991">
      <c r="A1991" s="653"/>
      <c r="B1991" s="654"/>
      <c r="C1991" s="655"/>
      <c r="D1991" s="656"/>
      <c r="E1991" s="657"/>
      <c r="F1991" s="658"/>
      <c r="G1991" s="659"/>
      <c r="H1991" s="660"/>
      <c r="I1991" s="659"/>
      <c r="J1991" s="661"/>
      <c r="K1991" s="658"/>
      <c r="L1991" s="662"/>
      <c r="M1991" s="663"/>
      <c r="N1991" s="664"/>
      <c r="O1991" s="665"/>
      <c r="P1991" s="666"/>
      <c r="Q1991" s="667"/>
      <c r="R1991" s="668"/>
      <c r="S1991" s="665"/>
      <c r="T1991" s="669"/>
      <c r="U1991" s="669"/>
      <c r="V1991" s="665"/>
      <c r="W1991" s="670"/>
      <c r="X1991" s="670"/>
      <c r="Y1991" s="671"/>
      <c r="Z1991" s="671"/>
      <c r="AA1991" s="672"/>
      <c r="AB1991" s="673"/>
      <c r="AC1991" s="673"/>
      <c r="AD1991" s="673"/>
      <c r="AE1991" s="673"/>
      <c r="AF1991" s="673"/>
      <c r="AG1991" s="673"/>
      <c r="AH1991" s="673"/>
      <c r="AI1991" s="673"/>
      <c r="AJ1991" s="673"/>
      <c r="AK1991" s="673"/>
      <c r="AL1991" s="673"/>
      <c r="AM1991" s="673"/>
      <c r="AN1991" s="673"/>
      <c r="AO1991" s="673"/>
      <c r="AP1991" s="673"/>
      <c r="AQ1991" s="673"/>
      <c r="AR1991" s="673"/>
      <c r="AS1991" s="673"/>
    </row>
    <row r="1992">
      <c r="A1992" s="653"/>
      <c r="B1992" s="654"/>
      <c r="C1992" s="655"/>
      <c r="D1992" s="656"/>
      <c r="E1992" s="657"/>
      <c r="F1992" s="658"/>
      <c r="G1992" s="659"/>
      <c r="H1992" s="660"/>
      <c r="I1992" s="659"/>
      <c r="J1992" s="661"/>
      <c r="K1992" s="658"/>
      <c r="L1992" s="662"/>
      <c r="M1992" s="663"/>
      <c r="N1992" s="664"/>
      <c r="O1992" s="665"/>
      <c r="P1992" s="666"/>
      <c r="Q1992" s="667"/>
      <c r="R1992" s="668"/>
      <c r="S1992" s="665"/>
      <c r="T1992" s="669"/>
      <c r="U1992" s="669"/>
      <c r="V1992" s="665"/>
      <c r="W1992" s="670"/>
      <c r="X1992" s="670"/>
      <c r="Y1992" s="671"/>
      <c r="Z1992" s="671"/>
      <c r="AA1992" s="672"/>
      <c r="AB1992" s="673"/>
      <c r="AC1992" s="673"/>
      <c r="AD1992" s="673"/>
      <c r="AE1992" s="673"/>
      <c r="AF1992" s="673"/>
      <c r="AG1992" s="673"/>
      <c r="AH1992" s="673"/>
      <c r="AI1992" s="673"/>
      <c r="AJ1992" s="673"/>
      <c r="AK1992" s="673"/>
      <c r="AL1992" s="673"/>
      <c r="AM1992" s="673"/>
      <c r="AN1992" s="673"/>
      <c r="AO1992" s="673"/>
      <c r="AP1992" s="673"/>
      <c r="AQ1992" s="673"/>
      <c r="AR1992" s="673"/>
      <c r="AS1992" s="673"/>
    </row>
    <row r="1993">
      <c r="A1993" s="653"/>
      <c r="B1993" s="654"/>
      <c r="C1993" s="655"/>
      <c r="D1993" s="656"/>
      <c r="E1993" s="657"/>
      <c r="F1993" s="658"/>
      <c r="G1993" s="659"/>
      <c r="H1993" s="660"/>
      <c r="I1993" s="659"/>
      <c r="J1993" s="661"/>
      <c r="K1993" s="658"/>
      <c r="L1993" s="662"/>
      <c r="M1993" s="663"/>
      <c r="N1993" s="664"/>
      <c r="O1993" s="665"/>
      <c r="P1993" s="666"/>
      <c r="Q1993" s="667"/>
      <c r="R1993" s="668"/>
      <c r="S1993" s="665"/>
      <c r="T1993" s="669"/>
      <c r="U1993" s="669"/>
      <c r="V1993" s="665"/>
      <c r="W1993" s="670"/>
      <c r="X1993" s="670"/>
      <c r="Y1993" s="671"/>
      <c r="Z1993" s="671"/>
      <c r="AA1993" s="672"/>
      <c r="AB1993" s="673"/>
      <c r="AC1993" s="673"/>
      <c r="AD1993" s="673"/>
      <c r="AE1993" s="673"/>
      <c r="AF1993" s="673"/>
      <c r="AG1993" s="673"/>
      <c r="AH1993" s="673"/>
      <c r="AI1993" s="673"/>
      <c r="AJ1993" s="673"/>
      <c r="AK1993" s="673"/>
      <c r="AL1993" s="673"/>
      <c r="AM1993" s="673"/>
      <c r="AN1993" s="673"/>
      <c r="AO1993" s="673"/>
      <c r="AP1993" s="673"/>
      <c r="AQ1993" s="673"/>
      <c r="AR1993" s="673"/>
      <c r="AS1993" s="673"/>
    </row>
    <row r="1994">
      <c r="A1994" s="653"/>
      <c r="B1994" s="654"/>
      <c r="C1994" s="655"/>
      <c r="D1994" s="656"/>
      <c r="E1994" s="657"/>
      <c r="F1994" s="658"/>
      <c r="G1994" s="659"/>
      <c r="H1994" s="660"/>
      <c r="I1994" s="659"/>
      <c r="J1994" s="661"/>
      <c r="K1994" s="658"/>
      <c r="L1994" s="662"/>
      <c r="M1994" s="663"/>
      <c r="N1994" s="664"/>
      <c r="O1994" s="665"/>
      <c r="P1994" s="666"/>
      <c r="Q1994" s="667"/>
      <c r="R1994" s="668"/>
      <c r="S1994" s="665"/>
      <c r="T1994" s="669"/>
      <c r="U1994" s="669"/>
      <c r="V1994" s="665"/>
      <c r="W1994" s="670"/>
      <c r="X1994" s="670"/>
      <c r="Y1994" s="671"/>
      <c r="Z1994" s="671"/>
      <c r="AA1994" s="672"/>
      <c r="AB1994" s="673"/>
      <c r="AC1994" s="673"/>
      <c r="AD1994" s="673"/>
      <c r="AE1994" s="673"/>
      <c r="AF1994" s="673"/>
      <c r="AG1994" s="673"/>
      <c r="AH1994" s="673"/>
      <c r="AI1994" s="673"/>
      <c r="AJ1994" s="673"/>
      <c r="AK1994" s="673"/>
      <c r="AL1994" s="673"/>
      <c r="AM1994" s="673"/>
      <c r="AN1994" s="673"/>
      <c r="AO1994" s="673"/>
      <c r="AP1994" s="673"/>
      <c r="AQ1994" s="673"/>
      <c r="AR1994" s="673"/>
      <c r="AS1994" s="673"/>
    </row>
    <row r="1995">
      <c r="A1995" s="653"/>
      <c r="B1995" s="654"/>
      <c r="C1995" s="655"/>
      <c r="D1995" s="656"/>
      <c r="E1995" s="657"/>
      <c r="F1995" s="658"/>
      <c r="G1995" s="659"/>
      <c r="H1995" s="660"/>
      <c r="I1995" s="659"/>
      <c r="J1995" s="661"/>
      <c r="K1995" s="658"/>
      <c r="L1995" s="662"/>
      <c r="M1995" s="663"/>
      <c r="N1995" s="664"/>
      <c r="O1995" s="665"/>
      <c r="P1995" s="666"/>
      <c r="Q1995" s="667"/>
      <c r="R1995" s="668"/>
      <c r="S1995" s="665"/>
      <c r="T1995" s="669"/>
      <c r="U1995" s="669"/>
      <c r="V1995" s="665"/>
      <c r="W1995" s="670"/>
      <c r="X1995" s="670"/>
      <c r="Y1995" s="671"/>
      <c r="Z1995" s="671"/>
      <c r="AA1995" s="672"/>
      <c r="AB1995" s="673"/>
      <c r="AC1995" s="673"/>
      <c r="AD1995" s="673"/>
      <c r="AE1995" s="673"/>
      <c r="AF1995" s="673"/>
      <c r="AG1995" s="673"/>
      <c r="AH1995" s="673"/>
      <c r="AI1995" s="673"/>
      <c r="AJ1995" s="673"/>
      <c r="AK1995" s="673"/>
      <c r="AL1995" s="673"/>
      <c r="AM1995" s="673"/>
      <c r="AN1995" s="673"/>
      <c r="AO1995" s="673"/>
      <c r="AP1995" s="673"/>
      <c r="AQ1995" s="673"/>
      <c r="AR1995" s="673"/>
      <c r="AS1995" s="673"/>
    </row>
    <row r="1996">
      <c r="A1996" s="653"/>
      <c r="B1996" s="654"/>
      <c r="C1996" s="655"/>
      <c r="D1996" s="656"/>
      <c r="E1996" s="657"/>
      <c r="F1996" s="658"/>
      <c r="G1996" s="659"/>
      <c r="H1996" s="660"/>
      <c r="I1996" s="659"/>
      <c r="J1996" s="661"/>
      <c r="K1996" s="658"/>
      <c r="L1996" s="662"/>
      <c r="M1996" s="663"/>
      <c r="N1996" s="664"/>
      <c r="O1996" s="665"/>
      <c r="P1996" s="666"/>
      <c r="Q1996" s="667"/>
      <c r="R1996" s="668"/>
      <c r="S1996" s="665"/>
      <c r="T1996" s="669"/>
      <c r="U1996" s="669"/>
      <c r="V1996" s="665"/>
      <c r="W1996" s="670"/>
      <c r="X1996" s="670"/>
      <c r="Y1996" s="671"/>
      <c r="Z1996" s="671"/>
      <c r="AA1996" s="672"/>
      <c r="AB1996" s="673"/>
      <c r="AC1996" s="673"/>
      <c r="AD1996" s="673"/>
      <c r="AE1996" s="673"/>
      <c r="AF1996" s="673"/>
      <c r="AG1996" s="673"/>
      <c r="AH1996" s="673"/>
      <c r="AI1996" s="673"/>
      <c r="AJ1996" s="673"/>
      <c r="AK1996" s="673"/>
      <c r="AL1996" s="673"/>
      <c r="AM1996" s="673"/>
      <c r="AN1996" s="673"/>
      <c r="AO1996" s="673"/>
      <c r="AP1996" s="673"/>
      <c r="AQ1996" s="673"/>
      <c r="AR1996" s="673"/>
      <c r="AS1996" s="673"/>
    </row>
    <row r="1997">
      <c r="A1997" s="653"/>
      <c r="B1997" s="654"/>
      <c r="C1997" s="655"/>
      <c r="D1997" s="656"/>
      <c r="E1997" s="657"/>
      <c r="F1997" s="658"/>
      <c r="G1997" s="659"/>
      <c r="H1997" s="660"/>
      <c r="I1997" s="659"/>
      <c r="J1997" s="661"/>
      <c r="K1997" s="658"/>
      <c r="L1997" s="662"/>
      <c r="M1997" s="663"/>
      <c r="N1997" s="664"/>
      <c r="O1997" s="665"/>
      <c r="P1997" s="666"/>
      <c r="Q1997" s="667"/>
      <c r="R1997" s="668"/>
      <c r="S1997" s="665"/>
      <c r="T1997" s="669"/>
      <c r="U1997" s="669"/>
      <c r="V1997" s="665"/>
      <c r="W1997" s="670"/>
      <c r="X1997" s="670"/>
      <c r="Y1997" s="671"/>
      <c r="Z1997" s="671"/>
      <c r="AA1997" s="672"/>
      <c r="AB1997" s="673"/>
      <c r="AC1997" s="673"/>
      <c r="AD1997" s="673"/>
      <c r="AE1997" s="673"/>
      <c r="AF1997" s="673"/>
      <c r="AG1997" s="673"/>
      <c r="AH1997" s="673"/>
      <c r="AI1997" s="673"/>
      <c r="AJ1997" s="673"/>
      <c r="AK1997" s="673"/>
      <c r="AL1997" s="673"/>
      <c r="AM1997" s="673"/>
      <c r="AN1997" s="673"/>
      <c r="AO1997" s="673"/>
      <c r="AP1997" s="673"/>
      <c r="AQ1997" s="673"/>
      <c r="AR1997" s="673"/>
      <c r="AS1997" s="673"/>
    </row>
    <row r="1998">
      <c r="A1998" s="653"/>
      <c r="B1998" s="654"/>
      <c r="C1998" s="655"/>
      <c r="D1998" s="656"/>
      <c r="E1998" s="657"/>
      <c r="F1998" s="658"/>
      <c r="G1998" s="659"/>
      <c r="H1998" s="660"/>
      <c r="I1998" s="659"/>
      <c r="J1998" s="661"/>
      <c r="K1998" s="658"/>
      <c r="L1998" s="662"/>
      <c r="M1998" s="663"/>
      <c r="N1998" s="664"/>
      <c r="O1998" s="665"/>
      <c r="P1998" s="666"/>
      <c r="Q1998" s="667"/>
      <c r="R1998" s="668"/>
      <c r="S1998" s="665"/>
      <c r="T1998" s="669"/>
      <c r="U1998" s="669"/>
      <c r="V1998" s="665"/>
      <c r="W1998" s="670"/>
      <c r="X1998" s="670"/>
      <c r="Y1998" s="671"/>
      <c r="Z1998" s="671"/>
      <c r="AA1998" s="672"/>
      <c r="AB1998" s="673"/>
      <c r="AC1998" s="673"/>
      <c r="AD1998" s="673"/>
      <c r="AE1998" s="673"/>
      <c r="AF1998" s="673"/>
      <c r="AG1998" s="673"/>
      <c r="AH1998" s="673"/>
      <c r="AI1998" s="673"/>
      <c r="AJ1998" s="673"/>
      <c r="AK1998" s="673"/>
      <c r="AL1998" s="673"/>
      <c r="AM1998" s="673"/>
      <c r="AN1998" s="673"/>
      <c r="AO1998" s="673"/>
      <c r="AP1998" s="673"/>
      <c r="AQ1998" s="673"/>
      <c r="AR1998" s="673"/>
      <c r="AS1998" s="673"/>
    </row>
    <row r="1999">
      <c r="A1999" s="653"/>
      <c r="B1999" s="654"/>
      <c r="C1999" s="655"/>
      <c r="D1999" s="656"/>
      <c r="E1999" s="657"/>
      <c r="F1999" s="658"/>
      <c r="G1999" s="659"/>
      <c r="H1999" s="660"/>
      <c r="I1999" s="659"/>
      <c r="J1999" s="661"/>
      <c r="K1999" s="658"/>
      <c r="L1999" s="662"/>
      <c r="M1999" s="663"/>
      <c r="N1999" s="664"/>
      <c r="O1999" s="665"/>
      <c r="P1999" s="666"/>
      <c r="Q1999" s="667"/>
      <c r="R1999" s="668"/>
      <c r="S1999" s="665"/>
      <c r="T1999" s="669"/>
      <c r="U1999" s="669"/>
      <c r="V1999" s="665"/>
      <c r="W1999" s="670"/>
      <c r="X1999" s="670"/>
      <c r="Y1999" s="671"/>
      <c r="Z1999" s="671"/>
      <c r="AA1999" s="672"/>
      <c r="AB1999" s="673"/>
      <c r="AC1999" s="673"/>
      <c r="AD1999" s="673"/>
      <c r="AE1999" s="673"/>
      <c r="AF1999" s="673"/>
      <c r="AG1999" s="673"/>
      <c r="AH1999" s="673"/>
      <c r="AI1999" s="673"/>
      <c r="AJ1999" s="673"/>
      <c r="AK1999" s="673"/>
      <c r="AL1999" s="673"/>
      <c r="AM1999" s="673"/>
      <c r="AN1999" s="673"/>
      <c r="AO1999" s="673"/>
      <c r="AP1999" s="673"/>
      <c r="AQ1999" s="673"/>
      <c r="AR1999" s="673"/>
      <c r="AS1999" s="673"/>
    </row>
    <row r="2000">
      <c r="A2000" s="653"/>
      <c r="B2000" s="654"/>
      <c r="C2000" s="655"/>
      <c r="D2000" s="656"/>
      <c r="E2000" s="657"/>
      <c r="F2000" s="658"/>
      <c r="G2000" s="659"/>
      <c r="H2000" s="660"/>
      <c r="I2000" s="659"/>
      <c r="J2000" s="661"/>
      <c r="K2000" s="658"/>
      <c r="L2000" s="662"/>
      <c r="M2000" s="663"/>
      <c r="N2000" s="664"/>
      <c r="O2000" s="665"/>
      <c r="P2000" s="666"/>
      <c r="Q2000" s="667"/>
      <c r="R2000" s="668"/>
      <c r="S2000" s="665"/>
      <c r="T2000" s="669"/>
      <c r="U2000" s="669"/>
      <c r="V2000" s="665"/>
      <c r="W2000" s="670"/>
      <c r="X2000" s="670"/>
      <c r="Y2000" s="671"/>
      <c r="Z2000" s="671"/>
      <c r="AA2000" s="672"/>
      <c r="AB2000" s="673"/>
      <c r="AC2000" s="673"/>
      <c r="AD2000" s="673"/>
      <c r="AE2000" s="673"/>
      <c r="AF2000" s="673"/>
      <c r="AG2000" s="673"/>
      <c r="AH2000" s="673"/>
      <c r="AI2000" s="673"/>
      <c r="AJ2000" s="673"/>
      <c r="AK2000" s="673"/>
      <c r="AL2000" s="673"/>
      <c r="AM2000" s="673"/>
      <c r="AN2000" s="673"/>
      <c r="AO2000" s="673"/>
      <c r="AP2000" s="673"/>
      <c r="AQ2000" s="673"/>
      <c r="AR2000" s="673"/>
      <c r="AS2000" s="673"/>
    </row>
    <row r="2001">
      <c r="A2001" s="653"/>
      <c r="B2001" s="654"/>
      <c r="C2001" s="655"/>
      <c r="D2001" s="656"/>
      <c r="E2001" s="657"/>
      <c r="F2001" s="658"/>
      <c r="G2001" s="659"/>
      <c r="H2001" s="660"/>
      <c r="I2001" s="659"/>
      <c r="J2001" s="661"/>
      <c r="K2001" s="658"/>
      <c r="L2001" s="662"/>
      <c r="M2001" s="663"/>
      <c r="N2001" s="664"/>
      <c r="O2001" s="665"/>
      <c r="P2001" s="666"/>
      <c r="Q2001" s="667"/>
      <c r="R2001" s="668"/>
      <c r="S2001" s="665"/>
      <c r="T2001" s="669"/>
      <c r="U2001" s="669"/>
      <c r="V2001" s="665"/>
      <c r="W2001" s="670"/>
      <c r="X2001" s="670"/>
      <c r="Y2001" s="671"/>
      <c r="Z2001" s="671"/>
      <c r="AA2001" s="672"/>
      <c r="AB2001" s="673"/>
      <c r="AC2001" s="673"/>
      <c r="AD2001" s="673"/>
      <c r="AE2001" s="673"/>
      <c r="AF2001" s="673"/>
      <c r="AG2001" s="673"/>
      <c r="AH2001" s="673"/>
      <c r="AI2001" s="673"/>
      <c r="AJ2001" s="673"/>
      <c r="AK2001" s="673"/>
      <c r="AL2001" s="673"/>
      <c r="AM2001" s="673"/>
      <c r="AN2001" s="673"/>
      <c r="AO2001" s="673"/>
      <c r="AP2001" s="673"/>
      <c r="AQ2001" s="673"/>
      <c r="AR2001" s="673"/>
      <c r="AS2001" s="673"/>
    </row>
    <row r="2002">
      <c r="A2002" s="653"/>
      <c r="B2002" s="654"/>
      <c r="C2002" s="655"/>
      <c r="D2002" s="656"/>
      <c r="E2002" s="657"/>
      <c r="F2002" s="658"/>
      <c r="G2002" s="659"/>
      <c r="H2002" s="660"/>
      <c r="I2002" s="659"/>
      <c r="J2002" s="661"/>
      <c r="K2002" s="658"/>
      <c r="L2002" s="662"/>
      <c r="M2002" s="663"/>
      <c r="N2002" s="664"/>
      <c r="O2002" s="665"/>
      <c r="P2002" s="666"/>
      <c r="Q2002" s="667"/>
      <c r="R2002" s="668"/>
      <c r="S2002" s="665"/>
      <c r="T2002" s="669"/>
      <c r="U2002" s="669"/>
      <c r="V2002" s="665"/>
      <c r="W2002" s="670"/>
      <c r="X2002" s="670"/>
      <c r="Y2002" s="671"/>
      <c r="Z2002" s="671"/>
      <c r="AA2002" s="672"/>
      <c r="AB2002" s="673"/>
      <c r="AC2002" s="673"/>
      <c r="AD2002" s="673"/>
      <c r="AE2002" s="673"/>
      <c r="AF2002" s="673"/>
      <c r="AG2002" s="673"/>
      <c r="AH2002" s="673"/>
      <c r="AI2002" s="673"/>
      <c r="AJ2002" s="673"/>
      <c r="AK2002" s="673"/>
      <c r="AL2002" s="673"/>
      <c r="AM2002" s="673"/>
      <c r="AN2002" s="673"/>
      <c r="AO2002" s="673"/>
      <c r="AP2002" s="673"/>
      <c r="AQ2002" s="673"/>
      <c r="AR2002" s="673"/>
      <c r="AS2002" s="673"/>
    </row>
    <row r="2003">
      <c r="A2003" s="653"/>
      <c r="B2003" s="654"/>
      <c r="C2003" s="655"/>
      <c r="D2003" s="656"/>
      <c r="E2003" s="657"/>
      <c r="F2003" s="658"/>
      <c r="G2003" s="659"/>
      <c r="H2003" s="660"/>
      <c r="I2003" s="659"/>
      <c r="J2003" s="661"/>
      <c r="K2003" s="658"/>
      <c r="L2003" s="662"/>
      <c r="M2003" s="663"/>
      <c r="N2003" s="664"/>
      <c r="O2003" s="665"/>
      <c r="P2003" s="666"/>
      <c r="Q2003" s="667"/>
      <c r="R2003" s="668"/>
      <c r="S2003" s="665"/>
      <c r="T2003" s="669"/>
      <c r="U2003" s="669"/>
      <c r="V2003" s="665"/>
      <c r="W2003" s="670"/>
      <c r="X2003" s="670"/>
      <c r="Y2003" s="671"/>
      <c r="Z2003" s="671"/>
      <c r="AA2003" s="672"/>
      <c r="AB2003" s="673"/>
      <c r="AC2003" s="673"/>
      <c r="AD2003" s="673"/>
      <c r="AE2003" s="673"/>
      <c r="AF2003" s="673"/>
      <c r="AG2003" s="673"/>
      <c r="AH2003" s="673"/>
      <c r="AI2003" s="673"/>
      <c r="AJ2003" s="673"/>
      <c r="AK2003" s="673"/>
      <c r="AL2003" s="673"/>
      <c r="AM2003" s="673"/>
      <c r="AN2003" s="673"/>
      <c r="AO2003" s="673"/>
      <c r="AP2003" s="673"/>
      <c r="AQ2003" s="673"/>
      <c r="AR2003" s="673"/>
      <c r="AS2003" s="673"/>
    </row>
    <row r="2004">
      <c r="A2004" s="653"/>
      <c r="B2004" s="654"/>
      <c r="C2004" s="655"/>
      <c r="D2004" s="656"/>
      <c r="E2004" s="657"/>
      <c r="F2004" s="658"/>
      <c r="G2004" s="659"/>
      <c r="H2004" s="660"/>
      <c r="I2004" s="659"/>
      <c r="J2004" s="661"/>
      <c r="K2004" s="658"/>
      <c r="L2004" s="662"/>
      <c r="M2004" s="663"/>
      <c r="N2004" s="664"/>
      <c r="O2004" s="665"/>
      <c r="P2004" s="666"/>
      <c r="Q2004" s="667"/>
      <c r="R2004" s="668"/>
      <c r="S2004" s="665"/>
      <c r="T2004" s="669"/>
      <c r="U2004" s="669"/>
      <c r="V2004" s="665"/>
      <c r="W2004" s="670"/>
      <c r="X2004" s="670"/>
      <c r="Y2004" s="671"/>
      <c r="Z2004" s="671"/>
      <c r="AA2004" s="672"/>
      <c r="AB2004" s="673"/>
      <c r="AC2004" s="673"/>
      <c r="AD2004" s="673"/>
      <c r="AE2004" s="673"/>
      <c r="AF2004" s="673"/>
      <c r="AG2004" s="673"/>
      <c r="AH2004" s="673"/>
      <c r="AI2004" s="673"/>
      <c r="AJ2004" s="673"/>
      <c r="AK2004" s="673"/>
      <c r="AL2004" s="673"/>
      <c r="AM2004" s="673"/>
      <c r="AN2004" s="673"/>
      <c r="AO2004" s="673"/>
      <c r="AP2004" s="673"/>
      <c r="AQ2004" s="673"/>
      <c r="AR2004" s="673"/>
      <c r="AS2004" s="673"/>
    </row>
    <row r="2005">
      <c r="A2005" s="653"/>
      <c r="B2005" s="654"/>
      <c r="C2005" s="655"/>
      <c r="D2005" s="656"/>
      <c r="E2005" s="657"/>
      <c r="F2005" s="658"/>
      <c r="G2005" s="659"/>
      <c r="H2005" s="660"/>
      <c r="I2005" s="659"/>
      <c r="J2005" s="661"/>
      <c r="K2005" s="658"/>
      <c r="L2005" s="662"/>
      <c r="M2005" s="663"/>
      <c r="N2005" s="664"/>
      <c r="O2005" s="665"/>
      <c r="P2005" s="666"/>
      <c r="Q2005" s="667"/>
      <c r="R2005" s="668"/>
      <c r="S2005" s="665"/>
      <c r="T2005" s="669"/>
      <c r="U2005" s="669"/>
      <c r="V2005" s="665"/>
      <c r="W2005" s="670"/>
      <c r="X2005" s="670"/>
      <c r="Y2005" s="671"/>
      <c r="Z2005" s="671"/>
      <c r="AA2005" s="672"/>
      <c r="AB2005" s="673"/>
      <c r="AC2005" s="673"/>
      <c r="AD2005" s="673"/>
      <c r="AE2005" s="673"/>
      <c r="AF2005" s="673"/>
      <c r="AG2005" s="673"/>
      <c r="AH2005" s="673"/>
      <c r="AI2005" s="673"/>
      <c r="AJ2005" s="673"/>
      <c r="AK2005" s="673"/>
      <c r="AL2005" s="673"/>
      <c r="AM2005" s="673"/>
      <c r="AN2005" s="673"/>
      <c r="AO2005" s="673"/>
      <c r="AP2005" s="673"/>
      <c r="AQ2005" s="673"/>
      <c r="AR2005" s="673"/>
      <c r="AS2005" s="673"/>
    </row>
    <row r="2006">
      <c r="A2006" s="653"/>
      <c r="B2006" s="654"/>
      <c r="C2006" s="655"/>
      <c r="D2006" s="656"/>
      <c r="E2006" s="657"/>
      <c r="F2006" s="658"/>
      <c r="G2006" s="659"/>
      <c r="H2006" s="660"/>
      <c r="I2006" s="659"/>
      <c r="J2006" s="661"/>
      <c r="K2006" s="658"/>
      <c r="L2006" s="662"/>
      <c r="M2006" s="663"/>
      <c r="N2006" s="664"/>
      <c r="O2006" s="665"/>
      <c r="P2006" s="666"/>
      <c r="Q2006" s="667"/>
      <c r="R2006" s="668"/>
      <c r="S2006" s="665"/>
      <c r="T2006" s="669"/>
      <c r="U2006" s="669"/>
      <c r="V2006" s="665"/>
      <c r="W2006" s="670"/>
      <c r="X2006" s="670"/>
      <c r="Y2006" s="671"/>
      <c r="Z2006" s="671"/>
      <c r="AA2006" s="672"/>
      <c r="AB2006" s="673"/>
      <c r="AC2006" s="673"/>
      <c r="AD2006" s="673"/>
      <c r="AE2006" s="673"/>
      <c r="AF2006" s="673"/>
      <c r="AG2006" s="673"/>
      <c r="AH2006" s="673"/>
      <c r="AI2006" s="673"/>
      <c r="AJ2006" s="673"/>
      <c r="AK2006" s="673"/>
      <c r="AL2006" s="673"/>
      <c r="AM2006" s="673"/>
      <c r="AN2006" s="673"/>
      <c r="AO2006" s="673"/>
      <c r="AP2006" s="673"/>
      <c r="AQ2006" s="673"/>
      <c r="AR2006" s="673"/>
      <c r="AS2006" s="673"/>
    </row>
    <row r="2007">
      <c r="A2007" s="653"/>
      <c r="B2007" s="654"/>
      <c r="C2007" s="655"/>
      <c r="D2007" s="656"/>
      <c r="E2007" s="657"/>
      <c r="F2007" s="658"/>
      <c r="G2007" s="659"/>
      <c r="H2007" s="660"/>
      <c r="I2007" s="659"/>
      <c r="J2007" s="661"/>
      <c r="K2007" s="658"/>
      <c r="L2007" s="662"/>
      <c r="M2007" s="663"/>
      <c r="N2007" s="664"/>
      <c r="O2007" s="665"/>
      <c r="P2007" s="666"/>
      <c r="Q2007" s="667"/>
      <c r="R2007" s="668"/>
      <c r="S2007" s="665"/>
      <c r="T2007" s="669"/>
      <c r="U2007" s="669"/>
      <c r="V2007" s="665"/>
      <c r="W2007" s="670"/>
      <c r="X2007" s="670"/>
      <c r="Y2007" s="671"/>
      <c r="Z2007" s="671"/>
      <c r="AA2007" s="672"/>
      <c r="AB2007" s="673"/>
      <c r="AC2007" s="673"/>
      <c r="AD2007" s="673"/>
      <c r="AE2007" s="673"/>
      <c r="AF2007" s="673"/>
      <c r="AG2007" s="673"/>
      <c r="AH2007" s="673"/>
      <c r="AI2007" s="673"/>
      <c r="AJ2007" s="673"/>
      <c r="AK2007" s="673"/>
      <c r="AL2007" s="673"/>
      <c r="AM2007" s="673"/>
      <c r="AN2007" s="673"/>
      <c r="AO2007" s="673"/>
      <c r="AP2007" s="673"/>
      <c r="AQ2007" s="673"/>
      <c r="AR2007" s="673"/>
      <c r="AS2007" s="673"/>
    </row>
    <row r="2008">
      <c r="A2008" s="653"/>
      <c r="B2008" s="654"/>
      <c r="C2008" s="655"/>
      <c r="D2008" s="656"/>
      <c r="E2008" s="657"/>
      <c r="F2008" s="658"/>
      <c r="G2008" s="659"/>
      <c r="H2008" s="660"/>
      <c r="I2008" s="659"/>
      <c r="J2008" s="661"/>
      <c r="K2008" s="658"/>
      <c r="L2008" s="662"/>
      <c r="M2008" s="663"/>
      <c r="N2008" s="664"/>
      <c r="O2008" s="665"/>
      <c r="P2008" s="666"/>
      <c r="Q2008" s="667"/>
      <c r="R2008" s="668"/>
      <c r="S2008" s="665"/>
      <c r="T2008" s="669"/>
      <c r="U2008" s="669"/>
      <c r="V2008" s="665"/>
      <c r="W2008" s="670"/>
      <c r="X2008" s="670"/>
      <c r="Y2008" s="671"/>
      <c r="Z2008" s="671"/>
      <c r="AA2008" s="672"/>
      <c r="AB2008" s="673"/>
      <c r="AC2008" s="673"/>
      <c r="AD2008" s="673"/>
      <c r="AE2008" s="673"/>
      <c r="AF2008" s="673"/>
      <c r="AG2008" s="673"/>
      <c r="AH2008" s="673"/>
      <c r="AI2008" s="673"/>
      <c r="AJ2008" s="673"/>
      <c r="AK2008" s="673"/>
      <c r="AL2008" s="673"/>
      <c r="AM2008" s="673"/>
      <c r="AN2008" s="673"/>
      <c r="AO2008" s="673"/>
      <c r="AP2008" s="673"/>
      <c r="AQ2008" s="673"/>
      <c r="AR2008" s="673"/>
      <c r="AS2008" s="673"/>
    </row>
    <row r="2009">
      <c r="A2009" s="653"/>
      <c r="B2009" s="654"/>
      <c r="C2009" s="655"/>
      <c r="D2009" s="656"/>
      <c r="E2009" s="657"/>
      <c r="F2009" s="658"/>
      <c r="G2009" s="659"/>
      <c r="H2009" s="660"/>
      <c r="I2009" s="659"/>
      <c r="J2009" s="661"/>
      <c r="K2009" s="658"/>
      <c r="L2009" s="662"/>
      <c r="M2009" s="663"/>
      <c r="N2009" s="664"/>
      <c r="O2009" s="665"/>
      <c r="P2009" s="666"/>
      <c r="Q2009" s="667"/>
      <c r="R2009" s="668"/>
      <c r="S2009" s="665"/>
      <c r="T2009" s="669"/>
      <c r="U2009" s="669"/>
      <c r="V2009" s="665"/>
      <c r="W2009" s="670"/>
      <c r="X2009" s="670"/>
      <c r="Y2009" s="671"/>
      <c r="Z2009" s="671"/>
      <c r="AA2009" s="672"/>
      <c r="AB2009" s="673"/>
      <c r="AC2009" s="673"/>
      <c r="AD2009" s="673"/>
      <c r="AE2009" s="673"/>
      <c r="AF2009" s="673"/>
      <c r="AG2009" s="673"/>
      <c r="AH2009" s="673"/>
      <c r="AI2009" s="673"/>
      <c r="AJ2009" s="673"/>
      <c r="AK2009" s="673"/>
      <c r="AL2009" s="673"/>
      <c r="AM2009" s="673"/>
      <c r="AN2009" s="673"/>
      <c r="AO2009" s="673"/>
      <c r="AP2009" s="673"/>
      <c r="AQ2009" s="673"/>
      <c r="AR2009" s="673"/>
      <c r="AS2009" s="673"/>
    </row>
    <row r="2010">
      <c r="A2010" s="653"/>
      <c r="B2010" s="654"/>
      <c r="C2010" s="655"/>
      <c r="D2010" s="656"/>
      <c r="E2010" s="657"/>
      <c r="F2010" s="658"/>
      <c r="G2010" s="659"/>
      <c r="H2010" s="660"/>
      <c r="I2010" s="659"/>
      <c r="J2010" s="661"/>
      <c r="K2010" s="658"/>
      <c r="L2010" s="662"/>
      <c r="M2010" s="663"/>
      <c r="N2010" s="664"/>
      <c r="O2010" s="665"/>
      <c r="P2010" s="666"/>
      <c r="Q2010" s="667"/>
      <c r="R2010" s="668"/>
      <c r="S2010" s="665"/>
      <c r="T2010" s="669"/>
      <c r="U2010" s="669"/>
      <c r="V2010" s="665"/>
      <c r="W2010" s="670"/>
      <c r="X2010" s="670"/>
      <c r="Y2010" s="671"/>
      <c r="Z2010" s="671"/>
      <c r="AA2010" s="672"/>
      <c r="AB2010" s="673"/>
      <c r="AC2010" s="673"/>
      <c r="AD2010" s="673"/>
      <c r="AE2010" s="673"/>
      <c r="AF2010" s="673"/>
      <c r="AG2010" s="673"/>
      <c r="AH2010" s="673"/>
      <c r="AI2010" s="673"/>
      <c r="AJ2010" s="673"/>
      <c r="AK2010" s="673"/>
      <c r="AL2010" s="673"/>
      <c r="AM2010" s="673"/>
      <c r="AN2010" s="673"/>
      <c r="AO2010" s="673"/>
      <c r="AP2010" s="673"/>
      <c r="AQ2010" s="673"/>
      <c r="AR2010" s="673"/>
      <c r="AS2010" s="673"/>
    </row>
    <row r="2011">
      <c r="A2011" s="653"/>
      <c r="B2011" s="654"/>
      <c r="C2011" s="655"/>
      <c r="D2011" s="656"/>
      <c r="E2011" s="657"/>
      <c r="F2011" s="658"/>
      <c r="G2011" s="659"/>
      <c r="H2011" s="660"/>
      <c r="I2011" s="659"/>
      <c r="J2011" s="661"/>
      <c r="K2011" s="658"/>
      <c r="L2011" s="662"/>
      <c r="M2011" s="663"/>
      <c r="N2011" s="664"/>
      <c r="O2011" s="665"/>
      <c r="P2011" s="666"/>
      <c r="Q2011" s="667"/>
      <c r="R2011" s="668"/>
      <c r="S2011" s="665"/>
      <c r="T2011" s="669"/>
      <c r="U2011" s="669"/>
      <c r="V2011" s="665"/>
      <c r="W2011" s="670"/>
      <c r="X2011" s="670"/>
      <c r="Y2011" s="671"/>
      <c r="Z2011" s="671"/>
      <c r="AA2011" s="672"/>
      <c r="AB2011" s="673"/>
      <c r="AC2011" s="673"/>
      <c r="AD2011" s="673"/>
      <c r="AE2011" s="673"/>
      <c r="AF2011" s="673"/>
      <c r="AG2011" s="673"/>
      <c r="AH2011" s="673"/>
      <c r="AI2011" s="673"/>
      <c r="AJ2011" s="673"/>
      <c r="AK2011" s="673"/>
      <c r="AL2011" s="673"/>
      <c r="AM2011" s="673"/>
      <c r="AN2011" s="673"/>
      <c r="AO2011" s="673"/>
      <c r="AP2011" s="673"/>
      <c r="AQ2011" s="673"/>
      <c r="AR2011" s="673"/>
      <c r="AS2011" s="673"/>
    </row>
    <row r="2012">
      <c r="A2012" s="653"/>
      <c r="B2012" s="654"/>
      <c r="C2012" s="655"/>
      <c r="D2012" s="656"/>
      <c r="E2012" s="657"/>
      <c r="F2012" s="658"/>
      <c r="G2012" s="659"/>
      <c r="H2012" s="660"/>
      <c r="I2012" s="659"/>
      <c r="J2012" s="661"/>
      <c r="K2012" s="658"/>
      <c r="L2012" s="662"/>
      <c r="M2012" s="663"/>
      <c r="N2012" s="664"/>
      <c r="O2012" s="665"/>
      <c r="P2012" s="666"/>
      <c r="Q2012" s="667"/>
      <c r="R2012" s="668"/>
      <c r="S2012" s="665"/>
      <c r="T2012" s="669"/>
      <c r="U2012" s="669"/>
      <c r="V2012" s="665"/>
      <c r="W2012" s="670"/>
      <c r="X2012" s="670"/>
      <c r="Y2012" s="671"/>
      <c r="Z2012" s="671"/>
      <c r="AA2012" s="672"/>
      <c r="AB2012" s="673"/>
      <c r="AC2012" s="673"/>
      <c r="AD2012" s="673"/>
      <c r="AE2012" s="673"/>
      <c r="AF2012" s="673"/>
      <c r="AG2012" s="673"/>
      <c r="AH2012" s="673"/>
      <c r="AI2012" s="673"/>
      <c r="AJ2012" s="673"/>
      <c r="AK2012" s="673"/>
      <c r="AL2012" s="673"/>
      <c r="AM2012" s="673"/>
      <c r="AN2012" s="673"/>
      <c r="AO2012" s="673"/>
      <c r="AP2012" s="673"/>
      <c r="AQ2012" s="673"/>
      <c r="AR2012" s="673"/>
      <c r="AS2012" s="673"/>
    </row>
    <row r="2013">
      <c r="A2013" s="653"/>
      <c r="B2013" s="654"/>
      <c r="C2013" s="655"/>
      <c r="D2013" s="656"/>
      <c r="E2013" s="657"/>
      <c r="F2013" s="658"/>
      <c r="G2013" s="659"/>
      <c r="H2013" s="660"/>
      <c r="I2013" s="659"/>
      <c r="J2013" s="661"/>
      <c r="K2013" s="658"/>
      <c r="L2013" s="662"/>
      <c r="M2013" s="663"/>
      <c r="N2013" s="664"/>
      <c r="O2013" s="665"/>
      <c r="P2013" s="666"/>
      <c r="Q2013" s="667"/>
      <c r="R2013" s="668"/>
      <c r="S2013" s="665"/>
      <c r="T2013" s="669"/>
      <c r="U2013" s="669"/>
      <c r="V2013" s="665"/>
      <c r="W2013" s="670"/>
      <c r="X2013" s="670"/>
      <c r="Y2013" s="671"/>
      <c r="Z2013" s="671"/>
      <c r="AA2013" s="672"/>
      <c r="AB2013" s="673"/>
      <c r="AC2013" s="673"/>
      <c r="AD2013" s="673"/>
      <c r="AE2013" s="673"/>
      <c r="AF2013" s="673"/>
      <c r="AG2013" s="673"/>
      <c r="AH2013" s="673"/>
      <c r="AI2013" s="673"/>
      <c r="AJ2013" s="673"/>
      <c r="AK2013" s="673"/>
      <c r="AL2013" s="673"/>
      <c r="AM2013" s="673"/>
      <c r="AN2013" s="673"/>
      <c r="AO2013" s="673"/>
      <c r="AP2013" s="673"/>
      <c r="AQ2013" s="673"/>
      <c r="AR2013" s="673"/>
      <c r="AS2013" s="673"/>
    </row>
    <row r="2014">
      <c r="A2014" s="653"/>
      <c r="B2014" s="654"/>
      <c r="C2014" s="655"/>
      <c r="D2014" s="656"/>
      <c r="E2014" s="657"/>
      <c r="F2014" s="658"/>
      <c r="G2014" s="659"/>
      <c r="H2014" s="660"/>
      <c r="I2014" s="659"/>
      <c r="J2014" s="661"/>
      <c r="K2014" s="658"/>
      <c r="L2014" s="662"/>
      <c r="M2014" s="663"/>
      <c r="N2014" s="664"/>
      <c r="O2014" s="665"/>
      <c r="P2014" s="666"/>
      <c r="Q2014" s="667"/>
      <c r="R2014" s="668"/>
      <c r="S2014" s="665"/>
      <c r="T2014" s="669"/>
      <c r="U2014" s="669"/>
      <c r="V2014" s="665"/>
      <c r="W2014" s="670"/>
      <c r="X2014" s="670"/>
      <c r="Y2014" s="671"/>
      <c r="Z2014" s="671"/>
      <c r="AA2014" s="672"/>
      <c r="AB2014" s="673"/>
      <c r="AC2014" s="673"/>
      <c r="AD2014" s="673"/>
      <c r="AE2014" s="673"/>
      <c r="AF2014" s="673"/>
      <c r="AG2014" s="673"/>
      <c r="AH2014" s="673"/>
      <c r="AI2014" s="673"/>
      <c r="AJ2014" s="673"/>
      <c r="AK2014" s="673"/>
      <c r="AL2014" s="673"/>
      <c r="AM2014" s="673"/>
      <c r="AN2014" s="673"/>
      <c r="AO2014" s="673"/>
      <c r="AP2014" s="673"/>
      <c r="AQ2014" s="673"/>
      <c r="AR2014" s="673"/>
      <c r="AS2014" s="673"/>
    </row>
    <row r="2015">
      <c r="A2015" s="653"/>
      <c r="B2015" s="654"/>
      <c r="C2015" s="655"/>
      <c r="D2015" s="656"/>
      <c r="E2015" s="657"/>
      <c r="F2015" s="658"/>
      <c r="G2015" s="659"/>
      <c r="H2015" s="660"/>
      <c r="I2015" s="659"/>
      <c r="J2015" s="661"/>
      <c r="K2015" s="658"/>
      <c r="L2015" s="662"/>
      <c r="M2015" s="663"/>
      <c r="N2015" s="664"/>
      <c r="O2015" s="665"/>
      <c r="P2015" s="666"/>
      <c r="Q2015" s="667"/>
      <c r="R2015" s="668"/>
      <c r="S2015" s="665"/>
      <c r="T2015" s="669"/>
      <c r="U2015" s="669"/>
      <c r="V2015" s="665"/>
      <c r="W2015" s="670"/>
      <c r="X2015" s="670"/>
      <c r="Y2015" s="671"/>
      <c r="Z2015" s="671"/>
      <c r="AA2015" s="672"/>
      <c r="AB2015" s="673"/>
      <c r="AC2015" s="673"/>
      <c r="AD2015" s="673"/>
      <c r="AE2015" s="673"/>
      <c r="AF2015" s="673"/>
      <c r="AG2015" s="673"/>
      <c r="AH2015" s="673"/>
      <c r="AI2015" s="673"/>
      <c r="AJ2015" s="673"/>
      <c r="AK2015" s="673"/>
      <c r="AL2015" s="673"/>
      <c r="AM2015" s="673"/>
      <c r="AN2015" s="673"/>
      <c r="AO2015" s="673"/>
      <c r="AP2015" s="673"/>
      <c r="AQ2015" s="673"/>
      <c r="AR2015" s="673"/>
      <c r="AS2015" s="673"/>
    </row>
    <row r="2016">
      <c r="A2016" s="653"/>
      <c r="B2016" s="654"/>
      <c r="C2016" s="655"/>
      <c r="D2016" s="656"/>
      <c r="E2016" s="657"/>
      <c r="F2016" s="658"/>
      <c r="G2016" s="659"/>
      <c r="H2016" s="660"/>
      <c r="I2016" s="659"/>
      <c r="J2016" s="661"/>
      <c r="K2016" s="658"/>
      <c r="L2016" s="662"/>
      <c r="M2016" s="663"/>
      <c r="N2016" s="664"/>
      <c r="O2016" s="665"/>
      <c r="P2016" s="666"/>
      <c r="Q2016" s="667"/>
      <c r="R2016" s="668"/>
      <c r="S2016" s="665"/>
      <c r="T2016" s="669"/>
      <c r="U2016" s="669"/>
      <c r="V2016" s="665"/>
      <c r="W2016" s="670"/>
      <c r="X2016" s="670"/>
      <c r="Y2016" s="671"/>
      <c r="Z2016" s="671"/>
      <c r="AA2016" s="672"/>
      <c r="AB2016" s="673"/>
      <c r="AC2016" s="673"/>
      <c r="AD2016" s="673"/>
      <c r="AE2016" s="673"/>
      <c r="AF2016" s="673"/>
      <c r="AG2016" s="673"/>
      <c r="AH2016" s="673"/>
      <c r="AI2016" s="673"/>
      <c r="AJ2016" s="673"/>
      <c r="AK2016" s="673"/>
      <c r="AL2016" s="673"/>
      <c r="AM2016" s="673"/>
      <c r="AN2016" s="673"/>
      <c r="AO2016" s="673"/>
      <c r="AP2016" s="673"/>
      <c r="AQ2016" s="673"/>
      <c r="AR2016" s="673"/>
      <c r="AS2016" s="673"/>
    </row>
    <row r="2017">
      <c r="A2017" s="653"/>
      <c r="B2017" s="654"/>
      <c r="C2017" s="655"/>
      <c r="D2017" s="656"/>
      <c r="E2017" s="657"/>
      <c r="F2017" s="658"/>
      <c r="G2017" s="659"/>
      <c r="H2017" s="660"/>
      <c r="I2017" s="659"/>
      <c r="J2017" s="661"/>
      <c r="K2017" s="658"/>
      <c r="L2017" s="662"/>
      <c r="M2017" s="663"/>
      <c r="N2017" s="664"/>
      <c r="O2017" s="665"/>
      <c r="P2017" s="666"/>
      <c r="Q2017" s="667"/>
      <c r="R2017" s="668"/>
      <c r="S2017" s="665"/>
      <c r="T2017" s="669"/>
      <c r="U2017" s="669"/>
      <c r="V2017" s="665"/>
      <c r="W2017" s="670"/>
      <c r="X2017" s="670"/>
      <c r="Y2017" s="671"/>
      <c r="Z2017" s="671"/>
      <c r="AA2017" s="672"/>
      <c r="AB2017" s="673"/>
      <c r="AC2017" s="673"/>
      <c r="AD2017" s="673"/>
      <c r="AE2017" s="673"/>
      <c r="AF2017" s="673"/>
      <c r="AG2017" s="673"/>
      <c r="AH2017" s="673"/>
      <c r="AI2017" s="673"/>
      <c r="AJ2017" s="673"/>
      <c r="AK2017" s="673"/>
      <c r="AL2017" s="673"/>
      <c r="AM2017" s="673"/>
      <c r="AN2017" s="673"/>
      <c r="AO2017" s="673"/>
      <c r="AP2017" s="673"/>
      <c r="AQ2017" s="673"/>
      <c r="AR2017" s="673"/>
      <c r="AS2017" s="673"/>
    </row>
    <row r="2018">
      <c r="A2018" s="653"/>
      <c r="B2018" s="654"/>
      <c r="C2018" s="655"/>
      <c r="D2018" s="656"/>
      <c r="E2018" s="657"/>
      <c r="F2018" s="658"/>
      <c r="G2018" s="659"/>
      <c r="H2018" s="660"/>
      <c r="I2018" s="659"/>
      <c r="J2018" s="661"/>
      <c r="K2018" s="658"/>
      <c r="L2018" s="662"/>
      <c r="M2018" s="663"/>
      <c r="N2018" s="664"/>
      <c r="O2018" s="665"/>
      <c r="P2018" s="666"/>
      <c r="Q2018" s="667"/>
      <c r="R2018" s="668"/>
      <c r="S2018" s="665"/>
      <c r="T2018" s="669"/>
      <c r="U2018" s="669"/>
      <c r="V2018" s="665"/>
      <c r="W2018" s="670"/>
      <c r="X2018" s="670"/>
      <c r="Y2018" s="671"/>
      <c r="Z2018" s="671"/>
      <c r="AA2018" s="672"/>
      <c r="AB2018" s="673"/>
      <c r="AC2018" s="673"/>
      <c r="AD2018" s="673"/>
      <c r="AE2018" s="673"/>
      <c r="AF2018" s="673"/>
      <c r="AG2018" s="673"/>
      <c r="AH2018" s="673"/>
      <c r="AI2018" s="673"/>
      <c r="AJ2018" s="673"/>
      <c r="AK2018" s="673"/>
      <c r="AL2018" s="673"/>
      <c r="AM2018" s="673"/>
      <c r="AN2018" s="673"/>
      <c r="AO2018" s="673"/>
      <c r="AP2018" s="673"/>
      <c r="AQ2018" s="673"/>
      <c r="AR2018" s="673"/>
      <c r="AS2018" s="673"/>
    </row>
    <row r="2019">
      <c r="A2019" s="653"/>
      <c r="B2019" s="654"/>
      <c r="C2019" s="655"/>
      <c r="D2019" s="656"/>
      <c r="E2019" s="657"/>
      <c r="F2019" s="658"/>
      <c r="G2019" s="659"/>
      <c r="H2019" s="660"/>
      <c r="I2019" s="659"/>
      <c r="J2019" s="661"/>
      <c r="K2019" s="658"/>
      <c r="L2019" s="662"/>
      <c r="M2019" s="663"/>
      <c r="N2019" s="664"/>
      <c r="O2019" s="665"/>
      <c r="P2019" s="666"/>
      <c r="Q2019" s="667"/>
      <c r="R2019" s="668"/>
      <c r="S2019" s="665"/>
      <c r="T2019" s="669"/>
      <c r="U2019" s="669"/>
      <c r="V2019" s="665"/>
      <c r="W2019" s="670"/>
      <c r="X2019" s="670"/>
      <c r="Y2019" s="671"/>
      <c r="Z2019" s="671"/>
      <c r="AA2019" s="672"/>
      <c r="AB2019" s="673"/>
      <c r="AC2019" s="673"/>
      <c r="AD2019" s="673"/>
      <c r="AE2019" s="673"/>
      <c r="AF2019" s="673"/>
      <c r="AG2019" s="673"/>
      <c r="AH2019" s="673"/>
      <c r="AI2019" s="673"/>
      <c r="AJ2019" s="673"/>
      <c r="AK2019" s="673"/>
      <c r="AL2019" s="673"/>
      <c r="AM2019" s="673"/>
      <c r="AN2019" s="673"/>
      <c r="AO2019" s="673"/>
      <c r="AP2019" s="673"/>
      <c r="AQ2019" s="673"/>
      <c r="AR2019" s="673"/>
      <c r="AS2019" s="673"/>
    </row>
    <row r="2020">
      <c r="A2020" s="653"/>
      <c r="B2020" s="654"/>
      <c r="C2020" s="655"/>
      <c r="D2020" s="656"/>
      <c r="E2020" s="657"/>
      <c r="F2020" s="658"/>
      <c r="G2020" s="659"/>
      <c r="H2020" s="660"/>
      <c r="I2020" s="659"/>
      <c r="J2020" s="661"/>
      <c r="K2020" s="658"/>
      <c r="L2020" s="662"/>
      <c r="M2020" s="663"/>
      <c r="N2020" s="664"/>
      <c r="O2020" s="665"/>
      <c r="P2020" s="666"/>
      <c r="Q2020" s="667"/>
      <c r="R2020" s="668"/>
      <c r="S2020" s="665"/>
      <c r="T2020" s="669"/>
      <c r="U2020" s="669"/>
      <c r="V2020" s="665"/>
      <c r="W2020" s="670"/>
      <c r="X2020" s="670"/>
      <c r="Y2020" s="671"/>
      <c r="Z2020" s="671"/>
      <c r="AA2020" s="672"/>
      <c r="AB2020" s="673"/>
      <c r="AC2020" s="673"/>
      <c r="AD2020" s="673"/>
      <c r="AE2020" s="673"/>
      <c r="AF2020" s="673"/>
      <c r="AG2020" s="673"/>
      <c r="AH2020" s="673"/>
      <c r="AI2020" s="673"/>
      <c r="AJ2020" s="673"/>
      <c r="AK2020" s="673"/>
      <c r="AL2020" s="673"/>
      <c r="AM2020" s="673"/>
      <c r="AN2020" s="673"/>
      <c r="AO2020" s="673"/>
      <c r="AP2020" s="673"/>
      <c r="AQ2020" s="673"/>
      <c r="AR2020" s="673"/>
      <c r="AS2020" s="673"/>
    </row>
    <row r="2021">
      <c r="A2021" s="653"/>
      <c r="B2021" s="654"/>
      <c r="C2021" s="655"/>
      <c r="D2021" s="656"/>
      <c r="E2021" s="657"/>
      <c r="F2021" s="658"/>
      <c r="G2021" s="659"/>
      <c r="H2021" s="660"/>
      <c r="I2021" s="659"/>
      <c r="J2021" s="661"/>
      <c r="K2021" s="658"/>
      <c r="L2021" s="662"/>
      <c r="M2021" s="663"/>
      <c r="N2021" s="664"/>
      <c r="O2021" s="665"/>
      <c r="P2021" s="666"/>
      <c r="Q2021" s="667"/>
      <c r="R2021" s="668"/>
      <c r="S2021" s="665"/>
      <c r="T2021" s="669"/>
      <c r="U2021" s="669"/>
      <c r="V2021" s="665"/>
      <c r="W2021" s="670"/>
      <c r="X2021" s="670"/>
      <c r="Y2021" s="671"/>
      <c r="Z2021" s="671"/>
      <c r="AA2021" s="672"/>
      <c r="AB2021" s="673"/>
      <c r="AC2021" s="673"/>
      <c r="AD2021" s="673"/>
      <c r="AE2021" s="673"/>
      <c r="AF2021" s="673"/>
      <c r="AG2021" s="673"/>
      <c r="AH2021" s="673"/>
      <c r="AI2021" s="673"/>
      <c r="AJ2021" s="673"/>
      <c r="AK2021" s="673"/>
      <c r="AL2021" s="673"/>
      <c r="AM2021" s="673"/>
      <c r="AN2021" s="673"/>
      <c r="AO2021" s="673"/>
      <c r="AP2021" s="673"/>
      <c r="AQ2021" s="673"/>
      <c r="AR2021" s="673"/>
      <c r="AS2021" s="673"/>
    </row>
    <row r="2022">
      <c r="A2022" s="653"/>
      <c r="B2022" s="654"/>
      <c r="C2022" s="655"/>
      <c r="D2022" s="656"/>
      <c r="E2022" s="657"/>
      <c r="F2022" s="658"/>
      <c r="G2022" s="659"/>
      <c r="H2022" s="660"/>
      <c r="I2022" s="659"/>
      <c r="J2022" s="661"/>
      <c r="K2022" s="658"/>
      <c r="L2022" s="662"/>
      <c r="M2022" s="663"/>
      <c r="N2022" s="664"/>
      <c r="O2022" s="665"/>
      <c r="P2022" s="666"/>
      <c r="Q2022" s="667"/>
      <c r="R2022" s="668"/>
      <c r="S2022" s="665"/>
      <c r="T2022" s="669"/>
      <c r="U2022" s="669"/>
      <c r="V2022" s="665"/>
      <c r="W2022" s="670"/>
      <c r="X2022" s="670"/>
      <c r="Y2022" s="671"/>
      <c r="Z2022" s="671"/>
      <c r="AA2022" s="672"/>
      <c r="AB2022" s="673"/>
      <c r="AC2022" s="673"/>
      <c r="AD2022" s="673"/>
      <c r="AE2022" s="673"/>
      <c r="AF2022" s="673"/>
      <c r="AG2022" s="673"/>
      <c r="AH2022" s="673"/>
      <c r="AI2022" s="673"/>
      <c r="AJ2022" s="673"/>
      <c r="AK2022" s="673"/>
      <c r="AL2022" s="673"/>
      <c r="AM2022" s="673"/>
      <c r="AN2022" s="673"/>
      <c r="AO2022" s="673"/>
      <c r="AP2022" s="673"/>
      <c r="AQ2022" s="673"/>
      <c r="AR2022" s="673"/>
      <c r="AS2022" s="673"/>
    </row>
    <row r="2023">
      <c r="A2023" s="653"/>
      <c r="B2023" s="654"/>
      <c r="C2023" s="655"/>
      <c r="D2023" s="656"/>
      <c r="E2023" s="657"/>
      <c r="F2023" s="658"/>
      <c r="G2023" s="659"/>
      <c r="H2023" s="660"/>
      <c r="I2023" s="659"/>
      <c r="J2023" s="661"/>
      <c r="K2023" s="658"/>
      <c r="L2023" s="662"/>
      <c r="M2023" s="663"/>
      <c r="N2023" s="664"/>
      <c r="O2023" s="665"/>
      <c r="P2023" s="666"/>
      <c r="Q2023" s="667"/>
      <c r="R2023" s="668"/>
      <c r="S2023" s="665"/>
      <c r="T2023" s="669"/>
      <c r="U2023" s="669"/>
      <c r="V2023" s="665"/>
      <c r="W2023" s="670"/>
      <c r="X2023" s="670"/>
      <c r="Y2023" s="671"/>
      <c r="Z2023" s="671"/>
      <c r="AA2023" s="672"/>
      <c r="AB2023" s="673"/>
      <c r="AC2023" s="673"/>
      <c r="AD2023" s="673"/>
      <c r="AE2023" s="673"/>
      <c r="AF2023" s="673"/>
      <c r="AG2023" s="673"/>
      <c r="AH2023" s="673"/>
      <c r="AI2023" s="673"/>
      <c r="AJ2023" s="673"/>
      <c r="AK2023" s="673"/>
      <c r="AL2023" s="673"/>
      <c r="AM2023" s="673"/>
      <c r="AN2023" s="673"/>
      <c r="AO2023" s="673"/>
      <c r="AP2023" s="673"/>
      <c r="AQ2023" s="673"/>
      <c r="AR2023" s="673"/>
      <c r="AS2023" s="673"/>
    </row>
    <row r="2024">
      <c r="A2024" s="653"/>
      <c r="B2024" s="654"/>
      <c r="C2024" s="655"/>
      <c r="D2024" s="656"/>
      <c r="E2024" s="657"/>
      <c r="F2024" s="658"/>
      <c r="G2024" s="659"/>
      <c r="H2024" s="660"/>
      <c r="I2024" s="659"/>
      <c r="J2024" s="661"/>
      <c r="K2024" s="658"/>
      <c r="L2024" s="662"/>
      <c r="M2024" s="663"/>
      <c r="N2024" s="664"/>
      <c r="O2024" s="665"/>
      <c r="P2024" s="666"/>
      <c r="Q2024" s="667"/>
      <c r="R2024" s="668"/>
      <c r="S2024" s="665"/>
      <c r="T2024" s="669"/>
      <c r="U2024" s="669"/>
      <c r="V2024" s="665"/>
      <c r="W2024" s="670"/>
      <c r="X2024" s="670"/>
      <c r="Y2024" s="671"/>
      <c r="Z2024" s="671"/>
      <c r="AA2024" s="672"/>
      <c r="AB2024" s="673"/>
      <c r="AC2024" s="673"/>
      <c r="AD2024" s="673"/>
      <c r="AE2024" s="673"/>
      <c r="AF2024" s="673"/>
      <c r="AG2024" s="673"/>
      <c r="AH2024" s="673"/>
      <c r="AI2024" s="673"/>
      <c r="AJ2024" s="673"/>
      <c r="AK2024" s="673"/>
      <c r="AL2024" s="673"/>
      <c r="AM2024" s="673"/>
      <c r="AN2024" s="673"/>
      <c r="AO2024" s="673"/>
      <c r="AP2024" s="673"/>
      <c r="AQ2024" s="673"/>
      <c r="AR2024" s="673"/>
      <c r="AS2024" s="673"/>
    </row>
    <row r="2025">
      <c r="A2025" s="653"/>
      <c r="B2025" s="654"/>
      <c r="C2025" s="655"/>
      <c r="D2025" s="656"/>
      <c r="E2025" s="657"/>
      <c r="F2025" s="658"/>
      <c r="G2025" s="659"/>
      <c r="H2025" s="660"/>
      <c r="I2025" s="659"/>
      <c r="J2025" s="661"/>
      <c r="K2025" s="658"/>
      <c r="L2025" s="662"/>
      <c r="M2025" s="663"/>
      <c r="N2025" s="664"/>
      <c r="O2025" s="665"/>
      <c r="P2025" s="666"/>
      <c r="Q2025" s="667"/>
      <c r="R2025" s="668"/>
      <c r="S2025" s="665"/>
      <c r="T2025" s="669"/>
      <c r="U2025" s="669"/>
      <c r="V2025" s="665"/>
      <c r="W2025" s="670"/>
      <c r="X2025" s="670"/>
      <c r="Y2025" s="671"/>
      <c r="Z2025" s="671"/>
      <c r="AA2025" s="672"/>
      <c r="AB2025" s="673"/>
      <c r="AC2025" s="673"/>
      <c r="AD2025" s="673"/>
      <c r="AE2025" s="673"/>
      <c r="AF2025" s="673"/>
      <c r="AG2025" s="673"/>
      <c r="AH2025" s="673"/>
      <c r="AI2025" s="673"/>
      <c r="AJ2025" s="673"/>
      <c r="AK2025" s="673"/>
      <c r="AL2025" s="673"/>
      <c r="AM2025" s="673"/>
      <c r="AN2025" s="673"/>
      <c r="AO2025" s="673"/>
      <c r="AP2025" s="673"/>
      <c r="AQ2025" s="673"/>
      <c r="AR2025" s="673"/>
      <c r="AS2025" s="673"/>
    </row>
    <row r="2026">
      <c r="A2026" s="653"/>
      <c r="B2026" s="654"/>
      <c r="C2026" s="655"/>
      <c r="D2026" s="656"/>
      <c r="E2026" s="657"/>
      <c r="F2026" s="658"/>
      <c r="G2026" s="659"/>
      <c r="H2026" s="660"/>
      <c r="I2026" s="659"/>
      <c r="J2026" s="661"/>
      <c r="K2026" s="658"/>
      <c r="L2026" s="662"/>
      <c r="M2026" s="663"/>
      <c r="N2026" s="664"/>
      <c r="O2026" s="665"/>
      <c r="P2026" s="666"/>
      <c r="Q2026" s="667"/>
      <c r="R2026" s="668"/>
      <c r="S2026" s="665"/>
      <c r="T2026" s="669"/>
      <c r="U2026" s="669"/>
      <c r="V2026" s="665"/>
      <c r="W2026" s="670"/>
      <c r="X2026" s="670"/>
      <c r="Y2026" s="671"/>
      <c r="Z2026" s="671"/>
      <c r="AA2026" s="672"/>
      <c r="AB2026" s="673"/>
      <c r="AC2026" s="673"/>
      <c r="AD2026" s="673"/>
      <c r="AE2026" s="673"/>
      <c r="AF2026" s="673"/>
      <c r="AG2026" s="673"/>
      <c r="AH2026" s="673"/>
      <c r="AI2026" s="673"/>
      <c r="AJ2026" s="673"/>
      <c r="AK2026" s="673"/>
      <c r="AL2026" s="673"/>
      <c r="AM2026" s="673"/>
      <c r="AN2026" s="673"/>
      <c r="AO2026" s="673"/>
      <c r="AP2026" s="673"/>
      <c r="AQ2026" s="673"/>
      <c r="AR2026" s="673"/>
      <c r="AS2026" s="673"/>
    </row>
    <row r="2027">
      <c r="A2027" s="653"/>
      <c r="B2027" s="654"/>
      <c r="C2027" s="655"/>
      <c r="D2027" s="656"/>
      <c r="E2027" s="657"/>
      <c r="F2027" s="658"/>
      <c r="G2027" s="659"/>
      <c r="H2027" s="660"/>
      <c r="I2027" s="659"/>
      <c r="J2027" s="661"/>
      <c r="K2027" s="658"/>
      <c r="L2027" s="662"/>
      <c r="M2027" s="663"/>
      <c r="N2027" s="664"/>
      <c r="O2027" s="665"/>
      <c r="P2027" s="666"/>
      <c r="Q2027" s="667"/>
      <c r="R2027" s="668"/>
      <c r="S2027" s="665"/>
      <c r="T2027" s="669"/>
      <c r="U2027" s="669"/>
      <c r="V2027" s="665"/>
      <c r="W2027" s="670"/>
      <c r="X2027" s="670"/>
      <c r="Y2027" s="671"/>
      <c r="Z2027" s="671"/>
      <c r="AA2027" s="672"/>
      <c r="AB2027" s="673"/>
      <c r="AC2027" s="673"/>
      <c r="AD2027" s="673"/>
      <c r="AE2027" s="673"/>
      <c r="AF2027" s="673"/>
      <c r="AG2027" s="673"/>
      <c r="AH2027" s="673"/>
      <c r="AI2027" s="673"/>
      <c r="AJ2027" s="673"/>
      <c r="AK2027" s="673"/>
      <c r="AL2027" s="673"/>
      <c r="AM2027" s="673"/>
      <c r="AN2027" s="673"/>
      <c r="AO2027" s="673"/>
      <c r="AP2027" s="673"/>
      <c r="AQ2027" s="673"/>
      <c r="AR2027" s="673"/>
      <c r="AS2027" s="673"/>
    </row>
    <row r="2028">
      <c r="A2028" s="653"/>
      <c r="B2028" s="654"/>
      <c r="C2028" s="655"/>
      <c r="D2028" s="656"/>
      <c r="E2028" s="657"/>
      <c r="F2028" s="658"/>
      <c r="G2028" s="659"/>
      <c r="H2028" s="660"/>
      <c r="I2028" s="659"/>
      <c r="J2028" s="661"/>
      <c r="K2028" s="658"/>
      <c r="L2028" s="662"/>
      <c r="M2028" s="663"/>
      <c r="N2028" s="664"/>
      <c r="O2028" s="665"/>
      <c r="P2028" s="666"/>
      <c r="Q2028" s="667"/>
      <c r="R2028" s="668"/>
      <c r="S2028" s="665"/>
      <c r="T2028" s="669"/>
      <c r="U2028" s="669"/>
      <c r="V2028" s="665"/>
      <c r="W2028" s="670"/>
      <c r="X2028" s="670"/>
      <c r="Y2028" s="671"/>
      <c r="Z2028" s="671"/>
      <c r="AA2028" s="672"/>
      <c r="AB2028" s="673"/>
      <c r="AC2028" s="673"/>
      <c r="AD2028" s="673"/>
      <c r="AE2028" s="673"/>
      <c r="AF2028" s="673"/>
      <c r="AG2028" s="673"/>
      <c r="AH2028" s="673"/>
      <c r="AI2028" s="673"/>
      <c r="AJ2028" s="673"/>
      <c r="AK2028" s="673"/>
      <c r="AL2028" s="673"/>
      <c r="AM2028" s="673"/>
      <c r="AN2028" s="673"/>
      <c r="AO2028" s="673"/>
      <c r="AP2028" s="673"/>
      <c r="AQ2028" s="673"/>
      <c r="AR2028" s="673"/>
      <c r="AS2028" s="673"/>
    </row>
    <row r="2029">
      <c r="A2029" s="653"/>
      <c r="B2029" s="654"/>
      <c r="C2029" s="655"/>
      <c r="D2029" s="656"/>
      <c r="E2029" s="657"/>
      <c r="F2029" s="658"/>
      <c r="G2029" s="659"/>
      <c r="H2029" s="660"/>
      <c r="I2029" s="659"/>
      <c r="J2029" s="661"/>
      <c r="K2029" s="658"/>
      <c r="L2029" s="662"/>
      <c r="M2029" s="663"/>
      <c r="N2029" s="664"/>
      <c r="O2029" s="665"/>
      <c r="P2029" s="666"/>
      <c r="Q2029" s="667"/>
      <c r="R2029" s="668"/>
      <c r="S2029" s="665"/>
      <c r="T2029" s="669"/>
      <c r="U2029" s="669"/>
      <c r="V2029" s="665"/>
      <c r="W2029" s="670"/>
      <c r="X2029" s="670"/>
      <c r="Y2029" s="671"/>
      <c r="Z2029" s="671"/>
      <c r="AA2029" s="672"/>
      <c r="AB2029" s="673"/>
      <c r="AC2029" s="673"/>
      <c r="AD2029" s="673"/>
      <c r="AE2029" s="673"/>
      <c r="AF2029" s="673"/>
      <c r="AG2029" s="673"/>
      <c r="AH2029" s="673"/>
      <c r="AI2029" s="673"/>
      <c r="AJ2029" s="673"/>
      <c r="AK2029" s="673"/>
      <c r="AL2029" s="673"/>
      <c r="AM2029" s="673"/>
      <c r="AN2029" s="673"/>
      <c r="AO2029" s="673"/>
      <c r="AP2029" s="673"/>
      <c r="AQ2029" s="673"/>
      <c r="AR2029" s="673"/>
      <c r="AS2029" s="673"/>
    </row>
    <row r="2030">
      <c r="A2030" s="653"/>
      <c r="B2030" s="654"/>
      <c r="C2030" s="655"/>
      <c r="D2030" s="656"/>
      <c r="E2030" s="657"/>
      <c r="F2030" s="658"/>
      <c r="G2030" s="659"/>
      <c r="H2030" s="660"/>
      <c r="I2030" s="659"/>
      <c r="J2030" s="661"/>
      <c r="K2030" s="658"/>
      <c r="L2030" s="662"/>
      <c r="M2030" s="663"/>
      <c r="N2030" s="664"/>
      <c r="O2030" s="665"/>
      <c r="P2030" s="666"/>
      <c r="Q2030" s="667"/>
      <c r="R2030" s="668"/>
      <c r="S2030" s="665"/>
      <c r="T2030" s="669"/>
      <c r="U2030" s="669"/>
      <c r="V2030" s="665"/>
      <c r="W2030" s="670"/>
      <c r="X2030" s="670"/>
      <c r="Y2030" s="671"/>
      <c r="Z2030" s="671"/>
      <c r="AA2030" s="672"/>
      <c r="AB2030" s="673"/>
      <c r="AC2030" s="673"/>
      <c r="AD2030" s="673"/>
      <c r="AE2030" s="673"/>
      <c r="AF2030" s="673"/>
      <c r="AG2030" s="673"/>
      <c r="AH2030" s="673"/>
      <c r="AI2030" s="673"/>
      <c r="AJ2030" s="673"/>
      <c r="AK2030" s="673"/>
      <c r="AL2030" s="673"/>
      <c r="AM2030" s="673"/>
      <c r="AN2030" s="673"/>
      <c r="AO2030" s="673"/>
      <c r="AP2030" s="673"/>
      <c r="AQ2030" s="673"/>
      <c r="AR2030" s="673"/>
      <c r="AS2030" s="673"/>
    </row>
    <row r="2031">
      <c r="A2031" s="653"/>
      <c r="B2031" s="654"/>
      <c r="C2031" s="655"/>
      <c r="D2031" s="656"/>
      <c r="E2031" s="657"/>
      <c r="F2031" s="658"/>
      <c r="G2031" s="659"/>
      <c r="H2031" s="660"/>
      <c r="I2031" s="659"/>
      <c r="J2031" s="661"/>
      <c r="K2031" s="658"/>
      <c r="L2031" s="662"/>
      <c r="M2031" s="663"/>
      <c r="N2031" s="664"/>
      <c r="O2031" s="665"/>
      <c r="P2031" s="666"/>
      <c r="Q2031" s="667"/>
      <c r="R2031" s="668"/>
      <c r="S2031" s="665"/>
      <c r="T2031" s="669"/>
      <c r="U2031" s="669"/>
      <c r="V2031" s="665"/>
      <c r="W2031" s="670"/>
      <c r="X2031" s="670"/>
      <c r="Y2031" s="671"/>
      <c r="Z2031" s="671"/>
      <c r="AA2031" s="672"/>
      <c r="AB2031" s="673"/>
      <c r="AC2031" s="673"/>
      <c r="AD2031" s="673"/>
      <c r="AE2031" s="673"/>
      <c r="AF2031" s="673"/>
      <c r="AG2031" s="673"/>
      <c r="AH2031" s="673"/>
      <c r="AI2031" s="673"/>
      <c r="AJ2031" s="673"/>
      <c r="AK2031" s="673"/>
      <c r="AL2031" s="673"/>
      <c r="AM2031" s="673"/>
      <c r="AN2031" s="673"/>
      <c r="AO2031" s="673"/>
      <c r="AP2031" s="673"/>
      <c r="AQ2031" s="673"/>
      <c r="AR2031" s="673"/>
      <c r="AS2031" s="673"/>
    </row>
    <row r="2032">
      <c r="A2032" s="653"/>
      <c r="B2032" s="654"/>
      <c r="C2032" s="655"/>
      <c r="D2032" s="656"/>
      <c r="E2032" s="657"/>
      <c r="F2032" s="658"/>
      <c r="G2032" s="659"/>
      <c r="H2032" s="660"/>
      <c r="I2032" s="659"/>
      <c r="J2032" s="661"/>
      <c r="K2032" s="658"/>
      <c r="L2032" s="662"/>
      <c r="M2032" s="663"/>
      <c r="N2032" s="664"/>
      <c r="O2032" s="665"/>
      <c r="P2032" s="666"/>
      <c r="Q2032" s="667"/>
      <c r="R2032" s="668"/>
      <c r="S2032" s="665"/>
      <c r="T2032" s="669"/>
      <c r="U2032" s="669"/>
      <c r="V2032" s="665"/>
      <c r="W2032" s="670"/>
      <c r="X2032" s="670"/>
      <c r="Y2032" s="671"/>
      <c r="Z2032" s="671"/>
      <c r="AA2032" s="672"/>
      <c r="AB2032" s="673"/>
      <c r="AC2032" s="673"/>
      <c r="AD2032" s="673"/>
      <c r="AE2032" s="673"/>
      <c r="AF2032" s="673"/>
      <c r="AG2032" s="673"/>
      <c r="AH2032" s="673"/>
      <c r="AI2032" s="673"/>
      <c r="AJ2032" s="673"/>
      <c r="AK2032" s="673"/>
      <c r="AL2032" s="673"/>
      <c r="AM2032" s="673"/>
      <c r="AN2032" s="673"/>
      <c r="AO2032" s="673"/>
      <c r="AP2032" s="673"/>
      <c r="AQ2032" s="673"/>
      <c r="AR2032" s="673"/>
      <c r="AS2032" s="673"/>
    </row>
    <row r="2033">
      <c r="A2033" s="653"/>
      <c r="B2033" s="654"/>
      <c r="C2033" s="655"/>
      <c r="D2033" s="656"/>
      <c r="E2033" s="657"/>
      <c r="F2033" s="658"/>
      <c r="G2033" s="659"/>
      <c r="H2033" s="660"/>
      <c r="I2033" s="659"/>
      <c r="J2033" s="661"/>
      <c r="K2033" s="658"/>
      <c r="L2033" s="662"/>
      <c r="M2033" s="663"/>
      <c r="N2033" s="664"/>
      <c r="O2033" s="665"/>
      <c r="P2033" s="666"/>
      <c r="Q2033" s="667"/>
      <c r="R2033" s="668"/>
      <c r="S2033" s="665"/>
      <c r="T2033" s="669"/>
      <c r="U2033" s="669"/>
      <c r="V2033" s="665"/>
      <c r="W2033" s="670"/>
      <c r="X2033" s="670"/>
      <c r="Y2033" s="671"/>
      <c r="Z2033" s="671"/>
      <c r="AA2033" s="672"/>
      <c r="AB2033" s="673"/>
      <c r="AC2033" s="673"/>
      <c r="AD2033" s="673"/>
      <c r="AE2033" s="673"/>
      <c r="AF2033" s="673"/>
      <c r="AG2033" s="673"/>
      <c r="AH2033" s="673"/>
      <c r="AI2033" s="673"/>
      <c r="AJ2033" s="673"/>
      <c r="AK2033" s="673"/>
      <c r="AL2033" s="673"/>
      <c r="AM2033" s="673"/>
      <c r="AN2033" s="673"/>
      <c r="AO2033" s="673"/>
      <c r="AP2033" s="673"/>
      <c r="AQ2033" s="673"/>
      <c r="AR2033" s="673"/>
      <c r="AS2033" s="673"/>
    </row>
    <row r="2034">
      <c r="A2034" s="653"/>
      <c r="B2034" s="654"/>
      <c r="C2034" s="655"/>
      <c r="D2034" s="656"/>
      <c r="E2034" s="657"/>
      <c r="F2034" s="658"/>
      <c r="G2034" s="659"/>
      <c r="H2034" s="660"/>
      <c r="I2034" s="659"/>
      <c r="J2034" s="661"/>
      <c r="K2034" s="658"/>
      <c r="L2034" s="662"/>
      <c r="M2034" s="663"/>
      <c r="N2034" s="664"/>
      <c r="O2034" s="665"/>
      <c r="P2034" s="666"/>
      <c r="Q2034" s="667"/>
      <c r="R2034" s="668"/>
      <c r="S2034" s="665"/>
      <c r="T2034" s="669"/>
      <c r="U2034" s="669"/>
      <c r="V2034" s="665"/>
      <c r="W2034" s="670"/>
      <c r="X2034" s="670"/>
      <c r="Y2034" s="671"/>
      <c r="Z2034" s="671"/>
      <c r="AA2034" s="672"/>
      <c r="AB2034" s="673"/>
      <c r="AC2034" s="673"/>
      <c r="AD2034" s="673"/>
      <c r="AE2034" s="673"/>
      <c r="AF2034" s="673"/>
      <c r="AG2034" s="673"/>
      <c r="AH2034" s="673"/>
      <c r="AI2034" s="673"/>
      <c r="AJ2034" s="673"/>
      <c r="AK2034" s="673"/>
      <c r="AL2034" s="673"/>
      <c r="AM2034" s="673"/>
      <c r="AN2034" s="673"/>
      <c r="AO2034" s="673"/>
      <c r="AP2034" s="673"/>
      <c r="AQ2034" s="673"/>
      <c r="AR2034" s="673"/>
      <c r="AS2034" s="673"/>
    </row>
    <row r="2035">
      <c r="A2035" s="653"/>
      <c r="B2035" s="654"/>
      <c r="C2035" s="655"/>
      <c r="D2035" s="656"/>
      <c r="E2035" s="657"/>
      <c r="F2035" s="658"/>
      <c r="G2035" s="659"/>
      <c r="H2035" s="660"/>
      <c r="I2035" s="659"/>
      <c r="J2035" s="661"/>
      <c r="K2035" s="658"/>
      <c r="L2035" s="662"/>
      <c r="M2035" s="663"/>
      <c r="N2035" s="664"/>
      <c r="O2035" s="665"/>
      <c r="P2035" s="666"/>
      <c r="Q2035" s="667"/>
      <c r="R2035" s="668"/>
      <c r="S2035" s="665"/>
      <c r="T2035" s="669"/>
      <c r="U2035" s="669"/>
      <c r="V2035" s="665"/>
      <c r="W2035" s="670"/>
      <c r="X2035" s="670"/>
      <c r="Y2035" s="671"/>
      <c r="Z2035" s="671"/>
      <c r="AA2035" s="672"/>
      <c r="AB2035" s="673"/>
      <c r="AC2035" s="673"/>
      <c r="AD2035" s="673"/>
      <c r="AE2035" s="673"/>
      <c r="AF2035" s="673"/>
      <c r="AG2035" s="673"/>
      <c r="AH2035" s="673"/>
      <c r="AI2035" s="673"/>
      <c r="AJ2035" s="673"/>
      <c r="AK2035" s="673"/>
      <c r="AL2035" s="673"/>
      <c r="AM2035" s="673"/>
      <c r="AN2035" s="673"/>
      <c r="AO2035" s="673"/>
      <c r="AP2035" s="673"/>
      <c r="AQ2035" s="673"/>
      <c r="AR2035" s="673"/>
      <c r="AS2035" s="673"/>
    </row>
    <row r="2036">
      <c r="A2036" s="653"/>
      <c r="B2036" s="654"/>
      <c r="C2036" s="655"/>
      <c r="D2036" s="656"/>
      <c r="E2036" s="657"/>
      <c r="F2036" s="658"/>
      <c r="G2036" s="659"/>
      <c r="H2036" s="660"/>
      <c r="I2036" s="659"/>
      <c r="J2036" s="661"/>
      <c r="K2036" s="658"/>
      <c r="L2036" s="662"/>
      <c r="M2036" s="663"/>
      <c r="N2036" s="664"/>
      <c r="O2036" s="665"/>
      <c r="P2036" s="666"/>
      <c r="Q2036" s="667"/>
      <c r="R2036" s="668"/>
      <c r="S2036" s="665"/>
      <c r="T2036" s="669"/>
      <c r="U2036" s="669"/>
      <c r="V2036" s="665"/>
      <c r="W2036" s="670"/>
      <c r="X2036" s="670"/>
      <c r="Y2036" s="671"/>
      <c r="Z2036" s="671"/>
      <c r="AA2036" s="672"/>
      <c r="AB2036" s="673"/>
      <c r="AC2036" s="673"/>
      <c r="AD2036" s="673"/>
      <c r="AE2036" s="673"/>
      <c r="AF2036" s="673"/>
      <c r="AG2036" s="673"/>
      <c r="AH2036" s="673"/>
      <c r="AI2036" s="673"/>
      <c r="AJ2036" s="673"/>
      <c r="AK2036" s="673"/>
      <c r="AL2036" s="673"/>
      <c r="AM2036" s="673"/>
      <c r="AN2036" s="673"/>
      <c r="AO2036" s="673"/>
      <c r="AP2036" s="673"/>
      <c r="AQ2036" s="673"/>
      <c r="AR2036" s="673"/>
      <c r="AS2036" s="673"/>
    </row>
    <row r="2037">
      <c r="A2037" s="653"/>
      <c r="B2037" s="654"/>
      <c r="C2037" s="655"/>
      <c r="D2037" s="656"/>
      <c r="E2037" s="657"/>
      <c r="F2037" s="658"/>
      <c r="G2037" s="659"/>
      <c r="H2037" s="660"/>
      <c r="I2037" s="659"/>
      <c r="J2037" s="661"/>
      <c r="K2037" s="658"/>
      <c r="L2037" s="662"/>
      <c r="M2037" s="663"/>
      <c r="N2037" s="664"/>
      <c r="O2037" s="665"/>
      <c r="P2037" s="666"/>
      <c r="Q2037" s="667"/>
      <c r="R2037" s="668"/>
      <c r="S2037" s="665"/>
      <c r="T2037" s="669"/>
      <c r="U2037" s="669"/>
      <c r="V2037" s="665"/>
      <c r="W2037" s="670"/>
      <c r="X2037" s="670"/>
      <c r="Y2037" s="671"/>
      <c r="Z2037" s="671"/>
      <c r="AA2037" s="672"/>
      <c r="AB2037" s="673"/>
      <c r="AC2037" s="673"/>
      <c r="AD2037" s="673"/>
      <c r="AE2037" s="673"/>
      <c r="AF2037" s="673"/>
      <c r="AG2037" s="673"/>
      <c r="AH2037" s="673"/>
      <c r="AI2037" s="673"/>
      <c r="AJ2037" s="673"/>
      <c r="AK2037" s="673"/>
      <c r="AL2037" s="673"/>
      <c r="AM2037" s="673"/>
      <c r="AN2037" s="673"/>
      <c r="AO2037" s="673"/>
      <c r="AP2037" s="673"/>
      <c r="AQ2037" s="673"/>
      <c r="AR2037" s="673"/>
      <c r="AS2037" s="673"/>
    </row>
    <row r="2038">
      <c r="A2038" s="653"/>
      <c r="B2038" s="654"/>
      <c r="C2038" s="655"/>
      <c r="D2038" s="656"/>
      <c r="E2038" s="657"/>
      <c r="F2038" s="658"/>
      <c r="G2038" s="659"/>
      <c r="H2038" s="660"/>
      <c r="I2038" s="659"/>
      <c r="J2038" s="661"/>
      <c r="K2038" s="658"/>
      <c r="L2038" s="662"/>
      <c r="M2038" s="663"/>
      <c r="N2038" s="664"/>
      <c r="O2038" s="665"/>
      <c r="P2038" s="666"/>
      <c r="Q2038" s="667"/>
      <c r="R2038" s="668"/>
      <c r="S2038" s="665"/>
      <c r="T2038" s="669"/>
      <c r="U2038" s="669"/>
      <c r="V2038" s="665"/>
      <c r="W2038" s="670"/>
      <c r="X2038" s="670"/>
      <c r="Y2038" s="671"/>
      <c r="Z2038" s="671"/>
      <c r="AA2038" s="672"/>
      <c r="AB2038" s="673"/>
      <c r="AC2038" s="673"/>
      <c r="AD2038" s="673"/>
      <c r="AE2038" s="673"/>
      <c r="AF2038" s="673"/>
      <c r="AG2038" s="673"/>
      <c r="AH2038" s="673"/>
      <c r="AI2038" s="673"/>
      <c r="AJ2038" s="673"/>
      <c r="AK2038" s="673"/>
      <c r="AL2038" s="673"/>
      <c r="AM2038" s="673"/>
      <c r="AN2038" s="673"/>
      <c r="AO2038" s="673"/>
      <c r="AP2038" s="673"/>
      <c r="AQ2038" s="673"/>
      <c r="AR2038" s="673"/>
      <c r="AS2038" s="673"/>
    </row>
    <row r="2039">
      <c r="A2039" s="653"/>
      <c r="B2039" s="654"/>
      <c r="C2039" s="655"/>
      <c r="D2039" s="656"/>
      <c r="E2039" s="657"/>
      <c r="F2039" s="658"/>
      <c r="G2039" s="659"/>
      <c r="H2039" s="660"/>
      <c r="I2039" s="659"/>
      <c r="J2039" s="661"/>
      <c r="K2039" s="658"/>
      <c r="L2039" s="662"/>
      <c r="M2039" s="663"/>
      <c r="N2039" s="664"/>
      <c r="O2039" s="665"/>
      <c r="P2039" s="666"/>
      <c r="Q2039" s="667"/>
      <c r="R2039" s="668"/>
      <c r="S2039" s="665"/>
      <c r="T2039" s="669"/>
      <c r="U2039" s="669"/>
      <c r="V2039" s="665"/>
      <c r="W2039" s="670"/>
      <c r="X2039" s="670"/>
      <c r="Y2039" s="671"/>
      <c r="Z2039" s="671"/>
      <c r="AA2039" s="672"/>
      <c r="AB2039" s="673"/>
      <c r="AC2039" s="673"/>
      <c r="AD2039" s="673"/>
      <c r="AE2039" s="673"/>
      <c r="AF2039" s="673"/>
      <c r="AG2039" s="673"/>
      <c r="AH2039" s="673"/>
      <c r="AI2039" s="673"/>
      <c r="AJ2039" s="673"/>
      <c r="AK2039" s="673"/>
      <c r="AL2039" s="673"/>
      <c r="AM2039" s="673"/>
      <c r="AN2039" s="673"/>
      <c r="AO2039" s="673"/>
      <c r="AP2039" s="673"/>
      <c r="AQ2039" s="673"/>
      <c r="AR2039" s="673"/>
      <c r="AS2039" s="673"/>
    </row>
    <row r="2040">
      <c r="A2040" s="653"/>
      <c r="B2040" s="654"/>
      <c r="C2040" s="655"/>
      <c r="D2040" s="656"/>
      <c r="E2040" s="657"/>
      <c r="F2040" s="658"/>
      <c r="G2040" s="659"/>
      <c r="H2040" s="660"/>
      <c r="I2040" s="659"/>
      <c r="J2040" s="661"/>
      <c r="K2040" s="658"/>
      <c r="L2040" s="662"/>
      <c r="M2040" s="663"/>
      <c r="N2040" s="664"/>
      <c r="O2040" s="665"/>
      <c r="P2040" s="666"/>
      <c r="Q2040" s="667"/>
      <c r="R2040" s="668"/>
      <c r="S2040" s="665"/>
      <c r="T2040" s="669"/>
      <c r="U2040" s="669"/>
      <c r="V2040" s="665"/>
      <c r="W2040" s="670"/>
      <c r="X2040" s="670"/>
      <c r="Y2040" s="671"/>
      <c r="Z2040" s="671"/>
      <c r="AA2040" s="672"/>
      <c r="AB2040" s="673"/>
      <c r="AC2040" s="673"/>
      <c r="AD2040" s="673"/>
      <c r="AE2040" s="673"/>
      <c r="AF2040" s="673"/>
      <c r="AG2040" s="673"/>
      <c r="AH2040" s="673"/>
      <c r="AI2040" s="673"/>
      <c r="AJ2040" s="673"/>
      <c r="AK2040" s="673"/>
      <c r="AL2040" s="673"/>
      <c r="AM2040" s="673"/>
      <c r="AN2040" s="673"/>
      <c r="AO2040" s="673"/>
      <c r="AP2040" s="673"/>
      <c r="AQ2040" s="673"/>
      <c r="AR2040" s="673"/>
      <c r="AS2040" s="673"/>
    </row>
    <row r="2041">
      <c r="A2041" s="653"/>
      <c r="B2041" s="654"/>
      <c r="C2041" s="655"/>
      <c r="D2041" s="656"/>
      <c r="E2041" s="657"/>
      <c r="F2041" s="658"/>
      <c r="G2041" s="659"/>
      <c r="H2041" s="660"/>
      <c r="I2041" s="659"/>
      <c r="J2041" s="661"/>
      <c r="K2041" s="658"/>
      <c r="L2041" s="662"/>
      <c r="M2041" s="663"/>
      <c r="N2041" s="664"/>
      <c r="O2041" s="665"/>
      <c r="P2041" s="666"/>
      <c r="Q2041" s="667"/>
      <c r="R2041" s="668"/>
      <c r="S2041" s="665"/>
      <c r="T2041" s="669"/>
      <c r="U2041" s="669"/>
      <c r="V2041" s="665"/>
      <c r="W2041" s="670"/>
      <c r="X2041" s="670"/>
      <c r="Y2041" s="671"/>
      <c r="Z2041" s="671"/>
      <c r="AA2041" s="672"/>
      <c r="AB2041" s="673"/>
      <c r="AC2041" s="673"/>
      <c r="AD2041" s="673"/>
      <c r="AE2041" s="673"/>
      <c r="AF2041" s="673"/>
      <c r="AG2041" s="673"/>
      <c r="AH2041" s="673"/>
      <c r="AI2041" s="673"/>
      <c r="AJ2041" s="673"/>
      <c r="AK2041" s="673"/>
      <c r="AL2041" s="673"/>
      <c r="AM2041" s="673"/>
      <c r="AN2041" s="673"/>
      <c r="AO2041" s="673"/>
      <c r="AP2041" s="673"/>
      <c r="AQ2041" s="673"/>
      <c r="AR2041" s="673"/>
      <c r="AS2041" s="673"/>
    </row>
    <row r="2042">
      <c r="A2042" s="653"/>
      <c r="B2042" s="654"/>
      <c r="C2042" s="655"/>
      <c r="D2042" s="656"/>
      <c r="E2042" s="657"/>
      <c r="F2042" s="658"/>
      <c r="G2042" s="659"/>
      <c r="H2042" s="660"/>
      <c r="I2042" s="659"/>
      <c r="J2042" s="661"/>
      <c r="K2042" s="658"/>
      <c r="L2042" s="662"/>
      <c r="M2042" s="663"/>
      <c r="N2042" s="664"/>
      <c r="O2042" s="665"/>
      <c r="P2042" s="666"/>
      <c r="Q2042" s="667"/>
      <c r="R2042" s="668"/>
      <c r="S2042" s="665"/>
      <c r="T2042" s="669"/>
      <c r="U2042" s="669"/>
      <c r="V2042" s="665"/>
      <c r="W2042" s="670"/>
      <c r="X2042" s="670"/>
      <c r="Y2042" s="671"/>
      <c r="Z2042" s="671"/>
      <c r="AA2042" s="672"/>
      <c r="AB2042" s="673"/>
      <c r="AC2042" s="673"/>
      <c r="AD2042" s="673"/>
      <c r="AE2042" s="673"/>
      <c r="AF2042" s="673"/>
      <c r="AG2042" s="673"/>
      <c r="AH2042" s="673"/>
      <c r="AI2042" s="673"/>
      <c r="AJ2042" s="673"/>
      <c r="AK2042" s="673"/>
      <c r="AL2042" s="673"/>
      <c r="AM2042" s="673"/>
      <c r="AN2042" s="673"/>
      <c r="AO2042" s="673"/>
      <c r="AP2042" s="673"/>
      <c r="AQ2042" s="673"/>
      <c r="AR2042" s="673"/>
      <c r="AS2042" s="673"/>
    </row>
    <row r="2043">
      <c r="A2043" s="653"/>
      <c r="B2043" s="654"/>
      <c r="C2043" s="655"/>
      <c r="D2043" s="656"/>
      <c r="E2043" s="657"/>
      <c r="F2043" s="658"/>
      <c r="G2043" s="659"/>
      <c r="H2043" s="660"/>
      <c r="I2043" s="659"/>
      <c r="J2043" s="661"/>
      <c r="K2043" s="658"/>
      <c r="L2043" s="662"/>
      <c r="M2043" s="663"/>
      <c r="N2043" s="664"/>
      <c r="O2043" s="665"/>
      <c r="P2043" s="666"/>
      <c r="Q2043" s="667"/>
      <c r="R2043" s="668"/>
      <c r="S2043" s="665"/>
      <c r="T2043" s="669"/>
      <c r="U2043" s="669"/>
      <c r="V2043" s="665"/>
      <c r="W2043" s="670"/>
      <c r="X2043" s="670"/>
      <c r="Y2043" s="671"/>
      <c r="Z2043" s="671"/>
      <c r="AA2043" s="672"/>
      <c r="AB2043" s="673"/>
      <c r="AC2043" s="673"/>
      <c r="AD2043" s="673"/>
      <c r="AE2043" s="673"/>
      <c r="AF2043" s="673"/>
      <c r="AG2043" s="673"/>
      <c r="AH2043" s="673"/>
      <c r="AI2043" s="673"/>
      <c r="AJ2043" s="673"/>
      <c r="AK2043" s="673"/>
      <c r="AL2043" s="673"/>
      <c r="AM2043" s="673"/>
      <c r="AN2043" s="673"/>
      <c r="AO2043" s="673"/>
      <c r="AP2043" s="673"/>
      <c r="AQ2043" s="673"/>
      <c r="AR2043" s="673"/>
      <c r="AS2043" s="673"/>
    </row>
    <row r="2044">
      <c r="A2044" s="653"/>
      <c r="B2044" s="654"/>
      <c r="C2044" s="655"/>
      <c r="D2044" s="656"/>
      <c r="E2044" s="657"/>
      <c r="F2044" s="658"/>
      <c r="G2044" s="659"/>
      <c r="H2044" s="660"/>
      <c r="I2044" s="659"/>
      <c r="J2044" s="661"/>
      <c r="K2044" s="658"/>
      <c r="L2044" s="662"/>
      <c r="M2044" s="663"/>
      <c r="N2044" s="664"/>
      <c r="O2044" s="665"/>
      <c r="P2044" s="666"/>
      <c r="Q2044" s="667"/>
      <c r="R2044" s="668"/>
      <c r="S2044" s="665"/>
      <c r="T2044" s="669"/>
      <c r="U2044" s="669"/>
      <c r="V2044" s="665"/>
      <c r="W2044" s="670"/>
      <c r="X2044" s="670"/>
      <c r="Y2044" s="671"/>
      <c r="Z2044" s="671"/>
      <c r="AA2044" s="672"/>
      <c r="AB2044" s="673"/>
      <c r="AC2044" s="673"/>
      <c r="AD2044" s="673"/>
      <c r="AE2044" s="673"/>
      <c r="AF2044" s="673"/>
      <c r="AG2044" s="673"/>
      <c r="AH2044" s="673"/>
      <c r="AI2044" s="673"/>
      <c r="AJ2044" s="673"/>
      <c r="AK2044" s="673"/>
      <c r="AL2044" s="673"/>
      <c r="AM2044" s="673"/>
      <c r="AN2044" s="673"/>
      <c r="AO2044" s="673"/>
      <c r="AP2044" s="673"/>
      <c r="AQ2044" s="673"/>
      <c r="AR2044" s="673"/>
      <c r="AS2044" s="673"/>
    </row>
    <row r="2045">
      <c r="A2045" s="653"/>
      <c r="B2045" s="654"/>
      <c r="C2045" s="655"/>
      <c r="D2045" s="656"/>
      <c r="E2045" s="657"/>
      <c r="F2045" s="658"/>
      <c r="G2045" s="659"/>
      <c r="H2045" s="660"/>
      <c r="I2045" s="659"/>
      <c r="J2045" s="661"/>
      <c r="K2045" s="658"/>
      <c r="L2045" s="662"/>
      <c r="M2045" s="663"/>
      <c r="N2045" s="664"/>
      <c r="O2045" s="665"/>
      <c r="P2045" s="666"/>
      <c r="Q2045" s="667"/>
      <c r="R2045" s="668"/>
      <c r="S2045" s="665"/>
      <c r="T2045" s="669"/>
      <c r="U2045" s="669"/>
      <c r="V2045" s="665"/>
      <c r="W2045" s="670"/>
      <c r="X2045" s="670"/>
      <c r="Y2045" s="671"/>
      <c r="Z2045" s="671"/>
      <c r="AA2045" s="672"/>
      <c r="AB2045" s="673"/>
      <c r="AC2045" s="673"/>
      <c r="AD2045" s="673"/>
      <c r="AE2045" s="673"/>
      <c r="AF2045" s="673"/>
      <c r="AG2045" s="673"/>
      <c r="AH2045" s="673"/>
      <c r="AI2045" s="673"/>
      <c r="AJ2045" s="673"/>
      <c r="AK2045" s="673"/>
      <c r="AL2045" s="673"/>
      <c r="AM2045" s="673"/>
      <c r="AN2045" s="673"/>
      <c r="AO2045" s="673"/>
      <c r="AP2045" s="673"/>
      <c r="AQ2045" s="673"/>
      <c r="AR2045" s="673"/>
      <c r="AS2045" s="673"/>
    </row>
    <row r="2046">
      <c r="A2046" s="653"/>
      <c r="B2046" s="654"/>
      <c r="C2046" s="655"/>
      <c r="D2046" s="656"/>
      <c r="E2046" s="657"/>
      <c r="F2046" s="658"/>
      <c r="G2046" s="659"/>
      <c r="H2046" s="660"/>
      <c r="I2046" s="659"/>
      <c r="J2046" s="661"/>
      <c r="K2046" s="658"/>
      <c r="L2046" s="662"/>
      <c r="M2046" s="663"/>
      <c r="N2046" s="664"/>
      <c r="O2046" s="665"/>
      <c r="P2046" s="666"/>
      <c r="Q2046" s="667"/>
      <c r="R2046" s="668"/>
      <c r="S2046" s="665"/>
      <c r="T2046" s="669"/>
      <c r="U2046" s="669"/>
      <c r="V2046" s="665"/>
      <c r="W2046" s="670"/>
      <c r="X2046" s="670"/>
      <c r="Y2046" s="671"/>
      <c r="Z2046" s="671"/>
      <c r="AA2046" s="672"/>
      <c r="AB2046" s="673"/>
      <c r="AC2046" s="673"/>
      <c r="AD2046" s="673"/>
      <c r="AE2046" s="673"/>
      <c r="AF2046" s="673"/>
      <c r="AG2046" s="673"/>
      <c r="AH2046" s="673"/>
      <c r="AI2046" s="673"/>
      <c r="AJ2046" s="673"/>
      <c r="AK2046" s="673"/>
      <c r="AL2046" s="673"/>
      <c r="AM2046" s="673"/>
      <c r="AN2046" s="673"/>
      <c r="AO2046" s="673"/>
      <c r="AP2046" s="673"/>
      <c r="AQ2046" s="673"/>
      <c r="AR2046" s="673"/>
      <c r="AS2046" s="673"/>
    </row>
    <row r="2047">
      <c r="A2047" s="653"/>
      <c r="B2047" s="654"/>
      <c r="C2047" s="655"/>
      <c r="D2047" s="656"/>
      <c r="E2047" s="657"/>
      <c r="F2047" s="658"/>
      <c r="G2047" s="659"/>
      <c r="H2047" s="660"/>
      <c r="I2047" s="659"/>
      <c r="J2047" s="661"/>
      <c r="K2047" s="658"/>
      <c r="L2047" s="662"/>
      <c r="M2047" s="663"/>
      <c r="N2047" s="664"/>
      <c r="O2047" s="665"/>
      <c r="P2047" s="666"/>
      <c r="Q2047" s="667"/>
      <c r="R2047" s="668"/>
      <c r="S2047" s="665"/>
      <c r="T2047" s="669"/>
      <c r="U2047" s="669"/>
      <c r="V2047" s="665"/>
      <c r="W2047" s="670"/>
      <c r="X2047" s="670"/>
      <c r="Y2047" s="671"/>
      <c r="Z2047" s="671"/>
      <c r="AA2047" s="672"/>
      <c r="AB2047" s="673"/>
      <c r="AC2047" s="673"/>
      <c r="AD2047" s="673"/>
      <c r="AE2047" s="673"/>
      <c r="AF2047" s="673"/>
      <c r="AG2047" s="673"/>
      <c r="AH2047" s="673"/>
      <c r="AI2047" s="673"/>
      <c r="AJ2047" s="673"/>
      <c r="AK2047" s="673"/>
      <c r="AL2047" s="673"/>
      <c r="AM2047" s="673"/>
      <c r="AN2047" s="673"/>
      <c r="AO2047" s="673"/>
      <c r="AP2047" s="673"/>
      <c r="AQ2047" s="673"/>
      <c r="AR2047" s="673"/>
      <c r="AS2047" s="673"/>
    </row>
    <row r="2048">
      <c r="A2048" s="653"/>
      <c r="B2048" s="654"/>
      <c r="C2048" s="655"/>
      <c r="D2048" s="656"/>
      <c r="E2048" s="657"/>
      <c r="F2048" s="658"/>
      <c r="G2048" s="659"/>
      <c r="H2048" s="660"/>
      <c r="I2048" s="659"/>
      <c r="J2048" s="661"/>
      <c r="K2048" s="658"/>
      <c r="L2048" s="662"/>
      <c r="M2048" s="663"/>
      <c r="N2048" s="664"/>
      <c r="O2048" s="665"/>
      <c r="P2048" s="666"/>
      <c r="Q2048" s="667"/>
      <c r="R2048" s="668"/>
      <c r="S2048" s="665"/>
      <c r="T2048" s="669"/>
      <c r="U2048" s="669"/>
      <c r="V2048" s="665"/>
      <c r="W2048" s="670"/>
      <c r="X2048" s="670"/>
      <c r="Y2048" s="671"/>
      <c r="Z2048" s="671"/>
      <c r="AA2048" s="672"/>
      <c r="AB2048" s="673"/>
      <c r="AC2048" s="673"/>
      <c r="AD2048" s="673"/>
      <c r="AE2048" s="673"/>
      <c r="AF2048" s="673"/>
      <c r="AG2048" s="673"/>
      <c r="AH2048" s="673"/>
      <c r="AI2048" s="673"/>
      <c r="AJ2048" s="673"/>
      <c r="AK2048" s="673"/>
      <c r="AL2048" s="673"/>
      <c r="AM2048" s="673"/>
      <c r="AN2048" s="673"/>
      <c r="AO2048" s="673"/>
      <c r="AP2048" s="673"/>
      <c r="AQ2048" s="673"/>
      <c r="AR2048" s="673"/>
      <c r="AS2048" s="673"/>
    </row>
    <row r="2049">
      <c r="A2049" s="653"/>
      <c r="B2049" s="654"/>
      <c r="C2049" s="655"/>
      <c r="D2049" s="656"/>
      <c r="E2049" s="657"/>
      <c r="F2049" s="658"/>
      <c r="G2049" s="659"/>
      <c r="H2049" s="660"/>
      <c r="I2049" s="659"/>
      <c r="J2049" s="661"/>
      <c r="K2049" s="658"/>
      <c r="L2049" s="662"/>
      <c r="M2049" s="663"/>
      <c r="N2049" s="664"/>
      <c r="O2049" s="665"/>
      <c r="P2049" s="666"/>
      <c r="Q2049" s="667"/>
      <c r="R2049" s="668"/>
      <c r="S2049" s="665"/>
      <c r="T2049" s="669"/>
      <c r="U2049" s="669"/>
      <c r="V2049" s="665"/>
      <c r="W2049" s="670"/>
      <c r="X2049" s="670"/>
      <c r="Y2049" s="671"/>
      <c r="Z2049" s="671"/>
      <c r="AA2049" s="672"/>
      <c r="AB2049" s="673"/>
      <c r="AC2049" s="673"/>
      <c r="AD2049" s="673"/>
      <c r="AE2049" s="673"/>
      <c r="AF2049" s="673"/>
      <c r="AG2049" s="673"/>
      <c r="AH2049" s="673"/>
      <c r="AI2049" s="673"/>
      <c r="AJ2049" s="673"/>
      <c r="AK2049" s="673"/>
      <c r="AL2049" s="673"/>
      <c r="AM2049" s="673"/>
      <c r="AN2049" s="673"/>
      <c r="AO2049" s="673"/>
      <c r="AP2049" s="673"/>
      <c r="AQ2049" s="673"/>
      <c r="AR2049" s="673"/>
      <c r="AS2049" s="673"/>
    </row>
    <row r="2050">
      <c r="A2050" s="653"/>
      <c r="B2050" s="654"/>
      <c r="C2050" s="655"/>
      <c r="D2050" s="656"/>
      <c r="E2050" s="657"/>
      <c r="F2050" s="658"/>
      <c r="G2050" s="659"/>
      <c r="H2050" s="660"/>
      <c r="I2050" s="659"/>
      <c r="J2050" s="661"/>
      <c r="K2050" s="658"/>
      <c r="L2050" s="662"/>
      <c r="M2050" s="663"/>
      <c r="N2050" s="664"/>
      <c r="O2050" s="665"/>
      <c r="P2050" s="666"/>
      <c r="Q2050" s="667"/>
      <c r="R2050" s="668"/>
      <c r="S2050" s="665"/>
      <c r="T2050" s="669"/>
      <c r="U2050" s="669"/>
      <c r="V2050" s="665"/>
      <c r="W2050" s="670"/>
      <c r="X2050" s="670"/>
      <c r="Y2050" s="671"/>
      <c r="Z2050" s="671"/>
      <c r="AA2050" s="672"/>
      <c r="AB2050" s="673"/>
      <c r="AC2050" s="673"/>
      <c r="AD2050" s="673"/>
      <c r="AE2050" s="673"/>
      <c r="AF2050" s="673"/>
      <c r="AG2050" s="673"/>
      <c r="AH2050" s="673"/>
      <c r="AI2050" s="673"/>
      <c r="AJ2050" s="673"/>
      <c r="AK2050" s="673"/>
      <c r="AL2050" s="673"/>
      <c r="AM2050" s="673"/>
      <c r="AN2050" s="673"/>
      <c r="AO2050" s="673"/>
      <c r="AP2050" s="673"/>
      <c r="AQ2050" s="673"/>
      <c r="AR2050" s="673"/>
      <c r="AS2050" s="673"/>
    </row>
    <row r="2051">
      <c r="A2051" s="653"/>
      <c r="B2051" s="654"/>
      <c r="C2051" s="655"/>
      <c r="D2051" s="656"/>
      <c r="E2051" s="657"/>
      <c r="F2051" s="658"/>
      <c r="G2051" s="659"/>
      <c r="H2051" s="660"/>
      <c r="I2051" s="659"/>
      <c r="J2051" s="661"/>
      <c r="K2051" s="658"/>
      <c r="L2051" s="662"/>
      <c r="M2051" s="663"/>
      <c r="N2051" s="664"/>
      <c r="O2051" s="665"/>
      <c r="P2051" s="666"/>
      <c r="Q2051" s="667"/>
      <c r="R2051" s="668"/>
      <c r="S2051" s="665"/>
      <c r="T2051" s="669"/>
      <c r="U2051" s="669"/>
      <c r="V2051" s="665"/>
      <c r="W2051" s="670"/>
      <c r="X2051" s="670"/>
      <c r="Y2051" s="671"/>
      <c r="Z2051" s="671"/>
      <c r="AA2051" s="672"/>
      <c r="AB2051" s="673"/>
      <c r="AC2051" s="673"/>
      <c r="AD2051" s="673"/>
      <c r="AE2051" s="673"/>
      <c r="AF2051" s="673"/>
      <c r="AG2051" s="673"/>
      <c r="AH2051" s="673"/>
      <c r="AI2051" s="673"/>
      <c r="AJ2051" s="673"/>
      <c r="AK2051" s="673"/>
      <c r="AL2051" s="673"/>
      <c r="AM2051" s="673"/>
      <c r="AN2051" s="673"/>
      <c r="AO2051" s="673"/>
      <c r="AP2051" s="673"/>
      <c r="AQ2051" s="673"/>
      <c r="AR2051" s="673"/>
      <c r="AS2051" s="673"/>
    </row>
    <row r="2052">
      <c r="A2052" s="653"/>
      <c r="B2052" s="654"/>
      <c r="C2052" s="655"/>
      <c r="D2052" s="656"/>
      <c r="E2052" s="657"/>
      <c r="F2052" s="658"/>
      <c r="G2052" s="659"/>
      <c r="H2052" s="660"/>
      <c r="I2052" s="659"/>
      <c r="J2052" s="661"/>
      <c r="K2052" s="658"/>
      <c r="L2052" s="662"/>
      <c r="M2052" s="663"/>
      <c r="N2052" s="664"/>
      <c r="O2052" s="665"/>
      <c r="P2052" s="666"/>
      <c r="Q2052" s="667"/>
      <c r="R2052" s="668"/>
      <c r="S2052" s="665"/>
      <c r="T2052" s="669"/>
      <c r="U2052" s="669"/>
      <c r="V2052" s="665"/>
      <c r="W2052" s="670"/>
      <c r="X2052" s="670"/>
      <c r="Y2052" s="671"/>
      <c r="Z2052" s="671"/>
      <c r="AA2052" s="672"/>
      <c r="AB2052" s="673"/>
      <c r="AC2052" s="673"/>
      <c r="AD2052" s="673"/>
      <c r="AE2052" s="673"/>
      <c r="AF2052" s="673"/>
      <c r="AG2052" s="673"/>
      <c r="AH2052" s="673"/>
      <c r="AI2052" s="673"/>
      <c r="AJ2052" s="673"/>
      <c r="AK2052" s="673"/>
      <c r="AL2052" s="673"/>
      <c r="AM2052" s="673"/>
      <c r="AN2052" s="673"/>
      <c r="AO2052" s="673"/>
      <c r="AP2052" s="673"/>
      <c r="AQ2052" s="673"/>
      <c r="AR2052" s="673"/>
      <c r="AS2052" s="673"/>
    </row>
    <row r="2053">
      <c r="A2053" s="653"/>
      <c r="B2053" s="654"/>
      <c r="C2053" s="655"/>
      <c r="D2053" s="656"/>
      <c r="E2053" s="657"/>
      <c r="F2053" s="658"/>
      <c r="G2053" s="659"/>
      <c r="H2053" s="660"/>
      <c r="I2053" s="659"/>
      <c r="J2053" s="661"/>
      <c r="K2053" s="658"/>
      <c r="L2053" s="662"/>
      <c r="M2053" s="663"/>
      <c r="N2053" s="664"/>
      <c r="O2053" s="665"/>
      <c r="P2053" s="666"/>
      <c r="Q2053" s="667"/>
      <c r="R2053" s="668"/>
      <c r="S2053" s="665"/>
      <c r="T2053" s="669"/>
      <c r="U2053" s="669"/>
      <c r="V2053" s="665"/>
      <c r="W2053" s="670"/>
      <c r="X2053" s="670"/>
      <c r="Y2053" s="671"/>
      <c r="Z2053" s="671"/>
      <c r="AA2053" s="672"/>
      <c r="AB2053" s="673"/>
      <c r="AC2053" s="673"/>
      <c r="AD2053" s="673"/>
      <c r="AE2053" s="673"/>
      <c r="AF2053" s="673"/>
      <c r="AG2053" s="673"/>
      <c r="AH2053" s="673"/>
      <c r="AI2053" s="673"/>
      <c r="AJ2053" s="673"/>
      <c r="AK2053" s="673"/>
      <c r="AL2053" s="673"/>
      <c r="AM2053" s="673"/>
      <c r="AN2053" s="673"/>
      <c r="AO2053" s="673"/>
      <c r="AP2053" s="673"/>
      <c r="AQ2053" s="673"/>
      <c r="AR2053" s="673"/>
      <c r="AS2053" s="673"/>
    </row>
    <row r="2054">
      <c r="A2054" s="653"/>
      <c r="B2054" s="654"/>
      <c r="C2054" s="655"/>
      <c r="D2054" s="656"/>
      <c r="E2054" s="657"/>
      <c r="F2054" s="658"/>
      <c r="G2054" s="659"/>
      <c r="H2054" s="660"/>
      <c r="I2054" s="659"/>
      <c r="J2054" s="661"/>
      <c r="K2054" s="658"/>
      <c r="L2054" s="662"/>
      <c r="M2054" s="663"/>
      <c r="N2054" s="664"/>
      <c r="O2054" s="665"/>
      <c r="P2054" s="666"/>
      <c r="Q2054" s="667"/>
      <c r="R2054" s="668"/>
      <c r="S2054" s="665"/>
      <c r="T2054" s="669"/>
      <c r="U2054" s="669"/>
      <c r="V2054" s="665"/>
      <c r="W2054" s="670"/>
      <c r="X2054" s="670"/>
      <c r="Y2054" s="671"/>
      <c r="Z2054" s="671"/>
      <c r="AA2054" s="672"/>
      <c r="AB2054" s="673"/>
      <c r="AC2054" s="673"/>
      <c r="AD2054" s="673"/>
      <c r="AE2054" s="673"/>
      <c r="AF2054" s="673"/>
      <c r="AG2054" s="673"/>
      <c r="AH2054" s="673"/>
      <c r="AI2054" s="673"/>
      <c r="AJ2054" s="673"/>
      <c r="AK2054" s="673"/>
      <c r="AL2054" s="673"/>
      <c r="AM2054" s="673"/>
      <c r="AN2054" s="673"/>
      <c r="AO2054" s="673"/>
      <c r="AP2054" s="673"/>
      <c r="AQ2054" s="673"/>
      <c r="AR2054" s="673"/>
      <c r="AS2054" s="673"/>
    </row>
    <row r="2055">
      <c r="A2055" s="653"/>
      <c r="B2055" s="654"/>
      <c r="C2055" s="655"/>
      <c r="D2055" s="656"/>
      <c r="E2055" s="657"/>
      <c r="F2055" s="658"/>
      <c r="G2055" s="659"/>
      <c r="H2055" s="660"/>
      <c r="I2055" s="659"/>
      <c r="J2055" s="661"/>
      <c r="K2055" s="658"/>
      <c r="L2055" s="662"/>
      <c r="M2055" s="663"/>
      <c r="N2055" s="664"/>
      <c r="O2055" s="665"/>
      <c r="P2055" s="666"/>
      <c r="Q2055" s="667"/>
      <c r="R2055" s="668"/>
      <c r="S2055" s="665"/>
      <c r="T2055" s="669"/>
      <c r="U2055" s="669"/>
      <c r="V2055" s="665"/>
      <c r="W2055" s="670"/>
      <c r="X2055" s="670"/>
      <c r="Y2055" s="671"/>
      <c r="Z2055" s="671"/>
      <c r="AA2055" s="672"/>
      <c r="AB2055" s="673"/>
      <c r="AC2055" s="673"/>
      <c r="AD2055" s="673"/>
      <c r="AE2055" s="673"/>
      <c r="AF2055" s="673"/>
      <c r="AG2055" s="673"/>
      <c r="AH2055" s="673"/>
      <c r="AI2055" s="673"/>
      <c r="AJ2055" s="673"/>
      <c r="AK2055" s="673"/>
      <c r="AL2055" s="673"/>
      <c r="AM2055" s="673"/>
      <c r="AN2055" s="673"/>
      <c r="AO2055" s="673"/>
      <c r="AP2055" s="673"/>
      <c r="AQ2055" s="673"/>
      <c r="AR2055" s="673"/>
      <c r="AS2055" s="673"/>
    </row>
    <row r="2056">
      <c r="A2056" s="653"/>
      <c r="B2056" s="654"/>
      <c r="C2056" s="655"/>
      <c r="D2056" s="656"/>
      <c r="E2056" s="657"/>
      <c r="F2056" s="658"/>
      <c r="G2056" s="659"/>
      <c r="H2056" s="660"/>
      <c r="I2056" s="659"/>
      <c r="J2056" s="661"/>
      <c r="K2056" s="658"/>
      <c r="L2056" s="662"/>
      <c r="M2056" s="663"/>
      <c r="N2056" s="664"/>
      <c r="O2056" s="665"/>
      <c r="P2056" s="666"/>
      <c r="Q2056" s="667"/>
      <c r="R2056" s="668"/>
      <c r="S2056" s="665"/>
      <c r="T2056" s="669"/>
      <c r="U2056" s="669"/>
      <c r="V2056" s="665"/>
      <c r="W2056" s="670"/>
      <c r="X2056" s="670"/>
      <c r="Y2056" s="671"/>
      <c r="Z2056" s="671"/>
      <c r="AA2056" s="672"/>
      <c r="AB2056" s="673"/>
      <c r="AC2056" s="673"/>
      <c r="AD2056" s="673"/>
      <c r="AE2056" s="673"/>
      <c r="AF2056" s="673"/>
      <c r="AG2056" s="673"/>
      <c r="AH2056" s="673"/>
      <c r="AI2056" s="673"/>
      <c r="AJ2056" s="673"/>
      <c r="AK2056" s="673"/>
      <c r="AL2056" s="673"/>
      <c r="AM2056" s="673"/>
      <c r="AN2056" s="673"/>
      <c r="AO2056" s="673"/>
      <c r="AP2056" s="673"/>
      <c r="AQ2056" s="673"/>
      <c r="AR2056" s="673"/>
      <c r="AS2056" s="673"/>
    </row>
    <row r="2057">
      <c r="A2057" s="653"/>
      <c r="B2057" s="654"/>
      <c r="C2057" s="655"/>
      <c r="D2057" s="656"/>
      <c r="E2057" s="657"/>
      <c r="F2057" s="658"/>
      <c r="G2057" s="659"/>
      <c r="H2057" s="660"/>
      <c r="I2057" s="659"/>
      <c r="J2057" s="661"/>
      <c r="K2057" s="658"/>
      <c r="L2057" s="662"/>
      <c r="M2057" s="663"/>
      <c r="N2057" s="664"/>
      <c r="O2057" s="665"/>
      <c r="P2057" s="666"/>
      <c r="Q2057" s="667"/>
      <c r="R2057" s="668"/>
      <c r="S2057" s="665"/>
      <c r="T2057" s="669"/>
      <c r="U2057" s="669"/>
      <c r="V2057" s="665"/>
      <c r="W2057" s="670"/>
      <c r="X2057" s="670"/>
      <c r="Y2057" s="671"/>
      <c r="Z2057" s="671"/>
      <c r="AA2057" s="672"/>
      <c r="AB2057" s="673"/>
      <c r="AC2057" s="673"/>
      <c r="AD2057" s="673"/>
      <c r="AE2057" s="673"/>
      <c r="AF2057" s="673"/>
      <c r="AG2057" s="673"/>
      <c r="AH2057" s="673"/>
      <c r="AI2057" s="673"/>
      <c r="AJ2057" s="673"/>
      <c r="AK2057" s="673"/>
      <c r="AL2057" s="673"/>
      <c r="AM2057" s="673"/>
      <c r="AN2057" s="673"/>
      <c r="AO2057" s="673"/>
      <c r="AP2057" s="673"/>
      <c r="AQ2057" s="673"/>
      <c r="AR2057" s="673"/>
      <c r="AS2057" s="673"/>
    </row>
    <row r="2058">
      <c r="A2058" s="653"/>
      <c r="B2058" s="654"/>
      <c r="C2058" s="655"/>
      <c r="D2058" s="656"/>
      <c r="E2058" s="657"/>
      <c r="F2058" s="658"/>
      <c r="G2058" s="659"/>
      <c r="H2058" s="660"/>
      <c r="I2058" s="659"/>
      <c r="J2058" s="661"/>
      <c r="K2058" s="658"/>
      <c r="L2058" s="662"/>
      <c r="M2058" s="663"/>
      <c r="N2058" s="664"/>
      <c r="O2058" s="665"/>
      <c r="P2058" s="666"/>
      <c r="Q2058" s="667"/>
      <c r="R2058" s="668"/>
      <c r="S2058" s="665"/>
      <c r="T2058" s="669"/>
      <c r="U2058" s="669"/>
      <c r="V2058" s="665"/>
      <c r="W2058" s="670"/>
      <c r="X2058" s="670"/>
      <c r="Y2058" s="671"/>
      <c r="Z2058" s="671"/>
      <c r="AA2058" s="672"/>
      <c r="AB2058" s="673"/>
      <c r="AC2058" s="673"/>
      <c r="AD2058" s="673"/>
      <c r="AE2058" s="673"/>
      <c r="AF2058" s="673"/>
      <c r="AG2058" s="673"/>
      <c r="AH2058" s="673"/>
      <c r="AI2058" s="673"/>
      <c r="AJ2058" s="673"/>
      <c r="AK2058" s="673"/>
      <c r="AL2058" s="673"/>
      <c r="AM2058" s="673"/>
      <c r="AN2058" s="673"/>
      <c r="AO2058" s="673"/>
      <c r="AP2058" s="673"/>
      <c r="AQ2058" s="673"/>
      <c r="AR2058" s="673"/>
      <c r="AS2058" s="673"/>
    </row>
    <row r="2059">
      <c r="A2059" s="653"/>
      <c r="B2059" s="654"/>
      <c r="C2059" s="655"/>
      <c r="D2059" s="656"/>
      <c r="E2059" s="657"/>
      <c r="F2059" s="658"/>
      <c r="G2059" s="659"/>
      <c r="H2059" s="660"/>
      <c r="I2059" s="659"/>
      <c r="J2059" s="661"/>
      <c r="K2059" s="658"/>
      <c r="L2059" s="662"/>
      <c r="M2059" s="663"/>
      <c r="N2059" s="664"/>
      <c r="O2059" s="665"/>
      <c r="P2059" s="666"/>
      <c r="Q2059" s="667"/>
      <c r="R2059" s="668"/>
      <c r="S2059" s="665"/>
      <c r="T2059" s="669"/>
      <c r="U2059" s="669"/>
      <c r="V2059" s="665"/>
      <c r="W2059" s="670"/>
      <c r="X2059" s="670"/>
      <c r="Y2059" s="671"/>
      <c r="Z2059" s="671"/>
      <c r="AA2059" s="672"/>
      <c r="AB2059" s="673"/>
      <c r="AC2059" s="673"/>
      <c r="AD2059" s="673"/>
      <c r="AE2059" s="673"/>
      <c r="AF2059" s="673"/>
      <c r="AG2059" s="673"/>
      <c r="AH2059" s="673"/>
      <c r="AI2059" s="673"/>
      <c r="AJ2059" s="673"/>
      <c r="AK2059" s="673"/>
      <c r="AL2059" s="673"/>
      <c r="AM2059" s="673"/>
      <c r="AN2059" s="673"/>
      <c r="AO2059" s="673"/>
      <c r="AP2059" s="673"/>
      <c r="AQ2059" s="673"/>
      <c r="AR2059" s="673"/>
      <c r="AS2059" s="673"/>
    </row>
    <row r="2060">
      <c r="A2060" s="653"/>
      <c r="B2060" s="654"/>
      <c r="C2060" s="655"/>
      <c r="D2060" s="656"/>
      <c r="E2060" s="657"/>
      <c r="F2060" s="658"/>
      <c r="G2060" s="659"/>
      <c r="H2060" s="660"/>
      <c r="I2060" s="659"/>
      <c r="J2060" s="661"/>
      <c r="K2060" s="658"/>
      <c r="L2060" s="662"/>
      <c r="M2060" s="663"/>
      <c r="N2060" s="664"/>
      <c r="O2060" s="665"/>
      <c r="P2060" s="666"/>
      <c r="Q2060" s="667"/>
      <c r="R2060" s="668"/>
      <c r="S2060" s="665"/>
      <c r="T2060" s="669"/>
      <c r="U2060" s="669"/>
      <c r="V2060" s="665"/>
      <c r="W2060" s="670"/>
      <c r="X2060" s="670"/>
      <c r="Y2060" s="671"/>
      <c r="Z2060" s="671"/>
      <c r="AA2060" s="672"/>
      <c r="AB2060" s="673"/>
      <c r="AC2060" s="673"/>
      <c r="AD2060" s="673"/>
      <c r="AE2060" s="673"/>
      <c r="AF2060" s="673"/>
      <c r="AG2060" s="673"/>
      <c r="AH2060" s="673"/>
      <c r="AI2060" s="673"/>
      <c r="AJ2060" s="673"/>
      <c r="AK2060" s="673"/>
      <c r="AL2060" s="673"/>
      <c r="AM2060" s="673"/>
      <c r="AN2060" s="673"/>
      <c r="AO2060" s="673"/>
      <c r="AP2060" s="673"/>
      <c r="AQ2060" s="673"/>
      <c r="AR2060" s="673"/>
      <c r="AS2060" s="673"/>
    </row>
    <row r="2061">
      <c r="A2061" s="653"/>
      <c r="B2061" s="654"/>
      <c r="C2061" s="655"/>
      <c r="D2061" s="656"/>
      <c r="E2061" s="657"/>
      <c r="F2061" s="658"/>
      <c r="G2061" s="659"/>
      <c r="H2061" s="660"/>
      <c r="I2061" s="659"/>
      <c r="J2061" s="661"/>
      <c r="K2061" s="658"/>
      <c r="L2061" s="662"/>
      <c r="M2061" s="663"/>
      <c r="N2061" s="664"/>
      <c r="O2061" s="665"/>
      <c r="P2061" s="666"/>
      <c r="Q2061" s="667"/>
      <c r="R2061" s="668"/>
      <c r="S2061" s="665"/>
      <c r="T2061" s="669"/>
      <c r="U2061" s="669"/>
      <c r="V2061" s="665"/>
      <c r="W2061" s="670"/>
      <c r="X2061" s="670"/>
      <c r="Y2061" s="671"/>
      <c r="Z2061" s="671"/>
      <c r="AA2061" s="672"/>
      <c r="AB2061" s="673"/>
      <c r="AC2061" s="673"/>
      <c r="AD2061" s="673"/>
      <c r="AE2061" s="673"/>
      <c r="AF2061" s="673"/>
      <c r="AG2061" s="673"/>
      <c r="AH2061" s="673"/>
      <c r="AI2061" s="673"/>
      <c r="AJ2061" s="673"/>
      <c r="AK2061" s="673"/>
      <c r="AL2061" s="673"/>
      <c r="AM2061" s="673"/>
      <c r="AN2061" s="673"/>
      <c r="AO2061" s="673"/>
      <c r="AP2061" s="673"/>
      <c r="AQ2061" s="673"/>
      <c r="AR2061" s="673"/>
      <c r="AS2061" s="673"/>
    </row>
    <row r="2062">
      <c r="A2062" s="653"/>
      <c r="B2062" s="654"/>
      <c r="C2062" s="655"/>
      <c r="D2062" s="656"/>
      <c r="E2062" s="657"/>
      <c r="F2062" s="658"/>
      <c r="G2062" s="659"/>
      <c r="H2062" s="660"/>
      <c r="I2062" s="659"/>
      <c r="J2062" s="661"/>
      <c r="K2062" s="658"/>
      <c r="L2062" s="662"/>
      <c r="M2062" s="663"/>
      <c r="N2062" s="664"/>
      <c r="O2062" s="665"/>
      <c r="P2062" s="666"/>
      <c r="Q2062" s="667"/>
      <c r="R2062" s="668"/>
      <c r="S2062" s="665"/>
      <c r="T2062" s="669"/>
      <c r="U2062" s="669"/>
      <c r="V2062" s="665"/>
      <c r="W2062" s="670"/>
      <c r="X2062" s="670"/>
      <c r="Y2062" s="671"/>
      <c r="Z2062" s="671"/>
      <c r="AA2062" s="672"/>
      <c r="AB2062" s="673"/>
      <c r="AC2062" s="673"/>
      <c r="AD2062" s="673"/>
      <c r="AE2062" s="673"/>
      <c r="AF2062" s="673"/>
      <c r="AG2062" s="673"/>
      <c r="AH2062" s="673"/>
      <c r="AI2062" s="673"/>
      <c r="AJ2062" s="673"/>
      <c r="AK2062" s="673"/>
      <c r="AL2062" s="673"/>
      <c r="AM2062" s="673"/>
      <c r="AN2062" s="673"/>
      <c r="AO2062" s="673"/>
      <c r="AP2062" s="673"/>
      <c r="AQ2062" s="673"/>
      <c r="AR2062" s="673"/>
      <c r="AS2062" s="673"/>
    </row>
    <row r="2063">
      <c r="A2063" s="653"/>
      <c r="B2063" s="654"/>
      <c r="C2063" s="655"/>
      <c r="D2063" s="656"/>
      <c r="E2063" s="657"/>
      <c r="F2063" s="658"/>
      <c r="G2063" s="659"/>
      <c r="H2063" s="660"/>
      <c r="I2063" s="659"/>
      <c r="J2063" s="661"/>
      <c r="K2063" s="658"/>
      <c r="L2063" s="662"/>
      <c r="M2063" s="663"/>
      <c r="N2063" s="664"/>
      <c r="O2063" s="665"/>
      <c r="P2063" s="666"/>
      <c r="Q2063" s="667"/>
      <c r="R2063" s="668"/>
      <c r="S2063" s="665"/>
      <c r="T2063" s="669"/>
      <c r="U2063" s="669"/>
      <c r="V2063" s="665"/>
      <c r="W2063" s="670"/>
      <c r="X2063" s="670"/>
      <c r="Y2063" s="671"/>
      <c r="Z2063" s="671"/>
      <c r="AA2063" s="672"/>
      <c r="AB2063" s="673"/>
      <c r="AC2063" s="673"/>
      <c r="AD2063" s="673"/>
      <c r="AE2063" s="673"/>
      <c r="AF2063" s="673"/>
      <c r="AG2063" s="673"/>
      <c r="AH2063" s="673"/>
      <c r="AI2063" s="673"/>
      <c r="AJ2063" s="673"/>
      <c r="AK2063" s="673"/>
      <c r="AL2063" s="673"/>
      <c r="AM2063" s="673"/>
      <c r="AN2063" s="673"/>
      <c r="AO2063" s="673"/>
      <c r="AP2063" s="673"/>
      <c r="AQ2063" s="673"/>
      <c r="AR2063" s="673"/>
      <c r="AS2063" s="673"/>
    </row>
    <row r="2064">
      <c r="A2064" s="653"/>
      <c r="B2064" s="654"/>
      <c r="C2064" s="655"/>
      <c r="D2064" s="656"/>
      <c r="E2064" s="657"/>
      <c r="F2064" s="658"/>
      <c r="G2064" s="659"/>
      <c r="H2064" s="660"/>
      <c r="I2064" s="659"/>
      <c r="J2064" s="661"/>
      <c r="K2064" s="658"/>
      <c r="L2064" s="662"/>
      <c r="M2064" s="663"/>
      <c r="N2064" s="664"/>
      <c r="O2064" s="665"/>
      <c r="P2064" s="666"/>
      <c r="Q2064" s="667"/>
      <c r="R2064" s="668"/>
      <c r="S2064" s="665"/>
      <c r="T2064" s="669"/>
      <c r="U2064" s="669"/>
      <c r="V2064" s="665"/>
      <c r="W2064" s="670"/>
      <c r="X2064" s="670"/>
      <c r="Y2064" s="671"/>
      <c r="Z2064" s="671"/>
      <c r="AA2064" s="672"/>
      <c r="AB2064" s="673"/>
      <c r="AC2064" s="673"/>
      <c r="AD2064" s="673"/>
      <c r="AE2064" s="673"/>
      <c r="AF2064" s="673"/>
      <c r="AG2064" s="673"/>
      <c r="AH2064" s="673"/>
      <c r="AI2064" s="673"/>
      <c r="AJ2064" s="673"/>
      <c r="AK2064" s="673"/>
      <c r="AL2064" s="673"/>
      <c r="AM2064" s="673"/>
      <c r="AN2064" s="673"/>
      <c r="AO2064" s="673"/>
      <c r="AP2064" s="673"/>
      <c r="AQ2064" s="673"/>
      <c r="AR2064" s="673"/>
      <c r="AS2064" s="673"/>
    </row>
  </sheetData>
  <mergeCells count="2">
    <mergeCell ref="A1:L2"/>
    <mergeCell ref="M1:Z2"/>
  </mergeCells>
  <conditionalFormatting sqref="M5:M2064">
    <cfRule type="cellIs" dxfId="5" priority="1" operator="equal">
      <formula>"AÇÃO"</formula>
    </cfRule>
  </conditionalFormatting>
  <conditionalFormatting sqref="M5:M2064">
    <cfRule type="expression" dxfId="25" priority="2">
      <formula>IF(OR(M5="ETF",M5="FIA",M5="FIP",M5="FIP IE"),TRUE)</formula>
    </cfRule>
  </conditionalFormatting>
  <conditionalFormatting sqref="M5:M2064">
    <cfRule type="cellIs" dxfId="43" priority="3" operator="equal">
      <formula>"FII"</formula>
    </cfRule>
  </conditionalFormatting>
  <conditionalFormatting sqref="M5:M2064">
    <cfRule type="cellIs" dxfId="44" priority="4" operator="equal">
      <formula>"OPÇÃO"</formula>
    </cfRule>
  </conditionalFormatting>
  <conditionalFormatting sqref="M5:M2064">
    <cfRule type="cellIs" dxfId="45" priority="5" operator="equal">
      <formula>"BDR"</formula>
    </cfRule>
  </conditionalFormatting>
  <conditionalFormatting sqref="M5:M2064">
    <cfRule type="expression" dxfId="46" priority="6">
      <formula>IF(OR(M5="STOCK",M5="REIT"),TRUE)</formula>
    </cfRule>
  </conditionalFormatting>
  <conditionalFormatting sqref="O5:AS2064">
    <cfRule type="cellIs" dxfId="2" priority="7" operator="lessThan">
      <formula>0</formula>
    </cfRule>
  </conditionalFormatting>
  <conditionalFormatting sqref="O5:AS2064">
    <cfRule type="cellIs" dxfId="47" priority="8" operator="equal">
      <formula>0</formula>
    </cfRule>
  </conditionalFormatting>
  <conditionalFormatting sqref="N5:N2064 P5:Q2064 S5:S2064 V5:X2064">
    <cfRule type="cellIs" dxfId="48" priority="9" operator="lessThan">
      <formula>0</formula>
    </cfRule>
  </conditionalFormatting>
  <conditionalFormatting sqref="E5:E2064">
    <cfRule type="cellIs" dxfId="49" priority="10" operator="greaterThanOrEqual">
      <formula>0</formula>
    </cfRule>
  </conditionalFormatting>
  <conditionalFormatting sqref="E5:E2064">
    <cfRule type="cellIs" dxfId="50" priority="11" operator="lessThan">
      <formula>0</formula>
    </cfRule>
  </conditionalFormatting>
  <conditionalFormatting sqref="M5:M2064">
    <cfRule type="expression" dxfId="1" priority="12">
      <formula>IF(OR(M5="CRIPTO",M5="TOKEN"),TRUE)</formula>
    </cfRule>
  </conditionalFormatting>
  <conditionalFormatting sqref="M5:M2064">
    <cfRule type="notContainsBlanks" dxfId="42" priority="13">
      <formula>LEN(TRIM(M5))&gt;0</formula>
    </cfRule>
  </conditionalFormatting>
  <dataValidations>
    <dataValidation type="list" allowBlank="1" sqref="A5:A2064">
      <formula1>'config.parâmetros'!$B$17:$B$23</formula1>
    </dataValidation>
    <dataValidation type="list" allowBlank="1" sqref="D5:D2064">
      <formula1>"C,V,DT,SUB,V.SUB,BN,IPO,S/I,AT,TC,BAIXA,C.COTA,V.FRACAO,R.CAP,AM,CISÃO,AJ.POS,EX.OPC,EX.OPV,TERMO,ISENTO,TAXA,SALDO,GRUPAMENTO,DESDOBRAMENTO,---,V.SOB,TX.BTC"</formula1>
    </dataValidation>
    <dataValidation type="list" allowBlank="1" sqref="J5:J2064">
      <formula1>"BRL,USD,AUD,CAD,CHF,EUR,GBP,GBX,HKD,JPY,SGD"</formula1>
    </dataValidation>
  </dataValidations>
  <printOptions/>
  <pageMargins bottom="0.787401575" footer="0.0" header="0.0" left="0.511811024" right="0.511811024" top="0.787401575"/>
  <pageSetup paperSize="9" orientation="portrait"/>
  <drawing r:id="rId2"/>
  <legacyDrawing r:id="rId3"/>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pageSetUpPr/>
  </sheetPr>
  <sheetViews>
    <sheetView showGridLines="0" workbookViewId="0">
      <pane ySplit="4.0" topLeftCell="A5" activePane="bottomLeft" state="frozen"/>
      <selection activeCell="B6" sqref="B6" pane="bottomLeft"/>
    </sheetView>
  </sheetViews>
  <sheetFormatPr customHeight="1" defaultColWidth="15.13" defaultRowHeight="15.75"/>
  <cols>
    <col customWidth="1" hidden="1" min="1" max="1" width="11.38"/>
    <col customWidth="1" min="2" max="2" width="15.13"/>
    <col customWidth="1" min="3" max="3" width="7.63"/>
    <col customWidth="1" min="4" max="7" width="8.25"/>
    <col customWidth="1" min="8" max="8" width="11.38"/>
    <col customWidth="1" min="9" max="9" width="8.25"/>
    <col customWidth="1" min="10" max="10" width="7.63"/>
    <col customWidth="1" min="11" max="11" width="15.13"/>
    <col customWidth="1" min="12" max="12" width="1.13"/>
    <col customWidth="1" min="13" max="13" width="8.25"/>
    <col customWidth="1" min="14" max="14" width="12.63"/>
    <col customWidth="1" min="15" max="17" width="8.25"/>
    <col customWidth="1" min="18" max="18" width="11.38"/>
    <col customWidth="1" min="19" max="25" width="8.25"/>
    <col customWidth="1" hidden="1" min="26" max="26" width="11.38"/>
    <col customWidth="1" hidden="1" min="27" max="27" width="8.25"/>
    <col customWidth="1" hidden="1" min="28" max="28" width="5.13"/>
    <col customWidth="1" hidden="1" min="29" max="30" width="16.38"/>
    <col customWidth="1" hidden="1" min="31" max="46" width="10.5"/>
  </cols>
  <sheetData>
    <row r="1" ht="12.75" customHeight="1">
      <c r="A1" s="639" t="s">
        <v>429</v>
      </c>
      <c r="B1" s="514"/>
      <c r="C1" s="514"/>
      <c r="D1" s="514"/>
      <c r="E1" s="514"/>
      <c r="F1" s="514"/>
      <c r="G1" s="514"/>
      <c r="H1" s="514"/>
      <c r="I1" s="514"/>
      <c r="J1" s="514"/>
      <c r="K1" s="514"/>
      <c r="L1" s="217"/>
      <c r="M1" s="674" t="str">
        <f>HYPERLINK("https://leitordenotas.github.io","Use o LEITOR DE NOTAS para importar os dados e calcular as taxas")</f>
        <v>Use o LEITOR DE NOTAS para importar os dados e calcular as taxas</v>
      </c>
      <c r="S1" s="675"/>
      <c r="T1" s="675"/>
      <c r="U1" s="675"/>
      <c r="V1" s="676" t="str">
        <f>HYPERLINK("bit.ly/dlombelloplanilhas","dlombello®planilhas "&amp;leiame!B6)</f>
        <v>dlombello®planilhas v6.4.02</v>
      </c>
      <c r="AA1" s="641"/>
      <c r="AB1" s="677"/>
      <c r="AC1" s="642"/>
      <c r="AD1" s="642"/>
      <c r="AE1" s="642"/>
      <c r="AF1" s="642"/>
      <c r="AG1" s="642"/>
      <c r="AH1" s="642"/>
      <c r="AI1" s="642"/>
      <c r="AJ1" s="642"/>
      <c r="AK1" s="642"/>
      <c r="AL1" s="642"/>
      <c r="AM1" s="642"/>
      <c r="AN1" s="642"/>
      <c r="AO1" s="642"/>
      <c r="AP1" s="642"/>
      <c r="AQ1" s="642"/>
      <c r="AR1" s="642"/>
      <c r="AS1" s="642"/>
      <c r="AT1" s="642"/>
    </row>
    <row r="2" ht="12.75" customHeight="1">
      <c r="A2" s="230"/>
      <c r="B2" s="519"/>
      <c r="C2" s="519"/>
      <c r="D2" s="519"/>
      <c r="E2" s="519"/>
      <c r="F2" s="519"/>
      <c r="G2" s="519"/>
      <c r="H2" s="519"/>
      <c r="I2" s="519"/>
      <c r="J2" s="519"/>
      <c r="K2" s="519"/>
      <c r="L2" s="231"/>
      <c r="S2" s="675"/>
      <c r="T2" s="675"/>
      <c r="U2" s="675"/>
      <c r="AA2" s="641"/>
      <c r="AB2" s="677"/>
      <c r="AC2" s="642"/>
      <c r="AD2" s="642"/>
      <c r="AE2" s="642"/>
      <c r="AF2" s="642"/>
      <c r="AG2" s="642"/>
      <c r="AH2" s="642"/>
      <c r="AI2" s="642"/>
      <c r="AJ2" s="642"/>
      <c r="AK2" s="642"/>
      <c r="AL2" s="642"/>
      <c r="AM2" s="642"/>
      <c r="AN2" s="642"/>
      <c r="AO2" s="642"/>
      <c r="AP2" s="642"/>
      <c r="AQ2" s="642"/>
      <c r="AR2" s="642"/>
      <c r="AS2" s="642"/>
      <c r="AT2" s="642"/>
    </row>
    <row r="3" ht="6.0" customHeight="1">
      <c r="A3" s="678"/>
      <c r="B3" s="678"/>
      <c r="C3" s="678"/>
      <c r="D3" s="679"/>
      <c r="E3" s="679"/>
      <c r="F3" s="679"/>
      <c r="G3" s="679"/>
      <c r="H3" s="679"/>
      <c r="I3" s="678"/>
      <c r="J3" s="678"/>
      <c r="K3" s="678"/>
      <c r="L3" s="680"/>
      <c r="M3" s="678"/>
      <c r="N3" s="678"/>
      <c r="O3" s="678"/>
      <c r="P3" s="678"/>
      <c r="Q3" s="681"/>
      <c r="R3" s="678"/>
      <c r="S3" s="678"/>
      <c r="T3" s="678"/>
      <c r="U3" s="678"/>
      <c r="V3" s="678"/>
      <c r="W3" s="678"/>
      <c r="X3" s="678"/>
      <c r="Y3" s="678"/>
      <c r="Z3" s="678"/>
      <c r="AA3" s="682"/>
      <c r="AB3" s="683"/>
      <c r="AC3" s="678"/>
      <c r="AD3" s="678"/>
      <c r="AE3" s="643"/>
      <c r="AF3" s="643"/>
      <c r="AG3" s="643"/>
      <c r="AH3" s="643"/>
      <c r="AI3" s="643"/>
      <c r="AJ3" s="643"/>
      <c r="AK3" s="643"/>
      <c r="AL3" s="643"/>
      <c r="AM3" s="643"/>
      <c r="AN3" s="643"/>
      <c r="AO3" s="643"/>
      <c r="AP3" s="643"/>
      <c r="AQ3" s="643"/>
      <c r="AR3" s="643"/>
      <c r="AS3" s="643"/>
      <c r="AT3" s="643"/>
    </row>
    <row r="4" ht="15.75" customHeight="1">
      <c r="A4" s="648" t="s">
        <v>390</v>
      </c>
      <c r="B4" s="648" t="s">
        <v>188</v>
      </c>
      <c r="C4" s="648" t="s">
        <v>391</v>
      </c>
      <c r="D4" s="684" t="s">
        <v>392</v>
      </c>
      <c r="E4" s="684" t="s">
        <v>393</v>
      </c>
      <c r="F4" s="684" t="s">
        <v>394</v>
      </c>
      <c r="G4" s="684" t="s">
        <v>395</v>
      </c>
      <c r="H4" s="684" t="s">
        <v>316</v>
      </c>
      <c r="I4" s="648" t="s">
        <v>396</v>
      </c>
      <c r="J4" s="648" t="s">
        <v>397</v>
      </c>
      <c r="K4" s="648" t="s">
        <v>398</v>
      </c>
      <c r="L4" s="685"/>
      <c r="M4" s="686" t="s">
        <v>189</v>
      </c>
      <c r="N4" s="686" t="s">
        <v>399</v>
      </c>
      <c r="O4" s="686" t="s">
        <v>400</v>
      </c>
      <c r="P4" s="686" t="s">
        <v>317</v>
      </c>
      <c r="Q4" s="687" t="s">
        <v>401</v>
      </c>
      <c r="R4" s="686" t="s">
        <v>402</v>
      </c>
      <c r="S4" s="686" t="s">
        <v>403</v>
      </c>
      <c r="T4" s="686" t="s">
        <v>404</v>
      </c>
      <c r="U4" s="686" t="s">
        <v>405</v>
      </c>
      <c r="V4" s="686" t="s">
        <v>406</v>
      </c>
      <c r="W4" s="686" t="s">
        <v>407</v>
      </c>
      <c r="X4" s="686" t="s">
        <v>408</v>
      </c>
      <c r="Y4" s="686" t="s">
        <v>409</v>
      </c>
      <c r="Z4" s="686" t="s">
        <v>410</v>
      </c>
      <c r="AA4" s="688" t="s">
        <v>411</v>
      </c>
      <c r="AB4" s="689" t="s">
        <v>412</v>
      </c>
      <c r="AC4" s="686" t="s">
        <v>193</v>
      </c>
      <c r="AD4" s="690" t="s">
        <v>413</v>
      </c>
      <c r="AE4" s="649" t="s">
        <v>414</v>
      </c>
      <c r="AF4" s="649" t="s">
        <v>415</v>
      </c>
      <c r="AG4" s="649" t="s">
        <v>416</v>
      </c>
      <c r="AH4" s="649" t="s">
        <v>417</v>
      </c>
      <c r="AI4" s="649" t="s">
        <v>418</v>
      </c>
      <c r="AJ4" s="649" t="s">
        <v>419</v>
      </c>
      <c r="AK4" s="649" t="s">
        <v>420</v>
      </c>
      <c r="AL4" s="649" t="s">
        <v>421</v>
      </c>
      <c r="AM4" s="649" t="s">
        <v>422</v>
      </c>
      <c r="AN4" s="649" t="s">
        <v>423</v>
      </c>
      <c r="AO4" s="649" t="s">
        <v>424</v>
      </c>
      <c r="AP4" s="649" t="s">
        <v>425</v>
      </c>
      <c r="AQ4" s="649" t="s">
        <v>426</v>
      </c>
      <c r="AR4" s="649" t="s">
        <v>427</v>
      </c>
      <c r="AS4" s="649" t="s">
        <v>428</v>
      </c>
      <c r="AT4" s="690"/>
    </row>
    <row r="5" ht="15.75" customHeight="1">
      <c r="A5" s="653"/>
      <c r="B5" s="654"/>
      <c r="C5" s="691"/>
      <c r="D5" s="656"/>
      <c r="E5" s="657"/>
      <c r="F5" s="658"/>
      <c r="G5" s="659"/>
      <c r="H5" s="660"/>
      <c r="I5" s="659"/>
      <c r="J5" s="661"/>
      <c r="K5" s="692"/>
      <c r="L5" s="645"/>
      <c r="M5" s="663"/>
      <c r="N5" s="665"/>
      <c r="O5" s="665"/>
      <c r="P5" s="666"/>
      <c r="Q5" s="667"/>
      <c r="R5" s="668"/>
      <c r="S5" s="693"/>
      <c r="T5" s="694"/>
      <c r="U5" s="694"/>
      <c r="V5" s="693"/>
      <c r="W5" s="693"/>
      <c r="X5" s="693"/>
      <c r="Y5" s="671"/>
      <c r="Z5" s="673"/>
      <c r="AA5" s="672"/>
      <c r="AB5" s="695"/>
      <c r="AC5" s="673"/>
      <c r="AD5" s="673"/>
      <c r="AE5" s="673"/>
      <c r="AF5" s="673"/>
      <c r="AG5" s="673"/>
      <c r="AH5" s="673"/>
      <c r="AI5" s="673"/>
      <c r="AJ5" s="673"/>
      <c r="AK5" s="673"/>
      <c r="AL5" s="673"/>
      <c r="AM5" s="673"/>
      <c r="AN5" s="673"/>
      <c r="AO5" s="673"/>
      <c r="AP5" s="673"/>
      <c r="AQ5" s="673"/>
      <c r="AR5" s="673"/>
      <c r="AS5" s="673"/>
      <c r="AT5" s="696"/>
    </row>
    <row r="6" ht="15.75" customHeight="1">
      <c r="A6" s="653"/>
      <c r="B6" s="654"/>
      <c r="C6" s="691"/>
      <c r="D6" s="656"/>
      <c r="E6" s="657"/>
      <c r="F6" s="658"/>
      <c r="G6" s="659"/>
      <c r="H6" s="660"/>
      <c r="I6" s="659"/>
      <c r="J6" s="661"/>
      <c r="K6" s="692"/>
      <c r="L6" s="645"/>
      <c r="M6" s="663"/>
      <c r="N6" s="665"/>
      <c r="O6" s="665"/>
      <c r="P6" s="666"/>
      <c r="Q6" s="667"/>
      <c r="R6" s="668"/>
      <c r="S6" s="693"/>
      <c r="T6" s="694"/>
      <c r="U6" s="694"/>
      <c r="V6" s="693"/>
      <c r="W6" s="693"/>
      <c r="X6" s="693"/>
      <c r="Y6" s="671"/>
      <c r="Z6" s="673"/>
      <c r="AA6" s="672"/>
      <c r="AB6" s="695"/>
      <c r="AC6" s="673"/>
      <c r="AD6" s="673"/>
      <c r="AE6" s="673"/>
      <c r="AF6" s="673"/>
      <c r="AG6" s="673"/>
      <c r="AH6" s="673"/>
      <c r="AI6" s="673"/>
      <c r="AJ6" s="673"/>
      <c r="AK6" s="673"/>
      <c r="AL6" s="673"/>
      <c r="AM6" s="673"/>
      <c r="AN6" s="673"/>
      <c r="AO6" s="673"/>
      <c r="AP6" s="673"/>
      <c r="AQ6" s="673"/>
      <c r="AR6" s="673"/>
      <c r="AS6" s="673"/>
      <c r="AT6" s="696"/>
    </row>
    <row r="7" ht="15.75" customHeight="1">
      <c r="A7" s="653"/>
      <c r="B7" s="654"/>
      <c r="C7" s="691"/>
      <c r="D7" s="656"/>
      <c r="E7" s="657"/>
      <c r="F7" s="658"/>
      <c r="G7" s="659"/>
      <c r="H7" s="660"/>
      <c r="I7" s="659"/>
      <c r="J7" s="661"/>
      <c r="K7" s="692"/>
      <c r="L7" s="645"/>
      <c r="M7" s="663"/>
      <c r="N7" s="665"/>
      <c r="O7" s="665"/>
      <c r="P7" s="666"/>
      <c r="Q7" s="667"/>
      <c r="R7" s="668"/>
      <c r="S7" s="693"/>
      <c r="T7" s="694"/>
      <c r="U7" s="694"/>
      <c r="V7" s="693"/>
      <c r="W7" s="693"/>
      <c r="X7" s="693"/>
      <c r="Y7" s="671"/>
      <c r="Z7" s="673"/>
      <c r="AA7" s="672"/>
      <c r="AB7" s="695"/>
      <c r="AC7" s="673"/>
      <c r="AD7" s="673"/>
      <c r="AE7" s="673"/>
      <c r="AF7" s="673"/>
      <c r="AG7" s="673"/>
      <c r="AH7" s="673"/>
      <c r="AI7" s="673"/>
      <c r="AJ7" s="673"/>
      <c r="AK7" s="673"/>
      <c r="AL7" s="673"/>
      <c r="AM7" s="673"/>
      <c r="AN7" s="673"/>
      <c r="AO7" s="673"/>
      <c r="AP7" s="673"/>
      <c r="AQ7" s="673"/>
      <c r="AR7" s="673"/>
      <c r="AS7" s="673"/>
      <c r="AT7" s="696"/>
    </row>
    <row r="8" ht="15.75" customHeight="1">
      <c r="A8" s="653"/>
      <c r="B8" s="654"/>
      <c r="C8" s="691"/>
      <c r="D8" s="656"/>
      <c r="E8" s="657"/>
      <c r="F8" s="658"/>
      <c r="G8" s="659"/>
      <c r="H8" s="660"/>
      <c r="I8" s="659"/>
      <c r="J8" s="661"/>
      <c r="K8" s="692"/>
      <c r="L8" s="645"/>
      <c r="M8" s="663"/>
      <c r="N8" s="665"/>
      <c r="O8" s="665"/>
      <c r="P8" s="666"/>
      <c r="Q8" s="667"/>
      <c r="R8" s="668"/>
      <c r="S8" s="693"/>
      <c r="T8" s="694"/>
      <c r="U8" s="694"/>
      <c r="V8" s="693"/>
      <c r="W8" s="693"/>
      <c r="X8" s="693"/>
      <c r="Y8" s="671"/>
      <c r="Z8" s="673"/>
      <c r="AA8" s="672"/>
      <c r="AB8" s="695"/>
      <c r="AC8" s="673"/>
      <c r="AD8" s="673"/>
      <c r="AE8" s="673"/>
      <c r="AF8" s="673"/>
      <c r="AG8" s="673"/>
      <c r="AH8" s="673"/>
      <c r="AI8" s="673"/>
      <c r="AJ8" s="673"/>
      <c r="AK8" s="673"/>
      <c r="AL8" s="673"/>
      <c r="AM8" s="673"/>
      <c r="AN8" s="673"/>
      <c r="AO8" s="673"/>
      <c r="AP8" s="673"/>
      <c r="AQ8" s="673"/>
      <c r="AR8" s="673"/>
      <c r="AS8" s="673"/>
      <c r="AT8" s="696"/>
    </row>
    <row r="9" ht="15.75" customHeight="1">
      <c r="A9" s="653"/>
      <c r="B9" s="654"/>
      <c r="C9" s="691"/>
      <c r="D9" s="656"/>
      <c r="E9" s="657"/>
      <c r="F9" s="658"/>
      <c r="G9" s="659"/>
      <c r="H9" s="660"/>
      <c r="I9" s="659"/>
      <c r="J9" s="661"/>
      <c r="K9" s="692"/>
      <c r="L9" s="645"/>
      <c r="M9" s="663"/>
      <c r="N9" s="665"/>
      <c r="O9" s="665"/>
      <c r="P9" s="666"/>
      <c r="Q9" s="667"/>
      <c r="R9" s="668"/>
      <c r="S9" s="693"/>
      <c r="T9" s="694"/>
      <c r="U9" s="694"/>
      <c r="V9" s="693"/>
      <c r="W9" s="693"/>
      <c r="X9" s="693"/>
      <c r="Y9" s="671"/>
      <c r="Z9" s="673"/>
      <c r="AA9" s="672"/>
      <c r="AB9" s="695"/>
      <c r="AC9" s="673"/>
      <c r="AD9" s="673"/>
      <c r="AE9" s="673"/>
      <c r="AF9" s="673"/>
      <c r="AG9" s="673"/>
      <c r="AH9" s="673"/>
      <c r="AI9" s="673"/>
      <c r="AJ9" s="673"/>
      <c r="AK9" s="673"/>
      <c r="AL9" s="673"/>
      <c r="AM9" s="673"/>
      <c r="AN9" s="673"/>
      <c r="AO9" s="673"/>
      <c r="AP9" s="673"/>
      <c r="AQ9" s="673"/>
      <c r="AR9" s="673"/>
      <c r="AS9" s="673"/>
      <c r="AT9" s="696"/>
    </row>
    <row r="10" ht="15.75" customHeight="1">
      <c r="A10" s="653"/>
      <c r="B10" s="654"/>
      <c r="C10" s="691"/>
      <c r="D10" s="656"/>
      <c r="E10" s="657"/>
      <c r="F10" s="658"/>
      <c r="G10" s="659"/>
      <c r="H10" s="660"/>
      <c r="I10" s="659"/>
      <c r="J10" s="661"/>
      <c r="K10" s="692"/>
      <c r="L10" s="645"/>
      <c r="M10" s="663"/>
      <c r="N10" s="665"/>
      <c r="O10" s="665"/>
      <c r="P10" s="666"/>
      <c r="Q10" s="667"/>
      <c r="R10" s="668"/>
      <c r="S10" s="693"/>
      <c r="T10" s="694"/>
      <c r="U10" s="694"/>
      <c r="V10" s="693"/>
      <c r="W10" s="693"/>
      <c r="X10" s="693"/>
      <c r="Y10" s="671"/>
      <c r="Z10" s="673"/>
      <c r="AA10" s="672"/>
      <c r="AB10" s="695"/>
      <c r="AC10" s="673"/>
      <c r="AD10" s="673"/>
      <c r="AE10" s="673"/>
      <c r="AF10" s="673"/>
      <c r="AG10" s="673"/>
      <c r="AH10" s="673"/>
      <c r="AI10" s="673"/>
      <c r="AJ10" s="673"/>
      <c r="AK10" s="673"/>
      <c r="AL10" s="673"/>
      <c r="AM10" s="673"/>
      <c r="AN10" s="673"/>
      <c r="AO10" s="673"/>
      <c r="AP10" s="673"/>
      <c r="AQ10" s="673"/>
      <c r="AR10" s="673"/>
      <c r="AS10" s="673"/>
      <c r="AT10" s="696"/>
    </row>
    <row r="11" ht="15.75" customHeight="1">
      <c r="A11" s="653"/>
      <c r="B11" s="654"/>
      <c r="C11" s="691"/>
      <c r="D11" s="656"/>
      <c r="E11" s="657"/>
      <c r="F11" s="658"/>
      <c r="G11" s="659"/>
      <c r="H11" s="660"/>
      <c r="I11" s="659"/>
      <c r="J11" s="661"/>
      <c r="K11" s="692"/>
      <c r="L11" s="645"/>
      <c r="M11" s="663"/>
      <c r="N11" s="665"/>
      <c r="O11" s="665"/>
      <c r="P11" s="666"/>
      <c r="Q11" s="667"/>
      <c r="R11" s="668"/>
      <c r="S11" s="693"/>
      <c r="T11" s="694"/>
      <c r="U11" s="694"/>
      <c r="V11" s="693"/>
      <c r="W11" s="693"/>
      <c r="X11" s="693"/>
      <c r="Y11" s="671"/>
      <c r="Z11" s="673"/>
      <c r="AA11" s="672"/>
      <c r="AB11" s="695"/>
      <c r="AC11" s="673"/>
      <c r="AD11" s="673"/>
      <c r="AE11" s="673"/>
      <c r="AF11" s="673"/>
      <c r="AG11" s="673"/>
      <c r="AH11" s="673"/>
      <c r="AI11" s="673"/>
      <c r="AJ11" s="673"/>
      <c r="AK11" s="673"/>
      <c r="AL11" s="673"/>
      <c r="AM11" s="673"/>
      <c r="AN11" s="673"/>
      <c r="AO11" s="673"/>
      <c r="AP11" s="673"/>
      <c r="AQ11" s="673"/>
      <c r="AR11" s="673"/>
      <c r="AS11" s="673"/>
      <c r="AT11" s="696"/>
    </row>
    <row r="12" ht="15.75" customHeight="1">
      <c r="A12" s="653"/>
      <c r="B12" s="654"/>
      <c r="C12" s="691"/>
      <c r="D12" s="656"/>
      <c r="E12" s="657"/>
      <c r="F12" s="658"/>
      <c r="G12" s="659"/>
      <c r="H12" s="660"/>
      <c r="I12" s="659"/>
      <c r="J12" s="661"/>
      <c r="K12" s="692"/>
      <c r="L12" s="645"/>
      <c r="M12" s="663"/>
      <c r="N12" s="665"/>
      <c r="O12" s="665"/>
      <c r="P12" s="666"/>
      <c r="Q12" s="667"/>
      <c r="R12" s="668"/>
      <c r="S12" s="693"/>
      <c r="T12" s="694"/>
      <c r="U12" s="694"/>
      <c r="V12" s="693"/>
      <c r="W12" s="693"/>
      <c r="X12" s="693"/>
      <c r="Y12" s="671"/>
      <c r="Z12" s="673"/>
      <c r="AA12" s="672"/>
      <c r="AB12" s="695"/>
      <c r="AC12" s="673"/>
      <c r="AD12" s="673"/>
      <c r="AE12" s="673"/>
      <c r="AF12" s="673"/>
      <c r="AG12" s="673"/>
      <c r="AH12" s="673"/>
      <c r="AI12" s="673"/>
      <c r="AJ12" s="673"/>
      <c r="AK12" s="673"/>
      <c r="AL12" s="673"/>
      <c r="AM12" s="673"/>
      <c r="AN12" s="673"/>
      <c r="AO12" s="673"/>
      <c r="AP12" s="673"/>
      <c r="AQ12" s="673"/>
      <c r="AR12" s="673"/>
      <c r="AS12" s="673"/>
      <c r="AT12" s="696"/>
    </row>
    <row r="13" ht="15.75" customHeight="1">
      <c r="A13" s="653"/>
      <c r="B13" s="654"/>
      <c r="C13" s="691"/>
      <c r="D13" s="656"/>
      <c r="E13" s="657"/>
      <c r="F13" s="658"/>
      <c r="G13" s="659"/>
      <c r="H13" s="660"/>
      <c r="I13" s="659"/>
      <c r="J13" s="661"/>
      <c r="K13" s="692"/>
      <c r="L13" s="645"/>
      <c r="M13" s="663"/>
      <c r="N13" s="665"/>
      <c r="O13" s="665"/>
      <c r="P13" s="666"/>
      <c r="Q13" s="667"/>
      <c r="R13" s="668"/>
      <c r="S13" s="693"/>
      <c r="T13" s="694"/>
      <c r="U13" s="694"/>
      <c r="V13" s="693"/>
      <c r="W13" s="693"/>
      <c r="X13" s="693"/>
      <c r="Y13" s="671"/>
      <c r="Z13" s="673"/>
      <c r="AA13" s="672"/>
      <c r="AB13" s="695"/>
      <c r="AC13" s="673"/>
      <c r="AD13" s="673"/>
      <c r="AE13" s="673"/>
      <c r="AF13" s="673"/>
      <c r="AG13" s="673"/>
      <c r="AH13" s="673"/>
      <c r="AI13" s="673"/>
      <c r="AJ13" s="673"/>
      <c r="AK13" s="673"/>
      <c r="AL13" s="673"/>
      <c r="AM13" s="673"/>
      <c r="AN13" s="673"/>
      <c r="AO13" s="673"/>
      <c r="AP13" s="673"/>
      <c r="AQ13" s="673"/>
      <c r="AR13" s="673"/>
      <c r="AS13" s="673"/>
      <c r="AT13" s="696"/>
    </row>
    <row r="14" ht="15.75" customHeight="1">
      <c r="A14" s="653"/>
      <c r="B14" s="654"/>
      <c r="C14" s="691"/>
      <c r="D14" s="656"/>
      <c r="E14" s="657"/>
      <c r="F14" s="658"/>
      <c r="G14" s="659"/>
      <c r="H14" s="660"/>
      <c r="I14" s="659"/>
      <c r="J14" s="661"/>
      <c r="K14" s="692"/>
      <c r="L14" s="645"/>
      <c r="M14" s="663"/>
      <c r="N14" s="665"/>
      <c r="O14" s="665"/>
      <c r="P14" s="666"/>
      <c r="Q14" s="667"/>
      <c r="R14" s="668"/>
      <c r="S14" s="693"/>
      <c r="T14" s="694"/>
      <c r="U14" s="694"/>
      <c r="V14" s="693"/>
      <c r="W14" s="693"/>
      <c r="X14" s="693"/>
      <c r="Y14" s="671"/>
      <c r="Z14" s="673"/>
      <c r="AA14" s="672"/>
      <c r="AB14" s="695"/>
      <c r="AC14" s="673"/>
      <c r="AD14" s="673"/>
      <c r="AE14" s="673"/>
      <c r="AF14" s="673"/>
      <c r="AG14" s="673"/>
      <c r="AH14" s="673"/>
      <c r="AI14" s="673"/>
      <c r="AJ14" s="673"/>
      <c r="AK14" s="673"/>
      <c r="AL14" s="673"/>
      <c r="AM14" s="673"/>
      <c r="AN14" s="673"/>
      <c r="AO14" s="673"/>
      <c r="AP14" s="673"/>
      <c r="AQ14" s="673"/>
      <c r="AR14" s="673"/>
      <c r="AS14" s="673"/>
      <c r="AT14" s="696"/>
    </row>
    <row r="15" ht="15.75" customHeight="1">
      <c r="A15" s="653"/>
      <c r="B15" s="654"/>
      <c r="C15" s="691"/>
      <c r="D15" s="656"/>
      <c r="E15" s="657"/>
      <c r="F15" s="658"/>
      <c r="G15" s="659"/>
      <c r="H15" s="660"/>
      <c r="I15" s="659"/>
      <c r="J15" s="661"/>
      <c r="K15" s="692"/>
      <c r="L15" s="645"/>
      <c r="M15" s="663"/>
      <c r="N15" s="665"/>
      <c r="O15" s="665"/>
      <c r="P15" s="666"/>
      <c r="Q15" s="667"/>
      <c r="R15" s="668"/>
      <c r="S15" s="693"/>
      <c r="T15" s="694"/>
      <c r="U15" s="694"/>
      <c r="V15" s="693"/>
      <c r="W15" s="693"/>
      <c r="X15" s="693"/>
      <c r="Y15" s="671"/>
      <c r="Z15" s="673"/>
      <c r="AA15" s="672"/>
      <c r="AB15" s="695"/>
      <c r="AC15" s="673"/>
      <c r="AD15" s="673"/>
      <c r="AE15" s="673"/>
      <c r="AF15" s="673"/>
      <c r="AG15" s="673"/>
      <c r="AH15" s="673"/>
      <c r="AI15" s="673"/>
      <c r="AJ15" s="673"/>
      <c r="AK15" s="673"/>
      <c r="AL15" s="673"/>
      <c r="AM15" s="673"/>
      <c r="AN15" s="673"/>
      <c r="AO15" s="673"/>
      <c r="AP15" s="673"/>
      <c r="AQ15" s="673"/>
      <c r="AR15" s="673"/>
      <c r="AS15" s="673"/>
      <c r="AT15" s="696"/>
    </row>
    <row r="16" ht="15.75" customHeight="1">
      <c r="A16" s="653"/>
      <c r="B16" s="654"/>
      <c r="C16" s="691"/>
      <c r="D16" s="656"/>
      <c r="E16" s="657"/>
      <c r="F16" s="658"/>
      <c r="G16" s="659"/>
      <c r="H16" s="660"/>
      <c r="I16" s="659"/>
      <c r="J16" s="661"/>
      <c r="K16" s="692"/>
      <c r="L16" s="645"/>
      <c r="M16" s="663"/>
      <c r="N16" s="665"/>
      <c r="O16" s="665"/>
      <c r="P16" s="666"/>
      <c r="Q16" s="667"/>
      <c r="R16" s="668"/>
      <c r="S16" s="693"/>
      <c r="T16" s="694"/>
      <c r="U16" s="694"/>
      <c r="V16" s="693"/>
      <c r="W16" s="693"/>
      <c r="X16" s="693"/>
      <c r="Y16" s="671"/>
      <c r="Z16" s="673"/>
      <c r="AA16" s="672"/>
      <c r="AB16" s="695"/>
      <c r="AC16" s="673"/>
      <c r="AD16" s="673"/>
      <c r="AE16" s="673"/>
      <c r="AF16" s="673"/>
      <c r="AG16" s="673"/>
      <c r="AH16" s="673"/>
      <c r="AI16" s="673"/>
      <c r="AJ16" s="673"/>
      <c r="AK16" s="673"/>
      <c r="AL16" s="673"/>
      <c r="AM16" s="673"/>
      <c r="AN16" s="673"/>
      <c r="AO16" s="673"/>
      <c r="AP16" s="673"/>
      <c r="AQ16" s="673"/>
      <c r="AR16" s="673"/>
      <c r="AS16" s="673"/>
      <c r="AT16" s="696"/>
    </row>
    <row r="17" ht="15.75" customHeight="1">
      <c r="A17" s="653"/>
      <c r="B17" s="654"/>
      <c r="C17" s="691"/>
      <c r="D17" s="656"/>
      <c r="E17" s="657"/>
      <c r="F17" s="658"/>
      <c r="G17" s="659"/>
      <c r="H17" s="660"/>
      <c r="I17" s="659"/>
      <c r="J17" s="661"/>
      <c r="K17" s="692"/>
      <c r="L17" s="645"/>
      <c r="M17" s="663"/>
      <c r="N17" s="665"/>
      <c r="O17" s="665"/>
      <c r="P17" s="666"/>
      <c r="Q17" s="667"/>
      <c r="R17" s="668"/>
      <c r="S17" s="693"/>
      <c r="T17" s="694"/>
      <c r="U17" s="694"/>
      <c r="V17" s="693"/>
      <c r="W17" s="693"/>
      <c r="X17" s="693"/>
      <c r="Y17" s="671"/>
      <c r="Z17" s="673"/>
      <c r="AA17" s="672"/>
      <c r="AB17" s="695"/>
      <c r="AC17" s="673"/>
      <c r="AD17" s="673"/>
      <c r="AE17" s="673"/>
      <c r="AF17" s="673"/>
      <c r="AG17" s="673"/>
      <c r="AH17" s="673"/>
      <c r="AI17" s="673"/>
      <c r="AJ17" s="673"/>
      <c r="AK17" s="673"/>
      <c r="AL17" s="673"/>
      <c r="AM17" s="673"/>
      <c r="AN17" s="673"/>
      <c r="AO17" s="673"/>
      <c r="AP17" s="673"/>
      <c r="AQ17" s="673"/>
      <c r="AR17" s="673"/>
      <c r="AS17" s="673"/>
      <c r="AT17" s="696"/>
    </row>
    <row r="18" ht="15.75" customHeight="1">
      <c r="A18" s="653"/>
      <c r="B18" s="654"/>
      <c r="C18" s="691"/>
      <c r="D18" s="656"/>
      <c r="E18" s="657"/>
      <c r="F18" s="658"/>
      <c r="G18" s="659"/>
      <c r="H18" s="660"/>
      <c r="I18" s="659"/>
      <c r="J18" s="661"/>
      <c r="K18" s="692"/>
      <c r="L18" s="645"/>
      <c r="M18" s="663"/>
      <c r="N18" s="665"/>
      <c r="O18" s="665"/>
      <c r="P18" s="666"/>
      <c r="Q18" s="667"/>
      <c r="R18" s="668"/>
      <c r="S18" s="693"/>
      <c r="T18" s="694"/>
      <c r="U18" s="694"/>
      <c r="V18" s="693"/>
      <c r="W18" s="693"/>
      <c r="X18" s="693"/>
      <c r="Y18" s="671"/>
      <c r="Z18" s="673"/>
      <c r="AA18" s="672"/>
      <c r="AB18" s="695"/>
      <c r="AC18" s="673"/>
      <c r="AD18" s="673"/>
      <c r="AE18" s="673"/>
      <c r="AF18" s="673"/>
      <c r="AG18" s="673"/>
      <c r="AH18" s="673"/>
      <c r="AI18" s="673"/>
      <c r="AJ18" s="673"/>
      <c r="AK18" s="673"/>
      <c r="AL18" s="673"/>
      <c r="AM18" s="673"/>
      <c r="AN18" s="673"/>
      <c r="AO18" s="673"/>
      <c r="AP18" s="673"/>
      <c r="AQ18" s="673"/>
      <c r="AR18" s="673"/>
      <c r="AS18" s="673"/>
      <c r="AT18" s="696"/>
    </row>
    <row r="19" ht="15.75" customHeight="1">
      <c r="A19" s="653"/>
      <c r="B19" s="654"/>
      <c r="C19" s="691"/>
      <c r="D19" s="656"/>
      <c r="E19" s="657"/>
      <c r="F19" s="658"/>
      <c r="G19" s="659"/>
      <c r="H19" s="660"/>
      <c r="I19" s="659"/>
      <c r="J19" s="661"/>
      <c r="K19" s="692"/>
      <c r="L19" s="645"/>
      <c r="M19" s="663"/>
      <c r="N19" s="665"/>
      <c r="O19" s="665"/>
      <c r="P19" s="666"/>
      <c r="Q19" s="667"/>
      <c r="R19" s="668"/>
      <c r="S19" s="693"/>
      <c r="T19" s="694"/>
      <c r="U19" s="694"/>
      <c r="V19" s="693"/>
      <c r="W19" s="693"/>
      <c r="X19" s="693"/>
      <c r="Y19" s="671"/>
      <c r="Z19" s="673"/>
      <c r="AA19" s="672"/>
      <c r="AB19" s="695"/>
      <c r="AC19" s="673"/>
      <c r="AD19" s="673"/>
      <c r="AE19" s="673"/>
      <c r="AF19" s="673"/>
      <c r="AG19" s="673"/>
      <c r="AH19" s="673"/>
      <c r="AI19" s="673"/>
      <c r="AJ19" s="673"/>
      <c r="AK19" s="673"/>
      <c r="AL19" s="673"/>
      <c r="AM19" s="673"/>
      <c r="AN19" s="673"/>
      <c r="AO19" s="673"/>
      <c r="AP19" s="673"/>
      <c r="AQ19" s="673"/>
      <c r="AR19" s="673"/>
      <c r="AS19" s="673"/>
      <c r="AT19" s="696"/>
    </row>
    <row r="20" ht="15.75" customHeight="1">
      <c r="A20" s="653"/>
      <c r="B20" s="654"/>
      <c r="C20" s="691"/>
      <c r="D20" s="656"/>
      <c r="E20" s="657"/>
      <c r="F20" s="658"/>
      <c r="G20" s="659"/>
      <c r="H20" s="660"/>
      <c r="I20" s="659"/>
      <c r="J20" s="661"/>
      <c r="K20" s="692"/>
      <c r="L20" s="645"/>
      <c r="M20" s="663"/>
      <c r="N20" s="665"/>
      <c r="O20" s="665"/>
      <c r="P20" s="666"/>
      <c r="Q20" s="667"/>
      <c r="R20" s="668"/>
      <c r="S20" s="693"/>
      <c r="T20" s="694"/>
      <c r="U20" s="694"/>
      <c r="V20" s="693"/>
      <c r="W20" s="693"/>
      <c r="X20" s="693"/>
      <c r="Y20" s="671"/>
      <c r="Z20" s="673"/>
      <c r="AA20" s="672"/>
      <c r="AB20" s="695"/>
      <c r="AC20" s="673"/>
      <c r="AD20" s="673"/>
      <c r="AE20" s="673"/>
      <c r="AF20" s="673"/>
      <c r="AG20" s="673"/>
      <c r="AH20" s="673"/>
      <c r="AI20" s="673"/>
      <c r="AJ20" s="673"/>
      <c r="AK20" s="673"/>
      <c r="AL20" s="673"/>
      <c r="AM20" s="673"/>
      <c r="AN20" s="673"/>
      <c r="AO20" s="673"/>
      <c r="AP20" s="673"/>
      <c r="AQ20" s="673"/>
      <c r="AR20" s="673"/>
      <c r="AS20" s="673"/>
      <c r="AT20" s="696"/>
    </row>
    <row r="21" ht="15.75" customHeight="1">
      <c r="A21" s="653"/>
      <c r="B21" s="654"/>
      <c r="C21" s="691"/>
      <c r="D21" s="656"/>
      <c r="E21" s="657"/>
      <c r="F21" s="658"/>
      <c r="G21" s="659"/>
      <c r="H21" s="660"/>
      <c r="I21" s="659"/>
      <c r="J21" s="661"/>
      <c r="K21" s="692"/>
      <c r="L21" s="645"/>
      <c r="M21" s="663"/>
      <c r="N21" s="665"/>
      <c r="O21" s="665"/>
      <c r="P21" s="666"/>
      <c r="Q21" s="667"/>
      <c r="R21" s="668"/>
      <c r="S21" s="693"/>
      <c r="T21" s="694"/>
      <c r="U21" s="694"/>
      <c r="V21" s="693"/>
      <c r="W21" s="693"/>
      <c r="X21" s="693"/>
      <c r="Y21" s="671"/>
      <c r="Z21" s="673"/>
      <c r="AA21" s="672"/>
      <c r="AB21" s="695"/>
      <c r="AC21" s="673"/>
      <c r="AD21" s="673"/>
      <c r="AE21" s="673"/>
      <c r="AF21" s="673"/>
      <c r="AG21" s="673"/>
      <c r="AH21" s="673"/>
      <c r="AI21" s="673"/>
      <c r="AJ21" s="673"/>
      <c r="AK21" s="673"/>
      <c r="AL21" s="673"/>
      <c r="AM21" s="673"/>
      <c r="AN21" s="673"/>
      <c r="AO21" s="673"/>
      <c r="AP21" s="673"/>
      <c r="AQ21" s="673"/>
      <c r="AR21" s="673"/>
      <c r="AS21" s="673"/>
      <c r="AT21" s="696"/>
    </row>
    <row r="22" ht="15.75" customHeight="1">
      <c r="A22" s="653"/>
      <c r="B22" s="654"/>
      <c r="C22" s="691"/>
      <c r="D22" s="656"/>
      <c r="E22" s="657"/>
      <c r="F22" s="658"/>
      <c r="G22" s="659"/>
      <c r="H22" s="660"/>
      <c r="I22" s="659"/>
      <c r="J22" s="661"/>
      <c r="K22" s="692"/>
      <c r="L22" s="645"/>
      <c r="M22" s="663"/>
      <c r="N22" s="665"/>
      <c r="O22" s="665"/>
      <c r="P22" s="666"/>
      <c r="Q22" s="667"/>
      <c r="R22" s="668"/>
      <c r="S22" s="693"/>
      <c r="T22" s="694"/>
      <c r="U22" s="694"/>
      <c r="V22" s="693"/>
      <c r="W22" s="693"/>
      <c r="X22" s="693"/>
      <c r="Y22" s="671"/>
      <c r="Z22" s="673"/>
      <c r="AA22" s="672"/>
      <c r="AB22" s="695"/>
      <c r="AC22" s="673"/>
      <c r="AD22" s="673"/>
      <c r="AE22" s="673"/>
      <c r="AF22" s="673"/>
      <c r="AG22" s="673"/>
      <c r="AH22" s="673"/>
      <c r="AI22" s="673"/>
      <c r="AJ22" s="673"/>
      <c r="AK22" s="673"/>
      <c r="AL22" s="673"/>
      <c r="AM22" s="673"/>
      <c r="AN22" s="673"/>
      <c r="AO22" s="673"/>
      <c r="AP22" s="673"/>
      <c r="AQ22" s="673"/>
      <c r="AR22" s="673"/>
      <c r="AS22" s="673"/>
      <c r="AT22" s="696"/>
    </row>
    <row r="23" ht="15.75" customHeight="1">
      <c r="A23" s="653"/>
      <c r="B23" s="654"/>
      <c r="C23" s="691"/>
      <c r="D23" s="656"/>
      <c r="E23" s="657"/>
      <c r="F23" s="658"/>
      <c r="G23" s="659"/>
      <c r="H23" s="660"/>
      <c r="I23" s="659"/>
      <c r="J23" s="661"/>
      <c r="K23" s="692"/>
      <c r="L23" s="645"/>
      <c r="M23" s="663"/>
      <c r="N23" s="665"/>
      <c r="O23" s="665"/>
      <c r="P23" s="666"/>
      <c r="Q23" s="667"/>
      <c r="R23" s="668"/>
      <c r="S23" s="693"/>
      <c r="T23" s="694"/>
      <c r="U23" s="694"/>
      <c r="V23" s="693"/>
      <c r="W23" s="693"/>
      <c r="X23" s="693"/>
      <c r="Y23" s="671"/>
      <c r="Z23" s="673"/>
      <c r="AA23" s="672"/>
      <c r="AB23" s="695"/>
      <c r="AC23" s="673"/>
      <c r="AD23" s="673"/>
      <c r="AE23" s="673"/>
      <c r="AF23" s="673"/>
      <c r="AG23" s="673"/>
      <c r="AH23" s="673"/>
      <c r="AI23" s="673"/>
      <c r="AJ23" s="673"/>
      <c r="AK23" s="673"/>
      <c r="AL23" s="673"/>
      <c r="AM23" s="673"/>
      <c r="AN23" s="673"/>
      <c r="AO23" s="673"/>
      <c r="AP23" s="673"/>
      <c r="AQ23" s="673"/>
      <c r="AR23" s="673"/>
      <c r="AS23" s="673"/>
      <c r="AT23" s="696"/>
    </row>
    <row r="24" ht="15.75" customHeight="1">
      <c r="A24" s="653"/>
      <c r="B24" s="654"/>
      <c r="C24" s="691"/>
      <c r="D24" s="656"/>
      <c r="E24" s="657"/>
      <c r="F24" s="658"/>
      <c r="G24" s="659"/>
      <c r="H24" s="660"/>
      <c r="I24" s="659"/>
      <c r="J24" s="661"/>
      <c r="K24" s="692"/>
      <c r="L24" s="645"/>
      <c r="M24" s="663"/>
      <c r="N24" s="665"/>
      <c r="O24" s="665"/>
      <c r="P24" s="666"/>
      <c r="Q24" s="667"/>
      <c r="R24" s="668"/>
      <c r="S24" s="693"/>
      <c r="T24" s="694"/>
      <c r="U24" s="694"/>
      <c r="V24" s="693"/>
      <c r="W24" s="693"/>
      <c r="X24" s="693"/>
      <c r="Y24" s="671"/>
      <c r="Z24" s="673"/>
      <c r="AA24" s="672"/>
      <c r="AB24" s="695"/>
      <c r="AC24" s="673"/>
      <c r="AD24" s="673"/>
      <c r="AE24" s="673"/>
      <c r="AF24" s="673"/>
      <c r="AG24" s="673"/>
      <c r="AH24" s="673"/>
      <c r="AI24" s="673"/>
      <c r="AJ24" s="673"/>
      <c r="AK24" s="673"/>
      <c r="AL24" s="673"/>
      <c r="AM24" s="673"/>
      <c r="AN24" s="673"/>
      <c r="AO24" s="673"/>
      <c r="AP24" s="673"/>
      <c r="AQ24" s="673"/>
      <c r="AR24" s="673"/>
      <c r="AS24" s="673"/>
      <c r="AT24" s="696"/>
    </row>
    <row r="25" ht="15.75" customHeight="1">
      <c r="A25" s="653"/>
      <c r="B25" s="654"/>
      <c r="C25" s="691"/>
      <c r="D25" s="656"/>
      <c r="E25" s="657"/>
      <c r="F25" s="658"/>
      <c r="G25" s="659"/>
      <c r="H25" s="660"/>
      <c r="I25" s="659"/>
      <c r="J25" s="661"/>
      <c r="K25" s="692"/>
      <c r="L25" s="645"/>
      <c r="M25" s="663"/>
      <c r="N25" s="665"/>
      <c r="O25" s="665"/>
      <c r="P25" s="666"/>
      <c r="Q25" s="667"/>
      <c r="R25" s="668"/>
      <c r="S25" s="693"/>
      <c r="T25" s="694"/>
      <c r="U25" s="694"/>
      <c r="V25" s="693"/>
      <c r="W25" s="693"/>
      <c r="X25" s="693"/>
      <c r="Y25" s="671"/>
      <c r="Z25" s="673"/>
      <c r="AA25" s="672"/>
      <c r="AB25" s="695"/>
      <c r="AC25" s="673"/>
      <c r="AD25" s="673"/>
      <c r="AE25" s="673"/>
      <c r="AF25" s="673"/>
      <c r="AG25" s="673"/>
      <c r="AH25" s="673"/>
      <c r="AI25" s="673"/>
      <c r="AJ25" s="673"/>
      <c r="AK25" s="673"/>
      <c r="AL25" s="673"/>
      <c r="AM25" s="673"/>
      <c r="AN25" s="673"/>
      <c r="AO25" s="673"/>
      <c r="AP25" s="673"/>
      <c r="AQ25" s="673"/>
      <c r="AR25" s="673"/>
      <c r="AS25" s="673"/>
      <c r="AT25" s="696"/>
    </row>
    <row r="26" ht="15.75" customHeight="1">
      <c r="A26" s="653"/>
      <c r="B26" s="654"/>
      <c r="C26" s="691"/>
      <c r="D26" s="656"/>
      <c r="E26" s="657"/>
      <c r="F26" s="658"/>
      <c r="G26" s="659"/>
      <c r="H26" s="660"/>
      <c r="I26" s="659"/>
      <c r="J26" s="661"/>
      <c r="K26" s="692"/>
      <c r="L26" s="645"/>
      <c r="M26" s="663"/>
      <c r="N26" s="665"/>
      <c r="O26" s="665"/>
      <c r="P26" s="666"/>
      <c r="Q26" s="667"/>
      <c r="R26" s="668"/>
      <c r="S26" s="693"/>
      <c r="T26" s="694"/>
      <c r="U26" s="694"/>
      <c r="V26" s="693"/>
      <c r="W26" s="693"/>
      <c r="X26" s="693"/>
      <c r="Y26" s="671"/>
      <c r="Z26" s="673"/>
      <c r="AA26" s="672"/>
      <c r="AB26" s="695"/>
      <c r="AC26" s="673"/>
      <c r="AD26" s="673"/>
      <c r="AE26" s="673"/>
      <c r="AF26" s="673"/>
      <c r="AG26" s="673"/>
      <c r="AH26" s="673"/>
      <c r="AI26" s="673"/>
      <c r="AJ26" s="673"/>
      <c r="AK26" s="673"/>
      <c r="AL26" s="673"/>
      <c r="AM26" s="673"/>
      <c r="AN26" s="673"/>
      <c r="AO26" s="673"/>
      <c r="AP26" s="673"/>
      <c r="AQ26" s="673"/>
      <c r="AR26" s="673"/>
      <c r="AS26" s="673"/>
      <c r="AT26" s="696"/>
    </row>
    <row r="27" ht="15.75" customHeight="1">
      <c r="A27" s="653"/>
      <c r="B27" s="654"/>
      <c r="C27" s="691"/>
      <c r="D27" s="656"/>
      <c r="E27" s="657"/>
      <c r="F27" s="658"/>
      <c r="G27" s="659"/>
      <c r="H27" s="660"/>
      <c r="I27" s="659"/>
      <c r="J27" s="661"/>
      <c r="K27" s="692"/>
      <c r="L27" s="645"/>
      <c r="M27" s="663"/>
      <c r="N27" s="665"/>
      <c r="O27" s="665"/>
      <c r="P27" s="666"/>
      <c r="Q27" s="667"/>
      <c r="R27" s="668"/>
      <c r="S27" s="693"/>
      <c r="T27" s="694"/>
      <c r="U27" s="694"/>
      <c r="V27" s="693"/>
      <c r="W27" s="693"/>
      <c r="X27" s="693"/>
      <c r="Y27" s="671"/>
      <c r="Z27" s="673"/>
      <c r="AA27" s="672"/>
      <c r="AB27" s="695"/>
      <c r="AC27" s="673"/>
      <c r="AD27" s="673"/>
      <c r="AE27" s="673"/>
      <c r="AF27" s="673"/>
      <c r="AG27" s="673"/>
      <c r="AH27" s="673"/>
      <c r="AI27" s="673"/>
      <c r="AJ27" s="673"/>
      <c r="AK27" s="673"/>
      <c r="AL27" s="673"/>
      <c r="AM27" s="673"/>
      <c r="AN27" s="673"/>
      <c r="AO27" s="673"/>
      <c r="AP27" s="673"/>
      <c r="AQ27" s="673"/>
      <c r="AR27" s="673"/>
      <c r="AS27" s="673"/>
      <c r="AT27" s="696"/>
    </row>
    <row r="28" ht="15.75" customHeight="1">
      <c r="A28" s="653"/>
      <c r="B28" s="654"/>
      <c r="C28" s="691"/>
      <c r="D28" s="656"/>
      <c r="E28" s="657"/>
      <c r="F28" s="658"/>
      <c r="G28" s="659"/>
      <c r="H28" s="660"/>
      <c r="I28" s="659"/>
      <c r="J28" s="661"/>
      <c r="K28" s="692"/>
      <c r="L28" s="645"/>
      <c r="M28" s="663"/>
      <c r="N28" s="665"/>
      <c r="O28" s="665"/>
      <c r="P28" s="666"/>
      <c r="Q28" s="667"/>
      <c r="R28" s="668"/>
      <c r="S28" s="693"/>
      <c r="T28" s="694"/>
      <c r="U28" s="694"/>
      <c r="V28" s="693"/>
      <c r="W28" s="693"/>
      <c r="X28" s="693"/>
      <c r="Y28" s="671"/>
      <c r="Z28" s="673"/>
      <c r="AA28" s="672"/>
      <c r="AB28" s="695"/>
      <c r="AC28" s="673"/>
      <c r="AD28" s="673"/>
      <c r="AE28" s="673"/>
      <c r="AF28" s="673"/>
      <c r="AG28" s="673"/>
      <c r="AH28" s="673"/>
      <c r="AI28" s="673"/>
      <c r="AJ28" s="673"/>
      <c r="AK28" s="673"/>
      <c r="AL28" s="673"/>
      <c r="AM28" s="673"/>
      <c r="AN28" s="673"/>
      <c r="AO28" s="673"/>
      <c r="AP28" s="673"/>
      <c r="AQ28" s="673"/>
      <c r="AR28" s="673"/>
      <c r="AS28" s="673"/>
      <c r="AT28" s="696"/>
    </row>
    <row r="29" ht="15.75" customHeight="1">
      <c r="A29" s="653"/>
      <c r="B29" s="654"/>
      <c r="C29" s="691"/>
      <c r="D29" s="656"/>
      <c r="E29" s="657"/>
      <c r="F29" s="658"/>
      <c r="G29" s="659"/>
      <c r="H29" s="660"/>
      <c r="I29" s="659"/>
      <c r="J29" s="661"/>
      <c r="K29" s="692"/>
      <c r="L29" s="645"/>
      <c r="M29" s="663"/>
      <c r="N29" s="665"/>
      <c r="O29" s="665"/>
      <c r="P29" s="666"/>
      <c r="Q29" s="667"/>
      <c r="R29" s="668"/>
      <c r="S29" s="693"/>
      <c r="T29" s="694"/>
      <c r="U29" s="694"/>
      <c r="V29" s="693"/>
      <c r="W29" s="693"/>
      <c r="X29" s="693"/>
      <c r="Y29" s="671"/>
      <c r="Z29" s="673"/>
      <c r="AA29" s="672"/>
      <c r="AB29" s="695"/>
      <c r="AC29" s="673"/>
      <c r="AD29" s="673"/>
      <c r="AE29" s="673"/>
      <c r="AF29" s="673"/>
      <c r="AG29" s="673"/>
      <c r="AH29" s="673"/>
      <c r="AI29" s="673"/>
      <c r="AJ29" s="673"/>
      <c r="AK29" s="673"/>
      <c r="AL29" s="673"/>
      <c r="AM29" s="673"/>
      <c r="AN29" s="673"/>
      <c r="AO29" s="673"/>
      <c r="AP29" s="673"/>
      <c r="AQ29" s="673"/>
      <c r="AR29" s="673"/>
      <c r="AS29" s="673"/>
      <c r="AT29" s="696"/>
    </row>
    <row r="30" ht="15.75" customHeight="1">
      <c r="A30" s="653"/>
      <c r="B30" s="654"/>
      <c r="C30" s="691"/>
      <c r="D30" s="656"/>
      <c r="E30" s="657"/>
      <c r="F30" s="658"/>
      <c r="G30" s="659"/>
      <c r="H30" s="660"/>
      <c r="I30" s="659"/>
      <c r="J30" s="661"/>
      <c r="K30" s="692"/>
      <c r="L30" s="645"/>
      <c r="M30" s="663"/>
      <c r="N30" s="665"/>
      <c r="O30" s="665"/>
      <c r="P30" s="666"/>
      <c r="Q30" s="667"/>
      <c r="R30" s="668"/>
      <c r="S30" s="693"/>
      <c r="T30" s="694"/>
      <c r="U30" s="694"/>
      <c r="V30" s="693"/>
      <c r="W30" s="693"/>
      <c r="X30" s="693"/>
      <c r="Y30" s="671"/>
      <c r="Z30" s="673"/>
      <c r="AA30" s="672"/>
      <c r="AB30" s="695"/>
      <c r="AC30" s="673"/>
      <c r="AD30" s="673"/>
      <c r="AE30" s="673"/>
      <c r="AF30" s="673"/>
      <c r="AG30" s="673"/>
      <c r="AH30" s="673"/>
      <c r="AI30" s="673"/>
      <c r="AJ30" s="673"/>
      <c r="AK30" s="673"/>
      <c r="AL30" s="673"/>
      <c r="AM30" s="673"/>
      <c r="AN30" s="673"/>
      <c r="AO30" s="673"/>
      <c r="AP30" s="673"/>
      <c r="AQ30" s="673"/>
      <c r="AR30" s="673"/>
      <c r="AS30" s="673"/>
      <c r="AT30" s="696"/>
    </row>
    <row r="31" ht="15.75" customHeight="1">
      <c r="A31" s="653"/>
      <c r="B31" s="654"/>
      <c r="C31" s="691"/>
      <c r="D31" s="656"/>
      <c r="E31" s="657"/>
      <c r="F31" s="658"/>
      <c r="G31" s="659"/>
      <c r="H31" s="660"/>
      <c r="I31" s="659"/>
      <c r="J31" s="661"/>
      <c r="K31" s="692"/>
      <c r="L31" s="645"/>
      <c r="M31" s="663"/>
      <c r="N31" s="665"/>
      <c r="O31" s="665"/>
      <c r="P31" s="666"/>
      <c r="Q31" s="667"/>
      <c r="R31" s="668"/>
      <c r="S31" s="693"/>
      <c r="T31" s="694"/>
      <c r="U31" s="694"/>
      <c r="V31" s="693"/>
      <c r="W31" s="693"/>
      <c r="X31" s="693"/>
      <c r="Y31" s="671"/>
      <c r="Z31" s="673"/>
      <c r="AA31" s="672"/>
      <c r="AB31" s="695"/>
      <c r="AC31" s="673"/>
      <c r="AD31" s="673"/>
      <c r="AE31" s="673"/>
      <c r="AF31" s="673"/>
      <c r="AG31" s="673"/>
      <c r="AH31" s="673"/>
      <c r="AI31" s="673"/>
      <c r="AJ31" s="673"/>
      <c r="AK31" s="673"/>
      <c r="AL31" s="673"/>
      <c r="AM31" s="673"/>
      <c r="AN31" s="673"/>
      <c r="AO31" s="673"/>
      <c r="AP31" s="673"/>
      <c r="AQ31" s="673"/>
      <c r="AR31" s="673"/>
      <c r="AS31" s="673"/>
      <c r="AT31" s="696"/>
    </row>
    <row r="32" ht="15.75" customHeight="1">
      <c r="A32" s="653"/>
      <c r="B32" s="654"/>
      <c r="C32" s="691"/>
      <c r="D32" s="656"/>
      <c r="E32" s="657"/>
      <c r="F32" s="658"/>
      <c r="G32" s="659"/>
      <c r="H32" s="660"/>
      <c r="I32" s="659"/>
      <c r="J32" s="661"/>
      <c r="K32" s="692"/>
      <c r="L32" s="645"/>
      <c r="M32" s="663"/>
      <c r="N32" s="665"/>
      <c r="O32" s="665"/>
      <c r="P32" s="666"/>
      <c r="Q32" s="667"/>
      <c r="R32" s="668"/>
      <c r="S32" s="693"/>
      <c r="T32" s="694"/>
      <c r="U32" s="694"/>
      <c r="V32" s="693"/>
      <c r="W32" s="693"/>
      <c r="X32" s="693"/>
      <c r="Y32" s="671"/>
      <c r="Z32" s="673"/>
      <c r="AA32" s="672"/>
      <c r="AB32" s="695"/>
      <c r="AC32" s="673"/>
      <c r="AD32" s="673"/>
      <c r="AE32" s="673"/>
      <c r="AF32" s="673"/>
      <c r="AG32" s="673"/>
      <c r="AH32" s="673"/>
      <c r="AI32" s="673"/>
      <c r="AJ32" s="673"/>
      <c r="AK32" s="673"/>
      <c r="AL32" s="673"/>
      <c r="AM32" s="673"/>
      <c r="AN32" s="673"/>
      <c r="AO32" s="673"/>
      <c r="AP32" s="673"/>
      <c r="AQ32" s="673"/>
      <c r="AR32" s="673"/>
      <c r="AS32" s="673"/>
      <c r="AT32" s="696"/>
    </row>
    <row r="33" ht="15.75" customHeight="1">
      <c r="A33" s="653"/>
      <c r="B33" s="654"/>
      <c r="C33" s="691"/>
      <c r="D33" s="656"/>
      <c r="E33" s="657"/>
      <c r="F33" s="658"/>
      <c r="G33" s="659"/>
      <c r="H33" s="660"/>
      <c r="I33" s="659"/>
      <c r="J33" s="661"/>
      <c r="K33" s="692"/>
      <c r="L33" s="645"/>
      <c r="M33" s="663"/>
      <c r="N33" s="665"/>
      <c r="O33" s="665"/>
      <c r="P33" s="666"/>
      <c r="Q33" s="667"/>
      <c r="R33" s="668"/>
      <c r="S33" s="693"/>
      <c r="T33" s="694"/>
      <c r="U33" s="694"/>
      <c r="V33" s="693"/>
      <c r="W33" s="693"/>
      <c r="X33" s="693"/>
      <c r="Y33" s="671"/>
      <c r="Z33" s="673"/>
      <c r="AA33" s="672"/>
      <c r="AB33" s="695"/>
      <c r="AC33" s="673"/>
      <c r="AD33" s="673"/>
      <c r="AE33" s="673"/>
      <c r="AF33" s="673"/>
      <c r="AG33" s="673"/>
      <c r="AH33" s="673"/>
      <c r="AI33" s="673"/>
      <c r="AJ33" s="673"/>
      <c r="AK33" s="673"/>
      <c r="AL33" s="673"/>
      <c r="AM33" s="673"/>
      <c r="AN33" s="673"/>
      <c r="AO33" s="673"/>
      <c r="AP33" s="673"/>
      <c r="AQ33" s="673"/>
      <c r="AR33" s="673"/>
      <c r="AS33" s="673"/>
      <c r="AT33" s="696"/>
    </row>
    <row r="34" ht="15.75" customHeight="1">
      <c r="A34" s="653"/>
      <c r="B34" s="654"/>
      <c r="C34" s="691"/>
      <c r="D34" s="656"/>
      <c r="E34" s="657"/>
      <c r="F34" s="658"/>
      <c r="G34" s="659"/>
      <c r="H34" s="660"/>
      <c r="I34" s="659"/>
      <c r="J34" s="661"/>
      <c r="K34" s="692"/>
      <c r="L34" s="645"/>
      <c r="M34" s="663"/>
      <c r="N34" s="665"/>
      <c r="O34" s="665"/>
      <c r="P34" s="666"/>
      <c r="Q34" s="667"/>
      <c r="R34" s="668"/>
      <c r="S34" s="693"/>
      <c r="T34" s="694"/>
      <c r="U34" s="694"/>
      <c r="V34" s="693"/>
      <c r="W34" s="693"/>
      <c r="X34" s="693"/>
      <c r="Y34" s="671"/>
      <c r="Z34" s="673"/>
      <c r="AA34" s="672"/>
      <c r="AB34" s="695"/>
      <c r="AC34" s="673"/>
      <c r="AD34" s="673"/>
      <c r="AE34" s="673"/>
      <c r="AF34" s="673"/>
      <c r="AG34" s="673"/>
      <c r="AH34" s="673"/>
      <c r="AI34" s="673"/>
      <c r="AJ34" s="673"/>
      <c r="AK34" s="673"/>
      <c r="AL34" s="673"/>
      <c r="AM34" s="673"/>
      <c r="AN34" s="673"/>
      <c r="AO34" s="673"/>
      <c r="AP34" s="673"/>
      <c r="AQ34" s="673"/>
      <c r="AR34" s="673"/>
      <c r="AS34" s="673"/>
      <c r="AT34" s="696"/>
    </row>
    <row r="35" ht="15.75" customHeight="1">
      <c r="A35" s="653"/>
      <c r="B35" s="654"/>
      <c r="C35" s="691"/>
      <c r="D35" s="656"/>
      <c r="E35" s="657"/>
      <c r="F35" s="658"/>
      <c r="G35" s="659"/>
      <c r="H35" s="660"/>
      <c r="I35" s="659"/>
      <c r="J35" s="661"/>
      <c r="K35" s="692"/>
      <c r="L35" s="645"/>
      <c r="M35" s="663"/>
      <c r="N35" s="665"/>
      <c r="O35" s="665"/>
      <c r="P35" s="666"/>
      <c r="Q35" s="667"/>
      <c r="R35" s="668"/>
      <c r="S35" s="693"/>
      <c r="T35" s="694"/>
      <c r="U35" s="694"/>
      <c r="V35" s="693"/>
      <c r="W35" s="693"/>
      <c r="X35" s="693"/>
      <c r="Y35" s="671"/>
      <c r="Z35" s="673"/>
      <c r="AA35" s="672"/>
      <c r="AB35" s="695"/>
      <c r="AC35" s="673"/>
      <c r="AD35" s="673"/>
      <c r="AE35" s="673"/>
      <c r="AF35" s="673"/>
      <c r="AG35" s="673"/>
      <c r="AH35" s="673"/>
      <c r="AI35" s="673"/>
      <c r="AJ35" s="673"/>
      <c r="AK35" s="673"/>
      <c r="AL35" s="673"/>
      <c r="AM35" s="673"/>
      <c r="AN35" s="673"/>
      <c r="AO35" s="673"/>
      <c r="AP35" s="673"/>
      <c r="AQ35" s="673"/>
      <c r="AR35" s="673"/>
      <c r="AS35" s="673"/>
      <c r="AT35" s="696"/>
    </row>
    <row r="36" ht="15.75" customHeight="1">
      <c r="A36" s="653"/>
      <c r="B36" s="654"/>
      <c r="C36" s="691"/>
      <c r="D36" s="656"/>
      <c r="E36" s="657"/>
      <c r="F36" s="658"/>
      <c r="G36" s="659"/>
      <c r="H36" s="660"/>
      <c r="I36" s="659"/>
      <c r="J36" s="661"/>
      <c r="K36" s="692"/>
      <c r="L36" s="645"/>
      <c r="M36" s="663"/>
      <c r="N36" s="665"/>
      <c r="O36" s="665"/>
      <c r="P36" s="666"/>
      <c r="Q36" s="667"/>
      <c r="R36" s="668"/>
      <c r="S36" s="693"/>
      <c r="T36" s="694"/>
      <c r="U36" s="694"/>
      <c r="V36" s="693"/>
      <c r="W36" s="693"/>
      <c r="X36" s="693"/>
      <c r="Y36" s="671"/>
      <c r="Z36" s="673"/>
      <c r="AA36" s="672"/>
      <c r="AB36" s="695"/>
      <c r="AC36" s="673"/>
      <c r="AD36" s="673"/>
      <c r="AE36" s="673"/>
      <c r="AF36" s="673"/>
      <c r="AG36" s="673"/>
      <c r="AH36" s="673"/>
      <c r="AI36" s="673"/>
      <c r="AJ36" s="673"/>
      <c r="AK36" s="673"/>
      <c r="AL36" s="673"/>
      <c r="AM36" s="673"/>
      <c r="AN36" s="673"/>
      <c r="AO36" s="673"/>
      <c r="AP36" s="673"/>
      <c r="AQ36" s="673"/>
      <c r="AR36" s="673"/>
      <c r="AS36" s="673"/>
      <c r="AT36" s="696"/>
    </row>
    <row r="37" ht="15.75" customHeight="1">
      <c r="A37" s="653"/>
      <c r="B37" s="654"/>
      <c r="C37" s="691"/>
      <c r="D37" s="656"/>
      <c r="E37" s="657"/>
      <c r="F37" s="658"/>
      <c r="G37" s="659"/>
      <c r="H37" s="660"/>
      <c r="I37" s="659"/>
      <c r="J37" s="661"/>
      <c r="K37" s="692"/>
      <c r="L37" s="645"/>
      <c r="M37" s="663"/>
      <c r="N37" s="665"/>
      <c r="O37" s="665"/>
      <c r="P37" s="666"/>
      <c r="Q37" s="667"/>
      <c r="R37" s="668"/>
      <c r="S37" s="693"/>
      <c r="T37" s="694"/>
      <c r="U37" s="694"/>
      <c r="V37" s="693"/>
      <c r="W37" s="693"/>
      <c r="X37" s="693"/>
      <c r="Y37" s="671"/>
      <c r="Z37" s="673"/>
      <c r="AA37" s="672"/>
      <c r="AB37" s="695"/>
      <c r="AC37" s="673"/>
      <c r="AD37" s="673"/>
      <c r="AE37" s="673"/>
      <c r="AF37" s="673"/>
      <c r="AG37" s="673"/>
      <c r="AH37" s="673"/>
      <c r="AI37" s="673"/>
      <c r="AJ37" s="673"/>
      <c r="AK37" s="673"/>
      <c r="AL37" s="673"/>
      <c r="AM37" s="673"/>
      <c r="AN37" s="673"/>
      <c r="AO37" s="673"/>
      <c r="AP37" s="673"/>
      <c r="AQ37" s="673"/>
      <c r="AR37" s="673"/>
      <c r="AS37" s="673"/>
      <c r="AT37" s="696"/>
    </row>
    <row r="38" ht="15.75" customHeight="1">
      <c r="A38" s="653"/>
      <c r="B38" s="654"/>
      <c r="C38" s="691"/>
      <c r="D38" s="656"/>
      <c r="E38" s="657"/>
      <c r="F38" s="658"/>
      <c r="G38" s="659"/>
      <c r="H38" s="660"/>
      <c r="I38" s="659"/>
      <c r="J38" s="661"/>
      <c r="K38" s="692"/>
      <c r="L38" s="645"/>
      <c r="M38" s="663"/>
      <c r="N38" s="665"/>
      <c r="O38" s="665"/>
      <c r="P38" s="666"/>
      <c r="Q38" s="667"/>
      <c r="R38" s="668"/>
      <c r="S38" s="693"/>
      <c r="T38" s="694"/>
      <c r="U38" s="694"/>
      <c r="V38" s="693"/>
      <c r="W38" s="693"/>
      <c r="X38" s="693"/>
      <c r="Y38" s="671"/>
      <c r="Z38" s="673"/>
      <c r="AA38" s="672"/>
      <c r="AB38" s="695"/>
      <c r="AC38" s="673"/>
      <c r="AD38" s="673"/>
      <c r="AE38" s="673"/>
      <c r="AF38" s="673"/>
      <c r="AG38" s="673"/>
      <c r="AH38" s="673"/>
      <c r="AI38" s="673"/>
      <c r="AJ38" s="673"/>
      <c r="AK38" s="673"/>
      <c r="AL38" s="673"/>
      <c r="AM38" s="673"/>
      <c r="AN38" s="673"/>
      <c r="AO38" s="673"/>
      <c r="AP38" s="673"/>
      <c r="AQ38" s="673"/>
      <c r="AR38" s="673"/>
      <c r="AS38" s="673"/>
      <c r="AT38" s="696"/>
    </row>
    <row r="39" ht="15.75" customHeight="1">
      <c r="A39" s="653"/>
      <c r="B39" s="654"/>
      <c r="C39" s="691"/>
      <c r="D39" s="656"/>
      <c r="E39" s="657"/>
      <c r="F39" s="658"/>
      <c r="G39" s="659"/>
      <c r="H39" s="660"/>
      <c r="I39" s="659"/>
      <c r="J39" s="661"/>
      <c r="K39" s="692"/>
      <c r="L39" s="645"/>
      <c r="M39" s="663"/>
      <c r="N39" s="665"/>
      <c r="O39" s="665"/>
      <c r="P39" s="666"/>
      <c r="Q39" s="667"/>
      <c r="R39" s="668"/>
      <c r="S39" s="693"/>
      <c r="T39" s="694"/>
      <c r="U39" s="694"/>
      <c r="V39" s="693"/>
      <c r="W39" s="693"/>
      <c r="X39" s="693"/>
      <c r="Y39" s="671"/>
      <c r="Z39" s="673"/>
      <c r="AA39" s="672"/>
      <c r="AB39" s="695"/>
      <c r="AC39" s="673"/>
      <c r="AD39" s="673"/>
      <c r="AE39" s="673"/>
      <c r="AF39" s="673"/>
      <c r="AG39" s="673"/>
      <c r="AH39" s="673"/>
      <c r="AI39" s="673"/>
      <c r="AJ39" s="673"/>
      <c r="AK39" s="673"/>
      <c r="AL39" s="673"/>
      <c r="AM39" s="673"/>
      <c r="AN39" s="673"/>
      <c r="AO39" s="673"/>
      <c r="AP39" s="673"/>
      <c r="AQ39" s="673"/>
      <c r="AR39" s="673"/>
      <c r="AS39" s="673"/>
      <c r="AT39" s="696"/>
    </row>
    <row r="40" ht="15.75" customHeight="1">
      <c r="A40" s="653"/>
      <c r="B40" s="654"/>
      <c r="C40" s="691"/>
      <c r="D40" s="656"/>
      <c r="E40" s="657"/>
      <c r="F40" s="658"/>
      <c r="G40" s="659"/>
      <c r="H40" s="660"/>
      <c r="I40" s="659"/>
      <c r="J40" s="661"/>
      <c r="K40" s="692"/>
      <c r="L40" s="645"/>
      <c r="M40" s="663"/>
      <c r="N40" s="665"/>
      <c r="O40" s="665"/>
      <c r="P40" s="666"/>
      <c r="Q40" s="667"/>
      <c r="R40" s="668"/>
      <c r="S40" s="693"/>
      <c r="T40" s="694"/>
      <c r="U40" s="694"/>
      <c r="V40" s="693"/>
      <c r="W40" s="693"/>
      <c r="X40" s="693"/>
      <c r="Y40" s="671"/>
      <c r="Z40" s="673"/>
      <c r="AA40" s="672"/>
      <c r="AB40" s="695"/>
      <c r="AC40" s="673"/>
      <c r="AD40" s="673"/>
      <c r="AE40" s="673"/>
      <c r="AF40" s="673"/>
      <c r="AG40" s="673"/>
      <c r="AH40" s="673"/>
      <c r="AI40" s="673"/>
      <c r="AJ40" s="673"/>
      <c r="AK40" s="673"/>
      <c r="AL40" s="673"/>
      <c r="AM40" s="673"/>
      <c r="AN40" s="673"/>
      <c r="AO40" s="673"/>
      <c r="AP40" s="673"/>
      <c r="AQ40" s="673"/>
      <c r="AR40" s="673"/>
      <c r="AS40" s="673"/>
      <c r="AT40" s="696"/>
    </row>
    <row r="41" ht="15.75" customHeight="1">
      <c r="A41" s="653"/>
      <c r="B41" s="654"/>
      <c r="C41" s="691"/>
      <c r="D41" s="656"/>
      <c r="E41" s="657"/>
      <c r="F41" s="658"/>
      <c r="G41" s="659"/>
      <c r="H41" s="660"/>
      <c r="I41" s="659"/>
      <c r="J41" s="661"/>
      <c r="K41" s="692"/>
      <c r="L41" s="645"/>
      <c r="M41" s="663"/>
      <c r="N41" s="665"/>
      <c r="O41" s="665"/>
      <c r="P41" s="666"/>
      <c r="Q41" s="667"/>
      <c r="R41" s="668"/>
      <c r="S41" s="693"/>
      <c r="T41" s="694"/>
      <c r="U41" s="694"/>
      <c r="V41" s="693"/>
      <c r="W41" s="693"/>
      <c r="X41" s="693"/>
      <c r="Y41" s="671"/>
      <c r="Z41" s="673"/>
      <c r="AA41" s="672"/>
      <c r="AB41" s="695"/>
      <c r="AC41" s="673"/>
      <c r="AD41" s="673"/>
      <c r="AE41" s="673"/>
      <c r="AF41" s="673"/>
      <c r="AG41" s="673"/>
      <c r="AH41" s="673"/>
      <c r="AI41" s="673"/>
      <c r="AJ41" s="673"/>
      <c r="AK41" s="673"/>
      <c r="AL41" s="673"/>
      <c r="AM41" s="673"/>
      <c r="AN41" s="673"/>
      <c r="AO41" s="673"/>
      <c r="AP41" s="673"/>
      <c r="AQ41" s="673"/>
      <c r="AR41" s="673"/>
      <c r="AS41" s="673"/>
      <c r="AT41" s="696"/>
    </row>
    <row r="42" ht="15.75" customHeight="1">
      <c r="A42" s="653"/>
      <c r="B42" s="654"/>
      <c r="C42" s="691"/>
      <c r="D42" s="656"/>
      <c r="E42" s="657"/>
      <c r="F42" s="658"/>
      <c r="G42" s="659"/>
      <c r="H42" s="660"/>
      <c r="I42" s="659"/>
      <c r="J42" s="661"/>
      <c r="K42" s="692"/>
      <c r="L42" s="645"/>
      <c r="M42" s="663"/>
      <c r="N42" s="665"/>
      <c r="O42" s="665"/>
      <c r="P42" s="666"/>
      <c r="Q42" s="667"/>
      <c r="R42" s="668"/>
      <c r="S42" s="693"/>
      <c r="T42" s="694"/>
      <c r="U42" s="694"/>
      <c r="V42" s="693"/>
      <c r="W42" s="693"/>
      <c r="X42" s="693"/>
      <c r="Y42" s="671"/>
      <c r="Z42" s="673"/>
      <c r="AA42" s="672"/>
      <c r="AB42" s="695"/>
      <c r="AC42" s="673"/>
      <c r="AD42" s="673"/>
      <c r="AE42" s="673"/>
      <c r="AF42" s="673"/>
      <c r="AG42" s="673"/>
      <c r="AH42" s="673"/>
      <c r="AI42" s="673"/>
      <c r="AJ42" s="673"/>
      <c r="AK42" s="673"/>
      <c r="AL42" s="673"/>
      <c r="AM42" s="673"/>
      <c r="AN42" s="673"/>
      <c r="AO42" s="673"/>
      <c r="AP42" s="673"/>
      <c r="AQ42" s="673"/>
      <c r="AR42" s="673"/>
      <c r="AS42" s="673"/>
      <c r="AT42" s="696"/>
    </row>
    <row r="43" ht="15.75" customHeight="1">
      <c r="A43" s="653"/>
      <c r="B43" s="654"/>
      <c r="C43" s="691"/>
      <c r="D43" s="656"/>
      <c r="E43" s="657"/>
      <c r="F43" s="658"/>
      <c r="G43" s="659"/>
      <c r="H43" s="660"/>
      <c r="I43" s="659"/>
      <c r="J43" s="661"/>
      <c r="K43" s="692"/>
      <c r="L43" s="645"/>
      <c r="M43" s="663"/>
      <c r="N43" s="665"/>
      <c r="O43" s="665"/>
      <c r="P43" s="666"/>
      <c r="Q43" s="667"/>
      <c r="R43" s="668"/>
      <c r="S43" s="693"/>
      <c r="T43" s="694"/>
      <c r="U43" s="694"/>
      <c r="V43" s="693"/>
      <c r="W43" s="693"/>
      <c r="X43" s="693"/>
      <c r="Y43" s="671"/>
      <c r="Z43" s="673"/>
      <c r="AA43" s="672"/>
      <c r="AB43" s="695"/>
      <c r="AC43" s="673"/>
      <c r="AD43" s="673"/>
      <c r="AE43" s="673"/>
      <c r="AF43" s="673"/>
      <c r="AG43" s="673"/>
      <c r="AH43" s="673"/>
      <c r="AI43" s="673"/>
      <c r="AJ43" s="673"/>
      <c r="AK43" s="673"/>
      <c r="AL43" s="673"/>
      <c r="AM43" s="673"/>
      <c r="AN43" s="673"/>
      <c r="AO43" s="673"/>
      <c r="AP43" s="673"/>
      <c r="AQ43" s="673"/>
      <c r="AR43" s="673"/>
      <c r="AS43" s="673"/>
      <c r="AT43" s="696"/>
    </row>
    <row r="44" ht="15.75" customHeight="1">
      <c r="A44" s="653"/>
      <c r="B44" s="654"/>
      <c r="C44" s="691"/>
      <c r="D44" s="656"/>
      <c r="E44" s="657"/>
      <c r="F44" s="658"/>
      <c r="G44" s="659"/>
      <c r="H44" s="660"/>
      <c r="I44" s="659"/>
      <c r="J44" s="661"/>
      <c r="K44" s="692"/>
      <c r="L44" s="645"/>
      <c r="M44" s="663"/>
      <c r="N44" s="665"/>
      <c r="O44" s="665"/>
      <c r="P44" s="666"/>
      <c r="Q44" s="667"/>
      <c r="R44" s="668"/>
      <c r="S44" s="693"/>
      <c r="T44" s="694"/>
      <c r="U44" s="694"/>
      <c r="V44" s="693"/>
      <c r="W44" s="693"/>
      <c r="X44" s="693"/>
      <c r="Y44" s="671"/>
      <c r="Z44" s="673"/>
      <c r="AA44" s="672"/>
      <c r="AB44" s="695"/>
      <c r="AC44" s="673"/>
      <c r="AD44" s="673"/>
      <c r="AE44" s="673"/>
      <c r="AF44" s="673"/>
      <c r="AG44" s="673"/>
      <c r="AH44" s="673"/>
      <c r="AI44" s="673"/>
      <c r="AJ44" s="673"/>
      <c r="AK44" s="673"/>
      <c r="AL44" s="673"/>
      <c r="AM44" s="673"/>
      <c r="AN44" s="673"/>
      <c r="AO44" s="673"/>
      <c r="AP44" s="673"/>
      <c r="AQ44" s="673"/>
      <c r="AR44" s="673"/>
      <c r="AS44" s="673"/>
      <c r="AT44" s="696"/>
    </row>
    <row r="45" ht="15.75" customHeight="1">
      <c r="A45" s="653"/>
      <c r="B45" s="654"/>
      <c r="C45" s="691"/>
      <c r="D45" s="656"/>
      <c r="E45" s="657"/>
      <c r="F45" s="658"/>
      <c r="G45" s="659"/>
      <c r="H45" s="660"/>
      <c r="I45" s="659"/>
      <c r="J45" s="661"/>
      <c r="K45" s="692"/>
      <c r="L45" s="645"/>
      <c r="M45" s="663"/>
      <c r="N45" s="665"/>
      <c r="O45" s="665"/>
      <c r="P45" s="666"/>
      <c r="Q45" s="667"/>
      <c r="R45" s="668"/>
      <c r="S45" s="693"/>
      <c r="T45" s="694"/>
      <c r="U45" s="694"/>
      <c r="V45" s="693"/>
      <c r="W45" s="693"/>
      <c r="X45" s="693"/>
      <c r="Y45" s="671"/>
      <c r="Z45" s="673"/>
      <c r="AA45" s="672"/>
      <c r="AB45" s="695"/>
      <c r="AC45" s="673"/>
      <c r="AD45" s="673"/>
      <c r="AE45" s="673"/>
      <c r="AF45" s="673"/>
      <c r="AG45" s="673"/>
      <c r="AH45" s="673"/>
      <c r="AI45" s="673"/>
      <c r="AJ45" s="673"/>
      <c r="AK45" s="673"/>
      <c r="AL45" s="673"/>
      <c r="AM45" s="673"/>
      <c r="AN45" s="673"/>
      <c r="AO45" s="673"/>
      <c r="AP45" s="673"/>
      <c r="AQ45" s="673"/>
      <c r="AR45" s="673"/>
      <c r="AS45" s="673"/>
      <c r="AT45" s="696"/>
    </row>
    <row r="46" ht="15.75" customHeight="1">
      <c r="A46" s="653"/>
      <c r="B46" s="654"/>
      <c r="C46" s="691"/>
      <c r="D46" s="656"/>
      <c r="E46" s="657"/>
      <c r="F46" s="658"/>
      <c r="G46" s="659"/>
      <c r="H46" s="660"/>
      <c r="I46" s="659"/>
      <c r="J46" s="661"/>
      <c r="K46" s="692"/>
      <c r="L46" s="645"/>
      <c r="M46" s="663"/>
      <c r="N46" s="665"/>
      <c r="O46" s="665"/>
      <c r="P46" s="666"/>
      <c r="Q46" s="667"/>
      <c r="R46" s="668"/>
      <c r="S46" s="693"/>
      <c r="T46" s="694"/>
      <c r="U46" s="694"/>
      <c r="V46" s="693"/>
      <c r="W46" s="693"/>
      <c r="X46" s="693"/>
      <c r="Y46" s="671"/>
      <c r="Z46" s="673"/>
      <c r="AA46" s="672"/>
      <c r="AB46" s="695"/>
      <c r="AC46" s="673"/>
      <c r="AD46" s="673"/>
      <c r="AE46" s="673"/>
      <c r="AF46" s="673"/>
      <c r="AG46" s="673"/>
      <c r="AH46" s="673"/>
      <c r="AI46" s="673"/>
      <c r="AJ46" s="673"/>
      <c r="AK46" s="673"/>
      <c r="AL46" s="673"/>
      <c r="AM46" s="673"/>
      <c r="AN46" s="673"/>
      <c r="AO46" s="673"/>
      <c r="AP46" s="673"/>
      <c r="AQ46" s="673"/>
      <c r="AR46" s="673"/>
      <c r="AS46" s="673"/>
      <c r="AT46" s="696"/>
    </row>
    <row r="47" ht="15.75" customHeight="1">
      <c r="A47" s="653"/>
      <c r="B47" s="654"/>
      <c r="C47" s="691"/>
      <c r="D47" s="656"/>
      <c r="E47" s="657"/>
      <c r="F47" s="658"/>
      <c r="G47" s="659"/>
      <c r="H47" s="660"/>
      <c r="I47" s="659"/>
      <c r="J47" s="661"/>
      <c r="K47" s="692"/>
      <c r="L47" s="645"/>
      <c r="M47" s="663"/>
      <c r="N47" s="665"/>
      <c r="O47" s="665"/>
      <c r="P47" s="666"/>
      <c r="Q47" s="667"/>
      <c r="R47" s="668"/>
      <c r="S47" s="693"/>
      <c r="T47" s="694"/>
      <c r="U47" s="694"/>
      <c r="V47" s="693"/>
      <c r="W47" s="693"/>
      <c r="X47" s="693"/>
      <c r="Y47" s="671"/>
      <c r="Z47" s="673"/>
      <c r="AA47" s="672"/>
      <c r="AB47" s="695"/>
      <c r="AC47" s="673"/>
      <c r="AD47" s="673"/>
      <c r="AE47" s="673"/>
      <c r="AF47" s="673"/>
      <c r="AG47" s="673"/>
      <c r="AH47" s="673"/>
      <c r="AI47" s="673"/>
      <c r="AJ47" s="673"/>
      <c r="AK47" s="673"/>
      <c r="AL47" s="673"/>
      <c r="AM47" s="673"/>
      <c r="AN47" s="673"/>
      <c r="AO47" s="673"/>
      <c r="AP47" s="673"/>
      <c r="AQ47" s="673"/>
      <c r="AR47" s="673"/>
      <c r="AS47" s="673"/>
      <c r="AT47" s="696"/>
    </row>
    <row r="48" ht="15.75" customHeight="1">
      <c r="A48" s="653"/>
      <c r="B48" s="654"/>
      <c r="C48" s="691"/>
      <c r="D48" s="656"/>
      <c r="E48" s="657"/>
      <c r="F48" s="658"/>
      <c r="G48" s="659"/>
      <c r="H48" s="660"/>
      <c r="I48" s="659"/>
      <c r="J48" s="661"/>
      <c r="K48" s="692"/>
      <c r="L48" s="645"/>
      <c r="M48" s="663"/>
      <c r="N48" s="665"/>
      <c r="O48" s="665"/>
      <c r="P48" s="666"/>
      <c r="Q48" s="667"/>
      <c r="R48" s="668"/>
      <c r="S48" s="693"/>
      <c r="T48" s="694"/>
      <c r="U48" s="694"/>
      <c r="V48" s="693"/>
      <c r="W48" s="693"/>
      <c r="X48" s="693"/>
      <c r="Y48" s="671"/>
      <c r="Z48" s="673"/>
      <c r="AA48" s="672"/>
      <c r="AB48" s="695"/>
      <c r="AC48" s="673"/>
      <c r="AD48" s="673"/>
      <c r="AE48" s="673"/>
      <c r="AF48" s="673"/>
      <c r="AG48" s="673"/>
      <c r="AH48" s="673"/>
      <c r="AI48" s="673"/>
      <c r="AJ48" s="673"/>
      <c r="AK48" s="673"/>
      <c r="AL48" s="673"/>
      <c r="AM48" s="673"/>
      <c r="AN48" s="673"/>
      <c r="AO48" s="673"/>
      <c r="AP48" s="673"/>
      <c r="AQ48" s="673"/>
      <c r="AR48" s="673"/>
      <c r="AS48" s="673"/>
      <c r="AT48" s="696"/>
    </row>
    <row r="49" ht="15.75" customHeight="1">
      <c r="A49" s="653"/>
      <c r="B49" s="654"/>
      <c r="C49" s="691"/>
      <c r="D49" s="656"/>
      <c r="E49" s="657"/>
      <c r="F49" s="658"/>
      <c r="G49" s="659"/>
      <c r="H49" s="660"/>
      <c r="I49" s="659"/>
      <c r="J49" s="661"/>
      <c r="K49" s="692"/>
      <c r="L49" s="645"/>
      <c r="M49" s="663"/>
      <c r="N49" s="665"/>
      <c r="O49" s="665"/>
      <c r="P49" s="666"/>
      <c r="Q49" s="667"/>
      <c r="R49" s="668"/>
      <c r="S49" s="693"/>
      <c r="T49" s="694"/>
      <c r="U49" s="694"/>
      <c r="V49" s="693"/>
      <c r="W49" s="693"/>
      <c r="X49" s="693"/>
      <c r="Y49" s="671"/>
      <c r="Z49" s="673"/>
      <c r="AA49" s="672"/>
      <c r="AB49" s="695"/>
      <c r="AC49" s="673"/>
      <c r="AD49" s="673"/>
      <c r="AE49" s="673"/>
      <c r="AF49" s="673"/>
      <c r="AG49" s="673"/>
      <c r="AH49" s="673"/>
      <c r="AI49" s="673"/>
      <c r="AJ49" s="673"/>
      <c r="AK49" s="673"/>
      <c r="AL49" s="673"/>
      <c r="AM49" s="673"/>
      <c r="AN49" s="673"/>
      <c r="AO49" s="673"/>
      <c r="AP49" s="673"/>
      <c r="AQ49" s="673"/>
      <c r="AR49" s="673"/>
      <c r="AS49" s="673"/>
      <c r="AT49" s="696"/>
    </row>
    <row r="50" ht="15.75" customHeight="1">
      <c r="A50" s="653"/>
      <c r="B50" s="654"/>
      <c r="C50" s="691"/>
      <c r="D50" s="656"/>
      <c r="E50" s="657"/>
      <c r="F50" s="658"/>
      <c r="G50" s="659"/>
      <c r="H50" s="660"/>
      <c r="I50" s="659"/>
      <c r="J50" s="661"/>
      <c r="K50" s="692"/>
      <c r="L50" s="645"/>
      <c r="M50" s="663"/>
      <c r="N50" s="665"/>
      <c r="O50" s="665"/>
      <c r="P50" s="666"/>
      <c r="Q50" s="667"/>
      <c r="R50" s="668"/>
      <c r="S50" s="693"/>
      <c r="T50" s="694"/>
      <c r="U50" s="694"/>
      <c r="V50" s="693"/>
      <c r="W50" s="693"/>
      <c r="X50" s="693"/>
      <c r="Y50" s="671"/>
      <c r="Z50" s="673"/>
      <c r="AA50" s="672"/>
      <c r="AB50" s="695"/>
      <c r="AC50" s="673"/>
      <c r="AD50" s="673"/>
      <c r="AE50" s="673"/>
      <c r="AF50" s="673"/>
      <c r="AG50" s="673"/>
      <c r="AH50" s="673"/>
      <c r="AI50" s="673"/>
      <c r="AJ50" s="673"/>
      <c r="AK50" s="673"/>
      <c r="AL50" s="673"/>
      <c r="AM50" s="673"/>
      <c r="AN50" s="673"/>
      <c r="AO50" s="673"/>
      <c r="AP50" s="673"/>
      <c r="AQ50" s="673"/>
      <c r="AR50" s="673"/>
      <c r="AS50" s="673"/>
      <c r="AT50" s="696"/>
    </row>
    <row r="51" ht="15.75" customHeight="1">
      <c r="A51" s="653"/>
      <c r="B51" s="654"/>
      <c r="C51" s="691"/>
      <c r="D51" s="656"/>
      <c r="E51" s="657"/>
      <c r="F51" s="658"/>
      <c r="G51" s="659"/>
      <c r="H51" s="660"/>
      <c r="I51" s="659"/>
      <c r="J51" s="661"/>
      <c r="K51" s="692"/>
      <c r="L51" s="645"/>
      <c r="M51" s="663"/>
      <c r="N51" s="665"/>
      <c r="O51" s="665"/>
      <c r="P51" s="666"/>
      <c r="Q51" s="667"/>
      <c r="R51" s="668"/>
      <c r="S51" s="693"/>
      <c r="T51" s="694"/>
      <c r="U51" s="694"/>
      <c r="V51" s="693"/>
      <c r="W51" s="693"/>
      <c r="X51" s="693"/>
      <c r="Y51" s="671"/>
      <c r="Z51" s="673"/>
      <c r="AA51" s="672"/>
      <c r="AB51" s="695"/>
      <c r="AC51" s="673"/>
      <c r="AD51" s="673"/>
      <c r="AE51" s="673"/>
      <c r="AF51" s="673"/>
      <c r="AG51" s="673"/>
      <c r="AH51" s="673"/>
      <c r="AI51" s="673"/>
      <c r="AJ51" s="673"/>
      <c r="AK51" s="673"/>
      <c r="AL51" s="673"/>
      <c r="AM51" s="673"/>
      <c r="AN51" s="673"/>
      <c r="AO51" s="673"/>
      <c r="AP51" s="673"/>
      <c r="AQ51" s="673"/>
      <c r="AR51" s="673"/>
      <c r="AS51" s="673"/>
      <c r="AT51" s="696"/>
    </row>
    <row r="52" ht="15.75" customHeight="1">
      <c r="A52" s="653"/>
      <c r="B52" s="654"/>
      <c r="C52" s="691"/>
      <c r="D52" s="656"/>
      <c r="E52" s="657"/>
      <c r="F52" s="658"/>
      <c r="G52" s="659"/>
      <c r="H52" s="660"/>
      <c r="I52" s="659"/>
      <c r="J52" s="661"/>
      <c r="K52" s="692"/>
      <c r="L52" s="645"/>
      <c r="M52" s="663"/>
      <c r="N52" s="665"/>
      <c r="O52" s="665"/>
      <c r="P52" s="666"/>
      <c r="Q52" s="667"/>
      <c r="R52" s="668"/>
      <c r="S52" s="693"/>
      <c r="T52" s="694"/>
      <c r="U52" s="694"/>
      <c r="V52" s="693"/>
      <c r="W52" s="693"/>
      <c r="X52" s="693"/>
      <c r="Y52" s="671"/>
      <c r="Z52" s="673"/>
      <c r="AA52" s="672"/>
      <c r="AB52" s="695"/>
      <c r="AC52" s="673"/>
      <c r="AD52" s="673"/>
      <c r="AE52" s="673"/>
      <c r="AF52" s="673"/>
      <c r="AG52" s="673"/>
      <c r="AH52" s="673"/>
      <c r="AI52" s="673"/>
      <c r="AJ52" s="673"/>
      <c r="AK52" s="673"/>
      <c r="AL52" s="673"/>
      <c r="AM52" s="673"/>
      <c r="AN52" s="673"/>
      <c r="AO52" s="673"/>
      <c r="AP52" s="673"/>
      <c r="AQ52" s="673"/>
      <c r="AR52" s="673"/>
      <c r="AS52" s="673"/>
      <c r="AT52" s="696"/>
    </row>
    <row r="53" ht="15.75" customHeight="1">
      <c r="A53" s="653"/>
      <c r="B53" s="654"/>
      <c r="C53" s="691"/>
      <c r="D53" s="656"/>
      <c r="E53" s="657"/>
      <c r="F53" s="658"/>
      <c r="G53" s="659"/>
      <c r="H53" s="660"/>
      <c r="I53" s="659"/>
      <c r="J53" s="661"/>
      <c r="K53" s="692"/>
      <c r="L53" s="645"/>
      <c r="M53" s="663"/>
      <c r="N53" s="665"/>
      <c r="O53" s="665"/>
      <c r="P53" s="666"/>
      <c r="Q53" s="667"/>
      <c r="R53" s="668"/>
      <c r="S53" s="693"/>
      <c r="T53" s="694"/>
      <c r="U53" s="694"/>
      <c r="V53" s="693"/>
      <c r="W53" s="693"/>
      <c r="X53" s="693"/>
      <c r="Y53" s="671"/>
      <c r="Z53" s="673"/>
      <c r="AA53" s="672"/>
      <c r="AB53" s="695"/>
      <c r="AC53" s="673"/>
      <c r="AD53" s="673"/>
      <c r="AE53" s="673"/>
      <c r="AF53" s="673"/>
      <c r="AG53" s="673"/>
      <c r="AH53" s="673"/>
      <c r="AI53" s="673"/>
      <c r="AJ53" s="673"/>
      <c r="AK53" s="673"/>
      <c r="AL53" s="673"/>
      <c r="AM53" s="673"/>
      <c r="AN53" s="673"/>
      <c r="AO53" s="673"/>
      <c r="AP53" s="673"/>
      <c r="AQ53" s="673"/>
      <c r="AR53" s="673"/>
      <c r="AS53" s="673"/>
      <c r="AT53" s="696"/>
    </row>
    <row r="54" ht="15.75" customHeight="1">
      <c r="A54" s="653"/>
      <c r="B54" s="654"/>
      <c r="C54" s="691"/>
      <c r="D54" s="656"/>
      <c r="E54" s="657"/>
      <c r="F54" s="658"/>
      <c r="G54" s="659"/>
      <c r="H54" s="660"/>
      <c r="I54" s="659"/>
      <c r="J54" s="661"/>
      <c r="K54" s="692"/>
      <c r="L54" s="645"/>
      <c r="M54" s="663"/>
      <c r="N54" s="665"/>
      <c r="O54" s="665"/>
      <c r="P54" s="666"/>
      <c r="Q54" s="667"/>
      <c r="R54" s="668"/>
      <c r="S54" s="693"/>
      <c r="T54" s="694"/>
      <c r="U54" s="694"/>
      <c r="V54" s="693"/>
      <c r="W54" s="693"/>
      <c r="X54" s="693"/>
      <c r="Y54" s="671"/>
      <c r="Z54" s="673"/>
      <c r="AA54" s="672"/>
      <c r="AB54" s="695"/>
      <c r="AC54" s="673"/>
      <c r="AD54" s="673"/>
      <c r="AE54" s="673"/>
      <c r="AF54" s="673"/>
      <c r="AG54" s="673"/>
      <c r="AH54" s="673"/>
      <c r="AI54" s="673"/>
      <c r="AJ54" s="673"/>
      <c r="AK54" s="673"/>
      <c r="AL54" s="673"/>
      <c r="AM54" s="673"/>
      <c r="AN54" s="673"/>
      <c r="AO54" s="673"/>
      <c r="AP54" s="673"/>
      <c r="AQ54" s="673"/>
      <c r="AR54" s="673"/>
      <c r="AS54" s="673"/>
      <c r="AT54" s="696"/>
    </row>
    <row r="55" ht="15.75" customHeight="1">
      <c r="A55" s="653"/>
      <c r="B55" s="654"/>
      <c r="C55" s="691"/>
      <c r="D55" s="656"/>
      <c r="E55" s="657"/>
      <c r="F55" s="658"/>
      <c r="G55" s="659"/>
      <c r="H55" s="660"/>
      <c r="I55" s="659"/>
      <c r="J55" s="661"/>
      <c r="K55" s="692"/>
      <c r="L55" s="645"/>
      <c r="M55" s="663"/>
      <c r="N55" s="665"/>
      <c r="O55" s="665"/>
      <c r="P55" s="666"/>
      <c r="Q55" s="667"/>
      <c r="R55" s="668"/>
      <c r="S55" s="693"/>
      <c r="T55" s="694"/>
      <c r="U55" s="694"/>
      <c r="V55" s="693"/>
      <c r="W55" s="693"/>
      <c r="X55" s="693"/>
      <c r="Y55" s="671"/>
      <c r="Z55" s="673"/>
      <c r="AA55" s="672"/>
      <c r="AB55" s="695"/>
      <c r="AC55" s="673"/>
      <c r="AD55" s="673"/>
      <c r="AE55" s="673"/>
      <c r="AF55" s="673"/>
      <c r="AG55" s="673"/>
      <c r="AH55" s="673"/>
      <c r="AI55" s="673"/>
      <c r="AJ55" s="673"/>
      <c r="AK55" s="673"/>
      <c r="AL55" s="673"/>
      <c r="AM55" s="673"/>
      <c r="AN55" s="673"/>
      <c r="AO55" s="673"/>
      <c r="AP55" s="673"/>
      <c r="AQ55" s="673"/>
      <c r="AR55" s="673"/>
      <c r="AS55" s="673"/>
      <c r="AT55" s="696"/>
    </row>
    <row r="56" ht="15.75" customHeight="1">
      <c r="A56" s="653"/>
      <c r="B56" s="654"/>
      <c r="C56" s="691"/>
      <c r="D56" s="656"/>
      <c r="E56" s="657"/>
      <c r="F56" s="658"/>
      <c r="G56" s="659"/>
      <c r="H56" s="660"/>
      <c r="I56" s="659"/>
      <c r="J56" s="661"/>
      <c r="K56" s="692"/>
      <c r="L56" s="645"/>
      <c r="M56" s="663"/>
      <c r="N56" s="665"/>
      <c r="O56" s="665"/>
      <c r="P56" s="666"/>
      <c r="Q56" s="667"/>
      <c r="R56" s="668"/>
      <c r="S56" s="693"/>
      <c r="T56" s="694"/>
      <c r="U56" s="694"/>
      <c r="V56" s="693"/>
      <c r="W56" s="693"/>
      <c r="X56" s="693"/>
      <c r="Y56" s="671"/>
      <c r="Z56" s="673"/>
      <c r="AA56" s="672"/>
      <c r="AB56" s="695"/>
      <c r="AC56" s="673"/>
      <c r="AD56" s="673"/>
      <c r="AE56" s="673"/>
      <c r="AF56" s="673"/>
      <c r="AG56" s="673"/>
      <c r="AH56" s="673"/>
      <c r="AI56" s="673"/>
      <c r="AJ56" s="673"/>
      <c r="AK56" s="673"/>
      <c r="AL56" s="673"/>
      <c r="AM56" s="673"/>
      <c r="AN56" s="673"/>
      <c r="AO56" s="673"/>
      <c r="AP56" s="673"/>
      <c r="AQ56" s="673"/>
      <c r="AR56" s="673"/>
      <c r="AS56" s="673"/>
      <c r="AT56" s="696"/>
    </row>
    <row r="57" ht="15.75" customHeight="1">
      <c r="A57" s="653"/>
      <c r="B57" s="654"/>
      <c r="C57" s="691"/>
      <c r="D57" s="656"/>
      <c r="E57" s="657"/>
      <c r="F57" s="658"/>
      <c r="G57" s="659"/>
      <c r="H57" s="660"/>
      <c r="I57" s="659"/>
      <c r="J57" s="661"/>
      <c r="K57" s="692"/>
      <c r="L57" s="645"/>
      <c r="M57" s="663"/>
      <c r="N57" s="665"/>
      <c r="O57" s="665"/>
      <c r="P57" s="666"/>
      <c r="Q57" s="667"/>
      <c r="R57" s="668"/>
      <c r="S57" s="693"/>
      <c r="T57" s="694"/>
      <c r="U57" s="694"/>
      <c r="V57" s="693"/>
      <c r="W57" s="693"/>
      <c r="X57" s="693"/>
      <c r="Y57" s="671"/>
      <c r="Z57" s="673"/>
      <c r="AA57" s="672"/>
      <c r="AB57" s="695"/>
      <c r="AC57" s="673"/>
      <c r="AD57" s="673"/>
      <c r="AE57" s="673"/>
      <c r="AF57" s="673"/>
      <c r="AG57" s="673"/>
      <c r="AH57" s="673"/>
      <c r="AI57" s="673"/>
      <c r="AJ57" s="673"/>
      <c r="AK57" s="673"/>
      <c r="AL57" s="673"/>
      <c r="AM57" s="673"/>
      <c r="AN57" s="673"/>
      <c r="AO57" s="673"/>
      <c r="AP57" s="673"/>
      <c r="AQ57" s="673"/>
      <c r="AR57" s="673"/>
      <c r="AS57" s="673"/>
      <c r="AT57" s="696"/>
    </row>
    <row r="58" ht="15.75" customHeight="1">
      <c r="A58" s="653"/>
      <c r="B58" s="654"/>
      <c r="C58" s="691"/>
      <c r="D58" s="656"/>
      <c r="E58" s="657"/>
      <c r="F58" s="658"/>
      <c r="G58" s="659"/>
      <c r="H58" s="660"/>
      <c r="I58" s="659"/>
      <c r="J58" s="661"/>
      <c r="K58" s="692"/>
      <c r="L58" s="645"/>
      <c r="M58" s="663"/>
      <c r="N58" s="665"/>
      <c r="O58" s="665"/>
      <c r="P58" s="666"/>
      <c r="Q58" s="667"/>
      <c r="R58" s="668"/>
      <c r="S58" s="693"/>
      <c r="T58" s="694"/>
      <c r="U58" s="694"/>
      <c r="V58" s="693"/>
      <c r="W58" s="693"/>
      <c r="X58" s="693"/>
      <c r="Y58" s="671"/>
      <c r="Z58" s="673"/>
      <c r="AA58" s="672"/>
      <c r="AB58" s="695"/>
      <c r="AC58" s="673"/>
      <c r="AD58" s="673"/>
      <c r="AE58" s="673"/>
      <c r="AF58" s="673"/>
      <c r="AG58" s="673"/>
      <c r="AH58" s="673"/>
      <c r="AI58" s="673"/>
      <c r="AJ58" s="673"/>
      <c r="AK58" s="673"/>
      <c r="AL58" s="673"/>
      <c r="AM58" s="673"/>
      <c r="AN58" s="673"/>
      <c r="AO58" s="673"/>
      <c r="AP58" s="673"/>
      <c r="AQ58" s="673"/>
      <c r="AR58" s="673"/>
      <c r="AS58" s="673"/>
      <c r="AT58" s="696"/>
    </row>
    <row r="59" ht="15.75" customHeight="1">
      <c r="A59" s="653"/>
      <c r="B59" s="654"/>
      <c r="C59" s="691"/>
      <c r="D59" s="656"/>
      <c r="E59" s="657"/>
      <c r="F59" s="658"/>
      <c r="G59" s="659"/>
      <c r="H59" s="660"/>
      <c r="I59" s="659"/>
      <c r="J59" s="661"/>
      <c r="K59" s="692"/>
      <c r="L59" s="645"/>
      <c r="M59" s="663"/>
      <c r="N59" s="665"/>
      <c r="O59" s="665"/>
      <c r="P59" s="666"/>
      <c r="Q59" s="667"/>
      <c r="R59" s="668"/>
      <c r="S59" s="693"/>
      <c r="T59" s="694"/>
      <c r="U59" s="694"/>
      <c r="V59" s="693"/>
      <c r="W59" s="693"/>
      <c r="X59" s="693"/>
      <c r="Y59" s="671"/>
      <c r="Z59" s="673"/>
      <c r="AA59" s="672"/>
      <c r="AB59" s="695"/>
      <c r="AC59" s="673"/>
      <c r="AD59" s="673"/>
      <c r="AE59" s="673"/>
      <c r="AF59" s="673"/>
      <c r="AG59" s="673"/>
      <c r="AH59" s="673"/>
      <c r="AI59" s="673"/>
      <c r="AJ59" s="673"/>
      <c r="AK59" s="673"/>
      <c r="AL59" s="673"/>
      <c r="AM59" s="673"/>
      <c r="AN59" s="673"/>
      <c r="AO59" s="673"/>
      <c r="AP59" s="673"/>
      <c r="AQ59" s="673"/>
      <c r="AR59" s="673"/>
      <c r="AS59" s="673"/>
      <c r="AT59" s="696"/>
    </row>
    <row r="60" ht="15.75" customHeight="1">
      <c r="A60" s="653"/>
      <c r="B60" s="654"/>
      <c r="C60" s="691"/>
      <c r="D60" s="656"/>
      <c r="E60" s="657"/>
      <c r="F60" s="658"/>
      <c r="G60" s="659"/>
      <c r="H60" s="660"/>
      <c r="I60" s="659"/>
      <c r="J60" s="661"/>
      <c r="K60" s="692"/>
      <c r="L60" s="645"/>
      <c r="M60" s="663"/>
      <c r="N60" s="665"/>
      <c r="O60" s="665"/>
      <c r="P60" s="666"/>
      <c r="Q60" s="667"/>
      <c r="R60" s="668"/>
      <c r="S60" s="693"/>
      <c r="T60" s="694"/>
      <c r="U60" s="694"/>
      <c r="V60" s="693"/>
      <c r="W60" s="693"/>
      <c r="X60" s="693"/>
      <c r="Y60" s="671"/>
      <c r="Z60" s="673"/>
      <c r="AA60" s="672"/>
      <c r="AB60" s="695"/>
      <c r="AC60" s="673"/>
      <c r="AD60" s="673"/>
      <c r="AE60" s="673"/>
      <c r="AF60" s="673"/>
      <c r="AG60" s="673"/>
      <c r="AH60" s="673"/>
      <c r="AI60" s="673"/>
      <c r="AJ60" s="673"/>
      <c r="AK60" s="673"/>
      <c r="AL60" s="673"/>
      <c r="AM60" s="673"/>
      <c r="AN60" s="673"/>
      <c r="AO60" s="673"/>
      <c r="AP60" s="673"/>
      <c r="AQ60" s="673"/>
      <c r="AR60" s="673"/>
      <c r="AS60" s="673"/>
      <c r="AT60" s="696"/>
    </row>
    <row r="61" ht="15.75" customHeight="1">
      <c r="A61" s="653"/>
      <c r="B61" s="654"/>
      <c r="C61" s="691"/>
      <c r="D61" s="656"/>
      <c r="E61" s="657"/>
      <c r="F61" s="658"/>
      <c r="G61" s="659"/>
      <c r="H61" s="660"/>
      <c r="I61" s="659"/>
      <c r="J61" s="661"/>
      <c r="K61" s="692"/>
      <c r="L61" s="645"/>
      <c r="M61" s="663"/>
      <c r="N61" s="665"/>
      <c r="O61" s="665"/>
      <c r="P61" s="666"/>
      <c r="Q61" s="667"/>
      <c r="R61" s="668"/>
      <c r="S61" s="693"/>
      <c r="T61" s="694"/>
      <c r="U61" s="694"/>
      <c r="V61" s="693"/>
      <c r="W61" s="693"/>
      <c r="X61" s="693"/>
      <c r="Y61" s="671"/>
      <c r="Z61" s="673"/>
      <c r="AA61" s="672"/>
      <c r="AB61" s="695"/>
      <c r="AC61" s="673"/>
      <c r="AD61" s="673"/>
      <c r="AE61" s="673"/>
      <c r="AF61" s="673"/>
      <c r="AG61" s="673"/>
      <c r="AH61" s="673"/>
      <c r="AI61" s="673"/>
      <c r="AJ61" s="673"/>
      <c r="AK61" s="673"/>
      <c r="AL61" s="673"/>
      <c r="AM61" s="673"/>
      <c r="AN61" s="673"/>
      <c r="AO61" s="673"/>
      <c r="AP61" s="673"/>
      <c r="AQ61" s="673"/>
      <c r="AR61" s="673"/>
      <c r="AS61" s="673"/>
      <c r="AT61" s="696"/>
    </row>
    <row r="62" ht="15.75" customHeight="1">
      <c r="A62" s="653"/>
      <c r="B62" s="654"/>
      <c r="C62" s="691"/>
      <c r="D62" s="656"/>
      <c r="E62" s="657"/>
      <c r="F62" s="658"/>
      <c r="G62" s="659"/>
      <c r="H62" s="660"/>
      <c r="I62" s="659"/>
      <c r="J62" s="661"/>
      <c r="K62" s="692"/>
      <c r="L62" s="645"/>
      <c r="M62" s="663"/>
      <c r="N62" s="665"/>
      <c r="O62" s="665"/>
      <c r="P62" s="666"/>
      <c r="Q62" s="667"/>
      <c r="R62" s="668"/>
      <c r="S62" s="693"/>
      <c r="T62" s="694"/>
      <c r="U62" s="694"/>
      <c r="V62" s="693"/>
      <c r="W62" s="693"/>
      <c r="X62" s="693"/>
      <c r="Y62" s="671"/>
      <c r="Z62" s="673"/>
      <c r="AA62" s="672"/>
      <c r="AB62" s="695"/>
      <c r="AC62" s="673"/>
      <c r="AD62" s="673"/>
      <c r="AE62" s="673"/>
      <c r="AF62" s="673"/>
      <c r="AG62" s="673"/>
      <c r="AH62" s="673"/>
      <c r="AI62" s="673"/>
      <c r="AJ62" s="673"/>
      <c r="AK62" s="673"/>
      <c r="AL62" s="673"/>
      <c r="AM62" s="673"/>
      <c r="AN62" s="673"/>
      <c r="AO62" s="673"/>
      <c r="AP62" s="673"/>
      <c r="AQ62" s="673"/>
      <c r="AR62" s="673"/>
      <c r="AS62" s="673"/>
      <c r="AT62" s="696"/>
    </row>
    <row r="63" ht="15.75" customHeight="1">
      <c r="A63" s="653"/>
      <c r="B63" s="654"/>
      <c r="C63" s="691"/>
      <c r="D63" s="656"/>
      <c r="E63" s="657"/>
      <c r="F63" s="658"/>
      <c r="G63" s="659"/>
      <c r="H63" s="660"/>
      <c r="I63" s="659"/>
      <c r="J63" s="661"/>
      <c r="K63" s="692"/>
      <c r="L63" s="645"/>
      <c r="M63" s="663"/>
      <c r="N63" s="665"/>
      <c r="O63" s="665"/>
      <c r="P63" s="666"/>
      <c r="Q63" s="667"/>
      <c r="R63" s="668"/>
      <c r="S63" s="693"/>
      <c r="T63" s="694"/>
      <c r="U63" s="694"/>
      <c r="V63" s="693"/>
      <c r="W63" s="693"/>
      <c r="X63" s="693"/>
      <c r="Y63" s="671"/>
      <c r="Z63" s="673"/>
      <c r="AA63" s="672"/>
      <c r="AB63" s="695"/>
      <c r="AC63" s="673"/>
      <c r="AD63" s="673"/>
      <c r="AE63" s="673"/>
      <c r="AF63" s="673"/>
      <c r="AG63" s="673"/>
      <c r="AH63" s="673"/>
      <c r="AI63" s="673"/>
      <c r="AJ63" s="673"/>
      <c r="AK63" s="673"/>
      <c r="AL63" s="673"/>
      <c r="AM63" s="673"/>
      <c r="AN63" s="673"/>
      <c r="AO63" s="673"/>
      <c r="AP63" s="673"/>
      <c r="AQ63" s="673"/>
      <c r="AR63" s="673"/>
      <c r="AS63" s="673"/>
      <c r="AT63" s="696"/>
    </row>
    <row r="64" ht="15.75" customHeight="1">
      <c r="A64" s="653"/>
      <c r="B64" s="654"/>
      <c r="C64" s="691"/>
      <c r="D64" s="656"/>
      <c r="E64" s="657"/>
      <c r="F64" s="658"/>
      <c r="G64" s="659"/>
      <c r="H64" s="660"/>
      <c r="I64" s="659"/>
      <c r="J64" s="661"/>
      <c r="K64" s="692"/>
      <c r="L64" s="645"/>
      <c r="M64" s="663"/>
      <c r="N64" s="665"/>
      <c r="O64" s="665"/>
      <c r="P64" s="666"/>
      <c r="Q64" s="667"/>
      <c r="R64" s="668"/>
      <c r="S64" s="693"/>
      <c r="T64" s="694"/>
      <c r="U64" s="694"/>
      <c r="V64" s="693"/>
      <c r="W64" s="693"/>
      <c r="X64" s="693"/>
      <c r="Y64" s="671"/>
      <c r="Z64" s="673"/>
      <c r="AA64" s="672"/>
      <c r="AB64" s="695"/>
      <c r="AC64" s="673"/>
      <c r="AD64" s="673"/>
      <c r="AE64" s="673"/>
      <c r="AF64" s="673"/>
      <c r="AG64" s="673"/>
      <c r="AH64" s="673"/>
      <c r="AI64" s="673"/>
      <c r="AJ64" s="673"/>
      <c r="AK64" s="673"/>
      <c r="AL64" s="673"/>
      <c r="AM64" s="673"/>
      <c r="AN64" s="673"/>
      <c r="AO64" s="673"/>
      <c r="AP64" s="673"/>
      <c r="AQ64" s="673"/>
      <c r="AR64" s="673"/>
      <c r="AS64" s="673"/>
      <c r="AT64" s="696"/>
    </row>
    <row r="65" ht="15.75" customHeight="1">
      <c r="A65" s="653"/>
      <c r="B65" s="654"/>
      <c r="C65" s="691"/>
      <c r="D65" s="656"/>
      <c r="E65" s="657"/>
      <c r="F65" s="658"/>
      <c r="G65" s="659"/>
      <c r="H65" s="660"/>
      <c r="I65" s="659"/>
      <c r="J65" s="661"/>
      <c r="K65" s="692"/>
      <c r="L65" s="645"/>
      <c r="M65" s="663"/>
      <c r="N65" s="665"/>
      <c r="O65" s="665"/>
      <c r="P65" s="666"/>
      <c r="Q65" s="667"/>
      <c r="R65" s="668"/>
      <c r="S65" s="693"/>
      <c r="T65" s="694"/>
      <c r="U65" s="694"/>
      <c r="V65" s="693"/>
      <c r="W65" s="693"/>
      <c r="X65" s="693"/>
      <c r="Y65" s="671"/>
      <c r="Z65" s="673"/>
      <c r="AA65" s="672"/>
      <c r="AB65" s="695"/>
      <c r="AC65" s="673"/>
      <c r="AD65" s="673"/>
      <c r="AE65" s="673"/>
      <c r="AF65" s="673"/>
      <c r="AG65" s="673"/>
      <c r="AH65" s="673"/>
      <c r="AI65" s="673"/>
      <c r="AJ65" s="673"/>
      <c r="AK65" s="673"/>
      <c r="AL65" s="673"/>
      <c r="AM65" s="673"/>
      <c r="AN65" s="673"/>
      <c r="AO65" s="673"/>
      <c r="AP65" s="673"/>
      <c r="AQ65" s="673"/>
      <c r="AR65" s="673"/>
      <c r="AS65" s="673"/>
      <c r="AT65" s="696"/>
    </row>
    <row r="66" ht="15.75" customHeight="1">
      <c r="A66" s="653"/>
      <c r="B66" s="654"/>
      <c r="C66" s="691"/>
      <c r="D66" s="656"/>
      <c r="E66" s="657"/>
      <c r="F66" s="658"/>
      <c r="G66" s="659"/>
      <c r="H66" s="660"/>
      <c r="I66" s="659"/>
      <c r="J66" s="661"/>
      <c r="K66" s="692"/>
      <c r="L66" s="645"/>
      <c r="M66" s="663"/>
      <c r="N66" s="665"/>
      <c r="O66" s="665"/>
      <c r="P66" s="666"/>
      <c r="Q66" s="667"/>
      <c r="R66" s="668"/>
      <c r="S66" s="693"/>
      <c r="T66" s="694"/>
      <c r="U66" s="694"/>
      <c r="V66" s="693"/>
      <c r="W66" s="693"/>
      <c r="X66" s="693"/>
      <c r="Y66" s="671"/>
      <c r="Z66" s="673"/>
      <c r="AA66" s="672"/>
      <c r="AB66" s="695"/>
      <c r="AC66" s="673"/>
      <c r="AD66" s="673"/>
      <c r="AE66" s="673"/>
      <c r="AF66" s="673"/>
      <c r="AG66" s="673"/>
      <c r="AH66" s="673"/>
      <c r="AI66" s="673"/>
      <c r="AJ66" s="673"/>
      <c r="AK66" s="673"/>
      <c r="AL66" s="673"/>
      <c r="AM66" s="673"/>
      <c r="AN66" s="673"/>
      <c r="AO66" s="673"/>
      <c r="AP66" s="673"/>
      <c r="AQ66" s="673"/>
      <c r="AR66" s="673"/>
      <c r="AS66" s="673"/>
      <c r="AT66" s="696"/>
    </row>
    <row r="67" ht="15.75" customHeight="1">
      <c r="A67" s="653"/>
      <c r="B67" s="654"/>
      <c r="C67" s="691"/>
      <c r="D67" s="656"/>
      <c r="E67" s="657"/>
      <c r="F67" s="658"/>
      <c r="G67" s="659"/>
      <c r="H67" s="660"/>
      <c r="I67" s="659"/>
      <c r="J67" s="661"/>
      <c r="K67" s="692"/>
      <c r="L67" s="645"/>
      <c r="M67" s="663"/>
      <c r="N67" s="665"/>
      <c r="O67" s="665"/>
      <c r="P67" s="666"/>
      <c r="Q67" s="667"/>
      <c r="R67" s="668"/>
      <c r="S67" s="693"/>
      <c r="T67" s="694"/>
      <c r="U67" s="694"/>
      <c r="V67" s="693"/>
      <c r="W67" s="693"/>
      <c r="X67" s="693"/>
      <c r="Y67" s="671"/>
      <c r="Z67" s="673"/>
      <c r="AA67" s="672"/>
      <c r="AB67" s="695"/>
      <c r="AC67" s="673"/>
      <c r="AD67" s="673"/>
      <c r="AE67" s="673"/>
      <c r="AF67" s="673"/>
      <c r="AG67" s="673"/>
      <c r="AH67" s="673"/>
      <c r="AI67" s="673"/>
      <c r="AJ67" s="673"/>
      <c r="AK67" s="673"/>
      <c r="AL67" s="673"/>
      <c r="AM67" s="673"/>
      <c r="AN67" s="673"/>
      <c r="AO67" s="673"/>
      <c r="AP67" s="673"/>
      <c r="AQ67" s="673"/>
      <c r="AR67" s="673"/>
      <c r="AS67" s="673"/>
      <c r="AT67" s="696"/>
    </row>
    <row r="68" ht="15.75" customHeight="1">
      <c r="A68" s="653"/>
      <c r="B68" s="654"/>
      <c r="C68" s="691"/>
      <c r="D68" s="656"/>
      <c r="E68" s="657"/>
      <c r="F68" s="658"/>
      <c r="G68" s="659"/>
      <c r="H68" s="660"/>
      <c r="I68" s="659"/>
      <c r="J68" s="661"/>
      <c r="K68" s="692"/>
      <c r="L68" s="645"/>
      <c r="M68" s="663"/>
      <c r="N68" s="665"/>
      <c r="O68" s="665"/>
      <c r="P68" s="666"/>
      <c r="Q68" s="667"/>
      <c r="R68" s="668"/>
      <c r="S68" s="693"/>
      <c r="T68" s="694"/>
      <c r="U68" s="694"/>
      <c r="V68" s="693"/>
      <c r="W68" s="693"/>
      <c r="X68" s="693"/>
      <c r="Y68" s="671"/>
      <c r="Z68" s="673"/>
      <c r="AA68" s="672"/>
      <c r="AB68" s="695"/>
      <c r="AC68" s="673"/>
      <c r="AD68" s="673"/>
      <c r="AE68" s="673"/>
      <c r="AF68" s="673"/>
      <c r="AG68" s="673"/>
      <c r="AH68" s="673"/>
      <c r="AI68" s="673"/>
      <c r="AJ68" s="673"/>
      <c r="AK68" s="673"/>
      <c r="AL68" s="673"/>
      <c r="AM68" s="673"/>
      <c r="AN68" s="673"/>
      <c r="AO68" s="673"/>
      <c r="AP68" s="673"/>
      <c r="AQ68" s="673"/>
      <c r="AR68" s="673"/>
      <c r="AS68" s="673"/>
      <c r="AT68" s="696"/>
    </row>
    <row r="69" ht="15.75" customHeight="1">
      <c r="A69" s="653"/>
      <c r="B69" s="654"/>
      <c r="C69" s="691"/>
      <c r="D69" s="656"/>
      <c r="E69" s="657"/>
      <c r="F69" s="658"/>
      <c r="G69" s="659"/>
      <c r="H69" s="660"/>
      <c r="I69" s="659"/>
      <c r="J69" s="661"/>
      <c r="K69" s="692"/>
      <c r="L69" s="645"/>
      <c r="M69" s="663"/>
      <c r="N69" s="665"/>
      <c r="O69" s="665"/>
      <c r="P69" s="666"/>
      <c r="Q69" s="667"/>
      <c r="R69" s="668"/>
      <c r="S69" s="693"/>
      <c r="T69" s="694"/>
      <c r="U69" s="694"/>
      <c r="V69" s="693"/>
      <c r="W69" s="693"/>
      <c r="X69" s="693"/>
      <c r="Y69" s="671"/>
      <c r="Z69" s="673"/>
      <c r="AA69" s="672"/>
      <c r="AB69" s="695"/>
      <c r="AC69" s="673"/>
      <c r="AD69" s="673"/>
      <c r="AE69" s="673"/>
      <c r="AF69" s="673"/>
      <c r="AG69" s="673"/>
      <c r="AH69" s="673"/>
      <c r="AI69" s="673"/>
      <c r="AJ69" s="673"/>
      <c r="AK69" s="673"/>
      <c r="AL69" s="673"/>
      <c r="AM69" s="673"/>
      <c r="AN69" s="673"/>
      <c r="AO69" s="673"/>
      <c r="AP69" s="673"/>
      <c r="AQ69" s="673"/>
      <c r="AR69" s="673"/>
      <c r="AS69" s="673"/>
      <c r="AT69" s="696"/>
    </row>
    <row r="70" ht="15.75" customHeight="1">
      <c r="A70" s="653"/>
      <c r="B70" s="654"/>
      <c r="C70" s="691"/>
      <c r="D70" s="656"/>
      <c r="E70" s="657"/>
      <c r="F70" s="658"/>
      <c r="G70" s="659"/>
      <c r="H70" s="660"/>
      <c r="I70" s="659"/>
      <c r="J70" s="661"/>
      <c r="K70" s="692"/>
      <c r="L70" s="645"/>
      <c r="M70" s="663"/>
      <c r="N70" s="665"/>
      <c r="O70" s="665"/>
      <c r="P70" s="666"/>
      <c r="Q70" s="667"/>
      <c r="R70" s="668"/>
      <c r="S70" s="693"/>
      <c r="T70" s="694"/>
      <c r="U70" s="694"/>
      <c r="V70" s="693"/>
      <c r="W70" s="693"/>
      <c r="X70" s="693"/>
      <c r="Y70" s="671"/>
      <c r="Z70" s="673"/>
      <c r="AA70" s="672"/>
      <c r="AB70" s="695"/>
      <c r="AC70" s="673"/>
      <c r="AD70" s="673"/>
      <c r="AE70" s="673"/>
      <c r="AF70" s="673"/>
      <c r="AG70" s="673"/>
      <c r="AH70" s="673"/>
      <c r="AI70" s="673"/>
      <c r="AJ70" s="673"/>
      <c r="AK70" s="673"/>
      <c r="AL70" s="673"/>
      <c r="AM70" s="673"/>
      <c r="AN70" s="673"/>
      <c r="AO70" s="673"/>
      <c r="AP70" s="673"/>
      <c r="AQ70" s="673"/>
      <c r="AR70" s="673"/>
      <c r="AS70" s="673"/>
      <c r="AT70" s="696"/>
    </row>
    <row r="71" ht="15.75" customHeight="1">
      <c r="A71" s="653"/>
      <c r="B71" s="654"/>
      <c r="C71" s="691"/>
      <c r="D71" s="656"/>
      <c r="E71" s="657"/>
      <c r="F71" s="658"/>
      <c r="G71" s="659"/>
      <c r="H71" s="660"/>
      <c r="I71" s="659"/>
      <c r="J71" s="661"/>
      <c r="K71" s="692"/>
      <c r="L71" s="645"/>
      <c r="M71" s="663"/>
      <c r="N71" s="665"/>
      <c r="O71" s="665"/>
      <c r="P71" s="666"/>
      <c r="Q71" s="667"/>
      <c r="R71" s="668"/>
      <c r="S71" s="693"/>
      <c r="T71" s="694"/>
      <c r="U71" s="694"/>
      <c r="V71" s="693"/>
      <c r="W71" s="693"/>
      <c r="X71" s="693"/>
      <c r="Y71" s="671"/>
      <c r="Z71" s="673"/>
      <c r="AA71" s="672"/>
      <c r="AB71" s="695"/>
      <c r="AC71" s="673"/>
      <c r="AD71" s="673"/>
      <c r="AE71" s="673"/>
      <c r="AF71" s="673"/>
      <c r="AG71" s="673"/>
      <c r="AH71" s="673"/>
      <c r="AI71" s="673"/>
      <c r="AJ71" s="673"/>
      <c r="AK71" s="673"/>
      <c r="AL71" s="673"/>
      <c r="AM71" s="673"/>
      <c r="AN71" s="673"/>
      <c r="AO71" s="673"/>
      <c r="AP71" s="673"/>
      <c r="AQ71" s="673"/>
      <c r="AR71" s="673"/>
      <c r="AS71" s="673"/>
      <c r="AT71" s="696"/>
    </row>
    <row r="72" ht="15.75" customHeight="1">
      <c r="A72" s="653"/>
      <c r="B72" s="654"/>
      <c r="C72" s="691"/>
      <c r="D72" s="656"/>
      <c r="E72" s="657"/>
      <c r="F72" s="658"/>
      <c r="G72" s="659"/>
      <c r="H72" s="660"/>
      <c r="I72" s="659"/>
      <c r="J72" s="661"/>
      <c r="K72" s="692"/>
      <c r="L72" s="645"/>
      <c r="M72" s="663"/>
      <c r="N72" s="665"/>
      <c r="O72" s="665"/>
      <c r="P72" s="666"/>
      <c r="Q72" s="667"/>
      <c r="R72" s="668"/>
      <c r="S72" s="693"/>
      <c r="T72" s="694"/>
      <c r="U72" s="694"/>
      <c r="V72" s="693"/>
      <c r="W72" s="693"/>
      <c r="X72" s="693"/>
      <c r="Y72" s="671"/>
      <c r="Z72" s="673"/>
      <c r="AA72" s="672"/>
      <c r="AB72" s="695"/>
      <c r="AC72" s="673"/>
      <c r="AD72" s="673"/>
      <c r="AE72" s="673"/>
      <c r="AF72" s="673"/>
      <c r="AG72" s="673"/>
      <c r="AH72" s="673"/>
      <c r="AI72" s="673"/>
      <c r="AJ72" s="673"/>
      <c r="AK72" s="673"/>
      <c r="AL72" s="673"/>
      <c r="AM72" s="673"/>
      <c r="AN72" s="673"/>
      <c r="AO72" s="673"/>
      <c r="AP72" s="673"/>
      <c r="AQ72" s="673"/>
      <c r="AR72" s="673"/>
      <c r="AS72" s="673"/>
      <c r="AT72" s="696"/>
    </row>
    <row r="73" ht="15.75" customHeight="1">
      <c r="A73" s="653"/>
      <c r="B73" s="654"/>
      <c r="C73" s="691"/>
      <c r="D73" s="656"/>
      <c r="E73" s="657"/>
      <c r="F73" s="658"/>
      <c r="G73" s="659"/>
      <c r="H73" s="660"/>
      <c r="I73" s="659"/>
      <c r="J73" s="661"/>
      <c r="K73" s="692"/>
      <c r="L73" s="645"/>
      <c r="M73" s="663"/>
      <c r="N73" s="665"/>
      <c r="O73" s="665"/>
      <c r="P73" s="666"/>
      <c r="Q73" s="667"/>
      <c r="R73" s="668"/>
      <c r="S73" s="693"/>
      <c r="T73" s="694"/>
      <c r="U73" s="694"/>
      <c r="V73" s="693"/>
      <c r="W73" s="693"/>
      <c r="X73" s="693"/>
      <c r="Y73" s="671"/>
      <c r="Z73" s="673"/>
      <c r="AA73" s="672"/>
      <c r="AB73" s="695"/>
      <c r="AC73" s="673"/>
      <c r="AD73" s="673"/>
      <c r="AE73" s="673"/>
      <c r="AF73" s="673"/>
      <c r="AG73" s="673"/>
      <c r="AH73" s="673"/>
      <c r="AI73" s="673"/>
      <c r="AJ73" s="673"/>
      <c r="AK73" s="673"/>
      <c r="AL73" s="673"/>
      <c r="AM73" s="673"/>
      <c r="AN73" s="673"/>
      <c r="AO73" s="673"/>
      <c r="AP73" s="673"/>
      <c r="AQ73" s="673"/>
      <c r="AR73" s="673"/>
      <c r="AS73" s="673"/>
      <c r="AT73" s="696"/>
    </row>
    <row r="74" ht="15.75" customHeight="1">
      <c r="A74" s="653"/>
      <c r="B74" s="654"/>
      <c r="C74" s="691"/>
      <c r="D74" s="656"/>
      <c r="E74" s="657"/>
      <c r="F74" s="658"/>
      <c r="G74" s="659"/>
      <c r="H74" s="660"/>
      <c r="I74" s="659"/>
      <c r="J74" s="661"/>
      <c r="K74" s="692"/>
      <c r="L74" s="645"/>
      <c r="M74" s="663"/>
      <c r="N74" s="665"/>
      <c r="O74" s="665"/>
      <c r="P74" s="666"/>
      <c r="Q74" s="667"/>
      <c r="R74" s="668"/>
      <c r="S74" s="693"/>
      <c r="T74" s="694"/>
      <c r="U74" s="694"/>
      <c r="V74" s="693"/>
      <c r="W74" s="693"/>
      <c r="X74" s="693"/>
      <c r="Y74" s="671"/>
      <c r="Z74" s="673"/>
      <c r="AA74" s="672"/>
      <c r="AB74" s="695"/>
      <c r="AC74" s="673"/>
      <c r="AD74" s="673"/>
      <c r="AE74" s="673"/>
      <c r="AF74" s="673"/>
      <c r="AG74" s="673"/>
      <c r="AH74" s="673"/>
      <c r="AI74" s="673"/>
      <c r="AJ74" s="673"/>
      <c r="AK74" s="673"/>
      <c r="AL74" s="673"/>
      <c r="AM74" s="673"/>
      <c r="AN74" s="673"/>
      <c r="AO74" s="673"/>
      <c r="AP74" s="673"/>
      <c r="AQ74" s="673"/>
      <c r="AR74" s="673"/>
      <c r="AS74" s="673"/>
      <c r="AT74" s="696"/>
    </row>
    <row r="75" ht="15.75" customHeight="1">
      <c r="A75" s="653"/>
      <c r="B75" s="654"/>
      <c r="C75" s="691"/>
      <c r="D75" s="656"/>
      <c r="E75" s="657"/>
      <c r="F75" s="658"/>
      <c r="G75" s="659"/>
      <c r="H75" s="660"/>
      <c r="I75" s="659"/>
      <c r="J75" s="661"/>
      <c r="K75" s="692"/>
      <c r="L75" s="645"/>
      <c r="M75" s="663"/>
      <c r="N75" s="665"/>
      <c r="O75" s="665"/>
      <c r="P75" s="666"/>
      <c r="Q75" s="667"/>
      <c r="R75" s="668"/>
      <c r="S75" s="693"/>
      <c r="T75" s="694"/>
      <c r="U75" s="694"/>
      <c r="V75" s="693"/>
      <c r="W75" s="693"/>
      <c r="X75" s="693"/>
      <c r="Y75" s="671"/>
      <c r="Z75" s="673"/>
      <c r="AA75" s="672"/>
      <c r="AB75" s="695"/>
      <c r="AC75" s="673"/>
      <c r="AD75" s="673"/>
      <c r="AE75" s="673"/>
      <c r="AF75" s="673"/>
      <c r="AG75" s="673"/>
      <c r="AH75" s="673"/>
      <c r="AI75" s="673"/>
      <c r="AJ75" s="673"/>
      <c r="AK75" s="673"/>
      <c r="AL75" s="673"/>
      <c r="AM75" s="673"/>
      <c r="AN75" s="673"/>
      <c r="AO75" s="673"/>
      <c r="AP75" s="673"/>
      <c r="AQ75" s="673"/>
      <c r="AR75" s="673"/>
      <c r="AS75" s="673"/>
      <c r="AT75" s="696"/>
    </row>
    <row r="76" ht="15.75" customHeight="1">
      <c r="A76" s="653"/>
      <c r="B76" s="654"/>
      <c r="C76" s="691"/>
      <c r="D76" s="656"/>
      <c r="E76" s="657"/>
      <c r="F76" s="658"/>
      <c r="G76" s="659"/>
      <c r="H76" s="660"/>
      <c r="I76" s="659"/>
      <c r="J76" s="661"/>
      <c r="K76" s="692"/>
      <c r="L76" s="645"/>
      <c r="M76" s="663"/>
      <c r="N76" s="665"/>
      <c r="O76" s="665"/>
      <c r="P76" s="666"/>
      <c r="Q76" s="667"/>
      <c r="R76" s="668"/>
      <c r="S76" s="693"/>
      <c r="T76" s="694"/>
      <c r="U76" s="694"/>
      <c r="V76" s="693"/>
      <c r="W76" s="693"/>
      <c r="X76" s="693"/>
      <c r="Y76" s="671"/>
      <c r="Z76" s="673"/>
      <c r="AA76" s="672"/>
      <c r="AB76" s="695"/>
      <c r="AC76" s="673"/>
      <c r="AD76" s="673"/>
      <c r="AE76" s="673"/>
      <c r="AF76" s="673"/>
      <c r="AG76" s="673"/>
      <c r="AH76" s="673"/>
      <c r="AI76" s="673"/>
      <c r="AJ76" s="673"/>
      <c r="AK76" s="673"/>
      <c r="AL76" s="673"/>
      <c r="AM76" s="673"/>
      <c r="AN76" s="673"/>
      <c r="AO76" s="673"/>
      <c r="AP76" s="673"/>
      <c r="AQ76" s="673"/>
      <c r="AR76" s="673"/>
      <c r="AS76" s="673"/>
      <c r="AT76" s="696"/>
    </row>
    <row r="77" ht="15.75" customHeight="1">
      <c r="A77" s="653"/>
      <c r="B77" s="654"/>
      <c r="C77" s="691"/>
      <c r="D77" s="656"/>
      <c r="E77" s="657"/>
      <c r="F77" s="658"/>
      <c r="G77" s="659"/>
      <c r="H77" s="660"/>
      <c r="I77" s="659"/>
      <c r="J77" s="661"/>
      <c r="K77" s="692"/>
      <c r="L77" s="645"/>
      <c r="M77" s="663"/>
      <c r="N77" s="665"/>
      <c r="O77" s="665"/>
      <c r="P77" s="666"/>
      <c r="Q77" s="667"/>
      <c r="R77" s="668"/>
      <c r="S77" s="693"/>
      <c r="T77" s="694"/>
      <c r="U77" s="694"/>
      <c r="V77" s="693"/>
      <c r="W77" s="693"/>
      <c r="X77" s="693"/>
      <c r="Y77" s="671"/>
      <c r="Z77" s="673"/>
      <c r="AA77" s="672"/>
      <c r="AB77" s="695"/>
      <c r="AC77" s="673"/>
      <c r="AD77" s="673"/>
      <c r="AE77" s="673"/>
      <c r="AF77" s="673"/>
      <c r="AG77" s="673"/>
      <c r="AH77" s="673"/>
      <c r="AI77" s="673"/>
      <c r="AJ77" s="673"/>
      <c r="AK77" s="673"/>
      <c r="AL77" s="673"/>
      <c r="AM77" s="673"/>
      <c r="AN77" s="673"/>
      <c r="AO77" s="673"/>
      <c r="AP77" s="673"/>
      <c r="AQ77" s="673"/>
      <c r="AR77" s="673"/>
      <c r="AS77" s="673"/>
      <c r="AT77" s="696"/>
    </row>
    <row r="78" ht="15.75" customHeight="1">
      <c r="A78" s="653"/>
      <c r="B78" s="654"/>
      <c r="C78" s="691"/>
      <c r="D78" s="656"/>
      <c r="E78" s="657"/>
      <c r="F78" s="658"/>
      <c r="G78" s="659"/>
      <c r="H78" s="660"/>
      <c r="I78" s="659"/>
      <c r="J78" s="661"/>
      <c r="K78" s="692"/>
      <c r="L78" s="645"/>
      <c r="M78" s="663"/>
      <c r="N78" s="665"/>
      <c r="O78" s="665"/>
      <c r="P78" s="666"/>
      <c r="Q78" s="667"/>
      <c r="R78" s="668"/>
      <c r="S78" s="693"/>
      <c r="T78" s="694"/>
      <c r="U78" s="694"/>
      <c r="V78" s="693"/>
      <c r="W78" s="693"/>
      <c r="X78" s="693"/>
      <c r="Y78" s="671"/>
      <c r="Z78" s="673"/>
      <c r="AA78" s="672"/>
      <c r="AB78" s="695"/>
      <c r="AC78" s="673"/>
      <c r="AD78" s="673"/>
      <c r="AE78" s="673"/>
      <c r="AF78" s="673"/>
      <c r="AG78" s="673"/>
      <c r="AH78" s="673"/>
      <c r="AI78" s="673"/>
      <c r="AJ78" s="673"/>
      <c r="AK78" s="673"/>
      <c r="AL78" s="673"/>
      <c r="AM78" s="673"/>
      <c r="AN78" s="673"/>
      <c r="AO78" s="673"/>
      <c r="AP78" s="673"/>
      <c r="AQ78" s="673"/>
      <c r="AR78" s="673"/>
      <c r="AS78" s="673"/>
      <c r="AT78" s="696"/>
    </row>
    <row r="79" ht="15.75" customHeight="1">
      <c r="A79" s="653"/>
      <c r="B79" s="654"/>
      <c r="C79" s="691"/>
      <c r="D79" s="656"/>
      <c r="E79" s="657"/>
      <c r="F79" s="658"/>
      <c r="G79" s="659"/>
      <c r="H79" s="660"/>
      <c r="I79" s="659"/>
      <c r="J79" s="661"/>
      <c r="K79" s="692"/>
      <c r="L79" s="645"/>
      <c r="M79" s="663"/>
      <c r="N79" s="665"/>
      <c r="O79" s="665"/>
      <c r="P79" s="666"/>
      <c r="Q79" s="667"/>
      <c r="R79" s="668"/>
      <c r="S79" s="693"/>
      <c r="T79" s="694"/>
      <c r="U79" s="694"/>
      <c r="V79" s="693"/>
      <c r="W79" s="693"/>
      <c r="X79" s="693"/>
      <c r="Y79" s="671"/>
      <c r="Z79" s="673"/>
      <c r="AA79" s="672"/>
      <c r="AB79" s="695"/>
      <c r="AC79" s="673"/>
      <c r="AD79" s="673"/>
      <c r="AE79" s="673"/>
      <c r="AF79" s="673"/>
      <c r="AG79" s="673"/>
      <c r="AH79" s="673"/>
      <c r="AI79" s="673"/>
      <c r="AJ79" s="673"/>
      <c r="AK79" s="673"/>
      <c r="AL79" s="673"/>
      <c r="AM79" s="673"/>
      <c r="AN79" s="673"/>
      <c r="AO79" s="673"/>
      <c r="AP79" s="673"/>
      <c r="AQ79" s="673"/>
      <c r="AR79" s="673"/>
      <c r="AS79" s="673"/>
      <c r="AT79" s="696"/>
    </row>
    <row r="80" ht="15.75" customHeight="1">
      <c r="A80" s="653"/>
      <c r="B80" s="654"/>
      <c r="C80" s="691"/>
      <c r="D80" s="656"/>
      <c r="E80" s="657"/>
      <c r="F80" s="658"/>
      <c r="G80" s="659"/>
      <c r="H80" s="660"/>
      <c r="I80" s="659"/>
      <c r="J80" s="661"/>
      <c r="K80" s="692"/>
      <c r="L80" s="645"/>
      <c r="M80" s="663"/>
      <c r="N80" s="665"/>
      <c r="O80" s="665"/>
      <c r="P80" s="666"/>
      <c r="Q80" s="667"/>
      <c r="R80" s="668"/>
      <c r="S80" s="693"/>
      <c r="T80" s="694"/>
      <c r="U80" s="694"/>
      <c r="V80" s="693"/>
      <c r="W80" s="693"/>
      <c r="X80" s="693"/>
      <c r="Y80" s="671"/>
      <c r="Z80" s="673"/>
      <c r="AA80" s="672"/>
      <c r="AB80" s="695"/>
      <c r="AC80" s="673"/>
      <c r="AD80" s="673"/>
      <c r="AE80" s="673"/>
      <c r="AF80" s="673"/>
      <c r="AG80" s="673"/>
      <c r="AH80" s="673"/>
      <c r="AI80" s="673"/>
      <c r="AJ80" s="673"/>
      <c r="AK80" s="673"/>
      <c r="AL80" s="673"/>
      <c r="AM80" s="673"/>
      <c r="AN80" s="673"/>
      <c r="AO80" s="673"/>
      <c r="AP80" s="673"/>
      <c r="AQ80" s="673"/>
      <c r="AR80" s="673"/>
      <c r="AS80" s="673"/>
      <c r="AT80" s="696"/>
    </row>
    <row r="81" ht="15.75" customHeight="1">
      <c r="A81" s="653"/>
      <c r="B81" s="654"/>
      <c r="C81" s="691"/>
      <c r="D81" s="656"/>
      <c r="E81" s="657"/>
      <c r="F81" s="658"/>
      <c r="G81" s="659"/>
      <c r="H81" s="660"/>
      <c r="I81" s="659"/>
      <c r="J81" s="661"/>
      <c r="K81" s="692"/>
      <c r="L81" s="645"/>
      <c r="M81" s="663"/>
      <c r="N81" s="665"/>
      <c r="O81" s="665"/>
      <c r="P81" s="666"/>
      <c r="Q81" s="667"/>
      <c r="R81" s="668"/>
      <c r="S81" s="693"/>
      <c r="T81" s="694"/>
      <c r="U81" s="694"/>
      <c r="V81" s="693"/>
      <c r="W81" s="693"/>
      <c r="X81" s="693"/>
      <c r="Y81" s="671"/>
      <c r="Z81" s="673"/>
      <c r="AA81" s="672"/>
      <c r="AB81" s="695"/>
      <c r="AC81" s="673"/>
      <c r="AD81" s="673"/>
      <c r="AE81" s="673"/>
      <c r="AF81" s="673"/>
      <c r="AG81" s="673"/>
      <c r="AH81" s="673"/>
      <c r="AI81" s="673"/>
      <c r="AJ81" s="673"/>
      <c r="AK81" s="673"/>
      <c r="AL81" s="673"/>
      <c r="AM81" s="673"/>
      <c r="AN81" s="673"/>
      <c r="AO81" s="673"/>
      <c r="AP81" s="673"/>
      <c r="AQ81" s="673"/>
      <c r="AR81" s="673"/>
      <c r="AS81" s="673"/>
      <c r="AT81" s="696"/>
    </row>
    <row r="82" ht="15.75" customHeight="1">
      <c r="A82" s="653"/>
      <c r="B82" s="654"/>
      <c r="C82" s="691"/>
      <c r="D82" s="656"/>
      <c r="E82" s="657"/>
      <c r="F82" s="658"/>
      <c r="G82" s="659"/>
      <c r="H82" s="660"/>
      <c r="I82" s="659"/>
      <c r="J82" s="661"/>
      <c r="K82" s="692"/>
      <c r="L82" s="645"/>
      <c r="M82" s="663"/>
      <c r="N82" s="665"/>
      <c r="O82" s="665"/>
      <c r="P82" s="666"/>
      <c r="Q82" s="667"/>
      <c r="R82" s="668"/>
      <c r="S82" s="693"/>
      <c r="T82" s="694"/>
      <c r="U82" s="694"/>
      <c r="V82" s="693"/>
      <c r="W82" s="693"/>
      <c r="X82" s="693"/>
      <c r="Y82" s="671"/>
      <c r="Z82" s="673"/>
      <c r="AA82" s="672"/>
      <c r="AB82" s="695"/>
      <c r="AC82" s="673"/>
      <c r="AD82" s="673"/>
      <c r="AE82" s="673"/>
      <c r="AF82" s="673"/>
      <c r="AG82" s="673"/>
      <c r="AH82" s="673"/>
      <c r="AI82" s="673"/>
      <c r="AJ82" s="673"/>
      <c r="AK82" s="673"/>
      <c r="AL82" s="673"/>
      <c r="AM82" s="673"/>
      <c r="AN82" s="673"/>
      <c r="AO82" s="673"/>
      <c r="AP82" s="673"/>
      <c r="AQ82" s="673"/>
      <c r="AR82" s="673"/>
      <c r="AS82" s="673"/>
      <c r="AT82" s="696"/>
    </row>
    <row r="83" ht="15.75" customHeight="1">
      <c r="A83" s="653"/>
      <c r="B83" s="654"/>
      <c r="C83" s="691"/>
      <c r="D83" s="656"/>
      <c r="E83" s="657"/>
      <c r="F83" s="658"/>
      <c r="G83" s="659"/>
      <c r="H83" s="660"/>
      <c r="I83" s="659"/>
      <c r="J83" s="661"/>
      <c r="K83" s="692"/>
      <c r="L83" s="645"/>
      <c r="M83" s="663"/>
      <c r="N83" s="665"/>
      <c r="O83" s="665"/>
      <c r="P83" s="666"/>
      <c r="Q83" s="667"/>
      <c r="R83" s="668"/>
      <c r="S83" s="693"/>
      <c r="T83" s="694"/>
      <c r="U83" s="694"/>
      <c r="V83" s="693"/>
      <c r="W83" s="693"/>
      <c r="X83" s="693"/>
      <c r="Y83" s="671"/>
      <c r="Z83" s="673"/>
      <c r="AA83" s="672"/>
      <c r="AB83" s="695"/>
      <c r="AC83" s="673"/>
      <c r="AD83" s="673"/>
      <c r="AE83" s="673"/>
      <c r="AF83" s="673"/>
      <c r="AG83" s="673"/>
      <c r="AH83" s="673"/>
      <c r="AI83" s="673"/>
      <c r="AJ83" s="673"/>
      <c r="AK83" s="673"/>
      <c r="AL83" s="673"/>
      <c r="AM83" s="673"/>
      <c r="AN83" s="673"/>
      <c r="AO83" s="673"/>
      <c r="AP83" s="673"/>
      <c r="AQ83" s="673"/>
      <c r="AR83" s="673"/>
      <c r="AS83" s="673"/>
      <c r="AT83" s="696"/>
    </row>
    <row r="84" ht="15.75" customHeight="1">
      <c r="A84" s="653"/>
      <c r="B84" s="654"/>
      <c r="C84" s="691"/>
      <c r="D84" s="656"/>
      <c r="E84" s="657"/>
      <c r="F84" s="658"/>
      <c r="G84" s="659"/>
      <c r="H84" s="660"/>
      <c r="I84" s="659"/>
      <c r="J84" s="661"/>
      <c r="K84" s="692"/>
      <c r="L84" s="645"/>
      <c r="M84" s="663"/>
      <c r="N84" s="665"/>
      <c r="O84" s="665"/>
      <c r="P84" s="666"/>
      <c r="Q84" s="667"/>
      <c r="R84" s="668"/>
      <c r="S84" s="693"/>
      <c r="T84" s="694"/>
      <c r="U84" s="694"/>
      <c r="V84" s="693"/>
      <c r="W84" s="693"/>
      <c r="X84" s="693"/>
      <c r="Y84" s="671"/>
      <c r="Z84" s="673"/>
      <c r="AA84" s="672"/>
      <c r="AB84" s="695"/>
      <c r="AC84" s="673"/>
      <c r="AD84" s="673"/>
      <c r="AE84" s="673"/>
      <c r="AF84" s="673"/>
      <c r="AG84" s="673"/>
      <c r="AH84" s="673"/>
      <c r="AI84" s="673"/>
      <c r="AJ84" s="673"/>
      <c r="AK84" s="673"/>
      <c r="AL84" s="673"/>
      <c r="AM84" s="673"/>
      <c r="AN84" s="673"/>
      <c r="AO84" s="673"/>
      <c r="AP84" s="673"/>
      <c r="AQ84" s="673"/>
      <c r="AR84" s="673"/>
      <c r="AS84" s="673"/>
      <c r="AT84" s="696"/>
    </row>
    <row r="85" ht="15.75" customHeight="1">
      <c r="A85" s="653"/>
      <c r="B85" s="654"/>
      <c r="C85" s="691"/>
      <c r="D85" s="656"/>
      <c r="E85" s="657"/>
      <c r="F85" s="658"/>
      <c r="G85" s="659"/>
      <c r="H85" s="660"/>
      <c r="I85" s="659"/>
      <c r="J85" s="661"/>
      <c r="K85" s="692"/>
      <c r="L85" s="645"/>
      <c r="M85" s="663"/>
      <c r="N85" s="665"/>
      <c r="O85" s="665"/>
      <c r="P85" s="666"/>
      <c r="Q85" s="667"/>
      <c r="R85" s="668"/>
      <c r="S85" s="693"/>
      <c r="T85" s="694"/>
      <c r="U85" s="694"/>
      <c r="V85" s="693"/>
      <c r="W85" s="693"/>
      <c r="X85" s="693"/>
      <c r="Y85" s="671"/>
      <c r="Z85" s="673"/>
      <c r="AA85" s="672"/>
      <c r="AB85" s="695"/>
      <c r="AC85" s="673"/>
      <c r="AD85" s="673"/>
      <c r="AE85" s="673"/>
      <c r="AF85" s="673"/>
      <c r="AG85" s="673"/>
      <c r="AH85" s="673"/>
      <c r="AI85" s="673"/>
      <c r="AJ85" s="673"/>
      <c r="AK85" s="673"/>
      <c r="AL85" s="673"/>
      <c r="AM85" s="673"/>
      <c r="AN85" s="673"/>
      <c r="AO85" s="673"/>
      <c r="AP85" s="673"/>
      <c r="AQ85" s="673"/>
      <c r="AR85" s="673"/>
      <c r="AS85" s="673"/>
      <c r="AT85" s="696"/>
    </row>
    <row r="86" ht="15.75" customHeight="1">
      <c r="A86" s="653"/>
      <c r="B86" s="654"/>
      <c r="C86" s="691"/>
      <c r="D86" s="656"/>
      <c r="E86" s="657"/>
      <c r="F86" s="658"/>
      <c r="G86" s="659"/>
      <c r="H86" s="660"/>
      <c r="I86" s="659"/>
      <c r="J86" s="661"/>
      <c r="K86" s="692"/>
      <c r="L86" s="645"/>
      <c r="M86" s="663"/>
      <c r="N86" s="665"/>
      <c r="O86" s="665"/>
      <c r="P86" s="666"/>
      <c r="Q86" s="667"/>
      <c r="R86" s="668"/>
      <c r="S86" s="693"/>
      <c r="T86" s="694"/>
      <c r="U86" s="694"/>
      <c r="V86" s="693"/>
      <c r="W86" s="693"/>
      <c r="X86" s="693"/>
      <c r="Y86" s="671"/>
      <c r="Z86" s="673"/>
      <c r="AA86" s="672"/>
      <c r="AB86" s="695"/>
      <c r="AC86" s="673"/>
      <c r="AD86" s="673"/>
      <c r="AE86" s="673"/>
      <c r="AF86" s="673"/>
      <c r="AG86" s="673"/>
      <c r="AH86" s="673"/>
      <c r="AI86" s="673"/>
      <c r="AJ86" s="673"/>
      <c r="AK86" s="673"/>
      <c r="AL86" s="673"/>
      <c r="AM86" s="673"/>
      <c r="AN86" s="673"/>
      <c r="AO86" s="673"/>
      <c r="AP86" s="673"/>
      <c r="AQ86" s="673"/>
      <c r="AR86" s="673"/>
      <c r="AS86" s="673"/>
      <c r="AT86" s="696"/>
    </row>
    <row r="87" ht="15.75" customHeight="1">
      <c r="A87" s="653"/>
      <c r="B87" s="654"/>
      <c r="C87" s="691"/>
      <c r="D87" s="656"/>
      <c r="E87" s="657"/>
      <c r="F87" s="658"/>
      <c r="G87" s="659"/>
      <c r="H87" s="660"/>
      <c r="I87" s="659"/>
      <c r="J87" s="661"/>
      <c r="K87" s="692"/>
      <c r="L87" s="645"/>
      <c r="M87" s="663"/>
      <c r="N87" s="665"/>
      <c r="O87" s="665"/>
      <c r="P87" s="666"/>
      <c r="Q87" s="667"/>
      <c r="R87" s="668"/>
      <c r="S87" s="693"/>
      <c r="T87" s="694"/>
      <c r="U87" s="694"/>
      <c r="V87" s="693"/>
      <c r="W87" s="693"/>
      <c r="X87" s="693"/>
      <c r="Y87" s="671"/>
      <c r="Z87" s="673"/>
      <c r="AA87" s="672"/>
      <c r="AB87" s="695"/>
      <c r="AC87" s="673"/>
      <c r="AD87" s="673"/>
      <c r="AE87" s="673"/>
      <c r="AF87" s="673"/>
      <c r="AG87" s="673"/>
      <c r="AH87" s="673"/>
      <c r="AI87" s="673"/>
      <c r="AJ87" s="673"/>
      <c r="AK87" s="673"/>
      <c r="AL87" s="673"/>
      <c r="AM87" s="673"/>
      <c r="AN87" s="673"/>
      <c r="AO87" s="673"/>
      <c r="AP87" s="673"/>
      <c r="AQ87" s="673"/>
      <c r="AR87" s="673"/>
      <c r="AS87" s="673"/>
      <c r="AT87" s="696"/>
    </row>
    <row r="88" ht="15.75" customHeight="1">
      <c r="A88" s="653"/>
      <c r="B88" s="654"/>
      <c r="C88" s="691"/>
      <c r="D88" s="656"/>
      <c r="E88" s="657"/>
      <c r="F88" s="658"/>
      <c r="G88" s="659"/>
      <c r="H88" s="660"/>
      <c r="I88" s="659"/>
      <c r="J88" s="661"/>
      <c r="K88" s="692"/>
      <c r="L88" s="645"/>
      <c r="M88" s="663"/>
      <c r="N88" s="665"/>
      <c r="O88" s="665"/>
      <c r="P88" s="666"/>
      <c r="Q88" s="667"/>
      <c r="R88" s="668"/>
      <c r="S88" s="693"/>
      <c r="T88" s="694"/>
      <c r="U88" s="694"/>
      <c r="V88" s="693"/>
      <c r="W88" s="693"/>
      <c r="X88" s="693"/>
      <c r="Y88" s="671"/>
      <c r="Z88" s="673"/>
      <c r="AA88" s="672"/>
      <c r="AB88" s="695"/>
      <c r="AC88" s="673"/>
      <c r="AD88" s="673"/>
      <c r="AE88" s="673"/>
      <c r="AF88" s="673"/>
      <c r="AG88" s="673"/>
      <c r="AH88" s="673"/>
      <c r="AI88" s="673"/>
      <c r="AJ88" s="673"/>
      <c r="AK88" s="673"/>
      <c r="AL88" s="673"/>
      <c r="AM88" s="673"/>
      <c r="AN88" s="673"/>
      <c r="AO88" s="673"/>
      <c r="AP88" s="673"/>
      <c r="AQ88" s="673"/>
      <c r="AR88" s="673"/>
      <c r="AS88" s="673"/>
      <c r="AT88" s="696"/>
    </row>
    <row r="89" ht="15.75" customHeight="1">
      <c r="A89" s="653"/>
      <c r="B89" s="654"/>
      <c r="C89" s="691"/>
      <c r="D89" s="656"/>
      <c r="E89" s="657"/>
      <c r="F89" s="658"/>
      <c r="G89" s="659"/>
      <c r="H89" s="660"/>
      <c r="I89" s="659"/>
      <c r="J89" s="661"/>
      <c r="K89" s="692"/>
      <c r="L89" s="645"/>
      <c r="M89" s="663"/>
      <c r="N89" s="665"/>
      <c r="O89" s="665"/>
      <c r="P89" s="666"/>
      <c r="Q89" s="667"/>
      <c r="R89" s="668"/>
      <c r="S89" s="693"/>
      <c r="T89" s="694"/>
      <c r="U89" s="694"/>
      <c r="V89" s="693"/>
      <c r="W89" s="693"/>
      <c r="X89" s="693"/>
      <c r="Y89" s="671"/>
      <c r="Z89" s="673"/>
      <c r="AA89" s="672"/>
      <c r="AB89" s="695"/>
      <c r="AC89" s="673"/>
      <c r="AD89" s="673"/>
      <c r="AE89" s="673"/>
      <c r="AF89" s="673"/>
      <c r="AG89" s="673"/>
      <c r="AH89" s="673"/>
      <c r="AI89" s="673"/>
      <c r="AJ89" s="673"/>
      <c r="AK89" s="673"/>
      <c r="AL89" s="673"/>
      <c r="AM89" s="673"/>
      <c r="AN89" s="673"/>
      <c r="AO89" s="673"/>
      <c r="AP89" s="673"/>
      <c r="AQ89" s="673"/>
      <c r="AR89" s="673"/>
      <c r="AS89" s="673"/>
      <c r="AT89" s="696"/>
    </row>
    <row r="90" ht="15.75" customHeight="1">
      <c r="A90" s="653"/>
      <c r="B90" s="654"/>
      <c r="C90" s="691"/>
      <c r="D90" s="656"/>
      <c r="E90" s="657"/>
      <c r="F90" s="658"/>
      <c r="G90" s="659"/>
      <c r="H90" s="660"/>
      <c r="I90" s="659"/>
      <c r="J90" s="661"/>
      <c r="K90" s="692"/>
      <c r="L90" s="645"/>
      <c r="M90" s="663"/>
      <c r="N90" s="665"/>
      <c r="O90" s="665"/>
      <c r="P90" s="666"/>
      <c r="Q90" s="667"/>
      <c r="R90" s="668"/>
      <c r="S90" s="693"/>
      <c r="T90" s="694"/>
      <c r="U90" s="694"/>
      <c r="V90" s="693"/>
      <c r="W90" s="693"/>
      <c r="X90" s="693"/>
      <c r="Y90" s="671"/>
      <c r="Z90" s="673"/>
      <c r="AA90" s="672"/>
      <c r="AB90" s="695"/>
      <c r="AC90" s="673"/>
      <c r="AD90" s="673"/>
      <c r="AE90" s="673"/>
      <c r="AF90" s="673"/>
      <c r="AG90" s="673"/>
      <c r="AH90" s="673"/>
      <c r="AI90" s="673"/>
      <c r="AJ90" s="673"/>
      <c r="AK90" s="673"/>
      <c r="AL90" s="673"/>
      <c r="AM90" s="673"/>
      <c r="AN90" s="673"/>
      <c r="AO90" s="673"/>
      <c r="AP90" s="673"/>
      <c r="AQ90" s="673"/>
      <c r="AR90" s="673"/>
      <c r="AS90" s="673"/>
      <c r="AT90" s="696"/>
    </row>
    <row r="91" ht="15.75" customHeight="1">
      <c r="A91" s="653"/>
      <c r="B91" s="654"/>
      <c r="C91" s="691"/>
      <c r="D91" s="656"/>
      <c r="E91" s="657"/>
      <c r="F91" s="658"/>
      <c r="G91" s="659"/>
      <c r="H91" s="660"/>
      <c r="I91" s="659"/>
      <c r="J91" s="661"/>
      <c r="K91" s="692"/>
      <c r="L91" s="645"/>
      <c r="M91" s="663"/>
      <c r="N91" s="665"/>
      <c r="O91" s="665"/>
      <c r="P91" s="666"/>
      <c r="Q91" s="667"/>
      <c r="R91" s="668"/>
      <c r="S91" s="693"/>
      <c r="T91" s="694"/>
      <c r="U91" s="694"/>
      <c r="V91" s="693"/>
      <c r="W91" s="693"/>
      <c r="X91" s="693"/>
      <c r="Y91" s="671"/>
      <c r="Z91" s="673"/>
      <c r="AA91" s="672"/>
      <c r="AB91" s="695"/>
      <c r="AC91" s="673"/>
      <c r="AD91" s="673"/>
      <c r="AE91" s="673"/>
      <c r="AF91" s="673"/>
      <c r="AG91" s="673"/>
      <c r="AH91" s="673"/>
      <c r="AI91" s="673"/>
      <c r="AJ91" s="673"/>
      <c r="AK91" s="673"/>
      <c r="AL91" s="673"/>
      <c r="AM91" s="673"/>
      <c r="AN91" s="673"/>
      <c r="AO91" s="673"/>
      <c r="AP91" s="673"/>
      <c r="AQ91" s="673"/>
      <c r="AR91" s="673"/>
      <c r="AS91" s="673"/>
      <c r="AT91" s="696"/>
    </row>
    <row r="92" ht="15.75" customHeight="1">
      <c r="A92" s="653"/>
      <c r="B92" s="654"/>
      <c r="C92" s="691"/>
      <c r="D92" s="656"/>
      <c r="E92" s="657"/>
      <c r="F92" s="658"/>
      <c r="G92" s="659"/>
      <c r="H92" s="660"/>
      <c r="I92" s="659"/>
      <c r="J92" s="661"/>
      <c r="K92" s="692"/>
      <c r="L92" s="645"/>
      <c r="M92" s="663"/>
      <c r="N92" s="665"/>
      <c r="O92" s="665"/>
      <c r="P92" s="666"/>
      <c r="Q92" s="667"/>
      <c r="R92" s="668"/>
      <c r="S92" s="693"/>
      <c r="T92" s="694"/>
      <c r="U92" s="694"/>
      <c r="V92" s="693"/>
      <c r="W92" s="693"/>
      <c r="X92" s="693"/>
      <c r="Y92" s="671"/>
      <c r="Z92" s="673"/>
      <c r="AA92" s="672"/>
      <c r="AB92" s="695"/>
      <c r="AC92" s="673"/>
      <c r="AD92" s="673"/>
      <c r="AE92" s="673"/>
      <c r="AF92" s="673"/>
      <c r="AG92" s="673"/>
      <c r="AH92" s="673"/>
      <c r="AI92" s="673"/>
      <c r="AJ92" s="673"/>
      <c r="AK92" s="673"/>
      <c r="AL92" s="673"/>
      <c r="AM92" s="673"/>
      <c r="AN92" s="673"/>
      <c r="AO92" s="673"/>
      <c r="AP92" s="673"/>
      <c r="AQ92" s="673"/>
      <c r="AR92" s="673"/>
      <c r="AS92" s="673"/>
      <c r="AT92" s="696"/>
    </row>
    <row r="93" ht="15.75" customHeight="1">
      <c r="A93" s="653"/>
      <c r="B93" s="654"/>
      <c r="C93" s="691"/>
      <c r="D93" s="656"/>
      <c r="E93" s="657"/>
      <c r="F93" s="658"/>
      <c r="G93" s="659"/>
      <c r="H93" s="660"/>
      <c r="I93" s="659"/>
      <c r="J93" s="661"/>
      <c r="K93" s="692"/>
      <c r="L93" s="645"/>
      <c r="M93" s="663"/>
      <c r="N93" s="665"/>
      <c r="O93" s="665"/>
      <c r="P93" s="666"/>
      <c r="Q93" s="667"/>
      <c r="R93" s="668"/>
      <c r="S93" s="693"/>
      <c r="T93" s="694"/>
      <c r="U93" s="694"/>
      <c r="V93" s="693"/>
      <c r="W93" s="693"/>
      <c r="X93" s="693"/>
      <c r="Y93" s="671"/>
      <c r="Z93" s="673"/>
      <c r="AA93" s="672"/>
      <c r="AB93" s="695"/>
      <c r="AC93" s="673"/>
      <c r="AD93" s="673"/>
      <c r="AE93" s="673"/>
      <c r="AF93" s="673"/>
      <c r="AG93" s="673"/>
      <c r="AH93" s="673"/>
      <c r="AI93" s="673"/>
      <c r="AJ93" s="673"/>
      <c r="AK93" s="673"/>
      <c r="AL93" s="673"/>
      <c r="AM93" s="673"/>
      <c r="AN93" s="673"/>
      <c r="AO93" s="673"/>
      <c r="AP93" s="673"/>
      <c r="AQ93" s="673"/>
      <c r="AR93" s="673"/>
      <c r="AS93" s="673"/>
      <c r="AT93" s="696"/>
    </row>
    <row r="94" ht="15.75" customHeight="1">
      <c r="A94" s="653"/>
      <c r="B94" s="654"/>
      <c r="C94" s="691"/>
      <c r="D94" s="656"/>
      <c r="E94" s="657"/>
      <c r="F94" s="658"/>
      <c r="G94" s="659"/>
      <c r="H94" s="660"/>
      <c r="I94" s="659"/>
      <c r="J94" s="661"/>
      <c r="K94" s="692"/>
      <c r="L94" s="645"/>
      <c r="M94" s="663"/>
      <c r="N94" s="665"/>
      <c r="O94" s="665"/>
      <c r="P94" s="666"/>
      <c r="Q94" s="667"/>
      <c r="R94" s="668"/>
      <c r="S94" s="693"/>
      <c r="T94" s="694"/>
      <c r="U94" s="694"/>
      <c r="V94" s="693"/>
      <c r="W94" s="693"/>
      <c r="X94" s="693"/>
      <c r="Y94" s="671"/>
      <c r="Z94" s="673"/>
      <c r="AA94" s="672"/>
      <c r="AB94" s="695"/>
      <c r="AC94" s="673"/>
      <c r="AD94" s="673"/>
      <c r="AE94" s="673"/>
      <c r="AF94" s="673"/>
      <c r="AG94" s="673"/>
      <c r="AH94" s="673"/>
      <c r="AI94" s="673"/>
      <c r="AJ94" s="673"/>
      <c r="AK94" s="673"/>
      <c r="AL94" s="673"/>
      <c r="AM94" s="673"/>
      <c r="AN94" s="673"/>
      <c r="AO94" s="673"/>
      <c r="AP94" s="673"/>
      <c r="AQ94" s="673"/>
      <c r="AR94" s="673"/>
      <c r="AS94" s="673"/>
      <c r="AT94" s="696"/>
    </row>
    <row r="95" ht="15.75" customHeight="1">
      <c r="A95" s="653"/>
      <c r="B95" s="654"/>
      <c r="C95" s="691"/>
      <c r="D95" s="656"/>
      <c r="E95" s="657"/>
      <c r="F95" s="658"/>
      <c r="G95" s="659"/>
      <c r="H95" s="660"/>
      <c r="I95" s="659"/>
      <c r="J95" s="661"/>
      <c r="K95" s="692"/>
      <c r="L95" s="645"/>
      <c r="M95" s="663"/>
      <c r="N95" s="665"/>
      <c r="O95" s="665"/>
      <c r="P95" s="666"/>
      <c r="Q95" s="667"/>
      <c r="R95" s="668"/>
      <c r="S95" s="693"/>
      <c r="T95" s="694"/>
      <c r="U95" s="694"/>
      <c r="V95" s="693"/>
      <c r="W95" s="693"/>
      <c r="X95" s="693"/>
      <c r="Y95" s="671"/>
      <c r="Z95" s="673"/>
      <c r="AA95" s="672"/>
      <c r="AB95" s="695"/>
      <c r="AC95" s="673"/>
      <c r="AD95" s="673"/>
      <c r="AE95" s="673"/>
      <c r="AF95" s="673"/>
      <c r="AG95" s="673"/>
      <c r="AH95" s="673"/>
      <c r="AI95" s="673"/>
      <c r="AJ95" s="673"/>
      <c r="AK95" s="673"/>
      <c r="AL95" s="673"/>
      <c r="AM95" s="673"/>
      <c r="AN95" s="673"/>
      <c r="AO95" s="673"/>
      <c r="AP95" s="673"/>
      <c r="AQ95" s="673"/>
      <c r="AR95" s="673"/>
      <c r="AS95" s="673"/>
      <c r="AT95" s="696"/>
    </row>
    <row r="96" ht="15.75" customHeight="1">
      <c r="A96" s="653"/>
      <c r="B96" s="654"/>
      <c r="C96" s="691"/>
      <c r="D96" s="656"/>
      <c r="E96" s="657"/>
      <c r="F96" s="658"/>
      <c r="G96" s="659"/>
      <c r="H96" s="660"/>
      <c r="I96" s="659"/>
      <c r="J96" s="661"/>
      <c r="K96" s="692"/>
      <c r="L96" s="645"/>
      <c r="M96" s="663"/>
      <c r="N96" s="665"/>
      <c r="O96" s="665"/>
      <c r="P96" s="666"/>
      <c r="Q96" s="667"/>
      <c r="R96" s="668"/>
      <c r="S96" s="693"/>
      <c r="T96" s="694"/>
      <c r="U96" s="694"/>
      <c r="V96" s="693"/>
      <c r="W96" s="693"/>
      <c r="X96" s="693"/>
      <c r="Y96" s="671"/>
      <c r="Z96" s="673"/>
      <c r="AA96" s="672"/>
      <c r="AB96" s="695"/>
      <c r="AC96" s="673"/>
      <c r="AD96" s="673"/>
      <c r="AE96" s="673"/>
      <c r="AF96" s="673"/>
      <c r="AG96" s="673"/>
      <c r="AH96" s="673"/>
      <c r="AI96" s="673"/>
      <c r="AJ96" s="673"/>
      <c r="AK96" s="673"/>
      <c r="AL96" s="673"/>
      <c r="AM96" s="673"/>
      <c r="AN96" s="673"/>
      <c r="AO96" s="673"/>
      <c r="AP96" s="673"/>
      <c r="AQ96" s="673"/>
      <c r="AR96" s="673"/>
      <c r="AS96" s="673"/>
      <c r="AT96" s="696"/>
    </row>
    <row r="97" ht="15.75" customHeight="1">
      <c r="A97" s="653"/>
      <c r="B97" s="654"/>
      <c r="C97" s="691"/>
      <c r="D97" s="656"/>
      <c r="E97" s="657"/>
      <c r="F97" s="658"/>
      <c r="G97" s="659"/>
      <c r="H97" s="660"/>
      <c r="I97" s="659"/>
      <c r="J97" s="661"/>
      <c r="K97" s="692"/>
      <c r="L97" s="645"/>
      <c r="M97" s="663"/>
      <c r="N97" s="665"/>
      <c r="O97" s="665"/>
      <c r="P97" s="666"/>
      <c r="Q97" s="667"/>
      <c r="R97" s="668"/>
      <c r="S97" s="693"/>
      <c r="T97" s="694"/>
      <c r="U97" s="694"/>
      <c r="V97" s="693"/>
      <c r="W97" s="693"/>
      <c r="X97" s="693"/>
      <c r="Y97" s="671"/>
      <c r="Z97" s="673"/>
      <c r="AA97" s="672"/>
      <c r="AB97" s="695"/>
      <c r="AC97" s="673"/>
      <c r="AD97" s="673"/>
      <c r="AE97" s="673"/>
      <c r="AF97" s="673"/>
      <c r="AG97" s="673"/>
      <c r="AH97" s="673"/>
      <c r="AI97" s="673"/>
      <c r="AJ97" s="673"/>
      <c r="AK97" s="673"/>
      <c r="AL97" s="673"/>
      <c r="AM97" s="673"/>
      <c r="AN97" s="673"/>
      <c r="AO97" s="673"/>
      <c r="AP97" s="673"/>
      <c r="AQ97" s="673"/>
      <c r="AR97" s="673"/>
      <c r="AS97" s="673"/>
      <c r="AT97" s="696"/>
    </row>
    <row r="98" ht="15.75" customHeight="1">
      <c r="A98" s="653"/>
      <c r="B98" s="654"/>
      <c r="C98" s="691"/>
      <c r="D98" s="656"/>
      <c r="E98" s="657"/>
      <c r="F98" s="658"/>
      <c r="G98" s="659"/>
      <c r="H98" s="660"/>
      <c r="I98" s="659"/>
      <c r="J98" s="661"/>
      <c r="K98" s="692"/>
      <c r="L98" s="645"/>
      <c r="M98" s="663"/>
      <c r="N98" s="665"/>
      <c r="O98" s="665"/>
      <c r="P98" s="666"/>
      <c r="Q98" s="667"/>
      <c r="R98" s="668"/>
      <c r="S98" s="693"/>
      <c r="T98" s="694"/>
      <c r="U98" s="694"/>
      <c r="V98" s="693"/>
      <c r="W98" s="693"/>
      <c r="X98" s="693"/>
      <c r="Y98" s="671"/>
      <c r="Z98" s="673"/>
      <c r="AA98" s="672"/>
      <c r="AB98" s="695"/>
      <c r="AC98" s="673"/>
      <c r="AD98" s="673"/>
      <c r="AE98" s="673"/>
      <c r="AF98" s="673"/>
      <c r="AG98" s="673"/>
      <c r="AH98" s="673"/>
      <c r="AI98" s="673"/>
      <c r="AJ98" s="673"/>
      <c r="AK98" s="673"/>
      <c r="AL98" s="673"/>
      <c r="AM98" s="673"/>
      <c r="AN98" s="673"/>
      <c r="AO98" s="673"/>
      <c r="AP98" s="673"/>
      <c r="AQ98" s="673"/>
      <c r="AR98" s="673"/>
      <c r="AS98" s="673"/>
      <c r="AT98" s="696"/>
    </row>
    <row r="99" ht="15.75" customHeight="1">
      <c r="A99" s="653"/>
      <c r="B99" s="654"/>
      <c r="C99" s="691"/>
      <c r="D99" s="656"/>
      <c r="E99" s="657"/>
      <c r="F99" s="658"/>
      <c r="G99" s="659"/>
      <c r="H99" s="660"/>
      <c r="I99" s="659"/>
      <c r="J99" s="661"/>
      <c r="K99" s="692"/>
      <c r="L99" s="645"/>
      <c r="M99" s="663"/>
      <c r="N99" s="665"/>
      <c r="O99" s="665"/>
      <c r="P99" s="666"/>
      <c r="Q99" s="667"/>
      <c r="R99" s="668"/>
      <c r="S99" s="693"/>
      <c r="T99" s="694"/>
      <c r="U99" s="694"/>
      <c r="V99" s="693"/>
      <c r="W99" s="693"/>
      <c r="X99" s="693"/>
      <c r="Y99" s="671"/>
      <c r="Z99" s="673"/>
      <c r="AA99" s="672"/>
      <c r="AB99" s="695"/>
      <c r="AC99" s="673"/>
      <c r="AD99" s="673"/>
      <c r="AE99" s="673"/>
      <c r="AF99" s="673"/>
      <c r="AG99" s="673"/>
      <c r="AH99" s="673"/>
      <c r="AI99" s="673"/>
      <c r="AJ99" s="673"/>
      <c r="AK99" s="673"/>
      <c r="AL99" s="673"/>
      <c r="AM99" s="673"/>
      <c r="AN99" s="673"/>
      <c r="AO99" s="673"/>
      <c r="AP99" s="673"/>
      <c r="AQ99" s="673"/>
      <c r="AR99" s="673"/>
      <c r="AS99" s="673"/>
      <c r="AT99" s="696"/>
    </row>
    <row r="100" ht="15.75" customHeight="1">
      <c r="A100" s="653"/>
      <c r="B100" s="654"/>
      <c r="C100" s="691"/>
      <c r="D100" s="656"/>
      <c r="E100" s="657"/>
      <c r="F100" s="658"/>
      <c r="G100" s="659"/>
      <c r="H100" s="660"/>
      <c r="I100" s="659"/>
      <c r="J100" s="661"/>
      <c r="K100" s="692"/>
      <c r="L100" s="645"/>
      <c r="M100" s="663"/>
      <c r="N100" s="665"/>
      <c r="O100" s="665"/>
      <c r="P100" s="666"/>
      <c r="Q100" s="667"/>
      <c r="R100" s="668"/>
      <c r="S100" s="693"/>
      <c r="T100" s="694"/>
      <c r="U100" s="694"/>
      <c r="V100" s="693"/>
      <c r="W100" s="693"/>
      <c r="X100" s="693"/>
      <c r="Y100" s="671"/>
      <c r="Z100" s="673"/>
      <c r="AA100" s="672"/>
      <c r="AB100" s="695"/>
      <c r="AC100" s="673"/>
      <c r="AD100" s="673"/>
      <c r="AE100" s="673"/>
      <c r="AF100" s="673"/>
      <c r="AG100" s="673"/>
      <c r="AH100" s="673"/>
      <c r="AI100" s="673"/>
      <c r="AJ100" s="673"/>
      <c r="AK100" s="673"/>
      <c r="AL100" s="673"/>
      <c r="AM100" s="673"/>
      <c r="AN100" s="673"/>
      <c r="AO100" s="673"/>
      <c r="AP100" s="673"/>
      <c r="AQ100" s="673"/>
      <c r="AR100" s="673"/>
      <c r="AS100" s="673"/>
      <c r="AT100" s="696"/>
    </row>
    <row r="101" ht="15.75" customHeight="1">
      <c r="A101" s="653"/>
      <c r="B101" s="654"/>
      <c r="C101" s="691"/>
      <c r="D101" s="656"/>
      <c r="E101" s="657"/>
      <c r="F101" s="658"/>
      <c r="G101" s="659"/>
      <c r="H101" s="660"/>
      <c r="I101" s="659"/>
      <c r="J101" s="661"/>
      <c r="K101" s="692"/>
      <c r="L101" s="645"/>
      <c r="M101" s="663"/>
      <c r="N101" s="665"/>
      <c r="O101" s="665"/>
      <c r="P101" s="666"/>
      <c r="Q101" s="667"/>
      <c r="R101" s="668"/>
      <c r="S101" s="693"/>
      <c r="T101" s="694"/>
      <c r="U101" s="694"/>
      <c r="V101" s="693"/>
      <c r="W101" s="693"/>
      <c r="X101" s="693"/>
      <c r="Y101" s="671"/>
      <c r="Z101" s="673"/>
      <c r="AA101" s="672"/>
      <c r="AB101" s="695"/>
      <c r="AC101" s="673"/>
      <c r="AD101" s="673"/>
      <c r="AE101" s="673"/>
      <c r="AF101" s="673"/>
      <c r="AG101" s="673"/>
      <c r="AH101" s="673"/>
      <c r="AI101" s="673"/>
      <c r="AJ101" s="673"/>
      <c r="AK101" s="673"/>
      <c r="AL101" s="673"/>
      <c r="AM101" s="673"/>
      <c r="AN101" s="673"/>
      <c r="AO101" s="673"/>
      <c r="AP101" s="673"/>
      <c r="AQ101" s="673"/>
      <c r="AR101" s="673"/>
      <c r="AS101" s="673"/>
      <c r="AT101" s="696"/>
    </row>
    <row r="102" ht="15.75" customHeight="1">
      <c r="A102" s="653"/>
      <c r="B102" s="654"/>
      <c r="C102" s="691"/>
      <c r="D102" s="656"/>
      <c r="E102" s="657"/>
      <c r="F102" s="658"/>
      <c r="G102" s="659"/>
      <c r="H102" s="660"/>
      <c r="I102" s="659"/>
      <c r="J102" s="661"/>
      <c r="K102" s="692"/>
      <c r="L102" s="645"/>
      <c r="M102" s="663"/>
      <c r="N102" s="665"/>
      <c r="O102" s="665"/>
      <c r="P102" s="666"/>
      <c r="Q102" s="667"/>
      <c r="R102" s="668"/>
      <c r="S102" s="693"/>
      <c r="T102" s="694"/>
      <c r="U102" s="694"/>
      <c r="V102" s="693"/>
      <c r="W102" s="693"/>
      <c r="X102" s="693"/>
      <c r="Y102" s="671"/>
      <c r="Z102" s="673"/>
      <c r="AA102" s="672"/>
      <c r="AB102" s="695"/>
      <c r="AC102" s="673"/>
      <c r="AD102" s="673"/>
      <c r="AE102" s="673"/>
      <c r="AF102" s="673"/>
      <c r="AG102" s="673"/>
      <c r="AH102" s="673"/>
      <c r="AI102" s="673"/>
      <c r="AJ102" s="673"/>
      <c r="AK102" s="673"/>
      <c r="AL102" s="673"/>
      <c r="AM102" s="673"/>
      <c r="AN102" s="673"/>
      <c r="AO102" s="673"/>
      <c r="AP102" s="673"/>
      <c r="AQ102" s="673"/>
      <c r="AR102" s="673"/>
      <c r="AS102" s="673"/>
      <c r="AT102" s="696"/>
    </row>
    <row r="103" ht="15.75" customHeight="1">
      <c r="A103" s="653"/>
      <c r="B103" s="654"/>
      <c r="C103" s="691"/>
      <c r="D103" s="656"/>
      <c r="E103" s="657"/>
      <c r="F103" s="658"/>
      <c r="G103" s="659"/>
      <c r="H103" s="660"/>
      <c r="I103" s="659"/>
      <c r="J103" s="661"/>
      <c r="K103" s="692"/>
      <c r="L103" s="645"/>
      <c r="M103" s="663"/>
      <c r="N103" s="665"/>
      <c r="O103" s="665"/>
      <c r="P103" s="666"/>
      <c r="Q103" s="667"/>
      <c r="R103" s="668"/>
      <c r="S103" s="693"/>
      <c r="T103" s="694"/>
      <c r="U103" s="694"/>
      <c r="V103" s="693"/>
      <c r="W103" s="693"/>
      <c r="X103" s="693"/>
      <c r="Y103" s="671"/>
      <c r="Z103" s="673"/>
      <c r="AA103" s="672"/>
      <c r="AB103" s="695"/>
      <c r="AC103" s="673"/>
      <c r="AD103" s="673"/>
      <c r="AE103" s="673"/>
      <c r="AF103" s="673"/>
      <c r="AG103" s="673"/>
      <c r="AH103" s="673"/>
      <c r="AI103" s="673"/>
      <c r="AJ103" s="673"/>
      <c r="AK103" s="673"/>
      <c r="AL103" s="673"/>
      <c r="AM103" s="673"/>
      <c r="AN103" s="673"/>
      <c r="AO103" s="673"/>
      <c r="AP103" s="673"/>
      <c r="AQ103" s="673"/>
      <c r="AR103" s="673"/>
      <c r="AS103" s="673"/>
      <c r="AT103" s="696"/>
    </row>
    <row r="104" ht="15.75" customHeight="1">
      <c r="A104" s="653"/>
      <c r="B104" s="654"/>
      <c r="C104" s="691"/>
      <c r="D104" s="656"/>
      <c r="E104" s="657"/>
      <c r="F104" s="658"/>
      <c r="G104" s="659"/>
      <c r="H104" s="660"/>
      <c r="I104" s="659"/>
      <c r="J104" s="661"/>
      <c r="K104" s="692"/>
      <c r="L104" s="645"/>
      <c r="M104" s="663"/>
      <c r="N104" s="665"/>
      <c r="O104" s="665"/>
      <c r="P104" s="666"/>
      <c r="Q104" s="667"/>
      <c r="R104" s="668"/>
      <c r="S104" s="693"/>
      <c r="T104" s="694"/>
      <c r="U104" s="694"/>
      <c r="V104" s="693"/>
      <c r="W104" s="693"/>
      <c r="X104" s="693"/>
      <c r="Y104" s="671"/>
      <c r="Z104" s="673"/>
      <c r="AA104" s="672"/>
      <c r="AB104" s="695"/>
      <c r="AC104" s="673"/>
      <c r="AD104" s="673"/>
      <c r="AE104" s="673"/>
      <c r="AF104" s="673"/>
      <c r="AG104" s="673"/>
      <c r="AH104" s="673"/>
      <c r="AI104" s="673"/>
      <c r="AJ104" s="673"/>
      <c r="AK104" s="673"/>
      <c r="AL104" s="673"/>
      <c r="AM104" s="673"/>
      <c r="AN104" s="673"/>
      <c r="AO104" s="673"/>
      <c r="AP104" s="673"/>
      <c r="AQ104" s="673"/>
      <c r="AR104" s="673"/>
      <c r="AS104" s="673"/>
      <c r="AT104" s="696"/>
    </row>
    <row r="105" ht="15.75" customHeight="1">
      <c r="A105" s="653"/>
      <c r="B105" s="654"/>
      <c r="C105" s="691"/>
      <c r="D105" s="656"/>
      <c r="E105" s="657"/>
      <c r="F105" s="658"/>
      <c r="G105" s="659"/>
      <c r="H105" s="660"/>
      <c r="I105" s="659"/>
      <c r="J105" s="661"/>
      <c r="K105" s="692"/>
      <c r="L105" s="645"/>
      <c r="M105" s="663"/>
      <c r="N105" s="665"/>
      <c r="O105" s="665"/>
      <c r="P105" s="666"/>
      <c r="Q105" s="667"/>
      <c r="R105" s="668"/>
      <c r="S105" s="693"/>
      <c r="T105" s="694"/>
      <c r="U105" s="694"/>
      <c r="V105" s="693"/>
      <c r="W105" s="693"/>
      <c r="X105" s="693"/>
      <c r="Y105" s="671"/>
      <c r="Z105" s="673"/>
      <c r="AA105" s="672"/>
      <c r="AB105" s="695"/>
      <c r="AC105" s="673"/>
      <c r="AD105" s="673"/>
      <c r="AE105" s="673"/>
      <c r="AF105" s="673"/>
      <c r="AG105" s="673"/>
      <c r="AH105" s="673"/>
      <c r="AI105" s="673"/>
      <c r="AJ105" s="673"/>
      <c r="AK105" s="673"/>
      <c r="AL105" s="673"/>
      <c r="AM105" s="673"/>
      <c r="AN105" s="673"/>
      <c r="AO105" s="673"/>
      <c r="AP105" s="673"/>
      <c r="AQ105" s="673"/>
      <c r="AR105" s="673"/>
      <c r="AS105" s="673"/>
      <c r="AT105" s="696"/>
    </row>
    <row r="106" ht="15.75" customHeight="1">
      <c r="A106" s="653"/>
      <c r="B106" s="654"/>
      <c r="C106" s="691"/>
      <c r="D106" s="656"/>
      <c r="E106" s="657"/>
      <c r="F106" s="658"/>
      <c r="G106" s="659"/>
      <c r="H106" s="660"/>
      <c r="I106" s="659"/>
      <c r="J106" s="661"/>
      <c r="K106" s="692"/>
      <c r="L106" s="645"/>
      <c r="M106" s="663"/>
      <c r="N106" s="665"/>
      <c r="O106" s="665"/>
      <c r="P106" s="666"/>
      <c r="Q106" s="667"/>
      <c r="R106" s="668"/>
      <c r="S106" s="693"/>
      <c r="T106" s="694"/>
      <c r="U106" s="694"/>
      <c r="V106" s="693"/>
      <c r="W106" s="693"/>
      <c r="X106" s="693"/>
      <c r="Y106" s="671"/>
      <c r="Z106" s="673"/>
      <c r="AA106" s="672"/>
      <c r="AB106" s="695"/>
      <c r="AC106" s="673"/>
      <c r="AD106" s="673"/>
      <c r="AE106" s="673"/>
      <c r="AF106" s="673"/>
      <c r="AG106" s="673"/>
      <c r="AH106" s="673"/>
      <c r="AI106" s="673"/>
      <c r="AJ106" s="673"/>
      <c r="AK106" s="673"/>
      <c r="AL106" s="673"/>
      <c r="AM106" s="673"/>
      <c r="AN106" s="673"/>
      <c r="AO106" s="673"/>
      <c r="AP106" s="673"/>
      <c r="AQ106" s="673"/>
      <c r="AR106" s="673"/>
      <c r="AS106" s="673"/>
      <c r="AT106" s="696"/>
    </row>
    <row r="107" ht="15.75" customHeight="1">
      <c r="A107" s="653"/>
      <c r="B107" s="654"/>
      <c r="C107" s="691"/>
      <c r="D107" s="656"/>
      <c r="E107" s="657"/>
      <c r="F107" s="658"/>
      <c r="G107" s="659"/>
      <c r="H107" s="660"/>
      <c r="I107" s="659"/>
      <c r="J107" s="661"/>
      <c r="K107" s="692"/>
      <c r="L107" s="645"/>
      <c r="M107" s="663"/>
      <c r="N107" s="665"/>
      <c r="O107" s="665"/>
      <c r="P107" s="666"/>
      <c r="Q107" s="667"/>
      <c r="R107" s="668"/>
      <c r="S107" s="693"/>
      <c r="T107" s="694"/>
      <c r="U107" s="694"/>
      <c r="V107" s="693"/>
      <c r="W107" s="693"/>
      <c r="X107" s="693"/>
      <c r="Y107" s="671"/>
      <c r="Z107" s="673"/>
      <c r="AA107" s="672"/>
      <c r="AB107" s="695"/>
      <c r="AC107" s="673"/>
      <c r="AD107" s="673"/>
      <c r="AE107" s="673"/>
      <c r="AF107" s="673"/>
      <c r="AG107" s="673"/>
      <c r="AH107" s="673"/>
      <c r="AI107" s="673"/>
      <c r="AJ107" s="673"/>
      <c r="AK107" s="673"/>
      <c r="AL107" s="673"/>
      <c r="AM107" s="673"/>
      <c r="AN107" s="673"/>
      <c r="AO107" s="673"/>
      <c r="AP107" s="673"/>
      <c r="AQ107" s="673"/>
      <c r="AR107" s="673"/>
      <c r="AS107" s="673"/>
      <c r="AT107" s="696"/>
    </row>
    <row r="108" ht="15.75" customHeight="1">
      <c r="A108" s="653"/>
      <c r="B108" s="654"/>
      <c r="C108" s="691"/>
      <c r="D108" s="656"/>
      <c r="E108" s="657"/>
      <c r="F108" s="658"/>
      <c r="G108" s="659"/>
      <c r="H108" s="660"/>
      <c r="I108" s="659"/>
      <c r="J108" s="661"/>
      <c r="K108" s="692"/>
      <c r="L108" s="645"/>
      <c r="M108" s="663"/>
      <c r="N108" s="665"/>
      <c r="O108" s="665"/>
      <c r="P108" s="666"/>
      <c r="Q108" s="667"/>
      <c r="R108" s="668"/>
      <c r="S108" s="693"/>
      <c r="T108" s="694"/>
      <c r="U108" s="694"/>
      <c r="V108" s="693"/>
      <c r="W108" s="693"/>
      <c r="X108" s="693"/>
      <c r="Y108" s="671"/>
      <c r="Z108" s="673"/>
      <c r="AA108" s="672"/>
      <c r="AB108" s="695"/>
      <c r="AC108" s="673"/>
      <c r="AD108" s="673"/>
      <c r="AE108" s="673"/>
      <c r="AF108" s="673"/>
      <c r="AG108" s="673"/>
      <c r="AH108" s="673"/>
      <c r="AI108" s="673"/>
      <c r="AJ108" s="673"/>
      <c r="AK108" s="673"/>
      <c r="AL108" s="673"/>
      <c r="AM108" s="673"/>
      <c r="AN108" s="673"/>
      <c r="AO108" s="673"/>
      <c r="AP108" s="673"/>
      <c r="AQ108" s="673"/>
      <c r="AR108" s="673"/>
      <c r="AS108" s="673"/>
      <c r="AT108" s="696"/>
    </row>
    <row r="109" ht="15.75" customHeight="1">
      <c r="A109" s="653"/>
      <c r="B109" s="654"/>
      <c r="C109" s="691"/>
      <c r="D109" s="656"/>
      <c r="E109" s="657"/>
      <c r="F109" s="658"/>
      <c r="G109" s="659"/>
      <c r="H109" s="660"/>
      <c r="I109" s="659"/>
      <c r="J109" s="661"/>
      <c r="K109" s="692"/>
      <c r="L109" s="645"/>
      <c r="M109" s="663"/>
      <c r="N109" s="665"/>
      <c r="O109" s="665"/>
      <c r="P109" s="666"/>
      <c r="Q109" s="667"/>
      <c r="R109" s="668"/>
      <c r="S109" s="693"/>
      <c r="T109" s="694"/>
      <c r="U109" s="694"/>
      <c r="V109" s="693"/>
      <c r="W109" s="693"/>
      <c r="X109" s="693"/>
      <c r="Y109" s="671"/>
      <c r="Z109" s="673"/>
      <c r="AA109" s="672"/>
      <c r="AB109" s="695"/>
      <c r="AC109" s="673"/>
      <c r="AD109" s="673"/>
      <c r="AE109" s="673"/>
      <c r="AF109" s="673"/>
      <c r="AG109" s="673"/>
      <c r="AH109" s="673"/>
      <c r="AI109" s="673"/>
      <c r="AJ109" s="673"/>
      <c r="AK109" s="673"/>
      <c r="AL109" s="673"/>
      <c r="AM109" s="673"/>
      <c r="AN109" s="673"/>
      <c r="AO109" s="673"/>
      <c r="AP109" s="673"/>
      <c r="AQ109" s="673"/>
      <c r="AR109" s="673"/>
      <c r="AS109" s="673"/>
      <c r="AT109" s="696"/>
    </row>
    <row r="110" ht="15.75" customHeight="1">
      <c r="A110" s="653"/>
      <c r="B110" s="654"/>
      <c r="C110" s="691"/>
      <c r="D110" s="656"/>
      <c r="E110" s="657"/>
      <c r="F110" s="658"/>
      <c r="G110" s="659"/>
      <c r="H110" s="660"/>
      <c r="I110" s="659"/>
      <c r="J110" s="661"/>
      <c r="K110" s="692"/>
      <c r="L110" s="645"/>
      <c r="M110" s="663"/>
      <c r="N110" s="665"/>
      <c r="O110" s="665"/>
      <c r="P110" s="666"/>
      <c r="Q110" s="667"/>
      <c r="R110" s="668"/>
      <c r="S110" s="693"/>
      <c r="T110" s="694"/>
      <c r="U110" s="694"/>
      <c r="V110" s="693"/>
      <c r="W110" s="693"/>
      <c r="X110" s="693"/>
      <c r="Y110" s="671"/>
      <c r="Z110" s="673"/>
      <c r="AA110" s="672"/>
      <c r="AB110" s="695"/>
      <c r="AC110" s="673"/>
      <c r="AD110" s="673"/>
      <c r="AE110" s="673"/>
      <c r="AF110" s="673"/>
      <c r="AG110" s="673"/>
      <c r="AH110" s="673"/>
      <c r="AI110" s="673"/>
      <c r="AJ110" s="673"/>
      <c r="AK110" s="673"/>
      <c r="AL110" s="673"/>
      <c r="AM110" s="673"/>
      <c r="AN110" s="673"/>
      <c r="AO110" s="673"/>
      <c r="AP110" s="673"/>
      <c r="AQ110" s="673"/>
      <c r="AR110" s="673"/>
      <c r="AS110" s="673"/>
      <c r="AT110" s="696"/>
    </row>
    <row r="111" ht="15.75" customHeight="1">
      <c r="A111" s="653"/>
      <c r="B111" s="654"/>
      <c r="C111" s="691"/>
      <c r="D111" s="656"/>
      <c r="E111" s="657"/>
      <c r="F111" s="658"/>
      <c r="G111" s="659"/>
      <c r="H111" s="660"/>
      <c r="I111" s="659"/>
      <c r="J111" s="661"/>
      <c r="K111" s="692"/>
      <c r="L111" s="645"/>
      <c r="M111" s="663"/>
      <c r="N111" s="665"/>
      <c r="O111" s="665"/>
      <c r="P111" s="666"/>
      <c r="Q111" s="667"/>
      <c r="R111" s="668"/>
      <c r="S111" s="693"/>
      <c r="T111" s="694"/>
      <c r="U111" s="694"/>
      <c r="V111" s="693"/>
      <c r="W111" s="693"/>
      <c r="X111" s="693"/>
      <c r="Y111" s="671"/>
      <c r="Z111" s="673"/>
      <c r="AA111" s="672"/>
      <c r="AB111" s="695"/>
      <c r="AC111" s="673"/>
      <c r="AD111" s="673"/>
      <c r="AE111" s="673"/>
      <c r="AF111" s="673"/>
      <c r="AG111" s="673"/>
      <c r="AH111" s="673"/>
      <c r="AI111" s="673"/>
      <c r="AJ111" s="673"/>
      <c r="AK111" s="673"/>
      <c r="AL111" s="673"/>
      <c r="AM111" s="673"/>
      <c r="AN111" s="673"/>
      <c r="AO111" s="673"/>
      <c r="AP111" s="673"/>
      <c r="AQ111" s="673"/>
      <c r="AR111" s="673"/>
      <c r="AS111" s="673"/>
      <c r="AT111" s="696"/>
    </row>
    <row r="112" ht="15.75" customHeight="1">
      <c r="A112" s="653"/>
      <c r="B112" s="654"/>
      <c r="C112" s="691"/>
      <c r="D112" s="656"/>
      <c r="E112" s="657"/>
      <c r="F112" s="658"/>
      <c r="G112" s="659"/>
      <c r="H112" s="660"/>
      <c r="I112" s="659"/>
      <c r="J112" s="661"/>
      <c r="K112" s="692"/>
      <c r="L112" s="645"/>
      <c r="M112" s="663"/>
      <c r="N112" s="665"/>
      <c r="O112" s="665"/>
      <c r="P112" s="666"/>
      <c r="Q112" s="667"/>
      <c r="R112" s="668"/>
      <c r="S112" s="693"/>
      <c r="T112" s="694"/>
      <c r="U112" s="694"/>
      <c r="V112" s="693"/>
      <c r="W112" s="693"/>
      <c r="X112" s="693"/>
      <c r="Y112" s="671"/>
      <c r="Z112" s="673"/>
      <c r="AA112" s="672"/>
      <c r="AB112" s="695"/>
      <c r="AC112" s="673"/>
      <c r="AD112" s="673"/>
      <c r="AE112" s="673"/>
      <c r="AF112" s="673"/>
      <c r="AG112" s="673"/>
      <c r="AH112" s="673"/>
      <c r="AI112" s="673"/>
      <c r="AJ112" s="673"/>
      <c r="AK112" s="673"/>
      <c r="AL112" s="673"/>
      <c r="AM112" s="673"/>
      <c r="AN112" s="673"/>
      <c r="AO112" s="673"/>
      <c r="AP112" s="673"/>
      <c r="AQ112" s="673"/>
      <c r="AR112" s="673"/>
      <c r="AS112" s="673"/>
      <c r="AT112" s="696"/>
    </row>
    <row r="113" ht="15.75" customHeight="1">
      <c r="A113" s="653"/>
      <c r="B113" s="654"/>
      <c r="C113" s="691"/>
      <c r="D113" s="656"/>
      <c r="E113" s="657"/>
      <c r="F113" s="658"/>
      <c r="G113" s="659"/>
      <c r="H113" s="660"/>
      <c r="I113" s="659"/>
      <c r="J113" s="661"/>
      <c r="K113" s="692"/>
      <c r="L113" s="645"/>
      <c r="M113" s="663"/>
      <c r="N113" s="665"/>
      <c r="O113" s="665"/>
      <c r="P113" s="666"/>
      <c r="Q113" s="667"/>
      <c r="R113" s="668"/>
      <c r="S113" s="693"/>
      <c r="T113" s="694"/>
      <c r="U113" s="694"/>
      <c r="V113" s="693"/>
      <c r="W113" s="693"/>
      <c r="X113" s="693"/>
      <c r="Y113" s="671"/>
      <c r="Z113" s="673"/>
      <c r="AA113" s="672"/>
      <c r="AB113" s="695"/>
      <c r="AC113" s="673"/>
      <c r="AD113" s="673"/>
      <c r="AE113" s="673"/>
      <c r="AF113" s="673"/>
      <c r="AG113" s="673"/>
      <c r="AH113" s="673"/>
      <c r="AI113" s="673"/>
      <c r="AJ113" s="673"/>
      <c r="AK113" s="673"/>
      <c r="AL113" s="673"/>
      <c r="AM113" s="673"/>
      <c r="AN113" s="673"/>
      <c r="AO113" s="673"/>
      <c r="AP113" s="673"/>
      <c r="AQ113" s="673"/>
      <c r="AR113" s="673"/>
      <c r="AS113" s="673"/>
      <c r="AT113" s="696"/>
    </row>
    <row r="114" ht="15.75" customHeight="1">
      <c r="A114" s="653"/>
      <c r="B114" s="654"/>
      <c r="C114" s="691"/>
      <c r="D114" s="656"/>
      <c r="E114" s="657"/>
      <c r="F114" s="658"/>
      <c r="G114" s="659"/>
      <c r="H114" s="660"/>
      <c r="I114" s="659"/>
      <c r="J114" s="661"/>
      <c r="K114" s="692"/>
      <c r="L114" s="645"/>
      <c r="M114" s="663"/>
      <c r="N114" s="665"/>
      <c r="O114" s="665"/>
      <c r="P114" s="666"/>
      <c r="Q114" s="667"/>
      <c r="R114" s="668"/>
      <c r="S114" s="693"/>
      <c r="T114" s="694"/>
      <c r="U114" s="694"/>
      <c r="V114" s="693"/>
      <c r="W114" s="693"/>
      <c r="X114" s="693"/>
      <c r="Y114" s="671"/>
      <c r="Z114" s="673"/>
      <c r="AA114" s="672"/>
      <c r="AB114" s="695"/>
      <c r="AC114" s="673"/>
      <c r="AD114" s="673"/>
      <c r="AE114" s="673"/>
      <c r="AF114" s="673"/>
      <c r="AG114" s="673"/>
      <c r="AH114" s="673"/>
      <c r="AI114" s="673"/>
      <c r="AJ114" s="673"/>
      <c r="AK114" s="673"/>
      <c r="AL114" s="673"/>
      <c r="AM114" s="673"/>
      <c r="AN114" s="673"/>
      <c r="AO114" s="673"/>
      <c r="AP114" s="673"/>
      <c r="AQ114" s="673"/>
      <c r="AR114" s="673"/>
      <c r="AS114" s="673"/>
      <c r="AT114" s="696"/>
    </row>
    <row r="115" ht="15.75" customHeight="1">
      <c r="A115" s="653"/>
      <c r="B115" s="654"/>
      <c r="C115" s="691"/>
      <c r="D115" s="656"/>
      <c r="E115" s="657"/>
      <c r="F115" s="658"/>
      <c r="G115" s="659"/>
      <c r="H115" s="660"/>
      <c r="I115" s="659"/>
      <c r="J115" s="661"/>
      <c r="K115" s="692"/>
      <c r="L115" s="645"/>
      <c r="M115" s="663"/>
      <c r="N115" s="665"/>
      <c r="O115" s="665"/>
      <c r="P115" s="666"/>
      <c r="Q115" s="667"/>
      <c r="R115" s="668"/>
      <c r="S115" s="693"/>
      <c r="T115" s="694"/>
      <c r="U115" s="694"/>
      <c r="V115" s="693"/>
      <c r="W115" s="693"/>
      <c r="X115" s="693"/>
      <c r="Y115" s="671"/>
      <c r="Z115" s="673"/>
      <c r="AA115" s="672"/>
      <c r="AB115" s="695"/>
      <c r="AC115" s="673"/>
      <c r="AD115" s="673"/>
      <c r="AE115" s="673"/>
      <c r="AF115" s="673"/>
      <c r="AG115" s="673"/>
      <c r="AH115" s="673"/>
      <c r="AI115" s="673"/>
      <c r="AJ115" s="673"/>
      <c r="AK115" s="673"/>
      <c r="AL115" s="673"/>
      <c r="AM115" s="673"/>
      <c r="AN115" s="673"/>
      <c r="AO115" s="673"/>
      <c r="AP115" s="673"/>
      <c r="AQ115" s="673"/>
      <c r="AR115" s="673"/>
      <c r="AS115" s="673"/>
      <c r="AT115" s="696"/>
    </row>
    <row r="116" ht="15.75" customHeight="1">
      <c r="A116" s="653"/>
      <c r="B116" s="654"/>
      <c r="C116" s="691"/>
      <c r="D116" s="656"/>
      <c r="E116" s="657"/>
      <c r="F116" s="658"/>
      <c r="G116" s="659"/>
      <c r="H116" s="660"/>
      <c r="I116" s="659"/>
      <c r="J116" s="661"/>
      <c r="K116" s="692"/>
      <c r="L116" s="645"/>
      <c r="M116" s="663"/>
      <c r="N116" s="665"/>
      <c r="O116" s="665"/>
      <c r="P116" s="666"/>
      <c r="Q116" s="667"/>
      <c r="R116" s="668"/>
      <c r="S116" s="693"/>
      <c r="T116" s="694"/>
      <c r="U116" s="694"/>
      <c r="V116" s="693"/>
      <c r="W116" s="693"/>
      <c r="X116" s="693"/>
      <c r="Y116" s="671"/>
      <c r="Z116" s="673"/>
      <c r="AA116" s="672"/>
      <c r="AB116" s="695"/>
      <c r="AC116" s="673"/>
      <c r="AD116" s="673"/>
      <c r="AE116" s="673"/>
      <c r="AF116" s="673"/>
      <c r="AG116" s="673"/>
      <c r="AH116" s="673"/>
      <c r="AI116" s="673"/>
      <c r="AJ116" s="673"/>
      <c r="AK116" s="673"/>
      <c r="AL116" s="673"/>
      <c r="AM116" s="673"/>
      <c r="AN116" s="673"/>
      <c r="AO116" s="673"/>
      <c r="AP116" s="673"/>
      <c r="AQ116" s="673"/>
      <c r="AR116" s="673"/>
      <c r="AS116" s="673"/>
      <c r="AT116" s="696"/>
    </row>
    <row r="117" ht="15.75" customHeight="1">
      <c r="A117" s="653"/>
      <c r="B117" s="654"/>
      <c r="C117" s="691"/>
      <c r="D117" s="656"/>
      <c r="E117" s="657"/>
      <c r="F117" s="658"/>
      <c r="G117" s="659"/>
      <c r="H117" s="660"/>
      <c r="I117" s="659"/>
      <c r="J117" s="661"/>
      <c r="K117" s="692"/>
      <c r="L117" s="645"/>
      <c r="M117" s="663"/>
      <c r="N117" s="665"/>
      <c r="O117" s="665"/>
      <c r="P117" s="666"/>
      <c r="Q117" s="667"/>
      <c r="R117" s="668"/>
      <c r="S117" s="693"/>
      <c r="T117" s="694"/>
      <c r="U117" s="694"/>
      <c r="V117" s="693"/>
      <c r="W117" s="693"/>
      <c r="X117" s="693"/>
      <c r="Y117" s="671"/>
      <c r="Z117" s="673"/>
      <c r="AA117" s="672"/>
      <c r="AB117" s="695"/>
      <c r="AC117" s="673"/>
      <c r="AD117" s="673"/>
      <c r="AE117" s="673"/>
      <c r="AF117" s="673"/>
      <c r="AG117" s="673"/>
      <c r="AH117" s="673"/>
      <c r="AI117" s="673"/>
      <c r="AJ117" s="673"/>
      <c r="AK117" s="673"/>
      <c r="AL117" s="673"/>
      <c r="AM117" s="673"/>
      <c r="AN117" s="673"/>
      <c r="AO117" s="673"/>
      <c r="AP117" s="673"/>
      <c r="AQ117" s="673"/>
      <c r="AR117" s="673"/>
      <c r="AS117" s="673"/>
      <c r="AT117" s="696"/>
    </row>
    <row r="118" ht="15.75" customHeight="1">
      <c r="A118" s="653"/>
      <c r="B118" s="654"/>
      <c r="C118" s="691"/>
      <c r="D118" s="656"/>
      <c r="E118" s="657"/>
      <c r="F118" s="658"/>
      <c r="G118" s="659"/>
      <c r="H118" s="660"/>
      <c r="I118" s="659"/>
      <c r="J118" s="661"/>
      <c r="K118" s="692"/>
      <c r="L118" s="645"/>
      <c r="M118" s="663"/>
      <c r="N118" s="665"/>
      <c r="O118" s="665"/>
      <c r="P118" s="666"/>
      <c r="Q118" s="667"/>
      <c r="R118" s="668"/>
      <c r="S118" s="693"/>
      <c r="T118" s="694"/>
      <c r="U118" s="694"/>
      <c r="V118" s="693"/>
      <c r="W118" s="693"/>
      <c r="X118" s="693"/>
      <c r="Y118" s="671"/>
      <c r="Z118" s="673"/>
      <c r="AA118" s="672"/>
      <c r="AB118" s="695"/>
      <c r="AC118" s="673"/>
      <c r="AD118" s="673"/>
      <c r="AE118" s="673"/>
      <c r="AF118" s="673"/>
      <c r="AG118" s="673"/>
      <c r="AH118" s="673"/>
      <c r="AI118" s="673"/>
      <c r="AJ118" s="673"/>
      <c r="AK118" s="673"/>
      <c r="AL118" s="673"/>
      <c r="AM118" s="673"/>
      <c r="AN118" s="673"/>
      <c r="AO118" s="673"/>
      <c r="AP118" s="673"/>
      <c r="AQ118" s="673"/>
      <c r="AR118" s="673"/>
      <c r="AS118" s="673"/>
      <c r="AT118" s="696"/>
    </row>
    <row r="119" ht="15.75" customHeight="1">
      <c r="A119" s="653"/>
      <c r="B119" s="654"/>
      <c r="C119" s="691"/>
      <c r="D119" s="656"/>
      <c r="E119" s="657"/>
      <c r="F119" s="658"/>
      <c r="G119" s="659"/>
      <c r="H119" s="660"/>
      <c r="I119" s="659"/>
      <c r="J119" s="661"/>
      <c r="K119" s="692"/>
      <c r="L119" s="645"/>
      <c r="M119" s="663"/>
      <c r="N119" s="665"/>
      <c r="O119" s="665"/>
      <c r="P119" s="666"/>
      <c r="Q119" s="667"/>
      <c r="R119" s="668"/>
      <c r="S119" s="693"/>
      <c r="T119" s="694"/>
      <c r="U119" s="694"/>
      <c r="V119" s="693"/>
      <c r="W119" s="693"/>
      <c r="X119" s="693"/>
      <c r="Y119" s="671"/>
      <c r="Z119" s="673"/>
      <c r="AA119" s="672"/>
      <c r="AB119" s="695"/>
      <c r="AC119" s="673"/>
      <c r="AD119" s="673"/>
      <c r="AE119" s="673"/>
      <c r="AF119" s="673"/>
      <c r="AG119" s="673"/>
      <c r="AH119" s="673"/>
      <c r="AI119" s="673"/>
      <c r="AJ119" s="673"/>
      <c r="AK119" s="673"/>
      <c r="AL119" s="673"/>
      <c r="AM119" s="673"/>
      <c r="AN119" s="673"/>
      <c r="AO119" s="673"/>
      <c r="AP119" s="673"/>
      <c r="AQ119" s="673"/>
      <c r="AR119" s="673"/>
      <c r="AS119" s="673"/>
      <c r="AT119" s="696"/>
    </row>
    <row r="120" ht="15.75" customHeight="1">
      <c r="A120" s="653"/>
      <c r="B120" s="654"/>
      <c r="C120" s="691"/>
      <c r="D120" s="656"/>
      <c r="E120" s="657"/>
      <c r="F120" s="658"/>
      <c r="G120" s="659"/>
      <c r="H120" s="660"/>
      <c r="I120" s="659"/>
      <c r="J120" s="661"/>
      <c r="K120" s="692"/>
      <c r="L120" s="645"/>
      <c r="M120" s="663"/>
      <c r="N120" s="665"/>
      <c r="O120" s="665"/>
      <c r="P120" s="666"/>
      <c r="Q120" s="667"/>
      <c r="R120" s="668"/>
      <c r="S120" s="693"/>
      <c r="T120" s="694"/>
      <c r="U120" s="694"/>
      <c r="V120" s="693"/>
      <c r="W120" s="693"/>
      <c r="X120" s="693"/>
      <c r="Y120" s="671"/>
      <c r="Z120" s="673"/>
      <c r="AA120" s="672"/>
      <c r="AB120" s="695"/>
      <c r="AC120" s="673"/>
      <c r="AD120" s="673"/>
      <c r="AE120" s="673"/>
      <c r="AF120" s="673"/>
      <c r="AG120" s="673"/>
      <c r="AH120" s="673"/>
      <c r="AI120" s="673"/>
      <c r="AJ120" s="673"/>
      <c r="AK120" s="673"/>
      <c r="AL120" s="673"/>
      <c r="AM120" s="673"/>
      <c r="AN120" s="673"/>
      <c r="AO120" s="673"/>
      <c r="AP120" s="673"/>
      <c r="AQ120" s="673"/>
      <c r="AR120" s="673"/>
      <c r="AS120" s="673"/>
      <c r="AT120" s="696"/>
    </row>
    <row r="121" ht="15.75" customHeight="1">
      <c r="A121" s="653"/>
      <c r="B121" s="654"/>
      <c r="C121" s="691"/>
      <c r="D121" s="656"/>
      <c r="E121" s="657"/>
      <c r="F121" s="658"/>
      <c r="G121" s="659"/>
      <c r="H121" s="660"/>
      <c r="I121" s="659"/>
      <c r="J121" s="661"/>
      <c r="K121" s="692"/>
      <c r="L121" s="645"/>
      <c r="M121" s="663"/>
      <c r="N121" s="665"/>
      <c r="O121" s="665"/>
      <c r="P121" s="666"/>
      <c r="Q121" s="667"/>
      <c r="R121" s="668"/>
      <c r="S121" s="693"/>
      <c r="T121" s="694"/>
      <c r="U121" s="694"/>
      <c r="V121" s="693"/>
      <c r="W121" s="693"/>
      <c r="X121" s="693"/>
      <c r="Y121" s="671"/>
      <c r="Z121" s="673"/>
      <c r="AA121" s="672"/>
      <c r="AB121" s="695"/>
      <c r="AC121" s="673"/>
      <c r="AD121" s="673"/>
      <c r="AE121" s="673"/>
      <c r="AF121" s="673"/>
      <c r="AG121" s="673"/>
      <c r="AH121" s="673"/>
      <c r="AI121" s="673"/>
      <c r="AJ121" s="673"/>
      <c r="AK121" s="673"/>
      <c r="AL121" s="673"/>
      <c r="AM121" s="673"/>
      <c r="AN121" s="673"/>
      <c r="AO121" s="673"/>
      <c r="AP121" s="673"/>
      <c r="AQ121" s="673"/>
      <c r="AR121" s="673"/>
      <c r="AS121" s="673"/>
      <c r="AT121" s="696"/>
    </row>
    <row r="122" ht="15.75" customHeight="1">
      <c r="A122" s="653"/>
      <c r="B122" s="654"/>
      <c r="C122" s="691"/>
      <c r="D122" s="656"/>
      <c r="E122" s="657"/>
      <c r="F122" s="658"/>
      <c r="G122" s="659"/>
      <c r="H122" s="660"/>
      <c r="I122" s="659"/>
      <c r="J122" s="661"/>
      <c r="K122" s="692"/>
      <c r="L122" s="645"/>
      <c r="M122" s="663"/>
      <c r="N122" s="665"/>
      <c r="O122" s="665"/>
      <c r="P122" s="666"/>
      <c r="Q122" s="667"/>
      <c r="R122" s="668"/>
      <c r="S122" s="693"/>
      <c r="T122" s="694"/>
      <c r="U122" s="694"/>
      <c r="V122" s="693"/>
      <c r="W122" s="693"/>
      <c r="X122" s="693"/>
      <c r="Y122" s="671"/>
      <c r="Z122" s="673"/>
      <c r="AA122" s="672"/>
      <c r="AB122" s="695"/>
      <c r="AC122" s="673"/>
      <c r="AD122" s="673"/>
      <c r="AE122" s="673"/>
      <c r="AF122" s="673"/>
      <c r="AG122" s="673"/>
      <c r="AH122" s="673"/>
      <c r="AI122" s="673"/>
      <c r="AJ122" s="673"/>
      <c r="AK122" s="673"/>
      <c r="AL122" s="673"/>
      <c r="AM122" s="673"/>
      <c r="AN122" s="673"/>
      <c r="AO122" s="673"/>
      <c r="AP122" s="673"/>
      <c r="AQ122" s="673"/>
      <c r="AR122" s="673"/>
      <c r="AS122" s="673"/>
      <c r="AT122" s="696"/>
    </row>
    <row r="123" ht="15.75" customHeight="1">
      <c r="A123" s="653"/>
      <c r="B123" s="654"/>
      <c r="C123" s="691"/>
      <c r="D123" s="656"/>
      <c r="E123" s="657"/>
      <c r="F123" s="658"/>
      <c r="G123" s="659"/>
      <c r="H123" s="660"/>
      <c r="I123" s="659"/>
      <c r="J123" s="661"/>
      <c r="K123" s="692"/>
      <c r="L123" s="645"/>
      <c r="M123" s="663"/>
      <c r="N123" s="665"/>
      <c r="O123" s="665"/>
      <c r="P123" s="666"/>
      <c r="Q123" s="667"/>
      <c r="R123" s="668"/>
      <c r="S123" s="693"/>
      <c r="T123" s="694"/>
      <c r="U123" s="694"/>
      <c r="V123" s="693"/>
      <c r="W123" s="693"/>
      <c r="X123" s="693"/>
      <c r="Y123" s="671"/>
      <c r="Z123" s="673"/>
      <c r="AA123" s="672"/>
      <c r="AB123" s="695"/>
      <c r="AC123" s="673"/>
      <c r="AD123" s="673"/>
      <c r="AE123" s="673"/>
      <c r="AF123" s="673"/>
      <c r="AG123" s="673"/>
      <c r="AH123" s="673"/>
      <c r="AI123" s="673"/>
      <c r="AJ123" s="673"/>
      <c r="AK123" s="673"/>
      <c r="AL123" s="673"/>
      <c r="AM123" s="673"/>
      <c r="AN123" s="673"/>
      <c r="AO123" s="673"/>
      <c r="AP123" s="673"/>
      <c r="AQ123" s="673"/>
      <c r="AR123" s="673"/>
      <c r="AS123" s="673"/>
      <c r="AT123" s="696"/>
    </row>
    <row r="124" ht="15.75" customHeight="1">
      <c r="A124" s="653"/>
      <c r="B124" s="654"/>
      <c r="C124" s="691"/>
      <c r="D124" s="656"/>
      <c r="E124" s="657"/>
      <c r="F124" s="658"/>
      <c r="G124" s="659"/>
      <c r="H124" s="660"/>
      <c r="I124" s="659"/>
      <c r="J124" s="661"/>
      <c r="K124" s="692"/>
      <c r="L124" s="645"/>
      <c r="M124" s="663"/>
      <c r="N124" s="665"/>
      <c r="O124" s="665"/>
      <c r="P124" s="666"/>
      <c r="Q124" s="667"/>
      <c r="R124" s="668"/>
      <c r="S124" s="693"/>
      <c r="T124" s="694"/>
      <c r="U124" s="694"/>
      <c r="V124" s="693"/>
      <c r="W124" s="693"/>
      <c r="X124" s="693"/>
      <c r="Y124" s="671"/>
      <c r="Z124" s="673"/>
      <c r="AA124" s="672"/>
      <c r="AB124" s="695"/>
      <c r="AC124" s="673"/>
      <c r="AD124" s="673"/>
      <c r="AE124" s="673"/>
      <c r="AF124" s="673"/>
      <c r="AG124" s="673"/>
      <c r="AH124" s="673"/>
      <c r="AI124" s="673"/>
      <c r="AJ124" s="673"/>
      <c r="AK124" s="673"/>
      <c r="AL124" s="673"/>
      <c r="AM124" s="673"/>
      <c r="AN124" s="673"/>
      <c r="AO124" s="673"/>
      <c r="AP124" s="673"/>
      <c r="AQ124" s="673"/>
      <c r="AR124" s="673"/>
      <c r="AS124" s="673"/>
      <c r="AT124" s="696"/>
    </row>
    <row r="125" ht="15.75" customHeight="1">
      <c r="A125" s="653"/>
      <c r="B125" s="654"/>
      <c r="C125" s="691"/>
      <c r="D125" s="656"/>
      <c r="E125" s="657"/>
      <c r="F125" s="658"/>
      <c r="G125" s="659"/>
      <c r="H125" s="660"/>
      <c r="I125" s="659"/>
      <c r="J125" s="661"/>
      <c r="K125" s="692"/>
      <c r="L125" s="645"/>
      <c r="M125" s="663"/>
      <c r="N125" s="665"/>
      <c r="O125" s="665"/>
      <c r="P125" s="666"/>
      <c r="Q125" s="667"/>
      <c r="R125" s="668"/>
      <c r="S125" s="693"/>
      <c r="T125" s="694"/>
      <c r="U125" s="694"/>
      <c r="V125" s="693"/>
      <c r="W125" s="693"/>
      <c r="X125" s="693"/>
      <c r="Y125" s="671"/>
      <c r="Z125" s="673"/>
      <c r="AA125" s="672"/>
      <c r="AB125" s="695"/>
      <c r="AC125" s="673"/>
      <c r="AD125" s="673"/>
      <c r="AE125" s="673"/>
      <c r="AF125" s="673"/>
      <c r="AG125" s="673"/>
      <c r="AH125" s="673"/>
      <c r="AI125" s="673"/>
      <c r="AJ125" s="673"/>
      <c r="AK125" s="673"/>
      <c r="AL125" s="673"/>
      <c r="AM125" s="673"/>
      <c r="AN125" s="673"/>
      <c r="AO125" s="673"/>
      <c r="AP125" s="673"/>
      <c r="AQ125" s="673"/>
      <c r="AR125" s="673"/>
      <c r="AS125" s="673"/>
      <c r="AT125" s="696"/>
    </row>
    <row r="126" ht="15.75" customHeight="1">
      <c r="A126" s="653"/>
      <c r="B126" s="654"/>
      <c r="C126" s="691"/>
      <c r="D126" s="656"/>
      <c r="E126" s="657"/>
      <c r="F126" s="658"/>
      <c r="G126" s="659"/>
      <c r="H126" s="660"/>
      <c r="I126" s="659"/>
      <c r="J126" s="661"/>
      <c r="K126" s="692"/>
      <c r="L126" s="645"/>
      <c r="M126" s="663"/>
      <c r="N126" s="665"/>
      <c r="O126" s="665"/>
      <c r="P126" s="666"/>
      <c r="Q126" s="667"/>
      <c r="R126" s="668"/>
      <c r="S126" s="693"/>
      <c r="T126" s="694"/>
      <c r="U126" s="694"/>
      <c r="V126" s="693"/>
      <c r="W126" s="693"/>
      <c r="X126" s="693"/>
      <c r="Y126" s="671"/>
      <c r="Z126" s="673"/>
      <c r="AA126" s="672"/>
      <c r="AB126" s="695"/>
      <c r="AC126" s="673"/>
      <c r="AD126" s="673"/>
      <c r="AE126" s="673"/>
      <c r="AF126" s="673"/>
      <c r="AG126" s="673"/>
      <c r="AH126" s="673"/>
      <c r="AI126" s="673"/>
      <c r="AJ126" s="673"/>
      <c r="AK126" s="673"/>
      <c r="AL126" s="673"/>
      <c r="AM126" s="673"/>
      <c r="AN126" s="673"/>
      <c r="AO126" s="673"/>
      <c r="AP126" s="673"/>
      <c r="AQ126" s="673"/>
      <c r="AR126" s="673"/>
      <c r="AS126" s="673"/>
      <c r="AT126" s="696"/>
    </row>
    <row r="127" ht="15.75" customHeight="1">
      <c r="A127" s="653"/>
      <c r="B127" s="654"/>
      <c r="C127" s="691"/>
      <c r="D127" s="656"/>
      <c r="E127" s="657"/>
      <c r="F127" s="658"/>
      <c r="G127" s="659"/>
      <c r="H127" s="660"/>
      <c r="I127" s="659"/>
      <c r="J127" s="661"/>
      <c r="K127" s="692"/>
      <c r="L127" s="645"/>
      <c r="M127" s="663"/>
      <c r="N127" s="665"/>
      <c r="O127" s="665"/>
      <c r="P127" s="666"/>
      <c r="Q127" s="667"/>
      <c r="R127" s="668"/>
      <c r="S127" s="693"/>
      <c r="T127" s="694"/>
      <c r="U127" s="694"/>
      <c r="V127" s="693"/>
      <c r="W127" s="693"/>
      <c r="X127" s="693"/>
      <c r="Y127" s="671"/>
      <c r="Z127" s="673"/>
      <c r="AA127" s="672"/>
      <c r="AB127" s="695"/>
      <c r="AC127" s="673"/>
      <c r="AD127" s="673"/>
      <c r="AE127" s="673"/>
      <c r="AF127" s="673"/>
      <c r="AG127" s="673"/>
      <c r="AH127" s="673"/>
      <c r="AI127" s="673"/>
      <c r="AJ127" s="673"/>
      <c r="AK127" s="673"/>
      <c r="AL127" s="673"/>
      <c r="AM127" s="673"/>
      <c r="AN127" s="673"/>
      <c r="AO127" s="673"/>
      <c r="AP127" s="673"/>
      <c r="AQ127" s="673"/>
      <c r="AR127" s="673"/>
      <c r="AS127" s="673"/>
      <c r="AT127" s="696"/>
    </row>
    <row r="128" ht="15.75" customHeight="1">
      <c r="A128" s="653"/>
      <c r="B128" s="654"/>
      <c r="C128" s="691"/>
      <c r="D128" s="656"/>
      <c r="E128" s="657"/>
      <c r="F128" s="658"/>
      <c r="G128" s="659"/>
      <c r="H128" s="660"/>
      <c r="I128" s="659"/>
      <c r="J128" s="661"/>
      <c r="K128" s="692"/>
      <c r="L128" s="645"/>
      <c r="M128" s="663"/>
      <c r="N128" s="665"/>
      <c r="O128" s="665"/>
      <c r="P128" s="666"/>
      <c r="Q128" s="667"/>
      <c r="R128" s="668"/>
      <c r="S128" s="693"/>
      <c r="T128" s="694"/>
      <c r="U128" s="694"/>
      <c r="V128" s="693"/>
      <c r="W128" s="693"/>
      <c r="X128" s="693"/>
      <c r="Y128" s="671"/>
      <c r="Z128" s="673"/>
      <c r="AA128" s="672"/>
      <c r="AB128" s="695"/>
      <c r="AC128" s="673"/>
      <c r="AD128" s="673"/>
      <c r="AE128" s="673"/>
      <c r="AF128" s="673"/>
      <c r="AG128" s="673"/>
      <c r="AH128" s="673"/>
      <c r="AI128" s="673"/>
      <c r="AJ128" s="673"/>
      <c r="AK128" s="673"/>
      <c r="AL128" s="673"/>
      <c r="AM128" s="673"/>
      <c r="AN128" s="673"/>
      <c r="AO128" s="673"/>
      <c r="AP128" s="673"/>
      <c r="AQ128" s="673"/>
      <c r="AR128" s="673"/>
      <c r="AS128" s="673"/>
      <c r="AT128" s="696"/>
    </row>
    <row r="129" ht="15.75" customHeight="1">
      <c r="A129" s="653"/>
      <c r="B129" s="654"/>
      <c r="C129" s="691"/>
      <c r="D129" s="656"/>
      <c r="E129" s="657"/>
      <c r="F129" s="658"/>
      <c r="G129" s="659"/>
      <c r="H129" s="660"/>
      <c r="I129" s="659"/>
      <c r="J129" s="661"/>
      <c r="K129" s="692"/>
      <c r="L129" s="645"/>
      <c r="M129" s="663"/>
      <c r="N129" s="665"/>
      <c r="O129" s="665"/>
      <c r="P129" s="666"/>
      <c r="Q129" s="667"/>
      <c r="R129" s="668"/>
      <c r="S129" s="693"/>
      <c r="T129" s="694"/>
      <c r="U129" s="694"/>
      <c r="V129" s="693"/>
      <c r="W129" s="693"/>
      <c r="X129" s="693"/>
      <c r="Y129" s="671"/>
      <c r="Z129" s="673"/>
      <c r="AA129" s="672"/>
      <c r="AB129" s="695"/>
      <c r="AC129" s="673"/>
      <c r="AD129" s="673"/>
      <c r="AE129" s="673"/>
      <c r="AF129" s="673"/>
      <c r="AG129" s="673"/>
      <c r="AH129" s="673"/>
      <c r="AI129" s="673"/>
      <c r="AJ129" s="673"/>
      <c r="AK129" s="673"/>
      <c r="AL129" s="673"/>
      <c r="AM129" s="673"/>
      <c r="AN129" s="673"/>
      <c r="AO129" s="673"/>
      <c r="AP129" s="673"/>
      <c r="AQ129" s="673"/>
      <c r="AR129" s="673"/>
      <c r="AS129" s="673"/>
      <c r="AT129" s="696"/>
    </row>
    <row r="130" ht="15.75" customHeight="1">
      <c r="A130" s="653"/>
      <c r="B130" s="654"/>
      <c r="C130" s="691"/>
      <c r="D130" s="656"/>
      <c r="E130" s="657"/>
      <c r="F130" s="658"/>
      <c r="G130" s="659"/>
      <c r="H130" s="660"/>
      <c r="I130" s="659"/>
      <c r="J130" s="661"/>
      <c r="K130" s="692"/>
      <c r="L130" s="645"/>
      <c r="M130" s="663"/>
      <c r="N130" s="665"/>
      <c r="O130" s="665"/>
      <c r="P130" s="666"/>
      <c r="Q130" s="667"/>
      <c r="R130" s="668"/>
      <c r="S130" s="693"/>
      <c r="T130" s="694"/>
      <c r="U130" s="694"/>
      <c r="V130" s="693"/>
      <c r="W130" s="693"/>
      <c r="X130" s="693"/>
      <c r="Y130" s="671"/>
      <c r="Z130" s="673"/>
      <c r="AA130" s="672"/>
      <c r="AB130" s="695"/>
      <c r="AC130" s="673"/>
      <c r="AD130" s="673"/>
      <c r="AE130" s="673"/>
      <c r="AF130" s="673"/>
      <c r="AG130" s="673"/>
      <c r="AH130" s="673"/>
      <c r="AI130" s="673"/>
      <c r="AJ130" s="673"/>
      <c r="AK130" s="673"/>
      <c r="AL130" s="673"/>
      <c r="AM130" s="673"/>
      <c r="AN130" s="673"/>
      <c r="AO130" s="673"/>
      <c r="AP130" s="673"/>
      <c r="AQ130" s="673"/>
      <c r="AR130" s="673"/>
      <c r="AS130" s="673"/>
      <c r="AT130" s="696"/>
    </row>
    <row r="131" ht="15.75" customHeight="1">
      <c r="A131" s="653"/>
      <c r="B131" s="654"/>
      <c r="C131" s="691"/>
      <c r="D131" s="656"/>
      <c r="E131" s="657"/>
      <c r="F131" s="658"/>
      <c r="G131" s="659"/>
      <c r="H131" s="660"/>
      <c r="I131" s="659"/>
      <c r="J131" s="661"/>
      <c r="K131" s="692"/>
      <c r="L131" s="645"/>
      <c r="M131" s="663"/>
      <c r="N131" s="665"/>
      <c r="O131" s="665"/>
      <c r="P131" s="666"/>
      <c r="Q131" s="667"/>
      <c r="R131" s="668"/>
      <c r="S131" s="693"/>
      <c r="T131" s="694"/>
      <c r="U131" s="694"/>
      <c r="V131" s="693"/>
      <c r="W131" s="693"/>
      <c r="X131" s="693"/>
      <c r="Y131" s="671"/>
      <c r="Z131" s="673"/>
      <c r="AA131" s="672"/>
      <c r="AB131" s="695"/>
      <c r="AC131" s="673"/>
      <c r="AD131" s="673"/>
      <c r="AE131" s="673"/>
      <c r="AF131" s="673"/>
      <c r="AG131" s="673"/>
      <c r="AH131" s="673"/>
      <c r="AI131" s="673"/>
      <c r="AJ131" s="673"/>
      <c r="AK131" s="673"/>
      <c r="AL131" s="673"/>
      <c r="AM131" s="673"/>
      <c r="AN131" s="673"/>
      <c r="AO131" s="673"/>
      <c r="AP131" s="673"/>
      <c r="AQ131" s="673"/>
      <c r="AR131" s="673"/>
      <c r="AS131" s="673"/>
      <c r="AT131" s="696"/>
    </row>
    <row r="132" ht="15.75" customHeight="1">
      <c r="A132" s="653"/>
      <c r="B132" s="654"/>
      <c r="C132" s="691"/>
      <c r="D132" s="656"/>
      <c r="E132" s="657"/>
      <c r="F132" s="658"/>
      <c r="G132" s="659"/>
      <c r="H132" s="660"/>
      <c r="I132" s="659"/>
      <c r="J132" s="661"/>
      <c r="K132" s="692"/>
      <c r="L132" s="645"/>
      <c r="M132" s="663"/>
      <c r="N132" s="665"/>
      <c r="O132" s="665"/>
      <c r="P132" s="666"/>
      <c r="Q132" s="667"/>
      <c r="R132" s="668"/>
      <c r="S132" s="693"/>
      <c r="T132" s="694"/>
      <c r="U132" s="694"/>
      <c r="V132" s="693"/>
      <c r="W132" s="693"/>
      <c r="X132" s="693"/>
      <c r="Y132" s="671"/>
      <c r="Z132" s="673"/>
      <c r="AA132" s="672"/>
      <c r="AB132" s="695"/>
      <c r="AC132" s="673"/>
      <c r="AD132" s="673"/>
      <c r="AE132" s="673"/>
      <c r="AF132" s="673"/>
      <c r="AG132" s="673"/>
      <c r="AH132" s="673"/>
      <c r="AI132" s="673"/>
      <c r="AJ132" s="673"/>
      <c r="AK132" s="673"/>
      <c r="AL132" s="673"/>
      <c r="AM132" s="673"/>
      <c r="AN132" s="673"/>
      <c r="AO132" s="673"/>
      <c r="AP132" s="673"/>
      <c r="AQ132" s="673"/>
      <c r="AR132" s="673"/>
      <c r="AS132" s="673"/>
      <c r="AT132" s="696"/>
    </row>
    <row r="133" ht="15.75" customHeight="1">
      <c r="A133" s="653"/>
      <c r="B133" s="654"/>
      <c r="C133" s="691"/>
      <c r="D133" s="656"/>
      <c r="E133" s="657"/>
      <c r="F133" s="658"/>
      <c r="G133" s="659"/>
      <c r="H133" s="660"/>
      <c r="I133" s="659"/>
      <c r="J133" s="661"/>
      <c r="K133" s="692"/>
      <c r="L133" s="645"/>
      <c r="M133" s="663"/>
      <c r="N133" s="665"/>
      <c r="O133" s="665"/>
      <c r="P133" s="666"/>
      <c r="Q133" s="667"/>
      <c r="R133" s="668"/>
      <c r="S133" s="693"/>
      <c r="T133" s="694"/>
      <c r="U133" s="694"/>
      <c r="V133" s="693"/>
      <c r="W133" s="693"/>
      <c r="X133" s="693"/>
      <c r="Y133" s="671"/>
      <c r="Z133" s="673"/>
      <c r="AA133" s="672"/>
      <c r="AB133" s="695"/>
      <c r="AC133" s="673"/>
      <c r="AD133" s="673"/>
      <c r="AE133" s="673"/>
      <c r="AF133" s="673"/>
      <c r="AG133" s="673"/>
      <c r="AH133" s="673"/>
      <c r="AI133" s="673"/>
      <c r="AJ133" s="673"/>
      <c r="AK133" s="673"/>
      <c r="AL133" s="673"/>
      <c r="AM133" s="673"/>
      <c r="AN133" s="673"/>
      <c r="AO133" s="673"/>
      <c r="AP133" s="673"/>
      <c r="AQ133" s="673"/>
      <c r="AR133" s="673"/>
      <c r="AS133" s="673"/>
      <c r="AT133" s="696"/>
    </row>
    <row r="134" ht="15.75" customHeight="1">
      <c r="A134" s="653"/>
      <c r="B134" s="654"/>
      <c r="C134" s="691"/>
      <c r="D134" s="656"/>
      <c r="E134" s="657"/>
      <c r="F134" s="658"/>
      <c r="G134" s="659"/>
      <c r="H134" s="660"/>
      <c r="I134" s="659"/>
      <c r="J134" s="661"/>
      <c r="K134" s="692"/>
      <c r="L134" s="645"/>
      <c r="M134" s="663"/>
      <c r="N134" s="665"/>
      <c r="O134" s="665"/>
      <c r="P134" s="666"/>
      <c r="Q134" s="667"/>
      <c r="R134" s="668"/>
      <c r="S134" s="693"/>
      <c r="T134" s="694"/>
      <c r="U134" s="694"/>
      <c r="V134" s="693"/>
      <c r="W134" s="693"/>
      <c r="X134" s="693"/>
      <c r="Y134" s="671"/>
      <c r="Z134" s="673"/>
      <c r="AA134" s="672"/>
      <c r="AB134" s="695"/>
      <c r="AC134" s="673"/>
      <c r="AD134" s="673"/>
      <c r="AE134" s="673"/>
      <c r="AF134" s="673"/>
      <c r="AG134" s="673"/>
      <c r="AH134" s="673"/>
      <c r="AI134" s="673"/>
      <c r="AJ134" s="673"/>
      <c r="AK134" s="673"/>
      <c r="AL134" s="673"/>
      <c r="AM134" s="673"/>
      <c r="AN134" s="673"/>
      <c r="AO134" s="673"/>
      <c r="AP134" s="673"/>
      <c r="AQ134" s="673"/>
      <c r="AR134" s="673"/>
      <c r="AS134" s="673"/>
      <c r="AT134" s="696"/>
    </row>
    <row r="135" ht="15.75" customHeight="1">
      <c r="A135" s="653"/>
      <c r="B135" s="654"/>
      <c r="C135" s="691"/>
      <c r="D135" s="656"/>
      <c r="E135" s="657"/>
      <c r="F135" s="658"/>
      <c r="G135" s="659"/>
      <c r="H135" s="660"/>
      <c r="I135" s="659"/>
      <c r="J135" s="661"/>
      <c r="K135" s="692"/>
      <c r="L135" s="645"/>
      <c r="M135" s="663"/>
      <c r="N135" s="665"/>
      <c r="O135" s="665"/>
      <c r="P135" s="666"/>
      <c r="Q135" s="667"/>
      <c r="R135" s="668"/>
      <c r="S135" s="693"/>
      <c r="T135" s="694"/>
      <c r="U135" s="694"/>
      <c r="V135" s="693"/>
      <c r="W135" s="693"/>
      <c r="X135" s="693"/>
      <c r="Y135" s="671"/>
      <c r="Z135" s="673"/>
      <c r="AA135" s="672"/>
      <c r="AB135" s="695"/>
      <c r="AC135" s="673"/>
      <c r="AD135" s="673"/>
      <c r="AE135" s="673"/>
      <c r="AF135" s="673"/>
      <c r="AG135" s="673"/>
      <c r="AH135" s="673"/>
      <c r="AI135" s="673"/>
      <c r="AJ135" s="673"/>
      <c r="AK135" s="673"/>
      <c r="AL135" s="673"/>
      <c r="AM135" s="673"/>
      <c r="AN135" s="673"/>
      <c r="AO135" s="673"/>
      <c r="AP135" s="673"/>
      <c r="AQ135" s="673"/>
      <c r="AR135" s="673"/>
      <c r="AS135" s="673"/>
      <c r="AT135" s="696"/>
    </row>
    <row r="136" ht="15.75" customHeight="1">
      <c r="A136" s="653"/>
      <c r="B136" s="654"/>
      <c r="C136" s="691"/>
      <c r="D136" s="656"/>
      <c r="E136" s="657"/>
      <c r="F136" s="658"/>
      <c r="G136" s="659"/>
      <c r="H136" s="660"/>
      <c r="I136" s="659"/>
      <c r="J136" s="661"/>
      <c r="K136" s="692"/>
      <c r="L136" s="645"/>
      <c r="M136" s="663"/>
      <c r="N136" s="665"/>
      <c r="O136" s="665"/>
      <c r="P136" s="666"/>
      <c r="Q136" s="667"/>
      <c r="R136" s="668"/>
      <c r="S136" s="693"/>
      <c r="T136" s="694"/>
      <c r="U136" s="694"/>
      <c r="V136" s="693"/>
      <c r="W136" s="693"/>
      <c r="X136" s="693"/>
      <c r="Y136" s="671"/>
      <c r="Z136" s="673"/>
      <c r="AA136" s="672"/>
      <c r="AB136" s="695"/>
      <c r="AC136" s="673"/>
      <c r="AD136" s="673"/>
      <c r="AE136" s="673"/>
      <c r="AF136" s="673"/>
      <c r="AG136" s="673"/>
      <c r="AH136" s="673"/>
      <c r="AI136" s="673"/>
      <c r="AJ136" s="673"/>
      <c r="AK136" s="673"/>
      <c r="AL136" s="673"/>
      <c r="AM136" s="673"/>
      <c r="AN136" s="673"/>
      <c r="AO136" s="673"/>
      <c r="AP136" s="673"/>
      <c r="AQ136" s="673"/>
      <c r="AR136" s="673"/>
      <c r="AS136" s="673"/>
      <c r="AT136" s="696"/>
    </row>
    <row r="137" ht="15.75" customHeight="1">
      <c r="A137" s="653"/>
      <c r="B137" s="654"/>
      <c r="C137" s="691"/>
      <c r="D137" s="656"/>
      <c r="E137" s="657"/>
      <c r="F137" s="658"/>
      <c r="G137" s="659"/>
      <c r="H137" s="660"/>
      <c r="I137" s="659"/>
      <c r="J137" s="661"/>
      <c r="K137" s="692"/>
      <c r="L137" s="645"/>
      <c r="M137" s="663"/>
      <c r="N137" s="665"/>
      <c r="O137" s="665"/>
      <c r="P137" s="666"/>
      <c r="Q137" s="667"/>
      <c r="R137" s="668"/>
      <c r="S137" s="693"/>
      <c r="T137" s="694"/>
      <c r="U137" s="694"/>
      <c r="V137" s="693"/>
      <c r="W137" s="693"/>
      <c r="X137" s="693"/>
      <c r="Y137" s="671"/>
      <c r="Z137" s="673"/>
      <c r="AA137" s="672"/>
      <c r="AB137" s="695"/>
      <c r="AC137" s="673"/>
      <c r="AD137" s="673"/>
      <c r="AE137" s="673"/>
      <c r="AF137" s="673"/>
      <c r="AG137" s="673"/>
      <c r="AH137" s="673"/>
      <c r="AI137" s="673"/>
      <c r="AJ137" s="673"/>
      <c r="AK137" s="673"/>
      <c r="AL137" s="673"/>
      <c r="AM137" s="673"/>
      <c r="AN137" s="673"/>
      <c r="AO137" s="673"/>
      <c r="AP137" s="673"/>
      <c r="AQ137" s="673"/>
      <c r="AR137" s="673"/>
      <c r="AS137" s="673"/>
      <c r="AT137" s="696"/>
    </row>
    <row r="138" ht="15.75" customHeight="1">
      <c r="A138" s="653"/>
      <c r="B138" s="654"/>
      <c r="C138" s="691"/>
      <c r="D138" s="656"/>
      <c r="E138" s="657"/>
      <c r="F138" s="658"/>
      <c r="G138" s="659"/>
      <c r="H138" s="660"/>
      <c r="I138" s="659"/>
      <c r="J138" s="661"/>
      <c r="K138" s="692"/>
      <c r="L138" s="645"/>
      <c r="M138" s="663"/>
      <c r="N138" s="665"/>
      <c r="O138" s="665"/>
      <c r="P138" s="666"/>
      <c r="Q138" s="667"/>
      <c r="R138" s="668"/>
      <c r="S138" s="693"/>
      <c r="T138" s="694"/>
      <c r="U138" s="694"/>
      <c r="V138" s="693"/>
      <c r="W138" s="693"/>
      <c r="X138" s="693"/>
      <c r="Y138" s="671"/>
      <c r="Z138" s="673"/>
      <c r="AA138" s="672"/>
      <c r="AB138" s="695"/>
      <c r="AC138" s="673"/>
      <c r="AD138" s="673"/>
      <c r="AE138" s="673"/>
      <c r="AF138" s="673"/>
      <c r="AG138" s="673"/>
      <c r="AH138" s="673"/>
      <c r="AI138" s="673"/>
      <c r="AJ138" s="673"/>
      <c r="AK138" s="673"/>
      <c r="AL138" s="673"/>
      <c r="AM138" s="673"/>
      <c r="AN138" s="673"/>
      <c r="AO138" s="673"/>
      <c r="AP138" s="673"/>
      <c r="AQ138" s="673"/>
      <c r="AR138" s="673"/>
      <c r="AS138" s="673"/>
      <c r="AT138" s="696"/>
    </row>
    <row r="139" ht="15.75" customHeight="1">
      <c r="A139" s="653"/>
      <c r="B139" s="654"/>
      <c r="C139" s="691"/>
      <c r="D139" s="656"/>
      <c r="E139" s="657"/>
      <c r="F139" s="658"/>
      <c r="G139" s="659"/>
      <c r="H139" s="660"/>
      <c r="I139" s="659"/>
      <c r="J139" s="661"/>
      <c r="K139" s="692"/>
      <c r="L139" s="645"/>
      <c r="M139" s="663"/>
      <c r="N139" s="665"/>
      <c r="O139" s="665"/>
      <c r="P139" s="666"/>
      <c r="Q139" s="667"/>
      <c r="R139" s="668"/>
      <c r="S139" s="693"/>
      <c r="T139" s="694"/>
      <c r="U139" s="694"/>
      <c r="V139" s="693"/>
      <c r="W139" s="693"/>
      <c r="X139" s="693"/>
      <c r="Y139" s="671"/>
      <c r="Z139" s="673"/>
      <c r="AA139" s="672"/>
      <c r="AB139" s="695"/>
      <c r="AC139" s="673"/>
      <c r="AD139" s="673"/>
      <c r="AE139" s="673"/>
      <c r="AF139" s="673"/>
      <c r="AG139" s="673"/>
      <c r="AH139" s="673"/>
      <c r="AI139" s="673"/>
      <c r="AJ139" s="673"/>
      <c r="AK139" s="673"/>
      <c r="AL139" s="673"/>
      <c r="AM139" s="673"/>
      <c r="AN139" s="673"/>
      <c r="AO139" s="673"/>
      <c r="AP139" s="673"/>
      <c r="AQ139" s="673"/>
      <c r="AR139" s="673"/>
      <c r="AS139" s="673"/>
      <c r="AT139" s="696"/>
    </row>
    <row r="140" ht="15.75" customHeight="1">
      <c r="A140" s="653"/>
      <c r="B140" s="654"/>
      <c r="C140" s="691"/>
      <c r="D140" s="656"/>
      <c r="E140" s="657"/>
      <c r="F140" s="658"/>
      <c r="G140" s="659"/>
      <c r="H140" s="660"/>
      <c r="I140" s="659"/>
      <c r="J140" s="661"/>
      <c r="K140" s="692"/>
      <c r="L140" s="645"/>
      <c r="M140" s="663"/>
      <c r="N140" s="665"/>
      <c r="O140" s="665"/>
      <c r="P140" s="666"/>
      <c r="Q140" s="667"/>
      <c r="R140" s="668"/>
      <c r="S140" s="693"/>
      <c r="T140" s="694"/>
      <c r="U140" s="694"/>
      <c r="V140" s="693"/>
      <c r="W140" s="693"/>
      <c r="X140" s="693"/>
      <c r="Y140" s="671"/>
      <c r="Z140" s="673"/>
      <c r="AA140" s="672"/>
      <c r="AB140" s="695"/>
      <c r="AC140" s="673"/>
      <c r="AD140" s="673"/>
      <c r="AE140" s="673"/>
      <c r="AF140" s="673"/>
      <c r="AG140" s="673"/>
      <c r="AH140" s="673"/>
      <c r="AI140" s="673"/>
      <c r="AJ140" s="673"/>
      <c r="AK140" s="673"/>
      <c r="AL140" s="673"/>
      <c r="AM140" s="673"/>
      <c r="AN140" s="673"/>
      <c r="AO140" s="673"/>
      <c r="AP140" s="673"/>
      <c r="AQ140" s="673"/>
      <c r="AR140" s="673"/>
      <c r="AS140" s="673"/>
      <c r="AT140" s="696"/>
    </row>
    <row r="141" ht="15.75" customHeight="1">
      <c r="A141" s="653"/>
      <c r="B141" s="654"/>
      <c r="C141" s="691"/>
      <c r="D141" s="656"/>
      <c r="E141" s="657"/>
      <c r="F141" s="658"/>
      <c r="G141" s="659"/>
      <c r="H141" s="660"/>
      <c r="I141" s="659"/>
      <c r="J141" s="661"/>
      <c r="K141" s="692"/>
      <c r="L141" s="645"/>
      <c r="M141" s="663"/>
      <c r="N141" s="665"/>
      <c r="O141" s="665"/>
      <c r="P141" s="666"/>
      <c r="Q141" s="667"/>
      <c r="R141" s="668"/>
      <c r="S141" s="693"/>
      <c r="T141" s="694"/>
      <c r="U141" s="694"/>
      <c r="V141" s="693"/>
      <c r="W141" s="693"/>
      <c r="X141" s="693"/>
      <c r="Y141" s="671"/>
      <c r="Z141" s="673"/>
      <c r="AA141" s="672"/>
      <c r="AB141" s="695"/>
      <c r="AC141" s="673"/>
      <c r="AD141" s="673"/>
      <c r="AE141" s="673"/>
      <c r="AF141" s="673"/>
      <c r="AG141" s="673"/>
      <c r="AH141" s="673"/>
      <c r="AI141" s="673"/>
      <c r="AJ141" s="673"/>
      <c r="AK141" s="673"/>
      <c r="AL141" s="673"/>
      <c r="AM141" s="673"/>
      <c r="AN141" s="673"/>
      <c r="AO141" s="673"/>
      <c r="AP141" s="673"/>
      <c r="AQ141" s="673"/>
      <c r="AR141" s="673"/>
      <c r="AS141" s="673"/>
      <c r="AT141" s="696"/>
    </row>
    <row r="142" ht="15.75" customHeight="1">
      <c r="A142" s="653"/>
      <c r="B142" s="654"/>
      <c r="C142" s="691"/>
      <c r="D142" s="656"/>
      <c r="E142" s="657"/>
      <c r="F142" s="658"/>
      <c r="G142" s="659"/>
      <c r="H142" s="660"/>
      <c r="I142" s="659"/>
      <c r="J142" s="661"/>
      <c r="K142" s="692"/>
      <c r="L142" s="645"/>
      <c r="M142" s="663"/>
      <c r="N142" s="665"/>
      <c r="O142" s="665"/>
      <c r="P142" s="666"/>
      <c r="Q142" s="667"/>
      <c r="R142" s="668"/>
      <c r="S142" s="693"/>
      <c r="T142" s="694"/>
      <c r="U142" s="694"/>
      <c r="V142" s="693"/>
      <c r="W142" s="693"/>
      <c r="X142" s="693"/>
      <c r="Y142" s="671"/>
      <c r="Z142" s="673"/>
      <c r="AA142" s="672"/>
      <c r="AB142" s="695"/>
      <c r="AC142" s="673"/>
      <c r="AD142" s="673"/>
      <c r="AE142" s="673"/>
      <c r="AF142" s="673"/>
      <c r="AG142" s="673"/>
      <c r="AH142" s="673"/>
      <c r="AI142" s="673"/>
      <c r="AJ142" s="673"/>
      <c r="AK142" s="673"/>
      <c r="AL142" s="673"/>
      <c r="AM142" s="673"/>
      <c r="AN142" s="673"/>
      <c r="AO142" s="673"/>
      <c r="AP142" s="673"/>
      <c r="AQ142" s="673"/>
      <c r="AR142" s="673"/>
      <c r="AS142" s="673"/>
      <c r="AT142" s="696"/>
    </row>
    <row r="143" ht="15.75" customHeight="1">
      <c r="A143" s="653"/>
      <c r="B143" s="654"/>
      <c r="C143" s="691"/>
      <c r="D143" s="656"/>
      <c r="E143" s="657"/>
      <c r="F143" s="658"/>
      <c r="G143" s="659"/>
      <c r="H143" s="660"/>
      <c r="I143" s="659"/>
      <c r="J143" s="661"/>
      <c r="K143" s="692"/>
      <c r="L143" s="645"/>
      <c r="M143" s="663"/>
      <c r="N143" s="665"/>
      <c r="O143" s="665"/>
      <c r="P143" s="666"/>
      <c r="Q143" s="667"/>
      <c r="R143" s="668"/>
      <c r="S143" s="693"/>
      <c r="T143" s="694"/>
      <c r="U143" s="694"/>
      <c r="V143" s="693"/>
      <c r="W143" s="693"/>
      <c r="X143" s="693"/>
      <c r="Y143" s="671"/>
      <c r="Z143" s="673"/>
      <c r="AA143" s="672"/>
      <c r="AB143" s="695"/>
      <c r="AC143" s="673"/>
      <c r="AD143" s="673"/>
      <c r="AE143" s="673"/>
      <c r="AF143" s="673"/>
      <c r="AG143" s="673"/>
      <c r="AH143" s="673"/>
      <c r="AI143" s="673"/>
      <c r="AJ143" s="673"/>
      <c r="AK143" s="673"/>
      <c r="AL143" s="673"/>
      <c r="AM143" s="673"/>
      <c r="AN143" s="673"/>
      <c r="AO143" s="673"/>
      <c r="AP143" s="673"/>
      <c r="AQ143" s="673"/>
      <c r="AR143" s="673"/>
      <c r="AS143" s="673"/>
      <c r="AT143" s="696"/>
    </row>
    <row r="144" ht="15.75" customHeight="1">
      <c r="A144" s="653"/>
      <c r="B144" s="654"/>
      <c r="C144" s="691"/>
      <c r="D144" s="656"/>
      <c r="E144" s="657"/>
      <c r="F144" s="658"/>
      <c r="G144" s="659"/>
      <c r="H144" s="660"/>
      <c r="I144" s="659"/>
      <c r="J144" s="661"/>
      <c r="K144" s="692"/>
      <c r="L144" s="645"/>
      <c r="M144" s="663"/>
      <c r="N144" s="665"/>
      <c r="O144" s="665"/>
      <c r="P144" s="666"/>
      <c r="Q144" s="667"/>
      <c r="R144" s="668"/>
      <c r="S144" s="693"/>
      <c r="T144" s="694"/>
      <c r="U144" s="694"/>
      <c r="V144" s="693"/>
      <c r="W144" s="693"/>
      <c r="X144" s="693"/>
      <c r="Y144" s="671"/>
      <c r="Z144" s="673"/>
      <c r="AA144" s="672"/>
      <c r="AB144" s="695"/>
      <c r="AC144" s="673"/>
      <c r="AD144" s="673"/>
      <c r="AE144" s="673"/>
      <c r="AF144" s="673"/>
      <c r="AG144" s="673"/>
      <c r="AH144" s="673"/>
      <c r="AI144" s="673"/>
      <c r="AJ144" s="673"/>
      <c r="AK144" s="673"/>
      <c r="AL144" s="673"/>
      <c r="AM144" s="673"/>
      <c r="AN144" s="673"/>
      <c r="AO144" s="673"/>
      <c r="AP144" s="673"/>
      <c r="AQ144" s="673"/>
      <c r="AR144" s="673"/>
      <c r="AS144" s="673"/>
      <c r="AT144" s="696"/>
    </row>
    <row r="145" ht="15.75" customHeight="1">
      <c r="A145" s="653"/>
      <c r="B145" s="654"/>
      <c r="C145" s="691"/>
      <c r="D145" s="656"/>
      <c r="E145" s="657"/>
      <c r="F145" s="658"/>
      <c r="G145" s="659"/>
      <c r="H145" s="660"/>
      <c r="I145" s="659"/>
      <c r="J145" s="661"/>
      <c r="K145" s="692"/>
      <c r="L145" s="645"/>
      <c r="M145" s="663"/>
      <c r="N145" s="665"/>
      <c r="O145" s="665"/>
      <c r="P145" s="666"/>
      <c r="Q145" s="667"/>
      <c r="R145" s="668"/>
      <c r="S145" s="693"/>
      <c r="T145" s="694"/>
      <c r="U145" s="694"/>
      <c r="V145" s="693"/>
      <c r="W145" s="693"/>
      <c r="X145" s="693"/>
      <c r="Y145" s="671"/>
      <c r="Z145" s="673"/>
      <c r="AA145" s="672"/>
      <c r="AB145" s="695"/>
      <c r="AC145" s="673"/>
      <c r="AD145" s="673"/>
      <c r="AE145" s="673"/>
      <c r="AF145" s="673"/>
      <c r="AG145" s="673"/>
      <c r="AH145" s="673"/>
      <c r="AI145" s="673"/>
      <c r="AJ145" s="673"/>
      <c r="AK145" s="673"/>
      <c r="AL145" s="673"/>
      <c r="AM145" s="673"/>
      <c r="AN145" s="673"/>
      <c r="AO145" s="673"/>
      <c r="AP145" s="673"/>
      <c r="AQ145" s="673"/>
      <c r="AR145" s="673"/>
      <c r="AS145" s="673"/>
      <c r="AT145" s="696"/>
    </row>
    <row r="146" ht="15.75" customHeight="1">
      <c r="A146" s="653"/>
      <c r="B146" s="654"/>
      <c r="C146" s="691"/>
      <c r="D146" s="656"/>
      <c r="E146" s="657"/>
      <c r="F146" s="658"/>
      <c r="G146" s="659"/>
      <c r="H146" s="660"/>
      <c r="I146" s="659"/>
      <c r="J146" s="661"/>
      <c r="K146" s="692"/>
      <c r="L146" s="645"/>
      <c r="M146" s="663"/>
      <c r="N146" s="665"/>
      <c r="O146" s="665"/>
      <c r="P146" s="666"/>
      <c r="Q146" s="667"/>
      <c r="R146" s="668"/>
      <c r="S146" s="693"/>
      <c r="T146" s="694"/>
      <c r="U146" s="694"/>
      <c r="V146" s="693"/>
      <c r="W146" s="693"/>
      <c r="X146" s="693"/>
      <c r="Y146" s="671"/>
      <c r="Z146" s="673"/>
      <c r="AA146" s="672"/>
      <c r="AB146" s="695"/>
      <c r="AC146" s="673"/>
      <c r="AD146" s="673"/>
      <c r="AE146" s="673"/>
      <c r="AF146" s="673"/>
      <c r="AG146" s="673"/>
      <c r="AH146" s="673"/>
      <c r="AI146" s="673"/>
      <c r="AJ146" s="673"/>
      <c r="AK146" s="673"/>
      <c r="AL146" s="673"/>
      <c r="AM146" s="673"/>
      <c r="AN146" s="673"/>
      <c r="AO146" s="673"/>
      <c r="AP146" s="673"/>
      <c r="AQ146" s="673"/>
      <c r="AR146" s="673"/>
      <c r="AS146" s="673"/>
      <c r="AT146" s="696"/>
    </row>
    <row r="147" ht="15.75" customHeight="1">
      <c r="A147" s="653"/>
      <c r="B147" s="654"/>
      <c r="C147" s="691"/>
      <c r="D147" s="656"/>
      <c r="E147" s="657"/>
      <c r="F147" s="658"/>
      <c r="G147" s="659"/>
      <c r="H147" s="660"/>
      <c r="I147" s="659"/>
      <c r="J147" s="661"/>
      <c r="K147" s="692"/>
      <c r="L147" s="645"/>
      <c r="M147" s="663"/>
      <c r="N147" s="665"/>
      <c r="O147" s="665"/>
      <c r="P147" s="666"/>
      <c r="Q147" s="667"/>
      <c r="R147" s="668"/>
      <c r="S147" s="693"/>
      <c r="T147" s="694"/>
      <c r="U147" s="694"/>
      <c r="V147" s="693"/>
      <c r="W147" s="693"/>
      <c r="X147" s="693"/>
      <c r="Y147" s="671"/>
      <c r="Z147" s="673"/>
      <c r="AA147" s="672"/>
      <c r="AB147" s="695"/>
      <c r="AC147" s="673"/>
      <c r="AD147" s="673"/>
      <c r="AE147" s="673"/>
      <c r="AF147" s="673"/>
      <c r="AG147" s="673"/>
      <c r="AH147" s="673"/>
      <c r="AI147" s="673"/>
      <c r="AJ147" s="673"/>
      <c r="AK147" s="673"/>
      <c r="AL147" s="673"/>
      <c r="AM147" s="673"/>
      <c r="AN147" s="673"/>
      <c r="AO147" s="673"/>
      <c r="AP147" s="673"/>
      <c r="AQ147" s="673"/>
      <c r="AR147" s="673"/>
      <c r="AS147" s="673"/>
      <c r="AT147" s="696"/>
    </row>
    <row r="148" ht="15.75" customHeight="1">
      <c r="A148" s="653"/>
      <c r="B148" s="654"/>
      <c r="C148" s="691"/>
      <c r="D148" s="656"/>
      <c r="E148" s="657"/>
      <c r="F148" s="658"/>
      <c r="G148" s="659"/>
      <c r="H148" s="660"/>
      <c r="I148" s="659"/>
      <c r="J148" s="661"/>
      <c r="K148" s="692"/>
      <c r="L148" s="645"/>
      <c r="M148" s="663"/>
      <c r="N148" s="665"/>
      <c r="O148" s="665"/>
      <c r="P148" s="666"/>
      <c r="Q148" s="667"/>
      <c r="R148" s="668"/>
      <c r="S148" s="693"/>
      <c r="T148" s="694"/>
      <c r="U148" s="694"/>
      <c r="V148" s="693"/>
      <c r="W148" s="693"/>
      <c r="X148" s="693"/>
      <c r="Y148" s="671"/>
      <c r="Z148" s="673"/>
      <c r="AA148" s="672"/>
      <c r="AB148" s="695"/>
      <c r="AC148" s="673"/>
      <c r="AD148" s="673"/>
      <c r="AE148" s="673"/>
      <c r="AF148" s="673"/>
      <c r="AG148" s="673"/>
      <c r="AH148" s="673"/>
      <c r="AI148" s="673"/>
      <c r="AJ148" s="673"/>
      <c r="AK148" s="673"/>
      <c r="AL148" s="673"/>
      <c r="AM148" s="673"/>
      <c r="AN148" s="673"/>
      <c r="AO148" s="673"/>
      <c r="AP148" s="673"/>
      <c r="AQ148" s="673"/>
      <c r="AR148" s="673"/>
      <c r="AS148" s="673"/>
      <c r="AT148" s="696"/>
    </row>
    <row r="149" ht="15.75" customHeight="1">
      <c r="A149" s="653"/>
      <c r="B149" s="654"/>
      <c r="C149" s="691"/>
      <c r="D149" s="656"/>
      <c r="E149" s="657"/>
      <c r="F149" s="658"/>
      <c r="G149" s="659"/>
      <c r="H149" s="660"/>
      <c r="I149" s="659"/>
      <c r="J149" s="661"/>
      <c r="K149" s="692"/>
      <c r="L149" s="645"/>
      <c r="M149" s="663"/>
      <c r="N149" s="665"/>
      <c r="O149" s="665"/>
      <c r="P149" s="666"/>
      <c r="Q149" s="667"/>
      <c r="R149" s="668"/>
      <c r="S149" s="693"/>
      <c r="T149" s="694"/>
      <c r="U149" s="694"/>
      <c r="V149" s="693"/>
      <c r="W149" s="693"/>
      <c r="X149" s="693"/>
      <c r="Y149" s="671"/>
      <c r="Z149" s="673"/>
      <c r="AA149" s="672"/>
      <c r="AB149" s="695"/>
      <c r="AC149" s="673"/>
      <c r="AD149" s="673"/>
      <c r="AE149" s="673"/>
      <c r="AF149" s="673"/>
      <c r="AG149" s="673"/>
      <c r="AH149" s="673"/>
      <c r="AI149" s="673"/>
      <c r="AJ149" s="673"/>
      <c r="AK149" s="673"/>
      <c r="AL149" s="673"/>
      <c r="AM149" s="673"/>
      <c r="AN149" s="673"/>
      <c r="AO149" s="673"/>
      <c r="AP149" s="673"/>
      <c r="AQ149" s="673"/>
      <c r="AR149" s="673"/>
      <c r="AS149" s="673"/>
      <c r="AT149" s="696"/>
    </row>
    <row r="150" ht="15.75" customHeight="1">
      <c r="A150" s="653"/>
      <c r="B150" s="654"/>
      <c r="C150" s="691"/>
      <c r="D150" s="656"/>
      <c r="E150" s="657"/>
      <c r="F150" s="658"/>
      <c r="G150" s="659"/>
      <c r="H150" s="660"/>
      <c r="I150" s="659"/>
      <c r="J150" s="661"/>
      <c r="K150" s="692"/>
      <c r="L150" s="645"/>
      <c r="M150" s="663"/>
      <c r="N150" s="665"/>
      <c r="O150" s="665"/>
      <c r="P150" s="666"/>
      <c r="Q150" s="667"/>
      <c r="R150" s="668"/>
      <c r="S150" s="693"/>
      <c r="T150" s="694"/>
      <c r="U150" s="694"/>
      <c r="V150" s="693"/>
      <c r="W150" s="693"/>
      <c r="X150" s="693"/>
      <c r="Y150" s="671"/>
      <c r="Z150" s="673"/>
      <c r="AA150" s="672"/>
      <c r="AB150" s="695"/>
      <c r="AC150" s="673"/>
      <c r="AD150" s="673"/>
      <c r="AE150" s="673"/>
      <c r="AF150" s="673"/>
      <c r="AG150" s="673"/>
      <c r="AH150" s="673"/>
      <c r="AI150" s="673"/>
      <c r="AJ150" s="673"/>
      <c r="AK150" s="673"/>
      <c r="AL150" s="673"/>
      <c r="AM150" s="673"/>
      <c r="AN150" s="673"/>
      <c r="AO150" s="673"/>
      <c r="AP150" s="673"/>
      <c r="AQ150" s="673"/>
      <c r="AR150" s="673"/>
      <c r="AS150" s="673"/>
      <c r="AT150" s="696"/>
    </row>
    <row r="151" ht="15.75" customHeight="1">
      <c r="A151" s="653"/>
      <c r="B151" s="654"/>
      <c r="C151" s="691"/>
      <c r="D151" s="656"/>
      <c r="E151" s="657"/>
      <c r="F151" s="658"/>
      <c r="G151" s="659"/>
      <c r="H151" s="660"/>
      <c r="I151" s="659"/>
      <c r="J151" s="661"/>
      <c r="K151" s="692"/>
      <c r="L151" s="645"/>
      <c r="M151" s="663"/>
      <c r="N151" s="665"/>
      <c r="O151" s="665"/>
      <c r="P151" s="666"/>
      <c r="Q151" s="667"/>
      <c r="R151" s="668"/>
      <c r="S151" s="693"/>
      <c r="T151" s="694"/>
      <c r="U151" s="694"/>
      <c r="V151" s="693"/>
      <c r="W151" s="693"/>
      <c r="X151" s="693"/>
      <c r="Y151" s="671"/>
      <c r="Z151" s="673"/>
      <c r="AA151" s="672"/>
      <c r="AB151" s="695"/>
      <c r="AC151" s="673"/>
      <c r="AD151" s="673"/>
      <c r="AE151" s="673"/>
      <c r="AF151" s="673"/>
      <c r="AG151" s="673"/>
      <c r="AH151" s="673"/>
      <c r="AI151" s="673"/>
      <c r="AJ151" s="673"/>
      <c r="AK151" s="673"/>
      <c r="AL151" s="673"/>
      <c r="AM151" s="673"/>
      <c r="AN151" s="673"/>
      <c r="AO151" s="673"/>
      <c r="AP151" s="673"/>
      <c r="AQ151" s="673"/>
      <c r="AR151" s="673"/>
      <c r="AS151" s="673"/>
      <c r="AT151" s="696"/>
    </row>
    <row r="152" ht="15.75" customHeight="1">
      <c r="A152" s="653"/>
      <c r="B152" s="654"/>
      <c r="C152" s="691"/>
      <c r="D152" s="656"/>
      <c r="E152" s="657"/>
      <c r="F152" s="658"/>
      <c r="G152" s="659"/>
      <c r="H152" s="660"/>
      <c r="I152" s="659"/>
      <c r="J152" s="661"/>
      <c r="K152" s="692"/>
      <c r="L152" s="645"/>
      <c r="M152" s="663"/>
      <c r="N152" s="665"/>
      <c r="O152" s="665"/>
      <c r="P152" s="666"/>
      <c r="Q152" s="667"/>
      <c r="R152" s="668"/>
      <c r="S152" s="693"/>
      <c r="T152" s="694"/>
      <c r="U152" s="694"/>
      <c r="V152" s="693"/>
      <c r="W152" s="693"/>
      <c r="X152" s="693"/>
      <c r="Y152" s="671"/>
      <c r="Z152" s="673"/>
      <c r="AA152" s="672"/>
      <c r="AB152" s="695"/>
      <c r="AC152" s="673"/>
      <c r="AD152" s="673"/>
      <c r="AE152" s="673"/>
      <c r="AF152" s="673"/>
      <c r="AG152" s="673"/>
      <c r="AH152" s="673"/>
      <c r="AI152" s="673"/>
      <c r="AJ152" s="673"/>
      <c r="AK152" s="673"/>
      <c r="AL152" s="673"/>
      <c r="AM152" s="673"/>
      <c r="AN152" s="673"/>
      <c r="AO152" s="673"/>
      <c r="AP152" s="673"/>
      <c r="AQ152" s="673"/>
      <c r="AR152" s="673"/>
      <c r="AS152" s="673"/>
      <c r="AT152" s="696"/>
    </row>
    <row r="153" ht="15.75" customHeight="1">
      <c r="A153" s="653"/>
      <c r="B153" s="654"/>
      <c r="C153" s="691"/>
      <c r="D153" s="656"/>
      <c r="E153" s="657"/>
      <c r="F153" s="658"/>
      <c r="G153" s="659"/>
      <c r="H153" s="660"/>
      <c r="I153" s="659"/>
      <c r="J153" s="661"/>
      <c r="K153" s="692"/>
      <c r="L153" s="645"/>
      <c r="M153" s="663"/>
      <c r="N153" s="665"/>
      <c r="O153" s="665"/>
      <c r="P153" s="666"/>
      <c r="Q153" s="667"/>
      <c r="R153" s="668"/>
      <c r="S153" s="693"/>
      <c r="T153" s="694"/>
      <c r="U153" s="694"/>
      <c r="V153" s="693"/>
      <c r="W153" s="693"/>
      <c r="X153" s="693"/>
      <c r="Y153" s="671"/>
      <c r="Z153" s="673"/>
      <c r="AA153" s="672"/>
      <c r="AB153" s="695"/>
      <c r="AC153" s="673"/>
      <c r="AD153" s="673"/>
      <c r="AE153" s="673"/>
      <c r="AF153" s="673"/>
      <c r="AG153" s="673"/>
      <c r="AH153" s="673"/>
      <c r="AI153" s="673"/>
      <c r="AJ153" s="673"/>
      <c r="AK153" s="673"/>
      <c r="AL153" s="673"/>
      <c r="AM153" s="673"/>
      <c r="AN153" s="673"/>
      <c r="AO153" s="673"/>
      <c r="AP153" s="673"/>
      <c r="AQ153" s="673"/>
      <c r="AR153" s="673"/>
      <c r="AS153" s="673"/>
      <c r="AT153" s="696"/>
    </row>
    <row r="154" ht="15.75" customHeight="1">
      <c r="A154" s="653"/>
      <c r="B154" s="654"/>
      <c r="C154" s="691"/>
      <c r="D154" s="656"/>
      <c r="E154" s="657"/>
      <c r="F154" s="658"/>
      <c r="G154" s="659"/>
      <c r="H154" s="660"/>
      <c r="I154" s="659"/>
      <c r="J154" s="661"/>
      <c r="K154" s="692"/>
      <c r="L154" s="645"/>
      <c r="M154" s="663"/>
      <c r="N154" s="665"/>
      <c r="O154" s="665"/>
      <c r="P154" s="666"/>
      <c r="Q154" s="667"/>
      <c r="R154" s="668"/>
      <c r="S154" s="693"/>
      <c r="T154" s="694"/>
      <c r="U154" s="694"/>
      <c r="V154" s="693"/>
      <c r="W154" s="693"/>
      <c r="X154" s="693"/>
      <c r="Y154" s="671"/>
      <c r="Z154" s="673"/>
      <c r="AA154" s="672"/>
      <c r="AB154" s="695"/>
      <c r="AC154" s="673"/>
      <c r="AD154" s="673"/>
      <c r="AE154" s="673"/>
      <c r="AF154" s="673"/>
      <c r="AG154" s="673"/>
      <c r="AH154" s="673"/>
      <c r="AI154" s="673"/>
      <c r="AJ154" s="673"/>
      <c r="AK154" s="673"/>
      <c r="AL154" s="673"/>
      <c r="AM154" s="673"/>
      <c r="AN154" s="673"/>
      <c r="AO154" s="673"/>
      <c r="AP154" s="673"/>
      <c r="AQ154" s="673"/>
      <c r="AR154" s="673"/>
      <c r="AS154" s="673"/>
      <c r="AT154" s="696"/>
    </row>
    <row r="155" ht="15.75" customHeight="1">
      <c r="A155" s="653"/>
      <c r="B155" s="654"/>
      <c r="C155" s="691"/>
      <c r="D155" s="656"/>
      <c r="E155" s="657"/>
      <c r="F155" s="658"/>
      <c r="G155" s="659"/>
      <c r="H155" s="660"/>
      <c r="I155" s="659"/>
      <c r="J155" s="661"/>
      <c r="K155" s="692"/>
      <c r="L155" s="645"/>
      <c r="M155" s="663"/>
      <c r="N155" s="665"/>
      <c r="O155" s="665"/>
      <c r="P155" s="666"/>
      <c r="Q155" s="667"/>
      <c r="R155" s="668"/>
      <c r="S155" s="693"/>
      <c r="T155" s="694"/>
      <c r="U155" s="694"/>
      <c r="V155" s="693"/>
      <c r="W155" s="693"/>
      <c r="X155" s="693"/>
      <c r="Y155" s="671"/>
      <c r="Z155" s="673"/>
      <c r="AA155" s="672"/>
      <c r="AB155" s="695"/>
      <c r="AC155" s="673"/>
      <c r="AD155" s="673"/>
      <c r="AE155" s="673"/>
      <c r="AF155" s="673"/>
      <c r="AG155" s="673"/>
      <c r="AH155" s="673"/>
      <c r="AI155" s="673"/>
      <c r="AJ155" s="673"/>
      <c r="AK155" s="673"/>
      <c r="AL155" s="673"/>
      <c r="AM155" s="673"/>
      <c r="AN155" s="673"/>
      <c r="AO155" s="673"/>
      <c r="AP155" s="673"/>
      <c r="AQ155" s="673"/>
      <c r="AR155" s="673"/>
      <c r="AS155" s="673"/>
      <c r="AT155" s="696"/>
    </row>
    <row r="156" ht="15.75" customHeight="1">
      <c r="A156" s="653"/>
      <c r="B156" s="654"/>
      <c r="C156" s="691"/>
      <c r="D156" s="656"/>
      <c r="E156" s="657"/>
      <c r="F156" s="658"/>
      <c r="G156" s="659"/>
      <c r="H156" s="660"/>
      <c r="I156" s="659"/>
      <c r="J156" s="661"/>
      <c r="K156" s="692"/>
      <c r="L156" s="645"/>
      <c r="M156" s="663"/>
      <c r="N156" s="665"/>
      <c r="O156" s="665"/>
      <c r="P156" s="666"/>
      <c r="Q156" s="667"/>
      <c r="R156" s="668"/>
      <c r="S156" s="693"/>
      <c r="T156" s="694"/>
      <c r="U156" s="694"/>
      <c r="V156" s="693"/>
      <c r="W156" s="693"/>
      <c r="X156" s="693"/>
      <c r="Y156" s="671"/>
      <c r="Z156" s="673"/>
      <c r="AA156" s="672"/>
      <c r="AB156" s="695"/>
      <c r="AC156" s="673"/>
      <c r="AD156" s="673"/>
      <c r="AE156" s="673"/>
      <c r="AF156" s="673"/>
      <c r="AG156" s="673"/>
      <c r="AH156" s="673"/>
      <c r="AI156" s="673"/>
      <c r="AJ156" s="673"/>
      <c r="AK156" s="673"/>
      <c r="AL156" s="673"/>
      <c r="AM156" s="673"/>
      <c r="AN156" s="673"/>
      <c r="AO156" s="673"/>
      <c r="AP156" s="673"/>
      <c r="AQ156" s="673"/>
      <c r="AR156" s="673"/>
      <c r="AS156" s="673"/>
      <c r="AT156" s="696"/>
    </row>
    <row r="157" ht="15.75" customHeight="1">
      <c r="A157" s="653"/>
      <c r="B157" s="654"/>
      <c r="C157" s="691"/>
      <c r="D157" s="656"/>
      <c r="E157" s="657"/>
      <c r="F157" s="658"/>
      <c r="G157" s="659"/>
      <c r="H157" s="660"/>
      <c r="I157" s="659"/>
      <c r="J157" s="661"/>
      <c r="K157" s="692"/>
      <c r="L157" s="645"/>
      <c r="M157" s="663"/>
      <c r="N157" s="665"/>
      <c r="O157" s="665"/>
      <c r="P157" s="666"/>
      <c r="Q157" s="667"/>
      <c r="R157" s="668"/>
      <c r="S157" s="693"/>
      <c r="T157" s="694"/>
      <c r="U157" s="694"/>
      <c r="V157" s="693"/>
      <c r="W157" s="693"/>
      <c r="X157" s="693"/>
      <c r="Y157" s="671"/>
      <c r="Z157" s="673"/>
      <c r="AA157" s="672"/>
      <c r="AB157" s="695"/>
      <c r="AC157" s="673"/>
      <c r="AD157" s="673"/>
      <c r="AE157" s="673"/>
      <c r="AF157" s="673"/>
      <c r="AG157" s="673"/>
      <c r="AH157" s="673"/>
      <c r="AI157" s="673"/>
      <c r="AJ157" s="673"/>
      <c r="AK157" s="673"/>
      <c r="AL157" s="673"/>
      <c r="AM157" s="673"/>
      <c r="AN157" s="673"/>
      <c r="AO157" s="673"/>
      <c r="AP157" s="673"/>
      <c r="AQ157" s="673"/>
      <c r="AR157" s="673"/>
      <c r="AS157" s="673"/>
      <c r="AT157" s="696"/>
    </row>
    <row r="158" ht="15.75" customHeight="1">
      <c r="A158" s="653"/>
      <c r="B158" s="654"/>
      <c r="C158" s="691"/>
      <c r="D158" s="656"/>
      <c r="E158" s="657"/>
      <c r="F158" s="658"/>
      <c r="G158" s="659"/>
      <c r="H158" s="660"/>
      <c r="I158" s="659"/>
      <c r="J158" s="661"/>
      <c r="K158" s="692"/>
      <c r="L158" s="645"/>
      <c r="M158" s="663"/>
      <c r="N158" s="665"/>
      <c r="O158" s="665"/>
      <c r="P158" s="666"/>
      <c r="Q158" s="667"/>
      <c r="R158" s="668"/>
      <c r="S158" s="693"/>
      <c r="T158" s="694"/>
      <c r="U158" s="694"/>
      <c r="V158" s="693"/>
      <c r="W158" s="693"/>
      <c r="X158" s="693"/>
      <c r="Y158" s="671"/>
      <c r="Z158" s="673"/>
      <c r="AA158" s="672"/>
      <c r="AB158" s="695"/>
      <c r="AC158" s="673"/>
      <c r="AD158" s="673"/>
      <c r="AE158" s="673"/>
      <c r="AF158" s="673"/>
      <c r="AG158" s="673"/>
      <c r="AH158" s="673"/>
      <c r="AI158" s="673"/>
      <c r="AJ158" s="673"/>
      <c r="AK158" s="673"/>
      <c r="AL158" s="673"/>
      <c r="AM158" s="673"/>
      <c r="AN158" s="673"/>
      <c r="AO158" s="673"/>
      <c r="AP158" s="673"/>
      <c r="AQ158" s="673"/>
      <c r="AR158" s="673"/>
      <c r="AS158" s="673"/>
      <c r="AT158" s="696"/>
    </row>
    <row r="159" ht="15.75" customHeight="1">
      <c r="A159" s="653"/>
      <c r="B159" s="654"/>
      <c r="C159" s="691"/>
      <c r="D159" s="656"/>
      <c r="E159" s="657"/>
      <c r="F159" s="658"/>
      <c r="G159" s="659"/>
      <c r="H159" s="660"/>
      <c r="I159" s="659"/>
      <c r="J159" s="661"/>
      <c r="K159" s="692"/>
      <c r="L159" s="645"/>
      <c r="M159" s="663"/>
      <c r="N159" s="665"/>
      <c r="O159" s="665"/>
      <c r="P159" s="666"/>
      <c r="Q159" s="667"/>
      <c r="R159" s="668"/>
      <c r="S159" s="693"/>
      <c r="T159" s="694"/>
      <c r="U159" s="694"/>
      <c r="V159" s="693"/>
      <c r="W159" s="693"/>
      <c r="X159" s="693"/>
      <c r="Y159" s="671"/>
      <c r="Z159" s="673"/>
      <c r="AA159" s="672"/>
      <c r="AB159" s="695"/>
      <c r="AC159" s="673"/>
      <c r="AD159" s="673"/>
      <c r="AE159" s="673"/>
      <c r="AF159" s="673"/>
      <c r="AG159" s="673"/>
      <c r="AH159" s="673"/>
      <c r="AI159" s="673"/>
      <c r="AJ159" s="673"/>
      <c r="AK159" s="673"/>
      <c r="AL159" s="673"/>
      <c r="AM159" s="673"/>
      <c r="AN159" s="673"/>
      <c r="AO159" s="673"/>
      <c r="AP159" s="673"/>
      <c r="AQ159" s="673"/>
      <c r="AR159" s="673"/>
      <c r="AS159" s="673"/>
      <c r="AT159" s="696"/>
    </row>
    <row r="160" ht="15.75" customHeight="1">
      <c r="A160" s="653"/>
      <c r="B160" s="654"/>
      <c r="C160" s="691"/>
      <c r="D160" s="656"/>
      <c r="E160" s="657"/>
      <c r="F160" s="658"/>
      <c r="G160" s="659"/>
      <c r="H160" s="660"/>
      <c r="I160" s="659"/>
      <c r="J160" s="661"/>
      <c r="K160" s="692"/>
      <c r="L160" s="645"/>
      <c r="M160" s="663"/>
      <c r="N160" s="665"/>
      <c r="O160" s="665"/>
      <c r="P160" s="666"/>
      <c r="Q160" s="667"/>
      <c r="R160" s="668"/>
      <c r="S160" s="693"/>
      <c r="T160" s="694"/>
      <c r="U160" s="694"/>
      <c r="V160" s="693"/>
      <c r="W160" s="693"/>
      <c r="X160" s="693"/>
      <c r="Y160" s="671"/>
      <c r="Z160" s="673"/>
      <c r="AA160" s="672"/>
      <c r="AB160" s="695"/>
      <c r="AC160" s="673"/>
      <c r="AD160" s="673"/>
      <c r="AE160" s="673"/>
      <c r="AF160" s="673"/>
      <c r="AG160" s="673"/>
      <c r="AH160" s="673"/>
      <c r="AI160" s="673"/>
      <c r="AJ160" s="673"/>
      <c r="AK160" s="673"/>
      <c r="AL160" s="673"/>
      <c r="AM160" s="673"/>
      <c r="AN160" s="673"/>
      <c r="AO160" s="673"/>
      <c r="AP160" s="673"/>
      <c r="AQ160" s="673"/>
      <c r="AR160" s="673"/>
      <c r="AS160" s="673"/>
      <c r="AT160" s="696"/>
    </row>
    <row r="161" ht="15.75" customHeight="1">
      <c r="A161" s="653"/>
      <c r="B161" s="654"/>
      <c r="C161" s="691"/>
      <c r="D161" s="656"/>
      <c r="E161" s="657"/>
      <c r="F161" s="658"/>
      <c r="G161" s="659"/>
      <c r="H161" s="660"/>
      <c r="I161" s="659"/>
      <c r="J161" s="661"/>
      <c r="K161" s="692"/>
      <c r="L161" s="645"/>
      <c r="M161" s="663"/>
      <c r="N161" s="665"/>
      <c r="O161" s="665"/>
      <c r="P161" s="666"/>
      <c r="Q161" s="667"/>
      <c r="R161" s="668"/>
      <c r="S161" s="693"/>
      <c r="T161" s="694"/>
      <c r="U161" s="694"/>
      <c r="V161" s="693"/>
      <c r="W161" s="693"/>
      <c r="X161" s="693"/>
      <c r="Y161" s="671"/>
      <c r="Z161" s="673"/>
      <c r="AA161" s="672"/>
      <c r="AB161" s="695"/>
      <c r="AC161" s="673"/>
      <c r="AD161" s="673"/>
      <c r="AE161" s="673"/>
      <c r="AF161" s="673"/>
      <c r="AG161" s="673"/>
      <c r="AH161" s="673"/>
      <c r="AI161" s="673"/>
      <c r="AJ161" s="673"/>
      <c r="AK161" s="673"/>
      <c r="AL161" s="673"/>
      <c r="AM161" s="673"/>
      <c r="AN161" s="673"/>
      <c r="AO161" s="673"/>
      <c r="AP161" s="673"/>
      <c r="AQ161" s="673"/>
      <c r="AR161" s="673"/>
      <c r="AS161" s="673"/>
      <c r="AT161" s="696"/>
    </row>
    <row r="162" ht="15.75" customHeight="1">
      <c r="A162" s="653"/>
      <c r="B162" s="654"/>
      <c r="C162" s="691"/>
      <c r="D162" s="656"/>
      <c r="E162" s="657"/>
      <c r="F162" s="658"/>
      <c r="G162" s="659"/>
      <c r="H162" s="660"/>
      <c r="I162" s="659"/>
      <c r="J162" s="661"/>
      <c r="K162" s="692"/>
      <c r="L162" s="645"/>
      <c r="M162" s="663"/>
      <c r="N162" s="665"/>
      <c r="O162" s="665"/>
      <c r="P162" s="666"/>
      <c r="Q162" s="667"/>
      <c r="R162" s="668"/>
      <c r="S162" s="693"/>
      <c r="T162" s="694"/>
      <c r="U162" s="694"/>
      <c r="V162" s="693"/>
      <c r="W162" s="693"/>
      <c r="X162" s="693"/>
      <c r="Y162" s="671"/>
      <c r="Z162" s="673"/>
      <c r="AA162" s="672"/>
      <c r="AB162" s="695"/>
      <c r="AC162" s="673"/>
      <c r="AD162" s="673"/>
      <c r="AE162" s="673"/>
      <c r="AF162" s="673"/>
      <c r="AG162" s="673"/>
      <c r="AH162" s="673"/>
      <c r="AI162" s="673"/>
      <c r="AJ162" s="673"/>
      <c r="AK162" s="673"/>
      <c r="AL162" s="673"/>
      <c r="AM162" s="673"/>
      <c r="AN162" s="673"/>
      <c r="AO162" s="673"/>
      <c r="AP162" s="673"/>
      <c r="AQ162" s="673"/>
      <c r="AR162" s="673"/>
      <c r="AS162" s="673"/>
      <c r="AT162" s="696"/>
    </row>
    <row r="163" ht="15.75" customHeight="1">
      <c r="A163" s="653"/>
      <c r="B163" s="654"/>
      <c r="C163" s="691"/>
      <c r="D163" s="656"/>
      <c r="E163" s="657"/>
      <c r="F163" s="658"/>
      <c r="G163" s="659"/>
      <c r="H163" s="660"/>
      <c r="I163" s="659"/>
      <c r="J163" s="661"/>
      <c r="K163" s="692"/>
      <c r="L163" s="645"/>
      <c r="M163" s="663"/>
      <c r="N163" s="665"/>
      <c r="O163" s="665"/>
      <c r="P163" s="666"/>
      <c r="Q163" s="667"/>
      <c r="R163" s="668"/>
      <c r="S163" s="693"/>
      <c r="T163" s="694"/>
      <c r="U163" s="694"/>
      <c r="V163" s="693"/>
      <c r="W163" s="693"/>
      <c r="X163" s="693"/>
      <c r="Y163" s="671"/>
      <c r="Z163" s="673"/>
      <c r="AA163" s="672"/>
      <c r="AB163" s="695"/>
      <c r="AC163" s="673"/>
      <c r="AD163" s="673"/>
      <c r="AE163" s="673"/>
      <c r="AF163" s="673"/>
      <c r="AG163" s="673"/>
      <c r="AH163" s="673"/>
      <c r="AI163" s="673"/>
      <c r="AJ163" s="673"/>
      <c r="AK163" s="673"/>
      <c r="AL163" s="673"/>
      <c r="AM163" s="673"/>
      <c r="AN163" s="673"/>
      <c r="AO163" s="673"/>
      <c r="AP163" s="673"/>
      <c r="AQ163" s="673"/>
      <c r="AR163" s="673"/>
      <c r="AS163" s="673"/>
      <c r="AT163" s="696"/>
    </row>
    <row r="164" ht="15.75" customHeight="1">
      <c r="A164" s="653"/>
      <c r="B164" s="654"/>
      <c r="C164" s="691"/>
      <c r="D164" s="656"/>
      <c r="E164" s="657"/>
      <c r="F164" s="658"/>
      <c r="G164" s="659"/>
      <c r="H164" s="660"/>
      <c r="I164" s="659"/>
      <c r="J164" s="661"/>
      <c r="K164" s="692"/>
      <c r="L164" s="645"/>
      <c r="M164" s="663"/>
      <c r="N164" s="665"/>
      <c r="O164" s="665"/>
      <c r="P164" s="666"/>
      <c r="Q164" s="667"/>
      <c r="R164" s="668"/>
      <c r="S164" s="693"/>
      <c r="T164" s="694"/>
      <c r="U164" s="694"/>
      <c r="V164" s="693"/>
      <c r="W164" s="693"/>
      <c r="X164" s="693"/>
      <c r="Y164" s="671"/>
      <c r="Z164" s="673"/>
      <c r="AA164" s="672"/>
      <c r="AB164" s="695"/>
      <c r="AC164" s="673"/>
      <c r="AD164" s="673"/>
      <c r="AE164" s="673"/>
      <c r="AF164" s="673"/>
      <c r="AG164" s="673"/>
      <c r="AH164" s="673"/>
      <c r="AI164" s="673"/>
      <c r="AJ164" s="673"/>
      <c r="AK164" s="673"/>
      <c r="AL164" s="673"/>
      <c r="AM164" s="673"/>
      <c r="AN164" s="673"/>
      <c r="AO164" s="673"/>
      <c r="AP164" s="673"/>
      <c r="AQ164" s="673"/>
      <c r="AR164" s="673"/>
      <c r="AS164" s="673"/>
      <c r="AT164" s="696"/>
    </row>
    <row r="165" ht="15.75" customHeight="1">
      <c r="A165" s="653"/>
      <c r="B165" s="654"/>
      <c r="C165" s="691"/>
      <c r="D165" s="656"/>
      <c r="E165" s="657"/>
      <c r="F165" s="658"/>
      <c r="G165" s="659"/>
      <c r="H165" s="660"/>
      <c r="I165" s="659"/>
      <c r="J165" s="661"/>
      <c r="K165" s="692"/>
      <c r="L165" s="645"/>
      <c r="M165" s="663"/>
      <c r="N165" s="665"/>
      <c r="O165" s="665"/>
      <c r="P165" s="666"/>
      <c r="Q165" s="667"/>
      <c r="R165" s="668"/>
      <c r="S165" s="693"/>
      <c r="T165" s="694"/>
      <c r="U165" s="694"/>
      <c r="V165" s="693"/>
      <c r="W165" s="693"/>
      <c r="X165" s="693"/>
      <c r="Y165" s="671"/>
      <c r="Z165" s="673"/>
      <c r="AA165" s="672"/>
      <c r="AB165" s="695"/>
      <c r="AC165" s="673"/>
      <c r="AD165" s="673"/>
      <c r="AE165" s="673"/>
      <c r="AF165" s="673"/>
      <c r="AG165" s="673"/>
      <c r="AH165" s="673"/>
      <c r="AI165" s="673"/>
      <c r="AJ165" s="673"/>
      <c r="AK165" s="673"/>
      <c r="AL165" s="673"/>
      <c r="AM165" s="673"/>
      <c r="AN165" s="673"/>
      <c r="AO165" s="673"/>
      <c r="AP165" s="673"/>
      <c r="AQ165" s="673"/>
      <c r="AR165" s="673"/>
      <c r="AS165" s="673"/>
      <c r="AT165" s="696"/>
    </row>
    <row r="166" ht="15.75" customHeight="1">
      <c r="A166" s="653"/>
      <c r="B166" s="654"/>
      <c r="C166" s="691"/>
      <c r="D166" s="656"/>
      <c r="E166" s="657"/>
      <c r="F166" s="658"/>
      <c r="G166" s="659"/>
      <c r="H166" s="660"/>
      <c r="I166" s="659"/>
      <c r="J166" s="661"/>
      <c r="K166" s="692"/>
      <c r="L166" s="645"/>
      <c r="M166" s="663"/>
      <c r="N166" s="665"/>
      <c r="O166" s="665"/>
      <c r="P166" s="666"/>
      <c r="Q166" s="667"/>
      <c r="R166" s="668"/>
      <c r="S166" s="693"/>
      <c r="T166" s="694"/>
      <c r="U166" s="694"/>
      <c r="V166" s="693"/>
      <c r="W166" s="693"/>
      <c r="X166" s="693"/>
      <c r="Y166" s="671"/>
      <c r="Z166" s="673"/>
      <c r="AA166" s="672"/>
      <c r="AB166" s="695"/>
      <c r="AC166" s="673"/>
      <c r="AD166" s="673"/>
      <c r="AE166" s="673"/>
      <c r="AF166" s="673"/>
      <c r="AG166" s="673"/>
      <c r="AH166" s="673"/>
      <c r="AI166" s="673"/>
      <c r="AJ166" s="673"/>
      <c r="AK166" s="673"/>
      <c r="AL166" s="673"/>
      <c r="AM166" s="673"/>
      <c r="AN166" s="673"/>
      <c r="AO166" s="673"/>
      <c r="AP166" s="673"/>
      <c r="AQ166" s="673"/>
      <c r="AR166" s="673"/>
      <c r="AS166" s="673"/>
      <c r="AT166" s="696"/>
    </row>
    <row r="167" ht="15.75" customHeight="1">
      <c r="A167" s="653"/>
      <c r="B167" s="654"/>
      <c r="C167" s="691"/>
      <c r="D167" s="656"/>
      <c r="E167" s="657"/>
      <c r="F167" s="658"/>
      <c r="G167" s="659"/>
      <c r="H167" s="660"/>
      <c r="I167" s="659"/>
      <c r="J167" s="661"/>
      <c r="K167" s="692"/>
      <c r="L167" s="645"/>
      <c r="M167" s="663"/>
      <c r="N167" s="665"/>
      <c r="O167" s="665"/>
      <c r="P167" s="666"/>
      <c r="Q167" s="667"/>
      <c r="R167" s="668"/>
      <c r="S167" s="693"/>
      <c r="T167" s="694"/>
      <c r="U167" s="694"/>
      <c r="V167" s="693"/>
      <c r="W167" s="693"/>
      <c r="X167" s="693"/>
      <c r="Y167" s="671"/>
      <c r="Z167" s="673"/>
      <c r="AA167" s="672"/>
      <c r="AB167" s="695"/>
      <c r="AC167" s="673"/>
      <c r="AD167" s="673"/>
      <c r="AE167" s="673"/>
      <c r="AF167" s="673"/>
      <c r="AG167" s="673"/>
      <c r="AH167" s="673"/>
      <c r="AI167" s="673"/>
      <c r="AJ167" s="673"/>
      <c r="AK167" s="673"/>
      <c r="AL167" s="673"/>
      <c r="AM167" s="673"/>
      <c r="AN167" s="673"/>
      <c r="AO167" s="673"/>
      <c r="AP167" s="673"/>
      <c r="AQ167" s="673"/>
      <c r="AR167" s="673"/>
      <c r="AS167" s="673"/>
      <c r="AT167" s="696"/>
    </row>
    <row r="168" ht="15.75" customHeight="1">
      <c r="A168" s="653"/>
      <c r="B168" s="654"/>
      <c r="C168" s="691"/>
      <c r="D168" s="656"/>
      <c r="E168" s="657"/>
      <c r="F168" s="658"/>
      <c r="G168" s="659"/>
      <c r="H168" s="660"/>
      <c r="I168" s="659"/>
      <c r="J168" s="661"/>
      <c r="K168" s="692"/>
      <c r="L168" s="645"/>
      <c r="M168" s="663"/>
      <c r="N168" s="665"/>
      <c r="O168" s="665"/>
      <c r="P168" s="666"/>
      <c r="Q168" s="667"/>
      <c r="R168" s="668"/>
      <c r="S168" s="693"/>
      <c r="T168" s="694"/>
      <c r="U168" s="694"/>
      <c r="V168" s="693"/>
      <c r="W168" s="693"/>
      <c r="X168" s="693"/>
      <c r="Y168" s="671"/>
      <c r="Z168" s="673"/>
      <c r="AA168" s="672"/>
      <c r="AB168" s="695"/>
      <c r="AC168" s="673"/>
      <c r="AD168" s="673"/>
      <c r="AE168" s="673"/>
      <c r="AF168" s="673"/>
      <c r="AG168" s="673"/>
      <c r="AH168" s="673"/>
      <c r="AI168" s="673"/>
      <c r="AJ168" s="673"/>
      <c r="AK168" s="673"/>
      <c r="AL168" s="673"/>
      <c r="AM168" s="673"/>
      <c r="AN168" s="673"/>
      <c r="AO168" s="673"/>
      <c r="AP168" s="673"/>
      <c r="AQ168" s="673"/>
      <c r="AR168" s="673"/>
      <c r="AS168" s="673"/>
      <c r="AT168" s="696"/>
    </row>
    <row r="169" ht="15.75" customHeight="1">
      <c r="A169" s="653"/>
      <c r="B169" s="654"/>
      <c r="C169" s="691"/>
      <c r="D169" s="656"/>
      <c r="E169" s="657"/>
      <c r="F169" s="658"/>
      <c r="G169" s="659"/>
      <c r="H169" s="660"/>
      <c r="I169" s="659"/>
      <c r="J169" s="661"/>
      <c r="K169" s="692"/>
      <c r="L169" s="645"/>
      <c r="M169" s="663"/>
      <c r="N169" s="665"/>
      <c r="O169" s="665"/>
      <c r="P169" s="666"/>
      <c r="Q169" s="667"/>
      <c r="R169" s="668"/>
      <c r="S169" s="693"/>
      <c r="T169" s="694"/>
      <c r="U169" s="694"/>
      <c r="V169" s="693"/>
      <c r="W169" s="693"/>
      <c r="X169" s="693"/>
      <c r="Y169" s="671"/>
      <c r="Z169" s="673"/>
      <c r="AA169" s="672"/>
      <c r="AB169" s="695"/>
      <c r="AC169" s="673"/>
      <c r="AD169" s="673"/>
      <c r="AE169" s="673"/>
      <c r="AF169" s="673"/>
      <c r="AG169" s="673"/>
      <c r="AH169" s="673"/>
      <c r="AI169" s="673"/>
      <c r="AJ169" s="673"/>
      <c r="AK169" s="673"/>
      <c r="AL169" s="673"/>
      <c r="AM169" s="673"/>
      <c r="AN169" s="673"/>
      <c r="AO169" s="673"/>
      <c r="AP169" s="673"/>
      <c r="AQ169" s="673"/>
      <c r="AR169" s="673"/>
      <c r="AS169" s="673"/>
      <c r="AT169" s="696"/>
    </row>
    <row r="170" ht="15.75" customHeight="1">
      <c r="A170" s="653"/>
      <c r="B170" s="654"/>
      <c r="C170" s="691"/>
      <c r="D170" s="656"/>
      <c r="E170" s="657"/>
      <c r="F170" s="658"/>
      <c r="G170" s="659"/>
      <c r="H170" s="660"/>
      <c r="I170" s="659"/>
      <c r="J170" s="661"/>
      <c r="K170" s="692"/>
      <c r="L170" s="645"/>
      <c r="M170" s="663"/>
      <c r="N170" s="665"/>
      <c r="O170" s="665"/>
      <c r="P170" s="666"/>
      <c r="Q170" s="667"/>
      <c r="R170" s="668"/>
      <c r="S170" s="693"/>
      <c r="T170" s="694"/>
      <c r="U170" s="694"/>
      <c r="V170" s="693"/>
      <c r="W170" s="693"/>
      <c r="X170" s="693"/>
      <c r="Y170" s="671"/>
      <c r="Z170" s="673"/>
      <c r="AA170" s="672"/>
      <c r="AB170" s="695"/>
      <c r="AC170" s="673"/>
      <c r="AD170" s="673"/>
      <c r="AE170" s="673"/>
      <c r="AF170" s="673"/>
      <c r="AG170" s="673"/>
      <c r="AH170" s="673"/>
      <c r="AI170" s="673"/>
      <c r="AJ170" s="673"/>
      <c r="AK170" s="673"/>
      <c r="AL170" s="673"/>
      <c r="AM170" s="673"/>
      <c r="AN170" s="673"/>
      <c r="AO170" s="673"/>
      <c r="AP170" s="673"/>
      <c r="AQ170" s="673"/>
      <c r="AR170" s="673"/>
      <c r="AS170" s="673"/>
      <c r="AT170" s="696"/>
    </row>
    <row r="171" ht="15.75" customHeight="1">
      <c r="A171" s="653"/>
      <c r="B171" s="654"/>
      <c r="C171" s="691"/>
      <c r="D171" s="656"/>
      <c r="E171" s="657"/>
      <c r="F171" s="658"/>
      <c r="G171" s="659"/>
      <c r="H171" s="660"/>
      <c r="I171" s="659"/>
      <c r="J171" s="661"/>
      <c r="K171" s="692"/>
      <c r="L171" s="645"/>
      <c r="M171" s="663"/>
      <c r="N171" s="665"/>
      <c r="O171" s="665"/>
      <c r="P171" s="666"/>
      <c r="Q171" s="667"/>
      <c r="R171" s="668"/>
      <c r="S171" s="693"/>
      <c r="T171" s="694"/>
      <c r="U171" s="694"/>
      <c r="V171" s="693"/>
      <c r="W171" s="693"/>
      <c r="X171" s="693"/>
      <c r="Y171" s="671"/>
      <c r="Z171" s="673"/>
      <c r="AA171" s="672"/>
      <c r="AB171" s="695"/>
      <c r="AC171" s="673"/>
      <c r="AD171" s="673"/>
      <c r="AE171" s="673"/>
      <c r="AF171" s="673"/>
      <c r="AG171" s="673"/>
      <c r="AH171" s="673"/>
      <c r="AI171" s="673"/>
      <c r="AJ171" s="673"/>
      <c r="AK171" s="673"/>
      <c r="AL171" s="673"/>
      <c r="AM171" s="673"/>
      <c r="AN171" s="673"/>
      <c r="AO171" s="673"/>
      <c r="AP171" s="673"/>
      <c r="AQ171" s="673"/>
      <c r="AR171" s="673"/>
      <c r="AS171" s="673"/>
      <c r="AT171" s="696"/>
    </row>
    <row r="172" ht="15.75" customHeight="1">
      <c r="A172" s="653"/>
      <c r="B172" s="654"/>
      <c r="C172" s="691"/>
      <c r="D172" s="656"/>
      <c r="E172" s="657"/>
      <c r="F172" s="658"/>
      <c r="G172" s="659"/>
      <c r="H172" s="660"/>
      <c r="I172" s="659"/>
      <c r="J172" s="661"/>
      <c r="K172" s="692"/>
      <c r="L172" s="645"/>
      <c r="M172" s="663"/>
      <c r="N172" s="665"/>
      <c r="O172" s="665"/>
      <c r="P172" s="666"/>
      <c r="Q172" s="667"/>
      <c r="R172" s="668"/>
      <c r="S172" s="693"/>
      <c r="T172" s="694"/>
      <c r="U172" s="694"/>
      <c r="V172" s="693"/>
      <c r="W172" s="693"/>
      <c r="X172" s="693"/>
      <c r="Y172" s="671"/>
      <c r="Z172" s="673"/>
      <c r="AA172" s="672"/>
      <c r="AB172" s="695"/>
      <c r="AC172" s="673"/>
      <c r="AD172" s="673"/>
      <c r="AE172" s="673"/>
      <c r="AF172" s="673"/>
      <c r="AG172" s="673"/>
      <c r="AH172" s="673"/>
      <c r="AI172" s="673"/>
      <c r="AJ172" s="673"/>
      <c r="AK172" s="673"/>
      <c r="AL172" s="673"/>
      <c r="AM172" s="673"/>
      <c r="AN172" s="673"/>
      <c r="AO172" s="673"/>
      <c r="AP172" s="673"/>
      <c r="AQ172" s="673"/>
      <c r="AR172" s="673"/>
      <c r="AS172" s="673"/>
      <c r="AT172" s="696"/>
    </row>
    <row r="173" ht="15.75" customHeight="1">
      <c r="A173" s="653"/>
      <c r="B173" s="654"/>
      <c r="C173" s="691"/>
      <c r="D173" s="656"/>
      <c r="E173" s="657"/>
      <c r="F173" s="658"/>
      <c r="G173" s="659"/>
      <c r="H173" s="660"/>
      <c r="I173" s="659"/>
      <c r="J173" s="661"/>
      <c r="K173" s="692"/>
      <c r="L173" s="645"/>
      <c r="M173" s="663"/>
      <c r="N173" s="665"/>
      <c r="O173" s="665"/>
      <c r="P173" s="666"/>
      <c r="Q173" s="667"/>
      <c r="R173" s="668"/>
      <c r="S173" s="693"/>
      <c r="T173" s="694"/>
      <c r="U173" s="694"/>
      <c r="V173" s="693"/>
      <c r="W173" s="693"/>
      <c r="X173" s="693"/>
      <c r="Y173" s="671"/>
      <c r="Z173" s="673"/>
      <c r="AA173" s="672"/>
      <c r="AB173" s="695"/>
      <c r="AC173" s="673"/>
      <c r="AD173" s="673"/>
      <c r="AE173" s="673"/>
      <c r="AF173" s="673"/>
      <c r="AG173" s="673"/>
      <c r="AH173" s="673"/>
      <c r="AI173" s="673"/>
      <c r="AJ173" s="673"/>
      <c r="AK173" s="673"/>
      <c r="AL173" s="673"/>
      <c r="AM173" s="673"/>
      <c r="AN173" s="673"/>
      <c r="AO173" s="673"/>
      <c r="AP173" s="673"/>
      <c r="AQ173" s="673"/>
      <c r="AR173" s="673"/>
      <c r="AS173" s="673"/>
      <c r="AT173" s="696"/>
    </row>
    <row r="174" ht="15.75" customHeight="1">
      <c r="A174" s="653"/>
      <c r="B174" s="654"/>
      <c r="C174" s="691"/>
      <c r="D174" s="656"/>
      <c r="E174" s="657"/>
      <c r="F174" s="658"/>
      <c r="G174" s="659"/>
      <c r="H174" s="660"/>
      <c r="I174" s="659"/>
      <c r="J174" s="661"/>
      <c r="K174" s="692"/>
      <c r="L174" s="645"/>
      <c r="M174" s="663"/>
      <c r="N174" s="665"/>
      <c r="O174" s="665"/>
      <c r="P174" s="666"/>
      <c r="Q174" s="667"/>
      <c r="R174" s="668"/>
      <c r="S174" s="693"/>
      <c r="T174" s="694"/>
      <c r="U174" s="694"/>
      <c r="V174" s="693"/>
      <c r="W174" s="693"/>
      <c r="X174" s="693"/>
      <c r="Y174" s="671"/>
      <c r="Z174" s="673"/>
      <c r="AA174" s="672"/>
      <c r="AB174" s="695"/>
      <c r="AC174" s="673"/>
      <c r="AD174" s="673"/>
      <c r="AE174" s="673"/>
      <c r="AF174" s="673"/>
      <c r="AG174" s="673"/>
      <c r="AH174" s="673"/>
      <c r="AI174" s="673"/>
      <c r="AJ174" s="673"/>
      <c r="AK174" s="673"/>
      <c r="AL174" s="673"/>
      <c r="AM174" s="673"/>
      <c r="AN174" s="673"/>
      <c r="AO174" s="673"/>
      <c r="AP174" s="673"/>
      <c r="AQ174" s="673"/>
      <c r="AR174" s="673"/>
      <c r="AS174" s="673"/>
      <c r="AT174" s="696"/>
    </row>
    <row r="175" ht="15.75" customHeight="1">
      <c r="A175" s="653"/>
      <c r="B175" s="654"/>
      <c r="C175" s="691"/>
      <c r="D175" s="656"/>
      <c r="E175" s="657"/>
      <c r="F175" s="658"/>
      <c r="G175" s="659"/>
      <c r="H175" s="660"/>
      <c r="I175" s="659"/>
      <c r="J175" s="661"/>
      <c r="K175" s="692"/>
      <c r="L175" s="645"/>
      <c r="M175" s="663"/>
      <c r="N175" s="665"/>
      <c r="O175" s="665"/>
      <c r="P175" s="666"/>
      <c r="Q175" s="667"/>
      <c r="R175" s="668"/>
      <c r="S175" s="693"/>
      <c r="T175" s="694"/>
      <c r="U175" s="694"/>
      <c r="V175" s="693"/>
      <c r="W175" s="693"/>
      <c r="X175" s="693"/>
      <c r="Y175" s="671"/>
      <c r="Z175" s="673"/>
      <c r="AA175" s="672"/>
      <c r="AB175" s="695"/>
      <c r="AC175" s="673"/>
      <c r="AD175" s="673"/>
      <c r="AE175" s="673"/>
      <c r="AF175" s="673"/>
      <c r="AG175" s="673"/>
      <c r="AH175" s="673"/>
      <c r="AI175" s="673"/>
      <c r="AJ175" s="673"/>
      <c r="AK175" s="673"/>
      <c r="AL175" s="673"/>
      <c r="AM175" s="673"/>
      <c r="AN175" s="673"/>
      <c r="AO175" s="673"/>
      <c r="AP175" s="673"/>
      <c r="AQ175" s="673"/>
      <c r="AR175" s="673"/>
      <c r="AS175" s="673"/>
      <c r="AT175" s="696"/>
    </row>
    <row r="176" ht="15.75" customHeight="1">
      <c r="A176" s="653"/>
      <c r="B176" s="654"/>
      <c r="C176" s="691"/>
      <c r="D176" s="656"/>
      <c r="E176" s="657"/>
      <c r="F176" s="658"/>
      <c r="G176" s="659"/>
      <c r="H176" s="660"/>
      <c r="I176" s="659"/>
      <c r="J176" s="661"/>
      <c r="K176" s="692"/>
      <c r="L176" s="645"/>
      <c r="M176" s="663"/>
      <c r="N176" s="665"/>
      <c r="O176" s="665"/>
      <c r="P176" s="666"/>
      <c r="Q176" s="667"/>
      <c r="R176" s="668"/>
      <c r="S176" s="693"/>
      <c r="T176" s="694"/>
      <c r="U176" s="694"/>
      <c r="V176" s="693"/>
      <c r="W176" s="693"/>
      <c r="X176" s="693"/>
      <c r="Y176" s="671"/>
      <c r="Z176" s="673"/>
      <c r="AA176" s="672"/>
      <c r="AB176" s="695"/>
      <c r="AC176" s="673"/>
      <c r="AD176" s="673"/>
      <c r="AE176" s="673"/>
      <c r="AF176" s="673"/>
      <c r="AG176" s="673"/>
      <c r="AH176" s="673"/>
      <c r="AI176" s="673"/>
      <c r="AJ176" s="673"/>
      <c r="AK176" s="673"/>
      <c r="AL176" s="673"/>
      <c r="AM176" s="673"/>
      <c r="AN176" s="673"/>
      <c r="AO176" s="673"/>
      <c r="AP176" s="673"/>
      <c r="AQ176" s="673"/>
      <c r="AR176" s="673"/>
      <c r="AS176" s="673"/>
      <c r="AT176" s="696"/>
    </row>
    <row r="177" ht="15.75" customHeight="1">
      <c r="A177" s="653"/>
      <c r="B177" s="654"/>
      <c r="C177" s="691"/>
      <c r="D177" s="656"/>
      <c r="E177" s="657"/>
      <c r="F177" s="658"/>
      <c r="G177" s="659"/>
      <c r="H177" s="660"/>
      <c r="I177" s="659"/>
      <c r="J177" s="661"/>
      <c r="K177" s="692"/>
      <c r="L177" s="645"/>
      <c r="M177" s="663"/>
      <c r="N177" s="665"/>
      <c r="O177" s="665"/>
      <c r="P177" s="666"/>
      <c r="Q177" s="667"/>
      <c r="R177" s="668"/>
      <c r="S177" s="693"/>
      <c r="T177" s="694"/>
      <c r="U177" s="694"/>
      <c r="V177" s="693"/>
      <c r="W177" s="693"/>
      <c r="X177" s="693"/>
      <c r="Y177" s="671"/>
      <c r="Z177" s="673"/>
      <c r="AA177" s="672"/>
      <c r="AB177" s="695"/>
      <c r="AC177" s="673"/>
      <c r="AD177" s="673"/>
      <c r="AE177" s="673"/>
      <c r="AF177" s="673"/>
      <c r="AG177" s="673"/>
      <c r="AH177" s="673"/>
      <c r="AI177" s="673"/>
      <c r="AJ177" s="673"/>
      <c r="AK177" s="673"/>
      <c r="AL177" s="673"/>
      <c r="AM177" s="673"/>
      <c r="AN177" s="673"/>
      <c r="AO177" s="673"/>
      <c r="AP177" s="673"/>
      <c r="AQ177" s="673"/>
      <c r="AR177" s="673"/>
      <c r="AS177" s="673"/>
      <c r="AT177" s="696"/>
    </row>
    <row r="178" ht="15.75" customHeight="1">
      <c r="A178" s="653"/>
      <c r="B178" s="654"/>
      <c r="C178" s="691"/>
      <c r="D178" s="656"/>
      <c r="E178" s="657"/>
      <c r="F178" s="658"/>
      <c r="G178" s="659"/>
      <c r="H178" s="660"/>
      <c r="I178" s="659"/>
      <c r="J178" s="661"/>
      <c r="K178" s="692"/>
      <c r="L178" s="645"/>
      <c r="M178" s="663"/>
      <c r="N178" s="665"/>
      <c r="O178" s="665"/>
      <c r="P178" s="666"/>
      <c r="Q178" s="667"/>
      <c r="R178" s="668"/>
      <c r="S178" s="693"/>
      <c r="T178" s="694"/>
      <c r="U178" s="694"/>
      <c r="V178" s="693"/>
      <c r="W178" s="693"/>
      <c r="X178" s="693"/>
      <c r="Y178" s="671"/>
      <c r="Z178" s="673"/>
      <c r="AA178" s="672"/>
      <c r="AB178" s="695"/>
      <c r="AC178" s="673"/>
      <c r="AD178" s="673"/>
      <c r="AE178" s="673"/>
      <c r="AF178" s="673"/>
      <c r="AG178" s="673"/>
      <c r="AH178" s="673"/>
      <c r="AI178" s="673"/>
      <c r="AJ178" s="673"/>
      <c r="AK178" s="673"/>
      <c r="AL178" s="673"/>
      <c r="AM178" s="673"/>
      <c r="AN178" s="673"/>
      <c r="AO178" s="673"/>
      <c r="AP178" s="673"/>
      <c r="AQ178" s="673"/>
      <c r="AR178" s="673"/>
      <c r="AS178" s="673"/>
      <c r="AT178" s="696"/>
    </row>
    <row r="179" ht="15.75" customHeight="1">
      <c r="A179" s="653"/>
      <c r="B179" s="654"/>
      <c r="C179" s="691"/>
      <c r="D179" s="656"/>
      <c r="E179" s="657"/>
      <c r="F179" s="658"/>
      <c r="G179" s="659"/>
      <c r="H179" s="660"/>
      <c r="I179" s="659"/>
      <c r="J179" s="661"/>
      <c r="K179" s="692"/>
      <c r="L179" s="645"/>
      <c r="M179" s="663"/>
      <c r="N179" s="665"/>
      <c r="O179" s="665"/>
      <c r="P179" s="666"/>
      <c r="Q179" s="667"/>
      <c r="R179" s="668"/>
      <c r="S179" s="693"/>
      <c r="T179" s="694"/>
      <c r="U179" s="694"/>
      <c r="V179" s="693"/>
      <c r="W179" s="693"/>
      <c r="X179" s="693"/>
      <c r="Y179" s="671"/>
      <c r="Z179" s="673"/>
      <c r="AA179" s="672"/>
      <c r="AB179" s="695"/>
      <c r="AC179" s="673"/>
      <c r="AD179" s="673"/>
      <c r="AE179" s="673"/>
      <c r="AF179" s="673"/>
      <c r="AG179" s="673"/>
      <c r="AH179" s="673"/>
      <c r="AI179" s="673"/>
      <c r="AJ179" s="673"/>
      <c r="AK179" s="673"/>
      <c r="AL179" s="673"/>
      <c r="AM179" s="673"/>
      <c r="AN179" s="673"/>
      <c r="AO179" s="673"/>
      <c r="AP179" s="673"/>
      <c r="AQ179" s="673"/>
      <c r="AR179" s="673"/>
      <c r="AS179" s="673"/>
      <c r="AT179" s="696"/>
    </row>
    <row r="180" ht="15.75" customHeight="1">
      <c r="A180" s="653"/>
      <c r="B180" s="654"/>
      <c r="C180" s="691"/>
      <c r="D180" s="656"/>
      <c r="E180" s="657"/>
      <c r="F180" s="658"/>
      <c r="G180" s="659"/>
      <c r="H180" s="660"/>
      <c r="I180" s="659"/>
      <c r="J180" s="661"/>
      <c r="K180" s="692"/>
      <c r="L180" s="645"/>
      <c r="M180" s="663"/>
      <c r="N180" s="665"/>
      <c r="O180" s="665"/>
      <c r="P180" s="666"/>
      <c r="Q180" s="667"/>
      <c r="R180" s="668"/>
      <c r="S180" s="693"/>
      <c r="T180" s="694"/>
      <c r="U180" s="694"/>
      <c r="V180" s="693"/>
      <c r="W180" s="693"/>
      <c r="X180" s="693"/>
      <c r="Y180" s="671"/>
      <c r="Z180" s="673"/>
      <c r="AA180" s="672"/>
      <c r="AB180" s="695"/>
      <c r="AC180" s="673"/>
      <c r="AD180" s="673"/>
      <c r="AE180" s="673"/>
      <c r="AF180" s="673"/>
      <c r="AG180" s="673"/>
      <c r="AH180" s="673"/>
      <c r="AI180" s="673"/>
      <c r="AJ180" s="673"/>
      <c r="AK180" s="673"/>
      <c r="AL180" s="673"/>
      <c r="AM180" s="673"/>
      <c r="AN180" s="673"/>
      <c r="AO180" s="673"/>
      <c r="AP180" s="673"/>
      <c r="AQ180" s="673"/>
      <c r="AR180" s="673"/>
      <c r="AS180" s="673"/>
      <c r="AT180" s="696"/>
    </row>
    <row r="181" ht="15.75" customHeight="1">
      <c r="A181" s="653"/>
      <c r="B181" s="654"/>
      <c r="C181" s="691"/>
      <c r="D181" s="656"/>
      <c r="E181" s="657"/>
      <c r="F181" s="658"/>
      <c r="G181" s="659"/>
      <c r="H181" s="660"/>
      <c r="I181" s="659"/>
      <c r="J181" s="661"/>
      <c r="K181" s="692"/>
      <c r="L181" s="645"/>
      <c r="M181" s="663"/>
      <c r="N181" s="665"/>
      <c r="O181" s="665"/>
      <c r="P181" s="666"/>
      <c r="Q181" s="667"/>
      <c r="R181" s="668"/>
      <c r="S181" s="693"/>
      <c r="T181" s="694"/>
      <c r="U181" s="694"/>
      <c r="V181" s="693"/>
      <c r="W181" s="693"/>
      <c r="X181" s="693"/>
      <c r="Y181" s="671"/>
      <c r="Z181" s="673"/>
      <c r="AA181" s="672"/>
      <c r="AB181" s="695"/>
      <c r="AC181" s="673"/>
      <c r="AD181" s="673"/>
      <c r="AE181" s="673"/>
      <c r="AF181" s="673"/>
      <c r="AG181" s="673"/>
      <c r="AH181" s="673"/>
      <c r="AI181" s="673"/>
      <c r="AJ181" s="673"/>
      <c r="AK181" s="673"/>
      <c r="AL181" s="673"/>
      <c r="AM181" s="673"/>
      <c r="AN181" s="673"/>
      <c r="AO181" s="673"/>
      <c r="AP181" s="673"/>
      <c r="AQ181" s="673"/>
      <c r="AR181" s="673"/>
      <c r="AS181" s="673"/>
      <c r="AT181" s="696"/>
    </row>
    <row r="182" ht="15.75" customHeight="1">
      <c r="A182" s="653"/>
      <c r="B182" s="654"/>
      <c r="C182" s="691"/>
      <c r="D182" s="656"/>
      <c r="E182" s="657"/>
      <c r="F182" s="658"/>
      <c r="G182" s="659"/>
      <c r="H182" s="660"/>
      <c r="I182" s="659"/>
      <c r="J182" s="661"/>
      <c r="K182" s="692"/>
      <c r="L182" s="645"/>
      <c r="M182" s="663"/>
      <c r="N182" s="665"/>
      <c r="O182" s="665"/>
      <c r="P182" s="666"/>
      <c r="Q182" s="667"/>
      <c r="R182" s="668"/>
      <c r="S182" s="693"/>
      <c r="T182" s="694"/>
      <c r="U182" s="694"/>
      <c r="V182" s="693"/>
      <c r="W182" s="693"/>
      <c r="X182" s="693"/>
      <c r="Y182" s="671"/>
      <c r="Z182" s="673"/>
      <c r="AA182" s="672"/>
      <c r="AB182" s="695"/>
      <c r="AC182" s="673"/>
      <c r="AD182" s="673"/>
      <c r="AE182" s="673"/>
      <c r="AF182" s="673"/>
      <c r="AG182" s="673"/>
      <c r="AH182" s="673"/>
      <c r="AI182" s="673"/>
      <c r="AJ182" s="673"/>
      <c r="AK182" s="673"/>
      <c r="AL182" s="673"/>
      <c r="AM182" s="673"/>
      <c r="AN182" s="673"/>
      <c r="AO182" s="673"/>
      <c r="AP182" s="673"/>
      <c r="AQ182" s="673"/>
      <c r="AR182" s="673"/>
      <c r="AS182" s="673"/>
      <c r="AT182" s="696"/>
    </row>
    <row r="183" ht="15.75" customHeight="1">
      <c r="A183" s="653"/>
      <c r="B183" s="654"/>
      <c r="C183" s="691"/>
      <c r="D183" s="656"/>
      <c r="E183" s="657"/>
      <c r="F183" s="658"/>
      <c r="G183" s="659"/>
      <c r="H183" s="660"/>
      <c r="I183" s="659"/>
      <c r="J183" s="661"/>
      <c r="K183" s="692"/>
      <c r="L183" s="645"/>
      <c r="M183" s="663"/>
      <c r="N183" s="665"/>
      <c r="O183" s="665"/>
      <c r="P183" s="666"/>
      <c r="Q183" s="667"/>
      <c r="R183" s="668"/>
      <c r="S183" s="693"/>
      <c r="T183" s="694"/>
      <c r="U183" s="694"/>
      <c r="V183" s="693"/>
      <c r="W183" s="693"/>
      <c r="X183" s="693"/>
      <c r="Y183" s="671"/>
      <c r="Z183" s="673"/>
      <c r="AA183" s="672"/>
      <c r="AB183" s="695"/>
      <c r="AC183" s="673"/>
      <c r="AD183" s="673"/>
      <c r="AE183" s="673"/>
      <c r="AF183" s="673"/>
      <c r="AG183" s="673"/>
      <c r="AH183" s="673"/>
      <c r="AI183" s="673"/>
      <c r="AJ183" s="673"/>
      <c r="AK183" s="673"/>
      <c r="AL183" s="673"/>
      <c r="AM183" s="673"/>
      <c r="AN183" s="673"/>
      <c r="AO183" s="673"/>
      <c r="AP183" s="673"/>
      <c r="AQ183" s="673"/>
      <c r="AR183" s="673"/>
      <c r="AS183" s="673"/>
      <c r="AT183" s="696"/>
    </row>
    <row r="184" ht="15.75" customHeight="1">
      <c r="A184" s="653"/>
      <c r="B184" s="654"/>
      <c r="C184" s="691"/>
      <c r="D184" s="656"/>
      <c r="E184" s="657"/>
      <c r="F184" s="658"/>
      <c r="G184" s="659"/>
      <c r="H184" s="660"/>
      <c r="I184" s="659"/>
      <c r="J184" s="661"/>
      <c r="K184" s="692"/>
      <c r="L184" s="645"/>
      <c r="M184" s="663"/>
      <c r="N184" s="665"/>
      <c r="O184" s="665"/>
      <c r="P184" s="666"/>
      <c r="Q184" s="667"/>
      <c r="R184" s="668"/>
      <c r="S184" s="693"/>
      <c r="T184" s="694"/>
      <c r="U184" s="694"/>
      <c r="V184" s="693"/>
      <c r="W184" s="693"/>
      <c r="X184" s="693"/>
      <c r="Y184" s="671"/>
      <c r="Z184" s="673"/>
      <c r="AA184" s="672"/>
      <c r="AB184" s="695"/>
      <c r="AC184" s="673"/>
      <c r="AD184" s="673"/>
      <c r="AE184" s="673"/>
      <c r="AF184" s="673"/>
      <c r="AG184" s="673"/>
      <c r="AH184" s="673"/>
      <c r="AI184" s="673"/>
      <c r="AJ184" s="673"/>
      <c r="AK184" s="673"/>
      <c r="AL184" s="673"/>
      <c r="AM184" s="673"/>
      <c r="AN184" s="673"/>
      <c r="AO184" s="673"/>
      <c r="AP184" s="673"/>
      <c r="AQ184" s="673"/>
      <c r="AR184" s="673"/>
      <c r="AS184" s="673"/>
      <c r="AT184" s="696"/>
    </row>
    <row r="185" ht="15.75" customHeight="1">
      <c r="A185" s="653"/>
      <c r="B185" s="654"/>
      <c r="C185" s="691"/>
      <c r="D185" s="656"/>
      <c r="E185" s="657"/>
      <c r="F185" s="658"/>
      <c r="G185" s="659"/>
      <c r="H185" s="660"/>
      <c r="I185" s="659"/>
      <c r="J185" s="661"/>
      <c r="K185" s="692"/>
      <c r="L185" s="645"/>
      <c r="M185" s="663"/>
      <c r="N185" s="665"/>
      <c r="O185" s="665"/>
      <c r="P185" s="666"/>
      <c r="Q185" s="667"/>
      <c r="R185" s="668"/>
      <c r="S185" s="693"/>
      <c r="T185" s="694"/>
      <c r="U185" s="694"/>
      <c r="V185" s="693"/>
      <c r="W185" s="693"/>
      <c r="X185" s="693"/>
      <c r="Y185" s="671"/>
      <c r="Z185" s="673"/>
      <c r="AA185" s="672"/>
      <c r="AB185" s="695"/>
      <c r="AC185" s="673"/>
      <c r="AD185" s="673"/>
      <c r="AE185" s="673"/>
      <c r="AF185" s="673"/>
      <c r="AG185" s="673"/>
      <c r="AH185" s="673"/>
      <c r="AI185" s="673"/>
      <c r="AJ185" s="673"/>
      <c r="AK185" s="673"/>
      <c r="AL185" s="673"/>
      <c r="AM185" s="673"/>
      <c r="AN185" s="673"/>
      <c r="AO185" s="673"/>
      <c r="AP185" s="673"/>
      <c r="AQ185" s="673"/>
      <c r="AR185" s="673"/>
      <c r="AS185" s="673"/>
      <c r="AT185" s="696"/>
    </row>
    <row r="186" ht="15.75" customHeight="1">
      <c r="A186" s="653"/>
      <c r="B186" s="654"/>
      <c r="C186" s="691"/>
      <c r="D186" s="656"/>
      <c r="E186" s="657"/>
      <c r="F186" s="658"/>
      <c r="G186" s="659"/>
      <c r="H186" s="660"/>
      <c r="I186" s="659"/>
      <c r="J186" s="661"/>
      <c r="K186" s="692"/>
      <c r="L186" s="645"/>
      <c r="M186" s="663"/>
      <c r="N186" s="665"/>
      <c r="O186" s="665"/>
      <c r="P186" s="666"/>
      <c r="Q186" s="667"/>
      <c r="R186" s="668"/>
      <c r="S186" s="693"/>
      <c r="T186" s="694"/>
      <c r="U186" s="694"/>
      <c r="V186" s="693"/>
      <c r="W186" s="693"/>
      <c r="X186" s="693"/>
      <c r="Y186" s="671"/>
      <c r="Z186" s="673"/>
      <c r="AA186" s="672"/>
      <c r="AB186" s="695"/>
      <c r="AC186" s="673"/>
      <c r="AD186" s="673"/>
      <c r="AE186" s="673"/>
      <c r="AF186" s="673"/>
      <c r="AG186" s="673"/>
      <c r="AH186" s="673"/>
      <c r="AI186" s="673"/>
      <c r="AJ186" s="673"/>
      <c r="AK186" s="673"/>
      <c r="AL186" s="673"/>
      <c r="AM186" s="673"/>
      <c r="AN186" s="673"/>
      <c r="AO186" s="673"/>
      <c r="AP186" s="673"/>
      <c r="AQ186" s="673"/>
      <c r="AR186" s="673"/>
      <c r="AS186" s="673"/>
      <c r="AT186" s="696"/>
    </row>
    <row r="187" ht="15.75" customHeight="1">
      <c r="A187" s="653"/>
      <c r="B187" s="654"/>
      <c r="C187" s="691"/>
      <c r="D187" s="656"/>
      <c r="E187" s="657"/>
      <c r="F187" s="658"/>
      <c r="G187" s="659"/>
      <c r="H187" s="660"/>
      <c r="I187" s="659"/>
      <c r="J187" s="661"/>
      <c r="K187" s="692"/>
      <c r="L187" s="645"/>
      <c r="M187" s="663"/>
      <c r="N187" s="665"/>
      <c r="O187" s="665"/>
      <c r="P187" s="666"/>
      <c r="Q187" s="667"/>
      <c r="R187" s="668"/>
      <c r="S187" s="693"/>
      <c r="T187" s="694"/>
      <c r="U187" s="694"/>
      <c r="V187" s="693"/>
      <c r="W187" s="693"/>
      <c r="X187" s="693"/>
      <c r="Y187" s="671"/>
      <c r="Z187" s="673"/>
      <c r="AA187" s="672"/>
      <c r="AB187" s="695"/>
      <c r="AC187" s="673"/>
      <c r="AD187" s="673"/>
      <c r="AE187" s="673"/>
      <c r="AF187" s="673"/>
      <c r="AG187" s="673"/>
      <c r="AH187" s="673"/>
      <c r="AI187" s="673"/>
      <c r="AJ187" s="673"/>
      <c r="AK187" s="673"/>
      <c r="AL187" s="673"/>
      <c r="AM187" s="673"/>
      <c r="AN187" s="673"/>
      <c r="AO187" s="673"/>
      <c r="AP187" s="673"/>
      <c r="AQ187" s="673"/>
      <c r="AR187" s="673"/>
      <c r="AS187" s="673"/>
      <c r="AT187" s="696"/>
    </row>
    <row r="188" ht="15.75" customHeight="1">
      <c r="A188" s="653"/>
      <c r="B188" s="654"/>
      <c r="C188" s="691"/>
      <c r="D188" s="656"/>
      <c r="E188" s="657"/>
      <c r="F188" s="658"/>
      <c r="G188" s="659"/>
      <c r="H188" s="660"/>
      <c r="I188" s="659"/>
      <c r="J188" s="661"/>
      <c r="K188" s="692"/>
      <c r="L188" s="645"/>
      <c r="M188" s="663"/>
      <c r="N188" s="665"/>
      <c r="O188" s="665"/>
      <c r="P188" s="666"/>
      <c r="Q188" s="667"/>
      <c r="R188" s="668"/>
      <c r="S188" s="693"/>
      <c r="T188" s="694"/>
      <c r="U188" s="694"/>
      <c r="V188" s="693"/>
      <c r="W188" s="693"/>
      <c r="X188" s="693"/>
      <c r="Y188" s="671"/>
      <c r="Z188" s="673"/>
      <c r="AA188" s="672"/>
      <c r="AB188" s="695"/>
      <c r="AC188" s="673"/>
      <c r="AD188" s="673"/>
      <c r="AE188" s="673"/>
      <c r="AF188" s="673"/>
      <c r="AG188" s="673"/>
      <c r="AH188" s="673"/>
      <c r="AI188" s="673"/>
      <c r="AJ188" s="673"/>
      <c r="AK188" s="673"/>
      <c r="AL188" s="673"/>
      <c r="AM188" s="673"/>
      <c r="AN188" s="673"/>
      <c r="AO188" s="673"/>
      <c r="AP188" s="673"/>
      <c r="AQ188" s="673"/>
      <c r="AR188" s="673"/>
      <c r="AS188" s="673"/>
      <c r="AT188" s="696"/>
    </row>
    <row r="189" ht="15.75" customHeight="1">
      <c r="A189" s="653"/>
      <c r="B189" s="654"/>
      <c r="C189" s="691"/>
      <c r="D189" s="656"/>
      <c r="E189" s="657"/>
      <c r="F189" s="658"/>
      <c r="G189" s="659"/>
      <c r="H189" s="660"/>
      <c r="I189" s="659"/>
      <c r="J189" s="661"/>
      <c r="K189" s="692"/>
      <c r="L189" s="645"/>
      <c r="M189" s="663"/>
      <c r="N189" s="665"/>
      <c r="O189" s="665"/>
      <c r="P189" s="666"/>
      <c r="Q189" s="667"/>
      <c r="R189" s="668"/>
      <c r="S189" s="693"/>
      <c r="T189" s="694"/>
      <c r="U189" s="694"/>
      <c r="V189" s="693"/>
      <c r="W189" s="693"/>
      <c r="X189" s="693"/>
      <c r="Y189" s="671"/>
      <c r="Z189" s="673"/>
      <c r="AA189" s="672"/>
      <c r="AB189" s="695"/>
      <c r="AC189" s="673"/>
      <c r="AD189" s="673"/>
      <c r="AE189" s="673"/>
      <c r="AF189" s="673"/>
      <c r="AG189" s="673"/>
      <c r="AH189" s="673"/>
      <c r="AI189" s="673"/>
      <c r="AJ189" s="673"/>
      <c r="AK189" s="673"/>
      <c r="AL189" s="673"/>
      <c r="AM189" s="673"/>
      <c r="AN189" s="673"/>
      <c r="AO189" s="673"/>
      <c r="AP189" s="673"/>
      <c r="AQ189" s="673"/>
      <c r="AR189" s="673"/>
      <c r="AS189" s="673"/>
      <c r="AT189" s="696"/>
    </row>
    <row r="190" ht="15.75" customHeight="1">
      <c r="A190" s="653"/>
      <c r="B190" s="654"/>
      <c r="C190" s="691"/>
      <c r="D190" s="656"/>
      <c r="E190" s="657"/>
      <c r="F190" s="658"/>
      <c r="G190" s="659"/>
      <c r="H190" s="660"/>
      <c r="I190" s="659"/>
      <c r="J190" s="661"/>
      <c r="K190" s="692"/>
      <c r="L190" s="645"/>
      <c r="M190" s="663"/>
      <c r="N190" s="665"/>
      <c r="O190" s="665"/>
      <c r="P190" s="666"/>
      <c r="Q190" s="667"/>
      <c r="R190" s="668"/>
      <c r="S190" s="693"/>
      <c r="T190" s="694"/>
      <c r="U190" s="694"/>
      <c r="V190" s="693"/>
      <c r="W190" s="693"/>
      <c r="X190" s="693"/>
      <c r="Y190" s="671"/>
      <c r="Z190" s="673"/>
      <c r="AA190" s="672"/>
      <c r="AB190" s="695"/>
      <c r="AC190" s="673"/>
      <c r="AD190" s="673"/>
      <c r="AE190" s="673"/>
      <c r="AF190" s="673"/>
      <c r="AG190" s="673"/>
      <c r="AH190" s="673"/>
      <c r="AI190" s="673"/>
      <c r="AJ190" s="673"/>
      <c r="AK190" s="673"/>
      <c r="AL190" s="673"/>
      <c r="AM190" s="673"/>
      <c r="AN190" s="673"/>
      <c r="AO190" s="673"/>
      <c r="AP190" s="673"/>
      <c r="AQ190" s="673"/>
      <c r="AR190" s="673"/>
      <c r="AS190" s="673"/>
      <c r="AT190" s="696"/>
    </row>
    <row r="191" ht="15.75" customHeight="1">
      <c r="A191" s="653"/>
      <c r="B191" s="654"/>
      <c r="C191" s="691"/>
      <c r="D191" s="656"/>
      <c r="E191" s="657"/>
      <c r="F191" s="658"/>
      <c r="G191" s="659"/>
      <c r="H191" s="660"/>
      <c r="I191" s="659"/>
      <c r="J191" s="661"/>
      <c r="K191" s="692"/>
      <c r="L191" s="645"/>
      <c r="M191" s="663"/>
      <c r="N191" s="665"/>
      <c r="O191" s="665"/>
      <c r="P191" s="666"/>
      <c r="Q191" s="667"/>
      <c r="R191" s="668"/>
      <c r="S191" s="693"/>
      <c r="T191" s="694"/>
      <c r="U191" s="694"/>
      <c r="V191" s="693"/>
      <c r="W191" s="693"/>
      <c r="X191" s="693"/>
      <c r="Y191" s="671"/>
      <c r="Z191" s="673"/>
      <c r="AA191" s="672"/>
      <c r="AB191" s="695"/>
      <c r="AC191" s="673"/>
      <c r="AD191" s="673"/>
      <c r="AE191" s="673"/>
      <c r="AF191" s="673"/>
      <c r="AG191" s="673"/>
      <c r="AH191" s="673"/>
      <c r="AI191" s="673"/>
      <c r="AJ191" s="673"/>
      <c r="AK191" s="673"/>
      <c r="AL191" s="673"/>
      <c r="AM191" s="673"/>
      <c r="AN191" s="673"/>
      <c r="AO191" s="673"/>
      <c r="AP191" s="673"/>
      <c r="AQ191" s="673"/>
      <c r="AR191" s="673"/>
      <c r="AS191" s="673"/>
      <c r="AT191" s="696"/>
    </row>
    <row r="192" ht="15.75" customHeight="1">
      <c r="A192" s="653"/>
      <c r="B192" s="654"/>
      <c r="C192" s="691"/>
      <c r="D192" s="656"/>
      <c r="E192" s="657"/>
      <c r="F192" s="658"/>
      <c r="G192" s="659"/>
      <c r="H192" s="660"/>
      <c r="I192" s="659"/>
      <c r="J192" s="661"/>
      <c r="K192" s="692"/>
      <c r="L192" s="645"/>
      <c r="M192" s="663"/>
      <c r="N192" s="665"/>
      <c r="O192" s="665"/>
      <c r="P192" s="666"/>
      <c r="Q192" s="667"/>
      <c r="R192" s="668"/>
      <c r="S192" s="693"/>
      <c r="T192" s="694"/>
      <c r="U192" s="694"/>
      <c r="V192" s="693"/>
      <c r="W192" s="693"/>
      <c r="X192" s="693"/>
      <c r="Y192" s="671"/>
      <c r="Z192" s="673"/>
      <c r="AA192" s="672"/>
      <c r="AB192" s="695"/>
      <c r="AC192" s="673"/>
      <c r="AD192" s="673"/>
      <c r="AE192" s="673"/>
      <c r="AF192" s="673"/>
      <c r="AG192" s="673"/>
      <c r="AH192" s="673"/>
      <c r="AI192" s="673"/>
      <c r="AJ192" s="673"/>
      <c r="AK192" s="673"/>
      <c r="AL192" s="673"/>
      <c r="AM192" s="673"/>
      <c r="AN192" s="673"/>
      <c r="AO192" s="673"/>
      <c r="AP192" s="673"/>
      <c r="AQ192" s="673"/>
      <c r="AR192" s="673"/>
      <c r="AS192" s="673"/>
      <c r="AT192" s="696"/>
    </row>
    <row r="193" ht="15.75" customHeight="1">
      <c r="A193" s="653"/>
      <c r="B193" s="654"/>
      <c r="C193" s="691"/>
      <c r="D193" s="656"/>
      <c r="E193" s="657"/>
      <c r="F193" s="658"/>
      <c r="G193" s="659"/>
      <c r="H193" s="660"/>
      <c r="I193" s="659"/>
      <c r="J193" s="661"/>
      <c r="K193" s="692"/>
      <c r="L193" s="645"/>
      <c r="M193" s="663"/>
      <c r="N193" s="665"/>
      <c r="O193" s="665"/>
      <c r="P193" s="666"/>
      <c r="Q193" s="667"/>
      <c r="R193" s="668"/>
      <c r="S193" s="693"/>
      <c r="T193" s="694"/>
      <c r="U193" s="694"/>
      <c r="V193" s="693"/>
      <c r="W193" s="693"/>
      <c r="X193" s="693"/>
      <c r="Y193" s="671"/>
      <c r="Z193" s="673"/>
      <c r="AA193" s="672"/>
      <c r="AB193" s="695"/>
      <c r="AC193" s="673"/>
      <c r="AD193" s="673"/>
      <c r="AE193" s="673"/>
      <c r="AF193" s="673"/>
      <c r="AG193" s="673"/>
      <c r="AH193" s="673"/>
      <c r="AI193" s="673"/>
      <c r="AJ193" s="673"/>
      <c r="AK193" s="673"/>
      <c r="AL193" s="673"/>
      <c r="AM193" s="673"/>
      <c r="AN193" s="673"/>
      <c r="AO193" s="673"/>
      <c r="AP193" s="673"/>
      <c r="AQ193" s="673"/>
      <c r="AR193" s="673"/>
      <c r="AS193" s="673"/>
      <c r="AT193" s="696"/>
    </row>
    <row r="194" ht="15.75" customHeight="1">
      <c r="A194" s="653"/>
      <c r="B194" s="654"/>
      <c r="C194" s="691"/>
      <c r="D194" s="656"/>
      <c r="E194" s="657"/>
      <c r="F194" s="658"/>
      <c r="G194" s="659"/>
      <c r="H194" s="660"/>
      <c r="I194" s="659"/>
      <c r="J194" s="661"/>
      <c r="K194" s="692"/>
      <c r="L194" s="645"/>
      <c r="M194" s="663"/>
      <c r="N194" s="665"/>
      <c r="O194" s="665"/>
      <c r="P194" s="666"/>
      <c r="Q194" s="667"/>
      <c r="R194" s="668"/>
      <c r="S194" s="693"/>
      <c r="T194" s="694"/>
      <c r="U194" s="694"/>
      <c r="V194" s="693"/>
      <c r="W194" s="693"/>
      <c r="X194" s="693"/>
      <c r="Y194" s="671"/>
      <c r="Z194" s="673"/>
      <c r="AA194" s="672"/>
      <c r="AB194" s="695"/>
      <c r="AC194" s="673"/>
      <c r="AD194" s="673"/>
      <c r="AE194" s="673"/>
      <c r="AF194" s="673"/>
      <c r="AG194" s="673"/>
      <c r="AH194" s="673"/>
      <c r="AI194" s="673"/>
      <c r="AJ194" s="673"/>
      <c r="AK194" s="673"/>
      <c r="AL194" s="673"/>
      <c r="AM194" s="673"/>
      <c r="AN194" s="673"/>
      <c r="AO194" s="673"/>
      <c r="AP194" s="673"/>
      <c r="AQ194" s="673"/>
      <c r="AR194" s="673"/>
      <c r="AS194" s="673"/>
      <c r="AT194" s="696"/>
    </row>
    <row r="195" ht="15.75" customHeight="1">
      <c r="A195" s="653"/>
      <c r="B195" s="654"/>
      <c r="C195" s="691"/>
      <c r="D195" s="656"/>
      <c r="E195" s="657"/>
      <c r="F195" s="658"/>
      <c r="G195" s="659"/>
      <c r="H195" s="660"/>
      <c r="I195" s="659"/>
      <c r="J195" s="661"/>
      <c r="K195" s="692"/>
      <c r="L195" s="645"/>
      <c r="M195" s="663"/>
      <c r="N195" s="665"/>
      <c r="O195" s="665"/>
      <c r="P195" s="666"/>
      <c r="Q195" s="667"/>
      <c r="R195" s="668"/>
      <c r="S195" s="693"/>
      <c r="T195" s="694"/>
      <c r="U195" s="694"/>
      <c r="V195" s="693"/>
      <c r="W195" s="693"/>
      <c r="X195" s="693"/>
      <c r="Y195" s="671"/>
      <c r="Z195" s="673"/>
      <c r="AA195" s="672"/>
      <c r="AB195" s="695"/>
      <c r="AC195" s="673"/>
      <c r="AD195" s="673"/>
      <c r="AE195" s="673"/>
      <c r="AF195" s="673"/>
      <c r="AG195" s="673"/>
      <c r="AH195" s="673"/>
      <c r="AI195" s="673"/>
      <c r="AJ195" s="673"/>
      <c r="AK195" s="673"/>
      <c r="AL195" s="673"/>
      <c r="AM195" s="673"/>
      <c r="AN195" s="673"/>
      <c r="AO195" s="673"/>
      <c r="AP195" s="673"/>
      <c r="AQ195" s="673"/>
      <c r="AR195" s="673"/>
      <c r="AS195" s="673"/>
      <c r="AT195" s="696"/>
    </row>
    <row r="196" ht="15.75" customHeight="1">
      <c r="A196" s="653"/>
      <c r="B196" s="654"/>
      <c r="C196" s="691"/>
      <c r="D196" s="656"/>
      <c r="E196" s="657"/>
      <c r="F196" s="658"/>
      <c r="G196" s="659"/>
      <c r="H196" s="660"/>
      <c r="I196" s="659"/>
      <c r="J196" s="661"/>
      <c r="K196" s="692"/>
      <c r="L196" s="645"/>
      <c r="M196" s="663"/>
      <c r="N196" s="665"/>
      <c r="O196" s="665"/>
      <c r="P196" s="666"/>
      <c r="Q196" s="667"/>
      <c r="R196" s="668"/>
      <c r="S196" s="693"/>
      <c r="T196" s="694"/>
      <c r="U196" s="694"/>
      <c r="V196" s="693"/>
      <c r="W196" s="693"/>
      <c r="X196" s="693"/>
      <c r="Y196" s="671"/>
      <c r="Z196" s="673"/>
      <c r="AA196" s="672"/>
      <c r="AB196" s="695"/>
      <c r="AC196" s="673"/>
      <c r="AD196" s="673"/>
      <c r="AE196" s="673"/>
      <c r="AF196" s="673"/>
      <c r="AG196" s="673"/>
      <c r="AH196" s="673"/>
      <c r="AI196" s="673"/>
      <c r="AJ196" s="673"/>
      <c r="AK196" s="673"/>
      <c r="AL196" s="673"/>
      <c r="AM196" s="673"/>
      <c r="AN196" s="673"/>
      <c r="AO196" s="673"/>
      <c r="AP196" s="673"/>
      <c r="AQ196" s="673"/>
      <c r="AR196" s="673"/>
      <c r="AS196" s="673"/>
      <c r="AT196" s="696"/>
    </row>
    <row r="197" ht="15.75" customHeight="1">
      <c r="A197" s="653"/>
      <c r="B197" s="654"/>
      <c r="C197" s="691"/>
      <c r="D197" s="656"/>
      <c r="E197" s="657"/>
      <c r="F197" s="658"/>
      <c r="G197" s="659"/>
      <c r="H197" s="660"/>
      <c r="I197" s="659"/>
      <c r="J197" s="661"/>
      <c r="K197" s="692"/>
      <c r="L197" s="645"/>
      <c r="M197" s="663"/>
      <c r="N197" s="665"/>
      <c r="O197" s="665"/>
      <c r="P197" s="666"/>
      <c r="Q197" s="667"/>
      <c r="R197" s="668"/>
      <c r="S197" s="693"/>
      <c r="T197" s="694"/>
      <c r="U197" s="694"/>
      <c r="V197" s="693"/>
      <c r="W197" s="693"/>
      <c r="X197" s="693"/>
      <c r="Y197" s="671"/>
      <c r="Z197" s="673"/>
      <c r="AA197" s="672"/>
      <c r="AB197" s="695"/>
      <c r="AC197" s="673"/>
      <c r="AD197" s="673"/>
      <c r="AE197" s="673"/>
      <c r="AF197" s="673"/>
      <c r="AG197" s="673"/>
      <c r="AH197" s="673"/>
      <c r="AI197" s="673"/>
      <c r="AJ197" s="673"/>
      <c r="AK197" s="673"/>
      <c r="AL197" s="673"/>
      <c r="AM197" s="673"/>
      <c r="AN197" s="673"/>
      <c r="AO197" s="673"/>
      <c r="AP197" s="673"/>
      <c r="AQ197" s="673"/>
      <c r="AR197" s="673"/>
      <c r="AS197" s="673"/>
      <c r="AT197" s="696"/>
    </row>
    <row r="198" ht="15.75" customHeight="1">
      <c r="A198" s="653"/>
      <c r="B198" s="654"/>
      <c r="C198" s="691"/>
      <c r="D198" s="656"/>
      <c r="E198" s="657"/>
      <c r="F198" s="658"/>
      <c r="G198" s="659"/>
      <c r="H198" s="660"/>
      <c r="I198" s="659"/>
      <c r="J198" s="661"/>
      <c r="K198" s="692"/>
      <c r="L198" s="645"/>
      <c r="M198" s="663"/>
      <c r="N198" s="665"/>
      <c r="O198" s="665"/>
      <c r="P198" s="666"/>
      <c r="Q198" s="667"/>
      <c r="R198" s="668"/>
      <c r="S198" s="693"/>
      <c r="T198" s="694"/>
      <c r="U198" s="694"/>
      <c r="V198" s="693"/>
      <c r="W198" s="693"/>
      <c r="X198" s="693"/>
      <c r="Y198" s="671"/>
      <c r="Z198" s="673"/>
      <c r="AA198" s="672"/>
      <c r="AB198" s="695"/>
      <c r="AC198" s="673"/>
      <c r="AD198" s="673"/>
      <c r="AE198" s="673"/>
      <c r="AF198" s="673"/>
      <c r="AG198" s="673"/>
      <c r="AH198" s="673"/>
      <c r="AI198" s="673"/>
      <c r="AJ198" s="673"/>
      <c r="AK198" s="673"/>
      <c r="AL198" s="673"/>
      <c r="AM198" s="673"/>
      <c r="AN198" s="673"/>
      <c r="AO198" s="673"/>
      <c r="AP198" s="673"/>
      <c r="AQ198" s="673"/>
      <c r="AR198" s="673"/>
      <c r="AS198" s="673"/>
      <c r="AT198" s="696"/>
    </row>
    <row r="199" ht="15.75" customHeight="1">
      <c r="A199" s="653"/>
      <c r="B199" s="654"/>
      <c r="C199" s="691"/>
      <c r="D199" s="656"/>
      <c r="E199" s="657"/>
      <c r="F199" s="658"/>
      <c r="G199" s="659"/>
      <c r="H199" s="660"/>
      <c r="I199" s="659"/>
      <c r="J199" s="661"/>
      <c r="K199" s="692"/>
      <c r="L199" s="645"/>
      <c r="M199" s="663"/>
      <c r="N199" s="665"/>
      <c r="O199" s="665"/>
      <c r="P199" s="666"/>
      <c r="Q199" s="667"/>
      <c r="R199" s="668"/>
      <c r="S199" s="693"/>
      <c r="T199" s="694"/>
      <c r="U199" s="694"/>
      <c r="V199" s="693"/>
      <c r="W199" s="693"/>
      <c r="X199" s="693"/>
      <c r="Y199" s="671"/>
      <c r="Z199" s="673"/>
      <c r="AA199" s="672"/>
      <c r="AB199" s="695"/>
      <c r="AC199" s="673"/>
      <c r="AD199" s="673"/>
      <c r="AE199" s="673"/>
      <c r="AF199" s="673"/>
      <c r="AG199" s="673"/>
      <c r="AH199" s="673"/>
      <c r="AI199" s="673"/>
      <c r="AJ199" s="673"/>
      <c r="AK199" s="673"/>
      <c r="AL199" s="673"/>
      <c r="AM199" s="673"/>
      <c r="AN199" s="673"/>
      <c r="AO199" s="673"/>
      <c r="AP199" s="673"/>
      <c r="AQ199" s="673"/>
      <c r="AR199" s="673"/>
      <c r="AS199" s="673"/>
      <c r="AT199" s="696"/>
    </row>
    <row r="200" ht="15.75" customHeight="1">
      <c r="A200" s="653"/>
      <c r="B200" s="654"/>
      <c r="C200" s="691"/>
      <c r="D200" s="656"/>
      <c r="E200" s="657"/>
      <c r="F200" s="658"/>
      <c r="G200" s="659"/>
      <c r="H200" s="660"/>
      <c r="I200" s="659"/>
      <c r="J200" s="661"/>
      <c r="K200" s="692"/>
      <c r="L200" s="645"/>
      <c r="M200" s="663"/>
      <c r="N200" s="665"/>
      <c r="O200" s="665"/>
      <c r="P200" s="666"/>
      <c r="Q200" s="667"/>
      <c r="R200" s="668"/>
      <c r="S200" s="693"/>
      <c r="T200" s="694"/>
      <c r="U200" s="694"/>
      <c r="V200" s="693"/>
      <c r="W200" s="693"/>
      <c r="X200" s="693"/>
      <c r="Y200" s="671"/>
      <c r="Z200" s="673"/>
      <c r="AA200" s="672"/>
      <c r="AB200" s="695"/>
      <c r="AC200" s="673"/>
      <c r="AD200" s="673"/>
      <c r="AE200" s="673"/>
      <c r="AF200" s="673"/>
      <c r="AG200" s="673"/>
      <c r="AH200" s="673"/>
      <c r="AI200" s="673"/>
      <c r="AJ200" s="673"/>
      <c r="AK200" s="673"/>
      <c r="AL200" s="673"/>
      <c r="AM200" s="673"/>
      <c r="AN200" s="673"/>
      <c r="AO200" s="673"/>
      <c r="AP200" s="673"/>
      <c r="AQ200" s="673"/>
      <c r="AR200" s="673"/>
      <c r="AS200" s="673"/>
      <c r="AT200" s="696"/>
    </row>
    <row r="201" ht="15.75" customHeight="1">
      <c r="A201" s="653"/>
      <c r="B201" s="654"/>
      <c r="C201" s="691"/>
      <c r="D201" s="656"/>
      <c r="E201" s="657"/>
      <c r="F201" s="658"/>
      <c r="G201" s="659"/>
      <c r="H201" s="660"/>
      <c r="I201" s="659"/>
      <c r="J201" s="661"/>
      <c r="K201" s="692"/>
      <c r="L201" s="645"/>
      <c r="M201" s="663"/>
      <c r="N201" s="665"/>
      <c r="O201" s="665"/>
      <c r="P201" s="666"/>
      <c r="Q201" s="667"/>
      <c r="R201" s="668"/>
      <c r="S201" s="693"/>
      <c r="T201" s="694"/>
      <c r="U201" s="694"/>
      <c r="V201" s="693"/>
      <c r="W201" s="693"/>
      <c r="X201" s="693"/>
      <c r="Y201" s="671"/>
      <c r="Z201" s="673"/>
      <c r="AA201" s="672"/>
      <c r="AB201" s="695"/>
      <c r="AC201" s="673"/>
      <c r="AD201" s="673"/>
      <c r="AE201" s="673"/>
      <c r="AF201" s="673"/>
      <c r="AG201" s="673"/>
      <c r="AH201" s="673"/>
      <c r="AI201" s="673"/>
      <c r="AJ201" s="673"/>
      <c r="AK201" s="673"/>
      <c r="AL201" s="673"/>
      <c r="AM201" s="673"/>
      <c r="AN201" s="673"/>
      <c r="AO201" s="673"/>
      <c r="AP201" s="673"/>
      <c r="AQ201" s="673"/>
      <c r="AR201" s="673"/>
      <c r="AS201" s="673"/>
      <c r="AT201" s="696"/>
    </row>
    <row r="202" ht="15.75" customHeight="1">
      <c r="A202" s="653"/>
      <c r="B202" s="654"/>
      <c r="C202" s="691"/>
      <c r="D202" s="656"/>
      <c r="E202" s="657"/>
      <c r="F202" s="658"/>
      <c r="G202" s="659"/>
      <c r="H202" s="660"/>
      <c r="I202" s="659"/>
      <c r="J202" s="661"/>
      <c r="K202" s="692"/>
      <c r="L202" s="645"/>
      <c r="M202" s="663"/>
      <c r="N202" s="665"/>
      <c r="O202" s="665"/>
      <c r="P202" s="666"/>
      <c r="Q202" s="667"/>
      <c r="R202" s="668"/>
      <c r="S202" s="693"/>
      <c r="T202" s="694"/>
      <c r="U202" s="694"/>
      <c r="V202" s="693"/>
      <c r="W202" s="693"/>
      <c r="X202" s="693"/>
      <c r="Y202" s="671"/>
      <c r="Z202" s="673"/>
      <c r="AA202" s="672"/>
      <c r="AB202" s="695"/>
      <c r="AC202" s="673"/>
      <c r="AD202" s="673"/>
      <c r="AE202" s="673"/>
      <c r="AF202" s="673"/>
      <c r="AG202" s="673"/>
      <c r="AH202" s="673"/>
      <c r="AI202" s="673"/>
      <c r="AJ202" s="673"/>
      <c r="AK202" s="673"/>
      <c r="AL202" s="673"/>
      <c r="AM202" s="673"/>
      <c r="AN202" s="673"/>
      <c r="AO202" s="673"/>
      <c r="AP202" s="673"/>
      <c r="AQ202" s="673"/>
      <c r="AR202" s="673"/>
      <c r="AS202" s="673"/>
      <c r="AT202" s="696"/>
    </row>
    <row r="203" ht="15.75" customHeight="1">
      <c r="A203" s="653"/>
      <c r="B203" s="654"/>
      <c r="C203" s="691"/>
      <c r="D203" s="656"/>
      <c r="E203" s="657"/>
      <c r="F203" s="658"/>
      <c r="G203" s="659"/>
      <c r="H203" s="660"/>
      <c r="I203" s="659"/>
      <c r="J203" s="661"/>
      <c r="K203" s="692"/>
      <c r="L203" s="645"/>
      <c r="M203" s="663"/>
      <c r="N203" s="665"/>
      <c r="O203" s="665"/>
      <c r="P203" s="666"/>
      <c r="Q203" s="667"/>
      <c r="R203" s="668"/>
      <c r="S203" s="693"/>
      <c r="T203" s="694"/>
      <c r="U203" s="694"/>
      <c r="V203" s="693"/>
      <c r="W203" s="693"/>
      <c r="X203" s="693"/>
      <c r="Y203" s="671"/>
      <c r="Z203" s="673"/>
      <c r="AA203" s="672"/>
      <c r="AB203" s="695"/>
      <c r="AC203" s="673"/>
      <c r="AD203" s="673"/>
      <c r="AE203" s="673"/>
      <c r="AF203" s="673"/>
      <c r="AG203" s="673"/>
      <c r="AH203" s="673"/>
      <c r="AI203" s="673"/>
      <c r="AJ203" s="673"/>
      <c r="AK203" s="673"/>
      <c r="AL203" s="673"/>
      <c r="AM203" s="673"/>
      <c r="AN203" s="673"/>
      <c r="AO203" s="673"/>
      <c r="AP203" s="673"/>
      <c r="AQ203" s="673"/>
      <c r="AR203" s="673"/>
      <c r="AS203" s="673"/>
      <c r="AT203" s="696"/>
    </row>
    <row r="204" ht="15.75" customHeight="1">
      <c r="A204" s="653"/>
      <c r="B204" s="654"/>
      <c r="C204" s="691"/>
      <c r="D204" s="656"/>
      <c r="E204" s="657"/>
      <c r="F204" s="658"/>
      <c r="G204" s="659"/>
      <c r="H204" s="660"/>
      <c r="I204" s="659"/>
      <c r="J204" s="661"/>
      <c r="K204" s="692"/>
      <c r="L204" s="645"/>
      <c r="M204" s="663"/>
      <c r="N204" s="665"/>
      <c r="O204" s="665"/>
      <c r="P204" s="666"/>
      <c r="Q204" s="667"/>
      <c r="R204" s="668"/>
      <c r="S204" s="693"/>
      <c r="T204" s="694"/>
      <c r="U204" s="694"/>
      <c r="V204" s="693"/>
      <c r="W204" s="693"/>
      <c r="X204" s="693"/>
      <c r="Y204" s="671"/>
      <c r="Z204" s="673"/>
      <c r="AA204" s="672"/>
      <c r="AB204" s="695"/>
      <c r="AC204" s="673"/>
      <c r="AD204" s="673"/>
      <c r="AE204" s="673"/>
      <c r="AF204" s="673"/>
      <c r="AG204" s="673"/>
      <c r="AH204" s="673"/>
      <c r="AI204" s="673"/>
      <c r="AJ204" s="673"/>
      <c r="AK204" s="673"/>
      <c r="AL204" s="673"/>
      <c r="AM204" s="673"/>
      <c r="AN204" s="673"/>
      <c r="AO204" s="673"/>
      <c r="AP204" s="673"/>
      <c r="AQ204" s="673"/>
      <c r="AR204" s="673"/>
      <c r="AS204" s="673"/>
      <c r="AT204" s="696"/>
    </row>
    <row r="205" ht="15.75" customHeight="1">
      <c r="A205" s="653"/>
      <c r="B205" s="654"/>
      <c r="C205" s="691"/>
      <c r="D205" s="656"/>
      <c r="E205" s="657"/>
      <c r="F205" s="658"/>
      <c r="G205" s="659"/>
      <c r="H205" s="660"/>
      <c r="I205" s="659"/>
      <c r="J205" s="661"/>
      <c r="K205" s="692"/>
      <c r="L205" s="645"/>
      <c r="M205" s="663"/>
      <c r="N205" s="665"/>
      <c r="O205" s="665"/>
      <c r="P205" s="666"/>
      <c r="Q205" s="667"/>
      <c r="R205" s="668"/>
      <c r="S205" s="693"/>
      <c r="T205" s="694"/>
      <c r="U205" s="694"/>
      <c r="V205" s="693"/>
      <c r="W205" s="693"/>
      <c r="X205" s="693"/>
      <c r="Y205" s="671"/>
      <c r="Z205" s="673"/>
      <c r="AA205" s="672"/>
      <c r="AB205" s="695"/>
      <c r="AC205" s="673"/>
      <c r="AD205" s="673"/>
      <c r="AE205" s="673"/>
      <c r="AF205" s="673"/>
      <c r="AG205" s="673"/>
      <c r="AH205" s="673"/>
      <c r="AI205" s="673"/>
      <c r="AJ205" s="673"/>
      <c r="AK205" s="673"/>
      <c r="AL205" s="673"/>
      <c r="AM205" s="673"/>
      <c r="AN205" s="673"/>
      <c r="AO205" s="673"/>
      <c r="AP205" s="673"/>
      <c r="AQ205" s="673"/>
      <c r="AR205" s="673"/>
      <c r="AS205" s="673"/>
      <c r="AT205" s="696"/>
    </row>
    <row r="206" ht="15.75" customHeight="1">
      <c r="A206" s="653"/>
      <c r="B206" s="654"/>
      <c r="C206" s="691"/>
      <c r="D206" s="656"/>
      <c r="E206" s="657"/>
      <c r="F206" s="658"/>
      <c r="G206" s="659"/>
      <c r="H206" s="660"/>
      <c r="I206" s="659"/>
      <c r="J206" s="661"/>
      <c r="K206" s="692"/>
      <c r="L206" s="645"/>
      <c r="M206" s="663"/>
      <c r="N206" s="665"/>
      <c r="O206" s="665"/>
      <c r="P206" s="666"/>
      <c r="Q206" s="667"/>
      <c r="R206" s="668"/>
      <c r="S206" s="693"/>
      <c r="T206" s="694"/>
      <c r="U206" s="694"/>
      <c r="V206" s="693"/>
      <c r="W206" s="693"/>
      <c r="X206" s="693"/>
      <c r="Y206" s="671"/>
      <c r="Z206" s="673"/>
      <c r="AA206" s="672"/>
      <c r="AB206" s="695"/>
      <c r="AC206" s="673"/>
      <c r="AD206" s="673"/>
      <c r="AE206" s="673"/>
      <c r="AF206" s="673"/>
      <c r="AG206" s="673"/>
      <c r="AH206" s="673"/>
      <c r="AI206" s="673"/>
      <c r="AJ206" s="673"/>
      <c r="AK206" s="673"/>
      <c r="AL206" s="673"/>
      <c r="AM206" s="673"/>
      <c r="AN206" s="673"/>
      <c r="AO206" s="673"/>
      <c r="AP206" s="673"/>
      <c r="AQ206" s="673"/>
      <c r="AR206" s="673"/>
      <c r="AS206" s="673"/>
      <c r="AT206" s="696"/>
    </row>
    <row r="207" ht="15.75" customHeight="1">
      <c r="A207" s="653"/>
      <c r="B207" s="654"/>
      <c r="C207" s="691"/>
      <c r="D207" s="656"/>
      <c r="E207" s="657"/>
      <c r="F207" s="658"/>
      <c r="G207" s="659"/>
      <c r="H207" s="660"/>
      <c r="I207" s="659"/>
      <c r="J207" s="661"/>
      <c r="K207" s="692"/>
      <c r="L207" s="645"/>
      <c r="M207" s="663"/>
      <c r="N207" s="665"/>
      <c r="O207" s="665"/>
      <c r="P207" s="666"/>
      <c r="Q207" s="667"/>
      <c r="R207" s="668"/>
      <c r="S207" s="693"/>
      <c r="T207" s="694"/>
      <c r="U207" s="694"/>
      <c r="V207" s="693"/>
      <c r="W207" s="693"/>
      <c r="X207" s="693"/>
      <c r="Y207" s="671"/>
      <c r="Z207" s="673"/>
      <c r="AA207" s="672"/>
      <c r="AB207" s="695"/>
      <c r="AC207" s="673"/>
      <c r="AD207" s="673"/>
      <c r="AE207" s="673"/>
      <c r="AF207" s="673"/>
      <c r="AG207" s="673"/>
      <c r="AH207" s="673"/>
      <c r="AI207" s="673"/>
      <c r="AJ207" s="673"/>
      <c r="AK207" s="673"/>
      <c r="AL207" s="673"/>
      <c r="AM207" s="673"/>
      <c r="AN207" s="673"/>
      <c r="AO207" s="673"/>
      <c r="AP207" s="673"/>
      <c r="AQ207" s="673"/>
      <c r="AR207" s="673"/>
      <c r="AS207" s="673"/>
      <c r="AT207" s="696"/>
    </row>
    <row r="208" ht="15.75" customHeight="1">
      <c r="A208" s="653"/>
      <c r="B208" s="654"/>
      <c r="C208" s="691"/>
      <c r="D208" s="656"/>
      <c r="E208" s="657"/>
      <c r="F208" s="658"/>
      <c r="G208" s="659"/>
      <c r="H208" s="660"/>
      <c r="I208" s="659"/>
      <c r="J208" s="661"/>
      <c r="K208" s="692"/>
      <c r="L208" s="645"/>
      <c r="M208" s="663"/>
      <c r="N208" s="665"/>
      <c r="O208" s="665"/>
      <c r="P208" s="666"/>
      <c r="Q208" s="667"/>
      <c r="R208" s="668"/>
      <c r="S208" s="693"/>
      <c r="T208" s="694"/>
      <c r="U208" s="694"/>
      <c r="V208" s="693"/>
      <c r="W208" s="693"/>
      <c r="X208" s="693"/>
      <c r="Y208" s="671"/>
      <c r="Z208" s="673"/>
      <c r="AA208" s="672"/>
      <c r="AB208" s="695"/>
      <c r="AC208" s="673"/>
      <c r="AD208" s="673"/>
      <c r="AE208" s="673"/>
      <c r="AF208" s="673"/>
      <c r="AG208" s="673"/>
      <c r="AH208" s="673"/>
      <c r="AI208" s="673"/>
      <c r="AJ208" s="673"/>
      <c r="AK208" s="673"/>
      <c r="AL208" s="673"/>
      <c r="AM208" s="673"/>
      <c r="AN208" s="673"/>
      <c r="AO208" s="673"/>
      <c r="AP208" s="673"/>
      <c r="AQ208" s="673"/>
      <c r="AR208" s="673"/>
      <c r="AS208" s="673"/>
      <c r="AT208" s="696"/>
    </row>
    <row r="209" ht="15.75" customHeight="1">
      <c r="A209" s="653"/>
      <c r="B209" s="654"/>
      <c r="C209" s="691"/>
      <c r="D209" s="656"/>
      <c r="E209" s="657"/>
      <c r="F209" s="658"/>
      <c r="G209" s="659"/>
      <c r="H209" s="660"/>
      <c r="I209" s="659"/>
      <c r="J209" s="661"/>
      <c r="K209" s="692"/>
      <c r="L209" s="645"/>
      <c r="M209" s="663"/>
      <c r="N209" s="665"/>
      <c r="O209" s="665"/>
      <c r="P209" s="666"/>
      <c r="Q209" s="667"/>
      <c r="R209" s="668"/>
      <c r="S209" s="693"/>
      <c r="T209" s="694"/>
      <c r="U209" s="694"/>
      <c r="V209" s="693"/>
      <c r="W209" s="693"/>
      <c r="X209" s="693"/>
      <c r="Y209" s="671"/>
      <c r="Z209" s="673"/>
      <c r="AA209" s="672"/>
      <c r="AB209" s="695"/>
      <c r="AC209" s="673"/>
      <c r="AD209" s="673"/>
      <c r="AE209" s="673"/>
      <c r="AF209" s="673"/>
      <c r="AG209" s="673"/>
      <c r="AH209" s="673"/>
      <c r="AI209" s="673"/>
      <c r="AJ209" s="673"/>
      <c r="AK209" s="673"/>
      <c r="AL209" s="673"/>
      <c r="AM209" s="673"/>
      <c r="AN209" s="673"/>
      <c r="AO209" s="673"/>
      <c r="AP209" s="673"/>
      <c r="AQ209" s="673"/>
      <c r="AR209" s="673"/>
      <c r="AS209" s="673"/>
      <c r="AT209" s="696"/>
    </row>
    <row r="210" ht="15.75" customHeight="1">
      <c r="A210" s="653"/>
      <c r="B210" s="654"/>
      <c r="C210" s="691"/>
      <c r="D210" s="656"/>
      <c r="E210" s="657"/>
      <c r="F210" s="658"/>
      <c r="G210" s="659"/>
      <c r="H210" s="660"/>
      <c r="I210" s="659"/>
      <c r="J210" s="661"/>
      <c r="K210" s="692"/>
      <c r="L210" s="645"/>
      <c r="M210" s="663"/>
      <c r="N210" s="665"/>
      <c r="O210" s="665"/>
      <c r="P210" s="666"/>
      <c r="Q210" s="667"/>
      <c r="R210" s="668"/>
      <c r="S210" s="693"/>
      <c r="T210" s="694"/>
      <c r="U210" s="694"/>
      <c r="V210" s="693"/>
      <c r="W210" s="693"/>
      <c r="X210" s="693"/>
      <c r="Y210" s="671"/>
      <c r="Z210" s="673"/>
      <c r="AA210" s="672"/>
      <c r="AB210" s="695"/>
      <c r="AC210" s="673"/>
      <c r="AD210" s="673"/>
      <c r="AE210" s="673"/>
      <c r="AF210" s="673"/>
      <c r="AG210" s="673"/>
      <c r="AH210" s="673"/>
      <c r="AI210" s="673"/>
      <c r="AJ210" s="673"/>
      <c r="AK210" s="673"/>
      <c r="AL210" s="673"/>
      <c r="AM210" s="673"/>
      <c r="AN210" s="673"/>
      <c r="AO210" s="673"/>
      <c r="AP210" s="673"/>
      <c r="AQ210" s="673"/>
      <c r="AR210" s="673"/>
      <c r="AS210" s="673"/>
      <c r="AT210" s="696"/>
    </row>
    <row r="211" ht="15.75" customHeight="1">
      <c r="A211" s="653"/>
      <c r="B211" s="654"/>
      <c r="C211" s="691"/>
      <c r="D211" s="656"/>
      <c r="E211" s="657"/>
      <c r="F211" s="658"/>
      <c r="G211" s="659"/>
      <c r="H211" s="660"/>
      <c r="I211" s="659"/>
      <c r="J211" s="661"/>
      <c r="K211" s="692"/>
      <c r="L211" s="645"/>
      <c r="M211" s="663"/>
      <c r="N211" s="665"/>
      <c r="O211" s="665"/>
      <c r="P211" s="666"/>
      <c r="Q211" s="667"/>
      <c r="R211" s="668"/>
      <c r="S211" s="693"/>
      <c r="T211" s="694"/>
      <c r="U211" s="694"/>
      <c r="V211" s="693"/>
      <c r="W211" s="693"/>
      <c r="X211" s="693"/>
      <c r="Y211" s="671"/>
      <c r="Z211" s="673"/>
      <c r="AA211" s="672"/>
      <c r="AB211" s="695"/>
      <c r="AC211" s="673"/>
      <c r="AD211" s="673"/>
      <c r="AE211" s="673"/>
      <c r="AF211" s="673"/>
      <c r="AG211" s="673"/>
      <c r="AH211" s="673"/>
      <c r="AI211" s="673"/>
      <c r="AJ211" s="673"/>
      <c r="AK211" s="673"/>
      <c r="AL211" s="673"/>
      <c r="AM211" s="673"/>
      <c r="AN211" s="673"/>
      <c r="AO211" s="673"/>
      <c r="AP211" s="673"/>
      <c r="AQ211" s="673"/>
      <c r="AR211" s="673"/>
      <c r="AS211" s="673"/>
      <c r="AT211" s="696"/>
    </row>
    <row r="212" ht="15.75" customHeight="1">
      <c r="A212" s="653"/>
      <c r="B212" s="654"/>
      <c r="C212" s="691"/>
      <c r="D212" s="656"/>
      <c r="E212" s="657"/>
      <c r="F212" s="658"/>
      <c r="G212" s="659"/>
      <c r="H212" s="660"/>
      <c r="I212" s="659"/>
      <c r="J212" s="661"/>
      <c r="K212" s="692"/>
      <c r="L212" s="645"/>
      <c r="M212" s="663"/>
      <c r="N212" s="665"/>
      <c r="O212" s="665"/>
      <c r="P212" s="666"/>
      <c r="Q212" s="667"/>
      <c r="R212" s="668"/>
      <c r="S212" s="693"/>
      <c r="T212" s="694"/>
      <c r="U212" s="694"/>
      <c r="V212" s="693"/>
      <c r="W212" s="693"/>
      <c r="X212" s="693"/>
      <c r="Y212" s="671"/>
      <c r="Z212" s="673"/>
      <c r="AA212" s="672"/>
      <c r="AB212" s="695"/>
      <c r="AC212" s="673"/>
      <c r="AD212" s="673"/>
      <c r="AE212" s="673"/>
      <c r="AF212" s="673"/>
      <c r="AG212" s="673"/>
      <c r="AH212" s="673"/>
      <c r="AI212" s="673"/>
      <c r="AJ212" s="673"/>
      <c r="AK212" s="673"/>
      <c r="AL212" s="673"/>
      <c r="AM212" s="673"/>
      <c r="AN212" s="673"/>
      <c r="AO212" s="673"/>
      <c r="AP212" s="673"/>
      <c r="AQ212" s="673"/>
      <c r="AR212" s="673"/>
      <c r="AS212" s="673"/>
      <c r="AT212" s="696"/>
    </row>
    <row r="213" ht="15.75" customHeight="1">
      <c r="A213" s="653"/>
      <c r="B213" s="654"/>
      <c r="C213" s="691"/>
      <c r="D213" s="656"/>
      <c r="E213" s="657"/>
      <c r="F213" s="658"/>
      <c r="G213" s="659"/>
      <c r="H213" s="660"/>
      <c r="I213" s="659"/>
      <c r="J213" s="661"/>
      <c r="K213" s="692"/>
      <c r="L213" s="645"/>
      <c r="M213" s="663"/>
      <c r="N213" s="665"/>
      <c r="O213" s="665"/>
      <c r="P213" s="666"/>
      <c r="Q213" s="667"/>
      <c r="R213" s="668"/>
      <c r="S213" s="693"/>
      <c r="T213" s="694"/>
      <c r="U213" s="694"/>
      <c r="V213" s="693"/>
      <c r="W213" s="693"/>
      <c r="X213" s="693"/>
      <c r="Y213" s="671"/>
      <c r="Z213" s="673"/>
      <c r="AA213" s="672"/>
      <c r="AB213" s="695"/>
      <c r="AC213" s="673"/>
      <c r="AD213" s="673"/>
      <c r="AE213" s="673"/>
      <c r="AF213" s="673"/>
      <c r="AG213" s="673"/>
      <c r="AH213" s="673"/>
      <c r="AI213" s="673"/>
      <c r="AJ213" s="673"/>
      <c r="AK213" s="673"/>
      <c r="AL213" s="673"/>
      <c r="AM213" s="673"/>
      <c r="AN213" s="673"/>
      <c r="AO213" s="673"/>
      <c r="AP213" s="673"/>
      <c r="AQ213" s="673"/>
      <c r="AR213" s="673"/>
      <c r="AS213" s="673"/>
      <c r="AT213" s="696"/>
    </row>
    <row r="214" ht="15.75" customHeight="1">
      <c r="A214" s="653"/>
      <c r="B214" s="654"/>
      <c r="C214" s="691"/>
      <c r="D214" s="656"/>
      <c r="E214" s="657"/>
      <c r="F214" s="658"/>
      <c r="G214" s="659"/>
      <c r="H214" s="660"/>
      <c r="I214" s="659"/>
      <c r="J214" s="661"/>
      <c r="K214" s="692"/>
      <c r="L214" s="645"/>
      <c r="M214" s="663"/>
      <c r="N214" s="665"/>
      <c r="O214" s="665"/>
      <c r="P214" s="666"/>
      <c r="Q214" s="667"/>
      <c r="R214" s="668"/>
      <c r="S214" s="693"/>
      <c r="T214" s="694"/>
      <c r="U214" s="694"/>
      <c r="V214" s="693"/>
      <c r="W214" s="693"/>
      <c r="X214" s="693"/>
      <c r="Y214" s="671"/>
      <c r="Z214" s="673"/>
      <c r="AA214" s="672"/>
      <c r="AB214" s="695"/>
      <c r="AC214" s="673"/>
      <c r="AD214" s="673"/>
      <c r="AE214" s="673"/>
      <c r="AF214" s="673"/>
      <c r="AG214" s="673"/>
      <c r="AH214" s="673"/>
      <c r="AI214" s="673"/>
      <c r="AJ214" s="673"/>
      <c r="AK214" s="673"/>
      <c r="AL214" s="673"/>
      <c r="AM214" s="673"/>
      <c r="AN214" s="673"/>
      <c r="AO214" s="673"/>
      <c r="AP214" s="673"/>
      <c r="AQ214" s="673"/>
      <c r="AR214" s="673"/>
      <c r="AS214" s="673"/>
      <c r="AT214" s="696"/>
    </row>
    <row r="215" ht="15.75" customHeight="1">
      <c r="A215" s="653"/>
      <c r="B215" s="654"/>
      <c r="C215" s="691"/>
      <c r="D215" s="656"/>
      <c r="E215" s="657"/>
      <c r="F215" s="658"/>
      <c r="G215" s="659"/>
      <c r="H215" s="660"/>
      <c r="I215" s="659"/>
      <c r="J215" s="661"/>
      <c r="K215" s="692"/>
      <c r="L215" s="645"/>
      <c r="M215" s="663"/>
      <c r="N215" s="665"/>
      <c r="O215" s="665"/>
      <c r="P215" s="666"/>
      <c r="Q215" s="667"/>
      <c r="R215" s="668"/>
      <c r="S215" s="693"/>
      <c r="T215" s="694"/>
      <c r="U215" s="694"/>
      <c r="V215" s="693"/>
      <c r="W215" s="693"/>
      <c r="X215" s="693"/>
      <c r="Y215" s="671"/>
      <c r="Z215" s="673"/>
      <c r="AA215" s="672"/>
      <c r="AB215" s="695"/>
      <c r="AC215" s="673"/>
      <c r="AD215" s="673"/>
      <c r="AE215" s="673"/>
      <c r="AF215" s="673"/>
      <c r="AG215" s="673"/>
      <c r="AH215" s="673"/>
      <c r="AI215" s="673"/>
      <c r="AJ215" s="673"/>
      <c r="AK215" s="673"/>
      <c r="AL215" s="673"/>
      <c r="AM215" s="673"/>
      <c r="AN215" s="673"/>
      <c r="AO215" s="673"/>
      <c r="AP215" s="673"/>
      <c r="AQ215" s="673"/>
      <c r="AR215" s="673"/>
      <c r="AS215" s="673"/>
      <c r="AT215" s="696"/>
    </row>
    <row r="216" ht="15.75" customHeight="1">
      <c r="A216" s="653"/>
      <c r="B216" s="654"/>
      <c r="C216" s="691"/>
      <c r="D216" s="656"/>
      <c r="E216" s="657"/>
      <c r="F216" s="658"/>
      <c r="G216" s="659"/>
      <c r="H216" s="660"/>
      <c r="I216" s="659"/>
      <c r="J216" s="661"/>
      <c r="K216" s="692"/>
      <c r="L216" s="645"/>
      <c r="M216" s="663"/>
      <c r="N216" s="665"/>
      <c r="O216" s="665"/>
      <c r="P216" s="666"/>
      <c r="Q216" s="667"/>
      <c r="R216" s="668"/>
      <c r="S216" s="693"/>
      <c r="T216" s="694"/>
      <c r="U216" s="694"/>
      <c r="V216" s="693"/>
      <c r="W216" s="693"/>
      <c r="X216" s="693"/>
      <c r="Y216" s="671"/>
      <c r="Z216" s="673"/>
      <c r="AA216" s="672"/>
      <c r="AB216" s="695"/>
      <c r="AC216" s="673"/>
      <c r="AD216" s="673"/>
      <c r="AE216" s="673"/>
      <c r="AF216" s="673"/>
      <c r="AG216" s="673"/>
      <c r="AH216" s="673"/>
      <c r="AI216" s="673"/>
      <c r="AJ216" s="673"/>
      <c r="AK216" s="673"/>
      <c r="AL216" s="673"/>
      <c r="AM216" s="673"/>
      <c r="AN216" s="673"/>
      <c r="AO216" s="673"/>
      <c r="AP216" s="673"/>
      <c r="AQ216" s="673"/>
      <c r="AR216" s="673"/>
      <c r="AS216" s="673"/>
      <c r="AT216" s="696"/>
    </row>
    <row r="217" ht="15.75" customHeight="1">
      <c r="A217" s="653"/>
      <c r="B217" s="654"/>
      <c r="C217" s="691"/>
      <c r="D217" s="656"/>
      <c r="E217" s="657"/>
      <c r="F217" s="658"/>
      <c r="G217" s="659"/>
      <c r="H217" s="660"/>
      <c r="I217" s="659"/>
      <c r="J217" s="661"/>
      <c r="K217" s="692"/>
      <c r="L217" s="645"/>
      <c r="M217" s="663"/>
      <c r="N217" s="665"/>
      <c r="O217" s="665"/>
      <c r="P217" s="666"/>
      <c r="Q217" s="667"/>
      <c r="R217" s="668"/>
      <c r="S217" s="693"/>
      <c r="T217" s="694"/>
      <c r="U217" s="694"/>
      <c r="V217" s="693"/>
      <c r="W217" s="693"/>
      <c r="X217" s="693"/>
      <c r="Y217" s="671"/>
      <c r="Z217" s="673"/>
      <c r="AA217" s="672"/>
      <c r="AB217" s="695"/>
      <c r="AC217" s="673"/>
      <c r="AD217" s="673"/>
      <c r="AE217" s="673"/>
      <c r="AF217" s="673"/>
      <c r="AG217" s="673"/>
      <c r="AH217" s="673"/>
      <c r="AI217" s="673"/>
      <c r="AJ217" s="673"/>
      <c r="AK217" s="673"/>
      <c r="AL217" s="673"/>
      <c r="AM217" s="673"/>
      <c r="AN217" s="673"/>
      <c r="AO217" s="673"/>
      <c r="AP217" s="673"/>
      <c r="AQ217" s="673"/>
      <c r="AR217" s="673"/>
      <c r="AS217" s="673"/>
      <c r="AT217" s="696"/>
    </row>
    <row r="218" ht="15.75" customHeight="1">
      <c r="A218" s="653"/>
      <c r="B218" s="654"/>
      <c r="C218" s="691"/>
      <c r="D218" s="656"/>
      <c r="E218" s="657"/>
      <c r="F218" s="658"/>
      <c r="G218" s="659"/>
      <c r="H218" s="660"/>
      <c r="I218" s="659"/>
      <c r="J218" s="661"/>
      <c r="K218" s="692"/>
      <c r="L218" s="645"/>
      <c r="M218" s="663"/>
      <c r="N218" s="665"/>
      <c r="O218" s="665"/>
      <c r="P218" s="666"/>
      <c r="Q218" s="667"/>
      <c r="R218" s="668"/>
      <c r="S218" s="693"/>
      <c r="T218" s="694"/>
      <c r="U218" s="694"/>
      <c r="V218" s="693"/>
      <c r="W218" s="693"/>
      <c r="X218" s="693"/>
      <c r="Y218" s="671"/>
      <c r="Z218" s="673"/>
      <c r="AA218" s="672"/>
      <c r="AB218" s="695"/>
      <c r="AC218" s="673"/>
      <c r="AD218" s="673"/>
      <c r="AE218" s="673"/>
      <c r="AF218" s="673"/>
      <c r="AG218" s="673"/>
      <c r="AH218" s="673"/>
      <c r="AI218" s="673"/>
      <c r="AJ218" s="673"/>
      <c r="AK218" s="673"/>
      <c r="AL218" s="673"/>
      <c r="AM218" s="673"/>
      <c r="AN218" s="673"/>
      <c r="AO218" s="673"/>
      <c r="AP218" s="673"/>
      <c r="AQ218" s="673"/>
      <c r="AR218" s="673"/>
      <c r="AS218" s="673"/>
      <c r="AT218" s="696"/>
    </row>
    <row r="219" ht="15.75" customHeight="1">
      <c r="A219" s="653"/>
      <c r="B219" s="654"/>
      <c r="C219" s="691"/>
      <c r="D219" s="656"/>
      <c r="E219" s="657"/>
      <c r="F219" s="658"/>
      <c r="G219" s="659"/>
      <c r="H219" s="660"/>
      <c r="I219" s="659"/>
      <c r="J219" s="661"/>
      <c r="K219" s="692"/>
      <c r="L219" s="645"/>
      <c r="M219" s="663"/>
      <c r="N219" s="665"/>
      <c r="O219" s="665"/>
      <c r="P219" s="666"/>
      <c r="Q219" s="667"/>
      <c r="R219" s="668"/>
      <c r="S219" s="693"/>
      <c r="T219" s="694"/>
      <c r="U219" s="694"/>
      <c r="V219" s="693"/>
      <c r="W219" s="693"/>
      <c r="X219" s="693"/>
      <c r="Y219" s="671"/>
      <c r="Z219" s="673"/>
      <c r="AA219" s="672"/>
      <c r="AB219" s="695"/>
      <c r="AC219" s="673"/>
      <c r="AD219" s="673"/>
      <c r="AE219" s="673"/>
      <c r="AF219" s="673"/>
      <c r="AG219" s="673"/>
      <c r="AH219" s="673"/>
      <c r="AI219" s="673"/>
      <c r="AJ219" s="673"/>
      <c r="AK219" s="673"/>
      <c r="AL219" s="673"/>
      <c r="AM219" s="673"/>
      <c r="AN219" s="673"/>
      <c r="AO219" s="673"/>
      <c r="AP219" s="673"/>
      <c r="AQ219" s="673"/>
      <c r="AR219" s="673"/>
      <c r="AS219" s="673"/>
      <c r="AT219" s="696"/>
    </row>
    <row r="220" ht="15.75" customHeight="1">
      <c r="A220" s="653"/>
      <c r="B220" s="654"/>
      <c r="C220" s="691"/>
      <c r="D220" s="656"/>
      <c r="E220" s="657"/>
      <c r="F220" s="658"/>
      <c r="G220" s="659"/>
      <c r="H220" s="660"/>
      <c r="I220" s="659"/>
      <c r="J220" s="661"/>
      <c r="K220" s="692"/>
      <c r="L220" s="645"/>
      <c r="M220" s="663"/>
      <c r="N220" s="665"/>
      <c r="O220" s="665"/>
      <c r="P220" s="666"/>
      <c r="Q220" s="667"/>
      <c r="R220" s="668"/>
      <c r="S220" s="693"/>
      <c r="T220" s="694"/>
      <c r="U220" s="694"/>
      <c r="V220" s="693"/>
      <c r="W220" s="693"/>
      <c r="X220" s="693"/>
      <c r="Y220" s="671"/>
      <c r="Z220" s="673"/>
      <c r="AA220" s="672"/>
      <c r="AB220" s="695"/>
      <c r="AC220" s="673"/>
      <c r="AD220" s="673"/>
      <c r="AE220" s="673"/>
      <c r="AF220" s="673"/>
      <c r="AG220" s="673"/>
      <c r="AH220" s="673"/>
      <c r="AI220" s="673"/>
      <c r="AJ220" s="673"/>
      <c r="AK220" s="673"/>
      <c r="AL220" s="673"/>
      <c r="AM220" s="673"/>
      <c r="AN220" s="673"/>
      <c r="AO220" s="673"/>
      <c r="AP220" s="673"/>
      <c r="AQ220" s="673"/>
      <c r="AR220" s="673"/>
      <c r="AS220" s="673"/>
      <c r="AT220" s="696"/>
    </row>
    <row r="221" ht="15.75" customHeight="1">
      <c r="A221" s="653"/>
      <c r="B221" s="654"/>
      <c r="C221" s="691"/>
      <c r="D221" s="656"/>
      <c r="E221" s="657"/>
      <c r="F221" s="658"/>
      <c r="G221" s="659"/>
      <c r="H221" s="660"/>
      <c r="I221" s="659"/>
      <c r="J221" s="661"/>
      <c r="K221" s="692"/>
      <c r="L221" s="645"/>
      <c r="M221" s="663"/>
      <c r="N221" s="665"/>
      <c r="O221" s="665"/>
      <c r="P221" s="666"/>
      <c r="Q221" s="667"/>
      <c r="R221" s="668"/>
      <c r="S221" s="693"/>
      <c r="T221" s="694"/>
      <c r="U221" s="694"/>
      <c r="V221" s="693"/>
      <c r="W221" s="693"/>
      <c r="X221" s="693"/>
      <c r="Y221" s="671"/>
      <c r="Z221" s="673"/>
      <c r="AA221" s="672"/>
      <c r="AB221" s="695"/>
      <c r="AC221" s="673"/>
      <c r="AD221" s="673"/>
      <c r="AE221" s="673"/>
      <c r="AF221" s="673"/>
      <c r="AG221" s="673"/>
      <c r="AH221" s="673"/>
      <c r="AI221" s="673"/>
      <c r="AJ221" s="673"/>
      <c r="AK221" s="673"/>
      <c r="AL221" s="673"/>
      <c r="AM221" s="673"/>
      <c r="AN221" s="673"/>
      <c r="AO221" s="673"/>
      <c r="AP221" s="673"/>
      <c r="AQ221" s="673"/>
      <c r="AR221" s="673"/>
      <c r="AS221" s="673"/>
      <c r="AT221" s="696"/>
    </row>
    <row r="222" ht="15.75" customHeight="1">
      <c r="A222" s="653"/>
      <c r="B222" s="654"/>
      <c r="C222" s="691"/>
      <c r="D222" s="656"/>
      <c r="E222" s="657"/>
      <c r="F222" s="658"/>
      <c r="G222" s="659"/>
      <c r="H222" s="660"/>
      <c r="I222" s="659"/>
      <c r="J222" s="661"/>
      <c r="K222" s="692"/>
      <c r="L222" s="645"/>
      <c r="M222" s="663"/>
      <c r="N222" s="665"/>
      <c r="O222" s="665"/>
      <c r="P222" s="666"/>
      <c r="Q222" s="667"/>
      <c r="R222" s="668"/>
      <c r="S222" s="693"/>
      <c r="T222" s="694"/>
      <c r="U222" s="694"/>
      <c r="V222" s="693"/>
      <c r="W222" s="693"/>
      <c r="X222" s="693"/>
      <c r="Y222" s="671"/>
      <c r="Z222" s="673"/>
      <c r="AA222" s="672"/>
      <c r="AB222" s="695"/>
      <c r="AC222" s="673"/>
      <c r="AD222" s="673"/>
      <c r="AE222" s="673"/>
      <c r="AF222" s="673"/>
      <c r="AG222" s="673"/>
      <c r="AH222" s="673"/>
      <c r="AI222" s="673"/>
      <c r="AJ222" s="673"/>
      <c r="AK222" s="673"/>
      <c r="AL222" s="673"/>
      <c r="AM222" s="673"/>
      <c r="AN222" s="673"/>
      <c r="AO222" s="673"/>
      <c r="AP222" s="673"/>
      <c r="AQ222" s="673"/>
      <c r="AR222" s="673"/>
      <c r="AS222" s="673"/>
      <c r="AT222" s="696"/>
    </row>
    <row r="223" ht="15.75" customHeight="1">
      <c r="A223" s="653"/>
      <c r="B223" s="654"/>
      <c r="C223" s="691"/>
      <c r="D223" s="656"/>
      <c r="E223" s="657"/>
      <c r="F223" s="658"/>
      <c r="G223" s="659"/>
      <c r="H223" s="660"/>
      <c r="I223" s="659"/>
      <c r="J223" s="661"/>
      <c r="K223" s="692"/>
      <c r="L223" s="645"/>
      <c r="M223" s="663"/>
      <c r="N223" s="665"/>
      <c r="O223" s="665"/>
      <c r="P223" s="666"/>
      <c r="Q223" s="667"/>
      <c r="R223" s="668"/>
      <c r="S223" s="693"/>
      <c r="T223" s="694"/>
      <c r="U223" s="694"/>
      <c r="V223" s="693"/>
      <c r="W223" s="693"/>
      <c r="X223" s="693"/>
      <c r="Y223" s="671"/>
      <c r="Z223" s="673"/>
      <c r="AA223" s="672"/>
      <c r="AB223" s="695"/>
      <c r="AC223" s="673"/>
      <c r="AD223" s="673"/>
      <c r="AE223" s="673"/>
      <c r="AF223" s="673"/>
      <c r="AG223" s="673"/>
      <c r="AH223" s="673"/>
      <c r="AI223" s="673"/>
      <c r="AJ223" s="673"/>
      <c r="AK223" s="673"/>
      <c r="AL223" s="673"/>
      <c r="AM223" s="673"/>
      <c r="AN223" s="673"/>
      <c r="AO223" s="673"/>
      <c r="AP223" s="673"/>
      <c r="AQ223" s="673"/>
      <c r="AR223" s="673"/>
      <c r="AS223" s="673"/>
      <c r="AT223" s="696"/>
    </row>
    <row r="224" ht="15.75" customHeight="1">
      <c r="A224" s="653"/>
      <c r="B224" s="654"/>
      <c r="C224" s="691"/>
      <c r="D224" s="656"/>
      <c r="E224" s="657"/>
      <c r="F224" s="658"/>
      <c r="G224" s="659"/>
      <c r="H224" s="660"/>
      <c r="I224" s="659"/>
      <c r="J224" s="661"/>
      <c r="K224" s="692"/>
      <c r="L224" s="645"/>
      <c r="M224" s="663"/>
      <c r="N224" s="665"/>
      <c r="O224" s="665"/>
      <c r="P224" s="666"/>
      <c r="Q224" s="667"/>
      <c r="R224" s="668"/>
      <c r="S224" s="693"/>
      <c r="T224" s="694"/>
      <c r="U224" s="694"/>
      <c r="V224" s="693"/>
      <c r="W224" s="693"/>
      <c r="X224" s="693"/>
      <c r="Y224" s="671"/>
      <c r="Z224" s="673"/>
      <c r="AA224" s="672"/>
      <c r="AB224" s="695"/>
      <c r="AC224" s="673"/>
      <c r="AD224" s="673"/>
      <c r="AE224" s="673"/>
      <c r="AF224" s="673"/>
      <c r="AG224" s="673"/>
      <c r="AH224" s="673"/>
      <c r="AI224" s="673"/>
      <c r="AJ224" s="673"/>
      <c r="AK224" s="673"/>
      <c r="AL224" s="673"/>
      <c r="AM224" s="673"/>
      <c r="AN224" s="673"/>
      <c r="AO224" s="673"/>
      <c r="AP224" s="673"/>
      <c r="AQ224" s="673"/>
      <c r="AR224" s="673"/>
      <c r="AS224" s="673"/>
      <c r="AT224" s="696"/>
    </row>
    <row r="225" ht="15.75" customHeight="1">
      <c r="A225" s="653"/>
      <c r="B225" s="654"/>
      <c r="C225" s="691"/>
      <c r="D225" s="656"/>
      <c r="E225" s="657"/>
      <c r="F225" s="658"/>
      <c r="G225" s="659"/>
      <c r="H225" s="660"/>
      <c r="I225" s="659"/>
      <c r="J225" s="661"/>
      <c r="K225" s="692"/>
      <c r="L225" s="645"/>
      <c r="M225" s="663"/>
      <c r="N225" s="665"/>
      <c r="O225" s="665"/>
      <c r="P225" s="666"/>
      <c r="Q225" s="667"/>
      <c r="R225" s="668"/>
      <c r="S225" s="693"/>
      <c r="T225" s="694"/>
      <c r="U225" s="694"/>
      <c r="V225" s="693"/>
      <c r="W225" s="693"/>
      <c r="X225" s="693"/>
      <c r="Y225" s="671"/>
      <c r="Z225" s="673"/>
      <c r="AA225" s="672"/>
      <c r="AB225" s="695"/>
      <c r="AC225" s="673"/>
      <c r="AD225" s="673"/>
      <c r="AE225" s="673"/>
      <c r="AF225" s="673"/>
      <c r="AG225" s="673"/>
      <c r="AH225" s="673"/>
      <c r="AI225" s="673"/>
      <c r="AJ225" s="673"/>
      <c r="AK225" s="673"/>
      <c r="AL225" s="673"/>
      <c r="AM225" s="673"/>
      <c r="AN225" s="673"/>
      <c r="AO225" s="673"/>
      <c r="AP225" s="673"/>
      <c r="AQ225" s="673"/>
      <c r="AR225" s="673"/>
      <c r="AS225" s="673"/>
      <c r="AT225" s="696"/>
    </row>
    <row r="226" ht="15.75" customHeight="1">
      <c r="A226" s="653"/>
      <c r="B226" s="654"/>
      <c r="C226" s="691"/>
      <c r="D226" s="656"/>
      <c r="E226" s="657"/>
      <c r="F226" s="658"/>
      <c r="G226" s="659"/>
      <c r="H226" s="660"/>
      <c r="I226" s="659"/>
      <c r="J226" s="661"/>
      <c r="K226" s="692"/>
      <c r="L226" s="645"/>
      <c r="M226" s="663"/>
      <c r="N226" s="665"/>
      <c r="O226" s="665"/>
      <c r="P226" s="666"/>
      <c r="Q226" s="667"/>
      <c r="R226" s="668"/>
      <c r="S226" s="693"/>
      <c r="T226" s="694"/>
      <c r="U226" s="694"/>
      <c r="V226" s="693"/>
      <c r="W226" s="693"/>
      <c r="X226" s="693"/>
      <c r="Y226" s="671"/>
      <c r="Z226" s="673"/>
      <c r="AA226" s="672"/>
      <c r="AB226" s="695"/>
      <c r="AC226" s="673"/>
      <c r="AD226" s="673"/>
      <c r="AE226" s="673"/>
      <c r="AF226" s="673"/>
      <c r="AG226" s="673"/>
      <c r="AH226" s="673"/>
      <c r="AI226" s="673"/>
      <c r="AJ226" s="673"/>
      <c r="AK226" s="673"/>
      <c r="AL226" s="673"/>
      <c r="AM226" s="673"/>
      <c r="AN226" s="673"/>
      <c r="AO226" s="673"/>
      <c r="AP226" s="673"/>
      <c r="AQ226" s="673"/>
      <c r="AR226" s="673"/>
      <c r="AS226" s="673"/>
      <c r="AT226" s="696"/>
    </row>
    <row r="227" ht="15.75" customHeight="1">
      <c r="A227" s="653"/>
      <c r="B227" s="654"/>
      <c r="C227" s="691"/>
      <c r="D227" s="656"/>
      <c r="E227" s="657"/>
      <c r="F227" s="658"/>
      <c r="G227" s="659"/>
      <c r="H227" s="660"/>
      <c r="I227" s="659"/>
      <c r="J227" s="661"/>
      <c r="K227" s="692"/>
      <c r="L227" s="645"/>
      <c r="M227" s="663"/>
      <c r="N227" s="665"/>
      <c r="O227" s="665"/>
      <c r="P227" s="666"/>
      <c r="Q227" s="667"/>
      <c r="R227" s="668"/>
      <c r="S227" s="693"/>
      <c r="T227" s="694"/>
      <c r="U227" s="694"/>
      <c r="V227" s="693"/>
      <c r="W227" s="693"/>
      <c r="X227" s="693"/>
      <c r="Y227" s="671"/>
      <c r="Z227" s="673"/>
      <c r="AA227" s="672"/>
      <c r="AB227" s="695"/>
      <c r="AC227" s="673"/>
      <c r="AD227" s="673"/>
      <c r="AE227" s="673"/>
      <c r="AF227" s="673"/>
      <c r="AG227" s="673"/>
      <c r="AH227" s="673"/>
      <c r="AI227" s="673"/>
      <c r="AJ227" s="673"/>
      <c r="AK227" s="673"/>
      <c r="AL227" s="673"/>
      <c r="AM227" s="673"/>
      <c r="AN227" s="673"/>
      <c r="AO227" s="673"/>
      <c r="AP227" s="673"/>
      <c r="AQ227" s="673"/>
      <c r="AR227" s="673"/>
      <c r="AS227" s="673"/>
      <c r="AT227" s="696"/>
    </row>
    <row r="228" ht="15.75" customHeight="1">
      <c r="A228" s="653"/>
      <c r="B228" s="654"/>
      <c r="C228" s="691"/>
      <c r="D228" s="656"/>
      <c r="E228" s="657"/>
      <c r="F228" s="658"/>
      <c r="G228" s="659"/>
      <c r="H228" s="660"/>
      <c r="I228" s="659"/>
      <c r="J228" s="661"/>
      <c r="K228" s="692"/>
      <c r="L228" s="645"/>
      <c r="M228" s="663"/>
      <c r="N228" s="665"/>
      <c r="O228" s="665"/>
      <c r="P228" s="666"/>
      <c r="Q228" s="667"/>
      <c r="R228" s="668"/>
      <c r="S228" s="693"/>
      <c r="T228" s="694"/>
      <c r="U228" s="694"/>
      <c r="V228" s="693"/>
      <c r="W228" s="693"/>
      <c r="X228" s="693"/>
      <c r="Y228" s="671"/>
      <c r="Z228" s="673"/>
      <c r="AA228" s="672"/>
      <c r="AB228" s="695"/>
      <c r="AC228" s="673"/>
      <c r="AD228" s="673"/>
      <c r="AE228" s="673"/>
      <c r="AF228" s="673"/>
      <c r="AG228" s="673"/>
      <c r="AH228" s="673"/>
      <c r="AI228" s="673"/>
      <c r="AJ228" s="673"/>
      <c r="AK228" s="673"/>
      <c r="AL228" s="673"/>
      <c r="AM228" s="673"/>
      <c r="AN228" s="673"/>
      <c r="AO228" s="673"/>
      <c r="AP228" s="673"/>
      <c r="AQ228" s="673"/>
      <c r="AR228" s="673"/>
      <c r="AS228" s="673"/>
      <c r="AT228" s="696"/>
    </row>
    <row r="229" ht="15.75" customHeight="1">
      <c r="A229" s="653"/>
      <c r="B229" s="654"/>
      <c r="C229" s="691"/>
      <c r="D229" s="656"/>
      <c r="E229" s="657"/>
      <c r="F229" s="658"/>
      <c r="G229" s="659"/>
      <c r="H229" s="660"/>
      <c r="I229" s="659"/>
      <c r="J229" s="661"/>
      <c r="K229" s="692"/>
      <c r="L229" s="645"/>
      <c r="M229" s="663"/>
      <c r="N229" s="665"/>
      <c r="O229" s="665"/>
      <c r="P229" s="666"/>
      <c r="Q229" s="667"/>
      <c r="R229" s="668"/>
      <c r="S229" s="693"/>
      <c r="T229" s="694"/>
      <c r="U229" s="694"/>
      <c r="V229" s="693"/>
      <c r="W229" s="693"/>
      <c r="X229" s="693"/>
      <c r="Y229" s="671"/>
      <c r="Z229" s="673"/>
      <c r="AA229" s="672"/>
      <c r="AB229" s="695"/>
      <c r="AC229" s="673"/>
      <c r="AD229" s="673"/>
      <c r="AE229" s="673"/>
      <c r="AF229" s="673"/>
      <c r="AG229" s="673"/>
      <c r="AH229" s="673"/>
      <c r="AI229" s="673"/>
      <c r="AJ229" s="673"/>
      <c r="AK229" s="673"/>
      <c r="AL229" s="673"/>
      <c r="AM229" s="673"/>
      <c r="AN229" s="673"/>
      <c r="AO229" s="673"/>
      <c r="AP229" s="673"/>
      <c r="AQ229" s="673"/>
      <c r="AR229" s="673"/>
      <c r="AS229" s="673"/>
      <c r="AT229" s="696"/>
    </row>
    <row r="230" ht="15.75" customHeight="1">
      <c r="A230" s="653"/>
      <c r="B230" s="654"/>
      <c r="C230" s="691"/>
      <c r="D230" s="656"/>
      <c r="E230" s="657"/>
      <c r="F230" s="658"/>
      <c r="G230" s="659"/>
      <c r="H230" s="660"/>
      <c r="I230" s="659"/>
      <c r="J230" s="661"/>
      <c r="K230" s="692"/>
      <c r="L230" s="645"/>
      <c r="M230" s="663"/>
      <c r="N230" s="665"/>
      <c r="O230" s="665"/>
      <c r="P230" s="666"/>
      <c r="Q230" s="667"/>
      <c r="R230" s="668"/>
      <c r="S230" s="693"/>
      <c r="T230" s="694"/>
      <c r="U230" s="694"/>
      <c r="V230" s="693"/>
      <c r="W230" s="693"/>
      <c r="X230" s="693"/>
      <c r="Y230" s="671"/>
      <c r="Z230" s="673"/>
      <c r="AA230" s="672"/>
      <c r="AB230" s="695"/>
      <c r="AC230" s="673"/>
      <c r="AD230" s="673"/>
      <c r="AE230" s="673"/>
      <c r="AF230" s="673"/>
      <c r="AG230" s="673"/>
      <c r="AH230" s="673"/>
      <c r="AI230" s="673"/>
      <c r="AJ230" s="673"/>
      <c r="AK230" s="673"/>
      <c r="AL230" s="673"/>
      <c r="AM230" s="673"/>
      <c r="AN230" s="673"/>
      <c r="AO230" s="673"/>
      <c r="AP230" s="673"/>
      <c r="AQ230" s="673"/>
      <c r="AR230" s="673"/>
      <c r="AS230" s="673"/>
      <c r="AT230" s="696"/>
    </row>
    <row r="231" ht="15.75" customHeight="1">
      <c r="A231" s="653"/>
      <c r="B231" s="654"/>
      <c r="C231" s="691"/>
      <c r="D231" s="656"/>
      <c r="E231" s="657"/>
      <c r="F231" s="658"/>
      <c r="G231" s="659"/>
      <c r="H231" s="660"/>
      <c r="I231" s="659"/>
      <c r="J231" s="661"/>
      <c r="K231" s="692"/>
      <c r="L231" s="645"/>
      <c r="M231" s="663"/>
      <c r="N231" s="665"/>
      <c r="O231" s="665"/>
      <c r="P231" s="666"/>
      <c r="Q231" s="667"/>
      <c r="R231" s="668"/>
      <c r="S231" s="693"/>
      <c r="T231" s="694"/>
      <c r="U231" s="694"/>
      <c r="V231" s="693"/>
      <c r="W231" s="693"/>
      <c r="X231" s="693"/>
      <c r="Y231" s="671"/>
      <c r="Z231" s="673"/>
      <c r="AA231" s="672"/>
      <c r="AB231" s="695"/>
      <c r="AC231" s="673"/>
      <c r="AD231" s="673"/>
      <c r="AE231" s="673"/>
      <c r="AF231" s="673"/>
      <c r="AG231" s="673"/>
      <c r="AH231" s="673"/>
      <c r="AI231" s="673"/>
      <c r="AJ231" s="673"/>
      <c r="AK231" s="673"/>
      <c r="AL231" s="673"/>
      <c r="AM231" s="673"/>
      <c r="AN231" s="673"/>
      <c r="AO231" s="673"/>
      <c r="AP231" s="673"/>
      <c r="AQ231" s="673"/>
      <c r="AR231" s="673"/>
      <c r="AS231" s="673"/>
      <c r="AT231" s="696"/>
    </row>
    <row r="232" ht="15.75" customHeight="1">
      <c r="A232" s="653"/>
      <c r="B232" s="654"/>
      <c r="C232" s="691"/>
      <c r="D232" s="656"/>
      <c r="E232" s="657"/>
      <c r="F232" s="658"/>
      <c r="G232" s="659"/>
      <c r="H232" s="660"/>
      <c r="I232" s="659"/>
      <c r="J232" s="661"/>
      <c r="K232" s="692"/>
      <c r="L232" s="645"/>
      <c r="M232" s="663"/>
      <c r="N232" s="665"/>
      <c r="O232" s="665"/>
      <c r="P232" s="666"/>
      <c r="Q232" s="667"/>
      <c r="R232" s="668"/>
      <c r="S232" s="693"/>
      <c r="T232" s="694"/>
      <c r="U232" s="694"/>
      <c r="V232" s="693"/>
      <c r="W232" s="693"/>
      <c r="X232" s="693"/>
      <c r="Y232" s="671"/>
      <c r="Z232" s="673"/>
      <c r="AA232" s="672"/>
      <c r="AB232" s="695"/>
      <c r="AC232" s="673"/>
      <c r="AD232" s="673"/>
      <c r="AE232" s="673"/>
      <c r="AF232" s="673"/>
      <c r="AG232" s="673"/>
      <c r="AH232" s="673"/>
      <c r="AI232" s="673"/>
      <c r="AJ232" s="673"/>
      <c r="AK232" s="673"/>
      <c r="AL232" s="673"/>
      <c r="AM232" s="673"/>
      <c r="AN232" s="673"/>
      <c r="AO232" s="673"/>
      <c r="AP232" s="673"/>
      <c r="AQ232" s="673"/>
      <c r="AR232" s="673"/>
      <c r="AS232" s="673"/>
      <c r="AT232" s="696"/>
    </row>
    <row r="233" ht="15.75" customHeight="1">
      <c r="A233" s="653"/>
      <c r="B233" s="654"/>
      <c r="C233" s="691"/>
      <c r="D233" s="656"/>
      <c r="E233" s="657"/>
      <c r="F233" s="658"/>
      <c r="G233" s="659"/>
      <c r="H233" s="660"/>
      <c r="I233" s="659"/>
      <c r="J233" s="661"/>
      <c r="K233" s="692"/>
      <c r="L233" s="645"/>
      <c r="M233" s="663"/>
      <c r="N233" s="665"/>
      <c r="O233" s="665"/>
      <c r="P233" s="666"/>
      <c r="Q233" s="667"/>
      <c r="R233" s="668"/>
      <c r="S233" s="693"/>
      <c r="T233" s="694"/>
      <c r="U233" s="694"/>
      <c r="V233" s="693"/>
      <c r="W233" s="693"/>
      <c r="X233" s="693"/>
      <c r="Y233" s="671"/>
      <c r="Z233" s="673"/>
      <c r="AA233" s="672"/>
      <c r="AB233" s="695"/>
      <c r="AC233" s="673"/>
      <c r="AD233" s="673"/>
      <c r="AE233" s="673"/>
      <c r="AF233" s="673"/>
      <c r="AG233" s="673"/>
      <c r="AH233" s="673"/>
      <c r="AI233" s="673"/>
      <c r="AJ233" s="673"/>
      <c r="AK233" s="673"/>
      <c r="AL233" s="673"/>
      <c r="AM233" s="673"/>
      <c r="AN233" s="673"/>
      <c r="AO233" s="673"/>
      <c r="AP233" s="673"/>
      <c r="AQ233" s="673"/>
      <c r="AR233" s="673"/>
      <c r="AS233" s="673"/>
      <c r="AT233" s="696"/>
    </row>
    <row r="234" ht="15.75" customHeight="1">
      <c r="A234" s="653"/>
      <c r="B234" s="654"/>
      <c r="C234" s="691"/>
      <c r="D234" s="656"/>
      <c r="E234" s="657"/>
      <c r="F234" s="658"/>
      <c r="G234" s="659"/>
      <c r="H234" s="660"/>
      <c r="I234" s="659"/>
      <c r="J234" s="661"/>
      <c r="K234" s="692"/>
      <c r="L234" s="645"/>
      <c r="M234" s="663"/>
      <c r="N234" s="665"/>
      <c r="O234" s="665"/>
      <c r="P234" s="666"/>
      <c r="Q234" s="667"/>
      <c r="R234" s="668"/>
      <c r="S234" s="693"/>
      <c r="T234" s="694"/>
      <c r="U234" s="694"/>
      <c r="V234" s="693"/>
      <c r="W234" s="693"/>
      <c r="X234" s="693"/>
      <c r="Y234" s="671"/>
      <c r="Z234" s="673"/>
      <c r="AA234" s="672"/>
      <c r="AB234" s="695"/>
      <c r="AC234" s="673"/>
      <c r="AD234" s="673"/>
      <c r="AE234" s="673"/>
      <c r="AF234" s="673"/>
      <c r="AG234" s="673"/>
      <c r="AH234" s="673"/>
      <c r="AI234" s="673"/>
      <c r="AJ234" s="673"/>
      <c r="AK234" s="673"/>
      <c r="AL234" s="673"/>
      <c r="AM234" s="673"/>
      <c r="AN234" s="673"/>
      <c r="AO234" s="673"/>
      <c r="AP234" s="673"/>
      <c r="AQ234" s="673"/>
      <c r="AR234" s="673"/>
      <c r="AS234" s="673"/>
      <c r="AT234" s="696"/>
    </row>
    <row r="235" ht="15.75" customHeight="1">
      <c r="A235" s="653"/>
      <c r="B235" s="654"/>
      <c r="C235" s="691"/>
      <c r="D235" s="656"/>
      <c r="E235" s="657"/>
      <c r="F235" s="658"/>
      <c r="G235" s="659"/>
      <c r="H235" s="660"/>
      <c r="I235" s="659"/>
      <c r="J235" s="661"/>
      <c r="K235" s="692"/>
      <c r="L235" s="645"/>
      <c r="M235" s="663"/>
      <c r="N235" s="665"/>
      <c r="O235" s="665"/>
      <c r="P235" s="666"/>
      <c r="Q235" s="667"/>
      <c r="R235" s="668"/>
      <c r="S235" s="693"/>
      <c r="T235" s="694"/>
      <c r="U235" s="694"/>
      <c r="V235" s="693"/>
      <c r="W235" s="693"/>
      <c r="X235" s="693"/>
      <c r="Y235" s="671"/>
      <c r="Z235" s="673"/>
      <c r="AA235" s="672"/>
      <c r="AB235" s="695"/>
      <c r="AC235" s="673"/>
      <c r="AD235" s="673"/>
      <c r="AE235" s="673"/>
      <c r="AF235" s="673"/>
      <c r="AG235" s="673"/>
      <c r="AH235" s="673"/>
      <c r="AI235" s="673"/>
      <c r="AJ235" s="673"/>
      <c r="AK235" s="673"/>
      <c r="AL235" s="673"/>
      <c r="AM235" s="673"/>
      <c r="AN235" s="673"/>
      <c r="AO235" s="673"/>
      <c r="AP235" s="673"/>
      <c r="AQ235" s="673"/>
      <c r="AR235" s="673"/>
      <c r="AS235" s="673"/>
      <c r="AT235" s="696"/>
    </row>
    <row r="236" ht="15.75" customHeight="1">
      <c r="A236" s="653"/>
      <c r="B236" s="654"/>
      <c r="C236" s="691"/>
      <c r="D236" s="656"/>
      <c r="E236" s="657"/>
      <c r="F236" s="658"/>
      <c r="G236" s="659"/>
      <c r="H236" s="660"/>
      <c r="I236" s="659"/>
      <c r="J236" s="661"/>
      <c r="K236" s="692"/>
      <c r="L236" s="645"/>
      <c r="M236" s="663"/>
      <c r="N236" s="665"/>
      <c r="O236" s="665"/>
      <c r="P236" s="666"/>
      <c r="Q236" s="667"/>
      <c r="R236" s="668"/>
      <c r="S236" s="693"/>
      <c r="T236" s="694"/>
      <c r="U236" s="694"/>
      <c r="V236" s="693"/>
      <c r="W236" s="693"/>
      <c r="X236" s="693"/>
      <c r="Y236" s="671"/>
      <c r="Z236" s="673"/>
      <c r="AA236" s="672"/>
      <c r="AB236" s="695"/>
      <c r="AC236" s="673"/>
      <c r="AD236" s="673"/>
      <c r="AE236" s="673"/>
      <c r="AF236" s="673"/>
      <c r="AG236" s="673"/>
      <c r="AH236" s="673"/>
      <c r="AI236" s="673"/>
      <c r="AJ236" s="673"/>
      <c r="AK236" s="673"/>
      <c r="AL236" s="673"/>
      <c r="AM236" s="673"/>
      <c r="AN236" s="673"/>
      <c r="AO236" s="673"/>
      <c r="AP236" s="673"/>
      <c r="AQ236" s="673"/>
      <c r="AR236" s="673"/>
      <c r="AS236" s="673"/>
      <c r="AT236" s="696"/>
    </row>
    <row r="237" ht="15.75" customHeight="1">
      <c r="A237" s="653"/>
      <c r="B237" s="654"/>
      <c r="C237" s="691"/>
      <c r="D237" s="656"/>
      <c r="E237" s="657"/>
      <c r="F237" s="658"/>
      <c r="G237" s="659"/>
      <c r="H237" s="660"/>
      <c r="I237" s="659"/>
      <c r="J237" s="661"/>
      <c r="K237" s="692"/>
      <c r="L237" s="645"/>
      <c r="M237" s="663"/>
      <c r="N237" s="665"/>
      <c r="O237" s="665"/>
      <c r="P237" s="666"/>
      <c r="Q237" s="667"/>
      <c r="R237" s="668"/>
      <c r="S237" s="693"/>
      <c r="T237" s="694"/>
      <c r="U237" s="694"/>
      <c r="V237" s="693"/>
      <c r="W237" s="693"/>
      <c r="X237" s="693"/>
      <c r="Y237" s="671"/>
      <c r="Z237" s="673"/>
      <c r="AA237" s="672"/>
      <c r="AB237" s="695"/>
      <c r="AC237" s="673"/>
      <c r="AD237" s="673"/>
      <c r="AE237" s="673"/>
      <c r="AF237" s="673"/>
      <c r="AG237" s="673"/>
      <c r="AH237" s="673"/>
      <c r="AI237" s="673"/>
      <c r="AJ237" s="673"/>
      <c r="AK237" s="673"/>
      <c r="AL237" s="673"/>
      <c r="AM237" s="673"/>
      <c r="AN237" s="673"/>
      <c r="AO237" s="673"/>
      <c r="AP237" s="673"/>
      <c r="AQ237" s="673"/>
      <c r="AR237" s="673"/>
      <c r="AS237" s="673"/>
      <c r="AT237" s="696"/>
    </row>
    <row r="238" ht="15.75" customHeight="1">
      <c r="A238" s="653"/>
      <c r="B238" s="654"/>
      <c r="C238" s="691"/>
      <c r="D238" s="656"/>
      <c r="E238" s="657"/>
      <c r="F238" s="658"/>
      <c r="G238" s="659"/>
      <c r="H238" s="660"/>
      <c r="I238" s="659"/>
      <c r="J238" s="661"/>
      <c r="K238" s="692"/>
      <c r="L238" s="645"/>
      <c r="M238" s="663"/>
      <c r="N238" s="665"/>
      <c r="O238" s="665"/>
      <c r="P238" s="666"/>
      <c r="Q238" s="667"/>
      <c r="R238" s="668"/>
      <c r="S238" s="693"/>
      <c r="T238" s="694"/>
      <c r="U238" s="694"/>
      <c r="V238" s="693"/>
      <c r="W238" s="693"/>
      <c r="X238" s="693"/>
      <c r="Y238" s="671"/>
      <c r="Z238" s="673"/>
      <c r="AA238" s="672"/>
      <c r="AB238" s="695"/>
      <c r="AC238" s="673"/>
      <c r="AD238" s="673"/>
      <c r="AE238" s="673"/>
      <c r="AF238" s="673"/>
      <c r="AG238" s="673"/>
      <c r="AH238" s="673"/>
      <c r="AI238" s="673"/>
      <c r="AJ238" s="673"/>
      <c r="AK238" s="673"/>
      <c r="AL238" s="673"/>
      <c r="AM238" s="673"/>
      <c r="AN238" s="673"/>
      <c r="AO238" s="673"/>
      <c r="AP238" s="673"/>
      <c r="AQ238" s="673"/>
      <c r="AR238" s="673"/>
      <c r="AS238" s="673"/>
      <c r="AT238" s="696"/>
    </row>
    <row r="239" ht="15.75" customHeight="1">
      <c r="A239" s="653"/>
      <c r="B239" s="654"/>
      <c r="C239" s="691"/>
      <c r="D239" s="656"/>
      <c r="E239" s="657"/>
      <c r="F239" s="658"/>
      <c r="G239" s="659"/>
      <c r="H239" s="660"/>
      <c r="I239" s="659"/>
      <c r="J239" s="661"/>
      <c r="K239" s="692"/>
      <c r="L239" s="645"/>
      <c r="M239" s="663"/>
      <c r="N239" s="665"/>
      <c r="O239" s="665"/>
      <c r="P239" s="666"/>
      <c r="Q239" s="667"/>
      <c r="R239" s="668"/>
      <c r="S239" s="693"/>
      <c r="T239" s="694"/>
      <c r="U239" s="694"/>
      <c r="V239" s="693"/>
      <c r="W239" s="693"/>
      <c r="X239" s="693"/>
      <c r="Y239" s="671"/>
      <c r="Z239" s="673"/>
      <c r="AA239" s="672"/>
      <c r="AB239" s="695"/>
      <c r="AC239" s="673"/>
      <c r="AD239" s="673"/>
      <c r="AE239" s="673"/>
      <c r="AF239" s="673"/>
      <c r="AG239" s="673"/>
      <c r="AH239" s="673"/>
      <c r="AI239" s="673"/>
      <c r="AJ239" s="673"/>
      <c r="AK239" s="673"/>
      <c r="AL239" s="673"/>
      <c r="AM239" s="673"/>
      <c r="AN239" s="673"/>
      <c r="AO239" s="673"/>
      <c r="AP239" s="673"/>
      <c r="AQ239" s="673"/>
      <c r="AR239" s="673"/>
      <c r="AS239" s="673"/>
      <c r="AT239" s="696"/>
    </row>
    <row r="240" ht="15.75" customHeight="1">
      <c r="A240" s="653"/>
      <c r="B240" s="654"/>
      <c r="C240" s="691"/>
      <c r="D240" s="656"/>
      <c r="E240" s="657"/>
      <c r="F240" s="658"/>
      <c r="G240" s="659"/>
      <c r="H240" s="660"/>
      <c r="I240" s="659"/>
      <c r="J240" s="661"/>
      <c r="K240" s="692"/>
      <c r="L240" s="645"/>
      <c r="M240" s="663"/>
      <c r="N240" s="665"/>
      <c r="O240" s="665"/>
      <c r="P240" s="666"/>
      <c r="Q240" s="667"/>
      <c r="R240" s="668"/>
      <c r="S240" s="693"/>
      <c r="T240" s="694"/>
      <c r="U240" s="694"/>
      <c r="V240" s="693"/>
      <c r="W240" s="693"/>
      <c r="X240" s="693"/>
      <c r="Y240" s="671"/>
      <c r="Z240" s="673"/>
      <c r="AA240" s="672"/>
      <c r="AB240" s="695"/>
      <c r="AC240" s="673"/>
      <c r="AD240" s="673"/>
      <c r="AE240" s="673"/>
      <c r="AF240" s="673"/>
      <c r="AG240" s="673"/>
      <c r="AH240" s="673"/>
      <c r="AI240" s="673"/>
      <c r="AJ240" s="673"/>
      <c r="AK240" s="673"/>
      <c r="AL240" s="673"/>
      <c r="AM240" s="673"/>
      <c r="AN240" s="673"/>
      <c r="AO240" s="673"/>
      <c r="AP240" s="673"/>
      <c r="AQ240" s="673"/>
      <c r="AR240" s="673"/>
      <c r="AS240" s="673"/>
      <c r="AT240" s="696"/>
    </row>
    <row r="241" ht="15.75" customHeight="1">
      <c r="A241" s="653"/>
      <c r="B241" s="654"/>
      <c r="C241" s="691"/>
      <c r="D241" s="656"/>
      <c r="E241" s="657"/>
      <c r="F241" s="658"/>
      <c r="G241" s="659"/>
      <c r="H241" s="660"/>
      <c r="I241" s="659"/>
      <c r="J241" s="661"/>
      <c r="K241" s="692"/>
      <c r="L241" s="645"/>
      <c r="M241" s="663"/>
      <c r="N241" s="665"/>
      <c r="O241" s="665"/>
      <c r="P241" s="666"/>
      <c r="Q241" s="667"/>
      <c r="R241" s="668"/>
      <c r="S241" s="693"/>
      <c r="T241" s="694"/>
      <c r="U241" s="694"/>
      <c r="V241" s="693"/>
      <c r="W241" s="693"/>
      <c r="X241" s="693"/>
      <c r="Y241" s="671"/>
      <c r="Z241" s="673"/>
      <c r="AA241" s="672"/>
      <c r="AB241" s="695"/>
      <c r="AC241" s="673"/>
      <c r="AD241" s="673"/>
      <c r="AE241" s="673"/>
      <c r="AF241" s="673"/>
      <c r="AG241" s="673"/>
      <c r="AH241" s="673"/>
      <c r="AI241" s="673"/>
      <c r="AJ241" s="673"/>
      <c r="AK241" s="673"/>
      <c r="AL241" s="673"/>
      <c r="AM241" s="673"/>
      <c r="AN241" s="673"/>
      <c r="AO241" s="673"/>
      <c r="AP241" s="673"/>
      <c r="AQ241" s="673"/>
      <c r="AR241" s="673"/>
      <c r="AS241" s="673"/>
      <c r="AT241" s="696"/>
    </row>
    <row r="242" ht="15.75" customHeight="1">
      <c r="A242" s="653"/>
      <c r="B242" s="654"/>
      <c r="C242" s="691"/>
      <c r="D242" s="656"/>
      <c r="E242" s="657"/>
      <c r="F242" s="658"/>
      <c r="G242" s="659"/>
      <c r="H242" s="660"/>
      <c r="I242" s="659"/>
      <c r="J242" s="661"/>
      <c r="K242" s="692"/>
      <c r="L242" s="645"/>
      <c r="M242" s="663"/>
      <c r="N242" s="665"/>
      <c r="O242" s="665"/>
      <c r="P242" s="666"/>
      <c r="Q242" s="667"/>
      <c r="R242" s="668"/>
      <c r="S242" s="693"/>
      <c r="T242" s="694"/>
      <c r="U242" s="694"/>
      <c r="V242" s="693"/>
      <c r="W242" s="693"/>
      <c r="X242" s="693"/>
      <c r="Y242" s="671"/>
      <c r="Z242" s="673"/>
      <c r="AA242" s="672"/>
      <c r="AB242" s="695"/>
      <c r="AC242" s="673"/>
      <c r="AD242" s="673"/>
      <c r="AE242" s="673"/>
      <c r="AF242" s="673"/>
      <c r="AG242" s="673"/>
      <c r="AH242" s="673"/>
      <c r="AI242" s="673"/>
      <c r="AJ242" s="673"/>
      <c r="AK242" s="673"/>
      <c r="AL242" s="673"/>
      <c r="AM242" s="673"/>
      <c r="AN242" s="673"/>
      <c r="AO242" s="673"/>
      <c r="AP242" s="673"/>
      <c r="AQ242" s="673"/>
      <c r="AR242" s="673"/>
      <c r="AS242" s="673"/>
      <c r="AT242" s="696"/>
    </row>
    <row r="243" ht="15.75" customHeight="1">
      <c r="A243" s="653"/>
      <c r="B243" s="654"/>
      <c r="C243" s="691"/>
      <c r="D243" s="656"/>
      <c r="E243" s="657"/>
      <c r="F243" s="658"/>
      <c r="G243" s="659"/>
      <c r="H243" s="660"/>
      <c r="I243" s="659"/>
      <c r="J243" s="661"/>
      <c r="K243" s="692"/>
      <c r="L243" s="645"/>
      <c r="M243" s="663"/>
      <c r="N243" s="665"/>
      <c r="O243" s="665"/>
      <c r="P243" s="666"/>
      <c r="Q243" s="667"/>
      <c r="R243" s="668"/>
      <c r="S243" s="693"/>
      <c r="T243" s="694"/>
      <c r="U243" s="694"/>
      <c r="V243" s="693"/>
      <c r="W243" s="693"/>
      <c r="X243" s="693"/>
      <c r="Y243" s="671"/>
      <c r="Z243" s="673"/>
      <c r="AA243" s="672"/>
      <c r="AB243" s="695"/>
      <c r="AC243" s="673"/>
      <c r="AD243" s="673"/>
      <c r="AE243" s="673"/>
      <c r="AF243" s="673"/>
      <c r="AG243" s="673"/>
      <c r="AH243" s="673"/>
      <c r="AI243" s="673"/>
      <c r="AJ243" s="673"/>
      <c r="AK243" s="673"/>
      <c r="AL243" s="673"/>
      <c r="AM243" s="673"/>
      <c r="AN243" s="673"/>
      <c r="AO243" s="673"/>
      <c r="AP243" s="673"/>
      <c r="AQ243" s="673"/>
      <c r="AR243" s="673"/>
      <c r="AS243" s="673"/>
      <c r="AT243" s="696"/>
    </row>
    <row r="244" ht="15.75" customHeight="1">
      <c r="A244" s="653"/>
      <c r="B244" s="654"/>
      <c r="C244" s="691"/>
      <c r="D244" s="656"/>
      <c r="E244" s="657"/>
      <c r="F244" s="658"/>
      <c r="G244" s="659"/>
      <c r="H244" s="660"/>
      <c r="I244" s="659"/>
      <c r="J244" s="661"/>
      <c r="K244" s="692"/>
      <c r="L244" s="645"/>
      <c r="M244" s="663"/>
      <c r="N244" s="665"/>
      <c r="O244" s="665"/>
      <c r="P244" s="666"/>
      <c r="Q244" s="667"/>
      <c r="R244" s="668"/>
      <c r="S244" s="693"/>
      <c r="T244" s="694"/>
      <c r="U244" s="694"/>
      <c r="V244" s="693"/>
      <c r="W244" s="693"/>
      <c r="X244" s="693"/>
      <c r="Y244" s="671"/>
      <c r="Z244" s="673"/>
      <c r="AA244" s="672"/>
      <c r="AB244" s="695"/>
      <c r="AC244" s="673"/>
      <c r="AD244" s="673"/>
      <c r="AE244" s="673"/>
      <c r="AF244" s="673"/>
      <c r="AG244" s="673"/>
      <c r="AH244" s="673"/>
      <c r="AI244" s="673"/>
      <c r="AJ244" s="673"/>
      <c r="AK244" s="673"/>
      <c r="AL244" s="673"/>
      <c r="AM244" s="673"/>
      <c r="AN244" s="673"/>
      <c r="AO244" s="673"/>
      <c r="AP244" s="673"/>
      <c r="AQ244" s="673"/>
      <c r="AR244" s="673"/>
      <c r="AS244" s="673"/>
      <c r="AT244" s="696"/>
    </row>
    <row r="245" ht="15.75" customHeight="1">
      <c r="A245" s="653"/>
      <c r="B245" s="654"/>
      <c r="C245" s="691"/>
      <c r="D245" s="656"/>
      <c r="E245" s="657"/>
      <c r="F245" s="658"/>
      <c r="G245" s="659"/>
      <c r="H245" s="660"/>
      <c r="I245" s="659"/>
      <c r="J245" s="661"/>
      <c r="K245" s="692"/>
      <c r="L245" s="645"/>
      <c r="M245" s="663"/>
      <c r="N245" s="665"/>
      <c r="O245" s="665"/>
      <c r="P245" s="666"/>
      <c r="Q245" s="667"/>
      <c r="R245" s="668"/>
      <c r="S245" s="693"/>
      <c r="T245" s="694"/>
      <c r="U245" s="694"/>
      <c r="V245" s="693"/>
      <c r="W245" s="693"/>
      <c r="X245" s="693"/>
      <c r="Y245" s="671"/>
      <c r="Z245" s="673"/>
      <c r="AA245" s="672"/>
      <c r="AB245" s="695"/>
      <c r="AC245" s="673"/>
      <c r="AD245" s="673"/>
      <c r="AE245" s="673"/>
      <c r="AF245" s="673"/>
      <c r="AG245" s="673"/>
      <c r="AH245" s="673"/>
      <c r="AI245" s="673"/>
      <c r="AJ245" s="673"/>
      <c r="AK245" s="673"/>
      <c r="AL245" s="673"/>
      <c r="AM245" s="673"/>
      <c r="AN245" s="673"/>
      <c r="AO245" s="673"/>
      <c r="AP245" s="673"/>
      <c r="AQ245" s="673"/>
      <c r="AR245" s="673"/>
      <c r="AS245" s="673"/>
      <c r="AT245" s="696"/>
    </row>
    <row r="246" ht="15.75" customHeight="1">
      <c r="A246" s="653"/>
      <c r="B246" s="654"/>
      <c r="C246" s="691"/>
      <c r="D246" s="656"/>
      <c r="E246" s="657"/>
      <c r="F246" s="658"/>
      <c r="G246" s="659"/>
      <c r="H246" s="660"/>
      <c r="I246" s="659"/>
      <c r="J246" s="661"/>
      <c r="K246" s="692"/>
      <c r="L246" s="645"/>
      <c r="M246" s="663"/>
      <c r="N246" s="665"/>
      <c r="O246" s="665"/>
      <c r="P246" s="666"/>
      <c r="Q246" s="667"/>
      <c r="R246" s="668"/>
      <c r="S246" s="693"/>
      <c r="T246" s="694"/>
      <c r="U246" s="694"/>
      <c r="V246" s="693"/>
      <c r="W246" s="693"/>
      <c r="X246" s="693"/>
      <c r="Y246" s="671"/>
      <c r="Z246" s="673"/>
      <c r="AA246" s="672"/>
      <c r="AB246" s="695"/>
      <c r="AC246" s="673"/>
      <c r="AD246" s="673"/>
      <c r="AE246" s="673"/>
      <c r="AF246" s="673"/>
      <c r="AG246" s="673"/>
      <c r="AH246" s="673"/>
      <c r="AI246" s="673"/>
      <c r="AJ246" s="673"/>
      <c r="AK246" s="673"/>
      <c r="AL246" s="673"/>
      <c r="AM246" s="673"/>
      <c r="AN246" s="673"/>
      <c r="AO246" s="673"/>
      <c r="AP246" s="673"/>
      <c r="AQ246" s="673"/>
      <c r="AR246" s="673"/>
      <c r="AS246" s="673"/>
      <c r="AT246" s="696"/>
    </row>
    <row r="247" ht="15.75" customHeight="1">
      <c r="A247" s="653"/>
      <c r="B247" s="654"/>
      <c r="C247" s="691"/>
      <c r="D247" s="656"/>
      <c r="E247" s="657"/>
      <c r="F247" s="658"/>
      <c r="G247" s="659"/>
      <c r="H247" s="660"/>
      <c r="I247" s="659"/>
      <c r="J247" s="661"/>
      <c r="K247" s="692"/>
      <c r="L247" s="645"/>
      <c r="M247" s="663"/>
      <c r="N247" s="665"/>
      <c r="O247" s="665"/>
      <c r="P247" s="666"/>
      <c r="Q247" s="667"/>
      <c r="R247" s="668"/>
      <c r="S247" s="693"/>
      <c r="T247" s="694"/>
      <c r="U247" s="694"/>
      <c r="V247" s="693"/>
      <c r="W247" s="693"/>
      <c r="X247" s="693"/>
      <c r="Y247" s="671"/>
      <c r="Z247" s="673"/>
      <c r="AA247" s="672"/>
      <c r="AB247" s="695"/>
      <c r="AC247" s="673"/>
      <c r="AD247" s="673"/>
      <c r="AE247" s="673"/>
      <c r="AF247" s="673"/>
      <c r="AG247" s="673"/>
      <c r="AH247" s="673"/>
      <c r="AI247" s="673"/>
      <c r="AJ247" s="673"/>
      <c r="AK247" s="673"/>
      <c r="AL247" s="673"/>
      <c r="AM247" s="673"/>
      <c r="AN247" s="673"/>
      <c r="AO247" s="673"/>
      <c r="AP247" s="673"/>
      <c r="AQ247" s="673"/>
      <c r="AR247" s="673"/>
      <c r="AS247" s="673"/>
      <c r="AT247" s="696"/>
    </row>
    <row r="248" ht="15.75" customHeight="1">
      <c r="A248" s="653"/>
      <c r="B248" s="654"/>
      <c r="C248" s="691"/>
      <c r="D248" s="656"/>
      <c r="E248" s="657"/>
      <c r="F248" s="658"/>
      <c r="G248" s="659"/>
      <c r="H248" s="660"/>
      <c r="I248" s="659"/>
      <c r="J248" s="661"/>
      <c r="K248" s="692"/>
      <c r="L248" s="645"/>
      <c r="M248" s="663"/>
      <c r="N248" s="665"/>
      <c r="O248" s="665"/>
      <c r="P248" s="666"/>
      <c r="Q248" s="667"/>
      <c r="R248" s="668"/>
      <c r="S248" s="693"/>
      <c r="T248" s="694"/>
      <c r="U248" s="694"/>
      <c r="V248" s="693"/>
      <c r="W248" s="693"/>
      <c r="X248" s="693"/>
      <c r="Y248" s="671"/>
      <c r="Z248" s="673"/>
      <c r="AA248" s="672"/>
      <c r="AB248" s="695"/>
      <c r="AC248" s="673"/>
      <c r="AD248" s="673"/>
      <c r="AE248" s="673"/>
      <c r="AF248" s="673"/>
      <c r="AG248" s="673"/>
      <c r="AH248" s="673"/>
      <c r="AI248" s="673"/>
      <c r="AJ248" s="673"/>
      <c r="AK248" s="673"/>
      <c r="AL248" s="673"/>
      <c r="AM248" s="673"/>
      <c r="AN248" s="673"/>
      <c r="AO248" s="673"/>
      <c r="AP248" s="673"/>
      <c r="AQ248" s="673"/>
      <c r="AR248" s="673"/>
      <c r="AS248" s="673"/>
      <c r="AT248" s="696"/>
    </row>
    <row r="249" ht="15.75" customHeight="1">
      <c r="A249" s="653"/>
      <c r="B249" s="654"/>
      <c r="C249" s="691"/>
      <c r="D249" s="656"/>
      <c r="E249" s="657"/>
      <c r="F249" s="658"/>
      <c r="G249" s="659"/>
      <c r="H249" s="660"/>
      <c r="I249" s="659"/>
      <c r="J249" s="661"/>
      <c r="K249" s="692"/>
      <c r="L249" s="645"/>
      <c r="M249" s="663"/>
      <c r="N249" s="665"/>
      <c r="O249" s="665"/>
      <c r="P249" s="666"/>
      <c r="Q249" s="667"/>
      <c r="R249" s="668"/>
      <c r="S249" s="693"/>
      <c r="T249" s="694"/>
      <c r="U249" s="694"/>
      <c r="V249" s="693"/>
      <c r="W249" s="693"/>
      <c r="X249" s="693"/>
      <c r="Y249" s="671"/>
      <c r="Z249" s="673"/>
      <c r="AA249" s="672"/>
      <c r="AB249" s="695"/>
      <c r="AC249" s="673"/>
      <c r="AD249" s="673"/>
      <c r="AE249" s="673"/>
      <c r="AF249" s="673"/>
      <c r="AG249" s="673"/>
      <c r="AH249" s="673"/>
      <c r="AI249" s="673"/>
      <c r="AJ249" s="673"/>
      <c r="AK249" s="673"/>
      <c r="AL249" s="673"/>
      <c r="AM249" s="673"/>
      <c r="AN249" s="673"/>
      <c r="AO249" s="673"/>
      <c r="AP249" s="673"/>
      <c r="AQ249" s="673"/>
      <c r="AR249" s="673"/>
      <c r="AS249" s="673"/>
      <c r="AT249" s="696"/>
    </row>
    <row r="250" ht="15.75" customHeight="1">
      <c r="A250" s="653"/>
      <c r="B250" s="654"/>
      <c r="C250" s="691"/>
      <c r="D250" s="656"/>
      <c r="E250" s="657"/>
      <c r="F250" s="658"/>
      <c r="G250" s="659"/>
      <c r="H250" s="660"/>
      <c r="I250" s="659"/>
      <c r="J250" s="661"/>
      <c r="K250" s="692"/>
      <c r="L250" s="645"/>
      <c r="M250" s="663"/>
      <c r="N250" s="665"/>
      <c r="O250" s="665"/>
      <c r="P250" s="666"/>
      <c r="Q250" s="667"/>
      <c r="R250" s="668"/>
      <c r="S250" s="693"/>
      <c r="T250" s="694"/>
      <c r="U250" s="694"/>
      <c r="V250" s="693"/>
      <c r="W250" s="693"/>
      <c r="X250" s="693"/>
      <c r="Y250" s="671"/>
      <c r="Z250" s="673"/>
      <c r="AA250" s="672"/>
      <c r="AB250" s="695"/>
      <c r="AC250" s="673"/>
      <c r="AD250" s="673"/>
      <c r="AE250" s="673"/>
      <c r="AF250" s="673"/>
      <c r="AG250" s="673"/>
      <c r="AH250" s="673"/>
      <c r="AI250" s="673"/>
      <c r="AJ250" s="673"/>
      <c r="AK250" s="673"/>
      <c r="AL250" s="673"/>
      <c r="AM250" s="673"/>
      <c r="AN250" s="673"/>
      <c r="AO250" s="673"/>
      <c r="AP250" s="673"/>
      <c r="AQ250" s="673"/>
      <c r="AR250" s="673"/>
      <c r="AS250" s="673"/>
      <c r="AT250" s="696"/>
    </row>
    <row r="251" ht="15.75" customHeight="1">
      <c r="A251" s="653"/>
      <c r="B251" s="654"/>
      <c r="C251" s="691"/>
      <c r="D251" s="656"/>
      <c r="E251" s="657"/>
      <c r="F251" s="658"/>
      <c r="G251" s="659"/>
      <c r="H251" s="660"/>
      <c r="I251" s="659"/>
      <c r="J251" s="661"/>
      <c r="K251" s="692"/>
      <c r="L251" s="645"/>
      <c r="M251" s="663"/>
      <c r="N251" s="665"/>
      <c r="O251" s="665"/>
      <c r="P251" s="666"/>
      <c r="Q251" s="667"/>
      <c r="R251" s="668"/>
      <c r="S251" s="693"/>
      <c r="T251" s="694"/>
      <c r="U251" s="694"/>
      <c r="V251" s="693"/>
      <c r="W251" s="693"/>
      <c r="X251" s="693"/>
      <c r="Y251" s="671"/>
      <c r="Z251" s="673"/>
      <c r="AA251" s="672"/>
      <c r="AB251" s="695"/>
      <c r="AC251" s="673"/>
      <c r="AD251" s="673"/>
      <c r="AE251" s="673"/>
      <c r="AF251" s="673"/>
      <c r="AG251" s="673"/>
      <c r="AH251" s="673"/>
      <c r="AI251" s="673"/>
      <c r="AJ251" s="673"/>
      <c r="AK251" s="673"/>
      <c r="AL251" s="673"/>
      <c r="AM251" s="673"/>
      <c r="AN251" s="673"/>
      <c r="AO251" s="673"/>
      <c r="AP251" s="673"/>
      <c r="AQ251" s="673"/>
      <c r="AR251" s="673"/>
      <c r="AS251" s="673"/>
      <c r="AT251" s="696"/>
    </row>
    <row r="252" ht="15.75" customHeight="1">
      <c r="A252" s="653"/>
      <c r="B252" s="654"/>
      <c r="C252" s="691"/>
      <c r="D252" s="656"/>
      <c r="E252" s="657"/>
      <c r="F252" s="658"/>
      <c r="G252" s="659"/>
      <c r="H252" s="660"/>
      <c r="I252" s="659"/>
      <c r="J252" s="661"/>
      <c r="K252" s="692"/>
      <c r="L252" s="645"/>
      <c r="M252" s="663"/>
      <c r="N252" s="665"/>
      <c r="O252" s="665"/>
      <c r="P252" s="666"/>
      <c r="Q252" s="667"/>
      <c r="R252" s="668"/>
      <c r="S252" s="693"/>
      <c r="T252" s="694"/>
      <c r="U252" s="694"/>
      <c r="V252" s="693"/>
      <c r="W252" s="693"/>
      <c r="X252" s="693"/>
      <c r="Y252" s="671"/>
      <c r="Z252" s="673"/>
      <c r="AA252" s="672"/>
      <c r="AB252" s="695"/>
      <c r="AC252" s="673"/>
      <c r="AD252" s="673"/>
      <c r="AE252" s="673"/>
      <c r="AF252" s="673"/>
      <c r="AG252" s="673"/>
      <c r="AH252" s="673"/>
      <c r="AI252" s="673"/>
      <c r="AJ252" s="673"/>
      <c r="AK252" s="673"/>
      <c r="AL252" s="673"/>
      <c r="AM252" s="673"/>
      <c r="AN252" s="673"/>
      <c r="AO252" s="673"/>
      <c r="AP252" s="673"/>
      <c r="AQ252" s="673"/>
      <c r="AR252" s="673"/>
      <c r="AS252" s="673"/>
      <c r="AT252" s="696"/>
    </row>
    <row r="253" ht="15.75" customHeight="1">
      <c r="A253" s="653"/>
      <c r="B253" s="654"/>
      <c r="C253" s="691"/>
      <c r="D253" s="656"/>
      <c r="E253" s="657"/>
      <c r="F253" s="658"/>
      <c r="G253" s="659"/>
      <c r="H253" s="660"/>
      <c r="I253" s="659"/>
      <c r="J253" s="661"/>
      <c r="K253" s="692"/>
      <c r="L253" s="645"/>
      <c r="M253" s="663"/>
      <c r="N253" s="665"/>
      <c r="O253" s="665"/>
      <c r="P253" s="666"/>
      <c r="Q253" s="667"/>
      <c r="R253" s="668"/>
      <c r="S253" s="693"/>
      <c r="T253" s="694"/>
      <c r="U253" s="694"/>
      <c r="V253" s="693"/>
      <c r="W253" s="693"/>
      <c r="X253" s="693"/>
      <c r="Y253" s="671"/>
      <c r="Z253" s="673"/>
      <c r="AA253" s="672"/>
      <c r="AB253" s="695"/>
      <c r="AC253" s="673"/>
      <c r="AD253" s="673"/>
      <c r="AE253" s="673"/>
      <c r="AF253" s="673"/>
      <c r="AG253" s="673"/>
      <c r="AH253" s="673"/>
      <c r="AI253" s="673"/>
      <c r="AJ253" s="673"/>
      <c r="AK253" s="673"/>
      <c r="AL253" s="673"/>
      <c r="AM253" s="673"/>
      <c r="AN253" s="673"/>
      <c r="AO253" s="673"/>
      <c r="AP253" s="673"/>
      <c r="AQ253" s="673"/>
      <c r="AR253" s="673"/>
      <c r="AS253" s="673"/>
      <c r="AT253" s="696"/>
    </row>
    <row r="254" ht="15.75" customHeight="1">
      <c r="A254" s="653"/>
      <c r="B254" s="654"/>
      <c r="C254" s="691"/>
      <c r="D254" s="656"/>
      <c r="E254" s="657"/>
      <c r="F254" s="658"/>
      <c r="G254" s="659"/>
      <c r="H254" s="660"/>
      <c r="I254" s="659"/>
      <c r="J254" s="661"/>
      <c r="K254" s="692"/>
      <c r="L254" s="645"/>
      <c r="M254" s="663"/>
      <c r="N254" s="665"/>
      <c r="O254" s="665"/>
      <c r="P254" s="666"/>
      <c r="Q254" s="667"/>
      <c r="R254" s="668"/>
      <c r="S254" s="693"/>
      <c r="T254" s="694"/>
      <c r="U254" s="694"/>
      <c r="V254" s="693"/>
      <c r="W254" s="693"/>
      <c r="X254" s="693"/>
      <c r="Y254" s="671"/>
      <c r="Z254" s="673"/>
      <c r="AA254" s="672"/>
      <c r="AB254" s="695"/>
      <c r="AC254" s="673"/>
      <c r="AD254" s="673"/>
      <c r="AE254" s="673"/>
      <c r="AF254" s="673"/>
      <c r="AG254" s="673"/>
      <c r="AH254" s="673"/>
      <c r="AI254" s="673"/>
      <c r="AJ254" s="673"/>
      <c r="AK254" s="673"/>
      <c r="AL254" s="673"/>
      <c r="AM254" s="673"/>
      <c r="AN254" s="673"/>
      <c r="AO254" s="673"/>
      <c r="AP254" s="673"/>
      <c r="AQ254" s="673"/>
      <c r="AR254" s="673"/>
      <c r="AS254" s="673"/>
      <c r="AT254" s="696"/>
    </row>
    <row r="255" ht="15.75" customHeight="1">
      <c r="A255" s="653"/>
      <c r="B255" s="654"/>
      <c r="C255" s="691"/>
      <c r="D255" s="656"/>
      <c r="E255" s="657"/>
      <c r="F255" s="658"/>
      <c r="G255" s="659"/>
      <c r="H255" s="660"/>
      <c r="I255" s="659"/>
      <c r="J255" s="661"/>
      <c r="K255" s="692"/>
      <c r="L255" s="645"/>
      <c r="M255" s="663"/>
      <c r="N255" s="665"/>
      <c r="O255" s="665"/>
      <c r="P255" s="666"/>
      <c r="Q255" s="667"/>
      <c r="R255" s="668"/>
      <c r="S255" s="693"/>
      <c r="T255" s="694"/>
      <c r="U255" s="694"/>
      <c r="V255" s="693"/>
      <c r="W255" s="693"/>
      <c r="X255" s="693"/>
      <c r="Y255" s="671"/>
      <c r="Z255" s="673"/>
      <c r="AA255" s="672"/>
      <c r="AB255" s="695"/>
      <c r="AC255" s="673"/>
      <c r="AD255" s="673"/>
      <c r="AE255" s="673"/>
      <c r="AF255" s="673"/>
      <c r="AG255" s="673"/>
      <c r="AH255" s="673"/>
      <c r="AI255" s="673"/>
      <c r="AJ255" s="673"/>
      <c r="AK255" s="673"/>
      <c r="AL255" s="673"/>
      <c r="AM255" s="673"/>
      <c r="AN255" s="673"/>
      <c r="AO255" s="673"/>
      <c r="AP255" s="673"/>
      <c r="AQ255" s="673"/>
      <c r="AR255" s="673"/>
      <c r="AS255" s="673"/>
      <c r="AT255" s="696"/>
    </row>
    <row r="256" ht="15.75" customHeight="1">
      <c r="A256" s="653"/>
      <c r="B256" s="654"/>
      <c r="C256" s="691"/>
      <c r="D256" s="656"/>
      <c r="E256" s="657"/>
      <c r="F256" s="658"/>
      <c r="G256" s="659"/>
      <c r="H256" s="660"/>
      <c r="I256" s="659"/>
      <c r="J256" s="661"/>
      <c r="K256" s="692"/>
      <c r="L256" s="645"/>
      <c r="M256" s="663"/>
      <c r="N256" s="665"/>
      <c r="O256" s="665"/>
      <c r="P256" s="666"/>
      <c r="Q256" s="667"/>
      <c r="R256" s="668"/>
      <c r="S256" s="693"/>
      <c r="T256" s="694"/>
      <c r="U256" s="694"/>
      <c r="V256" s="693"/>
      <c r="W256" s="693"/>
      <c r="X256" s="693"/>
      <c r="Y256" s="671"/>
      <c r="Z256" s="673"/>
      <c r="AA256" s="672"/>
      <c r="AB256" s="695"/>
      <c r="AC256" s="673"/>
      <c r="AD256" s="673"/>
      <c r="AE256" s="673"/>
      <c r="AF256" s="673"/>
      <c r="AG256" s="673"/>
      <c r="AH256" s="673"/>
      <c r="AI256" s="673"/>
      <c r="AJ256" s="673"/>
      <c r="AK256" s="673"/>
      <c r="AL256" s="673"/>
      <c r="AM256" s="673"/>
      <c r="AN256" s="673"/>
      <c r="AO256" s="673"/>
      <c r="AP256" s="673"/>
      <c r="AQ256" s="673"/>
      <c r="AR256" s="673"/>
      <c r="AS256" s="673"/>
      <c r="AT256" s="696"/>
    </row>
    <row r="257" ht="15.75" customHeight="1">
      <c r="A257" s="653"/>
      <c r="B257" s="654"/>
      <c r="C257" s="691"/>
      <c r="D257" s="656"/>
      <c r="E257" s="657"/>
      <c r="F257" s="658"/>
      <c r="G257" s="659"/>
      <c r="H257" s="660"/>
      <c r="I257" s="659"/>
      <c r="J257" s="661"/>
      <c r="K257" s="692"/>
      <c r="L257" s="645"/>
      <c r="M257" s="663"/>
      <c r="N257" s="665"/>
      <c r="O257" s="665"/>
      <c r="P257" s="666"/>
      <c r="Q257" s="667"/>
      <c r="R257" s="668"/>
      <c r="S257" s="693"/>
      <c r="T257" s="694"/>
      <c r="U257" s="694"/>
      <c r="V257" s="693"/>
      <c r="W257" s="693"/>
      <c r="X257" s="693"/>
      <c r="Y257" s="671"/>
      <c r="Z257" s="673"/>
      <c r="AA257" s="672"/>
      <c r="AB257" s="695"/>
      <c r="AC257" s="673"/>
      <c r="AD257" s="673"/>
      <c r="AE257" s="673"/>
      <c r="AF257" s="673"/>
      <c r="AG257" s="673"/>
      <c r="AH257" s="673"/>
      <c r="AI257" s="673"/>
      <c r="AJ257" s="673"/>
      <c r="AK257" s="673"/>
      <c r="AL257" s="673"/>
      <c r="AM257" s="673"/>
      <c r="AN257" s="673"/>
      <c r="AO257" s="673"/>
      <c r="AP257" s="673"/>
      <c r="AQ257" s="673"/>
      <c r="AR257" s="673"/>
      <c r="AS257" s="673"/>
      <c r="AT257" s="696"/>
    </row>
    <row r="258" ht="15.75" customHeight="1">
      <c r="A258" s="653"/>
      <c r="B258" s="654"/>
      <c r="C258" s="691"/>
      <c r="D258" s="656"/>
      <c r="E258" s="657"/>
      <c r="F258" s="658"/>
      <c r="G258" s="659"/>
      <c r="H258" s="660"/>
      <c r="I258" s="659"/>
      <c r="J258" s="661"/>
      <c r="K258" s="692"/>
      <c r="L258" s="645"/>
      <c r="M258" s="663"/>
      <c r="N258" s="665"/>
      <c r="O258" s="665"/>
      <c r="P258" s="666"/>
      <c r="Q258" s="667"/>
      <c r="R258" s="668"/>
      <c r="S258" s="693"/>
      <c r="T258" s="694"/>
      <c r="U258" s="694"/>
      <c r="V258" s="693"/>
      <c r="W258" s="693"/>
      <c r="X258" s="693"/>
      <c r="Y258" s="671"/>
      <c r="Z258" s="673"/>
      <c r="AA258" s="672"/>
      <c r="AB258" s="695"/>
      <c r="AC258" s="673"/>
      <c r="AD258" s="673"/>
      <c r="AE258" s="673"/>
      <c r="AF258" s="673"/>
      <c r="AG258" s="673"/>
      <c r="AH258" s="673"/>
      <c r="AI258" s="673"/>
      <c r="AJ258" s="673"/>
      <c r="AK258" s="673"/>
      <c r="AL258" s="673"/>
      <c r="AM258" s="673"/>
      <c r="AN258" s="673"/>
      <c r="AO258" s="673"/>
      <c r="AP258" s="673"/>
      <c r="AQ258" s="673"/>
      <c r="AR258" s="673"/>
      <c r="AS258" s="673"/>
      <c r="AT258" s="696"/>
    </row>
    <row r="259" ht="15.75" customHeight="1">
      <c r="A259" s="653"/>
      <c r="B259" s="654"/>
      <c r="C259" s="691"/>
      <c r="D259" s="656"/>
      <c r="E259" s="657"/>
      <c r="F259" s="658"/>
      <c r="G259" s="659"/>
      <c r="H259" s="660"/>
      <c r="I259" s="659"/>
      <c r="J259" s="661"/>
      <c r="K259" s="692"/>
      <c r="L259" s="645"/>
      <c r="M259" s="663"/>
      <c r="N259" s="665"/>
      <c r="O259" s="665"/>
      <c r="P259" s="666"/>
      <c r="Q259" s="667"/>
      <c r="R259" s="668"/>
      <c r="S259" s="693"/>
      <c r="T259" s="694"/>
      <c r="U259" s="694"/>
      <c r="V259" s="693"/>
      <c r="W259" s="693"/>
      <c r="X259" s="693"/>
      <c r="Y259" s="671"/>
      <c r="Z259" s="673"/>
      <c r="AA259" s="672"/>
      <c r="AB259" s="695"/>
      <c r="AC259" s="673"/>
      <c r="AD259" s="673"/>
      <c r="AE259" s="673"/>
      <c r="AF259" s="673"/>
      <c r="AG259" s="673"/>
      <c r="AH259" s="673"/>
      <c r="AI259" s="673"/>
      <c r="AJ259" s="673"/>
      <c r="AK259" s="673"/>
      <c r="AL259" s="673"/>
      <c r="AM259" s="673"/>
      <c r="AN259" s="673"/>
      <c r="AO259" s="673"/>
      <c r="AP259" s="673"/>
      <c r="AQ259" s="673"/>
      <c r="AR259" s="673"/>
      <c r="AS259" s="673"/>
      <c r="AT259" s="696"/>
    </row>
    <row r="260" ht="15.75" customHeight="1">
      <c r="A260" s="653"/>
      <c r="B260" s="654"/>
      <c r="C260" s="691"/>
      <c r="D260" s="656"/>
      <c r="E260" s="657"/>
      <c r="F260" s="658"/>
      <c r="G260" s="659"/>
      <c r="H260" s="660"/>
      <c r="I260" s="659"/>
      <c r="J260" s="661"/>
      <c r="K260" s="692"/>
      <c r="L260" s="645"/>
      <c r="M260" s="663"/>
      <c r="N260" s="665"/>
      <c r="O260" s="665"/>
      <c r="P260" s="666"/>
      <c r="Q260" s="667"/>
      <c r="R260" s="668"/>
      <c r="S260" s="693"/>
      <c r="T260" s="694"/>
      <c r="U260" s="694"/>
      <c r="V260" s="693"/>
      <c r="W260" s="693"/>
      <c r="X260" s="693"/>
      <c r="Y260" s="671"/>
      <c r="Z260" s="673"/>
      <c r="AA260" s="672"/>
      <c r="AB260" s="695"/>
      <c r="AC260" s="673"/>
      <c r="AD260" s="673"/>
      <c r="AE260" s="673"/>
      <c r="AF260" s="673"/>
      <c r="AG260" s="673"/>
      <c r="AH260" s="673"/>
      <c r="AI260" s="673"/>
      <c r="AJ260" s="673"/>
      <c r="AK260" s="673"/>
      <c r="AL260" s="673"/>
      <c r="AM260" s="673"/>
      <c r="AN260" s="673"/>
      <c r="AO260" s="673"/>
      <c r="AP260" s="673"/>
      <c r="AQ260" s="673"/>
      <c r="AR260" s="673"/>
      <c r="AS260" s="673"/>
      <c r="AT260" s="696"/>
    </row>
    <row r="261" ht="15.75" customHeight="1">
      <c r="A261" s="653"/>
      <c r="B261" s="654"/>
      <c r="C261" s="691"/>
      <c r="D261" s="656"/>
      <c r="E261" s="657"/>
      <c r="F261" s="658"/>
      <c r="G261" s="659"/>
      <c r="H261" s="660"/>
      <c r="I261" s="659"/>
      <c r="J261" s="661"/>
      <c r="K261" s="692"/>
      <c r="L261" s="645"/>
      <c r="M261" s="663"/>
      <c r="N261" s="665"/>
      <c r="O261" s="665"/>
      <c r="P261" s="666"/>
      <c r="Q261" s="667"/>
      <c r="R261" s="668"/>
      <c r="S261" s="693"/>
      <c r="T261" s="694"/>
      <c r="U261" s="694"/>
      <c r="V261" s="693"/>
      <c r="W261" s="693"/>
      <c r="X261" s="693"/>
      <c r="Y261" s="671"/>
      <c r="Z261" s="673"/>
      <c r="AA261" s="672"/>
      <c r="AB261" s="695"/>
      <c r="AC261" s="673"/>
      <c r="AD261" s="673"/>
      <c r="AE261" s="673"/>
      <c r="AF261" s="673"/>
      <c r="AG261" s="673"/>
      <c r="AH261" s="673"/>
      <c r="AI261" s="673"/>
      <c r="AJ261" s="673"/>
      <c r="AK261" s="673"/>
      <c r="AL261" s="673"/>
      <c r="AM261" s="673"/>
      <c r="AN261" s="673"/>
      <c r="AO261" s="673"/>
      <c r="AP261" s="673"/>
      <c r="AQ261" s="673"/>
      <c r="AR261" s="673"/>
      <c r="AS261" s="673"/>
      <c r="AT261" s="696"/>
    </row>
    <row r="262" ht="15.75" customHeight="1">
      <c r="A262" s="653"/>
      <c r="B262" s="654"/>
      <c r="C262" s="691"/>
      <c r="D262" s="656"/>
      <c r="E262" s="657"/>
      <c r="F262" s="658"/>
      <c r="G262" s="659"/>
      <c r="H262" s="660"/>
      <c r="I262" s="659"/>
      <c r="J262" s="661"/>
      <c r="K262" s="692"/>
      <c r="L262" s="645"/>
      <c r="M262" s="663"/>
      <c r="N262" s="665"/>
      <c r="O262" s="665"/>
      <c r="P262" s="666"/>
      <c r="Q262" s="667"/>
      <c r="R262" s="668"/>
      <c r="S262" s="693"/>
      <c r="T262" s="694"/>
      <c r="U262" s="694"/>
      <c r="V262" s="693"/>
      <c r="W262" s="693"/>
      <c r="X262" s="693"/>
      <c r="Y262" s="671"/>
      <c r="Z262" s="673"/>
      <c r="AA262" s="672"/>
      <c r="AB262" s="695"/>
      <c r="AC262" s="673"/>
      <c r="AD262" s="673"/>
      <c r="AE262" s="673"/>
      <c r="AF262" s="673"/>
      <c r="AG262" s="673"/>
      <c r="AH262" s="673"/>
      <c r="AI262" s="673"/>
      <c r="AJ262" s="673"/>
      <c r="AK262" s="673"/>
      <c r="AL262" s="673"/>
      <c r="AM262" s="673"/>
      <c r="AN262" s="673"/>
      <c r="AO262" s="673"/>
      <c r="AP262" s="673"/>
      <c r="AQ262" s="673"/>
      <c r="AR262" s="673"/>
      <c r="AS262" s="673"/>
      <c r="AT262" s="696"/>
    </row>
    <row r="263" ht="15.75" customHeight="1">
      <c r="A263" s="653"/>
      <c r="B263" s="654"/>
      <c r="C263" s="691"/>
      <c r="D263" s="656"/>
      <c r="E263" s="657"/>
      <c r="F263" s="658"/>
      <c r="G263" s="659"/>
      <c r="H263" s="660"/>
      <c r="I263" s="659"/>
      <c r="J263" s="661"/>
      <c r="K263" s="692"/>
      <c r="L263" s="645"/>
      <c r="M263" s="663"/>
      <c r="N263" s="665"/>
      <c r="O263" s="665"/>
      <c r="P263" s="666"/>
      <c r="Q263" s="667"/>
      <c r="R263" s="668"/>
      <c r="S263" s="693"/>
      <c r="T263" s="694"/>
      <c r="U263" s="694"/>
      <c r="V263" s="693"/>
      <c r="W263" s="693"/>
      <c r="X263" s="693"/>
      <c r="Y263" s="671"/>
      <c r="Z263" s="673"/>
      <c r="AA263" s="672"/>
      <c r="AB263" s="695"/>
      <c r="AC263" s="673"/>
      <c r="AD263" s="673"/>
      <c r="AE263" s="673"/>
      <c r="AF263" s="673"/>
      <c r="AG263" s="673"/>
      <c r="AH263" s="673"/>
      <c r="AI263" s="673"/>
      <c r="AJ263" s="673"/>
      <c r="AK263" s="673"/>
      <c r="AL263" s="673"/>
      <c r="AM263" s="673"/>
      <c r="AN263" s="673"/>
      <c r="AO263" s="673"/>
      <c r="AP263" s="673"/>
      <c r="AQ263" s="673"/>
      <c r="AR263" s="673"/>
      <c r="AS263" s="673"/>
      <c r="AT263" s="696"/>
    </row>
    <row r="264" ht="15.75" customHeight="1">
      <c r="A264" s="653"/>
      <c r="B264" s="654"/>
      <c r="C264" s="691"/>
      <c r="D264" s="656"/>
      <c r="E264" s="657"/>
      <c r="F264" s="658"/>
      <c r="G264" s="659"/>
      <c r="H264" s="660"/>
      <c r="I264" s="659"/>
      <c r="J264" s="661"/>
      <c r="K264" s="692"/>
      <c r="L264" s="645"/>
      <c r="M264" s="663"/>
      <c r="N264" s="665"/>
      <c r="O264" s="665"/>
      <c r="P264" s="666"/>
      <c r="Q264" s="667"/>
      <c r="R264" s="668"/>
      <c r="S264" s="693"/>
      <c r="T264" s="694"/>
      <c r="U264" s="694"/>
      <c r="V264" s="693"/>
      <c r="W264" s="693"/>
      <c r="X264" s="693"/>
      <c r="Y264" s="671"/>
      <c r="Z264" s="673"/>
      <c r="AA264" s="672"/>
      <c r="AB264" s="695"/>
      <c r="AC264" s="673"/>
      <c r="AD264" s="673"/>
      <c r="AE264" s="673"/>
      <c r="AF264" s="673"/>
      <c r="AG264" s="673"/>
      <c r="AH264" s="673"/>
      <c r="AI264" s="673"/>
      <c r="AJ264" s="673"/>
      <c r="AK264" s="673"/>
      <c r="AL264" s="673"/>
      <c r="AM264" s="673"/>
      <c r="AN264" s="673"/>
      <c r="AO264" s="673"/>
      <c r="AP264" s="673"/>
      <c r="AQ264" s="673"/>
      <c r="AR264" s="673"/>
      <c r="AS264" s="673"/>
      <c r="AT264" s="696"/>
    </row>
    <row r="265" ht="15.75" customHeight="1">
      <c r="A265" s="653"/>
      <c r="B265" s="654"/>
      <c r="C265" s="691"/>
      <c r="D265" s="656"/>
      <c r="E265" s="657"/>
      <c r="F265" s="658"/>
      <c r="G265" s="659"/>
      <c r="H265" s="660"/>
      <c r="I265" s="659"/>
      <c r="J265" s="661"/>
      <c r="K265" s="692"/>
      <c r="L265" s="645"/>
      <c r="M265" s="663"/>
      <c r="N265" s="665"/>
      <c r="O265" s="665"/>
      <c r="P265" s="666"/>
      <c r="Q265" s="667"/>
      <c r="R265" s="668"/>
      <c r="S265" s="693"/>
      <c r="T265" s="694"/>
      <c r="U265" s="694"/>
      <c r="V265" s="693"/>
      <c r="W265" s="693"/>
      <c r="X265" s="693"/>
      <c r="Y265" s="671"/>
      <c r="Z265" s="673"/>
      <c r="AA265" s="672"/>
      <c r="AB265" s="695"/>
      <c r="AC265" s="673"/>
      <c r="AD265" s="673"/>
      <c r="AE265" s="673"/>
      <c r="AF265" s="673"/>
      <c r="AG265" s="673"/>
      <c r="AH265" s="673"/>
      <c r="AI265" s="673"/>
      <c r="AJ265" s="673"/>
      <c r="AK265" s="673"/>
      <c r="AL265" s="673"/>
      <c r="AM265" s="673"/>
      <c r="AN265" s="673"/>
      <c r="AO265" s="673"/>
      <c r="AP265" s="673"/>
      <c r="AQ265" s="673"/>
      <c r="AR265" s="673"/>
      <c r="AS265" s="673"/>
      <c r="AT265" s="696"/>
    </row>
    <row r="266" ht="15.75" customHeight="1">
      <c r="A266" s="653"/>
      <c r="B266" s="654"/>
      <c r="C266" s="691"/>
      <c r="D266" s="656"/>
      <c r="E266" s="657"/>
      <c r="F266" s="658"/>
      <c r="G266" s="659"/>
      <c r="H266" s="660"/>
      <c r="I266" s="659"/>
      <c r="J266" s="661"/>
      <c r="K266" s="692"/>
      <c r="L266" s="645"/>
      <c r="M266" s="663"/>
      <c r="N266" s="665"/>
      <c r="O266" s="665"/>
      <c r="P266" s="666"/>
      <c r="Q266" s="667"/>
      <c r="R266" s="668"/>
      <c r="S266" s="693"/>
      <c r="T266" s="694"/>
      <c r="U266" s="694"/>
      <c r="V266" s="693"/>
      <c r="W266" s="693"/>
      <c r="X266" s="693"/>
      <c r="Y266" s="671"/>
      <c r="Z266" s="673"/>
      <c r="AA266" s="672"/>
      <c r="AB266" s="695"/>
      <c r="AC266" s="673"/>
      <c r="AD266" s="673"/>
      <c r="AE266" s="673"/>
      <c r="AF266" s="673"/>
      <c r="AG266" s="673"/>
      <c r="AH266" s="673"/>
      <c r="AI266" s="673"/>
      <c r="AJ266" s="673"/>
      <c r="AK266" s="673"/>
      <c r="AL266" s="673"/>
      <c r="AM266" s="673"/>
      <c r="AN266" s="673"/>
      <c r="AO266" s="673"/>
      <c r="AP266" s="673"/>
      <c r="AQ266" s="673"/>
      <c r="AR266" s="673"/>
      <c r="AS266" s="673"/>
      <c r="AT266" s="696"/>
    </row>
    <row r="267" ht="15.75" customHeight="1">
      <c r="A267" s="653"/>
      <c r="B267" s="654"/>
      <c r="C267" s="691"/>
      <c r="D267" s="656"/>
      <c r="E267" s="657"/>
      <c r="F267" s="658"/>
      <c r="G267" s="659"/>
      <c r="H267" s="660"/>
      <c r="I267" s="659"/>
      <c r="J267" s="661"/>
      <c r="K267" s="692"/>
      <c r="L267" s="645"/>
      <c r="M267" s="663"/>
      <c r="N267" s="665"/>
      <c r="O267" s="665"/>
      <c r="P267" s="666"/>
      <c r="Q267" s="667"/>
      <c r="R267" s="668"/>
      <c r="S267" s="693"/>
      <c r="T267" s="694"/>
      <c r="U267" s="694"/>
      <c r="V267" s="693"/>
      <c r="W267" s="693"/>
      <c r="X267" s="693"/>
      <c r="Y267" s="671"/>
      <c r="Z267" s="673"/>
      <c r="AA267" s="672"/>
      <c r="AB267" s="695"/>
      <c r="AC267" s="673"/>
      <c r="AD267" s="673"/>
      <c r="AE267" s="673"/>
      <c r="AF267" s="673"/>
      <c r="AG267" s="673"/>
      <c r="AH267" s="673"/>
      <c r="AI267" s="673"/>
      <c r="AJ267" s="673"/>
      <c r="AK267" s="673"/>
      <c r="AL267" s="673"/>
      <c r="AM267" s="673"/>
      <c r="AN267" s="673"/>
      <c r="AO267" s="673"/>
      <c r="AP267" s="673"/>
      <c r="AQ267" s="673"/>
      <c r="AR267" s="673"/>
      <c r="AS267" s="673"/>
      <c r="AT267" s="696"/>
    </row>
    <row r="268" ht="15.75" customHeight="1">
      <c r="A268" s="653"/>
      <c r="B268" s="654"/>
      <c r="C268" s="691"/>
      <c r="D268" s="656"/>
      <c r="E268" s="657"/>
      <c r="F268" s="658"/>
      <c r="G268" s="659"/>
      <c r="H268" s="660"/>
      <c r="I268" s="659"/>
      <c r="J268" s="661"/>
      <c r="K268" s="692"/>
      <c r="L268" s="645"/>
      <c r="M268" s="663"/>
      <c r="N268" s="665"/>
      <c r="O268" s="665"/>
      <c r="P268" s="666"/>
      <c r="Q268" s="667"/>
      <c r="R268" s="668"/>
      <c r="S268" s="693"/>
      <c r="T268" s="694"/>
      <c r="U268" s="694"/>
      <c r="V268" s="693"/>
      <c r="W268" s="693"/>
      <c r="X268" s="693"/>
      <c r="Y268" s="671"/>
      <c r="Z268" s="673"/>
      <c r="AA268" s="672"/>
      <c r="AB268" s="695"/>
      <c r="AC268" s="673"/>
      <c r="AD268" s="673"/>
      <c r="AE268" s="673"/>
      <c r="AF268" s="673"/>
      <c r="AG268" s="673"/>
      <c r="AH268" s="673"/>
      <c r="AI268" s="673"/>
      <c r="AJ268" s="673"/>
      <c r="AK268" s="673"/>
      <c r="AL268" s="673"/>
      <c r="AM268" s="673"/>
      <c r="AN268" s="673"/>
      <c r="AO268" s="673"/>
      <c r="AP268" s="673"/>
      <c r="AQ268" s="673"/>
      <c r="AR268" s="673"/>
      <c r="AS268" s="673"/>
      <c r="AT268" s="696"/>
    </row>
    <row r="269" ht="15.75" customHeight="1">
      <c r="A269" s="653"/>
      <c r="B269" s="654"/>
      <c r="C269" s="691"/>
      <c r="D269" s="656"/>
      <c r="E269" s="657"/>
      <c r="F269" s="658"/>
      <c r="G269" s="659"/>
      <c r="H269" s="660"/>
      <c r="I269" s="659"/>
      <c r="J269" s="661"/>
      <c r="K269" s="692"/>
      <c r="L269" s="645"/>
      <c r="M269" s="663"/>
      <c r="N269" s="665"/>
      <c r="O269" s="665"/>
      <c r="P269" s="666"/>
      <c r="Q269" s="667"/>
      <c r="R269" s="668"/>
      <c r="S269" s="693"/>
      <c r="T269" s="694"/>
      <c r="U269" s="694"/>
      <c r="V269" s="693"/>
      <c r="W269" s="693"/>
      <c r="X269" s="693"/>
      <c r="Y269" s="671"/>
      <c r="Z269" s="673"/>
      <c r="AA269" s="672"/>
      <c r="AB269" s="695"/>
      <c r="AC269" s="673"/>
      <c r="AD269" s="673"/>
      <c r="AE269" s="673"/>
      <c r="AF269" s="673"/>
      <c r="AG269" s="673"/>
      <c r="AH269" s="673"/>
      <c r="AI269" s="673"/>
      <c r="AJ269" s="673"/>
      <c r="AK269" s="673"/>
      <c r="AL269" s="673"/>
      <c r="AM269" s="673"/>
      <c r="AN269" s="673"/>
      <c r="AO269" s="673"/>
      <c r="AP269" s="673"/>
      <c r="AQ269" s="673"/>
      <c r="AR269" s="673"/>
      <c r="AS269" s="673"/>
      <c r="AT269" s="696"/>
    </row>
    <row r="270" ht="15.75" customHeight="1">
      <c r="A270" s="653"/>
      <c r="B270" s="654"/>
      <c r="C270" s="691"/>
      <c r="D270" s="656"/>
      <c r="E270" s="657"/>
      <c r="F270" s="658"/>
      <c r="G270" s="659"/>
      <c r="H270" s="660"/>
      <c r="I270" s="659"/>
      <c r="J270" s="661"/>
      <c r="K270" s="692"/>
      <c r="L270" s="645"/>
      <c r="M270" s="663"/>
      <c r="N270" s="665"/>
      <c r="O270" s="665"/>
      <c r="P270" s="666"/>
      <c r="Q270" s="667"/>
      <c r="R270" s="668"/>
      <c r="S270" s="693"/>
      <c r="T270" s="694"/>
      <c r="U270" s="694"/>
      <c r="V270" s="693"/>
      <c r="W270" s="693"/>
      <c r="X270" s="693"/>
      <c r="Y270" s="671"/>
      <c r="Z270" s="673"/>
      <c r="AA270" s="672"/>
      <c r="AB270" s="695"/>
      <c r="AC270" s="673"/>
      <c r="AD270" s="673"/>
      <c r="AE270" s="673"/>
      <c r="AF270" s="673"/>
      <c r="AG270" s="673"/>
      <c r="AH270" s="673"/>
      <c r="AI270" s="673"/>
      <c r="AJ270" s="673"/>
      <c r="AK270" s="673"/>
      <c r="AL270" s="673"/>
      <c r="AM270" s="673"/>
      <c r="AN270" s="673"/>
      <c r="AO270" s="673"/>
      <c r="AP270" s="673"/>
      <c r="AQ270" s="673"/>
      <c r="AR270" s="673"/>
      <c r="AS270" s="673"/>
      <c r="AT270" s="696"/>
    </row>
    <row r="271" ht="15.75" customHeight="1">
      <c r="A271" s="653"/>
      <c r="B271" s="654"/>
      <c r="C271" s="691"/>
      <c r="D271" s="656"/>
      <c r="E271" s="657"/>
      <c r="F271" s="658"/>
      <c r="G271" s="659"/>
      <c r="H271" s="660"/>
      <c r="I271" s="659"/>
      <c r="J271" s="661"/>
      <c r="K271" s="692"/>
      <c r="L271" s="645"/>
      <c r="M271" s="663"/>
      <c r="N271" s="665"/>
      <c r="O271" s="665"/>
      <c r="P271" s="666"/>
      <c r="Q271" s="667"/>
      <c r="R271" s="668"/>
      <c r="S271" s="693"/>
      <c r="T271" s="694"/>
      <c r="U271" s="694"/>
      <c r="V271" s="693"/>
      <c r="W271" s="693"/>
      <c r="X271" s="693"/>
      <c r="Y271" s="671"/>
      <c r="Z271" s="673"/>
      <c r="AA271" s="672"/>
      <c r="AB271" s="695"/>
      <c r="AC271" s="673"/>
      <c r="AD271" s="673"/>
      <c r="AE271" s="673"/>
      <c r="AF271" s="673"/>
      <c r="AG271" s="673"/>
      <c r="AH271" s="673"/>
      <c r="AI271" s="673"/>
      <c r="AJ271" s="673"/>
      <c r="AK271" s="673"/>
      <c r="AL271" s="673"/>
      <c r="AM271" s="673"/>
      <c r="AN271" s="673"/>
      <c r="AO271" s="673"/>
      <c r="AP271" s="673"/>
      <c r="AQ271" s="673"/>
      <c r="AR271" s="673"/>
      <c r="AS271" s="673"/>
      <c r="AT271" s="696"/>
    </row>
    <row r="272" ht="15.75" customHeight="1">
      <c r="A272" s="653"/>
      <c r="B272" s="654"/>
      <c r="C272" s="691"/>
      <c r="D272" s="656"/>
      <c r="E272" s="657"/>
      <c r="F272" s="658"/>
      <c r="G272" s="659"/>
      <c r="H272" s="660"/>
      <c r="I272" s="659"/>
      <c r="J272" s="661"/>
      <c r="K272" s="692"/>
      <c r="L272" s="645"/>
      <c r="M272" s="663"/>
      <c r="N272" s="665"/>
      <c r="O272" s="665"/>
      <c r="P272" s="666"/>
      <c r="Q272" s="667"/>
      <c r="R272" s="668"/>
      <c r="S272" s="693"/>
      <c r="T272" s="694"/>
      <c r="U272" s="694"/>
      <c r="V272" s="693"/>
      <c r="W272" s="693"/>
      <c r="X272" s="693"/>
      <c r="Y272" s="671"/>
      <c r="Z272" s="673"/>
      <c r="AA272" s="672"/>
      <c r="AB272" s="695"/>
      <c r="AC272" s="673"/>
      <c r="AD272" s="673"/>
      <c r="AE272" s="673"/>
      <c r="AF272" s="673"/>
      <c r="AG272" s="673"/>
      <c r="AH272" s="673"/>
      <c r="AI272" s="673"/>
      <c r="AJ272" s="673"/>
      <c r="AK272" s="673"/>
      <c r="AL272" s="673"/>
      <c r="AM272" s="673"/>
      <c r="AN272" s="673"/>
      <c r="AO272" s="673"/>
      <c r="AP272" s="673"/>
      <c r="AQ272" s="673"/>
      <c r="AR272" s="673"/>
      <c r="AS272" s="673"/>
      <c r="AT272" s="696"/>
    </row>
    <row r="273" ht="15.75" customHeight="1">
      <c r="A273" s="653"/>
      <c r="B273" s="654"/>
      <c r="C273" s="691"/>
      <c r="D273" s="656"/>
      <c r="E273" s="657"/>
      <c r="F273" s="658"/>
      <c r="G273" s="659"/>
      <c r="H273" s="660"/>
      <c r="I273" s="659"/>
      <c r="J273" s="661"/>
      <c r="K273" s="692"/>
      <c r="L273" s="645"/>
      <c r="M273" s="663"/>
      <c r="N273" s="665"/>
      <c r="O273" s="665"/>
      <c r="P273" s="666"/>
      <c r="Q273" s="667"/>
      <c r="R273" s="668"/>
      <c r="S273" s="693"/>
      <c r="T273" s="694"/>
      <c r="U273" s="694"/>
      <c r="V273" s="693"/>
      <c r="W273" s="693"/>
      <c r="X273" s="693"/>
      <c r="Y273" s="671"/>
      <c r="Z273" s="673"/>
      <c r="AA273" s="672"/>
      <c r="AB273" s="695"/>
      <c r="AC273" s="673"/>
      <c r="AD273" s="673"/>
      <c r="AE273" s="673"/>
      <c r="AF273" s="673"/>
      <c r="AG273" s="673"/>
      <c r="AH273" s="673"/>
      <c r="AI273" s="673"/>
      <c r="AJ273" s="673"/>
      <c r="AK273" s="673"/>
      <c r="AL273" s="673"/>
      <c r="AM273" s="673"/>
      <c r="AN273" s="673"/>
      <c r="AO273" s="673"/>
      <c r="AP273" s="673"/>
      <c r="AQ273" s="673"/>
      <c r="AR273" s="673"/>
      <c r="AS273" s="673"/>
      <c r="AT273" s="696"/>
    </row>
    <row r="274" ht="15.75" customHeight="1">
      <c r="A274" s="653"/>
      <c r="B274" s="654"/>
      <c r="C274" s="691"/>
      <c r="D274" s="656"/>
      <c r="E274" s="657"/>
      <c r="F274" s="658"/>
      <c r="G274" s="659"/>
      <c r="H274" s="660"/>
      <c r="I274" s="659"/>
      <c r="J274" s="661"/>
      <c r="K274" s="692"/>
      <c r="L274" s="645"/>
      <c r="M274" s="663"/>
      <c r="N274" s="665"/>
      <c r="O274" s="665"/>
      <c r="P274" s="666"/>
      <c r="Q274" s="667"/>
      <c r="R274" s="668"/>
      <c r="S274" s="693"/>
      <c r="T274" s="694"/>
      <c r="U274" s="694"/>
      <c r="V274" s="693"/>
      <c r="W274" s="693"/>
      <c r="X274" s="693"/>
      <c r="Y274" s="671"/>
      <c r="Z274" s="673"/>
      <c r="AA274" s="672"/>
      <c r="AB274" s="695"/>
      <c r="AC274" s="673"/>
      <c r="AD274" s="673"/>
      <c r="AE274" s="673"/>
      <c r="AF274" s="673"/>
      <c r="AG274" s="673"/>
      <c r="AH274" s="673"/>
      <c r="AI274" s="673"/>
      <c r="AJ274" s="673"/>
      <c r="AK274" s="673"/>
      <c r="AL274" s="673"/>
      <c r="AM274" s="673"/>
      <c r="AN274" s="673"/>
      <c r="AO274" s="673"/>
      <c r="AP274" s="673"/>
      <c r="AQ274" s="673"/>
      <c r="AR274" s="673"/>
      <c r="AS274" s="673"/>
      <c r="AT274" s="696"/>
    </row>
    <row r="275" ht="15.75" customHeight="1">
      <c r="A275" s="653"/>
      <c r="B275" s="654"/>
      <c r="C275" s="691"/>
      <c r="D275" s="656"/>
      <c r="E275" s="657"/>
      <c r="F275" s="658"/>
      <c r="G275" s="659"/>
      <c r="H275" s="660"/>
      <c r="I275" s="659"/>
      <c r="J275" s="661"/>
      <c r="K275" s="692"/>
      <c r="L275" s="645"/>
      <c r="M275" s="663"/>
      <c r="N275" s="665"/>
      <c r="O275" s="665"/>
      <c r="P275" s="666"/>
      <c r="Q275" s="667"/>
      <c r="R275" s="668"/>
      <c r="S275" s="693"/>
      <c r="T275" s="694"/>
      <c r="U275" s="694"/>
      <c r="V275" s="693"/>
      <c r="W275" s="693"/>
      <c r="X275" s="693"/>
      <c r="Y275" s="671"/>
      <c r="Z275" s="673"/>
      <c r="AA275" s="672"/>
      <c r="AB275" s="695"/>
      <c r="AC275" s="673"/>
      <c r="AD275" s="673"/>
      <c r="AE275" s="673"/>
      <c r="AF275" s="673"/>
      <c r="AG275" s="673"/>
      <c r="AH275" s="673"/>
      <c r="AI275" s="673"/>
      <c r="AJ275" s="673"/>
      <c r="AK275" s="673"/>
      <c r="AL275" s="673"/>
      <c r="AM275" s="673"/>
      <c r="AN275" s="673"/>
      <c r="AO275" s="673"/>
      <c r="AP275" s="673"/>
      <c r="AQ275" s="673"/>
      <c r="AR275" s="673"/>
      <c r="AS275" s="673"/>
      <c r="AT275" s="696"/>
    </row>
    <row r="276" ht="15.75" customHeight="1">
      <c r="A276" s="653"/>
      <c r="B276" s="654"/>
      <c r="C276" s="691"/>
      <c r="D276" s="656"/>
      <c r="E276" s="657"/>
      <c r="F276" s="658"/>
      <c r="G276" s="659"/>
      <c r="H276" s="660"/>
      <c r="I276" s="659"/>
      <c r="J276" s="661"/>
      <c r="K276" s="692"/>
      <c r="L276" s="645"/>
      <c r="M276" s="663"/>
      <c r="N276" s="665"/>
      <c r="O276" s="665"/>
      <c r="P276" s="666"/>
      <c r="Q276" s="667"/>
      <c r="R276" s="668"/>
      <c r="S276" s="693"/>
      <c r="T276" s="694"/>
      <c r="U276" s="694"/>
      <c r="V276" s="693"/>
      <c r="W276" s="693"/>
      <c r="X276" s="693"/>
      <c r="Y276" s="671"/>
      <c r="Z276" s="673"/>
      <c r="AA276" s="672"/>
      <c r="AB276" s="695"/>
      <c r="AC276" s="673"/>
      <c r="AD276" s="673"/>
      <c r="AE276" s="673"/>
      <c r="AF276" s="673"/>
      <c r="AG276" s="673"/>
      <c r="AH276" s="673"/>
      <c r="AI276" s="673"/>
      <c r="AJ276" s="673"/>
      <c r="AK276" s="673"/>
      <c r="AL276" s="673"/>
      <c r="AM276" s="673"/>
      <c r="AN276" s="673"/>
      <c r="AO276" s="673"/>
      <c r="AP276" s="673"/>
      <c r="AQ276" s="673"/>
      <c r="AR276" s="673"/>
      <c r="AS276" s="673"/>
      <c r="AT276" s="696"/>
    </row>
    <row r="277" ht="15.75" customHeight="1">
      <c r="A277" s="653"/>
      <c r="B277" s="654"/>
      <c r="C277" s="691"/>
      <c r="D277" s="656"/>
      <c r="E277" s="657"/>
      <c r="F277" s="658"/>
      <c r="G277" s="659"/>
      <c r="H277" s="660"/>
      <c r="I277" s="659"/>
      <c r="J277" s="661"/>
      <c r="K277" s="692"/>
      <c r="L277" s="645"/>
      <c r="M277" s="663"/>
      <c r="N277" s="665"/>
      <c r="O277" s="665"/>
      <c r="P277" s="666"/>
      <c r="Q277" s="667"/>
      <c r="R277" s="668"/>
      <c r="S277" s="693"/>
      <c r="T277" s="694"/>
      <c r="U277" s="694"/>
      <c r="V277" s="693"/>
      <c r="W277" s="693"/>
      <c r="X277" s="693"/>
      <c r="Y277" s="671"/>
      <c r="Z277" s="673"/>
      <c r="AA277" s="672"/>
      <c r="AB277" s="695"/>
      <c r="AC277" s="673"/>
      <c r="AD277" s="673"/>
      <c r="AE277" s="673"/>
      <c r="AF277" s="673"/>
      <c r="AG277" s="673"/>
      <c r="AH277" s="673"/>
      <c r="AI277" s="673"/>
      <c r="AJ277" s="673"/>
      <c r="AK277" s="673"/>
      <c r="AL277" s="673"/>
      <c r="AM277" s="673"/>
      <c r="AN277" s="673"/>
      <c r="AO277" s="673"/>
      <c r="AP277" s="673"/>
      <c r="AQ277" s="673"/>
      <c r="AR277" s="673"/>
      <c r="AS277" s="673"/>
      <c r="AT277" s="696"/>
    </row>
    <row r="278" ht="15.75" customHeight="1">
      <c r="A278" s="653"/>
      <c r="B278" s="654"/>
      <c r="C278" s="691"/>
      <c r="D278" s="656"/>
      <c r="E278" s="657"/>
      <c r="F278" s="658"/>
      <c r="G278" s="659"/>
      <c r="H278" s="660"/>
      <c r="I278" s="659"/>
      <c r="J278" s="661"/>
      <c r="K278" s="692"/>
      <c r="L278" s="645"/>
      <c r="M278" s="663"/>
      <c r="N278" s="665"/>
      <c r="O278" s="665"/>
      <c r="P278" s="666"/>
      <c r="Q278" s="667"/>
      <c r="R278" s="668"/>
      <c r="S278" s="693"/>
      <c r="T278" s="694"/>
      <c r="U278" s="694"/>
      <c r="V278" s="693"/>
      <c r="W278" s="693"/>
      <c r="X278" s="693"/>
      <c r="Y278" s="671"/>
      <c r="Z278" s="673"/>
      <c r="AA278" s="672"/>
      <c r="AB278" s="695"/>
      <c r="AC278" s="673"/>
      <c r="AD278" s="673"/>
      <c r="AE278" s="673"/>
      <c r="AF278" s="673"/>
      <c r="AG278" s="673"/>
      <c r="AH278" s="673"/>
      <c r="AI278" s="673"/>
      <c r="AJ278" s="673"/>
      <c r="AK278" s="673"/>
      <c r="AL278" s="673"/>
      <c r="AM278" s="673"/>
      <c r="AN278" s="673"/>
      <c r="AO278" s="673"/>
      <c r="AP278" s="673"/>
      <c r="AQ278" s="673"/>
      <c r="AR278" s="673"/>
      <c r="AS278" s="673"/>
      <c r="AT278" s="696"/>
    </row>
    <row r="279" ht="15.75" customHeight="1">
      <c r="A279" s="653"/>
      <c r="B279" s="654"/>
      <c r="C279" s="691"/>
      <c r="D279" s="656"/>
      <c r="E279" s="657"/>
      <c r="F279" s="658"/>
      <c r="G279" s="659"/>
      <c r="H279" s="660"/>
      <c r="I279" s="659"/>
      <c r="J279" s="661"/>
      <c r="K279" s="692"/>
      <c r="L279" s="645"/>
      <c r="M279" s="663"/>
      <c r="N279" s="665"/>
      <c r="O279" s="665"/>
      <c r="P279" s="666"/>
      <c r="Q279" s="667"/>
      <c r="R279" s="668"/>
      <c r="S279" s="693"/>
      <c r="T279" s="694"/>
      <c r="U279" s="694"/>
      <c r="V279" s="693"/>
      <c r="W279" s="693"/>
      <c r="X279" s="693"/>
      <c r="Y279" s="671"/>
      <c r="Z279" s="673"/>
      <c r="AA279" s="672"/>
      <c r="AB279" s="695"/>
      <c r="AC279" s="673"/>
      <c r="AD279" s="673"/>
      <c r="AE279" s="673"/>
      <c r="AF279" s="673"/>
      <c r="AG279" s="673"/>
      <c r="AH279" s="673"/>
      <c r="AI279" s="673"/>
      <c r="AJ279" s="673"/>
      <c r="AK279" s="673"/>
      <c r="AL279" s="673"/>
      <c r="AM279" s="673"/>
      <c r="AN279" s="673"/>
      <c r="AO279" s="673"/>
      <c r="AP279" s="673"/>
      <c r="AQ279" s="673"/>
      <c r="AR279" s="673"/>
      <c r="AS279" s="673"/>
      <c r="AT279" s="696"/>
    </row>
    <row r="280" ht="15.75" customHeight="1">
      <c r="A280" s="653"/>
      <c r="B280" s="654"/>
      <c r="C280" s="691"/>
      <c r="D280" s="656"/>
      <c r="E280" s="657"/>
      <c r="F280" s="658"/>
      <c r="G280" s="659"/>
      <c r="H280" s="660"/>
      <c r="I280" s="659"/>
      <c r="J280" s="661"/>
      <c r="K280" s="692"/>
      <c r="L280" s="645"/>
      <c r="M280" s="663"/>
      <c r="N280" s="665"/>
      <c r="O280" s="665"/>
      <c r="P280" s="666"/>
      <c r="Q280" s="667"/>
      <c r="R280" s="668"/>
      <c r="S280" s="693"/>
      <c r="T280" s="694"/>
      <c r="U280" s="694"/>
      <c r="V280" s="693"/>
      <c r="W280" s="693"/>
      <c r="X280" s="693"/>
      <c r="Y280" s="671"/>
      <c r="Z280" s="673"/>
      <c r="AA280" s="672"/>
      <c r="AB280" s="695"/>
      <c r="AC280" s="673"/>
      <c r="AD280" s="673"/>
      <c r="AE280" s="673"/>
      <c r="AF280" s="673"/>
      <c r="AG280" s="673"/>
      <c r="AH280" s="673"/>
      <c r="AI280" s="673"/>
      <c r="AJ280" s="673"/>
      <c r="AK280" s="673"/>
      <c r="AL280" s="673"/>
      <c r="AM280" s="673"/>
      <c r="AN280" s="673"/>
      <c r="AO280" s="673"/>
      <c r="AP280" s="673"/>
      <c r="AQ280" s="673"/>
      <c r="AR280" s="673"/>
      <c r="AS280" s="673"/>
      <c r="AT280" s="696"/>
    </row>
    <row r="281" ht="15.75" customHeight="1">
      <c r="A281" s="653"/>
      <c r="B281" s="654"/>
      <c r="C281" s="691"/>
      <c r="D281" s="656"/>
      <c r="E281" s="657"/>
      <c r="F281" s="658"/>
      <c r="G281" s="659"/>
      <c r="H281" s="660"/>
      <c r="I281" s="659"/>
      <c r="J281" s="661"/>
      <c r="K281" s="692"/>
      <c r="L281" s="645"/>
      <c r="M281" s="663"/>
      <c r="N281" s="665"/>
      <c r="O281" s="665"/>
      <c r="P281" s="666"/>
      <c r="Q281" s="667"/>
      <c r="R281" s="668"/>
      <c r="S281" s="693"/>
      <c r="T281" s="694"/>
      <c r="U281" s="694"/>
      <c r="V281" s="693"/>
      <c r="W281" s="693"/>
      <c r="X281" s="693"/>
      <c r="Y281" s="671"/>
      <c r="Z281" s="673"/>
      <c r="AA281" s="672"/>
      <c r="AB281" s="695"/>
      <c r="AC281" s="673"/>
      <c r="AD281" s="673"/>
      <c r="AE281" s="673"/>
      <c r="AF281" s="673"/>
      <c r="AG281" s="673"/>
      <c r="AH281" s="673"/>
      <c r="AI281" s="673"/>
      <c r="AJ281" s="673"/>
      <c r="AK281" s="673"/>
      <c r="AL281" s="673"/>
      <c r="AM281" s="673"/>
      <c r="AN281" s="673"/>
      <c r="AO281" s="673"/>
      <c r="AP281" s="673"/>
      <c r="AQ281" s="673"/>
      <c r="AR281" s="673"/>
      <c r="AS281" s="673"/>
      <c r="AT281" s="696"/>
    </row>
    <row r="282" ht="15.75" customHeight="1">
      <c r="A282" s="653"/>
      <c r="B282" s="654"/>
      <c r="C282" s="691"/>
      <c r="D282" s="656"/>
      <c r="E282" s="657"/>
      <c r="F282" s="658"/>
      <c r="G282" s="659"/>
      <c r="H282" s="660"/>
      <c r="I282" s="659"/>
      <c r="J282" s="661"/>
      <c r="K282" s="692"/>
      <c r="L282" s="645"/>
      <c r="M282" s="663"/>
      <c r="N282" s="665"/>
      <c r="O282" s="665"/>
      <c r="P282" s="666"/>
      <c r="Q282" s="667"/>
      <c r="R282" s="668"/>
      <c r="S282" s="693"/>
      <c r="T282" s="694"/>
      <c r="U282" s="694"/>
      <c r="V282" s="693"/>
      <c r="W282" s="693"/>
      <c r="X282" s="693"/>
      <c r="Y282" s="671"/>
      <c r="Z282" s="673"/>
      <c r="AA282" s="672"/>
      <c r="AB282" s="695"/>
      <c r="AC282" s="673"/>
      <c r="AD282" s="673"/>
      <c r="AE282" s="673"/>
      <c r="AF282" s="673"/>
      <c r="AG282" s="673"/>
      <c r="AH282" s="673"/>
      <c r="AI282" s="673"/>
      <c r="AJ282" s="673"/>
      <c r="AK282" s="673"/>
      <c r="AL282" s="673"/>
      <c r="AM282" s="673"/>
      <c r="AN282" s="673"/>
      <c r="AO282" s="673"/>
      <c r="AP282" s="673"/>
      <c r="AQ282" s="673"/>
      <c r="AR282" s="673"/>
      <c r="AS282" s="673"/>
      <c r="AT282" s="696"/>
    </row>
    <row r="283" ht="15.75" customHeight="1">
      <c r="A283" s="653"/>
      <c r="B283" s="654"/>
      <c r="C283" s="691"/>
      <c r="D283" s="656"/>
      <c r="E283" s="657"/>
      <c r="F283" s="658"/>
      <c r="G283" s="659"/>
      <c r="H283" s="660"/>
      <c r="I283" s="659"/>
      <c r="J283" s="661"/>
      <c r="K283" s="692"/>
      <c r="L283" s="645"/>
      <c r="M283" s="663"/>
      <c r="N283" s="665"/>
      <c r="O283" s="665"/>
      <c r="P283" s="666"/>
      <c r="Q283" s="667"/>
      <c r="R283" s="668"/>
      <c r="S283" s="693"/>
      <c r="T283" s="694"/>
      <c r="U283" s="694"/>
      <c r="V283" s="693"/>
      <c r="W283" s="693"/>
      <c r="X283" s="693"/>
      <c r="Y283" s="671"/>
      <c r="Z283" s="673"/>
      <c r="AA283" s="672"/>
      <c r="AB283" s="695"/>
      <c r="AC283" s="673"/>
      <c r="AD283" s="673"/>
      <c r="AE283" s="673"/>
      <c r="AF283" s="673"/>
      <c r="AG283" s="673"/>
      <c r="AH283" s="673"/>
      <c r="AI283" s="673"/>
      <c r="AJ283" s="673"/>
      <c r="AK283" s="673"/>
      <c r="AL283" s="673"/>
      <c r="AM283" s="673"/>
      <c r="AN283" s="673"/>
      <c r="AO283" s="673"/>
      <c r="AP283" s="673"/>
      <c r="AQ283" s="673"/>
      <c r="AR283" s="673"/>
      <c r="AS283" s="673"/>
      <c r="AT283" s="696"/>
    </row>
    <row r="284" ht="15.75" customHeight="1">
      <c r="A284" s="653"/>
      <c r="B284" s="654"/>
      <c r="C284" s="691"/>
      <c r="D284" s="656"/>
      <c r="E284" s="657"/>
      <c r="F284" s="658"/>
      <c r="G284" s="659"/>
      <c r="H284" s="660"/>
      <c r="I284" s="659"/>
      <c r="J284" s="661"/>
      <c r="K284" s="692"/>
      <c r="L284" s="645"/>
      <c r="M284" s="663"/>
      <c r="N284" s="665"/>
      <c r="O284" s="665"/>
      <c r="P284" s="666"/>
      <c r="Q284" s="667"/>
      <c r="R284" s="668"/>
      <c r="S284" s="693"/>
      <c r="T284" s="694"/>
      <c r="U284" s="694"/>
      <c r="V284" s="693"/>
      <c r="W284" s="693"/>
      <c r="X284" s="693"/>
      <c r="Y284" s="671"/>
      <c r="Z284" s="673"/>
      <c r="AA284" s="672"/>
      <c r="AB284" s="695"/>
      <c r="AC284" s="673"/>
      <c r="AD284" s="673"/>
      <c r="AE284" s="673"/>
      <c r="AF284" s="673"/>
      <c r="AG284" s="673"/>
      <c r="AH284" s="673"/>
      <c r="AI284" s="673"/>
      <c r="AJ284" s="673"/>
      <c r="AK284" s="673"/>
      <c r="AL284" s="673"/>
      <c r="AM284" s="673"/>
      <c r="AN284" s="673"/>
      <c r="AO284" s="673"/>
      <c r="AP284" s="673"/>
      <c r="AQ284" s="673"/>
      <c r="AR284" s="673"/>
      <c r="AS284" s="673"/>
      <c r="AT284" s="696"/>
    </row>
    <row r="285" ht="15.75" customHeight="1">
      <c r="A285" s="653"/>
      <c r="B285" s="654"/>
      <c r="C285" s="691"/>
      <c r="D285" s="656"/>
      <c r="E285" s="657"/>
      <c r="F285" s="658"/>
      <c r="G285" s="659"/>
      <c r="H285" s="660"/>
      <c r="I285" s="659"/>
      <c r="J285" s="661"/>
      <c r="K285" s="692"/>
      <c r="L285" s="645"/>
      <c r="M285" s="663"/>
      <c r="N285" s="665"/>
      <c r="O285" s="665"/>
      <c r="P285" s="666"/>
      <c r="Q285" s="667"/>
      <c r="R285" s="668"/>
      <c r="S285" s="693"/>
      <c r="T285" s="694"/>
      <c r="U285" s="694"/>
      <c r="V285" s="693"/>
      <c r="W285" s="693"/>
      <c r="X285" s="693"/>
      <c r="Y285" s="671"/>
      <c r="Z285" s="673"/>
      <c r="AA285" s="672"/>
      <c r="AB285" s="695"/>
      <c r="AC285" s="673"/>
      <c r="AD285" s="673"/>
      <c r="AE285" s="673"/>
      <c r="AF285" s="673"/>
      <c r="AG285" s="673"/>
      <c r="AH285" s="673"/>
      <c r="AI285" s="673"/>
      <c r="AJ285" s="673"/>
      <c r="AK285" s="673"/>
      <c r="AL285" s="673"/>
      <c r="AM285" s="673"/>
      <c r="AN285" s="673"/>
      <c r="AO285" s="673"/>
      <c r="AP285" s="673"/>
      <c r="AQ285" s="673"/>
      <c r="AR285" s="673"/>
      <c r="AS285" s="673"/>
      <c r="AT285" s="696"/>
    </row>
    <row r="286" ht="15.75" customHeight="1">
      <c r="A286" s="653"/>
      <c r="B286" s="654"/>
      <c r="C286" s="691"/>
      <c r="D286" s="656"/>
      <c r="E286" s="657"/>
      <c r="F286" s="658"/>
      <c r="G286" s="659"/>
      <c r="H286" s="660"/>
      <c r="I286" s="659"/>
      <c r="J286" s="661"/>
      <c r="K286" s="692"/>
      <c r="L286" s="645"/>
      <c r="M286" s="663"/>
      <c r="N286" s="665"/>
      <c r="O286" s="665"/>
      <c r="P286" s="666"/>
      <c r="Q286" s="667"/>
      <c r="R286" s="668"/>
      <c r="S286" s="693"/>
      <c r="T286" s="694"/>
      <c r="U286" s="694"/>
      <c r="V286" s="693"/>
      <c r="W286" s="693"/>
      <c r="X286" s="693"/>
      <c r="Y286" s="671"/>
      <c r="Z286" s="673"/>
      <c r="AA286" s="672"/>
      <c r="AB286" s="695"/>
      <c r="AC286" s="673"/>
      <c r="AD286" s="673"/>
      <c r="AE286" s="673"/>
      <c r="AF286" s="673"/>
      <c r="AG286" s="673"/>
      <c r="AH286" s="673"/>
      <c r="AI286" s="673"/>
      <c r="AJ286" s="673"/>
      <c r="AK286" s="673"/>
      <c r="AL286" s="673"/>
      <c r="AM286" s="673"/>
      <c r="AN286" s="673"/>
      <c r="AO286" s="673"/>
      <c r="AP286" s="673"/>
      <c r="AQ286" s="673"/>
      <c r="AR286" s="673"/>
      <c r="AS286" s="673"/>
      <c r="AT286" s="696"/>
    </row>
    <row r="287" ht="15.75" customHeight="1">
      <c r="A287" s="653"/>
      <c r="B287" s="654"/>
      <c r="C287" s="691"/>
      <c r="D287" s="656"/>
      <c r="E287" s="657"/>
      <c r="F287" s="658"/>
      <c r="G287" s="659"/>
      <c r="H287" s="660"/>
      <c r="I287" s="659"/>
      <c r="J287" s="661"/>
      <c r="K287" s="692"/>
      <c r="L287" s="645"/>
      <c r="M287" s="663"/>
      <c r="N287" s="665"/>
      <c r="O287" s="665"/>
      <c r="P287" s="666"/>
      <c r="Q287" s="667"/>
      <c r="R287" s="668"/>
      <c r="S287" s="693"/>
      <c r="T287" s="694"/>
      <c r="U287" s="694"/>
      <c r="V287" s="693"/>
      <c r="W287" s="693"/>
      <c r="X287" s="693"/>
      <c r="Y287" s="671"/>
      <c r="Z287" s="673"/>
      <c r="AA287" s="672"/>
      <c r="AB287" s="695"/>
      <c r="AC287" s="673"/>
      <c r="AD287" s="673"/>
      <c r="AE287" s="673"/>
      <c r="AF287" s="673"/>
      <c r="AG287" s="673"/>
      <c r="AH287" s="673"/>
      <c r="AI287" s="673"/>
      <c r="AJ287" s="673"/>
      <c r="AK287" s="673"/>
      <c r="AL287" s="673"/>
      <c r="AM287" s="673"/>
      <c r="AN287" s="673"/>
      <c r="AO287" s="673"/>
      <c r="AP287" s="673"/>
      <c r="AQ287" s="673"/>
      <c r="AR287" s="673"/>
      <c r="AS287" s="673"/>
      <c r="AT287" s="696"/>
    </row>
    <row r="288" ht="15.75" customHeight="1">
      <c r="A288" s="653"/>
      <c r="B288" s="654"/>
      <c r="C288" s="691"/>
      <c r="D288" s="656"/>
      <c r="E288" s="657"/>
      <c r="F288" s="658"/>
      <c r="G288" s="659"/>
      <c r="H288" s="660"/>
      <c r="I288" s="659"/>
      <c r="J288" s="661"/>
      <c r="K288" s="692"/>
      <c r="L288" s="645"/>
      <c r="M288" s="663"/>
      <c r="N288" s="665"/>
      <c r="O288" s="665"/>
      <c r="P288" s="666"/>
      <c r="Q288" s="667"/>
      <c r="R288" s="668"/>
      <c r="S288" s="693"/>
      <c r="T288" s="694"/>
      <c r="U288" s="694"/>
      <c r="V288" s="693"/>
      <c r="W288" s="693"/>
      <c r="X288" s="693"/>
      <c r="Y288" s="671"/>
      <c r="Z288" s="673"/>
      <c r="AA288" s="672"/>
      <c r="AB288" s="695"/>
      <c r="AC288" s="673"/>
      <c r="AD288" s="673"/>
      <c r="AE288" s="673"/>
      <c r="AF288" s="673"/>
      <c r="AG288" s="673"/>
      <c r="AH288" s="673"/>
      <c r="AI288" s="673"/>
      <c r="AJ288" s="673"/>
      <c r="AK288" s="673"/>
      <c r="AL288" s="673"/>
      <c r="AM288" s="673"/>
      <c r="AN288" s="673"/>
      <c r="AO288" s="673"/>
      <c r="AP288" s="673"/>
      <c r="AQ288" s="673"/>
      <c r="AR288" s="673"/>
      <c r="AS288" s="673"/>
      <c r="AT288" s="696"/>
    </row>
    <row r="289" ht="15.75" customHeight="1">
      <c r="A289" s="653"/>
      <c r="B289" s="654"/>
      <c r="C289" s="691"/>
      <c r="D289" s="656"/>
      <c r="E289" s="657"/>
      <c r="F289" s="658"/>
      <c r="G289" s="659"/>
      <c r="H289" s="660"/>
      <c r="I289" s="659"/>
      <c r="J289" s="661"/>
      <c r="K289" s="692"/>
      <c r="L289" s="645"/>
      <c r="M289" s="663"/>
      <c r="N289" s="665"/>
      <c r="O289" s="665"/>
      <c r="P289" s="666"/>
      <c r="Q289" s="667"/>
      <c r="R289" s="668"/>
      <c r="S289" s="693"/>
      <c r="T289" s="694"/>
      <c r="U289" s="694"/>
      <c r="V289" s="693"/>
      <c r="W289" s="693"/>
      <c r="X289" s="693"/>
      <c r="Y289" s="671"/>
      <c r="Z289" s="673"/>
      <c r="AA289" s="672"/>
      <c r="AB289" s="695"/>
      <c r="AC289" s="673"/>
      <c r="AD289" s="673"/>
      <c r="AE289" s="673"/>
      <c r="AF289" s="673"/>
      <c r="AG289" s="673"/>
      <c r="AH289" s="673"/>
      <c r="AI289" s="673"/>
      <c r="AJ289" s="673"/>
      <c r="AK289" s="673"/>
      <c r="AL289" s="673"/>
      <c r="AM289" s="673"/>
      <c r="AN289" s="673"/>
      <c r="AO289" s="673"/>
      <c r="AP289" s="673"/>
      <c r="AQ289" s="673"/>
      <c r="AR289" s="673"/>
      <c r="AS289" s="673"/>
      <c r="AT289" s="696"/>
    </row>
    <row r="290" ht="15.75" customHeight="1">
      <c r="A290" s="653"/>
      <c r="B290" s="654"/>
      <c r="C290" s="691"/>
      <c r="D290" s="656"/>
      <c r="E290" s="657"/>
      <c r="F290" s="658"/>
      <c r="G290" s="659"/>
      <c r="H290" s="660"/>
      <c r="I290" s="659"/>
      <c r="J290" s="661"/>
      <c r="K290" s="692"/>
      <c r="L290" s="645"/>
      <c r="M290" s="663"/>
      <c r="N290" s="665"/>
      <c r="O290" s="665"/>
      <c r="P290" s="666"/>
      <c r="Q290" s="667"/>
      <c r="R290" s="668"/>
      <c r="S290" s="693"/>
      <c r="T290" s="694"/>
      <c r="U290" s="694"/>
      <c r="V290" s="693"/>
      <c r="W290" s="693"/>
      <c r="X290" s="693"/>
      <c r="Y290" s="671"/>
      <c r="Z290" s="673"/>
      <c r="AA290" s="672"/>
      <c r="AB290" s="695"/>
      <c r="AC290" s="673"/>
      <c r="AD290" s="673"/>
      <c r="AE290" s="673"/>
      <c r="AF290" s="673"/>
      <c r="AG290" s="673"/>
      <c r="AH290" s="673"/>
      <c r="AI290" s="673"/>
      <c r="AJ290" s="673"/>
      <c r="AK290" s="673"/>
      <c r="AL290" s="673"/>
      <c r="AM290" s="673"/>
      <c r="AN290" s="673"/>
      <c r="AO290" s="673"/>
      <c r="AP290" s="673"/>
      <c r="AQ290" s="673"/>
      <c r="AR290" s="673"/>
      <c r="AS290" s="673"/>
      <c r="AT290" s="696"/>
    </row>
    <row r="291" ht="15.75" customHeight="1">
      <c r="A291" s="653"/>
      <c r="B291" s="654"/>
      <c r="C291" s="691"/>
      <c r="D291" s="656"/>
      <c r="E291" s="657"/>
      <c r="F291" s="658"/>
      <c r="G291" s="659"/>
      <c r="H291" s="660"/>
      <c r="I291" s="659"/>
      <c r="J291" s="661"/>
      <c r="K291" s="692"/>
      <c r="L291" s="645"/>
      <c r="M291" s="663"/>
      <c r="N291" s="665"/>
      <c r="O291" s="665"/>
      <c r="P291" s="666"/>
      <c r="Q291" s="667"/>
      <c r="R291" s="668"/>
      <c r="S291" s="693"/>
      <c r="T291" s="694"/>
      <c r="U291" s="694"/>
      <c r="V291" s="693"/>
      <c r="W291" s="693"/>
      <c r="X291" s="693"/>
      <c r="Y291" s="671"/>
      <c r="Z291" s="673"/>
      <c r="AA291" s="672"/>
      <c r="AB291" s="695"/>
      <c r="AC291" s="673"/>
      <c r="AD291" s="673"/>
      <c r="AE291" s="673"/>
      <c r="AF291" s="673"/>
      <c r="AG291" s="673"/>
      <c r="AH291" s="673"/>
      <c r="AI291" s="673"/>
      <c r="AJ291" s="673"/>
      <c r="AK291" s="673"/>
      <c r="AL291" s="673"/>
      <c r="AM291" s="673"/>
      <c r="AN291" s="673"/>
      <c r="AO291" s="673"/>
      <c r="AP291" s="673"/>
      <c r="AQ291" s="673"/>
      <c r="AR291" s="673"/>
      <c r="AS291" s="673"/>
      <c r="AT291" s="696"/>
    </row>
    <row r="292" ht="15.75" customHeight="1">
      <c r="A292" s="653"/>
      <c r="B292" s="654"/>
      <c r="C292" s="691"/>
      <c r="D292" s="656"/>
      <c r="E292" s="657"/>
      <c r="F292" s="658"/>
      <c r="G292" s="659"/>
      <c r="H292" s="660"/>
      <c r="I292" s="659"/>
      <c r="J292" s="661"/>
      <c r="K292" s="692"/>
      <c r="L292" s="645"/>
      <c r="M292" s="663"/>
      <c r="N292" s="665"/>
      <c r="O292" s="665"/>
      <c r="P292" s="666"/>
      <c r="Q292" s="667"/>
      <c r="R292" s="668"/>
      <c r="S292" s="693"/>
      <c r="T292" s="694"/>
      <c r="U292" s="694"/>
      <c r="V292" s="693"/>
      <c r="W292" s="693"/>
      <c r="X292" s="693"/>
      <c r="Y292" s="671"/>
      <c r="Z292" s="673"/>
      <c r="AA292" s="672"/>
      <c r="AB292" s="695"/>
      <c r="AC292" s="673"/>
      <c r="AD292" s="673"/>
      <c r="AE292" s="673"/>
      <c r="AF292" s="673"/>
      <c r="AG292" s="673"/>
      <c r="AH292" s="673"/>
      <c r="AI292" s="673"/>
      <c r="AJ292" s="673"/>
      <c r="AK292" s="673"/>
      <c r="AL292" s="673"/>
      <c r="AM292" s="673"/>
      <c r="AN292" s="673"/>
      <c r="AO292" s="673"/>
      <c r="AP292" s="673"/>
      <c r="AQ292" s="673"/>
      <c r="AR292" s="673"/>
      <c r="AS292" s="673"/>
      <c r="AT292" s="696"/>
    </row>
    <row r="293" ht="15.75" customHeight="1">
      <c r="A293" s="653"/>
      <c r="B293" s="654"/>
      <c r="C293" s="691"/>
      <c r="D293" s="656"/>
      <c r="E293" s="657"/>
      <c r="F293" s="658"/>
      <c r="G293" s="659"/>
      <c r="H293" s="660"/>
      <c r="I293" s="659"/>
      <c r="J293" s="661"/>
      <c r="K293" s="692"/>
      <c r="L293" s="645"/>
      <c r="M293" s="663"/>
      <c r="N293" s="665"/>
      <c r="O293" s="665"/>
      <c r="P293" s="666"/>
      <c r="Q293" s="667"/>
      <c r="R293" s="668"/>
      <c r="S293" s="693"/>
      <c r="T293" s="694"/>
      <c r="U293" s="694"/>
      <c r="V293" s="693"/>
      <c r="W293" s="693"/>
      <c r="X293" s="693"/>
      <c r="Y293" s="671"/>
      <c r="Z293" s="673"/>
      <c r="AA293" s="672"/>
      <c r="AB293" s="695"/>
      <c r="AC293" s="673"/>
      <c r="AD293" s="673"/>
      <c r="AE293" s="673"/>
      <c r="AF293" s="673"/>
      <c r="AG293" s="673"/>
      <c r="AH293" s="673"/>
      <c r="AI293" s="673"/>
      <c r="AJ293" s="673"/>
      <c r="AK293" s="673"/>
      <c r="AL293" s="673"/>
      <c r="AM293" s="673"/>
      <c r="AN293" s="673"/>
      <c r="AO293" s="673"/>
      <c r="AP293" s="673"/>
      <c r="AQ293" s="673"/>
      <c r="AR293" s="673"/>
      <c r="AS293" s="673"/>
      <c r="AT293" s="696"/>
    </row>
    <row r="294" ht="15.75" customHeight="1">
      <c r="A294" s="653"/>
      <c r="B294" s="654"/>
      <c r="C294" s="691"/>
      <c r="D294" s="656"/>
      <c r="E294" s="657"/>
      <c r="F294" s="658"/>
      <c r="G294" s="659"/>
      <c r="H294" s="660"/>
      <c r="I294" s="659"/>
      <c r="J294" s="661"/>
      <c r="K294" s="692"/>
      <c r="L294" s="645"/>
      <c r="M294" s="663"/>
      <c r="N294" s="665"/>
      <c r="O294" s="665"/>
      <c r="P294" s="666"/>
      <c r="Q294" s="667"/>
      <c r="R294" s="668"/>
      <c r="S294" s="693"/>
      <c r="T294" s="694"/>
      <c r="U294" s="694"/>
      <c r="V294" s="693"/>
      <c r="W294" s="693"/>
      <c r="X294" s="693"/>
      <c r="Y294" s="671"/>
      <c r="Z294" s="673"/>
      <c r="AA294" s="672"/>
      <c r="AB294" s="695"/>
      <c r="AC294" s="673"/>
      <c r="AD294" s="673"/>
      <c r="AE294" s="673"/>
      <c r="AF294" s="673"/>
      <c r="AG294" s="673"/>
      <c r="AH294" s="673"/>
      <c r="AI294" s="673"/>
      <c r="AJ294" s="673"/>
      <c r="AK294" s="673"/>
      <c r="AL294" s="673"/>
      <c r="AM294" s="673"/>
      <c r="AN294" s="673"/>
      <c r="AO294" s="673"/>
      <c r="AP294" s="673"/>
      <c r="AQ294" s="673"/>
      <c r="AR294" s="673"/>
      <c r="AS294" s="673"/>
      <c r="AT294" s="696"/>
    </row>
    <row r="295" ht="15.75" customHeight="1">
      <c r="A295" s="653"/>
      <c r="B295" s="654"/>
      <c r="C295" s="691"/>
      <c r="D295" s="656"/>
      <c r="E295" s="657"/>
      <c r="F295" s="658"/>
      <c r="G295" s="659"/>
      <c r="H295" s="660"/>
      <c r="I295" s="659"/>
      <c r="J295" s="661"/>
      <c r="K295" s="692"/>
      <c r="L295" s="645"/>
      <c r="M295" s="663"/>
      <c r="N295" s="665"/>
      <c r="O295" s="665"/>
      <c r="P295" s="666"/>
      <c r="Q295" s="667"/>
      <c r="R295" s="668"/>
      <c r="S295" s="693"/>
      <c r="T295" s="694"/>
      <c r="U295" s="694"/>
      <c r="V295" s="693"/>
      <c r="W295" s="693"/>
      <c r="X295" s="693"/>
      <c r="Y295" s="671"/>
      <c r="Z295" s="673"/>
      <c r="AA295" s="672"/>
      <c r="AB295" s="695"/>
      <c r="AC295" s="673"/>
      <c r="AD295" s="673"/>
      <c r="AE295" s="673"/>
      <c r="AF295" s="673"/>
      <c r="AG295" s="673"/>
      <c r="AH295" s="673"/>
      <c r="AI295" s="673"/>
      <c r="AJ295" s="673"/>
      <c r="AK295" s="673"/>
      <c r="AL295" s="673"/>
      <c r="AM295" s="673"/>
      <c r="AN295" s="673"/>
      <c r="AO295" s="673"/>
      <c r="AP295" s="673"/>
      <c r="AQ295" s="673"/>
      <c r="AR295" s="673"/>
      <c r="AS295" s="673"/>
      <c r="AT295" s="696"/>
    </row>
    <row r="296" ht="15.75" customHeight="1">
      <c r="A296" s="653"/>
      <c r="B296" s="654"/>
      <c r="C296" s="691"/>
      <c r="D296" s="656"/>
      <c r="E296" s="657"/>
      <c r="F296" s="658"/>
      <c r="G296" s="659"/>
      <c r="H296" s="660"/>
      <c r="I296" s="659"/>
      <c r="J296" s="661"/>
      <c r="K296" s="692"/>
      <c r="L296" s="645"/>
      <c r="M296" s="663"/>
      <c r="N296" s="665"/>
      <c r="O296" s="665"/>
      <c r="P296" s="666"/>
      <c r="Q296" s="667"/>
      <c r="R296" s="668"/>
      <c r="S296" s="693"/>
      <c r="T296" s="694"/>
      <c r="U296" s="694"/>
      <c r="V296" s="693"/>
      <c r="W296" s="693"/>
      <c r="X296" s="693"/>
      <c r="Y296" s="671"/>
      <c r="Z296" s="673"/>
      <c r="AA296" s="672"/>
      <c r="AB296" s="695"/>
      <c r="AC296" s="673"/>
      <c r="AD296" s="673"/>
      <c r="AE296" s="673"/>
      <c r="AF296" s="673"/>
      <c r="AG296" s="673"/>
      <c r="AH296" s="673"/>
      <c r="AI296" s="673"/>
      <c r="AJ296" s="673"/>
      <c r="AK296" s="673"/>
      <c r="AL296" s="673"/>
      <c r="AM296" s="673"/>
      <c r="AN296" s="673"/>
      <c r="AO296" s="673"/>
      <c r="AP296" s="673"/>
      <c r="AQ296" s="673"/>
      <c r="AR296" s="673"/>
      <c r="AS296" s="673"/>
      <c r="AT296" s="696"/>
    </row>
    <row r="297" ht="15.75" customHeight="1">
      <c r="A297" s="653"/>
      <c r="B297" s="654"/>
      <c r="C297" s="691"/>
      <c r="D297" s="656"/>
      <c r="E297" s="657"/>
      <c r="F297" s="658"/>
      <c r="G297" s="659"/>
      <c r="H297" s="660"/>
      <c r="I297" s="659"/>
      <c r="J297" s="661"/>
      <c r="K297" s="692"/>
      <c r="L297" s="645"/>
      <c r="M297" s="663"/>
      <c r="N297" s="665"/>
      <c r="O297" s="665"/>
      <c r="P297" s="666"/>
      <c r="Q297" s="667"/>
      <c r="R297" s="668"/>
      <c r="S297" s="693"/>
      <c r="T297" s="694"/>
      <c r="U297" s="694"/>
      <c r="V297" s="693"/>
      <c r="W297" s="693"/>
      <c r="X297" s="693"/>
      <c r="Y297" s="671"/>
      <c r="Z297" s="673"/>
      <c r="AA297" s="672"/>
      <c r="AB297" s="695"/>
      <c r="AC297" s="673"/>
      <c r="AD297" s="673"/>
      <c r="AE297" s="673"/>
      <c r="AF297" s="673"/>
      <c r="AG297" s="673"/>
      <c r="AH297" s="673"/>
      <c r="AI297" s="673"/>
      <c r="AJ297" s="673"/>
      <c r="AK297" s="673"/>
      <c r="AL297" s="673"/>
      <c r="AM297" s="673"/>
      <c r="AN297" s="673"/>
      <c r="AO297" s="673"/>
      <c r="AP297" s="673"/>
      <c r="AQ297" s="673"/>
      <c r="AR297" s="673"/>
      <c r="AS297" s="673"/>
      <c r="AT297" s="696"/>
    </row>
    <row r="298" ht="15.75" customHeight="1">
      <c r="A298" s="653"/>
      <c r="B298" s="654"/>
      <c r="C298" s="691"/>
      <c r="D298" s="656"/>
      <c r="E298" s="657"/>
      <c r="F298" s="658"/>
      <c r="G298" s="659"/>
      <c r="H298" s="660"/>
      <c r="I298" s="659"/>
      <c r="J298" s="661"/>
      <c r="K298" s="692"/>
      <c r="L298" s="645"/>
      <c r="M298" s="663"/>
      <c r="N298" s="665"/>
      <c r="O298" s="665"/>
      <c r="P298" s="666"/>
      <c r="Q298" s="667"/>
      <c r="R298" s="668"/>
      <c r="S298" s="693"/>
      <c r="T298" s="694"/>
      <c r="U298" s="694"/>
      <c r="V298" s="693"/>
      <c r="W298" s="693"/>
      <c r="X298" s="693"/>
      <c r="Y298" s="671"/>
      <c r="Z298" s="673"/>
      <c r="AA298" s="672"/>
      <c r="AB298" s="695"/>
      <c r="AC298" s="673"/>
      <c r="AD298" s="673"/>
      <c r="AE298" s="673"/>
      <c r="AF298" s="673"/>
      <c r="AG298" s="673"/>
      <c r="AH298" s="673"/>
      <c r="AI298" s="673"/>
      <c r="AJ298" s="673"/>
      <c r="AK298" s="673"/>
      <c r="AL298" s="673"/>
      <c r="AM298" s="673"/>
      <c r="AN298" s="673"/>
      <c r="AO298" s="673"/>
      <c r="AP298" s="673"/>
      <c r="AQ298" s="673"/>
      <c r="AR298" s="673"/>
      <c r="AS298" s="673"/>
      <c r="AT298" s="696"/>
    </row>
    <row r="299" ht="15.75" customHeight="1">
      <c r="A299" s="653"/>
      <c r="B299" s="654"/>
      <c r="C299" s="691"/>
      <c r="D299" s="656"/>
      <c r="E299" s="657"/>
      <c r="F299" s="658"/>
      <c r="G299" s="659"/>
      <c r="H299" s="660"/>
      <c r="I299" s="659"/>
      <c r="J299" s="661"/>
      <c r="K299" s="692"/>
      <c r="L299" s="645"/>
      <c r="M299" s="663"/>
      <c r="N299" s="665"/>
      <c r="O299" s="665"/>
      <c r="P299" s="666"/>
      <c r="Q299" s="667"/>
      <c r="R299" s="668"/>
      <c r="S299" s="693"/>
      <c r="T299" s="694"/>
      <c r="U299" s="694"/>
      <c r="V299" s="693"/>
      <c r="W299" s="693"/>
      <c r="X299" s="693"/>
      <c r="Y299" s="671"/>
      <c r="Z299" s="673"/>
      <c r="AA299" s="672"/>
      <c r="AB299" s="695"/>
      <c r="AC299" s="673"/>
      <c r="AD299" s="673"/>
      <c r="AE299" s="673"/>
      <c r="AF299" s="673"/>
      <c r="AG299" s="673"/>
      <c r="AH299" s="673"/>
      <c r="AI299" s="673"/>
      <c r="AJ299" s="673"/>
      <c r="AK299" s="673"/>
      <c r="AL299" s="673"/>
      <c r="AM299" s="673"/>
      <c r="AN299" s="673"/>
      <c r="AO299" s="673"/>
      <c r="AP299" s="673"/>
      <c r="AQ299" s="673"/>
      <c r="AR299" s="673"/>
      <c r="AS299" s="673"/>
      <c r="AT299" s="696"/>
    </row>
    <row r="300" ht="15.75" customHeight="1">
      <c r="A300" s="653"/>
      <c r="B300" s="654"/>
      <c r="C300" s="691"/>
      <c r="D300" s="656"/>
      <c r="E300" s="657"/>
      <c r="F300" s="658"/>
      <c r="G300" s="659"/>
      <c r="H300" s="660"/>
      <c r="I300" s="659"/>
      <c r="J300" s="661"/>
      <c r="K300" s="692"/>
      <c r="L300" s="645"/>
      <c r="M300" s="663"/>
      <c r="N300" s="665"/>
      <c r="O300" s="665"/>
      <c r="P300" s="666"/>
      <c r="Q300" s="667"/>
      <c r="R300" s="668"/>
      <c r="S300" s="693"/>
      <c r="T300" s="694"/>
      <c r="U300" s="694"/>
      <c r="V300" s="693"/>
      <c r="W300" s="693"/>
      <c r="X300" s="693"/>
      <c r="Y300" s="671"/>
      <c r="Z300" s="673"/>
      <c r="AA300" s="672"/>
      <c r="AB300" s="695"/>
      <c r="AC300" s="673"/>
      <c r="AD300" s="673"/>
      <c r="AE300" s="673"/>
      <c r="AF300" s="673"/>
      <c r="AG300" s="673"/>
      <c r="AH300" s="673"/>
      <c r="AI300" s="673"/>
      <c r="AJ300" s="673"/>
      <c r="AK300" s="673"/>
      <c r="AL300" s="673"/>
      <c r="AM300" s="673"/>
      <c r="AN300" s="673"/>
      <c r="AO300" s="673"/>
      <c r="AP300" s="673"/>
      <c r="AQ300" s="673"/>
      <c r="AR300" s="673"/>
      <c r="AS300" s="673"/>
      <c r="AT300" s="696"/>
    </row>
    <row r="301" ht="15.75" customHeight="1">
      <c r="A301" s="653"/>
      <c r="B301" s="654"/>
      <c r="C301" s="691"/>
      <c r="D301" s="656"/>
      <c r="E301" s="657"/>
      <c r="F301" s="658"/>
      <c r="G301" s="659"/>
      <c r="H301" s="660"/>
      <c r="I301" s="659"/>
      <c r="J301" s="661"/>
      <c r="K301" s="692"/>
      <c r="L301" s="645"/>
      <c r="M301" s="663"/>
      <c r="N301" s="665"/>
      <c r="O301" s="665"/>
      <c r="P301" s="666"/>
      <c r="Q301" s="667"/>
      <c r="R301" s="668"/>
      <c r="S301" s="693"/>
      <c r="T301" s="694"/>
      <c r="U301" s="694"/>
      <c r="V301" s="693"/>
      <c r="W301" s="693"/>
      <c r="X301" s="693"/>
      <c r="Y301" s="671"/>
      <c r="Z301" s="673"/>
      <c r="AA301" s="672"/>
      <c r="AB301" s="695"/>
      <c r="AC301" s="673"/>
      <c r="AD301" s="673"/>
      <c r="AE301" s="673"/>
      <c r="AF301" s="673"/>
      <c r="AG301" s="673"/>
      <c r="AH301" s="673"/>
      <c r="AI301" s="673"/>
      <c r="AJ301" s="673"/>
      <c r="AK301" s="673"/>
      <c r="AL301" s="673"/>
      <c r="AM301" s="673"/>
      <c r="AN301" s="673"/>
      <c r="AO301" s="673"/>
      <c r="AP301" s="673"/>
      <c r="AQ301" s="673"/>
      <c r="AR301" s="673"/>
      <c r="AS301" s="673"/>
      <c r="AT301" s="696"/>
    </row>
    <row r="302" ht="15.75" customHeight="1">
      <c r="A302" s="653"/>
      <c r="B302" s="654"/>
      <c r="C302" s="691"/>
      <c r="D302" s="656"/>
      <c r="E302" s="657"/>
      <c r="F302" s="658"/>
      <c r="G302" s="659"/>
      <c r="H302" s="660"/>
      <c r="I302" s="659"/>
      <c r="J302" s="661"/>
      <c r="K302" s="692"/>
      <c r="L302" s="645"/>
      <c r="M302" s="663"/>
      <c r="N302" s="665"/>
      <c r="O302" s="665"/>
      <c r="P302" s="666"/>
      <c r="Q302" s="667"/>
      <c r="R302" s="668"/>
      <c r="S302" s="693"/>
      <c r="T302" s="694"/>
      <c r="U302" s="694"/>
      <c r="V302" s="693"/>
      <c r="W302" s="693"/>
      <c r="X302" s="693"/>
      <c r="Y302" s="671"/>
      <c r="Z302" s="673"/>
      <c r="AA302" s="672"/>
      <c r="AB302" s="695"/>
      <c r="AC302" s="673"/>
      <c r="AD302" s="673"/>
      <c r="AE302" s="673"/>
      <c r="AF302" s="673"/>
      <c r="AG302" s="673"/>
      <c r="AH302" s="673"/>
      <c r="AI302" s="673"/>
      <c r="AJ302" s="673"/>
      <c r="AK302" s="673"/>
      <c r="AL302" s="673"/>
      <c r="AM302" s="673"/>
      <c r="AN302" s="673"/>
      <c r="AO302" s="673"/>
      <c r="AP302" s="673"/>
      <c r="AQ302" s="673"/>
      <c r="AR302" s="673"/>
      <c r="AS302" s="673"/>
      <c r="AT302" s="696"/>
    </row>
    <row r="303" ht="15.75" customHeight="1">
      <c r="A303" s="653"/>
      <c r="B303" s="654"/>
      <c r="C303" s="691"/>
      <c r="D303" s="656"/>
      <c r="E303" s="657"/>
      <c r="F303" s="658"/>
      <c r="G303" s="659"/>
      <c r="H303" s="660"/>
      <c r="I303" s="659"/>
      <c r="J303" s="661"/>
      <c r="K303" s="692"/>
      <c r="L303" s="645"/>
      <c r="M303" s="663"/>
      <c r="N303" s="665"/>
      <c r="O303" s="665"/>
      <c r="P303" s="666"/>
      <c r="Q303" s="667"/>
      <c r="R303" s="668"/>
      <c r="S303" s="693"/>
      <c r="T303" s="694"/>
      <c r="U303" s="694"/>
      <c r="V303" s="693"/>
      <c r="W303" s="693"/>
      <c r="X303" s="693"/>
      <c r="Y303" s="671"/>
      <c r="Z303" s="673"/>
      <c r="AA303" s="672"/>
      <c r="AB303" s="695"/>
      <c r="AC303" s="673"/>
      <c r="AD303" s="673"/>
      <c r="AE303" s="673"/>
      <c r="AF303" s="673"/>
      <c r="AG303" s="673"/>
      <c r="AH303" s="673"/>
      <c r="AI303" s="673"/>
      <c r="AJ303" s="673"/>
      <c r="AK303" s="673"/>
      <c r="AL303" s="673"/>
      <c r="AM303" s="673"/>
      <c r="AN303" s="673"/>
      <c r="AO303" s="673"/>
      <c r="AP303" s="673"/>
      <c r="AQ303" s="673"/>
      <c r="AR303" s="673"/>
      <c r="AS303" s="673"/>
      <c r="AT303" s="696"/>
    </row>
    <row r="304" ht="15.75" customHeight="1">
      <c r="A304" s="653"/>
      <c r="B304" s="654"/>
      <c r="C304" s="691"/>
      <c r="D304" s="656"/>
      <c r="E304" s="657"/>
      <c r="F304" s="658"/>
      <c r="G304" s="659"/>
      <c r="H304" s="660"/>
      <c r="I304" s="659"/>
      <c r="J304" s="661"/>
      <c r="K304" s="692"/>
      <c r="L304" s="645"/>
      <c r="M304" s="663"/>
      <c r="N304" s="665"/>
      <c r="O304" s="665"/>
      <c r="P304" s="666"/>
      <c r="Q304" s="667"/>
      <c r="R304" s="668"/>
      <c r="S304" s="693"/>
      <c r="T304" s="694"/>
      <c r="U304" s="694"/>
      <c r="V304" s="693"/>
      <c r="W304" s="693"/>
      <c r="X304" s="693"/>
      <c r="Y304" s="671"/>
      <c r="Z304" s="673"/>
      <c r="AA304" s="672"/>
      <c r="AB304" s="695"/>
      <c r="AC304" s="673"/>
      <c r="AD304" s="673"/>
      <c r="AE304" s="673"/>
      <c r="AF304" s="673"/>
      <c r="AG304" s="673"/>
      <c r="AH304" s="673"/>
      <c r="AI304" s="673"/>
      <c r="AJ304" s="673"/>
      <c r="AK304" s="673"/>
      <c r="AL304" s="673"/>
      <c r="AM304" s="673"/>
      <c r="AN304" s="673"/>
      <c r="AO304" s="673"/>
      <c r="AP304" s="673"/>
      <c r="AQ304" s="673"/>
      <c r="AR304" s="673"/>
      <c r="AS304" s="673"/>
      <c r="AT304" s="696"/>
    </row>
    <row r="305" ht="15.75" customHeight="1">
      <c r="A305" s="653"/>
      <c r="B305" s="654"/>
      <c r="C305" s="691"/>
      <c r="D305" s="656"/>
      <c r="E305" s="657"/>
      <c r="F305" s="658"/>
      <c r="G305" s="659"/>
      <c r="H305" s="660"/>
      <c r="I305" s="659"/>
      <c r="J305" s="661"/>
      <c r="K305" s="692"/>
      <c r="L305" s="645"/>
      <c r="M305" s="663"/>
      <c r="N305" s="665"/>
      <c r="O305" s="665"/>
      <c r="P305" s="666"/>
      <c r="Q305" s="667"/>
      <c r="R305" s="668"/>
      <c r="S305" s="693"/>
      <c r="T305" s="694"/>
      <c r="U305" s="694"/>
      <c r="V305" s="693"/>
      <c r="W305" s="693"/>
      <c r="X305" s="693"/>
      <c r="Y305" s="671"/>
      <c r="Z305" s="673"/>
      <c r="AA305" s="672"/>
      <c r="AB305" s="695"/>
      <c r="AC305" s="673"/>
      <c r="AD305" s="673"/>
      <c r="AE305" s="673"/>
      <c r="AF305" s="673"/>
      <c r="AG305" s="673"/>
      <c r="AH305" s="673"/>
      <c r="AI305" s="673"/>
      <c r="AJ305" s="673"/>
      <c r="AK305" s="673"/>
      <c r="AL305" s="673"/>
      <c r="AM305" s="673"/>
      <c r="AN305" s="673"/>
      <c r="AO305" s="673"/>
      <c r="AP305" s="673"/>
      <c r="AQ305" s="673"/>
      <c r="AR305" s="673"/>
      <c r="AS305" s="673"/>
      <c r="AT305" s="696"/>
    </row>
    <row r="306" ht="15.75" customHeight="1">
      <c r="A306" s="653"/>
      <c r="B306" s="654"/>
      <c r="C306" s="691"/>
      <c r="D306" s="656"/>
      <c r="E306" s="657"/>
      <c r="F306" s="658"/>
      <c r="G306" s="659"/>
      <c r="H306" s="660"/>
      <c r="I306" s="659"/>
      <c r="J306" s="661"/>
      <c r="K306" s="692"/>
      <c r="L306" s="645"/>
      <c r="M306" s="663"/>
      <c r="N306" s="665"/>
      <c r="O306" s="665"/>
      <c r="P306" s="666"/>
      <c r="Q306" s="667"/>
      <c r="R306" s="668"/>
      <c r="S306" s="693"/>
      <c r="T306" s="694"/>
      <c r="U306" s="694"/>
      <c r="V306" s="693"/>
      <c r="W306" s="693"/>
      <c r="X306" s="693"/>
      <c r="Y306" s="671"/>
      <c r="Z306" s="673"/>
      <c r="AA306" s="672"/>
      <c r="AB306" s="695"/>
      <c r="AC306" s="673"/>
      <c r="AD306" s="673"/>
      <c r="AE306" s="673"/>
      <c r="AF306" s="673"/>
      <c r="AG306" s="673"/>
      <c r="AH306" s="673"/>
      <c r="AI306" s="673"/>
      <c r="AJ306" s="673"/>
      <c r="AK306" s="673"/>
      <c r="AL306" s="673"/>
      <c r="AM306" s="673"/>
      <c r="AN306" s="673"/>
      <c r="AO306" s="673"/>
      <c r="AP306" s="673"/>
      <c r="AQ306" s="673"/>
      <c r="AR306" s="673"/>
      <c r="AS306" s="673"/>
      <c r="AT306" s="696"/>
    </row>
    <row r="307" ht="15.75" customHeight="1">
      <c r="A307" s="653"/>
      <c r="B307" s="654"/>
      <c r="C307" s="691"/>
      <c r="D307" s="656"/>
      <c r="E307" s="657"/>
      <c r="F307" s="658"/>
      <c r="G307" s="659"/>
      <c r="H307" s="660"/>
      <c r="I307" s="659"/>
      <c r="J307" s="661"/>
      <c r="K307" s="692"/>
      <c r="L307" s="645"/>
      <c r="M307" s="663"/>
      <c r="N307" s="665"/>
      <c r="O307" s="665"/>
      <c r="P307" s="666"/>
      <c r="Q307" s="667"/>
      <c r="R307" s="668"/>
      <c r="S307" s="693"/>
      <c r="T307" s="694"/>
      <c r="U307" s="694"/>
      <c r="V307" s="693"/>
      <c r="W307" s="693"/>
      <c r="X307" s="693"/>
      <c r="Y307" s="671"/>
      <c r="Z307" s="673"/>
      <c r="AA307" s="672"/>
      <c r="AB307" s="695"/>
      <c r="AC307" s="673"/>
      <c r="AD307" s="673"/>
      <c r="AE307" s="673"/>
      <c r="AF307" s="673"/>
      <c r="AG307" s="673"/>
      <c r="AH307" s="673"/>
      <c r="AI307" s="673"/>
      <c r="AJ307" s="673"/>
      <c r="AK307" s="673"/>
      <c r="AL307" s="673"/>
      <c r="AM307" s="673"/>
      <c r="AN307" s="673"/>
      <c r="AO307" s="673"/>
      <c r="AP307" s="673"/>
      <c r="AQ307" s="673"/>
      <c r="AR307" s="673"/>
      <c r="AS307" s="673"/>
      <c r="AT307" s="696"/>
    </row>
    <row r="308" ht="15.75" customHeight="1">
      <c r="A308" s="653"/>
      <c r="B308" s="654"/>
      <c r="C308" s="691"/>
      <c r="D308" s="656"/>
      <c r="E308" s="657"/>
      <c r="F308" s="658"/>
      <c r="G308" s="659"/>
      <c r="H308" s="660"/>
      <c r="I308" s="659"/>
      <c r="J308" s="661"/>
      <c r="K308" s="692"/>
      <c r="L308" s="645"/>
      <c r="M308" s="663"/>
      <c r="N308" s="665"/>
      <c r="O308" s="665"/>
      <c r="P308" s="666"/>
      <c r="Q308" s="667"/>
      <c r="R308" s="668"/>
      <c r="S308" s="693"/>
      <c r="T308" s="694"/>
      <c r="U308" s="694"/>
      <c r="V308" s="693"/>
      <c r="W308" s="693"/>
      <c r="X308" s="693"/>
      <c r="Y308" s="671"/>
      <c r="Z308" s="673"/>
      <c r="AA308" s="672"/>
      <c r="AB308" s="695"/>
      <c r="AC308" s="673"/>
      <c r="AD308" s="673"/>
      <c r="AE308" s="673"/>
      <c r="AF308" s="673"/>
      <c r="AG308" s="673"/>
      <c r="AH308" s="673"/>
      <c r="AI308" s="673"/>
      <c r="AJ308" s="673"/>
      <c r="AK308" s="673"/>
      <c r="AL308" s="673"/>
      <c r="AM308" s="673"/>
      <c r="AN308" s="673"/>
      <c r="AO308" s="673"/>
      <c r="AP308" s="673"/>
      <c r="AQ308" s="673"/>
      <c r="AR308" s="673"/>
      <c r="AS308" s="673"/>
      <c r="AT308" s="696"/>
    </row>
    <row r="309" ht="15.75" customHeight="1">
      <c r="A309" s="653"/>
      <c r="B309" s="654"/>
      <c r="C309" s="691"/>
      <c r="D309" s="656"/>
      <c r="E309" s="657"/>
      <c r="F309" s="658"/>
      <c r="G309" s="659"/>
      <c r="H309" s="660"/>
      <c r="I309" s="659"/>
      <c r="J309" s="661"/>
      <c r="K309" s="692"/>
      <c r="L309" s="645"/>
      <c r="M309" s="663"/>
      <c r="N309" s="665"/>
      <c r="O309" s="665"/>
      <c r="P309" s="666"/>
      <c r="Q309" s="667"/>
      <c r="R309" s="668"/>
      <c r="S309" s="693"/>
      <c r="T309" s="694"/>
      <c r="U309" s="694"/>
      <c r="V309" s="693"/>
      <c r="W309" s="693"/>
      <c r="X309" s="693"/>
      <c r="Y309" s="671"/>
      <c r="Z309" s="673"/>
      <c r="AA309" s="672"/>
      <c r="AB309" s="695"/>
      <c r="AC309" s="673"/>
      <c r="AD309" s="673"/>
      <c r="AE309" s="673"/>
      <c r="AF309" s="673"/>
      <c r="AG309" s="673"/>
      <c r="AH309" s="673"/>
      <c r="AI309" s="673"/>
      <c r="AJ309" s="673"/>
      <c r="AK309" s="673"/>
      <c r="AL309" s="673"/>
      <c r="AM309" s="673"/>
      <c r="AN309" s="673"/>
      <c r="AO309" s="673"/>
      <c r="AP309" s="673"/>
      <c r="AQ309" s="673"/>
      <c r="AR309" s="673"/>
      <c r="AS309" s="673"/>
      <c r="AT309" s="696"/>
    </row>
    <row r="310" ht="15.75" customHeight="1">
      <c r="A310" s="653"/>
      <c r="B310" s="654"/>
      <c r="C310" s="691"/>
      <c r="D310" s="656"/>
      <c r="E310" s="657"/>
      <c r="F310" s="658"/>
      <c r="G310" s="659"/>
      <c r="H310" s="660"/>
      <c r="I310" s="659"/>
      <c r="J310" s="661"/>
      <c r="K310" s="692"/>
      <c r="L310" s="645"/>
      <c r="M310" s="663"/>
      <c r="N310" s="665"/>
      <c r="O310" s="665"/>
      <c r="P310" s="666"/>
      <c r="Q310" s="667"/>
      <c r="R310" s="668"/>
      <c r="S310" s="693"/>
      <c r="T310" s="694"/>
      <c r="U310" s="694"/>
      <c r="V310" s="693"/>
      <c r="W310" s="693"/>
      <c r="X310" s="693"/>
      <c r="Y310" s="671"/>
      <c r="Z310" s="673"/>
      <c r="AA310" s="672"/>
      <c r="AB310" s="695"/>
      <c r="AC310" s="673"/>
      <c r="AD310" s="673"/>
      <c r="AE310" s="673"/>
      <c r="AF310" s="673"/>
      <c r="AG310" s="673"/>
      <c r="AH310" s="673"/>
      <c r="AI310" s="673"/>
      <c r="AJ310" s="673"/>
      <c r="AK310" s="673"/>
      <c r="AL310" s="673"/>
      <c r="AM310" s="673"/>
      <c r="AN310" s="673"/>
      <c r="AO310" s="673"/>
      <c r="AP310" s="673"/>
      <c r="AQ310" s="673"/>
      <c r="AR310" s="673"/>
      <c r="AS310" s="673"/>
      <c r="AT310" s="696"/>
    </row>
    <row r="311" ht="15.75" customHeight="1">
      <c r="A311" s="653"/>
      <c r="B311" s="654"/>
      <c r="C311" s="691"/>
      <c r="D311" s="656"/>
      <c r="E311" s="657"/>
      <c r="F311" s="658"/>
      <c r="G311" s="659"/>
      <c r="H311" s="660"/>
      <c r="I311" s="659"/>
      <c r="J311" s="661"/>
      <c r="K311" s="692"/>
      <c r="L311" s="645"/>
      <c r="M311" s="663"/>
      <c r="N311" s="665"/>
      <c r="O311" s="665"/>
      <c r="P311" s="666"/>
      <c r="Q311" s="667"/>
      <c r="R311" s="668"/>
      <c r="S311" s="693"/>
      <c r="T311" s="694"/>
      <c r="U311" s="694"/>
      <c r="V311" s="693"/>
      <c r="W311" s="693"/>
      <c r="X311" s="693"/>
      <c r="Y311" s="671"/>
      <c r="Z311" s="673"/>
      <c r="AA311" s="672"/>
      <c r="AB311" s="695"/>
      <c r="AC311" s="673"/>
      <c r="AD311" s="673"/>
      <c r="AE311" s="673"/>
      <c r="AF311" s="673"/>
      <c r="AG311" s="673"/>
      <c r="AH311" s="673"/>
      <c r="AI311" s="673"/>
      <c r="AJ311" s="673"/>
      <c r="AK311" s="673"/>
      <c r="AL311" s="673"/>
      <c r="AM311" s="673"/>
      <c r="AN311" s="673"/>
      <c r="AO311" s="673"/>
      <c r="AP311" s="673"/>
      <c r="AQ311" s="673"/>
      <c r="AR311" s="673"/>
      <c r="AS311" s="673"/>
      <c r="AT311" s="696"/>
    </row>
    <row r="312" ht="15.75" customHeight="1">
      <c r="A312" s="653"/>
      <c r="B312" s="654"/>
      <c r="C312" s="691"/>
      <c r="D312" s="656"/>
      <c r="E312" s="657"/>
      <c r="F312" s="658"/>
      <c r="G312" s="659"/>
      <c r="H312" s="660"/>
      <c r="I312" s="659"/>
      <c r="J312" s="661"/>
      <c r="K312" s="692"/>
      <c r="L312" s="645"/>
      <c r="M312" s="663"/>
      <c r="N312" s="665"/>
      <c r="O312" s="665"/>
      <c r="P312" s="666"/>
      <c r="Q312" s="667"/>
      <c r="R312" s="668"/>
      <c r="S312" s="693"/>
      <c r="T312" s="694"/>
      <c r="U312" s="694"/>
      <c r="V312" s="693"/>
      <c r="W312" s="693"/>
      <c r="X312" s="693"/>
      <c r="Y312" s="671"/>
      <c r="Z312" s="673"/>
      <c r="AA312" s="672"/>
      <c r="AB312" s="695"/>
      <c r="AC312" s="673"/>
      <c r="AD312" s="673"/>
      <c r="AE312" s="673"/>
      <c r="AF312" s="673"/>
      <c r="AG312" s="673"/>
      <c r="AH312" s="673"/>
      <c r="AI312" s="673"/>
      <c r="AJ312" s="673"/>
      <c r="AK312" s="673"/>
      <c r="AL312" s="673"/>
      <c r="AM312" s="673"/>
      <c r="AN312" s="673"/>
      <c r="AO312" s="673"/>
      <c r="AP312" s="673"/>
      <c r="AQ312" s="673"/>
      <c r="AR312" s="673"/>
      <c r="AS312" s="673"/>
      <c r="AT312" s="696"/>
    </row>
    <row r="313" ht="15.75" customHeight="1">
      <c r="A313" s="653"/>
      <c r="B313" s="654"/>
      <c r="C313" s="691"/>
      <c r="D313" s="656"/>
      <c r="E313" s="657"/>
      <c r="F313" s="658"/>
      <c r="G313" s="659"/>
      <c r="H313" s="660"/>
      <c r="I313" s="659"/>
      <c r="J313" s="661"/>
      <c r="K313" s="692"/>
      <c r="L313" s="645"/>
      <c r="M313" s="663"/>
      <c r="N313" s="665"/>
      <c r="O313" s="665"/>
      <c r="P313" s="666"/>
      <c r="Q313" s="667"/>
      <c r="R313" s="668"/>
      <c r="S313" s="693"/>
      <c r="T313" s="694"/>
      <c r="U313" s="694"/>
      <c r="V313" s="693"/>
      <c r="W313" s="693"/>
      <c r="X313" s="693"/>
      <c r="Y313" s="671"/>
      <c r="Z313" s="673"/>
      <c r="AA313" s="672"/>
      <c r="AB313" s="695"/>
      <c r="AC313" s="673"/>
      <c r="AD313" s="673"/>
      <c r="AE313" s="673"/>
      <c r="AF313" s="673"/>
      <c r="AG313" s="673"/>
      <c r="AH313" s="673"/>
      <c r="AI313" s="673"/>
      <c r="AJ313" s="673"/>
      <c r="AK313" s="673"/>
      <c r="AL313" s="673"/>
      <c r="AM313" s="673"/>
      <c r="AN313" s="673"/>
      <c r="AO313" s="673"/>
      <c r="AP313" s="673"/>
      <c r="AQ313" s="673"/>
      <c r="AR313" s="673"/>
      <c r="AS313" s="673"/>
      <c r="AT313" s="696"/>
    </row>
    <row r="314" ht="15.75" customHeight="1">
      <c r="A314" s="653"/>
      <c r="B314" s="654"/>
      <c r="C314" s="691"/>
      <c r="D314" s="656"/>
      <c r="E314" s="657"/>
      <c r="F314" s="658"/>
      <c r="G314" s="659"/>
      <c r="H314" s="660"/>
      <c r="I314" s="659"/>
      <c r="J314" s="661"/>
      <c r="K314" s="692"/>
      <c r="L314" s="645"/>
      <c r="M314" s="663"/>
      <c r="N314" s="665"/>
      <c r="O314" s="665"/>
      <c r="P314" s="666"/>
      <c r="Q314" s="667"/>
      <c r="R314" s="668"/>
      <c r="S314" s="693"/>
      <c r="T314" s="694"/>
      <c r="U314" s="694"/>
      <c r="V314" s="693"/>
      <c r="W314" s="693"/>
      <c r="X314" s="693"/>
      <c r="Y314" s="671"/>
      <c r="Z314" s="673"/>
      <c r="AA314" s="672"/>
      <c r="AB314" s="695"/>
      <c r="AC314" s="673"/>
      <c r="AD314" s="673"/>
      <c r="AE314" s="673"/>
      <c r="AF314" s="673"/>
      <c r="AG314" s="673"/>
      <c r="AH314" s="673"/>
      <c r="AI314" s="673"/>
      <c r="AJ314" s="673"/>
      <c r="AK314" s="673"/>
      <c r="AL314" s="673"/>
      <c r="AM314" s="673"/>
      <c r="AN314" s="673"/>
      <c r="AO314" s="673"/>
      <c r="AP314" s="673"/>
      <c r="AQ314" s="673"/>
      <c r="AR314" s="673"/>
      <c r="AS314" s="673"/>
      <c r="AT314" s="696"/>
    </row>
    <row r="315" ht="15.75" customHeight="1">
      <c r="A315" s="653"/>
      <c r="B315" s="654"/>
      <c r="C315" s="691"/>
      <c r="D315" s="656"/>
      <c r="E315" s="657"/>
      <c r="F315" s="658"/>
      <c r="G315" s="659"/>
      <c r="H315" s="660"/>
      <c r="I315" s="659"/>
      <c r="J315" s="661"/>
      <c r="K315" s="692"/>
      <c r="L315" s="645"/>
      <c r="M315" s="663"/>
      <c r="N315" s="665"/>
      <c r="O315" s="665"/>
      <c r="P315" s="666"/>
      <c r="Q315" s="667"/>
      <c r="R315" s="668"/>
      <c r="S315" s="693"/>
      <c r="T315" s="694"/>
      <c r="U315" s="694"/>
      <c r="V315" s="693"/>
      <c r="W315" s="693"/>
      <c r="X315" s="693"/>
      <c r="Y315" s="671"/>
      <c r="Z315" s="673"/>
      <c r="AA315" s="672"/>
      <c r="AB315" s="695"/>
      <c r="AC315" s="673"/>
      <c r="AD315" s="673"/>
      <c r="AE315" s="673"/>
      <c r="AF315" s="673"/>
      <c r="AG315" s="673"/>
      <c r="AH315" s="673"/>
      <c r="AI315" s="673"/>
      <c r="AJ315" s="673"/>
      <c r="AK315" s="673"/>
      <c r="AL315" s="673"/>
      <c r="AM315" s="673"/>
      <c r="AN315" s="673"/>
      <c r="AO315" s="673"/>
      <c r="AP315" s="673"/>
      <c r="AQ315" s="673"/>
      <c r="AR315" s="673"/>
      <c r="AS315" s="673"/>
      <c r="AT315" s="696"/>
    </row>
    <row r="316" ht="15.75" customHeight="1">
      <c r="A316" s="653"/>
      <c r="B316" s="654"/>
      <c r="C316" s="691"/>
      <c r="D316" s="656"/>
      <c r="E316" s="657"/>
      <c r="F316" s="658"/>
      <c r="G316" s="659"/>
      <c r="H316" s="660"/>
      <c r="I316" s="659"/>
      <c r="J316" s="661"/>
      <c r="K316" s="692"/>
      <c r="L316" s="645"/>
      <c r="M316" s="663"/>
      <c r="N316" s="665"/>
      <c r="O316" s="665"/>
      <c r="P316" s="666"/>
      <c r="Q316" s="667"/>
      <c r="R316" s="668"/>
      <c r="S316" s="693"/>
      <c r="T316" s="694"/>
      <c r="U316" s="694"/>
      <c r="V316" s="693"/>
      <c r="W316" s="693"/>
      <c r="X316" s="693"/>
      <c r="Y316" s="671"/>
      <c r="Z316" s="673"/>
      <c r="AA316" s="672"/>
      <c r="AB316" s="695"/>
      <c r="AC316" s="673"/>
      <c r="AD316" s="673"/>
      <c r="AE316" s="673"/>
      <c r="AF316" s="673"/>
      <c r="AG316" s="673"/>
      <c r="AH316" s="673"/>
      <c r="AI316" s="673"/>
      <c r="AJ316" s="673"/>
      <c r="AK316" s="673"/>
      <c r="AL316" s="673"/>
      <c r="AM316" s="673"/>
      <c r="AN316" s="673"/>
      <c r="AO316" s="673"/>
      <c r="AP316" s="673"/>
      <c r="AQ316" s="673"/>
      <c r="AR316" s="673"/>
      <c r="AS316" s="673"/>
      <c r="AT316" s="696"/>
    </row>
    <row r="317" ht="15.75" customHeight="1">
      <c r="A317" s="653"/>
      <c r="B317" s="654"/>
      <c r="C317" s="691"/>
      <c r="D317" s="656"/>
      <c r="E317" s="657"/>
      <c r="F317" s="658"/>
      <c r="G317" s="659"/>
      <c r="H317" s="660"/>
      <c r="I317" s="659"/>
      <c r="J317" s="661"/>
      <c r="K317" s="692"/>
      <c r="L317" s="645"/>
      <c r="M317" s="663"/>
      <c r="N317" s="665"/>
      <c r="O317" s="665"/>
      <c r="P317" s="666"/>
      <c r="Q317" s="667"/>
      <c r="R317" s="668"/>
      <c r="S317" s="693"/>
      <c r="T317" s="694"/>
      <c r="U317" s="694"/>
      <c r="V317" s="693"/>
      <c r="W317" s="693"/>
      <c r="X317" s="693"/>
      <c r="Y317" s="671"/>
      <c r="Z317" s="673"/>
      <c r="AA317" s="672"/>
      <c r="AB317" s="695"/>
      <c r="AC317" s="673"/>
      <c r="AD317" s="673"/>
      <c r="AE317" s="673"/>
      <c r="AF317" s="673"/>
      <c r="AG317" s="673"/>
      <c r="AH317" s="673"/>
      <c r="AI317" s="673"/>
      <c r="AJ317" s="673"/>
      <c r="AK317" s="673"/>
      <c r="AL317" s="673"/>
      <c r="AM317" s="673"/>
      <c r="AN317" s="673"/>
      <c r="AO317" s="673"/>
      <c r="AP317" s="673"/>
      <c r="AQ317" s="673"/>
      <c r="AR317" s="673"/>
      <c r="AS317" s="673"/>
      <c r="AT317" s="696"/>
    </row>
    <row r="318" ht="15.75" customHeight="1">
      <c r="A318" s="653"/>
      <c r="B318" s="654"/>
      <c r="C318" s="691"/>
      <c r="D318" s="656"/>
      <c r="E318" s="657"/>
      <c r="F318" s="658"/>
      <c r="G318" s="659"/>
      <c r="H318" s="660"/>
      <c r="I318" s="659"/>
      <c r="J318" s="661"/>
      <c r="K318" s="692"/>
      <c r="L318" s="645"/>
      <c r="M318" s="663"/>
      <c r="N318" s="665"/>
      <c r="O318" s="665"/>
      <c r="P318" s="666"/>
      <c r="Q318" s="667"/>
      <c r="R318" s="668"/>
      <c r="S318" s="693"/>
      <c r="T318" s="694"/>
      <c r="U318" s="694"/>
      <c r="V318" s="693"/>
      <c r="W318" s="693"/>
      <c r="X318" s="693"/>
      <c r="Y318" s="671"/>
      <c r="Z318" s="673"/>
      <c r="AA318" s="672"/>
      <c r="AB318" s="695"/>
      <c r="AC318" s="673"/>
      <c r="AD318" s="673"/>
      <c r="AE318" s="673"/>
      <c r="AF318" s="673"/>
      <c r="AG318" s="673"/>
      <c r="AH318" s="673"/>
      <c r="AI318" s="673"/>
      <c r="AJ318" s="673"/>
      <c r="AK318" s="673"/>
      <c r="AL318" s="673"/>
      <c r="AM318" s="673"/>
      <c r="AN318" s="673"/>
      <c r="AO318" s="673"/>
      <c r="AP318" s="673"/>
      <c r="AQ318" s="673"/>
      <c r="AR318" s="673"/>
      <c r="AS318" s="673"/>
      <c r="AT318" s="696"/>
    </row>
    <row r="319" ht="15.75" customHeight="1">
      <c r="A319" s="653"/>
      <c r="B319" s="654"/>
      <c r="C319" s="691"/>
      <c r="D319" s="656"/>
      <c r="E319" s="657"/>
      <c r="F319" s="658"/>
      <c r="G319" s="659"/>
      <c r="H319" s="660"/>
      <c r="I319" s="659"/>
      <c r="J319" s="661"/>
      <c r="K319" s="692"/>
      <c r="L319" s="645"/>
      <c r="M319" s="663"/>
      <c r="N319" s="665"/>
      <c r="O319" s="665"/>
      <c r="P319" s="666"/>
      <c r="Q319" s="667"/>
      <c r="R319" s="668"/>
      <c r="S319" s="693"/>
      <c r="T319" s="694"/>
      <c r="U319" s="694"/>
      <c r="V319" s="693"/>
      <c r="W319" s="693"/>
      <c r="X319" s="693"/>
      <c r="Y319" s="671"/>
      <c r="Z319" s="673"/>
      <c r="AA319" s="672"/>
      <c r="AB319" s="695"/>
      <c r="AC319" s="673"/>
      <c r="AD319" s="673"/>
      <c r="AE319" s="673"/>
      <c r="AF319" s="673"/>
      <c r="AG319" s="673"/>
      <c r="AH319" s="673"/>
      <c r="AI319" s="673"/>
      <c r="AJ319" s="673"/>
      <c r="AK319" s="673"/>
      <c r="AL319" s="673"/>
      <c r="AM319" s="673"/>
      <c r="AN319" s="673"/>
      <c r="AO319" s="673"/>
      <c r="AP319" s="673"/>
      <c r="AQ319" s="673"/>
      <c r="AR319" s="673"/>
      <c r="AS319" s="673"/>
      <c r="AT319" s="696"/>
    </row>
    <row r="320" ht="15.75" customHeight="1">
      <c r="A320" s="653"/>
      <c r="B320" s="654"/>
      <c r="C320" s="691"/>
      <c r="D320" s="656"/>
      <c r="E320" s="657"/>
      <c r="F320" s="658"/>
      <c r="G320" s="659"/>
      <c r="H320" s="660"/>
      <c r="I320" s="659"/>
      <c r="J320" s="661"/>
      <c r="K320" s="692"/>
      <c r="L320" s="645"/>
      <c r="M320" s="663"/>
      <c r="N320" s="665"/>
      <c r="O320" s="665"/>
      <c r="P320" s="666"/>
      <c r="Q320" s="667"/>
      <c r="R320" s="668"/>
      <c r="S320" s="693"/>
      <c r="T320" s="694"/>
      <c r="U320" s="694"/>
      <c r="V320" s="693"/>
      <c r="W320" s="693"/>
      <c r="X320" s="693"/>
      <c r="Y320" s="671"/>
      <c r="Z320" s="673"/>
      <c r="AA320" s="672"/>
      <c r="AB320" s="695"/>
      <c r="AC320" s="673"/>
      <c r="AD320" s="673"/>
      <c r="AE320" s="673"/>
      <c r="AF320" s="673"/>
      <c r="AG320" s="673"/>
      <c r="AH320" s="673"/>
      <c r="AI320" s="673"/>
      <c r="AJ320" s="673"/>
      <c r="AK320" s="673"/>
      <c r="AL320" s="673"/>
      <c r="AM320" s="673"/>
      <c r="AN320" s="673"/>
      <c r="AO320" s="673"/>
      <c r="AP320" s="673"/>
      <c r="AQ320" s="673"/>
      <c r="AR320" s="673"/>
      <c r="AS320" s="673"/>
      <c r="AT320" s="696"/>
    </row>
    <row r="321" ht="15.75" customHeight="1">
      <c r="A321" s="653"/>
      <c r="B321" s="654"/>
      <c r="C321" s="691"/>
      <c r="D321" s="656"/>
      <c r="E321" s="657"/>
      <c r="F321" s="658"/>
      <c r="G321" s="659"/>
      <c r="H321" s="660"/>
      <c r="I321" s="659"/>
      <c r="J321" s="661"/>
      <c r="K321" s="692"/>
      <c r="L321" s="645"/>
      <c r="M321" s="663"/>
      <c r="N321" s="665"/>
      <c r="O321" s="665"/>
      <c r="P321" s="666"/>
      <c r="Q321" s="667"/>
      <c r="R321" s="668"/>
      <c r="S321" s="693"/>
      <c r="T321" s="694"/>
      <c r="U321" s="694"/>
      <c r="V321" s="693"/>
      <c r="W321" s="693"/>
      <c r="X321" s="693"/>
      <c r="Y321" s="671"/>
      <c r="Z321" s="673"/>
      <c r="AA321" s="672"/>
      <c r="AB321" s="695"/>
      <c r="AC321" s="673"/>
      <c r="AD321" s="673"/>
      <c r="AE321" s="673"/>
      <c r="AF321" s="673"/>
      <c r="AG321" s="673"/>
      <c r="AH321" s="673"/>
      <c r="AI321" s="673"/>
      <c r="AJ321" s="673"/>
      <c r="AK321" s="673"/>
      <c r="AL321" s="673"/>
      <c r="AM321" s="673"/>
      <c r="AN321" s="673"/>
      <c r="AO321" s="673"/>
      <c r="AP321" s="673"/>
      <c r="AQ321" s="673"/>
      <c r="AR321" s="673"/>
      <c r="AS321" s="673"/>
      <c r="AT321" s="696"/>
    </row>
    <row r="322" ht="15.75" customHeight="1">
      <c r="A322" s="653"/>
      <c r="B322" s="654"/>
      <c r="C322" s="691"/>
      <c r="D322" s="656"/>
      <c r="E322" s="657"/>
      <c r="F322" s="658"/>
      <c r="G322" s="659"/>
      <c r="H322" s="660"/>
      <c r="I322" s="659"/>
      <c r="J322" s="661"/>
      <c r="K322" s="692"/>
      <c r="L322" s="645"/>
      <c r="M322" s="663"/>
      <c r="N322" s="665"/>
      <c r="O322" s="665"/>
      <c r="P322" s="666"/>
      <c r="Q322" s="667"/>
      <c r="R322" s="668"/>
      <c r="S322" s="693"/>
      <c r="T322" s="694"/>
      <c r="U322" s="694"/>
      <c r="V322" s="693"/>
      <c r="W322" s="693"/>
      <c r="X322" s="693"/>
      <c r="Y322" s="671"/>
      <c r="Z322" s="673"/>
      <c r="AA322" s="672"/>
      <c r="AB322" s="695"/>
      <c r="AC322" s="673"/>
      <c r="AD322" s="673"/>
      <c r="AE322" s="673"/>
      <c r="AF322" s="673"/>
      <c r="AG322" s="673"/>
      <c r="AH322" s="673"/>
      <c r="AI322" s="673"/>
      <c r="AJ322" s="673"/>
      <c r="AK322" s="673"/>
      <c r="AL322" s="673"/>
      <c r="AM322" s="673"/>
      <c r="AN322" s="673"/>
      <c r="AO322" s="673"/>
      <c r="AP322" s="673"/>
      <c r="AQ322" s="673"/>
      <c r="AR322" s="673"/>
      <c r="AS322" s="673"/>
      <c r="AT322" s="696"/>
    </row>
    <row r="323" ht="15.75" customHeight="1">
      <c r="A323" s="653"/>
      <c r="B323" s="654"/>
      <c r="C323" s="691"/>
      <c r="D323" s="656"/>
      <c r="E323" s="657"/>
      <c r="F323" s="658"/>
      <c r="G323" s="659"/>
      <c r="H323" s="660"/>
      <c r="I323" s="659"/>
      <c r="J323" s="661"/>
      <c r="K323" s="692"/>
      <c r="L323" s="645"/>
      <c r="M323" s="663"/>
      <c r="N323" s="665"/>
      <c r="O323" s="665"/>
      <c r="P323" s="666"/>
      <c r="Q323" s="667"/>
      <c r="R323" s="668"/>
      <c r="S323" s="693"/>
      <c r="T323" s="694"/>
      <c r="U323" s="694"/>
      <c r="V323" s="693"/>
      <c r="W323" s="693"/>
      <c r="X323" s="693"/>
      <c r="Y323" s="671"/>
      <c r="Z323" s="673"/>
      <c r="AA323" s="672"/>
      <c r="AB323" s="695"/>
      <c r="AC323" s="673"/>
      <c r="AD323" s="673"/>
      <c r="AE323" s="673"/>
      <c r="AF323" s="673"/>
      <c r="AG323" s="673"/>
      <c r="AH323" s="673"/>
      <c r="AI323" s="673"/>
      <c r="AJ323" s="673"/>
      <c r="AK323" s="673"/>
      <c r="AL323" s="673"/>
      <c r="AM323" s="673"/>
      <c r="AN323" s="673"/>
      <c r="AO323" s="673"/>
      <c r="AP323" s="673"/>
      <c r="AQ323" s="673"/>
      <c r="AR323" s="673"/>
      <c r="AS323" s="673"/>
      <c r="AT323" s="696"/>
    </row>
    <row r="324" ht="15.75" customHeight="1">
      <c r="A324" s="653"/>
      <c r="B324" s="654"/>
      <c r="C324" s="691"/>
      <c r="D324" s="656"/>
      <c r="E324" s="657"/>
      <c r="F324" s="658"/>
      <c r="G324" s="659"/>
      <c r="H324" s="660"/>
      <c r="I324" s="659"/>
      <c r="J324" s="661"/>
      <c r="K324" s="692"/>
      <c r="L324" s="645"/>
      <c r="M324" s="663"/>
      <c r="N324" s="665"/>
      <c r="O324" s="665"/>
      <c r="P324" s="666"/>
      <c r="Q324" s="667"/>
      <c r="R324" s="668"/>
      <c r="S324" s="693"/>
      <c r="T324" s="694"/>
      <c r="U324" s="694"/>
      <c r="V324" s="693"/>
      <c r="W324" s="693"/>
      <c r="X324" s="693"/>
      <c r="Y324" s="671"/>
      <c r="Z324" s="673"/>
      <c r="AA324" s="672"/>
      <c r="AB324" s="695"/>
      <c r="AC324" s="673"/>
      <c r="AD324" s="673"/>
      <c r="AE324" s="673"/>
      <c r="AF324" s="673"/>
      <c r="AG324" s="673"/>
      <c r="AH324" s="673"/>
      <c r="AI324" s="673"/>
      <c r="AJ324" s="673"/>
      <c r="AK324" s="673"/>
      <c r="AL324" s="673"/>
      <c r="AM324" s="673"/>
      <c r="AN324" s="673"/>
      <c r="AO324" s="673"/>
      <c r="AP324" s="673"/>
      <c r="AQ324" s="673"/>
      <c r="AR324" s="673"/>
      <c r="AS324" s="673"/>
      <c r="AT324" s="696"/>
    </row>
    <row r="325" ht="15.75" customHeight="1">
      <c r="A325" s="653"/>
      <c r="B325" s="654"/>
      <c r="C325" s="691"/>
      <c r="D325" s="656"/>
      <c r="E325" s="657"/>
      <c r="F325" s="658"/>
      <c r="G325" s="659"/>
      <c r="H325" s="660"/>
      <c r="I325" s="659"/>
      <c r="J325" s="661"/>
      <c r="K325" s="692"/>
      <c r="L325" s="645"/>
      <c r="M325" s="663"/>
      <c r="N325" s="665"/>
      <c r="O325" s="665"/>
      <c r="P325" s="666"/>
      <c r="Q325" s="667"/>
      <c r="R325" s="668"/>
      <c r="S325" s="693"/>
      <c r="T325" s="694"/>
      <c r="U325" s="694"/>
      <c r="V325" s="693"/>
      <c r="W325" s="693"/>
      <c r="X325" s="693"/>
      <c r="Y325" s="671"/>
      <c r="Z325" s="673"/>
      <c r="AA325" s="672"/>
      <c r="AB325" s="695"/>
      <c r="AC325" s="673"/>
      <c r="AD325" s="673"/>
      <c r="AE325" s="673"/>
      <c r="AF325" s="673"/>
      <c r="AG325" s="673"/>
      <c r="AH325" s="673"/>
      <c r="AI325" s="673"/>
      <c r="AJ325" s="673"/>
      <c r="AK325" s="673"/>
      <c r="AL325" s="673"/>
      <c r="AM325" s="673"/>
      <c r="AN325" s="673"/>
      <c r="AO325" s="673"/>
      <c r="AP325" s="673"/>
      <c r="AQ325" s="673"/>
      <c r="AR325" s="673"/>
      <c r="AS325" s="673"/>
      <c r="AT325" s="696"/>
    </row>
    <row r="326" ht="15.75" customHeight="1">
      <c r="A326" s="653"/>
      <c r="B326" s="654"/>
      <c r="C326" s="691"/>
      <c r="D326" s="656"/>
      <c r="E326" s="657"/>
      <c r="F326" s="658"/>
      <c r="G326" s="659"/>
      <c r="H326" s="660"/>
      <c r="I326" s="659"/>
      <c r="J326" s="661"/>
      <c r="K326" s="692"/>
      <c r="L326" s="645"/>
      <c r="M326" s="663"/>
      <c r="N326" s="665"/>
      <c r="O326" s="665"/>
      <c r="P326" s="666"/>
      <c r="Q326" s="667"/>
      <c r="R326" s="668"/>
      <c r="S326" s="693"/>
      <c r="T326" s="694"/>
      <c r="U326" s="694"/>
      <c r="V326" s="693"/>
      <c r="W326" s="693"/>
      <c r="X326" s="693"/>
      <c r="Y326" s="671"/>
      <c r="Z326" s="673"/>
      <c r="AA326" s="672"/>
      <c r="AB326" s="695"/>
      <c r="AC326" s="673"/>
      <c r="AD326" s="673"/>
      <c r="AE326" s="673"/>
      <c r="AF326" s="673"/>
      <c r="AG326" s="673"/>
      <c r="AH326" s="673"/>
      <c r="AI326" s="673"/>
      <c r="AJ326" s="673"/>
      <c r="AK326" s="673"/>
      <c r="AL326" s="673"/>
      <c r="AM326" s="673"/>
      <c r="AN326" s="673"/>
      <c r="AO326" s="673"/>
      <c r="AP326" s="673"/>
      <c r="AQ326" s="673"/>
      <c r="AR326" s="673"/>
      <c r="AS326" s="673"/>
      <c r="AT326" s="696"/>
    </row>
    <row r="327" ht="15.75" customHeight="1">
      <c r="A327" s="653"/>
      <c r="B327" s="654"/>
      <c r="C327" s="691"/>
      <c r="D327" s="656"/>
      <c r="E327" s="657"/>
      <c r="F327" s="658"/>
      <c r="G327" s="659"/>
      <c r="H327" s="660"/>
      <c r="I327" s="659"/>
      <c r="J327" s="661"/>
      <c r="K327" s="692"/>
      <c r="L327" s="645"/>
      <c r="M327" s="663"/>
      <c r="N327" s="665"/>
      <c r="O327" s="665"/>
      <c r="P327" s="666"/>
      <c r="Q327" s="667"/>
      <c r="R327" s="668"/>
      <c r="S327" s="693"/>
      <c r="T327" s="694"/>
      <c r="U327" s="694"/>
      <c r="V327" s="693"/>
      <c r="W327" s="693"/>
      <c r="X327" s="693"/>
      <c r="Y327" s="671"/>
      <c r="Z327" s="673"/>
      <c r="AA327" s="672"/>
      <c r="AB327" s="695"/>
      <c r="AC327" s="673"/>
      <c r="AD327" s="673"/>
      <c r="AE327" s="673"/>
      <c r="AF327" s="673"/>
      <c r="AG327" s="673"/>
      <c r="AH327" s="673"/>
      <c r="AI327" s="673"/>
      <c r="AJ327" s="673"/>
      <c r="AK327" s="673"/>
      <c r="AL327" s="673"/>
      <c r="AM327" s="673"/>
      <c r="AN327" s="673"/>
      <c r="AO327" s="673"/>
      <c r="AP327" s="673"/>
      <c r="AQ327" s="673"/>
      <c r="AR327" s="673"/>
      <c r="AS327" s="673"/>
      <c r="AT327" s="696"/>
    </row>
    <row r="328" ht="15.75" customHeight="1">
      <c r="A328" s="653"/>
      <c r="B328" s="654"/>
      <c r="C328" s="691"/>
      <c r="D328" s="656"/>
      <c r="E328" s="657"/>
      <c r="F328" s="658"/>
      <c r="G328" s="659"/>
      <c r="H328" s="660"/>
      <c r="I328" s="659"/>
      <c r="J328" s="661"/>
      <c r="K328" s="692"/>
      <c r="L328" s="645"/>
      <c r="M328" s="663"/>
      <c r="N328" s="665"/>
      <c r="O328" s="665"/>
      <c r="P328" s="666"/>
      <c r="Q328" s="667"/>
      <c r="R328" s="668"/>
      <c r="S328" s="693"/>
      <c r="T328" s="694"/>
      <c r="U328" s="694"/>
      <c r="V328" s="693"/>
      <c r="W328" s="693"/>
      <c r="X328" s="693"/>
      <c r="Y328" s="671"/>
      <c r="Z328" s="673"/>
      <c r="AA328" s="672"/>
      <c r="AB328" s="695"/>
      <c r="AC328" s="673"/>
      <c r="AD328" s="673"/>
      <c r="AE328" s="673"/>
      <c r="AF328" s="673"/>
      <c r="AG328" s="673"/>
      <c r="AH328" s="673"/>
      <c r="AI328" s="673"/>
      <c r="AJ328" s="673"/>
      <c r="AK328" s="673"/>
      <c r="AL328" s="673"/>
      <c r="AM328" s="673"/>
      <c r="AN328" s="673"/>
      <c r="AO328" s="673"/>
      <c r="AP328" s="673"/>
      <c r="AQ328" s="673"/>
      <c r="AR328" s="673"/>
      <c r="AS328" s="673"/>
      <c r="AT328" s="696"/>
    </row>
    <row r="329" ht="15.75" customHeight="1">
      <c r="A329" s="653"/>
      <c r="B329" s="654"/>
      <c r="C329" s="691"/>
      <c r="D329" s="656"/>
      <c r="E329" s="657"/>
      <c r="F329" s="658"/>
      <c r="G329" s="659"/>
      <c r="H329" s="660"/>
      <c r="I329" s="659"/>
      <c r="J329" s="661"/>
      <c r="K329" s="692"/>
      <c r="L329" s="645"/>
      <c r="M329" s="663"/>
      <c r="N329" s="665"/>
      <c r="O329" s="665"/>
      <c r="P329" s="666"/>
      <c r="Q329" s="667"/>
      <c r="R329" s="668"/>
      <c r="S329" s="693"/>
      <c r="T329" s="694"/>
      <c r="U329" s="694"/>
      <c r="V329" s="693"/>
      <c r="W329" s="693"/>
      <c r="X329" s="693"/>
      <c r="Y329" s="671"/>
      <c r="Z329" s="673"/>
      <c r="AA329" s="672"/>
      <c r="AB329" s="695"/>
      <c r="AC329" s="673"/>
      <c r="AD329" s="673"/>
      <c r="AE329" s="673"/>
      <c r="AF329" s="673"/>
      <c r="AG329" s="673"/>
      <c r="AH329" s="673"/>
      <c r="AI329" s="673"/>
      <c r="AJ329" s="673"/>
      <c r="AK329" s="673"/>
      <c r="AL329" s="673"/>
      <c r="AM329" s="673"/>
      <c r="AN329" s="673"/>
      <c r="AO329" s="673"/>
      <c r="AP329" s="673"/>
      <c r="AQ329" s="673"/>
      <c r="AR329" s="673"/>
      <c r="AS329" s="673"/>
      <c r="AT329" s="696"/>
    </row>
    <row r="330" ht="15.75" customHeight="1">
      <c r="A330" s="653"/>
      <c r="B330" s="654"/>
      <c r="C330" s="691"/>
      <c r="D330" s="656"/>
      <c r="E330" s="657"/>
      <c r="F330" s="658"/>
      <c r="G330" s="659"/>
      <c r="H330" s="660"/>
      <c r="I330" s="659"/>
      <c r="J330" s="661"/>
      <c r="K330" s="692"/>
      <c r="L330" s="645"/>
      <c r="M330" s="663"/>
      <c r="N330" s="665"/>
      <c r="O330" s="665"/>
      <c r="P330" s="666"/>
      <c r="Q330" s="667"/>
      <c r="R330" s="668"/>
      <c r="S330" s="693"/>
      <c r="T330" s="694"/>
      <c r="U330" s="694"/>
      <c r="V330" s="693"/>
      <c r="W330" s="693"/>
      <c r="X330" s="693"/>
      <c r="Y330" s="671"/>
      <c r="Z330" s="673"/>
      <c r="AA330" s="672"/>
      <c r="AB330" s="695"/>
      <c r="AC330" s="673"/>
      <c r="AD330" s="673"/>
      <c r="AE330" s="673"/>
      <c r="AF330" s="673"/>
      <c r="AG330" s="673"/>
      <c r="AH330" s="673"/>
      <c r="AI330" s="673"/>
      <c r="AJ330" s="673"/>
      <c r="AK330" s="673"/>
      <c r="AL330" s="673"/>
      <c r="AM330" s="673"/>
      <c r="AN330" s="673"/>
      <c r="AO330" s="673"/>
      <c r="AP330" s="673"/>
      <c r="AQ330" s="673"/>
      <c r="AR330" s="673"/>
      <c r="AS330" s="673"/>
      <c r="AT330" s="696"/>
    </row>
    <row r="331" ht="15.75" customHeight="1">
      <c r="A331" s="653"/>
      <c r="B331" s="654"/>
      <c r="C331" s="691"/>
      <c r="D331" s="656"/>
      <c r="E331" s="657"/>
      <c r="F331" s="658"/>
      <c r="G331" s="659"/>
      <c r="H331" s="660"/>
      <c r="I331" s="659"/>
      <c r="J331" s="661"/>
      <c r="K331" s="692"/>
      <c r="L331" s="645"/>
      <c r="M331" s="663"/>
      <c r="N331" s="665"/>
      <c r="O331" s="665"/>
      <c r="P331" s="666"/>
      <c r="Q331" s="667"/>
      <c r="R331" s="668"/>
      <c r="S331" s="693"/>
      <c r="T331" s="694"/>
      <c r="U331" s="694"/>
      <c r="V331" s="693"/>
      <c r="W331" s="693"/>
      <c r="X331" s="693"/>
      <c r="Y331" s="671"/>
      <c r="Z331" s="673"/>
      <c r="AA331" s="672"/>
      <c r="AB331" s="695"/>
      <c r="AC331" s="673"/>
      <c r="AD331" s="673"/>
      <c r="AE331" s="673"/>
      <c r="AF331" s="673"/>
      <c r="AG331" s="673"/>
      <c r="AH331" s="673"/>
      <c r="AI331" s="673"/>
      <c r="AJ331" s="673"/>
      <c r="AK331" s="673"/>
      <c r="AL331" s="673"/>
      <c r="AM331" s="673"/>
      <c r="AN331" s="673"/>
      <c r="AO331" s="673"/>
      <c r="AP331" s="673"/>
      <c r="AQ331" s="673"/>
      <c r="AR331" s="673"/>
      <c r="AS331" s="673"/>
      <c r="AT331" s="696"/>
    </row>
    <row r="332" ht="15.75" customHeight="1">
      <c r="A332" s="653"/>
      <c r="B332" s="654"/>
      <c r="C332" s="691"/>
      <c r="D332" s="656"/>
      <c r="E332" s="657"/>
      <c r="F332" s="658"/>
      <c r="G332" s="659"/>
      <c r="H332" s="660"/>
      <c r="I332" s="659"/>
      <c r="J332" s="661"/>
      <c r="K332" s="692"/>
      <c r="L332" s="645"/>
      <c r="M332" s="663"/>
      <c r="N332" s="665"/>
      <c r="O332" s="665"/>
      <c r="P332" s="666"/>
      <c r="Q332" s="667"/>
      <c r="R332" s="668"/>
      <c r="S332" s="693"/>
      <c r="T332" s="694"/>
      <c r="U332" s="694"/>
      <c r="V332" s="693"/>
      <c r="W332" s="693"/>
      <c r="X332" s="693"/>
      <c r="Y332" s="671"/>
      <c r="Z332" s="673"/>
      <c r="AA332" s="672"/>
      <c r="AB332" s="695"/>
      <c r="AC332" s="673"/>
      <c r="AD332" s="673"/>
      <c r="AE332" s="673"/>
      <c r="AF332" s="673"/>
      <c r="AG332" s="673"/>
      <c r="AH332" s="673"/>
      <c r="AI332" s="673"/>
      <c r="AJ332" s="673"/>
      <c r="AK332" s="673"/>
      <c r="AL332" s="673"/>
      <c r="AM332" s="673"/>
      <c r="AN332" s="673"/>
      <c r="AO332" s="673"/>
      <c r="AP332" s="673"/>
      <c r="AQ332" s="673"/>
      <c r="AR332" s="673"/>
      <c r="AS332" s="673"/>
      <c r="AT332" s="696"/>
    </row>
    <row r="333" ht="15.75" customHeight="1">
      <c r="A333" s="653"/>
      <c r="B333" s="654"/>
      <c r="C333" s="691"/>
      <c r="D333" s="656"/>
      <c r="E333" s="657"/>
      <c r="F333" s="658"/>
      <c r="G333" s="659"/>
      <c r="H333" s="660"/>
      <c r="I333" s="659"/>
      <c r="J333" s="661"/>
      <c r="K333" s="692"/>
      <c r="L333" s="645"/>
      <c r="M333" s="663"/>
      <c r="N333" s="665"/>
      <c r="O333" s="665"/>
      <c r="P333" s="666"/>
      <c r="Q333" s="667"/>
      <c r="R333" s="668"/>
      <c r="S333" s="693"/>
      <c r="T333" s="694"/>
      <c r="U333" s="694"/>
      <c r="V333" s="693"/>
      <c r="W333" s="693"/>
      <c r="X333" s="693"/>
      <c r="Y333" s="671"/>
      <c r="Z333" s="673"/>
      <c r="AA333" s="672"/>
      <c r="AB333" s="695"/>
      <c r="AC333" s="673"/>
      <c r="AD333" s="673"/>
      <c r="AE333" s="673"/>
      <c r="AF333" s="673"/>
      <c r="AG333" s="673"/>
      <c r="AH333" s="673"/>
      <c r="AI333" s="673"/>
      <c r="AJ333" s="673"/>
      <c r="AK333" s="673"/>
      <c r="AL333" s="673"/>
      <c r="AM333" s="673"/>
      <c r="AN333" s="673"/>
      <c r="AO333" s="673"/>
      <c r="AP333" s="673"/>
      <c r="AQ333" s="673"/>
      <c r="AR333" s="673"/>
      <c r="AS333" s="673"/>
      <c r="AT333" s="696"/>
    </row>
    <row r="334" ht="15.75" customHeight="1">
      <c r="A334" s="653"/>
      <c r="B334" s="654"/>
      <c r="C334" s="691"/>
      <c r="D334" s="656"/>
      <c r="E334" s="657"/>
      <c r="F334" s="658"/>
      <c r="G334" s="659"/>
      <c r="H334" s="660"/>
      <c r="I334" s="659"/>
      <c r="J334" s="661"/>
      <c r="K334" s="692"/>
      <c r="L334" s="645"/>
      <c r="M334" s="663"/>
      <c r="N334" s="665"/>
      <c r="O334" s="665"/>
      <c r="P334" s="666"/>
      <c r="Q334" s="667"/>
      <c r="R334" s="668"/>
      <c r="S334" s="693"/>
      <c r="T334" s="694"/>
      <c r="U334" s="694"/>
      <c r="V334" s="693"/>
      <c r="W334" s="693"/>
      <c r="X334" s="693"/>
      <c r="Y334" s="671"/>
      <c r="Z334" s="673"/>
      <c r="AA334" s="672"/>
      <c r="AB334" s="695"/>
      <c r="AC334" s="673"/>
      <c r="AD334" s="673"/>
      <c r="AE334" s="673"/>
      <c r="AF334" s="673"/>
      <c r="AG334" s="673"/>
      <c r="AH334" s="673"/>
      <c r="AI334" s="673"/>
      <c r="AJ334" s="673"/>
      <c r="AK334" s="673"/>
      <c r="AL334" s="673"/>
      <c r="AM334" s="673"/>
      <c r="AN334" s="673"/>
      <c r="AO334" s="673"/>
      <c r="AP334" s="673"/>
      <c r="AQ334" s="673"/>
      <c r="AR334" s="673"/>
      <c r="AS334" s="673"/>
      <c r="AT334" s="696"/>
    </row>
    <row r="335" ht="15.75" customHeight="1">
      <c r="A335" s="653"/>
      <c r="B335" s="654"/>
      <c r="C335" s="691"/>
      <c r="D335" s="656"/>
      <c r="E335" s="657"/>
      <c r="F335" s="658"/>
      <c r="G335" s="659"/>
      <c r="H335" s="660"/>
      <c r="I335" s="659"/>
      <c r="J335" s="661"/>
      <c r="K335" s="692"/>
      <c r="L335" s="645"/>
      <c r="M335" s="663"/>
      <c r="N335" s="665"/>
      <c r="O335" s="665"/>
      <c r="P335" s="666"/>
      <c r="Q335" s="667"/>
      <c r="R335" s="668"/>
      <c r="S335" s="693"/>
      <c r="T335" s="694"/>
      <c r="U335" s="694"/>
      <c r="V335" s="693"/>
      <c r="W335" s="693"/>
      <c r="X335" s="693"/>
      <c r="Y335" s="671"/>
      <c r="Z335" s="673"/>
      <c r="AA335" s="672"/>
      <c r="AB335" s="695"/>
      <c r="AC335" s="673"/>
      <c r="AD335" s="673"/>
      <c r="AE335" s="673"/>
      <c r="AF335" s="673"/>
      <c r="AG335" s="673"/>
      <c r="AH335" s="673"/>
      <c r="AI335" s="673"/>
      <c r="AJ335" s="673"/>
      <c r="AK335" s="673"/>
      <c r="AL335" s="673"/>
      <c r="AM335" s="673"/>
      <c r="AN335" s="673"/>
      <c r="AO335" s="673"/>
      <c r="AP335" s="673"/>
      <c r="AQ335" s="673"/>
      <c r="AR335" s="673"/>
      <c r="AS335" s="673"/>
      <c r="AT335" s="696"/>
    </row>
    <row r="336" ht="15.75" customHeight="1">
      <c r="A336" s="653"/>
      <c r="B336" s="654"/>
      <c r="C336" s="691"/>
      <c r="D336" s="656"/>
      <c r="E336" s="657"/>
      <c r="F336" s="658"/>
      <c r="G336" s="659"/>
      <c r="H336" s="660"/>
      <c r="I336" s="659"/>
      <c r="J336" s="661"/>
      <c r="K336" s="692"/>
      <c r="L336" s="645"/>
      <c r="M336" s="663"/>
      <c r="N336" s="665"/>
      <c r="O336" s="665"/>
      <c r="P336" s="666"/>
      <c r="Q336" s="667"/>
      <c r="R336" s="668"/>
      <c r="S336" s="693"/>
      <c r="T336" s="694"/>
      <c r="U336" s="694"/>
      <c r="V336" s="693"/>
      <c r="W336" s="693"/>
      <c r="X336" s="693"/>
      <c r="Y336" s="671"/>
      <c r="Z336" s="673"/>
      <c r="AA336" s="672"/>
      <c r="AB336" s="695"/>
      <c r="AC336" s="673"/>
      <c r="AD336" s="673"/>
      <c r="AE336" s="673"/>
      <c r="AF336" s="673"/>
      <c r="AG336" s="673"/>
      <c r="AH336" s="673"/>
      <c r="AI336" s="673"/>
      <c r="AJ336" s="673"/>
      <c r="AK336" s="673"/>
      <c r="AL336" s="673"/>
      <c r="AM336" s="673"/>
      <c r="AN336" s="673"/>
      <c r="AO336" s="673"/>
      <c r="AP336" s="673"/>
      <c r="AQ336" s="673"/>
      <c r="AR336" s="673"/>
      <c r="AS336" s="673"/>
      <c r="AT336" s="696"/>
    </row>
    <row r="337" ht="15.75" customHeight="1">
      <c r="A337" s="653"/>
      <c r="B337" s="654"/>
      <c r="C337" s="691"/>
      <c r="D337" s="656"/>
      <c r="E337" s="657"/>
      <c r="F337" s="658"/>
      <c r="G337" s="659"/>
      <c r="H337" s="660"/>
      <c r="I337" s="659"/>
      <c r="J337" s="661"/>
      <c r="K337" s="692"/>
      <c r="L337" s="645"/>
      <c r="M337" s="663"/>
      <c r="N337" s="665"/>
      <c r="O337" s="665"/>
      <c r="P337" s="666"/>
      <c r="Q337" s="667"/>
      <c r="R337" s="668"/>
      <c r="S337" s="693"/>
      <c r="T337" s="694"/>
      <c r="U337" s="694"/>
      <c r="V337" s="693"/>
      <c r="W337" s="693"/>
      <c r="X337" s="693"/>
      <c r="Y337" s="671"/>
      <c r="Z337" s="673"/>
      <c r="AA337" s="672"/>
      <c r="AB337" s="695"/>
      <c r="AC337" s="673"/>
      <c r="AD337" s="673"/>
      <c r="AE337" s="673"/>
      <c r="AF337" s="673"/>
      <c r="AG337" s="673"/>
      <c r="AH337" s="673"/>
      <c r="AI337" s="673"/>
      <c r="AJ337" s="673"/>
      <c r="AK337" s="673"/>
      <c r="AL337" s="673"/>
      <c r="AM337" s="673"/>
      <c r="AN337" s="673"/>
      <c r="AO337" s="673"/>
      <c r="AP337" s="673"/>
      <c r="AQ337" s="673"/>
      <c r="AR337" s="673"/>
      <c r="AS337" s="673"/>
      <c r="AT337" s="696"/>
    </row>
    <row r="338" ht="15.75" customHeight="1">
      <c r="A338" s="653"/>
      <c r="B338" s="654"/>
      <c r="C338" s="691"/>
      <c r="D338" s="656"/>
      <c r="E338" s="657"/>
      <c r="F338" s="658"/>
      <c r="G338" s="659"/>
      <c r="H338" s="660"/>
      <c r="I338" s="659"/>
      <c r="J338" s="661"/>
      <c r="K338" s="692"/>
      <c r="L338" s="645"/>
      <c r="M338" s="663"/>
      <c r="N338" s="665"/>
      <c r="O338" s="665"/>
      <c r="P338" s="666"/>
      <c r="Q338" s="667"/>
      <c r="R338" s="668"/>
      <c r="S338" s="693"/>
      <c r="T338" s="694"/>
      <c r="U338" s="694"/>
      <c r="V338" s="693"/>
      <c r="W338" s="693"/>
      <c r="X338" s="693"/>
      <c r="Y338" s="671"/>
      <c r="Z338" s="673"/>
      <c r="AA338" s="672"/>
      <c r="AB338" s="695"/>
      <c r="AC338" s="673"/>
      <c r="AD338" s="673"/>
      <c r="AE338" s="673"/>
      <c r="AF338" s="673"/>
      <c r="AG338" s="673"/>
      <c r="AH338" s="673"/>
      <c r="AI338" s="673"/>
      <c r="AJ338" s="673"/>
      <c r="AK338" s="673"/>
      <c r="AL338" s="673"/>
      <c r="AM338" s="673"/>
      <c r="AN338" s="673"/>
      <c r="AO338" s="673"/>
      <c r="AP338" s="673"/>
      <c r="AQ338" s="673"/>
      <c r="AR338" s="673"/>
      <c r="AS338" s="673"/>
      <c r="AT338" s="696"/>
    </row>
    <row r="339" ht="15.75" customHeight="1">
      <c r="A339" s="653"/>
      <c r="B339" s="654"/>
      <c r="C339" s="691"/>
      <c r="D339" s="656"/>
      <c r="E339" s="657"/>
      <c r="F339" s="658"/>
      <c r="G339" s="659"/>
      <c r="H339" s="660"/>
      <c r="I339" s="659"/>
      <c r="J339" s="661"/>
      <c r="K339" s="692"/>
      <c r="L339" s="645"/>
      <c r="M339" s="663"/>
      <c r="N339" s="665"/>
      <c r="O339" s="665"/>
      <c r="P339" s="666"/>
      <c r="Q339" s="667"/>
      <c r="R339" s="668"/>
      <c r="S339" s="693"/>
      <c r="T339" s="694"/>
      <c r="U339" s="694"/>
      <c r="V339" s="693"/>
      <c r="W339" s="693"/>
      <c r="X339" s="693"/>
      <c r="Y339" s="671"/>
      <c r="Z339" s="673"/>
      <c r="AA339" s="672"/>
      <c r="AB339" s="695"/>
      <c r="AC339" s="673"/>
      <c r="AD339" s="673"/>
      <c r="AE339" s="673"/>
      <c r="AF339" s="673"/>
      <c r="AG339" s="673"/>
      <c r="AH339" s="673"/>
      <c r="AI339" s="673"/>
      <c r="AJ339" s="673"/>
      <c r="AK339" s="673"/>
      <c r="AL339" s="673"/>
      <c r="AM339" s="673"/>
      <c r="AN339" s="673"/>
      <c r="AO339" s="673"/>
      <c r="AP339" s="673"/>
      <c r="AQ339" s="673"/>
      <c r="AR339" s="673"/>
      <c r="AS339" s="673"/>
      <c r="AT339" s="696"/>
    </row>
    <row r="340" ht="15.75" customHeight="1">
      <c r="A340" s="653"/>
      <c r="B340" s="654"/>
      <c r="C340" s="691"/>
      <c r="D340" s="656"/>
      <c r="E340" s="657"/>
      <c r="F340" s="658"/>
      <c r="G340" s="659"/>
      <c r="H340" s="660"/>
      <c r="I340" s="659"/>
      <c r="J340" s="661"/>
      <c r="K340" s="692"/>
      <c r="L340" s="645"/>
      <c r="M340" s="663"/>
      <c r="N340" s="665"/>
      <c r="O340" s="665"/>
      <c r="P340" s="666"/>
      <c r="Q340" s="667"/>
      <c r="R340" s="668"/>
      <c r="S340" s="693"/>
      <c r="T340" s="694"/>
      <c r="U340" s="694"/>
      <c r="V340" s="693"/>
      <c r="W340" s="693"/>
      <c r="X340" s="693"/>
      <c r="Y340" s="671"/>
      <c r="Z340" s="673"/>
      <c r="AA340" s="672"/>
      <c r="AB340" s="695"/>
      <c r="AC340" s="673"/>
      <c r="AD340" s="673"/>
      <c r="AE340" s="673"/>
      <c r="AF340" s="673"/>
      <c r="AG340" s="673"/>
      <c r="AH340" s="673"/>
      <c r="AI340" s="673"/>
      <c r="AJ340" s="673"/>
      <c r="AK340" s="673"/>
      <c r="AL340" s="673"/>
      <c r="AM340" s="673"/>
      <c r="AN340" s="673"/>
      <c r="AO340" s="673"/>
      <c r="AP340" s="673"/>
      <c r="AQ340" s="673"/>
      <c r="AR340" s="673"/>
      <c r="AS340" s="673"/>
      <c r="AT340" s="696"/>
    </row>
    <row r="341" ht="15.75" customHeight="1">
      <c r="A341" s="653"/>
      <c r="B341" s="654"/>
      <c r="C341" s="691"/>
      <c r="D341" s="656"/>
      <c r="E341" s="657"/>
      <c r="F341" s="658"/>
      <c r="G341" s="659"/>
      <c r="H341" s="660"/>
      <c r="I341" s="659"/>
      <c r="J341" s="661"/>
      <c r="K341" s="692"/>
      <c r="L341" s="645"/>
      <c r="M341" s="663"/>
      <c r="N341" s="665"/>
      <c r="O341" s="665"/>
      <c r="P341" s="666"/>
      <c r="Q341" s="667"/>
      <c r="R341" s="668"/>
      <c r="S341" s="693"/>
      <c r="T341" s="694"/>
      <c r="U341" s="694"/>
      <c r="V341" s="693"/>
      <c r="W341" s="693"/>
      <c r="X341" s="693"/>
      <c r="Y341" s="671"/>
      <c r="Z341" s="673"/>
      <c r="AA341" s="672"/>
      <c r="AB341" s="695"/>
      <c r="AC341" s="673"/>
      <c r="AD341" s="673"/>
      <c r="AE341" s="673"/>
      <c r="AF341" s="673"/>
      <c r="AG341" s="673"/>
      <c r="AH341" s="673"/>
      <c r="AI341" s="673"/>
      <c r="AJ341" s="673"/>
      <c r="AK341" s="673"/>
      <c r="AL341" s="673"/>
      <c r="AM341" s="673"/>
      <c r="AN341" s="673"/>
      <c r="AO341" s="673"/>
      <c r="AP341" s="673"/>
      <c r="AQ341" s="673"/>
      <c r="AR341" s="673"/>
      <c r="AS341" s="673"/>
      <c r="AT341" s="696"/>
    </row>
    <row r="342" ht="15.75" customHeight="1">
      <c r="A342" s="653"/>
      <c r="B342" s="654"/>
      <c r="C342" s="691"/>
      <c r="D342" s="656"/>
      <c r="E342" s="657"/>
      <c r="F342" s="658"/>
      <c r="G342" s="659"/>
      <c r="H342" s="660"/>
      <c r="I342" s="659"/>
      <c r="J342" s="661"/>
      <c r="K342" s="692"/>
      <c r="L342" s="645"/>
      <c r="M342" s="663"/>
      <c r="N342" s="665"/>
      <c r="O342" s="665"/>
      <c r="P342" s="666"/>
      <c r="Q342" s="667"/>
      <c r="R342" s="668"/>
      <c r="S342" s="693"/>
      <c r="T342" s="694"/>
      <c r="U342" s="694"/>
      <c r="V342" s="693"/>
      <c r="W342" s="693"/>
      <c r="X342" s="693"/>
      <c r="Y342" s="671"/>
      <c r="Z342" s="673"/>
      <c r="AA342" s="672"/>
      <c r="AB342" s="695"/>
      <c r="AC342" s="673"/>
      <c r="AD342" s="673"/>
      <c r="AE342" s="673"/>
      <c r="AF342" s="673"/>
      <c r="AG342" s="673"/>
      <c r="AH342" s="673"/>
      <c r="AI342" s="673"/>
      <c r="AJ342" s="673"/>
      <c r="AK342" s="673"/>
      <c r="AL342" s="673"/>
      <c r="AM342" s="673"/>
      <c r="AN342" s="673"/>
      <c r="AO342" s="673"/>
      <c r="AP342" s="673"/>
      <c r="AQ342" s="673"/>
      <c r="AR342" s="673"/>
      <c r="AS342" s="673"/>
      <c r="AT342" s="696"/>
    </row>
    <row r="343" ht="15.75" customHeight="1">
      <c r="A343" s="653"/>
      <c r="B343" s="654"/>
      <c r="C343" s="691"/>
      <c r="D343" s="656"/>
      <c r="E343" s="657"/>
      <c r="F343" s="658"/>
      <c r="G343" s="659"/>
      <c r="H343" s="660"/>
      <c r="I343" s="659"/>
      <c r="J343" s="661"/>
      <c r="K343" s="692"/>
      <c r="L343" s="645"/>
      <c r="M343" s="663"/>
      <c r="N343" s="665"/>
      <c r="O343" s="665"/>
      <c r="P343" s="666"/>
      <c r="Q343" s="667"/>
      <c r="R343" s="668"/>
      <c r="S343" s="693"/>
      <c r="T343" s="694"/>
      <c r="U343" s="694"/>
      <c r="V343" s="693"/>
      <c r="W343" s="693"/>
      <c r="X343" s="693"/>
      <c r="Y343" s="671"/>
      <c r="Z343" s="673"/>
      <c r="AA343" s="672"/>
      <c r="AB343" s="695"/>
      <c r="AC343" s="673"/>
      <c r="AD343" s="673"/>
      <c r="AE343" s="673"/>
      <c r="AF343" s="673"/>
      <c r="AG343" s="673"/>
      <c r="AH343" s="673"/>
      <c r="AI343" s="673"/>
      <c r="AJ343" s="673"/>
      <c r="AK343" s="673"/>
      <c r="AL343" s="673"/>
      <c r="AM343" s="673"/>
      <c r="AN343" s="673"/>
      <c r="AO343" s="673"/>
      <c r="AP343" s="673"/>
      <c r="AQ343" s="673"/>
      <c r="AR343" s="673"/>
      <c r="AS343" s="673"/>
      <c r="AT343" s="696"/>
    </row>
    <row r="344" ht="15.75" customHeight="1">
      <c r="A344" s="653"/>
      <c r="B344" s="654"/>
      <c r="C344" s="691"/>
      <c r="D344" s="656"/>
      <c r="E344" s="657"/>
      <c r="F344" s="658"/>
      <c r="G344" s="659"/>
      <c r="H344" s="660"/>
      <c r="I344" s="659"/>
      <c r="J344" s="661"/>
      <c r="K344" s="692"/>
      <c r="L344" s="645"/>
      <c r="M344" s="663"/>
      <c r="N344" s="665"/>
      <c r="O344" s="665"/>
      <c r="P344" s="666"/>
      <c r="Q344" s="667"/>
      <c r="R344" s="668"/>
      <c r="S344" s="693"/>
      <c r="T344" s="694"/>
      <c r="U344" s="694"/>
      <c r="V344" s="693"/>
      <c r="W344" s="693"/>
      <c r="X344" s="693"/>
      <c r="Y344" s="671"/>
      <c r="Z344" s="673"/>
      <c r="AA344" s="672"/>
      <c r="AB344" s="695"/>
      <c r="AC344" s="673"/>
      <c r="AD344" s="673"/>
      <c r="AE344" s="673"/>
      <c r="AF344" s="673"/>
      <c r="AG344" s="673"/>
      <c r="AH344" s="673"/>
      <c r="AI344" s="673"/>
      <c r="AJ344" s="673"/>
      <c r="AK344" s="673"/>
      <c r="AL344" s="673"/>
      <c r="AM344" s="673"/>
      <c r="AN344" s="673"/>
      <c r="AO344" s="673"/>
      <c r="AP344" s="673"/>
      <c r="AQ344" s="673"/>
      <c r="AR344" s="673"/>
      <c r="AS344" s="673"/>
      <c r="AT344" s="696"/>
    </row>
    <row r="345" ht="15.75" customHeight="1">
      <c r="A345" s="653"/>
      <c r="B345" s="654"/>
      <c r="C345" s="691"/>
      <c r="D345" s="656"/>
      <c r="E345" s="657"/>
      <c r="F345" s="658"/>
      <c r="G345" s="659"/>
      <c r="H345" s="660"/>
      <c r="I345" s="659"/>
      <c r="J345" s="661"/>
      <c r="K345" s="692"/>
      <c r="L345" s="645"/>
      <c r="M345" s="663"/>
      <c r="N345" s="665"/>
      <c r="O345" s="665"/>
      <c r="P345" s="666"/>
      <c r="Q345" s="667"/>
      <c r="R345" s="668"/>
      <c r="S345" s="693"/>
      <c r="T345" s="694"/>
      <c r="U345" s="694"/>
      <c r="V345" s="693"/>
      <c r="W345" s="693"/>
      <c r="X345" s="693"/>
      <c r="Y345" s="671"/>
      <c r="Z345" s="673"/>
      <c r="AA345" s="672"/>
      <c r="AB345" s="695"/>
      <c r="AC345" s="673"/>
      <c r="AD345" s="673"/>
      <c r="AE345" s="673"/>
      <c r="AF345" s="673"/>
      <c r="AG345" s="673"/>
      <c r="AH345" s="673"/>
      <c r="AI345" s="673"/>
      <c r="AJ345" s="673"/>
      <c r="AK345" s="673"/>
      <c r="AL345" s="673"/>
      <c r="AM345" s="673"/>
      <c r="AN345" s="673"/>
      <c r="AO345" s="673"/>
      <c r="AP345" s="673"/>
      <c r="AQ345" s="673"/>
      <c r="AR345" s="673"/>
      <c r="AS345" s="673"/>
      <c r="AT345" s="696"/>
    </row>
    <row r="346" ht="15.75" customHeight="1">
      <c r="A346" s="653"/>
      <c r="B346" s="654"/>
      <c r="C346" s="691"/>
      <c r="D346" s="656"/>
      <c r="E346" s="657"/>
      <c r="F346" s="658"/>
      <c r="G346" s="659"/>
      <c r="H346" s="660"/>
      <c r="I346" s="659"/>
      <c r="J346" s="661"/>
      <c r="K346" s="692"/>
      <c r="L346" s="645"/>
      <c r="M346" s="663"/>
      <c r="N346" s="665"/>
      <c r="O346" s="665"/>
      <c r="P346" s="666"/>
      <c r="Q346" s="667"/>
      <c r="R346" s="668"/>
      <c r="S346" s="693"/>
      <c r="T346" s="694"/>
      <c r="U346" s="694"/>
      <c r="V346" s="693"/>
      <c r="W346" s="693"/>
      <c r="X346" s="693"/>
      <c r="Y346" s="671"/>
      <c r="Z346" s="673"/>
      <c r="AA346" s="672"/>
      <c r="AB346" s="695"/>
      <c r="AC346" s="673"/>
      <c r="AD346" s="673"/>
      <c r="AE346" s="673"/>
      <c r="AF346" s="673"/>
      <c r="AG346" s="673"/>
      <c r="AH346" s="673"/>
      <c r="AI346" s="673"/>
      <c r="AJ346" s="673"/>
      <c r="AK346" s="673"/>
      <c r="AL346" s="673"/>
      <c r="AM346" s="673"/>
      <c r="AN346" s="673"/>
      <c r="AO346" s="673"/>
      <c r="AP346" s="673"/>
      <c r="AQ346" s="673"/>
      <c r="AR346" s="673"/>
      <c r="AS346" s="673"/>
      <c r="AT346" s="696"/>
    </row>
    <row r="347" ht="15.75" customHeight="1">
      <c r="A347" s="653"/>
      <c r="B347" s="654"/>
      <c r="C347" s="691"/>
      <c r="D347" s="656"/>
      <c r="E347" s="657"/>
      <c r="F347" s="658"/>
      <c r="G347" s="659"/>
      <c r="H347" s="660"/>
      <c r="I347" s="659"/>
      <c r="J347" s="661"/>
      <c r="K347" s="692"/>
      <c r="L347" s="645"/>
      <c r="M347" s="663"/>
      <c r="N347" s="665"/>
      <c r="O347" s="665"/>
      <c r="P347" s="666"/>
      <c r="Q347" s="667"/>
      <c r="R347" s="668"/>
      <c r="S347" s="693"/>
      <c r="T347" s="694"/>
      <c r="U347" s="694"/>
      <c r="V347" s="693"/>
      <c r="W347" s="693"/>
      <c r="X347" s="693"/>
      <c r="Y347" s="671"/>
      <c r="Z347" s="673"/>
      <c r="AA347" s="672"/>
      <c r="AB347" s="695"/>
      <c r="AC347" s="673"/>
      <c r="AD347" s="673"/>
      <c r="AE347" s="673"/>
      <c r="AF347" s="673"/>
      <c r="AG347" s="673"/>
      <c r="AH347" s="673"/>
      <c r="AI347" s="673"/>
      <c r="AJ347" s="673"/>
      <c r="AK347" s="673"/>
      <c r="AL347" s="673"/>
      <c r="AM347" s="673"/>
      <c r="AN347" s="673"/>
      <c r="AO347" s="673"/>
      <c r="AP347" s="673"/>
      <c r="AQ347" s="673"/>
      <c r="AR347" s="673"/>
      <c r="AS347" s="673"/>
      <c r="AT347" s="696"/>
    </row>
    <row r="348" ht="15.75" customHeight="1">
      <c r="A348" s="653"/>
      <c r="B348" s="654"/>
      <c r="C348" s="691"/>
      <c r="D348" s="656"/>
      <c r="E348" s="657"/>
      <c r="F348" s="658"/>
      <c r="G348" s="659"/>
      <c r="H348" s="660"/>
      <c r="I348" s="659"/>
      <c r="J348" s="661"/>
      <c r="K348" s="692"/>
      <c r="L348" s="645"/>
      <c r="M348" s="663"/>
      <c r="N348" s="665"/>
      <c r="O348" s="665"/>
      <c r="P348" s="666"/>
      <c r="Q348" s="667"/>
      <c r="R348" s="668"/>
      <c r="S348" s="693"/>
      <c r="T348" s="694"/>
      <c r="U348" s="694"/>
      <c r="V348" s="693"/>
      <c r="W348" s="693"/>
      <c r="X348" s="693"/>
      <c r="Y348" s="671"/>
      <c r="Z348" s="673"/>
      <c r="AA348" s="672"/>
      <c r="AB348" s="695"/>
      <c r="AC348" s="673"/>
      <c r="AD348" s="673"/>
      <c r="AE348" s="673"/>
      <c r="AF348" s="673"/>
      <c r="AG348" s="673"/>
      <c r="AH348" s="673"/>
      <c r="AI348" s="673"/>
      <c r="AJ348" s="673"/>
      <c r="AK348" s="673"/>
      <c r="AL348" s="673"/>
      <c r="AM348" s="673"/>
      <c r="AN348" s="673"/>
      <c r="AO348" s="673"/>
      <c r="AP348" s="673"/>
      <c r="AQ348" s="673"/>
      <c r="AR348" s="673"/>
      <c r="AS348" s="673"/>
      <c r="AT348" s="696"/>
    </row>
    <row r="349" ht="15.75" customHeight="1">
      <c r="A349" s="653"/>
      <c r="B349" s="654"/>
      <c r="C349" s="691"/>
      <c r="D349" s="656"/>
      <c r="E349" s="657"/>
      <c r="F349" s="658"/>
      <c r="G349" s="659"/>
      <c r="H349" s="660"/>
      <c r="I349" s="659"/>
      <c r="J349" s="661"/>
      <c r="K349" s="692"/>
      <c r="L349" s="645"/>
      <c r="M349" s="663"/>
      <c r="N349" s="665"/>
      <c r="O349" s="665"/>
      <c r="P349" s="666"/>
      <c r="Q349" s="667"/>
      <c r="R349" s="668"/>
      <c r="S349" s="693"/>
      <c r="T349" s="694"/>
      <c r="U349" s="694"/>
      <c r="V349" s="693"/>
      <c r="W349" s="693"/>
      <c r="X349" s="693"/>
      <c r="Y349" s="671"/>
      <c r="Z349" s="673"/>
      <c r="AA349" s="672"/>
      <c r="AB349" s="695"/>
      <c r="AC349" s="673"/>
      <c r="AD349" s="673"/>
      <c r="AE349" s="673"/>
      <c r="AF349" s="673"/>
      <c r="AG349" s="673"/>
      <c r="AH349" s="673"/>
      <c r="AI349" s="673"/>
      <c r="AJ349" s="673"/>
      <c r="AK349" s="673"/>
      <c r="AL349" s="673"/>
      <c r="AM349" s="673"/>
      <c r="AN349" s="673"/>
      <c r="AO349" s="673"/>
      <c r="AP349" s="673"/>
      <c r="AQ349" s="673"/>
      <c r="AR349" s="673"/>
      <c r="AS349" s="673"/>
      <c r="AT349" s="696"/>
    </row>
    <row r="350" ht="15.75" customHeight="1">
      <c r="A350" s="653"/>
      <c r="B350" s="654"/>
      <c r="C350" s="691"/>
      <c r="D350" s="656"/>
      <c r="E350" s="657"/>
      <c r="F350" s="658"/>
      <c r="G350" s="659"/>
      <c r="H350" s="660"/>
      <c r="I350" s="659"/>
      <c r="J350" s="661"/>
      <c r="K350" s="692"/>
      <c r="L350" s="645"/>
      <c r="M350" s="663"/>
      <c r="N350" s="665"/>
      <c r="O350" s="665"/>
      <c r="P350" s="666"/>
      <c r="Q350" s="667"/>
      <c r="R350" s="668"/>
      <c r="S350" s="693"/>
      <c r="T350" s="694"/>
      <c r="U350" s="694"/>
      <c r="V350" s="693"/>
      <c r="W350" s="693"/>
      <c r="X350" s="693"/>
      <c r="Y350" s="671"/>
      <c r="Z350" s="673"/>
      <c r="AA350" s="672"/>
      <c r="AB350" s="695"/>
      <c r="AC350" s="673"/>
      <c r="AD350" s="673"/>
      <c r="AE350" s="673"/>
      <c r="AF350" s="673"/>
      <c r="AG350" s="673"/>
      <c r="AH350" s="673"/>
      <c r="AI350" s="673"/>
      <c r="AJ350" s="673"/>
      <c r="AK350" s="673"/>
      <c r="AL350" s="673"/>
      <c r="AM350" s="673"/>
      <c r="AN350" s="673"/>
      <c r="AO350" s="673"/>
      <c r="AP350" s="673"/>
      <c r="AQ350" s="673"/>
      <c r="AR350" s="673"/>
      <c r="AS350" s="673"/>
      <c r="AT350" s="696"/>
    </row>
    <row r="351" ht="15.75" customHeight="1">
      <c r="A351" s="653"/>
      <c r="B351" s="654"/>
      <c r="C351" s="691"/>
      <c r="D351" s="656"/>
      <c r="E351" s="657"/>
      <c r="F351" s="658"/>
      <c r="G351" s="659"/>
      <c r="H351" s="660"/>
      <c r="I351" s="659"/>
      <c r="J351" s="661"/>
      <c r="K351" s="692"/>
      <c r="L351" s="645"/>
      <c r="M351" s="663"/>
      <c r="N351" s="665"/>
      <c r="O351" s="665"/>
      <c r="P351" s="666"/>
      <c r="Q351" s="667"/>
      <c r="R351" s="668"/>
      <c r="S351" s="693"/>
      <c r="T351" s="694"/>
      <c r="U351" s="694"/>
      <c r="V351" s="693"/>
      <c r="W351" s="693"/>
      <c r="X351" s="693"/>
      <c r="Y351" s="671"/>
      <c r="Z351" s="673"/>
      <c r="AA351" s="672"/>
      <c r="AB351" s="695"/>
      <c r="AC351" s="673"/>
      <c r="AD351" s="673"/>
      <c r="AE351" s="673"/>
      <c r="AF351" s="673"/>
      <c r="AG351" s="673"/>
      <c r="AH351" s="673"/>
      <c r="AI351" s="673"/>
      <c r="AJ351" s="673"/>
      <c r="AK351" s="673"/>
      <c r="AL351" s="673"/>
      <c r="AM351" s="673"/>
      <c r="AN351" s="673"/>
      <c r="AO351" s="673"/>
      <c r="AP351" s="673"/>
      <c r="AQ351" s="673"/>
      <c r="AR351" s="673"/>
      <c r="AS351" s="673"/>
      <c r="AT351" s="696"/>
    </row>
    <row r="352" ht="15.75" customHeight="1">
      <c r="A352" s="653"/>
      <c r="B352" s="654"/>
      <c r="C352" s="691"/>
      <c r="D352" s="656"/>
      <c r="E352" s="657"/>
      <c r="F352" s="658"/>
      <c r="G352" s="659"/>
      <c r="H352" s="660"/>
      <c r="I352" s="659"/>
      <c r="J352" s="661"/>
      <c r="K352" s="692"/>
      <c r="L352" s="645"/>
      <c r="M352" s="663"/>
      <c r="N352" s="665"/>
      <c r="O352" s="665"/>
      <c r="P352" s="666"/>
      <c r="Q352" s="667"/>
      <c r="R352" s="668"/>
      <c r="S352" s="693"/>
      <c r="T352" s="694"/>
      <c r="U352" s="694"/>
      <c r="V352" s="693"/>
      <c r="W352" s="693"/>
      <c r="X352" s="693"/>
      <c r="Y352" s="671"/>
      <c r="Z352" s="673"/>
      <c r="AA352" s="672"/>
      <c r="AB352" s="695"/>
      <c r="AC352" s="673"/>
      <c r="AD352" s="673"/>
      <c r="AE352" s="673"/>
      <c r="AF352" s="673"/>
      <c r="AG352" s="673"/>
      <c r="AH352" s="673"/>
      <c r="AI352" s="673"/>
      <c r="AJ352" s="673"/>
      <c r="AK352" s="673"/>
      <c r="AL352" s="673"/>
      <c r="AM352" s="673"/>
      <c r="AN352" s="673"/>
      <c r="AO352" s="673"/>
      <c r="AP352" s="673"/>
      <c r="AQ352" s="673"/>
      <c r="AR352" s="673"/>
      <c r="AS352" s="673"/>
      <c r="AT352" s="696"/>
    </row>
    <row r="353" ht="15.75" customHeight="1">
      <c r="A353" s="653"/>
      <c r="B353" s="654"/>
      <c r="C353" s="691"/>
      <c r="D353" s="656"/>
      <c r="E353" s="657"/>
      <c r="F353" s="658"/>
      <c r="G353" s="659"/>
      <c r="H353" s="660"/>
      <c r="I353" s="659"/>
      <c r="J353" s="661"/>
      <c r="K353" s="692"/>
      <c r="L353" s="645"/>
      <c r="M353" s="663"/>
      <c r="N353" s="665"/>
      <c r="O353" s="665"/>
      <c r="P353" s="666"/>
      <c r="Q353" s="667"/>
      <c r="R353" s="668"/>
      <c r="S353" s="693"/>
      <c r="T353" s="694"/>
      <c r="U353" s="694"/>
      <c r="V353" s="693"/>
      <c r="W353" s="693"/>
      <c r="X353" s="693"/>
      <c r="Y353" s="671"/>
      <c r="Z353" s="673"/>
      <c r="AA353" s="672"/>
      <c r="AB353" s="695"/>
      <c r="AC353" s="673"/>
      <c r="AD353" s="673"/>
      <c r="AE353" s="673"/>
      <c r="AF353" s="673"/>
      <c r="AG353" s="673"/>
      <c r="AH353" s="673"/>
      <c r="AI353" s="673"/>
      <c r="AJ353" s="673"/>
      <c r="AK353" s="673"/>
      <c r="AL353" s="673"/>
      <c r="AM353" s="673"/>
      <c r="AN353" s="673"/>
      <c r="AO353" s="673"/>
      <c r="AP353" s="673"/>
      <c r="AQ353" s="673"/>
      <c r="AR353" s="673"/>
      <c r="AS353" s="673"/>
      <c r="AT353" s="696"/>
    </row>
    <row r="354" ht="15.75" customHeight="1">
      <c r="A354" s="653"/>
      <c r="B354" s="654"/>
      <c r="C354" s="691"/>
      <c r="D354" s="656"/>
      <c r="E354" s="657"/>
      <c r="F354" s="658"/>
      <c r="G354" s="659"/>
      <c r="H354" s="660"/>
      <c r="I354" s="659"/>
      <c r="J354" s="661"/>
      <c r="K354" s="692"/>
      <c r="L354" s="645"/>
      <c r="M354" s="663"/>
      <c r="N354" s="665"/>
      <c r="O354" s="665"/>
      <c r="P354" s="666"/>
      <c r="Q354" s="667"/>
      <c r="R354" s="668"/>
      <c r="S354" s="693"/>
      <c r="T354" s="694"/>
      <c r="U354" s="694"/>
      <c r="V354" s="693"/>
      <c r="W354" s="693"/>
      <c r="X354" s="693"/>
      <c r="Y354" s="671"/>
      <c r="Z354" s="673"/>
      <c r="AA354" s="672"/>
      <c r="AB354" s="695"/>
      <c r="AC354" s="673"/>
      <c r="AD354" s="673"/>
      <c r="AE354" s="673"/>
      <c r="AF354" s="673"/>
      <c r="AG354" s="673"/>
      <c r="AH354" s="673"/>
      <c r="AI354" s="673"/>
      <c r="AJ354" s="673"/>
      <c r="AK354" s="673"/>
      <c r="AL354" s="673"/>
      <c r="AM354" s="673"/>
      <c r="AN354" s="673"/>
      <c r="AO354" s="673"/>
      <c r="AP354" s="673"/>
      <c r="AQ354" s="673"/>
      <c r="AR354" s="673"/>
      <c r="AS354" s="673"/>
      <c r="AT354" s="696"/>
    </row>
    <row r="355" ht="15.75" customHeight="1">
      <c r="A355" s="653"/>
      <c r="B355" s="654"/>
      <c r="C355" s="691"/>
      <c r="D355" s="656"/>
      <c r="E355" s="657"/>
      <c r="F355" s="658"/>
      <c r="G355" s="659"/>
      <c r="H355" s="660"/>
      <c r="I355" s="659"/>
      <c r="J355" s="661"/>
      <c r="K355" s="692"/>
      <c r="L355" s="645"/>
      <c r="M355" s="663"/>
      <c r="N355" s="665"/>
      <c r="O355" s="665"/>
      <c r="P355" s="666"/>
      <c r="Q355" s="667"/>
      <c r="R355" s="668"/>
      <c r="S355" s="693"/>
      <c r="T355" s="694"/>
      <c r="U355" s="694"/>
      <c r="V355" s="693"/>
      <c r="W355" s="693"/>
      <c r="X355" s="693"/>
      <c r="Y355" s="671"/>
      <c r="Z355" s="673"/>
      <c r="AA355" s="672"/>
      <c r="AB355" s="695"/>
      <c r="AC355" s="673"/>
      <c r="AD355" s="673"/>
      <c r="AE355" s="673"/>
      <c r="AF355" s="673"/>
      <c r="AG355" s="673"/>
      <c r="AH355" s="673"/>
      <c r="AI355" s="673"/>
      <c r="AJ355" s="673"/>
      <c r="AK355" s="673"/>
      <c r="AL355" s="673"/>
      <c r="AM355" s="673"/>
      <c r="AN355" s="673"/>
      <c r="AO355" s="673"/>
      <c r="AP355" s="673"/>
      <c r="AQ355" s="673"/>
      <c r="AR355" s="673"/>
      <c r="AS355" s="673"/>
      <c r="AT355" s="696"/>
    </row>
    <row r="356" ht="15.75" customHeight="1">
      <c r="A356" s="653"/>
      <c r="B356" s="654"/>
      <c r="C356" s="691"/>
      <c r="D356" s="656"/>
      <c r="E356" s="657"/>
      <c r="F356" s="658"/>
      <c r="G356" s="659"/>
      <c r="H356" s="660"/>
      <c r="I356" s="659"/>
      <c r="J356" s="661"/>
      <c r="K356" s="692"/>
      <c r="L356" s="645"/>
      <c r="M356" s="663"/>
      <c r="N356" s="665"/>
      <c r="O356" s="665"/>
      <c r="P356" s="666"/>
      <c r="Q356" s="667"/>
      <c r="R356" s="668"/>
      <c r="S356" s="693"/>
      <c r="T356" s="694"/>
      <c r="U356" s="694"/>
      <c r="V356" s="693"/>
      <c r="W356" s="693"/>
      <c r="X356" s="693"/>
      <c r="Y356" s="671"/>
      <c r="Z356" s="673"/>
      <c r="AA356" s="672"/>
      <c r="AB356" s="695"/>
      <c r="AC356" s="673"/>
      <c r="AD356" s="673"/>
      <c r="AE356" s="673"/>
      <c r="AF356" s="673"/>
      <c r="AG356" s="673"/>
      <c r="AH356" s="673"/>
      <c r="AI356" s="673"/>
      <c r="AJ356" s="673"/>
      <c r="AK356" s="673"/>
      <c r="AL356" s="673"/>
      <c r="AM356" s="673"/>
      <c r="AN356" s="673"/>
      <c r="AO356" s="673"/>
      <c r="AP356" s="673"/>
      <c r="AQ356" s="673"/>
      <c r="AR356" s="673"/>
      <c r="AS356" s="673"/>
      <c r="AT356" s="696"/>
    </row>
    <row r="357" ht="15.75" customHeight="1">
      <c r="A357" s="653"/>
      <c r="B357" s="654"/>
      <c r="C357" s="691"/>
      <c r="D357" s="656"/>
      <c r="E357" s="657"/>
      <c r="F357" s="658"/>
      <c r="G357" s="659"/>
      <c r="H357" s="660"/>
      <c r="I357" s="659"/>
      <c r="J357" s="661"/>
      <c r="K357" s="692"/>
      <c r="L357" s="645"/>
      <c r="M357" s="663"/>
      <c r="N357" s="665"/>
      <c r="O357" s="665"/>
      <c r="P357" s="666"/>
      <c r="Q357" s="667"/>
      <c r="R357" s="668"/>
      <c r="S357" s="693"/>
      <c r="T357" s="694"/>
      <c r="U357" s="694"/>
      <c r="V357" s="693"/>
      <c r="W357" s="693"/>
      <c r="X357" s="693"/>
      <c r="Y357" s="671"/>
      <c r="Z357" s="673"/>
      <c r="AA357" s="672"/>
      <c r="AB357" s="695"/>
      <c r="AC357" s="673"/>
      <c r="AD357" s="673"/>
      <c r="AE357" s="673"/>
      <c r="AF357" s="673"/>
      <c r="AG357" s="673"/>
      <c r="AH357" s="673"/>
      <c r="AI357" s="673"/>
      <c r="AJ357" s="673"/>
      <c r="AK357" s="673"/>
      <c r="AL357" s="673"/>
      <c r="AM357" s="673"/>
      <c r="AN357" s="673"/>
      <c r="AO357" s="673"/>
      <c r="AP357" s="673"/>
      <c r="AQ357" s="673"/>
      <c r="AR357" s="673"/>
      <c r="AS357" s="673"/>
      <c r="AT357" s="696"/>
    </row>
    <row r="358" ht="15.75" customHeight="1">
      <c r="A358" s="653"/>
      <c r="B358" s="654"/>
      <c r="C358" s="691"/>
      <c r="D358" s="656"/>
      <c r="E358" s="657"/>
      <c r="F358" s="658"/>
      <c r="G358" s="659"/>
      <c r="H358" s="660"/>
      <c r="I358" s="659"/>
      <c r="J358" s="661"/>
      <c r="K358" s="692"/>
      <c r="L358" s="645"/>
      <c r="M358" s="663"/>
      <c r="N358" s="665"/>
      <c r="O358" s="665"/>
      <c r="P358" s="666"/>
      <c r="Q358" s="667"/>
      <c r="R358" s="668"/>
      <c r="S358" s="693"/>
      <c r="T358" s="694"/>
      <c r="U358" s="694"/>
      <c r="V358" s="693"/>
      <c r="W358" s="693"/>
      <c r="X358" s="693"/>
      <c r="Y358" s="671"/>
      <c r="Z358" s="673"/>
      <c r="AA358" s="672"/>
      <c r="AB358" s="695"/>
      <c r="AC358" s="673"/>
      <c r="AD358" s="673"/>
      <c r="AE358" s="673"/>
      <c r="AF358" s="673"/>
      <c r="AG358" s="673"/>
      <c r="AH358" s="673"/>
      <c r="AI358" s="673"/>
      <c r="AJ358" s="673"/>
      <c r="AK358" s="673"/>
      <c r="AL358" s="673"/>
      <c r="AM358" s="673"/>
      <c r="AN358" s="673"/>
      <c r="AO358" s="673"/>
      <c r="AP358" s="673"/>
      <c r="AQ358" s="673"/>
      <c r="AR358" s="673"/>
      <c r="AS358" s="673"/>
      <c r="AT358" s="696"/>
    </row>
    <row r="359" ht="15.75" customHeight="1">
      <c r="A359" s="653"/>
      <c r="B359" s="654"/>
      <c r="C359" s="691"/>
      <c r="D359" s="656"/>
      <c r="E359" s="657"/>
      <c r="F359" s="658"/>
      <c r="G359" s="659"/>
      <c r="H359" s="660"/>
      <c r="I359" s="659"/>
      <c r="J359" s="661"/>
      <c r="K359" s="692"/>
      <c r="L359" s="645"/>
      <c r="M359" s="663"/>
      <c r="N359" s="665"/>
      <c r="O359" s="665"/>
      <c r="P359" s="666"/>
      <c r="Q359" s="667"/>
      <c r="R359" s="668"/>
      <c r="S359" s="693"/>
      <c r="T359" s="694"/>
      <c r="U359" s="694"/>
      <c r="V359" s="693"/>
      <c r="W359" s="693"/>
      <c r="X359" s="693"/>
      <c r="Y359" s="671"/>
      <c r="Z359" s="673"/>
      <c r="AA359" s="672"/>
      <c r="AB359" s="695"/>
      <c r="AC359" s="673"/>
      <c r="AD359" s="673"/>
      <c r="AE359" s="673"/>
      <c r="AF359" s="673"/>
      <c r="AG359" s="673"/>
      <c r="AH359" s="673"/>
      <c r="AI359" s="673"/>
      <c r="AJ359" s="673"/>
      <c r="AK359" s="673"/>
      <c r="AL359" s="673"/>
      <c r="AM359" s="673"/>
      <c r="AN359" s="673"/>
      <c r="AO359" s="673"/>
      <c r="AP359" s="673"/>
      <c r="AQ359" s="673"/>
      <c r="AR359" s="673"/>
      <c r="AS359" s="673"/>
      <c r="AT359" s="696"/>
    </row>
    <row r="360" ht="15.75" customHeight="1">
      <c r="A360" s="653"/>
      <c r="B360" s="654"/>
      <c r="C360" s="691"/>
      <c r="D360" s="656"/>
      <c r="E360" s="657"/>
      <c r="F360" s="658"/>
      <c r="G360" s="659"/>
      <c r="H360" s="660"/>
      <c r="I360" s="659"/>
      <c r="J360" s="661"/>
      <c r="K360" s="692"/>
      <c r="L360" s="645"/>
      <c r="M360" s="663"/>
      <c r="N360" s="665"/>
      <c r="O360" s="665"/>
      <c r="P360" s="666"/>
      <c r="Q360" s="667"/>
      <c r="R360" s="668"/>
      <c r="S360" s="693"/>
      <c r="T360" s="694"/>
      <c r="U360" s="694"/>
      <c r="V360" s="693"/>
      <c r="W360" s="693"/>
      <c r="X360" s="693"/>
      <c r="Y360" s="671"/>
      <c r="Z360" s="673"/>
      <c r="AA360" s="672"/>
      <c r="AB360" s="695"/>
      <c r="AC360" s="673"/>
      <c r="AD360" s="673"/>
      <c r="AE360" s="673"/>
      <c r="AF360" s="673"/>
      <c r="AG360" s="673"/>
      <c r="AH360" s="673"/>
      <c r="AI360" s="673"/>
      <c r="AJ360" s="673"/>
      <c r="AK360" s="673"/>
      <c r="AL360" s="673"/>
      <c r="AM360" s="673"/>
      <c r="AN360" s="673"/>
      <c r="AO360" s="673"/>
      <c r="AP360" s="673"/>
      <c r="AQ360" s="673"/>
      <c r="AR360" s="673"/>
      <c r="AS360" s="673"/>
      <c r="AT360" s="696"/>
    </row>
    <row r="361" ht="15.75" customHeight="1">
      <c r="A361" s="653"/>
      <c r="B361" s="654"/>
      <c r="C361" s="691"/>
      <c r="D361" s="656"/>
      <c r="E361" s="657"/>
      <c r="F361" s="658"/>
      <c r="G361" s="659"/>
      <c r="H361" s="660"/>
      <c r="I361" s="659"/>
      <c r="J361" s="661"/>
      <c r="K361" s="692"/>
      <c r="L361" s="645"/>
      <c r="M361" s="663"/>
      <c r="N361" s="665"/>
      <c r="O361" s="665"/>
      <c r="P361" s="666"/>
      <c r="Q361" s="667"/>
      <c r="R361" s="668"/>
      <c r="S361" s="693"/>
      <c r="T361" s="694"/>
      <c r="U361" s="694"/>
      <c r="V361" s="693"/>
      <c r="W361" s="693"/>
      <c r="X361" s="693"/>
      <c r="Y361" s="671"/>
      <c r="Z361" s="673"/>
      <c r="AA361" s="672"/>
      <c r="AB361" s="695"/>
      <c r="AC361" s="673"/>
      <c r="AD361" s="673"/>
      <c r="AE361" s="673"/>
      <c r="AF361" s="673"/>
      <c r="AG361" s="673"/>
      <c r="AH361" s="673"/>
      <c r="AI361" s="673"/>
      <c r="AJ361" s="673"/>
      <c r="AK361" s="673"/>
      <c r="AL361" s="673"/>
      <c r="AM361" s="673"/>
      <c r="AN361" s="673"/>
      <c r="AO361" s="673"/>
      <c r="AP361" s="673"/>
      <c r="AQ361" s="673"/>
      <c r="AR361" s="673"/>
      <c r="AS361" s="673"/>
      <c r="AT361" s="696"/>
    </row>
    <row r="362" ht="15.75" customHeight="1">
      <c r="A362" s="653"/>
      <c r="B362" s="654"/>
      <c r="C362" s="691"/>
      <c r="D362" s="656"/>
      <c r="E362" s="657"/>
      <c r="F362" s="658"/>
      <c r="G362" s="659"/>
      <c r="H362" s="660"/>
      <c r="I362" s="659"/>
      <c r="J362" s="661"/>
      <c r="K362" s="692"/>
      <c r="L362" s="645"/>
      <c r="M362" s="663"/>
      <c r="N362" s="665"/>
      <c r="O362" s="665"/>
      <c r="P362" s="666"/>
      <c r="Q362" s="667"/>
      <c r="R362" s="668"/>
      <c r="S362" s="693"/>
      <c r="T362" s="694"/>
      <c r="U362" s="694"/>
      <c r="V362" s="693"/>
      <c r="W362" s="693"/>
      <c r="X362" s="693"/>
      <c r="Y362" s="671"/>
      <c r="Z362" s="673"/>
      <c r="AA362" s="672"/>
      <c r="AB362" s="695"/>
      <c r="AC362" s="673"/>
      <c r="AD362" s="673"/>
      <c r="AE362" s="673"/>
      <c r="AF362" s="673"/>
      <c r="AG362" s="673"/>
      <c r="AH362" s="673"/>
      <c r="AI362" s="673"/>
      <c r="AJ362" s="673"/>
      <c r="AK362" s="673"/>
      <c r="AL362" s="673"/>
      <c r="AM362" s="673"/>
      <c r="AN362" s="673"/>
      <c r="AO362" s="673"/>
      <c r="AP362" s="673"/>
      <c r="AQ362" s="673"/>
      <c r="AR362" s="673"/>
      <c r="AS362" s="673"/>
      <c r="AT362" s="696"/>
    </row>
    <row r="363" ht="15.75" customHeight="1">
      <c r="A363" s="653"/>
      <c r="B363" s="654"/>
      <c r="C363" s="691"/>
      <c r="D363" s="656"/>
      <c r="E363" s="657"/>
      <c r="F363" s="658"/>
      <c r="G363" s="659"/>
      <c r="H363" s="660"/>
      <c r="I363" s="659"/>
      <c r="J363" s="661"/>
      <c r="K363" s="692"/>
      <c r="L363" s="645"/>
      <c r="M363" s="663"/>
      <c r="N363" s="665"/>
      <c r="O363" s="665"/>
      <c r="P363" s="666"/>
      <c r="Q363" s="667"/>
      <c r="R363" s="668"/>
      <c r="S363" s="693"/>
      <c r="T363" s="694"/>
      <c r="U363" s="694"/>
      <c r="V363" s="693"/>
      <c r="W363" s="693"/>
      <c r="X363" s="693"/>
      <c r="Y363" s="671"/>
      <c r="Z363" s="673"/>
      <c r="AA363" s="672"/>
      <c r="AB363" s="695"/>
      <c r="AC363" s="673"/>
      <c r="AD363" s="673"/>
      <c r="AE363" s="673"/>
      <c r="AF363" s="673"/>
      <c r="AG363" s="673"/>
      <c r="AH363" s="673"/>
      <c r="AI363" s="673"/>
      <c r="AJ363" s="673"/>
      <c r="AK363" s="673"/>
      <c r="AL363" s="673"/>
      <c r="AM363" s="673"/>
      <c r="AN363" s="673"/>
      <c r="AO363" s="673"/>
      <c r="AP363" s="673"/>
      <c r="AQ363" s="673"/>
      <c r="AR363" s="673"/>
      <c r="AS363" s="673"/>
      <c r="AT363" s="696"/>
    </row>
    <row r="364" ht="15.75" customHeight="1">
      <c r="A364" s="653"/>
      <c r="B364" s="654"/>
      <c r="C364" s="691"/>
      <c r="D364" s="656"/>
      <c r="E364" s="657"/>
      <c r="F364" s="658"/>
      <c r="G364" s="659"/>
      <c r="H364" s="660"/>
      <c r="I364" s="659"/>
      <c r="J364" s="661"/>
      <c r="K364" s="692"/>
      <c r="L364" s="645"/>
      <c r="M364" s="663"/>
      <c r="N364" s="665"/>
      <c r="O364" s="665"/>
      <c r="P364" s="666"/>
      <c r="Q364" s="667"/>
      <c r="R364" s="668"/>
      <c r="S364" s="693"/>
      <c r="T364" s="694"/>
      <c r="U364" s="694"/>
      <c r="V364" s="693"/>
      <c r="W364" s="693"/>
      <c r="X364" s="693"/>
      <c r="Y364" s="671"/>
      <c r="Z364" s="673"/>
      <c r="AA364" s="672"/>
      <c r="AB364" s="695"/>
      <c r="AC364" s="673"/>
      <c r="AD364" s="673"/>
      <c r="AE364" s="673"/>
      <c r="AF364" s="673"/>
      <c r="AG364" s="673"/>
      <c r="AH364" s="673"/>
      <c r="AI364" s="673"/>
      <c r="AJ364" s="673"/>
      <c r="AK364" s="673"/>
      <c r="AL364" s="673"/>
      <c r="AM364" s="673"/>
      <c r="AN364" s="673"/>
      <c r="AO364" s="673"/>
      <c r="AP364" s="673"/>
      <c r="AQ364" s="673"/>
      <c r="AR364" s="673"/>
      <c r="AS364" s="673"/>
      <c r="AT364" s="696"/>
    </row>
    <row r="365" ht="15.75" customHeight="1">
      <c r="A365" s="653"/>
      <c r="B365" s="654"/>
      <c r="C365" s="691"/>
      <c r="D365" s="656"/>
      <c r="E365" s="657"/>
      <c r="F365" s="658"/>
      <c r="G365" s="659"/>
      <c r="H365" s="660"/>
      <c r="I365" s="659"/>
      <c r="J365" s="661"/>
      <c r="K365" s="692"/>
      <c r="L365" s="645"/>
      <c r="M365" s="663"/>
      <c r="N365" s="665"/>
      <c r="O365" s="665"/>
      <c r="P365" s="666"/>
      <c r="Q365" s="667"/>
      <c r="R365" s="668"/>
      <c r="S365" s="693"/>
      <c r="T365" s="694"/>
      <c r="U365" s="694"/>
      <c r="V365" s="693"/>
      <c r="W365" s="693"/>
      <c r="X365" s="693"/>
      <c r="Y365" s="671"/>
      <c r="Z365" s="673"/>
      <c r="AA365" s="672"/>
      <c r="AB365" s="695"/>
      <c r="AC365" s="673"/>
      <c r="AD365" s="673"/>
      <c r="AE365" s="673"/>
      <c r="AF365" s="673"/>
      <c r="AG365" s="673"/>
      <c r="AH365" s="673"/>
      <c r="AI365" s="673"/>
      <c r="AJ365" s="673"/>
      <c r="AK365" s="673"/>
      <c r="AL365" s="673"/>
      <c r="AM365" s="673"/>
      <c r="AN365" s="673"/>
      <c r="AO365" s="673"/>
      <c r="AP365" s="673"/>
      <c r="AQ365" s="673"/>
      <c r="AR365" s="673"/>
      <c r="AS365" s="673"/>
      <c r="AT365" s="696"/>
    </row>
    <row r="366" ht="15.75" customHeight="1">
      <c r="A366" s="653"/>
      <c r="B366" s="654"/>
      <c r="C366" s="691"/>
      <c r="D366" s="656"/>
      <c r="E366" s="657"/>
      <c r="F366" s="658"/>
      <c r="G366" s="659"/>
      <c r="H366" s="660"/>
      <c r="I366" s="659"/>
      <c r="J366" s="661"/>
      <c r="K366" s="692"/>
      <c r="L366" s="645"/>
      <c r="M366" s="663"/>
      <c r="N366" s="665"/>
      <c r="O366" s="665"/>
      <c r="P366" s="666"/>
      <c r="Q366" s="667"/>
      <c r="R366" s="668"/>
      <c r="S366" s="693"/>
      <c r="T366" s="694"/>
      <c r="U366" s="694"/>
      <c r="V366" s="693"/>
      <c r="W366" s="693"/>
      <c r="X366" s="693"/>
      <c r="Y366" s="671"/>
      <c r="Z366" s="673"/>
      <c r="AA366" s="672"/>
      <c r="AB366" s="695"/>
      <c r="AC366" s="673"/>
      <c r="AD366" s="673"/>
      <c r="AE366" s="673"/>
      <c r="AF366" s="673"/>
      <c r="AG366" s="673"/>
      <c r="AH366" s="673"/>
      <c r="AI366" s="673"/>
      <c r="AJ366" s="673"/>
      <c r="AK366" s="673"/>
      <c r="AL366" s="673"/>
      <c r="AM366" s="673"/>
      <c r="AN366" s="673"/>
      <c r="AO366" s="673"/>
      <c r="AP366" s="673"/>
      <c r="AQ366" s="673"/>
      <c r="AR366" s="673"/>
      <c r="AS366" s="673"/>
      <c r="AT366" s="696"/>
    </row>
    <row r="367" ht="15.75" customHeight="1">
      <c r="A367" s="653"/>
      <c r="B367" s="654"/>
      <c r="C367" s="691"/>
      <c r="D367" s="656"/>
      <c r="E367" s="657"/>
      <c r="F367" s="658"/>
      <c r="G367" s="659"/>
      <c r="H367" s="660"/>
      <c r="I367" s="659"/>
      <c r="J367" s="661"/>
      <c r="K367" s="692"/>
      <c r="L367" s="645"/>
      <c r="M367" s="663"/>
      <c r="N367" s="665"/>
      <c r="O367" s="665"/>
      <c r="P367" s="666"/>
      <c r="Q367" s="667"/>
      <c r="R367" s="668"/>
      <c r="S367" s="693"/>
      <c r="T367" s="694"/>
      <c r="U367" s="694"/>
      <c r="V367" s="693"/>
      <c r="W367" s="693"/>
      <c r="X367" s="693"/>
      <c r="Y367" s="671"/>
      <c r="Z367" s="673"/>
      <c r="AA367" s="672"/>
      <c r="AB367" s="695"/>
      <c r="AC367" s="673"/>
      <c r="AD367" s="673"/>
      <c r="AE367" s="673"/>
      <c r="AF367" s="673"/>
      <c r="AG367" s="673"/>
      <c r="AH367" s="673"/>
      <c r="AI367" s="673"/>
      <c r="AJ367" s="673"/>
      <c r="AK367" s="673"/>
      <c r="AL367" s="673"/>
      <c r="AM367" s="673"/>
      <c r="AN367" s="673"/>
      <c r="AO367" s="673"/>
      <c r="AP367" s="673"/>
      <c r="AQ367" s="673"/>
      <c r="AR367" s="673"/>
      <c r="AS367" s="673"/>
      <c r="AT367" s="696"/>
    </row>
    <row r="368" ht="15.75" customHeight="1">
      <c r="A368" s="653"/>
      <c r="B368" s="654"/>
      <c r="C368" s="691"/>
      <c r="D368" s="656"/>
      <c r="E368" s="657"/>
      <c r="F368" s="658"/>
      <c r="G368" s="659"/>
      <c r="H368" s="660"/>
      <c r="I368" s="659"/>
      <c r="J368" s="661"/>
      <c r="K368" s="692"/>
      <c r="L368" s="645"/>
      <c r="M368" s="663"/>
      <c r="N368" s="665"/>
      <c r="O368" s="665"/>
      <c r="P368" s="666"/>
      <c r="Q368" s="667"/>
      <c r="R368" s="668"/>
      <c r="S368" s="693"/>
      <c r="T368" s="694"/>
      <c r="U368" s="694"/>
      <c r="V368" s="693"/>
      <c r="W368" s="693"/>
      <c r="X368" s="693"/>
      <c r="Y368" s="671"/>
      <c r="Z368" s="673"/>
      <c r="AA368" s="672"/>
      <c r="AB368" s="695"/>
      <c r="AC368" s="673"/>
      <c r="AD368" s="673"/>
      <c r="AE368" s="673"/>
      <c r="AF368" s="673"/>
      <c r="AG368" s="673"/>
      <c r="AH368" s="673"/>
      <c r="AI368" s="673"/>
      <c r="AJ368" s="673"/>
      <c r="AK368" s="673"/>
      <c r="AL368" s="673"/>
      <c r="AM368" s="673"/>
      <c r="AN368" s="673"/>
      <c r="AO368" s="673"/>
      <c r="AP368" s="673"/>
      <c r="AQ368" s="673"/>
      <c r="AR368" s="673"/>
      <c r="AS368" s="673"/>
      <c r="AT368" s="696"/>
    </row>
    <row r="369" ht="15.75" customHeight="1">
      <c r="A369" s="653"/>
      <c r="B369" s="654"/>
      <c r="C369" s="691"/>
      <c r="D369" s="656"/>
      <c r="E369" s="657"/>
      <c r="F369" s="658"/>
      <c r="G369" s="659"/>
      <c r="H369" s="660"/>
      <c r="I369" s="659"/>
      <c r="J369" s="661"/>
      <c r="K369" s="692"/>
      <c r="L369" s="645"/>
      <c r="M369" s="663"/>
      <c r="N369" s="665"/>
      <c r="O369" s="665"/>
      <c r="P369" s="666"/>
      <c r="Q369" s="667"/>
      <c r="R369" s="668"/>
      <c r="S369" s="693"/>
      <c r="T369" s="694"/>
      <c r="U369" s="694"/>
      <c r="V369" s="693"/>
      <c r="W369" s="693"/>
      <c r="X369" s="693"/>
      <c r="Y369" s="671"/>
      <c r="Z369" s="673"/>
      <c r="AA369" s="672"/>
      <c r="AB369" s="695"/>
      <c r="AC369" s="673"/>
      <c r="AD369" s="673"/>
      <c r="AE369" s="673"/>
      <c r="AF369" s="673"/>
      <c r="AG369" s="673"/>
      <c r="AH369" s="673"/>
      <c r="AI369" s="673"/>
      <c r="AJ369" s="673"/>
      <c r="AK369" s="673"/>
      <c r="AL369" s="673"/>
      <c r="AM369" s="673"/>
      <c r="AN369" s="673"/>
      <c r="AO369" s="673"/>
      <c r="AP369" s="673"/>
      <c r="AQ369" s="673"/>
      <c r="AR369" s="673"/>
      <c r="AS369" s="673"/>
      <c r="AT369" s="696"/>
    </row>
    <row r="370" ht="15.75" customHeight="1">
      <c r="A370" s="653"/>
      <c r="B370" s="654"/>
      <c r="C370" s="691"/>
      <c r="D370" s="656"/>
      <c r="E370" s="657"/>
      <c r="F370" s="658"/>
      <c r="G370" s="659"/>
      <c r="H370" s="660"/>
      <c r="I370" s="659"/>
      <c r="J370" s="661"/>
      <c r="K370" s="692"/>
      <c r="L370" s="645"/>
      <c r="M370" s="663"/>
      <c r="N370" s="665"/>
      <c r="O370" s="665"/>
      <c r="P370" s="666"/>
      <c r="Q370" s="667"/>
      <c r="R370" s="668"/>
      <c r="S370" s="693"/>
      <c r="T370" s="694"/>
      <c r="U370" s="694"/>
      <c r="V370" s="693"/>
      <c r="W370" s="693"/>
      <c r="X370" s="693"/>
      <c r="Y370" s="671"/>
      <c r="Z370" s="673"/>
      <c r="AA370" s="672"/>
      <c r="AB370" s="695"/>
      <c r="AC370" s="673"/>
      <c r="AD370" s="673"/>
      <c r="AE370" s="673"/>
      <c r="AF370" s="673"/>
      <c r="AG370" s="673"/>
      <c r="AH370" s="673"/>
      <c r="AI370" s="673"/>
      <c r="AJ370" s="673"/>
      <c r="AK370" s="673"/>
      <c r="AL370" s="673"/>
      <c r="AM370" s="673"/>
      <c r="AN370" s="673"/>
      <c r="AO370" s="673"/>
      <c r="AP370" s="673"/>
      <c r="AQ370" s="673"/>
      <c r="AR370" s="673"/>
      <c r="AS370" s="673"/>
      <c r="AT370" s="696"/>
    </row>
    <row r="371" ht="15.75" customHeight="1">
      <c r="A371" s="653"/>
      <c r="B371" s="654"/>
      <c r="C371" s="691"/>
      <c r="D371" s="656"/>
      <c r="E371" s="657"/>
      <c r="F371" s="658"/>
      <c r="G371" s="659"/>
      <c r="H371" s="660"/>
      <c r="I371" s="659"/>
      <c r="J371" s="661"/>
      <c r="K371" s="692"/>
      <c r="L371" s="645"/>
      <c r="M371" s="663"/>
      <c r="N371" s="665"/>
      <c r="O371" s="665"/>
      <c r="P371" s="666"/>
      <c r="Q371" s="667"/>
      <c r="R371" s="668"/>
      <c r="S371" s="693"/>
      <c r="T371" s="694"/>
      <c r="U371" s="694"/>
      <c r="V371" s="693"/>
      <c r="W371" s="693"/>
      <c r="X371" s="693"/>
      <c r="Y371" s="671"/>
      <c r="Z371" s="673"/>
      <c r="AA371" s="672"/>
      <c r="AB371" s="695"/>
      <c r="AC371" s="673"/>
      <c r="AD371" s="673"/>
      <c r="AE371" s="673"/>
      <c r="AF371" s="673"/>
      <c r="AG371" s="673"/>
      <c r="AH371" s="673"/>
      <c r="AI371" s="673"/>
      <c r="AJ371" s="673"/>
      <c r="AK371" s="673"/>
      <c r="AL371" s="673"/>
      <c r="AM371" s="673"/>
      <c r="AN371" s="673"/>
      <c r="AO371" s="673"/>
      <c r="AP371" s="673"/>
      <c r="AQ371" s="673"/>
      <c r="AR371" s="673"/>
      <c r="AS371" s="673"/>
      <c r="AT371" s="696"/>
    </row>
    <row r="372" ht="15.75" customHeight="1">
      <c r="A372" s="653"/>
      <c r="B372" s="654"/>
      <c r="C372" s="691"/>
      <c r="D372" s="656"/>
      <c r="E372" s="657"/>
      <c r="F372" s="658"/>
      <c r="G372" s="659"/>
      <c r="H372" s="660"/>
      <c r="I372" s="659"/>
      <c r="J372" s="661"/>
      <c r="K372" s="692"/>
      <c r="L372" s="645"/>
      <c r="M372" s="663"/>
      <c r="N372" s="665"/>
      <c r="O372" s="665"/>
      <c r="P372" s="666"/>
      <c r="Q372" s="667"/>
      <c r="R372" s="668"/>
      <c r="S372" s="693"/>
      <c r="T372" s="694"/>
      <c r="U372" s="694"/>
      <c r="V372" s="693"/>
      <c r="W372" s="693"/>
      <c r="X372" s="693"/>
      <c r="Y372" s="671"/>
      <c r="Z372" s="673"/>
      <c r="AA372" s="672"/>
      <c r="AB372" s="695"/>
      <c r="AC372" s="673"/>
      <c r="AD372" s="673"/>
      <c r="AE372" s="673"/>
      <c r="AF372" s="673"/>
      <c r="AG372" s="673"/>
      <c r="AH372" s="673"/>
      <c r="AI372" s="673"/>
      <c r="AJ372" s="673"/>
      <c r="AK372" s="673"/>
      <c r="AL372" s="673"/>
      <c r="AM372" s="673"/>
      <c r="AN372" s="673"/>
      <c r="AO372" s="673"/>
      <c r="AP372" s="673"/>
      <c r="AQ372" s="673"/>
      <c r="AR372" s="673"/>
      <c r="AS372" s="673"/>
      <c r="AT372" s="696"/>
    </row>
    <row r="373" ht="15.75" customHeight="1">
      <c r="A373" s="653"/>
      <c r="B373" s="654"/>
      <c r="C373" s="691"/>
      <c r="D373" s="656"/>
      <c r="E373" s="657"/>
      <c r="F373" s="658"/>
      <c r="G373" s="659"/>
      <c r="H373" s="660"/>
      <c r="I373" s="659"/>
      <c r="J373" s="661"/>
      <c r="K373" s="692"/>
      <c r="L373" s="645"/>
      <c r="M373" s="663"/>
      <c r="N373" s="665"/>
      <c r="O373" s="665"/>
      <c r="P373" s="666"/>
      <c r="Q373" s="667"/>
      <c r="R373" s="668"/>
      <c r="S373" s="693"/>
      <c r="T373" s="694"/>
      <c r="U373" s="694"/>
      <c r="V373" s="693"/>
      <c r="W373" s="693"/>
      <c r="X373" s="693"/>
      <c r="Y373" s="671"/>
      <c r="Z373" s="673"/>
      <c r="AA373" s="672"/>
      <c r="AB373" s="695"/>
      <c r="AC373" s="673"/>
      <c r="AD373" s="673"/>
      <c r="AE373" s="673"/>
      <c r="AF373" s="673"/>
      <c r="AG373" s="673"/>
      <c r="AH373" s="673"/>
      <c r="AI373" s="673"/>
      <c r="AJ373" s="673"/>
      <c r="AK373" s="673"/>
      <c r="AL373" s="673"/>
      <c r="AM373" s="673"/>
      <c r="AN373" s="673"/>
      <c r="AO373" s="673"/>
      <c r="AP373" s="673"/>
      <c r="AQ373" s="673"/>
      <c r="AR373" s="673"/>
      <c r="AS373" s="673"/>
      <c r="AT373" s="696"/>
    </row>
    <row r="374" ht="15.75" customHeight="1">
      <c r="A374" s="653"/>
      <c r="B374" s="654"/>
      <c r="C374" s="691"/>
      <c r="D374" s="656"/>
      <c r="E374" s="657"/>
      <c r="F374" s="658"/>
      <c r="G374" s="659"/>
      <c r="H374" s="660"/>
      <c r="I374" s="659"/>
      <c r="J374" s="661"/>
      <c r="K374" s="692"/>
      <c r="L374" s="645"/>
      <c r="M374" s="663"/>
      <c r="N374" s="665"/>
      <c r="O374" s="665"/>
      <c r="P374" s="666"/>
      <c r="Q374" s="667"/>
      <c r="R374" s="668"/>
      <c r="S374" s="693"/>
      <c r="T374" s="694"/>
      <c r="U374" s="694"/>
      <c r="V374" s="693"/>
      <c r="W374" s="693"/>
      <c r="X374" s="693"/>
      <c r="Y374" s="671"/>
      <c r="Z374" s="673"/>
      <c r="AA374" s="672"/>
      <c r="AB374" s="695"/>
      <c r="AC374" s="673"/>
      <c r="AD374" s="673"/>
      <c r="AE374" s="673"/>
      <c r="AF374" s="673"/>
      <c r="AG374" s="673"/>
      <c r="AH374" s="673"/>
      <c r="AI374" s="673"/>
      <c r="AJ374" s="673"/>
      <c r="AK374" s="673"/>
      <c r="AL374" s="673"/>
      <c r="AM374" s="673"/>
      <c r="AN374" s="673"/>
      <c r="AO374" s="673"/>
      <c r="AP374" s="673"/>
      <c r="AQ374" s="673"/>
      <c r="AR374" s="673"/>
      <c r="AS374" s="673"/>
      <c r="AT374" s="696"/>
    </row>
    <row r="375" ht="15.75" customHeight="1">
      <c r="A375" s="653"/>
      <c r="B375" s="654"/>
      <c r="C375" s="691"/>
      <c r="D375" s="656"/>
      <c r="E375" s="657"/>
      <c r="F375" s="658"/>
      <c r="G375" s="659"/>
      <c r="H375" s="660"/>
      <c r="I375" s="659"/>
      <c r="J375" s="661"/>
      <c r="K375" s="692"/>
      <c r="L375" s="645"/>
      <c r="M375" s="663"/>
      <c r="N375" s="665"/>
      <c r="O375" s="665"/>
      <c r="P375" s="666"/>
      <c r="Q375" s="667"/>
      <c r="R375" s="668"/>
      <c r="S375" s="693"/>
      <c r="T375" s="694"/>
      <c r="U375" s="694"/>
      <c r="V375" s="693"/>
      <c r="W375" s="693"/>
      <c r="X375" s="693"/>
      <c r="Y375" s="671"/>
      <c r="Z375" s="673"/>
      <c r="AA375" s="672"/>
      <c r="AB375" s="695"/>
      <c r="AC375" s="673"/>
      <c r="AD375" s="673"/>
      <c r="AE375" s="673"/>
      <c r="AF375" s="673"/>
      <c r="AG375" s="673"/>
      <c r="AH375" s="673"/>
      <c r="AI375" s="673"/>
      <c r="AJ375" s="673"/>
      <c r="AK375" s="673"/>
      <c r="AL375" s="673"/>
      <c r="AM375" s="673"/>
      <c r="AN375" s="673"/>
      <c r="AO375" s="673"/>
      <c r="AP375" s="673"/>
      <c r="AQ375" s="673"/>
      <c r="AR375" s="673"/>
      <c r="AS375" s="673"/>
      <c r="AT375" s="696"/>
    </row>
    <row r="376" ht="15.75" customHeight="1">
      <c r="A376" s="653"/>
      <c r="B376" s="654"/>
      <c r="C376" s="691"/>
      <c r="D376" s="656"/>
      <c r="E376" s="657"/>
      <c r="F376" s="658"/>
      <c r="G376" s="659"/>
      <c r="H376" s="660"/>
      <c r="I376" s="659"/>
      <c r="J376" s="661"/>
      <c r="K376" s="692"/>
      <c r="L376" s="645"/>
      <c r="M376" s="663"/>
      <c r="N376" s="665"/>
      <c r="O376" s="665"/>
      <c r="P376" s="666"/>
      <c r="Q376" s="667"/>
      <c r="R376" s="668"/>
      <c r="S376" s="693"/>
      <c r="T376" s="694"/>
      <c r="U376" s="694"/>
      <c r="V376" s="693"/>
      <c r="W376" s="693"/>
      <c r="X376" s="693"/>
      <c r="Y376" s="671"/>
      <c r="Z376" s="673"/>
      <c r="AA376" s="672"/>
      <c r="AB376" s="695"/>
      <c r="AC376" s="673"/>
      <c r="AD376" s="673"/>
      <c r="AE376" s="673"/>
      <c r="AF376" s="673"/>
      <c r="AG376" s="673"/>
      <c r="AH376" s="673"/>
      <c r="AI376" s="673"/>
      <c r="AJ376" s="673"/>
      <c r="AK376" s="673"/>
      <c r="AL376" s="673"/>
      <c r="AM376" s="673"/>
      <c r="AN376" s="673"/>
      <c r="AO376" s="673"/>
      <c r="AP376" s="673"/>
      <c r="AQ376" s="673"/>
      <c r="AR376" s="673"/>
      <c r="AS376" s="673"/>
      <c r="AT376" s="696"/>
    </row>
    <row r="377" ht="15.75" customHeight="1">
      <c r="A377" s="653"/>
      <c r="B377" s="654"/>
      <c r="C377" s="691"/>
      <c r="D377" s="656"/>
      <c r="E377" s="657"/>
      <c r="F377" s="658"/>
      <c r="G377" s="659"/>
      <c r="H377" s="660"/>
      <c r="I377" s="659"/>
      <c r="J377" s="661"/>
      <c r="K377" s="692"/>
      <c r="L377" s="645"/>
      <c r="M377" s="663"/>
      <c r="N377" s="665"/>
      <c r="O377" s="665"/>
      <c r="P377" s="666"/>
      <c r="Q377" s="667"/>
      <c r="R377" s="668"/>
      <c r="S377" s="693"/>
      <c r="T377" s="694"/>
      <c r="U377" s="694"/>
      <c r="V377" s="693"/>
      <c r="W377" s="693"/>
      <c r="X377" s="693"/>
      <c r="Y377" s="671"/>
      <c r="Z377" s="673"/>
      <c r="AA377" s="672"/>
      <c r="AB377" s="695"/>
      <c r="AC377" s="673"/>
      <c r="AD377" s="673"/>
      <c r="AE377" s="673"/>
      <c r="AF377" s="673"/>
      <c r="AG377" s="673"/>
      <c r="AH377" s="673"/>
      <c r="AI377" s="673"/>
      <c r="AJ377" s="673"/>
      <c r="AK377" s="673"/>
      <c r="AL377" s="673"/>
      <c r="AM377" s="673"/>
      <c r="AN377" s="673"/>
      <c r="AO377" s="673"/>
      <c r="AP377" s="673"/>
      <c r="AQ377" s="673"/>
      <c r="AR377" s="673"/>
      <c r="AS377" s="673"/>
      <c r="AT377" s="696"/>
    </row>
    <row r="378" ht="15.75" customHeight="1">
      <c r="A378" s="653"/>
      <c r="B378" s="654"/>
      <c r="C378" s="691"/>
      <c r="D378" s="656"/>
      <c r="E378" s="657"/>
      <c r="F378" s="658"/>
      <c r="G378" s="659"/>
      <c r="H378" s="660"/>
      <c r="I378" s="659"/>
      <c r="J378" s="661"/>
      <c r="K378" s="692"/>
      <c r="L378" s="645"/>
      <c r="M378" s="663"/>
      <c r="N378" s="665"/>
      <c r="O378" s="665"/>
      <c r="P378" s="666"/>
      <c r="Q378" s="667"/>
      <c r="R378" s="668"/>
      <c r="S378" s="693"/>
      <c r="T378" s="694"/>
      <c r="U378" s="694"/>
      <c r="V378" s="693"/>
      <c r="W378" s="693"/>
      <c r="X378" s="693"/>
      <c r="Y378" s="671"/>
      <c r="Z378" s="673"/>
      <c r="AA378" s="672"/>
      <c r="AB378" s="695"/>
      <c r="AC378" s="673"/>
      <c r="AD378" s="673"/>
      <c r="AE378" s="673"/>
      <c r="AF378" s="673"/>
      <c r="AG378" s="673"/>
      <c r="AH378" s="673"/>
      <c r="AI378" s="673"/>
      <c r="AJ378" s="673"/>
      <c r="AK378" s="673"/>
      <c r="AL378" s="673"/>
      <c r="AM378" s="673"/>
      <c r="AN378" s="673"/>
      <c r="AO378" s="673"/>
      <c r="AP378" s="673"/>
      <c r="AQ378" s="673"/>
      <c r="AR378" s="673"/>
      <c r="AS378" s="673"/>
      <c r="AT378" s="696"/>
    </row>
    <row r="379" ht="15.75" customHeight="1">
      <c r="A379" s="653"/>
      <c r="B379" s="654"/>
      <c r="C379" s="691"/>
      <c r="D379" s="656"/>
      <c r="E379" s="657"/>
      <c r="F379" s="658"/>
      <c r="G379" s="659"/>
      <c r="H379" s="660"/>
      <c r="I379" s="659"/>
      <c r="J379" s="661"/>
      <c r="K379" s="692"/>
      <c r="L379" s="645"/>
      <c r="M379" s="663"/>
      <c r="N379" s="665"/>
      <c r="O379" s="665"/>
      <c r="P379" s="666"/>
      <c r="Q379" s="667"/>
      <c r="R379" s="668"/>
      <c r="S379" s="693"/>
      <c r="T379" s="694"/>
      <c r="U379" s="694"/>
      <c r="V379" s="693"/>
      <c r="W379" s="693"/>
      <c r="X379" s="693"/>
      <c r="Y379" s="671"/>
      <c r="Z379" s="673"/>
      <c r="AA379" s="672"/>
      <c r="AB379" s="695"/>
      <c r="AC379" s="673"/>
      <c r="AD379" s="673"/>
      <c r="AE379" s="673"/>
      <c r="AF379" s="673"/>
      <c r="AG379" s="673"/>
      <c r="AH379" s="673"/>
      <c r="AI379" s="673"/>
      <c r="AJ379" s="673"/>
      <c r="AK379" s="673"/>
      <c r="AL379" s="673"/>
      <c r="AM379" s="673"/>
      <c r="AN379" s="673"/>
      <c r="AO379" s="673"/>
      <c r="AP379" s="673"/>
      <c r="AQ379" s="673"/>
      <c r="AR379" s="673"/>
      <c r="AS379" s="673"/>
      <c r="AT379" s="696"/>
    </row>
    <row r="380" ht="15.75" customHeight="1">
      <c r="A380" s="653"/>
      <c r="B380" s="654"/>
      <c r="C380" s="691"/>
      <c r="D380" s="656"/>
      <c r="E380" s="657"/>
      <c r="F380" s="658"/>
      <c r="G380" s="659"/>
      <c r="H380" s="660"/>
      <c r="I380" s="659"/>
      <c r="J380" s="661"/>
      <c r="K380" s="692"/>
      <c r="L380" s="645"/>
      <c r="M380" s="663"/>
      <c r="N380" s="665"/>
      <c r="O380" s="665"/>
      <c r="P380" s="666"/>
      <c r="Q380" s="667"/>
      <c r="R380" s="668"/>
      <c r="S380" s="693"/>
      <c r="T380" s="694"/>
      <c r="U380" s="694"/>
      <c r="V380" s="693"/>
      <c r="W380" s="693"/>
      <c r="X380" s="693"/>
      <c r="Y380" s="671"/>
      <c r="Z380" s="673"/>
      <c r="AA380" s="672"/>
      <c r="AB380" s="695"/>
      <c r="AC380" s="673"/>
      <c r="AD380" s="673"/>
      <c r="AE380" s="673"/>
      <c r="AF380" s="673"/>
      <c r="AG380" s="673"/>
      <c r="AH380" s="673"/>
      <c r="AI380" s="673"/>
      <c r="AJ380" s="673"/>
      <c r="AK380" s="673"/>
      <c r="AL380" s="673"/>
      <c r="AM380" s="673"/>
      <c r="AN380" s="673"/>
      <c r="AO380" s="673"/>
      <c r="AP380" s="673"/>
      <c r="AQ380" s="673"/>
      <c r="AR380" s="673"/>
      <c r="AS380" s="673"/>
      <c r="AT380" s="696"/>
    </row>
    <row r="381" ht="15.75" customHeight="1">
      <c r="A381" s="653"/>
      <c r="B381" s="654"/>
      <c r="C381" s="691"/>
      <c r="D381" s="656"/>
      <c r="E381" s="657"/>
      <c r="F381" s="658"/>
      <c r="G381" s="659"/>
      <c r="H381" s="660"/>
      <c r="I381" s="659"/>
      <c r="J381" s="661"/>
      <c r="K381" s="692"/>
      <c r="L381" s="645"/>
      <c r="M381" s="663"/>
      <c r="N381" s="665"/>
      <c r="O381" s="665"/>
      <c r="P381" s="666"/>
      <c r="Q381" s="667"/>
      <c r="R381" s="668"/>
      <c r="S381" s="693"/>
      <c r="T381" s="694"/>
      <c r="U381" s="694"/>
      <c r="V381" s="693"/>
      <c r="W381" s="693"/>
      <c r="X381" s="693"/>
      <c r="Y381" s="671"/>
      <c r="Z381" s="673"/>
      <c r="AA381" s="672"/>
      <c r="AB381" s="695"/>
      <c r="AC381" s="673"/>
      <c r="AD381" s="673"/>
      <c r="AE381" s="673"/>
      <c r="AF381" s="673"/>
      <c r="AG381" s="673"/>
      <c r="AH381" s="673"/>
      <c r="AI381" s="673"/>
      <c r="AJ381" s="673"/>
      <c r="AK381" s="673"/>
      <c r="AL381" s="673"/>
      <c r="AM381" s="673"/>
      <c r="AN381" s="673"/>
      <c r="AO381" s="673"/>
      <c r="AP381" s="673"/>
      <c r="AQ381" s="673"/>
      <c r="AR381" s="673"/>
      <c r="AS381" s="673"/>
      <c r="AT381" s="696"/>
    </row>
    <row r="382" ht="15.75" customHeight="1">
      <c r="A382" s="653"/>
      <c r="B382" s="654"/>
      <c r="C382" s="691"/>
      <c r="D382" s="656"/>
      <c r="E382" s="657"/>
      <c r="F382" s="658"/>
      <c r="G382" s="659"/>
      <c r="H382" s="660"/>
      <c r="I382" s="659"/>
      <c r="J382" s="661"/>
      <c r="K382" s="692"/>
      <c r="L382" s="645"/>
      <c r="M382" s="663"/>
      <c r="N382" s="665"/>
      <c r="O382" s="665"/>
      <c r="P382" s="666"/>
      <c r="Q382" s="667"/>
      <c r="R382" s="668"/>
      <c r="S382" s="693"/>
      <c r="T382" s="694"/>
      <c r="U382" s="694"/>
      <c r="V382" s="693"/>
      <c r="W382" s="693"/>
      <c r="X382" s="693"/>
      <c r="Y382" s="671"/>
      <c r="Z382" s="673"/>
      <c r="AA382" s="672"/>
      <c r="AB382" s="695"/>
      <c r="AC382" s="673"/>
      <c r="AD382" s="673"/>
      <c r="AE382" s="673"/>
      <c r="AF382" s="673"/>
      <c r="AG382" s="673"/>
      <c r="AH382" s="673"/>
      <c r="AI382" s="673"/>
      <c r="AJ382" s="673"/>
      <c r="AK382" s="673"/>
      <c r="AL382" s="673"/>
      <c r="AM382" s="673"/>
      <c r="AN382" s="673"/>
      <c r="AO382" s="673"/>
      <c r="AP382" s="673"/>
      <c r="AQ382" s="673"/>
      <c r="AR382" s="673"/>
      <c r="AS382" s="673"/>
      <c r="AT382" s="696"/>
    </row>
    <row r="383" ht="15.75" customHeight="1">
      <c r="A383" s="653"/>
      <c r="B383" s="654"/>
      <c r="C383" s="691"/>
      <c r="D383" s="656"/>
      <c r="E383" s="657"/>
      <c r="F383" s="658"/>
      <c r="G383" s="659"/>
      <c r="H383" s="660"/>
      <c r="I383" s="659"/>
      <c r="J383" s="661"/>
      <c r="K383" s="692"/>
      <c r="L383" s="645"/>
      <c r="M383" s="663"/>
      <c r="N383" s="665"/>
      <c r="O383" s="665"/>
      <c r="P383" s="666"/>
      <c r="Q383" s="667"/>
      <c r="R383" s="668"/>
      <c r="S383" s="693"/>
      <c r="T383" s="694"/>
      <c r="U383" s="694"/>
      <c r="V383" s="693"/>
      <c r="W383" s="693"/>
      <c r="X383" s="693"/>
      <c r="Y383" s="671"/>
      <c r="Z383" s="673"/>
      <c r="AA383" s="672"/>
      <c r="AB383" s="695"/>
      <c r="AC383" s="673"/>
      <c r="AD383" s="673"/>
      <c r="AE383" s="673"/>
      <c r="AF383" s="673"/>
      <c r="AG383" s="673"/>
      <c r="AH383" s="673"/>
      <c r="AI383" s="673"/>
      <c r="AJ383" s="673"/>
      <c r="AK383" s="673"/>
      <c r="AL383" s="673"/>
      <c r="AM383" s="673"/>
      <c r="AN383" s="673"/>
      <c r="AO383" s="673"/>
      <c r="AP383" s="673"/>
      <c r="AQ383" s="673"/>
      <c r="AR383" s="673"/>
      <c r="AS383" s="673"/>
      <c r="AT383" s="696"/>
    </row>
    <row r="384" ht="15.75" customHeight="1">
      <c r="A384" s="653"/>
      <c r="B384" s="654"/>
      <c r="C384" s="691"/>
      <c r="D384" s="656"/>
      <c r="E384" s="657"/>
      <c r="F384" s="658"/>
      <c r="G384" s="659"/>
      <c r="H384" s="660"/>
      <c r="I384" s="659"/>
      <c r="J384" s="661"/>
      <c r="K384" s="692"/>
      <c r="L384" s="645"/>
      <c r="M384" s="663"/>
      <c r="N384" s="665"/>
      <c r="O384" s="665"/>
      <c r="P384" s="666"/>
      <c r="Q384" s="667"/>
      <c r="R384" s="668"/>
      <c r="S384" s="693"/>
      <c r="T384" s="694"/>
      <c r="U384" s="694"/>
      <c r="V384" s="693"/>
      <c r="W384" s="693"/>
      <c r="X384" s="693"/>
      <c r="Y384" s="671"/>
      <c r="Z384" s="673"/>
      <c r="AA384" s="672"/>
      <c r="AB384" s="695"/>
      <c r="AC384" s="673"/>
      <c r="AD384" s="673"/>
      <c r="AE384" s="673"/>
      <c r="AF384" s="673"/>
      <c r="AG384" s="673"/>
      <c r="AH384" s="673"/>
      <c r="AI384" s="673"/>
      <c r="AJ384" s="673"/>
      <c r="AK384" s="673"/>
      <c r="AL384" s="673"/>
      <c r="AM384" s="673"/>
      <c r="AN384" s="673"/>
      <c r="AO384" s="673"/>
      <c r="AP384" s="673"/>
      <c r="AQ384" s="673"/>
      <c r="AR384" s="673"/>
      <c r="AS384" s="673"/>
      <c r="AT384" s="696"/>
    </row>
    <row r="385" ht="15.75" customHeight="1">
      <c r="A385" s="653"/>
      <c r="B385" s="654"/>
      <c r="C385" s="691"/>
      <c r="D385" s="656"/>
      <c r="E385" s="657"/>
      <c r="F385" s="658"/>
      <c r="G385" s="659"/>
      <c r="H385" s="660"/>
      <c r="I385" s="659"/>
      <c r="J385" s="661"/>
      <c r="K385" s="692"/>
      <c r="L385" s="645"/>
      <c r="M385" s="663"/>
      <c r="N385" s="665"/>
      <c r="O385" s="665"/>
      <c r="P385" s="666"/>
      <c r="Q385" s="667"/>
      <c r="R385" s="668"/>
      <c r="S385" s="693"/>
      <c r="T385" s="694"/>
      <c r="U385" s="694"/>
      <c r="V385" s="693"/>
      <c r="W385" s="693"/>
      <c r="X385" s="693"/>
      <c r="Y385" s="671"/>
      <c r="Z385" s="673"/>
      <c r="AA385" s="672"/>
      <c r="AB385" s="695"/>
      <c r="AC385" s="673"/>
      <c r="AD385" s="673"/>
      <c r="AE385" s="673"/>
      <c r="AF385" s="673"/>
      <c r="AG385" s="673"/>
      <c r="AH385" s="673"/>
      <c r="AI385" s="673"/>
      <c r="AJ385" s="673"/>
      <c r="AK385" s="673"/>
      <c r="AL385" s="673"/>
      <c r="AM385" s="673"/>
      <c r="AN385" s="673"/>
      <c r="AO385" s="673"/>
      <c r="AP385" s="673"/>
      <c r="AQ385" s="673"/>
      <c r="AR385" s="673"/>
      <c r="AS385" s="673"/>
      <c r="AT385" s="696"/>
    </row>
    <row r="386" ht="15.75" customHeight="1">
      <c r="A386" s="653"/>
      <c r="B386" s="654"/>
      <c r="C386" s="691"/>
      <c r="D386" s="656"/>
      <c r="E386" s="657"/>
      <c r="F386" s="658"/>
      <c r="G386" s="659"/>
      <c r="H386" s="660"/>
      <c r="I386" s="659"/>
      <c r="J386" s="661"/>
      <c r="K386" s="692"/>
      <c r="L386" s="645"/>
      <c r="M386" s="663"/>
      <c r="N386" s="665"/>
      <c r="O386" s="665"/>
      <c r="P386" s="666"/>
      <c r="Q386" s="667"/>
      <c r="R386" s="668"/>
      <c r="S386" s="693"/>
      <c r="T386" s="694"/>
      <c r="U386" s="694"/>
      <c r="V386" s="693"/>
      <c r="W386" s="693"/>
      <c r="X386" s="693"/>
      <c r="Y386" s="671"/>
      <c r="Z386" s="673"/>
      <c r="AA386" s="672"/>
      <c r="AB386" s="695"/>
      <c r="AC386" s="673"/>
      <c r="AD386" s="673"/>
      <c r="AE386" s="673"/>
      <c r="AF386" s="673"/>
      <c r="AG386" s="673"/>
      <c r="AH386" s="673"/>
      <c r="AI386" s="673"/>
      <c r="AJ386" s="673"/>
      <c r="AK386" s="673"/>
      <c r="AL386" s="673"/>
      <c r="AM386" s="673"/>
      <c r="AN386" s="673"/>
      <c r="AO386" s="673"/>
      <c r="AP386" s="673"/>
      <c r="AQ386" s="673"/>
      <c r="AR386" s="673"/>
      <c r="AS386" s="673"/>
      <c r="AT386" s="696"/>
    </row>
    <row r="387" ht="15.75" customHeight="1">
      <c r="A387" s="653"/>
      <c r="B387" s="654"/>
      <c r="C387" s="691"/>
      <c r="D387" s="656"/>
      <c r="E387" s="657"/>
      <c r="F387" s="658"/>
      <c r="G387" s="659"/>
      <c r="H387" s="660"/>
      <c r="I387" s="659"/>
      <c r="J387" s="661"/>
      <c r="K387" s="692"/>
      <c r="L387" s="645"/>
      <c r="M387" s="663"/>
      <c r="N387" s="665"/>
      <c r="O387" s="665"/>
      <c r="P387" s="666"/>
      <c r="Q387" s="667"/>
      <c r="R387" s="668"/>
      <c r="S387" s="693"/>
      <c r="T387" s="694"/>
      <c r="U387" s="694"/>
      <c r="V387" s="693"/>
      <c r="W387" s="693"/>
      <c r="X387" s="693"/>
      <c r="Y387" s="671"/>
      <c r="Z387" s="673"/>
      <c r="AA387" s="672"/>
      <c r="AB387" s="695"/>
      <c r="AC387" s="673"/>
      <c r="AD387" s="673"/>
      <c r="AE387" s="673"/>
      <c r="AF387" s="673"/>
      <c r="AG387" s="673"/>
      <c r="AH387" s="673"/>
      <c r="AI387" s="673"/>
      <c r="AJ387" s="673"/>
      <c r="AK387" s="673"/>
      <c r="AL387" s="673"/>
      <c r="AM387" s="673"/>
      <c r="AN387" s="673"/>
      <c r="AO387" s="673"/>
      <c r="AP387" s="673"/>
      <c r="AQ387" s="673"/>
      <c r="AR387" s="673"/>
      <c r="AS387" s="673"/>
      <c r="AT387" s="696"/>
    </row>
    <row r="388" ht="15.75" customHeight="1">
      <c r="A388" s="653"/>
      <c r="B388" s="654"/>
      <c r="C388" s="691"/>
      <c r="D388" s="656"/>
      <c r="E388" s="657"/>
      <c r="F388" s="658"/>
      <c r="G388" s="659"/>
      <c r="H388" s="660"/>
      <c r="I388" s="659"/>
      <c r="J388" s="661"/>
      <c r="K388" s="692"/>
      <c r="L388" s="645"/>
      <c r="M388" s="663"/>
      <c r="N388" s="665"/>
      <c r="O388" s="665"/>
      <c r="P388" s="666"/>
      <c r="Q388" s="667"/>
      <c r="R388" s="668"/>
      <c r="S388" s="693"/>
      <c r="T388" s="694"/>
      <c r="U388" s="694"/>
      <c r="V388" s="693"/>
      <c r="W388" s="693"/>
      <c r="X388" s="693"/>
      <c r="Y388" s="671"/>
      <c r="Z388" s="673"/>
      <c r="AA388" s="672"/>
      <c r="AB388" s="695"/>
      <c r="AC388" s="673"/>
      <c r="AD388" s="673"/>
      <c r="AE388" s="673"/>
      <c r="AF388" s="673"/>
      <c r="AG388" s="673"/>
      <c r="AH388" s="673"/>
      <c r="AI388" s="673"/>
      <c r="AJ388" s="673"/>
      <c r="AK388" s="673"/>
      <c r="AL388" s="673"/>
      <c r="AM388" s="673"/>
      <c r="AN388" s="673"/>
      <c r="AO388" s="673"/>
      <c r="AP388" s="673"/>
      <c r="AQ388" s="673"/>
      <c r="AR388" s="673"/>
      <c r="AS388" s="673"/>
      <c r="AT388" s="696"/>
    </row>
    <row r="389" ht="15.75" customHeight="1">
      <c r="A389" s="653"/>
      <c r="B389" s="654"/>
      <c r="C389" s="691"/>
      <c r="D389" s="656"/>
      <c r="E389" s="657"/>
      <c r="F389" s="658"/>
      <c r="G389" s="659"/>
      <c r="H389" s="660"/>
      <c r="I389" s="659"/>
      <c r="J389" s="661"/>
      <c r="K389" s="692"/>
      <c r="L389" s="645"/>
      <c r="M389" s="663"/>
      <c r="N389" s="665"/>
      <c r="O389" s="665"/>
      <c r="P389" s="666"/>
      <c r="Q389" s="667"/>
      <c r="R389" s="668"/>
      <c r="S389" s="693"/>
      <c r="T389" s="694"/>
      <c r="U389" s="694"/>
      <c r="V389" s="693"/>
      <c r="W389" s="693"/>
      <c r="X389" s="693"/>
      <c r="Y389" s="671"/>
      <c r="Z389" s="673"/>
      <c r="AA389" s="672"/>
      <c r="AB389" s="695"/>
      <c r="AC389" s="673"/>
      <c r="AD389" s="673"/>
      <c r="AE389" s="673"/>
      <c r="AF389" s="673"/>
      <c r="AG389" s="673"/>
      <c r="AH389" s="673"/>
      <c r="AI389" s="673"/>
      <c r="AJ389" s="673"/>
      <c r="AK389" s="673"/>
      <c r="AL389" s="673"/>
      <c r="AM389" s="673"/>
      <c r="AN389" s="673"/>
      <c r="AO389" s="673"/>
      <c r="AP389" s="673"/>
      <c r="AQ389" s="673"/>
      <c r="AR389" s="673"/>
      <c r="AS389" s="673"/>
      <c r="AT389" s="696"/>
    </row>
    <row r="390" ht="15.75" customHeight="1">
      <c r="A390" s="653"/>
      <c r="B390" s="654"/>
      <c r="C390" s="691"/>
      <c r="D390" s="656"/>
      <c r="E390" s="657"/>
      <c r="F390" s="658"/>
      <c r="G390" s="659"/>
      <c r="H390" s="660"/>
      <c r="I390" s="659"/>
      <c r="J390" s="661"/>
      <c r="K390" s="692"/>
      <c r="L390" s="645"/>
      <c r="M390" s="663"/>
      <c r="N390" s="665"/>
      <c r="O390" s="665"/>
      <c r="P390" s="666"/>
      <c r="Q390" s="667"/>
      <c r="R390" s="668"/>
      <c r="S390" s="693"/>
      <c r="T390" s="694"/>
      <c r="U390" s="694"/>
      <c r="V390" s="693"/>
      <c r="W390" s="693"/>
      <c r="X390" s="693"/>
      <c r="Y390" s="671"/>
      <c r="Z390" s="673"/>
      <c r="AA390" s="672"/>
      <c r="AB390" s="695"/>
      <c r="AC390" s="673"/>
      <c r="AD390" s="673"/>
      <c r="AE390" s="673"/>
      <c r="AF390" s="673"/>
      <c r="AG390" s="673"/>
      <c r="AH390" s="673"/>
      <c r="AI390" s="673"/>
      <c r="AJ390" s="673"/>
      <c r="AK390" s="673"/>
      <c r="AL390" s="673"/>
      <c r="AM390" s="673"/>
      <c r="AN390" s="673"/>
      <c r="AO390" s="673"/>
      <c r="AP390" s="673"/>
      <c r="AQ390" s="673"/>
      <c r="AR390" s="673"/>
      <c r="AS390" s="673"/>
      <c r="AT390" s="696"/>
    </row>
    <row r="391" ht="15.75" customHeight="1">
      <c r="A391" s="653"/>
      <c r="B391" s="654"/>
      <c r="C391" s="691"/>
      <c r="D391" s="656"/>
      <c r="E391" s="657"/>
      <c r="F391" s="658"/>
      <c r="G391" s="659"/>
      <c r="H391" s="660"/>
      <c r="I391" s="659"/>
      <c r="J391" s="661"/>
      <c r="K391" s="692"/>
      <c r="L391" s="645"/>
      <c r="M391" s="663"/>
      <c r="N391" s="665"/>
      <c r="O391" s="665"/>
      <c r="P391" s="666"/>
      <c r="Q391" s="667"/>
      <c r="R391" s="668"/>
      <c r="S391" s="693"/>
      <c r="T391" s="694"/>
      <c r="U391" s="694"/>
      <c r="V391" s="693"/>
      <c r="W391" s="693"/>
      <c r="X391" s="693"/>
      <c r="Y391" s="671"/>
      <c r="Z391" s="673"/>
      <c r="AA391" s="672"/>
      <c r="AB391" s="695"/>
      <c r="AC391" s="673"/>
      <c r="AD391" s="673"/>
      <c r="AE391" s="673"/>
      <c r="AF391" s="673"/>
      <c r="AG391" s="673"/>
      <c r="AH391" s="673"/>
      <c r="AI391" s="673"/>
      <c r="AJ391" s="673"/>
      <c r="AK391" s="673"/>
      <c r="AL391" s="673"/>
      <c r="AM391" s="673"/>
      <c r="AN391" s="673"/>
      <c r="AO391" s="673"/>
      <c r="AP391" s="673"/>
      <c r="AQ391" s="673"/>
      <c r="AR391" s="673"/>
      <c r="AS391" s="673"/>
      <c r="AT391" s="696"/>
    </row>
    <row r="392" ht="15.75" customHeight="1">
      <c r="A392" s="653"/>
      <c r="B392" s="654"/>
      <c r="C392" s="691"/>
      <c r="D392" s="656"/>
      <c r="E392" s="657"/>
      <c r="F392" s="658"/>
      <c r="G392" s="659"/>
      <c r="H392" s="660"/>
      <c r="I392" s="659"/>
      <c r="J392" s="661"/>
      <c r="K392" s="692"/>
      <c r="L392" s="645"/>
      <c r="M392" s="663"/>
      <c r="N392" s="665"/>
      <c r="O392" s="665"/>
      <c r="P392" s="666"/>
      <c r="Q392" s="667"/>
      <c r="R392" s="668"/>
      <c r="S392" s="693"/>
      <c r="T392" s="694"/>
      <c r="U392" s="694"/>
      <c r="V392" s="693"/>
      <c r="W392" s="693"/>
      <c r="X392" s="693"/>
      <c r="Y392" s="671"/>
      <c r="Z392" s="673"/>
      <c r="AA392" s="672"/>
      <c r="AB392" s="695"/>
      <c r="AC392" s="673"/>
      <c r="AD392" s="673"/>
      <c r="AE392" s="673"/>
      <c r="AF392" s="673"/>
      <c r="AG392" s="673"/>
      <c r="AH392" s="673"/>
      <c r="AI392" s="673"/>
      <c r="AJ392" s="673"/>
      <c r="AK392" s="673"/>
      <c r="AL392" s="673"/>
      <c r="AM392" s="673"/>
      <c r="AN392" s="673"/>
      <c r="AO392" s="673"/>
      <c r="AP392" s="673"/>
      <c r="AQ392" s="673"/>
      <c r="AR392" s="673"/>
      <c r="AS392" s="673"/>
      <c r="AT392" s="696"/>
    </row>
    <row r="393" ht="15.75" customHeight="1">
      <c r="A393" s="653"/>
      <c r="B393" s="654"/>
      <c r="C393" s="691"/>
      <c r="D393" s="656"/>
      <c r="E393" s="657"/>
      <c r="F393" s="658"/>
      <c r="G393" s="659"/>
      <c r="H393" s="660"/>
      <c r="I393" s="659"/>
      <c r="J393" s="661"/>
      <c r="K393" s="692"/>
      <c r="L393" s="645"/>
      <c r="M393" s="663"/>
      <c r="N393" s="665"/>
      <c r="O393" s="665"/>
      <c r="P393" s="666"/>
      <c r="Q393" s="667"/>
      <c r="R393" s="668"/>
      <c r="S393" s="693"/>
      <c r="T393" s="694"/>
      <c r="U393" s="694"/>
      <c r="V393" s="693"/>
      <c r="W393" s="693"/>
      <c r="X393" s="693"/>
      <c r="Y393" s="671"/>
      <c r="Z393" s="673"/>
      <c r="AA393" s="672"/>
      <c r="AB393" s="695"/>
      <c r="AC393" s="673"/>
      <c r="AD393" s="673"/>
      <c r="AE393" s="673"/>
      <c r="AF393" s="673"/>
      <c r="AG393" s="673"/>
      <c r="AH393" s="673"/>
      <c r="AI393" s="673"/>
      <c r="AJ393" s="673"/>
      <c r="AK393" s="673"/>
      <c r="AL393" s="673"/>
      <c r="AM393" s="673"/>
      <c r="AN393" s="673"/>
      <c r="AO393" s="673"/>
      <c r="AP393" s="673"/>
      <c r="AQ393" s="673"/>
      <c r="AR393" s="673"/>
      <c r="AS393" s="673"/>
      <c r="AT393" s="696"/>
    </row>
    <row r="394" ht="15.75" customHeight="1">
      <c r="A394" s="653"/>
      <c r="B394" s="654"/>
      <c r="C394" s="691"/>
      <c r="D394" s="656"/>
      <c r="E394" s="657"/>
      <c r="F394" s="658"/>
      <c r="G394" s="659"/>
      <c r="H394" s="660"/>
      <c r="I394" s="659"/>
      <c r="J394" s="661"/>
      <c r="K394" s="692"/>
      <c r="L394" s="645"/>
      <c r="M394" s="663"/>
      <c r="N394" s="665"/>
      <c r="O394" s="665"/>
      <c r="P394" s="666"/>
      <c r="Q394" s="667"/>
      <c r="R394" s="668"/>
      <c r="S394" s="693"/>
      <c r="T394" s="694"/>
      <c r="U394" s="694"/>
      <c r="V394" s="693"/>
      <c r="W394" s="693"/>
      <c r="X394" s="693"/>
      <c r="Y394" s="671"/>
      <c r="Z394" s="673"/>
      <c r="AA394" s="672"/>
      <c r="AB394" s="695"/>
      <c r="AC394" s="673"/>
      <c r="AD394" s="673"/>
      <c r="AE394" s="673"/>
      <c r="AF394" s="673"/>
      <c r="AG394" s="673"/>
      <c r="AH394" s="673"/>
      <c r="AI394" s="673"/>
      <c r="AJ394" s="673"/>
      <c r="AK394" s="673"/>
      <c r="AL394" s="673"/>
      <c r="AM394" s="673"/>
      <c r="AN394" s="673"/>
      <c r="AO394" s="673"/>
      <c r="AP394" s="673"/>
      <c r="AQ394" s="673"/>
      <c r="AR394" s="673"/>
      <c r="AS394" s="673"/>
      <c r="AT394" s="696"/>
    </row>
    <row r="395" ht="15.75" customHeight="1">
      <c r="A395" s="653"/>
      <c r="B395" s="654"/>
      <c r="C395" s="691"/>
      <c r="D395" s="656"/>
      <c r="E395" s="657"/>
      <c r="F395" s="658"/>
      <c r="G395" s="659"/>
      <c r="H395" s="660"/>
      <c r="I395" s="659"/>
      <c r="J395" s="661"/>
      <c r="K395" s="692"/>
      <c r="L395" s="645"/>
      <c r="M395" s="663"/>
      <c r="N395" s="665"/>
      <c r="O395" s="665"/>
      <c r="P395" s="666"/>
      <c r="Q395" s="667"/>
      <c r="R395" s="668"/>
      <c r="S395" s="693"/>
      <c r="T395" s="694"/>
      <c r="U395" s="694"/>
      <c r="V395" s="693"/>
      <c r="W395" s="693"/>
      <c r="X395" s="693"/>
      <c r="Y395" s="671"/>
      <c r="Z395" s="673"/>
      <c r="AA395" s="672"/>
      <c r="AB395" s="695"/>
      <c r="AC395" s="673"/>
      <c r="AD395" s="673"/>
      <c r="AE395" s="673"/>
      <c r="AF395" s="673"/>
      <c r="AG395" s="673"/>
      <c r="AH395" s="673"/>
      <c r="AI395" s="673"/>
      <c r="AJ395" s="673"/>
      <c r="AK395" s="673"/>
      <c r="AL395" s="673"/>
      <c r="AM395" s="673"/>
      <c r="AN395" s="673"/>
      <c r="AO395" s="673"/>
      <c r="AP395" s="673"/>
      <c r="AQ395" s="673"/>
      <c r="AR395" s="673"/>
      <c r="AS395" s="673"/>
      <c r="AT395" s="696"/>
    </row>
    <row r="396" ht="15.75" customHeight="1">
      <c r="A396" s="653"/>
      <c r="B396" s="654"/>
      <c r="C396" s="691"/>
      <c r="D396" s="656"/>
      <c r="E396" s="657"/>
      <c r="F396" s="658"/>
      <c r="G396" s="659"/>
      <c r="H396" s="660"/>
      <c r="I396" s="659"/>
      <c r="J396" s="661"/>
      <c r="K396" s="692"/>
      <c r="L396" s="645"/>
      <c r="M396" s="663"/>
      <c r="N396" s="665"/>
      <c r="O396" s="665"/>
      <c r="P396" s="666"/>
      <c r="Q396" s="667"/>
      <c r="R396" s="668"/>
      <c r="S396" s="693"/>
      <c r="T396" s="694"/>
      <c r="U396" s="694"/>
      <c r="V396" s="693"/>
      <c r="W396" s="693"/>
      <c r="X396" s="693"/>
      <c r="Y396" s="671"/>
      <c r="Z396" s="673"/>
      <c r="AA396" s="672"/>
      <c r="AB396" s="695"/>
      <c r="AC396" s="673"/>
      <c r="AD396" s="673"/>
      <c r="AE396" s="673"/>
      <c r="AF396" s="673"/>
      <c r="AG396" s="673"/>
      <c r="AH396" s="673"/>
      <c r="AI396" s="673"/>
      <c r="AJ396" s="673"/>
      <c r="AK396" s="673"/>
      <c r="AL396" s="673"/>
      <c r="AM396" s="673"/>
      <c r="AN396" s="673"/>
      <c r="AO396" s="673"/>
      <c r="AP396" s="673"/>
      <c r="AQ396" s="673"/>
      <c r="AR396" s="673"/>
      <c r="AS396" s="673"/>
      <c r="AT396" s="696"/>
    </row>
    <row r="397" ht="15.75" customHeight="1">
      <c r="A397" s="653"/>
      <c r="B397" s="654"/>
      <c r="C397" s="691"/>
      <c r="D397" s="656"/>
      <c r="E397" s="657"/>
      <c r="F397" s="658"/>
      <c r="G397" s="659"/>
      <c r="H397" s="660"/>
      <c r="I397" s="659"/>
      <c r="J397" s="661"/>
      <c r="K397" s="692"/>
      <c r="L397" s="645"/>
      <c r="M397" s="663"/>
      <c r="N397" s="665"/>
      <c r="O397" s="665"/>
      <c r="P397" s="666"/>
      <c r="Q397" s="667"/>
      <c r="R397" s="668"/>
      <c r="S397" s="693"/>
      <c r="T397" s="694"/>
      <c r="U397" s="694"/>
      <c r="V397" s="693"/>
      <c r="W397" s="693"/>
      <c r="X397" s="693"/>
      <c r="Y397" s="671"/>
      <c r="Z397" s="673"/>
      <c r="AA397" s="672"/>
      <c r="AB397" s="695"/>
      <c r="AC397" s="673"/>
      <c r="AD397" s="673"/>
      <c r="AE397" s="673"/>
      <c r="AF397" s="673"/>
      <c r="AG397" s="673"/>
      <c r="AH397" s="673"/>
      <c r="AI397" s="673"/>
      <c r="AJ397" s="673"/>
      <c r="AK397" s="673"/>
      <c r="AL397" s="673"/>
      <c r="AM397" s="673"/>
      <c r="AN397" s="673"/>
      <c r="AO397" s="673"/>
      <c r="AP397" s="673"/>
      <c r="AQ397" s="673"/>
      <c r="AR397" s="673"/>
      <c r="AS397" s="673"/>
      <c r="AT397" s="696"/>
    </row>
    <row r="398" ht="15.75" customHeight="1">
      <c r="A398" s="653"/>
      <c r="B398" s="654"/>
      <c r="C398" s="691"/>
      <c r="D398" s="656"/>
      <c r="E398" s="657"/>
      <c r="F398" s="658"/>
      <c r="G398" s="659"/>
      <c r="H398" s="660"/>
      <c r="I398" s="659"/>
      <c r="J398" s="661"/>
      <c r="K398" s="692"/>
      <c r="L398" s="645"/>
      <c r="M398" s="663"/>
      <c r="N398" s="665"/>
      <c r="O398" s="665"/>
      <c r="P398" s="666"/>
      <c r="Q398" s="667"/>
      <c r="R398" s="668"/>
      <c r="S398" s="693"/>
      <c r="T398" s="694"/>
      <c r="U398" s="694"/>
      <c r="V398" s="693"/>
      <c r="W398" s="693"/>
      <c r="X398" s="693"/>
      <c r="Y398" s="671"/>
      <c r="Z398" s="673"/>
      <c r="AA398" s="672"/>
      <c r="AB398" s="695"/>
      <c r="AC398" s="673"/>
      <c r="AD398" s="673"/>
      <c r="AE398" s="673"/>
      <c r="AF398" s="673"/>
      <c r="AG398" s="673"/>
      <c r="AH398" s="673"/>
      <c r="AI398" s="673"/>
      <c r="AJ398" s="673"/>
      <c r="AK398" s="673"/>
      <c r="AL398" s="673"/>
      <c r="AM398" s="673"/>
      <c r="AN398" s="673"/>
      <c r="AO398" s="673"/>
      <c r="AP398" s="673"/>
      <c r="AQ398" s="673"/>
      <c r="AR398" s="673"/>
      <c r="AS398" s="673"/>
      <c r="AT398" s="696"/>
    </row>
    <row r="399" ht="15.75" customHeight="1">
      <c r="A399" s="653"/>
      <c r="B399" s="654"/>
      <c r="C399" s="691"/>
      <c r="D399" s="656"/>
      <c r="E399" s="657"/>
      <c r="F399" s="658"/>
      <c r="G399" s="659"/>
      <c r="H399" s="660"/>
      <c r="I399" s="659"/>
      <c r="J399" s="661"/>
      <c r="K399" s="692"/>
      <c r="L399" s="645"/>
      <c r="M399" s="663"/>
      <c r="N399" s="665"/>
      <c r="O399" s="665"/>
      <c r="P399" s="666"/>
      <c r="Q399" s="667"/>
      <c r="R399" s="668"/>
      <c r="S399" s="693"/>
      <c r="T399" s="694"/>
      <c r="U399" s="694"/>
      <c r="V399" s="693"/>
      <c r="W399" s="693"/>
      <c r="X399" s="693"/>
      <c r="Y399" s="671"/>
      <c r="Z399" s="673"/>
      <c r="AA399" s="672"/>
      <c r="AB399" s="695"/>
      <c r="AC399" s="673"/>
      <c r="AD399" s="673"/>
      <c r="AE399" s="673"/>
      <c r="AF399" s="673"/>
      <c r="AG399" s="673"/>
      <c r="AH399" s="673"/>
      <c r="AI399" s="673"/>
      <c r="AJ399" s="673"/>
      <c r="AK399" s="673"/>
      <c r="AL399" s="673"/>
      <c r="AM399" s="673"/>
      <c r="AN399" s="673"/>
      <c r="AO399" s="673"/>
      <c r="AP399" s="673"/>
      <c r="AQ399" s="673"/>
      <c r="AR399" s="673"/>
      <c r="AS399" s="673"/>
      <c r="AT399" s="696"/>
    </row>
    <row r="400" ht="15.75" customHeight="1">
      <c r="A400" s="653"/>
      <c r="B400" s="654"/>
      <c r="C400" s="691"/>
      <c r="D400" s="656"/>
      <c r="E400" s="657"/>
      <c r="F400" s="658"/>
      <c r="G400" s="659"/>
      <c r="H400" s="660"/>
      <c r="I400" s="659"/>
      <c r="J400" s="661"/>
      <c r="K400" s="692"/>
      <c r="L400" s="645"/>
      <c r="M400" s="663"/>
      <c r="N400" s="665"/>
      <c r="O400" s="665"/>
      <c r="P400" s="666"/>
      <c r="Q400" s="667"/>
      <c r="R400" s="668"/>
      <c r="S400" s="693"/>
      <c r="T400" s="694"/>
      <c r="U400" s="694"/>
      <c r="V400" s="693"/>
      <c r="W400" s="693"/>
      <c r="X400" s="693"/>
      <c r="Y400" s="671"/>
      <c r="Z400" s="673"/>
      <c r="AA400" s="672"/>
      <c r="AB400" s="695"/>
      <c r="AC400" s="673"/>
      <c r="AD400" s="673"/>
      <c r="AE400" s="673"/>
      <c r="AF400" s="673"/>
      <c r="AG400" s="673"/>
      <c r="AH400" s="673"/>
      <c r="AI400" s="673"/>
      <c r="AJ400" s="673"/>
      <c r="AK400" s="673"/>
      <c r="AL400" s="673"/>
      <c r="AM400" s="673"/>
      <c r="AN400" s="673"/>
      <c r="AO400" s="673"/>
      <c r="AP400" s="673"/>
      <c r="AQ400" s="673"/>
      <c r="AR400" s="673"/>
      <c r="AS400" s="673"/>
      <c r="AT400" s="696"/>
    </row>
    <row r="401" ht="15.75" customHeight="1">
      <c r="A401" s="653"/>
      <c r="B401" s="654"/>
      <c r="C401" s="691"/>
      <c r="D401" s="656"/>
      <c r="E401" s="657"/>
      <c r="F401" s="658"/>
      <c r="G401" s="659"/>
      <c r="H401" s="660"/>
      <c r="I401" s="659"/>
      <c r="J401" s="661"/>
      <c r="K401" s="692"/>
      <c r="L401" s="645"/>
      <c r="M401" s="663"/>
      <c r="N401" s="665"/>
      <c r="O401" s="665"/>
      <c r="P401" s="666"/>
      <c r="Q401" s="667"/>
      <c r="R401" s="668"/>
      <c r="S401" s="693"/>
      <c r="T401" s="694"/>
      <c r="U401" s="694"/>
      <c r="V401" s="693"/>
      <c r="W401" s="693"/>
      <c r="X401" s="693"/>
      <c r="Y401" s="671"/>
      <c r="Z401" s="673"/>
      <c r="AA401" s="672"/>
      <c r="AB401" s="695"/>
      <c r="AC401" s="673"/>
      <c r="AD401" s="673"/>
      <c r="AE401" s="673"/>
      <c r="AF401" s="673"/>
      <c r="AG401" s="673"/>
      <c r="AH401" s="673"/>
      <c r="AI401" s="673"/>
      <c r="AJ401" s="673"/>
      <c r="AK401" s="673"/>
      <c r="AL401" s="673"/>
      <c r="AM401" s="673"/>
      <c r="AN401" s="673"/>
      <c r="AO401" s="673"/>
      <c r="AP401" s="673"/>
      <c r="AQ401" s="673"/>
      <c r="AR401" s="673"/>
      <c r="AS401" s="673"/>
      <c r="AT401" s="696"/>
    </row>
    <row r="402" ht="15.75" customHeight="1">
      <c r="A402" s="653"/>
      <c r="B402" s="654"/>
      <c r="C402" s="691"/>
      <c r="D402" s="656"/>
      <c r="E402" s="657"/>
      <c r="F402" s="658"/>
      <c r="G402" s="659"/>
      <c r="H402" s="660"/>
      <c r="I402" s="659"/>
      <c r="J402" s="661"/>
      <c r="K402" s="692"/>
      <c r="L402" s="645"/>
      <c r="M402" s="663"/>
      <c r="N402" s="665"/>
      <c r="O402" s="665"/>
      <c r="P402" s="666"/>
      <c r="Q402" s="667"/>
      <c r="R402" s="668"/>
      <c r="S402" s="693"/>
      <c r="T402" s="694"/>
      <c r="U402" s="694"/>
      <c r="V402" s="693"/>
      <c r="W402" s="693"/>
      <c r="X402" s="693"/>
      <c r="Y402" s="671"/>
      <c r="Z402" s="673"/>
      <c r="AA402" s="672"/>
      <c r="AB402" s="695"/>
      <c r="AC402" s="673"/>
      <c r="AD402" s="673"/>
      <c r="AE402" s="673"/>
      <c r="AF402" s="673"/>
      <c r="AG402" s="673"/>
      <c r="AH402" s="673"/>
      <c r="AI402" s="673"/>
      <c r="AJ402" s="673"/>
      <c r="AK402" s="673"/>
      <c r="AL402" s="673"/>
      <c r="AM402" s="673"/>
      <c r="AN402" s="673"/>
      <c r="AO402" s="673"/>
      <c r="AP402" s="673"/>
      <c r="AQ402" s="673"/>
      <c r="AR402" s="673"/>
      <c r="AS402" s="673"/>
      <c r="AT402" s="696"/>
    </row>
    <row r="403" ht="15.75" customHeight="1">
      <c r="A403" s="653"/>
      <c r="B403" s="654"/>
      <c r="C403" s="691"/>
      <c r="D403" s="656"/>
      <c r="E403" s="657"/>
      <c r="F403" s="658"/>
      <c r="G403" s="659"/>
      <c r="H403" s="660"/>
      <c r="I403" s="659"/>
      <c r="J403" s="661"/>
      <c r="K403" s="692"/>
      <c r="L403" s="645"/>
      <c r="M403" s="663"/>
      <c r="N403" s="665"/>
      <c r="O403" s="665"/>
      <c r="P403" s="666"/>
      <c r="Q403" s="667"/>
      <c r="R403" s="668"/>
      <c r="S403" s="693"/>
      <c r="T403" s="694"/>
      <c r="U403" s="694"/>
      <c r="V403" s="693"/>
      <c r="W403" s="693"/>
      <c r="X403" s="693"/>
      <c r="Y403" s="671"/>
      <c r="Z403" s="673"/>
      <c r="AA403" s="672"/>
      <c r="AB403" s="695"/>
      <c r="AC403" s="673"/>
      <c r="AD403" s="673"/>
      <c r="AE403" s="673"/>
      <c r="AF403" s="673"/>
      <c r="AG403" s="673"/>
      <c r="AH403" s="673"/>
      <c r="AI403" s="673"/>
      <c r="AJ403" s="673"/>
      <c r="AK403" s="673"/>
      <c r="AL403" s="673"/>
      <c r="AM403" s="673"/>
      <c r="AN403" s="673"/>
      <c r="AO403" s="673"/>
      <c r="AP403" s="673"/>
      <c r="AQ403" s="673"/>
      <c r="AR403" s="673"/>
      <c r="AS403" s="673"/>
      <c r="AT403" s="696"/>
    </row>
    <row r="404" ht="15.75" customHeight="1">
      <c r="A404" s="653"/>
      <c r="B404" s="654"/>
      <c r="C404" s="691"/>
      <c r="D404" s="656"/>
      <c r="E404" s="657"/>
      <c r="F404" s="658"/>
      <c r="G404" s="659"/>
      <c r="H404" s="660"/>
      <c r="I404" s="659"/>
      <c r="J404" s="661"/>
      <c r="K404" s="692"/>
      <c r="L404" s="645"/>
      <c r="M404" s="663"/>
      <c r="N404" s="665"/>
      <c r="O404" s="665"/>
      <c r="P404" s="666"/>
      <c r="Q404" s="667"/>
      <c r="R404" s="668"/>
      <c r="S404" s="693"/>
      <c r="T404" s="694"/>
      <c r="U404" s="694"/>
      <c r="V404" s="693"/>
      <c r="W404" s="693"/>
      <c r="X404" s="693"/>
      <c r="Y404" s="671"/>
      <c r="Z404" s="673"/>
      <c r="AA404" s="672"/>
      <c r="AB404" s="695"/>
      <c r="AC404" s="673"/>
      <c r="AD404" s="673"/>
      <c r="AE404" s="673"/>
      <c r="AF404" s="673"/>
      <c r="AG404" s="673"/>
      <c r="AH404" s="673"/>
      <c r="AI404" s="673"/>
      <c r="AJ404" s="673"/>
      <c r="AK404" s="673"/>
      <c r="AL404" s="673"/>
      <c r="AM404" s="673"/>
      <c r="AN404" s="673"/>
      <c r="AO404" s="673"/>
      <c r="AP404" s="673"/>
      <c r="AQ404" s="673"/>
      <c r="AR404" s="673"/>
      <c r="AS404" s="673"/>
      <c r="AT404" s="696"/>
    </row>
    <row r="405" ht="15.75" customHeight="1">
      <c r="A405" s="653"/>
      <c r="B405" s="654"/>
      <c r="C405" s="691"/>
      <c r="D405" s="656"/>
      <c r="E405" s="657"/>
      <c r="F405" s="658"/>
      <c r="G405" s="659"/>
      <c r="H405" s="660"/>
      <c r="I405" s="659"/>
      <c r="J405" s="661"/>
      <c r="K405" s="692"/>
      <c r="L405" s="645"/>
      <c r="M405" s="663"/>
      <c r="N405" s="665"/>
      <c r="O405" s="665"/>
      <c r="P405" s="666"/>
      <c r="Q405" s="667"/>
      <c r="R405" s="668"/>
      <c r="S405" s="693"/>
      <c r="T405" s="694"/>
      <c r="U405" s="694"/>
      <c r="V405" s="693"/>
      <c r="W405" s="693"/>
      <c r="X405" s="693"/>
      <c r="Y405" s="671"/>
      <c r="Z405" s="673"/>
      <c r="AA405" s="672"/>
      <c r="AB405" s="695"/>
      <c r="AC405" s="673"/>
      <c r="AD405" s="673"/>
      <c r="AE405" s="673"/>
      <c r="AF405" s="673"/>
      <c r="AG405" s="673"/>
      <c r="AH405" s="673"/>
      <c r="AI405" s="673"/>
      <c r="AJ405" s="673"/>
      <c r="AK405" s="673"/>
      <c r="AL405" s="673"/>
      <c r="AM405" s="673"/>
      <c r="AN405" s="673"/>
      <c r="AO405" s="673"/>
      <c r="AP405" s="673"/>
      <c r="AQ405" s="673"/>
      <c r="AR405" s="673"/>
      <c r="AS405" s="673"/>
      <c r="AT405" s="696"/>
    </row>
    <row r="406" ht="15.75" customHeight="1">
      <c r="A406" s="653"/>
      <c r="B406" s="654"/>
      <c r="C406" s="691"/>
      <c r="D406" s="656"/>
      <c r="E406" s="657"/>
      <c r="F406" s="658"/>
      <c r="G406" s="659"/>
      <c r="H406" s="660"/>
      <c r="I406" s="659"/>
      <c r="J406" s="661"/>
      <c r="K406" s="692"/>
      <c r="L406" s="645"/>
      <c r="M406" s="663"/>
      <c r="N406" s="665"/>
      <c r="O406" s="665"/>
      <c r="P406" s="666"/>
      <c r="Q406" s="667"/>
      <c r="R406" s="668"/>
      <c r="S406" s="693"/>
      <c r="T406" s="694"/>
      <c r="U406" s="694"/>
      <c r="V406" s="693"/>
      <c r="W406" s="693"/>
      <c r="X406" s="693"/>
      <c r="Y406" s="671"/>
      <c r="Z406" s="673"/>
      <c r="AA406" s="672"/>
      <c r="AB406" s="695"/>
      <c r="AC406" s="673"/>
      <c r="AD406" s="673"/>
      <c r="AE406" s="673"/>
      <c r="AF406" s="673"/>
      <c r="AG406" s="673"/>
      <c r="AH406" s="673"/>
      <c r="AI406" s="673"/>
      <c r="AJ406" s="673"/>
      <c r="AK406" s="673"/>
      <c r="AL406" s="673"/>
      <c r="AM406" s="673"/>
      <c r="AN406" s="673"/>
      <c r="AO406" s="673"/>
      <c r="AP406" s="673"/>
      <c r="AQ406" s="673"/>
      <c r="AR406" s="673"/>
      <c r="AS406" s="673"/>
      <c r="AT406" s="696"/>
    </row>
    <row r="407" ht="15.75" customHeight="1">
      <c r="A407" s="653"/>
      <c r="B407" s="654"/>
      <c r="C407" s="691"/>
      <c r="D407" s="656"/>
      <c r="E407" s="657"/>
      <c r="F407" s="658"/>
      <c r="G407" s="659"/>
      <c r="H407" s="660"/>
      <c r="I407" s="659"/>
      <c r="J407" s="661"/>
      <c r="K407" s="692"/>
      <c r="L407" s="645"/>
      <c r="M407" s="663"/>
      <c r="N407" s="665"/>
      <c r="O407" s="665"/>
      <c r="P407" s="666"/>
      <c r="Q407" s="667"/>
      <c r="R407" s="668"/>
      <c r="S407" s="693"/>
      <c r="T407" s="694"/>
      <c r="U407" s="694"/>
      <c r="V407" s="693"/>
      <c r="W407" s="693"/>
      <c r="X407" s="693"/>
      <c r="Y407" s="671"/>
      <c r="Z407" s="673"/>
      <c r="AA407" s="672"/>
      <c r="AB407" s="695"/>
      <c r="AC407" s="673"/>
      <c r="AD407" s="673"/>
      <c r="AE407" s="673"/>
      <c r="AF407" s="673"/>
      <c r="AG407" s="673"/>
      <c r="AH407" s="673"/>
      <c r="AI407" s="673"/>
      <c r="AJ407" s="673"/>
      <c r="AK407" s="673"/>
      <c r="AL407" s="673"/>
      <c r="AM407" s="673"/>
      <c r="AN407" s="673"/>
      <c r="AO407" s="673"/>
      <c r="AP407" s="673"/>
      <c r="AQ407" s="673"/>
      <c r="AR407" s="673"/>
      <c r="AS407" s="673"/>
      <c r="AT407" s="696"/>
    </row>
    <row r="408" ht="15.75" customHeight="1">
      <c r="A408" s="653"/>
      <c r="B408" s="654"/>
      <c r="C408" s="691"/>
      <c r="D408" s="656"/>
      <c r="E408" s="657"/>
      <c r="F408" s="658"/>
      <c r="G408" s="659"/>
      <c r="H408" s="660"/>
      <c r="I408" s="659"/>
      <c r="J408" s="661"/>
      <c r="K408" s="692"/>
      <c r="L408" s="645"/>
      <c r="M408" s="663"/>
      <c r="N408" s="665"/>
      <c r="O408" s="665"/>
      <c r="P408" s="666"/>
      <c r="Q408" s="667"/>
      <c r="R408" s="668"/>
      <c r="S408" s="693"/>
      <c r="T408" s="694"/>
      <c r="U408" s="694"/>
      <c r="V408" s="693"/>
      <c r="W408" s="693"/>
      <c r="X408" s="693"/>
      <c r="Y408" s="671"/>
      <c r="Z408" s="673"/>
      <c r="AA408" s="672"/>
      <c r="AB408" s="695"/>
      <c r="AC408" s="673"/>
      <c r="AD408" s="673"/>
      <c r="AE408" s="673"/>
      <c r="AF408" s="673"/>
      <c r="AG408" s="673"/>
      <c r="AH408" s="673"/>
      <c r="AI408" s="673"/>
      <c r="AJ408" s="673"/>
      <c r="AK408" s="673"/>
      <c r="AL408" s="673"/>
      <c r="AM408" s="673"/>
      <c r="AN408" s="673"/>
      <c r="AO408" s="673"/>
      <c r="AP408" s="673"/>
      <c r="AQ408" s="673"/>
      <c r="AR408" s="673"/>
      <c r="AS408" s="673"/>
      <c r="AT408" s="696"/>
    </row>
    <row r="409" ht="15.75" customHeight="1">
      <c r="A409" s="653"/>
      <c r="B409" s="654"/>
      <c r="C409" s="691"/>
      <c r="D409" s="656"/>
      <c r="E409" s="657"/>
      <c r="F409" s="658"/>
      <c r="G409" s="659"/>
      <c r="H409" s="660"/>
      <c r="I409" s="659"/>
      <c r="J409" s="661"/>
      <c r="K409" s="692"/>
      <c r="L409" s="645"/>
      <c r="M409" s="663"/>
      <c r="N409" s="665"/>
      <c r="O409" s="665"/>
      <c r="P409" s="666"/>
      <c r="Q409" s="667"/>
      <c r="R409" s="668"/>
      <c r="S409" s="693"/>
      <c r="T409" s="694"/>
      <c r="U409" s="694"/>
      <c r="V409" s="693"/>
      <c r="W409" s="693"/>
      <c r="X409" s="693"/>
      <c r="Y409" s="671"/>
      <c r="Z409" s="673"/>
      <c r="AA409" s="672"/>
      <c r="AB409" s="695"/>
      <c r="AC409" s="673"/>
      <c r="AD409" s="673"/>
      <c r="AE409" s="673"/>
      <c r="AF409" s="673"/>
      <c r="AG409" s="673"/>
      <c r="AH409" s="673"/>
      <c r="AI409" s="673"/>
      <c r="AJ409" s="673"/>
      <c r="AK409" s="673"/>
      <c r="AL409" s="673"/>
      <c r="AM409" s="673"/>
      <c r="AN409" s="673"/>
      <c r="AO409" s="673"/>
      <c r="AP409" s="673"/>
      <c r="AQ409" s="673"/>
      <c r="AR409" s="673"/>
      <c r="AS409" s="673"/>
      <c r="AT409" s="696"/>
    </row>
    <row r="410" ht="15.75" customHeight="1">
      <c r="A410" s="653"/>
      <c r="B410" s="654"/>
      <c r="C410" s="691"/>
      <c r="D410" s="656"/>
      <c r="E410" s="657"/>
      <c r="F410" s="658"/>
      <c r="G410" s="659"/>
      <c r="H410" s="660"/>
      <c r="I410" s="659"/>
      <c r="J410" s="661"/>
      <c r="K410" s="692"/>
      <c r="L410" s="645"/>
      <c r="M410" s="663"/>
      <c r="N410" s="665"/>
      <c r="O410" s="665"/>
      <c r="P410" s="666"/>
      <c r="Q410" s="667"/>
      <c r="R410" s="668"/>
      <c r="S410" s="693"/>
      <c r="T410" s="694"/>
      <c r="U410" s="694"/>
      <c r="V410" s="693"/>
      <c r="W410" s="693"/>
      <c r="X410" s="693"/>
      <c r="Y410" s="671"/>
      <c r="Z410" s="673"/>
      <c r="AA410" s="672"/>
      <c r="AB410" s="695"/>
      <c r="AC410" s="673"/>
      <c r="AD410" s="673"/>
      <c r="AE410" s="673"/>
      <c r="AF410" s="673"/>
      <c r="AG410" s="673"/>
      <c r="AH410" s="673"/>
      <c r="AI410" s="673"/>
      <c r="AJ410" s="673"/>
      <c r="AK410" s="673"/>
      <c r="AL410" s="673"/>
      <c r="AM410" s="673"/>
      <c r="AN410" s="673"/>
      <c r="AO410" s="673"/>
      <c r="AP410" s="673"/>
      <c r="AQ410" s="673"/>
      <c r="AR410" s="673"/>
      <c r="AS410" s="673"/>
      <c r="AT410" s="696"/>
    </row>
    <row r="411" ht="15.75" customHeight="1">
      <c r="A411" s="653"/>
      <c r="B411" s="654"/>
      <c r="C411" s="691"/>
      <c r="D411" s="656"/>
      <c r="E411" s="657"/>
      <c r="F411" s="658"/>
      <c r="G411" s="659"/>
      <c r="H411" s="660"/>
      <c r="I411" s="659"/>
      <c r="J411" s="661"/>
      <c r="K411" s="692"/>
      <c r="L411" s="645"/>
      <c r="M411" s="663"/>
      <c r="N411" s="665"/>
      <c r="O411" s="665"/>
      <c r="P411" s="666"/>
      <c r="Q411" s="667"/>
      <c r="R411" s="668"/>
      <c r="S411" s="693"/>
      <c r="T411" s="694"/>
      <c r="U411" s="694"/>
      <c r="V411" s="693"/>
      <c r="W411" s="693"/>
      <c r="X411" s="693"/>
      <c r="Y411" s="671"/>
      <c r="Z411" s="673"/>
      <c r="AA411" s="672"/>
      <c r="AB411" s="695"/>
      <c r="AC411" s="673"/>
      <c r="AD411" s="673"/>
      <c r="AE411" s="673"/>
      <c r="AF411" s="673"/>
      <c r="AG411" s="673"/>
      <c r="AH411" s="673"/>
      <c r="AI411" s="673"/>
      <c r="AJ411" s="673"/>
      <c r="AK411" s="673"/>
      <c r="AL411" s="673"/>
      <c r="AM411" s="673"/>
      <c r="AN411" s="673"/>
      <c r="AO411" s="673"/>
      <c r="AP411" s="673"/>
      <c r="AQ411" s="673"/>
      <c r="AR411" s="673"/>
      <c r="AS411" s="673"/>
      <c r="AT411" s="696"/>
    </row>
    <row r="412" ht="15.75" customHeight="1">
      <c r="A412" s="653"/>
      <c r="B412" s="654"/>
      <c r="C412" s="691"/>
      <c r="D412" s="656"/>
      <c r="E412" s="657"/>
      <c r="F412" s="658"/>
      <c r="G412" s="659"/>
      <c r="H412" s="660"/>
      <c r="I412" s="659"/>
      <c r="J412" s="661"/>
      <c r="K412" s="692"/>
      <c r="L412" s="645"/>
      <c r="M412" s="663"/>
      <c r="N412" s="665"/>
      <c r="O412" s="665"/>
      <c r="P412" s="666"/>
      <c r="Q412" s="667"/>
      <c r="R412" s="668"/>
      <c r="S412" s="693"/>
      <c r="T412" s="694"/>
      <c r="U412" s="694"/>
      <c r="V412" s="693"/>
      <c r="W412" s="693"/>
      <c r="X412" s="693"/>
      <c r="Y412" s="671"/>
      <c r="Z412" s="673"/>
      <c r="AA412" s="672"/>
      <c r="AB412" s="695"/>
      <c r="AC412" s="673"/>
      <c r="AD412" s="673"/>
      <c r="AE412" s="673"/>
      <c r="AF412" s="673"/>
      <c r="AG412" s="673"/>
      <c r="AH412" s="673"/>
      <c r="AI412" s="673"/>
      <c r="AJ412" s="673"/>
      <c r="AK412" s="673"/>
      <c r="AL412" s="673"/>
      <c r="AM412" s="673"/>
      <c r="AN412" s="673"/>
      <c r="AO412" s="673"/>
      <c r="AP412" s="673"/>
      <c r="AQ412" s="673"/>
      <c r="AR412" s="673"/>
      <c r="AS412" s="673"/>
      <c r="AT412" s="696"/>
    </row>
    <row r="413" ht="15.75" customHeight="1">
      <c r="A413" s="653"/>
      <c r="B413" s="654"/>
      <c r="C413" s="691"/>
      <c r="D413" s="656"/>
      <c r="E413" s="657"/>
      <c r="F413" s="658"/>
      <c r="G413" s="659"/>
      <c r="H413" s="660"/>
      <c r="I413" s="659"/>
      <c r="J413" s="661"/>
      <c r="K413" s="692"/>
      <c r="L413" s="645"/>
      <c r="M413" s="663"/>
      <c r="N413" s="665"/>
      <c r="O413" s="665"/>
      <c r="P413" s="666"/>
      <c r="Q413" s="667"/>
      <c r="R413" s="668"/>
      <c r="S413" s="693"/>
      <c r="T413" s="694"/>
      <c r="U413" s="694"/>
      <c r="V413" s="693"/>
      <c r="W413" s="693"/>
      <c r="X413" s="693"/>
      <c r="Y413" s="671"/>
      <c r="Z413" s="673"/>
      <c r="AA413" s="672"/>
      <c r="AB413" s="695"/>
      <c r="AC413" s="673"/>
      <c r="AD413" s="673"/>
      <c r="AE413" s="673"/>
      <c r="AF413" s="673"/>
      <c r="AG413" s="673"/>
      <c r="AH413" s="673"/>
      <c r="AI413" s="673"/>
      <c r="AJ413" s="673"/>
      <c r="AK413" s="673"/>
      <c r="AL413" s="673"/>
      <c r="AM413" s="673"/>
      <c r="AN413" s="673"/>
      <c r="AO413" s="673"/>
      <c r="AP413" s="673"/>
      <c r="AQ413" s="673"/>
      <c r="AR413" s="673"/>
      <c r="AS413" s="673"/>
      <c r="AT413" s="696"/>
    </row>
    <row r="414" ht="15.75" customHeight="1">
      <c r="A414" s="653"/>
      <c r="B414" s="654"/>
      <c r="C414" s="691"/>
      <c r="D414" s="656"/>
      <c r="E414" s="657"/>
      <c r="F414" s="658"/>
      <c r="G414" s="659"/>
      <c r="H414" s="660"/>
      <c r="I414" s="659"/>
      <c r="J414" s="661"/>
      <c r="K414" s="692"/>
      <c r="L414" s="645"/>
      <c r="M414" s="663"/>
      <c r="N414" s="665"/>
      <c r="O414" s="665"/>
      <c r="P414" s="666"/>
      <c r="Q414" s="667"/>
      <c r="R414" s="668"/>
      <c r="S414" s="693"/>
      <c r="T414" s="694"/>
      <c r="U414" s="694"/>
      <c r="V414" s="693"/>
      <c r="W414" s="693"/>
      <c r="X414" s="693"/>
      <c r="Y414" s="671"/>
      <c r="Z414" s="673"/>
      <c r="AA414" s="672"/>
      <c r="AB414" s="695"/>
      <c r="AC414" s="673"/>
      <c r="AD414" s="673"/>
      <c r="AE414" s="673"/>
      <c r="AF414" s="673"/>
      <c r="AG414" s="673"/>
      <c r="AH414" s="673"/>
      <c r="AI414" s="673"/>
      <c r="AJ414" s="673"/>
      <c r="AK414" s="673"/>
      <c r="AL414" s="673"/>
      <c r="AM414" s="673"/>
      <c r="AN414" s="673"/>
      <c r="AO414" s="673"/>
      <c r="AP414" s="673"/>
      <c r="AQ414" s="673"/>
      <c r="AR414" s="673"/>
      <c r="AS414" s="673"/>
      <c r="AT414" s="696"/>
    </row>
    <row r="415" ht="15.75" customHeight="1">
      <c r="A415" s="653"/>
      <c r="B415" s="654"/>
      <c r="C415" s="691"/>
      <c r="D415" s="656"/>
      <c r="E415" s="657"/>
      <c r="F415" s="658"/>
      <c r="G415" s="659"/>
      <c r="H415" s="660"/>
      <c r="I415" s="659"/>
      <c r="J415" s="661"/>
      <c r="K415" s="692"/>
      <c r="L415" s="645"/>
      <c r="M415" s="663"/>
      <c r="N415" s="665"/>
      <c r="O415" s="665"/>
      <c r="P415" s="666"/>
      <c r="Q415" s="667"/>
      <c r="R415" s="668"/>
      <c r="S415" s="693"/>
      <c r="T415" s="694"/>
      <c r="U415" s="694"/>
      <c r="V415" s="693"/>
      <c r="W415" s="693"/>
      <c r="X415" s="693"/>
      <c r="Y415" s="671"/>
      <c r="Z415" s="673"/>
      <c r="AA415" s="672"/>
      <c r="AB415" s="695"/>
      <c r="AC415" s="673"/>
      <c r="AD415" s="673"/>
      <c r="AE415" s="673"/>
      <c r="AF415" s="673"/>
      <c r="AG415" s="673"/>
      <c r="AH415" s="673"/>
      <c r="AI415" s="673"/>
      <c r="AJ415" s="673"/>
      <c r="AK415" s="673"/>
      <c r="AL415" s="673"/>
      <c r="AM415" s="673"/>
      <c r="AN415" s="673"/>
      <c r="AO415" s="673"/>
      <c r="AP415" s="673"/>
      <c r="AQ415" s="673"/>
      <c r="AR415" s="673"/>
      <c r="AS415" s="673"/>
      <c r="AT415" s="696"/>
    </row>
    <row r="416" ht="15.75" customHeight="1">
      <c r="A416" s="653"/>
      <c r="B416" s="654"/>
      <c r="C416" s="691"/>
      <c r="D416" s="656"/>
      <c r="E416" s="657"/>
      <c r="F416" s="658"/>
      <c r="G416" s="659"/>
      <c r="H416" s="660"/>
      <c r="I416" s="659"/>
      <c r="J416" s="661"/>
      <c r="K416" s="692"/>
      <c r="L416" s="645"/>
      <c r="M416" s="663"/>
      <c r="N416" s="665"/>
      <c r="O416" s="665"/>
      <c r="P416" s="666"/>
      <c r="Q416" s="667"/>
      <c r="R416" s="668"/>
      <c r="S416" s="693"/>
      <c r="T416" s="694"/>
      <c r="U416" s="694"/>
      <c r="V416" s="693"/>
      <c r="W416" s="693"/>
      <c r="X416" s="693"/>
      <c r="Y416" s="671"/>
      <c r="Z416" s="673"/>
      <c r="AA416" s="672"/>
      <c r="AB416" s="695"/>
      <c r="AC416" s="673"/>
      <c r="AD416" s="673"/>
      <c r="AE416" s="673"/>
      <c r="AF416" s="673"/>
      <c r="AG416" s="673"/>
      <c r="AH416" s="673"/>
      <c r="AI416" s="673"/>
      <c r="AJ416" s="673"/>
      <c r="AK416" s="673"/>
      <c r="AL416" s="673"/>
      <c r="AM416" s="673"/>
      <c r="AN416" s="673"/>
      <c r="AO416" s="673"/>
      <c r="AP416" s="673"/>
      <c r="AQ416" s="673"/>
      <c r="AR416" s="673"/>
      <c r="AS416" s="673"/>
      <c r="AT416" s="696"/>
    </row>
    <row r="417" ht="15.75" customHeight="1">
      <c r="A417" s="653"/>
      <c r="B417" s="654"/>
      <c r="C417" s="691"/>
      <c r="D417" s="656"/>
      <c r="E417" s="657"/>
      <c r="F417" s="658"/>
      <c r="G417" s="659"/>
      <c r="H417" s="660"/>
      <c r="I417" s="659"/>
      <c r="J417" s="661"/>
      <c r="K417" s="692"/>
      <c r="L417" s="645"/>
      <c r="M417" s="663"/>
      <c r="N417" s="665"/>
      <c r="O417" s="665"/>
      <c r="P417" s="666"/>
      <c r="Q417" s="667"/>
      <c r="R417" s="668"/>
      <c r="S417" s="693"/>
      <c r="T417" s="694"/>
      <c r="U417" s="694"/>
      <c r="V417" s="693"/>
      <c r="W417" s="693"/>
      <c r="X417" s="693"/>
      <c r="Y417" s="671"/>
      <c r="Z417" s="673"/>
      <c r="AA417" s="672"/>
      <c r="AB417" s="695"/>
      <c r="AC417" s="673"/>
      <c r="AD417" s="673"/>
      <c r="AE417" s="673"/>
      <c r="AF417" s="673"/>
      <c r="AG417" s="673"/>
      <c r="AH417" s="673"/>
      <c r="AI417" s="673"/>
      <c r="AJ417" s="673"/>
      <c r="AK417" s="673"/>
      <c r="AL417" s="673"/>
      <c r="AM417" s="673"/>
      <c r="AN417" s="673"/>
      <c r="AO417" s="673"/>
      <c r="AP417" s="673"/>
      <c r="AQ417" s="673"/>
      <c r="AR417" s="673"/>
      <c r="AS417" s="673"/>
      <c r="AT417" s="696"/>
    </row>
    <row r="418" ht="15.75" customHeight="1">
      <c r="A418" s="653"/>
      <c r="B418" s="654"/>
      <c r="C418" s="691"/>
      <c r="D418" s="656"/>
      <c r="E418" s="657"/>
      <c r="F418" s="658"/>
      <c r="G418" s="659"/>
      <c r="H418" s="660"/>
      <c r="I418" s="659"/>
      <c r="J418" s="661"/>
      <c r="K418" s="692"/>
      <c r="L418" s="645"/>
      <c r="M418" s="663"/>
      <c r="N418" s="665"/>
      <c r="O418" s="665"/>
      <c r="P418" s="666"/>
      <c r="Q418" s="667"/>
      <c r="R418" s="668"/>
      <c r="S418" s="693"/>
      <c r="T418" s="694"/>
      <c r="U418" s="694"/>
      <c r="V418" s="693"/>
      <c r="W418" s="693"/>
      <c r="X418" s="693"/>
      <c r="Y418" s="671"/>
      <c r="Z418" s="673"/>
      <c r="AA418" s="672"/>
      <c r="AB418" s="695"/>
      <c r="AC418" s="673"/>
      <c r="AD418" s="673"/>
      <c r="AE418" s="673"/>
      <c r="AF418" s="673"/>
      <c r="AG418" s="673"/>
      <c r="AH418" s="673"/>
      <c r="AI418" s="673"/>
      <c r="AJ418" s="673"/>
      <c r="AK418" s="673"/>
      <c r="AL418" s="673"/>
      <c r="AM418" s="673"/>
      <c r="AN418" s="673"/>
      <c r="AO418" s="673"/>
      <c r="AP418" s="673"/>
      <c r="AQ418" s="673"/>
      <c r="AR418" s="673"/>
      <c r="AS418" s="673"/>
      <c r="AT418" s="696"/>
    </row>
    <row r="419" ht="15.75" customHeight="1">
      <c r="A419" s="653"/>
      <c r="B419" s="654"/>
      <c r="C419" s="691"/>
      <c r="D419" s="656"/>
      <c r="E419" s="657"/>
      <c r="F419" s="658"/>
      <c r="G419" s="659"/>
      <c r="H419" s="660"/>
      <c r="I419" s="659"/>
      <c r="J419" s="661"/>
      <c r="K419" s="692"/>
      <c r="L419" s="645"/>
      <c r="M419" s="663"/>
      <c r="N419" s="665"/>
      <c r="O419" s="665"/>
      <c r="P419" s="666"/>
      <c r="Q419" s="667"/>
      <c r="R419" s="668"/>
      <c r="S419" s="693"/>
      <c r="T419" s="694"/>
      <c r="U419" s="694"/>
      <c r="V419" s="693"/>
      <c r="W419" s="693"/>
      <c r="X419" s="693"/>
      <c r="Y419" s="671"/>
      <c r="Z419" s="673"/>
      <c r="AA419" s="672"/>
      <c r="AB419" s="695"/>
      <c r="AC419" s="673"/>
      <c r="AD419" s="673"/>
      <c r="AE419" s="673"/>
      <c r="AF419" s="673"/>
      <c r="AG419" s="673"/>
      <c r="AH419" s="673"/>
      <c r="AI419" s="673"/>
      <c r="AJ419" s="673"/>
      <c r="AK419" s="673"/>
      <c r="AL419" s="673"/>
      <c r="AM419" s="673"/>
      <c r="AN419" s="673"/>
      <c r="AO419" s="673"/>
      <c r="AP419" s="673"/>
      <c r="AQ419" s="673"/>
      <c r="AR419" s="673"/>
      <c r="AS419" s="673"/>
      <c r="AT419" s="696"/>
    </row>
    <row r="420" ht="15.75" customHeight="1">
      <c r="A420" s="653"/>
      <c r="B420" s="654"/>
      <c r="C420" s="691"/>
      <c r="D420" s="656"/>
      <c r="E420" s="657"/>
      <c r="F420" s="658"/>
      <c r="G420" s="659"/>
      <c r="H420" s="660"/>
      <c r="I420" s="659"/>
      <c r="J420" s="661"/>
      <c r="K420" s="692"/>
      <c r="L420" s="645"/>
      <c r="M420" s="663"/>
      <c r="N420" s="665"/>
      <c r="O420" s="665"/>
      <c r="P420" s="666"/>
      <c r="Q420" s="667"/>
      <c r="R420" s="668"/>
      <c r="S420" s="693"/>
      <c r="T420" s="694"/>
      <c r="U420" s="694"/>
      <c r="V420" s="693"/>
      <c r="W420" s="693"/>
      <c r="X420" s="693"/>
      <c r="Y420" s="671"/>
      <c r="Z420" s="673"/>
      <c r="AA420" s="672"/>
      <c r="AB420" s="695"/>
      <c r="AC420" s="673"/>
      <c r="AD420" s="673"/>
      <c r="AE420" s="673"/>
      <c r="AF420" s="673"/>
      <c r="AG420" s="673"/>
      <c r="AH420" s="673"/>
      <c r="AI420" s="673"/>
      <c r="AJ420" s="673"/>
      <c r="AK420" s="673"/>
      <c r="AL420" s="673"/>
      <c r="AM420" s="673"/>
      <c r="AN420" s="673"/>
      <c r="AO420" s="673"/>
      <c r="AP420" s="673"/>
      <c r="AQ420" s="673"/>
      <c r="AR420" s="673"/>
      <c r="AS420" s="673"/>
      <c r="AT420" s="696"/>
    </row>
    <row r="421" ht="15.75" customHeight="1">
      <c r="A421" s="653"/>
      <c r="B421" s="654"/>
      <c r="C421" s="691"/>
      <c r="D421" s="656"/>
      <c r="E421" s="657"/>
      <c r="F421" s="658"/>
      <c r="G421" s="659"/>
      <c r="H421" s="660"/>
      <c r="I421" s="659"/>
      <c r="J421" s="661"/>
      <c r="K421" s="692"/>
      <c r="L421" s="645"/>
      <c r="M421" s="663"/>
      <c r="N421" s="665"/>
      <c r="O421" s="665"/>
      <c r="P421" s="666"/>
      <c r="Q421" s="667"/>
      <c r="R421" s="668"/>
      <c r="S421" s="693"/>
      <c r="T421" s="694"/>
      <c r="U421" s="694"/>
      <c r="V421" s="693"/>
      <c r="W421" s="693"/>
      <c r="X421" s="693"/>
      <c r="Y421" s="671"/>
      <c r="Z421" s="673"/>
      <c r="AA421" s="672"/>
      <c r="AB421" s="695"/>
      <c r="AC421" s="673"/>
      <c r="AD421" s="673"/>
      <c r="AE421" s="673"/>
      <c r="AF421" s="673"/>
      <c r="AG421" s="673"/>
      <c r="AH421" s="673"/>
      <c r="AI421" s="673"/>
      <c r="AJ421" s="673"/>
      <c r="AK421" s="673"/>
      <c r="AL421" s="673"/>
      <c r="AM421" s="673"/>
      <c r="AN421" s="673"/>
      <c r="AO421" s="673"/>
      <c r="AP421" s="673"/>
      <c r="AQ421" s="673"/>
      <c r="AR421" s="673"/>
      <c r="AS421" s="673"/>
      <c r="AT421" s="696"/>
    </row>
    <row r="422" ht="15.75" customHeight="1">
      <c r="A422" s="653"/>
      <c r="B422" s="654"/>
      <c r="C422" s="691"/>
      <c r="D422" s="656"/>
      <c r="E422" s="657"/>
      <c r="F422" s="658"/>
      <c r="G422" s="659"/>
      <c r="H422" s="660"/>
      <c r="I422" s="659"/>
      <c r="J422" s="661"/>
      <c r="K422" s="692"/>
      <c r="L422" s="645"/>
      <c r="M422" s="663"/>
      <c r="N422" s="665"/>
      <c r="O422" s="665"/>
      <c r="P422" s="666"/>
      <c r="Q422" s="667"/>
      <c r="R422" s="668"/>
      <c r="S422" s="693"/>
      <c r="T422" s="694"/>
      <c r="U422" s="694"/>
      <c r="V422" s="693"/>
      <c r="W422" s="693"/>
      <c r="X422" s="693"/>
      <c r="Y422" s="671"/>
      <c r="Z422" s="673"/>
      <c r="AA422" s="672"/>
      <c r="AB422" s="695"/>
      <c r="AC422" s="673"/>
      <c r="AD422" s="673"/>
      <c r="AE422" s="673"/>
      <c r="AF422" s="673"/>
      <c r="AG422" s="673"/>
      <c r="AH422" s="673"/>
      <c r="AI422" s="673"/>
      <c r="AJ422" s="673"/>
      <c r="AK422" s="673"/>
      <c r="AL422" s="673"/>
      <c r="AM422" s="673"/>
      <c r="AN422" s="673"/>
      <c r="AO422" s="673"/>
      <c r="AP422" s="673"/>
      <c r="AQ422" s="673"/>
      <c r="AR422" s="673"/>
      <c r="AS422" s="673"/>
      <c r="AT422" s="696"/>
    </row>
    <row r="423" ht="15.75" customHeight="1">
      <c r="A423" s="653"/>
      <c r="B423" s="654"/>
      <c r="C423" s="691"/>
      <c r="D423" s="656"/>
      <c r="E423" s="657"/>
      <c r="F423" s="658"/>
      <c r="G423" s="659"/>
      <c r="H423" s="660"/>
      <c r="I423" s="659"/>
      <c r="J423" s="661"/>
      <c r="K423" s="692"/>
      <c r="L423" s="645"/>
      <c r="M423" s="663"/>
      <c r="N423" s="665"/>
      <c r="O423" s="665"/>
      <c r="P423" s="666"/>
      <c r="Q423" s="667"/>
      <c r="R423" s="668"/>
      <c r="S423" s="693"/>
      <c r="T423" s="694"/>
      <c r="U423" s="694"/>
      <c r="V423" s="693"/>
      <c r="W423" s="693"/>
      <c r="X423" s="693"/>
      <c r="Y423" s="671"/>
      <c r="Z423" s="673"/>
      <c r="AA423" s="672"/>
      <c r="AB423" s="695"/>
      <c r="AC423" s="673"/>
      <c r="AD423" s="673"/>
      <c r="AE423" s="673"/>
      <c r="AF423" s="673"/>
      <c r="AG423" s="673"/>
      <c r="AH423" s="673"/>
      <c r="AI423" s="673"/>
      <c r="AJ423" s="673"/>
      <c r="AK423" s="673"/>
      <c r="AL423" s="673"/>
      <c r="AM423" s="673"/>
      <c r="AN423" s="673"/>
      <c r="AO423" s="673"/>
      <c r="AP423" s="673"/>
      <c r="AQ423" s="673"/>
      <c r="AR423" s="673"/>
      <c r="AS423" s="673"/>
      <c r="AT423" s="696"/>
    </row>
    <row r="424" ht="15.75" customHeight="1">
      <c r="A424" s="653"/>
      <c r="B424" s="654"/>
      <c r="C424" s="691"/>
      <c r="D424" s="656"/>
      <c r="E424" s="657"/>
      <c r="F424" s="658"/>
      <c r="G424" s="659"/>
      <c r="H424" s="660"/>
      <c r="I424" s="659"/>
      <c r="J424" s="661"/>
      <c r="K424" s="692"/>
      <c r="L424" s="645"/>
      <c r="M424" s="663"/>
      <c r="N424" s="665"/>
      <c r="O424" s="665"/>
      <c r="P424" s="666"/>
      <c r="Q424" s="667"/>
      <c r="R424" s="668"/>
      <c r="S424" s="693"/>
      <c r="T424" s="694"/>
      <c r="U424" s="694"/>
      <c r="V424" s="693"/>
      <c r="W424" s="693"/>
      <c r="X424" s="693"/>
      <c r="Y424" s="671"/>
      <c r="Z424" s="673"/>
      <c r="AA424" s="672"/>
      <c r="AB424" s="695"/>
      <c r="AC424" s="673"/>
      <c r="AD424" s="673"/>
      <c r="AE424" s="673"/>
      <c r="AF424" s="673"/>
      <c r="AG424" s="673"/>
      <c r="AH424" s="673"/>
      <c r="AI424" s="673"/>
      <c r="AJ424" s="673"/>
      <c r="AK424" s="673"/>
      <c r="AL424" s="673"/>
      <c r="AM424" s="673"/>
      <c r="AN424" s="673"/>
      <c r="AO424" s="673"/>
      <c r="AP424" s="673"/>
      <c r="AQ424" s="673"/>
      <c r="AR424" s="673"/>
      <c r="AS424" s="673"/>
      <c r="AT424" s="696"/>
    </row>
    <row r="425" ht="15.75" customHeight="1">
      <c r="A425" s="653"/>
      <c r="B425" s="654"/>
      <c r="C425" s="691"/>
      <c r="D425" s="656"/>
      <c r="E425" s="657"/>
      <c r="F425" s="658"/>
      <c r="G425" s="659"/>
      <c r="H425" s="660"/>
      <c r="I425" s="659"/>
      <c r="J425" s="661"/>
      <c r="K425" s="692"/>
      <c r="L425" s="645"/>
      <c r="M425" s="663"/>
      <c r="N425" s="665"/>
      <c r="O425" s="665"/>
      <c r="P425" s="666"/>
      <c r="Q425" s="667"/>
      <c r="R425" s="668"/>
      <c r="S425" s="693"/>
      <c r="T425" s="694"/>
      <c r="U425" s="694"/>
      <c r="V425" s="693"/>
      <c r="W425" s="693"/>
      <c r="X425" s="693"/>
      <c r="Y425" s="671"/>
      <c r="Z425" s="673"/>
      <c r="AA425" s="672"/>
      <c r="AB425" s="695"/>
      <c r="AC425" s="673"/>
      <c r="AD425" s="673"/>
      <c r="AE425" s="673"/>
      <c r="AF425" s="673"/>
      <c r="AG425" s="673"/>
      <c r="AH425" s="673"/>
      <c r="AI425" s="673"/>
      <c r="AJ425" s="673"/>
      <c r="AK425" s="673"/>
      <c r="AL425" s="673"/>
      <c r="AM425" s="673"/>
      <c r="AN425" s="673"/>
      <c r="AO425" s="673"/>
      <c r="AP425" s="673"/>
      <c r="AQ425" s="673"/>
      <c r="AR425" s="673"/>
      <c r="AS425" s="673"/>
      <c r="AT425" s="696"/>
    </row>
    <row r="426" ht="15.75" customHeight="1">
      <c r="A426" s="653"/>
      <c r="B426" s="654"/>
      <c r="C426" s="691"/>
      <c r="D426" s="656"/>
      <c r="E426" s="657"/>
      <c r="F426" s="658"/>
      <c r="G426" s="659"/>
      <c r="H426" s="660"/>
      <c r="I426" s="659"/>
      <c r="J426" s="661"/>
      <c r="K426" s="692"/>
      <c r="L426" s="645"/>
      <c r="M426" s="663"/>
      <c r="N426" s="665"/>
      <c r="O426" s="665"/>
      <c r="P426" s="666"/>
      <c r="Q426" s="667"/>
      <c r="R426" s="668"/>
      <c r="S426" s="693"/>
      <c r="T426" s="694"/>
      <c r="U426" s="694"/>
      <c r="V426" s="693"/>
      <c r="W426" s="693"/>
      <c r="X426" s="693"/>
      <c r="Y426" s="671"/>
      <c r="Z426" s="673"/>
      <c r="AA426" s="672"/>
      <c r="AB426" s="695"/>
      <c r="AC426" s="673"/>
      <c r="AD426" s="673"/>
      <c r="AE426" s="673"/>
      <c r="AF426" s="673"/>
      <c r="AG426" s="673"/>
      <c r="AH426" s="673"/>
      <c r="AI426" s="673"/>
      <c r="AJ426" s="673"/>
      <c r="AK426" s="673"/>
      <c r="AL426" s="673"/>
      <c r="AM426" s="673"/>
      <c r="AN426" s="673"/>
      <c r="AO426" s="673"/>
      <c r="AP426" s="673"/>
      <c r="AQ426" s="673"/>
      <c r="AR426" s="673"/>
      <c r="AS426" s="673"/>
      <c r="AT426" s="696"/>
    </row>
    <row r="427" ht="15.75" customHeight="1">
      <c r="A427" s="653"/>
      <c r="B427" s="654"/>
      <c r="C427" s="691"/>
      <c r="D427" s="656"/>
      <c r="E427" s="657"/>
      <c r="F427" s="658"/>
      <c r="G427" s="659"/>
      <c r="H427" s="660"/>
      <c r="I427" s="659"/>
      <c r="J427" s="661"/>
      <c r="K427" s="692"/>
      <c r="L427" s="645"/>
      <c r="M427" s="663"/>
      <c r="N427" s="665"/>
      <c r="O427" s="665"/>
      <c r="P427" s="666"/>
      <c r="Q427" s="667"/>
      <c r="R427" s="668"/>
      <c r="S427" s="693"/>
      <c r="T427" s="694"/>
      <c r="U427" s="694"/>
      <c r="V427" s="693"/>
      <c r="W427" s="693"/>
      <c r="X427" s="693"/>
      <c r="Y427" s="671"/>
      <c r="Z427" s="673"/>
      <c r="AA427" s="672"/>
      <c r="AB427" s="695"/>
      <c r="AC427" s="673"/>
      <c r="AD427" s="673"/>
      <c r="AE427" s="673"/>
      <c r="AF427" s="673"/>
      <c r="AG427" s="673"/>
      <c r="AH427" s="673"/>
      <c r="AI427" s="673"/>
      <c r="AJ427" s="673"/>
      <c r="AK427" s="673"/>
      <c r="AL427" s="673"/>
      <c r="AM427" s="673"/>
      <c r="AN427" s="673"/>
      <c r="AO427" s="673"/>
      <c r="AP427" s="673"/>
      <c r="AQ427" s="673"/>
      <c r="AR427" s="673"/>
      <c r="AS427" s="673"/>
      <c r="AT427" s="696"/>
    </row>
    <row r="428" ht="15.75" customHeight="1">
      <c r="A428" s="653"/>
      <c r="B428" s="654"/>
      <c r="C428" s="691"/>
      <c r="D428" s="656"/>
      <c r="E428" s="657"/>
      <c r="F428" s="658"/>
      <c r="G428" s="659"/>
      <c r="H428" s="660"/>
      <c r="I428" s="659"/>
      <c r="J428" s="661"/>
      <c r="K428" s="692"/>
      <c r="L428" s="645"/>
      <c r="M428" s="663"/>
      <c r="N428" s="665"/>
      <c r="O428" s="665"/>
      <c r="P428" s="666"/>
      <c r="Q428" s="667"/>
      <c r="R428" s="668"/>
      <c r="S428" s="693"/>
      <c r="T428" s="694"/>
      <c r="U428" s="694"/>
      <c r="V428" s="693"/>
      <c r="W428" s="693"/>
      <c r="X428" s="693"/>
      <c r="Y428" s="671"/>
      <c r="Z428" s="673"/>
      <c r="AA428" s="672"/>
      <c r="AB428" s="695"/>
      <c r="AC428" s="673"/>
      <c r="AD428" s="673"/>
      <c r="AE428" s="673"/>
      <c r="AF428" s="673"/>
      <c r="AG428" s="673"/>
      <c r="AH428" s="673"/>
      <c r="AI428" s="673"/>
      <c r="AJ428" s="673"/>
      <c r="AK428" s="673"/>
      <c r="AL428" s="673"/>
      <c r="AM428" s="673"/>
      <c r="AN428" s="673"/>
      <c r="AO428" s="673"/>
      <c r="AP428" s="673"/>
      <c r="AQ428" s="673"/>
      <c r="AR428" s="673"/>
      <c r="AS428" s="673"/>
      <c r="AT428" s="696"/>
    </row>
    <row r="429" ht="15.75" customHeight="1">
      <c r="A429" s="653"/>
      <c r="B429" s="654"/>
      <c r="C429" s="691"/>
      <c r="D429" s="656"/>
      <c r="E429" s="657"/>
      <c r="F429" s="658"/>
      <c r="G429" s="659"/>
      <c r="H429" s="660"/>
      <c r="I429" s="659"/>
      <c r="J429" s="661"/>
      <c r="K429" s="692"/>
      <c r="L429" s="645"/>
      <c r="M429" s="663"/>
      <c r="N429" s="665"/>
      <c r="O429" s="665"/>
      <c r="P429" s="666"/>
      <c r="Q429" s="667"/>
      <c r="R429" s="668"/>
      <c r="S429" s="693"/>
      <c r="T429" s="694"/>
      <c r="U429" s="694"/>
      <c r="V429" s="693"/>
      <c r="W429" s="693"/>
      <c r="X429" s="693"/>
      <c r="Y429" s="671"/>
      <c r="Z429" s="673"/>
      <c r="AA429" s="672"/>
      <c r="AB429" s="695"/>
      <c r="AC429" s="673"/>
      <c r="AD429" s="673"/>
      <c r="AE429" s="673"/>
      <c r="AF429" s="673"/>
      <c r="AG429" s="673"/>
      <c r="AH429" s="673"/>
      <c r="AI429" s="673"/>
      <c r="AJ429" s="673"/>
      <c r="AK429" s="673"/>
      <c r="AL429" s="673"/>
      <c r="AM429" s="673"/>
      <c r="AN429" s="673"/>
      <c r="AO429" s="673"/>
      <c r="AP429" s="673"/>
      <c r="AQ429" s="673"/>
      <c r="AR429" s="673"/>
      <c r="AS429" s="673"/>
      <c r="AT429" s="696"/>
    </row>
    <row r="430" ht="15.75" customHeight="1">
      <c r="A430" s="653"/>
      <c r="B430" s="654"/>
      <c r="C430" s="691"/>
      <c r="D430" s="656"/>
      <c r="E430" s="657"/>
      <c r="F430" s="658"/>
      <c r="G430" s="659"/>
      <c r="H430" s="660"/>
      <c r="I430" s="659"/>
      <c r="J430" s="661"/>
      <c r="K430" s="692"/>
      <c r="L430" s="645"/>
      <c r="M430" s="663"/>
      <c r="N430" s="665"/>
      <c r="O430" s="665"/>
      <c r="P430" s="666"/>
      <c r="Q430" s="667"/>
      <c r="R430" s="668"/>
      <c r="S430" s="693"/>
      <c r="T430" s="694"/>
      <c r="U430" s="694"/>
      <c r="V430" s="693"/>
      <c r="W430" s="693"/>
      <c r="X430" s="693"/>
      <c r="Y430" s="671"/>
      <c r="Z430" s="673"/>
      <c r="AA430" s="672"/>
      <c r="AB430" s="695"/>
      <c r="AC430" s="673"/>
      <c r="AD430" s="673"/>
      <c r="AE430" s="673"/>
      <c r="AF430" s="673"/>
      <c r="AG430" s="673"/>
      <c r="AH430" s="673"/>
      <c r="AI430" s="673"/>
      <c r="AJ430" s="673"/>
      <c r="AK430" s="673"/>
      <c r="AL430" s="673"/>
      <c r="AM430" s="673"/>
      <c r="AN430" s="673"/>
      <c r="AO430" s="673"/>
      <c r="AP430" s="673"/>
      <c r="AQ430" s="673"/>
      <c r="AR430" s="673"/>
      <c r="AS430" s="673"/>
      <c r="AT430" s="696"/>
    </row>
    <row r="431" ht="15.75" customHeight="1">
      <c r="A431" s="653"/>
      <c r="B431" s="654"/>
      <c r="C431" s="691"/>
      <c r="D431" s="656"/>
      <c r="E431" s="657"/>
      <c r="F431" s="658"/>
      <c r="G431" s="659"/>
      <c r="H431" s="660"/>
      <c r="I431" s="659"/>
      <c r="J431" s="661"/>
      <c r="K431" s="692"/>
      <c r="L431" s="645"/>
      <c r="M431" s="663"/>
      <c r="N431" s="665"/>
      <c r="O431" s="665"/>
      <c r="P431" s="666"/>
      <c r="Q431" s="667"/>
      <c r="R431" s="668"/>
      <c r="S431" s="693"/>
      <c r="T431" s="694"/>
      <c r="U431" s="694"/>
      <c r="V431" s="693"/>
      <c r="W431" s="693"/>
      <c r="X431" s="693"/>
      <c r="Y431" s="671"/>
      <c r="Z431" s="673"/>
      <c r="AA431" s="672"/>
      <c r="AB431" s="695"/>
      <c r="AC431" s="673"/>
      <c r="AD431" s="673"/>
      <c r="AE431" s="673"/>
      <c r="AF431" s="673"/>
      <c r="AG431" s="673"/>
      <c r="AH431" s="673"/>
      <c r="AI431" s="673"/>
      <c r="AJ431" s="673"/>
      <c r="AK431" s="673"/>
      <c r="AL431" s="673"/>
      <c r="AM431" s="673"/>
      <c r="AN431" s="673"/>
      <c r="AO431" s="673"/>
      <c r="AP431" s="673"/>
      <c r="AQ431" s="673"/>
      <c r="AR431" s="673"/>
      <c r="AS431" s="673"/>
      <c r="AT431" s="696"/>
    </row>
    <row r="432" ht="15.75" customHeight="1">
      <c r="A432" s="653"/>
      <c r="B432" s="654"/>
      <c r="C432" s="691"/>
      <c r="D432" s="656"/>
      <c r="E432" s="657"/>
      <c r="F432" s="658"/>
      <c r="G432" s="659"/>
      <c r="H432" s="660"/>
      <c r="I432" s="659"/>
      <c r="J432" s="661"/>
      <c r="K432" s="692"/>
      <c r="L432" s="645"/>
      <c r="M432" s="663"/>
      <c r="N432" s="665"/>
      <c r="O432" s="665"/>
      <c r="P432" s="666"/>
      <c r="Q432" s="667"/>
      <c r="R432" s="668"/>
      <c r="S432" s="693"/>
      <c r="T432" s="694"/>
      <c r="U432" s="694"/>
      <c r="V432" s="693"/>
      <c r="W432" s="693"/>
      <c r="X432" s="693"/>
      <c r="Y432" s="671"/>
      <c r="Z432" s="673"/>
      <c r="AA432" s="672"/>
      <c r="AB432" s="695"/>
      <c r="AC432" s="673"/>
      <c r="AD432" s="673"/>
      <c r="AE432" s="673"/>
      <c r="AF432" s="673"/>
      <c r="AG432" s="673"/>
      <c r="AH432" s="673"/>
      <c r="AI432" s="673"/>
      <c r="AJ432" s="673"/>
      <c r="AK432" s="673"/>
      <c r="AL432" s="673"/>
      <c r="AM432" s="673"/>
      <c r="AN432" s="673"/>
      <c r="AO432" s="673"/>
      <c r="AP432" s="673"/>
      <c r="AQ432" s="673"/>
      <c r="AR432" s="673"/>
      <c r="AS432" s="673"/>
      <c r="AT432" s="696"/>
    </row>
    <row r="433" ht="15.75" customHeight="1">
      <c r="A433" s="653"/>
      <c r="B433" s="654"/>
      <c r="C433" s="691"/>
      <c r="D433" s="656"/>
      <c r="E433" s="657"/>
      <c r="F433" s="658"/>
      <c r="G433" s="659"/>
      <c r="H433" s="660"/>
      <c r="I433" s="659"/>
      <c r="J433" s="661"/>
      <c r="K433" s="692"/>
      <c r="L433" s="645"/>
      <c r="M433" s="663"/>
      <c r="N433" s="665"/>
      <c r="O433" s="665"/>
      <c r="P433" s="666"/>
      <c r="Q433" s="667"/>
      <c r="R433" s="668"/>
      <c r="S433" s="693"/>
      <c r="T433" s="694"/>
      <c r="U433" s="694"/>
      <c r="V433" s="693"/>
      <c r="W433" s="693"/>
      <c r="X433" s="693"/>
      <c r="Y433" s="671"/>
      <c r="Z433" s="673"/>
      <c r="AA433" s="672"/>
      <c r="AB433" s="695"/>
      <c r="AC433" s="673"/>
      <c r="AD433" s="673"/>
      <c r="AE433" s="673"/>
      <c r="AF433" s="673"/>
      <c r="AG433" s="673"/>
      <c r="AH433" s="673"/>
      <c r="AI433" s="673"/>
      <c r="AJ433" s="673"/>
      <c r="AK433" s="673"/>
      <c r="AL433" s="673"/>
      <c r="AM433" s="673"/>
      <c r="AN433" s="673"/>
      <c r="AO433" s="673"/>
      <c r="AP433" s="673"/>
      <c r="AQ433" s="673"/>
      <c r="AR433" s="673"/>
      <c r="AS433" s="673"/>
      <c r="AT433" s="696"/>
    </row>
    <row r="434" ht="15.75" customHeight="1">
      <c r="A434" s="653"/>
      <c r="B434" s="654"/>
      <c r="C434" s="691"/>
      <c r="D434" s="656"/>
      <c r="E434" s="657"/>
      <c r="F434" s="658"/>
      <c r="G434" s="659"/>
      <c r="H434" s="660"/>
      <c r="I434" s="659"/>
      <c r="J434" s="661"/>
      <c r="K434" s="692"/>
      <c r="L434" s="645"/>
      <c r="M434" s="663"/>
      <c r="N434" s="665"/>
      <c r="O434" s="665"/>
      <c r="P434" s="666"/>
      <c r="Q434" s="667"/>
      <c r="R434" s="668"/>
      <c r="S434" s="693"/>
      <c r="T434" s="694"/>
      <c r="U434" s="694"/>
      <c r="V434" s="693"/>
      <c r="W434" s="693"/>
      <c r="X434" s="693"/>
      <c r="Y434" s="671"/>
      <c r="Z434" s="673"/>
      <c r="AA434" s="672"/>
      <c r="AB434" s="695"/>
      <c r="AC434" s="673"/>
      <c r="AD434" s="673"/>
      <c r="AE434" s="673"/>
      <c r="AF434" s="673"/>
      <c r="AG434" s="673"/>
      <c r="AH434" s="673"/>
      <c r="AI434" s="673"/>
      <c r="AJ434" s="673"/>
      <c r="AK434" s="673"/>
      <c r="AL434" s="673"/>
      <c r="AM434" s="673"/>
      <c r="AN434" s="673"/>
      <c r="AO434" s="673"/>
      <c r="AP434" s="673"/>
      <c r="AQ434" s="673"/>
      <c r="AR434" s="673"/>
      <c r="AS434" s="673"/>
      <c r="AT434" s="696"/>
    </row>
    <row r="435" ht="15.75" customHeight="1">
      <c r="A435" s="653"/>
      <c r="B435" s="654"/>
      <c r="C435" s="691"/>
      <c r="D435" s="656"/>
      <c r="E435" s="657"/>
      <c r="F435" s="658"/>
      <c r="G435" s="659"/>
      <c r="H435" s="660"/>
      <c r="I435" s="659"/>
      <c r="J435" s="661"/>
      <c r="K435" s="692"/>
      <c r="L435" s="645"/>
      <c r="M435" s="663"/>
      <c r="N435" s="665"/>
      <c r="O435" s="665"/>
      <c r="P435" s="666"/>
      <c r="Q435" s="667"/>
      <c r="R435" s="668"/>
      <c r="S435" s="693"/>
      <c r="T435" s="694"/>
      <c r="U435" s="694"/>
      <c r="V435" s="693"/>
      <c r="W435" s="693"/>
      <c r="X435" s="693"/>
      <c r="Y435" s="671"/>
      <c r="Z435" s="673"/>
      <c r="AA435" s="672"/>
      <c r="AB435" s="695"/>
      <c r="AC435" s="673"/>
      <c r="AD435" s="673"/>
      <c r="AE435" s="673"/>
      <c r="AF435" s="673"/>
      <c r="AG435" s="673"/>
      <c r="AH435" s="673"/>
      <c r="AI435" s="673"/>
      <c r="AJ435" s="673"/>
      <c r="AK435" s="673"/>
      <c r="AL435" s="673"/>
      <c r="AM435" s="673"/>
      <c r="AN435" s="673"/>
      <c r="AO435" s="673"/>
      <c r="AP435" s="673"/>
      <c r="AQ435" s="673"/>
      <c r="AR435" s="673"/>
      <c r="AS435" s="673"/>
      <c r="AT435" s="696"/>
    </row>
    <row r="436" ht="15.75" customHeight="1">
      <c r="A436" s="653"/>
      <c r="B436" s="654"/>
      <c r="C436" s="691"/>
      <c r="D436" s="656"/>
      <c r="E436" s="657"/>
      <c r="F436" s="658"/>
      <c r="G436" s="659"/>
      <c r="H436" s="660"/>
      <c r="I436" s="659"/>
      <c r="J436" s="661"/>
      <c r="K436" s="692"/>
      <c r="L436" s="645"/>
      <c r="M436" s="663"/>
      <c r="N436" s="665"/>
      <c r="O436" s="665"/>
      <c r="P436" s="666"/>
      <c r="Q436" s="667"/>
      <c r="R436" s="668"/>
      <c r="S436" s="693"/>
      <c r="T436" s="694"/>
      <c r="U436" s="694"/>
      <c r="V436" s="693"/>
      <c r="W436" s="693"/>
      <c r="X436" s="693"/>
      <c r="Y436" s="671"/>
      <c r="Z436" s="673"/>
      <c r="AA436" s="672"/>
      <c r="AB436" s="695"/>
      <c r="AC436" s="673"/>
      <c r="AD436" s="673"/>
      <c r="AE436" s="673"/>
      <c r="AF436" s="673"/>
      <c r="AG436" s="673"/>
      <c r="AH436" s="673"/>
      <c r="AI436" s="673"/>
      <c r="AJ436" s="673"/>
      <c r="AK436" s="673"/>
      <c r="AL436" s="673"/>
      <c r="AM436" s="673"/>
      <c r="AN436" s="673"/>
      <c r="AO436" s="673"/>
      <c r="AP436" s="673"/>
      <c r="AQ436" s="673"/>
      <c r="AR436" s="673"/>
      <c r="AS436" s="673"/>
      <c r="AT436" s="696"/>
    </row>
    <row r="437" ht="15.75" customHeight="1">
      <c r="A437" s="653"/>
      <c r="B437" s="654"/>
      <c r="C437" s="691"/>
      <c r="D437" s="656"/>
      <c r="E437" s="657"/>
      <c r="F437" s="658"/>
      <c r="G437" s="659"/>
      <c r="H437" s="660"/>
      <c r="I437" s="659"/>
      <c r="J437" s="661"/>
      <c r="K437" s="692"/>
      <c r="L437" s="645"/>
      <c r="M437" s="663"/>
      <c r="N437" s="665"/>
      <c r="O437" s="665"/>
      <c r="P437" s="666"/>
      <c r="Q437" s="667"/>
      <c r="R437" s="668"/>
      <c r="S437" s="693"/>
      <c r="T437" s="694"/>
      <c r="U437" s="694"/>
      <c r="V437" s="693"/>
      <c r="W437" s="693"/>
      <c r="X437" s="693"/>
      <c r="Y437" s="671"/>
      <c r="Z437" s="673"/>
      <c r="AA437" s="672"/>
      <c r="AB437" s="695"/>
      <c r="AC437" s="673"/>
      <c r="AD437" s="673"/>
      <c r="AE437" s="673"/>
      <c r="AF437" s="673"/>
      <c r="AG437" s="673"/>
      <c r="AH437" s="673"/>
      <c r="AI437" s="673"/>
      <c r="AJ437" s="673"/>
      <c r="AK437" s="673"/>
      <c r="AL437" s="673"/>
      <c r="AM437" s="673"/>
      <c r="AN437" s="673"/>
      <c r="AO437" s="673"/>
      <c r="AP437" s="673"/>
      <c r="AQ437" s="673"/>
      <c r="AR437" s="673"/>
      <c r="AS437" s="673"/>
      <c r="AT437" s="696"/>
    </row>
    <row r="438" ht="15.75" customHeight="1">
      <c r="A438" s="653"/>
      <c r="B438" s="654"/>
      <c r="C438" s="691"/>
      <c r="D438" s="656"/>
      <c r="E438" s="657"/>
      <c r="F438" s="658"/>
      <c r="G438" s="659"/>
      <c r="H438" s="660"/>
      <c r="I438" s="659"/>
      <c r="J438" s="661"/>
      <c r="K438" s="692"/>
      <c r="L438" s="645"/>
      <c r="M438" s="663"/>
      <c r="N438" s="665"/>
      <c r="O438" s="665"/>
      <c r="P438" s="666"/>
      <c r="Q438" s="667"/>
      <c r="R438" s="668"/>
      <c r="S438" s="693"/>
      <c r="T438" s="694"/>
      <c r="U438" s="694"/>
      <c r="V438" s="693"/>
      <c r="W438" s="693"/>
      <c r="X438" s="693"/>
      <c r="Y438" s="671"/>
      <c r="Z438" s="673"/>
      <c r="AA438" s="672"/>
      <c r="AB438" s="695"/>
      <c r="AC438" s="673"/>
      <c r="AD438" s="673"/>
      <c r="AE438" s="673"/>
      <c r="AF438" s="673"/>
      <c r="AG438" s="673"/>
      <c r="AH438" s="673"/>
      <c r="AI438" s="673"/>
      <c r="AJ438" s="673"/>
      <c r="AK438" s="673"/>
      <c r="AL438" s="673"/>
      <c r="AM438" s="673"/>
      <c r="AN438" s="673"/>
      <c r="AO438" s="673"/>
      <c r="AP438" s="673"/>
      <c r="AQ438" s="673"/>
      <c r="AR438" s="673"/>
      <c r="AS438" s="673"/>
      <c r="AT438" s="696"/>
    </row>
    <row r="439" ht="15.75" customHeight="1">
      <c r="A439" s="653"/>
      <c r="B439" s="654"/>
      <c r="C439" s="691"/>
      <c r="D439" s="656"/>
      <c r="E439" s="657"/>
      <c r="F439" s="658"/>
      <c r="G439" s="659"/>
      <c r="H439" s="660"/>
      <c r="I439" s="659"/>
      <c r="J439" s="661"/>
      <c r="K439" s="692"/>
      <c r="L439" s="645"/>
      <c r="M439" s="663"/>
      <c r="N439" s="665"/>
      <c r="O439" s="665"/>
      <c r="P439" s="666"/>
      <c r="Q439" s="667"/>
      <c r="R439" s="668"/>
      <c r="S439" s="693"/>
      <c r="T439" s="694"/>
      <c r="U439" s="694"/>
      <c r="V439" s="693"/>
      <c r="W439" s="693"/>
      <c r="X439" s="693"/>
      <c r="Y439" s="671"/>
      <c r="Z439" s="673"/>
      <c r="AA439" s="672"/>
      <c r="AB439" s="695"/>
      <c r="AC439" s="673"/>
      <c r="AD439" s="673"/>
      <c r="AE439" s="673"/>
      <c r="AF439" s="673"/>
      <c r="AG439" s="673"/>
      <c r="AH439" s="673"/>
      <c r="AI439" s="673"/>
      <c r="AJ439" s="673"/>
      <c r="AK439" s="673"/>
      <c r="AL439" s="673"/>
      <c r="AM439" s="673"/>
      <c r="AN439" s="673"/>
      <c r="AO439" s="673"/>
      <c r="AP439" s="673"/>
      <c r="AQ439" s="673"/>
      <c r="AR439" s="673"/>
      <c r="AS439" s="673"/>
      <c r="AT439" s="696"/>
    </row>
    <row r="440" ht="15.75" customHeight="1">
      <c r="A440" s="653"/>
      <c r="B440" s="654"/>
      <c r="C440" s="691"/>
      <c r="D440" s="656"/>
      <c r="E440" s="657"/>
      <c r="F440" s="658"/>
      <c r="G440" s="659"/>
      <c r="H440" s="660"/>
      <c r="I440" s="659"/>
      <c r="J440" s="661"/>
      <c r="K440" s="692"/>
      <c r="L440" s="645"/>
      <c r="M440" s="663"/>
      <c r="N440" s="665"/>
      <c r="O440" s="665"/>
      <c r="P440" s="666"/>
      <c r="Q440" s="667"/>
      <c r="R440" s="668"/>
      <c r="S440" s="693"/>
      <c r="T440" s="694"/>
      <c r="U440" s="694"/>
      <c r="V440" s="693"/>
      <c r="W440" s="693"/>
      <c r="X440" s="693"/>
      <c r="Y440" s="671"/>
      <c r="Z440" s="673"/>
      <c r="AA440" s="672"/>
      <c r="AB440" s="695"/>
      <c r="AC440" s="673"/>
      <c r="AD440" s="673"/>
      <c r="AE440" s="673"/>
      <c r="AF440" s="673"/>
      <c r="AG440" s="673"/>
      <c r="AH440" s="673"/>
      <c r="AI440" s="673"/>
      <c r="AJ440" s="673"/>
      <c r="AK440" s="673"/>
      <c r="AL440" s="673"/>
      <c r="AM440" s="673"/>
      <c r="AN440" s="673"/>
      <c r="AO440" s="673"/>
      <c r="AP440" s="673"/>
      <c r="AQ440" s="673"/>
      <c r="AR440" s="673"/>
      <c r="AS440" s="673"/>
      <c r="AT440" s="696"/>
    </row>
    <row r="441" ht="15.75" customHeight="1">
      <c r="A441" s="653"/>
      <c r="B441" s="654"/>
      <c r="C441" s="691"/>
      <c r="D441" s="656"/>
      <c r="E441" s="657"/>
      <c r="F441" s="658"/>
      <c r="G441" s="659"/>
      <c r="H441" s="660"/>
      <c r="I441" s="659"/>
      <c r="J441" s="661"/>
      <c r="K441" s="692"/>
      <c r="L441" s="645"/>
      <c r="M441" s="663"/>
      <c r="N441" s="665"/>
      <c r="O441" s="665"/>
      <c r="P441" s="666"/>
      <c r="Q441" s="667"/>
      <c r="R441" s="668"/>
      <c r="S441" s="693"/>
      <c r="T441" s="694"/>
      <c r="U441" s="694"/>
      <c r="V441" s="693"/>
      <c r="W441" s="693"/>
      <c r="X441" s="693"/>
      <c r="Y441" s="671"/>
      <c r="Z441" s="673"/>
      <c r="AA441" s="672"/>
      <c r="AB441" s="695"/>
      <c r="AC441" s="673"/>
      <c r="AD441" s="673"/>
      <c r="AE441" s="673"/>
      <c r="AF441" s="673"/>
      <c r="AG441" s="673"/>
      <c r="AH441" s="673"/>
      <c r="AI441" s="673"/>
      <c r="AJ441" s="673"/>
      <c r="AK441" s="673"/>
      <c r="AL441" s="673"/>
      <c r="AM441" s="673"/>
      <c r="AN441" s="673"/>
      <c r="AO441" s="673"/>
      <c r="AP441" s="673"/>
      <c r="AQ441" s="673"/>
      <c r="AR441" s="673"/>
      <c r="AS441" s="673"/>
      <c r="AT441" s="696"/>
    </row>
    <row r="442" ht="15.75" customHeight="1">
      <c r="A442" s="653"/>
      <c r="B442" s="654"/>
      <c r="C442" s="691"/>
      <c r="D442" s="656"/>
      <c r="E442" s="657"/>
      <c r="F442" s="658"/>
      <c r="G442" s="659"/>
      <c r="H442" s="660"/>
      <c r="I442" s="659"/>
      <c r="J442" s="661"/>
      <c r="K442" s="692"/>
      <c r="L442" s="645"/>
      <c r="M442" s="663"/>
      <c r="N442" s="665"/>
      <c r="O442" s="665"/>
      <c r="P442" s="666"/>
      <c r="Q442" s="667"/>
      <c r="R442" s="668"/>
      <c r="S442" s="693"/>
      <c r="T442" s="694"/>
      <c r="U442" s="694"/>
      <c r="V442" s="693"/>
      <c r="W442" s="693"/>
      <c r="X442" s="693"/>
      <c r="Y442" s="671"/>
      <c r="Z442" s="673"/>
      <c r="AA442" s="672"/>
      <c r="AB442" s="695"/>
      <c r="AC442" s="673"/>
      <c r="AD442" s="673"/>
      <c r="AE442" s="673"/>
      <c r="AF442" s="673"/>
      <c r="AG442" s="673"/>
      <c r="AH442" s="673"/>
      <c r="AI442" s="673"/>
      <c r="AJ442" s="673"/>
      <c r="AK442" s="673"/>
      <c r="AL442" s="673"/>
      <c r="AM442" s="673"/>
      <c r="AN442" s="673"/>
      <c r="AO442" s="673"/>
      <c r="AP442" s="673"/>
      <c r="AQ442" s="673"/>
      <c r="AR442" s="673"/>
      <c r="AS442" s="673"/>
      <c r="AT442" s="696"/>
    </row>
    <row r="443" ht="15.75" customHeight="1">
      <c r="A443" s="653"/>
      <c r="B443" s="654"/>
      <c r="C443" s="691"/>
      <c r="D443" s="656"/>
      <c r="E443" s="657"/>
      <c r="F443" s="658"/>
      <c r="G443" s="659"/>
      <c r="H443" s="660"/>
      <c r="I443" s="659"/>
      <c r="J443" s="661"/>
      <c r="K443" s="692"/>
      <c r="L443" s="645"/>
      <c r="M443" s="663"/>
      <c r="N443" s="665"/>
      <c r="O443" s="665"/>
      <c r="P443" s="666"/>
      <c r="Q443" s="667"/>
      <c r="R443" s="668"/>
      <c r="S443" s="693"/>
      <c r="T443" s="694"/>
      <c r="U443" s="694"/>
      <c r="V443" s="693"/>
      <c r="W443" s="693"/>
      <c r="X443" s="693"/>
      <c r="Y443" s="671"/>
      <c r="Z443" s="673"/>
      <c r="AA443" s="672"/>
      <c r="AB443" s="695"/>
      <c r="AC443" s="673"/>
      <c r="AD443" s="673"/>
      <c r="AE443" s="673"/>
      <c r="AF443" s="673"/>
      <c r="AG443" s="673"/>
      <c r="AH443" s="673"/>
      <c r="AI443" s="673"/>
      <c r="AJ443" s="673"/>
      <c r="AK443" s="673"/>
      <c r="AL443" s="673"/>
      <c r="AM443" s="673"/>
      <c r="AN443" s="673"/>
      <c r="AO443" s="673"/>
      <c r="AP443" s="673"/>
      <c r="AQ443" s="673"/>
      <c r="AR443" s="673"/>
      <c r="AS443" s="673"/>
      <c r="AT443" s="696"/>
    </row>
    <row r="444" ht="15.75" customHeight="1">
      <c r="A444" s="653"/>
      <c r="B444" s="654"/>
      <c r="C444" s="691"/>
      <c r="D444" s="656"/>
      <c r="E444" s="657"/>
      <c r="F444" s="658"/>
      <c r="G444" s="659"/>
      <c r="H444" s="660"/>
      <c r="I444" s="659"/>
      <c r="J444" s="661"/>
      <c r="K444" s="692"/>
      <c r="L444" s="645"/>
      <c r="M444" s="663"/>
      <c r="N444" s="665"/>
      <c r="O444" s="665"/>
      <c r="P444" s="666"/>
      <c r="Q444" s="667"/>
      <c r="R444" s="668"/>
      <c r="S444" s="693"/>
      <c r="T444" s="694"/>
      <c r="U444" s="694"/>
      <c r="V444" s="693"/>
      <c r="W444" s="693"/>
      <c r="X444" s="693"/>
      <c r="Y444" s="671"/>
      <c r="Z444" s="673"/>
      <c r="AA444" s="672"/>
      <c r="AB444" s="695"/>
      <c r="AC444" s="673"/>
      <c r="AD444" s="673"/>
      <c r="AE444" s="673"/>
      <c r="AF444" s="673"/>
      <c r="AG444" s="673"/>
      <c r="AH444" s="673"/>
      <c r="AI444" s="673"/>
      <c r="AJ444" s="673"/>
      <c r="AK444" s="673"/>
      <c r="AL444" s="673"/>
      <c r="AM444" s="673"/>
      <c r="AN444" s="673"/>
      <c r="AO444" s="673"/>
      <c r="AP444" s="673"/>
      <c r="AQ444" s="673"/>
      <c r="AR444" s="673"/>
      <c r="AS444" s="673"/>
      <c r="AT444" s="696"/>
    </row>
    <row r="445" ht="15.75" customHeight="1">
      <c r="A445" s="653"/>
      <c r="B445" s="654"/>
      <c r="C445" s="691"/>
      <c r="D445" s="656"/>
      <c r="E445" s="657"/>
      <c r="F445" s="658"/>
      <c r="G445" s="659"/>
      <c r="H445" s="660"/>
      <c r="I445" s="659"/>
      <c r="J445" s="661"/>
      <c r="K445" s="692"/>
      <c r="L445" s="645"/>
      <c r="M445" s="663"/>
      <c r="N445" s="665"/>
      <c r="O445" s="665"/>
      <c r="P445" s="666"/>
      <c r="Q445" s="667"/>
      <c r="R445" s="668"/>
      <c r="S445" s="693"/>
      <c r="T445" s="694"/>
      <c r="U445" s="694"/>
      <c r="V445" s="693"/>
      <c r="W445" s="693"/>
      <c r="X445" s="693"/>
      <c r="Y445" s="671"/>
      <c r="Z445" s="673"/>
      <c r="AA445" s="672"/>
      <c r="AB445" s="695"/>
      <c r="AC445" s="673"/>
      <c r="AD445" s="673"/>
      <c r="AE445" s="673"/>
      <c r="AF445" s="673"/>
      <c r="AG445" s="673"/>
      <c r="AH445" s="673"/>
      <c r="AI445" s="673"/>
      <c r="AJ445" s="673"/>
      <c r="AK445" s="673"/>
      <c r="AL445" s="673"/>
      <c r="AM445" s="673"/>
      <c r="AN445" s="673"/>
      <c r="AO445" s="673"/>
      <c r="AP445" s="673"/>
      <c r="AQ445" s="673"/>
      <c r="AR445" s="673"/>
      <c r="AS445" s="673"/>
      <c r="AT445" s="696"/>
    </row>
    <row r="446" ht="15.75" customHeight="1">
      <c r="A446" s="653"/>
      <c r="B446" s="654"/>
      <c r="C446" s="691"/>
      <c r="D446" s="656"/>
      <c r="E446" s="657"/>
      <c r="F446" s="658"/>
      <c r="G446" s="659"/>
      <c r="H446" s="660"/>
      <c r="I446" s="659"/>
      <c r="J446" s="661"/>
      <c r="K446" s="692"/>
      <c r="L446" s="645"/>
      <c r="M446" s="663"/>
      <c r="N446" s="665"/>
      <c r="O446" s="665"/>
      <c r="P446" s="666"/>
      <c r="Q446" s="667"/>
      <c r="R446" s="668"/>
      <c r="S446" s="693"/>
      <c r="T446" s="694"/>
      <c r="U446" s="694"/>
      <c r="V446" s="693"/>
      <c r="W446" s="693"/>
      <c r="X446" s="693"/>
      <c r="Y446" s="671"/>
      <c r="Z446" s="673"/>
      <c r="AA446" s="672"/>
      <c r="AB446" s="695"/>
      <c r="AC446" s="673"/>
      <c r="AD446" s="673"/>
      <c r="AE446" s="673"/>
      <c r="AF446" s="673"/>
      <c r="AG446" s="673"/>
      <c r="AH446" s="673"/>
      <c r="AI446" s="673"/>
      <c r="AJ446" s="673"/>
      <c r="AK446" s="673"/>
      <c r="AL446" s="673"/>
      <c r="AM446" s="673"/>
      <c r="AN446" s="673"/>
      <c r="AO446" s="673"/>
      <c r="AP446" s="673"/>
      <c r="AQ446" s="673"/>
      <c r="AR446" s="673"/>
      <c r="AS446" s="673"/>
      <c r="AT446" s="696"/>
    </row>
    <row r="447" ht="15.75" customHeight="1">
      <c r="A447" s="653"/>
      <c r="B447" s="654"/>
      <c r="C447" s="691"/>
      <c r="D447" s="656"/>
      <c r="E447" s="657"/>
      <c r="F447" s="658"/>
      <c r="G447" s="659"/>
      <c r="H447" s="660"/>
      <c r="I447" s="659"/>
      <c r="J447" s="661"/>
      <c r="K447" s="692"/>
      <c r="L447" s="645"/>
      <c r="M447" s="663"/>
      <c r="N447" s="665"/>
      <c r="O447" s="665"/>
      <c r="P447" s="666"/>
      <c r="Q447" s="667"/>
      <c r="R447" s="668"/>
      <c r="S447" s="693"/>
      <c r="T447" s="694"/>
      <c r="U447" s="694"/>
      <c r="V447" s="693"/>
      <c r="W447" s="693"/>
      <c r="X447" s="693"/>
      <c r="Y447" s="671"/>
      <c r="Z447" s="673"/>
      <c r="AA447" s="672"/>
      <c r="AB447" s="695"/>
      <c r="AC447" s="673"/>
      <c r="AD447" s="673"/>
      <c r="AE447" s="673"/>
      <c r="AF447" s="673"/>
      <c r="AG447" s="673"/>
      <c r="AH447" s="673"/>
      <c r="AI447" s="673"/>
      <c r="AJ447" s="673"/>
      <c r="AK447" s="673"/>
      <c r="AL447" s="673"/>
      <c r="AM447" s="673"/>
      <c r="AN447" s="673"/>
      <c r="AO447" s="673"/>
      <c r="AP447" s="673"/>
      <c r="AQ447" s="673"/>
      <c r="AR447" s="673"/>
      <c r="AS447" s="673"/>
      <c r="AT447" s="696"/>
    </row>
    <row r="448" ht="15.75" customHeight="1">
      <c r="A448" s="653"/>
      <c r="B448" s="654"/>
      <c r="C448" s="691"/>
      <c r="D448" s="656"/>
      <c r="E448" s="657"/>
      <c r="F448" s="658"/>
      <c r="G448" s="659"/>
      <c r="H448" s="660"/>
      <c r="I448" s="659"/>
      <c r="J448" s="661"/>
      <c r="K448" s="692"/>
      <c r="L448" s="645"/>
      <c r="M448" s="663"/>
      <c r="N448" s="665"/>
      <c r="O448" s="665"/>
      <c r="P448" s="666"/>
      <c r="Q448" s="667"/>
      <c r="R448" s="668"/>
      <c r="S448" s="693"/>
      <c r="T448" s="694"/>
      <c r="U448" s="694"/>
      <c r="V448" s="693"/>
      <c r="W448" s="693"/>
      <c r="X448" s="693"/>
      <c r="Y448" s="671"/>
      <c r="Z448" s="673"/>
      <c r="AA448" s="672"/>
      <c r="AB448" s="695"/>
      <c r="AC448" s="673"/>
      <c r="AD448" s="673"/>
      <c r="AE448" s="673"/>
      <c r="AF448" s="673"/>
      <c r="AG448" s="673"/>
      <c r="AH448" s="673"/>
      <c r="AI448" s="673"/>
      <c r="AJ448" s="673"/>
      <c r="AK448" s="673"/>
      <c r="AL448" s="673"/>
      <c r="AM448" s="673"/>
      <c r="AN448" s="673"/>
      <c r="AO448" s="673"/>
      <c r="AP448" s="673"/>
      <c r="AQ448" s="673"/>
      <c r="AR448" s="673"/>
      <c r="AS448" s="673"/>
      <c r="AT448" s="696"/>
    </row>
    <row r="449" ht="15.75" customHeight="1">
      <c r="A449" s="653"/>
      <c r="B449" s="654"/>
      <c r="C449" s="691"/>
      <c r="D449" s="656"/>
      <c r="E449" s="657"/>
      <c r="F449" s="658"/>
      <c r="G449" s="659"/>
      <c r="H449" s="660"/>
      <c r="I449" s="659"/>
      <c r="J449" s="661"/>
      <c r="K449" s="692"/>
      <c r="L449" s="645"/>
      <c r="M449" s="663"/>
      <c r="N449" s="665"/>
      <c r="O449" s="665"/>
      <c r="P449" s="666"/>
      <c r="Q449" s="667"/>
      <c r="R449" s="668"/>
      <c r="S449" s="693"/>
      <c r="T449" s="694"/>
      <c r="U449" s="694"/>
      <c r="V449" s="693"/>
      <c r="W449" s="693"/>
      <c r="X449" s="693"/>
      <c r="Y449" s="671"/>
      <c r="Z449" s="673"/>
      <c r="AA449" s="672"/>
      <c r="AB449" s="695"/>
      <c r="AC449" s="673"/>
      <c r="AD449" s="673"/>
      <c r="AE449" s="673"/>
      <c r="AF449" s="673"/>
      <c r="AG449" s="673"/>
      <c r="AH449" s="673"/>
      <c r="AI449" s="673"/>
      <c r="AJ449" s="673"/>
      <c r="AK449" s="673"/>
      <c r="AL449" s="673"/>
      <c r="AM449" s="673"/>
      <c r="AN449" s="673"/>
      <c r="AO449" s="673"/>
      <c r="AP449" s="673"/>
      <c r="AQ449" s="673"/>
      <c r="AR449" s="673"/>
      <c r="AS449" s="673"/>
      <c r="AT449" s="696"/>
    </row>
    <row r="450" ht="15.75" customHeight="1">
      <c r="A450" s="653"/>
      <c r="B450" s="654"/>
      <c r="C450" s="691"/>
      <c r="D450" s="656"/>
      <c r="E450" s="657"/>
      <c r="F450" s="658"/>
      <c r="G450" s="659"/>
      <c r="H450" s="660"/>
      <c r="I450" s="659"/>
      <c r="J450" s="661"/>
      <c r="K450" s="692"/>
      <c r="L450" s="645"/>
      <c r="M450" s="663"/>
      <c r="N450" s="665"/>
      <c r="O450" s="665"/>
      <c r="P450" s="666"/>
      <c r="Q450" s="667"/>
      <c r="R450" s="668"/>
      <c r="S450" s="693"/>
      <c r="T450" s="694"/>
      <c r="U450" s="694"/>
      <c r="V450" s="693"/>
      <c r="W450" s="693"/>
      <c r="X450" s="693"/>
      <c r="Y450" s="671"/>
      <c r="Z450" s="673"/>
      <c r="AA450" s="672"/>
      <c r="AB450" s="695"/>
      <c r="AC450" s="673"/>
      <c r="AD450" s="673"/>
      <c r="AE450" s="673"/>
      <c r="AF450" s="673"/>
      <c r="AG450" s="673"/>
      <c r="AH450" s="673"/>
      <c r="AI450" s="673"/>
      <c r="AJ450" s="673"/>
      <c r="AK450" s="673"/>
      <c r="AL450" s="673"/>
      <c r="AM450" s="673"/>
      <c r="AN450" s="673"/>
      <c r="AO450" s="673"/>
      <c r="AP450" s="673"/>
      <c r="AQ450" s="673"/>
      <c r="AR450" s="673"/>
      <c r="AS450" s="673"/>
      <c r="AT450" s="696"/>
    </row>
    <row r="451" ht="15.75" customHeight="1">
      <c r="A451" s="653"/>
      <c r="B451" s="654"/>
      <c r="C451" s="691"/>
      <c r="D451" s="656"/>
      <c r="E451" s="657"/>
      <c r="F451" s="658"/>
      <c r="G451" s="659"/>
      <c r="H451" s="660"/>
      <c r="I451" s="659"/>
      <c r="J451" s="661"/>
      <c r="K451" s="692"/>
      <c r="L451" s="645"/>
      <c r="M451" s="663"/>
      <c r="N451" s="665"/>
      <c r="O451" s="665"/>
      <c r="P451" s="666"/>
      <c r="Q451" s="667"/>
      <c r="R451" s="668"/>
      <c r="S451" s="693"/>
      <c r="T451" s="694"/>
      <c r="U451" s="694"/>
      <c r="V451" s="693"/>
      <c r="W451" s="693"/>
      <c r="X451" s="693"/>
      <c r="Y451" s="671"/>
      <c r="Z451" s="673"/>
      <c r="AA451" s="672"/>
      <c r="AB451" s="695"/>
      <c r="AC451" s="673"/>
      <c r="AD451" s="673"/>
      <c r="AE451" s="673"/>
      <c r="AF451" s="673"/>
      <c r="AG451" s="673"/>
      <c r="AH451" s="673"/>
      <c r="AI451" s="673"/>
      <c r="AJ451" s="673"/>
      <c r="AK451" s="673"/>
      <c r="AL451" s="673"/>
      <c r="AM451" s="673"/>
      <c r="AN451" s="673"/>
      <c r="AO451" s="673"/>
      <c r="AP451" s="673"/>
      <c r="AQ451" s="673"/>
      <c r="AR451" s="673"/>
      <c r="AS451" s="673"/>
      <c r="AT451" s="696"/>
    </row>
    <row r="452" ht="15.75" customHeight="1">
      <c r="A452" s="653"/>
      <c r="B452" s="654"/>
      <c r="C452" s="691"/>
      <c r="D452" s="656"/>
      <c r="E452" s="657"/>
      <c r="F452" s="658"/>
      <c r="G452" s="659"/>
      <c r="H452" s="660"/>
      <c r="I452" s="659"/>
      <c r="J452" s="661"/>
      <c r="K452" s="692"/>
      <c r="L452" s="645"/>
      <c r="M452" s="663"/>
      <c r="N452" s="665"/>
      <c r="O452" s="665"/>
      <c r="P452" s="666"/>
      <c r="Q452" s="667"/>
      <c r="R452" s="668"/>
      <c r="S452" s="693"/>
      <c r="T452" s="694"/>
      <c r="U452" s="694"/>
      <c r="V452" s="693"/>
      <c r="W452" s="693"/>
      <c r="X452" s="693"/>
      <c r="Y452" s="671"/>
      <c r="Z452" s="673"/>
      <c r="AA452" s="672"/>
      <c r="AB452" s="695"/>
      <c r="AC452" s="673"/>
      <c r="AD452" s="673"/>
      <c r="AE452" s="673"/>
      <c r="AF452" s="673"/>
      <c r="AG452" s="673"/>
      <c r="AH452" s="673"/>
      <c r="AI452" s="673"/>
      <c r="AJ452" s="673"/>
      <c r="AK452" s="673"/>
      <c r="AL452" s="673"/>
      <c r="AM452" s="673"/>
      <c r="AN452" s="673"/>
      <c r="AO452" s="673"/>
      <c r="AP452" s="673"/>
      <c r="AQ452" s="673"/>
      <c r="AR452" s="673"/>
      <c r="AS452" s="673"/>
      <c r="AT452" s="696"/>
    </row>
    <row r="453" ht="15.75" customHeight="1">
      <c r="A453" s="653"/>
      <c r="B453" s="654"/>
      <c r="C453" s="691"/>
      <c r="D453" s="656"/>
      <c r="E453" s="657"/>
      <c r="F453" s="658"/>
      <c r="G453" s="659"/>
      <c r="H453" s="660"/>
      <c r="I453" s="659"/>
      <c r="J453" s="661"/>
      <c r="K453" s="692"/>
      <c r="L453" s="645"/>
      <c r="M453" s="663"/>
      <c r="N453" s="665"/>
      <c r="O453" s="665"/>
      <c r="P453" s="666"/>
      <c r="Q453" s="667"/>
      <c r="R453" s="668"/>
      <c r="S453" s="693"/>
      <c r="T453" s="694"/>
      <c r="U453" s="694"/>
      <c r="V453" s="693"/>
      <c r="W453" s="693"/>
      <c r="X453" s="693"/>
      <c r="Y453" s="671"/>
      <c r="Z453" s="673"/>
      <c r="AA453" s="672"/>
      <c r="AB453" s="695"/>
      <c r="AC453" s="673"/>
      <c r="AD453" s="673"/>
      <c r="AE453" s="673"/>
      <c r="AF453" s="673"/>
      <c r="AG453" s="673"/>
      <c r="AH453" s="673"/>
      <c r="AI453" s="673"/>
      <c r="AJ453" s="673"/>
      <c r="AK453" s="673"/>
      <c r="AL453" s="673"/>
      <c r="AM453" s="673"/>
      <c r="AN453" s="673"/>
      <c r="AO453" s="673"/>
      <c r="AP453" s="673"/>
      <c r="AQ453" s="673"/>
      <c r="AR453" s="673"/>
      <c r="AS453" s="673"/>
      <c r="AT453" s="696"/>
    </row>
    <row r="454" ht="15.75" customHeight="1">
      <c r="A454" s="653"/>
      <c r="B454" s="654"/>
      <c r="C454" s="691"/>
      <c r="D454" s="656"/>
      <c r="E454" s="657"/>
      <c r="F454" s="658"/>
      <c r="G454" s="659"/>
      <c r="H454" s="660"/>
      <c r="I454" s="659"/>
      <c r="J454" s="661"/>
      <c r="K454" s="692"/>
      <c r="L454" s="645"/>
      <c r="M454" s="663"/>
      <c r="N454" s="665"/>
      <c r="O454" s="665"/>
      <c r="P454" s="666"/>
      <c r="Q454" s="667"/>
      <c r="R454" s="668"/>
      <c r="S454" s="693"/>
      <c r="T454" s="694"/>
      <c r="U454" s="694"/>
      <c r="V454" s="693"/>
      <c r="W454" s="693"/>
      <c r="X454" s="693"/>
      <c r="Y454" s="671"/>
      <c r="Z454" s="673"/>
      <c r="AA454" s="672"/>
      <c r="AB454" s="695"/>
      <c r="AC454" s="673"/>
      <c r="AD454" s="673"/>
      <c r="AE454" s="673"/>
      <c r="AF454" s="673"/>
      <c r="AG454" s="673"/>
      <c r="AH454" s="673"/>
      <c r="AI454" s="673"/>
      <c r="AJ454" s="673"/>
      <c r="AK454" s="673"/>
      <c r="AL454" s="673"/>
      <c r="AM454" s="673"/>
      <c r="AN454" s="673"/>
      <c r="AO454" s="673"/>
      <c r="AP454" s="673"/>
      <c r="AQ454" s="673"/>
      <c r="AR454" s="673"/>
      <c r="AS454" s="673"/>
      <c r="AT454" s="696"/>
    </row>
    <row r="455" ht="15.75" customHeight="1">
      <c r="A455" s="653"/>
      <c r="B455" s="654"/>
      <c r="C455" s="691"/>
      <c r="D455" s="656"/>
      <c r="E455" s="657"/>
      <c r="F455" s="658"/>
      <c r="G455" s="659"/>
      <c r="H455" s="660"/>
      <c r="I455" s="659"/>
      <c r="J455" s="661"/>
      <c r="K455" s="692"/>
      <c r="L455" s="645"/>
      <c r="M455" s="663"/>
      <c r="N455" s="665"/>
      <c r="O455" s="665"/>
      <c r="P455" s="666"/>
      <c r="Q455" s="667"/>
      <c r="R455" s="668"/>
      <c r="S455" s="693"/>
      <c r="T455" s="694"/>
      <c r="U455" s="694"/>
      <c r="V455" s="693"/>
      <c r="W455" s="693"/>
      <c r="X455" s="693"/>
      <c r="Y455" s="671"/>
      <c r="Z455" s="673"/>
      <c r="AA455" s="672"/>
      <c r="AB455" s="695"/>
      <c r="AC455" s="673"/>
      <c r="AD455" s="673"/>
      <c r="AE455" s="673"/>
      <c r="AF455" s="673"/>
      <c r="AG455" s="673"/>
      <c r="AH455" s="673"/>
      <c r="AI455" s="673"/>
      <c r="AJ455" s="673"/>
      <c r="AK455" s="673"/>
      <c r="AL455" s="673"/>
      <c r="AM455" s="673"/>
      <c r="AN455" s="673"/>
      <c r="AO455" s="673"/>
      <c r="AP455" s="673"/>
      <c r="AQ455" s="673"/>
      <c r="AR455" s="673"/>
      <c r="AS455" s="673"/>
      <c r="AT455" s="696"/>
    </row>
    <row r="456" ht="15.75" customHeight="1">
      <c r="A456" s="653"/>
      <c r="B456" s="654"/>
      <c r="C456" s="691"/>
      <c r="D456" s="656"/>
      <c r="E456" s="657"/>
      <c r="F456" s="658"/>
      <c r="G456" s="659"/>
      <c r="H456" s="660"/>
      <c r="I456" s="659"/>
      <c r="J456" s="661"/>
      <c r="K456" s="692"/>
      <c r="L456" s="645"/>
      <c r="M456" s="663"/>
      <c r="N456" s="665"/>
      <c r="O456" s="665"/>
      <c r="P456" s="666"/>
      <c r="Q456" s="667"/>
      <c r="R456" s="668"/>
      <c r="S456" s="693"/>
      <c r="T456" s="694"/>
      <c r="U456" s="694"/>
      <c r="V456" s="693"/>
      <c r="W456" s="693"/>
      <c r="X456" s="693"/>
      <c r="Y456" s="671"/>
      <c r="Z456" s="673"/>
      <c r="AA456" s="672"/>
      <c r="AB456" s="695"/>
      <c r="AC456" s="673"/>
      <c r="AD456" s="673"/>
      <c r="AE456" s="673"/>
      <c r="AF456" s="673"/>
      <c r="AG456" s="673"/>
      <c r="AH456" s="673"/>
      <c r="AI456" s="673"/>
      <c r="AJ456" s="673"/>
      <c r="AK456" s="673"/>
      <c r="AL456" s="673"/>
      <c r="AM456" s="673"/>
      <c r="AN456" s="673"/>
      <c r="AO456" s="673"/>
      <c r="AP456" s="673"/>
      <c r="AQ456" s="673"/>
      <c r="AR456" s="673"/>
      <c r="AS456" s="673"/>
      <c r="AT456" s="696"/>
    </row>
    <row r="457" ht="15.75" customHeight="1">
      <c r="A457" s="653"/>
      <c r="B457" s="654"/>
      <c r="C457" s="691"/>
      <c r="D457" s="656"/>
      <c r="E457" s="657"/>
      <c r="F457" s="658"/>
      <c r="G457" s="659"/>
      <c r="H457" s="660"/>
      <c r="I457" s="659"/>
      <c r="J457" s="661"/>
      <c r="K457" s="692"/>
      <c r="L457" s="645"/>
      <c r="M457" s="663"/>
      <c r="N457" s="665"/>
      <c r="O457" s="665"/>
      <c r="P457" s="666"/>
      <c r="Q457" s="667"/>
      <c r="R457" s="668"/>
      <c r="S457" s="693"/>
      <c r="T457" s="694"/>
      <c r="U457" s="694"/>
      <c r="V457" s="693"/>
      <c r="W457" s="693"/>
      <c r="X457" s="693"/>
      <c r="Y457" s="671"/>
      <c r="Z457" s="673"/>
      <c r="AA457" s="672"/>
      <c r="AB457" s="695"/>
      <c r="AC457" s="673"/>
      <c r="AD457" s="673"/>
      <c r="AE457" s="673"/>
      <c r="AF457" s="673"/>
      <c r="AG457" s="673"/>
      <c r="AH457" s="673"/>
      <c r="AI457" s="673"/>
      <c r="AJ457" s="673"/>
      <c r="AK457" s="673"/>
      <c r="AL457" s="673"/>
      <c r="AM457" s="673"/>
      <c r="AN457" s="673"/>
      <c r="AO457" s="673"/>
      <c r="AP457" s="673"/>
      <c r="AQ457" s="673"/>
      <c r="AR457" s="673"/>
      <c r="AS457" s="673"/>
      <c r="AT457" s="696"/>
    </row>
    <row r="458" ht="15.75" customHeight="1">
      <c r="A458" s="653"/>
      <c r="B458" s="654"/>
      <c r="C458" s="691"/>
      <c r="D458" s="656"/>
      <c r="E458" s="657"/>
      <c r="F458" s="658"/>
      <c r="G458" s="659"/>
      <c r="H458" s="660"/>
      <c r="I458" s="659"/>
      <c r="J458" s="661"/>
      <c r="K458" s="692"/>
      <c r="L458" s="645"/>
      <c r="M458" s="663"/>
      <c r="N458" s="665"/>
      <c r="O458" s="665"/>
      <c r="P458" s="666"/>
      <c r="Q458" s="667"/>
      <c r="R458" s="668"/>
      <c r="S458" s="693"/>
      <c r="T458" s="694"/>
      <c r="U458" s="694"/>
      <c r="V458" s="693"/>
      <c r="W458" s="693"/>
      <c r="X458" s="693"/>
      <c r="Y458" s="671"/>
      <c r="Z458" s="673"/>
      <c r="AA458" s="672"/>
      <c r="AB458" s="695"/>
      <c r="AC458" s="673"/>
      <c r="AD458" s="673"/>
      <c r="AE458" s="673"/>
      <c r="AF458" s="673"/>
      <c r="AG458" s="673"/>
      <c r="AH458" s="673"/>
      <c r="AI458" s="673"/>
      <c r="AJ458" s="673"/>
      <c r="AK458" s="673"/>
      <c r="AL458" s="673"/>
      <c r="AM458" s="673"/>
      <c r="AN458" s="673"/>
      <c r="AO458" s="673"/>
      <c r="AP458" s="673"/>
      <c r="AQ458" s="673"/>
      <c r="AR458" s="673"/>
      <c r="AS458" s="673"/>
      <c r="AT458" s="696"/>
    </row>
    <row r="459" ht="15.75" customHeight="1">
      <c r="A459" s="653"/>
      <c r="B459" s="654"/>
      <c r="C459" s="691"/>
      <c r="D459" s="656"/>
      <c r="E459" s="657"/>
      <c r="F459" s="658"/>
      <c r="G459" s="659"/>
      <c r="H459" s="660"/>
      <c r="I459" s="659"/>
      <c r="J459" s="661"/>
      <c r="K459" s="692"/>
      <c r="L459" s="645"/>
      <c r="M459" s="663"/>
      <c r="N459" s="665"/>
      <c r="O459" s="665"/>
      <c r="P459" s="666"/>
      <c r="Q459" s="667"/>
      <c r="R459" s="668"/>
      <c r="S459" s="693"/>
      <c r="T459" s="694"/>
      <c r="U459" s="694"/>
      <c r="V459" s="693"/>
      <c r="W459" s="693"/>
      <c r="X459" s="693"/>
      <c r="Y459" s="671"/>
      <c r="Z459" s="673"/>
      <c r="AA459" s="672"/>
      <c r="AB459" s="695"/>
      <c r="AC459" s="673"/>
      <c r="AD459" s="673"/>
      <c r="AE459" s="673"/>
      <c r="AF459" s="673"/>
      <c r="AG459" s="673"/>
      <c r="AH459" s="673"/>
      <c r="AI459" s="673"/>
      <c r="AJ459" s="673"/>
      <c r="AK459" s="673"/>
      <c r="AL459" s="673"/>
      <c r="AM459" s="673"/>
      <c r="AN459" s="673"/>
      <c r="AO459" s="673"/>
      <c r="AP459" s="673"/>
      <c r="AQ459" s="673"/>
      <c r="AR459" s="673"/>
      <c r="AS459" s="673"/>
      <c r="AT459" s="696"/>
    </row>
    <row r="460" ht="15.75" customHeight="1">
      <c r="A460" s="653"/>
      <c r="B460" s="654"/>
      <c r="C460" s="691"/>
      <c r="D460" s="656"/>
      <c r="E460" s="657"/>
      <c r="F460" s="658"/>
      <c r="G460" s="659"/>
      <c r="H460" s="660"/>
      <c r="I460" s="659"/>
      <c r="J460" s="661"/>
      <c r="K460" s="692"/>
      <c r="L460" s="645"/>
      <c r="M460" s="663"/>
      <c r="N460" s="665"/>
      <c r="O460" s="665"/>
      <c r="P460" s="666"/>
      <c r="Q460" s="667"/>
      <c r="R460" s="668"/>
      <c r="S460" s="693"/>
      <c r="T460" s="694"/>
      <c r="U460" s="694"/>
      <c r="V460" s="693"/>
      <c r="W460" s="693"/>
      <c r="X460" s="693"/>
      <c r="Y460" s="671"/>
      <c r="Z460" s="673"/>
      <c r="AA460" s="672"/>
      <c r="AB460" s="695"/>
      <c r="AC460" s="673"/>
      <c r="AD460" s="673"/>
      <c r="AE460" s="673"/>
      <c r="AF460" s="673"/>
      <c r="AG460" s="673"/>
      <c r="AH460" s="673"/>
      <c r="AI460" s="673"/>
      <c r="AJ460" s="673"/>
      <c r="AK460" s="673"/>
      <c r="AL460" s="673"/>
      <c r="AM460" s="673"/>
      <c r="AN460" s="673"/>
      <c r="AO460" s="673"/>
      <c r="AP460" s="673"/>
      <c r="AQ460" s="673"/>
      <c r="AR460" s="673"/>
      <c r="AS460" s="673"/>
      <c r="AT460" s="696"/>
    </row>
    <row r="461" ht="15.75" customHeight="1">
      <c r="A461" s="653"/>
      <c r="B461" s="654"/>
      <c r="C461" s="691"/>
      <c r="D461" s="656"/>
      <c r="E461" s="657"/>
      <c r="F461" s="658"/>
      <c r="G461" s="659"/>
      <c r="H461" s="660"/>
      <c r="I461" s="659"/>
      <c r="J461" s="661"/>
      <c r="K461" s="692"/>
      <c r="L461" s="645"/>
      <c r="M461" s="663"/>
      <c r="N461" s="665"/>
      <c r="O461" s="665"/>
      <c r="P461" s="666"/>
      <c r="Q461" s="667"/>
      <c r="R461" s="668"/>
      <c r="S461" s="693"/>
      <c r="T461" s="694"/>
      <c r="U461" s="694"/>
      <c r="V461" s="693"/>
      <c r="W461" s="693"/>
      <c r="X461" s="693"/>
      <c r="Y461" s="671"/>
      <c r="Z461" s="673"/>
      <c r="AA461" s="672"/>
      <c r="AB461" s="695"/>
      <c r="AC461" s="673"/>
      <c r="AD461" s="673"/>
      <c r="AE461" s="673"/>
      <c r="AF461" s="673"/>
      <c r="AG461" s="673"/>
      <c r="AH461" s="673"/>
      <c r="AI461" s="673"/>
      <c r="AJ461" s="673"/>
      <c r="AK461" s="673"/>
      <c r="AL461" s="673"/>
      <c r="AM461" s="673"/>
      <c r="AN461" s="673"/>
      <c r="AO461" s="673"/>
      <c r="AP461" s="673"/>
      <c r="AQ461" s="673"/>
      <c r="AR461" s="673"/>
      <c r="AS461" s="673"/>
      <c r="AT461" s="696"/>
    </row>
    <row r="462" ht="15.75" customHeight="1">
      <c r="A462" s="653"/>
      <c r="B462" s="654"/>
      <c r="C462" s="691"/>
      <c r="D462" s="656"/>
      <c r="E462" s="657"/>
      <c r="F462" s="658"/>
      <c r="G462" s="659"/>
      <c r="H462" s="660"/>
      <c r="I462" s="659"/>
      <c r="J462" s="661"/>
      <c r="K462" s="692"/>
      <c r="L462" s="645"/>
      <c r="M462" s="663"/>
      <c r="N462" s="665"/>
      <c r="O462" s="665"/>
      <c r="P462" s="666"/>
      <c r="Q462" s="667"/>
      <c r="R462" s="668"/>
      <c r="S462" s="693"/>
      <c r="T462" s="694"/>
      <c r="U462" s="694"/>
      <c r="V462" s="693"/>
      <c r="W462" s="693"/>
      <c r="X462" s="693"/>
      <c r="Y462" s="671"/>
      <c r="Z462" s="673"/>
      <c r="AA462" s="672"/>
      <c r="AB462" s="695"/>
      <c r="AC462" s="673"/>
      <c r="AD462" s="673"/>
      <c r="AE462" s="673"/>
      <c r="AF462" s="673"/>
      <c r="AG462" s="673"/>
      <c r="AH462" s="673"/>
      <c r="AI462" s="673"/>
      <c r="AJ462" s="673"/>
      <c r="AK462" s="673"/>
      <c r="AL462" s="673"/>
      <c r="AM462" s="673"/>
      <c r="AN462" s="673"/>
      <c r="AO462" s="673"/>
      <c r="AP462" s="673"/>
      <c r="AQ462" s="673"/>
      <c r="AR462" s="673"/>
      <c r="AS462" s="673"/>
      <c r="AT462" s="696"/>
    </row>
    <row r="463" ht="15.75" customHeight="1">
      <c r="A463" s="653"/>
      <c r="B463" s="654"/>
      <c r="C463" s="691"/>
      <c r="D463" s="656"/>
      <c r="E463" s="657"/>
      <c r="F463" s="658"/>
      <c r="G463" s="659"/>
      <c r="H463" s="660"/>
      <c r="I463" s="659"/>
      <c r="J463" s="661"/>
      <c r="K463" s="692"/>
      <c r="L463" s="645"/>
      <c r="M463" s="663"/>
      <c r="N463" s="665"/>
      <c r="O463" s="665"/>
      <c r="P463" s="666"/>
      <c r="Q463" s="667"/>
      <c r="R463" s="668"/>
      <c r="S463" s="693"/>
      <c r="T463" s="694"/>
      <c r="U463" s="694"/>
      <c r="V463" s="693"/>
      <c r="W463" s="693"/>
      <c r="X463" s="693"/>
      <c r="Y463" s="671"/>
      <c r="Z463" s="673"/>
      <c r="AA463" s="672"/>
      <c r="AB463" s="695"/>
      <c r="AC463" s="673"/>
      <c r="AD463" s="673"/>
      <c r="AE463" s="673"/>
      <c r="AF463" s="673"/>
      <c r="AG463" s="673"/>
      <c r="AH463" s="673"/>
      <c r="AI463" s="673"/>
      <c r="AJ463" s="673"/>
      <c r="AK463" s="673"/>
      <c r="AL463" s="673"/>
      <c r="AM463" s="673"/>
      <c r="AN463" s="673"/>
      <c r="AO463" s="673"/>
      <c r="AP463" s="673"/>
      <c r="AQ463" s="673"/>
      <c r="AR463" s="673"/>
      <c r="AS463" s="673"/>
      <c r="AT463" s="696"/>
    </row>
    <row r="464" ht="15.75" customHeight="1">
      <c r="A464" s="653"/>
      <c r="B464" s="654"/>
      <c r="C464" s="691"/>
      <c r="D464" s="656"/>
      <c r="E464" s="657"/>
      <c r="F464" s="658"/>
      <c r="G464" s="659"/>
      <c r="H464" s="660"/>
      <c r="I464" s="659"/>
      <c r="J464" s="661"/>
      <c r="K464" s="692"/>
      <c r="L464" s="645"/>
      <c r="M464" s="663"/>
      <c r="N464" s="665"/>
      <c r="O464" s="665"/>
      <c r="P464" s="666"/>
      <c r="Q464" s="667"/>
      <c r="R464" s="668"/>
      <c r="S464" s="693"/>
      <c r="T464" s="694"/>
      <c r="U464" s="694"/>
      <c r="V464" s="693"/>
      <c r="W464" s="693"/>
      <c r="X464" s="693"/>
      <c r="Y464" s="671"/>
      <c r="Z464" s="673"/>
      <c r="AA464" s="672"/>
      <c r="AB464" s="695"/>
      <c r="AC464" s="673"/>
      <c r="AD464" s="673"/>
      <c r="AE464" s="673"/>
      <c r="AF464" s="673"/>
      <c r="AG464" s="673"/>
      <c r="AH464" s="673"/>
      <c r="AI464" s="673"/>
      <c r="AJ464" s="673"/>
      <c r="AK464" s="673"/>
      <c r="AL464" s="673"/>
      <c r="AM464" s="673"/>
      <c r="AN464" s="673"/>
      <c r="AO464" s="673"/>
      <c r="AP464" s="673"/>
      <c r="AQ464" s="673"/>
      <c r="AR464" s="673"/>
      <c r="AS464" s="673"/>
      <c r="AT464" s="696"/>
    </row>
    <row r="465" ht="15.75" customHeight="1">
      <c r="A465" s="653"/>
      <c r="B465" s="654"/>
      <c r="C465" s="691"/>
      <c r="D465" s="656"/>
      <c r="E465" s="657"/>
      <c r="F465" s="658"/>
      <c r="G465" s="659"/>
      <c r="H465" s="660"/>
      <c r="I465" s="659"/>
      <c r="J465" s="661"/>
      <c r="K465" s="692"/>
      <c r="L465" s="645"/>
      <c r="M465" s="663"/>
      <c r="N465" s="665"/>
      <c r="O465" s="665"/>
      <c r="P465" s="666"/>
      <c r="Q465" s="667"/>
      <c r="R465" s="668"/>
      <c r="S465" s="693"/>
      <c r="T465" s="694"/>
      <c r="U465" s="694"/>
      <c r="V465" s="693"/>
      <c r="W465" s="693"/>
      <c r="X465" s="693"/>
      <c r="Y465" s="671"/>
      <c r="Z465" s="673"/>
      <c r="AA465" s="672"/>
      <c r="AB465" s="695"/>
      <c r="AC465" s="673"/>
      <c r="AD465" s="673"/>
      <c r="AE465" s="673"/>
      <c r="AF465" s="673"/>
      <c r="AG465" s="673"/>
      <c r="AH465" s="673"/>
      <c r="AI465" s="673"/>
      <c r="AJ465" s="673"/>
      <c r="AK465" s="673"/>
      <c r="AL465" s="673"/>
      <c r="AM465" s="673"/>
      <c r="AN465" s="673"/>
      <c r="AO465" s="673"/>
      <c r="AP465" s="673"/>
      <c r="AQ465" s="673"/>
      <c r="AR465" s="673"/>
      <c r="AS465" s="673"/>
      <c r="AT465" s="696"/>
    </row>
    <row r="466" ht="15.75" customHeight="1">
      <c r="A466" s="653"/>
      <c r="B466" s="654"/>
      <c r="C466" s="691"/>
      <c r="D466" s="656"/>
      <c r="E466" s="657"/>
      <c r="F466" s="658"/>
      <c r="G466" s="659"/>
      <c r="H466" s="660"/>
      <c r="I466" s="659"/>
      <c r="J466" s="661"/>
      <c r="K466" s="692"/>
      <c r="L466" s="645"/>
      <c r="M466" s="663"/>
      <c r="N466" s="665"/>
      <c r="O466" s="665"/>
      <c r="P466" s="666"/>
      <c r="Q466" s="667"/>
      <c r="R466" s="668"/>
      <c r="S466" s="693"/>
      <c r="T466" s="694"/>
      <c r="U466" s="694"/>
      <c r="V466" s="693"/>
      <c r="W466" s="693"/>
      <c r="X466" s="693"/>
      <c r="Y466" s="671"/>
      <c r="Z466" s="673"/>
      <c r="AA466" s="672"/>
      <c r="AB466" s="695"/>
      <c r="AC466" s="673"/>
      <c r="AD466" s="673"/>
      <c r="AE466" s="673"/>
      <c r="AF466" s="673"/>
      <c r="AG466" s="673"/>
      <c r="AH466" s="673"/>
      <c r="AI466" s="673"/>
      <c r="AJ466" s="673"/>
      <c r="AK466" s="673"/>
      <c r="AL466" s="673"/>
      <c r="AM466" s="673"/>
      <c r="AN466" s="673"/>
      <c r="AO466" s="673"/>
      <c r="AP466" s="673"/>
      <c r="AQ466" s="673"/>
      <c r="AR466" s="673"/>
      <c r="AS466" s="673"/>
      <c r="AT466" s="696"/>
    </row>
    <row r="467" ht="15.75" customHeight="1">
      <c r="A467" s="653"/>
      <c r="B467" s="654"/>
      <c r="C467" s="691"/>
      <c r="D467" s="656"/>
      <c r="E467" s="657"/>
      <c r="F467" s="658"/>
      <c r="G467" s="659"/>
      <c r="H467" s="660"/>
      <c r="I467" s="659"/>
      <c r="J467" s="661"/>
      <c r="K467" s="692"/>
      <c r="L467" s="645"/>
      <c r="M467" s="663"/>
      <c r="N467" s="665"/>
      <c r="O467" s="665"/>
      <c r="P467" s="666"/>
      <c r="Q467" s="667"/>
      <c r="R467" s="668"/>
      <c r="S467" s="693"/>
      <c r="T467" s="694"/>
      <c r="U467" s="694"/>
      <c r="V467" s="693"/>
      <c r="W467" s="693"/>
      <c r="X467" s="693"/>
      <c r="Y467" s="671"/>
      <c r="Z467" s="673"/>
      <c r="AA467" s="672"/>
      <c r="AB467" s="695"/>
      <c r="AC467" s="673"/>
      <c r="AD467" s="673"/>
      <c r="AE467" s="673"/>
      <c r="AF467" s="673"/>
      <c r="AG467" s="673"/>
      <c r="AH467" s="673"/>
      <c r="AI467" s="673"/>
      <c r="AJ467" s="673"/>
      <c r="AK467" s="673"/>
      <c r="AL467" s="673"/>
      <c r="AM467" s="673"/>
      <c r="AN467" s="673"/>
      <c r="AO467" s="673"/>
      <c r="AP467" s="673"/>
      <c r="AQ467" s="673"/>
      <c r="AR467" s="673"/>
      <c r="AS467" s="673"/>
      <c r="AT467" s="696"/>
    </row>
    <row r="468" ht="15.75" customHeight="1">
      <c r="A468" s="653"/>
      <c r="B468" s="654"/>
      <c r="C468" s="691"/>
      <c r="D468" s="656"/>
      <c r="E468" s="657"/>
      <c r="F468" s="658"/>
      <c r="G468" s="659"/>
      <c r="H468" s="660"/>
      <c r="I468" s="659"/>
      <c r="J468" s="661"/>
      <c r="K468" s="692"/>
      <c r="L468" s="645"/>
      <c r="M468" s="663"/>
      <c r="N468" s="665"/>
      <c r="O468" s="665"/>
      <c r="P468" s="666"/>
      <c r="Q468" s="667"/>
      <c r="R468" s="668"/>
      <c r="S468" s="693"/>
      <c r="T468" s="694"/>
      <c r="U468" s="694"/>
      <c r="V468" s="693"/>
      <c r="W468" s="693"/>
      <c r="X468" s="693"/>
      <c r="Y468" s="671"/>
      <c r="Z468" s="673"/>
      <c r="AA468" s="672"/>
      <c r="AB468" s="695"/>
      <c r="AC468" s="673"/>
      <c r="AD468" s="673"/>
      <c r="AE468" s="673"/>
      <c r="AF468" s="673"/>
      <c r="AG468" s="673"/>
      <c r="AH468" s="673"/>
      <c r="AI468" s="673"/>
      <c r="AJ468" s="673"/>
      <c r="AK468" s="673"/>
      <c r="AL468" s="673"/>
      <c r="AM468" s="673"/>
      <c r="AN468" s="673"/>
      <c r="AO468" s="673"/>
      <c r="AP468" s="673"/>
      <c r="AQ468" s="673"/>
      <c r="AR468" s="673"/>
      <c r="AS468" s="673"/>
      <c r="AT468" s="696"/>
    </row>
    <row r="469" ht="15.75" customHeight="1">
      <c r="A469" s="653"/>
      <c r="B469" s="654"/>
      <c r="C469" s="691"/>
      <c r="D469" s="656"/>
      <c r="E469" s="657"/>
      <c r="F469" s="658"/>
      <c r="G469" s="659"/>
      <c r="H469" s="660"/>
      <c r="I469" s="659"/>
      <c r="J469" s="661"/>
      <c r="K469" s="692"/>
      <c r="L469" s="645"/>
      <c r="M469" s="663"/>
      <c r="N469" s="665"/>
      <c r="O469" s="665"/>
      <c r="P469" s="666"/>
      <c r="Q469" s="667"/>
      <c r="R469" s="668"/>
      <c r="S469" s="693"/>
      <c r="T469" s="694"/>
      <c r="U469" s="694"/>
      <c r="V469" s="693"/>
      <c r="W469" s="693"/>
      <c r="X469" s="693"/>
      <c r="Y469" s="671"/>
      <c r="Z469" s="673"/>
      <c r="AA469" s="672"/>
      <c r="AB469" s="695"/>
      <c r="AC469" s="673"/>
      <c r="AD469" s="673"/>
      <c r="AE469" s="673"/>
      <c r="AF469" s="673"/>
      <c r="AG469" s="673"/>
      <c r="AH469" s="673"/>
      <c r="AI469" s="673"/>
      <c r="AJ469" s="673"/>
      <c r="AK469" s="673"/>
      <c r="AL469" s="673"/>
      <c r="AM469" s="673"/>
      <c r="AN469" s="673"/>
      <c r="AO469" s="673"/>
      <c r="AP469" s="673"/>
      <c r="AQ469" s="673"/>
      <c r="AR469" s="673"/>
      <c r="AS469" s="673"/>
      <c r="AT469" s="696"/>
    </row>
    <row r="470" ht="15.75" customHeight="1">
      <c r="A470" s="653"/>
      <c r="B470" s="654"/>
      <c r="C470" s="691"/>
      <c r="D470" s="656"/>
      <c r="E470" s="657"/>
      <c r="F470" s="658"/>
      <c r="G470" s="659"/>
      <c r="H470" s="660"/>
      <c r="I470" s="659"/>
      <c r="J470" s="661"/>
      <c r="K470" s="692"/>
      <c r="L470" s="645"/>
      <c r="M470" s="663"/>
      <c r="N470" s="665"/>
      <c r="O470" s="665"/>
      <c r="P470" s="666"/>
      <c r="Q470" s="667"/>
      <c r="R470" s="668"/>
      <c r="S470" s="693"/>
      <c r="T470" s="694"/>
      <c r="U470" s="694"/>
      <c r="V470" s="693"/>
      <c r="W470" s="693"/>
      <c r="X470" s="693"/>
      <c r="Y470" s="671"/>
      <c r="Z470" s="673"/>
      <c r="AA470" s="672"/>
      <c r="AB470" s="695"/>
      <c r="AC470" s="673"/>
      <c r="AD470" s="673"/>
      <c r="AE470" s="673"/>
      <c r="AF470" s="673"/>
      <c r="AG470" s="673"/>
      <c r="AH470" s="673"/>
      <c r="AI470" s="673"/>
      <c r="AJ470" s="673"/>
      <c r="AK470" s="673"/>
      <c r="AL470" s="673"/>
      <c r="AM470" s="673"/>
      <c r="AN470" s="673"/>
      <c r="AO470" s="673"/>
      <c r="AP470" s="673"/>
      <c r="AQ470" s="673"/>
      <c r="AR470" s="673"/>
      <c r="AS470" s="673"/>
      <c r="AT470" s="696"/>
    </row>
    <row r="471" ht="15.75" customHeight="1">
      <c r="A471" s="653"/>
      <c r="B471" s="654"/>
      <c r="C471" s="691"/>
      <c r="D471" s="656"/>
      <c r="E471" s="657"/>
      <c r="F471" s="658"/>
      <c r="G471" s="659"/>
      <c r="H471" s="660"/>
      <c r="I471" s="659"/>
      <c r="J471" s="661"/>
      <c r="K471" s="692"/>
      <c r="L471" s="645"/>
      <c r="M471" s="663"/>
      <c r="N471" s="665"/>
      <c r="O471" s="665"/>
      <c r="P471" s="666"/>
      <c r="Q471" s="667"/>
      <c r="R471" s="668"/>
      <c r="S471" s="693"/>
      <c r="T471" s="694"/>
      <c r="U471" s="694"/>
      <c r="V471" s="693"/>
      <c r="W471" s="693"/>
      <c r="X471" s="693"/>
      <c r="Y471" s="671"/>
      <c r="Z471" s="673"/>
      <c r="AA471" s="672"/>
      <c r="AB471" s="695"/>
      <c r="AC471" s="673"/>
      <c r="AD471" s="673"/>
      <c r="AE471" s="673"/>
      <c r="AF471" s="673"/>
      <c r="AG471" s="673"/>
      <c r="AH471" s="673"/>
      <c r="AI471" s="673"/>
      <c r="AJ471" s="673"/>
      <c r="AK471" s="673"/>
      <c r="AL471" s="673"/>
      <c r="AM471" s="673"/>
      <c r="AN471" s="673"/>
      <c r="AO471" s="673"/>
      <c r="AP471" s="673"/>
      <c r="AQ471" s="673"/>
      <c r="AR471" s="673"/>
      <c r="AS471" s="673"/>
      <c r="AT471" s="696"/>
    </row>
    <row r="472" ht="15.75" customHeight="1">
      <c r="A472" s="653"/>
      <c r="B472" s="654"/>
      <c r="C472" s="691"/>
      <c r="D472" s="656"/>
      <c r="E472" s="657"/>
      <c r="F472" s="658"/>
      <c r="G472" s="659"/>
      <c r="H472" s="660"/>
      <c r="I472" s="659"/>
      <c r="J472" s="661"/>
      <c r="K472" s="692"/>
      <c r="L472" s="645"/>
      <c r="M472" s="663"/>
      <c r="N472" s="665"/>
      <c r="O472" s="665"/>
      <c r="P472" s="666"/>
      <c r="Q472" s="667"/>
      <c r="R472" s="668"/>
      <c r="S472" s="693"/>
      <c r="T472" s="694"/>
      <c r="U472" s="694"/>
      <c r="V472" s="693"/>
      <c r="W472" s="693"/>
      <c r="X472" s="693"/>
      <c r="Y472" s="671"/>
      <c r="Z472" s="673"/>
      <c r="AA472" s="672"/>
      <c r="AB472" s="695"/>
      <c r="AC472" s="673"/>
      <c r="AD472" s="673"/>
      <c r="AE472" s="673"/>
      <c r="AF472" s="673"/>
      <c r="AG472" s="673"/>
      <c r="AH472" s="673"/>
      <c r="AI472" s="673"/>
      <c r="AJ472" s="673"/>
      <c r="AK472" s="673"/>
      <c r="AL472" s="673"/>
      <c r="AM472" s="673"/>
      <c r="AN472" s="673"/>
      <c r="AO472" s="673"/>
      <c r="AP472" s="673"/>
      <c r="AQ472" s="673"/>
      <c r="AR472" s="673"/>
      <c r="AS472" s="673"/>
      <c r="AT472" s="696"/>
    </row>
    <row r="473" ht="15.75" customHeight="1">
      <c r="A473" s="653"/>
      <c r="B473" s="654"/>
      <c r="C473" s="691"/>
      <c r="D473" s="656"/>
      <c r="E473" s="657"/>
      <c r="F473" s="658"/>
      <c r="G473" s="659"/>
      <c r="H473" s="660"/>
      <c r="I473" s="659"/>
      <c r="J473" s="661"/>
      <c r="K473" s="692"/>
      <c r="L473" s="645"/>
      <c r="M473" s="663"/>
      <c r="N473" s="665"/>
      <c r="O473" s="665"/>
      <c r="P473" s="666"/>
      <c r="Q473" s="667"/>
      <c r="R473" s="668"/>
      <c r="S473" s="693"/>
      <c r="T473" s="694"/>
      <c r="U473" s="694"/>
      <c r="V473" s="693"/>
      <c r="W473" s="693"/>
      <c r="X473" s="693"/>
      <c r="Y473" s="671"/>
      <c r="Z473" s="673"/>
      <c r="AA473" s="672"/>
      <c r="AB473" s="695"/>
      <c r="AC473" s="673"/>
      <c r="AD473" s="673"/>
      <c r="AE473" s="673"/>
      <c r="AF473" s="673"/>
      <c r="AG473" s="673"/>
      <c r="AH473" s="673"/>
      <c r="AI473" s="673"/>
      <c r="AJ473" s="673"/>
      <c r="AK473" s="673"/>
      <c r="AL473" s="673"/>
      <c r="AM473" s="673"/>
      <c r="AN473" s="673"/>
      <c r="AO473" s="673"/>
      <c r="AP473" s="673"/>
      <c r="AQ473" s="673"/>
      <c r="AR473" s="673"/>
      <c r="AS473" s="673"/>
      <c r="AT473" s="696"/>
    </row>
    <row r="474" ht="15.75" customHeight="1">
      <c r="A474" s="653"/>
      <c r="B474" s="654"/>
      <c r="C474" s="691"/>
      <c r="D474" s="656"/>
      <c r="E474" s="657"/>
      <c r="F474" s="658"/>
      <c r="G474" s="659"/>
      <c r="H474" s="660"/>
      <c r="I474" s="659"/>
      <c r="J474" s="661"/>
      <c r="K474" s="692"/>
      <c r="L474" s="645"/>
      <c r="M474" s="663"/>
      <c r="N474" s="665"/>
      <c r="O474" s="665"/>
      <c r="P474" s="666"/>
      <c r="Q474" s="667"/>
      <c r="R474" s="668"/>
      <c r="S474" s="693"/>
      <c r="T474" s="694"/>
      <c r="U474" s="694"/>
      <c r="V474" s="693"/>
      <c r="W474" s="693"/>
      <c r="X474" s="693"/>
      <c r="Y474" s="671"/>
      <c r="Z474" s="673"/>
      <c r="AA474" s="672"/>
      <c r="AB474" s="695"/>
      <c r="AC474" s="673"/>
      <c r="AD474" s="673"/>
      <c r="AE474" s="673"/>
      <c r="AF474" s="673"/>
      <c r="AG474" s="673"/>
      <c r="AH474" s="673"/>
      <c r="AI474" s="673"/>
      <c r="AJ474" s="673"/>
      <c r="AK474" s="673"/>
      <c r="AL474" s="673"/>
      <c r="AM474" s="673"/>
      <c r="AN474" s="673"/>
      <c r="AO474" s="673"/>
      <c r="AP474" s="673"/>
      <c r="AQ474" s="673"/>
      <c r="AR474" s="673"/>
      <c r="AS474" s="673"/>
      <c r="AT474" s="696"/>
    </row>
    <row r="475" ht="15.75" customHeight="1">
      <c r="A475" s="653"/>
      <c r="B475" s="654"/>
      <c r="C475" s="691"/>
      <c r="D475" s="656"/>
      <c r="E475" s="657"/>
      <c r="F475" s="658"/>
      <c r="G475" s="659"/>
      <c r="H475" s="660"/>
      <c r="I475" s="659"/>
      <c r="J475" s="661"/>
      <c r="K475" s="692"/>
      <c r="L475" s="645"/>
      <c r="M475" s="663"/>
      <c r="N475" s="665"/>
      <c r="O475" s="665"/>
      <c r="P475" s="666"/>
      <c r="Q475" s="667"/>
      <c r="R475" s="668"/>
      <c r="S475" s="693"/>
      <c r="T475" s="694"/>
      <c r="U475" s="694"/>
      <c r="V475" s="693"/>
      <c r="W475" s="693"/>
      <c r="X475" s="693"/>
      <c r="Y475" s="671"/>
      <c r="Z475" s="673"/>
      <c r="AA475" s="672"/>
      <c r="AB475" s="695"/>
      <c r="AC475" s="673"/>
      <c r="AD475" s="673"/>
      <c r="AE475" s="673"/>
      <c r="AF475" s="673"/>
      <c r="AG475" s="673"/>
      <c r="AH475" s="673"/>
      <c r="AI475" s="673"/>
      <c r="AJ475" s="673"/>
      <c r="AK475" s="673"/>
      <c r="AL475" s="673"/>
      <c r="AM475" s="673"/>
      <c r="AN475" s="673"/>
      <c r="AO475" s="673"/>
      <c r="AP475" s="673"/>
      <c r="AQ475" s="673"/>
      <c r="AR475" s="673"/>
      <c r="AS475" s="673"/>
      <c r="AT475" s="696"/>
    </row>
    <row r="476" ht="15.75" customHeight="1">
      <c r="A476" s="653"/>
      <c r="B476" s="654"/>
      <c r="C476" s="691"/>
      <c r="D476" s="656"/>
      <c r="E476" s="657"/>
      <c r="F476" s="658"/>
      <c r="G476" s="659"/>
      <c r="H476" s="660"/>
      <c r="I476" s="659"/>
      <c r="J476" s="661"/>
      <c r="K476" s="692"/>
      <c r="L476" s="645"/>
      <c r="M476" s="663"/>
      <c r="N476" s="665"/>
      <c r="O476" s="665"/>
      <c r="P476" s="666"/>
      <c r="Q476" s="667"/>
      <c r="R476" s="668"/>
      <c r="S476" s="693"/>
      <c r="T476" s="694"/>
      <c r="U476" s="694"/>
      <c r="V476" s="693"/>
      <c r="W476" s="693"/>
      <c r="X476" s="693"/>
      <c r="Y476" s="671"/>
      <c r="Z476" s="673"/>
      <c r="AA476" s="672"/>
      <c r="AB476" s="695"/>
      <c r="AC476" s="673"/>
      <c r="AD476" s="673"/>
      <c r="AE476" s="673"/>
      <c r="AF476" s="673"/>
      <c r="AG476" s="673"/>
      <c r="AH476" s="673"/>
      <c r="AI476" s="673"/>
      <c r="AJ476" s="673"/>
      <c r="AK476" s="673"/>
      <c r="AL476" s="673"/>
      <c r="AM476" s="673"/>
      <c r="AN476" s="673"/>
      <c r="AO476" s="673"/>
      <c r="AP476" s="673"/>
      <c r="AQ476" s="673"/>
      <c r="AR476" s="673"/>
      <c r="AS476" s="673"/>
      <c r="AT476" s="696"/>
    </row>
    <row r="477" ht="15.75" customHeight="1">
      <c r="A477" s="653"/>
      <c r="B477" s="654"/>
      <c r="C477" s="691"/>
      <c r="D477" s="656"/>
      <c r="E477" s="657"/>
      <c r="F477" s="658"/>
      <c r="G477" s="659"/>
      <c r="H477" s="660"/>
      <c r="I477" s="659"/>
      <c r="J477" s="661"/>
      <c r="K477" s="692"/>
      <c r="L477" s="645"/>
      <c r="M477" s="663"/>
      <c r="N477" s="665"/>
      <c r="O477" s="665"/>
      <c r="P477" s="666"/>
      <c r="Q477" s="667"/>
      <c r="R477" s="668"/>
      <c r="S477" s="693"/>
      <c r="T477" s="694"/>
      <c r="U477" s="694"/>
      <c r="V477" s="693"/>
      <c r="W477" s="693"/>
      <c r="X477" s="693"/>
      <c r="Y477" s="671"/>
      <c r="Z477" s="673"/>
      <c r="AA477" s="672"/>
      <c r="AB477" s="695"/>
      <c r="AC477" s="673"/>
      <c r="AD477" s="673"/>
      <c r="AE477" s="673"/>
      <c r="AF477" s="673"/>
      <c r="AG477" s="673"/>
      <c r="AH477" s="673"/>
      <c r="AI477" s="673"/>
      <c r="AJ477" s="673"/>
      <c r="AK477" s="673"/>
      <c r="AL477" s="673"/>
      <c r="AM477" s="673"/>
      <c r="AN477" s="673"/>
      <c r="AO477" s="673"/>
      <c r="AP477" s="673"/>
      <c r="AQ477" s="673"/>
      <c r="AR477" s="673"/>
      <c r="AS477" s="673"/>
      <c r="AT477" s="696"/>
    </row>
    <row r="478" ht="15.75" customHeight="1">
      <c r="A478" s="653"/>
      <c r="B478" s="654"/>
      <c r="C478" s="691"/>
      <c r="D478" s="656"/>
      <c r="E478" s="657"/>
      <c r="F478" s="658"/>
      <c r="G478" s="659"/>
      <c r="H478" s="660"/>
      <c r="I478" s="659"/>
      <c r="J478" s="661"/>
      <c r="K478" s="692"/>
      <c r="L478" s="645"/>
      <c r="M478" s="663"/>
      <c r="N478" s="665"/>
      <c r="O478" s="665"/>
      <c r="P478" s="666"/>
      <c r="Q478" s="667"/>
      <c r="R478" s="668"/>
      <c r="S478" s="693"/>
      <c r="T478" s="694"/>
      <c r="U478" s="694"/>
      <c r="V478" s="693"/>
      <c r="W478" s="693"/>
      <c r="X478" s="693"/>
      <c r="Y478" s="671"/>
      <c r="Z478" s="673"/>
      <c r="AA478" s="672"/>
      <c r="AB478" s="695"/>
      <c r="AC478" s="673"/>
      <c r="AD478" s="673"/>
      <c r="AE478" s="673"/>
      <c r="AF478" s="673"/>
      <c r="AG478" s="673"/>
      <c r="AH478" s="673"/>
      <c r="AI478" s="673"/>
      <c r="AJ478" s="673"/>
      <c r="AK478" s="673"/>
      <c r="AL478" s="673"/>
      <c r="AM478" s="673"/>
      <c r="AN478" s="673"/>
      <c r="AO478" s="673"/>
      <c r="AP478" s="673"/>
      <c r="AQ478" s="673"/>
      <c r="AR478" s="673"/>
      <c r="AS478" s="673"/>
      <c r="AT478" s="696"/>
    </row>
    <row r="479" ht="15.75" customHeight="1">
      <c r="A479" s="653"/>
      <c r="B479" s="654"/>
      <c r="C479" s="691"/>
      <c r="D479" s="656"/>
      <c r="E479" s="657"/>
      <c r="F479" s="658"/>
      <c r="G479" s="659"/>
      <c r="H479" s="660"/>
      <c r="I479" s="659"/>
      <c r="J479" s="661"/>
      <c r="K479" s="692"/>
      <c r="L479" s="645"/>
      <c r="M479" s="663"/>
      <c r="N479" s="665"/>
      <c r="O479" s="665"/>
      <c r="P479" s="666"/>
      <c r="Q479" s="667"/>
      <c r="R479" s="668"/>
      <c r="S479" s="693"/>
      <c r="T479" s="694"/>
      <c r="U479" s="694"/>
      <c r="V479" s="693"/>
      <c r="W479" s="693"/>
      <c r="X479" s="693"/>
      <c r="Y479" s="671"/>
      <c r="Z479" s="673"/>
      <c r="AA479" s="672"/>
      <c r="AB479" s="695"/>
      <c r="AC479" s="673"/>
      <c r="AD479" s="673"/>
      <c r="AE479" s="673"/>
      <c r="AF479" s="673"/>
      <c r="AG479" s="673"/>
      <c r="AH479" s="673"/>
      <c r="AI479" s="673"/>
      <c r="AJ479" s="673"/>
      <c r="AK479" s="673"/>
      <c r="AL479" s="673"/>
      <c r="AM479" s="673"/>
      <c r="AN479" s="673"/>
      <c r="AO479" s="673"/>
      <c r="AP479" s="673"/>
      <c r="AQ479" s="673"/>
      <c r="AR479" s="673"/>
      <c r="AS479" s="673"/>
      <c r="AT479" s="696"/>
    </row>
    <row r="480" ht="15.75" customHeight="1">
      <c r="A480" s="653"/>
      <c r="B480" s="654"/>
      <c r="C480" s="691"/>
      <c r="D480" s="656"/>
      <c r="E480" s="657"/>
      <c r="F480" s="658"/>
      <c r="G480" s="659"/>
      <c r="H480" s="660"/>
      <c r="I480" s="659"/>
      <c r="J480" s="661"/>
      <c r="K480" s="692"/>
      <c r="L480" s="645"/>
      <c r="M480" s="663"/>
      <c r="N480" s="665"/>
      <c r="O480" s="665"/>
      <c r="P480" s="666"/>
      <c r="Q480" s="667"/>
      <c r="R480" s="668"/>
      <c r="S480" s="693"/>
      <c r="T480" s="694"/>
      <c r="U480" s="694"/>
      <c r="V480" s="693"/>
      <c r="W480" s="693"/>
      <c r="X480" s="693"/>
      <c r="Y480" s="671"/>
      <c r="Z480" s="673"/>
      <c r="AA480" s="672"/>
      <c r="AB480" s="695"/>
      <c r="AC480" s="673"/>
      <c r="AD480" s="673"/>
      <c r="AE480" s="673"/>
      <c r="AF480" s="673"/>
      <c r="AG480" s="673"/>
      <c r="AH480" s="673"/>
      <c r="AI480" s="673"/>
      <c r="AJ480" s="673"/>
      <c r="AK480" s="673"/>
      <c r="AL480" s="673"/>
      <c r="AM480" s="673"/>
      <c r="AN480" s="673"/>
      <c r="AO480" s="673"/>
      <c r="AP480" s="673"/>
      <c r="AQ480" s="673"/>
      <c r="AR480" s="673"/>
      <c r="AS480" s="673"/>
      <c r="AT480" s="696"/>
    </row>
    <row r="481" ht="15.75" customHeight="1">
      <c r="A481" s="653"/>
      <c r="B481" s="654"/>
      <c r="C481" s="691"/>
      <c r="D481" s="656"/>
      <c r="E481" s="657"/>
      <c r="F481" s="658"/>
      <c r="G481" s="659"/>
      <c r="H481" s="660"/>
      <c r="I481" s="659"/>
      <c r="J481" s="661"/>
      <c r="K481" s="692"/>
      <c r="L481" s="645"/>
      <c r="M481" s="663"/>
      <c r="N481" s="665"/>
      <c r="O481" s="665"/>
      <c r="P481" s="666"/>
      <c r="Q481" s="667"/>
      <c r="R481" s="668"/>
      <c r="S481" s="693"/>
      <c r="T481" s="694"/>
      <c r="U481" s="694"/>
      <c r="V481" s="693"/>
      <c r="W481" s="693"/>
      <c r="X481" s="693"/>
      <c r="Y481" s="671"/>
      <c r="Z481" s="673"/>
      <c r="AA481" s="672"/>
      <c r="AB481" s="695"/>
      <c r="AC481" s="673"/>
      <c r="AD481" s="673"/>
      <c r="AE481" s="673"/>
      <c r="AF481" s="673"/>
      <c r="AG481" s="673"/>
      <c r="AH481" s="673"/>
      <c r="AI481" s="673"/>
      <c r="AJ481" s="673"/>
      <c r="AK481" s="673"/>
      <c r="AL481" s="673"/>
      <c r="AM481" s="673"/>
      <c r="AN481" s="673"/>
      <c r="AO481" s="673"/>
      <c r="AP481" s="673"/>
      <c r="AQ481" s="673"/>
      <c r="AR481" s="673"/>
      <c r="AS481" s="673"/>
      <c r="AT481" s="696"/>
    </row>
    <row r="482" ht="15.75" customHeight="1">
      <c r="A482" s="653"/>
      <c r="B482" s="654"/>
      <c r="C482" s="691"/>
      <c r="D482" s="656"/>
      <c r="E482" s="657"/>
      <c r="F482" s="658"/>
      <c r="G482" s="659"/>
      <c r="H482" s="660"/>
      <c r="I482" s="659"/>
      <c r="J482" s="661"/>
      <c r="K482" s="692"/>
      <c r="L482" s="645"/>
      <c r="M482" s="663"/>
      <c r="N482" s="665"/>
      <c r="O482" s="665"/>
      <c r="P482" s="666"/>
      <c r="Q482" s="667"/>
      <c r="R482" s="668"/>
      <c r="S482" s="693"/>
      <c r="T482" s="694"/>
      <c r="U482" s="694"/>
      <c r="V482" s="693"/>
      <c r="W482" s="693"/>
      <c r="X482" s="693"/>
      <c r="Y482" s="671"/>
      <c r="Z482" s="673"/>
      <c r="AA482" s="672"/>
      <c r="AB482" s="695"/>
      <c r="AC482" s="673"/>
      <c r="AD482" s="673"/>
      <c r="AE482" s="673"/>
      <c r="AF482" s="673"/>
      <c r="AG482" s="673"/>
      <c r="AH482" s="673"/>
      <c r="AI482" s="673"/>
      <c r="AJ482" s="673"/>
      <c r="AK482" s="673"/>
      <c r="AL482" s="673"/>
      <c r="AM482" s="673"/>
      <c r="AN482" s="673"/>
      <c r="AO482" s="673"/>
      <c r="AP482" s="673"/>
      <c r="AQ482" s="673"/>
      <c r="AR482" s="673"/>
      <c r="AS482" s="673"/>
      <c r="AT482" s="696"/>
    </row>
    <row r="483" ht="15.75" customHeight="1">
      <c r="A483" s="653"/>
      <c r="B483" s="654"/>
      <c r="C483" s="691"/>
      <c r="D483" s="656"/>
      <c r="E483" s="657"/>
      <c r="F483" s="658"/>
      <c r="G483" s="659"/>
      <c r="H483" s="660"/>
      <c r="I483" s="659"/>
      <c r="J483" s="661"/>
      <c r="K483" s="692"/>
      <c r="L483" s="645"/>
      <c r="M483" s="663"/>
      <c r="N483" s="665"/>
      <c r="O483" s="665"/>
      <c r="P483" s="666"/>
      <c r="Q483" s="667"/>
      <c r="R483" s="668"/>
      <c r="S483" s="693"/>
      <c r="T483" s="694"/>
      <c r="U483" s="694"/>
      <c r="V483" s="693"/>
      <c r="W483" s="693"/>
      <c r="X483" s="693"/>
      <c r="Y483" s="671"/>
      <c r="Z483" s="673"/>
      <c r="AA483" s="672"/>
      <c r="AB483" s="695"/>
      <c r="AC483" s="673"/>
      <c r="AD483" s="673"/>
      <c r="AE483" s="673"/>
      <c r="AF483" s="673"/>
      <c r="AG483" s="673"/>
      <c r="AH483" s="673"/>
      <c r="AI483" s="673"/>
      <c r="AJ483" s="673"/>
      <c r="AK483" s="673"/>
      <c r="AL483" s="673"/>
      <c r="AM483" s="673"/>
      <c r="AN483" s="673"/>
      <c r="AO483" s="673"/>
      <c r="AP483" s="673"/>
      <c r="AQ483" s="673"/>
      <c r="AR483" s="673"/>
      <c r="AS483" s="673"/>
      <c r="AT483" s="696"/>
    </row>
    <row r="484" ht="15.75" customHeight="1">
      <c r="A484" s="653"/>
      <c r="B484" s="654"/>
      <c r="C484" s="691"/>
      <c r="D484" s="656"/>
      <c r="E484" s="657"/>
      <c r="F484" s="658"/>
      <c r="G484" s="659"/>
      <c r="H484" s="660"/>
      <c r="I484" s="659"/>
      <c r="J484" s="661"/>
      <c r="K484" s="692"/>
      <c r="L484" s="645"/>
      <c r="M484" s="663"/>
      <c r="N484" s="665"/>
      <c r="O484" s="665"/>
      <c r="P484" s="666"/>
      <c r="Q484" s="667"/>
      <c r="R484" s="668"/>
      <c r="S484" s="693"/>
      <c r="T484" s="694"/>
      <c r="U484" s="694"/>
      <c r="V484" s="693"/>
      <c r="W484" s="693"/>
      <c r="X484" s="693"/>
      <c r="Y484" s="671"/>
      <c r="Z484" s="673"/>
      <c r="AA484" s="672"/>
      <c r="AB484" s="695"/>
      <c r="AC484" s="673"/>
      <c r="AD484" s="673"/>
      <c r="AE484" s="673"/>
      <c r="AF484" s="673"/>
      <c r="AG484" s="673"/>
      <c r="AH484" s="673"/>
      <c r="AI484" s="673"/>
      <c r="AJ484" s="673"/>
      <c r="AK484" s="673"/>
      <c r="AL484" s="673"/>
      <c r="AM484" s="673"/>
      <c r="AN484" s="673"/>
      <c r="AO484" s="673"/>
      <c r="AP484" s="673"/>
      <c r="AQ484" s="673"/>
      <c r="AR484" s="673"/>
      <c r="AS484" s="673"/>
      <c r="AT484" s="696"/>
    </row>
    <row r="485" ht="15.75" customHeight="1">
      <c r="A485" s="653"/>
      <c r="B485" s="654"/>
      <c r="C485" s="691"/>
      <c r="D485" s="656"/>
      <c r="E485" s="657"/>
      <c r="F485" s="658"/>
      <c r="G485" s="659"/>
      <c r="H485" s="660"/>
      <c r="I485" s="659"/>
      <c r="J485" s="661"/>
      <c r="K485" s="692"/>
      <c r="L485" s="645"/>
      <c r="M485" s="663"/>
      <c r="N485" s="665"/>
      <c r="O485" s="665"/>
      <c r="P485" s="666"/>
      <c r="Q485" s="667"/>
      <c r="R485" s="668"/>
      <c r="S485" s="693"/>
      <c r="T485" s="694"/>
      <c r="U485" s="694"/>
      <c r="V485" s="693"/>
      <c r="W485" s="693"/>
      <c r="X485" s="693"/>
      <c r="Y485" s="671"/>
      <c r="Z485" s="673"/>
      <c r="AA485" s="672"/>
      <c r="AB485" s="695"/>
      <c r="AC485" s="673"/>
      <c r="AD485" s="673"/>
      <c r="AE485" s="673"/>
      <c r="AF485" s="673"/>
      <c r="AG485" s="673"/>
      <c r="AH485" s="673"/>
      <c r="AI485" s="673"/>
      <c r="AJ485" s="673"/>
      <c r="AK485" s="673"/>
      <c r="AL485" s="673"/>
      <c r="AM485" s="673"/>
      <c r="AN485" s="673"/>
      <c r="AO485" s="673"/>
      <c r="AP485" s="673"/>
      <c r="AQ485" s="673"/>
      <c r="AR485" s="673"/>
      <c r="AS485" s="673"/>
      <c r="AT485" s="696"/>
    </row>
    <row r="486" ht="15.75" customHeight="1">
      <c r="A486" s="653"/>
      <c r="B486" s="654"/>
      <c r="C486" s="691"/>
      <c r="D486" s="656"/>
      <c r="E486" s="657"/>
      <c r="F486" s="658"/>
      <c r="G486" s="659"/>
      <c r="H486" s="660"/>
      <c r="I486" s="659"/>
      <c r="J486" s="661"/>
      <c r="K486" s="692"/>
      <c r="L486" s="645"/>
      <c r="M486" s="663"/>
      <c r="N486" s="665"/>
      <c r="O486" s="665"/>
      <c r="P486" s="666"/>
      <c r="Q486" s="667"/>
      <c r="R486" s="668"/>
      <c r="S486" s="693"/>
      <c r="T486" s="694"/>
      <c r="U486" s="694"/>
      <c r="V486" s="693"/>
      <c r="W486" s="693"/>
      <c r="X486" s="693"/>
      <c r="Y486" s="671"/>
      <c r="Z486" s="673"/>
      <c r="AA486" s="672"/>
      <c r="AB486" s="695"/>
      <c r="AC486" s="673"/>
      <c r="AD486" s="673"/>
      <c r="AE486" s="673"/>
      <c r="AF486" s="673"/>
      <c r="AG486" s="673"/>
      <c r="AH486" s="673"/>
      <c r="AI486" s="673"/>
      <c r="AJ486" s="673"/>
      <c r="AK486" s="673"/>
      <c r="AL486" s="673"/>
      <c r="AM486" s="673"/>
      <c r="AN486" s="673"/>
      <c r="AO486" s="673"/>
      <c r="AP486" s="673"/>
      <c r="AQ486" s="673"/>
      <c r="AR486" s="673"/>
      <c r="AS486" s="673"/>
      <c r="AT486" s="696"/>
    </row>
    <row r="487" ht="15.75" customHeight="1">
      <c r="A487" s="653"/>
      <c r="B487" s="654"/>
      <c r="C487" s="691"/>
      <c r="D487" s="656"/>
      <c r="E487" s="657"/>
      <c r="F487" s="658"/>
      <c r="G487" s="659"/>
      <c r="H487" s="660"/>
      <c r="I487" s="659"/>
      <c r="J487" s="661"/>
      <c r="K487" s="692"/>
      <c r="L487" s="645"/>
      <c r="M487" s="663"/>
      <c r="N487" s="665"/>
      <c r="O487" s="665"/>
      <c r="P487" s="666"/>
      <c r="Q487" s="667"/>
      <c r="R487" s="668"/>
      <c r="S487" s="693"/>
      <c r="T487" s="694"/>
      <c r="U487" s="694"/>
      <c r="V487" s="693"/>
      <c r="W487" s="693"/>
      <c r="X487" s="693"/>
      <c r="Y487" s="671"/>
      <c r="Z487" s="673"/>
      <c r="AA487" s="672"/>
      <c r="AB487" s="695"/>
      <c r="AC487" s="673"/>
      <c r="AD487" s="673"/>
      <c r="AE487" s="673"/>
      <c r="AF487" s="673"/>
      <c r="AG487" s="673"/>
      <c r="AH487" s="673"/>
      <c r="AI487" s="673"/>
      <c r="AJ487" s="673"/>
      <c r="AK487" s="673"/>
      <c r="AL487" s="673"/>
      <c r="AM487" s="673"/>
      <c r="AN487" s="673"/>
      <c r="AO487" s="673"/>
      <c r="AP487" s="673"/>
      <c r="AQ487" s="673"/>
      <c r="AR487" s="673"/>
      <c r="AS487" s="673"/>
      <c r="AT487" s="696"/>
    </row>
    <row r="488" ht="15.75" customHeight="1">
      <c r="A488" s="653"/>
      <c r="B488" s="654"/>
      <c r="C488" s="691"/>
      <c r="D488" s="656"/>
      <c r="E488" s="657"/>
      <c r="F488" s="658"/>
      <c r="G488" s="659"/>
      <c r="H488" s="660"/>
      <c r="I488" s="659"/>
      <c r="J488" s="661"/>
      <c r="K488" s="692"/>
      <c r="L488" s="645"/>
      <c r="M488" s="663"/>
      <c r="N488" s="665"/>
      <c r="O488" s="665"/>
      <c r="P488" s="666"/>
      <c r="Q488" s="667"/>
      <c r="R488" s="668"/>
      <c r="S488" s="693"/>
      <c r="T488" s="694"/>
      <c r="U488" s="694"/>
      <c r="V488" s="693"/>
      <c r="W488" s="693"/>
      <c r="X488" s="693"/>
      <c r="Y488" s="671"/>
      <c r="Z488" s="673"/>
      <c r="AA488" s="672"/>
      <c r="AB488" s="695"/>
      <c r="AC488" s="673"/>
      <c r="AD488" s="673"/>
      <c r="AE488" s="673"/>
      <c r="AF488" s="673"/>
      <c r="AG488" s="673"/>
      <c r="AH488" s="673"/>
      <c r="AI488" s="673"/>
      <c r="AJ488" s="673"/>
      <c r="AK488" s="673"/>
      <c r="AL488" s="673"/>
      <c r="AM488" s="673"/>
      <c r="AN488" s="673"/>
      <c r="AO488" s="673"/>
      <c r="AP488" s="673"/>
      <c r="AQ488" s="673"/>
      <c r="AR488" s="673"/>
      <c r="AS488" s="673"/>
      <c r="AT488" s="696"/>
    </row>
    <row r="489" ht="15.75" customHeight="1">
      <c r="A489" s="653"/>
      <c r="B489" s="654"/>
      <c r="C489" s="691"/>
      <c r="D489" s="656"/>
      <c r="E489" s="657"/>
      <c r="F489" s="658"/>
      <c r="G489" s="659"/>
      <c r="H489" s="660"/>
      <c r="I489" s="659"/>
      <c r="J489" s="661"/>
      <c r="K489" s="692"/>
      <c r="L489" s="645"/>
      <c r="M489" s="663"/>
      <c r="N489" s="665"/>
      <c r="O489" s="665"/>
      <c r="P489" s="666"/>
      <c r="Q489" s="667"/>
      <c r="R489" s="668"/>
      <c r="S489" s="693"/>
      <c r="T489" s="694"/>
      <c r="U489" s="694"/>
      <c r="V489" s="693"/>
      <c r="W489" s="693"/>
      <c r="X489" s="693"/>
      <c r="Y489" s="671"/>
      <c r="Z489" s="673"/>
      <c r="AA489" s="672"/>
      <c r="AB489" s="695"/>
      <c r="AC489" s="673"/>
      <c r="AD489" s="673"/>
      <c r="AE489" s="673"/>
      <c r="AF489" s="673"/>
      <c r="AG489" s="673"/>
      <c r="AH489" s="673"/>
      <c r="AI489" s="673"/>
      <c r="AJ489" s="673"/>
      <c r="AK489" s="673"/>
      <c r="AL489" s="673"/>
      <c r="AM489" s="673"/>
      <c r="AN489" s="673"/>
      <c r="AO489" s="673"/>
      <c r="AP489" s="673"/>
      <c r="AQ489" s="673"/>
      <c r="AR489" s="673"/>
      <c r="AS489" s="673"/>
      <c r="AT489" s="696"/>
    </row>
    <row r="490" ht="15.75" customHeight="1">
      <c r="A490" s="653"/>
      <c r="B490" s="654"/>
      <c r="C490" s="691"/>
      <c r="D490" s="656"/>
      <c r="E490" s="657"/>
      <c r="F490" s="658"/>
      <c r="G490" s="659"/>
      <c r="H490" s="660"/>
      <c r="I490" s="659"/>
      <c r="J490" s="661"/>
      <c r="K490" s="692"/>
      <c r="L490" s="645"/>
      <c r="M490" s="663"/>
      <c r="N490" s="665"/>
      <c r="O490" s="665"/>
      <c r="P490" s="666"/>
      <c r="Q490" s="667"/>
      <c r="R490" s="668"/>
      <c r="S490" s="693"/>
      <c r="T490" s="694"/>
      <c r="U490" s="694"/>
      <c r="V490" s="693"/>
      <c r="W490" s="693"/>
      <c r="X490" s="693"/>
      <c r="Y490" s="671"/>
      <c r="Z490" s="673"/>
      <c r="AA490" s="672"/>
      <c r="AB490" s="695"/>
      <c r="AC490" s="673"/>
      <c r="AD490" s="673"/>
      <c r="AE490" s="673"/>
      <c r="AF490" s="673"/>
      <c r="AG490" s="673"/>
      <c r="AH490" s="673"/>
      <c r="AI490" s="673"/>
      <c r="AJ490" s="673"/>
      <c r="AK490" s="673"/>
      <c r="AL490" s="673"/>
      <c r="AM490" s="673"/>
      <c r="AN490" s="673"/>
      <c r="AO490" s="673"/>
      <c r="AP490" s="673"/>
      <c r="AQ490" s="673"/>
      <c r="AR490" s="673"/>
      <c r="AS490" s="673"/>
      <c r="AT490" s="696"/>
    </row>
    <row r="491" ht="15.75" customHeight="1">
      <c r="A491" s="653"/>
      <c r="B491" s="654"/>
      <c r="C491" s="691"/>
      <c r="D491" s="656"/>
      <c r="E491" s="657"/>
      <c r="F491" s="658"/>
      <c r="G491" s="659"/>
      <c r="H491" s="660"/>
      <c r="I491" s="659"/>
      <c r="J491" s="661"/>
      <c r="K491" s="692"/>
      <c r="L491" s="645"/>
      <c r="M491" s="663"/>
      <c r="N491" s="665"/>
      <c r="O491" s="665"/>
      <c r="P491" s="666"/>
      <c r="Q491" s="667"/>
      <c r="R491" s="668"/>
      <c r="S491" s="693"/>
      <c r="T491" s="694"/>
      <c r="U491" s="694"/>
      <c r="V491" s="693"/>
      <c r="W491" s="693"/>
      <c r="X491" s="693"/>
      <c r="Y491" s="671"/>
      <c r="Z491" s="673"/>
      <c r="AA491" s="672"/>
      <c r="AB491" s="695"/>
      <c r="AC491" s="673"/>
      <c r="AD491" s="673"/>
      <c r="AE491" s="673"/>
      <c r="AF491" s="673"/>
      <c r="AG491" s="673"/>
      <c r="AH491" s="673"/>
      <c r="AI491" s="673"/>
      <c r="AJ491" s="673"/>
      <c r="AK491" s="673"/>
      <c r="AL491" s="673"/>
      <c r="AM491" s="673"/>
      <c r="AN491" s="673"/>
      <c r="AO491" s="673"/>
      <c r="AP491" s="673"/>
      <c r="AQ491" s="673"/>
      <c r="AR491" s="673"/>
      <c r="AS491" s="673"/>
      <c r="AT491" s="696"/>
    </row>
    <row r="492" ht="15.75" customHeight="1">
      <c r="A492" s="653"/>
      <c r="B492" s="654"/>
      <c r="C492" s="691"/>
      <c r="D492" s="656"/>
      <c r="E492" s="657"/>
      <c r="F492" s="658"/>
      <c r="G492" s="659"/>
      <c r="H492" s="660"/>
      <c r="I492" s="659"/>
      <c r="J492" s="661"/>
      <c r="K492" s="692"/>
      <c r="L492" s="645"/>
      <c r="M492" s="663"/>
      <c r="N492" s="665"/>
      <c r="O492" s="665"/>
      <c r="P492" s="666"/>
      <c r="Q492" s="667"/>
      <c r="R492" s="668"/>
      <c r="S492" s="693"/>
      <c r="T492" s="694"/>
      <c r="U492" s="694"/>
      <c r="V492" s="693"/>
      <c r="W492" s="693"/>
      <c r="X492" s="693"/>
      <c r="Y492" s="671"/>
      <c r="Z492" s="673"/>
      <c r="AA492" s="672"/>
      <c r="AB492" s="695"/>
      <c r="AC492" s="673"/>
      <c r="AD492" s="673"/>
      <c r="AE492" s="673"/>
      <c r="AF492" s="673"/>
      <c r="AG492" s="673"/>
      <c r="AH492" s="673"/>
      <c r="AI492" s="673"/>
      <c r="AJ492" s="673"/>
      <c r="AK492" s="673"/>
      <c r="AL492" s="673"/>
      <c r="AM492" s="673"/>
      <c r="AN492" s="673"/>
      <c r="AO492" s="673"/>
      <c r="AP492" s="673"/>
      <c r="AQ492" s="673"/>
      <c r="AR492" s="673"/>
      <c r="AS492" s="673"/>
      <c r="AT492" s="696"/>
    </row>
    <row r="493" ht="15.75" customHeight="1">
      <c r="A493" s="653"/>
      <c r="B493" s="654"/>
      <c r="C493" s="691"/>
      <c r="D493" s="656"/>
      <c r="E493" s="657"/>
      <c r="F493" s="658"/>
      <c r="G493" s="659"/>
      <c r="H493" s="660"/>
      <c r="I493" s="659"/>
      <c r="J493" s="661"/>
      <c r="K493" s="692"/>
      <c r="L493" s="645"/>
      <c r="M493" s="663"/>
      <c r="N493" s="665"/>
      <c r="O493" s="665"/>
      <c r="P493" s="666"/>
      <c r="Q493" s="667"/>
      <c r="R493" s="668"/>
      <c r="S493" s="693"/>
      <c r="T493" s="694"/>
      <c r="U493" s="694"/>
      <c r="V493" s="693"/>
      <c r="W493" s="693"/>
      <c r="X493" s="693"/>
      <c r="Y493" s="671"/>
      <c r="Z493" s="673"/>
      <c r="AA493" s="672"/>
      <c r="AB493" s="695"/>
      <c r="AC493" s="673"/>
      <c r="AD493" s="673"/>
      <c r="AE493" s="673"/>
      <c r="AF493" s="673"/>
      <c r="AG493" s="673"/>
      <c r="AH493" s="673"/>
      <c r="AI493" s="673"/>
      <c r="AJ493" s="673"/>
      <c r="AK493" s="673"/>
      <c r="AL493" s="673"/>
      <c r="AM493" s="673"/>
      <c r="AN493" s="673"/>
      <c r="AO493" s="673"/>
      <c r="AP493" s="673"/>
      <c r="AQ493" s="673"/>
      <c r="AR493" s="673"/>
      <c r="AS493" s="673"/>
      <c r="AT493" s="696"/>
    </row>
    <row r="494" ht="15.75" customHeight="1">
      <c r="A494" s="653"/>
      <c r="B494" s="654"/>
      <c r="C494" s="691"/>
      <c r="D494" s="656"/>
      <c r="E494" s="657"/>
      <c r="F494" s="658"/>
      <c r="G494" s="659"/>
      <c r="H494" s="660"/>
      <c r="I494" s="659"/>
      <c r="J494" s="661"/>
      <c r="K494" s="692"/>
      <c r="L494" s="645"/>
      <c r="M494" s="663"/>
      <c r="N494" s="665"/>
      <c r="O494" s="665"/>
      <c r="P494" s="666"/>
      <c r="Q494" s="667"/>
      <c r="R494" s="668"/>
      <c r="S494" s="693"/>
      <c r="T494" s="694"/>
      <c r="U494" s="694"/>
      <c r="V494" s="693"/>
      <c r="W494" s="693"/>
      <c r="X494" s="693"/>
      <c r="Y494" s="671"/>
      <c r="Z494" s="673"/>
      <c r="AA494" s="672"/>
      <c r="AB494" s="695"/>
      <c r="AC494" s="673"/>
      <c r="AD494" s="673"/>
      <c r="AE494" s="673"/>
      <c r="AF494" s="673"/>
      <c r="AG494" s="673"/>
      <c r="AH494" s="673"/>
      <c r="AI494" s="673"/>
      <c r="AJ494" s="673"/>
      <c r="AK494" s="673"/>
      <c r="AL494" s="673"/>
      <c r="AM494" s="673"/>
      <c r="AN494" s="673"/>
      <c r="AO494" s="673"/>
      <c r="AP494" s="673"/>
      <c r="AQ494" s="673"/>
      <c r="AR494" s="673"/>
      <c r="AS494" s="673"/>
      <c r="AT494" s="696"/>
    </row>
    <row r="495" ht="15.75" customHeight="1">
      <c r="A495" s="653"/>
      <c r="B495" s="654"/>
      <c r="C495" s="691"/>
      <c r="D495" s="656"/>
      <c r="E495" s="657"/>
      <c r="F495" s="658"/>
      <c r="G495" s="659"/>
      <c r="H495" s="660"/>
      <c r="I495" s="659"/>
      <c r="J495" s="661"/>
      <c r="K495" s="692"/>
      <c r="L495" s="645"/>
      <c r="M495" s="663"/>
      <c r="N495" s="665"/>
      <c r="O495" s="665"/>
      <c r="P495" s="666"/>
      <c r="Q495" s="667"/>
      <c r="R495" s="668"/>
      <c r="S495" s="693"/>
      <c r="T495" s="694"/>
      <c r="U495" s="694"/>
      <c r="V495" s="693"/>
      <c r="W495" s="693"/>
      <c r="X495" s="693"/>
      <c r="Y495" s="671"/>
      <c r="Z495" s="673"/>
      <c r="AA495" s="672"/>
      <c r="AB495" s="695"/>
      <c r="AC495" s="673"/>
      <c r="AD495" s="673"/>
      <c r="AE495" s="673"/>
      <c r="AF495" s="673"/>
      <c r="AG495" s="673"/>
      <c r="AH495" s="673"/>
      <c r="AI495" s="673"/>
      <c r="AJ495" s="673"/>
      <c r="AK495" s="673"/>
      <c r="AL495" s="673"/>
      <c r="AM495" s="673"/>
      <c r="AN495" s="673"/>
      <c r="AO495" s="673"/>
      <c r="AP495" s="673"/>
      <c r="AQ495" s="673"/>
      <c r="AR495" s="673"/>
      <c r="AS495" s="673"/>
      <c r="AT495" s="696"/>
    </row>
    <row r="496" ht="15.75" customHeight="1">
      <c r="A496" s="653"/>
      <c r="B496" s="654"/>
      <c r="C496" s="691"/>
      <c r="D496" s="656"/>
      <c r="E496" s="657"/>
      <c r="F496" s="658"/>
      <c r="G496" s="659"/>
      <c r="H496" s="660"/>
      <c r="I496" s="659"/>
      <c r="J496" s="661"/>
      <c r="K496" s="692"/>
      <c r="L496" s="645"/>
      <c r="M496" s="663"/>
      <c r="N496" s="665"/>
      <c r="O496" s="665"/>
      <c r="P496" s="666"/>
      <c r="Q496" s="667"/>
      <c r="R496" s="668"/>
      <c r="S496" s="693"/>
      <c r="T496" s="694"/>
      <c r="U496" s="694"/>
      <c r="V496" s="693"/>
      <c r="W496" s="693"/>
      <c r="X496" s="693"/>
      <c r="Y496" s="671"/>
      <c r="Z496" s="673"/>
      <c r="AA496" s="672"/>
      <c r="AB496" s="695"/>
      <c r="AC496" s="673"/>
      <c r="AD496" s="673"/>
      <c r="AE496" s="673"/>
      <c r="AF496" s="673"/>
      <c r="AG496" s="673"/>
      <c r="AH496" s="673"/>
      <c r="AI496" s="673"/>
      <c r="AJ496" s="673"/>
      <c r="AK496" s="673"/>
      <c r="AL496" s="673"/>
      <c r="AM496" s="673"/>
      <c r="AN496" s="673"/>
      <c r="AO496" s="673"/>
      <c r="AP496" s="673"/>
      <c r="AQ496" s="673"/>
      <c r="AR496" s="673"/>
      <c r="AS496" s="673"/>
      <c r="AT496" s="696"/>
    </row>
    <row r="497" ht="15.75" customHeight="1">
      <c r="A497" s="653"/>
      <c r="B497" s="654"/>
      <c r="C497" s="691"/>
      <c r="D497" s="656"/>
      <c r="E497" s="657"/>
      <c r="F497" s="658"/>
      <c r="G497" s="659"/>
      <c r="H497" s="660"/>
      <c r="I497" s="659"/>
      <c r="J497" s="661"/>
      <c r="K497" s="692"/>
      <c r="L497" s="645"/>
      <c r="M497" s="663"/>
      <c r="N497" s="665"/>
      <c r="O497" s="665"/>
      <c r="P497" s="666"/>
      <c r="Q497" s="667"/>
      <c r="R497" s="668"/>
      <c r="S497" s="693"/>
      <c r="T497" s="694"/>
      <c r="U497" s="694"/>
      <c r="V497" s="693"/>
      <c r="W497" s="693"/>
      <c r="X497" s="693"/>
      <c r="Y497" s="671"/>
      <c r="Z497" s="673"/>
      <c r="AA497" s="672"/>
      <c r="AB497" s="695"/>
      <c r="AC497" s="673"/>
      <c r="AD497" s="673"/>
      <c r="AE497" s="673"/>
      <c r="AF497" s="673"/>
      <c r="AG497" s="673"/>
      <c r="AH497" s="673"/>
      <c r="AI497" s="673"/>
      <c r="AJ497" s="673"/>
      <c r="AK497" s="673"/>
      <c r="AL497" s="673"/>
      <c r="AM497" s="673"/>
      <c r="AN497" s="673"/>
      <c r="AO497" s="673"/>
      <c r="AP497" s="673"/>
      <c r="AQ497" s="673"/>
      <c r="AR497" s="673"/>
      <c r="AS497" s="673"/>
      <c r="AT497" s="696"/>
    </row>
    <row r="498" ht="15.75" customHeight="1">
      <c r="A498" s="653"/>
      <c r="B498" s="654"/>
      <c r="C498" s="691"/>
      <c r="D498" s="656"/>
      <c r="E498" s="657"/>
      <c r="F498" s="658"/>
      <c r="G498" s="659"/>
      <c r="H498" s="660"/>
      <c r="I498" s="659"/>
      <c r="J498" s="661"/>
      <c r="K498" s="692"/>
      <c r="L498" s="645"/>
      <c r="M498" s="663"/>
      <c r="N498" s="665"/>
      <c r="O498" s="665"/>
      <c r="P498" s="666"/>
      <c r="Q498" s="667"/>
      <c r="R498" s="668"/>
      <c r="S498" s="693"/>
      <c r="T498" s="694"/>
      <c r="U498" s="694"/>
      <c r="V498" s="693"/>
      <c r="W498" s="693"/>
      <c r="X498" s="693"/>
      <c r="Y498" s="671"/>
      <c r="Z498" s="673"/>
      <c r="AA498" s="672"/>
      <c r="AB498" s="695"/>
      <c r="AC498" s="673"/>
      <c r="AD498" s="673"/>
      <c r="AE498" s="673"/>
      <c r="AF498" s="673"/>
      <c r="AG498" s="673"/>
      <c r="AH498" s="673"/>
      <c r="AI498" s="673"/>
      <c r="AJ498" s="673"/>
      <c r="AK498" s="673"/>
      <c r="AL498" s="673"/>
      <c r="AM498" s="673"/>
      <c r="AN498" s="673"/>
      <c r="AO498" s="673"/>
      <c r="AP498" s="673"/>
      <c r="AQ498" s="673"/>
      <c r="AR498" s="673"/>
      <c r="AS498" s="673"/>
      <c r="AT498" s="696"/>
    </row>
    <row r="499" ht="15.75" customHeight="1">
      <c r="A499" s="653"/>
      <c r="B499" s="654"/>
      <c r="C499" s="691"/>
      <c r="D499" s="656"/>
      <c r="E499" s="657"/>
      <c r="F499" s="658"/>
      <c r="G499" s="659"/>
      <c r="H499" s="660"/>
      <c r="I499" s="659"/>
      <c r="J499" s="661"/>
      <c r="K499" s="692"/>
      <c r="L499" s="645"/>
      <c r="M499" s="663"/>
      <c r="N499" s="665"/>
      <c r="O499" s="665"/>
      <c r="P499" s="666"/>
      <c r="Q499" s="667"/>
      <c r="R499" s="668"/>
      <c r="S499" s="693"/>
      <c r="T499" s="694"/>
      <c r="U499" s="694"/>
      <c r="V499" s="693"/>
      <c r="W499" s="693"/>
      <c r="X499" s="693"/>
      <c r="Y499" s="671"/>
      <c r="Z499" s="673"/>
      <c r="AA499" s="672"/>
      <c r="AB499" s="695"/>
      <c r="AC499" s="673"/>
      <c r="AD499" s="673"/>
      <c r="AE499" s="673"/>
      <c r="AF499" s="673"/>
      <c r="AG499" s="673"/>
      <c r="AH499" s="673"/>
      <c r="AI499" s="673"/>
      <c r="AJ499" s="673"/>
      <c r="AK499" s="673"/>
      <c r="AL499" s="673"/>
      <c r="AM499" s="673"/>
      <c r="AN499" s="673"/>
      <c r="AO499" s="673"/>
      <c r="AP499" s="673"/>
      <c r="AQ499" s="673"/>
      <c r="AR499" s="673"/>
      <c r="AS499" s="673"/>
      <c r="AT499" s="696"/>
    </row>
    <row r="500" ht="15.75" customHeight="1">
      <c r="A500" s="653"/>
      <c r="B500" s="654"/>
      <c r="C500" s="691"/>
      <c r="D500" s="656"/>
      <c r="E500" s="657"/>
      <c r="F500" s="658"/>
      <c r="G500" s="659"/>
      <c r="H500" s="660"/>
      <c r="I500" s="659"/>
      <c r="J500" s="661"/>
      <c r="K500" s="692"/>
      <c r="L500" s="645"/>
      <c r="M500" s="663"/>
      <c r="N500" s="665"/>
      <c r="O500" s="665"/>
      <c r="P500" s="666"/>
      <c r="Q500" s="667"/>
      <c r="R500" s="668"/>
      <c r="S500" s="693"/>
      <c r="T500" s="694"/>
      <c r="U500" s="694"/>
      <c r="V500" s="693"/>
      <c r="W500" s="693"/>
      <c r="X500" s="693"/>
      <c r="Y500" s="671"/>
      <c r="Z500" s="673"/>
      <c r="AA500" s="672"/>
      <c r="AB500" s="695"/>
      <c r="AC500" s="673"/>
      <c r="AD500" s="673"/>
      <c r="AE500" s="673"/>
      <c r="AF500" s="673"/>
      <c r="AG500" s="673"/>
      <c r="AH500" s="673"/>
      <c r="AI500" s="673"/>
      <c r="AJ500" s="673"/>
      <c r="AK500" s="673"/>
      <c r="AL500" s="673"/>
      <c r="AM500" s="673"/>
      <c r="AN500" s="673"/>
      <c r="AO500" s="673"/>
      <c r="AP500" s="673"/>
      <c r="AQ500" s="673"/>
      <c r="AR500" s="673"/>
      <c r="AS500" s="673"/>
      <c r="AT500" s="696"/>
    </row>
    <row r="501" ht="15.75" customHeight="1">
      <c r="A501" s="653"/>
      <c r="B501" s="654"/>
      <c r="C501" s="691"/>
      <c r="D501" s="656"/>
      <c r="E501" s="657"/>
      <c r="F501" s="658"/>
      <c r="G501" s="659"/>
      <c r="H501" s="660"/>
      <c r="I501" s="659"/>
      <c r="J501" s="661"/>
      <c r="K501" s="692"/>
      <c r="L501" s="645"/>
      <c r="M501" s="663"/>
      <c r="N501" s="665"/>
      <c r="O501" s="665"/>
      <c r="P501" s="666"/>
      <c r="Q501" s="667"/>
      <c r="R501" s="668"/>
      <c r="S501" s="693"/>
      <c r="T501" s="694"/>
      <c r="U501" s="694"/>
      <c r="V501" s="693"/>
      <c r="W501" s="693"/>
      <c r="X501" s="693"/>
      <c r="Y501" s="671"/>
      <c r="Z501" s="673"/>
      <c r="AA501" s="672"/>
      <c r="AB501" s="695"/>
      <c r="AC501" s="673"/>
      <c r="AD501" s="673"/>
      <c r="AE501" s="673"/>
      <c r="AF501" s="673"/>
      <c r="AG501" s="673"/>
      <c r="AH501" s="673"/>
      <c r="AI501" s="673"/>
      <c r="AJ501" s="673"/>
      <c r="AK501" s="673"/>
      <c r="AL501" s="673"/>
      <c r="AM501" s="673"/>
      <c r="AN501" s="673"/>
      <c r="AO501" s="673"/>
      <c r="AP501" s="673"/>
      <c r="AQ501" s="673"/>
      <c r="AR501" s="673"/>
      <c r="AS501" s="673"/>
      <c r="AT501" s="696"/>
    </row>
    <row r="502" ht="15.75" customHeight="1">
      <c r="A502" s="653"/>
      <c r="B502" s="654"/>
      <c r="C502" s="691"/>
      <c r="D502" s="656"/>
      <c r="E502" s="657"/>
      <c r="F502" s="658"/>
      <c r="G502" s="659"/>
      <c r="H502" s="660"/>
      <c r="I502" s="659"/>
      <c r="J502" s="661"/>
      <c r="K502" s="692"/>
      <c r="L502" s="645"/>
      <c r="M502" s="663"/>
      <c r="N502" s="665"/>
      <c r="O502" s="665"/>
      <c r="P502" s="666"/>
      <c r="Q502" s="667"/>
      <c r="R502" s="668"/>
      <c r="S502" s="693"/>
      <c r="T502" s="694"/>
      <c r="U502" s="694"/>
      <c r="V502" s="693"/>
      <c r="W502" s="693"/>
      <c r="X502" s="693"/>
      <c r="Y502" s="671"/>
      <c r="Z502" s="673"/>
      <c r="AA502" s="672"/>
      <c r="AB502" s="695"/>
      <c r="AC502" s="673"/>
      <c r="AD502" s="673"/>
      <c r="AE502" s="673"/>
      <c r="AF502" s="673"/>
      <c r="AG502" s="673"/>
      <c r="AH502" s="673"/>
      <c r="AI502" s="673"/>
      <c r="AJ502" s="673"/>
      <c r="AK502" s="673"/>
      <c r="AL502" s="673"/>
      <c r="AM502" s="673"/>
      <c r="AN502" s="673"/>
      <c r="AO502" s="673"/>
      <c r="AP502" s="673"/>
      <c r="AQ502" s="673"/>
      <c r="AR502" s="673"/>
      <c r="AS502" s="673"/>
      <c r="AT502" s="696"/>
    </row>
    <row r="503" ht="15.75" customHeight="1">
      <c r="A503" s="653"/>
      <c r="B503" s="654"/>
      <c r="C503" s="691"/>
      <c r="D503" s="656"/>
      <c r="E503" s="657"/>
      <c r="F503" s="658"/>
      <c r="G503" s="659"/>
      <c r="H503" s="660"/>
      <c r="I503" s="659"/>
      <c r="J503" s="661"/>
      <c r="K503" s="692"/>
      <c r="L503" s="645"/>
      <c r="M503" s="663"/>
      <c r="N503" s="665"/>
      <c r="O503" s="665"/>
      <c r="P503" s="666"/>
      <c r="Q503" s="667"/>
      <c r="R503" s="668"/>
      <c r="S503" s="693"/>
      <c r="T503" s="694"/>
      <c r="U503" s="694"/>
      <c r="V503" s="693"/>
      <c r="W503" s="693"/>
      <c r="X503" s="693"/>
      <c r="Y503" s="671"/>
      <c r="Z503" s="673"/>
      <c r="AA503" s="672"/>
      <c r="AB503" s="695"/>
      <c r="AC503" s="673"/>
      <c r="AD503" s="673"/>
      <c r="AE503" s="673"/>
      <c r="AF503" s="673"/>
      <c r="AG503" s="673"/>
      <c r="AH503" s="673"/>
      <c r="AI503" s="673"/>
      <c r="AJ503" s="673"/>
      <c r="AK503" s="673"/>
      <c r="AL503" s="673"/>
      <c r="AM503" s="673"/>
      <c r="AN503" s="673"/>
      <c r="AO503" s="673"/>
      <c r="AP503" s="673"/>
      <c r="AQ503" s="673"/>
      <c r="AR503" s="673"/>
      <c r="AS503" s="673"/>
      <c r="AT503" s="696"/>
    </row>
    <row r="504" ht="15.75" customHeight="1">
      <c r="A504" s="653"/>
      <c r="B504" s="654"/>
      <c r="C504" s="691"/>
      <c r="D504" s="656"/>
      <c r="E504" s="657"/>
      <c r="F504" s="658"/>
      <c r="G504" s="659"/>
      <c r="H504" s="660"/>
      <c r="I504" s="659"/>
      <c r="J504" s="661"/>
      <c r="K504" s="692"/>
      <c r="L504" s="645"/>
      <c r="M504" s="663"/>
      <c r="N504" s="665"/>
      <c r="O504" s="665"/>
      <c r="P504" s="666"/>
      <c r="Q504" s="667"/>
      <c r="R504" s="668"/>
      <c r="S504" s="693"/>
      <c r="T504" s="694"/>
      <c r="U504" s="694"/>
      <c r="V504" s="693"/>
      <c r="W504" s="693"/>
      <c r="X504" s="693"/>
      <c r="Y504" s="671"/>
      <c r="Z504" s="673"/>
      <c r="AA504" s="672"/>
      <c r="AB504" s="695"/>
      <c r="AC504" s="673"/>
      <c r="AD504" s="673"/>
      <c r="AE504" s="673"/>
      <c r="AF504" s="673"/>
      <c r="AG504" s="673"/>
      <c r="AH504" s="673"/>
      <c r="AI504" s="673"/>
      <c r="AJ504" s="673"/>
      <c r="AK504" s="673"/>
      <c r="AL504" s="673"/>
      <c r="AM504" s="673"/>
      <c r="AN504" s="673"/>
      <c r="AO504" s="673"/>
      <c r="AP504" s="673"/>
      <c r="AQ504" s="673"/>
      <c r="AR504" s="673"/>
      <c r="AS504" s="673"/>
      <c r="AT504" s="696"/>
    </row>
    <row r="505" ht="15.75" customHeight="1">
      <c r="A505" s="653"/>
      <c r="B505" s="654"/>
      <c r="C505" s="691"/>
      <c r="D505" s="656"/>
      <c r="E505" s="657"/>
      <c r="F505" s="658"/>
      <c r="G505" s="659"/>
      <c r="H505" s="660"/>
      <c r="I505" s="659"/>
      <c r="J505" s="661"/>
      <c r="K505" s="692"/>
      <c r="L505" s="645"/>
      <c r="M505" s="663"/>
      <c r="N505" s="665"/>
      <c r="O505" s="665"/>
      <c r="P505" s="666"/>
      <c r="Q505" s="667"/>
      <c r="R505" s="668"/>
      <c r="S505" s="693"/>
      <c r="T505" s="694"/>
      <c r="U505" s="694"/>
      <c r="V505" s="693"/>
      <c r="W505" s="693"/>
      <c r="X505" s="693"/>
      <c r="Y505" s="671"/>
      <c r="Z505" s="673"/>
      <c r="AA505" s="672"/>
      <c r="AB505" s="695"/>
      <c r="AC505" s="673"/>
      <c r="AD505" s="673"/>
      <c r="AE505" s="673"/>
      <c r="AF505" s="673"/>
      <c r="AG505" s="673"/>
      <c r="AH505" s="673"/>
      <c r="AI505" s="673"/>
      <c r="AJ505" s="673"/>
      <c r="AK505" s="673"/>
      <c r="AL505" s="673"/>
      <c r="AM505" s="673"/>
      <c r="AN505" s="673"/>
      <c r="AO505" s="673"/>
      <c r="AP505" s="673"/>
      <c r="AQ505" s="673"/>
      <c r="AR505" s="673"/>
      <c r="AS505" s="673"/>
      <c r="AT505" s="696"/>
    </row>
    <row r="506" ht="15.75" customHeight="1">
      <c r="A506" s="653"/>
      <c r="B506" s="654"/>
      <c r="C506" s="691"/>
      <c r="D506" s="656"/>
      <c r="E506" s="657"/>
      <c r="F506" s="658"/>
      <c r="G506" s="659"/>
      <c r="H506" s="660"/>
      <c r="I506" s="659"/>
      <c r="J506" s="661"/>
      <c r="K506" s="692"/>
      <c r="L506" s="645"/>
      <c r="M506" s="663"/>
      <c r="N506" s="665"/>
      <c r="O506" s="665"/>
      <c r="P506" s="666"/>
      <c r="Q506" s="667"/>
      <c r="R506" s="668"/>
      <c r="S506" s="693"/>
      <c r="T506" s="694"/>
      <c r="U506" s="694"/>
      <c r="V506" s="693"/>
      <c r="W506" s="693"/>
      <c r="X506" s="693"/>
      <c r="Y506" s="671"/>
      <c r="Z506" s="673"/>
      <c r="AA506" s="672"/>
      <c r="AB506" s="695"/>
      <c r="AC506" s="673"/>
      <c r="AD506" s="673"/>
      <c r="AE506" s="673"/>
      <c r="AF506" s="673"/>
      <c r="AG506" s="673"/>
      <c r="AH506" s="673"/>
      <c r="AI506" s="673"/>
      <c r="AJ506" s="673"/>
      <c r="AK506" s="673"/>
      <c r="AL506" s="673"/>
      <c r="AM506" s="673"/>
      <c r="AN506" s="673"/>
      <c r="AO506" s="673"/>
      <c r="AP506" s="673"/>
      <c r="AQ506" s="673"/>
      <c r="AR506" s="673"/>
      <c r="AS506" s="673"/>
      <c r="AT506" s="696"/>
    </row>
    <row r="507" ht="15.75" customHeight="1">
      <c r="A507" s="653"/>
      <c r="B507" s="654"/>
      <c r="C507" s="691"/>
      <c r="D507" s="656"/>
      <c r="E507" s="657"/>
      <c r="F507" s="658"/>
      <c r="G507" s="659"/>
      <c r="H507" s="660"/>
      <c r="I507" s="659"/>
      <c r="J507" s="661"/>
      <c r="K507" s="692"/>
      <c r="L507" s="645"/>
      <c r="M507" s="663"/>
      <c r="N507" s="665"/>
      <c r="O507" s="665"/>
      <c r="P507" s="666"/>
      <c r="Q507" s="667"/>
      <c r="R507" s="668"/>
      <c r="S507" s="693"/>
      <c r="T507" s="694"/>
      <c r="U507" s="694"/>
      <c r="V507" s="693"/>
      <c r="W507" s="693"/>
      <c r="X507" s="693"/>
      <c r="Y507" s="671"/>
      <c r="Z507" s="673"/>
      <c r="AA507" s="672"/>
      <c r="AB507" s="695"/>
      <c r="AC507" s="673"/>
      <c r="AD507" s="673"/>
      <c r="AE507" s="673"/>
      <c r="AF507" s="673"/>
      <c r="AG507" s="673"/>
      <c r="AH507" s="673"/>
      <c r="AI507" s="673"/>
      <c r="AJ507" s="673"/>
      <c r="AK507" s="673"/>
      <c r="AL507" s="673"/>
      <c r="AM507" s="673"/>
      <c r="AN507" s="673"/>
      <c r="AO507" s="673"/>
      <c r="AP507" s="673"/>
      <c r="AQ507" s="673"/>
      <c r="AR507" s="673"/>
      <c r="AS507" s="673"/>
      <c r="AT507" s="696"/>
    </row>
    <row r="508" ht="15.75" customHeight="1">
      <c r="A508" s="653"/>
      <c r="B508" s="654"/>
      <c r="C508" s="691"/>
      <c r="D508" s="656"/>
      <c r="E508" s="657"/>
      <c r="F508" s="658"/>
      <c r="G508" s="659"/>
      <c r="H508" s="660"/>
      <c r="I508" s="659"/>
      <c r="J508" s="661"/>
      <c r="K508" s="692"/>
      <c r="L508" s="645"/>
      <c r="M508" s="663"/>
      <c r="N508" s="665"/>
      <c r="O508" s="665"/>
      <c r="P508" s="666"/>
      <c r="Q508" s="667"/>
      <c r="R508" s="668"/>
      <c r="S508" s="693"/>
      <c r="T508" s="694"/>
      <c r="U508" s="694"/>
      <c r="V508" s="693"/>
      <c r="W508" s="693"/>
      <c r="X508" s="693"/>
      <c r="Y508" s="671"/>
      <c r="Z508" s="673"/>
      <c r="AA508" s="672"/>
      <c r="AB508" s="695"/>
      <c r="AC508" s="673"/>
      <c r="AD508" s="673"/>
      <c r="AE508" s="673"/>
      <c r="AF508" s="673"/>
      <c r="AG508" s="673"/>
      <c r="AH508" s="673"/>
      <c r="AI508" s="673"/>
      <c r="AJ508" s="673"/>
      <c r="AK508" s="673"/>
      <c r="AL508" s="673"/>
      <c r="AM508" s="673"/>
      <c r="AN508" s="673"/>
      <c r="AO508" s="673"/>
      <c r="AP508" s="673"/>
      <c r="AQ508" s="673"/>
      <c r="AR508" s="673"/>
      <c r="AS508" s="673"/>
      <c r="AT508" s="696"/>
    </row>
    <row r="509" ht="15.75" customHeight="1">
      <c r="A509" s="653"/>
      <c r="B509" s="654"/>
      <c r="C509" s="691"/>
      <c r="D509" s="656"/>
      <c r="E509" s="657"/>
      <c r="F509" s="658"/>
      <c r="G509" s="659"/>
      <c r="H509" s="660"/>
      <c r="I509" s="659"/>
      <c r="J509" s="661"/>
      <c r="K509" s="692"/>
      <c r="L509" s="645"/>
      <c r="M509" s="663"/>
      <c r="N509" s="665"/>
      <c r="O509" s="665"/>
      <c r="P509" s="666"/>
      <c r="Q509" s="667"/>
      <c r="R509" s="668"/>
      <c r="S509" s="693"/>
      <c r="T509" s="694"/>
      <c r="U509" s="694"/>
      <c r="V509" s="693"/>
      <c r="W509" s="693"/>
      <c r="X509" s="693"/>
      <c r="Y509" s="671"/>
      <c r="Z509" s="673"/>
      <c r="AA509" s="672"/>
      <c r="AB509" s="695"/>
      <c r="AC509" s="673"/>
      <c r="AD509" s="673"/>
      <c r="AE509" s="673"/>
      <c r="AF509" s="673"/>
      <c r="AG509" s="673"/>
      <c r="AH509" s="673"/>
      <c r="AI509" s="673"/>
      <c r="AJ509" s="673"/>
      <c r="AK509" s="673"/>
      <c r="AL509" s="673"/>
      <c r="AM509" s="673"/>
      <c r="AN509" s="673"/>
      <c r="AO509" s="673"/>
      <c r="AP509" s="673"/>
      <c r="AQ509" s="673"/>
      <c r="AR509" s="673"/>
      <c r="AS509" s="673"/>
      <c r="AT509" s="696"/>
    </row>
    <row r="510" ht="15.75" customHeight="1">
      <c r="A510" s="653"/>
      <c r="B510" s="654"/>
      <c r="C510" s="691"/>
      <c r="D510" s="656"/>
      <c r="E510" s="657"/>
      <c r="F510" s="658"/>
      <c r="G510" s="659"/>
      <c r="H510" s="660"/>
      <c r="I510" s="659"/>
      <c r="J510" s="661"/>
      <c r="K510" s="692"/>
      <c r="L510" s="645"/>
      <c r="M510" s="663"/>
      <c r="N510" s="665"/>
      <c r="O510" s="665"/>
      <c r="P510" s="666"/>
      <c r="Q510" s="667"/>
      <c r="R510" s="668"/>
      <c r="S510" s="693"/>
      <c r="T510" s="694"/>
      <c r="U510" s="694"/>
      <c r="V510" s="693"/>
      <c r="W510" s="693"/>
      <c r="X510" s="693"/>
      <c r="Y510" s="671"/>
      <c r="Z510" s="673"/>
      <c r="AA510" s="672"/>
      <c r="AB510" s="695"/>
      <c r="AC510" s="673"/>
      <c r="AD510" s="673"/>
      <c r="AE510" s="673"/>
      <c r="AF510" s="673"/>
      <c r="AG510" s="673"/>
      <c r="AH510" s="673"/>
      <c r="AI510" s="673"/>
      <c r="AJ510" s="673"/>
      <c r="AK510" s="673"/>
      <c r="AL510" s="673"/>
      <c r="AM510" s="673"/>
      <c r="AN510" s="673"/>
      <c r="AO510" s="673"/>
      <c r="AP510" s="673"/>
      <c r="AQ510" s="673"/>
      <c r="AR510" s="673"/>
      <c r="AS510" s="673"/>
      <c r="AT510" s="696"/>
    </row>
    <row r="511" ht="15.75" customHeight="1">
      <c r="A511" s="653"/>
      <c r="B511" s="654"/>
      <c r="C511" s="691"/>
      <c r="D511" s="656"/>
      <c r="E511" s="657"/>
      <c r="F511" s="658"/>
      <c r="G511" s="659"/>
      <c r="H511" s="660"/>
      <c r="I511" s="659"/>
      <c r="J511" s="661"/>
      <c r="K511" s="692"/>
      <c r="L511" s="645"/>
      <c r="M511" s="663"/>
      <c r="N511" s="665"/>
      <c r="O511" s="665"/>
      <c r="P511" s="666"/>
      <c r="Q511" s="667"/>
      <c r="R511" s="668"/>
      <c r="S511" s="693"/>
      <c r="T511" s="694"/>
      <c r="U511" s="694"/>
      <c r="V511" s="693"/>
      <c r="W511" s="693"/>
      <c r="X511" s="693"/>
      <c r="Y511" s="671"/>
      <c r="Z511" s="673"/>
      <c r="AA511" s="672"/>
      <c r="AB511" s="695"/>
      <c r="AC511" s="673"/>
      <c r="AD511" s="673"/>
      <c r="AE511" s="673"/>
      <c r="AF511" s="673"/>
      <c r="AG511" s="673"/>
      <c r="AH511" s="673"/>
      <c r="AI511" s="673"/>
      <c r="AJ511" s="673"/>
      <c r="AK511" s="673"/>
      <c r="AL511" s="673"/>
      <c r="AM511" s="673"/>
      <c r="AN511" s="673"/>
      <c r="AO511" s="673"/>
      <c r="AP511" s="673"/>
      <c r="AQ511" s="673"/>
      <c r="AR511" s="673"/>
      <c r="AS511" s="673"/>
      <c r="AT511" s="696"/>
    </row>
    <row r="512" ht="15.75" customHeight="1">
      <c r="A512" s="653"/>
      <c r="B512" s="654"/>
      <c r="C512" s="691"/>
      <c r="D512" s="656"/>
      <c r="E512" s="657"/>
      <c r="F512" s="658"/>
      <c r="G512" s="659"/>
      <c r="H512" s="660"/>
      <c r="I512" s="659"/>
      <c r="J512" s="661"/>
      <c r="K512" s="692"/>
      <c r="L512" s="645"/>
      <c r="M512" s="663"/>
      <c r="N512" s="665"/>
      <c r="O512" s="665"/>
      <c r="P512" s="666"/>
      <c r="Q512" s="667"/>
      <c r="R512" s="668"/>
      <c r="S512" s="693"/>
      <c r="T512" s="694"/>
      <c r="U512" s="694"/>
      <c r="V512" s="693"/>
      <c r="W512" s="693"/>
      <c r="X512" s="693"/>
      <c r="Y512" s="671"/>
      <c r="Z512" s="673"/>
      <c r="AA512" s="672"/>
      <c r="AB512" s="695"/>
      <c r="AC512" s="673"/>
      <c r="AD512" s="673"/>
      <c r="AE512" s="673"/>
      <c r="AF512" s="673"/>
      <c r="AG512" s="673"/>
      <c r="AH512" s="673"/>
      <c r="AI512" s="673"/>
      <c r="AJ512" s="673"/>
      <c r="AK512" s="673"/>
      <c r="AL512" s="673"/>
      <c r="AM512" s="673"/>
      <c r="AN512" s="673"/>
      <c r="AO512" s="673"/>
      <c r="AP512" s="673"/>
      <c r="AQ512" s="673"/>
      <c r="AR512" s="673"/>
      <c r="AS512" s="673"/>
      <c r="AT512" s="696"/>
    </row>
    <row r="513" ht="15.75" customHeight="1">
      <c r="A513" s="653"/>
      <c r="B513" s="654"/>
      <c r="C513" s="691"/>
      <c r="D513" s="656"/>
      <c r="E513" s="657"/>
      <c r="F513" s="658"/>
      <c r="G513" s="659"/>
      <c r="H513" s="660"/>
      <c r="I513" s="659"/>
      <c r="J513" s="661"/>
      <c r="K513" s="692"/>
      <c r="L513" s="645"/>
      <c r="M513" s="663"/>
      <c r="N513" s="665"/>
      <c r="O513" s="665"/>
      <c r="P513" s="666"/>
      <c r="Q513" s="667"/>
      <c r="R513" s="668"/>
      <c r="S513" s="693"/>
      <c r="T513" s="694"/>
      <c r="U513" s="694"/>
      <c r="V513" s="693"/>
      <c r="W513" s="693"/>
      <c r="X513" s="693"/>
      <c r="Y513" s="671"/>
      <c r="Z513" s="673"/>
      <c r="AA513" s="672"/>
      <c r="AB513" s="695"/>
      <c r="AC513" s="673"/>
      <c r="AD513" s="673"/>
      <c r="AE513" s="673"/>
      <c r="AF513" s="673"/>
      <c r="AG513" s="673"/>
      <c r="AH513" s="673"/>
      <c r="AI513" s="673"/>
      <c r="AJ513" s="673"/>
      <c r="AK513" s="673"/>
      <c r="AL513" s="673"/>
      <c r="AM513" s="673"/>
      <c r="AN513" s="673"/>
      <c r="AO513" s="673"/>
      <c r="AP513" s="673"/>
      <c r="AQ513" s="673"/>
      <c r="AR513" s="673"/>
      <c r="AS513" s="673"/>
      <c r="AT513" s="696"/>
    </row>
    <row r="514" ht="15.75" customHeight="1">
      <c r="A514" s="653"/>
      <c r="B514" s="654"/>
      <c r="C514" s="691"/>
      <c r="D514" s="656"/>
      <c r="E514" s="657"/>
      <c r="F514" s="658"/>
      <c r="G514" s="659"/>
      <c r="H514" s="660"/>
      <c r="I514" s="659"/>
      <c r="J514" s="661"/>
      <c r="K514" s="692"/>
      <c r="L514" s="645"/>
      <c r="M514" s="663"/>
      <c r="N514" s="665"/>
      <c r="O514" s="665"/>
      <c r="P514" s="666"/>
      <c r="Q514" s="667"/>
      <c r="R514" s="668"/>
      <c r="S514" s="693"/>
      <c r="T514" s="694"/>
      <c r="U514" s="694"/>
      <c r="V514" s="693"/>
      <c r="W514" s="693"/>
      <c r="X514" s="693"/>
      <c r="Y514" s="671"/>
      <c r="Z514" s="673"/>
      <c r="AA514" s="672"/>
      <c r="AB514" s="695"/>
      <c r="AC514" s="673"/>
      <c r="AD514" s="673"/>
      <c r="AE514" s="673"/>
      <c r="AF514" s="673"/>
      <c r="AG514" s="673"/>
      <c r="AH514" s="673"/>
      <c r="AI514" s="673"/>
      <c r="AJ514" s="673"/>
      <c r="AK514" s="673"/>
      <c r="AL514" s="673"/>
      <c r="AM514" s="673"/>
      <c r="AN514" s="673"/>
      <c r="AO514" s="673"/>
      <c r="AP514" s="673"/>
      <c r="AQ514" s="673"/>
      <c r="AR514" s="673"/>
      <c r="AS514" s="673"/>
      <c r="AT514" s="696"/>
    </row>
    <row r="515" ht="15.75" customHeight="1">
      <c r="A515" s="653"/>
      <c r="B515" s="654"/>
      <c r="C515" s="691"/>
      <c r="D515" s="656"/>
      <c r="E515" s="657"/>
      <c r="F515" s="658"/>
      <c r="G515" s="659"/>
      <c r="H515" s="660"/>
      <c r="I515" s="659"/>
      <c r="J515" s="661"/>
      <c r="K515" s="692"/>
      <c r="L515" s="645"/>
      <c r="M515" s="663"/>
      <c r="N515" s="665"/>
      <c r="O515" s="665"/>
      <c r="P515" s="666"/>
      <c r="Q515" s="667"/>
      <c r="R515" s="668"/>
      <c r="S515" s="693"/>
      <c r="T515" s="694"/>
      <c r="U515" s="694"/>
      <c r="V515" s="693"/>
      <c r="W515" s="693"/>
      <c r="X515" s="693"/>
      <c r="Y515" s="671"/>
      <c r="Z515" s="673"/>
      <c r="AA515" s="672"/>
      <c r="AB515" s="695"/>
      <c r="AC515" s="673"/>
      <c r="AD515" s="673"/>
      <c r="AE515" s="673"/>
      <c r="AF515" s="673"/>
      <c r="AG515" s="673"/>
      <c r="AH515" s="673"/>
      <c r="AI515" s="673"/>
      <c r="AJ515" s="673"/>
      <c r="AK515" s="673"/>
      <c r="AL515" s="673"/>
      <c r="AM515" s="673"/>
      <c r="AN515" s="673"/>
      <c r="AO515" s="673"/>
      <c r="AP515" s="673"/>
      <c r="AQ515" s="673"/>
      <c r="AR515" s="673"/>
      <c r="AS515" s="673"/>
      <c r="AT515" s="696"/>
    </row>
    <row r="516" ht="15.75" customHeight="1">
      <c r="A516" s="653"/>
      <c r="B516" s="654"/>
      <c r="C516" s="691"/>
      <c r="D516" s="656"/>
      <c r="E516" s="657"/>
      <c r="F516" s="658"/>
      <c r="G516" s="659"/>
      <c r="H516" s="660"/>
      <c r="I516" s="659"/>
      <c r="J516" s="661"/>
      <c r="K516" s="692"/>
      <c r="L516" s="645"/>
      <c r="M516" s="663"/>
      <c r="N516" s="665"/>
      <c r="O516" s="665"/>
      <c r="P516" s="666"/>
      <c r="Q516" s="667"/>
      <c r="R516" s="668"/>
      <c r="S516" s="693"/>
      <c r="T516" s="694"/>
      <c r="U516" s="694"/>
      <c r="V516" s="693"/>
      <c r="W516" s="693"/>
      <c r="X516" s="693"/>
      <c r="Y516" s="671"/>
      <c r="Z516" s="673"/>
      <c r="AA516" s="672"/>
      <c r="AB516" s="695"/>
      <c r="AC516" s="673"/>
      <c r="AD516" s="673"/>
      <c r="AE516" s="673"/>
      <c r="AF516" s="673"/>
      <c r="AG516" s="673"/>
      <c r="AH516" s="673"/>
      <c r="AI516" s="673"/>
      <c r="AJ516" s="673"/>
      <c r="AK516" s="673"/>
      <c r="AL516" s="673"/>
      <c r="AM516" s="673"/>
      <c r="AN516" s="673"/>
      <c r="AO516" s="673"/>
      <c r="AP516" s="673"/>
      <c r="AQ516" s="673"/>
      <c r="AR516" s="673"/>
      <c r="AS516" s="673"/>
      <c r="AT516" s="696"/>
    </row>
    <row r="517" ht="15.75" customHeight="1">
      <c r="A517" s="653"/>
      <c r="B517" s="654"/>
      <c r="C517" s="691"/>
      <c r="D517" s="656"/>
      <c r="E517" s="657"/>
      <c r="F517" s="658"/>
      <c r="G517" s="659"/>
      <c r="H517" s="660"/>
      <c r="I517" s="659"/>
      <c r="J517" s="661"/>
      <c r="K517" s="692"/>
      <c r="L517" s="645"/>
      <c r="M517" s="663"/>
      <c r="N517" s="665"/>
      <c r="O517" s="665"/>
      <c r="P517" s="666"/>
      <c r="Q517" s="667"/>
      <c r="R517" s="668"/>
      <c r="S517" s="693"/>
      <c r="T517" s="694"/>
      <c r="U517" s="694"/>
      <c r="V517" s="693"/>
      <c r="W517" s="693"/>
      <c r="X517" s="693"/>
      <c r="Y517" s="671"/>
      <c r="Z517" s="673"/>
      <c r="AA517" s="672"/>
      <c r="AB517" s="695"/>
      <c r="AC517" s="673"/>
      <c r="AD517" s="673"/>
      <c r="AE517" s="673"/>
      <c r="AF517" s="673"/>
      <c r="AG517" s="673"/>
      <c r="AH517" s="673"/>
      <c r="AI517" s="673"/>
      <c r="AJ517" s="673"/>
      <c r="AK517" s="673"/>
      <c r="AL517" s="673"/>
      <c r="AM517" s="673"/>
      <c r="AN517" s="673"/>
      <c r="AO517" s="673"/>
      <c r="AP517" s="673"/>
      <c r="AQ517" s="673"/>
      <c r="AR517" s="673"/>
      <c r="AS517" s="673"/>
      <c r="AT517" s="696"/>
    </row>
    <row r="518" ht="15.75" customHeight="1">
      <c r="A518" s="653"/>
      <c r="B518" s="654"/>
      <c r="C518" s="691"/>
      <c r="D518" s="656"/>
      <c r="E518" s="657"/>
      <c r="F518" s="658"/>
      <c r="G518" s="659"/>
      <c r="H518" s="660"/>
      <c r="I518" s="659"/>
      <c r="J518" s="661"/>
      <c r="K518" s="692"/>
      <c r="L518" s="645"/>
      <c r="M518" s="663"/>
      <c r="N518" s="665"/>
      <c r="O518" s="665"/>
      <c r="P518" s="666"/>
      <c r="Q518" s="667"/>
      <c r="R518" s="668"/>
      <c r="S518" s="693"/>
      <c r="T518" s="694"/>
      <c r="U518" s="694"/>
      <c r="V518" s="693"/>
      <c r="W518" s="693"/>
      <c r="X518" s="693"/>
      <c r="Y518" s="671"/>
      <c r="Z518" s="673"/>
      <c r="AA518" s="672"/>
      <c r="AB518" s="695"/>
      <c r="AC518" s="673"/>
      <c r="AD518" s="673"/>
      <c r="AE518" s="673"/>
      <c r="AF518" s="673"/>
      <c r="AG518" s="673"/>
      <c r="AH518" s="673"/>
      <c r="AI518" s="673"/>
      <c r="AJ518" s="673"/>
      <c r="AK518" s="673"/>
      <c r="AL518" s="673"/>
      <c r="AM518" s="673"/>
      <c r="AN518" s="673"/>
      <c r="AO518" s="673"/>
      <c r="AP518" s="673"/>
      <c r="AQ518" s="673"/>
      <c r="AR518" s="673"/>
      <c r="AS518" s="673"/>
      <c r="AT518" s="696"/>
    </row>
    <row r="519" ht="15.75" customHeight="1">
      <c r="A519" s="653"/>
      <c r="B519" s="654"/>
      <c r="C519" s="691"/>
      <c r="D519" s="656"/>
      <c r="E519" s="657"/>
      <c r="F519" s="658"/>
      <c r="G519" s="659"/>
      <c r="H519" s="660"/>
      <c r="I519" s="659"/>
      <c r="J519" s="661"/>
      <c r="K519" s="692"/>
      <c r="L519" s="645"/>
      <c r="M519" s="663"/>
      <c r="N519" s="665"/>
      <c r="O519" s="665"/>
      <c r="P519" s="666"/>
      <c r="Q519" s="667"/>
      <c r="R519" s="668"/>
      <c r="S519" s="693"/>
      <c r="T519" s="694"/>
      <c r="U519" s="694"/>
      <c r="V519" s="693"/>
      <c r="W519" s="693"/>
      <c r="X519" s="693"/>
      <c r="Y519" s="671"/>
      <c r="Z519" s="673"/>
      <c r="AA519" s="672"/>
      <c r="AB519" s="695"/>
      <c r="AC519" s="673"/>
      <c r="AD519" s="673"/>
      <c r="AE519" s="673"/>
      <c r="AF519" s="673"/>
      <c r="AG519" s="673"/>
      <c r="AH519" s="673"/>
      <c r="AI519" s="673"/>
      <c r="AJ519" s="673"/>
      <c r="AK519" s="673"/>
      <c r="AL519" s="673"/>
      <c r="AM519" s="673"/>
      <c r="AN519" s="673"/>
      <c r="AO519" s="673"/>
      <c r="AP519" s="673"/>
      <c r="AQ519" s="673"/>
      <c r="AR519" s="673"/>
      <c r="AS519" s="673"/>
      <c r="AT519" s="696"/>
    </row>
    <row r="520" ht="15.75" customHeight="1">
      <c r="A520" s="653"/>
      <c r="B520" s="654"/>
      <c r="C520" s="691"/>
      <c r="D520" s="656"/>
      <c r="E520" s="657"/>
      <c r="F520" s="658"/>
      <c r="G520" s="659"/>
      <c r="H520" s="660"/>
      <c r="I520" s="659"/>
      <c r="J520" s="661"/>
      <c r="K520" s="692"/>
      <c r="L520" s="645"/>
      <c r="M520" s="663"/>
      <c r="N520" s="665"/>
      <c r="O520" s="665"/>
      <c r="P520" s="666"/>
      <c r="Q520" s="667"/>
      <c r="R520" s="668"/>
      <c r="S520" s="693"/>
      <c r="T520" s="694"/>
      <c r="U520" s="694"/>
      <c r="V520" s="693"/>
      <c r="W520" s="693"/>
      <c r="X520" s="693"/>
      <c r="Y520" s="671"/>
      <c r="Z520" s="673"/>
      <c r="AA520" s="672"/>
      <c r="AB520" s="695"/>
      <c r="AC520" s="673"/>
      <c r="AD520" s="673"/>
      <c r="AE520" s="673"/>
      <c r="AF520" s="673"/>
      <c r="AG520" s="673"/>
      <c r="AH520" s="673"/>
      <c r="AI520" s="673"/>
      <c r="AJ520" s="673"/>
      <c r="AK520" s="673"/>
      <c r="AL520" s="673"/>
      <c r="AM520" s="673"/>
      <c r="AN520" s="673"/>
      <c r="AO520" s="673"/>
      <c r="AP520" s="673"/>
      <c r="AQ520" s="673"/>
      <c r="AR520" s="673"/>
      <c r="AS520" s="673"/>
      <c r="AT520" s="696"/>
    </row>
    <row r="521" ht="15.75" customHeight="1">
      <c r="A521" s="653"/>
      <c r="B521" s="654"/>
      <c r="C521" s="691"/>
      <c r="D521" s="656"/>
      <c r="E521" s="657"/>
      <c r="F521" s="658"/>
      <c r="G521" s="659"/>
      <c r="H521" s="660"/>
      <c r="I521" s="659"/>
      <c r="J521" s="661"/>
      <c r="K521" s="692"/>
      <c r="L521" s="645"/>
      <c r="M521" s="663"/>
      <c r="N521" s="665"/>
      <c r="O521" s="665"/>
      <c r="P521" s="666"/>
      <c r="Q521" s="667"/>
      <c r="R521" s="668"/>
      <c r="S521" s="693"/>
      <c r="T521" s="694"/>
      <c r="U521" s="694"/>
      <c r="V521" s="693"/>
      <c r="W521" s="693"/>
      <c r="X521" s="693"/>
      <c r="Y521" s="671"/>
      <c r="Z521" s="673"/>
      <c r="AA521" s="672"/>
      <c r="AB521" s="695"/>
      <c r="AC521" s="673"/>
      <c r="AD521" s="673"/>
      <c r="AE521" s="673"/>
      <c r="AF521" s="673"/>
      <c r="AG521" s="673"/>
      <c r="AH521" s="673"/>
      <c r="AI521" s="673"/>
      <c r="AJ521" s="673"/>
      <c r="AK521" s="673"/>
      <c r="AL521" s="673"/>
      <c r="AM521" s="673"/>
      <c r="AN521" s="673"/>
      <c r="AO521" s="673"/>
      <c r="AP521" s="673"/>
      <c r="AQ521" s="673"/>
      <c r="AR521" s="673"/>
      <c r="AS521" s="673"/>
      <c r="AT521" s="696"/>
    </row>
    <row r="522" ht="15.75" customHeight="1">
      <c r="A522" s="653"/>
      <c r="B522" s="654"/>
      <c r="C522" s="691"/>
      <c r="D522" s="656"/>
      <c r="E522" s="657"/>
      <c r="F522" s="658"/>
      <c r="G522" s="659"/>
      <c r="H522" s="660"/>
      <c r="I522" s="659"/>
      <c r="J522" s="661"/>
      <c r="K522" s="692"/>
      <c r="L522" s="645"/>
      <c r="M522" s="663"/>
      <c r="N522" s="665"/>
      <c r="O522" s="665"/>
      <c r="P522" s="666"/>
      <c r="Q522" s="667"/>
      <c r="R522" s="668"/>
      <c r="S522" s="693"/>
      <c r="T522" s="694"/>
      <c r="U522" s="694"/>
      <c r="V522" s="693"/>
      <c r="W522" s="693"/>
      <c r="X522" s="693"/>
      <c r="Y522" s="671"/>
      <c r="Z522" s="673"/>
      <c r="AA522" s="672"/>
      <c r="AB522" s="695"/>
      <c r="AC522" s="673"/>
      <c r="AD522" s="673"/>
      <c r="AE522" s="673"/>
      <c r="AF522" s="673"/>
      <c r="AG522" s="673"/>
      <c r="AH522" s="673"/>
      <c r="AI522" s="673"/>
      <c r="AJ522" s="673"/>
      <c r="AK522" s="673"/>
      <c r="AL522" s="673"/>
      <c r="AM522" s="673"/>
      <c r="AN522" s="673"/>
      <c r="AO522" s="673"/>
      <c r="AP522" s="673"/>
      <c r="AQ522" s="673"/>
      <c r="AR522" s="673"/>
      <c r="AS522" s="673"/>
      <c r="AT522" s="696"/>
    </row>
    <row r="523" ht="15.75" customHeight="1">
      <c r="A523" s="653"/>
      <c r="B523" s="654"/>
      <c r="C523" s="691"/>
      <c r="D523" s="656"/>
      <c r="E523" s="657"/>
      <c r="F523" s="658"/>
      <c r="G523" s="659"/>
      <c r="H523" s="660"/>
      <c r="I523" s="659"/>
      <c r="J523" s="661"/>
      <c r="K523" s="692"/>
      <c r="L523" s="645"/>
      <c r="M523" s="663"/>
      <c r="N523" s="665"/>
      <c r="O523" s="665"/>
      <c r="P523" s="666"/>
      <c r="Q523" s="667"/>
      <c r="R523" s="668"/>
      <c r="S523" s="693"/>
      <c r="T523" s="694"/>
      <c r="U523" s="694"/>
      <c r="V523" s="693"/>
      <c r="W523" s="693"/>
      <c r="X523" s="693"/>
      <c r="Y523" s="671"/>
      <c r="Z523" s="673"/>
      <c r="AA523" s="672"/>
      <c r="AB523" s="695"/>
      <c r="AC523" s="673"/>
      <c r="AD523" s="673"/>
      <c r="AE523" s="673"/>
      <c r="AF523" s="673"/>
      <c r="AG523" s="673"/>
      <c r="AH523" s="673"/>
      <c r="AI523" s="673"/>
      <c r="AJ523" s="673"/>
      <c r="AK523" s="673"/>
      <c r="AL523" s="673"/>
      <c r="AM523" s="673"/>
      <c r="AN523" s="673"/>
      <c r="AO523" s="673"/>
      <c r="AP523" s="673"/>
      <c r="AQ523" s="673"/>
      <c r="AR523" s="673"/>
      <c r="AS523" s="673"/>
      <c r="AT523" s="696"/>
    </row>
    <row r="524" ht="15.75" customHeight="1">
      <c r="A524" s="653"/>
      <c r="B524" s="654"/>
      <c r="C524" s="691"/>
      <c r="D524" s="656"/>
      <c r="E524" s="657"/>
      <c r="F524" s="658"/>
      <c r="G524" s="659"/>
      <c r="H524" s="660"/>
      <c r="I524" s="659"/>
      <c r="J524" s="661"/>
      <c r="K524" s="692"/>
      <c r="L524" s="645"/>
      <c r="M524" s="663"/>
      <c r="N524" s="665"/>
      <c r="O524" s="665"/>
      <c r="P524" s="666"/>
      <c r="Q524" s="667"/>
      <c r="R524" s="668"/>
      <c r="S524" s="693"/>
      <c r="T524" s="694"/>
      <c r="U524" s="694"/>
      <c r="V524" s="693"/>
      <c r="W524" s="693"/>
      <c r="X524" s="693"/>
      <c r="Y524" s="671"/>
      <c r="Z524" s="673"/>
      <c r="AA524" s="672"/>
      <c r="AB524" s="695"/>
      <c r="AC524" s="673"/>
      <c r="AD524" s="673"/>
      <c r="AE524" s="673"/>
      <c r="AF524" s="673"/>
      <c r="AG524" s="673"/>
      <c r="AH524" s="673"/>
      <c r="AI524" s="673"/>
      <c r="AJ524" s="673"/>
      <c r="AK524" s="673"/>
      <c r="AL524" s="673"/>
      <c r="AM524" s="673"/>
      <c r="AN524" s="673"/>
      <c r="AO524" s="673"/>
      <c r="AP524" s="673"/>
      <c r="AQ524" s="673"/>
      <c r="AR524" s="673"/>
      <c r="AS524" s="673"/>
      <c r="AT524" s="696"/>
    </row>
    <row r="525" ht="15.75" customHeight="1">
      <c r="A525" s="653"/>
      <c r="B525" s="654"/>
      <c r="C525" s="691"/>
      <c r="D525" s="656"/>
      <c r="E525" s="657"/>
      <c r="F525" s="658"/>
      <c r="G525" s="659"/>
      <c r="H525" s="660"/>
      <c r="I525" s="659"/>
      <c r="J525" s="661"/>
      <c r="K525" s="692"/>
      <c r="L525" s="645"/>
      <c r="M525" s="663"/>
      <c r="N525" s="665"/>
      <c r="O525" s="665"/>
      <c r="P525" s="666"/>
      <c r="Q525" s="667"/>
      <c r="R525" s="668"/>
      <c r="S525" s="693"/>
      <c r="T525" s="694"/>
      <c r="U525" s="694"/>
      <c r="V525" s="693"/>
      <c r="W525" s="693"/>
      <c r="X525" s="693"/>
      <c r="Y525" s="671"/>
      <c r="Z525" s="673"/>
      <c r="AA525" s="672"/>
      <c r="AB525" s="695"/>
      <c r="AC525" s="673"/>
      <c r="AD525" s="673"/>
      <c r="AE525" s="673"/>
      <c r="AF525" s="673"/>
      <c r="AG525" s="673"/>
      <c r="AH525" s="673"/>
      <c r="AI525" s="673"/>
      <c r="AJ525" s="673"/>
      <c r="AK525" s="673"/>
      <c r="AL525" s="673"/>
      <c r="AM525" s="673"/>
      <c r="AN525" s="673"/>
      <c r="AO525" s="673"/>
      <c r="AP525" s="673"/>
      <c r="AQ525" s="673"/>
      <c r="AR525" s="673"/>
      <c r="AS525" s="673"/>
      <c r="AT525" s="696"/>
    </row>
    <row r="526" ht="15.75" customHeight="1">
      <c r="A526" s="653"/>
      <c r="B526" s="654"/>
      <c r="C526" s="691"/>
      <c r="D526" s="656"/>
      <c r="E526" s="657"/>
      <c r="F526" s="658"/>
      <c r="G526" s="659"/>
      <c r="H526" s="660"/>
      <c r="I526" s="659"/>
      <c r="J526" s="661"/>
      <c r="K526" s="692"/>
      <c r="L526" s="645"/>
      <c r="M526" s="663"/>
      <c r="N526" s="665"/>
      <c r="O526" s="665"/>
      <c r="P526" s="666"/>
      <c r="Q526" s="667"/>
      <c r="R526" s="668"/>
      <c r="S526" s="693"/>
      <c r="T526" s="694"/>
      <c r="U526" s="694"/>
      <c r="V526" s="693"/>
      <c r="W526" s="693"/>
      <c r="X526" s="693"/>
      <c r="Y526" s="671"/>
      <c r="Z526" s="673"/>
      <c r="AA526" s="672"/>
      <c r="AB526" s="695"/>
      <c r="AC526" s="673"/>
      <c r="AD526" s="673"/>
      <c r="AE526" s="673"/>
      <c r="AF526" s="673"/>
      <c r="AG526" s="673"/>
      <c r="AH526" s="673"/>
      <c r="AI526" s="673"/>
      <c r="AJ526" s="673"/>
      <c r="AK526" s="673"/>
      <c r="AL526" s="673"/>
      <c r="AM526" s="673"/>
      <c r="AN526" s="673"/>
      <c r="AO526" s="673"/>
      <c r="AP526" s="673"/>
      <c r="AQ526" s="673"/>
      <c r="AR526" s="673"/>
      <c r="AS526" s="673"/>
      <c r="AT526" s="696"/>
    </row>
    <row r="527" ht="15.75" customHeight="1">
      <c r="A527" s="653"/>
      <c r="B527" s="654"/>
      <c r="C527" s="691"/>
      <c r="D527" s="656"/>
      <c r="E527" s="657"/>
      <c r="F527" s="658"/>
      <c r="G527" s="659"/>
      <c r="H527" s="660"/>
      <c r="I527" s="659"/>
      <c r="J527" s="661"/>
      <c r="K527" s="692"/>
      <c r="L527" s="645"/>
      <c r="M527" s="663"/>
      <c r="N527" s="665"/>
      <c r="O527" s="665"/>
      <c r="P527" s="666"/>
      <c r="Q527" s="667"/>
      <c r="R527" s="668"/>
      <c r="S527" s="693"/>
      <c r="T527" s="694"/>
      <c r="U527" s="694"/>
      <c r="V527" s="693"/>
      <c r="W527" s="693"/>
      <c r="X527" s="693"/>
      <c r="Y527" s="671"/>
      <c r="Z527" s="673"/>
      <c r="AA527" s="672"/>
      <c r="AB527" s="695"/>
      <c r="AC527" s="673"/>
      <c r="AD527" s="673"/>
      <c r="AE527" s="673"/>
      <c r="AF527" s="673"/>
      <c r="AG527" s="673"/>
      <c r="AH527" s="673"/>
      <c r="AI527" s="673"/>
      <c r="AJ527" s="673"/>
      <c r="AK527" s="673"/>
      <c r="AL527" s="673"/>
      <c r="AM527" s="673"/>
      <c r="AN527" s="673"/>
      <c r="AO527" s="673"/>
      <c r="AP527" s="673"/>
      <c r="AQ527" s="673"/>
      <c r="AR527" s="673"/>
      <c r="AS527" s="673"/>
      <c r="AT527" s="696"/>
    </row>
    <row r="528" ht="15.75" customHeight="1">
      <c r="A528" s="653"/>
      <c r="B528" s="654"/>
      <c r="C528" s="691"/>
      <c r="D528" s="656"/>
      <c r="E528" s="657"/>
      <c r="F528" s="658"/>
      <c r="G528" s="659"/>
      <c r="H528" s="660"/>
      <c r="I528" s="659"/>
      <c r="J528" s="661"/>
      <c r="K528" s="692"/>
      <c r="L528" s="645"/>
      <c r="M528" s="663"/>
      <c r="N528" s="665"/>
      <c r="O528" s="665"/>
      <c r="P528" s="666"/>
      <c r="Q528" s="667"/>
      <c r="R528" s="668"/>
      <c r="S528" s="693"/>
      <c r="T528" s="694"/>
      <c r="U528" s="694"/>
      <c r="V528" s="693"/>
      <c r="W528" s="693"/>
      <c r="X528" s="693"/>
      <c r="Y528" s="671"/>
      <c r="Z528" s="673"/>
      <c r="AA528" s="672"/>
      <c r="AB528" s="695"/>
      <c r="AC528" s="673"/>
      <c r="AD528" s="673"/>
      <c r="AE528" s="673"/>
      <c r="AF528" s="673"/>
      <c r="AG528" s="673"/>
      <c r="AH528" s="673"/>
      <c r="AI528" s="673"/>
      <c r="AJ528" s="673"/>
      <c r="AK528" s="673"/>
      <c r="AL528" s="673"/>
      <c r="AM528" s="673"/>
      <c r="AN528" s="673"/>
      <c r="AO528" s="673"/>
      <c r="AP528" s="673"/>
      <c r="AQ528" s="673"/>
      <c r="AR528" s="673"/>
      <c r="AS528" s="673"/>
      <c r="AT528" s="696"/>
    </row>
    <row r="529" ht="15.75" customHeight="1">
      <c r="A529" s="653"/>
      <c r="B529" s="654"/>
      <c r="C529" s="691"/>
      <c r="D529" s="656"/>
      <c r="E529" s="657"/>
      <c r="F529" s="658"/>
      <c r="G529" s="659"/>
      <c r="H529" s="660"/>
      <c r="I529" s="659"/>
      <c r="J529" s="661"/>
      <c r="K529" s="692"/>
      <c r="L529" s="645"/>
      <c r="M529" s="663"/>
      <c r="N529" s="665"/>
      <c r="O529" s="665"/>
      <c r="P529" s="666"/>
      <c r="Q529" s="667"/>
      <c r="R529" s="668"/>
      <c r="S529" s="693"/>
      <c r="T529" s="694"/>
      <c r="U529" s="694"/>
      <c r="V529" s="693"/>
      <c r="W529" s="693"/>
      <c r="X529" s="693"/>
      <c r="Y529" s="671"/>
      <c r="Z529" s="673"/>
      <c r="AA529" s="672"/>
      <c r="AB529" s="695"/>
      <c r="AC529" s="673"/>
      <c r="AD529" s="673"/>
      <c r="AE529" s="673"/>
      <c r="AF529" s="673"/>
      <c r="AG529" s="673"/>
      <c r="AH529" s="673"/>
      <c r="AI529" s="673"/>
      <c r="AJ529" s="673"/>
      <c r="AK529" s="673"/>
      <c r="AL529" s="673"/>
      <c r="AM529" s="673"/>
      <c r="AN529" s="673"/>
      <c r="AO529" s="673"/>
      <c r="AP529" s="673"/>
      <c r="AQ529" s="673"/>
      <c r="AR529" s="673"/>
      <c r="AS529" s="673"/>
      <c r="AT529" s="696"/>
    </row>
    <row r="530" ht="15.75" customHeight="1">
      <c r="A530" s="653"/>
      <c r="B530" s="654"/>
      <c r="C530" s="691"/>
      <c r="D530" s="656"/>
      <c r="E530" s="657"/>
      <c r="F530" s="658"/>
      <c r="G530" s="659"/>
      <c r="H530" s="660"/>
      <c r="I530" s="659"/>
      <c r="J530" s="661"/>
      <c r="K530" s="692"/>
      <c r="L530" s="645"/>
      <c r="M530" s="663"/>
      <c r="N530" s="665"/>
      <c r="O530" s="665"/>
      <c r="P530" s="666"/>
      <c r="Q530" s="667"/>
      <c r="R530" s="668"/>
      <c r="S530" s="693"/>
      <c r="T530" s="694"/>
      <c r="U530" s="694"/>
      <c r="V530" s="693"/>
      <c r="W530" s="693"/>
      <c r="X530" s="693"/>
      <c r="Y530" s="671"/>
      <c r="Z530" s="673"/>
      <c r="AA530" s="672"/>
      <c r="AB530" s="695"/>
      <c r="AC530" s="673"/>
      <c r="AD530" s="673"/>
      <c r="AE530" s="673"/>
      <c r="AF530" s="673"/>
      <c r="AG530" s="673"/>
      <c r="AH530" s="673"/>
      <c r="AI530" s="673"/>
      <c r="AJ530" s="673"/>
      <c r="AK530" s="673"/>
      <c r="AL530" s="673"/>
      <c r="AM530" s="673"/>
      <c r="AN530" s="673"/>
      <c r="AO530" s="673"/>
      <c r="AP530" s="673"/>
      <c r="AQ530" s="673"/>
      <c r="AR530" s="673"/>
      <c r="AS530" s="673"/>
      <c r="AT530" s="696"/>
    </row>
    <row r="531" ht="15.75" customHeight="1">
      <c r="A531" s="653"/>
      <c r="B531" s="654"/>
      <c r="C531" s="691"/>
      <c r="D531" s="656"/>
      <c r="E531" s="657"/>
      <c r="F531" s="658"/>
      <c r="G531" s="659"/>
      <c r="H531" s="660"/>
      <c r="I531" s="659"/>
      <c r="J531" s="661"/>
      <c r="K531" s="692"/>
      <c r="L531" s="645"/>
      <c r="M531" s="663"/>
      <c r="N531" s="665"/>
      <c r="O531" s="665"/>
      <c r="P531" s="666"/>
      <c r="Q531" s="667"/>
      <c r="R531" s="668"/>
      <c r="S531" s="693"/>
      <c r="T531" s="694"/>
      <c r="U531" s="694"/>
      <c r="V531" s="693"/>
      <c r="W531" s="693"/>
      <c r="X531" s="693"/>
      <c r="Y531" s="671"/>
      <c r="Z531" s="673"/>
      <c r="AA531" s="672"/>
      <c r="AB531" s="695"/>
      <c r="AC531" s="673"/>
      <c r="AD531" s="673"/>
      <c r="AE531" s="673"/>
      <c r="AF531" s="673"/>
      <c r="AG531" s="673"/>
      <c r="AH531" s="673"/>
      <c r="AI531" s="673"/>
      <c r="AJ531" s="673"/>
      <c r="AK531" s="673"/>
      <c r="AL531" s="673"/>
      <c r="AM531" s="673"/>
      <c r="AN531" s="673"/>
      <c r="AO531" s="673"/>
      <c r="AP531" s="673"/>
      <c r="AQ531" s="673"/>
      <c r="AR531" s="673"/>
      <c r="AS531" s="673"/>
      <c r="AT531" s="696"/>
    </row>
    <row r="532" ht="15.75" customHeight="1">
      <c r="A532" s="653"/>
      <c r="B532" s="654"/>
      <c r="C532" s="691"/>
      <c r="D532" s="656"/>
      <c r="E532" s="657"/>
      <c r="F532" s="658"/>
      <c r="G532" s="659"/>
      <c r="H532" s="660"/>
      <c r="I532" s="659"/>
      <c r="J532" s="661"/>
      <c r="K532" s="692"/>
      <c r="L532" s="645"/>
      <c r="M532" s="663"/>
      <c r="N532" s="665"/>
      <c r="O532" s="665"/>
      <c r="P532" s="666"/>
      <c r="Q532" s="667"/>
      <c r="R532" s="668"/>
      <c r="S532" s="693"/>
      <c r="T532" s="694"/>
      <c r="U532" s="694"/>
      <c r="V532" s="693"/>
      <c r="W532" s="693"/>
      <c r="X532" s="693"/>
      <c r="Y532" s="671"/>
      <c r="Z532" s="673"/>
      <c r="AA532" s="672"/>
      <c r="AB532" s="695"/>
      <c r="AC532" s="673"/>
      <c r="AD532" s="673"/>
      <c r="AE532" s="673"/>
      <c r="AF532" s="673"/>
      <c r="AG532" s="673"/>
      <c r="AH532" s="673"/>
      <c r="AI532" s="673"/>
      <c r="AJ532" s="673"/>
      <c r="AK532" s="673"/>
      <c r="AL532" s="673"/>
      <c r="AM532" s="673"/>
      <c r="AN532" s="673"/>
      <c r="AO532" s="673"/>
      <c r="AP532" s="673"/>
      <c r="AQ532" s="673"/>
      <c r="AR532" s="673"/>
      <c r="AS532" s="673"/>
      <c r="AT532" s="696"/>
    </row>
    <row r="533" ht="15.75" customHeight="1">
      <c r="A533" s="653"/>
      <c r="B533" s="654"/>
      <c r="C533" s="691"/>
      <c r="D533" s="656"/>
      <c r="E533" s="657"/>
      <c r="F533" s="658"/>
      <c r="G533" s="659"/>
      <c r="H533" s="660"/>
      <c r="I533" s="659"/>
      <c r="J533" s="661"/>
      <c r="K533" s="692"/>
      <c r="L533" s="645"/>
      <c r="M533" s="663"/>
      <c r="N533" s="665"/>
      <c r="O533" s="665"/>
      <c r="P533" s="666"/>
      <c r="Q533" s="667"/>
      <c r="R533" s="668"/>
      <c r="S533" s="693"/>
      <c r="T533" s="694"/>
      <c r="U533" s="694"/>
      <c r="V533" s="693"/>
      <c r="W533" s="693"/>
      <c r="X533" s="693"/>
      <c r="Y533" s="671"/>
      <c r="Z533" s="673"/>
      <c r="AA533" s="672"/>
      <c r="AB533" s="695"/>
      <c r="AC533" s="673"/>
      <c r="AD533" s="673"/>
      <c r="AE533" s="673"/>
      <c r="AF533" s="673"/>
      <c r="AG533" s="673"/>
      <c r="AH533" s="673"/>
      <c r="AI533" s="673"/>
      <c r="AJ533" s="673"/>
      <c r="AK533" s="673"/>
      <c r="AL533" s="673"/>
      <c r="AM533" s="673"/>
      <c r="AN533" s="673"/>
      <c r="AO533" s="673"/>
      <c r="AP533" s="673"/>
      <c r="AQ533" s="673"/>
      <c r="AR533" s="673"/>
      <c r="AS533" s="673"/>
      <c r="AT533" s="696"/>
    </row>
    <row r="534" ht="15.75" customHeight="1">
      <c r="A534" s="653"/>
      <c r="B534" s="654"/>
      <c r="C534" s="691"/>
      <c r="D534" s="656"/>
      <c r="E534" s="657"/>
      <c r="F534" s="658"/>
      <c r="G534" s="659"/>
      <c r="H534" s="660"/>
      <c r="I534" s="659"/>
      <c r="J534" s="661"/>
      <c r="K534" s="692"/>
      <c r="L534" s="645"/>
      <c r="M534" s="663"/>
      <c r="N534" s="665"/>
      <c r="O534" s="665"/>
      <c r="P534" s="666"/>
      <c r="Q534" s="667"/>
      <c r="R534" s="668"/>
      <c r="S534" s="693"/>
      <c r="T534" s="694"/>
      <c r="U534" s="694"/>
      <c r="V534" s="693"/>
      <c r="W534" s="693"/>
      <c r="X534" s="693"/>
      <c r="Y534" s="671"/>
      <c r="Z534" s="673"/>
      <c r="AA534" s="672"/>
      <c r="AB534" s="695"/>
      <c r="AC534" s="673"/>
      <c r="AD534" s="673"/>
      <c r="AE534" s="673"/>
      <c r="AF534" s="673"/>
      <c r="AG534" s="673"/>
      <c r="AH534" s="673"/>
      <c r="AI534" s="673"/>
      <c r="AJ534" s="673"/>
      <c r="AK534" s="673"/>
      <c r="AL534" s="673"/>
      <c r="AM534" s="673"/>
      <c r="AN534" s="673"/>
      <c r="AO534" s="673"/>
      <c r="AP534" s="673"/>
      <c r="AQ534" s="673"/>
      <c r="AR534" s="673"/>
      <c r="AS534" s="673"/>
      <c r="AT534" s="696"/>
    </row>
    <row r="535" ht="15.75" customHeight="1">
      <c r="A535" s="653"/>
      <c r="B535" s="654"/>
      <c r="C535" s="691"/>
      <c r="D535" s="656"/>
      <c r="E535" s="657"/>
      <c r="F535" s="658"/>
      <c r="G535" s="659"/>
      <c r="H535" s="660"/>
      <c r="I535" s="659"/>
      <c r="J535" s="661"/>
      <c r="K535" s="692"/>
      <c r="L535" s="645"/>
      <c r="M535" s="663"/>
      <c r="N535" s="665"/>
      <c r="O535" s="665"/>
      <c r="P535" s="666"/>
      <c r="Q535" s="667"/>
      <c r="R535" s="668"/>
      <c r="S535" s="693"/>
      <c r="T535" s="694"/>
      <c r="U535" s="694"/>
      <c r="V535" s="693"/>
      <c r="W535" s="693"/>
      <c r="X535" s="693"/>
      <c r="Y535" s="671"/>
      <c r="Z535" s="673"/>
      <c r="AA535" s="672"/>
      <c r="AB535" s="695"/>
      <c r="AC535" s="673"/>
      <c r="AD535" s="673"/>
      <c r="AE535" s="673"/>
      <c r="AF535" s="673"/>
      <c r="AG535" s="673"/>
      <c r="AH535" s="673"/>
      <c r="AI535" s="673"/>
      <c r="AJ535" s="673"/>
      <c r="AK535" s="673"/>
      <c r="AL535" s="673"/>
      <c r="AM535" s="673"/>
      <c r="AN535" s="673"/>
      <c r="AO535" s="673"/>
      <c r="AP535" s="673"/>
      <c r="AQ535" s="673"/>
      <c r="AR535" s="673"/>
      <c r="AS535" s="673"/>
      <c r="AT535" s="696"/>
    </row>
    <row r="536" ht="15.75" customHeight="1">
      <c r="A536" s="653"/>
      <c r="B536" s="654"/>
      <c r="C536" s="691"/>
      <c r="D536" s="656"/>
      <c r="E536" s="657"/>
      <c r="F536" s="658"/>
      <c r="G536" s="659"/>
      <c r="H536" s="660"/>
      <c r="I536" s="659"/>
      <c r="J536" s="661"/>
      <c r="K536" s="692"/>
      <c r="L536" s="645"/>
      <c r="M536" s="663"/>
      <c r="N536" s="665"/>
      <c r="O536" s="665"/>
      <c r="P536" s="666"/>
      <c r="Q536" s="667"/>
      <c r="R536" s="668"/>
      <c r="S536" s="693"/>
      <c r="T536" s="694"/>
      <c r="U536" s="694"/>
      <c r="V536" s="693"/>
      <c r="W536" s="693"/>
      <c r="X536" s="693"/>
      <c r="Y536" s="671"/>
      <c r="Z536" s="673"/>
      <c r="AA536" s="672"/>
      <c r="AB536" s="695"/>
      <c r="AC536" s="673"/>
      <c r="AD536" s="673"/>
      <c r="AE536" s="673"/>
      <c r="AF536" s="673"/>
      <c r="AG536" s="673"/>
      <c r="AH536" s="673"/>
      <c r="AI536" s="673"/>
      <c r="AJ536" s="673"/>
      <c r="AK536" s="673"/>
      <c r="AL536" s="673"/>
      <c r="AM536" s="673"/>
      <c r="AN536" s="673"/>
      <c r="AO536" s="673"/>
      <c r="AP536" s="673"/>
      <c r="AQ536" s="673"/>
      <c r="AR536" s="673"/>
      <c r="AS536" s="673"/>
      <c r="AT536" s="696"/>
    </row>
    <row r="537" ht="15.75" customHeight="1">
      <c r="A537" s="653"/>
      <c r="B537" s="654"/>
      <c r="C537" s="691"/>
      <c r="D537" s="656"/>
      <c r="E537" s="657"/>
      <c r="F537" s="658"/>
      <c r="G537" s="659"/>
      <c r="H537" s="660"/>
      <c r="I537" s="659"/>
      <c r="J537" s="661"/>
      <c r="K537" s="692"/>
      <c r="L537" s="645"/>
      <c r="M537" s="663"/>
      <c r="N537" s="665"/>
      <c r="O537" s="665"/>
      <c r="P537" s="666"/>
      <c r="Q537" s="667"/>
      <c r="R537" s="668"/>
      <c r="S537" s="693"/>
      <c r="T537" s="694"/>
      <c r="U537" s="694"/>
      <c r="V537" s="693"/>
      <c r="W537" s="693"/>
      <c r="X537" s="693"/>
      <c r="Y537" s="671"/>
      <c r="Z537" s="673"/>
      <c r="AA537" s="672"/>
      <c r="AB537" s="695"/>
      <c r="AC537" s="673"/>
      <c r="AD537" s="673"/>
      <c r="AE537" s="673"/>
      <c r="AF537" s="673"/>
      <c r="AG537" s="673"/>
      <c r="AH537" s="673"/>
      <c r="AI537" s="673"/>
      <c r="AJ537" s="673"/>
      <c r="AK537" s="673"/>
      <c r="AL537" s="673"/>
      <c r="AM537" s="673"/>
      <c r="AN537" s="673"/>
      <c r="AO537" s="673"/>
      <c r="AP537" s="673"/>
      <c r="AQ537" s="673"/>
      <c r="AR537" s="673"/>
      <c r="AS537" s="673"/>
      <c r="AT537" s="696"/>
    </row>
    <row r="538" ht="15.75" customHeight="1">
      <c r="A538" s="653"/>
      <c r="B538" s="654"/>
      <c r="C538" s="691"/>
      <c r="D538" s="656"/>
      <c r="E538" s="657"/>
      <c r="F538" s="658"/>
      <c r="G538" s="659"/>
      <c r="H538" s="660"/>
      <c r="I538" s="659"/>
      <c r="J538" s="661"/>
      <c r="K538" s="692"/>
      <c r="L538" s="645"/>
      <c r="M538" s="663"/>
      <c r="N538" s="665"/>
      <c r="O538" s="665"/>
      <c r="P538" s="666"/>
      <c r="Q538" s="667"/>
      <c r="R538" s="668"/>
      <c r="S538" s="693"/>
      <c r="T538" s="694"/>
      <c r="U538" s="694"/>
      <c r="V538" s="693"/>
      <c r="W538" s="693"/>
      <c r="X538" s="693"/>
      <c r="Y538" s="671"/>
      <c r="Z538" s="673"/>
      <c r="AA538" s="672"/>
      <c r="AB538" s="695"/>
      <c r="AC538" s="673"/>
      <c r="AD538" s="673"/>
      <c r="AE538" s="673"/>
      <c r="AF538" s="673"/>
      <c r="AG538" s="673"/>
      <c r="AH538" s="673"/>
      <c r="AI538" s="673"/>
      <c r="AJ538" s="673"/>
      <c r="AK538" s="673"/>
      <c r="AL538" s="673"/>
      <c r="AM538" s="673"/>
      <c r="AN538" s="673"/>
      <c r="AO538" s="673"/>
      <c r="AP538" s="673"/>
      <c r="AQ538" s="673"/>
      <c r="AR538" s="673"/>
      <c r="AS538" s="673"/>
      <c r="AT538" s="696"/>
    </row>
    <row r="539" ht="15.75" customHeight="1">
      <c r="A539" s="653"/>
      <c r="B539" s="654"/>
      <c r="C539" s="691"/>
      <c r="D539" s="656"/>
      <c r="E539" s="657"/>
      <c r="F539" s="658"/>
      <c r="G539" s="659"/>
      <c r="H539" s="660"/>
      <c r="I539" s="659"/>
      <c r="J539" s="661"/>
      <c r="K539" s="692"/>
      <c r="L539" s="645"/>
      <c r="M539" s="663"/>
      <c r="N539" s="665"/>
      <c r="O539" s="665"/>
      <c r="P539" s="666"/>
      <c r="Q539" s="667"/>
      <c r="R539" s="668"/>
      <c r="S539" s="693"/>
      <c r="T539" s="694"/>
      <c r="U539" s="694"/>
      <c r="V539" s="693"/>
      <c r="W539" s="693"/>
      <c r="X539" s="693"/>
      <c r="Y539" s="671"/>
      <c r="Z539" s="673"/>
      <c r="AA539" s="672"/>
      <c r="AB539" s="695"/>
      <c r="AC539" s="673"/>
      <c r="AD539" s="673"/>
      <c r="AE539" s="673"/>
      <c r="AF539" s="673"/>
      <c r="AG539" s="673"/>
      <c r="AH539" s="673"/>
      <c r="AI539" s="673"/>
      <c r="AJ539" s="673"/>
      <c r="AK539" s="673"/>
      <c r="AL539" s="673"/>
      <c r="AM539" s="673"/>
      <c r="AN539" s="673"/>
      <c r="AO539" s="673"/>
      <c r="AP539" s="673"/>
      <c r="AQ539" s="673"/>
      <c r="AR539" s="673"/>
      <c r="AS539" s="673"/>
      <c r="AT539" s="696"/>
    </row>
    <row r="540" ht="15.75" customHeight="1">
      <c r="A540" s="653"/>
      <c r="B540" s="654"/>
      <c r="C540" s="691"/>
      <c r="D540" s="656"/>
      <c r="E540" s="657"/>
      <c r="F540" s="658"/>
      <c r="G540" s="659"/>
      <c r="H540" s="660"/>
      <c r="I540" s="659"/>
      <c r="J540" s="661"/>
      <c r="K540" s="692"/>
      <c r="L540" s="645"/>
      <c r="M540" s="663"/>
      <c r="N540" s="665"/>
      <c r="O540" s="665"/>
      <c r="P540" s="666"/>
      <c r="Q540" s="667"/>
      <c r="R540" s="668"/>
      <c r="S540" s="693"/>
      <c r="T540" s="694"/>
      <c r="U540" s="694"/>
      <c r="V540" s="693"/>
      <c r="W540" s="693"/>
      <c r="X540" s="693"/>
      <c r="Y540" s="671"/>
      <c r="Z540" s="673"/>
      <c r="AA540" s="672"/>
      <c r="AB540" s="695"/>
      <c r="AC540" s="673"/>
      <c r="AD540" s="673"/>
      <c r="AE540" s="673"/>
      <c r="AF540" s="673"/>
      <c r="AG540" s="673"/>
      <c r="AH540" s="673"/>
      <c r="AI540" s="673"/>
      <c r="AJ540" s="673"/>
      <c r="AK540" s="673"/>
      <c r="AL540" s="673"/>
      <c r="AM540" s="673"/>
      <c r="AN540" s="673"/>
      <c r="AO540" s="673"/>
      <c r="AP540" s="673"/>
      <c r="AQ540" s="673"/>
      <c r="AR540" s="673"/>
      <c r="AS540" s="673"/>
      <c r="AT540" s="696"/>
    </row>
    <row r="541" ht="15.75" customHeight="1">
      <c r="A541" s="653"/>
      <c r="B541" s="654"/>
      <c r="C541" s="691"/>
      <c r="D541" s="656"/>
      <c r="E541" s="657"/>
      <c r="F541" s="658"/>
      <c r="G541" s="659"/>
      <c r="H541" s="660"/>
      <c r="I541" s="659"/>
      <c r="J541" s="661"/>
      <c r="K541" s="692"/>
      <c r="L541" s="645"/>
      <c r="M541" s="663"/>
      <c r="N541" s="665"/>
      <c r="O541" s="665"/>
      <c r="P541" s="666"/>
      <c r="Q541" s="667"/>
      <c r="R541" s="668"/>
      <c r="S541" s="693"/>
      <c r="T541" s="694"/>
      <c r="U541" s="694"/>
      <c r="V541" s="693"/>
      <c r="W541" s="693"/>
      <c r="X541" s="693"/>
      <c r="Y541" s="671"/>
      <c r="Z541" s="673"/>
      <c r="AA541" s="672"/>
      <c r="AB541" s="695"/>
      <c r="AC541" s="673"/>
      <c r="AD541" s="673"/>
      <c r="AE541" s="673"/>
      <c r="AF541" s="673"/>
      <c r="AG541" s="673"/>
      <c r="AH541" s="673"/>
      <c r="AI541" s="673"/>
      <c r="AJ541" s="673"/>
      <c r="AK541" s="673"/>
      <c r="AL541" s="673"/>
      <c r="AM541" s="673"/>
      <c r="AN541" s="673"/>
      <c r="AO541" s="673"/>
      <c r="AP541" s="673"/>
      <c r="AQ541" s="673"/>
      <c r="AR541" s="673"/>
      <c r="AS541" s="673"/>
      <c r="AT541" s="696"/>
    </row>
    <row r="542" ht="15.75" customHeight="1">
      <c r="A542" s="653"/>
      <c r="B542" s="654"/>
      <c r="C542" s="691"/>
      <c r="D542" s="656"/>
      <c r="E542" s="657"/>
      <c r="F542" s="658"/>
      <c r="G542" s="659"/>
      <c r="H542" s="660"/>
      <c r="I542" s="659"/>
      <c r="J542" s="661"/>
      <c r="K542" s="692"/>
      <c r="L542" s="645"/>
      <c r="M542" s="663"/>
      <c r="N542" s="665"/>
      <c r="O542" s="665"/>
      <c r="P542" s="666"/>
      <c r="Q542" s="667"/>
      <c r="R542" s="668"/>
      <c r="S542" s="693"/>
      <c r="T542" s="694"/>
      <c r="U542" s="694"/>
      <c r="V542" s="693"/>
      <c r="W542" s="693"/>
      <c r="X542" s="693"/>
      <c r="Y542" s="671"/>
      <c r="Z542" s="673"/>
      <c r="AA542" s="672"/>
      <c r="AB542" s="695"/>
      <c r="AC542" s="673"/>
      <c r="AD542" s="673"/>
      <c r="AE542" s="673"/>
      <c r="AF542" s="673"/>
      <c r="AG542" s="673"/>
      <c r="AH542" s="673"/>
      <c r="AI542" s="673"/>
      <c r="AJ542" s="673"/>
      <c r="AK542" s="673"/>
      <c r="AL542" s="673"/>
      <c r="AM542" s="673"/>
      <c r="AN542" s="673"/>
      <c r="AO542" s="673"/>
      <c r="AP542" s="673"/>
      <c r="AQ542" s="673"/>
      <c r="AR542" s="673"/>
      <c r="AS542" s="673"/>
      <c r="AT542" s="696"/>
    </row>
    <row r="543" ht="15.75" customHeight="1">
      <c r="A543" s="653"/>
      <c r="B543" s="654"/>
      <c r="C543" s="691"/>
      <c r="D543" s="656"/>
      <c r="E543" s="657"/>
      <c r="F543" s="658"/>
      <c r="G543" s="659"/>
      <c r="H543" s="660"/>
      <c r="I543" s="659"/>
      <c r="J543" s="661"/>
      <c r="K543" s="692"/>
      <c r="L543" s="645"/>
      <c r="M543" s="663"/>
      <c r="N543" s="665"/>
      <c r="O543" s="665"/>
      <c r="P543" s="666"/>
      <c r="Q543" s="667"/>
      <c r="R543" s="668"/>
      <c r="S543" s="693"/>
      <c r="T543" s="694"/>
      <c r="U543" s="694"/>
      <c r="V543" s="693"/>
      <c r="W543" s="693"/>
      <c r="X543" s="693"/>
      <c r="Y543" s="671"/>
      <c r="Z543" s="673"/>
      <c r="AA543" s="672"/>
      <c r="AB543" s="695"/>
      <c r="AC543" s="673"/>
      <c r="AD543" s="673"/>
      <c r="AE543" s="673"/>
      <c r="AF543" s="673"/>
      <c r="AG543" s="673"/>
      <c r="AH543" s="673"/>
      <c r="AI543" s="673"/>
      <c r="AJ543" s="673"/>
      <c r="AK543" s="673"/>
      <c r="AL543" s="673"/>
      <c r="AM543" s="673"/>
      <c r="AN543" s="673"/>
      <c r="AO543" s="673"/>
      <c r="AP543" s="673"/>
      <c r="AQ543" s="673"/>
      <c r="AR543" s="673"/>
      <c r="AS543" s="673"/>
      <c r="AT543" s="696"/>
    </row>
    <row r="544" ht="15.75" customHeight="1">
      <c r="A544" s="653"/>
      <c r="B544" s="654"/>
      <c r="C544" s="691"/>
      <c r="D544" s="656"/>
      <c r="E544" s="657"/>
      <c r="F544" s="658"/>
      <c r="G544" s="659"/>
      <c r="H544" s="660"/>
      <c r="I544" s="659"/>
      <c r="J544" s="661"/>
      <c r="K544" s="692"/>
      <c r="L544" s="645"/>
      <c r="M544" s="663"/>
      <c r="N544" s="665"/>
      <c r="O544" s="665"/>
      <c r="P544" s="666"/>
      <c r="Q544" s="667"/>
      <c r="R544" s="668"/>
      <c r="S544" s="693"/>
      <c r="T544" s="694"/>
      <c r="U544" s="694"/>
      <c r="V544" s="693"/>
      <c r="W544" s="693"/>
      <c r="X544" s="693"/>
      <c r="Y544" s="671"/>
      <c r="Z544" s="673"/>
      <c r="AA544" s="672"/>
      <c r="AB544" s="695"/>
      <c r="AC544" s="673"/>
      <c r="AD544" s="673"/>
      <c r="AE544" s="673"/>
      <c r="AF544" s="673"/>
      <c r="AG544" s="673"/>
      <c r="AH544" s="673"/>
      <c r="AI544" s="673"/>
      <c r="AJ544" s="673"/>
      <c r="AK544" s="673"/>
      <c r="AL544" s="673"/>
      <c r="AM544" s="673"/>
      <c r="AN544" s="673"/>
      <c r="AO544" s="673"/>
      <c r="AP544" s="673"/>
      <c r="AQ544" s="673"/>
      <c r="AR544" s="673"/>
      <c r="AS544" s="673"/>
      <c r="AT544" s="696"/>
    </row>
    <row r="545" ht="15.75" customHeight="1">
      <c r="A545" s="653"/>
      <c r="B545" s="654"/>
      <c r="C545" s="691"/>
      <c r="D545" s="656"/>
      <c r="E545" s="657"/>
      <c r="F545" s="658"/>
      <c r="G545" s="659"/>
      <c r="H545" s="660"/>
      <c r="I545" s="659"/>
      <c r="J545" s="661"/>
      <c r="K545" s="692"/>
      <c r="L545" s="645"/>
      <c r="M545" s="663"/>
      <c r="N545" s="665"/>
      <c r="O545" s="665"/>
      <c r="P545" s="666"/>
      <c r="Q545" s="667"/>
      <c r="R545" s="668"/>
      <c r="S545" s="693"/>
      <c r="T545" s="694"/>
      <c r="U545" s="694"/>
      <c r="V545" s="693"/>
      <c r="W545" s="693"/>
      <c r="X545" s="693"/>
      <c r="Y545" s="671"/>
      <c r="Z545" s="673"/>
      <c r="AA545" s="672"/>
      <c r="AB545" s="695"/>
      <c r="AC545" s="673"/>
      <c r="AD545" s="673"/>
      <c r="AE545" s="673"/>
      <c r="AF545" s="673"/>
      <c r="AG545" s="673"/>
      <c r="AH545" s="673"/>
      <c r="AI545" s="673"/>
      <c r="AJ545" s="673"/>
      <c r="AK545" s="673"/>
      <c r="AL545" s="673"/>
      <c r="AM545" s="673"/>
      <c r="AN545" s="673"/>
      <c r="AO545" s="673"/>
      <c r="AP545" s="673"/>
      <c r="AQ545" s="673"/>
      <c r="AR545" s="673"/>
      <c r="AS545" s="673"/>
      <c r="AT545" s="696"/>
    </row>
    <row r="546" ht="15.75" customHeight="1">
      <c r="A546" s="653"/>
      <c r="B546" s="654"/>
      <c r="C546" s="691"/>
      <c r="D546" s="656"/>
      <c r="E546" s="657"/>
      <c r="F546" s="658"/>
      <c r="G546" s="659"/>
      <c r="H546" s="660"/>
      <c r="I546" s="659"/>
      <c r="J546" s="661"/>
      <c r="K546" s="692"/>
      <c r="L546" s="645"/>
      <c r="M546" s="663"/>
      <c r="N546" s="665"/>
      <c r="O546" s="665"/>
      <c r="P546" s="666"/>
      <c r="Q546" s="667"/>
      <c r="R546" s="668"/>
      <c r="S546" s="693"/>
      <c r="T546" s="694"/>
      <c r="U546" s="694"/>
      <c r="V546" s="693"/>
      <c r="W546" s="693"/>
      <c r="X546" s="693"/>
      <c r="Y546" s="671"/>
      <c r="Z546" s="673"/>
      <c r="AA546" s="672"/>
      <c r="AB546" s="695"/>
      <c r="AC546" s="673"/>
      <c r="AD546" s="673"/>
      <c r="AE546" s="673"/>
      <c r="AF546" s="673"/>
      <c r="AG546" s="673"/>
      <c r="AH546" s="673"/>
      <c r="AI546" s="673"/>
      <c r="AJ546" s="673"/>
      <c r="AK546" s="673"/>
      <c r="AL546" s="673"/>
      <c r="AM546" s="673"/>
      <c r="AN546" s="673"/>
      <c r="AO546" s="673"/>
      <c r="AP546" s="673"/>
      <c r="AQ546" s="673"/>
      <c r="AR546" s="673"/>
      <c r="AS546" s="673"/>
      <c r="AT546" s="696"/>
    </row>
    <row r="547" ht="15.75" customHeight="1">
      <c r="A547" s="653"/>
      <c r="B547" s="654"/>
      <c r="C547" s="691"/>
      <c r="D547" s="656"/>
      <c r="E547" s="657"/>
      <c r="F547" s="658"/>
      <c r="G547" s="659"/>
      <c r="H547" s="660"/>
      <c r="I547" s="659"/>
      <c r="J547" s="661"/>
      <c r="K547" s="692"/>
      <c r="L547" s="645"/>
      <c r="M547" s="663"/>
      <c r="N547" s="665"/>
      <c r="O547" s="665"/>
      <c r="P547" s="666"/>
      <c r="Q547" s="667"/>
      <c r="R547" s="668"/>
      <c r="S547" s="693"/>
      <c r="T547" s="694"/>
      <c r="U547" s="694"/>
      <c r="V547" s="693"/>
      <c r="W547" s="693"/>
      <c r="X547" s="693"/>
      <c r="Y547" s="671"/>
      <c r="Z547" s="673"/>
      <c r="AA547" s="672"/>
      <c r="AB547" s="695"/>
      <c r="AC547" s="673"/>
      <c r="AD547" s="673"/>
      <c r="AE547" s="673"/>
      <c r="AF547" s="673"/>
      <c r="AG547" s="673"/>
      <c r="AH547" s="673"/>
      <c r="AI547" s="673"/>
      <c r="AJ547" s="673"/>
      <c r="AK547" s="673"/>
      <c r="AL547" s="673"/>
      <c r="AM547" s="673"/>
      <c r="AN547" s="673"/>
      <c r="AO547" s="673"/>
      <c r="AP547" s="673"/>
      <c r="AQ547" s="673"/>
      <c r="AR547" s="673"/>
      <c r="AS547" s="673"/>
      <c r="AT547" s="696"/>
    </row>
    <row r="548" ht="15.75" customHeight="1">
      <c r="A548" s="653"/>
      <c r="B548" s="654"/>
      <c r="C548" s="691"/>
      <c r="D548" s="656"/>
      <c r="E548" s="657"/>
      <c r="F548" s="658"/>
      <c r="G548" s="659"/>
      <c r="H548" s="660"/>
      <c r="I548" s="659"/>
      <c r="J548" s="661"/>
      <c r="K548" s="692"/>
      <c r="L548" s="645"/>
      <c r="M548" s="663"/>
      <c r="N548" s="665"/>
      <c r="O548" s="665"/>
      <c r="P548" s="666"/>
      <c r="Q548" s="667"/>
      <c r="R548" s="668"/>
      <c r="S548" s="693"/>
      <c r="T548" s="694"/>
      <c r="U548" s="694"/>
      <c r="V548" s="693"/>
      <c r="W548" s="693"/>
      <c r="X548" s="693"/>
      <c r="Y548" s="671"/>
      <c r="Z548" s="673"/>
      <c r="AA548" s="672"/>
      <c r="AB548" s="695"/>
      <c r="AC548" s="673"/>
      <c r="AD548" s="673"/>
      <c r="AE548" s="673"/>
      <c r="AF548" s="673"/>
      <c r="AG548" s="673"/>
      <c r="AH548" s="673"/>
      <c r="AI548" s="673"/>
      <c r="AJ548" s="673"/>
      <c r="AK548" s="673"/>
      <c r="AL548" s="673"/>
      <c r="AM548" s="673"/>
      <c r="AN548" s="673"/>
      <c r="AO548" s="673"/>
      <c r="AP548" s="673"/>
      <c r="AQ548" s="673"/>
      <c r="AR548" s="673"/>
      <c r="AS548" s="673"/>
      <c r="AT548" s="696"/>
    </row>
    <row r="549" ht="15.75" customHeight="1">
      <c r="A549" s="653"/>
      <c r="B549" s="654"/>
      <c r="C549" s="691"/>
      <c r="D549" s="656"/>
      <c r="E549" s="657"/>
      <c r="F549" s="658"/>
      <c r="G549" s="659"/>
      <c r="H549" s="660"/>
      <c r="I549" s="659"/>
      <c r="J549" s="661"/>
      <c r="K549" s="692"/>
      <c r="L549" s="645"/>
      <c r="M549" s="663"/>
      <c r="N549" s="665"/>
      <c r="O549" s="665"/>
      <c r="P549" s="666"/>
      <c r="Q549" s="667"/>
      <c r="R549" s="668"/>
      <c r="S549" s="693"/>
      <c r="T549" s="694"/>
      <c r="U549" s="694"/>
      <c r="V549" s="693"/>
      <c r="W549" s="693"/>
      <c r="X549" s="693"/>
      <c r="Y549" s="671"/>
      <c r="Z549" s="673"/>
      <c r="AA549" s="672"/>
      <c r="AB549" s="695"/>
      <c r="AC549" s="673"/>
      <c r="AD549" s="673"/>
      <c r="AE549" s="673"/>
      <c r="AF549" s="673"/>
      <c r="AG549" s="673"/>
      <c r="AH549" s="673"/>
      <c r="AI549" s="673"/>
      <c r="AJ549" s="673"/>
      <c r="AK549" s="673"/>
      <c r="AL549" s="673"/>
      <c r="AM549" s="673"/>
      <c r="AN549" s="673"/>
      <c r="AO549" s="673"/>
      <c r="AP549" s="673"/>
      <c r="AQ549" s="673"/>
      <c r="AR549" s="673"/>
      <c r="AS549" s="673"/>
      <c r="AT549" s="696"/>
    </row>
    <row r="550" ht="15.75" customHeight="1">
      <c r="A550" s="653"/>
      <c r="B550" s="654"/>
      <c r="C550" s="691"/>
      <c r="D550" s="656"/>
      <c r="E550" s="657"/>
      <c r="F550" s="658"/>
      <c r="G550" s="659"/>
      <c r="H550" s="660"/>
      <c r="I550" s="659"/>
      <c r="J550" s="661"/>
      <c r="K550" s="692"/>
      <c r="L550" s="645"/>
      <c r="M550" s="663"/>
      <c r="N550" s="665"/>
      <c r="O550" s="665"/>
      <c r="P550" s="666"/>
      <c r="Q550" s="667"/>
      <c r="R550" s="668"/>
      <c r="S550" s="693"/>
      <c r="T550" s="694"/>
      <c r="U550" s="694"/>
      <c r="V550" s="693"/>
      <c r="W550" s="693"/>
      <c r="X550" s="693"/>
      <c r="Y550" s="671"/>
      <c r="Z550" s="673"/>
      <c r="AA550" s="672"/>
      <c r="AB550" s="695"/>
      <c r="AC550" s="673"/>
      <c r="AD550" s="673"/>
      <c r="AE550" s="673"/>
      <c r="AF550" s="673"/>
      <c r="AG550" s="673"/>
      <c r="AH550" s="673"/>
      <c r="AI550" s="673"/>
      <c r="AJ550" s="673"/>
      <c r="AK550" s="673"/>
      <c r="AL550" s="673"/>
      <c r="AM550" s="673"/>
      <c r="AN550" s="673"/>
      <c r="AO550" s="673"/>
      <c r="AP550" s="673"/>
      <c r="AQ550" s="673"/>
      <c r="AR550" s="673"/>
      <c r="AS550" s="673"/>
      <c r="AT550" s="696"/>
    </row>
    <row r="551" ht="15.75" customHeight="1">
      <c r="A551" s="653"/>
      <c r="B551" s="654"/>
      <c r="C551" s="691"/>
      <c r="D551" s="656"/>
      <c r="E551" s="657"/>
      <c r="F551" s="658"/>
      <c r="G551" s="659"/>
      <c r="H551" s="660"/>
      <c r="I551" s="659"/>
      <c r="J551" s="661"/>
      <c r="K551" s="692"/>
      <c r="L551" s="645"/>
      <c r="M551" s="663"/>
      <c r="N551" s="665"/>
      <c r="O551" s="665"/>
      <c r="P551" s="666"/>
      <c r="Q551" s="667"/>
      <c r="R551" s="668"/>
      <c r="S551" s="693"/>
      <c r="T551" s="694"/>
      <c r="U551" s="694"/>
      <c r="V551" s="693"/>
      <c r="W551" s="693"/>
      <c r="X551" s="693"/>
      <c r="Y551" s="671"/>
      <c r="Z551" s="673"/>
      <c r="AA551" s="672"/>
      <c r="AB551" s="695"/>
      <c r="AC551" s="673"/>
      <c r="AD551" s="673"/>
      <c r="AE551" s="673"/>
      <c r="AF551" s="673"/>
      <c r="AG551" s="673"/>
      <c r="AH551" s="673"/>
      <c r="AI551" s="673"/>
      <c r="AJ551" s="673"/>
      <c r="AK551" s="673"/>
      <c r="AL551" s="673"/>
      <c r="AM551" s="673"/>
      <c r="AN551" s="673"/>
      <c r="AO551" s="673"/>
      <c r="AP551" s="673"/>
      <c r="AQ551" s="673"/>
      <c r="AR551" s="673"/>
      <c r="AS551" s="673"/>
      <c r="AT551" s="696"/>
    </row>
    <row r="552" ht="15.75" customHeight="1">
      <c r="A552" s="653"/>
      <c r="B552" s="654"/>
      <c r="C552" s="691"/>
      <c r="D552" s="656"/>
      <c r="E552" s="657"/>
      <c r="F552" s="658"/>
      <c r="G552" s="659"/>
      <c r="H552" s="660"/>
      <c r="I552" s="659"/>
      <c r="J552" s="661"/>
      <c r="K552" s="692"/>
      <c r="L552" s="645"/>
      <c r="M552" s="663"/>
      <c r="N552" s="665"/>
      <c r="O552" s="665"/>
      <c r="P552" s="666"/>
      <c r="Q552" s="667"/>
      <c r="R552" s="668"/>
      <c r="S552" s="693"/>
      <c r="T552" s="694"/>
      <c r="U552" s="694"/>
      <c r="V552" s="693"/>
      <c r="W552" s="693"/>
      <c r="X552" s="693"/>
      <c r="Y552" s="671"/>
      <c r="Z552" s="673"/>
      <c r="AA552" s="672"/>
      <c r="AB552" s="695"/>
      <c r="AC552" s="673"/>
      <c r="AD552" s="673"/>
      <c r="AE552" s="673"/>
      <c r="AF552" s="673"/>
      <c r="AG552" s="673"/>
      <c r="AH552" s="673"/>
      <c r="AI552" s="673"/>
      <c r="AJ552" s="673"/>
      <c r="AK552" s="673"/>
      <c r="AL552" s="673"/>
      <c r="AM552" s="673"/>
      <c r="AN552" s="673"/>
      <c r="AO552" s="673"/>
      <c r="AP552" s="673"/>
      <c r="AQ552" s="673"/>
      <c r="AR552" s="673"/>
      <c r="AS552" s="673"/>
      <c r="AT552" s="696"/>
    </row>
    <row r="553" ht="15.75" customHeight="1">
      <c r="A553" s="653"/>
      <c r="B553" s="654"/>
      <c r="C553" s="691"/>
      <c r="D553" s="656"/>
      <c r="E553" s="657"/>
      <c r="F553" s="658"/>
      <c r="G553" s="659"/>
      <c r="H553" s="660"/>
      <c r="I553" s="659"/>
      <c r="J553" s="661"/>
      <c r="K553" s="692"/>
      <c r="L553" s="645"/>
      <c r="M553" s="663"/>
      <c r="N553" s="665"/>
      <c r="O553" s="665"/>
      <c r="P553" s="666"/>
      <c r="Q553" s="667"/>
      <c r="R553" s="668"/>
      <c r="S553" s="693"/>
      <c r="T553" s="694"/>
      <c r="U553" s="694"/>
      <c r="V553" s="693"/>
      <c r="W553" s="693"/>
      <c r="X553" s="693"/>
      <c r="Y553" s="671"/>
      <c r="Z553" s="673"/>
      <c r="AA553" s="672"/>
      <c r="AB553" s="695"/>
      <c r="AC553" s="673"/>
      <c r="AD553" s="673"/>
      <c r="AE553" s="673"/>
      <c r="AF553" s="673"/>
      <c r="AG553" s="673"/>
      <c r="AH553" s="673"/>
      <c r="AI553" s="673"/>
      <c r="AJ553" s="673"/>
      <c r="AK553" s="673"/>
      <c r="AL553" s="673"/>
      <c r="AM553" s="673"/>
      <c r="AN553" s="673"/>
      <c r="AO553" s="673"/>
      <c r="AP553" s="673"/>
      <c r="AQ553" s="673"/>
      <c r="AR553" s="673"/>
      <c r="AS553" s="673"/>
      <c r="AT553" s="696"/>
    </row>
    <row r="554" ht="15.75" customHeight="1">
      <c r="A554" s="653"/>
      <c r="B554" s="654"/>
      <c r="C554" s="691"/>
      <c r="D554" s="656"/>
      <c r="E554" s="657"/>
      <c r="F554" s="658"/>
      <c r="G554" s="659"/>
      <c r="H554" s="660"/>
      <c r="I554" s="659"/>
      <c r="J554" s="661"/>
      <c r="K554" s="692"/>
      <c r="L554" s="645"/>
      <c r="M554" s="663"/>
      <c r="N554" s="665"/>
      <c r="O554" s="665"/>
      <c r="P554" s="666"/>
      <c r="Q554" s="667"/>
      <c r="R554" s="668"/>
      <c r="S554" s="693"/>
      <c r="T554" s="694"/>
      <c r="U554" s="694"/>
      <c r="V554" s="693"/>
      <c r="W554" s="693"/>
      <c r="X554" s="693"/>
      <c r="Y554" s="671"/>
      <c r="Z554" s="673"/>
      <c r="AA554" s="672"/>
      <c r="AB554" s="695"/>
      <c r="AC554" s="673"/>
      <c r="AD554" s="673"/>
      <c r="AE554" s="673"/>
      <c r="AF554" s="673"/>
      <c r="AG554" s="673"/>
      <c r="AH554" s="673"/>
      <c r="AI554" s="673"/>
      <c r="AJ554" s="673"/>
      <c r="AK554" s="673"/>
      <c r="AL554" s="673"/>
      <c r="AM554" s="673"/>
      <c r="AN554" s="673"/>
      <c r="AO554" s="673"/>
      <c r="AP554" s="673"/>
      <c r="AQ554" s="673"/>
      <c r="AR554" s="673"/>
      <c r="AS554" s="673"/>
      <c r="AT554" s="696"/>
    </row>
    <row r="555" ht="15.75" customHeight="1">
      <c r="A555" s="653"/>
      <c r="B555" s="654"/>
      <c r="C555" s="691"/>
      <c r="D555" s="656"/>
      <c r="E555" s="657"/>
      <c r="F555" s="658"/>
      <c r="G555" s="659"/>
      <c r="H555" s="660"/>
      <c r="I555" s="659"/>
      <c r="J555" s="661"/>
      <c r="K555" s="692"/>
      <c r="L555" s="645"/>
      <c r="M555" s="663"/>
      <c r="N555" s="665"/>
      <c r="O555" s="665"/>
      <c r="P555" s="666"/>
      <c r="Q555" s="667"/>
      <c r="R555" s="668"/>
      <c r="S555" s="693"/>
      <c r="T555" s="694"/>
      <c r="U555" s="694"/>
      <c r="V555" s="693"/>
      <c r="W555" s="693"/>
      <c r="X555" s="693"/>
      <c r="Y555" s="671"/>
      <c r="Z555" s="673"/>
      <c r="AA555" s="672"/>
      <c r="AB555" s="695"/>
      <c r="AC555" s="673"/>
      <c r="AD555" s="673"/>
      <c r="AE555" s="673"/>
      <c r="AF555" s="673"/>
      <c r="AG555" s="673"/>
      <c r="AH555" s="673"/>
      <c r="AI555" s="673"/>
      <c r="AJ555" s="673"/>
      <c r="AK555" s="673"/>
      <c r="AL555" s="673"/>
      <c r="AM555" s="673"/>
      <c r="AN555" s="673"/>
      <c r="AO555" s="673"/>
      <c r="AP555" s="673"/>
      <c r="AQ555" s="673"/>
      <c r="AR555" s="673"/>
      <c r="AS555" s="673"/>
      <c r="AT555" s="696"/>
    </row>
    <row r="556" ht="15.75" customHeight="1">
      <c r="A556" s="653"/>
      <c r="B556" s="654"/>
      <c r="C556" s="691"/>
      <c r="D556" s="656"/>
      <c r="E556" s="657"/>
      <c r="F556" s="658"/>
      <c r="G556" s="659"/>
      <c r="H556" s="660"/>
      <c r="I556" s="659"/>
      <c r="J556" s="661"/>
      <c r="K556" s="692"/>
      <c r="L556" s="645"/>
      <c r="M556" s="663"/>
      <c r="N556" s="665"/>
      <c r="O556" s="665"/>
      <c r="P556" s="666"/>
      <c r="Q556" s="667"/>
      <c r="R556" s="668"/>
      <c r="S556" s="693"/>
      <c r="T556" s="694"/>
      <c r="U556" s="694"/>
      <c r="V556" s="693"/>
      <c r="W556" s="693"/>
      <c r="X556" s="693"/>
      <c r="Y556" s="671"/>
      <c r="Z556" s="673"/>
      <c r="AA556" s="672"/>
      <c r="AB556" s="695"/>
      <c r="AC556" s="673"/>
      <c r="AD556" s="673"/>
      <c r="AE556" s="673"/>
      <c r="AF556" s="673"/>
      <c r="AG556" s="673"/>
      <c r="AH556" s="673"/>
      <c r="AI556" s="673"/>
      <c r="AJ556" s="673"/>
      <c r="AK556" s="673"/>
      <c r="AL556" s="673"/>
      <c r="AM556" s="673"/>
      <c r="AN556" s="673"/>
      <c r="AO556" s="673"/>
      <c r="AP556" s="673"/>
      <c r="AQ556" s="673"/>
      <c r="AR556" s="673"/>
      <c r="AS556" s="673"/>
      <c r="AT556" s="696"/>
    </row>
    <row r="557" ht="15.75" customHeight="1">
      <c r="A557" s="653"/>
      <c r="B557" s="654"/>
      <c r="C557" s="691"/>
      <c r="D557" s="656"/>
      <c r="E557" s="657"/>
      <c r="F557" s="658"/>
      <c r="G557" s="659"/>
      <c r="H557" s="660"/>
      <c r="I557" s="659"/>
      <c r="J557" s="661"/>
      <c r="K557" s="692"/>
      <c r="L557" s="645"/>
      <c r="M557" s="663"/>
      <c r="N557" s="665"/>
      <c r="O557" s="665"/>
      <c r="P557" s="666"/>
      <c r="Q557" s="667"/>
      <c r="R557" s="668"/>
      <c r="S557" s="693"/>
      <c r="T557" s="694"/>
      <c r="U557" s="694"/>
      <c r="V557" s="693"/>
      <c r="W557" s="693"/>
      <c r="X557" s="693"/>
      <c r="Y557" s="671"/>
      <c r="Z557" s="673"/>
      <c r="AA557" s="672"/>
      <c r="AB557" s="695"/>
      <c r="AC557" s="673"/>
      <c r="AD557" s="673"/>
      <c r="AE557" s="673"/>
      <c r="AF557" s="673"/>
      <c r="AG557" s="673"/>
      <c r="AH557" s="673"/>
      <c r="AI557" s="673"/>
      <c r="AJ557" s="673"/>
      <c r="AK557" s="673"/>
      <c r="AL557" s="673"/>
      <c r="AM557" s="673"/>
      <c r="AN557" s="673"/>
      <c r="AO557" s="673"/>
      <c r="AP557" s="673"/>
      <c r="AQ557" s="673"/>
      <c r="AR557" s="673"/>
      <c r="AS557" s="673"/>
      <c r="AT557" s="696"/>
    </row>
    <row r="558" ht="15.75" customHeight="1">
      <c r="A558" s="653"/>
      <c r="B558" s="654"/>
      <c r="C558" s="691"/>
      <c r="D558" s="656"/>
      <c r="E558" s="657"/>
      <c r="F558" s="658"/>
      <c r="G558" s="659"/>
      <c r="H558" s="660"/>
      <c r="I558" s="659"/>
      <c r="J558" s="661"/>
      <c r="K558" s="692"/>
      <c r="L558" s="645"/>
      <c r="M558" s="663"/>
      <c r="N558" s="665"/>
      <c r="O558" s="665"/>
      <c r="P558" s="666"/>
      <c r="Q558" s="667"/>
      <c r="R558" s="668"/>
      <c r="S558" s="693"/>
      <c r="T558" s="694"/>
      <c r="U558" s="694"/>
      <c r="V558" s="693"/>
      <c r="W558" s="693"/>
      <c r="X558" s="693"/>
      <c r="Y558" s="671"/>
      <c r="Z558" s="673"/>
      <c r="AA558" s="672"/>
      <c r="AB558" s="695"/>
      <c r="AC558" s="673"/>
      <c r="AD558" s="673"/>
      <c r="AE558" s="673"/>
      <c r="AF558" s="673"/>
      <c r="AG558" s="673"/>
      <c r="AH558" s="673"/>
      <c r="AI558" s="673"/>
      <c r="AJ558" s="673"/>
      <c r="AK558" s="673"/>
      <c r="AL558" s="673"/>
      <c r="AM558" s="673"/>
      <c r="AN558" s="673"/>
      <c r="AO558" s="673"/>
      <c r="AP558" s="673"/>
      <c r="AQ558" s="673"/>
      <c r="AR558" s="673"/>
      <c r="AS558" s="673"/>
      <c r="AT558" s="696"/>
    </row>
    <row r="559" ht="15.75" customHeight="1">
      <c r="A559" s="653"/>
      <c r="B559" s="654"/>
      <c r="C559" s="691"/>
      <c r="D559" s="656"/>
      <c r="E559" s="657"/>
      <c r="F559" s="658"/>
      <c r="G559" s="659"/>
      <c r="H559" s="660"/>
      <c r="I559" s="659"/>
      <c r="J559" s="661"/>
      <c r="K559" s="692"/>
      <c r="L559" s="645"/>
      <c r="M559" s="663"/>
      <c r="N559" s="665"/>
      <c r="O559" s="665"/>
      <c r="P559" s="666"/>
      <c r="Q559" s="667"/>
      <c r="R559" s="668"/>
      <c r="S559" s="693"/>
      <c r="T559" s="694"/>
      <c r="U559" s="694"/>
      <c r="V559" s="693"/>
      <c r="W559" s="693"/>
      <c r="X559" s="693"/>
      <c r="Y559" s="671"/>
      <c r="Z559" s="673"/>
      <c r="AA559" s="672"/>
      <c r="AB559" s="695"/>
      <c r="AC559" s="673"/>
      <c r="AD559" s="673"/>
      <c r="AE559" s="673"/>
      <c r="AF559" s="673"/>
      <c r="AG559" s="673"/>
      <c r="AH559" s="673"/>
      <c r="AI559" s="673"/>
      <c r="AJ559" s="673"/>
      <c r="AK559" s="673"/>
      <c r="AL559" s="673"/>
      <c r="AM559" s="673"/>
      <c r="AN559" s="673"/>
      <c r="AO559" s="673"/>
      <c r="AP559" s="673"/>
      <c r="AQ559" s="673"/>
      <c r="AR559" s="673"/>
      <c r="AS559" s="673"/>
      <c r="AT559" s="696"/>
    </row>
    <row r="560" ht="15.75" customHeight="1">
      <c r="A560" s="653"/>
      <c r="B560" s="654"/>
      <c r="C560" s="691"/>
      <c r="D560" s="656"/>
      <c r="E560" s="657"/>
      <c r="F560" s="658"/>
      <c r="G560" s="659"/>
      <c r="H560" s="660"/>
      <c r="I560" s="659"/>
      <c r="J560" s="661"/>
      <c r="K560" s="692"/>
      <c r="L560" s="645"/>
      <c r="M560" s="663"/>
      <c r="N560" s="665"/>
      <c r="O560" s="665"/>
      <c r="P560" s="666"/>
      <c r="Q560" s="667"/>
      <c r="R560" s="668"/>
      <c r="S560" s="693"/>
      <c r="T560" s="694"/>
      <c r="U560" s="694"/>
      <c r="V560" s="693"/>
      <c r="W560" s="693"/>
      <c r="X560" s="693"/>
      <c r="Y560" s="671"/>
      <c r="Z560" s="673"/>
      <c r="AA560" s="672"/>
      <c r="AB560" s="695"/>
      <c r="AC560" s="673"/>
      <c r="AD560" s="673"/>
      <c r="AE560" s="673"/>
      <c r="AF560" s="673"/>
      <c r="AG560" s="673"/>
      <c r="AH560" s="673"/>
      <c r="AI560" s="673"/>
      <c r="AJ560" s="673"/>
      <c r="AK560" s="673"/>
      <c r="AL560" s="673"/>
      <c r="AM560" s="673"/>
      <c r="AN560" s="673"/>
      <c r="AO560" s="673"/>
      <c r="AP560" s="673"/>
      <c r="AQ560" s="673"/>
      <c r="AR560" s="673"/>
      <c r="AS560" s="673"/>
      <c r="AT560" s="696"/>
    </row>
    <row r="561" ht="15.75" customHeight="1">
      <c r="A561" s="653"/>
      <c r="B561" s="654"/>
      <c r="C561" s="691"/>
      <c r="D561" s="656"/>
      <c r="E561" s="657"/>
      <c r="F561" s="658"/>
      <c r="G561" s="659"/>
      <c r="H561" s="660"/>
      <c r="I561" s="659"/>
      <c r="J561" s="661"/>
      <c r="K561" s="692"/>
      <c r="L561" s="645"/>
      <c r="M561" s="663"/>
      <c r="N561" s="665"/>
      <c r="O561" s="665"/>
      <c r="P561" s="666"/>
      <c r="Q561" s="667"/>
      <c r="R561" s="668"/>
      <c r="S561" s="693"/>
      <c r="T561" s="694"/>
      <c r="U561" s="694"/>
      <c r="V561" s="693"/>
      <c r="W561" s="693"/>
      <c r="X561" s="693"/>
      <c r="Y561" s="671"/>
      <c r="Z561" s="673"/>
      <c r="AA561" s="672"/>
      <c r="AB561" s="695"/>
      <c r="AC561" s="673"/>
      <c r="AD561" s="673"/>
      <c r="AE561" s="673"/>
      <c r="AF561" s="673"/>
      <c r="AG561" s="673"/>
      <c r="AH561" s="673"/>
      <c r="AI561" s="673"/>
      <c r="AJ561" s="673"/>
      <c r="AK561" s="673"/>
      <c r="AL561" s="673"/>
      <c r="AM561" s="673"/>
      <c r="AN561" s="673"/>
      <c r="AO561" s="673"/>
      <c r="AP561" s="673"/>
      <c r="AQ561" s="673"/>
      <c r="AR561" s="673"/>
      <c r="AS561" s="673"/>
      <c r="AT561" s="696"/>
    </row>
    <row r="562" ht="15.75" customHeight="1">
      <c r="A562" s="653"/>
      <c r="B562" s="654"/>
      <c r="C562" s="691"/>
      <c r="D562" s="656"/>
      <c r="E562" s="657"/>
      <c r="F562" s="658"/>
      <c r="G562" s="659"/>
      <c r="H562" s="660"/>
      <c r="I562" s="659"/>
      <c r="J562" s="661"/>
      <c r="K562" s="692"/>
      <c r="L562" s="645"/>
      <c r="M562" s="663"/>
      <c r="N562" s="665"/>
      <c r="O562" s="665"/>
      <c r="P562" s="666"/>
      <c r="Q562" s="667"/>
      <c r="R562" s="668"/>
      <c r="S562" s="693"/>
      <c r="T562" s="694"/>
      <c r="U562" s="694"/>
      <c r="V562" s="693"/>
      <c r="W562" s="693"/>
      <c r="X562" s="693"/>
      <c r="Y562" s="671"/>
      <c r="Z562" s="673"/>
      <c r="AA562" s="672"/>
      <c r="AB562" s="695"/>
      <c r="AC562" s="673"/>
      <c r="AD562" s="673"/>
      <c r="AE562" s="673"/>
      <c r="AF562" s="673"/>
      <c r="AG562" s="673"/>
      <c r="AH562" s="673"/>
      <c r="AI562" s="673"/>
      <c r="AJ562" s="673"/>
      <c r="AK562" s="673"/>
      <c r="AL562" s="673"/>
      <c r="AM562" s="673"/>
      <c r="AN562" s="673"/>
      <c r="AO562" s="673"/>
      <c r="AP562" s="673"/>
      <c r="AQ562" s="673"/>
      <c r="AR562" s="673"/>
      <c r="AS562" s="673"/>
      <c r="AT562" s="696"/>
    </row>
    <row r="563" ht="15.75" customHeight="1">
      <c r="A563" s="653"/>
      <c r="B563" s="654"/>
      <c r="C563" s="691"/>
      <c r="D563" s="656"/>
      <c r="E563" s="657"/>
      <c r="F563" s="658"/>
      <c r="G563" s="659"/>
      <c r="H563" s="660"/>
      <c r="I563" s="659"/>
      <c r="J563" s="661"/>
      <c r="K563" s="692"/>
      <c r="L563" s="645"/>
      <c r="M563" s="663"/>
      <c r="N563" s="665"/>
      <c r="O563" s="665"/>
      <c r="P563" s="666"/>
      <c r="Q563" s="667"/>
      <c r="R563" s="668"/>
      <c r="S563" s="693"/>
      <c r="T563" s="694"/>
      <c r="U563" s="694"/>
      <c r="V563" s="693"/>
      <c r="W563" s="693"/>
      <c r="X563" s="693"/>
      <c r="Y563" s="671"/>
      <c r="Z563" s="673"/>
      <c r="AA563" s="672"/>
      <c r="AB563" s="695"/>
      <c r="AC563" s="673"/>
      <c r="AD563" s="673"/>
      <c r="AE563" s="673"/>
      <c r="AF563" s="673"/>
      <c r="AG563" s="673"/>
      <c r="AH563" s="673"/>
      <c r="AI563" s="673"/>
      <c r="AJ563" s="673"/>
      <c r="AK563" s="673"/>
      <c r="AL563" s="673"/>
      <c r="AM563" s="673"/>
      <c r="AN563" s="673"/>
      <c r="AO563" s="673"/>
      <c r="AP563" s="673"/>
      <c r="AQ563" s="673"/>
      <c r="AR563" s="673"/>
      <c r="AS563" s="673"/>
      <c r="AT563" s="696"/>
    </row>
    <row r="564" ht="15.75" customHeight="1">
      <c r="A564" s="653"/>
      <c r="B564" s="654"/>
      <c r="C564" s="691"/>
      <c r="D564" s="656"/>
      <c r="E564" s="657"/>
      <c r="F564" s="658"/>
      <c r="G564" s="659"/>
      <c r="H564" s="660"/>
      <c r="I564" s="659"/>
      <c r="J564" s="661"/>
      <c r="K564" s="692"/>
      <c r="L564" s="645"/>
      <c r="M564" s="663"/>
      <c r="N564" s="665"/>
      <c r="O564" s="665"/>
      <c r="P564" s="666"/>
      <c r="Q564" s="667"/>
      <c r="R564" s="668"/>
      <c r="S564" s="693"/>
      <c r="T564" s="694"/>
      <c r="U564" s="694"/>
      <c r="V564" s="693"/>
      <c r="W564" s="693"/>
      <c r="X564" s="693"/>
      <c r="Y564" s="671"/>
      <c r="Z564" s="673"/>
      <c r="AA564" s="672"/>
      <c r="AB564" s="695"/>
      <c r="AC564" s="673"/>
      <c r="AD564" s="673"/>
      <c r="AE564" s="673"/>
      <c r="AF564" s="673"/>
      <c r="AG564" s="673"/>
      <c r="AH564" s="673"/>
      <c r="AI564" s="673"/>
      <c r="AJ564" s="673"/>
      <c r="AK564" s="673"/>
      <c r="AL564" s="673"/>
      <c r="AM564" s="673"/>
      <c r="AN564" s="673"/>
      <c r="AO564" s="673"/>
      <c r="AP564" s="673"/>
      <c r="AQ564" s="673"/>
      <c r="AR564" s="673"/>
      <c r="AS564" s="673"/>
      <c r="AT564" s="696"/>
    </row>
    <row r="565" ht="15.75" customHeight="1">
      <c r="A565" s="653"/>
      <c r="B565" s="654"/>
      <c r="C565" s="691"/>
      <c r="D565" s="656"/>
      <c r="E565" s="657"/>
      <c r="F565" s="658"/>
      <c r="G565" s="659"/>
      <c r="H565" s="660"/>
      <c r="I565" s="659"/>
      <c r="J565" s="661"/>
      <c r="K565" s="692"/>
      <c r="L565" s="645"/>
      <c r="M565" s="663"/>
      <c r="N565" s="665"/>
      <c r="O565" s="665"/>
      <c r="P565" s="666"/>
      <c r="Q565" s="667"/>
      <c r="R565" s="668"/>
      <c r="S565" s="693"/>
      <c r="T565" s="694"/>
      <c r="U565" s="694"/>
      <c r="V565" s="693"/>
      <c r="W565" s="693"/>
      <c r="X565" s="693"/>
      <c r="Y565" s="671"/>
      <c r="Z565" s="673"/>
      <c r="AA565" s="672"/>
      <c r="AB565" s="695"/>
      <c r="AC565" s="673"/>
      <c r="AD565" s="673"/>
      <c r="AE565" s="673"/>
      <c r="AF565" s="673"/>
      <c r="AG565" s="673"/>
      <c r="AH565" s="673"/>
      <c r="AI565" s="673"/>
      <c r="AJ565" s="673"/>
      <c r="AK565" s="673"/>
      <c r="AL565" s="673"/>
      <c r="AM565" s="673"/>
      <c r="AN565" s="673"/>
      <c r="AO565" s="673"/>
      <c r="AP565" s="673"/>
      <c r="AQ565" s="673"/>
      <c r="AR565" s="673"/>
      <c r="AS565" s="673"/>
      <c r="AT565" s="696"/>
    </row>
    <row r="566" ht="15.75" customHeight="1">
      <c r="A566" s="653"/>
      <c r="B566" s="654"/>
      <c r="C566" s="691"/>
      <c r="D566" s="656"/>
      <c r="E566" s="657"/>
      <c r="F566" s="658"/>
      <c r="G566" s="659"/>
      <c r="H566" s="660"/>
      <c r="I566" s="659"/>
      <c r="J566" s="661"/>
      <c r="K566" s="692"/>
      <c r="L566" s="645"/>
      <c r="M566" s="663"/>
      <c r="N566" s="665"/>
      <c r="O566" s="665"/>
      <c r="P566" s="666"/>
      <c r="Q566" s="667"/>
      <c r="R566" s="668"/>
      <c r="S566" s="693"/>
      <c r="T566" s="694"/>
      <c r="U566" s="694"/>
      <c r="V566" s="693"/>
      <c r="W566" s="693"/>
      <c r="X566" s="693"/>
      <c r="Y566" s="671"/>
      <c r="Z566" s="673"/>
      <c r="AA566" s="672"/>
      <c r="AB566" s="695"/>
      <c r="AC566" s="673"/>
      <c r="AD566" s="673"/>
      <c r="AE566" s="673"/>
      <c r="AF566" s="673"/>
      <c r="AG566" s="673"/>
      <c r="AH566" s="673"/>
      <c r="AI566" s="673"/>
      <c r="AJ566" s="673"/>
      <c r="AK566" s="673"/>
      <c r="AL566" s="673"/>
      <c r="AM566" s="673"/>
      <c r="AN566" s="673"/>
      <c r="AO566" s="673"/>
      <c r="AP566" s="673"/>
      <c r="AQ566" s="673"/>
      <c r="AR566" s="673"/>
      <c r="AS566" s="673"/>
      <c r="AT566" s="696"/>
    </row>
    <row r="567" ht="15.75" customHeight="1">
      <c r="A567" s="653"/>
      <c r="B567" s="654"/>
      <c r="C567" s="691"/>
      <c r="D567" s="656"/>
      <c r="E567" s="657"/>
      <c r="F567" s="658"/>
      <c r="G567" s="659"/>
      <c r="H567" s="660"/>
      <c r="I567" s="659"/>
      <c r="J567" s="661"/>
      <c r="K567" s="692"/>
      <c r="L567" s="645"/>
      <c r="M567" s="663"/>
      <c r="N567" s="665"/>
      <c r="O567" s="665"/>
      <c r="P567" s="666"/>
      <c r="Q567" s="667"/>
      <c r="R567" s="668"/>
      <c r="S567" s="693"/>
      <c r="T567" s="694"/>
      <c r="U567" s="694"/>
      <c r="V567" s="693"/>
      <c r="W567" s="693"/>
      <c r="X567" s="693"/>
      <c r="Y567" s="671"/>
      <c r="Z567" s="673"/>
      <c r="AA567" s="672"/>
      <c r="AB567" s="695"/>
      <c r="AC567" s="673"/>
      <c r="AD567" s="673"/>
      <c r="AE567" s="673"/>
      <c r="AF567" s="673"/>
      <c r="AG567" s="673"/>
      <c r="AH567" s="673"/>
      <c r="AI567" s="673"/>
      <c r="AJ567" s="673"/>
      <c r="AK567" s="673"/>
      <c r="AL567" s="673"/>
      <c r="AM567" s="673"/>
      <c r="AN567" s="673"/>
      <c r="AO567" s="673"/>
      <c r="AP567" s="673"/>
      <c r="AQ567" s="673"/>
      <c r="AR567" s="673"/>
      <c r="AS567" s="673"/>
      <c r="AT567" s="696"/>
    </row>
    <row r="568" ht="15.75" customHeight="1">
      <c r="A568" s="653"/>
      <c r="B568" s="654"/>
      <c r="C568" s="691"/>
      <c r="D568" s="656"/>
      <c r="E568" s="657"/>
      <c r="F568" s="658"/>
      <c r="G568" s="659"/>
      <c r="H568" s="660"/>
      <c r="I568" s="659"/>
      <c r="J568" s="661"/>
      <c r="K568" s="692"/>
      <c r="L568" s="645"/>
      <c r="M568" s="663"/>
      <c r="N568" s="665"/>
      <c r="O568" s="665"/>
      <c r="P568" s="666"/>
      <c r="Q568" s="667"/>
      <c r="R568" s="668"/>
      <c r="S568" s="693"/>
      <c r="T568" s="694"/>
      <c r="U568" s="694"/>
      <c r="V568" s="693"/>
      <c r="W568" s="693"/>
      <c r="X568" s="693"/>
      <c r="Y568" s="671"/>
      <c r="Z568" s="673"/>
      <c r="AA568" s="672"/>
      <c r="AB568" s="695"/>
      <c r="AC568" s="673"/>
      <c r="AD568" s="673"/>
      <c r="AE568" s="673"/>
      <c r="AF568" s="673"/>
      <c r="AG568" s="673"/>
      <c r="AH568" s="673"/>
      <c r="AI568" s="673"/>
      <c r="AJ568" s="673"/>
      <c r="AK568" s="673"/>
      <c r="AL568" s="673"/>
      <c r="AM568" s="673"/>
      <c r="AN568" s="673"/>
      <c r="AO568" s="673"/>
      <c r="AP568" s="673"/>
      <c r="AQ568" s="673"/>
      <c r="AR568" s="673"/>
      <c r="AS568" s="673"/>
      <c r="AT568" s="696"/>
    </row>
    <row r="569" ht="15.75" customHeight="1">
      <c r="A569" s="653"/>
      <c r="B569" s="654"/>
      <c r="C569" s="691"/>
      <c r="D569" s="656"/>
      <c r="E569" s="657"/>
      <c r="F569" s="658"/>
      <c r="G569" s="659"/>
      <c r="H569" s="660"/>
      <c r="I569" s="659"/>
      <c r="J569" s="661"/>
      <c r="K569" s="692"/>
      <c r="L569" s="645"/>
      <c r="M569" s="663"/>
      <c r="N569" s="665"/>
      <c r="O569" s="665"/>
      <c r="P569" s="666"/>
      <c r="Q569" s="667"/>
      <c r="R569" s="668"/>
      <c r="S569" s="693"/>
      <c r="T569" s="694"/>
      <c r="U569" s="694"/>
      <c r="V569" s="693"/>
      <c r="W569" s="693"/>
      <c r="X569" s="693"/>
      <c r="Y569" s="671"/>
      <c r="Z569" s="673"/>
      <c r="AA569" s="672"/>
      <c r="AB569" s="695"/>
      <c r="AC569" s="673"/>
      <c r="AD569" s="673"/>
      <c r="AE569" s="673"/>
      <c r="AF569" s="673"/>
      <c r="AG569" s="673"/>
      <c r="AH569" s="673"/>
      <c r="AI569" s="673"/>
      <c r="AJ569" s="673"/>
      <c r="AK569" s="673"/>
      <c r="AL569" s="673"/>
      <c r="AM569" s="673"/>
      <c r="AN569" s="673"/>
      <c r="AO569" s="673"/>
      <c r="AP569" s="673"/>
      <c r="AQ569" s="673"/>
      <c r="AR569" s="673"/>
      <c r="AS569" s="673"/>
      <c r="AT569" s="696"/>
    </row>
    <row r="570" ht="15.75" customHeight="1">
      <c r="A570" s="653"/>
      <c r="B570" s="654"/>
      <c r="C570" s="691"/>
      <c r="D570" s="656"/>
      <c r="E570" s="657"/>
      <c r="F570" s="658"/>
      <c r="G570" s="659"/>
      <c r="H570" s="660"/>
      <c r="I570" s="659"/>
      <c r="J570" s="661"/>
      <c r="K570" s="692"/>
      <c r="L570" s="645"/>
      <c r="M570" s="663"/>
      <c r="N570" s="665"/>
      <c r="O570" s="665"/>
      <c r="P570" s="666"/>
      <c r="Q570" s="667"/>
      <c r="R570" s="668"/>
      <c r="S570" s="693"/>
      <c r="T570" s="694"/>
      <c r="U570" s="694"/>
      <c r="V570" s="693"/>
      <c r="W570" s="693"/>
      <c r="X570" s="693"/>
      <c r="Y570" s="671"/>
      <c r="Z570" s="673"/>
      <c r="AA570" s="672"/>
      <c r="AB570" s="695"/>
      <c r="AC570" s="673"/>
      <c r="AD570" s="673"/>
      <c r="AE570" s="673"/>
      <c r="AF570" s="673"/>
      <c r="AG570" s="673"/>
      <c r="AH570" s="673"/>
      <c r="AI570" s="673"/>
      <c r="AJ570" s="673"/>
      <c r="AK570" s="673"/>
      <c r="AL570" s="673"/>
      <c r="AM570" s="673"/>
      <c r="AN570" s="673"/>
      <c r="AO570" s="673"/>
      <c r="AP570" s="673"/>
      <c r="AQ570" s="673"/>
      <c r="AR570" s="673"/>
      <c r="AS570" s="673"/>
      <c r="AT570" s="696"/>
    </row>
    <row r="571" ht="15.75" customHeight="1">
      <c r="A571" s="653"/>
      <c r="B571" s="654"/>
      <c r="C571" s="691"/>
      <c r="D571" s="656"/>
      <c r="E571" s="657"/>
      <c r="F571" s="658"/>
      <c r="G571" s="659"/>
      <c r="H571" s="660"/>
      <c r="I571" s="659"/>
      <c r="J571" s="661"/>
      <c r="K571" s="692"/>
      <c r="L571" s="645"/>
      <c r="M571" s="663"/>
      <c r="N571" s="665"/>
      <c r="O571" s="665"/>
      <c r="P571" s="666"/>
      <c r="Q571" s="667"/>
      <c r="R571" s="668"/>
      <c r="S571" s="693"/>
      <c r="T571" s="694"/>
      <c r="U571" s="694"/>
      <c r="V571" s="693"/>
      <c r="W571" s="693"/>
      <c r="X571" s="693"/>
      <c r="Y571" s="671"/>
      <c r="Z571" s="673"/>
      <c r="AA571" s="672"/>
      <c r="AB571" s="695"/>
      <c r="AC571" s="673"/>
      <c r="AD571" s="673"/>
      <c r="AE571" s="673"/>
      <c r="AF571" s="673"/>
      <c r="AG571" s="673"/>
      <c r="AH571" s="673"/>
      <c r="AI571" s="673"/>
      <c r="AJ571" s="673"/>
      <c r="AK571" s="673"/>
      <c r="AL571" s="673"/>
      <c r="AM571" s="673"/>
      <c r="AN571" s="673"/>
      <c r="AO571" s="673"/>
      <c r="AP571" s="673"/>
      <c r="AQ571" s="673"/>
      <c r="AR571" s="673"/>
      <c r="AS571" s="673"/>
      <c r="AT571" s="696"/>
    </row>
    <row r="572" ht="15.75" customHeight="1">
      <c r="A572" s="653"/>
      <c r="B572" s="654"/>
      <c r="C572" s="691"/>
      <c r="D572" s="656"/>
      <c r="E572" s="657"/>
      <c r="F572" s="658"/>
      <c r="G572" s="659"/>
      <c r="H572" s="660"/>
      <c r="I572" s="659"/>
      <c r="J572" s="661"/>
      <c r="K572" s="692"/>
      <c r="L572" s="645"/>
      <c r="M572" s="663"/>
      <c r="N572" s="665"/>
      <c r="O572" s="665"/>
      <c r="P572" s="666"/>
      <c r="Q572" s="667"/>
      <c r="R572" s="668"/>
      <c r="S572" s="693"/>
      <c r="T572" s="694"/>
      <c r="U572" s="694"/>
      <c r="V572" s="693"/>
      <c r="W572" s="693"/>
      <c r="X572" s="693"/>
      <c r="Y572" s="671"/>
      <c r="Z572" s="673"/>
      <c r="AA572" s="672"/>
      <c r="AB572" s="695"/>
      <c r="AC572" s="673"/>
      <c r="AD572" s="673"/>
      <c r="AE572" s="673"/>
      <c r="AF572" s="673"/>
      <c r="AG572" s="673"/>
      <c r="AH572" s="673"/>
      <c r="AI572" s="673"/>
      <c r="AJ572" s="673"/>
      <c r="AK572" s="673"/>
      <c r="AL572" s="673"/>
      <c r="AM572" s="673"/>
      <c r="AN572" s="673"/>
      <c r="AO572" s="673"/>
      <c r="AP572" s="673"/>
      <c r="AQ572" s="673"/>
      <c r="AR572" s="673"/>
      <c r="AS572" s="673"/>
      <c r="AT572" s="696"/>
    </row>
    <row r="573" ht="15.75" customHeight="1">
      <c r="A573" s="653"/>
      <c r="B573" s="654"/>
      <c r="C573" s="691"/>
      <c r="D573" s="656"/>
      <c r="E573" s="657"/>
      <c r="F573" s="658"/>
      <c r="G573" s="659"/>
      <c r="H573" s="660"/>
      <c r="I573" s="659"/>
      <c r="J573" s="661"/>
      <c r="K573" s="692"/>
      <c r="L573" s="645"/>
      <c r="M573" s="663"/>
      <c r="N573" s="665"/>
      <c r="O573" s="665"/>
      <c r="P573" s="666"/>
      <c r="Q573" s="667"/>
      <c r="R573" s="668"/>
      <c r="S573" s="693"/>
      <c r="T573" s="694"/>
      <c r="U573" s="694"/>
      <c r="V573" s="693"/>
      <c r="W573" s="693"/>
      <c r="X573" s="693"/>
      <c r="Y573" s="671"/>
      <c r="Z573" s="673"/>
      <c r="AA573" s="672"/>
      <c r="AB573" s="695"/>
      <c r="AC573" s="673"/>
      <c r="AD573" s="673"/>
      <c r="AE573" s="673"/>
      <c r="AF573" s="673"/>
      <c r="AG573" s="673"/>
      <c r="AH573" s="673"/>
      <c r="AI573" s="673"/>
      <c r="AJ573" s="673"/>
      <c r="AK573" s="673"/>
      <c r="AL573" s="673"/>
      <c r="AM573" s="673"/>
      <c r="AN573" s="673"/>
      <c r="AO573" s="673"/>
      <c r="AP573" s="673"/>
      <c r="AQ573" s="673"/>
      <c r="AR573" s="673"/>
      <c r="AS573" s="673"/>
      <c r="AT573" s="696"/>
    </row>
    <row r="574" ht="15.75" customHeight="1">
      <c r="A574" s="653"/>
      <c r="B574" s="654"/>
      <c r="C574" s="691"/>
      <c r="D574" s="656"/>
      <c r="E574" s="657"/>
      <c r="F574" s="658"/>
      <c r="G574" s="659"/>
      <c r="H574" s="660"/>
      <c r="I574" s="659"/>
      <c r="J574" s="661"/>
      <c r="K574" s="692"/>
      <c r="L574" s="645"/>
      <c r="M574" s="663"/>
      <c r="N574" s="665"/>
      <c r="O574" s="665"/>
      <c r="P574" s="666"/>
      <c r="Q574" s="667"/>
      <c r="R574" s="668"/>
      <c r="S574" s="693"/>
      <c r="T574" s="694"/>
      <c r="U574" s="694"/>
      <c r="V574" s="693"/>
      <c r="W574" s="693"/>
      <c r="X574" s="693"/>
      <c r="Y574" s="671"/>
      <c r="Z574" s="673"/>
      <c r="AA574" s="672"/>
      <c r="AB574" s="695"/>
      <c r="AC574" s="673"/>
      <c r="AD574" s="673"/>
      <c r="AE574" s="673"/>
      <c r="AF574" s="673"/>
      <c r="AG574" s="673"/>
      <c r="AH574" s="673"/>
      <c r="AI574" s="673"/>
      <c r="AJ574" s="673"/>
      <c r="AK574" s="673"/>
      <c r="AL574" s="673"/>
      <c r="AM574" s="673"/>
      <c r="AN574" s="673"/>
      <c r="AO574" s="673"/>
      <c r="AP574" s="673"/>
      <c r="AQ574" s="673"/>
      <c r="AR574" s="673"/>
      <c r="AS574" s="673"/>
      <c r="AT574" s="696"/>
    </row>
    <row r="575" ht="15.75" customHeight="1">
      <c r="A575" s="653"/>
      <c r="B575" s="654"/>
      <c r="C575" s="691"/>
      <c r="D575" s="656"/>
      <c r="E575" s="657"/>
      <c r="F575" s="658"/>
      <c r="G575" s="659"/>
      <c r="H575" s="660"/>
      <c r="I575" s="659"/>
      <c r="J575" s="661"/>
      <c r="K575" s="692"/>
      <c r="L575" s="645"/>
      <c r="M575" s="663"/>
      <c r="N575" s="665"/>
      <c r="O575" s="665"/>
      <c r="P575" s="666"/>
      <c r="Q575" s="667"/>
      <c r="R575" s="668"/>
      <c r="S575" s="693"/>
      <c r="T575" s="694"/>
      <c r="U575" s="694"/>
      <c r="V575" s="693"/>
      <c r="W575" s="693"/>
      <c r="X575" s="693"/>
      <c r="Y575" s="671"/>
      <c r="Z575" s="673"/>
      <c r="AA575" s="672"/>
      <c r="AB575" s="695"/>
      <c r="AC575" s="673"/>
      <c r="AD575" s="673"/>
      <c r="AE575" s="673"/>
      <c r="AF575" s="673"/>
      <c r="AG575" s="673"/>
      <c r="AH575" s="673"/>
      <c r="AI575" s="673"/>
      <c r="AJ575" s="673"/>
      <c r="AK575" s="673"/>
      <c r="AL575" s="673"/>
      <c r="AM575" s="673"/>
      <c r="AN575" s="673"/>
      <c r="AO575" s="673"/>
      <c r="AP575" s="673"/>
      <c r="AQ575" s="673"/>
      <c r="AR575" s="673"/>
      <c r="AS575" s="673"/>
      <c r="AT575" s="696"/>
    </row>
    <row r="576" ht="15.75" customHeight="1">
      <c r="A576" s="653"/>
      <c r="B576" s="654"/>
      <c r="C576" s="691"/>
      <c r="D576" s="656"/>
      <c r="E576" s="657"/>
      <c r="F576" s="658"/>
      <c r="G576" s="659"/>
      <c r="H576" s="660"/>
      <c r="I576" s="659"/>
      <c r="J576" s="661"/>
      <c r="K576" s="692"/>
      <c r="L576" s="645"/>
      <c r="M576" s="663"/>
      <c r="N576" s="665"/>
      <c r="O576" s="665"/>
      <c r="P576" s="666"/>
      <c r="Q576" s="667"/>
      <c r="R576" s="668"/>
      <c r="S576" s="693"/>
      <c r="T576" s="694"/>
      <c r="U576" s="694"/>
      <c r="V576" s="693"/>
      <c r="W576" s="693"/>
      <c r="X576" s="693"/>
      <c r="Y576" s="671"/>
      <c r="Z576" s="673"/>
      <c r="AA576" s="672"/>
      <c r="AB576" s="695"/>
      <c r="AC576" s="673"/>
      <c r="AD576" s="673"/>
      <c r="AE576" s="673"/>
      <c r="AF576" s="673"/>
      <c r="AG576" s="673"/>
      <c r="AH576" s="673"/>
      <c r="AI576" s="673"/>
      <c r="AJ576" s="673"/>
      <c r="AK576" s="673"/>
      <c r="AL576" s="673"/>
      <c r="AM576" s="673"/>
      <c r="AN576" s="673"/>
      <c r="AO576" s="673"/>
      <c r="AP576" s="673"/>
      <c r="AQ576" s="673"/>
      <c r="AR576" s="673"/>
      <c r="AS576" s="673"/>
      <c r="AT576" s="696"/>
    </row>
    <row r="577" ht="15.75" customHeight="1">
      <c r="A577" s="653"/>
      <c r="B577" s="654"/>
      <c r="C577" s="691"/>
      <c r="D577" s="656"/>
      <c r="E577" s="657"/>
      <c r="F577" s="658"/>
      <c r="G577" s="659"/>
      <c r="H577" s="660"/>
      <c r="I577" s="659"/>
      <c r="J577" s="661"/>
      <c r="K577" s="692"/>
      <c r="L577" s="645"/>
      <c r="M577" s="663"/>
      <c r="N577" s="665"/>
      <c r="O577" s="665"/>
      <c r="P577" s="666"/>
      <c r="Q577" s="667"/>
      <c r="R577" s="668"/>
      <c r="S577" s="693"/>
      <c r="T577" s="694"/>
      <c r="U577" s="694"/>
      <c r="V577" s="693"/>
      <c r="W577" s="693"/>
      <c r="X577" s="693"/>
      <c r="Y577" s="671"/>
      <c r="Z577" s="673"/>
      <c r="AA577" s="672"/>
      <c r="AB577" s="695"/>
      <c r="AC577" s="673"/>
      <c r="AD577" s="673"/>
      <c r="AE577" s="673"/>
      <c r="AF577" s="673"/>
      <c r="AG577" s="673"/>
      <c r="AH577" s="673"/>
      <c r="AI577" s="673"/>
      <c r="AJ577" s="673"/>
      <c r="AK577" s="673"/>
      <c r="AL577" s="673"/>
      <c r="AM577" s="673"/>
      <c r="AN577" s="673"/>
      <c r="AO577" s="673"/>
      <c r="AP577" s="673"/>
      <c r="AQ577" s="673"/>
      <c r="AR577" s="673"/>
      <c r="AS577" s="673"/>
      <c r="AT577" s="696"/>
    </row>
    <row r="578" ht="15.75" customHeight="1">
      <c r="A578" s="653"/>
      <c r="B578" s="654"/>
      <c r="C578" s="691"/>
      <c r="D578" s="656"/>
      <c r="E578" s="657"/>
      <c r="F578" s="658"/>
      <c r="G578" s="659"/>
      <c r="H578" s="660"/>
      <c r="I578" s="659"/>
      <c r="J578" s="661"/>
      <c r="K578" s="692"/>
      <c r="L578" s="645"/>
      <c r="M578" s="663"/>
      <c r="N578" s="665"/>
      <c r="O578" s="665"/>
      <c r="P578" s="666"/>
      <c r="Q578" s="667"/>
      <c r="R578" s="668"/>
      <c r="S578" s="693"/>
      <c r="T578" s="694"/>
      <c r="U578" s="694"/>
      <c r="V578" s="693"/>
      <c r="W578" s="693"/>
      <c r="X578" s="693"/>
      <c r="Y578" s="671"/>
      <c r="Z578" s="673"/>
      <c r="AA578" s="672"/>
      <c r="AB578" s="695"/>
      <c r="AC578" s="673"/>
      <c r="AD578" s="673"/>
      <c r="AE578" s="673"/>
      <c r="AF578" s="673"/>
      <c r="AG578" s="673"/>
      <c r="AH578" s="673"/>
      <c r="AI578" s="673"/>
      <c r="AJ578" s="673"/>
      <c r="AK578" s="673"/>
      <c r="AL578" s="673"/>
      <c r="AM578" s="673"/>
      <c r="AN578" s="673"/>
      <c r="AO578" s="673"/>
      <c r="AP578" s="673"/>
      <c r="AQ578" s="673"/>
      <c r="AR578" s="673"/>
      <c r="AS578" s="673"/>
      <c r="AT578" s="696"/>
    </row>
    <row r="579" ht="15.75" customHeight="1">
      <c r="A579" s="653"/>
      <c r="B579" s="654"/>
      <c r="C579" s="691"/>
      <c r="D579" s="656"/>
      <c r="E579" s="657"/>
      <c r="F579" s="658"/>
      <c r="G579" s="659"/>
      <c r="H579" s="660"/>
      <c r="I579" s="659"/>
      <c r="J579" s="661"/>
      <c r="K579" s="692"/>
      <c r="L579" s="645"/>
      <c r="M579" s="663"/>
      <c r="N579" s="665"/>
      <c r="O579" s="665"/>
      <c r="P579" s="666"/>
      <c r="Q579" s="667"/>
      <c r="R579" s="668"/>
      <c r="S579" s="693"/>
      <c r="T579" s="694"/>
      <c r="U579" s="694"/>
      <c r="V579" s="693"/>
      <c r="W579" s="693"/>
      <c r="X579" s="693"/>
      <c r="Y579" s="671"/>
      <c r="Z579" s="673"/>
      <c r="AA579" s="672"/>
      <c r="AB579" s="695"/>
      <c r="AC579" s="673"/>
      <c r="AD579" s="673"/>
      <c r="AE579" s="673"/>
      <c r="AF579" s="673"/>
      <c r="AG579" s="673"/>
      <c r="AH579" s="673"/>
      <c r="AI579" s="673"/>
      <c r="AJ579" s="673"/>
      <c r="AK579" s="673"/>
      <c r="AL579" s="673"/>
      <c r="AM579" s="673"/>
      <c r="AN579" s="673"/>
      <c r="AO579" s="673"/>
      <c r="AP579" s="673"/>
      <c r="AQ579" s="673"/>
      <c r="AR579" s="673"/>
      <c r="AS579" s="673"/>
      <c r="AT579" s="696"/>
    </row>
    <row r="580" ht="15.75" customHeight="1">
      <c r="A580" s="653"/>
      <c r="B580" s="654"/>
      <c r="C580" s="691"/>
      <c r="D580" s="656"/>
      <c r="E580" s="657"/>
      <c r="F580" s="658"/>
      <c r="G580" s="659"/>
      <c r="H580" s="660"/>
      <c r="I580" s="659"/>
      <c r="J580" s="661"/>
      <c r="K580" s="692"/>
      <c r="L580" s="645"/>
      <c r="M580" s="663"/>
      <c r="N580" s="665"/>
      <c r="O580" s="665"/>
      <c r="P580" s="666"/>
      <c r="Q580" s="667"/>
      <c r="R580" s="668"/>
      <c r="S580" s="693"/>
      <c r="T580" s="694"/>
      <c r="U580" s="694"/>
      <c r="V580" s="693"/>
      <c r="W580" s="693"/>
      <c r="X580" s="693"/>
      <c r="Y580" s="671"/>
      <c r="Z580" s="673"/>
      <c r="AA580" s="672"/>
      <c r="AB580" s="695"/>
      <c r="AC580" s="673"/>
      <c r="AD580" s="673"/>
      <c r="AE580" s="673"/>
      <c r="AF580" s="673"/>
      <c r="AG580" s="673"/>
      <c r="AH580" s="673"/>
      <c r="AI580" s="673"/>
      <c r="AJ580" s="673"/>
      <c r="AK580" s="673"/>
      <c r="AL580" s="673"/>
      <c r="AM580" s="673"/>
      <c r="AN580" s="673"/>
      <c r="AO580" s="673"/>
      <c r="AP580" s="673"/>
      <c r="AQ580" s="673"/>
      <c r="AR580" s="673"/>
      <c r="AS580" s="673"/>
      <c r="AT580" s="696"/>
    </row>
    <row r="581" ht="15.75" customHeight="1">
      <c r="A581" s="653"/>
      <c r="B581" s="654"/>
      <c r="C581" s="691"/>
      <c r="D581" s="656"/>
      <c r="E581" s="657"/>
      <c r="F581" s="658"/>
      <c r="G581" s="659"/>
      <c r="H581" s="660"/>
      <c r="I581" s="659"/>
      <c r="J581" s="661"/>
      <c r="K581" s="692"/>
      <c r="L581" s="645"/>
      <c r="M581" s="663"/>
      <c r="N581" s="665"/>
      <c r="O581" s="665"/>
      <c r="P581" s="666"/>
      <c r="Q581" s="667"/>
      <c r="R581" s="668"/>
      <c r="S581" s="693"/>
      <c r="T581" s="694"/>
      <c r="U581" s="694"/>
      <c r="V581" s="693"/>
      <c r="W581" s="693"/>
      <c r="X581" s="693"/>
      <c r="Y581" s="671"/>
      <c r="Z581" s="673"/>
      <c r="AA581" s="672"/>
      <c r="AB581" s="695"/>
      <c r="AC581" s="673"/>
      <c r="AD581" s="673"/>
      <c r="AE581" s="673"/>
      <c r="AF581" s="673"/>
      <c r="AG581" s="673"/>
      <c r="AH581" s="673"/>
      <c r="AI581" s="673"/>
      <c r="AJ581" s="673"/>
      <c r="AK581" s="673"/>
      <c r="AL581" s="673"/>
      <c r="AM581" s="673"/>
      <c r="AN581" s="673"/>
      <c r="AO581" s="673"/>
      <c r="AP581" s="673"/>
      <c r="AQ581" s="673"/>
      <c r="AR581" s="673"/>
      <c r="AS581" s="673"/>
      <c r="AT581" s="696"/>
    </row>
    <row r="582" ht="15.75" customHeight="1">
      <c r="A582" s="653"/>
      <c r="B582" s="654"/>
      <c r="C582" s="691"/>
      <c r="D582" s="656"/>
      <c r="E582" s="657"/>
      <c r="F582" s="658"/>
      <c r="G582" s="659"/>
      <c r="H582" s="660"/>
      <c r="I582" s="659"/>
      <c r="J582" s="661"/>
      <c r="K582" s="692"/>
      <c r="L582" s="645"/>
      <c r="M582" s="663"/>
      <c r="N582" s="665"/>
      <c r="O582" s="665"/>
      <c r="P582" s="666"/>
      <c r="Q582" s="667"/>
      <c r="R582" s="668"/>
      <c r="S582" s="693"/>
      <c r="T582" s="694"/>
      <c r="U582" s="694"/>
      <c r="V582" s="693"/>
      <c r="W582" s="693"/>
      <c r="X582" s="693"/>
      <c r="Y582" s="671"/>
      <c r="Z582" s="673"/>
      <c r="AA582" s="672"/>
      <c r="AB582" s="695"/>
      <c r="AC582" s="673"/>
      <c r="AD582" s="673"/>
      <c r="AE582" s="673"/>
      <c r="AF582" s="673"/>
      <c r="AG582" s="673"/>
      <c r="AH582" s="673"/>
      <c r="AI582" s="673"/>
      <c r="AJ582" s="673"/>
      <c r="AK582" s="673"/>
      <c r="AL582" s="673"/>
      <c r="AM582" s="673"/>
      <c r="AN582" s="673"/>
      <c r="AO582" s="673"/>
      <c r="AP582" s="673"/>
      <c r="AQ582" s="673"/>
      <c r="AR582" s="673"/>
      <c r="AS582" s="673"/>
      <c r="AT582" s="696"/>
    </row>
    <row r="583" ht="15.75" customHeight="1">
      <c r="A583" s="653"/>
      <c r="B583" s="654"/>
      <c r="C583" s="691"/>
      <c r="D583" s="656"/>
      <c r="E583" s="657"/>
      <c r="F583" s="658"/>
      <c r="G583" s="659"/>
      <c r="H583" s="660"/>
      <c r="I583" s="659"/>
      <c r="J583" s="661"/>
      <c r="K583" s="692"/>
      <c r="L583" s="645"/>
      <c r="M583" s="663"/>
      <c r="N583" s="665"/>
      <c r="O583" s="665"/>
      <c r="P583" s="666"/>
      <c r="Q583" s="667"/>
      <c r="R583" s="668"/>
      <c r="S583" s="693"/>
      <c r="T583" s="694"/>
      <c r="U583" s="694"/>
      <c r="V583" s="693"/>
      <c r="W583" s="693"/>
      <c r="X583" s="693"/>
      <c r="Y583" s="671"/>
      <c r="Z583" s="673"/>
      <c r="AA583" s="672"/>
      <c r="AB583" s="695"/>
      <c r="AC583" s="673"/>
      <c r="AD583" s="673"/>
      <c r="AE583" s="673"/>
      <c r="AF583" s="673"/>
      <c r="AG583" s="673"/>
      <c r="AH583" s="673"/>
      <c r="AI583" s="673"/>
      <c r="AJ583" s="673"/>
      <c r="AK583" s="673"/>
      <c r="AL583" s="673"/>
      <c r="AM583" s="673"/>
      <c r="AN583" s="673"/>
      <c r="AO583" s="673"/>
      <c r="AP583" s="673"/>
      <c r="AQ583" s="673"/>
      <c r="AR583" s="673"/>
      <c r="AS583" s="673"/>
      <c r="AT583" s="696"/>
    </row>
    <row r="584" ht="15.75" customHeight="1">
      <c r="A584" s="653"/>
      <c r="B584" s="654"/>
      <c r="C584" s="691"/>
      <c r="D584" s="656"/>
      <c r="E584" s="657"/>
      <c r="F584" s="658"/>
      <c r="G584" s="659"/>
      <c r="H584" s="660"/>
      <c r="I584" s="659"/>
      <c r="J584" s="661"/>
      <c r="K584" s="692"/>
      <c r="L584" s="645"/>
      <c r="M584" s="663"/>
      <c r="N584" s="665"/>
      <c r="O584" s="665"/>
      <c r="P584" s="666"/>
      <c r="Q584" s="667"/>
      <c r="R584" s="668"/>
      <c r="S584" s="693"/>
      <c r="T584" s="694"/>
      <c r="U584" s="694"/>
      <c r="V584" s="693"/>
      <c r="W584" s="693"/>
      <c r="X584" s="693"/>
      <c r="Y584" s="671"/>
      <c r="Z584" s="673"/>
      <c r="AA584" s="672"/>
      <c r="AB584" s="695"/>
      <c r="AC584" s="673"/>
      <c r="AD584" s="673"/>
      <c r="AE584" s="673"/>
      <c r="AF584" s="673"/>
      <c r="AG584" s="673"/>
      <c r="AH584" s="673"/>
      <c r="AI584" s="673"/>
      <c r="AJ584" s="673"/>
      <c r="AK584" s="673"/>
      <c r="AL584" s="673"/>
      <c r="AM584" s="673"/>
      <c r="AN584" s="673"/>
      <c r="AO584" s="673"/>
      <c r="AP584" s="673"/>
      <c r="AQ584" s="673"/>
      <c r="AR584" s="673"/>
      <c r="AS584" s="673"/>
      <c r="AT584" s="696"/>
    </row>
    <row r="585" ht="15.75" customHeight="1">
      <c r="A585" s="653"/>
      <c r="B585" s="654"/>
      <c r="C585" s="691"/>
      <c r="D585" s="656"/>
      <c r="E585" s="657"/>
      <c r="F585" s="658"/>
      <c r="G585" s="659"/>
      <c r="H585" s="660"/>
      <c r="I585" s="659"/>
      <c r="J585" s="661"/>
      <c r="K585" s="692"/>
      <c r="L585" s="645"/>
      <c r="M585" s="663"/>
      <c r="N585" s="665"/>
      <c r="O585" s="665"/>
      <c r="P585" s="666"/>
      <c r="Q585" s="667"/>
      <c r="R585" s="668"/>
      <c r="S585" s="693"/>
      <c r="T585" s="694"/>
      <c r="U585" s="694"/>
      <c r="V585" s="693"/>
      <c r="W585" s="693"/>
      <c r="X585" s="693"/>
      <c r="Y585" s="671"/>
      <c r="Z585" s="673"/>
      <c r="AA585" s="672"/>
      <c r="AB585" s="695"/>
      <c r="AC585" s="673"/>
      <c r="AD585" s="673"/>
      <c r="AE585" s="673"/>
      <c r="AF585" s="673"/>
      <c r="AG585" s="673"/>
      <c r="AH585" s="673"/>
      <c r="AI585" s="673"/>
      <c r="AJ585" s="673"/>
      <c r="AK585" s="673"/>
      <c r="AL585" s="673"/>
      <c r="AM585" s="673"/>
      <c r="AN585" s="673"/>
      <c r="AO585" s="673"/>
      <c r="AP585" s="673"/>
      <c r="AQ585" s="673"/>
      <c r="AR585" s="673"/>
      <c r="AS585" s="673"/>
      <c r="AT585" s="696"/>
    </row>
    <row r="586" ht="15.75" customHeight="1">
      <c r="A586" s="653"/>
      <c r="B586" s="654"/>
      <c r="C586" s="691"/>
      <c r="D586" s="656"/>
      <c r="E586" s="657"/>
      <c r="F586" s="658"/>
      <c r="G586" s="659"/>
      <c r="H586" s="660"/>
      <c r="I586" s="659"/>
      <c r="J586" s="661"/>
      <c r="K586" s="692"/>
      <c r="L586" s="645"/>
      <c r="M586" s="663"/>
      <c r="N586" s="665"/>
      <c r="O586" s="665"/>
      <c r="P586" s="666"/>
      <c r="Q586" s="667"/>
      <c r="R586" s="668"/>
      <c r="S586" s="693"/>
      <c r="T586" s="694"/>
      <c r="U586" s="694"/>
      <c r="V586" s="693"/>
      <c r="W586" s="693"/>
      <c r="X586" s="693"/>
      <c r="Y586" s="671"/>
      <c r="Z586" s="673"/>
      <c r="AA586" s="672"/>
      <c r="AB586" s="695"/>
      <c r="AC586" s="673"/>
      <c r="AD586" s="673"/>
      <c r="AE586" s="673"/>
      <c r="AF586" s="673"/>
      <c r="AG586" s="673"/>
      <c r="AH586" s="673"/>
      <c r="AI586" s="673"/>
      <c r="AJ586" s="673"/>
      <c r="AK586" s="673"/>
      <c r="AL586" s="673"/>
      <c r="AM586" s="673"/>
      <c r="AN586" s="673"/>
      <c r="AO586" s="673"/>
      <c r="AP586" s="673"/>
      <c r="AQ586" s="673"/>
      <c r="AR586" s="673"/>
      <c r="AS586" s="673"/>
      <c r="AT586" s="696"/>
    </row>
    <row r="587" ht="15.75" customHeight="1">
      <c r="A587" s="653"/>
      <c r="B587" s="654"/>
      <c r="C587" s="691"/>
      <c r="D587" s="656"/>
      <c r="E587" s="657"/>
      <c r="F587" s="658"/>
      <c r="G587" s="659"/>
      <c r="H587" s="660"/>
      <c r="I587" s="659"/>
      <c r="J587" s="661"/>
      <c r="K587" s="692"/>
      <c r="L587" s="645"/>
      <c r="M587" s="663"/>
      <c r="N587" s="665"/>
      <c r="O587" s="665"/>
      <c r="P587" s="666"/>
      <c r="Q587" s="667"/>
      <c r="R587" s="668"/>
      <c r="S587" s="693"/>
      <c r="T587" s="694"/>
      <c r="U587" s="694"/>
      <c r="V587" s="693"/>
      <c r="W587" s="693"/>
      <c r="X587" s="693"/>
      <c r="Y587" s="671"/>
      <c r="Z587" s="673"/>
      <c r="AA587" s="672"/>
      <c r="AB587" s="695"/>
      <c r="AC587" s="673"/>
      <c r="AD587" s="673"/>
      <c r="AE587" s="673"/>
      <c r="AF587" s="673"/>
      <c r="AG587" s="673"/>
      <c r="AH587" s="673"/>
      <c r="AI587" s="673"/>
      <c r="AJ587" s="673"/>
      <c r="AK587" s="673"/>
      <c r="AL587" s="673"/>
      <c r="AM587" s="673"/>
      <c r="AN587" s="673"/>
      <c r="AO587" s="673"/>
      <c r="AP587" s="673"/>
      <c r="AQ587" s="673"/>
      <c r="AR587" s="673"/>
      <c r="AS587" s="673"/>
      <c r="AT587" s="696"/>
    </row>
    <row r="588" ht="15.75" customHeight="1">
      <c r="A588" s="653"/>
      <c r="B588" s="654"/>
      <c r="C588" s="691"/>
      <c r="D588" s="656"/>
      <c r="E588" s="657"/>
      <c r="F588" s="658"/>
      <c r="G588" s="659"/>
      <c r="H588" s="660"/>
      <c r="I588" s="659"/>
      <c r="J588" s="661"/>
      <c r="K588" s="692"/>
      <c r="L588" s="645"/>
      <c r="M588" s="663"/>
      <c r="N588" s="665"/>
      <c r="O588" s="665"/>
      <c r="P588" s="666"/>
      <c r="Q588" s="667"/>
      <c r="R588" s="668"/>
      <c r="S588" s="693"/>
      <c r="T588" s="694"/>
      <c r="U588" s="694"/>
      <c r="V588" s="693"/>
      <c r="W588" s="693"/>
      <c r="X588" s="693"/>
      <c r="Y588" s="671"/>
      <c r="Z588" s="673"/>
      <c r="AA588" s="672"/>
      <c r="AB588" s="695"/>
      <c r="AC588" s="673"/>
      <c r="AD588" s="673"/>
      <c r="AE588" s="673"/>
      <c r="AF588" s="673"/>
      <c r="AG588" s="673"/>
      <c r="AH588" s="673"/>
      <c r="AI588" s="673"/>
      <c r="AJ588" s="673"/>
      <c r="AK588" s="673"/>
      <c r="AL588" s="673"/>
      <c r="AM588" s="673"/>
      <c r="AN588" s="673"/>
      <c r="AO588" s="673"/>
      <c r="AP588" s="673"/>
      <c r="AQ588" s="673"/>
      <c r="AR588" s="673"/>
      <c r="AS588" s="673"/>
      <c r="AT588" s="696"/>
    </row>
    <row r="589" ht="15.75" customHeight="1">
      <c r="A589" s="653"/>
      <c r="B589" s="654"/>
      <c r="C589" s="691"/>
      <c r="D589" s="656"/>
      <c r="E589" s="657"/>
      <c r="F589" s="658"/>
      <c r="G589" s="659"/>
      <c r="H589" s="660"/>
      <c r="I589" s="659"/>
      <c r="J589" s="661"/>
      <c r="K589" s="692"/>
      <c r="L589" s="645"/>
      <c r="M589" s="663"/>
      <c r="N589" s="665"/>
      <c r="O589" s="665"/>
      <c r="P589" s="666"/>
      <c r="Q589" s="667"/>
      <c r="R589" s="668"/>
      <c r="S589" s="693"/>
      <c r="T589" s="694"/>
      <c r="U589" s="694"/>
      <c r="V589" s="693"/>
      <c r="W589" s="693"/>
      <c r="X589" s="693"/>
      <c r="Y589" s="671"/>
      <c r="Z589" s="673"/>
      <c r="AA589" s="672"/>
      <c r="AB589" s="695"/>
      <c r="AC589" s="673"/>
      <c r="AD589" s="673"/>
      <c r="AE589" s="673"/>
      <c r="AF589" s="673"/>
      <c r="AG589" s="673"/>
      <c r="AH589" s="673"/>
      <c r="AI589" s="673"/>
      <c r="AJ589" s="673"/>
      <c r="AK589" s="673"/>
      <c r="AL589" s="673"/>
      <c r="AM589" s="673"/>
      <c r="AN589" s="673"/>
      <c r="AO589" s="673"/>
      <c r="AP589" s="673"/>
      <c r="AQ589" s="673"/>
      <c r="AR589" s="673"/>
      <c r="AS589" s="673"/>
      <c r="AT589" s="696"/>
    </row>
    <row r="590" ht="15.75" customHeight="1">
      <c r="A590" s="653"/>
      <c r="B590" s="654"/>
      <c r="C590" s="691"/>
      <c r="D590" s="656"/>
      <c r="E590" s="657"/>
      <c r="F590" s="658"/>
      <c r="G590" s="659"/>
      <c r="H590" s="660"/>
      <c r="I590" s="659"/>
      <c r="J590" s="661"/>
      <c r="K590" s="692"/>
      <c r="L590" s="645"/>
      <c r="M590" s="663"/>
      <c r="N590" s="665"/>
      <c r="O590" s="665"/>
      <c r="P590" s="666"/>
      <c r="Q590" s="667"/>
      <c r="R590" s="668"/>
      <c r="S590" s="693"/>
      <c r="T590" s="694"/>
      <c r="U590" s="694"/>
      <c r="V590" s="693"/>
      <c r="W590" s="693"/>
      <c r="X590" s="693"/>
      <c r="Y590" s="671"/>
      <c r="Z590" s="673"/>
      <c r="AA590" s="672"/>
      <c r="AB590" s="695"/>
      <c r="AC590" s="673"/>
      <c r="AD590" s="673"/>
      <c r="AE590" s="673"/>
      <c r="AF590" s="673"/>
      <c r="AG590" s="673"/>
      <c r="AH590" s="673"/>
      <c r="AI590" s="673"/>
      <c r="AJ590" s="673"/>
      <c r="AK590" s="673"/>
      <c r="AL590" s="673"/>
      <c r="AM590" s="673"/>
      <c r="AN590" s="673"/>
      <c r="AO590" s="673"/>
      <c r="AP590" s="673"/>
      <c r="AQ590" s="673"/>
      <c r="AR590" s="673"/>
      <c r="AS590" s="673"/>
      <c r="AT590" s="696"/>
    </row>
    <row r="591" ht="15.75" customHeight="1">
      <c r="A591" s="653"/>
      <c r="B591" s="654"/>
      <c r="C591" s="691"/>
      <c r="D591" s="656"/>
      <c r="E591" s="657"/>
      <c r="F591" s="658"/>
      <c r="G591" s="659"/>
      <c r="H591" s="660"/>
      <c r="I591" s="659"/>
      <c r="J591" s="661"/>
      <c r="K591" s="692"/>
      <c r="L591" s="645"/>
      <c r="M591" s="663"/>
      <c r="N591" s="665"/>
      <c r="O591" s="665"/>
      <c r="P591" s="666"/>
      <c r="Q591" s="667"/>
      <c r="R591" s="668"/>
      <c r="S591" s="693"/>
      <c r="T591" s="694"/>
      <c r="U591" s="694"/>
      <c r="V591" s="693"/>
      <c r="W591" s="693"/>
      <c r="X591" s="693"/>
      <c r="Y591" s="671"/>
      <c r="Z591" s="673"/>
      <c r="AA591" s="672"/>
      <c r="AB591" s="695"/>
      <c r="AC591" s="673"/>
      <c r="AD591" s="673"/>
      <c r="AE591" s="673"/>
      <c r="AF591" s="673"/>
      <c r="AG591" s="673"/>
      <c r="AH591" s="673"/>
      <c r="AI591" s="673"/>
      <c r="AJ591" s="673"/>
      <c r="AK591" s="673"/>
      <c r="AL591" s="673"/>
      <c r="AM591" s="673"/>
      <c r="AN591" s="673"/>
      <c r="AO591" s="673"/>
      <c r="AP591" s="673"/>
      <c r="AQ591" s="673"/>
      <c r="AR591" s="673"/>
      <c r="AS591" s="673"/>
      <c r="AT591" s="696"/>
    </row>
    <row r="592" ht="15.75" customHeight="1">
      <c r="A592" s="653"/>
      <c r="B592" s="654"/>
      <c r="C592" s="691"/>
      <c r="D592" s="656"/>
      <c r="E592" s="657"/>
      <c r="F592" s="658"/>
      <c r="G592" s="659"/>
      <c r="H592" s="660"/>
      <c r="I592" s="659"/>
      <c r="J592" s="661"/>
      <c r="K592" s="692"/>
      <c r="L592" s="645"/>
      <c r="M592" s="663"/>
      <c r="N592" s="665"/>
      <c r="O592" s="665"/>
      <c r="P592" s="666"/>
      <c r="Q592" s="667"/>
      <c r="R592" s="668"/>
      <c r="S592" s="693"/>
      <c r="T592" s="694"/>
      <c r="U592" s="694"/>
      <c r="V592" s="693"/>
      <c r="W592" s="693"/>
      <c r="X592" s="693"/>
      <c r="Y592" s="671"/>
      <c r="Z592" s="673"/>
      <c r="AA592" s="672"/>
      <c r="AB592" s="695"/>
      <c r="AC592" s="673"/>
      <c r="AD592" s="673"/>
      <c r="AE592" s="673"/>
      <c r="AF592" s="673"/>
      <c r="AG592" s="673"/>
      <c r="AH592" s="673"/>
      <c r="AI592" s="673"/>
      <c r="AJ592" s="673"/>
      <c r="AK592" s="673"/>
      <c r="AL592" s="673"/>
      <c r="AM592" s="673"/>
      <c r="AN592" s="673"/>
      <c r="AO592" s="673"/>
      <c r="AP592" s="673"/>
      <c r="AQ592" s="673"/>
      <c r="AR592" s="673"/>
      <c r="AS592" s="673"/>
      <c r="AT592" s="696"/>
    </row>
    <row r="593" ht="15.75" customHeight="1">
      <c r="A593" s="653"/>
      <c r="B593" s="654"/>
      <c r="C593" s="691"/>
      <c r="D593" s="656"/>
      <c r="E593" s="657"/>
      <c r="F593" s="658"/>
      <c r="G593" s="659"/>
      <c r="H593" s="660"/>
      <c r="I593" s="659"/>
      <c r="J593" s="661"/>
      <c r="K593" s="692"/>
      <c r="L593" s="645"/>
      <c r="M593" s="663"/>
      <c r="N593" s="665"/>
      <c r="O593" s="665"/>
      <c r="P593" s="666"/>
      <c r="Q593" s="667"/>
      <c r="R593" s="668"/>
      <c r="S593" s="693"/>
      <c r="T593" s="694"/>
      <c r="U593" s="694"/>
      <c r="V593" s="693"/>
      <c r="W593" s="693"/>
      <c r="X593" s="693"/>
      <c r="Y593" s="671"/>
      <c r="Z593" s="673"/>
      <c r="AA593" s="672"/>
      <c r="AB593" s="695"/>
      <c r="AC593" s="673"/>
      <c r="AD593" s="673"/>
      <c r="AE593" s="673"/>
      <c r="AF593" s="673"/>
      <c r="AG593" s="673"/>
      <c r="AH593" s="673"/>
      <c r="AI593" s="673"/>
      <c r="AJ593" s="673"/>
      <c r="AK593" s="673"/>
      <c r="AL593" s="673"/>
      <c r="AM593" s="673"/>
      <c r="AN593" s="673"/>
      <c r="AO593" s="673"/>
      <c r="AP593" s="673"/>
      <c r="AQ593" s="673"/>
      <c r="AR593" s="673"/>
      <c r="AS593" s="673"/>
      <c r="AT593" s="696"/>
    </row>
    <row r="594" ht="15.75" customHeight="1">
      <c r="A594" s="653"/>
      <c r="B594" s="654"/>
      <c r="C594" s="691"/>
      <c r="D594" s="656"/>
      <c r="E594" s="657"/>
      <c r="F594" s="658"/>
      <c r="G594" s="659"/>
      <c r="H594" s="660"/>
      <c r="I594" s="659"/>
      <c r="J594" s="661"/>
      <c r="K594" s="692"/>
      <c r="L594" s="645"/>
      <c r="M594" s="663"/>
      <c r="N594" s="665"/>
      <c r="O594" s="665"/>
      <c r="P594" s="666"/>
      <c r="Q594" s="667"/>
      <c r="R594" s="668"/>
      <c r="S594" s="693"/>
      <c r="T594" s="694"/>
      <c r="U594" s="694"/>
      <c r="V594" s="693"/>
      <c r="W594" s="693"/>
      <c r="X594" s="693"/>
      <c r="Y594" s="671"/>
      <c r="Z594" s="673"/>
      <c r="AA594" s="672"/>
      <c r="AB594" s="695"/>
      <c r="AC594" s="673"/>
      <c r="AD594" s="673"/>
      <c r="AE594" s="673"/>
      <c r="AF594" s="673"/>
      <c r="AG594" s="673"/>
      <c r="AH594" s="673"/>
      <c r="AI594" s="673"/>
      <c r="AJ594" s="673"/>
      <c r="AK594" s="673"/>
      <c r="AL594" s="673"/>
      <c r="AM594" s="673"/>
      <c r="AN594" s="673"/>
      <c r="AO594" s="673"/>
      <c r="AP594" s="673"/>
      <c r="AQ594" s="673"/>
      <c r="AR594" s="673"/>
      <c r="AS594" s="673"/>
      <c r="AT594" s="696"/>
    </row>
    <row r="595" ht="15.75" customHeight="1">
      <c r="A595" s="653"/>
      <c r="B595" s="654"/>
      <c r="C595" s="691"/>
      <c r="D595" s="656"/>
      <c r="E595" s="657"/>
      <c r="F595" s="658"/>
      <c r="G595" s="659"/>
      <c r="H595" s="660"/>
      <c r="I595" s="659"/>
      <c r="J595" s="661"/>
      <c r="K595" s="692"/>
      <c r="L595" s="645"/>
      <c r="M595" s="663"/>
      <c r="N595" s="665"/>
      <c r="O595" s="665"/>
      <c r="P595" s="666"/>
      <c r="Q595" s="667"/>
      <c r="R595" s="668"/>
      <c r="S595" s="693"/>
      <c r="T595" s="694"/>
      <c r="U595" s="694"/>
      <c r="V595" s="693"/>
      <c r="W595" s="693"/>
      <c r="X595" s="693"/>
      <c r="Y595" s="671"/>
      <c r="Z595" s="673"/>
      <c r="AA595" s="672"/>
      <c r="AB595" s="695"/>
      <c r="AC595" s="673"/>
      <c r="AD595" s="673"/>
      <c r="AE595" s="673"/>
      <c r="AF595" s="673"/>
      <c r="AG595" s="673"/>
      <c r="AH595" s="673"/>
      <c r="AI595" s="673"/>
      <c r="AJ595" s="673"/>
      <c r="AK595" s="673"/>
      <c r="AL595" s="673"/>
      <c r="AM595" s="673"/>
      <c r="AN595" s="673"/>
      <c r="AO595" s="673"/>
      <c r="AP595" s="673"/>
      <c r="AQ595" s="673"/>
      <c r="AR595" s="673"/>
      <c r="AS595" s="673"/>
      <c r="AT595" s="696"/>
    </row>
    <row r="596" ht="15.75" customHeight="1">
      <c r="A596" s="653"/>
      <c r="B596" s="654"/>
      <c r="C596" s="691"/>
      <c r="D596" s="656"/>
      <c r="E596" s="657"/>
      <c r="F596" s="658"/>
      <c r="G596" s="659"/>
      <c r="H596" s="660"/>
      <c r="I596" s="659"/>
      <c r="J596" s="661"/>
      <c r="K596" s="692"/>
      <c r="L596" s="645"/>
      <c r="M596" s="663"/>
      <c r="N596" s="665"/>
      <c r="O596" s="665"/>
      <c r="P596" s="666"/>
      <c r="Q596" s="667"/>
      <c r="R596" s="668"/>
      <c r="S596" s="693"/>
      <c r="T596" s="694"/>
      <c r="U596" s="694"/>
      <c r="V596" s="693"/>
      <c r="W596" s="693"/>
      <c r="X596" s="693"/>
      <c r="Y596" s="671"/>
      <c r="Z596" s="673"/>
      <c r="AA596" s="672"/>
      <c r="AB596" s="695"/>
      <c r="AC596" s="673"/>
      <c r="AD596" s="673"/>
      <c r="AE596" s="673"/>
      <c r="AF596" s="673"/>
      <c r="AG596" s="673"/>
      <c r="AH596" s="673"/>
      <c r="AI596" s="673"/>
      <c r="AJ596" s="673"/>
      <c r="AK596" s="673"/>
      <c r="AL596" s="673"/>
      <c r="AM596" s="673"/>
      <c r="AN596" s="673"/>
      <c r="AO596" s="673"/>
      <c r="AP596" s="673"/>
      <c r="AQ596" s="673"/>
      <c r="AR596" s="673"/>
      <c r="AS596" s="673"/>
      <c r="AT596" s="696"/>
    </row>
    <row r="597" ht="15.75" customHeight="1">
      <c r="A597" s="653"/>
      <c r="B597" s="654"/>
      <c r="C597" s="691"/>
      <c r="D597" s="656"/>
      <c r="E597" s="657"/>
      <c r="F597" s="658"/>
      <c r="G597" s="659"/>
      <c r="H597" s="660"/>
      <c r="I597" s="659"/>
      <c r="J597" s="661"/>
      <c r="K597" s="692"/>
      <c r="L597" s="645"/>
      <c r="M597" s="663"/>
      <c r="N597" s="665"/>
      <c r="O597" s="665"/>
      <c r="P597" s="666"/>
      <c r="Q597" s="667"/>
      <c r="R597" s="668"/>
      <c r="S597" s="693"/>
      <c r="T597" s="694"/>
      <c r="U597" s="694"/>
      <c r="V597" s="693"/>
      <c r="W597" s="693"/>
      <c r="X597" s="693"/>
      <c r="Y597" s="671"/>
      <c r="Z597" s="673"/>
      <c r="AA597" s="672"/>
      <c r="AB597" s="695"/>
      <c r="AC597" s="673"/>
      <c r="AD597" s="673"/>
      <c r="AE597" s="673"/>
      <c r="AF597" s="673"/>
      <c r="AG597" s="673"/>
      <c r="AH597" s="673"/>
      <c r="AI597" s="673"/>
      <c r="AJ597" s="673"/>
      <c r="AK597" s="673"/>
      <c r="AL597" s="673"/>
      <c r="AM597" s="673"/>
      <c r="AN597" s="673"/>
      <c r="AO597" s="673"/>
      <c r="AP597" s="673"/>
      <c r="AQ597" s="673"/>
      <c r="AR597" s="673"/>
      <c r="AS597" s="673"/>
      <c r="AT597" s="696"/>
    </row>
    <row r="598" ht="15.75" customHeight="1">
      <c r="A598" s="653"/>
      <c r="B598" s="654"/>
      <c r="C598" s="691"/>
      <c r="D598" s="656"/>
      <c r="E598" s="657"/>
      <c r="F598" s="658"/>
      <c r="G598" s="659"/>
      <c r="H598" s="660"/>
      <c r="I598" s="659"/>
      <c r="J598" s="661"/>
      <c r="K598" s="692"/>
      <c r="L598" s="645"/>
      <c r="M598" s="663"/>
      <c r="N598" s="665"/>
      <c r="O598" s="665"/>
      <c r="P598" s="666"/>
      <c r="Q598" s="667"/>
      <c r="R598" s="668"/>
      <c r="S598" s="693"/>
      <c r="T598" s="694"/>
      <c r="U598" s="694"/>
      <c r="V598" s="693"/>
      <c r="W598" s="693"/>
      <c r="X598" s="693"/>
      <c r="Y598" s="671"/>
      <c r="Z598" s="673"/>
      <c r="AA598" s="672"/>
      <c r="AB598" s="695"/>
      <c r="AC598" s="673"/>
      <c r="AD598" s="673"/>
      <c r="AE598" s="673"/>
      <c r="AF598" s="673"/>
      <c r="AG598" s="673"/>
      <c r="AH598" s="673"/>
      <c r="AI598" s="673"/>
      <c r="AJ598" s="673"/>
      <c r="AK598" s="673"/>
      <c r="AL598" s="673"/>
      <c r="AM598" s="673"/>
      <c r="AN598" s="673"/>
      <c r="AO598" s="673"/>
      <c r="AP598" s="673"/>
      <c r="AQ598" s="673"/>
      <c r="AR598" s="673"/>
      <c r="AS598" s="673"/>
      <c r="AT598" s="696"/>
    </row>
    <row r="599" ht="15.75" customHeight="1">
      <c r="A599" s="653"/>
      <c r="B599" s="654"/>
      <c r="C599" s="691"/>
      <c r="D599" s="656"/>
      <c r="E599" s="657"/>
      <c r="F599" s="658"/>
      <c r="G599" s="659"/>
      <c r="H599" s="660"/>
      <c r="I599" s="659"/>
      <c r="J599" s="661"/>
      <c r="K599" s="692"/>
      <c r="L599" s="645"/>
      <c r="M599" s="663"/>
      <c r="N599" s="665"/>
      <c r="O599" s="665"/>
      <c r="P599" s="666"/>
      <c r="Q599" s="667"/>
      <c r="R599" s="668"/>
      <c r="S599" s="693"/>
      <c r="T599" s="694"/>
      <c r="U599" s="694"/>
      <c r="V599" s="693"/>
      <c r="W599" s="693"/>
      <c r="X599" s="693"/>
      <c r="Y599" s="671"/>
      <c r="Z599" s="673"/>
      <c r="AA599" s="672"/>
      <c r="AB599" s="695"/>
      <c r="AC599" s="673"/>
      <c r="AD599" s="673"/>
      <c r="AE599" s="673"/>
      <c r="AF599" s="673"/>
      <c r="AG599" s="673"/>
      <c r="AH599" s="673"/>
      <c r="AI599" s="673"/>
      <c r="AJ599" s="673"/>
      <c r="AK599" s="673"/>
      <c r="AL599" s="673"/>
      <c r="AM599" s="673"/>
      <c r="AN599" s="673"/>
      <c r="AO599" s="673"/>
      <c r="AP599" s="673"/>
      <c r="AQ599" s="673"/>
      <c r="AR599" s="673"/>
      <c r="AS599" s="673"/>
      <c r="AT599" s="696"/>
    </row>
    <row r="600" ht="15.75" customHeight="1">
      <c r="A600" s="653"/>
      <c r="B600" s="654"/>
      <c r="C600" s="691"/>
      <c r="D600" s="656"/>
      <c r="E600" s="657"/>
      <c r="F600" s="658"/>
      <c r="G600" s="659"/>
      <c r="H600" s="660"/>
      <c r="I600" s="659"/>
      <c r="J600" s="661"/>
      <c r="K600" s="692"/>
      <c r="L600" s="645"/>
      <c r="M600" s="663"/>
      <c r="N600" s="665"/>
      <c r="O600" s="665"/>
      <c r="P600" s="666"/>
      <c r="Q600" s="667"/>
      <c r="R600" s="668"/>
      <c r="S600" s="693"/>
      <c r="T600" s="694"/>
      <c r="U600" s="694"/>
      <c r="V600" s="693"/>
      <c r="W600" s="693"/>
      <c r="X600" s="693"/>
      <c r="Y600" s="671"/>
      <c r="Z600" s="673"/>
      <c r="AA600" s="672"/>
      <c r="AB600" s="695"/>
      <c r="AC600" s="673"/>
      <c r="AD600" s="673"/>
      <c r="AE600" s="673"/>
      <c r="AF600" s="673"/>
      <c r="AG600" s="673"/>
      <c r="AH600" s="673"/>
      <c r="AI600" s="673"/>
      <c r="AJ600" s="673"/>
      <c r="AK600" s="673"/>
      <c r="AL600" s="673"/>
      <c r="AM600" s="673"/>
      <c r="AN600" s="673"/>
      <c r="AO600" s="673"/>
      <c r="AP600" s="673"/>
      <c r="AQ600" s="673"/>
      <c r="AR600" s="673"/>
      <c r="AS600" s="673"/>
      <c r="AT600" s="696"/>
    </row>
    <row r="601" ht="15.75" customHeight="1">
      <c r="A601" s="653"/>
      <c r="B601" s="654"/>
      <c r="C601" s="691"/>
      <c r="D601" s="656"/>
      <c r="E601" s="657"/>
      <c r="F601" s="658"/>
      <c r="G601" s="659"/>
      <c r="H601" s="660"/>
      <c r="I601" s="659"/>
      <c r="J601" s="661"/>
      <c r="K601" s="692"/>
      <c r="L601" s="645"/>
      <c r="M601" s="663"/>
      <c r="N601" s="665"/>
      <c r="O601" s="665"/>
      <c r="P601" s="666"/>
      <c r="Q601" s="667"/>
      <c r="R601" s="668"/>
      <c r="S601" s="693"/>
      <c r="T601" s="694"/>
      <c r="U601" s="694"/>
      <c r="V601" s="693"/>
      <c r="W601" s="693"/>
      <c r="X601" s="693"/>
      <c r="Y601" s="671"/>
      <c r="Z601" s="673"/>
      <c r="AA601" s="672"/>
      <c r="AB601" s="695"/>
      <c r="AC601" s="673"/>
      <c r="AD601" s="673"/>
      <c r="AE601" s="673"/>
      <c r="AF601" s="673"/>
      <c r="AG601" s="673"/>
      <c r="AH601" s="673"/>
      <c r="AI601" s="673"/>
      <c r="AJ601" s="673"/>
      <c r="AK601" s="673"/>
      <c r="AL601" s="673"/>
      <c r="AM601" s="673"/>
      <c r="AN601" s="673"/>
      <c r="AO601" s="673"/>
      <c r="AP601" s="673"/>
      <c r="AQ601" s="673"/>
      <c r="AR601" s="673"/>
      <c r="AS601" s="673"/>
      <c r="AT601" s="696"/>
    </row>
    <row r="602" ht="15.75" customHeight="1">
      <c r="A602" s="653"/>
      <c r="B602" s="654"/>
      <c r="C602" s="691"/>
      <c r="D602" s="656"/>
      <c r="E602" s="657"/>
      <c r="F602" s="658"/>
      <c r="G602" s="659"/>
      <c r="H602" s="660"/>
      <c r="I602" s="659"/>
      <c r="J602" s="661"/>
      <c r="K602" s="692"/>
      <c r="L602" s="645"/>
      <c r="M602" s="663"/>
      <c r="N602" s="665"/>
      <c r="O602" s="665"/>
      <c r="P602" s="666"/>
      <c r="Q602" s="667"/>
      <c r="R602" s="668"/>
      <c r="S602" s="693"/>
      <c r="T602" s="694"/>
      <c r="U602" s="694"/>
      <c r="V602" s="693"/>
      <c r="W602" s="693"/>
      <c r="X602" s="693"/>
      <c r="Y602" s="671"/>
      <c r="Z602" s="673"/>
      <c r="AA602" s="672"/>
      <c r="AB602" s="695"/>
      <c r="AC602" s="673"/>
      <c r="AD602" s="673"/>
      <c r="AE602" s="673"/>
      <c r="AF602" s="673"/>
      <c r="AG602" s="673"/>
      <c r="AH602" s="673"/>
      <c r="AI602" s="673"/>
      <c r="AJ602" s="673"/>
      <c r="AK602" s="673"/>
      <c r="AL602" s="673"/>
      <c r="AM602" s="673"/>
      <c r="AN602" s="673"/>
      <c r="AO602" s="673"/>
      <c r="AP602" s="673"/>
      <c r="AQ602" s="673"/>
      <c r="AR602" s="673"/>
      <c r="AS602" s="673"/>
      <c r="AT602" s="696"/>
    </row>
    <row r="603" ht="15.75" customHeight="1">
      <c r="A603" s="653"/>
      <c r="B603" s="654"/>
      <c r="C603" s="691"/>
      <c r="D603" s="656"/>
      <c r="E603" s="657"/>
      <c r="F603" s="658"/>
      <c r="G603" s="659"/>
      <c r="H603" s="660"/>
      <c r="I603" s="659"/>
      <c r="J603" s="661"/>
      <c r="K603" s="692"/>
      <c r="L603" s="645"/>
      <c r="M603" s="663"/>
      <c r="N603" s="665"/>
      <c r="O603" s="665"/>
      <c r="P603" s="666"/>
      <c r="Q603" s="667"/>
      <c r="R603" s="668"/>
      <c r="S603" s="693"/>
      <c r="T603" s="694"/>
      <c r="U603" s="694"/>
      <c r="V603" s="693"/>
      <c r="W603" s="693"/>
      <c r="X603" s="693"/>
      <c r="Y603" s="671"/>
      <c r="Z603" s="673"/>
      <c r="AA603" s="672"/>
      <c r="AB603" s="695"/>
      <c r="AC603" s="673"/>
      <c r="AD603" s="673"/>
      <c r="AE603" s="673"/>
      <c r="AF603" s="673"/>
      <c r="AG603" s="673"/>
      <c r="AH603" s="673"/>
      <c r="AI603" s="673"/>
      <c r="AJ603" s="673"/>
      <c r="AK603" s="673"/>
      <c r="AL603" s="673"/>
      <c r="AM603" s="673"/>
      <c r="AN603" s="673"/>
      <c r="AO603" s="673"/>
      <c r="AP603" s="673"/>
      <c r="AQ603" s="673"/>
      <c r="AR603" s="673"/>
      <c r="AS603" s="673"/>
      <c r="AT603" s="696"/>
    </row>
    <row r="604" ht="15.75" customHeight="1">
      <c r="A604" s="653"/>
      <c r="B604" s="654"/>
      <c r="C604" s="691"/>
      <c r="D604" s="656"/>
      <c r="E604" s="657"/>
      <c r="F604" s="658"/>
      <c r="G604" s="659"/>
      <c r="H604" s="660"/>
      <c r="I604" s="659"/>
      <c r="J604" s="661"/>
      <c r="K604" s="692"/>
      <c r="L604" s="645"/>
      <c r="M604" s="663"/>
      <c r="N604" s="665"/>
      <c r="O604" s="665"/>
      <c r="P604" s="666"/>
      <c r="Q604" s="667"/>
      <c r="R604" s="668"/>
      <c r="S604" s="693"/>
      <c r="T604" s="694"/>
      <c r="U604" s="694"/>
      <c r="V604" s="693"/>
      <c r="W604" s="693"/>
      <c r="X604" s="693"/>
      <c r="Y604" s="671"/>
      <c r="Z604" s="673"/>
      <c r="AA604" s="672"/>
      <c r="AB604" s="695"/>
      <c r="AC604" s="673"/>
      <c r="AD604" s="673"/>
      <c r="AE604" s="673"/>
      <c r="AF604" s="673"/>
      <c r="AG604" s="673"/>
      <c r="AH604" s="673"/>
      <c r="AI604" s="673"/>
      <c r="AJ604" s="673"/>
      <c r="AK604" s="673"/>
      <c r="AL604" s="673"/>
      <c r="AM604" s="673"/>
      <c r="AN604" s="673"/>
      <c r="AO604" s="673"/>
      <c r="AP604" s="673"/>
      <c r="AQ604" s="673"/>
      <c r="AR604" s="673"/>
      <c r="AS604" s="673"/>
      <c r="AT604" s="696"/>
    </row>
    <row r="605" ht="15.75" customHeight="1">
      <c r="A605" s="653"/>
      <c r="B605" s="654"/>
      <c r="C605" s="691"/>
      <c r="D605" s="656"/>
      <c r="E605" s="657"/>
      <c r="F605" s="658"/>
      <c r="G605" s="659"/>
      <c r="H605" s="660"/>
      <c r="I605" s="659"/>
      <c r="J605" s="661"/>
      <c r="K605" s="692"/>
      <c r="L605" s="645"/>
      <c r="M605" s="663"/>
      <c r="N605" s="665"/>
      <c r="O605" s="665"/>
      <c r="P605" s="666"/>
      <c r="Q605" s="667"/>
      <c r="R605" s="668"/>
      <c r="S605" s="693"/>
      <c r="T605" s="694"/>
      <c r="U605" s="694"/>
      <c r="V605" s="693"/>
      <c r="W605" s="693"/>
      <c r="X605" s="693"/>
      <c r="Y605" s="671"/>
      <c r="Z605" s="673"/>
      <c r="AA605" s="672"/>
      <c r="AB605" s="695"/>
      <c r="AC605" s="673"/>
      <c r="AD605" s="673"/>
      <c r="AE605" s="673"/>
      <c r="AF605" s="673"/>
      <c r="AG605" s="673"/>
      <c r="AH605" s="673"/>
      <c r="AI605" s="673"/>
      <c r="AJ605" s="673"/>
      <c r="AK605" s="673"/>
      <c r="AL605" s="673"/>
      <c r="AM605" s="673"/>
      <c r="AN605" s="673"/>
      <c r="AO605" s="673"/>
      <c r="AP605" s="673"/>
      <c r="AQ605" s="673"/>
      <c r="AR605" s="673"/>
      <c r="AS605" s="673"/>
      <c r="AT605" s="696"/>
    </row>
    <row r="606" ht="15.75" customHeight="1">
      <c r="A606" s="653"/>
      <c r="B606" s="654"/>
      <c r="C606" s="691"/>
      <c r="D606" s="656"/>
      <c r="E606" s="657"/>
      <c r="F606" s="658"/>
      <c r="G606" s="659"/>
      <c r="H606" s="660"/>
      <c r="I606" s="659"/>
      <c r="J606" s="661"/>
      <c r="K606" s="692"/>
      <c r="L606" s="645"/>
      <c r="M606" s="663"/>
      <c r="N606" s="665"/>
      <c r="O606" s="665"/>
      <c r="P606" s="666"/>
      <c r="Q606" s="667"/>
      <c r="R606" s="668"/>
      <c r="S606" s="693"/>
      <c r="T606" s="694"/>
      <c r="U606" s="694"/>
      <c r="V606" s="693"/>
      <c r="W606" s="693"/>
      <c r="X606" s="693"/>
      <c r="Y606" s="671"/>
      <c r="Z606" s="673"/>
      <c r="AA606" s="672"/>
      <c r="AB606" s="695"/>
      <c r="AC606" s="673"/>
      <c r="AD606" s="673"/>
      <c r="AE606" s="673"/>
      <c r="AF606" s="673"/>
      <c r="AG606" s="673"/>
      <c r="AH606" s="673"/>
      <c r="AI606" s="673"/>
      <c r="AJ606" s="673"/>
      <c r="AK606" s="673"/>
      <c r="AL606" s="673"/>
      <c r="AM606" s="673"/>
      <c r="AN606" s="673"/>
      <c r="AO606" s="673"/>
      <c r="AP606" s="673"/>
      <c r="AQ606" s="673"/>
      <c r="AR606" s="673"/>
      <c r="AS606" s="673"/>
      <c r="AT606" s="696"/>
    </row>
    <row r="607" ht="15.75" customHeight="1">
      <c r="A607" s="653"/>
      <c r="B607" s="654"/>
      <c r="C607" s="691"/>
      <c r="D607" s="656"/>
      <c r="E607" s="657"/>
      <c r="F607" s="658"/>
      <c r="G607" s="659"/>
      <c r="H607" s="660"/>
      <c r="I607" s="659"/>
      <c r="J607" s="661"/>
      <c r="K607" s="692"/>
      <c r="L607" s="645"/>
      <c r="M607" s="663"/>
      <c r="N607" s="665"/>
      <c r="O607" s="665"/>
      <c r="P607" s="666"/>
      <c r="Q607" s="667"/>
      <c r="R607" s="668"/>
      <c r="S607" s="693"/>
      <c r="T607" s="694"/>
      <c r="U607" s="694"/>
      <c r="V607" s="693"/>
      <c r="W607" s="693"/>
      <c r="X607" s="693"/>
      <c r="Y607" s="671"/>
      <c r="Z607" s="673"/>
      <c r="AA607" s="672"/>
      <c r="AB607" s="695"/>
      <c r="AC607" s="673"/>
      <c r="AD607" s="673"/>
      <c r="AE607" s="673"/>
      <c r="AF607" s="673"/>
      <c r="AG607" s="673"/>
      <c r="AH607" s="673"/>
      <c r="AI607" s="673"/>
      <c r="AJ607" s="673"/>
      <c r="AK607" s="673"/>
      <c r="AL607" s="673"/>
      <c r="AM607" s="673"/>
      <c r="AN607" s="673"/>
      <c r="AO607" s="673"/>
      <c r="AP607" s="673"/>
      <c r="AQ607" s="673"/>
      <c r="AR607" s="673"/>
      <c r="AS607" s="673"/>
      <c r="AT607" s="696"/>
    </row>
    <row r="608" ht="15.75" customHeight="1">
      <c r="A608" s="653"/>
      <c r="B608" s="654"/>
      <c r="C608" s="691"/>
      <c r="D608" s="656"/>
      <c r="E608" s="657"/>
      <c r="F608" s="658"/>
      <c r="G608" s="659"/>
      <c r="H608" s="660"/>
      <c r="I608" s="659"/>
      <c r="J608" s="661"/>
      <c r="K608" s="692"/>
      <c r="L608" s="645"/>
      <c r="M608" s="663"/>
      <c r="N608" s="665"/>
      <c r="O608" s="665"/>
      <c r="P608" s="666"/>
      <c r="Q608" s="667"/>
      <c r="R608" s="668"/>
      <c r="S608" s="693"/>
      <c r="T608" s="694"/>
      <c r="U608" s="694"/>
      <c r="V608" s="693"/>
      <c r="W608" s="693"/>
      <c r="X608" s="693"/>
      <c r="Y608" s="671"/>
      <c r="Z608" s="673"/>
      <c r="AA608" s="672"/>
      <c r="AB608" s="695"/>
      <c r="AC608" s="673"/>
      <c r="AD608" s="673"/>
      <c r="AE608" s="673"/>
      <c r="AF608" s="673"/>
      <c r="AG608" s="673"/>
      <c r="AH608" s="673"/>
      <c r="AI608" s="673"/>
      <c r="AJ608" s="673"/>
      <c r="AK608" s="673"/>
      <c r="AL608" s="673"/>
      <c r="AM608" s="673"/>
      <c r="AN608" s="673"/>
      <c r="AO608" s="673"/>
      <c r="AP608" s="673"/>
      <c r="AQ608" s="673"/>
      <c r="AR608" s="673"/>
      <c r="AS608" s="673"/>
      <c r="AT608" s="696"/>
    </row>
    <row r="609" ht="15.75" customHeight="1">
      <c r="A609" s="653"/>
      <c r="B609" s="654"/>
      <c r="C609" s="691"/>
      <c r="D609" s="656"/>
      <c r="E609" s="657"/>
      <c r="F609" s="658"/>
      <c r="G609" s="659"/>
      <c r="H609" s="660"/>
      <c r="I609" s="659"/>
      <c r="J609" s="661"/>
      <c r="K609" s="692"/>
      <c r="L609" s="645"/>
      <c r="M609" s="663"/>
      <c r="N609" s="665"/>
      <c r="O609" s="665"/>
      <c r="P609" s="666"/>
      <c r="Q609" s="667"/>
      <c r="R609" s="668"/>
      <c r="S609" s="693"/>
      <c r="T609" s="694"/>
      <c r="U609" s="694"/>
      <c r="V609" s="693"/>
      <c r="W609" s="693"/>
      <c r="X609" s="693"/>
      <c r="Y609" s="671"/>
      <c r="Z609" s="673"/>
      <c r="AA609" s="672"/>
      <c r="AB609" s="695"/>
      <c r="AC609" s="673"/>
      <c r="AD609" s="673"/>
      <c r="AE609" s="673"/>
      <c r="AF609" s="673"/>
      <c r="AG609" s="673"/>
      <c r="AH609" s="673"/>
      <c r="AI609" s="673"/>
      <c r="AJ609" s="673"/>
      <c r="AK609" s="673"/>
      <c r="AL609" s="673"/>
      <c r="AM609" s="673"/>
      <c r="AN609" s="673"/>
      <c r="AO609" s="673"/>
      <c r="AP609" s="673"/>
      <c r="AQ609" s="673"/>
      <c r="AR609" s="673"/>
      <c r="AS609" s="673"/>
      <c r="AT609" s="696"/>
    </row>
    <row r="610" ht="15.75" customHeight="1">
      <c r="A610" s="653"/>
      <c r="B610" s="654"/>
      <c r="C610" s="691"/>
      <c r="D610" s="656"/>
      <c r="E610" s="657"/>
      <c r="F610" s="658"/>
      <c r="G610" s="659"/>
      <c r="H610" s="660"/>
      <c r="I610" s="659"/>
      <c r="J610" s="661"/>
      <c r="K610" s="692"/>
      <c r="L610" s="645"/>
      <c r="M610" s="663"/>
      <c r="N610" s="665"/>
      <c r="O610" s="665"/>
      <c r="P610" s="666"/>
      <c r="Q610" s="667"/>
      <c r="R610" s="668"/>
      <c r="S610" s="693"/>
      <c r="T610" s="694"/>
      <c r="U610" s="694"/>
      <c r="V610" s="693"/>
      <c r="W610" s="693"/>
      <c r="X610" s="693"/>
      <c r="Y610" s="671"/>
      <c r="Z610" s="673"/>
      <c r="AA610" s="672"/>
      <c r="AB610" s="695"/>
      <c r="AC610" s="673"/>
      <c r="AD610" s="673"/>
      <c r="AE610" s="673"/>
      <c r="AF610" s="673"/>
      <c r="AG610" s="673"/>
      <c r="AH610" s="673"/>
      <c r="AI610" s="673"/>
      <c r="AJ610" s="673"/>
      <c r="AK610" s="673"/>
      <c r="AL610" s="673"/>
      <c r="AM610" s="673"/>
      <c r="AN610" s="673"/>
      <c r="AO610" s="673"/>
      <c r="AP610" s="673"/>
      <c r="AQ610" s="673"/>
      <c r="AR610" s="673"/>
      <c r="AS610" s="673"/>
      <c r="AT610" s="696"/>
    </row>
    <row r="611" ht="15.75" customHeight="1">
      <c r="A611" s="653"/>
      <c r="B611" s="654"/>
      <c r="C611" s="691"/>
      <c r="D611" s="656"/>
      <c r="E611" s="657"/>
      <c r="F611" s="658"/>
      <c r="G611" s="659"/>
      <c r="H611" s="660"/>
      <c r="I611" s="659"/>
      <c r="J611" s="661"/>
      <c r="K611" s="692"/>
      <c r="L611" s="645"/>
      <c r="M611" s="663"/>
      <c r="N611" s="665"/>
      <c r="O611" s="665"/>
      <c r="P611" s="666"/>
      <c r="Q611" s="667"/>
      <c r="R611" s="668"/>
      <c r="S611" s="693"/>
      <c r="T611" s="694"/>
      <c r="U611" s="694"/>
      <c r="V611" s="693"/>
      <c r="W611" s="693"/>
      <c r="X611" s="693"/>
      <c r="Y611" s="671"/>
      <c r="Z611" s="673"/>
      <c r="AA611" s="672"/>
      <c r="AB611" s="695"/>
      <c r="AC611" s="673"/>
      <c r="AD611" s="673"/>
      <c r="AE611" s="673"/>
      <c r="AF611" s="673"/>
      <c r="AG611" s="673"/>
      <c r="AH611" s="673"/>
      <c r="AI611" s="673"/>
      <c r="AJ611" s="673"/>
      <c r="AK611" s="673"/>
      <c r="AL611" s="673"/>
      <c r="AM611" s="673"/>
      <c r="AN611" s="673"/>
      <c r="AO611" s="673"/>
      <c r="AP611" s="673"/>
      <c r="AQ611" s="673"/>
      <c r="AR611" s="673"/>
      <c r="AS611" s="673"/>
      <c r="AT611" s="696"/>
    </row>
    <row r="612" ht="15.75" customHeight="1">
      <c r="A612" s="653"/>
      <c r="B612" s="654"/>
      <c r="C612" s="691"/>
      <c r="D612" s="656"/>
      <c r="E612" s="657"/>
      <c r="F612" s="658"/>
      <c r="G612" s="659"/>
      <c r="H612" s="660"/>
      <c r="I612" s="659"/>
      <c r="J612" s="661"/>
      <c r="K612" s="692"/>
      <c r="L612" s="645"/>
      <c r="M612" s="663"/>
      <c r="N612" s="665"/>
      <c r="O612" s="665"/>
      <c r="P612" s="666"/>
      <c r="Q612" s="667"/>
      <c r="R612" s="668"/>
      <c r="S612" s="693"/>
      <c r="T612" s="694"/>
      <c r="U612" s="694"/>
      <c r="V612" s="693"/>
      <c r="W612" s="693"/>
      <c r="X612" s="693"/>
      <c r="Y612" s="671"/>
      <c r="Z612" s="673"/>
      <c r="AA612" s="672"/>
      <c r="AB612" s="695"/>
      <c r="AC612" s="673"/>
      <c r="AD612" s="673"/>
      <c r="AE612" s="673"/>
      <c r="AF612" s="673"/>
      <c r="AG612" s="673"/>
      <c r="AH612" s="673"/>
      <c r="AI612" s="673"/>
      <c r="AJ612" s="673"/>
      <c r="AK612" s="673"/>
      <c r="AL612" s="673"/>
      <c r="AM612" s="673"/>
      <c r="AN612" s="673"/>
      <c r="AO612" s="673"/>
      <c r="AP612" s="673"/>
      <c r="AQ612" s="673"/>
      <c r="AR612" s="673"/>
      <c r="AS612" s="673"/>
      <c r="AT612" s="696"/>
    </row>
    <row r="613" ht="15.75" customHeight="1">
      <c r="A613" s="653"/>
      <c r="B613" s="654"/>
      <c r="C613" s="691"/>
      <c r="D613" s="656"/>
      <c r="E613" s="657"/>
      <c r="F613" s="658"/>
      <c r="G613" s="659"/>
      <c r="H613" s="660"/>
      <c r="I613" s="659"/>
      <c r="J613" s="661"/>
      <c r="K613" s="692"/>
      <c r="L613" s="645"/>
      <c r="M613" s="663"/>
      <c r="N613" s="665"/>
      <c r="O613" s="665"/>
      <c r="P613" s="666"/>
      <c r="Q613" s="667"/>
      <c r="R613" s="668"/>
      <c r="S613" s="693"/>
      <c r="T613" s="694"/>
      <c r="U613" s="694"/>
      <c r="V613" s="693"/>
      <c r="W613" s="693"/>
      <c r="X613" s="693"/>
      <c r="Y613" s="671"/>
      <c r="Z613" s="673"/>
      <c r="AA613" s="672"/>
      <c r="AB613" s="695"/>
      <c r="AC613" s="673"/>
      <c r="AD613" s="673"/>
      <c r="AE613" s="673"/>
      <c r="AF613" s="673"/>
      <c r="AG613" s="673"/>
      <c r="AH613" s="673"/>
      <c r="AI613" s="673"/>
      <c r="AJ613" s="673"/>
      <c r="AK613" s="673"/>
      <c r="AL613" s="673"/>
      <c r="AM613" s="673"/>
      <c r="AN613" s="673"/>
      <c r="AO613" s="673"/>
      <c r="AP613" s="673"/>
      <c r="AQ613" s="673"/>
      <c r="AR613" s="673"/>
      <c r="AS613" s="673"/>
      <c r="AT613" s="696"/>
    </row>
    <row r="614" ht="15.75" customHeight="1">
      <c r="A614" s="653"/>
      <c r="B614" s="654"/>
      <c r="C614" s="691"/>
      <c r="D614" s="656"/>
      <c r="E614" s="657"/>
      <c r="F614" s="658"/>
      <c r="G614" s="659"/>
      <c r="H614" s="660"/>
      <c r="I614" s="659"/>
      <c r="J614" s="661"/>
      <c r="K614" s="692"/>
      <c r="L614" s="645"/>
      <c r="M614" s="663"/>
      <c r="N614" s="665"/>
      <c r="O614" s="665"/>
      <c r="P614" s="666"/>
      <c r="Q614" s="667"/>
      <c r="R614" s="668"/>
      <c r="S614" s="693"/>
      <c r="T614" s="694"/>
      <c r="U614" s="694"/>
      <c r="V614" s="693"/>
      <c r="W614" s="693"/>
      <c r="X614" s="693"/>
      <c r="Y614" s="671"/>
      <c r="Z614" s="673"/>
      <c r="AA614" s="672"/>
      <c r="AB614" s="695"/>
      <c r="AC614" s="673"/>
      <c r="AD614" s="673"/>
      <c r="AE614" s="673"/>
      <c r="AF614" s="673"/>
      <c r="AG614" s="673"/>
      <c r="AH614" s="673"/>
      <c r="AI614" s="673"/>
      <c r="AJ614" s="673"/>
      <c r="AK614" s="673"/>
      <c r="AL614" s="673"/>
      <c r="AM614" s="673"/>
      <c r="AN614" s="673"/>
      <c r="AO614" s="673"/>
      <c r="AP614" s="673"/>
      <c r="AQ614" s="673"/>
      <c r="AR614" s="673"/>
      <c r="AS614" s="673"/>
      <c r="AT614" s="696"/>
    </row>
    <row r="615" ht="15.75" customHeight="1">
      <c r="A615" s="653"/>
      <c r="B615" s="654"/>
      <c r="C615" s="691"/>
      <c r="D615" s="656"/>
      <c r="E615" s="657"/>
      <c r="F615" s="658"/>
      <c r="G615" s="659"/>
      <c r="H615" s="660"/>
      <c r="I615" s="659"/>
      <c r="J615" s="661"/>
      <c r="K615" s="692"/>
      <c r="L615" s="645"/>
      <c r="M615" s="663"/>
      <c r="N615" s="665"/>
      <c r="O615" s="665"/>
      <c r="P615" s="666"/>
      <c r="Q615" s="667"/>
      <c r="R615" s="668"/>
      <c r="S615" s="693"/>
      <c r="T615" s="694"/>
      <c r="U615" s="694"/>
      <c r="V615" s="693"/>
      <c r="W615" s="693"/>
      <c r="X615" s="693"/>
      <c r="Y615" s="671"/>
      <c r="Z615" s="673"/>
      <c r="AA615" s="672"/>
      <c r="AB615" s="695"/>
      <c r="AC615" s="673"/>
      <c r="AD615" s="673"/>
      <c r="AE615" s="673"/>
      <c r="AF615" s="673"/>
      <c r="AG615" s="673"/>
      <c r="AH615" s="673"/>
      <c r="AI615" s="673"/>
      <c r="AJ615" s="673"/>
      <c r="AK615" s="673"/>
      <c r="AL615" s="673"/>
      <c r="AM615" s="673"/>
      <c r="AN615" s="673"/>
      <c r="AO615" s="673"/>
      <c r="AP615" s="673"/>
      <c r="AQ615" s="673"/>
      <c r="AR615" s="673"/>
      <c r="AS615" s="673"/>
      <c r="AT615" s="696"/>
    </row>
    <row r="616" ht="15.75" customHeight="1">
      <c r="A616" s="653"/>
      <c r="B616" s="654"/>
      <c r="C616" s="691"/>
      <c r="D616" s="656"/>
      <c r="E616" s="657"/>
      <c r="F616" s="658"/>
      <c r="G616" s="659"/>
      <c r="H616" s="660"/>
      <c r="I616" s="659"/>
      <c r="J616" s="661"/>
      <c r="K616" s="692"/>
      <c r="L616" s="645"/>
      <c r="M616" s="663"/>
      <c r="N616" s="665"/>
      <c r="O616" s="665"/>
      <c r="P616" s="666"/>
      <c r="Q616" s="667"/>
      <c r="R616" s="668"/>
      <c r="S616" s="693"/>
      <c r="T616" s="694"/>
      <c r="U616" s="694"/>
      <c r="V616" s="693"/>
      <c r="W616" s="693"/>
      <c r="X616" s="693"/>
      <c r="Y616" s="671"/>
      <c r="Z616" s="673"/>
      <c r="AA616" s="672"/>
      <c r="AB616" s="695"/>
      <c r="AC616" s="673"/>
      <c r="AD616" s="673"/>
      <c r="AE616" s="673"/>
      <c r="AF616" s="673"/>
      <c r="AG616" s="673"/>
      <c r="AH616" s="673"/>
      <c r="AI616" s="673"/>
      <c r="AJ616" s="673"/>
      <c r="AK616" s="673"/>
      <c r="AL616" s="673"/>
      <c r="AM616" s="673"/>
      <c r="AN616" s="673"/>
      <c r="AO616" s="673"/>
      <c r="AP616" s="673"/>
      <c r="AQ616" s="673"/>
      <c r="AR616" s="673"/>
      <c r="AS616" s="673"/>
      <c r="AT616" s="696"/>
    </row>
    <row r="617" ht="15.75" customHeight="1">
      <c r="A617" s="653"/>
      <c r="B617" s="654"/>
      <c r="C617" s="691"/>
      <c r="D617" s="656"/>
      <c r="E617" s="657"/>
      <c r="F617" s="658"/>
      <c r="G617" s="659"/>
      <c r="H617" s="660"/>
      <c r="I617" s="659"/>
      <c r="J617" s="661"/>
      <c r="K617" s="692"/>
      <c r="L617" s="645"/>
      <c r="M617" s="663"/>
      <c r="N617" s="665"/>
      <c r="O617" s="665"/>
      <c r="P617" s="666"/>
      <c r="Q617" s="667"/>
      <c r="R617" s="668"/>
      <c r="S617" s="693"/>
      <c r="T617" s="694"/>
      <c r="U617" s="694"/>
      <c r="V617" s="693"/>
      <c r="W617" s="693"/>
      <c r="X617" s="693"/>
      <c r="Y617" s="671"/>
      <c r="Z617" s="673"/>
      <c r="AA617" s="672"/>
      <c r="AB617" s="695"/>
      <c r="AC617" s="673"/>
      <c r="AD617" s="673"/>
      <c r="AE617" s="673"/>
      <c r="AF617" s="673"/>
      <c r="AG617" s="673"/>
      <c r="AH617" s="673"/>
      <c r="AI617" s="673"/>
      <c r="AJ617" s="673"/>
      <c r="AK617" s="673"/>
      <c r="AL617" s="673"/>
      <c r="AM617" s="673"/>
      <c r="AN617" s="673"/>
      <c r="AO617" s="673"/>
      <c r="AP617" s="673"/>
      <c r="AQ617" s="673"/>
      <c r="AR617" s="673"/>
      <c r="AS617" s="673"/>
      <c r="AT617" s="696"/>
    </row>
    <row r="618" ht="15.75" customHeight="1">
      <c r="A618" s="653"/>
      <c r="B618" s="654"/>
      <c r="C618" s="691"/>
      <c r="D618" s="656"/>
      <c r="E618" s="657"/>
      <c r="F618" s="658"/>
      <c r="G618" s="659"/>
      <c r="H618" s="660"/>
      <c r="I618" s="659"/>
      <c r="J618" s="661"/>
      <c r="K618" s="692"/>
      <c r="L618" s="645"/>
      <c r="M618" s="663"/>
      <c r="N618" s="665"/>
      <c r="O618" s="665"/>
      <c r="P618" s="666"/>
      <c r="Q618" s="667"/>
      <c r="R618" s="668"/>
      <c r="S618" s="693"/>
      <c r="T618" s="694"/>
      <c r="U618" s="694"/>
      <c r="V618" s="693"/>
      <c r="W618" s="693"/>
      <c r="X618" s="693"/>
      <c r="Y618" s="671"/>
      <c r="Z618" s="673"/>
      <c r="AA618" s="672"/>
      <c r="AB618" s="695"/>
      <c r="AC618" s="673"/>
      <c r="AD618" s="673"/>
      <c r="AE618" s="673"/>
      <c r="AF618" s="673"/>
      <c r="AG618" s="673"/>
      <c r="AH618" s="673"/>
      <c r="AI618" s="673"/>
      <c r="AJ618" s="673"/>
      <c r="AK618" s="673"/>
      <c r="AL618" s="673"/>
      <c r="AM618" s="673"/>
      <c r="AN618" s="673"/>
      <c r="AO618" s="673"/>
      <c r="AP618" s="673"/>
      <c r="AQ618" s="673"/>
      <c r="AR618" s="673"/>
      <c r="AS618" s="673"/>
      <c r="AT618" s="696"/>
    </row>
    <row r="619" ht="15.75" customHeight="1">
      <c r="A619" s="653"/>
      <c r="B619" s="654"/>
      <c r="C619" s="691"/>
      <c r="D619" s="656"/>
      <c r="E619" s="657"/>
      <c r="F619" s="658"/>
      <c r="G619" s="659"/>
      <c r="H619" s="660"/>
      <c r="I619" s="659"/>
      <c r="J619" s="661"/>
      <c r="K619" s="692"/>
      <c r="L619" s="645"/>
      <c r="M619" s="663"/>
      <c r="N619" s="665"/>
      <c r="O619" s="665"/>
      <c r="P619" s="666"/>
      <c r="Q619" s="667"/>
      <c r="R619" s="668"/>
      <c r="S619" s="693"/>
      <c r="T619" s="694"/>
      <c r="U619" s="694"/>
      <c r="V619" s="693"/>
      <c r="W619" s="693"/>
      <c r="X619" s="693"/>
      <c r="Y619" s="671"/>
      <c r="Z619" s="673"/>
      <c r="AA619" s="672"/>
      <c r="AB619" s="695"/>
      <c r="AC619" s="673"/>
      <c r="AD619" s="673"/>
      <c r="AE619" s="673"/>
      <c r="AF619" s="673"/>
      <c r="AG619" s="673"/>
      <c r="AH619" s="673"/>
      <c r="AI619" s="673"/>
      <c r="AJ619" s="673"/>
      <c r="AK619" s="673"/>
      <c r="AL619" s="673"/>
      <c r="AM619" s="673"/>
      <c r="AN619" s="673"/>
      <c r="AO619" s="673"/>
      <c r="AP619" s="673"/>
      <c r="AQ619" s="673"/>
      <c r="AR619" s="673"/>
      <c r="AS619" s="673"/>
      <c r="AT619" s="696"/>
    </row>
    <row r="620" ht="15.75" customHeight="1">
      <c r="A620" s="653"/>
      <c r="B620" s="654"/>
      <c r="C620" s="691"/>
      <c r="D620" s="656"/>
      <c r="E620" s="657"/>
      <c r="F620" s="658"/>
      <c r="G620" s="659"/>
      <c r="H620" s="660"/>
      <c r="I620" s="659"/>
      <c r="J620" s="661"/>
      <c r="K620" s="692"/>
      <c r="L620" s="645"/>
      <c r="M620" s="663"/>
      <c r="N620" s="665"/>
      <c r="O620" s="665"/>
      <c r="P620" s="666"/>
      <c r="Q620" s="667"/>
      <c r="R620" s="668"/>
      <c r="S620" s="693"/>
      <c r="T620" s="694"/>
      <c r="U620" s="694"/>
      <c r="V620" s="693"/>
      <c r="W620" s="693"/>
      <c r="X620" s="693"/>
      <c r="Y620" s="671"/>
      <c r="Z620" s="673"/>
      <c r="AA620" s="672"/>
      <c r="AB620" s="695"/>
      <c r="AC620" s="673"/>
      <c r="AD620" s="673"/>
      <c r="AE620" s="673"/>
      <c r="AF620" s="673"/>
      <c r="AG620" s="673"/>
      <c r="AH620" s="673"/>
      <c r="AI620" s="673"/>
      <c r="AJ620" s="673"/>
      <c r="AK620" s="673"/>
      <c r="AL620" s="673"/>
      <c r="AM620" s="673"/>
      <c r="AN620" s="673"/>
      <c r="AO620" s="673"/>
      <c r="AP620" s="673"/>
      <c r="AQ620" s="673"/>
      <c r="AR620" s="673"/>
      <c r="AS620" s="673"/>
      <c r="AT620" s="696"/>
    </row>
    <row r="621" ht="15.75" customHeight="1">
      <c r="A621" s="653"/>
      <c r="B621" s="654"/>
      <c r="C621" s="691"/>
      <c r="D621" s="656"/>
      <c r="E621" s="657"/>
      <c r="F621" s="658"/>
      <c r="G621" s="659"/>
      <c r="H621" s="660"/>
      <c r="I621" s="659"/>
      <c r="J621" s="661"/>
      <c r="K621" s="692"/>
      <c r="L621" s="645"/>
      <c r="M621" s="663"/>
      <c r="N621" s="665"/>
      <c r="O621" s="665"/>
      <c r="P621" s="666"/>
      <c r="Q621" s="667"/>
      <c r="R621" s="668"/>
      <c r="S621" s="693"/>
      <c r="T621" s="694"/>
      <c r="U621" s="694"/>
      <c r="V621" s="693"/>
      <c r="W621" s="693"/>
      <c r="X621" s="693"/>
      <c r="Y621" s="671"/>
      <c r="Z621" s="673"/>
      <c r="AA621" s="672"/>
      <c r="AB621" s="695"/>
      <c r="AC621" s="673"/>
      <c r="AD621" s="673"/>
      <c r="AE621" s="673"/>
      <c r="AF621" s="673"/>
      <c r="AG621" s="673"/>
      <c r="AH621" s="673"/>
      <c r="AI621" s="673"/>
      <c r="AJ621" s="673"/>
      <c r="AK621" s="673"/>
      <c r="AL621" s="673"/>
      <c r="AM621" s="673"/>
      <c r="AN621" s="673"/>
      <c r="AO621" s="673"/>
      <c r="AP621" s="673"/>
      <c r="AQ621" s="673"/>
      <c r="AR621" s="673"/>
      <c r="AS621" s="673"/>
      <c r="AT621" s="696"/>
    </row>
    <row r="622" ht="15.75" customHeight="1">
      <c r="A622" s="653"/>
      <c r="B622" s="654"/>
      <c r="C622" s="691"/>
      <c r="D622" s="656"/>
      <c r="E622" s="657"/>
      <c r="F622" s="658"/>
      <c r="G622" s="659"/>
      <c r="H622" s="660"/>
      <c r="I622" s="659"/>
      <c r="J622" s="661"/>
      <c r="K622" s="692"/>
      <c r="L622" s="645"/>
      <c r="M622" s="663"/>
      <c r="N622" s="665"/>
      <c r="O622" s="665"/>
      <c r="P622" s="666"/>
      <c r="Q622" s="667"/>
      <c r="R622" s="668"/>
      <c r="S622" s="693"/>
      <c r="T622" s="694"/>
      <c r="U622" s="694"/>
      <c r="V622" s="693"/>
      <c r="W622" s="693"/>
      <c r="X622" s="693"/>
      <c r="Y622" s="671"/>
      <c r="Z622" s="673"/>
      <c r="AA622" s="672"/>
      <c r="AB622" s="695"/>
      <c r="AC622" s="673"/>
      <c r="AD622" s="673"/>
      <c r="AE622" s="673"/>
      <c r="AF622" s="673"/>
      <c r="AG622" s="673"/>
      <c r="AH622" s="673"/>
      <c r="AI622" s="673"/>
      <c r="AJ622" s="673"/>
      <c r="AK622" s="673"/>
      <c r="AL622" s="673"/>
      <c r="AM622" s="673"/>
      <c r="AN622" s="673"/>
      <c r="AO622" s="673"/>
      <c r="AP622" s="673"/>
      <c r="AQ622" s="673"/>
      <c r="AR622" s="673"/>
      <c r="AS622" s="673"/>
      <c r="AT622" s="696"/>
    </row>
    <row r="623" ht="15.75" customHeight="1">
      <c r="A623" s="653"/>
      <c r="B623" s="654"/>
      <c r="C623" s="691"/>
      <c r="D623" s="656"/>
      <c r="E623" s="657"/>
      <c r="F623" s="658"/>
      <c r="G623" s="659"/>
      <c r="H623" s="660"/>
      <c r="I623" s="659"/>
      <c r="J623" s="661"/>
      <c r="K623" s="692"/>
      <c r="L623" s="645"/>
      <c r="M623" s="663"/>
      <c r="N623" s="665"/>
      <c r="O623" s="665"/>
      <c r="P623" s="666"/>
      <c r="Q623" s="667"/>
      <c r="R623" s="668"/>
      <c r="S623" s="693"/>
      <c r="T623" s="694"/>
      <c r="U623" s="694"/>
      <c r="V623" s="693"/>
      <c r="W623" s="693"/>
      <c r="X623" s="693"/>
      <c r="Y623" s="671"/>
      <c r="Z623" s="673"/>
      <c r="AA623" s="672"/>
      <c r="AB623" s="695"/>
      <c r="AC623" s="673"/>
      <c r="AD623" s="673"/>
      <c r="AE623" s="673"/>
      <c r="AF623" s="673"/>
      <c r="AG623" s="673"/>
      <c r="AH623" s="673"/>
      <c r="AI623" s="673"/>
      <c r="AJ623" s="673"/>
      <c r="AK623" s="673"/>
      <c r="AL623" s="673"/>
      <c r="AM623" s="673"/>
      <c r="AN623" s="673"/>
      <c r="AO623" s="673"/>
      <c r="AP623" s="673"/>
      <c r="AQ623" s="673"/>
      <c r="AR623" s="673"/>
      <c r="AS623" s="673"/>
      <c r="AT623" s="696"/>
    </row>
    <row r="624" ht="15.75" customHeight="1">
      <c r="A624" s="653"/>
      <c r="B624" s="654"/>
      <c r="C624" s="691"/>
      <c r="D624" s="656"/>
      <c r="E624" s="657"/>
      <c r="F624" s="658"/>
      <c r="G624" s="659"/>
      <c r="H624" s="660"/>
      <c r="I624" s="659"/>
      <c r="J624" s="661"/>
      <c r="K624" s="692"/>
      <c r="L624" s="645"/>
      <c r="M624" s="663"/>
      <c r="N624" s="665"/>
      <c r="O624" s="665"/>
      <c r="P624" s="666"/>
      <c r="Q624" s="667"/>
      <c r="R624" s="668"/>
      <c r="S624" s="693"/>
      <c r="T624" s="694"/>
      <c r="U624" s="694"/>
      <c r="V624" s="693"/>
      <c r="W624" s="693"/>
      <c r="X624" s="693"/>
      <c r="Y624" s="671"/>
      <c r="Z624" s="673"/>
      <c r="AA624" s="672"/>
      <c r="AB624" s="695"/>
      <c r="AC624" s="673"/>
      <c r="AD624" s="673"/>
      <c r="AE624" s="673"/>
      <c r="AF624" s="673"/>
      <c r="AG624" s="673"/>
      <c r="AH624" s="673"/>
      <c r="AI624" s="673"/>
      <c r="AJ624" s="673"/>
      <c r="AK624" s="673"/>
      <c r="AL624" s="673"/>
      <c r="AM624" s="673"/>
      <c r="AN624" s="673"/>
      <c r="AO624" s="673"/>
      <c r="AP624" s="673"/>
      <c r="AQ624" s="673"/>
      <c r="AR624" s="673"/>
      <c r="AS624" s="673"/>
      <c r="AT624" s="696"/>
    </row>
    <row r="625" ht="15.75" customHeight="1">
      <c r="A625" s="653"/>
      <c r="B625" s="654"/>
      <c r="C625" s="691"/>
      <c r="D625" s="656"/>
      <c r="E625" s="657"/>
      <c r="F625" s="658"/>
      <c r="G625" s="659"/>
      <c r="H625" s="660"/>
      <c r="I625" s="659"/>
      <c r="J625" s="661"/>
      <c r="K625" s="692"/>
      <c r="L625" s="645"/>
      <c r="M625" s="663"/>
      <c r="N625" s="665"/>
      <c r="O625" s="665"/>
      <c r="P625" s="666"/>
      <c r="Q625" s="667"/>
      <c r="R625" s="668"/>
      <c r="S625" s="693"/>
      <c r="T625" s="694"/>
      <c r="U625" s="694"/>
      <c r="V625" s="693"/>
      <c r="W625" s="693"/>
      <c r="X625" s="693"/>
      <c r="Y625" s="671"/>
      <c r="Z625" s="673"/>
      <c r="AA625" s="672"/>
      <c r="AB625" s="695"/>
      <c r="AC625" s="673"/>
      <c r="AD625" s="673"/>
      <c r="AE625" s="673"/>
      <c r="AF625" s="673"/>
      <c r="AG625" s="673"/>
      <c r="AH625" s="673"/>
      <c r="AI625" s="673"/>
      <c r="AJ625" s="673"/>
      <c r="AK625" s="673"/>
      <c r="AL625" s="673"/>
      <c r="AM625" s="673"/>
      <c r="AN625" s="673"/>
      <c r="AO625" s="673"/>
      <c r="AP625" s="673"/>
      <c r="AQ625" s="673"/>
      <c r="AR625" s="673"/>
      <c r="AS625" s="673"/>
      <c r="AT625" s="696"/>
    </row>
    <row r="626" ht="15.75" customHeight="1">
      <c r="A626" s="653"/>
      <c r="B626" s="654"/>
      <c r="C626" s="691"/>
      <c r="D626" s="656"/>
      <c r="E626" s="657"/>
      <c r="F626" s="658"/>
      <c r="G626" s="659"/>
      <c r="H626" s="660"/>
      <c r="I626" s="659"/>
      <c r="J626" s="661"/>
      <c r="K626" s="692"/>
      <c r="L626" s="645"/>
      <c r="M626" s="663"/>
      <c r="N626" s="665"/>
      <c r="O626" s="665"/>
      <c r="P626" s="666"/>
      <c r="Q626" s="667"/>
      <c r="R626" s="668"/>
      <c r="S626" s="693"/>
      <c r="T626" s="694"/>
      <c r="U626" s="694"/>
      <c r="V626" s="693"/>
      <c r="W626" s="693"/>
      <c r="X626" s="693"/>
      <c r="Y626" s="671"/>
      <c r="Z626" s="673"/>
      <c r="AA626" s="672"/>
      <c r="AB626" s="695"/>
      <c r="AC626" s="673"/>
      <c r="AD626" s="673"/>
      <c r="AE626" s="673"/>
      <c r="AF626" s="673"/>
      <c r="AG626" s="673"/>
      <c r="AH626" s="673"/>
      <c r="AI626" s="673"/>
      <c r="AJ626" s="673"/>
      <c r="AK626" s="673"/>
      <c r="AL626" s="673"/>
      <c r="AM626" s="673"/>
      <c r="AN626" s="673"/>
      <c r="AO626" s="673"/>
      <c r="AP626" s="673"/>
      <c r="AQ626" s="673"/>
      <c r="AR626" s="673"/>
      <c r="AS626" s="673"/>
      <c r="AT626" s="696"/>
    </row>
    <row r="627" ht="15.75" customHeight="1">
      <c r="A627" s="653"/>
      <c r="B627" s="654"/>
      <c r="C627" s="691"/>
      <c r="D627" s="656"/>
      <c r="E627" s="657"/>
      <c r="F627" s="658"/>
      <c r="G627" s="659"/>
      <c r="H627" s="660"/>
      <c r="I627" s="659"/>
      <c r="J627" s="661"/>
      <c r="K627" s="692"/>
      <c r="L627" s="645"/>
      <c r="M627" s="663"/>
      <c r="N627" s="665"/>
      <c r="O627" s="665"/>
      <c r="P627" s="666"/>
      <c r="Q627" s="667"/>
      <c r="R627" s="668"/>
      <c r="S627" s="693"/>
      <c r="T627" s="694"/>
      <c r="U627" s="694"/>
      <c r="V627" s="693"/>
      <c r="W627" s="693"/>
      <c r="X627" s="693"/>
      <c r="Y627" s="671"/>
      <c r="Z627" s="673"/>
      <c r="AA627" s="672"/>
      <c r="AB627" s="695"/>
      <c r="AC627" s="673"/>
      <c r="AD627" s="673"/>
      <c r="AE627" s="673"/>
      <c r="AF627" s="673"/>
      <c r="AG627" s="673"/>
      <c r="AH627" s="673"/>
      <c r="AI627" s="673"/>
      <c r="AJ627" s="673"/>
      <c r="AK627" s="673"/>
      <c r="AL627" s="673"/>
      <c r="AM627" s="673"/>
      <c r="AN627" s="673"/>
      <c r="AO627" s="673"/>
      <c r="AP627" s="673"/>
      <c r="AQ627" s="673"/>
      <c r="AR627" s="673"/>
      <c r="AS627" s="673"/>
      <c r="AT627" s="696"/>
    </row>
    <row r="628" ht="15.75" customHeight="1">
      <c r="A628" s="653"/>
      <c r="B628" s="654"/>
      <c r="C628" s="691"/>
      <c r="D628" s="656"/>
      <c r="E628" s="657"/>
      <c r="F628" s="658"/>
      <c r="G628" s="659"/>
      <c r="H628" s="660"/>
      <c r="I628" s="659"/>
      <c r="J628" s="661"/>
      <c r="K628" s="692"/>
      <c r="L628" s="645"/>
      <c r="M628" s="663"/>
      <c r="N628" s="665"/>
      <c r="O628" s="665"/>
      <c r="P628" s="666"/>
      <c r="Q628" s="667"/>
      <c r="R628" s="668"/>
      <c r="S628" s="693"/>
      <c r="T628" s="694"/>
      <c r="U628" s="694"/>
      <c r="V628" s="693"/>
      <c r="W628" s="693"/>
      <c r="X628" s="693"/>
      <c r="Y628" s="671"/>
      <c r="Z628" s="673"/>
      <c r="AA628" s="672"/>
      <c r="AB628" s="695"/>
      <c r="AC628" s="673"/>
      <c r="AD628" s="673"/>
      <c r="AE628" s="673"/>
      <c r="AF628" s="673"/>
      <c r="AG628" s="673"/>
      <c r="AH628" s="673"/>
      <c r="AI628" s="673"/>
      <c r="AJ628" s="673"/>
      <c r="AK628" s="673"/>
      <c r="AL628" s="673"/>
      <c r="AM628" s="673"/>
      <c r="AN628" s="673"/>
      <c r="AO628" s="673"/>
      <c r="AP628" s="673"/>
      <c r="AQ628" s="673"/>
      <c r="AR628" s="673"/>
      <c r="AS628" s="673"/>
      <c r="AT628" s="696"/>
    </row>
    <row r="629" ht="15.75" customHeight="1">
      <c r="A629" s="653"/>
      <c r="B629" s="654"/>
      <c r="C629" s="691"/>
      <c r="D629" s="656"/>
      <c r="E629" s="657"/>
      <c r="F629" s="658"/>
      <c r="G629" s="659"/>
      <c r="H629" s="660"/>
      <c r="I629" s="659"/>
      <c r="J629" s="661"/>
      <c r="K629" s="692"/>
      <c r="L629" s="645"/>
      <c r="M629" s="663"/>
      <c r="N629" s="665"/>
      <c r="O629" s="665"/>
      <c r="P629" s="666"/>
      <c r="Q629" s="667"/>
      <c r="R629" s="668"/>
      <c r="S629" s="693"/>
      <c r="T629" s="694"/>
      <c r="U629" s="694"/>
      <c r="V629" s="693"/>
      <c r="W629" s="693"/>
      <c r="X629" s="693"/>
      <c r="Y629" s="671"/>
      <c r="Z629" s="673"/>
      <c r="AA629" s="672"/>
      <c r="AB629" s="695"/>
      <c r="AC629" s="673"/>
      <c r="AD629" s="673"/>
      <c r="AE629" s="673"/>
      <c r="AF629" s="673"/>
      <c r="AG629" s="673"/>
      <c r="AH629" s="673"/>
      <c r="AI629" s="673"/>
      <c r="AJ629" s="673"/>
      <c r="AK629" s="673"/>
      <c r="AL629" s="673"/>
      <c r="AM629" s="673"/>
      <c r="AN629" s="673"/>
      <c r="AO629" s="673"/>
      <c r="AP629" s="673"/>
      <c r="AQ629" s="673"/>
      <c r="AR629" s="673"/>
      <c r="AS629" s="673"/>
      <c r="AT629" s="696"/>
    </row>
    <row r="630" ht="15.75" customHeight="1">
      <c r="A630" s="653"/>
      <c r="B630" s="654"/>
      <c r="C630" s="691"/>
      <c r="D630" s="656"/>
      <c r="E630" s="657"/>
      <c r="F630" s="658"/>
      <c r="G630" s="659"/>
      <c r="H630" s="660"/>
      <c r="I630" s="659"/>
      <c r="J630" s="661"/>
      <c r="K630" s="692"/>
      <c r="L630" s="645"/>
      <c r="M630" s="663"/>
      <c r="N630" s="665"/>
      <c r="O630" s="665"/>
      <c r="P630" s="666"/>
      <c r="Q630" s="667"/>
      <c r="R630" s="668"/>
      <c r="S630" s="693"/>
      <c r="T630" s="694"/>
      <c r="U630" s="694"/>
      <c r="V630" s="693"/>
      <c r="W630" s="693"/>
      <c r="X630" s="693"/>
      <c r="Y630" s="671"/>
      <c r="Z630" s="673"/>
      <c r="AA630" s="672"/>
      <c r="AB630" s="695"/>
      <c r="AC630" s="673"/>
      <c r="AD630" s="673"/>
      <c r="AE630" s="673"/>
      <c r="AF630" s="673"/>
      <c r="AG630" s="673"/>
      <c r="AH630" s="673"/>
      <c r="AI630" s="673"/>
      <c r="AJ630" s="673"/>
      <c r="AK630" s="673"/>
      <c r="AL630" s="673"/>
      <c r="AM630" s="673"/>
      <c r="AN630" s="673"/>
      <c r="AO630" s="673"/>
      <c r="AP630" s="673"/>
      <c r="AQ630" s="673"/>
      <c r="AR630" s="673"/>
      <c r="AS630" s="673"/>
      <c r="AT630" s="696"/>
    </row>
    <row r="631" ht="15.75" customHeight="1">
      <c r="A631" s="653"/>
      <c r="B631" s="654"/>
      <c r="C631" s="691"/>
      <c r="D631" s="656"/>
      <c r="E631" s="657"/>
      <c r="F631" s="658"/>
      <c r="G631" s="659"/>
      <c r="H631" s="660"/>
      <c r="I631" s="659"/>
      <c r="J631" s="661"/>
      <c r="K631" s="692"/>
      <c r="L631" s="645"/>
      <c r="M631" s="663"/>
      <c r="N631" s="665"/>
      <c r="O631" s="665"/>
      <c r="P631" s="666"/>
      <c r="Q631" s="667"/>
      <c r="R631" s="668"/>
      <c r="S631" s="693"/>
      <c r="T631" s="694"/>
      <c r="U631" s="694"/>
      <c r="V631" s="693"/>
      <c r="W631" s="693"/>
      <c r="X631" s="693"/>
      <c r="Y631" s="671"/>
      <c r="Z631" s="673"/>
      <c r="AA631" s="672"/>
      <c r="AB631" s="695"/>
      <c r="AC631" s="673"/>
      <c r="AD631" s="673"/>
      <c r="AE631" s="673"/>
      <c r="AF631" s="673"/>
      <c r="AG631" s="673"/>
      <c r="AH631" s="673"/>
      <c r="AI631" s="673"/>
      <c r="AJ631" s="673"/>
      <c r="AK631" s="673"/>
      <c r="AL631" s="673"/>
      <c r="AM631" s="673"/>
      <c r="AN631" s="673"/>
      <c r="AO631" s="673"/>
      <c r="AP631" s="673"/>
      <c r="AQ631" s="673"/>
      <c r="AR631" s="673"/>
      <c r="AS631" s="673"/>
      <c r="AT631" s="696"/>
    </row>
    <row r="632" ht="15.75" customHeight="1">
      <c r="A632" s="653"/>
      <c r="B632" s="654"/>
      <c r="C632" s="691"/>
      <c r="D632" s="656"/>
      <c r="E632" s="657"/>
      <c r="F632" s="658"/>
      <c r="G632" s="659"/>
      <c r="H632" s="660"/>
      <c r="I632" s="659"/>
      <c r="J632" s="661"/>
      <c r="K632" s="692"/>
      <c r="L632" s="645"/>
      <c r="M632" s="663"/>
      <c r="N632" s="665"/>
      <c r="O632" s="665"/>
      <c r="P632" s="666"/>
      <c r="Q632" s="667"/>
      <c r="R632" s="668"/>
      <c r="S632" s="693"/>
      <c r="T632" s="694"/>
      <c r="U632" s="694"/>
      <c r="V632" s="693"/>
      <c r="W632" s="693"/>
      <c r="X632" s="693"/>
      <c r="Y632" s="671"/>
      <c r="Z632" s="673"/>
      <c r="AA632" s="672"/>
      <c r="AB632" s="695"/>
      <c r="AC632" s="673"/>
      <c r="AD632" s="673"/>
      <c r="AE632" s="673"/>
      <c r="AF632" s="673"/>
      <c r="AG632" s="673"/>
      <c r="AH632" s="673"/>
      <c r="AI632" s="673"/>
      <c r="AJ632" s="673"/>
      <c r="AK632" s="673"/>
      <c r="AL632" s="673"/>
      <c r="AM632" s="673"/>
      <c r="AN632" s="673"/>
      <c r="AO632" s="673"/>
      <c r="AP632" s="673"/>
      <c r="AQ632" s="673"/>
      <c r="AR632" s="673"/>
      <c r="AS632" s="673"/>
      <c r="AT632" s="696"/>
    </row>
    <row r="633" ht="15.75" customHeight="1">
      <c r="A633" s="653"/>
      <c r="B633" s="654"/>
      <c r="C633" s="691"/>
      <c r="D633" s="656"/>
      <c r="E633" s="657"/>
      <c r="F633" s="658"/>
      <c r="G633" s="659"/>
      <c r="H633" s="660"/>
      <c r="I633" s="659"/>
      <c r="J633" s="661"/>
      <c r="K633" s="692"/>
      <c r="L633" s="645"/>
      <c r="M633" s="663"/>
      <c r="N633" s="665"/>
      <c r="O633" s="665"/>
      <c r="P633" s="666"/>
      <c r="Q633" s="667"/>
      <c r="R633" s="668"/>
      <c r="S633" s="693"/>
      <c r="T633" s="694"/>
      <c r="U633" s="694"/>
      <c r="V633" s="693"/>
      <c r="W633" s="693"/>
      <c r="X633" s="693"/>
      <c r="Y633" s="671"/>
      <c r="Z633" s="673"/>
      <c r="AA633" s="672"/>
      <c r="AB633" s="695"/>
      <c r="AC633" s="673"/>
      <c r="AD633" s="673"/>
      <c r="AE633" s="673"/>
      <c r="AF633" s="673"/>
      <c r="AG633" s="673"/>
      <c r="AH633" s="673"/>
      <c r="AI633" s="673"/>
      <c r="AJ633" s="673"/>
      <c r="AK633" s="673"/>
      <c r="AL633" s="673"/>
      <c r="AM633" s="673"/>
      <c r="AN633" s="673"/>
      <c r="AO633" s="673"/>
      <c r="AP633" s="673"/>
      <c r="AQ633" s="673"/>
      <c r="AR633" s="673"/>
      <c r="AS633" s="673"/>
      <c r="AT633" s="696"/>
    </row>
    <row r="634" ht="15.75" customHeight="1">
      <c r="A634" s="653"/>
      <c r="B634" s="654"/>
      <c r="C634" s="691"/>
      <c r="D634" s="656"/>
      <c r="E634" s="657"/>
      <c r="F634" s="658"/>
      <c r="G634" s="659"/>
      <c r="H634" s="660"/>
      <c r="I634" s="659"/>
      <c r="J634" s="661"/>
      <c r="K634" s="692"/>
      <c r="L634" s="645"/>
      <c r="M634" s="663"/>
      <c r="N634" s="665"/>
      <c r="O634" s="665"/>
      <c r="P634" s="666"/>
      <c r="Q634" s="667"/>
      <c r="R634" s="668"/>
      <c r="S634" s="693"/>
      <c r="T634" s="694"/>
      <c r="U634" s="694"/>
      <c r="V634" s="693"/>
      <c r="W634" s="693"/>
      <c r="X634" s="693"/>
      <c r="Y634" s="671"/>
      <c r="Z634" s="673"/>
      <c r="AA634" s="672"/>
      <c r="AB634" s="695"/>
      <c r="AC634" s="673"/>
      <c r="AD634" s="673"/>
      <c r="AE634" s="673"/>
      <c r="AF634" s="673"/>
      <c r="AG634" s="673"/>
      <c r="AH634" s="673"/>
      <c r="AI634" s="673"/>
      <c r="AJ634" s="673"/>
      <c r="AK634" s="673"/>
      <c r="AL634" s="673"/>
      <c r="AM634" s="673"/>
      <c r="AN634" s="673"/>
      <c r="AO634" s="673"/>
      <c r="AP634" s="673"/>
      <c r="AQ634" s="673"/>
      <c r="AR634" s="673"/>
      <c r="AS634" s="673"/>
      <c r="AT634" s="696"/>
    </row>
    <row r="635" ht="15.75" customHeight="1">
      <c r="A635" s="653"/>
      <c r="B635" s="654"/>
      <c r="C635" s="691"/>
      <c r="D635" s="656"/>
      <c r="E635" s="657"/>
      <c r="F635" s="658"/>
      <c r="G635" s="659"/>
      <c r="H635" s="660"/>
      <c r="I635" s="659"/>
      <c r="J635" s="661"/>
      <c r="K635" s="692"/>
      <c r="L635" s="645"/>
      <c r="M635" s="663"/>
      <c r="N635" s="665"/>
      <c r="O635" s="665"/>
      <c r="P635" s="666"/>
      <c r="Q635" s="667"/>
      <c r="R635" s="668"/>
      <c r="S635" s="693"/>
      <c r="T635" s="694"/>
      <c r="U635" s="694"/>
      <c r="V635" s="693"/>
      <c r="W635" s="693"/>
      <c r="X635" s="693"/>
      <c r="Y635" s="671"/>
      <c r="Z635" s="673"/>
      <c r="AA635" s="672"/>
      <c r="AB635" s="695"/>
      <c r="AC635" s="673"/>
      <c r="AD635" s="673"/>
      <c r="AE635" s="673"/>
      <c r="AF635" s="673"/>
      <c r="AG635" s="673"/>
      <c r="AH635" s="673"/>
      <c r="AI635" s="673"/>
      <c r="AJ635" s="673"/>
      <c r="AK635" s="673"/>
      <c r="AL635" s="673"/>
      <c r="AM635" s="673"/>
      <c r="AN635" s="673"/>
      <c r="AO635" s="673"/>
      <c r="AP635" s="673"/>
      <c r="AQ635" s="673"/>
      <c r="AR635" s="673"/>
      <c r="AS635" s="673"/>
      <c r="AT635" s="696"/>
    </row>
    <row r="636" ht="15.75" customHeight="1">
      <c r="A636" s="653"/>
      <c r="B636" s="654"/>
      <c r="C636" s="691"/>
      <c r="D636" s="656"/>
      <c r="E636" s="657"/>
      <c r="F636" s="658"/>
      <c r="G636" s="659"/>
      <c r="H636" s="660"/>
      <c r="I636" s="659"/>
      <c r="J636" s="661"/>
      <c r="K636" s="692"/>
      <c r="L636" s="645"/>
      <c r="M636" s="663"/>
      <c r="N636" s="665"/>
      <c r="O636" s="665"/>
      <c r="P636" s="666"/>
      <c r="Q636" s="667"/>
      <c r="R636" s="668"/>
      <c r="S636" s="693"/>
      <c r="T636" s="694"/>
      <c r="U636" s="694"/>
      <c r="V636" s="693"/>
      <c r="W636" s="693"/>
      <c r="X636" s="693"/>
      <c r="Y636" s="671"/>
      <c r="Z636" s="673"/>
      <c r="AA636" s="672"/>
      <c r="AB636" s="695"/>
      <c r="AC636" s="673"/>
      <c r="AD636" s="673"/>
      <c r="AE636" s="673"/>
      <c r="AF636" s="673"/>
      <c r="AG636" s="673"/>
      <c r="AH636" s="673"/>
      <c r="AI636" s="673"/>
      <c r="AJ636" s="673"/>
      <c r="AK636" s="673"/>
      <c r="AL636" s="673"/>
      <c r="AM636" s="673"/>
      <c r="AN636" s="673"/>
      <c r="AO636" s="673"/>
      <c r="AP636" s="673"/>
      <c r="AQ636" s="673"/>
      <c r="AR636" s="673"/>
      <c r="AS636" s="673"/>
      <c r="AT636" s="696"/>
    </row>
    <row r="637" ht="15.75" customHeight="1">
      <c r="A637" s="653"/>
      <c r="B637" s="654"/>
      <c r="C637" s="691"/>
      <c r="D637" s="656"/>
      <c r="E637" s="657"/>
      <c r="F637" s="658"/>
      <c r="G637" s="659"/>
      <c r="H637" s="660"/>
      <c r="I637" s="659"/>
      <c r="J637" s="661"/>
      <c r="K637" s="692"/>
      <c r="L637" s="645"/>
      <c r="M637" s="663"/>
      <c r="N637" s="665"/>
      <c r="O637" s="665"/>
      <c r="P637" s="666"/>
      <c r="Q637" s="667"/>
      <c r="R637" s="668"/>
      <c r="S637" s="693"/>
      <c r="T637" s="694"/>
      <c r="U637" s="694"/>
      <c r="V637" s="693"/>
      <c r="W637" s="693"/>
      <c r="X637" s="693"/>
      <c r="Y637" s="671"/>
      <c r="Z637" s="673"/>
      <c r="AA637" s="672"/>
      <c r="AB637" s="695"/>
      <c r="AC637" s="673"/>
      <c r="AD637" s="673"/>
      <c r="AE637" s="673"/>
      <c r="AF637" s="673"/>
      <c r="AG637" s="673"/>
      <c r="AH637" s="673"/>
      <c r="AI637" s="673"/>
      <c r="AJ637" s="673"/>
      <c r="AK637" s="673"/>
      <c r="AL637" s="673"/>
      <c r="AM637" s="673"/>
      <c r="AN637" s="673"/>
      <c r="AO637" s="673"/>
      <c r="AP637" s="673"/>
      <c r="AQ637" s="673"/>
      <c r="AR637" s="673"/>
      <c r="AS637" s="673"/>
      <c r="AT637" s="696"/>
    </row>
    <row r="638" ht="15.75" customHeight="1">
      <c r="A638" s="653"/>
      <c r="B638" s="654"/>
      <c r="C638" s="691"/>
      <c r="D638" s="656"/>
      <c r="E638" s="657"/>
      <c r="F638" s="658"/>
      <c r="G638" s="659"/>
      <c r="H638" s="660"/>
      <c r="I638" s="659"/>
      <c r="J638" s="661"/>
      <c r="K638" s="692"/>
      <c r="L638" s="645"/>
      <c r="M638" s="663"/>
      <c r="N638" s="665"/>
      <c r="O638" s="665"/>
      <c r="P638" s="666"/>
      <c r="Q638" s="667"/>
      <c r="R638" s="668"/>
      <c r="S638" s="693"/>
      <c r="T638" s="694"/>
      <c r="U638" s="694"/>
      <c r="V638" s="693"/>
      <c r="W638" s="693"/>
      <c r="X638" s="693"/>
      <c r="Y638" s="671"/>
      <c r="Z638" s="673"/>
      <c r="AA638" s="672"/>
      <c r="AB638" s="695"/>
      <c r="AC638" s="673"/>
      <c r="AD638" s="673"/>
      <c r="AE638" s="673"/>
      <c r="AF638" s="673"/>
      <c r="AG638" s="673"/>
      <c r="AH638" s="673"/>
      <c r="AI638" s="673"/>
      <c r="AJ638" s="673"/>
      <c r="AK638" s="673"/>
      <c r="AL638" s="673"/>
      <c r="AM638" s="673"/>
      <c r="AN638" s="673"/>
      <c r="AO638" s="673"/>
      <c r="AP638" s="673"/>
      <c r="AQ638" s="673"/>
      <c r="AR638" s="673"/>
      <c r="AS638" s="673"/>
      <c r="AT638" s="696"/>
    </row>
    <row r="639" ht="15.75" customHeight="1">
      <c r="A639" s="653"/>
      <c r="B639" s="654"/>
      <c r="C639" s="691"/>
      <c r="D639" s="656"/>
      <c r="E639" s="657"/>
      <c r="F639" s="658"/>
      <c r="G639" s="659"/>
      <c r="H639" s="660"/>
      <c r="I639" s="659"/>
      <c r="J639" s="661"/>
      <c r="K639" s="692"/>
      <c r="L639" s="645"/>
      <c r="M639" s="663"/>
      <c r="N639" s="665"/>
      <c r="O639" s="665"/>
      <c r="P639" s="666"/>
      <c r="Q639" s="667"/>
      <c r="R639" s="668"/>
      <c r="S639" s="693"/>
      <c r="T639" s="694"/>
      <c r="U639" s="694"/>
      <c r="V639" s="693"/>
      <c r="W639" s="693"/>
      <c r="X639" s="693"/>
      <c r="Y639" s="671"/>
      <c r="Z639" s="673"/>
      <c r="AA639" s="672"/>
      <c r="AB639" s="695"/>
      <c r="AC639" s="673"/>
      <c r="AD639" s="673"/>
      <c r="AE639" s="673"/>
      <c r="AF639" s="673"/>
      <c r="AG639" s="673"/>
      <c r="AH639" s="673"/>
      <c r="AI639" s="673"/>
      <c r="AJ639" s="673"/>
      <c r="AK639" s="673"/>
      <c r="AL639" s="673"/>
      <c r="AM639" s="673"/>
      <c r="AN639" s="673"/>
      <c r="AO639" s="673"/>
      <c r="AP639" s="673"/>
      <c r="AQ639" s="673"/>
      <c r="AR639" s="673"/>
      <c r="AS639" s="673"/>
      <c r="AT639" s="696"/>
    </row>
    <row r="640" ht="15.75" customHeight="1">
      <c r="A640" s="653"/>
      <c r="B640" s="654"/>
      <c r="C640" s="691"/>
      <c r="D640" s="656"/>
      <c r="E640" s="657"/>
      <c r="F640" s="658"/>
      <c r="G640" s="659"/>
      <c r="H640" s="660"/>
      <c r="I640" s="659"/>
      <c r="J640" s="661"/>
      <c r="K640" s="692"/>
      <c r="L640" s="645"/>
      <c r="M640" s="663"/>
      <c r="N640" s="665"/>
      <c r="O640" s="665"/>
      <c r="P640" s="666"/>
      <c r="Q640" s="667"/>
      <c r="R640" s="668"/>
      <c r="S640" s="693"/>
      <c r="T640" s="694"/>
      <c r="U640" s="694"/>
      <c r="V640" s="693"/>
      <c r="W640" s="693"/>
      <c r="X640" s="693"/>
      <c r="Y640" s="671"/>
      <c r="Z640" s="673"/>
      <c r="AA640" s="672"/>
      <c r="AB640" s="695"/>
      <c r="AC640" s="673"/>
      <c r="AD640" s="673"/>
      <c r="AE640" s="673"/>
      <c r="AF640" s="673"/>
      <c r="AG640" s="673"/>
      <c r="AH640" s="673"/>
      <c r="AI640" s="673"/>
      <c r="AJ640" s="673"/>
      <c r="AK640" s="673"/>
      <c r="AL640" s="673"/>
      <c r="AM640" s="673"/>
      <c r="AN640" s="673"/>
      <c r="AO640" s="673"/>
      <c r="AP640" s="673"/>
      <c r="AQ640" s="673"/>
      <c r="AR640" s="673"/>
      <c r="AS640" s="673"/>
      <c r="AT640" s="696"/>
    </row>
    <row r="641" ht="15.75" customHeight="1">
      <c r="A641" s="653"/>
      <c r="B641" s="654"/>
      <c r="C641" s="691"/>
      <c r="D641" s="656"/>
      <c r="E641" s="657"/>
      <c r="F641" s="658"/>
      <c r="G641" s="659"/>
      <c r="H641" s="660"/>
      <c r="I641" s="659"/>
      <c r="J641" s="661"/>
      <c r="K641" s="692"/>
      <c r="L641" s="645"/>
      <c r="M641" s="663"/>
      <c r="N641" s="665"/>
      <c r="O641" s="665"/>
      <c r="P641" s="666"/>
      <c r="Q641" s="667"/>
      <c r="R641" s="668"/>
      <c r="S641" s="693"/>
      <c r="T641" s="694"/>
      <c r="U641" s="694"/>
      <c r="V641" s="693"/>
      <c r="W641" s="693"/>
      <c r="X641" s="693"/>
      <c r="Y641" s="671"/>
      <c r="Z641" s="673"/>
      <c r="AA641" s="672"/>
      <c r="AB641" s="695"/>
      <c r="AC641" s="673"/>
      <c r="AD641" s="673"/>
      <c r="AE641" s="673"/>
      <c r="AF641" s="673"/>
      <c r="AG641" s="673"/>
      <c r="AH641" s="673"/>
      <c r="AI641" s="673"/>
      <c r="AJ641" s="673"/>
      <c r="AK641" s="673"/>
      <c r="AL641" s="673"/>
      <c r="AM641" s="673"/>
      <c r="AN641" s="673"/>
      <c r="AO641" s="673"/>
      <c r="AP641" s="673"/>
      <c r="AQ641" s="673"/>
      <c r="AR641" s="673"/>
      <c r="AS641" s="673"/>
      <c r="AT641" s="696"/>
    </row>
    <row r="642" ht="15.75" customHeight="1">
      <c r="A642" s="653"/>
      <c r="B642" s="654"/>
      <c r="C642" s="691"/>
      <c r="D642" s="656"/>
      <c r="E642" s="657"/>
      <c r="F642" s="658"/>
      <c r="G642" s="659"/>
      <c r="H642" s="660"/>
      <c r="I642" s="659"/>
      <c r="J642" s="661"/>
      <c r="K642" s="692"/>
      <c r="L642" s="645"/>
      <c r="M642" s="663"/>
      <c r="N642" s="665"/>
      <c r="O642" s="665"/>
      <c r="P642" s="666"/>
      <c r="Q642" s="667"/>
      <c r="R642" s="668"/>
      <c r="S642" s="693"/>
      <c r="T642" s="694"/>
      <c r="U642" s="694"/>
      <c r="V642" s="693"/>
      <c r="W642" s="693"/>
      <c r="X642" s="693"/>
      <c r="Y642" s="671"/>
      <c r="Z642" s="673"/>
      <c r="AA642" s="672"/>
      <c r="AB642" s="695"/>
      <c r="AC642" s="673"/>
      <c r="AD642" s="673"/>
      <c r="AE642" s="673"/>
      <c r="AF642" s="673"/>
      <c r="AG642" s="673"/>
      <c r="AH642" s="673"/>
      <c r="AI642" s="673"/>
      <c r="AJ642" s="673"/>
      <c r="AK642" s="673"/>
      <c r="AL642" s="673"/>
      <c r="AM642" s="673"/>
      <c r="AN642" s="673"/>
      <c r="AO642" s="673"/>
      <c r="AP642" s="673"/>
      <c r="AQ642" s="673"/>
      <c r="AR642" s="673"/>
      <c r="AS642" s="673"/>
      <c r="AT642" s="696"/>
    </row>
    <row r="643" ht="15.75" customHeight="1">
      <c r="A643" s="653"/>
      <c r="B643" s="654"/>
      <c r="C643" s="691"/>
      <c r="D643" s="656"/>
      <c r="E643" s="657"/>
      <c r="F643" s="658"/>
      <c r="G643" s="659"/>
      <c r="H643" s="660"/>
      <c r="I643" s="659"/>
      <c r="J643" s="661"/>
      <c r="K643" s="692"/>
      <c r="L643" s="645"/>
      <c r="M643" s="663"/>
      <c r="N643" s="665"/>
      <c r="O643" s="665"/>
      <c r="P643" s="666"/>
      <c r="Q643" s="667"/>
      <c r="R643" s="668"/>
      <c r="S643" s="693"/>
      <c r="T643" s="694"/>
      <c r="U643" s="694"/>
      <c r="V643" s="693"/>
      <c r="W643" s="693"/>
      <c r="X643" s="693"/>
      <c r="Y643" s="671"/>
      <c r="Z643" s="673"/>
      <c r="AA643" s="672"/>
      <c r="AB643" s="695"/>
      <c r="AC643" s="673"/>
      <c r="AD643" s="673"/>
      <c r="AE643" s="673"/>
      <c r="AF643" s="673"/>
      <c r="AG643" s="673"/>
      <c r="AH643" s="673"/>
      <c r="AI643" s="673"/>
      <c r="AJ643" s="673"/>
      <c r="AK643" s="673"/>
      <c r="AL643" s="673"/>
      <c r="AM643" s="673"/>
      <c r="AN643" s="673"/>
      <c r="AO643" s="673"/>
      <c r="AP643" s="673"/>
      <c r="AQ643" s="673"/>
      <c r="AR643" s="673"/>
      <c r="AS643" s="673"/>
      <c r="AT643" s="696"/>
    </row>
    <row r="644" ht="15.75" customHeight="1">
      <c r="A644" s="653"/>
      <c r="B644" s="654"/>
      <c r="C644" s="691"/>
      <c r="D644" s="656"/>
      <c r="E644" s="657"/>
      <c r="F644" s="658"/>
      <c r="G644" s="659"/>
      <c r="H644" s="660"/>
      <c r="I644" s="659"/>
      <c r="J644" s="661"/>
      <c r="K644" s="692"/>
      <c r="L644" s="645"/>
      <c r="M644" s="663"/>
      <c r="N644" s="665"/>
      <c r="O644" s="665"/>
      <c r="P644" s="666"/>
      <c r="Q644" s="667"/>
      <c r="R644" s="668"/>
      <c r="S644" s="693"/>
      <c r="T644" s="694"/>
      <c r="U644" s="694"/>
      <c r="V644" s="693"/>
      <c r="W644" s="693"/>
      <c r="X644" s="693"/>
      <c r="Y644" s="671"/>
      <c r="Z644" s="673"/>
      <c r="AA644" s="672"/>
      <c r="AB644" s="695"/>
      <c r="AC644" s="673"/>
      <c r="AD644" s="673"/>
      <c r="AE644" s="673"/>
      <c r="AF644" s="673"/>
      <c r="AG644" s="673"/>
      <c r="AH644" s="673"/>
      <c r="AI644" s="673"/>
      <c r="AJ644" s="673"/>
      <c r="AK644" s="673"/>
      <c r="AL644" s="673"/>
      <c r="AM644" s="673"/>
      <c r="AN644" s="673"/>
      <c r="AO644" s="673"/>
      <c r="AP644" s="673"/>
      <c r="AQ644" s="673"/>
      <c r="AR644" s="673"/>
      <c r="AS644" s="673"/>
      <c r="AT644" s="696"/>
    </row>
    <row r="645" ht="15.75" customHeight="1">
      <c r="A645" s="653"/>
      <c r="B645" s="654"/>
      <c r="C645" s="691"/>
      <c r="D645" s="656"/>
      <c r="E645" s="657"/>
      <c r="F645" s="658"/>
      <c r="G645" s="659"/>
      <c r="H645" s="660"/>
      <c r="I645" s="659"/>
      <c r="J645" s="661"/>
      <c r="K645" s="692"/>
      <c r="L645" s="645"/>
      <c r="M645" s="663"/>
      <c r="N645" s="665"/>
      <c r="O645" s="665"/>
      <c r="P645" s="666"/>
      <c r="Q645" s="667"/>
      <c r="R645" s="668"/>
      <c r="S645" s="693"/>
      <c r="T645" s="694"/>
      <c r="U645" s="694"/>
      <c r="V645" s="693"/>
      <c r="W645" s="693"/>
      <c r="X645" s="693"/>
      <c r="Y645" s="671"/>
      <c r="Z645" s="673"/>
      <c r="AA645" s="672"/>
      <c r="AB645" s="695"/>
      <c r="AC645" s="673"/>
      <c r="AD645" s="673"/>
      <c r="AE645" s="673"/>
      <c r="AF645" s="673"/>
      <c r="AG645" s="673"/>
      <c r="AH645" s="673"/>
      <c r="AI645" s="673"/>
      <c r="AJ645" s="673"/>
      <c r="AK645" s="673"/>
      <c r="AL645" s="673"/>
      <c r="AM645" s="673"/>
      <c r="AN645" s="673"/>
      <c r="AO645" s="673"/>
      <c r="AP645" s="673"/>
      <c r="AQ645" s="673"/>
      <c r="AR645" s="673"/>
      <c r="AS645" s="673"/>
      <c r="AT645" s="696"/>
    </row>
    <row r="646" ht="15.75" customHeight="1">
      <c r="A646" s="653"/>
      <c r="B646" s="654"/>
      <c r="C646" s="691"/>
      <c r="D646" s="656"/>
      <c r="E646" s="657"/>
      <c r="F646" s="658"/>
      <c r="G646" s="659"/>
      <c r="H646" s="660"/>
      <c r="I646" s="659"/>
      <c r="J646" s="661"/>
      <c r="K646" s="692"/>
      <c r="L646" s="645"/>
      <c r="M646" s="663"/>
      <c r="N646" s="665"/>
      <c r="O646" s="665"/>
      <c r="P646" s="666"/>
      <c r="Q646" s="667"/>
      <c r="R646" s="668"/>
      <c r="S646" s="693"/>
      <c r="T646" s="694"/>
      <c r="U646" s="694"/>
      <c r="V646" s="693"/>
      <c r="W646" s="693"/>
      <c r="X646" s="693"/>
      <c r="Y646" s="671"/>
      <c r="Z646" s="673"/>
      <c r="AA646" s="672"/>
      <c r="AB646" s="695"/>
      <c r="AC646" s="673"/>
      <c r="AD646" s="673"/>
      <c r="AE646" s="673"/>
      <c r="AF646" s="673"/>
      <c r="AG646" s="673"/>
      <c r="AH646" s="673"/>
      <c r="AI646" s="673"/>
      <c r="AJ646" s="673"/>
      <c r="AK646" s="673"/>
      <c r="AL646" s="673"/>
      <c r="AM646" s="673"/>
      <c r="AN646" s="673"/>
      <c r="AO646" s="673"/>
      <c r="AP646" s="673"/>
      <c r="AQ646" s="673"/>
      <c r="AR646" s="673"/>
      <c r="AS646" s="673"/>
      <c r="AT646" s="696"/>
    </row>
    <row r="647" ht="15.75" customHeight="1">
      <c r="A647" s="653"/>
      <c r="B647" s="654"/>
      <c r="C647" s="691"/>
      <c r="D647" s="656"/>
      <c r="E647" s="657"/>
      <c r="F647" s="658"/>
      <c r="G647" s="659"/>
      <c r="H647" s="660"/>
      <c r="I647" s="659"/>
      <c r="J647" s="661"/>
      <c r="K647" s="692"/>
      <c r="L647" s="645"/>
      <c r="M647" s="663"/>
      <c r="N647" s="665"/>
      <c r="O647" s="665"/>
      <c r="P647" s="666"/>
      <c r="Q647" s="667"/>
      <c r="R647" s="668"/>
      <c r="S647" s="693"/>
      <c r="T647" s="694"/>
      <c r="U647" s="694"/>
      <c r="V647" s="693"/>
      <c r="W647" s="693"/>
      <c r="X647" s="693"/>
      <c r="Y647" s="671"/>
      <c r="Z647" s="673"/>
      <c r="AA647" s="672"/>
      <c r="AB647" s="695"/>
      <c r="AC647" s="673"/>
      <c r="AD647" s="673"/>
      <c r="AE647" s="673"/>
      <c r="AF647" s="673"/>
      <c r="AG647" s="673"/>
      <c r="AH647" s="673"/>
      <c r="AI647" s="673"/>
      <c r="AJ647" s="673"/>
      <c r="AK647" s="673"/>
      <c r="AL647" s="673"/>
      <c r="AM647" s="673"/>
      <c r="AN647" s="673"/>
      <c r="AO647" s="673"/>
      <c r="AP647" s="673"/>
      <c r="AQ647" s="673"/>
      <c r="AR647" s="673"/>
      <c r="AS647" s="673"/>
      <c r="AT647" s="696"/>
    </row>
    <row r="648" ht="15.75" customHeight="1">
      <c r="A648" s="653"/>
      <c r="B648" s="654"/>
      <c r="C648" s="691"/>
      <c r="D648" s="656"/>
      <c r="E648" s="657"/>
      <c r="F648" s="658"/>
      <c r="G648" s="659"/>
      <c r="H648" s="660"/>
      <c r="I648" s="659"/>
      <c r="J648" s="661"/>
      <c r="K648" s="692"/>
      <c r="L648" s="645"/>
      <c r="M648" s="663"/>
      <c r="N648" s="665"/>
      <c r="O648" s="665"/>
      <c r="P648" s="666"/>
      <c r="Q648" s="667"/>
      <c r="R648" s="668"/>
      <c r="S648" s="693"/>
      <c r="T648" s="694"/>
      <c r="U648" s="694"/>
      <c r="V648" s="693"/>
      <c r="W648" s="693"/>
      <c r="X648" s="693"/>
      <c r="Y648" s="671"/>
      <c r="Z648" s="673"/>
      <c r="AA648" s="672"/>
      <c r="AB648" s="695"/>
      <c r="AC648" s="673"/>
      <c r="AD648" s="673"/>
      <c r="AE648" s="673"/>
      <c r="AF648" s="673"/>
      <c r="AG648" s="673"/>
      <c r="AH648" s="673"/>
      <c r="AI648" s="673"/>
      <c r="AJ648" s="673"/>
      <c r="AK648" s="673"/>
      <c r="AL648" s="673"/>
      <c r="AM648" s="673"/>
      <c r="AN648" s="673"/>
      <c r="AO648" s="673"/>
      <c r="AP648" s="673"/>
      <c r="AQ648" s="673"/>
      <c r="AR648" s="673"/>
      <c r="AS648" s="673"/>
      <c r="AT648" s="696"/>
    </row>
    <row r="649" ht="15.75" customHeight="1">
      <c r="A649" s="653"/>
      <c r="B649" s="654"/>
      <c r="C649" s="691"/>
      <c r="D649" s="656"/>
      <c r="E649" s="657"/>
      <c r="F649" s="658"/>
      <c r="G649" s="659"/>
      <c r="H649" s="660"/>
      <c r="I649" s="659"/>
      <c r="J649" s="661"/>
      <c r="K649" s="692"/>
      <c r="L649" s="645"/>
      <c r="M649" s="663"/>
      <c r="N649" s="665"/>
      <c r="O649" s="665"/>
      <c r="P649" s="666"/>
      <c r="Q649" s="667"/>
      <c r="R649" s="668"/>
      <c r="S649" s="693"/>
      <c r="T649" s="694"/>
      <c r="U649" s="694"/>
      <c r="V649" s="693"/>
      <c r="W649" s="693"/>
      <c r="X649" s="693"/>
      <c r="Y649" s="671"/>
      <c r="Z649" s="673"/>
      <c r="AA649" s="672"/>
      <c r="AB649" s="695"/>
      <c r="AC649" s="673"/>
      <c r="AD649" s="673"/>
      <c r="AE649" s="673"/>
      <c r="AF649" s="673"/>
      <c r="AG649" s="673"/>
      <c r="AH649" s="673"/>
      <c r="AI649" s="673"/>
      <c r="AJ649" s="673"/>
      <c r="AK649" s="673"/>
      <c r="AL649" s="673"/>
      <c r="AM649" s="673"/>
      <c r="AN649" s="673"/>
      <c r="AO649" s="673"/>
      <c r="AP649" s="673"/>
      <c r="AQ649" s="673"/>
      <c r="AR649" s="673"/>
      <c r="AS649" s="673"/>
      <c r="AT649" s="696"/>
    </row>
    <row r="650" ht="15.75" customHeight="1">
      <c r="A650" s="653"/>
      <c r="B650" s="654"/>
      <c r="C650" s="691"/>
      <c r="D650" s="656"/>
      <c r="E650" s="657"/>
      <c r="F650" s="658"/>
      <c r="G650" s="659"/>
      <c r="H650" s="660"/>
      <c r="I650" s="659"/>
      <c r="J650" s="661"/>
      <c r="K650" s="692"/>
      <c r="L650" s="645"/>
      <c r="M650" s="663"/>
      <c r="N650" s="665"/>
      <c r="O650" s="665"/>
      <c r="P650" s="666"/>
      <c r="Q650" s="667"/>
      <c r="R650" s="668"/>
      <c r="S650" s="693"/>
      <c r="T650" s="694"/>
      <c r="U650" s="694"/>
      <c r="V650" s="693"/>
      <c r="W650" s="693"/>
      <c r="X650" s="693"/>
      <c r="Y650" s="671"/>
      <c r="Z650" s="673"/>
      <c r="AA650" s="672"/>
      <c r="AB650" s="695"/>
      <c r="AC650" s="673"/>
      <c r="AD650" s="673"/>
      <c r="AE650" s="673"/>
      <c r="AF650" s="673"/>
      <c r="AG650" s="673"/>
      <c r="AH650" s="673"/>
      <c r="AI650" s="673"/>
      <c r="AJ650" s="673"/>
      <c r="AK650" s="673"/>
      <c r="AL650" s="673"/>
      <c r="AM650" s="673"/>
      <c r="AN650" s="673"/>
      <c r="AO650" s="673"/>
      <c r="AP650" s="673"/>
      <c r="AQ650" s="673"/>
      <c r="AR650" s="673"/>
      <c r="AS650" s="673"/>
      <c r="AT650" s="696"/>
    </row>
    <row r="651" ht="15.75" customHeight="1">
      <c r="A651" s="653"/>
      <c r="B651" s="654"/>
      <c r="C651" s="691"/>
      <c r="D651" s="656"/>
      <c r="E651" s="657"/>
      <c r="F651" s="658"/>
      <c r="G651" s="659"/>
      <c r="H651" s="660"/>
      <c r="I651" s="659"/>
      <c r="J651" s="661"/>
      <c r="K651" s="692"/>
      <c r="L651" s="645"/>
      <c r="M651" s="663"/>
      <c r="N651" s="665"/>
      <c r="O651" s="665"/>
      <c r="P651" s="666"/>
      <c r="Q651" s="667"/>
      <c r="R651" s="668"/>
      <c r="S651" s="693"/>
      <c r="T651" s="694"/>
      <c r="U651" s="694"/>
      <c r="V651" s="693"/>
      <c r="W651" s="693"/>
      <c r="X651" s="693"/>
      <c r="Y651" s="671"/>
      <c r="Z651" s="673"/>
      <c r="AA651" s="672"/>
      <c r="AB651" s="695"/>
      <c r="AC651" s="673"/>
      <c r="AD651" s="673"/>
      <c r="AE651" s="673"/>
      <c r="AF651" s="673"/>
      <c r="AG651" s="673"/>
      <c r="AH651" s="673"/>
      <c r="AI651" s="673"/>
      <c r="AJ651" s="673"/>
      <c r="AK651" s="673"/>
      <c r="AL651" s="673"/>
      <c r="AM651" s="673"/>
      <c r="AN651" s="673"/>
      <c r="AO651" s="673"/>
      <c r="AP651" s="673"/>
      <c r="AQ651" s="673"/>
      <c r="AR651" s="673"/>
      <c r="AS651" s="673"/>
      <c r="AT651" s="696"/>
    </row>
    <row r="652" ht="15.75" customHeight="1">
      <c r="A652" s="653"/>
      <c r="B652" s="654"/>
      <c r="C652" s="691"/>
      <c r="D652" s="656"/>
      <c r="E652" s="657"/>
      <c r="F652" s="658"/>
      <c r="G652" s="659"/>
      <c r="H652" s="660"/>
      <c r="I652" s="659"/>
      <c r="J652" s="661"/>
      <c r="K652" s="692"/>
      <c r="L652" s="645"/>
      <c r="M652" s="663"/>
      <c r="N652" s="665"/>
      <c r="O652" s="665"/>
      <c r="P652" s="666"/>
      <c r="Q652" s="667"/>
      <c r="R652" s="668"/>
      <c r="S652" s="693"/>
      <c r="T652" s="694"/>
      <c r="U652" s="694"/>
      <c r="V652" s="693"/>
      <c r="W652" s="693"/>
      <c r="X652" s="693"/>
      <c r="Y652" s="671"/>
      <c r="Z652" s="673"/>
      <c r="AA652" s="672"/>
      <c r="AB652" s="695"/>
      <c r="AC652" s="673"/>
      <c r="AD652" s="673"/>
      <c r="AE652" s="673"/>
      <c r="AF652" s="673"/>
      <c r="AG652" s="673"/>
      <c r="AH652" s="673"/>
      <c r="AI652" s="673"/>
      <c r="AJ652" s="673"/>
      <c r="AK652" s="673"/>
      <c r="AL652" s="673"/>
      <c r="AM652" s="673"/>
      <c r="AN652" s="673"/>
      <c r="AO652" s="673"/>
      <c r="AP652" s="673"/>
      <c r="AQ652" s="673"/>
      <c r="AR652" s="673"/>
      <c r="AS652" s="673"/>
      <c r="AT652" s="696"/>
    </row>
    <row r="653" ht="15.75" customHeight="1">
      <c r="A653" s="653"/>
      <c r="B653" s="654"/>
      <c r="C653" s="691"/>
      <c r="D653" s="656"/>
      <c r="E653" s="657"/>
      <c r="F653" s="658"/>
      <c r="G653" s="659"/>
      <c r="H653" s="660"/>
      <c r="I653" s="659"/>
      <c r="J653" s="661"/>
      <c r="K653" s="692"/>
      <c r="L653" s="645"/>
      <c r="M653" s="663"/>
      <c r="N653" s="665"/>
      <c r="O653" s="665"/>
      <c r="P653" s="666"/>
      <c r="Q653" s="667"/>
      <c r="R653" s="668"/>
      <c r="S653" s="693"/>
      <c r="T653" s="694"/>
      <c r="U653" s="694"/>
      <c r="V653" s="693"/>
      <c r="W653" s="693"/>
      <c r="X653" s="693"/>
      <c r="Y653" s="671"/>
      <c r="Z653" s="673"/>
      <c r="AA653" s="672"/>
      <c r="AB653" s="695"/>
      <c r="AC653" s="673"/>
      <c r="AD653" s="673"/>
      <c r="AE653" s="673"/>
      <c r="AF653" s="673"/>
      <c r="AG653" s="673"/>
      <c r="AH653" s="673"/>
      <c r="AI653" s="673"/>
      <c r="AJ653" s="673"/>
      <c r="AK653" s="673"/>
      <c r="AL653" s="673"/>
      <c r="AM653" s="673"/>
      <c r="AN653" s="673"/>
      <c r="AO653" s="673"/>
      <c r="AP653" s="673"/>
      <c r="AQ653" s="673"/>
      <c r="AR653" s="673"/>
      <c r="AS653" s="673"/>
      <c r="AT653" s="696"/>
    </row>
    <row r="654" ht="15.75" customHeight="1">
      <c r="A654" s="653"/>
      <c r="B654" s="654"/>
      <c r="C654" s="691"/>
      <c r="D654" s="656"/>
      <c r="E654" s="657"/>
      <c r="F654" s="658"/>
      <c r="G654" s="659"/>
      <c r="H654" s="660"/>
      <c r="I654" s="659"/>
      <c r="J654" s="661"/>
      <c r="K654" s="692"/>
      <c r="L654" s="645"/>
      <c r="M654" s="663"/>
      <c r="N654" s="665"/>
      <c r="O654" s="665"/>
      <c r="P654" s="666"/>
      <c r="Q654" s="667"/>
      <c r="R654" s="668"/>
      <c r="S654" s="693"/>
      <c r="T654" s="694"/>
      <c r="U654" s="694"/>
      <c r="V654" s="693"/>
      <c r="W654" s="693"/>
      <c r="X654" s="693"/>
      <c r="Y654" s="671"/>
      <c r="Z654" s="673"/>
      <c r="AA654" s="672"/>
      <c r="AB654" s="695"/>
      <c r="AC654" s="673"/>
      <c r="AD654" s="673"/>
      <c r="AE654" s="673"/>
      <c r="AF654" s="673"/>
      <c r="AG654" s="673"/>
      <c r="AH654" s="673"/>
      <c r="AI654" s="673"/>
      <c r="AJ654" s="673"/>
      <c r="AK654" s="673"/>
      <c r="AL654" s="673"/>
      <c r="AM654" s="673"/>
      <c r="AN654" s="673"/>
      <c r="AO654" s="673"/>
      <c r="AP654" s="673"/>
      <c r="AQ654" s="673"/>
      <c r="AR654" s="673"/>
      <c r="AS654" s="673"/>
      <c r="AT654" s="696"/>
    </row>
    <row r="655" ht="15.75" customHeight="1">
      <c r="A655" s="653"/>
      <c r="B655" s="654"/>
      <c r="C655" s="691"/>
      <c r="D655" s="656"/>
      <c r="E655" s="657"/>
      <c r="F655" s="658"/>
      <c r="G655" s="659"/>
      <c r="H655" s="660"/>
      <c r="I655" s="659"/>
      <c r="J655" s="661"/>
      <c r="K655" s="692"/>
      <c r="L655" s="645"/>
      <c r="M655" s="663"/>
      <c r="N655" s="665"/>
      <c r="O655" s="665"/>
      <c r="P655" s="666"/>
      <c r="Q655" s="667"/>
      <c r="R655" s="668"/>
      <c r="S655" s="693"/>
      <c r="T655" s="694"/>
      <c r="U655" s="694"/>
      <c r="V655" s="693"/>
      <c r="W655" s="693"/>
      <c r="X655" s="693"/>
      <c r="Y655" s="671"/>
      <c r="Z655" s="673"/>
      <c r="AA655" s="672"/>
      <c r="AB655" s="695"/>
      <c r="AC655" s="673"/>
      <c r="AD655" s="673"/>
      <c r="AE655" s="673"/>
      <c r="AF655" s="673"/>
      <c r="AG655" s="673"/>
      <c r="AH655" s="673"/>
      <c r="AI655" s="673"/>
      <c r="AJ655" s="673"/>
      <c r="AK655" s="673"/>
      <c r="AL655" s="673"/>
      <c r="AM655" s="673"/>
      <c r="AN655" s="673"/>
      <c r="AO655" s="673"/>
      <c r="AP655" s="673"/>
      <c r="AQ655" s="673"/>
      <c r="AR655" s="673"/>
      <c r="AS655" s="673"/>
      <c r="AT655" s="696"/>
    </row>
    <row r="656" ht="15.75" customHeight="1">
      <c r="A656" s="653"/>
      <c r="B656" s="654"/>
      <c r="C656" s="691"/>
      <c r="D656" s="656"/>
      <c r="E656" s="657"/>
      <c r="F656" s="658"/>
      <c r="G656" s="659"/>
      <c r="H656" s="660"/>
      <c r="I656" s="659"/>
      <c r="J656" s="661"/>
      <c r="K656" s="692"/>
      <c r="L656" s="645"/>
      <c r="M656" s="663"/>
      <c r="N656" s="665"/>
      <c r="O656" s="665"/>
      <c r="P656" s="666"/>
      <c r="Q656" s="667"/>
      <c r="R656" s="668"/>
      <c r="S656" s="693"/>
      <c r="T656" s="694"/>
      <c r="U656" s="694"/>
      <c r="V656" s="693"/>
      <c r="W656" s="693"/>
      <c r="X656" s="693"/>
      <c r="Y656" s="671"/>
      <c r="Z656" s="673"/>
      <c r="AA656" s="672"/>
      <c r="AB656" s="695"/>
      <c r="AC656" s="673"/>
      <c r="AD656" s="673"/>
      <c r="AE656" s="673"/>
      <c r="AF656" s="673"/>
      <c r="AG656" s="673"/>
      <c r="AH656" s="673"/>
      <c r="AI656" s="673"/>
      <c r="AJ656" s="673"/>
      <c r="AK656" s="673"/>
      <c r="AL656" s="673"/>
      <c r="AM656" s="673"/>
      <c r="AN656" s="673"/>
      <c r="AO656" s="673"/>
      <c r="AP656" s="673"/>
      <c r="AQ656" s="673"/>
      <c r="AR656" s="673"/>
      <c r="AS656" s="673"/>
      <c r="AT656" s="696"/>
    </row>
    <row r="657" ht="15.75" customHeight="1">
      <c r="A657" s="653"/>
      <c r="B657" s="654"/>
      <c r="C657" s="691"/>
      <c r="D657" s="656"/>
      <c r="E657" s="657"/>
      <c r="F657" s="658"/>
      <c r="G657" s="659"/>
      <c r="H657" s="660"/>
      <c r="I657" s="659"/>
      <c r="J657" s="661"/>
      <c r="K657" s="692"/>
      <c r="L657" s="645"/>
      <c r="M657" s="663"/>
      <c r="N657" s="665"/>
      <c r="O657" s="665"/>
      <c r="P657" s="666"/>
      <c r="Q657" s="667"/>
      <c r="R657" s="668"/>
      <c r="S657" s="693"/>
      <c r="T657" s="694"/>
      <c r="U657" s="694"/>
      <c r="V657" s="693"/>
      <c r="W657" s="693"/>
      <c r="X657" s="693"/>
      <c r="Y657" s="671"/>
      <c r="Z657" s="673"/>
      <c r="AA657" s="672"/>
      <c r="AB657" s="695"/>
      <c r="AC657" s="673"/>
      <c r="AD657" s="673"/>
      <c r="AE657" s="673"/>
      <c r="AF657" s="673"/>
      <c r="AG657" s="673"/>
      <c r="AH657" s="673"/>
      <c r="AI657" s="673"/>
      <c r="AJ657" s="673"/>
      <c r="AK657" s="673"/>
      <c r="AL657" s="673"/>
      <c r="AM657" s="673"/>
      <c r="AN657" s="673"/>
      <c r="AO657" s="673"/>
      <c r="AP657" s="673"/>
      <c r="AQ657" s="673"/>
      <c r="AR657" s="673"/>
      <c r="AS657" s="673"/>
      <c r="AT657" s="696"/>
    </row>
    <row r="658" ht="15.75" customHeight="1">
      <c r="A658" s="653"/>
      <c r="B658" s="654"/>
      <c r="C658" s="691"/>
      <c r="D658" s="656"/>
      <c r="E658" s="657"/>
      <c r="F658" s="658"/>
      <c r="G658" s="659"/>
      <c r="H658" s="660"/>
      <c r="I658" s="659"/>
      <c r="J658" s="661"/>
      <c r="K658" s="692"/>
      <c r="L658" s="645"/>
      <c r="M658" s="663"/>
      <c r="N658" s="665"/>
      <c r="O658" s="665"/>
      <c r="P658" s="666"/>
      <c r="Q658" s="667"/>
      <c r="R658" s="668"/>
      <c r="S658" s="693"/>
      <c r="T658" s="694"/>
      <c r="U658" s="694"/>
      <c r="V658" s="693"/>
      <c r="W658" s="693"/>
      <c r="X658" s="693"/>
      <c r="Y658" s="671"/>
      <c r="Z658" s="673"/>
      <c r="AA658" s="672"/>
      <c r="AB658" s="695"/>
      <c r="AC658" s="673"/>
      <c r="AD658" s="673"/>
      <c r="AE658" s="673"/>
      <c r="AF658" s="673"/>
      <c r="AG658" s="673"/>
      <c r="AH658" s="673"/>
      <c r="AI658" s="673"/>
      <c r="AJ658" s="673"/>
      <c r="AK658" s="673"/>
      <c r="AL658" s="673"/>
      <c r="AM658" s="673"/>
      <c r="AN658" s="673"/>
      <c r="AO658" s="673"/>
      <c r="AP658" s="673"/>
      <c r="AQ658" s="673"/>
      <c r="AR658" s="673"/>
      <c r="AS658" s="673"/>
      <c r="AT658" s="696"/>
    </row>
    <row r="659" ht="15.75" customHeight="1">
      <c r="A659" s="653"/>
      <c r="B659" s="654"/>
      <c r="C659" s="691"/>
      <c r="D659" s="656"/>
      <c r="E659" s="657"/>
      <c r="F659" s="658"/>
      <c r="G659" s="659"/>
      <c r="H659" s="660"/>
      <c r="I659" s="659"/>
      <c r="J659" s="661"/>
      <c r="K659" s="692"/>
      <c r="L659" s="645"/>
      <c r="M659" s="663"/>
      <c r="N659" s="665"/>
      <c r="O659" s="665"/>
      <c r="P659" s="666"/>
      <c r="Q659" s="667"/>
      <c r="R659" s="668"/>
      <c r="S659" s="693"/>
      <c r="T659" s="694"/>
      <c r="U659" s="694"/>
      <c r="V659" s="693"/>
      <c r="W659" s="693"/>
      <c r="X659" s="693"/>
      <c r="Y659" s="671"/>
      <c r="Z659" s="673"/>
      <c r="AA659" s="672"/>
      <c r="AB659" s="695"/>
      <c r="AC659" s="673"/>
      <c r="AD659" s="673"/>
      <c r="AE659" s="673"/>
      <c r="AF659" s="673"/>
      <c r="AG659" s="673"/>
      <c r="AH659" s="673"/>
      <c r="AI659" s="673"/>
      <c r="AJ659" s="673"/>
      <c r="AK659" s="673"/>
      <c r="AL659" s="673"/>
      <c r="AM659" s="673"/>
      <c r="AN659" s="673"/>
      <c r="AO659" s="673"/>
      <c r="AP659" s="673"/>
      <c r="AQ659" s="673"/>
      <c r="AR659" s="673"/>
      <c r="AS659" s="673"/>
      <c r="AT659" s="696"/>
    </row>
    <row r="660" ht="15.75" customHeight="1">
      <c r="A660" s="653"/>
      <c r="B660" s="654"/>
      <c r="C660" s="691"/>
      <c r="D660" s="656"/>
      <c r="E660" s="657"/>
      <c r="F660" s="658"/>
      <c r="G660" s="659"/>
      <c r="H660" s="660"/>
      <c r="I660" s="659"/>
      <c r="J660" s="661"/>
      <c r="K660" s="692"/>
      <c r="L660" s="645"/>
      <c r="M660" s="663"/>
      <c r="N660" s="665"/>
      <c r="O660" s="665"/>
      <c r="P660" s="666"/>
      <c r="Q660" s="667"/>
      <c r="R660" s="668"/>
      <c r="S660" s="693"/>
      <c r="T660" s="694"/>
      <c r="U660" s="694"/>
      <c r="V660" s="693"/>
      <c r="W660" s="693"/>
      <c r="X660" s="693"/>
      <c r="Y660" s="671"/>
      <c r="Z660" s="673"/>
      <c r="AA660" s="672"/>
      <c r="AB660" s="695"/>
      <c r="AC660" s="673"/>
      <c r="AD660" s="673"/>
      <c r="AE660" s="673"/>
      <c r="AF660" s="673"/>
      <c r="AG660" s="673"/>
      <c r="AH660" s="673"/>
      <c r="AI660" s="673"/>
      <c r="AJ660" s="673"/>
      <c r="AK660" s="673"/>
      <c r="AL660" s="673"/>
      <c r="AM660" s="673"/>
      <c r="AN660" s="673"/>
      <c r="AO660" s="673"/>
      <c r="AP660" s="673"/>
      <c r="AQ660" s="673"/>
      <c r="AR660" s="673"/>
      <c r="AS660" s="673"/>
      <c r="AT660" s="696"/>
    </row>
    <row r="661" ht="15.75" customHeight="1">
      <c r="A661" s="653"/>
      <c r="B661" s="654"/>
      <c r="C661" s="691"/>
      <c r="D661" s="656"/>
      <c r="E661" s="657"/>
      <c r="F661" s="658"/>
      <c r="G661" s="659"/>
      <c r="H661" s="660"/>
      <c r="I661" s="659"/>
      <c r="J661" s="661"/>
      <c r="K661" s="692"/>
      <c r="L661" s="645"/>
      <c r="M661" s="663"/>
      <c r="N661" s="665"/>
      <c r="O661" s="665"/>
      <c r="P661" s="666"/>
      <c r="Q661" s="667"/>
      <c r="R661" s="668"/>
      <c r="S661" s="693"/>
      <c r="T661" s="694"/>
      <c r="U661" s="694"/>
      <c r="V661" s="693"/>
      <c r="W661" s="693"/>
      <c r="X661" s="693"/>
      <c r="Y661" s="671"/>
      <c r="Z661" s="673"/>
      <c r="AA661" s="672"/>
      <c r="AB661" s="695"/>
      <c r="AC661" s="673"/>
      <c r="AD661" s="673"/>
      <c r="AE661" s="673"/>
      <c r="AF661" s="673"/>
      <c r="AG661" s="673"/>
      <c r="AH661" s="673"/>
      <c r="AI661" s="673"/>
      <c r="AJ661" s="673"/>
      <c r="AK661" s="673"/>
      <c r="AL661" s="673"/>
      <c r="AM661" s="673"/>
      <c r="AN661" s="673"/>
      <c r="AO661" s="673"/>
      <c r="AP661" s="673"/>
      <c r="AQ661" s="673"/>
      <c r="AR661" s="673"/>
      <c r="AS661" s="673"/>
      <c r="AT661" s="696"/>
    </row>
    <row r="662" ht="15.75" customHeight="1">
      <c r="A662" s="653"/>
      <c r="B662" s="654"/>
      <c r="C662" s="691"/>
      <c r="D662" s="656"/>
      <c r="E662" s="657"/>
      <c r="F662" s="658"/>
      <c r="G662" s="659"/>
      <c r="H662" s="660"/>
      <c r="I662" s="659"/>
      <c r="J662" s="661"/>
      <c r="K662" s="692"/>
      <c r="L662" s="645"/>
      <c r="M662" s="663"/>
      <c r="N662" s="665"/>
      <c r="O662" s="665"/>
      <c r="P662" s="666"/>
      <c r="Q662" s="667"/>
      <c r="R662" s="668"/>
      <c r="S662" s="693"/>
      <c r="T662" s="694"/>
      <c r="U662" s="694"/>
      <c r="V662" s="693"/>
      <c r="W662" s="693"/>
      <c r="X662" s="693"/>
      <c r="Y662" s="671"/>
      <c r="Z662" s="673"/>
      <c r="AA662" s="672"/>
      <c r="AB662" s="695"/>
      <c r="AC662" s="673"/>
      <c r="AD662" s="673"/>
      <c r="AE662" s="673"/>
      <c r="AF662" s="673"/>
      <c r="AG662" s="673"/>
      <c r="AH662" s="673"/>
      <c r="AI662" s="673"/>
      <c r="AJ662" s="673"/>
      <c r="AK662" s="673"/>
      <c r="AL662" s="673"/>
      <c r="AM662" s="673"/>
      <c r="AN662" s="673"/>
      <c r="AO662" s="673"/>
      <c r="AP662" s="673"/>
      <c r="AQ662" s="673"/>
      <c r="AR662" s="673"/>
      <c r="AS662" s="673"/>
      <c r="AT662" s="696"/>
    </row>
    <row r="663" ht="15.75" customHeight="1">
      <c r="A663" s="653"/>
      <c r="B663" s="654"/>
      <c r="C663" s="691"/>
      <c r="D663" s="656"/>
      <c r="E663" s="657"/>
      <c r="F663" s="658"/>
      <c r="G663" s="659"/>
      <c r="H663" s="660"/>
      <c r="I663" s="659"/>
      <c r="J663" s="661"/>
      <c r="K663" s="692"/>
      <c r="L663" s="645"/>
      <c r="M663" s="663"/>
      <c r="N663" s="665"/>
      <c r="O663" s="665"/>
      <c r="P663" s="666"/>
      <c r="Q663" s="667"/>
      <c r="R663" s="668"/>
      <c r="S663" s="693"/>
      <c r="T663" s="694"/>
      <c r="U663" s="694"/>
      <c r="V663" s="693"/>
      <c r="W663" s="693"/>
      <c r="X663" s="693"/>
      <c r="Y663" s="671"/>
      <c r="Z663" s="673"/>
      <c r="AA663" s="672"/>
      <c r="AB663" s="695"/>
      <c r="AC663" s="673"/>
      <c r="AD663" s="673"/>
      <c r="AE663" s="673"/>
      <c r="AF663" s="673"/>
      <c r="AG663" s="673"/>
      <c r="AH663" s="673"/>
      <c r="AI663" s="673"/>
      <c r="AJ663" s="673"/>
      <c r="AK663" s="673"/>
      <c r="AL663" s="673"/>
      <c r="AM663" s="673"/>
      <c r="AN663" s="673"/>
      <c r="AO663" s="673"/>
      <c r="AP663" s="673"/>
      <c r="AQ663" s="673"/>
      <c r="AR663" s="673"/>
      <c r="AS663" s="673"/>
      <c r="AT663" s="696"/>
    </row>
    <row r="664" ht="15.75" customHeight="1">
      <c r="A664" s="653"/>
      <c r="B664" s="654"/>
      <c r="C664" s="691"/>
      <c r="D664" s="656"/>
      <c r="E664" s="657"/>
      <c r="F664" s="658"/>
      <c r="G664" s="659"/>
      <c r="H664" s="660"/>
      <c r="I664" s="659"/>
      <c r="J664" s="661"/>
      <c r="K664" s="692"/>
      <c r="L664" s="645"/>
      <c r="M664" s="663"/>
      <c r="N664" s="665"/>
      <c r="O664" s="665"/>
      <c r="P664" s="666"/>
      <c r="Q664" s="667"/>
      <c r="R664" s="668"/>
      <c r="S664" s="693"/>
      <c r="T664" s="694"/>
      <c r="U664" s="694"/>
      <c r="V664" s="693"/>
      <c r="W664" s="693"/>
      <c r="X664" s="693"/>
      <c r="Y664" s="671"/>
      <c r="Z664" s="673"/>
      <c r="AA664" s="672"/>
      <c r="AB664" s="695"/>
      <c r="AC664" s="673"/>
      <c r="AD664" s="673"/>
      <c r="AE664" s="673"/>
      <c r="AF664" s="673"/>
      <c r="AG664" s="673"/>
      <c r="AH664" s="673"/>
      <c r="AI664" s="673"/>
      <c r="AJ664" s="673"/>
      <c r="AK664" s="673"/>
      <c r="AL664" s="673"/>
      <c r="AM664" s="673"/>
      <c r="AN664" s="673"/>
      <c r="AO664" s="673"/>
      <c r="AP664" s="673"/>
      <c r="AQ664" s="673"/>
      <c r="AR664" s="673"/>
      <c r="AS664" s="673"/>
      <c r="AT664" s="696"/>
    </row>
    <row r="665" ht="15.75" customHeight="1">
      <c r="A665" s="653"/>
      <c r="B665" s="654"/>
      <c r="C665" s="691"/>
      <c r="D665" s="656"/>
      <c r="E665" s="657"/>
      <c r="F665" s="658"/>
      <c r="G665" s="659"/>
      <c r="H665" s="660"/>
      <c r="I665" s="659"/>
      <c r="J665" s="661"/>
      <c r="K665" s="692"/>
      <c r="L665" s="645"/>
      <c r="M665" s="663"/>
      <c r="N665" s="665"/>
      <c r="O665" s="665"/>
      <c r="P665" s="666"/>
      <c r="Q665" s="667"/>
      <c r="R665" s="668"/>
      <c r="S665" s="693"/>
      <c r="T665" s="694"/>
      <c r="U665" s="694"/>
      <c r="V665" s="693"/>
      <c r="W665" s="693"/>
      <c r="X665" s="693"/>
      <c r="Y665" s="671"/>
      <c r="Z665" s="673"/>
      <c r="AA665" s="672"/>
      <c r="AB665" s="695"/>
      <c r="AC665" s="673"/>
      <c r="AD665" s="673"/>
      <c r="AE665" s="673"/>
      <c r="AF665" s="673"/>
      <c r="AG665" s="673"/>
      <c r="AH665" s="673"/>
      <c r="AI665" s="673"/>
      <c r="AJ665" s="673"/>
      <c r="AK665" s="673"/>
      <c r="AL665" s="673"/>
      <c r="AM665" s="673"/>
      <c r="AN665" s="673"/>
      <c r="AO665" s="673"/>
      <c r="AP665" s="673"/>
      <c r="AQ665" s="673"/>
      <c r="AR665" s="673"/>
      <c r="AS665" s="673"/>
      <c r="AT665" s="696"/>
    </row>
    <row r="666" ht="15.75" customHeight="1">
      <c r="A666" s="653"/>
      <c r="B666" s="654"/>
      <c r="C666" s="691"/>
      <c r="D666" s="656"/>
      <c r="E666" s="657"/>
      <c r="F666" s="658"/>
      <c r="G666" s="659"/>
      <c r="H666" s="660"/>
      <c r="I666" s="659"/>
      <c r="J666" s="661"/>
      <c r="K666" s="692"/>
      <c r="L666" s="645"/>
      <c r="M666" s="663"/>
      <c r="N666" s="665"/>
      <c r="O666" s="665"/>
      <c r="P666" s="666"/>
      <c r="Q666" s="667"/>
      <c r="R666" s="668"/>
      <c r="S666" s="693"/>
      <c r="T666" s="694"/>
      <c r="U666" s="694"/>
      <c r="V666" s="693"/>
      <c r="W666" s="693"/>
      <c r="X666" s="693"/>
      <c r="Y666" s="671"/>
      <c r="Z666" s="673"/>
      <c r="AA666" s="672"/>
      <c r="AB666" s="695"/>
      <c r="AC666" s="673"/>
      <c r="AD666" s="673"/>
      <c r="AE666" s="673"/>
      <c r="AF666" s="673"/>
      <c r="AG666" s="673"/>
      <c r="AH666" s="673"/>
      <c r="AI666" s="673"/>
      <c r="AJ666" s="673"/>
      <c r="AK666" s="673"/>
      <c r="AL666" s="673"/>
      <c r="AM666" s="673"/>
      <c r="AN666" s="673"/>
      <c r="AO666" s="673"/>
      <c r="AP666" s="673"/>
      <c r="AQ666" s="673"/>
      <c r="AR666" s="673"/>
      <c r="AS666" s="673"/>
      <c r="AT666" s="696"/>
    </row>
    <row r="667" ht="15.75" customHeight="1">
      <c r="A667" s="653"/>
      <c r="B667" s="654"/>
      <c r="C667" s="691"/>
      <c r="D667" s="656"/>
      <c r="E667" s="657"/>
      <c r="F667" s="658"/>
      <c r="G667" s="659"/>
      <c r="H667" s="660"/>
      <c r="I667" s="659"/>
      <c r="J667" s="661"/>
      <c r="K667" s="692"/>
      <c r="L667" s="645"/>
      <c r="M667" s="663"/>
      <c r="N667" s="665"/>
      <c r="O667" s="665"/>
      <c r="P667" s="666"/>
      <c r="Q667" s="667"/>
      <c r="R667" s="668"/>
      <c r="S667" s="693"/>
      <c r="T667" s="694"/>
      <c r="U667" s="694"/>
      <c r="V667" s="693"/>
      <c r="W667" s="693"/>
      <c r="X667" s="693"/>
      <c r="Y667" s="671"/>
      <c r="Z667" s="673"/>
      <c r="AA667" s="672"/>
      <c r="AB667" s="695"/>
      <c r="AC667" s="673"/>
      <c r="AD667" s="673"/>
      <c r="AE667" s="673"/>
      <c r="AF667" s="673"/>
      <c r="AG667" s="673"/>
      <c r="AH667" s="673"/>
      <c r="AI667" s="673"/>
      <c r="AJ667" s="673"/>
      <c r="AK667" s="673"/>
      <c r="AL667" s="673"/>
      <c r="AM667" s="673"/>
      <c r="AN667" s="673"/>
      <c r="AO667" s="673"/>
      <c r="AP667" s="673"/>
      <c r="AQ667" s="673"/>
      <c r="AR667" s="673"/>
      <c r="AS667" s="673"/>
      <c r="AT667" s="696"/>
    </row>
    <row r="668" ht="15.75" customHeight="1">
      <c r="A668" s="653"/>
      <c r="B668" s="654"/>
      <c r="C668" s="691"/>
      <c r="D668" s="656"/>
      <c r="E668" s="657"/>
      <c r="F668" s="658"/>
      <c r="G668" s="659"/>
      <c r="H668" s="660"/>
      <c r="I668" s="659"/>
      <c r="J668" s="661"/>
      <c r="K668" s="692"/>
      <c r="L668" s="645"/>
      <c r="M668" s="663"/>
      <c r="N668" s="665"/>
      <c r="O668" s="665"/>
      <c r="P668" s="666"/>
      <c r="Q668" s="667"/>
      <c r="R668" s="668"/>
      <c r="S668" s="693"/>
      <c r="T668" s="694"/>
      <c r="U668" s="694"/>
      <c r="V668" s="693"/>
      <c r="W668" s="693"/>
      <c r="X668" s="693"/>
      <c r="Y668" s="671"/>
      <c r="Z668" s="673"/>
      <c r="AA668" s="672"/>
      <c r="AB668" s="695"/>
      <c r="AC668" s="673"/>
      <c r="AD668" s="673"/>
      <c r="AE668" s="673"/>
      <c r="AF668" s="673"/>
      <c r="AG668" s="673"/>
      <c r="AH668" s="673"/>
      <c r="AI668" s="673"/>
      <c r="AJ668" s="673"/>
      <c r="AK668" s="673"/>
      <c r="AL668" s="673"/>
      <c r="AM668" s="673"/>
      <c r="AN668" s="673"/>
      <c r="AO668" s="673"/>
      <c r="AP668" s="673"/>
      <c r="AQ668" s="673"/>
      <c r="AR668" s="673"/>
      <c r="AS668" s="673"/>
      <c r="AT668" s="696"/>
    </row>
    <row r="669" ht="15.75" customHeight="1">
      <c r="A669" s="653"/>
      <c r="B669" s="654"/>
      <c r="C669" s="691"/>
      <c r="D669" s="656"/>
      <c r="E669" s="657"/>
      <c r="F669" s="658"/>
      <c r="G669" s="659"/>
      <c r="H669" s="660"/>
      <c r="I669" s="659"/>
      <c r="J669" s="661"/>
      <c r="K669" s="692"/>
      <c r="L669" s="645"/>
      <c r="M669" s="663"/>
      <c r="N669" s="665"/>
      <c r="O669" s="665"/>
      <c r="P669" s="666"/>
      <c r="Q669" s="667"/>
      <c r="R669" s="668"/>
      <c r="S669" s="693"/>
      <c r="T669" s="694"/>
      <c r="U669" s="694"/>
      <c r="V669" s="693"/>
      <c r="W669" s="693"/>
      <c r="X669" s="693"/>
      <c r="Y669" s="671"/>
      <c r="Z669" s="673"/>
      <c r="AA669" s="672"/>
      <c r="AB669" s="695"/>
      <c r="AC669" s="673"/>
      <c r="AD669" s="673"/>
      <c r="AE669" s="673"/>
      <c r="AF669" s="673"/>
      <c r="AG669" s="673"/>
      <c r="AH669" s="673"/>
      <c r="AI669" s="673"/>
      <c r="AJ669" s="673"/>
      <c r="AK669" s="673"/>
      <c r="AL669" s="673"/>
      <c r="AM669" s="673"/>
      <c r="AN669" s="673"/>
      <c r="AO669" s="673"/>
      <c r="AP669" s="673"/>
      <c r="AQ669" s="673"/>
      <c r="AR669" s="673"/>
      <c r="AS669" s="673"/>
      <c r="AT669" s="696"/>
    </row>
    <row r="670" ht="15.75" customHeight="1">
      <c r="A670" s="653"/>
      <c r="B670" s="654"/>
      <c r="C670" s="691"/>
      <c r="D670" s="656"/>
      <c r="E670" s="657"/>
      <c r="F670" s="658"/>
      <c r="G670" s="659"/>
      <c r="H670" s="660"/>
      <c r="I670" s="659"/>
      <c r="J670" s="661"/>
      <c r="K670" s="692"/>
      <c r="L670" s="645"/>
      <c r="M670" s="663"/>
      <c r="N670" s="665"/>
      <c r="O670" s="665"/>
      <c r="P670" s="666"/>
      <c r="Q670" s="667"/>
      <c r="R670" s="668"/>
      <c r="S670" s="693"/>
      <c r="T670" s="694"/>
      <c r="U670" s="694"/>
      <c r="V670" s="693"/>
      <c r="W670" s="693"/>
      <c r="X670" s="693"/>
      <c r="Y670" s="671"/>
      <c r="Z670" s="673"/>
      <c r="AA670" s="672"/>
      <c r="AB670" s="695"/>
      <c r="AC670" s="673"/>
      <c r="AD670" s="673"/>
      <c r="AE670" s="673"/>
      <c r="AF670" s="673"/>
      <c r="AG670" s="673"/>
      <c r="AH670" s="673"/>
      <c r="AI670" s="673"/>
      <c r="AJ670" s="673"/>
      <c r="AK670" s="673"/>
      <c r="AL670" s="673"/>
      <c r="AM670" s="673"/>
      <c r="AN670" s="673"/>
      <c r="AO670" s="673"/>
      <c r="AP670" s="673"/>
      <c r="AQ670" s="673"/>
      <c r="AR670" s="673"/>
      <c r="AS670" s="673"/>
      <c r="AT670" s="696"/>
    </row>
    <row r="671" ht="15.75" customHeight="1">
      <c r="A671" s="653"/>
      <c r="B671" s="654"/>
      <c r="C671" s="691"/>
      <c r="D671" s="656"/>
      <c r="E671" s="657"/>
      <c r="F671" s="658"/>
      <c r="G671" s="659"/>
      <c r="H671" s="660"/>
      <c r="I671" s="659"/>
      <c r="J671" s="661"/>
      <c r="K671" s="692"/>
      <c r="L671" s="645"/>
      <c r="M671" s="663"/>
      <c r="N671" s="665"/>
      <c r="O671" s="665"/>
      <c r="P671" s="666"/>
      <c r="Q671" s="667"/>
      <c r="R671" s="668"/>
      <c r="S671" s="693"/>
      <c r="T671" s="694"/>
      <c r="U671" s="694"/>
      <c r="V671" s="693"/>
      <c r="W671" s="693"/>
      <c r="X671" s="693"/>
      <c r="Y671" s="671"/>
      <c r="Z671" s="673"/>
      <c r="AA671" s="672"/>
      <c r="AB671" s="695"/>
      <c r="AC671" s="673"/>
      <c r="AD671" s="673"/>
      <c r="AE671" s="673"/>
      <c r="AF671" s="673"/>
      <c r="AG671" s="673"/>
      <c r="AH671" s="673"/>
      <c r="AI671" s="673"/>
      <c r="AJ671" s="673"/>
      <c r="AK671" s="673"/>
      <c r="AL671" s="673"/>
      <c r="AM671" s="673"/>
      <c r="AN671" s="673"/>
      <c r="AO671" s="673"/>
      <c r="AP671" s="673"/>
      <c r="AQ671" s="673"/>
      <c r="AR671" s="673"/>
      <c r="AS671" s="673"/>
      <c r="AT671" s="696"/>
    </row>
    <row r="672" ht="15.75" customHeight="1">
      <c r="A672" s="653"/>
      <c r="B672" s="654"/>
      <c r="C672" s="691"/>
      <c r="D672" s="656"/>
      <c r="E672" s="657"/>
      <c r="F672" s="658"/>
      <c r="G672" s="659"/>
      <c r="H672" s="660"/>
      <c r="I672" s="659"/>
      <c r="J672" s="661"/>
      <c r="K672" s="692"/>
      <c r="L672" s="645"/>
      <c r="M672" s="663"/>
      <c r="N672" s="665"/>
      <c r="O672" s="665"/>
      <c r="P672" s="666"/>
      <c r="Q672" s="667"/>
      <c r="R672" s="668"/>
      <c r="S672" s="693"/>
      <c r="T672" s="694"/>
      <c r="U672" s="694"/>
      <c r="V672" s="693"/>
      <c r="W672" s="693"/>
      <c r="X672" s="693"/>
      <c r="Y672" s="671"/>
      <c r="Z672" s="673"/>
      <c r="AA672" s="672"/>
      <c r="AB672" s="695"/>
      <c r="AC672" s="673"/>
      <c r="AD672" s="673"/>
      <c r="AE672" s="673"/>
      <c r="AF672" s="673"/>
      <c r="AG672" s="673"/>
      <c r="AH672" s="673"/>
      <c r="AI672" s="673"/>
      <c r="AJ672" s="673"/>
      <c r="AK672" s="673"/>
      <c r="AL672" s="673"/>
      <c r="AM672" s="673"/>
      <c r="AN672" s="673"/>
      <c r="AO672" s="673"/>
      <c r="AP672" s="673"/>
      <c r="AQ672" s="673"/>
      <c r="AR672" s="673"/>
      <c r="AS672" s="673"/>
      <c r="AT672" s="696"/>
    </row>
    <row r="673" ht="15.75" customHeight="1">
      <c r="A673" s="653"/>
      <c r="B673" s="654"/>
      <c r="C673" s="691"/>
      <c r="D673" s="656"/>
      <c r="E673" s="657"/>
      <c r="F673" s="658"/>
      <c r="G673" s="659"/>
      <c r="H673" s="660"/>
      <c r="I673" s="659"/>
      <c r="J673" s="661"/>
      <c r="K673" s="692"/>
      <c r="L673" s="645"/>
      <c r="M673" s="663"/>
      <c r="N673" s="665"/>
      <c r="O673" s="665"/>
      <c r="P673" s="666"/>
      <c r="Q673" s="667"/>
      <c r="R673" s="668"/>
      <c r="S673" s="693"/>
      <c r="T673" s="694"/>
      <c r="U673" s="694"/>
      <c r="V673" s="693"/>
      <c r="W673" s="693"/>
      <c r="X673" s="693"/>
      <c r="Y673" s="671"/>
      <c r="Z673" s="673"/>
      <c r="AA673" s="672"/>
      <c r="AB673" s="695"/>
      <c r="AC673" s="673"/>
      <c r="AD673" s="673"/>
      <c r="AE673" s="673"/>
      <c r="AF673" s="673"/>
      <c r="AG673" s="673"/>
      <c r="AH673" s="673"/>
      <c r="AI673" s="673"/>
      <c r="AJ673" s="673"/>
      <c r="AK673" s="673"/>
      <c r="AL673" s="673"/>
      <c r="AM673" s="673"/>
      <c r="AN673" s="673"/>
      <c r="AO673" s="673"/>
      <c r="AP673" s="673"/>
      <c r="AQ673" s="673"/>
      <c r="AR673" s="673"/>
      <c r="AS673" s="673"/>
      <c r="AT673" s="696"/>
    </row>
    <row r="674" ht="15.75" customHeight="1">
      <c r="A674" s="653"/>
      <c r="B674" s="654"/>
      <c r="C674" s="691"/>
      <c r="D674" s="656"/>
      <c r="E674" s="657"/>
      <c r="F674" s="658"/>
      <c r="G674" s="659"/>
      <c r="H674" s="660"/>
      <c r="I674" s="659"/>
      <c r="J674" s="661"/>
      <c r="K674" s="692"/>
      <c r="L674" s="645"/>
      <c r="M674" s="663"/>
      <c r="N674" s="665"/>
      <c r="O674" s="665"/>
      <c r="P674" s="666"/>
      <c r="Q674" s="667"/>
      <c r="R674" s="668"/>
      <c r="S674" s="693"/>
      <c r="T674" s="694"/>
      <c r="U674" s="694"/>
      <c r="V674" s="693"/>
      <c r="W674" s="693"/>
      <c r="X674" s="693"/>
      <c r="Y674" s="671"/>
      <c r="Z674" s="673"/>
      <c r="AA674" s="672"/>
      <c r="AB674" s="695"/>
      <c r="AC674" s="673"/>
      <c r="AD674" s="673"/>
      <c r="AE674" s="673"/>
      <c r="AF674" s="673"/>
      <c r="AG674" s="673"/>
      <c r="AH674" s="673"/>
      <c r="AI674" s="673"/>
      <c r="AJ674" s="673"/>
      <c r="AK674" s="673"/>
      <c r="AL674" s="673"/>
      <c r="AM674" s="673"/>
      <c r="AN674" s="673"/>
      <c r="AO674" s="673"/>
      <c r="AP674" s="673"/>
      <c r="AQ674" s="673"/>
      <c r="AR674" s="673"/>
      <c r="AS674" s="673"/>
      <c r="AT674" s="696"/>
    </row>
    <row r="675" ht="15.75" customHeight="1">
      <c r="A675" s="653"/>
      <c r="B675" s="654"/>
      <c r="C675" s="691"/>
      <c r="D675" s="656"/>
      <c r="E675" s="657"/>
      <c r="F675" s="658"/>
      <c r="G675" s="659"/>
      <c r="H675" s="660"/>
      <c r="I675" s="659"/>
      <c r="J675" s="661"/>
      <c r="K675" s="692"/>
      <c r="L675" s="645"/>
      <c r="M675" s="663"/>
      <c r="N675" s="665"/>
      <c r="O675" s="665"/>
      <c r="P675" s="666"/>
      <c r="Q675" s="667"/>
      <c r="R675" s="668"/>
      <c r="S675" s="693"/>
      <c r="T675" s="694"/>
      <c r="U675" s="694"/>
      <c r="V675" s="693"/>
      <c r="W675" s="693"/>
      <c r="X675" s="693"/>
      <c r="Y675" s="671"/>
      <c r="Z675" s="673"/>
      <c r="AA675" s="672"/>
      <c r="AB675" s="695"/>
      <c r="AC675" s="673"/>
      <c r="AD675" s="673"/>
      <c r="AE675" s="673"/>
      <c r="AF675" s="673"/>
      <c r="AG675" s="673"/>
      <c r="AH675" s="673"/>
      <c r="AI675" s="673"/>
      <c r="AJ675" s="673"/>
      <c r="AK675" s="673"/>
      <c r="AL675" s="673"/>
      <c r="AM675" s="673"/>
      <c r="AN675" s="673"/>
      <c r="AO675" s="673"/>
      <c r="AP675" s="673"/>
      <c r="AQ675" s="673"/>
      <c r="AR675" s="673"/>
      <c r="AS675" s="673"/>
      <c r="AT675" s="696"/>
    </row>
    <row r="676" ht="15.75" customHeight="1">
      <c r="A676" s="653"/>
      <c r="B676" s="654"/>
      <c r="C676" s="691"/>
      <c r="D676" s="656"/>
      <c r="E676" s="657"/>
      <c r="F676" s="658"/>
      <c r="G676" s="659"/>
      <c r="H676" s="660"/>
      <c r="I676" s="659"/>
      <c r="J676" s="661"/>
      <c r="K676" s="692"/>
      <c r="L676" s="645"/>
      <c r="M676" s="663"/>
      <c r="N676" s="665"/>
      <c r="O676" s="665"/>
      <c r="P676" s="666"/>
      <c r="Q676" s="667"/>
      <c r="R676" s="668"/>
      <c r="S676" s="693"/>
      <c r="T676" s="694"/>
      <c r="U676" s="694"/>
      <c r="V676" s="693"/>
      <c r="W676" s="693"/>
      <c r="X676" s="693"/>
      <c r="Y676" s="671"/>
      <c r="Z676" s="673"/>
      <c r="AA676" s="672"/>
      <c r="AB676" s="695"/>
      <c r="AC676" s="673"/>
      <c r="AD676" s="673"/>
      <c r="AE676" s="673"/>
      <c r="AF676" s="673"/>
      <c r="AG676" s="673"/>
      <c r="AH676" s="673"/>
      <c r="AI676" s="673"/>
      <c r="AJ676" s="673"/>
      <c r="AK676" s="673"/>
      <c r="AL676" s="673"/>
      <c r="AM676" s="673"/>
      <c r="AN676" s="673"/>
      <c r="AO676" s="673"/>
      <c r="AP676" s="673"/>
      <c r="AQ676" s="673"/>
      <c r="AR676" s="673"/>
      <c r="AS676" s="673"/>
      <c r="AT676" s="696"/>
    </row>
    <row r="677" ht="15.75" customHeight="1">
      <c r="A677" s="653"/>
      <c r="B677" s="654"/>
      <c r="C677" s="691"/>
      <c r="D677" s="656"/>
      <c r="E677" s="657"/>
      <c r="F677" s="658"/>
      <c r="G677" s="659"/>
      <c r="H677" s="660"/>
      <c r="I677" s="659"/>
      <c r="J677" s="661"/>
      <c r="K677" s="692"/>
      <c r="L677" s="645"/>
      <c r="M677" s="663"/>
      <c r="N677" s="665"/>
      <c r="O677" s="665"/>
      <c r="P677" s="666"/>
      <c r="Q677" s="667"/>
      <c r="R677" s="668"/>
      <c r="S677" s="693"/>
      <c r="T677" s="694"/>
      <c r="U677" s="694"/>
      <c r="V677" s="693"/>
      <c r="W677" s="693"/>
      <c r="X677" s="693"/>
      <c r="Y677" s="671"/>
      <c r="Z677" s="673"/>
      <c r="AA677" s="672"/>
      <c r="AB677" s="695"/>
      <c r="AC677" s="673"/>
      <c r="AD677" s="673"/>
      <c r="AE677" s="673"/>
      <c r="AF677" s="673"/>
      <c r="AG677" s="673"/>
      <c r="AH677" s="673"/>
      <c r="AI677" s="673"/>
      <c r="AJ677" s="673"/>
      <c r="AK677" s="673"/>
      <c r="AL677" s="673"/>
      <c r="AM677" s="673"/>
      <c r="AN677" s="673"/>
      <c r="AO677" s="673"/>
      <c r="AP677" s="673"/>
      <c r="AQ677" s="673"/>
      <c r="AR677" s="673"/>
      <c r="AS677" s="673"/>
      <c r="AT677" s="696"/>
    </row>
    <row r="678" ht="15.75" customHeight="1">
      <c r="A678" s="653"/>
      <c r="B678" s="654"/>
      <c r="C678" s="691"/>
      <c r="D678" s="656"/>
      <c r="E678" s="657"/>
      <c r="F678" s="658"/>
      <c r="G678" s="659"/>
      <c r="H678" s="660"/>
      <c r="I678" s="659"/>
      <c r="J678" s="661"/>
      <c r="K678" s="692"/>
      <c r="L678" s="645"/>
      <c r="M678" s="663"/>
      <c r="N678" s="665"/>
      <c r="O678" s="665"/>
      <c r="P678" s="666"/>
      <c r="Q678" s="667"/>
      <c r="R678" s="668"/>
      <c r="S678" s="693"/>
      <c r="T678" s="694"/>
      <c r="U678" s="694"/>
      <c r="V678" s="693"/>
      <c r="W678" s="693"/>
      <c r="X678" s="693"/>
      <c r="Y678" s="671"/>
      <c r="Z678" s="673"/>
      <c r="AA678" s="672"/>
      <c r="AB678" s="695"/>
      <c r="AC678" s="673"/>
      <c r="AD678" s="673"/>
      <c r="AE678" s="673"/>
      <c r="AF678" s="673"/>
      <c r="AG678" s="673"/>
      <c r="AH678" s="673"/>
      <c r="AI678" s="673"/>
      <c r="AJ678" s="673"/>
      <c r="AK678" s="673"/>
      <c r="AL678" s="673"/>
      <c r="AM678" s="673"/>
      <c r="AN678" s="673"/>
      <c r="AO678" s="673"/>
      <c r="AP678" s="673"/>
      <c r="AQ678" s="673"/>
      <c r="AR678" s="673"/>
      <c r="AS678" s="673"/>
      <c r="AT678" s="696"/>
    </row>
    <row r="679" ht="15.75" customHeight="1">
      <c r="A679" s="653"/>
      <c r="B679" s="654"/>
      <c r="C679" s="691"/>
      <c r="D679" s="656"/>
      <c r="E679" s="657"/>
      <c r="F679" s="658"/>
      <c r="G679" s="659"/>
      <c r="H679" s="660"/>
      <c r="I679" s="659"/>
      <c r="J679" s="661"/>
      <c r="K679" s="692"/>
      <c r="L679" s="645"/>
      <c r="M679" s="663"/>
      <c r="N679" s="665"/>
      <c r="O679" s="665"/>
      <c r="P679" s="666"/>
      <c r="Q679" s="667"/>
      <c r="R679" s="668"/>
      <c r="S679" s="693"/>
      <c r="T679" s="694"/>
      <c r="U679" s="694"/>
      <c r="V679" s="693"/>
      <c r="W679" s="693"/>
      <c r="X679" s="693"/>
      <c r="Y679" s="671"/>
      <c r="Z679" s="673"/>
      <c r="AA679" s="672"/>
      <c r="AB679" s="695"/>
      <c r="AC679" s="673"/>
      <c r="AD679" s="673"/>
      <c r="AE679" s="673"/>
      <c r="AF679" s="673"/>
      <c r="AG679" s="673"/>
      <c r="AH679" s="673"/>
      <c r="AI679" s="673"/>
      <c r="AJ679" s="673"/>
      <c r="AK679" s="673"/>
      <c r="AL679" s="673"/>
      <c r="AM679" s="673"/>
      <c r="AN679" s="673"/>
      <c r="AO679" s="673"/>
      <c r="AP679" s="673"/>
      <c r="AQ679" s="673"/>
      <c r="AR679" s="673"/>
      <c r="AS679" s="673"/>
      <c r="AT679" s="696"/>
    </row>
    <row r="680" ht="15.75" customHeight="1">
      <c r="A680" s="653"/>
      <c r="B680" s="654"/>
      <c r="C680" s="691"/>
      <c r="D680" s="656"/>
      <c r="E680" s="657"/>
      <c r="F680" s="658"/>
      <c r="G680" s="659"/>
      <c r="H680" s="660"/>
      <c r="I680" s="659"/>
      <c r="J680" s="661"/>
      <c r="K680" s="692"/>
      <c r="L680" s="645"/>
      <c r="M680" s="663"/>
      <c r="N680" s="665"/>
      <c r="O680" s="665"/>
      <c r="P680" s="666"/>
      <c r="Q680" s="667"/>
      <c r="R680" s="668"/>
      <c r="S680" s="693"/>
      <c r="T680" s="694"/>
      <c r="U680" s="694"/>
      <c r="V680" s="693"/>
      <c r="W680" s="693"/>
      <c r="X680" s="693"/>
      <c r="Y680" s="671"/>
      <c r="Z680" s="673"/>
      <c r="AA680" s="672"/>
      <c r="AB680" s="695"/>
      <c r="AC680" s="673"/>
      <c r="AD680" s="673"/>
      <c r="AE680" s="673"/>
      <c r="AF680" s="673"/>
      <c r="AG680" s="673"/>
      <c r="AH680" s="673"/>
      <c r="AI680" s="673"/>
      <c r="AJ680" s="673"/>
      <c r="AK680" s="673"/>
      <c r="AL680" s="673"/>
      <c r="AM680" s="673"/>
      <c r="AN680" s="673"/>
      <c r="AO680" s="673"/>
      <c r="AP680" s="673"/>
      <c r="AQ680" s="673"/>
      <c r="AR680" s="673"/>
      <c r="AS680" s="673"/>
      <c r="AT680" s="696"/>
    </row>
    <row r="681" ht="15.75" customHeight="1">
      <c r="A681" s="653"/>
      <c r="B681" s="654"/>
      <c r="C681" s="691"/>
      <c r="D681" s="656"/>
      <c r="E681" s="657"/>
      <c r="F681" s="658"/>
      <c r="G681" s="659"/>
      <c r="H681" s="660"/>
      <c r="I681" s="659"/>
      <c r="J681" s="661"/>
      <c r="K681" s="692"/>
      <c r="L681" s="645"/>
      <c r="M681" s="663"/>
      <c r="N681" s="665"/>
      <c r="O681" s="665"/>
      <c r="P681" s="666"/>
      <c r="Q681" s="667"/>
      <c r="R681" s="668"/>
      <c r="S681" s="693"/>
      <c r="T681" s="694"/>
      <c r="U681" s="694"/>
      <c r="V681" s="693"/>
      <c r="W681" s="693"/>
      <c r="X681" s="693"/>
      <c r="Y681" s="671"/>
      <c r="Z681" s="673"/>
      <c r="AA681" s="672"/>
      <c r="AB681" s="695"/>
      <c r="AC681" s="673"/>
      <c r="AD681" s="673"/>
      <c r="AE681" s="673"/>
      <c r="AF681" s="673"/>
      <c r="AG681" s="673"/>
      <c r="AH681" s="673"/>
      <c r="AI681" s="673"/>
      <c r="AJ681" s="673"/>
      <c r="AK681" s="673"/>
      <c r="AL681" s="673"/>
      <c r="AM681" s="673"/>
      <c r="AN681" s="673"/>
      <c r="AO681" s="673"/>
      <c r="AP681" s="673"/>
      <c r="AQ681" s="673"/>
      <c r="AR681" s="673"/>
      <c r="AS681" s="673"/>
      <c r="AT681" s="696"/>
    </row>
    <row r="682" ht="15.75" customHeight="1">
      <c r="A682" s="653"/>
      <c r="B682" s="654"/>
      <c r="C682" s="691"/>
      <c r="D682" s="656"/>
      <c r="E682" s="657"/>
      <c r="F682" s="658"/>
      <c r="G682" s="659"/>
      <c r="H682" s="660"/>
      <c r="I682" s="659"/>
      <c r="J682" s="661"/>
      <c r="K682" s="692"/>
      <c r="L682" s="645"/>
      <c r="M682" s="663"/>
      <c r="N682" s="665"/>
      <c r="O682" s="665"/>
      <c r="P682" s="666"/>
      <c r="Q682" s="667"/>
      <c r="R682" s="668"/>
      <c r="S682" s="693"/>
      <c r="T682" s="694"/>
      <c r="U682" s="694"/>
      <c r="V682" s="693"/>
      <c r="W682" s="693"/>
      <c r="X682" s="693"/>
      <c r="Y682" s="671"/>
      <c r="Z682" s="673"/>
      <c r="AA682" s="672"/>
      <c r="AB682" s="695"/>
      <c r="AC682" s="673"/>
      <c r="AD682" s="673"/>
      <c r="AE682" s="673"/>
      <c r="AF682" s="673"/>
      <c r="AG682" s="673"/>
      <c r="AH682" s="673"/>
      <c r="AI682" s="673"/>
      <c r="AJ682" s="673"/>
      <c r="AK682" s="673"/>
      <c r="AL682" s="673"/>
      <c r="AM682" s="673"/>
      <c r="AN682" s="673"/>
      <c r="AO682" s="673"/>
      <c r="AP682" s="673"/>
      <c r="AQ682" s="673"/>
      <c r="AR682" s="673"/>
      <c r="AS682" s="673"/>
      <c r="AT682" s="696"/>
    </row>
    <row r="683" ht="15.75" customHeight="1">
      <c r="A683" s="653"/>
      <c r="B683" s="654"/>
      <c r="C683" s="691"/>
      <c r="D683" s="656"/>
      <c r="E683" s="657"/>
      <c r="F683" s="658"/>
      <c r="G683" s="659"/>
      <c r="H683" s="660"/>
      <c r="I683" s="659"/>
      <c r="J683" s="661"/>
      <c r="K683" s="692"/>
      <c r="L683" s="645"/>
      <c r="M683" s="663"/>
      <c r="N683" s="665"/>
      <c r="O683" s="665"/>
      <c r="P683" s="666"/>
      <c r="Q683" s="667"/>
      <c r="R683" s="668"/>
      <c r="S683" s="693"/>
      <c r="T683" s="694"/>
      <c r="U683" s="694"/>
      <c r="V683" s="693"/>
      <c r="W683" s="693"/>
      <c r="X683" s="693"/>
      <c r="Y683" s="671"/>
      <c r="Z683" s="673"/>
      <c r="AA683" s="672"/>
      <c r="AB683" s="695"/>
      <c r="AC683" s="673"/>
      <c r="AD683" s="673"/>
      <c r="AE683" s="673"/>
      <c r="AF683" s="673"/>
      <c r="AG683" s="673"/>
      <c r="AH683" s="673"/>
      <c r="AI683" s="673"/>
      <c r="AJ683" s="673"/>
      <c r="AK683" s="673"/>
      <c r="AL683" s="673"/>
      <c r="AM683" s="673"/>
      <c r="AN683" s="673"/>
      <c r="AO683" s="673"/>
      <c r="AP683" s="673"/>
      <c r="AQ683" s="673"/>
      <c r="AR683" s="673"/>
      <c r="AS683" s="673"/>
      <c r="AT683" s="696"/>
    </row>
    <row r="684" ht="15.75" customHeight="1">
      <c r="A684" s="653"/>
      <c r="B684" s="654"/>
      <c r="C684" s="691"/>
      <c r="D684" s="656"/>
      <c r="E684" s="657"/>
      <c r="F684" s="658"/>
      <c r="G684" s="659"/>
      <c r="H684" s="660"/>
      <c r="I684" s="659"/>
      <c r="J684" s="661"/>
      <c r="K684" s="692"/>
      <c r="L684" s="645"/>
      <c r="M684" s="663"/>
      <c r="N684" s="665"/>
      <c r="O684" s="665"/>
      <c r="P684" s="666"/>
      <c r="Q684" s="667"/>
      <c r="R684" s="668"/>
      <c r="S684" s="693"/>
      <c r="T684" s="694"/>
      <c r="U684" s="694"/>
      <c r="V684" s="693"/>
      <c r="W684" s="693"/>
      <c r="X684" s="693"/>
      <c r="Y684" s="671"/>
      <c r="Z684" s="673"/>
      <c r="AA684" s="672"/>
      <c r="AB684" s="695"/>
      <c r="AC684" s="673"/>
      <c r="AD684" s="673"/>
      <c r="AE684" s="673"/>
      <c r="AF684" s="673"/>
      <c r="AG684" s="673"/>
      <c r="AH684" s="673"/>
      <c r="AI684" s="673"/>
      <c r="AJ684" s="673"/>
      <c r="AK684" s="673"/>
      <c r="AL684" s="673"/>
      <c r="AM684" s="673"/>
      <c r="AN684" s="673"/>
      <c r="AO684" s="673"/>
      <c r="AP684" s="673"/>
      <c r="AQ684" s="673"/>
      <c r="AR684" s="673"/>
      <c r="AS684" s="673"/>
      <c r="AT684" s="696"/>
    </row>
    <row r="685" ht="15.75" customHeight="1">
      <c r="A685" s="653"/>
      <c r="B685" s="654"/>
      <c r="C685" s="691"/>
      <c r="D685" s="656"/>
      <c r="E685" s="657"/>
      <c r="F685" s="658"/>
      <c r="G685" s="659"/>
      <c r="H685" s="660"/>
      <c r="I685" s="659"/>
      <c r="J685" s="661"/>
      <c r="K685" s="692"/>
      <c r="L685" s="645"/>
      <c r="M685" s="663"/>
      <c r="N685" s="665"/>
      <c r="O685" s="665"/>
      <c r="P685" s="666"/>
      <c r="Q685" s="667"/>
      <c r="R685" s="668"/>
      <c r="S685" s="693"/>
      <c r="T685" s="694"/>
      <c r="U685" s="694"/>
      <c r="V685" s="693"/>
      <c r="W685" s="693"/>
      <c r="X685" s="693"/>
      <c r="Y685" s="671"/>
      <c r="Z685" s="673"/>
      <c r="AA685" s="672"/>
      <c r="AB685" s="695"/>
      <c r="AC685" s="673"/>
      <c r="AD685" s="673"/>
      <c r="AE685" s="673"/>
      <c r="AF685" s="673"/>
      <c r="AG685" s="673"/>
      <c r="AH685" s="673"/>
      <c r="AI685" s="673"/>
      <c r="AJ685" s="673"/>
      <c r="AK685" s="673"/>
      <c r="AL685" s="673"/>
      <c r="AM685" s="673"/>
      <c r="AN685" s="673"/>
      <c r="AO685" s="673"/>
      <c r="AP685" s="673"/>
      <c r="AQ685" s="673"/>
      <c r="AR685" s="673"/>
      <c r="AS685" s="673"/>
      <c r="AT685" s="696"/>
    </row>
    <row r="686" ht="15.75" customHeight="1">
      <c r="A686" s="653"/>
      <c r="B686" s="654"/>
      <c r="C686" s="691"/>
      <c r="D686" s="656"/>
      <c r="E686" s="657"/>
      <c r="F686" s="658"/>
      <c r="G686" s="659"/>
      <c r="H686" s="660"/>
      <c r="I686" s="659"/>
      <c r="J686" s="661"/>
      <c r="K686" s="692"/>
      <c r="L686" s="645"/>
      <c r="M686" s="663"/>
      <c r="N686" s="665"/>
      <c r="O686" s="665"/>
      <c r="P686" s="666"/>
      <c r="Q686" s="667"/>
      <c r="R686" s="668"/>
      <c r="S686" s="693"/>
      <c r="T686" s="694"/>
      <c r="U686" s="694"/>
      <c r="V686" s="693"/>
      <c r="W686" s="693"/>
      <c r="X686" s="693"/>
      <c r="Y686" s="671"/>
      <c r="Z686" s="673"/>
      <c r="AA686" s="672"/>
      <c r="AB686" s="695"/>
      <c r="AC686" s="673"/>
      <c r="AD686" s="673"/>
      <c r="AE686" s="673"/>
      <c r="AF686" s="673"/>
      <c r="AG686" s="673"/>
      <c r="AH686" s="673"/>
      <c r="AI686" s="673"/>
      <c r="AJ686" s="673"/>
      <c r="AK686" s="673"/>
      <c r="AL686" s="673"/>
      <c r="AM686" s="673"/>
      <c r="AN686" s="673"/>
      <c r="AO686" s="673"/>
      <c r="AP686" s="673"/>
      <c r="AQ686" s="673"/>
      <c r="AR686" s="673"/>
      <c r="AS686" s="673"/>
      <c r="AT686" s="696"/>
    </row>
    <row r="687" ht="15.75" customHeight="1">
      <c r="A687" s="653"/>
      <c r="B687" s="654"/>
      <c r="C687" s="691"/>
      <c r="D687" s="656"/>
      <c r="E687" s="657"/>
      <c r="F687" s="658"/>
      <c r="G687" s="659"/>
      <c r="H687" s="660"/>
      <c r="I687" s="659"/>
      <c r="J687" s="661"/>
      <c r="K687" s="692"/>
      <c r="L687" s="645"/>
      <c r="M687" s="663"/>
      <c r="N687" s="665"/>
      <c r="O687" s="665"/>
      <c r="P687" s="666"/>
      <c r="Q687" s="667"/>
      <c r="R687" s="668"/>
      <c r="S687" s="693"/>
      <c r="T687" s="694"/>
      <c r="U687" s="694"/>
      <c r="V687" s="693"/>
      <c r="W687" s="693"/>
      <c r="X687" s="693"/>
      <c r="Y687" s="671"/>
      <c r="Z687" s="673"/>
      <c r="AA687" s="672"/>
      <c r="AB687" s="695"/>
      <c r="AC687" s="673"/>
      <c r="AD687" s="673"/>
      <c r="AE687" s="673"/>
      <c r="AF687" s="673"/>
      <c r="AG687" s="673"/>
      <c r="AH687" s="673"/>
      <c r="AI687" s="673"/>
      <c r="AJ687" s="673"/>
      <c r="AK687" s="673"/>
      <c r="AL687" s="673"/>
      <c r="AM687" s="673"/>
      <c r="AN687" s="673"/>
      <c r="AO687" s="673"/>
      <c r="AP687" s="673"/>
      <c r="AQ687" s="673"/>
      <c r="AR687" s="673"/>
      <c r="AS687" s="673"/>
      <c r="AT687" s="696"/>
    </row>
    <row r="688" ht="15.75" customHeight="1">
      <c r="A688" s="653"/>
      <c r="B688" s="654"/>
      <c r="C688" s="691"/>
      <c r="D688" s="656"/>
      <c r="E688" s="657"/>
      <c r="F688" s="658"/>
      <c r="G688" s="659"/>
      <c r="H688" s="660"/>
      <c r="I688" s="659"/>
      <c r="J688" s="661"/>
      <c r="K688" s="692"/>
      <c r="L688" s="645"/>
      <c r="M688" s="663"/>
      <c r="N688" s="665"/>
      <c r="O688" s="665"/>
      <c r="P688" s="666"/>
      <c r="Q688" s="667"/>
      <c r="R688" s="668"/>
      <c r="S688" s="693"/>
      <c r="T688" s="694"/>
      <c r="U688" s="694"/>
      <c r="V688" s="693"/>
      <c r="W688" s="693"/>
      <c r="X688" s="693"/>
      <c r="Y688" s="671"/>
      <c r="Z688" s="673"/>
      <c r="AA688" s="672"/>
      <c r="AB688" s="695"/>
      <c r="AC688" s="673"/>
      <c r="AD688" s="673"/>
      <c r="AE688" s="673"/>
      <c r="AF688" s="673"/>
      <c r="AG688" s="673"/>
      <c r="AH688" s="673"/>
      <c r="AI688" s="673"/>
      <c r="AJ688" s="673"/>
      <c r="AK688" s="673"/>
      <c r="AL688" s="673"/>
      <c r="AM688" s="673"/>
      <c r="AN688" s="673"/>
      <c r="AO688" s="673"/>
      <c r="AP688" s="673"/>
      <c r="AQ688" s="673"/>
      <c r="AR688" s="673"/>
      <c r="AS688" s="673"/>
      <c r="AT688" s="696"/>
    </row>
    <row r="689" ht="15.75" customHeight="1">
      <c r="A689" s="653"/>
      <c r="B689" s="654"/>
      <c r="C689" s="691"/>
      <c r="D689" s="656"/>
      <c r="E689" s="657"/>
      <c r="F689" s="658"/>
      <c r="G689" s="659"/>
      <c r="H689" s="660"/>
      <c r="I689" s="659"/>
      <c r="J689" s="661"/>
      <c r="K689" s="692"/>
      <c r="L689" s="645"/>
      <c r="M689" s="663"/>
      <c r="N689" s="665"/>
      <c r="O689" s="665"/>
      <c r="P689" s="666"/>
      <c r="Q689" s="667"/>
      <c r="R689" s="668"/>
      <c r="S689" s="693"/>
      <c r="T689" s="694"/>
      <c r="U689" s="694"/>
      <c r="V689" s="693"/>
      <c r="W689" s="693"/>
      <c r="X689" s="693"/>
      <c r="Y689" s="671"/>
      <c r="Z689" s="673"/>
      <c r="AA689" s="672"/>
      <c r="AB689" s="695"/>
      <c r="AC689" s="673"/>
      <c r="AD689" s="673"/>
      <c r="AE689" s="673"/>
      <c r="AF689" s="673"/>
      <c r="AG689" s="673"/>
      <c r="AH689" s="673"/>
      <c r="AI689" s="673"/>
      <c r="AJ689" s="673"/>
      <c r="AK689" s="673"/>
      <c r="AL689" s="673"/>
      <c r="AM689" s="673"/>
      <c r="AN689" s="673"/>
      <c r="AO689" s="673"/>
      <c r="AP689" s="673"/>
      <c r="AQ689" s="673"/>
      <c r="AR689" s="673"/>
      <c r="AS689" s="673"/>
      <c r="AT689" s="696"/>
    </row>
    <row r="690" ht="15.75" customHeight="1">
      <c r="A690" s="653"/>
      <c r="B690" s="654"/>
      <c r="C690" s="691"/>
      <c r="D690" s="656"/>
      <c r="E690" s="657"/>
      <c r="F690" s="658"/>
      <c r="G690" s="659"/>
      <c r="H690" s="660"/>
      <c r="I690" s="659"/>
      <c r="J690" s="661"/>
      <c r="K690" s="692"/>
      <c r="L690" s="645"/>
      <c r="M690" s="663"/>
      <c r="N690" s="665"/>
      <c r="O690" s="665"/>
      <c r="P690" s="666"/>
      <c r="Q690" s="667"/>
      <c r="R690" s="668"/>
      <c r="S690" s="693"/>
      <c r="T690" s="694"/>
      <c r="U690" s="694"/>
      <c r="V690" s="693"/>
      <c r="W690" s="693"/>
      <c r="X690" s="693"/>
      <c r="Y690" s="671"/>
      <c r="Z690" s="673"/>
      <c r="AA690" s="672"/>
      <c r="AB690" s="695"/>
      <c r="AC690" s="673"/>
      <c r="AD690" s="673"/>
      <c r="AE690" s="673"/>
      <c r="AF690" s="673"/>
      <c r="AG690" s="673"/>
      <c r="AH690" s="673"/>
      <c r="AI690" s="673"/>
      <c r="AJ690" s="673"/>
      <c r="AK690" s="673"/>
      <c r="AL690" s="673"/>
      <c r="AM690" s="673"/>
      <c r="AN690" s="673"/>
      <c r="AO690" s="673"/>
      <c r="AP690" s="673"/>
      <c r="AQ690" s="673"/>
      <c r="AR690" s="673"/>
      <c r="AS690" s="673"/>
      <c r="AT690" s="696"/>
    </row>
    <row r="691" ht="15.75" customHeight="1">
      <c r="A691" s="653"/>
      <c r="B691" s="654"/>
      <c r="C691" s="691"/>
      <c r="D691" s="656"/>
      <c r="E691" s="657"/>
      <c r="F691" s="658"/>
      <c r="G691" s="659"/>
      <c r="H691" s="660"/>
      <c r="I691" s="659"/>
      <c r="J691" s="661"/>
      <c r="K691" s="692"/>
      <c r="L691" s="645"/>
      <c r="M691" s="663"/>
      <c r="N691" s="665"/>
      <c r="O691" s="665"/>
      <c r="P691" s="666"/>
      <c r="Q691" s="667"/>
      <c r="R691" s="668"/>
      <c r="S691" s="693"/>
      <c r="T691" s="694"/>
      <c r="U691" s="694"/>
      <c r="V691" s="693"/>
      <c r="W691" s="693"/>
      <c r="X691" s="693"/>
      <c r="Y691" s="671"/>
      <c r="Z691" s="673"/>
      <c r="AA691" s="672"/>
      <c r="AB691" s="695"/>
      <c r="AC691" s="673"/>
      <c r="AD691" s="673"/>
      <c r="AE691" s="673"/>
      <c r="AF691" s="673"/>
      <c r="AG691" s="673"/>
      <c r="AH691" s="673"/>
      <c r="AI691" s="673"/>
      <c r="AJ691" s="673"/>
      <c r="AK691" s="673"/>
      <c r="AL691" s="673"/>
      <c r="AM691" s="673"/>
      <c r="AN691" s="673"/>
      <c r="AO691" s="673"/>
      <c r="AP691" s="673"/>
      <c r="AQ691" s="673"/>
      <c r="AR691" s="673"/>
      <c r="AS691" s="673"/>
      <c r="AT691" s="696"/>
    </row>
    <row r="692" ht="15.75" customHeight="1">
      <c r="A692" s="653"/>
      <c r="B692" s="654"/>
      <c r="C692" s="691"/>
      <c r="D692" s="656"/>
      <c r="E692" s="657"/>
      <c r="F692" s="658"/>
      <c r="G692" s="659"/>
      <c r="H692" s="660"/>
      <c r="I692" s="659"/>
      <c r="J692" s="661"/>
      <c r="K692" s="692"/>
      <c r="L692" s="645"/>
      <c r="M692" s="663"/>
      <c r="N692" s="665"/>
      <c r="O692" s="665"/>
      <c r="P692" s="666"/>
      <c r="Q692" s="667"/>
      <c r="R692" s="668"/>
      <c r="S692" s="693"/>
      <c r="T692" s="694"/>
      <c r="U692" s="694"/>
      <c r="V692" s="693"/>
      <c r="W692" s="693"/>
      <c r="X692" s="693"/>
      <c r="Y692" s="671"/>
      <c r="Z692" s="673"/>
      <c r="AA692" s="672"/>
      <c r="AB692" s="695"/>
      <c r="AC692" s="673"/>
      <c r="AD692" s="673"/>
      <c r="AE692" s="673"/>
      <c r="AF692" s="673"/>
      <c r="AG692" s="673"/>
      <c r="AH692" s="673"/>
      <c r="AI692" s="673"/>
      <c r="AJ692" s="673"/>
      <c r="AK692" s="673"/>
      <c r="AL692" s="673"/>
      <c r="AM692" s="673"/>
      <c r="AN692" s="673"/>
      <c r="AO692" s="673"/>
      <c r="AP692" s="673"/>
      <c r="AQ692" s="673"/>
      <c r="AR692" s="673"/>
      <c r="AS692" s="673"/>
      <c r="AT692" s="696"/>
    </row>
    <row r="693" ht="15.75" customHeight="1">
      <c r="A693" s="653"/>
      <c r="B693" s="654"/>
      <c r="C693" s="691"/>
      <c r="D693" s="656"/>
      <c r="E693" s="657"/>
      <c r="F693" s="658"/>
      <c r="G693" s="659"/>
      <c r="H693" s="660"/>
      <c r="I693" s="659"/>
      <c r="J693" s="661"/>
      <c r="K693" s="692"/>
      <c r="L693" s="645"/>
      <c r="M693" s="663"/>
      <c r="N693" s="665"/>
      <c r="O693" s="665"/>
      <c r="P693" s="666"/>
      <c r="Q693" s="667"/>
      <c r="R693" s="668"/>
      <c r="S693" s="693"/>
      <c r="T693" s="694"/>
      <c r="U693" s="694"/>
      <c r="V693" s="693"/>
      <c r="W693" s="693"/>
      <c r="X693" s="693"/>
      <c r="Y693" s="671"/>
      <c r="Z693" s="673"/>
      <c r="AA693" s="672"/>
      <c r="AB693" s="695"/>
      <c r="AC693" s="673"/>
      <c r="AD693" s="673"/>
      <c r="AE693" s="673"/>
      <c r="AF693" s="673"/>
      <c r="AG693" s="673"/>
      <c r="AH693" s="673"/>
      <c r="AI693" s="673"/>
      <c r="AJ693" s="673"/>
      <c r="AK693" s="673"/>
      <c r="AL693" s="673"/>
      <c r="AM693" s="673"/>
      <c r="AN693" s="673"/>
      <c r="AO693" s="673"/>
      <c r="AP693" s="673"/>
      <c r="AQ693" s="673"/>
      <c r="AR693" s="673"/>
      <c r="AS693" s="673"/>
      <c r="AT693" s="696"/>
    </row>
    <row r="694" ht="15.75" customHeight="1">
      <c r="A694" s="653"/>
      <c r="B694" s="654"/>
      <c r="C694" s="691"/>
      <c r="D694" s="656"/>
      <c r="E694" s="657"/>
      <c r="F694" s="658"/>
      <c r="G694" s="659"/>
      <c r="H694" s="660"/>
      <c r="I694" s="659"/>
      <c r="J694" s="661"/>
      <c r="K694" s="692"/>
      <c r="L694" s="645"/>
      <c r="M694" s="663"/>
      <c r="N694" s="665"/>
      <c r="O694" s="665"/>
      <c r="P694" s="666"/>
      <c r="Q694" s="667"/>
      <c r="R694" s="668"/>
      <c r="S694" s="693"/>
      <c r="T694" s="694"/>
      <c r="U694" s="694"/>
      <c r="V694" s="693"/>
      <c r="W694" s="693"/>
      <c r="X694" s="693"/>
      <c r="Y694" s="671"/>
      <c r="Z694" s="673"/>
      <c r="AA694" s="672"/>
      <c r="AB694" s="695"/>
      <c r="AC694" s="673"/>
      <c r="AD694" s="673"/>
      <c r="AE694" s="673"/>
      <c r="AF694" s="673"/>
      <c r="AG694" s="673"/>
      <c r="AH694" s="673"/>
      <c r="AI694" s="673"/>
      <c r="AJ694" s="673"/>
      <c r="AK694" s="673"/>
      <c r="AL694" s="673"/>
      <c r="AM694" s="673"/>
      <c r="AN694" s="673"/>
      <c r="AO694" s="673"/>
      <c r="AP694" s="673"/>
      <c r="AQ694" s="673"/>
      <c r="AR694" s="673"/>
      <c r="AS694" s="673"/>
      <c r="AT694" s="696"/>
    </row>
    <row r="695" ht="15.75" customHeight="1">
      <c r="A695" s="653"/>
      <c r="B695" s="654"/>
      <c r="C695" s="691"/>
      <c r="D695" s="656"/>
      <c r="E695" s="657"/>
      <c r="F695" s="658"/>
      <c r="G695" s="659"/>
      <c r="H695" s="660"/>
      <c r="I695" s="659"/>
      <c r="J695" s="661"/>
      <c r="K695" s="692"/>
      <c r="L695" s="645"/>
      <c r="M695" s="663"/>
      <c r="N695" s="665"/>
      <c r="O695" s="665"/>
      <c r="P695" s="666"/>
      <c r="Q695" s="667"/>
      <c r="R695" s="668"/>
      <c r="S695" s="693"/>
      <c r="T695" s="694"/>
      <c r="U695" s="694"/>
      <c r="V695" s="693"/>
      <c r="W695" s="693"/>
      <c r="X695" s="693"/>
      <c r="Y695" s="671"/>
      <c r="Z695" s="673"/>
      <c r="AA695" s="672"/>
      <c r="AB695" s="695"/>
      <c r="AC695" s="673"/>
      <c r="AD695" s="673"/>
      <c r="AE695" s="673"/>
      <c r="AF695" s="673"/>
      <c r="AG695" s="673"/>
      <c r="AH695" s="673"/>
      <c r="AI695" s="673"/>
      <c r="AJ695" s="673"/>
      <c r="AK695" s="673"/>
      <c r="AL695" s="673"/>
      <c r="AM695" s="673"/>
      <c r="AN695" s="673"/>
      <c r="AO695" s="673"/>
      <c r="AP695" s="673"/>
      <c r="AQ695" s="673"/>
      <c r="AR695" s="673"/>
      <c r="AS695" s="673"/>
      <c r="AT695" s="696"/>
    </row>
    <row r="696" ht="15.75" customHeight="1">
      <c r="A696" s="653"/>
      <c r="B696" s="654"/>
      <c r="C696" s="691"/>
      <c r="D696" s="656"/>
      <c r="E696" s="657"/>
      <c r="F696" s="658"/>
      <c r="G696" s="659"/>
      <c r="H696" s="660"/>
      <c r="I696" s="659"/>
      <c r="J696" s="661"/>
      <c r="K696" s="692"/>
      <c r="L696" s="645"/>
      <c r="M696" s="663"/>
      <c r="N696" s="665"/>
      <c r="O696" s="665"/>
      <c r="P696" s="666"/>
      <c r="Q696" s="667"/>
      <c r="R696" s="668"/>
      <c r="S696" s="693"/>
      <c r="T696" s="694"/>
      <c r="U696" s="694"/>
      <c r="V696" s="693"/>
      <c r="W696" s="693"/>
      <c r="X696" s="693"/>
      <c r="Y696" s="671"/>
      <c r="Z696" s="673"/>
      <c r="AA696" s="672"/>
      <c r="AB696" s="695"/>
      <c r="AC696" s="673"/>
      <c r="AD696" s="673"/>
      <c r="AE696" s="673"/>
      <c r="AF696" s="673"/>
      <c r="AG696" s="673"/>
      <c r="AH696" s="673"/>
      <c r="AI696" s="673"/>
      <c r="AJ696" s="673"/>
      <c r="AK696" s="673"/>
      <c r="AL696" s="673"/>
      <c r="AM696" s="673"/>
      <c r="AN696" s="673"/>
      <c r="AO696" s="673"/>
      <c r="AP696" s="673"/>
      <c r="AQ696" s="673"/>
      <c r="AR696" s="673"/>
      <c r="AS696" s="673"/>
      <c r="AT696" s="696"/>
    </row>
    <row r="697" ht="15.75" customHeight="1">
      <c r="A697" s="653"/>
      <c r="B697" s="654"/>
      <c r="C697" s="691"/>
      <c r="D697" s="656"/>
      <c r="E697" s="657"/>
      <c r="F697" s="658"/>
      <c r="G697" s="659"/>
      <c r="H697" s="660"/>
      <c r="I697" s="659"/>
      <c r="J697" s="661"/>
      <c r="K697" s="692"/>
      <c r="L697" s="645"/>
      <c r="M697" s="663"/>
      <c r="N697" s="665"/>
      <c r="O697" s="665"/>
      <c r="P697" s="666"/>
      <c r="Q697" s="667"/>
      <c r="R697" s="668"/>
      <c r="S697" s="693"/>
      <c r="T697" s="694"/>
      <c r="U697" s="694"/>
      <c r="V697" s="693"/>
      <c r="W697" s="693"/>
      <c r="X697" s="693"/>
      <c r="Y697" s="671"/>
      <c r="Z697" s="673"/>
      <c r="AA697" s="672"/>
      <c r="AB697" s="695"/>
      <c r="AC697" s="673"/>
      <c r="AD697" s="673"/>
      <c r="AE697" s="673"/>
      <c r="AF697" s="673"/>
      <c r="AG697" s="673"/>
      <c r="AH697" s="673"/>
      <c r="AI697" s="673"/>
      <c r="AJ697" s="673"/>
      <c r="AK697" s="673"/>
      <c r="AL697" s="673"/>
      <c r="AM697" s="673"/>
      <c r="AN697" s="673"/>
      <c r="AO697" s="673"/>
      <c r="AP697" s="673"/>
      <c r="AQ697" s="673"/>
      <c r="AR697" s="673"/>
      <c r="AS697" s="673"/>
      <c r="AT697" s="696"/>
    </row>
    <row r="698" ht="15.75" customHeight="1">
      <c r="A698" s="653"/>
      <c r="B698" s="654"/>
      <c r="C698" s="691"/>
      <c r="D698" s="656"/>
      <c r="E698" s="657"/>
      <c r="F698" s="658"/>
      <c r="G698" s="659"/>
      <c r="H698" s="660"/>
      <c r="I698" s="659"/>
      <c r="J698" s="661"/>
      <c r="K698" s="692"/>
      <c r="L698" s="645"/>
      <c r="M698" s="663"/>
      <c r="N698" s="665"/>
      <c r="O698" s="665"/>
      <c r="P698" s="666"/>
      <c r="Q698" s="667"/>
      <c r="R698" s="668"/>
      <c r="S698" s="693"/>
      <c r="T698" s="694"/>
      <c r="U698" s="694"/>
      <c r="V698" s="693"/>
      <c r="W698" s="693"/>
      <c r="X698" s="693"/>
      <c r="Y698" s="671"/>
      <c r="Z698" s="673"/>
      <c r="AA698" s="672"/>
      <c r="AB698" s="695"/>
      <c r="AC698" s="673"/>
      <c r="AD698" s="673"/>
      <c r="AE698" s="673"/>
      <c r="AF698" s="673"/>
      <c r="AG698" s="673"/>
      <c r="AH698" s="673"/>
      <c r="AI698" s="673"/>
      <c r="AJ698" s="673"/>
      <c r="AK698" s="673"/>
      <c r="AL698" s="673"/>
      <c r="AM698" s="673"/>
      <c r="AN698" s="673"/>
      <c r="AO698" s="673"/>
      <c r="AP698" s="673"/>
      <c r="AQ698" s="673"/>
      <c r="AR698" s="673"/>
      <c r="AS698" s="673"/>
      <c r="AT698" s="696"/>
    </row>
    <row r="699" ht="15.75" customHeight="1">
      <c r="A699" s="653"/>
      <c r="B699" s="654"/>
      <c r="C699" s="691"/>
      <c r="D699" s="656"/>
      <c r="E699" s="657"/>
      <c r="F699" s="658"/>
      <c r="G699" s="659"/>
      <c r="H699" s="660"/>
      <c r="I699" s="659"/>
      <c r="J699" s="661"/>
      <c r="K699" s="692"/>
      <c r="L699" s="645"/>
      <c r="M699" s="663"/>
      <c r="N699" s="665"/>
      <c r="O699" s="665"/>
      <c r="P699" s="666"/>
      <c r="Q699" s="667"/>
      <c r="R699" s="668"/>
      <c r="S699" s="693"/>
      <c r="T699" s="694"/>
      <c r="U699" s="694"/>
      <c r="V699" s="693"/>
      <c r="W699" s="693"/>
      <c r="X699" s="693"/>
      <c r="Y699" s="671"/>
      <c r="Z699" s="673"/>
      <c r="AA699" s="672"/>
      <c r="AB699" s="695"/>
      <c r="AC699" s="673"/>
      <c r="AD699" s="673"/>
      <c r="AE699" s="673"/>
      <c r="AF699" s="673"/>
      <c r="AG699" s="673"/>
      <c r="AH699" s="673"/>
      <c r="AI699" s="673"/>
      <c r="AJ699" s="673"/>
      <c r="AK699" s="673"/>
      <c r="AL699" s="673"/>
      <c r="AM699" s="673"/>
      <c r="AN699" s="673"/>
      <c r="AO699" s="673"/>
      <c r="AP699" s="673"/>
      <c r="AQ699" s="673"/>
      <c r="AR699" s="673"/>
      <c r="AS699" s="673"/>
      <c r="AT699" s="696"/>
    </row>
    <row r="700" ht="15.75" customHeight="1">
      <c r="A700" s="653"/>
      <c r="B700" s="654"/>
      <c r="C700" s="691"/>
      <c r="D700" s="656"/>
      <c r="E700" s="657"/>
      <c r="F700" s="658"/>
      <c r="G700" s="659"/>
      <c r="H700" s="660"/>
      <c r="I700" s="659"/>
      <c r="J700" s="661"/>
      <c r="K700" s="692"/>
      <c r="L700" s="645"/>
      <c r="M700" s="663"/>
      <c r="N700" s="665"/>
      <c r="O700" s="665"/>
      <c r="P700" s="666"/>
      <c r="Q700" s="667"/>
      <c r="R700" s="668"/>
      <c r="S700" s="693"/>
      <c r="T700" s="694"/>
      <c r="U700" s="694"/>
      <c r="V700" s="693"/>
      <c r="W700" s="693"/>
      <c r="X700" s="693"/>
      <c r="Y700" s="671"/>
      <c r="Z700" s="673"/>
      <c r="AA700" s="672"/>
      <c r="AB700" s="695"/>
      <c r="AC700" s="673"/>
      <c r="AD700" s="673"/>
      <c r="AE700" s="673"/>
      <c r="AF700" s="673"/>
      <c r="AG700" s="673"/>
      <c r="AH700" s="673"/>
      <c r="AI700" s="673"/>
      <c r="AJ700" s="673"/>
      <c r="AK700" s="673"/>
      <c r="AL700" s="673"/>
      <c r="AM700" s="673"/>
      <c r="AN700" s="673"/>
      <c r="AO700" s="673"/>
      <c r="AP700" s="673"/>
      <c r="AQ700" s="673"/>
      <c r="AR700" s="673"/>
      <c r="AS700" s="673"/>
      <c r="AT700" s="696"/>
    </row>
    <row r="701" ht="15.75" customHeight="1">
      <c r="A701" s="653"/>
      <c r="B701" s="654"/>
      <c r="C701" s="691"/>
      <c r="D701" s="656"/>
      <c r="E701" s="657"/>
      <c r="F701" s="658"/>
      <c r="G701" s="659"/>
      <c r="H701" s="660"/>
      <c r="I701" s="659"/>
      <c r="J701" s="661"/>
      <c r="K701" s="692"/>
      <c r="L701" s="645"/>
      <c r="M701" s="663"/>
      <c r="N701" s="665"/>
      <c r="O701" s="665"/>
      <c r="P701" s="666"/>
      <c r="Q701" s="667"/>
      <c r="R701" s="668"/>
      <c r="S701" s="693"/>
      <c r="T701" s="694"/>
      <c r="U701" s="694"/>
      <c r="V701" s="693"/>
      <c r="W701" s="693"/>
      <c r="X701" s="693"/>
      <c r="Y701" s="671"/>
      <c r="Z701" s="673"/>
      <c r="AA701" s="672"/>
      <c r="AB701" s="695"/>
      <c r="AC701" s="673"/>
      <c r="AD701" s="673"/>
      <c r="AE701" s="673"/>
      <c r="AF701" s="673"/>
      <c r="AG701" s="673"/>
      <c r="AH701" s="673"/>
      <c r="AI701" s="673"/>
      <c r="AJ701" s="673"/>
      <c r="AK701" s="673"/>
      <c r="AL701" s="673"/>
      <c r="AM701" s="673"/>
      <c r="AN701" s="673"/>
      <c r="AO701" s="673"/>
      <c r="AP701" s="673"/>
      <c r="AQ701" s="673"/>
      <c r="AR701" s="673"/>
      <c r="AS701" s="673"/>
      <c r="AT701" s="696"/>
    </row>
    <row r="702" ht="15.75" customHeight="1">
      <c r="A702" s="653"/>
      <c r="B702" s="654"/>
      <c r="C702" s="691"/>
      <c r="D702" s="656"/>
      <c r="E702" s="657"/>
      <c r="F702" s="658"/>
      <c r="G702" s="659"/>
      <c r="H702" s="660"/>
      <c r="I702" s="659"/>
      <c r="J702" s="661"/>
      <c r="K702" s="692"/>
      <c r="L702" s="645"/>
      <c r="M702" s="663"/>
      <c r="N702" s="665"/>
      <c r="O702" s="665"/>
      <c r="P702" s="666"/>
      <c r="Q702" s="667"/>
      <c r="R702" s="668"/>
      <c r="S702" s="693"/>
      <c r="T702" s="694"/>
      <c r="U702" s="694"/>
      <c r="V702" s="693"/>
      <c r="W702" s="693"/>
      <c r="X702" s="693"/>
      <c r="Y702" s="671"/>
      <c r="Z702" s="673"/>
      <c r="AA702" s="672"/>
      <c r="AB702" s="695"/>
      <c r="AC702" s="673"/>
      <c r="AD702" s="673"/>
      <c r="AE702" s="673"/>
      <c r="AF702" s="673"/>
      <c r="AG702" s="673"/>
      <c r="AH702" s="673"/>
      <c r="AI702" s="673"/>
      <c r="AJ702" s="673"/>
      <c r="AK702" s="673"/>
      <c r="AL702" s="673"/>
      <c r="AM702" s="673"/>
      <c r="AN702" s="673"/>
      <c r="AO702" s="673"/>
      <c r="AP702" s="673"/>
      <c r="AQ702" s="673"/>
      <c r="AR702" s="673"/>
      <c r="AS702" s="673"/>
      <c r="AT702" s="696"/>
    </row>
    <row r="703" ht="15.75" customHeight="1">
      <c r="A703" s="653"/>
      <c r="B703" s="654"/>
      <c r="C703" s="691"/>
      <c r="D703" s="656"/>
      <c r="E703" s="657"/>
      <c r="F703" s="658"/>
      <c r="G703" s="659"/>
      <c r="H703" s="660"/>
      <c r="I703" s="659"/>
      <c r="J703" s="661"/>
      <c r="K703" s="692"/>
      <c r="L703" s="645"/>
      <c r="M703" s="663"/>
      <c r="N703" s="665"/>
      <c r="O703" s="665"/>
      <c r="P703" s="666"/>
      <c r="Q703" s="667"/>
      <c r="R703" s="668"/>
      <c r="S703" s="693"/>
      <c r="T703" s="694"/>
      <c r="U703" s="694"/>
      <c r="V703" s="693"/>
      <c r="W703" s="693"/>
      <c r="X703" s="693"/>
      <c r="Y703" s="671"/>
      <c r="Z703" s="673"/>
      <c r="AA703" s="672"/>
      <c r="AB703" s="695"/>
      <c r="AC703" s="673"/>
      <c r="AD703" s="673"/>
      <c r="AE703" s="673"/>
      <c r="AF703" s="673"/>
      <c r="AG703" s="673"/>
      <c r="AH703" s="673"/>
      <c r="AI703" s="673"/>
      <c r="AJ703" s="673"/>
      <c r="AK703" s="673"/>
      <c r="AL703" s="673"/>
      <c r="AM703" s="673"/>
      <c r="AN703" s="673"/>
      <c r="AO703" s="673"/>
      <c r="AP703" s="673"/>
      <c r="AQ703" s="673"/>
      <c r="AR703" s="673"/>
      <c r="AS703" s="673"/>
      <c r="AT703" s="696"/>
    </row>
    <row r="704" ht="15.75" customHeight="1">
      <c r="A704" s="653"/>
      <c r="B704" s="654"/>
      <c r="C704" s="691"/>
      <c r="D704" s="656"/>
      <c r="E704" s="657"/>
      <c r="F704" s="658"/>
      <c r="G704" s="659"/>
      <c r="H704" s="660"/>
      <c r="I704" s="659"/>
      <c r="J704" s="661"/>
      <c r="K704" s="692"/>
      <c r="L704" s="645"/>
      <c r="M704" s="663"/>
      <c r="N704" s="665"/>
      <c r="O704" s="665"/>
      <c r="P704" s="666"/>
      <c r="Q704" s="667"/>
      <c r="R704" s="668"/>
      <c r="S704" s="693"/>
      <c r="T704" s="694"/>
      <c r="U704" s="694"/>
      <c r="V704" s="693"/>
      <c r="W704" s="693"/>
      <c r="X704" s="693"/>
      <c r="Y704" s="671"/>
      <c r="Z704" s="673"/>
      <c r="AA704" s="672"/>
      <c r="AB704" s="695"/>
      <c r="AC704" s="673"/>
      <c r="AD704" s="673"/>
      <c r="AE704" s="673"/>
      <c r="AF704" s="673"/>
      <c r="AG704" s="673"/>
      <c r="AH704" s="673"/>
      <c r="AI704" s="673"/>
      <c r="AJ704" s="673"/>
      <c r="AK704" s="673"/>
      <c r="AL704" s="673"/>
      <c r="AM704" s="673"/>
      <c r="AN704" s="673"/>
      <c r="AO704" s="673"/>
      <c r="AP704" s="673"/>
      <c r="AQ704" s="673"/>
      <c r="AR704" s="673"/>
      <c r="AS704" s="673"/>
      <c r="AT704" s="696"/>
    </row>
    <row r="705" ht="15.75" customHeight="1">
      <c r="A705" s="653"/>
      <c r="B705" s="654"/>
      <c r="C705" s="691"/>
      <c r="D705" s="656"/>
      <c r="E705" s="657"/>
      <c r="F705" s="658"/>
      <c r="G705" s="659"/>
      <c r="H705" s="660"/>
      <c r="I705" s="659"/>
      <c r="J705" s="661"/>
      <c r="K705" s="692"/>
      <c r="L705" s="645"/>
      <c r="M705" s="663"/>
      <c r="N705" s="665"/>
      <c r="O705" s="665"/>
      <c r="P705" s="666"/>
      <c r="Q705" s="667"/>
      <c r="R705" s="668"/>
      <c r="S705" s="693"/>
      <c r="T705" s="694"/>
      <c r="U705" s="694"/>
      <c r="V705" s="693"/>
      <c r="W705" s="693"/>
      <c r="X705" s="693"/>
      <c r="Y705" s="671"/>
      <c r="Z705" s="673"/>
      <c r="AA705" s="672"/>
      <c r="AB705" s="695"/>
      <c r="AC705" s="673"/>
      <c r="AD705" s="673"/>
      <c r="AE705" s="673"/>
      <c r="AF705" s="673"/>
      <c r="AG705" s="673"/>
      <c r="AH705" s="673"/>
      <c r="AI705" s="673"/>
      <c r="AJ705" s="673"/>
      <c r="AK705" s="673"/>
      <c r="AL705" s="673"/>
      <c r="AM705" s="673"/>
      <c r="AN705" s="673"/>
      <c r="AO705" s="673"/>
      <c r="AP705" s="673"/>
      <c r="AQ705" s="673"/>
      <c r="AR705" s="673"/>
      <c r="AS705" s="673"/>
      <c r="AT705" s="696"/>
    </row>
    <row r="706" ht="15.75" customHeight="1">
      <c r="A706" s="653"/>
      <c r="B706" s="654"/>
      <c r="C706" s="691"/>
      <c r="D706" s="656"/>
      <c r="E706" s="657"/>
      <c r="F706" s="658"/>
      <c r="G706" s="659"/>
      <c r="H706" s="660"/>
      <c r="I706" s="659"/>
      <c r="J706" s="661"/>
      <c r="K706" s="692"/>
      <c r="L706" s="645"/>
      <c r="M706" s="663"/>
      <c r="N706" s="665"/>
      <c r="O706" s="665"/>
      <c r="P706" s="666"/>
      <c r="Q706" s="667"/>
      <c r="R706" s="668"/>
      <c r="S706" s="693"/>
      <c r="T706" s="694"/>
      <c r="U706" s="694"/>
      <c r="V706" s="693"/>
      <c r="W706" s="693"/>
      <c r="X706" s="693"/>
      <c r="Y706" s="671"/>
      <c r="Z706" s="673"/>
      <c r="AA706" s="672"/>
      <c r="AB706" s="695"/>
      <c r="AC706" s="673"/>
      <c r="AD706" s="673"/>
      <c r="AE706" s="673"/>
      <c r="AF706" s="673"/>
      <c r="AG706" s="673"/>
      <c r="AH706" s="673"/>
      <c r="AI706" s="673"/>
      <c r="AJ706" s="673"/>
      <c r="AK706" s="673"/>
      <c r="AL706" s="673"/>
      <c r="AM706" s="673"/>
      <c r="AN706" s="673"/>
      <c r="AO706" s="673"/>
      <c r="AP706" s="673"/>
      <c r="AQ706" s="673"/>
      <c r="AR706" s="673"/>
      <c r="AS706" s="673"/>
      <c r="AT706" s="696"/>
    </row>
    <row r="707" ht="15.75" customHeight="1">
      <c r="A707" s="653"/>
      <c r="B707" s="654"/>
      <c r="C707" s="691"/>
      <c r="D707" s="656"/>
      <c r="E707" s="657"/>
      <c r="F707" s="658"/>
      <c r="G707" s="659"/>
      <c r="H707" s="660"/>
      <c r="I707" s="659"/>
      <c r="J707" s="661"/>
      <c r="K707" s="692"/>
      <c r="L707" s="645"/>
      <c r="M707" s="663"/>
      <c r="N707" s="665"/>
      <c r="O707" s="665"/>
      <c r="P707" s="666"/>
      <c r="Q707" s="667"/>
      <c r="R707" s="668"/>
      <c r="S707" s="693"/>
      <c r="T707" s="694"/>
      <c r="U707" s="694"/>
      <c r="V707" s="693"/>
      <c r="W707" s="693"/>
      <c r="X707" s="693"/>
      <c r="Y707" s="671"/>
      <c r="Z707" s="673"/>
      <c r="AA707" s="672"/>
      <c r="AB707" s="695"/>
      <c r="AC707" s="673"/>
      <c r="AD707" s="673"/>
      <c r="AE707" s="673"/>
      <c r="AF707" s="673"/>
      <c r="AG707" s="673"/>
      <c r="AH707" s="673"/>
      <c r="AI707" s="673"/>
      <c r="AJ707" s="673"/>
      <c r="AK707" s="673"/>
      <c r="AL707" s="673"/>
      <c r="AM707" s="673"/>
      <c r="AN707" s="673"/>
      <c r="AO707" s="673"/>
      <c r="AP707" s="673"/>
      <c r="AQ707" s="673"/>
      <c r="AR707" s="673"/>
      <c r="AS707" s="673"/>
      <c r="AT707" s="696"/>
    </row>
    <row r="708" ht="15.75" customHeight="1">
      <c r="A708" s="653"/>
      <c r="B708" s="654"/>
      <c r="C708" s="691"/>
      <c r="D708" s="656"/>
      <c r="E708" s="657"/>
      <c r="F708" s="658"/>
      <c r="G708" s="659"/>
      <c r="H708" s="660"/>
      <c r="I708" s="659"/>
      <c r="J708" s="661"/>
      <c r="K708" s="692"/>
      <c r="L708" s="645"/>
      <c r="M708" s="663"/>
      <c r="N708" s="665"/>
      <c r="O708" s="665"/>
      <c r="P708" s="666"/>
      <c r="Q708" s="667"/>
      <c r="R708" s="668"/>
      <c r="S708" s="693"/>
      <c r="T708" s="694"/>
      <c r="U708" s="694"/>
      <c r="V708" s="693"/>
      <c r="W708" s="693"/>
      <c r="X708" s="693"/>
      <c r="Y708" s="671"/>
      <c r="Z708" s="673"/>
      <c r="AA708" s="672"/>
      <c r="AB708" s="695"/>
      <c r="AC708" s="673"/>
      <c r="AD708" s="673"/>
      <c r="AE708" s="673"/>
      <c r="AF708" s="673"/>
      <c r="AG708" s="673"/>
      <c r="AH708" s="673"/>
      <c r="AI708" s="673"/>
      <c r="AJ708" s="673"/>
      <c r="AK708" s="673"/>
      <c r="AL708" s="673"/>
      <c r="AM708" s="673"/>
      <c r="AN708" s="673"/>
      <c r="AO708" s="673"/>
      <c r="AP708" s="673"/>
      <c r="AQ708" s="673"/>
      <c r="AR708" s="673"/>
      <c r="AS708" s="673"/>
      <c r="AT708" s="696"/>
    </row>
    <row r="709" ht="15.75" customHeight="1">
      <c r="A709" s="653"/>
      <c r="B709" s="654"/>
      <c r="C709" s="691"/>
      <c r="D709" s="656"/>
      <c r="E709" s="657"/>
      <c r="F709" s="658"/>
      <c r="G709" s="659"/>
      <c r="H709" s="660"/>
      <c r="I709" s="659"/>
      <c r="J709" s="661"/>
      <c r="K709" s="692"/>
      <c r="L709" s="645"/>
      <c r="M709" s="663"/>
      <c r="N709" s="665"/>
      <c r="O709" s="665"/>
      <c r="P709" s="666"/>
      <c r="Q709" s="667"/>
      <c r="R709" s="668"/>
      <c r="S709" s="693"/>
      <c r="T709" s="694"/>
      <c r="U709" s="694"/>
      <c r="V709" s="693"/>
      <c r="W709" s="693"/>
      <c r="X709" s="693"/>
      <c r="Y709" s="671"/>
      <c r="Z709" s="673"/>
      <c r="AA709" s="672"/>
      <c r="AB709" s="695"/>
      <c r="AC709" s="673"/>
      <c r="AD709" s="673"/>
      <c r="AE709" s="673"/>
      <c r="AF709" s="673"/>
      <c r="AG709" s="673"/>
      <c r="AH709" s="673"/>
      <c r="AI709" s="673"/>
      <c r="AJ709" s="673"/>
      <c r="AK709" s="673"/>
      <c r="AL709" s="673"/>
      <c r="AM709" s="673"/>
      <c r="AN709" s="673"/>
      <c r="AO709" s="673"/>
      <c r="AP709" s="673"/>
      <c r="AQ709" s="673"/>
      <c r="AR709" s="673"/>
      <c r="AS709" s="673"/>
      <c r="AT709" s="696"/>
    </row>
    <row r="710" ht="15.75" customHeight="1">
      <c r="A710" s="653"/>
      <c r="B710" s="654"/>
      <c r="C710" s="691"/>
      <c r="D710" s="656"/>
      <c r="E710" s="657"/>
      <c r="F710" s="658"/>
      <c r="G710" s="659"/>
      <c r="H710" s="660"/>
      <c r="I710" s="659"/>
      <c r="J710" s="661"/>
      <c r="K710" s="692"/>
      <c r="L710" s="645"/>
      <c r="M710" s="663"/>
      <c r="N710" s="665"/>
      <c r="O710" s="665"/>
      <c r="P710" s="666"/>
      <c r="Q710" s="667"/>
      <c r="R710" s="668"/>
      <c r="S710" s="693"/>
      <c r="T710" s="694"/>
      <c r="U710" s="694"/>
      <c r="V710" s="693"/>
      <c r="W710" s="693"/>
      <c r="X710" s="693"/>
      <c r="Y710" s="671"/>
      <c r="Z710" s="673"/>
      <c r="AA710" s="672"/>
      <c r="AB710" s="695"/>
      <c r="AC710" s="673"/>
      <c r="AD710" s="673"/>
      <c r="AE710" s="673"/>
      <c r="AF710" s="673"/>
      <c r="AG710" s="673"/>
      <c r="AH710" s="673"/>
      <c r="AI710" s="673"/>
      <c r="AJ710" s="673"/>
      <c r="AK710" s="673"/>
      <c r="AL710" s="673"/>
      <c r="AM710" s="673"/>
      <c r="AN710" s="673"/>
      <c r="AO710" s="673"/>
      <c r="AP710" s="673"/>
      <c r="AQ710" s="673"/>
      <c r="AR710" s="673"/>
      <c r="AS710" s="673"/>
      <c r="AT710" s="696"/>
    </row>
    <row r="711" ht="15.75" customHeight="1">
      <c r="A711" s="653"/>
      <c r="B711" s="654"/>
      <c r="C711" s="691"/>
      <c r="D711" s="656"/>
      <c r="E711" s="657"/>
      <c r="F711" s="658"/>
      <c r="G711" s="659"/>
      <c r="H711" s="660"/>
      <c r="I711" s="659"/>
      <c r="J711" s="661"/>
      <c r="K711" s="692"/>
      <c r="L711" s="645"/>
      <c r="M711" s="663"/>
      <c r="N711" s="665"/>
      <c r="O711" s="665"/>
      <c r="P711" s="666"/>
      <c r="Q711" s="667"/>
      <c r="R711" s="668"/>
      <c r="S711" s="693"/>
      <c r="T711" s="694"/>
      <c r="U711" s="694"/>
      <c r="V711" s="693"/>
      <c r="W711" s="693"/>
      <c r="X711" s="693"/>
      <c r="Y711" s="671"/>
      <c r="Z711" s="673"/>
      <c r="AA711" s="672"/>
      <c r="AB711" s="695"/>
      <c r="AC711" s="673"/>
      <c r="AD711" s="673"/>
      <c r="AE711" s="673"/>
      <c r="AF711" s="673"/>
      <c r="AG711" s="673"/>
      <c r="AH711" s="673"/>
      <c r="AI711" s="673"/>
      <c r="AJ711" s="673"/>
      <c r="AK711" s="673"/>
      <c r="AL711" s="673"/>
      <c r="AM711" s="673"/>
      <c r="AN711" s="673"/>
      <c r="AO711" s="673"/>
      <c r="AP711" s="673"/>
      <c r="AQ711" s="673"/>
      <c r="AR711" s="673"/>
      <c r="AS711" s="673"/>
      <c r="AT711" s="696"/>
    </row>
    <row r="712" ht="15.75" customHeight="1">
      <c r="A712" s="653"/>
      <c r="B712" s="654"/>
      <c r="C712" s="691"/>
      <c r="D712" s="656"/>
      <c r="E712" s="657"/>
      <c r="F712" s="658"/>
      <c r="G712" s="659"/>
      <c r="H712" s="660"/>
      <c r="I712" s="659"/>
      <c r="J712" s="661"/>
      <c r="K712" s="692"/>
      <c r="L712" s="645"/>
      <c r="M712" s="663"/>
      <c r="N712" s="665"/>
      <c r="O712" s="665"/>
      <c r="P712" s="666"/>
      <c r="Q712" s="667"/>
      <c r="R712" s="668"/>
      <c r="S712" s="693"/>
      <c r="T712" s="694"/>
      <c r="U712" s="694"/>
      <c r="V712" s="693"/>
      <c r="W712" s="693"/>
      <c r="X712" s="693"/>
      <c r="Y712" s="671"/>
      <c r="Z712" s="673"/>
      <c r="AA712" s="672"/>
      <c r="AB712" s="695"/>
      <c r="AC712" s="673"/>
      <c r="AD712" s="673"/>
      <c r="AE712" s="673"/>
      <c r="AF712" s="673"/>
      <c r="AG712" s="673"/>
      <c r="AH712" s="673"/>
      <c r="AI712" s="673"/>
      <c r="AJ712" s="673"/>
      <c r="AK712" s="673"/>
      <c r="AL712" s="673"/>
      <c r="AM712" s="673"/>
      <c r="AN712" s="673"/>
      <c r="AO712" s="673"/>
      <c r="AP712" s="673"/>
      <c r="AQ712" s="673"/>
      <c r="AR712" s="673"/>
      <c r="AS712" s="673"/>
      <c r="AT712" s="696"/>
    </row>
    <row r="713" ht="15.75" customHeight="1">
      <c r="A713" s="653"/>
      <c r="B713" s="654"/>
      <c r="C713" s="691"/>
      <c r="D713" s="656"/>
      <c r="E713" s="657"/>
      <c r="F713" s="658"/>
      <c r="G713" s="659"/>
      <c r="H713" s="660"/>
      <c r="I713" s="659"/>
      <c r="J713" s="661"/>
      <c r="K713" s="692"/>
      <c r="L713" s="645"/>
      <c r="M713" s="663"/>
      <c r="N713" s="665"/>
      <c r="O713" s="665"/>
      <c r="P713" s="666"/>
      <c r="Q713" s="667"/>
      <c r="R713" s="668"/>
      <c r="S713" s="693"/>
      <c r="T713" s="694"/>
      <c r="U713" s="694"/>
      <c r="V713" s="693"/>
      <c r="W713" s="693"/>
      <c r="X713" s="693"/>
      <c r="Y713" s="671"/>
      <c r="Z713" s="673"/>
      <c r="AA713" s="672"/>
      <c r="AB713" s="695"/>
      <c r="AC713" s="673"/>
      <c r="AD713" s="673"/>
      <c r="AE713" s="673"/>
      <c r="AF713" s="673"/>
      <c r="AG713" s="673"/>
      <c r="AH713" s="673"/>
      <c r="AI713" s="673"/>
      <c r="AJ713" s="673"/>
      <c r="AK713" s="673"/>
      <c r="AL713" s="673"/>
      <c r="AM713" s="673"/>
      <c r="AN713" s="673"/>
      <c r="AO713" s="673"/>
      <c r="AP713" s="673"/>
      <c r="AQ713" s="673"/>
      <c r="AR713" s="673"/>
      <c r="AS713" s="673"/>
      <c r="AT713" s="696"/>
    </row>
    <row r="714" ht="15.75" customHeight="1">
      <c r="A714" s="653"/>
      <c r="B714" s="654"/>
      <c r="C714" s="691"/>
      <c r="D714" s="656"/>
      <c r="E714" s="657"/>
      <c r="F714" s="658"/>
      <c r="G714" s="659"/>
      <c r="H714" s="660"/>
      <c r="I714" s="659"/>
      <c r="J714" s="661"/>
      <c r="K714" s="692"/>
      <c r="L714" s="645"/>
      <c r="M714" s="663"/>
      <c r="N714" s="665"/>
      <c r="O714" s="665"/>
      <c r="P714" s="666"/>
      <c r="Q714" s="667"/>
      <c r="R714" s="668"/>
      <c r="S714" s="693"/>
      <c r="T714" s="694"/>
      <c r="U714" s="694"/>
      <c r="V714" s="693"/>
      <c r="W714" s="693"/>
      <c r="X714" s="693"/>
      <c r="Y714" s="671"/>
      <c r="Z714" s="673"/>
      <c r="AA714" s="672"/>
      <c r="AB714" s="695"/>
      <c r="AC714" s="673"/>
      <c r="AD714" s="673"/>
      <c r="AE714" s="673"/>
      <c r="AF714" s="673"/>
      <c r="AG714" s="673"/>
      <c r="AH714" s="673"/>
      <c r="AI714" s="673"/>
      <c r="AJ714" s="673"/>
      <c r="AK714" s="673"/>
      <c r="AL714" s="673"/>
      <c r="AM714" s="673"/>
      <c r="AN714" s="673"/>
      <c r="AO714" s="673"/>
      <c r="AP714" s="673"/>
      <c r="AQ714" s="673"/>
      <c r="AR714" s="673"/>
      <c r="AS714" s="673"/>
      <c r="AT714" s="696"/>
    </row>
    <row r="715" ht="15.75" customHeight="1">
      <c r="A715" s="653"/>
      <c r="B715" s="654"/>
      <c r="C715" s="691"/>
      <c r="D715" s="656"/>
      <c r="E715" s="657"/>
      <c r="F715" s="658"/>
      <c r="G715" s="659"/>
      <c r="H715" s="660"/>
      <c r="I715" s="659"/>
      <c r="J715" s="661"/>
      <c r="K715" s="692"/>
      <c r="L715" s="645"/>
      <c r="M715" s="663"/>
      <c r="N715" s="665"/>
      <c r="O715" s="665"/>
      <c r="P715" s="666"/>
      <c r="Q715" s="667"/>
      <c r="R715" s="668"/>
      <c r="S715" s="693"/>
      <c r="T715" s="694"/>
      <c r="U715" s="694"/>
      <c r="V715" s="693"/>
      <c r="W715" s="693"/>
      <c r="X715" s="693"/>
      <c r="Y715" s="671"/>
      <c r="Z715" s="673"/>
      <c r="AA715" s="672"/>
      <c r="AB715" s="695"/>
      <c r="AC715" s="673"/>
      <c r="AD715" s="673"/>
      <c r="AE715" s="673"/>
      <c r="AF715" s="673"/>
      <c r="AG715" s="673"/>
      <c r="AH715" s="673"/>
      <c r="AI715" s="673"/>
      <c r="AJ715" s="673"/>
      <c r="AK715" s="673"/>
      <c r="AL715" s="673"/>
      <c r="AM715" s="673"/>
      <c r="AN715" s="673"/>
      <c r="AO715" s="673"/>
      <c r="AP715" s="673"/>
      <c r="AQ715" s="673"/>
      <c r="AR715" s="673"/>
      <c r="AS715" s="673"/>
      <c r="AT715" s="696"/>
    </row>
    <row r="716" ht="15.75" customHeight="1">
      <c r="A716" s="653"/>
      <c r="B716" s="654"/>
      <c r="C716" s="691"/>
      <c r="D716" s="656"/>
      <c r="E716" s="657"/>
      <c r="F716" s="658"/>
      <c r="G716" s="659"/>
      <c r="H716" s="660"/>
      <c r="I716" s="659"/>
      <c r="J716" s="661"/>
      <c r="K716" s="692"/>
      <c r="L716" s="645"/>
      <c r="M716" s="663"/>
      <c r="N716" s="665"/>
      <c r="O716" s="665"/>
      <c r="P716" s="666"/>
      <c r="Q716" s="667"/>
      <c r="R716" s="668"/>
      <c r="S716" s="693"/>
      <c r="T716" s="694"/>
      <c r="U716" s="694"/>
      <c r="V716" s="693"/>
      <c r="W716" s="693"/>
      <c r="X716" s="693"/>
      <c r="Y716" s="671"/>
      <c r="Z716" s="673"/>
      <c r="AA716" s="672"/>
      <c r="AB716" s="695"/>
      <c r="AC716" s="673"/>
      <c r="AD716" s="673"/>
      <c r="AE716" s="673"/>
      <c r="AF716" s="673"/>
      <c r="AG716" s="673"/>
      <c r="AH716" s="673"/>
      <c r="AI716" s="673"/>
      <c r="AJ716" s="673"/>
      <c r="AK716" s="673"/>
      <c r="AL716" s="673"/>
      <c r="AM716" s="673"/>
      <c r="AN716" s="673"/>
      <c r="AO716" s="673"/>
      <c r="AP716" s="673"/>
      <c r="AQ716" s="673"/>
      <c r="AR716" s="673"/>
      <c r="AS716" s="673"/>
      <c r="AT716" s="696"/>
    </row>
    <row r="717" ht="15.75" customHeight="1">
      <c r="A717" s="653"/>
      <c r="B717" s="654"/>
      <c r="C717" s="691"/>
      <c r="D717" s="656"/>
      <c r="E717" s="657"/>
      <c r="F717" s="658"/>
      <c r="G717" s="659"/>
      <c r="H717" s="660"/>
      <c r="I717" s="659"/>
      <c r="J717" s="661"/>
      <c r="K717" s="692"/>
      <c r="L717" s="645"/>
      <c r="M717" s="663"/>
      <c r="N717" s="665"/>
      <c r="O717" s="665"/>
      <c r="P717" s="666"/>
      <c r="Q717" s="667"/>
      <c r="R717" s="668"/>
      <c r="S717" s="693"/>
      <c r="T717" s="694"/>
      <c r="U717" s="694"/>
      <c r="V717" s="693"/>
      <c r="W717" s="693"/>
      <c r="X717" s="693"/>
      <c r="Y717" s="671"/>
      <c r="Z717" s="673"/>
      <c r="AA717" s="672"/>
      <c r="AB717" s="695"/>
      <c r="AC717" s="673"/>
      <c r="AD717" s="673"/>
      <c r="AE717" s="673"/>
      <c r="AF717" s="673"/>
      <c r="AG717" s="673"/>
      <c r="AH717" s="673"/>
      <c r="AI717" s="673"/>
      <c r="AJ717" s="673"/>
      <c r="AK717" s="673"/>
      <c r="AL717" s="673"/>
      <c r="AM717" s="673"/>
      <c r="AN717" s="673"/>
      <c r="AO717" s="673"/>
      <c r="AP717" s="673"/>
      <c r="AQ717" s="673"/>
      <c r="AR717" s="673"/>
      <c r="AS717" s="673"/>
      <c r="AT717" s="696"/>
    </row>
    <row r="718" ht="15.75" customHeight="1">
      <c r="A718" s="653"/>
      <c r="B718" s="654"/>
      <c r="C718" s="691"/>
      <c r="D718" s="656"/>
      <c r="E718" s="657"/>
      <c r="F718" s="658"/>
      <c r="G718" s="659"/>
      <c r="H718" s="660"/>
      <c r="I718" s="659"/>
      <c r="J718" s="661"/>
      <c r="K718" s="692"/>
      <c r="L718" s="645"/>
      <c r="M718" s="663"/>
      <c r="N718" s="665"/>
      <c r="O718" s="665"/>
      <c r="P718" s="666"/>
      <c r="Q718" s="667"/>
      <c r="R718" s="668"/>
      <c r="S718" s="693"/>
      <c r="T718" s="694"/>
      <c r="U718" s="694"/>
      <c r="V718" s="693"/>
      <c r="W718" s="693"/>
      <c r="X718" s="693"/>
      <c r="Y718" s="671"/>
      <c r="Z718" s="673"/>
      <c r="AA718" s="672"/>
      <c r="AB718" s="695"/>
      <c r="AC718" s="673"/>
      <c r="AD718" s="673"/>
      <c r="AE718" s="673"/>
      <c r="AF718" s="673"/>
      <c r="AG718" s="673"/>
      <c r="AH718" s="673"/>
      <c r="AI718" s="673"/>
      <c r="AJ718" s="673"/>
      <c r="AK718" s="673"/>
      <c r="AL718" s="673"/>
      <c r="AM718" s="673"/>
      <c r="AN718" s="673"/>
      <c r="AO718" s="673"/>
      <c r="AP718" s="673"/>
      <c r="AQ718" s="673"/>
      <c r="AR718" s="673"/>
      <c r="AS718" s="673"/>
      <c r="AT718" s="696"/>
    </row>
    <row r="719" ht="15.75" customHeight="1">
      <c r="A719" s="653"/>
      <c r="B719" s="654"/>
      <c r="C719" s="691"/>
      <c r="D719" s="656"/>
      <c r="E719" s="657"/>
      <c r="F719" s="658"/>
      <c r="G719" s="659"/>
      <c r="H719" s="660"/>
      <c r="I719" s="659"/>
      <c r="J719" s="661"/>
      <c r="K719" s="692"/>
      <c r="L719" s="645"/>
      <c r="M719" s="663"/>
      <c r="N719" s="665"/>
      <c r="O719" s="665"/>
      <c r="P719" s="666"/>
      <c r="Q719" s="667"/>
      <c r="R719" s="668"/>
      <c r="S719" s="693"/>
      <c r="T719" s="694"/>
      <c r="U719" s="694"/>
      <c r="V719" s="693"/>
      <c r="W719" s="693"/>
      <c r="X719" s="693"/>
      <c r="Y719" s="671"/>
      <c r="Z719" s="673"/>
      <c r="AA719" s="672"/>
      <c r="AB719" s="695"/>
      <c r="AC719" s="673"/>
      <c r="AD719" s="673"/>
      <c r="AE719" s="673"/>
      <c r="AF719" s="673"/>
      <c r="AG719" s="673"/>
      <c r="AH719" s="673"/>
      <c r="AI719" s="673"/>
      <c r="AJ719" s="673"/>
      <c r="AK719" s="673"/>
      <c r="AL719" s="673"/>
      <c r="AM719" s="673"/>
      <c r="AN719" s="673"/>
      <c r="AO719" s="673"/>
      <c r="AP719" s="673"/>
      <c r="AQ719" s="673"/>
      <c r="AR719" s="673"/>
      <c r="AS719" s="673"/>
      <c r="AT719" s="696"/>
    </row>
    <row r="720" ht="15.75" customHeight="1">
      <c r="A720" s="653"/>
      <c r="B720" s="654"/>
      <c r="C720" s="691"/>
      <c r="D720" s="656"/>
      <c r="E720" s="657"/>
      <c r="F720" s="658"/>
      <c r="G720" s="659"/>
      <c r="H720" s="660"/>
      <c r="I720" s="659"/>
      <c r="J720" s="661"/>
      <c r="K720" s="692"/>
      <c r="L720" s="645"/>
      <c r="M720" s="663"/>
      <c r="N720" s="665"/>
      <c r="O720" s="665"/>
      <c r="P720" s="666"/>
      <c r="Q720" s="667"/>
      <c r="R720" s="668"/>
      <c r="S720" s="693"/>
      <c r="T720" s="694"/>
      <c r="U720" s="694"/>
      <c r="V720" s="693"/>
      <c r="W720" s="693"/>
      <c r="X720" s="693"/>
      <c r="Y720" s="671"/>
      <c r="Z720" s="673"/>
      <c r="AA720" s="672"/>
      <c r="AB720" s="695"/>
      <c r="AC720" s="673"/>
      <c r="AD720" s="673"/>
      <c r="AE720" s="673"/>
      <c r="AF720" s="673"/>
      <c r="AG720" s="673"/>
      <c r="AH720" s="673"/>
      <c r="AI720" s="673"/>
      <c r="AJ720" s="673"/>
      <c r="AK720" s="673"/>
      <c r="AL720" s="673"/>
      <c r="AM720" s="673"/>
      <c r="AN720" s="673"/>
      <c r="AO720" s="673"/>
      <c r="AP720" s="673"/>
      <c r="AQ720" s="673"/>
      <c r="AR720" s="673"/>
      <c r="AS720" s="673"/>
      <c r="AT720" s="696"/>
    </row>
    <row r="721" ht="15.75" customHeight="1">
      <c r="A721" s="653"/>
      <c r="B721" s="654"/>
      <c r="C721" s="691"/>
      <c r="D721" s="656"/>
      <c r="E721" s="657"/>
      <c r="F721" s="658"/>
      <c r="G721" s="659"/>
      <c r="H721" s="660"/>
      <c r="I721" s="659"/>
      <c r="J721" s="661"/>
      <c r="K721" s="692"/>
      <c r="L721" s="645"/>
      <c r="M721" s="663"/>
      <c r="N721" s="665"/>
      <c r="O721" s="665"/>
      <c r="P721" s="666"/>
      <c r="Q721" s="667"/>
      <c r="R721" s="668"/>
      <c r="S721" s="693"/>
      <c r="T721" s="694"/>
      <c r="U721" s="694"/>
      <c r="V721" s="693"/>
      <c r="W721" s="693"/>
      <c r="X721" s="693"/>
      <c r="Y721" s="671"/>
      <c r="Z721" s="673"/>
      <c r="AA721" s="672"/>
      <c r="AB721" s="695"/>
      <c r="AC721" s="673"/>
      <c r="AD721" s="673"/>
      <c r="AE721" s="673"/>
      <c r="AF721" s="673"/>
      <c r="AG721" s="673"/>
      <c r="AH721" s="673"/>
      <c r="AI721" s="673"/>
      <c r="AJ721" s="673"/>
      <c r="AK721" s="673"/>
      <c r="AL721" s="673"/>
      <c r="AM721" s="673"/>
      <c r="AN721" s="673"/>
      <c r="AO721" s="673"/>
      <c r="AP721" s="673"/>
      <c r="AQ721" s="673"/>
      <c r="AR721" s="673"/>
      <c r="AS721" s="673"/>
      <c r="AT721" s="696"/>
    </row>
    <row r="722" ht="15.75" customHeight="1">
      <c r="A722" s="653"/>
      <c r="B722" s="654"/>
      <c r="C722" s="691"/>
      <c r="D722" s="656"/>
      <c r="E722" s="657"/>
      <c r="F722" s="658"/>
      <c r="G722" s="659"/>
      <c r="H722" s="660"/>
      <c r="I722" s="659"/>
      <c r="J722" s="661"/>
      <c r="K722" s="692"/>
      <c r="L722" s="645"/>
      <c r="M722" s="663"/>
      <c r="N722" s="665"/>
      <c r="O722" s="665"/>
      <c r="P722" s="666"/>
      <c r="Q722" s="667"/>
      <c r="R722" s="668"/>
      <c r="S722" s="693"/>
      <c r="T722" s="694"/>
      <c r="U722" s="694"/>
      <c r="V722" s="693"/>
      <c r="W722" s="693"/>
      <c r="X722" s="693"/>
      <c r="Y722" s="671"/>
      <c r="Z722" s="673"/>
      <c r="AA722" s="672"/>
      <c r="AB722" s="695"/>
      <c r="AC722" s="673"/>
      <c r="AD722" s="673"/>
      <c r="AE722" s="673"/>
      <c r="AF722" s="673"/>
      <c r="AG722" s="673"/>
      <c r="AH722" s="673"/>
      <c r="AI722" s="673"/>
      <c r="AJ722" s="673"/>
      <c r="AK722" s="673"/>
      <c r="AL722" s="673"/>
      <c r="AM722" s="673"/>
      <c r="AN722" s="673"/>
      <c r="AO722" s="673"/>
      <c r="AP722" s="673"/>
      <c r="AQ722" s="673"/>
      <c r="AR722" s="673"/>
      <c r="AS722" s="673"/>
      <c r="AT722" s="696"/>
    </row>
    <row r="723" ht="15.75" customHeight="1">
      <c r="A723" s="653"/>
      <c r="B723" s="654"/>
      <c r="C723" s="691"/>
      <c r="D723" s="656"/>
      <c r="E723" s="657"/>
      <c r="F723" s="658"/>
      <c r="G723" s="659"/>
      <c r="H723" s="660"/>
      <c r="I723" s="659"/>
      <c r="J723" s="661"/>
      <c r="K723" s="692"/>
      <c r="L723" s="645"/>
      <c r="M723" s="663"/>
      <c r="N723" s="665"/>
      <c r="O723" s="665"/>
      <c r="P723" s="666"/>
      <c r="Q723" s="667"/>
      <c r="R723" s="668"/>
      <c r="S723" s="693"/>
      <c r="T723" s="694"/>
      <c r="U723" s="694"/>
      <c r="V723" s="693"/>
      <c r="W723" s="693"/>
      <c r="X723" s="693"/>
      <c r="Y723" s="671"/>
      <c r="Z723" s="673"/>
      <c r="AA723" s="672"/>
      <c r="AB723" s="695"/>
      <c r="AC723" s="673"/>
      <c r="AD723" s="673"/>
      <c r="AE723" s="673"/>
      <c r="AF723" s="673"/>
      <c r="AG723" s="673"/>
      <c r="AH723" s="673"/>
      <c r="AI723" s="673"/>
      <c r="AJ723" s="673"/>
      <c r="AK723" s="673"/>
      <c r="AL723" s="673"/>
      <c r="AM723" s="673"/>
      <c r="AN723" s="673"/>
      <c r="AO723" s="673"/>
      <c r="AP723" s="673"/>
      <c r="AQ723" s="673"/>
      <c r="AR723" s="673"/>
      <c r="AS723" s="673"/>
      <c r="AT723" s="696"/>
    </row>
    <row r="724" ht="15.75" customHeight="1">
      <c r="A724" s="653"/>
      <c r="B724" s="654"/>
      <c r="C724" s="691"/>
      <c r="D724" s="656"/>
      <c r="E724" s="657"/>
      <c r="F724" s="658"/>
      <c r="G724" s="659"/>
      <c r="H724" s="660"/>
      <c r="I724" s="659"/>
      <c r="J724" s="661"/>
      <c r="K724" s="692"/>
      <c r="L724" s="645"/>
      <c r="M724" s="663"/>
      <c r="N724" s="665"/>
      <c r="O724" s="665"/>
      <c r="P724" s="666"/>
      <c r="Q724" s="667"/>
      <c r="R724" s="668"/>
      <c r="S724" s="693"/>
      <c r="T724" s="694"/>
      <c r="U724" s="694"/>
      <c r="V724" s="693"/>
      <c r="W724" s="693"/>
      <c r="X724" s="693"/>
      <c r="Y724" s="671"/>
      <c r="Z724" s="673"/>
      <c r="AA724" s="672"/>
      <c r="AB724" s="695"/>
      <c r="AC724" s="673"/>
      <c r="AD724" s="673"/>
      <c r="AE724" s="673"/>
      <c r="AF724" s="673"/>
      <c r="AG724" s="673"/>
      <c r="AH724" s="673"/>
      <c r="AI724" s="673"/>
      <c r="AJ724" s="673"/>
      <c r="AK724" s="673"/>
      <c r="AL724" s="673"/>
      <c r="AM724" s="673"/>
      <c r="AN724" s="673"/>
      <c r="AO724" s="673"/>
      <c r="AP724" s="673"/>
      <c r="AQ724" s="673"/>
      <c r="AR724" s="673"/>
      <c r="AS724" s="673"/>
      <c r="AT724" s="696"/>
    </row>
    <row r="725" ht="15.75" customHeight="1">
      <c r="A725" s="653"/>
      <c r="B725" s="654"/>
      <c r="C725" s="691"/>
      <c r="D725" s="656"/>
      <c r="E725" s="657"/>
      <c r="F725" s="658"/>
      <c r="G725" s="659"/>
      <c r="H725" s="660"/>
      <c r="I725" s="659"/>
      <c r="J725" s="661"/>
      <c r="K725" s="692"/>
      <c r="L725" s="645"/>
      <c r="M725" s="663"/>
      <c r="N725" s="665"/>
      <c r="O725" s="665"/>
      <c r="P725" s="666"/>
      <c r="Q725" s="667"/>
      <c r="R725" s="668"/>
      <c r="S725" s="693"/>
      <c r="T725" s="694"/>
      <c r="U725" s="694"/>
      <c r="V725" s="693"/>
      <c r="W725" s="693"/>
      <c r="X725" s="693"/>
      <c r="Y725" s="671"/>
      <c r="Z725" s="673"/>
      <c r="AA725" s="672"/>
      <c r="AB725" s="695"/>
      <c r="AC725" s="673"/>
      <c r="AD725" s="673"/>
      <c r="AE725" s="673"/>
      <c r="AF725" s="673"/>
      <c r="AG725" s="673"/>
      <c r="AH725" s="673"/>
      <c r="AI725" s="673"/>
      <c r="AJ725" s="673"/>
      <c r="AK725" s="673"/>
      <c r="AL725" s="673"/>
      <c r="AM725" s="673"/>
      <c r="AN725" s="673"/>
      <c r="AO725" s="673"/>
      <c r="AP725" s="673"/>
      <c r="AQ725" s="673"/>
      <c r="AR725" s="673"/>
      <c r="AS725" s="673"/>
      <c r="AT725" s="696"/>
    </row>
    <row r="726" ht="15.75" customHeight="1">
      <c r="A726" s="653"/>
      <c r="B726" s="654"/>
      <c r="C726" s="691"/>
      <c r="D726" s="656"/>
      <c r="E726" s="657"/>
      <c r="F726" s="658"/>
      <c r="G726" s="659"/>
      <c r="H726" s="660"/>
      <c r="I726" s="659"/>
      <c r="J726" s="661"/>
      <c r="K726" s="692"/>
      <c r="L726" s="645"/>
      <c r="M726" s="663"/>
      <c r="N726" s="665"/>
      <c r="O726" s="665"/>
      <c r="P726" s="666"/>
      <c r="Q726" s="667"/>
      <c r="R726" s="668"/>
      <c r="S726" s="693"/>
      <c r="T726" s="694"/>
      <c r="U726" s="694"/>
      <c r="V726" s="693"/>
      <c r="W726" s="693"/>
      <c r="X726" s="693"/>
      <c r="Y726" s="671"/>
      <c r="Z726" s="673"/>
      <c r="AA726" s="672"/>
      <c r="AB726" s="695"/>
      <c r="AC726" s="673"/>
      <c r="AD726" s="673"/>
      <c r="AE726" s="673"/>
      <c r="AF726" s="673"/>
      <c r="AG726" s="673"/>
      <c r="AH726" s="673"/>
      <c r="AI726" s="673"/>
      <c r="AJ726" s="673"/>
      <c r="AK726" s="673"/>
      <c r="AL726" s="673"/>
      <c r="AM726" s="673"/>
      <c r="AN726" s="673"/>
      <c r="AO726" s="673"/>
      <c r="AP726" s="673"/>
      <c r="AQ726" s="673"/>
      <c r="AR726" s="673"/>
      <c r="AS726" s="673"/>
      <c r="AT726" s="696"/>
    </row>
    <row r="727" ht="15.75" customHeight="1">
      <c r="A727" s="653"/>
      <c r="B727" s="654"/>
      <c r="C727" s="691"/>
      <c r="D727" s="656"/>
      <c r="E727" s="657"/>
      <c r="F727" s="658"/>
      <c r="G727" s="659"/>
      <c r="H727" s="660"/>
      <c r="I727" s="659"/>
      <c r="J727" s="661"/>
      <c r="K727" s="692"/>
      <c r="L727" s="645"/>
      <c r="M727" s="663"/>
      <c r="N727" s="665"/>
      <c r="O727" s="665"/>
      <c r="P727" s="666"/>
      <c r="Q727" s="667"/>
      <c r="R727" s="668"/>
      <c r="S727" s="693"/>
      <c r="T727" s="694"/>
      <c r="U727" s="694"/>
      <c r="V727" s="693"/>
      <c r="W727" s="693"/>
      <c r="X727" s="693"/>
      <c r="Y727" s="671"/>
      <c r="Z727" s="673"/>
      <c r="AA727" s="672"/>
      <c r="AB727" s="695"/>
      <c r="AC727" s="673"/>
      <c r="AD727" s="673"/>
      <c r="AE727" s="673"/>
      <c r="AF727" s="673"/>
      <c r="AG727" s="673"/>
      <c r="AH727" s="673"/>
      <c r="AI727" s="673"/>
      <c r="AJ727" s="673"/>
      <c r="AK727" s="673"/>
      <c r="AL727" s="673"/>
      <c r="AM727" s="673"/>
      <c r="AN727" s="673"/>
      <c r="AO727" s="673"/>
      <c r="AP727" s="673"/>
      <c r="AQ727" s="673"/>
      <c r="AR727" s="673"/>
      <c r="AS727" s="673"/>
      <c r="AT727" s="696"/>
    </row>
    <row r="728" ht="15.75" customHeight="1">
      <c r="A728" s="653"/>
      <c r="B728" s="654"/>
      <c r="C728" s="691"/>
      <c r="D728" s="656"/>
      <c r="E728" s="657"/>
      <c r="F728" s="658"/>
      <c r="G728" s="659"/>
      <c r="H728" s="660"/>
      <c r="I728" s="659"/>
      <c r="J728" s="661"/>
      <c r="K728" s="692"/>
      <c r="L728" s="645"/>
      <c r="M728" s="663"/>
      <c r="N728" s="665"/>
      <c r="O728" s="665"/>
      <c r="P728" s="666"/>
      <c r="Q728" s="667"/>
      <c r="R728" s="668"/>
      <c r="S728" s="693"/>
      <c r="T728" s="694"/>
      <c r="U728" s="694"/>
      <c r="V728" s="693"/>
      <c r="W728" s="693"/>
      <c r="X728" s="693"/>
      <c r="Y728" s="671"/>
      <c r="Z728" s="673"/>
      <c r="AA728" s="672"/>
      <c r="AB728" s="695"/>
      <c r="AC728" s="673"/>
      <c r="AD728" s="673"/>
      <c r="AE728" s="673"/>
      <c r="AF728" s="673"/>
      <c r="AG728" s="673"/>
      <c r="AH728" s="673"/>
      <c r="AI728" s="673"/>
      <c r="AJ728" s="673"/>
      <c r="AK728" s="673"/>
      <c r="AL728" s="673"/>
      <c r="AM728" s="673"/>
      <c r="AN728" s="673"/>
      <c r="AO728" s="673"/>
      <c r="AP728" s="673"/>
      <c r="AQ728" s="673"/>
      <c r="AR728" s="673"/>
      <c r="AS728" s="673"/>
      <c r="AT728" s="696"/>
    </row>
    <row r="729" ht="15.75" customHeight="1">
      <c r="A729" s="653"/>
      <c r="B729" s="654"/>
      <c r="C729" s="691"/>
      <c r="D729" s="656"/>
      <c r="E729" s="657"/>
      <c r="F729" s="658"/>
      <c r="G729" s="659"/>
      <c r="H729" s="660"/>
      <c r="I729" s="659"/>
      <c r="J729" s="661"/>
      <c r="K729" s="692"/>
      <c r="L729" s="645"/>
      <c r="M729" s="663"/>
      <c r="N729" s="665"/>
      <c r="O729" s="665"/>
      <c r="P729" s="666"/>
      <c r="Q729" s="667"/>
      <c r="R729" s="668"/>
      <c r="S729" s="693"/>
      <c r="T729" s="694"/>
      <c r="U729" s="694"/>
      <c r="V729" s="693"/>
      <c r="W729" s="693"/>
      <c r="X729" s="693"/>
      <c r="Y729" s="671"/>
      <c r="Z729" s="673"/>
      <c r="AA729" s="672"/>
      <c r="AB729" s="695"/>
      <c r="AC729" s="673"/>
      <c r="AD729" s="673"/>
      <c r="AE729" s="673"/>
      <c r="AF729" s="673"/>
      <c r="AG729" s="673"/>
      <c r="AH729" s="673"/>
      <c r="AI729" s="673"/>
      <c r="AJ729" s="673"/>
      <c r="AK729" s="673"/>
      <c r="AL729" s="673"/>
      <c r="AM729" s="673"/>
      <c r="AN729" s="673"/>
      <c r="AO729" s="673"/>
      <c r="AP729" s="673"/>
      <c r="AQ729" s="673"/>
      <c r="AR729" s="673"/>
      <c r="AS729" s="673"/>
      <c r="AT729" s="696"/>
    </row>
    <row r="730" ht="15.75" customHeight="1">
      <c r="A730" s="653"/>
      <c r="B730" s="654"/>
      <c r="C730" s="691"/>
      <c r="D730" s="656"/>
      <c r="E730" s="657"/>
      <c r="F730" s="658"/>
      <c r="G730" s="659"/>
      <c r="H730" s="660"/>
      <c r="I730" s="659"/>
      <c r="J730" s="661"/>
      <c r="K730" s="692"/>
      <c r="L730" s="645"/>
      <c r="M730" s="663"/>
      <c r="N730" s="665"/>
      <c r="O730" s="665"/>
      <c r="P730" s="666"/>
      <c r="Q730" s="667"/>
      <c r="R730" s="668"/>
      <c r="S730" s="693"/>
      <c r="T730" s="694"/>
      <c r="U730" s="694"/>
      <c r="V730" s="693"/>
      <c r="W730" s="693"/>
      <c r="X730" s="693"/>
      <c r="Y730" s="671"/>
      <c r="Z730" s="673"/>
      <c r="AA730" s="672"/>
      <c r="AB730" s="695"/>
      <c r="AC730" s="673"/>
      <c r="AD730" s="673"/>
      <c r="AE730" s="673"/>
      <c r="AF730" s="673"/>
      <c r="AG730" s="673"/>
      <c r="AH730" s="673"/>
      <c r="AI730" s="673"/>
      <c r="AJ730" s="673"/>
      <c r="AK730" s="673"/>
      <c r="AL730" s="673"/>
      <c r="AM730" s="673"/>
      <c r="AN730" s="673"/>
      <c r="AO730" s="673"/>
      <c r="AP730" s="673"/>
      <c r="AQ730" s="673"/>
      <c r="AR730" s="673"/>
      <c r="AS730" s="673"/>
      <c r="AT730" s="696"/>
    </row>
    <row r="731" ht="15.75" customHeight="1">
      <c r="A731" s="653"/>
      <c r="B731" s="654"/>
      <c r="C731" s="691"/>
      <c r="D731" s="656"/>
      <c r="E731" s="657"/>
      <c r="F731" s="658"/>
      <c r="G731" s="659"/>
      <c r="H731" s="660"/>
      <c r="I731" s="659"/>
      <c r="J731" s="661"/>
      <c r="K731" s="692"/>
      <c r="L731" s="645"/>
      <c r="M731" s="663"/>
      <c r="N731" s="665"/>
      <c r="O731" s="665"/>
      <c r="P731" s="666"/>
      <c r="Q731" s="667"/>
      <c r="R731" s="668"/>
      <c r="S731" s="693"/>
      <c r="T731" s="694"/>
      <c r="U731" s="694"/>
      <c r="V731" s="693"/>
      <c r="W731" s="693"/>
      <c r="X731" s="693"/>
      <c r="Y731" s="671"/>
      <c r="Z731" s="673"/>
      <c r="AA731" s="672"/>
      <c r="AB731" s="695"/>
      <c r="AC731" s="673"/>
      <c r="AD731" s="673"/>
      <c r="AE731" s="673"/>
      <c r="AF731" s="673"/>
      <c r="AG731" s="673"/>
      <c r="AH731" s="673"/>
      <c r="AI731" s="673"/>
      <c r="AJ731" s="673"/>
      <c r="AK731" s="673"/>
      <c r="AL731" s="673"/>
      <c r="AM731" s="673"/>
      <c r="AN731" s="673"/>
      <c r="AO731" s="673"/>
      <c r="AP731" s="673"/>
      <c r="AQ731" s="673"/>
      <c r="AR731" s="673"/>
      <c r="AS731" s="673"/>
      <c r="AT731" s="696"/>
    </row>
    <row r="732" ht="15.75" customHeight="1">
      <c r="A732" s="653"/>
      <c r="B732" s="654"/>
      <c r="C732" s="691"/>
      <c r="D732" s="656"/>
      <c r="E732" s="657"/>
      <c r="F732" s="658"/>
      <c r="G732" s="659"/>
      <c r="H732" s="660"/>
      <c r="I732" s="659"/>
      <c r="J732" s="661"/>
      <c r="K732" s="692"/>
      <c r="L732" s="645"/>
      <c r="M732" s="663"/>
      <c r="N732" s="665"/>
      <c r="O732" s="665"/>
      <c r="P732" s="666"/>
      <c r="Q732" s="667"/>
      <c r="R732" s="668"/>
      <c r="S732" s="693"/>
      <c r="T732" s="694"/>
      <c r="U732" s="694"/>
      <c r="V732" s="693"/>
      <c r="W732" s="693"/>
      <c r="X732" s="693"/>
      <c r="Y732" s="671"/>
      <c r="Z732" s="673"/>
      <c r="AA732" s="672"/>
      <c r="AB732" s="695"/>
      <c r="AC732" s="673"/>
      <c r="AD732" s="673"/>
      <c r="AE732" s="673"/>
      <c r="AF732" s="673"/>
      <c r="AG732" s="673"/>
      <c r="AH732" s="673"/>
      <c r="AI732" s="673"/>
      <c r="AJ732" s="673"/>
      <c r="AK732" s="673"/>
      <c r="AL732" s="673"/>
      <c r="AM732" s="673"/>
      <c r="AN732" s="673"/>
      <c r="AO732" s="673"/>
      <c r="AP732" s="673"/>
      <c r="AQ732" s="673"/>
      <c r="AR732" s="673"/>
      <c r="AS732" s="673"/>
      <c r="AT732" s="696"/>
    </row>
    <row r="733" ht="15.75" customHeight="1">
      <c r="A733" s="653"/>
      <c r="B733" s="654"/>
      <c r="C733" s="691"/>
      <c r="D733" s="656"/>
      <c r="E733" s="657"/>
      <c r="F733" s="658"/>
      <c r="G733" s="659"/>
      <c r="H733" s="660"/>
      <c r="I733" s="659"/>
      <c r="J733" s="661"/>
      <c r="K733" s="692"/>
      <c r="L733" s="645"/>
      <c r="M733" s="663"/>
      <c r="N733" s="665"/>
      <c r="O733" s="665"/>
      <c r="P733" s="666"/>
      <c r="Q733" s="667"/>
      <c r="R733" s="668"/>
      <c r="S733" s="693"/>
      <c r="T733" s="694"/>
      <c r="U733" s="694"/>
      <c r="V733" s="693"/>
      <c r="W733" s="693"/>
      <c r="X733" s="693"/>
      <c r="Y733" s="671"/>
      <c r="Z733" s="673"/>
      <c r="AA733" s="672"/>
      <c r="AB733" s="695"/>
      <c r="AC733" s="673"/>
      <c r="AD733" s="673"/>
      <c r="AE733" s="673"/>
      <c r="AF733" s="673"/>
      <c r="AG733" s="673"/>
      <c r="AH733" s="673"/>
      <c r="AI733" s="673"/>
      <c r="AJ733" s="673"/>
      <c r="AK733" s="673"/>
      <c r="AL733" s="673"/>
      <c r="AM733" s="673"/>
      <c r="AN733" s="673"/>
      <c r="AO733" s="673"/>
      <c r="AP733" s="673"/>
      <c r="AQ733" s="673"/>
      <c r="AR733" s="673"/>
      <c r="AS733" s="673"/>
      <c r="AT733" s="696"/>
    </row>
    <row r="734" ht="15.75" customHeight="1">
      <c r="A734" s="653"/>
      <c r="B734" s="654"/>
      <c r="C734" s="691"/>
      <c r="D734" s="656"/>
      <c r="E734" s="657"/>
      <c r="F734" s="658"/>
      <c r="G734" s="659"/>
      <c r="H734" s="660"/>
      <c r="I734" s="659"/>
      <c r="J734" s="661"/>
      <c r="K734" s="692"/>
      <c r="L734" s="645"/>
      <c r="M734" s="663"/>
      <c r="N734" s="665"/>
      <c r="O734" s="665"/>
      <c r="P734" s="666"/>
      <c r="Q734" s="667"/>
      <c r="R734" s="668"/>
      <c r="S734" s="693"/>
      <c r="T734" s="694"/>
      <c r="U734" s="694"/>
      <c r="V734" s="693"/>
      <c r="W734" s="693"/>
      <c r="X734" s="693"/>
      <c r="Y734" s="671"/>
      <c r="Z734" s="673"/>
      <c r="AA734" s="672"/>
      <c r="AB734" s="695"/>
      <c r="AC734" s="673"/>
      <c r="AD734" s="673"/>
      <c r="AE734" s="673"/>
      <c r="AF734" s="673"/>
      <c r="AG734" s="673"/>
      <c r="AH734" s="673"/>
      <c r="AI734" s="673"/>
      <c r="AJ734" s="673"/>
      <c r="AK734" s="673"/>
      <c r="AL734" s="673"/>
      <c r="AM734" s="673"/>
      <c r="AN734" s="673"/>
      <c r="AO734" s="673"/>
      <c r="AP734" s="673"/>
      <c r="AQ734" s="673"/>
      <c r="AR734" s="673"/>
      <c r="AS734" s="673"/>
      <c r="AT734" s="696"/>
    </row>
    <row r="735" ht="15.75" customHeight="1">
      <c r="A735" s="653"/>
      <c r="B735" s="654"/>
      <c r="C735" s="691"/>
      <c r="D735" s="656"/>
      <c r="E735" s="657"/>
      <c r="F735" s="658"/>
      <c r="G735" s="659"/>
      <c r="H735" s="660"/>
      <c r="I735" s="659"/>
      <c r="J735" s="661"/>
      <c r="K735" s="692"/>
      <c r="L735" s="645"/>
      <c r="M735" s="663"/>
      <c r="N735" s="665"/>
      <c r="O735" s="665"/>
      <c r="P735" s="666"/>
      <c r="Q735" s="667"/>
      <c r="R735" s="668"/>
      <c r="S735" s="693"/>
      <c r="T735" s="694"/>
      <c r="U735" s="694"/>
      <c r="V735" s="693"/>
      <c r="W735" s="693"/>
      <c r="X735" s="693"/>
      <c r="Y735" s="671"/>
      <c r="Z735" s="673"/>
      <c r="AA735" s="672"/>
      <c r="AB735" s="695"/>
      <c r="AC735" s="673"/>
      <c r="AD735" s="673"/>
      <c r="AE735" s="673"/>
      <c r="AF735" s="673"/>
      <c r="AG735" s="673"/>
      <c r="AH735" s="673"/>
      <c r="AI735" s="673"/>
      <c r="AJ735" s="673"/>
      <c r="AK735" s="673"/>
      <c r="AL735" s="673"/>
      <c r="AM735" s="673"/>
      <c r="AN735" s="673"/>
      <c r="AO735" s="673"/>
      <c r="AP735" s="673"/>
      <c r="AQ735" s="673"/>
      <c r="AR735" s="673"/>
      <c r="AS735" s="673"/>
      <c r="AT735" s="696"/>
    </row>
    <row r="736" ht="15.75" customHeight="1">
      <c r="A736" s="653"/>
      <c r="B736" s="654"/>
      <c r="C736" s="691"/>
      <c r="D736" s="656"/>
      <c r="E736" s="657"/>
      <c r="F736" s="658"/>
      <c r="G736" s="659"/>
      <c r="H736" s="660"/>
      <c r="I736" s="659"/>
      <c r="J736" s="661"/>
      <c r="K736" s="692"/>
      <c r="L736" s="645"/>
      <c r="M736" s="663"/>
      <c r="N736" s="665"/>
      <c r="O736" s="665"/>
      <c r="P736" s="666"/>
      <c r="Q736" s="667"/>
      <c r="R736" s="668"/>
      <c r="S736" s="693"/>
      <c r="T736" s="694"/>
      <c r="U736" s="694"/>
      <c r="V736" s="693"/>
      <c r="W736" s="693"/>
      <c r="X736" s="693"/>
      <c r="Y736" s="671"/>
      <c r="Z736" s="673"/>
      <c r="AA736" s="672"/>
      <c r="AB736" s="695"/>
      <c r="AC736" s="673"/>
      <c r="AD736" s="673"/>
      <c r="AE736" s="673"/>
      <c r="AF736" s="673"/>
      <c r="AG736" s="673"/>
      <c r="AH736" s="673"/>
      <c r="AI736" s="673"/>
      <c r="AJ736" s="673"/>
      <c r="AK736" s="673"/>
      <c r="AL736" s="673"/>
      <c r="AM736" s="673"/>
      <c r="AN736" s="673"/>
      <c r="AO736" s="673"/>
      <c r="AP736" s="673"/>
      <c r="AQ736" s="673"/>
      <c r="AR736" s="673"/>
      <c r="AS736" s="673"/>
      <c r="AT736" s="696"/>
    </row>
    <row r="737" ht="15.75" customHeight="1">
      <c r="A737" s="653"/>
      <c r="B737" s="654"/>
      <c r="C737" s="691"/>
      <c r="D737" s="656"/>
      <c r="E737" s="657"/>
      <c r="F737" s="658"/>
      <c r="G737" s="659"/>
      <c r="H737" s="660"/>
      <c r="I737" s="659"/>
      <c r="J737" s="661"/>
      <c r="K737" s="692"/>
      <c r="L737" s="645"/>
      <c r="M737" s="663"/>
      <c r="N737" s="665"/>
      <c r="O737" s="665"/>
      <c r="P737" s="666"/>
      <c r="Q737" s="667"/>
      <c r="R737" s="668"/>
      <c r="S737" s="693"/>
      <c r="T737" s="694"/>
      <c r="U737" s="694"/>
      <c r="V737" s="693"/>
      <c r="W737" s="693"/>
      <c r="X737" s="693"/>
      <c r="Y737" s="671"/>
      <c r="Z737" s="673"/>
      <c r="AA737" s="672"/>
      <c r="AB737" s="695"/>
      <c r="AC737" s="673"/>
      <c r="AD737" s="673"/>
      <c r="AE737" s="673"/>
      <c r="AF737" s="673"/>
      <c r="AG737" s="673"/>
      <c r="AH737" s="673"/>
      <c r="AI737" s="673"/>
      <c r="AJ737" s="673"/>
      <c r="AK737" s="673"/>
      <c r="AL737" s="673"/>
      <c r="AM737" s="673"/>
      <c r="AN737" s="673"/>
      <c r="AO737" s="673"/>
      <c r="AP737" s="673"/>
      <c r="AQ737" s="673"/>
      <c r="AR737" s="673"/>
      <c r="AS737" s="673"/>
      <c r="AT737" s="696"/>
    </row>
    <row r="738" ht="15.75" customHeight="1">
      <c r="A738" s="653"/>
      <c r="B738" s="654"/>
      <c r="C738" s="691"/>
      <c r="D738" s="656"/>
      <c r="E738" s="657"/>
      <c r="F738" s="658"/>
      <c r="G738" s="659"/>
      <c r="H738" s="660"/>
      <c r="I738" s="659"/>
      <c r="J738" s="661"/>
      <c r="K738" s="692"/>
      <c r="L738" s="645"/>
      <c r="M738" s="663"/>
      <c r="N738" s="665"/>
      <c r="O738" s="665"/>
      <c r="P738" s="666"/>
      <c r="Q738" s="667"/>
      <c r="R738" s="668"/>
      <c r="S738" s="693"/>
      <c r="T738" s="694"/>
      <c r="U738" s="694"/>
      <c r="V738" s="693"/>
      <c r="W738" s="693"/>
      <c r="X738" s="693"/>
      <c r="Y738" s="671"/>
      <c r="Z738" s="673"/>
      <c r="AA738" s="672"/>
      <c r="AB738" s="695"/>
      <c r="AC738" s="673"/>
      <c r="AD738" s="673"/>
      <c r="AE738" s="673"/>
      <c r="AF738" s="673"/>
      <c r="AG738" s="673"/>
      <c r="AH738" s="673"/>
      <c r="AI738" s="673"/>
      <c r="AJ738" s="673"/>
      <c r="AK738" s="673"/>
      <c r="AL738" s="673"/>
      <c r="AM738" s="673"/>
      <c r="AN738" s="673"/>
      <c r="AO738" s="673"/>
      <c r="AP738" s="673"/>
      <c r="AQ738" s="673"/>
      <c r="AR738" s="673"/>
      <c r="AS738" s="673"/>
      <c r="AT738" s="696"/>
    </row>
    <row r="739" ht="15.75" customHeight="1">
      <c r="A739" s="653"/>
      <c r="B739" s="654"/>
      <c r="C739" s="691"/>
      <c r="D739" s="656"/>
      <c r="E739" s="657"/>
      <c r="F739" s="658"/>
      <c r="G739" s="659"/>
      <c r="H739" s="660"/>
      <c r="I739" s="659"/>
      <c r="J739" s="661"/>
      <c r="K739" s="692"/>
      <c r="L739" s="645"/>
      <c r="M739" s="663"/>
      <c r="N739" s="665"/>
      <c r="O739" s="665"/>
      <c r="P739" s="666"/>
      <c r="Q739" s="667"/>
      <c r="R739" s="668"/>
      <c r="S739" s="693"/>
      <c r="T739" s="694"/>
      <c r="U739" s="694"/>
      <c r="V739" s="693"/>
      <c r="W739" s="693"/>
      <c r="X739" s="693"/>
      <c r="Y739" s="671"/>
      <c r="Z739" s="673"/>
      <c r="AA739" s="672"/>
      <c r="AB739" s="695"/>
      <c r="AC739" s="673"/>
      <c r="AD739" s="673"/>
      <c r="AE739" s="673"/>
      <c r="AF739" s="673"/>
      <c r="AG739" s="673"/>
      <c r="AH739" s="673"/>
      <c r="AI739" s="673"/>
      <c r="AJ739" s="673"/>
      <c r="AK739" s="673"/>
      <c r="AL739" s="673"/>
      <c r="AM739" s="673"/>
      <c r="AN739" s="673"/>
      <c r="AO739" s="673"/>
      <c r="AP739" s="673"/>
      <c r="AQ739" s="673"/>
      <c r="AR739" s="673"/>
      <c r="AS739" s="673"/>
      <c r="AT739" s="696"/>
    </row>
    <row r="740" ht="15.75" customHeight="1">
      <c r="A740" s="653"/>
      <c r="B740" s="654"/>
      <c r="C740" s="691"/>
      <c r="D740" s="656"/>
      <c r="E740" s="657"/>
      <c r="F740" s="658"/>
      <c r="G740" s="659"/>
      <c r="H740" s="660"/>
      <c r="I740" s="659"/>
      <c r="J740" s="661"/>
      <c r="K740" s="692"/>
      <c r="L740" s="645"/>
      <c r="M740" s="663"/>
      <c r="N740" s="665"/>
      <c r="O740" s="665"/>
      <c r="P740" s="666"/>
      <c r="Q740" s="667"/>
      <c r="R740" s="668"/>
      <c r="S740" s="693"/>
      <c r="T740" s="694"/>
      <c r="U740" s="694"/>
      <c r="V740" s="693"/>
      <c r="W740" s="693"/>
      <c r="X740" s="693"/>
      <c r="Y740" s="671"/>
      <c r="Z740" s="673"/>
      <c r="AA740" s="672"/>
      <c r="AB740" s="695"/>
      <c r="AC740" s="673"/>
      <c r="AD740" s="673"/>
      <c r="AE740" s="673"/>
      <c r="AF740" s="673"/>
      <c r="AG740" s="673"/>
      <c r="AH740" s="673"/>
      <c r="AI740" s="673"/>
      <c r="AJ740" s="673"/>
      <c r="AK740" s="673"/>
      <c r="AL740" s="673"/>
      <c r="AM740" s="673"/>
      <c r="AN740" s="673"/>
      <c r="AO740" s="673"/>
      <c r="AP740" s="673"/>
      <c r="AQ740" s="673"/>
      <c r="AR740" s="673"/>
      <c r="AS740" s="673"/>
      <c r="AT740" s="696"/>
    </row>
    <row r="741" ht="15.75" customHeight="1">
      <c r="A741" s="653"/>
      <c r="B741" s="654"/>
      <c r="C741" s="691"/>
      <c r="D741" s="656"/>
      <c r="E741" s="657"/>
      <c r="F741" s="658"/>
      <c r="G741" s="659"/>
      <c r="H741" s="660"/>
      <c r="I741" s="659"/>
      <c r="J741" s="661"/>
      <c r="K741" s="692"/>
      <c r="L741" s="645"/>
      <c r="M741" s="663"/>
      <c r="N741" s="665"/>
      <c r="O741" s="665"/>
      <c r="P741" s="666"/>
      <c r="Q741" s="667"/>
      <c r="R741" s="668"/>
      <c r="S741" s="693"/>
      <c r="T741" s="694"/>
      <c r="U741" s="694"/>
      <c r="V741" s="693"/>
      <c r="W741" s="693"/>
      <c r="X741" s="693"/>
      <c r="Y741" s="671"/>
      <c r="Z741" s="673"/>
      <c r="AA741" s="672"/>
      <c r="AB741" s="695"/>
      <c r="AC741" s="673"/>
      <c r="AD741" s="673"/>
      <c r="AE741" s="673"/>
      <c r="AF741" s="673"/>
      <c r="AG741" s="673"/>
      <c r="AH741" s="673"/>
      <c r="AI741" s="673"/>
      <c r="AJ741" s="673"/>
      <c r="AK741" s="673"/>
      <c r="AL741" s="673"/>
      <c r="AM741" s="673"/>
      <c r="AN741" s="673"/>
      <c r="AO741" s="673"/>
      <c r="AP741" s="673"/>
      <c r="AQ741" s="673"/>
      <c r="AR741" s="673"/>
      <c r="AS741" s="673"/>
      <c r="AT741" s="696"/>
    </row>
    <row r="742" ht="15.75" customHeight="1">
      <c r="A742" s="653"/>
      <c r="B742" s="654"/>
      <c r="C742" s="691"/>
      <c r="D742" s="656"/>
      <c r="E742" s="657"/>
      <c r="F742" s="658"/>
      <c r="G742" s="659"/>
      <c r="H742" s="660"/>
      <c r="I742" s="659"/>
      <c r="J742" s="661"/>
      <c r="K742" s="692"/>
      <c r="L742" s="645"/>
      <c r="M742" s="663"/>
      <c r="N742" s="665"/>
      <c r="O742" s="665"/>
      <c r="P742" s="666"/>
      <c r="Q742" s="667"/>
      <c r="R742" s="668"/>
      <c r="S742" s="693"/>
      <c r="T742" s="694"/>
      <c r="U742" s="694"/>
      <c r="V742" s="693"/>
      <c r="W742" s="693"/>
      <c r="X742" s="693"/>
      <c r="Y742" s="671"/>
      <c r="Z742" s="673"/>
      <c r="AA742" s="672"/>
      <c r="AB742" s="695"/>
      <c r="AC742" s="673"/>
      <c r="AD742" s="673"/>
      <c r="AE742" s="673"/>
      <c r="AF742" s="673"/>
      <c r="AG742" s="673"/>
      <c r="AH742" s="673"/>
      <c r="AI742" s="673"/>
      <c r="AJ742" s="673"/>
      <c r="AK742" s="673"/>
      <c r="AL742" s="673"/>
      <c r="AM742" s="673"/>
      <c r="AN742" s="673"/>
      <c r="AO742" s="673"/>
      <c r="AP742" s="673"/>
      <c r="AQ742" s="673"/>
      <c r="AR742" s="673"/>
      <c r="AS742" s="673"/>
      <c r="AT742" s="696"/>
    </row>
    <row r="743" ht="15.75" customHeight="1">
      <c r="A743" s="653"/>
      <c r="B743" s="654"/>
      <c r="C743" s="691"/>
      <c r="D743" s="656"/>
      <c r="E743" s="657"/>
      <c r="F743" s="658"/>
      <c r="G743" s="659"/>
      <c r="H743" s="660"/>
      <c r="I743" s="659"/>
      <c r="J743" s="661"/>
      <c r="K743" s="692"/>
      <c r="L743" s="645"/>
      <c r="M743" s="663"/>
      <c r="N743" s="665"/>
      <c r="O743" s="665"/>
      <c r="P743" s="666"/>
      <c r="Q743" s="667"/>
      <c r="R743" s="668"/>
      <c r="S743" s="693"/>
      <c r="T743" s="694"/>
      <c r="U743" s="694"/>
      <c r="V743" s="693"/>
      <c r="W743" s="693"/>
      <c r="X743" s="693"/>
      <c r="Y743" s="671"/>
      <c r="Z743" s="673"/>
      <c r="AA743" s="672"/>
      <c r="AB743" s="695"/>
      <c r="AC743" s="673"/>
      <c r="AD743" s="673"/>
      <c r="AE743" s="673"/>
      <c r="AF743" s="673"/>
      <c r="AG743" s="673"/>
      <c r="AH743" s="673"/>
      <c r="AI743" s="673"/>
      <c r="AJ743" s="673"/>
      <c r="AK743" s="673"/>
      <c r="AL743" s="673"/>
      <c r="AM743" s="673"/>
      <c r="AN743" s="673"/>
      <c r="AO743" s="673"/>
      <c r="AP743" s="673"/>
      <c r="AQ743" s="673"/>
      <c r="AR743" s="673"/>
      <c r="AS743" s="673"/>
      <c r="AT743" s="696"/>
    </row>
    <row r="744" ht="15.75" customHeight="1">
      <c r="A744" s="653"/>
      <c r="B744" s="654"/>
      <c r="C744" s="691"/>
      <c r="D744" s="656"/>
      <c r="E744" s="657"/>
      <c r="F744" s="658"/>
      <c r="G744" s="659"/>
      <c r="H744" s="660"/>
      <c r="I744" s="659"/>
      <c r="J744" s="661"/>
      <c r="K744" s="692"/>
      <c r="L744" s="645"/>
      <c r="M744" s="663"/>
      <c r="N744" s="665"/>
      <c r="O744" s="665"/>
      <c r="P744" s="666"/>
      <c r="Q744" s="667"/>
      <c r="R744" s="668"/>
      <c r="S744" s="693"/>
      <c r="T744" s="694"/>
      <c r="U744" s="694"/>
      <c r="V744" s="693"/>
      <c r="W744" s="693"/>
      <c r="X744" s="693"/>
      <c r="Y744" s="671"/>
      <c r="Z744" s="673"/>
      <c r="AA744" s="672"/>
      <c r="AB744" s="695"/>
      <c r="AC744" s="673"/>
      <c r="AD744" s="673"/>
      <c r="AE744" s="673"/>
      <c r="AF744" s="673"/>
      <c r="AG744" s="673"/>
      <c r="AH744" s="673"/>
      <c r="AI744" s="673"/>
      <c r="AJ744" s="673"/>
      <c r="AK744" s="673"/>
      <c r="AL744" s="673"/>
      <c r="AM744" s="673"/>
      <c r="AN744" s="673"/>
      <c r="AO744" s="673"/>
      <c r="AP744" s="673"/>
      <c r="AQ744" s="673"/>
      <c r="AR744" s="673"/>
      <c r="AS744" s="673"/>
      <c r="AT744" s="696"/>
    </row>
    <row r="745" ht="15.75" customHeight="1">
      <c r="A745" s="653"/>
      <c r="B745" s="654"/>
      <c r="C745" s="691"/>
      <c r="D745" s="656"/>
      <c r="E745" s="657"/>
      <c r="F745" s="658"/>
      <c r="G745" s="659"/>
      <c r="H745" s="660"/>
      <c r="I745" s="659"/>
      <c r="J745" s="661"/>
      <c r="K745" s="692"/>
      <c r="L745" s="645"/>
      <c r="M745" s="663"/>
      <c r="N745" s="665"/>
      <c r="O745" s="665"/>
      <c r="P745" s="666"/>
      <c r="Q745" s="667"/>
      <c r="R745" s="668"/>
      <c r="S745" s="693"/>
      <c r="T745" s="694"/>
      <c r="U745" s="694"/>
      <c r="V745" s="693"/>
      <c r="W745" s="693"/>
      <c r="X745" s="693"/>
      <c r="Y745" s="671"/>
      <c r="Z745" s="673"/>
      <c r="AA745" s="672"/>
      <c r="AB745" s="695"/>
      <c r="AC745" s="673"/>
      <c r="AD745" s="673"/>
      <c r="AE745" s="673"/>
      <c r="AF745" s="673"/>
      <c r="AG745" s="673"/>
      <c r="AH745" s="673"/>
      <c r="AI745" s="673"/>
      <c r="AJ745" s="673"/>
      <c r="AK745" s="673"/>
      <c r="AL745" s="673"/>
      <c r="AM745" s="673"/>
      <c r="AN745" s="673"/>
      <c r="AO745" s="673"/>
      <c r="AP745" s="673"/>
      <c r="AQ745" s="673"/>
      <c r="AR745" s="673"/>
      <c r="AS745" s="673"/>
      <c r="AT745" s="696"/>
    </row>
    <row r="746" ht="15.75" customHeight="1">
      <c r="A746" s="653"/>
      <c r="B746" s="654"/>
      <c r="C746" s="691"/>
      <c r="D746" s="656"/>
      <c r="E746" s="657"/>
      <c r="F746" s="658"/>
      <c r="G746" s="659"/>
      <c r="H746" s="660"/>
      <c r="I746" s="659"/>
      <c r="J746" s="661"/>
      <c r="K746" s="692"/>
      <c r="L746" s="645"/>
      <c r="M746" s="663"/>
      <c r="N746" s="665"/>
      <c r="O746" s="665"/>
      <c r="P746" s="666"/>
      <c r="Q746" s="667"/>
      <c r="R746" s="668"/>
      <c r="S746" s="693"/>
      <c r="T746" s="694"/>
      <c r="U746" s="694"/>
      <c r="V746" s="693"/>
      <c r="W746" s="693"/>
      <c r="X746" s="693"/>
      <c r="Y746" s="671"/>
      <c r="Z746" s="673"/>
      <c r="AA746" s="672"/>
      <c r="AB746" s="695"/>
      <c r="AC746" s="673"/>
      <c r="AD746" s="673"/>
      <c r="AE746" s="673"/>
      <c r="AF746" s="673"/>
      <c r="AG746" s="673"/>
      <c r="AH746" s="673"/>
      <c r="AI746" s="673"/>
      <c r="AJ746" s="673"/>
      <c r="AK746" s="673"/>
      <c r="AL746" s="673"/>
      <c r="AM746" s="673"/>
      <c r="AN746" s="673"/>
      <c r="AO746" s="673"/>
      <c r="AP746" s="673"/>
      <c r="AQ746" s="673"/>
      <c r="AR746" s="673"/>
      <c r="AS746" s="673"/>
      <c r="AT746" s="696"/>
    </row>
    <row r="747" ht="15.75" customHeight="1">
      <c r="A747" s="653"/>
      <c r="B747" s="654"/>
      <c r="C747" s="691"/>
      <c r="D747" s="656"/>
      <c r="E747" s="657"/>
      <c r="F747" s="658"/>
      <c r="G747" s="659"/>
      <c r="H747" s="660"/>
      <c r="I747" s="659"/>
      <c r="J747" s="661"/>
      <c r="K747" s="692"/>
      <c r="L747" s="645"/>
      <c r="M747" s="663"/>
      <c r="N747" s="665"/>
      <c r="O747" s="665"/>
      <c r="P747" s="666"/>
      <c r="Q747" s="667"/>
      <c r="R747" s="668"/>
      <c r="S747" s="693"/>
      <c r="T747" s="694"/>
      <c r="U747" s="694"/>
      <c r="V747" s="693"/>
      <c r="W747" s="693"/>
      <c r="X747" s="693"/>
      <c r="Y747" s="671"/>
      <c r="Z747" s="673"/>
      <c r="AA747" s="672"/>
      <c r="AB747" s="695"/>
      <c r="AC747" s="673"/>
      <c r="AD747" s="673"/>
      <c r="AE747" s="673"/>
      <c r="AF747" s="673"/>
      <c r="AG747" s="673"/>
      <c r="AH747" s="673"/>
      <c r="AI747" s="673"/>
      <c r="AJ747" s="673"/>
      <c r="AK747" s="673"/>
      <c r="AL747" s="673"/>
      <c r="AM747" s="673"/>
      <c r="AN747" s="673"/>
      <c r="AO747" s="673"/>
      <c r="AP747" s="673"/>
      <c r="AQ747" s="673"/>
      <c r="AR747" s="673"/>
      <c r="AS747" s="673"/>
      <c r="AT747" s="696"/>
    </row>
    <row r="748" ht="15.75" customHeight="1">
      <c r="A748" s="653"/>
      <c r="B748" s="654"/>
      <c r="C748" s="691"/>
      <c r="D748" s="656"/>
      <c r="E748" s="657"/>
      <c r="F748" s="658"/>
      <c r="G748" s="659"/>
      <c r="H748" s="660"/>
      <c r="I748" s="659"/>
      <c r="J748" s="661"/>
      <c r="K748" s="692"/>
      <c r="L748" s="645"/>
      <c r="M748" s="663"/>
      <c r="N748" s="665"/>
      <c r="O748" s="665"/>
      <c r="P748" s="666"/>
      <c r="Q748" s="667"/>
      <c r="R748" s="668"/>
      <c r="S748" s="693"/>
      <c r="T748" s="694"/>
      <c r="U748" s="694"/>
      <c r="V748" s="693"/>
      <c r="W748" s="693"/>
      <c r="X748" s="693"/>
      <c r="Y748" s="671"/>
      <c r="Z748" s="673"/>
      <c r="AA748" s="672"/>
      <c r="AB748" s="695"/>
      <c r="AC748" s="673"/>
      <c r="AD748" s="673"/>
      <c r="AE748" s="673"/>
      <c r="AF748" s="673"/>
      <c r="AG748" s="673"/>
      <c r="AH748" s="673"/>
      <c r="AI748" s="673"/>
      <c r="AJ748" s="673"/>
      <c r="AK748" s="673"/>
      <c r="AL748" s="673"/>
      <c r="AM748" s="673"/>
      <c r="AN748" s="673"/>
      <c r="AO748" s="673"/>
      <c r="AP748" s="673"/>
      <c r="AQ748" s="673"/>
      <c r="AR748" s="673"/>
      <c r="AS748" s="673"/>
      <c r="AT748" s="696"/>
    </row>
    <row r="749" ht="15.75" customHeight="1">
      <c r="A749" s="653"/>
      <c r="B749" s="654"/>
      <c r="C749" s="691"/>
      <c r="D749" s="656"/>
      <c r="E749" s="657"/>
      <c r="F749" s="658"/>
      <c r="G749" s="659"/>
      <c r="H749" s="660"/>
      <c r="I749" s="659"/>
      <c r="J749" s="661"/>
      <c r="K749" s="692"/>
      <c r="L749" s="645"/>
      <c r="M749" s="663"/>
      <c r="N749" s="665"/>
      <c r="O749" s="665"/>
      <c r="P749" s="666"/>
      <c r="Q749" s="667"/>
      <c r="R749" s="668"/>
      <c r="S749" s="693"/>
      <c r="T749" s="694"/>
      <c r="U749" s="694"/>
      <c r="V749" s="693"/>
      <c r="W749" s="693"/>
      <c r="X749" s="693"/>
      <c r="Y749" s="671"/>
      <c r="Z749" s="673"/>
      <c r="AA749" s="672"/>
      <c r="AB749" s="695"/>
      <c r="AC749" s="673"/>
      <c r="AD749" s="673"/>
      <c r="AE749" s="673"/>
      <c r="AF749" s="673"/>
      <c r="AG749" s="673"/>
      <c r="AH749" s="673"/>
      <c r="AI749" s="673"/>
      <c r="AJ749" s="673"/>
      <c r="AK749" s="673"/>
      <c r="AL749" s="673"/>
      <c r="AM749" s="673"/>
      <c r="AN749" s="673"/>
      <c r="AO749" s="673"/>
      <c r="AP749" s="673"/>
      <c r="AQ749" s="673"/>
      <c r="AR749" s="673"/>
      <c r="AS749" s="673"/>
      <c r="AT749" s="696"/>
    </row>
    <row r="750" ht="15.75" customHeight="1">
      <c r="A750" s="653"/>
      <c r="B750" s="654"/>
      <c r="C750" s="691"/>
      <c r="D750" s="656"/>
      <c r="E750" s="657"/>
      <c r="F750" s="658"/>
      <c r="G750" s="659"/>
      <c r="H750" s="660"/>
      <c r="I750" s="659"/>
      <c r="J750" s="661"/>
      <c r="K750" s="692"/>
      <c r="L750" s="645"/>
      <c r="M750" s="663"/>
      <c r="N750" s="665"/>
      <c r="O750" s="665"/>
      <c r="P750" s="666"/>
      <c r="Q750" s="667"/>
      <c r="R750" s="668"/>
      <c r="S750" s="693"/>
      <c r="T750" s="694"/>
      <c r="U750" s="694"/>
      <c r="V750" s="693"/>
      <c r="W750" s="693"/>
      <c r="X750" s="693"/>
      <c r="Y750" s="671"/>
      <c r="Z750" s="673"/>
      <c r="AA750" s="672"/>
      <c r="AB750" s="695"/>
      <c r="AC750" s="673"/>
      <c r="AD750" s="673"/>
      <c r="AE750" s="673"/>
      <c r="AF750" s="673"/>
      <c r="AG750" s="673"/>
      <c r="AH750" s="673"/>
      <c r="AI750" s="673"/>
      <c r="AJ750" s="673"/>
      <c r="AK750" s="673"/>
      <c r="AL750" s="673"/>
      <c r="AM750" s="673"/>
      <c r="AN750" s="673"/>
      <c r="AO750" s="673"/>
      <c r="AP750" s="673"/>
      <c r="AQ750" s="673"/>
      <c r="AR750" s="673"/>
      <c r="AS750" s="673"/>
      <c r="AT750" s="696"/>
    </row>
    <row r="751" ht="15.75" customHeight="1">
      <c r="A751" s="653"/>
      <c r="B751" s="654"/>
      <c r="C751" s="691"/>
      <c r="D751" s="656"/>
      <c r="E751" s="657"/>
      <c r="F751" s="658"/>
      <c r="G751" s="659"/>
      <c r="H751" s="660"/>
      <c r="I751" s="659"/>
      <c r="J751" s="661"/>
      <c r="K751" s="692"/>
      <c r="L751" s="645"/>
      <c r="M751" s="663"/>
      <c r="N751" s="665"/>
      <c r="O751" s="665"/>
      <c r="P751" s="666"/>
      <c r="Q751" s="667"/>
      <c r="R751" s="668"/>
      <c r="S751" s="693"/>
      <c r="T751" s="694"/>
      <c r="U751" s="694"/>
      <c r="V751" s="693"/>
      <c r="W751" s="693"/>
      <c r="X751" s="693"/>
      <c r="Y751" s="671"/>
      <c r="Z751" s="673"/>
      <c r="AA751" s="672"/>
      <c r="AB751" s="695"/>
      <c r="AC751" s="673"/>
      <c r="AD751" s="673"/>
      <c r="AE751" s="673"/>
      <c r="AF751" s="673"/>
      <c r="AG751" s="673"/>
      <c r="AH751" s="673"/>
      <c r="AI751" s="673"/>
      <c r="AJ751" s="673"/>
      <c r="AK751" s="673"/>
      <c r="AL751" s="673"/>
      <c r="AM751" s="673"/>
      <c r="AN751" s="673"/>
      <c r="AO751" s="673"/>
      <c r="AP751" s="673"/>
      <c r="AQ751" s="673"/>
      <c r="AR751" s="673"/>
      <c r="AS751" s="673"/>
      <c r="AT751" s="696"/>
    </row>
    <row r="752" ht="15.75" customHeight="1">
      <c r="A752" s="653"/>
      <c r="B752" s="654"/>
      <c r="C752" s="691"/>
      <c r="D752" s="656"/>
      <c r="E752" s="657"/>
      <c r="F752" s="658"/>
      <c r="G752" s="659"/>
      <c r="H752" s="660"/>
      <c r="I752" s="659"/>
      <c r="J752" s="661"/>
      <c r="K752" s="692"/>
      <c r="L752" s="645"/>
      <c r="M752" s="663"/>
      <c r="N752" s="665"/>
      <c r="O752" s="665"/>
      <c r="P752" s="666"/>
      <c r="Q752" s="667"/>
      <c r="R752" s="668"/>
      <c r="S752" s="693"/>
      <c r="T752" s="694"/>
      <c r="U752" s="694"/>
      <c r="V752" s="693"/>
      <c r="W752" s="693"/>
      <c r="X752" s="693"/>
      <c r="Y752" s="671"/>
      <c r="Z752" s="673"/>
      <c r="AA752" s="672"/>
      <c r="AB752" s="695"/>
      <c r="AC752" s="673"/>
      <c r="AD752" s="673"/>
      <c r="AE752" s="673"/>
      <c r="AF752" s="673"/>
      <c r="AG752" s="673"/>
      <c r="AH752" s="673"/>
      <c r="AI752" s="673"/>
      <c r="AJ752" s="673"/>
      <c r="AK752" s="673"/>
      <c r="AL752" s="673"/>
      <c r="AM752" s="673"/>
      <c r="AN752" s="673"/>
      <c r="AO752" s="673"/>
      <c r="AP752" s="673"/>
      <c r="AQ752" s="673"/>
      <c r="AR752" s="673"/>
      <c r="AS752" s="673"/>
      <c r="AT752" s="696"/>
    </row>
    <row r="753" ht="15.75" customHeight="1">
      <c r="A753" s="653"/>
      <c r="B753" s="654"/>
      <c r="C753" s="691"/>
      <c r="D753" s="656"/>
      <c r="E753" s="657"/>
      <c r="F753" s="658"/>
      <c r="G753" s="659"/>
      <c r="H753" s="660"/>
      <c r="I753" s="659"/>
      <c r="J753" s="661"/>
      <c r="K753" s="692"/>
      <c r="L753" s="645"/>
      <c r="M753" s="663"/>
      <c r="N753" s="665"/>
      <c r="O753" s="665"/>
      <c r="P753" s="666"/>
      <c r="Q753" s="667"/>
      <c r="R753" s="668"/>
      <c r="S753" s="693"/>
      <c r="T753" s="694"/>
      <c r="U753" s="694"/>
      <c r="V753" s="693"/>
      <c r="W753" s="693"/>
      <c r="X753" s="693"/>
      <c r="Y753" s="671"/>
      <c r="Z753" s="673"/>
      <c r="AA753" s="672"/>
      <c r="AB753" s="695"/>
      <c r="AC753" s="673"/>
      <c r="AD753" s="673"/>
      <c r="AE753" s="673"/>
      <c r="AF753" s="673"/>
      <c r="AG753" s="673"/>
      <c r="AH753" s="673"/>
      <c r="AI753" s="673"/>
      <c r="AJ753" s="673"/>
      <c r="AK753" s="673"/>
      <c r="AL753" s="673"/>
      <c r="AM753" s="673"/>
      <c r="AN753" s="673"/>
      <c r="AO753" s="673"/>
      <c r="AP753" s="673"/>
      <c r="AQ753" s="673"/>
      <c r="AR753" s="673"/>
      <c r="AS753" s="673"/>
      <c r="AT753" s="696"/>
    </row>
    <row r="754" ht="15.75" customHeight="1">
      <c r="A754" s="653"/>
      <c r="B754" s="654"/>
      <c r="C754" s="691"/>
      <c r="D754" s="656"/>
      <c r="E754" s="657"/>
      <c r="F754" s="658"/>
      <c r="G754" s="659"/>
      <c r="H754" s="660"/>
      <c r="I754" s="659"/>
      <c r="J754" s="661"/>
      <c r="K754" s="692"/>
      <c r="L754" s="645"/>
      <c r="M754" s="663"/>
      <c r="N754" s="665"/>
      <c r="O754" s="665"/>
      <c r="P754" s="666"/>
      <c r="Q754" s="667"/>
      <c r="R754" s="668"/>
      <c r="S754" s="693"/>
      <c r="T754" s="694"/>
      <c r="U754" s="694"/>
      <c r="V754" s="693"/>
      <c r="W754" s="693"/>
      <c r="X754" s="693"/>
      <c r="Y754" s="671"/>
      <c r="Z754" s="673"/>
      <c r="AA754" s="672"/>
      <c r="AB754" s="695"/>
      <c r="AC754" s="673"/>
      <c r="AD754" s="673"/>
      <c r="AE754" s="673"/>
      <c r="AF754" s="673"/>
      <c r="AG754" s="673"/>
      <c r="AH754" s="673"/>
      <c r="AI754" s="673"/>
      <c r="AJ754" s="673"/>
      <c r="AK754" s="673"/>
      <c r="AL754" s="673"/>
      <c r="AM754" s="673"/>
      <c r="AN754" s="673"/>
      <c r="AO754" s="673"/>
      <c r="AP754" s="673"/>
      <c r="AQ754" s="673"/>
      <c r="AR754" s="673"/>
      <c r="AS754" s="673"/>
      <c r="AT754" s="696"/>
    </row>
    <row r="755" ht="15.75" customHeight="1">
      <c r="A755" s="653"/>
      <c r="B755" s="654"/>
      <c r="C755" s="691"/>
      <c r="D755" s="656"/>
      <c r="E755" s="657"/>
      <c r="F755" s="658"/>
      <c r="G755" s="659"/>
      <c r="H755" s="660"/>
      <c r="I755" s="659"/>
      <c r="J755" s="661"/>
      <c r="K755" s="692"/>
      <c r="L755" s="645"/>
      <c r="M755" s="663"/>
      <c r="N755" s="665"/>
      <c r="O755" s="665"/>
      <c r="P755" s="666"/>
      <c r="Q755" s="667"/>
      <c r="R755" s="668"/>
      <c r="S755" s="693"/>
      <c r="T755" s="694"/>
      <c r="U755" s="694"/>
      <c r="V755" s="693"/>
      <c r="W755" s="693"/>
      <c r="X755" s="693"/>
      <c r="Y755" s="671"/>
      <c r="Z755" s="673"/>
      <c r="AA755" s="672"/>
      <c r="AB755" s="695"/>
      <c r="AC755" s="673"/>
      <c r="AD755" s="673"/>
      <c r="AE755" s="673"/>
      <c r="AF755" s="673"/>
      <c r="AG755" s="673"/>
      <c r="AH755" s="673"/>
      <c r="AI755" s="673"/>
      <c r="AJ755" s="673"/>
      <c r="AK755" s="673"/>
      <c r="AL755" s="673"/>
      <c r="AM755" s="673"/>
      <c r="AN755" s="673"/>
      <c r="AO755" s="673"/>
      <c r="AP755" s="673"/>
      <c r="AQ755" s="673"/>
      <c r="AR755" s="673"/>
      <c r="AS755" s="673"/>
      <c r="AT755" s="696"/>
    </row>
    <row r="756" ht="15.75" customHeight="1">
      <c r="A756" s="653"/>
      <c r="B756" s="654"/>
      <c r="C756" s="691"/>
      <c r="D756" s="656"/>
      <c r="E756" s="657"/>
      <c r="F756" s="658"/>
      <c r="G756" s="659"/>
      <c r="H756" s="660"/>
      <c r="I756" s="659"/>
      <c r="J756" s="661"/>
      <c r="K756" s="692"/>
      <c r="L756" s="645"/>
      <c r="M756" s="663"/>
      <c r="N756" s="665"/>
      <c r="O756" s="665"/>
      <c r="P756" s="666"/>
      <c r="Q756" s="667"/>
      <c r="R756" s="668"/>
      <c r="S756" s="693"/>
      <c r="T756" s="694"/>
      <c r="U756" s="694"/>
      <c r="V756" s="693"/>
      <c r="W756" s="693"/>
      <c r="X756" s="693"/>
      <c r="Y756" s="671"/>
      <c r="Z756" s="673"/>
      <c r="AA756" s="672"/>
      <c r="AB756" s="695"/>
      <c r="AC756" s="673"/>
      <c r="AD756" s="673"/>
      <c r="AE756" s="673"/>
      <c r="AF756" s="673"/>
      <c r="AG756" s="673"/>
      <c r="AH756" s="673"/>
      <c r="AI756" s="673"/>
      <c r="AJ756" s="673"/>
      <c r="AK756" s="673"/>
      <c r="AL756" s="673"/>
      <c r="AM756" s="673"/>
      <c r="AN756" s="673"/>
      <c r="AO756" s="673"/>
      <c r="AP756" s="673"/>
      <c r="AQ756" s="673"/>
      <c r="AR756" s="673"/>
      <c r="AS756" s="673"/>
      <c r="AT756" s="696"/>
    </row>
    <row r="757" ht="15.75" customHeight="1">
      <c r="A757" s="653"/>
      <c r="B757" s="654"/>
      <c r="C757" s="691"/>
      <c r="D757" s="656"/>
      <c r="E757" s="657"/>
      <c r="F757" s="658"/>
      <c r="G757" s="659"/>
      <c r="H757" s="660"/>
      <c r="I757" s="659"/>
      <c r="J757" s="661"/>
      <c r="K757" s="692"/>
      <c r="L757" s="645"/>
      <c r="M757" s="663"/>
      <c r="N757" s="665"/>
      <c r="O757" s="665"/>
      <c r="P757" s="666"/>
      <c r="Q757" s="667"/>
      <c r="R757" s="668"/>
      <c r="S757" s="693"/>
      <c r="T757" s="694"/>
      <c r="U757" s="694"/>
      <c r="V757" s="693"/>
      <c r="W757" s="693"/>
      <c r="X757" s="693"/>
      <c r="Y757" s="671"/>
      <c r="Z757" s="673"/>
      <c r="AA757" s="672"/>
      <c r="AB757" s="695"/>
      <c r="AC757" s="673"/>
      <c r="AD757" s="673"/>
      <c r="AE757" s="673"/>
      <c r="AF757" s="673"/>
      <c r="AG757" s="673"/>
      <c r="AH757" s="673"/>
      <c r="AI757" s="673"/>
      <c r="AJ757" s="673"/>
      <c r="AK757" s="673"/>
      <c r="AL757" s="673"/>
      <c r="AM757" s="673"/>
      <c r="AN757" s="673"/>
      <c r="AO757" s="673"/>
      <c r="AP757" s="673"/>
      <c r="AQ757" s="673"/>
      <c r="AR757" s="673"/>
      <c r="AS757" s="673"/>
      <c r="AT757" s="696"/>
    </row>
    <row r="758" ht="15.75" customHeight="1">
      <c r="A758" s="653"/>
      <c r="B758" s="654"/>
      <c r="C758" s="691"/>
      <c r="D758" s="656"/>
      <c r="E758" s="657"/>
      <c r="F758" s="658"/>
      <c r="G758" s="659"/>
      <c r="H758" s="660"/>
      <c r="I758" s="659"/>
      <c r="J758" s="661"/>
      <c r="K758" s="692"/>
      <c r="L758" s="645"/>
      <c r="M758" s="663"/>
      <c r="N758" s="665"/>
      <c r="O758" s="665"/>
      <c r="P758" s="666"/>
      <c r="Q758" s="667"/>
      <c r="R758" s="668"/>
      <c r="S758" s="693"/>
      <c r="T758" s="694"/>
      <c r="U758" s="694"/>
      <c r="V758" s="693"/>
      <c r="W758" s="693"/>
      <c r="X758" s="693"/>
      <c r="Y758" s="671"/>
      <c r="Z758" s="673"/>
      <c r="AA758" s="672"/>
      <c r="AB758" s="695"/>
      <c r="AC758" s="673"/>
      <c r="AD758" s="673"/>
      <c r="AE758" s="673"/>
      <c r="AF758" s="673"/>
      <c r="AG758" s="673"/>
      <c r="AH758" s="673"/>
      <c r="AI758" s="673"/>
      <c r="AJ758" s="673"/>
      <c r="AK758" s="673"/>
      <c r="AL758" s="673"/>
      <c r="AM758" s="673"/>
      <c r="AN758" s="673"/>
      <c r="AO758" s="673"/>
      <c r="AP758" s="673"/>
      <c r="AQ758" s="673"/>
      <c r="AR758" s="673"/>
      <c r="AS758" s="673"/>
      <c r="AT758" s="696"/>
    </row>
    <row r="759" ht="15.75" customHeight="1">
      <c r="A759" s="653"/>
      <c r="B759" s="654"/>
      <c r="C759" s="691"/>
      <c r="D759" s="656"/>
      <c r="E759" s="657"/>
      <c r="F759" s="658"/>
      <c r="G759" s="659"/>
      <c r="H759" s="660"/>
      <c r="I759" s="659"/>
      <c r="J759" s="661"/>
      <c r="K759" s="692"/>
      <c r="L759" s="645"/>
      <c r="M759" s="663"/>
      <c r="N759" s="665"/>
      <c r="O759" s="665"/>
      <c r="P759" s="666"/>
      <c r="Q759" s="667"/>
      <c r="R759" s="668"/>
      <c r="S759" s="693"/>
      <c r="T759" s="694"/>
      <c r="U759" s="694"/>
      <c r="V759" s="693"/>
      <c r="W759" s="693"/>
      <c r="X759" s="693"/>
      <c r="Y759" s="671"/>
      <c r="Z759" s="673"/>
      <c r="AA759" s="672"/>
      <c r="AB759" s="695"/>
      <c r="AC759" s="673"/>
      <c r="AD759" s="673"/>
      <c r="AE759" s="673"/>
      <c r="AF759" s="673"/>
      <c r="AG759" s="673"/>
      <c r="AH759" s="673"/>
      <c r="AI759" s="673"/>
      <c r="AJ759" s="673"/>
      <c r="AK759" s="673"/>
      <c r="AL759" s="673"/>
      <c r="AM759" s="673"/>
      <c r="AN759" s="673"/>
      <c r="AO759" s="673"/>
      <c r="AP759" s="673"/>
      <c r="AQ759" s="673"/>
      <c r="AR759" s="673"/>
      <c r="AS759" s="673"/>
      <c r="AT759" s="696"/>
    </row>
    <row r="760" ht="15.75" customHeight="1">
      <c r="A760" s="653"/>
      <c r="B760" s="654"/>
      <c r="C760" s="691"/>
      <c r="D760" s="656"/>
      <c r="E760" s="657"/>
      <c r="F760" s="658"/>
      <c r="G760" s="659"/>
      <c r="H760" s="660"/>
      <c r="I760" s="659"/>
      <c r="J760" s="661"/>
      <c r="K760" s="692"/>
      <c r="L760" s="645"/>
      <c r="M760" s="663"/>
      <c r="N760" s="665"/>
      <c r="O760" s="665"/>
      <c r="P760" s="666"/>
      <c r="Q760" s="667"/>
      <c r="R760" s="668"/>
      <c r="S760" s="693"/>
      <c r="T760" s="694"/>
      <c r="U760" s="694"/>
      <c r="V760" s="693"/>
      <c r="W760" s="693"/>
      <c r="X760" s="693"/>
      <c r="Y760" s="671"/>
      <c r="Z760" s="673"/>
      <c r="AA760" s="672"/>
      <c r="AB760" s="695"/>
      <c r="AC760" s="673"/>
      <c r="AD760" s="673"/>
      <c r="AE760" s="673"/>
      <c r="AF760" s="673"/>
      <c r="AG760" s="673"/>
      <c r="AH760" s="673"/>
      <c r="AI760" s="673"/>
      <c r="AJ760" s="673"/>
      <c r="AK760" s="673"/>
      <c r="AL760" s="673"/>
      <c r="AM760" s="673"/>
      <c r="AN760" s="673"/>
      <c r="AO760" s="673"/>
      <c r="AP760" s="673"/>
      <c r="AQ760" s="673"/>
      <c r="AR760" s="673"/>
      <c r="AS760" s="673"/>
      <c r="AT760" s="696"/>
    </row>
    <row r="761" ht="15.75" customHeight="1">
      <c r="A761" s="653"/>
      <c r="B761" s="654"/>
      <c r="C761" s="691"/>
      <c r="D761" s="656"/>
      <c r="E761" s="657"/>
      <c r="F761" s="658"/>
      <c r="G761" s="659"/>
      <c r="H761" s="660"/>
      <c r="I761" s="659"/>
      <c r="J761" s="661"/>
      <c r="K761" s="692"/>
      <c r="L761" s="645"/>
      <c r="M761" s="663"/>
      <c r="N761" s="665"/>
      <c r="O761" s="665"/>
      <c r="P761" s="666"/>
      <c r="Q761" s="667"/>
      <c r="R761" s="668"/>
      <c r="S761" s="693"/>
      <c r="T761" s="694"/>
      <c r="U761" s="694"/>
      <c r="V761" s="693"/>
      <c r="W761" s="693"/>
      <c r="X761" s="693"/>
      <c r="Y761" s="671"/>
      <c r="Z761" s="673"/>
      <c r="AA761" s="672"/>
      <c r="AB761" s="695"/>
      <c r="AC761" s="673"/>
      <c r="AD761" s="673"/>
      <c r="AE761" s="673"/>
      <c r="AF761" s="673"/>
      <c r="AG761" s="673"/>
      <c r="AH761" s="673"/>
      <c r="AI761" s="673"/>
      <c r="AJ761" s="673"/>
      <c r="AK761" s="673"/>
      <c r="AL761" s="673"/>
      <c r="AM761" s="673"/>
      <c r="AN761" s="673"/>
      <c r="AO761" s="673"/>
      <c r="AP761" s="673"/>
      <c r="AQ761" s="673"/>
      <c r="AR761" s="673"/>
      <c r="AS761" s="673"/>
      <c r="AT761" s="696"/>
    </row>
    <row r="762" ht="15.75" customHeight="1">
      <c r="A762" s="653"/>
      <c r="B762" s="654"/>
      <c r="C762" s="691"/>
      <c r="D762" s="656"/>
      <c r="E762" s="657"/>
      <c r="F762" s="658"/>
      <c r="G762" s="659"/>
      <c r="H762" s="660"/>
      <c r="I762" s="659"/>
      <c r="J762" s="661"/>
      <c r="K762" s="692"/>
      <c r="L762" s="645"/>
      <c r="M762" s="663"/>
      <c r="N762" s="665"/>
      <c r="O762" s="665"/>
      <c r="P762" s="666"/>
      <c r="Q762" s="667"/>
      <c r="R762" s="668"/>
      <c r="S762" s="693"/>
      <c r="T762" s="694"/>
      <c r="U762" s="694"/>
      <c r="V762" s="693"/>
      <c r="W762" s="693"/>
      <c r="X762" s="693"/>
      <c r="Y762" s="671"/>
      <c r="Z762" s="673"/>
      <c r="AA762" s="672"/>
      <c r="AB762" s="695"/>
      <c r="AC762" s="673"/>
      <c r="AD762" s="673"/>
      <c r="AE762" s="673"/>
      <c r="AF762" s="673"/>
      <c r="AG762" s="673"/>
      <c r="AH762" s="673"/>
      <c r="AI762" s="673"/>
      <c r="AJ762" s="673"/>
      <c r="AK762" s="673"/>
      <c r="AL762" s="673"/>
      <c r="AM762" s="673"/>
      <c r="AN762" s="673"/>
      <c r="AO762" s="673"/>
      <c r="AP762" s="673"/>
      <c r="AQ762" s="673"/>
      <c r="AR762" s="673"/>
      <c r="AS762" s="673"/>
      <c r="AT762" s="696"/>
    </row>
    <row r="763" ht="15.75" customHeight="1">
      <c r="A763" s="653"/>
      <c r="B763" s="654"/>
      <c r="C763" s="691"/>
      <c r="D763" s="656"/>
      <c r="E763" s="657"/>
      <c r="F763" s="658"/>
      <c r="G763" s="659"/>
      <c r="H763" s="660"/>
      <c r="I763" s="659"/>
      <c r="J763" s="661"/>
      <c r="K763" s="692"/>
      <c r="L763" s="645"/>
      <c r="M763" s="663"/>
      <c r="N763" s="665"/>
      <c r="O763" s="665"/>
      <c r="P763" s="666"/>
      <c r="Q763" s="667"/>
      <c r="R763" s="668"/>
      <c r="S763" s="693"/>
      <c r="T763" s="694"/>
      <c r="U763" s="694"/>
      <c r="V763" s="693"/>
      <c r="W763" s="693"/>
      <c r="X763" s="693"/>
      <c r="Y763" s="671"/>
      <c r="Z763" s="673"/>
      <c r="AA763" s="672"/>
      <c r="AB763" s="695"/>
      <c r="AC763" s="673"/>
      <c r="AD763" s="673"/>
      <c r="AE763" s="673"/>
      <c r="AF763" s="673"/>
      <c r="AG763" s="673"/>
      <c r="AH763" s="673"/>
      <c r="AI763" s="673"/>
      <c r="AJ763" s="673"/>
      <c r="AK763" s="673"/>
      <c r="AL763" s="673"/>
      <c r="AM763" s="673"/>
      <c r="AN763" s="673"/>
      <c r="AO763" s="673"/>
      <c r="AP763" s="673"/>
      <c r="AQ763" s="673"/>
      <c r="AR763" s="673"/>
      <c r="AS763" s="673"/>
      <c r="AT763" s="696"/>
    </row>
    <row r="764" ht="15.75" customHeight="1">
      <c r="A764" s="653"/>
      <c r="B764" s="654"/>
      <c r="C764" s="691"/>
      <c r="D764" s="656"/>
      <c r="E764" s="657"/>
      <c r="F764" s="658"/>
      <c r="G764" s="659"/>
      <c r="H764" s="660"/>
      <c r="I764" s="659"/>
      <c r="J764" s="661"/>
      <c r="K764" s="692"/>
      <c r="L764" s="645"/>
      <c r="M764" s="663"/>
      <c r="N764" s="665"/>
      <c r="O764" s="665"/>
      <c r="P764" s="666"/>
      <c r="Q764" s="667"/>
      <c r="R764" s="668"/>
      <c r="S764" s="693"/>
      <c r="T764" s="694"/>
      <c r="U764" s="694"/>
      <c r="V764" s="693"/>
      <c r="W764" s="693"/>
      <c r="X764" s="693"/>
      <c r="Y764" s="671"/>
      <c r="Z764" s="673"/>
      <c r="AA764" s="672"/>
      <c r="AB764" s="695"/>
      <c r="AC764" s="673"/>
      <c r="AD764" s="673"/>
      <c r="AE764" s="673"/>
      <c r="AF764" s="673"/>
      <c r="AG764" s="673"/>
      <c r="AH764" s="673"/>
      <c r="AI764" s="673"/>
      <c r="AJ764" s="673"/>
      <c r="AK764" s="673"/>
      <c r="AL764" s="673"/>
      <c r="AM764" s="673"/>
      <c r="AN764" s="673"/>
      <c r="AO764" s="673"/>
      <c r="AP764" s="673"/>
      <c r="AQ764" s="673"/>
      <c r="AR764" s="673"/>
      <c r="AS764" s="673"/>
      <c r="AT764" s="696"/>
    </row>
    <row r="765" ht="15.75" customHeight="1">
      <c r="A765" s="653"/>
      <c r="B765" s="654"/>
      <c r="C765" s="691"/>
      <c r="D765" s="656"/>
      <c r="E765" s="657"/>
      <c r="F765" s="658"/>
      <c r="G765" s="659"/>
      <c r="H765" s="660"/>
      <c r="I765" s="659"/>
      <c r="J765" s="661"/>
      <c r="K765" s="692"/>
      <c r="L765" s="645"/>
      <c r="M765" s="663"/>
      <c r="N765" s="665"/>
      <c r="O765" s="665"/>
      <c r="P765" s="666"/>
      <c r="Q765" s="667"/>
      <c r="R765" s="668"/>
      <c r="S765" s="693"/>
      <c r="T765" s="694"/>
      <c r="U765" s="694"/>
      <c r="V765" s="693"/>
      <c r="W765" s="693"/>
      <c r="X765" s="693"/>
      <c r="Y765" s="671"/>
      <c r="Z765" s="673"/>
      <c r="AA765" s="672"/>
      <c r="AB765" s="695"/>
      <c r="AC765" s="673"/>
      <c r="AD765" s="673"/>
      <c r="AE765" s="673"/>
      <c r="AF765" s="673"/>
      <c r="AG765" s="673"/>
      <c r="AH765" s="673"/>
      <c r="AI765" s="673"/>
      <c r="AJ765" s="673"/>
      <c r="AK765" s="673"/>
      <c r="AL765" s="673"/>
      <c r="AM765" s="673"/>
      <c r="AN765" s="673"/>
      <c r="AO765" s="673"/>
      <c r="AP765" s="673"/>
      <c r="AQ765" s="673"/>
      <c r="AR765" s="673"/>
      <c r="AS765" s="673"/>
      <c r="AT765" s="696"/>
    </row>
    <row r="766" ht="15.75" customHeight="1">
      <c r="A766" s="653"/>
      <c r="B766" s="654"/>
      <c r="C766" s="691"/>
      <c r="D766" s="656"/>
      <c r="E766" s="657"/>
      <c r="F766" s="658"/>
      <c r="G766" s="659"/>
      <c r="H766" s="660"/>
      <c r="I766" s="659"/>
      <c r="J766" s="661"/>
      <c r="K766" s="692"/>
      <c r="L766" s="645"/>
      <c r="M766" s="663"/>
      <c r="N766" s="665"/>
      <c r="O766" s="665"/>
      <c r="P766" s="666"/>
      <c r="Q766" s="667"/>
      <c r="R766" s="668"/>
      <c r="S766" s="693"/>
      <c r="T766" s="694"/>
      <c r="U766" s="694"/>
      <c r="V766" s="693"/>
      <c r="W766" s="693"/>
      <c r="X766" s="693"/>
      <c r="Y766" s="671"/>
      <c r="Z766" s="673"/>
      <c r="AA766" s="672"/>
      <c r="AB766" s="695"/>
      <c r="AC766" s="673"/>
      <c r="AD766" s="673"/>
      <c r="AE766" s="673"/>
      <c r="AF766" s="673"/>
      <c r="AG766" s="673"/>
      <c r="AH766" s="673"/>
      <c r="AI766" s="673"/>
      <c r="AJ766" s="673"/>
      <c r="AK766" s="673"/>
      <c r="AL766" s="673"/>
      <c r="AM766" s="673"/>
      <c r="AN766" s="673"/>
      <c r="AO766" s="673"/>
      <c r="AP766" s="673"/>
      <c r="AQ766" s="673"/>
      <c r="AR766" s="673"/>
      <c r="AS766" s="673"/>
      <c r="AT766" s="696"/>
    </row>
    <row r="767" ht="15.75" customHeight="1">
      <c r="A767" s="653"/>
      <c r="B767" s="654"/>
      <c r="C767" s="691"/>
      <c r="D767" s="656"/>
      <c r="E767" s="657"/>
      <c r="F767" s="658"/>
      <c r="G767" s="659"/>
      <c r="H767" s="660"/>
      <c r="I767" s="659"/>
      <c r="J767" s="661"/>
      <c r="K767" s="692"/>
      <c r="L767" s="645"/>
      <c r="M767" s="663"/>
      <c r="N767" s="665"/>
      <c r="O767" s="665"/>
      <c r="P767" s="666"/>
      <c r="Q767" s="667"/>
      <c r="R767" s="668"/>
      <c r="S767" s="693"/>
      <c r="T767" s="694"/>
      <c r="U767" s="694"/>
      <c r="V767" s="693"/>
      <c r="W767" s="693"/>
      <c r="X767" s="693"/>
      <c r="Y767" s="671"/>
      <c r="Z767" s="673"/>
      <c r="AA767" s="672"/>
      <c r="AB767" s="695"/>
      <c r="AC767" s="673"/>
      <c r="AD767" s="673"/>
      <c r="AE767" s="673"/>
      <c r="AF767" s="673"/>
      <c r="AG767" s="673"/>
      <c r="AH767" s="673"/>
      <c r="AI767" s="673"/>
      <c r="AJ767" s="673"/>
      <c r="AK767" s="673"/>
      <c r="AL767" s="673"/>
      <c r="AM767" s="673"/>
      <c r="AN767" s="673"/>
      <c r="AO767" s="673"/>
      <c r="AP767" s="673"/>
      <c r="AQ767" s="673"/>
      <c r="AR767" s="673"/>
      <c r="AS767" s="673"/>
      <c r="AT767" s="696"/>
    </row>
    <row r="768" ht="15.75" customHeight="1">
      <c r="A768" s="653"/>
      <c r="B768" s="654"/>
      <c r="C768" s="691"/>
      <c r="D768" s="656"/>
      <c r="E768" s="657"/>
      <c r="F768" s="658"/>
      <c r="G768" s="659"/>
      <c r="H768" s="660"/>
      <c r="I768" s="659"/>
      <c r="J768" s="661"/>
      <c r="K768" s="692"/>
      <c r="L768" s="645"/>
      <c r="M768" s="663"/>
      <c r="N768" s="665"/>
      <c r="O768" s="665"/>
      <c r="P768" s="666"/>
      <c r="Q768" s="667"/>
      <c r="R768" s="668"/>
      <c r="S768" s="693"/>
      <c r="T768" s="694"/>
      <c r="U768" s="694"/>
      <c r="V768" s="693"/>
      <c r="W768" s="693"/>
      <c r="X768" s="693"/>
      <c r="Y768" s="671"/>
      <c r="Z768" s="673"/>
      <c r="AA768" s="672"/>
      <c r="AB768" s="695"/>
      <c r="AC768" s="673"/>
      <c r="AD768" s="673"/>
      <c r="AE768" s="673"/>
      <c r="AF768" s="673"/>
      <c r="AG768" s="673"/>
      <c r="AH768" s="673"/>
      <c r="AI768" s="673"/>
      <c r="AJ768" s="673"/>
      <c r="AK768" s="673"/>
      <c r="AL768" s="673"/>
      <c r="AM768" s="673"/>
      <c r="AN768" s="673"/>
      <c r="AO768" s="673"/>
      <c r="AP768" s="673"/>
      <c r="AQ768" s="673"/>
      <c r="AR768" s="673"/>
      <c r="AS768" s="673"/>
      <c r="AT768" s="696"/>
    </row>
    <row r="769" ht="15.75" customHeight="1">
      <c r="A769" s="653"/>
      <c r="B769" s="654"/>
      <c r="C769" s="691"/>
      <c r="D769" s="656"/>
      <c r="E769" s="657"/>
      <c r="F769" s="658"/>
      <c r="G769" s="659"/>
      <c r="H769" s="660"/>
      <c r="I769" s="659"/>
      <c r="J769" s="661"/>
      <c r="K769" s="692"/>
      <c r="L769" s="645"/>
      <c r="M769" s="663"/>
      <c r="N769" s="665"/>
      <c r="O769" s="665"/>
      <c r="P769" s="666"/>
      <c r="Q769" s="667"/>
      <c r="R769" s="668"/>
      <c r="S769" s="693"/>
      <c r="T769" s="694"/>
      <c r="U769" s="694"/>
      <c r="V769" s="693"/>
      <c r="W769" s="693"/>
      <c r="X769" s="693"/>
      <c r="Y769" s="671"/>
      <c r="Z769" s="673"/>
      <c r="AA769" s="672"/>
      <c r="AB769" s="695"/>
      <c r="AC769" s="673"/>
      <c r="AD769" s="673"/>
      <c r="AE769" s="673"/>
      <c r="AF769" s="673"/>
      <c r="AG769" s="673"/>
      <c r="AH769" s="673"/>
      <c r="AI769" s="673"/>
      <c r="AJ769" s="673"/>
      <c r="AK769" s="673"/>
      <c r="AL769" s="673"/>
      <c r="AM769" s="673"/>
      <c r="AN769" s="673"/>
      <c r="AO769" s="673"/>
      <c r="AP769" s="673"/>
      <c r="AQ769" s="673"/>
      <c r="AR769" s="673"/>
      <c r="AS769" s="673"/>
      <c r="AT769" s="696"/>
    </row>
    <row r="770" ht="15.75" customHeight="1">
      <c r="A770" s="653"/>
      <c r="B770" s="654"/>
      <c r="C770" s="691"/>
      <c r="D770" s="656"/>
      <c r="E770" s="657"/>
      <c r="F770" s="658"/>
      <c r="G770" s="659"/>
      <c r="H770" s="660"/>
      <c r="I770" s="659"/>
      <c r="J770" s="661"/>
      <c r="K770" s="692"/>
      <c r="L770" s="645"/>
      <c r="M770" s="663"/>
      <c r="N770" s="665"/>
      <c r="O770" s="665"/>
      <c r="P770" s="666"/>
      <c r="Q770" s="667"/>
      <c r="R770" s="668"/>
      <c r="S770" s="693"/>
      <c r="T770" s="694"/>
      <c r="U770" s="694"/>
      <c r="V770" s="693"/>
      <c r="W770" s="693"/>
      <c r="X770" s="693"/>
      <c r="Y770" s="671"/>
      <c r="Z770" s="673"/>
      <c r="AA770" s="672"/>
      <c r="AB770" s="695"/>
      <c r="AC770" s="673"/>
      <c r="AD770" s="673"/>
      <c r="AE770" s="673"/>
      <c r="AF770" s="673"/>
      <c r="AG770" s="673"/>
      <c r="AH770" s="673"/>
      <c r="AI770" s="673"/>
      <c r="AJ770" s="673"/>
      <c r="AK770" s="673"/>
      <c r="AL770" s="673"/>
      <c r="AM770" s="673"/>
      <c r="AN770" s="673"/>
      <c r="AO770" s="673"/>
      <c r="AP770" s="673"/>
      <c r="AQ770" s="673"/>
      <c r="AR770" s="673"/>
      <c r="AS770" s="673"/>
      <c r="AT770" s="696"/>
    </row>
    <row r="771" ht="15.75" customHeight="1">
      <c r="A771" s="653"/>
      <c r="B771" s="654"/>
      <c r="C771" s="691"/>
      <c r="D771" s="656"/>
      <c r="E771" s="657"/>
      <c r="F771" s="658"/>
      <c r="G771" s="659"/>
      <c r="H771" s="660"/>
      <c r="I771" s="659"/>
      <c r="J771" s="661"/>
      <c r="K771" s="692"/>
      <c r="L771" s="645"/>
      <c r="M771" s="663"/>
      <c r="N771" s="665"/>
      <c r="O771" s="665"/>
      <c r="P771" s="666"/>
      <c r="Q771" s="667"/>
      <c r="R771" s="668"/>
      <c r="S771" s="693"/>
      <c r="T771" s="694"/>
      <c r="U771" s="694"/>
      <c r="V771" s="693"/>
      <c r="W771" s="693"/>
      <c r="X771" s="693"/>
      <c r="Y771" s="671"/>
      <c r="Z771" s="673"/>
      <c r="AA771" s="672"/>
      <c r="AB771" s="695"/>
      <c r="AC771" s="673"/>
      <c r="AD771" s="673"/>
      <c r="AE771" s="673"/>
      <c r="AF771" s="673"/>
      <c r="AG771" s="673"/>
      <c r="AH771" s="673"/>
      <c r="AI771" s="673"/>
      <c r="AJ771" s="673"/>
      <c r="AK771" s="673"/>
      <c r="AL771" s="673"/>
      <c r="AM771" s="673"/>
      <c r="AN771" s="673"/>
      <c r="AO771" s="673"/>
      <c r="AP771" s="673"/>
      <c r="AQ771" s="673"/>
      <c r="AR771" s="673"/>
      <c r="AS771" s="673"/>
      <c r="AT771" s="696"/>
    </row>
    <row r="772" ht="15.75" customHeight="1">
      <c r="A772" s="653"/>
      <c r="B772" s="654"/>
      <c r="C772" s="691"/>
      <c r="D772" s="656"/>
      <c r="E772" s="657"/>
      <c r="F772" s="658"/>
      <c r="G772" s="659"/>
      <c r="H772" s="660"/>
      <c r="I772" s="659"/>
      <c r="J772" s="661"/>
      <c r="K772" s="692"/>
      <c r="L772" s="645"/>
      <c r="M772" s="663"/>
      <c r="N772" s="665"/>
      <c r="O772" s="665"/>
      <c r="P772" s="666"/>
      <c r="Q772" s="667"/>
      <c r="R772" s="668"/>
      <c r="S772" s="693"/>
      <c r="T772" s="694"/>
      <c r="U772" s="694"/>
      <c r="V772" s="693"/>
      <c r="W772" s="693"/>
      <c r="X772" s="693"/>
      <c r="Y772" s="671"/>
      <c r="Z772" s="673"/>
      <c r="AA772" s="672"/>
      <c r="AB772" s="695"/>
      <c r="AC772" s="673"/>
      <c r="AD772" s="673"/>
      <c r="AE772" s="673"/>
      <c r="AF772" s="673"/>
      <c r="AG772" s="673"/>
      <c r="AH772" s="673"/>
      <c r="AI772" s="673"/>
      <c r="AJ772" s="673"/>
      <c r="AK772" s="673"/>
      <c r="AL772" s="673"/>
      <c r="AM772" s="673"/>
      <c r="AN772" s="673"/>
      <c r="AO772" s="673"/>
      <c r="AP772" s="673"/>
      <c r="AQ772" s="673"/>
      <c r="AR772" s="673"/>
      <c r="AS772" s="673"/>
      <c r="AT772" s="696"/>
    </row>
    <row r="773" ht="15.75" customHeight="1">
      <c r="A773" s="653"/>
      <c r="B773" s="654"/>
      <c r="C773" s="691"/>
      <c r="D773" s="656"/>
      <c r="E773" s="657"/>
      <c r="F773" s="658"/>
      <c r="G773" s="659"/>
      <c r="H773" s="660"/>
      <c r="I773" s="659"/>
      <c r="J773" s="661"/>
      <c r="K773" s="692"/>
      <c r="L773" s="645"/>
      <c r="M773" s="663"/>
      <c r="N773" s="665"/>
      <c r="O773" s="665"/>
      <c r="P773" s="666"/>
      <c r="Q773" s="667"/>
      <c r="R773" s="668"/>
      <c r="S773" s="693"/>
      <c r="T773" s="694"/>
      <c r="U773" s="694"/>
      <c r="V773" s="693"/>
      <c r="W773" s="693"/>
      <c r="X773" s="693"/>
      <c r="Y773" s="671"/>
      <c r="Z773" s="673"/>
      <c r="AA773" s="672"/>
      <c r="AB773" s="695"/>
      <c r="AC773" s="673"/>
      <c r="AD773" s="673"/>
      <c r="AE773" s="673"/>
      <c r="AF773" s="673"/>
      <c r="AG773" s="673"/>
      <c r="AH773" s="673"/>
      <c r="AI773" s="673"/>
      <c r="AJ773" s="673"/>
      <c r="AK773" s="673"/>
      <c r="AL773" s="673"/>
      <c r="AM773" s="673"/>
      <c r="AN773" s="673"/>
      <c r="AO773" s="673"/>
      <c r="AP773" s="673"/>
      <c r="AQ773" s="673"/>
      <c r="AR773" s="673"/>
      <c r="AS773" s="673"/>
      <c r="AT773" s="696"/>
    </row>
    <row r="774" ht="15.75" customHeight="1">
      <c r="A774" s="653"/>
      <c r="B774" s="654"/>
      <c r="C774" s="691"/>
      <c r="D774" s="656"/>
      <c r="E774" s="657"/>
      <c r="F774" s="658"/>
      <c r="G774" s="659"/>
      <c r="H774" s="660"/>
      <c r="I774" s="659"/>
      <c r="J774" s="661"/>
      <c r="K774" s="692"/>
      <c r="L774" s="645"/>
      <c r="M774" s="663"/>
      <c r="N774" s="665"/>
      <c r="O774" s="665"/>
      <c r="P774" s="666"/>
      <c r="Q774" s="667"/>
      <c r="R774" s="668"/>
      <c r="S774" s="693"/>
      <c r="T774" s="694"/>
      <c r="U774" s="694"/>
      <c r="V774" s="693"/>
      <c r="W774" s="693"/>
      <c r="X774" s="693"/>
      <c r="Y774" s="671"/>
      <c r="Z774" s="673"/>
      <c r="AA774" s="672"/>
      <c r="AB774" s="695"/>
      <c r="AC774" s="673"/>
      <c r="AD774" s="673"/>
      <c r="AE774" s="673"/>
      <c r="AF774" s="673"/>
      <c r="AG774" s="673"/>
      <c r="AH774" s="673"/>
      <c r="AI774" s="673"/>
      <c r="AJ774" s="673"/>
      <c r="AK774" s="673"/>
      <c r="AL774" s="673"/>
      <c r="AM774" s="673"/>
      <c r="AN774" s="673"/>
      <c r="AO774" s="673"/>
      <c r="AP774" s="673"/>
      <c r="AQ774" s="673"/>
      <c r="AR774" s="673"/>
      <c r="AS774" s="673"/>
      <c r="AT774" s="696"/>
    </row>
    <row r="775" ht="15.75" customHeight="1">
      <c r="A775" s="653"/>
      <c r="B775" s="654"/>
      <c r="C775" s="691"/>
      <c r="D775" s="656"/>
      <c r="E775" s="657"/>
      <c r="F775" s="658"/>
      <c r="G775" s="659"/>
      <c r="H775" s="660"/>
      <c r="I775" s="659"/>
      <c r="J775" s="661"/>
      <c r="K775" s="692"/>
      <c r="L775" s="645"/>
      <c r="M775" s="663"/>
      <c r="N775" s="665"/>
      <c r="O775" s="665"/>
      <c r="P775" s="666"/>
      <c r="Q775" s="667"/>
      <c r="R775" s="668"/>
      <c r="S775" s="693"/>
      <c r="T775" s="694"/>
      <c r="U775" s="694"/>
      <c r="V775" s="693"/>
      <c r="W775" s="693"/>
      <c r="X775" s="693"/>
      <c r="Y775" s="671"/>
      <c r="Z775" s="673"/>
      <c r="AA775" s="672"/>
      <c r="AB775" s="695"/>
      <c r="AC775" s="673"/>
      <c r="AD775" s="673"/>
      <c r="AE775" s="673"/>
      <c r="AF775" s="673"/>
      <c r="AG775" s="673"/>
      <c r="AH775" s="673"/>
      <c r="AI775" s="673"/>
      <c r="AJ775" s="673"/>
      <c r="AK775" s="673"/>
      <c r="AL775" s="673"/>
      <c r="AM775" s="673"/>
      <c r="AN775" s="673"/>
      <c r="AO775" s="673"/>
      <c r="AP775" s="673"/>
      <c r="AQ775" s="673"/>
      <c r="AR775" s="673"/>
      <c r="AS775" s="673"/>
      <c r="AT775" s="696"/>
    </row>
    <row r="776" ht="15.75" customHeight="1">
      <c r="A776" s="653"/>
      <c r="B776" s="654"/>
      <c r="C776" s="691"/>
      <c r="D776" s="656"/>
      <c r="E776" s="657"/>
      <c r="F776" s="658"/>
      <c r="G776" s="659"/>
      <c r="H776" s="660"/>
      <c r="I776" s="659"/>
      <c r="J776" s="661"/>
      <c r="K776" s="692"/>
      <c r="L776" s="645"/>
      <c r="M776" s="663"/>
      <c r="N776" s="665"/>
      <c r="O776" s="665"/>
      <c r="P776" s="666"/>
      <c r="Q776" s="667"/>
      <c r="R776" s="668"/>
      <c r="S776" s="693"/>
      <c r="T776" s="694"/>
      <c r="U776" s="694"/>
      <c r="V776" s="693"/>
      <c r="W776" s="693"/>
      <c r="X776" s="693"/>
      <c r="Y776" s="671"/>
      <c r="Z776" s="673"/>
      <c r="AA776" s="672"/>
      <c r="AB776" s="695"/>
      <c r="AC776" s="673"/>
      <c r="AD776" s="673"/>
      <c r="AE776" s="673"/>
      <c r="AF776" s="673"/>
      <c r="AG776" s="673"/>
      <c r="AH776" s="673"/>
      <c r="AI776" s="673"/>
      <c r="AJ776" s="673"/>
      <c r="AK776" s="673"/>
      <c r="AL776" s="673"/>
      <c r="AM776" s="673"/>
      <c r="AN776" s="673"/>
      <c r="AO776" s="673"/>
      <c r="AP776" s="673"/>
      <c r="AQ776" s="673"/>
      <c r="AR776" s="673"/>
      <c r="AS776" s="673"/>
      <c r="AT776" s="696"/>
    </row>
    <row r="777" ht="15.75" customHeight="1">
      <c r="A777" s="653"/>
      <c r="B777" s="654"/>
      <c r="C777" s="691"/>
      <c r="D777" s="656"/>
      <c r="E777" s="657"/>
      <c r="F777" s="658"/>
      <c r="G777" s="659"/>
      <c r="H777" s="660"/>
      <c r="I777" s="659"/>
      <c r="J777" s="661"/>
      <c r="K777" s="692"/>
      <c r="L777" s="645"/>
      <c r="M777" s="663"/>
      <c r="N777" s="665"/>
      <c r="O777" s="665"/>
      <c r="P777" s="666"/>
      <c r="Q777" s="667"/>
      <c r="R777" s="668"/>
      <c r="S777" s="693"/>
      <c r="T777" s="694"/>
      <c r="U777" s="694"/>
      <c r="V777" s="693"/>
      <c r="W777" s="693"/>
      <c r="X777" s="693"/>
      <c r="Y777" s="671"/>
      <c r="Z777" s="673"/>
      <c r="AA777" s="672"/>
      <c r="AB777" s="695"/>
      <c r="AC777" s="673"/>
      <c r="AD777" s="673"/>
      <c r="AE777" s="673"/>
      <c r="AF777" s="673"/>
      <c r="AG777" s="673"/>
      <c r="AH777" s="673"/>
      <c r="AI777" s="673"/>
      <c r="AJ777" s="673"/>
      <c r="AK777" s="673"/>
      <c r="AL777" s="673"/>
      <c r="AM777" s="673"/>
      <c r="AN777" s="673"/>
      <c r="AO777" s="673"/>
      <c r="AP777" s="673"/>
      <c r="AQ777" s="673"/>
      <c r="AR777" s="673"/>
      <c r="AS777" s="673"/>
      <c r="AT777" s="696"/>
    </row>
    <row r="778" ht="15.75" customHeight="1">
      <c r="A778" s="653"/>
      <c r="B778" s="654"/>
      <c r="C778" s="691"/>
      <c r="D778" s="656"/>
      <c r="E778" s="657"/>
      <c r="F778" s="658"/>
      <c r="G778" s="659"/>
      <c r="H778" s="660"/>
      <c r="I778" s="659"/>
      <c r="J778" s="661"/>
      <c r="K778" s="692"/>
      <c r="L778" s="645"/>
      <c r="M778" s="663"/>
      <c r="N778" s="665"/>
      <c r="O778" s="665"/>
      <c r="P778" s="666"/>
      <c r="Q778" s="667"/>
      <c r="R778" s="668"/>
      <c r="S778" s="693"/>
      <c r="T778" s="694"/>
      <c r="U778" s="694"/>
      <c r="V778" s="693"/>
      <c r="W778" s="693"/>
      <c r="X778" s="693"/>
      <c r="Y778" s="671"/>
      <c r="Z778" s="673"/>
      <c r="AA778" s="672"/>
      <c r="AB778" s="695"/>
      <c r="AC778" s="673"/>
      <c r="AD778" s="673"/>
      <c r="AE778" s="673"/>
      <c r="AF778" s="673"/>
      <c r="AG778" s="673"/>
      <c r="AH778" s="673"/>
      <c r="AI778" s="673"/>
      <c r="AJ778" s="673"/>
      <c r="AK778" s="673"/>
      <c r="AL778" s="673"/>
      <c r="AM778" s="673"/>
      <c r="AN778" s="673"/>
      <c r="AO778" s="673"/>
      <c r="AP778" s="673"/>
      <c r="AQ778" s="673"/>
      <c r="AR778" s="673"/>
      <c r="AS778" s="673"/>
      <c r="AT778" s="696"/>
    </row>
    <row r="779" ht="15.75" customHeight="1">
      <c r="A779" s="653"/>
      <c r="B779" s="654"/>
      <c r="C779" s="691"/>
      <c r="D779" s="656"/>
      <c r="E779" s="657"/>
      <c r="F779" s="658"/>
      <c r="G779" s="659"/>
      <c r="H779" s="660"/>
      <c r="I779" s="659"/>
      <c r="J779" s="661"/>
      <c r="K779" s="692"/>
      <c r="L779" s="645"/>
      <c r="M779" s="663"/>
      <c r="N779" s="665"/>
      <c r="O779" s="665"/>
      <c r="P779" s="666"/>
      <c r="Q779" s="667"/>
      <c r="R779" s="668"/>
      <c r="S779" s="693"/>
      <c r="T779" s="694"/>
      <c r="U779" s="694"/>
      <c r="V779" s="693"/>
      <c r="W779" s="693"/>
      <c r="X779" s="693"/>
      <c r="Y779" s="671"/>
      <c r="Z779" s="673"/>
      <c r="AA779" s="672"/>
      <c r="AB779" s="695"/>
      <c r="AC779" s="673"/>
      <c r="AD779" s="673"/>
      <c r="AE779" s="673"/>
      <c r="AF779" s="673"/>
      <c r="AG779" s="673"/>
      <c r="AH779" s="673"/>
      <c r="AI779" s="673"/>
      <c r="AJ779" s="673"/>
      <c r="AK779" s="673"/>
      <c r="AL779" s="673"/>
      <c r="AM779" s="673"/>
      <c r="AN779" s="673"/>
      <c r="AO779" s="673"/>
      <c r="AP779" s="673"/>
      <c r="AQ779" s="673"/>
      <c r="AR779" s="673"/>
      <c r="AS779" s="673"/>
      <c r="AT779" s="696"/>
    </row>
    <row r="780" ht="15.75" customHeight="1">
      <c r="A780" s="653"/>
      <c r="B780" s="654"/>
      <c r="C780" s="691"/>
      <c r="D780" s="656"/>
      <c r="E780" s="657"/>
      <c r="F780" s="658"/>
      <c r="G780" s="659"/>
      <c r="H780" s="660"/>
      <c r="I780" s="659"/>
      <c r="J780" s="661"/>
      <c r="K780" s="692"/>
      <c r="L780" s="645"/>
      <c r="M780" s="663"/>
      <c r="N780" s="665"/>
      <c r="O780" s="665"/>
      <c r="P780" s="666"/>
      <c r="Q780" s="667"/>
      <c r="R780" s="668"/>
      <c r="S780" s="693"/>
      <c r="T780" s="694"/>
      <c r="U780" s="694"/>
      <c r="V780" s="693"/>
      <c r="W780" s="693"/>
      <c r="X780" s="693"/>
      <c r="Y780" s="671"/>
      <c r="Z780" s="673"/>
      <c r="AA780" s="672"/>
      <c r="AB780" s="695"/>
      <c r="AC780" s="673"/>
      <c r="AD780" s="673"/>
      <c r="AE780" s="673"/>
      <c r="AF780" s="673"/>
      <c r="AG780" s="673"/>
      <c r="AH780" s="673"/>
      <c r="AI780" s="673"/>
      <c r="AJ780" s="673"/>
      <c r="AK780" s="673"/>
      <c r="AL780" s="673"/>
      <c r="AM780" s="673"/>
      <c r="AN780" s="673"/>
      <c r="AO780" s="673"/>
      <c r="AP780" s="673"/>
      <c r="AQ780" s="673"/>
      <c r="AR780" s="673"/>
      <c r="AS780" s="673"/>
      <c r="AT780" s="696"/>
    </row>
    <row r="781" ht="15.75" customHeight="1">
      <c r="A781" s="653"/>
      <c r="B781" s="654"/>
      <c r="C781" s="691"/>
      <c r="D781" s="656"/>
      <c r="E781" s="657"/>
      <c r="F781" s="658"/>
      <c r="G781" s="659"/>
      <c r="H781" s="660"/>
      <c r="I781" s="659"/>
      <c r="J781" s="661"/>
      <c r="K781" s="692"/>
      <c r="L781" s="645"/>
      <c r="M781" s="663"/>
      <c r="N781" s="665"/>
      <c r="O781" s="665"/>
      <c r="P781" s="666"/>
      <c r="Q781" s="667"/>
      <c r="R781" s="668"/>
      <c r="S781" s="693"/>
      <c r="T781" s="694"/>
      <c r="U781" s="694"/>
      <c r="V781" s="693"/>
      <c r="W781" s="693"/>
      <c r="X781" s="693"/>
      <c r="Y781" s="671"/>
      <c r="Z781" s="673"/>
      <c r="AA781" s="672"/>
      <c r="AB781" s="695"/>
      <c r="AC781" s="673"/>
      <c r="AD781" s="673"/>
      <c r="AE781" s="673"/>
      <c r="AF781" s="673"/>
      <c r="AG781" s="673"/>
      <c r="AH781" s="673"/>
      <c r="AI781" s="673"/>
      <c r="AJ781" s="673"/>
      <c r="AK781" s="673"/>
      <c r="AL781" s="673"/>
      <c r="AM781" s="673"/>
      <c r="AN781" s="673"/>
      <c r="AO781" s="673"/>
      <c r="AP781" s="673"/>
      <c r="AQ781" s="673"/>
      <c r="AR781" s="673"/>
      <c r="AS781" s="673"/>
      <c r="AT781" s="696"/>
    </row>
    <row r="782" ht="15.75" customHeight="1">
      <c r="A782" s="653"/>
      <c r="B782" s="654"/>
      <c r="C782" s="691"/>
      <c r="D782" s="656"/>
      <c r="E782" s="657"/>
      <c r="F782" s="658"/>
      <c r="G782" s="659"/>
      <c r="H782" s="660"/>
      <c r="I782" s="659"/>
      <c r="J782" s="661"/>
      <c r="K782" s="692"/>
      <c r="L782" s="645"/>
      <c r="M782" s="663"/>
      <c r="N782" s="665"/>
      <c r="O782" s="665"/>
      <c r="P782" s="666"/>
      <c r="Q782" s="667"/>
      <c r="R782" s="668"/>
      <c r="S782" s="693"/>
      <c r="T782" s="694"/>
      <c r="U782" s="694"/>
      <c r="V782" s="693"/>
      <c r="W782" s="693"/>
      <c r="X782" s="693"/>
      <c r="Y782" s="671"/>
      <c r="Z782" s="673"/>
      <c r="AA782" s="672"/>
      <c r="AB782" s="695"/>
      <c r="AC782" s="673"/>
      <c r="AD782" s="673"/>
      <c r="AE782" s="673"/>
      <c r="AF782" s="673"/>
      <c r="AG782" s="673"/>
      <c r="AH782" s="673"/>
      <c r="AI782" s="673"/>
      <c r="AJ782" s="673"/>
      <c r="AK782" s="673"/>
      <c r="AL782" s="673"/>
      <c r="AM782" s="673"/>
      <c r="AN782" s="673"/>
      <c r="AO782" s="673"/>
      <c r="AP782" s="673"/>
      <c r="AQ782" s="673"/>
      <c r="AR782" s="673"/>
      <c r="AS782" s="673"/>
      <c r="AT782" s="696"/>
    </row>
    <row r="783" ht="15.75" customHeight="1">
      <c r="A783" s="653"/>
      <c r="B783" s="654"/>
      <c r="C783" s="691"/>
      <c r="D783" s="656"/>
      <c r="E783" s="657"/>
      <c r="F783" s="658"/>
      <c r="G783" s="659"/>
      <c r="H783" s="660"/>
      <c r="I783" s="659"/>
      <c r="J783" s="661"/>
      <c r="K783" s="692"/>
      <c r="L783" s="645"/>
      <c r="M783" s="663"/>
      <c r="N783" s="665"/>
      <c r="O783" s="665"/>
      <c r="P783" s="666"/>
      <c r="Q783" s="667"/>
      <c r="R783" s="668"/>
      <c r="S783" s="693"/>
      <c r="T783" s="694"/>
      <c r="U783" s="694"/>
      <c r="V783" s="693"/>
      <c r="W783" s="693"/>
      <c r="X783" s="693"/>
      <c r="Y783" s="671"/>
      <c r="Z783" s="673"/>
      <c r="AA783" s="672"/>
      <c r="AB783" s="695"/>
      <c r="AC783" s="673"/>
      <c r="AD783" s="673"/>
      <c r="AE783" s="673"/>
      <c r="AF783" s="673"/>
      <c r="AG783" s="673"/>
      <c r="AH783" s="673"/>
      <c r="AI783" s="673"/>
      <c r="AJ783" s="673"/>
      <c r="AK783" s="673"/>
      <c r="AL783" s="673"/>
      <c r="AM783" s="673"/>
      <c r="AN783" s="673"/>
      <c r="AO783" s="673"/>
      <c r="AP783" s="673"/>
      <c r="AQ783" s="673"/>
      <c r="AR783" s="673"/>
      <c r="AS783" s="673"/>
      <c r="AT783" s="696"/>
    </row>
    <row r="784" ht="15.75" customHeight="1">
      <c r="A784" s="653"/>
      <c r="B784" s="654"/>
      <c r="C784" s="691"/>
      <c r="D784" s="656"/>
      <c r="E784" s="657"/>
      <c r="F784" s="658"/>
      <c r="G784" s="659"/>
      <c r="H784" s="660"/>
      <c r="I784" s="659"/>
      <c r="J784" s="661"/>
      <c r="K784" s="692"/>
      <c r="L784" s="645"/>
      <c r="M784" s="663"/>
      <c r="N784" s="665"/>
      <c r="O784" s="665"/>
      <c r="P784" s="666"/>
      <c r="Q784" s="667"/>
      <c r="R784" s="668"/>
      <c r="S784" s="693"/>
      <c r="T784" s="694"/>
      <c r="U784" s="694"/>
      <c r="V784" s="693"/>
      <c r="W784" s="693"/>
      <c r="X784" s="693"/>
      <c r="Y784" s="671"/>
      <c r="Z784" s="673"/>
      <c r="AA784" s="672"/>
      <c r="AB784" s="695"/>
      <c r="AC784" s="673"/>
      <c r="AD784" s="673"/>
      <c r="AE784" s="673"/>
      <c r="AF784" s="673"/>
      <c r="AG784" s="673"/>
      <c r="AH784" s="673"/>
      <c r="AI784" s="673"/>
      <c r="AJ784" s="673"/>
      <c r="AK784" s="673"/>
      <c r="AL784" s="673"/>
      <c r="AM784" s="673"/>
      <c r="AN784" s="673"/>
      <c r="AO784" s="673"/>
      <c r="AP784" s="673"/>
      <c r="AQ784" s="673"/>
      <c r="AR784" s="673"/>
      <c r="AS784" s="673"/>
      <c r="AT784" s="696"/>
    </row>
    <row r="785" ht="15.75" customHeight="1">
      <c r="A785" s="653"/>
      <c r="B785" s="654"/>
      <c r="C785" s="691"/>
      <c r="D785" s="656"/>
      <c r="E785" s="657"/>
      <c r="F785" s="658"/>
      <c r="G785" s="659"/>
      <c r="H785" s="660"/>
      <c r="I785" s="659"/>
      <c r="J785" s="661"/>
      <c r="K785" s="692"/>
      <c r="L785" s="645"/>
      <c r="M785" s="663"/>
      <c r="N785" s="665"/>
      <c r="O785" s="665"/>
      <c r="P785" s="666"/>
      <c r="Q785" s="667"/>
      <c r="R785" s="668"/>
      <c r="S785" s="693"/>
      <c r="T785" s="694"/>
      <c r="U785" s="694"/>
      <c r="V785" s="693"/>
      <c r="W785" s="693"/>
      <c r="X785" s="693"/>
      <c r="Y785" s="671"/>
      <c r="Z785" s="673"/>
      <c r="AA785" s="672"/>
      <c r="AB785" s="695"/>
      <c r="AC785" s="673"/>
      <c r="AD785" s="673"/>
      <c r="AE785" s="673"/>
      <c r="AF785" s="673"/>
      <c r="AG785" s="673"/>
      <c r="AH785" s="673"/>
      <c r="AI785" s="673"/>
      <c r="AJ785" s="673"/>
      <c r="AK785" s="673"/>
      <c r="AL785" s="673"/>
      <c r="AM785" s="673"/>
      <c r="AN785" s="673"/>
      <c r="AO785" s="673"/>
      <c r="AP785" s="673"/>
      <c r="AQ785" s="673"/>
      <c r="AR785" s="673"/>
      <c r="AS785" s="673"/>
      <c r="AT785" s="696"/>
    </row>
    <row r="786" ht="15.75" customHeight="1">
      <c r="A786" s="653"/>
      <c r="B786" s="654"/>
      <c r="C786" s="691"/>
      <c r="D786" s="656"/>
      <c r="E786" s="657"/>
      <c r="F786" s="658"/>
      <c r="G786" s="659"/>
      <c r="H786" s="660"/>
      <c r="I786" s="659"/>
      <c r="J786" s="661"/>
      <c r="K786" s="692"/>
      <c r="L786" s="645"/>
      <c r="M786" s="663"/>
      <c r="N786" s="665"/>
      <c r="O786" s="665"/>
      <c r="P786" s="666"/>
      <c r="Q786" s="667"/>
      <c r="R786" s="668"/>
      <c r="S786" s="693"/>
      <c r="T786" s="694"/>
      <c r="U786" s="694"/>
      <c r="V786" s="693"/>
      <c r="W786" s="693"/>
      <c r="X786" s="693"/>
      <c r="Y786" s="671"/>
      <c r="Z786" s="673"/>
      <c r="AA786" s="672"/>
      <c r="AB786" s="695"/>
      <c r="AC786" s="673"/>
      <c r="AD786" s="673"/>
      <c r="AE786" s="673"/>
      <c r="AF786" s="673"/>
      <c r="AG786" s="673"/>
      <c r="AH786" s="673"/>
      <c r="AI786" s="673"/>
      <c r="AJ786" s="673"/>
      <c r="AK786" s="673"/>
      <c r="AL786" s="673"/>
      <c r="AM786" s="673"/>
      <c r="AN786" s="673"/>
      <c r="AO786" s="673"/>
      <c r="AP786" s="673"/>
      <c r="AQ786" s="673"/>
      <c r="AR786" s="673"/>
      <c r="AS786" s="673"/>
      <c r="AT786" s="696"/>
    </row>
    <row r="787" ht="15.75" customHeight="1">
      <c r="A787" s="653"/>
      <c r="B787" s="654"/>
      <c r="C787" s="691"/>
      <c r="D787" s="656"/>
      <c r="E787" s="657"/>
      <c r="F787" s="658"/>
      <c r="G787" s="659"/>
      <c r="H787" s="660"/>
      <c r="I787" s="659"/>
      <c r="J787" s="661"/>
      <c r="K787" s="692"/>
      <c r="L787" s="645"/>
      <c r="M787" s="663"/>
      <c r="N787" s="665"/>
      <c r="O787" s="665"/>
      <c r="P787" s="666"/>
      <c r="Q787" s="667"/>
      <c r="R787" s="668"/>
      <c r="S787" s="693"/>
      <c r="T787" s="694"/>
      <c r="U787" s="694"/>
      <c r="V787" s="693"/>
      <c r="W787" s="693"/>
      <c r="X787" s="693"/>
      <c r="Y787" s="671"/>
      <c r="Z787" s="673"/>
      <c r="AA787" s="672"/>
      <c r="AB787" s="695"/>
      <c r="AC787" s="673"/>
      <c r="AD787" s="673"/>
      <c r="AE787" s="673"/>
      <c r="AF787" s="673"/>
      <c r="AG787" s="673"/>
      <c r="AH787" s="673"/>
      <c r="AI787" s="673"/>
      <c r="AJ787" s="673"/>
      <c r="AK787" s="673"/>
      <c r="AL787" s="673"/>
      <c r="AM787" s="673"/>
      <c r="AN787" s="673"/>
      <c r="AO787" s="673"/>
      <c r="AP787" s="673"/>
      <c r="AQ787" s="673"/>
      <c r="AR787" s="673"/>
      <c r="AS787" s="673"/>
      <c r="AT787" s="696"/>
    </row>
    <row r="788" ht="15.75" customHeight="1">
      <c r="A788" s="653"/>
      <c r="B788" s="654"/>
      <c r="C788" s="691"/>
      <c r="D788" s="656"/>
      <c r="E788" s="657"/>
      <c r="F788" s="658"/>
      <c r="G788" s="659"/>
      <c r="H788" s="660"/>
      <c r="I788" s="659"/>
      <c r="J788" s="661"/>
      <c r="K788" s="692"/>
      <c r="L788" s="645"/>
      <c r="M788" s="663"/>
      <c r="N788" s="665"/>
      <c r="O788" s="665"/>
      <c r="P788" s="666"/>
      <c r="Q788" s="667"/>
      <c r="R788" s="668"/>
      <c r="S788" s="693"/>
      <c r="T788" s="694"/>
      <c r="U788" s="694"/>
      <c r="V788" s="693"/>
      <c r="W788" s="693"/>
      <c r="X788" s="693"/>
      <c r="Y788" s="671"/>
      <c r="Z788" s="673"/>
      <c r="AA788" s="672"/>
      <c r="AB788" s="695"/>
      <c r="AC788" s="673"/>
      <c r="AD788" s="673"/>
      <c r="AE788" s="673"/>
      <c r="AF788" s="673"/>
      <c r="AG788" s="673"/>
      <c r="AH788" s="673"/>
      <c r="AI788" s="673"/>
      <c r="AJ788" s="673"/>
      <c r="AK788" s="673"/>
      <c r="AL788" s="673"/>
      <c r="AM788" s="673"/>
      <c r="AN788" s="673"/>
      <c r="AO788" s="673"/>
      <c r="AP788" s="673"/>
      <c r="AQ788" s="673"/>
      <c r="AR788" s="673"/>
      <c r="AS788" s="673"/>
      <c r="AT788" s="696"/>
    </row>
    <row r="789" ht="15.75" customHeight="1">
      <c r="A789" s="653"/>
      <c r="B789" s="654"/>
      <c r="C789" s="691"/>
      <c r="D789" s="656"/>
      <c r="E789" s="657"/>
      <c r="F789" s="658"/>
      <c r="G789" s="659"/>
      <c r="H789" s="660"/>
      <c r="I789" s="659"/>
      <c r="J789" s="661"/>
      <c r="K789" s="692"/>
      <c r="L789" s="645"/>
      <c r="M789" s="663"/>
      <c r="N789" s="665"/>
      <c r="O789" s="665"/>
      <c r="P789" s="666"/>
      <c r="Q789" s="667"/>
      <c r="R789" s="668"/>
      <c r="S789" s="693"/>
      <c r="T789" s="694"/>
      <c r="U789" s="694"/>
      <c r="V789" s="693"/>
      <c r="W789" s="693"/>
      <c r="X789" s="693"/>
      <c r="Y789" s="671"/>
      <c r="Z789" s="673"/>
      <c r="AA789" s="672"/>
      <c r="AB789" s="695"/>
      <c r="AC789" s="673"/>
      <c r="AD789" s="673"/>
      <c r="AE789" s="673"/>
      <c r="AF789" s="673"/>
      <c r="AG789" s="673"/>
      <c r="AH789" s="673"/>
      <c r="AI789" s="673"/>
      <c r="AJ789" s="673"/>
      <c r="AK789" s="673"/>
      <c r="AL789" s="673"/>
      <c r="AM789" s="673"/>
      <c r="AN789" s="673"/>
      <c r="AO789" s="673"/>
      <c r="AP789" s="673"/>
      <c r="AQ789" s="673"/>
      <c r="AR789" s="673"/>
      <c r="AS789" s="673"/>
      <c r="AT789" s="696"/>
    </row>
    <row r="790" ht="15.75" customHeight="1">
      <c r="A790" s="653"/>
      <c r="B790" s="654"/>
      <c r="C790" s="691"/>
      <c r="D790" s="656"/>
      <c r="E790" s="657"/>
      <c r="F790" s="658"/>
      <c r="G790" s="659"/>
      <c r="H790" s="660"/>
      <c r="I790" s="659"/>
      <c r="J790" s="661"/>
      <c r="K790" s="692"/>
      <c r="L790" s="645"/>
      <c r="M790" s="663"/>
      <c r="N790" s="665"/>
      <c r="O790" s="665"/>
      <c r="P790" s="666"/>
      <c r="Q790" s="667"/>
      <c r="R790" s="668"/>
      <c r="S790" s="693"/>
      <c r="T790" s="694"/>
      <c r="U790" s="694"/>
      <c r="V790" s="693"/>
      <c r="W790" s="693"/>
      <c r="X790" s="693"/>
      <c r="Y790" s="671"/>
      <c r="Z790" s="673"/>
      <c r="AA790" s="672"/>
      <c r="AB790" s="695"/>
      <c r="AC790" s="673"/>
      <c r="AD790" s="673"/>
      <c r="AE790" s="673"/>
      <c r="AF790" s="673"/>
      <c r="AG790" s="673"/>
      <c r="AH790" s="673"/>
      <c r="AI790" s="673"/>
      <c r="AJ790" s="673"/>
      <c r="AK790" s="673"/>
      <c r="AL790" s="673"/>
      <c r="AM790" s="673"/>
      <c r="AN790" s="673"/>
      <c r="AO790" s="673"/>
      <c r="AP790" s="673"/>
      <c r="AQ790" s="673"/>
      <c r="AR790" s="673"/>
      <c r="AS790" s="673"/>
      <c r="AT790" s="696"/>
    </row>
    <row r="791" ht="15.75" customHeight="1">
      <c r="A791" s="653"/>
      <c r="B791" s="654"/>
      <c r="C791" s="691"/>
      <c r="D791" s="656"/>
      <c r="E791" s="657"/>
      <c r="F791" s="658"/>
      <c r="G791" s="659"/>
      <c r="H791" s="660"/>
      <c r="I791" s="659"/>
      <c r="J791" s="661"/>
      <c r="K791" s="692"/>
      <c r="L791" s="645"/>
      <c r="M791" s="663"/>
      <c r="N791" s="665"/>
      <c r="O791" s="665"/>
      <c r="P791" s="666"/>
      <c r="Q791" s="667"/>
      <c r="R791" s="668"/>
      <c r="S791" s="693"/>
      <c r="T791" s="694"/>
      <c r="U791" s="694"/>
      <c r="V791" s="693"/>
      <c r="W791" s="693"/>
      <c r="X791" s="693"/>
      <c r="Y791" s="671"/>
      <c r="Z791" s="673"/>
      <c r="AA791" s="672"/>
      <c r="AB791" s="695"/>
      <c r="AC791" s="673"/>
      <c r="AD791" s="673"/>
      <c r="AE791" s="673"/>
      <c r="AF791" s="673"/>
      <c r="AG791" s="673"/>
      <c r="AH791" s="673"/>
      <c r="AI791" s="673"/>
      <c r="AJ791" s="673"/>
      <c r="AK791" s="673"/>
      <c r="AL791" s="673"/>
      <c r="AM791" s="673"/>
      <c r="AN791" s="673"/>
      <c r="AO791" s="673"/>
      <c r="AP791" s="673"/>
      <c r="AQ791" s="673"/>
      <c r="AR791" s="673"/>
      <c r="AS791" s="673"/>
      <c r="AT791" s="696"/>
    </row>
    <row r="792" ht="15.75" customHeight="1">
      <c r="A792" s="653"/>
      <c r="B792" s="654"/>
      <c r="C792" s="691"/>
      <c r="D792" s="656"/>
      <c r="E792" s="657"/>
      <c r="F792" s="658"/>
      <c r="G792" s="659"/>
      <c r="H792" s="660"/>
      <c r="I792" s="659"/>
      <c r="J792" s="661"/>
      <c r="K792" s="692"/>
      <c r="L792" s="645"/>
      <c r="M792" s="663"/>
      <c r="N792" s="665"/>
      <c r="O792" s="665"/>
      <c r="P792" s="666"/>
      <c r="Q792" s="667"/>
      <c r="R792" s="668"/>
      <c r="S792" s="693"/>
      <c r="T792" s="694"/>
      <c r="U792" s="694"/>
      <c r="V792" s="693"/>
      <c r="W792" s="693"/>
      <c r="X792" s="693"/>
      <c r="Y792" s="671"/>
      <c r="Z792" s="673"/>
      <c r="AA792" s="672"/>
      <c r="AB792" s="695"/>
      <c r="AC792" s="673"/>
      <c r="AD792" s="673"/>
      <c r="AE792" s="673"/>
      <c r="AF792" s="673"/>
      <c r="AG792" s="673"/>
      <c r="AH792" s="673"/>
      <c r="AI792" s="673"/>
      <c r="AJ792" s="673"/>
      <c r="AK792" s="673"/>
      <c r="AL792" s="673"/>
      <c r="AM792" s="673"/>
      <c r="AN792" s="673"/>
      <c r="AO792" s="673"/>
      <c r="AP792" s="673"/>
      <c r="AQ792" s="673"/>
      <c r="AR792" s="673"/>
      <c r="AS792" s="673"/>
      <c r="AT792" s="696"/>
    </row>
    <row r="793" ht="15.75" customHeight="1">
      <c r="A793" s="653"/>
      <c r="B793" s="654"/>
      <c r="C793" s="691"/>
      <c r="D793" s="656"/>
      <c r="E793" s="657"/>
      <c r="F793" s="658"/>
      <c r="G793" s="659"/>
      <c r="H793" s="660"/>
      <c r="I793" s="659"/>
      <c r="J793" s="661"/>
      <c r="K793" s="692"/>
      <c r="L793" s="645"/>
      <c r="M793" s="663"/>
      <c r="N793" s="665"/>
      <c r="O793" s="665"/>
      <c r="P793" s="666"/>
      <c r="Q793" s="667"/>
      <c r="R793" s="668"/>
      <c r="S793" s="693"/>
      <c r="T793" s="694"/>
      <c r="U793" s="694"/>
      <c r="V793" s="693"/>
      <c r="W793" s="693"/>
      <c r="X793" s="693"/>
      <c r="Y793" s="671"/>
      <c r="Z793" s="673"/>
      <c r="AA793" s="672"/>
      <c r="AB793" s="695"/>
      <c r="AC793" s="673"/>
      <c r="AD793" s="673"/>
      <c r="AE793" s="673"/>
      <c r="AF793" s="673"/>
      <c r="AG793" s="673"/>
      <c r="AH793" s="673"/>
      <c r="AI793" s="673"/>
      <c r="AJ793" s="673"/>
      <c r="AK793" s="673"/>
      <c r="AL793" s="673"/>
      <c r="AM793" s="673"/>
      <c r="AN793" s="673"/>
      <c r="AO793" s="673"/>
      <c r="AP793" s="673"/>
      <c r="AQ793" s="673"/>
      <c r="AR793" s="673"/>
      <c r="AS793" s="673"/>
      <c r="AT793" s="696"/>
    </row>
    <row r="794" ht="15.75" customHeight="1">
      <c r="A794" s="653"/>
      <c r="B794" s="654"/>
      <c r="C794" s="691"/>
      <c r="D794" s="656"/>
      <c r="E794" s="657"/>
      <c r="F794" s="658"/>
      <c r="G794" s="659"/>
      <c r="H794" s="660"/>
      <c r="I794" s="659"/>
      <c r="J794" s="661"/>
      <c r="K794" s="692"/>
      <c r="L794" s="645"/>
      <c r="M794" s="663"/>
      <c r="N794" s="665"/>
      <c r="O794" s="665"/>
      <c r="P794" s="666"/>
      <c r="Q794" s="667"/>
      <c r="R794" s="668"/>
      <c r="S794" s="693"/>
      <c r="T794" s="694"/>
      <c r="U794" s="694"/>
      <c r="V794" s="693"/>
      <c r="W794" s="693"/>
      <c r="X794" s="693"/>
      <c r="Y794" s="671"/>
      <c r="Z794" s="673"/>
      <c r="AA794" s="672"/>
      <c r="AB794" s="695"/>
      <c r="AC794" s="673"/>
      <c r="AD794" s="673"/>
      <c r="AE794" s="673"/>
      <c r="AF794" s="673"/>
      <c r="AG794" s="673"/>
      <c r="AH794" s="673"/>
      <c r="AI794" s="673"/>
      <c r="AJ794" s="673"/>
      <c r="AK794" s="673"/>
      <c r="AL794" s="673"/>
      <c r="AM794" s="673"/>
      <c r="AN794" s="673"/>
      <c r="AO794" s="673"/>
      <c r="AP794" s="673"/>
      <c r="AQ794" s="673"/>
      <c r="AR794" s="673"/>
      <c r="AS794" s="673"/>
      <c r="AT794" s="696"/>
    </row>
    <row r="795" ht="15.75" customHeight="1">
      <c r="A795" s="653"/>
      <c r="B795" s="654"/>
      <c r="C795" s="691"/>
      <c r="D795" s="656"/>
      <c r="E795" s="657"/>
      <c r="F795" s="658"/>
      <c r="G795" s="659"/>
      <c r="H795" s="660"/>
      <c r="I795" s="659"/>
      <c r="J795" s="661"/>
      <c r="K795" s="692"/>
      <c r="L795" s="645"/>
      <c r="M795" s="663"/>
      <c r="N795" s="665"/>
      <c r="O795" s="665"/>
      <c r="P795" s="666"/>
      <c r="Q795" s="667"/>
      <c r="R795" s="668"/>
      <c r="S795" s="693"/>
      <c r="T795" s="694"/>
      <c r="U795" s="694"/>
      <c r="V795" s="693"/>
      <c r="W795" s="693"/>
      <c r="X795" s="693"/>
      <c r="Y795" s="671"/>
      <c r="Z795" s="673"/>
      <c r="AA795" s="672"/>
      <c r="AB795" s="695"/>
      <c r="AC795" s="673"/>
      <c r="AD795" s="673"/>
      <c r="AE795" s="673"/>
      <c r="AF795" s="673"/>
      <c r="AG795" s="673"/>
      <c r="AH795" s="673"/>
      <c r="AI795" s="673"/>
      <c r="AJ795" s="673"/>
      <c r="AK795" s="673"/>
      <c r="AL795" s="673"/>
      <c r="AM795" s="673"/>
      <c r="AN795" s="673"/>
      <c r="AO795" s="673"/>
      <c r="AP795" s="673"/>
      <c r="AQ795" s="673"/>
      <c r="AR795" s="673"/>
      <c r="AS795" s="673"/>
      <c r="AT795" s="696"/>
    </row>
    <row r="796" ht="15.75" customHeight="1">
      <c r="A796" s="653"/>
      <c r="B796" s="654"/>
      <c r="C796" s="691"/>
      <c r="D796" s="656"/>
      <c r="E796" s="657"/>
      <c r="F796" s="658"/>
      <c r="G796" s="659"/>
      <c r="H796" s="660"/>
      <c r="I796" s="659"/>
      <c r="J796" s="661"/>
      <c r="K796" s="692"/>
      <c r="L796" s="645"/>
      <c r="M796" s="663"/>
      <c r="N796" s="665"/>
      <c r="O796" s="665"/>
      <c r="P796" s="666"/>
      <c r="Q796" s="667"/>
      <c r="R796" s="668"/>
      <c r="S796" s="693"/>
      <c r="T796" s="694"/>
      <c r="U796" s="694"/>
      <c r="V796" s="693"/>
      <c r="W796" s="693"/>
      <c r="X796" s="693"/>
      <c r="Y796" s="671"/>
      <c r="Z796" s="673"/>
      <c r="AA796" s="672"/>
      <c r="AB796" s="695"/>
      <c r="AC796" s="673"/>
      <c r="AD796" s="673"/>
      <c r="AE796" s="673"/>
      <c r="AF796" s="673"/>
      <c r="AG796" s="673"/>
      <c r="AH796" s="673"/>
      <c r="AI796" s="673"/>
      <c r="AJ796" s="673"/>
      <c r="AK796" s="673"/>
      <c r="AL796" s="673"/>
      <c r="AM796" s="673"/>
      <c r="AN796" s="673"/>
      <c r="AO796" s="673"/>
      <c r="AP796" s="673"/>
      <c r="AQ796" s="673"/>
      <c r="AR796" s="673"/>
      <c r="AS796" s="673"/>
      <c r="AT796" s="696"/>
    </row>
    <row r="797" ht="15.75" customHeight="1">
      <c r="A797" s="653"/>
      <c r="B797" s="654"/>
      <c r="C797" s="691"/>
      <c r="D797" s="656"/>
      <c r="E797" s="657"/>
      <c r="F797" s="658"/>
      <c r="G797" s="659"/>
      <c r="H797" s="660"/>
      <c r="I797" s="659"/>
      <c r="J797" s="661"/>
      <c r="K797" s="692"/>
      <c r="L797" s="645"/>
      <c r="M797" s="663"/>
      <c r="N797" s="665"/>
      <c r="O797" s="665"/>
      <c r="P797" s="666"/>
      <c r="Q797" s="667"/>
      <c r="R797" s="668"/>
      <c r="S797" s="693"/>
      <c r="T797" s="694"/>
      <c r="U797" s="694"/>
      <c r="V797" s="693"/>
      <c r="W797" s="693"/>
      <c r="X797" s="693"/>
      <c r="Y797" s="671"/>
      <c r="Z797" s="673"/>
      <c r="AA797" s="672"/>
      <c r="AB797" s="695"/>
      <c r="AC797" s="673"/>
      <c r="AD797" s="673"/>
      <c r="AE797" s="673"/>
      <c r="AF797" s="673"/>
      <c r="AG797" s="673"/>
      <c r="AH797" s="673"/>
      <c r="AI797" s="673"/>
      <c r="AJ797" s="673"/>
      <c r="AK797" s="673"/>
      <c r="AL797" s="673"/>
      <c r="AM797" s="673"/>
      <c r="AN797" s="673"/>
      <c r="AO797" s="673"/>
      <c r="AP797" s="673"/>
      <c r="AQ797" s="673"/>
      <c r="AR797" s="673"/>
      <c r="AS797" s="673"/>
      <c r="AT797" s="696"/>
    </row>
    <row r="798" ht="15.75" customHeight="1">
      <c r="A798" s="653"/>
      <c r="B798" s="654"/>
      <c r="C798" s="691"/>
      <c r="D798" s="656"/>
      <c r="E798" s="657"/>
      <c r="F798" s="658"/>
      <c r="G798" s="659"/>
      <c r="H798" s="660"/>
      <c r="I798" s="659"/>
      <c r="J798" s="661"/>
      <c r="K798" s="692"/>
      <c r="L798" s="645"/>
      <c r="M798" s="663"/>
      <c r="N798" s="665"/>
      <c r="O798" s="665"/>
      <c r="P798" s="666"/>
      <c r="Q798" s="667"/>
      <c r="R798" s="668"/>
      <c r="S798" s="693"/>
      <c r="T798" s="694"/>
      <c r="U798" s="694"/>
      <c r="V798" s="693"/>
      <c r="W798" s="693"/>
      <c r="X798" s="693"/>
      <c r="Y798" s="671"/>
      <c r="Z798" s="673"/>
      <c r="AA798" s="672"/>
      <c r="AB798" s="695"/>
      <c r="AC798" s="673"/>
      <c r="AD798" s="673"/>
      <c r="AE798" s="673"/>
      <c r="AF798" s="673"/>
      <c r="AG798" s="673"/>
      <c r="AH798" s="673"/>
      <c r="AI798" s="673"/>
      <c r="AJ798" s="673"/>
      <c r="AK798" s="673"/>
      <c r="AL798" s="673"/>
      <c r="AM798" s="673"/>
      <c r="AN798" s="673"/>
      <c r="AO798" s="673"/>
      <c r="AP798" s="673"/>
      <c r="AQ798" s="673"/>
      <c r="AR798" s="673"/>
      <c r="AS798" s="673"/>
      <c r="AT798" s="696"/>
    </row>
    <row r="799" ht="15.75" customHeight="1">
      <c r="A799" s="653"/>
      <c r="B799" s="654"/>
      <c r="C799" s="691"/>
      <c r="D799" s="656"/>
      <c r="E799" s="657"/>
      <c r="F799" s="658"/>
      <c r="G799" s="659"/>
      <c r="H799" s="660"/>
      <c r="I799" s="659"/>
      <c r="J799" s="661"/>
      <c r="K799" s="692"/>
      <c r="L799" s="645"/>
      <c r="M799" s="663"/>
      <c r="N799" s="665"/>
      <c r="O799" s="665"/>
      <c r="P799" s="666"/>
      <c r="Q799" s="667"/>
      <c r="R799" s="668"/>
      <c r="S799" s="693"/>
      <c r="T799" s="694"/>
      <c r="U799" s="694"/>
      <c r="V799" s="693"/>
      <c r="W799" s="693"/>
      <c r="X799" s="693"/>
      <c r="Y799" s="671"/>
      <c r="Z799" s="673"/>
      <c r="AA799" s="672"/>
      <c r="AB799" s="695"/>
      <c r="AC799" s="673"/>
      <c r="AD799" s="673"/>
      <c r="AE799" s="673"/>
      <c r="AF799" s="673"/>
      <c r="AG799" s="673"/>
      <c r="AH799" s="673"/>
      <c r="AI799" s="673"/>
      <c r="AJ799" s="673"/>
      <c r="AK799" s="673"/>
      <c r="AL799" s="673"/>
      <c r="AM799" s="673"/>
      <c r="AN799" s="673"/>
      <c r="AO799" s="673"/>
      <c r="AP799" s="673"/>
      <c r="AQ799" s="673"/>
      <c r="AR799" s="673"/>
      <c r="AS799" s="673"/>
      <c r="AT799" s="696"/>
    </row>
    <row r="800" ht="15.75" customHeight="1">
      <c r="A800" s="653"/>
      <c r="B800" s="654"/>
      <c r="C800" s="691"/>
      <c r="D800" s="656"/>
      <c r="E800" s="657"/>
      <c r="F800" s="658"/>
      <c r="G800" s="659"/>
      <c r="H800" s="660"/>
      <c r="I800" s="659"/>
      <c r="J800" s="661"/>
      <c r="K800" s="692"/>
      <c r="L800" s="645"/>
      <c r="M800" s="663"/>
      <c r="N800" s="665"/>
      <c r="O800" s="665"/>
      <c r="P800" s="666"/>
      <c r="Q800" s="667"/>
      <c r="R800" s="668"/>
      <c r="S800" s="693"/>
      <c r="T800" s="694"/>
      <c r="U800" s="694"/>
      <c r="V800" s="693"/>
      <c r="W800" s="693"/>
      <c r="X800" s="693"/>
      <c r="Y800" s="671"/>
      <c r="Z800" s="673"/>
      <c r="AA800" s="672"/>
      <c r="AB800" s="695"/>
      <c r="AC800" s="673"/>
      <c r="AD800" s="673"/>
      <c r="AE800" s="673"/>
      <c r="AF800" s="673"/>
      <c r="AG800" s="673"/>
      <c r="AH800" s="673"/>
      <c r="AI800" s="673"/>
      <c r="AJ800" s="673"/>
      <c r="AK800" s="673"/>
      <c r="AL800" s="673"/>
      <c r="AM800" s="673"/>
      <c r="AN800" s="673"/>
      <c r="AO800" s="673"/>
      <c r="AP800" s="673"/>
      <c r="AQ800" s="673"/>
      <c r="AR800" s="673"/>
      <c r="AS800" s="673"/>
      <c r="AT800" s="696"/>
    </row>
    <row r="801" ht="15.75" customHeight="1">
      <c r="A801" s="653"/>
      <c r="B801" s="654"/>
      <c r="C801" s="691"/>
      <c r="D801" s="656"/>
      <c r="E801" s="657"/>
      <c r="F801" s="658"/>
      <c r="G801" s="659"/>
      <c r="H801" s="660"/>
      <c r="I801" s="659"/>
      <c r="J801" s="661"/>
      <c r="K801" s="692"/>
      <c r="L801" s="645"/>
      <c r="M801" s="663"/>
      <c r="N801" s="665"/>
      <c r="O801" s="665"/>
      <c r="P801" s="666"/>
      <c r="Q801" s="667"/>
      <c r="R801" s="668"/>
      <c r="S801" s="693"/>
      <c r="T801" s="694"/>
      <c r="U801" s="694"/>
      <c r="V801" s="693"/>
      <c r="W801" s="693"/>
      <c r="X801" s="693"/>
      <c r="Y801" s="671"/>
      <c r="Z801" s="673"/>
      <c r="AA801" s="672"/>
      <c r="AB801" s="695"/>
      <c r="AC801" s="673"/>
      <c r="AD801" s="673"/>
      <c r="AE801" s="673"/>
      <c r="AF801" s="673"/>
      <c r="AG801" s="673"/>
      <c r="AH801" s="673"/>
      <c r="AI801" s="673"/>
      <c r="AJ801" s="673"/>
      <c r="AK801" s="673"/>
      <c r="AL801" s="673"/>
      <c r="AM801" s="673"/>
      <c r="AN801" s="673"/>
      <c r="AO801" s="673"/>
      <c r="AP801" s="673"/>
      <c r="AQ801" s="673"/>
      <c r="AR801" s="673"/>
      <c r="AS801" s="673"/>
      <c r="AT801" s="696"/>
    </row>
    <row r="802" ht="15.75" customHeight="1">
      <c r="A802" s="653"/>
      <c r="B802" s="654"/>
      <c r="C802" s="691"/>
      <c r="D802" s="656"/>
      <c r="E802" s="657"/>
      <c r="F802" s="658"/>
      <c r="G802" s="659"/>
      <c r="H802" s="660"/>
      <c r="I802" s="659"/>
      <c r="J802" s="661"/>
      <c r="K802" s="692"/>
      <c r="L802" s="645"/>
      <c r="M802" s="663"/>
      <c r="N802" s="665"/>
      <c r="O802" s="665"/>
      <c r="P802" s="666"/>
      <c r="Q802" s="667"/>
      <c r="R802" s="668"/>
      <c r="S802" s="693"/>
      <c r="T802" s="694"/>
      <c r="U802" s="694"/>
      <c r="V802" s="693"/>
      <c r="W802" s="693"/>
      <c r="X802" s="693"/>
      <c r="Y802" s="671"/>
      <c r="Z802" s="673"/>
      <c r="AA802" s="672"/>
      <c r="AB802" s="695"/>
      <c r="AC802" s="673"/>
      <c r="AD802" s="673"/>
      <c r="AE802" s="673"/>
      <c r="AF802" s="673"/>
      <c r="AG802" s="673"/>
      <c r="AH802" s="673"/>
      <c r="AI802" s="673"/>
      <c r="AJ802" s="673"/>
      <c r="AK802" s="673"/>
      <c r="AL802" s="673"/>
      <c r="AM802" s="673"/>
      <c r="AN802" s="673"/>
      <c r="AO802" s="673"/>
      <c r="AP802" s="673"/>
      <c r="AQ802" s="673"/>
      <c r="AR802" s="673"/>
      <c r="AS802" s="673"/>
      <c r="AT802" s="696"/>
    </row>
    <row r="803" ht="15.75" customHeight="1">
      <c r="A803" s="653"/>
      <c r="B803" s="654"/>
      <c r="C803" s="691"/>
      <c r="D803" s="656"/>
      <c r="E803" s="657"/>
      <c r="F803" s="658"/>
      <c r="G803" s="659"/>
      <c r="H803" s="660"/>
      <c r="I803" s="659"/>
      <c r="J803" s="661"/>
      <c r="K803" s="692"/>
      <c r="L803" s="645"/>
      <c r="M803" s="663"/>
      <c r="N803" s="665"/>
      <c r="O803" s="665"/>
      <c r="P803" s="666"/>
      <c r="Q803" s="667"/>
      <c r="R803" s="668"/>
      <c r="S803" s="693"/>
      <c r="T803" s="694"/>
      <c r="U803" s="694"/>
      <c r="V803" s="693"/>
      <c r="W803" s="693"/>
      <c r="X803" s="693"/>
      <c r="Y803" s="671"/>
      <c r="Z803" s="673"/>
      <c r="AA803" s="672"/>
      <c r="AB803" s="695"/>
      <c r="AC803" s="673"/>
      <c r="AD803" s="673"/>
      <c r="AE803" s="673"/>
      <c r="AF803" s="673"/>
      <c r="AG803" s="673"/>
      <c r="AH803" s="673"/>
      <c r="AI803" s="673"/>
      <c r="AJ803" s="673"/>
      <c r="AK803" s="673"/>
      <c r="AL803" s="673"/>
      <c r="AM803" s="673"/>
      <c r="AN803" s="673"/>
      <c r="AO803" s="673"/>
      <c r="AP803" s="673"/>
      <c r="AQ803" s="673"/>
      <c r="AR803" s="673"/>
      <c r="AS803" s="673"/>
      <c r="AT803" s="696"/>
    </row>
    <row r="804" ht="15.75" customHeight="1">
      <c r="A804" s="653"/>
      <c r="B804" s="654"/>
      <c r="C804" s="691"/>
      <c r="D804" s="656"/>
      <c r="E804" s="657"/>
      <c r="F804" s="658"/>
      <c r="G804" s="659"/>
      <c r="H804" s="660"/>
      <c r="I804" s="659"/>
      <c r="J804" s="661"/>
      <c r="K804" s="692"/>
      <c r="L804" s="645"/>
      <c r="M804" s="663"/>
      <c r="N804" s="665"/>
      <c r="O804" s="665"/>
      <c r="P804" s="666"/>
      <c r="Q804" s="667"/>
      <c r="R804" s="668"/>
      <c r="S804" s="693"/>
      <c r="T804" s="694"/>
      <c r="U804" s="694"/>
      <c r="V804" s="693"/>
      <c r="W804" s="693"/>
      <c r="X804" s="693"/>
      <c r="Y804" s="671"/>
      <c r="Z804" s="673"/>
      <c r="AA804" s="672"/>
      <c r="AB804" s="695"/>
      <c r="AC804" s="673"/>
      <c r="AD804" s="673"/>
      <c r="AE804" s="673"/>
      <c r="AF804" s="673"/>
      <c r="AG804" s="673"/>
      <c r="AH804" s="673"/>
      <c r="AI804" s="673"/>
      <c r="AJ804" s="673"/>
      <c r="AK804" s="673"/>
      <c r="AL804" s="673"/>
      <c r="AM804" s="673"/>
      <c r="AN804" s="673"/>
      <c r="AO804" s="673"/>
      <c r="AP804" s="673"/>
      <c r="AQ804" s="673"/>
      <c r="AR804" s="673"/>
      <c r="AS804" s="673"/>
      <c r="AT804" s="696"/>
    </row>
    <row r="805" ht="15.75" customHeight="1">
      <c r="A805" s="653"/>
      <c r="B805" s="654"/>
      <c r="C805" s="691"/>
      <c r="D805" s="656"/>
      <c r="E805" s="657"/>
      <c r="F805" s="658"/>
      <c r="G805" s="659"/>
      <c r="H805" s="660"/>
      <c r="I805" s="659"/>
      <c r="J805" s="661"/>
      <c r="K805" s="692"/>
      <c r="L805" s="645"/>
      <c r="M805" s="663"/>
      <c r="N805" s="665"/>
      <c r="O805" s="665"/>
      <c r="P805" s="666"/>
      <c r="Q805" s="667"/>
      <c r="R805" s="668"/>
      <c r="S805" s="693"/>
      <c r="T805" s="694"/>
      <c r="U805" s="694"/>
      <c r="V805" s="693"/>
      <c r="W805" s="693"/>
      <c r="X805" s="693"/>
      <c r="Y805" s="671"/>
      <c r="Z805" s="673"/>
      <c r="AA805" s="672"/>
      <c r="AB805" s="695"/>
      <c r="AC805" s="673"/>
      <c r="AD805" s="673"/>
      <c r="AE805" s="673"/>
      <c r="AF805" s="673"/>
      <c r="AG805" s="673"/>
      <c r="AH805" s="673"/>
      <c r="AI805" s="673"/>
      <c r="AJ805" s="673"/>
      <c r="AK805" s="673"/>
      <c r="AL805" s="673"/>
      <c r="AM805" s="673"/>
      <c r="AN805" s="673"/>
      <c r="AO805" s="673"/>
      <c r="AP805" s="673"/>
      <c r="AQ805" s="673"/>
      <c r="AR805" s="673"/>
      <c r="AS805" s="673"/>
      <c r="AT805" s="696"/>
    </row>
    <row r="806" ht="15.75" customHeight="1">
      <c r="A806" s="653"/>
      <c r="B806" s="654"/>
      <c r="C806" s="691"/>
      <c r="D806" s="656"/>
      <c r="E806" s="657"/>
      <c r="F806" s="658"/>
      <c r="G806" s="659"/>
      <c r="H806" s="660"/>
      <c r="I806" s="659"/>
      <c r="J806" s="661"/>
      <c r="K806" s="692"/>
      <c r="L806" s="645"/>
      <c r="M806" s="663"/>
      <c r="N806" s="665"/>
      <c r="O806" s="665"/>
      <c r="P806" s="666"/>
      <c r="Q806" s="667"/>
      <c r="R806" s="668"/>
      <c r="S806" s="693"/>
      <c r="T806" s="694"/>
      <c r="U806" s="694"/>
      <c r="V806" s="693"/>
      <c r="W806" s="693"/>
      <c r="X806" s="693"/>
      <c r="Y806" s="671"/>
      <c r="Z806" s="673"/>
      <c r="AA806" s="672"/>
      <c r="AB806" s="695"/>
      <c r="AC806" s="673"/>
      <c r="AD806" s="673"/>
      <c r="AE806" s="673"/>
      <c r="AF806" s="673"/>
      <c r="AG806" s="673"/>
      <c r="AH806" s="673"/>
      <c r="AI806" s="673"/>
      <c r="AJ806" s="673"/>
      <c r="AK806" s="673"/>
      <c r="AL806" s="673"/>
      <c r="AM806" s="673"/>
      <c r="AN806" s="673"/>
      <c r="AO806" s="673"/>
      <c r="AP806" s="673"/>
      <c r="AQ806" s="673"/>
      <c r="AR806" s="673"/>
      <c r="AS806" s="673"/>
      <c r="AT806" s="696"/>
    </row>
    <row r="807" ht="15.75" customHeight="1">
      <c r="A807" s="653"/>
      <c r="B807" s="654"/>
      <c r="C807" s="691"/>
      <c r="D807" s="656"/>
      <c r="E807" s="657"/>
      <c r="F807" s="658"/>
      <c r="G807" s="659"/>
      <c r="H807" s="660"/>
      <c r="I807" s="659"/>
      <c r="J807" s="661"/>
      <c r="K807" s="692"/>
      <c r="L807" s="645"/>
      <c r="M807" s="663"/>
      <c r="N807" s="665"/>
      <c r="O807" s="665"/>
      <c r="P807" s="666"/>
      <c r="Q807" s="667"/>
      <c r="R807" s="668"/>
      <c r="S807" s="693"/>
      <c r="T807" s="694"/>
      <c r="U807" s="694"/>
      <c r="V807" s="693"/>
      <c r="W807" s="693"/>
      <c r="X807" s="693"/>
      <c r="Y807" s="671"/>
      <c r="Z807" s="673"/>
      <c r="AA807" s="672"/>
      <c r="AB807" s="695"/>
      <c r="AC807" s="673"/>
      <c r="AD807" s="673"/>
      <c r="AE807" s="673"/>
      <c r="AF807" s="673"/>
      <c r="AG807" s="673"/>
      <c r="AH807" s="673"/>
      <c r="AI807" s="673"/>
      <c r="AJ807" s="673"/>
      <c r="AK807" s="673"/>
      <c r="AL807" s="673"/>
      <c r="AM807" s="673"/>
      <c r="AN807" s="673"/>
      <c r="AO807" s="673"/>
      <c r="AP807" s="673"/>
      <c r="AQ807" s="673"/>
      <c r="AR807" s="673"/>
      <c r="AS807" s="673"/>
      <c r="AT807" s="696"/>
    </row>
    <row r="808" ht="15.75" customHeight="1">
      <c r="A808" s="653"/>
      <c r="B808" s="654"/>
      <c r="C808" s="691"/>
      <c r="D808" s="656"/>
      <c r="E808" s="657"/>
      <c r="F808" s="658"/>
      <c r="G808" s="659"/>
      <c r="H808" s="660"/>
      <c r="I808" s="659"/>
      <c r="J808" s="661"/>
      <c r="K808" s="692"/>
      <c r="L808" s="645"/>
      <c r="M808" s="663"/>
      <c r="N808" s="665"/>
      <c r="O808" s="665"/>
      <c r="P808" s="666"/>
      <c r="Q808" s="667"/>
      <c r="R808" s="668"/>
      <c r="S808" s="693"/>
      <c r="T808" s="694"/>
      <c r="U808" s="694"/>
      <c r="V808" s="693"/>
      <c r="W808" s="693"/>
      <c r="X808" s="693"/>
      <c r="Y808" s="671"/>
      <c r="Z808" s="673"/>
      <c r="AA808" s="672"/>
      <c r="AB808" s="695"/>
      <c r="AC808" s="673"/>
      <c r="AD808" s="673"/>
      <c r="AE808" s="673"/>
      <c r="AF808" s="673"/>
      <c r="AG808" s="673"/>
      <c r="AH808" s="673"/>
      <c r="AI808" s="673"/>
      <c r="AJ808" s="673"/>
      <c r="AK808" s="673"/>
      <c r="AL808" s="673"/>
      <c r="AM808" s="673"/>
      <c r="AN808" s="673"/>
      <c r="AO808" s="673"/>
      <c r="AP808" s="673"/>
      <c r="AQ808" s="673"/>
      <c r="AR808" s="673"/>
      <c r="AS808" s="673"/>
      <c r="AT808" s="696"/>
    </row>
    <row r="809" ht="15.75" customHeight="1">
      <c r="A809" s="653"/>
      <c r="B809" s="654"/>
      <c r="C809" s="691"/>
      <c r="D809" s="656"/>
      <c r="E809" s="657"/>
      <c r="F809" s="658"/>
      <c r="G809" s="659"/>
      <c r="H809" s="660"/>
      <c r="I809" s="659"/>
      <c r="J809" s="661"/>
      <c r="K809" s="692"/>
      <c r="L809" s="645"/>
      <c r="M809" s="663"/>
      <c r="N809" s="665"/>
      <c r="O809" s="665"/>
      <c r="P809" s="666"/>
      <c r="Q809" s="667"/>
      <c r="R809" s="668"/>
      <c r="S809" s="693"/>
      <c r="T809" s="694"/>
      <c r="U809" s="694"/>
      <c r="V809" s="693"/>
      <c r="W809" s="693"/>
      <c r="X809" s="693"/>
      <c r="Y809" s="671"/>
      <c r="Z809" s="673"/>
      <c r="AA809" s="672"/>
      <c r="AB809" s="695"/>
      <c r="AC809" s="673"/>
      <c r="AD809" s="673"/>
      <c r="AE809" s="673"/>
      <c r="AF809" s="673"/>
      <c r="AG809" s="673"/>
      <c r="AH809" s="673"/>
      <c r="AI809" s="673"/>
      <c r="AJ809" s="673"/>
      <c r="AK809" s="673"/>
      <c r="AL809" s="673"/>
      <c r="AM809" s="673"/>
      <c r="AN809" s="673"/>
      <c r="AO809" s="673"/>
      <c r="AP809" s="673"/>
      <c r="AQ809" s="673"/>
      <c r="AR809" s="673"/>
      <c r="AS809" s="673"/>
      <c r="AT809" s="696"/>
    </row>
    <row r="810" ht="15.75" customHeight="1">
      <c r="A810" s="653"/>
      <c r="B810" s="654"/>
      <c r="C810" s="691"/>
      <c r="D810" s="656"/>
      <c r="E810" s="657"/>
      <c r="F810" s="658"/>
      <c r="G810" s="659"/>
      <c r="H810" s="660"/>
      <c r="I810" s="659"/>
      <c r="J810" s="661"/>
      <c r="K810" s="692"/>
      <c r="L810" s="645"/>
      <c r="M810" s="663"/>
      <c r="N810" s="665"/>
      <c r="O810" s="665"/>
      <c r="P810" s="666"/>
      <c r="Q810" s="667"/>
      <c r="R810" s="668"/>
      <c r="S810" s="693"/>
      <c r="T810" s="694"/>
      <c r="U810" s="694"/>
      <c r="V810" s="693"/>
      <c r="W810" s="693"/>
      <c r="X810" s="693"/>
      <c r="Y810" s="671"/>
      <c r="Z810" s="673"/>
      <c r="AA810" s="672"/>
      <c r="AB810" s="695"/>
      <c r="AC810" s="673"/>
      <c r="AD810" s="673"/>
      <c r="AE810" s="673"/>
      <c r="AF810" s="673"/>
      <c r="AG810" s="673"/>
      <c r="AH810" s="673"/>
      <c r="AI810" s="673"/>
      <c r="AJ810" s="673"/>
      <c r="AK810" s="673"/>
      <c r="AL810" s="673"/>
      <c r="AM810" s="673"/>
      <c r="AN810" s="673"/>
      <c r="AO810" s="673"/>
      <c r="AP810" s="673"/>
      <c r="AQ810" s="673"/>
      <c r="AR810" s="673"/>
      <c r="AS810" s="673"/>
      <c r="AT810" s="696"/>
    </row>
    <row r="811" ht="15.75" customHeight="1">
      <c r="A811" s="653"/>
      <c r="B811" s="654"/>
      <c r="C811" s="691"/>
      <c r="D811" s="656"/>
      <c r="E811" s="657"/>
      <c r="F811" s="658"/>
      <c r="G811" s="659"/>
      <c r="H811" s="660"/>
      <c r="I811" s="659"/>
      <c r="J811" s="661"/>
      <c r="K811" s="692"/>
      <c r="L811" s="645"/>
      <c r="M811" s="663"/>
      <c r="N811" s="665"/>
      <c r="O811" s="665"/>
      <c r="P811" s="666"/>
      <c r="Q811" s="667"/>
      <c r="R811" s="668"/>
      <c r="S811" s="693"/>
      <c r="T811" s="694"/>
      <c r="U811" s="694"/>
      <c r="V811" s="693"/>
      <c r="W811" s="693"/>
      <c r="X811" s="693"/>
      <c r="Y811" s="671"/>
      <c r="Z811" s="673"/>
      <c r="AA811" s="672"/>
      <c r="AB811" s="695"/>
      <c r="AC811" s="673"/>
      <c r="AD811" s="673"/>
      <c r="AE811" s="673"/>
      <c r="AF811" s="673"/>
      <c r="AG811" s="673"/>
      <c r="AH811" s="673"/>
      <c r="AI811" s="673"/>
      <c r="AJ811" s="673"/>
      <c r="AK811" s="673"/>
      <c r="AL811" s="673"/>
      <c r="AM811" s="673"/>
      <c r="AN811" s="673"/>
      <c r="AO811" s="673"/>
      <c r="AP811" s="673"/>
      <c r="AQ811" s="673"/>
      <c r="AR811" s="673"/>
      <c r="AS811" s="673"/>
      <c r="AT811" s="696"/>
    </row>
    <row r="812" ht="15.75" customHeight="1">
      <c r="A812" s="653"/>
      <c r="B812" s="654"/>
      <c r="C812" s="691"/>
      <c r="D812" s="656"/>
      <c r="E812" s="657"/>
      <c r="F812" s="658"/>
      <c r="G812" s="659"/>
      <c r="H812" s="660"/>
      <c r="I812" s="659"/>
      <c r="J812" s="661"/>
      <c r="K812" s="692"/>
      <c r="L812" s="645"/>
      <c r="M812" s="663"/>
      <c r="N812" s="665"/>
      <c r="O812" s="665"/>
      <c r="P812" s="666"/>
      <c r="Q812" s="667"/>
      <c r="R812" s="668"/>
      <c r="S812" s="693"/>
      <c r="T812" s="694"/>
      <c r="U812" s="694"/>
      <c r="V812" s="693"/>
      <c r="W812" s="693"/>
      <c r="X812" s="693"/>
      <c r="Y812" s="671"/>
      <c r="Z812" s="673"/>
      <c r="AA812" s="672"/>
      <c r="AB812" s="695"/>
      <c r="AC812" s="673"/>
      <c r="AD812" s="673"/>
      <c r="AE812" s="673"/>
      <c r="AF812" s="673"/>
      <c r="AG812" s="673"/>
      <c r="AH812" s="673"/>
      <c r="AI812" s="673"/>
      <c r="AJ812" s="673"/>
      <c r="AK812" s="673"/>
      <c r="AL812" s="673"/>
      <c r="AM812" s="673"/>
      <c r="AN812" s="673"/>
      <c r="AO812" s="673"/>
      <c r="AP812" s="673"/>
      <c r="AQ812" s="673"/>
      <c r="AR812" s="673"/>
      <c r="AS812" s="673"/>
      <c r="AT812" s="696"/>
    </row>
    <row r="813" ht="15.75" customHeight="1">
      <c r="A813" s="653"/>
      <c r="B813" s="654"/>
      <c r="C813" s="691"/>
      <c r="D813" s="656"/>
      <c r="E813" s="657"/>
      <c r="F813" s="658"/>
      <c r="G813" s="659"/>
      <c r="H813" s="660"/>
      <c r="I813" s="659"/>
      <c r="J813" s="661"/>
      <c r="K813" s="692"/>
      <c r="L813" s="645"/>
      <c r="M813" s="663"/>
      <c r="N813" s="665"/>
      <c r="O813" s="665"/>
      <c r="P813" s="666"/>
      <c r="Q813" s="667"/>
      <c r="R813" s="668"/>
      <c r="S813" s="693"/>
      <c r="T813" s="694"/>
      <c r="U813" s="694"/>
      <c r="V813" s="693"/>
      <c r="W813" s="693"/>
      <c r="X813" s="693"/>
      <c r="Y813" s="671"/>
      <c r="Z813" s="673"/>
      <c r="AA813" s="672"/>
      <c r="AB813" s="695"/>
      <c r="AC813" s="673"/>
      <c r="AD813" s="673"/>
      <c r="AE813" s="673"/>
      <c r="AF813" s="673"/>
      <c r="AG813" s="673"/>
      <c r="AH813" s="673"/>
      <c r="AI813" s="673"/>
      <c r="AJ813" s="673"/>
      <c r="AK813" s="673"/>
      <c r="AL813" s="673"/>
      <c r="AM813" s="673"/>
      <c r="AN813" s="673"/>
      <c r="AO813" s="673"/>
      <c r="AP813" s="673"/>
      <c r="AQ813" s="673"/>
      <c r="AR813" s="673"/>
      <c r="AS813" s="673"/>
      <c r="AT813" s="696"/>
    </row>
    <row r="814" ht="15.75" customHeight="1">
      <c r="A814" s="653"/>
      <c r="B814" s="654"/>
      <c r="C814" s="691"/>
      <c r="D814" s="656"/>
      <c r="E814" s="657"/>
      <c r="F814" s="658"/>
      <c r="G814" s="659"/>
      <c r="H814" s="660"/>
      <c r="I814" s="659"/>
      <c r="J814" s="661"/>
      <c r="K814" s="692"/>
      <c r="L814" s="645"/>
      <c r="M814" s="663"/>
      <c r="N814" s="665"/>
      <c r="O814" s="665"/>
      <c r="P814" s="666"/>
      <c r="Q814" s="667"/>
      <c r="R814" s="668"/>
      <c r="S814" s="693"/>
      <c r="T814" s="694"/>
      <c r="U814" s="694"/>
      <c r="V814" s="693"/>
      <c r="W814" s="693"/>
      <c r="X814" s="693"/>
      <c r="Y814" s="671"/>
      <c r="Z814" s="673"/>
      <c r="AA814" s="672"/>
      <c r="AB814" s="695"/>
      <c r="AC814" s="673"/>
      <c r="AD814" s="673"/>
      <c r="AE814" s="673"/>
      <c r="AF814" s="673"/>
      <c r="AG814" s="673"/>
      <c r="AH814" s="673"/>
      <c r="AI814" s="673"/>
      <c r="AJ814" s="673"/>
      <c r="AK814" s="673"/>
      <c r="AL814" s="673"/>
      <c r="AM814" s="673"/>
      <c r="AN814" s="673"/>
      <c r="AO814" s="673"/>
      <c r="AP814" s="673"/>
      <c r="AQ814" s="673"/>
      <c r="AR814" s="673"/>
      <c r="AS814" s="673"/>
      <c r="AT814" s="696"/>
    </row>
    <row r="815" ht="15.75" customHeight="1">
      <c r="A815" s="653"/>
      <c r="B815" s="654"/>
      <c r="C815" s="691"/>
      <c r="D815" s="656"/>
      <c r="E815" s="657"/>
      <c r="F815" s="658"/>
      <c r="G815" s="659"/>
      <c r="H815" s="660"/>
      <c r="I815" s="659"/>
      <c r="J815" s="661"/>
      <c r="K815" s="692"/>
      <c r="L815" s="645"/>
      <c r="M815" s="663"/>
      <c r="N815" s="665"/>
      <c r="O815" s="665"/>
      <c r="P815" s="666"/>
      <c r="Q815" s="667"/>
      <c r="R815" s="668"/>
      <c r="S815" s="693"/>
      <c r="T815" s="694"/>
      <c r="U815" s="694"/>
      <c r="V815" s="693"/>
      <c r="W815" s="693"/>
      <c r="X815" s="693"/>
      <c r="Y815" s="671"/>
      <c r="Z815" s="673"/>
      <c r="AA815" s="672"/>
      <c r="AB815" s="695"/>
      <c r="AC815" s="673"/>
      <c r="AD815" s="673"/>
      <c r="AE815" s="673"/>
      <c r="AF815" s="673"/>
      <c r="AG815" s="673"/>
      <c r="AH815" s="673"/>
      <c r="AI815" s="673"/>
      <c r="AJ815" s="673"/>
      <c r="AK815" s="673"/>
      <c r="AL815" s="673"/>
      <c r="AM815" s="673"/>
      <c r="AN815" s="673"/>
      <c r="AO815" s="673"/>
      <c r="AP815" s="673"/>
      <c r="AQ815" s="673"/>
      <c r="AR815" s="673"/>
      <c r="AS815" s="673"/>
      <c r="AT815" s="696"/>
    </row>
    <row r="816" ht="15.75" customHeight="1">
      <c r="A816" s="653"/>
      <c r="B816" s="654"/>
      <c r="C816" s="691"/>
      <c r="D816" s="656"/>
      <c r="E816" s="657"/>
      <c r="F816" s="658"/>
      <c r="G816" s="659"/>
      <c r="H816" s="660"/>
      <c r="I816" s="659"/>
      <c r="J816" s="661"/>
      <c r="K816" s="692"/>
      <c r="L816" s="645"/>
      <c r="M816" s="663"/>
      <c r="N816" s="665"/>
      <c r="O816" s="665"/>
      <c r="P816" s="666"/>
      <c r="Q816" s="667"/>
      <c r="R816" s="668"/>
      <c r="S816" s="693"/>
      <c r="T816" s="694"/>
      <c r="U816" s="694"/>
      <c r="V816" s="693"/>
      <c r="W816" s="693"/>
      <c r="X816" s="693"/>
      <c r="Y816" s="671"/>
      <c r="Z816" s="673"/>
      <c r="AA816" s="672"/>
      <c r="AB816" s="695"/>
      <c r="AC816" s="673"/>
      <c r="AD816" s="673"/>
      <c r="AE816" s="673"/>
      <c r="AF816" s="673"/>
      <c r="AG816" s="673"/>
      <c r="AH816" s="673"/>
      <c r="AI816" s="673"/>
      <c r="AJ816" s="673"/>
      <c r="AK816" s="673"/>
      <c r="AL816" s="673"/>
      <c r="AM816" s="673"/>
      <c r="AN816" s="673"/>
      <c r="AO816" s="673"/>
      <c r="AP816" s="673"/>
      <c r="AQ816" s="673"/>
      <c r="AR816" s="673"/>
      <c r="AS816" s="673"/>
      <c r="AT816" s="696"/>
    </row>
    <row r="817" ht="15.75" customHeight="1">
      <c r="A817" s="653"/>
      <c r="B817" s="654"/>
      <c r="C817" s="691"/>
      <c r="D817" s="656"/>
      <c r="E817" s="657"/>
      <c r="F817" s="658"/>
      <c r="G817" s="659"/>
      <c r="H817" s="660"/>
      <c r="I817" s="659"/>
      <c r="J817" s="661"/>
      <c r="K817" s="692"/>
      <c r="L817" s="645"/>
      <c r="M817" s="663"/>
      <c r="N817" s="665"/>
      <c r="O817" s="665"/>
      <c r="P817" s="666"/>
      <c r="Q817" s="667"/>
      <c r="R817" s="668"/>
      <c r="S817" s="693"/>
      <c r="T817" s="694"/>
      <c r="U817" s="694"/>
      <c r="V817" s="693"/>
      <c r="W817" s="693"/>
      <c r="X817" s="693"/>
      <c r="Y817" s="671"/>
      <c r="Z817" s="673"/>
      <c r="AA817" s="672"/>
      <c r="AB817" s="695"/>
      <c r="AC817" s="673"/>
      <c r="AD817" s="673"/>
      <c r="AE817" s="673"/>
      <c r="AF817" s="673"/>
      <c r="AG817" s="673"/>
      <c r="AH817" s="673"/>
      <c r="AI817" s="673"/>
      <c r="AJ817" s="673"/>
      <c r="AK817" s="673"/>
      <c r="AL817" s="673"/>
      <c r="AM817" s="673"/>
      <c r="AN817" s="673"/>
      <c r="AO817" s="673"/>
      <c r="AP817" s="673"/>
      <c r="AQ817" s="673"/>
      <c r="AR817" s="673"/>
      <c r="AS817" s="673"/>
      <c r="AT817" s="696"/>
    </row>
    <row r="818" ht="15.75" customHeight="1">
      <c r="A818" s="653"/>
      <c r="B818" s="654"/>
      <c r="C818" s="691"/>
      <c r="D818" s="656"/>
      <c r="E818" s="657"/>
      <c r="F818" s="658"/>
      <c r="G818" s="659"/>
      <c r="H818" s="660"/>
      <c r="I818" s="659"/>
      <c r="J818" s="661"/>
      <c r="K818" s="692"/>
      <c r="L818" s="645"/>
      <c r="M818" s="663"/>
      <c r="N818" s="665"/>
      <c r="O818" s="665"/>
      <c r="P818" s="666"/>
      <c r="Q818" s="667"/>
      <c r="R818" s="668"/>
      <c r="S818" s="693"/>
      <c r="T818" s="694"/>
      <c r="U818" s="694"/>
      <c r="V818" s="693"/>
      <c r="W818" s="693"/>
      <c r="X818" s="693"/>
      <c r="Y818" s="671"/>
      <c r="Z818" s="673"/>
      <c r="AA818" s="672"/>
      <c r="AB818" s="695"/>
      <c r="AC818" s="673"/>
      <c r="AD818" s="673"/>
      <c r="AE818" s="673"/>
      <c r="AF818" s="673"/>
      <c r="AG818" s="673"/>
      <c r="AH818" s="673"/>
      <c r="AI818" s="673"/>
      <c r="AJ818" s="673"/>
      <c r="AK818" s="673"/>
      <c r="AL818" s="673"/>
      <c r="AM818" s="673"/>
      <c r="AN818" s="673"/>
      <c r="AO818" s="673"/>
      <c r="AP818" s="673"/>
      <c r="AQ818" s="673"/>
      <c r="AR818" s="673"/>
      <c r="AS818" s="673"/>
      <c r="AT818" s="696"/>
    </row>
    <row r="819" ht="15.75" customHeight="1">
      <c r="A819" s="653"/>
      <c r="B819" s="654"/>
      <c r="C819" s="691"/>
      <c r="D819" s="656"/>
      <c r="E819" s="657"/>
      <c r="F819" s="658"/>
      <c r="G819" s="659"/>
      <c r="H819" s="660"/>
      <c r="I819" s="659"/>
      <c r="J819" s="661"/>
      <c r="K819" s="692"/>
      <c r="L819" s="645"/>
      <c r="M819" s="663"/>
      <c r="N819" s="665"/>
      <c r="O819" s="665"/>
      <c r="P819" s="666"/>
      <c r="Q819" s="667"/>
      <c r="R819" s="668"/>
      <c r="S819" s="693"/>
      <c r="T819" s="694"/>
      <c r="U819" s="694"/>
      <c r="V819" s="693"/>
      <c r="W819" s="693"/>
      <c r="X819" s="693"/>
      <c r="Y819" s="671"/>
      <c r="Z819" s="673"/>
      <c r="AA819" s="672"/>
      <c r="AB819" s="695"/>
      <c r="AC819" s="673"/>
      <c r="AD819" s="673"/>
      <c r="AE819" s="673"/>
      <c r="AF819" s="673"/>
      <c r="AG819" s="673"/>
      <c r="AH819" s="673"/>
      <c r="AI819" s="673"/>
      <c r="AJ819" s="673"/>
      <c r="AK819" s="673"/>
      <c r="AL819" s="673"/>
      <c r="AM819" s="673"/>
      <c r="AN819" s="673"/>
      <c r="AO819" s="673"/>
      <c r="AP819" s="673"/>
      <c r="AQ819" s="673"/>
      <c r="AR819" s="673"/>
      <c r="AS819" s="673"/>
      <c r="AT819" s="696"/>
    </row>
    <row r="820" ht="15.75" customHeight="1">
      <c r="A820" s="653"/>
      <c r="B820" s="654"/>
      <c r="C820" s="691"/>
      <c r="D820" s="656"/>
      <c r="E820" s="657"/>
      <c r="F820" s="658"/>
      <c r="G820" s="659"/>
      <c r="H820" s="660"/>
      <c r="I820" s="659"/>
      <c r="J820" s="661"/>
      <c r="K820" s="692"/>
      <c r="L820" s="645"/>
      <c r="M820" s="663"/>
      <c r="N820" s="665"/>
      <c r="O820" s="665"/>
      <c r="P820" s="666"/>
      <c r="Q820" s="667"/>
      <c r="R820" s="668"/>
      <c r="S820" s="693"/>
      <c r="T820" s="694"/>
      <c r="U820" s="694"/>
      <c r="V820" s="693"/>
      <c r="W820" s="693"/>
      <c r="X820" s="693"/>
      <c r="Y820" s="671"/>
      <c r="Z820" s="673"/>
      <c r="AA820" s="672"/>
      <c r="AB820" s="695"/>
      <c r="AC820" s="673"/>
      <c r="AD820" s="673"/>
      <c r="AE820" s="673"/>
      <c r="AF820" s="673"/>
      <c r="AG820" s="673"/>
      <c r="AH820" s="673"/>
      <c r="AI820" s="673"/>
      <c r="AJ820" s="673"/>
      <c r="AK820" s="673"/>
      <c r="AL820" s="673"/>
      <c r="AM820" s="673"/>
      <c r="AN820" s="673"/>
      <c r="AO820" s="673"/>
      <c r="AP820" s="673"/>
      <c r="AQ820" s="673"/>
      <c r="AR820" s="673"/>
      <c r="AS820" s="673"/>
      <c r="AT820" s="696"/>
    </row>
    <row r="821" ht="15.75" customHeight="1">
      <c r="A821" s="653"/>
      <c r="B821" s="654"/>
      <c r="C821" s="691"/>
      <c r="D821" s="656"/>
      <c r="E821" s="657"/>
      <c r="F821" s="658"/>
      <c r="G821" s="659"/>
      <c r="H821" s="660"/>
      <c r="I821" s="659"/>
      <c r="J821" s="661"/>
      <c r="K821" s="692"/>
      <c r="L821" s="645"/>
      <c r="M821" s="663"/>
      <c r="N821" s="665"/>
      <c r="O821" s="665"/>
      <c r="P821" s="666"/>
      <c r="Q821" s="667"/>
      <c r="R821" s="668"/>
      <c r="S821" s="693"/>
      <c r="T821" s="694"/>
      <c r="U821" s="694"/>
      <c r="V821" s="693"/>
      <c r="W821" s="693"/>
      <c r="X821" s="693"/>
      <c r="Y821" s="671"/>
      <c r="Z821" s="673"/>
      <c r="AA821" s="672"/>
      <c r="AB821" s="695"/>
      <c r="AC821" s="673"/>
      <c r="AD821" s="673"/>
      <c r="AE821" s="673"/>
      <c r="AF821" s="673"/>
      <c r="AG821" s="673"/>
      <c r="AH821" s="673"/>
      <c r="AI821" s="673"/>
      <c r="AJ821" s="673"/>
      <c r="AK821" s="673"/>
      <c r="AL821" s="673"/>
      <c r="AM821" s="673"/>
      <c r="AN821" s="673"/>
      <c r="AO821" s="673"/>
      <c r="AP821" s="673"/>
      <c r="AQ821" s="673"/>
      <c r="AR821" s="673"/>
      <c r="AS821" s="673"/>
      <c r="AT821" s="696"/>
    </row>
    <row r="822" ht="15.75" customHeight="1">
      <c r="A822" s="653"/>
      <c r="B822" s="654"/>
      <c r="C822" s="691"/>
      <c r="D822" s="656"/>
      <c r="E822" s="657"/>
      <c r="F822" s="658"/>
      <c r="G822" s="659"/>
      <c r="H822" s="660"/>
      <c r="I822" s="659"/>
      <c r="J822" s="661"/>
      <c r="K822" s="692"/>
      <c r="L822" s="645"/>
      <c r="M822" s="663"/>
      <c r="N822" s="665"/>
      <c r="O822" s="665"/>
      <c r="P822" s="666"/>
      <c r="Q822" s="667"/>
      <c r="R822" s="668"/>
      <c r="S822" s="693"/>
      <c r="T822" s="694"/>
      <c r="U822" s="694"/>
      <c r="V822" s="693"/>
      <c r="W822" s="693"/>
      <c r="X822" s="693"/>
      <c r="Y822" s="671"/>
      <c r="Z822" s="673"/>
      <c r="AA822" s="672"/>
      <c r="AB822" s="695"/>
      <c r="AC822" s="673"/>
      <c r="AD822" s="673"/>
      <c r="AE822" s="673"/>
      <c r="AF822" s="673"/>
      <c r="AG822" s="673"/>
      <c r="AH822" s="673"/>
      <c r="AI822" s="673"/>
      <c r="AJ822" s="673"/>
      <c r="AK822" s="673"/>
      <c r="AL822" s="673"/>
      <c r="AM822" s="673"/>
      <c r="AN822" s="673"/>
      <c r="AO822" s="673"/>
      <c r="AP822" s="673"/>
      <c r="AQ822" s="673"/>
      <c r="AR822" s="673"/>
      <c r="AS822" s="673"/>
      <c r="AT822" s="696"/>
    </row>
    <row r="823" ht="15.75" customHeight="1">
      <c r="A823" s="653"/>
      <c r="B823" s="654"/>
      <c r="C823" s="691"/>
      <c r="D823" s="656"/>
      <c r="E823" s="657"/>
      <c r="F823" s="658"/>
      <c r="G823" s="659"/>
      <c r="H823" s="660"/>
      <c r="I823" s="659"/>
      <c r="J823" s="661"/>
      <c r="K823" s="692"/>
      <c r="L823" s="645"/>
      <c r="M823" s="663"/>
      <c r="N823" s="665"/>
      <c r="O823" s="665"/>
      <c r="P823" s="666"/>
      <c r="Q823" s="667"/>
      <c r="R823" s="668"/>
      <c r="S823" s="693"/>
      <c r="T823" s="694"/>
      <c r="U823" s="694"/>
      <c r="V823" s="693"/>
      <c r="W823" s="693"/>
      <c r="X823" s="693"/>
      <c r="Y823" s="671"/>
      <c r="Z823" s="673"/>
      <c r="AA823" s="672"/>
      <c r="AB823" s="695"/>
      <c r="AC823" s="673"/>
      <c r="AD823" s="673"/>
      <c r="AE823" s="673"/>
      <c r="AF823" s="673"/>
      <c r="AG823" s="673"/>
      <c r="AH823" s="673"/>
      <c r="AI823" s="673"/>
      <c r="AJ823" s="673"/>
      <c r="AK823" s="673"/>
      <c r="AL823" s="673"/>
      <c r="AM823" s="673"/>
      <c r="AN823" s="673"/>
      <c r="AO823" s="673"/>
      <c r="AP823" s="673"/>
      <c r="AQ823" s="673"/>
      <c r="AR823" s="673"/>
      <c r="AS823" s="673"/>
      <c r="AT823" s="696"/>
    </row>
    <row r="824" ht="15.75" customHeight="1">
      <c r="A824" s="653"/>
      <c r="B824" s="654"/>
      <c r="C824" s="691"/>
      <c r="D824" s="656"/>
      <c r="E824" s="657"/>
      <c r="F824" s="658"/>
      <c r="G824" s="659"/>
      <c r="H824" s="660"/>
      <c r="I824" s="659"/>
      <c r="J824" s="661"/>
      <c r="K824" s="692"/>
      <c r="L824" s="645"/>
      <c r="M824" s="663"/>
      <c r="N824" s="665"/>
      <c r="O824" s="665"/>
      <c r="P824" s="666"/>
      <c r="Q824" s="667"/>
      <c r="R824" s="668"/>
      <c r="S824" s="693"/>
      <c r="T824" s="694"/>
      <c r="U824" s="694"/>
      <c r="V824" s="693"/>
      <c r="W824" s="693"/>
      <c r="X824" s="693"/>
      <c r="Y824" s="671"/>
      <c r="Z824" s="673"/>
      <c r="AA824" s="672"/>
      <c r="AB824" s="695"/>
      <c r="AC824" s="673"/>
      <c r="AD824" s="673"/>
      <c r="AE824" s="673"/>
      <c r="AF824" s="673"/>
      <c r="AG824" s="673"/>
      <c r="AH824" s="673"/>
      <c r="AI824" s="673"/>
      <c r="AJ824" s="673"/>
      <c r="AK824" s="673"/>
      <c r="AL824" s="673"/>
      <c r="AM824" s="673"/>
      <c r="AN824" s="673"/>
      <c r="AO824" s="673"/>
      <c r="AP824" s="673"/>
      <c r="AQ824" s="673"/>
      <c r="AR824" s="673"/>
      <c r="AS824" s="673"/>
      <c r="AT824" s="696"/>
    </row>
    <row r="825" ht="15.75" customHeight="1">
      <c r="A825" s="653"/>
      <c r="B825" s="654"/>
      <c r="C825" s="691"/>
      <c r="D825" s="656"/>
      <c r="E825" s="657"/>
      <c r="F825" s="658"/>
      <c r="G825" s="659"/>
      <c r="H825" s="660"/>
      <c r="I825" s="659"/>
      <c r="J825" s="661"/>
      <c r="K825" s="692"/>
      <c r="L825" s="645"/>
      <c r="M825" s="663"/>
      <c r="N825" s="665"/>
      <c r="O825" s="665"/>
      <c r="P825" s="666"/>
      <c r="Q825" s="667"/>
      <c r="R825" s="668"/>
      <c r="S825" s="693"/>
      <c r="T825" s="694"/>
      <c r="U825" s="694"/>
      <c r="V825" s="693"/>
      <c r="W825" s="693"/>
      <c r="X825" s="693"/>
      <c r="Y825" s="671"/>
      <c r="Z825" s="673"/>
      <c r="AA825" s="672"/>
      <c r="AB825" s="695"/>
      <c r="AC825" s="673"/>
      <c r="AD825" s="673"/>
      <c r="AE825" s="673"/>
      <c r="AF825" s="673"/>
      <c r="AG825" s="673"/>
      <c r="AH825" s="673"/>
      <c r="AI825" s="673"/>
      <c r="AJ825" s="673"/>
      <c r="AK825" s="673"/>
      <c r="AL825" s="673"/>
      <c r="AM825" s="673"/>
      <c r="AN825" s="673"/>
      <c r="AO825" s="673"/>
      <c r="AP825" s="673"/>
      <c r="AQ825" s="673"/>
      <c r="AR825" s="673"/>
      <c r="AS825" s="673"/>
      <c r="AT825" s="696"/>
    </row>
    <row r="826" ht="15.75" customHeight="1">
      <c r="A826" s="653"/>
      <c r="B826" s="654"/>
      <c r="C826" s="691"/>
      <c r="D826" s="656"/>
      <c r="E826" s="657"/>
      <c r="F826" s="658"/>
      <c r="G826" s="659"/>
      <c r="H826" s="660"/>
      <c r="I826" s="659"/>
      <c r="J826" s="661"/>
      <c r="K826" s="692"/>
      <c r="L826" s="645"/>
      <c r="M826" s="663"/>
      <c r="N826" s="665"/>
      <c r="O826" s="665"/>
      <c r="P826" s="666"/>
      <c r="Q826" s="667"/>
      <c r="R826" s="668"/>
      <c r="S826" s="693"/>
      <c r="T826" s="694"/>
      <c r="U826" s="694"/>
      <c r="V826" s="693"/>
      <c r="W826" s="693"/>
      <c r="X826" s="693"/>
      <c r="Y826" s="671"/>
      <c r="Z826" s="673"/>
      <c r="AA826" s="672"/>
      <c r="AB826" s="695"/>
      <c r="AC826" s="673"/>
      <c r="AD826" s="673"/>
      <c r="AE826" s="673"/>
      <c r="AF826" s="673"/>
      <c r="AG826" s="673"/>
      <c r="AH826" s="673"/>
      <c r="AI826" s="673"/>
      <c r="AJ826" s="673"/>
      <c r="AK826" s="673"/>
      <c r="AL826" s="673"/>
      <c r="AM826" s="673"/>
      <c r="AN826" s="673"/>
      <c r="AO826" s="673"/>
      <c r="AP826" s="673"/>
      <c r="AQ826" s="673"/>
      <c r="AR826" s="673"/>
      <c r="AS826" s="673"/>
      <c r="AT826" s="696"/>
    </row>
    <row r="827" ht="15.75" customHeight="1">
      <c r="A827" s="653"/>
      <c r="B827" s="654"/>
      <c r="C827" s="691"/>
      <c r="D827" s="656"/>
      <c r="E827" s="657"/>
      <c r="F827" s="658"/>
      <c r="G827" s="659"/>
      <c r="H827" s="660"/>
      <c r="I827" s="659"/>
      <c r="J827" s="661"/>
      <c r="K827" s="692"/>
      <c r="L827" s="645"/>
      <c r="M827" s="663"/>
      <c r="N827" s="665"/>
      <c r="O827" s="665"/>
      <c r="P827" s="666"/>
      <c r="Q827" s="667"/>
      <c r="R827" s="668"/>
      <c r="S827" s="693"/>
      <c r="T827" s="694"/>
      <c r="U827" s="694"/>
      <c r="V827" s="693"/>
      <c r="W827" s="693"/>
      <c r="X827" s="693"/>
      <c r="Y827" s="671"/>
      <c r="Z827" s="673"/>
      <c r="AA827" s="672"/>
      <c r="AB827" s="695"/>
      <c r="AC827" s="673"/>
      <c r="AD827" s="673"/>
      <c r="AE827" s="673"/>
      <c r="AF827" s="673"/>
      <c r="AG827" s="673"/>
      <c r="AH827" s="673"/>
      <c r="AI827" s="673"/>
      <c r="AJ827" s="673"/>
      <c r="AK827" s="673"/>
      <c r="AL827" s="673"/>
      <c r="AM827" s="673"/>
      <c r="AN827" s="673"/>
      <c r="AO827" s="673"/>
      <c r="AP827" s="673"/>
      <c r="AQ827" s="673"/>
      <c r="AR827" s="673"/>
      <c r="AS827" s="673"/>
      <c r="AT827" s="696"/>
    </row>
    <row r="828" ht="15.75" customHeight="1">
      <c r="A828" s="653"/>
      <c r="B828" s="654"/>
      <c r="C828" s="691"/>
      <c r="D828" s="656"/>
      <c r="E828" s="657"/>
      <c r="F828" s="658"/>
      <c r="G828" s="659"/>
      <c r="H828" s="660"/>
      <c r="I828" s="659"/>
      <c r="J828" s="661"/>
      <c r="K828" s="692"/>
      <c r="L828" s="645"/>
      <c r="M828" s="663"/>
      <c r="N828" s="665"/>
      <c r="O828" s="665"/>
      <c r="P828" s="666"/>
      <c r="Q828" s="667"/>
      <c r="R828" s="668"/>
      <c r="S828" s="693"/>
      <c r="T828" s="694"/>
      <c r="U828" s="694"/>
      <c r="V828" s="693"/>
      <c r="W828" s="693"/>
      <c r="X828" s="693"/>
      <c r="Y828" s="671"/>
      <c r="Z828" s="673"/>
      <c r="AA828" s="672"/>
      <c r="AB828" s="695"/>
      <c r="AC828" s="673"/>
      <c r="AD828" s="673"/>
      <c r="AE828" s="673"/>
      <c r="AF828" s="673"/>
      <c r="AG828" s="673"/>
      <c r="AH828" s="673"/>
      <c r="AI828" s="673"/>
      <c r="AJ828" s="673"/>
      <c r="AK828" s="673"/>
      <c r="AL828" s="673"/>
      <c r="AM828" s="673"/>
      <c r="AN828" s="673"/>
      <c r="AO828" s="673"/>
      <c r="AP828" s="673"/>
      <c r="AQ828" s="673"/>
      <c r="AR828" s="673"/>
      <c r="AS828" s="673"/>
      <c r="AT828" s="696"/>
    </row>
    <row r="829" ht="15.75" customHeight="1">
      <c r="A829" s="653"/>
      <c r="B829" s="654"/>
      <c r="C829" s="691"/>
      <c r="D829" s="656"/>
      <c r="E829" s="657"/>
      <c r="F829" s="658"/>
      <c r="G829" s="659"/>
      <c r="H829" s="660"/>
      <c r="I829" s="659"/>
      <c r="J829" s="661"/>
      <c r="K829" s="692"/>
      <c r="L829" s="645"/>
      <c r="M829" s="663"/>
      <c r="N829" s="665"/>
      <c r="O829" s="665"/>
      <c r="P829" s="666"/>
      <c r="Q829" s="667"/>
      <c r="R829" s="668"/>
      <c r="S829" s="693"/>
      <c r="T829" s="694"/>
      <c r="U829" s="694"/>
      <c r="V829" s="693"/>
      <c r="W829" s="693"/>
      <c r="X829" s="693"/>
      <c r="Y829" s="671"/>
      <c r="Z829" s="673"/>
      <c r="AA829" s="672"/>
      <c r="AB829" s="695"/>
      <c r="AC829" s="673"/>
      <c r="AD829" s="673"/>
      <c r="AE829" s="673"/>
      <c r="AF829" s="673"/>
      <c r="AG829" s="673"/>
      <c r="AH829" s="673"/>
      <c r="AI829" s="673"/>
      <c r="AJ829" s="673"/>
      <c r="AK829" s="673"/>
      <c r="AL829" s="673"/>
      <c r="AM829" s="673"/>
      <c r="AN829" s="673"/>
      <c r="AO829" s="673"/>
      <c r="AP829" s="673"/>
      <c r="AQ829" s="673"/>
      <c r="AR829" s="673"/>
      <c r="AS829" s="673"/>
      <c r="AT829" s="696"/>
    </row>
    <row r="830" ht="15.75" customHeight="1">
      <c r="A830" s="653"/>
      <c r="B830" s="654"/>
      <c r="C830" s="691"/>
      <c r="D830" s="656"/>
      <c r="E830" s="657"/>
      <c r="F830" s="658"/>
      <c r="G830" s="659"/>
      <c r="H830" s="660"/>
      <c r="I830" s="659"/>
      <c r="J830" s="661"/>
      <c r="K830" s="692"/>
      <c r="L830" s="645"/>
      <c r="M830" s="663"/>
      <c r="N830" s="665"/>
      <c r="O830" s="665"/>
      <c r="P830" s="666"/>
      <c r="Q830" s="667"/>
      <c r="R830" s="668"/>
      <c r="S830" s="693"/>
      <c r="T830" s="694"/>
      <c r="U830" s="694"/>
      <c r="V830" s="693"/>
      <c r="W830" s="693"/>
      <c r="X830" s="693"/>
      <c r="Y830" s="671"/>
      <c r="Z830" s="673"/>
      <c r="AA830" s="672"/>
      <c r="AB830" s="695"/>
      <c r="AC830" s="673"/>
      <c r="AD830" s="673"/>
      <c r="AE830" s="673"/>
      <c r="AF830" s="673"/>
      <c r="AG830" s="673"/>
      <c r="AH830" s="673"/>
      <c r="AI830" s="673"/>
      <c r="AJ830" s="673"/>
      <c r="AK830" s="673"/>
      <c r="AL830" s="673"/>
      <c r="AM830" s="673"/>
      <c r="AN830" s="673"/>
      <c r="AO830" s="673"/>
      <c r="AP830" s="673"/>
      <c r="AQ830" s="673"/>
      <c r="AR830" s="673"/>
      <c r="AS830" s="673"/>
      <c r="AT830" s="696"/>
    </row>
    <row r="831" ht="15.75" customHeight="1">
      <c r="A831" s="653"/>
      <c r="B831" s="654"/>
      <c r="C831" s="691"/>
      <c r="D831" s="656"/>
      <c r="E831" s="657"/>
      <c r="F831" s="658"/>
      <c r="G831" s="659"/>
      <c r="H831" s="660"/>
      <c r="I831" s="659"/>
      <c r="J831" s="661"/>
      <c r="K831" s="692"/>
      <c r="L831" s="645"/>
      <c r="M831" s="663"/>
      <c r="N831" s="665"/>
      <c r="O831" s="665"/>
      <c r="P831" s="666"/>
      <c r="Q831" s="667"/>
      <c r="R831" s="668"/>
      <c r="S831" s="693"/>
      <c r="T831" s="694"/>
      <c r="U831" s="694"/>
      <c r="V831" s="693"/>
      <c r="W831" s="693"/>
      <c r="X831" s="693"/>
      <c r="Y831" s="671"/>
      <c r="Z831" s="673"/>
      <c r="AA831" s="672"/>
      <c r="AB831" s="695"/>
      <c r="AC831" s="673"/>
      <c r="AD831" s="673"/>
      <c r="AE831" s="673"/>
      <c r="AF831" s="673"/>
      <c r="AG831" s="673"/>
      <c r="AH831" s="673"/>
      <c r="AI831" s="673"/>
      <c r="AJ831" s="673"/>
      <c r="AK831" s="673"/>
      <c r="AL831" s="673"/>
      <c r="AM831" s="673"/>
      <c r="AN831" s="673"/>
      <c r="AO831" s="673"/>
      <c r="AP831" s="673"/>
      <c r="AQ831" s="673"/>
      <c r="AR831" s="673"/>
      <c r="AS831" s="673"/>
      <c r="AT831" s="696"/>
    </row>
    <row r="832" ht="15.75" customHeight="1">
      <c r="A832" s="653"/>
      <c r="B832" s="654"/>
      <c r="C832" s="691"/>
      <c r="D832" s="656"/>
      <c r="E832" s="657"/>
      <c r="F832" s="658"/>
      <c r="G832" s="659"/>
      <c r="H832" s="660"/>
      <c r="I832" s="659"/>
      <c r="J832" s="661"/>
      <c r="K832" s="692"/>
      <c r="L832" s="645"/>
      <c r="M832" s="663"/>
      <c r="N832" s="665"/>
      <c r="O832" s="665"/>
      <c r="P832" s="666"/>
      <c r="Q832" s="667"/>
      <c r="R832" s="668"/>
      <c r="S832" s="693"/>
      <c r="T832" s="694"/>
      <c r="U832" s="694"/>
      <c r="V832" s="693"/>
      <c r="W832" s="693"/>
      <c r="X832" s="693"/>
      <c r="Y832" s="671"/>
      <c r="Z832" s="673"/>
      <c r="AA832" s="672"/>
      <c r="AB832" s="695"/>
      <c r="AC832" s="673"/>
      <c r="AD832" s="673"/>
      <c r="AE832" s="673"/>
      <c r="AF832" s="673"/>
      <c r="AG832" s="673"/>
      <c r="AH832" s="673"/>
      <c r="AI832" s="673"/>
      <c r="AJ832" s="673"/>
      <c r="AK832" s="673"/>
      <c r="AL832" s="673"/>
      <c r="AM832" s="673"/>
      <c r="AN832" s="673"/>
      <c r="AO832" s="673"/>
      <c r="AP832" s="673"/>
      <c r="AQ832" s="673"/>
      <c r="AR832" s="673"/>
      <c r="AS832" s="673"/>
      <c r="AT832" s="696"/>
    </row>
    <row r="833" ht="15.75" customHeight="1">
      <c r="A833" s="653"/>
      <c r="B833" s="654"/>
      <c r="C833" s="691"/>
      <c r="D833" s="656"/>
      <c r="E833" s="657"/>
      <c r="F833" s="658"/>
      <c r="G833" s="659"/>
      <c r="H833" s="660"/>
      <c r="I833" s="659"/>
      <c r="J833" s="661"/>
      <c r="K833" s="692"/>
      <c r="L833" s="645"/>
      <c r="M833" s="663"/>
      <c r="N833" s="665"/>
      <c r="O833" s="665"/>
      <c r="P833" s="666"/>
      <c r="Q833" s="667"/>
      <c r="R833" s="668"/>
      <c r="S833" s="693"/>
      <c r="T833" s="694"/>
      <c r="U833" s="694"/>
      <c r="V833" s="693"/>
      <c r="W833" s="693"/>
      <c r="X833" s="693"/>
      <c r="Y833" s="671"/>
      <c r="Z833" s="673"/>
      <c r="AA833" s="672"/>
      <c r="AB833" s="695"/>
      <c r="AC833" s="673"/>
      <c r="AD833" s="673"/>
      <c r="AE833" s="673"/>
      <c r="AF833" s="673"/>
      <c r="AG833" s="673"/>
      <c r="AH833" s="673"/>
      <c r="AI833" s="673"/>
      <c r="AJ833" s="673"/>
      <c r="AK833" s="673"/>
      <c r="AL833" s="673"/>
      <c r="AM833" s="673"/>
      <c r="AN833" s="673"/>
      <c r="AO833" s="673"/>
      <c r="AP833" s="673"/>
      <c r="AQ833" s="673"/>
      <c r="AR833" s="673"/>
      <c r="AS833" s="673"/>
      <c r="AT833" s="696"/>
    </row>
    <row r="834" ht="15.75" customHeight="1">
      <c r="A834" s="653"/>
      <c r="B834" s="654"/>
      <c r="C834" s="691"/>
      <c r="D834" s="656"/>
      <c r="E834" s="657"/>
      <c r="F834" s="658"/>
      <c r="G834" s="659"/>
      <c r="H834" s="660"/>
      <c r="I834" s="659"/>
      <c r="J834" s="661"/>
      <c r="K834" s="692"/>
      <c r="L834" s="645"/>
      <c r="M834" s="663"/>
      <c r="N834" s="665"/>
      <c r="O834" s="665"/>
      <c r="P834" s="666"/>
      <c r="Q834" s="667"/>
      <c r="R834" s="668"/>
      <c r="S834" s="693"/>
      <c r="T834" s="694"/>
      <c r="U834" s="694"/>
      <c r="V834" s="693"/>
      <c r="W834" s="693"/>
      <c r="X834" s="693"/>
      <c r="Y834" s="671"/>
      <c r="Z834" s="673"/>
      <c r="AA834" s="672"/>
      <c r="AB834" s="695"/>
      <c r="AC834" s="673"/>
      <c r="AD834" s="673"/>
      <c r="AE834" s="673"/>
      <c r="AF834" s="673"/>
      <c r="AG834" s="673"/>
      <c r="AH834" s="673"/>
      <c r="AI834" s="673"/>
      <c r="AJ834" s="673"/>
      <c r="AK834" s="673"/>
      <c r="AL834" s="673"/>
      <c r="AM834" s="673"/>
      <c r="AN834" s="673"/>
      <c r="AO834" s="673"/>
      <c r="AP834" s="673"/>
      <c r="AQ834" s="673"/>
      <c r="AR834" s="673"/>
      <c r="AS834" s="673"/>
      <c r="AT834" s="696"/>
    </row>
    <row r="835" ht="15.75" customHeight="1">
      <c r="A835" s="653"/>
      <c r="B835" s="654"/>
      <c r="C835" s="691"/>
      <c r="D835" s="656"/>
      <c r="E835" s="657"/>
      <c r="F835" s="658"/>
      <c r="G835" s="659"/>
      <c r="H835" s="660"/>
      <c r="I835" s="659"/>
      <c r="J835" s="661"/>
      <c r="K835" s="692"/>
      <c r="L835" s="645"/>
      <c r="M835" s="663"/>
      <c r="N835" s="665"/>
      <c r="O835" s="665"/>
      <c r="P835" s="666"/>
      <c r="Q835" s="667"/>
      <c r="R835" s="668"/>
      <c r="S835" s="693"/>
      <c r="T835" s="694"/>
      <c r="U835" s="694"/>
      <c r="V835" s="693"/>
      <c r="W835" s="693"/>
      <c r="X835" s="693"/>
      <c r="Y835" s="671"/>
      <c r="Z835" s="673"/>
      <c r="AA835" s="672"/>
      <c r="AB835" s="695"/>
      <c r="AC835" s="673"/>
      <c r="AD835" s="673"/>
      <c r="AE835" s="673"/>
      <c r="AF835" s="673"/>
      <c r="AG835" s="673"/>
      <c r="AH835" s="673"/>
      <c r="AI835" s="673"/>
      <c r="AJ835" s="673"/>
      <c r="AK835" s="673"/>
      <c r="AL835" s="673"/>
      <c r="AM835" s="673"/>
      <c r="AN835" s="673"/>
      <c r="AO835" s="673"/>
      <c r="AP835" s="673"/>
      <c r="AQ835" s="673"/>
      <c r="AR835" s="673"/>
      <c r="AS835" s="673"/>
      <c r="AT835" s="696"/>
    </row>
    <row r="836" ht="15.75" customHeight="1">
      <c r="A836" s="653"/>
      <c r="B836" s="654"/>
      <c r="C836" s="691"/>
      <c r="D836" s="656"/>
      <c r="E836" s="657"/>
      <c r="F836" s="658"/>
      <c r="G836" s="659"/>
      <c r="H836" s="660"/>
      <c r="I836" s="659"/>
      <c r="J836" s="661"/>
      <c r="K836" s="692"/>
      <c r="L836" s="645"/>
      <c r="M836" s="663"/>
      <c r="N836" s="665"/>
      <c r="O836" s="665"/>
      <c r="P836" s="666"/>
      <c r="Q836" s="667"/>
      <c r="R836" s="668"/>
      <c r="S836" s="693"/>
      <c r="T836" s="694"/>
      <c r="U836" s="694"/>
      <c r="V836" s="693"/>
      <c r="W836" s="693"/>
      <c r="X836" s="693"/>
      <c r="Y836" s="671"/>
      <c r="Z836" s="673"/>
      <c r="AA836" s="672"/>
      <c r="AB836" s="695"/>
      <c r="AC836" s="673"/>
      <c r="AD836" s="673"/>
      <c r="AE836" s="673"/>
      <c r="AF836" s="673"/>
      <c r="AG836" s="673"/>
      <c r="AH836" s="673"/>
      <c r="AI836" s="673"/>
      <c r="AJ836" s="673"/>
      <c r="AK836" s="673"/>
      <c r="AL836" s="673"/>
      <c r="AM836" s="673"/>
      <c r="AN836" s="673"/>
      <c r="AO836" s="673"/>
      <c r="AP836" s="673"/>
      <c r="AQ836" s="673"/>
      <c r="AR836" s="673"/>
      <c r="AS836" s="673"/>
      <c r="AT836" s="696"/>
    </row>
    <row r="837" ht="15.75" customHeight="1">
      <c r="A837" s="653"/>
      <c r="B837" s="654"/>
      <c r="C837" s="691"/>
      <c r="D837" s="656"/>
      <c r="E837" s="657"/>
      <c r="F837" s="658"/>
      <c r="G837" s="659"/>
      <c r="H837" s="660"/>
      <c r="I837" s="659"/>
      <c r="J837" s="661"/>
      <c r="K837" s="692"/>
      <c r="L837" s="645"/>
      <c r="M837" s="663"/>
      <c r="N837" s="665"/>
      <c r="O837" s="665"/>
      <c r="P837" s="666"/>
      <c r="Q837" s="667"/>
      <c r="R837" s="668"/>
      <c r="S837" s="693"/>
      <c r="T837" s="694"/>
      <c r="U837" s="694"/>
      <c r="V837" s="693"/>
      <c r="W837" s="693"/>
      <c r="X837" s="693"/>
      <c r="Y837" s="671"/>
      <c r="Z837" s="673"/>
      <c r="AA837" s="672"/>
      <c r="AB837" s="695"/>
      <c r="AC837" s="673"/>
      <c r="AD837" s="673"/>
      <c r="AE837" s="673"/>
      <c r="AF837" s="673"/>
      <c r="AG837" s="673"/>
      <c r="AH837" s="673"/>
      <c r="AI837" s="673"/>
      <c r="AJ837" s="673"/>
      <c r="AK837" s="673"/>
      <c r="AL837" s="673"/>
      <c r="AM837" s="673"/>
      <c r="AN837" s="673"/>
      <c r="AO837" s="673"/>
      <c r="AP837" s="673"/>
      <c r="AQ837" s="673"/>
      <c r="AR837" s="673"/>
      <c r="AS837" s="673"/>
      <c r="AT837" s="696"/>
    </row>
    <row r="838" ht="15.75" customHeight="1">
      <c r="A838" s="653"/>
      <c r="B838" s="654"/>
      <c r="C838" s="691"/>
      <c r="D838" s="656"/>
      <c r="E838" s="657"/>
      <c r="F838" s="658"/>
      <c r="G838" s="659"/>
      <c r="H838" s="660"/>
      <c r="I838" s="659"/>
      <c r="J838" s="661"/>
      <c r="K838" s="692"/>
      <c r="L838" s="645"/>
      <c r="M838" s="663"/>
      <c r="N838" s="665"/>
      <c r="O838" s="665"/>
      <c r="P838" s="666"/>
      <c r="Q838" s="667"/>
      <c r="R838" s="668"/>
      <c r="S838" s="693"/>
      <c r="T838" s="694"/>
      <c r="U838" s="694"/>
      <c r="V838" s="693"/>
      <c r="W838" s="693"/>
      <c r="X838" s="693"/>
      <c r="Y838" s="671"/>
      <c r="Z838" s="673"/>
      <c r="AA838" s="672"/>
      <c r="AB838" s="695"/>
      <c r="AC838" s="673"/>
      <c r="AD838" s="673"/>
      <c r="AE838" s="673"/>
      <c r="AF838" s="673"/>
      <c r="AG838" s="673"/>
      <c r="AH838" s="673"/>
      <c r="AI838" s="673"/>
      <c r="AJ838" s="673"/>
      <c r="AK838" s="673"/>
      <c r="AL838" s="673"/>
      <c r="AM838" s="673"/>
      <c r="AN838" s="673"/>
      <c r="AO838" s="673"/>
      <c r="AP838" s="673"/>
      <c r="AQ838" s="673"/>
      <c r="AR838" s="673"/>
      <c r="AS838" s="673"/>
      <c r="AT838" s="696"/>
    </row>
    <row r="839" ht="15.75" customHeight="1">
      <c r="A839" s="653"/>
      <c r="B839" s="654"/>
      <c r="C839" s="691"/>
      <c r="D839" s="656"/>
      <c r="E839" s="657"/>
      <c r="F839" s="658"/>
      <c r="G839" s="659"/>
      <c r="H839" s="660"/>
      <c r="I839" s="659"/>
      <c r="J839" s="661"/>
      <c r="K839" s="692"/>
      <c r="L839" s="645"/>
      <c r="M839" s="663"/>
      <c r="N839" s="665"/>
      <c r="O839" s="665"/>
      <c r="P839" s="666"/>
      <c r="Q839" s="667"/>
      <c r="R839" s="668"/>
      <c r="S839" s="693"/>
      <c r="T839" s="694"/>
      <c r="U839" s="694"/>
      <c r="V839" s="693"/>
      <c r="W839" s="693"/>
      <c r="X839" s="693"/>
      <c r="Y839" s="671"/>
      <c r="Z839" s="673"/>
      <c r="AA839" s="672"/>
      <c r="AB839" s="695"/>
      <c r="AC839" s="673"/>
      <c r="AD839" s="673"/>
      <c r="AE839" s="673"/>
      <c r="AF839" s="673"/>
      <c r="AG839" s="673"/>
      <c r="AH839" s="673"/>
      <c r="AI839" s="673"/>
      <c r="AJ839" s="673"/>
      <c r="AK839" s="673"/>
      <c r="AL839" s="673"/>
      <c r="AM839" s="673"/>
      <c r="AN839" s="673"/>
      <c r="AO839" s="673"/>
      <c r="AP839" s="673"/>
      <c r="AQ839" s="673"/>
      <c r="AR839" s="673"/>
      <c r="AS839" s="673"/>
      <c r="AT839" s="696"/>
    </row>
    <row r="840" ht="15.75" customHeight="1">
      <c r="A840" s="653"/>
      <c r="B840" s="654"/>
      <c r="C840" s="691"/>
      <c r="D840" s="656"/>
      <c r="E840" s="657"/>
      <c r="F840" s="658"/>
      <c r="G840" s="659"/>
      <c r="H840" s="660"/>
      <c r="I840" s="659"/>
      <c r="J840" s="661"/>
      <c r="K840" s="692"/>
      <c r="L840" s="645"/>
      <c r="M840" s="663"/>
      <c r="N840" s="665"/>
      <c r="O840" s="665"/>
      <c r="P840" s="666"/>
      <c r="Q840" s="667"/>
      <c r="R840" s="668"/>
      <c r="S840" s="693"/>
      <c r="T840" s="694"/>
      <c r="U840" s="694"/>
      <c r="V840" s="693"/>
      <c r="W840" s="693"/>
      <c r="X840" s="693"/>
      <c r="Y840" s="671"/>
      <c r="Z840" s="673"/>
      <c r="AA840" s="672"/>
      <c r="AB840" s="695"/>
      <c r="AC840" s="673"/>
      <c r="AD840" s="673"/>
      <c r="AE840" s="673"/>
      <c r="AF840" s="673"/>
      <c r="AG840" s="673"/>
      <c r="AH840" s="673"/>
      <c r="AI840" s="673"/>
      <c r="AJ840" s="673"/>
      <c r="AK840" s="673"/>
      <c r="AL840" s="673"/>
      <c r="AM840" s="673"/>
      <c r="AN840" s="673"/>
      <c r="AO840" s="673"/>
      <c r="AP840" s="673"/>
      <c r="AQ840" s="673"/>
      <c r="AR840" s="673"/>
      <c r="AS840" s="673"/>
      <c r="AT840" s="696"/>
    </row>
    <row r="841" ht="15.75" customHeight="1">
      <c r="A841" s="653"/>
      <c r="B841" s="654"/>
      <c r="C841" s="691"/>
      <c r="D841" s="656"/>
      <c r="E841" s="657"/>
      <c r="F841" s="658"/>
      <c r="G841" s="659"/>
      <c r="H841" s="660"/>
      <c r="I841" s="659"/>
      <c r="J841" s="661"/>
      <c r="K841" s="692"/>
      <c r="L841" s="645"/>
      <c r="M841" s="663"/>
      <c r="N841" s="665"/>
      <c r="O841" s="665"/>
      <c r="P841" s="666"/>
      <c r="Q841" s="667"/>
      <c r="R841" s="668"/>
      <c r="S841" s="693"/>
      <c r="T841" s="694"/>
      <c r="U841" s="694"/>
      <c r="V841" s="693"/>
      <c r="W841" s="693"/>
      <c r="X841" s="693"/>
      <c r="Y841" s="671"/>
      <c r="Z841" s="673"/>
      <c r="AA841" s="672"/>
      <c r="AB841" s="695"/>
      <c r="AC841" s="673"/>
      <c r="AD841" s="673"/>
      <c r="AE841" s="673"/>
      <c r="AF841" s="673"/>
      <c r="AG841" s="673"/>
      <c r="AH841" s="673"/>
      <c r="AI841" s="673"/>
      <c r="AJ841" s="673"/>
      <c r="AK841" s="673"/>
      <c r="AL841" s="673"/>
      <c r="AM841" s="673"/>
      <c r="AN841" s="673"/>
      <c r="AO841" s="673"/>
      <c r="AP841" s="673"/>
      <c r="AQ841" s="673"/>
      <c r="AR841" s="673"/>
      <c r="AS841" s="673"/>
      <c r="AT841" s="696"/>
    </row>
    <row r="842" ht="15.75" customHeight="1">
      <c r="A842" s="653"/>
      <c r="B842" s="654"/>
      <c r="C842" s="691"/>
      <c r="D842" s="656"/>
      <c r="E842" s="657"/>
      <c r="F842" s="658"/>
      <c r="G842" s="659"/>
      <c r="H842" s="660"/>
      <c r="I842" s="659"/>
      <c r="J842" s="661"/>
      <c r="K842" s="692"/>
      <c r="L842" s="645"/>
      <c r="M842" s="663"/>
      <c r="N842" s="665"/>
      <c r="O842" s="665"/>
      <c r="P842" s="666"/>
      <c r="Q842" s="667"/>
      <c r="R842" s="668"/>
      <c r="S842" s="693"/>
      <c r="T842" s="694"/>
      <c r="U842" s="694"/>
      <c r="V842" s="693"/>
      <c r="W842" s="693"/>
      <c r="X842" s="693"/>
      <c r="Y842" s="671"/>
      <c r="Z842" s="673"/>
      <c r="AA842" s="672"/>
      <c r="AB842" s="695"/>
      <c r="AC842" s="673"/>
      <c r="AD842" s="673"/>
      <c r="AE842" s="673"/>
      <c r="AF842" s="673"/>
      <c r="AG842" s="673"/>
      <c r="AH842" s="673"/>
      <c r="AI842" s="673"/>
      <c r="AJ842" s="673"/>
      <c r="AK842" s="673"/>
      <c r="AL842" s="673"/>
      <c r="AM842" s="673"/>
      <c r="AN842" s="673"/>
      <c r="AO842" s="673"/>
      <c r="AP842" s="673"/>
      <c r="AQ842" s="673"/>
      <c r="AR842" s="673"/>
      <c r="AS842" s="673"/>
      <c r="AT842" s="696"/>
    </row>
    <row r="843" ht="15.75" customHeight="1">
      <c r="A843" s="653"/>
      <c r="B843" s="654"/>
      <c r="C843" s="691"/>
      <c r="D843" s="656"/>
      <c r="E843" s="657"/>
      <c r="F843" s="658"/>
      <c r="G843" s="659"/>
      <c r="H843" s="660"/>
      <c r="I843" s="659"/>
      <c r="J843" s="661"/>
      <c r="K843" s="692"/>
      <c r="L843" s="645"/>
      <c r="M843" s="663"/>
      <c r="N843" s="665"/>
      <c r="O843" s="665"/>
      <c r="P843" s="666"/>
      <c r="Q843" s="667"/>
      <c r="R843" s="668"/>
      <c r="S843" s="693"/>
      <c r="T843" s="694"/>
      <c r="U843" s="694"/>
      <c r="V843" s="693"/>
      <c r="W843" s="693"/>
      <c r="X843" s="693"/>
      <c r="Y843" s="671"/>
      <c r="Z843" s="673"/>
      <c r="AA843" s="672"/>
      <c r="AB843" s="695"/>
      <c r="AC843" s="673"/>
      <c r="AD843" s="673"/>
      <c r="AE843" s="673"/>
      <c r="AF843" s="673"/>
      <c r="AG843" s="673"/>
      <c r="AH843" s="673"/>
      <c r="AI843" s="673"/>
      <c r="AJ843" s="673"/>
      <c r="AK843" s="673"/>
      <c r="AL843" s="673"/>
      <c r="AM843" s="673"/>
      <c r="AN843" s="673"/>
      <c r="AO843" s="673"/>
      <c r="AP843" s="673"/>
      <c r="AQ843" s="673"/>
      <c r="AR843" s="673"/>
      <c r="AS843" s="673"/>
      <c r="AT843" s="696"/>
    </row>
    <row r="844" ht="15.75" customHeight="1">
      <c r="A844" s="653"/>
      <c r="B844" s="654"/>
      <c r="C844" s="691"/>
      <c r="D844" s="656"/>
      <c r="E844" s="657"/>
      <c r="F844" s="658"/>
      <c r="G844" s="659"/>
      <c r="H844" s="660"/>
      <c r="I844" s="659"/>
      <c r="J844" s="661"/>
      <c r="K844" s="692"/>
      <c r="L844" s="645"/>
      <c r="M844" s="663"/>
      <c r="N844" s="665"/>
      <c r="O844" s="665"/>
      <c r="P844" s="666"/>
      <c r="Q844" s="667"/>
      <c r="R844" s="668"/>
      <c r="S844" s="693"/>
      <c r="T844" s="694"/>
      <c r="U844" s="694"/>
      <c r="V844" s="693"/>
      <c r="W844" s="693"/>
      <c r="X844" s="693"/>
      <c r="Y844" s="671"/>
      <c r="Z844" s="673"/>
      <c r="AA844" s="672"/>
      <c r="AB844" s="695"/>
      <c r="AC844" s="673"/>
      <c r="AD844" s="673"/>
      <c r="AE844" s="673"/>
      <c r="AF844" s="673"/>
      <c r="AG844" s="673"/>
      <c r="AH844" s="673"/>
      <c r="AI844" s="673"/>
      <c r="AJ844" s="673"/>
      <c r="AK844" s="673"/>
      <c r="AL844" s="673"/>
      <c r="AM844" s="673"/>
      <c r="AN844" s="673"/>
      <c r="AO844" s="673"/>
      <c r="AP844" s="673"/>
      <c r="AQ844" s="673"/>
      <c r="AR844" s="673"/>
      <c r="AS844" s="673"/>
      <c r="AT844" s="696"/>
    </row>
    <row r="845" ht="15.75" customHeight="1">
      <c r="A845" s="653"/>
      <c r="B845" s="654"/>
      <c r="C845" s="691"/>
      <c r="D845" s="656"/>
      <c r="E845" s="657"/>
      <c r="F845" s="658"/>
      <c r="G845" s="659"/>
      <c r="H845" s="660"/>
      <c r="I845" s="659"/>
      <c r="J845" s="661"/>
      <c r="K845" s="692"/>
      <c r="L845" s="645"/>
      <c r="M845" s="663"/>
      <c r="N845" s="665"/>
      <c r="O845" s="665"/>
      <c r="P845" s="666"/>
      <c r="Q845" s="667"/>
      <c r="R845" s="668"/>
      <c r="S845" s="693"/>
      <c r="T845" s="694"/>
      <c r="U845" s="694"/>
      <c r="V845" s="693"/>
      <c r="W845" s="693"/>
      <c r="X845" s="693"/>
      <c r="Y845" s="671"/>
      <c r="Z845" s="673"/>
      <c r="AA845" s="672"/>
      <c r="AB845" s="695"/>
      <c r="AC845" s="673"/>
      <c r="AD845" s="673"/>
      <c r="AE845" s="673"/>
      <c r="AF845" s="673"/>
      <c r="AG845" s="673"/>
      <c r="AH845" s="673"/>
      <c r="AI845" s="673"/>
      <c r="AJ845" s="673"/>
      <c r="AK845" s="673"/>
      <c r="AL845" s="673"/>
      <c r="AM845" s="673"/>
      <c r="AN845" s="673"/>
      <c r="AO845" s="673"/>
      <c r="AP845" s="673"/>
      <c r="AQ845" s="673"/>
      <c r="AR845" s="673"/>
      <c r="AS845" s="673"/>
      <c r="AT845" s="696"/>
    </row>
    <row r="846" ht="15.75" customHeight="1">
      <c r="A846" s="653"/>
      <c r="B846" s="654"/>
      <c r="C846" s="691"/>
      <c r="D846" s="656"/>
      <c r="E846" s="657"/>
      <c r="F846" s="658"/>
      <c r="G846" s="659"/>
      <c r="H846" s="660"/>
      <c r="I846" s="659"/>
      <c r="J846" s="661"/>
      <c r="K846" s="692"/>
      <c r="L846" s="645"/>
      <c r="M846" s="663"/>
      <c r="N846" s="665"/>
      <c r="O846" s="665"/>
      <c r="P846" s="666"/>
      <c r="Q846" s="667"/>
      <c r="R846" s="668"/>
      <c r="S846" s="693"/>
      <c r="T846" s="694"/>
      <c r="U846" s="694"/>
      <c r="V846" s="693"/>
      <c r="W846" s="693"/>
      <c r="X846" s="693"/>
      <c r="Y846" s="671"/>
      <c r="Z846" s="673"/>
      <c r="AA846" s="672"/>
      <c r="AB846" s="695"/>
      <c r="AC846" s="673"/>
      <c r="AD846" s="673"/>
      <c r="AE846" s="673"/>
      <c r="AF846" s="673"/>
      <c r="AG846" s="673"/>
      <c r="AH846" s="673"/>
      <c r="AI846" s="673"/>
      <c r="AJ846" s="673"/>
      <c r="AK846" s="673"/>
      <c r="AL846" s="673"/>
      <c r="AM846" s="673"/>
      <c r="AN846" s="673"/>
      <c r="AO846" s="673"/>
      <c r="AP846" s="673"/>
      <c r="AQ846" s="673"/>
      <c r="AR846" s="673"/>
      <c r="AS846" s="673"/>
      <c r="AT846" s="696"/>
    </row>
    <row r="847" ht="15.75" customHeight="1">
      <c r="A847" s="653"/>
      <c r="B847" s="654"/>
      <c r="C847" s="691"/>
      <c r="D847" s="656"/>
      <c r="E847" s="657"/>
      <c r="F847" s="658"/>
      <c r="G847" s="659"/>
      <c r="H847" s="660"/>
      <c r="I847" s="659"/>
      <c r="J847" s="661"/>
      <c r="K847" s="692"/>
      <c r="L847" s="645"/>
      <c r="M847" s="663"/>
      <c r="N847" s="665"/>
      <c r="O847" s="665"/>
      <c r="P847" s="666"/>
      <c r="Q847" s="667"/>
      <c r="R847" s="668"/>
      <c r="S847" s="693"/>
      <c r="T847" s="694"/>
      <c r="U847" s="694"/>
      <c r="V847" s="693"/>
      <c r="W847" s="693"/>
      <c r="X847" s="693"/>
      <c r="Y847" s="671"/>
      <c r="Z847" s="673"/>
      <c r="AA847" s="672"/>
      <c r="AB847" s="695"/>
      <c r="AC847" s="673"/>
      <c r="AD847" s="673"/>
      <c r="AE847" s="673"/>
      <c r="AF847" s="673"/>
      <c r="AG847" s="673"/>
      <c r="AH847" s="673"/>
      <c r="AI847" s="673"/>
      <c r="AJ847" s="673"/>
      <c r="AK847" s="673"/>
      <c r="AL847" s="673"/>
      <c r="AM847" s="673"/>
      <c r="AN847" s="673"/>
      <c r="AO847" s="673"/>
      <c r="AP847" s="673"/>
      <c r="AQ847" s="673"/>
      <c r="AR847" s="673"/>
      <c r="AS847" s="673"/>
      <c r="AT847" s="696"/>
    </row>
    <row r="848" ht="15.75" customHeight="1">
      <c r="A848" s="653"/>
      <c r="B848" s="654"/>
      <c r="C848" s="691"/>
      <c r="D848" s="656"/>
      <c r="E848" s="657"/>
      <c r="F848" s="658"/>
      <c r="G848" s="659"/>
      <c r="H848" s="660"/>
      <c r="I848" s="659"/>
      <c r="J848" s="661"/>
      <c r="K848" s="692"/>
      <c r="L848" s="645"/>
      <c r="M848" s="663"/>
      <c r="N848" s="665"/>
      <c r="O848" s="665"/>
      <c r="P848" s="666"/>
      <c r="Q848" s="667"/>
      <c r="R848" s="668"/>
      <c r="S848" s="693"/>
      <c r="T848" s="694"/>
      <c r="U848" s="694"/>
      <c r="V848" s="693"/>
      <c r="W848" s="693"/>
      <c r="X848" s="693"/>
      <c r="Y848" s="671"/>
      <c r="Z848" s="673"/>
      <c r="AA848" s="672"/>
      <c r="AB848" s="695"/>
      <c r="AC848" s="673"/>
      <c r="AD848" s="673"/>
      <c r="AE848" s="673"/>
      <c r="AF848" s="673"/>
      <c r="AG848" s="673"/>
      <c r="AH848" s="673"/>
      <c r="AI848" s="673"/>
      <c r="AJ848" s="673"/>
      <c r="AK848" s="673"/>
      <c r="AL848" s="673"/>
      <c r="AM848" s="673"/>
      <c r="AN848" s="673"/>
      <c r="AO848" s="673"/>
      <c r="AP848" s="673"/>
      <c r="AQ848" s="673"/>
      <c r="AR848" s="673"/>
      <c r="AS848" s="673"/>
      <c r="AT848" s="696"/>
    </row>
    <row r="849" ht="15.75" customHeight="1">
      <c r="A849" s="653"/>
      <c r="B849" s="654"/>
      <c r="C849" s="691"/>
      <c r="D849" s="656"/>
      <c r="E849" s="657"/>
      <c r="F849" s="658"/>
      <c r="G849" s="659"/>
      <c r="H849" s="660"/>
      <c r="I849" s="659"/>
      <c r="J849" s="661"/>
      <c r="K849" s="692"/>
      <c r="L849" s="645"/>
      <c r="M849" s="663"/>
      <c r="N849" s="665"/>
      <c r="O849" s="665"/>
      <c r="P849" s="666"/>
      <c r="Q849" s="667"/>
      <c r="R849" s="668"/>
      <c r="S849" s="693"/>
      <c r="T849" s="694"/>
      <c r="U849" s="694"/>
      <c r="V849" s="693"/>
      <c r="W849" s="693"/>
      <c r="X849" s="693"/>
      <c r="Y849" s="671"/>
      <c r="Z849" s="673"/>
      <c r="AA849" s="672"/>
      <c r="AB849" s="695"/>
      <c r="AC849" s="673"/>
      <c r="AD849" s="673"/>
      <c r="AE849" s="673"/>
      <c r="AF849" s="673"/>
      <c r="AG849" s="673"/>
      <c r="AH849" s="673"/>
      <c r="AI849" s="673"/>
      <c r="AJ849" s="673"/>
      <c r="AK849" s="673"/>
      <c r="AL849" s="673"/>
      <c r="AM849" s="673"/>
      <c r="AN849" s="673"/>
      <c r="AO849" s="673"/>
      <c r="AP849" s="673"/>
      <c r="AQ849" s="673"/>
      <c r="AR849" s="673"/>
      <c r="AS849" s="673"/>
      <c r="AT849" s="696"/>
    </row>
    <row r="850" ht="15.75" customHeight="1">
      <c r="A850" s="653"/>
      <c r="B850" s="654"/>
      <c r="C850" s="691"/>
      <c r="D850" s="656"/>
      <c r="E850" s="657"/>
      <c r="F850" s="658"/>
      <c r="G850" s="659"/>
      <c r="H850" s="660"/>
      <c r="I850" s="659"/>
      <c r="J850" s="661"/>
      <c r="K850" s="692"/>
      <c r="L850" s="645"/>
      <c r="M850" s="663"/>
      <c r="N850" s="665"/>
      <c r="O850" s="665"/>
      <c r="P850" s="666"/>
      <c r="Q850" s="667"/>
      <c r="R850" s="668"/>
      <c r="S850" s="693"/>
      <c r="T850" s="694"/>
      <c r="U850" s="694"/>
      <c r="V850" s="693"/>
      <c r="W850" s="693"/>
      <c r="X850" s="693"/>
      <c r="Y850" s="671"/>
      <c r="Z850" s="673"/>
      <c r="AA850" s="672"/>
      <c r="AB850" s="695"/>
      <c r="AC850" s="673"/>
      <c r="AD850" s="673"/>
      <c r="AE850" s="673"/>
      <c r="AF850" s="673"/>
      <c r="AG850" s="673"/>
      <c r="AH850" s="673"/>
      <c r="AI850" s="673"/>
      <c r="AJ850" s="673"/>
      <c r="AK850" s="673"/>
      <c r="AL850" s="673"/>
      <c r="AM850" s="673"/>
      <c r="AN850" s="673"/>
      <c r="AO850" s="673"/>
      <c r="AP850" s="673"/>
      <c r="AQ850" s="673"/>
      <c r="AR850" s="673"/>
      <c r="AS850" s="673"/>
      <c r="AT850" s="696"/>
    </row>
    <row r="851" ht="15.75" customHeight="1">
      <c r="A851" s="653"/>
      <c r="B851" s="654"/>
      <c r="C851" s="691"/>
      <c r="D851" s="656"/>
      <c r="E851" s="657"/>
      <c r="F851" s="658"/>
      <c r="G851" s="659"/>
      <c r="H851" s="660"/>
      <c r="I851" s="659"/>
      <c r="J851" s="661"/>
      <c r="K851" s="692"/>
      <c r="L851" s="645"/>
      <c r="M851" s="663"/>
      <c r="N851" s="665"/>
      <c r="O851" s="665"/>
      <c r="P851" s="666"/>
      <c r="Q851" s="667"/>
      <c r="R851" s="668"/>
      <c r="S851" s="693"/>
      <c r="T851" s="694"/>
      <c r="U851" s="694"/>
      <c r="V851" s="693"/>
      <c r="W851" s="693"/>
      <c r="X851" s="693"/>
      <c r="Y851" s="671"/>
      <c r="Z851" s="673"/>
      <c r="AA851" s="672"/>
      <c r="AB851" s="695"/>
      <c r="AC851" s="673"/>
      <c r="AD851" s="673"/>
      <c r="AE851" s="673"/>
      <c r="AF851" s="673"/>
      <c r="AG851" s="673"/>
      <c r="AH851" s="673"/>
      <c r="AI851" s="673"/>
      <c r="AJ851" s="673"/>
      <c r="AK851" s="673"/>
      <c r="AL851" s="673"/>
      <c r="AM851" s="673"/>
      <c r="AN851" s="673"/>
      <c r="AO851" s="673"/>
      <c r="AP851" s="673"/>
      <c r="AQ851" s="673"/>
      <c r="AR851" s="673"/>
      <c r="AS851" s="673"/>
      <c r="AT851" s="696"/>
    </row>
    <row r="852" ht="15.75" customHeight="1">
      <c r="A852" s="653"/>
      <c r="B852" s="654"/>
      <c r="C852" s="691"/>
      <c r="D852" s="656"/>
      <c r="E852" s="657"/>
      <c r="F852" s="658"/>
      <c r="G852" s="659"/>
      <c r="H852" s="660"/>
      <c r="I852" s="659"/>
      <c r="J852" s="661"/>
      <c r="K852" s="692"/>
      <c r="L852" s="645"/>
      <c r="M852" s="663"/>
      <c r="N852" s="665"/>
      <c r="O852" s="665"/>
      <c r="P852" s="666"/>
      <c r="Q852" s="667"/>
      <c r="R852" s="668"/>
      <c r="S852" s="693"/>
      <c r="T852" s="694"/>
      <c r="U852" s="694"/>
      <c r="V852" s="693"/>
      <c r="W852" s="693"/>
      <c r="X852" s="693"/>
      <c r="Y852" s="671"/>
      <c r="Z852" s="673"/>
      <c r="AA852" s="672"/>
      <c r="AB852" s="695"/>
      <c r="AC852" s="673"/>
      <c r="AD852" s="673"/>
      <c r="AE852" s="673"/>
      <c r="AF852" s="673"/>
      <c r="AG852" s="673"/>
      <c r="AH852" s="673"/>
      <c r="AI852" s="673"/>
      <c r="AJ852" s="673"/>
      <c r="AK852" s="673"/>
      <c r="AL852" s="673"/>
      <c r="AM852" s="673"/>
      <c r="AN852" s="673"/>
      <c r="AO852" s="673"/>
      <c r="AP852" s="673"/>
      <c r="AQ852" s="673"/>
      <c r="AR852" s="673"/>
      <c r="AS852" s="673"/>
      <c r="AT852" s="696"/>
    </row>
    <row r="853" ht="15.75" customHeight="1">
      <c r="A853" s="653"/>
      <c r="B853" s="654"/>
      <c r="C853" s="691"/>
      <c r="D853" s="656"/>
      <c r="E853" s="657"/>
      <c r="F853" s="658"/>
      <c r="G853" s="659"/>
      <c r="H853" s="660"/>
      <c r="I853" s="659"/>
      <c r="J853" s="661"/>
      <c r="K853" s="692"/>
      <c r="L853" s="645"/>
      <c r="M853" s="663"/>
      <c r="N853" s="665"/>
      <c r="O853" s="665"/>
      <c r="P853" s="666"/>
      <c r="Q853" s="667"/>
      <c r="R853" s="668"/>
      <c r="S853" s="693"/>
      <c r="T853" s="694"/>
      <c r="U853" s="694"/>
      <c r="V853" s="693"/>
      <c r="W853" s="693"/>
      <c r="X853" s="693"/>
      <c r="Y853" s="671"/>
      <c r="Z853" s="673"/>
      <c r="AA853" s="672"/>
      <c r="AB853" s="695"/>
      <c r="AC853" s="673"/>
      <c r="AD853" s="673"/>
      <c r="AE853" s="673"/>
      <c r="AF853" s="673"/>
      <c r="AG853" s="673"/>
      <c r="AH853" s="673"/>
      <c r="AI853" s="673"/>
      <c r="AJ853" s="673"/>
      <c r="AK853" s="673"/>
      <c r="AL853" s="673"/>
      <c r="AM853" s="673"/>
      <c r="AN853" s="673"/>
      <c r="AO853" s="673"/>
      <c r="AP853" s="673"/>
      <c r="AQ853" s="673"/>
      <c r="AR853" s="673"/>
      <c r="AS853" s="673"/>
      <c r="AT853" s="696"/>
    </row>
    <row r="854" ht="15.75" customHeight="1">
      <c r="A854" s="653"/>
      <c r="B854" s="654"/>
      <c r="C854" s="691"/>
      <c r="D854" s="656"/>
      <c r="E854" s="657"/>
      <c r="F854" s="658"/>
      <c r="G854" s="659"/>
      <c r="H854" s="660"/>
      <c r="I854" s="659"/>
      <c r="J854" s="661"/>
      <c r="K854" s="692"/>
      <c r="L854" s="645"/>
      <c r="M854" s="663"/>
      <c r="N854" s="665"/>
      <c r="O854" s="665"/>
      <c r="P854" s="666"/>
      <c r="Q854" s="667"/>
      <c r="R854" s="668"/>
      <c r="S854" s="693"/>
      <c r="T854" s="694"/>
      <c r="U854" s="694"/>
      <c r="V854" s="693"/>
      <c r="W854" s="693"/>
      <c r="X854" s="693"/>
      <c r="Y854" s="671"/>
      <c r="Z854" s="673"/>
      <c r="AA854" s="672"/>
      <c r="AB854" s="695"/>
      <c r="AC854" s="673"/>
      <c r="AD854" s="673"/>
      <c r="AE854" s="673"/>
      <c r="AF854" s="673"/>
      <c r="AG854" s="673"/>
      <c r="AH854" s="673"/>
      <c r="AI854" s="673"/>
      <c r="AJ854" s="673"/>
      <c r="AK854" s="673"/>
      <c r="AL854" s="673"/>
      <c r="AM854" s="673"/>
      <c r="AN854" s="673"/>
      <c r="AO854" s="673"/>
      <c r="AP854" s="673"/>
      <c r="AQ854" s="673"/>
      <c r="AR854" s="673"/>
      <c r="AS854" s="673"/>
      <c r="AT854" s="696"/>
    </row>
    <row r="855" ht="15.75" customHeight="1">
      <c r="A855" s="653"/>
      <c r="B855" s="654"/>
      <c r="C855" s="691"/>
      <c r="D855" s="656"/>
      <c r="E855" s="657"/>
      <c r="F855" s="658"/>
      <c r="G855" s="659"/>
      <c r="H855" s="660"/>
      <c r="I855" s="659"/>
      <c r="J855" s="661"/>
      <c r="K855" s="692"/>
      <c r="L855" s="645"/>
      <c r="M855" s="663"/>
      <c r="N855" s="665"/>
      <c r="O855" s="665"/>
      <c r="P855" s="666"/>
      <c r="Q855" s="667"/>
      <c r="R855" s="668"/>
      <c r="S855" s="693"/>
      <c r="T855" s="694"/>
      <c r="U855" s="694"/>
      <c r="V855" s="693"/>
      <c r="W855" s="693"/>
      <c r="X855" s="693"/>
      <c r="Y855" s="671"/>
      <c r="Z855" s="673"/>
      <c r="AA855" s="672"/>
      <c r="AB855" s="695"/>
      <c r="AC855" s="673"/>
      <c r="AD855" s="673"/>
      <c r="AE855" s="673"/>
      <c r="AF855" s="673"/>
      <c r="AG855" s="673"/>
      <c r="AH855" s="673"/>
      <c r="AI855" s="673"/>
      <c r="AJ855" s="673"/>
      <c r="AK855" s="673"/>
      <c r="AL855" s="673"/>
      <c r="AM855" s="673"/>
      <c r="AN855" s="673"/>
      <c r="AO855" s="673"/>
      <c r="AP855" s="673"/>
      <c r="AQ855" s="673"/>
      <c r="AR855" s="673"/>
      <c r="AS855" s="673"/>
      <c r="AT855" s="696"/>
    </row>
    <row r="856" ht="15.75" customHeight="1">
      <c r="A856" s="653"/>
      <c r="B856" s="654"/>
      <c r="C856" s="691"/>
      <c r="D856" s="656"/>
      <c r="E856" s="657"/>
      <c r="F856" s="658"/>
      <c r="G856" s="659"/>
      <c r="H856" s="660"/>
      <c r="I856" s="659"/>
      <c r="J856" s="661"/>
      <c r="K856" s="692"/>
      <c r="L856" s="645"/>
      <c r="M856" s="663"/>
      <c r="N856" s="665"/>
      <c r="O856" s="665"/>
      <c r="P856" s="666"/>
      <c r="Q856" s="667"/>
      <c r="R856" s="668"/>
      <c r="S856" s="693"/>
      <c r="T856" s="694"/>
      <c r="U856" s="694"/>
      <c r="V856" s="693"/>
      <c r="W856" s="693"/>
      <c r="X856" s="693"/>
      <c r="Y856" s="671"/>
      <c r="Z856" s="673"/>
      <c r="AA856" s="672"/>
      <c r="AB856" s="695"/>
      <c r="AC856" s="673"/>
      <c r="AD856" s="673"/>
      <c r="AE856" s="673"/>
      <c r="AF856" s="673"/>
      <c r="AG856" s="673"/>
      <c r="AH856" s="673"/>
      <c r="AI856" s="673"/>
      <c r="AJ856" s="673"/>
      <c r="AK856" s="673"/>
      <c r="AL856" s="673"/>
      <c r="AM856" s="673"/>
      <c r="AN856" s="673"/>
      <c r="AO856" s="673"/>
      <c r="AP856" s="673"/>
      <c r="AQ856" s="673"/>
      <c r="AR856" s="673"/>
      <c r="AS856" s="673"/>
      <c r="AT856" s="696"/>
    </row>
    <row r="857" ht="15.75" customHeight="1">
      <c r="A857" s="653"/>
      <c r="B857" s="654"/>
      <c r="C857" s="691"/>
      <c r="D857" s="656"/>
      <c r="E857" s="657"/>
      <c r="F857" s="658"/>
      <c r="G857" s="659"/>
      <c r="H857" s="660"/>
      <c r="I857" s="659"/>
      <c r="J857" s="661"/>
      <c r="K857" s="692"/>
      <c r="L857" s="645"/>
      <c r="M857" s="663"/>
      <c r="N857" s="665"/>
      <c r="O857" s="665"/>
      <c r="P857" s="666"/>
      <c r="Q857" s="667"/>
      <c r="R857" s="668"/>
      <c r="S857" s="693"/>
      <c r="T857" s="694"/>
      <c r="U857" s="694"/>
      <c r="V857" s="693"/>
      <c r="W857" s="693"/>
      <c r="X857" s="693"/>
      <c r="Y857" s="671"/>
      <c r="Z857" s="673"/>
      <c r="AA857" s="672"/>
      <c r="AB857" s="695"/>
      <c r="AC857" s="673"/>
      <c r="AD857" s="673"/>
      <c r="AE857" s="673"/>
      <c r="AF857" s="673"/>
      <c r="AG857" s="673"/>
      <c r="AH857" s="673"/>
      <c r="AI857" s="673"/>
      <c r="AJ857" s="673"/>
      <c r="AK857" s="673"/>
      <c r="AL857" s="673"/>
      <c r="AM857" s="673"/>
      <c r="AN857" s="673"/>
      <c r="AO857" s="673"/>
      <c r="AP857" s="673"/>
      <c r="AQ857" s="673"/>
      <c r="AR857" s="673"/>
      <c r="AS857" s="673"/>
      <c r="AT857" s="696"/>
    </row>
    <row r="858" ht="15.75" customHeight="1">
      <c r="A858" s="653"/>
      <c r="B858" s="654"/>
      <c r="C858" s="691"/>
      <c r="D858" s="656"/>
      <c r="E858" s="657"/>
      <c r="F858" s="658"/>
      <c r="G858" s="659"/>
      <c r="H858" s="660"/>
      <c r="I858" s="659"/>
      <c r="J858" s="661"/>
      <c r="K858" s="692"/>
      <c r="L858" s="645"/>
      <c r="M858" s="663"/>
      <c r="N858" s="665"/>
      <c r="O858" s="665"/>
      <c r="P858" s="666"/>
      <c r="Q858" s="667"/>
      <c r="R858" s="668"/>
      <c r="S858" s="693"/>
      <c r="T858" s="694"/>
      <c r="U858" s="694"/>
      <c r="V858" s="693"/>
      <c r="W858" s="693"/>
      <c r="X858" s="693"/>
      <c r="Y858" s="671"/>
      <c r="Z858" s="673"/>
      <c r="AA858" s="672"/>
      <c r="AB858" s="695"/>
      <c r="AC858" s="673"/>
      <c r="AD858" s="673"/>
      <c r="AE858" s="673"/>
      <c r="AF858" s="673"/>
      <c r="AG858" s="673"/>
      <c r="AH858" s="673"/>
      <c r="AI858" s="673"/>
      <c r="AJ858" s="673"/>
      <c r="AK858" s="673"/>
      <c r="AL858" s="673"/>
      <c r="AM858" s="673"/>
      <c r="AN858" s="673"/>
      <c r="AO858" s="673"/>
      <c r="AP858" s="673"/>
      <c r="AQ858" s="673"/>
      <c r="AR858" s="673"/>
      <c r="AS858" s="673"/>
      <c r="AT858" s="696"/>
    </row>
    <row r="859" ht="15.75" customHeight="1">
      <c r="A859" s="653"/>
      <c r="B859" s="654"/>
      <c r="C859" s="691"/>
      <c r="D859" s="656"/>
      <c r="E859" s="657"/>
      <c r="F859" s="658"/>
      <c r="G859" s="659"/>
      <c r="H859" s="660"/>
      <c r="I859" s="659"/>
      <c r="J859" s="661"/>
      <c r="K859" s="692"/>
      <c r="L859" s="645"/>
      <c r="M859" s="663"/>
      <c r="N859" s="665"/>
      <c r="O859" s="665"/>
      <c r="P859" s="666"/>
      <c r="Q859" s="667"/>
      <c r="R859" s="668"/>
      <c r="S859" s="693"/>
      <c r="T859" s="694"/>
      <c r="U859" s="694"/>
      <c r="V859" s="693"/>
      <c r="W859" s="693"/>
      <c r="X859" s="693"/>
      <c r="Y859" s="671"/>
      <c r="Z859" s="673"/>
      <c r="AA859" s="672"/>
      <c r="AB859" s="695"/>
      <c r="AC859" s="673"/>
      <c r="AD859" s="673"/>
      <c r="AE859" s="673"/>
      <c r="AF859" s="673"/>
      <c r="AG859" s="673"/>
      <c r="AH859" s="673"/>
      <c r="AI859" s="673"/>
      <c r="AJ859" s="673"/>
      <c r="AK859" s="673"/>
      <c r="AL859" s="673"/>
      <c r="AM859" s="673"/>
      <c r="AN859" s="673"/>
      <c r="AO859" s="673"/>
      <c r="AP859" s="673"/>
      <c r="AQ859" s="673"/>
      <c r="AR859" s="673"/>
      <c r="AS859" s="673"/>
      <c r="AT859" s="696"/>
    </row>
    <row r="860" ht="15.75" customHeight="1">
      <c r="A860" s="653"/>
      <c r="B860" s="654"/>
      <c r="C860" s="691"/>
      <c r="D860" s="656"/>
      <c r="E860" s="657"/>
      <c r="F860" s="658"/>
      <c r="G860" s="659"/>
      <c r="H860" s="660"/>
      <c r="I860" s="659"/>
      <c r="J860" s="661"/>
      <c r="K860" s="692"/>
      <c r="L860" s="645"/>
      <c r="M860" s="663"/>
      <c r="N860" s="665"/>
      <c r="O860" s="665"/>
      <c r="P860" s="666"/>
      <c r="Q860" s="667"/>
      <c r="R860" s="668"/>
      <c r="S860" s="693"/>
      <c r="T860" s="694"/>
      <c r="U860" s="694"/>
      <c r="V860" s="693"/>
      <c r="W860" s="693"/>
      <c r="X860" s="693"/>
      <c r="Y860" s="671"/>
      <c r="Z860" s="673"/>
      <c r="AA860" s="672"/>
      <c r="AB860" s="695"/>
      <c r="AC860" s="673"/>
      <c r="AD860" s="673"/>
      <c r="AE860" s="673"/>
      <c r="AF860" s="673"/>
      <c r="AG860" s="673"/>
      <c r="AH860" s="673"/>
      <c r="AI860" s="673"/>
      <c r="AJ860" s="673"/>
      <c r="AK860" s="673"/>
      <c r="AL860" s="673"/>
      <c r="AM860" s="673"/>
      <c r="AN860" s="673"/>
      <c r="AO860" s="673"/>
      <c r="AP860" s="673"/>
      <c r="AQ860" s="673"/>
      <c r="AR860" s="673"/>
      <c r="AS860" s="673"/>
      <c r="AT860" s="696"/>
    </row>
    <row r="861" ht="15.75" customHeight="1">
      <c r="A861" s="653"/>
      <c r="B861" s="654"/>
      <c r="C861" s="691"/>
      <c r="D861" s="656"/>
      <c r="E861" s="657"/>
      <c r="F861" s="658"/>
      <c r="G861" s="659"/>
      <c r="H861" s="660"/>
      <c r="I861" s="659"/>
      <c r="J861" s="661"/>
      <c r="K861" s="692"/>
      <c r="L861" s="645"/>
      <c r="M861" s="663"/>
      <c r="N861" s="665"/>
      <c r="O861" s="665"/>
      <c r="P861" s="666"/>
      <c r="Q861" s="667"/>
      <c r="R861" s="668"/>
      <c r="S861" s="693"/>
      <c r="T861" s="694"/>
      <c r="U861" s="694"/>
      <c r="V861" s="693"/>
      <c r="W861" s="693"/>
      <c r="X861" s="693"/>
      <c r="Y861" s="671"/>
      <c r="Z861" s="673"/>
      <c r="AA861" s="672"/>
      <c r="AB861" s="695"/>
      <c r="AC861" s="673"/>
      <c r="AD861" s="673"/>
      <c r="AE861" s="673"/>
      <c r="AF861" s="673"/>
      <c r="AG861" s="673"/>
      <c r="AH861" s="673"/>
      <c r="AI861" s="673"/>
      <c r="AJ861" s="673"/>
      <c r="AK861" s="673"/>
      <c r="AL861" s="673"/>
      <c r="AM861" s="673"/>
      <c r="AN861" s="673"/>
      <c r="AO861" s="673"/>
      <c r="AP861" s="673"/>
      <c r="AQ861" s="673"/>
      <c r="AR861" s="673"/>
      <c r="AS861" s="673"/>
      <c r="AT861" s="696"/>
    </row>
    <row r="862" ht="15.75" customHeight="1">
      <c r="A862" s="653"/>
      <c r="B862" s="654"/>
      <c r="C862" s="691"/>
      <c r="D862" s="656"/>
      <c r="E862" s="657"/>
      <c r="F862" s="658"/>
      <c r="G862" s="659"/>
      <c r="H862" s="660"/>
      <c r="I862" s="659"/>
      <c r="J862" s="661"/>
      <c r="K862" s="692"/>
      <c r="L862" s="645"/>
      <c r="M862" s="663"/>
      <c r="N862" s="665"/>
      <c r="O862" s="665"/>
      <c r="P862" s="666"/>
      <c r="Q862" s="667"/>
      <c r="R862" s="668"/>
      <c r="S862" s="693"/>
      <c r="T862" s="694"/>
      <c r="U862" s="694"/>
      <c r="V862" s="693"/>
      <c r="W862" s="693"/>
      <c r="X862" s="693"/>
      <c r="Y862" s="671"/>
      <c r="Z862" s="673"/>
      <c r="AA862" s="672"/>
      <c r="AB862" s="695"/>
      <c r="AC862" s="673"/>
      <c r="AD862" s="673"/>
      <c r="AE862" s="673"/>
      <c r="AF862" s="673"/>
      <c r="AG862" s="673"/>
      <c r="AH862" s="673"/>
      <c r="AI862" s="673"/>
      <c r="AJ862" s="673"/>
      <c r="AK862" s="673"/>
      <c r="AL862" s="673"/>
      <c r="AM862" s="673"/>
      <c r="AN862" s="673"/>
      <c r="AO862" s="673"/>
      <c r="AP862" s="673"/>
      <c r="AQ862" s="673"/>
      <c r="AR862" s="673"/>
      <c r="AS862" s="673"/>
      <c r="AT862" s="696"/>
    </row>
    <row r="863" ht="15.75" customHeight="1">
      <c r="A863" s="653"/>
      <c r="B863" s="654"/>
      <c r="C863" s="691"/>
      <c r="D863" s="656"/>
      <c r="E863" s="657"/>
      <c r="F863" s="658"/>
      <c r="G863" s="659"/>
      <c r="H863" s="660"/>
      <c r="I863" s="659"/>
      <c r="J863" s="661"/>
      <c r="K863" s="692"/>
      <c r="L863" s="645"/>
      <c r="M863" s="663"/>
      <c r="N863" s="665"/>
      <c r="O863" s="665"/>
      <c r="P863" s="666"/>
      <c r="Q863" s="667"/>
      <c r="R863" s="668"/>
      <c r="S863" s="693"/>
      <c r="T863" s="694"/>
      <c r="U863" s="694"/>
      <c r="V863" s="693"/>
      <c r="W863" s="693"/>
      <c r="X863" s="693"/>
      <c r="Y863" s="671"/>
      <c r="Z863" s="673"/>
      <c r="AA863" s="672"/>
      <c r="AB863" s="695"/>
      <c r="AC863" s="673"/>
      <c r="AD863" s="673"/>
      <c r="AE863" s="673"/>
      <c r="AF863" s="673"/>
      <c r="AG863" s="673"/>
      <c r="AH863" s="673"/>
      <c r="AI863" s="673"/>
      <c r="AJ863" s="673"/>
      <c r="AK863" s="673"/>
      <c r="AL863" s="673"/>
      <c r="AM863" s="673"/>
      <c r="AN863" s="673"/>
      <c r="AO863" s="673"/>
      <c r="AP863" s="673"/>
      <c r="AQ863" s="673"/>
      <c r="AR863" s="673"/>
      <c r="AS863" s="673"/>
      <c r="AT863" s="696"/>
    </row>
    <row r="864" ht="15.75" customHeight="1">
      <c r="A864" s="653"/>
      <c r="B864" s="654"/>
      <c r="C864" s="691"/>
      <c r="D864" s="656"/>
      <c r="E864" s="657"/>
      <c r="F864" s="658"/>
      <c r="G864" s="659"/>
      <c r="H864" s="660"/>
      <c r="I864" s="659"/>
      <c r="J864" s="661"/>
      <c r="K864" s="692"/>
      <c r="L864" s="645"/>
      <c r="M864" s="663"/>
      <c r="N864" s="665"/>
      <c r="O864" s="665"/>
      <c r="P864" s="666"/>
      <c r="Q864" s="667"/>
      <c r="R864" s="668"/>
      <c r="S864" s="693"/>
      <c r="T864" s="694"/>
      <c r="U864" s="694"/>
      <c r="V864" s="693"/>
      <c r="W864" s="693"/>
      <c r="X864" s="693"/>
      <c r="Y864" s="671"/>
      <c r="Z864" s="673"/>
      <c r="AA864" s="672"/>
      <c r="AB864" s="695"/>
      <c r="AC864" s="673"/>
      <c r="AD864" s="673"/>
      <c r="AE864" s="673"/>
      <c r="AF864" s="673"/>
      <c r="AG864" s="673"/>
      <c r="AH864" s="673"/>
      <c r="AI864" s="673"/>
      <c r="AJ864" s="673"/>
      <c r="AK864" s="673"/>
      <c r="AL864" s="673"/>
      <c r="AM864" s="673"/>
      <c r="AN864" s="673"/>
      <c r="AO864" s="673"/>
      <c r="AP864" s="673"/>
      <c r="AQ864" s="673"/>
      <c r="AR864" s="673"/>
      <c r="AS864" s="673"/>
      <c r="AT864" s="696"/>
    </row>
    <row r="865" ht="15.75" customHeight="1">
      <c r="A865" s="653"/>
      <c r="B865" s="654"/>
      <c r="C865" s="691"/>
      <c r="D865" s="656"/>
      <c r="E865" s="657"/>
      <c r="F865" s="658"/>
      <c r="G865" s="659"/>
      <c r="H865" s="660"/>
      <c r="I865" s="659"/>
      <c r="J865" s="661"/>
      <c r="K865" s="692"/>
      <c r="L865" s="645"/>
      <c r="M865" s="663"/>
      <c r="N865" s="665"/>
      <c r="O865" s="665"/>
      <c r="P865" s="666"/>
      <c r="Q865" s="667"/>
      <c r="R865" s="668"/>
      <c r="S865" s="693"/>
      <c r="T865" s="694"/>
      <c r="U865" s="694"/>
      <c r="V865" s="693"/>
      <c r="W865" s="693"/>
      <c r="X865" s="693"/>
      <c r="Y865" s="671"/>
      <c r="Z865" s="673"/>
      <c r="AA865" s="672"/>
      <c r="AB865" s="695"/>
      <c r="AC865" s="673"/>
      <c r="AD865" s="673"/>
      <c r="AE865" s="673"/>
      <c r="AF865" s="673"/>
      <c r="AG865" s="673"/>
      <c r="AH865" s="673"/>
      <c r="AI865" s="673"/>
      <c r="AJ865" s="673"/>
      <c r="AK865" s="673"/>
      <c r="AL865" s="673"/>
      <c r="AM865" s="673"/>
      <c r="AN865" s="673"/>
      <c r="AO865" s="673"/>
      <c r="AP865" s="673"/>
      <c r="AQ865" s="673"/>
      <c r="AR865" s="673"/>
      <c r="AS865" s="673"/>
      <c r="AT865" s="696"/>
    </row>
    <row r="866" ht="15.75" customHeight="1">
      <c r="A866" s="653"/>
      <c r="B866" s="654"/>
      <c r="C866" s="691"/>
      <c r="D866" s="656"/>
      <c r="E866" s="657"/>
      <c r="F866" s="658"/>
      <c r="G866" s="659"/>
      <c r="H866" s="660"/>
      <c r="I866" s="659"/>
      <c r="J866" s="661"/>
      <c r="K866" s="692"/>
      <c r="L866" s="645"/>
      <c r="M866" s="663"/>
      <c r="N866" s="665"/>
      <c r="O866" s="665"/>
      <c r="P866" s="666"/>
      <c r="Q866" s="667"/>
      <c r="R866" s="668"/>
      <c r="S866" s="693"/>
      <c r="T866" s="694"/>
      <c r="U866" s="694"/>
      <c r="V866" s="693"/>
      <c r="W866" s="693"/>
      <c r="X866" s="693"/>
      <c r="Y866" s="671"/>
      <c r="Z866" s="673"/>
      <c r="AA866" s="672"/>
      <c r="AB866" s="695"/>
      <c r="AC866" s="673"/>
      <c r="AD866" s="673"/>
      <c r="AE866" s="673"/>
      <c r="AF866" s="673"/>
      <c r="AG866" s="673"/>
      <c r="AH866" s="673"/>
      <c r="AI866" s="673"/>
      <c r="AJ866" s="673"/>
      <c r="AK866" s="673"/>
      <c r="AL866" s="673"/>
      <c r="AM866" s="673"/>
      <c r="AN866" s="673"/>
      <c r="AO866" s="673"/>
      <c r="AP866" s="673"/>
      <c r="AQ866" s="673"/>
      <c r="AR866" s="673"/>
      <c r="AS866" s="673"/>
      <c r="AT866" s="696"/>
    </row>
    <row r="867" ht="15.75" customHeight="1">
      <c r="A867" s="653"/>
      <c r="B867" s="654"/>
      <c r="C867" s="691"/>
      <c r="D867" s="656"/>
      <c r="E867" s="657"/>
      <c r="F867" s="658"/>
      <c r="G867" s="659"/>
      <c r="H867" s="660"/>
      <c r="I867" s="659"/>
      <c r="J867" s="661"/>
      <c r="K867" s="692"/>
      <c r="L867" s="645"/>
      <c r="M867" s="663"/>
      <c r="N867" s="665"/>
      <c r="O867" s="665"/>
      <c r="P867" s="666"/>
      <c r="Q867" s="667"/>
      <c r="R867" s="668"/>
      <c r="S867" s="693"/>
      <c r="T867" s="694"/>
      <c r="U867" s="694"/>
      <c r="V867" s="693"/>
      <c r="W867" s="693"/>
      <c r="X867" s="693"/>
      <c r="Y867" s="671"/>
      <c r="Z867" s="673"/>
      <c r="AA867" s="672"/>
      <c r="AB867" s="695"/>
      <c r="AC867" s="673"/>
      <c r="AD867" s="673"/>
      <c r="AE867" s="673"/>
      <c r="AF867" s="673"/>
      <c r="AG867" s="673"/>
      <c r="AH867" s="673"/>
      <c r="AI867" s="673"/>
      <c r="AJ867" s="673"/>
      <c r="AK867" s="673"/>
      <c r="AL867" s="673"/>
      <c r="AM867" s="673"/>
      <c r="AN867" s="673"/>
      <c r="AO867" s="673"/>
      <c r="AP867" s="673"/>
      <c r="AQ867" s="673"/>
      <c r="AR867" s="673"/>
      <c r="AS867" s="673"/>
      <c r="AT867" s="696"/>
    </row>
    <row r="868" ht="15.75" customHeight="1">
      <c r="A868" s="653"/>
      <c r="B868" s="654"/>
      <c r="C868" s="691"/>
      <c r="D868" s="656"/>
      <c r="E868" s="657"/>
      <c r="F868" s="658"/>
      <c r="G868" s="659"/>
      <c r="H868" s="660"/>
      <c r="I868" s="659"/>
      <c r="J868" s="661"/>
      <c r="K868" s="692"/>
      <c r="L868" s="645"/>
      <c r="M868" s="663"/>
      <c r="N868" s="665"/>
      <c r="O868" s="665"/>
      <c r="P868" s="666"/>
      <c r="Q868" s="667"/>
      <c r="R868" s="668"/>
      <c r="S868" s="693"/>
      <c r="T868" s="694"/>
      <c r="U868" s="694"/>
      <c r="V868" s="693"/>
      <c r="W868" s="693"/>
      <c r="X868" s="693"/>
      <c r="Y868" s="671"/>
      <c r="Z868" s="673"/>
      <c r="AA868" s="672"/>
      <c r="AB868" s="695"/>
      <c r="AC868" s="673"/>
      <c r="AD868" s="673"/>
      <c r="AE868" s="673"/>
      <c r="AF868" s="673"/>
      <c r="AG868" s="673"/>
      <c r="AH868" s="673"/>
      <c r="AI868" s="673"/>
      <c r="AJ868" s="673"/>
      <c r="AK868" s="673"/>
      <c r="AL868" s="673"/>
      <c r="AM868" s="673"/>
      <c r="AN868" s="673"/>
      <c r="AO868" s="673"/>
      <c r="AP868" s="673"/>
      <c r="AQ868" s="673"/>
      <c r="AR868" s="673"/>
      <c r="AS868" s="673"/>
      <c r="AT868" s="696"/>
    </row>
    <row r="869" ht="15.75" customHeight="1">
      <c r="A869" s="653"/>
      <c r="B869" s="654"/>
      <c r="C869" s="691"/>
      <c r="D869" s="656"/>
      <c r="E869" s="657"/>
      <c r="F869" s="658"/>
      <c r="G869" s="659"/>
      <c r="H869" s="660"/>
      <c r="I869" s="659"/>
      <c r="J869" s="661"/>
      <c r="K869" s="692"/>
      <c r="L869" s="645"/>
      <c r="M869" s="663"/>
      <c r="N869" s="665"/>
      <c r="O869" s="665"/>
      <c r="P869" s="666"/>
      <c r="Q869" s="667"/>
      <c r="R869" s="668"/>
      <c r="S869" s="693"/>
      <c r="T869" s="694"/>
      <c r="U869" s="694"/>
      <c r="V869" s="693"/>
      <c r="W869" s="693"/>
      <c r="X869" s="693"/>
      <c r="Y869" s="671"/>
      <c r="Z869" s="673"/>
      <c r="AA869" s="672"/>
      <c r="AB869" s="695"/>
      <c r="AC869" s="673"/>
      <c r="AD869" s="673"/>
      <c r="AE869" s="673"/>
      <c r="AF869" s="673"/>
      <c r="AG869" s="673"/>
      <c r="AH869" s="673"/>
      <c r="AI869" s="673"/>
      <c r="AJ869" s="673"/>
      <c r="AK869" s="673"/>
      <c r="AL869" s="673"/>
      <c r="AM869" s="673"/>
      <c r="AN869" s="673"/>
      <c r="AO869" s="673"/>
      <c r="AP869" s="673"/>
      <c r="AQ869" s="673"/>
      <c r="AR869" s="673"/>
      <c r="AS869" s="673"/>
      <c r="AT869" s="696"/>
    </row>
    <row r="870" ht="15.75" customHeight="1">
      <c r="A870" s="653"/>
      <c r="B870" s="654"/>
      <c r="C870" s="691"/>
      <c r="D870" s="656"/>
      <c r="E870" s="657"/>
      <c r="F870" s="658"/>
      <c r="G870" s="659"/>
      <c r="H870" s="660"/>
      <c r="I870" s="659"/>
      <c r="J870" s="661"/>
      <c r="K870" s="692"/>
      <c r="L870" s="645"/>
      <c r="M870" s="663"/>
      <c r="N870" s="665"/>
      <c r="O870" s="665"/>
      <c r="P870" s="666"/>
      <c r="Q870" s="667"/>
      <c r="R870" s="668"/>
      <c r="S870" s="693"/>
      <c r="T870" s="694"/>
      <c r="U870" s="694"/>
      <c r="V870" s="693"/>
      <c r="W870" s="693"/>
      <c r="X870" s="693"/>
      <c r="Y870" s="671"/>
      <c r="Z870" s="673"/>
      <c r="AA870" s="672"/>
      <c r="AB870" s="695"/>
      <c r="AC870" s="673"/>
      <c r="AD870" s="673"/>
      <c r="AE870" s="673"/>
      <c r="AF870" s="673"/>
      <c r="AG870" s="673"/>
      <c r="AH870" s="673"/>
      <c r="AI870" s="673"/>
      <c r="AJ870" s="673"/>
      <c r="AK870" s="673"/>
      <c r="AL870" s="673"/>
      <c r="AM870" s="673"/>
      <c r="AN870" s="673"/>
      <c r="AO870" s="673"/>
      <c r="AP870" s="673"/>
      <c r="AQ870" s="673"/>
      <c r="AR870" s="673"/>
      <c r="AS870" s="673"/>
      <c r="AT870" s="696"/>
    </row>
    <row r="871" ht="15.75" customHeight="1">
      <c r="A871" s="653"/>
      <c r="B871" s="654"/>
      <c r="C871" s="691"/>
      <c r="D871" s="656"/>
      <c r="E871" s="657"/>
      <c r="F871" s="658"/>
      <c r="G871" s="659"/>
      <c r="H871" s="660"/>
      <c r="I871" s="659"/>
      <c r="J871" s="661"/>
      <c r="K871" s="692"/>
      <c r="L871" s="645"/>
      <c r="M871" s="663"/>
      <c r="N871" s="665"/>
      <c r="O871" s="665"/>
      <c r="P871" s="666"/>
      <c r="Q871" s="667"/>
      <c r="R871" s="668"/>
      <c r="S871" s="693"/>
      <c r="T871" s="694"/>
      <c r="U871" s="694"/>
      <c r="V871" s="693"/>
      <c r="W871" s="693"/>
      <c r="X871" s="693"/>
      <c r="Y871" s="671"/>
      <c r="Z871" s="673"/>
      <c r="AA871" s="672"/>
      <c r="AB871" s="695"/>
      <c r="AC871" s="673"/>
      <c r="AD871" s="673"/>
      <c r="AE871" s="673"/>
      <c r="AF871" s="673"/>
      <c r="AG871" s="673"/>
      <c r="AH871" s="673"/>
      <c r="AI871" s="673"/>
      <c r="AJ871" s="673"/>
      <c r="AK871" s="673"/>
      <c r="AL871" s="673"/>
      <c r="AM871" s="673"/>
      <c r="AN871" s="673"/>
      <c r="AO871" s="673"/>
      <c r="AP871" s="673"/>
      <c r="AQ871" s="673"/>
      <c r="AR871" s="673"/>
      <c r="AS871" s="673"/>
      <c r="AT871" s="696"/>
    </row>
    <row r="872" ht="15.75" customHeight="1">
      <c r="A872" s="653"/>
      <c r="B872" s="654"/>
      <c r="C872" s="691"/>
      <c r="D872" s="656"/>
      <c r="E872" s="657"/>
      <c r="F872" s="658"/>
      <c r="G872" s="659"/>
      <c r="H872" s="660"/>
      <c r="I872" s="659"/>
      <c r="J872" s="661"/>
      <c r="K872" s="692"/>
      <c r="L872" s="645"/>
      <c r="M872" s="663"/>
      <c r="N872" s="665"/>
      <c r="O872" s="665"/>
      <c r="P872" s="666"/>
      <c r="Q872" s="667"/>
      <c r="R872" s="668"/>
      <c r="S872" s="693"/>
      <c r="T872" s="694"/>
      <c r="U872" s="694"/>
      <c r="V872" s="693"/>
      <c r="W872" s="693"/>
      <c r="X872" s="693"/>
      <c r="Y872" s="671"/>
      <c r="Z872" s="673"/>
      <c r="AA872" s="672"/>
      <c r="AB872" s="695"/>
      <c r="AC872" s="673"/>
      <c r="AD872" s="673"/>
      <c r="AE872" s="673"/>
      <c r="AF872" s="673"/>
      <c r="AG872" s="673"/>
      <c r="AH872" s="673"/>
      <c r="AI872" s="673"/>
      <c r="AJ872" s="673"/>
      <c r="AK872" s="673"/>
      <c r="AL872" s="673"/>
      <c r="AM872" s="673"/>
      <c r="AN872" s="673"/>
      <c r="AO872" s="673"/>
      <c r="AP872" s="673"/>
      <c r="AQ872" s="673"/>
      <c r="AR872" s="673"/>
      <c r="AS872" s="673"/>
      <c r="AT872" s="696"/>
    </row>
    <row r="873" ht="15.75" customHeight="1">
      <c r="A873" s="653"/>
      <c r="B873" s="654"/>
      <c r="C873" s="691"/>
      <c r="D873" s="656"/>
      <c r="E873" s="657"/>
      <c r="F873" s="658"/>
      <c r="G873" s="659"/>
      <c r="H873" s="660"/>
      <c r="I873" s="659"/>
      <c r="J873" s="661"/>
      <c r="K873" s="692"/>
      <c r="L873" s="645"/>
      <c r="M873" s="663"/>
      <c r="N873" s="665"/>
      <c r="O873" s="665"/>
      <c r="P873" s="666"/>
      <c r="Q873" s="667"/>
      <c r="R873" s="668"/>
      <c r="S873" s="693"/>
      <c r="T873" s="694"/>
      <c r="U873" s="694"/>
      <c r="V873" s="693"/>
      <c r="W873" s="693"/>
      <c r="X873" s="693"/>
      <c r="Y873" s="671"/>
      <c r="Z873" s="673"/>
      <c r="AA873" s="672"/>
      <c r="AB873" s="695"/>
      <c r="AC873" s="673"/>
      <c r="AD873" s="673"/>
      <c r="AE873" s="673"/>
      <c r="AF873" s="673"/>
      <c r="AG873" s="673"/>
      <c r="AH873" s="673"/>
      <c r="AI873" s="673"/>
      <c r="AJ873" s="673"/>
      <c r="AK873" s="673"/>
      <c r="AL873" s="673"/>
      <c r="AM873" s="673"/>
      <c r="AN873" s="673"/>
      <c r="AO873" s="673"/>
      <c r="AP873" s="673"/>
      <c r="AQ873" s="673"/>
      <c r="AR873" s="673"/>
      <c r="AS873" s="673"/>
      <c r="AT873" s="696"/>
    </row>
    <row r="874" ht="15.75" customHeight="1">
      <c r="A874" s="653"/>
      <c r="B874" s="654"/>
      <c r="C874" s="691"/>
      <c r="D874" s="656"/>
      <c r="E874" s="657"/>
      <c r="F874" s="658"/>
      <c r="G874" s="659"/>
      <c r="H874" s="660"/>
      <c r="I874" s="659"/>
      <c r="J874" s="661"/>
      <c r="K874" s="692"/>
      <c r="L874" s="645"/>
      <c r="M874" s="663"/>
      <c r="N874" s="665"/>
      <c r="O874" s="665"/>
      <c r="P874" s="666"/>
      <c r="Q874" s="667"/>
      <c r="R874" s="668"/>
      <c r="S874" s="693"/>
      <c r="T874" s="694"/>
      <c r="U874" s="694"/>
      <c r="V874" s="693"/>
      <c r="W874" s="693"/>
      <c r="X874" s="693"/>
      <c r="Y874" s="671"/>
      <c r="Z874" s="673"/>
      <c r="AA874" s="672"/>
      <c r="AB874" s="695"/>
      <c r="AC874" s="673"/>
      <c r="AD874" s="673"/>
      <c r="AE874" s="673"/>
      <c r="AF874" s="673"/>
      <c r="AG874" s="673"/>
      <c r="AH874" s="673"/>
      <c r="AI874" s="673"/>
      <c r="AJ874" s="673"/>
      <c r="AK874" s="673"/>
      <c r="AL874" s="673"/>
      <c r="AM874" s="673"/>
      <c r="AN874" s="673"/>
      <c r="AO874" s="673"/>
      <c r="AP874" s="673"/>
      <c r="AQ874" s="673"/>
      <c r="AR874" s="673"/>
      <c r="AS874" s="673"/>
      <c r="AT874" s="696"/>
    </row>
    <row r="875" ht="15.75" customHeight="1">
      <c r="A875" s="653"/>
      <c r="B875" s="654"/>
      <c r="C875" s="691"/>
      <c r="D875" s="656"/>
      <c r="E875" s="657"/>
      <c r="F875" s="658"/>
      <c r="G875" s="659"/>
      <c r="H875" s="660"/>
      <c r="I875" s="659"/>
      <c r="J875" s="661"/>
      <c r="K875" s="692"/>
      <c r="L875" s="645"/>
      <c r="M875" s="663"/>
      <c r="N875" s="665"/>
      <c r="O875" s="665"/>
      <c r="P875" s="666"/>
      <c r="Q875" s="667"/>
      <c r="R875" s="668"/>
      <c r="S875" s="693"/>
      <c r="T875" s="694"/>
      <c r="U875" s="694"/>
      <c r="V875" s="693"/>
      <c r="W875" s="693"/>
      <c r="X875" s="693"/>
      <c r="Y875" s="671"/>
      <c r="Z875" s="673"/>
      <c r="AA875" s="672"/>
      <c r="AB875" s="695"/>
      <c r="AC875" s="673"/>
      <c r="AD875" s="673"/>
      <c r="AE875" s="673"/>
      <c r="AF875" s="673"/>
      <c r="AG875" s="673"/>
      <c r="AH875" s="673"/>
      <c r="AI875" s="673"/>
      <c r="AJ875" s="673"/>
      <c r="AK875" s="673"/>
      <c r="AL875" s="673"/>
      <c r="AM875" s="673"/>
      <c r="AN875" s="673"/>
      <c r="AO875" s="673"/>
      <c r="AP875" s="673"/>
      <c r="AQ875" s="673"/>
      <c r="AR875" s="673"/>
      <c r="AS875" s="673"/>
      <c r="AT875" s="696"/>
    </row>
    <row r="876" ht="15.75" customHeight="1">
      <c r="A876" s="653"/>
      <c r="B876" s="654"/>
      <c r="C876" s="691"/>
      <c r="D876" s="656"/>
      <c r="E876" s="657"/>
      <c r="F876" s="658"/>
      <c r="G876" s="659"/>
      <c r="H876" s="660"/>
      <c r="I876" s="659"/>
      <c r="J876" s="661"/>
      <c r="K876" s="692"/>
      <c r="L876" s="645"/>
      <c r="M876" s="663"/>
      <c r="N876" s="665"/>
      <c r="O876" s="665"/>
      <c r="P876" s="666"/>
      <c r="Q876" s="667"/>
      <c r="R876" s="668"/>
      <c r="S876" s="693"/>
      <c r="T876" s="694"/>
      <c r="U876" s="694"/>
      <c r="V876" s="693"/>
      <c r="W876" s="693"/>
      <c r="X876" s="693"/>
      <c r="Y876" s="671"/>
      <c r="Z876" s="673"/>
      <c r="AA876" s="672"/>
      <c r="AB876" s="695"/>
      <c r="AC876" s="673"/>
      <c r="AD876" s="673"/>
      <c r="AE876" s="673"/>
      <c r="AF876" s="673"/>
      <c r="AG876" s="673"/>
      <c r="AH876" s="673"/>
      <c r="AI876" s="673"/>
      <c r="AJ876" s="673"/>
      <c r="AK876" s="673"/>
      <c r="AL876" s="673"/>
      <c r="AM876" s="673"/>
      <c r="AN876" s="673"/>
      <c r="AO876" s="673"/>
      <c r="AP876" s="673"/>
      <c r="AQ876" s="673"/>
      <c r="AR876" s="673"/>
      <c r="AS876" s="673"/>
      <c r="AT876" s="696"/>
    </row>
    <row r="877" ht="15.75" customHeight="1">
      <c r="A877" s="653"/>
      <c r="B877" s="654"/>
      <c r="C877" s="691"/>
      <c r="D877" s="656"/>
      <c r="E877" s="657"/>
      <c r="F877" s="658"/>
      <c r="G877" s="659"/>
      <c r="H877" s="660"/>
      <c r="I877" s="659"/>
      <c r="J877" s="661"/>
      <c r="K877" s="692"/>
      <c r="L877" s="645"/>
      <c r="M877" s="663"/>
      <c r="N877" s="665"/>
      <c r="O877" s="665"/>
      <c r="P877" s="666"/>
      <c r="Q877" s="667"/>
      <c r="R877" s="668"/>
      <c r="S877" s="693"/>
      <c r="T877" s="694"/>
      <c r="U877" s="694"/>
      <c r="V877" s="693"/>
      <c r="W877" s="693"/>
      <c r="X877" s="693"/>
      <c r="Y877" s="671"/>
      <c r="Z877" s="673"/>
      <c r="AA877" s="672"/>
      <c r="AB877" s="695"/>
      <c r="AC877" s="673"/>
      <c r="AD877" s="673"/>
      <c r="AE877" s="673"/>
      <c r="AF877" s="673"/>
      <c r="AG877" s="673"/>
      <c r="AH877" s="673"/>
      <c r="AI877" s="673"/>
      <c r="AJ877" s="673"/>
      <c r="AK877" s="673"/>
      <c r="AL877" s="673"/>
      <c r="AM877" s="673"/>
      <c r="AN877" s="673"/>
      <c r="AO877" s="673"/>
      <c r="AP877" s="673"/>
      <c r="AQ877" s="673"/>
      <c r="AR877" s="673"/>
      <c r="AS877" s="673"/>
      <c r="AT877" s="696"/>
    </row>
    <row r="878" ht="15.75" customHeight="1">
      <c r="A878" s="653"/>
      <c r="B878" s="654"/>
      <c r="C878" s="691"/>
      <c r="D878" s="656"/>
      <c r="E878" s="657"/>
      <c r="F878" s="658"/>
      <c r="G878" s="659"/>
      <c r="H878" s="660"/>
      <c r="I878" s="659"/>
      <c r="J878" s="661"/>
      <c r="K878" s="692"/>
      <c r="L878" s="645"/>
      <c r="M878" s="663"/>
      <c r="N878" s="665"/>
      <c r="O878" s="665"/>
      <c r="P878" s="666"/>
      <c r="Q878" s="667"/>
      <c r="R878" s="668"/>
      <c r="S878" s="693"/>
      <c r="T878" s="694"/>
      <c r="U878" s="694"/>
      <c r="V878" s="693"/>
      <c r="W878" s="693"/>
      <c r="X878" s="693"/>
      <c r="Y878" s="671"/>
      <c r="Z878" s="673"/>
      <c r="AA878" s="672"/>
      <c r="AB878" s="695"/>
      <c r="AC878" s="673"/>
      <c r="AD878" s="673"/>
      <c r="AE878" s="673"/>
      <c r="AF878" s="673"/>
      <c r="AG878" s="673"/>
      <c r="AH878" s="673"/>
      <c r="AI878" s="673"/>
      <c r="AJ878" s="673"/>
      <c r="AK878" s="673"/>
      <c r="AL878" s="673"/>
      <c r="AM878" s="673"/>
      <c r="AN878" s="673"/>
      <c r="AO878" s="673"/>
      <c r="AP878" s="673"/>
      <c r="AQ878" s="673"/>
      <c r="AR878" s="673"/>
      <c r="AS878" s="673"/>
      <c r="AT878" s="696"/>
    </row>
    <row r="879" ht="15.75" customHeight="1">
      <c r="A879" s="653"/>
      <c r="B879" s="654"/>
      <c r="C879" s="691"/>
      <c r="D879" s="656"/>
      <c r="E879" s="657"/>
      <c r="F879" s="658"/>
      <c r="G879" s="659"/>
      <c r="H879" s="660"/>
      <c r="I879" s="659"/>
      <c r="J879" s="661"/>
      <c r="K879" s="692"/>
      <c r="L879" s="645"/>
      <c r="M879" s="663"/>
      <c r="N879" s="665"/>
      <c r="O879" s="665"/>
      <c r="P879" s="666"/>
      <c r="Q879" s="667"/>
      <c r="R879" s="668"/>
      <c r="S879" s="693"/>
      <c r="T879" s="694"/>
      <c r="U879" s="694"/>
      <c r="V879" s="693"/>
      <c r="W879" s="693"/>
      <c r="X879" s="693"/>
      <c r="Y879" s="671"/>
      <c r="Z879" s="673"/>
      <c r="AA879" s="672"/>
      <c r="AB879" s="695"/>
      <c r="AC879" s="673"/>
      <c r="AD879" s="673"/>
      <c r="AE879" s="673"/>
      <c r="AF879" s="673"/>
      <c r="AG879" s="673"/>
      <c r="AH879" s="673"/>
      <c r="AI879" s="673"/>
      <c r="AJ879" s="673"/>
      <c r="AK879" s="673"/>
      <c r="AL879" s="673"/>
      <c r="AM879" s="673"/>
      <c r="AN879" s="673"/>
      <c r="AO879" s="673"/>
      <c r="AP879" s="673"/>
      <c r="AQ879" s="673"/>
      <c r="AR879" s="673"/>
      <c r="AS879" s="673"/>
      <c r="AT879" s="696"/>
    </row>
    <row r="880" ht="15.75" customHeight="1">
      <c r="A880" s="653"/>
      <c r="B880" s="654"/>
      <c r="C880" s="691"/>
      <c r="D880" s="656"/>
      <c r="E880" s="657"/>
      <c r="F880" s="658"/>
      <c r="G880" s="659"/>
      <c r="H880" s="660"/>
      <c r="I880" s="659"/>
      <c r="J880" s="661"/>
      <c r="K880" s="692"/>
      <c r="L880" s="645"/>
      <c r="M880" s="663"/>
      <c r="N880" s="665"/>
      <c r="O880" s="665"/>
      <c r="P880" s="666"/>
      <c r="Q880" s="667"/>
      <c r="R880" s="668"/>
      <c r="S880" s="693"/>
      <c r="T880" s="694"/>
      <c r="U880" s="694"/>
      <c r="V880" s="693"/>
      <c r="W880" s="693"/>
      <c r="X880" s="693"/>
      <c r="Y880" s="671"/>
      <c r="Z880" s="673"/>
      <c r="AA880" s="672"/>
      <c r="AB880" s="695"/>
      <c r="AC880" s="673"/>
      <c r="AD880" s="673"/>
      <c r="AE880" s="673"/>
      <c r="AF880" s="673"/>
      <c r="AG880" s="673"/>
      <c r="AH880" s="673"/>
      <c r="AI880" s="673"/>
      <c r="AJ880" s="673"/>
      <c r="AK880" s="673"/>
      <c r="AL880" s="673"/>
      <c r="AM880" s="673"/>
      <c r="AN880" s="673"/>
      <c r="AO880" s="673"/>
      <c r="AP880" s="673"/>
      <c r="AQ880" s="673"/>
      <c r="AR880" s="673"/>
      <c r="AS880" s="673"/>
      <c r="AT880" s="696"/>
    </row>
    <row r="881" ht="15.75" customHeight="1">
      <c r="A881" s="653"/>
      <c r="B881" s="654"/>
      <c r="C881" s="691"/>
      <c r="D881" s="656"/>
      <c r="E881" s="657"/>
      <c r="F881" s="658"/>
      <c r="G881" s="659"/>
      <c r="H881" s="660"/>
      <c r="I881" s="659"/>
      <c r="J881" s="661"/>
      <c r="K881" s="692"/>
      <c r="L881" s="645"/>
      <c r="M881" s="663"/>
      <c r="N881" s="665"/>
      <c r="O881" s="665"/>
      <c r="P881" s="666"/>
      <c r="Q881" s="667"/>
      <c r="R881" s="668"/>
      <c r="S881" s="693"/>
      <c r="T881" s="694"/>
      <c r="U881" s="694"/>
      <c r="V881" s="693"/>
      <c r="W881" s="693"/>
      <c r="X881" s="693"/>
      <c r="Y881" s="671"/>
      <c r="Z881" s="673"/>
      <c r="AA881" s="672"/>
      <c r="AB881" s="695"/>
      <c r="AC881" s="673"/>
      <c r="AD881" s="673"/>
      <c r="AE881" s="673"/>
      <c r="AF881" s="673"/>
      <c r="AG881" s="673"/>
      <c r="AH881" s="673"/>
      <c r="AI881" s="673"/>
      <c r="AJ881" s="673"/>
      <c r="AK881" s="673"/>
      <c r="AL881" s="673"/>
      <c r="AM881" s="673"/>
      <c r="AN881" s="673"/>
      <c r="AO881" s="673"/>
      <c r="AP881" s="673"/>
      <c r="AQ881" s="673"/>
      <c r="AR881" s="673"/>
      <c r="AS881" s="673"/>
      <c r="AT881" s="696"/>
    </row>
    <row r="882" ht="15.75" customHeight="1">
      <c r="A882" s="653"/>
      <c r="B882" s="654"/>
      <c r="C882" s="691"/>
      <c r="D882" s="656"/>
      <c r="E882" s="657"/>
      <c r="F882" s="658"/>
      <c r="G882" s="659"/>
      <c r="H882" s="660"/>
      <c r="I882" s="659"/>
      <c r="J882" s="661"/>
      <c r="K882" s="692"/>
      <c r="L882" s="645"/>
      <c r="M882" s="663"/>
      <c r="N882" s="665"/>
      <c r="O882" s="665"/>
      <c r="P882" s="666"/>
      <c r="Q882" s="667"/>
      <c r="R882" s="668"/>
      <c r="S882" s="693"/>
      <c r="T882" s="694"/>
      <c r="U882" s="694"/>
      <c r="V882" s="693"/>
      <c r="W882" s="693"/>
      <c r="X882" s="693"/>
      <c r="Y882" s="671"/>
      <c r="Z882" s="673"/>
      <c r="AA882" s="672"/>
      <c r="AB882" s="695"/>
      <c r="AC882" s="673"/>
      <c r="AD882" s="673"/>
      <c r="AE882" s="673"/>
      <c r="AF882" s="673"/>
      <c r="AG882" s="673"/>
      <c r="AH882" s="673"/>
      <c r="AI882" s="673"/>
      <c r="AJ882" s="673"/>
      <c r="AK882" s="673"/>
      <c r="AL882" s="673"/>
      <c r="AM882" s="673"/>
      <c r="AN882" s="673"/>
      <c r="AO882" s="673"/>
      <c r="AP882" s="673"/>
      <c r="AQ882" s="673"/>
      <c r="AR882" s="673"/>
      <c r="AS882" s="673"/>
      <c r="AT882" s="696"/>
    </row>
    <row r="883" ht="15.75" customHeight="1">
      <c r="A883" s="653"/>
      <c r="B883" s="654"/>
      <c r="C883" s="691"/>
      <c r="D883" s="656"/>
      <c r="E883" s="657"/>
      <c r="F883" s="658"/>
      <c r="G883" s="659"/>
      <c r="H883" s="660"/>
      <c r="I883" s="659"/>
      <c r="J883" s="661"/>
      <c r="K883" s="692"/>
      <c r="L883" s="645"/>
      <c r="M883" s="663"/>
      <c r="N883" s="665"/>
      <c r="O883" s="665"/>
      <c r="P883" s="666"/>
      <c r="Q883" s="667"/>
      <c r="R883" s="668"/>
      <c r="S883" s="693"/>
      <c r="T883" s="694"/>
      <c r="U883" s="694"/>
      <c r="V883" s="693"/>
      <c r="W883" s="693"/>
      <c r="X883" s="693"/>
      <c r="Y883" s="671"/>
      <c r="Z883" s="673"/>
      <c r="AA883" s="672"/>
      <c r="AB883" s="695"/>
      <c r="AC883" s="673"/>
      <c r="AD883" s="673"/>
      <c r="AE883" s="673"/>
      <c r="AF883" s="673"/>
      <c r="AG883" s="673"/>
      <c r="AH883" s="673"/>
      <c r="AI883" s="673"/>
      <c r="AJ883" s="673"/>
      <c r="AK883" s="673"/>
      <c r="AL883" s="673"/>
      <c r="AM883" s="673"/>
      <c r="AN883" s="673"/>
      <c r="AO883" s="673"/>
      <c r="AP883" s="673"/>
      <c r="AQ883" s="673"/>
      <c r="AR883" s="673"/>
      <c r="AS883" s="673"/>
      <c r="AT883" s="696"/>
    </row>
    <row r="884" ht="15.75" customHeight="1">
      <c r="A884" s="653"/>
      <c r="B884" s="654"/>
      <c r="C884" s="691"/>
      <c r="D884" s="656"/>
      <c r="E884" s="657"/>
      <c r="F884" s="658"/>
      <c r="G884" s="659"/>
      <c r="H884" s="660"/>
      <c r="I884" s="659"/>
      <c r="J884" s="661"/>
      <c r="K884" s="692"/>
      <c r="L884" s="645"/>
      <c r="M884" s="663"/>
      <c r="N884" s="665"/>
      <c r="O884" s="665"/>
      <c r="P884" s="666"/>
      <c r="Q884" s="667"/>
      <c r="R884" s="668"/>
      <c r="S884" s="693"/>
      <c r="T884" s="694"/>
      <c r="U884" s="694"/>
      <c r="V884" s="693"/>
      <c r="W884" s="693"/>
      <c r="X884" s="693"/>
      <c r="Y884" s="671"/>
      <c r="Z884" s="673"/>
      <c r="AA884" s="672"/>
      <c r="AB884" s="695"/>
      <c r="AC884" s="673"/>
      <c r="AD884" s="673"/>
      <c r="AE884" s="673"/>
      <c r="AF884" s="673"/>
      <c r="AG884" s="673"/>
      <c r="AH884" s="673"/>
      <c r="AI884" s="673"/>
      <c r="AJ884" s="673"/>
      <c r="AK884" s="673"/>
      <c r="AL884" s="673"/>
      <c r="AM884" s="673"/>
      <c r="AN884" s="673"/>
      <c r="AO884" s="673"/>
      <c r="AP884" s="673"/>
      <c r="AQ884" s="673"/>
      <c r="AR884" s="673"/>
      <c r="AS884" s="673"/>
      <c r="AT884" s="696"/>
    </row>
    <row r="885" ht="15.75" customHeight="1">
      <c r="A885" s="653"/>
      <c r="B885" s="654"/>
      <c r="C885" s="691"/>
      <c r="D885" s="656"/>
      <c r="E885" s="657"/>
      <c r="F885" s="658"/>
      <c r="G885" s="659"/>
      <c r="H885" s="660"/>
      <c r="I885" s="659"/>
      <c r="J885" s="661"/>
      <c r="K885" s="692"/>
      <c r="L885" s="645"/>
      <c r="M885" s="663"/>
      <c r="N885" s="665"/>
      <c r="O885" s="665"/>
      <c r="P885" s="666"/>
      <c r="Q885" s="667"/>
      <c r="R885" s="668"/>
      <c r="S885" s="693"/>
      <c r="T885" s="694"/>
      <c r="U885" s="694"/>
      <c r="V885" s="693"/>
      <c r="W885" s="693"/>
      <c r="X885" s="693"/>
      <c r="Y885" s="671"/>
      <c r="Z885" s="673"/>
      <c r="AA885" s="672"/>
      <c r="AB885" s="695"/>
      <c r="AC885" s="673"/>
      <c r="AD885" s="673"/>
      <c r="AE885" s="673"/>
      <c r="AF885" s="673"/>
      <c r="AG885" s="673"/>
      <c r="AH885" s="673"/>
      <c r="AI885" s="673"/>
      <c r="AJ885" s="673"/>
      <c r="AK885" s="673"/>
      <c r="AL885" s="673"/>
      <c r="AM885" s="673"/>
      <c r="AN885" s="673"/>
      <c r="AO885" s="673"/>
      <c r="AP885" s="673"/>
      <c r="AQ885" s="673"/>
      <c r="AR885" s="673"/>
      <c r="AS885" s="673"/>
      <c r="AT885" s="696"/>
    </row>
    <row r="886" ht="15.75" customHeight="1">
      <c r="A886" s="653"/>
      <c r="B886" s="654"/>
      <c r="C886" s="691"/>
      <c r="D886" s="656"/>
      <c r="E886" s="657"/>
      <c r="F886" s="658"/>
      <c r="G886" s="659"/>
      <c r="H886" s="660"/>
      <c r="I886" s="659"/>
      <c r="J886" s="661"/>
      <c r="K886" s="692"/>
      <c r="L886" s="645"/>
      <c r="M886" s="663"/>
      <c r="N886" s="665"/>
      <c r="O886" s="665"/>
      <c r="P886" s="666"/>
      <c r="Q886" s="667"/>
      <c r="R886" s="668"/>
      <c r="S886" s="693"/>
      <c r="T886" s="694"/>
      <c r="U886" s="694"/>
      <c r="V886" s="693"/>
      <c r="W886" s="693"/>
      <c r="X886" s="693"/>
      <c r="Y886" s="671"/>
      <c r="Z886" s="673"/>
      <c r="AA886" s="672"/>
      <c r="AB886" s="695"/>
      <c r="AC886" s="673"/>
      <c r="AD886" s="673"/>
      <c r="AE886" s="673"/>
      <c r="AF886" s="673"/>
      <c r="AG886" s="673"/>
      <c r="AH886" s="673"/>
      <c r="AI886" s="673"/>
      <c r="AJ886" s="673"/>
      <c r="AK886" s="673"/>
      <c r="AL886" s="673"/>
      <c r="AM886" s="673"/>
      <c r="AN886" s="673"/>
      <c r="AO886" s="673"/>
      <c r="AP886" s="673"/>
      <c r="AQ886" s="673"/>
      <c r="AR886" s="673"/>
      <c r="AS886" s="673"/>
      <c r="AT886" s="696"/>
    </row>
    <row r="887" ht="15.75" customHeight="1">
      <c r="A887" s="653"/>
      <c r="B887" s="654"/>
      <c r="C887" s="691"/>
      <c r="D887" s="656"/>
      <c r="E887" s="657"/>
      <c r="F887" s="658"/>
      <c r="G887" s="659"/>
      <c r="H887" s="660"/>
      <c r="I887" s="659"/>
      <c r="J887" s="661"/>
      <c r="K887" s="692"/>
      <c r="L887" s="645"/>
      <c r="M887" s="663"/>
      <c r="N887" s="665"/>
      <c r="O887" s="665"/>
      <c r="P887" s="666"/>
      <c r="Q887" s="667"/>
      <c r="R887" s="668"/>
      <c r="S887" s="693"/>
      <c r="T887" s="694"/>
      <c r="U887" s="694"/>
      <c r="V887" s="693"/>
      <c r="W887" s="693"/>
      <c r="X887" s="693"/>
      <c r="Y887" s="671"/>
      <c r="Z887" s="673"/>
      <c r="AA887" s="672"/>
      <c r="AB887" s="695"/>
      <c r="AC887" s="673"/>
      <c r="AD887" s="673"/>
      <c r="AE887" s="673"/>
      <c r="AF887" s="673"/>
      <c r="AG887" s="673"/>
      <c r="AH887" s="673"/>
      <c r="AI887" s="673"/>
      <c r="AJ887" s="673"/>
      <c r="AK887" s="673"/>
      <c r="AL887" s="673"/>
      <c r="AM887" s="673"/>
      <c r="AN887" s="673"/>
      <c r="AO887" s="673"/>
      <c r="AP887" s="673"/>
      <c r="AQ887" s="673"/>
      <c r="AR887" s="673"/>
      <c r="AS887" s="673"/>
      <c r="AT887" s="696"/>
    </row>
    <row r="888" ht="15.75" customHeight="1">
      <c r="A888" s="653"/>
      <c r="B888" s="654"/>
      <c r="C888" s="691"/>
      <c r="D888" s="656"/>
      <c r="E888" s="657"/>
      <c r="F888" s="658"/>
      <c r="G888" s="659"/>
      <c r="H888" s="660"/>
      <c r="I888" s="659"/>
      <c r="J888" s="661"/>
      <c r="K888" s="692"/>
      <c r="L888" s="645"/>
      <c r="M888" s="663"/>
      <c r="N888" s="665"/>
      <c r="O888" s="665"/>
      <c r="P888" s="666"/>
      <c r="Q888" s="667"/>
      <c r="R888" s="668"/>
      <c r="S888" s="693"/>
      <c r="T888" s="694"/>
      <c r="U888" s="694"/>
      <c r="V888" s="693"/>
      <c r="W888" s="693"/>
      <c r="X888" s="693"/>
      <c r="Y888" s="671"/>
      <c r="Z888" s="673"/>
      <c r="AA888" s="672"/>
      <c r="AB888" s="695"/>
      <c r="AC888" s="673"/>
      <c r="AD888" s="673"/>
      <c r="AE888" s="673"/>
      <c r="AF888" s="673"/>
      <c r="AG888" s="673"/>
      <c r="AH888" s="673"/>
      <c r="AI888" s="673"/>
      <c r="AJ888" s="673"/>
      <c r="AK888" s="673"/>
      <c r="AL888" s="673"/>
      <c r="AM888" s="673"/>
      <c r="AN888" s="673"/>
      <c r="AO888" s="673"/>
      <c r="AP888" s="673"/>
      <c r="AQ888" s="673"/>
      <c r="AR888" s="673"/>
      <c r="AS888" s="673"/>
      <c r="AT888" s="696"/>
    </row>
    <row r="889" ht="15.75" customHeight="1">
      <c r="A889" s="653"/>
      <c r="B889" s="654"/>
      <c r="C889" s="691"/>
      <c r="D889" s="656"/>
      <c r="E889" s="657"/>
      <c r="F889" s="658"/>
      <c r="G889" s="659"/>
      <c r="H889" s="660"/>
      <c r="I889" s="659"/>
      <c r="J889" s="661"/>
      <c r="K889" s="692"/>
      <c r="L889" s="645"/>
      <c r="M889" s="663"/>
      <c r="N889" s="665"/>
      <c r="O889" s="665"/>
      <c r="P889" s="666"/>
      <c r="Q889" s="667"/>
      <c r="R889" s="668"/>
      <c r="S889" s="693"/>
      <c r="T889" s="694"/>
      <c r="U889" s="694"/>
      <c r="V889" s="693"/>
      <c r="W889" s="693"/>
      <c r="X889" s="693"/>
      <c r="Y889" s="671"/>
      <c r="Z889" s="673"/>
      <c r="AA889" s="672"/>
      <c r="AB889" s="695"/>
      <c r="AC889" s="673"/>
      <c r="AD889" s="673"/>
      <c r="AE889" s="673"/>
      <c r="AF889" s="673"/>
      <c r="AG889" s="673"/>
      <c r="AH889" s="673"/>
      <c r="AI889" s="673"/>
      <c r="AJ889" s="673"/>
      <c r="AK889" s="673"/>
      <c r="AL889" s="673"/>
      <c r="AM889" s="673"/>
      <c r="AN889" s="673"/>
      <c r="AO889" s="673"/>
      <c r="AP889" s="673"/>
      <c r="AQ889" s="673"/>
      <c r="AR889" s="673"/>
      <c r="AS889" s="673"/>
      <c r="AT889" s="696"/>
    </row>
    <row r="890" ht="15.75" customHeight="1">
      <c r="A890" s="653"/>
      <c r="B890" s="654"/>
      <c r="C890" s="691"/>
      <c r="D890" s="656"/>
      <c r="E890" s="657"/>
      <c r="F890" s="658"/>
      <c r="G890" s="659"/>
      <c r="H890" s="660"/>
      <c r="I890" s="659"/>
      <c r="J890" s="661"/>
      <c r="K890" s="692"/>
      <c r="L890" s="645"/>
      <c r="M890" s="663"/>
      <c r="N890" s="665"/>
      <c r="O890" s="665"/>
      <c r="P890" s="666"/>
      <c r="Q890" s="667"/>
      <c r="R890" s="668"/>
      <c r="S890" s="693"/>
      <c r="T890" s="694"/>
      <c r="U890" s="694"/>
      <c r="V890" s="693"/>
      <c r="W890" s="693"/>
      <c r="X890" s="693"/>
      <c r="Y890" s="671"/>
      <c r="Z890" s="673"/>
      <c r="AA890" s="672"/>
      <c r="AB890" s="695"/>
      <c r="AC890" s="673"/>
      <c r="AD890" s="673"/>
      <c r="AE890" s="673"/>
      <c r="AF890" s="673"/>
      <c r="AG890" s="673"/>
      <c r="AH890" s="673"/>
      <c r="AI890" s="673"/>
      <c r="AJ890" s="673"/>
      <c r="AK890" s="673"/>
      <c r="AL890" s="673"/>
      <c r="AM890" s="673"/>
      <c r="AN890" s="673"/>
      <c r="AO890" s="673"/>
      <c r="AP890" s="673"/>
      <c r="AQ890" s="673"/>
      <c r="AR890" s="673"/>
      <c r="AS890" s="673"/>
      <c r="AT890" s="696"/>
    </row>
    <row r="891" ht="15.75" customHeight="1">
      <c r="A891" s="653"/>
      <c r="B891" s="654"/>
      <c r="C891" s="691"/>
      <c r="D891" s="656"/>
      <c r="E891" s="657"/>
      <c r="F891" s="658"/>
      <c r="G891" s="659"/>
      <c r="H891" s="660"/>
      <c r="I891" s="659"/>
      <c r="J891" s="661"/>
      <c r="K891" s="692"/>
      <c r="L891" s="645"/>
      <c r="M891" s="663"/>
      <c r="N891" s="665"/>
      <c r="O891" s="665"/>
      <c r="P891" s="666"/>
      <c r="Q891" s="667"/>
      <c r="R891" s="668"/>
      <c r="S891" s="693"/>
      <c r="T891" s="694"/>
      <c r="U891" s="694"/>
      <c r="V891" s="693"/>
      <c r="W891" s="693"/>
      <c r="X891" s="693"/>
      <c r="Y891" s="671"/>
      <c r="Z891" s="673"/>
      <c r="AA891" s="672"/>
      <c r="AB891" s="695"/>
      <c r="AC891" s="673"/>
      <c r="AD891" s="673"/>
      <c r="AE891" s="673"/>
      <c r="AF891" s="673"/>
      <c r="AG891" s="673"/>
      <c r="AH891" s="673"/>
      <c r="AI891" s="673"/>
      <c r="AJ891" s="673"/>
      <c r="AK891" s="673"/>
      <c r="AL891" s="673"/>
      <c r="AM891" s="673"/>
      <c r="AN891" s="673"/>
      <c r="AO891" s="673"/>
      <c r="AP891" s="673"/>
      <c r="AQ891" s="673"/>
      <c r="AR891" s="673"/>
      <c r="AS891" s="673"/>
      <c r="AT891" s="696"/>
    </row>
    <row r="892" ht="15.75" customHeight="1">
      <c r="A892" s="653"/>
      <c r="B892" s="654"/>
      <c r="C892" s="691"/>
      <c r="D892" s="656"/>
      <c r="E892" s="657"/>
      <c r="F892" s="658"/>
      <c r="G892" s="659"/>
      <c r="H892" s="660"/>
      <c r="I892" s="659"/>
      <c r="J892" s="661"/>
      <c r="K892" s="692"/>
      <c r="L892" s="645"/>
      <c r="M892" s="663"/>
      <c r="N892" s="665"/>
      <c r="O892" s="665"/>
      <c r="P892" s="666"/>
      <c r="Q892" s="667"/>
      <c r="R892" s="668"/>
      <c r="S892" s="693"/>
      <c r="T892" s="694"/>
      <c r="U892" s="694"/>
      <c r="V892" s="693"/>
      <c r="W892" s="693"/>
      <c r="X892" s="693"/>
      <c r="Y892" s="671"/>
      <c r="Z892" s="673"/>
      <c r="AA892" s="672"/>
      <c r="AB892" s="695"/>
      <c r="AC892" s="673"/>
      <c r="AD892" s="673"/>
      <c r="AE892" s="673"/>
      <c r="AF892" s="673"/>
      <c r="AG892" s="673"/>
      <c r="AH892" s="673"/>
      <c r="AI892" s="673"/>
      <c r="AJ892" s="673"/>
      <c r="AK892" s="673"/>
      <c r="AL892" s="673"/>
      <c r="AM892" s="673"/>
      <c r="AN892" s="673"/>
      <c r="AO892" s="673"/>
      <c r="AP892" s="673"/>
      <c r="AQ892" s="673"/>
      <c r="AR892" s="673"/>
      <c r="AS892" s="673"/>
      <c r="AT892" s="696"/>
    </row>
    <row r="893" ht="15.75" customHeight="1">
      <c r="A893" s="653"/>
      <c r="B893" s="654"/>
      <c r="C893" s="691"/>
      <c r="D893" s="656"/>
      <c r="E893" s="657"/>
      <c r="F893" s="658"/>
      <c r="G893" s="659"/>
      <c r="H893" s="660"/>
      <c r="I893" s="659"/>
      <c r="J893" s="661"/>
      <c r="K893" s="692"/>
      <c r="L893" s="645"/>
      <c r="M893" s="663"/>
      <c r="N893" s="665"/>
      <c r="O893" s="665"/>
      <c r="P893" s="666"/>
      <c r="Q893" s="667"/>
      <c r="R893" s="668"/>
      <c r="S893" s="693"/>
      <c r="T893" s="694"/>
      <c r="U893" s="694"/>
      <c r="V893" s="693"/>
      <c r="W893" s="693"/>
      <c r="X893" s="693"/>
      <c r="Y893" s="671"/>
      <c r="Z893" s="673"/>
      <c r="AA893" s="672"/>
      <c r="AB893" s="695"/>
      <c r="AC893" s="673"/>
      <c r="AD893" s="673"/>
      <c r="AE893" s="673"/>
      <c r="AF893" s="673"/>
      <c r="AG893" s="673"/>
      <c r="AH893" s="673"/>
      <c r="AI893" s="673"/>
      <c r="AJ893" s="673"/>
      <c r="AK893" s="673"/>
      <c r="AL893" s="673"/>
      <c r="AM893" s="673"/>
      <c r="AN893" s="673"/>
      <c r="AO893" s="673"/>
      <c r="AP893" s="673"/>
      <c r="AQ893" s="673"/>
      <c r="AR893" s="673"/>
      <c r="AS893" s="673"/>
      <c r="AT893" s="696"/>
    </row>
    <row r="894" ht="15.75" customHeight="1">
      <c r="A894" s="653"/>
      <c r="B894" s="654"/>
      <c r="C894" s="691"/>
      <c r="D894" s="656"/>
      <c r="E894" s="657"/>
      <c r="F894" s="658"/>
      <c r="G894" s="659"/>
      <c r="H894" s="660"/>
      <c r="I894" s="659"/>
      <c r="J894" s="661"/>
      <c r="K894" s="692"/>
      <c r="L894" s="645"/>
      <c r="M894" s="663"/>
      <c r="N894" s="665"/>
      <c r="O894" s="665"/>
      <c r="P894" s="666"/>
      <c r="Q894" s="667"/>
      <c r="R894" s="668"/>
      <c r="S894" s="693"/>
      <c r="T894" s="694"/>
      <c r="U894" s="694"/>
      <c r="V894" s="693"/>
      <c r="W894" s="693"/>
      <c r="X894" s="693"/>
      <c r="Y894" s="671"/>
      <c r="Z894" s="673"/>
      <c r="AA894" s="672"/>
      <c r="AB894" s="695"/>
      <c r="AC894" s="673"/>
      <c r="AD894" s="673"/>
      <c r="AE894" s="673"/>
      <c r="AF894" s="673"/>
      <c r="AG894" s="673"/>
      <c r="AH894" s="673"/>
      <c r="AI894" s="673"/>
      <c r="AJ894" s="673"/>
      <c r="AK894" s="673"/>
      <c r="AL894" s="673"/>
      <c r="AM894" s="673"/>
      <c r="AN894" s="673"/>
      <c r="AO894" s="673"/>
      <c r="AP894" s="673"/>
      <c r="AQ894" s="673"/>
      <c r="AR894" s="673"/>
      <c r="AS894" s="673"/>
      <c r="AT894" s="696"/>
    </row>
    <row r="895" ht="15.75" customHeight="1">
      <c r="A895" s="653"/>
      <c r="B895" s="654"/>
      <c r="C895" s="691"/>
      <c r="D895" s="656"/>
      <c r="E895" s="657"/>
      <c r="F895" s="658"/>
      <c r="G895" s="659"/>
      <c r="H895" s="660"/>
      <c r="I895" s="659"/>
      <c r="J895" s="661"/>
      <c r="K895" s="692"/>
      <c r="L895" s="645"/>
      <c r="M895" s="663"/>
      <c r="N895" s="665"/>
      <c r="O895" s="665"/>
      <c r="P895" s="666"/>
      <c r="Q895" s="667"/>
      <c r="R895" s="668"/>
      <c r="S895" s="693"/>
      <c r="T895" s="694"/>
      <c r="U895" s="694"/>
      <c r="V895" s="693"/>
      <c r="W895" s="693"/>
      <c r="X895" s="693"/>
      <c r="Y895" s="671"/>
      <c r="Z895" s="673"/>
      <c r="AA895" s="672"/>
      <c r="AB895" s="695"/>
      <c r="AC895" s="673"/>
      <c r="AD895" s="673"/>
      <c r="AE895" s="673"/>
      <c r="AF895" s="673"/>
      <c r="AG895" s="673"/>
      <c r="AH895" s="673"/>
      <c r="AI895" s="673"/>
      <c r="AJ895" s="673"/>
      <c r="AK895" s="673"/>
      <c r="AL895" s="673"/>
      <c r="AM895" s="673"/>
      <c r="AN895" s="673"/>
      <c r="AO895" s="673"/>
      <c r="AP895" s="673"/>
      <c r="AQ895" s="673"/>
      <c r="AR895" s="673"/>
      <c r="AS895" s="673"/>
      <c r="AT895" s="696"/>
    </row>
    <row r="896" ht="15.75" customHeight="1">
      <c r="A896" s="653"/>
      <c r="B896" s="654"/>
      <c r="C896" s="691"/>
      <c r="D896" s="656"/>
      <c r="E896" s="657"/>
      <c r="F896" s="658"/>
      <c r="G896" s="659"/>
      <c r="H896" s="660"/>
      <c r="I896" s="659"/>
      <c r="J896" s="661"/>
      <c r="K896" s="692"/>
      <c r="L896" s="645"/>
      <c r="M896" s="663"/>
      <c r="N896" s="665"/>
      <c r="O896" s="665"/>
      <c r="P896" s="666"/>
      <c r="Q896" s="667"/>
      <c r="R896" s="668"/>
      <c r="S896" s="693"/>
      <c r="T896" s="694"/>
      <c r="U896" s="694"/>
      <c r="V896" s="693"/>
      <c r="W896" s="693"/>
      <c r="X896" s="693"/>
      <c r="Y896" s="671"/>
      <c r="Z896" s="673"/>
      <c r="AA896" s="672"/>
      <c r="AB896" s="695"/>
      <c r="AC896" s="673"/>
      <c r="AD896" s="673"/>
      <c r="AE896" s="673"/>
      <c r="AF896" s="673"/>
      <c r="AG896" s="673"/>
      <c r="AH896" s="673"/>
      <c r="AI896" s="673"/>
      <c r="AJ896" s="673"/>
      <c r="AK896" s="673"/>
      <c r="AL896" s="673"/>
      <c r="AM896" s="673"/>
      <c r="AN896" s="673"/>
      <c r="AO896" s="673"/>
      <c r="AP896" s="673"/>
      <c r="AQ896" s="673"/>
      <c r="AR896" s="673"/>
      <c r="AS896" s="673"/>
      <c r="AT896" s="696"/>
    </row>
    <row r="897" ht="15.75" customHeight="1">
      <c r="A897" s="653"/>
      <c r="B897" s="654"/>
      <c r="C897" s="691"/>
      <c r="D897" s="656"/>
      <c r="E897" s="657"/>
      <c r="F897" s="658"/>
      <c r="G897" s="659"/>
      <c r="H897" s="660"/>
      <c r="I897" s="659"/>
      <c r="J897" s="661"/>
      <c r="K897" s="692"/>
      <c r="L897" s="645"/>
      <c r="M897" s="663"/>
      <c r="N897" s="665"/>
      <c r="O897" s="665"/>
      <c r="P897" s="666"/>
      <c r="Q897" s="667"/>
      <c r="R897" s="668"/>
      <c r="S897" s="693"/>
      <c r="T897" s="694"/>
      <c r="U897" s="694"/>
      <c r="V897" s="693"/>
      <c r="W897" s="693"/>
      <c r="X897" s="693"/>
      <c r="Y897" s="671"/>
      <c r="Z897" s="673"/>
      <c r="AA897" s="672"/>
      <c r="AB897" s="695"/>
      <c r="AC897" s="673"/>
      <c r="AD897" s="673"/>
      <c r="AE897" s="673"/>
      <c r="AF897" s="673"/>
      <c r="AG897" s="673"/>
      <c r="AH897" s="673"/>
      <c r="AI897" s="673"/>
      <c r="AJ897" s="673"/>
      <c r="AK897" s="673"/>
      <c r="AL897" s="673"/>
      <c r="AM897" s="673"/>
      <c r="AN897" s="673"/>
      <c r="AO897" s="673"/>
      <c r="AP897" s="673"/>
      <c r="AQ897" s="673"/>
      <c r="AR897" s="673"/>
      <c r="AS897" s="673"/>
      <c r="AT897" s="696"/>
    </row>
    <row r="898" ht="15.75" customHeight="1">
      <c r="A898" s="653"/>
      <c r="B898" s="654"/>
      <c r="C898" s="691"/>
      <c r="D898" s="656"/>
      <c r="E898" s="657"/>
      <c r="F898" s="658"/>
      <c r="G898" s="659"/>
      <c r="H898" s="660"/>
      <c r="I898" s="659"/>
      <c r="J898" s="661"/>
      <c r="K898" s="692"/>
      <c r="L898" s="645"/>
      <c r="M898" s="663"/>
      <c r="N898" s="665"/>
      <c r="O898" s="665"/>
      <c r="P898" s="666"/>
      <c r="Q898" s="667"/>
      <c r="R898" s="668"/>
      <c r="S898" s="693"/>
      <c r="T898" s="694"/>
      <c r="U898" s="694"/>
      <c r="V898" s="693"/>
      <c r="W898" s="693"/>
      <c r="X898" s="693"/>
      <c r="Y898" s="671"/>
      <c r="Z898" s="673"/>
      <c r="AA898" s="672"/>
      <c r="AB898" s="695"/>
      <c r="AC898" s="673"/>
      <c r="AD898" s="673"/>
      <c r="AE898" s="673"/>
      <c r="AF898" s="673"/>
      <c r="AG898" s="673"/>
      <c r="AH898" s="673"/>
      <c r="AI898" s="673"/>
      <c r="AJ898" s="673"/>
      <c r="AK898" s="673"/>
      <c r="AL898" s="673"/>
      <c r="AM898" s="673"/>
      <c r="AN898" s="673"/>
      <c r="AO898" s="673"/>
      <c r="AP898" s="673"/>
      <c r="AQ898" s="673"/>
      <c r="AR898" s="673"/>
      <c r="AS898" s="673"/>
      <c r="AT898" s="696"/>
    </row>
    <row r="899" ht="15.75" customHeight="1">
      <c r="A899" s="653"/>
      <c r="B899" s="654"/>
      <c r="C899" s="691"/>
      <c r="D899" s="656"/>
      <c r="E899" s="657"/>
      <c r="F899" s="658"/>
      <c r="G899" s="659"/>
      <c r="H899" s="660"/>
      <c r="I899" s="659"/>
      <c r="J899" s="661"/>
      <c r="K899" s="692"/>
      <c r="L899" s="645"/>
      <c r="M899" s="663"/>
      <c r="N899" s="665"/>
      <c r="O899" s="665"/>
      <c r="P899" s="666"/>
      <c r="Q899" s="667"/>
      <c r="R899" s="668"/>
      <c r="S899" s="693"/>
      <c r="T899" s="694"/>
      <c r="U899" s="694"/>
      <c r="V899" s="693"/>
      <c r="W899" s="693"/>
      <c r="X899" s="693"/>
      <c r="Y899" s="671"/>
      <c r="Z899" s="673"/>
      <c r="AA899" s="672"/>
      <c r="AB899" s="695"/>
      <c r="AC899" s="673"/>
      <c r="AD899" s="673"/>
      <c r="AE899" s="673"/>
      <c r="AF899" s="673"/>
      <c r="AG899" s="673"/>
      <c r="AH899" s="673"/>
      <c r="AI899" s="673"/>
      <c r="AJ899" s="673"/>
      <c r="AK899" s="673"/>
      <c r="AL899" s="673"/>
      <c r="AM899" s="673"/>
      <c r="AN899" s="673"/>
      <c r="AO899" s="673"/>
      <c r="AP899" s="673"/>
      <c r="AQ899" s="673"/>
      <c r="AR899" s="673"/>
      <c r="AS899" s="673"/>
      <c r="AT899" s="696"/>
    </row>
    <row r="900" ht="15.75" customHeight="1">
      <c r="A900" s="653"/>
      <c r="B900" s="654"/>
      <c r="C900" s="691"/>
      <c r="D900" s="656"/>
      <c r="E900" s="657"/>
      <c r="F900" s="658"/>
      <c r="G900" s="659"/>
      <c r="H900" s="660"/>
      <c r="I900" s="659"/>
      <c r="J900" s="661"/>
      <c r="K900" s="692"/>
      <c r="L900" s="645"/>
      <c r="M900" s="663"/>
      <c r="N900" s="665"/>
      <c r="O900" s="665"/>
      <c r="P900" s="666"/>
      <c r="Q900" s="667"/>
      <c r="R900" s="668"/>
      <c r="S900" s="693"/>
      <c r="T900" s="694"/>
      <c r="U900" s="694"/>
      <c r="V900" s="693"/>
      <c r="W900" s="693"/>
      <c r="X900" s="693"/>
      <c r="Y900" s="671"/>
      <c r="Z900" s="673"/>
      <c r="AA900" s="672"/>
      <c r="AB900" s="695"/>
      <c r="AC900" s="673"/>
      <c r="AD900" s="673"/>
      <c r="AE900" s="673"/>
      <c r="AF900" s="673"/>
      <c r="AG900" s="673"/>
      <c r="AH900" s="673"/>
      <c r="AI900" s="673"/>
      <c r="AJ900" s="673"/>
      <c r="AK900" s="673"/>
      <c r="AL900" s="673"/>
      <c r="AM900" s="673"/>
      <c r="AN900" s="673"/>
      <c r="AO900" s="673"/>
      <c r="AP900" s="673"/>
      <c r="AQ900" s="673"/>
      <c r="AR900" s="673"/>
      <c r="AS900" s="673"/>
      <c r="AT900" s="696"/>
    </row>
    <row r="901" ht="15.75" customHeight="1">
      <c r="A901" s="653"/>
      <c r="B901" s="654"/>
      <c r="C901" s="691"/>
      <c r="D901" s="656"/>
      <c r="E901" s="657"/>
      <c r="F901" s="658"/>
      <c r="G901" s="659"/>
      <c r="H901" s="660"/>
      <c r="I901" s="659"/>
      <c r="J901" s="661"/>
      <c r="K901" s="692"/>
      <c r="L901" s="645"/>
      <c r="M901" s="663"/>
      <c r="N901" s="665"/>
      <c r="O901" s="665"/>
      <c r="P901" s="666"/>
      <c r="Q901" s="667"/>
      <c r="R901" s="668"/>
      <c r="S901" s="693"/>
      <c r="T901" s="694"/>
      <c r="U901" s="694"/>
      <c r="V901" s="693"/>
      <c r="W901" s="693"/>
      <c r="X901" s="693"/>
      <c r="Y901" s="671"/>
      <c r="Z901" s="673"/>
      <c r="AA901" s="672"/>
      <c r="AB901" s="695"/>
      <c r="AC901" s="673"/>
      <c r="AD901" s="673"/>
      <c r="AE901" s="673"/>
      <c r="AF901" s="673"/>
      <c r="AG901" s="673"/>
      <c r="AH901" s="673"/>
      <c r="AI901" s="673"/>
      <c r="AJ901" s="673"/>
      <c r="AK901" s="673"/>
      <c r="AL901" s="673"/>
      <c r="AM901" s="673"/>
      <c r="AN901" s="673"/>
      <c r="AO901" s="673"/>
      <c r="AP901" s="673"/>
      <c r="AQ901" s="673"/>
      <c r="AR901" s="673"/>
      <c r="AS901" s="673"/>
      <c r="AT901" s="696"/>
    </row>
    <row r="902" ht="15.75" customHeight="1">
      <c r="A902" s="653"/>
      <c r="B902" s="654"/>
      <c r="C902" s="691"/>
      <c r="D902" s="656"/>
      <c r="E902" s="657"/>
      <c r="F902" s="658"/>
      <c r="G902" s="659"/>
      <c r="H902" s="660"/>
      <c r="I902" s="659"/>
      <c r="J902" s="661"/>
      <c r="K902" s="692"/>
      <c r="L902" s="645"/>
      <c r="M902" s="663"/>
      <c r="N902" s="665"/>
      <c r="O902" s="665"/>
      <c r="P902" s="666"/>
      <c r="Q902" s="667"/>
      <c r="R902" s="668"/>
      <c r="S902" s="693"/>
      <c r="T902" s="694"/>
      <c r="U902" s="694"/>
      <c r="V902" s="693"/>
      <c r="W902" s="693"/>
      <c r="X902" s="693"/>
      <c r="Y902" s="671"/>
      <c r="Z902" s="673"/>
      <c r="AA902" s="672"/>
      <c r="AB902" s="695"/>
      <c r="AC902" s="673"/>
      <c r="AD902" s="673"/>
      <c r="AE902" s="673"/>
      <c r="AF902" s="673"/>
      <c r="AG902" s="673"/>
      <c r="AH902" s="673"/>
      <c r="AI902" s="673"/>
      <c r="AJ902" s="673"/>
      <c r="AK902" s="673"/>
      <c r="AL902" s="673"/>
      <c r="AM902" s="673"/>
      <c r="AN902" s="673"/>
      <c r="AO902" s="673"/>
      <c r="AP902" s="673"/>
      <c r="AQ902" s="673"/>
      <c r="AR902" s="673"/>
      <c r="AS902" s="673"/>
      <c r="AT902" s="696"/>
    </row>
    <row r="903" ht="15.75" customHeight="1">
      <c r="A903" s="653"/>
      <c r="B903" s="654"/>
      <c r="C903" s="691"/>
      <c r="D903" s="656"/>
      <c r="E903" s="657"/>
      <c r="F903" s="658"/>
      <c r="G903" s="659"/>
      <c r="H903" s="660"/>
      <c r="I903" s="659"/>
      <c r="J903" s="661"/>
      <c r="K903" s="692"/>
      <c r="L903" s="645"/>
      <c r="M903" s="663"/>
      <c r="N903" s="665"/>
      <c r="O903" s="665"/>
      <c r="P903" s="666"/>
      <c r="Q903" s="667"/>
      <c r="R903" s="668"/>
      <c r="S903" s="693"/>
      <c r="T903" s="694"/>
      <c r="U903" s="694"/>
      <c r="V903" s="693"/>
      <c r="W903" s="693"/>
      <c r="X903" s="693"/>
      <c r="Y903" s="671"/>
      <c r="Z903" s="673"/>
      <c r="AA903" s="672"/>
      <c r="AB903" s="695"/>
      <c r="AC903" s="673"/>
      <c r="AD903" s="673"/>
      <c r="AE903" s="673"/>
      <c r="AF903" s="673"/>
      <c r="AG903" s="673"/>
      <c r="AH903" s="673"/>
      <c r="AI903" s="673"/>
      <c r="AJ903" s="673"/>
      <c r="AK903" s="673"/>
      <c r="AL903" s="673"/>
      <c r="AM903" s="673"/>
      <c r="AN903" s="673"/>
      <c r="AO903" s="673"/>
      <c r="AP903" s="673"/>
      <c r="AQ903" s="673"/>
      <c r="AR903" s="673"/>
      <c r="AS903" s="673"/>
      <c r="AT903" s="696"/>
    </row>
    <row r="904" ht="15.75" customHeight="1">
      <c r="A904" s="653"/>
      <c r="B904" s="654"/>
      <c r="C904" s="691"/>
      <c r="D904" s="656"/>
      <c r="E904" s="657"/>
      <c r="F904" s="658"/>
      <c r="G904" s="659"/>
      <c r="H904" s="660"/>
      <c r="I904" s="659"/>
      <c r="J904" s="661"/>
      <c r="K904" s="692"/>
      <c r="L904" s="645"/>
      <c r="M904" s="663"/>
      <c r="N904" s="665"/>
      <c r="O904" s="665"/>
      <c r="P904" s="666"/>
      <c r="Q904" s="667"/>
      <c r="R904" s="668"/>
      <c r="S904" s="693"/>
      <c r="T904" s="694"/>
      <c r="U904" s="694"/>
      <c r="V904" s="693"/>
      <c r="W904" s="693"/>
      <c r="X904" s="693"/>
      <c r="Y904" s="671"/>
      <c r="Z904" s="673"/>
      <c r="AA904" s="672"/>
      <c r="AB904" s="695"/>
      <c r="AC904" s="673"/>
      <c r="AD904" s="673"/>
      <c r="AE904" s="673"/>
      <c r="AF904" s="673"/>
      <c r="AG904" s="673"/>
      <c r="AH904" s="673"/>
      <c r="AI904" s="673"/>
      <c r="AJ904" s="673"/>
      <c r="AK904" s="673"/>
      <c r="AL904" s="673"/>
      <c r="AM904" s="673"/>
      <c r="AN904" s="673"/>
      <c r="AO904" s="673"/>
      <c r="AP904" s="673"/>
      <c r="AQ904" s="673"/>
      <c r="AR904" s="673"/>
      <c r="AS904" s="673"/>
      <c r="AT904" s="696"/>
    </row>
    <row r="905" ht="15.75" customHeight="1">
      <c r="A905" s="653"/>
      <c r="B905" s="654"/>
      <c r="C905" s="691"/>
      <c r="D905" s="656"/>
      <c r="E905" s="657"/>
      <c r="F905" s="658"/>
      <c r="G905" s="659"/>
      <c r="H905" s="660"/>
      <c r="I905" s="659"/>
      <c r="J905" s="661"/>
      <c r="K905" s="692"/>
      <c r="L905" s="645"/>
      <c r="M905" s="663"/>
      <c r="N905" s="665"/>
      <c r="O905" s="665"/>
      <c r="P905" s="666"/>
      <c r="Q905" s="667"/>
      <c r="R905" s="668"/>
      <c r="S905" s="693"/>
      <c r="T905" s="694"/>
      <c r="U905" s="694"/>
      <c r="V905" s="693"/>
      <c r="W905" s="693"/>
      <c r="X905" s="693"/>
      <c r="Y905" s="671"/>
      <c r="Z905" s="673"/>
      <c r="AA905" s="672"/>
      <c r="AB905" s="695"/>
      <c r="AC905" s="673"/>
      <c r="AD905" s="673"/>
      <c r="AE905" s="673"/>
      <c r="AF905" s="673"/>
      <c r="AG905" s="673"/>
      <c r="AH905" s="673"/>
      <c r="AI905" s="673"/>
      <c r="AJ905" s="673"/>
      <c r="AK905" s="673"/>
      <c r="AL905" s="673"/>
      <c r="AM905" s="673"/>
      <c r="AN905" s="673"/>
      <c r="AO905" s="673"/>
      <c r="AP905" s="673"/>
      <c r="AQ905" s="673"/>
      <c r="AR905" s="673"/>
      <c r="AS905" s="673"/>
      <c r="AT905" s="696"/>
    </row>
    <row r="906" ht="15.75" customHeight="1">
      <c r="A906" s="653"/>
      <c r="B906" s="654"/>
      <c r="C906" s="691"/>
      <c r="D906" s="656"/>
      <c r="E906" s="657"/>
      <c r="F906" s="658"/>
      <c r="G906" s="659"/>
      <c r="H906" s="660"/>
      <c r="I906" s="659"/>
      <c r="J906" s="661"/>
      <c r="K906" s="692"/>
      <c r="L906" s="645"/>
      <c r="M906" s="663"/>
      <c r="N906" s="665"/>
      <c r="O906" s="665"/>
      <c r="P906" s="666"/>
      <c r="Q906" s="667"/>
      <c r="R906" s="668"/>
      <c r="S906" s="693"/>
      <c r="T906" s="694"/>
      <c r="U906" s="694"/>
      <c r="V906" s="693"/>
      <c r="W906" s="693"/>
      <c r="X906" s="693"/>
      <c r="Y906" s="671"/>
      <c r="Z906" s="673"/>
      <c r="AA906" s="672"/>
      <c r="AB906" s="695"/>
      <c r="AC906" s="673"/>
      <c r="AD906" s="673"/>
      <c r="AE906" s="673"/>
      <c r="AF906" s="673"/>
      <c r="AG906" s="673"/>
      <c r="AH906" s="673"/>
      <c r="AI906" s="673"/>
      <c r="AJ906" s="673"/>
      <c r="AK906" s="673"/>
      <c r="AL906" s="673"/>
      <c r="AM906" s="673"/>
      <c r="AN906" s="673"/>
      <c r="AO906" s="673"/>
      <c r="AP906" s="673"/>
      <c r="AQ906" s="673"/>
      <c r="AR906" s="673"/>
      <c r="AS906" s="673"/>
      <c r="AT906" s="696"/>
    </row>
    <row r="907" ht="15.75" customHeight="1">
      <c r="A907" s="653"/>
      <c r="B907" s="654"/>
      <c r="C907" s="691"/>
      <c r="D907" s="656"/>
      <c r="E907" s="657"/>
      <c r="F907" s="658"/>
      <c r="G907" s="659"/>
      <c r="H907" s="660"/>
      <c r="I907" s="659"/>
      <c r="J907" s="661"/>
      <c r="K907" s="692"/>
      <c r="L907" s="645"/>
      <c r="M907" s="663"/>
      <c r="N907" s="665"/>
      <c r="O907" s="665"/>
      <c r="P907" s="666"/>
      <c r="Q907" s="667"/>
      <c r="R907" s="668"/>
      <c r="S907" s="693"/>
      <c r="T907" s="694"/>
      <c r="U907" s="694"/>
      <c r="V907" s="693"/>
      <c r="W907" s="693"/>
      <c r="X907" s="693"/>
      <c r="Y907" s="671"/>
      <c r="Z907" s="673"/>
      <c r="AA907" s="672"/>
      <c r="AB907" s="695"/>
      <c r="AC907" s="673"/>
      <c r="AD907" s="673"/>
      <c r="AE907" s="673"/>
      <c r="AF907" s="673"/>
      <c r="AG907" s="673"/>
      <c r="AH907" s="673"/>
      <c r="AI907" s="673"/>
      <c r="AJ907" s="673"/>
      <c r="AK907" s="673"/>
      <c r="AL907" s="673"/>
      <c r="AM907" s="673"/>
      <c r="AN907" s="673"/>
      <c r="AO907" s="673"/>
      <c r="AP907" s="673"/>
      <c r="AQ907" s="673"/>
      <c r="AR907" s="673"/>
      <c r="AS907" s="673"/>
      <c r="AT907" s="696"/>
    </row>
    <row r="908" ht="15.75" customHeight="1">
      <c r="A908" s="653"/>
      <c r="B908" s="654"/>
      <c r="C908" s="691"/>
      <c r="D908" s="656"/>
      <c r="E908" s="657"/>
      <c r="F908" s="658"/>
      <c r="G908" s="659"/>
      <c r="H908" s="660"/>
      <c r="I908" s="659"/>
      <c r="J908" s="661"/>
      <c r="K908" s="692"/>
      <c r="L908" s="645"/>
      <c r="M908" s="663"/>
      <c r="N908" s="665"/>
      <c r="O908" s="665"/>
      <c r="P908" s="666"/>
      <c r="Q908" s="667"/>
      <c r="R908" s="668"/>
      <c r="S908" s="693"/>
      <c r="T908" s="694"/>
      <c r="U908" s="694"/>
      <c r="V908" s="693"/>
      <c r="W908" s="693"/>
      <c r="X908" s="693"/>
      <c r="Y908" s="671"/>
      <c r="Z908" s="673"/>
      <c r="AA908" s="672"/>
      <c r="AB908" s="695"/>
      <c r="AC908" s="673"/>
      <c r="AD908" s="673"/>
      <c r="AE908" s="673"/>
      <c r="AF908" s="673"/>
      <c r="AG908" s="673"/>
      <c r="AH908" s="673"/>
      <c r="AI908" s="673"/>
      <c r="AJ908" s="673"/>
      <c r="AK908" s="673"/>
      <c r="AL908" s="673"/>
      <c r="AM908" s="673"/>
      <c r="AN908" s="673"/>
      <c r="AO908" s="673"/>
      <c r="AP908" s="673"/>
      <c r="AQ908" s="673"/>
      <c r="AR908" s="673"/>
      <c r="AS908" s="673"/>
      <c r="AT908" s="696"/>
    </row>
    <row r="909" ht="15.75" customHeight="1">
      <c r="A909" s="653"/>
      <c r="B909" s="654"/>
      <c r="C909" s="691"/>
      <c r="D909" s="656"/>
      <c r="E909" s="657"/>
      <c r="F909" s="658"/>
      <c r="G909" s="659"/>
      <c r="H909" s="660"/>
      <c r="I909" s="659"/>
      <c r="J909" s="661"/>
      <c r="K909" s="692"/>
      <c r="L909" s="645"/>
      <c r="M909" s="663"/>
      <c r="N909" s="665"/>
      <c r="O909" s="665"/>
      <c r="P909" s="666"/>
      <c r="Q909" s="667"/>
      <c r="R909" s="668"/>
      <c r="S909" s="693"/>
      <c r="T909" s="694"/>
      <c r="U909" s="694"/>
      <c r="V909" s="693"/>
      <c r="W909" s="693"/>
      <c r="X909" s="693"/>
      <c r="Y909" s="671"/>
      <c r="Z909" s="673"/>
      <c r="AA909" s="672"/>
      <c r="AB909" s="695"/>
      <c r="AC909" s="673"/>
      <c r="AD909" s="673"/>
      <c r="AE909" s="673"/>
      <c r="AF909" s="673"/>
      <c r="AG909" s="673"/>
      <c r="AH909" s="673"/>
      <c r="AI909" s="673"/>
      <c r="AJ909" s="673"/>
      <c r="AK909" s="673"/>
      <c r="AL909" s="673"/>
      <c r="AM909" s="673"/>
      <c r="AN909" s="673"/>
      <c r="AO909" s="673"/>
      <c r="AP909" s="673"/>
      <c r="AQ909" s="673"/>
      <c r="AR909" s="673"/>
      <c r="AS909" s="673"/>
      <c r="AT909" s="696"/>
    </row>
    <row r="910" ht="15.75" customHeight="1">
      <c r="A910" s="653"/>
      <c r="B910" s="654"/>
      <c r="C910" s="691"/>
      <c r="D910" s="656"/>
      <c r="E910" s="657"/>
      <c r="F910" s="658"/>
      <c r="G910" s="659"/>
      <c r="H910" s="660"/>
      <c r="I910" s="659"/>
      <c r="J910" s="661"/>
      <c r="K910" s="692"/>
      <c r="L910" s="645"/>
      <c r="M910" s="663"/>
      <c r="N910" s="665"/>
      <c r="O910" s="665"/>
      <c r="P910" s="666"/>
      <c r="Q910" s="667"/>
      <c r="R910" s="668"/>
      <c r="S910" s="693"/>
      <c r="T910" s="694"/>
      <c r="U910" s="694"/>
      <c r="V910" s="693"/>
      <c r="W910" s="693"/>
      <c r="X910" s="693"/>
      <c r="Y910" s="671"/>
      <c r="Z910" s="673"/>
      <c r="AA910" s="672"/>
      <c r="AB910" s="695"/>
      <c r="AC910" s="673"/>
      <c r="AD910" s="673"/>
      <c r="AE910" s="673"/>
      <c r="AF910" s="673"/>
      <c r="AG910" s="673"/>
      <c r="AH910" s="673"/>
      <c r="AI910" s="673"/>
      <c r="AJ910" s="673"/>
      <c r="AK910" s="673"/>
      <c r="AL910" s="673"/>
      <c r="AM910" s="673"/>
      <c r="AN910" s="673"/>
      <c r="AO910" s="673"/>
      <c r="AP910" s="673"/>
      <c r="AQ910" s="673"/>
      <c r="AR910" s="673"/>
      <c r="AS910" s="673"/>
      <c r="AT910" s="696"/>
    </row>
    <row r="911" ht="15.75" customHeight="1">
      <c r="A911" s="653"/>
      <c r="B911" s="654"/>
      <c r="C911" s="691"/>
      <c r="D911" s="656"/>
      <c r="E911" s="657"/>
      <c r="F911" s="658"/>
      <c r="G911" s="659"/>
      <c r="H911" s="660"/>
      <c r="I911" s="659"/>
      <c r="J911" s="661"/>
      <c r="K911" s="692"/>
      <c r="L911" s="645"/>
      <c r="M911" s="663"/>
      <c r="N911" s="665"/>
      <c r="O911" s="665"/>
      <c r="P911" s="666"/>
      <c r="Q911" s="667"/>
      <c r="R911" s="668"/>
      <c r="S911" s="693"/>
      <c r="T911" s="694"/>
      <c r="U911" s="694"/>
      <c r="V911" s="693"/>
      <c r="W911" s="693"/>
      <c r="X911" s="693"/>
      <c r="Y911" s="671"/>
      <c r="Z911" s="673"/>
      <c r="AA911" s="672"/>
      <c r="AB911" s="695"/>
      <c r="AC911" s="673"/>
      <c r="AD911" s="673"/>
      <c r="AE911" s="673"/>
      <c r="AF911" s="673"/>
      <c r="AG911" s="673"/>
      <c r="AH911" s="673"/>
      <c r="AI911" s="673"/>
      <c r="AJ911" s="673"/>
      <c r="AK911" s="673"/>
      <c r="AL911" s="673"/>
      <c r="AM911" s="673"/>
      <c r="AN911" s="673"/>
      <c r="AO911" s="673"/>
      <c r="AP911" s="673"/>
      <c r="AQ911" s="673"/>
      <c r="AR911" s="673"/>
      <c r="AS911" s="673"/>
      <c r="AT911" s="696"/>
    </row>
    <row r="912" ht="15.75" customHeight="1">
      <c r="A912" s="653"/>
      <c r="B912" s="654"/>
      <c r="C912" s="691"/>
      <c r="D912" s="656"/>
      <c r="E912" s="657"/>
      <c r="F912" s="658"/>
      <c r="G912" s="659"/>
      <c r="H912" s="660"/>
      <c r="I912" s="659"/>
      <c r="J912" s="661"/>
      <c r="K912" s="692"/>
      <c r="L912" s="645"/>
      <c r="M912" s="663"/>
      <c r="N912" s="665"/>
      <c r="O912" s="665"/>
      <c r="P912" s="666"/>
      <c r="Q912" s="667"/>
      <c r="R912" s="668"/>
      <c r="S912" s="693"/>
      <c r="T912" s="694"/>
      <c r="U912" s="694"/>
      <c r="V912" s="693"/>
      <c r="W912" s="693"/>
      <c r="X912" s="693"/>
      <c r="Y912" s="671"/>
      <c r="Z912" s="673"/>
      <c r="AA912" s="672"/>
      <c r="AB912" s="695"/>
      <c r="AC912" s="673"/>
      <c r="AD912" s="673"/>
      <c r="AE912" s="673"/>
      <c r="AF912" s="673"/>
      <c r="AG912" s="673"/>
      <c r="AH912" s="673"/>
      <c r="AI912" s="673"/>
      <c r="AJ912" s="673"/>
      <c r="AK912" s="673"/>
      <c r="AL912" s="673"/>
      <c r="AM912" s="673"/>
      <c r="AN912" s="673"/>
      <c r="AO912" s="673"/>
      <c r="AP912" s="673"/>
      <c r="AQ912" s="673"/>
      <c r="AR912" s="673"/>
      <c r="AS912" s="673"/>
      <c r="AT912" s="696"/>
    </row>
    <row r="913" ht="15.75" customHeight="1">
      <c r="A913" s="653"/>
      <c r="B913" s="654"/>
      <c r="C913" s="691"/>
      <c r="D913" s="656"/>
      <c r="E913" s="657"/>
      <c r="F913" s="658"/>
      <c r="G913" s="659"/>
      <c r="H913" s="660"/>
      <c r="I913" s="659"/>
      <c r="J913" s="661"/>
      <c r="K913" s="692"/>
      <c r="L913" s="645"/>
      <c r="M913" s="663"/>
      <c r="N913" s="665"/>
      <c r="O913" s="665"/>
      <c r="P913" s="666"/>
      <c r="Q913" s="667"/>
      <c r="R913" s="668"/>
      <c r="S913" s="693"/>
      <c r="T913" s="694"/>
      <c r="U913" s="694"/>
      <c r="V913" s="693"/>
      <c r="W913" s="693"/>
      <c r="X913" s="693"/>
      <c r="Y913" s="671"/>
      <c r="Z913" s="673"/>
      <c r="AA913" s="672"/>
      <c r="AB913" s="695"/>
      <c r="AC913" s="673"/>
      <c r="AD913" s="673"/>
      <c r="AE913" s="673"/>
      <c r="AF913" s="673"/>
      <c r="AG913" s="673"/>
      <c r="AH913" s="673"/>
      <c r="AI913" s="673"/>
      <c r="AJ913" s="673"/>
      <c r="AK913" s="673"/>
      <c r="AL913" s="673"/>
      <c r="AM913" s="673"/>
      <c r="AN913" s="673"/>
      <c r="AO913" s="673"/>
      <c r="AP913" s="673"/>
      <c r="AQ913" s="673"/>
      <c r="AR913" s="673"/>
      <c r="AS913" s="673"/>
      <c r="AT913" s="696"/>
    </row>
    <row r="914" ht="15.75" customHeight="1">
      <c r="A914" s="653"/>
      <c r="B914" s="654"/>
      <c r="C914" s="691"/>
      <c r="D914" s="656"/>
      <c r="E914" s="657"/>
      <c r="F914" s="658"/>
      <c r="G914" s="659"/>
      <c r="H914" s="660"/>
      <c r="I914" s="659"/>
      <c r="J914" s="661"/>
      <c r="K914" s="692"/>
      <c r="L914" s="645"/>
      <c r="M914" s="663"/>
      <c r="N914" s="665"/>
      <c r="O914" s="665"/>
      <c r="P914" s="666"/>
      <c r="Q914" s="667"/>
      <c r="R914" s="668"/>
      <c r="S914" s="693"/>
      <c r="T914" s="694"/>
      <c r="U914" s="694"/>
      <c r="V914" s="693"/>
      <c r="W914" s="693"/>
      <c r="X914" s="693"/>
      <c r="Y914" s="671"/>
      <c r="Z914" s="673"/>
      <c r="AA914" s="672"/>
      <c r="AB914" s="695"/>
      <c r="AC914" s="673"/>
      <c r="AD914" s="673"/>
      <c r="AE914" s="673"/>
      <c r="AF914" s="673"/>
      <c r="AG914" s="673"/>
      <c r="AH914" s="673"/>
      <c r="AI914" s="673"/>
      <c r="AJ914" s="673"/>
      <c r="AK914" s="673"/>
      <c r="AL914" s="673"/>
      <c r="AM914" s="673"/>
      <c r="AN914" s="673"/>
      <c r="AO914" s="673"/>
      <c r="AP914" s="673"/>
      <c r="AQ914" s="673"/>
      <c r="AR914" s="673"/>
      <c r="AS914" s="673"/>
      <c r="AT914" s="696"/>
    </row>
    <row r="915" ht="15.75" customHeight="1">
      <c r="A915" s="653"/>
      <c r="B915" s="654"/>
      <c r="C915" s="691"/>
      <c r="D915" s="656"/>
      <c r="E915" s="657"/>
      <c r="F915" s="658"/>
      <c r="G915" s="659"/>
      <c r="H915" s="660"/>
      <c r="I915" s="659"/>
      <c r="J915" s="661"/>
      <c r="K915" s="692"/>
      <c r="L915" s="645"/>
      <c r="M915" s="663"/>
      <c r="N915" s="665"/>
      <c r="O915" s="665"/>
      <c r="P915" s="666"/>
      <c r="Q915" s="667"/>
      <c r="R915" s="668"/>
      <c r="S915" s="693"/>
      <c r="T915" s="694"/>
      <c r="U915" s="694"/>
      <c r="V915" s="693"/>
      <c r="W915" s="693"/>
      <c r="X915" s="693"/>
      <c r="Y915" s="671"/>
      <c r="Z915" s="673"/>
      <c r="AA915" s="672"/>
      <c r="AB915" s="695"/>
      <c r="AC915" s="673"/>
      <c r="AD915" s="673"/>
      <c r="AE915" s="673"/>
      <c r="AF915" s="673"/>
      <c r="AG915" s="673"/>
      <c r="AH915" s="673"/>
      <c r="AI915" s="673"/>
      <c r="AJ915" s="673"/>
      <c r="AK915" s="673"/>
      <c r="AL915" s="673"/>
      <c r="AM915" s="673"/>
      <c r="AN915" s="673"/>
      <c r="AO915" s="673"/>
      <c r="AP915" s="673"/>
      <c r="AQ915" s="673"/>
      <c r="AR915" s="673"/>
      <c r="AS915" s="673"/>
      <c r="AT915" s="696"/>
    </row>
    <row r="916" ht="15.75" customHeight="1">
      <c r="A916" s="653"/>
      <c r="B916" s="654"/>
      <c r="C916" s="691"/>
      <c r="D916" s="656"/>
      <c r="E916" s="657"/>
      <c r="F916" s="658"/>
      <c r="G916" s="659"/>
      <c r="H916" s="660"/>
      <c r="I916" s="659"/>
      <c r="J916" s="661"/>
      <c r="K916" s="692"/>
      <c r="L916" s="645"/>
      <c r="M916" s="663"/>
      <c r="N916" s="665"/>
      <c r="O916" s="665"/>
      <c r="P916" s="666"/>
      <c r="Q916" s="667"/>
      <c r="R916" s="668"/>
      <c r="S916" s="693"/>
      <c r="T916" s="694"/>
      <c r="U916" s="694"/>
      <c r="V916" s="693"/>
      <c r="W916" s="693"/>
      <c r="X916" s="693"/>
      <c r="Y916" s="671"/>
      <c r="Z916" s="673"/>
      <c r="AA916" s="672"/>
      <c r="AB916" s="695"/>
      <c r="AC916" s="673"/>
      <c r="AD916" s="673"/>
      <c r="AE916" s="673"/>
      <c r="AF916" s="673"/>
      <c r="AG916" s="673"/>
      <c r="AH916" s="673"/>
      <c r="AI916" s="673"/>
      <c r="AJ916" s="673"/>
      <c r="AK916" s="673"/>
      <c r="AL916" s="673"/>
      <c r="AM916" s="673"/>
      <c r="AN916" s="673"/>
      <c r="AO916" s="673"/>
      <c r="AP916" s="673"/>
      <c r="AQ916" s="673"/>
      <c r="AR916" s="673"/>
      <c r="AS916" s="673"/>
      <c r="AT916" s="696"/>
    </row>
    <row r="917" ht="15.75" customHeight="1">
      <c r="A917" s="653"/>
      <c r="B917" s="654"/>
      <c r="C917" s="691"/>
      <c r="D917" s="656"/>
      <c r="E917" s="657"/>
      <c r="F917" s="658"/>
      <c r="G917" s="659"/>
      <c r="H917" s="660"/>
      <c r="I917" s="659"/>
      <c r="J917" s="661"/>
      <c r="K917" s="692"/>
      <c r="L917" s="645"/>
      <c r="M917" s="663"/>
      <c r="N917" s="665"/>
      <c r="O917" s="665"/>
      <c r="P917" s="666"/>
      <c r="Q917" s="667"/>
      <c r="R917" s="668"/>
      <c r="S917" s="693"/>
      <c r="T917" s="694"/>
      <c r="U917" s="694"/>
      <c r="V917" s="693"/>
      <c r="W917" s="693"/>
      <c r="X917" s="693"/>
      <c r="Y917" s="671"/>
      <c r="Z917" s="673"/>
      <c r="AA917" s="672"/>
      <c r="AB917" s="695"/>
      <c r="AC917" s="673"/>
      <c r="AD917" s="673"/>
      <c r="AE917" s="673"/>
      <c r="AF917" s="673"/>
      <c r="AG917" s="673"/>
      <c r="AH917" s="673"/>
      <c r="AI917" s="673"/>
      <c r="AJ917" s="673"/>
      <c r="AK917" s="673"/>
      <c r="AL917" s="673"/>
      <c r="AM917" s="673"/>
      <c r="AN917" s="673"/>
      <c r="AO917" s="673"/>
      <c r="AP917" s="673"/>
      <c r="AQ917" s="673"/>
      <c r="AR917" s="673"/>
      <c r="AS917" s="673"/>
      <c r="AT917" s="696"/>
    </row>
    <row r="918" ht="15.75" customHeight="1">
      <c r="A918" s="653"/>
      <c r="B918" s="654"/>
      <c r="C918" s="691"/>
      <c r="D918" s="656"/>
      <c r="E918" s="657"/>
      <c r="F918" s="658"/>
      <c r="G918" s="659"/>
      <c r="H918" s="660"/>
      <c r="I918" s="659"/>
      <c r="J918" s="661"/>
      <c r="K918" s="692"/>
      <c r="L918" s="645"/>
      <c r="M918" s="663"/>
      <c r="N918" s="665"/>
      <c r="O918" s="665"/>
      <c r="P918" s="666"/>
      <c r="Q918" s="667"/>
      <c r="R918" s="668"/>
      <c r="S918" s="693"/>
      <c r="T918" s="694"/>
      <c r="U918" s="694"/>
      <c r="V918" s="693"/>
      <c r="W918" s="693"/>
      <c r="X918" s="693"/>
      <c r="Y918" s="671"/>
      <c r="Z918" s="673"/>
      <c r="AA918" s="672"/>
      <c r="AB918" s="695"/>
      <c r="AC918" s="673"/>
      <c r="AD918" s="673"/>
      <c r="AE918" s="673"/>
      <c r="AF918" s="673"/>
      <c r="AG918" s="673"/>
      <c r="AH918" s="673"/>
      <c r="AI918" s="673"/>
      <c r="AJ918" s="673"/>
      <c r="AK918" s="673"/>
      <c r="AL918" s="673"/>
      <c r="AM918" s="673"/>
      <c r="AN918" s="673"/>
      <c r="AO918" s="673"/>
      <c r="AP918" s="673"/>
      <c r="AQ918" s="673"/>
      <c r="AR918" s="673"/>
      <c r="AS918" s="673"/>
      <c r="AT918" s="696"/>
    </row>
    <row r="919" ht="15.75" customHeight="1">
      <c r="A919" s="653"/>
      <c r="B919" s="654"/>
      <c r="C919" s="691"/>
      <c r="D919" s="656"/>
      <c r="E919" s="657"/>
      <c r="F919" s="658"/>
      <c r="G919" s="659"/>
      <c r="H919" s="660"/>
      <c r="I919" s="659"/>
      <c r="J919" s="661"/>
      <c r="K919" s="692"/>
      <c r="L919" s="645"/>
      <c r="M919" s="663"/>
      <c r="N919" s="665"/>
      <c r="O919" s="665"/>
      <c r="P919" s="666"/>
      <c r="Q919" s="667"/>
      <c r="R919" s="668"/>
      <c r="S919" s="693"/>
      <c r="T919" s="694"/>
      <c r="U919" s="694"/>
      <c r="V919" s="693"/>
      <c r="W919" s="693"/>
      <c r="X919" s="693"/>
      <c r="Y919" s="671"/>
      <c r="Z919" s="673"/>
      <c r="AA919" s="672"/>
      <c r="AB919" s="695"/>
      <c r="AC919" s="673"/>
      <c r="AD919" s="673"/>
      <c r="AE919" s="673"/>
      <c r="AF919" s="673"/>
      <c r="AG919" s="673"/>
      <c r="AH919" s="673"/>
      <c r="AI919" s="673"/>
      <c r="AJ919" s="673"/>
      <c r="AK919" s="673"/>
      <c r="AL919" s="673"/>
      <c r="AM919" s="673"/>
      <c r="AN919" s="673"/>
      <c r="AO919" s="673"/>
      <c r="AP919" s="673"/>
      <c r="AQ919" s="673"/>
      <c r="AR919" s="673"/>
      <c r="AS919" s="673"/>
      <c r="AT919" s="696"/>
    </row>
    <row r="920" ht="15.75" customHeight="1">
      <c r="A920" s="653"/>
      <c r="B920" s="654"/>
      <c r="C920" s="691"/>
      <c r="D920" s="656"/>
      <c r="E920" s="657"/>
      <c r="F920" s="658"/>
      <c r="G920" s="659"/>
      <c r="H920" s="660"/>
      <c r="I920" s="659"/>
      <c r="J920" s="661"/>
      <c r="K920" s="692"/>
      <c r="L920" s="645"/>
      <c r="M920" s="663"/>
      <c r="N920" s="665"/>
      <c r="O920" s="665"/>
      <c r="P920" s="666"/>
      <c r="Q920" s="667"/>
      <c r="R920" s="668"/>
      <c r="S920" s="693"/>
      <c r="T920" s="694"/>
      <c r="U920" s="694"/>
      <c r="V920" s="693"/>
      <c r="W920" s="693"/>
      <c r="X920" s="693"/>
      <c r="Y920" s="671"/>
      <c r="Z920" s="673"/>
      <c r="AA920" s="672"/>
      <c r="AB920" s="695"/>
      <c r="AC920" s="673"/>
      <c r="AD920" s="673"/>
      <c r="AE920" s="673"/>
      <c r="AF920" s="673"/>
      <c r="AG920" s="673"/>
      <c r="AH920" s="673"/>
      <c r="AI920" s="673"/>
      <c r="AJ920" s="673"/>
      <c r="AK920" s="673"/>
      <c r="AL920" s="673"/>
      <c r="AM920" s="673"/>
      <c r="AN920" s="673"/>
      <c r="AO920" s="673"/>
      <c r="AP920" s="673"/>
      <c r="AQ920" s="673"/>
      <c r="AR920" s="673"/>
      <c r="AS920" s="673"/>
      <c r="AT920" s="696"/>
    </row>
    <row r="921" ht="15.75" customHeight="1">
      <c r="A921" s="653"/>
      <c r="B921" s="654"/>
      <c r="C921" s="691"/>
      <c r="D921" s="656"/>
      <c r="E921" s="657"/>
      <c r="F921" s="658"/>
      <c r="G921" s="659"/>
      <c r="H921" s="660"/>
      <c r="I921" s="659"/>
      <c r="J921" s="661"/>
      <c r="K921" s="692"/>
      <c r="L921" s="645"/>
      <c r="M921" s="663"/>
      <c r="N921" s="665"/>
      <c r="O921" s="665"/>
      <c r="P921" s="666"/>
      <c r="Q921" s="667"/>
      <c r="R921" s="668"/>
      <c r="S921" s="693"/>
      <c r="T921" s="694"/>
      <c r="U921" s="694"/>
      <c r="V921" s="693"/>
      <c r="W921" s="693"/>
      <c r="X921" s="693"/>
      <c r="Y921" s="671"/>
      <c r="Z921" s="673"/>
      <c r="AA921" s="672"/>
      <c r="AB921" s="695"/>
      <c r="AC921" s="673"/>
      <c r="AD921" s="673"/>
      <c r="AE921" s="673"/>
      <c r="AF921" s="673"/>
      <c r="AG921" s="673"/>
      <c r="AH921" s="673"/>
      <c r="AI921" s="673"/>
      <c r="AJ921" s="673"/>
      <c r="AK921" s="673"/>
      <c r="AL921" s="673"/>
      <c r="AM921" s="673"/>
      <c r="AN921" s="673"/>
      <c r="AO921" s="673"/>
      <c r="AP921" s="673"/>
      <c r="AQ921" s="673"/>
      <c r="AR921" s="673"/>
      <c r="AS921" s="673"/>
      <c r="AT921" s="696"/>
    </row>
    <row r="922" ht="15.75" customHeight="1">
      <c r="A922" s="653"/>
      <c r="B922" s="654"/>
      <c r="C922" s="691"/>
      <c r="D922" s="656"/>
      <c r="E922" s="657"/>
      <c r="F922" s="658"/>
      <c r="G922" s="659"/>
      <c r="H922" s="660"/>
      <c r="I922" s="659"/>
      <c r="J922" s="661"/>
      <c r="K922" s="692"/>
      <c r="L922" s="645"/>
      <c r="M922" s="663"/>
      <c r="N922" s="665"/>
      <c r="O922" s="665"/>
      <c r="P922" s="666"/>
      <c r="Q922" s="667"/>
      <c r="R922" s="668"/>
      <c r="S922" s="693"/>
      <c r="T922" s="694"/>
      <c r="U922" s="694"/>
      <c r="V922" s="693"/>
      <c r="W922" s="693"/>
      <c r="X922" s="693"/>
      <c r="Y922" s="671"/>
      <c r="Z922" s="673"/>
      <c r="AA922" s="672"/>
      <c r="AB922" s="695"/>
      <c r="AC922" s="673"/>
      <c r="AD922" s="673"/>
      <c r="AE922" s="673"/>
      <c r="AF922" s="673"/>
      <c r="AG922" s="673"/>
      <c r="AH922" s="673"/>
      <c r="AI922" s="673"/>
      <c r="AJ922" s="673"/>
      <c r="AK922" s="673"/>
      <c r="AL922" s="673"/>
      <c r="AM922" s="673"/>
      <c r="AN922" s="673"/>
      <c r="AO922" s="673"/>
      <c r="AP922" s="673"/>
      <c r="AQ922" s="673"/>
      <c r="AR922" s="673"/>
      <c r="AS922" s="673"/>
      <c r="AT922" s="696"/>
    </row>
    <row r="923" ht="15.75" customHeight="1">
      <c r="A923" s="653"/>
      <c r="B923" s="654"/>
      <c r="C923" s="691"/>
      <c r="D923" s="656"/>
      <c r="E923" s="657"/>
      <c r="F923" s="658"/>
      <c r="G923" s="659"/>
      <c r="H923" s="660"/>
      <c r="I923" s="659"/>
      <c r="J923" s="661"/>
      <c r="K923" s="692"/>
      <c r="L923" s="645"/>
      <c r="M923" s="663"/>
      <c r="N923" s="665"/>
      <c r="O923" s="665"/>
      <c r="P923" s="666"/>
      <c r="Q923" s="667"/>
      <c r="R923" s="668"/>
      <c r="S923" s="693"/>
      <c r="T923" s="694"/>
      <c r="U923" s="694"/>
      <c r="V923" s="693"/>
      <c r="W923" s="693"/>
      <c r="X923" s="693"/>
      <c r="Y923" s="671"/>
      <c r="Z923" s="673"/>
      <c r="AA923" s="672"/>
      <c r="AB923" s="695"/>
      <c r="AC923" s="673"/>
      <c r="AD923" s="673"/>
      <c r="AE923" s="673"/>
      <c r="AF923" s="673"/>
      <c r="AG923" s="673"/>
      <c r="AH923" s="673"/>
      <c r="AI923" s="673"/>
      <c r="AJ923" s="673"/>
      <c r="AK923" s="673"/>
      <c r="AL923" s="673"/>
      <c r="AM923" s="673"/>
      <c r="AN923" s="673"/>
      <c r="AO923" s="673"/>
      <c r="AP923" s="673"/>
      <c r="AQ923" s="673"/>
      <c r="AR923" s="673"/>
      <c r="AS923" s="673"/>
      <c r="AT923" s="696"/>
    </row>
    <row r="924" ht="15.75" customHeight="1">
      <c r="A924" s="653"/>
      <c r="B924" s="654"/>
      <c r="C924" s="691"/>
      <c r="D924" s="656"/>
      <c r="E924" s="657"/>
      <c r="F924" s="658"/>
      <c r="G924" s="659"/>
      <c r="H924" s="660"/>
      <c r="I924" s="659"/>
      <c r="J924" s="661"/>
      <c r="K924" s="692"/>
      <c r="L924" s="645"/>
      <c r="M924" s="663"/>
      <c r="N924" s="665"/>
      <c r="O924" s="665"/>
      <c r="P924" s="666"/>
      <c r="Q924" s="667"/>
      <c r="R924" s="668"/>
      <c r="S924" s="693"/>
      <c r="T924" s="694"/>
      <c r="U924" s="694"/>
      <c r="V924" s="693"/>
      <c r="W924" s="693"/>
      <c r="X924" s="693"/>
      <c r="Y924" s="671"/>
      <c r="Z924" s="673"/>
      <c r="AA924" s="672"/>
      <c r="AB924" s="695"/>
      <c r="AC924" s="673"/>
      <c r="AD924" s="673"/>
      <c r="AE924" s="673"/>
      <c r="AF924" s="673"/>
      <c r="AG924" s="673"/>
      <c r="AH924" s="673"/>
      <c r="AI924" s="673"/>
      <c r="AJ924" s="673"/>
      <c r="AK924" s="673"/>
      <c r="AL924" s="673"/>
      <c r="AM924" s="673"/>
      <c r="AN924" s="673"/>
      <c r="AO924" s="673"/>
      <c r="AP924" s="673"/>
      <c r="AQ924" s="673"/>
      <c r="AR924" s="673"/>
      <c r="AS924" s="673"/>
      <c r="AT924" s="696"/>
    </row>
    <row r="925" ht="15.75" customHeight="1">
      <c r="A925" s="653"/>
      <c r="B925" s="654"/>
      <c r="C925" s="691"/>
      <c r="D925" s="656"/>
      <c r="E925" s="657"/>
      <c r="F925" s="658"/>
      <c r="G925" s="659"/>
      <c r="H925" s="660"/>
      <c r="I925" s="659"/>
      <c r="J925" s="661"/>
      <c r="K925" s="692"/>
      <c r="L925" s="645"/>
      <c r="M925" s="663"/>
      <c r="N925" s="665"/>
      <c r="O925" s="665"/>
      <c r="P925" s="666"/>
      <c r="Q925" s="667"/>
      <c r="R925" s="668"/>
      <c r="S925" s="693"/>
      <c r="T925" s="694"/>
      <c r="U925" s="694"/>
      <c r="V925" s="693"/>
      <c r="W925" s="693"/>
      <c r="X925" s="693"/>
      <c r="Y925" s="671"/>
      <c r="Z925" s="673"/>
      <c r="AA925" s="672"/>
      <c r="AB925" s="695"/>
      <c r="AC925" s="673"/>
      <c r="AD925" s="673"/>
      <c r="AE925" s="673"/>
      <c r="AF925" s="673"/>
      <c r="AG925" s="673"/>
      <c r="AH925" s="673"/>
      <c r="AI925" s="673"/>
      <c r="AJ925" s="673"/>
      <c r="AK925" s="673"/>
      <c r="AL925" s="673"/>
      <c r="AM925" s="673"/>
      <c r="AN925" s="673"/>
      <c r="AO925" s="673"/>
      <c r="AP925" s="673"/>
      <c r="AQ925" s="673"/>
      <c r="AR925" s="673"/>
      <c r="AS925" s="673"/>
      <c r="AT925" s="696"/>
    </row>
    <row r="926" ht="15.75" customHeight="1">
      <c r="A926" s="653"/>
      <c r="B926" s="654"/>
      <c r="C926" s="691"/>
      <c r="D926" s="656"/>
      <c r="E926" s="657"/>
      <c r="F926" s="658"/>
      <c r="G926" s="659"/>
      <c r="H926" s="660"/>
      <c r="I926" s="659"/>
      <c r="J926" s="661"/>
      <c r="K926" s="692"/>
      <c r="L926" s="645"/>
      <c r="M926" s="663"/>
      <c r="N926" s="665"/>
      <c r="O926" s="665"/>
      <c r="P926" s="666"/>
      <c r="Q926" s="667"/>
      <c r="R926" s="668"/>
      <c r="S926" s="693"/>
      <c r="T926" s="694"/>
      <c r="U926" s="694"/>
      <c r="V926" s="693"/>
      <c r="W926" s="693"/>
      <c r="X926" s="693"/>
      <c r="Y926" s="671"/>
      <c r="Z926" s="673"/>
      <c r="AA926" s="672"/>
      <c r="AB926" s="695"/>
      <c r="AC926" s="673"/>
      <c r="AD926" s="673"/>
      <c r="AE926" s="673"/>
      <c r="AF926" s="673"/>
      <c r="AG926" s="673"/>
      <c r="AH926" s="673"/>
      <c r="AI926" s="673"/>
      <c r="AJ926" s="673"/>
      <c r="AK926" s="673"/>
      <c r="AL926" s="673"/>
      <c r="AM926" s="673"/>
      <c r="AN926" s="673"/>
      <c r="AO926" s="673"/>
      <c r="AP926" s="673"/>
      <c r="AQ926" s="673"/>
      <c r="AR926" s="673"/>
      <c r="AS926" s="673"/>
      <c r="AT926" s="696"/>
    </row>
    <row r="927" ht="15.75" customHeight="1">
      <c r="A927" s="653"/>
      <c r="B927" s="654"/>
      <c r="C927" s="691"/>
      <c r="D927" s="656"/>
      <c r="E927" s="657"/>
      <c r="F927" s="658"/>
      <c r="G927" s="659"/>
      <c r="H927" s="660"/>
      <c r="I927" s="659"/>
      <c r="J927" s="661"/>
      <c r="K927" s="692"/>
      <c r="L927" s="645"/>
      <c r="M927" s="663"/>
      <c r="N927" s="665"/>
      <c r="O927" s="665"/>
      <c r="P927" s="666"/>
      <c r="Q927" s="667"/>
      <c r="R927" s="668"/>
      <c r="S927" s="693"/>
      <c r="T927" s="694"/>
      <c r="U927" s="694"/>
      <c r="V927" s="693"/>
      <c r="W927" s="693"/>
      <c r="X927" s="693"/>
      <c r="Y927" s="671"/>
      <c r="Z927" s="673"/>
      <c r="AA927" s="672"/>
      <c r="AB927" s="695"/>
      <c r="AC927" s="673"/>
      <c r="AD927" s="673"/>
      <c r="AE927" s="673"/>
      <c r="AF927" s="673"/>
      <c r="AG927" s="673"/>
      <c r="AH927" s="673"/>
      <c r="AI927" s="673"/>
      <c r="AJ927" s="673"/>
      <c r="AK927" s="673"/>
      <c r="AL927" s="673"/>
      <c r="AM927" s="673"/>
      <c r="AN927" s="673"/>
      <c r="AO927" s="673"/>
      <c r="AP927" s="673"/>
      <c r="AQ927" s="673"/>
      <c r="AR927" s="673"/>
      <c r="AS927" s="673"/>
      <c r="AT927" s="696"/>
    </row>
    <row r="928" ht="15.75" customHeight="1">
      <c r="A928" s="653"/>
      <c r="B928" s="654"/>
      <c r="C928" s="691"/>
      <c r="D928" s="656"/>
      <c r="E928" s="657"/>
      <c r="F928" s="658"/>
      <c r="G928" s="659"/>
      <c r="H928" s="660"/>
      <c r="I928" s="659"/>
      <c r="J928" s="661"/>
      <c r="K928" s="692"/>
      <c r="L928" s="645"/>
      <c r="M928" s="663"/>
      <c r="N928" s="665"/>
      <c r="O928" s="665"/>
      <c r="P928" s="666"/>
      <c r="Q928" s="667"/>
      <c r="R928" s="668"/>
      <c r="S928" s="693"/>
      <c r="T928" s="694"/>
      <c r="U928" s="694"/>
      <c r="V928" s="693"/>
      <c r="W928" s="693"/>
      <c r="X928" s="693"/>
      <c r="Y928" s="671"/>
      <c r="Z928" s="673"/>
      <c r="AA928" s="672"/>
      <c r="AB928" s="695"/>
      <c r="AC928" s="673"/>
      <c r="AD928" s="673"/>
      <c r="AE928" s="673"/>
      <c r="AF928" s="673"/>
      <c r="AG928" s="673"/>
      <c r="AH928" s="673"/>
      <c r="AI928" s="673"/>
      <c r="AJ928" s="673"/>
      <c r="AK928" s="673"/>
      <c r="AL928" s="673"/>
      <c r="AM928" s="673"/>
      <c r="AN928" s="673"/>
      <c r="AO928" s="673"/>
      <c r="AP928" s="673"/>
      <c r="AQ928" s="673"/>
      <c r="AR928" s="673"/>
      <c r="AS928" s="673"/>
      <c r="AT928" s="696"/>
    </row>
    <row r="929" ht="15.75" customHeight="1">
      <c r="A929" s="653"/>
      <c r="B929" s="654"/>
      <c r="C929" s="691"/>
      <c r="D929" s="656"/>
      <c r="E929" s="657"/>
      <c r="F929" s="658"/>
      <c r="G929" s="659"/>
      <c r="H929" s="660"/>
      <c r="I929" s="659"/>
      <c r="J929" s="661"/>
      <c r="K929" s="692"/>
      <c r="L929" s="645"/>
      <c r="M929" s="663"/>
      <c r="N929" s="665"/>
      <c r="O929" s="665"/>
      <c r="P929" s="666"/>
      <c r="Q929" s="667"/>
      <c r="R929" s="668"/>
      <c r="S929" s="693"/>
      <c r="T929" s="694"/>
      <c r="U929" s="694"/>
      <c r="V929" s="693"/>
      <c r="W929" s="693"/>
      <c r="X929" s="693"/>
      <c r="Y929" s="671"/>
      <c r="Z929" s="673"/>
      <c r="AA929" s="672"/>
      <c r="AB929" s="695"/>
      <c r="AC929" s="673"/>
      <c r="AD929" s="673"/>
      <c r="AE929" s="673"/>
      <c r="AF929" s="673"/>
      <c r="AG929" s="673"/>
      <c r="AH929" s="673"/>
      <c r="AI929" s="673"/>
      <c r="AJ929" s="673"/>
      <c r="AK929" s="673"/>
      <c r="AL929" s="673"/>
      <c r="AM929" s="673"/>
      <c r="AN929" s="673"/>
      <c r="AO929" s="673"/>
      <c r="AP929" s="673"/>
      <c r="AQ929" s="673"/>
      <c r="AR929" s="673"/>
      <c r="AS929" s="673"/>
      <c r="AT929" s="696"/>
    </row>
    <row r="930" ht="15.75" customHeight="1">
      <c r="A930" s="653"/>
      <c r="B930" s="654"/>
      <c r="C930" s="691"/>
      <c r="D930" s="656"/>
      <c r="E930" s="657"/>
      <c r="F930" s="658"/>
      <c r="G930" s="659"/>
      <c r="H930" s="660"/>
      <c r="I930" s="659"/>
      <c r="J930" s="661"/>
      <c r="K930" s="692"/>
      <c r="L930" s="645"/>
      <c r="M930" s="663"/>
      <c r="N930" s="665"/>
      <c r="O930" s="665"/>
      <c r="P930" s="666"/>
      <c r="Q930" s="667"/>
      <c r="R930" s="668"/>
      <c r="S930" s="693"/>
      <c r="T930" s="694"/>
      <c r="U930" s="694"/>
      <c r="V930" s="693"/>
      <c r="W930" s="693"/>
      <c r="X930" s="693"/>
      <c r="Y930" s="671"/>
      <c r="Z930" s="673"/>
      <c r="AA930" s="672"/>
      <c r="AB930" s="695"/>
      <c r="AC930" s="673"/>
      <c r="AD930" s="673"/>
      <c r="AE930" s="673"/>
      <c r="AF930" s="673"/>
      <c r="AG930" s="673"/>
      <c r="AH930" s="673"/>
      <c r="AI930" s="673"/>
      <c r="AJ930" s="673"/>
      <c r="AK930" s="673"/>
      <c r="AL930" s="673"/>
      <c r="AM930" s="673"/>
      <c r="AN930" s="673"/>
      <c r="AO930" s="673"/>
      <c r="AP930" s="673"/>
      <c r="AQ930" s="673"/>
      <c r="AR930" s="673"/>
      <c r="AS930" s="673"/>
      <c r="AT930" s="696"/>
    </row>
    <row r="931" ht="15.75" customHeight="1">
      <c r="A931" s="653"/>
      <c r="B931" s="654"/>
      <c r="C931" s="691"/>
      <c r="D931" s="656"/>
      <c r="E931" s="657"/>
      <c r="F931" s="658"/>
      <c r="G931" s="659"/>
      <c r="H931" s="660"/>
      <c r="I931" s="659"/>
      <c r="J931" s="661"/>
      <c r="K931" s="692"/>
      <c r="L931" s="645"/>
      <c r="M931" s="663"/>
      <c r="N931" s="665"/>
      <c r="O931" s="665"/>
      <c r="P931" s="666"/>
      <c r="Q931" s="667"/>
      <c r="R931" s="668"/>
      <c r="S931" s="693"/>
      <c r="T931" s="694"/>
      <c r="U931" s="694"/>
      <c r="V931" s="693"/>
      <c r="W931" s="693"/>
      <c r="X931" s="693"/>
      <c r="Y931" s="671"/>
      <c r="Z931" s="673"/>
      <c r="AA931" s="672"/>
      <c r="AB931" s="695"/>
      <c r="AC931" s="673"/>
      <c r="AD931" s="673"/>
      <c r="AE931" s="673"/>
      <c r="AF931" s="673"/>
      <c r="AG931" s="673"/>
      <c r="AH931" s="673"/>
      <c r="AI931" s="673"/>
      <c r="AJ931" s="673"/>
      <c r="AK931" s="673"/>
      <c r="AL931" s="673"/>
      <c r="AM931" s="673"/>
      <c r="AN931" s="673"/>
      <c r="AO931" s="673"/>
      <c r="AP931" s="673"/>
      <c r="AQ931" s="673"/>
      <c r="AR931" s="673"/>
      <c r="AS931" s="673"/>
      <c r="AT931" s="696"/>
    </row>
    <row r="932" ht="15.75" customHeight="1">
      <c r="A932" s="653"/>
      <c r="B932" s="654"/>
      <c r="C932" s="691"/>
      <c r="D932" s="656"/>
      <c r="E932" s="657"/>
      <c r="F932" s="658"/>
      <c r="G932" s="659"/>
      <c r="H932" s="660"/>
      <c r="I932" s="659"/>
      <c r="J932" s="661"/>
      <c r="K932" s="692"/>
      <c r="L932" s="645"/>
      <c r="M932" s="663"/>
      <c r="N932" s="665"/>
      <c r="O932" s="665"/>
      <c r="P932" s="666"/>
      <c r="Q932" s="667"/>
      <c r="R932" s="668"/>
      <c r="S932" s="693"/>
      <c r="T932" s="694"/>
      <c r="U932" s="694"/>
      <c r="V932" s="693"/>
      <c r="W932" s="693"/>
      <c r="X932" s="693"/>
      <c r="Y932" s="671"/>
      <c r="Z932" s="673"/>
      <c r="AA932" s="672"/>
      <c r="AB932" s="695"/>
      <c r="AC932" s="673"/>
      <c r="AD932" s="673"/>
      <c r="AE932" s="673"/>
      <c r="AF932" s="673"/>
      <c r="AG932" s="673"/>
      <c r="AH932" s="673"/>
      <c r="AI932" s="673"/>
      <c r="AJ932" s="673"/>
      <c r="AK932" s="673"/>
      <c r="AL932" s="673"/>
      <c r="AM932" s="673"/>
      <c r="AN932" s="673"/>
      <c r="AO932" s="673"/>
      <c r="AP932" s="673"/>
      <c r="AQ932" s="673"/>
      <c r="AR932" s="673"/>
      <c r="AS932" s="673"/>
      <c r="AT932" s="696"/>
    </row>
    <row r="933" ht="15.75" customHeight="1">
      <c r="A933" s="653"/>
      <c r="B933" s="654"/>
      <c r="C933" s="691"/>
      <c r="D933" s="656"/>
      <c r="E933" s="657"/>
      <c r="F933" s="658"/>
      <c r="G933" s="659"/>
      <c r="H933" s="660"/>
      <c r="I933" s="659"/>
      <c r="J933" s="661"/>
      <c r="K933" s="692"/>
      <c r="L933" s="645"/>
      <c r="M933" s="663"/>
      <c r="N933" s="665"/>
      <c r="O933" s="665"/>
      <c r="P933" s="666"/>
      <c r="Q933" s="667"/>
      <c r="R933" s="668"/>
      <c r="S933" s="693"/>
      <c r="T933" s="694"/>
      <c r="U933" s="694"/>
      <c r="V933" s="693"/>
      <c r="W933" s="693"/>
      <c r="X933" s="693"/>
      <c r="Y933" s="671"/>
      <c r="Z933" s="673"/>
      <c r="AA933" s="672"/>
      <c r="AB933" s="695"/>
      <c r="AC933" s="673"/>
      <c r="AD933" s="673"/>
      <c r="AE933" s="673"/>
      <c r="AF933" s="673"/>
      <c r="AG933" s="673"/>
      <c r="AH933" s="673"/>
      <c r="AI933" s="673"/>
      <c r="AJ933" s="673"/>
      <c r="AK933" s="673"/>
      <c r="AL933" s="673"/>
      <c r="AM933" s="673"/>
      <c r="AN933" s="673"/>
      <c r="AO933" s="673"/>
      <c r="AP933" s="673"/>
      <c r="AQ933" s="673"/>
      <c r="AR933" s="673"/>
      <c r="AS933" s="673"/>
      <c r="AT933" s="696"/>
    </row>
    <row r="934" ht="15.75" customHeight="1">
      <c r="A934" s="653"/>
      <c r="B934" s="654"/>
      <c r="C934" s="691"/>
      <c r="D934" s="656"/>
      <c r="E934" s="657"/>
      <c r="F934" s="658"/>
      <c r="G934" s="659"/>
      <c r="H934" s="660"/>
      <c r="I934" s="659"/>
      <c r="J934" s="661"/>
      <c r="K934" s="692"/>
      <c r="L934" s="645"/>
      <c r="M934" s="663"/>
      <c r="N934" s="665"/>
      <c r="O934" s="665"/>
      <c r="P934" s="666"/>
      <c r="Q934" s="667"/>
      <c r="R934" s="668"/>
      <c r="S934" s="693"/>
      <c r="T934" s="694"/>
      <c r="U934" s="694"/>
      <c r="V934" s="693"/>
      <c r="W934" s="693"/>
      <c r="X934" s="693"/>
      <c r="Y934" s="671"/>
      <c r="Z934" s="673"/>
      <c r="AA934" s="672"/>
      <c r="AB934" s="695"/>
      <c r="AC934" s="673"/>
      <c r="AD934" s="673"/>
      <c r="AE934" s="673"/>
      <c r="AF934" s="673"/>
      <c r="AG934" s="673"/>
      <c r="AH934" s="673"/>
      <c r="AI934" s="673"/>
      <c r="AJ934" s="673"/>
      <c r="AK934" s="673"/>
      <c r="AL934" s="673"/>
      <c r="AM934" s="673"/>
      <c r="AN934" s="673"/>
      <c r="AO934" s="673"/>
      <c r="AP934" s="673"/>
      <c r="AQ934" s="673"/>
      <c r="AR934" s="673"/>
      <c r="AS934" s="673"/>
      <c r="AT934" s="696"/>
    </row>
    <row r="935" ht="15.75" customHeight="1">
      <c r="A935" s="653"/>
      <c r="B935" s="654"/>
      <c r="C935" s="691"/>
      <c r="D935" s="656"/>
      <c r="E935" s="657"/>
      <c r="F935" s="658"/>
      <c r="G935" s="659"/>
      <c r="H935" s="660"/>
      <c r="I935" s="659"/>
      <c r="J935" s="661"/>
      <c r="K935" s="692"/>
      <c r="L935" s="645"/>
      <c r="M935" s="663"/>
      <c r="N935" s="665"/>
      <c r="O935" s="665"/>
      <c r="P935" s="666"/>
      <c r="Q935" s="667"/>
      <c r="R935" s="668"/>
      <c r="S935" s="693"/>
      <c r="T935" s="694"/>
      <c r="U935" s="694"/>
      <c r="V935" s="693"/>
      <c r="W935" s="693"/>
      <c r="X935" s="693"/>
      <c r="Y935" s="671"/>
      <c r="Z935" s="673"/>
      <c r="AA935" s="672"/>
      <c r="AB935" s="695"/>
      <c r="AC935" s="673"/>
      <c r="AD935" s="673"/>
      <c r="AE935" s="673"/>
      <c r="AF935" s="673"/>
      <c r="AG935" s="673"/>
      <c r="AH935" s="673"/>
      <c r="AI935" s="673"/>
      <c r="AJ935" s="673"/>
      <c r="AK935" s="673"/>
      <c r="AL935" s="673"/>
      <c r="AM935" s="673"/>
      <c r="AN935" s="673"/>
      <c r="AO935" s="673"/>
      <c r="AP935" s="673"/>
      <c r="AQ935" s="673"/>
      <c r="AR935" s="673"/>
      <c r="AS935" s="673"/>
      <c r="AT935" s="696"/>
    </row>
    <row r="936" ht="15.75" customHeight="1">
      <c r="A936" s="653"/>
      <c r="B936" s="654"/>
      <c r="C936" s="691"/>
      <c r="D936" s="656"/>
      <c r="E936" s="657"/>
      <c r="F936" s="658"/>
      <c r="G936" s="659"/>
      <c r="H936" s="660"/>
      <c r="I936" s="659"/>
      <c r="J936" s="661"/>
      <c r="K936" s="692"/>
      <c r="L936" s="645"/>
      <c r="M936" s="663"/>
      <c r="N936" s="665"/>
      <c r="O936" s="665"/>
      <c r="P936" s="666"/>
      <c r="Q936" s="667"/>
      <c r="R936" s="668"/>
      <c r="S936" s="693"/>
      <c r="T936" s="694"/>
      <c r="U936" s="694"/>
      <c r="V936" s="693"/>
      <c r="W936" s="693"/>
      <c r="X936" s="693"/>
      <c r="Y936" s="671"/>
      <c r="Z936" s="673"/>
      <c r="AA936" s="672"/>
      <c r="AB936" s="695"/>
      <c r="AC936" s="673"/>
      <c r="AD936" s="673"/>
      <c r="AE936" s="673"/>
      <c r="AF936" s="673"/>
      <c r="AG936" s="673"/>
      <c r="AH936" s="673"/>
      <c r="AI936" s="673"/>
      <c r="AJ936" s="673"/>
      <c r="AK936" s="673"/>
      <c r="AL936" s="673"/>
      <c r="AM936" s="673"/>
      <c r="AN936" s="673"/>
      <c r="AO936" s="673"/>
      <c r="AP936" s="673"/>
      <c r="AQ936" s="673"/>
      <c r="AR936" s="673"/>
      <c r="AS936" s="673"/>
      <c r="AT936" s="696"/>
    </row>
    <row r="937" ht="15.75" customHeight="1">
      <c r="A937" s="653"/>
      <c r="B937" s="654"/>
      <c r="C937" s="691"/>
      <c r="D937" s="656"/>
      <c r="E937" s="657"/>
      <c r="F937" s="658"/>
      <c r="G937" s="659"/>
      <c r="H937" s="660"/>
      <c r="I937" s="659"/>
      <c r="J937" s="661"/>
      <c r="K937" s="692"/>
      <c r="L937" s="645"/>
      <c r="M937" s="663"/>
      <c r="N937" s="665"/>
      <c r="O937" s="665"/>
      <c r="P937" s="666"/>
      <c r="Q937" s="667"/>
      <c r="R937" s="668"/>
      <c r="S937" s="693"/>
      <c r="T937" s="694"/>
      <c r="U937" s="694"/>
      <c r="V937" s="693"/>
      <c r="W937" s="693"/>
      <c r="X937" s="693"/>
      <c r="Y937" s="671"/>
      <c r="Z937" s="673"/>
      <c r="AA937" s="672"/>
      <c r="AB937" s="695"/>
      <c r="AC937" s="673"/>
      <c r="AD937" s="673"/>
      <c r="AE937" s="673"/>
      <c r="AF937" s="673"/>
      <c r="AG937" s="673"/>
      <c r="AH937" s="673"/>
      <c r="AI937" s="673"/>
      <c r="AJ937" s="673"/>
      <c r="AK937" s="673"/>
      <c r="AL937" s="673"/>
      <c r="AM937" s="673"/>
      <c r="AN937" s="673"/>
      <c r="AO937" s="673"/>
      <c r="AP937" s="673"/>
      <c r="AQ937" s="673"/>
      <c r="AR937" s="673"/>
      <c r="AS937" s="673"/>
      <c r="AT937" s="696"/>
    </row>
    <row r="938" ht="15.75" customHeight="1">
      <c r="A938" s="653"/>
      <c r="B938" s="654"/>
      <c r="C938" s="691"/>
      <c r="D938" s="656"/>
      <c r="E938" s="657"/>
      <c r="F938" s="658"/>
      <c r="G938" s="659"/>
      <c r="H938" s="660"/>
      <c r="I938" s="659"/>
      <c r="J938" s="661"/>
      <c r="K938" s="692"/>
      <c r="L938" s="645"/>
      <c r="M938" s="663"/>
      <c r="N938" s="665"/>
      <c r="O938" s="665"/>
      <c r="P938" s="666"/>
      <c r="Q938" s="667"/>
      <c r="R938" s="668"/>
      <c r="S938" s="693"/>
      <c r="T938" s="694"/>
      <c r="U938" s="694"/>
      <c r="V938" s="693"/>
      <c r="W938" s="693"/>
      <c r="X938" s="693"/>
      <c r="Y938" s="671"/>
      <c r="Z938" s="673"/>
      <c r="AA938" s="672"/>
      <c r="AB938" s="695"/>
      <c r="AC938" s="673"/>
      <c r="AD938" s="673"/>
      <c r="AE938" s="673"/>
      <c r="AF938" s="673"/>
      <c r="AG938" s="673"/>
      <c r="AH938" s="673"/>
      <c r="AI938" s="673"/>
      <c r="AJ938" s="673"/>
      <c r="AK938" s="673"/>
      <c r="AL938" s="673"/>
      <c r="AM938" s="673"/>
      <c r="AN938" s="673"/>
      <c r="AO938" s="673"/>
      <c r="AP938" s="673"/>
      <c r="AQ938" s="673"/>
      <c r="AR938" s="673"/>
      <c r="AS938" s="673"/>
      <c r="AT938" s="696"/>
    </row>
    <row r="939" ht="15.75" customHeight="1">
      <c r="A939" s="653"/>
      <c r="B939" s="654"/>
      <c r="C939" s="691"/>
      <c r="D939" s="656"/>
      <c r="E939" s="657"/>
      <c r="F939" s="658"/>
      <c r="G939" s="659"/>
      <c r="H939" s="660"/>
      <c r="I939" s="659"/>
      <c r="J939" s="661"/>
      <c r="K939" s="692"/>
      <c r="L939" s="645"/>
      <c r="M939" s="663"/>
      <c r="N939" s="665"/>
      <c r="O939" s="665"/>
      <c r="P939" s="666"/>
      <c r="Q939" s="667"/>
      <c r="R939" s="668"/>
      <c r="S939" s="693"/>
      <c r="T939" s="694"/>
      <c r="U939" s="694"/>
      <c r="V939" s="693"/>
      <c r="W939" s="693"/>
      <c r="X939" s="693"/>
      <c r="Y939" s="671"/>
      <c r="Z939" s="673"/>
      <c r="AA939" s="672"/>
      <c r="AB939" s="695"/>
      <c r="AC939" s="673"/>
      <c r="AD939" s="673"/>
      <c r="AE939" s="673"/>
      <c r="AF939" s="673"/>
      <c r="AG939" s="673"/>
      <c r="AH939" s="673"/>
      <c r="AI939" s="673"/>
      <c r="AJ939" s="673"/>
      <c r="AK939" s="673"/>
      <c r="AL939" s="673"/>
      <c r="AM939" s="673"/>
      <c r="AN939" s="673"/>
      <c r="AO939" s="673"/>
      <c r="AP939" s="673"/>
      <c r="AQ939" s="673"/>
      <c r="AR939" s="673"/>
      <c r="AS939" s="673"/>
      <c r="AT939" s="696"/>
    </row>
    <row r="940" ht="15.75" customHeight="1">
      <c r="A940" s="653"/>
      <c r="B940" s="654"/>
      <c r="C940" s="691"/>
      <c r="D940" s="656"/>
      <c r="E940" s="657"/>
      <c r="F940" s="658"/>
      <c r="G940" s="659"/>
      <c r="H940" s="660"/>
      <c r="I940" s="659"/>
      <c r="J940" s="661"/>
      <c r="K940" s="692"/>
      <c r="L940" s="645"/>
      <c r="M940" s="663"/>
      <c r="N940" s="665"/>
      <c r="O940" s="665"/>
      <c r="P940" s="666"/>
      <c r="Q940" s="667"/>
      <c r="R940" s="668"/>
      <c r="S940" s="693"/>
      <c r="T940" s="694"/>
      <c r="U940" s="694"/>
      <c r="V940" s="693"/>
      <c r="W940" s="693"/>
      <c r="X940" s="693"/>
      <c r="Y940" s="671"/>
      <c r="Z940" s="673"/>
      <c r="AA940" s="672"/>
      <c r="AB940" s="695"/>
      <c r="AC940" s="673"/>
      <c r="AD940" s="673"/>
      <c r="AE940" s="673"/>
      <c r="AF940" s="673"/>
      <c r="AG940" s="673"/>
      <c r="AH940" s="673"/>
      <c r="AI940" s="673"/>
      <c r="AJ940" s="673"/>
      <c r="AK940" s="673"/>
      <c r="AL940" s="673"/>
      <c r="AM940" s="673"/>
      <c r="AN940" s="673"/>
      <c r="AO940" s="673"/>
      <c r="AP940" s="673"/>
      <c r="AQ940" s="673"/>
      <c r="AR940" s="673"/>
      <c r="AS940" s="673"/>
      <c r="AT940" s="696"/>
    </row>
    <row r="941" ht="15.75" customHeight="1">
      <c r="A941" s="653"/>
      <c r="B941" s="654"/>
      <c r="C941" s="691"/>
      <c r="D941" s="656"/>
      <c r="E941" s="657"/>
      <c r="F941" s="658"/>
      <c r="G941" s="659"/>
      <c r="H941" s="660"/>
      <c r="I941" s="659"/>
      <c r="J941" s="661"/>
      <c r="K941" s="692"/>
      <c r="L941" s="645"/>
      <c r="M941" s="663"/>
      <c r="N941" s="665"/>
      <c r="O941" s="665"/>
      <c r="P941" s="666"/>
      <c r="Q941" s="667"/>
      <c r="R941" s="668"/>
      <c r="S941" s="693"/>
      <c r="T941" s="694"/>
      <c r="U941" s="694"/>
      <c r="V941" s="693"/>
      <c r="W941" s="693"/>
      <c r="X941" s="693"/>
      <c r="Y941" s="671"/>
      <c r="Z941" s="673"/>
      <c r="AA941" s="672"/>
      <c r="AB941" s="695"/>
      <c r="AC941" s="673"/>
      <c r="AD941" s="673"/>
      <c r="AE941" s="673"/>
      <c r="AF941" s="673"/>
      <c r="AG941" s="673"/>
      <c r="AH941" s="673"/>
      <c r="AI941" s="673"/>
      <c r="AJ941" s="673"/>
      <c r="AK941" s="673"/>
      <c r="AL941" s="673"/>
      <c r="AM941" s="673"/>
      <c r="AN941" s="673"/>
      <c r="AO941" s="673"/>
      <c r="AP941" s="673"/>
      <c r="AQ941" s="673"/>
      <c r="AR941" s="673"/>
      <c r="AS941" s="673"/>
      <c r="AT941" s="696"/>
    </row>
    <row r="942" ht="15.75" customHeight="1">
      <c r="A942" s="653"/>
      <c r="B942" s="654"/>
      <c r="C942" s="691"/>
      <c r="D942" s="656"/>
      <c r="E942" s="657"/>
      <c r="F942" s="658"/>
      <c r="G942" s="659"/>
      <c r="H942" s="660"/>
      <c r="I942" s="659"/>
      <c r="J942" s="661"/>
      <c r="K942" s="692"/>
      <c r="L942" s="645"/>
      <c r="M942" s="663"/>
      <c r="N942" s="665"/>
      <c r="O942" s="665"/>
      <c r="P942" s="666"/>
      <c r="Q942" s="667"/>
      <c r="R942" s="668"/>
      <c r="S942" s="693"/>
      <c r="T942" s="694"/>
      <c r="U942" s="694"/>
      <c r="V942" s="693"/>
      <c r="W942" s="693"/>
      <c r="X942" s="693"/>
      <c r="Y942" s="671"/>
      <c r="Z942" s="673"/>
      <c r="AA942" s="672"/>
      <c r="AB942" s="695"/>
      <c r="AC942" s="673"/>
      <c r="AD942" s="673"/>
      <c r="AE942" s="673"/>
      <c r="AF942" s="673"/>
      <c r="AG942" s="673"/>
      <c r="AH942" s="673"/>
      <c r="AI942" s="673"/>
      <c r="AJ942" s="673"/>
      <c r="AK942" s="673"/>
      <c r="AL942" s="673"/>
      <c r="AM942" s="673"/>
      <c r="AN942" s="673"/>
      <c r="AO942" s="673"/>
      <c r="AP942" s="673"/>
      <c r="AQ942" s="673"/>
      <c r="AR942" s="673"/>
      <c r="AS942" s="673"/>
      <c r="AT942" s="696"/>
    </row>
    <row r="943" ht="15.75" customHeight="1">
      <c r="A943" s="653"/>
      <c r="B943" s="654"/>
      <c r="C943" s="691"/>
      <c r="D943" s="656"/>
      <c r="E943" s="657"/>
      <c r="F943" s="658"/>
      <c r="G943" s="659"/>
      <c r="H943" s="660"/>
      <c r="I943" s="659"/>
      <c r="J943" s="661"/>
      <c r="K943" s="692"/>
      <c r="L943" s="645"/>
      <c r="M943" s="663"/>
      <c r="N943" s="665"/>
      <c r="O943" s="665"/>
      <c r="P943" s="666"/>
      <c r="Q943" s="667"/>
      <c r="R943" s="668"/>
      <c r="S943" s="693"/>
      <c r="T943" s="694"/>
      <c r="U943" s="694"/>
      <c r="V943" s="693"/>
      <c r="W943" s="693"/>
      <c r="X943" s="693"/>
      <c r="Y943" s="671"/>
      <c r="Z943" s="673"/>
      <c r="AA943" s="672"/>
      <c r="AB943" s="695"/>
      <c r="AC943" s="673"/>
      <c r="AD943" s="673"/>
      <c r="AE943" s="673"/>
      <c r="AF943" s="673"/>
      <c r="AG943" s="673"/>
      <c r="AH943" s="673"/>
      <c r="AI943" s="673"/>
      <c r="AJ943" s="673"/>
      <c r="AK943" s="673"/>
      <c r="AL943" s="673"/>
      <c r="AM943" s="673"/>
      <c r="AN943" s="673"/>
      <c r="AO943" s="673"/>
      <c r="AP943" s="673"/>
      <c r="AQ943" s="673"/>
      <c r="AR943" s="673"/>
      <c r="AS943" s="673"/>
      <c r="AT943" s="696"/>
    </row>
    <row r="944" ht="15.75" customHeight="1">
      <c r="A944" s="653"/>
      <c r="B944" s="654"/>
      <c r="C944" s="691"/>
      <c r="D944" s="656"/>
      <c r="E944" s="657"/>
      <c r="F944" s="658"/>
      <c r="G944" s="659"/>
      <c r="H944" s="660"/>
      <c r="I944" s="659"/>
      <c r="J944" s="661"/>
      <c r="K944" s="692"/>
      <c r="L944" s="645"/>
      <c r="M944" s="663"/>
      <c r="N944" s="665"/>
      <c r="O944" s="665"/>
      <c r="P944" s="666"/>
      <c r="Q944" s="667"/>
      <c r="R944" s="668"/>
      <c r="S944" s="693"/>
      <c r="T944" s="694"/>
      <c r="U944" s="694"/>
      <c r="V944" s="693"/>
      <c r="W944" s="693"/>
      <c r="X944" s="693"/>
      <c r="Y944" s="671"/>
      <c r="Z944" s="673"/>
      <c r="AA944" s="672"/>
      <c r="AB944" s="695"/>
      <c r="AC944" s="673"/>
      <c r="AD944" s="673"/>
      <c r="AE944" s="673"/>
      <c r="AF944" s="673"/>
      <c r="AG944" s="673"/>
      <c r="AH944" s="673"/>
      <c r="AI944" s="673"/>
      <c r="AJ944" s="673"/>
      <c r="AK944" s="673"/>
      <c r="AL944" s="673"/>
      <c r="AM944" s="673"/>
      <c r="AN944" s="673"/>
      <c r="AO944" s="673"/>
      <c r="AP944" s="673"/>
      <c r="AQ944" s="673"/>
      <c r="AR944" s="673"/>
      <c r="AS944" s="673"/>
      <c r="AT944" s="696"/>
    </row>
    <row r="945" ht="15.75" customHeight="1">
      <c r="A945" s="653"/>
      <c r="B945" s="654"/>
      <c r="C945" s="691"/>
      <c r="D945" s="656"/>
      <c r="E945" s="657"/>
      <c r="F945" s="658"/>
      <c r="G945" s="659"/>
      <c r="H945" s="660"/>
      <c r="I945" s="659"/>
      <c r="J945" s="661"/>
      <c r="K945" s="692"/>
      <c r="L945" s="645"/>
      <c r="M945" s="663"/>
      <c r="N945" s="665"/>
      <c r="O945" s="665"/>
      <c r="P945" s="666"/>
      <c r="Q945" s="667"/>
      <c r="R945" s="668"/>
      <c r="S945" s="693"/>
      <c r="T945" s="694"/>
      <c r="U945" s="694"/>
      <c r="V945" s="693"/>
      <c r="W945" s="693"/>
      <c r="X945" s="693"/>
      <c r="Y945" s="671"/>
      <c r="Z945" s="673"/>
      <c r="AA945" s="672"/>
      <c r="AB945" s="695"/>
      <c r="AC945" s="673"/>
      <c r="AD945" s="673"/>
      <c r="AE945" s="673"/>
      <c r="AF945" s="673"/>
      <c r="AG945" s="673"/>
      <c r="AH945" s="673"/>
      <c r="AI945" s="673"/>
      <c r="AJ945" s="673"/>
      <c r="AK945" s="673"/>
      <c r="AL945" s="673"/>
      <c r="AM945" s="673"/>
      <c r="AN945" s="673"/>
      <c r="AO945" s="673"/>
      <c r="AP945" s="673"/>
      <c r="AQ945" s="673"/>
      <c r="AR945" s="673"/>
      <c r="AS945" s="673"/>
      <c r="AT945" s="696"/>
    </row>
    <row r="946" ht="15.75" customHeight="1">
      <c r="A946" s="653"/>
      <c r="B946" s="654"/>
      <c r="C946" s="691"/>
      <c r="D946" s="656"/>
      <c r="E946" s="657"/>
      <c r="F946" s="658"/>
      <c r="G946" s="659"/>
      <c r="H946" s="660"/>
      <c r="I946" s="659"/>
      <c r="J946" s="661"/>
      <c r="K946" s="692"/>
      <c r="L946" s="645"/>
      <c r="M946" s="663"/>
      <c r="N946" s="665"/>
      <c r="O946" s="665"/>
      <c r="P946" s="666"/>
      <c r="Q946" s="667"/>
      <c r="R946" s="668"/>
      <c r="S946" s="693"/>
      <c r="T946" s="694"/>
      <c r="U946" s="694"/>
      <c r="V946" s="693"/>
      <c r="W946" s="693"/>
      <c r="X946" s="693"/>
      <c r="Y946" s="671"/>
      <c r="Z946" s="673"/>
      <c r="AA946" s="672"/>
      <c r="AB946" s="695"/>
      <c r="AC946" s="673"/>
      <c r="AD946" s="673"/>
      <c r="AE946" s="673"/>
      <c r="AF946" s="673"/>
      <c r="AG946" s="673"/>
      <c r="AH946" s="673"/>
      <c r="AI946" s="673"/>
      <c r="AJ946" s="673"/>
      <c r="AK946" s="673"/>
      <c r="AL946" s="673"/>
      <c r="AM946" s="673"/>
      <c r="AN946" s="673"/>
      <c r="AO946" s="673"/>
      <c r="AP946" s="673"/>
      <c r="AQ946" s="673"/>
      <c r="AR946" s="673"/>
      <c r="AS946" s="673"/>
      <c r="AT946" s="696"/>
    </row>
    <row r="947" ht="15.75" customHeight="1">
      <c r="A947" s="653"/>
      <c r="B947" s="654"/>
      <c r="C947" s="691"/>
      <c r="D947" s="656"/>
      <c r="E947" s="657"/>
      <c r="F947" s="658"/>
      <c r="G947" s="659"/>
      <c r="H947" s="660"/>
      <c r="I947" s="659"/>
      <c r="J947" s="661"/>
      <c r="K947" s="692"/>
      <c r="L947" s="645"/>
      <c r="M947" s="663"/>
      <c r="N947" s="665"/>
      <c r="O947" s="665"/>
      <c r="P947" s="666"/>
      <c r="Q947" s="667"/>
      <c r="R947" s="668"/>
      <c r="S947" s="693"/>
      <c r="T947" s="694"/>
      <c r="U947" s="694"/>
      <c r="V947" s="693"/>
      <c r="W947" s="693"/>
      <c r="X947" s="693"/>
      <c r="Y947" s="671"/>
      <c r="Z947" s="673"/>
      <c r="AA947" s="672"/>
      <c r="AB947" s="695"/>
      <c r="AC947" s="673"/>
      <c r="AD947" s="673"/>
      <c r="AE947" s="673"/>
      <c r="AF947" s="673"/>
      <c r="AG947" s="673"/>
      <c r="AH947" s="673"/>
      <c r="AI947" s="673"/>
      <c r="AJ947" s="673"/>
      <c r="AK947" s="673"/>
      <c r="AL947" s="673"/>
      <c r="AM947" s="673"/>
      <c r="AN947" s="673"/>
      <c r="AO947" s="673"/>
      <c r="AP947" s="673"/>
      <c r="AQ947" s="673"/>
      <c r="AR947" s="673"/>
      <c r="AS947" s="673"/>
      <c r="AT947" s="696"/>
    </row>
    <row r="948" ht="15.75" customHeight="1">
      <c r="A948" s="653"/>
      <c r="B948" s="654"/>
      <c r="C948" s="691"/>
      <c r="D948" s="656"/>
      <c r="E948" s="657"/>
      <c r="F948" s="658"/>
      <c r="G948" s="659"/>
      <c r="H948" s="660"/>
      <c r="I948" s="659"/>
      <c r="J948" s="661"/>
      <c r="K948" s="692"/>
      <c r="L948" s="645"/>
      <c r="M948" s="663"/>
      <c r="N948" s="665"/>
      <c r="O948" s="665"/>
      <c r="P948" s="666"/>
      <c r="Q948" s="667"/>
      <c r="R948" s="668"/>
      <c r="S948" s="693"/>
      <c r="T948" s="694"/>
      <c r="U948" s="694"/>
      <c r="V948" s="693"/>
      <c r="W948" s="693"/>
      <c r="X948" s="693"/>
      <c r="Y948" s="671"/>
      <c r="Z948" s="673"/>
      <c r="AA948" s="672"/>
      <c r="AB948" s="695"/>
      <c r="AC948" s="673"/>
      <c r="AD948" s="673"/>
      <c r="AE948" s="673"/>
      <c r="AF948" s="673"/>
      <c r="AG948" s="673"/>
      <c r="AH948" s="673"/>
      <c r="AI948" s="673"/>
      <c r="AJ948" s="673"/>
      <c r="AK948" s="673"/>
      <c r="AL948" s="673"/>
      <c r="AM948" s="673"/>
      <c r="AN948" s="673"/>
      <c r="AO948" s="673"/>
      <c r="AP948" s="673"/>
      <c r="AQ948" s="673"/>
      <c r="AR948" s="673"/>
      <c r="AS948" s="673"/>
      <c r="AT948" s="696"/>
    </row>
    <row r="949" ht="15.75" customHeight="1">
      <c r="A949" s="653"/>
      <c r="B949" s="654"/>
      <c r="C949" s="691"/>
      <c r="D949" s="656"/>
      <c r="E949" s="657"/>
      <c r="F949" s="658"/>
      <c r="G949" s="659"/>
      <c r="H949" s="660"/>
      <c r="I949" s="659"/>
      <c r="J949" s="661"/>
      <c r="K949" s="692"/>
      <c r="L949" s="645"/>
      <c r="M949" s="663"/>
      <c r="N949" s="665"/>
      <c r="O949" s="665"/>
      <c r="P949" s="666"/>
      <c r="Q949" s="667"/>
      <c r="R949" s="668"/>
      <c r="S949" s="693"/>
      <c r="T949" s="694"/>
      <c r="U949" s="694"/>
      <c r="V949" s="693"/>
      <c r="W949" s="693"/>
      <c r="X949" s="693"/>
      <c r="Y949" s="671"/>
      <c r="Z949" s="673"/>
      <c r="AA949" s="672"/>
      <c r="AB949" s="695"/>
      <c r="AC949" s="673"/>
      <c r="AD949" s="673"/>
      <c r="AE949" s="673"/>
      <c r="AF949" s="673"/>
      <c r="AG949" s="673"/>
      <c r="AH949" s="673"/>
      <c r="AI949" s="673"/>
      <c r="AJ949" s="673"/>
      <c r="AK949" s="673"/>
      <c r="AL949" s="673"/>
      <c r="AM949" s="673"/>
      <c r="AN949" s="673"/>
      <c r="AO949" s="673"/>
      <c r="AP949" s="673"/>
      <c r="AQ949" s="673"/>
      <c r="AR949" s="673"/>
      <c r="AS949" s="673"/>
      <c r="AT949" s="696"/>
    </row>
    <row r="950" ht="15.75" customHeight="1">
      <c r="A950" s="653"/>
      <c r="B950" s="654"/>
      <c r="C950" s="691"/>
      <c r="D950" s="656"/>
      <c r="E950" s="657"/>
      <c r="F950" s="658"/>
      <c r="G950" s="659"/>
      <c r="H950" s="660"/>
      <c r="I950" s="659"/>
      <c r="J950" s="661"/>
      <c r="K950" s="692"/>
      <c r="L950" s="645"/>
      <c r="M950" s="663"/>
      <c r="N950" s="665"/>
      <c r="O950" s="665"/>
      <c r="P950" s="666"/>
      <c r="Q950" s="667"/>
      <c r="R950" s="668"/>
      <c r="S950" s="693"/>
      <c r="T950" s="694"/>
      <c r="U950" s="694"/>
      <c r="V950" s="693"/>
      <c r="W950" s="693"/>
      <c r="X950" s="693"/>
      <c r="Y950" s="671"/>
      <c r="Z950" s="673"/>
      <c r="AA950" s="672"/>
      <c r="AB950" s="695"/>
      <c r="AC950" s="673"/>
      <c r="AD950" s="673"/>
      <c r="AE950" s="673"/>
      <c r="AF950" s="673"/>
      <c r="AG950" s="673"/>
      <c r="AH950" s="673"/>
      <c r="AI950" s="673"/>
      <c r="AJ950" s="673"/>
      <c r="AK950" s="673"/>
      <c r="AL950" s="673"/>
      <c r="AM950" s="673"/>
      <c r="AN950" s="673"/>
      <c r="AO950" s="673"/>
      <c r="AP950" s="673"/>
      <c r="AQ950" s="673"/>
      <c r="AR950" s="673"/>
      <c r="AS950" s="673"/>
      <c r="AT950" s="696"/>
    </row>
    <row r="951" ht="15.75" customHeight="1">
      <c r="A951" s="653"/>
      <c r="B951" s="654"/>
      <c r="C951" s="691"/>
      <c r="D951" s="656"/>
      <c r="E951" s="657"/>
      <c r="F951" s="658"/>
      <c r="G951" s="659"/>
      <c r="H951" s="660"/>
      <c r="I951" s="659"/>
      <c r="J951" s="661"/>
      <c r="K951" s="692"/>
      <c r="L951" s="645"/>
      <c r="M951" s="663"/>
      <c r="N951" s="665"/>
      <c r="O951" s="665"/>
      <c r="P951" s="666"/>
      <c r="Q951" s="667"/>
      <c r="R951" s="668"/>
      <c r="S951" s="693"/>
      <c r="T951" s="694"/>
      <c r="U951" s="694"/>
      <c r="V951" s="693"/>
      <c r="W951" s="693"/>
      <c r="X951" s="693"/>
      <c r="Y951" s="671"/>
      <c r="Z951" s="673"/>
      <c r="AA951" s="672"/>
      <c r="AB951" s="695"/>
      <c r="AC951" s="673"/>
      <c r="AD951" s="673"/>
      <c r="AE951" s="673"/>
      <c r="AF951" s="673"/>
      <c r="AG951" s="673"/>
      <c r="AH951" s="673"/>
      <c r="AI951" s="673"/>
      <c r="AJ951" s="673"/>
      <c r="AK951" s="673"/>
      <c r="AL951" s="673"/>
      <c r="AM951" s="673"/>
      <c r="AN951" s="673"/>
      <c r="AO951" s="673"/>
      <c r="AP951" s="673"/>
      <c r="AQ951" s="673"/>
      <c r="AR951" s="673"/>
      <c r="AS951" s="673"/>
      <c r="AT951" s="696"/>
    </row>
    <row r="952" ht="15.75" customHeight="1">
      <c r="A952" s="653"/>
      <c r="B952" s="654"/>
      <c r="C952" s="691"/>
      <c r="D952" s="656"/>
      <c r="E952" s="657"/>
      <c r="F952" s="658"/>
      <c r="G952" s="659"/>
      <c r="H952" s="660"/>
      <c r="I952" s="659"/>
      <c r="J952" s="661"/>
      <c r="K952" s="692"/>
      <c r="L952" s="645"/>
      <c r="M952" s="663"/>
      <c r="N952" s="665"/>
      <c r="O952" s="665"/>
      <c r="P952" s="666"/>
      <c r="Q952" s="667"/>
      <c r="R952" s="668"/>
      <c r="S952" s="693"/>
      <c r="T952" s="694"/>
      <c r="U952" s="694"/>
      <c r="V952" s="693"/>
      <c r="W952" s="693"/>
      <c r="X952" s="693"/>
      <c r="Y952" s="671"/>
      <c r="Z952" s="673"/>
      <c r="AA952" s="672"/>
      <c r="AB952" s="695"/>
      <c r="AC952" s="673"/>
      <c r="AD952" s="673"/>
      <c r="AE952" s="673"/>
      <c r="AF952" s="673"/>
      <c r="AG952" s="673"/>
      <c r="AH952" s="673"/>
      <c r="AI952" s="673"/>
      <c r="AJ952" s="673"/>
      <c r="AK952" s="673"/>
      <c r="AL952" s="673"/>
      <c r="AM952" s="673"/>
      <c r="AN952" s="673"/>
      <c r="AO952" s="673"/>
      <c r="AP952" s="673"/>
      <c r="AQ952" s="673"/>
      <c r="AR952" s="673"/>
      <c r="AS952" s="673"/>
      <c r="AT952" s="696"/>
    </row>
    <row r="953" ht="15.75" customHeight="1">
      <c r="A953" s="653"/>
      <c r="B953" s="654"/>
      <c r="C953" s="691"/>
      <c r="D953" s="656"/>
      <c r="E953" s="657"/>
      <c r="F953" s="658"/>
      <c r="G953" s="659"/>
      <c r="H953" s="660"/>
      <c r="I953" s="659"/>
      <c r="J953" s="661"/>
      <c r="K953" s="692"/>
      <c r="L953" s="645"/>
      <c r="M953" s="663"/>
      <c r="N953" s="665"/>
      <c r="O953" s="665"/>
      <c r="P953" s="666"/>
      <c r="Q953" s="667"/>
      <c r="R953" s="668"/>
      <c r="S953" s="693"/>
      <c r="T953" s="694"/>
      <c r="U953" s="694"/>
      <c r="V953" s="693"/>
      <c r="W953" s="693"/>
      <c r="X953" s="693"/>
      <c r="Y953" s="671"/>
      <c r="Z953" s="673"/>
      <c r="AA953" s="672"/>
      <c r="AB953" s="695"/>
      <c r="AC953" s="673"/>
      <c r="AD953" s="673"/>
      <c r="AE953" s="673"/>
      <c r="AF953" s="673"/>
      <c r="AG953" s="673"/>
      <c r="AH953" s="673"/>
      <c r="AI953" s="673"/>
      <c r="AJ953" s="673"/>
      <c r="AK953" s="673"/>
      <c r="AL953" s="673"/>
      <c r="AM953" s="673"/>
      <c r="AN953" s="673"/>
      <c r="AO953" s="673"/>
      <c r="AP953" s="673"/>
      <c r="AQ953" s="673"/>
      <c r="AR953" s="673"/>
      <c r="AS953" s="673"/>
      <c r="AT953" s="696"/>
    </row>
    <row r="954" ht="15.75" customHeight="1">
      <c r="A954" s="653"/>
      <c r="B954" s="654"/>
      <c r="C954" s="691"/>
      <c r="D954" s="656"/>
      <c r="E954" s="657"/>
      <c r="F954" s="658"/>
      <c r="G954" s="659"/>
      <c r="H954" s="660"/>
      <c r="I954" s="659"/>
      <c r="J954" s="661"/>
      <c r="K954" s="692"/>
      <c r="L954" s="645"/>
      <c r="M954" s="663"/>
      <c r="N954" s="665"/>
      <c r="O954" s="665"/>
      <c r="P954" s="666"/>
      <c r="Q954" s="667"/>
      <c r="R954" s="668"/>
      <c r="S954" s="693"/>
      <c r="T954" s="694"/>
      <c r="U954" s="694"/>
      <c r="V954" s="693"/>
      <c r="W954" s="693"/>
      <c r="X954" s="693"/>
      <c r="Y954" s="671"/>
      <c r="Z954" s="673"/>
      <c r="AA954" s="672"/>
      <c r="AB954" s="695"/>
      <c r="AC954" s="673"/>
      <c r="AD954" s="673"/>
      <c r="AE954" s="673"/>
      <c r="AF954" s="673"/>
      <c r="AG954" s="673"/>
      <c r="AH954" s="673"/>
      <c r="AI954" s="673"/>
      <c r="AJ954" s="673"/>
      <c r="AK954" s="673"/>
      <c r="AL954" s="673"/>
      <c r="AM954" s="673"/>
      <c r="AN954" s="673"/>
      <c r="AO954" s="673"/>
      <c r="AP954" s="673"/>
      <c r="AQ954" s="673"/>
      <c r="AR954" s="673"/>
      <c r="AS954" s="673"/>
      <c r="AT954" s="696"/>
    </row>
    <row r="955" ht="15.75" customHeight="1">
      <c r="A955" s="653"/>
      <c r="B955" s="654"/>
      <c r="C955" s="691"/>
      <c r="D955" s="656"/>
      <c r="E955" s="657"/>
      <c r="F955" s="658"/>
      <c r="G955" s="659"/>
      <c r="H955" s="660"/>
      <c r="I955" s="659"/>
      <c r="J955" s="661"/>
      <c r="K955" s="692"/>
      <c r="L955" s="645"/>
      <c r="M955" s="663"/>
      <c r="N955" s="665"/>
      <c r="O955" s="665"/>
      <c r="P955" s="666"/>
      <c r="Q955" s="667"/>
      <c r="R955" s="668"/>
      <c r="S955" s="693"/>
      <c r="T955" s="694"/>
      <c r="U955" s="694"/>
      <c r="V955" s="693"/>
      <c r="W955" s="693"/>
      <c r="X955" s="693"/>
      <c r="Y955" s="671"/>
      <c r="Z955" s="673"/>
      <c r="AA955" s="672"/>
      <c r="AB955" s="695"/>
      <c r="AC955" s="673"/>
      <c r="AD955" s="673"/>
      <c r="AE955" s="673"/>
      <c r="AF955" s="673"/>
      <c r="AG955" s="673"/>
      <c r="AH955" s="673"/>
      <c r="AI955" s="673"/>
      <c r="AJ955" s="673"/>
      <c r="AK955" s="673"/>
      <c r="AL955" s="673"/>
      <c r="AM955" s="673"/>
      <c r="AN955" s="673"/>
      <c r="AO955" s="673"/>
      <c r="AP955" s="673"/>
      <c r="AQ955" s="673"/>
      <c r="AR955" s="673"/>
      <c r="AS955" s="673"/>
      <c r="AT955" s="696"/>
    </row>
    <row r="956" ht="15.75" customHeight="1">
      <c r="A956" s="653"/>
      <c r="B956" s="654"/>
      <c r="C956" s="691"/>
      <c r="D956" s="656"/>
      <c r="E956" s="657"/>
      <c r="F956" s="658"/>
      <c r="G956" s="659"/>
      <c r="H956" s="660"/>
      <c r="I956" s="659"/>
      <c r="J956" s="661"/>
      <c r="K956" s="692"/>
      <c r="L956" s="645"/>
      <c r="M956" s="663"/>
      <c r="N956" s="665"/>
      <c r="O956" s="665"/>
      <c r="P956" s="666"/>
      <c r="Q956" s="667"/>
      <c r="R956" s="668"/>
      <c r="S956" s="693"/>
      <c r="T956" s="694"/>
      <c r="U956" s="694"/>
      <c r="V956" s="693"/>
      <c r="W956" s="693"/>
      <c r="X956" s="693"/>
      <c r="Y956" s="671"/>
      <c r="Z956" s="673"/>
      <c r="AA956" s="672"/>
      <c r="AB956" s="695"/>
      <c r="AC956" s="673"/>
      <c r="AD956" s="673"/>
      <c r="AE956" s="673"/>
      <c r="AF956" s="673"/>
      <c r="AG956" s="673"/>
      <c r="AH956" s="673"/>
      <c r="AI956" s="673"/>
      <c r="AJ956" s="673"/>
      <c r="AK956" s="673"/>
      <c r="AL956" s="673"/>
      <c r="AM956" s="673"/>
      <c r="AN956" s="673"/>
      <c r="AO956" s="673"/>
      <c r="AP956" s="673"/>
      <c r="AQ956" s="673"/>
      <c r="AR956" s="673"/>
      <c r="AS956" s="673"/>
      <c r="AT956" s="696"/>
    </row>
    <row r="957" ht="15.75" customHeight="1">
      <c r="A957" s="653"/>
      <c r="B957" s="654"/>
      <c r="C957" s="691"/>
      <c r="D957" s="656"/>
      <c r="E957" s="657"/>
      <c r="F957" s="658"/>
      <c r="G957" s="659"/>
      <c r="H957" s="660"/>
      <c r="I957" s="659"/>
      <c r="J957" s="661"/>
      <c r="K957" s="692"/>
      <c r="L957" s="645"/>
      <c r="M957" s="663"/>
      <c r="N957" s="665"/>
      <c r="O957" s="665"/>
      <c r="P957" s="666"/>
      <c r="Q957" s="667"/>
      <c r="R957" s="668"/>
      <c r="S957" s="693"/>
      <c r="T957" s="694"/>
      <c r="U957" s="694"/>
      <c r="V957" s="693"/>
      <c r="W957" s="693"/>
      <c r="X957" s="693"/>
      <c r="Y957" s="671"/>
      <c r="Z957" s="673"/>
      <c r="AA957" s="672"/>
      <c r="AB957" s="695"/>
      <c r="AC957" s="673"/>
      <c r="AD957" s="673"/>
      <c r="AE957" s="673"/>
      <c r="AF957" s="673"/>
      <c r="AG957" s="673"/>
      <c r="AH957" s="673"/>
      <c r="AI957" s="673"/>
      <c r="AJ957" s="673"/>
      <c r="AK957" s="673"/>
      <c r="AL957" s="673"/>
      <c r="AM957" s="673"/>
      <c r="AN957" s="673"/>
      <c r="AO957" s="673"/>
      <c r="AP957" s="673"/>
      <c r="AQ957" s="673"/>
      <c r="AR957" s="673"/>
      <c r="AS957" s="673"/>
      <c r="AT957" s="696"/>
    </row>
    <row r="958" ht="15.75" customHeight="1">
      <c r="A958" s="653"/>
      <c r="B958" s="654"/>
      <c r="C958" s="691"/>
      <c r="D958" s="656"/>
      <c r="E958" s="657"/>
      <c r="F958" s="658"/>
      <c r="G958" s="659"/>
      <c r="H958" s="660"/>
      <c r="I958" s="659"/>
      <c r="J958" s="661"/>
      <c r="K958" s="692"/>
      <c r="L958" s="645"/>
      <c r="M958" s="663"/>
      <c r="N958" s="665"/>
      <c r="O958" s="665"/>
      <c r="P958" s="666"/>
      <c r="Q958" s="667"/>
      <c r="R958" s="668"/>
      <c r="S958" s="693"/>
      <c r="T958" s="694"/>
      <c r="U958" s="694"/>
      <c r="V958" s="693"/>
      <c r="W958" s="693"/>
      <c r="X958" s="693"/>
      <c r="Y958" s="671"/>
      <c r="Z958" s="673"/>
      <c r="AA958" s="672"/>
      <c r="AB958" s="695"/>
      <c r="AC958" s="673"/>
      <c r="AD958" s="673"/>
      <c r="AE958" s="673"/>
      <c r="AF958" s="673"/>
      <c r="AG958" s="673"/>
      <c r="AH958" s="673"/>
      <c r="AI958" s="673"/>
      <c r="AJ958" s="673"/>
      <c r="AK958" s="673"/>
      <c r="AL958" s="673"/>
      <c r="AM958" s="673"/>
      <c r="AN958" s="673"/>
      <c r="AO958" s="673"/>
      <c r="AP958" s="673"/>
      <c r="AQ958" s="673"/>
      <c r="AR958" s="673"/>
      <c r="AS958" s="673"/>
      <c r="AT958" s="696"/>
    </row>
    <row r="959" ht="15.75" customHeight="1">
      <c r="A959" s="653"/>
      <c r="B959" s="654"/>
      <c r="C959" s="691"/>
      <c r="D959" s="656"/>
      <c r="E959" s="657"/>
      <c r="F959" s="658"/>
      <c r="G959" s="659"/>
      <c r="H959" s="660"/>
      <c r="I959" s="659"/>
      <c r="J959" s="661"/>
      <c r="K959" s="692"/>
      <c r="L959" s="645"/>
      <c r="M959" s="663"/>
      <c r="N959" s="665"/>
      <c r="O959" s="665"/>
      <c r="P959" s="666"/>
      <c r="Q959" s="667"/>
      <c r="R959" s="668"/>
      <c r="S959" s="693"/>
      <c r="T959" s="694"/>
      <c r="U959" s="694"/>
      <c r="V959" s="693"/>
      <c r="W959" s="693"/>
      <c r="X959" s="693"/>
      <c r="Y959" s="671"/>
      <c r="Z959" s="673"/>
      <c r="AA959" s="672"/>
      <c r="AB959" s="695"/>
      <c r="AC959" s="673"/>
      <c r="AD959" s="673"/>
      <c r="AE959" s="673"/>
      <c r="AF959" s="673"/>
      <c r="AG959" s="673"/>
      <c r="AH959" s="673"/>
      <c r="AI959" s="673"/>
      <c r="AJ959" s="673"/>
      <c r="AK959" s="673"/>
      <c r="AL959" s="673"/>
      <c r="AM959" s="673"/>
      <c r="AN959" s="673"/>
      <c r="AO959" s="673"/>
      <c r="AP959" s="673"/>
      <c r="AQ959" s="673"/>
      <c r="AR959" s="673"/>
      <c r="AS959" s="673"/>
      <c r="AT959" s="696"/>
    </row>
    <row r="960" ht="15.75" customHeight="1">
      <c r="A960" s="653"/>
      <c r="B960" s="654"/>
      <c r="C960" s="691"/>
      <c r="D960" s="656"/>
      <c r="E960" s="657"/>
      <c r="F960" s="658"/>
      <c r="G960" s="659"/>
      <c r="H960" s="660"/>
      <c r="I960" s="659"/>
      <c r="J960" s="661"/>
      <c r="K960" s="692"/>
      <c r="L960" s="645"/>
      <c r="M960" s="663"/>
      <c r="N960" s="665"/>
      <c r="O960" s="665"/>
      <c r="P960" s="666"/>
      <c r="Q960" s="667"/>
      <c r="R960" s="668"/>
      <c r="S960" s="693"/>
      <c r="T960" s="694"/>
      <c r="U960" s="694"/>
      <c r="V960" s="693"/>
      <c r="W960" s="693"/>
      <c r="X960" s="693"/>
      <c r="Y960" s="671"/>
      <c r="Z960" s="673"/>
      <c r="AA960" s="672"/>
      <c r="AB960" s="695"/>
      <c r="AC960" s="673"/>
      <c r="AD960" s="673"/>
      <c r="AE960" s="673"/>
      <c r="AF960" s="673"/>
      <c r="AG960" s="673"/>
      <c r="AH960" s="673"/>
      <c r="AI960" s="673"/>
      <c r="AJ960" s="673"/>
      <c r="AK960" s="673"/>
      <c r="AL960" s="673"/>
      <c r="AM960" s="673"/>
      <c r="AN960" s="673"/>
      <c r="AO960" s="673"/>
      <c r="AP960" s="673"/>
      <c r="AQ960" s="673"/>
      <c r="AR960" s="673"/>
      <c r="AS960" s="673"/>
      <c r="AT960" s="696"/>
    </row>
    <row r="961" ht="15.75" customHeight="1">
      <c r="A961" s="653"/>
      <c r="B961" s="654"/>
      <c r="C961" s="691"/>
      <c r="D961" s="656"/>
      <c r="E961" s="657"/>
      <c r="F961" s="658"/>
      <c r="G961" s="659"/>
      <c r="H961" s="660"/>
      <c r="I961" s="659"/>
      <c r="J961" s="661"/>
      <c r="K961" s="692"/>
      <c r="L961" s="645"/>
      <c r="M961" s="663"/>
      <c r="N961" s="665"/>
      <c r="O961" s="665"/>
      <c r="P961" s="666"/>
      <c r="Q961" s="667"/>
      <c r="R961" s="668"/>
      <c r="S961" s="693"/>
      <c r="T961" s="694"/>
      <c r="U961" s="694"/>
      <c r="V961" s="693"/>
      <c r="W961" s="693"/>
      <c r="X961" s="693"/>
      <c r="Y961" s="671"/>
      <c r="Z961" s="673"/>
      <c r="AA961" s="672"/>
      <c r="AB961" s="695"/>
      <c r="AC961" s="673"/>
      <c r="AD961" s="673"/>
      <c r="AE961" s="673"/>
      <c r="AF961" s="673"/>
      <c r="AG961" s="673"/>
      <c r="AH961" s="673"/>
      <c r="AI961" s="673"/>
      <c r="AJ961" s="673"/>
      <c r="AK961" s="673"/>
      <c r="AL961" s="673"/>
      <c r="AM961" s="673"/>
      <c r="AN961" s="673"/>
      <c r="AO961" s="673"/>
      <c r="AP961" s="673"/>
      <c r="AQ961" s="673"/>
      <c r="AR961" s="673"/>
      <c r="AS961" s="673"/>
      <c r="AT961" s="696"/>
    </row>
    <row r="962" ht="15.75" customHeight="1">
      <c r="A962" s="653"/>
      <c r="B962" s="654"/>
      <c r="C962" s="691"/>
      <c r="D962" s="656"/>
      <c r="E962" s="657"/>
      <c r="F962" s="658"/>
      <c r="G962" s="659"/>
      <c r="H962" s="660"/>
      <c r="I962" s="659"/>
      <c r="J962" s="661"/>
      <c r="K962" s="692"/>
      <c r="L962" s="645"/>
      <c r="M962" s="663"/>
      <c r="N962" s="665"/>
      <c r="O962" s="665"/>
      <c r="P962" s="666"/>
      <c r="Q962" s="667"/>
      <c r="R962" s="668"/>
      <c r="S962" s="693"/>
      <c r="T962" s="694"/>
      <c r="U962" s="694"/>
      <c r="V962" s="693"/>
      <c r="W962" s="693"/>
      <c r="X962" s="693"/>
      <c r="Y962" s="671"/>
      <c r="Z962" s="673"/>
      <c r="AA962" s="672"/>
      <c r="AB962" s="695"/>
      <c r="AC962" s="673"/>
      <c r="AD962" s="673"/>
      <c r="AE962" s="673"/>
      <c r="AF962" s="673"/>
      <c r="AG962" s="673"/>
      <c r="AH962" s="673"/>
      <c r="AI962" s="673"/>
      <c r="AJ962" s="673"/>
      <c r="AK962" s="673"/>
      <c r="AL962" s="673"/>
      <c r="AM962" s="673"/>
      <c r="AN962" s="673"/>
      <c r="AO962" s="673"/>
      <c r="AP962" s="673"/>
      <c r="AQ962" s="673"/>
      <c r="AR962" s="673"/>
      <c r="AS962" s="673"/>
      <c r="AT962" s="696"/>
    </row>
    <row r="963" ht="15.75" customHeight="1">
      <c r="A963" s="653"/>
      <c r="B963" s="654"/>
      <c r="C963" s="691"/>
      <c r="D963" s="656"/>
      <c r="E963" s="657"/>
      <c r="F963" s="658"/>
      <c r="G963" s="659"/>
      <c r="H963" s="660"/>
      <c r="I963" s="659"/>
      <c r="J963" s="661"/>
      <c r="K963" s="692"/>
      <c r="L963" s="645"/>
      <c r="M963" s="663"/>
      <c r="N963" s="665"/>
      <c r="O963" s="665"/>
      <c r="P963" s="666"/>
      <c r="Q963" s="667"/>
      <c r="R963" s="668"/>
      <c r="S963" s="693"/>
      <c r="T963" s="694"/>
      <c r="U963" s="694"/>
      <c r="V963" s="693"/>
      <c r="W963" s="693"/>
      <c r="X963" s="693"/>
      <c r="Y963" s="671"/>
      <c r="Z963" s="673"/>
      <c r="AA963" s="672"/>
      <c r="AB963" s="695"/>
      <c r="AC963" s="673"/>
      <c r="AD963" s="673"/>
      <c r="AE963" s="673"/>
      <c r="AF963" s="673"/>
      <c r="AG963" s="673"/>
      <c r="AH963" s="673"/>
      <c r="AI963" s="673"/>
      <c r="AJ963" s="673"/>
      <c r="AK963" s="673"/>
      <c r="AL963" s="673"/>
      <c r="AM963" s="673"/>
      <c r="AN963" s="673"/>
      <c r="AO963" s="673"/>
      <c r="AP963" s="673"/>
      <c r="AQ963" s="673"/>
      <c r="AR963" s="673"/>
      <c r="AS963" s="673"/>
      <c r="AT963" s="696"/>
    </row>
    <row r="964" ht="15.75" customHeight="1">
      <c r="A964" s="653"/>
      <c r="B964" s="654"/>
      <c r="C964" s="691"/>
      <c r="D964" s="656"/>
      <c r="E964" s="657"/>
      <c r="F964" s="658"/>
      <c r="G964" s="659"/>
      <c r="H964" s="660"/>
      <c r="I964" s="659"/>
      <c r="J964" s="661"/>
      <c r="K964" s="692"/>
      <c r="L964" s="645"/>
      <c r="M964" s="663"/>
      <c r="N964" s="665"/>
      <c r="O964" s="665"/>
      <c r="P964" s="666"/>
      <c r="Q964" s="667"/>
      <c r="R964" s="668"/>
      <c r="S964" s="693"/>
      <c r="T964" s="694"/>
      <c r="U964" s="694"/>
      <c r="V964" s="693"/>
      <c r="W964" s="693"/>
      <c r="X964" s="693"/>
      <c r="Y964" s="671"/>
      <c r="Z964" s="673"/>
      <c r="AA964" s="672"/>
      <c r="AB964" s="695"/>
      <c r="AC964" s="673"/>
      <c r="AD964" s="673"/>
      <c r="AE964" s="673"/>
      <c r="AF964" s="673"/>
      <c r="AG964" s="673"/>
      <c r="AH964" s="673"/>
      <c r="AI964" s="673"/>
      <c r="AJ964" s="673"/>
      <c r="AK964" s="673"/>
      <c r="AL964" s="673"/>
      <c r="AM964" s="673"/>
      <c r="AN964" s="673"/>
      <c r="AO964" s="673"/>
      <c r="AP964" s="673"/>
      <c r="AQ964" s="673"/>
      <c r="AR964" s="673"/>
      <c r="AS964" s="673"/>
      <c r="AT964" s="696"/>
    </row>
    <row r="965" ht="15.75" customHeight="1">
      <c r="A965" s="653"/>
      <c r="B965" s="654"/>
      <c r="C965" s="691"/>
      <c r="D965" s="656"/>
      <c r="E965" s="657"/>
      <c r="F965" s="658"/>
      <c r="G965" s="659"/>
      <c r="H965" s="660"/>
      <c r="I965" s="659"/>
      <c r="J965" s="661"/>
      <c r="K965" s="692"/>
      <c r="L965" s="645"/>
      <c r="M965" s="663"/>
      <c r="N965" s="665"/>
      <c r="O965" s="665"/>
      <c r="P965" s="666"/>
      <c r="Q965" s="667"/>
      <c r="R965" s="668"/>
      <c r="S965" s="693"/>
      <c r="T965" s="694"/>
      <c r="U965" s="694"/>
      <c r="V965" s="693"/>
      <c r="W965" s="693"/>
      <c r="X965" s="693"/>
      <c r="Y965" s="671"/>
      <c r="Z965" s="673"/>
      <c r="AA965" s="672"/>
      <c r="AB965" s="695"/>
      <c r="AC965" s="673"/>
      <c r="AD965" s="673"/>
      <c r="AE965" s="673"/>
      <c r="AF965" s="673"/>
      <c r="AG965" s="673"/>
      <c r="AH965" s="673"/>
      <c r="AI965" s="673"/>
      <c r="AJ965" s="673"/>
      <c r="AK965" s="673"/>
      <c r="AL965" s="673"/>
      <c r="AM965" s="673"/>
      <c r="AN965" s="673"/>
      <c r="AO965" s="673"/>
      <c r="AP965" s="673"/>
      <c r="AQ965" s="673"/>
      <c r="AR965" s="673"/>
      <c r="AS965" s="673"/>
      <c r="AT965" s="696"/>
    </row>
    <row r="966" ht="15.75" customHeight="1">
      <c r="A966" s="653"/>
      <c r="B966" s="654"/>
      <c r="C966" s="691"/>
      <c r="D966" s="656"/>
      <c r="E966" s="657"/>
      <c r="F966" s="658"/>
      <c r="G966" s="659"/>
      <c r="H966" s="660"/>
      <c r="I966" s="659"/>
      <c r="J966" s="661"/>
      <c r="K966" s="692"/>
      <c r="L966" s="645"/>
      <c r="M966" s="663"/>
      <c r="N966" s="665"/>
      <c r="O966" s="665"/>
      <c r="P966" s="666"/>
      <c r="Q966" s="667"/>
      <c r="R966" s="668"/>
      <c r="S966" s="693"/>
      <c r="T966" s="694"/>
      <c r="U966" s="694"/>
      <c r="V966" s="693"/>
      <c r="W966" s="693"/>
      <c r="X966" s="693"/>
      <c r="Y966" s="671"/>
      <c r="Z966" s="673"/>
      <c r="AA966" s="672"/>
      <c r="AB966" s="695"/>
      <c r="AC966" s="673"/>
      <c r="AD966" s="673"/>
      <c r="AE966" s="673"/>
      <c r="AF966" s="673"/>
      <c r="AG966" s="673"/>
      <c r="AH966" s="673"/>
      <c r="AI966" s="673"/>
      <c r="AJ966" s="673"/>
      <c r="AK966" s="673"/>
      <c r="AL966" s="673"/>
      <c r="AM966" s="673"/>
      <c r="AN966" s="673"/>
      <c r="AO966" s="673"/>
      <c r="AP966" s="673"/>
      <c r="AQ966" s="673"/>
      <c r="AR966" s="673"/>
      <c r="AS966" s="673"/>
      <c r="AT966" s="696"/>
    </row>
    <row r="967" ht="15.75" customHeight="1">
      <c r="A967" s="653"/>
      <c r="B967" s="654"/>
      <c r="C967" s="691"/>
      <c r="D967" s="656"/>
      <c r="E967" s="657"/>
      <c r="F967" s="658"/>
      <c r="G967" s="659"/>
      <c r="H967" s="660"/>
      <c r="I967" s="659"/>
      <c r="J967" s="661"/>
      <c r="K967" s="692"/>
      <c r="L967" s="645"/>
      <c r="M967" s="663"/>
      <c r="N967" s="665"/>
      <c r="O967" s="665"/>
      <c r="P967" s="666"/>
      <c r="Q967" s="667"/>
      <c r="R967" s="668"/>
      <c r="S967" s="693"/>
      <c r="T967" s="694"/>
      <c r="U967" s="694"/>
      <c r="V967" s="693"/>
      <c r="W967" s="693"/>
      <c r="X967" s="693"/>
      <c r="Y967" s="671"/>
      <c r="Z967" s="673"/>
      <c r="AA967" s="672"/>
      <c r="AB967" s="695"/>
      <c r="AC967" s="673"/>
      <c r="AD967" s="673"/>
      <c r="AE967" s="673"/>
      <c r="AF967" s="673"/>
      <c r="AG967" s="673"/>
      <c r="AH967" s="673"/>
      <c r="AI967" s="673"/>
      <c r="AJ967" s="673"/>
      <c r="AK967" s="673"/>
      <c r="AL967" s="673"/>
      <c r="AM967" s="673"/>
      <c r="AN967" s="673"/>
      <c r="AO967" s="673"/>
      <c r="AP967" s="673"/>
      <c r="AQ967" s="673"/>
      <c r="AR967" s="673"/>
      <c r="AS967" s="673"/>
      <c r="AT967" s="696"/>
    </row>
    <row r="968" ht="15.75" customHeight="1">
      <c r="A968" s="653"/>
      <c r="B968" s="654"/>
      <c r="C968" s="691"/>
      <c r="D968" s="656"/>
      <c r="E968" s="657"/>
      <c r="F968" s="658"/>
      <c r="G968" s="659"/>
      <c r="H968" s="660"/>
      <c r="I968" s="659"/>
      <c r="J968" s="661"/>
      <c r="K968" s="692"/>
      <c r="L968" s="645"/>
      <c r="M968" s="663"/>
      <c r="N968" s="665"/>
      <c r="O968" s="665"/>
      <c r="P968" s="666"/>
      <c r="Q968" s="667"/>
      <c r="R968" s="668"/>
      <c r="S968" s="693"/>
      <c r="T968" s="694"/>
      <c r="U968" s="694"/>
      <c r="V968" s="693"/>
      <c r="W968" s="693"/>
      <c r="X968" s="693"/>
      <c r="Y968" s="671"/>
      <c r="Z968" s="673"/>
      <c r="AA968" s="672"/>
      <c r="AB968" s="695"/>
      <c r="AC968" s="673"/>
      <c r="AD968" s="673"/>
      <c r="AE968" s="673"/>
      <c r="AF968" s="673"/>
      <c r="AG968" s="673"/>
      <c r="AH968" s="673"/>
      <c r="AI968" s="673"/>
      <c r="AJ968" s="673"/>
      <c r="AK968" s="673"/>
      <c r="AL968" s="673"/>
      <c r="AM968" s="673"/>
      <c r="AN968" s="673"/>
      <c r="AO968" s="673"/>
      <c r="AP968" s="673"/>
      <c r="AQ968" s="673"/>
      <c r="AR968" s="673"/>
      <c r="AS968" s="673"/>
      <c r="AT968" s="696"/>
    </row>
    <row r="969" ht="15.75" customHeight="1">
      <c r="A969" s="653"/>
      <c r="B969" s="654"/>
      <c r="C969" s="691"/>
      <c r="D969" s="656"/>
      <c r="E969" s="657"/>
      <c r="F969" s="658"/>
      <c r="G969" s="659"/>
      <c r="H969" s="660"/>
      <c r="I969" s="659"/>
      <c r="J969" s="661"/>
      <c r="K969" s="692"/>
      <c r="L969" s="645"/>
      <c r="M969" s="663"/>
      <c r="N969" s="665"/>
      <c r="O969" s="665"/>
      <c r="P969" s="666"/>
      <c r="Q969" s="667"/>
      <c r="R969" s="668"/>
      <c r="S969" s="693"/>
      <c r="T969" s="694"/>
      <c r="U969" s="694"/>
      <c r="V969" s="693"/>
      <c r="W969" s="693"/>
      <c r="X969" s="693"/>
      <c r="Y969" s="671"/>
      <c r="Z969" s="673"/>
      <c r="AA969" s="672"/>
      <c r="AB969" s="695"/>
      <c r="AC969" s="673"/>
      <c r="AD969" s="673"/>
      <c r="AE969" s="673"/>
      <c r="AF969" s="673"/>
      <c r="AG969" s="673"/>
      <c r="AH969" s="673"/>
      <c r="AI969" s="673"/>
      <c r="AJ969" s="673"/>
      <c r="AK969" s="673"/>
      <c r="AL969" s="673"/>
      <c r="AM969" s="673"/>
      <c r="AN969" s="673"/>
      <c r="AO969" s="673"/>
      <c r="AP969" s="673"/>
      <c r="AQ969" s="673"/>
      <c r="AR969" s="673"/>
      <c r="AS969" s="673"/>
      <c r="AT969" s="696"/>
    </row>
    <row r="970" ht="15.75" customHeight="1">
      <c r="A970" s="653"/>
      <c r="B970" s="654"/>
      <c r="C970" s="691"/>
      <c r="D970" s="656"/>
      <c r="E970" s="657"/>
      <c r="F970" s="658"/>
      <c r="G970" s="659"/>
      <c r="H970" s="660"/>
      <c r="I970" s="659"/>
      <c r="J970" s="661"/>
      <c r="K970" s="692"/>
      <c r="L970" s="645"/>
      <c r="M970" s="663"/>
      <c r="N970" s="665"/>
      <c r="O970" s="665"/>
      <c r="P970" s="666"/>
      <c r="Q970" s="667"/>
      <c r="R970" s="668"/>
      <c r="S970" s="693"/>
      <c r="T970" s="694"/>
      <c r="U970" s="694"/>
      <c r="V970" s="693"/>
      <c r="W970" s="693"/>
      <c r="X970" s="693"/>
      <c r="Y970" s="671"/>
      <c r="Z970" s="673"/>
      <c r="AA970" s="672"/>
      <c r="AB970" s="695"/>
      <c r="AC970" s="673"/>
      <c r="AD970" s="673"/>
      <c r="AE970" s="673"/>
      <c r="AF970" s="673"/>
      <c r="AG970" s="673"/>
      <c r="AH970" s="673"/>
      <c r="AI970" s="673"/>
      <c r="AJ970" s="673"/>
      <c r="AK970" s="673"/>
      <c r="AL970" s="673"/>
      <c r="AM970" s="673"/>
      <c r="AN970" s="673"/>
      <c r="AO970" s="673"/>
      <c r="AP970" s="673"/>
      <c r="AQ970" s="673"/>
      <c r="AR970" s="673"/>
      <c r="AS970" s="673"/>
      <c r="AT970" s="696"/>
    </row>
    <row r="971" ht="15.75" customHeight="1">
      <c r="A971" s="653"/>
      <c r="B971" s="654"/>
      <c r="C971" s="691"/>
      <c r="D971" s="656"/>
      <c r="E971" s="657"/>
      <c r="F971" s="658"/>
      <c r="G971" s="659"/>
      <c r="H971" s="660"/>
      <c r="I971" s="659"/>
      <c r="J971" s="661"/>
      <c r="K971" s="692"/>
      <c r="L971" s="645"/>
      <c r="M971" s="663"/>
      <c r="N971" s="665"/>
      <c r="O971" s="665"/>
      <c r="P971" s="666"/>
      <c r="Q971" s="667"/>
      <c r="R971" s="668"/>
      <c r="S971" s="693"/>
      <c r="T971" s="694"/>
      <c r="U971" s="694"/>
      <c r="V971" s="693"/>
      <c r="W971" s="693"/>
      <c r="X971" s="693"/>
      <c r="Y971" s="671"/>
      <c r="Z971" s="673"/>
      <c r="AA971" s="672"/>
      <c r="AB971" s="695"/>
      <c r="AC971" s="673"/>
      <c r="AD971" s="673"/>
      <c r="AE971" s="673"/>
      <c r="AF971" s="673"/>
      <c r="AG971" s="673"/>
      <c r="AH971" s="673"/>
      <c r="AI971" s="673"/>
      <c r="AJ971" s="673"/>
      <c r="AK971" s="673"/>
      <c r="AL971" s="673"/>
      <c r="AM971" s="673"/>
      <c r="AN971" s="673"/>
      <c r="AO971" s="673"/>
      <c r="AP971" s="673"/>
      <c r="AQ971" s="673"/>
      <c r="AR971" s="673"/>
      <c r="AS971" s="673"/>
      <c r="AT971" s="696"/>
    </row>
    <row r="972" ht="15.75" customHeight="1">
      <c r="A972" s="653"/>
      <c r="B972" s="654"/>
      <c r="C972" s="691"/>
      <c r="D972" s="656"/>
      <c r="E972" s="657"/>
      <c r="F972" s="658"/>
      <c r="G972" s="659"/>
      <c r="H972" s="660"/>
      <c r="I972" s="659"/>
      <c r="J972" s="661"/>
      <c r="K972" s="692"/>
      <c r="L972" s="645"/>
      <c r="M972" s="663"/>
      <c r="N972" s="665"/>
      <c r="O972" s="665"/>
      <c r="P972" s="666"/>
      <c r="Q972" s="667"/>
      <c r="R972" s="668"/>
      <c r="S972" s="693"/>
      <c r="T972" s="694"/>
      <c r="U972" s="694"/>
      <c r="V972" s="693"/>
      <c r="W972" s="693"/>
      <c r="X972" s="693"/>
      <c r="Y972" s="671"/>
      <c r="Z972" s="673"/>
      <c r="AA972" s="672"/>
      <c r="AB972" s="695"/>
      <c r="AC972" s="673"/>
      <c r="AD972" s="673"/>
      <c r="AE972" s="673"/>
      <c r="AF972" s="673"/>
      <c r="AG972" s="673"/>
      <c r="AH972" s="673"/>
      <c r="AI972" s="673"/>
      <c r="AJ972" s="673"/>
      <c r="AK972" s="673"/>
      <c r="AL972" s="673"/>
      <c r="AM972" s="673"/>
      <c r="AN972" s="673"/>
      <c r="AO972" s="673"/>
      <c r="AP972" s="673"/>
      <c r="AQ972" s="673"/>
      <c r="AR972" s="673"/>
      <c r="AS972" s="673"/>
      <c r="AT972" s="696"/>
    </row>
    <row r="973" ht="15.75" customHeight="1">
      <c r="A973" s="653"/>
      <c r="B973" s="654"/>
      <c r="C973" s="691"/>
      <c r="D973" s="656"/>
      <c r="E973" s="657"/>
      <c r="F973" s="658"/>
      <c r="G973" s="659"/>
      <c r="H973" s="660"/>
      <c r="I973" s="659"/>
      <c r="J973" s="661"/>
      <c r="K973" s="692"/>
      <c r="L973" s="645"/>
      <c r="M973" s="663"/>
      <c r="N973" s="665"/>
      <c r="O973" s="665"/>
      <c r="P973" s="666"/>
      <c r="Q973" s="667"/>
      <c r="R973" s="668"/>
      <c r="S973" s="693"/>
      <c r="T973" s="694"/>
      <c r="U973" s="694"/>
      <c r="V973" s="693"/>
      <c r="W973" s="693"/>
      <c r="X973" s="693"/>
      <c r="Y973" s="671"/>
      <c r="Z973" s="673"/>
      <c r="AA973" s="672"/>
      <c r="AB973" s="695"/>
      <c r="AC973" s="673"/>
      <c r="AD973" s="673"/>
      <c r="AE973" s="673"/>
      <c r="AF973" s="673"/>
      <c r="AG973" s="673"/>
      <c r="AH973" s="673"/>
      <c r="AI973" s="673"/>
      <c r="AJ973" s="673"/>
      <c r="AK973" s="673"/>
      <c r="AL973" s="673"/>
      <c r="AM973" s="673"/>
      <c r="AN973" s="673"/>
      <c r="AO973" s="673"/>
      <c r="AP973" s="673"/>
      <c r="AQ973" s="673"/>
      <c r="AR973" s="673"/>
      <c r="AS973" s="673"/>
      <c r="AT973" s="696"/>
    </row>
    <row r="974" ht="15.75" customHeight="1">
      <c r="A974" s="653"/>
      <c r="B974" s="654"/>
      <c r="C974" s="691"/>
      <c r="D974" s="656"/>
      <c r="E974" s="657"/>
      <c r="F974" s="658"/>
      <c r="G974" s="659"/>
      <c r="H974" s="660"/>
      <c r="I974" s="659"/>
      <c r="J974" s="661"/>
      <c r="K974" s="692"/>
      <c r="L974" s="645"/>
      <c r="M974" s="663"/>
      <c r="N974" s="665"/>
      <c r="O974" s="665"/>
      <c r="P974" s="666"/>
      <c r="Q974" s="667"/>
      <c r="R974" s="668"/>
      <c r="S974" s="693"/>
      <c r="T974" s="694"/>
      <c r="U974" s="694"/>
      <c r="V974" s="693"/>
      <c r="W974" s="693"/>
      <c r="X974" s="693"/>
      <c r="Y974" s="671"/>
      <c r="Z974" s="673"/>
      <c r="AA974" s="672"/>
      <c r="AB974" s="695"/>
      <c r="AC974" s="673"/>
      <c r="AD974" s="673"/>
      <c r="AE974" s="673"/>
      <c r="AF974" s="673"/>
      <c r="AG974" s="673"/>
      <c r="AH974" s="673"/>
      <c r="AI974" s="673"/>
      <c r="AJ974" s="673"/>
      <c r="AK974" s="673"/>
      <c r="AL974" s="673"/>
      <c r="AM974" s="673"/>
      <c r="AN974" s="673"/>
      <c r="AO974" s="673"/>
      <c r="AP974" s="673"/>
      <c r="AQ974" s="673"/>
      <c r="AR974" s="673"/>
      <c r="AS974" s="673"/>
      <c r="AT974" s="696"/>
    </row>
    <row r="975" ht="15.75" customHeight="1">
      <c r="A975" s="653"/>
      <c r="B975" s="654"/>
      <c r="C975" s="691"/>
      <c r="D975" s="656"/>
      <c r="E975" s="657"/>
      <c r="F975" s="658"/>
      <c r="G975" s="659"/>
      <c r="H975" s="660"/>
      <c r="I975" s="659"/>
      <c r="J975" s="661"/>
      <c r="K975" s="692"/>
      <c r="L975" s="645"/>
      <c r="M975" s="663"/>
      <c r="N975" s="665"/>
      <c r="O975" s="665"/>
      <c r="P975" s="666"/>
      <c r="Q975" s="667"/>
      <c r="R975" s="668"/>
      <c r="S975" s="693"/>
      <c r="T975" s="694"/>
      <c r="U975" s="694"/>
      <c r="V975" s="693"/>
      <c r="W975" s="693"/>
      <c r="X975" s="693"/>
      <c r="Y975" s="671"/>
      <c r="Z975" s="673"/>
      <c r="AA975" s="672"/>
      <c r="AB975" s="695"/>
      <c r="AC975" s="673"/>
      <c r="AD975" s="673"/>
      <c r="AE975" s="673"/>
      <c r="AF975" s="673"/>
      <c r="AG975" s="673"/>
      <c r="AH975" s="673"/>
      <c r="AI975" s="673"/>
      <c r="AJ975" s="673"/>
      <c r="AK975" s="673"/>
      <c r="AL975" s="673"/>
      <c r="AM975" s="673"/>
      <c r="AN975" s="673"/>
      <c r="AO975" s="673"/>
      <c r="AP975" s="673"/>
      <c r="AQ975" s="673"/>
      <c r="AR975" s="673"/>
      <c r="AS975" s="673"/>
      <c r="AT975" s="696"/>
    </row>
    <row r="976" ht="15.75" customHeight="1">
      <c r="A976" s="653"/>
      <c r="B976" s="654"/>
      <c r="C976" s="691"/>
      <c r="D976" s="656"/>
      <c r="E976" s="657"/>
      <c r="F976" s="658"/>
      <c r="G976" s="659"/>
      <c r="H976" s="660"/>
      <c r="I976" s="659"/>
      <c r="J976" s="661"/>
      <c r="K976" s="692"/>
      <c r="L976" s="645"/>
      <c r="M976" s="663"/>
      <c r="N976" s="665"/>
      <c r="O976" s="665"/>
      <c r="P976" s="666"/>
      <c r="Q976" s="667"/>
      <c r="R976" s="668"/>
      <c r="S976" s="693"/>
      <c r="T976" s="694"/>
      <c r="U976" s="694"/>
      <c r="V976" s="693"/>
      <c r="W976" s="693"/>
      <c r="X976" s="693"/>
      <c r="Y976" s="671"/>
      <c r="Z976" s="673"/>
      <c r="AA976" s="672"/>
      <c r="AB976" s="695"/>
      <c r="AC976" s="673"/>
      <c r="AD976" s="673"/>
      <c r="AE976" s="673"/>
      <c r="AF976" s="673"/>
      <c r="AG976" s="673"/>
      <c r="AH976" s="673"/>
      <c r="AI976" s="673"/>
      <c r="AJ976" s="673"/>
      <c r="AK976" s="673"/>
      <c r="AL976" s="673"/>
      <c r="AM976" s="673"/>
      <c r="AN976" s="673"/>
      <c r="AO976" s="673"/>
      <c r="AP976" s="673"/>
      <c r="AQ976" s="673"/>
      <c r="AR976" s="673"/>
      <c r="AS976" s="673"/>
      <c r="AT976" s="696"/>
    </row>
    <row r="977" ht="15.75" customHeight="1">
      <c r="A977" s="653"/>
      <c r="B977" s="654"/>
      <c r="C977" s="691"/>
      <c r="D977" s="656"/>
      <c r="E977" s="657"/>
      <c r="F977" s="658"/>
      <c r="G977" s="659"/>
      <c r="H977" s="660"/>
      <c r="I977" s="659"/>
      <c r="J977" s="661"/>
      <c r="K977" s="692"/>
      <c r="L977" s="645"/>
      <c r="M977" s="663"/>
      <c r="N977" s="665"/>
      <c r="O977" s="665"/>
      <c r="P977" s="666"/>
      <c r="Q977" s="667"/>
      <c r="R977" s="668"/>
      <c r="S977" s="693"/>
      <c r="T977" s="694"/>
      <c r="U977" s="694"/>
      <c r="V977" s="693"/>
      <c r="W977" s="693"/>
      <c r="X977" s="693"/>
      <c r="Y977" s="671"/>
      <c r="Z977" s="673"/>
      <c r="AA977" s="672"/>
      <c r="AB977" s="695"/>
      <c r="AC977" s="673"/>
      <c r="AD977" s="673"/>
      <c r="AE977" s="673"/>
      <c r="AF977" s="673"/>
      <c r="AG977" s="673"/>
      <c r="AH977" s="673"/>
      <c r="AI977" s="673"/>
      <c r="AJ977" s="673"/>
      <c r="AK977" s="673"/>
      <c r="AL977" s="673"/>
      <c r="AM977" s="673"/>
      <c r="AN977" s="673"/>
      <c r="AO977" s="673"/>
      <c r="AP977" s="673"/>
      <c r="AQ977" s="673"/>
      <c r="AR977" s="673"/>
      <c r="AS977" s="673"/>
      <c r="AT977" s="696"/>
    </row>
    <row r="978" ht="15.75" customHeight="1">
      <c r="A978" s="653"/>
      <c r="B978" s="654"/>
      <c r="C978" s="691"/>
      <c r="D978" s="656"/>
      <c r="E978" s="657"/>
      <c r="F978" s="658"/>
      <c r="G978" s="659"/>
      <c r="H978" s="660"/>
      <c r="I978" s="659"/>
      <c r="J978" s="661"/>
      <c r="K978" s="692"/>
      <c r="L978" s="645"/>
      <c r="M978" s="663"/>
      <c r="N978" s="665"/>
      <c r="O978" s="665"/>
      <c r="P978" s="666"/>
      <c r="Q978" s="667"/>
      <c r="R978" s="668"/>
      <c r="S978" s="693"/>
      <c r="T978" s="694"/>
      <c r="U978" s="694"/>
      <c r="V978" s="693"/>
      <c r="W978" s="693"/>
      <c r="X978" s="693"/>
      <c r="Y978" s="671"/>
      <c r="Z978" s="673"/>
      <c r="AA978" s="672"/>
      <c r="AB978" s="695"/>
      <c r="AC978" s="673"/>
      <c r="AD978" s="673"/>
      <c r="AE978" s="673"/>
      <c r="AF978" s="673"/>
      <c r="AG978" s="673"/>
      <c r="AH978" s="673"/>
      <c r="AI978" s="673"/>
      <c r="AJ978" s="673"/>
      <c r="AK978" s="673"/>
      <c r="AL978" s="673"/>
      <c r="AM978" s="673"/>
      <c r="AN978" s="673"/>
      <c r="AO978" s="673"/>
      <c r="AP978" s="673"/>
      <c r="AQ978" s="673"/>
      <c r="AR978" s="673"/>
      <c r="AS978" s="673"/>
      <c r="AT978" s="696"/>
    </row>
    <row r="979" ht="15.75" customHeight="1">
      <c r="A979" s="653"/>
      <c r="B979" s="654"/>
      <c r="C979" s="691"/>
      <c r="D979" s="656"/>
      <c r="E979" s="657"/>
      <c r="F979" s="658"/>
      <c r="G979" s="659"/>
      <c r="H979" s="660"/>
      <c r="I979" s="659"/>
      <c r="J979" s="661"/>
      <c r="K979" s="692"/>
      <c r="L979" s="645"/>
      <c r="M979" s="663"/>
      <c r="N979" s="665"/>
      <c r="O979" s="665"/>
      <c r="P979" s="666"/>
      <c r="Q979" s="667"/>
      <c r="R979" s="668"/>
      <c r="S979" s="693"/>
      <c r="T979" s="694"/>
      <c r="U979" s="694"/>
      <c r="V979" s="693"/>
      <c r="W979" s="693"/>
      <c r="X979" s="693"/>
      <c r="Y979" s="671"/>
      <c r="Z979" s="673"/>
      <c r="AA979" s="672"/>
      <c r="AB979" s="695"/>
      <c r="AC979" s="673"/>
      <c r="AD979" s="673"/>
      <c r="AE979" s="673"/>
      <c r="AF979" s="673"/>
      <c r="AG979" s="673"/>
      <c r="AH979" s="673"/>
      <c r="AI979" s="673"/>
      <c r="AJ979" s="673"/>
      <c r="AK979" s="673"/>
      <c r="AL979" s="673"/>
      <c r="AM979" s="673"/>
      <c r="AN979" s="673"/>
      <c r="AO979" s="673"/>
      <c r="AP979" s="673"/>
      <c r="AQ979" s="673"/>
      <c r="AR979" s="673"/>
      <c r="AS979" s="673"/>
      <c r="AT979" s="696"/>
    </row>
    <row r="980" ht="15.75" customHeight="1">
      <c r="A980" s="653"/>
      <c r="B980" s="654"/>
      <c r="C980" s="691"/>
      <c r="D980" s="656"/>
      <c r="E980" s="657"/>
      <c r="F980" s="658"/>
      <c r="G980" s="659"/>
      <c r="H980" s="660"/>
      <c r="I980" s="659"/>
      <c r="J980" s="661"/>
      <c r="K980" s="692"/>
      <c r="L980" s="645"/>
      <c r="M980" s="663"/>
      <c r="N980" s="665"/>
      <c r="O980" s="665"/>
      <c r="P980" s="666"/>
      <c r="Q980" s="667"/>
      <c r="R980" s="668"/>
      <c r="S980" s="693"/>
      <c r="T980" s="694"/>
      <c r="U980" s="694"/>
      <c r="V980" s="693"/>
      <c r="W980" s="693"/>
      <c r="X980" s="693"/>
      <c r="Y980" s="671"/>
      <c r="Z980" s="673"/>
      <c r="AA980" s="672"/>
      <c r="AB980" s="695"/>
      <c r="AC980" s="673"/>
      <c r="AD980" s="673"/>
      <c r="AE980" s="673"/>
      <c r="AF980" s="673"/>
      <c r="AG980" s="673"/>
      <c r="AH980" s="673"/>
      <c r="AI980" s="673"/>
      <c r="AJ980" s="673"/>
      <c r="AK980" s="673"/>
      <c r="AL980" s="673"/>
      <c r="AM980" s="673"/>
      <c r="AN980" s="673"/>
      <c r="AO980" s="673"/>
      <c r="AP980" s="673"/>
      <c r="AQ980" s="673"/>
      <c r="AR980" s="673"/>
      <c r="AS980" s="673"/>
      <c r="AT980" s="696"/>
    </row>
    <row r="981" ht="15.75" customHeight="1">
      <c r="A981" s="653"/>
      <c r="B981" s="654"/>
      <c r="C981" s="691"/>
      <c r="D981" s="656"/>
      <c r="E981" s="657"/>
      <c r="F981" s="658"/>
      <c r="G981" s="659"/>
      <c r="H981" s="660"/>
      <c r="I981" s="659"/>
      <c r="J981" s="661"/>
      <c r="K981" s="692"/>
      <c r="L981" s="645"/>
      <c r="M981" s="663"/>
      <c r="N981" s="665"/>
      <c r="O981" s="665"/>
      <c r="P981" s="666"/>
      <c r="Q981" s="667"/>
      <c r="R981" s="668"/>
      <c r="S981" s="693"/>
      <c r="T981" s="694"/>
      <c r="U981" s="694"/>
      <c r="V981" s="693"/>
      <c r="W981" s="693"/>
      <c r="X981" s="693"/>
      <c r="Y981" s="671"/>
      <c r="Z981" s="673"/>
      <c r="AA981" s="672"/>
      <c r="AB981" s="695"/>
      <c r="AC981" s="673"/>
      <c r="AD981" s="673"/>
      <c r="AE981" s="673"/>
      <c r="AF981" s="673"/>
      <c r="AG981" s="673"/>
      <c r="AH981" s="673"/>
      <c r="AI981" s="673"/>
      <c r="AJ981" s="673"/>
      <c r="AK981" s="673"/>
      <c r="AL981" s="673"/>
      <c r="AM981" s="673"/>
      <c r="AN981" s="673"/>
      <c r="AO981" s="673"/>
      <c r="AP981" s="673"/>
      <c r="AQ981" s="673"/>
      <c r="AR981" s="673"/>
      <c r="AS981" s="673"/>
      <c r="AT981" s="696"/>
    </row>
    <row r="982" ht="15.75" customHeight="1">
      <c r="A982" s="653"/>
      <c r="B982" s="654"/>
      <c r="C982" s="691"/>
      <c r="D982" s="656"/>
      <c r="E982" s="657"/>
      <c r="F982" s="658"/>
      <c r="G982" s="659"/>
      <c r="H982" s="660"/>
      <c r="I982" s="659"/>
      <c r="J982" s="661"/>
      <c r="K982" s="692"/>
      <c r="L982" s="645"/>
      <c r="M982" s="663"/>
      <c r="N982" s="665"/>
      <c r="O982" s="665"/>
      <c r="P982" s="666"/>
      <c r="Q982" s="667"/>
      <c r="R982" s="668"/>
      <c r="S982" s="693"/>
      <c r="T982" s="694"/>
      <c r="U982" s="694"/>
      <c r="V982" s="693"/>
      <c r="W982" s="693"/>
      <c r="X982" s="693"/>
      <c r="Y982" s="671"/>
      <c r="Z982" s="673"/>
      <c r="AA982" s="672"/>
      <c r="AB982" s="695"/>
      <c r="AC982" s="673"/>
      <c r="AD982" s="673"/>
      <c r="AE982" s="673"/>
      <c r="AF982" s="673"/>
      <c r="AG982" s="673"/>
      <c r="AH982" s="673"/>
      <c r="AI982" s="673"/>
      <c r="AJ982" s="673"/>
      <c r="AK982" s="673"/>
      <c r="AL982" s="673"/>
      <c r="AM982" s="673"/>
      <c r="AN982" s="673"/>
      <c r="AO982" s="673"/>
      <c r="AP982" s="673"/>
      <c r="AQ982" s="673"/>
      <c r="AR982" s="673"/>
      <c r="AS982" s="673"/>
      <c r="AT982" s="696"/>
    </row>
    <row r="983" ht="15.75" customHeight="1">
      <c r="A983" s="653"/>
      <c r="B983" s="654"/>
      <c r="C983" s="691"/>
      <c r="D983" s="656"/>
      <c r="E983" s="657"/>
      <c r="F983" s="658"/>
      <c r="G983" s="659"/>
      <c r="H983" s="660"/>
      <c r="I983" s="659"/>
      <c r="J983" s="661"/>
      <c r="K983" s="692"/>
      <c r="L983" s="645"/>
      <c r="M983" s="663"/>
      <c r="N983" s="665"/>
      <c r="O983" s="665"/>
      <c r="P983" s="666"/>
      <c r="Q983" s="667"/>
      <c r="R983" s="668"/>
      <c r="S983" s="693"/>
      <c r="T983" s="694"/>
      <c r="U983" s="694"/>
      <c r="V983" s="693"/>
      <c r="W983" s="693"/>
      <c r="X983" s="693"/>
      <c r="Y983" s="671"/>
      <c r="Z983" s="673"/>
      <c r="AA983" s="672"/>
      <c r="AB983" s="695"/>
      <c r="AC983" s="673"/>
      <c r="AD983" s="673"/>
      <c r="AE983" s="673"/>
      <c r="AF983" s="673"/>
      <c r="AG983" s="673"/>
      <c r="AH983" s="673"/>
      <c r="AI983" s="673"/>
      <c r="AJ983" s="673"/>
      <c r="AK983" s="673"/>
      <c r="AL983" s="673"/>
      <c r="AM983" s="673"/>
      <c r="AN983" s="673"/>
      <c r="AO983" s="673"/>
      <c r="AP983" s="673"/>
      <c r="AQ983" s="673"/>
      <c r="AR983" s="673"/>
      <c r="AS983" s="673"/>
      <c r="AT983" s="696"/>
    </row>
    <row r="984" ht="15.75" customHeight="1">
      <c r="A984" s="653"/>
      <c r="B984" s="654"/>
      <c r="C984" s="691"/>
      <c r="D984" s="656"/>
      <c r="E984" s="657"/>
      <c r="F984" s="658"/>
      <c r="G984" s="659"/>
      <c r="H984" s="660"/>
      <c r="I984" s="659"/>
      <c r="J984" s="661"/>
      <c r="K984" s="692"/>
      <c r="L984" s="645"/>
      <c r="M984" s="663"/>
      <c r="N984" s="665"/>
      <c r="O984" s="665"/>
      <c r="P984" s="666"/>
      <c r="Q984" s="667"/>
      <c r="R984" s="668"/>
      <c r="S984" s="693"/>
      <c r="T984" s="694"/>
      <c r="U984" s="694"/>
      <c r="V984" s="693"/>
      <c r="W984" s="693"/>
      <c r="X984" s="693"/>
      <c r="Y984" s="671"/>
      <c r="Z984" s="673"/>
      <c r="AA984" s="672"/>
      <c r="AB984" s="695"/>
      <c r="AC984" s="673"/>
      <c r="AD984" s="673"/>
      <c r="AE984" s="673"/>
      <c r="AF984" s="673"/>
      <c r="AG984" s="673"/>
      <c r="AH984" s="673"/>
      <c r="AI984" s="673"/>
      <c r="AJ984" s="673"/>
      <c r="AK984" s="673"/>
      <c r="AL984" s="673"/>
      <c r="AM984" s="673"/>
      <c r="AN984" s="673"/>
      <c r="AO984" s="673"/>
      <c r="AP984" s="673"/>
      <c r="AQ984" s="673"/>
      <c r="AR984" s="673"/>
      <c r="AS984" s="673"/>
      <c r="AT984" s="696"/>
    </row>
    <row r="985" ht="15.75" customHeight="1">
      <c r="A985" s="653"/>
      <c r="B985" s="654"/>
      <c r="C985" s="691"/>
      <c r="D985" s="656"/>
      <c r="E985" s="657"/>
      <c r="F985" s="658"/>
      <c r="G985" s="659"/>
      <c r="H985" s="660"/>
      <c r="I985" s="659"/>
      <c r="J985" s="661"/>
      <c r="K985" s="692"/>
      <c r="L985" s="645"/>
      <c r="M985" s="663"/>
      <c r="N985" s="665"/>
      <c r="O985" s="665"/>
      <c r="P985" s="666"/>
      <c r="Q985" s="667"/>
      <c r="R985" s="668"/>
      <c r="S985" s="693"/>
      <c r="T985" s="694"/>
      <c r="U985" s="694"/>
      <c r="V985" s="693"/>
      <c r="W985" s="693"/>
      <c r="X985" s="693"/>
      <c r="Y985" s="671"/>
      <c r="Z985" s="673"/>
      <c r="AA985" s="672"/>
      <c r="AB985" s="695"/>
      <c r="AC985" s="673"/>
      <c r="AD985" s="673"/>
      <c r="AE985" s="673"/>
      <c r="AF985" s="673"/>
      <c r="AG985" s="673"/>
      <c r="AH985" s="673"/>
      <c r="AI985" s="673"/>
      <c r="AJ985" s="673"/>
      <c r="AK985" s="673"/>
      <c r="AL985" s="673"/>
      <c r="AM985" s="673"/>
      <c r="AN985" s="673"/>
      <c r="AO985" s="673"/>
      <c r="AP985" s="673"/>
      <c r="AQ985" s="673"/>
      <c r="AR985" s="673"/>
      <c r="AS985" s="673"/>
      <c r="AT985" s="696"/>
    </row>
    <row r="986" ht="15.75" customHeight="1">
      <c r="A986" s="653"/>
      <c r="B986" s="654"/>
      <c r="C986" s="691"/>
      <c r="D986" s="656"/>
      <c r="E986" s="657"/>
      <c r="F986" s="658"/>
      <c r="G986" s="659"/>
      <c r="H986" s="660"/>
      <c r="I986" s="659"/>
      <c r="J986" s="661"/>
      <c r="K986" s="692"/>
      <c r="L986" s="645"/>
      <c r="M986" s="663"/>
      <c r="N986" s="665"/>
      <c r="O986" s="665"/>
      <c r="P986" s="666"/>
      <c r="Q986" s="667"/>
      <c r="R986" s="668"/>
      <c r="S986" s="693"/>
      <c r="T986" s="694"/>
      <c r="U986" s="694"/>
      <c r="V986" s="693"/>
      <c r="W986" s="693"/>
      <c r="X986" s="693"/>
      <c r="Y986" s="671"/>
      <c r="Z986" s="673"/>
      <c r="AA986" s="672"/>
      <c r="AB986" s="695"/>
      <c r="AC986" s="673"/>
      <c r="AD986" s="673"/>
      <c r="AE986" s="673"/>
      <c r="AF986" s="673"/>
      <c r="AG986" s="673"/>
      <c r="AH986" s="673"/>
      <c r="AI986" s="673"/>
      <c r="AJ986" s="673"/>
      <c r="AK986" s="673"/>
      <c r="AL986" s="673"/>
      <c r="AM986" s="673"/>
      <c r="AN986" s="673"/>
      <c r="AO986" s="673"/>
      <c r="AP986" s="673"/>
      <c r="AQ986" s="673"/>
      <c r="AR986" s="673"/>
      <c r="AS986" s="673"/>
      <c r="AT986" s="696"/>
    </row>
    <row r="987" ht="15.75" customHeight="1">
      <c r="A987" s="653"/>
      <c r="B987" s="654"/>
      <c r="C987" s="691"/>
      <c r="D987" s="656"/>
      <c r="E987" s="657"/>
      <c r="F987" s="658"/>
      <c r="G987" s="659"/>
      <c r="H987" s="660"/>
      <c r="I987" s="659"/>
      <c r="J987" s="661"/>
      <c r="K987" s="692"/>
      <c r="L987" s="645"/>
      <c r="M987" s="663"/>
      <c r="N987" s="665"/>
      <c r="O987" s="665"/>
      <c r="P987" s="666"/>
      <c r="Q987" s="667"/>
      <c r="R987" s="668"/>
      <c r="S987" s="693"/>
      <c r="T987" s="694"/>
      <c r="U987" s="694"/>
      <c r="V987" s="693"/>
      <c r="W987" s="693"/>
      <c r="X987" s="693"/>
      <c r="Y987" s="671"/>
      <c r="Z987" s="673"/>
      <c r="AA987" s="672"/>
      <c r="AB987" s="695"/>
      <c r="AC987" s="673"/>
      <c r="AD987" s="673"/>
      <c r="AE987" s="673"/>
      <c r="AF987" s="673"/>
      <c r="AG987" s="673"/>
      <c r="AH987" s="673"/>
      <c r="AI987" s="673"/>
      <c r="AJ987" s="673"/>
      <c r="AK987" s="673"/>
      <c r="AL987" s="673"/>
      <c r="AM987" s="673"/>
      <c r="AN987" s="673"/>
      <c r="AO987" s="673"/>
      <c r="AP987" s="673"/>
      <c r="AQ987" s="673"/>
      <c r="AR987" s="673"/>
      <c r="AS987" s="673"/>
      <c r="AT987" s="696"/>
    </row>
    <row r="988" ht="15.75" customHeight="1">
      <c r="A988" s="653"/>
      <c r="B988" s="654"/>
      <c r="C988" s="691"/>
      <c r="D988" s="656"/>
      <c r="E988" s="657"/>
      <c r="F988" s="658"/>
      <c r="G988" s="659"/>
      <c r="H988" s="660"/>
      <c r="I988" s="659"/>
      <c r="J988" s="661"/>
      <c r="K988" s="692"/>
      <c r="L988" s="645"/>
      <c r="M988" s="663"/>
      <c r="N988" s="665"/>
      <c r="O988" s="665"/>
      <c r="P988" s="666"/>
      <c r="Q988" s="667"/>
      <c r="R988" s="668"/>
      <c r="S988" s="693"/>
      <c r="T988" s="694"/>
      <c r="U988" s="694"/>
      <c r="V988" s="693"/>
      <c r="W988" s="693"/>
      <c r="X988" s="693"/>
      <c r="Y988" s="671"/>
      <c r="Z988" s="673"/>
      <c r="AA988" s="672"/>
      <c r="AB988" s="695"/>
      <c r="AC988" s="673"/>
      <c r="AD988" s="673"/>
      <c r="AE988" s="673"/>
      <c r="AF988" s="673"/>
      <c r="AG988" s="673"/>
      <c r="AH988" s="673"/>
      <c r="AI988" s="673"/>
      <c r="AJ988" s="673"/>
      <c r="AK988" s="673"/>
      <c r="AL988" s="673"/>
      <c r="AM988" s="673"/>
      <c r="AN988" s="673"/>
      <c r="AO988" s="673"/>
      <c r="AP988" s="673"/>
      <c r="AQ988" s="673"/>
      <c r="AR988" s="673"/>
      <c r="AS988" s="673"/>
      <c r="AT988" s="696"/>
    </row>
    <row r="989" ht="15.75" customHeight="1">
      <c r="A989" s="653"/>
      <c r="B989" s="654"/>
      <c r="C989" s="691"/>
      <c r="D989" s="656"/>
      <c r="E989" s="657"/>
      <c r="F989" s="658"/>
      <c r="G989" s="659"/>
      <c r="H989" s="660"/>
      <c r="I989" s="659"/>
      <c r="J989" s="661"/>
      <c r="K989" s="692"/>
      <c r="L989" s="645"/>
      <c r="M989" s="663"/>
      <c r="N989" s="665"/>
      <c r="O989" s="665"/>
      <c r="P989" s="666"/>
      <c r="Q989" s="667"/>
      <c r="R989" s="668"/>
      <c r="S989" s="693"/>
      <c r="T989" s="694"/>
      <c r="U989" s="694"/>
      <c r="V989" s="693"/>
      <c r="W989" s="693"/>
      <c r="X989" s="693"/>
      <c r="Y989" s="671"/>
      <c r="Z989" s="673"/>
      <c r="AA989" s="672"/>
      <c r="AB989" s="695"/>
      <c r="AC989" s="673"/>
      <c r="AD989" s="673"/>
      <c r="AE989" s="673"/>
      <c r="AF989" s="673"/>
      <c r="AG989" s="673"/>
      <c r="AH989" s="673"/>
      <c r="AI989" s="673"/>
      <c r="AJ989" s="673"/>
      <c r="AK989" s="673"/>
      <c r="AL989" s="673"/>
      <c r="AM989" s="673"/>
      <c r="AN989" s="673"/>
      <c r="AO989" s="673"/>
      <c r="AP989" s="673"/>
      <c r="AQ989" s="673"/>
      <c r="AR989" s="673"/>
      <c r="AS989" s="673"/>
      <c r="AT989" s="696"/>
    </row>
    <row r="990" ht="15.75" customHeight="1">
      <c r="A990" s="653"/>
      <c r="B990" s="654"/>
      <c r="C990" s="691"/>
      <c r="D990" s="656"/>
      <c r="E990" s="657"/>
      <c r="F990" s="658"/>
      <c r="G990" s="659"/>
      <c r="H990" s="660"/>
      <c r="I990" s="659"/>
      <c r="J990" s="661"/>
      <c r="K990" s="692"/>
      <c r="L990" s="645"/>
      <c r="M990" s="663"/>
      <c r="N990" s="665"/>
      <c r="O990" s="665"/>
      <c r="P990" s="666"/>
      <c r="Q990" s="667"/>
      <c r="R990" s="668"/>
      <c r="S990" s="693"/>
      <c r="T990" s="694"/>
      <c r="U990" s="694"/>
      <c r="V990" s="693"/>
      <c r="W990" s="693"/>
      <c r="X990" s="693"/>
      <c r="Y990" s="671"/>
      <c r="Z990" s="673"/>
      <c r="AA990" s="672"/>
      <c r="AB990" s="695"/>
      <c r="AC990" s="673"/>
      <c r="AD990" s="673"/>
      <c r="AE990" s="673"/>
      <c r="AF990" s="673"/>
      <c r="AG990" s="673"/>
      <c r="AH990" s="673"/>
      <c r="AI990" s="673"/>
      <c r="AJ990" s="673"/>
      <c r="AK990" s="673"/>
      <c r="AL990" s="673"/>
      <c r="AM990" s="673"/>
      <c r="AN990" s="673"/>
      <c r="AO990" s="673"/>
      <c r="AP990" s="673"/>
      <c r="AQ990" s="673"/>
      <c r="AR990" s="673"/>
      <c r="AS990" s="673"/>
      <c r="AT990" s="696"/>
    </row>
    <row r="991" ht="15.75" customHeight="1">
      <c r="A991" s="653"/>
      <c r="B991" s="654"/>
      <c r="C991" s="691"/>
      <c r="D991" s="656"/>
      <c r="E991" s="657"/>
      <c r="F991" s="658"/>
      <c r="G991" s="659"/>
      <c r="H991" s="660"/>
      <c r="I991" s="659"/>
      <c r="J991" s="661"/>
      <c r="K991" s="692"/>
      <c r="L991" s="645"/>
      <c r="M991" s="663"/>
      <c r="N991" s="665"/>
      <c r="O991" s="665"/>
      <c r="P991" s="666"/>
      <c r="Q991" s="667"/>
      <c r="R991" s="668"/>
      <c r="S991" s="693"/>
      <c r="T991" s="694"/>
      <c r="U991" s="694"/>
      <c r="V991" s="693"/>
      <c r="W991" s="693"/>
      <c r="X991" s="693"/>
      <c r="Y991" s="671"/>
      <c r="Z991" s="673"/>
      <c r="AA991" s="672"/>
      <c r="AB991" s="695"/>
      <c r="AC991" s="673"/>
      <c r="AD991" s="673"/>
      <c r="AE991" s="673"/>
      <c r="AF991" s="673"/>
      <c r="AG991" s="673"/>
      <c r="AH991" s="673"/>
      <c r="AI991" s="673"/>
      <c r="AJ991" s="673"/>
      <c r="AK991" s="673"/>
      <c r="AL991" s="673"/>
      <c r="AM991" s="673"/>
      <c r="AN991" s="673"/>
      <c r="AO991" s="673"/>
      <c r="AP991" s="673"/>
      <c r="AQ991" s="673"/>
      <c r="AR991" s="673"/>
      <c r="AS991" s="673"/>
      <c r="AT991" s="696"/>
    </row>
    <row r="992" ht="15.75" customHeight="1">
      <c r="A992" s="653"/>
      <c r="B992" s="654"/>
      <c r="C992" s="691"/>
      <c r="D992" s="656"/>
      <c r="E992" s="657"/>
      <c r="F992" s="658"/>
      <c r="G992" s="659"/>
      <c r="H992" s="660"/>
      <c r="I992" s="659"/>
      <c r="J992" s="661"/>
      <c r="K992" s="692"/>
      <c r="L992" s="645"/>
      <c r="M992" s="663"/>
      <c r="N992" s="665"/>
      <c r="O992" s="665"/>
      <c r="P992" s="666"/>
      <c r="Q992" s="667"/>
      <c r="R992" s="668"/>
      <c r="S992" s="693"/>
      <c r="T992" s="694"/>
      <c r="U992" s="694"/>
      <c r="V992" s="693"/>
      <c r="W992" s="693"/>
      <c r="X992" s="693"/>
      <c r="Y992" s="671"/>
      <c r="Z992" s="673"/>
      <c r="AA992" s="672"/>
      <c r="AB992" s="695"/>
      <c r="AC992" s="673"/>
      <c r="AD992" s="673"/>
      <c r="AE992" s="673"/>
      <c r="AF992" s="673"/>
      <c r="AG992" s="673"/>
      <c r="AH992" s="673"/>
      <c r="AI992" s="673"/>
      <c r="AJ992" s="673"/>
      <c r="AK992" s="673"/>
      <c r="AL992" s="673"/>
      <c r="AM992" s="673"/>
      <c r="AN992" s="673"/>
      <c r="AO992" s="673"/>
      <c r="AP992" s="673"/>
      <c r="AQ992" s="673"/>
      <c r="AR992" s="673"/>
      <c r="AS992" s="673"/>
      <c r="AT992" s="696"/>
    </row>
    <row r="993" ht="15.75" customHeight="1">
      <c r="A993" s="653"/>
      <c r="B993" s="654"/>
      <c r="C993" s="691"/>
      <c r="D993" s="656"/>
      <c r="E993" s="657"/>
      <c r="F993" s="658"/>
      <c r="G993" s="659"/>
      <c r="H993" s="660"/>
      <c r="I993" s="659"/>
      <c r="J993" s="661"/>
      <c r="K993" s="692"/>
      <c r="L993" s="645"/>
      <c r="M993" s="663"/>
      <c r="N993" s="665"/>
      <c r="O993" s="665"/>
      <c r="P993" s="666"/>
      <c r="Q993" s="667"/>
      <c r="R993" s="668"/>
      <c r="S993" s="693"/>
      <c r="T993" s="694"/>
      <c r="U993" s="694"/>
      <c r="V993" s="693"/>
      <c r="W993" s="693"/>
      <c r="X993" s="693"/>
      <c r="Y993" s="671"/>
      <c r="Z993" s="673"/>
      <c r="AA993" s="672"/>
      <c r="AB993" s="695"/>
      <c r="AC993" s="673"/>
      <c r="AD993" s="673"/>
      <c r="AE993" s="673"/>
      <c r="AF993" s="673"/>
      <c r="AG993" s="673"/>
      <c r="AH993" s="673"/>
      <c r="AI993" s="673"/>
      <c r="AJ993" s="673"/>
      <c r="AK993" s="673"/>
      <c r="AL993" s="673"/>
      <c r="AM993" s="673"/>
      <c r="AN993" s="673"/>
      <c r="AO993" s="673"/>
      <c r="AP993" s="673"/>
      <c r="AQ993" s="673"/>
      <c r="AR993" s="673"/>
      <c r="AS993" s="673"/>
      <c r="AT993" s="696"/>
    </row>
    <row r="994" ht="15.75" customHeight="1">
      <c r="A994" s="653"/>
      <c r="B994" s="654"/>
      <c r="C994" s="691"/>
      <c r="D994" s="656"/>
      <c r="E994" s="657"/>
      <c r="F994" s="658"/>
      <c r="G994" s="659"/>
      <c r="H994" s="660"/>
      <c r="I994" s="659"/>
      <c r="J994" s="661"/>
      <c r="K994" s="692"/>
      <c r="L994" s="645"/>
      <c r="M994" s="663"/>
      <c r="N994" s="665"/>
      <c r="O994" s="665"/>
      <c r="P994" s="666"/>
      <c r="Q994" s="667"/>
      <c r="R994" s="668"/>
      <c r="S994" s="693"/>
      <c r="T994" s="694"/>
      <c r="U994" s="694"/>
      <c r="V994" s="693"/>
      <c r="W994" s="693"/>
      <c r="X994" s="693"/>
      <c r="Y994" s="671"/>
      <c r="Z994" s="673"/>
      <c r="AA994" s="672"/>
      <c r="AB994" s="695"/>
      <c r="AC994" s="673"/>
      <c r="AD994" s="673"/>
      <c r="AE994" s="673"/>
      <c r="AF994" s="673"/>
      <c r="AG994" s="673"/>
      <c r="AH994" s="673"/>
      <c r="AI994" s="673"/>
      <c r="AJ994" s="673"/>
      <c r="AK994" s="673"/>
      <c r="AL994" s="673"/>
      <c r="AM994" s="673"/>
      <c r="AN994" s="673"/>
      <c r="AO994" s="673"/>
      <c r="AP994" s="673"/>
      <c r="AQ994" s="673"/>
      <c r="AR994" s="673"/>
      <c r="AS994" s="673"/>
      <c r="AT994" s="696"/>
    </row>
    <row r="995" ht="15.75" customHeight="1">
      <c r="A995" s="653"/>
      <c r="B995" s="654"/>
      <c r="C995" s="691"/>
      <c r="D995" s="656"/>
      <c r="E995" s="657"/>
      <c r="F995" s="658"/>
      <c r="G995" s="659"/>
      <c r="H995" s="660"/>
      <c r="I995" s="659"/>
      <c r="J995" s="661"/>
      <c r="K995" s="692"/>
      <c r="L995" s="645"/>
      <c r="M995" s="663"/>
      <c r="N995" s="665"/>
      <c r="O995" s="665"/>
      <c r="P995" s="666"/>
      <c r="Q995" s="667"/>
      <c r="R995" s="668"/>
      <c r="S995" s="693"/>
      <c r="T995" s="694"/>
      <c r="U995" s="694"/>
      <c r="V995" s="693"/>
      <c r="W995" s="693"/>
      <c r="X995" s="693"/>
      <c r="Y995" s="671"/>
      <c r="Z995" s="673"/>
      <c r="AA995" s="672"/>
      <c r="AB995" s="695"/>
      <c r="AC995" s="673"/>
      <c r="AD995" s="673"/>
      <c r="AE995" s="673"/>
      <c r="AF995" s="673"/>
      <c r="AG995" s="673"/>
      <c r="AH995" s="673"/>
      <c r="AI995" s="673"/>
      <c r="AJ995" s="673"/>
      <c r="AK995" s="673"/>
      <c r="AL995" s="673"/>
      <c r="AM995" s="673"/>
      <c r="AN995" s="673"/>
      <c r="AO995" s="673"/>
      <c r="AP995" s="673"/>
      <c r="AQ995" s="673"/>
      <c r="AR995" s="673"/>
      <c r="AS995" s="673"/>
      <c r="AT995" s="696"/>
    </row>
    <row r="996" ht="15.75" customHeight="1">
      <c r="A996" s="653"/>
      <c r="B996" s="654"/>
      <c r="C996" s="691"/>
      <c r="D996" s="656"/>
      <c r="E996" s="657"/>
      <c r="F996" s="658"/>
      <c r="G996" s="659"/>
      <c r="H996" s="660"/>
      <c r="I996" s="659"/>
      <c r="J996" s="661"/>
      <c r="K996" s="692"/>
      <c r="L996" s="645"/>
      <c r="M996" s="663"/>
      <c r="N996" s="665"/>
      <c r="O996" s="665"/>
      <c r="P996" s="666"/>
      <c r="Q996" s="667"/>
      <c r="R996" s="668"/>
      <c r="S996" s="693"/>
      <c r="T996" s="694"/>
      <c r="U996" s="694"/>
      <c r="V996" s="693"/>
      <c r="W996" s="693"/>
      <c r="X996" s="693"/>
      <c r="Y996" s="671"/>
      <c r="Z996" s="673"/>
      <c r="AA996" s="672"/>
      <c r="AB996" s="695"/>
      <c r="AC996" s="673"/>
      <c r="AD996" s="673"/>
      <c r="AE996" s="673"/>
      <c r="AF996" s="673"/>
      <c r="AG996" s="673"/>
      <c r="AH996" s="673"/>
      <c r="AI996" s="673"/>
      <c r="AJ996" s="673"/>
      <c r="AK996" s="673"/>
      <c r="AL996" s="673"/>
      <c r="AM996" s="673"/>
      <c r="AN996" s="673"/>
      <c r="AO996" s="673"/>
      <c r="AP996" s="673"/>
      <c r="AQ996" s="673"/>
      <c r="AR996" s="673"/>
      <c r="AS996" s="673"/>
      <c r="AT996" s="696"/>
    </row>
    <row r="997" ht="15.75" customHeight="1">
      <c r="A997" s="653"/>
      <c r="B997" s="654"/>
      <c r="C997" s="691"/>
      <c r="D997" s="656"/>
      <c r="E997" s="657"/>
      <c r="F997" s="658"/>
      <c r="G997" s="659"/>
      <c r="H997" s="660"/>
      <c r="I997" s="659"/>
      <c r="J997" s="661"/>
      <c r="K997" s="692"/>
      <c r="L997" s="645"/>
      <c r="M997" s="663"/>
      <c r="N997" s="665"/>
      <c r="O997" s="665"/>
      <c r="P997" s="666"/>
      <c r="Q997" s="667"/>
      <c r="R997" s="668"/>
      <c r="S997" s="693"/>
      <c r="T997" s="694"/>
      <c r="U997" s="694"/>
      <c r="V997" s="693"/>
      <c r="W997" s="693"/>
      <c r="X997" s="693"/>
      <c r="Y997" s="671"/>
      <c r="Z997" s="673"/>
      <c r="AA997" s="672"/>
      <c r="AB997" s="695"/>
      <c r="AC997" s="673"/>
      <c r="AD997" s="673"/>
      <c r="AE997" s="673"/>
      <c r="AF997" s="673"/>
      <c r="AG997" s="673"/>
      <c r="AH997" s="673"/>
      <c r="AI997" s="673"/>
      <c r="AJ997" s="673"/>
      <c r="AK997" s="673"/>
      <c r="AL997" s="673"/>
      <c r="AM997" s="673"/>
      <c r="AN997" s="673"/>
      <c r="AO997" s="673"/>
      <c r="AP997" s="673"/>
      <c r="AQ997" s="673"/>
      <c r="AR997" s="673"/>
      <c r="AS997" s="673"/>
      <c r="AT997" s="696"/>
    </row>
    <row r="998" ht="15.75" customHeight="1">
      <c r="A998" s="653"/>
      <c r="B998" s="654"/>
      <c r="C998" s="691"/>
      <c r="D998" s="656"/>
      <c r="E998" s="657"/>
      <c r="F998" s="658"/>
      <c r="G998" s="659"/>
      <c r="H998" s="660"/>
      <c r="I998" s="659"/>
      <c r="J998" s="661"/>
      <c r="K998" s="692"/>
      <c r="L998" s="645"/>
      <c r="M998" s="663"/>
      <c r="N998" s="665"/>
      <c r="O998" s="665"/>
      <c r="P998" s="666"/>
      <c r="Q998" s="667"/>
      <c r="R998" s="668"/>
      <c r="S998" s="693"/>
      <c r="T998" s="694"/>
      <c r="U998" s="694"/>
      <c r="V998" s="693"/>
      <c r="W998" s="693"/>
      <c r="X998" s="693"/>
      <c r="Y998" s="671"/>
      <c r="Z998" s="673"/>
      <c r="AA998" s="672"/>
      <c r="AB998" s="695"/>
      <c r="AC998" s="673"/>
      <c r="AD998" s="673"/>
      <c r="AE998" s="673"/>
      <c r="AF998" s="673"/>
      <c r="AG998" s="673"/>
      <c r="AH998" s="673"/>
      <c r="AI998" s="673"/>
      <c r="AJ998" s="673"/>
      <c r="AK998" s="673"/>
      <c r="AL998" s="673"/>
      <c r="AM998" s="673"/>
      <c r="AN998" s="673"/>
      <c r="AO998" s="673"/>
      <c r="AP998" s="673"/>
      <c r="AQ998" s="673"/>
      <c r="AR998" s="673"/>
      <c r="AS998" s="673"/>
      <c r="AT998" s="696"/>
    </row>
    <row r="999" ht="15.75" customHeight="1">
      <c r="A999" s="653"/>
      <c r="B999" s="654"/>
      <c r="C999" s="691"/>
      <c r="D999" s="656"/>
      <c r="E999" s="657"/>
      <c r="F999" s="658"/>
      <c r="G999" s="659"/>
      <c r="H999" s="660"/>
      <c r="I999" s="659"/>
      <c r="J999" s="661"/>
      <c r="K999" s="692"/>
      <c r="L999" s="645"/>
      <c r="M999" s="663"/>
      <c r="N999" s="665"/>
      <c r="O999" s="665"/>
      <c r="P999" s="666"/>
      <c r="Q999" s="667"/>
      <c r="R999" s="668"/>
      <c r="S999" s="693"/>
      <c r="T999" s="694"/>
      <c r="U999" s="694"/>
      <c r="V999" s="693"/>
      <c r="W999" s="693"/>
      <c r="X999" s="693"/>
      <c r="Y999" s="671"/>
      <c r="Z999" s="673"/>
      <c r="AA999" s="672"/>
      <c r="AB999" s="695"/>
      <c r="AC999" s="673"/>
      <c r="AD999" s="673"/>
      <c r="AE999" s="673"/>
      <c r="AF999" s="673"/>
      <c r="AG999" s="673"/>
      <c r="AH999" s="673"/>
      <c r="AI999" s="673"/>
      <c r="AJ999" s="673"/>
      <c r="AK999" s="673"/>
      <c r="AL999" s="673"/>
      <c r="AM999" s="673"/>
      <c r="AN999" s="673"/>
      <c r="AO999" s="673"/>
      <c r="AP999" s="673"/>
      <c r="AQ999" s="673"/>
      <c r="AR999" s="673"/>
      <c r="AS999" s="673"/>
      <c r="AT999" s="696"/>
    </row>
    <row r="1000" ht="15.75" customHeight="1">
      <c r="A1000" s="653"/>
      <c r="B1000" s="654"/>
      <c r="C1000" s="691"/>
      <c r="D1000" s="656"/>
      <c r="E1000" s="657"/>
      <c r="F1000" s="658"/>
      <c r="G1000" s="659"/>
      <c r="H1000" s="660"/>
      <c r="I1000" s="659"/>
      <c r="J1000" s="661"/>
      <c r="K1000" s="692"/>
      <c r="L1000" s="645"/>
      <c r="M1000" s="663"/>
      <c r="N1000" s="665"/>
      <c r="O1000" s="665"/>
      <c r="P1000" s="666"/>
      <c r="Q1000" s="667"/>
      <c r="R1000" s="668"/>
      <c r="S1000" s="693"/>
      <c r="T1000" s="694"/>
      <c r="U1000" s="694"/>
      <c r="V1000" s="693"/>
      <c r="W1000" s="693"/>
      <c r="X1000" s="693"/>
      <c r="Y1000" s="671"/>
      <c r="Z1000" s="673"/>
      <c r="AA1000" s="672"/>
      <c r="AB1000" s="695"/>
      <c r="AC1000" s="673"/>
      <c r="AD1000" s="673"/>
      <c r="AE1000" s="673"/>
      <c r="AF1000" s="673"/>
      <c r="AG1000" s="673"/>
      <c r="AH1000" s="673"/>
      <c r="AI1000" s="673"/>
      <c r="AJ1000" s="673"/>
      <c r="AK1000" s="673"/>
      <c r="AL1000" s="673"/>
      <c r="AM1000" s="673"/>
      <c r="AN1000" s="673"/>
      <c r="AO1000" s="673"/>
      <c r="AP1000" s="673"/>
      <c r="AQ1000" s="673"/>
      <c r="AR1000" s="673"/>
      <c r="AS1000" s="673"/>
      <c r="AT1000" s="696"/>
    </row>
    <row r="1001" ht="15.75" customHeight="1">
      <c r="A1001" s="653"/>
      <c r="B1001" s="654"/>
      <c r="C1001" s="691"/>
      <c r="D1001" s="656"/>
      <c r="E1001" s="657"/>
      <c r="F1001" s="658"/>
      <c r="G1001" s="659"/>
      <c r="H1001" s="660"/>
      <c r="I1001" s="659"/>
      <c r="J1001" s="661"/>
      <c r="K1001" s="692"/>
      <c r="L1001" s="645"/>
      <c r="M1001" s="663"/>
      <c r="N1001" s="665"/>
      <c r="O1001" s="665"/>
      <c r="P1001" s="666"/>
      <c r="Q1001" s="667"/>
      <c r="R1001" s="668"/>
      <c r="S1001" s="693"/>
      <c r="T1001" s="694"/>
      <c r="U1001" s="694"/>
      <c r="V1001" s="693"/>
      <c r="W1001" s="693"/>
      <c r="X1001" s="693"/>
      <c r="Y1001" s="671"/>
      <c r="Z1001" s="673"/>
      <c r="AA1001" s="672"/>
      <c r="AB1001" s="695"/>
      <c r="AC1001" s="673"/>
      <c r="AD1001" s="673"/>
      <c r="AE1001" s="673"/>
      <c r="AF1001" s="673"/>
      <c r="AG1001" s="673"/>
      <c r="AH1001" s="673"/>
      <c r="AI1001" s="673"/>
      <c r="AJ1001" s="673"/>
      <c r="AK1001" s="673"/>
      <c r="AL1001" s="673"/>
      <c r="AM1001" s="673"/>
      <c r="AN1001" s="673"/>
      <c r="AO1001" s="673"/>
      <c r="AP1001" s="673"/>
      <c r="AQ1001" s="673"/>
      <c r="AR1001" s="673"/>
      <c r="AS1001" s="673"/>
      <c r="AT1001" s="696"/>
    </row>
    <row r="1002" ht="15.75" customHeight="1">
      <c r="A1002" s="653"/>
      <c r="B1002" s="654"/>
      <c r="C1002" s="691"/>
      <c r="D1002" s="656"/>
      <c r="E1002" s="657"/>
      <c r="F1002" s="658"/>
      <c r="G1002" s="659"/>
      <c r="H1002" s="660"/>
      <c r="I1002" s="659"/>
      <c r="J1002" s="661"/>
      <c r="K1002" s="692"/>
      <c r="L1002" s="645"/>
      <c r="M1002" s="663"/>
      <c r="N1002" s="665"/>
      <c r="O1002" s="665"/>
      <c r="P1002" s="666"/>
      <c r="Q1002" s="667"/>
      <c r="R1002" s="668"/>
      <c r="S1002" s="693"/>
      <c r="T1002" s="694"/>
      <c r="U1002" s="694"/>
      <c r="V1002" s="693"/>
      <c r="W1002" s="693"/>
      <c r="X1002" s="693"/>
      <c r="Y1002" s="671"/>
      <c r="Z1002" s="673"/>
      <c r="AA1002" s="672"/>
      <c r="AB1002" s="695"/>
      <c r="AC1002" s="673"/>
      <c r="AD1002" s="673"/>
      <c r="AE1002" s="673"/>
      <c r="AF1002" s="673"/>
      <c r="AG1002" s="673"/>
      <c r="AH1002" s="673"/>
      <c r="AI1002" s="673"/>
      <c r="AJ1002" s="673"/>
      <c r="AK1002" s="673"/>
      <c r="AL1002" s="673"/>
      <c r="AM1002" s="673"/>
      <c r="AN1002" s="673"/>
      <c r="AO1002" s="673"/>
      <c r="AP1002" s="673"/>
      <c r="AQ1002" s="673"/>
      <c r="AR1002" s="673"/>
      <c r="AS1002" s="673"/>
      <c r="AT1002" s="696"/>
    </row>
    <row r="1003" ht="15.75" customHeight="1">
      <c r="A1003" s="653"/>
      <c r="B1003" s="654"/>
      <c r="C1003" s="691"/>
      <c r="D1003" s="656"/>
      <c r="E1003" s="657"/>
      <c r="F1003" s="658"/>
      <c r="G1003" s="659"/>
      <c r="H1003" s="660"/>
      <c r="I1003" s="659"/>
      <c r="J1003" s="661"/>
      <c r="K1003" s="692"/>
      <c r="L1003" s="645"/>
      <c r="M1003" s="663"/>
      <c r="N1003" s="665"/>
      <c r="O1003" s="665"/>
      <c r="P1003" s="666"/>
      <c r="Q1003" s="667"/>
      <c r="R1003" s="668"/>
      <c r="S1003" s="693"/>
      <c r="T1003" s="694"/>
      <c r="U1003" s="694"/>
      <c r="V1003" s="693"/>
      <c r="W1003" s="693"/>
      <c r="X1003" s="693"/>
      <c r="Y1003" s="671"/>
      <c r="Z1003" s="673"/>
      <c r="AA1003" s="672"/>
      <c r="AB1003" s="695"/>
      <c r="AC1003" s="673"/>
      <c r="AD1003" s="673"/>
      <c r="AE1003" s="673"/>
      <c r="AF1003" s="673"/>
      <c r="AG1003" s="673"/>
      <c r="AH1003" s="673"/>
      <c r="AI1003" s="673"/>
      <c r="AJ1003" s="673"/>
      <c r="AK1003" s="673"/>
      <c r="AL1003" s="673"/>
      <c r="AM1003" s="673"/>
      <c r="AN1003" s="673"/>
      <c r="AO1003" s="673"/>
      <c r="AP1003" s="673"/>
      <c r="AQ1003" s="673"/>
      <c r="AR1003" s="673"/>
      <c r="AS1003" s="673"/>
      <c r="AT1003" s="696"/>
    </row>
    <row r="1004" ht="15.75" customHeight="1">
      <c r="A1004" s="653"/>
      <c r="B1004" s="654"/>
      <c r="C1004" s="691"/>
      <c r="D1004" s="656"/>
      <c r="E1004" s="657"/>
      <c r="F1004" s="658"/>
      <c r="G1004" s="659"/>
      <c r="H1004" s="660"/>
      <c r="I1004" s="659"/>
      <c r="J1004" s="661"/>
      <c r="K1004" s="692"/>
      <c r="L1004" s="645"/>
      <c r="M1004" s="663"/>
      <c r="N1004" s="665"/>
      <c r="O1004" s="665"/>
      <c r="P1004" s="666"/>
      <c r="Q1004" s="667"/>
      <c r="R1004" s="668"/>
      <c r="S1004" s="693"/>
      <c r="T1004" s="694"/>
      <c r="U1004" s="694"/>
      <c r="V1004" s="693"/>
      <c r="W1004" s="693"/>
      <c r="X1004" s="693"/>
      <c r="Y1004" s="671"/>
      <c r="Z1004" s="673"/>
      <c r="AA1004" s="672"/>
      <c r="AB1004" s="695"/>
      <c r="AC1004" s="673"/>
      <c r="AD1004" s="673"/>
      <c r="AE1004" s="673"/>
      <c r="AF1004" s="673"/>
      <c r="AG1004" s="673"/>
      <c r="AH1004" s="673"/>
      <c r="AI1004" s="673"/>
      <c r="AJ1004" s="673"/>
      <c r="AK1004" s="673"/>
      <c r="AL1004" s="673"/>
      <c r="AM1004" s="673"/>
      <c r="AN1004" s="673"/>
      <c r="AO1004" s="673"/>
      <c r="AP1004" s="673"/>
      <c r="AQ1004" s="673"/>
      <c r="AR1004" s="673"/>
      <c r="AS1004" s="673"/>
      <c r="AT1004" s="696"/>
    </row>
    <row r="1005" ht="15.75" customHeight="1">
      <c r="A1005" s="653"/>
      <c r="B1005" s="654"/>
      <c r="C1005" s="691"/>
      <c r="D1005" s="656"/>
      <c r="E1005" s="657"/>
      <c r="F1005" s="658"/>
      <c r="G1005" s="659"/>
      <c r="H1005" s="660"/>
      <c r="I1005" s="659"/>
      <c r="J1005" s="661"/>
      <c r="K1005" s="692"/>
      <c r="L1005" s="645"/>
      <c r="M1005" s="663"/>
      <c r="N1005" s="665"/>
      <c r="O1005" s="665"/>
      <c r="P1005" s="666"/>
      <c r="Q1005" s="667"/>
      <c r="R1005" s="668"/>
      <c r="S1005" s="693"/>
      <c r="T1005" s="694"/>
      <c r="U1005" s="694"/>
      <c r="V1005" s="693"/>
      <c r="W1005" s="693"/>
      <c r="X1005" s="693"/>
      <c r="Y1005" s="671"/>
      <c r="Z1005" s="673"/>
      <c r="AA1005" s="672"/>
      <c r="AB1005" s="695"/>
      <c r="AC1005" s="673"/>
      <c r="AD1005" s="673"/>
      <c r="AE1005" s="673"/>
      <c r="AF1005" s="673"/>
      <c r="AG1005" s="673"/>
      <c r="AH1005" s="673"/>
      <c r="AI1005" s="673"/>
      <c r="AJ1005" s="673"/>
      <c r="AK1005" s="673"/>
      <c r="AL1005" s="673"/>
      <c r="AM1005" s="673"/>
      <c r="AN1005" s="673"/>
      <c r="AO1005" s="673"/>
      <c r="AP1005" s="673"/>
      <c r="AQ1005" s="673"/>
      <c r="AR1005" s="673"/>
      <c r="AS1005" s="673"/>
      <c r="AT1005" s="696"/>
    </row>
    <row r="1006" ht="15.75" customHeight="1">
      <c r="A1006" s="653"/>
      <c r="B1006" s="654"/>
      <c r="C1006" s="691"/>
      <c r="D1006" s="656"/>
      <c r="E1006" s="657"/>
      <c r="F1006" s="658"/>
      <c r="G1006" s="659"/>
      <c r="H1006" s="660"/>
      <c r="I1006" s="659"/>
      <c r="J1006" s="661"/>
      <c r="K1006" s="692"/>
      <c r="L1006" s="645"/>
      <c r="M1006" s="663"/>
      <c r="N1006" s="665"/>
      <c r="O1006" s="665"/>
      <c r="P1006" s="666"/>
      <c r="Q1006" s="667"/>
      <c r="R1006" s="668"/>
      <c r="S1006" s="693"/>
      <c r="T1006" s="694"/>
      <c r="U1006" s="694"/>
      <c r="V1006" s="693"/>
      <c r="W1006" s="693"/>
      <c r="X1006" s="693"/>
      <c r="Y1006" s="671"/>
      <c r="Z1006" s="673"/>
      <c r="AA1006" s="672"/>
      <c r="AB1006" s="695"/>
      <c r="AC1006" s="673"/>
      <c r="AD1006" s="673"/>
      <c r="AE1006" s="673"/>
      <c r="AF1006" s="673"/>
      <c r="AG1006" s="673"/>
      <c r="AH1006" s="673"/>
      <c r="AI1006" s="673"/>
      <c r="AJ1006" s="673"/>
      <c r="AK1006" s="673"/>
      <c r="AL1006" s="673"/>
      <c r="AM1006" s="673"/>
      <c r="AN1006" s="673"/>
      <c r="AO1006" s="673"/>
      <c r="AP1006" s="673"/>
      <c r="AQ1006" s="673"/>
      <c r="AR1006" s="673"/>
      <c r="AS1006" s="673"/>
      <c r="AT1006" s="696"/>
    </row>
    <row r="1007" ht="15.75" customHeight="1">
      <c r="A1007" s="653"/>
      <c r="B1007" s="654"/>
      <c r="C1007" s="691"/>
      <c r="D1007" s="656"/>
      <c r="E1007" s="657"/>
      <c r="F1007" s="658"/>
      <c r="G1007" s="659"/>
      <c r="H1007" s="660"/>
      <c r="I1007" s="659"/>
      <c r="J1007" s="661"/>
      <c r="K1007" s="692"/>
      <c r="L1007" s="645"/>
      <c r="M1007" s="663"/>
      <c r="N1007" s="665"/>
      <c r="O1007" s="665"/>
      <c r="P1007" s="666"/>
      <c r="Q1007" s="667"/>
      <c r="R1007" s="668"/>
      <c r="S1007" s="693"/>
      <c r="T1007" s="694"/>
      <c r="U1007" s="694"/>
      <c r="V1007" s="693"/>
      <c r="W1007" s="693"/>
      <c r="X1007" s="693"/>
      <c r="Y1007" s="671"/>
      <c r="Z1007" s="673"/>
      <c r="AA1007" s="672"/>
      <c r="AB1007" s="695"/>
      <c r="AC1007" s="673"/>
      <c r="AD1007" s="673"/>
      <c r="AE1007" s="673"/>
      <c r="AF1007" s="673"/>
      <c r="AG1007" s="673"/>
      <c r="AH1007" s="673"/>
      <c r="AI1007" s="673"/>
      <c r="AJ1007" s="673"/>
      <c r="AK1007" s="673"/>
      <c r="AL1007" s="673"/>
      <c r="AM1007" s="673"/>
      <c r="AN1007" s="673"/>
      <c r="AO1007" s="673"/>
      <c r="AP1007" s="673"/>
      <c r="AQ1007" s="673"/>
      <c r="AR1007" s="673"/>
      <c r="AS1007" s="673"/>
      <c r="AT1007" s="696"/>
    </row>
    <row r="1008" ht="15.75" customHeight="1">
      <c r="A1008" s="653"/>
      <c r="B1008" s="654"/>
      <c r="C1008" s="691"/>
      <c r="D1008" s="656"/>
      <c r="E1008" s="657"/>
      <c r="F1008" s="658"/>
      <c r="G1008" s="659"/>
      <c r="H1008" s="660"/>
      <c r="I1008" s="659"/>
      <c r="J1008" s="661"/>
      <c r="K1008" s="692"/>
      <c r="L1008" s="645"/>
      <c r="M1008" s="663"/>
      <c r="N1008" s="665"/>
      <c r="O1008" s="665"/>
      <c r="P1008" s="666"/>
      <c r="Q1008" s="667"/>
      <c r="R1008" s="668"/>
      <c r="S1008" s="693"/>
      <c r="T1008" s="694"/>
      <c r="U1008" s="694"/>
      <c r="V1008" s="693"/>
      <c r="W1008" s="693"/>
      <c r="X1008" s="693"/>
      <c r="Y1008" s="671"/>
      <c r="Z1008" s="673"/>
      <c r="AA1008" s="672"/>
      <c r="AB1008" s="695"/>
      <c r="AC1008" s="673"/>
      <c r="AD1008" s="673"/>
      <c r="AE1008" s="673"/>
      <c r="AF1008" s="673"/>
      <c r="AG1008" s="673"/>
      <c r="AH1008" s="673"/>
      <c r="AI1008" s="673"/>
      <c r="AJ1008" s="673"/>
      <c r="AK1008" s="673"/>
      <c r="AL1008" s="673"/>
      <c r="AM1008" s="673"/>
      <c r="AN1008" s="673"/>
      <c r="AO1008" s="673"/>
      <c r="AP1008" s="673"/>
      <c r="AQ1008" s="673"/>
      <c r="AR1008" s="673"/>
      <c r="AS1008" s="673"/>
      <c r="AT1008" s="696"/>
    </row>
    <row r="1009" ht="15.75" customHeight="1">
      <c r="A1009" s="653"/>
      <c r="B1009" s="654"/>
      <c r="C1009" s="691"/>
      <c r="D1009" s="656"/>
      <c r="E1009" s="657"/>
      <c r="F1009" s="658"/>
      <c r="G1009" s="659"/>
      <c r="H1009" s="660"/>
      <c r="I1009" s="659"/>
      <c r="J1009" s="661"/>
      <c r="K1009" s="692"/>
      <c r="L1009" s="645"/>
      <c r="M1009" s="663"/>
      <c r="N1009" s="665"/>
      <c r="O1009" s="665"/>
      <c r="P1009" s="666"/>
      <c r="Q1009" s="667"/>
      <c r="R1009" s="668"/>
      <c r="S1009" s="693"/>
      <c r="T1009" s="694"/>
      <c r="U1009" s="694"/>
      <c r="V1009" s="693"/>
      <c r="W1009" s="693"/>
      <c r="X1009" s="693"/>
      <c r="Y1009" s="671"/>
      <c r="Z1009" s="673"/>
      <c r="AA1009" s="672"/>
      <c r="AB1009" s="695"/>
      <c r="AC1009" s="673"/>
      <c r="AD1009" s="673"/>
      <c r="AE1009" s="673"/>
      <c r="AF1009" s="673"/>
      <c r="AG1009" s="673"/>
      <c r="AH1009" s="673"/>
      <c r="AI1009" s="673"/>
      <c r="AJ1009" s="673"/>
      <c r="AK1009" s="673"/>
      <c r="AL1009" s="673"/>
      <c r="AM1009" s="673"/>
      <c r="AN1009" s="673"/>
      <c r="AO1009" s="673"/>
      <c r="AP1009" s="673"/>
      <c r="AQ1009" s="673"/>
      <c r="AR1009" s="673"/>
      <c r="AS1009" s="673"/>
      <c r="AT1009" s="696"/>
    </row>
    <row r="1010" ht="15.75" customHeight="1">
      <c r="A1010" s="653"/>
      <c r="B1010" s="654"/>
      <c r="C1010" s="691"/>
      <c r="D1010" s="656"/>
      <c r="E1010" s="657"/>
      <c r="F1010" s="658"/>
      <c r="G1010" s="659"/>
      <c r="H1010" s="660"/>
      <c r="I1010" s="659"/>
      <c r="J1010" s="661"/>
      <c r="K1010" s="692"/>
      <c r="L1010" s="645"/>
      <c r="M1010" s="663"/>
      <c r="N1010" s="665"/>
      <c r="O1010" s="665"/>
      <c r="P1010" s="666"/>
      <c r="Q1010" s="667"/>
      <c r="R1010" s="668"/>
      <c r="S1010" s="693"/>
      <c r="T1010" s="694"/>
      <c r="U1010" s="694"/>
      <c r="V1010" s="693"/>
      <c r="W1010" s="693"/>
      <c r="X1010" s="693"/>
      <c r="Y1010" s="671"/>
      <c r="Z1010" s="673"/>
      <c r="AA1010" s="672"/>
      <c r="AB1010" s="695"/>
      <c r="AC1010" s="673"/>
      <c r="AD1010" s="673"/>
      <c r="AE1010" s="673"/>
      <c r="AF1010" s="673"/>
      <c r="AG1010" s="673"/>
      <c r="AH1010" s="673"/>
      <c r="AI1010" s="673"/>
      <c r="AJ1010" s="673"/>
      <c r="AK1010" s="673"/>
      <c r="AL1010" s="673"/>
      <c r="AM1010" s="673"/>
      <c r="AN1010" s="673"/>
      <c r="AO1010" s="673"/>
      <c r="AP1010" s="673"/>
      <c r="AQ1010" s="673"/>
      <c r="AR1010" s="673"/>
      <c r="AS1010" s="673"/>
      <c r="AT1010" s="696"/>
    </row>
    <row r="1011" ht="15.75" customHeight="1">
      <c r="A1011" s="653"/>
      <c r="B1011" s="654"/>
      <c r="C1011" s="691"/>
      <c r="D1011" s="656"/>
      <c r="E1011" s="657"/>
      <c r="F1011" s="658"/>
      <c r="G1011" s="659"/>
      <c r="H1011" s="660"/>
      <c r="I1011" s="659"/>
      <c r="J1011" s="661"/>
      <c r="K1011" s="692"/>
      <c r="L1011" s="645"/>
      <c r="M1011" s="663"/>
      <c r="N1011" s="665"/>
      <c r="O1011" s="665"/>
      <c r="P1011" s="666"/>
      <c r="Q1011" s="667"/>
      <c r="R1011" s="668"/>
      <c r="S1011" s="693"/>
      <c r="T1011" s="694"/>
      <c r="U1011" s="694"/>
      <c r="V1011" s="693"/>
      <c r="W1011" s="693"/>
      <c r="X1011" s="693"/>
      <c r="Y1011" s="671"/>
      <c r="Z1011" s="673"/>
      <c r="AA1011" s="672"/>
      <c r="AB1011" s="695"/>
      <c r="AC1011" s="673"/>
      <c r="AD1011" s="673"/>
      <c r="AE1011" s="673"/>
      <c r="AF1011" s="673"/>
      <c r="AG1011" s="673"/>
      <c r="AH1011" s="673"/>
      <c r="AI1011" s="673"/>
      <c r="AJ1011" s="673"/>
      <c r="AK1011" s="673"/>
      <c r="AL1011" s="673"/>
      <c r="AM1011" s="673"/>
      <c r="AN1011" s="673"/>
      <c r="AO1011" s="673"/>
      <c r="AP1011" s="673"/>
      <c r="AQ1011" s="673"/>
      <c r="AR1011" s="673"/>
      <c r="AS1011" s="673"/>
      <c r="AT1011" s="696"/>
    </row>
    <row r="1012" ht="15.75" customHeight="1">
      <c r="A1012" s="653"/>
      <c r="B1012" s="654"/>
      <c r="C1012" s="691"/>
      <c r="D1012" s="656"/>
      <c r="E1012" s="657"/>
      <c r="F1012" s="658"/>
      <c r="G1012" s="659"/>
      <c r="H1012" s="660"/>
      <c r="I1012" s="659"/>
      <c r="J1012" s="661"/>
      <c r="K1012" s="692"/>
      <c r="L1012" s="645"/>
      <c r="M1012" s="663"/>
      <c r="N1012" s="665"/>
      <c r="O1012" s="665"/>
      <c r="P1012" s="666"/>
      <c r="Q1012" s="667"/>
      <c r="R1012" s="668"/>
      <c r="S1012" s="693"/>
      <c r="T1012" s="694"/>
      <c r="U1012" s="694"/>
      <c r="V1012" s="693"/>
      <c r="W1012" s="693"/>
      <c r="X1012" s="693"/>
      <c r="Y1012" s="671"/>
      <c r="Z1012" s="673"/>
      <c r="AA1012" s="672"/>
      <c r="AB1012" s="695"/>
      <c r="AC1012" s="673"/>
      <c r="AD1012" s="673"/>
      <c r="AE1012" s="673"/>
      <c r="AF1012" s="673"/>
      <c r="AG1012" s="673"/>
      <c r="AH1012" s="673"/>
      <c r="AI1012" s="673"/>
      <c r="AJ1012" s="673"/>
      <c r="AK1012" s="673"/>
      <c r="AL1012" s="673"/>
      <c r="AM1012" s="673"/>
      <c r="AN1012" s="673"/>
      <c r="AO1012" s="673"/>
      <c r="AP1012" s="673"/>
      <c r="AQ1012" s="673"/>
      <c r="AR1012" s="673"/>
      <c r="AS1012" s="673"/>
      <c r="AT1012" s="696"/>
    </row>
    <row r="1013" ht="15.75" customHeight="1">
      <c r="A1013" s="653"/>
      <c r="B1013" s="654"/>
      <c r="C1013" s="691"/>
      <c r="D1013" s="656"/>
      <c r="E1013" s="657"/>
      <c r="F1013" s="658"/>
      <c r="G1013" s="659"/>
      <c r="H1013" s="660"/>
      <c r="I1013" s="659"/>
      <c r="J1013" s="661"/>
      <c r="K1013" s="692"/>
      <c r="L1013" s="645"/>
      <c r="M1013" s="663"/>
      <c r="N1013" s="665"/>
      <c r="O1013" s="665"/>
      <c r="P1013" s="666"/>
      <c r="Q1013" s="667"/>
      <c r="R1013" s="668"/>
      <c r="S1013" s="693"/>
      <c r="T1013" s="694"/>
      <c r="U1013" s="694"/>
      <c r="V1013" s="693"/>
      <c r="W1013" s="693"/>
      <c r="X1013" s="693"/>
      <c r="Y1013" s="671"/>
      <c r="Z1013" s="673"/>
      <c r="AA1013" s="672"/>
      <c r="AB1013" s="695"/>
      <c r="AC1013" s="673"/>
      <c r="AD1013" s="673"/>
      <c r="AE1013" s="673"/>
      <c r="AF1013" s="673"/>
      <c r="AG1013" s="673"/>
      <c r="AH1013" s="673"/>
      <c r="AI1013" s="673"/>
      <c r="AJ1013" s="673"/>
      <c r="AK1013" s="673"/>
      <c r="AL1013" s="673"/>
      <c r="AM1013" s="673"/>
      <c r="AN1013" s="673"/>
      <c r="AO1013" s="673"/>
      <c r="AP1013" s="673"/>
      <c r="AQ1013" s="673"/>
      <c r="AR1013" s="673"/>
      <c r="AS1013" s="673"/>
      <c r="AT1013" s="696"/>
    </row>
    <row r="1014" ht="15.75" customHeight="1">
      <c r="A1014" s="653"/>
      <c r="B1014" s="654"/>
      <c r="C1014" s="691"/>
      <c r="D1014" s="656"/>
      <c r="E1014" s="657"/>
      <c r="F1014" s="658"/>
      <c r="G1014" s="659"/>
      <c r="H1014" s="660"/>
      <c r="I1014" s="659"/>
      <c r="J1014" s="661"/>
      <c r="K1014" s="692"/>
      <c r="L1014" s="645"/>
      <c r="M1014" s="663"/>
      <c r="N1014" s="665"/>
      <c r="O1014" s="665"/>
      <c r="P1014" s="666"/>
      <c r="Q1014" s="667"/>
      <c r="R1014" s="668"/>
      <c r="S1014" s="693"/>
      <c r="T1014" s="694"/>
      <c r="U1014" s="694"/>
      <c r="V1014" s="693"/>
      <c r="W1014" s="693"/>
      <c r="X1014" s="693"/>
      <c r="Y1014" s="671"/>
      <c r="Z1014" s="673"/>
      <c r="AA1014" s="672"/>
      <c r="AB1014" s="695"/>
      <c r="AC1014" s="673"/>
      <c r="AD1014" s="673"/>
      <c r="AE1014" s="673"/>
      <c r="AF1014" s="673"/>
      <c r="AG1014" s="673"/>
      <c r="AH1014" s="673"/>
      <c r="AI1014" s="673"/>
      <c r="AJ1014" s="673"/>
      <c r="AK1014" s="673"/>
      <c r="AL1014" s="673"/>
      <c r="AM1014" s="673"/>
      <c r="AN1014" s="673"/>
      <c r="AO1014" s="673"/>
      <c r="AP1014" s="673"/>
      <c r="AQ1014" s="673"/>
      <c r="AR1014" s="673"/>
      <c r="AS1014" s="673"/>
      <c r="AT1014" s="696"/>
    </row>
    <row r="1015" ht="15.75" customHeight="1">
      <c r="A1015" s="653"/>
      <c r="B1015" s="654"/>
      <c r="C1015" s="691"/>
      <c r="D1015" s="656"/>
      <c r="E1015" s="657"/>
      <c r="F1015" s="658"/>
      <c r="G1015" s="659"/>
      <c r="H1015" s="660"/>
      <c r="I1015" s="659"/>
      <c r="J1015" s="661"/>
      <c r="K1015" s="692"/>
      <c r="L1015" s="645"/>
      <c r="M1015" s="663"/>
      <c r="N1015" s="665"/>
      <c r="O1015" s="665"/>
      <c r="P1015" s="666"/>
      <c r="Q1015" s="667"/>
      <c r="R1015" s="668"/>
      <c r="S1015" s="693"/>
      <c r="T1015" s="694"/>
      <c r="U1015" s="694"/>
      <c r="V1015" s="693"/>
      <c r="W1015" s="693"/>
      <c r="X1015" s="693"/>
      <c r="Y1015" s="671"/>
      <c r="Z1015" s="673"/>
      <c r="AA1015" s="672"/>
      <c r="AB1015" s="695"/>
      <c r="AC1015" s="673"/>
      <c r="AD1015" s="673"/>
      <c r="AE1015" s="673"/>
      <c r="AF1015" s="673"/>
      <c r="AG1015" s="673"/>
      <c r="AH1015" s="673"/>
      <c r="AI1015" s="673"/>
      <c r="AJ1015" s="673"/>
      <c r="AK1015" s="673"/>
      <c r="AL1015" s="673"/>
      <c r="AM1015" s="673"/>
      <c r="AN1015" s="673"/>
      <c r="AO1015" s="673"/>
      <c r="AP1015" s="673"/>
      <c r="AQ1015" s="673"/>
      <c r="AR1015" s="673"/>
      <c r="AS1015" s="673"/>
      <c r="AT1015" s="696"/>
    </row>
    <row r="1016" ht="15.75" customHeight="1">
      <c r="A1016" s="653"/>
      <c r="B1016" s="654"/>
      <c r="C1016" s="691"/>
      <c r="D1016" s="656"/>
      <c r="E1016" s="657"/>
      <c r="F1016" s="658"/>
      <c r="G1016" s="659"/>
      <c r="H1016" s="660"/>
      <c r="I1016" s="659"/>
      <c r="J1016" s="661"/>
      <c r="K1016" s="692"/>
      <c r="L1016" s="645"/>
      <c r="M1016" s="663"/>
      <c r="N1016" s="665"/>
      <c r="O1016" s="665"/>
      <c r="P1016" s="666"/>
      <c r="Q1016" s="667"/>
      <c r="R1016" s="668"/>
      <c r="S1016" s="693"/>
      <c r="T1016" s="694"/>
      <c r="U1016" s="694"/>
      <c r="V1016" s="693"/>
      <c r="W1016" s="693"/>
      <c r="X1016" s="693"/>
      <c r="Y1016" s="671"/>
      <c r="Z1016" s="673"/>
      <c r="AA1016" s="672"/>
      <c r="AB1016" s="695"/>
      <c r="AC1016" s="673"/>
      <c r="AD1016" s="673"/>
      <c r="AE1016" s="673"/>
      <c r="AF1016" s="673"/>
      <c r="AG1016" s="673"/>
      <c r="AH1016" s="673"/>
      <c r="AI1016" s="673"/>
      <c r="AJ1016" s="673"/>
      <c r="AK1016" s="673"/>
      <c r="AL1016" s="673"/>
      <c r="AM1016" s="673"/>
      <c r="AN1016" s="673"/>
      <c r="AO1016" s="673"/>
      <c r="AP1016" s="673"/>
      <c r="AQ1016" s="673"/>
      <c r="AR1016" s="673"/>
      <c r="AS1016" s="673"/>
      <c r="AT1016" s="696"/>
    </row>
    <row r="1017" ht="15.75" customHeight="1">
      <c r="A1017" s="653"/>
      <c r="B1017" s="654"/>
      <c r="C1017" s="691"/>
      <c r="D1017" s="656"/>
      <c r="E1017" s="657"/>
      <c r="F1017" s="658"/>
      <c r="G1017" s="659"/>
      <c r="H1017" s="660"/>
      <c r="I1017" s="659"/>
      <c r="J1017" s="661"/>
      <c r="K1017" s="692"/>
      <c r="L1017" s="645"/>
      <c r="M1017" s="663"/>
      <c r="N1017" s="665"/>
      <c r="O1017" s="665"/>
      <c r="P1017" s="666"/>
      <c r="Q1017" s="667"/>
      <c r="R1017" s="668"/>
      <c r="S1017" s="693"/>
      <c r="T1017" s="694"/>
      <c r="U1017" s="694"/>
      <c r="V1017" s="693"/>
      <c r="W1017" s="693"/>
      <c r="X1017" s="693"/>
      <c r="Y1017" s="671"/>
      <c r="Z1017" s="673"/>
      <c r="AA1017" s="672"/>
      <c r="AB1017" s="695"/>
      <c r="AC1017" s="673"/>
      <c r="AD1017" s="673"/>
      <c r="AE1017" s="673"/>
      <c r="AF1017" s="673"/>
      <c r="AG1017" s="673"/>
      <c r="AH1017" s="673"/>
      <c r="AI1017" s="673"/>
      <c r="AJ1017" s="673"/>
      <c r="AK1017" s="673"/>
      <c r="AL1017" s="673"/>
      <c r="AM1017" s="673"/>
      <c r="AN1017" s="673"/>
      <c r="AO1017" s="673"/>
      <c r="AP1017" s="673"/>
      <c r="AQ1017" s="673"/>
      <c r="AR1017" s="673"/>
      <c r="AS1017" s="673"/>
      <c r="AT1017" s="696"/>
    </row>
    <row r="1018" ht="15.75" customHeight="1">
      <c r="A1018" s="653"/>
      <c r="B1018" s="654"/>
      <c r="C1018" s="691"/>
      <c r="D1018" s="656"/>
      <c r="E1018" s="657"/>
      <c r="F1018" s="658"/>
      <c r="G1018" s="659"/>
      <c r="H1018" s="660"/>
      <c r="I1018" s="659"/>
      <c r="J1018" s="661"/>
      <c r="K1018" s="692"/>
      <c r="L1018" s="645"/>
      <c r="M1018" s="663"/>
      <c r="N1018" s="665"/>
      <c r="O1018" s="665"/>
      <c r="P1018" s="666"/>
      <c r="Q1018" s="667"/>
      <c r="R1018" s="668"/>
      <c r="S1018" s="693"/>
      <c r="T1018" s="694"/>
      <c r="U1018" s="694"/>
      <c r="V1018" s="693"/>
      <c r="W1018" s="693"/>
      <c r="X1018" s="693"/>
      <c r="Y1018" s="671"/>
      <c r="Z1018" s="673"/>
      <c r="AA1018" s="672"/>
      <c r="AB1018" s="695"/>
      <c r="AC1018" s="673"/>
      <c r="AD1018" s="673"/>
      <c r="AE1018" s="673"/>
      <c r="AF1018" s="673"/>
      <c r="AG1018" s="673"/>
      <c r="AH1018" s="673"/>
      <c r="AI1018" s="673"/>
      <c r="AJ1018" s="673"/>
      <c r="AK1018" s="673"/>
      <c r="AL1018" s="673"/>
      <c r="AM1018" s="673"/>
      <c r="AN1018" s="673"/>
      <c r="AO1018" s="673"/>
      <c r="AP1018" s="673"/>
      <c r="AQ1018" s="673"/>
      <c r="AR1018" s="673"/>
      <c r="AS1018" s="673"/>
      <c r="AT1018" s="696"/>
    </row>
    <row r="1019" ht="15.75" customHeight="1">
      <c r="A1019" s="653"/>
      <c r="B1019" s="654"/>
      <c r="C1019" s="691"/>
      <c r="D1019" s="656"/>
      <c r="E1019" s="657"/>
      <c r="F1019" s="658"/>
      <c r="G1019" s="659"/>
      <c r="H1019" s="660"/>
      <c r="I1019" s="659"/>
      <c r="J1019" s="661"/>
      <c r="K1019" s="692"/>
      <c r="L1019" s="645"/>
      <c r="M1019" s="663"/>
      <c r="N1019" s="665"/>
      <c r="O1019" s="665"/>
      <c r="P1019" s="666"/>
      <c r="Q1019" s="667"/>
      <c r="R1019" s="668"/>
      <c r="S1019" s="693"/>
      <c r="T1019" s="694"/>
      <c r="U1019" s="694"/>
      <c r="V1019" s="693"/>
      <c r="W1019" s="693"/>
      <c r="X1019" s="693"/>
      <c r="Y1019" s="671"/>
      <c r="Z1019" s="673"/>
      <c r="AA1019" s="672"/>
      <c r="AB1019" s="695"/>
      <c r="AC1019" s="673"/>
      <c r="AD1019" s="673"/>
      <c r="AE1019" s="673"/>
      <c r="AF1019" s="673"/>
      <c r="AG1019" s="673"/>
      <c r="AH1019" s="673"/>
      <c r="AI1019" s="673"/>
      <c r="AJ1019" s="673"/>
      <c r="AK1019" s="673"/>
      <c r="AL1019" s="673"/>
      <c r="AM1019" s="673"/>
      <c r="AN1019" s="673"/>
      <c r="AO1019" s="673"/>
      <c r="AP1019" s="673"/>
      <c r="AQ1019" s="673"/>
      <c r="AR1019" s="673"/>
      <c r="AS1019" s="673"/>
      <c r="AT1019" s="696"/>
    </row>
    <row r="1020" ht="15.75" customHeight="1">
      <c r="A1020" s="653"/>
      <c r="B1020" s="654"/>
      <c r="C1020" s="691"/>
      <c r="D1020" s="656"/>
      <c r="E1020" s="657"/>
      <c r="F1020" s="658"/>
      <c r="G1020" s="659"/>
      <c r="H1020" s="660"/>
      <c r="I1020" s="659"/>
      <c r="J1020" s="661"/>
      <c r="K1020" s="692"/>
      <c r="L1020" s="645"/>
      <c r="M1020" s="663"/>
      <c r="N1020" s="665"/>
      <c r="O1020" s="665"/>
      <c r="P1020" s="666"/>
      <c r="Q1020" s="667"/>
      <c r="R1020" s="668"/>
      <c r="S1020" s="693"/>
      <c r="T1020" s="694"/>
      <c r="U1020" s="694"/>
      <c r="V1020" s="693"/>
      <c r="W1020" s="693"/>
      <c r="X1020" s="693"/>
      <c r="Y1020" s="671"/>
      <c r="Z1020" s="673"/>
      <c r="AA1020" s="672"/>
      <c r="AB1020" s="695"/>
      <c r="AC1020" s="673"/>
      <c r="AD1020" s="673"/>
      <c r="AE1020" s="673"/>
      <c r="AF1020" s="673"/>
      <c r="AG1020" s="673"/>
      <c r="AH1020" s="673"/>
      <c r="AI1020" s="673"/>
      <c r="AJ1020" s="673"/>
      <c r="AK1020" s="673"/>
      <c r="AL1020" s="673"/>
      <c r="AM1020" s="673"/>
      <c r="AN1020" s="673"/>
      <c r="AO1020" s="673"/>
      <c r="AP1020" s="673"/>
      <c r="AQ1020" s="673"/>
      <c r="AR1020" s="673"/>
      <c r="AS1020" s="673"/>
      <c r="AT1020" s="696"/>
    </row>
    <row r="1021" ht="15.75" customHeight="1">
      <c r="A1021" s="653"/>
      <c r="B1021" s="654"/>
      <c r="C1021" s="691"/>
      <c r="D1021" s="656"/>
      <c r="E1021" s="657"/>
      <c r="F1021" s="658"/>
      <c r="G1021" s="659"/>
      <c r="H1021" s="660"/>
      <c r="I1021" s="659"/>
      <c r="J1021" s="661"/>
      <c r="K1021" s="692"/>
      <c r="L1021" s="645"/>
      <c r="M1021" s="663"/>
      <c r="N1021" s="665"/>
      <c r="O1021" s="665"/>
      <c r="P1021" s="666"/>
      <c r="Q1021" s="667"/>
      <c r="R1021" s="668"/>
      <c r="S1021" s="693"/>
      <c r="T1021" s="694"/>
      <c r="U1021" s="694"/>
      <c r="V1021" s="693"/>
      <c r="W1021" s="693"/>
      <c r="X1021" s="693"/>
      <c r="Y1021" s="671"/>
      <c r="Z1021" s="673"/>
      <c r="AA1021" s="672"/>
      <c r="AB1021" s="695"/>
      <c r="AC1021" s="673"/>
      <c r="AD1021" s="673"/>
      <c r="AE1021" s="673"/>
      <c r="AF1021" s="673"/>
      <c r="AG1021" s="673"/>
      <c r="AH1021" s="673"/>
      <c r="AI1021" s="673"/>
      <c r="AJ1021" s="673"/>
      <c r="AK1021" s="673"/>
      <c r="AL1021" s="673"/>
      <c r="AM1021" s="673"/>
      <c r="AN1021" s="673"/>
      <c r="AO1021" s="673"/>
      <c r="AP1021" s="673"/>
      <c r="AQ1021" s="673"/>
      <c r="AR1021" s="673"/>
      <c r="AS1021" s="673"/>
      <c r="AT1021" s="696"/>
    </row>
    <row r="1022" ht="15.75" customHeight="1">
      <c r="A1022" s="653"/>
      <c r="B1022" s="654"/>
      <c r="C1022" s="691"/>
      <c r="D1022" s="656"/>
      <c r="E1022" s="657"/>
      <c r="F1022" s="658"/>
      <c r="G1022" s="659"/>
      <c r="H1022" s="660"/>
      <c r="I1022" s="659"/>
      <c r="J1022" s="661"/>
      <c r="K1022" s="692"/>
      <c r="L1022" s="645"/>
      <c r="M1022" s="663"/>
      <c r="N1022" s="665"/>
      <c r="O1022" s="665"/>
      <c r="P1022" s="666"/>
      <c r="Q1022" s="667"/>
      <c r="R1022" s="668"/>
      <c r="S1022" s="693"/>
      <c r="T1022" s="694"/>
      <c r="U1022" s="694"/>
      <c r="V1022" s="693"/>
      <c r="W1022" s="693"/>
      <c r="X1022" s="693"/>
      <c r="Y1022" s="671"/>
      <c r="Z1022" s="673"/>
      <c r="AA1022" s="672"/>
      <c r="AB1022" s="695"/>
      <c r="AC1022" s="673"/>
      <c r="AD1022" s="673"/>
      <c r="AE1022" s="673"/>
      <c r="AF1022" s="673"/>
      <c r="AG1022" s="673"/>
      <c r="AH1022" s="673"/>
      <c r="AI1022" s="673"/>
      <c r="AJ1022" s="673"/>
      <c r="AK1022" s="673"/>
      <c r="AL1022" s="673"/>
      <c r="AM1022" s="673"/>
      <c r="AN1022" s="673"/>
      <c r="AO1022" s="673"/>
      <c r="AP1022" s="673"/>
      <c r="AQ1022" s="673"/>
      <c r="AR1022" s="673"/>
      <c r="AS1022" s="673"/>
      <c r="AT1022" s="696"/>
    </row>
    <row r="1023" ht="15.75" customHeight="1">
      <c r="A1023" s="653"/>
      <c r="B1023" s="654"/>
      <c r="C1023" s="691"/>
      <c r="D1023" s="656"/>
      <c r="E1023" s="657"/>
      <c r="F1023" s="658"/>
      <c r="G1023" s="659"/>
      <c r="H1023" s="660"/>
      <c r="I1023" s="659"/>
      <c r="J1023" s="661"/>
      <c r="K1023" s="692"/>
      <c r="L1023" s="645"/>
      <c r="M1023" s="663"/>
      <c r="N1023" s="665"/>
      <c r="O1023" s="665"/>
      <c r="P1023" s="666"/>
      <c r="Q1023" s="667"/>
      <c r="R1023" s="668"/>
      <c r="S1023" s="693"/>
      <c r="T1023" s="694"/>
      <c r="U1023" s="694"/>
      <c r="V1023" s="693"/>
      <c r="W1023" s="693"/>
      <c r="X1023" s="693"/>
      <c r="Y1023" s="671"/>
      <c r="Z1023" s="673"/>
      <c r="AA1023" s="672"/>
      <c r="AB1023" s="695"/>
      <c r="AC1023" s="673"/>
      <c r="AD1023" s="673"/>
      <c r="AE1023" s="673"/>
      <c r="AF1023" s="673"/>
      <c r="AG1023" s="673"/>
      <c r="AH1023" s="673"/>
      <c r="AI1023" s="673"/>
      <c r="AJ1023" s="673"/>
      <c r="AK1023" s="673"/>
      <c r="AL1023" s="673"/>
      <c r="AM1023" s="673"/>
      <c r="AN1023" s="673"/>
      <c r="AO1023" s="673"/>
      <c r="AP1023" s="673"/>
      <c r="AQ1023" s="673"/>
      <c r="AR1023" s="673"/>
      <c r="AS1023" s="673"/>
      <c r="AT1023" s="696"/>
    </row>
    <row r="1024" ht="15.75" customHeight="1">
      <c r="A1024" s="653"/>
      <c r="B1024" s="654"/>
      <c r="C1024" s="691"/>
      <c r="D1024" s="656"/>
      <c r="E1024" s="657"/>
      <c r="F1024" s="658"/>
      <c r="G1024" s="659"/>
      <c r="H1024" s="660"/>
      <c r="I1024" s="659"/>
      <c r="J1024" s="661"/>
      <c r="K1024" s="692"/>
      <c r="L1024" s="645"/>
      <c r="M1024" s="663"/>
      <c r="N1024" s="665"/>
      <c r="O1024" s="665"/>
      <c r="P1024" s="666"/>
      <c r="Q1024" s="667"/>
      <c r="R1024" s="668"/>
      <c r="S1024" s="693"/>
      <c r="T1024" s="694"/>
      <c r="U1024" s="694"/>
      <c r="V1024" s="693"/>
      <c r="W1024" s="693"/>
      <c r="X1024" s="693"/>
      <c r="Y1024" s="671"/>
      <c r="Z1024" s="673"/>
      <c r="AA1024" s="672"/>
      <c r="AB1024" s="695"/>
      <c r="AC1024" s="673"/>
      <c r="AD1024" s="673"/>
      <c r="AE1024" s="673"/>
      <c r="AF1024" s="673"/>
      <c r="AG1024" s="673"/>
      <c r="AH1024" s="673"/>
      <c r="AI1024" s="673"/>
      <c r="AJ1024" s="673"/>
      <c r="AK1024" s="673"/>
      <c r="AL1024" s="673"/>
      <c r="AM1024" s="673"/>
      <c r="AN1024" s="673"/>
      <c r="AO1024" s="673"/>
      <c r="AP1024" s="673"/>
      <c r="AQ1024" s="673"/>
      <c r="AR1024" s="673"/>
      <c r="AS1024" s="673"/>
      <c r="AT1024" s="696"/>
    </row>
    <row r="1025" ht="15.75" customHeight="1">
      <c r="A1025" s="653"/>
      <c r="B1025" s="654"/>
      <c r="C1025" s="691"/>
      <c r="D1025" s="656"/>
      <c r="E1025" s="657"/>
      <c r="F1025" s="658"/>
      <c r="G1025" s="659"/>
      <c r="H1025" s="660"/>
      <c r="I1025" s="659"/>
      <c r="J1025" s="661"/>
      <c r="K1025" s="692"/>
      <c r="L1025" s="645"/>
      <c r="M1025" s="663"/>
      <c r="N1025" s="665"/>
      <c r="O1025" s="665"/>
      <c r="P1025" s="666"/>
      <c r="Q1025" s="667"/>
      <c r="R1025" s="668"/>
      <c r="S1025" s="693"/>
      <c r="T1025" s="694"/>
      <c r="U1025" s="694"/>
      <c r="V1025" s="693"/>
      <c r="W1025" s="693"/>
      <c r="X1025" s="693"/>
      <c r="Y1025" s="671"/>
      <c r="Z1025" s="673"/>
      <c r="AA1025" s="672"/>
      <c r="AB1025" s="695"/>
      <c r="AC1025" s="673"/>
      <c r="AD1025" s="673"/>
      <c r="AE1025" s="673"/>
      <c r="AF1025" s="673"/>
      <c r="AG1025" s="673"/>
      <c r="AH1025" s="673"/>
      <c r="AI1025" s="673"/>
      <c r="AJ1025" s="673"/>
      <c r="AK1025" s="673"/>
      <c r="AL1025" s="673"/>
      <c r="AM1025" s="673"/>
      <c r="AN1025" s="673"/>
      <c r="AO1025" s="673"/>
      <c r="AP1025" s="673"/>
      <c r="AQ1025" s="673"/>
      <c r="AR1025" s="673"/>
      <c r="AS1025" s="673"/>
      <c r="AT1025" s="696"/>
    </row>
    <row r="1026" ht="15.75" customHeight="1">
      <c r="A1026" s="653"/>
      <c r="B1026" s="654"/>
      <c r="C1026" s="691"/>
      <c r="D1026" s="656"/>
      <c r="E1026" s="657"/>
      <c r="F1026" s="658"/>
      <c r="G1026" s="659"/>
      <c r="H1026" s="660"/>
      <c r="I1026" s="659"/>
      <c r="J1026" s="661"/>
      <c r="K1026" s="692"/>
      <c r="L1026" s="645"/>
      <c r="M1026" s="663"/>
      <c r="N1026" s="665"/>
      <c r="O1026" s="665"/>
      <c r="P1026" s="666"/>
      <c r="Q1026" s="667"/>
      <c r="R1026" s="668"/>
      <c r="S1026" s="693"/>
      <c r="T1026" s="694"/>
      <c r="U1026" s="694"/>
      <c r="V1026" s="693"/>
      <c r="W1026" s="693"/>
      <c r="X1026" s="693"/>
      <c r="Y1026" s="671"/>
      <c r="Z1026" s="673"/>
      <c r="AA1026" s="672"/>
      <c r="AB1026" s="695"/>
      <c r="AC1026" s="673"/>
      <c r="AD1026" s="673"/>
      <c r="AE1026" s="673"/>
      <c r="AF1026" s="673"/>
      <c r="AG1026" s="673"/>
      <c r="AH1026" s="673"/>
      <c r="AI1026" s="673"/>
      <c r="AJ1026" s="673"/>
      <c r="AK1026" s="673"/>
      <c r="AL1026" s="673"/>
      <c r="AM1026" s="673"/>
      <c r="AN1026" s="673"/>
      <c r="AO1026" s="673"/>
      <c r="AP1026" s="673"/>
      <c r="AQ1026" s="673"/>
      <c r="AR1026" s="673"/>
      <c r="AS1026" s="673"/>
      <c r="AT1026" s="696"/>
    </row>
    <row r="1027" ht="15.75" customHeight="1">
      <c r="A1027" s="653"/>
      <c r="B1027" s="654"/>
      <c r="C1027" s="691"/>
      <c r="D1027" s="656"/>
      <c r="E1027" s="657"/>
      <c r="F1027" s="658"/>
      <c r="G1027" s="659"/>
      <c r="H1027" s="660"/>
      <c r="I1027" s="659"/>
      <c r="J1027" s="661"/>
      <c r="K1027" s="692"/>
      <c r="L1027" s="645"/>
      <c r="M1027" s="663"/>
      <c r="N1027" s="665"/>
      <c r="O1027" s="665"/>
      <c r="P1027" s="666"/>
      <c r="Q1027" s="667"/>
      <c r="R1027" s="668"/>
      <c r="S1027" s="693"/>
      <c r="T1027" s="694"/>
      <c r="U1027" s="694"/>
      <c r="V1027" s="693"/>
      <c r="W1027" s="693"/>
      <c r="X1027" s="693"/>
      <c r="Y1027" s="671"/>
      <c r="Z1027" s="673"/>
      <c r="AA1027" s="672"/>
      <c r="AB1027" s="695"/>
      <c r="AC1027" s="673"/>
      <c r="AD1027" s="673"/>
      <c r="AE1027" s="673"/>
      <c r="AF1027" s="673"/>
      <c r="AG1027" s="673"/>
      <c r="AH1027" s="673"/>
      <c r="AI1027" s="673"/>
      <c r="AJ1027" s="673"/>
      <c r="AK1027" s="673"/>
      <c r="AL1027" s="673"/>
      <c r="AM1027" s="673"/>
      <c r="AN1027" s="673"/>
      <c r="AO1027" s="673"/>
      <c r="AP1027" s="673"/>
      <c r="AQ1027" s="673"/>
      <c r="AR1027" s="673"/>
      <c r="AS1027" s="673"/>
      <c r="AT1027" s="696"/>
    </row>
    <row r="1028" ht="15.75" customHeight="1">
      <c r="A1028" s="653"/>
      <c r="B1028" s="654"/>
      <c r="C1028" s="691"/>
      <c r="D1028" s="656"/>
      <c r="E1028" s="657"/>
      <c r="F1028" s="658"/>
      <c r="G1028" s="659"/>
      <c r="H1028" s="660"/>
      <c r="I1028" s="659"/>
      <c r="J1028" s="661"/>
      <c r="K1028" s="692"/>
      <c r="L1028" s="645"/>
      <c r="M1028" s="663"/>
      <c r="N1028" s="665"/>
      <c r="O1028" s="665"/>
      <c r="P1028" s="666"/>
      <c r="Q1028" s="667"/>
      <c r="R1028" s="668"/>
      <c r="S1028" s="693"/>
      <c r="T1028" s="694"/>
      <c r="U1028" s="694"/>
      <c r="V1028" s="693"/>
      <c r="W1028" s="693"/>
      <c r="X1028" s="693"/>
      <c r="Y1028" s="671"/>
      <c r="Z1028" s="673"/>
      <c r="AA1028" s="672"/>
      <c r="AB1028" s="695"/>
      <c r="AC1028" s="673"/>
      <c r="AD1028" s="673"/>
      <c r="AE1028" s="673"/>
      <c r="AF1028" s="673"/>
      <c r="AG1028" s="673"/>
      <c r="AH1028" s="673"/>
      <c r="AI1028" s="673"/>
      <c r="AJ1028" s="673"/>
      <c r="AK1028" s="673"/>
      <c r="AL1028" s="673"/>
      <c r="AM1028" s="673"/>
      <c r="AN1028" s="673"/>
      <c r="AO1028" s="673"/>
      <c r="AP1028" s="673"/>
      <c r="AQ1028" s="673"/>
      <c r="AR1028" s="673"/>
      <c r="AS1028" s="673"/>
      <c r="AT1028" s="696"/>
    </row>
    <row r="1029" ht="15.75" customHeight="1">
      <c r="A1029" s="653"/>
      <c r="B1029" s="654"/>
      <c r="C1029" s="691"/>
      <c r="D1029" s="656"/>
      <c r="E1029" s="657"/>
      <c r="F1029" s="658"/>
      <c r="G1029" s="659"/>
      <c r="H1029" s="660"/>
      <c r="I1029" s="659"/>
      <c r="J1029" s="661"/>
      <c r="K1029" s="692"/>
      <c r="L1029" s="645"/>
      <c r="M1029" s="663"/>
      <c r="N1029" s="665"/>
      <c r="O1029" s="665"/>
      <c r="P1029" s="666"/>
      <c r="Q1029" s="667"/>
      <c r="R1029" s="668"/>
      <c r="S1029" s="693"/>
      <c r="T1029" s="694"/>
      <c r="U1029" s="694"/>
      <c r="V1029" s="693"/>
      <c r="W1029" s="693"/>
      <c r="X1029" s="693"/>
      <c r="Y1029" s="671"/>
      <c r="Z1029" s="673"/>
      <c r="AA1029" s="672"/>
      <c r="AB1029" s="695"/>
      <c r="AC1029" s="673"/>
      <c r="AD1029" s="673"/>
      <c r="AE1029" s="673"/>
      <c r="AF1029" s="673"/>
      <c r="AG1029" s="673"/>
      <c r="AH1029" s="673"/>
      <c r="AI1029" s="673"/>
      <c r="AJ1029" s="673"/>
      <c r="AK1029" s="673"/>
      <c r="AL1029" s="673"/>
      <c r="AM1029" s="673"/>
      <c r="AN1029" s="673"/>
      <c r="AO1029" s="673"/>
      <c r="AP1029" s="673"/>
      <c r="AQ1029" s="673"/>
      <c r="AR1029" s="673"/>
      <c r="AS1029" s="673"/>
      <c r="AT1029" s="696"/>
    </row>
    <row r="1030" ht="15.75" customHeight="1">
      <c r="A1030" s="653"/>
      <c r="B1030" s="654"/>
      <c r="C1030" s="691"/>
      <c r="D1030" s="656"/>
      <c r="E1030" s="657"/>
      <c r="F1030" s="658"/>
      <c r="G1030" s="659"/>
      <c r="H1030" s="660"/>
      <c r="I1030" s="659"/>
      <c r="J1030" s="661"/>
      <c r="K1030" s="692"/>
      <c r="L1030" s="645"/>
      <c r="M1030" s="663"/>
      <c r="N1030" s="665"/>
      <c r="O1030" s="665"/>
      <c r="P1030" s="666"/>
      <c r="Q1030" s="667"/>
      <c r="R1030" s="668"/>
      <c r="S1030" s="693"/>
      <c r="T1030" s="694"/>
      <c r="U1030" s="694"/>
      <c r="V1030" s="693"/>
      <c r="W1030" s="693"/>
      <c r="X1030" s="693"/>
      <c r="Y1030" s="671"/>
      <c r="Z1030" s="673"/>
      <c r="AA1030" s="672"/>
      <c r="AB1030" s="695"/>
      <c r="AC1030" s="673"/>
      <c r="AD1030" s="673"/>
      <c r="AE1030" s="673"/>
      <c r="AF1030" s="673"/>
      <c r="AG1030" s="673"/>
      <c r="AH1030" s="673"/>
      <c r="AI1030" s="673"/>
      <c r="AJ1030" s="673"/>
      <c r="AK1030" s="673"/>
      <c r="AL1030" s="673"/>
      <c r="AM1030" s="673"/>
      <c r="AN1030" s="673"/>
      <c r="AO1030" s="673"/>
      <c r="AP1030" s="673"/>
      <c r="AQ1030" s="673"/>
      <c r="AR1030" s="673"/>
      <c r="AS1030" s="673"/>
      <c r="AT1030" s="696"/>
    </row>
    <row r="1031" ht="15.75" customHeight="1">
      <c r="A1031" s="653"/>
      <c r="B1031" s="654"/>
      <c r="C1031" s="691"/>
      <c r="D1031" s="656"/>
      <c r="E1031" s="657"/>
      <c r="F1031" s="658"/>
      <c r="G1031" s="659"/>
      <c r="H1031" s="660"/>
      <c r="I1031" s="659"/>
      <c r="J1031" s="661"/>
      <c r="K1031" s="692"/>
      <c r="L1031" s="645"/>
      <c r="M1031" s="663"/>
      <c r="N1031" s="665"/>
      <c r="O1031" s="665"/>
      <c r="P1031" s="666"/>
      <c r="Q1031" s="667"/>
      <c r="R1031" s="668"/>
      <c r="S1031" s="693"/>
      <c r="T1031" s="694"/>
      <c r="U1031" s="694"/>
      <c r="V1031" s="693"/>
      <c r="W1031" s="693"/>
      <c r="X1031" s="693"/>
      <c r="Y1031" s="671"/>
      <c r="Z1031" s="673"/>
      <c r="AA1031" s="672"/>
      <c r="AB1031" s="695"/>
      <c r="AC1031" s="673"/>
      <c r="AD1031" s="673"/>
      <c r="AE1031" s="673"/>
      <c r="AF1031" s="673"/>
      <c r="AG1031" s="673"/>
      <c r="AH1031" s="673"/>
      <c r="AI1031" s="673"/>
      <c r="AJ1031" s="673"/>
      <c r="AK1031" s="673"/>
      <c r="AL1031" s="673"/>
      <c r="AM1031" s="673"/>
      <c r="AN1031" s="673"/>
      <c r="AO1031" s="673"/>
      <c r="AP1031" s="673"/>
      <c r="AQ1031" s="673"/>
      <c r="AR1031" s="673"/>
      <c r="AS1031" s="673"/>
      <c r="AT1031" s="696"/>
    </row>
    <row r="1032" ht="15.75" customHeight="1">
      <c r="A1032" s="653"/>
      <c r="B1032" s="654"/>
      <c r="C1032" s="691"/>
      <c r="D1032" s="656"/>
      <c r="E1032" s="657"/>
      <c r="F1032" s="658"/>
      <c r="G1032" s="659"/>
      <c r="H1032" s="660"/>
      <c r="I1032" s="659"/>
      <c r="J1032" s="661"/>
      <c r="K1032" s="692"/>
      <c r="L1032" s="645"/>
      <c r="M1032" s="663"/>
      <c r="N1032" s="665"/>
      <c r="O1032" s="665"/>
      <c r="P1032" s="666"/>
      <c r="Q1032" s="667"/>
      <c r="R1032" s="668"/>
      <c r="S1032" s="693"/>
      <c r="T1032" s="694"/>
      <c r="U1032" s="694"/>
      <c r="V1032" s="693"/>
      <c r="W1032" s="693"/>
      <c r="X1032" s="693"/>
      <c r="Y1032" s="671"/>
      <c r="Z1032" s="673"/>
      <c r="AA1032" s="672"/>
      <c r="AB1032" s="695"/>
      <c r="AC1032" s="673"/>
      <c r="AD1032" s="673"/>
      <c r="AE1032" s="673"/>
      <c r="AF1032" s="673"/>
      <c r="AG1032" s="673"/>
      <c r="AH1032" s="673"/>
      <c r="AI1032" s="673"/>
      <c r="AJ1032" s="673"/>
      <c r="AK1032" s="673"/>
      <c r="AL1032" s="673"/>
      <c r="AM1032" s="673"/>
      <c r="AN1032" s="673"/>
      <c r="AO1032" s="673"/>
      <c r="AP1032" s="673"/>
      <c r="AQ1032" s="673"/>
      <c r="AR1032" s="673"/>
      <c r="AS1032" s="673"/>
      <c r="AT1032" s="696"/>
    </row>
    <row r="1033" ht="15.75" customHeight="1">
      <c r="A1033" s="653"/>
      <c r="B1033" s="654"/>
      <c r="C1033" s="691"/>
      <c r="D1033" s="656"/>
      <c r="E1033" s="657"/>
      <c r="F1033" s="658"/>
      <c r="G1033" s="659"/>
      <c r="H1033" s="660"/>
      <c r="I1033" s="659"/>
      <c r="J1033" s="661"/>
      <c r="K1033" s="692"/>
      <c r="L1033" s="645"/>
      <c r="M1033" s="663"/>
      <c r="N1033" s="665"/>
      <c r="O1033" s="665"/>
      <c r="P1033" s="666"/>
      <c r="Q1033" s="667"/>
      <c r="R1033" s="668"/>
      <c r="S1033" s="693"/>
      <c r="T1033" s="694"/>
      <c r="U1033" s="694"/>
      <c r="V1033" s="693"/>
      <c r="W1033" s="693"/>
      <c r="X1033" s="693"/>
      <c r="Y1033" s="671"/>
      <c r="Z1033" s="673"/>
      <c r="AA1033" s="672"/>
      <c r="AB1033" s="695"/>
      <c r="AC1033" s="673"/>
      <c r="AD1033" s="673"/>
      <c r="AE1033" s="673"/>
      <c r="AF1033" s="673"/>
      <c r="AG1033" s="673"/>
      <c r="AH1033" s="673"/>
      <c r="AI1033" s="673"/>
      <c r="AJ1033" s="673"/>
      <c r="AK1033" s="673"/>
      <c r="AL1033" s="673"/>
      <c r="AM1033" s="673"/>
      <c r="AN1033" s="673"/>
      <c r="AO1033" s="673"/>
      <c r="AP1033" s="673"/>
      <c r="AQ1033" s="673"/>
      <c r="AR1033" s="673"/>
      <c r="AS1033" s="673"/>
      <c r="AT1033" s="696"/>
    </row>
    <row r="1034" ht="15.75" customHeight="1">
      <c r="A1034" s="653"/>
      <c r="B1034" s="654"/>
      <c r="C1034" s="691"/>
      <c r="D1034" s="656"/>
      <c r="E1034" s="657"/>
      <c r="F1034" s="658"/>
      <c r="G1034" s="659"/>
      <c r="H1034" s="660"/>
      <c r="I1034" s="659"/>
      <c r="J1034" s="661"/>
      <c r="K1034" s="692"/>
      <c r="L1034" s="645"/>
      <c r="M1034" s="663"/>
      <c r="N1034" s="665"/>
      <c r="O1034" s="665"/>
      <c r="P1034" s="666"/>
      <c r="Q1034" s="667"/>
      <c r="R1034" s="668"/>
      <c r="S1034" s="693"/>
      <c r="T1034" s="694"/>
      <c r="U1034" s="694"/>
      <c r="V1034" s="693"/>
      <c r="W1034" s="693"/>
      <c r="X1034" s="693"/>
      <c r="Y1034" s="671"/>
      <c r="Z1034" s="673"/>
      <c r="AA1034" s="672"/>
      <c r="AB1034" s="695"/>
      <c r="AC1034" s="673"/>
      <c r="AD1034" s="673"/>
      <c r="AE1034" s="673"/>
      <c r="AF1034" s="673"/>
      <c r="AG1034" s="673"/>
      <c r="AH1034" s="673"/>
      <c r="AI1034" s="673"/>
      <c r="AJ1034" s="673"/>
      <c r="AK1034" s="673"/>
      <c r="AL1034" s="673"/>
      <c r="AM1034" s="673"/>
      <c r="AN1034" s="673"/>
      <c r="AO1034" s="673"/>
      <c r="AP1034" s="673"/>
      <c r="AQ1034" s="673"/>
      <c r="AR1034" s="673"/>
      <c r="AS1034" s="673"/>
      <c r="AT1034" s="696"/>
    </row>
    <row r="1035" ht="15.75" customHeight="1">
      <c r="A1035" s="653"/>
      <c r="B1035" s="654"/>
      <c r="C1035" s="691"/>
      <c r="D1035" s="656"/>
      <c r="E1035" s="657"/>
      <c r="F1035" s="658"/>
      <c r="G1035" s="659"/>
      <c r="H1035" s="660"/>
      <c r="I1035" s="659"/>
      <c r="J1035" s="661"/>
      <c r="K1035" s="692"/>
      <c r="L1035" s="645"/>
      <c r="M1035" s="663"/>
      <c r="N1035" s="665"/>
      <c r="O1035" s="665"/>
      <c r="P1035" s="666"/>
      <c r="Q1035" s="667"/>
      <c r="R1035" s="668"/>
      <c r="S1035" s="693"/>
      <c r="T1035" s="694"/>
      <c r="U1035" s="694"/>
      <c r="V1035" s="693"/>
      <c r="W1035" s="693"/>
      <c r="X1035" s="693"/>
      <c r="Y1035" s="671"/>
      <c r="Z1035" s="673"/>
      <c r="AA1035" s="672"/>
      <c r="AB1035" s="695"/>
      <c r="AC1035" s="673"/>
      <c r="AD1035" s="673"/>
      <c r="AE1035" s="673"/>
      <c r="AF1035" s="673"/>
      <c r="AG1035" s="673"/>
      <c r="AH1035" s="673"/>
      <c r="AI1035" s="673"/>
      <c r="AJ1035" s="673"/>
      <c r="AK1035" s="673"/>
      <c r="AL1035" s="673"/>
      <c r="AM1035" s="673"/>
      <c r="AN1035" s="673"/>
      <c r="AO1035" s="673"/>
      <c r="AP1035" s="673"/>
      <c r="AQ1035" s="673"/>
      <c r="AR1035" s="673"/>
      <c r="AS1035" s="673"/>
      <c r="AT1035" s="696"/>
    </row>
    <row r="1036" ht="15.75" customHeight="1">
      <c r="A1036" s="653"/>
      <c r="B1036" s="654"/>
      <c r="C1036" s="691"/>
      <c r="D1036" s="656"/>
      <c r="E1036" s="657"/>
      <c r="F1036" s="658"/>
      <c r="G1036" s="659"/>
      <c r="H1036" s="660"/>
      <c r="I1036" s="659"/>
      <c r="J1036" s="661"/>
      <c r="K1036" s="692"/>
      <c r="L1036" s="645"/>
      <c r="M1036" s="663"/>
      <c r="N1036" s="665"/>
      <c r="O1036" s="665"/>
      <c r="P1036" s="666"/>
      <c r="Q1036" s="667"/>
      <c r="R1036" s="668"/>
      <c r="S1036" s="693"/>
      <c r="T1036" s="694"/>
      <c r="U1036" s="694"/>
      <c r="V1036" s="693"/>
      <c r="W1036" s="693"/>
      <c r="X1036" s="693"/>
      <c r="Y1036" s="671"/>
      <c r="Z1036" s="673"/>
      <c r="AA1036" s="672"/>
      <c r="AB1036" s="695"/>
      <c r="AC1036" s="673"/>
      <c r="AD1036" s="673"/>
      <c r="AE1036" s="673"/>
      <c r="AF1036" s="673"/>
      <c r="AG1036" s="673"/>
      <c r="AH1036" s="673"/>
      <c r="AI1036" s="673"/>
      <c r="AJ1036" s="673"/>
      <c r="AK1036" s="673"/>
      <c r="AL1036" s="673"/>
      <c r="AM1036" s="673"/>
      <c r="AN1036" s="673"/>
      <c r="AO1036" s="673"/>
      <c r="AP1036" s="673"/>
      <c r="AQ1036" s="673"/>
      <c r="AR1036" s="673"/>
      <c r="AS1036" s="673"/>
      <c r="AT1036" s="696"/>
    </row>
    <row r="1037" ht="15.75" customHeight="1">
      <c r="A1037" s="653"/>
      <c r="B1037" s="654"/>
      <c r="C1037" s="691"/>
      <c r="D1037" s="656"/>
      <c r="E1037" s="657"/>
      <c r="F1037" s="658"/>
      <c r="G1037" s="659"/>
      <c r="H1037" s="660"/>
      <c r="I1037" s="659"/>
      <c r="J1037" s="661"/>
      <c r="K1037" s="692"/>
      <c r="L1037" s="645"/>
      <c r="M1037" s="663"/>
      <c r="N1037" s="665"/>
      <c r="O1037" s="665"/>
      <c r="P1037" s="666"/>
      <c r="Q1037" s="667"/>
      <c r="R1037" s="668"/>
      <c r="S1037" s="693"/>
      <c r="T1037" s="694"/>
      <c r="U1037" s="694"/>
      <c r="V1037" s="693"/>
      <c r="W1037" s="693"/>
      <c r="X1037" s="693"/>
      <c r="Y1037" s="671"/>
      <c r="Z1037" s="673"/>
      <c r="AA1037" s="672"/>
      <c r="AB1037" s="695"/>
      <c r="AC1037" s="673"/>
      <c r="AD1037" s="673"/>
      <c r="AE1037" s="673"/>
      <c r="AF1037" s="673"/>
      <c r="AG1037" s="673"/>
      <c r="AH1037" s="673"/>
      <c r="AI1037" s="673"/>
      <c r="AJ1037" s="673"/>
      <c r="AK1037" s="673"/>
      <c r="AL1037" s="673"/>
      <c r="AM1037" s="673"/>
      <c r="AN1037" s="673"/>
      <c r="AO1037" s="673"/>
      <c r="AP1037" s="673"/>
      <c r="AQ1037" s="673"/>
      <c r="AR1037" s="673"/>
      <c r="AS1037" s="673"/>
      <c r="AT1037" s="696"/>
    </row>
    <row r="1038" ht="15.75" customHeight="1">
      <c r="A1038" s="653"/>
      <c r="B1038" s="654"/>
      <c r="C1038" s="691"/>
      <c r="D1038" s="656"/>
      <c r="E1038" s="657"/>
      <c r="F1038" s="658"/>
      <c r="G1038" s="659"/>
      <c r="H1038" s="660"/>
      <c r="I1038" s="659"/>
      <c r="J1038" s="661"/>
      <c r="K1038" s="692"/>
      <c r="L1038" s="645"/>
      <c r="M1038" s="663"/>
      <c r="N1038" s="665"/>
      <c r="O1038" s="665"/>
      <c r="P1038" s="666"/>
      <c r="Q1038" s="667"/>
      <c r="R1038" s="668"/>
      <c r="S1038" s="693"/>
      <c r="T1038" s="694"/>
      <c r="U1038" s="694"/>
      <c r="V1038" s="693"/>
      <c r="W1038" s="693"/>
      <c r="X1038" s="693"/>
      <c r="Y1038" s="671"/>
      <c r="Z1038" s="673"/>
      <c r="AA1038" s="672"/>
      <c r="AB1038" s="695"/>
      <c r="AC1038" s="673"/>
      <c r="AD1038" s="673"/>
      <c r="AE1038" s="673"/>
      <c r="AF1038" s="673"/>
      <c r="AG1038" s="673"/>
      <c r="AH1038" s="673"/>
      <c r="AI1038" s="673"/>
      <c r="AJ1038" s="673"/>
      <c r="AK1038" s="673"/>
      <c r="AL1038" s="673"/>
      <c r="AM1038" s="673"/>
      <c r="AN1038" s="673"/>
      <c r="AO1038" s="673"/>
      <c r="AP1038" s="673"/>
      <c r="AQ1038" s="673"/>
      <c r="AR1038" s="673"/>
      <c r="AS1038" s="673"/>
      <c r="AT1038" s="696"/>
    </row>
    <row r="1039" ht="15.75" customHeight="1">
      <c r="A1039" s="653"/>
      <c r="B1039" s="654"/>
      <c r="C1039" s="691"/>
      <c r="D1039" s="656"/>
      <c r="E1039" s="657"/>
      <c r="F1039" s="658"/>
      <c r="G1039" s="659"/>
      <c r="H1039" s="660"/>
      <c r="I1039" s="659"/>
      <c r="J1039" s="661"/>
      <c r="K1039" s="692"/>
      <c r="L1039" s="645"/>
      <c r="M1039" s="663"/>
      <c r="N1039" s="665"/>
      <c r="O1039" s="665"/>
      <c r="P1039" s="666"/>
      <c r="Q1039" s="667"/>
      <c r="R1039" s="668"/>
      <c r="S1039" s="693"/>
      <c r="T1039" s="694"/>
      <c r="U1039" s="694"/>
      <c r="V1039" s="693"/>
      <c r="W1039" s="693"/>
      <c r="X1039" s="693"/>
      <c r="Y1039" s="671"/>
      <c r="Z1039" s="673"/>
      <c r="AA1039" s="672"/>
      <c r="AB1039" s="695"/>
      <c r="AC1039" s="673"/>
      <c r="AD1039" s="673"/>
      <c r="AE1039" s="673"/>
      <c r="AF1039" s="673"/>
      <c r="AG1039" s="673"/>
      <c r="AH1039" s="673"/>
      <c r="AI1039" s="673"/>
      <c r="AJ1039" s="673"/>
      <c r="AK1039" s="673"/>
      <c r="AL1039" s="673"/>
      <c r="AM1039" s="673"/>
      <c r="AN1039" s="673"/>
      <c r="AO1039" s="673"/>
      <c r="AP1039" s="673"/>
      <c r="AQ1039" s="673"/>
      <c r="AR1039" s="673"/>
      <c r="AS1039" s="673"/>
      <c r="AT1039" s="696"/>
    </row>
    <row r="1040" ht="15.75" customHeight="1">
      <c r="A1040" s="653"/>
      <c r="B1040" s="654"/>
      <c r="C1040" s="691"/>
      <c r="D1040" s="656"/>
      <c r="E1040" s="657"/>
      <c r="F1040" s="658"/>
      <c r="G1040" s="659"/>
      <c r="H1040" s="660"/>
      <c r="I1040" s="659"/>
      <c r="J1040" s="661"/>
      <c r="K1040" s="692"/>
      <c r="L1040" s="645"/>
      <c r="M1040" s="663"/>
      <c r="N1040" s="665"/>
      <c r="O1040" s="665"/>
      <c r="P1040" s="666"/>
      <c r="Q1040" s="667"/>
      <c r="R1040" s="668"/>
      <c r="S1040" s="693"/>
      <c r="T1040" s="694"/>
      <c r="U1040" s="694"/>
      <c r="V1040" s="693"/>
      <c r="W1040" s="693"/>
      <c r="X1040" s="693"/>
      <c r="Y1040" s="671"/>
      <c r="Z1040" s="673"/>
      <c r="AA1040" s="672"/>
      <c r="AB1040" s="695"/>
      <c r="AC1040" s="673"/>
      <c r="AD1040" s="673"/>
      <c r="AE1040" s="673"/>
      <c r="AF1040" s="673"/>
      <c r="AG1040" s="673"/>
      <c r="AH1040" s="673"/>
      <c r="AI1040" s="673"/>
      <c r="AJ1040" s="673"/>
      <c r="AK1040" s="673"/>
      <c r="AL1040" s="673"/>
      <c r="AM1040" s="673"/>
      <c r="AN1040" s="673"/>
      <c r="AO1040" s="673"/>
      <c r="AP1040" s="673"/>
      <c r="AQ1040" s="673"/>
      <c r="AR1040" s="673"/>
      <c r="AS1040" s="673"/>
      <c r="AT1040" s="696"/>
    </row>
    <row r="1041" ht="15.75" customHeight="1">
      <c r="A1041" s="653"/>
      <c r="B1041" s="654"/>
      <c r="C1041" s="691"/>
      <c r="D1041" s="656"/>
      <c r="E1041" s="657"/>
      <c r="F1041" s="658"/>
      <c r="G1041" s="659"/>
      <c r="H1041" s="660"/>
      <c r="I1041" s="659"/>
      <c r="J1041" s="661"/>
      <c r="K1041" s="692"/>
      <c r="L1041" s="645"/>
      <c r="M1041" s="663"/>
      <c r="N1041" s="665"/>
      <c r="O1041" s="665"/>
      <c r="P1041" s="666"/>
      <c r="Q1041" s="667"/>
      <c r="R1041" s="668"/>
      <c r="S1041" s="693"/>
      <c r="T1041" s="694"/>
      <c r="U1041" s="694"/>
      <c r="V1041" s="693"/>
      <c r="W1041" s="693"/>
      <c r="X1041" s="693"/>
      <c r="Y1041" s="671"/>
      <c r="Z1041" s="673"/>
      <c r="AA1041" s="672"/>
      <c r="AB1041" s="695"/>
      <c r="AC1041" s="673"/>
      <c r="AD1041" s="673"/>
      <c r="AE1041" s="673"/>
      <c r="AF1041" s="673"/>
      <c r="AG1041" s="673"/>
      <c r="AH1041" s="673"/>
      <c r="AI1041" s="673"/>
      <c r="AJ1041" s="673"/>
      <c r="AK1041" s="673"/>
      <c r="AL1041" s="673"/>
      <c r="AM1041" s="673"/>
      <c r="AN1041" s="673"/>
      <c r="AO1041" s="673"/>
      <c r="AP1041" s="673"/>
      <c r="AQ1041" s="673"/>
      <c r="AR1041" s="673"/>
      <c r="AS1041" s="673"/>
      <c r="AT1041" s="696"/>
    </row>
    <row r="1042" ht="15.75" customHeight="1">
      <c r="A1042" s="653"/>
      <c r="B1042" s="654"/>
      <c r="C1042" s="691"/>
      <c r="D1042" s="656"/>
      <c r="E1042" s="657"/>
      <c r="F1042" s="658"/>
      <c r="G1042" s="659"/>
      <c r="H1042" s="660"/>
      <c r="I1042" s="659"/>
      <c r="J1042" s="661"/>
      <c r="K1042" s="692"/>
      <c r="L1042" s="645"/>
      <c r="M1042" s="663"/>
      <c r="N1042" s="665"/>
      <c r="O1042" s="665"/>
      <c r="P1042" s="666"/>
      <c r="Q1042" s="667"/>
      <c r="R1042" s="668"/>
      <c r="S1042" s="693"/>
      <c r="T1042" s="694"/>
      <c r="U1042" s="694"/>
      <c r="V1042" s="693"/>
      <c r="W1042" s="693"/>
      <c r="X1042" s="693"/>
      <c r="Y1042" s="671"/>
      <c r="Z1042" s="673"/>
      <c r="AA1042" s="672"/>
      <c r="AB1042" s="695"/>
      <c r="AC1042" s="673"/>
      <c r="AD1042" s="673"/>
      <c r="AE1042" s="673"/>
      <c r="AF1042" s="673"/>
      <c r="AG1042" s="673"/>
      <c r="AH1042" s="673"/>
      <c r="AI1042" s="673"/>
      <c r="AJ1042" s="673"/>
      <c r="AK1042" s="673"/>
      <c r="AL1042" s="673"/>
      <c r="AM1042" s="673"/>
      <c r="AN1042" s="673"/>
      <c r="AO1042" s="673"/>
      <c r="AP1042" s="673"/>
      <c r="AQ1042" s="673"/>
      <c r="AR1042" s="673"/>
      <c r="AS1042" s="673"/>
      <c r="AT1042" s="696"/>
    </row>
    <row r="1043" ht="15.75" customHeight="1">
      <c r="A1043" s="653"/>
      <c r="B1043" s="654"/>
      <c r="C1043" s="691"/>
      <c r="D1043" s="656"/>
      <c r="E1043" s="657"/>
      <c r="F1043" s="658"/>
      <c r="G1043" s="659"/>
      <c r="H1043" s="660"/>
      <c r="I1043" s="659"/>
      <c r="J1043" s="661"/>
      <c r="K1043" s="692"/>
      <c r="L1043" s="645"/>
      <c r="M1043" s="663"/>
      <c r="N1043" s="665"/>
      <c r="O1043" s="665"/>
      <c r="P1043" s="666"/>
      <c r="Q1043" s="667"/>
      <c r="R1043" s="668"/>
      <c r="S1043" s="693"/>
      <c r="T1043" s="694"/>
      <c r="U1043" s="694"/>
      <c r="V1043" s="693"/>
      <c r="W1043" s="693"/>
      <c r="X1043" s="693"/>
      <c r="Y1043" s="671"/>
      <c r="Z1043" s="673"/>
      <c r="AA1043" s="672"/>
      <c r="AB1043" s="695"/>
      <c r="AC1043" s="673"/>
      <c r="AD1043" s="673"/>
      <c r="AE1043" s="673"/>
      <c r="AF1043" s="673"/>
      <c r="AG1043" s="673"/>
      <c r="AH1043" s="673"/>
      <c r="AI1043" s="673"/>
      <c r="AJ1043" s="673"/>
      <c r="AK1043" s="673"/>
      <c r="AL1043" s="673"/>
      <c r="AM1043" s="673"/>
      <c r="AN1043" s="673"/>
      <c r="AO1043" s="673"/>
      <c r="AP1043" s="673"/>
      <c r="AQ1043" s="673"/>
      <c r="AR1043" s="673"/>
      <c r="AS1043" s="673"/>
      <c r="AT1043" s="696"/>
    </row>
    <row r="1044" ht="15.75" customHeight="1">
      <c r="A1044" s="653"/>
      <c r="B1044" s="654"/>
      <c r="C1044" s="691"/>
      <c r="D1044" s="656"/>
      <c r="E1044" s="657"/>
      <c r="F1044" s="658"/>
      <c r="G1044" s="659"/>
      <c r="H1044" s="660"/>
      <c r="I1044" s="659"/>
      <c r="J1044" s="661"/>
      <c r="K1044" s="692"/>
      <c r="L1044" s="645"/>
      <c r="M1044" s="663"/>
      <c r="N1044" s="665"/>
      <c r="O1044" s="665"/>
      <c r="P1044" s="666"/>
      <c r="Q1044" s="667"/>
      <c r="R1044" s="668"/>
      <c r="S1044" s="693"/>
      <c r="T1044" s="694"/>
      <c r="U1044" s="694"/>
      <c r="V1044" s="693"/>
      <c r="W1044" s="693"/>
      <c r="X1044" s="693"/>
      <c r="Y1044" s="671"/>
      <c r="Z1044" s="673"/>
      <c r="AA1044" s="672"/>
      <c r="AB1044" s="695"/>
      <c r="AC1044" s="673"/>
      <c r="AD1044" s="673"/>
      <c r="AE1044" s="673"/>
      <c r="AF1044" s="673"/>
      <c r="AG1044" s="673"/>
      <c r="AH1044" s="673"/>
      <c r="AI1044" s="673"/>
      <c r="AJ1044" s="673"/>
      <c r="AK1044" s="673"/>
      <c r="AL1044" s="673"/>
      <c r="AM1044" s="673"/>
      <c r="AN1044" s="673"/>
      <c r="AO1044" s="673"/>
      <c r="AP1044" s="673"/>
      <c r="AQ1044" s="673"/>
      <c r="AR1044" s="673"/>
      <c r="AS1044" s="673"/>
      <c r="AT1044" s="696"/>
    </row>
    <row r="1045" ht="15.75" customHeight="1">
      <c r="A1045" s="653"/>
      <c r="B1045" s="654"/>
      <c r="C1045" s="691"/>
      <c r="D1045" s="656"/>
      <c r="E1045" s="657"/>
      <c r="F1045" s="658"/>
      <c r="G1045" s="659"/>
      <c r="H1045" s="660"/>
      <c r="I1045" s="659"/>
      <c r="J1045" s="661"/>
      <c r="K1045" s="692"/>
      <c r="L1045" s="645"/>
      <c r="M1045" s="663"/>
      <c r="N1045" s="665"/>
      <c r="O1045" s="665"/>
      <c r="P1045" s="666"/>
      <c r="Q1045" s="667"/>
      <c r="R1045" s="668"/>
      <c r="S1045" s="693"/>
      <c r="T1045" s="694"/>
      <c r="U1045" s="694"/>
      <c r="V1045" s="693"/>
      <c r="W1045" s="693"/>
      <c r="X1045" s="693"/>
      <c r="Y1045" s="671"/>
      <c r="Z1045" s="673"/>
      <c r="AA1045" s="672"/>
      <c r="AB1045" s="695"/>
      <c r="AC1045" s="673"/>
      <c r="AD1045" s="673"/>
      <c r="AE1045" s="673"/>
      <c r="AF1045" s="673"/>
      <c r="AG1045" s="673"/>
      <c r="AH1045" s="673"/>
      <c r="AI1045" s="673"/>
      <c r="AJ1045" s="673"/>
      <c r="AK1045" s="673"/>
      <c r="AL1045" s="673"/>
      <c r="AM1045" s="673"/>
      <c r="AN1045" s="673"/>
      <c r="AO1045" s="673"/>
      <c r="AP1045" s="673"/>
      <c r="AQ1045" s="673"/>
      <c r="AR1045" s="673"/>
      <c r="AS1045" s="673"/>
      <c r="AT1045" s="696"/>
    </row>
    <row r="1046" ht="15.75" customHeight="1">
      <c r="A1046" s="653"/>
      <c r="B1046" s="654"/>
      <c r="C1046" s="691"/>
      <c r="D1046" s="656"/>
      <c r="E1046" s="657"/>
      <c r="F1046" s="658"/>
      <c r="G1046" s="659"/>
      <c r="H1046" s="660"/>
      <c r="I1046" s="659"/>
      <c r="J1046" s="661"/>
      <c r="K1046" s="692"/>
      <c r="L1046" s="645"/>
      <c r="M1046" s="663"/>
      <c r="N1046" s="665"/>
      <c r="O1046" s="665"/>
      <c r="P1046" s="666"/>
      <c r="Q1046" s="667"/>
      <c r="R1046" s="668"/>
      <c r="S1046" s="693"/>
      <c r="T1046" s="694"/>
      <c r="U1046" s="694"/>
      <c r="V1046" s="693"/>
      <c r="W1046" s="693"/>
      <c r="X1046" s="693"/>
      <c r="Y1046" s="671"/>
      <c r="Z1046" s="673"/>
      <c r="AA1046" s="672"/>
      <c r="AB1046" s="695"/>
      <c r="AC1046" s="673"/>
      <c r="AD1046" s="673"/>
      <c r="AE1046" s="673"/>
      <c r="AF1046" s="673"/>
      <c r="AG1046" s="673"/>
      <c r="AH1046" s="673"/>
      <c r="AI1046" s="673"/>
      <c r="AJ1046" s="673"/>
      <c r="AK1046" s="673"/>
      <c r="AL1046" s="673"/>
      <c r="AM1046" s="673"/>
      <c r="AN1046" s="673"/>
      <c r="AO1046" s="673"/>
      <c r="AP1046" s="673"/>
      <c r="AQ1046" s="673"/>
      <c r="AR1046" s="673"/>
      <c r="AS1046" s="673"/>
      <c r="AT1046" s="696"/>
    </row>
    <row r="1047" ht="15.75" customHeight="1">
      <c r="A1047" s="653"/>
      <c r="B1047" s="654"/>
      <c r="C1047" s="691"/>
      <c r="D1047" s="656"/>
      <c r="E1047" s="657"/>
      <c r="F1047" s="658"/>
      <c r="G1047" s="659"/>
      <c r="H1047" s="660"/>
      <c r="I1047" s="659"/>
      <c r="J1047" s="661"/>
      <c r="K1047" s="692"/>
      <c r="L1047" s="645"/>
      <c r="M1047" s="663"/>
      <c r="N1047" s="665"/>
      <c r="O1047" s="665"/>
      <c r="P1047" s="666"/>
      <c r="Q1047" s="667"/>
      <c r="R1047" s="668"/>
      <c r="S1047" s="693"/>
      <c r="T1047" s="694"/>
      <c r="U1047" s="694"/>
      <c r="V1047" s="693"/>
      <c r="W1047" s="693"/>
      <c r="X1047" s="693"/>
      <c r="Y1047" s="671"/>
      <c r="Z1047" s="673"/>
      <c r="AA1047" s="672"/>
      <c r="AB1047" s="695"/>
      <c r="AC1047" s="673"/>
      <c r="AD1047" s="673"/>
      <c r="AE1047" s="673"/>
      <c r="AF1047" s="673"/>
      <c r="AG1047" s="673"/>
      <c r="AH1047" s="673"/>
      <c r="AI1047" s="673"/>
      <c r="AJ1047" s="673"/>
      <c r="AK1047" s="673"/>
      <c r="AL1047" s="673"/>
      <c r="AM1047" s="673"/>
      <c r="AN1047" s="673"/>
      <c r="AO1047" s="673"/>
      <c r="AP1047" s="673"/>
      <c r="AQ1047" s="673"/>
      <c r="AR1047" s="673"/>
      <c r="AS1047" s="673"/>
      <c r="AT1047" s="696"/>
    </row>
    <row r="1048" ht="15.75" customHeight="1">
      <c r="A1048" s="653"/>
      <c r="B1048" s="654"/>
      <c r="C1048" s="691"/>
      <c r="D1048" s="656"/>
      <c r="E1048" s="657"/>
      <c r="F1048" s="658"/>
      <c r="G1048" s="659"/>
      <c r="H1048" s="660"/>
      <c r="I1048" s="659"/>
      <c r="J1048" s="661"/>
      <c r="K1048" s="692"/>
      <c r="L1048" s="645"/>
      <c r="M1048" s="663"/>
      <c r="N1048" s="665"/>
      <c r="O1048" s="665"/>
      <c r="P1048" s="666"/>
      <c r="Q1048" s="667"/>
      <c r="R1048" s="668"/>
      <c r="S1048" s="693"/>
      <c r="T1048" s="694"/>
      <c r="U1048" s="694"/>
      <c r="V1048" s="693"/>
      <c r="W1048" s="693"/>
      <c r="X1048" s="693"/>
      <c r="Y1048" s="671"/>
      <c r="Z1048" s="673"/>
      <c r="AA1048" s="672"/>
      <c r="AB1048" s="695"/>
      <c r="AC1048" s="673"/>
      <c r="AD1048" s="673"/>
      <c r="AE1048" s="673"/>
      <c r="AF1048" s="673"/>
      <c r="AG1048" s="673"/>
      <c r="AH1048" s="673"/>
      <c r="AI1048" s="673"/>
      <c r="AJ1048" s="673"/>
      <c r="AK1048" s="673"/>
      <c r="AL1048" s="673"/>
      <c r="AM1048" s="673"/>
      <c r="AN1048" s="673"/>
      <c r="AO1048" s="673"/>
      <c r="AP1048" s="673"/>
      <c r="AQ1048" s="673"/>
      <c r="AR1048" s="673"/>
      <c r="AS1048" s="673"/>
      <c r="AT1048" s="696"/>
    </row>
    <row r="1049" ht="15.75" customHeight="1">
      <c r="A1049" s="653"/>
      <c r="B1049" s="654"/>
      <c r="C1049" s="691"/>
      <c r="D1049" s="656"/>
      <c r="E1049" s="657"/>
      <c r="F1049" s="658"/>
      <c r="G1049" s="659"/>
      <c r="H1049" s="660"/>
      <c r="I1049" s="659"/>
      <c r="J1049" s="661"/>
      <c r="K1049" s="692"/>
      <c r="L1049" s="645"/>
      <c r="M1049" s="663"/>
      <c r="N1049" s="665"/>
      <c r="O1049" s="665"/>
      <c r="P1049" s="666"/>
      <c r="Q1049" s="667"/>
      <c r="R1049" s="668"/>
      <c r="S1049" s="693"/>
      <c r="T1049" s="694"/>
      <c r="U1049" s="694"/>
      <c r="V1049" s="693"/>
      <c r="W1049" s="693"/>
      <c r="X1049" s="693"/>
      <c r="Y1049" s="671"/>
      <c r="Z1049" s="673"/>
      <c r="AA1049" s="672"/>
      <c r="AB1049" s="695"/>
      <c r="AC1049" s="673"/>
      <c r="AD1049" s="673"/>
      <c r="AE1049" s="673"/>
      <c r="AF1049" s="673"/>
      <c r="AG1049" s="673"/>
      <c r="AH1049" s="673"/>
      <c r="AI1049" s="673"/>
      <c r="AJ1049" s="673"/>
      <c r="AK1049" s="673"/>
      <c r="AL1049" s="673"/>
      <c r="AM1049" s="673"/>
      <c r="AN1049" s="673"/>
      <c r="AO1049" s="673"/>
      <c r="AP1049" s="673"/>
      <c r="AQ1049" s="673"/>
      <c r="AR1049" s="673"/>
      <c r="AS1049" s="673"/>
      <c r="AT1049" s="696"/>
    </row>
    <row r="1050" ht="15.75" customHeight="1">
      <c r="A1050" s="653"/>
      <c r="B1050" s="654"/>
      <c r="C1050" s="691"/>
      <c r="D1050" s="656"/>
      <c r="E1050" s="657"/>
      <c r="F1050" s="658"/>
      <c r="G1050" s="659"/>
      <c r="H1050" s="660"/>
      <c r="I1050" s="659"/>
      <c r="J1050" s="661"/>
      <c r="K1050" s="692"/>
      <c r="L1050" s="645"/>
      <c r="M1050" s="663"/>
      <c r="N1050" s="665"/>
      <c r="O1050" s="665"/>
      <c r="P1050" s="666"/>
      <c r="Q1050" s="667"/>
      <c r="R1050" s="668"/>
      <c r="S1050" s="693"/>
      <c r="T1050" s="694"/>
      <c r="U1050" s="694"/>
      <c r="V1050" s="693"/>
      <c r="W1050" s="693"/>
      <c r="X1050" s="693"/>
      <c r="Y1050" s="671"/>
      <c r="Z1050" s="673"/>
      <c r="AA1050" s="672"/>
      <c r="AB1050" s="695"/>
      <c r="AC1050" s="673"/>
      <c r="AD1050" s="673"/>
      <c r="AE1050" s="673"/>
      <c r="AF1050" s="673"/>
      <c r="AG1050" s="673"/>
      <c r="AH1050" s="673"/>
      <c r="AI1050" s="673"/>
      <c r="AJ1050" s="673"/>
      <c r="AK1050" s="673"/>
      <c r="AL1050" s="673"/>
      <c r="AM1050" s="673"/>
      <c r="AN1050" s="673"/>
      <c r="AO1050" s="673"/>
      <c r="AP1050" s="673"/>
      <c r="AQ1050" s="673"/>
      <c r="AR1050" s="673"/>
      <c r="AS1050" s="673"/>
      <c r="AT1050" s="696"/>
    </row>
    <row r="1051" ht="15.75" customHeight="1">
      <c r="A1051" s="653"/>
      <c r="B1051" s="654"/>
      <c r="C1051" s="691"/>
      <c r="D1051" s="656"/>
      <c r="E1051" s="657"/>
      <c r="F1051" s="658"/>
      <c r="G1051" s="659"/>
      <c r="H1051" s="660"/>
      <c r="I1051" s="659"/>
      <c r="J1051" s="661"/>
      <c r="K1051" s="692"/>
      <c r="L1051" s="645"/>
      <c r="M1051" s="663"/>
      <c r="N1051" s="665"/>
      <c r="O1051" s="665"/>
      <c r="P1051" s="666"/>
      <c r="Q1051" s="667"/>
      <c r="R1051" s="668"/>
      <c r="S1051" s="693"/>
      <c r="T1051" s="694"/>
      <c r="U1051" s="694"/>
      <c r="V1051" s="693"/>
      <c r="W1051" s="693"/>
      <c r="X1051" s="693"/>
      <c r="Y1051" s="671"/>
      <c r="Z1051" s="673"/>
      <c r="AA1051" s="672"/>
      <c r="AB1051" s="695"/>
      <c r="AC1051" s="673"/>
      <c r="AD1051" s="673"/>
      <c r="AE1051" s="673"/>
      <c r="AF1051" s="673"/>
      <c r="AG1051" s="673"/>
      <c r="AH1051" s="673"/>
      <c r="AI1051" s="673"/>
      <c r="AJ1051" s="673"/>
      <c r="AK1051" s="673"/>
      <c r="AL1051" s="673"/>
      <c r="AM1051" s="673"/>
      <c r="AN1051" s="673"/>
      <c r="AO1051" s="673"/>
      <c r="AP1051" s="673"/>
      <c r="AQ1051" s="673"/>
      <c r="AR1051" s="673"/>
      <c r="AS1051" s="673"/>
      <c r="AT1051" s="696"/>
    </row>
    <row r="1052" ht="15.75" customHeight="1">
      <c r="A1052" s="653"/>
      <c r="B1052" s="654"/>
      <c r="C1052" s="691"/>
      <c r="D1052" s="656"/>
      <c r="E1052" s="657"/>
      <c r="F1052" s="658"/>
      <c r="G1052" s="659"/>
      <c r="H1052" s="660"/>
      <c r="I1052" s="659"/>
      <c r="J1052" s="661"/>
      <c r="K1052" s="692"/>
      <c r="L1052" s="645"/>
      <c r="M1052" s="663"/>
      <c r="N1052" s="665"/>
      <c r="O1052" s="665"/>
      <c r="P1052" s="666"/>
      <c r="Q1052" s="667"/>
      <c r="R1052" s="668"/>
      <c r="S1052" s="693"/>
      <c r="T1052" s="694"/>
      <c r="U1052" s="694"/>
      <c r="V1052" s="693"/>
      <c r="W1052" s="693"/>
      <c r="X1052" s="693"/>
      <c r="Y1052" s="671"/>
      <c r="Z1052" s="673"/>
      <c r="AA1052" s="672"/>
      <c r="AB1052" s="695"/>
      <c r="AC1052" s="673"/>
      <c r="AD1052" s="673"/>
      <c r="AE1052" s="673"/>
      <c r="AF1052" s="673"/>
      <c r="AG1052" s="673"/>
      <c r="AH1052" s="673"/>
      <c r="AI1052" s="673"/>
      <c r="AJ1052" s="673"/>
      <c r="AK1052" s="673"/>
      <c r="AL1052" s="673"/>
      <c r="AM1052" s="673"/>
      <c r="AN1052" s="673"/>
      <c r="AO1052" s="673"/>
      <c r="AP1052" s="673"/>
      <c r="AQ1052" s="673"/>
      <c r="AR1052" s="673"/>
      <c r="AS1052" s="673"/>
      <c r="AT1052" s="696"/>
    </row>
    <row r="1053" ht="15.75" customHeight="1">
      <c r="A1053" s="653"/>
      <c r="B1053" s="654"/>
      <c r="C1053" s="691"/>
      <c r="D1053" s="656"/>
      <c r="E1053" s="657"/>
      <c r="F1053" s="658"/>
      <c r="G1053" s="659"/>
      <c r="H1053" s="660"/>
      <c r="I1053" s="659"/>
      <c r="J1053" s="661"/>
      <c r="K1053" s="692"/>
      <c r="L1053" s="645"/>
      <c r="M1053" s="663"/>
      <c r="N1053" s="665"/>
      <c r="O1053" s="665"/>
      <c r="P1053" s="666"/>
      <c r="Q1053" s="667"/>
      <c r="R1053" s="668"/>
      <c r="S1053" s="693"/>
      <c r="T1053" s="694"/>
      <c r="U1053" s="694"/>
      <c r="V1053" s="693"/>
      <c r="W1053" s="693"/>
      <c r="X1053" s="693"/>
      <c r="Y1053" s="671"/>
      <c r="Z1053" s="673"/>
      <c r="AA1053" s="672"/>
      <c r="AB1053" s="695"/>
      <c r="AC1053" s="673"/>
      <c r="AD1053" s="673"/>
      <c r="AE1053" s="673"/>
      <c r="AF1053" s="673"/>
      <c r="AG1053" s="673"/>
      <c r="AH1053" s="673"/>
      <c r="AI1053" s="673"/>
      <c r="AJ1053" s="673"/>
      <c r="AK1053" s="673"/>
      <c r="AL1053" s="673"/>
      <c r="AM1053" s="673"/>
      <c r="AN1053" s="673"/>
      <c r="AO1053" s="673"/>
      <c r="AP1053" s="673"/>
      <c r="AQ1053" s="673"/>
      <c r="AR1053" s="673"/>
      <c r="AS1053" s="673"/>
      <c r="AT1053" s="696"/>
    </row>
    <row r="1054" ht="15.75" customHeight="1">
      <c r="A1054" s="653"/>
      <c r="B1054" s="654"/>
      <c r="C1054" s="691"/>
      <c r="D1054" s="656"/>
      <c r="E1054" s="657"/>
      <c r="F1054" s="658"/>
      <c r="G1054" s="659"/>
      <c r="H1054" s="660"/>
      <c r="I1054" s="659"/>
      <c r="J1054" s="661"/>
      <c r="K1054" s="692"/>
      <c r="L1054" s="645"/>
      <c r="M1054" s="663"/>
      <c r="N1054" s="665"/>
      <c r="O1054" s="665"/>
      <c r="P1054" s="666"/>
      <c r="Q1054" s="667"/>
      <c r="R1054" s="668"/>
      <c r="S1054" s="693"/>
      <c r="T1054" s="694"/>
      <c r="U1054" s="694"/>
      <c r="V1054" s="693"/>
      <c r="W1054" s="693"/>
      <c r="X1054" s="693"/>
      <c r="Y1054" s="671"/>
      <c r="Z1054" s="673"/>
      <c r="AA1054" s="672"/>
      <c r="AB1054" s="695"/>
      <c r="AC1054" s="673"/>
      <c r="AD1054" s="673"/>
      <c r="AE1054" s="673"/>
      <c r="AF1054" s="673"/>
      <c r="AG1054" s="673"/>
      <c r="AH1054" s="673"/>
      <c r="AI1054" s="673"/>
      <c r="AJ1054" s="673"/>
      <c r="AK1054" s="673"/>
      <c r="AL1054" s="673"/>
      <c r="AM1054" s="673"/>
      <c r="AN1054" s="673"/>
      <c r="AO1054" s="673"/>
      <c r="AP1054" s="673"/>
      <c r="AQ1054" s="673"/>
      <c r="AR1054" s="673"/>
      <c r="AS1054" s="673"/>
      <c r="AT1054" s="696"/>
    </row>
    <row r="1055" ht="15.75" customHeight="1">
      <c r="A1055" s="653"/>
      <c r="B1055" s="654"/>
      <c r="C1055" s="691"/>
      <c r="D1055" s="656"/>
      <c r="E1055" s="657"/>
      <c r="F1055" s="658"/>
      <c r="G1055" s="659"/>
      <c r="H1055" s="660"/>
      <c r="I1055" s="659"/>
      <c r="J1055" s="661"/>
      <c r="K1055" s="692"/>
      <c r="L1055" s="645"/>
      <c r="M1055" s="663"/>
      <c r="N1055" s="665"/>
      <c r="O1055" s="665"/>
      <c r="P1055" s="666"/>
      <c r="Q1055" s="667"/>
      <c r="R1055" s="668"/>
      <c r="S1055" s="693"/>
      <c r="T1055" s="694"/>
      <c r="U1055" s="694"/>
      <c r="V1055" s="693"/>
      <c r="W1055" s="693"/>
      <c r="X1055" s="693"/>
      <c r="Y1055" s="671"/>
      <c r="Z1055" s="673"/>
      <c r="AA1055" s="672"/>
      <c r="AB1055" s="695"/>
      <c r="AC1055" s="673"/>
      <c r="AD1055" s="673"/>
      <c r="AE1055" s="673"/>
      <c r="AF1055" s="673"/>
      <c r="AG1055" s="673"/>
      <c r="AH1055" s="673"/>
      <c r="AI1055" s="673"/>
      <c r="AJ1055" s="673"/>
      <c r="AK1055" s="673"/>
      <c r="AL1055" s="673"/>
      <c r="AM1055" s="673"/>
      <c r="AN1055" s="673"/>
      <c r="AO1055" s="673"/>
      <c r="AP1055" s="673"/>
      <c r="AQ1055" s="673"/>
      <c r="AR1055" s="673"/>
      <c r="AS1055" s="673"/>
      <c r="AT1055" s="696"/>
    </row>
    <row r="1056" ht="15.75" customHeight="1">
      <c r="A1056" s="653"/>
      <c r="B1056" s="654"/>
      <c r="C1056" s="691"/>
      <c r="D1056" s="656"/>
      <c r="E1056" s="657"/>
      <c r="F1056" s="658"/>
      <c r="G1056" s="659"/>
      <c r="H1056" s="660"/>
      <c r="I1056" s="659"/>
      <c r="J1056" s="661"/>
      <c r="K1056" s="692"/>
      <c r="L1056" s="645"/>
      <c r="M1056" s="663"/>
      <c r="N1056" s="665"/>
      <c r="O1056" s="665"/>
      <c r="P1056" s="666"/>
      <c r="Q1056" s="667"/>
      <c r="R1056" s="668"/>
      <c r="S1056" s="693"/>
      <c r="T1056" s="694"/>
      <c r="U1056" s="694"/>
      <c r="V1056" s="693"/>
      <c r="W1056" s="693"/>
      <c r="X1056" s="693"/>
      <c r="Y1056" s="671"/>
      <c r="Z1056" s="673"/>
      <c r="AA1056" s="672"/>
      <c r="AB1056" s="695"/>
      <c r="AC1056" s="673"/>
      <c r="AD1056" s="673"/>
      <c r="AE1056" s="673"/>
      <c r="AF1056" s="673"/>
      <c r="AG1056" s="673"/>
      <c r="AH1056" s="673"/>
      <c r="AI1056" s="673"/>
      <c r="AJ1056" s="673"/>
      <c r="AK1056" s="673"/>
      <c r="AL1056" s="673"/>
      <c r="AM1056" s="673"/>
      <c r="AN1056" s="673"/>
      <c r="AO1056" s="673"/>
      <c r="AP1056" s="673"/>
      <c r="AQ1056" s="673"/>
      <c r="AR1056" s="673"/>
      <c r="AS1056" s="673"/>
      <c r="AT1056" s="696"/>
    </row>
    <row r="1057" ht="15.75" customHeight="1">
      <c r="A1057" s="653"/>
      <c r="B1057" s="654"/>
      <c r="C1057" s="691"/>
      <c r="D1057" s="656"/>
      <c r="E1057" s="657"/>
      <c r="F1057" s="658"/>
      <c r="G1057" s="659"/>
      <c r="H1057" s="660"/>
      <c r="I1057" s="659"/>
      <c r="J1057" s="661"/>
      <c r="K1057" s="692"/>
      <c r="L1057" s="645"/>
      <c r="M1057" s="663"/>
      <c r="N1057" s="665"/>
      <c r="O1057" s="665"/>
      <c r="P1057" s="666"/>
      <c r="Q1057" s="667"/>
      <c r="R1057" s="668"/>
      <c r="S1057" s="693"/>
      <c r="T1057" s="694"/>
      <c r="U1057" s="694"/>
      <c r="V1057" s="693"/>
      <c r="W1057" s="693"/>
      <c r="X1057" s="693"/>
      <c r="Y1057" s="671"/>
      <c r="Z1057" s="673"/>
      <c r="AA1057" s="672"/>
      <c r="AB1057" s="695"/>
      <c r="AC1057" s="673"/>
      <c r="AD1057" s="673"/>
      <c r="AE1057" s="673"/>
      <c r="AF1057" s="673"/>
      <c r="AG1057" s="673"/>
      <c r="AH1057" s="673"/>
      <c r="AI1057" s="673"/>
      <c r="AJ1057" s="673"/>
      <c r="AK1057" s="673"/>
      <c r="AL1057" s="673"/>
      <c r="AM1057" s="673"/>
      <c r="AN1057" s="673"/>
      <c r="AO1057" s="673"/>
      <c r="AP1057" s="673"/>
      <c r="AQ1057" s="673"/>
      <c r="AR1057" s="673"/>
      <c r="AS1057" s="673"/>
      <c r="AT1057" s="696"/>
    </row>
    <row r="1058" ht="15.75" customHeight="1">
      <c r="A1058" s="653"/>
      <c r="B1058" s="654"/>
      <c r="C1058" s="691"/>
      <c r="D1058" s="656"/>
      <c r="E1058" s="657"/>
      <c r="F1058" s="658"/>
      <c r="G1058" s="659"/>
      <c r="H1058" s="660"/>
      <c r="I1058" s="659"/>
      <c r="J1058" s="661"/>
      <c r="K1058" s="692"/>
      <c r="L1058" s="645"/>
      <c r="M1058" s="663"/>
      <c r="N1058" s="665"/>
      <c r="O1058" s="665"/>
      <c r="P1058" s="666"/>
      <c r="Q1058" s="667"/>
      <c r="R1058" s="668"/>
      <c r="S1058" s="693"/>
      <c r="T1058" s="694"/>
      <c r="U1058" s="694"/>
      <c r="V1058" s="693"/>
      <c r="W1058" s="693"/>
      <c r="X1058" s="693"/>
      <c r="Y1058" s="671"/>
      <c r="Z1058" s="673"/>
      <c r="AA1058" s="672"/>
      <c r="AB1058" s="695"/>
      <c r="AC1058" s="673"/>
      <c r="AD1058" s="673"/>
      <c r="AE1058" s="673"/>
      <c r="AF1058" s="673"/>
      <c r="AG1058" s="673"/>
      <c r="AH1058" s="673"/>
      <c r="AI1058" s="673"/>
      <c r="AJ1058" s="673"/>
      <c r="AK1058" s="673"/>
      <c r="AL1058" s="673"/>
      <c r="AM1058" s="673"/>
      <c r="AN1058" s="673"/>
      <c r="AO1058" s="673"/>
      <c r="AP1058" s="673"/>
      <c r="AQ1058" s="673"/>
      <c r="AR1058" s="673"/>
      <c r="AS1058" s="673"/>
      <c r="AT1058" s="696"/>
    </row>
    <row r="1059" ht="15.75" customHeight="1">
      <c r="A1059" s="653"/>
      <c r="B1059" s="654"/>
      <c r="C1059" s="691"/>
      <c r="D1059" s="656"/>
      <c r="E1059" s="657"/>
      <c r="F1059" s="658"/>
      <c r="G1059" s="659"/>
      <c r="H1059" s="660"/>
      <c r="I1059" s="659"/>
      <c r="J1059" s="661"/>
      <c r="K1059" s="692"/>
      <c r="L1059" s="645"/>
      <c r="M1059" s="663"/>
      <c r="N1059" s="665"/>
      <c r="O1059" s="665"/>
      <c r="P1059" s="666"/>
      <c r="Q1059" s="667"/>
      <c r="R1059" s="668"/>
      <c r="S1059" s="693"/>
      <c r="T1059" s="694"/>
      <c r="U1059" s="694"/>
      <c r="V1059" s="693"/>
      <c r="W1059" s="693"/>
      <c r="X1059" s="693"/>
      <c r="Y1059" s="671"/>
      <c r="Z1059" s="673"/>
      <c r="AA1059" s="672"/>
      <c r="AB1059" s="695"/>
      <c r="AC1059" s="673"/>
      <c r="AD1059" s="673"/>
      <c r="AE1059" s="673"/>
      <c r="AF1059" s="673"/>
      <c r="AG1059" s="673"/>
      <c r="AH1059" s="673"/>
      <c r="AI1059" s="673"/>
      <c r="AJ1059" s="673"/>
      <c r="AK1059" s="673"/>
      <c r="AL1059" s="673"/>
      <c r="AM1059" s="673"/>
      <c r="AN1059" s="673"/>
      <c r="AO1059" s="673"/>
      <c r="AP1059" s="673"/>
      <c r="AQ1059" s="673"/>
      <c r="AR1059" s="673"/>
      <c r="AS1059" s="673"/>
      <c r="AT1059" s="696"/>
    </row>
    <row r="1060" ht="15.75" customHeight="1">
      <c r="A1060" s="653"/>
      <c r="B1060" s="654"/>
      <c r="C1060" s="691"/>
      <c r="D1060" s="656"/>
      <c r="E1060" s="657"/>
      <c r="F1060" s="658"/>
      <c r="G1060" s="659"/>
      <c r="H1060" s="660"/>
      <c r="I1060" s="659"/>
      <c r="J1060" s="661"/>
      <c r="K1060" s="692"/>
      <c r="L1060" s="645"/>
      <c r="M1060" s="663"/>
      <c r="N1060" s="665"/>
      <c r="O1060" s="665"/>
      <c r="P1060" s="666"/>
      <c r="Q1060" s="667"/>
      <c r="R1060" s="668"/>
      <c r="S1060" s="693"/>
      <c r="T1060" s="694"/>
      <c r="U1060" s="694"/>
      <c r="V1060" s="693"/>
      <c r="W1060" s="693"/>
      <c r="X1060" s="693"/>
      <c r="Y1060" s="671"/>
      <c r="Z1060" s="673"/>
      <c r="AA1060" s="672"/>
      <c r="AB1060" s="695"/>
      <c r="AC1060" s="673"/>
      <c r="AD1060" s="673"/>
      <c r="AE1060" s="673"/>
      <c r="AF1060" s="673"/>
      <c r="AG1060" s="673"/>
      <c r="AH1060" s="673"/>
      <c r="AI1060" s="673"/>
      <c r="AJ1060" s="673"/>
      <c r="AK1060" s="673"/>
      <c r="AL1060" s="673"/>
      <c r="AM1060" s="673"/>
      <c r="AN1060" s="673"/>
      <c r="AO1060" s="673"/>
      <c r="AP1060" s="673"/>
      <c r="AQ1060" s="673"/>
      <c r="AR1060" s="673"/>
      <c r="AS1060" s="673"/>
      <c r="AT1060" s="696"/>
    </row>
    <row r="1061" ht="15.75" customHeight="1">
      <c r="A1061" s="653"/>
      <c r="B1061" s="654"/>
      <c r="C1061" s="691"/>
      <c r="D1061" s="656"/>
      <c r="E1061" s="657"/>
      <c r="F1061" s="658"/>
      <c r="G1061" s="659"/>
      <c r="H1061" s="660"/>
      <c r="I1061" s="659"/>
      <c r="J1061" s="661"/>
      <c r="K1061" s="692"/>
      <c r="L1061" s="645"/>
      <c r="M1061" s="663"/>
      <c r="N1061" s="665"/>
      <c r="O1061" s="665"/>
      <c r="P1061" s="666"/>
      <c r="Q1061" s="667"/>
      <c r="R1061" s="668"/>
      <c r="S1061" s="693"/>
      <c r="T1061" s="694"/>
      <c r="U1061" s="694"/>
      <c r="V1061" s="693"/>
      <c r="W1061" s="693"/>
      <c r="X1061" s="693"/>
      <c r="Y1061" s="671"/>
      <c r="Z1061" s="673"/>
      <c r="AA1061" s="672"/>
      <c r="AB1061" s="695"/>
      <c r="AC1061" s="673"/>
      <c r="AD1061" s="673"/>
      <c r="AE1061" s="673"/>
      <c r="AF1061" s="673"/>
      <c r="AG1061" s="673"/>
      <c r="AH1061" s="673"/>
      <c r="AI1061" s="673"/>
      <c r="AJ1061" s="673"/>
      <c r="AK1061" s="673"/>
      <c r="AL1061" s="673"/>
      <c r="AM1061" s="673"/>
      <c r="AN1061" s="673"/>
      <c r="AO1061" s="673"/>
      <c r="AP1061" s="673"/>
      <c r="AQ1061" s="673"/>
      <c r="AR1061" s="673"/>
      <c r="AS1061" s="673"/>
      <c r="AT1061" s="696"/>
    </row>
    <row r="1062" ht="15.75" customHeight="1">
      <c r="A1062" s="653"/>
      <c r="B1062" s="654"/>
      <c r="C1062" s="691"/>
      <c r="D1062" s="656"/>
      <c r="E1062" s="657"/>
      <c r="F1062" s="658"/>
      <c r="G1062" s="659"/>
      <c r="H1062" s="660"/>
      <c r="I1062" s="659"/>
      <c r="J1062" s="661"/>
      <c r="K1062" s="692"/>
      <c r="L1062" s="645"/>
      <c r="M1062" s="663"/>
      <c r="N1062" s="665"/>
      <c r="O1062" s="665"/>
      <c r="P1062" s="666"/>
      <c r="Q1062" s="667"/>
      <c r="R1062" s="668"/>
      <c r="S1062" s="693"/>
      <c r="T1062" s="694"/>
      <c r="U1062" s="694"/>
      <c r="V1062" s="693"/>
      <c r="W1062" s="693"/>
      <c r="X1062" s="693"/>
      <c r="Y1062" s="671"/>
      <c r="Z1062" s="673"/>
      <c r="AA1062" s="672"/>
      <c r="AB1062" s="695"/>
      <c r="AC1062" s="673"/>
      <c r="AD1062" s="673"/>
      <c r="AE1062" s="673"/>
      <c r="AF1062" s="673"/>
      <c r="AG1062" s="673"/>
      <c r="AH1062" s="673"/>
      <c r="AI1062" s="673"/>
      <c r="AJ1062" s="673"/>
      <c r="AK1062" s="673"/>
      <c r="AL1062" s="673"/>
      <c r="AM1062" s="673"/>
      <c r="AN1062" s="673"/>
      <c r="AO1062" s="673"/>
      <c r="AP1062" s="673"/>
      <c r="AQ1062" s="673"/>
      <c r="AR1062" s="673"/>
      <c r="AS1062" s="673"/>
      <c r="AT1062" s="696"/>
    </row>
    <row r="1063" ht="15.75" customHeight="1">
      <c r="A1063" s="653"/>
      <c r="B1063" s="654"/>
      <c r="C1063" s="691"/>
      <c r="D1063" s="656"/>
      <c r="E1063" s="657"/>
      <c r="F1063" s="658"/>
      <c r="G1063" s="659"/>
      <c r="H1063" s="660"/>
      <c r="I1063" s="659"/>
      <c r="J1063" s="661"/>
      <c r="K1063" s="692"/>
      <c r="L1063" s="645"/>
      <c r="M1063" s="663"/>
      <c r="N1063" s="665"/>
      <c r="O1063" s="665"/>
      <c r="P1063" s="666"/>
      <c r="Q1063" s="667"/>
      <c r="R1063" s="668"/>
      <c r="S1063" s="693"/>
      <c r="T1063" s="694"/>
      <c r="U1063" s="694"/>
      <c r="V1063" s="693"/>
      <c r="W1063" s="693"/>
      <c r="X1063" s="693"/>
      <c r="Y1063" s="671"/>
      <c r="Z1063" s="673"/>
      <c r="AA1063" s="672"/>
      <c r="AB1063" s="695"/>
      <c r="AC1063" s="673"/>
      <c r="AD1063" s="673"/>
      <c r="AE1063" s="673"/>
      <c r="AF1063" s="673"/>
      <c r="AG1063" s="673"/>
      <c r="AH1063" s="673"/>
      <c r="AI1063" s="673"/>
      <c r="AJ1063" s="673"/>
      <c r="AK1063" s="673"/>
      <c r="AL1063" s="673"/>
      <c r="AM1063" s="673"/>
      <c r="AN1063" s="673"/>
      <c r="AO1063" s="673"/>
      <c r="AP1063" s="673"/>
      <c r="AQ1063" s="673"/>
      <c r="AR1063" s="673"/>
      <c r="AS1063" s="673"/>
      <c r="AT1063" s="696"/>
    </row>
    <row r="1064" ht="15.75" customHeight="1">
      <c r="A1064" s="653"/>
      <c r="B1064" s="654"/>
      <c r="C1064" s="691"/>
      <c r="D1064" s="656"/>
      <c r="E1064" s="657"/>
      <c r="F1064" s="658"/>
      <c r="G1064" s="659"/>
      <c r="H1064" s="660"/>
      <c r="I1064" s="659"/>
      <c r="J1064" s="661"/>
      <c r="K1064" s="692"/>
      <c r="L1064" s="645"/>
      <c r="M1064" s="663"/>
      <c r="N1064" s="665"/>
      <c r="O1064" s="665"/>
      <c r="P1064" s="666"/>
      <c r="Q1064" s="667"/>
      <c r="R1064" s="668"/>
      <c r="S1064" s="693"/>
      <c r="T1064" s="694"/>
      <c r="U1064" s="694"/>
      <c r="V1064" s="693"/>
      <c r="W1064" s="693"/>
      <c r="X1064" s="693"/>
      <c r="Y1064" s="671"/>
      <c r="Z1064" s="673"/>
      <c r="AA1064" s="672"/>
      <c r="AB1064" s="695"/>
      <c r="AC1064" s="673"/>
      <c r="AD1064" s="673"/>
      <c r="AE1064" s="673"/>
      <c r="AF1064" s="673"/>
      <c r="AG1064" s="673"/>
      <c r="AH1064" s="673"/>
      <c r="AI1064" s="673"/>
      <c r="AJ1064" s="673"/>
      <c r="AK1064" s="673"/>
      <c r="AL1064" s="673"/>
      <c r="AM1064" s="673"/>
      <c r="AN1064" s="673"/>
      <c r="AO1064" s="673"/>
      <c r="AP1064" s="673"/>
      <c r="AQ1064" s="673"/>
      <c r="AR1064" s="673"/>
      <c r="AS1064" s="673"/>
      <c r="AT1064" s="696"/>
    </row>
    <row r="1065" ht="15.75" customHeight="1">
      <c r="A1065" s="653"/>
      <c r="B1065" s="654"/>
      <c r="C1065" s="691"/>
      <c r="D1065" s="656"/>
      <c r="E1065" s="657"/>
      <c r="F1065" s="658"/>
      <c r="G1065" s="659"/>
      <c r="H1065" s="660"/>
      <c r="I1065" s="659"/>
      <c r="J1065" s="661"/>
      <c r="K1065" s="692"/>
      <c r="L1065" s="645"/>
      <c r="M1065" s="663"/>
      <c r="N1065" s="665"/>
      <c r="O1065" s="665"/>
      <c r="P1065" s="666"/>
      <c r="Q1065" s="667"/>
      <c r="R1065" s="668"/>
      <c r="S1065" s="693"/>
      <c r="T1065" s="694"/>
      <c r="U1065" s="694"/>
      <c r="V1065" s="693"/>
      <c r="W1065" s="693"/>
      <c r="X1065" s="693"/>
      <c r="Y1065" s="671"/>
      <c r="Z1065" s="673"/>
      <c r="AA1065" s="672"/>
      <c r="AB1065" s="695"/>
      <c r="AC1065" s="673"/>
      <c r="AD1065" s="673"/>
      <c r="AE1065" s="673"/>
      <c r="AF1065" s="673"/>
      <c r="AG1065" s="673"/>
      <c r="AH1065" s="673"/>
      <c r="AI1065" s="673"/>
      <c r="AJ1065" s="673"/>
      <c r="AK1065" s="673"/>
      <c r="AL1065" s="673"/>
      <c r="AM1065" s="673"/>
      <c r="AN1065" s="673"/>
      <c r="AO1065" s="673"/>
      <c r="AP1065" s="673"/>
      <c r="AQ1065" s="673"/>
      <c r="AR1065" s="673"/>
      <c r="AS1065" s="673"/>
      <c r="AT1065" s="696"/>
    </row>
    <row r="1066" ht="15.75" customHeight="1">
      <c r="A1066" s="653"/>
      <c r="B1066" s="654"/>
      <c r="C1066" s="691"/>
      <c r="D1066" s="656"/>
      <c r="E1066" s="657"/>
      <c r="F1066" s="658"/>
      <c r="G1066" s="659"/>
      <c r="H1066" s="660"/>
      <c r="I1066" s="659"/>
      <c r="J1066" s="661"/>
      <c r="K1066" s="692"/>
      <c r="L1066" s="645"/>
      <c r="M1066" s="663"/>
      <c r="N1066" s="665"/>
      <c r="O1066" s="665"/>
      <c r="P1066" s="666"/>
      <c r="Q1066" s="667"/>
      <c r="R1066" s="668"/>
      <c r="S1066" s="693"/>
      <c r="T1066" s="694"/>
      <c r="U1066" s="694"/>
      <c r="V1066" s="693"/>
      <c r="W1066" s="693"/>
      <c r="X1066" s="693"/>
      <c r="Y1066" s="671"/>
      <c r="Z1066" s="673"/>
      <c r="AA1066" s="672"/>
      <c r="AB1066" s="695"/>
      <c r="AC1066" s="673"/>
      <c r="AD1066" s="673"/>
      <c r="AE1066" s="673"/>
      <c r="AF1066" s="673"/>
      <c r="AG1066" s="673"/>
      <c r="AH1066" s="673"/>
      <c r="AI1066" s="673"/>
      <c r="AJ1066" s="673"/>
      <c r="AK1066" s="673"/>
      <c r="AL1066" s="673"/>
      <c r="AM1066" s="673"/>
      <c r="AN1066" s="673"/>
      <c r="AO1066" s="673"/>
      <c r="AP1066" s="673"/>
      <c r="AQ1066" s="673"/>
      <c r="AR1066" s="673"/>
      <c r="AS1066" s="673"/>
      <c r="AT1066" s="696"/>
    </row>
    <row r="1067" ht="15.75" customHeight="1">
      <c r="A1067" s="653"/>
      <c r="B1067" s="654"/>
      <c r="C1067" s="691"/>
      <c r="D1067" s="656"/>
      <c r="E1067" s="657"/>
      <c r="F1067" s="658"/>
      <c r="G1067" s="659"/>
      <c r="H1067" s="660"/>
      <c r="I1067" s="659"/>
      <c r="J1067" s="661"/>
      <c r="K1067" s="692"/>
      <c r="L1067" s="645"/>
      <c r="M1067" s="663"/>
      <c r="N1067" s="665"/>
      <c r="O1067" s="665"/>
      <c r="P1067" s="666"/>
      <c r="Q1067" s="667"/>
      <c r="R1067" s="668"/>
      <c r="S1067" s="693"/>
      <c r="T1067" s="694"/>
      <c r="U1067" s="694"/>
      <c r="V1067" s="693"/>
      <c r="W1067" s="693"/>
      <c r="X1067" s="693"/>
      <c r="Y1067" s="671"/>
      <c r="Z1067" s="673"/>
      <c r="AA1067" s="672"/>
      <c r="AB1067" s="695"/>
      <c r="AC1067" s="673"/>
      <c r="AD1067" s="673"/>
      <c r="AE1067" s="673"/>
      <c r="AF1067" s="673"/>
      <c r="AG1067" s="673"/>
      <c r="AH1067" s="673"/>
      <c r="AI1067" s="673"/>
      <c r="AJ1067" s="673"/>
      <c r="AK1067" s="673"/>
      <c r="AL1067" s="673"/>
      <c r="AM1067" s="673"/>
      <c r="AN1067" s="673"/>
      <c r="AO1067" s="673"/>
      <c r="AP1067" s="673"/>
      <c r="AQ1067" s="673"/>
      <c r="AR1067" s="673"/>
      <c r="AS1067" s="673"/>
      <c r="AT1067" s="696"/>
    </row>
    <row r="1068" ht="15.75" customHeight="1">
      <c r="A1068" s="653"/>
      <c r="B1068" s="654"/>
      <c r="C1068" s="691"/>
      <c r="D1068" s="656"/>
      <c r="E1068" s="657"/>
      <c r="F1068" s="658"/>
      <c r="G1068" s="659"/>
      <c r="H1068" s="660"/>
      <c r="I1068" s="659"/>
      <c r="J1068" s="661"/>
      <c r="K1068" s="692"/>
      <c r="L1068" s="645"/>
      <c r="M1068" s="663"/>
      <c r="N1068" s="665"/>
      <c r="O1068" s="665"/>
      <c r="P1068" s="666"/>
      <c r="Q1068" s="667"/>
      <c r="R1068" s="668"/>
      <c r="S1068" s="693"/>
      <c r="T1068" s="694"/>
      <c r="U1068" s="694"/>
      <c r="V1068" s="693"/>
      <c r="W1068" s="693"/>
      <c r="X1068" s="693"/>
      <c r="Y1068" s="671"/>
      <c r="Z1068" s="673"/>
      <c r="AA1068" s="672"/>
      <c r="AB1068" s="695"/>
      <c r="AC1068" s="673"/>
      <c r="AD1068" s="673"/>
      <c r="AE1068" s="673"/>
      <c r="AF1068" s="673"/>
      <c r="AG1068" s="673"/>
      <c r="AH1068" s="673"/>
      <c r="AI1068" s="673"/>
      <c r="AJ1068" s="673"/>
      <c r="AK1068" s="673"/>
      <c r="AL1068" s="673"/>
      <c r="AM1068" s="673"/>
      <c r="AN1068" s="673"/>
      <c r="AO1068" s="673"/>
      <c r="AP1068" s="673"/>
      <c r="AQ1068" s="673"/>
      <c r="AR1068" s="673"/>
      <c r="AS1068" s="673"/>
      <c r="AT1068" s="696"/>
    </row>
    <row r="1069" ht="15.75" customHeight="1">
      <c r="A1069" s="653"/>
      <c r="B1069" s="654"/>
      <c r="C1069" s="691"/>
      <c r="D1069" s="656"/>
      <c r="E1069" s="657"/>
      <c r="F1069" s="658"/>
      <c r="G1069" s="659"/>
      <c r="H1069" s="660"/>
      <c r="I1069" s="659"/>
      <c r="J1069" s="661"/>
      <c r="K1069" s="692"/>
      <c r="L1069" s="645"/>
      <c r="M1069" s="663"/>
      <c r="N1069" s="665"/>
      <c r="O1069" s="665"/>
      <c r="P1069" s="666"/>
      <c r="Q1069" s="667"/>
      <c r="R1069" s="668"/>
      <c r="S1069" s="693"/>
      <c r="T1069" s="694"/>
      <c r="U1069" s="694"/>
      <c r="V1069" s="693"/>
      <c r="W1069" s="693"/>
      <c r="X1069" s="693"/>
      <c r="Y1069" s="671"/>
      <c r="Z1069" s="673"/>
      <c r="AA1069" s="672"/>
      <c r="AB1069" s="695"/>
      <c r="AC1069" s="673"/>
      <c r="AD1069" s="673"/>
      <c r="AE1069" s="673"/>
      <c r="AF1069" s="673"/>
      <c r="AG1069" s="673"/>
      <c r="AH1069" s="673"/>
      <c r="AI1069" s="673"/>
      <c r="AJ1069" s="673"/>
      <c r="AK1069" s="673"/>
      <c r="AL1069" s="673"/>
      <c r="AM1069" s="673"/>
      <c r="AN1069" s="673"/>
      <c r="AO1069" s="673"/>
      <c r="AP1069" s="673"/>
      <c r="AQ1069" s="673"/>
      <c r="AR1069" s="673"/>
      <c r="AS1069" s="673"/>
      <c r="AT1069" s="696"/>
    </row>
    <row r="1070" ht="15.75" customHeight="1">
      <c r="A1070" s="653"/>
      <c r="B1070" s="654"/>
      <c r="C1070" s="691"/>
      <c r="D1070" s="656"/>
      <c r="E1070" s="657"/>
      <c r="F1070" s="658"/>
      <c r="G1070" s="659"/>
      <c r="H1070" s="660"/>
      <c r="I1070" s="659"/>
      <c r="J1070" s="661"/>
      <c r="K1070" s="692"/>
      <c r="L1070" s="645"/>
      <c r="M1070" s="663"/>
      <c r="N1070" s="665"/>
      <c r="O1070" s="665"/>
      <c r="P1070" s="666"/>
      <c r="Q1070" s="667"/>
      <c r="R1070" s="668"/>
      <c r="S1070" s="693"/>
      <c r="T1070" s="694"/>
      <c r="U1070" s="694"/>
      <c r="V1070" s="693"/>
      <c r="W1070" s="693"/>
      <c r="X1070" s="693"/>
      <c r="Y1070" s="671"/>
      <c r="Z1070" s="673"/>
      <c r="AA1070" s="672"/>
      <c r="AB1070" s="695"/>
      <c r="AC1070" s="673"/>
      <c r="AD1070" s="673"/>
      <c r="AE1070" s="673"/>
      <c r="AF1070" s="673"/>
      <c r="AG1070" s="673"/>
      <c r="AH1070" s="673"/>
      <c r="AI1070" s="673"/>
      <c r="AJ1070" s="673"/>
      <c r="AK1070" s="673"/>
      <c r="AL1070" s="673"/>
      <c r="AM1070" s="673"/>
      <c r="AN1070" s="673"/>
      <c r="AO1070" s="673"/>
      <c r="AP1070" s="673"/>
      <c r="AQ1070" s="673"/>
      <c r="AR1070" s="673"/>
      <c r="AS1070" s="673"/>
      <c r="AT1070" s="696"/>
    </row>
    <row r="1071" ht="15.75" customHeight="1">
      <c r="A1071" s="653"/>
      <c r="B1071" s="654"/>
      <c r="C1071" s="691"/>
      <c r="D1071" s="656"/>
      <c r="E1071" s="657"/>
      <c r="F1071" s="658"/>
      <c r="G1071" s="659"/>
      <c r="H1071" s="660"/>
      <c r="I1071" s="659"/>
      <c r="J1071" s="661"/>
      <c r="K1071" s="692"/>
      <c r="L1071" s="645"/>
      <c r="M1071" s="663"/>
      <c r="N1071" s="665"/>
      <c r="O1071" s="665"/>
      <c r="P1071" s="666"/>
      <c r="Q1071" s="667"/>
      <c r="R1071" s="668"/>
      <c r="S1071" s="693"/>
      <c r="T1071" s="694"/>
      <c r="U1071" s="694"/>
      <c r="V1071" s="693"/>
      <c r="W1071" s="693"/>
      <c r="X1071" s="693"/>
      <c r="Y1071" s="671"/>
      <c r="Z1071" s="673"/>
      <c r="AA1071" s="672"/>
      <c r="AB1071" s="695"/>
      <c r="AC1071" s="673"/>
      <c r="AD1071" s="673"/>
      <c r="AE1071" s="673"/>
      <c r="AF1071" s="673"/>
      <c r="AG1071" s="673"/>
      <c r="AH1071" s="673"/>
      <c r="AI1071" s="673"/>
      <c r="AJ1071" s="673"/>
      <c r="AK1071" s="673"/>
      <c r="AL1071" s="673"/>
      <c r="AM1071" s="673"/>
      <c r="AN1071" s="673"/>
      <c r="AO1071" s="673"/>
      <c r="AP1071" s="673"/>
      <c r="AQ1071" s="673"/>
      <c r="AR1071" s="673"/>
      <c r="AS1071" s="673"/>
      <c r="AT1071" s="696"/>
    </row>
    <row r="1072" ht="15.75" customHeight="1">
      <c r="A1072" s="653"/>
      <c r="B1072" s="654"/>
      <c r="C1072" s="691"/>
      <c r="D1072" s="656"/>
      <c r="E1072" s="657"/>
      <c r="F1072" s="658"/>
      <c r="G1072" s="659"/>
      <c r="H1072" s="660"/>
      <c r="I1072" s="659"/>
      <c r="J1072" s="661"/>
      <c r="K1072" s="692"/>
      <c r="L1072" s="645"/>
      <c r="M1072" s="663"/>
      <c r="N1072" s="665"/>
      <c r="O1072" s="665"/>
      <c r="P1072" s="666"/>
      <c r="Q1072" s="667"/>
      <c r="R1072" s="668"/>
      <c r="S1072" s="693"/>
      <c r="T1072" s="694"/>
      <c r="U1072" s="694"/>
      <c r="V1072" s="693"/>
      <c r="W1072" s="693"/>
      <c r="X1072" s="693"/>
      <c r="Y1072" s="671"/>
      <c r="Z1072" s="673"/>
      <c r="AA1072" s="672"/>
      <c r="AB1072" s="695"/>
      <c r="AC1072" s="673"/>
      <c r="AD1072" s="673"/>
      <c r="AE1072" s="673"/>
      <c r="AF1072" s="673"/>
      <c r="AG1072" s="673"/>
      <c r="AH1072" s="673"/>
      <c r="AI1072" s="673"/>
      <c r="AJ1072" s="673"/>
      <c r="AK1072" s="673"/>
      <c r="AL1072" s="673"/>
      <c r="AM1072" s="673"/>
      <c r="AN1072" s="673"/>
      <c r="AO1072" s="673"/>
      <c r="AP1072" s="673"/>
      <c r="AQ1072" s="673"/>
      <c r="AR1072" s="673"/>
      <c r="AS1072" s="673"/>
      <c r="AT1072" s="696"/>
    </row>
    <row r="1073" ht="15.75" customHeight="1">
      <c r="A1073" s="653"/>
      <c r="B1073" s="654"/>
      <c r="C1073" s="691"/>
      <c r="D1073" s="656"/>
      <c r="E1073" s="657"/>
      <c r="F1073" s="658"/>
      <c r="G1073" s="659"/>
      <c r="H1073" s="660"/>
      <c r="I1073" s="659"/>
      <c r="J1073" s="661"/>
      <c r="K1073" s="692"/>
      <c r="L1073" s="645"/>
      <c r="M1073" s="663"/>
      <c r="N1073" s="665"/>
      <c r="O1073" s="665"/>
      <c r="P1073" s="666"/>
      <c r="Q1073" s="667"/>
      <c r="R1073" s="668"/>
      <c r="S1073" s="693"/>
      <c r="T1073" s="694"/>
      <c r="U1073" s="694"/>
      <c r="V1073" s="693"/>
      <c r="W1073" s="693"/>
      <c r="X1073" s="693"/>
      <c r="Y1073" s="671"/>
      <c r="Z1073" s="673"/>
      <c r="AA1073" s="672"/>
      <c r="AB1073" s="695"/>
      <c r="AC1073" s="673"/>
      <c r="AD1073" s="673"/>
      <c r="AE1073" s="673"/>
      <c r="AF1073" s="673"/>
      <c r="AG1073" s="673"/>
      <c r="AH1073" s="673"/>
      <c r="AI1073" s="673"/>
      <c r="AJ1073" s="673"/>
      <c r="AK1073" s="673"/>
      <c r="AL1073" s="673"/>
      <c r="AM1073" s="673"/>
      <c r="AN1073" s="673"/>
      <c r="AO1073" s="673"/>
      <c r="AP1073" s="673"/>
      <c r="AQ1073" s="673"/>
      <c r="AR1073" s="673"/>
      <c r="AS1073" s="673"/>
      <c r="AT1073" s="696"/>
    </row>
    <row r="1074" ht="15.75" customHeight="1">
      <c r="A1074" s="653"/>
      <c r="B1074" s="654"/>
      <c r="C1074" s="691"/>
      <c r="D1074" s="656"/>
      <c r="E1074" s="657"/>
      <c r="F1074" s="658"/>
      <c r="G1074" s="659"/>
      <c r="H1074" s="660"/>
      <c r="I1074" s="659"/>
      <c r="J1074" s="661"/>
      <c r="K1074" s="692"/>
      <c r="L1074" s="645"/>
      <c r="M1074" s="663"/>
      <c r="N1074" s="665"/>
      <c r="O1074" s="665"/>
      <c r="P1074" s="666"/>
      <c r="Q1074" s="667"/>
      <c r="R1074" s="668"/>
      <c r="S1074" s="693"/>
      <c r="T1074" s="694"/>
      <c r="U1074" s="694"/>
      <c r="V1074" s="693"/>
      <c r="W1074" s="693"/>
      <c r="X1074" s="693"/>
      <c r="Y1074" s="671"/>
      <c r="Z1074" s="673"/>
      <c r="AA1074" s="672"/>
      <c r="AB1074" s="695"/>
      <c r="AC1074" s="673"/>
      <c r="AD1074" s="673"/>
      <c r="AE1074" s="673"/>
      <c r="AF1074" s="673"/>
      <c r="AG1074" s="673"/>
      <c r="AH1074" s="673"/>
      <c r="AI1074" s="673"/>
      <c r="AJ1074" s="673"/>
      <c r="AK1074" s="673"/>
      <c r="AL1074" s="673"/>
      <c r="AM1074" s="673"/>
      <c r="AN1074" s="673"/>
      <c r="AO1074" s="673"/>
      <c r="AP1074" s="673"/>
      <c r="AQ1074" s="673"/>
      <c r="AR1074" s="673"/>
      <c r="AS1074" s="673"/>
      <c r="AT1074" s="696"/>
    </row>
    <row r="1075" ht="15.75" customHeight="1">
      <c r="A1075" s="653"/>
      <c r="B1075" s="654"/>
      <c r="C1075" s="691"/>
      <c r="D1075" s="656"/>
      <c r="E1075" s="657"/>
      <c r="F1075" s="658"/>
      <c r="G1075" s="659"/>
      <c r="H1075" s="660"/>
      <c r="I1075" s="659"/>
      <c r="J1075" s="661"/>
      <c r="K1075" s="692"/>
      <c r="L1075" s="645"/>
      <c r="M1075" s="663"/>
      <c r="N1075" s="665"/>
      <c r="O1075" s="665"/>
      <c r="P1075" s="666"/>
      <c r="Q1075" s="667"/>
      <c r="R1075" s="668"/>
      <c r="S1075" s="693"/>
      <c r="T1075" s="694"/>
      <c r="U1075" s="694"/>
      <c r="V1075" s="693"/>
      <c r="W1075" s="693"/>
      <c r="X1075" s="693"/>
      <c r="Y1075" s="671"/>
      <c r="Z1075" s="673"/>
      <c r="AA1075" s="672"/>
      <c r="AB1075" s="695"/>
      <c r="AC1075" s="673"/>
      <c r="AD1075" s="673"/>
      <c r="AE1075" s="673"/>
      <c r="AF1075" s="673"/>
      <c r="AG1075" s="673"/>
      <c r="AH1075" s="673"/>
      <c r="AI1075" s="673"/>
      <c r="AJ1075" s="673"/>
      <c r="AK1075" s="673"/>
      <c r="AL1075" s="673"/>
      <c r="AM1075" s="673"/>
      <c r="AN1075" s="673"/>
      <c r="AO1075" s="673"/>
      <c r="AP1075" s="673"/>
      <c r="AQ1075" s="673"/>
      <c r="AR1075" s="673"/>
      <c r="AS1075" s="673"/>
      <c r="AT1075" s="696"/>
    </row>
    <row r="1076" ht="15.75" customHeight="1">
      <c r="A1076" s="653"/>
      <c r="B1076" s="654"/>
      <c r="C1076" s="691"/>
      <c r="D1076" s="656"/>
      <c r="E1076" s="657"/>
      <c r="F1076" s="658"/>
      <c r="G1076" s="659"/>
      <c r="H1076" s="660"/>
      <c r="I1076" s="659"/>
      <c r="J1076" s="661"/>
      <c r="K1076" s="692"/>
      <c r="L1076" s="645"/>
      <c r="M1076" s="663"/>
      <c r="N1076" s="665"/>
      <c r="O1076" s="665"/>
      <c r="P1076" s="666"/>
      <c r="Q1076" s="667"/>
      <c r="R1076" s="668"/>
      <c r="S1076" s="693"/>
      <c r="T1076" s="694"/>
      <c r="U1076" s="694"/>
      <c r="V1076" s="693"/>
      <c r="W1076" s="693"/>
      <c r="X1076" s="693"/>
      <c r="Y1076" s="671"/>
      <c r="Z1076" s="673"/>
      <c r="AA1076" s="672"/>
      <c r="AB1076" s="695"/>
      <c r="AC1076" s="673"/>
      <c r="AD1076" s="673"/>
      <c r="AE1076" s="673"/>
      <c r="AF1076" s="673"/>
      <c r="AG1076" s="673"/>
      <c r="AH1076" s="673"/>
      <c r="AI1076" s="673"/>
      <c r="AJ1076" s="673"/>
      <c r="AK1076" s="673"/>
      <c r="AL1076" s="673"/>
      <c r="AM1076" s="673"/>
      <c r="AN1076" s="673"/>
      <c r="AO1076" s="673"/>
      <c r="AP1076" s="673"/>
      <c r="AQ1076" s="673"/>
      <c r="AR1076" s="673"/>
      <c r="AS1076" s="673"/>
      <c r="AT1076" s="696"/>
    </row>
    <row r="1077" ht="15.75" customHeight="1">
      <c r="A1077" s="653"/>
      <c r="B1077" s="654"/>
      <c r="C1077" s="691"/>
      <c r="D1077" s="656"/>
      <c r="E1077" s="657"/>
      <c r="F1077" s="658"/>
      <c r="G1077" s="659"/>
      <c r="H1077" s="660"/>
      <c r="I1077" s="659"/>
      <c r="J1077" s="661"/>
      <c r="K1077" s="692"/>
      <c r="L1077" s="645"/>
      <c r="M1077" s="663"/>
      <c r="N1077" s="665"/>
      <c r="O1077" s="665"/>
      <c r="P1077" s="666"/>
      <c r="Q1077" s="667"/>
      <c r="R1077" s="668"/>
      <c r="S1077" s="693"/>
      <c r="T1077" s="694"/>
      <c r="U1077" s="694"/>
      <c r="V1077" s="693"/>
      <c r="W1077" s="693"/>
      <c r="X1077" s="693"/>
      <c r="Y1077" s="671"/>
      <c r="Z1077" s="673"/>
      <c r="AA1077" s="672"/>
      <c r="AB1077" s="695"/>
      <c r="AC1077" s="673"/>
      <c r="AD1077" s="673"/>
      <c r="AE1077" s="673"/>
      <c r="AF1077" s="673"/>
      <c r="AG1077" s="673"/>
      <c r="AH1077" s="673"/>
      <c r="AI1077" s="673"/>
      <c r="AJ1077" s="673"/>
      <c r="AK1077" s="673"/>
      <c r="AL1077" s="673"/>
      <c r="AM1077" s="673"/>
      <c r="AN1077" s="673"/>
      <c r="AO1077" s="673"/>
      <c r="AP1077" s="673"/>
      <c r="AQ1077" s="673"/>
      <c r="AR1077" s="673"/>
      <c r="AS1077" s="673"/>
      <c r="AT1077" s="696"/>
    </row>
    <row r="1078" ht="15.75" customHeight="1">
      <c r="A1078" s="653"/>
      <c r="B1078" s="654"/>
      <c r="C1078" s="691"/>
      <c r="D1078" s="656"/>
      <c r="E1078" s="657"/>
      <c r="F1078" s="658"/>
      <c r="G1078" s="659"/>
      <c r="H1078" s="660"/>
      <c r="I1078" s="659"/>
      <c r="J1078" s="661"/>
      <c r="K1078" s="692"/>
      <c r="L1078" s="645"/>
      <c r="M1078" s="663"/>
      <c r="N1078" s="665"/>
      <c r="O1078" s="665"/>
      <c r="P1078" s="666"/>
      <c r="Q1078" s="667"/>
      <c r="R1078" s="668"/>
      <c r="S1078" s="693"/>
      <c r="T1078" s="694"/>
      <c r="U1078" s="694"/>
      <c r="V1078" s="693"/>
      <c r="W1078" s="693"/>
      <c r="X1078" s="693"/>
      <c r="Y1078" s="671"/>
      <c r="Z1078" s="673"/>
      <c r="AA1078" s="672"/>
      <c r="AB1078" s="695"/>
      <c r="AC1078" s="673"/>
      <c r="AD1078" s="673"/>
      <c r="AE1078" s="673"/>
      <c r="AF1078" s="673"/>
      <c r="AG1078" s="673"/>
      <c r="AH1078" s="673"/>
      <c r="AI1078" s="673"/>
      <c r="AJ1078" s="673"/>
      <c r="AK1078" s="673"/>
      <c r="AL1078" s="673"/>
      <c r="AM1078" s="673"/>
      <c r="AN1078" s="673"/>
      <c r="AO1078" s="673"/>
      <c r="AP1078" s="673"/>
      <c r="AQ1078" s="673"/>
      <c r="AR1078" s="673"/>
      <c r="AS1078" s="673"/>
      <c r="AT1078" s="696"/>
    </row>
    <row r="1079" ht="15.75" customHeight="1">
      <c r="A1079" s="653"/>
      <c r="B1079" s="654"/>
      <c r="C1079" s="691"/>
      <c r="D1079" s="656"/>
      <c r="E1079" s="657"/>
      <c r="F1079" s="658"/>
      <c r="G1079" s="659"/>
      <c r="H1079" s="660"/>
      <c r="I1079" s="659"/>
      <c r="J1079" s="661"/>
      <c r="K1079" s="692"/>
      <c r="L1079" s="645"/>
      <c r="M1079" s="663"/>
      <c r="N1079" s="665"/>
      <c r="O1079" s="665"/>
      <c r="P1079" s="666"/>
      <c r="Q1079" s="667"/>
      <c r="R1079" s="668"/>
      <c r="S1079" s="693"/>
      <c r="T1079" s="694"/>
      <c r="U1079" s="694"/>
      <c r="V1079" s="693"/>
      <c r="W1079" s="693"/>
      <c r="X1079" s="693"/>
      <c r="Y1079" s="671"/>
      <c r="Z1079" s="673"/>
      <c r="AA1079" s="672"/>
      <c r="AB1079" s="695"/>
      <c r="AC1079" s="673"/>
      <c r="AD1079" s="673"/>
      <c r="AE1079" s="673"/>
      <c r="AF1079" s="673"/>
      <c r="AG1079" s="673"/>
      <c r="AH1079" s="673"/>
      <c r="AI1079" s="673"/>
      <c r="AJ1079" s="673"/>
      <c r="AK1079" s="673"/>
      <c r="AL1079" s="673"/>
      <c r="AM1079" s="673"/>
      <c r="AN1079" s="673"/>
      <c r="AO1079" s="673"/>
      <c r="AP1079" s="673"/>
      <c r="AQ1079" s="673"/>
      <c r="AR1079" s="673"/>
      <c r="AS1079" s="673"/>
      <c r="AT1079" s="696"/>
    </row>
    <row r="1080" ht="15.75" customHeight="1">
      <c r="A1080" s="653"/>
      <c r="B1080" s="654"/>
      <c r="C1080" s="691"/>
      <c r="D1080" s="656"/>
      <c r="E1080" s="657"/>
      <c r="F1080" s="658"/>
      <c r="G1080" s="659"/>
      <c r="H1080" s="660"/>
      <c r="I1080" s="659"/>
      <c r="J1080" s="661"/>
      <c r="K1080" s="692"/>
      <c r="L1080" s="645"/>
      <c r="M1080" s="663"/>
      <c r="N1080" s="665"/>
      <c r="O1080" s="665"/>
      <c r="P1080" s="666"/>
      <c r="Q1080" s="667"/>
      <c r="R1080" s="668"/>
      <c r="S1080" s="693"/>
      <c r="T1080" s="694"/>
      <c r="U1080" s="694"/>
      <c r="V1080" s="693"/>
      <c r="W1080" s="693"/>
      <c r="X1080" s="693"/>
      <c r="Y1080" s="671"/>
      <c r="Z1080" s="673"/>
      <c r="AA1080" s="672"/>
      <c r="AB1080" s="695"/>
      <c r="AC1080" s="673"/>
      <c r="AD1080" s="673"/>
      <c r="AE1080" s="673"/>
      <c r="AF1080" s="673"/>
      <c r="AG1080" s="673"/>
      <c r="AH1080" s="673"/>
      <c r="AI1080" s="673"/>
      <c r="AJ1080" s="673"/>
      <c r="AK1080" s="673"/>
      <c r="AL1080" s="673"/>
      <c r="AM1080" s="673"/>
      <c r="AN1080" s="673"/>
      <c r="AO1080" s="673"/>
      <c r="AP1080" s="673"/>
      <c r="AQ1080" s="673"/>
      <c r="AR1080" s="673"/>
      <c r="AS1080" s="673"/>
      <c r="AT1080" s="696"/>
    </row>
    <row r="1081" ht="15.75" customHeight="1">
      <c r="A1081" s="653"/>
      <c r="B1081" s="654"/>
      <c r="C1081" s="691"/>
      <c r="D1081" s="656"/>
      <c r="E1081" s="657"/>
      <c r="F1081" s="658"/>
      <c r="G1081" s="659"/>
      <c r="H1081" s="660"/>
      <c r="I1081" s="659"/>
      <c r="J1081" s="661"/>
      <c r="K1081" s="692"/>
      <c r="L1081" s="645"/>
      <c r="M1081" s="663"/>
      <c r="N1081" s="665"/>
      <c r="O1081" s="665"/>
      <c r="P1081" s="666"/>
      <c r="Q1081" s="667"/>
      <c r="R1081" s="668"/>
      <c r="S1081" s="693"/>
      <c r="T1081" s="694"/>
      <c r="U1081" s="694"/>
      <c r="V1081" s="693"/>
      <c r="W1081" s="693"/>
      <c r="X1081" s="693"/>
      <c r="Y1081" s="671"/>
      <c r="Z1081" s="673"/>
      <c r="AA1081" s="672"/>
      <c r="AB1081" s="695"/>
      <c r="AC1081" s="673"/>
      <c r="AD1081" s="673"/>
      <c r="AE1081" s="673"/>
      <c r="AF1081" s="673"/>
      <c r="AG1081" s="673"/>
      <c r="AH1081" s="673"/>
      <c r="AI1081" s="673"/>
      <c r="AJ1081" s="673"/>
      <c r="AK1081" s="673"/>
      <c r="AL1081" s="673"/>
      <c r="AM1081" s="673"/>
      <c r="AN1081" s="673"/>
      <c r="AO1081" s="673"/>
      <c r="AP1081" s="673"/>
      <c r="AQ1081" s="673"/>
      <c r="AR1081" s="673"/>
      <c r="AS1081" s="673"/>
      <c r="AT1081" s="696"/>
    </row>
    <row r="1082" ht="15.75" customHeight="1">
      <c r="A1082" s="653"/>
      <c r="B1082" s="654"/>
      <c r="C1082" s="691"/>
      <c r="D1082" s="656"/>
      <c r="E1082" s="657"/>
      <c r="F1082" s="658"/>
      <c r="G1082" s="659"/>
      <c r="H1082" s="660"/>
      <c r="I1082" s="659"/>
      <c r="J1082" s="661"/>
      <c r="K1082" s="692"/>
      <c r="L1082" s="645"/>
      <c r="M1082" s="663"/>
      <c r="N1082" s="665"/>
      <c r="O1082" s="665"/>
      <c r="P1082" s="666"/>
      <c r="Q1082" s="667"/>
      <c r="R1082" s="668"/>
      <c r="S1082" s="693"/>
      <c r="T1082" s="694"/>
      <c r="U1082" s="694"/>
      <c r="V1082" s="693"/>
      <c r="W1082" s="693"/>
      <c r="X1082" s="693"/>
      <c r="Y1082" s="671"/>
      <c r="Z1082" s="673"/>
      <c r="AA1082" s="672"/>
      <c r="AB1082" s="695"/>
      <c r="AC1082" s="673"/>
      <c r="AD1082" s="673"/>
      <c r="AE1082" s="673"/>
      <c r="AF1082" s="673"/>
      <c r="AG1082" s="673"/>
      <c r="AH1082" s="673"/>
      <c r="AI1082" s="673"/>
      <c r="AJ1082" s="673"/>
      <c r="AK1082" s="673"/>
      <c r="AL1082" s="673"/>
      <c r="AM1082" s="673"/>
      <c r="AN1082" s="673"/>
      <c r="AO1082" s="673"/>
      <c r="AP1082" s="673"/>
      <c r="AQ1082" s="673"/>
      <c r="AR1082" s="673"/>
      <c r="AS1082" s="673"/>
      <c r="AT1082" s="696"/>
    </row>
    <row r="1083" ht="15.75" customHeight="1">
      <c r="A1083" s="653"/>
      <c r="B1083" s="654"/>
      <c r="C1083" s="691"/>
      <c r="D1083" s="656"/>
      <c r="E1083" s="657"/>
      <c r="F1083" s="658"/>
      <c r="G1083" s="659"/>
      <c r="H1083" s="660"/>
      <c r="I1083" s="659"/>
      <c r="J1083" s="661"/>
      <c r="K1083" s="692"/>
      <c r="L1083" s="645"/>
      <c r="M1083" s="663"/>
      <c r="N1083" s="665"/>
      <c r="O1083" s="665"/>
      <c r="P1083" s="666"/>
      <c r="Q1083" s="667"/>
      <c r="R1083" s="668"/>
      <c r="S1083" s="693"/>
      <c r="T1083" s="694"/>
      <c r="U1083" s="694"/>
      <c r="V1083" s="693"/>
      <c r="W1083" s="693"/>
      <c r="X1083" s="693"/>
      <c r="Y1083" s="671"/>
      <c r="Z1083" s="673"/>
      <c r="AA1083" s="672"/>
      <c r="AB1083" s="695"/>
      <c r="AC1083" s="673"/>
      <c r="AD1083" s="673"/>
      <c r="AE1083" s="673"/>
      <c r="AF1083" s="673"/>
      <c r="AG1083" s="673"/>
      <c r="AH1083" s="673"/>
      <c r="AI1083" s="673"/>
      <c r="AJ1083" s="673"/>
      <c r="AK1083" s="673"/>
      <c r="AL1083" s="673"/>
      <c r="AM1083" s="673"/>
      <c r="AN1083" s="673"/>
      <c r="AO1083" s="673"/>
      <c r="AP1083" s="673"/>
      <c r="AQ1083" s="673"/>
      <c r="AR1083" s="673"/>
      <c r="AS1083" s="673"/>
      <c r="AT1083" s="696"/>
    </row>
    <row r="1084" ht="15.75" customHeight="1">
      <c r="A1084" s="653"/>
      <c r="B1084" s="654"/>
      <c r="C1084" s="691"/>
      <c r="D1084" s="656"/>
      <c r="E1084" s="657"/>
      <c r="F1084" s="658"/>
      <c r="G1084" s="659"/>
      <c r="H1084" s="660"/>
      <c r="I1084" s="659"/>
      <c r="J1084" s="661"/>
      <c r="K1084" s="692"/>
      <c r="L1084" s="645"/>
      <c r="M1084" s="663"/>
      <c r="N1084" s="665"/>
      <c r="O1084" s="665"/>
      <c r="P1084" s="666"/>
      <c r="Q1084" s="667"/>
      <c r="R1084" s="668"/>
      <c r="S1084" s="693"/>
      <c r="T1084" s="694"/>
      <c r="U1084" s="694"/>
      <c r="V1084" s="693"/>
      <c r="W1084" s="693"/>
      <c r="X1084" s="693"/>
      <c r="Y1084" s="671"/>
      <c r="Z1084" s="673"/>
      <c r="AA1084" s="672"/>
      <c r="AB1084" s="695"/>
      <c r="AC1084" s="673"/>
      <c r="AD1084" s="673"/>
      <c r="AE1084" s="673"/>
      <c r="AF1084" s="673"/>
      <c r="AG1084" s="673"/>
      <c r="AH1084" s="673"/>
      <c r="AI1084" s="673"/>
      <c r="AJ1084" s="673"/>
      <c r="AK1084" s="673"/>
      <c r="AL1084" s="673"/>
      <c r="AM1084" s="673"/>
      <c r="AN1084" s="673"/>
      <c r="AO1084" s="673"/>
      <c r="AP1084" s="673"/>
      <c r="AQ1084" s="673"/>
      <c r="AR1084" s="673"/>
      <c r="AS1084" s="673"/>
      <c r="AT1084" s="696"/>
    </row>
    <row r="1085" ht="15.75" customHeight="1">
      <c r="A1085" s="653"/>
      <c r="B1085" s="654"/>
      <c r="C1085" s="691"/>
      <c r="D1085" s="656"/>
      <c r="E1085" s="657"/>
      <c r="F1085" s="658"/>
      <c r="G1085" s="659"/>
      <c r="H1085" s="660"/>
      <c r="I1085" s="659"/>
      <c r="J1085" s="661"/>
      <c r="K1085" s="692"/>
      <c r="L1085" s="645"/>
      <c r="M1085" s="663"/>
      <c r="N1085" s="665"/>
      <c r="O1085" s="665"/>
      <c r="P1085" s="666"/>
      <c r="Q1085" s="667"/>
      <c r="R1085" s="668"/>
      <c r="S1085" s="693"/>
      <c r="T1085" s="694"/>
      <c r="U1085" s="694"/>
      <c r="V1085" s="693"/>
      <c r="W1085" s="693"/>
      <c r="X1085" s="693"/>
      <c r="Y1085" s="671"/>
      <c r="Z1085" s="673"/>
      <c r="AA1085" s="672"/>
      <c r="AB1085" s="695"/>
      <c r="AC1085" s="673"/>
      <c r="AD1085" s="673"/>
      <c r="AE1085" s="673"/>
      <c r="AF1085" s="673"/>
      <c r="AG1085" s="673"/>
      <c r="AH1085" s="673"/>
      <c r="AI1085" s="673"/>
      <c r="AJ1085" s="673"/>
      <c r="AK1085" s="673"/>
      <c r="AL1085" s="673"/>
      <c r="AM1085" s="673"/>
      <c r="AN1085" s="673"/>
      <c r="AO1085" s="673"/>
      <c r="AP1085" s="673"/>
      <c r="AQ1085" s="673"/>
      <c r="AR1085" s="673"/>
      <c r="AS1085" s="673"/>
      <c r="AT1085" s="696"/>
    </row>
    <row r="1086" ht="15.75" customHeight="1">
      <c r="A1086" s="653"/>
      <c r="B1086" s="654"/>
      <c r="C1086" s="691"/>
      <c r="D1086" s="656"/>
      <c r="E1086" s="657"/>
      <c r="F1086" s="658"/>
      <c r="G1086" s="659"/>
      <c r="H1086" s="660"/>
      <c r="I1086" s="659"/>
      <c r="J1086" s="661"/>
      <c r="K1086" s="692"/>
      <c r="L1086" s="645"/>
      <c r="M1086" s="663"/>
      <c r="N1086" s="665"/>
      <c r="O1086" s="665"/>
      <c r="P1086" s="666"/>
      <c r="Q1086" s="667"/>
      <c r="R1086" s="668"/>
      <c r="S1086" s="693"/>
      <c r="T1086" s="694"/>
      <c r="U1086" s="694"/>
      <c r="V1086" s="693"/>
      <c r="W1086" s="693"/>
      <c r="X1086" s="693"/>
      <c r="Y1086" s="671"/>
      <c r="Z1086" s="673"/>
      <c r="AA1086" s="672"/>
      <c r="AB1086" s="695"/>
      <c r="AC1086" s="673"/>
      <c r="AD1086" s="673"/>
      <c r="AE1086" s="673"/>
      <c r="AF1086" s="673"/>
      <c r="AG1086" s="673"/>
      <c r="AH1086" s="673"/>
      <c r="AI1086" s="673"/>
      <c r="AJ1086" s="673"/>
      <c r="AK1086" s="673"/>
      <c r="AL1086" s="673"/>
      <c r="AM1086" s="673"/>
      <c r="AN1086" s="673"/>
      <c r="AO1086" s="673"/>
      <c r="AP1086" s="673"/>
      <c r="AQ1086" s="673"/>
      <c r="AR1086" s="673"/>
      <c r="AS1086" s="673"/>
      <c r="AT1086" s="696"/>
    </row>
    <row r="1087" ht="15.75" customHeight="1">
      <c r="A1087" s="653"/>
      <c r="B1087" s="654"/>
      <c r="C1087" s="691"/>
      <c r="D1087" s="656"/>
      <c r="E1087" s="657"/>
      <c r="F1087" s="658"/>
      <c r="G1087" s="659"/>
      <c r="H1087" s="660"/>
      <c r="I1087" s="659"/>
      <c r="J1087" s="661"/>
      <c r="K1087" s="692"/>
      <c r="L1087" s="645"/>
      <c r="M1087" s="663"/>
      <c r="N1087" s="665"/>
      <c r="O1087" s="665"/>
      <c r="P1087" s="666"/>
      <c r="Q1087" s="667"/>
      <c r="R1087" s="668"/>
      <c r="S1087" s="693"/>
      <c r="T1087" s="694"/>
      <c r="U1087" s="694"/>
      <c r="V1087" s="693"/>
      <c r="W1087" s="693"/>
      <c r="X1087" s="693"/>
      <c r="Y1087" s="671"/>
      <c r="Z1087" s="673"/>
      <c r="AA1087" s="672"/>
      <c r="AB1087" s="695"/>
      <c r="AC1087" s="673"/>
      <c r="AD1087" s="673"/>
      <c r="AE1087" s="673"/>
      <c r="AF1087" s="673"/>
      <c r="AG1087" s="673"/>
      <c r="AH1087" s="673"/>
      <c r="AI1087" s="673"/>
      <c r="AJ1087" s="673"/>
      <c r="AK1087" s="673"/>
      <c r="AL1087" s="673"/>
      <c r="AM1087" s="673"/>
      <c r="AN1087" s="673"/>
      <c r="AO1087" s="673"/>
      <c r="AP1087" s="673"/>
      <c r="AQ1087" s="673"/>
      <c r="AR1087" s="673"/>
      <c r="AS1087" s="673"/>
      <c r="AT1087" s="696"/>
    </row>
    <row r="1088" ht="15.75" customHeight="1">
      <c r="A1088" s="653"/>
      <c r="B1088" s="654"/>
      <c r="C1088" s="691"/>
      <c r="D1088" s="656"/>
      <c r="E1088" s="657"/>
      <c r="F1088" s="658"/>
      <c r="G1088" s="659"/>
      <c r="H1088" s="660"/>
      <c r="I1088" s="659"/>
      <c r="J1088" s="661"/>
      <c r="K1088" s="692"/>
      <c r="L1088" s="645"/>
      <c r="M1088" s="663"/>
      <c r="N1088" s="665"/>
      <c r="O1088" s="665"/>
      <c r="P1088" s="666"/>
      <c r="Q1088" s="667"/>
      <c r="R1088" s="668"/>
      <c r="S1088" s="693"/>
      <c r="T1088" s="694"/>
      <c r="U1088" s="694"/>
      <c r="V1088" s="693"/>
      <c r="W1088" s="693"/>
      <c r="X1088" s="693"/>
      <c r="Y1088" s="671"/>
      <c r="Z1088" s="673"/>
      <c r="AA1088" s="672"/>
      <c r="AB1088" s="695"/>
      <c r="AC1088" s="673"/>
      <c r="AD1088" s="673"/>
      <c r="AE1088" s="673"/>
      <c r="AF1088" s="673"/>
      <c r="AG1088" s="673"/>
      <c r="AH1088" s="673"/>
      <c r="AI1088" s="673"/>
      <c r="AJ1088" s="673"/>
      <c r="AK1088" s="673"/>
      <c r="AL1088" s="673"/>
      <c r="AM1088" s="673"/>
      <c r="AN1088" s="673"/>
      <c r="AO1088" s="673"/>
      <c r="AP1088" s="673"/>
      <c r="AQ1088" s="673"/>
      <c r="AR1088" s="673"/>
      <c r="AS1088" s="673"/>
      <c r="AT1088" s="696"/>
    </row>
    <row r="1089" ht="15.75" customHeight="1">
      <c r="A1089" s="653"/>
      <c r="B1089" s="654"/>
      <c r="C1089" s="691"/>
      <c r="D1089" s="656"/>
      <c r="E1089" s="657"/>
      <c r="F1089" s="658"/>
      <c r="G1089" s="659"/>
      <c r="H1089" s="660"/>
      <c r="I1089" s="659"/>
      <c r="J1089" s="661"/>
      <c r="K1089" s="692"/>
      <c r="L1089" s="645"/>
      <c r="M1089" s="663"/>
      <c r="N1089" s="665"/>
      <c r="O1089" s="665"/>
      <c r="P1089" s="666"/>
      <c r="Q1089" s="667"/>
      <c r="R1089" s="668"/>
      <c r="S1089" s="693"/>
      <c r="T1089" s="694"/>
      <c r="U1089" s="694"/>
      <c r="V1089" s="693"/>
      <c r="W1089" s="693"/>
      <c r="X1089" s="693"/>
      <c r="Y1089" s="671"/>
      <c r="Z1089" s="673"/>
      <c r="AA1089" s="672"/>
      <c r="AB1089" s="695"/>
      <c r="AC1089" s="673"/>
      <c r="AD1089" s="673"/>
      <c r="AE1089" s="673"/>
      <c r="AF1089" s="673"/>
      <c r="AG1089" s="673"/>
      <c r="AH1089" s="673"/>
      <c r="AI1089" s="673"/>
      <c r="AJ1089" s="673"/>
      <c r="AK1089" s="673"/>
      <c r="AL1089" s="673"/>
      <c r="AM1089" s="673"/>
      <c r="AN1089" s="673"/>
      <c r="AO1089" s="673"/>
      <c r="AP1089" s="673"/>
      <c r="AQ1089" s="673"/>
      <c r="AR1089" s="673"/>
      <c r="AS1089" s="673"/>
      <c r="AT1089" s="696"/>
    </row>
    <row r="1090" ht="15.75" customHeight="1">
      <c r="A1090" s="653"/>
      <c r="B1090" s="654"/>
      <c r="C1090" s="691"/>
      <c r="D1090" s="656"/>
      <c r="E1090" s="657"/>
      <c r="F1090" s="658"/>
      <c r="G1090" s="659"/>
      <c r="H1090" s="660"/>
      <c r="I1090" s="659"/>
      <c r="J1090" s="661"/>
      <c r="K1090" s="692"/>
      <c r="L1090" s="645"/>
      <c r="M1090" s="663"/>
      <c r="N1090" s="665"/>
      <c r="O1090" s="665"/>
      <c r="P1090" s="666"/>
      <c r="Q1090" s="667"/>
      <c r="R1090" s="668"/>
      <c r="S1090" s="693"/>
      <c r="T1090" s="694"/>
      <c r="U1090" s="694"/>
      <c r="V1090" s="693"/>
      <c r="W1090" s="693"/>
      <c r="X1090" s="693"/>
      <c r="Y1090" s="671"/>
      <c r="Z1090" s="673"/>
      <c r="AA1090" s="672"/>
      <c r="AB1090" s="695"/>
      <c r="AC1090" s="673"/>
      <c r="AD1090" s="673"/>
      <c r="AE1090" s="673"/>
      <c r="AF1090" s="673"/>
      <c r="AG1090" s="673"/>
      <c r="AH1090" s="673"/>
      <c r="AI1090" s="673"/>
      <c r="AJ1090" s="673"/>
      <c r="AK1090" s="673"/>
      <c r="AL1090" s="673"/>
      <c r="AM1090" s="673"/>
      <c r="AN1090" s="673"/>
      <c r="AO1090" s="673"/>
      <c r="AP1090" s="673"/>
      <c r="AQ1090" s="673"/>
      <c r="AR1090" s="673"/>
      <c r="AS1090" s="673"/>
      <c r="AT1090" s="696"/>
    </row>
    <row r="1091" ht="15.75" customHeight="1">
      <c r="A1091" s="653"/>
      <c r="B1091" s="654"/>
      <c r="C1091" s="691"/>
      <c r="D1091" s="656"/>
      <c r="E1091" s="657"/>
      <c r="F1091" s="658"/>
      <c r="G1091" s="659"/>
      <c r="H1091" s="660"/>
      <c r="I1091" s="659"/>
      <c r="J1091" s="661"/>
      <c r="K1091" s="692"/>
      <c r="L1091" s="645"/>
      <c r="M1091" s="663"/>
      <c r="N1091" s="665"/>
      <c r="O1091" s="665"/>
      <c r="P1091" s="666"/>
      <c r="Q1091" s="667"/>
      <c r="R1091" s="668"/>
      <c r="S1091" s="693"/>
      <c r="T1091" s="694"/>
      <c r="U1091" s="694"/>
      <c r="V1091" s="693"/>
      <c r="W1091" s="693"/>
      <c r="X1091" s="693"/>
      <c r="Y1091" s="671"/>
      <c r="Z1091" s="673"/>
      <c r="AA1091" s="672"/>
      <c r="AB1091" s="695"/>
      <c r="AC1091" s="673"/>
      <c r="AD1091" s="673"/>
      <c r="AE1091" s="673"/>
      <c r="AF1091" s="673"/>
      <c r="AG1091" s="673"/>
      <c r="AH1091" s="673"/>
      <c r="AI1091" s="673"/>
      <c r="AJ1091" s="673"/>
      <c r="AK1091" s="673"/>
      <c r="AL1091" s="673"/>
      <c r="AM1091" s="673"/>
      <c r="AN1091" s="673"/>
      <c r="AO1091" s="673"/>
      <c r="AP1091" s="673"/>
      <c r="AQ1091" s="673"/>
      <c r="AR1091" s="673"/>
      <c r="AS1091" s="673"/>
      <c r="AT1091" s="696"/>
    </row>
    <row r="1092" ht="15.75" customHeight="1">
      <c r="A1092" s="653"/>
      <c r="B1092" s="654"/>
      <c r="C1092" s="691"/>
      <c r="D1092" s="656"/>
      <c r="E1092" s="657"/>
      <c r="F1092" s="658"/>
      <c r="G1092" s="659"/>
      <c r="H1092" s="660"/>
      <c r="I1092" s="659"/>
      <c r="J1092" s="661"/>
      <c r="K1092" s="692"/>
      <c r="L1092" s="645"/>
      <c r="M1092" s="663"/>
      <c r="N1092" s="665"/>
      <c r="O1092" s="665"/>
      <c r="P1092" s="666"/>
      <c r="Q1092" s="667"/>
      <c r="R1092" s="668"/>
      <c r="S1092" s="693"/>
      <c r="T1092" s="694"/>
      <c r="U1092" s="694"/>
      <c r="V1092" s="693"/>
      <c r="W1092" s="693"/>
      <c r="X1092" s="693"/>
      <c r="Y1092" s="671"/>
      <c r="Z1092" s="673"/>
      <c r="AA1092" s="672"/>
      <c r="AB1092" s="695"/>
      <c r="AC1092" s="673"/>
      <c r="AD1092" s="673"/>
      <c r="AE1092" s="673"/>
      <c r="AF1092" s="673"/>
      <c r="AG1092" s="673"/>
      <c r="AH1092" s="673"/>
      <c r="AI1092" s="673"/>
      <c r="AJ1092" s="673"/>
      <c r="AK1092" s="673"/>
      <c r="AL1092" s="673"/>
      <c r="AM1092" s="673"/>
      <c r="AN1092" s="673"/>
      <c r="AO1092" s="673"/>
      <c r="AP1092" s="673"/>
      <c r="AQ1092" s="673"/>
      <c r="AR1092" s="673"/>
      <c r="AS1092" s="673"/>
      <c r="AT1092" s="696"/>
    </row>
    <row r="1093" ht="15.75" customHeight="1">
      <c r="A1093" s="653"/>
      <c r="B1093" s="654"/>
      <c r="C1093" s="691"/>
      <c r="D1093" s="656"/>
      <c r="E1093" s="657"/>
      <c r="F1093" s="658"/>
      <c r="G1093" s="659"/>
      <c r="H1093" s="660"/>
      <c r="I1093" s="659"/>
      <c r="J1093" s="661"/>
      <c r="K1093" s="692"/>
      <c r="L1093" s="645"/>
      <c r="M1093" s="663"/>
      <c r="N1093" s="665"/>
      <c r="O1093" s="665"/>
      <c r="P1093" s="666"/>
      <c r="Q1093" s="667"/>
      <c r="R1093" s="668"/>
      <c r="S1093" s="693"/>
      <c r="T1093" s="694"/>
      <c r="U1093" s="694"/>
      <c r="V1093" s="693"/>
      <c r="W1093" s="693"/>
      <c r="X1093" s="693"/>
      <c r="Y1093" s="671"/>
      <c r="Z1093" s="673"/>
      <c r="AA1093" s="672"/>
      <c r="AB1093" s="695"/>
      <c r="AC1093" s="673"/>
      <c r="AD1093" s="673"/>
      <c r="AE1093" s="673"/>
      <c r="AF1093" s="673"/>
      <c r="AG1093" s="673"/>
      <c r="AH1093" s="673"/>
      <c r="AI1093" s="673"/>
      <c r="AJ1093" s="673"/>
      <c r="AK1093" s="673"/>
      <c r="AL1093" s="673"/>
      <c r="AM1093" s="673"/>
      <c r="AN1093" s="673"/>
      <c r="AO1093" s="673"/>
      <c r="AP1093" s="673"/>
      <c r="AQ1093" s="673"/>
      <c r="AR1093" s="673"/>
      <c r="AS1093" s="673"/>
      <c r="AT1093" s="696"/>
    </row>
    <row r="1094" ht="15.75" customHeight="1">
      <c r="A1094" s="653"/>
      <c r="B1094" s="654"/>
      <c r="C1094" s="691"/>
      <c r="D1094" s="656"/>
      <c r="E1094" s="657"/>
      <c r="F1094" s="658"/>
      <c r="G1094" s="659"/>
      <c r="H1094" s="660"/>
      <c r="I1094" s="659"/>
      <c r="J1094" s="661"/>
      <c r="K1094" s="692"/>
      <c r="L1094" s="645"/>
      <c r="M1094" s="663"/>
      <c r="N1094" s="665"/>
      <c r="O1094" s="665"/>
      <c r="P1094" s="666"/>
      <c r="Q1094" s="667"/>
      <c r="R1094" s="668"/>
      <c r="S1094" s="693"/>
      <c r="T1094" s="694"/>
      <c r="U1094" s="694"/>
      <c r="V1094" s="693"/>
      <c r="W1094" s="693"/>
      <c r="X1094" s="693"/>
      <c r="Y1094" s="671"/>
      <c r="Z1094" s="673"/>
      <c r="AA1094" s="672"/>
      <c r="AB1094" s="695"/>
      <c r="AC1094" s="673"/>
      <c r="AD1094" s="673"/>
      <c r="AE1094" s="673"/>
      <c r="AF1094" s="673"/>
      <c r="AG1094" s="673"/>
      <c r="AH1094" s="673"/>
      <c r="AI1094" s="673"/>
      <c r="AJ1094" s="673"/>
      <c r="AK1094" s="673"/>
      <c r="AL1094" s="673"/>
      <c r="AM1094" s="673"/>
      <c r="AN1094" s="673"/>
      <c r="AO1094" s="673"/>
      <c r="AP1094" s="673"/>
      <c r="AQ1094" s="673"/>
      <c r="AR1094" s="673"/>
      <c r="AS1094" s="673"/>
      <c r="AT1094" s="696"/>
    </row>
    <row r="1095" ht="15.75" customHeight="1">
      <c r="A1095" s="653"/>
      <c r="B1095" s="654"/>
      <c r="C1095" s="691"/>
      <c r="D1095" s="656"/>
      <c r="E1095" s="657"/>
      <c r="F1095" s="658"/>
      <c r="G1095" s="659"/>
      <c r="H1095" s="660"/>
      <c r="I1095" s="659"/>
      <c r="J1095" s="661"/>
      <c r="K1095" s="692"/>
      <c r="L1095" s="645"/>
      <c r="M1095" s="663"/>
      <c r="N1095" s="665"/>
      <c r="O1095" s="665"/>
      <c r="P1095" s="666"/>
      <c r="Q1095" s="667"/>
      <c r="R1095" s="668"/>
      <c r="S1095" s="693"/>
      <c r="T1095" s="694"/>
      <c r="U1095" s="694"/>
      <c r="V1095" s="693"/>
      <c r="W1095" s="693"/>
      <c r="X1095" s="693"/>
      <c r="Y1095" s="671"/>
      <c r="Z1095" s="673"/>
      <c r="AA1095" s="672"/>
      <c r="AB1095" s="695"/>
      <c r="AC1095" s="673"/>
      <c r="AD1095" s="673"/>
      <c r="AE1095" s="673"/>
      <c r="AF1095" s="673"/>
      <c r="AG1095" s="673"/>
      <c r="AH1095" s="673"/>
      <c r="AI1095" s="673"/>
      <c r="AJ1095" s="673"/>
      <c r="AK1095" s="673"/>
      <c r="AL1095" s="673"/>
      <c r="AM1095" s="673"/>
      <c r="AN1095" s="673"/>
      <c r="AO1095" s="673"/>
      <c r="AP1095" s="673"/>
      <c r="AQ1095" s="673"/>
      <c r="AR1095" s="673"/>
      <c r="AS1095" s="673"/>
      <c r="AT1095" s="696"/>
    </row>
    <row r="1096" ht="15.75" customHeight="1">
      <c r="A1096" s="653"/>
      <c r="B1096" s="654"/>
      <c r="C1096" s="691"/>
      <c r="D1096" s="656"/>
      <c r="E1096" s="657"/>
      <c r="F1096" s="658"/>
      <c r="G1096" s="659"/>
      <c r="H1096" s="660"/>
      <c r="I1096" s="659"/>
      <c r="J1096" s="661"/>
      <c r="K1096" s="692"/>
      <c r="L1096" s="645"/>
      <c r="M1096" s="663"/>
      <c r="N1096" s="665"/>
      <c r="O1096" s="665"/>
      <c r="P1096" s="666"/>
      <c r="Q1096" s="667"/>
      <c r="R1096" s="668"/>
      <c r="S1096" s="693"/>
      <c r="T1096" s="694"/>
      <c r="U1096" s="694"/>
      <c r="V1096" s="693"/>
      <c r="W1096" s="693"/>
      <c r="X1096" s="693"/>
      <c r="Y1096" s="671"/>
      <c r="Z1096" s="673"/>
      <c r="AA1096" s="672"/>
      <c r="AB1096" s="695"/>
      <c r="AC1096" s="673"/>
      <c r="AD1096" s="673"/>
      <c r="AE1096" s="673"/>
      <c r="AF1096" s="673"/>
      <c r="AG1096" s="673"/>
      <c r="AH1096" s="673"/>
      <c r="AI1096" s="673"/>
      <c r="AJ1096" s="673"/>
      <c r="AK1096" s="673"/>
      <c r="AL1096" s="673"/>
      <c r="AM1096" s="673"/>
      <c r="AN1096" s="673"/>
      <c r="AO1096" s="673"/>
      <c r="AP1096" s="673"/>
      <c r="AQ1096" s="673"/>
      <c r="AR1096" s="673"/>
      <c r="AS1096" s="673"/>
      <c r="AT1096" s="696"/>
    </row>
    <row r="1097" ht="15.75" customHeight="1">
      <c r="A1097" s="653"/>
      <c r="B1097" s="654"/>
      <c r="C1097" s="691"/>
      <c r="D1097" s="656"/>
      <c r="E1097" s="657"/>
      <c r="F1097" s="658"/>
      <c r="G1097" s="659"/>
      <c r="H1097" s="660"/>
      <c r="I1097" s="659"/>
      <c r="J1097" s="661"/>
      <c r="K1097" s="692"/>
      <c r="L1097" s="645"/>
      <c r="M1097" s="663"/>
      <c r="N1097" s="665"/>
      <c r="O1097" s="665"/>
      <c r="P1097" s="666"/>
      <c r="Q1097" s="667"/>
      <c r="R1097" s="668"/>
      <c r="S1097" s="693"/>
      <c r="T1097" s="694"/>
      <c r="U1097" s="694"/>
      <c r="V1097" s="693"/>
      <c r="W1097" s="693"/>
      <c r="X1097" s="693"/>
      <c r="Y1097" s="671"/>
      <c r="Z1097" s="673"/>
      <c r="AA1097" s="672"/>
      <c r="AB1097" s="695"/>
      <c r="AC1097" s="673"/>
      <c r="AD1097" s="673"/>
      <c r="AE1097" s="673"/>
      <c r="AF1097" s="673"/>
      <c r="AG1097" s="673"/>
      <c r="AH1097" s="673"/>
      <c r="AI1097" s="673"/>
      <c r="AJ1097" s="673"/>
      <c r="AK1097" s="673"/>
      <c r="AL1097" s="673"/>
      <c r="AM1097" s="673"/>
      <c r="AN1097" s="673"/>
      <c r="AO1097" s="673"/>
      <c r="AP1097" s="673"/>
      <c r="AQ1097" s="673"/>
      <c r="AR1097" s="673"/>
      <c r="AS1097" s="673"/>
      <c r="AT1097" s="696"/>
    </row>
    <row r="1098" ht="15.75" customHeight="1">
      <c r="A1098" s="653"/>
      <c r="B1098" s="654"/>
      <c r="C1098" s="691"/>
      <c r="D1098" s="656"/>
      <c r="E1098" s="657"/>
      <c r="F1098" s="658"/>
      <c r="G1098" s="659"/>
      <c r="H1098" s="660"/>
      <c r="I1098" s="659"/>
      <c r="J1098" s="661"/>
      <c r="K1098" s="692"/>
      <c r="L1098" s="645"/>
      <c r="M1098" s="663"/>
      <c r="N1098" s="665"/>
      <c r="O1098" s="665"/>
      <c r="P1098" s="666"/>
      <c r="Q1098" s="667"/>
      <c r="R1098" s="668"/>
      <c r="S1098" s="693"/>
      <c r="T1098" s="694"/>
      <c r="U1098" s="694"/>
      <c r="V1098" s="693"/>
      <c r="W1098" s="693"/>
      <c r="X1098" s="693"/>
      <c r="Y1098" s="671"/>
      <c r="Z1098" s="673"/>
      <c r="AA1098" s="672"/>
      <c r="AB1098" s="695"/>
      <c r="AC1098" s="673"/>
      <c r="AD1098" s="673"/>
      <c r="AE1098" s="673"/>
      <c r="AF1098" s="673"/>
      <c r="AG1098" s="673"/>
      <c r="AH1098" s="673"/>
      <c r="AI1098" s="673"/>
      <c r="AJ1098" s="673"/>
      <c r="AK1098" s="673"/>
      <c r="AL1098" s="673"/>
      <c r="AM1098" s="673"/>
      <c r="AN1098" s="673"/>
      <c r="AO1098" s="673"/>
      <c r="AP1098" s="673"/>
      <c r="AQ1098" s="673"/>
      <c r="AR1098" s="673"/>
      <c r="AS1098" s="673"/>
      <c r="AT1098" s="696"/>
    </row>
    <row r="1099" ht="15.75" customHeight="1">
      <c r="A1099" s="653"/>
      <c r="B1099" s="654"/>
      <c r="C1099" s="691"/>
      <c r="D1099" s="656"/>
      <c r="E1099" s="657"/>
      <c r="F1099" s="658"/>
      <c r="G1099" s="659"/>
      <c r="H1099" s="660"/>
      <c r="I1099" s="659"/>
      <c r="J1099" s="661"/>
      <c r="K1099" s="692"/>
      <c r="L1099" s="645"/>
      <c r="M1099" s="663"/>
      <c r="N1099" s="665"/>
      <c r="O1099" s="665"/>
      <c r="P1099" s="666"/>
      <c r="Q1099" s="667"/>
      <c r="R1099" s="668"/>
      <c r="S1099" s="693"/>
      <c r="T1099" s="694"/>
      <c r="U1099" s="694"/>
      <c r="V1099" s="693"/>
      <c r="W1099" s="693"/>
      <c r="X1099" s="693"/>
      <c r="Y1099" s="671"/>
      <c r="Z1099" s="673"/>
      <c r="AA1099" s="672"/>
      <c r="AB1099" s="695"/>
      <c r="AC1099" s="673"/>
      <c r="AD1099" s="673"/>
      <c r="AE1099" s="673"/>
      <c r="AF1099" s="673"/>
      <c r="AG1099" s="673"/>
      <c r="AH1099" s="673"/>
      <c r="AI1099" s="673"/>
      <c r="AJ1099" s="673"/>
      <c r="AK1099" s="673"/>
      <c r="AL1099" s="673"/>
      <c r="AM1099" s="673"/>
      <c r="AN1099" s="673"/>
      <c r="AO1099" s="673"/>
      <c r="AP1099" s="673"/>
      <c r="AQ1099" s="673"/>
      <c r="AR1099" s="673"/>
      <c r="AS1099" s="673"/>
      <c r="AT1099" s="696"/>
    </row>
    <row r="1100" ht="15.75" customHeight="1">
      <c r="A1100" s="653"/>
      <c r="B1100" s="654"/>
      <c r="C1100" s="691"/>
      <c r="D1100" s="656"/>
      <c r="E1100" s="657"/>
      <c r="F1100" s="658"/>
      <c r="G1100" s="659"/>
      <c r="H1100" s="660"/>
      <c r="I1100" s="659"/>
      <c r="J1100" s="661"/>
      <c r="K1100" s="692"/>
      <c r="L1100" s="645"/>
      <c r="M1100" s="663"/>
      <c r="N1100" s="665"/>
      <c r="O1100" s="665"/>
      <c r="P1100" s="666"/>
      <c r="Q1100" s="667"/>
      <c r="R1100" s="668"/>
      <c r="S1100" s="693"/>
      <c r="T1100" s="694"/>
      <c r="U1100" s="694"/>
      <c r="V1100" s="693"/>
      <c r="W1100" s="693"/>
      <c r="X1100" s="693"/>
      <c r="Y1100" s="671"/>
      <c r="Z1100" s="673"/>
      <c r="AA1100" s="672"/>
      <c r="AB1100" s="695"/>
      <c r="AC1100" s="673"/>
      <c r="AD1100" s="673"/>
      <c r="AE1100" s="673"/>
      <c r="AF1100" s="673"/>
      <c r="AG1100" s="673"/>
      <c r="AH1100" s="673"/>
      <c r="AI1100" s="673"/>
      <c r="AJ1100" s="673"/>
      <c r="AK1100" s="673"/>
      <c r="AL1100" s="673"/>
      <c r="AM1100" s="673"/>
      <c r="AN1100" s="673"/>
      <c r="AO1100" s="673"/>
      <c r="AP1100" s="673"/>
      <c r="AQ1100" s="673"/>
      <c r="AR1100" s="673"/>
      <c r="AS1100" s="673"/>
      <c r="AT1100" s="696"/>
    </row>
    <row r="1101" ht="15.75" customHeight="1">
      <c r="A1101" s="653"/>
      <c r="B1101" s="654"/>
      <c r="C1101" s="691"/>
      <c r="D1101" s="656"/>
      <c r="E1101" s="657"/>
      <c r="F1101" s="658"/>
      <c r="G1101" s="659"/>
      <c r="H1101" s="660"/>
      <c r="I1101" s="659"/>
      <c r="J1101" s="661"/>
      <c r="K1101" s="692"/>
      <c r="L1101" s="645"/>
      <c r="M1101" s="663"/>
      <c r="N1101" s="665"/>
      <c r="O1101" s="665"/>
      <c r="P1101" s="666"/>
      <c r="Q1101" s="667"/>
      <c r="R1101" s="668"/>
      <c r="S1101" s="693"/>
      <c r="T1101" s="694"/>
      <c r="U1101" s="694"/>
      <c r="V1101" s="693"/>
      <c r="W1101" s="693"/>
      <c r="X1101" s="693"/>
      <c r="Y1101" s="671"/>
      <c r="Z1101" s="673"/>
      <c r="AA1101" s="672"/>
      <c r="AB1101" s="695"/>
      <c r="AC1101" s="673"/>
      <c r="AD1101" s="673"/>
      <c r="AE1101" s="673"/>
      <c r="AF1101" s="673"/>
      <c r="AG1101" s="673"/>
      <c r="AH1101" s="673"/>
      <c r="AI1101" s="673"/>
      <c r="AJ1101" s="673"/>
      <c r="AK1101" s="673"/>
      <c r="AL1101" s="673"/>
      <c r="AM1101" s="673"/>
      <c r="AN1101" s="673"/>
      <c r="AO1101" s="673"/>
      <c r="AP1101" s="673"/>
      <c r="AQ1101" s="673"/>
      <c r="AR1101" s="673"/>
      <c r="AS1101" s="673"/>
      <c r="AT1101" s="696"/>
    </row>
    <row r="1102" ht="15.75" customHeight="1">
      <c r="A1102" s="653"/>
      <c r="B1102" s="654"/>
      <c r="C1102" s="691"/>
      <c r="D1102" s="656"/>
      <c r="E1102" s="657"/>
      <c r="F1102" s="658"/>
      <c r="G1102" s="659"/>
      <c r="H1102" s="660"/>
      <c r="I1102" s="659"/>
      <c r="J1102" s="661"/>
      <c r="K1102" s="692"/>
      <c r="L1102" s="645"/>
      <c r="M1102" s="663"/>
      <c r="N1102" s="665"/>
      <c r="O1102" s="665"/>
      <c r="P1102" s="666"/>
      <c r="Q1102" s="667"/>
      <c r="R1102" s="668"/>
      <c r="S1102" s="693"/>
      <c r="T1102" s="694"/>
      <c r="U1102" s="694"/>
      <c r="V1102" s="693"/>
      <c r="W1102" s="693"/>
      <c r="X1102" s="693"/>
      <c r="Y1102" s="671"/>
      <c r="Z1102" s="673"/>
      <c r="AA1102" s="672"/>
      <c r="AB1102" s="695"/>
      <c r="AC1102" s="673"/>
      <c r="AD1102" s="673"/>
      <c r="AE1102" s="673"/>
      <c r="AF1102" s="673"/>
      <c r="AG1102" s="673"/>
      <c r="AH1102" s="673"/>
      <c r="AI1102" s="673"/>
      <c r="AJ1102" s="673"/>
      <c r="AK1102" s="673"/>
      <c r="AL1102" s="673"/>
      <c r="AM1102" s="673"/>
      <c r="AN1102" s="673"/>
      <c r="AO1102" s="673"/>
      <c r="AP1102" s="673"/>
      <c r="AQ1102" s="673"/>
      <c r="AR1102" s="673"/>
      <c r="AS1102" s="673"/>
      <c r="AT1102" s="696"/>
    </row>
    <row r="1103" ht="15.75" customHeight="1">
      <c r="A1103" s="653"/>
      <c r="B1103" s="654"/>
      <c r="C1103" s="691"/>
      <c r="D1103" s="656"/>
      <c r="E1103" s="657"/>
      <c r="F1103" s="658"/>
      <c r="G1103" s="659"/>
      <c r="H1103" s="660"/>
      <c r="I1103" s="659"/>
      <c r="J1103" s="661"/>
      <c r="K1103" s="692"/>
      <c r="L1103" s="645"/>
      <c r="M1103" s="663"/>
      <c r="N1103" s="665"/>
      <c r="O1103" s="665"/>
      <c r="P1103" s="666"/>
      <c r="Q1103" s="667"/>
      <c r="R1103" s="668"/>
      <c r="S1103" s="693"/>
      <c r="T1103" s="694"/>
      <c r="U1103" s="694"/>
      <c r="V1103" s="693"/>
      <c r="W1103" s="693"/>
      <c r="X1103" s="693"/>
      <c r="Y1103" s="671"/>
      <c r="Z1103" s="673"/>
      <c r="AA1103" s="672"/>
      <c r="AB1103" s="695"/>
      <c r="AC1103" s="673"/>
      <c r="AD1103" s="673"/>
      <c r="AE1103" s="673"/>
      <c r="AF1103" s="673"/>
      <c r="AG1103" s="673"/>
      <c r="AH1103" s="673"/>
      <c r="AI1103" s="673"/>
      <c r="AJ1103" s="673"/>
      <c r="AK1103" s="673"/>
      <c r="AL1103" s="673"/>
      <c r="AM1103" s="673"/>
      <c r="AN1103" s="673"/>
      <c r="AO1103" s="673"/>
      <c r="AP1103" s="673"/>
      <c r="AQ1103" s="673"/>
      <c r="AR1103" s="673"/>
      <c r="AS1103" s="673"/>
      <c r="AT1103" s="696"/>
    </row>
    <row r="1104" ht="15.75" customHeight="1">
      <c r="A1104" s="653"/>
      <c r="B1104" s="654"/>
      <c r="C1104" s="691"/>
      <c r="D1104" s="656"/>
      <c r="E1104" s="657"/>
      <c r="F1104" s="658"/>
      <c r="G1104" s="659"/>
      <c r="H1104" s="660"/>
      <c r="I1104" s="659"/>
      <c r="J1104" s="661"/>
      <c r="K1104" s="692"/>
      <c r="L1104" s="645"/>
      <c r="M1104" s="663"/>
      <c r="N1104" s="665"/>
      <c r="O1104" s="665"/>
      <c r="P1104" s="666"/>
      <c r="Q1104" s="667"/>
      <c r="R1104" s="668"/>
      <c r="S1104" s="693"/>
      <c r="T1104" s="694"/>
      <c r="U1104" s="694"/>
      <c r="V1104" s="693"/>
      <c r="W1104" s="693"/>
      <c r="X1104" s="693"/>
      <c r="Y1104" s="671"/>
      <c r="Z1104" s="673"/>
      <c r="AA1104" s="672"/>
      <c r="AB1104" s="695"/>
      <c r="AC1104" s="673"/>
      <c r="AD1104" s="673"/>
      <c r="AE1104" s="673"/>
      <c r="AF1104" s="673"/>
      <c r="AG1104" s="673"/>
      <c r="AH1104" s="673"/>
      <c r="AI1104" s="673"/>
      <c r="AJ1104" s="673"/>
      <c r="AK1104" s="673"/>
      <c r="AL1104" s="673"/>
      <c r="AM1104" s="673"/>
      <c r="AN1104" s="673"/>
      <c r="AO1104" s="673"/>
      <c r="AP1104" s="673"/>
      <c r="AQ1104" s="673"/>
      <c r="AR1104" s="673"/>
      <c r="AS1104" s="673"/>
      <c r="AT1104" s="696"/>
    </row>
    <row r="1105" ht="15.75" customHeight="1">
      <c r="A1105" s="653"/>
      <c r="B1105" s="654"/>
      <c r="C1105" s="691"/>
      <c r="D1105" s="656"/>
      <c r="E1105" s="657"/>
      <c r="F1105" s="658"/>
      <c r="G1105" s="659"/>
      <c r="H1105" s="660"/>
      <c r="I1105" s="659"/>
      <c r="J1105" s="661"/>
      <c r="K1105" s="692"/>
      <c r="L1105" s="645"/>
      <c r="M1105" s="663"/>
      <c r="N1105" s="665"/>
      <c r="O1105" s="665"/>
      <c r="P1105" s="666"/>
      <c r="Q1105" s="667"/>
      <c r="R1105" s="668"/>
      <c r="S1105" s="693"/>
      <c r="T1105" s="694"/>
      <c r="U1105" s="694"/>
      <c r="V1105" s="693"/>
      <c r="W1105" s="693"/>
      <c r="X1105" s="693"/>
      <c r="Y1105" s="671"/>
      <c r="Z1105" s="673"/>
      <c r="AA1105" s="672"/>
      <c r="AB1105" s="695"/>
      <c r="AC1105" s="673"/>
      <c r="AD1105" s="673"/>
      <c r="AE1105" s="673"/>
      <c r="AF1105" s="673"/>
      <c r="AG1105" s="673"/>
      <c r="AH1105" s="673"/>
      <c r="AI1105" s="673"/>
      <c r="AJ1105" s="673"/>
      <c r="AK1105" s="673"/>
      <c r="AL1105" s="673"/>
      <c r="AM1105" s="673"/>
      <c r="AN1105" s="673"/>
      <c r="AO1105" s="673"/>
      <c r="AP1105" s="673"/>
      <c r="AQ1105" s="673"/>
      <c r="AR1105" s="673"/>
      <c r="AS1105" s="673"/>
      <c r="AT1105" s="696"/>
    </row>
    <row r="1106" ht="15.75" customHeight="1">
      <c r="A1106" s="653"/>
      <c r="B1106" s="654"/>
      <c r="C1106" s="691"/>
      <c r="D1106" s="656"/>
      <c r="E1106" s="657"/>
      <c r="F1106" s="658"/>
      <c r="G1106" s="659"/>
      <c r="H1106" s="660"/>
      <c r="I1106" s="659"/>
      <c r="J1106" s="661"/>
      <c r="K1106" s="692"/>
      <c r="L1106" s="645"/>
      <c r="M1106" s="663"/>
      <c r="N1106" s="665"/>
      <c r="O1106" s="665"/>
      <c r="P1106" s="666"/>
      <c r="Q1106" s="667"/>
      <c r="R1106" s="668"/>
      <c r="S1106" s="693"/>
      <c r="T1106" s="694"/>
      <c r="U1106" s="694"/>
      <c r="V1106" s="693"/>
      <c r="W1106" s="693"/>
      <c r="X1106" s="693"/>
      <c r="Y1106" s="671"/>
      <c r="Z1106" s="673"/>
      <c r="AA1106" s="672"/>
      <c r="AB1106" s="695"/>
      <c r="AC1106" s="673"/>
      <c r="AD1106" s="673"/>
      <c r="AE1106" s="673"/>
      <c r="AF1106" s="673"/>
      <c r="AG1106" s="673"/>
      <c r="AH1106" s="673"/>
      <c r="AI1106" s="673"/>
      <c r="AJ1106" s="673"/>
      <c r="AK1106" s="673"/>
      <c r="AL1106" s="673"/>
      <c r="AM1106" s="673"/>
      <c r="AN1106" s="673"/>
      <c r="AO1106" s="673"/>
      <c r="AP1106" s="673"/>
      <c r="AQ1106" s="673"/>
      <c r="AR1106" s="673"/>
      <c r="AS1106" s="673"/>
      <c r="AT1106" s="696"/>
    </row>
    <row r="1107" ht="15.75" customHeight="1">
      <c r="A1107" s="653"/>
      <c r="B1107" s="654"/>
      <c r="C1107" s="691"/>
      <c r="D1107" s="656"/>
      <c r="E1107" s="657"/>
      <c r="F1107" s="658"/>
      <c r="G1107" s="659"/>
      <c r="H1107" s="660"/>
      <c r="I1107" s="659"/>
      <c r="J1107" s="661"/>
      <c r="K1107" s="692"/>
      <c r="L1107" s="645"/>
      <c r="M1107" s="663"/>
      <c r="N1107" s="665"/>
      <c r="O1107" s="665"/>
      <c r="P1107" s="666"/>
      <c r="Q1107" s="667"/>
      <c r="R1107" s="668"/>
      <c r="S1107" s="693"/>
      <c r="T1107" s="694"/>
      <c r="U1107" s="694"/>
      <c r="V1107" s="693"/>
      <c r="W1107" s="693"/>
      <c r="X1107" s="693"/>
      <c r="Y1107" s="671"/>
      <c r="Z1107" s="673"/>
      <c r="AA1107" s="672"/>
      <c r="AB1107" s="695"/>
      <c r="AC1107" s="673"/>
      <c r="AD1107" s="673"/>
      <c r="AE1107" s="673"/>
      <c r="AF1107" s="673"/>
      <c r="AG1107" s="673"/>
      <c r="AH1107" s="673"/>
      <c r="AI1107" s="673"/>
      <c r="AJ1107" s="673"/>
      <c r="AK1107" s="673"/>
      <c r="AL1107" s="673"/>
      <c r="AM1107" s="673"/>
      <c r="AN1107" s="673"/>
      <c r="AO1107" s="673"/>
      <c r="AP1107" s="673"/>
      <c r="AQ1107" s="673"/>
      <c r="AR1107" s="673"/>
      <c r="AS1107" s="673"/>
      <c r="AT1107" s="696"/>
    </row>
    <row r="1108" ht="15.75" customHeight="1">
      <c r="A1108" s="653"/>
      <c r="B1108" s="654"/>
      <c r="C1108" s="691"/>
      <c r="D1108" s="656"/>
      <c r="E1108" s="657"/>
      <c r="F1108" s="658"/>
      <c r="G1108" s="659"/>
      <c r="H1108" s="660"/>
      <c r="I1108" s="659"/>
      <c r="J1108" s="661"/>
      <c r="K1108" s="692"/>
      <c r="L1108" s="645"/>
      <c r="M1108" s="663"/>
      <c r="N1108" s="665"/>
      <c r="O1108" s="665"/>
      <c r="P1108" s="666"/>
      <c r="Q1108" s="667"/>
      <c r="R1108" s="668"/>
      <c r="S1108" s="693"/>
      <c r="T1108" s="694"/>
      <c r="U1108" s="694"/>
      <c r="V1108" s="693"/>
      <c r="W1108" s="693"/>
      <c r="X1108" s="693"/>
      <c r="Y1108" s="671"/>
      <c r="Z1108" s="673"/>
      <c r="AA1108" s="672"/>
      <c r="AB1108" s="695"/>
      <c r="AC1108" s="673"/>
      <c r="AD1108" s="673"/>
      <c r="AE1108" s="673"/>
      <c r="AF1108" s="673"/>
      <c r="AG1108" s="673"/>
      <c r="AH1108" s="673"/>
      <c r="AI1108" s="673"/>
      <c r="AJ1108" s="673"/>
      <c r="AK1108" s="673"/>
      <c r="AL1108" s="673"/>
      <c r="AM1108" s="673"/>
      <c r="AN1108" s="673"/>
      <c r="AO1108" s="673"/>
      <c r="AP1108" s="673"/>
      <c r="AQ1108" s="673"/>
      <c r="AR1108" s="673"/>
      <c r="AS1108" s="673"/>
      <c r="AT1108" s="696"/>
    </row>
    <row r="1109" ht="15.75" customHeight="1">
      <c r="A1109" s="653"/>
      <c r="B1109" s="654"/>
      <c r="C1109" s="691"/>
      <c r="D1109" s="656"/>
      <c r="E1109" s="657"/>
      <c r="F1109" s="658"/>
      <c r="G1109" s="659"/>
      <c r="H1109" s="660"/>
      <c r="I1109" s="659"/>
      <c r="J1109" s="661"/>
      <c r="K1109" s="692"/>
      <c r="L1109" s="645"/>
      <c r="M1109" s="663"/>
      <c r="N1109" s="665"/>
      <c r="O1109" s="665"/>
      <c r="P1109" s="666"/>
      <c r="Q1109" s="667"/>
      <c r="R1109" s="668"/>
      <c r="S1109" s="693"/>
      <c r="T1109" s="694"/>
      <c r="U1109" s="694"/>
      <c r="V1109" s="693"/>
      <c r="W1109" s="693"/>
      <c r="X1109" s="693"/>
      <c r="Y1109" s="671"/>
      <c r="Z1109" s="673"/>
      <c r="AA1109" s="672"/>
      <c r="AB1109" s="695"/>
      <c r="AC1109" s="673"/>
      <c r="AD1109" s="673"/>
      <c r="AE1109" s="673"/>
      <c r="AF1109" s="673"/>
      <c r="AG1109" s="673"/>
      <c r="AH1109" s="673"/>
      <c r="AI1109" s="673"/>
      <c r="AJ1109" s="673"/>
      <c r="AK1109" s="673"/>
      <c r="AL1109" s="673"/>
      <c r="AM1109" s="673"/>
      <c r="AN1109" s="673"/>
      <c r="AO1109" s="673"/>
      <c r="AP1109" s="673"/>
      <c r="AQ1109" s="673"/>
      <c r="AR1109" s="673"/>
      <c r="AS1109" s="673"/>
      <c r="AT1109" s="696"/>
    </row>
    <row r="1110" ht="15.75" customHeight="1">
      <c r="A1110" s="653"/>
      <c r="B1110" s="654"/>
      <c r="C1110" s="691"/>
      <c r="D1110" s="656"/>
      <c r="E1110" s="657"/>
      <c r="F1110" s="658"/>
      <c r="G1110" s="659"/>
      <c r="H1110" s="660"/>
      <c r="I1110" s="659"/>
      <c r="J1110" s="661"/>
      <c r="K1110" s="692"/>
      <c r="L1110" s="645"/>
      <c r="M1110" s="663"/>
      <c r="N1110" s="665"/>
      <c r="O1110" s="665"/>
      <c r="P1110" s="666"/>
      <c r="Q1110" s="667"/>
      <c r="R1110" s="668"/>
      <c r="S1110" s="693"/>
      <c r="T1110" s="694"/>
      <c r="U1110" s="694"/>
      <c r="V1110" s="693"/>
      <c r="W1110" s="693"/>
      <c r="X1110" s="693"/>
      <c r="Y1110" s="671"/>
      <c r="Z1110" s="673"/>
      <c r="AA1110" s="672"/>
      <c r="AB1110" s="695"/>
      <c r="AC1110" s="673"/>
      <c r="AD1110" s="673"/>
      <c r="AE1110" s="673"/>
      <c r="AF1110" s="673"/>
      <c r="AG1110" s="673"/>
      <c r="AH1110" s="673"/>
      <c r="AI1110" s="673"/>
      <c r="AJ1110" s="673"/>
      <c r="AK1110" s="673"/>
      <c r="AL1110" s="673"/>
      <c r="AM1110" s="673"/>
      <c r="AN1110" s="673"/>
      <c r="AO1110" s="673"/>
      <c r="AP1110" s="673"/>
      <c r="AQ1110" s="673"/>
      <c r="AR1110" s="673"/>
      <c r="AS1110" s="673"/>
      <c r="AT1110" s="696"/>
    </row>
    <row r="1111" ht="15.75" customHeight="1">
      <c r="A1111" s="653"/>
      <c r="B1111" s="654"/>
      <c r="C1111" s="691"/>
      <c r="D1111" s="656"/>
      <c r="E1111" s="657"/>
      <c r="F1111" s="658"/>
      <c r="G1111" s="659"/>
      <c r="H1111" s="660"/>
      <c r="I1111" s="659"/>
      <c r="J1111" s="661"/>
      <c r="K1111" s="692"/>
      <c r="L1111" s="645"/>
      <c r="M1111" s="663"/>
      <c r="N1111" s="665"/>
      <c r="O1111" s="665"/>
      <c r="P1111" s="666"/>
      <c r="Q1111" s="667"/>
      <c r="R1111" s="668"/>
      <c r="S1111" s="693"/>
      <c r="T1111" s="694"/>
      <c r="U1111" s="694"/>
      <c r="V1111" s="693"/>
      <c r="W1111" s="693"/>
      <c r="X1111" s="693"/>
      <c r="Y1111" s="671"/>
      <c r="Z1111" s="673"/>
      <c r="AA1111" s="672"/>
      <c r="AB1111" s="695"/>
      <c r="AC1111" s="673"/>
      <c r="AD1111" s="673"/>
      <c r="AE1111" s="673"/>
      <c r="AF1111" s="673"/>
      <c r="AG1111" s="673"/>
      <c r="AH1111" s="673"/>
      <c r="AI1111" s="673"/>
      <c r="AJ1111" s="673"/>
      <c r="AK1111" s="673"/>
      <c r="AL1111" s="673"/>
      <c r="AM1111" s="673"/>
      <c r="AN1111" s="673"/>
      <c r="AO1111" s="673"/>
      <c r="AP1111" s="673"/>
      <c r="AQ1111" s="673"/>
      <c r="AR1111" s="673"/>
      <c r="AS1111" s="673"/>
      <c r="AT1111" s="696"/>
    </row>
    <row r="1112" ht="15.75" customHeight="1">
      <c r="A1112" s="653"/>
      <c r="B1112" s="654"/>
      <c r="C1112" s="691"/>
      <c r="D1112" s="656"/>
      <c r="E1112" s="657"/>
      <c r="F1112" s="658"/>
      <c r="G1112" s="659"/>
      <c r="H1112" s="660"/>
      <c r="I1112" s="659"/>
      <c r="J1112" s="661"/>
      <c r="K1112" s="692"/>
      <c r="L1112" s="645"/>
      <c r="M1112" s="663"/>
      <c r="N1112" s="665"/>
      <c r="O1112" s="665"/>
      <c r="P1112" s="666"/>
      <c r="Q1112" s="667"/>
      <c r="R1112" s="668"/>
      <c r="S1112" s="693"/>
      <c r="T1112" s="694"/>
      <c r="U1112" s="694"/>
      <c r="V1112" s="693"/>
      <c r="W1112" s="693"/>
      <c r="X1112" s="693"/>
      <c r="Y1112" s="671"/>
      <c r="Z1112" s="673"/>
      <c r="AA1112" s="672"/>
      <c r="AB1112" s="695"/>
      <c r="AC1112" s="673"/>
      <c r="AD1112" s="673"/>
      <c r="AE1112" s="673"/>
      <c r="AF1112" s="673"/>
      <c r="AG1112" s="673"/>
      <c r="AH1112" s="673"/>
      <c r="AI1112" s="673"/>
      <c r="AJ1112" s="673"/>
      <c r="AK1112" s="673"/>
      <c r="AL1112" s="673"/>
      <c r="AM1112" s="673"/>
      <c r="AN1112" s="673"/>
      <c r="AO1112" s="673"/>
      <c r="AP1112" s="673"/>
      <c r="AQ1112" s="673"/>
      <c r="AR1112" s="673"/>
      <c r="AS1112" s="673"/>
      <c r="AT1112" s="696"/>
    </row>
    <row r="1113" ht="15.75" customHeight="1">
      <c r="A1113" s="653"/>
      <c r="B1113" s="654"/>
      <c r="C1113" s="691"/>
      <c r="D1113" s="656"/>
      <c r="E1113" s="657"/>
      <c r="F1113" s="658"/>
      <c r="G1113" s="659"/>
      <c r="H1113" s="660"/>
      <c r="I1113" s="659"/>
      <c r="J1113" s="661"/>
      <c r="K1113" s="692"/>
      <c r="L1113" s="645"/>
      <c r="M1113" s="663"/>
      <c r="N1113" s="665"/>
      <c r="O1113" s="665"/>
      <c r="P1113" s="666"/>
      <c r="Q1113" s="667"/>
      <c r="R1113" s="668"/>
      <c r="S1113" s="693"/>
      <c r="T1113" s="694"/>
      <c r="U1113" s="694"/>
      <c r="V1113" s="693"/>
      <c r="W1113" s="693"/>
      <c r="X1113" s="693"/>
      <c r="Y1113" s="671"/>
      <c r="Z1113" s="673"/>
      <c r="AA1113" s="672"/>
      <c r="AB1113" s="695"/>
      <c r="AC1113" s="673"/>
      <c r="AD1113" s="673"/>
      <c r="AE1113" s="673"/>
      <c r="AF1113" s="673"/>
      <c r="AG1113" s="673"/>
      <c r="AH1113" s="673"/>
      <c r="AI1113" s="673"/>
      <c r="AJ1113" s="673"/>
      <c r="AK1113" s="673"/>
      <c r="AL1113" s="673"/>
      <c r="AM1113" s="673"/>
      <c r="AN1113" s="673"/>
      <c r="AO1113" s="673"/>
      <c r="AP1113" s="673"/>
      <c r="AQ1113" s="673"/>
      <c r="AR1113" s="673"/>
      <c r="AS1113" s="673"/>
      <c r="AT1113" s="696"/>
    </row>
    <row r="1114" ht="15.75" customHeight="1">
      <c r="A1114" s="653"/>
      <c r="B1114" s="654"/>
      <c r="C1114" s="691"/>
      <c r="D1114" s="656"/>
      <c r="E1114" s="657"/>
      <c r="F1114" s="658"/>
      <c r="G1114" s="659"/>
      <c r="H1114" s="660"/>
      <c r="I1114" s="659"/>
      <c r="J1114" s="661"/>
      <c r="K1114" s="692"/>
      <c r="L1114" s="645"/>
      <c r="M1114" s="663"/>
      <c r="N1114" s="665"/>
      <c r="O1114" s="665"/>
      <c r="P1114" s="666"/>
      <c r="Q1114" s="667"/>
      <c r="R1114" s="668"/>
      <c r="S1114" s="693"/>
      <c r="T1114" s="694"/>
      <c r="U1114" s="694"/>
      <c r="V1114" s="693"/>
      <c r="W1114" s="693"/>
      <c r="X1114" s="693"/>
      <c r="Y1114" s="671"/>
      <c r="Z1114" s="673"/>
      <c r="AA1114" s="672"/>
      <c r="AB1114" s="695"/>
      <c r="AC1114" s="673"/>
      <c r="AD1114" s="673"/>
      <c r="AE1114" s="673"/>
      <c r="AF1114" s="673"/>
      <c r="AG1114" s="673"/>
      <c r="AH1114" s="673"/>
      <c r="AI1114" s="673"/>
      <c r="AJ1114" s="673"/>
      <c r="AK1114" s="673"/>
      <c r="AL1114" s="673"/>
      <c r="AM1114" s="673"/>
      <c r="AN1114" s="673"/>
      <c r="AO1114" s="673"/>
      <c r="AP1114" s="673"/>
      <c r="AQ1114" s="673"/>
      <c r="AR1114" s="673"/>
      <c r="AS1114" s="673"/>
      <c r="AT1114" s="696"/>
    </row>
    <row r="1115" ht="15.75" customHeight="1">
      <c r="A1115" s="653"/>
      <c r="B1115" s="654"/>
      <c r="C1115" s="691"/>
      <c r="D1115" s="656"/>
      <c r="E1115" s="657"/>
      <c r="F1115" s="658"/>
      <c r="G1115" s="659"/>
      <c r="H1115" s="660"/>
      <c r="I1115" s="659"/>
      <c r="J1115" s="661"/>
      <c r="K1115" s="692"/>
      <c r="L1115" s="645"/>
      <c r="M1115" s="663"/>
      <c r="N1115" s="665"/>
      <c r="O1115" s="665"/>
      <c r="P1115" s="666"/>
      <c r="Q1115" s="667"/>
      <c r="R1115" s="668"/>
      <c r="S1115" s="693"/>
      <c r="T1115" s="694"/>
      <c r="U1115" s="694"/>
      <c r="V1115" s="693"/>
      <c r="W1115" s="693"/>
      <c r="X1115" s="693"/>
      <c r="Y1115" s="671"/>
      <c r="Z1115" s="673"/>
      <c r="AA1115" s="672"/>
      <c r="AB1115" s="695"/>
      <c r="AC1115" s="673"/>
      <c r="AD1115" s="673"/>
      <c r="AE1115" s="673"/>
      <c r="AF1115" s="673"/>
      <c r="AG1115" s="673"/>
      <c r="AH1115" s="673"/>
      <c r="AI1115" s="673"/>
      <c r="AJ1115" s="673"/>
      <c r="AK1115" s="673"/>
      <c r="AL1115" s="673"/>
      <c r="AM1115" s="673"/>
      <c r="AN1115" s="673"/>
      <c r="AO1115" s="673"/>
      <c r="AP1115" s="673"/>
      <c r="AQ1115" s="673"/>
      <c r="AR1115" s="673"/>
      <c r="AS1115" s="673"/>
      <c r="AT1115" s="696"/>
    </row>
    <row r="1116" ht="15.75" customHeight="1">
      <c r="A1116" s="653"/>
      <c r="B1116" s="654"/>
      <c r="C1116" s="691"/>
      <c r="D1116" s="656"/>
      <c r="E1116" s="657"/>
      <c r="F1116" s="658"/>
      <c r="G1116" s="659"/>
      <c r="H1116" s="660"/>
      <c r="I1116" s="659"/>
      <c r="J1116" s="661"/>
      <c r="K1116" s="692"/>
      <c r="L1116" s="645"/>
      <c r="M1116" s="663"/>
      <c r="N1116" s="665"/>
      <c r="O1116" s="665"/>
      <c r="P1116" s="666"/>
      <c r="Q1116" s="667"/>
      <c r="R1116" s="668"/>
      <c r="S1116" s="693"/>
      <c r="T1116" s="694"/>
      <c r="U1116" s="694"/>
      <c r="V1116" s="693"/>
      <c r="W1116" s="693"/>
      <c r="X1116" s="693"/>
      <c r="Y1116" s="671"/>
      <c r="Z1116" s="673"/>
      <c r="AA1116" s="672"/>
      <c r="AB1116" s="695"/>
      <c r="AC1116" s="673"/>
      <c r="AD1116" s="673"/>
      <c r="AE1116" s="673"/>
      <c r="AF1116" s="673"/>
      <c r="AG1116" s="673"/>
      <c r="AH1116" s="673"/>
      <c r="AI1116" s="673"/>
      <c r="AJ1116" s="673"/>
      <c r="AK1116" s="673"/>
      <c r="AL1116" s="673"/>
      <c r="AM1116" s="673"/>
      <c r="AN1116" s="673"/>
      <c r="AO1116" s="673"/>
      <c r="AP1116" s="673"/>
      <c r="AQ1116" s="673"/>
      <c r="AR1116" s="673"/>
      <c r="AS1116" s="673"/>
      <c r="AT1116" s="696"/>
    </row>
    <row r="1117" ht="15.75" customHeight="1">
      <c r="A1117" s="653"/>
      <c r="B1117" s="654"/>
      <c r="C1117" s="691"/>
      <c r="D1117" s="656"/>
      <c r="E1117" s="657"/>
      <c r="F1117" s="658"/>
      <c r="G1117" s="659"/>
      <c r="H1117" s="660"/>
      <c r="I1117" s="659"/>
      <c r="J1117" s="661"/>
      <c r="K1117" s="692"/>
      <c r="L1117" s="645"/>
      <c r="M1117" s="663"/>
      <c r="N1117" s="665"/>
      <c r="O1117" s="665"/>
      <c r="P1117" s="666"/>
      <c r="Q1117" s="667"/>
      <c r="R1117" s="668"/>
      <c r="S1117" s="693"/>
      <c r="T1117" s="694"/>
      <c r="U1117" s="694"/>
      <c r="V1117" s="693"/>
      <c r="W1117" s="693"/>
      <c r="X1117" s="693"/>
      <c r="Y1117" s="671"/>
      <c r="Z1117" s="673"/>
      <c r="AA1117" s="672"/>
      <c r="AB1117" s="695"/>
      <c r="AC1117" s="673"/>
      <c r="AD1117" s="673"/>
      <c r="AE1117" s="673"/>
      <c r="AF1117" s="673"/>
      <c r="AG1117" s="673"/>
      <c r="AH1117" s="673"/>
      <c r="AI1117" s="673"/>
      <c r="AJ1117" s="673"/>
      <c r="AK1117" s="673"/>
      <c r="AL1117" s="673"/>
      <c r="AM1117" s="673"/>
      <c r="AN1117" s="673"/>
      <c r="AO1117" s="673"/>
      <c r="AP1117" s="673"/>
      <c r="AQ1117" s="673"/>
      <c r="AR1117" s="673"/>
      <c r="AS1117" s="673"/>
      <c r="AT1117" s="696"/>
    </row>
    <row r="1118" ht="15.75" customHeight="1">
      <c r="A1118" s="653"/>
      <c r="B1118" s="654"/>
      <c r="C1118" s="691"/>
      <c r="D1118" s="656"/>
      <c r="E1118" s="657"/>
      <c r="F1118" s="658"/>
      <c r="G1118" s="659"/>
      <c r="H1118" s="660"/>
      <c r="I1118" s="659"/>
      <c r="J1118" s="661"/>
      <c r="K1118" s="692"/>
      <c r="L1118" s="645"/>
      <c r="M1118" s="663"/>
      <c r="N1118" s="665"/>
      <c r="O1118" s="665"/>
      <c r="P1118" s="666"/>
      <c r="Q1118" s="667"/>
      <c r="R1118" s="668"/>
      <c r="S1118" s="693"/>
      <c r="T1118" s="694"/>
      <c r="U1118" s="694"/>
      <c r="V1118" s="693"/>
      <c r="W1118" s="693"/>
      <c r="X1118" s="693"/>
      <c r="Y1118" s="671"/>
      <c r="Z1118" s="673"/>
      <c r="AA1118" s="672"/>
      <c r="AB1118" s="695"/>
      <c r="AC1118" s="673"/>
      <c r="AD1118" s="673"/>
      <c r="AE1118" s="673"/>
      <c r="AF1118" s="673"/>
      <c r="AG1118" s="673"/>
      <c r="AH1118" s="673"/>
      <c r="AI1118" s="673"/>
      <c r="AJ1118" s="673"/>
      <c r="AK1118" s="673"/>
      <c r="AL1118" s="673"/>
      <c r="AM1118" s="673"/>
      <c r="AN1118" s="673"/>
      <c r="AO1118" s="673"/>
      <c r="AP1118" s="673"/>
      <c r="AQ1118" s="673"/>
      <c r="AR1118" s="673"/>
      <c r="AS1118" s="673"/>
      <c r="AT1118" s="696"/>
    </row>
    <row r="1119" ht="15.75" customHeight="1">
      <c r="A1119" s="653"/>
      <c r="B1119" s="654"/>
      <c r="C1119" s="691"/>
      <c r="D1119" s="656"/>
      <c r="E1119" s="657"/>
      <c r="F1119" s="658"/>
      <c r="G1119" s="659"/>
      <c r="H1119" s="660"/>
      <c r="I1119" s="659"/>
      <c r="J1119" s="661"/>
      <c r="K1119" s="692"/>
      <c r="L1119" s="645"/>
      <c r="M1119" s="663"/>
      <c r="N1119" s="665"/>
      <c r="O1119" s="665"/>
      <c r="P1119" s="666"/>
      <c r="Q1119" s="667"/>
      <c r="R1119" s="668"/>
      <c r="S1119" s="693"/>
      <c r="T1119" s="694"/>
      <c r="U1119" s="694"/>
      <c r="V1119" s="693"/>
      <c r="W1119" s="693"/>
      <c r="X1119" s="693"/>
      <c r="Y1119" s="671"/>
      <c r="Z1119" s="673"/>
      <c r="AA1119" s="672"/>
      <c r="AB1119" s="695"/>
      <c r="AC1119" s="673"/>
      <c r="AD1119" s="673"/>
      <c r="AE1119" s="673"/>
      <c r="AF1119" s="673"/>
      <c r="AG1119" s="673"/>
      <c r="AH1119" s="673"/>
      <c r="AI1119" s="673"/>
      <c r="AJ1119" s="673"/>
      <c r="AK1119" s="673"/>
      <c r="AL1119" s="673"/>
      <c r="AM1119" s="673"/>
      <c r="AN1119" s="673"/>
      <c r="AO1119" s="673"/>
      <c r="AP1119" s="673"/>
      <c r="AQ1119" s="673"/>
      <c r="AR1119" s="673"/>
      <c r="AS1119" s="673"/>
      <c r="AT1119" s="696"/>
    </row>
    <row r="1120" ht="15.75" customHeight="1">
      <c r="A1120" s="653"/>
      <c r="B1120" s="654"/>
      <c r="C1120" s="691"/>
      <c r="D1120" s="656"/>
      <c r="E1120" s="657"/>
      <c r="F1120" s="658"/>
      <c r="G1120" s="659"/>
      <c r="H1120" s="660"/>
      <c r="I1120" s="659"/>
      <c r="J1120" s="661"/>
      <c r="K1120" s="692"/>
      <c r="L1120" s="645"/>
      <c r="M1120" s="663"/>
      <c r="N1120" s="665"/>
      <c r="O1120" s="665"/>
      <c r="P1120" s="666"/>
      <c r="Q1120" s="667"/>
      <c r="R1120" s="668"/>
      <c r="S1120" s="693"/>
      <c r="T1120" s="694"/>
      <c r="U1120" s="694"/>
      <c r="V1120" s="693"/>
      <c r="W1120" s="693"/>
      <c r="X1120" s="693"/>
      <c r="Y1120" s="671"/>
      <c r="Z1120" s="673"/>
      <c r="AA1120" s="672"/>
      <c r="AB1120" s="695"/>
      <c r="AC1120" s="673"/>
      <c r="AD1120" s="673"/>
      <c r="AE1120" s="673"/>
      <c r="AF1120" s="673"/>
      <c r="AG1120" s="673"/>
      <c r="AH1120" s="673"/>
      <c r="AI1120" s="673"/>
      <c r="AJ1120" s="673"/>
      <c r="AK1120" s="673"/>
      <c r="AL1120" s="673"/>
      <c r="AM1120" s="673"/>
      <c r="AN1120" s="673"/>
      <c r="AO1120" s="673"/>
      <c r="AP1120" s="673"/>
      <c r="AQ1120" s="673"/>
      <c r="AR1120" s="673"/>
      <c r="AS1120" s="673"/>
      <c r="AT1120" s="696"/>
    </row>
    <row r="1121" ht="15.75" customHeight="1">
      <c r="A1121" s="653"/>
      <c r="B1121" s="654"/>
      <c r="C1121" s="691"/>
      <c r="D1121" s="656"/>
      <c r="E1121" s="657"/>
      <c r="F1121" s="658"/>
      <c r="G1121" s="659"/>
      <c r="H1121" s="660"/>
      <c r="I1121" s="659"/>
      <c r="J1121" s="661"/>
      <c r="K1121" s="692"/>
      <c r="L1121" s="645"/>
      <c r="M1121" s="663"/>
      <c r="N1121" s="665"/>
      <c r="O1121" s="665"/>
      <c r="P1121" s="666"/>
      <c r="Q1121" s="667"/>
      <c r="R1121" s="668"/>
      <c r="S1121" s="693"/>
      <c r="T1121" s="694"/>
      <c r="U1121" s="694"/>
      <c r="V1121" s="693"/>
      <c r="W1121" s="693"/>
      <c r="X1121" s="693"/>
      <c r="Y1121" s="671"/>
      <c r="Z1121" s="673"/>
      <c r="AA1121" s="672"/>
      <c r="AB1121" s="695"/>
      <c r="AC1121" s="673"/>
      <c r="AD1121" s="673"/>
      <c r="AE1121" s="673"/>
      <c r="AF1121" s="673"/>
      <c r="AG1121" s="673"/>
      <c r="AH1121" s="673"/>
      <c r="AI1121" s="673"/>
      <c r="AJ1121" s="673"/>
      <c r="AK1121" s="673"/>
      <c r="AL1121" s="673"/>
      <c r="AM1121" s="673"/>
      <c r="AN1121" s="673"/>
      <c r="AO1121" s="673"/>
      <c r="AP1121" s="673"/>
      <c r="AQ1121" s="673"/>
      <c r="AR1121" s="673"/>
      <c r="AS1121" s="673"/>
      <c r="AT1121" s="696"/>
    </row>
    <row r="1122" ht="15.75" customHeight="1">
      <c r="A1122" s="653"/>
      <c r="B1122" s="654"/>
      <c r="C1122" s="691"/>
      <c r="D1122" s="656"/>
      <c r="E1122" s="657"/>
      <c r="F1122" s="658"/>
      <c r="G1122" s="659"/>
      <c r="H1122" s="660"/>
      <c r="I1122" s="659"/>
      <c r="J1122" s="661"/>
      <c r="K1122" s="692"/>
      <c r="L1122" s="645"/>
      <c r="M1122" s="663"/>
      <c r="N1122" s="665"/>
      <c r="O1122" s="665"/>
      <c r="P1122" s="666"/>
      <c r="Q1122" s="667"/>
      <c r="R1122" s="668"/>
      <c r="S1122" s="693"/>
      <c r="T1122" s="694"/>
      <c r="U1122" s="694"/>
      <c r="V1122" s="693"/>
      <c r="W1122" s="693"/>
      <c r="X1122" s="693"/>
      <c r="Y1122" s="671"/>
      <c r="Z1122" s="673"/>
      <c r="AA1122" s="672"/>
      <c r="AB1122" s="695"/>
      <c r="AC1122" s="673"/>
      <c r="AD1122" s="673"/>
      <c r="AE1122" s="673"/>
      <c r="AF1122" s="673"/>
      <c r="AG1122" s="673"/>
      <c r="AH1122" s="673"/>
      <c r="AI1122" s="673"/>
      <c r="AJ1122" s="673"/>
      <c r="AK1122" s="673"/>
      <c r="AL1122" s="673"/>
      <c r="AM1122" s="673"/>
      <c r="AN1122" s="673"/>
      <c r="AO1122" s="673"/>
      <c r="AP1122" s="673"/>
      <c r="AQ1122" s="673"/>
      <c r="AR1122" s="673"/>
      <c r="AS1122" s="673"/>
      <c r="AT1122" s="696"/>
    </row>
    <row r="1123" ht="15.75" customHeight="1">
      <c r="A1123" s="653"/>
      <c r="B1123" s="654"/>
      <c r="C1123" s="691"/>
      <c r="D1123" s="656"/>
      <c r="E1123" s="657"/>
      <c r="F1123" s="658"/>
      <c r="G1123" s="659"/>
      <c r="H1123" s="660"/>
      <c r="I1123" s="659"/>
      <c r="J1123" s="661"/>
      <c r="K1123" s="692"/>
      <c r="L1123" s="645"/>
      <c r="M1123" s="663"/>
      <c r="N1123" s="665"/>
      <c r="O1123" s="665"/>
      <c r="P1123" s="666"/>
      <c r="Q1123" s="667"/>
      <c r="R1123" s="668"/>
      <c r="S1123" s="693"/>
      <c r="T1123" s="694"/>
      <c r="U1123" s="694"/>
      <c r="V1123" s="693"/>
      <c r="W1123" s="693"/>
      <c r="X1123" s="693"/>
      <c r="Y1123" s="671"/>
      <c r="Z1123" s="673"/>
      <c r="AA1123" s="672"/>
      <c r="AB1123" s="695"/>
      <c r="AC1123" s="673"/>
      <c r="AD1123" s="673"/>
      <c r="AE1123" s="673"/>
      <c r="AF1123" s="673"/>
      <c r="AG1123" s="673"/>
      <c r="AH1123" s="673"/>
      <c r="AI1123" s="673"/>
      <c r="AJ1123" s="673"/>
      <c r="AK1123" s="673"/>
      <c r="AL1123" s="673"/>
      <c r="AM1123" s="673"/>
      <c r="AN1123" s="673"/>
      <c r="AO1123" s="673"/>
      <c r="AP1123" s="673"/>
      <c r="AQ1123" s="673"/>
      <c r="AR1123" s="673"/>
      <c r="AS1123" s="673"/>
      <c r="AT1123" s="696"/>
    </row>
    <row r="1124" ht="15.75" customHeight="1">
      <c r="A1124" s="653"/>
      <c r="B1124" s="654"/>
      <c r="C1124" s="691"/>
      <c r="D1124" s="656"/>
      <c r="E1124" s="657"/>
      <c r="F1124" s="658"/>
      <c r="G1124" s="659"/>
      <c r="H1124" s="660"/>
      <c r="I1124" s="659"/>
      <c r="J1124" s="661"/>
      <c r="K1124" s="692"/>
      <c r="L1124" s="645"/>
      <c r="M1124" s="663"/>
      <c r="N1124" s="665"/>
      <c r="O1124" s="665"/>
      <c r="P1124" s="666"/>
      <c r="Q1124" s="667"/>
      <c r="R1124" s="668"/>
      <c r="S1124" s="693"/>
      <c r="T1124" s="694"/>
      <c r="U1124" s="694"/>
      <c r="V1124" s="693"/>
      <c r="W1124" s="693"/>
      <c r="X1124" s="693"/>
      <c r="Y1124" s="671"/>
      <c r="Z1124" s="673"/>
      <c r="AA1124" s="672"/>
      <c r="AB1124" s="695"/>
      <c r="AC1124" s="673"/>
      <c r="AD1124" s="673"/>
      <c r="AE1124" s="673"/>
      <c r="AF1124" s="673"/>
      <c r="AG1124" s="673"/>
      <c r="AH1124" s="673"/>
      <c r="AI1124" s="673"/>
      <c r="AJ1124" s="673"/>
      <c r="AK1124" s="673"/>
      <c r="AL1124" s="673"/>
      <c r="AM1124" s="673"/>
      <c r="AN1124" s="673"/>
      <c r="AO1124" s="673"/>
      <c r="AP1124" s="673"/>
      <c r="AQ1124" s="673"/>
      <c r="AR1124" s="673"/>
      <c r="AS1124" s="673"/>
      <c r="AT1124" s="696"/>
    </row>
    <row r="1125" ht="15.75" customHeight="1">
      <c r="A1125" s="653"/>
      <c r="B1125" s="654"/>
      <c r="C1125" s="691"/>
      <c r="D1125" s="656"/>
      <c r="E1125" s="657"/>
      <c r="F1125" s="658"/>
      <c r="G1125" s="659"/>
      <c r="H1125" s="660"/>
      <c r="I1125" s="659"/>
      <c r="J1125" s="661"/>
      <c r="K1125" s="692"/>
      <c r="L1125" s="645"/>
      <c r="M1125" s="663"/>
      <c r="N1125" s="665"/>
      <c r="O1125" s="665"/>
      <c r="P1125" s="666"/>
      <c r="Q1125" s="667"/>
      <c r="R1125" s="668"/>
      <c r="S1125" s="693"/>
      <c r="T1125" s="694"/>
      <c r="U1125" s="694"/>
      <c r="V1125" s="693"/>
      <c r="W1125" s="693"/>
      <c r="X1125" s="693"/>
      <c r="Y1125" s="671"/>
      <c r="Z1125" s="673"/>
      <c r="AA1125" s="672"/>
      <c r="AB1125" s="695"/>
      <c r="AC1125" s="673"/>
      <c r="AD1125" s="673"/>
      <c r="AE1125" s="673"/>
      <c r="AF1125" s="673"/>
      <c r="AG1125" s="673"/>
      <c r="AH1125" s="673"/>
      <c r="AI1125" s="673"/>
      <c r="AJ1125" s="673"/>
      <c r="AK1125" s="673"/>
      <c r="AL1125" s="673"/>
      <c r="AM1125" s="673"/>
      <c r="AN1125" s="673"/>
      <c r="AO1125" s="673"/>
      <c r="AP1125" s="673"/>
      <c r="AQ1125" s="673"/>
      <c r="AR1125" s="673"/>
      <c r="AS1125" s="673"/>
      <c r="AT1125" s="696"/>
    </row>
    <row r="1126" ht="15.75" customHeight="1">
      <c r="A1126" s="653"/>
      <c r="B1126" s="654"/>
      <c r="C1126" s="691"/>
      <c r="D1126" s="656"/>
      <c r="E1126" s="657"/>
      <c r="F1126" s="658"/>
      <c r="G1126" s="659"/>
      <c r="H1126" s="660"/>
      <c r="I1126" s="659"/>
      <c r="J1126" s="661"/>
      <c r="K1126" s="692"/>
      <c r="L1126" s="645"/>
      <c r="M1126" s="663"/>
      <c r="N1126" s="665"/>
      <c r="O1126" s="665"/>
      <c r="P1126" s="666"/>
      <c r="Q1126" s="667"/>
      <c r="R1126" s="668"/>
      <c r="S1126" s="693"/>
      <c r="T1126" s="694"/>
      <c r="U1126" s="694"/>
      <c r="V1126" s="693"/>
      <c r="W1126" s="693"/>
      <c r="X1126" s="693"/>
      <c r="Y1126" s="671"/>
      <c r="Z1126" s="673"/>
      <c r="AA1126" s="672"/>
      <c r="AB1126" s="695"/>
      <c r="AC1126" s="673"/>
      <c r="AD1126" s="673"/>
      <c r="AE1126" s="673"/>
      <c r="AF1126" s="673"/>
      <c r="AG1126" s="673"/>
      <c r="AH1126" s="673"/>
      <c r="AI1126" s="673"/>
      <c r="AJ1126" s="673"/>
      <c r="AK1126" s="673"/>
      <c r="AL1126" s="673"/>
      <c r="AM1126" s="673"/>
      <c r="AN1126" s="673"/>
      <c r="AO1126" s="673"/>
      <c r="AP1126" s="673"/>
      <c r="AQ1126" s="673"/>
      <c r="AR1126" s="673"/>
      <c r="AS1126" s="673"/>
      <c r="AT1126" s="696"/>
    </row>
    <row r="1127" ht="15.75" customHeight="1">
      <c r="A1127" s="653"/>
      <c r="B1127" s="654"/>
      <c r="C1127" s="691"/>
      <c r="D1127" s="656"/>
      <c r="E1127" s="657"/>
      <c r="F1127" s="658"/>
      <c r="G1127" s="659"/>
      <c r="H1127" s="660"/>
      <c r="I1127" s="659"/>
      <c r="J1127" s="661"/>
      <c r="K1127" s="692"/>
      <c r="L1127" s="645"/>
      <c r="M1127" s="663"/>
      <c r="N1127" s="665"/>
      <c r="O1127" s="665"/>
      <c r="P1127" s="666"/>
      <c r="Q1127" s="667"/>
      <c r="R1127" s="668"/>
      <c r="S1127" s="693"/>
      <c r="T1127" s="694"/>
      <c r="U1127" s="694"/>
      <c r="V1127" s="693"/>
      <c r="W1127" s="693"/>
      <c r="X1127" s="693"/>
      <c r="Y1127" s="671"/>
      <c r="Z1127" s="673"/>
      <c r="AA1127" s="672"/>
      <c r="AB1127" s="695"/>
      <c r="AC1127" s="673"/>
      <c r="AD1127" s="673"/>
      <c r="AE1127" s="673"/>
      <c r="AF1127" s="673"/>
      <c r="AG1127" s="673"/>
      <c r="AH1127" s="673"/>
      <c r="AI1127" s="673"/>
      <c r="AJ1127" s="673"/>
      <c r="AK1127" s="673"/>
      <c r="AL1127" s="673"/>
      <c r="AM1127" s="673"/>
      <c r="AN1127" s="673"/>
      <c r="AO1127" s="673"/>
      <c r="AP1127" s="673"/>
      <c r="AQ1127" s="673"/>
      <c r="AR1127" s="673"/>
      <c r="AS1127" s="673"/>
      <c r="AT1127" s="696"/>
    </row>
    <row r="1128" ht="15.75" customHeight="1">
      <c r="A1128" s="653"/>
      <c r="B1128" s="654"/>
      <c r="C1128" s="691"/>
      <c r="D1128" s="656"/>
      <c r="E1128" s="657"/>
      <c r="F1128" s="658"/>
      <c r="G1128" s="659"/>
      <c r="H1128" s="660"/>
      <c r="I1128" s="659"/>
      <c r="J1128" s="661"/>
      <c r="K1128" s="692"/>
      <c r="L1128" s="645"/>
      <c r="M1128" s="663"/>
      <c r="N1128" s="665"/>
      <c r="O1128" s="665"/>
      <c r="P1128" s="666"/>
      <c r="Q1128" s="667"/>
      <c r="R1128" s="668"/>
      <c r="S1128" s="693"/>
      <c r="T1128" s="694"/>
      <c r="U1128" s="694"/>
      <c r="V1128" s="693"/>
      <c r="W1128" s="693"/>
      <c r="X1128" s="693"/>
      <c r="Y1128" s="671"/>
      <c r="Z1128" s="673"/>
      <c r="AA1128" s="672"/>
      <c r="AB1128" s="695"/>
      <c r="AC1128" s="673"/>
      <c r="AD1128" s="673"/>
      <c r="AE1128" s="673"/>
      <c r="AF1128" s="673"/>
      <c r="AG1128" s="673"/>
      <c r="AH1128" s="673"/>
      <c r="AI1128" s="673"/>
      <c r="AJ1128" s="673"/>
      <c r="AK1128" s="673"/>
      <c r="AL1128" s="673"/>
      <c r="AM1128" s="673"/>
      <c r="AN1128" s="673"/>
      <c r="AO1128" s="673"/>
      <c r="AP1128" s="673"/>
      <c r="AQ1128" s="673"/>
      <c r="AR1128" s="673"/>
      <c r="AS1128" s="673"/>
      <c r="AT1128" s="696"/>
    </row>
    <row r="1129" ht="15.75" customHeight="1">
      <c r="A1129" s="653"/>
      <c r="B1129" s="654"/>
      <c r="C1129" s="691"/>
      <c r="D1129" s="656"/>
      <c r="E1129" s="657"/>
      <c r="F1129" s="658"/>
      <c r="G1129" s="659"/>
      <c r="H1129" s="660"/>
      <c r="I1129" s="659"/>
      <c r="J1129" s="661"/>
      <c r="K1129" s="692"/>
      <c r="L1129" s="645"/>
      <c r="M1129" s="663"/>
      <c r="N1129" s="665"/>
      <c r="O1129" s="665"/>
      <c r="P1129" s="666"/>
      <c r="Q1129" s="667"/>
      <c r="R1129" s="668"/>
      <c r="S1129" s="693"/>
      <c r="T1129" s="694"/>
      <c r="U1129" s="694"/>
      <c r="V1129" s="693"/>
      <c r="W1129" s="693"/>
      <c r="X1129" s="693"/>
      <c r="Y1129" s="671"/>
      <c r="Z1129" s="673"/>
      <c r="AA1129" s="672"/>
      <c r="AB1129" s="695"/>
      <c r="AC1129" s="673"/>
      <c r="AD1129" s="673"/>
      <c r="AE1129" s="673"/>
      <c r="AF1129" s="673"/>
      <c r="AG1129" s="673"/>
      <c r="AH1129" s="673"/>
      <c r="AI1129" s="673"/>
      <c r="AJ1129" s="673"/>
      <c r="AK1129" s="673"/>
      <c r="AL1129" s="673"/>
      <c r="AM1129" s="673"/>
      <c r="AN1129" s="673"/>
      <c r="AO1129" s="673"/>
      <c r="AP1129" s="673"/>
      <c r="AQ1129" s="673"/>
      <c r="AR1129" s="673"/>
      <c r="AS1129" s="673"/>
      <c r="AT1129" s="696"/>
    </row>
    <row r="1130" ht="15.75" customHeight="1">
      <c r="A1130" s="653"/>
      <c r="B1130" s="654"/>
      <c r="C1130" s="691"/>
      <c r="D1130" s="656"/>
      <c r="E1130" s="657"/>
      <c r="F1130" s="658"/>
      <c r="G1130" s="659"/>
      <c r="H1130" s="660"/>
      <c r="I1130" s="659"/>
      <c r="J1130" s="661"/>
      <c r="K1130" s="692"/>
      <c r="L1130" s="645"/>
      <c r="M1130" s="663"/>
      <c r="N1130" s="665"/>
      <c r="O1130" s="665"/>
      <c r="P1130" s="666"/>
      <c r="Q1130" s="667"/>
      <c r="R1130" s="668"/>
      <c r="S1130" s="693"/>
      <c r="T1130" s="694"/>
      <c r="U1130" s="694"/>
      <c r="V1130" s="693"/>
      <c r="W1130" s="693"/>
      <c r="X1130" s="693"/>
      <c r="Y1130" s="671"/>
      <c r="Z1130" s="673"/>
      <c r="AA1130" s="672"/>
      <c r="AB1130" s="695"/>
      <c r="AC1130" s="673"/>
      <c r="AD1130" s="673"/>
      <c r="AE1130" s="673"/>
      <c r="AF1130" s="673"/>
      <c r="AG1130" s="673"/>
      <c r="AH1130" s="673"/>
      <c r="AI1130" s="673"/>
      <c r="AJ1130" s="673"/>
      <c r="AK1130" s="673"/>
      <c r="AL1130" s="673"/>
      <c r="AM1130" s="673"/>
      <c r="AN1130" s="673"/>
      <c r="AO1130" s="673"/>
      <c r="AP1130" s="673"/>
      <c r="AQ1130" s="673"/>
      <c r="AR1130" s="673"/>
      <c r="AS1130" s="673"/>
      <c r="AT1130" s="696"/>
    </row>
    <row r="1131" ht="15.75" customHeight="1">
      <c r="A1131" s="653"/>
      <c r="B1131" s="654"/>
      <c r="C1131" s="691"/>
      <c r="D1131" s="656"/>
      <c r="E1131" s="657"/>
      <c r="F1131" s="658"/>
      <c r="G1131" s="659"/>
      <c r="H1131" s="660"/>
      <c r="I1131" s="659"/>
      <c r="J1131" s="661"/>
      <c r="K1131" s="692"/>
      <c r="L1131" s="645"/>
      <c r="M1131" s="663"/>
      <c r="N1131" s="665"/>
      <c r="O1131" s="665"/>
      <c r="P1131" s="666"/>
      <c r="Q1131" s="667"/>
      <c r="R1131" s="668"/>
      <c r="S1131" s="693"/>
      <c r="T1131" s="694"/>
      <c r="U1131" s="694"/>
      <c r="V1131" s="693"/>
      <c r="W1131" s="693"/>
      <c r="X1131" s="693"/>
      <c r="Y1131" s="671"/>
      <c r="Z1131" s="673"/>
      <c r="AA1131" s="672"/>
      <c r="AB1131" s="695"/>
      <c r="AC1131" s="673"/>
      <c r="AD1131" s="673"/>
      <c r="AE1131" s="673"/>
      <c r="AF1131" s="673"/>
      <c r="AG1131" s="673"/>
      <c r="AH1131" s="673"/>
      <c r="AI1131" s="673"/>
      <c r="AJ1131" s="673"/>
      <c r="AK1131" s="673"/>
      <c r="AL1131" s="673"/>
      <c r="AM1131" s="673"/>
      <c r="AN1131" s="673"/>
      <c r="AO1131" s="673"/>
      <c r="AP1131" s="673"/>
      <c r="AQ1131" s="673"/>
      <c r="AR1131" s="673"/>
      <c r="AS1131" s="673"/>
      <c r="AT1131" s="696"/>
    </row>
    <row r="1132" ht="15.75" customHeight="1">
      <c r="A1132" s="653"/>
      <c r="B1132" s="654"/>
      <c r="C1132" s="691"/>
      <c r="D1132" s="656"/>
      <c r="E1132" s="657"/>
      <c r="F1132" s="658"/>
      <c r="G1132" s="659"/>
      <c r="H1132" s="660"/>
      <c r="I1132" s="659"/>
      <c r="J1132" s="661"/>
      <c r="K1132" s="692"/>
      <c r="L1132" s="645"/>
      <c r="M1132" s="663"/>
      <c r="N1132" s="665"/>
      <c r="O1132" s="665"/>
      <c r="P1132" s="666"/>
      <c r="Q1132" s="667"/>
      <c r="R1132" s="668"/>
      <c r="S1132" s="693"/>
      <c r="T1132" s="694"/>
      <c r="U1132" s="694"/>
      <c r="V1132" s="693"/>
      <c r="W1132" s="693"/>
      <c r="X1132" s="693"/>
      <c r="Y1132" s="671"/>
      <c r="Z1132" s="673"/>
      <c r="AA1132" s="672"/>
      <c r="AB1132" s="695"/>
      <c r="AC1132" s="673"/>
      <c r="AD1132" s="673"/>
      <c r="AE1132" s="673"/>
      <c r="AF1132" s="673"/>
      <c r="AG1132" s="673"/>
      <c r="AH1132" s="673"/>
      <c r="AI1132" s="673"/>
      <c r="AJ1132" s="673"/>
      <c r="AK1132" s="673"/>
      <c r="AL1132" s="673"/>
      <c r="AM1132" s="673"/>
      <c r="AN1132" s="673"/>
      <c r="AO1132" s="673"/>
      <c r="AP1132" s="673"/>
      <c r="AQ1132" s="673"/>
      <c r="AR1132" s="673"/>
      <c r="AS1132" s="673"/>
      <c r="AT1132" s="696"/>
    </row>
    <row r="1133" ht="15.75" customHeight="1">
      <c r="A1133" s="653"/>
      <c r="B1133" s="654"/>
      <c r="C1133" s="691"/>
      <c r="D1133" s="656"/>
      <c r="E1133" s="657"/>
      <c r="F1133" s="658"/>
      <c r="G1133" s="659"/>
      <c r="H1133" s="660"/>
      <c r="I1133" s="659"/>
      <c r="J1133" s="661"/>
      <c r="K1133" s="692"/>
      <c r="L1133" s="645"/>
      <c r="M1133" s="663"/>
      <c r="N1133" s="665"/>
      <c r="O1133" s="665"/>
      <c r="P1133" s="666"/>
      <c r="Q1133" s="667"/>
      <c r="R1133" s="668"/>
      <c r="S1133" s="693"/>
      <c r="T1133" s="694"/>
      <c r="U1133" s="694"/>
      <c r="V1133" s="693"/>
      <c r="W1133" s="693"/>
      <c r="X1133" s="693"/>
      <c r="Y1133" s="671"/>
      <c r="Z1133" s="673"/>
      <c r="AA1133" s="672"/>
      <c r="AB1133" s="695"/>
      <c r="AC1133" s="673"/>
      <c r="AD1133" s="673"/>
      <c r="AE1133" s="673"/>
      <c r="AF1133" s="673"/>
      <c r="AG1133" s="673"/>
      <c r="AH1133" s="673"/>
      <c r="AI1133" s="673"/>
      <c r="AJ1133" s="673"/>
      <c r="AK1133" s="673"/>
      <c r="AL1133" s="673"/>
      <c r="AM1133" s="673"/>
      <c r="AN1133" s="673"/>
      <c r="AO1133" s="673"/>
      <c r="AP1133" s="673"/>
      <c r="AQ1133" s="673"/>
      <c r="AR1133" s="673"/>
      <c r="AS1133" s="673"/>
      <c r="AT1133" s="696"/>
    </row>
    <row r="1134" ht="15.75" customHeight="1">
      <c r="A1134" s="653"/>
      <c r="B1134" s="654"/>
      <c r="C1134" s="691"/>
      <c r="D1134" s="656"/>
      <c r="E1134" s="657"/>
      <c r="F1134" s="658"/>
      <c r="G1134" s="659"/>
      <c r="H1134" s="660"/>
      <c r="I1134" s="659"/>
      <c r="J1134" s="661"/>
      <c r="K1134" s="692"/>
      <c r="L1134" s="645"/>
      <c r="M1134" s="663"/>
      <c r="N1134" s="665"/>
      <c r="O1134" s="665"/>
      <c r="P1134" s="666"/>
      <c r="Q1134" s="667"/>
      <c r="R1134" s="668"/>
      <c r="S1134" s="693"/>
      <c r="T1134" s="694"/>
      <c r="U1134" s="694"/>
      <c r="V1134" s="693"/>
      <c r="W1134" s="693"/>
      <c r="X1134" s="693"/>
      <c r="Y1134" s="671"/>
      <c r="Z1134" s="673"/>
      <c r="AA1134" s="672"/>
      <c r="AB1134" s="695"/>
      <c r="AC1134" s="673"/>
      <c r="AD1134" s="673"/>
      <c r="AE1134" s="673"/>
      <c r="AF1134" s="673"/>
      <c r="AG1134" s="673"/>
      <c r="AH1134" s="673"/>
      <c r="AI1134" s="673"/>
      <c r="AJ1134" s="673"/>
      <c r="AK1134" s="673"/>
      <c r="AL1134" s="673"/>
      <c r="AM1134" s="673"/>
      <c r="AN1134" s="673"/>
      <c r="AO1134" s="673"/>
      <c r="AP1134" s="673"/>
      <c r="AQ1134" s="673"/>
      <c r="AR1134" s="673"/>
      <c r="AS1134" s="673"/>
      <c r="AT1134" s="696"/>
    </row>
    <row r="1135" ht="15.75" customHeight="1">
      <c r="A1135" s="653"/>
      <c r="B1135" s="654"/>
      <c r="C1135" s="691"/>
      <c r="D1135" s="656"/>
      <c r="E1135" s="657"/>
      <c r="F1135" s="658"/>
      <c r="G1135" s="659"/>
      <c r="H1135" s="660"/>
      <c r="I1135" s="659"/>
      <c r="J1135" s="661"/>
      <c r="K1135" s="692"/>
      <c r="L1135" s="645"/>
      <c r="M1135" s="663"/>
      <c r="N1135" s="665"/>
      <c r="O1135" s="665"/>
      <c r="P1135" s="666"/>
      <c r="Q1135" s="667"/>
      <c r="R1135" s="668"/>
      <c r="S1135" s="693"/>
      <c r="T1135" s="694"/>
      <c r="U1135" s="694"/>
      <c r="V1135" s="693"/>
      <c r="W1135" s="693"/>
      <c r="X1135" s="693"/>
      <c r="Y1135" s="671"/>
      <c r="Z1135" s="673"/>
      <c r="AA1135" s="672"/>
      <c r="AB1135" s="695"/>
      <c r="AC1135" s="673"/>
      <c r="AD1135" s="673"/>
      <c r="AE1135" s="673"/>
      <c r="AF1135" s="673"/>
      <c r="AG1135" s="673"/>
      <c r="AH1135" s="673"/>
      <c r="AI1135" s="673"/>
      <c r="AJ1135" s="673"/>
      <c r="AK1135" s="673"/>
      <c r="AL1135" s="673"/>
      <c r="AM1135" s="673"/>
      <c r="AN1135" s="673"/>
      <c r="AO1135" s="673"/>
      <c r="AP1135" s="673"/>
      <c r="AQ1135" s="673"/>
      <c r="AR1135" s="673"/>
      <c r="AS1135" s="673"/>
      <c r="AT1135" s="696"/>
    </row>
    <row r="1136" ht="15.75" customHeight="1">
      <c r="A1136" s="653"/>
      <c r="B1136" s="654"/>
      <c r="C1136" s="691"/>
      <c r="D1136" s="656"/>
      <c r="E1136" s="657"/>
      <c r="F1136" s="658"/>
      <c r="G1136" s="659"/>
      <c r="H1136" s="660"/>
      <c r="I1136" s="659"/>
      <c r="J1136" s="661"/>
      <c r="K1136" s="692"/>
      <c r="L1136" s="645"/>
      <c r="M1136" s="663"/>
      <c r="N1136" s="665"/>
      <c r="O1136" s="665"/>
      <c r="P1136" s="666"/>
      <c r="Q1136" s="667"/>
      <c r="R1136" s="668"/>
      <c r="S1136" s="693"/>
      <c r="T1136" s="694"/>
      <c r="U1136" s="694"/>
      <c r="V1136" s="693"/>
      <c r="W1136" s="693"/>
      <c r="X1136" s="693"/>
      <c r="Y1136" s="671"/>
      <c r="Z1136" s="673"/>
      <c r="AA1136" s="672"/>
      <c r="AB1136" s="695"/>
      <c r="AC1136" s="673"/>
      <c r="AD1136" s="673"/>
      <c r="AE1136" s="673"/>
      <c r="AF1136" s="673"/>
      <c r="AG1136" s="673"/>
      <c r="AH1136" s="673"/>
      <c r="AI1136" s="673"/>
      <c r="AJ1136" s="673"/>
      <c r="AK1136" s="673"/>
      <c r="AL1136" s="673"/>
      <c r="AM1136" s="673"/>
      <c r="AN1136" s="673"/>
      <c r="AO1136" s="673"/>
      <c r="AP1136" s="673"/>
      <c r="AQ1136" s="673"/>
      <c r="AR1136" s="673"/>
      <c r="AS1136" s="673"/>
      <c r="AT1136" s="696"/>
    </row>
    <row r="1137" ht="15.75" customHeight="1">
      <c r="A1137" s="653"/>
      <c r="B1137" s="654"/>
      <c r="C1137" s="691"/>
      <c r="D1137" s="656"/>
      <c r="E1137" s="657"/>
      <c r="F1137" s="658"/>
      <c r="G1137" s="659"/>
      <c r="H1137" s="660"/>
      <c r="I1137" s="659"/>
      <c r="J1137" s="661"/>
      <c r="K1137" s="692"/>
      <c r="L1137" s="645"/>
      <c r="M1137" s="663"/>
      <c r="N1137" s="665"/>
      <c r="O1137" s="665"/>
      <c r="P1137" s="666"/>
      <c r="Q1137" s="667"/>
      <c r="R1137" s="668"/>
      <c r="S1137" s="693"/>
      <c r="T1137" s="694"/>
      <c r="U1137" s="694"/>
      <c r="V1137" s="693"/>
      <c r="W1137" s="693"/>
      <c r="X1137" s="693"/>
      <c r="Y1137" s="671"/>
      <c r="Z1137" s="673"/>
      <c r="AA1137" s="672"/>
      <c r="AB1137" s="695"/>
      <c r="AC1137" s="673"/>
      <c r="AD1137" s="673"/>
      <c r="AE1137" s="673"/>
      <c r="AF1137" s="673"/>
      <c r="AG1137" s="673"/>
      <c r="AH1137" s="673"/>
      <c r="AI1137" s="673"/>
      <c r="AJ1137" s="673"/>
      <c r="AK1137" s="673"/>
      <c r="AL1137" s="673"/>
      <c r="AM1137" s="673"/>
      <c r="AN1137" s="673"/>
      <c r="AO1137" s="673"/>
      <c r="AP1137" s="673"/>
      <c r="AQ1137" s="673"/>
      <c r="AR1137" s="673"/>
      <c r="AS1137" s="673"/>
      <c r="AT1137" s="696"/>
    </row>
    <row r="1138" ht="15.75" customHeight="1">
      <c r="A1138" s="653"/>
      <c r="B1138" s="654"/>
      <c r="C1138" s="691"/>
      <c r="D1138" s="656"/>
      <c r="E1138" s="657"/>
      <c r="F1138" s="658"/>
      <c r="G1138" s="659"/>
      <c r="H1138" s="660"/>
      <c r="I1138" s="659"/>
      <c r="J1138" s="661"/>
      <c r="K1138" s="692"/>
      <c r="L1138" s="645"/>
      <c r="M1138" s="663"/>
      <c r="N1138" s="665"/>
      <c r="O1138" s="665"/>
      <c r="P1138" s="666"/>
      <c r="Q1138" s="667"/>
      <c r="R1138" s="668"/>
      <c r="S1138" s="693"/>
      <c r="T1138" s="694"/>
      <c r="U1138" s="694"/>
      <c r="V1138" s="693"/>
      <c r="W1138" s="693"/>
      <c r="X1138" s="693"/>
      <c r="Y1138" s="671"/>
      <c r="Z1138" s="673"/>
      <c r="AA1138" s="672"/>
      <c r="AB1138" s="695"/>
      <c r="AC1138" s="673"/>
      <c r="AD1138" s="673"/>
      <c r="AE1138" s="673"/>
      <c r="AF1138" s="673"/>
      <c r="AG1138" s="673"/>
      <c r="AH1138" s="673"/>
      <c r="AI1138" s="673"/>
      <c r="AJ1138" s="673"/>
      <c r="AK1138" s="673"/>
      <c r="AL1138" s="673"/>
      <c r="AM1138" s="673"/>
      <c r="AN1138" s="673"/>
      <c r="AO1138" s="673"/>
      <c r="AP1138" s="673"/>
      <c r="AQ1138" s="673"/>
      <c r="AR1138" s="673"/>
      <c r="AS1138" s="673"/>
      <c r="AT1138" s="696"/>
    </row>
    <row r="1139" ht="15.75" customHeight="1">
      <c r="A1139" s="653"/>
      <c r="B1139" s="654"/>
      <c r="C1139" s="691"/>
      <c r="D1139" s="656"/>
      <c r="E1139" s="657"/>
      <c r="F1139" s="658"/>
      <c r="G1139" s="659"/>
      <c r="H1139" s="660"/>
      <c r="I1139" s="659"/>
      <c r="J1139" s="661"/>
      <c r="K1139" s="692"/>
      <c r="L1139" s="645"/>
      <c r="M1139" s="663"/>
      <c r="N1139" s="665"/>
      <c r="O1139" s="665"/>
      <c r="P1139" s="666"/>
      <c r="Q1139" s="667"/>
      <c r="R1139" s="668"/>
      <c r="S1139" s="693"/>
      <c r="T1139" s="694"/>
      <c r="U1139" s="694"/>
      <c r="V1139" s="693"/>
      <c r="W1139" s="693"/>
      <c r="X1139" s="693"/>
      <c r="Y1139" s="671"/>
      <c r="Z1139" s="673"/>
      <c r="AA1139" s="672"/>
      <c r="AB1139" s="695"/>
      <c r="AC1139" s="673"/>
      <c r="AD1139" s="673"/>
      <c r="AE1139" s="673"/>
      <c r="AF1139" s="673"/>
      <c r="AG1139" s="673"/>
      <c r="AH1139" s="673"/>
      <c r="AI1139" s="673"/>
      <c r="AJ1139" s="673"/>
      <c r="AK1139" s="673"/>
      <c r="AL1139" s="673"/>
      <c r="AM1139" s="673"/>
      <c r="AN1139" s="673"/>
      <c r="AO1139" s="673"/>
      <c r="AP1139" s="673"/>
      <c r="AQ1139" s="673"/>
      <c r="AR1139" s="673"/>
      <c r="AS1139" s="673"/>
      <c r="AT1139" s="696"/>
    </row>
    <row r="1140" ht="15.75" customHeight="1">
      <c r="A1140" s="653"/>
      <c r="B1140" s="654"/>
      <c r="C1140" s="691"/>
      <c r="D1140" s="656"/>
      <c r="E1140" s="657"/>
      <c r="F1140" s="658"/>
      <c r="G1140" s="659"/>
      <c r="H1140" s="660"/>
      <c r="I1140" s="659"/>
      <c r="J1140" s="661"/>
      <c r="K1140" s="692"/>
      <c r="L1140" s="645"/>
      <c r="M1140" s="663"/>
      <c r="N1140" s="665"/>
      <c r="O1140" s="665"/>
      <c r="P1140" s="666"/>
      <c r="Q1140" s="667"/>
      <c r="R1140" s="668"/>
      <c r="S1140" s="693"/>
      <c r="T1140" s="694"/>
      <c r="U1140" s="694"/>
      <c r="V1140" s="693"/>
      <c r="W1140" s="693"/>
      <c r="X1140" s="693"/>
      <c r="Y1140" s="671"/>
      <c r="Z1140" s="673"/>
      <c r="AA1140" s="672"/>
      <c r="AB1140" s="695"/>
      <c r="AC1140" s="673"/>
      <c r="AD1140" s="673"/>
      <c r="AE1140" s="673"/>
      <c r="AF1140" s="673"/>
      <c r="AG1140" s="673"/>
      <c r="AH1140" s="673"/>
      <c r="AI1140" s="673"/>
      <c r="AJ1140" s="673"/>
      <c r="AK1140" s="673"/>
      <c r="AL1140" s="673"/>
      <c r="AM1140" s="673"/>
      <c r="AN1140" s="673"/>
      <c r="AO1140" s="673"/>
      <c r="AP1140" s="673"/>
      <c r="AQ1140" s="673"/>
      <c r="AR1140" s="673"/>
      <c r="AS1140" s="673"/>
      <c r="AT1140" s="696"/>
    </row>
    <row r="1141" ht="15.75" customHeight="1">
      <c r="A1141" s="653"/>
      <c r="B1141" s="654"/>
      <c r="C1141" s="691"/>
      <c r="D1141" s="656"/>
      <c r="E1141" s="657"/>
      <c r="F1141" s="658"/>
      <c r="G1141" s="659"/>
      <c r="H1141" s="660"/>
      <c r="I1141" s="659"/>
      <c r="J1141" s="661"/>
      <c r="K1141" s="692"/>
      <c r="L1141" s="645"/>
      <c r="M1141" s="663"/>
      <c r="N1141" s="665"/>
      <c r="O1141" s="665"/>
      <c r="P1141" s="666"/>
      <c r="Q1141" s="667"/>
      <c r="R1141" s="668"/>
      <c r="S1141" s="693"/>
      <c r="T1141" s="694"/>
      <c r="U1141" s="694"/>
      <c r="V1141" s="693"/>
      <c r="W1141" s="693"/>
      <c r="X1141" s="693"/>
      <c r="Y1141" s="671"/>
      <c r="Z1141" s="673"/>
      <c r="AA1141" s="672"/>
      <c r="AB1141" s="695"/>
      <c r="AC1141" s="673"/>
      <c r="AD1141" s="673"/>
      <c r="AE1141" s="673"/>
      <c r="AF1141" s="673"/>
      <c r="AG1141" s="673"/>
      <c r="AH1141" s="673"/>
      <c r="AI1141" s="673"/>
      <c r="AJ1141" s="673"/>
      <c r="AK1141" s="673"/>
      <c r="AL1141" s="673"/>
      <c r="AM1141" s="673"/>
      <c r="AN1141" s="673"/>
      <c r="AO1141" s="673"/>
      <c r="AP1141" s="673"/>
      <c r="AQ1141" s="673"/>
      <c r="AR1141" s="673"/>
      <c r="AS1141" s="673"/>
      <c r="AT1141" s="696"/>
    </row>
    <row r="1142" ht="15.75" customHeight="1">
      <c r="A1142" s="653"/>
      <c r="B1142" s="654"/>
      <c r="C1142" s="691"/>
      <c r="D1142" s="656"/>
      <c r="E1142" s="657"/>
      <c r="F1142" s="658"/>
      <c r="G1142" s="659"/>
      <c r="H1142" s="660"/>
      <c r="I1142" s="659"/>
      <c r="J1142" s="661"/>
      <c r="K1142" s="692"/>
      <c r="L1142" s="645"/>
      <c r="M1142" s="663"/>
      <c r="N1142" s="665"/>
      <c r="O1142" s="665"/>
      <c r="P1142" s="666"/>
      <c r="Q1142" s="667"/>
      <c r="R1142" s="668"/>
      <c r="S1142" s="693"/>
      <c r="T1142" s="694"/>
      <c r="U1142" s="694"/>
      <c r="V1142" s="693"/>
      <c r="W1142" s="693"/>
      <c r="X1142" s="693"/>
      <c r="Y1142" s="671"/>
      <c r="Z1142" s="673"/>
      <c r="AA1142" s="672"/>
      <c r="AB1142" s="695"/>
      <c r="AC1142" s="673"/>
      <c r="AD1142" s="673"/>
      <c r="AE1142" s="673"/>
      <c r="AF1142" s="673"/>
      <c r="AG1142" s="673"/>
      <c r="AH1142" s="673"/>
      <c r="AI1142" s="673"/>
      <c r="AJ1142" s="673"/>
      <c r="AK1142" s="673"/>
      <c r="AL1142" s="673"/>
      <c r="AM1142" s="673"/>
      <c r="AN1142" s="673"/>
      <c r="AO1142" s="673"/>
      <c r="AP1142" s="673"/>
      <c r="AQ1142" s="673"/>
      <c r="AR1142" s="673"/>
      <c r="AS1142" s="673"/>
      <c r="AT1142" s="696"/>
    </row>
    <row r="1143" ht="15.75" customHeight="1">
      <c r="A1143" s="653"/>
      <c r="B1143" s="654"/>
      <c r="C1143" s="691"/>
      <c r="D1143" s="656"/>
      <c r="E1143" s="657"/>
      <c r="F1143" s="658"/>
      <c r="G1143" s="659"/>
      <c r="H1143" s="660"/>
      <c r="I1143" s="659"/>
      <c r="J1143" s="661"/>
      <c r="K1143" s="692"/>
      <c r="L1143" s="645"/>
      <c r="M1143" s="663"/>
      <c r="N1143" s="665"/>
      <c r="O1143" s="665"/>
      <c r="P1143" s="666"/>
      <c r="Q1143" s="667"/>
      <c r="R1143" s="668"/>
      <c r="S1143" s="693"/>
      <c r="T1143" s="694"/>
      <c r="U1143" s="694"/>
      <c r="V1143" s="693"/>
      <c r="W1143" s="693"/>
      <c r="X1143" s="693"/>
      <c r="Y1143" s="671"/>
      <c r="Z1143" s="673"/>
      <c r="AA1143" s="672"/>
      <c r="AB1143" s="695"/>
      <c r="AC1143" s="673"/>
      <c r="AD1143" s="673"/>
      <c r="AE1143" s="673"/>
      <c r="AF1143" s="673"/>
      <c r="AG1143" s="673"/>
      <c r="AH1143" s="673"/>
      <c r="AI1143" s="673"/>
      <c r="AJ1143" s="673"/>
      <c r="AK1143" s="673"/>
      <c r="AL1143" s="673"/>
      <c r="AM1143" s="673"/>
      <c r="AN1143" s="673"/>
      <c r="AO1143" s="673"/>
      <c r="AP1143" s="673"/>
      <c r="AQ1143" s="673"/>
      <c r="AR1143" s="673"/>
      <c r="AS1143" s="673"/>
      <c r="AT1143" s="696"/>
    </row>
    <row r="1144" ht="15.75" customHeight="1">
      <c r="A1144" s="653"/>
      <c r="B1144" s="654"/>
      <c r="C1144" s="691"/>
      <c r="D1144" s="656"/>
      <c r="E1144" s="657"/>
      <c r="F1144" s="658"/>
      <c r="G1144" s="659"/>
      <c r="H1144" s="660"/>
      <c r="I1144" s="659"/>
      <c r="J1144" s="661"/>
      <c r="K1144" s="692"/>
      <c r="L1144" s="645"/>
      <c r="M1144" s="663"/>
      <c r="N1144" s="665"/>
      <c r="O1144" s="665"/>
      <c r="P1144" s="666"/>
      <c r="Q1144" s="667"/>
      <c r="R1144" s="668"/>
      <c r="S1144" s="693"/>
      <c r="T1144" s="694"/>
      <c r="U1144" s="694"/>
      <c r="V1144" s="693"/>
      <c r="W1144" s="693"/>
      <c r="X1144" s="693"/>
      <c r="Y1144" s="671"/>
      <c r="Z1144" s="673"/>
      <c r="AA1144" s="672"/>
      <c r="AB1144" s="695"/>
      <c r="AC1144" s="673"/>
      <c r="AD1144" s="673"/>
      <c r="AE1144" s="673"/>
      <c r="AF1144" s="673"/>
      <c r="AG1144" s="673"/>
      <c r="AH1144" s="673"/>
      <c r="AI1144" s="673"/>
      <c r="AJ1144" s="673"/>
      <c r="AK1144" s="673"/>
      <c r="AL1144" s="673"/>
      <c r="AM1144" s="673"/>
      <c r="AN1144" s="673"/>
      <c r="AO1144" s="673"/>
      <c r="AP1144" s="673"/>
      <c r="AQ1144" s="673"/>
      <c r="AR1144" s="673"/>
      <c r="AS1144" s="673"/>
      <c r="AT1144" s="696"/>
    </row>
    <row r="1145" ht="15.75" customHeight="1">
      <c r="A1145" s="653"/>
      <c r="B1145" s="654"/>
      <c r="C1145" s="691"/>
      <c r="D1145" s="656"/>
      <c r="E1145" s="657"/>
      <c r="F1145" s="658"/>
      <c r="G1145" s="659"/>
      <c r="H1145" s="660"/>
      <c r="I1145" s="659"/>
      <c r="J1145" s="661"/>
      <c r="K1145" s="692"/>
      <c r="L1145" s="645"/>
      <c r="M1145" s="663"/>
      <c r="N1145" s="665"/>
      <c r="O1145" s="665"/>
      <c r="P1145" s="666"/>
      <c r="Q1145" s="667"/>
      <c r="R1145" s="668"/>
      <c r="S1145" s="693"/>
      <c r="T1145" s="694"/>
      <c r="U1145" s="694"/>
      <c r="V1145" s="693"/>
      <c r="W1145" s="693"/>
      <c r="X1145" s="693"/>
      <c r="Y1145" s="671"/>
      <c r="Z1145" s="673"/>
      <c r="AA1145" s="672"/>
      <c r="AB1145" s="695"/>
      <c r="AC1145" s="673"/>
      <c r="AD1145" s="673"/>
      <c r="AE1145" s="673"/>
      <c r="AF1145" s="673"/>
      <c r="AG1145" s="673"/>
      <c r="AH1145" s="673"/>
      <c r="AI1145" s="673"/>
      <c r="AJ1145" s="673"/>
      <c r="AK1145" s="673"/>
      <c r="AL1145" s="673"/>
      <c r="AM1145" s="673"/>
      <c r="AN1145" s="673"/>
      <c r="AO1145" s="673"/>
      <c r="AP1145" s="673"/>
      <c r="AQ1145" s="673"/>
      <c r="AR1145" s="673"/>
      <c r="AS1145" s="673"/>
      <c r="AT1145" s="696"/>
    </row>
    <row r="1146" ht="15.75" customHeight="1">
      <c r="A1146" s="653"/>
      <c r="B1146" s="654"/>
      <c r="C1146" s="691"/>
      <c r="D1146" s="656"/>
      <c r="E1146" s="657"/>
      <c r="F1146" s="658"/>
      <c r="G1146" s="659"/>
      <c r="H1146" s="660"/>
      <c r="I1146" s="659"/>
      <c r="J1146" s="661"/>
      <c r="K1146" s="692"/>
      <c r="L1146" s="645"/>
      <c r="M1146" s="663"/>
      <c r="N1146" s="665"/>
      <c r="O1146" s="665"/>
      <c r="P1146" s="666"/>
      <c r="Q1146" s="667"/>
      <c r="R1146" s="668"/>
      <c r="S1146" s="693"/>
      <c r="T1146" s="694"/>
      <c r="U1146" s="694"/>
      <c r="V1146" s="693"/>
      <c r="W1146" s="693"/>
      <c r="X1146" s="693"/>
      <c r="Y1146" s="671"/>
      <c r="Z1146" s="673"/>
      <c r="AA1146" s="672"/>
      <c r="AB1146" s="695"/>
      <c r="AC1146" s="673"/>
      <c r="AD1146" s="673"/>
      <c r="AE1146" s="673"/>
      <c r="AF1146" s="673"/>
      <c r="AG1146" s="673"/>
      <c r="AH1146" s="673"/>
      <c r="AI1146" s="673"/>
      <c r="AJ1146" s="673"/>
      <c r="AK1146" s="673"/>
      <c r="AL1146" s="673"/>
      <c r="AM1146" s="673"/>
      <c r="AN1146" s="673"/>
      <c r="AO1146" s="673"/>
      <c r="AP1146" s="673"/>
      <c r="AQ1146" s="673"/>
      <c r="AR1146" s="673"/>
      <c r="AS1146" s="673"/>
      <c r="AT1146" s="696"/>
    </row>
    <row r="1147" ht="15.75" customHeight="1">
      <c r="A1147" s="653"/>
      <c r="B1147" s="654"/>
      <c r="C1147" s="691"/>
      <c r="D1147" s="656"/>
      <c r="E1147" s="657"/>
      <c r="F1147" s="658"/>
      <c r="G1147" s="659"/>
      <c r="H1147" s="660"/>
      <c r="I1147" s="659"/>
      <c r="J1147" s="661"/>
      <c r="K1147" s="692"/>
      <c r="L1147" s="645"/>
      <c r="M1147" s="663"/>
      <c r="N1147" s="665"/>
      <c r="O1147" s="665"/>
      <c r="P1147" s="666"/>
      <c r="Q1147" s="667"/>
      <c r="R1147" s="668"/>
      <c r="S1147" s="693"/>
      <c r="T1147" s="694"/>
      <c r="U1147" s="694"/>
      <c r="V1147" s="693"/>
      <c r="W1147" s="693"/>
      <c r="X1147" s="693"/>
      <c r="Y1147" s="671"/>
      <c r="Z1147" s="673"/>
      <c r="AA1147" s="672"/>
      <c r="AB1147" s="695"/>
      <c r="AC1147" s="673"/>
      <c r="AD1147" s="673"/>
      <c r="AE1147" s="673"/>
      <c r="AF1147" s="673"/>
      <c r="AG1147" s="673"/>
      <c r="AH1147" s="673"/>
      <c r="AI1147" s="673"/>
      <c r="AJ1147" s="673"/>
      <c r="AK1147" s="673"/>
      <c r="AL1147" s="673"/>
      <c r="AM1147" s="673"/>
      <c r="AN1147" s="673"/>
      <c r="AO1147" s="673"/>
      <c r="AP1147" s="673"/>
      <c r="AQ1147" s="673"/>
      <c r="AR1147" s="673"/>
      <c r="AS1147" s="673"/>
      <c r="AT1147" s="696"/>
    </row>
    <row r="1148" ht="15.75" customHeight="1">
      <c r="A1148" s="653"/>
      <c r="B1148" s="654"/>
      <c r="C1148" s="691"/>
      <c r="D1148" s="656"/>
      <c r="E1148" s="657"/>
      <c r="F1148" s="658"/>
      <c r="G1148" s="659"/>
      <c r="H1148" s="660"/>
      <c r="I1148" s="659"/>
      <c r="J1148" s="661"/>
      <c r="K1148" s="692"/>
      <c r="L1148" s="645"/>
      <c r="M1148" s="663"/>
      <c r="N1148" s="665"/>
      <c r="O1148" s="665"/>
      <c r="P1148" s="666"/>
      <c r="Q1148" s="667"/>
      <c r="R1148" s="668"/>
      <c r="S1148" s="693"/>
      <c r="T1148" s="694"/>
      <c r="U1148" s="694"/>
      <c r="V1148" s="693"/>
      <c r="W1148" s="693"/>
      <c r="X1148" s="693"/>
      <c r="Y1148" s="671"/>
      <c r="Z1148" s="673"/>
      <c r="AA1148" s="672"/>
      <c r="AB1148" s="695"/>
      <c r="AC1148" s="673"/>
      <c r="AD1148" s="673"/>
      <c r="AE1148" s="673"/>
      <c r="AF1148" s="673"/>
      <c r="AG1148" s="673"/>
      <c r="AH1148" s="673"/>
      <c r="AI1148" s="673"/>
      <c r="AJ1148" s="673"/>
      <c r="AK1148" s="673"/>
      <c r="AL1148" s="673"/>
      <c r="AM1148" s="673"/>
      <c r="AN1148" s="673"/>
      <c r="AO1148" s="673"/>
      <c r="AP1148" s="673"/>
      <c r="AQ1148" s="673"/>
      <c r="AR1148" s="673"/>
      <c r="AS1148" s="673"/>
      <c r="AT1148" s="696"/>
    </row>
    <row r="1149" ht="15.75" customHeight="1">
      <c r="A1149" s="653"/>
      <c r="B1149" s="654"/>
      <c r="C1149" s="691"/>
      <c r="D1149" s="656"/>
      <c r="E1149" s="657"/>
      <c r="F1149" s="658"/>
      <c r="G1149" s="659"/>
      <c r="H1149" s="660"/>
      <c r="I1149" s="659"/>
      <c r="J1149" s="661"/>
      <c r="K1149" s="692"/>
      <c r="L1149" s="645"/>
      <c r="M1149" s="663"/>
      <c r="N1149" s="665"/>
      <c r="O1149" s="665"/>
      <c r="P1149" s="666"/>
      <c r="Q1149" s="667"/>
      <c r="R1149" s="668"/>
      <c r="S1149" s="693"/>
      <c r="T1149" s="694"/>
      <c r="U1149" s="694"/>
      <c r="V1149" s="693"/>
      <c r="W1149" s="693"/>
      <c r="X1149" s="693"/>
      <c r="Y1149" s="671"/>
      <c r="Z1149" s="673"/>
      <c r="AA1149" s="672"/>
      <c r="AB1149" s="695"/>
      <c r="AC1149" s="673"/>
      <c r="AD1149" s="673"/>
      <c r="AE1149" s="673"/>
      <c r="AF1149" s="673"/>
      <c r="AG1149" s="673"/>
      <c r="AH1149" s="673"/>
      <c r="AI1149" s="673"/>
      <c r="AJ1149" s="673"/>
      <c r="AK1149" s="673"/>
      <c r="AL1149" s="673"/>
      <c r="AM1149" s="673"/>
      <c r="AN1149" s="673"/>
      <c r="AO1149" s="673"/>
      <c r="AP1149" s="673"/>
      <c r="AQ1149" s="673"/>
      <c r="AR1149" s="673"/>
      <c r="AS1149" s="673"/>
      <c r="AT1149" s="696"/>
    </row>
    <row r="1150" ht="15.75" customHeight="1">
      <c r="A1150" s="653"/>
      <c r="B1150" s="654"/>
      <c r="C1150" s="691"/>
      <c r="D1150" s="656"/>
      <c r="E1150" s="657"/>
      <c r="F1150" s="658"/>
      <c r="G1150" s="659"/>
      <c r="H1150" s="660"/>
      <c r="I1150" s="659"/>
      <c r="J1150" s="661"/>
      <c r="K1150" s="692"/>
      <c r="L1150" s="645"/>
      <c r="M1150" s="663"/>
      <c r="N1150" s="665"/>
      <c r="O1150" s="665"/>
      <c r="P1150" s="666"/>
      <c r="Q1150" s="667"/>
      <c r="R1150" s="668"/>
      <c r="S1150" s="693"/>
      <c r="T1150" s="694"/>
      <c r="U1150" s="694"/>
      <c r="V1150" s="693"/>
      <c r="W1150" s="693"/>
      <c r="X1150" s="693"/>
      <c r="Y1150" s="671"/>
      <c r="Z1150" s="673"/>
      <c r="AA1150" s="672"/>
      <c r="AB1150" s="695"/>
      <c r="AC1150" s="673"/>
      <c r="AD1150" s="673"/>
      <c r="AE1150" s="673"/>
      <c r="AF1150" s="673"/>
      <c r="AG1150" s="673"/>
      <c r="AH1150" s="673"/>
      <c r="AI1150" s="673"/>
      <c r="AJ1150" s="673"/>
      <c r="AK1150" s="673"/>
      <c r="AL1150" s="673"/>
      <c r="AM1150" s="673"/>
      <c r="AN1150" s="673"/>
      <c r="AO1150" s="673"/>
      <c r="AP1150" s="673"/>
      <c r="AQ1150" s="673"/>
      <c r="AR1150" s="673"/>
      <c r="AS1150" s="673"/>
      <c r="AT1150" s="696"/>
    </row>
    <row r="1151" ht="15.75" customHeight="1">
      <c r="A1151" s="653"/>
      <c r="B1151" s="654"/>
      <c r="C1151" s="691"/>
      <c r="D1151" s="656"/>
      <c r="E1151" s="657"/>
      <c r="F1151" s="658"/>
      <c r="G1151" s="659"/>
      <c r="H1151" s="660"/>
      <c r="I1151" s="659"/>
      <c r="J1151" s="661"/>
      <c r="K1151" s="692"/>
      <c r="L1151" s="645"/>
      <c r="M1151" s="663"/>
      <c r="N1151" s="665"/>
      <c r="O1151" s="665"/>
      <c r="P1151" s="666"/>
      <c r="Q1151" s="667"/>
      <c r="R1151" s="668"/>
      <c r="S1151" s="693"/>
      <c r="T1151" s="694"/>
      <c r="U1151" s="694"/>
      <c r="V1151" s="693"/>
      <c r="W1151" s="693"/>
      <c r="X1151" s="693"/>
      <c r="Y1151" s="671"/>
      <c r="Z1151" s="673"/>
      <c r="AA1151" s="672"/>
      <c r="AB1151" s="695"/>
      <c r="AC1151" s="673"/>
      <c r="AD1151" s="673"/>
      <c r="AE1151" s="673"/>
      <c r="AF1151" s="673"/>
      <c r="AG1151" s="673"/>
      <c r="AH1151" s="673"/>
      <c r="AI1151" s="673"/>
      <c r="AJ1151" s="673"/>
      <c r="AK1151" s="673"/>
      <c r="AL1151" s="673"/>
      <c r="AM1151" s="673"/>
      <c r="AN1151" s="673"/>
      <c r="AO1151" s="673"/>
      <c r="AP1151" s="673"/>
      <c r="AQ1151" s="673"/>
      <c r="AR1151" s="673"/>
      <c r="AS1151" s="673"/>
      <c r="AT1151" s="696"/>
    </row>
    <row r="1152" ht="15.75" customHeight="1">
      <c r="A1152" s="653"/>
      <c r="B1152" s="654"/>
      <c r="C1152" s="691"/>
      <c r="D1152" s="656"/>
      <c r="E1152" s="657"/>
      <c r="F1152" s="658"/>
      <c r="G1152" s="659"/>
      <c r="H1152" s="660"/>
      <c r="I1152" s="659"/>
      <c r="J1152" s="661"/>
      <c r="K1152" s="692"/>
      <c r="L1152" s="645"/>
      <c r="M1152" s="663"/>
      <c r="N1152" s="665"/>
      <c r="O1152" s="665"/>
      <c r="P1152" s="666"/>
      <c r="Q1152" s="667"/>
      <c r="R1152" s="668"/>
      <c r="S1152" s="693"/>
      <c r="T1152" s="694"/>
      <c r="U1152" s="694"/>
      <c r="V1152" s="693"/>
      <c r="W1152" s="693"/>
      <c r="X1152" s="693"/>
      <c r="Y1152" s="671"/>
      <c r="Z1152" s="673"/>
      <c r="AA1152" s="672"/>
      <c r="AB1152" s="695"/>
      <c r="AC1152" s="673"/>
      <c r="AD1152" s="673"/>
      <c r="AE1152" s="673"/>
      <c r="AF1152" s="673"/>
      <c r="AG1152" s="673"/>
      <c r="AH1152" s="673"/>
      <c r="AI1152" s="673"/>
      <c r="AJ1152" s="673"/>
      <c r="AK1152" s="673"/>
      <c r="AL1152" s="673"/>
      <c r="AM1152" s="673"/>
      <c r="AN1152" s="673"/>
      <c r="AO1152" s="673"/>
      <c r="AP1152" s="673"/>
      <c r="AQ1152" s="673"/>
      <c r="AR1152" s="673"/>
      <c r="AS1152" s="673"/>
      <c r="AT1152" s="696"/>
    </row>
    <row r="1153" ht="15.75" customHeight="1">
      <c r="A1153" s="653"/>
      <c r="B1153" s="654"/>
      <c r="C1153" s="691"/>
      <c r="D1153" s="656"/>
      <c r="E1153" s="657"/>
      <c r="F1153" s="658"/>
      <c r="G1153" s="659"/>
      <c r="H1153" s="660"/>
      <c r="I1153" s="659"/>
      <c r="J1153" s="661"/>
      <c r="K1153" s="692"/>
      <c r="L1153" s="645"/>
      <c r="M1153" s="663"/>
      <c r="N1153" s="665"/>
      <c r="O1153" s="665"/>
      <c r="P1153" s="666"/>
      <c r="Q1153" s="667"/>
      <c r="R1153" s="668"/>
      <c r="S1153" s="693"/>
      <c r="T1153" s="694"/>
      <c r="U1153" s="694"/>
      <c r="V1153" s="693"/>
      <c r="W1153" s="693"/>
      <c r="X1153" s="693"/>
      <c r="Y1153" s="671"/>
      <c r="Z1153" s="673"/>
      <c r="AA1153" s="672"/>
      <c r="AB1153" s="695"/>
      <c r="AC1153" s="673"/>
      <c r="AD1153" s="673"/>
      <c r="AE1153" s="673"/>
      <c r="AF1153" s="673"/>
      <c r="AG1153" s="673"/>
      <c r="AH1153" s="673"/>
      <c r="AI1153" s="673"/>
      <c r="AJ1153" s="673"/>
      <c r="AK1153" s="673"/>
      <c r="AL1153" s="673"/>
      <c r="AM1153" s="673"/>
      <c r="AN1153" s="673"/>
      <c r="AO1153" s="673"/>
      <c r="AP1153" s="673"/>
      <c r="AQ1153" s="673"/>
      <c r="AR1153" s="673"/>
      <c r="AS1153" s="673"/>
      <c r="AT1153" s="696"/>
    </row>
    <row r="1154" ht="15.75" customHeight="1">
      <c r="A1154" s="653"/>
      <c r="B1154" s="654"/>
      <c r="C1154" s="691"/>
      <c r="D1154" s="656"/>
      <c r="E1154" s="657"/>
      <c r="F1154" s="658"/>
      <c r="G1154" s="659"/>
      <c r="H1154" s="660"/>
      <c r="I1154" s="659"/>
      <c r="J1154" s="661"/>
      <c r="K1154" s="692"/>
      <c r="L1154" s="645"/>
      <c r="M1154" s="663"/>
      <c r="N1154" s="665"/>
      <c r="O1154" s="665"/>
      <c r="P1154" s="666"/>
      <c r="Q1154" s="667"/>
      <c r="R1154" s="668"/>
      <c r="S1154" s="693"/>
      <c r="T1154" s="694"/>
      <c r="U1154" s="694"/>
      <c r="V1154" s="693"/>
      <c r="W1154" s="693"/>
      <c r="X1154" s="693"/>
      <c r="Y1154" s="671"/>
      <c r="Z1154" s="673"/>
      <c r="AA1154" s="672"/>
      <c r="AB1154" s="695"/>
      <c r="AC1154" s="673"/>
      <c r="AD1154" s="673"/>
      <c r="AE1154" s="673"/>
      <c r="AF1154" s="673"/>
      <c r="AG1154" s="673"/>
      <c r="AH1154" s="673"/>
      <c r="AI1154" s="673"/>
      <c r="AJ1154" s="673"/>
      <c r="AK1154" s="673"/>
      <c r="AL1154" s="673"/>
      <c r="AM1154" s="673"/>
      <c r="AN1154" s="673"/>
      <c r="AO1154" s="673"/>
      <c r="AP1154" s="673"/>
      <c r="AQ1154" s="673"/>
      <c r="AR1154" s="673"/>
      <c r="AS1154" s="673"/>
      <c r="AT1154" s="696"/>
    </row>
    <row r="1155" ht="15.75" customHeight="1">
      <c r="A1155" s="653"/>
      <c r="B1155" s="654"/>
      <c r="C1155" s="691"/>
      <c r="D1155" s="656"/>
      <c r="E1155" s="657"/>
      <c r="F1155" s="658"/>
      <c r="G1155" s="659"/>
      <c r="H1155" s="660"/>
      <c r="I1155" s="659"/>
      <c r="J1155" s="661"/>
      <c r="K1155" s="692"/>
      <c r="L1155" s="645"/>
      <c r="M1155" s="663"/>
      <c r="N1155" s="665"/>
      <c r="O1155" s="665"/>
      <c r="P1155" s="666"/>
      <c r="Q1155" s="667"/>
      <c r="R1155" s="668"/>
      <c r="S1155" s="693"/>
      <c r="T1155" s="694"/>
      <c r="U1155" s="694"/>
      <c r="V1155" s="693"/>
      <c r="W1155" s="693"/>
      <c r="X1155" s="693"/>
      <c r="Y1155" s="671"/>
      <c r="Z1155" s="673"/>
      <c r="AA1155" s="672"/>
      <c r="AB1155" s="695"/>
      <c r="AC1155" s="673"/>
      <c r="AD1155" s="673"/>
      <c r="AE1155" s="673"/>
      <c r="AF1155" s="673"/>
      <c r="AG1155" s="673"/>
      <c r="AH1155" s="673"/>
      <c r="AI1155" s="673"/>
      <c r="AJ1155" s="673"/>
      <c r="AK1155" s="673"/>
      <c r="AL1155" s="673"/>
      <c r="AM1155" s="673"/>
      <c r="AN1155" s="673"/>
      <c r="AO1155" s="673"/>
      <c r="AP1155" s="673"/>
      <c r="AQ1155" s="673"/>
      <c r="AR1155" s="673"/>
      <c r="AS1155" s="673"/>
      <c r="AT1155" s="696"/>
    </row>
    <row r="1156" ht="15.75" customHeight="1">
      <c r="A1156" s="653"/>
      <c r="B1156" s="654"/>
      <c r="C1156" s="691"/>
      <c r="D1156" s="656"/>
      <c r="E1156" s="657"/>
      <c r="F1156" s="658"/>
      <c r="G1156" s="659"/>
      <c r="H1156" s="660"/>
      <c r="I1156" s="659"/>
      <c r="J1156" s="661"/>
      <c r="K1156" s="692"/>
      <c r="L1156" s="645"/>
      <c r="M1156" s="663"/>
      <c r="N1156" s="665"/>
      <c r="O1156" s="665"/>
      <c r="P1156" s="666"/>
      <c r="Q1156" s="667"/>
      <c r="R1156" s="668"/>
      <c r="S1156" s="693"/>
      <c r="T1156" s="694"/>
      <c r="U1156" s="694"/>
      <c r="V1156" s="693"/>
      <c r="W1156" s="693"/>
      <c r="X1156" s="693"/>
      <c r="Y1156" s="671"/>
      <c r="Z1156" s="673"/>
      <c r="AA1156" s="672"/>
      <c r="AB1156" s="695"/>
      <c r="AC1156" s="673"/>
      <c r="AD1156" s="673"/>
      <c r="AE1156" s="673"/>
      <c r="AF1156" s="673"/>
      <c r="AG1156" s="673"/>
      <c r="AH1156" s="673"/>
      <c r="AI1156" s="673"/>
      <c r="AJ1156" s="673"/>
      <c r="AK1156" s="673"/>
      <c r="AL1156" s="673"/>
      <c r="AM1156" s="673"/>
      <c r="AN1156" s="673"/>
      <c r="AO1156" s="673"/>
      <c r="AP1156" s="673"/>
      <c r="AQ1156" s="673"/>
      <c r="AR1156" s="673"/>
      <c r="AS1156" s="673"/>
      <c r="AT1156" s="696"/>
    </row>
    <row r="1157" ht="15.75" customHeight="1">
      <c r="A1157" s="653"/>
      <c r="B1157" s="654"/>
      <c r="C1157" s="691"/>
      <c r="D1157" s="656"/>
      <c r="E1157" s="657"/>
      <c r="F1157" s="658"/>
      <c r="G1157" s="659"/>
      <c r="H1157" s="660"/>
      <c r="I1157" s="659"/>
      <c r="J1157" s="661"/>
      <c r="K1157" s="692"/>
      <c r="L1157" s="645"/>
      <c r="M1157" s="663"/>
      <c r="N1157" s="665"/>
      <c r="O1157" s="665"/>
      <c r="P1157" s="666"/>
      <c r="Q1157" s="667"/>
      <c r="R1157" s="668"/>
      <c r="S1157" s="693"/>
      <c r="T1157" s="694"/>
      <c r="U1157" s="694"/>
      <c r="V1157" s="693"/>
      <c r="W1157" s="693"/>
      <c r="X1157" s="693"/>
      <c r="Y1157" s="671"/>
      <c r="Z1157" s="673"/>
      <c r="AA1157" s="672"/>
      <c r="AB1157" s="695"/>
      <c r="AC1157" s="673"/>
      <c r="AD1157" s="673"/>
      <c r="AE1157" s="673"/>
      <c r="AF1157" s="673"/>
      <c r="AG1157" s="673"/>
      <c r="AH1157" s="673"/>
      <c r="AI1157" s="673"/>
      <c r="AJ1157" s="673"/>
      <c r="AK1157" s="673"/>
      <c r="AL1157" s="673"/>
      <c r="AM1157" s="673"/>
      <c r="AN1157" s="673"/>
      <c r="AO1157" s="673"/>
      <c r="AP1157" s="673"/>
      <c r="AQ1157" s="673"/>
      <c r="AR1157" s="673"/>
      <c r="AS1157" s="673"/>
      <c r="AT1157" s="696"/>
    </row>
    <row r="1158" ht="15.75" customHeight="1">
      <c r="A1158" s="653"/>
      <c r="B1158" s="654"/>
      <c r="C1158" s="691"/>
      <c r="D1158" s="656"/>
      <c r="E1158" s="657"/>
      <c r="F1158" s="658"/>
      <c r="G1158" s="659"/>
      <c r="H1158" s="660"/>
      <c r="I1158" s="659"/>
      <c r="J1158" s="661"/>
      <c r="K1158" s="692"/>
      <c r="L1158" s="645"/>
      <c r="M1158" s="663"/>
      <c r="N1158" s="665"/>
      <c r="O1158" s="665"/>
      <c r="P1158" s="666"/>
      <c r="Q1158" s="667"/>
      <c r="R1158" s="668"/>
      <c r="S1158" s="693"/>
      <c r="T1158" s="694"/>
      <c r="U1158" s="694"/>
      <c r="V1158" s="693"/>
      <c r="W1158" s="693"/>
      <c r="X1158" s="693"/>
      <c r="Y1158" s="671"/>
      <c r="Z1158" s="673"/>
      <c r="AA1158" s="672"/>
      <c r="AB1158" s="695"/>
      <c r="AC1158" s="673"/>
      <c r="AD1158" s="673"/>
      <c r="AE1158" s="673"/>
      <c r="AF1158" s="673"/>
      <c r="AG1158" s="673"/>
      <c r="AH1158" s="673"/>
      <c r="AI1158" s="673"/>
      <c r="AJ1158" s="673"/>
      <c r="AK1158" s="673"/>
      <c r="AL1158" s="673"/>
      <c r="AM1158" s="673"/>
      <c r="AN1158" s="673"/>
      <c r="AO1158" s="673"/>
      <c r="AP1158" s="673"/>
      <c r="AQ1158" s="673"/>
      <c r="AR1158" s="673"/>
      <c r="AS1158" s="673"/>
      <c r="AT1158" s="696"/>
    </row>
    <row r="1159" ht="15.75" customHeight="1">
      <c r="A1159" s="653"/>
      <c r="B1159" s="654"/>
      <c r="C1159" s="691"/>
      <c r="D1159" s="656"/>
      <c r="E1159" s="657"/>
      <c r="F1159" s="658"/>
      <c r="G1159" s="659"/>
      <c r="H1159" s="660"/>
      <c r="I1159" s="659"/>
      <c r="J1159" s="661"/>
      <c r="K1159" s="692"/>
      <c r="L1159" s="645"/>
      <c r="M1159" s="663"/>
      <c r="N1159" s="665"/>
      <c r="O1159" s="665"/>
      <c r="P1159" s="666"/>
      <c r="Q1159" s="667"/>
      <c r="R1159" s="668"/>
      <c r="S1159" s="693"/>
      <c r="T1159" s="694"/>
      <c r="U1159" s="694"/>
      <c r="V1159" s="693"/>
      <c r="W1159" s="693"/>
      <c r="X1159" s="693"/>
      <c r="Y1159" s="671"/>
      <c r="Z1159" s="673"/>
      <c r="AA1159" s="672"/>
      <c r="AB1159" s="695"/>
      <c r="AC1159" s="673"/>
      <c r="AD1159" s="673"/>
      <c r="AE1159" s="673"/>
      <c r="AF1159" s="673"/>
      <c r="AG1159" s="673"/>
      <c r="AH1159" s="673"/>
      <c r="AI1159" s="673"/>
      <c r="AJ1159" s="673"/>
      <c r="AK1159" s="673"/>
      <c r="AL1159" s="673"/>
      <c r="AM1159" s="673"/>
      <c r="AN1159" s="673"/>
      <c r="AO1159" s="673"/>
      <c r="AP1159" s="673"/>
      <c r="AQ1159" s="673"/>
      <c r="AR1159" s="673"/>
      <c r="AS1159" s="673"/>
      <c r="AT1159" s="696"/>
    </row>
    <row r="1160" ht="15.75" customHeight="1">
      <c r="A1160" s="653"/>
      <c r="B1160" s="654"/>
      <c r="C1160" s="691"/>
      <c r="D1160" s="656"/>
      <c r="E1160" s="657"/>
      <c r="F1160" s="658"/>
      <c r="G1160" s="659"/>
      <c r="H1160" s="660"/>
      <c r="I1160" s="659"/>
      <c r="J1160" s="661"/>
      <c r="K1160" s="692"/>
      <c r="L1160" s="645"/>
      <c r="M1160" s="663"/>
      <c r="N1160" s="665"/>
      <c r="O1160" s="665"/>
      <c r="P1160" s="666"/>
      <c r="Q1160" s="667"/>
      <c r="R1160" s="668"/>
      <c r="S1160" s="693"/>
      <c r="T1160" s="694"/>
      <c r="U1160" s="694"/>
      <c r="V1160" s="693"/>
      <c r="W1160" s="693"/>
      <c r="X1160" s="693"/>
      <c r="Y1160" s="671"/>
      <c r="Z1160" s="673"/>
      <c r="AA1160" s="672"/>
      <c r="AB1160" s="695"/>
      <c r="AC1160" s="673"/>
      <c r="AD1160" s="673"/>
      <c r="AE1160" s="673"/>
      <c r="AF1160" s="673"/>
      <c r="AG1160" s="673"/>
      <c r="AH1160" s="673"/>
      <c r="AI1160" s="673"/>
      <c r="AJ1160" s="673"/>
      <c r="AK1160" s="673"/>
      <c r="AL1160" s="673"/>
      <c r="AM1160" s="673"/>
      <c r="AN1160" s="673"/>
      <c r="AO1160" s="673"/>
      <c r="AP1160" s="673"/>
      <c r="AQ1160" s="673"/>
      <c r="AR1160" s="673"/>
      <c r="AS1160" s="673"/>
      <c r="AT1160" s="696"/>
    </row>
    <row r="1161" ht="15.75" customHeight="1">
      <c r="A1161" s="653"/>
      <c r="B1161" s="654"/>
      <c r="C1161" s="691"/>
      <c r="D1161" s="656"/>
      <c r="E1161" s="657"/>
      <c r="F1161" s="658"/>
      <c r="G1161" s="659"/>
      <c r="H1161" s="660"/>
      <c r="I1161" s="659"/>
      <c r="J1161" s="661"/>
      <c r="K1161" s="692"/>
      <c r="L1161" s="645"/>
      <c r="M1161" s="663"/>
      <c r="N1161" s="665"/>
      <c r="O1161" s="665"/>
      <c r="P1161" s="666"/>
      <c r="Q1161" s="667"/>
      <c r="R1161" s="668"/>
      <c r="S1161" s="693"/>
      <c r="T1161" s="694"/>
      <c r="U1161" s="694"/>
      <c r="V1161" s="693"/>
      <c r="W1161" s="693"/>
      <c r="X1161" s="693"/>
      <c r="Y1161" s="671"/>
      <c r="Z1161" s="673"/>
      <c r="AA1161" s="672"/>
      <c r="AB1161" s="695"/>
      <c r="AC1161" s="673"/>
      <c r="AD1161" s="673"/>
      <c r="AE1161" s="673"/>
      <c r="AF1161" s="673"/>
      <c r="AG1161" s="673"/>
      <c r="AH1161" s="673"/>
      <c r="AI1161" s="673"/>
      <c r="AJ1161" s="673"/>
      <c r="AK1161" s="673"/>
      <c r="AL1161" s="673"/>
      <c r="AM1161" s="673"/>
      <c r="AN1161" s="673"/>
      <c r="AO1161" s="673"/>
      <c r="AP1161" s="673"/>
      <c r="AQ1161" s="673"/>
      <c r="AR1161" s="673"/>
      <c r="AS1161" s="673"/>
      <c r="AT1161" s="696"/>
    </row>
    <row r="1162" ht="15.75" customHeight="1">
      <c r="A1162" s="653"/>
      <c r="B1162" s="654"/>
      <c r="C1162" s="691"/>
      <c r="D1162" s="656"/>
      <c r="E1162" s="657"/>
      <c r="F1162" s="658"/>
      <c r="G1162" s="659"/>
      <c r="H1162" s="660"/>
      <c r="I1162" s="659"/>
      <c r="J1162" s="661"/>
      <c r="K1162" s="692"/>
      <c r="L1162" s="645"/>
      <c r="M1162" s="663"/>
      <c r="N1162" s="665"/>
      <c r="O1162" s="665"/>
      <c r="P1162" s="666"/>
      <c r="Q1162" s="667"/>
      <c r="R1162" s="668"/>
      <c r="S1162" s="693"/>
      <c r="T1162" s="694"/>
      <c r="U1162" s="694"/>
      <c r="V1162" s="693"/>
      <c r="W1162" s="693"/>
      <c r="X1162" s="693"/>
      <c r="Y1162" s="671"/>
      <c r="Z1162" s="673"/>
      <c r="AA1162" s="672"/>
      <c r="AB1162" s="695"/>
      <c r="AC1162" s="673"/>
      <c r="AD1162" s="673"/>
      <c r="AE1162" s="673"/>
      <c r="AF1162" s="673"/>
      <c r="AG1162" s="673"/>
      <c r="AH1162" s="673"/>
      <c r="AI1162" s="673"/>
      <c r="AJ1162" s="673"/>
      <c r="AK1162" s="673"/>
      <c r="AL1162" s="673"/>
      <c r="AM1162" s="673"/>
      <c r="AN1162" s="673"/>
      <c r="AO1162" s="673"/>
      <c r="AP1162" s="673"/>
      <c r="AQ1162" s="673"/>
      <c r="AR1162" s="673"/>
      <c r="AS1162" s="673"/>
      <c r="AT1162" s="696"/>
    </row>
    <row r="1163" ht="15.75" customHeight="1">
      <c r="A1163" s="653"/>
      <c r="B1163" s="654"/>
      <c r="C1163" s="691"/>
      <c r="D1163" s="656"/>
      <c r="E1163" s="657"/>
      <c r="F1163" s="658"/>
      <c r="G1163" s="659"/>
      <c r="H1163" s="660"/>
      <c r="I1163" s="659"/>
      <c r="J1163" s="661"/>
      <c r="K1163" s="692"/>
      <c r="L1163" s="645"/>
      <c r="M1163" s="663"/>
      <c r="N1163" s="665"/>
      <c r="O1163" s="665"/>
      <c r="P1163" s="666"/>
      <c r="Q1163" s="667"/>
      <c r="R1163" s="668"/>
      <c r="S1163" s="693"/>
      <c r="T1163" s="694"/>
      <c r="U1163" s="694"/>
      <c r="V1163" s="693"/>
      <c r="W1163" s="693"/>
      <c r="X1163" s="693"/>
      <c r="Y1163" s="671"/>
      <c r="Z1163" s="673"/>
      <c r="AA1163" s="672"/>
      <c r="AB1163" s="695"/>
      <c r="AC1163" s="673"/>
      <c r="AD1163" s="673"/>
      <c r="AE1163" s="673"/>
      <c r="AF1163" s="673"/>
      <c r="AG1163" s="673"/>
      <c r="AH1163" s="673"/>
      <c r="AI1163" s="673"/>
      <c r="AJ1163" s="673"/>
      <c r="AK1163" s="673"/>
      <c r="AL1163" s="673"/>
      <c r="AM1163" s="673"/>
      <c r="AN1163" s="673"/>
      <c r="AO1163" s="673"/>
      <c r="AP1163" s="673"/>
      <c r="AQ1163" s="673"/>
      <c r="AR1163" s="673"/>
      <c r="AS1163" s="673"/>
      <c r="AT1163" s="696"/>
    </row>
    <row r="1164" ht="15.75" customHeight="1">
      <c r="A1164" s="653"/>
      <c r="B1164" s="654"/>
      <c r="C1164" s="691"/>
      <c r="D1164" s="656"/>
      <c r="E1164" s="657"/>
      <c r="F1164" s="658"/>
      <c r="G1164" s="659"/>
      <c r="H1164" s="660"/>
      <c r="I1164" s="659"/>
      <c r="J1164" s="661"/>
      <c r="K1164" s="692"/>
      <c r="L1164" s="645"/>
      <c r="M1164" s="663"/>
      <c r="N1164" s="665"/>
      <c r="O1164" s="665"/>
      <c r="P1164" s="666"/>
      <c r="Q1164" s="667"/>
      <c r="R1164" s="668"/>
      <c r="S1164" s="693"/>
      <c r="T1164" s="694"/>
      <c r="U1164" s="694"/>
      <c r="V1164" s="693"/>
      <c r="W1164" s="693"/>
      <c r="X1164" s="693"/>
      <c r="Y1164" s="671"/>
      <c r="Z1164" s="673"/>
      <c r="AA1164" s="672"/>
      <c r="AB1164" s="695"/>
      <c r="AC1164" s="673"/>
      <c r="AD1164" s="673"/>
      <c r="AE1164" s="673"/>
      <c r="AF1164" s="673"/>
      <c r="AG1164" s="673"/>
      <c r="AH1164" s="673"/>
      <c r="AI1164" s="673"/>
      <c r="AJ1164" s="673"/>
      <c r="AK1164" s="673"/>
      <c r="AL1164" s="673"/>
      <c r="AM1164" s="673"/>
      <c r="AN1164" s="673"/>
      <c r="AO1164" s="673"/>
      <c r="AP1164" s="673"/>
      <c r="AQ1164" s="673"/>
      <c r="AR1164" s="673"/>
      <c r="AS1164" s="673"/>
      <c r="AT1164" s="696"/>
    </row>
    <row r="1165" ht="15.75" customHeight="1">
      <c r="A1165" s="653"/>
      <c r="B1165" s="654"/>
      <c r="C1165" s="691"/>
      <c r="D1165" s="656"/>
      <c r="E1165" s="657"/>
      <c r="F1165" s="658"/>
      <c r="G1165" s="659"/>
      <c r="H1165" s="660"/>
      <c r="I1165" s="659"/>
      <c r="J1165" s="661"/>
      <c r="K1165" s="692"/>
      <c r="L1165" s="645"/>
      <c r="M1165" s="663"/>
      <c r="N1165" s="665"/>
      <c r="O1165" s="665"/>
      <c r="P1165" s="666"/>
      <c r="Q1165" s="667"/>
      <c r="R1165" s="668"/>
      <c r="S1165" s="693"/>
      <c r="T1165" s="694"/>
      <c r="U1165" s="694"/>
      <c r="V1165" s="693"/>
      <c r="W1165" s="693"/>
      <c r="X1165" s="693"/>
      <c r="Y1165" s="671"/>
      <c r="Z1165" s="673"/>
      <c r="AA1165" s="672"/>
      <c r="AB1165" s="695"/>
      <c r="AC1165" s="673"/>
      <c r="AD1165" s="673"/>
      <c r="AE1165" s="673"/>
      <c r="AF1165" s="673"/>
      <c r="AG1165" s="673"/>
      <c r="AH1165" s="673"/>
      <c r="AI1165" s="673"/>
      <c r="AJ1165" s="673"/>
      <c r="AK1165" s="673"/>
      <c r="AL1165" s="673"/>
      <c r="AM1165" s="673"/>
      <c r="AN1165" s="673"/>
      <c r="AO1165" s="673"/>
      <c r="AP1165" s="673"/>
      <c r="AQ1165" s="673"/>
      <c r="AR1165" s="673"/>
      <c r="AS1165" s="673"/>
      <c r="AT1165" s="696"/>
    </row>
    <row r="1166" ht="15.75" customHeight="1">
      <c r="A1166" s="653"/>
      <c r="B1166" s="654"/>
      <c r="C1166" s="691"/>
      <c r="D1166" s="656"/>
      <c r="E1166" s="657"/>
      <c r="F1166" s="658"/>
      <c r="G1166" s="659"/>
      <c r="H1166" s="660"/>
      <c r="I1166" s="659"/>
      <c r="J1166" s="661"/>
      <c r="K1166" s="692"/>
      <c r="L1166" s="645"/>
      <c r="M1166" s="663"/>
      <c r="N1166" s="665"/>
      <c r="O1166" s="665"/>
      <c r="P1166" s="666"/>
      <c r="Q1166" s="667"/>
      <c r="R1166" s="668"/>
      <c r="S1166" s="693"/>
      <c r="T1166" s="694"/>
      <c r="U1166" s="694"/>
      <c r="V1166" s="693"/>
      <c r="W1166" s="693"/>
      <c r="X1166" s="693"/>
      <c r="Y1166" s="671"/>
      <c r="Z1166" s="673"/>
      <c r="AA1166" s="672"/>
      <c r="AB1166" s="695"/>
      <c r="AC1166" s="673"/>
      <c r="AD1166" s="673"/>
      <c r="AE1166" s="673"/>
      <c r="AF1166" s="673"/>
      <c r="AG1166" s="673"/>
      <c r="AH1166" s="673"/>
      <c r="AI1166" s="673"/>
      <c r="AJ1166" s="673"/>
      <c r="AK1166" s="673"/>
      <c r="AL1166" s="673"/>
      <c r="AM1166" s="673"/>
      <c r="AN1166" s="673"/>
      <c r="AO1166" s="673"/>
      <c r="AP1166" s="673"/>
      <c r="AQ1166" s="673"/>
      <c r="AR1166" s="673"/>
      <c r="AS1166" s="673"/>
      <c r="AT1166" s="696"/>
    </row>
    <row r="1167" ht="15.75" customHeight="1">
      <c r="A1167" s="653"/>
      <c r="B1167" s="654"/>
      <c r="C1167" s="691"/>
      <c r="D1167" s="656"/>
      <c r="E1167" s="657"/>
      <c r="F1167" s="658"/>
      <c r="G1167" s="659"/>
      <c r="H1167" s="660"/>
      <c r="I1167" s="659"/>
      <c r="J1167" s="661"/>
      <c r="K1167" s="692"/>
      <c r="L1167" s="645"/>
      <c r="M1167" s="663"/>
      <c r="N1167" s="665"/>
      <c r="O1167" s="665"/>
      <c r="P1167" s="666"/>
      <c r="Q1167" s="667"/>
      <c r="R1167" s="668"/>
      <c r="S1167" s="693"/>
      <c r="T1167" s="694"/>
      <c r="U1167" s="694"/>
      <c r="V1167" s="693"/>
      <c r="W1167" s="693"/>
      <c r="X1167" s="693"/>
      <c r="Y1167" s="671"/>
      <c r="Z1167" s="673"/>
      <c r="AA1167" s="672"/>
      <c r="AB1167" s="695"/>
      <c r="AC1167" s="673"/>
      <c r="AD1167" s="673"/>
      <c r="AE1167" s="673"/>
      <c r="AF1167" s="673"/>
      <c r="AG1167" s="673"/>
      <c r="AH1167" s="673"/>
      <c r="AI1167" s="673"/>
      <c r="AJ1167" s="673"/>
      <c r="AK1167" s="673"/>
      <c r="AL1167" s="673"/>
      <c r="AM1167" s="673"/>
      <c r="AN1167" s="673"/>
      <c r="AO1167" s="673"/>
      <c r="AP1167" s="673"/>
      <c r="AQ1167" s="673"/>
      <c r="AR1167" s="673"/>
      <c r="AS1167" s="673"/>
      <c r="AT1167" s="696"/>
    </row>
    <row r="1168" ht="15.75" customHeight="1">
      <c r="A1168" s="653"/>
      <c r="B1168" s="654"/>
      <c r="C1168" s="691"/>
      <c r="D1168" s="656"/>
      <c r="E1168" s="657"/>
      <c r="F1168" s="658"/>
      <c r="G1168" s="659"/>
      <c r="H1168" s="660"/>
      <c r="I1168" s="659"/>
      <c r="J1168" s="661"/>
      <c r="K1168" s="692"/>
      <c r="L1168" s="645"/>
      <c r="M1168" s="663"/>
      <c r="N1168" s="665"/>
      <c r="O1168" s="665"/>
      <c r="P1168" s="666"/>
      <c r="Q1168" s="667"/>
      <c r="R1168" s="668"/>
      <c r="S1168" s="693"/>
      <c r="T1168" s="694"/>
      <c r="U1168" s="694"/>
      <c r="V1168" s="693"/>
      <c r="W1168" s="693"/>
      <c r="X1168" s="693"/>
      <c r="Y1168" s="671"/>
      <c r="Z1168" s="673"/>
      <c r="AA1168" s="672"/>
      <c r="AB1168" s="695"/>
      <c r="AC1168" s="673"/>
      <c r="AD1168" s="673"/>
      <c r="AE1168" s="673"/>
      <c r="AF1168" s="673"/>
      <c r="AG1168" s="673"/>
      <c r="AH1168" s="673"/>
      <c r="AI1168" s="673"/>
      <c r="AJ1168" s="673"/>
      <c r="AK1168" s="673"/>
      <c r="AL1168" s="673"/>
      <c r="AM1168" s="673"/>
      <c r="AN1168" s="673"/>
      <c r="AO1168" s="673"/>
      <c r="AP1168" s="673"/>
      <c r="AQ1168" s="673"/>
      <c r="AR1168" s="673"/>
      <c r="AS1168" s="673"/>
      <c r="AT1168" s="696"/>
    </row>
    <row r="1169" ht="15.75" customHeight="1">
      <c r="A1169" s="653"/>
      <c r="B1169" s="654"/>
      <c r="C1169" s="691"/>
      <c r="D1169" s="656"/>
      <c r="E1169" s="657"/>
      <c r="F1169" s="658"/>
      <c r="G1169" s="659"/>
      <c r="H1169" s="660"/>
      <c r="I1169" s="659"/>
      <c r="J1169" s="661"/>
      <c r="K1169" s="692"/>
      <c r="L1169" s="645"/>
      <c r="M1169" s="663"/>
      <c r="N1169" s="665"/>
      <c r="O1169" s="665"/>
      <c r="P1169" s="666"/>
      <c r="Q1169" s="667"/>
      <c r="R1169" s="668"/>
      <c r="S1169" s="693"/>
      <c r="T1169" s="694"/>
      <c r="U1169" s="694"/>
      <c r="V1169" s="693"/>
      <c r="W1169" s="693"/>
      <c r="X1169" s="693"/>
      <c r="Y1169" s="671"/>
      <c r="Z1169" s="673"/>
      <c r="AA1169" s="672"/>
      <c r="AB1169" s="695"/>
      <c r="AC1169" s="673"/>
      <c r="AD1169" s="673"/>
      <c r="AE1169" s="673"/>
      <c r="AF1169" s="673"/>
      <c r="AG1169" s="673"/>
      <c r="AH1169" s="673"/>
      <c r="AI1169" s="673"/>
      <c r="AJ1169" s="673"/>
      <c r="AK1169" s="673"/>
      <c r="AL1169" s="673"/>
      <c r="AM1169" s="673"/>
      <c r="AN1169" s="673"/>
      <c r="AO1169" s="673"/>
      <c r="AP1169" s="673"/>
      <c r="AQ1169" s="673"/>
      <c r="AR1169" s="673"/>
      <c r="AS1169" s="673"/>
      <c r="AT1169" s="696"/>
    </row>
    <row r="1170" ht="15.75" customHeight="1">
      <c r="A1170" s="653"/>
      <c r="B1170" s="654"/>
      <c r="C1170" s="691"/>
      <c r="D1170" s="656"/>
      <c r="E1170" s="657"/>
      <c r="F1170" s="658"/>
      <c r="G1170" s="659"/>
      <c r="H1170" s="660"/>
      <c r="I1170" s="659"/>
      <c r="J1170" s="661"/>
      <c r="K1170" s="692"/>
      <c r="L1170" s="645"/>
      <c r="M1170" s="663"/>
      <c r="N1170" s="665"/>
      <c r="O1170" s="665"/>
      <c r="P1170" s="666"/>
      <c r="Q1170" s="667"/>
      <c r="R1170" s="668"/>
      <c r="S1170" s="693"/>
      <c r="T1170" s="694"/>
      <c r="U1170" s="694"/>
      <c r="V1170" s="693"/>
      <c r="W1170" s="693"/>
      <c r="X1170" s="693"/>
      <c r="Y1170" s="671"/>
      <c r="Z1170" s="673"/>
      <c r="AA1170" s="672"/>
      <c r="AB1170" s="695"/>
      <c r="AC1170" s="673"/>
      <c r="AD1170" s="673"/>
      <c r="AE1170" s="673"/>
      <c r="AF1170" s="673"/>
      <c r="AG1170" s="673"/>
      <c r="AH1170" s="673"/>
      <c r="AI1170" s="673"/>
      <c r="AJ1170" s="673"/>
      <c r="AK1170" s="673"/>
      <c r="AL1170" s="673"/>
      <c r="AM1170" s="673"/>
      <c r="AN1170" s="673"/>
      <c r="AO1170" s="673"/>
      <c r="AP1170" s="673"/>
      <c r="AQ1170" s="673"/>
      <c r="AR1170" s="673"/>
      <c r="AS1170" s="673"/>
      <c r="AT1170" s="696"/>
    </row>
    <row r="1171" ht="15.75" customHeight="1">
      <c r="A1171" s="653"/>
      <c r="B1171" s="654"/>
      <c r="C1171" s="691"/>
      <c r="D1171" s="656"/>
      <c r="E1171" s="657"/>
      <c r="F1171" s="658"/>
      <c r="G1171" s="659"/>
      <c r="H1171" s="660"/>
      <c r="I1171" s="659"/>
      <c r="J1171" s="661"/>
      <c r="K1171" s="692"/>
      <c r="L1171" s="645"/>
      <c r="M1171" s="663"/>
      <c r="N1171" s="665"/>
      <c r="O1171" s="665"/>
      <c r="P1171" s="666"/>
      <c r="Q1171" s="667"/>
      <c r="R1171" s="668"/>
      <c r="S1171" s="693"/>
      <c r="T1171" s="694"/>
      <c r="U1171" s="694"/>
      <c r="V1171" s="693"/>
      <c r="W1171" s="693"/>
      <c r="X1171" s="693"/>
      <c r="Y1171" s="671"/>
      <c r="Z1171" s="673"/>
      <c r="AA1171" s="672"/>
      <c r="AB1171" s="695"/>
      <c r="AC1171" s="673"/>
      <c r="AD1171" s="673"/>
      <c r="AE1171" s="673"/>
      <c r="AF1171" s="673"/>
      <c r="AG1171" s="673"/>
      <c r="AH1171" s="673"/>
      <c r="AI1171" s="673"/>
      <c r="AJ1171" s="673"/>
      <c r="AK1171" s="673"/>
      <c r="AL1171" s="673"/>
      <c r="AM1171" s="673"/>
      <c r="AN1171" s="673"/>
      <c r="AO1171" s="673"/>
      <c r="AP1171" s="673"/>
      <c r="AQ1171" s="673"/>
      <c r="AR1171" s="673"/>
      <c r="AS1171" s="673"/>
      <c r="AT1171" s="696"/>
    </row>
    <row r="1172" ht="15.75" customHeight="1">
      <c r="A1172" s="653"/>
      <c r="B1172" s="654"/>
      <c r="C1172" s="691"/>
      <c r="D1172" s="656"/>
      <c r="E1172" s="657"/>
      <c r="F1172" s="658"/>
      <c r="G1172" s="659"/>
      <c r="H1172" s="660"/>
      <c r="I1172" s="659"/>
      <c r="J1172" s="661"/>
      <c r="K1172" s="692"/>
      <c r="L1172" s="645"/>
      <c r="M1172" s="663"/>
      <c r="N1172" s="665"/>
      <c r="O1172" s="665"/>
      <c r="P1172" s="666"/>
      <c r="Q1172" s="667"/>
      <c r="R1172" s="668"/>
      <c r="S1172" s="693"/>
      <c r="T1172" s="694"/>
      <c r="U1172" s="694"/>
      <c r="V1172" s="693"/>
      <c r="W1172" s="693"/>
      <c r="X1172" s="693"/>
      <c r="Y1172" s="671"/>
      <c r="Z1172" s="673"/>
      <c r="AA1172" s="672"/>
      <c r="AB1172" s="695"/>
      <c r="AC1172" s="673"/>
      <c r="AD1172" s="673"/>
      <c r="AE1172" s="673"/>
      <c r="AF1172" s="673"/>
      <c r="AG1172" s="673"/>
      <c r="AH1172" s="673"/>
      <c r="AI1172" s="673"/>
      <c r="AJ1172" s="673"/>
      <c r="AK1172" s="673"/>
      <c r="AL1172" s="673"/>
      <c r="AM1172" s="673"/>
      <c r="AN1172" s="673"/>
      <c r="AO1172" s="673"/>
      <c r="AP1172" s="673"/>
      <c r="AQ1172" s="673"/>
      <c r="AR1172" s="673"/>
      <c r="AS1172" s="673"/>
      <c r="AT1172" s="696"/>
    </row>
    <row r="1173" ht="15.75" customHeight="1">
      <c r="A1173" s="653"/>
      <c r="B1173" s="654"/>
      <c r="C1173" s="691"/>
      <c r="D1173" s="656"/>
      <c r="E1173" s="657"/>
      <c r="F1173" s="658"/>
      <c r="G1173" s="659"/>
      <c r="H1173" s="660"/>
      <c r="I1173" s="659"/>
      <c r="J1173" s="661"/>
      <c r="K1173" s="692"/>
      <c r="L1173" s="645"/>
      <c r="M1173" s="663"/>
      <c r="N1173" s="665"/>
      <c r="O1173" s="665"/>
      <c r="P1173" s="666"/>
      <c r="Q1173" s="667"/>
      <c r="R1173" s="668"/>
      <c r="S1173" s="693"/>
      <c r="T1173" s="694"/>
      <c r="U1173" s="694"/>
      <c r="V1173" s="693"/>
      <c r="W1173" s="693"/>
      <c r="X1173" s="693"/>
      <c r="Y1173" s="671"/>
      <c r="Z1173" s="673"/>
      <c r="AA1173" s="672"/>
      <c r="AB1173" s="695"/>
      <c r="AC1173" s="673"/>
      <c r="AD1173" s="673"/>
      <c r="AE1173" s="673"/>
      <c r="AF1173" s="673"/>
      <c r="AG1173" s="673"/>
      <c r="AH1173" s="673"/>
      <c r="AI1173" s="673"/>
      <c r="AJ1173" s="673"/>
      <c r="AK1173" s="673"/>
      <c r="AL1173" s="673"/>
      <c r="AM1173" s="673"/>
      <c r="AN1173" s="673"/>
      <c r="AO1173" s="673"/>
      <c r="AP1173" s="673"/>
      <c r="AQ1173" s="673"/>
      <c r="AR1173" s="673"/>
      <c r="AS1173" s="673"/>
      <c r="AT1173" s="696"/>
    </row>
    <row r="1174" ht="15.75" customHeight="1">
      <c r="A1174" s="653"/>
      <c r="B1174" s="654"/>
      <c r="C1174" s="691"/>
      <c r="D1174" s="656"/>
      <c r="E1174" s="657"/>
      <c r="F1174" s="658"/>
      <c r="G1174" s="659"/>
      <c r="H1174" s="660"/>
      <c r="I1174" s="659"/>
      <c r="J1174" s="661"/>
      <c r="K1174" s="692"/>
      <c r="L1174" s="645"/>
      <c r="M1174" s="663"/>
      <c r="N1174" s="665"/>
      <c r="O1174" s="665"/>
      <c r="P1174" s="666"/>
      <c r="Q1174" s="667"/>
      <c r="R1174" s="668"/>
      <c r="S1174" s="693"/>
      <c r="T1174" s="694"/>
      <c r="U1174" s="694"/>
      <c r="V1174" s="693"/>
      <c r="W1174" s="693"/>
      <c r="X1174" s="693"/>
      <c r="Y1174" s="671"/>
      <c r="Z1174" s="673"/>
      <c r="AA1174" s="672"/>
      <c r="AB1174" s="695"/>
      <c r="AC1174" s="673"/>
      <c r="AD1174" s="673"/>
      <c r="AE1174" s="673"/>
      <c r="AF1174" s="673"/>
      <c r="AG1174" s="673"/>
      <c r="AH1174" s="673"/>
      <c r="AI1174" s="673"/>
      <c r="AJ1174" s="673"/>
      <c r="AK1174" s="673"/>
      <c r="AL1174" s="673"/>
      <c r="AM1174" s="673"/>
      <c r="AN1174" s="673"/>
      <c r="AO1174" s="673"/>
      <c r="AP1174" s="673"/>
      <c r="AQ1174" s="673"/>
      <c r="AR1174" s="673"/>
      <c r="AS1174" s="673"/>
      <c r="AT1174" s="696"/>
    </row>
    <row r="1175" ht="15.75" customHeight="1">
      <c r="A1175" s="653"/>
      <c r="B1175" s="654"/>
      <c r="C1175" s="691"/>
      <c r="D1175" s="656"/>
      <c r="E1175" s="657"/>
      <c r="F1175" s="658"/>
      <c r="G1175" s="659"/>
      <c r="H1175" s="660"/>
      <c r="I1175" s="659"/>
      <c r="J1175" s="661"/>
      <c r="K1175" s="692"/>
      <c r="L1175" s="645"/>
      <c r="M1175" s="663"/>
      <c r="N1175" s="665"/>
      <c r="O1175" s="665"/>
      <c r="P1175" s="666"/>
      <c r="Q1175" s="667"/>
      <c r="R1175" s="668"/>
      <c r="S1175" s="693"/>
      <c r="T1175" s="694"/>
      <c r="U1175" s="694"/>
      <c r="V1175" s="693"/>
      <c r="W1175" s="693"/>
      <c r="X1175" s="693"/>
      <c r="Y1175" s="671"/>
      <c r="Z1175" s="673"/>
      <c r="AA1175" s="672"/>
      <c r="AB1175" s="695"/>
      <c r="AC1175" s="673"/>
      <c r="AD1175" s="673"/>
      <c r="AE1175" s="673"/>
      <c r="AF1175" s="673"/>
      <c r="AG1175" s="673"/>
      <c r="AH1175" s="673"/>
      <c r="AI1175" s="673"/>
      <c r="AJ1175" s="673"/>
      <c r="AK1175" s="673"/>
      <c r="AL1175" s="673"/>
      <c r="AM1175" s="673"/>
      <c r="AN1175" s="673"/>
      <c r="AO1175" s="673"/>
      <c r="AP1175" s="673"/>
      <c r="AQ1175" s="673"/>
      <c r="AR1175" s="673"/>
      <c r="AS1175" s="673"/>
      <c r="AT1175" s="696"/>
    </row>
    <row r="1176" ht="15.75" customHeight="1">
      <c r="A1176" s="653"/>
      <c r="B1176" s="654"/>
      <c r="C1176" s="691"/>
      <c r="D1176" s="656"/>
      <c r="E1176" s="657"/>
      <c r="F1176" s="658"/>
      <c r="G1176" s="659"/>
      <c r="H1176" s="660"/>
      <c r="I1176" s="659"/>
      <c r="J1176" s="661"/>
      <c r="K1176" s="692"/>
      <c r="L1176" s="645"/>
      <c r="M1176" s="663"/>
      <c r="N1176" s="665"/>
      <c r="O1176" s="665"/>
      <c r="P1176" s="666"/>
      <c r="Q1176" s="667"/>
      <c r="R1176" s="668"/>
      <c r="S1176" s="693"/>
      <c r="T1176" s="694"/>
      <c r="U1176" s="694"/>
      <c r="V1176" s="693"/>
      <c r="W1176" s="693"/>
      <c r="X1176" s="693"/>
      <c r="Y1176" s="671"/>
      <c r="Z1176" s="673"/>
      <c r="AA1176" s="672"/>
      <c r="AB1176" s="695"/>
      <c r="AC1176" s="673"/>
      <c r="AD1176" s="673"/>
      <c r="AE1176" s="673"/>
      <c r="AF1176" s="673"/>
      <c r="AG1176" s="673"/>
      <c r="AH1176" s="673"/>
      <c r="AI1176" s="673"/>
      <c r="AJ1176" s="673"/>
      <c r="AK1176" s="673"/>
      <c r="AL1176" s="673"/>
      <c r="AM1176" s="673"/>
      <c r="AN1176" s="673"/>
      <c r="AO1176" s="673"/>
      <c r="AP1176" s="673"/>
      <c r="AQ1176" s="673"/>
      <c r="AR1176" s="673"/>
      <c r="AS1176" s="673"/>
      <c r="AT1176" s="696"/>
    </row>
    <row r="1177" ht="15.75" customHeight="1">
      <c r="A1177" s="653"/>
      <c r="B1177" s="654"/>
      <c r="C1177" s="691"/>
      <c r="D1177" s="656"/>
      <c r="E1177" s="657"/>
      <c r="F1177" s="658"/>
      <c r="G1177" s="659"/>
      <c r="H1177" s="660"/>
      <c r="I1177" s="659"/>
      <c r="J1177" s="661"/>
      <c r="K1177" s="692"/>
      <c r="L1177" s="645"/>
      <c r="M1177" s="663"/>
      <c r="N1177" s="665"/>
      <c r="O1177" s="665"/>
      <c r="P1177" s="666"/>
      <c r="Q1177" s="667"/>
      <c r="R1177" s="668"/>
      <c r="S1177" s="693"/>
      <c r="T1177" s="694"/>
      <c r="U1177" s="694"/>
      <c r="V1177" s="693"/>
      <c r="W1177" s="693"/>
      <c r="X1177" s="693"/>
      <c r="Y1177" s="671"/>
      <c r="Z1177" s="673"/>
      <c r="AA1177" s="672"/>
      <c r="AB1177" s="695"/>
      <c r="AC1177" s="673"/>
      <c r="AD1177" s="673"/>
      <c r="AE1177" s="673"/>
      <c r="AF1177" s="673"/>
      <c r="AG1177" s="673"/>
      <c r="AH1177" s="673"/>
      <c r="AI1177" s="673"/>
      <c r="AJ1177" s="673"/>
      <c r="AK1177" s="673"/>
      <c r="AL1177" s="673"/>
      <c r="AM1177" s="673"/>
      <c r="AN1177" s="673"/>
      <c r="AO1177" s="673"/>
      <c r="AP1177" s="673"/>
      <c r="AQ1177" s="673"/>
      <c r="AR1177" s="673"/>
      <c r="AS1177" s="673"/>
      <c r="AT1177" s="696"/>
    </row>
    <row r="1178" ht="15.75" customHeight="1">
      <c r="A1178" s="653"/>
      <c r="B1178" s="654"/>
      <c r="C1178" s="691"/>
      <c r="D1178" s="656"/>
      <c r="E1178" s="657"/>
      <c r="F1178" s="658"/>
      <c r="G1178" s="659"/>
      <c r="H1178" s="660"/>
      <c r="I1178" s="659"/>
      <c r="J1178" s="661"/>
      <c r="K1178" s="692"/>
      <c r="L1178" s="645"/>
      <c r="M1178" s="663"/>
      <c r="N1178" s="665"/>
      <c r="O1178" s="665"/>
      <c r="P1178" s="666"/>
      <c r="Q1178" s="667"/>
      <c r="R1178" s="668"/>
      <c r="S1178" s="693"/>
      <c r="T1178" s="694"/>
      <c r="U1178" s="694"/>
      <c r="V1178" s="693"/>
      <c r="W1178" s="693"/>
      <c r="X1178" s="693"/>
      <c r="Y1178" s="671"/>
      <c r="Z1178" s="673"/>
      <c r="AA1178" s="672"/>
      <c r="AB1178" s="695"/>
      <c r="AC1178" s="673"/>
      <c r="AD1178" s="673"/>
      <c r="AE1178" s="673"/>
      <c r="AF1178" s="673"/>
      <c r="AG1178" s="673"/>
      <c r="AH1178" s="673"/>
      <c r="AI1178" s="673"/>
      <c r="AJ1178" s="673"/>
      <c r="AK1178" s="673"/>
      <c r="AL1178" s="673"/>
      <c r="AM1178" s="673"/>
      <c r="AN1178" s="673"/>
      <c r="AO1178" s="673"/>
      <c r="AP1178" s="673"/>
      <c r="AQ1178" s="673"/>
      <c r="AR1178" s="673"/>
      <c r="AS1178" s="673"/>
      <c r="AT1178" s="696"/>
    </row>
    <row r="1179" ht="15.75" customHeight="1">
      <c r="A1179" s="653"/>
      <c r="B1179" s="654"/>
      <c r="C1179" s="691"/>
      <c r="D1179" s="656"/>
      <c r="E1179" s="657"/>
      <c r="F1179" s="658"/>
      <c r="G1179" s="659"/>
      <c r="H1179" s="660"/>
      <c r="I1179" s="659"/>
      <c r="J1179" s="661"/>
      <c r="K1179" s="692"/>
      <c r="L1179" s="645"/>
      <c r="M1179" s="663"/>
      <c r="N1179" s="665"/>
      <c r="O1179" s="665"/>
      <c r="P1179" s="666"/>
      <c r="Q1179" s="667"/>
      <c r="R1179" s="668"/>
      <c r="S1179" s="693"/>
      <c r="T1179" s="694"/>
      <c r="U1179" s="694"/>
      <c r="V1179" s="693"/>
      <c r="W1179" s="693"/>
      <c r="X1179" s="693"/>
      <c r="Y1179" s="671"/>
      <c r="Z1179" s="673"/>
      <c r="AA1179" s="672"/>
      <c r="AB1179" s="695"/>
      <c r="AC1179" s="673"/>
      <c r="AD1179" s="673"/>
      <c r="AE1179" s="673"/>
      <c r="AF1179" s="673"/>
      <c r="AG1179" s="673"/>
      <c r="AH1179" s="673"/>
      <c r="AI1179" s="673"/>
      <c r="AJ1179" s="673"/>
      <c r="AK1179" s="673"/>
      <c r="AL1179" s="673"/>
      <c r="AM1179" s="673"/>
      <c r="AN1179" s="673"/>
      <c r="AO1179" s="673"/>
      <c r="AP1179" s="673"/>
      <c r="AQ1179" s="673"/>
      <c r="AR1179" s="673"/>
      <c r="AS1179" s="673"/>
      <c r="AT1179" s="696"/>
    </row>
    <row r="1180" ht="15.75" customHeight="1">
      <c r="A1180" s="653"/>
      <c r="B1180" s="654"/>
      <c r="C1180" s="691"/>
      <c r="D1180" s="656"/>
      <c r="E1180" s="657"/>
      <c r="F1180" s="658"/>
      <c r="G1180" s="659"/>
      <c r="H1180" s="660"/>
      <c r="I1180" s="659"/>
      <c r="J1180" s="661"/>
      <c r="K1180" s="692"/>
      <c r="L1180" s="645"/>
      <c r="M1180" s="663"/>
      <c r="N1180" s="665"/>
      <c r="O1180" s="665"/>
      <c r="P1180" s="666"/>
      <c r="Q1180" s="667"/>
      <c r="R1180" s="668"/>
      <c r="S1180" s="693"/>
      <c r="T1180" s="694"/>
      <c r="U1180" s="694"/>
      <c r="V1180" s="693"/>
      <c r="W1180" s="693"/>
      <c r="X1180" s="693"/>
      <c r="Y1180" s="671"/>
      <c r="Z1180" s="673"/>
      <c r="AA1180" s="672"/>
      <c r="AB1180" s="695"/>
      <c r="AC1180" s="673"/>
      <c r="AD1180" s="673"/>
      <c r="AE1180" s="673"/>
      <c r="AF1180" s="673"/>
      <c r="AG1180" s="673"/>
      <c r="AH1180" s="673"/>
      <c r="AI1180" s="673"/>
      <c r="AJ1180" s="673"/>
      <c r="AK1180" s="673"/>
      <c r="AL1180" s="673"/>
      <c r="AM1180" s="673"/>
      <c r="AN1180" s="673"/>
      <c r="AO1180" s="673"/>
      <c r="AP1180" s="673"/>
      <c r="AQ1180" s="673"/>
      <c r="AR1180" s="673"/>
      <c r="AS1180" s="673"/>
      <c r="AT1180" s="696"/>
    </row>
    <row r="1181" ht="15.75" customHeight="1">
      <c r="A1181" s="653"/>
      <c r="B1181" s="654"/>
      <c r="C1181" s="691"/>
      <c r="D1181" s="656"/>
      <c r="E1181" s="657"/>
      <c r="F1181" s="658"/>
      <c r="G1181" s="659"/>
      <c r="H1181" s="660"/>
      <c r="I1181" s="659"/>
      <c r="J1181" s="661"/>
      <c r="K1181" s="692"/>
      <c r="L1181" s="645"/>
      <c r="M1181" s="663"/>
      <c r="N1181" s="665"/>
      <c r="O1181" s="665"/>
      <c r="P1181" s="666"/>
      <c r="Q1181" s="667"/>
      <c r="R1181" s="668"/>
      <c r="S1181" s="693"/>
      <c r="T1181" s="694"/>
      <c r="U1181" s="694"/>
      <c r="V1181" s="693"/>
      <c r="W1181" s="693"/>
      <c r="X1181" s="693"/>
      <c r="Y1181" s="671"/>
      <c r="Z1181" s="673"/>
      <c r="AA1181" s="672"/>
      <c r="AB1181" s="695"/>
      <c r="AC1181" s="673"/>
      <c r="AD1181" s="673"/>
      <c r="AE1181" s="673"/>
      <c r="AF1181" s="673"/>
      <c r="AG1181" s="673"/>
      <c r="AH1181" s="673"/>
      <c r="AI1181" s="673"/>
      <c r="AJ1181" s="673"/>
      <c r="AK1181" s="673"/>
      <c r="AL1181" s="673"/>
      <c r="AM1181" s="673"/>
      <c r="AN1181" s="673"/>
      <c r="AO1181" s="673"/>
      <c r="AP1181" s="673"/>
      <c r="AQ1181" s="673"/>
      <c r="AR1181" s="673"/>
      <c r="AS1181" s="673"/>
      <c r="AT1181" s="696"/>
    </row>
    <row r="1182" ht="15.75" customHeight="1">
      <c r="A1182" s="653"/>
      <c r="B1182" s="654"/>
      <c r="C1182" s="691"/>
      <c r="D1182" s="656"/>
      <c r="E1182" s="657"/>
      <c r="F1182" s="658"/>
      <c r="G1182" s="659"/>
      <c r="H1182" s="660"/>
      <c r="I1182" s="659"/>
      <c r="J1182" s="661"/>
      <c r="K1182" s="692"/>
      <c r="L1182" s="645"/>
      <c r="M1182" s="663"/>
      <c r="N1182" s="665"/>
      <c r="O1182" s="665"/>
      <c r="P1182" s="666"/>
      <c r="Q1182" s="667"/>
      <c r="R1182" s="668"/>
      <c r="S1182" s="693"/>
      <c r="T1182" s="694"/>
      <c r="U1182" s="694"/>
      <c r="V1182" s="693"/>
      <c r="W1182" s="693"/>
      <c r="X1182" s="693"/>
      <c r="Y1182" s="671"/>
      <c r="Z1182" s="673"/>
      <c r="AA1182" s="672"/>
      <c r="AB1182" s="695"/>
      <c r="AC1182" s="673"/>
      <c r="AD1182" s="673"/>
      <c r="AE1182" s="673"/>
      <c r="AF1182" s="673"/>
      <c r="AG1182" s="673"/>
      <c r="AH1182" s="673"/>
      <c r="AI1182" s="673"/>
      <c r="AJ1182" s="673"/>
      <c r="AK1182" s="673"/>
      <c r="AL1182" s="673"/>
      <c r="AM1182" s="673"/>
      <c r="AN1182" s="673"/>
      <c r="AO1182" s="673"/>
      <c r="AP1182" s="673"/>
      <c r="AQ1182" s="673"/>
      <c r="AR1182" s="673"/>
      <c r="AS1182" s="673"/>
      <c r="AT1182" s="696"/>
    </row>
    <row r="1183" ht="15.75" customHeight="1">
      <c r="A1183" s="653"/>
      <c r="B1183" s="654"/>
      <c r="C1183" s="691"/>
      <c r="D1183" s="656"/>
      <c r="E1183" s="657"/>
      <c r="F1183" s="658"/>
      <c r="G1183" s="659"/>
      <c r="H1183" s="660"/>
      <c r="I1183" s="659"/>
      <c r="J1183" s="661"/>
      <c r="K1183" s="692"/>
      <c r="L1183" s="645"/>
      <c r="M1183" s="663"/>
      <c r="N1183" s="665"/>
      <c r="O1183" s="665"/>
      <c r="P1183" s="666"/>
      <c r="Q1183" s="667"/>
      <c r="R1183" s="668"/>
      <c r="S1183" s="693"/>
      <c r="T1183" s="694"/>
      <c r="U1183" s="694"/>
      <c r="V1183" s="693"/>
      <c r="W1183" s="693"/>
      <c r="X1183" s="693"/>
      <c r="Y1183" s="671"/>
      <c r="Z1183" s="673"/>
      <c r="AA1183" s="672"/>
      <c r="AB1183" s="695"/>
      <c r="AC1183" s="673"/>
      <c r="AD1183" s="673"/>
      <c r="AE1183" s="673"/>
      <c r="AF1183" s="673"/>
      <c r="AG1183" s="673"/>
      <c r="AH1183" s="673"/>
      <c r="AI1183" s="673"/>
      <c r="AJ1183" s="673"/>
      <c r="AK1183" s="673"/>
      <c r="AL1183" s="673"/>
      <c r="AM1183" s="673"/>
      <c r="AN1183" s="673"/>
      <c r="AO1183" s="673"/>
      <c r="AP1183" s="673"/>
      <c r="AQ1183" s="673"/>
      <c r="AR1183" s="673"/>
      <c r="AS1183" s="673"/>
      <c r="AT1183" s="696"/>
    </row>
    <row r="1184" ht="15.75" customHeight="1">
      <c r="A1184" s="653"/>
      <c r="B1184" s="654"/>
      <c r="C1184" s="691"/>
      <c r="D1184" s="656"/>
      <c r="E1184" s="657"/>
      <c r="F1184" s="658"/>
      <c r="G1184" s="659"/>
      <c r="H1184" s="660"/>
      <c r="I1184" s="659"/>
      <c r="J1184" s="661"/>
      <c r="K1184" s="692"/>
      <c r="L1184" s="645"/>
      <c r="M1184" s="663"/>
      <c r="N1184" s="665"/>
      <c r="O1184" s="665"/>
      <c r="P1184" s="666"/>
      <c r="Q1184" s="667"/>
      <c r="R1184" s="668"/>
      <c r="S1184" s="693"/>
      <c r="T1184" s="694"/>
      <c r="U1184" s="694"/>
      <c r="V1184" s="693"/>
      <c r="W1184" s="693"/>
      <c r="X1184" s="693"/>
      <c r="Y1184" s="671"/>
      <c r="Z1184" s="673"/>
      <c r="AA1184" s="672"/>
      <c r="AB1184" s="695"/>
      <c r="AC1184" s="673"/>
      <c r="AD1184" s="673"/>
      <c r="AE1184" s="673"/>
      <c r="AF1184" s="673"/>
      <c r="AG1184" s="673"/>
      <c r="AH1184" s="673"/>
      <c r="AI1184" s="673"/>
      <c r="AJ1184" s="673"/>
      <c r="AK1184" s="673"/>
      <c r="AL1184" s="673"/>
      <c r="AM1184" s="673"/>
      <c r="AN1184" s="673"/>
      <c r="AO1184" s="673"/>
      <c r="AP1184" s="673"/>
      <c r="AQ1184" s="673"/>
      <c r="AR1184" s="673"/>
      <c r="AS1184" s="673"/>
      <c r="AT1184" s="696"/>
    </row>
    <row r="1185" ht="15.75" customHeight="1">
      <c r="A1185" s="653"/>
      <c r="B1185" s="654"/>
      <c r="C1185" s="691"/>
      <c r="D1185" s="656"/>
      <c r="E1185" s="657"/>
      <c r="F1185" s="658"/>
      <c r="G1185" s="659"/>
      <c r="H1185" s="660"/>
      <c r="I1185" s="659"/>
      <c r="J1185" s="661"/>
      <c r="K1185" s="692"/>
      <c r="L1185" s="645"/>
      <c r="M1185" s="663"/>
      <c r="N1185" s="665"/>
      <c r="O1185" s="665"/>
      <c r="P1185" s="666"/>
      <c r="Q1185" s="667"/>
      <c r="R1185" s="668"/>
      <c r="S1185" s="693"/>
      <c r="T1185" s="694"/>
      <c r="U1185" s="694"/>
      <c r="V1185" s="693"/>
      <c r="W1185" s="693"/>
      <c r="X1185" s="693"/>
      <c r="Y1185" s="671"/>
      <c r="Z1185" s="673"/>
      <c r="AA1185" s="672"/>
      <c r="AB1185" s="695"/>
      <c r="AC1185" s="673"/>
      <c r="AD1185" s="673"/>
      <c r="AE1185" s="673"/>
      <c r="AF1185" s="673"/>
      <c r="AG1185" s="673"/>
      <c r="AH1185" s="673"/>
      <c r="AI1185" s="673"/>
      <c r="AJ1185" s="673"/>
      <c r="AK1185" s="673"/>
      <c r="AL1185" s="673"/>
      <c r="AM1185" s="673"/>
      <c r="AN1185" s="673"/>
      <c r="AO1185" s="673"/>
      <c r="AP1185" s="673"/>
      <c r="AQ1185" s="673"/>
      <c r="AR1185" s="673"/>
      <c r="AS1185" s="673"/>
      <c r="AT1185" s="696"/>
    </row>
    <row r="1186" ht="15.75" customHeight="1">
      <c r="A1186" s="653"/>
      <c r="B1186" s="654"/>
      <c r="C1186" s="691"/>
      <c r="D1186" s="656"/>
      <c r="E1186" s="657"/>
      <c r="F1186" s="658"/>
      <c r="G1186" s="659"/>
      <c r="H1186" s="660"/>
      <c r="I1186" s="659"/>
      <c r="J1186" s="661"/>
      <c r="K1186" s="692"/>
      <c r="L1186" s="645"/>
      <c r="M1186" s="663"/>
      <c r="N1186" s="665"/>
      <c r="O1186" s="665"/>
      <c r="P1186" s="666"/>
      <c r="Q1186" s="667"/>
      <c r="R1186" s="668"/>
      <c r="S1186" s="693"/>
      <c r="T1186" s="694"/>
      <c r="U1186" s="694"/>
      <c r="V1186" s="693"/>
      <c r="W1186" s="693"/>
      <c r="X1186" s="693"/>
      <c r="Y1186" s="671"/>
      <c r="Z1186" s="673"/>
      <c r="AA1186" s="672"/>
      <c r="AB1186" s="695"/>
      <c r="AC1186" s="673"/>
      <c r="AD1186" s="673"/>
      <c r="AE1186" s="673"/>
      <c r="AF1186" s="673"/>
      <c r="AG1186" s="673"/>
      <c r="AH1186" s="673"/>
      <c r="AI1186" s="673"/>
      <c r="AJ1186" s="673"/>
      <c r="AK1186" s="673"/>
      <c r="AL1186" s="673"/>
      <c r="AM1186" s="673"/>
      <c r="AN1186" s="673"/>
      <c r="AO1186" s="673"/>
      <c r="AP1186" s="673"/>
      <c r="AQ1186" s="673"/>
      <c r="AR1186" s="673"/>
      <c r="AS1186" s="673"/>
      <c r="AT1186" s="696"/>
    </row>
    <row r="1187" ht="15.75" customHeight="1">
      <c r="A1187" s="653"/>
      <c r="B1187" s="654"/>
      <c r="C1187" s="691"/>
      <c r="D1187" s="656"/>
      <c r="E1187" s="657"/>
      <c r="F1187" s="658"/>
      <c r="G1187" s="659"/>
      <c r="H1187" s="660"/>
      <c r="I1187" s="659"/>
      <c r="J1187" s="661"/>
      <c r="K1187" s="692"/>
      <c r="L1187" s="645"/>
      <c r="M1187" s="663"/>
      <c r="N1187" s="665"/>
      <c r="O1187" s="665"/>
      <c r="P1187" s="666"/>
      <c r="Q1187" s="667"/>
      <c r="R1187" s="668"/>
      <c r="S1187" s="693"/>
      <c r="T1187" s="694"/>
      <c r="U1187" s="694"/>
      <c r="V1187" s="693"/>
      <c r="W1187" s="693"/>
      <c r="X1187" s="693"/>
      <c r="Y1187" s="671"/>
      <c r="Z1187" s="673"/>
      <c r="AA1187" s="672"/>
      <c r="AB1187" s="695"/>
      <c r="AC1187" s="673"/>
      <c r="AD1187" s="673"/>
      <c r="AE1187" s="673"/>
      <c r="AF1187" s="673"/>
      <c r="AG1187" s="673"/>
      <c r="AH1187" s="673"/>
      <c r="AI1187" s="673"/>
      <c r="AJ1187" s="673"/>
      <c r="AK1187" s="673"/>
      <c r="AL1187" s="673"/>
      <c r="AM1187" s="673"/>
      <c r="AN1187" s="673"/>
      <c r="AO1187" s="673"/>
      <c r="AP1187" s="673"/>
      <c r="AQ1187" s="673"/>
      <c r="AR1187" s="673"/>
      <c r="AS1187" s="673"/>
      <c r="AT1187" s="696"/>
    </row>
    <row r="1188" ht="15.75" customHeight="1">
      <c r="A1188" s="653"/>
      <c r="B1188" s="654"/>
      <c r="C1188" s="691"/>
      <c r="D1188" s="656"/>
      <c r="E1188" s="657"/>
      <c r="F1188" s="658"/>
      <c r="G1188" s="659"/>
      <c r="H1188" s="660"/>
      <c r="I1188" s="659"/>
      <c r="J1188" s="661"/>
      <c r="K1188" s="692"/>
      <c r="L1188" s="645"/>
      <c r="M1188" s="663"/>
      <c r="N1188" s="665"/>
      <c r="O1188" s="665"/>
      <c r="P1188" s="666"/>
      <c r="Q1188" s="667"/>
      <c r="R1188" s="668"/>
      <c r="S1188" s="693"/>
      <c r="T1188" s="694"/>
      <c r="U1188" s="694"/>
      <c r="V1188" s="693"/>
      <c r="W1188" s="693"/>
      <c r="X1188" s="693"/>
      <c r="Y1188" s="671"/>
      <c r="Z1188" s="673"/>
      <c r="AA1188" s="672"/>
      <c r="AB1188" s="695"/>
      <c r="AC1188" s="673"/>
      <c r="AD1188" s="673"/>
      <c r="AE1188" s="673"/>
      <c r="AF1188" s="673"/>
      <c r="AG1188" s="673"/>
      <c r="AH1188" s="673"/>
      <c r="AI1188" s="673"/>
      <c r="AJ1188" s="673"/>
      <c r="AK1188" s="673"/>
      <c r="AL1188" s="673"/>
      <c r="AM1188" s="673"/>
      <c r="AN1188" s="673"/>
      <c r="AO1188" s="673"/>
      <c r="AP1188" s="673"/>
      <c r="AQ1188" s="673"/>
      <c r="AR1188" s="673"/>
      <c r="AS1188" s="673"/>
      <c r="AT1188" s="696"/>
    </row>
    <row r="1189" ht="15.75" customHeight="1">
      <c r="A1189" s="653"/>
      <c r="B1189" s="654"/>
      <c r="C1189" s="691"/>
      <c r="D1189" s="656"/>
      <c r="E1189" s="657"/>
      <c r="F1189" s="658"/>
      <c r="G1189" s="659"/>
      <c r="H1189" s="660"/>
      <c r="I1189" s="659"/>
      <c r="J1189" s="661"/>
      <c r="K1189" s="692"/>
      <c r="L1189" s="645"/>
      <c r="M1189" s="663"/>
      <c r="N1189" s="665"/>
      <c r="O1189" s="665"/>
      <c r="P1189" s="666"/>
      <c r="Q1189" s="667"/>
      <c r="R1189" s="668"/>
      <c r="S1189" s="693"/>
      <c r="T1189" s="694"/>
      <c r="U1189" s="694"/>
      <c r="V1189" s="693"/>
      <c r="W1189" s="693"/>
      <c r="X1189" s="693"/>
      <c r="Y1189" s="671"/>
      <c r="Z1189" s="673"/>
      <c r="AA1189" s="672"/>
      <c r="AB1189" s="695"/>
      <c r="AC1189" s="673"/>
      <c r="AD1189" s="673"/>
      <c r="AE1189" s="673"/>
      <c r="AF1189" s="673"/>
      <c r="AG1189" s="673"/>
      <c r="AH1189" s="673"/>
      <c r="AI1189" s="673"/>
      <c r="AJ1189" s="673"/>
      <c r="AK1189" s="673"/>
      <c r="AL1189" s="673"/>
      <c r="AM1189" s="673"/>
      <c r="AN1189" s="673"/>
      <c r="AO1189" s="673"/>
      <c r="AP1189" s="673"/>
      <c r="AQ1189" s="673"/>
      <c r="AR1189" s="673"/>
      <c r="AS1189" s="673"/>
      <c r="AT1189" s="696"/>
    </row>
    <row r="1190" ht="15.75" customHeight="1">
      <c r="A1190" s="653"/>
      <c r="B1190" s="654"/>
      <c r="C1190" s="691"/>
      <c r="D1190" s="656"/>
      <c r="E1190" s="657"/>
      <c r="F1190" s="658"/>
      <c r="G1190" s="659"/>
      <c r="H1190" s="660"/>
      <c r="I1190" s="659"/>
      <c r="J1190" s="661"/>
      <c r="K1190" s="692"/>
      <c r="L1190" s="645"/>
      <c r="M1190" s="663"/>
      <c r="N1190" s="665"/>
      <c r="O1190" s="665"/>
      <c r="P1190" s="666"/>
      <c r="Q1190" s="667"/>
      <c r="R1190" s="668"/>
      <c r="S1190" s="693"/>
      <c r="T1190" s="694"/>
      <c r="U1190" s="694"/>
      <c r="V1190" s="693"/>
      <c r="W1190" s="693"/>
      <c r="X1190" s="693"/>
      <c r="Y1190" s="671"/>
      <c r="Z1190" s="673"/>
      <c r="AA1190" s="672"/>
      <c r="AB1190" s="695"/>
      <c r="AC1190" s="673"/>
      <c r="AD1190" s="673"/>
      <c r="AE1190" s="673"/>
      <c r="AF1190" s="673"/>
      <c r="AG1190" s="673"/>
      <c r="AH1190" s="673"/>
      <c r="AI1190" s="673"/>
      <c r="AJ1190" s="673"/>
      <c r="AK1190" s="673"/>
      <c r="AL1190" s="673"/>
      <c r="AM1190" s="673"/>
      <c r="AN1190" s="673"/>
      <c r="AO1190" s="673"/>
      <c r="AP1190" s="673"/>
      <c r="AQ1190" s="673"/>
      <c r="AR1190" s="673"/>
      <c r="AS1190" s="673"/>
      <c r="AT1190" s="696"/>
    </row>
    <row r="1191" ht="15.75" customHeight="1">
      <c r="A1191" s="653"/>
      <c r="B1191" s="654"/>
      <c r="C1191" s="691"/>
      <c r="D1191" s="656"/>
      <c r="E1191" s="657"/>
      <c r="F1191" s="658"/>
      <c r="G1191" s="659"/>
      <c r="H1191" s="660"/>
      <c r="I1191" s="659"/>
      <c r="J1191" s="661"/>
      <c r="K1191" s="692"/>
      <c r="L1191" s="645"/>
      <c r="M1191" s="663"/>
      <c r="N1191" s="665"/>
      <c r="O1191" s="665"/>
      <c r="P1191" s="666"/>
      <c r="Q1191" s="667"/>
      <c r="R1191" s="668"/>
      <c r="S1191" s="693"/>
      <c r="T1191" s="694"/>
      <c r="U1191" s="694"/>
      <c r="V1191" s="693"/>
      <c r="W1191" s="693"/>
      <c r="X1191" s="693"/>
      <c r="Y1191" s="671"/>
      <c r="Z1191" s="673"/>
      <c r="AA1191" s="672"/>
      <c r="AB1191" s="695"/>
      <c r="AC1191" s="673"/>
      <c r="AD1191" s="673"/>
      <c r="AE1191" s="673"/>
      <c r="AF1191" s="673"/>
      <c r="AG1191" s="673"/>
      <c r="AH1191" s="673"/>
      <c r="AI1191" s="673"/>
      <c r="AJ1191" s="673"/>
      <c r="AK1191" s="673"/>
      <c r="AL1191" s="673"/>
      <c r="AM1191" s="673"/>
      <c r="AN1191" s="673"/>
      <c r="AO1191" s="673"/>
      <c r="AP1191" s="673"/>
      <c r="AQ1191" s="673"/>
      <c r="AR1191" s="673"/>
      <c r="AS1191" s="673"/>
      <c r="AT1191" s="696"/>
    </row>
    <row r="1192" ht="15.75" customHeight="1">
      <c r="A1192" s="653"/>
      <c r="B1192" s="654"/>
      <c r="C1192" s="691"/>
      <c r="D1192" s="656"/>
      <c r="E1192" s="657"/>
      <c r="F1192" s="658"/>
      <c r="G1192" s="659"/>
      <c r="H1192" s="660"/>
      <c r="I1192" s="659"/>
      <c r="J1192" s="661"/>
      <c r="K1192" s="692"/>
      <c r="L1192" s="645"/>
      <c r="M1192" s="663"/>
      <c r="N1192" s="665"/>
      <c r="O1192" s="665"/>
      <c r="P1192" s="666"/>
      <c r="Q1192" s="667"/>
      <c r="R1192" s="668"/>
      <c r="S1192" s="693"/>
      <c r="T1192" s="694"/>
      <c r="U1192" s="694"/>
      <c r="V1192" s="693"/>
      <c r="W1192" s="693"/>
      <c r="X1192" s="693"/>
      <c r="Y1192" s="671"/>
      <c r="Z1192" s="673"/>
      <c r="AA1192" s="672"/>
      <c r="AB1192" s="695"/>
      <c r="AC1192" s="673"/>
      <c r="AD1192" s="673"/>
      <c r="AE1192" s="673"/>
      <c r="AF1192" s="673"/>
      <c r="AG1192" s="673"/>
      <c r="AH1192" s="673"/>
      <c r="AI1192" s="673"/>
      <c r="AJ1192" s="673"/>
      <c r="AK1192" s="673"/>
      <c r="AL1192" s="673"/>
      <c r="AM1192" s="673"/>
      <c r="AN1192" s="673"/>
      <c r="AO1192" s="673"/>
      <c r="AP1192" s="673"/>
      <c r="AQ1192" s="673"/>
      <c r="AR1192" s="673"/>
      <c r="AS1192" s="673"/>
      <c r="AT1192" s="696"/>
    </row>
    <row r="1193" ht="15.75" customHeight="1">
      <c r="A1193" s="653"/>
      <c r="B1193" s="654"/>
      <c r="C1193" s="691"/>
      <c r="D1193" s="656"/>
      <c r="E1193" s="657"/>
      <c r="F1193" s="658"/>
      <c r="G1193" s="659"/>
      <c r="H1193" s="660"/>
      <c r="I1193" s="659"/>
      <c r="J1193" s="661"/>
      <c r="K1193" s="692"/>
      <c r="L1193" s="645"/>
      <c r="M1193" s="663"/>
      <c r="N1193" s="665"/>
      <c r="O1193" s="665"/>
      <c r="P1193" s="666"/>
      <c r="Q1193" s="667"/>
      <c r="R1193" s="668"/>
      <c r="S1193" s="693"/>
      <c r="T1193" s="694"/>
      <c r="U1193" s="694"/>
      <c r="V1193" s="693"/>
      <c r="W1193" s="693"/>
      <c r="X1193" s="693"/>
      <c r="Y1193" s="671"/>
      <c r="Z1193" s="673"/>
      <c r="AA1193" s="672"/>
      <c r="AB1193" s="695"/>
      <c r="AC1193" s="673"/>
      <c r="AD1193" s="673"/>
      <c r="AE1193" s="673"/>
      <c r="AF1193" s="673"/>
      <c r="AG1193" s="673"/>
      <c r="AH1193" s="673"/>
      <c r="AI1193" s="673"/>
      <c r="AJ1193" s="673"/>
      <c r="AK1193" s="673"/>
      <c r="AL1193" s="673"/>
      <c r="AM1193" s="673"/>
      <c r="AN1193" s="673"/>
      <c r="AO1193" s="673"/>
      <c r="AP1193" s="673"/>
      <c r="AQ1193" s="673"/>
      <c r="AR1193" s="673"/>
      <c r="AS1193" s="673"/>
      <c r="AT1193" s="696"/>
    </row>
    <row r="1194" ht="15.75" customHeight="1">
      <c r="A1194" s="653"/>
      <c r="B1194" s="654"/>
      <c r="C1194" s="691"/>
      <c r="D1194" s="656"/>
      <c r="E1194" s="657"/>
      <c r="F1194" s="658"/>
      <c r="G1194" s="659"/>
      <c r="H1194" s="660"/>
      <c r="I1194" s="659"/>
      <c r="J1194" s="661"/>
      <c r="K1194" s="692"/>
      <c r="L1194" s="645"/>
      <c r="M1194" s="663"/>
      <c r="N1194" s="665"/>
      <c r="O1194" s="665"/>
      <c r="P1194" s="666"/>
      <c r="Q1194" s="667"/>
      <c r="R1194" s="668"/>
      <c r="S1194" s="693"/>
      <c r="T1194" s="694"/>
      <c r="U1194" s="694"/>
      <c r="V1194" s="693"/>
      <c r="W1194" s="693"/>
      <c r="X1194" s="693"/>
      <c r="Y1194" s="671"/>
      <c r="Z1194" s="673"/>
      <c r="AA1194" s="672"/>
      <c r="AB1194" s="695"/>
      <c r="AC1194" s="673"/>
      <c r="AD1194" s="673"/>
      <c r="AE1194" s="673"/>
      <c r="AF1194" s="673"/>
      <c r="AG1194" s="673"/>
      <c r="AH1194" s="673"/>
      <c r="AI1194" s="673"/>
      <c r="AJ1194" s="673"/>
      <c r="AK1194" s="673"/>
      <c r="AL1194" s="673"/>
      <c r="AM1194" s="673"/>
      <c r="AN1194" s="673"/>
      <c r="AO1194" s="673"/>
      <c r="AP1194" s="673"/>
      <c r="AQ1194" s="673"/>
      <c r="AR1194" s="673"/>
      <c r="AS1194" s="673"/>
      <c r="AT1194" s="696"/>
    </row>
    <row r="1195" ht="15.75" customHeight="1">
      <c r="A1195" s="653"/>
      <c r="B1195" s="654"/>
      <c r="C1195" s="691"/>
      <c r="D1195" s="656"/>
      <c r="E1195" s="657"/>
      <c r="F1195" s="658"/>
      <c r="G1195" s="659"/>
      <c r="H1195" s="660"/>
      <c r="I1195" s="659"/>
      <c r="J1195" s="661"/>
      <c r="K1195" s="692"/>
      <c r="L1195" s="645"/>
      <c r="M1195" s="663"/>
      <c r="N1195" s="665"/>
      <c r="O1195" s="665"/>
      <c r="P1195" s="666"/>
      <c r="Q1195" s="667"/>
      <c r="R1195" s="668"/>
      <c r="S1195" s="693"/>
      <c r="T1195" s="694"/>
      <c r="U1195" s="694"/>
      <c r="V1195" s="693"/>
      <c r="W1195" s="693"/>
      <c r="X1195" s="693"/>
      <c r="Y1195" s="671"/>
      <c r="Z1195" s="673"/>
      <c r="AA1195" s="672"/>
      <c r="AB1195" s="695"/>
      <c r="AC1195" s="673"/>
      <c r="AD1195" s="673"/>
      <c r="AE1195" s="673"/>
      <c r="AF1195" s="673"/>
      <c r="AG1195" s="673"/>
      <c r="AH1195" s="673"/>
      <c r="AI1195" s="673"/>
      <c r="AJ1195" s="673"/>
      <c r="AK1195" s="673"/>
      <c r="AL1195" s="673"/>
      <c r="AM1195" s="673"/>
      <c r="AN1195" s="673"/>
      <c r="AO1195" s="673"/>
      <c r="AP1195" s="673"/>
      <c r="AQ1195" s="673"/>
      <c r="AR1195" s="673"/>
      <c r="AS1195" s="673"/>
      <c r="AT1195" s="696"/>
    </row>
    <row r="1196" ht="15.75" customHeight="1">
      <c r="A1196" s="653"/>
      <c r="B1196" s="654"/>
      <c r="C1196" s="691"/>
      <c r="D1196" s="656"/>
      <c r="E1196" s="657"/>
      <c r="F1196" s="658"/>
      <c r="G1196" s="659"/>
      <c r="H1196" s="660"/>
      <c r="I1196" s="659"/>
      <c r="J1196" s="661"/>
      <c r="K1196" s="692"/>
      <c r="L1196" s="645"/>
      <c r="M1196" s="663"/>
      <c r="N1196" s="665"/>
      <c r="O1196" s="665"/>
      <c r="P1196" s="666"/>
      <c r="Q1196" s="667"/>
      <c r="R1196" s="668"/>
      <c r="S1196" s="693"/>
      <c r="T1196" s="694"/>
      <c r="U1196" s="694"/>
      <c r="V1196" s="693"/>
      <c r="W1196" s="693"/>
      <c r="X1196" s="693"/>
      <c r="Y1196" s="671"/>
      <c r="Z1196" s="673"/>
      <c r="AA1196" s="672"/>
      <c r="AB1196" s="695"/>
      <c r="AC1196" s="673"/>
      <c r="AD1196" s="673"/>
      <c r="AE1196" s="673"/>
      <c r="AF1196" s="673"/>
      <c r="AG1196" s="673"/>
      <c r="AH1196" s="673"/>
      <c r="AI1196" s="673"/>
      <c r="AJ1196" s="673"/>
      <c r="AK1196" s="673"/>
      <c r="AL1196" s="673"/>
      <c r="AM1196" s="673"/>
      <c r="AN1196" s="673"/>
      <c r="AO1196" s="673"/>
      <c r="AP1196" s="673"/>
      <c r="AQ1196" s="673"/>
      <c r="AR1196" s="673"/>
      <c r="AS1196" s="673"/>
      <c r="AT1196" s="696"/>
    </row>
    <row r="1197" ht="15.75" customHeight="1">
      <c r="A1197" s="653"/>
      <c r="B1197" s="654"/>
      <c r="C1197" s="691"/>
      <c r="D1197" s="656"/>
      <c r="E1197" s="657"/>
      <c r="F1197" s="658"/>
      <c r="G1197" s="659"/>
      <c r="H1197" s="660"/>
      <c r="I1197" s="659"/>
      <c r="J1197" s="661"/>
      <c r="K1197" s="692"/>
      <c r="L1197" s="645"/>
      <c r="M1197" s="663"/>
      <c r="N1197" s="665"/>
      <c r="O1197" s="665"/>
      <c r="P1197" s="666"/>
      <c r="Q1197" s="667"/>
      <c r="R1197" s="668"/>
      <c r="S1197" s="693"/>
      <c r="T1197" s="694"/>
      <c r="U1197" s="694"/>
      <c r="V1197" s="693"/>
      <c r="W1197" s="693"/>
      <c r="X1197" s="693"/>
      <c r="Y1197" s="671"/>
      <c r="Z1197" s="673"/>
      <c r="AA1197" s="672"/>
      <c r="AB1197" s="695"/>
      <c r="AC1197" s="673"/>
      <c r="AD1197" s="673"/>
      <c r="AE1197" s="673"/>
      <c r="AF1197" s="673"/>
      <c r="AG1197" s="673"/>
      <c r="AH1197" s="673"/>
      <c r="AI1197" s="673"/>
      <c r="AJ1197" s="673"/>
      <c r="AK1197" s="673"/>
      <c r="AL1197" s="673"/>
      <c r="AM1197" s="673"/>
      <c r="AN1197" s="673"/>
      <c r="AO1197" s="673"/>
      <c r="AP1197" s="673"/>
      <c r="AQ1197" s="673"/>
      <c r="AR1197" s="673"/>
      <c r="AS1197" s="673"/>
      <c r="AT1197" s="696"/>
    </row>
    <row r="1198" ht="15.75" customHeight="1">
      <c r="A1198" s="653"/>
      <c r="B1198" s="654"/>
      <c r="C1198" s="691"/>
      <c r="D1198" s="656"/>
      <c r="E1198" s="657"/>
      <c r="F1198" s="658"/>
      <c r="G1198" s="659"/>
      <c r="H1198" s="660"/>
      <c r="I1198" s="659"/>
      <c r="J1198" s="661"/>
      <c r="K1198" s="692"/>
      <c r="L1198" s="645"/>
      <c r="M1198" s="663"/>
      <c r="N1198" s="665"/>
      <c r="O1198" s="665"/>
      <c r="P1198" s="666"/>
      <c r="Q1198" s="667"/>
      <c r="R1198" s="668"/>
      <c r="S1198" s="693"/>
      <c r="T1198" s="694"/>
      <c r="U1198" s="694"/>
      <c r="V1198" s="693"/>
      <c r="W1198" s="693"/>
      <c r="X1198" s="693"/>
      <c r="Y1198" s="671"/>
      <c r="Z1198" s="673"/>
      <c r="AA1198" s="672"/>
      <c r="AB1198" s="695"/>
      <c r="AC1198" s="673"/>
      <c r="AD1198" s="673"/>
      <c r="AE1198" s="673"/>
      <c r="AF1198" s="673"/>
      <c r="AG1198" s="673"/>
      <c r="AH1198" s="673"/>
      <c r="AI1198" s="673"/>
      <c r="AJ1198" s="673"/>
      <c r="AK1198" s="673"/>
      <c r="AL1198" s="673"/>
      <c r="AM1198" s="673"/>
      <c r="AN1198" s="673"/>
      <c r="AO1198" s="673"/>
      <c r="AP1198" s="673"/>
      <c r="AQ1198" s="673"/>
      <c r="AR1198" s="673"/>
      <c r="AS1198" s="673"/>
      <c r="AT1198" s="696"/>
    </row>
    <row r="1199" ht="15.75" customHeight="1">
      <c r="A1199" s="653"/>
      <c r="B1199" s="654"/>
      <c r="C1199" s="691"/>
      <c r="D1199" s="656"/>
      <c r="E1199" s="657"/>
      <c r="F1199" s="658"/>
      <c r="G1199" s="659"/>
      <c r="H1199" s="660"/>
      <c r="I1199" s="659"/>
      <c r="J1199" s="661"/>
      <c r="K1199" s="692"/>
      <c r="L1199" s="645"/>
      <c r="M1199" s="663"/>
      <c r="N1199" s="665"/>
      <c r="O1199" s="665"/>
      <c r="P1199" s="666"/>
      <c r="Q1199" s="667"/>
      <c r="R1199" s="668"/>
      <c r="S1199" s="693"/>
      <c r="T1199" s="694"/>
      <c r="U1199" s="694"/>
      <c r="V1199" s="693"/>
      <c r="W1199" s="693"/>
      <c r="X1199" s="693"/>
      <c r="Y1199" s="671"/>
      <c r="Z1199" s="673"/>
      <c r="AA1199" s="672"/>
      <c r="AB1199" s="695"/>
      <c r="AC1199" s="673"/>
      <c r="AD1199" s="673"/>
      <c r="AE1199" s="673"/>
      <c r="AF1199" s="673"/>
      <c r="AG1199" s="673"/>
      <c r="AH1199" s="673"/>
      <c r="AI1199" s="673"/>
      <c r="AJ1199" s="673"/>
      <c r="AK1199" s="673"/>
      <c r="AL1199" s="673"/>
      <c r="AM1199" s="673"/>
      <c r="AN1199" s="673"/>
      <c r="AO1199" s="673"/>
      <c r="AP1199" s="673"/>
      <c r="AQ1199" s="673"/>
      <c r="AR1199" s="673"/>
      <c r="AS1199" s="673"/>
      <c r="AT1199" s="696"/>
    </row>
    <row r="1200" ht="15.75" customHeight="1">
      <c r="A1200" s="653"/>
      <c r="B1200" s="654"/>
      <c r="C1200" s="691"/>
      <c r="D1200" s="656"/>
      <c r="E1200" s="657"/>
      <c r="F1200" s="658"/>
      <c r="G1200" s="659"/>
      <c r="H1200" s="660"/>
      <c r="I1200" s="659"/>
      <c r="J1200" s="661"/>
      <c r="K1200" s="692"/>
      <c r="L1200" s="645"/>
      <c r="M1200" s="663"/>
      <c r="N1200" s="665"/>
      <c r="O1200" s="665"/>
      <c r="P1200" s="666"/>
      <c r="Q1200" s="667"/>
      <c r="R1200" s="668"/>
      <c r="S1200" s="693"/>
      <c r="T1200" s="694"/>
      <c r="U1200" s="694"/>
      <c r="V1200" s="693"/>
      <c r="W1200" s="693"/>
      <c r="X1200" s="693"/>
      <c r="Y1200" s="671"/>
      <c r="Z1200" s="673"/>
      <c r="AA1200" s="672"/>
      <c r="AB1200" s="695"/>
      <c r="AC1200" s="673"/>
      <c r="AD1200" s="673"/>
      <c r="AE1200" s="673"/>
      <c r="AF1200" s="673"/>
      <c r="AG1200" s="673"/>
      <c r="AH1200" s="673"/>
      <c r="AI1200" s="673"/>
      <c r="AJ1200" s="673"/>
      <c r="AK1200" s="673"/>
      <c r="AL1200" s="673"/>
      <c r="AM1200" s="673"/>
      <c r="AN1200" s="673"/>
      <c r="AO1200" s="673"/>
      <c r="AP1200" s="673"/>
      <c r="AQ1200" s="673"/>
      <c r="AR1200" s="673"/>
      <c r="AS1200" s="673"/>
      <c r="AT1200" s="696"/>
    </row>
    <row r="1201" ht="15.75" customHeight="1">
      <c r="A1201" s="653"/>
      <c r="B1201" s="654"/>
      <c r="C1201" s="691"/>
      <c r="D1201" s="656"/>
      <c r="E1201" s="657"/>
      <c r="F1201" s="658"/>
      <c r="G1201" s="659"/>
      <c r="H1201" s="660"/>
      <c r="I1201" s="659"/>
      <c r="J1201" s="661"/>
      <c r="K1201" s="692"/>
      <c r="L1201" s="645"/>
      <c r="M1201" s="663"/>
      <c r="N1201" s="665"/>
      <c r="O1201" s="665"/>
      <c r="P1201" s="666"/>
      <c r="Q1201" s="667"/>
      <c r="R1201" s="668"/>
      <c r="S1201" s="693"/>
      <c r="T1201" s="694"/>
      <c r="U1201" s="694"/>
      <c r="V1201" s="693"/>
      <c r="W1201" s="693"/>
      <c r="X1201" s="693"/>
      <c r="Y1201" s="671"/>
      <c r="Z1201" s="673"/>
      <c r="AA1201" s="672"/>
      <c r="AB1201" s="695"/>
      <c r="AC1201" s="673"/>
      <c r="AD1201" s="673"/>
      <c r="AE1201" s="673"/>
      <c r="AF1201" s="673"/>
      <c r="AG1201" s="673"/>
      <c r="AH1201" s="673"/>
      <c r="AI1201" s="673"/>
      <c r="AJ1201" s="673"/>
      <c r="AK1201" s="673"/>
      <c r="AL1201" s="673"/>
      <c r="AM1201" s="673"/>
      <c r="AN1201" s="673"/>
      <c r="AO1201" s="673"/>
      <c r="AP1201" s="673"/>
      <c r="AQ1201" s="673"/>
      <c r="AR1201" s="673"/>
      <c r="AS1201" s="673"/>
      <c r="AT1201" s="696"/>
    </row>
    <row r="1202" ht="15.75" customHeight="1">
      <c r="A1202" s="653"/>
      <c r="B1202" s="654"/>
      <c r="C1202" s="691"/>
      <c r="D1202" s="656"/>
      <c r="E1202" s="657"/>
      <c r="F1202" s="658"/>
      <c r="G1202" s="659"/>
      <c r="H1202" s="660"/>
      <c r="I1202" s="659"/>
      <c r="J1202" s="661"/>
      <c r="K1202" s="692"/>
      <c r="L1202" s="645"/>
      <c r="M1202" s="663"/>
      <c r="N1202" s="665"/>
      <c r="O1202" s="665"/>
      <c r="P1202" s="666"/>
      <c r="Q1202" s="667"/>
      <c r="R1202" s="668"/>
      <c r="S1202" s="693"/>
      <c r="T1202" s="694"/>
      <c r="U1202" s="694"/>
      <c r="V1202" s="693"/>
      <c r="W1202" s="693"/>
      <c r="X1202" s="693"/>
      <c r="Y1202" s="671"/>
      <c r="Z1202" s="673"/>
      <c r="AA1202" s="672"/>
      <c r="AB1202" s="695"/>
      <c r="AC1202" s="673"/>
      <c r="AD1202" s="673"/>
      <c r="AE1202" s="673"/>
      <c r="AF1202" s="673"/>
      <c r="AG1202" s="673"/>
      <c r="AH1202" s="673"/>
      <c r="AI1202" s="673"/>
      <c r="AJ1202" s="673"/>
      <c r="AK1202" s="673"/>
      <c r="AL1202" s="673"/>
      <c r="AM1202" s="673"/>
      <c r="AN1202" s="673"/>
      <c r="AO1202" s="673"/>
      <c r="AP1202" s="673"/>
      <c r="AQ1202" s="673"/>
      <c r="AR1202" s="673"/>
      <c r="AS1202" s="673"/>
      <c r="AT1202" s="696"/>
    </row>
    <row r="1203" ht="15.75" customHeight="1">
      <c r="A1203" s="653"/>
      <c r="B1203" s="654"/>
      <c r="C1203" s="691"/>
      <c r="D1203" s="656"/>
      <c r="E1203" s="657"/>
      <c r="F1203" s="658"/>
      <c r="G1203" s="659"/>
      <c r="H1203" s="660"/>
      <c r="I1203" s="659"/>
      <c r="J1203" s="661"/>
      <c r="K1203" s="692"/>
      <c r="L1203" s="645"/>
      <c r="M1203" s="663"/>
      <c r="N1203" s="665"/>
      <c r="O1203" s="665"/>
      <c r="P1203" s="666"/>
      <c r="Q1203" s="667"/>
      <c r="R1203" s="668"/>
      <c r="S1203" s="693"/>
      <c r="T1203" s="694"/>
      <c r="U1203" s="694"/>
      <c r="V1203" s="693"/>
      <c r="W1203" s="693"/>
      <c r="X1203" s="693"/>
      <c r="Y1203" s="671"/>
      <c r="Z1203" s="673"/>
      <c r="AA1203" s="672"/>
      <c r="AB1203" s="695"/>
      <c r="AC1203" s="673"/>
      <c r="AD1203" s="673"/>
      <c r="AE1203" s="673"/>
      <c r="AF1203" s="673"/>
      <c r="AG1203" s="673"/>
      <c r="AH1203" s="673"/>
      <c r="AI1203" s="673"/>
      <c r="AJ1203" s="673"/>
      <c r="AK1203" s="673"/>
      <c r="AL1203" s="673"/>
      <c r="AM1203" s="673"/>
      <c r="AN1203" s="673"/>
      <c r="AO1203" s="673"/>
      <c r="AP1203" s="673"/>
      <c r="AQ1203" s="673"/>
      <c r="AR1203" s="673"/>
      <c r="AS1203" s="673"/>
      <c r="AT1203" s="696"/>
    </row>
    <row r="1204" ht="15.75" customHeight="1">
      <c r="A1204" s="653"/>
      <c r="B1204" s="654"/>
      <c r="C1204" s="691"/>
      <c r="D1204" s="656"/>
      <c r="E1204" s="657"/>
      <c r="F1204" s="658"/>
      <c r="G1204" s="659"/>
      <c r="H1204" s="660"/>
      <c r="I1204" s="659"/>
      <c r="J1204" s="661"/>
      <c r="K1204" s="692"/>
      <c r="L1204" s="645"/>
      <c r="M1204" s="663"/>
      <c r="N1204" s="665"/>
      <c r="O1204" s="665"/>
      <c r="P1204" s="666"/>
      <c r="Q1204" s="667"/>
      <c r="R1204" s="668"/>
      <c r="S1204" s="693"/>
      <c r="T1204" s="694"/>
      <c r="U1204" s="694"/>
      <c r="V1204" s="693"/>
      <c r="W1204" s="693"/>
      <c r="X1204" s="693"/>
      <c r="Y1204" s="671"/>
      <c r="Z1204" s="673"/>
      <c r="AA1204" s="672"/>
      <c r="AB1204" s="695"/>
      <c r="AC1204" s="673"/>
      <c r="AD1204" s="673"/>
      <c r="AE1204" s="673"/>
      <c r="AF1204" s="673"/>
      <c r="AG1204" s="673"/>
      <c r="AH1204" s="673"/>
      <c r="AI1204" s="673"/>
      <c r="AJ1204" s="673"/>
      <c r="AK1204" s="673"/>
      <c r="AL1204" s="673"/>
      <c r="AM1204" s="673"/>
      <c r="AN1204" s="673"/>
      <c r="AO1204" s="673"/>
      <c r="AP1204" s="673"/>
      <c r="AQ1204" s="673"/>
      <c r="AR1204" s="673"/>
      <c r="AS1204" s="673"/>
      <c r="AT1204" s="696"/>
    </row>
    <row r="1205" ht="15.75" customHeight="1">
      <c r="A1205" s="653"/>
      <c r="B1205" s="654"/>
      <c r="C1205" s="691"/>
      <c r="D1205" s="656"/>
      <c r="E1205" s="657"/>
      <c r="F1205" s="658"/>
      <c r="G1205" s="659"/>
      <c r="H1205" s="660"/>
      <c r="I1205" s="659"/>
      <c r="J1205" s="661"/>
      <c r="K1205" s="692"/>
      <c r="L1205" s="645"/>
      <c r="M1205" s="663"/>
      <c r="N1205" s="665"/>
      <c r="O1205" s="665"/>
      <c r="P1205" s="666"/>
      <c r="Q1205" s="667"/>
      <c r="R1205" s="668"/>
      <c r="S1205" s="693"/>
      <c r="T1205" s="694"/>
      <c r="U1205" s="694"/>
      <c r="V1205" s="693"/>
      <c r="W1205" s="693"/>
      <c r="X1205" s="693"/>
      <c r="Y1205" s="671"/>
      <c r="Z1205" s="673"/>
      <c r="AA1205" s="672"/>
      <c r="AB1205" s="695"/>
      <c r="AC1205" s="673"/>
      <c r="AD1205" s="673"/>
      <c r="AE1205" s="673"/>
      <c r="AF1205" s="673"/>
      <c r="AG1205" s="673"/>
      <c r="AH1205" s="673"/>
      <c r="AI1205" s="673"/>
      <c r="AJ1205" s="673"/>
      <c r="AK1205" s="673"/>
      <c r="AL1205" s="673"/>
      <c r="AM1205" s="673"/>
      <c r="AN1205" s="673"/>
      <c r="AO1205" s="673"/>
      <c r="AP1205" s="673"/>
      <c r="AQ1205" s="673"/>
      <c r="AR1205" s="673"/>
      <c r="AS1205" s="673"/>
      <c r="AT1205" s="696"/>
    </row>
    <row r="1206" ht="15.75" customHeight="1">
      <c r="A1206" s="653"/>
      <c r="B1206" s="654"/>
      <c r="C1206" s="691"/>
      <c r="D1206" s="656"/>
      <c r="E1206" s="657"/>
      <c r="F1206" s="658"/>
      <c r="G1206" s="659"/>
      <c r="H1206" s="660"/>
      <c r="I1206" s="659"/>
      <c r="J1206" s="661"/>
      <c r="K1206" s="692"/>
      <c r="L1206" s="645"/>
      <c r="M1206" s="663"/>
      <c r="N1206" s="665"/>
      <c r="O1206" s="665"/>
      <c r="P1206" s="666"/>
      <c r="Q1206" s="667"/>
      <c r="R1206" s="668"/>
      <c r="S1206" s="693"/>
      <c r="T1206" s="694"/>
      <c r="U1206" s="694"/>
      <c r="V1206" s="693"/>
      <c r="W1206" s="693"/>
      <c r="X1206" s="693"/>
      <c r="Y1206" s="671"/>
      <c r="Z1206" s="673"/>
      <c r="AA1206" s="672"/>
      <c r="AB1206" s="695"/>
      <c r="AC1206" s="673"/>
      <c r="AD1206" s="673"/>
      <c r="AE1206" s="673"/>
      <c r="AF1206" s="673"/>
      <c r="AG1206" s="673"/>
      <c r="AH1206" s="673"/>
      <c r="AI1206" s="673"/>
      <c r="AJ1206" s="673"/>
      <c r="AK1206" s="673"/>
      <c r="AL1206" s="673"/>
      <c r="AM1206" s="673"/>
      <c r="AN1206" s="673"/>
      <c r="AO1206" s="673"/>
      <c r="AP1206" s="673"/>
      <c r="AQ1206" s="673"/>
      <c r="AR1206" s="673"/>
      <c r="AS1206" s="673"/>
      <c r="AT1206" s="696"/>
    </row>
    <row r="1207" ht="15.75" customHeight="1">
      <c r="A1207" s="653"/>
      <c r="B1207" s="654"/>
      <c r="C1207" s="691"/>
      <c r="D1207" s="656"/>
      <c r="E1207" s="657"/>
      <c r="F1207" s="658"/>
      <c r="G1207" s="659"/>
      <c r="H1207" s="660"/>
      <c r="I1207" s="659"/>
      <c r="J1207" s="661"/>
      <c r="K1207" s="692"/>
      <c r="L1207" s="645"/>
      <c r="M1207" s="663"/>
      <c r="N1207" s="665"/>
      <c r="O1207" s="665"/>
      <c r="P1207" s="666"/>
      <c r="Q1207" s="667"/>
      <c r="R1207" s="668"/>
      <c r="S1207" s="693"/>
      <c r="T1207" s="694"/>
      <c r="U1207" s="694"/>
      <c r="V1207" s="693"/>
      <c r="W1207" s="693"/>
      <c r="X1207" s="693"/>
      <c r="Y1207" s="671"/>
      <c r="Z1207" s="673"/>
      <c r="AA1207" s="672"/>
      <c r="AB1207" s="695"/>
      <c r="AC1207" s="673"/>
      <c r="AD1207" s="673"/>
      <c r="AE1207" s="673"/>
      <c r="AF1207" s="673"/>
      <c r="AG1207" s="673"/>
      <c r="AH1207" s="673"/>
      <c r="AI1207" s="673"/>
      <c r="AJ1207" s="673"/>
      <c r="AK1207" s="673"/>
      <c r="AL1207" s="673"/>
      <c r="AM1207" s="673"/>
      <c r="AN1207" s="673"/>
      <c r="AO1207" s="673"/>
      <c r="AP1207" s="673"/>
      <c r="AQ1207" s="673"/>
      <c r="AR1207" s="673"/>
      <c r="AS1207" s="673"/>
      <c r="AT1207" s="696"/>
    </row>
    <row r="1208" ht="15.75" customHeight="1">
      <c r="A1208" s="653"/>
      <c r="B1208" s="654"/>
      <c r="C1208" s="691"/>
      <c r="D1208" s="656"/>
      <c r="E1208" s="657"/>
      <c r="F1208" s="658"/>
      <c r="G1208" s="659"/>
      <c r="H1208" s="660"/>
      <c r="I1208" s="659"/>
      <c r="J1208" s="661"/>
      <c r="K1208" s="692"/>
      <c r="L1208" s="645"/>
      <c r="M1208" s="663"/>
      <c r="N1208" s="665"/>
      <c r="O1208" s="665"/>
      <c r="P1208" s="666"/>
      <c r="Q1208" s="667"/>
      <c r="R1208" s="668"/>
      <c r="S1208" s="693"/>
      <c r="T1208" s="694"/>
      <c r="U1208" s="694"/>
      <c r="V1208" s="693"/>
      <c r="W1208" s="693"/>
      <c r="X1208" s="693"/>
      <c r="Y1208" s="671"/>
      <c r="Z1208" s="673"/>
      <c r="AA1208" s="672"/>
      <c r="AB1208" s="695"/>
      <c r="AC1208" s="673"/>
      <c r="AD1208" s="673"/>
      <c r="AE1208" s="673"/>
      <c r="AF1208" s="673"/>
      <c r="AG1208" s="673"/>
      <c r="AH1208" s="673"/>
      <c r="AI1208" s="673"/>
      <c r="AJ1208" s="673"/>
      <c r="AK1208" s="673"/>
      <c r="AL1208" s="673"/>
      <c r="AM1208" s="673"/>
      <c r="AN1208" s="673"/>
      <c r="AO1208" s="673"/>
      <c r="AP1208" s="673"/>
      <c r="AQ1208" s="673"/>
      <c r="AR1208" s="673"/>
      <c r="AS1208" s="673"/>
      <c r="AT1208" s="696"/>
    </row>
    <row r="1209" ht="15.75" customHeight="1">
      <c r="A1209" s="653"/>
      <c r="B1209" s="654"/>
      <c r="C1209" s="691"/>
      <c r="D1209" s="656"/>
      <c r="E1209" s="657"/>
      <c r="F1209" s="658"/>
      <c r="G1209" s="659"/>
      <c r="H1209" s="660"/>
      <c r="I1209" s="659"/>
      <c r="J1209" s="661"/>
      <c r="K1209" s="692"/>
      <c r="L1209" s="645"/>
      <c r="M1209" s="663"/>
      <c r="N1209" s="665"/>
      <c r="O1209" s="665"/>
      <c r="P1209" s="666"/>
      <c r="Q1209" s="667"/>
      <c r="R1209" s="668"/>
      <c r="S1209" s="693"/>
      <c r="T1209" s="694"/>
      <c r="U1209" s="694"/>
      <c r="V1209" s="693"/>
      <c r="W1209" s="693"/>
      <c r="X1209" s="693"/>
      <c r="Y1209" s="671"/>
      <c r="Z1209" s="673"/>
      <c r="AA1209" s="672"/>
      <c r="AB1209" s="695"/>
      <c r="AC1209" s="673"/>
      <c r="AD1209" s="673"/>
      <c r="AE1209" s="673"/>
      <c r="AF1209" s="673"/>
      <c r="AG1209" s="673"/>
      <c r="AH1209" s="673"/>
      <c r="AI1209" s="673"/>
      <c r="AJ1209" s="673"/>
      <c r="AK1209" s="673"/>
      <c r="AL1209" s="673"/>
      <c r="AM1209" s="673"/>
      <c r="AN1209" s="673"/>
      <c r="AO1209" s="673"/>
      <c r="AP1209" s="673"/>
      <c r="AQ1209" s="673"/>
      <c r="AR1209" s="673"/>
      <c r="AS1209" s="673"/>
      <c r="AT1209" s="696"/>
    </row>
    <row r="1210" ht="15.75" customHeight="1">
      <c r="A1210" s="653"/>
      <c r="B1210" s="654"/>
      <c r="C1210" s="691"/>
      <c r="D1210" s="656"/>
      <c r="E1210" s="657"/>
      <c r="F1210" s="658"/>
      <c r="G1210" s="659"/>
      <c r="H1210" s="660"/>
      <c r="I1210" s="659"/>
      <c r="J1210" s="661"/>
      <c r="K1210" s="692"/>
      <c r="L1210" s="645"/>
      <c r="M1210" s="663"/>
      <c r="N1210" s="665"/>
      <c r="O1210" s="665"/>
      <c r="P1210" s="666"/>
      <c r="Q1210" s="667"/>
      <c r="R1210" s="668"/>
      <c r="S1210" s="693"/>
      <c r="T1210" s="694"/>
      <c r="U1210" s="694"/>
      <c r="V1210" s="693"/>
      <c r="W1210" s="693"/>
      <c r="X1210" s="693"/>
      <c r="Y1210" s="671"/>
      <c r="Z1210" s="673"/>
      <c r="AA1210" s="672"/>
      <c r="AB1210" s="695"/>
      <c r="AC1210" s="673"/>
      <c r="AD1210" s="673"/>
      <c r="AE1210" s="673"/>
      <c r="AF1210" s="673"/>
      <c r="AG1210" s="673"/>
      <c r="AH1210" s="673"/>
      <c r="AI1210" s="673"/>
      <c r="AJ1210" s="673"/>
      <c r="AK1210" s="673"/>
      <c r="AL1210" s="673"/>
      <c r="AM1210" s="673"/>
      <c r="AN1210" s="673"/>
      <c r="AO1210" s="673"/>
      <c r="AP1210" s="673"/>
      <c r="AQ1210" s="673"/>
      <c r="AR1210" s="673"/>
      <c r="AS1210" s="673"/>
      <c r="AT1210" s="696"/>
    </row>
    <row r="1211" ht="15.75" customHeight="1">
      <c r="A1211" s="653"/>
      <c r="B1211" s="654"/>
      <c r="C1211" s="691"/>
      <c r="D1211" s="656"/>
      <c r="E1211" s="657"/>
      <c r="F1211" s="658"/>
      <c r="G1211" s="659"/>
      <c r="H1211" s="660"/>
      <c r="I1211" s="659"/>
      <c r="J1211" s="661"/>
      <c r="K1211" s="692"/>
      <c r="L1211" s="645"/>
      <c r="M1211" s="663"/>
      <c r="N1211" s="665"/>
      <c r="O1211" s="665"/>
      <c r="P1211" s="666"/>
      <c r="Q1211" s="667"/>
      <c r="R1211" s="668"/>
      <c r="S1211" s="693"/>
      <c r="T1211" s="694"/>
      <c r="U1211" s="694"/>
      <c r="V1211" s="693"/>
      <c r="W1211" s="693"/>
      <c r="X1211" s="693"/>
      <c r="Y1211" s="671"/>
      <c r="Z1211" s="673"/>
      <c r="AA1211" s="672"/>
      <c r="AB1211" s="695"/>
      <c r="AC1211" s="673"/>
      <c r="AD1211" s="673"/>
      <c r="AE1211" s="673"/>
      <c r="AF1211" s="673"/>
      <c r="AG1211" s="673"/>
      <c r="AH1211" s="673"/>
      <c r="AI1211" s="673"/>
      <c r="AJ1211" s="673"/>
      <c r="AK1211" s="673"/>
      <c r="AL1211" s="673"/>
      <c r="AM1211" s="673"/>
      <c r="AN1211" s="673"/>
      <c r="AO1211" s="673"/>
      <c r="AP1211" s="673"/>
      <c r="AQ1211" s="673"/>
      <c r="AR1211" s="673"/>
      <c r="AS1211" s="673"/>
      <c r="AT1211" s="696"/>
    </row>
    <row r="1212" ht="15.75" customHeight="1">
      <c r="A1212" s="653"/>
      <c r="B1212" s="654"/>
      <c r="C1212" s="691"/>
      <c r="D1212" s="656"/>
      <c r="E1212" s="657"/>
      <c r="F1212" s="658"/>
      <c r="G1212" s="659"/>
      <c r="H1212" s="660"/>
      <c r="I1212" s="659"/>
      <c r="J1212" s="661"/>
      <c r="K1212" s="692"/>
      <c r="L1212" s="645"/>
      <c r="M1212" s="663"/>
      <c r="N1212" s="665"/>
      <c r="O1212" s="665"/>
      <c r="P1212" s="666"/>
      <c r="Q1212" s="667"/>
      <c r="R1212" s="668"/>
      <c r="S1212" s="693"/>
      <c r="T1212" s="694"/>
      <c r="U1212" s="694"/>
      <c r="V1212" s="693"/>
      <c r="W1212" s="693"/>
      <c r="X1212" s="693"/>
      <c r="Y1212" s="671"/>
      <c r="Z1212" s="673"/>
      <c r="AA1212" s="672"/>
      <c r="AB1212" s="695"/>
      <c r="AC1212" s="673"/>
      <c r="AD1212" s="673"/>
      <c r="AE1212" s="673"/>
      <c r="AF1212" s="673"/>
      <c r="AG1212" s="673"/>
      <c r="AH1212" s="673"/>
      <c r="AI1212" s="673"/>
      <c r="AJ1212" s="673"/>
      <c r="AK1212" s="673"/>
      <c r="AL1212" s="673"/>
      <c r="AM1212" s="673"/>
      <c r="AN1212" s="673"/>
      <c r="AO1212" s="673"/>
      <c r="AP1212" s="673"/>
      <c r="AQ1212" s="673"/>
      <c r="AR1212" s="673"/>
      <c r="AS1212" s="673"/>
      <c r="AT1212" s="696"/>
    </row>
    <row r="1213" ht="15.75" customHeight="1">
      <c r="A1213" s="653"/>
      <c r="B1213" s="654"/>
      <c r="C1213" s="691"/>
      <c r="D1213" s="656"/>
      <c r="E1213" s="657"/>
      <c r="F1213" s="658"/>
      <c r="G1213" s="659"/>
      <c r="H1213" s="660"/>
      <c r="I1213" s="659"/>
      <c r="J1213" s="661"/>
      <c r="K1213" s="692"/>
      <c r="L1213" s="645"/>
      <c r="M1213" s="663"/>
      <c r="N1213" s="665"/>
      <c r="O1213" s="665"/>
      <c r="P1213" s="666"/>
      <c r="Q1213" s="667"/>
      <c r="R1213" s="668"/>
      <c r="S1213" s="693"/>
      <c r="T1213" s="694"/>
      <c r="U1213" s="694"/>
      <c r="V1213" s="693"/>
      <c r="W1213" s="693"/>
      <c r="X1213" s="693"/>
      <c r="Y1213" s="671"/>
      <c r="Z1213" s="673"/>
      <c r="AA1213" s="672"/>
      <c r="AB1213" s="695"/>
      <c r="AC1213" s="673"/>
      <c r="AD1213" s="673"/>
      <c r="AE1213" s="673"/>
      <c r="AF1213" s="673"/>
      <c r="AG1213" s="673"/>
      <c r="AH1213" s="673"/>
      <c r="AI1213" s="673"/>
      <c r="AJ1213" s="673"/>
      <c r="AK1213" s="673"/>
      <c r="AL1213" s="673"/>
      <c r="AM1213" s="673"/>
      <c r="AN1213" s="673"/>
      <c r="AO1213" s="673"/>
      <c r="AP1213" s="673"/>
      <c r="AQ1213" s="673"/>
      <c r="AR1213" s="673"/>
      <c r="AS1213" s="673"/>
      <c r="AT1213" s="696"/>
    </row>
    <row r="1214" ht="15.75" customHeight="1">
      <c r="A1214" s="653"/>
      <c r="B1214" s="654"/>
      <c r="C1214" s="691"/>
      <c r="D1214" s="656"/>
      <c r="E1214" s="657"/>
      <c r="F1214" s="658"/>
      <c r="G1214" s="659"/>
      <c r="H1214" s="660"/>
      <c r="I1214" s="659"/>
      <c r="J1214" s="661"/>
      <c r="K1214" s="692"/>
      <c r="L1214" s="645"/>
      <c r="M1214" s="663"/>
      <c r="N1214" s="665"/>
      <c r="O1214" s="665"/>
      <c r="P1214" s="666"/>
      <c r="Q1214" s="667"/>
      <c r="R1214" s="668"/>
      <c r="S1214" s="693"/>
      <c r="T1214" s="694"/>
      <c r="U1214" s="694"/>
      <c r="V1214" s="693"/>
      <c r="W1214" s="693"/>
      <c r="X1214" s="693"/>
      <c r="Y1214" s="671"/>
      <c r="Z1214" s="673"/>
      <c r="AA1214" s="672"/>
      <c r="AB1214" s="695"/>
      <c r="AC1214" s="673"/>
      <c r="AD1214" s="673"/>
      <c r="AE1214" s="673"/>
      <c r="AF1214" s="673"/>
      <c r="AG1214" s="673"/>
      <c r="AH1214" s="673"/>
      <c r="AI1214" s="673"/>
      <c r="AJ1214" s="673"/>
      <c r="AK1214" s="673"/>
      <c r="AL1214" s="673"/>
      <c r="AM1214" s="673"/>
      <c r="AN1214" s="673"/>
      <c r="AO1214" s="673"/>
      <c r="AP1214" s="673"/>
      <c r="AQ1214" s="673"/>
      <c r="AR1214" s="673"/>
      <c r="AS1214" s="673"/>
      <c r="AT1214" s="696"/>
    </row>
    <row r="1215" ht="15.75" customHeight="1">
      <c r="A1215" s="653"/>
      <c r="B1215" s="654"/>
      <c r="C1215" s="691"/>
      <c r="D1215" s="656"/>
      <c r="E1215" s="657"/>
      <c r="F1215" s="658"/>
      <c r="G1215" s="659"/>
      <c r="H1215" s="660"/>
      <c r="I1215" s="659"/>
      <c r="J1215" s="661"/>
      <c r="K1215" s="692"/>
      <c r="L1215" s="645"/>
      <c r="M1215" s="663"/>
      <c r="N1215" s="665"/>
      <c r="O1215" s="665"/>
      <c r="P1215" s="666"/>
      <c r="Q1215" s="667"/>
      <c r="R1215" s="668"/>
      <c r="S1215" s="693"/>
      <c r="T1215" s="694"/>
      <c r="U1215" s="694"/>
      <c r="V1215" s="693"/>
      <c r="W1215" s="693"/>
      <c r="X1215" s="693"/>
      <c r="Y1215" s="671"/>
      <c r="Z1215" s="673"/>
      <c r="AA1215" s="672"/>
      <c r="AB1215" s="695"/>
      <c r="AC1215" s="673"/>
      <c r="AD1215" s="673"/>
      <c r="AE1215" s="673"/>
      <c r="AF1215" s="673"/>
      <c r="AG1215" s="673"/>
      <c r="AH1215" s="673"/>
      <c r="AI1215" s="673"/>
      <c r="AJ1215" s="673"/>
      <c r="AK1215" s="673"/>
      <c r="AL1215" s="673"/>
      <c r="AM1215" s="673"/>
      <c r="AN1215" s="673"/>
      <c r="AO1215" s="673"/>
      <c r="AP1215" s="673"/>
      <c r="AQ1215" s="673"/>
      <c r="AR1215" s="673"/>
      <c r="AS1215" s="673"/>
      <c r="AT1215" s="696"/>
    </row>
    <row r="1216" ht="15.75" customHeight="1">
      <c r="A1216" s="653"/>
      <c r="B1216" s="654"/>
      <c r="C1216" s="691"/>
      <c r="D1216" s="656"/>
      <c r="E1216" s="657"/>
      <c r="F1216" s="658"/>
      <c r="G1216" s="659"/>
      <c r="H1216" s="660"/>
      <c r="I1216" s="659"/>
      <c r="J1216" s="661"/>
      <c r="K1216" s="692"/>
      <c r="L1216" s="645"/>
      <c r="M1216" s="663"/>
      <c r="N1216" s="665"/>
      <c r="O1216" s="665"/>
      <c r="P1216" s="666"/>
      <c r="Q1216" s="667"/>
      <c r="R1216" s="668"/>
      <c r="S1216" s="693"/>
      <c r="T1216" s="694"/>
      <c r="U1216" s="694"/>
      <c r="V1216" s="693"/>
      <c r="W1216" s="693"/>
      <c r="X1216" s="693"/>
      <c r="Y1216" s="671"/>
      <c r="Z1216" s="673"/>
      <c r="AA1216" s="672"/>
      <c r="AB1216" s="695"/>
      <c r="AC1216" s="673"/>
      <c r="AD1216" s="673"/>
      <c r="AE1216" s="673"/>
      <c r="AF1216" s="673"/>
      <c r="AG1216" s="673"/>
      <c r="AH1216" s="673"/>
      <c r="AI1216" s="673"/>
      <c r="AJ1216" s="673"/>
      <c r="AK1216" s="673"/>
      <c r="AL1216" s="673"/>
      <c r="AM1216" s="673"/>
      <c r="AN1216" s="673"/>
      <c r="AO1216" s="673"/>
      <c r="AP1216" s="673"/>
      <c r="AQ1216" s="673"/>
      <c r="AR1216" s="673"/>
      <c r="AS1216" s="673"/>
      <c r="AT1216" s="696"/>
    </row>
    <row r="1217" ht="15.75" customHeight="1">
      <c r="A1217" s="653"/>
      <c r="B1217" s="654"/>
      <c r="C1217" s="691"/>
      <c r="D1217" s="656"/>
      <c r="E1217" s="657"/>
      <c r="F1217" s="658"/>
      <c r="G1217" s="659"/>
      <c r="H1217" s="660"/>
      <c r="I1217" s="659"/>
      <c r="J1217" s="661"/>
      <c r="K1217" s="692"/>
      <c r="L1217" s="645"/>
      <c r="M1217" s="663"/>
      <c r="N1217" s="665"/>
      <c r="O1217" s="665"/>
      <c r="P1217" s="666"/>
      <c r="Q1217" s="667"/>
      <c r="R1217" s="668"/>
      <c r="S1217" s="693"/>
      <c r="T1217" s="694"/>
      <c r="U1217" s="694"/>
      <c r="V1217" s="693"/>
      <c r="W1217" s="693"/>
      <c r="X1217" s="693"/>
      <c r="Y1217" s="671"/>
      <c r="Z1217" s="673"/>
      <c r="AA1217" s="672"/>
      <c r="AB1217" s="695"/>
      <c r="AC1217" s="673"/>
      <c r="AD1217" s="673"/>
      <c r="AE1217" s="673"/>
      <c r="AF1217" s="673"/>
      <c r="AG1217" s="673"/>
      <c r="AH1217" s="673"/>
      <c r="AI1217" s="673"/>
      <c r="AJ1217" s="673"/>
      <c r="AK1217" s="673"/>
      <c r="AL1217" s="673"/>
      <c r="AM1217" s="673"/>
      <c r="AN1217" s="673"/>
      <c r="AO1217" s="673"/>
      <c r="AP1217" s="673"/>
      <c r="AQ1217" s="673"/>
      <c r="AR1217" s="673"/>
      <c r="AS1217" s="673"/>
      <c r="AT1217" s="696"/>
    </row>
    <row r="1218" ht="15.75" customHeight="1">
      <c r="A1218" s="653"/>
      <c r="B1218" s="654"/>
      <c r="C1218" s="691"/>
      <c r="D1218" s="656"/>
      <c r="E1218" s="657"/>
      <c r="F1218" s="658"/>
      <c r="G1218" s="659"/>
      <c r="H1218" s="660"/>
      <c r="I1218" s="659"/>
      <c r="J1218" s="661"/>
      <c r="K1218" s="692"/>
      <c r="L1218" s="645"/>
      <c r="M1218" s="663"/>
      <c r="N1218" s="665"/>
      <c r="O1218" s="665"/>
      <c r="P1218" s="666"/>
      <c r="Q1218" s="667"/>
      <c r="R1218" s="668"/>
      <c r="S1218" s="693"/>
      <c r="T1218" s="694"/>
      <c r="U1218" s="694"/>
      <c r="V1218" s="693"/>
      <c r="W1218" s="693"/>
      <c r="X1218" s="693"/>
      <c r="Y1218" s="671"/>
      <c r="Z1218" s="673"/>
      <c r="AA1218" s="672"/>
      <c r="AB1218" s="695"/>
      <c r="AC1218" s="673"/>
      <c r="AD1218" s="673"/>
      <c r="AE1218" s="673"/>
      <c r="AF1218" s="673"/>
      <c r="AG1218" s="673"/>
      <c r="AH1218" s="673"/>
      <c r="AI1218" s="673"/>
      <c r="AJ1218" s="673"/>
      <c r="AK1218" s="673"/>
      <c r="AL1218" s="673"/>
      <c r="AM1218" s="673"/>
      <c r="AN1218" s="673"/>
      <c r="AO1218" s="673"/>
      <c r="AP1218" s="673"/>
      <c r="AQ1218" s="673"/>
      <c r="AR1218" s="673"/>
      <c r="AS1218" s="673"/>
      <c r="AT1218" s="696"/>
    </row>
    <row r="1219" ht="15.75" customHeight="1">
      <c r="A1219" s="653"/>
      <c r="B1219" s="654"/>
      <c r="C1219" s="691"/>
      <c r="D1219" s="656"/>
      <c r="E1219" s="657"/>
      <c r="F1219" s="658"/>
      <c r="G1219" s="659"/>
      <c r="H1219" s="660"/>
      <c r="I1219" s="659"/>
      <c r="J1219" s="661"/>
      <c r="K1219" s="692"/>
      <c r="L1219" s="645"/>
      <c r="M1219" s="663"/>
      <c r="N1219" s="665"/>
      <c r="O1219" s="665"/>
      <c r="P1219" s="666"/>
      <c r="Q1219" s="667"/>
      <c r="R1219" s="668"/>
      <c r="S1219" s="693"/>
      <c r="T1219" s="694"/>
      <c r="U1219" s="694"/>
      <c r="V1219" s="693"/>
      <c r="W1219" s="693"/>
      <c r="X1219" s="693"/>
      <c r="Y1219" s="671"/>
      <c r="Z1219" s="673"/>
      <c r="AA1219" s="672"/>
      <c r="AB1219" s="695"/>
      <c r="AC1219" s="673"/>
      <c r="AD1219" s="673"/>
      <c r="AE1219" s="673"/>
      <c r="AF1219" s="673"/>
      <c r="AG1219" s="673"/>
      <c r="AH1219" s="673"/>
      <c r="AI1219" s="673"/>
      <c r="AJ1219" s="673"/>
      <c r="AK1219" s="673"/>
      <c r="AL1219" s="673"/>
      <c r="AM1219" s="673"/>
      <c r="AN1219" s="673"/>
      <c r="AO1219" s="673"/>
      <c r="AP1219" s="673"/>
      <c r="AQ1219" s="673"/>
      <c r="AR1219" s="673"/>
      <c r="AS1219" s="673"/>
      <c r="AT1219" s="696"/>
    </row>
    <row r="1220" ht="15.75" customHeight="1">
      <c r="A1220" s="653"/>
      <c r="B1220" s="654"/>
      <c r="C1220" s="691"/>
      <c r="D1220" s="656"/>
      <c r="E1220" s="657"/>
      <c r="F1220" s="658"/>
      <c r="G1220" s="659"/>
      <c r="H1220" s="660"/>
      <c r="I1220" s="659"/>
      <c r="J1220" s="661"/>
      <c r="K1220" s="692"/>
      <c r="L1220" s="645"/>
      <c r="M1220" s="663"/>
      <c r="N1220" s="665"/>
      <c r="O1220" s="665"/>
      <c r="P1220" s="666"/>
      <c r="Q1220" s="667"/>
      <c r="R1220" s="668"/>
      <c r="S1220" s="693"/>
      <c r="T1220" s="694"/>
      <c r="U1220" s="694"/>
      <c r="V1220" s="693"/>
      <c r="W1220" s="693"/>
      <c r="X1220" s="693"/>
      <c r="Y1220" s="671"/>
      <c r="Z1220" s="673"/>
      <c r="AA1220" s="672"/>
      <c r="AB1220" s="695"/>
      <c r="AC1220" s="673"/>
      <c r="AD1220" s="673"/>
      <c r="AE1220" s="673"/>
      <c r="AF1220" s="673"/>
      <c r="AG1220" s="673"/>
      <c r="AH1220" s="673"/>
      <c r="AI1220" s="673"/>
      <c r="AJ1220" s="673"/>
      <c r="AK1220" s="673"/>
      <c r="AL1220" s="673"/>
      <c r="AM1220" s="673"/>
      <c r="AN1220" s="673"/>
      <c r="AO1220" s="673"/>
      <c r="AP1220" s="673"/>
      <c r="AQ1220" s="673"/>
      <c r="AR1220" s="673"/>
      <c r="AS1220" s="673"/>
      <c r="AT1220" s="696"/>
    </row>
    <row r="1221" ht="15.75" customHeight="1">
      <c r="A1221" s="653"/>
      <c r="B1221" s="654"/>
      <c r="C1221" s="691"/>
      <c r="D1221" s="656"/>
      <c r="E1221" s="657"/>
      <c r="F1221" s="658"/>
      <c r="G1221" s="659"/>
      <c r="H1221" s="660"/>
      <c r="I1221" s="659"/>
      <c r="J1221" s="661"/>
      <c r="K1221" s="692"/>
      <c r="L1221" s="645"/>
      <c r="M1221" s="663"/>
      <c r="N1221" s="665"/>
      <c r="O1221" s="665"/>
      <c r="P1221" s="666"/>
      <c r="Q1221" s="667"/>
      <c r="R1221" s="668"/>
      <c r="S1221" s="693"/>
      <c r="T1221" s="694"/>
      <c r="U1221" s="694"/>
      <c r="V1221" s="693"/>
      <c r="W1221" s="693"/>
      <c r="X1221" s="693"/>
      <c r="Y1221" s="671"/>
      <c r="Z1221" s="673"/>
      <c r="AA1221" s="672"/>
      <c r="AB1221" s="695"/>
      <c r="AC1221" s="673"/>
      <c r="AD1221" s="673"/>
      <c r="AE1221" s="673"/>
      <c r="AF1221" s="673"/>
      <c r="AG1221" s="673"/>
      <c r="AH1221" s="673"/>
      <c r="AI1221" s="673"/>
      <c r="AJ1221" s="673"/>
      <c r="AK1221" s="673"/>
      <c r="AL1221" s="673"/>
      <c r="AM1221" s="673"/>
      <c r="AN1221" s="673"/>
      <c r="AO1221" s="673"/>
      <c r="AP1221" s="673"/>
      <c r="AQ1221" s="673"/>
      <c r="AR1221" s="673"/>
      <c r="AS1221" s="673"/>
      <c r="AT1221" s="696"/>
    </row>
    <row r="1222" ht="15.75" customHeight="1">
      <c r="A1222" s="653"/>
      <c r="B1222" s="654"/>
      <c r="C1222" s="691"/>
      <c r="D1222" s="656"/>
      <c r="E1222" s="657"/>
      <c r="F1222" s="658"/>
      <c r="G1222" s="659"/>
      <c r="H1222" s="660"/>
      <c r="I1222" s="659"/>
      <c r="J1222" s="661"/>
      <c r="K1222" s="692"/>
      <c r="L1222" s="645"/>
      <c r="M1222" s="663"/>
      <c r="N1222" s="665"/>
      <c r="O1222" s="665"/>
      <c r="P1222" s="666"/>
      <c r="Q1222" s="667"/>
      <c r="R1222" s="668"/>
      <c r="S1222" s="693"/>
      <c r="T1222" s="694"/>
      <c r="U1222" s="694"/>
      <c r="V1222" s="693"/>
      <c r="W1222" s="693"/>
      <c r="X1222" s="693"/>
      <c r="Y1222" s="671"/>
      <c r="Z1222" s="673"/>
      <c r="AA1222" s="672"/>
      <c r="AB1222" s="695"/>
      <c r="AC1222" s="673"/>
      <c r="AD1222" s="673"/>
      <c r="AE1222" s="673"/>
      <c r="AF1222" s="673"/>
      <c r="AG1222" s="673"/>
      <c r="AH1222" s="673"/>
      <c r="AI1222" s="673"/>
      <c r="AJ1222" s="673"/>
      <c r="AK1222" s="673"/>
      <c r="AL1222" s="673"/>
      <c r="AM1222" s="673"/>
      <c r="AN1222" s="673"/>
      <c r="AO1222" s="673"/>
      <c r="AP1222" s="673"/>
      <c r="AQ1222" s="673"/>
      <c r="AR1222" s="673"/>
      <c r="AS1222" s="673"/>
      <c r="AT1222" s="696"/>
    </row>
    <row r="1223" ht="15.75" customHeight="1">
      <c r="A1223" s="653"/>
      <c r="B1223" s="654"/>
      <c r="C1223" s="691"/>
      <c r="D1223" s="656"/>
      <c r="E1223" s="657"/>
      <c r="F1223" s="658"/>
      <c r="G1223" s="659"/>
      <c r="H1223" s="660"/>
      <c r="I1223" s="659"/>
      <c r="J1223" s="661"/>
      <c r="K1223" s="692"/>
      <c r="L1223" s="645"/>
      <c r="M1223" s="663"/>
      <c r="N1223" s="665"/>
      <c r="O1223" s="665"/>
      <c r="P1223" s="666"/>
      <c r="Q1223" s="667"/>
      <c r="R1223" s="668"/>
      <c r="S1223" s="693"/>
      <c r="T1223" s="694"/>
      <c r="U1223" s="694"/>
      <c r="V1223" s="693"/>
      <c r="W1223" s="693"/>
      <c r="X1223" s="693"/>
      <c r="Y1223" s="671"/>
      <c r="Z1223" s="673"/>
      <c r="AA1223" s="672"/>
      <c r="AB1223" s="695"/>
      <c r="AC1223" s="673"/>
      <c r="AD1223" s="673"/>
      <c r="AE1223" s="673"/>
      <c r="AF1223" s="673"/>
      <c r="AG1223" s="673"/>
      <c r="AH1223" s="673"/>
      <c r="AI1223" s="673"/>
      <c r="AJ1223" s="673"/>
      <c r="AK1223" s="673"/>
      <c r="AL1223" s="673"/>
      <c r="AM1223" s="673"/>
      <c r="AN1223" s="673"/>
      <c r="AO1223" s="673"/>
      <c r="AP1223" s="673"/>
      <c r="AQ1223" s="673"/>
      <c r="AR1223" s="673"/>
      <c r="AS1223" s="673"/>
      <c r="AT1223" s="696"/>
    </row>
    <row r="1224" ht="15.75" customHeight="1">
      <c r="A1224" s="653"/>
      <c r="B1224" s="654"/>
      <c r="C1224" s="691"/>
      <c r="D1224" s="656"/>
      <c r="E1224" s="657"/>
      <c r="F1224" s="658"/>
      <c r="G1224" s="659"/>
      <c r="H1224" s="660"/>
      <c r="I1224" s="659"/>
      <c r="J1224" s="661"/>
      <c r="K1224" s="692"/>
      <c r="L1224" s="645"/>
      <c r="M1224" s="663"/>
      <c r="N1224" s="665"/>
      <c r="O1224" s="665"/>
      <c r="P1224" s="666"/>
      <c r="Q1224" s="667"/>
      <c r="R1224" s="668"/>
      <c r="S1224" s="693"/>
      <c r="T1224" s="694"/>
      <c r="U1224" s="694"/>
      <c r="V1224" s="693"/>
      <c r="W1224" s="693"/>
      <c r="X1224" s="693"/>
      <c r="Y1224" s="671"/>
      <c r="Z1224" s="673"/>
      <c r="AA1224" s="672"/>
      <c r="AB1224" s="695"/>
      <c r="AC1224" s="673"/>
      <c r="AD1224" s="673"/>
      <c r="AE1224" s="673"/>
      <c r="AF1224" s="673"/>
      <c r="AG1224" s="673"/>
      <c r="AH1224" s="673"/>
      <c r="AI1224" s="673"/>
      <c r="AJ1224" s="673"/>
      <c r="AK1224" s="673"/>
      <c r="AL1224" s="673"/>
      <c r="AM1224" s="673"/>
      <c r="AN1224" s="673"/>
      <c r="AO1224" s="673"/>
      <c r="AP1224" s="673"/>
      <c r="AQ1224" s="673"/>
      <c r="AR1224" s="673"/>
      <c r="AS1224" s="673"/>
      <c r="AT1224" s="696"/>
    </row>
    <row r="1225" ht="15.75" customHeight="1">
      <c r="A1225" s="653"/>
      <c r="B1225" s="654"/>
      <c r="C1225" s="691"/>
      <c r="D1225" s="656"/>
      <c r="E1225" s="657"/>
      <c r="F1225" s="658"/>
      <c r="G1225" s="659"/>
      <c r="H1225" s="660"/>
      <c r="I1225" s="659"/>
      <c r="J1225" s="661"/>
      <c r="K1225" s="692"/>
      <c r="L1225" s="645"/>
      <c r="M1225" s="663"/>
      <c r="N1225" s="665"/>
      <c r="O1225" s="665"/>
      <c r="P1225" s="666"/>
      <c r="Q1225" s="667"/>
      <c r="R1225" s="668"/>
      <c r="S1225" s="693"/>
      <c r="T1225" s="694"/>
      <c r="U1225" s="694"/>
      <c r="V1225" s="693"/>
      <c r="W1225" s="693"/>
      <c r="X1225" s="693"/>
      <c r="Y1225" s="671"/>
      <c r="Z1225" s="673"/>
      <c r="AA1225" s="672"/>
      <c r="AB1225" s="695"/>
      <c r="AC1225" s="673"/>
      <c r="AD1225" s="673"/>
      <c r="AE1225" s="673"/>
      <c r="AF1225" s="673"/>
      <c r="AG1225" s="673"/>
      <c r="AH1225" s="673"/>
      <c r="AI1225" s="673"/>
      <c r="AJ1225" s="673"/>
      <c r="AK1225" s="673"/>
      <c r="AL1225" s="673"/>
      <c r="AM1225" s="673"/>
      <c r="AN1225" s="673"/>
      <c r="AO1225" s="673"/>
      <c r="AP1225" s="673"/>
      <c r="AQ1225" s="673"/>
      <c r="AR1225" s="673"/>
      <c r="AS1225" s="673"/>
      <c r="AT1225" s="696"/>
    </row>
    <row r="1226" ht="15.75" customHeight="1">
      <c r="A1226" s="653"/>
      <c r="B1226" s="654"/>
      <c r="C1226" s="691"/>
      <c r="D1226" s="656"/>
      <c r="E1226" s="657"/>
      <c r="F1226" s="658"/>
      <c r="G1226" s="659"/>
      <c r="H1226" s="660"/>
      <c r="I1226" s="659"/>
      <c r="J1226" s="661"/>
      <c r="K1226" s="692"/>
      <c r="L1226" s="645"/>
      <c r="M1226" s="663"/>
      <c r="N1226" s="665"/>
      <c r="O1226" s="665"/>
      <c r="P1226" s="666"/>
      <c r="Q1226" s="667"/>
      <c r="R1226" s="668"/>
      <c r="S1226" s="693"/>
      <c r="T1226" s="694"/>
      <c r="U1226" s="694"/>
      <c r="V1226" s="693"/>
      <c r="W1226" s="693"/>
      <c r="X1226" s="693"/>
      <c r="Y1226" s="671"/>
      <c r="Z1226" s="673"/>
      <c r="AA1226" s="672"/>
      <c r="AB1226" s="695"/>
      <c r="AC1226" s="673"/>
      <c r="AD1226" s="673"/>
      <c r="AE1226" s="673"/>
      <c r="AF1226" s="673"/>
      <c r="AG1226" s="673"/>
      <c r="AH1226" s="673"/>
      <c r="AI1226" s="673"/>
      <c r="AJ1226" s="673"/>
      <c r="AK1226" s="673"/>
      <c r="AL1226" s="673"/>
      <c r="AM1226" s="673"/>
      <c r="AN1226" s="673"/>
      <c r="AO1226" s="673"/>
      <c r="AP1226" s="673"/>
      <c r="AQ1226" s="673"/>
      <c r="AR1226" s="673"/>
      <c r="AS1226" s="673"/>
      <c r="AT1226" s="696"/>
    </row>
    <row r="1227" ht="15.75" customHeight="1">
      <c r="A1227" s="653"/>
      <c r="B1227" s="654"/>
      <c r="C1227" s="691"/>
      <c r="D1227" s="656"/>
      <c r="E1227" s="657"/>
      <c r="F1227" s="658"/>
      <c r="G1227" s="659"/>
      <c r="H1227" s="660"/>
      <c r="I1227" s="659"/>
      <c r="J1227" s="661"/>
      <c r="K1227" s="692"/>
      <c r="L1227" s="645"/>
      <c r="M1227" s="663"/>
      <c r="N1227" s="665"/>
      <c r="O1227" s="665"/>
      <c r="P1227" s="666"/>
      <c r="Q1227" s="667"/>
      <c r="R1227" s="668"/>
      <c r="S1227" s="693"/>
      <c r="T1227" s="694"/>
      <c r="U1227" s="694"/>
      <c r="V1227" s="693"/>
      <c r="W1227" s="693"/>
      <c r="X1227" s="693"/>
      <c r="Y1227" s="671"/>
      <c r="Z1227" s="673"/>
      <c r="AA1227" s="672"/>
      <c r="AB1227" s="695"/>
      <c r="AC1227" s="673"/>
      <c r="AD1227" s="673"/>
      <c r="AE1227" s="673"/>
      <c r="AF1227" s="673"/>
      <c r="AG1227" s="673"/>
      <c r="AH1227" s="673"/>
      <c r="AI1227" s="673"/>
      <c r="AJ1227" s="673"/>
      <c r="AK1227" s="673"/>
      <c r="AL1227" s="673"/>
      <c r="AM1227" s="673"/>
      <c r="AN1227" s="673"/>
      <c r="AO1227" s="673"/>
      <c r="AP1227" s="673"/>
      <c r="AQ1227" s="673"/>
      <c r="AR1227" s="673"/>
      <c r="AS1227" s="673"/>
      <c r="AT1227" s="696"/>
    </row>
    <row r="1228" ht="15.75" customHeight="1">
      <c r="A1228" s="653"/>
      <c r="B1228" s="654"/>
      <c r="C1228" s="691"/>
      <c r="D1228" s="656"/>
      <c r="E1228" s="657"/>
      <c r="F1228" s="658"/>
      <c r="G1228" s="659"/>
      <c r="H1228" s="660"/>
      <c r="I1228" s="659"/>
      <c r="J1228" s="661"/>
      <c r="K1228" s="692"/>
      <c r="L1228" s="645"/>
      <c r="M1228" s="663"/>
      <c r="N1228" s="665"/>
      <c r="O1228" s="665"/>
      <c r="P1228" s="666"/>
      <c r="Q1228" s="667"/>
      <c r="R1228" s="668"/>
      <c r="S1228" s="693"/>
      <c r="T1228" s="694"/>
      <c r="U1228" s="694"/>
      <c r="V1228" s="693"/>
      <c r="W1228" s="693"/>
      <c r="X1228" s="693"/>
      <c r="Y1228" s="671"/>
      <c r="Z1228" s="673"/>
      <c r="AA1228" s="672"/>
      <c r="AB1228" s="695"/>
      <c r="AC1228" s="673"/>
      <c r="AD1228" s="673"/>
      <c r="AE1228" s="673"/>
      <c r="AF1228" s="673"/>
      <c r="AG1228" s="673"/>
      <c r="AH1228" s="673"/>
      <c r="AI1228" s="673"/>
      <c r="AJ1228" s="673"/>
      <c r="AK1228" s="673"/>
      <c r="AL1228" s="673"/>
      <c r="AM1228" s="673"/>
      <c r="AN1228" s="673"/>
      <c r="AO1228" s="673"/>
      <c r="AP1228" s="673"/>
      <c r="AQ1228" s="673"/>
      <c r="AR1228" s="673"/>
      <c r="AS1228" s="673"/>
      <c r="AT1228" s="696"/>
    </row>
    <row r="1229" ht="15.75" customHeight="1">
      <c r="A1229" s="653"/>
      <c r="B1229" s="654"/>
      <c r="C1229" s="691"/>
      <c r="D1229" s="656"/>
      <c r="E1229" s="657"/>
      <c r="F1229" s="658"/>
      <c r="G1229" s="659"/>
      <c r="H1229" s="660"/>
      <c r="I1229" s="659"/>
      <c r="J1229" s="661"/>
      <c r="K1229" s="692"/>
      <c r="L1229" s="645"/>
      <c r="M1229" s="663"/>
      <c r="N1229" s="665"/>
      <c r="O1229" s="665"/>
      <c r="P1229" s="666"/>
      <c r="Q1229" s="667"/>
      <c r="R1229" s="668"/>
      <c r="S1229" s="693"/>
      <c r="T1229" s="694"/>
      <c r="U1229" s="694"/>
      <c r="V1229" s="693"/>
      <c r="W1229" s="693"/>
      <c r="X1229" s="693"/>
      <c r="Y1229" s="671"/>
      <c r="Z1229" s="673"/>
      <c r="AA1229" s="672"/>
      <c r="AB1229" s="695"/>
      <c r="AC1229" s="673"/>
      <c r="AD1229" s="673"/>
      <c r="AE1229" s="673"/>
      <c r="AF1229" s="673"/>
      <c r="AG1229" s="673"/>
      <c r="AH1229" s="673"/>
      <c r="AI1229" s="673"/>
      <c r="AJ1229" s="673"/>
      <c r="AK1229" s="673"/>
      <c r="AL1229" s="673"/>
      <c r="AM1229" s="673"/>
      <c r="AN1229" s="673"/>
      <c r="AO1229" s="673"/>
      <c r="AP1229" s="673"/>
      <c r="AQ1229" s="673"/>
      <c r="AR1229" s="673"/>
      <c r="AS1229" s="673"/>
      <c r="AT1229" s="696"/>
    </row>
    <row r="1230" ht="15.75" customHeight="1">
      <c r="A1230" s="653"/>
      <c r="B1230" s="654"/>
      <c r="C1230" s="691"/>
      <c r="D1230" s="656"/>
      <c r="E1230" s="657"/>
      <c r="F1230" s="658"/>
      <c r="G1230" s="659"/>
      <c r="H1230" s="660"/>
      <c r="I1230" s="659"/>
      <c r="J1230" s="661"/>
      <c r="K1230" s="692"/>
      <c r="L1230" s="645"/>
      <c r="M1230" s="663"/>
      <c r="N1230" s="665"/>
      <c r="O1230" s="665"/>
      <c r="P1230" s="666"/>
      <c r="Q1230" s="667"/>
      <c r="R1230" s="668"/>
      <c r="S1230" s="693"/>
      <c r="T1230" s="694"/>
      <c r="U1230" s="694"/>
      <c r="V1230" s="693"/>
      <c r="W1230" s="693"/>
      <c r="X1230" s="693"/>
      <c r="Y1230" s="671"/>
      <c r="Z1230" s="673"/>
      <c r="AA1230" s="672"/>
      <c r="AB1230" s="695"/>
      <c r="AC1230" s="673"/>
      <c r="AD1230" s="673"/>
      <c r="AE1230" s="673"/>
      <c r="AF1230" s="673"/>
      <c r="AG1230" s="673"/>
      <c r="AH1230" s="673"/>
      <c r="AI1230" s="673"/>
      <c r="AJ1230" s="673"/>
      <c r="AK1230" s="673"/>
      <c r="AL1230" s="673"/>
      <c r="AM1230" s="673"/>
      <c r="AN1230" s="673"/>
      <c r="AO1230" s="673"/>
      <c r="AP1230" s="673"/>
      <c r="AQ1230" s="673"/>
      <c r="AR1230" s="673"/>
      <c r="AS1230" s="673"/>
      <c r="AT1230" s="696"/>
    </row>
    <row r="1231" ht="15.75" customHeight="1">
      <c r="A1231" s="653"/>
      <c r="B1231" s="654"/>
      <c r="C1231" s="691"/>
      <c r="D1231" s="656"/>
      <c r="E1231" s="657"/>
      <c r="F1231" s="658"/>
      <c r="G1231" s="659"/>
      <c r="H1231" s="660"/>
      <c r="I1231" s="659"/>
      <c r="J1231" s="661"/>
      <c r="K1231" s="692"/>
      <c r="L1231" s="645"/>
      <c r="M1231" s="663"/>
      <c r="N1231" s="665"/>
      <c r="O1231" s="665"/>
      <c r="P1231" s="666"/>
      <c r="Q1231" s="667"/>
      <c r="R1231" s="668"/>
      <c r="S1231" s="693"/>
      <c r="T1231" s="694"/>
      <c r="U1231" s="694"/>
      <c r="V1231" s="693"/>
      <c r="W1231" s="693"/>
      <c r="X1231" s="693"/>
      <c r="Y1231" s="671"/>
      <c r="Z1231" s="673"/>
      <c r="AA1231" s="672"/>
      <c r="AB1231" s="695"/>
      <c r="AC1231" s="673"/>
      <c r="AD1231" s="673"/>
      <c r="AE1231" s="673"/>
      <c r="AF1231" s="673"/>
      <c r="AG1231" s="673"/>
      <c r="AH1231" s="673"/>
      <c r="AI1231" s="673"/>
      <c r="AJ1231" s="673"/>
      <c r="AK1231" s="673"/>
      <c r="AL1231" s="673"/>
      <c r="AM1231" s="673"/>
      <c r="AN1231" s="673"/>
      <c r="AO1231" s="673"/>
      <c r="AP1231" s="673"/>
      <c r="AQ1231" s="673"/>
      <c r="AR1231" s="673"/>
      <c r="AS1231" s="673"/>
      <c r="AT1231" s="696"/>
    </row>
    <row r="1232" ht="15.75" customHeight="1">
      <c r="A1232" s="653"/>
      <c r="B1232" s="654"/>
      <c r="C1232" s="691"/>
      <c r="D1232" s="656"/>
      <c r="E1232" s="657"/>
      <c r="F1232" s="658"/>
      <c r="G1232" s="659"/>
      <c r="H1232" s="660"/>
      <c r="I1232" s="659"/>
      <c r="J1232" s="661"/>
      <c r="K1232" s="692"/>
      <c r="L1232" s="645"/>
      <c r="M1232" s="663"/>
      <c r="N1232" s="665"/>
      <c r="O1232" s="665"/>
      <c r="P1232" s="666"/>
      <c r="Q1232" s="667"/>
      <c r="R1232" s="668"/>
      <c r="S1232" s="693"/>
      <c r="T1232" s="694"/>
      <c r="U1232" s="694"/>
      <c r="V1232" s="693"/>
      <c r="W1232" s="693"/>
      <c r="X1232" s="693"/>
      <c r="Y1232" s="671"/>
      <c r="Z1232" s="673"/>
      <c r="AA1232" s="672"/>
      <c r="AB1232" s="695"/>
      <c r="AC1232" s="673"/>
      <c r="AD1232" s="673"/>
      <c r="AE1232" s="673"/>
      <c r="AF1232" s="673"/>
      <c r="AG1232" s="673"/>
      <c r="AH1232" s="673"/>
      <c r="AI1232" s="673"/>
      <c r="AJ1232" s="673"/>
      <c r="AK1232" s="673"/>
      <c r="AL1232" s="673"/>
      <c r="AM1232" s="673"/>
      <c r="AN1232" s="673"/>
      <c r="AO1232" s="673"/>
      <c r="AP1232" s="673"/>
      <c r="AQ1232" s="673"/>
      <c r="AR1232" s="673"/>
      <c r="AS1232" s="673"/>
      <c r="AT1232" s="696"/>
    </row>
    <row r="1233" ht="15.75" customHeight="1">
      <c r="A1233" s="653"/>
      <c r="B1233" s="654"/>
      <c r="C1233" s="691"/>
      <c r="D1233" s="656"/>
      <c r="E1233" s="657"/>
      <c r="F1233" s="658"/>
      <c r="G1233" s="659"/>
      <c r="H1233" s="660"/>
      <c r="I1233" s="659"/>
      <c r="J1233" s="661"/>
      <c r="K1233" s="692"/>
      <c r="L1233" s="645"/>
      <c r="M1233" s="663"/>
      <c r="N1233" s="665"/>
      <c r="O1233" s="665"/>
      <c r="P1233" s="666"/>
      <c r="Q1233" s="667"/>
      <c r="R1233" s="668"/>
      <c r="S1233" s="693"/>
      <c r="T1233" s="694"/>
      <c r="U1233" s="694"/>
      <c r="V1233" s="693"/>
      <c r="W1233" s="693"/>
      <c r="X1233" s="693"/>
      <c r="Y1233" s="671"/>
      <c r="Z1233" s="673"/>
      <c r="AA1233" s="672"/>
      <c r="AB1233" s="695"/>
      <c r="AC1233" s="673"/>
      <c r="AD1233" s="673"/>
      <c r="AE1233" s="673"/>
      <c r="AF1233" s="673"/>
      <c r="AG1233" s="673"/>
      <c r="AH1233" s="673"/>
      <c r="AI1233" s="673"/>
      <c r="AJ1233" s="673"/>
      <c r="AK1233" s="673"/>
      <c r="AL1233" s="673"/>
      <c r="AM1233" s="673"/>
      <c r="AN1233" s="673"/>
      <c r="AO1233" s="673"/>
      <c r="AP1233" s="673"/>
      <c r="AQ1233" s="673"/>
      <c r="AR1233" s="673"/>
      <c r="AS1233" s="673"/>
      <c r="AT1233" s="696"/>
    </row>
    <row r="1234" ht="15.75" customHeight="1">
      <c r="A1234" s="653"/>
      <c r="B1234" s="654"/>
      <c r="C1234" s="691"/>
      <c r="D1234" s="656"/>
      <c r="E1234" s="657"/>
      <c r="F1234" s="658"/>
      <c r="G1234" s="659"/>
      <c r="H1234" s="660"/>
      <c r="I1234" s="659"/>
      <c r="J1234" s="661"/>
      <c r="K1234" s="692"/>
      <c r="L1234" s="645"/>
      <c r="M1234" s="663"/>
      <c r="N1234" s="665"/>
      <c r="O1234" s="665"/>
      <c r="P1234" s="666"/>
      <c r="Q1234" s="667"/>
      <c r="R1234" s="668"/>
      <c r="S1234" s="693"/>
      <c r="T1234" s="694"/>
      <c r="U1234" s="694"/>
      <c r="V1234" s="693"/>
      <c r="W1234" s="693"/>
      <c r="X1234" s="693"/>
      <c r="Y1234" s="671"/>
      <c r="Z1234" s="673"/>
      <c r="AA1234" s="672"/>
      <c r="AB1234" s="695"/>
      <c r="AC1234" s="673"/>
      <c r="AD1234" s="673"/>
      <c r="AE1234" s="673"/>
      <c r="AF1234" s="673"/>
      <c r="AG1234" s="673"/>
      <c r="AH1234" s="673"/>
      <c r="AI1234" s="673"/>
      <c r="AJ1234" s="673"/>
      <c r="AK1234" s="673"/>
      <c r="AL1234" s="673"/>
      <c r="AM1234" s="673"/>
      <c r="AN1234" s="673"/>
      <c r="AO1234" s="673"/>
      <c r="AP1234" s="673"/>
      <c r="AQ1234" s="673"/>
      <c r="AR1234" s="673"/>
      <c r="AS1234" s="673"/>
      <c r="AT1234" s="696"/>
    </row>
    <row r="1235" ht="15.75" customHeight="1">
      <c r="A1235" s="653"/>
      <c r="B1235" s="654"/>
      <c r="C1235" s="691"/>
      <c r="D1235" s="656"/>
      <c r="E1235" s="657"/>
      <c r="F1235" s="658"/>
      <c r="G1235" s="659"/>
      <c r="H1235" s="660"/>
      <c r="I1235" s="659"/>
      <c r="J1235" s="661"/>
      <c r="K1235" s="692"/>
      <c r="L1235" s="645"/>
      <c r="M1235" s="663"/>
      <c r="N1235" s="665"/>
      <c r="O1235" s="665"/>
      <c r="P1235" s="666"/>
      <c r="Q1235" s="667"/>
      <c r="R1235" s="668"/>
      <c r="S1235" s="693"/>
      <c r="T1235" s="694"/>
      <c r="U1235" s="694"/>
      <c r="V1235" s="693"/>
      <c r="W1235" s="693"/>
      <c r="X1235" s="693"/>
      <c r="Y1235" s="671"/>
      <c r="Z1235" s="673"/>
      <c r="AA1235" s="672"/>
      <c r="AB1235" s="695"/>
      <c r="AC1235" s="673"/>
      <c r="AD1235" s="673"/>
      <c r="AE1235" s="673"/>
      <c r="AF1235" s="673"/>
      <c r="AG1235" s="673"/>
      <c r="AH1235" s="673"/>
      <c r="AI1235" s="673"/>
      <c r="AJ1235" s="673"/>
      <c r="AK1235" s="673"/>
      <c r="AL1235" s="673"/>
      <c r="AM1235" s="673"/>
      <c r="AN1235" s="673"/>
      <c r="AO1235" s="673"/>
      <c r="AP1235" s="673"/>
      <c r="AQ1235" s="673"/>
      <c r="AR1235" s="673"/>
      <c r="AS1235" s="673"/>
      <c r="AT1235" s="696"/>
    </row>
    <row r="1236" ht="15.75" customHeight="1">
      <c r="A1236" s="653"/>
      <c r="B1236" s="654"/>
      <c r="C1236" s="691"/>
      <c r="D1236" s="656"/>
      <c r="E1236" s="657"/>
      <c r="F1236" s="658"/>
      <c r="G1236" s="659"/>
      <c r="H1236" s="660"/>
      <c r="I1236" s="659"/>
      <c r="J1236" s="661"/>
      <c r="K1236" s="692"/>
      <c r="L1236" s="645"/>
      <c r="M1236" s="663"/>
      <c r="N1236" s="665"/>
      <c r="O1236" s="665"/>
      <c r="P1236" s="666"/>
      <c r="Q1236" s="667"/>
      <c r="R1236" s="668"/>
      <c r="S1236" s="693"/>
      <c r="T1236" s="694"/>
      <c r="U1236" s="694"/>
      <c r="V1236" s="693"/>
      <c r="W1236" s="693"/>
      <c r="X1236" s="693"/>
      <c r="Y1236" s="671"/>
      <c r="Z1236" s="673"/>
      <c r="AA1236" s="672"/>
      <c r="AB1236" s="695"/>
      <c r="AC1236" s="673"/>
      <c r="AD1236" s="673"/>
      <c r="AE1236" s="673"/>
      <c r="AF1236" s="673"/>
      <c r="AG1236" s="673"/>
      <c r="AH1236" s="673"/>
      <c r="AI1236" s="673"/>
      <c r="AJ1236" s="673"/>
      <c r="AK1236" s="673"/>
      <c r="AL1236" s="673"/>
      <c r="AM1236" s="673"/>
      <c r="AN1236" s="673"/>
      <c r="AO1236" s="673"/>
      <c r="AP1236" s="673"/>
      <c r="AQ1236" s="673"/>
      <c r="AR1236" s="673"/>
      <c r="AS1236" s="673"/>
      <c r="AT1236" s="696"/>
    </row>
    <row r="1237" ht="15.75" customHeight="1">
      <c r="A1237" s="653"/>
      <c r="B1237" s="654"/>
      <c r="C1237" s="691"/>
      <c r="D1237" s="656"/>
      <c r="E1237" s="657"/>
      <c r="F1237" s="658"/>
      <c r="G1237" s="659"/>
      <c r="H1237" s="660"/>
      <c r="I1237" s="659"/>
      <c r="J1237" s="661"/>
      <c r="K1237" s="692"/>
      <c r="L1237" s="645"/>
      <c r="M1237" s="663"/>
      <c r="N1237" s="665"/>
      <c r="O1237" s="665"/>
      <c r="P1237" s="666"/>
      <c r="Q1237" s="667"/>
      <c r="R1237" s="668"/>
      <c r="S1237" s="693"/>
      <c r="T1237" s="694"/>
      <c r="U1237" s="694"/>
      <c r="V1237" s="693"/>
      <c r="W1237" s="693"/>
      <c r="X1237" s="693"/>
      <c r="Y1237" s="671"/>
      <c r="Z1237" s="673"/>
      <c r="AA1237" s="672"/>
      <c r="AB1237" s="695"/>
      <c r="AC1237" s="673"/>
      <c r="AD1237" s="673"/>
      <c r="AE1237" s="673"/>
      <c r="AF1237" s="673"/>
      <c r="AG1237" s="673"/>
      <c r="AH1237" s="673"/>
      <c r="AI1237" s="673"/>
      <c r="AJ1237" s="673"/>
      <c r="AK1237" s="673"/>
      <c r="AL1237" s="673"/>
      <c r="AM1237" s="673"/>
      <c r="AN1237" s="673"/>
      <c r="AO1237" s="673"/>
      <c r="AP1237" s="673"/>
      <c r="AQ1237" s="673"/>
      <c r="AR1237" s="673"/>
      <c r="AS1237" s="673"/>
      <c r="AT1237" s="696"/>
    </row>
    <row r="1238" ht="15.75" customHeight="1">
      <c r="A1238" s="653"/>
      <c r="B1238" s="654"/>
      <c r="C1238" s="691"/>
      <c r="D1238" s="656"/>
      <c r="E1238" s="657"/>
      <c r="F1238" s="658"/>
      <c r="G1238" s="659"/>
      <c r="H1238" s="660"/>
      <c r="I1238" s="659"/>
      <c r="J1238" s="661"/>
      <c r="K1238" s="692"/>
      <c r="L1238" s="645"/>
      <c r="M1238" s="663"/>
      <c r="N1238" s="665"/>
      <c r="O1238" s="665"/>
      <c r="P1238" s="666"/>
      <c r="Q1238" s="667"/>
      <c r="R1238" s="668"/>
      <c r="S1238" s="693"/>
      <c r="T1238" s="694"/>
      <c r="U1238" s="694"/>
      <c r="V1238" s="693"/>
      <c r="W1238" s="693"/>
      <c r="X1238" s="693"/>
      <c r="Y1238" s="671"/>
      <c r="Z1238" s="673"/>
      <c r="AA1238" s="672"/>
      <c r="AB1238" s="695"/>
      <c r="AC1238" s="673"/>
      <c r="AD1238" s="673"/>
      <c r="AE1238" s="673"/>
      <c r="AF1238" s="673"/>
      <c r="AG1238" s="673"/>
      <c r="AH1238" s="673"/>
      <c r="AI1238" s="673"/>
      <c r="AJ1238" s="673"/>
      <c r="AK1238" s="673"/>
      <c r="AL1238" s="673"/>
      <c r="AM1238" s="673"/>
      <c r="AN1238" s="673"/>
      <c r="AO1238" s="673"/>
      <c r="AP1238" s="673"/>
      <c r="AQ1238" s="673"/>
      <c r="AR1238" s="673"/>
      <c r="AS1238" s="673"/>
      <c r="AT1238" s="696"/>
    </row>
    <row r="1239" ht="15.75" customHeight="1">
      <c r="A1239" s="653"/>
      <c r="B1239" s="654"/>
      <c r="C1239" s="691"/>
      <c r="D1239" s="656"/>
      <c r="E1239" s="657"/>
      <c r="F1239" s="658"/>
      <c r="G1239" s="659"/>
      <c r="H1239" s="660"/>
      <c r="I1239" s="659"/>
      <c r="J1239" s="661"/>
      <c r="K1239" s="692"/>
      <c r="L1239" s="645"/>
      <c r="M1239" s="663"/>
      <c r="N1239" s="665"/>
      <c r="O1239" s="665"/>
      <c r="P1239" s="666"/>
      <c r="Q1239" s="667"/>
      <c r="R1239" s="668"/>
      <c r="S1239" s="693"/>
      <c r="T1239" s="694"/>
      <c r="U1239" s="694"/>
      <c r="V1239" s="693"/>
      <c r="W1239" s="693"/>
      <c r="X1239" s="693"/>
      <c r="Y1239" s="671"/>
      <c r="Z1239" s="673"/>
      <c r="AA1239" s="672"/>
      <c r="AB1239" s="695"/>
      <c r="AC1239" s="673"/>
      <c r="AD1239" s="673"/>
      <c r="AE1239" s="673"/>
      <c r="AF1239" s="673"/>
      <c r="AG1239" s="673"/>
      <c r="AH1239" s="673"/>
      <c r="AI1239" s="673"/>
      <c r="AJ1239" s="673"/>
      <c r="AK1239" s="673"/>
      <c r="AL1239" s="673"/>
      <c r="AM1239" s="673"/>
      <c r="AN1239" s="673"/>
      <c r="AO1239" s="673"/>
      <c r="AP1239" s="673"/>
      <c r="AQ1239" s="673"/>
      <c r="AR1239" s="673"/>
      <c r="AS1239" s="673"/>
      <c r="AT1239" s="696"/>
    </row>
    <row r="1240" ht="15.75" customHeight="1">
      <c r="A1240" s="653"/>
      <c r="B1240" s="654"/>
      <c r="C1240" s="691"/>
      <c r="D1240" s="656"/>
      <c r="E1240" s="657"/>
      <c r="F1240" s="658"/>
      <c r="G1240" s="659"/>
      <c r="H1240" s="660"/>
      <c r="I1240" s="659"/>
      <c r="J1240" s="661"/>
      <c r="K1240" s="692"/>
      <c r="L1240" s="645"/>
      <c r="M1240" s="663"/>
      <c r="N1240" s="665"/>
      <c r="O1240" s="665"/>
      <c r="P1240" s="666"/>
      <c r="Q1240" s="667"/>
      <c r="R1240" s="668"/>
      <c r="S1240" s="693"/>
      <c r="T1240" s="694"/>
      <c r="U1240" s="694"/>
      <c r="V1240" s="693"/>
      <c r="W1240" s="693"/>
      <c r="X1240" s="693"/>
      <c r="Y1240" s="671"/>
      <c r="Z1240" s="673"/>
      <c r="AA1240" s="672"/>
      <c r="AB1240" s="695"/>
      <c r="AC1240" s="673"/>
      <c r="AD1240" s="673"/>
      <c r="AE1240" s="673"/>
      <c r="AF1240" s="673"/>
      <c r="AG1240" s="673"/>
      <c r="AH1240" s="673"/>
      <c r="AI1240" s="673"/>
      <c r="AJ1240" s="673"/>
      <c r="AK1240" s="673"/>
      <c r="AL1240" s="673"/>
      <c r="AM1240" s="673"/>
      <c r="AN1240" s="673"/>
      <c r="AO1240" s="673"/>
      <c r="AP1240" s="673"/>
      <c r="AQ1240" s="673"/>
      <c r="AR1240" s="673"/>
      <c r="AS1240" s="673"/>
      <c r="AT1240" s="696"/>
    </row>
    <row r="1241" ht="15.75" customHeight="1">
      <c r="A1241" s="653"/>
      <c r="B1241" s="654"/>
      <c r="C1241" s="691"/>
      <c r="D1241" s="656"/>
      <c r="E1241" s="657"/>
      <c r="F1241" s="658"/>
      <c r="G1241" s="659"/>
      <c r="H1241" s="660"/>
      <c r="I1241" s="659"/>
      <c r="J1241" s="661"/>
      <c r="K1241" s="692"/>
      <c r="L1241" s="645"/>
      <c r="M1241" s="663"/>
      <c r="N1241" s="665"/>
      <c r="O1241" s="665"/>
      <c r="P1241" s="666"/>
      <c r="Q1241" s="667"/>
      <c r="R1241" s="668"/>
      <c r="S1241" s="693"/>
      <c r="T1241" s="694"/>
      <c r="U1241" s="694"/>
      <c r="V1241" s="693"/>
      <c r="W1241" s="693"/>
      <c r="X1241" s="693"/>
      <c r="Y1241" s="671"/>
      <c r="Z1241" s="673"/>
      <c r="AA1241" s="672"/>
      <c r="AB1241" s="695"/>
      <c r="AC1241" s="673"/>
      <c r="AD1241" s="673"/>
      <c r="AE1241" s="673"/>
      <c r="AF1241" s="673"/>
      <c r="AG1241" s="673"/>
      <c r="AH1241" s="673"/>
      <c r="AI1241" s="673"/>
      <c r="AJ1241" s="673"/>
      <c r="AK1241" s="673"/>
      <c r="AL1241" s="673"/>
      <c r="AM1241" s="673"/>
      <c r="AN1241" s="673"/>
      <c r="AO1241" s="673"/>
      <c r="AP1241" s="673"/>
      <c r="AQ1241" s="673"/>
      <c r="AR1241" s="673"/>
      <c r="AS1241" s="673"/>
      <c r="AT1241" s="696"/>
    </row>
    <row r="1242" ht="15.75" customHeight="1">
      <c r="A1242" s="653"/>
      <c r="B1242" s="654"/>
      <c r="C1242" s="691"/>
      <c r="D1242" s="656"/>
      <c r="E1242" s="657"/>
      <c r="F1242" s="658"/>
      <c r="G1242" s="659"/>
      <c r="H1242" s="660"/>
      <c r="I1242" s="659"/>
      <c r="J1242" s="661"/>
      <c r="K1242" s="692"/>
      <c r="L1242" s="645"/>
      <c r="M1242" s="663"/>
      <c r="N1242" s="665"/>
      <c r="O1242" s="665"/>
      <c r="P1242" s="666"/>
      <c r="Q1242" s="667"/>
      <c r="R1242" s="668"/>
      <c r="S1242" s="693"/>
      <c r="T1242" s="694"/>
      <c r="U1242" s="694"/>
      <c r="V1242" s="693"/>
      <c r="W1242" s="693"/>
      <c r="X1242" s="693"/>
      <c r="Y1242" s="671"/>
      <c r="Z1242" s="673"/>
      <c r="AA1242" s="672"/>
      <c r="AB1242" s="695"/>
      <c r="AC1242" s="673"/>
      <c r="AD1242" s="673"/>
      <c r="AE1242" s="673"/>
      <c r="AF1242" s="673"/>
      <c r="AG1242" s="673"/>
      <c r="AH1242" s="673"/>
      <c r="AI1242" s="673"/>
      <c r="AJ1242" s="673"/>
      <c r="AK1242" s="673"/>
      <c r="AL1242" s="673"/>
      <c r="AM1242" s="673"/>
      <c r="AN1242" s="673"/>
      <c r="AO1242" s="673"/>
      <c r="AP1242" s="673"/>
      <c r="AQ1242" s="673"/>
      <c r="AR1242" s="673"/>
      <c r="AS1242" s="673"/>
      <c r="AT1242" s="696"/>
    </row>
    <row r="1243" ht="15.75" customHeight="1">
      <c r="A1243" s="653"/>
      <c r="B1243" s="654"/>
      <c r="C1243" s="691"/>
      <c r="D1243" s="656"/>
      <c r="E1243" s="657"/>
      <c r="F1243" s="658"/>
      <c r="G1243" s="659"/>
      <c r="H1243" s="660"/>
      <c r="I1243" s="659"/>
      <c r="J1243" s="661"/>
      <c r="K1243" s="692"/>
      <c r="L1243" s="645"/>
      <c r="M1243" s="663"/>
      <c r="N1243" s="665"/>
      <c r="O1243" s="665"/>
      <c r="P1243" s="666"/>
      <c r="Q1243" s="667"/>
      <c r="R1243" s="668"/>
      <c r="S1243" s="693"/>
      <c r="T1243" s="694"/>
      <c r="U1243" s="694"/>
      <c r="V1243" s="693"/>
      <c r="W1243" s="693"/>
      <c r="X1243" s="693"/>
      <c r="Y1243" s="671"/>
      <c r="Z1243" s="673"/>
      <c r="AA1243" s="672"/>
      <c r="AB1243" s="695"/>
      <c r="AC1243" s="673"/>
      <c r="AD1243" s="673"/>
      <c r="AE1243" s="673"/>
      <c r="AF1243" s="673"/>
      <c r="AG1243" s="673"/>
      <c r="AH1243" s="673"/>
      <c r="AI1243" s="673"/>
      <c r="AJ1243" s="673"/>
      <c r="AK1243" s="673"/>
      <c r="AL1243" s="673"/>
      <c r="AM1243" s="673"/>
      <c r="AN1243" s="673"/>
      <c r="AO1243" s="673"/>
      <c r="AP1243" s="673"/>
      <c r="AQ1243" s="673"/>
      <c r="AR1243" s="673"/>
      <c r="AS1243" s="673"/>
      <c r="AT1243" s="696"/>
    </row>
    <row r="1244" ht="15.75" customHeight="1">
      <c r="A1244" s="653"/>
      <c r="B1244" s="654"/>
      <c r="C1244" s="691"/>
      <c r="D1244" s="656"/>
      <c r="E1244" s="657"/>
      <c r="F1244" s="658"/>
      <c r="G1244" s="659"/>
      <c r="H1244" s="660"/>
      <c r="I1244" s="659"/>
      <c r="J1244" s="661"/>
      <c r="K1244" s="692"/>
      <c r="L1244" s="645"/>
      <c r="M1244" s="663"/>
      <c r="N1244" s="665"/>
      <c r="O1244" s="665"/>
      <c r="P1244" s="666"/>
      <c r="Q1244" s="667"/>
      <c r="R1244" s="668"/>
      <c r="S1244" s="693"/>
      <c r="T1244" s="694"/>
      <c r="U1244" s="694"/>
      <c r="V1244" s="693"/>
      <c r="W1244" s="693"/>
      <c r="X1244" s="693"/>
      <c r="Y1244" s="671"/>
      <c r="Z1244" s="673"/>
      <c r="AA1244" s="672"/>
      <c r="AB1244" s="695"/>
      <c r="AC1244" s="673"/>
      <c r="AD1244" s="673"/>
      <c r="AE1244" s="673"/>
      <c r="AF1244" s="673"/>
      <c r="AG1244" s="673"/>
      <c r="AH1244" s="673"/>
      <c r="AI1244" s="673"/>
      <c r="AJ1244" s="673"/>
      <c r="AK1244" s="673"/>
      <c r="AL1244" s="673"/>
      <c r="AM1244" s="673"/>
      <c r="AN1244" s="673"/>
      <c r="AO1244" s="673"/>
      <c r="AP1244" s="673"/>
      <c r="AQ1244" s="673"/>
      <c r="AR1244" s="673"/>
      <c r="AS1244" s="673"/>
      <c r="AT1244" s="696"/>
    </row>
    <row r="1245" ht="15.75" customHeight="1">
      <c r="A1245" s="653"/>
      <c r="B1245" s="654"/>
      <c r="C1245" s="691"/>
      <c r="D1245" s="656"/>
      <c r="E1245" s="657"/>
      <c r="F1245" s="658"/>
      <c r="G1245" s="659"/>
      <c r="H1245" s="660"/>
      <c r="I1245" s="659"/>
      <c r="J1245" s="661"/>
      <c r="K1245" s="692"/>
      <c r="L1245" s="645"/>
      <c r="M1245" s="663"/>
      <c r="N1245" s="665"/>
      <c r="O1245" s="665"/>
      <c r="P1245" s="666"/>
      <c r="Q1245" s="667"/>
      <c r="R1245" s="668"/>
      <c r="S1245" s="693"/>
      <c r="T1245" s="694"/>
      <c r="U1245" s="694"/>
      <c r="V1245" s="693"/>
      <c r="W1245" s="693"/>
      <c r="X1245" s="693"/>
      <c r="Y1245" s="671"/>
      <c r="Z1245" s="673"/>
      <c r="AA1245" s="672"/>
      <c r="AB1245" s="695"/>
      <c r="AC1245" s="673"/>
      <c r="AD1245" s="673"/>
      <c r="AE1245" s="673"/>
      <c r="AF1245" s="673"/>
      <c r="AG1245" s="673"/>
      <c r="AH1245" s="673"/>
      <c r="AI1245" s="673"/>
      <c r="AJ1245" s="673"/>
      <c r="AK1245" s="673"/>
      <c r="AL1245" s="673"/>
      <c r="AM1245" s="673"/>
      <c r="AN1245" s="673"/>
      <c r="AO1245" s="673"/>
      <c r="AP1245" s="673"/>
      <c r="AQ1245" s="673"/>
      <c r="AR1245" s="673"/>
      <c r="AS1245" s="673"/>
      <c r="AT1245" s="696"/>
    </row>
    <row r="1246" ht="15.75" customHeight="1">
      <c r="A1246" s="653"/>
      <c r="B1246" s="654"/>
      <c r="C1246" s="691"/>
      <c r="D1246" s="656"/>
      <c r="E1246" s="657"/>
      <c r="F1246" s="658"/>
      <c r="G1246" s="659"/>
      <c r="H1246" s="660"/>
      <c r="I1246" s="659"/>
      <c r="J1246" s="661"/>
      <c r="K1246" s="692"/>
      <c r="L1246" s="645"/>
      <c r="M1246" s="663"/>
      <c r="N1246" s="665"/>
      <c r="O1246" s="665"/>
      <c r="P1246" s="666"/>
      <c r="Q1246" s="667"/>
      <c r="R1246" s="668"/>
      <c r="S1246" s="693"/>
      <c r="T1246" s="694"/>
      <c r="U1246" s="694"/>
      <c r="V1246" s="693"/>
      <c r="W1246" s="693"/>
      <c r="X1246" s="693"/>
      <c r="Y1246" s="671"/>
      <c r="Z1246" s="673"/>
      <c r="AA1246" s="672"/>
      <c r="AB1246" s="695"/>
      <c r="AC1246" s="673"/>
      <c r="AD1246" s="673"/>
      <c r="AE1246" s="673"/>
      <c r="AF1246" s="673"/>
      <c r="AG1246" s="673"/>
      <c r="AH1246" s="673"/>
      <c r="AI1246" s="673"/>
      <c r="AJ1246" s="673"/>
      <c r="AK1246" s="673"/>
      <c r="AL1246" s="673"/>
      <c r="AM1246" s="673"/>
      <c r="AN1246" s="673"/>
      <c r="AO1246" s="673"/>
      <c r="AP1246" s="673"/>
      <c r="AQ1246" s="673"/>
      <c r="AR1246" s="673"/>
      <c r="AS1246" s="673"/>
      <c r="AT1246" s="696"/>
    </row>
    <row r="1247" ht="15.75" customHeight="1">
      <c r="A1247" s="653"/>
      <c r="B1247" s="654"/>
      <c r="C1247" s="691"/>
      <c r="D1247" s="656"/>
      <c r="E1247" s="657"/>
      <c r="F1247" s="658"/>
      <c r="G1247" s="659"/>
      <c r="H1247" s="660"/>
      <c r="I1247" s="659"/>
      <c r="J1247" s="661"/>
      <c r="K1247" s="692"/>
      <c r="L1247" s="645"/>
      <c r="M1247" s="663"/>
      <c r="N1247" s="665"/>
      <c r="O1247" s="665"/>
      <c r="P1247" s="666"/>
      <c r="Q1247" s="667"/>
      <c r="R1247" s="668"/>
      <c r="S1247" s="693"/>
      <c r="T1247" s="694"/>
      <c r="U1247" s="694"/>
      <c r="V1247" s="693"/>
      <c r="W1247" s="693"/>
      <c r="X1247" s="693"/>
      <c r="Y1247" s="671"/>
      <c r="Z1247" s="673"/>
      <c r="AA1247" s="672"/>
      <c r="AB1247" s="695"/>
      <c r="AC1247" s="673"/>
      <c r="AD1247" s="673"/>
      <c r="AE1247" s="673"/>
      <c r="AF1247" s="673"/>
      <c r="AG1247" s="673"/>
      <c r="AH1247" s="673"/>
      <c r="AI1247" s="673"/>
      <c r="AJ1247" s="673"/>
      <c r="AK1247" s="673"/>
      <c r="AL1247" s="673"/>
      <c r="AM1247" s="673"/>
      <c r="AN1247" s="673"/>
      <c r="AO1247" s="673"/>
      <c r="AP1247" s="673"/>
      <c r="AQ1247" s="673"/>
      <c r="AR1247" s="673"/>
      <c r="AS1247" s="673"/>
      <c r="AT1247" s="696"/>
    </row>
    <row r="1248" ht="15.75" customHeight="1">
      <c r="A1248" s="653"/>
      <c r="B1248" s="654"/>
      <c r="C1248" s="691"/>
      <c r="D1248" s="656"/>
      <c r="E1248" s="657"/>
      <c r="F1248" s="658"/>
      <c r="G1248" s="659"/>
      <c r="H1248" s="660"/>
      <c r="I1248" s="659"/>
      <c r="J1248" s="661"/>
      <c r="K1248" s="692"/>
      <c r="L1248" s="645"/>
      <c r="M1248" s="663"/>
      <c r="N1248" s="665"/>
      <c r="O1248" s="665"/>
      <c r="P1248" s="666"/>
      <c r="Q1248" s="667"/>
      <c r="R1248" s="668"/>
      <c r="S1248" s="693"/>
      <c r="T1248" s="694"/>
      <c r="U1248" s="694"/>
      <c r="V1248" s="693"/>
      <c r="W1248" s="693"/>
      <c r="X1248" s="693"/>
      <c r="Y1248" s="671"/>
      <c r="Z1248" s="673"/>
      <c r="AA1248" s="672"/>
      <c r="AB1248" s="695"/>
      <c r="AC1248" s="673"/>
      <c r="AD1248" s="673"/>
      <c r="AE1248" s="673"/>
      <c r="AF1248" s="673"/>
      <c r="AG1248" s="673"/>
      <c r="AH1248" s="673"/>
      <c r="AI1248" s="673"/>
      <c r="AJ1248" s="673"/>
      <c r="AK1248" s="673"/>
      <c r="AL1248" s="673"/>
      <c r="AM1248" s="673"/>
      <c r="AN1248" s="673"/>
      <c r="AO1248" s="673"/>
      <c r="AP1248" s="673"/>
      <c r="AQ1248" s="673"/>
      <c r="AR1248" s="673"/>
      <c r="AS1248" s="673"/>
      <c r="AT1248" s="696"/>
    </row>
    <row r="1249" ht="15.75" customHeight="1">
      <c r="A1249" s="653"/>
      <c r="B1249" s="654"/>
      <c r="C1249" s="691"/>
      <c r="D1249" s="656"/>
      <c r="E1249" s="657"/>
      <c r="F1249" s="658"/>
      <c r="G1249" s="659"/>
      <c r="H1249" s="660"/>
      <c r="I1249" s="659"/>
      <c r="J1249" s="661"/>
      <c r="K1249" s="692"/>
      <c r="L1249" s="645"/>
      <c r="M1249" s="663"/>
      <c r="N1249" s="665"/>
      <c r="O1249" s="665"/>
      <c r="P1249" s="666"/>
      <c r="Q1249" s="667"/>
      <c r="R1249" s="668"/>
      <c r="S1249" s="693"/>
      <c r="T1249" s="694"/>
      <c r="U1249" s="694"/>
      <c r="V1249" s="693"/>
      <c r="W1249" s="693"/>
      <c r="X1249" s="693"/>
      <c r="Y1249" s="671"/>
      <c r="Z1249" s="673"/>
      <c r="AA1249" s="672"/>
      <c r="AB1249" s="695"/>
      <c r="AC1249" s="673"/>
      <c r="AD1249" s="673"/>
      <c r="AE1249" s="673"/>
      <c r="AF1249" s="673"/>
      <c r="AG1249" s="673"/>
      <c r="AH1249" s="673"/>
      <c r="AI1249" s="673"/>
      <c r="AJ1249" s="673"/>
      <c r="AK1249" s="673"/>
      <c r="AL1249" s="673"/>
      <c r="AM1249" s="673"/>
      <c r="AN1249" s="673"/>
      <c r="AO1249" s="673"/>
      <c r="AP1249" s="673"/>
      <c r="AQ1249" s="673"/>
      <c r="AR1249" s="673"/>
      <c r="AS1249" s="673"/>
      <c r="AT1249" s="696"/>
    </row>
    <row r="1250" ht="15.75" customHeight="1">
      <c r="A1250" s="653"/>
      <c r="B1250" s="654"/>
      <c r="C1250" s="691"/>
      <c r="D1250" s="656"/>
      <c r="E1250" s="657"/>
      <c r="F1250" s="658"/>
      <c r="G1250" s="659"/>
      <c r="H1250" s="660"/>
      <c r="I1250" s="659"/>
      <c r="J1250" s="661"/>
      <c r="K1250" s="692"/>
      <c r="L1250" s="645"/>
      <c r="M1250" s="663"/>
      <c r="N1250" s="665"/>
      <c r="O1250" s="665"/>
      <c r="P1250" s="666"/>
      <c r="Q1250" s="667"/>
      <c r="R1250" s="668"/>
      <c r="S1250" s="693"/>
      <c r="T1250" s="694"/>
      <c r="U1250" s="694"/>
      <c r="V1250" s="693"/>
      <c r="W1250" s="693"/>
      <c r="X1250" s="693"/>
      <c r="Y1250" s="671"/>
      <c r="Z1250" s="673"/>
      <c r="AA1250" s="672"/>
      <c r="AB1250" s="695"/>
      <c r="AC1250" s="673"/>
      <c r="AD1250" s="673"/>
      <c r="AE1250" s="673"/>
      <c r="AF1250" s="673"/>
      <c r="AG1250" s="673"/>
      <c r="AH1250" s="673"/>
      <c r="AI1250" s="673"/>
      <c r="AJ1250" s="673"/>
      <c r="AK1250" s="673"/>
      <c r="AL1250" s="673"/>
      <c r="AM1250" s="673"/>
      <c r="AN1250" s="673"/>
      <c r="AO1250" s="673"/>
      <c r="AP1250" s="673"/>
      <c r="AQ1250" s="673"/>
      <c r="AR1250" s="673"/>
      <c r="AS1250" s="673"/>
      <c r="AT1250" s="696"/>
    </row>
    <row r="1251" ht="15.75" customHeight="1">
      <c r="A1251" s="653"/>
      <c r="B1251" s="654"/>
      <c r="C1251" s="691"/>
      <c r="D1251" s="656"/>
      <c r="E1251" s="657"/>
      <c r="F1251" s="658"/>
      <c r="G1251" s="659"/>
      <c r="H1251" s="660"/>
      <c r="I1251" s="659"/>
      <c r="J1251" s="661"/>
      <c r="K1251" s="692"/>
      <c r="L1251" s="645"/>
      <c r="M1251" s="663"/>
      <c r="N1251" s="665"/>
      <c r="O1251" s="665"/>
      <c r="P1251" s="666"/>
      <c r="Q1251" s="667"/>
      <c r="R1251" s="668"/>
      <c r="S1251" s="693"/>
      <c r="T1251" s="694"/>
      <c r="U1251" s="694"/>
      <c r="V1251" s="693"/>
      <c r="W1251" s="693"/>
      <c r="X1251" s="693"/>
      <c r="Y1251" s="671"/>
      <c r="Z1251" s="673"/>
      <c r="AA1251" s="672"/>
      <c r="AB1251" s="695"/>
      <c r="AC1251" s="673"/>
      <c r="AD1251" s="673"/>
      <c r="AE1251" s="673"/>
      <c r="AF1251" s="673"/>
      <c r="AG1251" s="673"/>
      <c r="AH1251" s="673"/>
      <c r="AI1251" s="673"/>
      <c r="AJ1251" s="673"/>
      <c r="AK1251" s="673"/>
      <c r="AL1251" s="673"/>
      <c r="AM1251" s="673"/>
      <c r="AN1251" s="673"/>
      <c r="AO1251" s="673"/>
      <c r="AP1251" s="673"/>
      <c r="AQ1251" s="673"/>
      <c r="AR1251" s="673"/>
      <c r="AS1251" s="673"/>
      <c r="AT1251" s="696"/>
    </row>
    <row r="1252" ht="15.75" customHeight="1">
      <c r="A1252" s="653"/>
      <c r="B1252" s="654"/>
      <c r="C1252" s="691"/>
      <c r="D1252" s="656"/>
      <c r="E1252" s="657"/>
      <c r="F1252" s="658"/>
      <c r="G1252" s="659"/>
      <c r="H1252" s="660"/>
      <c r="I1252" s="659"/>
      <c r="J1252" s="661"/>
      <c r="K1252" s="692"/>
      <c r="L1252" s="645"/>
      <c r="M1252" s="663"/>
      <c r="N1252" s="665"/>
      <c r="O1252" s="665"/>
      <c r="P1252" s="666"/>
      <c r="Q1252" s="667"/>
      <c r="R1252" s="668"/>
      <c r="S1252" s="693"/>
      <c r="T1252" s="694"/>
      <c r="U1252" s="694"/>
      <c r="V1252" s="693"/>
      <c r="W1252" s="693"/>
      <c r="X1252" s="693"/>
      <c r="Y1252" s="671"/>
      <c r="Z1252" s="673"/>
      <c r="AA1252" s="672"/>
      <c r="AB1252" s="695"/>
      <c r="AC1252" s="673"/>
      <c r="AD1252" s="673"/>
      <c r="AE1252" s="673"/>
      <c r="AF1252" s="673"/>
      <c r="AG1252" s="673"/>
      <c r="AH1252" s="673"/>
      <c r="AI1252" s="673"/>
      <c r="AJ1252" s="673"/>
      <c r="AK1252" s="673"/>
      <c r="AL1252" s="673"/>
      <c r="AM1252" s="673"/>
      <c r="AN1252" s="673"/>
      <c r="AO1252" s="673"/>
      <c r="AP1252" s="673"/>
      <c r="AQ1252" s="673"/>
      <c r="AR1252" s="673"/>
      <c r="AS1252" s="673"/>
      <c r="AT1252" s="696"/>
    </row>
    <row r="1253" ht="15.75" customHeight="1">
      <c r="A1253" s="653"/>
      <c r="B1253" s="654"/>
      <c r="C1253" s="691"/>
      <c r="D1253" s="656"/>
      <c r="E1253" s="657"/>
      <c r="F1253" s="658"/>
      <c r="G1253" s="659"/>
      <c r="H1253" s="660"/>
      <c r="I1253" s="659"/>
      <c r="J1253" s="661"/>
      <c r="K1253" s="692"/>
      <c r="L1253" s="645"/>
      <c r="M1253" s="663"/>
      <c r="N1253" s="665"/>
      <c r="O1253" s="665"/>
      <c r="P1253" s="666"/>
      <c r="Q1253" s="667"/>
      <c r="R1253" s="668"/>
      <c r="S1253" s="693"/>
      <c r="T1253" s="694"/>
      <c r="U1253" s="694"/>
      <c r="V1253" s="693"/>
      <c r="W1253" s="693"/>
      <c r="X1253" s="693"/>
      <c r="Y1253" s="671"/>
      <c r="Z1253" s="673"/>
      <c r="AA1253" s="672"/>
      <c r="AB1253" s="695"/>
      <c r="AC1253" s="673"/>
      <c r="AD1253" s="673"/>
      <c r="AE1253" s="673"/>
      <c r="AF1253" s="673"/>
      <c r="AG1253" s="673"/>
      <c r="AH1253" s="673"/>
      <c r="AI1253" s="673"/>
      <c r="AJ1253" s="673"/>
      <c r="AK1253" s="673"/>
      <c r="AL1253" s="673"/>
      <c r="AM1253" s="673"/>
      <c r="AN1253" s="673"/>
      <c r="AO1253" s="673"/>
      <c r="AP1253" s="673"/>
      <c r="AQ1253" s="673"/>
      <c r="AR1253" s="673"/>
      <c r="AS1253" s="673"/>
      <c r="AT1253" s="696"/>
    </row>
    <row r="1254" ht="15.75" customHeight="1">
      <c r="A1254" s="653"/>
      <c r="B1254" s="654"/>
      <c r="C1254" s="691"/>
      <c r="D1254" s="656"/>
      <c r="E1254" s="657"/>
      <c r="F1254" s="658"/>
      <c r="G1254" s="659"/>
      <c r="H1254" s="660"/>
      <c r="I1254" s="659"/>
      <c r="J1254" s="661"/>
      <c r="K1254" s="692"/>
      <c r="L1254" s="645"/>
      <c r="M1254" s="663"/>
      <c r="N1254" s="665"/>
      <c r="O1254" s="665"/>
      <c r="P1254" s="666"/>
      <c r="Q1254" s="667"/>
      <c r="R1254" s="668"/>
      <c r="S1254" s="693"/>
      <c r="T1254" s="694"/>
      <c r="U1254" s="694"/>
      <c r="V1254" s="693"/>
      <c r="W1254" s="693"/>
      <c r="X1254" s="693"/>
      <c r="Y1254" s="671"/>
      <c r="Z1254" s="673"/>
      <c r="AA1254" s="672"/>
      <c r="AB1254" s="695"/>
      <c r="AC1254" s="673"/>
      <c r="AD1254" s="673"/>
      <c r="AE1254" s="673"/>
      <c r="AF1254" s="673"/>
      <c r="AG1254" s="673"/>
      <c r="AH1254" s="673"/>
      <c r="AI1254" s="673"/>
      <c r="AJ1254" s="673"/>
      <c r="AK1254" s="673"/>
      <c r="AL1254" s="673"/>
      <c r="AM1254" s="673"/>
      <c r="AN1254" s="673"/>
      <c r="AO1254" s="673"/>
      <c r="AP1254" s="673"/>
      <c r="AQ1254" s="673"/>
      <c r="AR1254" s="673"/>
      <c r="AS1254" s="673"/>
      <c r="AT1254" s="696"/>
    </row>
    <row r="1255" ht="15.75" customHeight="1">
      <c r="A1255" s="653"/>
      <c r="B1255" s="654"/>
      <c r="C1255" s="691"/>
      <c r="D1255" s="656"/>
      <c r="E1255" s="657"/>
      <c r="F1255" s="658"/>
      <c r="G1255" s="659"/>
      <c r="H1255" s="660"/>
      <c r="I1255" s="659"/>
      <c r="J1255" s="661"/>
      <c r="K1255" s="692"/>
      <c r="L1255" s="645"/>
      <c r="M1255" s="663"/>
      <c r="N1255" s="665"/>
      <c r="O1255" s="665"/>
      <c r="P1255" s="666"/>
      <c r="Q1255" s="667"/>
      <c r="R1255" s="668"/>
      <c r="S1255" s="693"/>
      <c r="T1255" s="694"/>
      <c r="U1255" s="694"/>
      <c r="V1255" s="693"/>
      <c r="W1255" s="693"/>
      <c r="X1255" s="693"/>
      <c r="Y1255" s="671"/>
      <c r="Z1255" s="673"/>
      <c r="AA1255" s="672"/>
      <c r="AB1255" s="695"/>
      <c r="AC1255" s="673"/>
      <c r="AD1255" s="673"/>
      <c r="AE1255" s="673"/>
      <c r="AF1255" s="673"/>
      <c r="AG1255" s="673"/>
      <c r="AH1255" s="673"/>
      <c r="AI1255" s="673"/>
      <c r="AJ1255" s="673"/>
      <c r="AK1255" s="673"/>
      <c r="AL1255" s="673"/>
      <c r="AM1255" s="673"/>
      <c r="AN1255" s="673"/>
      <c r="AO1255" s="673"/>
      <c r="AP1255" s="673"/>
      <c r="AQ1255" s="673"/>
      <c r="AR1255" s="673"/>
      <c r="AS1255" s="673"/>
      <c r="AT1255" s="696"/>
    </row>
    <row r="1256" ht="15.75" customHeight="1">
      <c r="A1256" s="653"/>
      <c r="B1256" s="654"/>
      <c r="C1256" s="691"/>
      <c r="D1256" s="656"/>
      <c r="E1256" s="657"/>
      <c r="F1256" s="658"/>
      <c r="G1256" s="659"/>
      <c r="H1256" s="660"/>
      <c r="I1256" s="659"/>
      <c r="J1256" s="661"/>
      <c r="K1256" s="692"/>
      <c r="L1256" s="645"/>
      <c r="M1256" s="663"/>
      <c r="N1256" s="665"/>
      <c r="O1256" s="665"/>
      <c r="P1256" s="666"/>
      <c r="Q1256" s="667"/>
      <c r="R1256" s="668"/>
      <c r="S1256" s="693"/>
      <c r="T1256" s="694"/>
      <c r="U1256" s="694"/>
      <c r="V1256" s="693"/>
      <c r="W1256" s="693"/>
      <c r="X1256" s="693"/>
      <c r="Y1256" s="671"/>
      <c r="Z1256" s="673"/>
      <c r="AA1256" s="672"/>
      <c r="AB1256" s="695"/>
      <c r="AC1256" s="673"/>
      <c r="AD1256" s="673"/>
      <c r="AE1256" s="673"/>
      <c r="AF1256" s="673"/>
      <c r="AG1256" s="673"/>
      <c r="AH1256" s="673"/>
      <c r="AI1256" s="673"/>
      <c r="AJ1256" s="673"/>
      <c r="AK1256" s="673"/>
      <c r="AL1256" s="673"/>
      <c r="AM1256" s="673"/>
      <c r="AN1256" s="673"/>
      <c r="AO1256" s="673"/>
      <c r="AP1256" s="673"/>
      <c r="AQ1256" s="673"/>
      <c r="AR1256" s="673"/>
      <c r="AS1256" s="673"/>
      <c r="AT1256" s="696"/>
    </row>
    <row r="1257" ht="15.75" customHeight="1">
      <c r="A1257" s="653"/>
      <c r="B1257" s="654"/>
      <c r="C1257" s="691"/>
      <c r="D1257" s="656"/>
      <c r="E1257" s="657"/>
      <c r="F1257" s="658"/>
      <c r="G1257" s="659"/>
      <c r="H1257" s="660"/>
      <c r="I1257" s="659"/>
      <c r="J1257" s="661"/>
      <c r="K1257" s="692"/>
      <c r="L1257" s="645"/>
      <c r="M1257" s="663"/>
      <c r="N1257" s="665"/>
      <c r="O1257" s="665"/>
      <c r="P1257" s="666"/>
      <c r="Q1257" s="667"/>
      <c r="R1257" s="668"/>
      <c r="S1257" s="693"/>
      <c r="T1257" s="694"/>
      <c r="U1257" s="694"/>
      <c r="V1257" s="693"/>
      <c r="W1257" s="693"/>
      <c r="X1257" s="693"/>
      <c r="Y1257" s="671"/>
      <c r="Z1257" s="673"/>
      <c r="AA1257" s="672"/>
      <c r="AB1257" s="695"/>
      <c r="AC1257" s="673"/>
      <c r="AD1257" s="673"/>
      <c r="AE1257" s="673"/>
      <c r="AF1257" s="673"/>
      <c r="AG1257" s="673"/>
      <c r="AH1257" s="673"/>
      <c r="AI1257" s="673"/>
      <c r="AJ1257" s="673"/>
      <c r="AK1257" s="673"/>
      <c r="AL1257" s="673"/>
      <c r="AM1257" s="673"/>
      <c r="AN1257" s="673"/>
      <c r="AO1257" s="673"/>
      <c r="AP1257" s="673"/>
      <c r="AQ1257" s="673"/>
      <c r="AR1257" s="673"/>
      <c r="AS1257" s="673"/>
      <c r="AT1257" s="696"/>
    </row>
    <row r="1258" ht="15.75" customHeight="1">
      <c r="A1258" s="653"/>
      <c r="B1258" s="654"/>
      <c r="C1258" s="691"/>
      <c r="D1258" s="656"/>
      <c r="E1258" s="657"/>
      <c r="F1258" s="658"/>
      <c r="G1258" s="659"/>
      <c r="H1258" s="660"/>
      <c r="I1258" s="659"/>
      <c r="J1258" s="661"/>
      <c r="K1258" s="692"/>
      <c r="L1258" s="645"/>
      <c r="M1258" s="663"/>
      <c r="N1258" s="665"/>
      <c r="O1258" s="665"/>
      <c r="P1258" s="666"/>
      <c r="Q1258" s="667"/>
      <c r="R1258" s="668"/>
      <c r="S1258" s="693"/>
      <c r="T1258" s="694"/>
      <c r="U1258" s="694"/>
      <c r="V1258" s="693"/>
      <c r="W1258" s="693"/>
      <c r="X1258" s="693"/>
      <c r="Y1258" s="671"/>
      <c r="Z1258" s="673"/>
      <c r="AA1258" s="672"/>
      <c r="AB1258" s="695"/>
      <c r="AC1258" s="673"/>
      <c r="AD1258" s="673"/>
      <c r="AE1258" s="673"/>
      <c r="AF1258" s="673"/>
      <c r="AG1258" s="673"/>
      <c r="AH1258" s="673"/>
      <c r="AI1258" s="673"/>
      <c r="AJ1258" s="673"/>
      <c r="AK1258" s="673"/>
      <c r="AL1258" s="673"/>
      <c r="AM1258" s="673"/>
      <c r="AN1258" s="673"/>
      <c r="AO1258" s="673"/>
      <c r="AP1258" s="673"/>
      <c r="AQ1258" s="673"/>
      <c r="AR1258" s="673"/>
      <c r="AS1258" s="673"/>
      <c r="AT1258" s="696"/>
    </row>
    <row r="1259" ht="15.75" customHeight="1">
      <c r="A1259" s="653"/>
      <c r="B1259" s="654"/>
      <c r="C1259" s="691"/>
      <c r="D1259" s="656"/>
      <c r="E1259" s="657"/>
      <c r="F1259" s="658"/>
      <c r="G1259" s="659"/>
      <c r="H1259" s="660"/>
      <c r="I1259" s="659"/>
      <c r="J1259" s="661"/>
      <c r="K1259" s="692"/>
      <c r="L1259" s="645"/>
      <c r="M1259" s="663"/>
      <c r="N1259" s="665"/>
      <c r="O1259" s="665"/>
      <c r="P1259" s="666"/>
      <c r="Q1259" s="667"/>
      <c r="R1259" s="668"/>
      <c r="S1259" s="693"/>
      <c r="T1259" s="694"/>
      <c r="U1259" s="694"/>
      <c r="V1259" s="693"/>
      <c r="W1259" s="693"/>
      <c r="X1259" s="693"/>
      <c r="Y1259" s="671"/>
      <c r="Z1259" s="673"/>
      <c r="AA1259" s="672"/>
      <c r="AB1259" s="695"/>
      <c r="AC1259" s="673"/>
      <c r="AD1259" s="673"/>
      <c r="AE1259" s="673"/>
      <c r="AF1259" s="673"/>
      <c r="AG1259" s="673"/>
      <c r="AH1259" s="673"/>
      <c r="AI1259" s="673"/>
      <c r="AJ1259" s="673"/>
      <c r="AK1259" s="673"/>
      <c r="AL1259" s="673"/>
      <c r="AM1259" s="673"/>
      <c r="AN1259" s="673"/>
      <c r="AO1259" s="673"/>
      <c r="AP1259" s="673"/>
      <c r="AQ1259" s="673"/>
      <c r="AR1259" s="673"/>
      <c r="AS1259" s="673"/>
      <c r="AT1259" s="696"/>
    </row>
    <row r="1260" ht="15.75" customHeight="1">
      <c r="A1260" s="653"/>
      <c r="B1260" s="654"/>
      <c r="C1260" s="691"/>
      <c r="D1260" s="656"/>
      <c r="E1260" s="657"/>
      <c r="F1260" s="658"/>
      <c r="G1260" s="659"/>
      <c r="H1260" s="660"/>
      <c r="I1260" s="659"/>
      <c r="J1260" s="661"/>
      <c r="K1260" s="692"/>
      <c r="L1260" s="645"/>
      <c r="M1260" s="663"/>
      <c r="N1260" s="665"/>
      <c r="O1260" s="665"/>
      <c r="P1260" s="666"/>
      <c r="Q1260" s="667"/>
      <c r="R1260" s="668"/>
      <c r="S1260" s="693"/>
      <c r="T1260" s="694"/>
      <c r="U1260" s="694"/>
      <c r="V1260" s="693"/>
      <c r="W1260" s="693"/>
      <c r="X1260" s="693"/>
      <c r="Y1260" s="671"/>
      <c r="Z1260" s="673"/>
      <c r="AA1260" s="672"/>
      <c r="AB1260" s="695"/>
      <c r="AC1260" s="673"/>
      <c r="AD1260" s="673"/>
      <c r="AE1260" s="673"/>
      <c r="AF1260" s="673"/>
      <c r="AG1260" s="673"/>
      <c r="AH1260" s="673"/>
      <c r="AI1260" s="673"/>
      <c r="AJ1260" s="673"/>
      <c r="AK1260" s="673"/>
      <c r="AL1260" s="673"/>
      <c r="AM1260" s="673"/>
      <c r="AN1260" s="673"/>
      <c r="AO1260" s="673"/>
      <c r="AP1260" s="673"/>
      <c r="AQ1260" s="673"/>
      <c r="AR1260" s="673"/>
      <c r="AS1260" s="673"/>
      <c r="AT1260" s="696"/>
    </row>
    <row r="1261" ht="15.75" customHeight="1">
      <c r="A1261" s="653"/>
      <c r="B1261" s="654"/>
      <c r="C1261" s="691"/>
      <c r="D1261" s="656"/>
      <c r="E1261" s="657"/>
      <c r="F1261" s="658"/>
      <c r="G1261" s="659"/>
      <c r="H1261" s="660"/>
      <c r="I1261" s="659"/>
      <c r="J1261" s="661"/>
      <c r="K1261" s="692"/>
      <c r="L1261" s="645"/>
      <c r="M1261" s="663"/>
      <c r="N1261" s="665"/>
      <c r="O1261" s="665"/>
      <c r="P1261" s="666"/>
      <c r="Q1261" s="667"/>
      <c r="R1261" s="668"/>
      <c r="S1261" s="693"/>
      <c r="T1261" s="694"/>
      <c r="U1261" s="694"/>
      <c r="V1261" s="693"/>
      <c r="W1261" s="693"/>
      <c r="X1261" s="693"/>
      <c r="Y1261" s="671"/>
      <c r="Z1261" s="673"/>
      <c r="AA1261" s="672"/>
      <c r="AB1261" s="695"/>
      <c r="AC1261" s="673"/>
      <c r="AD1261" s="673"/>
      <c r="AE1261" s="673"/>
      <c r="AF1261" s="673"/>
      <c r="AG1261" s="673"/>
      <c r="AH1261" s="673"/>
      <c r="AI1261" s="673"/>
      <c r="AJ1261" s="673"/>
      <c r="AK1261" s="673"/>
      <c r="AL1261" s="673"/>
      <c r="AM1261" s="673"/>
      <c r="AN1261" s="673"/>
      <c r="AO1261" s="673"/>
      <c r="AP1261" s="673"/>
      <c r="AQ1261" s="673"/>
      <c r="AR1261" s="673"/>
      <c r="AS1261" s="673"/>
      <c r="AT1261" s="696"/>
    </row>
    <row r="1262" ht="15.75" customHeight="1">
      <c r="A1262" s="653"/>
      <c r="B1262" s="654"/>
      <c r="C1262" s="691"/>
      <c r="D1262" s="656"/>
      <c r="E1262" s="657"/>
      <c r="F1262" s="658"/>
      <c r="G1262" s="659"/>
      <c r="H1262" s="660"/>
      <c r="I1262" s="659"/>
      <c r="J1262" s="661"/>
      <c r="K1262" s="692"/>
      <c r="L1262" s="645"/>
      <c r="M1262" s="663"/>
      <c r="N1262" s="665"/>
      <c r="O1262" s="665"/>
      <c r="P1262" s="666"/>
      <c r="Q1262" s="667"/>
      <c r="R1262" s="668"/>
      <c r="S1262" s="693"/>
      <c r="T1262" s="694"/>
      <c r="U1262" s="694"/>
      <c r="V1262" s="693"/>
      <c r="W1262" s="693"/>
      <c r="X1262" s="693"/>
      <c r="Y1262" s="671"/>
      <c r="Z1262" s="673"/>
      <c r="AA1262" s="672"/>
      <c r="AB1262" s="695"/>
      <c r="AC1262" s="673"/>
      <c r="AD1262" s="673"/>
      <c r="AE1262" s="673"/>
      <c r="AF1262" s="673"/>
      <c r="AG1262" s="673"/>
      <c r="AH1262" s="673"/>
      <c r="AI1262" s="673"/>
      <c r="AJ1262" s="673"/>
      <c r="AK1262" s="673"/>
      <c r="AL1262" s="673"/>
      <c r="AM1262" s="673"/>
      <c r="AN1262" s="673"/>
      <c r="AO1262" s="673"/>
      <c r="AP1262" s="673"/>
      <c r="AQ1262" s="673"/>
      <c r="AR1262" s="673"/>
      <c r="AS1262" s="673"/>
      <c r="AT1262" s="696"/>
    </row>
    <row r="1263" ht="15.75" customHeight="1">
      <c r="A1263" s="653"/>
      <c r="B1263" s="654"/>
      <c r="C1263" s="691"/>
      <c r="D1263" s="656"/>
      <c r="E1263" s="657"/>
      <c r="F1263" s="658"/>
      <c r="G1263" s="659"/>
      <c r="H1263" s="660"/>
      <c r="I1263" s="659"/>
      <c r="J1263" s="661"/>
      <c r="K1263" s="692"/>
      <c r="L1263" s="645"/>
      <c r="M1263" s="663"/>
      <c r="N1263" s="665"/>
      <c r="O1263" s="665"/>
      <c r="P1263" s="666"/>
      <c r="Q1263" s="667"/>
      <c r="R1263" s="668"/>
      <c r="S1263" s="693"/>
      <c r="T1263" s="694"/>
      <c r="U1263" s="694"/>
      <c r="V1263" s="693"/>
      <c r="W1263" s="693"/>
      <c r="X1263" s="693"/>
      <c r="Y1263" s="671"/>
      <c r="Z1263" s="673"/>
      <c r="AA1263" s="672"/>
      <c r="AB1263" s="695"/>
      <c r="AC1263" s="673"/>
      <c r="AD1263" s="673"/>
      <c r="AE1263" s="673"/>
      <c r="AF1263" s="673"/>
      <c r="AG1263" s="673"/>
      <c r="AH1263" s="673"/>
      <c r="AI1263" s="673"/>
      <c r="AJ1263" s="673"/>
      <c r="AK1263" s="673"/>
      <c r="AL1263" s="673"/>
      <c r="AM1263" s="673"/>
      <c r="AN1263" s="673"/>
      <c r="AO1263" s="673"/>
      <c r="AP1263" s="673"/>
      <c r="AQ1263" s="673"/>
      <c r="AR1263" s="673"/>
      <c r="AS1263" s="673"/>
      <c r="AT1263" s="696"/>
    </row>
    <row r="1264" ht="15.75" customHeight="1">
      <c r="A1264" s="653"/>
      <c r="B1264" s="654"/>
      <c r="C1264" s="691"/>
      <c r="D1264" s="656"/>
      <c r="E1264" s="657"/>
      <c r="F1264" s="658"/>
      <c r="G1264" s="659"/>
      <c r="H1264" s="660"/>
      <c r="I1264" s="659"/>
      <c r="J1264" s="661"/>
      <c r="K1264" s="692"/>
      <c r="L1264" s="645"/>
      <c r="M1264" s="663"/>
      <c r="N1264" s="665"/>
      <c r="O1264" s="665"/>
      <c r="P1264" s="666"/>
      <c r="Q1264" s="667"/>
      <c r="R1264" s="668"/>
      <c r="S1264" s="693"/>
      <c r="T1264" s="694"/>
      <c r="U1264" s="694"/>
      <c r="V1264" s="693"/>
      <c r="W1264" s="693"/>
      <c r="X1264" s="693"/>
      <c r="Y1264" s="671"/>
      <c r="Z1264" s="673"/>
      <c r="AA1264" s="672"/>
      <c r="AB1264" s="695"/>
      <c r="AC1264" s="673"/>
      <c r="AD1264" s="673"/>
      <c r="AE1264" s="673"/>
      <c r="AF1264" s="673"/>
      <c r="AG1264" s="673"/>
      <c r="AH1264" s="673"/>
      <c r="AI1264" s="673"/>
      <c r="AJ1264" s="673"/>
      <c r="AK1264" s="673"/>
      <c r="AL1264" s="673"/>
      <c r="AM1264" s="673"/>
      <c r="AN1264" s="673"/>
      <c r="AO1264" s="673"/>
      <c r="AP1264" s="673"/>
      <c r="AQ1264" s="673"/>
      <c r="AR1264" s="673"/>
      <c r="AS1264" s="673"/>
      <c r="AT1264" s="696"/>
    </row>
    <row r="1265" ht="15.75" customHeight="1">
      <c r="A1265" s="653"/>
      <c r="B1265" s="654"/>
      <c r="C1265" s="691"/>
      <c r="D1265" s="656"/>
      <c r="E1265" s="657"/>
      <c r="F1265" s="658"/>
      <c r="G1265" s="659"/>
      <c r="H1265" s="660"/>
      <c r="I1265" s="659"/>
      <c r="J1265" s="661"/>
      <c r="K1265" s="692"/>
      <c r="L1265" s="645"/>
      <c r="M1265" s="663"/>
      <c r="N1265" s="665"/>
      <c r="O1265" s="665"/>
      <c r="P1265" s="666"/>
      <c r="Q1265" s="667"/>
      <c r="R1265" s="668"/>
      <c r="S1265" s="693"/>
      <c r="T1265" s="694"/>
      <c r="U1265" s="694"/>
      <c r="V1265" s="693"/>
      <c r="W1265" s="693"/>
      <c r="X1265" s="693"/>
      <c r="Y1265" s="671"/>
      <c r="Z1265" s="673"/>
      <c r="AA1265" s="672"/>
      <c r="AB1265" s="695"/>
      <c r="AC1265" s="673"/>
      <c r="AD1265" s="673"/>
      <c r="AE1265" s="673"/>
      <c r="AF1265" s="673"/>
      <c r="AG1265" s="673"/>
      <c r="AH1265" s="673"/>
      <c r="AI1265" s="673"/>
      <c r="AJ1265" s="673"/>
      <c r="AK1265" s="673"/>
      <c r="AL1265" s="673"/>
      <c r="AM1265" s="673"/>
      <c r="AN1265" s="673"/>
      <c r="AO1265" s="673"/>
      <c r="AP1265" s="673"/>
      <c r="AQ1265" s="673"/>
      <c r="AR1265" s="673"/>
      <c r="AS1265" s="673"/>
      <c r="AT1265" s="696"/>
    </row>
    <row r="1266" ht="15.75" customHeight="1">
      <c r="A1266" s="653"/>
      <c r="B1266" s="654"/>
      <c r="C1266" s="691"/>
      <c r="D1266" s="656"/>
      <c r="E1266" s="657"/>
      <c r="F1266" s="658"/>
      <c r="G1266" s="659"/>
      <c r="H1266" s="660"/>
      <c r="I1266" s="659"/>
      <c r="J1266" s="661"/>
      <c r="K1266" s="692"/>
      <c r="L1266" s="645"/>
      <c r="M1266" s="663"/>
      <c r="N1266" s="665"/>
      <c r="O1266" s="665"/>
      <c r="P1266" s="666"/>
      <c r="Q1266" s="667"/>
      <c r="R1266" s="668"/>
      <c r="S1266" s="693"/>
      <c r="T1266" s="694"/>
      <c r="U1266" s="694"/>
      <c r="V1266" s="693"/>
      <c r="W1266" s="693"/>
      <c r="X1266" s="693"/>
      <c r="Y1266" s="671"/>
      <c r="Z1266" s="673"/>
      <c r="AA1266" s="672"/>
      <c r="AB1266" s="695"/>
      <c r="AC1266" s="673"/>
      <c r="AD1266" s="673"/>
      <c r="AE1266" s="673"/>
      <c r="AF1266" s="673"/>
      <c r="AG1266" s="673"/>
      <c r="AH1266" s="673"/>
      <c r="AI1266" s="673"/>
      <c r="AJ1266" s="673"/>
      <c r="AK1266" s="673"/>
      <c r="AL1266" s="673"/>
      <c r="AM1266" s="673"/>
      <c r="AN1266" s="673"/>
      <c r="AO1266" s="673"/>
      <c r="AP1266" s="673"/>
      <c r="AQ1266" s="673"/>
      <c r="AR1266" s="673"/>
      <c r="AS1266" s="673"/>
      <c r="AT1266" s="696"/>
    </row>
    <row r="1267" ht="15.75" customHeight="1">
      <c r="A1267" s="653"/>
      <c r="B1267" s="654"/>
      <c r="C1267" s="691"/>
      <c r="D1267" s="656"/>
      <c r="E1267" s="657"/>
      <c r="F1267" s="658"/>
      <c r="G1267" s="659"/>
      <c r="H1267" s="660"/>
      <c r="I1267" s="659"/>
      <c r="J1267" s="661"/>
      <c r="K1267" s="692"/>
      <c r="L1267" s="645"/>
      <c r="M1267" s="663"/>
      <c r="N1267" s="665"/>
      <c r="O1267" s="665"/>
      <c r="P1267" s="666"/>
      <c r="Q1267" s="667"/>
      <c r="R1267" s="668"/>
      <c r="S1267" s="693"/>
      <c r="T1267" s="694"/>
      <c r="U1267" s="694"/>
      <c r="V1267" s="693"/>
      <c r="W1267" s="693"/>
      <c r="X1267" s="693"/>
      <c r="Y1267" s="671"/>
      <c r="Z1267" s="673"/>
      <c r="AA1267" s="672"/>
      <c r="AB1267" s="695"/>
      <c r="AC1267" s="673"/>
      <c r="AD1267" s="673"/>
      <c r="AE1267" s="673"/>
      <c r="AF1267" s="673"/>
      <c r="AG1267" s="673"/>
      <c r="AH1267" s="673"/>
      <c r="AI1267" s="673"/>
      <c r="AJ1267" s="673"/>
      <c r="AK1267" s="673"/>
      <c r="AL1267" s="673"/>
      <c r="AM1267" s="673"/>
      <c r="AN1267" s="673"/>
      <c r="AO1267" s="673"/>
      <c r="AP1267" s="673"/>
      <c r="AQ1267" s="673"/>
      <c r="AR1267" s="673"/>
      <c r="AS1267" s="673"/>
      <c r="AT1267" s="696"/>
    </row>
    <row r="1268" ht="15.75" customHeight="1">
      <c r="A1268" s="653"/>
      <c r="B1268" s="654"/>
      <c r="C1268" s="691"/>
      <c r="D1268" s="656"/>
      <c r="E1268" s="657"/>
      <c r="F1268" s="658"/>
      <c r="G1268" s="659"/>
      <c r="H1268" s="660"/>
      <c r="I1268" s="659"/>
      <c r="J1268" s="661"/>
      <c r="K1268" s="692"/>
      <c r="L1268" s="645"/>
      <c r="M1268" s="663"/>
      <c r="N1268" s="665"/>
      <c r="O1268" s="665"/>
      <c r="P1268" s="666"/>
      <c r="Q1268" s="667"/>
      <c r="R1268" s="668"/>
      <c r="S1268" s="693"/>
      <c r="T1268" s="694"/>
      <c r="U1268" s="694"/>
      <c r="V1268" s="693"/>
      <c r="W1268" s="693"/>
      <c r="X1268" s="693"/>
      <c r="Y1268" s="671"/>
      <c r="Z1268" s="673"/>
      <c r="AA1268" s="672"/>
      <c r="AB1268" s="695"/>
      <c r="AC1268" s="673"/>
      <c r="AD1268" s="673"/>
      <c r="AE1268" s="673"/>
      <c r="AF1268" s="673"/>
      <c r="AG1268" s="673"/>
      <c r="AH1268" s="673"/>
      <c r="AI1268" s="673"/>
      <c r="AJ1268" s="673"/>
      <c r="AK1268" s="673"/>
      <c r="AL1268" s="673"/>
      <c r="AM1268" s="673"/>
      <c r="AN1268" s="673"/>
      <c r="AO1268" s="673"/>
      <c r="AP1268" s="673"/>
      <c r="AQ1268" s="673"/>
      <c r="AR1268" s="673"/>
      <c r="AS1268" s="673"/>
      <c r="AT1268" s="696"/>
    </row>
    <row r="1269" ht="15.75" customHeight="1">
      <c r="A1269" s="653"/>
      <c r="B1269" s="654"/>
      <c r="C1269" s="691"/>
      <c r="D1269" s="656"/>
      <c r="E1269" s="657"/>
      <c r="F1269" s="658"/>
      <c r="G1269" s="659"/>
      <c r="H1269" s="660"/>
      <c r="I1269" s="659"/>
      <c r="J1269" s="661"/>
      <c r="K1269" s="692"/>
      <c r="L1269" s="645"/>
      <c r="M1269" s="663"/>
      <c r="N1269" s="665"/>
      <c r="O1269" s="665"/>
      <c r="P1269" s="666"/>
      <c r="Q1269" s="667"/>
      <c r="R1269" s="668"/>
      <c r="S1269" s="693"/>
      <c r="T1269" s="694"/>
      <c r="U1269" s="694"/>
      <c r="V1269" s="693"/>
      <c r="W1269" s="693"/>
      <c r="X1269" s="693"/>
      <c r="Y1269" s="671"/>
      <c r="Z1269" s="673"/>
      <c r="AA1269" s="672"/>
      <c r="AB1269" s="695"/>
      <c r="AC1269" s="673"/>
      <c r="AD1269" s="673"/>
      <c r="AE1269" s="673"/>
      <c r="AF1269" s="673"/>
      <c r="AG1269" s="673"/>
      <c r="AH1269" s="673"/>
      <c r="AI1269" s="673"/>
      <c r="AJ1269" s="673"/>
      <c r="AK1269" s="673"/>
      <c r="AL1269" s="673"/>
      <c r="AM1269" s="673"/>
      <c r="AN1269" s="673"/>
      <c r="AO1269" s="673"/>
      <c r="AP1269" s="673"/>
      <c r="AQ1269" s="673"/>
      <c r="AR1269" s="673"/>
      <c r="AS1269" s="673"/>
      <c r="AT1269" s="696"/>
    </row>
    <row r="1270" ht="15.75" customHeight="1">
      <c r="A1270" s="653"/>
      <c r="B1270" s="654"/>
      <c r="C1270" s="691"/>
      <c r="D1270" s="656"/>
      <c r="E1270" s="657"/>
      <c r="F1270" s="658"/>
      <c r="G1270" s="659"/>
      <c r="H1270" s="660"/>
      <c r="I1270" s="659"/>
      <c r="J1270" s="661"/>
      <c r="K1270" s="692"/>
      <c r="L1270" s="645"/>
      <c r="M1270" s="663"/>
      <c r="N1270" s="665"/>
      <c r="O1270" s="665"/>
      <c r="P1270" s="666"/>
      <c r="Q1270" s="667"/>
      <c r="R1270" s="668"/>
      <c r="S1270" s="693"/>
      <c r="T1270" s="694"/>
      <c r="U1270" s="694"/>
      <c r="V1270" s="693"/>
      <c r="W1270" s="693"/>
      <c r="X1270" s="693"/>
      <c r="Y1270" s="671"/>
      <c r="Z1270" s="673"/>
      <c r="AA1270" s="672"/>
      <c r="AB1270" s="695"/>
      <c r="AC1270" s="673"/>
      <c r="AD1270" s="673"/>
      <c r="AE1270" s="673"/>
      <c r="AF1270" s="673"/>
      <c r="AG1270" s="673"/>
      <c r="AH1270" s="673"/>
      <c r="AI1270" s="673"/>
      <c r="AJ1270" s="673"/>
      <c r="AK1270" s="673"/>
      <c r="AL1270" s="673"/>
      <c r="AM1270" s="673"/>
      <c r="AN1270" s="673"/>
      <c r="AO1270" s="673"/>
      <c r="AP1270" s="673"/>
      <c r="AQ1270" s="673"/>
      <c r="AR1270" s="673"/>
      <c r="AS1270" s="673"/>
      <c r="AT1270" s="696"/>
    </row>
    <row r="1271" ht="15.75" customHeight="1">
      <c r="A1271" s="653"/>
      <c r="B1271" s="654"/>
      <c r="C1271" s="691"/>
      <c r="D1271" s="656"/>
      <c r="E1271" s="657"/>
      <c r="F1271" s="658"/>
      <c r="G1271" s="659"/>
      <c r="H1271" s="660"/>
      <c r="I1271" s="659"/>
      <c r="J1271" s="661"/>
      <c r="K1271" s="692"/>
      <c r="L1271" s="645"/>
      <c r="M1271" s="663"/>
      <c r="N1271" s="665"/>
      <c r="O1271" s="665"/>
      <c r="P1271" s="666"/>
      <c r="Q1271" s="667"/>
      <c r="R1271" s="668"/>
      <c r="S1271" s="693"/>
      <c r="T1271" s="694"/>
      <c r="U1271" s="694"/>
      <c r="V1271" s="693"/>
      <c r="W1271" s="693"/>
      <c r="X1271" s="693"/>
      <c r="Y1271" s="671"/>
      <c r="Z1271" s="673"/>
      <c r="AA1271" s="672"/>
      <c r="AB1271" s="695"/>
      <c r="AC1271" s="673"/>
      <c r="AD1271" s="673"/>
      <c r="AE1271" s="673"/>
      <c r="AF1271" s="673"/>
      <c r="AG1271" s="673"/>
      <c r="AH1271" s="673"/>
      <c r="AI1271" s="673"/>
      <c r="AJ1271" s="673"/>
      <c r="AK1271" s="673"/>
      <c r="AL1271" s="673"/>
      <c r="AM1271" s="673"/>
      <c r="AN1271" s="673"/>
      <c r="AO1271" s="673"/>
      <c r="AP1271" s="673"/>
      <c r="AQ1271" s="673"/>
      <c r="AR1271" s="673"/>
      <c r="AS1271" s="673"/>
      <c r="AT1271" s="696"/>
    </row>
    <row r="1272" ht="15.75" customHeight="1">
      <c r="A1272" s="653"/>
      <c r="B1272" s="654"/>
      <c r="C1272" s="691"/>
      <c r="D1272" s="656"/>
      <c r="E1272" s="657"/>
      <c r="F1272" s="658"/>
      <c r="G1272" s="659"/>
      <c r="H1272" s="660"/>
      <c r="I1272" s="659"/>
      <c r="J1272" s="661"/>
      <c r="K1272" s="692"/>
      <c r="L1272" s="645"/>
      <c r="M1272" s="663"/>
      <c r="N1272" s="665"/>
      <c r="O1272" s="665"/>
      <c r="P1272" s="666"/>
      <c r="Q1272" s="667"/>
      <c r="R1272" s="668"/>
      <c r="S1272" s="693"/>
      <c r="T1272" s="694"/>
      <c r="U1272" s="694"/>
      <c r="V1272" s="693"/>
      <c r="W1272" s="693"/>
      <c r="X1272" s="693"/>
      <c r="Y1272" s="671"/>
      <c r="Z1272" s="673"/>
      <c r="AA1272" s="672"/>
      <c r="AB1272" s="695"/>
      <c r="AC1272" s="673"/>
      <c r="AD1272" s="673"/>
      <c r="AE1272" s="673"/>
      <c r="AF1272" s="673"/>
      <c r="AG1272" s="673"/>
      <c r="AH1272" s="673"/>
      <c r="AI1272" s="673"/>
      <c r="AJ1272" s="673"/>
      <c r="AK1272" s="673"/>
      <c r="AL1272" s="673"/>
      <c r="AM1272" s="673"/>
      <c r="AN1272" s="673"/>
      <c r="AO1272" s="673"/>
      <c r="AP1272" s="673"/>
      <c r="AQ1272" s="673"/>
      <c r="AR1272" s="673"/>
      <c r="AS1272" s="673"/>
      <c r="AT1272" s="696"/>
    </row>
    <row r="1273" ht="15.75" customHeight="1">
      <c r="A1273" s="653"/>
      <c r="B1273" s="654"/>
      <c r="C1273" s="691"/>
      <c r="D1273" s="656"/>
      <c r="E1273" s="657"/>
      <c r="F1273" s="658"/>
      <c r="G1273" s="659"/>
      <c r="H1273" s="660"/>
      <c r="I1273" s="659"/>
      <c r="J1273" s="661"/>
      <c r="K1273" s="692"/>
      <c r="L1273" s="645"/>
      <c r="M1273" s="663"/>
      <c r="N1273" s="665"/>
      <c r="O1273" s="665"/>
      <c r="P1273" s="666"/>
      <c r="Q1273" s="667"/>
      <c r="R1273" s="668"/>
      <c r="S1273" s="693"/>
      <c r="T1273" s="694"/>
      <c r="U1273" s="694"/>
      <c r="V1273" s="693"/>
      <c r="W1273" s="693"/>
      <c r="X1273" s="693"/>
      <c r="Y1273" s="671"/>
      <c r="Z1273" s="673"/>
      <c r="AA1273" s="672"/>
      <c r="AB1273" s="695"/>
      <c r="AC1273" s="673"/>
      <c r="AD1273" s="673"/>
      <c r="AE1273" s="673"/>
      <c r="AF1273" s="673"/>
      <c r="AG1273" s="673"/>
      <c r="AH1273" s="673"/>
      <c r="AI1273" s="673"/>
      <c r="AJ1273" s="673"/>
      <c r="AK1273" s="673"/>
      <c r="AL1273" s="673"/>
      <c r="AM1273" s="673"/>
      <c r="AN1273" s="673"/>
      <c r="AO1273" s="673"/>
      <c r="AP1273" s="673"/>
      <c r="AQ1273" s="673"/>
      <c r="AR1273" s="673"/>
      <c r="AS1273" s="673"/>
      <c r="AT1273" s="696"/>
    </row>
    <row r="1274" ht="15.75" customHeight="1">
      <c r="A1274" s="653"/>
      <c r="B1274" s="654"/>
      <c r="C1274" s="691"/>
      <c r="D1274" s="656"/>
      <c r="E1274" s="657"/>
      <c r="F1274" s="658"/>
      <c r="G1274" s="659"/>
      <c r="H1274" s="660"/>
      <c r="I1274" s="659"/>
      <c r="J1274" s="661"/>
      <c r="K1274" s="692"/>
      <c r="L1274" s="645"/>
      <c r="M1274" s="663"/>
      <c r="N1274" s="665"/>
      <c r="O1274" s="665"/>
      <c r="P1274" s="666"/>
      <c r="Q1274" s="667"/>
      <c r="R1274" s="668"/>
      <c r="S1274" s="693"/>
      <c r="T1274" s="694"/>
      <c r="U1274" s="694"/>
      <c r="V1274" s="693"/>
      <c r="W1274" s="693"/>
      <c r="X1274" s="693"/>
      <c r="Y1274" s="671"/>
      <c r="Z1274" s="673"/>
      <c r="AA1274" s="672"/>
      <c r="AB1274" s="695"/>
      <c r="AC1274" s="673"/>
      <c r="AD1274" s="673"/>
      <c r="AE1274" s="673"/>
      <c r="AF1274" s="673"/>
      <c r="AG1274" s="673"/>
      <c r="AH1274" s="673"/>
      <c r="AI1274" s="673"/>
      <c r="AJ1274" s="673"/>
      <c r="AK1274" s="673"/>
      <c r="AL1274" s="673"/>
      <c r="AM1274" s="673"/>
      <c r="AN1274" s="673"/>
      <c r="AO1274" s="673"/>
      <c r="AP1274" s="673"/>
      <c r="AQ1274" s="673"/>
      <c r="AR1274" s="673"/>
      <c r="AS1274" s="673"/>
      <c r="AT1274" s="696"/>
    </row>
    <row r="1275" ht="15.75" customHeight="1">
      <c r="A1275" s="653"/>
      <c r="B1275" s="654"/>
      <c r="C1275" s="691"/>
      <c r="D1275" s="656"/>
      <c r="E1275" s="657"/>
      <c r="F1275" s="658"/>
      <c r="G1275" s="659"/>
      <c r="H1275" s="660"/>
      <c r="I1275" s="659"/>
      <c r="J1275" s="661"/>
      <c r="K1275" s="692"/>
      <c r="L1275" s="645"/>
      <c r="M1275" s="663"/>
      <c r="N1275" s="665"/>
      <c r="O1275" s="665"/>
      <c r="P1275" s="666"/>
      <c r="Q1275" s="667"/>
      <c r="R1275" s="668"/>
      <c r="S1275" s="693"/>
      <c r="T1275" s="694"/>
      <c r="U1275" s="694"/>
      <c r="V1275" s="693"/>
      <c r="W1275" s="693"/>
      <c r="X1275" s="693"/>
      <c r="Y1275" s="671"/>
      <c r="Z1275" s="673"/>
      <c r="AA1275" s="672"/>
      <c r="AB1275" s="695"/>
      <c r="AC1275" s="673"/>
      <c r="AD1275" s="673"/>
      <c r="AE1275" s="673"/>
      <c r="AF1275" s="673"/>
      <c r="AG1275" s="673"/>
      <c r="AH1275" s="673"/>
      <c r="AI1275" s="673"/>
      <c r="AJ1275" s="673"/>
      <c r="AK1275" s="673"/>
      <c r="AL1275" s="673"/>
      <c r="AM1275" s="673"/>
      <c r="AN1275" s="673"/>
      <c r="AO1275" s="673"/>
      <c r="AP1275" s="673"/>
      <c r="AQ1275" s="673"/>
      <c r="AR1275" s="673"/>
      <c r="AS1275" s="673"/>
      <c r="AT1275" s="696"/>
    </row>
    <row r="1276" ht="15.75" customHeight="1">
      <c r="A1276" s="653"/>
      <c r="B1276" s="654"/>
      <c r="C1276" s="691"/>
      <c r="D1276" s="656"/>
      <c r="E1276" s="657"/>
      <c r="F1276" s="658"/>
      <c r="G1276" s="659"/>
      <c r="H1276" s="660"/>
      <c r="I1276" s="659"/>
      <c r="J1276" s="661"/>
      <c r="K1276" s="692"/>
      <c r="L1276" s="645"/>
      <c r="M1276" s="663"/>
      <c r="N1276" s="665"/>
      <c r="O1276" s="665"/>
      <c r="P1276" s="666"/>
      <c r="Q1276" s="667"/>
      <c r="R1276" s="668"/>
      <c r="S1276" s="693"/>
      <c r="T1276" s="694"/>
      <c r="U1276" s="694"/>
      <c r="V1276" s="693"/>
      <c r="W1276" s="693"/>
      <c r="X1276" s="693"/>
      <c r="Y1276" s="671"/>
      <c r="Z1276" s="673"/>
      <c r="AA1276" s="672"/>
      <c r="AB1276" s="695"/>
      <c r="AC1276" s="673"/>
      <c r="AD1276" s="673"/>
      <c r="AE1276" s="673"/>
      <c r="AF1276" s="673"/>
      <c r="AG1276" s="673"/>
      <c r="AH1276" s="673"/>
      <c r="AI1276" s="673"/>
      <c r="AJ1276" s="673"/>
      <c r="AK1276" s="673"/>
      <c r="AL1276" s="673"/>
      <c r="AM1276" s="673"/>
      <c r="AN1276" s="673"/>
      <c r="AO1276" s="673"/>
      <c r="AP1276" s="673"/>
      <c r="AQ1276" s="673"/>
      <c r="AR1276" s="673"/>
      <c r="AS1276" s="673"/>
      <c r="AT1276" s="696"/>
    </row>
    <row r="1277" ht="15.75" customHeight="1">
      <c r="A1277" s="653"/>
      <c r="B1277" s="654"/>
      <c r="C1277" s="691"/>
      <c r="D1277" s="656"/>
      <c r="E1277" s="657"/>
      <c r="F1277" s="658"/>
      <c r="G1277" s="659"/>
      <c r="H1277" s="660"/>
      <c r="I1277" s="659"/>
      <c r="J1277" s="661"/>
      <c r="K1277" s="692"/>
      <c r="L1277" s="645"/>
      <c r="M1277" s="663"/>
      <c r="N1277" s="665"/>
      <c r="O1277" s="665"/>
      <c r="P1277" s="666"/>
      <c r="Q1277" s="667"/>
      <c r="R1277" s="668"/>
      <c r="S1277" s="693"/>
      <c r="T1277" s="694"/>
      <c r="U1277" s="694"/>
      <c r="V1277" s="693"/>
      <c r="W1277" s="693"/>
      <c r="X1277" s="693"/>
      <c r="Y1277" s="671"/>
      <c r="Z1277" s="673"/>
      <c r="AA1277" s="672"/>
      <c r="AB1277" s="695"/>
      <c r="AC1277" s="673"/>
      <c r="AD1277" s="673"/>
      <c r="AE1277" s="673"/>
      <c r="AF1277" s="673"/>
      <c r="AG1277" s="673"/>
      <c r="AH1277" s="673"/>
      <c r="AI1277" s="673"/>
      <c r="AJ1277" s="673"/>
      <c r="AK1277" s="673"/>
      <c r="AL1277" s="673"/>
      <c r="AM1277" s="673"/>
      <c r="AN1277" s="673"/>
      <c r="AO1277" s="673"/>
      <c r="AP1277" s="673"/>
      <c r="AQ1277" s="673"/>
      <c r="AR1277" s="673"/>
      <c r="AS1277" s="673"/>
      <c r="AT1277" s="696"/>
    </row>
    <row r="1278" ht="15.75" customHeight="1">
      <c r="A1278" s="653"/>
      <c r="B1278" s="654"/>
      <c r="C1278" s="691"/>
      <c r="D1278" s="656"/>
      <c r="E1278" s="657"/>
      <c r="F1278" s="658"/>
      <c r="G1278" s="659"/>
      <c r="H1278" s="660"/>
      <c r="I1278" s="659"/>
      <c r="J1278" s="661"/>
      <c r="K1278" s="692"/>
      <c r="L1278" s="645"/>
      <c r="M1278" s="663"/>
      <c r="N1278" s="665"/>
      <c r="O1278" s="665"/>
      <c r="P1278" s="666"/>
      <c r="Q1278" s="667"/>
      <c r="R1278" s="668"/>
      <c r="S1278" s="693"/>
      <c r="T1278" s="694"/>
      <c r="U1278" s="694"/>
      <c r="V1278" s="693"/>
      <c r="W1278" s="693"/>
      <c r="X1278" s="693"/>
      <c r="Y1278" s="671"/>
      <c r="Z1278" s="673"/>
      <c r="AA1278" s="672"/>
      <c r="AB1278" s="695"/>
      <c r="AC1278" s="673"/>
      <c r="AD1278" s="673"/>
      <c r="AE1278" s="673"/>
      <c r="AF1278" s="673"/>
      <c r="AG1278" s="673"/>
      <c r="AH1278" s="673"/>
      <c r="AI1278" s="673"/>
      <c r="AJ1278" s="673"/>
      <c r="AK1278" s="673"/>
      <c r="AL1278" s="673"/>
      <c r="AM1278" s="673"/>
      <c r="AN1278" s="673"/>
      <c r="AO1278" s="673"/>
      <c r="AP1278" s="673"/>
      <c r="AQ1278" s="673"/>
      <c r="AR1278" s="673"/>
      <c r="AS1278" s="673"/>
      <c r="AT1278" s="696"/>
    </row>
    <row r="1279" ht="15.75" customHeight="1">
      <c r="A1279" s="653"/>
      <c r="B1279" s="654"/>
      <c r="C1279" s="691"/>
      <c r="D1279" s="656"/>
      <c r="E1279" s="657"/>
      <c r="F1279" s="658"/>
      <c r="G1279" s="659"/>
      <c r="H1279" s="660"/>
      <c r="I1279" s="659"/>
      <c r="J1279" s="661"/>
      <c r="K1279" s="692"/>
      <c r="L1279" s="645"/>
      <c r="M1279" s="663"/>
      <c r="N1279" s="665"/>
      <c r="O1279" s="665"/>
      <c r="P1279" s="666"/>
      <c r="Q1279" s="667"/>
      <c r="R1279" s="668"/>
      <c r="S1279" s="693"/>
      <c r="T1279" s="694"/>
      <c r="U1279" s="694"/>
      <c r="V1279" s="693"/>
      <c r="W1279" s="693"/>
      <c r="X1279" s="693"/>
      <c r="Y1279" s="671"/>
      <c r="Z1279" s="673"/>
      <c r="AA1279" s="672"/>
      <c r="AB1279" s="695"/>
      <c r="AC1279" s="673"/>
      <c r="AD1279" s="673"/>
      <c r="AE1279" s="673"/>
      <c r="AF1279" s="673"/>
      <c r="AG1279" s="673"/>
      <c r="AH1279" s="673"/>
      <c r="AI1279" s="673"/>
      <c r="AJ1279" s="673"/>
      <c r="AK1279" s="673"/>
      <c r="AL1279" s="673"/>
      <c r="AM1279" s="673"/>
      <c r="AN1279" s="673"/>
      <c r="AO1279" s="673"/>
      <c r="AP1279" s="673"/>
      <c r="AQ1279" s="673"/>
      <c r="AR1279" s="673"/>
      <c r="AS1279" s="673"/>
      <c r="AT1279" s="696"/>
    </row>
    <row r="1280" ht="15.75" customHeight="1">
      <c r="A1280" s="653"/>
      <c r="B1280" s="654"/>
      <c r="C1280" s="691"/>
      <c r="D1280" s="656"/>
      <c r="E1280" s="657"/>
      <c r="F1280" s="658"/>
      <c r="G1280" s="659"/>
      <c r="H1280" s="660"/>
      <c r="I1280" s="659"/>
      <c r="J1280" s="661"/>
      <c r="K1280" s="692"/>
      <c r="L1280" s="645"/>
      <c r="M1280" s="663"/>
      <c r="N1280" s="665"/>
      <c r="O1280" s="665"/>
      <c r="P1280" s="666"/>
      <c r="Q1280" s="667"/>
      <c r="R1280" s="668"/>
      <c r="S1280" s="693"/>
      <c r="T1280" s="694"/>
      <c r="U1280" s="694"/>
      <c r="V1280" s="693"/>
      <c r="W1280" s="693"/>
      <c r="X1280" s="693"/>
      <c r="Y1280" s="671"/>
      <c r="Z1280" s="673"/>
      <c r="AA1280" s="672"/>
      <c r="AB1280" s="695"/>
      <c r="AC1280" s="673"/>
      <c r="AD1280" s="673"/>
      <c r="AE1280" s="673"/>
      <c r="AF1280" s="673"/>
      <c r="AG1280" s="673"/>
      <c r="AH1280" s="673"/>
      <c r="AI1280" s="673"/>
      <c r="AJ1280" s="673"/>
      <c r="AK1280" s="673"/>
      <c r="AL1280" s="673"/>
      <c r="AM1280" s="673"/>
      <c r="AN1280" s="673"/>
      <c r="AO1280" s="673"/>
      <c r="AP1280" s="673"/>
      <c r="AQ1280" s="673"/>
      <c r="AR1280" s="673"/>
      <c r="AS1280" s="673"/>
      <c r="AT1280" s="696"/>
    </row>
    <row r="1281" ht="15.75" customHeight="1">
      <c r="A1281" s="653"/>
      <c r="B1281" s="654"/>
      <c r="C1281" s="691"/>
      <c r="D1281" s="656"/>
      <c r="E1281" s="657"/>
      <c r="F1281" s="658"/>
      <c r="G1281" s="659"/>
      <c r="H1281" s="660"/>
      <c r="I1281" s="659"/>
      <c r="J1281" s="661"/>
      <c r="K1281" s="692"/>
      <c r="L1281" s="645"/>
      <c r="M1281" s="663"/>
      <c r="N1281" s="665"/>
      <c r="O1281" s="665"/>
      <c r="P1281" s="666"/>
      <c r="Q1281" s="667"/>
      <c r="R1281" s="668"/>
      <c r="S1281" s="693"/>
      <c r="T1281" s="694"/>
      <c r="U1281" s="694"/>
      <c r="V1281" s="693"/>
      <c r="W1281" s="693"/>
      <c r="X1281" s="693"/>
      <c r="Y1281" s="671"/>
      <c r="Z1281" s="673"/>
      <c r="AA1281" s="672"/>
      <c r="AB1281" s="695"/>
      <c r="AC1281" s="673"/>
      <c r="AD1281" s="673"/>
      <c r="AE1281" s="673"/>
      <c r="AF1281" s="673"/>
      <c r="AG1281" s="673"/>
      <c r="AH1281" s="673"/>
      <c r="AI1281" s="673"/>
      <c r="AJ1281" s="673"/>
      <c r="AK1281" s="673"/>
      <c r="AL1281" s="673"/>
      <c r="AM1281" s="673"/>
      <c r="AN1281" s="673"/>
      <c r="AO1281" s="673"/>
      <c r="AP1281" s="673"/>
      <c r="AQ1281" s="673"/>
      <c r="AR1281" s="673"/>
      <c r="AS1281" s="673"/>
      <c r="AT1281" s="696"/>
    </row>
    <row r="1282" ht="15.75" customHeight="1">
      <c r="A1282" s="653"/>
      <c r="B1282" s="654"/>
      <c r="C1282" s="691"/>
      <c r="D1282" s="656"/>
      <c r="E1282" s="657"/>
      <c r="F1282" s="658"/>
      <c r="G1282" s="659"/>
      <c r="H1282" s="660"/>
      <c r="I1282" s="659"/>
      <c r="J1282" s="661"/>
      <c r="K1282" s="692"/>
      <c r="L1282" s="645"/>
      <c r="M1282" s="663"/>
      <c r="N1282" s="665"/>
      <c r="O1282" s="665"/>
      <c r="P1282" s="666"/>
      <c r="Q1282" s="667"/>
      <c r="R1282" s="668"/>
      <c r="S1282" s="693"/>
      <c r="T1282" s="694"/>
      <c r="U1282" s="694"/>
      <c r="V1282" s="693"/>
      <c r="W1282" s="693"/>
      <c r="X1282" s="693"/>
      <c r="Y1282" s="671"/>
      <c r="Z1282" s="673"/>
      <c r="AA1282" s="672"/>
      <c r="AB1282" s="695"/>
      <c r="AC1282" s="673"/>
      <c r="AD1282" s="673"/>
      <c r="AE1282" s="673"/>
      <c r="AF1282" s="673"/>
      <c r="AG1282" s="673"/>
      <c r="AH1282" s="673"/>
      <c r="AI1282" s="673"/>
      <c r="AJ1282" s="673"/>
      <c r="AK1282" s="673"/>
      <c r="AL1282" s="673"/>
      <c r="AM1282" s="673"/>
      <c r="AN1282" s="673"/>
      <c r="AO1282" s="673"/>
      <c r="AP1282" s="673"/>
      <c r="AQ1282" s="673"/>
      <c r="AR1282" s="673"/>
      <c r="AS1282" s="673"/>
      <c r="AT1282" s="696"/>
    </row>
    <row r="1283" ht="15.75" customHeight="1">
      <c r="A1283" s="653"/>
      <c r="B1283" s="654"/>
      <c r="C1283" s="691"/>
      <c r="D1283" s="656"/>
      <c r="E1283" s="657"/>
      <c r="F1283" s="658"/>
      <c r="G1283" s="659"/>
      <c r="H1283" s="660"/>
      <c r="I1283" s="659"/>
      <c r="J1283" s="661"/>
      <c r="K1283" s="692"/>
      <c r="L1283" s="645"/>
      <c r="M1283" s="663"/>
      <c r="N1283" s="665"/>
      <c r="O1283" s="665"/>
      <c r="P1283" s="666"/>
      <c r="Q1283" s="667"/>
      <c r="R1283" s="668"/>
      <c r="S1283" s="693"/>
      <c r="T1283" s="694"/>
      <c r="U1283" s="694"/>
      <c r="V1283" s="693"/>
      <c r="W1283" s="693"/>
      <c r="X1283" s="693"/>
      <c r="Y1283" s="671"/>
      <c r="Z1283" s="673"/>
      <c r="AA1283" s="672"/>
      <c r="AB1283" s="695"/>
      <c r="AC1283" s="673"/>
      <c r="AD1283" s="673"/>
      <c r="AE1283" s="673"/>
      <c r="AF1283" s="673"/>
      <c r="AG1283" s="673"/>
      <c r="AH1283" s="673"/>
      <c r="AI1283" s="673"/>
      <c r="AJ1283" s="673"/>
      <c r="AK1283" s="673"/>
      <c r="AL1283" s="673"/>
      <c r="AM1283" s="673"/>
      <c r="AN1283" s="673"/>
      <c r="AO1283" s="673"/>
      <c r="AP1283" s="673"/>
      <c r="AQ1283" s="673"/>
      <c r="AR1283" s="673"/>
      <c r="AS1283" s="673"/>
      <c r="AT1283" s="696"/>
    </row>
    <row r="1284" ht="15.75" customHeight="1">
      <c r="A1284" s="653"/>
      <c r="B1284" s="654"/>
      <c r="C1284" s="691"/>
      <c r="D1284" s="656"/>
      <c r="E1284" s="657"/>
      <c r="F1284" s="658"/>
      <c r="G1284" s="659"/>
      <c r="H1284" s="660"/>
      <c r="I1284" s="659"/>
      <c r="J1284" s="661"/>
      <c r="K1284" s="692"/>
      <c r="L1284" s="645"/>
      <c r="M1284" s="663"/>
      <c r="N1284" s="665"/>
      <c r="O1284" s="665"/>
      <c r="P1284" s="666"/>
      <c r="Q1284" s="667"/>
      <c r="R1284" s="668"/>
      <c r="S1284" s="693"/>
      <c r="T1284" s="694"/>
      <c r="U1284" s="694"/>
      <c r="V1284" s="693"/>
      <c r="W1284" s="693"/>
      <c r="X1284" s="693"/>
      <c r="Y1284" s="671"/>
      <c r="Z1284" s="673"/>
      <c r="AA1284" s="672"/>
      <c r="AB1284" s="695"/>
      <c r="AC1284" s="673"/>
      <c r="AD1284" s="673"/>
      <c r="AE1284" s="673"/>
      <c r="AF1284" s="673"/>
      <c r="AG1284" s="673"/>
      <c r="AH1284" s="673"/>
      <c r="AI1284" s="673"/>
      <c r="AJ1284" s="673"/>
      <c r="AK1284" s="673"/>
      <c r="AL1284" s="673"/>
      <c r="AM1284" s="673"/>
      <c r="AN1284" s="673"/>
      <c r="AO1284" s="673"/>
      <c r="AP1284" s="673"/>
      <c r="AQ1284" s="673"/>
      <c r="AR1284" s="673"/>
      <c r="AS1284" s="673"/>
      <c r="AT1284" s="696"/>
    </row>
    <row r="1285" ht="15.75" customHeight="1">
      <c r="A1285" s="653"/>
      <c r="B1285" s="654"/>
      <c r="C1285" s="691"/>
      <c r="D1285" s="656"/>
      <c r="E1285" s="657"/>
      <c r="F1285" s="658"/>
      <c r="G1285" s="659"/>
      <c r="H1285" s="660"/>
      <c r="I1285" s="659"/>
      <c r="J1285" s="661"/>
      <c r="K1285" s="692"/>
      <c r="L1285" s="645"/>
      <c r="M1285" s="663"/>
      <c r="N1285" s="665"/>
      <c r="O1285" s="665"/>
      <c r="P1285" s="666"/>
      <c r="Q1285" s="667"/>
      <c r="R1285" s="668"/>
      <c r="S1285" s="693"/>
      <c r="T1285" s="694"/>
      <c r="U1285" s="694"/>
      <c r="V1285" s="693"/>
      <c r="W1285" s="693"/>
      <c r="X1285" s="693"/>
      <c r="Y1285" s="671"/>
      <c r="Z1285" s="673"/>
      <c r="AA1285" s="672"/>
      <c r="AB1285" s="695"/>
      <c r="AC1285" s="673"/>
      <c r="AD1285" s="673"/>
      <c r="AE1285" s="673"/>
      <c r="AF1285" s="673"/>
      <c r="AG1285" s="673"/>
      <c r="AH1285" s="673"/>
      <c r="AI1285" s="673"/>
      <c r="AJ1285" s="673"/>
      <c r="AK1285" s="673"/>
      <c r="AL1285" s="673"/>
      <c r="AM1285" s="673"/>
      <c r="AN1285" s="673"/>
      <c r="AO1285" s="673"/>
      <c r="AP1285" s="673"/>
      <c r="AQ1285" s="673"/>
      <c r="AR1285" s="673"/>
      <c r="AS1285" s="673"/>
      <c r="AT1285" s="696"/>
    </row>
    <row r="1286" ht="15.75" customHeight="1">
      <c r="A1286" s="653"/>
      <c r="B1286" s="654"/>
      <c r="C1286" s="691"/>
      <c r="D1286" s="656"/>
      <c r="E1286" s="657"/>
      <c r="F1286" s="658"/>
      <c r="G1286" s="659"/>
      <c r="H1286" s="660"/>
      <c r="I1286" s="659"/>
      <c r="J1286" s="661"/>
      <c r="K1286" s="692"/>
      <c r="L1286" s="645"/>
      <c r="M1286" s="663"/>
      <c r="N1286" s="665"/>
      <c r="O1286" s="665"/>
      <c r="P1286" s="666"/>
      <c r="Q1286" s="667"/>
      <c r="R1286" s="668"/>
      <c r="S1286" s="693"/>
      <c r="T1286" s="694"/>
      <c r="U1286" s="694"/>
      <c r="V1286" s="693"/>
      <c r="W1286" s="693"/>
      <c r="X1286" s="693"/>
      <c r="Y1286" s="671"/>
      <c r="Z1286" s="673"/>
      <c r="AA1286" s="672"/>
      <c r="AB1286" s="695"/>
      <c r="AC1286" s="673"/>
      <c r="AD1286" s="673"/>
      <c r="AE1286" s="673"/>
      <c r="AF1286" s="673"/>
      <c r="AG1286" s="673"/>
      <c r="AH1286" s="673"/>
      <c r="AI1286" s="673"/>
      <c r="AJ1286" s="673"/>
      <c r="AK1286" s="673"/>
      <c r="AL1286" s="673"/>
      <c r="AM1286" s="673"/>
      <c r="AN1286" s="673"/>
      <c r="AO1286" s="673"/>
      <c r="AP1286" s="673"/>
      <c r="AQ1286" s="673"/>
      <c r="AR1286" s="673"/>
      <c r="AS1286" s="673"/>
      <c r="AT1286" s="696"/>
    </row>
    <row r="1287" ht="15.75" customHeight="1">
      <c r="A1287" s="653"/>
      <c r="B1287" s="654"/>
      <c r="C1287" s="691"/>
      <c r="D1287" s="656"/>
      <c r="E1287" s="657"/>
      <c r="F1287" s="658"/>
      <c r="G1287" s="659"/>
      <c r="H1287" s="660"/>
      <c r="I1287" s="659"/>
      <c r="J1287" s="661"/>
      <c r="K1287" s="692"/>
      <c r="L1287" s="645"/>
      <c r="M1287" s="663"/>
      <c r="N1287" s="665"/>
      <c r="O1287" s="665"/>
      <c r="P1287" s="666"/>
      <c r="Q1287" s="667"/>
      <c r="R1287" s="668"/>
      <c r="S1287" s="693"/>
      <c r="T1287" s="694"/>
      <c r="U1287" s="694"/>
      <c r="V1287" s="693"/>
      <c r="W1287" s="693"/>
      <c r="X1287" s="693"/>
      <c r="Y1287" s="671"/>
      <c r="Z1287" s="673"/>
      <c r="AA1287" s="672"/>
      <c r="AB1287" s="695"/>
      <c r="AC1287" s="673"/>
      <c r="AD1287" s="673"/>
      <c r="AE1287" s="673"/>
      <c r="AF1287" s="673"/>
      <c r="AG1287" s="673"/>
      <c r="AH1287" s="673"/>
      <c r="AI1287" s="673"/>
      <c r="AJ1287" s="673"/>
      <c r="AK1287" s="673"/>
      <c r="AL1287" s="673"/>
      <c r="AM1287" s="673"/>
      <c r="AN1287" s="673"/>
      <c r="AO1287" s="673"/>
      <c r="AP1287" s="673"/>
      <c r="AQ1287" s="673"/>
      <c r="AR1287" s="673"/>
      <c r="AS1287" s="673"/>
      <c r="AT1287" s="696"/>
    </row>
    <row r="1288" ht="15.75" customHeight="1">
      <c r="A1288" s="653"/>
      <c r="B1288" s="654"/>
      <c r="C1288" s="691"/>
      <c r="D1288" s="656"/>
      <c r="E1288" s="657"/>
      <c r="F1288" s="658"/>
      <c r="G1288" s="659"/>
      <c r="H1288" s="660"/>
      <c r="I1288" s="659"/>
      <c r="J1288" s="661"/>
      <c r="K1288" s="692"/>
      <c r="L1288" s="645"/>
      <c r="M1288" s="663"/>
      <c r="N1288" s="665"/>
      <c r="O1288" s="665"/>
      <c r="P1288" s="666"/>
      <c r="Q1288" s="667"/>
      <c r="R1288" s="668"/>
      <c r="S1288" s="693"/>
      <c r="T1288" s="694"/>
      <c r="U1288" s="694"/>
      <c r="V1288" s="693"/>
      <c r="W1288" s="693"/>
      <c r="X1288" s="693"/>
      <c r="Y1288" s="671"/>
      <c r="Z1288" s="673"/>
      <c r="AA1288" s="672"/>
      <c r="AB1288" s="695"/>
      <c r="AC1288" s="673"/>
      <c r="AD1288" s="673"/>
      <c r="AE1288" s="673"/>
      <c r="AF1288" s="673"/>
      <c r="AG1288" s="673"/>
      <c r="AH1288" s="673"/>
      <c r="AI1288" s="673"/>
      <c r="AJ1288" s="673"/>
      <c r="AK1288" s="673"/>
      <c r="AL1288" s="673"/>
      <c r="AM1288" s="673"/>
      <c r="AN1288" s="673"/>
      <c r="AO1288" s="673"/>
      <c r="AP1288" s="673"/>
      <c r="AQ1288" s="673"/>
      <c r="AR1288" s="673"/>
      <c r="AS1288" s="673"/>
      <c r="AT1288" s="696"/>
    </row>
    <row r="1289" ht="15.75" customHeight="1">
      <c r="A1289" s="653"/>
      <c r="B1289" s="654"/>
      <c r="C1289" s="691"/>
      <c r="D1289" s="656"/>
      <c r="E1289" s="657"/>
      <c r="F1289" s="658"/>
      <c r="G1289" s="659"/>
      <c r="H1289" s="660"/>
      <c r="I1289" s="659"/>
      <c r="J1289" s="661"/>
      <c r="K1289" s="692"/>
      <c r="L1289" s="645"/>
      <c r="M1289" s="663"/>
      <c r="N1289" s="665"/>
      <c r="O1289" s="665"/>
      <c r="P1289" s="666"/>
      <c r="Q1289" s="667"/>
      <c r="R1289" s="668"/>
      <c r="S1289" s="693"/>
      <c r="T1289" s="694"/>
      <c r="U1289" s="694"/>
      <c r="V1289" s="693"/>
      <c r="W1289" s="693"/>
      <c r="X1289" s="693"/>
      <c r="Y1289" s="671"/>
      <c r="Z1289" s="673"/>
      <c r="AA1289" s="672"/>
      <c r="AB1289" s="695"/>
      <c r="AC1289" s="673"/>
      <c r="AD1289" s="673"/>
      <c r="AE1289" s="673"/>
      <c r="AF1289" s="673"/>
      <c r="AG1289" s="673"/>
      <c r="AH1289" s="673"/>
      <c r="AI1289" s="673"/>
      <c r="AJ1289" s="673"/>
      <c r="AK1289" s="673"/>
      <c r="AL1289" s="673"/>
      <c r="AM1289" s="673"/>
      <c r="AN1289" s="673"/>
      <c r="AO1289" s="673"/>
      <c r="AP1289" s="673"/>
      <c r="AQ1289" s="673"/>
      <c r="AR1289" s="673"/>
      <c r="AS1289" s="673"/>
      <c r="AT1289" s="696"/>
    </row>
    <row r="1290" ht="15.75" customHeight="1">
      <c r="A1290" s="653"/>
      <c r="B1290" s="654"/>
      <c r="C1290" s="691"/>
      <c r="D1290" s="656"/>
      <c r="E1290" s="657"/>
      <c r="F1290" s="658"/>
      <c r="G1290" s="659"/>
      <c r="H1290" s="660"/>
      <c r="I1290" s="659"/>
      <c r="J1290" s="661"/>
      <c r="K1290" s="692"/>
      <c r="L1290" s="645"/>
      <c r="M1290" s="663"/>
      <c r="N1290" s="665"/>
      <c r="O1290" s="665"/>
      <c r="P1290" s="666"/>
      <c r="Q1290" s="667"/>
      <c r="R1290" s="668"/>
      <c r="S1290" s="693"/>
      <c r="T1290" s="694"/>
      <c r="U1290" s="694"/>
      <c r="V1290" s="693"/>
      <c r="W1290" s="693"/>
      <c r="X1290" s="693"/>
      <c r="Y1290" s="671"/>
      <c r="Z1290" s="673"/>
      <c r="AA1290" s="672"/>
      <c r="AB1290" s="695"/>
      <c r="AC1290" s="673"/>
      <c r="AD1290" s="673"/>
      <c r="AE1290" s="673"/>
      <c r="AF1290" s="673"/>
      <c r="AG1290" s="673"/>
      <c r="AH1290" s="673"/>
      <c r="AI1290" s="673"/>
      <c r="AJ1290" s="673"/>
      <c r="AK1290" s="673"/>
      <c r="AL1290" s="673"/>
      <c r="AM1290" s="673"/>
      <c r="AN1290" s="673"/>
      <c r="AO1290" s="673"/>
      <c r="AP1290" s="673"/>
      <c r="AQ1290" s="673"/>
      <c r="AR1290" s="673"/>
      <c r="AS1290" s="673"/>
      <c r="AT1290" s="696"/>
    </row>
    <row r="1291" ht="15.75" customHeight="1">
      <c r="A1291" s="653"/>
      <c r="B1291" s="654"/>
      <c r="C1291" s="691"/>
      <c r="D1291" s="656"/>
      <c r="E1291" s="657"/>
      <c r="F1291" s="658"/>
      <c r="G1291" s="659"/>
      <c r="H1291" s="660"/>
      <c r="I1291" s="659"/>
      <c r="J1291" s="661"/>
      <c r="K1291" s="692"/>
      <c r="L1291" s="645"/>
      <c r="M1291" s="663"/>
      <c r="N1291" s="665"/>
      <c r="O1291" s="665"/>
      <c r="P1291" s="666"/>
      <c r="Q1291" s="667"/>
      <c r="R1291" s="668"/>
      <c r="S1291" s="693"/>
      <c r="T1291" s="694"/>
      <c r="U1291" s="694"/>
      <c r="V1291" s="693"/>
      <c r="W1291" s="693"/>
      <c r="X1291" s="693"/>
      <c r="Y1291" s="671"/>
      <c r="Z1291" s="673"/>
      <c r="AA1291" s="672"/>
      <c r="AB1291" s="695"/>
      <c r="AC1291" s="673"/>
      <c r="AD1291" s="673"/>
      <c r="AE1291" s="673"/>
      <c r="AF1291" s="673"/>
      <c r="AG1291" s="673"/>
      <c r="AH1291" s="673"/>
      <c r="AI1291" s="673"/>
      <c r="AJ1291" s="673"/>
      <c r="AK1291" s="673"/>
      <c r="AL1291" s="673"/>
      <c r="AM1291" s="673"/>
      <c r="AN1291" s="673"/>
      <c r="AO1291" s="673"/>
      <c r="AP1291" s="673"/>
      <c r="AQ1291" s="673"/>
      <c r="AR1291" s="673"/>
      <c r="AS1291" s="673"/>
      <c r="AT1291" s="696"/>
    </row>
    <row r="1292" ht="15.75" customHeight="1">
      <c r="A1292" s="653"/>
      <c r="B1292" s="654"/>
      <c r="C1292" s="691"/>
      <c r="D1292" s="656"/>
      <c r="E1292" s="657"/>
      <c r="F1292" s="658"/>
      <c r="G1292" s="659"/>
      <c r="H1292" s="660"/>
      <c r="I1292" s="659"/>
      <c r="J1292" s="661"/>
      <c r="K1292" s="692"/>
      <c r="L1292" s="645"/>
      <c r="M1292" s="663"/>
      <c r="N1292" s="665"/>
      <c r="O1292" s="665"/>
      <c r="P1292" s="666"/>
      <c r="Q1292" s="667"/>
      <c r="R1292" s="668"/>
      <c r="S1292" s="693"/>
      <c r="T1292" s="694"/>
      <c r="U1292" s="694"/>
      <c r="V1292" s="693"/>
      <c r="W1292" s="693"/>
      <c r="X1292" s="693"/>
      <c r="Y1292" s="671"/>
      <c r="Z1292" s="673"/>
      <c r="AA1292" s="672"/>
      <c r="AB1292" s="695"/>
      <c r="AC1292" s="673"/>
      <c r="AD1292" s="673"/>
      <c r="AE1292" s="673"/>
      <c r="AF1292" s="673"/>
      <c r="AG1292" s="673"/>
      <c r="AH1292" s="673"/>
      <c r="AI1292" s="673"/>
      <c r="AJ1292" s="673"/>
      <c r="AK1292" s="673"/>
      <c r="AL1292" s="673"/>
      <c r="AM1292" s="673"/>
      <c r="AN1292" s="673"/>
      <c r="AO1292" s="673"/>
      <c r="AP1292" s="673"/>
      <c r="AQ1292" s="673"/>
      <c r="AR1292" s="673"/>
      <c r="AS1292" s="673"/>
      <c r="AT1292" s="696"/>
    </row>
    <row r="1293" ht="15.75" customHeight="1">
      <c r="A1293" s="653"/>
      <c r="B1293" s="654"/>
      <c r="C1293" s="691"/>
      <c r="D1293" s="656"/>
      <c r="E1293" s="657"/>
      <c r="F1293" s="658"/>
      <c r="G1293" s="659"/>
      <c r="H1293" s="660"/>
      <c r="I1293" s="659"/>
      <c r="J1293" s="661"/>
      <c r="K1293" s="692"/>
      <c r="L1293" s="645"/>
      <c r="M1293" s="663"/>
      <c r="N1293" s="665"/>
      <c r="O1293" s="665"/>
      <c r="P1293" s="666"/>
      <c r="Q1293" s="667"/>
      <c r="R1293" s="668"/>
      <c r="S1293" s="693"/>
      <c r="T1293" s="694"/>
      <c r="U1293" s="694"/>
      <c r="V1293" s="693"/>
      <c r="W1293" s="693"/>
      <c r="X1293" s="693"/>
      <c r="Y1293" s="671"/>
      <c r="Z1293" s="673"/>
      <c r="AA1293" s="672"/>
      <c r="AB1293" s="695"/>
      <c r="AC1293" s="673"/>
      <c r="AD1293" s="673"/>
      <c r="AE1293" s="673"/>
      <c r="AF1293" s="673"/>
      <c r="AG1293" s="673"/>
      <c r="AH1293" s="673"/>
      <c r="AI1293" s="673"/>
      <c r="AJ1293" s="673"/>
      <c r="AK1293" s="673"/>
      <c r="AL1293" s="673"/>
      <c r="AM1293" s="673"/>
      <c r="AN1293" s="673"/>
      <c r="AO1293" s="673"/>
      <c r="AP1293" s="673"/>
      <c r="AQ1293" s="673"/>
      <c r="AR1293" s="673"/>
      <c r="AS1293" s="673"/>
      <c r="AT1293" s="696"/>
    </row>
    <row r="1294" ht="15.75" customHeight="1">
      <c r="A1294" s="653"/>
      <c r="B1294" s="654"/>
      <c r="C1294" s="691"/>
      <c r="D1294" s="656"/>
      <c r="E1294" s="657"/>
      <c r="F1294" s="658"/>
      <c r="G1294" s="659"/>
      <c r="H1294" s="660"/>
      <c r="I1294" s="659"/>
      <c r="J1294" s="661"/>
      <c r="K1294" s="692"/>
      <c r="L1294" s="645"/>
      <c r="M1294" s="663"/>
      <c r="N1294" s="665"/>
      <c r="O1294" s="665"/>
      <c r="P1294" s="666"/>
      <c r="Q1294" s="667"/>
      <c r="R1294" s="668"/>
      <c r="S1294" s="693"/>
      <c r="T1294" s="694"/>
      <c r="U1294" s="694"/>
      <c r="V1294" s="693"/>
      <c r="W1294" s="693"/>
      <c r="X1294" s="693"/>
      <c r="Y1294" s="671"/>
      <c r="Z1294" s="673"/>
      <c r="AA1294" s="672"/>
      <c r="AB1294" s="695"/>
      <c r="AC1294" s="673"/>
      <c r="AD1294" s="673"/>
      <c r="AE1294" s="673"/>
      <c r="AF1294" s="673"/>
      <c r="AG1294" s="673"/>
      <c r="AH1294" s="673"/>
      <c r="AI1294" s="673"/>
      <c r="AJ1294" s="673"/>
      <c r="AK1294" s="673"/>
      <c r="AL1294" s="673"/>
      <c r="AM1294" s="673"/>
      <c r="AN1294" s="673"/>
      <c r="AO1294" s="673"/>
      <c r="AP1294" s="673"/>
      <c r="AQ1294" s="673"/>
      <c r="AR1294" s="673"/>
      <c r="AS1294" s="673"/>
      <c r="AT1294" s="696"/>
    </row>
    <row r="1295" ht="15.75" customHeight="1">
      <c r="A1295" s="653"/>
      <c r="B1295" s="654"/>
      <c r="C1295" s="691"/>
      <c r="D1295" s="656"/>
      <c r="E1295" s="657"/>
      <c r="F1295" s="658"/>
      <c r="G1295" s="659"/>
      <c r="H1295" s="660"/>
      <c r="I1295" s="659"/>
      <c r="J1295" s="661"/>
      <c r="K1295" s="692"/>
      <c r="L1295" s="645"/>
      <c r="M1295" s="663"/>
      <c r="N1295" s="665"/>
      <c r="O1295" s="665"/>
      <c r="P1295" s="666"/>
      <c r="Q1295" s="667"/>
      <c r="R1295" s="668"/>
      <c r="S1295" s="693"/>
      <c r="T1295" s="694"/>
      <c r="U1295" s="694"/>
      <c r="V1295" s="693"/>
      <c r="W1295" s="693"/>
      <c r="X1295" s="693"/>
      <c r="Y1295" s="671"/>
      <c r="Z1295" s="673"/>
      <c r="AA1295" s="672"/>
      <c r="AB1295" s="695"/>
      <c r="AC1295" s="673"/>
      <c r="AD1295" s="673"/>
      <c r="AE1295" s="673"/>
      <c r="AF1295" s="673"/>
      <c r="AG1295" s="673"/>
      <c r="AH1295" s="673"/>
      <c r="AI1295" s="673"/>
      <c r="AJ1295" s="673"/>
      <c r="AK1295" s="673"/>
      <c r="AL1295" s="673"/>
      <c r="AM1295" s="673"/>
      <c r="AN1295" s="673"/>
      <c r="AO1295" s="673"/>
      <c r="AP1295" s="673"/>
      <c r="AQ1295" s="673"/>
      <c r="AR1295" s="673"/>
      <c r="AS1295" s="673"/>
      <c r="AT1295" s="696"/>
    </row>
    <row r="1296" ht="15.75" customHeight="1">
      <c r="A1296" s="653"/>
      <c r="B1296" s="654"/>
      <c r="C1296" s="691"/>
      <c r="D1296" s="656"/>
      <c r="E1296" s="657"/>
      <c r="F1296" s="658"/>
      <c r="G1296" s="659"/>
      <c r="H1296" s="660"/>
      <c r="I1296" s="659"/>
      <c r="J1296" s="661"/>
      <c r="K1296" s="692"/>
      <c r="L1296" s="645"/>
      <c r="M1296" s="663"/>
      <c r="N1296" s="665"/>
      <c r="O1296" s="665"/>
      <c r="P1296" s="666"/>
      <c r="Q1296" s="667"/>
      <c r="R1296" s="668"/>
      <c r="S1296" s="693"/>
      <c r="T1296" s="694"/>
      <c r="U1296" s="694"/>
      <c r="V1296" s="693"/>
      <c r="W1296" s="693"/>
      <c r="X1296" s="693"/>
      <c r="Y1296" s="671"/>
      <c r="Z1296" s="673"/>
      <c r="AA1296" s="672"/>
      <c r="AB1296" s="695"/>
      <c r="AC1296" s="673"/>
      <c r="AD1296" s="673"/>
      <c r="AE1296" s="673"/>
      <c r="AF1296" s="673"/>
      <c r="AG1296" s="673"/>
      <c r="AH1296" s="673"/>
      <c r="AI1296" s="673"/>
      <c r="AJ1296" s="673"/>
      <c r="AK1296" s="673"/>
      <c r="AL1296" s="673"/>
      <c r="AM1296" s="673"/>
      <c r="AN1296" s="673"/>
      <c r="AO1296" s="673"/>
      <c r="AP1296" s="673"/>
      <c r="AQ1296" s="673"/>
      <c r="AR1296" s="673"/>
      <c r="AS1296" s="673"/>
      <c r="AT1296" s="696"/>
    </row>
    <row r="1297" ht="15.75" customHeight="1">
      <c r="A1297" s="653"/>
      <c r="B1297" s="654"/>
      <c r="C1297" s="691"/>
      <c r="D1297" s="656"/>
      <c r="E1297" s="657"/>
      <c r="F1297" s="658"/>
      <c r="G1297" s="659"/>
      <c r="H1297" s="660"/>
      <c r="I1297" s="659"/>
      <c r="J1297" s="661"/>
      <c r="K1297" s="692"/>
      <c r="L1297" s="645"/>
      <c r="M1297" s="663"/>
      <c r="N1297" s="665"/>
      <c r="O1297" s="665"/>
      <c r="P1297" s="666"/>
      <c r="Q1297" s="667"/>
      <c r="R1297" s="668"/>
      <c r="S1297" s="693"/>
      <c r="T1297" s="694"/>
      <c r="U1297" s="694"/>
      <c r="V1297" s="693"/>
      <c r="W1297" s="693"/>
      <c r="X1297" s="693"/>
      <c r="Y1297" s="671"/>
      <c r="Z1297" s="673"/>
      <c r="AA1297" s="672"/>
      <c r="AB1297" s="695"/>
      <c r="AC1297" s="673"/>
      <c r="AD1297" s="673"/>
      <c r="AE1297" s="673"/>
      <c r="AF1297" s="673"/>
      <c r="AG1297" s="673"/>
      <c r="AH1297" s="673"/>
      <c r="AI1297" s="673"/>
      <c r="AJ1297" s="673"/>
      <c r="AK1297" s="673"/>
      <c r="AL1297" s="673"/>
      <c r="AM1297" s="673"/>
      <c r="AN1297" s="673"/>
      <c r="AO1297" s="673"/>
      <c r="AP1297" s="673"/>
      <c r="AQ1297" s="673"/>
      <c r="AR1297" s="673"/>
      <c r="AS1297" s="673"/>
      <c r="AT1297" s="696"/>
    </row>
    <row r="1298" ht="15.75" customHeight="1">
      <c r="A1298" s="653"/>
      <c r="B1298" s="654"/>
      <c r="C1298" s="691"/>
      <c r="D1298" s="656"/>
      <c r="E1298" s="657"/>
      <c r="F1298" s="658"/>
      <c r="G1298" s="659"/>
      <c r="H1298" s="660"/>
      <c r="I1298" s="659"/>
      <c r="J1298" s="661"/>
      <c r="K1298" s="692"/>
      <c r="L1298" s="645"/>
      <c r="M1298" s="663"/>
      <c r="N1298" s="665"/>
      <c r="O1298" s="665"/>
      <c r="P1298" s="666"/>
      <c r="Q1298" s="667"/>
      <c r="R1298" s="668"/>
      <c r="S1298" s="693"/>
      <c r="T1298" s="694"/>
      <c r="U1298" s="694"/>
      <c r="V1298" s="693"/>
      <c r="W1298" s="693"/>
      <c r="X1298" s="693"/>
      <c r="Y1298" s="671"/>
      <c r="Z1298" s="673"/>
      <c r="AA1298" s="672"/>
      <c r="AB1298" s="695"/>
      <c r="AC1298" s="673"/>
      <c r="AD1298" s="673"/>
      <c r="AE1298" s="673"/>
      <c r="AF1298" s="673"/>
      <c r="AG1298" s="673"/>
      <c r="AH1298" s="673"/>
      <c r="AI1298" s="673"/>
      <c r="AJ1298" s="673"/>
      <c r="AK1298" s="673"/>
      <c r="AL1298" s="673"/>
      <c r="AM1298" s="673"/>
      <c r="AN1298" s="673"/>
      <c r="AO1298" s="673"/>
      <c r="AP1298" s="673"/>
      <c r="AQ1298" s="673"/>
      <c r="AR1298" s="673"/>
      <c r="AS1298" s="673"/>
      <c r="AT1298" s="696"/>
    </row>
    <row r="1299" ht="15.75" customHeight="1">
      <c r="A1299" s="653"/>
      <c r="B1299" s="654"/>
      <c r="C1299" s="691"/>
      <c r="D1299" s="656"/>
      <c r="E1299" s="657"/>
      <c r="F1299" s="658"/>
      <c r="G1299" s="659"/>
      <c r="H1299" s="660"/>
      <c r="I1299" s="659"/>
      <c r="J1299" s="661"/>
      <c r="K1299" s="692"/>
      <c r="L1299" s="645"/>
      <c r="M1299" s="663"/>
      <c r="N1299" s="665"/>
      <c r="O1299" s="665"/>
      <c r="P1299" s="666"/>
      <c r="Q1299" s="667"/>
      <c r="R1299" s="668"/>
      <c r="S1299" s="693"/>
      <c r="T1299" s="694"/>
      <c r="U1299" s="694"/>
      <c r="V1299" s="693"/>
      <c r="W1299" s="693"/>
      <c r="X1299" s="693"/>
      <c r="Y1299" s="671"/>
      <c r="Z1299" s="673"/>
      <c r="AA1299" s="672"/>
      <c r="AB1299" s="695"/>
      <c r="AC1299" s="673"/>
      <c r="AD1299" s="673"/>
      <c r="AE1299" s="673"/>
      <c r="AF1299" s="673"/>
      <c r="AG1299" s="673"/>
      <c r="AH1299" s="673"/>
      <c r="AI1299" s="673"/>
      <c r="AJ1299" s="673"/>
      <c r="AK1299" s="673"/>
      <c r="AL1299" s="673"/>
      <c r="AM1299" s="673"/>
      <c r="AN1299" s="673"/>
      <c r="AO1299" s="673"/>
      <c r="AP1299" s="673"/>
      <c r="AQ1299" s="673"/>
      <c r="AR1299" s="673"/>
      <c r="AS1299" s="673"/>
      <c r="AT1299" s="696"/>
    </row>
    <row r="1300" ht="15.75" customHeight="1">
      <c r="A1300" s="653"/>
      <c r="B1300" s="654"/>
      <c r="C1300" s="691"/>
      <c r="D1300" s="656"/>
      <c r="E1300" s="657"/>
      <c r="F1300" s="658"/>
      <c r="G1300" s="659"/>
      <c r="H1300" s="660"/>
      <c r="I1300" s="659"/>
      <c r="J1300" s="661"/>
      <c r="K1300" s="692"/>
      <c r="L1300" s="645"/>
      <c r="M1300" s="663"/>
      <c r="N1300" s="665"/>
      <c r="O1300" s="665"/>
      <c r="P1300" s="666"/>
      <c r="Q1300" s="667"/>
      <c r="R1300" s="668"/>
      <c r="S1300" s="693"/>
      <c r="T1300" s="694"/>
      <c r="U1300" s="694"/>
      <c r="V1300" s="693"/>
      <c r="W1300" s="693"/>
      <c r="X1300" s="693"/>
      <c r="Y1300" s="671"/>
      <c r="Z1300" s="673"/>
      <c r="AA1300" s="672"/>
      <c r="AB1300" s="695"/>
      <c r="AC1300" s="673"/>
      <c r="AD1300" s="673"/>
      <c r="AE1300" s="673"/>
      <c r="AF1300" s="673"/>
      <c r="AG1300" s="673"/>
      <c r="AH1300" s="673"/>
      <c r="AI1300" s="673"/>
      <c r="AJ1300" s="673"/>
      <c r="AK1300" s="673"/>
      <c r="AL1300" s="673"/>
      <c r="AM1300" s="673"/>
      <c r="AN1300" s="673"/>
      <c r="AO1300" s="673"/>
      <c r="AP1300" s="673"/>
      <c r="AQ1300" s="673"/>
      <c r="AR1300" s="673"/>
      <c r="AS1300" s="673"/>
      <c r="AT1300" s="696"/>
    </row>
    <row r="1301" ht="15.75" customHeight="1">
      <c r="A1301" s="653"/>
      <c r="B1301" s="654"/>
      <c r="C1301" s="691"/>
      <c r="D1301" s="656"/>
      <c r="E1301" s="657"/>
      <c r="F1301" s="658"/>
      <c r="G1301" s="659"/>
      <c r="H1301" s="660"/>
      <c r="I1301" s="659"/>
      <c r="J1301" s="661"/>
      <c r="K1301" s="692"/>
      <c r="L1301" s="645"/>
      <c r="M1301" s="663"/>
      <c r="N1301" s="665"/>
      <c r="O1301" s="665"/>
      <c r="P1301" s="666"/>
      <c r="Q1301" s="667"/>
      <c r="R1301" s="668"/>
      <c r="S1301" s="693"/>
      <c r="T1301" s="694"/>
      <c r="U1301" s="694"/>
      <c r="V1301" s="693"/>
      <c r="W1301" s="693"/>
      <c r="X1301" s="693"/>
      <c r="Y1301" s="671"/>
      <c r="Z1301" s="673"/>
      <c r="AA1301" s="672"/>
      <c r="AB1301" s="695"/>
      <c r="AC1301" s="673"/>
      <c r="AD1301" s="673"/>
      <c r="AE1301" s="673"/>
      <c r="AF1301" s="673"/>
      <c r="AG1301" s="673"/>
      <c r="AH1301" s="673"/>
      <c r="AI1301" s="673"/>
      <c r="AJ1301" s="673"/>
      <c r="AK1301" s="673"/>
      <c r="AL1301" s="673"/>
      <c r="AM1301" s="673"/>
      <c r="AN1301" s="673"/>
      <c r="AO1301" s="673"/>
      <c r="AP1301" s="673"/>
      <c r="AQ1301" s="673"/>
      <c r="AR1301" s="673"/>
      <c r="AS1301" s="673"/>
      <c r="AT1301" s="696"/>
    </row>
    <row r="1302" ht="15.75" customHeight="1">
      <c r="A1302" s="653"/>
      <c r="B1302" s="654"/>
      <c r="C1302" s="691"/>
      <c r="D1302" s="656"/>
      <c r="E1302" s="657"/>
      <c r="F1302" s="658"/>
      <c r="G1302" s="659"/>
      <c r="H1302" s="660"/>
      <c r="I1302" s="659"/>
      <c r="J1302" s="661"/>
      <c r="K1302" s="692"/>
      <c r="L1302" s="645"/>
      <c r="M1302" s="663"/>
      <c r="N1302" s="665"/>
      <c r="O1302" s="665"/>
      <c r="P1302" s="666"/>
      <c r="Q1302" s="667"/>
      <c r="R1302" s="668"/>
      <c r="S1302" s="693"/>
      <c r="T1302" s="694"/>
      <c r="U1302" s="694"/>
      <c r="V1302" s="693"/>
      <c r="W1302" s="693"/>
      <c r="X1302" s="693"/>
      <c r="Y1302" s="671"/>
      <c r="Z1302" s="673"/>
      <c r="AA1302" s="672"/>
      <c r="AB1302" s="695"/>
      <c r="AC1302" s="673"/>
      <c r="AD1302" s="673"/>
      <c r="AE1302" s="673"/>
      <c r="AF1302" s="673"/>
      <c r="AG1302" s="673"/>
      <c r="AH1302" s="673"/>
      <c r="AI1302" s="673"/>
      <c r="AJ1302" s="673"/>
      <c r="AK1302" s="673"/>
      <c r="AL1302" s="673"/>
      <c r="AM1302" s="673"/>
      <c r="AN1302" s="673"/>
      <c r="AO1302" s="673"/>
      <c r="AP1302" s="673"/>
      <c r="AQ1302" s="673"/>
      <c r="AR1302" s="673"/>
      <c r="AS1302" s="673"/>
      <c r="AT1302" s="696"/>
    </row>
    <row r="1303" ht="15.75" customHeight="1">
      <c r="A1303" s="653"/>
      <c r="B1303" s="654"/>
      <c r="C1303" s="691"/>
      <c r="D1303" s="656"/>
      <c r="E1303" s="657"/>
      <c r="F1303" s="658"/>
      <c r="G1303" s="659"/>
      <c r="H1303" s="660"/>
      <c r="I1303" s="659"/>
      <c r="J1303" s="661"/>
      <c r="K1303" s="692"/>
      <c r="L1303" s="645"/>
      <c r="M1303" s="663"/>
      <c r="N1303" s="665"/>
      <c r="O1303" s="665"/>
      <c r="P1303" s="666"/>
      <c r="Q1303" s="667"/>
      <c r="R1303" s="668"/>
      <c r="S1303" s="693"/>
      <c r="T1303" s="694"/>
      <c r="U1303" s="694"/>
      <c r="V1303" s="693"/>
      <c r="W1303" s="693"/>
      <c r="X1303" s="693"/>
      <c r="Y1303" s="671"/>
      <c r="Z1303" s="673"/>
      <c r="AA1303" s="672"/>
      <c r="AB1303" s="695"/>
      <c r="AC1303" s="673"/>
      <c r="AD1303" s="673"/>
      <c r="AE1303" s="673"/>
      <c r="AF1303" s="673"/>
      <c r="AG1303" s="673"/>
      <c r="AH1303" s="673"/>
      <c r="AI1303" s="673"/>
      <c r="AJ1303" s="673"/>
      <c r="AK1303" s="673"/>
      <c r="AL1303" s="673"/>
      <c r="AM1303" s="673"/>
      <c r="AN1303" s="673"/>
      <c r="AO1303" s="673"/>
      <c r="AP1303" s="673"/>
      <c r="AQ1303" s="673"/>
      <c r="AR1303" s="673"/>
      <c r="AS1303" s="673"/>
      <c r="AT1303" s="696"/>
    </row>
    <row r="1304" ht="15.75" customHeight="1">
      <c r="A1304" s="653"/>
      <c r="B1304" s="654"/>
      <c r="C1304" s="691"/>
      <c r="D1304" s="656"/>
      <c r="E1304" s="657"/>
      <c r="F1304" s="658"/>
      <c r="G1304" s="659"/>
      <c r="H1304" s="660"/>
      <c r="I1304" s="659"/>
      <c r="J1304" s="661"/>
      <c r="K1304" s="692"/>
      <c r="L1304" s="645"/>
      <c r="M1304" s="663"/>
      <c r="N1304" s="665"/>
      <c r="O1304" s="665"/>
      <c r="P1304" s="666"/>
      <c r="Q1304" s="667"/>
      <c r="R1304" s="668"/>
      <c r="S1304" s="693"/>
      <c r="T1304" s="694"/>
      <c r="U1304" s="694"/>
      <c r="V1304" s="693"/>
      <c r="W1304" s="693"/>
      <c r="X1304" s="693"/>
      <c r="Y1304" s="671"/>
      <c r="Z1304" s="673"/>
      <c r="AA1304" s="672"/>
      <c r="AB1304" s="695"/>
      <c r="AC1304" s="673"/>
      <c r="AD1304" s="673"/>
      <c r="AE1304" s="673"/>
      <c r="AF1304" s="673"/>
      <c r="AG1304" s="673"/>
      <c r="AH1304" s="673"/>
      <c r="AI1304" s="673"/>
      <c r="AJ1304" s="673"/>
      <c r="AK1304" s="673"/>
      <c r="AL1304" s="673"/>
      <c r="AM1304" s="673"/>
      <c r="AN1304" s="673"/>
      <c r="AO1304" s="673"/>
      <c r="AP1304" s="673"/>
      <c r="AQ1304" s="673"/>
      <c r="AR1304" s="673"/>
      <c r="AS1304" s="673"/>
      <c r="AT1304" s="696"/>
    </row>
    <row r="1305" ht="15.75" customHeight="1">
      <c r="A1305" s="653"/>
      <c r="B1305" s="654"/>
      <c r="C1305" s="691"/>
      <c r="D1305" s="656"/>
      <c r="E1305" s="657"/>
      <c r="F1305" s="658"/>
      <c r="G1305" s="659"/>
      <c r="H1305" s="660"/>
      <c r="I1305" s="659"/>
      <c r="J1305" s="661"/>
      <c r="K1305" s="692"/>
      <c r="L1305" s="645"/>
      <c r="M1305" s="663"/>
      <c r="N1305" s="665"/>
      <c r="O1305" s="665"/>
      <c r="P1305" s="666"/>
      <c r="Q1305" s="667"/>
      <c r="R1305" s="668"/>
      <c r="S1305" s="693"/>
      <c r="T1305" s="694"/>
      <c r="U1305" s="694"/>
      <c r="V1305" s="693"/>
      <c r="W1305" s="693"/>
      <c r="X1305" s="693"/>
      <c r="Y1305" s="671"/>
      <c r="Z1305" s="673"/>
      <c r="AA1305" s="672"/>
      <c r="AB1305" s="695"/>
      <c r="AC1305" s="673"/>
      <c r="AD1305" s="673"/>
      <c r="AE1305" s="673"/>
      <c r="AF1305" s="673"/>
      <c r="AG1305" s="673"/>
      <c r="AH1305" s="673"/>
      <c r="AI1305" s="673"/>
      <c r="AJ1305" s="673"/>
      <c r="AK1305" s="673"/>
      <c r="AL1305" s="673"/>
      <c r="AM1305" s="673"/>
      <c r="AN1305" s="673"/>
      <c r="AO1305" s="673"/>
      <c r="AP1305" s="673"/>
      <c r="AQ1305" s="673"/>
      <c r="AR1305" s="673"/>
      <c r="AS1305" s="673"/>
      <c r="AT1305" s="696"/>
    </row>
    <row r="1306" ht="15.75" customHeight="1">
      <c r="A1306" s="653"/>
      <c r="B1306" s="654"/>
      <c r="C1306" s="691"/>
      <c r="D1306" s="656"/>
      <c r="E1306" s="657"/>
      <c r="F1306" s="658"/>
      <c r="G1306" s="659"/>
      <c r="H1306" s="660"/>
      <c r="I1306" s="659"/>
      <c r="J1306" s="661"/>
      <c r="K1306" s="692"/>
      <c r="L1306" s="645"/>
      <c r="M1306" s="663"/>
      <c r="N1306" s="665"/>
      <c r="O1306" s="665"/>
      <c r="P1306" s="666"/>
      <c r="Q1306" s="667"/>
      <c r="R1306" s="668"/>
      <c r="S1306" s="693"/>
      <c r="T1306" s="694"/>
      <c r="U1306" s="694"/>
      <c r="V1306" s="693"/>
      <c r="W1306" s="693"/>
      <c r="X1306" s="693"/>
      <c r="Y1306" s="671"/>
      <c r="Z1306" s="673"/>
      <c r="AA1306" s="672"/>
      <c r="AB1306" s="695"/>
      <c r="AC1306" s="673"/>
      <c r="AD1306" s="673"/>
      <c r="AE1306" s="673"/>
      <c r="AF1306" s="673"/>
      <c r="AG1306" s="673"/>
      <c r="AH1306" s="673"/>
      <c r="AI1306" s="673"/>
      <c r="AJ1306" s="673"/>
      <c r="AK1306" s="673"/>
      <c r="AL1306" s="673"/>
      <c r="AM1306" s="673"/>
      <c r="AN1306" s="673"/>
      <c r="AO1306" s="673"/>
      <c r="AP1306" s="673"/>
      <c r="AQ1306" s="673"/>
      <c r="AR1306" s="673"/>
      <c r="AS1306" s="673"/>
      <c r="AT1306" s="696"/>
    </row>
    <row r="1307" ht="15.75" customHeight="1">
      <c r="A1307" s="653"/>
      <c r="B1307" s="654"/>
      <c r="C1307" s="691"/>
      <c r="D1307" s="656"/>
      <c r="E1307" s="657"/>
      <c r="F1307" s="658"/>
      <c r="G1307" s="659"/>
      <c r="H1307" s="660"/>
      <c r="I1307" s="659"/>
      <c r="J1307" s="661"/>
      <c r="K1307" s="692"/>
      <c r="L1307" s="645"/>
      <c r="M1307" s="663"/>
      <c r="N1307" s="665"/>
      <c r="O1307" s="665"/>
      <c r="P1307" s="666"/>
      <c r="Q1307" s="667"/>
      <c r="R1307" s="668"/>
      <c r="S1307" s="693"/>
      <c r="T1307" s="694"/>
      <c r="U1307" s="694"/>
      <c r="V1307" s="693"/>
      <c r="W1307" s="693"/>
      <c r="X1307" s="693"/>
      <c r="Y1307" s="671"/>
      <c r="Z1307" s="673"/>
      <c r="AA1307" s="672"/>
      <c r="AB1307" s="695"/>
      <c r="AC1307" s="673"/>
      <c r="AD1307" s="673"/>
      <c r="AE1307" s="673"/>
      <c r="AF1307" s="673"/>
      <c r="AG1307" s="673"/>
      <c r="AH1307" s="673"/>
      <c r="AI1307" s="673"/>
      <c r="AJ1307" s="673"/>
      <c r="AK1307" s="673"/>
      <c r="AL1307" s="673"/>
      <c r="AM1307" s="673"/>
      <c r="AN1307" s="673"/>
      <c r="AO1307" s="673"/>
      <c r="AP1307" s="673"/>
      <c r="AQ1307" s="673"/>
      <c r="AR1307" s="673"/>
      <c r="AS1307" s="673"/>
      <c r="AT1307" s="696"/>
    </row>
    <row r="1308" ht="15.75" customHeight="1">
      <c r="A1308" s="653"/>
      <c r="B1308" s="654"/>
      <c r="C1308" s="691"/>
      <c r="D1308" s="656"/>
      <c r="E1308" s="657"/>
      <c r="F1308" s="658"/>
      <c r="G1308" s="659"/>
      <c r="H1308" s="660"/>
      <c r="I1308" s="659"/>
      <c r="J1308" s="661"/>
      <c r="K1308" s="692"/>
      <c r="L1308" s="645"/>
      <c r="M1308" s="663"/>
      <c r="N1308" s="665"/>
      <c r="O1308" s="665"/>
      <c r="P1308" s="666"/>
      <c r="Q1308" s="667"/>
      <c r="R1308" s="668"/>
      <c r="S1308" s="693"/>
      <c r="T1308" s="694"/>
      <c r="U1308" s="694"/>
      <c r="V1308" s="693"/>
      <c r="W1308" s="693"/>
      <c r="X1308" s="693"/>
      <c r="Y1308" s="671"/>
      <c r="Z1308" s="673"/>
      <c r="AA1308" s="672"/>
      <c r="AB1308" s="695"/>
      <c r="AC1308" s="673"/>
      <c r="AD1308" s="673"/>
      <c r="AE1308" s="673"/>
      <c r="AF1308" s="673"/>
      <c r="AG1308" s="673"/>
      <c r="AH1308" s="673"/>
      <c r="AI1308" s="673"/>
      <c r="AJ1308" s="673"/>
      <c r="AK1308" s="673"/>
      <c r="AL1308" s="673"/>
      <c r="AM1308" s="673"/>
      <c r="AN1308" s="673"/>
      <c r="AO1308" s="673"/>
      <c r="AP1308" s="673"/>
      <c r="AQ1308" s="673"/>
      <c r="AR1308" s="673"/>
      <c r="AS1308" s="673"/>
      <c r="AT1308" s="696"/>
    </row>
    <row r="1309" ht="15.75" customHeight="1">
      <c r="A1309" s="653"/>
      <c r="B1309" s="654"/>
      <c r="C1309" s="691"/>
      <c r="D1309" s="656"/>
      <c r="E1309" s="657"/>
      <c r="F1309" s="658"/>
      <c r="G1309" s="659"/>
      <c r="H1309" s="660"/>
      <c r="I1309" s="659"/>
      <c r="J1309" s="661"/>
      <c r="K1309" s="692"/>
      <c r="L1309" s="645"/>
      <c r="M1309" s="663"/>
      <c r="N1309" s="665"/>
      <c r="O1309" s="665"/>
      <c r="P1309" s="666"/>
      <c r="Q1309" s="667"/>
      <c r="R1309" s="668"/>
      <c r="S1309" s="693"/>
      <c r="T1309" s="694"/>
      <c r="U1309" s="694"/>
      <c r="V1309" s="693"/>
      <c r="W1309" s="693"/>
      <c r="X1309" s="693"/>
      <c r="Y1309" s="671"/>
      <c r="Z1309" s="673"/>
      <c r="AA1309" s="672"/>
      <c r="AB1309" s="695"/>
      <c r="AC1309" s="673"/>
      <c r="AD1309" s="673"/>
      <c r="AE1309" s="673"/>
      <c r="AF1309" s="673"/>
      <c r="AG1309" s="673"/>
      <c r="AH1309" s="673"/>
      <c r="AI1309" s="673"/>
      <c r="AJ1309" s="673"/>
      <c r="AK1309" s="673"/>
      <c r="AL1309" s="673"/>
      <c r="AM1309" s="673"/>
      <c r="AN1309" s="673"/>
      <c r="AO1309" s="673"/>
      <c r="AP1309" s="673"/>
      <c r="AQ1309" s="673"/>
      <c r="AR1309" s="673"/>
      <c r="AS1309" s="673"/>
      <c r="AT1309" s="696"/>
    </row>
    <row r="1310" ht="15.75" customHeight="1">
      <c r="A1310" s="653"/>
      <c r="B1310" s="654"/>
      <c r="C1310" s="691"/>
      <c r="D1310" s="656"/>
      <c r="E1310" s="657"/>
      <c r="F1310" s="658"/>
      <c r="G1310" s="659"/>
      <c r="H1310" s="660"/>
      <c r="I1310" s="659"/>
      <c r="J1310" s="661"/>
      <c r="K1310" s="692"/>
      <c r="L1310" s="645"/>
      <c r="M1310" s="663"/>
      <c r="N1310" s="665"/>
      <c r="O1310" s="665"/>
      <c r="P1310" s="666"/>
      <c r="Q1310" s="667"/>
      <c r="R1310" s="668"/>
      <c r="S1310" s="693"/>
      <c r="T1310" s="694"/>
      <c r="U1310" s="694"/>
      <c r="V1310" s="693"/>
      <c r="W1310" s="693"/>
      <c r="X1310" s="693"/>
      <c r="Y1310" s="671"/>
      <c r="Z1310" s="673"/>
      <c r="AA1310" s="672"/>
      <c r="AB1310" s="695"/>
      <c r="AC1310" s="673"/>
      <c r="AD1310" s="673"/>
      <c r="AE1310" s="673"/>
      <c r="AF1310" s="673"/>
      <c r="AG1310" s="673"/>
      <c r="AH1310" s="673"/>
      <c r="AI1310" s="673"/>
      <c r="AJ1310" s="673"/>
      <c r="AK1310" s="673"/>
      <c r="AL1310" s="673"/>
      <c r="AM1310" s="673"/>
      <c r="AN1310" s="673"/>
      <c r="AO1310" s="673"/>
      <c r="AP1310" s="673"/>
      <c r="AQ1310" s="673"/>
      <c r="AR1310" s="673"/>
      <c r="AS1310" s="673"/>
      <c r="AT1310" s="696"/>
    </row>
    <row r="1311" ht="15.75" customHeight="1">
      <c r="A1311" s="653"/>
      <c r="B1311" s="654"/>
      <c r="C1311" s="691"/>
      <c r="D1311" s="656"/>
      <c r="E1311" s="657"/>
      <c r="F1311" s="658"/>
      <c r="G1311" s="659"/>
      <c r="H1311" s="660"/>
      <c r="I1311" s="659"/>
      <c r="J1311" s="661"/>
      <c r="K1311" s="692"/>
      <c r="L1311" s="645"/>
      <c r="M1311" s="663"/>
      <c r="N1311" s="665"/>
      <c r="O1311" s="665"/>
      <c r="P1311" s="666"/>
      <c r="Q1311" s="667"/>
      <c r="R1311" s="668"/>
      <c r="S1311" s="693"/>
      <c r="T1311" s="694"/>
      <c r="U1311" s="694"/>
      <c r="V1311" s="693"/>
      <c r="W1311" s="693"/>
      <c r="X1311" s="693"/>
      <c r="Y1311" s="671"/>
      <c r="Z1311" s="673"/>
      <c r="AA1311" s="672"/>
      <c r="AB1311" s="695"/>
      <c r="AC1311" s="673"/>
      <c r="AD1311" s="673"/>
      <c r="AE1311" s="673"/>
      <c r="AF1311" s="673"/>
      <c r="AG1311" s="673"/>
      <c r="AH1311" s="673"/>
      <c r="AI1311" s="673"/>
      <c r="AJ1311" s="673"/>
      <c r="AK1311" s="673"/>
      <c r="AL1311" s="673"/>
      <c r="AM1311" s="673"/>
      <c r="AN1311" s="673"/>
      <c r="AO1311" s="673"/>
      <c r="AP1311" s="673"/>
      <c r="AQ1311" s="673"/>
      <c r="AR1311" s="673"/>
      <c r="AS1311" s="673"/>
      <c r="AT1311" s="696"/>
    </row>
    <row r="1312" ht="15.75" customHeight="1">
      <c r="A1312" s="653"/>
      <c r="B1312" s="654"/>
      <c r="C1312" s="691"/>
      <c r="D1312" s="656"/>
      <c r="E1312" s="657"/>
      <c r="F1312" s="658"/>
      <c r="G1312" s="659"/>
      <c r="H1312" s="660"/>
      <c r="I1312" s="659"/>
      <c r="J1312" s="661"/>
      <c r="K1312" s="692"/>
      <c r="L1312" s="645"/>
      <c r="M1312" s="663"/>
      <c r="N1312" s="665"/>
      <c r="O1312" s="665"/>
      <c r="P1312" s="666"/>
      <c r="Q1312" s="667"/>
      <c r="R1312" s="668"/>
      <c r="S1312" s="693"/>
      <c r="T1312" s="694"/>
      <c r="U1312" s="694"/>
      <c r="V1312" s="693"/>
      <c r="W1312" s="693"/>
      <c r="X1312" s="693"/>
      <c r="Y1312" s="671"/>
      <c r="Z1312" s="673"/>
      <c r="AA1312" s="672"/>
      <c r="AB1312" s="695"/>
      <c r="AC1312" s="673"/>
      <c r="AD1312" s="673"/>
      <c r="AE1312" s="673"/>
      <c r="AF1312" s="673"/>
      <c r="AG1312" s="673"/>
      <c r="AH1312" s="673"/>
      <c r="AI1312" s="673"/>
      <c r="AJ1312" s="673"/>
      <c r="AK1312" s="673"/>
      <c r="AL1312" s="673"/>
      <c r="AM1312" s="673"/>
      <c r="AN1312" s="673"/>
      <c r="AO1312" s="673"/>
      <c r="AP1312" s="673"/>
      <c r="AQ1312" s="673"/>
      <c r="AR1312" s="673"/>
      <c r="AS1312" s="673"/>
      <c r="AT1312" s="696"/>
    </row>
    <row r="1313" ht="15.75" customHeight="1">
      <c r="A1313" s="653"/>
      <c r="B1313" s="654"/>
      <c r="C1313" s="691"/>
      <c r="D1313" s="656"/>
      <c r="E1313" s="657"/>
      <c r="F1313" s="658"/>
      <c r="G1313" s="659"/>
      <c r="H1313" s="660"/>
      <c r="I1313" s="659"/>
      <c r="J1313" s="661"/>
      <c r="K1313" s="692"/>
      <c r="L1313" s="645"/>
      <c r="M1313" s="663"/>
      <c r="N1313" s="665"/>
      <c r="O1313" s="665"/>
      <c r="P1313" s="666"/>
      <c r="Q1313" s="667"/>
      <c r="R1313" s="668"/>
      <c r="S1313" s="693"/>
      <c r="T1313" s="694"/>
      <c r="U1313" s="694"/>
      <c r="V1313" s="693"/>
      <c r="W1313" s="693"/>
      <c r="X1313" s="693"/>
      <c r="Y1313" s="671"/>
      <c r="Z1313" s="673"/>
      <c r="AA1313" s="672"/>
      <c r="AB1313" s="695"/>
      <c r="AC1313" s="673"/>
      <c r="AD1313" s="673"/>
      <c r="AE1313" s="673"/>
      <c r="AF1313" s="673"/>
      <c r="AG1313" s="673"/>
      <c r="AH1313" s="673"/>
      <c r="AI1313" s="673"/>
      <c r="AJ1313" s="673"/>
      <c r="AK1313" s="673"/>
      <c r="AL1313" s="673"/>
      <c r="AM1313" s="673"/>
      <c r="AN1313" s="673"/>
      <c r="AO1313" s="673"/>
      <c r="AP1313" s="673"/>
      <c r="AQ1313" s="673"/>
      <c r="AR1313" s="673"/>
      <c r="AS1313" s="673"/>
      <c r="AT1313" s="696"/>
    </row>
    <row r="1314" ht="15.75" customHeight="1">
      <c r="A1314" s="653"/>
      <c r="B1314" s="654"/>
      <c r="C1314" s="691"/>
      <c r="D1314" s="656"/>
      <c r="E1314" s="657"/>
      <c r="F1314" s="658"/>
      <c r="G1314" s="659"/>
      <c r="H1314" s="660"/>
      <c r="I1314" s="659"/>
      <c r="J1314" s="661"/>
      <c r="K1314" s="692"/>
      <c r="L1314" s="645"/>
      <c r="M1314" s="663"/>
      <c r="N1314" s="665"/>
      <c r="O1314" s="665"/>
      <c r="P1314" s="666"/>
      <c r="Q1314" s="667"/>
      <c r="R1314" s="668"/>
      <c r="S1314" s="693"/>
      <c r="T1314" s="694"/>
      <c r="U1314" s="694"/>
      <c r="V1314" s="693"/>
      <c r="W1314" s="693"/>
      <c r="X1314" s="693"/>
      <c r="Y1314" s="671"/>
      <c r="Z1314" s="673"/>
      <c r="AA1314" s="672"/>
      <c r="AB1314" s="695"/>
      <c r="AC1314" s="673"/>
      <c r="AD1314" s="673"/>
      <c r="AE1314" s="673"/>
      <c r="AF1314" s="673"/>
      <c r="AG1314" s="673"/>
      <c r="AH1314" s="673"/>
      <c r="AI1314" s="673"/>
      <c r="AJ1314" s="673"/>
      <c r="AK1314" s="673"/>
      <c r="AL1314" s="673"/>
      <c r="AM1314" s="673"/>
      <c r="AN1314" s="673"/>
      <c r="AO1314" s="673"/>
      <c r="AP1314" s="673"/>
      <c r="AQ1314" s="673"/>
      <c r="AR1314" s="673"/>
      <c r="AS1314" s="673"/>
      <c r="AT1314" s="696"/>
    </row>
    <row r="1315" ht="15.75" customHeight="1">
      <c r="A1315" s="653"/>
      <c r="B1315" s="654"/>
      <c r="C1315" s="691"/>
      <c r="D1315" s="656"/>
      <c r="E1315" s="657"/>
      <c r="F1315" s="658"/>
      <c r="G1315" s="659"/>
      <c r="H1315" s="660"/>
      <c r="I1315" s="659"/>
      <c r="J1315" s="661"/>
      <c r="K1315" s="692"/>
      <c r="L1315" s="645"/>
      <c r="M1315" s="663"/>
      <c r="N1315" s="665"/>
      <c r="O1315" s="665"/>
      <c r="P1315" s="666"/>
      <c r="Q1315" s="667"/>
      <c r="R1315" s="668"/>
      <c r="S1315" s="693"/>
      <c r="T1315" s="694"/>
      <c r="U1315" s="694"/>
      <c r="V1315" s="693"/>
      <c r="W1315" s="693"/>
      <c r="X1315" s="693"/>
      <c r="Y1315" s="671"/>
      <c r="Z1315" s="673"/>
      <c r="AA1315" s="672"/>
      <c r="AB1315" s="695"/>
      <c r="AC1315" s="673"/>
      <c r="AD1315" s="673"/>
      <c r="AE1315" s="673"/>
      <c r="AF1315" s="673"/>
      <c r="AG1315" s="673"/>
      <c r="AH1315" s="673"/>
      <c r="AI1315" s="673"/>
      <c r="AJ1315" s="673"/>
      <c r="AK1315" s="673"/>
      <c r="AL1315" s="673"/>
      <c r="AM1315" s="673"/>
      <c r="AN1315" s="673"/>
      <c r="AO1315" s="673"/>
      <c r="AP1315" s="673"/>
      <c r="AQ1315" s="673"/>
      <c r="AR1315" s="673"/>
      <c r="AS1315" s="673"/>
      <c r="AT1315" s="696"/>
    </row>
    <row r="1316" ht="15.75" customHeight="1">
      <c r="A1316" s="653"/>
      <c r="B1316" s="654"/>
      <c r="C1316" s="691"/>
      <c r="D1316" s="656"/>
      <c r="E1316" s="657"/>
      <c r="F1316" s="658"/>
      <c r="G1316" s="659"/>
      <c r="H1316" s="660"/>
      <c r="I1316" s="659"/>
      <c r="J1316" s="661"/>
      <c r="K1316" s="692"/>
      <c r="L1316" s="645"/>
      <c r="M1316" s="663"/>
      <c r="N1316" s="665"/>
      <c r="O1316" s="665"/>
      <c r="P1316" s="666"/>
      <c r="Q1316" s="667"/>
      <c r="R1316" s="668"/>
      <c r="S1316" s="693"/>
      <c r="T1316" s="694"/>
      <c r="U1316" s="694"/>
      <c r="V1316" s="693"/>
      <c r="W1316" s="693"/>
      <c r="X1316" s="693"/>
      <c r="Y1316" s="671"/>
      <c r="Z1316" s="673"/>
      <c r="AA1316" s="672"/>
      <c r="AB1316" s="695"/>
      <c r="AC1316" s="673"/>
      <c r="AD1316" s="673"/>
      <c r="AE1316" s="673"/>
      <c r="AF1316" s="673"/>
      <c r="AG1316" s="673"/>
      <c r="AH1316" s="673"/>
      <c r="AI1316" s="673"/>
      <c r="AJ1316" s="673"/>
      <c r="AK1316" s="673"/>
      <c r="AL1316" s="673"/>
      <c r="AM1316" s="673"/>
      <c r="AN1316" s="673"/>
      <c r="AO1316" s="673"/>
      <c r="AP1316" s="673"/>
      <c r="AQ1316" s="673"/>
      <c r="AR1316" s="673"/>
      <c r="AS1316" s="673"/>
      <c r="AT1316" s="696"/>
    </row>
    <row r="1317" ht="15.75" customHeight="1">
      <c r="A1317" s="653"/>
      <c r="B1317" s="654"/>
      <c r="C1317" s="691"/>
      <c r="D1317" s="656"/>
      <c r="E1317" s="657"/>
      <c r="F1317" s="658"/>
      <c r="G1317" s="659"/>
      <c r="H1317" s="660"/>
      <c r="I1317" s="659"/>
      <c r="J1317" s="661"/>
      <c r="K1317" s="692"/>
      <c r="L1317" s="645"/>
      <c r="M1317" s="663"/>
      <c r="N1317" s="665"/>
      <c r="O1317" s="665"/>
      <c r="P1317" s="666"/>
      <c r="Q1317" s="667"/>
      <c r="R1317" s="668"/>
      <c r="S1317" s="693"/>
      <c r="T1317" s="694"/>
      <c r="U1317" s="694"/>
      <c r="V1317" s="693"/>
      <c r="W1317" s="693"/>
      <c r="X1317" s="693"/>
      <c r="Y1317" s="671"/>
      <c r="Z1317" s="673"/>
      <c r="AA1317" s="672"/>
      <c r="AB1317" s="695"/>
      <c r="AC1317" s="673"/>
      <c r="AD1317" s="673"/>
      <c r="AE1317" s="673"/>
      <c r="AF1317" s="673"/>
      <c r="AG1317" s="673"/>
      <c r="AH1317" s="673"/>
      <c r="AI1317" s="673"/>
      <c r="AJ1317" s="673"/>
      <c r="AK1317" s="673"/>
      <c r="AL1317" s="673"/>
      <c r="AM1317" s="673"/>
      <c r="AN1317" s="673"/>
      <c r="AO1317" s="673"/>
      <c r="AP1317" s="673"/>
      <c r="AQ1317" s="673"/>
      <c r="AR1317" s="673"/>
      <c r="AS1317" s="673"/>
      <c r="AT1317" s="696"/>
    </row>
    <row r="1318" ht="15.75" customHeight="1">
      <c r="A1318" s="653"/>
      <c r="B1318" s="654"/>
      <c r="C1318" s="691"/>
      <c r="D1318" s="656"/>
      <c r="E1318" s="657"/>
      <c r="F1318" s="658"/>
      <c r="G1318" s="659"/>
      <c r="H1318" s="660"/>
      <c r="I1318" s="659"/>
      <c r="J1318" s="661"/>
      <c r="K1318" s="692"/>
      <c r="L1318" s="645"/>
      <c r="M1318" s="663"/>
      <c r="N1318" s="665"/>
      <c r="O1318" s="665"/>
      <c r="P1318" s="666"/>
      <c r="Q1318" s="667"/>
      <c r="R1318" s="668"/>
      <c r="S1318" s="693"/>
      <c r="T1318" s="694"/>
      <c r="U1318" s="694"/>
      <c r="V1318" s="693"/>
      <c r="W1318" s="693"/>
      <c r="X1318" s="693"/>
      <c r="Y1318" s="671"/>
      <c r="Z1318" s="673"/>
      <c r="AA1318" s="672"/>
      <c r="AB1318" s="695"/>
      <c r="AC1318" s="673"/>
      <c r="AD1318" s="673"/>
      <c r="AE1318" s="673"/>
      <c r="AF1318" s="673"/>
      <c r="AG1318" s="673"/>
      <c r="AH1318" s="673"/>
      <c r="AI1318" s="673"/>
      <c r="AJ1318" s="673"/>
      <c r="AK1318" s="673"/>
      <c r="AL1318" s="673"/>
      <c r="AM1318" s="673"/>
      <c r="AN1318" s="673"/>
      <c r="AO1318" s="673"/>
      <c r="AP1318" s="673"/>
      <c r="AQ1318" s="673"/>
      <c r="AR1318" s="673"/>
      <c r="AS1318" s="673"/>
      <c r="AT1318" s="696"/>
    </row>
    <row r="1319" ht="15.75" customHeight="1">
      <c r="A1319" s="653"/>
      <c r="B1319" s="654"/>
      <c r="C1319" s="691"/>
      <c r="D1319" s="656"/>
      <c r="E1319" s="657"/>
      <c r="F1319" s="658"/>
      <c r="G1319" s="659"/>
      <c r="H1319" s="660"/>
      <c r="I1319" s="659"/>
      <c r="J1319" s="661"/>
      <c r="K1319" s="692"/>
      <c r="L1319" s="645"/>
      <c r="M1319" s="663"/>
      <c r="N1319" s="665"/>
      <c r="O1319" s="665"/>
      <c r="P1319" s="666"/>
      <c r="Q1319" s="667"/>
      <c r="R1319" s="668"/>
      <c r="S1319" s="693"/>
      <c r="T1319" s="694"/>
      <c r="U1319" s="694"/>
      <c r="V1319" s="693"/>
      <c r="W1319" s="693"/>
      <c r="X1319" s="693"/>
      <c r="Y1319" s="671"/>
      <c r="Z1319" s="673"/>
      <c r="AA1319" s="672"/>
      <c r="AB1319" s="695"/>
      <c r="AC1319" s="673"/>
      <c r="AD1319" s="673"/>
      <c r="AE1319" s="673"/>
      <c r="AF1319" s="673"/>
      <c r="AG1319" s="673"/>
      <c r="AH1319" s="673"/>
      <c r="AI1319" s="673"/>
      <c r="AJ1319" s="673"/>
      <c r="AK1319" s="673"/>
      <c r="AL1319" s="673"/>
      <c r="AM1319" s="673"/>
      <c r="AN1319" s="673"/>
      <c r="AO1319" s="673"/>
      <c r="AP1319" s="673"/>
      <c r="AQ1319" s="673"/>
      <c r="AR1319" s="673"/>
      <c r="AS1319" s="673"/>
      <c r="AT1319" s="696"/>
    </row>
    <row r="1320" ht="15.75" customHeight="1">
      <c r="A1320" s="653"/>
      <c r="B1320" s="654"/>
      <c r="C1320" s="691"/>
      <c r="D1320" s="656"/>
      <c r="E1320" s="657"/>
      <c r="F1320" s="658"/>
      <c r="G1320" s="659"/>
      <c r="H1320" s="660"/>
      <c r="I1320" s="659"/>
      <c r="J1320" s="661"/>
      <c r="K1320" s="692"/>
      <c r="L1320" s="645"/>
      <c r="M1320" s="663"/>
      <c r="N1320" s="665"/>
      <c r="O1320" s="665"/>
      <c r="P1320" s="666"/>
      <c r="Q1320" s="667"/>
      <c r="R1320" s="668"/>
      <c r="S1320" s="693"/>
      <c r="T1320" s="694"/>
      <c r="U1320" s="694"/>
      <c r="V1320" s="693"/>
      <c r="W1320" s="693"/>
      <c r="X1320" s="693"/>
      <c r="Y1320" s="671"/>
      <c r="Z1320" s="673"/>
      <c r="AA1320" s="672"/>
      <c r="AB1320" s="695"/>
      <c r="AC1320" s="673"/>
      <c r="AD1320" s="673"/>
      <c r="AE1320" s="673"/>
      <c r="AF1320" s="673"/>
      <c r="AG1320" s="673"/>
      <c r="AH1320" s="673"/>
      <c r="AI1320" s="673"/>
      <c r="AJ1320" s="673"/>
      <c r="AK1320" s="673"/>
      <c r="AL1320" s="673"/>
      <c r="AM1320" s="673"/>
      <c r="AN1320" s="673"/>
      <c r="AO1320" s="673"/>
      <c r="AP1320" s="673"/>
      <c r="AQ1320" s="673"/>
      <c r="AR1320" s="673"/>
      <c r="AS1320" s="673"/>
      <c r="AT1320" s="696"/>
    </row>
    <row r="1321" ht="15.75" customHeight="1">
      <c r="A1321" s="653"/>
      <c r="B1321" s="654"/>
      <c r="C1321" s="691"/>
      <c r="D1321" s="656"/>
      <c r="E1321" s="657"/>
      <c r="F1321" s="658"/>
      <c r="G1321" s="659"/>
      <c r="H1321" s="660"/>
      <c r="I1321" s="659"/>
      <c r="J1321" s="661"/>
      <c r="K1321" s="692"/>
      <c r="L1321" s="645"/>
      <c r="M1321" s="663"/>
      <c r="N1321" s="665"/>
      <c r="O1321" s="665"/>
      <c r="P1321" s="666"/>
      <c r="Q1321" s="667"/>
      <c r="R1321" s="668"/>
      <c r="S1321" s="693"/>
      <c r="T1321" s="694"/>
      <c r="U1321" s="694"/>
      <c r="V1321" s="693"/>
      <c r="W1321" s="693"/>
      <c r="X1321" s="693"/>
      <c r="Y1321" s="671"/>
      <c r="Z1321" s="673"/>
      <c r="AA1321" s="672"/>
      <c r="AB1321" s="695"/>
      <c r="AC1321" s="673"/>
      <c r="AD1321" s="673"/>
      <c r="AE1321" s="673"/>
      <c r="AF1321" s="673"/>
      <c r="AG1321" s="673"/>
      <c r="AH1321" s="673"/>
      <c r="AI1321" s="673"/>
      <c r="AJ1321" s="673"/>
      <c r="AK1321" s="673"/>
      <c r="AL1321" s="673"/>
      <c r="AM1321" s="673"/>
      <c r="AN1321" s="673"/>
      <c r="AO1321" s="673"/>
      <c r="AP1321" s="673"/>
      <c r="AQ1321" s="673"/>
      <c r="AR1321" s="673"/>
      <c r="AS1321" s="673"/>
      <c r="AT1321" s="696"/>
    </row>
    <row r="1322" ht="15.75" customHeight="1">
      <c r="A1322" s="653"/>
      <c r="B1322" s="654"/>
      <c r="C1322" s="691"/>
      <c r="D1322" s="656"/>
      <c r="E1322" s="657"/>
      <c r="F1322" s="658"/>
      <c r="G1322" s="659"/>
      <c r="H1322" s="660"/>
      <c r="I1322" s="659"/>
      <c r="J1322" s="661"/>
      <c r="K1322" s="692"/>
      <c r="L1322" s="645"/>
      <c r="M1322" s="663"/>
      <c r="N1322" s="665"/>
      <c r="O1322" s="665"/>
      <c r="P1322" s="666"/>
      <c r="Q1322" s="667"/>
      <c r="R1322" s="668"/>
      <c r="S1322" s="693"/>
      <c r="T1322" s="694"/>
      <c r="U1322" s="694"/>
      <c r="V1322" s="693"/>
      <c r="W1322" s="693"/>
      <c r="X1322" s="693"/>
      <c r="Y1322" s="671"/>
      <c r="Z1322" s="673"/>
      <c r="AA1322" s="672"/>
      <c r="AB1322" s="695"/>
      <c r="AC1322" s="673"/>
      <c r="AD1322" s="673"/>
      <c r="AE1322" s="673"/>
      <c r="AF1322" s="673"/>
      <c r="AG1322" s="673"/>
      <c r="AH1322" s="673"/>
      <c r="AI1322" s="673"/>
      <c r="AJ1322" s="673"/>
      <c r="AK1322" s="673"/>
      <c r="AL1322" s="673"/>
      <c r="AM1322" s="673"/>
      <c r="AN1322" s="673"/>
      <c r="AO1322" s="673"/>
      <c r="AP1322" s="673"/>
      <c r="AQ1322" s="673"/>
      <c r="AR1322" s="673"/>
      <c r="AS1322" s="673"/>
      <c r="AT1322" s="696"/>
    </row>
    <row r="1323" ht="15.75" customHeight="1">
      <c r="A1323" s="653"/>
      <c r="B1323" s="654"/>
      <c r="C1323" s="691"/>
      <c r="D1323" s="656"/>
      <c r="E1323" s="657"/>
      <c r="F1323" s="658"/>
      <c r="G1323" s="659"/>
      <c r="H1323" s="660"/>
      <c r="I1323" s="659"/>
      <c r="J1323" s="661"/>
      <c r="K1323" s="692"/>
      <c r="L1323" s="645"/>
      <c r="M1323" s="663"/>
      <c r="N1323" s="665"/>
      <c r="O1323" s="665"/>
      <c r="P1323" s="666"/>
      <c r="Q1323" s="667"/>
      <c r="R1323" s="668"/>
      <c r="S1323" s="693"/>
      <c r="T1323" s="694"/>
      <c r="U1323" s="694"/>
      <c r="V1323" s="693"/>
      <c r="W1323" s="693"/>
      <c r="X1323" s="693"/>
      <c r="Y1323" s="671"/>
      <c r="Z1323" s="673"/>
      <c r="AA1323" s="672"/>
      <c r="AB1323" s="695"/>
      <c r="AC1323" s="673"/>
      <c r="AD1323" s="673"/>
      <c r="AE1323" s="673"/>
      <c r="AF1323" s="673"/>
      <c r="AG1323" s="673"/>
      <c r="AH1323" s="673"/>
      <c r="AI1323" s="673"/>
      <c r="AJ1323" s="673"/>
      <c r="AK1323" s="673"/>
      <c r="AL1323" s="673"/>
      <c r="AM1323" s="673"/>
      <c r="AN1323" s="673"/>
      <c r="AO1323" s="673"/>
      <c r="AP1323" s="673"/>
      <c r="AQ1323" s="673"/>
      <c r="AR1323" s="673"/>
      <c r="AS1323" s="673"/>
      <c r="AT1323" s="696"/>
    </row>
    <row r="1324" ht="15.75" customHeight="1">
      <c r="A1324" s="653"/>
      <c r="B1324" s="654"/>
      <c r="C1324" s="691"/>
      <c r="D1324" s="656"/>
      <c r="E1324" s="657"/>
      <c r="F1324" s="658"/>
      <c r="G1324" s="659"/>
      <c r="H1324" s="660"/>
      <c r="I1324" s="659"/>
      <c r="J1324" s="661"/>
      <c r="K1324" s="692"/>
      <c r="L1324" s="645"/>
      <c r="M1324" s="663"/>
      <c r="N1324" s="665"/>
      <c r="O1324" s="665"/>
      <c r="P1324" s="666"/>
      <c r="Q1324" s="667"/>
      <c r="R1324" s="668"/>
      <c r="S1324" s="693"/>
      <c r="T1324" s="694"/>
      <c r="U1324" s="694"/>
      <c r="V1324" s="693"/>
      <c r="W1324" s="693"/>
      <c r="X1324" s="693"/>
      <c r="Y1324" s="671"/>
      <c r="Z1324" s="673"/>
      <c r="AA1324" s="672"/>
      <c r="AB1324" s="695"/>
      <c r="AC1324" s="673"/>
      <c r="AD1324" s="673"/>
      <c r="AE1324" s="673"/>
      <c r="AF1324" s="673"/>
      <c r="AG1324" s="673"/>
      <c r="AH1324" s="673"/>
      <c r="AI1324" s="673"/>
      <c r="AJ1324" s="673"/>
      <c r="AK1324" s="673"/>
      <c r="AL1324" s="673"/>
      <c r="AM1324" s="673"/>
      <c r="AN1324" s="673"/>
      <c r="AO1324" s="673"/>
      <c r="AP1324" s="673"/>
      <c r="AQ1324" s="673"/>
      <c r="AR1324" s="673"/>
      <c r="AS1324" s="673"/>
      <c r="AT1324" s="696"/>
    </row>
    <row r="1325" ht="15.75" customHeight="1">
      <c r="A1325" s="653"/>
      <c r="B1325" s="654"/>
      <c r="C1325" s="691"/>
      <c r="D1325" s="656"/>
      <c r="E1325" s="657"/>
      <c r="F1325" s="658"/>
      <c r="G1325" s="659"/>
      <c r="H1325" s="660"/>
      <c r="I1325" s="659"/>
      <c r="J1325" s="661"/>
      <c r="K1325" s="692"/>
      <c r="L1325" s="645"/>
      <c r="M1325" s="663"/>
      <c r="N1325" s="665"/>
      <c r="O1325" s="665"/>
      <c r="P1325" s="666"/>
      <c r="Q1325" s="667"/>
      <c r="R1325" s="668"/>
      <c r="S1325" s="693"/>
      <c r="T1325" s="694"/>
      <c r="U1325" s="694"/>
      <c r="V1325" s="693"/>
      <c r="W1325" s="693"/>
      <c r="X1325" s="693"/>
      <c r="Y1325" s="671"/>
      <c r="Z1325" s="673"/>
      <c r="AA1325" s="672"/>
      <c r="AB1325" s="695"/>
      <c r="AC1325" s="673"/>
      <c r="AD1325" s="673"/>
      <c r="AE1325" s="673"/>
      <c r="AF1325" s="673"/>
      <c r="AG1325" s="673"/>
      <c r="AH1325" s="673"/>
      <c r="AI1325" s="673"/>
      <c r="AJ1325" s="673"/>
      <c r="AK1325" s="673"/>
      <c r="AL1325" s="673"/>
      <c r="AM1325" s="673"/>
      <c r="AN1325" s="673"/>
      <c r="AO1325" s="673"/>
      <c r="AP1325" s="673"/>
      <c r="AQ1325" s="673"/>
      <c r="AR1325" s="673"/>
      <c r="AS1325" s="673"/>
      <c r="AT1325" s="696"/>
    </row>
    <row r="1326" ht="15.75" customHeight="1">
      <c r="A1326" s="653"/>
      <c r="B1326" s="654"/>
      <c r="C1326" s="691"/>
      <c r="D1326" s="656"/>
      <c r="E1326" s="657"/>
      <c r="F1326" s="658"/>
      <c r="G1326" s="659"/>
      <c r="H1326" s="660"/>
      <c r="I1326" s="659"/>
      <c r="J1326" s="661"/>
      <c r="K1326" s="692"/>
      <c r="L1326" s="645"/>
      <c r="M1326" s="663"/>
      <c r="N1326" s="665"/>
      <c r="O1326" s="665"/>
      <c r="P1326" s="666"/>
      <c r="Q1326" s="667"/>
      <c r="R1326" s="668"/>
      <c r="S1326" s="693"/>
      <c r="T1326" s="694"/>
      <c r="U1326" s="694"/>
      <c r="V1326" s="693"/>
      <c r="W1326" s="693"/>
      <c r="X1326" s="693"/>
      <c r="Y1326" s="671"/>
      <c r="Z1326" s="673"/>
      <c r="AA1326" s="672"/>
      <c r="AB1326" s="695"/>
      <c r="AC1326" s="673"/>
      <c r="AD1326" s="673"/>
      <c r="AE1326" s="673"/>
      <c r="AF1326" s="673"/>
      <c r="AG1326" s="673"/>
      <c r="AH1326" s="673"/>
      <c r="AI1326" s="673"/>
      <c r="AJ1326" s="673"/>
      <c r="AK1326" s="673"/>
      <c r="AL1326" s="673"/>
      <c r="AM1326" s="673"/>
      <c r="AN1326" s="673"/>
      <c r="AO1326" s="673"/>
      <c r="AP1326" s="673"/>
      <c r="AQ1326" s="673"/>
      <c r="AR1326" s="673"/>
      <c r="AS1326" s="673"/>
      <c r="AT1326" s="696"/>
    </row>
    <row r="1327" ht="15.75" customHeight="1">
      <c r="A1327" s="653"/>
      <c r="B1327" s="654"/>
      <c r="C1327" s="691"/>
      <c r="D1327" s="656"/>
      <c r="E1327" s="657"/>
      <c r="F1327" s="658"/>
      <c r="G1327" s="659"/>
      <c r="H1327" s="660"/>
      <c r="I1327" s="659"/>
      <c r="J1327" s="661"/>
      <c r="K1327" s="692"/>
      <c r="L1327" s="645"/>
      <c r="M1327" s="663"/>
      <c r="N1327" s="665"/>
      <c r="O1327" s="665"/>
      <c r="P1327" s="666"/>
      <c r="Q1327" s="667"/>
      <c r="R1327" s="668"/>
      <c r="S1327" s="693"/>
      <c r="T1327" s="694"/>
      <c r="U1327" s="694"/>
      <c r="V1327" s="693"/>
      <c r="W1327" s="693"/>
      <c r="X1327" s="693"/>
      <c r="Y1327" s="671"/>
      <c r="Z1327" s="673"/>
      <c r="AA1327" s="672"/>
      <c r="AB1327" s="695"/>
      <c r="AC1327" s="673"/>
      <c r="AD1327" s="673"/>
      <c r="AE1327" s="673"/>
      <c r="AF1327" s="673"/>
      <c r="AG1327" s="673"/>
      <c r="AH1327" s="673"/>
      <c r="AI1327" s="673"/>
      <c r="AJ1327" s="673"/>
      <c r="AK1327" s="673"/>
      <c r="AL1327" s="673"/>
      <c r="AM1327" s="673"/>
      <c r="AN1327" s="673"/>
      <c r="AO1327" s="673"/>
      <c r="AP1327" s="673"/>
      <c r="AQ1327" s="673"/>
      <c r="AR1327" s="673"/>
      <c r="AS1327" s="673"/>
      <c r="AT1327" s="696"/>
    </row>
    <row r="1328" ht="15.75" customHeight="1">
      <c r="A1328" s="653"/>
      <c r="B1328" s="654"/>
      <c r="C1328" s="691"/>
      <c r="D1328" s="656"/>
      <c r="E1328" s="657"/>
      <c r="F1328" s="658"/>
      <c r="G1328" s="659"/>
      <c r="H1328" s="660"/>
      <c r="I1328" s="659"/>
      <c r="J1328" s="661"/>
      <c r="K1328" s="692"/>
      <c r="L1328" s="645"/>
      <c r="M1328" s="663"/>
      <c r="N1328" s="665"/>
      <c r="O1328" s="665"/>
      <c r="P1328" s="666"/>
      <c r="Q1328" s="667"/>
      <c r="R1328" s="668"/>
      <c r="S1328" s="693"/>
      <c r="T1328" s="694"/>
      <c r="U1328" s="694"/>
      <c r="V1328" s="693"/>
      <c r="W1328" s="693"/>
      <c r="X1328" s="693"/>
      <c r="Y1328" s="671"/>
      <c r="Z1328" s="673"/>
      <c r="AA1328" s="672"/>
      <c r="AB1328" s="695"/>
      <c r="AC1328" s="673"/>
      <c r="AD1328" s="673"/>
      <c r="AE1328" s="673"/>
      <c r="AF1328" s="673"/>
      <c r="AG1328" s="673"/>
      <c r="AH1328" s="673"/>
      <c r="AI1328" s="673"/>
      <c r="AJ1328" s="673"/>
      <c r="AK1328" s="673"/>
      <c r="AL1328" s="673"/>
      <c r="AM1328" s="673"/>
      <c r="AN1328" s="673"/>
      <c r="AO1328" s="673"/>
      <c r="AP1328" s="673"/>
      <c r="AQ1328" s="673"/>
      <c r="AR1328" s="673"/>
      <c r="AS1328" s="673"/>
      <c r="AT1328" s="696"/>
    </row>
    <row r="1329" ht="15.75" customHeight="1">
      <c r="A1329" s="653"/>
      <c r="B1329" s="654"/>
      <c r="C1329" s="691"/>
      <c r="D1329" s="656"/>
      <c r="E1329" s="657"/>
      <c r="F1329" s="658"/>
      <c r="G1329" s="659"/>
      <c r="H1329" s="660"/>
      <c r="I1329" s="659"/>
      <c r="J1329" s="661"/>
      <c r="K1329" s="692"/>
      <c r="L1329" s="645"/>
      <c r="M1329" s="663"/>
      <c r="N1329" s="665"/>
      <c r="O1329" s="665"/>
      <c r="P1329" s="666"/>
      <c r="Q1329" s="667"/>
      <c r="R1329" s="668"/>
      <c r="S1329" s="693"/>
      <c r="T1329" s="694"/>
      <c r="U1329" s="694"/>
      <c r="V1329" s="693"/>
      <c r="W1329" s="693"/>
      <c r="X1329" s="693"/>
      <c r="Y1329" s="671"/>
      <c r="Z1329" s="673"/>
      <c r="AA1329" s="672"/>
      <c r="AB1329" s="695"/>
      <c r="AC1329" s="673"/>
      <c r="AD1329" s="673"/>
      <c r="AE1329" s="673"/>
      <c r="AF1329" s="673"/>
      <c r="AG1329" s="673"/>
      <c r="AH1329" s="673"/>
      <c r="AI1329" s="673"/>
      <c r="AJ1329" s="673"/>
      <c r="AK1329" s="673"/>
      <c r="AL1329" s="673"/>
      <c r="AM1329" s="673"/>
      <c r="AN1329" s="673"/>
      <c r="AO1329" s="673"/>
      <c r="AP1329" s="673"/>
      <c r="AQ1329" s="673"/>
      <c r="AR1329" s="673"/>
      <c r="AS1329" s="673"/>
      <c r="AT1329" s="696"/>
    </row>
    <row r="1330" ht="15.75" customHeight="1">
      <c r="A1330" s="653"/>
      <c r="B1330" s="654"/>
      <c r="C1330" s="691"/>
      <c r="D1330" s="656"/>
      <c r="E1330" s="657"/>
      <c r="F1330" s="658"/>
      <c r="G1330" s="659"/>
      <c r="H1330" s="660"/>
      <c r="I1330" s="659"/>
      <c r="J1330" s="661"/>
      <c r="K1330" s="692"/>
      <c r="L1330" s="645"/>
      <c r="M1330" s="663"/>
      <c r="N1330" s="665"/>
      <c r="O1330" s="665"/>
      <c r="P1330" s="666"/>
      <c r="Q1330" s="667"/>
      <c r="R1330" s="668"/>
      <c r="S1330" s="693"/>
      <c r="T1330" s="694"/>
      <c r="U1330" s="694"/>
      <c r="V1330" s="693"/>
      <c r="W1330" s="693"/>
      <c r="X1330" s="693"/>
      <c r="Y1330" s="671"/>
      <c r="Z1330" s="673"/>
      <c r="AA1330" s="672"/>
      <c r="AB1330" s="695"/>
      <c r="AC1330" s="673"/>
      <c r="AD1330" s="673"/>
      <c r="AE1330" s="673"/>
      <c r="AF1330" s="673"/>
      <c r="AG1330" s="673"/>
      <c r="AH1330" s="673"/>
      <c r="AI1330" s="673"/>
      <c r="AJ1330" s="673"/>
      <c r="AK1330" s="673"/>
      <c r="AL1330" s="673"/>
      <c r="AM1330" s="673"/>
      <c r="AN1330" s="673"/>
      <c r="AO1330" s="673"/>
      <c r="AP1330" s="673"/>
      <c r="AQ1330" s="673"/>
      <c r="AR1330" s="673"/>
      <c r="AS1330" s="673"/>
      <c r="AT1330" s="696"/>
    </row>
    <row r="1331" ht="15.75" customHeight="1">
      <c r="A1331" s="653"/>
      <c r="B1331" s="654"/>
      <c r="C1331" s="691"/>
      <c r="D1331" s="656"/>
      <c r="E1331" s="657"/>
      <c r="F1331" s="658"/>
      <c r="G1331" s="659"/>
      <c r="H1331" s="660"/>
      <c r="I1331" s="659"/>
      <c r="J1331" s="661"/>
      <c r="K1331" s="692"/>
      <c r="L1331" s="645"/>
      <c r="M1331" s="663"/>
      <c r="N1331" s="665"/>
      <c r="O1331" s="665"/>
      <c r="P1331" s="666"/>
      <c r="Q1331" s="667"/>
      <c r="R1331" s="668"/>
      <c r="S1331" s="693"/>
      <c r="T1331" s="694"/>
      <c r="U1331" s="694"/>
      <c r="V1331" s="693"/>
      <c r="W1331" s="693"/>
      <c r="X1331" s="693"/>
      <c r="Y1331" s="671"/>
      <c r="Z1331" s="673"/>
      <c r="AA1331" s="672"/>
      <c r="AB1331" s="695"/>
      <c r="AC1331" s="673"/>
      <c r="AD1331" s="673"/>
      <c r="AE1331" s="673"/>
      <c r="AF1331" s="673"/>
      <c r="AG1331" s="673"/>
      <c r="AH1331" s="673"/>
      <c r="AI1331" s="673"/>
      <c r="AJ1331" s="673"/>
      <c r="AK1331" s="673"/>
      <c r="AL1331" s="673"/>
      <c r="AM1331" s="673"/>
      <c r="AN1331" s="673"/>
      <c r="AO1331" s="673"/>
      <c r="AP1331" s="673"/>
      <c r="AQ1331" s="673"/>
      <c r="AR1331" s="673"/>
      <c r="AS1331" s="673"/>
      <c r="AT1331" s="696"/>
    </row>
    <row r="1332" ht="15.75" customHeight="1">
      <c r="A1332" s="653"/>
      <c r="B1332" s="654"/>
      <c r="C1332" s="691"/>
      <c r="D1332" s="656"/>
      <c r="E1332" s="657"/>
      <c r="F1332" s="658"/>
      <c r="G1332" s="659"/>
      <c r="H1332" s="660"/>
      <c r="I1332" s="659"/>
      <c r="J1332" s="661"/>
      <c r="K1332" s="692"/>
      <c r="L1332" s="645"/>
      <c r="M1332" s="663"/>
      <c r="N1332" s="665"/>
      <c r="O1332" s="665"/>
      <c r="P1332" s="666"/>
      <c r="Q1332" s="667"/>
      <c r="R1332" s="668"/>
      <c r="S1332" s="693"/>
      <c r="T1332" s="694"/>
      <c r="U1332" s="694"/>
      <c r="V1332" s="693"/>
      <c r="W1332" s="693"/>
      <c r="X1332" s="693"/>
      <c r="Y1332" s="671"/>
      <c r="Z1332" s="673"/>
      <c r="AA1332" s="672"/>
      <c r="AB1332" s="695"/>
      <c r="AC1332" s="673"/>
      <c r="AD1332" s="673"/>
      <c r="AE1332" s="673"/>
      <c r="AF1332" s="673"/>
      <c r="AG1332" s="673"/>
      <c r="AH1332" s="673"/>
      <c r="AI1332" s="673"/>
      <c r="AJ1332" s="673"/>
      <c r="AK1332" s="673"/>
      <c r="AL1332" s="673"/>
      <c r="AM1332" s="673"/>
      <c r="AN1332" s="673"/>
      <c r="AO1332" s="673"/>
      <c r="AP1332" s="673"/>
      <c r="AQ1332" s="673"/>
      <c r="AR1332" s="673"/>
      <c r="AS1332" s="673"/>
      <c r="AT1332" s="696"/>
    </row>
    <row r="1333" ht="15.75" customHeight="1">
      <c r="A1333" s="653"/>
      <c r="B1333" s="654"/>
      <c r="C1333" s="691"/>
      <c r="D1333" s="656"/>
      <c r="E1333" s="657"/>
      <c r="F1333" s="658"/>
      <c r="G1333" s="659"/>
      <c r="H1333" s="660"/>
      <c r="I1333" s="659"/>
      <c r="J1333" s="661"/>
      <c r="K1333" s="692"/>
      <c r="L1333" s="645"/>
      <c r="M1333" s="663"/>
      <c r="N1333" s="665"/>
      <c r="O1333" s="665"/>
      <c r="P1333" s="666"/>
      <c r="Q1333" s="667"/>
      <c r="R1333" s="668"/>
      <c r="S1333" s="693"/>
      <c r="T1333" s="694"/>
      <c r="U1333" s="694"/>
      <c r="V1333" s="693"/>
      <c r="W1333" s="693"/>
      <c r="X1333" s="693"/>
      <c r="Y1333" s="671"/>
      <c r="Z1333" s="673"/>
      <c r="AA1333" s="672"/>
      <c r="AB1333" s="695"/>
      <c r="AC1333" s="673"/>
      <c r="AD1333" s="673"/>
      <c r="AE1333" s="673"/>
      <c r="AF1333" s="673"/>
      <c r="AG1333" s="673"/>
      <c r="AH1333" s="673"/>
      <c r="AI1333" s="673"/>
      <c r="AJ1333" s="673"/>
      <c r="AK1333" s="673"/>
      <c r="AL1333" s="673"/>
      <c r="AM1333" s="673"/>
      <c r="AN1333" s="673"/>
      <c r="AO1333" s="673"/>
      <c r="AP1333" s="673"/>
      <c r="AQ1333" s="673"/>
      <c r="AR1333" s="673"/>
      <c r="AS1333" s="673"/>
      <c r="AT1333" s="696"/>
    </row>
    <row r="1334" ht="15.75" customHeight="1">
      <c r="A1334" s="653"/>
      <c r="B1334" s="654"/>
      <c r="C1334" s="691"/>
      <c r="D1334" s="656"/>
      <c r="E1334" s="657"/>
      <c r="F1334" s="658"/>
      <c r="G1334" s="659"/>
      <c r="H1334" s="660"/>
      <c r="I1334" s="659"/>
      <c r="J1334" s="661"/>
      <c r="K1334" s="692"/>
      <c r="L1334" s="645"/>
      <c r="M1334" s="663"/>
      <c r="N1334" s="665"/>
      <c r="O1334" s="665"/>
      <c r="P1334" s="666"/>
      <c r="Q1334" s="667"/>
      <c r="R1334" s="668"/>
      <c r="S1334" s="693"/>
      <c r="T1334" s="694"/>
      <c r="U1334" s="694"/>
      <c r="V1334" s="693"/>
      <c r="W1334" s="693"/>
      <c r="X1334" s="693"/>
      <c r="Y1334" s="671"/>
      <c r="Z1334" s="673"/>
      <c r="AA1334" s="672"/>
      <c r="AB1334" s="695"/>
      <c r="AC1334" s="673"/>
      <c r="AD1334" s="673"/>
      <c r="AE1334" s="673"/>
      <c r="AF1334" s="673"/>
      <c r="AG1334" s="673"/>
      <c r="AH1334" s="673"/>
      <c r="AI1334" s="673"/>
      <c r="AJ1334" s="673"/>
      <c r="AK1334" s="673"/>
      <c r="AL1334" s="673"/>
      <c r="AM1334" s="673"/>
      <c r="AN1334" s="673"/>
      <c r="AO1334" s="673"/>
      <c r="AP1334" s="673"/>
      <c r="AQ1334" s="673"/>
      <c r="AR1334" s="673"/>
      <c r="AS1334" s="673"/>
      <c r="AT1334" s="696"/>
    </row>
    <row r="1335" ht="15.75" customHeight="1">
      <c r="A1335" s="653"/>
      <c r="B1335" s="654"/>
      <c r="C1335" s="691"/>
      <c r="D1335" s="656"/>
      <c r="E1335" s="657"/>
      <c r="F1335" s="658"/>
      <c r="G1335" s="659"/>
      <c r="H1335" s="660"/>
      <c r="I1335" s="659"/>
      <c r="J1335" s="661"/>
      <c r="K1335" s="692"/>
      <c r="L1335" s="645"/>
      <c r="M1335" s="663"/>
      <c r="N1335" s="665"/>
      <c r="O1335" s="665"/>
      <c r="P1335" s="666"/>
      <c r="Q1335" s="667"/>
      <c r="R1335" s="668"/>
      <c r="S1335" s="693"/>
      <c r="T1335" s="694"/>
      <c r="U1335" s="694"/>
      <c r="V1335" s="693"/>
      <c r="W1335" s="693"/>
      <c r="X1335" s="693"/>
      <c r="Y1335" s="671"/>
      <c r="Z1335" s="673"/>
      <c r="AA1335" s="672"/>
      <c r="AB1335" s="695"/>
      <c r="AC1335" s="673"/>
      <c r="AD1335" s="673"/>
      <c r="AE1335" s="673"/>
      <c r="AF1335" s="673"/>
      <c r="AG1335" s="673"/>
      <c r="AH1335" s="673"/>
      <c r="AI1335" s="673"/>
      <c r="AJ1335" s="673"/>
      <c r="AK1335" s="673"/>
      <c r="AL1335" s="673"/>
      <c r="AM1335" s="673"/>
      <c r="AN1335" s="673"/>
      <c r="AO1335" s="673"/>
      <c r="AP1335" s="673"/>
      <c r="AQ1335" s="673"/>
      <c r="AR1335" s="673"/>
      <c r="AS1335" s="673"/>
      <c r="AT1335" s="696"/>
    </row>
    <row r="1336" ht="15.75" customHeight="1">
      <c r="A1336" s="653"/>
      <c r="B1336" s="654"/>
      <c r="C1336" s="691"/>
      <c r="D1336" s="656"/>
      <c r="E1336" s="657"/>
      <c r="F1336" s="658"/>
      <c r="G1336" s="659"/>
      <c r="H1336" s="660"/>
      <c r="I1336" s="659"/>
      <c r="J1336" s="661"/>
      <c r="K1336" s="692"/>
      <c r="L1336" s="645"/>
      <c r="M1336" s="663"/>
      <c r="N1336" s="665"/>
      <c r="O1336" s="665"/>
      <c r="P1336" s="666"/>
      <c r="Q1336" s="667"/>
      <c r="R1336" s="668"/>
      <c r="S1336" s="693"/>
      <c r="T1336" s="694"/>
      <c r="U1336" s="694"/>
      <c r="V1336" s="693"/>
      <c r="W1336" s="693"/>
      <c r="X1336" s="693"/>
      <c r="Y1336" s="671"/>
      <c r="Z1336" s="673"/>
      <c r="AA1336" s="672"/>
      <c r="AB1336" s="695"/>
      <c r="AC1336" s="673"/>
      <c r="AD1336" s="673"/>
      <c r="AE1336" s="673"/>
      <c r="AF1336" s="673"/>
      <c r="AG1336" s="673"/>
      <c r="AH1336" s="673"/>
      <c r="AI1336" s="673"/>
      <c r="AJ1336" s="673"/>
      <c r="AK1336" s="673"/>
      <c r="AL1336" s="673"/>
      <c r="AM1336" s="673"/>
      <c r="AN1336" s="673"/>
      <c r="AO1336" s="673"/>
      <c r="AP1336" s="673"/>
      <c r="AQ1336" s="673"/>
      <c r="AR1336" s="673"/>
      <c r="AS1336" s="673"/>
      <c r="AT1336" s="696"/>
    </row>
    <row r="1337" ht="15.75" customHeight="1">
      <c r="A1337" s="653"/>
      <c r="B1337" s="654"/>
      <c r="C1337" s="691"/>
      <c r="D1337" s="656"/>
      <c r="E1337" s="657"/>
      <c r="F1337" s="658"/>
      <c r="G1337" s="659"/>
      <c r="H1337" s="660"/>
      <c r="I1337" s="659"/>
      <c r="J1337" s="661"/>
      <c r="K1337" s="692"/>
      <c r="L1337" s="645"/>
      <c r="M1337" s="663"/>
      <c r="N1337" s="665"/>
      <c r="O1337" s="665"/>
      <c r="P1337" s="666"/>
      <c r="Q1337" s="667"/>
      <c r="R1337" s="668"/>
      <c r="S1337" s="693"/>
      <c r="T1337" s="694"/>
      <c r="U1337" s="694"/>
      <c r="V1337" s="693"/>
      <c r="W1337" s="693"/>
      <c r="X1337" s="693"/>
      <c r="Y1337" s="671"/>
      <c r="Z1337" s="673"/>
      <c r="AA1337" s="672"/>
      <c r="AB1337" s="695"/>
      <c r="AC1337" s="673"/>
      <c r="AD1337" s="673"/>
      <c r="AE1337" s="673"/>
      <c r="AF1337" s="673"/>
      <c r="AG1337" s="673"/>
      <c r="AH1337" s="673"/>
      <c r="AI1337" s="673"/>
      <c r="AJ1337" s="673"/>
      <c r="AK1337" s="673"/>
      <c r="AL1337" s="673"/>
      <c r="AM1337" s="673"/>
      <c r="AN1337" s="673"/>
      <c r="AO1337" s="673"/>
      <c r="AP1337" s="673"/>
      <c r="AQ1337" s="673"/>
      <c r="AR1337" s="673"/>
      <c r="AS1337" s="673"/>
      <c r="AT1337" s="696"/>
    </row>
    <row r="1338" ht="15.75" customHeight="1">
      <c r="A1338" s="653"/>
      <c r="B1338" s="654"/>
      <c r="C1338" s="691"/>
      <c r="D1338" s="656"/>
      <c r="E1338" s="657"/>
      <c r="F1338" s="658"/>
      <c r="G1338" s="659"/>
      <c r="H1338" s="660"/>
      <c r="I1338" s="659"/>
      <c r="J1338" s="661"/>
      <c r="K1338" s="692"/>
      <c r="L1338" s="645"/>
      <c r="M1338" s="663"/>
      <c r="N1338" s="665"/>
      <c r="O1338" s="665"/>
      <c r="P1338" s="666"/>
      <c r="Q1338" s="667"/>
      <c r="R1338" s="668"/>
      <c r="S1338" s="693"/>
      <c r="T1338" s="694"/>
      <c r="U1338" s="694"/>
      <c r="V1338" s="693"/>
      <c r="W1338" s="693"/>
      <c r="X1338" s="693"/>
      <c r="Y1338" s="671"/>
      <c r="Z1338" s="673"/>
      <c r="AA1338" s="672"/>
      <c r="AB1338" s="695"/>
      <c r="AC1338" s="673"/>
      <c r="AD1338" s="673"/>
      <c r="AE1338" s="673"/>
      <c r="AF1338" s="673"/>
      <c r="AG1338" s="673"/>
      <c r="AH1338" s="673"/>
      <c r="AI1338" s="673"/>
      <c r="AJ1338" s="673"/>
      <c r="AK1338" s="673"/>
      <c r="AL1338" s="673"/>
      <c r="AM1338" s="673"/>
      <c r="AN1338" s="673"/>
      <c r="AO1338" s="673"/>
      <c r="AP1338" s="673"/>
      <c r="AQ1338" s="673"/>
      <c r="AR1338" s="673"/>
      <c r="AS1338" s="673"/>
      <c r="AT1338" s="696"/>
    </row>
    <row r="1339" ht="15.75" customHeight="1">
      <c r="A1339" s="653"/>
      <c r="B1339" s="654"/>
      <c r="C1339" s="691"/>
      <c r="D1339" s="656"/>
      <c r="E1339" s="657"/>
      <c r="F1339" s="658"/>
      <c r="G1339" s="659"/>
      <c r="H1339" s="660"/>
      <c r="I1339" s="659"/>
      <c r="J1339" s="661"/>
      <c r="K1339" s="692"/>
      <c r="L1339" s="645"/>
      <c r="M1339" s="663"/>
      <c r="N1339" s="665"/>
      <c r="O1339" s="665"/>
      <c r="P1339" s="666"/>
      <c r="Q1339" s="667"/>
      <c r="R1339" s="668"/>
      <c r="S1339" s="693"/>
      <c r="T1339" s="694"/>
      <c r="U1339" s="694"/>
      <c r="V1339" s="693"/>
      <c r="W1339" s="693"/>
      <c r="X1339" s="693"/>
      <c r="Y1339" s="671"/>
      <c r="Z1339" s="673"/>
      <c r="AA1339" s="672"/>
      <c r="AB1339" s="695"/>
      <c r="AC1339" s="673"/>
      <c r="AD1339" s="673"/>
      <c r="AE1339" s="673"/>
      <c r="AF1339" s="673"/>
      <c r="AG1339" s="673"/>
      <c r="AH1339" s="673"/>
      <c r="AI1339" s="673"/>
      <c r="AJ1339" s="673"/>
      <c r="AK1339" s="673"/>
      <c r="AL1339" s="673"/>
      <c r="AM1339" s="673"/>
      <c r="AN1339" s="673"/>
      <c r="AO1339" s="673"/>
      <c r="AP1339" s="673"/>
      <c r="AQ1339" s="673"/>
      <c r="AR1339" s="673"/>
      <c r="AS1339" s="673"/>
      <c r="AT1339" s="696"/>
    </row>
    <row r="1340" ht="15.75" customHeight="1">
      <c r="A1340" s="653"/>
      <c r="B1340" s="654"/>
      <c r="C1340" s="691"/>
      <c r="D1340" s="656"/>
      <c r="E1340" s="657"/>
      <c r="F1340" s="658"/>
      <c r="G1340" s="659"/>
      <c r="H1340" s="660"/>
      <c r="I1340" s="659"/>
      <c r="J1340" s="661"/>
      <c r="K1340" s="692"/>
      <c r="L1340" s="645"/>
      <c r="M1340" s="663"/>
      <c r="N1340" s="665"/>
      <c r="O1340" s="665"/>
      <c r="P1340" s="666"/>
      <c r="Q1340" s="667"/>
      <c r="R1340" s="668"/>
      <c r="S1340" s="693"/>
      <c r="T1340" s="694"/>
      <c r="U1340" s="694"/>
      <c r="V1340" s="693"/>
      <c r="W1340" s="693"/>
      <c r="X1340" s="693"/>
      <c r="Y1340" s="671"/>
      <c r="Z1340" s="673"/>
      <c r="AA1340" s="672"/>
      <c r="AB1340" s="695"/>
      <c r="AC1340" s="673"/>
      <c r="AD1340" s="673"/>
      <c r="AE1340" s="673"/>
      <c r="AF1340" s="673"/>
      <c r="AG1340" s="673"/>
      <c r="AH1340" s="673"/>
      <c r="AI1340" s="673"/>
      <c r="AJ1340" s="673"/>
      <c r="AK1340" s="673"/>
      <c r="AL1340" s="673"/>
      <c r="AM1340" s="673"/>
      <c r="AN1340" s="673"/>
      <c r="AO1340" s="673"/>
      <c r="AP1340" s="673"/>
      <c r="AQ1340" s="673"/>
      <c r="AR1340" s="673"/>
      <c r="AS1340" s="673"/>
      <c r="AT1340" s="696"/>
    </row>
    <row r="1341" ht="15.75" customHeight="1">
      <c r="A1341" s="653"/>
      <c r="B1341" s="654"/>
      <c r="C1341" s="691"/>
      <c r="D1341" s="656"/>
      <c r="E1341" s="657"/>
      <c r="F1341" s="658"/>
      <c r="G1341" s="659"/>
      <c r="H1341" s="660"/>
      <c r="I1341" s="659"/>
      <c r="J1341" s="661"/>
      <c r="K1341" s="692"/>
      <c r="L1341" s="645"/>
      <c r="M1341" s="663"/>
      <c r="N1341" s="665"/>
      <c r="O1341" s="665"/>
      <c r="P1341" s="666"/>
      <c r="Q1341" s="667"/>
      <c r="R1341" s="668"/>
      <c r="S1341" s="693"/>
      <c r="T1341" s="694"/>
      <c r="U1341" s="694"/>
      <c r="V1341" s="693"/>
      <c r="W1341" s="693"/>
      <c r="X1341" s="693"/>
      <c r="Y1341" s="671"/>
      <c r="Z1341" s="673"/>
      <c r="AA1341" s="672"/>
      <c r="AB1341" s="695"/>
      <c r="AC1341" s="673"/>
      <c r="AD1341" s="673"/>
      <c r="AE1341" s="673"/>
      <c r="AF1341" s="673"/>
      <c r="AG1341" s="673"/>
      <c r="AH1341" s="673"/>
      <c r="AI1341" s="673"/>
      <c r="AJ1341" s="673"/>
      <c r="AK1341" s="673"/>
      <c r="AL1341" s="673"/>
      <c r="AM1341" s="673"/>
      <c r="AN1341" s="673"/>
      <c r="AO1341" s="673"/>
      <c r="AP1341" s="673"/>
      <c r="AQ1341" s="673"/>
      <c r="AR1341" s="673"/>
      <c r="AS1341" s="673"/>
      <c r="AT1341" s="696"/>
    </row>
    <row r="1342" ht="15.75" customHeight="1">
      <c r="A1342" s="653"/>
      <c r="B1342" s="654"/>
      <c r="C1342" s="691"/>
      <c r="D1342" s="656"/>
      <c r="E1342" s="657"/>
      <c r="F1342" s="658"/>
      <c r="G1342" s="659"/>
      <c r="H1342" s="660"/>
      <c r="I1342" s="659"/>
      <c r="J1342" s="661"/>
      <c r="K1342" s="692"/>
      <c r="L1342" s="645"/>
      <c r="M1342" s="663"/>
      <c r="N1342" s="665"/>
      <c r="O1342" s="665"/>
      <c r="P1342" s="666"/>
      <c r="Q1342" s="667"/>
      <c r="R1342" s="668"/>
      <c r="S1342" s="693"/>
      <c r="T1342" s="694"/>
      <c r="U1342" s="694"/>
      <c r="V1342" s="693"/>
      <c r="W1342" s="693"/>
      <c r="X1342" s="693"/>
      <c r="Y1342" s="671"/>
      <c r="Z1342" s="673"/>
      <c r="AA1342" s="672"/>
      <c r="AB1342" s="695"/>
      <c r="AC1342" s="673"/>
      <c r="AD1342" s="673"/>
      <c r="AE1342" s="673"/>
      <c r="AF1342" s="673"/>
      <c r="AG1342" s="673"/>
      <c r="AH1342" s="673"/>
      <c r="AI1342" s="673"/>
      <c r="AJ1342" s="673"/>
      <c r="AK1342" s="673"/>
      <c r="AL1342" s="673"/>
      <c r="AM1342" s="673"/>
      <c r="AN1342" s="673"/>
      <c r="AO1342" s="673"/>
      <c r="AP1342" s="673"/>
      <c r="AQ1342" s="673"/>
      <c r="AR1342" s="673"/>
      <c r="AS1342" s="673"/>
      <c r="AT1342" s="696"/>
    </row>
    <row r="1343" ht="15.75" customHeight="1">
      <c r="A1343" s="653"/>
      <c r="B1343" s="654"/>
      <c r="C1343" s="691"/>
      <c r="D1343" s="656"/>
      <c r="E1343" s="657"/>
      <c r="F1343" s="658"/>
      <c r="G1343" s="659"/>
      <c r="H1343" s="660"/>
      <c r="I1343" s="659"/>
      <c r="J1343" s="661"/>
      <c r="K1343" s="692"/>
      <c r="L1343" s="645"/>
      <c r="M1343" s="663"/>
      <c r="N1343" s="665"/>
      <c r="O1343" s="665"/>
      <c r="P1343" s="666"/>
      <c r="Q1343" s="667"/>
      <c r="R1343" s="668"/>
      <c r="S1343" s="693"/>
      <c r="T1343" s="694"/>
      <c r="U1343" s="694"/>
      <c r="V1343" s="693"/>
      <c r="W1343" s="693"/>
      <c r="X1343" s="693"/>
      <c r="Y1343" s="671"/>
      <c r="Z1343" s="673"/>
      <c r="AA1343" s="672"/>
      <c r="AB1343" s="695"/>
      <c r="AC1343" s="673"/>
      <c r="AD1343" s="673"/>
      <c r="AE1343" s="673"/>
      <c r="AF1343" s="673"/>
      <c r="AG1343" s="673"/>
      <c r="AH1343" s="673"/>
      <c r="AI1343" s="673"/>
      <c r="AJ1343" s="673"/>
      <c r="AK1343" s="673"/>
      <c r="AL1343" s="673"/>
      <c r="AM1343" s="673"/>
      <c r="AN1343" s="673"/>
      <c r="AO1343" s="673"/>
      <c r="AP1343" s="673"/>
      <c r="AQ1343" s="673"/>
      <c r="AR1343" s="673"/>
      <c r="AS1343" s="673"/>
      <c r="AT1343" s="696"/>
    </row>
    <row r="1344" ht="15.75" customHeight="1">
      <c r="A1344" s="653"/>
      <c r="B1344" s="654"/>
      <c r="C1344" s="691"/>
      <c r="D1344" s="656"/>
      <c r="E1344" s="657"/>
      <c r="F1344" s="658"/>
      <c r="G1344" s="659"/>
      <c r="H1344" s="660"/>
      <c r="I1344" s="659"/>
      <c r="J1344" s="661"/>
      <c r="K1344" s="692"/>
      <c r="L1344" s="645"/>
      <c r="M1344" s="663"/>
      <c r="N1344" s="665"/>
      <c r="O1344" s="665"/>
      <c r="P1344" s="666"/>
      <c r="Q1344" s="667"/>
      <c r="R1344" s="668"/>
      <c r="S1344" s="693"/>
      <c r="T1344" s="694"/>
      <c r="U1344" s="694"/>
      <c r="V1344" s="693"/>
      <c r="W1344" s="693"/>
      <c r="X1344" s="693"/>
      <c r="Y1344" s="671"/>
      <c r="Z1344" s="673"/>
      <c r="AA1344" s="672"/>
      <c r="AB1344" s="695"/>
      <c r="AC1344" s="673"/>
      <c r="AD1344" s="673"/>
      <c r="AE1344" s="673"/>
      <c r="AF1344" s="673"/>
      <c r="AG1344" s="673"/>
      <c r="AH1344" s="673"/>
      <c r="AI1344" s="673"/>
      <c r="AJ1344" s="673"/>
      <c r="AK1344" s="673"/>
      <c r="AL1344" s="673"/>
      <c r="AM1344" s="673"/>
      <c r="AN1344" s="673"/>
      <c r="AO1344" s="673"/>
      <c r="AP1344" s="673"/>
      <c r="AQ1344" s="673"/>
      <c r="AR1344" s="673"/>
      <c r="AS1344" s="673"/>
      <c r="AT1344" s="696"/>
    </row>
    <row r="1345" ht="15.75" customHeight="1">
      <c r="A1345" s="653"/>
      <c r="B1345" s="654"/>
      <c r="C1345" s="691"/>
      <c r="D1345" s="656"/>
      <c r="E1345" s="657"/>
      <c r="F1345" s="658"/>
      <c r="G1345" s="659"/>
      <c r="H1345" s="660"/>
      <c r="I1345" s="659"/>
      <c r="J1345" s="661"/>
      <c r="K1345" s="692"/>
      <c r="L1345" s="645"/>
      <c r="M1345" s="663"/>
      <c r="N1345" s="665"/>
      <c r="O1345" s="665"/>
      <c r="P1345" s="666"/>
      <c r="Q1345" s="667"/>
      <c r="R1345" s="668"/>
      <c r="S1345" s="693"/>
      <c r="T1345" s="694"/>
      <c r="U1345" s="694"/>
      <c r="V1345" s="693"/>
      <c r="W1345" s="693"/>
      <c r="X1345" s="693"/>
      <c r="Y1345" s="671"/>
      <c r="Z1345" s="673"/>
      <c r="AA1345" s="672"/>
      <c r="AB1345" s="695"/>
      <c r="AC1345" s="673"/>
      <c r="AD1345" s="673"/>
      <c r="AE1345" s="673"/>
      <c r="AF1345" s="673"/>
      <c r="AG1345" s="673"/>
      <c r="AH1345" s="673"/>
      <c r="AI1345" s="673"/>
      <c r="AJ1345" s="673"/>
      <c r="AK1345" s="673"/>
      <c r="AL1345" s="673"/>
      <c r="AM1345" s="673"/>
      <c r="AN1345" s="673"/>
      <c r="AO1345" s="673"/>
      <c r="AP1345" s="673"/>
      <c r="AQ1345" s="673"/>
      <c r="AR1345" s="673"/>
      <c r="AS1345" s="673"/>
      <c r="AT1345" s="696"/>
    </row>
    <row r="1346" ht="15.75" customHeight="1">
      <c r="A1346" s="653"/>
      <c r="B1346" s="654"/>
      <c r="C1346" s="691"/>
      <c r="D1346" s="656"/>
      <c r="E1346" s="657"/>
      <c r="F1346" s="658"/>
      <c r="G1346" s="659"/>
      <c r="H1346" s="660"/>
      <c r="I1346" s="659"/>
      <c r="J1346" s="661"/>
      <c r="K1346" s="692"/>
      <c r="L1346" s="645"/>
      <c r="M1346" s="663"/>
      <c r="N1346" s="665"/>
      <c r="O1346" s="665"/>
      <c r="P1346" s="666"/>
      <c r="Q1346" s="667"/>
      <c r="R1346" s="668"/>
      <c r="S1346" s="693"/>
      <c r="T1346" s="694"/>
      <c r="U1346" s="694"/>
      <c r="V1346" s="693"/>
      <c r="W1346" s="693"/>
      <c r="X1346" s="693"/>
      <c r="Y1346" s="671"/>
      <c r="Z1346" s="673"/>
      <c r="AA1346" s="672"/>
      <c r="AB1346" s="695"/>
      <c r="AC1346" s="673"/>
      <c r="AD1346" s="673"/>
      <c r="AE1346" s="673"/>
      <c r="AF1346" s="673"/>
      <c r="AG1346" s="673"/>
      <c r="AH1346" s="673"/>
      <c r="AI1346" s="673"/>
      <c r="AJ1346" s="673"/>
      <c r="AK1346" s="673"/>
      <c r="AL1346" s="673"/>
      <c r="AM1346" s="673"/>
      <c r="AN1346" s="673"/>
      <c r="AO1346" s="673"/>
      <c r="AP1346" s="673"/>
      <c r="AQ1346" s="673"/>
      <c r="AR1346" s="673"/>
      <c r="AS1346" s="673"/>
      <c r="AT1346" s="696"/>
    </row>
    <row r="1347" ht="15.75" customHeight="1">
      <c r="A1347" s="653"/>
      <c r="B1347" s="654"/>
      <c r="C1347" s="691"/>
      <c r="D1347" s="656"/>
      <c r="E1347" s="657"/>
      <c r="F1347" s="658"/>
      <c r="G1347" s="659"/>
      <c r="H1347" s="660"/>
      <c r="I1347" s="659"/>
      <c r="J1347" s="661"/>
      <c r="K1347" s="692"/>
      <c r="L1347" s="645"/>
      <c r="M1347" s="663"/>
      <c r="N1347" s="665"/>
      <c r="O1347" s="665"/>
      <c r="P1347" s="666"/>
      <c r="Q1347" s="667"/>
      <c r="R1347" s="668"/>
      <c r="S1347" s="693"/>
      <c r="T1347" s="694"/>
      <c r="U1347" s="694"/>
      <c r="V1347" s="693"/>
      <c r="W1347" s="693"/>
      <c r="X1347" s="693"/>
      <c r="Y1347" s="671"/>
      <c r="Z1347" s="673"/>
      <c r="AA1347" s="672"/>
      <c r="AB1347" s="695"/>
      <c r="AC1347" s="673"/>
      <c r="AD1347" s="673"/>
      <c r="AE1347" s="673"/>
      <c r="AF1347" s="673"/>
      <c r="AG1347" s="673"/>
      <c r="AH1347" s="673"/>
      <c r="AI1347" s="673"/>
      <c r="AJ1347" s="673"/>
      <c r="AK1347" s="673"/>
      <c r="AL1347" s="673"/>
      <c r="AM1347" s="673"/>
      <c r="AN1347" s="673"/>
      <c r="AO1347" s="673"/>
      <c r="AP1347" s="673"/>
      <c r="AQ1347" s="673"/>
      <c r="AR1347" s="673"/>
      <c r="AS1347" s="673"/>
      <c r="AT1347" s="696"/>
    </row>
    <row r="1348" ht="15.75" customHeight="1">
      <c r="A1348" s="653"/>
      <c r="B1348" s="654"/>
      <c r="C1348" s="691"/>
      <c r="D1348" s="656"/>
      <c r="E1348" s="657"/>
      <c r="F1348" s="658"/>
      <c r="G1348" s="659"/>
      <c r="H1348" s="660"/>
      <c r="I1348" s="659"/>
      <c r="J1348" s="661"/>
      <c r="K1348" s="692"/>
      <c r="L1348" s="645"/>
      <c r="M1348" s="663"/>
      <c r="N1348" s="665"/>
      <c r="O1348" s="665"/>
      <c r="P1348" s="666"/>
      <c r="Q1348" s="667"/>
      <c r="R1348" s="668"/>
      <c r="S1348" s="693"/>
      <c r="T1348" s="694"/>
      <c r="U1348" s="694"/>
      <c r="V1348" s="693"/>
      <c r="W1348" s="693"/>
      <c r="X1348" s="693"/>
      <c r="Y1348" s="671"/>
      <c r="Z1348" s="673"/>
      <c r="AA1348" s="672"/>
      <c r="AB1348" s="695"/>
      <c r="AC1348" s="673"/>
      <c r="AD1348" s="673"/>
      <c r="AE1348" s="673"/>
      <c r="AF1348" s="673"/>
      <c r="AG1348" s="673"/>
      <c r="AH1348" s="673"/>
      <c r="AI1348" s="673"/>
      <c r="AJ1348" s="673"/>
      <c r="AK1348" s="673"/>
      <c r="AL1348" s="673"/>
      <c r="AM1348" s="673"/>
      <c r="AN1348" s="673"/>
      <c r="AO1348" s="673"/>
      <c r="AP1348" s="673"/>
      <c r="AQ1348" s="673"/>
      <c r="AR1348" s="673"/>
      <c r="AS1348" s="673"/>
      <c r="AT1348" s="696"/>
    </row>
    <row r="1349" ht="15.75" customHeight="1">
      <c r="A1349" s="653"/>
      <c r="B1349" s="654"/>
      <c r="C1349" s="691"/>
      <c r="D1349" s="656"/>
      <c r="E1349" s="657"/>
      <c r="F1349" s="658"/>
      <c r="G1349" s="659"/>
      <c r="H1349" s="660"/>
      <c r="I1349" s="659"/>
      <c r="J1349" s="661"/>
      <c r="K1349" s="692"/>
      <c r="L1349" s="645"/>
      <c r="M1349" s="663"/>
      <c r="N1349" s="665"/>
      <c r="O1349" s="665"/>
      <c r="P1349" s="666"/>
      <c r="Q1349" s="667"/>
      <c r="R1349" s="668"/>
      <c r="S1349" s="693"/>
      <c r="T1349" s="694"/>
      <c r="U1349" s="694"/>
      <c r="V1349" s="693"/>
      <c r="W1349" s="693"/>
      <c r="X1349" s="693"/>
      <c r="Y1349" s="671"/>
      <c r="Z1349" s="673"/>
      <c r="AA1349" s="672"/>
      <c r="AB1349" s="695"/>
      <c r="AC1349" s="673"/>
      <c r="AD1349" s="673"/>
      <c r="AE1349" s="673"/>
      <c r="AF1349" s="673"/>
      <c r="AG1349" s="673"/>
      <c r="AH1349" s="673"/>
      <c r="AI1349" s="673"/>
      <c r="AJ1349" s="673"/>
      <c r="AK1349" s="673"/>
      <c r="AL1349" s="673"/>
      <c r="AM1349" s="673"/>
      <c r="AN1349" s="673"/>
      <c r="AO1349" s="673"/>
      <c r="AP1349" s="673"/>
      <c r="AQ1349" s="673"/>
      <c r="AR1349" s="673"/>
      <c r="AS1349" s="673"/>
      <c r="AT1349" s="696"/>
    </row>
    <row r="1350" ht="15.75" customHeight="1">
      <c r="A1350" s="653"/>
      <c r="B1350" s="654"/>
      <c r="C1350" s="691"/>
      <c r="D1350" s="656"/>
      <c r="E1350" s="657"/>
      <c r="F1350" s="658"/>
      <c r="G1350" s="659"/>
      <c r="H1350" s="660"/>
      <c r="I1350" s="659"/>
      <c r="J1350" s="661"/>
      <c r="K1350" s="692"/>
      <c r="L1350" s="645"/>
      <c r="M1350" s="663"/>
      <c r="N1350" s="665"/>
      <c r="O1350" s="665"/>
      <c r="P1350" s="666"/>
      <c r="Q1350" s="667"/>
      <c r="R1350" s="668"/>
      <c r="S1350" s="693"/>
      <c r="T1350" s="694"/>
      <c r="U1350" s="694"/>
      <c r="V1350" s="693"/>
      <c r="W1350" s="693"/>
      <c r="X1350" s="693"/>
      <c r="Y1350" s="671"/>
      <c r="Z1350" s="673"/>
      <c r="AA1350" s="672"/>
      <c r="AB1350" s="695"/>
      <c r="AC1350" s="673"/>
      <c r="AD1350" s="673"/>
      <c r="AE1350" s="673"/>
      <c r="AF1350" s="673"/>
      <c r="AG1350" s="673"/>
      <c r="AH1350" s="673"/>
      <c r="AI1350" s="673"/>
      <c r="AJ1350" s="673"/>
      <c r="AK1350" s="673"/>
      <c r="AL1350" s="673"/>
      <c r="AM1350" s="673"/>
      <c r="AN1350" s="673"/>
      <c r="AO1350" s="673"/>
      <c r="AP1350" s="673"/>
      <c r="AQ1350" s="673"/>
      <c r="AR1350" s="673"/>
      <c r="AS1350" s="673"/>
      <c r="AT1350" s="696"/>
    </row>
    <row r="1351" ht="15.75" customHeight="1">
      <c r="A1351" s="653"/>
      <c r="B1351" s="654"/>
      <c r="C1351" s="691"/>
      <c r="D1351" s="656"/>
      <c r="E1351" s="657"/>
      <c r="F1351" s="658"/>
      <c r="G1351" s="659"/>
      <c r="H1351" s="660"/>
      <c r="I1351" s="659"/>
      <c r="J1351" s="661"/>
      <c r="K1351" s="692"/>
      <c r="L1351" s="645"/>
      <c r="M1351" s="663"/>
      <c r="N1351" s="665"/>
      <c r="O1351" s="665"/>
      <c r="P1351" s="666"/>
      <c r="Q1351" s="667"/>
      <c r="R1351" s="668"/>
      <c r="S1351" s="693"/>
      <c r="T1351" s="694"/>
      <c r="U1351" s="694"/>
      <c r="V1351" s="693"/>
      <c r="W1351" s="693"/>
      <c r="X1351" s="693"/>
      <c r="Y1351" s="671"/>
      <c r="Z1351" s="673"/>
      <c r="AA1351" s="672"/>
      <c r="AB1351" s="695"/>
      <c r="AC1351" s="673"/>
      <c r="AD1351" s="673"/>
      <c r="AE1351" s="673"/>
      <c r="AF1351" s="673"/>
      <c r="AG1351" s="673"/>
      <c r="AH1351" s="673"/>
      <c r="AI1351" s="673"/>
      <c r="AJ1351" s="673"/>
      <c r="AK1351" s="673"/>
      <c r="AL1351" s="673"/>
      <c r="AM1351" s="673"/>
      <c r="AN1351" s="673"/>
      <c r="AO1351" s="673"/>
      <c r="AP1351" s="673"/>
      <c r="AQ1351" s="673"/>
      <c r="AR1351" s="673"/>
      <c r="AS1351" s="673"/>
      <c r="AT1351" s="696"/>
    </row>
    <row r="1352" ht="15.75" customHeight="1">
      <c r="A1352" s="653"/>
      <c r="B1352" s="654"/>
      <c r="C1352" s="691"/>
      <c r="D1352" s="656"/>
      <c r="E1352" s="657"/>
      <c r="F1352" s="658"/>
      <c r="G1352" s="659"/>
      <c r="H1352" s="660"/>
      <c r="I1352" s="659"/>
      <c r="J1352" s="661"/>
      <c r="K1352" s="692"/>
      <c r="L1352" s="645"/>
      <c r="M1352" s="663"/>
      <c r="N1352" s="665"/>
      <c r="O1352" s="665"/>
      <c r="P1352" s="666"/>
      <c r="Q1352" s="667"/>
      <c r="R1352" s="668"/>
      <c r="S1352" s="693"/>
      <c r="T1352" s="694"/>
      <c r="U1352" s="694"/>
      <c r="V1352" s="693"/>
      <c r="W1352" s="693"/>
      <c r="X1352" s="693"/>
      <c r="Y1352" s="671"/>
      <c r="Z1352" s="673"/>
      <c r="AA1352" s="672"/>
      <c r="AB1352" s="695"/>
      <c r="AC1352" s="673"/>
      <c r="AD1352" s="673"/>
      <c r="AE1352" s="673"/>
      <c r="AF1352" s="673"/>
      <c r="AG1352" s="673"/>
      <c r="AH1352" s="673"/>
      <c r="AI1352" s="673"/>
      <c r="AJ1352" s="673"/>
      <c r="AK1352" s="673"/>
      <c r="AL1352" s="673"/>
      <c r="AM1352" s="673"/>
      <c r="AN1352" s="673"/>
      <c r="AO1352" s="673"/>
      <c r="AP1352" s="673"/>
      <c r="AQ1352" s="673"/>
      <c r="AR1352" s="673"/>
      <c r="AS1352" s="673"/>
      <c r="AT1352" s="696"/>
    </row>
    <row r="1353" ht="15.75" customHeight="1">
      <c r="A1353" s="653"/>
      <c r="B1353" s="654"/>
      <c r="C1353" s="691"/>
      <c r="D1353" s="656"/>
      <c r="E1353" s="657"/>
      <c r="F1353" s="658"/>
      <c r="G1353" s="659"/>
      <c r="H1353" s="660"/>
      <c r="I1353" s="659"/>
      <c r="J1353" s="661"/>
      <c r="K1353" s="692"/>
      <c r="L1353" s="645"/>
      <c r="M1353" s="663"/>
      <c r="N1353" s="665"/>
      <c r="O1353" s="665"/>
      <c r="P1353" s="666"/>
      <c r="Q1353" s="667"/>
      <c r="R1353" s="668"/>
      <c r="S1353" s="693"/>
      <c r="T1353" s="694"/>
      <c r="U1353" s="694"/>
      <c r="V1353" s="693"/>
      <c r="W1353" s="693"/>
      <c r="X1353" s="693"/>
      <c r="Y1353" s="671"/>
      <c r="Z1353" s="673"/>
      <c r="AA1353" s="672"/>
      <c r="AB1353" s="695"/>
      <c r="AC1353" s="673"/>
      <c r="AD1353" s="673"/>
      <c r="AE1353" s="673"/>
      <c r="AF1353" s="673"/>
      <c r="AG1353" s="673"/>
      <c r="AH1353" s="673"/>
      <c r="AI1353" s="673"/>
      <c r="AJ1353" s="673"/>
      <c r="AK1353" s="673"/>
      <c r="AL1353" s="673"/>
      <c r="AM1353" s="673"/>
      <c r="AN1353" s="673"/>
      <c r="AO1353" s="673"/>
      <c r="AP1353" s="673"/>
      <c r="AQ1353" s="673"/>
      <c r="AR1353" s="673"/>
      <c r="AS1353" s="673"/>
      <c r="AT1353" s="696"/>
    </row>
    <row r="1354" ht="15.75" customHeight="1">
      <c r="A1354" s="653"/>
      <c r="B1354" s="654"/>
      <c r="C1354" s="691"/>
      <c r="D1354" s="656"/>
      <c r="E1354" s="657"/>
      <c r="F1354" s="658"/>
      <c r="G1354" s="659"/>
      <c r="H1354" s="660"/>
      <c r="I1354" s="659"/>
      <c r="J1354" s="661"/>
      <c r="K1354" s="692"/>
      <c r="L1354" s="645"/>
      <c r="M1354" s="663"/>
      <c r="N1354" s="665"/>
      <c r="O1354" s="665"/>
      <c r="P1354" s="666"/>
      <c r="Q1354" s="667"/>
      <c r="R1354" s="668"/>
      <c r="S1354" s="693"/>
      <c r="T1354" s="694"/>
      <c r="U1354" s="694"/>
      <c r="V1354" s="693"/>
      <c r="W1354" s="693"/>
      <c r="X1354" s="693"/>
      <c r="Y1354" s="671"/>
      <c r="Z1354" s="673"/>
      <c r="AA1354" s="672"/>
      <c r="AB1354" s="695"/>
      <c r="AC1354" s="673"/>
      <c r="AD1354" s="673"/>
      <c r="AE1354" s="673"/>
      <c r="AF1354" s="673"/>
      <c r="AG1354" s="673"/>
      <c r="AH1354" s="673"/>
      <c r="AI1354" s="673"/>
      <c r="AJ1354" s="673"/>
      <c r="AK1354" s="673"/>
      <c r="AL1354" s="673"/>
      <c r="AM1354" s="673"/>
      <c r="AN1354" s="673"/>
      <c r="AO1354" s="673"/>
      <c r="AP1354" s="673"/>
      <c r="AQ1354" s="673"/>
      <c r="AR1354" s="673"/>
      <c r="AS1354" s="673"/>
      <c r="AT1354" s="696"/>
    </row>
    <row r="1355" ht="15.75" customHeight="1">
      <c r="A1355" s="653"/>
      <c r="B1355" s="654"/>
      <c r="C1355" s="691"/>
      <c r="D1355" s="656"/>
      <c r="E1355" s="657"/>
      <c r="F1355" s="658"/>
      <c r="G1355" s="659"/>
      <c r="H1355" s="660"/>
      <c r="I1355" s="659"/>
      <c r="J1355" s="661"/>
      <c r="K1355" s="692"/>
      <c r="L1355" s="645"/>
      <c r="M1355" s="663"/>
      <c r="N1355" s="665"/>
      <c r="O1355" s="665"/>
      <c r="P1355" s="666"/>
      <c r="Q1355" s="667"/>
      <c r="R1355" s="668"/>
      <c r="S1355" s="693"/>
      <c r="T1355" s="694"/>
      <c r="U1355" s="694"/>
      <c r="V1355" s="693"/>
      <c r="W1355" s="693"/>
      <c r="X1355" s="693"/>
      <c r="Y1355" s="671"/>
      <c r="Z1355" s="673"/>
      <c r="AA1355" s="672"/>
      <c r="AB1355" s="695"/>
      <c r="AC1355" s="673"/>
      <c r="AD1355" s="673"/>
      <c r="AE1355" s="673"/>
      <c r="AF1355" s="673"/>
      <c r="AG1355" s="673"/>
      <c r="AH1355" s="673"/>
      <c r="AI1355" s="673"/>
      <c r="AJ1355" s="673"/>
      <c r="AK1355" s="673"/>
      <c r="AL1355" s="673"/>
      <c r="AM1355" s="673"/>
      <c r="AN1355" s="673"/>
      <c r="AO1355" s="673"/>
      <c r="AP1355" s="673"/>
      <c r="AQ1355" s="673"/>
      <c r="AR1355" s="673"/>
      <c r="AS1355" s="673"/>
      <c r="AT1355" s="696"/>
    </row>
    <row r="1356" ht="15.75" customHeight="1">
      <c r="A1356" s="653"/>
      <c r="B1356" s="654"/>
      <c r="C1356" s="691"/>
      <c r="D1356" s="656"/>
      <c r="E1356" s="657"/>
      <c r="F1356" s="658"/>
      <c r="G1356" s="659"/>
      <c r="H1356" s="660"/>
      <c r="I1356" s="659"/>
      <c r="J1356" s="661"/>
      <c r="K1356" s="692"/>
      <c r="L1356" s="645"/>
      <c r="M1356" s="663"/>
      <c r="N1356" s="665"/>
      <c r="O1356" s="665"/>
      <c r="P1356" s="666"/>
      <c r="Q1356" s="667"/>
      <c r="R1356" s="668"/>
      <c r="S1356" s="693"/>
      <c r="T1356" s="694"/>
      <c r="U1356" s="694"/>
      <c r="V1356" s="693"/>
      <c r="W1356" s="693"/>
      <c r="X1356" s="693"/>
      <c r="Y1356" s="671"/>
      <c r="Z1356" s="673"/>
      <c r="AA1356" s="672"/>
      <c r="AB1356" s="695"/>
      <c r="AC1356" s="673"/>
      <c r="AD1356" s="673"/>
      <c r="AE1356" s="673"/>
      <c r="AF1356" s="673"/>
      <c r="AG1356" s="673"/>
      <c r="AH1356" s="673"/>
      <c r="AI1356" s="673"/>
      <c r="AJ1356" s="673"/>
      <c r="AK1356" s="673"/>
      <c r="AL1356" s="673"/>
      <c r="AM1356" s="673"/>
      <c r="AN1356" s="673"/>
      <c r="AO1356" s="673"/>
      <c r="AP1356" s="673"/>
      <c r="AQ1356" s="673"/>
      <c r="AR1356" s="673"/>
      <c r="AS1356" s="673"/>
      <c r="AT1356" s="696"/>
    </row>
    <row r="1357" ht="15.75" customHeight="1">
      <c r="A1357" s="653"/>
      <c r="B1357" s="654"/>
      <c r="C1357" s="691"/>
      <c r="D1357" s="656"/>
      <c r="E1357" s="657"/>
      <c r="F1357" s="658"/>
      <c r="G1357" s="659"/>
      <c r="H1357" s="660"/>
      <c r="I1357" s="659"/>
      <c r="J1357" s="661"/>
      <c r="K1357" s="692"/>
      <c r="L1357" s="645"/>
      <c r="M1357" s="663"/>
      <c r="N1357" s="665"/>
      <c r="O1357" s="665"/>
      <c r="P1357" s="666"/>
      <c r="Q1357" s="667"/>
      <c r="R1357" s="668"/>
      <c r="S1357" s="693"/>
      <c r="T1357" s="694"/>
      <c r="U1357" s="694"/>
      <c r="V1357" s="693"/>
      <c r="W1357" s="693"/>
      <c r="X1357" s="693"/>
      <c r="Y1357" s="671"/>
      <c r="Z1357" s="673"/>
      <c r="AA1357" s="672"/>
      <c r="AB1357" s="695"/>
      <c r="AC1357" s="673"/>
      <c r="AD1357" s="673"/>
      <c r="AE1357" s="673"/>
      <c r="AF1357" s="673"/>
      <c r="AG1357" s="673"/>
      <c r="AH1357" s="673"/>
      <c r="AI1357" s="673"/>
      <c r="AJ1357" s="673"/>
      <c r="AK1357" s="673"/>
      <c r="AL1357" s="673"/>
      <c r="AM1357" s="673"/>
      <c r="AN1357" s="673"/>
      <c r="AO1357" s="673"/>
      <c r="AP1357" s="673"/>
      <c r="AQ1357" s="673"/>
      <c r="AR1357" s="673"/>
      <c r="AS1357" s="673"/>
      <c r="AT1357" s="696"/>
    </row>
    <row r="1358" ht="15.75" customHeight="1">
      <c r="A1358" s="653"/>
      <c r="B1358" s="654"/>
      <c r="C1358" s="691"/>
      <c r="D1358" s="656"/>
      <c r="E1358" s="657"/>
      <c r="F1358" s="658"/>
      <c r="G1358" s="659"/>
      <c r="H1358" s="660"/>
      <c r="I1358" s="659"/>
      <c r="J1358" s="661"/>
      <c r="K1358" s="692"/>
      <c r="L1358" s="645"/>
      <c r="M1358" s="663"/>
      <c r="N1358" s="665"/>
      <c r="O1358" s="665"/>
      <c r="P1358" s="666"/>
      <c r="Q1358" s="667"/>
      <c r="R1358" s="668"/>
      <c r="S1358" s="693"/>
      <c r="T1358" s="694"/>
      <c r="U1358" s="694"/>
      <c r="V1358" s="693"/>
      <c r="W1358" s="693"/>
      <c r="X1358" s="693"/>
      <c r="Y1358" s="671"/>
      <c r="Z1358" s="673"/>
      <c r="AA1358" s="672"/>
      <c r="AB1358" s="695"/>
      <c r="AC1358" s="673"/>
      <c r="AD1358" s="673"/>
      <c r="AE1358" s="673"/>
      <c r="AF1358" s="673"/>
      <c r="AG1358" s="673"/>
      <c r="AH1358" s="673"/>
      <c r="AI1358" s="673"/>
      <c r="AJ1358" s="673"/>
      <c r="AK1358" s="673"/>
      <c r="AL1358" s="673"/>
      <c r="AM1358" s="673"/>
      <c r="AN1358" s="673"/>
      <c r="AO1358" s="673"/>
      <c r="AP1358" s="673"/>
      <c r="AQ1358" s="673"/>
      <c r="AR1358" s="673"/>
      <c r="AS1358" s="673"/>
      <c r="AT1358" s="696"/>
    </row>
    <row r="1359" ht="15.75" customHeight="1">
      <c r="A1359" s="653"/>
      <c r="B1359" s="654"/>
      <c r="C1359" s="691"/>
      <c r="D1359" s="656"/>
      <c r="E1359" s="657"/>
      <c r="F1359" s="658"/>
      <c r="G1359" s="659"/>
      <c r="H1359" s="660"/>
      <c r="I1359" s="659"/>
      <c r="J1359" s="661"/>
      <c r="K1359" s="692"/>
      <c r="L1359" s="645"/>
      <c r="M1359" s="663"/>
      <c r="N1359" s="665"/>
      <c r="O1359" s="665"/>
      <c r="P1359" s="666"/>
      <c r="Q1359" s="667"/>
      <c r="R1359" s="668"/>
      <c r="S1359" s="693"/>
      <c r="T1359" s="694"/>
      <c r="U1359" s="694"/>
      <c r="V1359" s="693"/>
      <c r="W1359" s="693"/>
      <c r="X1359" s="693"/>
      <c r="Y1359" s="671"/>
      <c r="Z1359" s="673"/>
      <c r="AA1359" s="672"/>
      <c r="AB1359" s="695"/>
      <c r="AC1359" s="673"/>
      <c r="AD1359" s="673"/>
      <c r="AE1359" s="673"/>
      <c r="AF1359" s="673"/>
      <c r="AG1359" s="673"/>
      <c r="AH1359" s="673"/>
      <c r="AI1359" s="673"/>
      <c r="AJ1359" s="673"/>
      <c r="AK1359" s="673"/>
      <c r="AL1359" s="673"/>
      <c r="AM1359" s="673"/>
      <c r="AN1359" s="673"/>
      <c r="AO1359" s="673"/>
      <c r="AP1359" s="673"/>
      <c r="AQ1359" s="673"/>
      <c r="AR1359" s="673"/>
      <c r="AS1359" s="673"/>
      <c r="AT1359" s="696"/>
    </row>
    <row r="1360" ht="15.75" customHeight="1">
      <c r="A1360" s="653"/>
      <c r="B1360" s="654"/>
      <c r="C1360" s="691"/>
      <c r="D1360" s="656"/>
      <c r="E1360" s="657"/>
      <c r="F1360" s="658"/>
      <c r="G1360" s="659"/>
      <c r="H1360" s="660"/>
      <c r="I1360" s="659"/>
      <c r="J1360" s="661"/>
      <c r="K1360" s="692"/>
      <c r="L1360" s="645"/>
      <c r="M1360" s="663"/>
      <c r="N1360" s="665"/>
      <c r="O1360" s="665"/>
      <c r="P1360" s="666"/>
      <c r="Q1360" s="667"/>
      <c r="R1360" s="668"/>
      <c r="S1360" s="693"/>
      <c r="T1360" s="694"/>
      <c r="U1360" s="694"/>
      <c r="V1360" s="693"/>
      <c r="W1360" s="693"/>
      <c r="X1360" s="693"/>
      <c r="Y1360" s="671"/>
      <c r="Z1360" s="673"/>
      <c r="AA1360" s="672"/>
      <c r="AB1360" s="695"/>
      <c r="AC1360" s="673"/>
      <c r="AD1360" s="673"/>
      <c r="AE1360" s="673"/>
      <c r="AF1360" s="673"/>
      <c r="AG1360" s="673"/>
      <c r="AH1360" s="673"/>
      <c r="AI1360" s="673"/>
      <c r="AJ1360" s="673"/>
      <c r="AK1360" s="673"/>
      <c r="AL1360" s="673"/>
      <c r="AM1360" s="673"/>
      <c r="AN1360" s="673"/>
      <c r="AO1360" s="673"/>
      <c r="AP1360" s="673"/>
      <c r="AQ1360" s="673"/>
      <c r="AR1360" s="673"/>
      <c r="AS1360" s="673"/>
      <c r="AT1360" s="696"/>
    </row>
    <row r="1361" ht="15.75" customHeight="1">
      <c r="A1361" s="653"/>
      <c r="B1361" s="654"/>
      <c r="C1361" s="691"/>
      <c r="D1361" s="656"/>
      <c r="E1361" s="657"/>
      <c r="F1361" s="658"/>
      <c r="G1361" s="659"/>
      <c r="H1361" s="660"/>
      <c r="I1361" s="659"/>
      <c r="J1361" s="661"/>
      <c r="K1361" s="692"/>
      <c r="L1361" s="645"/>
      <c r="M1361" s="663"/>
      <c r="N1361" s="665"/>
      <c r="O1361" s="665"/>
      <c r="P1361" s="666"/>
      <c r="Q1361" s="667"/>
      <c r="R1361" s="668"/>
      <c r="S1361" s="693"/>
      <c r="T1361" s="694"/>
      <c r="U1361" s="694"/>
      <c r="V1361" s="693"/>
      <c r="W1361" s="693"/>
      <c r="X1361" s="693"/>
      <c r="Y1361" s="671"/>
      <c r="Z1361" s="673"/>
      <c r="AA1361" s="672"/>
      <c r="AB1361" s="695"/>
      <c r="AC1361" s="673"/>
      <c r="AD1361" s="673"/>
      <c r="AE1361" s="673"/>
      <c r="AF1361" s="673"/>
      <c r="AG1361" s="673"/>
      <c r="AH1361" s="673"/>
      <c r="AI1361" s="673"/>
      <c r="AJ1361" s="673"/>
      <c r="AK1361" s="673"/>
      <c r="AL1361" s="673"/>
      <c r="AM1361" s="673"/>
      <c r="AN1361" s="673"/>
      <c r="AO1361" s="673"/>
      <c r="AP1361" s="673"/>
      <c r="AQ1361" s="673"/>
      <c r="AR1361" s="673"/>
      <c r="AS1361" s="673"/>
      <c r="AT1361" s="696"/>
    </row>
    <row r="1362" ht="15.75" customHeight="1">
      <c r="A1362" s="653"/>
      <c r="B1362" s="654"/>
      <c r="C1362" s="691"/>
      <c r="D1362" s="656"/>
      <c r="E1362" s="657"/>
      <c r="F1362" s="658"/>
      <c r="G1362" s="659"/>
      <c r="H1362" s="660"/>
      <c r="I1362" s="659"/>
      <c r="J1362" s="661"/>
      <c r="K1362" s="692"/>
      <c r="L1362" s="645"/>
      <c r="M1362" s="663"/>
      <c r="N1362" s="665"/>
      <c r="O1362" s="665"/>
      <c r="P1362" s="666"/>
      <c r="Q1362" s="667"/>
      <c r="R1362" s="668"/>
      <c r="S1362" s="693"/>
      <c r="T1362" s="694"/>
      <c r="U1362" s="694"/>
      <c r="V1362" s="693"/>
      <c r="W1362" s="693"/>
      <c r="X1362" s="693"/>
      <c r="Y1362" s="671"/>
      <c r="Z1362" s="673"/>
      <c r="AA1362" s="672"/>
      <c r="AB1362" s="695"/>
      <c r="AC1362" s="673"/>
      <c r="AD1362" s="673"/>
      <c r="AE1362" s="673"/>
      <c r="AF1362" s="673"/>
      <c r="AG1362" s="673"/>
      <c r="AH1362" s="673"/>
      <c r="AI1362" s="673"/>
      <c r="AJ1362" s="673"/>
      <c r="AK1362" s="673"/>
      <c r="AL1362" s="673"/>
      <c r="AM1362" s="673"/>
      <c r="AN1362" s="673"/>
      <c r="AO1362" s="673"/>
      <c r="AP1362" s="673"/>
      <c r="AQ1362" s="673"/>
      <c r="AR1362" s="673"/>
      <c r="AS1362" s="673"/>
      <c r="AT1362" s="696"/>
    </row>
    <row r="1363" ht="15.75" customHeight="1">
      <c r="A1363" s="653"/>
      <c r="B1363" s="654"/>
      <c r="C1363" s="691"/>
      <c r="D1363" s="656"/>
      <c r="E1363" s="657"/>
      <c r="F1363" s="658"/>
      <c r="G1363" s="659"/>
      <c r="H1363" s="660"/>
      <c r="I1363" s="659"/>
      <c r="J1363" s="661"/>
      <c r="K1363" s="692"/>
      <c r="L1363" s="645"/>
      <c r="M1363" s="663"/>
      <c r="N1363" s="665"/>
      <c r="O1363" s="665"/>
      <c r="P1363" s="666"/>
      <c r="Q1363" s="667"/>
      <c r="R1363" s="668"/>
      <c r="S1363" s="693"/>
      <c r="T1363" s="694"/>
      <c r="U1363" s="694"/>
      <c r="V1363" s="693"/>
      <c r="W1363" s="693"/>
      <c r="X1363" s="693"/>
      <c r="Y1363" s="671"/>
      <c r="Z1363" s="673"/>
      <c r="AA1363" s="672"/>
      <c r="AB1363" s="695"/>
      <c r="AC1363" s="673"/>
      <c r="AD1363" s="673"/>
      <c r="AE1363" s="673"/>
      <c r="AF1363" s="673"/>
      <c r="AG1363" s="673"/>
      <c r="AH1363" s="673"/>
      <c r="AI1363" s="673"/>
      <c r="AJ1363" s="673"/>
      <c r="AK1363" s="673"/>
      <c r="AL1363" s="673"/>
      <c r="AM1363" s="673"/>
      <c r="AN1363" s="673"/>
      <c r="AO1363" s="673"/>
      <c r="AP1363" s="673"/>
      <c r="AQ1363" s="673"/>
      <c r="AR1363" s="673"/>
      <c r="AS1363" s="673"/>
      <c r="AT1363" s="696"/>
    </row>
    <row r="1364" ht="15.75" customHeight="1">
      <c r="A1364" s="653"/>
      <c r="B1364" s="654"/>
      <c r="C1364" s="691"/>
      <c r="D1364" s="656"/>
      <c r="E1364" s="657"/>
      <c r="F1364" s="658"/>
      <c r="G1364" s="659"/>
      <c r="H1364" s="660"/>
      <c r="I1364" s="659"/>
      <c r="J1364" s="661"/>
      <c r="K1364" s="692"/>
      <c r="L1364" s="645"/>
      <c r="M1364" s="663"/>
      <c r="N1364" s="665"/>
      <c r="O1364" s="665"/>
      <c r="P1364" s="666"/>
      <c r="Q1364" s="667"/>
      <c r="R1364" s="668"/>
      <c r="S1364" s="693"/>
      <c r="T1364" s="694"/>
      <c r="U1364" s="694"/>
      <c r="V1364" s="693"/>
      <c r="W1364" s="693"/>
      <c r="X1364" s="693"/>
      <c r="Y1364" s="671"/>
      <c r="Z1364" s="673"/>
      <c r="AA1364" s="672"/>
      <c r="AB1364" s="695"/>
      <c r="AC1364" s="673"/>
      <c r="AD1364" s="673"/>
      <c r="AE1364" s="673"/>
      <c r="AF1364" s="673"/>
      <c r="AG1364" s="673"/>
      <c r="AH1364" s="673"/>
      <c r="AI1364" s="673"/>
      <c r="AJ1364" s="673"/>
      <c r="AK1364" s="673"/>
      <c r="AL1364" s="673"/>
      <c r="AM1364" s="673"/>
      <c r="AN1364" s="673"/>
      <c r="AO1364" s="673"/>
      <c r="AP1364" s="673"/>
      <c r="AQ1364" s="673"/>
      <c r="AR1364" s="673"/>
      <c r="AS1364" s="673"/>
      <c r="AT1364" s="696"/>
    </row>
    <row r="1365" ht="15.75" customHeight="1">
      <c r="A1365" s="653"/>
      <c r="B1365" s="654"/>
      <c r="C1365" s="691"/>
      <c r="D1365" s="656"/>
      <c r="E1365" s="657"/>
      <c r="F1365" s="658"/>
      <c r="G1365" s="659"/>
      <c r="H1365" s="660"/>
      <c r="I1365" s="659"/>
      <c r="J1365" s="661"/>
      <c r="K1365" s="692"/>
      <c r="L1365" s="645"/>
      <c r="M1365" s="663"/>
      <c r="N1365" s="665"/>
      <c r="O1365" s="665"/>
      <c r="P1365" s="666"/>
      <c r="Q1365" s="667"/>
      <c r="R1365" s="668"/>
      <c r="S1365" s="693"/>
      <c r="T1365" s="694"/>
      <c r="U1365" s="694"/>
      <c r="V1365" s="693"/>
      <c r="W1365" s="693"/>
      <c r="X1365" s="693"/>
      <c r="Y1365" s="671"/>
      <c r="Z1365" s="673"/>
      <c r="AA1365" s="672"/>
      <c r="AB1365" s="695"/>
      <c r="AC1365" s="673"/>
      <c r="AD1365" s="673"/>
      <c r="AE1365" s="673"/>
      <c r="AF1365" s="673"/>
      <c r="AG1365" s="673"/>
      <c r="AH1365" s="673"/>
      <c r="AI1365" s="673"/>
      <c r="AJ1365" s="673"/>
      <c r="AK1365" s="673"/>
      <c r="AL1365" s="673"/>
      <c r="AM1365" s="673"/>
      <c r="AN1365" s="673"/>
      <c r="AO1365" s="673"/>
      <c r="AP1365" s="673"/>
      <c r="AQ1365" s="673"/>
      <c r="AR1365" s="673"/>
      <c r="AS1365" s="673"/>
      <c r="AT1365" s="696"/>
    </row>
    <row r="1366" ht="15.75" customHeight="1">
      <c r="A1366" s="653"/>
      <c r="B1366" s="654"/>
      <c r="C1366" s="691"/>
      <c r="D1366" s="656"/>
      <c r="E1366" s="657"/>
      <c r="F1366" s="658"/>
      <c r="G1366" s="659"/>
      <c r="H1366" s="660"/>
      <c r="I1366" s="659"/>
      <c r="J1366" s="661"/>
      <c r="K1366" s="692"/>
      <c r="L1366" s="645"/>
      <c r="M1366" s="663"/>
      <c r="N1366" s="665"/>
      <c r="O1366" s="665"/>
      <c r="P1366" s="666"/>
      <c r="Q1366" s="667"/>
      <c r="R1366" s="668"/>
      <c r="S1366" s="693"/>
      <c r="T1366" s="694"/>
      <c r="U1366" s="694"/>
      <c r="V1366" s="693"/>
      <c r="W1366" s="693"/>
      <c r="X1366" s="693"/>
      <c r="Y1366" s="671"/>
      <c r="Z1366" s="673"/>
      <c r="AA1366" s="672"/>
      <c r="AB1366" s="695"/>
      <c r="AC1366" s="673"/>
      <c r="AD1366" s="673"/>
      <c r="AE1366" s="673"/>
      <c r="AF1366" s="673"/>
      <c r="AG1366" s="673"/>
      <c r="AH1366" s="673"/>
      <c r="AI1366" s="673"/>
      <c r="AJ1366" s="673"/>
      <c r="AK1366" s="673"/>
      <c r="AL1366" s="673"/>
      <c r="AM1366" s="673"/>
      <c r="AN1366" s="673"/>
      <c r="AO1366" s="673"/>
      <c r="AP1366" s="673"/>
      <c r="AQ1366" s="673"/>
      <c r="AR1366" s="673"/>
      <c r="AS1366" s="673"/>
      <c r="AT1366" s="696"/>
    </row>
    <row r="1367" ht="15.75" customHeight="1">
      <c r="A1367" s="653"/>
      <c r="B1367" s="654"/>
      <c r="C1367" s="691"/>
      <c r="D1367" s="656"/>
      <c r="E1367" s="657"/>
      <c r="F1367" s="658"/>
      <c r="G1367" s="659"/>
      <c r="H1367" s="660"/>
      <c r="I1367" s="659"/>
      <c r="J1367" s="661"/>
      <c r="K1367" s="692"/>
      <c r="L1367" s="645"/>
      <c r="M1367" s="663"/>
      <c r="N1367" s="665"/>
      <c r="O1367" s="665"/>
      <c r="P1367" s="666"/>
      <c r="Q1367" s="667"/>
      <c r="R1367" s="668"/>
      <c r="S1367" s="693"/>
      <c r="T1367" s="694"/>
      <c r="U1367" s="694"/>
      <c r="V1367" s="693"/>
      <c r="W1367" s="693"/>
      <c r="X1367" s="693"/>
      <c r="Y1367" s="671"/>
      <c r="Z1367" s="673"/>
      <c r="AA1367" s="672"/>
      <c r="AB1367" s="695"/>
      <c r="AC1367" s="673"/>
      <c r="AD1367" s="673"/>
      <c r="AE1367" s="673"/>
      <c r="AF1367" s="673"/>
      <c r="AG1367" s="673"/>
      <c r="AH1367" s="673"/>
      <c r="AI1367" s="673"/>
      <c r="AJ1367" s="673"/>
      <c r="AK1367" s="673"/>
      <c r="AL1367" s="673"/>
      <c r="AM1367" s="673"/>
      <c r="AN1367" s="673"/>
      <c r="AO1367" s="673"/>
      <c r="AP1367" s="673"/>
      <c r="AQ1367" s="673"/>
      <c r="AR1367" s="673"/>
      <c r="AS1367" s="673"/>
      <c r="AT1367" s="696"/>
    </row>
    <row r="1368" ht="15.75" customHeight="1">
      <c r="A1368" s="653"/>
      <c r="B1368" s="654"/>
      <c r="C1368" s="691"/>
      <c r="D1368" s="656"/>
      <c r="E1368" s="657"/>
      <c r="F1368" s="658"/>
      <c r="G1368" s="659"/>
      <c r="H1368" s="660"/>
      <c r="I1368" s="659"/>
      <c r="J1368" s="661"/>
      <c r="K1368" s="692"/>
      <c r="L1368" s="645"/>
      <c r="M1368" s="663"/>
      <c r="N1368" s="665"/>
      <c r="O1368" s="665"/>
      <c r="P1368" s="666"/>
      <c r="Q1368" s="667"/>
      <c r="R1368" s="668"/>
      <c r="S1368" s="693"/>
      <c r="T1368" s="694"/>
      <c r="U1368" s="694"/>
      <c r="V1368" s="693"/>
      <c r="W1368" s="693"/>
      <c r="X1368" s="693"/>
      <c r="Y1368" s="671"/>
      <c r="Z1368" s="673"/>
      <c r="AA1368" s="672"/>
      <c r="AB1368" s="695"/>
      <c r="AC1368" s="673"/>
      <c r="AD1368" s="673"/>
      <c r="AE1368" s="673"/>
      <c r="AF1368" s="673"/>
      <c r="AG1368" s="673"/>
      <c r="AH1368" s="673"/>
      <c r="AI1368" s="673"/>
      <c r="AJ1368" s="673"/>
      <c r="AK1368" s="673"/>
      <c r="AL1368" s="673"/>
      <c r="AM1368" s="673"/>
      <c r="AN1368" s="673"/>
      <c r="AO1368" s="673"/>
      <c r="AP1368" s="673"/>
      <c r="AQ1368" s="673"/>
      <c r="AR1368" s="673"/>
      <c r="AS1368" s="673"/>
      <c r="AT1368" s="696"/>
    </row>
    <row r="1369" ht="15.75" customHeight="1">
      <c r="A1369" s="653"/>
      <c r="B1369" s="654"/>
      <c r="C1369" s="691"/>
      <c r="D1369" s="656"/>
      <c r="E1369" s="657"/>
      <c r="F1369" s="658"/>
      <c r="G1369" s="659"/>
      <c r="H1369" s="660"/>
      <c r="I1369" s="659"/>
      <c r="J1369" s="661"/>
      <c r="K1369" s="692"/>
      <c r="L1369" s="645"/>
      <c r="M1369" s="663"/>
      <c r="N1369" s="665"/>
      <c r="O1369" s="665"/>
      <c r="P1369" s="666"/>
      <c r="Q1369" s="667"/>
      <c r="R1369" s="668"/>
      <c r="S1369" s="693"/>
      <c r="T1369" s="694"/>
      <c r="U1369" s="694"/>
      <c r="V1369" s="693"/>
      <c r="W1369" s="693"/>
      <c r="X1369" s="693"/>
      <c r="Y1369" s="671"/>
      <c r="Z1369" s="673"/>
      <c r="AA1369" s="672"/>
      <c r="AB1369" s="695"/>
      <c r="AC1369" s="673"/>
      <c r="AD1369" s="673"/>
      <c r="AE1369" s="673"/>
      <c r="AF1369" s="673"/>
      <c r="AG1369" s="673"/>
      <c r="AH1369" s="673"/>
      <c r="AI1369" s="673"/>
      <c r="AJ1369" s="673"/>
      <c r="AK1369" s="673"/>
      <c r="AL1369" s="673"/>
      <c r="AM1369" s="673"/>
      <c r="AN1369" s="673"/>
      <c r="AO1369" s="673"/>
      <c r="AP1369" s="673"/>
      <c r="AQ1369" s="673"/>
      <c r="AR1369" s="673"/>
      <c r="AS1369" s="673"/>
      <c r="AT1369" s="696"/>
    </row>
    <row r="1370" ht="15.75" customHeight="1">
      <c r="A1370" s="653"/>
      <c r="B1370" s="654"/>
      <c r="C1370" s="691"/>
      <c r="D1370" s="656"/>
      <c r="E1370" s="657"/>
      <c r="F1370" s="658"/>
      <c r="G1370" s="659"/>
      <c r="H1370" s="660"/>
      <c r="I1370" s="659"/>
      <c r="J1370" s="661"/>
      <c r="K1370" s="692"/>
      <c r="L1370" s="645"/>
      <c r="M1370" s="663"/>
      <c r="N1370" s="665"/>
      <c r="O1370" s="665"/>
      <c r="P1370" s="666"/>
      <c r="Q1370" s="667"/>
      <c r="R1370" s="668"/>
      <c r="S1370" s="693"/>
      <c r="T1370" s="694"/>
      <c r="U1370" s="694"/>
      <c r="V1370" s="693"/>
      <c r="W1370" s="693"/>
      <c r="X1370" s="693"/>
      <c r="Y1370" s="671"/>
      <c r="Z1370" s="673"/>
      <c r="AA1370" s="672"/>
      <c r="AB1370" s="695"/>
      <c r="AC1370" s="673"/>
      <c r="AD1370" s="673"/>
      <c r="AE1370" s="673"/>
      <c r="AF1370" s="673"/>
      <c r="AG1370" s="673"/>
      <c r="AH1370" s="673"/>
      <c r="AI1370" s="673"/>
      <c r="AJ1370" s="673"/>
      <c r="AK1370" s="673"/>
      <c r="AL1370" s="673"/>
      <c r="AM1370" s="673"/>
      <c r="AN1370" s="673"/>
      <c r="AO1370" s="673"/>
      <c r="AP1370" s="673"/>
      <c r="AQ1370" s="673"/>
      <c r="AR1370" s="673"/>
      <c r="AS1370" s="673"/>
      <c r="AT1370" s="696"/>
    </row>
    <row r="1371" ht="15.75" customHeight="1">
      <c r="A1371" s="653"/>
      <c r="B1371" s="654"/>
      <c r="C1371" s="691"/>
      <c r="D1371" s="656"/>
      <c r="E1371" s="657"/>
      <c r="F1371" s="658"/>
      <c r="G1371" s="659"/>
      <c r="H1371" s="660"/>
      <c r="I1371" s="659"/>
      <c r="J1371" s="661"/>
      <c r="K1371" s="692"/>
      <c r="L1371" s="645"/>
      <c r="M1371" s="663"/>
      <c r="N1371" s="665"/>
      <c r="O1371" s="665"/>
      <c r="P1371" s="666"/>
      <c r="Q1371" s="667"/>
      <c r="R1371" s="668"/>
      <c r="S1371" s="693"/>
      <c r="T1371" s="694"/>
      <c r="U1371" s="694"/>
      <c r="V1371" s="693"/>
      <c r="W1371" s="693"/>
      <c r="X1371" s="693"/>
      <c r="Y1371" s="671"/>
      <c r="Z1371" s="673"/>
      <c r="AA1371" s="672"/>
      <c r="AB1371" s="695"/>
      <c r="AC1371" s="673"/>
      <c r="AD1371" s="673"/>
      <c r="AE1371" s="673"/>
      <c r="AF1371" s="673"/>
      <c r="AG1371" s="673"/>
      <c r="AH1371" s="673"/>
      <c r="AI1371" s="673"/>
      <c r="AJ1371" s="673"/>
      <c r="AK1371" s="673"/>
      <c r="AL1371" s="673"/>
      <c r="AM1371" s="673"/>
      <c r="AN1371" s="673"/>
      <c r="AO1371" s="673"/>
      <c r="AP1371" s="673"/>
      <c r="AQ1371" s="673"/>
      <c r="AR1371" s="673"/>
      <c r="AS1371" s="673"/>
      <c r="AT1371" s="696"/>
    </row>
    <row r="1372" ht="15.75" customHeight="1">
      <c r="A1372" s="653"/>
      <c r="B1372" s="654"/>
      <c r="C1372" s="691"/>
      <c r="D1372" s="656"/>
      <c r="E1372" s="657"/>
      <c r="F1372" s="658"/>
      <c r="G1372" s="659"/>
      <c r="H1372" s="660"/>
      <c r="I1372" s="659"/>
      <c r="J1372" s="661"/>
      <c r="K1372" s="692"/>
      <c r="L1372" s="645"/>
      <c r="M1372" s="663"/>
      <c r="N1372" s="665"/>
      <c r="O1372" s="665"/>
      <c r="P1372" s="666"/>
      <c r="Q1372" s="667"/>
      <c r="R1372" s="668"/>
      <c r="S1372" s="693"/>
      <c r="T1372" s="694"/>
      <c r="U1372" s="694"/>
      <c r="V1372" s="693"/>
      <c r="W1372" s="693"/>
      <c r="X1372" s="693"/>
      <c r="Y1372" s="671"/>
      <c r="Z1372" s="673"/>
      <c r="AA1372" s="672"/>
      <c r="AB1372" s="695"/>
      <c r="AC1372" s="673"/>
      <c r="AD1372" s="673"/>
      <c r="AE1372" s="673"/>
      <c r="AF1372" s="673"/>
      <c r="AG1372" s="673"/>
      <c r="AH1372" s="673"/>
      <c r="AI1372" s="673"/>
      <c r="AJ1372" s="673"/>
      <c r="AK1372" s="673"/>
      <c r="AL1372" s="673"/>
      <c r="AM1372" s="673"/>
      <c r="AN1372" s="673"/>
      <c r="AO1372" s="673"/>
      <c r="AP1372" s="673"/>
      <c r="AQ1372" s="673"/>
      <c r="AR1372" s="673"/>
      <c r="AS1372" s="673"/>
      <c r="AT1372" s="696"/>
    </row>
    <row r="1373" ht="15.75" customHeight="1">
      <c r="A1373" s="653"/>
      <c r="B1373" s="654"/>
      <c r="C1373" s="691"/>
      <c r="D1373" s="656"/>
      <c r="E1373" s="657"/>
      <c r="F1373" s="658"/>
      <c r="G1373" s="659"/>
      <c r="H1373" s="660"/>
      <c r="I1373" s="659"/>
      <c r="J1373" s="661"/>
      <c r="K1373" s="692"/>
      <c r="L1373" s="645"/>
      <c r="M1373" s="663"/>
      <c r="N1373" s="665"/>
      <c r="O1373" s="665"/>
      <c r="P1373" s="666"/>
      <c r="Q1373" s="667"/>
      <c r="R1373" s="668"/>
      <c r="S1373" s="693"/>
      <c r="T1373" s="694"/>
      <c r="U1373" s="694"/>
      <c r="V1373" s="693"/>
      <c r="W1373" s="693"/>
      <c r="X1373" s="693"/>
      <c r="Y1373" s="671"/>
      <c r="Z1373" s="673"/>
      <c r="AA1373" s="672"/>
      <c r="AB1373" s="695"/>
      <c r="AC1373" s="673"/>
      <c r="AD1373" s="673"/>
      <c r="AE1373" s="673"/>
      <c r="AF1373" s="673"/>
      <c r="AG1373" s="673"/>
      <c r="AH1373" s="673"/>
      <c r="AI1373" s="673"/>
      <c r="AJ1373" s="673"/>
      <c r="AK1373" s="673"/>
      <c r="AL1373" s="673"/>
      <c r="AM1373" s="673"/>
      <c r="AN1373" s="673"/>
      <c r="AO1373" s="673"/>
      <c r="AP1373" s="673"/>
      <c r="AQ1373" s="673"/>
      <c r="AR1373" s="673"/>
      <c r="AS1373" s="673"/>
      <c r="AT1373" s="696"/>
    </row>
    <row r="1374" ht="15.75" customHeight="1">
      <c r="A1374" s="653"/>
      <c r="B1374" s="654"/>
      <c r="C1374" s="691"/>
      <c r="D1374" s="656"/>
      <c r="E1374" s="657"/>
      <c r="F1374" s="658"/>
      <c r="G1374" s="659"/>
      <c r="H1374" s="660"/>
      <c r="I1374" s="659"/>
      <c r="J1374" s="661"/>
      <c r="K1374" s="692"/>
      <c r="L1374" s="645"/>
      <c r="M1374" s="663"/>
      <c r="N1374" s="665"/>
      <c r="O1374" s="665"/>
      <c r="P1374" s="666"/>
      <c r="Q1374" s="667"/>
      <c r="R1374" s="668"/>
      <c r="S1374" s="693"/>
      <c r="T1374" s="694"/>
      <c r="U1374" s="694"/>
      <c r="V1374" s="693"/>
      <c r="W1374" s="693"/>
      <c r="X1374" s="693"/>
      <c r="Y1374" s="671"/>
      <c r="Z1374" s="673"/>
      <c r="AA1374" s="672"/>
      <c r="AB1374" s="695"/>
      <c r="AC1374" s="673"/>
      <c r="AD1374" s="673"/>
      <c r="AE1374" s="673"/>
      <c r="AF1374" s="673"/>
      <c r="AG1374" s="673"/>
      <c r="AH1374" s="673"/>
      <c r="AI1374" s="673"/>
      <c r="AJ1374" s="673"/>
      <c r="AK1374" s="673"/>
      <c r="AL1374" s="673"/>
      <c r="AM1374" s="673"/>
      <c r="AN1374" s="673"/>
      <c r="AO1374" s="673"/>
      <c r="AP1374" s="673"/>
      <c r="AQ1374" s="673"/>
      <c r="AR1374" s="673"/>
      <c r="AS1374" s="673"/>
      <c r="AT1374" s="696"/>
    </row>
    <row r="1375" ht="15.75" customHeight="1">
      <c r="A1375" s="653"/>
      <c r="B1375" s="654"/>
      <c r="C1375" s="691"/>
      <c r="D1375" s="656"/>
      <c r="E1375" s="657"/>
      <c r="F1375" s="658"/>
      <c r="G1375" s="659"/>
      <c r="H1375" s="660"/>
      <c r="I1375" s="659"/>
      <c r="J1375" s="661"/>
      <c r="K1375" s="692"/>
      <c r="L1375" s="645"/>
      <c r="M1375" s="663"/>
      <c r="N1375" s="665"/>
      <c r="O1375" s="665"/>
      <c r="P1375" s="666"/>
      <c r="Q1375" s="667"/>
      <c r="R1375" s="668"/>
      <c r="S1375" s="693"/>
      <c r="T1375" s="694"/>
      <c r="U1375" s="694"/>
      <c r="V1375" s="693"/>
      <c r="W1375" s="693"/>
      <c r="X1375" s="693"/>
      <c r="Y1375" s="671"/>
      <c r="Z1375" s="673"/>
      <c r="AA1375" s="672"/>
      <c r="AB1375" s="695"/>
      <c r="AC1375" s="673"/>
      <c r="AD1375" s="673"/>
      <c r="AE1375" s="673"/>
      <c r="AF1375" s="673"/>
      <c r="AG1375" s="673"/>
      <c r="AH1375" s="673"/>
      <c r="AI1375" s="673"/>
      <c r="AJ1375" s="673"/>
      <c r="AK1375" s="673"/>
      <c r="AL1375" s="673"/>
      <c r="AM1375" s="673"/>
      <c r="AN1375" s="673"/>
      <c r="AO1375" s="673"/>
      <c r="AP1375" s="673"/>
      <c r="AQ1375" s="673"/>
      <c r="AR1375" s="673"/>
      <c r="AS1375" s="673"/>
      <c r="AT1375" s="696"/>
    </row>
    <row r="1376" ht="15.75" customHeight="1">
      <c r="A1376" s="653"/>
      <c r="B1376" s="654"/>
      <c r="C1376" s="691"/>
      <c r="D1376" s="656"/>
      <c r="E1376" s="657"/>
      <c r="F1376" s="658"/>
      <c r="G1376" s="659"/>
      <c r="H1376" s="660"/>
      <c r="I1376" s="659"/>
      <c r="J1376" s="661"/>
      <c r="K1376" s="692"/>
      <c r="L1376" s="645"/>
      <c r="M1376" s="663"/>
      <c r="N1376" s="665"/>
      <c r="O1376" s="665"/>
      <c r="P1376" s="666"/>
      <c r="Q1376" s="667"/>
      <c r="R1376" s="668"/>
      <c r="S1376" s="693"/>
      <c r="T1376" s="694"/>
      <c r="U1376" s="694"/>
      <c r="V1376" s="693"/>
      <c r="W1376" s="693"/>
      <c r="X1376" s="693"/>
      <c r="Y1376" s="671"/>
      <c r="Z1376" s="673"/>
      <c r="AA1376" s="672"/>
      <c r="AB1376" s="695"/>
      <c r="AC1376" s="673"/>
      <c r="AD1376" s="673"/>
      <c r="AE1376" s="673"/>
      <c r="AF1376" s="673"/>
      <c r="AG1376" s="673"/>
      <c r="AH1376" s="673"/>
      <c r="AI1376" s="673"/>
      <c r="AJ1376" s="673"/>
      <c r="AK1376" s="673"/>
      <c r="AL1376" s="673"/>
      <c r="AM1376" s="673"/>
      <c r="AN1376" s="673"/>
      <c r="AO1376" s="673"/>
      <c r="AP1376" s="673"/>
      <c r="AQ1376" s="673"/>
      <c r="AR1376" s="673"/>
      <c r="AS1376" s="673"/>
      <c r="AT1376" s="696"/>
    </row>
    <row r="1377" ht="15.75" customHeight="1">
      <c r="A1377" s="653"/>
      <c r="B1377" s="654"/>
      <c r="C1377" s="691"/>
      <c r="D1377" s="656"/>
      <c r="E1377" s="657"/>
      <c r="F1377" s="658"/>
      <c r="G1377" s="659"/>
      <c r="H1377" s="660"/>
      <c r="I1377" s="659"/>
      <c r="J1377" s="661"/>
      <c r="K1377" s="692"/>
      <c r="L1377" s="645"/>
      <c r="M1377" s="663"/>
      <c r="N1377" s="665"/>
      <c r="O1377" s="665"/>
      <c r="P1377" s="666"/>
      <c r="Q1377" s="667"/>
      <c r="R1377" s="668"/>
      <c r="S1377" s="693"/>
      <c r="T1377" s="694"/>
      <c r="U1377" s="694"/>
      <c r="V1377" s="693"/>
      <c r="W1377" s="693"/>
      <c r="X1377" s="693"/>
      <c r="Y1377" s="671"/>
      <c r="Z1377" s="673"/>
      <c r="AA1377" s="672"/>
      <c r="AB1377" s="695"/>
      <c r="AC1377" s="673"/>
      <c r="AD1377" s="673"/>
      <c r="AE1377" s="673"/>
      <c r="AF1377" s="673"/>
      <c r="AG1377" s="673"/>
      <c r="AH1377" s="673"/>
      <c r="AI1377" s="673"/>
      <c r="AJ1377" s="673"/>
      <c r="AK1377" s="673"/>
      <c r="AL1377" s="673"/>
      <c r="AM1377" s="673"/>
      <c r="AN1377" s="673"/>
      <c r="AO1377" s="673"/>
      <c r="AP1377" s="673"/>
      <c r="AQ1377" s="673"/>
      <c r="AR1377" s="673"/>
      <c r="AS1377" s="673"/>
      <c r="AT1377" s="696"/>
    </row>
    <row r="1378" ht="15.75" customHeight="1">
      <c r="A1378" s="653"/>
      <c r="B1378" s="654"/>
      <c r="C1378" s="691"/>
      <c r="D1378" s="656"/>
      <c r="E1378" s="657"/>
      <c r="F1378" s="658"/>
      <c r="G1378" s="659"/>
      <c r="H1378" s="660"/>
      <c r="I1378" s="659"/>
      <c r="J1378" s="661"/>
      <c r="K1378" s="692"/>
      <c r="L1378" s="645"/>
      <c r="M1378" s="663"/>
      <c r="N1378" s="665"/>
      <c r="O1378" s="665"/>
      <c r="P1378" s="666"/>
      <c r="Q1378" s="667"/>
      <c r="R1378" s="668"/>
      <c r="S1378" s="693"/>
      <c r="T1378" s="694"/>
      <c r="U1378" s="694"/>
      <c r="V1378" s="693"/>
      <c r="W1378" s="693"/>
      <c r="X1378" s="693"/>
      <c r="Y1378" s="671"/>
      <c r="Z1378" s="673"/>
      <c r="AA1378" s="672"/>
      <c r="AB1378" s="695"/>
      <c r="AC1378" s="673"/>
      <c r="AD1378" s="673"/>
      <c r="AE1378" s="673"/>
      <c r="AF1378" s="673"/>
      <c r="AG1378" s="673"/>
      <c r="AH1378" s="673"/>
      <c r="AI1378" s="673"/>
      <c r="AJ1378" s="673"/>
      <c r="AK1378" s="673"/>
      <c r="AL1378" s="673"/>
      <c r="AM1378" s="673"/>
      <c r="AN1378" s="673"/>
      <c r="AO1378" s="673"/>
      <c r="AP1378" s="673"/>
      <c r="AQ1378" s="673"/>
      <c r="AR1378" s="673"/>
      <c r="AS1378" s="673"/>
      <c r="AT1378" s="696"/>
    </row>
    <row r="1379" ht="15.75" customHeight="1">
      <c r="A1379" s="653"/>
      <c r="B1379" s="654"/>
      <c r="C1379" s="691"/>
      <c r="D1379" s="656"/>
      <c r="E1379" s="657"/>
      <c r="F1379" s="658"/>
      <c r="G1379" s="659"/>
      <c r="H1379" s="660"/>
      <c r="I1379" s="659"/>
      <c r="J1379" s="661"/>
      <c r="K1379" s="692"/>
      <c r="L1379" s="645"/>
      <c r="M1379" s="663"/>
      <c r="N1379" s="665"/>
      <c r="O1379" s="665"/>
      <c r="P1379" s="666"/>
      <c r="Q1379" s="667"/>
      <c r="R1379" s="668"/>
      <c r="S1379" s="693"/>
      <c r="T1379" s="694"/>
      <c r="U1379" s="694"/>
      <c r="V1379" s="693"/>
      <c r="W1379" s="693"/>
      <c r="X1379" s="693"/>
      <c r="Y1379" s="671"/>
      <c r="Z1379" s="673"/>
      <c r="AA1379" s="672"/>
      <c r="AB1379" s="695"/>
      <c r="AC1379" s="673"/>
      <c r="AD1379" s="673"/>
      <c r="AE1379" s="673"/>
      <c r="AF1379" s="673"/>
      <c r="AG1379" s="673"/>
      <c r="AH1379" s="673"/>
      <c r="AI1379" s="673"/>
      <c r="AJ1379" s="673"/>
      <c r="AK1379" s="673"/>
      <c r="AL1379" s="673"/>
      <c r="AM1379" s="673"/>
      <c r="AN1379" s="673"/>
      <c r="AO1379" s="673"/>
      <c r="AP1379" s="673"/>
      <c r="AQ1379" s="673"/>
      <c r="AR1379" s="673"/>
      <c r="AS1379" s="673"/>
      <c r="AT1379" s="696"/>
    </row>
    <row r="1380" ht="15.75" customHeight="1">
      <c r="A1380" s="653"/>
      <c r="B1380" s="654"/>
      <c r="C1380" s="691"/>
      <c r="D1380" s="656"/>
      <c r="E1380" s="657"/>
      <c r="F1380" s="658"/>
      <c r="G1380" s="659"/>
      <c r="H1380" s="660"/>
      <c r="I1380" s="659"/>
      <c r="J1380" s="661"/>
      <c r="K1380" s="692"/>
      <c r="L1380" s="645"/>
      <c r="M1380" s="663"/>
      <c r="N1380" s="665"/>
      <c r="O1380" s="665"/>
      <c r="P1380" s="666"/>
      <c r="Q1380" s="667"/>
      <c r="R1380" s="668"/>
      <c r="S1380" s="693"/>
      <c r="T1380" s="694"/>
      <c r="U1380" s="694"/>
      <c r="V1380" s="693"/>
      <c r="W1380" s="693"/>
      <c r="X1380" s="693"/>
      <c r="Y1380" s="671"/>
      <c r="Z1380" s="673"/>
      <c r="AA1380" s="672"/>
      <c r="AB1380" s="695"/>
      <c r="AC1380" s="673"/>
      <c r="AD1380" s="673"/>
      <c r="AE1380" s="673"/>
      <c r="AF1380" s="673"/>
      <c r="AG1380" s="673"/>
      <c r="AH1380" s="673"/>
      <c r="AI1380" s="673"/>
      <c r="AJ1380" s="673"/>
      <c r="AK1380" s="673"/>
      <c r="AL1380" s="673"/>
      <c r="AM1380" s="673"/>
      <c r="AN1380" s="673"/>
      <c r="AO1380" s="673"/>
      <c r="AP1380" s="673"/>
      <c r="AQ1380" s="673"/>
      <c r="AR1380" s="673"/>
      <c r="AS1380" s="673"/>
      <c r="AT1380" s="696"/>
    </row>
    <row r="1381" ht="15.75" customHeight="1">
      <c r="A1381" s="653"/>
      <c r="B1381" s="654"/>
      <c r="C1381" s="691"/>
      <c r="D1381" s="656"/>
      <c r="E1381" s="657"/>
      <c r="F1381" s="658"/>
      <c r="G1381" s="659"/>
      <c r="H1381" s="660"/>
      <c r="I1381" s="659"/>
      <c r="J1381" s="661"/>
      <c r="K1381" s="692"/>
      <c r="L1381" s="645"/>
      <c r="M1381" s="663"/>
      <c r="N1381" s="665"/>
      <c r="O1381" s="665"/>
      <c r="P1381" s="666"/>
      <c r="Q1381" s="667"/>
      <c r="R1381" s="668"/>
      <c r="S1381" s="693"/>
      <c r="T1381" s="694"/>
      <c r="U1381" s="694"/>
      <c r="V1381" s="693"/>
      <c r="W1381" s="693"/>
      <c r="X1381" s="693"/>
      <c r="Y1381" s="671"/>
      <c r="Z1381" s="673"/>
      <c r="AA1381" s="672"/>
      <c r="AB1381" s="695"/>
      <c r="AC1381" s="673"/>
      <c r="AD1381" s="673"/>
      <c r="AE1381" s="673"/>
      <c r="AF1381" s="673"/>
      <c r="AG1381" s="673"/>
      <c r="AH1381" s="673"/>
      <c r="AI1381" s="673"/>
      <c r="AJ1381" s="673"/>
      <c r="AK1381" s="673"/>
      <c r="AL1381" s="673"/>
      <c r="AM1381" s="673"/>
      <c r="AN1381" s="673"/>
      <c r="AO1381" s="673"/>
      <c r="AP1381" s="673"/>
      <c r="AQ1381" s="673"/>
      <c r="AR1381" s="673"/>
      <c r="AS1381" s="673"/>
      <c r="AT1381" s="696"/>
    </row>
    <row r="1382" ht="15.75" customHeight="1">
      <c r="A1382" s="653"/>
      <c r="B1382" s="654"/>
      <c r="C1382" s="691"/>
      <c r="D1382" s="656"/>
      <c r="E1382" s="657"/>
      <c r="F1382" s="658"/>
      <c r="G1382" s="659"/>
      <c r="H1382" s="660"/>
      <c r="I1382" s="659"/>
      <c r="J1382" s="661"/>
      <c r="K1382" s="692"/>
      <c r="L1382" s="645"/>
      <c r="M1382" s="663"/>
      <c r="N1382" s="665"/>
      <c r="O1382" s="665"/>
      <c r="P1382" s="666"/>
      <c r="Q1382" s="667"/>
      <c r="R1382" s="668"/>
      <c r="S1382" s="693"/>
      <c r="T1382" s="694"/>
      <c r="U1382" s="694"/>
      <c r="V1382" s="693"/>
      <c r="W1382" s="693"/>
      <c r="X1382" s="693"/>
      <c r="Y1382" s="671"/>
      <c r="Z1382" s="673"/>
      <c r="AA1382" s="672"/>
      <c r="AB1382" s="695"/>
      <c r="AC1382" s="673"/>
      <c r="AD1382" s="673"/>
      <c r="AE1382" s="673"/>
      <c r="AF1382" s="673"/>
      <c r="AG1382" s="673"/>
      <c r="AH1382" s="673"/>
      <c r="AI1382" s="673"/>
      <c r="AJ1382" s="673"/>
      <c r="AK1382" s="673"/>
      <c r="AL1382" s="673"/>
      <c r="AM1382" s="673"/>
      <c r="AN1382" s="673"/>
      <c r="AO1382" s="673"/>
      <c r="AP1382" s="673"/>
      <c r="AQ1382" s="673"/>
      <c r="AR1382" s="673"/>
      <c r="AS1382" s="673"/>
      <c r="AT1382" s="696"/>
    </row>
    <row r="1383" ht="15.75" customHeight="1">
      <c r="A1383" s="653"/>
      <c r="B1383" s="654"/>
      <c r="C1383" s="691"/>
      <c r="D1383" s="656"/>
      <c r="E1383" s="657"/>
      <c r="F1383" s="658"/>
      <c r="G1383" s="659"/>
      <c r="H1383" s="660"/>
      <c r="I1383" s="659"/>
      <c r="J1383" s="661"/>
      <c r="K1383" s="692"/>
      <c r="L1383" s="645"/>
      <c r="M1383" s="663"/>
      <c r="N1383" s="665"/>
      <c r="O1383" s="665"/>
      <c r="P1383" s="666"/>
      <c r="Q1383" s="667"/>
      <c r="R1383" s="668"/>
      <c r="S1383" s="693"/>
      <c r="T1383" s="694"/>
      <c r="U1383" s="694"/>
      <c r="V1383" s="693"/>
      <c r="W1383" s="693"/>
      <c r="X1383" s="693"/>
      <c r="Y1383" s="671"/>
      <c r="Z1383" s="673"/>
      <c r="AA1383" s="672"/>
      <c r="AB1383" s="695"/>
      <c r="AC1383" s="673"/>
      <c r="AD1383" s="673"/>
      <c r="AE1383" s="673"/>
      <c r="AF1383" s="673"/>
      <c r="AG1383" s="673"/>
      <c r="AH1383" s="673"/>
      <c r="AI1383" s="673"/>
      <c r="AJ1383" s="673"/>
      <c r="AK1383" s="673"/>
      <c r="AL1383" s="673"/>
      <c r="AM1383" s="673"/>
      <c r="AN1383" s="673"/>
      <c r="AO1383" s="673"/>
      <c r="AP1383" s="673"/>
      <c r="AQ1383" s="673"/>
      <c r="AR1383" s="673"/>
      <c r="AS1383" s="673"/>
      <c r="AT1383" s="696"/>
    </row>
    <row r="1384" ht="15.75" customHeight="1">
      <c r="A1384" s="653"/>
      <c r="B1384" s="654"/>
      <c r="C1384" s="691"/>
      <c r="D1384" s="656"/>
      <c r="E1384" s="657"/>
      <c r="F1384" s="658"/>
      <c r="G1384" s="659"/>
      <c r="H1384" s="660"/>
      <c r="I1384" s="659"/>
      <c r="J1384" s="661"/>
      <c r="K1384" s="692"/>
      <c r="L1384" s="645"/>
      <c r="M1384" s="663"/>
      <c r="N1384" s="665"/>
      <c r="O1384" s="665"/>
      <c r="P1384" s="666"/>
      <c r="Q1384" s="667"/>
      <c r="R1384" s="668"/>
      <c r="S1384" s="693"/>
      <c r="T1384" s="694"/>
      <c r="U1384" s="694"/>
      <c r="V1384" s="693"/>
      <c r="W1384" s="693"/>
      <c r="X1384" s="693"/>
      <c r="Y1384" s="671"/>
      <c r="Z1384" s="673"/>
      <c r="AA1384" s="672"/>
      <c r="AB1384" s="695"/>
      <c r="AC1384" s="673"/>
      <c r="AD1384" s="673"/>
      <c r="AE1384" s="673"/>
      <c r="AF1384" s="673"/>
      <c r="AG1384" s="673"/>
      <c r="AH1384" s="673"/>
      <c r="AI1384" s="673"/>
      <c r="AJ1384" s="673"/>
      <c r="AK1384" s="673"/>
      <c r="AL1384" s="673"/>
      <c r="AM1384" s="673"/>
      <c r="AN1384" s="673"/>
      <c r="AO1384" s="673"/>
      <c r="AP1384" s="673"/>
      <c r="AQ1384" s="673"/>
      <c r="AR1384" s="673"/>
      <c r="AS1384" s="673"/>
      <c r="AT1384" s="696"/>
    </row>
    <row r="1385" ht="15.75" customHeight="1">
      <c r="A1385" s="653"/>
      <c r="B1385" s="654"/>
      <c r="C1385" s="691"/>
      <c r="D1385" s="656"/>
      <c r="E1385" s="657"/>
      <c r="F1385" s="658"/>
      <c r="G1385" s="659"/>
      <c r="H1385" s="660"/>
      <c r="I1385" s="659"/>
      <c r="J1385" s="661"/>
      <c r="K1385" s="692"/>
      <c r="L1385" s="645"/>
      <c r="M1385" s="663"/>
      <c r="N1385" s="665"/>
      <c r="O1385" s="665"/>
      <c r="P1385" s="666"/>
      <c r="Q1385" s="667"/>
      <c r="R1385" s="668"/>
      <c r="S1385" s="693"/>
      <c r="T1385" s="694"/>
      <c r="U1385" s="694"/>
      <c r="V1385" s="693"/>
      <c r="W1385" s="693"/>
      <c r="X1385" s="693"/>
      <c r="Y1385" s="671"/>
      <c r="Z1385" s="673"/>
      <c r="AA1385" s="672"/>
      <c r="AB1385" s="695"/>
      <c r="AC1385" s="673"/>
      <c r="AD1385" s="673"/>
      <c r="AE1385" s="673"/>
      <c r="AF1385" s="673"/>
      <c r="AG1385" s="673"/>
      <c r="AH1385" s="673"/>
      <c r="AI1385" s="673"/>
      <c r="AJ1385" s="673"/>
      <c r="AK1385" s="673"/>
      <c r="AL1385" s="673"/>
      <c r="AM1385" s="673"/>
      <c r="AN1385" s="673"/>
      <c r="AO1385" s="673"/>
      <c r="AP1385" s="673"/>
      <c r="AQ1385" s="673"/>
      <c r="AR1385" s="673"/>
      <c r="AS1385" s="673"/>
      <c r="AT1385" s="696"/>
    </row>
    <row r="1386" ht="15.75" customHeight="1">
      <c r="A1386" s="653"/>
      <c r="B1386" s="654"/>
      <c r="C1386" s="691"/>
      <c r="D1386" s="656"/>
      <c r="E1386" s="657"/>
      <c r="F1386" s="658"/>
      <c r="G1386" s="659"/>
      <c r="H1386" s="660"/>
      <c r="I1386" s="659"/>
      <c r="J1386" s="661"/>
      <c r="K1386" s="692"/>
      <c r="L1386" s="645"/>
      <c r="M1386" s="663"/>
      <c r="N1386" s="665"/>
      <c r="O1386" s="665"/>
      <c r="P1386" s="666"/>
      <c r="Q1386" s="667"/>
      <c r="R1386" s="668"/>
      <c r="S1386" s="693"/>
      <c r="T1386" s="694"/>
      <c r="U1386" s="694"/>
      <c r="V1386" s="693"/>
      <c r="W1386" s="693"/>
      <c r="X1386" s="693"/>
      <c r="Y1386" s="671"/>
      <c r="Z1386" s="673"/>
      <c r="AA1386" s="672"/>
      <c r="AB1386" s="695"/>
      <c r="AC1386" s="673"/>
      <c r="AD1386" s="673"/>
      <c r="AE1386" s="673"/>
      <c r="AF1386" s="673"/>
      <c r="AG1386" s="673"/>
      <c r="AH1386" s="673"/>
      <c r="AI1386" s="673"/>
      <c r="AJ1386" s="673"/>
      <c r="AK1386" s="673"/>
      <c r="AL1386" s="673"/>
      <c r="AM1386" s="673"/>
      <c r="AN1386" s="673"/>
      <c r="AO1386" s="673"/>
      <c r="AP1386" s="673"/>
      <c r="AQ1386" s="673"/>
      <c r="AR1386" s="673"/>
      <c r="AS1386" s="673"/>
      <c r="AT1386" s="696"/>
    </row>
    <row r="1387" ht="15.75" customHeight="1">
      <c r="A1387" s="653"/>
      <c r="B1387" s="654"/>
      <c r="C1387" s="691"/>
      <c r="D1387" s="656"/>
      <c r="E1387" s="657"/>
      <c r="F1387" s="658"/>
      <c r="G1387" s="659"/>
      <c r="H1387" s="660"/>
      <c r="I1387" s="659"/>
      <c r="J1387" s="661"/>
      <c r="K1387" s="692"/>
      <c r="L1387" s="645"/>
      <c r="M1387" s="663"/>
      <c r="N1387" s="665"/>
      <c r="O1387" s="665"/>
      <c r="P1387" s="666"/>
      <c r="Q1387" s="667"/>
      <c r="R1387" s="668"/>
      <c r="S1387" s="693"/>
      <c r="T1387" s="694"/>
      <c r="U1387" s="694"/>
      <c r="V1387" s="693"/>
      <c r="W1387" s="693"/>
      <c r="X1387" s="693"/>
      <c r="Y1387" s="671"/>
      <c r="Z1387" s="673"/>
      <c r="AA1387" s="672"/>
      <c r="AB1387" s="695"/>
      <c r="AC1387" s="673"/>
      <c r="AD1387" s="673"/>
      <c r="AE1387" s="673"/>
      <c r="AF1387" s="673"/>
      <c r="AG1387" s="673"/>
      <c r="AH1387" s="673"/>
      <c r="AI1387" s="673"/>
      <c r="AJ1387" s="673"/>
      <c r="AK1387" s="673"/>
      <c r="AL1387" s="673"/>
      <c r="AM1387" s="673"/>
      <c r="AN1387" s="673"/>
      <c r="AO1387" s="673"/>
      <c r="AP1387" s="673"/>
      <c r="AQ1387" s="673"/>
      <c r="AR1387" s="673"/>
      <c r="AS1387" s="673"/>
      <c r="AT1387" s="696"/>
    </row>
    <row r="1388" ht="15.75" customHeight="1">
      <c r="A1388" s="653"/>
      <c r="B1388" s="654"/>
      <c r="C1388" s="691"/>
      <c r="D1388" s="656"/>
      <c r="E1388" s="657"/>
      <c r="F1388" s="658"/>
      <c r="G1388" s="659"/>
      <c r="H1388" s="660"/>
      <c r="I1388" s="659"/>
      <c r="J1388" s="661"/>
      <c r="K1388" s="692"/>
      <c r="L1388" s="645"/>
      <c r="M1388" s="663"/>
      <c r="N1388" s="665"/>
      <c r="O1388" s="665"/>
      <c r="P1388" s="666"/>
      <c r="Q1388" s="667"/>
      <c r="R1388" s="668"/>
      <c r="S1388" s="693"/>
      <c r="T1388" s="694"/>
      <c r="U1388" s="694"/>
      <c r="V1388" s="693"/>
      <c r="W1388" s="693"/>
      <c r="X1388" s="693"/>
      <c r="Y1388" s="671"/>
      <c r="Z1388" s="673"/>
      <c r="AA1388" s="672"/>
      <c r="AB1388" s="695"/>
      <c r="AC1388" s="673"/>
      <c r="AD1388" s="673"/>
      <c r="AE1388" s="673"/>
      <c r="AF1388" s="673"/>
      <c r="AG1388" s="673"/>
      <c r="AH1388" s="673"/>
      <c r="AI1388" s="673"/>
      <c r="AJ1388" s="673"/>
      <c r="AK1388" s="673"/>
      <c r="AL1388" s="673"/>
      <c r="AM1388" s="673"/>
      <c r="AN1388" s="673"/>
      <c r="AO1388" s="673"/>
      <c r="AP1388" s="673"/>
      <c r="AQ1388" s="673"/>
      <c r="AR1388" s="673"/>
      <c r="AS1388" s="673"/>
      <c r="AT1388" s="696"/>
    </row>
    <row r="1389" ht="15.75" customHeight="1">
      <c r="A1389" s="653"/>
      <c r="B1389" s="654"/>
      <c r="C1389" s="691"/>
      <c r="D1389" s="656"/>
      <c r="E1389" s="657"/>
      <c r="F1389" s="658"/>
      <c r="G1389" s="659"/>
      <c r="H1389" s="660"/>
      <c r="I1389" s="659"/>
      <c r="J1389" s="661"/>
      <c r="K1389" s="692"/>
      <c r="L1389" s="645"/>
      <c r="M1389" s="663"/>
      <c r="N1389" s="665"/>
      <c r="O1389" s="665"/>
      <c r="P1389" s="666"/>
      <c r="Q1389" s="667"/>
      <c r="R1389" s="668"/>
      <c r="S1389" s="693"/>
      <c r="T1389" s="694"/>
      <c r="U1389" s="694"/>
      <c r="V1389" s="693"/>
      <c r="W1389" s="693"/>
      <c r="X1389" s="693"/>
      <c r="Y1389" s="671"/>
      <c r="Z1389" s="673"/>
      <c r="AA1389" s="672"/>
      <c r="AB1389" s="695"/>
      <c r="AC1389" s="673"/>
      <c r="AD1389" s="673"/>
      <c r="AE1389" s="673"/>
      <c r="AF1389" s="673"/>
      <c r="AG1389" s="673"/>
      <c r="AH1389" s="673"/>
      <c r="AI1389" s="673"/>
      <c r="AJ1389" s="673"/>
      <c r="AK1389" s="673"/>
      <c r="AL1389" s="673"/>
      <c r="AM1389" s="673"/>
      <c r="AN1389" s="673"/>
      <c r="AO1389" s="673"/>
      <c r="AP1389" s="673"/>
      <c r="AQ1389" s="673"/>
      <c r="AR1389" s="673"/>
      <c r="AS1389" s="673"/>
      <c r="AT1389" s="696"/>
    </row>
    <row r="1390" ht="15.75" customHeight="1">
      <c r="A1390" s="653"/>
      <c r="B1390" s="654"/>
      <c r="C1390" s="691"/>
      <c r="D1390" s="656"/>
      <c r="E1390" s="657"/>
      <c r="F1390" s="658"/>
      <c r="G1390" s="659"/>
      <c r="H1390" s="660"/>
      <c r="I1390" s="659"/>
      <c r="J1390" s="661"/>
      <c r="K1390" s="692"/>
      <c r="L1390" s="645"/>
      <c r="M1390" s="663"/>
      <c r="N1390" s="665"/>
      <c r="O1390" s="665"/>
      <c r="P1390" s="666"/>
      <c r="Q1390" s="667"/>
      <c r="R1390" s="668"/>
      <c r="S1390" s="693"/>
      <c r="T1390" s="694"/>
      <c r="U1390" s="694"/>
      <c r="V1390" s="693"/>
      <c r="W1390" s="693"/>
      <c r="X1390" s="693"/>
      <c r="Y1390" s="671"/>
      <c r="Z1390" s="673"/>
      <c r="AA1390" s="672"/>
      <c r="AB1390" s="695"/>
      <c r="AC1390" s="673"/>
      <c r="AD1390" s="673"/>
      <c r="AE1390" s="673"/>
      <c r="AF1390" s="673"/>
      <c r="AG1390" s="673"/>
      <c r="AH1390" s="673"/>
      <c r="AI1390" s="673"/>
      <c r="AJ1390" s="673"/>
      <c r="AK1390" s="673"/>
      <c r="AL1390" s="673"/>
      <c r="AM1390" s="673"/>
      <c r="AN1390" s="673"/>
      <c r="AO1390" s="673"/>
      <c r="AP1390" s="673"/>
      <c r="AQ1390" s="673"/>
      <c r="AR1390" s="673"/>
      <c r="AS1390" s="673"/>
      <c r="AT1390" s="696"/>
    </row>
    <row r="1391" ht="15.75" customHeight="1">
      <c r="A1391" s="653"/>
      <c r="B1391" s="654"/>
      <c r="C1391" s="691"/>
      <c r="D1391" s="656"/>
      <c r="E1391" s="657"/>
      <c r="F1391" s="658"/>
      <c r="G1391" s="659"/>
      <c r="H1391" s="660"/>
      <c r="I1391" s="659"/>
      <c r="J1391" s="661"/>
      <c r="K1391" s="692"/>
      <c r="L1391" s="645"/>
      <c r="M1391" s="663"/>
      <c r="N1391" s="665"/>
      <c r="O1391" s="665"/>
      <c r="P1391" s="666"/>
      <c r="Q1391" s="667"/>
      <c r="R1391" s="668"/>
      <c r="S1391" s="693"/>
      <c r="T1391" s="694"/>
      <c r="U1391" s="694"/>
      <c r="V1391" s="693"/>
      <c r="W1391" s="693"/>
      <c r="X1391" s="693"/>
      <c r="Y1391" s="671"/>
      <c r="Z1391" s="673"/>
      <c r="AA1391" s="672"/>
      <c r="AB1391" s="695"/>
      <c r="AC1391" s="673"/>
      <c r="AD1391" s="673"/>
      <c r="AE1391" s="673"/>
      <c r="AF1391" s="673"/>
      <c r="AG1391" s="673"/>
      <c r="AH1391" s="673"/>
      <c r="AI1391" s="673"/>
      <c r="AJ1391" s="673"/>
      <c r="AK1391" s="673"/>
      <c r="AL1391" s="673"/>
      <c r="AM1391" s="673"/>
      <c r="AN1391" s="673"/>
      <c r="AO1391" s="673"/>
      <c r="AP1391" s="673"/>
      <c r="AQ1391" s="673"/>
      <c r="AR1391" s="673"/>
      <c r="AS1391" s="673"/>
      <c r="AT1391" s="696"/>
    </row>
    <row r="1392" ht="15.75" customHeight="1">
      <c r="A1392" s="653"/>
      <c r="B1392" s="654"/>
      <c r="C1392" s="691"/>
      <c r="D1392" s="656"/>
      <c r="E1392" s="657"/>
      <c r="F1392" s="658"/>
      <c r="G1392" s="659"/>
      <c r="H1392" s="660"/>
      <c r="I1392" s="659"/>
      <c r="J1392" s="661"/>
      <c r="K1392" s="692"/>
      <c r="L1392" s="645"/>
      <c r="M1392" s="663"/>
      <c r="N1392" s="665"/>
      <c r="O1392" s="665"/>
      <c r="P1392" s="666"/>
      <c r="Q1392" s="667"/>
      <c r="R1392" s="668"/>
      <c r="S1392" s="693"/>
      <c r="T1392" s="694"/>
      <c r="U1392" s="694"/>
      <c r="V1392" s="693"/>
      <c r="W1392" s="693"/>
      <c r="X1392" s="693"/>
      <c r="Y1392" s="671"/>
      <c r="Z1392" s="673"/>
      <c r="AA1392" s="672"/>
      <c r="AB1392" s="695"/>
      <c r="AC1392" s="673"/>
      <c r="AD1392" s="673"/>
      <c r="AE1392" s="673"/>
      <c r="AF1392" s="673"/>
      <c r="AG1392" s="673"/>
      <c r="AH1392" s="673"/>
      <c r="AI1392" s="673"/>
      <c r="AJ1392" s="673"/>
      <c r="AK1392" s="673"/>
      <c r="AL1392" s="673"/>
      <c r="AM1392" s="673"/>
      <c r="AN1392" s="673"/>
      <c r="AO1392" s="673"/>
      <c r="AP1392" s="673"/>
      <c r="AQ1392" s="673"/>
      <c r="AR1392" s="673"/>
      <c r="AS1392" s="673"/>
      <c r="AT1392" s="696"/>
    </row>
    <row r="1393" ht="15.75" customHeight="1">
      <c r="A1393" s="653"/>
      <c r="B1393" s="654"/>
      <c r="C1393" s="691"/>
      <c r="D1393" s="656"/>
      <c r="E1393" s="657"/>
      <c r="F1393" s="658"/>
      <c r="G1393" s="659"/>
      <c r="H1393" s="660"/>
      <c r="I1393" s="659"/>
      <c r="J1393" s="661"/>
      <c r="K1393" s="692"/>
      <c r="L1393" s="645"/>
      <c r="M1393" s="663"/>
      <c r="N1393" s="665"/>
      <c r="O1393" s="665"/>
      <c r="P1393" s="666"/>
      <c r="Q1393" s="667"/>
      <c r="R1393" s="668"/>
      <c r="S1393" s="693"/>
      <c r="T1393" s="694"/>
      <c r="U1393" s="694"/>
      <c r="V1393" s="693"/>
      <c r="W1393" s="693"/>
      <c r="X1393" s="693"/>
      <c r="Y1393" s="671"/>
      <c r="Z1393" s="673"/>
      <c r="AA1393" s="672"/>
      <c r="AB1393" s="695"/>
      <c r="AC1393" s="673"/>
      <c r="AD1393" s="673"/>
      <c r="AE1393" s="673"/>
      <c r="AF1393" s="673"/>
      <c r="AG1393" s="673"/>
      <c r="AH1393" s="673"/>
      <c r="AI1393" s="673"/>
      <c r="AJ1393" s="673"/>
      <c r="AK1393" s="673"/>
      <c r="AL1393" s="673"/>
      <c r="AM1393" s="673"/>
      <c r="AN1393" s="673"/>
      <c r="AO1393" s="673"/>
      <c r="AP1393" s="673"/>
      <c r="AQ1393" s="673"/>
      <c r="AR1393" s="673"/>
      <c r="AS1393" s="673"/>
      <c r="AT1393" s="696"/>
    </row>
    <row r="1394" ht="15.75" customHeight="1">
      <c r="A1394" s="653"/>
      <c r="B1394" s="654"/>
      <c r="C1394" s="691"/>
      <c r="D1394" s="656"/>
      <c r="E1394" s="657"/>
      <c r="F1394" s="658"/>
      <c r="G1394" s="659"/>
      <c r="H1394" s="660"/>
      <c r="I1394" s="659"/>
      <c r="J1394" s="661"/>
      <c r="K1394" s="692"/>
      <c r="L1394" s="645"/>
      <c r="M1394" s="663"/>
      <c r="N1394" s="665"/>
      <c r="O1394" s="665"/>
      <c r="P1394" s="666"/>
      <c r="Q1394" s="667"/>
      <c r="R1394" s="668"/>
      <c r="S1394" s="693"/>
      <c r="T1394" s="694"/>
      <c r="U1394" s="694"/>
      <c r="V1394" s="693"/>
      <c r="W1394" s="693"/>
      <c r="X1394" s="693"/>
      <c r="Y1394" s="671"/>
      <c r="Z1394" s="673"/>
      <c r="AA1394" s="672"/>
      <c r="AB1394" s="695"/>
      <c r="AC1394" s="673"/>
      <c r="AD1394" s="673"/>
      <c r="AE1394" s="673"/>
      <c r="AF1394" s="673"/>
      <c r="AG1394" s="673"/>
      <c r="AH1394" s="673"/>
      <c r="AI1394" s="673"/>
      <c r="AJ1394" s="673"/>
      <c r="AK1394" s="673"/>
      <c r="AL1394" s="673"/>
      <c r="AM1394" s="673"/>
      <c r="AN1394" s="673"/>
      <c r="AO1394" s="673"/>
      <c r="AP1394" s="673"/>
      <c r="AQ1394" s="673"/>
      <c r="AR1394" s="673"/>
      <c r="AS1394" s="673"/>
      <c r="AT1394" s="696"/>
    </row>
    <row r="1395" ht="15.75" customHeight="1">
      <c r="A1395" s="653"/>
      <c r="B1395" s="654"/>
      <c r="C1395" s="691"/>
      <c r="D1395" s="656"/>
      <c r="E1395" s="657"/>
      <c r="F1395" s="658"/>
      <c r="G1395" s="659"/>
      <c r="H1395" s="660"/>
      <c r="I1395" s="659"/>
      <c r="J1395" s="661"/>
      <c r="K1395" s="692"/>
      <c r="L1395" s="645"/>
      <c r="M1395" s="663"/>
      <c r="N1395" s="665"/>
      <c r="O1395" s="665"/>
      <c r="P1395" s="666"/>
      <c r="Q1395" s="667"/>
      <c r="R1395" s="668"/>
      <c r="S1395" s="693"/>
      <c r="T1395" s="694"/>
      <c r="U1395" s="694"/>
      <c r="V1395" s="693"/>
      <c r="W1395" s="693"/>
      <c r="X1395" s="693"/>
      <c r="Y1395" s="671"/>
      <c r="Z1395" s="673"/>
      <c r="AA1395" s="672"/>
      <c r="AB1395" s="695"/>
      <c r="AC1395" s="673"/>
      <c r="AD1395" s="673"/>
      <c r="AE1395" s="673"/>
      <c r="AF1395" s="673"/>
      <c r="AG1395" s="673"/>
      <c r="AH1395" s="673"/>
      <c r="AI1395" s="673"/>
      <c r="AJ1395" s="673"/>
      <c r="AK1395" s="673"/>
      <c r="AL1395" s="673"/>
      <c r="AM1395" s="673"/>
      <c r="AN1395" s="673"/>
      <c r="AO1395" s="673"/>
      <c r="AP1395" s="673"/>
      <c r="AQ1395" s="673"/>
      <c r="AR1395" s="673"/>
      <c r="AS1395" s="673"/>
      <c r="AT1395" s="696"/>
    </row>
    <row r="1396" ht="15.75" customHeight="1">
      <c r="A1396" s="653"/>
      <c r="B1396" s="654"/>
      <c r="C1396" s="691"/>
      <c r="D1396" s="656"/>
      <c r="E1396" s="657"/>
      <c r="F1396" s="658"/>
      <c r="G1396" s="659"/>
      <c r="H1396" s="660"/>
      <c r="I1396" s="659"/>
      <c r="J1396" s="661"/>
      <c r="K1396" s="692"/>
      <c r="L1396" s="645"/>
      <c r="M1396" s="663"/>
      <c r="N1396" s="665"/>
      <c r="O1396" s="665"/>
      <c r="P1396" s="666"/>
      <c r="Q1396" s="667"/>
      <c r="R1396" s="668"/>
      <c r="S1396" s="693"/>
      <c r="T1396" s="694"/>
      <c r="U1396" s="694"/>
      <c r="V1396" s="693"/>
      <c r="W1396" s="693"/>
      <c r="X1396" s="693"/>
      <c r="Y1396" s="671"/>
      <c r="Z1396" s="673"/>
      <c r="AA1396" s="672"/>
      <c r="AB1396" s="695"/>
      <c r="AC1396" s="673"/>
      <c r="AD1396" s="673"/>
      <c r="AE1396" s="673"/>
      <c r="AF1396" s="673"/>
      <c r="AG1396" s="673"/>
      <c r="AH1396" s="673"/>
      <c r="AI1396" s="673"/>
      <c r="AJ1396" s="673"/>
      <c r="AK1396" s="673"/>
      <c r="AL1396" s="673"/>
      <c r="AM1396" s="673"/>
      <c r="AN1396" s="673"/>
      <c r="AO1396" s="673"/>
      <c r="AP1396" s="673"/>
      <c r="AQ1396" s="673"/>
      <c r="AR1396" s="673"/>
      <c r="AS1396" s="673"/>
      <c r="AT1396" s="696"/>
    </row>
    <row r="1397" ht="15.75" customHeight="1">
      <c r="A1397" s="653"/>
      <c r="B1397" s="654"/>
      <c r="C1397" s="691"/>
      <c r="D1397" s="656"/>
      <c r="E1397" s="657"/>
      <c r="F1397" s="658"/>
      <c r="G1397" s="659"/>
      <c r="H1397" s="660"/>
      <c r="I1397" s="659"/>
      <c r="J1397" s="661"/>
      <c r="K1397" s="692"/>
      <c r="L1397" s="645"/>
      <c r="M1397" s="663"/>
      <c r="N1397" s="665"/>
      <c r="O1397" s="665"/>
      <c r="P1397" s="666"/>
      <c r="Q1397" s="667"/>
      <c r="R1397" s="668"/>
      <c r="S1397" s="693"/>
      <c r="T1397" s="694"/>
      <c r="U1397" s="694"/>
      <c r="V1397" s="693"/>
      <c r="W1397" s="693"/>
      <c r="X1397" s="693"/>
      <c r="Y1397" s="671"/>
      <c r="Z1397" s="673"/>
      <c r="AA1397" s="672"/>
      <c r="AB1397" s="695"/>
      <c r="AC1397" s="673"/>
      <c r="AD1397" s="673"/>
      <c r="AE1397" s="673"/>
      <c r="AF1397" s="673"/>
      <c r="AG1397" s="673"/>
      <c r="AH1397" s="673"/>
      <c r="AI1397" s="673"/>
      <c r="AJ1397" s="673"/>
      <c r="AK1397" s="673"/>
      <c r="AL1397" s="673"/>
      <c r="AM1397" s="673"/>
      <c r="AN1397" s="673"/>
      <c r="AO1397" s="673"/>
      <c r="AP1397" s="673"/>
      <c r="AQ1397" s="673"/>
      <c r="AR1397" s="673"/>
      <c r="AS1397" s="673"/>
      <c r="AT1397" s="696"/>
    </row>
    <row r="1398" ht="15.75" customHeight="1">
      <c r="A1398" s="653"/>
      <c r="B1398" s="654"/>
      <c r="C1398" s="691"/>
      <c r="D1398" s="656"/>
      <c r="E1398" s="657"/>
      <c r="F1398" s="658"/>
      <c r="G1398" s="659"/>
      <c r="H1398" s="660"/>
      <c r="I1398" s="659"/>
      <c r="J1398" s="661"/>
      <c r="K1398" s="692"/>
      <c r="L1398" s="645"/>
      <c r="M1398" s="663"/>
      <c r="N1398" s="665"/>
      <c r="O1398" s="665"/>
      <c r="P1398" s="666"/>
      <c r="Q1398" s="667"/>
      <c r="R1398" s="668"/>
      <c r="S1398" s="693"/>
      <c r="T1398" s="694"/>
      <c r="U1398" s="694"/>
      <c r="V1398" s="693"/>
      <c r="W1398" s="693"/>
      <c r="X1398" s="693"/>
      <c r="Y1398" s="671"/>
      <c r="Z1398" s="673"/>
      <c r="AA1398" s="672"/>
      <c r="AB1398" s="695"/>
      <c r="AC1398" s="673"/>
      <c r="AD1398" s="673"/>
      <c r="AE1398" s="673"/>
      <c r="AF1398" s="673"/>
      <c r="AG1398" s="673"/>
      <c r="AH1398" s="673"/>
      <c r="AI1398" s="673"/>
      <c r="AJ1398" s="673"/>
      <c r="AK1398" s="673"/>
      <c r="AL1398" s="673"/>
      <c r="AM1398" s="673"/>
      <c r="AN1398" s="673"/>
      <c r="AO1398" s="673"/>
      <c r="AP1398" s="673"/>
      <c r="AQ1398" s="673"/>
      <c r="AR1398" s="673"/>
      <c r="AS1398" s="673"/>
      <c r="AT1398" s="696"/>
    </row>
    <row r="1399" ht="15.75" customHeight="1">
      <c r="A1399" s="653"/>
      <c r="B1399" s="654"/>
      <c r="C1399" s="691"/>
      <c r="D1399" s="656"/>
      <c r="E1399" s="657"/>
      <c r="F1399" s="658"/>
      <c r="G1399" s="659"/>
      <c r="H1399" s="660"/>
      <c r="I1399" s="659"/>
      <c r="J1399" s="661"/>
      <c r="K1399" s="692"/>
      <c r="L1399" s="645"/>
      <c r="M1399" s="663"/>
      <c r="N1399" s="665"/>
      <c r="O1399" s="665"/>
      <c r="P1399" s="666"/>
      <c r="Q1399" s="667"/>
      <c r="R1399" s="668"/>
      <c r="S1399" s="693"/>
      <c r="T1399" s="694"/>
      <c r="U1399" s="694"/>
      <c r="V1399" s="693"/>
      <c r="W1399" s="693"/>
      <c r="X1399" s="693"/>
      <c r="Y1399" s="671"/>
      <c r="Z1399" s="673"/>
      <c r="AA1399" s="672"/>
      <c r="AB1399" s="695"/>
      <c r="AC1399" s="673"/>
      <c r="AD1399" s="673"/>
      <c r="AE1399" s="673"/>
      <c r="AF1399" s="673"/>
      <c r="AG1399" s="673"/>
      <c r="AH1399" s="673"/>
      <c r="AI1399" s="673"/>
      <c r="AJ1399" s="673"/>
      <c r="AK1399" s="673"/>
      <c r="AL1399" s="673"/>
      <c r="AM1399" s="673"/>
      <c r="AN1399" s="673"/>
      <c r="AO1399" s="673"/>
      <c r="AP1399" s="673"/>
      <c r="AQ1399" s="673"/>
      <c r="AR1399" s="673"/>
      <c r="AS1399" s="673"/>
      <c r="AT1399" s="696"/>
    </row>
    <row r="1400" ht="15.75" customHeight="1">
      <c r="A1400" s="653"/>
      <c r="B1400" s="654"/>
      <c r="C1400" s="691"/>
      <c r="D1400" s="656"/>
      <c r="E1400" s="657"/>
      <c r="F1400" s="658"/>
      <c r="G1400" s="659"/>
      <c r="H1400" s="660"/>
      <c r="I1400" s="659"/>
      <c r="J1400" s="661"/>
      <c r="K1400" s="692"/>
      <c r="L1400" s="645"/>
      <c r="M1400" s="663"/>
      <c r="N1400" s="665"/>
      <c r="O1400" s="665"/>
      <c r="P1400" s="666"/>
      <c r="Q1400" s="667"/>
      <c r="R1400" s="668"/>
      <c r="S1400" s="693"/>
      <c r="T1400" s="694"/>
      <c r="U1400" s="694"/>
      <c r="V1400" s="693"/>
      <c r="W1400" s="693"/>
      <c r="X1400" s="693"/>
      <c r="Y1400" s="671"/>
      <c r="Z1400" s="673"/>
      <c r="AA1400" s="672"/>
      <c r="AB1400" s="695"/>
      <c r="AC1400" s="673"/>
      <c r="AD1400" s="673"/>
      <c r="AE1400" s="673"/>
      <c r="AF1400" s="673"/>
      <c r="AG1400" s="673"/>
      <c r="AH1400" s="673"/>
      <c r="AI1400" s="673"/>
      <c r="AJ1400" s="673"/>
      <c r="AK1400" s="673"/>
      <c r="AL1400" s="673"/>
      <c r="AM1400" s="673"/>
      <c r="AN1400" s="673"/>
      <c r="AO1400" s="673"/>
      <c r="AP1400" s="673"/>
      <c r="AQ1400" s="673"/>
      <c r="AR1400" s="673"/>
      <c r="AS1400" s="673"/>
      <c r="AT1400" s="696"/>
    </row>
    <row r="1401" ht="15.75" customHeight="1">
      <c r="A1401" s="653"/>
      <c r="B1401" s="654"/>
      <c r="C1401" s="691"/>
      <c r="D1401" s="656"/>
      <c r="E1401" s="657"/>
      <c r="F1401" s="658"/>
      <c r="G1401" s="659"/>
      <c r="H1401" s="660"/>
      <c r="I1401" s="659"/>
      <c r="J1401" s="661"/>
      <c r="K1401" s="692"/>
      <c r="L1401" s="645"/>
      <c r="M1401" s="663"/>
      <c r="N1401" s="665"/>
      <c r="O1401" s="665"/>
      <c r="P1401" s="666"/>
      <c r="Q1401" s="667"/>
      <c r="R1401" s="668"/>
      <c r="S1401" s="693"/>
      <c r="T1401" s="694"/>
      <c r="U1401" s="694"/>
      <c r="V1401" s="693"/>
      <c r="W1401" s="693"/>
      <c r="X1401" s="693"/>
      <c r="Y1401" s="671"/>
      <c r="Z1401" s="673"/>
      <c r="AA1401" s="672"/>
      <c r="AB1401" s="695"/>
      <c r="AC1401" s="673"/>
      <c r="AD1401" s="673"/>
      <c r="AE1401" s="673"/>
      <c r="AF1401" s="673"/>
      <c r="AG1401" s="673"/>
      <c r="AH1401" s="673"/>
      <c r="AI1401" s="673"/>
      <c r="AJ1401" s="673"/>
      <c r="AK1401" s="673"/>
      <c r="AL1401" s="673"/>
      <c r="AM1401" s="673"/>
      <c r="AN1401" s="673"/>
      <c r="AO1401" s="673"/>
      <c r="AP1401" s="673"/>
      <c r="AQ1401" s="673"/>
      <c r="AR1401" s="673"/>
      <c r="AS1401" s="673"/>
      <c r="AT1401" s="696"/>
    </row>
    <row r="1402" ht="15.75" customHeight="1">
      <c r="A1402" s="653"/>
      <c r="B1402" s="654"/>
      <c r="C1402" s="691"/>
      <c r="D1402" s="656"/>
      <c r="E1402" s="657"/>
      <c r="F1402" s="658"/>
      <c r="G1402" s="659"/>
      <c r="H1402" s="660"/>
      <c r="I1402" s="659"/>
      <c r="J1402" s="661"/>
      <c r="K1402" s="692"/>
      <c r="L1402" s="645"/>
      <c r="M1402" s="663"/>
      <c r="N1402" s="665"/>
      <c r="O1402" s="665"/>
      <c r="P1402" s="666"/>
      <c r="Q1402" s="667"/>
      <c r="R1402" s="668"/>
      <c r="S1402" s="693"/>
      <c r="T1402" s="694"/>
      <c r="U1402" s="694"/>
      <c r="V1402" s="693"/>
      <c r="W1402" s="693"/>
      <c r="X1402" s="693"/>
      <c r="Y1402" s="671"/>
      <c r="Z1402" s="673"/>
      <c r="AA1402" s="672"/>
      <c r="AB1402" s="695"/>
      <c r="AC1402" s="673"/>
      <c r="AD1402" s="673"/>
      <c r="AE1402" s="673"/>
      <c r="AF1402" s="673"/>
      <c r="AG1402" s="673"/>
      <c r="AH1402" s="673"/>
      <c r="AI1402" s="673"/>
      <c r="AJ1402" s="673"/>
      <c r="AK1402" s="673"/>
      <c r="AL1402" s="673"/>
      <c r="AM1402" s="673"/>
      <c r="AN1402" s="673"/>
      <c r="AO1402" s="673"/>
      <c r="AP1402" s="673"/>
      <c r="AQ1402" s="673"/>
      <c r="AR1402" s="673"/>
      <c r="AS1402" s="673"/>
      <c r="AT1402" s="696"/>
    </row>
    <row r="1403" ht="15.75" customHeight="1">
      <c r="A1403" s="653"/>
      <c r="B1403" s="654"/>
      <c r="C1403" s="691"/>
      <c r="D1403" s="656"/>
      <c r="E1403" s="657"/>
      <c r="F1403" s="658"/>
      <c r="G1403" s="659"/>
      <c r="H1403" s="660"/>
      <c r="I1403" s="659"/>
      <c r="J1403" s="661"/>
      <c r="K1403" s="692"/>
      <c r="L1403" s="645"/>
      <c r="M1403" s="663"/>
      <c r="N1403" s="665"/>
      <c r="O1403" s="665"/>
      <c r="P1403" s="666"/>
      <c r="Q1403" s="667"/>
      <c r="R1403" s="668"/>
      <c r="S1403" s="693"/>
      <c r="T1403" s="694"/>
      <c r="U1403" s="694"/>
      <c r="V1403" s="693"/>
      <c r="W1403" s="693"/>
      <c r="X1403" s="693"/>
      <c r="Y1403" s="671"/>
      <c r="Z1403" s="673"/>
      <c r="AA1403" s="672"/>
      <c r="AB1403" s="695"/>
      <c r="AC1403" s="673"/>
      <c r="AD1403" s="673"/>
      <c r="AE1403" s="673"/>
      <c r="AF1403" s="673"/>
      <c r="AG1403" s="673"/>
      <c r="AH1403" s="673"/>
      <c r="AI1403" s="673"/>
      <c r="AJ1403" s="673"/>
      <c r="AK1403" s="673"/>
      <c r="AL1403" s="673"/>
      <c r="AM1403" s="673"/>
      <c r="AN1403" s="673"/>
      <c r="AO1403" s="673"/>
      <c r="AP1403" s="673"/>
      <c r="AQ1403" s="673"/>
      <c r="AR1403" s="673"/>
      <c r="AS1403" s="673"/>
      <c r="AT1403" s="696"/>
    </row>
    <row r="1404" ht="15.75" customHeight="1">
      <c r="A1404" s="653"/>
      <c r="B1404" s="654"/>
      <c r="C1404" s="691"/>
      <c r="D1404" s="656"/>
      <c r="E1404" s="657"/>
      <c r="F1404" s="658"/>
      <c r="G1404" s="659"/>
      <c r="H1404" s="660"/>
      <c r="I1404" s="659"/>
      <c r="J1404" s="661"/>
      <c r="K1404" s="692"/>
      <c r="L1404" s="645"/>
      <c r="M1404" s="663"/>
      <c r="N1404" s="665"/>
      <c r="O1404" s="665"/>
      <c r="P1404" s="666"/>
      <c r="Q1404" s="667"/>
      <c r="R1404" s="668"/>
      <c r="S1404" s="693"/>
      <c r="T1404" s="694"/>
      <c r="U1404" s="694"/>
      <c r="V1404" s="693"/>
      <c r="W1404" s="693"/>
      <c r="X1404" s="693"/>
      <c r="Y1404" s="671"/>
      <c r="Z1404" s="673"/>
      <c r="AA1404" s="672"/>
      <c r="AB1404" s="695"/>
      <c r="AC1404" s="673"/>
      <c r="AD1404" s="673"/>
      <c r="AE1404" s="673"/>
      <c r="AF1404" s="673"/>
      <c r="AG1404" s="673"/>
      <c r="AH1404" s="673"/>
      <c r="AI1404" s="673"/>
      <c r="AJ1404" s="673"/>
      <c r="AK1404" s="673"/>
      <c r="AL1404" s="673"/>
      <c r="AM1404" s="673"/>
      <c r="AN1404" s="673"/>
      <c r="AO1404" s="673"/>
      <c r="AP1404" s="673"/>
      <c r="AQ1404" s="673"/>
      <c r="AR1404" s="673"/>
      <c r="AS1404" s="673"/>
      <c r="AT1404" s="696"/>
    </row>
    <row r="1405" ht="15.75" customHeight="1">
      <c r="A1405" s="653"/>
      <c r="B1405" s="654"/>
      <c r="C1405" s="691"/>
      <c r="D1405" s="656"/>
      <c r="E1405" s="657"/>
      <c r="F1405" s="658"/>
      <c r="G1405" s="659"/>
      <c r="H1405" s="660"/>
      <c r="I1405" s="659"/>
      <c r="J1405" s="661"/>
      <c r="K1405" s="692"/>
      <c r="L1405" s="645"/>
      <c r="M1405" s="663"/>
      <c r="N1405" s="665"/>
      <c r="O1405" s="665"/>
      <c r="P1405" s="666"/>
      <c r="Q1405" s="667"/>
      <c r="R1405" s="668"/>
      <c r="S1405" s="693"/>
      <c r="T1405" s="694"/>
      <c r="U1405" s="694"/>
      <c r="V1405" s="693"/>
      <c r="W1405" s="693"/>
      <c r="X1405" s="693"/>
      <c r="Y1405" s="671"/>
      <c r="Z1405" s="673"/>
      <c r="AA1405" s="672"/>
      <c r="AB1405" s="695"/>
      <c r="AC1405" s="673"/>
      <c r="AD1405" s="673"/>
      <c r="AE1405" s="673"/>
      <c r="AF1405" s="673"/>
      <c r="AG1405" s="673"/>
      <c r="AH1405" s="673"/>
      <c r="AI1405" s="673"/>
      <c r="AJ1405" s="673"/>
      <c r="AK1405" s="673"/>
      <c r="AL1405" s="673"/>
      <c r="AM1405" s="673"/>
      <c r="AN1405" s="673"/>
      <c r="AO1405" s="673"/>
      <c r="AP1405" s="673"/>
      <c r="AQ1405" s="673"/>
      <c r="AR1405" s="673"/>
      <c r="AS1405" s="673"/>
      <c r="AT1405" s="696"/>
    </row>
    <row r="1406" ht="15.75" customHeight="1">
      <c r="A1406" s="653"/>
      <c r="B1406" s="654"/>
      <c r="C1406" s="691"/>
      <c r="D1406" s="656"/>
      <c r="E1406" s="657"/>
      <c r="F1406" s="658"/>
      <c r="G1406" s="659"/>
      <c r="H1406" s="660"/>
      <c r="I1406" s="659"/>
      <c r="J1406" s="661"/>
      <c r="K1406" s="692"/>
      <c r="L1406" s="645"/>
      <c r="M1406" s="663"/>
      <c r="N1406" s="665"/>
      <c r="O1406" s="665"/>
      <c r="P1406" s="666"/>
      <c r="Q1406" s="667"/>
      <c r="R1406" s="668"/>
      <c r="S1406" s="693"/>
      <c r="T1406" s="694"/>
      <c r="U1406" s="694"/>
      <c r="V1406" s="693"/>
      <c r="W1406" s="693"/>
      <c r="X1406" s="693"/>
      <c r="Y1406" s="671"/>
      <c r="Z1406" s="673"/>
      <c r="AA1406" s="672"/>
      <c r="AB1406" s="695"/>
      <c r="AC1406" s="673"/>
      <c r="AD1406" s="673"/>
      <c r="AE1406" s="673"/>
      <c r="AF1406" s="673"/>
      <c r="AG1406" s="673"/>
      <c r="AH1406" s="673"/>
      <c r="AI1406" s="673"/>
      <c r="AJ1406" s="673"/>
      <c r="AK1406" s="673"/>
      <c r="AL1406" s="673"/>
      <c r="AM1406" s="673"/>
      <c r="AN1406" s="673"/>
      <c r="AO1406" s="673"/>
      <c r="AP1406" s="673"/>
      <c r="AQ1406" s="673"/>
      <c r="AR1406" s="673"/>
      <c r="AS1406" s="673"/>
      <c r="AT1406" s="696"/>
    </row>
    <row r="1407" ht="15.75" customHeight="1">
      <c r="A1407" s="653"/>
      <c r="B1407" s="654"/>
      <c r="C1407" s="691"/>
      <c r="D1407" s="656"/>
      <c r="E1407" s="657"/>
      <c r="F1407" s="658"/>
      <c r="G1407" s="659"/>
      <c r="H1407" s="660"/>
      <c r="I1407" s="659"/>
      <c r="J1407" s="661"/>
      <c r="K1407" s="692"/>
      <c r="L1407" s="645"/>
      <c r="M1407" s="663"/>
      <c r="N1407" s="665"/>
      <c r="O1407" s="665"/>
      <c r="P1407" s="666"/>
      <c r="Q1407" s="667"/>
      <c r="R1407" s="668"/>
      <c r="S1407" s="693"/>
      <c r="T1407" s="694"/>
      <c r="U1407" s="694"/>
      <c r="V1407" s="693"/>
      <c r="W1407" s="693"/>
      <c r="X1407" s="693"/>
      <c r="Y1407" s="671"/>
      <c r="Z1407" s="673"/>
      <c r="AA1407" s="672"/>
      <c r="AB1407" s="695"/>
      <c r="AC1407" s="673"/>
      <c r="AD1407" s="673"/>
      <c r="AE1407" s="673"/>
      <c r="AF1407" s="673"/>
      <c r="AG1407" s="673"/>
      <c r="AH1407" s="673"/>
      <c r="AI1407" s="673"/>
      <c r="AJ1407" s="673"/>
      <c r="AK1407" s="673"/>
      <c r="AL1407" s="673"/>
      <c r="AM1407" s="673"/>
      <c r="AN1407" s="673"/>
      <c r="AO1407" s="673"/>
      <c r="AP1407" s="673"/>
      <c r="AQ1407" s="673"/>
      <c r="AR1407" s="673"/>
      <c r="AS1407" s="673"/>
      <c r="AT1407" s="696"/>
    </row>
    <row r="1408" ht="15.75" customHeight="1">
      <c r="A1408" s="653"/>
      <c r="B1408" s="654"/>
      <c r="C1408" s="691"/>
      <c r="D1408" s="656"/>
      <c r="E1408" s="657"/>
      <c r="F1408" s="658"/>
      <c r="G1408" s="659"/>
      <c r="H1408" s="660"/>
      <c r="I1408" s="659"/>
      <c r="J1408" s="661"/>
      <c r="K1408" s="692"/>
      <c r="L1408" s="645"/>
      <c r="M1408" s="663"/>
      <c r="N1408" s="665"/>
      <c r="O1408" s="665"/>
      <c r="P1408" s="666"/>
      <c r="Q1408" s="667"/>
      <c r="R1408" s="668"/>
      <c r="S1408" s="693"/>
      <c r="T1408" s="694"/>
      <c r="U1408" s="694"/>
      <c r="V1408" s="693"/>
      <c r="W1408" s="693"/>
      <c r="X1408" s="693"/>
      <c r="Y1408" s="671"/>
      <c r="Z1408" s="673"/>
      <c r="AA1408" s="672"/>
      <c r="AB1408" s="695"/>
      <c r="AC1408" s="673"/>
      <c r="AD1408" s="673"/>
      <c r="AE1408" s="673"/>
      <c r="AF1408" s="673"/>
      <c r="AG1408" s="673"/>
      <c r="AH1408" s="673"/>
      <c r="AI1408" s="673"/>
      <c r="AJ1408" s="673"/>
      <c r="AK1408" s="673"/>
      <c r="AL1408" s="673"/>
      <c r="AM1408" s="673"/>
      <c r="AN1408" s="673"/>
      <c r="AO1408" s="673"/>
      <c r="AP1408" s="673"/>
      <c r="AQ1408" s="673"/>
      <c r="AR1408" s="673"/>
      <c r="AS1408" s="673"/>
      <c r="AT1408" s="696"/>
    </row>
    <row r="1409" ht="15.75" customHeight="1">
      <c r="A1409" s="653"/>
      <c r="B1409" s="654"/>
      <c r="C1409" s="691"/>
      <c r="D1409" s="656"/>
      <c r="E1409" s="657"/>
      <c r="F1409" s="658"/>
      <c r="G1409" s="659"/>
      <c r="H1409" s="660"/>
      <c r="I1409" s="659"/>
      <c r="J1409" s="661"/>
      <c r="K1409" s="692"/>
      <c r="L1409" s="645"/>
      <c r="M1409" s="663"/>
      <c r="N1409" s="665"/>
      <c r="O1409" s="665"/>
      <c r="P1409" s="666"/>
      <c r="Q1409" s="667"/>
      <c r="R1409" s="668"/>
      <c r="S1409" s="693"/>
      <c r="T1409" s="694"/>
      <c r="U1409" s="694"/>
      <c r="V1409" s="693"/>
      <c r="W1409" s="693"/>
      <c r="X1409" s="693"/>
      <c r="Y1409" s="671"/>
      <c r="Z1409" s="673"/>
      <c r="AA1409" s="672"/>
      <c r="AB1409" s="695"/>
      <c r="AC1409" s="673"/>
      <c r="AD1409" s="673"/>
      <c r="AE1409" s="673"/>
      <c r="AF1409" s="673"/>
      <c r="AG1409" s="673"/>
      <c r="AH1409" s="673"/>
      <c r="AI1409" s="673"/>
      <c r="AJ1409" s="673"/>
      <c r="AK1409" s="673"/>
      <c r="AL1409" s="673"/>
      <c r="AM1409" s="673"/>
      <c r="AN1409" s="673"/>
      <c r="AO1409" s="673"/>
      <c r="AP1409" s="673"/>
      <c r="AQ1409" s="673"/>
      <c r="AR1409" s="673"/>
      <c r="AS1409" s="673"/>
      <c r="AT1409" s="696"/>
    </row>
    <row r="1410" ht="15.75" customHeight="1">
      <c r="A1410" s="653"/>
      <c r="B1410" s="654"/>
      <c r="C1410" s="691"/>
      <c r="D1410" s="656"/>
      <c r="E1410" s="657"/>
      <c r="F1410" s="658"/>
      <c r="G1410" s="659"/>
      <c r="H1410" s="660"/>
      <c r="I1410" s="659"/>
      <c r="J1410" s="661"/>
      <c r="K1410" s="692"/>
      <c r="L1410" s="645"/>
      <c r="M1410" s="663"/>
      <c r="N1410" s="665"/>
      <c r="O1410" s="665"/>
      <c r="P1410" s="666"/>
      <c r="Q1410" s="667"/>
      <c r="R1410" s="668"/>
      <c r="S1410" s="693"/>
      <c r="T1410" s="694"/>
      <c r="U1410" s="694"/>
      <c r="V1410" s="693"/>
      <c r="W1410" s="693"/>
      <c r="X1410" s="693"/>
      <c r="Y1410" s="671"/>
      <c r="Z1410" s="673"/>
      <c r="AA1410" s="672"/>
      <c r="AB1410" s="695"/>
      <c r="AC1410" s="673"/>
      <c r="AD1410" s="673"/>
      <c r="AE1410" s="673"/>
      <c r="AF1410" s="673"/>
      <c r="AG1410" s="673"/>
      <c r="AH1410" s="673"/>
      <c r="AI1410" s="673"/>
      <c r="AJ1410" s="673"/>
      <c r="AK1410" s="673"/>
      <c r="AL1410" s="673"/>
      <c r="AM1410" s="673"/>
      <c r="AN1410" s="673"/>
      <c r="AO1410" s="673"/>
      <c r="AP1410" s="673"/>
      <c r="AQ1410" s="673"/>
      <c r="AR1410" s="673"/>
      <c r="AS1410" s="673"/>
      <c r="AT1410" s="696"/>
    </row>
    <row r="1411" ht="15.75" customHeight="1">
      <c r="A1411" s="653"/>
      <c r="B1411" s="654"/>
      <c r="C1411" s="691"/>
      <c r="D1411" s="656"/>
      <c r="E1411" s="657"/>
      <c r="F1411" s="658"/>
      <c r="G1411" s="659"/>
      <c r="H1411" s="660"/>
      <c r="I1411" s="659"/>
      <c r="J1411" s="661"/>
      <c r="K1411" s="692"/>
      <c r="L1411" s="645"/>
      <c r="M1411" s="663"/>
      <c r="N1411" s="665"/>
      <c r="O1411" s="665"/>
      <c r="P1411" s="666"/>
      <c r="Q1411" s="667"/>
      <c r="R1411" s="668"/>
      <c r="S1411" s="693"/>
      <c r="T1411" s="694"/>
      <c r="U1411" s="694"/>
      <c r="V1411" s="693"/>
      <c r="W1411" s="693"/>
      <c r="X1411" s="693"/>
      <c r="Y1411" s="671"/>
      <c r="Z1411" s="673"/>
      <c r="AA1411" s="672"/>
      <c r="AB1411" s="695"/>
      <c r="AC1411" s="673"/>
      <c r="AD1411" s="673"/>
      <c r="AE1411" s="673"/>
      <c r="AF1411" s="673"/>
      <c r="AG1411" s="673"/>
      <c r="AH1411" s="673"/>
      <c r="AI1411" s="673"/>
      <c r="AJ1411" s="673"/>
      <c r="AK1411" s="673"/>
      <c r="AL1411" s="673"/>
      <c r="AM1411" s="673"/>
      <c r="AN1411" s="673"/>
      <c r="AO1411" s="673"/>
      <c r="AP1411" s="673"/>
      <c r="AQ1411" s="673"/>
      <c r="AR1411" s="673"/>
      <c r="AS1411" s="673"/>
      <c r="AT1411" s="696"/>
    </row>
    <row r="1412" ht="15.75" customHeight="1">
      <c r="A1412" s="653"/>
      <c r="B1412" s="654"/>
      <c r="C1412" s="691"/>
      <c r="D1412" s="656"/>
      <c r="E1412" s="657"/>
      <c r="F1412" s="658"/>
      <c r="G1412" s="659"/>
      <c r="H1412" s="660"/>
      <c r="I1412" s="659"/>
      <c r="J1412" s="661"/>
      <c r="K1412" s="692"/>
      <c r="L1412" s="645"/>
      <c r="M1412" s="663"/>
      <c r="N1412" s="665"/>
      <c r="O1412" s="665"/>
      <c r="P1412" s="666"/>
      <c r="Q1412" s="667"/>
      <c r="R1412" s="668"/>
      <c r="S1412" s="693"/>
      <c r="T1412" s="694"/>
      <c r="U1412" s="694"/>
      <c r="V1412" s="693"/>
      <c r="W1412" s="693"/>
      <c r="X1412" s="693"/>
      <c r="Y1412" s="671"/>
      <c r="Z1412" s="673"/>
      <c r="AA1412" s="672"/>
      <c r="AB1412" s="695"/>
      <c r="AC1412" s="673"/>
      <c r="AD1412" s="673"/>
      <c r="AE1412" s="673"/>
      <c r="AF1412" s="673"/>
      <c r="AG1412" s="673"/>
      <c r="AH1412" s="673"/>
      <c r="AI1412" s="673"/>
      <c r="AJ1412" s="673"/>
      <c r="AK1412" s="673"/>
      <c r="AL1412" s="673"/>
      <c r="AM1412" s="673"/>
      <c r="AN1412" s="673"/>
      <c r="AO1412" s="673"/>
      <c r="AP1412" s="673"/>
      <c r="AQ1412" s="673"/>
      <c r="AR1412" s="673"/>
      <c r="AS1412" s="673"/>
      <c r="AT1412" s="696"/>
    </row>
    <row r="1413" ht="15.75" customHeight="1">
      <c r="A1413" s="653"/>
      <c r="B1413" s="654"/>
      <c r="C1413" s="691"/>
      <c r="D1413" s="656"/>
      <c r="E1413" s="657"/>
      <c r="F1413" s="658"/>
      <c r="G1413" s="659"/>
      <c r="H1413" s="660"/>
      <c r="I1413" s="659"/>
      <c r="J1413" s="661"/>
      <c r="K1413" s="692"/>
      <c r="L1413" s="645"/>
      <c r="M1413" s="663"/>
      <c r="N1413" s="665"/>
      <c r="O1413" s="665"/>
      <c r="P1413" s="666"/>
      <c r="Q1413" s="667"/>
      <c r="R1413" s="668"/>
      <c r="S1413" s="693"/>
      <c r="T1413" s="694"/>
      <c r="U1413" s="694"/>
      <c r="V1413" s="693"/>
      <c r="W1413" s="693"/>
      <c r="X1413" s="693"/>
      <c r="Y1413" s="671"/>
      <c r="Z1413" s="673"/>
      <c r="AA1413" s="672"/>
      <c r="AB1413" s="695"/>
      <c r="AC1413" s="673"/>
      <c r="AD1413" s="673"/>
      <c r="AE1413" s="673"/>
      <c r="AF1413" s="673"/>
      <c r="AG1413" s="673"/>
      <c r="AH1413" s="673"/>
      <c r="AI1413" s="673"/>
      <c r="AJ1413" s="673"/>
      <c r="AK1413" s="673"/>
      <c r="AL1413" s="673"/>
      <c r="AM1413" s="673"/>
      <c r="AN1413" s="673"/>
      <c r="AO1413" s="673"/>
      <c r="AP1413" s="673"/>
      <c r="AQ1413" s="673"/>
      <c r="AR1413" s="673"/>
      <c r="AS1413" s="673"/>
      <c r="AT1413" s="696"/>
    </row>
    <row r="1414" ht="15.75" customHeight="1">
      <c r="A1414" s="653"/>
      <c r="B1414" s="654"/>
      <c r="C1414" s="691"/>
      <c r="D1414" s="656"/>
      <c r="E1414" s="657"/>
      <c r="F1414" s="658"/>
      <c r="G1414" s="659"/>
      <c r="H1414" s="660"/>
      <c r="I1414" s="659"/>
      <c r="J1414" s="661"/>
      <c r="K1414" s="692"/>
      <c r="L1414" s="645"/>
      <c r="M1414" s="663"/>
      <c r="N1414" s="665"/>
      <c r="O1414" s="665"/>
      <c r="P1414" s="666"/>
      <c r="Q1414" s="667"/>
      <c r="R1414" s="668"/>
      <c r="S1414" s="693"/>
      <c r="T1414" s="694"/>
      <c r="U1414" s="694"/>
      <c r="V1414" s="693"/>
      <c r="W1414" s="693"/>
      <c r="X1414" s="693"/>
      <c r="Y1414" s="671"/>
      <c r="Z1414" s="673"/>
      <c r="AA1414" s="672"/>
      <c r="AB1414" s="695"/>
      <c r="AC1414" s="673"/>
      <c r="AD1414" s="673"/>
      <c r="AE1414" s="673"/>
      <c r="AF1414" s="673"/>
      <c r="AG1414" s="673"/>
      <c r="AH1414" s="673"/>
      <c r="AI1414" s="673"/>
      <c r="AJ1414" s="673"/>
      <c r="AK1414" s="673"/>
      <c r="AL1414" s="673"/>
      <c r="AM1414" s="673"/>
      <c r="AN1414" s="673"/>
      <c r="AO1414" s="673"/>
      <c r="AP1414" s="673"/>
      <c r="AQ1414" s="673"/>
      <c r="AR1414" s="673"/>
      <c r="AS1414" s="673"/>
      <c r="AT1414" s="696"/>
    </row>
    <row r="1415" ht="15.75" customHeight="1">
      <c r="A1415" s="653"/>
      <c r="B1415" s="654"/>
      <c r="C1415" s="691"/>
      <c r="D1415" s="656"/>
      <c r="E1415" s="657"/>
      <c r="F1415" s="658"/>
      <c r="G1415" s="659"/>
      <c r="H1415" s="660"/>
      <c r="I1415" s="659"/>
      <c r="J1415" s="661"/>
      <c r="K1415" s="692"/>
      <c r="L1415" s="645"/>
      <c r="M1415" s="663"/>
      <c r="N1415" s="665"/>
      <c r="O1415" s="665"/>
      <c r="P1415" s="666"/>
      <c r="Q1415" s="667"/>
      <c r="R1415" s="668"/>
      <c r="S1415" s="693"/>
      <c r="T1415" s="694"/>
      <c r="U1415" s="694"/>
      <c r="V1415" s="693"/>
      <c r="W1415" s="693"/>
      <c r="X1415" s="693"/>
      <c r="Y1415" s="671"/>
      <c r="Z1415" s="673"/>
      <c r="AA1415" s="672"/>
      <c r="AB1415" s="695"/>
      <c r="AC1415" s="673"/>
      <c r="AD1415" s="673"/>
      <c r="AE1415" s="673"/>
      <c r="AF1415" s="673"/>
      <c r="AG1415" s="673"/>
      <c r="AH1415" s="673"/>
      <c r="AI1415" s="673"/>
      <c r="AJ1415" s="673"/>
      <c r="AK1415" s="673"/>
      <c r="AL1415" s="673"/>
      <c r="AM1415" s="673"/>
      <c r="AN1415" s="673"/>
      <c r="AO1415" s="673"/>
      <c r="AP1415" s="673"/>
      <c r="AQ1415" s="673"/>
      <c r="AR1415" s="673"/>
      <c r="AS1415" s="673"/>
      <c r="AT1415" s="696"/>
    </row>
    <row r="1416" ht="15.75" customHeight="1">
      <c r="A1416" s="653"/>
      <c r="B1416" s="654"/>
      <c r="C1416" s="691"/>
      <c r="D1416" s="656"/>
      <c r="E1416" s="657"/>
      <c r="F1416" s="658"/>
      <c r="G1416" s="659"/>
      <c r="H1416" s="660"/>
      <c r="I1416" s="659"/>
      <c r="J1416" s="661"/>
      <c r="K1416" s="692"/>
      <c r="L1416" s="645"/>
      <c r="M1416" s="663"/>
      <c r="N1416" s="665"/>
      <c r="O1416" s="665"/>
      <c r="P1416" s="666"/>
      <c r="Q1416" s="667"/>
      <c r="R1416" s="668"/>
      <c r="S1416" s="693"/>
      <c r="T1416" s="694"/>
      <c r="U1416" s="694"/>
      <c r="V1416" s="693"/>
      <c r="W1416" s="693"/>
      <c r="X1416" s="693"/>
      <c r="Y1416" s="671"/>
      <c r="Z1416" s="673"/>
      <c r="AA1416" s="672"/>
      <c r="AB1416" s="695"/>
      <c r="AC1416" s="673"/>
      <c r="AD1416" s="673"/>
      <c r="AE1416" s="673"/>
      <c r="AF1416" s="673"/>
      <c r="AG1416" s="673"/>
      <c r="AH1416" s="673"/>
      <c r="AI1416" s="673"/>
      <c r="AJ1416" s="673"/>
      <c r="AK1416" s="673"/>
      <c r="AL1416" s="673"/>
      <c r="AM1416" s="673"/>
      <c r="AN1416" s="673"/>
      <c r="AO1416" s="673"/>
      <c r="AP1416" s="673"/>
      <c r="AQ1416" s="673"/>
      <c r="AR1416" s="673"/>
      <c r="AS1416" s="673"/>
      <c r="AT1416" s="696"/>
    </row>
    <row r="1417" ht="15.75" customHeight="1">
      <c r="A1417" s="653"/>
      <c r="B1417" s="654"/>
      <c r="C1417" s="691"/>
      <c r="D1417" s="656"/>
      <c r="E1417" s="657"/>
      <c r="F1417" s="658"/>
      <c r="G1417" s="659"/>
      <c r="H1417" s="660"/>
      <c r="I1417" s="659"/>
      <c r="J1417" s="661"/>
      <c r="K1417" s="692"/>
      <c r="L1417" s="645"/>
      <c r="M1417" s="663"/>
      <c r="N1417" s="665"/>
      <c r="O1417" s="665"/>
      <c r="P1417" s="666"/>
      <c r="Q1417" s="667"/>
      <c r="R1417" s="668"/>
      <c r="S1417" s="693"/>
      <c r="T1417" s="694"/>
      <c r="U1417" s="694"/>
      <c r="V1417" s="693"/>
      <c r="W1417" s="693"/>
      <c r="X1417" s="693"/>
      <c r="Y1417" s="671"/>
      <c r="Z1417" s="673"/>
      <c r="AA1417" s="672"/>
      <c r="AB1417" s="695"/>
      <c r="AC1417" s="673"/>
      <c r="AD1417" s="673"/>
      <c r="AE1417" s="673"/>
      <c r="AF1417" s="673"/>
      <c r="AG1417" s="673"/>
      <c r="AH1417" s="673"/>
      <c r="AI1417" s="673"/>
      <c r="AJ1417" s="673"/>
      <c r="AK1417" s="673"/>
      <c r="AL1417" s="673"/>
      <c r="AM1417" s="673"/>
      <c r="AN1417" s="673"/>
      <c r="AO1417" s="673"/>
      <c r="AP1417" s="673"/>
      <c r="AQ1417" s="673"/>
      <c r="AR1417" s="673"/>
      <c r="AS1417" s="673"/>
      <c r="AT1417" s="696"/>
    </row>
    <row r="1418" ht="15.75" customHeight="1">
      <c r="A1418" s="653"/>
      <c r="B1418" s="654"/>
      <c r="C1418" s="691"/>
      <c r="D1418" s="656"/>
      <c r="E1418" s="657"/>
      <c r="F1418" s="658"/>
      <c r="G1418" s="659"/>
      <c r="H1418" s="660"/>
      <c r="I1418" s="659"/>
      <c r="J1418" s="661"/>
      <c r="K1418" s="692"/>
      <c r="L1418" s="645"/>
      <c r="M1418" s="663"/>
      <c r="N1418" s="665"/>
      <c r="O1418" s="665"/>
      <c r="P1418" s="666"/>
      <c r="Q1418" s="667"/>
      <c r="R1418" s="668"/>
      <c r="S1418" s="693"/>
      <c r="T1418" s="694"/>
      <c r="U1418" s="694"/>
      <c r="V1418" s="693"/>
      <c r="W1418" s="693"/>
      <c r="X1418" s="693"/>
      <c r="Y1418" s="671"/>
      <c r="Z1418" s="673"/>
      <c r="AA1418" s="672"/>
      <c r="AB1418" s="695"/>
      <c r="AC1418" s="673"/>
      <c r="AD1418" s="673"/>
      <c r="AE1418" s="673"/>
      <c r="AF1418" s="673"/>
      <c r="AG1418" s="673"/>
      <c r="AH1418" s="673"/>
      <c r="AI1418" s="673"/>
      <c r="AJ1418" s="673"/>
      <c r="AK1418" s="673"/>
      <c r="AL1418" s="673"/>
      <c r="AM1418" s="673"/>
      <c r="AN1418" s="673"/>
      <c r="AO1418" s="673"/>
      <c r="AP1418" s="673"/>
      <c r="AQ1418" s="673"/>
      <c r="AR1418" s="673"/>
      <c r="AS1418" s="673"/>
      <c r="AT1418" s="696"/>
    </row>
    <row r="1419" ht="15.75" customHeight="1">
      <c r="A1419" s="653"/>
      <c r="B1419" s="654"/>
      <c r="C1419" s="691"/>
      <c r="D1419" s="656"/>
      <c r="E1419" s="657"/>
      <c r="F1419" s="658"/>
      <c r="G1419" s="659"/>
      <c r="H1419" s="660"/>
      <c r="I1419" s="659"/>
      <c r="J1419" s="661"/>
      <c r="K1419" s="692"/>
      <c r="L1419" s="645"/>
      <c r="M1419" s="663"/>
      <c r="N1419" s="665"/>
      <c r="O1419" s="665"/>
      <c r="P1419" s="666"/>
      <c r="Q1419" s="667"/>
      <c r="R1419" s="668"/>
      <c r="S1419" s="693"/>
      <c r="T1419" s="694"/>
      <c r="U1419" s="694"/>
      <c r="V1419" s="693"/>
      <c r="W1419" s="693"/>
      <c r="X1419" s="693"/>
      <c r="Y1419" s="671"/>
      <c r="Z1419" s="673"/>
      <c r="AA1419" s="672"/>
      <c r="AB1419" s="695"/>
      <c r="AC1419" s="673"/>
      <c r="AD1419" s="673"/>
      <c r="AE1419" s="673"/>
      <c r="AF1419" s="673"/>
      <c r="AG1419" s="673"/>
      <c r="AH1419" s="673"/>
      <c r="AI1419" s="673"/>
      <c r="AJ1419" s="673"/>
      <c r="AK1419" s="673"/>
      <c r="AL1419" s="673"/>
      <c r="AM1419" s="673"/>
      <c r="AN1419" s="673"/>
      <c r="AO1419" s="673"/>
      <c r="AP1419" s="673"/>
      <c r="AQ1419" s="673"/>
      <c r="AR1419" s="673"/>
      <c r="AS1419" s="673"/>
      <c r="AT1419" s="696"/>
    </row>
    <row r="1420" ht="15.75" customHeight="1">
      <c r="A1420" s="653"/>
      <c r="B1420" s="654"/>
      <c r="C1420" s="691"/>
      <c r="D1420" s="656"/>
      <c r="E1420" s="657"/>
      <c r="F1420" s="658"/>
      <c r="G1420" s="659"/>
      <c r="H1420" s="660"/>
      <c r="I1420" s="659"/>
      <c r="J1420" s="661"/>
      <c r="K1420" s="692"/>
      <c r="L1420" s="645"/>
      <c r="M1420" s="663"/>
      <c r="N1420" s="665"/>
      <c r="O1420" s="665"/>
      <c r="P1420" s="666"/>
      <c r="Q1420" s="667"/>
      <c r="R1420" s="668"/>
      <c r="S1420" s="693"/>
      <c r="T1420" s="694"/>
      <c r="U1420" s="694"/>
      <c r="V1420" s="693"/>
      <c r="W1420" s="693"/>
      <c r="X1420" s="693"/>
      <c r="Y1420" s="671"/>
      <c r="Z1420" s="673"/>
      <c r="AA1420" s="672"/>
      <c r="AB1420" s="695"/>
      <c r="AC1420" s="673"/>
      <c r="AD1420" s="673"/>
      <c r="AE1420" s="673"/>
      <c r="AF1420" s="673"/>
      <c r="AG1420" s="673"/>
      <c r="AH1420" s="673"/>
      <c r="AI1420" s="673"/>
      <c r="AJ1420" s="673"/>
      <c r="AK1420" s="673"/>
      <c r="AL1420" s="673"/>
      <c r="AM1420" s="673"/>
      <c r="AN1420" s="673"/>
      <c r="AO1420" s="673"/>
      <c r="AP1420" s="673"/>
      <c r="AQ1420" s="673"/>
      <c r="AR1420" s="673"/>
      <c r="AS1420" s="673"/>
      <c r="AT1420" s="696"/>
    </row>
    <row r="1421" ht="15.75" customHeight="1">
      <c r="A1421" s="653"/>
      <c r="B1421" s="654"/>
      <c r="C1421" s="691"/>
      <c r="D1421" s="656"/>
      <c r="E1421" s="657"/>
      <c r="F1421" s="658"/>
      <c r="G1421" s="659"/>
      <c r="H1421" s="660"/>
      <c r="I1421" s="659"/>
      <c r="J1421" s="661"/>
      <c r="K1421" s="692"/>
      <c r="L1421" s="645"/>
      <c r="M1421" s="663"/>
      <c r="N1421" s="665"/>
      <c r="O1421" s="665"/>
      <c r="P1421" s="666"/>
      <c r="Q1421" s="667"/>
      <c r="R1421" s="668"/>
      <c r="S1421" s="693"/>
      <c r="T1421" s="694"/>
      <c r="U1421" s="694"/>
      <c r="V1421" s="693"/>
      <c r="W1421" s="693"/>
      <c r="X1421" s="693"/>
      <c r="Y1421" s="671"/>
      <c r="Z1421" s="673"/>
      <c r="AA1421" s="672"/>
      <c r="AB1421" s="695"/>
      <c r="AC1421" s="673"/>
      <c r="AD1421" s="673"/>
      <c r="AE1421" s="673"/>
      <c r="AF1421" s="673"/>
      <c r="AG1421" s="673"/>
      <c r="AH1421" s="673"/>
      <c r="AI1421" s="673"/>
      <c r="AJ1421" s="673"/>
      <c r="AK1421" s="673"/>
      <c r="AL1421" s="673"/>
      <c r="AM1421" s="673"/>
      <c r="AN1421" s="673"/>
      <c r="AO1421" s="673"/>
      <c r="AP1421" s="673"/>
      <c r="AQ1421" s="673"/>
      <c r="AR1421" s="673"/>
      <c r="AS1421" s="673"/>
      <c r="AT1421" s="696"/>
    </row>
    <row r="1422" ht="15.75" customHeight="1">
      <c r="A1422" s="653"/>
      <c r="B1422" s="654"/>
      <c r="C1422" s="691"/>
      <c r="D1422" s="656"/>
      <c r="E1422" s="657"/>
      <c r="F1422" s="658"/>
      <c r="G1422" s="659"/>
      <c r="H1422" s="660"/>
      <c r="I1422" s="659"/>
      <c r="J1422" s="661"/>
      <c r="K1422" s="692"/>
      <c r="L1422" s="645"/>
      <c r="M1422" s="663"/>
      <c r="N1422" s="665"/>
      <c r="O1422" s="665"/>
      <c r="P1422" s="666"/>
      <c r="Q1422" s="667"/>
      <c r="R1422" s="668"/>
      <c r="S1422" s="693"/>
      <c r="T1422" s="694"/>
      <c r="U1422" s="694"/>
      <c r="V1422" s="693"/>
      <c r="W1422" s="693"/>
      <c r="X1422" s="693"/>
      <c r="Y1422" s="671"/>
      <c r="Z1422" s="673"/>
      <c r="AA1422" s="672"/>
      <c r="AB1422" s="695"/>
      <c r="AC1422" s="673"/>
      <c r="AD1422" s="673"/>
      <c r="AE1422" s="673"/>
      <c r="AF1422" s="673"/>
      <c r="AG1422" s="673"/>
      <c r="AH1422" s="673"/>
      <c r="AI1422" s="673"/>
      <c r="AJ1422" s="673"/>
      <c r="AK1422" s="673"/>
      <c r="AL1422" s="673"/>
      <c r="AM1422" s="673"/>
      <c r="AN1422" s="673"/>
      <c r="AO1422" s="673"/>
      <c r="AP1422" s="673"/>
      <c r="AQ1422" s="673"/>
      <c r="AR1422" s="673"/>
      <c r="AS1422" s="673"/>
      <c r="AT1422" s="696"/>
    </row>
    <row r="1423" ht="15.75" customHeight="1">
      <c r="A1423" s="653"/>
      <c r="B1423" s="654"/>
      <c r="C1423" s="691"/>
      <c r="D1423" s="656"/>
      <c r="E1423" s="657"/>
      <c r="F1423" s="658"/>
      <c r="G1423" s="659"/>
      <c r="H1423" s="660"/>
      <c r="I1423" s="659"/>
      <c r="J1423" s="661"/>
      <c r="K1423" s="692"/>
      <c r="L1423" s="645"/>
      <c r="M1423" s="663"/>
      <c r="N1423" s="665"/>
      <c r="O1423" s="665"/>
      <c r="P1423" s="666"/>
      <c r="Q1423" s="667"/>
      <c r="R1423" s="668"/>
      <c r="S1423" s="693"/>
      <c r="T1423" s="694"/>
      <c r="U1423" s="694"/>
      <c r="V1423" s="693"/>
      <c r="W1423" s="693"/>
      <c r="X1423" s="693"/>
      <c r="Y1423" s="671"/>
      <c r="Z1423" s="673"/>
      <c r="AA1423" s="672"/>
      <c r="AB1423" s="695"/>
      <c r="AC1423" s="673"/>
      <c r="AD1423" s="673"/>
      <c r="AE1423" s="673"/>
      <c r="AF1423" s="673"/>
      <c r="AG1423" s="673"/>
      <c r="AH1423" s="673"/>
      <c r="AI1423" s="673"/>
      <c r="AJ1423" s="673"/>
      <c r="AK1423" s="673"/>
      <c r="AL1423" s="673"/>
      <c r="AM1423" s="673"/>
      <c r="AN1423" s="673"/>
      <c r="AO1423" s="673"/>
      <c r="AP1423" s="673"/>
      <c r="AQ1423" s="673"/>
      <c r="AR1423" s="673"/>
      <c r="AS1423" s="673"/>
      <c r="AT1423" s="696"/>
    </row>
    <row r="1424" ht="15.75" customHeight="1">
      <c r="A1424" s="653"/>
      <c r="B1424" s="654"/>
      <c r="C1424" s="691"/>
      <c r="D1424" s="656"/>
      <c r="E1424" s="657"/>
      <c r="F1424" s="658"/>
      <c r="G1424" s="659"/>
      <c r="H1424" s="660"/>
      <c r="I1424" s="659"/>
      <c r="J1424" s="661"/>
      <c r="K1424" s="692"/>
      <c r="L1424" s="645"/>
      <c r="M1424" s="663"/>
      <c r="N1424" s="665"/>
      <c r="O1424" s="665"/>
      <c r="P1424" s="666"/>
      <c r="Q1424" s="667"/>
      <c r="R1424" s="668"/>
      <c r="S1424" s="693"/>
      <c r="T1424" s="694"/>
      <c r="U1424" s="694"/>
      <c r="V1424" s="693"/>
      <c r="W1424" s="693"/>
      <c r="X1424" s="693"/>
      <c r="Y1424" s="671"/>
      <c r="Z1424" s="673"/>
      <c r="AA1424" s="672"/>
      <c r="AB1424" s="695"/>
      <c r="AC1424" s="673"/>
      <c r="AD1424" s="673"/>
      <c r="AE1424" s="673"/>
      <c r="AF1424" s="673"/>
      <c r="AG1424" s="673"/>
      <c r="AH1424" s="673"/>
      <c r="AI1424" s="673"/>
      <c r="AJ1424" s="673"/>
      <c r="AK1424" s="673"/>
      <c r="AL1424" s="673"/>
      <c r="AM1424" s="673"/>
      <c r="AN1424" s="673"/>
      <c r="AO1424" s="673"/>
      <c r="AP1424" s="673"/>
      <c r="AQ1424" s="673"/>
      <c r="AR1424" s="673"/>
      <c r="AS1424" s="673"/>
      <c r="AT1424" s="696"/>
    </row>
    <row r="1425" ht="15.75" customHeight="1">
      <c r="A1425" s="653"/>
      <c r="B1425" s="654"/>
      <c r="C1425" s="691"/>
      <c r="D1425" s="656"/>
      <c r="E1425" s="657"/>
      <c r="F1425" s="658"/>
      <c r="G1425" s="659"/>
      <c r="H1425" s="660"/>
      <c r="I1425" s="659"/>
      <c r="J1425" s="661"/>
      <c r="K1425" s="692"/>
      <c r="L1425" s="645"/>
      <c r="M1425" s="663"/>
      <c r="N1425" s="665"/>
      <c r="O1425" s="665"/>
      <c r="P1425" s="666"/>
      <c r="Q1425" s="667"/>
      <c r="R1425" s="668"/>
      <c r="S1425" s="693"/>
      <c r="T1425" s="694"/>
      <c r="U1425" s="694"/>
      <c r="V1425" s="693"/>
      <c r="W1425" s="693"/>
      <c r="X1425" s="693"/>
      <c r="Y1425" s="671"/>
      <c r="Z1425" s="673"/>
      <c r="AA1425" s="672"/>
      <c r="AB1425" s="695"/>
      <c r="AC1425" s="673"/>
      <c r="AD1425" s="673"/>
      <c r="AE1425" s="673"/>
      <c r="AF1425" s="673"/>
      <c r="AG1425" s="673"/>
      <c r="AH1425" s="673"/>
      <c r="AI1425" s="673"/>
      <c r="AJ1425" s="673"/>
      <c r="AK1425" s="673"/>
      <c r="AL1425" s="673"/>
      <c r="AM1425" s="673"/>
      <c r="AN1425" s="673"/>
      <c r="AO1425" s="673"/>
      <c r="AP1425" s="673"/>
      <c r="AQ1425" s="673"/>
      <c r="AR1425" s="673"/>
      <c r="AS1425" s="673"/>
      <c r="AT1425" s="696"/>
    </row>
    <row r="1426" ht="15.75" customHeight="1">
      <c r="A1426" s="653"/>
      <c r="B1426" s="654"/>
      <c r="C1426" s="691"/>
      <c r="D1426" s="656"/>
      <c r="E1426" s="657"/>
      <c r="F1426" s="658"/>
      <c r="G1426" s="659"/>
      <c r="H1426" s="660"/>
      <c r="I1426" s="659"/>
      <c r="J1426" s="661"/>
      <c r="K1426" s="692"/>
      <c r="L1426" s="645"/>
      <c r="M1426" s="663"/>
      <c r="N1426" s="665"/>
      <c r="O1426" s="665"/>
      <c r="P1426" s="666"/>
      <c r="Q1426" s="667"/>
      <c r="R1426" s="668"/>
      <c r="S1426" s="693"/>
      <c r="T1426" s="694"/>
      <c r="U1426" s="694"/>
      <c r="V1426" s="693"/>
      <c r="W1426" s="693"/>
      <c r="X1426" s="693"/>
      <c r="Y1426" s="671"/>
      <c r="Z1426" s="673"/>
      <c r="AA1426" s="672"/>
      <c r="AB1426" s="695"/>
      <c r="AC1426" s="673"/>
      <c r="AD1426" s="673"/>
      <c r="AE1426" s="673"/>
      <c r="AF1426" s="673"/>
      <c r="AG1426" s="673"/>
      <c r="AH1426" s="673"/>
      <c r="AI1426" s="673"/>
      <c r="AJ1426" s="673"/>
      <c r="AK1426" s="673"/>
      <c r="AL1426" s="673"/>
      <c r="AM1426" s="673"/>
      <c r="AN1426" s="673"/>
      <c r="AO1426" s="673"/>
      <c r="AP1426" s="673"/>
      <c r="AQ1426" s="673"/>
      <c r="AR1426" s="673"/>
      <c r="AS1426" s="673"/>
      <c r="AT1426" s="696"/>
    </row>
    <row r="1427" ht="15.75" customHeight="1">
      <c r="A1427" s="653"/>
      <c r="B1427" s="654"/>
      <c r="C1427" s="691"/>
      <c r="D1427" s="656"/>
      <c r="E1427" s="657"/>
      <c r="F1427" s="658"/>
      <c r="G1427" s="659"/>
      <c r="H1427" s="660"/>
      <c r="I1427" s="659"/>
      <c r="J1427" s="661"/>
      <c r="K1427" s="692"/>
      <c r="L1427" s="645"/>
      <c r="M1427" s="663"/>
      <c r="N1427" s="665"/>
      <c r="O1427" s="665"/>
      <c r="P1427" s="666"/>
      <c r="Q1427" s="667"/>
      <c r="R1427" s="668"/>
      <c r="S1427" s="693"/>
      <c r="T1427" s="694"/>
      <c r="U1427" s="694"/>
      <c r="V1427" s="693"/>
      <c r="W1427" s="693"/>
      <c r="X1427" s="693"/>
      <c r="Y1427" s="671"/>
      <c r="Z1427" s="673"/>
      <c r="AA1427" s="672"/>
      <c r="AB1427" s="695"/>
      <c r="AC1427" s="673"/>
      <c r="AD1427" s="673"/>
      <c r="AE1427" s="673"/>
      <c r="AF1427" s="673"/>
      <c r="AG1427" s="673"/>
      <c r="AH1427" s="673"/>
      <c r="AI1427" s="673"/>
      <c r="AJ1427" s="673"/>
      <c r="AK1427" s="673"/>
      <c r="AL1427" s="673"/>
      <c r="AM1427" s="673"/>
      <c r="AN1427" s="673"/>
      <c r="AO1427" s="673"/>
      <c r="AP1427" s="673"/>
      <c r="AQ1427" s="673"/>
      <c r="AR1427" s="673"/>
      <c r="AS1427" s="673"/>
      <c r="AT1427" s="696"/>
    </row>
    <row r="1428" ht="15.75" customHeight="1">
      <c r="A1428" s="653"/>
      <c r="B1428" s="654"/>
      <c r="C1428" s="691"/>
      <c r="D1428" s="656"/>
      <c r="E1428" s="657"/>
      <c r="F1428" s="658"/>
      <c r="G1428" s="659"/>
      <c r="H1428" s="660"/>
      <c r="I1428" s="659"/>
      <c r="J1428" s="661"/>
      <c r="K1428" s="692"/>
      <c r="L1428" s="645"/>
      <c r="M1428" s="663"/>
      <c r="N1428" s="665"/>
      <c r="O1428" s="665"/>
      <c r="P1428" s="666"/>
      <c r="Q1428" s="667"/>
      <c r="R1428" s="668"/>
      <c r="S1428" s="693"/>
      <c r="T1428" s="694"/>
      <c r="U1428" s="694"/>
      <c r="V1428" s="693"/>
      <c r="W1428" s="693"/>
      <c r="X1428" s="693"/>
      <c r="Y1428" s="671"/>
      <c r="Z1428" s="673"/>
      <c r="AA1428" s="672"/>
      <c r="AB1428" s="695"/>
      <c r="AC1428" s="673"/>
      <c r="AD1428" s="673"/>
      <c r="AE1428" s="673"/>
      <c r="AF1428" s="673"/>
      <c r="AG1428" s="673"/>
      <c r="AH1428" s="673"/>
      <c r="AI1428" s="673"/>
      <c r="AJ1428" s="673"/>
      <c r="AK1428" s="673"/>
      <c r="AL1428" s="673"/>
      <c r="AM1428" s="673"/>
      <c r="AN1428" s="673"/>
      <c r="AO1428" s="673"/>
      <c r="AP1428" s="673"/>
      <c r="AQ1428" s="673"/>
      <c r="AR1428" s="673"/>
      <c r="AS1428" s="673"/>
      <c r="AT1428" s="696"/>
    </row>
    <row r="1429" ht="15.75" customHeight="1">
      <c r="A1429" s="653"/>
      <c r="B1429" s="654"/>
      <c r="C1429" s="691"/>
      <c r="D1429" s="656"/>
      <c r="E1429" s="657"/>
      <c r="F1429" s="658"/>
      <c r="G1429" s="659"/>
      <c r="H1429" s="660"/>
      <c r="I1429" s="659"/>
      <c r="J1429" s="661"/>
      <c r="K1429" s="692"/>
      <c r="L1429" s="645"/>
      <c r="M1429" s="663"/>
      <c r="N1429" s="665"/>
      <c r="O1429" s="665"/>
      <c r="P1429" s="666"/>
      <c r="Q1429" s="667"/>
      <c r="R1429" s="668"/>
      <c r="S1429" s="693"/>
      <c r="T1429" s="694"/>
      <c r="U1429" s="694"/>
      <c r="V1429" s="693"/>
      <c r="W1429" s="693"/>
      <c r="X1429" s="693"/>
      <c r="Y1429" s="671"/>
      <c r="Z1429" s="673"/>
      <c r="AA1429" s="672"/>
      <c r="AB1429" s="695"/>
      <c r="AC1429" s="673"/>
      <c r="AD1429" s="673"/>
      <c r="AE1429" s="673"/>
      <c r="AF1429" s="673"/>
      <c r="AG1429" s="673"/>
      <c r="AH1429" s="673"/>
      <c r="AI1429" s="673"/>
      <c r="AJ1429" s="673"/>
      <c r="AK1429" s="673"/>
      <c r="AL1429" s="673"/>
      <c r="AM1429" s="673"/>
      <c r="AN1429" s="673"/>
      <c r="AO1429" s="673"/>
      <c r="AP1429" s="673"/>
      <c r="AQ1429" s="673"/>
      <c r="AR1429" s="673"/>
      <c r="AS1429" s="673"/>
      <c r="AT1429" s="696"/>
    </row>
    <row r="1430" ht="15.75" customHeight="1">
      <c r="A1430" s="653"/>
      <c r="B1430" s="654"/>
      <c r="C1430" s="691"/>
      <c r="D1430" s="656"/>
      <c r="E1430" s="657"/>
      <c r="F1430" s="658"/>
      <c r="G1430" s="659"/>
      <c r="H1430" s="660"/>
      <c r="I1430" s="659"/>
      <c r="J1430" s="661"/>
      <c r="K1430" s="692"/>
      <c r="L1430" s="645"/>
      <c r="M1430" s="663"/>
      <c r="N1430" s="665"/>
      <c r="O1430" s="665"/>
      <c r="P1430" s="666"/>
      <c r="Q1430" s="667"/>
      <c r="R1430" s="668"/>
      <c r="S1430" s="693"/>
      <c r="T1430" s="694"/>
      <c r="U1430" s="694"/>
      <c r="V1430" s="693"/>
      <c r="W1430" s="693"/>
      <c r="X1430" s="693"/>
      <c r="Y1430" s="671"/>
      <c r="Z1430" s="673"/>
      <c r="AA1430" s="672"/>
      <c r="AB1430" s="695"/>
      <c r="AC1430" s="673"/>
      <c r="AD1430" s="673"/>
      <c r="AE1430" s="673"/>
      <c r="AF1430" s="673"/>
      <c r="AG1430" s="673"/>
      <c r="AH1430" s="673"/>
      <c r="AI1430" s="673"/>
      <c r="AJ1430" s="673"/>
      <c r="AK1430" s="673"/>
      <c r="AL1430" s="673"/>
      <c r="AM1430" s="673"/>
      <c r="AN1430" s="673"/>
      <c r="AO1430" s="673"/>
      <c r="AP1430" s="673"/>
      <c r="AQ1430" s="673"/>
      <c r="AR1430" s="673"/>
      <c r="AS1430" s="673"/>
      <c r="AT1430" s="696"/>
    </row>
    <row r="1431" ht="15.75" customHeight="1">
      <c r="A1431" s="653"/>
      <c r="B1431" s="654"/>
      <c r="C1431" s="691"/>
      <c r="D1431" s="656"/>
      <c r="E1431" s="657"/>
      <c r="F1431" s="658"/>
      <c r="G1431" s="659"/>
      <c r="H1431" s="660"/>
      <c r="I1431" s="659"/>
      <c r="J1431" s="661"/>
      <c r="K1431" s="692"/>
      <c r="L1431" s="645"/>
      <c r="M1431" s="663"/>
      <c r="N1431" s="665"/>
      <c r="O1431" s="665"/>
      <c r="P1431" s="666"/>
      <c r="Q1431" s="667"/>
      <c r="R1431" s="668"/>
      <c r="S1431" s="693"/>
      <c r="T1431" s="694"/>
      <c r="U1431" s="694"/>
      <c r="V1431" s="693"/>
      <c r="W1431" s="693"/>
      <c r="X1431" s="693"/>
      <c r="Y1431" s="671"/>
      <c r="Z1431" s="673"/>
      <c r="AA1431" s="672"/>
      <c r="AB1431" s="695"/>
      <c r="AC1431" s="673"/>
      <c r="AD1431" s="673"/>
      <c r="AE1431" s="673"/>
      <c r="AF1431" s="673"/>
      <c r="AG1431" s="673"/>
      <c r="AH1431" s="673"/>
      <c r="AI1431" s="673"/>
      <c r="AJ1431" s="673"/>
      <c r="AK1431" s="673"/>
      <c r="AL1431" s="673"/>
      <c r="AM1431" s="673"/>
      <c r="AN1431" s="673"/>
      <c r="AO1431" s="673"/>
      <c r="AP1431" s="673"/>
      <c r="AQ1431" s="673"/>
      <c r="AR1431" s="673"/>
      <c r="AS1431" s="673"/>
      <c r="AT1431" s="696"/>
    </row>
    <row r="1432" ht="15.75" customHeight="1">
      <c r="A1432" s="653"/>
      <c r="B1432" s="654"/>
      <c r="C1432" s="691"/>
      <c r="D1432" s="656"/>
      <c r="E1432" s="657"/>
      <c r="F1432" s="658"/>
      <c r="G1432" s="659"/>
      <c r="H1432" s="660"/>
      <c r="I1432" s="659"/>
      <c r="J1432" s="661"/>
      <c r="K1432" s="692"/>
      <c r="L1432" s="645"/>
      <c r="M1432" s="663"/>
      <c r="N1432" s="665"/>
      <c r="O1432" s="665"/>
      <c r="P1432" s="666"/>
      <c r="Q1432" s="667"/>
      <c r="R1432" s="668"/>
      <c r="S1432" s="693"/>
      <c r="T1432" s="694"/>
      <c r="U1432" s="694"/>
      <c r="V1432" s="693"/>
      <c r="W1432" s="693"/>
      <c r="X1432" s="693"/>
      <c r="Y1432" s="671"/>
      <c r="Z1432" s="673"/>
      <c r="AA1432" s="672"/>
      <c r="AB1432" s="695"/>
      <c r="AC1432" s="673"/>
      <c r="AD1432" s="673"/>
      <c r="AE1432" s="673"/>
      <c r="AF1432" s="673"/>
      <c r="AG1432" s="673"/>
      <c r="AH1432" s="673"/>
      <c r="AI1432" s="673"/>
      <c r="AJ1432" s="673"/>
      <c r="AK1432" s="673"/>
      <c r="AL1432" s="673"/>
      <c r="AM1432" s="673"/>
      <c r="AN1432" s="673"/>
      <c r="AO1432" s="673"/>
      <c r="AP1432" s="673"/>
      <c r="AQ1432" s="673"/>
      <c r="AR1432" s="673"/>
      <c r="AS1432" s="673"/>
      <c r="AT1432" s="696"/>
    </row>
    <row r="1433" ht="15.75" customHeight="1">
      <c r="A1433" s="653"/>
      <c r="B1433" s="654"/>
      <c r="C1433" s="691"/>
      <c r="D1433" s="656"/>
      <c r="E1433" s="657"/>
      <c r="F1433" s="658"/>
      <c r="G1433" s="659"/>
      <c r="H1433" s="660"/>
      <c r="I1433" s="659"/>
      <c r="J1433" s="661"/>
      <c r="K1433" s="692"/>
      <c r="L1433" s="645"/>
      <c r="M1433" s="663"/>
      <c r="N1433" s="665"/>
      <c r="O1433" s="665"/>
      <c r="P1433" s="666"/>
      <c r="Q1433" s="667"/>
      <c r="R1433" s="668"/>
      <c r="S1433" s="693"/>
      <c r="T1433" s="694"/>
      <c r="U1433" s="694"/>
      <c r="V1433" s="693"/>
      <c r="W1433" s="693"/>
      <c r="X1433" s="693"/>
      <c r="Y1433" s="671"/>
      <c r="Z1433" s="673"/>
      <c r="AA1433" s="672"/>
      <c r="AB1433" s="695"/>
      <c r="AC1433" s="673"/>
      <c r="AD1433" s="673"/>
      <c r="AE1433" s="673"/>
      <c r="AF1433" s="673"/>
      <c r="AG1433" s="673"/>
      <c r="AH1433" s="673"/>
      <c r="AI1433" s="673"/>
      <c r="AJ1433" s="673"/>
      <c r="AK1433" s="673"/>
      <c r="AL1433" s="673"/>
      <c r="AM1433" s="673"/>
      <c r="AN1433" s="673"/>
      <c r="AO1433" s="673"/>
      <c r="AP1433" s="673"/>
      <c r="AQ1433" s="673"/>
      <c r="AR1433" s="673"/>
      <c r="AS1433" s="673"/>
      <c r="AT1433" s="696"/>
    </row>
    <row r="1434" ht="15.75" customHeight="1">
      <c r="A1434" s="653"/>
      <c r="B1434" s="654"/>
      <c r="C1434" s="691"/>
      <c r="D1434" s="656"/>
      <c r="E1434" s="657"/>
      <c r="F1434" s="658"/>
      <c r="G1434" s="659"/>
      <c r="H1434" s="660"/>
      <c r="I1434" s="659"/>
      <c r="J1434" s="661"/>
      <c r="K1434" s="692"/>
      <c r="L1434" s="645"/>
      <c r="M1434" s="663"/>
      <c r="N1434" s="665"/>
      <c r="O1434" s="665"/>
      <c r="P1434" s="666"/>
      <c r="Q1434" s="667"/>
      <c r="R1434" s="668"/>
      <c r="S1434" s="693"/>
      <c r="T1434" s="694"/>
      <c r="U1434" s="694"/>
      <c r="V1434" s="693"/>
      <c r="W1434" s="693"/>
      <c r="X1434" s="693"/>
      <c r="Y1434" s="671"/>
      <c r="Z1434" s="673"/>
      <c r="AA1434" s="672"/>
      <c r="AB1434" s="695"/>
      <c r="AC1434" s="673"/>
      <c r="AD1434" s="673"/>
      <c r="AE1434" s="673"/>
      <c r="AF1434" s="673"/>
      <c r="AG1434" s="673"/>
      <c r="AH1434" s="673"/>
      <c r="AI1434" s="673"/>
      <c r="AJ1434" s="673"/>
      <c r="AK1434" s="673"/>
      <c r="AL1434" s="673"/>
      <c r="AM1434" s="673"/>
      <c r="AN1434" s="673"/>
      <c r="AO1434" s="673"/>
      <c r="AP1434" s="673"/>
      <c r="AQ1434" s="673"/>
      <c r="AR1434" s="673"/>
      <c r="AS1434" s="673"/>
      <c r="AT1434" s="696"/>
    </row>
    <row r="1435" ht="15.75" customHeight="1">
      <c r="A1435" s="653"/>
      <c r="B1435" s="654"/>
      <c r="C1435" s="691"/>
      <c r="D1435" s="656"/>
      <c r="E1435" s="657"/>
      <c r="F1435" s="658"/>
      <c r="G1435" s="659"/>
      <c r="H1435" s="660"/>
      <c r="I1435" s="659"/>
      <c r="J1435" s="661"/>
      <c r="K1435" s="692"/>
      <c r="L1435" s="645"/>
      <c r="M1435" s="663"/>
      <c r="N1435" s="665"/>
      <c r="O1435" s="665"/>
      <c r="P1435" s="666"/>
      <c r="Q1435" s="667"/>
      <c r="R1435" s="668"/>
      <c r="S1435" s="693"/>
      <c r="T1435" s="694"/>
      <c r="U1435" s="694"/>
      <c r="V1435" s="693"/>
      <c r="W1435" s="693"/>
      <c r="X1435" s="693"/>
      <c r="Y1435" s="671"/>
      <c r="Z1435" s="673"/>
      <c r="AA1435" s="672"/>
      <c r="AB1435" s="695"/>
      <c r="AC1435" s="673"/>
      <c r="AD1435" s="673"/>
      <c r="AE1435" s="673"/>
      <c r="AF1435" s="673"/>
      <c r="AG1435" s="673"/>
      <c r="AH1435" s="673"/>
      <c r="AI1435" s="673"/>
      <c r="AJ1435" s="673"/>
      <c r="AK1435" s="673"/>
      <c r="AL1435" s="673"/>
      <c r="AM1435" s="673"/>
      <c r="AN1435" s="673"/>
      <c r="AO1435" s="673"/>
      <c r="AP1435" s="673"/>
      <c r="AQ1435" s="673"/>
      <c r="AR1435" s="673"/>
      <c r="AS1435" s="673"/>
      <c r="AT1435" s="696"/>
    </row>
    <row r="1436" ht="15.75" customHeight="1">
      <c r="A1436" s="653"/>
      <c r="B1436" s="654"/>
      <c r="C1436" s="691"/>
      <c r="D1436" s="656"/>
      <c r="E1436" s="657"/>
      <c r="F1436" s="658"/>
      <c r="G1436" s="659"/>
      <c r="H1436" s="660"/>
      <c r="I1436" s="659"/>
      <c r="J1436" s="661"/>
      <c r="K1436" s="692"/>
      <c r="L1436" s="645"/>
      <c r="M1436" s="663"/>
      <c r="N1436" s="665"/>
      <c r="O1436" s="665"/>
      <c r="P1436" s="666"/>
      <c r="Q1436" s="667"/>
      <c r="R1436" s="668"/>
      <c r="S1436" s="693"/>
      <c r="T1436" s="694"/>
      <c r="U1436" s="694"/>
      <c r="V1436" s="693"/>
      <c r="W1436" s="693"/>
      <c r="X1436" s="693"/>
      <c r="Y1436" s="671"/>
      <c r="Z1436" s="673"/>
      <c r="AA1436" s="672"/>
      <c r="AB1436" s="695"/>
      <c r="AC1436" s="673"/>
      <c r="AD1436" s="673"/>
      <c r="AE1436" s="673"/>
      <c r="AF1436" s="673"/>
      <c r="AG1436" s="673"/>
      <c r="AH1436" s="673"/>
      <c r="AI1436" s="673"/>
      <c r="AJ1436" s="673"/>
      <c r="AK1436" s="673"/>
      <c r="AL1436" s="673"/>
      <c r="AM1436" s="673"/>
      <c r="AN1436" s="673"/>
      <c r="AO1436" s="673"/>
      <c r="AP1436" s="673"/>
      <c r="AQ1436" s="673"/>
      <c r="AR1436" s="673"/>
      <c r="AS1436" s="673"/>
      <c r="AT1436" s="696"/>
    </row>
    <row r="1437" ht="15.75" customHeight="1">
      <c r="A1437" s="653"/>
      <c r="B1437" s="654"/>
      <c r="C1437" s="691"/>
      <c r="D1437" s="656"/>
      <c r="E1437" s="657"/>
      <c r="F1437" s="658"/>
      <c r="G1437" s="659"/>
      <c r="H1437" s="660"/>
      <c r="I1437" s="659"/>
      <c r="J1437" s="661"/>
      <c r="K1437" s="692"/>
      <c r="L1437" s="645"/>
      <c r="M1437" s="663"/>
      <c r="N1437" s="665"/>
      <c r="O1437" s="665"/>
      <c r="P1437" s="666"/>
      <c r="Q1437" s="667"/>
      <c r="R1437" s="668"/>
      <c r="S1437" s="693"/>
      <c r="T1437" s="694"/>
      <c r="U1437" s="694"/>
      <c r="V1437" s="693"/>
      <c r="W1437" s="693"/>
      <c r="X1437" s="693"/>
      <c r="Y1437" s="671"/>
      <c r="Z1437" s="673"/>
      <c r="AA1437" s="672"/>
      <c r="AB1437" s="695"/>
      <c r="AC1437" s="673"/>
      <c r="AD1437" s="673"/>
      <c r="AE1437" s="673"/>
      <c r="AF1437" s="673"/>
      <c r="AG1437" s="673"/>
      <c r="AH1437" s="673"/>
      <c r="AI1437" s="673"/>
      <c r="AJ1437" s="673"/>
      <c r="AK1437" s="673"/>
      <c r="AL1437" s="673"/>
      <c r="AM1437" s="673"/>
      <c r="AN1437" s="673"/>
      <c r="AO1437" s="673"/>
      <c r="AP1437" s="673"/>
      <c r="AQ1437" s="673"/>
      <c r="AR1437" s="673"/>
      <c r="AS1437" s="673"/>
      <c r="AT1437" s="696"/>
    </row>
    <row r="1438" ht="15.75" customHeight="1">
      <c r="A1438" s="653"/>
      <c r="B1438" s="654"/>
      <c r="C1438" s="691"/>
      <c r="D1438" s="656"/>
      <c r="E1438" s="657"/>
      <c r="F1438" s="658"/>
      <c r="G1438" s="659"/>
      <c r="H1438" s="660"/>
      <c r="I1438" s="659"/>
      <c r="J1438" s="661"/>
      <c r="K1438" s="692"/>
      <c r="L1438" s="645"/>
      <c r="M1438" s="663"/>
      <c r="N1438" s="665"/>
      <c r="O1438" s="665"/>
      <c r="P1438" s="666"/>
      <c r="Q1438" s="667"/>
      <c r="R1438" s="668"/>
      <c r="S1438" s="693"/>
      <c r="T1438" s="694"/>
      <c r="U1438" s="694"/>
      <c r="V1438" s="693"/>
      <c r="W1438" s="693"/>
      <c r="X1438" s="693"/>
      <c r="Y1438" s="671"/>
      <c r="Z1438" s="673"/>
      <c r="AA1438" s="672"/>
      <c r="AB1438" s="695"/>
      <c r="AC1438" s="673"/>
      <c r="AD1438" s="673"/>
      <c r="AE1438" s="673"/>
      <c r="AF1438" s="673"/>
      <c r="AG1438" s="673"/>
      <c r="AH1438" s="673"/>
      <c r="AI1438" s="673"/>
      <c r="AJ1438" s="673"/>
      <c r="AK1438" s="673"/>
      <c r="AL1438" s="673"/>
      <c r="AM1438" s="673"/>
      <c r="AN1438" s="673"/>
      <c r="AO1438" s="673"/>
      <c r="AP1438" s="673"/>
      <c r="AQ1438" s="673"/>
      <c r="AR1438" s="673"/>
      <c r="AS1438" s="673"/>
      <c r="AT1438" s="696"/>
    </row>
    <row r="1439" ht="15.75" customHeight="1">
      <c r="A1439" s="653"/>
      <c r="B1439" s="654"/>
      <c r="C1439" s="691"/>
      <c r="D1439" s="656"/>
      <c r="E1439" s="657"/>
      <c r="F1439" s="658"/>
      <c r="G1439" s="659"/>
      <c r="H1439" s="660"/>
      <c r="I1439" s="659"/>
      <c r="J1439" s="661"/>
      <c r="K1439" s="692"/>
      <c r="L1439" s="645"/>
      <c r="M1439" s="663"/>
      <c r="N1439" s="665"/>
      <c r="O1439" s="665"/>
      <c r="P1439" s="666"/>
      <c r="Q1439" s="667"/>
      <c r="R1439" s="668"/>
      <c r="S1439" s="693"/>
      <c r="T1439" s="694"/>
      <c r="U1439" s="694"/>
      <c r="V1439" s="693"/>
      <c r="W1439" s="693"/>
      <c r="X1439" s="693"/>
      <c r="Y1439" s="671"/>
      <c r="Z1439" s="673"/>
      <c r="AA1439" s="672"/>
      <c r="AB1439" s="695"/>
      <c r="AC1439" s="673"/>
      <c r="AD1439" s="673"/>
      <c r="AE1439" s="673"/>
      <c r="AF1439" s="673"/>
      <c r="AG1439" s="673"/>
      <c r="AH1439" s="673"/>
      <c r="AI1439" s="673"/>
      <c r="AJ1439" s="673"/>
      <c r="AK1439" s="673"/>
      <c r="AL1439" s="673"/>
      <c r="AM1439" s="673"/>
      <c r="AN1439" s="673"/>
      <c r="AO1439" s="673"/>
      <c r="AP1439" s="673"/>
      <c r="AQ1439" s="673"/>
      <c r="AR1439" s="673"/>
      <c r="AS1439" s="673"/>
      <c r="AT1439" s="696"/>
    </row>
    <row r="1440" ht="15.75" customHeight="1">
      <c r="A1440" s="653"/>
      <c r="B1440" s="654"/>
      <c r="C1440" s="691"/>
      <c r="D1440" s="656"/>
      <c r="E1440" s="657"/>
      <c r="F1440" s="658"/>
      <c r="G1440" s="659"/>
      <c r="H1440" s="660"/>
      <c r="I1440" s="659"/>
      <c r="J1440" s="661"/>
      <c r="K1440" s="692"/>
      <c r="L1440" s="645"/>
      <c r="M1440" s="663"/>
      <c r="N1440" s="665"/>
      <c r="O1440" s="665"/>
      <c r="P1440" s="666"/>
      <c r="Q1440" s="667"/>
      <c r="R1440" s="668"/>
      <c r="S1440" s="693"/>
      <c r="T1440" s="694"/>
      <c r="U1440" s="694"/>
      <c r="V1440" s="693"/>
      <c r="W1440" s="693"/>
      <c r="X1440" s="693"/>
      <c r="Y1440" s="671"/>
      <c r="Z1440" s="673"/>
      <c r="AA1440" s="672"/>
      <c r="AB1440" s="695"/>
      <c r="AC1440" s="673"/>
      <c r="AD1440" s="673"/>
      <c r="AE1440" s="673"/>
      <c r="AF1440" s="673"/>
      <c r="AG1440" s="673"/>
      <c r="AH1440" s="673"/>
      <c r="AI1440" s="673"/>
      <c r="AJ1440" s="673"/>
      <c r="AK1440" s="673"/>
      <c r="AL1440" s="673"/>
      <c r="AM1440" s="673"/>
      <c r="AN1440" s="673"/>
      <c r="AO1440" s="673"/>
      <c r="AP1440" s="673"/>
      <c r="AQ1440" s="673"/>
      <c r="AR1440" s="673"/>
      <c r="AS1440" s="673"/>
      <c r="AT1440" s="696"/>
    </row>
    <row r="1441" ht="15.75" customHeight="1">
      <c r="A1441" s="653"/>
      <c r="B1441" s="654"/>
      <c r="C1441" s="691"/>
      <c r="D1441" s="656"/>
      <c r="E1441" s="657"/>
      <c r="F1441" s="658"/>
      <c r="G1441" s="659"/>
      <c r="H1441" s="660"/>
      <c r="I1441" s="659"/>
      <c r="J1441" s="661"/>
      <c r="K1441" s="692"/>
      <c r="L1441" s="645"/>
      <c r="M1441" s="663"/>
      <c r="N1441" s="665"/>
      <c r="O1441" s="665"/>
      <c r="P1441" s="666"/>
      <c r="Q1441" s="667"/>
      <c r="R1441" s="668"/>
      <c r="S1441" s="693"/>
      <c r="T1441" s="694"/>
      <c r="U1441" s="694"/>
      <c r="V1441" s="693"/>
      <c r="W1441" s="693"/>
      <c r="X1441" s="693"/>
      <c r="Y1441" s="671"/>
      <c r="Z1441" s="673"/>
      <c r="AA1441" s="672"/>
      <c r="AB1441" s="695"/>
      <c r="AC1441" s="673"/>
      <c r="AD1441" s="673"/>
      <c r="AE1441" s="673"/>
      <c r="AF1441" s="673"/>
      <c r="AG1441" s="673"/>
      <c r="AH1441" s="673"/>
      <c r="AI1441" s="673"/>
      <c r="AJ1441" s="673"/>
      <c r="AK1441" s="673"/>
      <c r="AL1441" s="673"/>
      <c r="AM1441" s="673"/>
      <c r="AN1441" s="673"/>
      <c r="AO1441" s="673"/>
      <c r="AP1441" s="673"/>
      <c r="AQ1441" s="673"/>
      <c r="AR1441" s="673"/>
      <c r="AS1441" s="673"/>
      <c r="AT1441" s="696"/>
    </row>
    <row r="1442" ht="15.75" customHeight="1">
      <c r="A1442" s="653"/>
      <c r="B1442" s="654"/>
      <c r="C1442" s="691"/>
      <c r="D1442" s="656"/>
      <c r="E1442" s="657"/>
      <c r="F1442" s="658"/>
      <c r="G1442" s="659"/>
      <c r="H1442" s="660"/>
      <c r="I1442" s="659"/>
      <c r="J1442" s="661"/>
      <c r="K1442" s="692"/>
      <c r="L1442" s="645"/>
      <c r="M1442" s="663"/>
      <c r="N1442" s="665"/>
      <c r="O1442" s="665"/>
      <c r="P1442" s="666"/>
      <c r="Q1442" s="667"/>
      <c r="R1442" s="668"/>
      <c r="S1442" s="693"/>
      <c r="T1442" s="694"/>
      <c r="U1442" s="694"/>
      <c r="V1442" s="693"/>
      <c r="W1442" s="693"/>
      <c r="X1442" s="693"/>
      <c r="Y1442" s="671"/>
      <c r="Z1442" s="673"/>
      <c r="AA1442" s="672"/>
      <c r="AB1442" s="695"/>
      <c r="AC1442" s="673"/>
      <c r="AD1442" s="673"/>
      <c r="AE1442" s="673"/>
      <c r="AF1442" s="673"/>
      <c r="AG1442" s="673"/>
      <c r="AH1442" s="673"/>
      <c r="AI1442" s="673"/>
      <c r="AJ1442" s="673"/>
      <c r="AK1442" s="673"/>
      <c r="AL1442" s="673"/>
      <c r="AM1442" s="673"/>
      <c r="AN1442" s="673"/>
      <c r="AO1442" s="673"/>
      <c r="AP1442" s="673"/>
      <c r="AQ1442" s="673"/>
      <c r="AR1442" s="673"/>
      <c r="AS1442" s="673"/>
      <c r="AT1442" s="696"/>
    </row>
    <row r="1443" ht="15.75" customHeight="1">
      <c r="A1443" s="653"/>
      <c r="B1443" s="654"/>
      <c r="C1443" s="691"/>
      <c r="D1443" s="656"/>
      <c r="E1443" s="657"/>
      <c r="F1443" s="658"/>
      <c r="G1443" s="659"/>
      <c r="H1443" s="660"/>
      <c r="I1443" s="659"/>
      <c r="J1443" s="661"/>
      <c r="K1443" s="692"/>
      <c r="L1443" s="645"/>
      <c r="M1443" s="663"/>
      <c r="N1443" s="665"/>
      <c r="O1443" s="665"/>
      <c r="P1443" s="666"/>
      <c r="Q1443" s="667"/>
      <c r="R1443" s="668"/>
      <c r="S1443" s="693"/>
      <c r="T1443" s="694"/>
      <c r="U1443" s="694"/>
      <c r="V1443" s="693"/>
      <c r="W1443" s="693"/>
      <c r="X1443" s="693"/>
      <c r="Y1443" s="671"/>
      <c r="Z1443" s="673"/>
      <c r="AA1443" s="672"/>
      <c r="AB1443" s="695"/>
      <c r="AC1443" s="673"/>
      <c r="AD1443" s="673"/>
      <c r="AE1443" s="673"/>
      <c r="AF1443" s="673"/>
      <c r="AG1443" s="673"/>
      <c r="AH1443" s="673"/>
      <c r="AI1443" s="673"/>
      <c r="AJ1443" s="673"/>
      <c r="AK1443" s="673"/>
      <c r="AL1443" s="673"/>
      <c r="AM1443" s="673"/>
      <c r="AN1443" s="673"/>
      <c r="AO1443" s="673"/>
      <c r="AP1443" s="673"/>
      <c r="AQ1443" s="673"/>
      <c r="AR1443" s="673"/>
      <c r="AS1443" s="673"/>
      <c r="AT1443" s="696"/>
    </row>
    <row r="1444" ht="15.75" customHeight="1">
      <c r="A1444" s="653"/>
      <c r="B1444" s="654"/>
      <c r="C1444" s="691"/>
      <c r="D1444" s="656"/>
      <c r="E1444" s="657"/>
      <c r="F1444" s="658"/>
      <c r="G1444" s="659"/>
      <c r="H1444" s="660"/>
      <c r="I1444" s="659"/>
      <c r="J1444" s="661"/>
      <c r="K1444" s="692"/>
      <c r="L1444" s="645"/>
      <c r="M1444" s="663"/>
      <c r="N1444" s="665"/>
      <c r="O1444" s="665"/>
      <c r="P1444" s="666"/>
      <c r="Q1444" s="667"/>
      <c r="R1444" s="668"/>
      <c r="S1444" s="693"/>
      <c r="T1444" s="694"/>
      <c r="U1444" s="694"/>
      <c r="V1444" s="693"/>
      <c r="W1444" s="693"/>
      <c r="X1444" s="693"/>
      <c r="Y1444" s="671"/>
      <c r="Z1444" s="673"/>
      <c r="AA1444" s="672"/>
      <c r="AB1444" s="695"/>
      <c r="AC1444" s="673"/>
      <c r="AD1444" s="673"/>
      <c r="AE1444" s="673"/>
      <c r="AF1444" s="673"/>
      <c r="AG1444" s="673"/>
      <c r="AH1444" s="673"/>
      <c r="AI1444" s="673"/>
      <c r="AJ1444" s="673"/>
      <c r="AK1444" s="673"/>
      <c r="AL1444" s="673"/>
      <c r="AM1444" s="673"/>
      <c r="AN1444" s="673"/>
      <c r="AO1444" s="673"/>
      <c r="AP1444" s="673"/>
      <c r="AQ1444" s="673"/>
      <c r="AR1444" s="673"/>
      <c r="AS1444" s="673"/>
      <c r="AT1444" s="696"/>
    </row>
    <row r="1445" ht="15.75" customHeight="1">
      <c r="A1445" s="653"/>
      <c r="B1445" s="654"/>
      <c r="C1445" s="691"/>
      <c r="D1445" s="656"/>
      <c r="E1445" s="657"/>
      <c r="F1445" s="658"/>
      <c r="G1445" s="659"/>
      <c r="H1445" s="660"/>
      <c r="I1445" s="659"/>
      <c r="J1445" s="661"/>
      <c r="K1445" s="692"/>
      <c r="L1445" s="645"/>
      <c r="M1445" s="663"/>
      <c r="N1445" s="665"/>
      <c r="O1445" s="665"/>
      <c r="P1445" s="666"/>
      <c r="Q1445" s="667"/>
      <c r="R1445" s="668"/>
      <c r="S1445" s="693"/>
      <c r="T1445" s="694"/>
      <c r="U1445" s="694"/>
      <c r="V1445" s="693"/>
      <c r="W1445" s="693"/>
      <c r="X1445" s="693"/>
      <c r="Y1445" s="671"/>
      <c r="Z1445" s="673"/>
      <c r="AA1445" s="672"/>
      <c r="AB1445" s="695"/>
      <c r="AC1445" s="673"/>
      <c r="AD1445" s="673"/>
      <c r="AE1445" s="673"/>
      <c r="AF1445" s="673"/>
      <c r="AG1445" s="673"/>
      <c r="AH1445" s="673"/>
      <c r="AI1445" s="673"/>
      <c r="AJ1445" s="673"/>
      <c r="AK1445" s="673"/>
      <c r="AL1445" s="673"/>
      <c r="AM1445" s="673"/>
      <c r="AN1445" s="673"/>
      <c r="AO1445" s="673"/>
      <c r="AP1445" s="673"/>
      <c r="AQ1445" s="673"/>
      <c r="AR1445" s="673"/>
      <c r="AS1445" s="673"/>
      <c r="AT1445" s="696"/>
    </row>
    <row r="1446" ht="15.75" customHeight="1">
      <c r="A1446" s="653"/>
      <c r="B1446" s="654"/>
      <c r="C1446" s="691"/>
      <c r="D1446" s="656"/>
      <c r="E1446" s="657"/>
      <c r="F1446" s="658"/>
      <c r="G1446" s="659"/>
      <c r="H1446" s="660"/>
      <c r="I1446" s="659"/>
      <c r="J1446" s="661"/>
      <c r="K1446" s="692"/>
      <c r="L1446" s="645"/>
      <c r="M1446" s="663"/>
      <c r="N1446" s="665"/>
      <c r="O1446" s="665"/>
      <c r="P1446" s="666"/>
      <c r="Q1446" s="667"/>
      <c r="R1446" s="668"/>
      <c r="S1446" s="693"/>
      <c r="T1446" s="694"/>
      <c r="U1446" s="694"/>
      <c r="V1446" s="693"/>
      <c r="W1446" s="693"/>
      <c r="X1446" s="693"/>
      <c r="Y1446" s="671"/>
      <c r="Z1446" s="673"/>
      <c r="AA1446" s="672"/>
      <c r="AB1446" s="695"/>
      <c r="AC1446" s="673"/>
      <c r="AD1446" s="673"/>
      <c r="AE1446" s="673"/>
      <c r="AF1446" s="673"/>
      <c r="AG1446" s="673"/>
      <c r="AH1446" s="673"/>
      <c r="AI1446" s="673"/>
      <c r="AJ1446" s="673"/>
      <c r="AK1446" s="673"/>
      <c r="AL1446" s="673"/>
      <c r="AM1446" s="673"/>
      <c r="AN1446" s="673"/>
      <c r="AO1446" s="673"/>
      <c r="AP1446" s="673"/>
      <c r="AQ1446" s="673"/>
      <c r="AR1446" s="673"/>
      <c r="AS1446" s="673"/>
      <c r="AT1446" s="696"/>
    </row>
    <row r="1447" ht="15.75" customHeight="1">
      <c r="A1447" s="653"/>
      <c r="B1447" s="654"/>
      <c r="C1447" s="691"/>
      <c r="D1447" s="656"/>
      <c r="E1447" s="657"/>
      <c r="F1447" s="658"/>
      <c r="G1447" s="659"/>
      <c r="H1447" s="660"/>
      <c r="I1447" s="659"/>
      <c r="J1447" s="661"/>
      <c r="K1447" s="692"/>
      <c r="L1447" s="645"/>
      <c r="M1447" s="663"/>
      <c r="N1447" s="665"/>
      <c r="O1447" s="665"/>
      <c r="P1447" s="666"/>
      <c r="Q1447" s="667"/>
      <c r="R1447" s="668"/>
      <c r="S1447" s="693"/>
      <c r="T1447" s="694"/>
      <c r="U1447" s="694"/>
      <c r="V1447" s="693"/>
      <c r="W1447" s="693"/>
      <c r="X1447" s="693"/>
      <c r="Y1447" s="671"/>
      <c r="Z1447" s="673"/>
      <c r="AA1447" s="672"/>
      <c r="AB1447" s="695"/>
      <c r="AC1447" s="673"/>
      <c r="AD1447" s="673"/>
      <c r="AE1447" s="673"/>
      <c r="AF1447" s="673"/>
      <c r="AG1447" s="673"/>
      <c r="AH1447" s="673"/>
      <c r="AI1447" s="673"/>
      <c r="AJ1447" s="673"/>
      <c r="AK1447" s="673"/>
      <c r="AL1447" s="673"/>
      <c r="AM1447" s="673"/>
      <c r="AN1447" s="673"/>
      <c r="AO1447" s="673"/>
      <c r="AP1447" s="673"/>
      <c r="AQ1447" s="673"/>
      <c r="AR1447" s="673"/>
      <c r="AS1447" s="673"/>
      <c r="AT1447" s="696"/>
    </row>
    <row r="1448" ht="15.75" customHeight="1">
      <c r="A1448" s="653"/>
      <c r="B1448" s="654"/>
      <c r="C1448" s="691"/>
      <c r="D1448" s="656"/>
      <c r="E1448" s="657"/>
      <c r="F1448" s="658"/>
      <c r="G1448" s="659"/>
      <c r="H1448" s="660"/>
      <c r="I1448" s="659"/>
      <c r="J1448" s="661"/>
      <c r="K1448" s="692"/>
      <c r="L1448" s="645"/>
      <c r="M1448" s="663"/>
      <c r="N1448" s="665"/>
      <c r="O1448" s="665"/>
      <c r="P1448" s="666"/>
      <c r="Q1448" s="667"/>
      <c r="R1448" s="668"/>
      <c r="S1448" s="693"/>
      <c r="T1448" s="694"/>
      <c r="U1448" s="694"/>
      <c r="V1448" s="693"/>
      <c r="W1448" s="693"/>
      <c r="X1448" s="693"/>
      <c r="Y1448" s="671"/>
      <c r="Z1448" s="673"/>
      <c r="AA1448" s="672"/>
      <c r="AB1448" s="695"/>
      <c r="AC1448" s="673"/>
      <c r="AD1448" s="673"/>
      <c r="AE1448" s="673"/>
      <c r="AF1448" s="673"/>
      <c r="AG1448" s="673"/>
      <c r="AH1448" s="673"/>
      <c r="AI1448" s="673"/>
      <c r="AJ1448" s="673"/>
      <c r="AK1448" s="673"/>
      <c r="AL1448" s="673"/>
      <c r="AM1448" s="673"/>
      <c r="AN1448" s="673"/>
      <c r="AO1448" s="673"/>
      <c r="AP1448" s="673"/>
      <c r="AQ1448" s="673"/>
      <c r="AR1448" s="673"/>
      <c r="AS1448" s="673"/>
      <c r="AT1448" s="696"/>
    </row>
    <row r="1449" ht="15.75" customHeight="1">
      <c r="A1449" s="653"/>
      <c r="B1449" s="654"/>
      <c r="C1449" s="691"/>
      <c r="D1449" s="656"/>
      <c r="E1449" s="657"/>
      <c r="F1449" s="658"/>
      <c r="G1449" s="659"/>
      <c r="H1449" s="660"/>
      <c r="I1449" s="659"/>
      <c r="J1449" s="661"/>
      <c r="K1449" s="692"/>
      <c r="L1449" s="645"/>
      <c r="M1449" s="663"/>
      <c r="N1449" s="665"/>
      <c r="O1449" s="665"/>
      <c r="P1449" s="666"/>
      <c r="Q1449" s="667"/>
      <c r="R1449" s="668"/>
      <c r="S1449" s="693"/>
      <c r="T1449" s="694"/>
      <c r="U1449" s="694"/>
      <c r="V1449" s="693"/>
      <c r="W1449" s="693"/>
      <c r="X1449" s="693"/>
      <c r="Y1449" s="671"/>
      <c r="Z1449" s="673"/>
      <c r="AA1449" s="672"/>
      <c r="AB1449" s="695"/>
      <c r="AC1449" s="673"/>
      <c r="AD1449" s="673"/>
      <c r="AE1449" s="673"/>
      <c r="AF1449" s="673"/>
      <c r="AG1449" s="673"/>
      <c r="AH1449" s="673"/>
      <c r="AI1449" s="673"/>
      <c r="AJ1449" s="673"/>
      <c r="AK1449" s="673"/>
      <c r="AL1449" s="673"/>
      <c r="AM1449" s="673"/>
      <c r="AN1449" s="673"/>
      <c r="AO1449" s="673"/>
      <c r="AP1449" s="673"/>
      <c r="AQ1449" s="673"/>
      <c r="AR1449" s="673"/>
      <c r="AS1449" s="673"/>
      <c r="AT1449" s="696"/>
    </row>
    <row r="1450" ht="15.75" customHeight="1">
      <c r="A1450" s="653"/>
      <c r="B1450" s="654"/>
      <c r="C1450" s="691"/>
      <c r="D1450" s="656"/>
      <c r="E1450" s="657"/>
      <c r="F1450" s="658"/>
      <c r="G1450" s="659"/>
      <c r="H1450" s="660"/>
      <c r="I1450" s="659"/>
      <c r="J1450" s="661"/>
      <c r="K1450" s="692"/>
      <c r="L1450" s="645"/>
      <c r="M1450" s="663"/>
      <c r="N1450" s="665"/>
      <c r="O1450" s="665"/>
      <c r="P1450" s="666"/>
      <c r="Q1450" s="667"/>
      <c r="R1450" s="668"/>
      <c r="S1450" s="693"/>
      <c r="T1450" s="694"/>
      <c r="U1450" s="694"/>
      <c r="V1450" s="693"/>
      <c r="W1450" s="693"/>
      <c r="X1450" s="693"/>
      <c r="Y1450" s="671"/>
      <c r="Z1450" s="673"/>
      <c r="AA1450" s="672"/>
      <c r="AB1450" s="695"/>
      <c r="AC1450" s="673"/>
      <c r="AD1450" s="673"/>
      <c r="AE1450" s="673"/>
      <c r="AF1450" s="673"/>
      <c r="AG1450" s="673"/>
      <c r="AH1450" s="673"/>
      <c r="AI1450" s="673"/>
      <c r="AJ1450" s="673"/>
      <c r="AK1450" s="673"/>
      <c r="AL1450" s="673"/>
      <c r="AM1450" s="673"/>
      <c r="AN1450" s="673"/>
      <c r="AO1450" s="673"/>
      <c r="AP1450" s="673"/>
      <c r="AQ1450" s="673"/>
      <c r="AR1450" s="673"/>
      <c r="AS1450" s="673"/>
      <c r="AT1450" s="696"/>
    </row>
    <row r="1451" ht="15.75" customHeight="1">
      <c r="A1451" s="653"/>
      <c r="B1451" s="654"/>
      <c r="C1451" s="691"/>
      <c r="D1451" s="656"/>
      <c r="E1451" s="657"/>
      <c r="F1451" s="658"/>
      <c r="G1451" s="659"/>
      <c r="H1451" s="660"/>
      <c r="I1451" s="659"/>
      <c r="J1451" s="661"/>
      <c r="K1451" s="692"/>
      <c r="L1451" s="645"/>
      <c r="M1451" s="663"/>
      <c r="N1451" s="665"/>
      <c r="O1451" s="665"/>
      <c r="P1451" s="666"/>
      <c r="Q1451" s="667"/>
      <c r="R1451" s="668"/>
      <c r="S1451" s="693"/>
      <c r="T1451" s="694"/>
      <c r="U1451" s="694"/>
      <c r="V1451" s="693"/>
      <c r="W1451" s="693"/>
      <c r="X1451" s="693"/>
      <c r="Y1451" s="671"/>
      <c r="Z1451" s="673"/>
      <c r="AA1451" s="672"/>
      <c r="AB1451" s="695"/>
      <c r="AC1451" s="673"/>
      <c r="AD1451" s="673"/>
      <c r="AE1451" s="673"/>
      <c r="AF1451" s="673"/>
      <c r="AG1451" s="673"/>
      <c r="AH1451" s="673"/>
      <c r="AI1451" s="673"/>
      <c r="AJ1451" s="673"/>
      <c r="AK1451" s="673"/>
      <c r="AL1451" s="673"/>
      <c r="AM1451" s="673"/>
      <c r="AN1451" s="673"/>
      <c r="AO1451" s="673"/>
      <c r="AP1451" s="673"/>
      <c r="AQ1451" s="673"/>
      <c r="AR1451" s="673"/>
      <c r="AS1451" s="673"/>
      <c r="AT1451" s="696"/>
    </row>
    <row r="1452" ht="15.75" customHeight="1">
      <c r="A1452" s="653"/>
      <c r="B1452" s="654"/>
      <c r="C1452" s="691"/>
      <c r="D1452" s="656"/>
      <c r="E1452" s="657"/>
      <c r="F1452" s="658"/>
      <c r="G1452" s="659"/>
      <c r="H1452" s="660"/>
      <c r="I1452" s="659"/>
      <c r="J1452" s="661"/>
      <c r="K1452" s="692"/>
      <c r="L1452" s="645"/>
      <c r="M1452" s="663"/>
      <c r="N1452" s="665"/>
      <c r="O1452" s="665"/>
      <c r="P1452" s="666"/>
      <c r="Q1452" s="667"/>
      <c r="R1452" s="668"/>
      <c r="S1452" s="693"/>
      <c r="T1452" s="694"/>
      <c r="U1452" s="694"/>
      <c r="V1452" s="693"/>
      <c r="W1452" s="693"/>
      <c r="X1452" s="693"/>
      <c r="Y1452" s="671"/>
      <c r="Z1452" s="673"/>
      <c r="AA1452" s="672"/>
      <c r="AB1452" s="695"/>
      <c r="AC1452" s="673"/>
      <c r="AD1452" s="673"/>
      <c r="AE1452" s="673"/>
      <c r="AF1452" s="673"/>
      <c r="AG1452" s="673"/>
      <c r="AH1452" s="673"/>
      <c r="AI1452" s="673"/>
      <c r="AJ1452" s="673"/>
      <c r="AK1452" s="673"/>
      <c r="AL1452" s="673"/>
      <c r="AM1452" s="673"/>
      <c r="AN1452" s="673"/>
      <c r="AO1452" s="673"/>
      <c r="AP1452" s="673"/>
      <c r="AQ1452" s="673"/>
      <c r="AR1452" s="673"/>
      <c r="AS1452" s="673"/>
      <c r="AT1452" s="696"/>
    </row>
    <row r="1453" ht="15.75" customHeight="1">
      <c r="A1453" s="653"/>
      <c r="B1453" s="654"/>
      <c r="C1453" s="691"/>
      <c r="D1453" s="656"/>
      <c r="E1453" s="657"/>
      <c r="F1453" s="658"/>
      <c r="G1453" s="659"/>
      <c r="H1453" s="660"/>
      <c r="I1453" s="659"/>
      <c r="J1453" s="661"/>
      <c r="K1453" s="692"/>
      <c r="L1453" s="645"/>
      <c r="M1453" s="663"/>
      <c r="N1453" s="665"/>
      <c r="O1453" s="665"/>
      <c r="P1453" s="666"/>
      <c r="Q1453" s="667"/>
      <c r="R1453" s="668"/>
      <c r="S1453" s="693"/>
      <c r="T1453" s="694"/>
      <c r="U1453" s="694"/>
      <c r="V1453" s="693"/>
      <c r="W1453" s="693"/>
      <c r="X1453" s="693"/>
      <c r="Y1453" s="671"/>
      <c r="Z1453" s="673"/>
      <c r="AA1453" s="672"/>
      <c r="AB1453" s="695"/>
      <c r="AC1453" s="673"/>
      <c r="AD1453" s="673"/>
      <c r="AE1453" s="673"/>
      <c r="AF1453" s="673"/>
      <c r="AG1453" s="673"/>
      <c r="AH1453" s="673"/>
      <c r="AI1453" s="673"/>
      <c r="AJ1453" s="673"/>
      <c r="AK1453" s="673"/>
      <c r="AL1453" s="673"/>
      <c r="AM1453" s="673"/>
      <c r="AN1453" s="673"/>
      <c r="AO1453" s="673"/>
      <c r="AP1453" s="673"/>
      <c r="AQ1453" s="673"/>
      <c r="AR1453" s="673"/>
      <c r="AS1453" s="673"/>
      <c r="AT1453" s="696"/>
    </row>
    <row r="1454" ht="15.75" customHeight="1">
      <c r="A1454" s="653"/>
      <c r="B1454" s="654"/>
      <c r="C1454" s="691"/>
      <c r="D1454" s="656"/>
      <c r="E1454" s="657"/>
      <c r="F1454" s="658"/>
      <c r="G1454" s="659"/>
      <c r="H1454" s="660"/>
      <c r="I1454" s="659"/>
      <c r="J1454" s="661"/>
      <c r="K1454" s="692"/>
      <c r="L1454" s="645"/>
      <c r="M1454" s="663"/>
      <c r="N1454" s="665"/>
      <c r="O1454" s="665"/>
      <c r="P1454" s="666"/>
      <c r="Q1454" s="667"/>
      <c r="R1454" s="668"/>
      <c r="S1454" s="693"/>
      <c r="T1454" s="694"/>
      <c r="U1454" s="694"/>
      <c r="V1454" s="693"/>
      <c r="W1454" s="693"/>
      <c r="X1454" s="693"/>
      <c r="Y1454" s="671"/>
      <c r="Z1454" s="673"/>
      <c r="AA1454" s="672"/>
      <c r="AB1454" s="695"/>
      <c r="AC1454" s="673"/>
      <c r="AD1454" s="673"/>
      <c r="AE1454" s="673"/>
      <c r="AF1454" s="673"/>
      <c r="AG1454" s="673"/>
      <c r="AH1454" s="673"/>
      <c r="AI1454" s="673"/>
      <c r="AJ1454" s="673"/>
      <c r="AK1454" s="673"/>
      <c r="AL1454" s="673"/>
      <c r="AM1454" s="673"/>
      <c r="AN1454" s="673"/>
      <c r="AO1454" s="673"/>
      <c r="AP1454" s="673"/>
      <c r="AQ1454" s="673"/>
      <c r="AR1454" s="673"/>
      <c r="AS1454" s="673"/>
      <c r="AT1454" s="696"/>
    </row>
    <row r="1455" ht="15.75" customHeight="1">
      <c r="A1455" s="653"/>
      <c r="B1455" s="654"/>
      <c r="C1455" s="691"/>
      <c r="D1455" s="656"/>
      <c r="E1455" s="657"/>
      <c r="F1455" s="658"/>
      <c r="G1455" s="659"/>
      <c r="H1455" s="660"/>
      <c r="I1455" s="659"/>
      <c r="J1455" s="661"/>
      <c r="K1455" s="692"/>
      <c r="L1455" s="645"/>
      <c r="M1455" s="663"/>
      <c r="N1455" s="665"/>
      <c r="O1455" s="665"/>
      <c r="P1455" s="666"/>
      <c r="Q1455" s="667"/>
      <c r="R1455" s="668"/>
      <c r="S1455" s="693"/>
      <c r="T1455" s="694"/>
      <c r="U1455" s="694"/>
      <c r="V1455" s="693"/>
      <c r="W1455" s="693"/>
      <c r="X1455" s="693"/>
      <c r="Y1455" s="671"/>
      <c r="Z1455" s="673"/>
      <c r="AA1455" s="672"/>
      <c r="AB1455" s="695"/>
      <c r="AC1455" s="673"/>
      <c r="AD1455" s="673"/>
      <c r="AE1455" s="673"/>
      <c r="AF1455" s="673"/>
      <c r="AG1455" s="673"/>
      <c r="AH1455" s="673"/>
      <c r="AI1455" s="673"/>
      <c r="AJ1455" s="673"/>
      <c r="AK1455" s="673"/>
      <c r="AL1455" s="673"/>
      <c r="AM1455" s="673"/>
      <c r="AN1455" s="673"/>
      <c r="AO1455" s="673"/>
      <c r="AP1455" s="673"/>
      <c r="AQ1455" s="673"/>
      <c r="AR1455" s="673"/>
      <c r="AS1455" s="673"/>
      <c r="AT1455" s="696"/>
    </row>
    <row r="1456" ht="15.75" customHeight="1">
      <c r="A1456" s="653"/>
      <c r="B1456" s="654"/>
      <c r="C1456" s="691"/>
      <c r="D1456" s="656"/>
      <c r="E1456" s="657"/>
      <c r="F1456" s="658"/>
      <c r="G1456" s="659"/>
      <c r="H1456" s="660"/>
      <c r="I1456" s="659"/>
      <c r="J1456" s="661"/>
      <c r="K1456" s="692"/>
      <c r="L1456" s="645"/>
      <c r="M1456" s="663"/>
      <c r="N1456" s="665"/>
      <c r="O1456" s="665"/>
      <c r="P1456" s="666"/>
      <c r="Q1456" s="667"/>
      <c r="R1456" s="668"/>
      <c r="S1456" s="693"/>
      <c r="T1456" s="694"/>
      <c r="U1456" s="694"/>
      <c r="V1456" s="693"/>
      <c r="W1456" s="693"/>
      <c r="X1456" s="693"/>
      <c r="Y1456" s="671"/>
      <c r="Z1456" s="673"/>
      <c r="AA1456" s="672"/>
      <c r="AB1456" s="695"/>
      <c r="AC1456" s="673"/>
      <c r="AD1456" s="673"/>
      <c r="AE1456" s="673"/>
      <c r="AF1456" s="673"/>
      <c r="AG1456" s="673"/>
      <c r="AH1456" s="673"/>
      <c r="AI1456" s="673"/>
      <c r="AJ1456" s="673"/>
      <c r="AK1456" s="673"/>
      <c r="AL1456" s="673"/>
      <c r="AM1456" s="673"/>
      <c r="AN1456" s="673"/>
      <c r="AO1456" s="673"/>
      <c r="AP1456" s="673"/>
      <c r="AQ1456" s="673"/>
      <c r="AR1456" s="673"/>
      <c r="AS1456" s="673"/>
      <c r="AT1456" s="696"/>
    </row>
    <row r="1457" ht="15.75" customHeight="1">
      <c r="A1457" s="653"/>
      <c r="B1457" s="654"/>
      <c r="C1457" s="691"/>
      <c r="D1457" s="656"/>
      <c r="E1457" s="657"/>
      <c r="F1457" s="658"/>
      <c r="G1457" s="659"/>
      <c r="H1457" s="660"/>
      <c r="I1457" s="659"/>
      <c r="J1457" s="661"/>
      <c r="K1457" s="692"/>
      <c r="L1457" s="645"/>
      <c r="M1457" s="663"/>
      <c r="N1457" s="665"/>
      <c r="O1457" s="665"/>
      <c r="P1457" s="666"/>
      <c r="Q1457" s="667"/>
      <c r="R1457" s="668"/>
      <c r="S1457" s="693"/>
      <c r="T1457" s="694"/>
      <c r="U1457" s="694"/>
      <c r="V1457" s="693"/>
      <c r="W1457" s="693"/>
      <c r="X1457" s="693"/>
      <c r="Y1457" s="671"/>
      <c r="Z1457" s="673"/>
      <c r="AA1457" s="672"/>
      <c r="AB1457" s="695"/>
      <c r="AC1457" s="673"/>
      <c r="AD1457" s="673"/>
      <c r="AE1457" s="673"/>
      <c r="AF1457" s="673"/>
      <c r="AG1457" s="673"/>
      <c r="AH1457" s="673"/>
      <c r="AI1457" s="673"/>
      <c r="AJ1457" s="673"/>
      <c r="AK1457" s="673"/>
      <c r="AL1457" s="673"/>
      <c r="AM1457" s="673"/>
      <c r="AN1457" s="673"/>
      <c r="AO1457" s="673"/>
      <c r="AP1457" s="673"/>
      <c r="AQ1457" s="673"/>
      <c r="AR1457" s="673"/>
      <c r="AS1457" s="673"/>
      <c r="AT1457" s="696"/>
    </row>
    <row r="1458" ht="15.75" customHeight="1">
      <c r="A1458" s="653"/>
      <c r="B1458" s="654"/>
      <c r="C1458" s="691"/>
      <c r="D1458" s="656"/>
      <c r="E1458" s="657"/>
      <c r="F1458" s="658"/>
      <c r="G1458" s="659"/>
      <c r="H1458" s="660"/>
      <c r="I1458" s="659"/>
      <c r="J1458" s="661"/>
      <c r="K1458" s="692"/>
      <c r="L1458" s="645"/>
      <c r="M1458" s="663"/>
      <c r="N1458" s="665"/>
      <c r="O1458" s="665"/>
      <c r="P1458" s="666"/>
      <c r="Q1458" s="667"/>
      <c r="R1458" s="668"/>
      <c r="S1458" s="693"/>
      <c r="T1458" s="694"/>
      <c r="U1458" s="694"/>
      <c r="V1458" s="693"/>
      <c r="W1458" s="693"/>
      <c r="X1458" s="693"/>
      <c r="Y1458" s="671"/>
      <c r="Z1458" s="673"/>
      <c r="AA1458" s="672"/>
      <c r="AB1458" s="695"/>
      <c r="AC1458" s="673"/>
      <c r="AD1458" s="673"/>
      <c r="AE1458" s="673"/>
      <c r="AF1458" s="673"/>
      <c r="AG1458" s="673"/>
      <c r="AH1458" s="673"/>
      <c r="AI1458" s="673"/>
      <c r="AJ1458" s="673"/>
      <c r="AK1458" s="673"/>
      <c r="AL1458" s="673"/>
      <c r="AM1458" s="673"/>
      <c r="AN1458" s="673"/>
      <c r="AO1458" s="673"/>
      <c r="AP1458" s="673"/>
      <c r="AQ1458" s="673"/>
      <c r="AR1458" s="673"/>
      <c r="AS1458" s="673"/>
      <c r="AT1458" s="696"/>
    </row>
    <row r="1459" ht="15.75" customHeight="1">
      <c r="A1459" s="653"/>
      <c r="B1459" s="654"/>
      <c r="C1459" s="691"/>
      <c r="D1459" s="656"/>
      <c r="E1459" s="657"/>
      <c r="F1459" s="658"/>
      <c r="G1459" s="659"/>
      <c r="H1459" s="660"/>
      <c r="I1459" s="659"/>
      <c r="J1459" s="661"/>
      <c r="K1459" s="692"/>
      <c r="L1459" s="645"/>
      <c r="M1459" s="663"/>
      <c r="N1459" s="665"/>
      <c r="O1459" s="665"/>
      <c r="P1459" s="666"/>
      <c r="Q1459" s="667"/>
      <c r="R1459" s="668"/>
      <c r="S1459" s="693"/>
      <c r="T1459" s="694"/>
      <c r="U1459" s="694"/>
      <c r="V1459" s="693"/>
      <c r="W1459" s="693"/>
      <c r="X1459" s="693"/>
      <c r="Y1459" s="671"/>
      <c r="Z1459" s="673"/>
      <c r="AA1459" s="672"/>
      <c r="AB1459" s="695"/>
      <c r="AC1459" s="673"/>
      <c r="AD1459" s="673"/>
      <c r="AE1459" s="673"/>
      <c r="AF1459" s="673"/>
      <c r="AG1459" s="673"/>
      <c r="AH1459" s="673"/>
      <c r="AI1459" s="673"/>
      <c r="AJ1459" s="673"/>
      <c r="AK1459" s="673"/>
      <c r="AL1459" s="673"/>
      <c r="AM1459" s="673"/>
      <c r="AN1459" s="673"/>
      <c r="AO1459" s="673"/>
      <c r="AP1459" s="673"/>
      <c r="AQ1459" s="673"/>
      <c r="AR1459" s="673"/>
      <c r="AS1459" s="673"/>
      <c r="AT1459" s="696"/>
    </row>
    <row r="1460" ht="15.75" customHeight="1">
      <c r="A1460" s="653"/>
      <c r="B1460" s="654"/>
      <c r="C1460" s="691"/>
      <c r="D1460" s="656"/>
      <c r="E1460" s="657"/>
      <c r="F1460" s="658"/>
      <c r="G1460" s="659"/>
      <c r="H1460" s="660"/>
      <c r="I1460" s="659"/>
      <c r="J1460" s="661"/>
      <c r="K1460" s="692"/>
      <c r="L1460" s="645"/>
      <c r="M1460" s="663"/>
      <c r="N1460" s="665"/>
      <c r="O1460" s="665"/>
      <c r="P1460" s="666"/>
      <c r="Q1460" s="667"/>
      <c r="R1460" s="668"/>
      <c r="S1460" s="693"/>
      <c r="T1460" s="694"/>
      <c r="U1460" s="694"/>
      <c r="V1460" s="693"/>
      <c r="W1460" s="693"/>
      <c r="X1460" s="693"/>
      <c r="Y1460" s="671"/>
      <c r="Z1460" s="673"/>
      <c r="AA1460" s="672"/>
      <c r="AB1460" s="695"/>
      <c r="AC1460" s="673"/>
      <c r="AD1460" s="673"/>
      <c r="AE1460" s="673"/>
      <c r="AF1460" s="673"/>
      <c r="AG1460" s="673"/>
      <c r="AH1460" s="673"/>
      <c r="AI1460" s="673"/>
      <c r="AJ1460" s="673"/>
      <c r="AK1460" s="673"/>
      <c r="AL1460" s="673"/>
      <c r="AM1460" s="673"/>
      <c r="AN1460" s="673"/>
      <c r="AO1460" s="673"/>
      <c r="AP1460" s="673"/>
      <c r="AQ1460" s="673"/>
      <c r="AR1460" s="673"/>
      <c r="AS1460" s="673"/>
      <c r="AT1460" s="696"/>
    </row>
    <row r="1461" ht="15.75" customHeight="1">
      <c r="A1461" s="653"/>
      <c r="B1461" s="654"/>
      <c r="C1461" s="691"/>
      <c r="D1461" s="656"/>
      <c r="E1461" s="657"/>
      <c r="F1461" s="658"/>
      <c r="G1461" s="659"/>
      <c r="H1461" s="660"/>
      <c r="I1461" s="659"/>
      <c r="J1461" s="661"/>
      <c r="K1461" s="692"/>
      <c r="L1461" s="645"/>
      <c r="M1461" s="663"/>
      <c r="N1461" s="665"/>
      <c r="O1461" s="665"/>
      <c r="P1461" s="666"/>
      <c r="Q1461" s="667"/>
      <c r="R1461" s="668"/>
      <c r="S1461" s="693"/>
      <c r="T1461" s="694"/>
      <c r="U1461" s="694"/>
      <c r="V1461" s="693"/>
      <c r="W1461" s="693"/>
      <c r="X1461" s="693"/>
      <c r="Y1461" s="671"/>
      <c r="Z1461" s="673"/>
      <c r="AA1461" s="672"/>
      <c r="AB1461" s="695"/>
      <c r="AC1461" s="673"/>
      <c r="AD1461" s="673"/>
      <c r="AE1461" s="673"/>
      <c r="AF1461" s="673"/>
      <c r="AG1461" s="673"/>
      <c r="AH1461" s="673"/>
      <c r="AI1461" s="673"/>
      <c r="AJ1461" s="673"/>
      <c r="AK1461" s="673"/>
      <c r="AL1461" s="673"/>
      <c r="AM1461" s="673"/>
      <c r="AN1461" s="673"/>
      <c r="AO1461" s="673"/>
      <c r="AP1461" s="673"/>
      <c r="AQ1461" s="673"/>
      <c r="AR1461" s="673"/>
      <c r="AS1461" s="673"/>
      <c r="AT1461" s="696"/>
    </row>
    <row r="1462" ht="15.75" customHeight="1">
      <c r="A1462" s="653"/>
      <c r="B1462" s="654"/>
      <c r="C1462" s="691"/>
      <c r="D1462" s="656"/>
      <c r="E1462" s="657"/>
      <c r="F1462" s="658"/>
      <c r="G1462" s="659"/>
      <c r="H1462" s="660"/>
      <c r="I1462" s="659"/>
      <c r="J1462" s="661"/>
      <c r="K1462" s="692"/>
      <c r="L1462" s="645"/>
      <c r="M1462" s="663"/>
      <c r="N1462" s="665"/>
      <c r="O1462" s="665"/>
      <c r="P1462" s="666"/>
      <c r="Q1462" s="667"/>
      <c r="R1462" s="668"/>
      <c r="S1462" s="693"/>
      <c r="T1462" s="694"/>
      <c r="U1462" s="694"/>
      <c r="V1462" s="693"/>
      <c r="W1462" s="693"/>
      <c r="X1462" s="693"/>
      <c r="Y1462" s="671"/>
      <c r="Z1462" s="673"/>
      <c r="AA1462" s="672"/>
      <c r="AB1462" s="695"/>
      <c r="AC1462" s="673"/>
      <c r="AD1462" s="673"/>
      <c r="AE1462" s="673"/>
      <c r="AF1462" s="673"/>
      <c r="AG1462" s="673"/>
      <c r="AH1462" s="673"/>
      <c r="AI1462" s="673"/>
      <c r="AJ1462" s="673"/>
      <c r="AK1462" s="673"/>
      <c r="AL1462" s="673"/>
      <c r="AM1462" s="673"/>
      <c r="AN1462" s="673"/>
      <c r="AO1462" s="673"/>
      <c r="AP1462" s="673"/>
      <c r="AQ1462" s="673"/>
      <c r="AR1462" s="673"/>
      <c r="AS1462" s="673"/>
      <c r="AT1462" s="696"/>
    </row>
    <row r="1463" ht="15.75" customHeight="1">
      <c r="A1463" s="653"/>
      <c r="B1463" s="654"/>
      <c r="C1463" s="691"/>
      <c r="D1463" s="656"/>
      <c r="E1463" s="657"/>
      <c r="F1463" s="658"/>
      <c r="G1463" s="659"/>
      <c r="H1463" s="660"/>
      <c r="I1463" s="659"/>
      <c r="J1463" s="661"/>
      <c r="K1463" s="692"/>
      <c r="L1463" s="645"/>
      <c r="M1463" s="663"/>
      <c r="N1463" s="665"/>
      <c r="O1463" s="665"/>
      <c r="P1463" s="666"/>
      <c r="Q1463" s="667"/>
      <c r="R1463" s="668"/>
      <c r="S1463" s="693"/>
      <c r="T1463" s="694"/>
      <c r="U1463" s="694"/>
      <c r="V1463" s="693"/>
      <c r="W1463" s="693"/>
      <c r="X1463" s="693"/>
      <c r="Y1463" s="671"/>
      <c r="Z1463" s="673"/>
      <c r="AA1463" s="672"/>
      <c r="AB1463" s="695"/>
      <c r="AC1463" s="673"/>
      <c r="AD1463" s="673"/>
      <c r="AE1463" s="673"/>
      <c r="AF1463" s="673"/>
      <c r="AG1463" s="673"/>
      <c r="AH1463" s="673"/>
      <c r="AI1463" s="673"/>
      <c r="AJ1463" s="673"/>
      <c r="AK1463" s="673"/>
      <c r="AL1463" s="673"/>
      <c r="AM1463" s="673"/>
      <c r="AN1463" s="673"/>
      <c r="AO1463" s="673"/>
      <c r="AP1463" s="673"/>
      <c r="AQ1463" s="673"/>
      <c r="AR1463" s="673"/>
      <c r="AS1463" s="673"/>
      <c r="AT1463" s="696"/>
    </row>
    <row r="1464" ht="15.75" customHeight="1">
      <c r="A1464" s="653"/>
      <c r="B1464" s="654"/>
      <c r="C1464" s="691"/>
      <c r="D1464" s="656"/>
      <c r="E1464" s="657"/>
      <c r="F1464" s="658"/>
      <c r="G1464" s="659"/>
      <c r="H1464" s="660"/>
      <c r="I1464" s="659"/>
      <c r="J1464" s="661"/>
      <c r="K1464" s="692"/>
      <c r="L1464" s="645"/>
      <c r="M1464" s="663"/>
      <c r="N1464" s="665"/>
      <c r="O1464" s="665"/>
      <c r="P1464" s="666"/>
      <c r="Q1464" s="667"/>
      <c r="R1464" s="668"/>
      <c r="S1464" s="693"/>
      <c r="T1464" s="694"/>
      <c r="U1464" s="694"/>
      <c r="V1464" s="693"/>
      <c r="W1464" s="693"/>
      <c r="X1464" s="693"/>
      <c r="Y1464" s="671"/>
      <c r="Z1464" s="673"/>
      <c r="AA1464" s="672"/>
      <c r="AB1464" s="695"/>
      <c r="AC1464" s="673"/>
      <c r="AD1464" s="673"/>
      <c r="AE1464" s="673"/>
      <c r="AF1464" s="673"/>
      <c r="AG1464" s="673"/>
      <c r="AH1464" s="673"/>
      <c r="AI1464" s="673"/>
      <c r="AJ1464" s="673"/>
      <c r="AK1464" s="673"/>
      <c r="AL1464" s="673"/>
      <c r="AM1464" s="673"/>
      <c r="AN1464" s="673"/>
      <c r="AO1464" s="673"/>
      <c r="AP1464" s="673"/>
      <c r="AQ1464" s="673"/>
      <c r="AR1464" s="673"/>
      <c r="AS1464" s="673"/>
      <c r="AT1464" s="696"/>
    </row>
    <row r="1465" ht="15.75" customHeight="1">
      <c r="A1465" s="653"/>
      <c r="B1465" s="654"/>
      <c r="C1465" s="691"/>
      <c r="D1465" s="656"/>
      <c r="E1465" s="657"/>
      <c r="F1465" s="658"/>
      <c r="G1465" s="659"/>
      <c r="H1465" s="660"/>
      <c r="I1465" s="659"/>
      <c r="J1465" s="661"/>
      <c r="K1465" s="692"/>
      <c r="L1465" s="645"/>
      <c r="M1465" s="663"/>
      <c r="N1465" s="665"/>
      <c r="O1465" s="665"/>
      <c r="P1465" s="666"/>
      <c r="Q1465" s="667"/>
      <c r="R1465" s="668"/>
      <c r="S1465" s="693"/>
      <c r="T1465" s="694"/>
      <c r="U1465" s="694"/>
      <c r="V1465" s="693"/>
      <c r="W1465" s="693"/>
      <c r="X1465" s="693"/>
      <c r="Y1465" s="671"/>
      <c r="Z1465" s="673"/>
      <c r="AA1465" s="672"/>
      <c r="AB1465" s="695"/>
      <c r="AC1465" s="673"/>
      <c r="AD1465" s="673"/>
      <c r="AE1465" s="673"/>
      <c r="AF1465" s="673"/>
      <c r="AG1465" s="673"/>
      <c r="AH1465" s="673"/>
      <c r="AI1465" s="673"/>
      <c r="AJ1465" s="673"/>
      <c r="AK1465" s="673"/>
      <c r="AL1465" s="673"/>
      <c r="AM1465" s="673"/>
      <c r="AN1465" s="673"/>
      <c r="AO1465" s="673"/>
      <c r="AP1465" s="673"/>
      <c r="AQ1465" s="673"/>
      <c r="AR1465" s="673"/>
      <c r="AS1465" s="673"/>
      <c r="AT1465" s="696"/>
    </row>
    <row r="1466" ht="15.75" customHeight="1">
      <c r="A1466" s="653"/>
      <c r="B1466" s="654"/>
      <c r="C1466" s="691"/>
      <c r="D1466" s="656"/>
      <c r="E1466" s="657"/>
      <c r="F1466" s="658"/>
      <c r="G1466" s="659"/>
      <c r="H1466" s="660"/>
      <c r="I1466" s="659"/>
      <c r="J1466" s="661"/>
      <c r="K1466" s="692"/>
      <c r="L1466" s="645"/>
      <c r="M1466" s="663"/>
      <c r="N1466" s="665"/>
      <c r="O1466" s="665"/>
      <c r="P1466" s="666"/>
      <c r="Q1466" s="667"/>
      <c r="R1466" s="668"/>
      <c r="S1466" s="693"/>
      <c r="T1466" s="694"/>
      <c r="U1466" s="694"/>
      <c r="V1466" s="693"/>
      <c r="W1466" s="693"/>
      <c r="X1466" s="693"/>
      <c r="Y1466" s="671"/>
      <c r="Z1466" s="673"/>
      <c r="AA1466" s="672"/>
      <c r="AB1466" s="695"/>
      <c r="AC1466" s="673"/>
      <c r="AD1466" s="673"/>
      <c r="AE1466" s="673"/>
      <c r="AF1466" s="673"/>
      <c r="AG1466" s="673"/>
      <c r="AH1466" s="673"/>
      <c r="AI1466" s="673"/>
      <c r="AJ1466" s="673"/>
      <c r="AK1466" s="673"/>
      <c r="AL1466" s="673"/>
      <c r="AM1466" s="673"/>
      <c r="AN1466" s="673"/>
      <c r="AO1466" s="673"/>
      <c r="AP1466" s="673"/>
      <c r="AQ1466" s="673"/>
      <c r="AR1466" s="673"/>
      <c r="AS1466" s="673"/>
      <c r="AT1466" s="696"/>
    </row>
    <row r="1467" ht="15.75" customHeight="1">
      <c r="A1467" s="653"/>
      <c r="B1467" s="654"/>
      <c r="C1467" s="691"/>
      <c r="D1467" s="656"/>
      <c r="E1467" s="657"/>
      <c r="F1467" s="658"/>
      <c r="G1467" s="659"/>
      <c r="H1467" s="660"/>
      <c r="I1467" s="659"/>
      <c r="J1467" s="661"/>
      <c r="K1467" s="692"/>
      <c r="L1467" s="645"/>
      <c r="M1467" s="663"/>
      <c r="N1467" s="665"/>
      <c r="O1467" s="665"/>
      <c r="P1467" s="666"/>
      <c r="Q1467" s="667"/>
      <c r="R1467" s="668"/>
      <c r="S1467" s="693"/>
      <c r="T1467" s="694"/>
      <c r="U1467" s="694"/>
      <c r="V1467" s="693"/>
      <c r="W1467" s="693"/>
      <c r="X1467" s="693"/>
      <c r="Y1467" s="671"/>
      <c r="Z1467" s="673"/>
      <c r="AA1467" s="672"/>
      <c r="AB1467" s="695"/>
      <c r="AC1467" s="673"/>
      <c r="AD1467" s="673"/>
      <c r="AE1467" s="673"/>
      <c r="AF1467" s="673"/>
      <c r="AG1467" s="673"/>
      <c r="AH1467" s="673"/>
      <c r="AI1467" s="673"/>
      <c r="AJ1467" s="673"/>
      <c r="AK1467" s="673"/>
      <c r="AL1467" s="673"/>
      <c r="AM1467" s="673"/>
      <c r="AN1467" s="673"/>
      <c r="AO1467" s="673"/>
      <c r="AP1467" s="673"/>
      <c r="AQ1467" s="673"/>
      <c r="AR1467" s="673"/>
      <c r="AS1467" s="673"/>
      <c r="AT1467" s="696"/>
    </row>
    <row r="1468" ht="15.75" customHeight="1">
      <c r="A1468" s="653"/>
      <c r="B1468" s="654"/>
      <c r="C1468" s="691"/>
      <c r="D1468" s="656"/>
      <c r="E1468" s="657"/>
      <c r="F1468" s="658"/>
      <c r="G1468" s="659"/>
      <c r="H1468" s="660"/>
      <c r="I1468" s="659"/>
      <c r="J1468" s="661"/>
      <c r="K1468" s="692"/>
      <c r="L1468" s="645"/>
      <c r="M1468" s="663"/>
      <c r="N1468" s="665"/>
      <c r="O1468" s="665"/>
      <c r="P1468" s="666"/>
      <c r="Q1468" s="667"/>
      <c r="R1468" s="668"/>
      <c r="S1468" s="693"/>
      <c r="T1468" s="694"/>
      <c r="U1468" s="694"/>
      <c r="V1468" s="693"/>
      <c r="W1468" s="693"/>
      <c r="X1468" s="693"/>
      <c r="Y1468" s="671"/>
      <c r="Z1468" s="673"/>
      <c r="AA1468" s="672"/>
      <c r="AB1468" s="695"/>
      <c r="AC1468" s="673"/>
      <c r="AD1468" s="673"/>
      <c r="AE1468" s="673"/>
      <c r="AF1468" s="673"/>
      <c r="AG1468" s="673"/>
      <c r="AH1468" s="673"/>
      <c r="AI1468" s="673"/>
      <c r="AJ1468" s="673"/>
      <c r="AK1468" s="673"/>
      <c r="AL1468" s="673"/>
      <c r="AM1468" s="673"/>
      <c r="AN1468" s="673"/>
      <c r="AO1468" s="673"/>
      <c r="AP1468" s="673"/>
      <c r="AQ1468" s="673"/>
      <c r="AR1468" s="673"/>
      <c r="AS1468" s="673"/>
      <c r="AT1468" s="696"/>
    </row>
    <row r="1469" ht="15.75" customHeight="1">
      <c r="A1469" s="653"/>
      <c r="B1469" s="654"/>
      <c r="C1469" s="691"/>
      <c r="D1469" s="656"/>
      <c r="E1469" s="657"/>
      <c r="F1469" s="658"/>
      <c r="G1469" s="659"/>
      <c r="H1469" s="660"/>
      <c r="I1469" s="659"/>
      <c r="J1469" s="661"/>
      <c r="K1469" s="692"/>
      <c r="L1469" s="645"/>
      <c r="M1469" s="663"/>
      <c r="N1469" s="665"/>
      <c r="O1469" s="665"/>
      <c r="P1469" s="666"/>
      <c r="Q1469" s="667"/>
      <c r="R1469" s="668"/>
      <c r="S1469" s="693"/>
      <c r="T1469" s="694"/>
      <c r="U1469" s="694"/>
      <c r="V1469" s="693"/>
      <c r="W1469" s="693"/>
      <c r="X1469" s="693"/>
      <c r="Y1469" s="671"/>
      <c r="Z1469" s="673"/>
      <c r="AA1469" s="672"/>
      <c r="AB1469" s="695"/>
      <c r="AC1469" s="673"/>
      <c r="AD1469" s="673"/>
      <c r="AE1469" s="673"/>
      <c r="AF1469" s="673"/>
      <c r="AG1469" s="673"/>
      <c r="AH1469" s="673"/>
      <c r="AI1469" s="673"/>
      <c r="AJ1469" s="673"/>
      <c r="AK1469" s="673"/>
      <c r="AL1469" s="673"/>
      <c r="AM1469" s="673"/>
      <c r="AN1469" s="673"/>
      <c r="AO1469" s="673"/>
      <c r="AP1469" s="673"/>
      <c r="AQ1469" s="673"/>
      <c r="AR1469" s="673"/>
      <c r="AS1469" s="673"/>
      <c r="AT1469" s="696"/>
    </row>
    <row r="1470" ht="15.75" customHeight="1">
      <c r="A1470" s="653"/>
      <c r="B1470" s="654"/>
      <c r="C1470" s="691"/>
      <c r="D1470" s="656"/>
      <c r="E1470" s="657"/>
      <c r="F1470" s="658"/>
      <c r="G1470" s="659"/>
      <c r="H1470" s="660"/>
      <c r="I1470" s="659"/>
      <c r="J1470" s="661"/>
      <c r="K1470" s="692"/>
      <c r="L1470" s="645"/>
      <c r="M1470" s="663"/>
      <c r="N1470" s="665"/>
      <c r="O1470" s="665"/>
      <c r="P1470" s="666"/>
      <c r="Q1470" s="667"/>
      <c r="R1470" s="668"/>
      <c r="S1470" s="693"/>
      <c r="T1470" s="694"/>
      <c r="U1470" s="694"/>
      <c r="V1470" s="693"/>
      <c r="W1470" s="693"/>
      <c r="X1470" s="693"/>
      <c r="Y1470" s="671"/>
      <c r="Z1470" s="673"/>
      <c r="AA1470" s="672"/>
      <c r="AB1470" s="695"/>
      <c r="AC1470" s="673"/>
      <c r="AD1470" s="673"/>
      <c r="AE1470" s="673"/>
      <c r="AF1470" s="673"/>
      <c r="AG1470" s="673"/>
      <c r="AH1470" s="673"/>
      <c r="AI1470" s="673"/>
      <c r="AJ1470" s="673"/>
      <c r="AK1470" s="673"/>
      <c r="AL1470" s="673"/>
      <c r="AM1470" s="673"/>
      <c r="AN1470" s="673"/>
      <c r="AO1470" s="673"/>
      <c r="AP1470" s="673"/>
      <c r="AQ1470" s="673"/>
      <c r="AR1470" s="673"/>
      <c r="AS1470" s="673"/>
      <c r="AT1470" s="696"/>
    </row>
    <row r="1471" ht="15.75" customHeight="1">
      <c r="A1471" s="653"/>
      <c r="B1471" s="654"/>
      <c r="C1471" s="691"/>
      <c r="D1471" s="656"/>
      <c r="E1471" s="657"/>
      <c r="F1471" s="658"/>
      <c r="G1471" s="659"/>
      <c r="H1471" s="660"/>
      <c r="I1471" s="659"/>
      <c r="J1471" s="661"/>
      <c r="K1471" s="692"/>
      <c r="L1471" s="645"/>
      <c r="M1471" s="663"/>
      <c r="N1471" s="665"/>
      <c r="O1471" s="665"/>
      <c r="P1471" s="666"/>
      <c r="Q1471" s="667"/>
      <c r="R1471" s="668"/>
      <c r="S1471" s="693"/>
      <c r="T1471" s="694"/>
      <c r="U1471" s="694"/>
      <c r="V1471" s="693"/>
      <c r="W1471" s="693"/>
      <c r="X1471" s="693"/>
      <c r="Y1471" s="671"/>
      <c r="Z1471" s="673"/>
      <c r="AA1471" s="672"/>
      <c r="AB1471" s="695"/>
      <c r="AC1471" s="673"/>
      <c r="AD1471" s="673"/>
      <c r="AE1471" s="673"/>
      <c r="AF1471" s="673"/>
      <c r="AG1471" s="673"/>
      <c r="AH1471" s="673"/>
      <c r="AI1471" s="673"/>
      <c r="AJ1471" s="673"/>
      <c r="AK1471" s="673"/>
      <c r="AL1471" s="673"/>
      <c r="AM1471" s="673"/>
      <c r="AN1471" s="673"/>
      <c r="AO1471" s="673"/>
      <c r="AP1471" s="673"/>
      <c r="AQ1471" s="673"/>
      <c r="AR1471" s="673"/>
      <c r="AS1471" s="673"/>
      <c r="AT1471" s="696"/>
    </row>
    <row r="1472" ht="15.75" customHeight="1">
      <c r="A1472" s="653"/>
      <c r="B1472" s="654"/>
      <c r="C1472" s="691"/>
      <c r="D1472" s="656"/>
      <c r="E1472" s="657"/>
      <c r="F1472" s="658"/>
      <c r="G1472" s="659"/>
      <c r="H1472" s="660"/>
      <c r="I1472" s="659"/>
      <c r="J1472" s="661"/>
      <c r="K1472" s="692"/>
      <c r="L1472" s="645"/>
      <c r="M1472" s="663"/>
      <c r="N1472" s="665"/>
      <c r="O1472" s="665"/>
      <c r="P1472" s="666"/>
      <c r="Q1472" s="667"/>
      <c r="R1472" s="668"/>
      <c r="S1472" s="693"/>
      <c r="T1472" s="694"/>
      <c r="U1472" s="694"/>
      <c r="V1472" s="693"/>
      <c r="W1472" s="693"/>
      <c r="X1472" s="693"/>
      <c r="Y1472" s="671"/>
      <c r="Z1472" s="673"/>
      <c r="AA1472" s="672"/>
      <c r="AB1472" s="695"/>
      <c r="AC1472" s="673"/>
      <c r="AD1472" s="673"/>
      <c r="AE1472" s="673"/>
      <c r="AF1472" s="673"/>
      <c r="AG1472" s="673"/>
      <c r="AH1472" s="673"/>
      <c r="AI1472" s="673"/>
      <c r="AJ1472" s="673"/>
      <c r="AK1472" s="673"/>
      <c r="AL1472" s="673"/>
      <c r="AM1472" s="673"/>
      <c r="AN1472" s="673"/>
      <c r="AO1472" s="673"/>
      <c r="AP1472" s="673"/>
      <c r="AQ1472" s="673"/>
      <c r="AR1472" s="673"/>
      <c r="AS1472" s="673"/>
      <c r="AT1472" s="696"/>
    </row>
    <row r="1473" ht="15.75" customHeight="1">
      <c r="A1473" s="653"/>
      <c r="B1473" s="654"/>
      <c r="C1473" s="691"/>
      <c r="D1473" s="656"/>
      <c r="E1473" s="657"/>
      <c r="F1473" s="658"/>
      <c r="G1473" s="659"/>
      <c r="H1473" s="660"/>
      <c r="I1473" s="659"/>
      <c r="J1473" s="661"/>
      <c r="K1473" s="692"/>
      <c r="L1473" s="645"/>
      <c r="M1473" s="663"/>
      <c r="N1473" s="665"/>
      <c r="O1473" s="665"/>
      <c r="P1473" s="666"/>
      <c r="Q1473" s="667"/>
      <c r="R1473" s="668"/>
      <c r="S1473" s="693"/>
      <c r="T1473" s="694"/>
      <c r="U1473" s="694"/>
      <c r="V1473" s="693"/>
      <c r="W1473" s="693"/>
      <c r="X1473" s="693"/>
      <c r="Y1473" s="671"/>
      <c r="Z1473" s="673"/>
      <c r="AA1473" s="672"/>
      <c r="AB1473" s="695"/>
      <c r="AC1473" s="673"/>
      <c r="AD1473" s="673"/>
      <c r="AE1473" s="673"/>
      <c r="AF1473" s="673"/>
      <c r="AG1473" s="673"/>
      <c r="AH1473" s="673"/>
      <c r="AI1473" s="673"/>
      <c r="AJ1473" s="673"/>
      <c r="AK1473" s="673"/>
      <c r="AL1473" s="673"/>
      <c r="AM1473" s="673"/>
      <c r="AN1473" s="673"/>
      <c r="AO1473" s="673"/>
      <c r="AP1473" s="673"/>
      <c r="AQ1473" s="673"/>
      <c r="AR1473" s="673"/>
      <c r="AS1473" s="673"/>
      <c r="AT1473" s="696"/>
    </row>
    <row r="1474" ht="15.75" customHeight="1">
      <c r="A1474" s="653"/>
      <c r="B1474" s="654"/>
      <c r="C1474" s="691"/>
      <c r="D1474" s="656"/>
      <c r="E1474" s="657"/>
      <c r="F1474" s="658"/>
      <c r="G1474" s="659"/>
      <c r="H1474" s="660"/>
      <c r="I1474" s="659"/>
      <c r="J1474" s="661"/>
      <c r="K1474" s="692"/>
      <c r="L1474" s="645"/>
      <c r="M1474" s="663"/>
      <c r="N1474" s="665"/>
      <c r="O1474" s="665"/>
      <c r="P1474" s="666"/>
      <c r="Q1474" s="667"/>
      <c r="R1474" s="668"/>
      <c r="S1474" s="693"/>
      <c r="T1474" s="694"/>
      <c r="U1474" s="694"/>
      <c r="V1474" s="693"/>
      <c r="W1474" s="693"/>
      <c r="X1474" s="693"/>
      <c r="Y1474" s="671"/>
      <c r="Z1474" s="673"/>
      <c r="AA1474" s="672"/>
      <c r="AB1474" s="695"/>
      <c r="AC1474" s="673"/>
      <c r="AD1474" s="673"/>
      <c r="AE1474" s="673"/>
      <c r="AF1474" s="673"/>
      <c r="AG1474" s="673"/>
      <c r="AH1474" s="673"/>
      <c r="AI1474" s="673"/>
      <c r="AJ1474" s="673"/>
      <c r="AK1474" s="673"/>
      <c r="AL1474" s="673"/>
      <c r="AM1474" s="673"/>
      <c r="AN1474" s="673"/>
      <c r="AO1474" s="673"/>
      <c r="AP1474" s="673"/>
      <c r="AQ1474" s="673"/>
      <c r="AR1474" s="673"/>
      <c r="AS1474" s="673"/>
      <c r="AT1474" s="696"/>
    </row>
    <row r="1475" ht="15.75" customHeight="1">
      <c r="A1475" s="653"/>
      <c r="B1475" s="654"/>
      <c r="C1475" s="691"/>
      <c r="D1475" s="656"/>
      <c r="E1475" s="657"/>
      <c r="F1475" s="658"/>
      <c r="G1475" s="659"/>
      <c r="H1475" s="660"/>
      <c r="I1475" s="659"/>
      <c r="J1475" s="661"/>
      <c r="K1475" s="692"/>
      <c r="L1475" s="645"/>
      <c r="M1475" s="663"/>
      <c r="N1475" s="665"/>
      <c r="O1475" s="665"/>
      <c r="P1475" s="666"/>
      <c r="Q1475" s="667"/>
      <c r="R1475" s="668"/>
      <c r="S1475" s="693"/>
      <c r="T1475" s="694"/>
      <c r="U1475" s="694"/>
      <c r="V1475" s="693"/>
      <c r="W1475" s="693"/>
      <c r="X1475" s="693"/>
      <c r="Y1475" s="671"/>
      <c r="Z1475" s="673"/>
      <c r="AA1475" s="672"/>
      <c r="AB1475" s="695"/>
      <c r="AC1475" s="673"/>
      <c r="AD1475" s="673"/>
      <c r="AE1475" s="673"/>
      <c r="AF1475" s="673"/>
      <c r="AG1475" s="673"/>
      <c r="AH1475" s="673"/>
      <c r="AI1475" s="673"/>
      <c r="AJ1475" s="673"/>
      <c r="AK1475" s="673"/>
      <c r="AL1475" s="673"/>
      <c r="AM1475" s="673"/>
      <c r="AN1475" s="673"/>
      <c r="AO1475" s="673"/>
      <c r="AP1475" s="673"/>
      <c r="AQ1475" s="673"/>
      <c r="AR1475" s="673"/>
      <c r="AS1475" s="673"/>
      <c r="AT1475" s="696"/>
    </row>
    <row r="1476" ht="15.75" customHeight="1">
      <c r="A1476" s="653"/>
      <c r="B1476" s="654"/>
      <c r="C1476" s="691"/>
      <c r="D1476" s="656"/>
      <c r="E1476" s="657"/>
      <c r="F1476" s="658"/>
      <c r="G1476" s="659"/>
      <c r="H1476" s="660"/>
      <c r="I1476" s="659"/>
      <c r="J1476" s="661"/>
      <c r="K1476" s="692"/>
      <c r="L1476" s="645"/>
      <c r="M1476" s="663"/>
      <c r="N1476" s="665"/>
      <c r="O1476" s="665"/>
      <c r="P1476" s="666"/>
      <c r="Q1476" s="667"/>
      <c r="R1476" s="668"/>
      <c r="S1476" s="693"/>
      <c r="T1476" s="694"/>
      <c r="U1476" s="694"/>
      <c r="V1476" s="693"/>
      <c r="W1476" s="693"/>
      <c r="X1476" s="693"/>
      <c r="Y1476" s="671"/>
      <c r="Z1476" s="673"/>
      <c r="AA1476" s="672"/>
      <c r="AB1476" s="695"/>
      <c r="AC1476" s="673"/>
      <c r="AD1476" s="673"/>
      <c r="AE1476" s="673"/>
      <c r="AF1476" s="673"/>
      <c r="AG1476" s="673"/>
      <c r="AH1476" s="673"/>
      <c r="AI1476" s="673"/>
      <c r="AJ1476" s="673"/>
      <c r="AK1476" s="673"/>
      <c r="AL1476" s="673"/>
      <c r="AM1476" s="673"/>
      <c r="AN1476" s="673"/>
      <c r="AO1476" s="673"/>
      <c r="AP1476" s="673"/>
      <c r="AQ1476" s="673"/>
      <c r="AR1476" s="673"/>
      <c r="AS1476" s="673"/>
      <c r="AT1476" s="696"/>
    </row>
    <row r="1477" ht="15.75" customHeight="1">
      <c r="A1477" s="653"/>
      <c r="B1477" s="654"/>
      <c r="C1477" s="691"/>
      <c r="D1477" s="656"/>
      <c r="E1477" s="657"/>
      <c r="F1477" s="658"/>
      <c r="G1477" s="659"/>
      <c r="H1477" s="660"/>
      <c r="I1477" s="659"/>
      <c r="J1477" s="661"/>
      <c r="K1477" s="692"/>
      <c r="L1477" s="645"/>
      <c r="M1477" s="663"/>
      <c r="N1477" s="665"/>
      <c r="O1477" s="665"/>
      <c r="P1477" s="666"/>
      <c r="Q1477" s="667"/>
      <c r="R1477" s="668"/>
      <c r="S1477" s="693"/>
      <c r="T1477" s="694"/>
      <c r="U1477" s="694"/>
      <c r="V1477" s="693"/>
      <c r="W1477" s="693"/>
      <c r="X1477" s="693"/>
      <c r="Y1477" s="671"/>
      <c r="Z1477" s="673"/>
      <c r="AA1477" s="672"/>
      <c r="AB1477" s="695"/>
      <c r="AC1477" s="673"/>
      <c r="AD1477" s="673"/>
      <c r="AE1477" s="673"/>
      <c r="AF1477" s="673"/>
      <c r="AG1477" s="673"/>
      <c r="AH1477" s="673"/>
      <c r="AI1477" s="673"/>
      <c r="AJ1477" s="673"/>
      <c r="AK1477" s="673"/>
      <c r="AL1477" s="673"/>
      <c r="AM1477" s="673"/>
      <c r="AN1477" s="673"/>
      <c r="AO1477" s="673"/>
      <c r="AP1477" s="673"/>
      <c r="AQ1477" s="673"/>
      <c r="AR1477" s="673"/>
      <c r="AS1477" s="673"/>
      <c r="AT1477" s="696"/>
    </row>
    <row r="1478" ht="15.75" customHeight="1">
      <c r="A1478" s="653"/>
      <c r="B1478" s="654"/>
      <c r="C1478" s="691"/>
      <c r="D1478" s="656"/>
      <c r="E1478" s="657"/>
      <c r="F1478" s="658"/>
      <c r="G1478" s="659"/>
      <c r="H1478" s="660"/>
      <c r="I1478" s="659"/>
      <c r="J1478" s="661"/>
      <c r="K1478" s="692"/>
      <c r="L1478" s="645"/>
      <c r="M1478" s="663"/>
      <c r="N1478" s="665"/>
      <c r="O1478" s="665"/>
      <c r="P1478" s="666"/>
      <c r="Q1478" s="667"/>
      <c r="R1478" s="668"/>
      <c r="S1478" s="693"/>
      <c r="T1478" s="694"/>
      <c r="U1478" s="694"/>
      <c r="V1478" s="693"/>
      <c r="W1478" s="693"/>
      <c r="X1478" s="693"/>
      <c r="Y1478" s="671"/>
      <c r="Z1478" s="673"/>
      <c r="AA1478" s="672"/>
      <c r="AB1478" s="695"/>
      <c r="AC1478" s="673"/>
      <c r="AD1478" s="673"/>
      <c r="AE1478" s="673"/>
      <c r="AF1478" s="673"/>
      <c r="AG1478" s="673"/>
      <c r="AH1478" s="673"/>
      <c r="AI1478" s="673"/>
      <c r="AJ1478" s="673"/>
      <c r="AK1478" s="673"/>
      <c r="AL1478" s="673"/>
      <c r="AM1478" s="673"/>
      <c r="AN1478" s="673"/>
      <c r="AO1478" s="673"/>
      <c r="AP1478" s="673"/>
      <c r="AQ1478" s="673"/>
      <c r="AR1478" s="673"/>
      <c r="AS1478" s="673"/>
      <c r="AT1478" s="696"/>
    </row>
    <row r="1479" ht="15.75" customHeight="1">
      <c r="A1479" s="653"/>
      <c r="B1479" s="654"/>
      <c r="C1479" s="691"/>
      <c r="D1479" s="656"/>
      <c r="E1479" s="657"/>
      <c r="F1479" s="658"/>
      <c r="G1479" s="659"/>
      <c r="H1479" s="660"/>
      <c r="I1479" s="659"/>
      <c r="J1479" s="661"/>
      <c r="K1479" s="692"/>
      <c r="L1479" s="645"/>
      <c r="M1479" s="663"/>
      <c r="N1479" s="665"/>
      <c r="O1479" s="665"/>
      <c r="P1479" s="666"/>
      <c r="Q1479" s="667"/>
      <c r="R1479" s="668"/>
      <c r="S1479" s="693"/>
      <c r="T1479" s="694"/>
      <c r="U1479" s="694"/>
      <c r="V1479" s="693"/>
      <c r="W1479" s="693"/>
      <c r="X1479" s="693"/>
      <c r="Y1479" s="671"/>
      <c r="Z1479" s="673"/>
      <c r="AA1479" s="672"/>
      <c r="AB1479" s="695"/>
      <c r="AC1479" s="673"/>
      <c r="AD1479" s="673"/>
      <c r="AE1479" s="673"/>
      <c r="AF1479" s="673"/>
      <c r="AG1479" s="673"/>
      <c r="AH1479" s="673"/>
      <c r="AI1479" s="673"/>
      <c r="AJ1479" s="673"/>
      <c r="AK1479" s="673"/>
      <c r="AL1479" s="673"/>
      <c r="AM1479" s="673"/>
      <c r="AN1479" s="673"/>
      <c r="AO1479" s="673"/>
      <c r="AP1479" s="673"/>
      <c r="AQ1479" s="673"/>
      <c r="AR1479" s="673"/>
      <c r="AS1479" s="673"/>
      <c r="AT1479" s="696"/>
    </row>
    <row r="1480" ht="15.75" customHeight="1">
      <c r="A1480" s="653"/>
      <c r="B1480" s="654"/>
      <c r="C1480" s="691"/>
      <c r="D1480" s="656"/>
      <c r="E1480" s="657"/>
      <c r="F1480" s="658"/>
      <c r="G1480" s="659"/>
      <c r="H1480" s="660"/>
      <c r="I1480" s="659"/>
      <c r="J1480" s="661"/>
      <c r="K1480" s="692"/>
      <c r="L1480" s="645"/>
      <c r="M1480" s="663"/>
      <c r="N1480" s="665"/>
      <c r="O1480" s="665"/>
      <c r="P1480" s="666"/>
      <c r="Q1480" s="667"/>
      <c r="R1480" s="668"/>
      <c r="S1480" s="693"/>
      <c r="T1480" s="694"/>
      <c r="U1480" s="694"/>
      <c r="V1480" s="693"/>
      <c r="W1480" s="693"/>
      <c r="X1480" s="693"/>
      <c r="Y1480" s="671"/>
      <c r="Z1480" s="673"/>
      <c r="AA1480" s="672"/>
      <c r="AB1480" s="695"/>
      <c r="AC1480" s="673"/>
      <c r="AD1480" s="673"/>
      <c r="AE1480" s="673"/>
      <c r="AF1480" s="673"/>
      <c r="AG1480" s="673"/>
      <c r="AH1480" s="673"/>
      <c r="AI1480" s="673"/>
      <c r="AJ1480" s="673"/>
      <c r="AK1480" s="673"/>
      <c r="AL1480" s="673"/>
      <c r="AM1480" s="673"/>
      <c r="AN1480" s="673"/>
      <c r="AO1480" s="673"/>
      <c r="AP1480" s="673"/>
      <c r="AQ1480" s="673"/>
      <c r="AR1480" s="673"/>
      <c r="AS1480" s="673"/>
      <c r="AT1480" s="696"/>
    </row>
    <row r="1481" ht="15.75" customHeight="1">
      <c r="A1481" s="653"/>
      <c r="B1481" s="654"/>
      <c r="C1481" s="691"/>
      <c r="D1481" s="656"/>
      <c r="E1481" s="657"/>
      <c r="F1481" s="658"/>
      <c r="G1481" s="659"/>
      <c r="H1481" s="660"/>
      <c r="I1481" s="659"/>
      <c r="J1481" s="661"/>
      <c r="K1481" s="692"/>
      <c r="L1481" s="645"/>
      <c r="M1481" s="663"/>
      <c r="N1481" s="665"/>
      <c r="O1481" s="665"/>
      <c r="P1481" s="666"/>
      <c r="Q1481" s="667"/>
      <c r="R1481" s="668"/>
      <c r="S1481" s="693"/>
      <c r="T1481" s="694"/>
      <c r="U1481" s="694"/>
      <c r="V1481" s="693"/>
      <c r="W1481" s="693"/>
      <c r="X1481" s="693"/>
      <c r="Y1481" s="671"/>
      <c r="Z1481" s="673"/>
      <c r="AA1481" s="672"/>
      <c r="AB1481" s="695"/>
      <c r="AC1481" s="673"/>
      <c r="AD1481" s="673"/>
      <c r="AE1481" s="673"/>
      <c r="AF1481" s="673"/>
      <c r="AG1481" s="673"/>
      <c r="AH1481" s="673"/>
      <c r="AI1481" s="673"/>
      <c r="AJ1481" s="673"/>
      <c r="AK1481" s="673"/>
      <c r="AL1481" s="673"/>
      <c r="AM1481" s="673"/>
      <c r="AN1481" s="673"/>
      <c r="AO1481" s="673"/>
      <c r="AP1481" s="673"/>
      <c r="AQ1481" s="673"/>
      <c r="AR1481" s="673"/>
      <c r="AS1481" s="673"/>
      <c r="AT1481" s="696"/>
    </row>
    <row r="1482" ht="15.75" customHeight="1">
      <c r="A1482" s="653"/>
      <c r="B1482" s="654"/>
      <c r="C1482" s="691"/>
      <c r="D1482" s="656"/>
      <c r="E1482" s="657"/>
      <c r="F1482" s="658"/>
      <c r="G1482" s="659"/>
      <c r="H1482" s="660"/>
      <c r="I1482" s="659"/>
      <c r="J1482" s="661"/>
      <c r="K1482" s="692"/>
      <c r="L1482" s="645"/>
      <c r="M1482" s="663"/>
      <c r="N1482" s="665"/>
      <c r="O1482" s="665"/>
      <c r="P1482" s="666"/>
      <c r="Q1482" s="667"/>
      <c r="R1482" s="668"/>
      <c r="S1482" s="693"/>
      <c r="T1482" s="694"/>
      <c r="U1482" s="694"/>
      <c r="V1482" s="693"/>
      <c r="W1482" s="693"/>
      <c r="X1482" s="693"/>
      <c r="Y1482" s="671"/>
      <c r="Z1482" s="673"/>
      <c r="AA1482" s="672"/>
      <c r="AB1482" s="695"/>
      <c r="AC1482" s="673"/>
      <c r="AD1482" s="673"/>
      <c r="AE1482" s="673"/>
      <c r="AF1482" s="673"/>
      <c r="AG1482" s="673"/>
      <c r="AH1482" s="673"/>
      <c r="AI1482" s="673"/>
      <c r="AJ1482" s="673"/>
      <c r="AK1482" s="673"/>
      <c r="AL1482" s="673"/>
      <c r="AM1482" s="673"/>
      <c r="AN1482" s="673"/>
      <c r="AO1482" s="673"/>
      <c r="AP1482" s="673"/>
      <c r="AQ1482" s="673"/>
      <c r="AR1482" s="673"/>
      <c r="AS1482" s="673"/>
      <c r="AT1482" s="696"/>
    </row>
    <row r="1483" ht="15.75" customHeight="1">
      <c r="A1483" s="653"/>
      <c r="B1483" s="654"/>
      <c r="C1483" s="691"/>
      <c r="D1483" s="656"/>
      <c r="E1483" s="657"/>
      <c r="F1483" s="658"/>
      <c r="G1483" s="659"/>
      <c r="H1483" s="660"/>
      <c r="I1483" s="659"/>
      <c r="J1483" s="661"/>
      <c r="K1483" s="692"/>
      <c r="L1483" s="645"/>
      <c r="M1483" s="663"/>
      <c r="N1483" s="665"/>
      <c r="O1483" s="665"/>
      <c r="P1483" s="666"/>
      <c r="Q1483" s="667"/>
      <c r="R1483" s="668"/>
      <c r="S1483" s="693"/>
      <c r="T1483" s="694"/>
      <c r="U1483" s="694"/>
      <c r="V1483" s="693"/>
      <c r="W1483" s="693"/>
      <c r="X1483" s="693"/>
      <c r="Y1483" s="671"/>
      <c r="Z1483" s="673"/>
      <c r="AA1483" s="672"/>
      <c r="AB1483" s="695"/>
      <c r="AC1483" s="673"/>
      <c r="AD1483" s="673"/>
      <c r="AE1483" s="673"/>
      <c r="AF1483" s="673"/>
      <c r="AG1483" s="673"/>
      <c r="AH1483" s="673"/>
      <c r="AI1483" s="673"/>
      <c r="AJ1483" s="673"/>
      <c r="AK1483" s="673"/>
      <c r="AL1483" s="673"/>
      <c r="AM1483" s="673"/>
      <c r="AN1483" s="673"/>
      <c r="AO1483" s="673"/>
      <c r="AP1483" s="673"/>
      <c r="AQ1483" s="673"/>
      <c r="AR1483" s="673"/>
      <c r="AS1483" s="673"/>
      <c r="AT1483" s="696"/>
    </row>
    <row r="1484" ht="15.75" customHeight="1">
      <c r="A1484" s="653"/>
      <c r="B1484" s="654"/>
      <c r="C1484" s="691"/>
      <c r="D1484" s="656"/>
      <c r="E1484" s="657"/>
      <c r="F1484" s="658"/>
      <c r="G1484" s="659"/>
      <c r="H1484" s="660"/>
      <c r="I1484" s="659"/>
      <c r="J1484" s="661"/>
      <c r="K1484" s="692"/>
      <c r="L1484" s="645"/>
      <c r="M1484" s="663"/>
      <c r="N1484" s="665"/>
      <c r="O1484" s="665"/>
      <c r="P1484" s="666"/>
      <c r="Q1484" s="667"/>
      <c r="R1484" s="668"/>
      <c r="S1484" s="693"/>
      <c r="T1484" s="694"/>
      <c r="U1484" s="694"/>
      <c r="V1484" s="693"/>
      <c r="W1484" s="693"/>
      <c r="X1484" s="693"/>
      <c r="Y1484" s="671"/>
      <c r="Z1484" s="673"/>
      <c r="AA1484" s="672"/>
      <c r="AB1484" s="695"/>
      <c r="AC1484" s="673"/>
      <c r="AD1484" s="673"/>
      <c r="AE1484" s="673"/>
      <c r="AF1484" s="673"/>
      <c r="AG1484" s="673"/>
      <c r="AH1484" s="673"/>
      <c r="AI1484" s="673"/>
      <c r="AJ1484" s="673"/>
      <c r="AK1484" s="673"/>
      <c r="AL1484" s="673"/>
      <c r="AM1484" s="673"/>
      <c r="AN1484" s="673"/>
      <c r="AO1484" s="673"/>
      <c r="AP1484" s="673"/>
      <c r="AQ1484" s="673"/>
      <c r="AR1484" s="673"/>
      <c r="AS1484" s="673"/>
      <c r="AT1484" s="696"/>
    </row>
    <row r="1485" ht="15.75" customHeight="1">
      <c r="A1485" s="653"/>
      <c r="B1485" s="654"/>
      <c r="C1485" s="691"/>
      <c r="D1485" s="656"/>
      <c r="E1485" s="657"/>
      <c r="F1485" s="658"/>
      <c r="G1485" s="659"/>
      <c r="H1485" s="660"/>
      <c r="I1485" s="659"/>
      <c r="J1485" s="661"/>
      <c r="K1485" s="692"/>
      <c r="L1485" s="645"/>
      <c r="M1485" s="663"/>
      <c r="N1485" s="665"/>
      <c r="O1485" s="665"/>
      <c r="P1485" s="666"/>
      <c r="Q1485" s="667"/>
      <c r="R1485" s="668"/>
      <c r="S1485" s="693"/>
      <c r="T1485" s="694"/>
      <c r="U1485" s="694"/>
      <c r="V1485" s="693"/>
      <c r="W1485" s="693"/>
      <c r="X1485" s="693"/>
      <c r="Y1485" s="671"/>
      <c r="Z1485" s="673"/>
      <c r="AA1485" s="672"/>
      <c r="AB1485" s="695"/>
      <c r="AC1485" s="673"/>
      <c r="AD1485" s="673"/>
      <c r="AE1485" s="673"/>
      <c r="AF1485" s="673"/>
      <c r="AG1485" s="673"/>
      <c r="AH1485" s="673"/>
      <c r="AI1485" s="673"/>
      <c r="AJ1485" s="673"/>
      <c r="AK1485" s="673"/>
      <c r="AL1485" s="673"/>
      <c r="AM1485" s="673"/>
      <c r="AN1485" s="673"/>
      <c r="AO1485" s="673"/>
      <c r="AP1485" s="673"/>
      <c r="AQ1485" s="673"/>
      <c r="AR1485" s="673"/>
      <c r="AS1485" s="673"/>
      <c r="AT1485" s="696"/>
    </row>
    <row r="1486" ht="15.75" customHeight="1">
      <c r="A1486" s="653"/>
      <c r="B1486" s="654"/>
      <c r="C1486" s="691"/>
      <c r="D1486" s="656"/>
      <c r="E1486" s="657"/>
      <c r="F1486" s="658"/>
      <c r="G1486" s="659"/>
      <c r="H1486" s="660"/>
      <c r="I1486" s="659"/>
      <c r="J1486" s="661"/>
      <c r="K1486" s="692"/>
      <c r="L1486" s="645"/>
      <c r="M1486" s="663"/>
      <c r="N1486" s="665"/>
      <c r="O1486" s="665"/>
      <c r="P1486" s="666"/>
      <c r="Q1486" s="667"/>
      <c r="R1486" s="668"/>
      <c r="S1486" s="693"/>
      <c r="T1486" s="694"/>
      <c r="U1486" s="694"/>
      <c r="V1486" s="693"/>
      <c r="W1486" s="693"/>
      <c r="X1486" s="693"/>
      <c r="Y1486" s="671"/>
      <c r="Z1486" s="673"/>
      <c r="AA1486" s="672"/>
      <c r="AB1486" s="695"/>
      <c r="AC1486" s="673"/>
      <c r="AD1486" s="673"/>
      <c r="AE1486" s="673"/>
      <c r="AF1486" s="673"/>
      <c r="AG1486" s="673"/>
      <c r="AH1486" s="673"/>
      <c r="AI1486" s="673"/>
      <c r="AJ1486" s="673"/>
      <c r="AK1486" s="673"/>
      <c r="AL1486" s="673"/>
      <c r="AM1486" s="673"/>
      <c r="AN1486" s="673"/>
      <c r="AO1486" s="673"/>
      <c r="AP1486" s="673"/>
      <c r="AQ1486" s="673"/>
      <c r="AR1486" s="673"/>
      <c r="AS1486" s="673"/>
      <c r="AT1486" s="696"/>
    </row>
    <row r="1487" ht="15.75" customHeight="1">
      <c r="A1487" s="653"/>
      <c r="B1487" s="654"/>
      <c r="C1487" s="691"/>
      <c r="D1487" s="656"/>
      <c r="E1487" s="657"/>
      <c r="F1487" s="658"/>
      <c r="G1487" s="659"/>
      <c r="H1487" s="660"/>
      <c r="I1487" s="659"/>
      <c r="J1487" s="661"/>
      <c r="K1487" s="692"/>
      <c r="L1487" s="645"/>
      <c r="M1487" s="663"/>
      <c r="N1487" s="665"/>
      <c r="O1487" s="665"/>
      <c r="P1487" s="666"/>
      <c r="Q1487" s="667"/>
      <c r="R1487" s="668"/>
      <c r="S1487" s="693"/>
      <c r="T1487" s="694"/>
      <c r="U1487" s="694"/>
      <c r="V1487" s="693"/>
      <c r="W1487" s="693"/>
      <c r="X1487" s="693"/>
      <c r="Y1487" s="671"/>
      <c r="Z1487" s="673"/>
      <c r="AA1487" s="672"/>
      <c r="AB1487" s="695"/>
      <c r="AC1487" s="673"/>
      <c r="AD1487" s="673"/>
      <c r="AE1487" s="673"/>
      <c r="AF1487" s="673"/>
      <c r="AG1487" s="673"/>
      <c r="AH1487" s="673"/>
      <c r="AI1487" s="673"/>
      <c r="AJ1487" s="673"/>
      <c r="AK1487" s="673"/>
      <c r="AL1487" s="673"/>
      <c r="AM1487" s="673"/>
      <c r="AN1487" s="673"/>
      <c r="AO1487" s="673"/>
      <c r="AP1487" s="673"/>
      <c r="AQ1487" s="673"/>
      <c r="AR1487" s="673"/>
      <c r="AS1487" s="673"/>
      <c r="AT1487" s="696"/>
    </row>
    <row r="1488" ht="15.75" customHeight="1">
      <c r="A1488" s="653"/>
      <c r="B1488" s="654"/>
      <c r="C1488" s="691"/>
      <c r="D1488" s="656"/>
      <c r="E1488" s="657"/>
      <c r="F1488" s="658"/>
      <c r="G1488" s="659"/>
      <c r="H1488" s="660"/>
      <c r="I1488" s="659"/>
      <c r="J1488" s="661"/>
      <c r="K1488" s="692"/>
      <c r="L1488" s="645"/>
      <c r="M1488" s="663"/>
      <c r="N1488" s="665"/>
      <c r="O1488" s="665"/>
      <c r="P1488" s="666"/>
      <c r="Q1488" s="667"/>
      <c r="R1488" s="668"/>
      <c r="S1488" s="693"/>
      <c r="T1488" s="694"/>
      <c r="U1488" s="694"/>
      <c r="V1488" s="693"/>
      <c r="W1488" s="693"/>
      <c r="X1488" s="693"/>
      <c r="Y1488" s="671"/>
      <c r="Z1488" s="673"/>
      <c r="AA1488" s="672"/>
      <c r="AB1488" s="695"/>
      <c r="AC1488" s="673"/>
      <c r="AD1488" s="673"/>
      <c r="AE1488" s="673"/>
      <c r="AF1488" s="673"/>
      <c r="AG1488" s="673"/>
      <c r="AH1488" s="673"/>
      <c r="AI1488" s="673"/>
      <c r="AJ1488" s="673"/>
      <c r="AK1488" s="673"/>
      <c r="AL1488" s="673"/>
      <c r="AM1488" s="673"/>
      <c r="AN1488" s="673"/>
      <c r="AO1488" s="673"/>
      <c r="AP1488" s="673"/>
      <c r="AQ1488" s="673"/>
      <c r="AR1488" s="673"/>
      <c r="AS1488" s="673"/>
      <c r="AT1488" s="696"/>
    </row>
    <row r="1489" ht="15.75" customHeight="1">
      <c r="A1489" s="653"/>
      <c r="B1489" s="654"/>
      <c r="C1489" s="691"/>
      <c r="D1489" s="656"/>
      <c r="E1489" s="657"/>
      <c r="F1489" s="658"/>
      <c r="G1489" s="659"/>
      <c r="H1489" s="660"/>
      <c r="I1489" s="659"/>
      <c r="J1489" s="661"/>
      <c r="K1489" s="692"/>
      <c r="L1489" s="645"/>
      <c r="M1489" s="663"/>
      <c r="N1489" s="665"/>
      <c r="O1489" s="665"/>
      <c r="P1489" s="666"/>
      <c r="Q1489" s="667"/>
      <c r="R1489" s="668"/>
      <c r="S1489" s="693"/>
      <c r="T1489" s="694"/>
      <c r="U1489" s="694"/>
      <c r="V1489" s="693"/>
      <c r="W1489" s="693"/>
      <c r="X1489" s="693"/>
      <c r="Y1489" s="671"/>
      <c r="Z1489" s="673"/>
      <c r="AA1489" s="672"/>
      <c r="AB1489" s="695"/>
      <c r="AC1489" s="673"/>
      <c r="AD1489" s="673"/>
      <c r="AE1489" s="673"/>
      <c r="AF1489" s="673"/>
      <c r="AG1489" s="673"/>
      <c r="AH1489" s="673"/>
      <c r="AI1489" s="673"/>
      <c r="AJ1489" s="673"/>
      <c r="AK1489" s="673"/>
      <c r="AL1489" s="673"/>
      <c r="AM1489" s="673"/>
      <c r="AN1489" s="673"/>
      <c r="AO1489" s="673"/>
      <c r="AP1489" s="673"/>
      <c r="AQ1489" s="673"/>
      <c r="AR1489" s="673"/>
      <c r="AS1489" s="673"/>
      <c r="AT1489" s="696"/>
    </row>
    <row r="1490" ht="15.75" customHeight="1">
      <c r="A1490" s="653"/>
      <c r="B1490" s="654"/>
      <c r="C1490" s="691"/>
      <c r="D1490" s="656"/>
      <c r="E1490" s="657"/>
      <c r="F1490" s="658"/>
      <c r="G1490" s="659"/>
      <c r="H1490" s="660"/>
      <c r="I1490" s="659"/>
      <c r="J1490" s="661"/>
      <c r="K1490" s="692"/>
      <c r="L1490" s="645"/>
      <c r="M1490" s="663"/>
      <c r="N1490" s="665"/>
      <c r="O1490" s="665"/>
      <c r="P1490" s="666"/>
      <c r="Q1490" s="667"/>
      <c r="R1490" s="668"/>
      <c r="S1490" s="693"/>
      <c r="T1490" s="694"/>
      <c r="U1490" s="694"/>
      <c r="V1490" s="693"/>
      <c r="W1490" s="693"/>
      <c r="X1490" s="693"/>
      <c r="Y1490" s="671"/>
      <c r="Z1490" s="673"/>
      <c r="AA1490" s="672"/>
      <c r="AB1490" s="695"/>
      <c r="AC1490" s="673"/>
      <c r="AD1490" s="673"/>
      <c r="AE1490" s="673"/>
      <c r="AF1490" s="673"/>
      <c r="AG1490" s="673"/>
      <c r="AH1490" s="673"/>
      <c r="AI1490" s="673"/>
      <c r="AJ1490" s="673"/>
      <c r="AK1490" s="673"/>
      <c r="AL1490" s="673"/>
      <c r="AM1490" s="673"/>
      <c r="AN1490" s="673"/>
      <c r="AO1490" s="673"/>
      <c r="AP1490" s="673"/>
      <c r="AQ1490" s="673"/>
      <c r="AR1490" s="673"/>
      <c r="AS1490" s="673"/>
      <c r="AT1490" s="696"/>
    </row>
    <row r="1491" ht="15.75" customHeight="1">
      <c r="A1491" s="653"/>
      <c r="B1491" s="654"/>
      <c r="C1491" s="691"/>
      <c r="D1491" s="656"/>
      <c r="E1491" s="657"/>
      <c r="F1491" s="658"/>
      <c r="G1491" s="659"/>
      <c r="H1491" s="660"/>
      <c r="I1491" s="659"/>
      <c r="J1491" s="661"/>
      <c r="K1491" s="692"/>
      <c r="L1491" s="645"/>
      <c r="M1491" s="663"/>
      <c r="N1491" s="665"/>
      <c r="O1491" s="665"/>
      <c r="P1491" s="666"/>
      <c r="Q1491" s="667"/>
      <c r="R1491" s="668"/>
      <c r="S1491" s="693"/>
      <c r="T1491" s="694"/>
      <c r="U1491" s="694"/>
      <c r="V1491" s="693"/>
      <c r="W1491" s="693"/>
      <c r="X1491" s="693"/>
      <c r="Y1491" s="671"/>
      <c r="Z1491" s="673"/>
      <c r="AA1491" s="672"/>
      <c r="AB1491" s="695"/>
      <c r="AC1491" s="673"/>
      <c r="AD1491" s="673"/>
      <c r="AE1491" s="673"/>
      <c r="AF1491" s="673"/>
      <c r="AG1491" s="673"/>
      <c r="AH1491" s="673"/>
      <c r="AI1491" s="673"/>
      <c r="AJ1491" s="673"/>
      <c r="AK1491" s="673"/>
      <c r="AL1491" s="673"/>
      <c r="AM1491" s="673"/>
      <c r="AN1491" s="673"/>
      <c r="AO1491" s="673"/>
      <c r="AP1491" s="673"/>
      <c r="AQ1491" s="673"/>
      <c r="AR1491" s="673"/>
      <c r="AS1491" s="673"/>
      <c r="AT1491" s="696"/>
    </row>
    <row r="1492" ht="15.75" customHeight="1">
      <c r="A1492" s="653"/>
      <c r="B1492" s="654"/>
      <c r="C1492" s="691"/>
      <c r="D1492" s="656"/>
      <c r="E1492" s="657"/>
      <c r="F1492" s="658"/>
      <c r="G1492" s="659"/>
      <c r="H1492" s="660"/>
      <c r="I1492" s="659"/>
      <c r="J1492" s="661"/>
      <c r="K1492" s="692"/>
      <c r="L1492" s="645"/>
      <c r="M1492" s="663"/>
      <c r="N1492" s="665"/>
      <c r="O1492" s="665"/>
      <c r="P1492" s="666"/>
      <c r="Q1492" s="667"/>
      <c r="R1492" s="668"/>
      <c r="S1492" s="693"/>
      <c r="T1492" s="694"/>
      <c r="U1492" s="694"/>
      <c r="V1492" s="693"/>
      <c r="W1492" s="693"/>
      <c r="X1492" s="693"/>
      <c r="Y1492" s="671"/>
      <c r="Z1492" s="673"/>
      <c r="AA1492" s="672"/>
      <c r="AB1492" s="695"/>
      <c r="AC1492" s="673"/>
      <c r="AD1492" s="673"/>
      <c r="AE1492" s="673"/>
      <c r="AF1492" s="673"/>
      <c r="AG1492" s="673"/>
      <c r="AH1492" s="673"/>
      <c r="AI1492" s="673"/>
      <c r="AJ1492" s="673"/>
      <c r="AK1492" s="673"/>
      <c r="AL1492" s="673"/>
      <c r="AM1492" s="673"/>
      <c r="AN1492" s="673"/>
      <c r="AO1492" s="673"/>
      <c r="AP1492" s="673"/>
      <c r="AQ1492" s="673"/>
      <c r="AR1492" s="673"/>
      <c r="AS1492" s="673"/>
      <c r="AT1492" s="696"/>
    </row>
    <row r="1493" ht="15.75" customHeight="1">
      <c r="A1493" s="653"/>
      <c r="B1493" s="654"/>
      <c r="C1493" s="691"/>
      <c r="D1493" s="656"/>
      <c r="E1493" s="657"/>
      <c r="F1493" s="658"/>
      <c r="G1493" s="659"/>
      <c r="H1493" s="660"/>
      <c r="I1493" s="659"/>
      <c r="J1493" s="661"/>
      <c r="K1493" s="692"/>
      <c r="L1493" s="645"/>
      <c r="M1493" s="663"/>
      <c r="N1493" s="665"/>
      <c r="O1493" s="665"/>
      <c r="P1493" s="666"/>
      <c r="Q1493" s="667"/>
      <c r="R1493" s="668"/>
      <c r="S1493" s="693"/>
      <c r="T1493" s="694"/>
      <c r="U1493" s="694"/>
      <c r="V1493" s="693"/>
      <c r="W1493" s="693"/>
      <c r="X1493" s="693"/>
      <c r="Y1493" s="671"/>
      <c r="Z1493" s="673"/>
      <c r="AA1493" s="672"/>
      <c r="AB1493" s="695"/>
      <c r="AC1493" s="673"/>
      <c r="AD1493" s="673"/>
      <c r="AE1493" s="673"/>
      <c r="AF1493" s="673"/>
      <c r="AG1493" s="673"/>
      <c r="AH1493" s="673"/>
      <c r="AI1493" s="673"/>
      <c r="AJ1493" s="673"/>
      <c r="AK1493" s="673"/>
      <c r="AL1493" s="673"/>
      <c r="AM1493" s="673"/>
      <c r="AN1493" s="673"/>
      <c r="AO1493" s="673"/>
      <c r="AP1493" s="673"/>
      <c r="AQ1493" s="673"/>
      <c r="AR1493" s="673"/>
      <c r="AS1493" s="673"/>
      <c r="AT1493" s="696"/>
    </row>
    <row r="1494" ht="15.75" customHeight="1">
      <c r="A1494" s="653"/>
      <c r="B1494" s="654"/>
      <c r="C1494" s="691"/>
      <c r="D1494" s="656"/>
      <c r="E1494" s="657"/>
      <c r="F1494" s="658"/>
      <c r="G1494" s="659"/>
      <c r="H1494" s="660"/>
      <c r="I1494" s="659"/>
      <c r="J1494" s="661"/>
      <c r="K1494" s="692"/>
      <c r="L1494" s="645"/>
      <c r="M1494" s="663"/>
      <c r="N1494" s="665"/>
      <c r="O1494" s="665"/>
      <c r="P1494" s="666"/>
      <c r="Q1494" s="667"/>
      <c r="R1494" s="668"/>
      <c r="S1494" s="693"/>
      <c r="T1494" s="694"/>
      <c r="U1494" s="694"/>
      <c r="V1494" s="693"/>
      <c r="W1494" s="693"/>
      <c r="X1494" s="693"/>
      <c r="Y1494" s="671"/>
      <c r="Z1494" s="673"/>
      <c r="AA1494" s="672"/>
      <c r="AB1494" s="695"/>
      <c r="AC1494" s="673"/>
      <c r="AD1494" s="673"/>
      <c r="AE1494" s="673"/>
      <c r="AF1494" s="673"/>
      <c r="AG1494" s="673"/>
      <c r="AH1494" s="673"/>
      <c r="AI1494" s="673"/>
      <c r="AJ1494" s="673"/>
      <c r="AK1494" s="673"/>
      <c r="AL1494" s="673"/>
      <c r="AM1494" s="673"/>
      <c r="AN1494" s="673"/>
      <c r="AO1494" s="673"/>
      <c r="AP1494" s="673"/>
      <c r="AQ1494" s="673"/>
      <c r="AR1494" s="673"/>
      <c r="AS1494" s="673"/>
      <c r="AT1494" s="696"/>
    </row>
    <row r="1495" ht="15.75" customHeight="1">
      <c r="A1495" s="653"/>
      <c r="B1495" s="654"/>
      <c r="C1495" s="691"/>
      <c r="D1495" s="656"/>
      <c r="E1495" s="657"/>
      <c r="F1495" s="658"/>
      <c r="G1495" s="659"/>
      <c r="H1495" s="660"/>
      <c r="I1495" s="659"/>
      <c r="J1495" s="661"/>
      <c r="K1495" s="692"/>
      <c r="L1495" s="645"/>
      <c r="M1495" s="663"/>
      <c r="N1495" s="665"/>
      <c r="O1495" s="665"/>
      <c r="P1495" s="666"/>
      <c r="Q1495" s="667"/>
      <c r="R1495" s="668"/>
      <c r="S1495" s="693"/>
      <c r="T1495" s="694"/>
      <c r="U1495" s="694"/>
      <c r="V1495" s="693"/>
      <c r="W1495" s="693"/>
      <c r="X1495" s="693"/>
      <c r="Y1495" s="671"/>
      <c r="Z1495" s="673"/>
      <c r="AA1495" s="672"/>
      <c r="AB1495" s="695"/>
      <c r="AC1495" s="673"/>
      <c r="AD1495" s="673"/>
      <c r="AE1495" s="673"/>
      <c r="AF1495" s="673"/>
      <c r="AG1495" s="673"/>
      <c r="AH1495" s="673"/>
      <c r="AI1495" s="673"/>
      <c r="AJ1495" s="673"/>
      <c r="AK1495" s="673"/>
      <c r="AL1495" s="673"/>
      <c r="AM1495" s="673"/>
      <c r="AN1495" s="673"/>
      <c r="AO1495" s="673"/>
      <c r="AP1495" s="673"/>
      <c r="AQ1495" s="673"/>
      <c r="AR1495" s="673"/>
      <c r="AS1495" s="673"/>
      <c r="AT1495" s="696"/>
    </row>
    <row r="1496" ht="15.75" customHeight="1">
      <c r="A1496" s="653"/>
      <c r="B1496" s="654"/>
      <c r="C1496" s="691"/>
      <c r="D1496" s="656"/>
      <c r="E1496" s="657"/>
      <c r="F1496" s="658"/>
      <c r="G1496" s="659"/>
      <c r="H1496" s="660"/>
      <c r="I1496" s="659"/>
      <c r="J1496" s="661"/>
      <c r="K1496" s="692"/>
      <c r="L1496" s="645"/>
      <c r="M1496" s="663"/>
      <c r="N1496" s="665"/>
      <c r="O1496" s="665"/>
      <c r="P1496" s="666"/>
      <c r="Q1496" s="667"/>
      <c r="R1496" s="668"/>
      <c r="S1496" s="693"/>
      <c r="T1496" s="694"/>
      <c r="U1496" s="694"/>
      <c r="V1496" s="693"/>
      <c r="W1496" s="693"/>
      <c r="X1496" s="693"/>
      <c r="Y1496" s="671"/>
      <c r="Z1496" s="673"/>
      <c r="AA1496" s="672"/>
      <c r="AB1496" s="695"/>
      <c r="AC1496" s="673"/>
      <c r="AD1496" s="673"/>
      <c r="AE1496" s="673"/>
      <c r="AF1496" s="673"/>
      <c r="AG1496" s="673"/>
      <c r="AH1496" s="673"/>
      <c r="AI1496" s="673"/>
      <c r="AJ1496" s="673"/>
      <c r="AK1496" s="673"/>
      <c r="AL1496" s="673"/>
      <c r="AM1496" s="673"/>
      <c r="AN1496" s="673"/>
      <c r="AO1496" s="673"/>
      <c r="AP1496" s="673"/>
      <c r="AQ1496" s="673"/>
      <c r="AR1496" s="673"/>
      <c r="AS1496" s="673"/>
      <c r="AT1496" s="696"/>
    </row>
    <row r="1497" ht="15.75" customHeight="1">
      <c r="A1497" s="653"/>
      <c r="B1497" s="654"/>
      <c r="C1497" s="691"/>
      <c r="D1497" s="656"/>
      <c r="E1497" s="657"/>
      <c r="F1497" s="658"/>
      <c r="G1497" s="659"/>
      <c r="H1497" s="660"/>
      <c r="I1497" s="659"/>
      <c r="J1497" s="661"/>
      <c r="K1497" s="692"/>
      <c r="L1497" s="645"/>
      <c r="M1497" s="663"/>
      <c r="N1497" s="665"/>
      <c r="O1497" s="665"/>
      <c r="P1497" s="666"/>
      <c r="Q1497" s="667"/>
      <c r="R1497" s="668"/>
      <c r="S1497" s="693"/>
      <c r="T1497" s="694"/>
      <c r="U1497" s="694"/>
      <c r="V1497" s="693"/>
      <c r="W1497" s="693"/>
      <c r="X1497" s="693"/>
      <c r="Y1497" s="671"/>
      <c r="Z1497" s="673"/>
      <c r="AA1497" s="672"/>
      <c r="AB1497" s="695"/>
      <c r="AC1497" s="673"/>
      <c r="AD1497" s="673"/>
      <c r="AE1497" s="673"/>
      <c r="AF1497" s="673"/>
      <c r="AG1497" s="673"/>
      <c r="AH1497" s="673"/>
      <c r="AI1497" s="673"/>
      <c r="AJ1497" s="673"/>
      <c r="AK1497" s="673"/>
      <c r="AL1497" s="673"/>
      <c r="AM1497" s="673"/>
      <c r="AN1497" s="673"/>
      <c r="AO1497" s="673"/>
      <c r="AP1497" s="673"/>
      <c r="AQ1497" s="673"/>
      <c r="AR1497" s="673"/>
      <c r="AS1497" s="673"/>
      <c r="AT1497" s="696"/>
    </row>
    <row r="1498" ht="15.75" customHeight="1">
      <c r="A1498" s="653"/>
      <c r="B1498" s="654"/>
      <c r="C1498" s="691"/>
      <c r="D1498" s="656"/>
      <c r="E1498" s="657"/>
      <c r="F1498" s="658"/>
      <c r="G1498" s="659"/>
      <c r="H1498" s="660"/>
      <c r="I1498" s="659"/>
      <c r="J1498" s="661"/>
      <c r="K1498" s="692"/>
      <c r="L1498" s="645"/>
      <c r="M1498" s="663"/>
      <c r="N1498" s="665"/>
      <c r="O1498" s="665"/>
      <c r="P1498" s="666"/>
      <c r="Q1498" s="667"/>
      <c r="R1498" s="668"/>
      <c r="S1498" s="693"/>
      <c r="T1498" s="694"/>
      <c r="U1498" s="694"/>
      <c r="V1498" s="693"/>
      <c r="W1498" s="693"/>
      <c r="X1498" s="693"/>
      <c r="Y1498" s="671"/>
      <c r="Z1498" s="673"/>
      <c r="AA1498" s="672"/>
      <c r="AB1498" s="695"/>
      <c r="AC1498" s="673"/>
      <c r="AD1498" s="673"/>
      <c r="AE1498" s="673"/>
      <c r="AF1498" s="673"/>
      <c r="AG1498" s="673"/>
      <c r="AH1498" s="673"/>
      <c r="AI1498" s="673"/>
      <c r="AJ1498" s="673"/>
      <c r="AK1498" s="673"/>
      <c r="AL1498" s="673"/>
      <c r="AM1498" s="673"/>
      <c r="AN1498" s="673"/>
      <c r="AO1498" s="673"/>
      <c r="AP1498" s="673"/>
      <c r="AQ1498" s="673"/>
      <c r="AR1498" s="673"/>
      <c r="AS1498" s="673"/>
      <c r="AT1498" s="696"/>
    </row>
    <row r="1499" ht="15.75" customHeight="1">
      <c r="A1499" s="653"/>
      <c r="B1499" s="654"/>
      <c r="C1499" s="691"/>
      <c r="D1499" s="656"/>
      <c r="E1499" s="657"/>
      <c r="F1499" s="658"/>
      <c r="G1499" s="659"/>
      <c r="H1499" s="660"/>
      <c r="I1499" s="659"/>
      <c r="J1499" s="661"/>
      <c r="K1499" s="692"/>
      <c r="L1499" s="645"/>
      <c r="M1499" s="663"/>
      <c r="N1499" s="665"/>
      <c r="O1499" s="665"/>
      <c r="P1499" s="666"/>
      <c r="Q1499" s="667"/>
      <c r="R1499" s="668"/>
      <c r="S1499" s="693"/>
      <c r="T1499" s="694"/>
      <c r="U1499" s="694"/>
      <c r="V1499" s="693"/>
      <c r="W1499" s="693"/>
      <c r="X1499" s="693"/>
      <c r="Y1499" s="671"/>
      <c r="Z1499" s="673"/>
      <c r="AA1499" s="672"/>
      <c r="AB1499" s="695"/>
      <c r="AC1499" s="673"/>
      <c r="AD1499" s="673"/>
      <c r="AE1499" s="673"/>
      <c r="AF1499" s="673"/>
      <c r="AG1499" s="673"/>
      <c r="AH1499" s="673"/>
      <c r="AI1499" s="673"/>
      <c r="AJ1499" s="673"/>
      <c r="AK1499" s="673"/>
      <c r="AL1499" s="673"/>
      <c r="AM1499" s="673"/>
      <c r="AN1499" s="673"/>
      <c r="AO1499" s="673"/>
      <c r="AP1499" s="673"/>
      <c r="AQ1499" s="673"/>
      <c r="AR1499" s="673"/>
      <c r="AS1499" s="673"/>
      <c r="AT1499" s="696"/>
    </row>
    <row r="1500" ht="15.75" customHeight="1">
      <c r="A1500" s="653"/>
      <c r="B1500" s="654"/>
      <c r="C1500" s="691"/>
      <c r="D1500" s="656"/>
      <c r="E1500" s="657"/>
      <c r="F1500" s="658"/>
      <c r="G1500" s="659"/>
      <c r="H1500" s="660"/>
      <c r="I1500" s="659"/>
      <c r="J1500" s="661"/>
      <c r="K1500" s="692"/>
      <c r="L1500" s="645"/>
      <c r="M1500" s="663"/>
      <c r="N1500" s="665"/>
      <c r="O1500" s="665"/>
      <c r="P1500" s="666"/>
      <c r="Q1500" s="667"/>
      <c r="R1500" s="668"/>
      <c r="S1500" s="693"/>
      <c r="T1500" s="694"/>
      <c r="U1500" s="694"/>
      <c r="V1500" s="693"/>
      <c r="W1500" s="693"/>
      <c r="X1500" s="693"/>
      <c r="Y1500" s="671"/>
      <c r="Z1500" s="673"/>
      <c r="AA1500" s="672"/>
      <c r="AB1500" s="695"/>
      <c r="AC1500" s="673"/>
      <c r="AD1500" s="673"/>
      <c r="AE1500" s="673"/>
      <c r="AF1500" s="673"/>
      <c r="AG1500" s="673"/>
      <c r="AH1500" s="673"/>
      <c r="AI1500" s="673"/>
      <c r="AJ1500" s="673"/>
      <c r="AK1500" s="673"/>
      <c r="AL1500" s="673"/>
      <c r="AM1500" s="673"/>
      <c r="AN1500" s="673"/>
      <c r="AO1500" s="673"/>
      <c r="AP1500" s="673"/>
      <c r="AQ1500" s="673"/>
      <c r="AR1500" s="673"/>
      <c r="AS1500" s="673"/>
      <c r="AT1500" s="696"/>
    </row>
    <row r="1501" ht="15.75" customHeight="1">
      <c r="A1501" s="653"/>
      <c r="B1501" s="654"/>
      <c r="C1501" s="691"/>
      <c r="D1501" s="656"/>
      <c r="E1501" s="657"/>
      <c r="F1501" s="658"/>
      <c r="G1501" s="659"/>
      <c r="H1501" s="660"/>
      <c r="I1501" s="659"/>
      <c r="J1501" s="661"/>
      <c r="K1501" s="692"/>
      <c r="L1501" s="645"/>
      <c r="M1501" s="663"/>
      <c r="N1501" s="665"/>
      <c r="O1501" s="665"/>
      <c r="P1501" s="666"/>
      <c r="Q1501" s="667"/>
      <c r="R1501" s="668"/>
      <c r="S1501" s="693"/>
      <c r="T1501" s="694"/>
      <c r="U1501" s="694"/>
      <c r="V1501" s="693"/>
      <c r="W1501" s="693"/>
      <c r="X1501" s="693"/>
      <c r="Y1501" s="671"/>
      <c r="Z1501" s="673"/>
      <c r="AA1501" s="672"/>
      <c r="AB1501" s="695"/>
      <c r="AC1501" s="673"/>
      <c r="AD1501" s="673"/>
      <c r="AE1501" s="673"/>
      <c r="AF1501" s="673"/>
      <c r="AG1501" s="673"/>
      <c r="AH1501" s="673"/>
      <c r="AI1501" s="673"/>
      <c r="AJ1501" s="673"/>
      <c r="AK1501" s="673"/>
      <c r="AL1501" s="673"/>
      <c r="AM1501" s="673"/>
      <c r="AN1501" s="673"/>
      <c r="AO1501" s="673"/>
      <c r="AP1501" s="673"/>
      <c r="AQ1501" s="673"/>
      <c r="AR1501" s="673"/>
      <c r="AS1501" s="673"/>
      <c r="AT1501" s="696"/>
    </row>
    <row r="1502" ht="15.75" customHeight="1">
      <c r="A1502" s="653"/>
      <c r="B1502" s="654"/>
      <c r="C1502" s="691"/>
      <c r="D1502" s="656"/>
      <c r="E1502" s="657"/>
      <c r="F1502" s="658"/>
      <c r="G1502" s="659"/>
      <c r="H1502" s="660"/>
      <c r="I1502" s="659"/>
      <c r="J1502" s="661"/>
      <c r="K1502" s="692"/>
      <c r="L1502" s="645"/>
      <c r="M1502" s="663"/>
      <c r="N1502" s="665"/>
      <c r="O1502" s="665"/>
      <c r="P1502" s="666"/>
      <c r="Q1502" s="667"/>
      <c r="R1502" s="668"/>
      <c r="S1502" s="693"/>
      <c r="T1502" s="694"/>
      <c r="U1502" s="694"/>
      <c r="V1502" s="693"/>
      <c r="W1502" s="693"/>
      <c r="X1502" s="693"/>
      <c r="Y1502" s="671"/>
      <c r="Z1502" s="673"/>
      <c r="AA1502" s="672"/>
      <c r="AB1502" s="695"/>
      <c r="AC1502" s="673"/>
      <c r="AD1502" s="673"/>
      <c r="AE1502" s="673"/>
      <c r="AF1502" s="673"/>
      <c r="AG1502" s="673"/>
      <c r="AH1502" s="673"/>
      <c r="AI1502" s="673"/>
      <c r="AJ1502" s="673"/>
      <c r="AK1502" s="673"/>
      <c r="AL1502" s="673"/>
      <c r="AM1502" s="673"/>
      <c r="AN1502" s="673"/>
      <c r="AO1502" s="673"/>
      <c r="AP1502" s="673"/>
      <c r="AQ1502" s="673"/>
      <c r="AR1502" s="673"/>
      <c r="AS1502" s="673"/>
      <c r="AT1502" s="696"/>
    </row>
    <row r="1503" ht="15.75" customHeight="1">
      <c r="A1503" s="653"/>
      <c r="B1503" s="654"/>
      <c r="C1503" s="691"/>
      <c r="D1503" s="656"/>
      <c r="E1503" s="657"/>
      <c r="F1503" s="658"/>
      <c r="G1503" s="659"/>
      <c r="H1503" s="660"/>
      <c r="I1503" s="659"/>
      <c r="J1503" s="661"/>
      <c r="K1503" s="692"/>
      <c r="L1503" s="645"/>
      <c r="M1503" s="663"/>
      <c r="N1503" s="665"/>
      <c r="O1503" s="665"/>
      <c r="P1503" s="666"/>
      <c r="Q1503" s="667"/>
      <c r="R1503" s="668"/>
      <c r="S1503" s="693"/>
      <c r="T1503" s="694"/>
      <c r="U1503" s="694"/>
      <c r="V1503" s="693"/>
      <c r="W1503" s="693"/>
      <c r="X1503" s="693"/>
      <c r="Y1503" s="671"/>
      <c r="Z1503" s="673"/>
      <c r="AA1503" s="672"/>
      <c r="AB1503" s="695"/>
      <c r="AC1503" s="673"/>
      <c r="AD1503" s="673"/>
      <c r="AE1503" s="673"/>
      <c r="AF1503" s="673"/>
      <c r="AG1503" s="673"/>
      <c r="AH1503" s="673"/>
      <c r="AI1503" s="673"/>
      <c r="AJ1503" s="673"/>
      <c r="AK1503" s="673"/>
      <c r="AL1503" s="673"/>
      <c r="AM1503" s="673"/>
      <c r="AN1503" s="673"/>
      <c r="AO1503" s="673"/>
      <c r="AP1503" s="673"/>
      <c r="AQ1503" s="673"/>
      <c r="AR1503" s="673"/>
      <c r="AS1503" s="673"/>
      <c r="AT1503" s="696"/>
    </row>
    <row r="1504" ht="15.75" customHeight="1">
      <c r="A1504" s="653"/>
      <c r="B1504" s="654"/>
      <c r="C1504" s="691"/>
      <c r="D1504" s="656"/>
      <c r="E1504" s="657"/>
      <c r="F1504" s="658"/>
      <c r="G1504" s="659"/>
      <c r="H1504" s="660"/>
      <c r="I1504" s="659"/>
      <c r="J1504" s="661"/>
      <c r="K1504" s="692"/>
      <c r="L1504" s="645"/>
      <c r="M1504" s="663"/>
      <c r="N1504" s="665"/>
      <c r="O1504" s="665"/>
      <c r="P1504" s="666"/>
      <c r="Q1504" s="667"/>
      <c r="R1504" s="668"/>
      <c r="S1504" s="693"/>
      <c r="T1504" s="694"/>
      <c r="U1504" s="694"/>
      <c r="V1504" s="693"/>
      <c r="W1504" s="693"/>
      <c r="X1504" s="693"/>
      <c r="Y1504" s="671"/>
      <c r="Z1504" s="673"/>
      <c r="AA1504" s="672"/>
      <c r="AB1504" s="695"/>
      <c r="AC1504" s="673"/>
      <c r="AD1504" s="673"/>
      <c r="AE1504" s="673"/>
      <c r="AF1504" s="673"/>
      <c r="AG1504" s="673"/>
      <c r="AH1504" s="673"/>
      <c r="AI1504" s="673"/>
      <c r="AJ1504" s="673"/>
      <c r="AK1504" s="673"/>
      <c r="AL1504" s="673"/>
      <c r="AM1504" s="673"/>
      <c r="AN1504" s="673"/>
      <c r="AO1504" s="673"/>
      <c r="AP1504" s="673"/>
      <c r="AQ1504" s="673"/>
      <c r="AR1504" s="673"/>
      <c r="AS1504" s="673"/>
      <c r="AT1504" s="696"/>
    </row>
    <row r="1505" ht="15.75" customHeight="1">
      <c r="A1505" s="653"/>
      <c r="B1505" s="654"/>
      <c r="C1505" s="691"/>
      <c r="D1505" s="656"/>
      <c r="E1505" s="657"/>
      <c r="F1505" s="658"/>
      <c r="G1505" s="659"/>
      <c r="H1505" s="660"/>
      <c r="I1505" s="659"/>
      <c r="J1505" s="661"/>
      <c r="K1505" s="692"/>
      <c r="L1505" s="645"/>
      <c r="M1505" s="663"/>
      <c r="N1505" s="665"/>
      <c r="O1505" s="665"/>
      <c r="P1505" s="666"/>
      <c r="Q1505" s="667"/>
      <c r="R1505" s="668"/>
      <c r="S1505" s="693"/>
      <c r="T1505" s="694"/>
      <c r="U1505" s="694"/>
      <c r="V1505" s="693"/>
      <c r="W1505" s="693"/>
      <c r="X1505" s="693"/>
      <c r="Y1505" s="671"/>
      <c r="Z1505" s="673"/>
      <c r="AA1505" s="672"/>
      <c r="AB1505" s="695"/>
      <c r="AC1505" s="673"/>
      <c r="AD1505" s="673"/>
      <c r="AE1505" s="673"/>
      <c r="AF1505" s="673"/>
      <c r="AG1505" s="673"/>
      <c r="AH1505" s="673"/>
      <c r="AI1505" s="673"/>
      <c r="AJ1505" s="673"/>
      <c r="AK1505" s="673"/>
      <c r="AL1505" s="673"/>
      <c r="AM1505" s="673"/>
      <c r="AN1505" s="673"/>
      <c r="AO1505" s="673"/>
      <c r="AP1505" s="673"/>
      <c r="AQ1505" s="673"/>
      <c r="AR1505" s="673"/>
      <c r="AS1505" s="673"/>
      <c r="AT1505" s="696"/>
    </row>
    <row r="1506" ht="15.75" customHeight="1">
      <c r="A1506" s="653"/>
      <c r="B1506" s="654"/>
      <c r="C1506" s="691"/>
      <c r="D1506" s="656"/>
      <c r="E1506" s="657"/>
      <c r="F1506" s="658"/>
      <c r="G1506" s="659"/>
      <c r="H1506" s="660"/>
      <c r="I1506" s="659"/>
      <c r="J1506" s="661"/>
      <c r="K1506" s="692"/>
      <c r="L1506" s="645"/>
      <c r="M1506" s="663"/>
      <c r="N1506" s="665"/>
      <c r="O1506" s="665"/>
      <c r="P1506" s="666"/>
      <c r="Q1506" s="667"/>
      <c r="R1506" s="668"/>
      <c r="S1506" s="693"/>
      <c r="T1506" s="694"/>
      <c r="U1506" s="694"/>
      <c r="V1506" s="693"/>
      <c r="W1506" s="693"/>
      <c r="X1506" s="693"/>
      <c r="Y1506" s="671"/>
      <c r="Z1506" s="673"/>
      <c r="AA1506" s="672"/>
      <c r="AB1506" s="695"/>
      <c r="AC1506" s="673"/>
      <c r="AD1506" s="673"/>
      <c r="AE1506" s="673"/>
      <c r="AF1506" s="673"/>
      <c r="AG1506" s="673"/>
      <c r="AH1506" s="673"/>
      <c r="AI1506" s="673"/>
      <c r="AJ1506" s="673"/>
      <c r="AK1506" s="673"/>
      <c r="AL1506" s="673"/>
      <c r="AM1506" s="673"/>
      <c r="AN1506" s="673"/>
      <c r="AO1506" s="673"/>
      <c r="AP1506" s="673"/>
      <c r="AQ1506" s="673"/>
      <c r="AR1506" s="673"/>
      <c r="AS1506" s="673"/>
      <c r="AT1506" s="696"/>
    </row>
    <row r="1507" ht="15.75" customHeight="1">
      <c r="A1507" s="653"/>
      <c r="B1507" s="654"/>
      <c r="C1507" s="691"/>
      <c r="D1507" s="656"/>
      <c r="E1507" s="657"/>
      <c r="F1507" s="658"/>
      <c r="G1507" s="659"/>
      <c r="H1507" s="660"/>
      <c r="I1507" s="659"/>
      <c r="J1507" s="661"/>
      <c r="K1507" s="692"/>
      <c r="L1507" s="645"/>
      <c r="M1507" s="663"/>
      <c r="N1507" s="665"/>
      <c r="O1507" s="665"/>
      <c r="P1507" s="666"/>
      <c r="Q1507" s="667"/>
      <c r="R1507" s="668"/>
      <c r="S1507" s="693"/>
      <c r="T1507" s="694"/>
      <c r="U1507" s="694"/>
      <c r="V1507" s="693"/>
      <c r="W1507" s="693"/>
      <c r="X1507" s="693"/>
      <c r="Y1507" s="671"/>
      <c r="Z1507" s="673"/>
      <c r="AA1507" s="672"/>
      <c r="AB1507" s="695"/>
      <c r="AC1507" s="673"/>
      <c r="AD1507" s="673"/>
      <c r="AE1507" s="673"/>
      <c r="AF1507" s="673"/>
      <c r="AG1507" s="673"/>
      <c r="AH1507" s="673"/>
      <c r="AI1507" s="673"/>
      <c r="AJ1507" s="673"/>
      <c r="AK1507" s="673"/>
      <c r="AL1507" s="673"/>
      <c r="AM1507" s="673"/>
      <c r="AN1507" s="673"/>
      <c r="AO1507" s="673"/>
      <c r="AP1507" s="673"/>
      <c r="AQ1507" s="673"/>
      <c r="AR1507" s="673"/>
      <c r="AS1507" s="673"/>
      <c r="AT1507" s="696"/>
    </row>
    <row r="1508" ht="15.75" customHeight="1">
      <c r="A1508" s="653"/>
      <c r="B1508" s="654"/>
      <c r="C1508" s="691"/>
      <c r="D1508" s="656"/>
      <c r="E1508" s="657"/>
      <c r="F1508" s="658"/>
      <c r="G1508" s="659"/>
      <c r="H1508" s="660"/>
      <c r="I1508" s="659"/>
      <c r="J1508" s="661"/>
      <c r="K1508" s="692"/>
      <c r="L1508" s="645"/>
      <c r="M1508" s="663"/>
      <c r="N1508" s="665"/>
      <c r="O1508" s="665"/>
      <c r="P1508" s="666"/>
      <c r="Q1508" s="667"/>
      <c r="R1508" s="668"/>
      <c r="S1508" s="693"/>
      <c r="T1508" s="694"/>
      <c r="U1508" s="694"/>
      <c r="V1508" s="693"/>
      <c r="W1508" s="693"/>
      <c r="X1508" s="693"/>
      <c r="Y1508" s="671"/>
      <c r="Z1508" s="673"/>
      <c r="AA1508" s="672"/>
      <c r="AB1508" s="695"/>
      <c r="AC1508" s="673"/>
      <c r="AD1508" s="673"/>
      <c r="AE1508" s="673"/>
      <c r="AF1508" s="673"/>
      <c r="AG1508" s="673"/>
      <c r="AH1508" s="673"/>
      <c r="AI1508" s="673"/>
      <c r="AJ1508" s="673"/>
      <c r="AK1508" s="673"/>
      <c r="AL1508" s="673"/>
      <c r="AM1508" s="673"/>
      <c r="AN1508" s="673"/>
      <c r="AO1508" s="673"/>
      <c r="AP1508" s="673"/>
      <c r="AQ1508" s="673"/>
      <c r="AR1508" s="673"/>
      <c r="AS1508" s="673"/>
      <c r="AT1508" s="696"/>
    </row>
    <row r="1509" ht="15.75" customHeight="1">
      <c r="A1509" s="653"/>
      <c r="B1509" s="654"/>
      <c r="C1509" s="691"/>
      <c r="D1509" s="656"/>
      <c r="E1509" s="657"/>
      <c r="F1509" s="658"/>
      <c r="G1509" s="659"/>
      <c r="H1509" s="660"/>
      <c r="I1509" s="659"/>
      <c r="J1509" s="661"/>
      <c r="K1509" s="692"/>
      <c r="L1509" s="645"/>
      <c r="M1509" s="663"/>
      <c r="N1509" s="665"/>
      <c r="O1509" s="665"/>
      <c r="P1509" s="666"/>
      <c r="Q1509" s="667"/>
      <c r="R1509" s="668"/>
      <c r="S1509" s="693"/>
      <c r="T1509" s="694"/>
      <c r="U1509" s="694"/>
      <c r="V1509" s="693"/>
      <c r="W1509" s="693"/>
      <c r="X1509" s="693"/>
      <c r="Y1509" s="671"/>
      <c r="Z1509" s="673"/>
      <c r="AA1509" s="672"/>
      <c r="AB1509" s="695"/>
      <c r="AC1509" s="673"/>
      <c r="AD1509" s="673"/>
      <c r="AE1509" s="673"/>
      <c r="AF1509" s="673"/>
      <c r="AG1509" s="673"/>
      <c r="AH1509" s="673"/>
      <c r="AI1509" s="673"/>
      <c r="AJ1509" s="673"/>
      <c r="AK1509" s="673"/>
      <c r="AL1509" s="673"/>
      <c r="AM1509" s="673"/>
      <c r="AN1509" s="673"/>
      <c r="AO1509" s="673"/>
      <c r="AP1509" s="673"/>
      <c r="AQ1509" s="673"/>
      <c r="AR1509" s="673"/>
      <c r="AS1509" s="673"/>
      <c r="AT1509" s="696"/>
    </row>
    <row r="1510" ht="15.75" customHeight="1">
      <c r="A1510" s="653"/>
      <c r="B1510" s="654"/>
      <c r="C1510" s="691"/>
      <c r="D1510" s="656"/>
      <c r="E1510" s="657"/>
      <c r="F1510" s="658"/>
      <c r="G1510" s="659"/>
      <c r="H1510" s="660"/>
      <c r="I1510" s="659"/>
      <c r="J1510" s="661"/>
      <c r="K1510" s="692"/>
      <c r="L1510" s="645"/>
      <c r="M1510" s="663"/>
      <c r="N1510" s="665"/>
      <c r="O1510" s="665"/>
      <c r="P1510" s="666"/>
      <c r="Q1510" s="667"/>
      <c r="R1510" s="668"/>
      <c r="S1510" s="693"/>
      <c r="T1510" s="694"/>
      <c r="U1510" s="694"/>
      <c r="V1510" s="693"/>
      <c r="W1510" s="693"/>
      <c r="X1510" s="693"/>
      <c r="Y1510" s="671"/>
      <c r="Z1510" s="673"/>
      <c r="AA1510" s="672"/>
      <c r="AB1510" s="695"/>
      <c r="AC1510" s="673"/>
      <c r="AD1510" s="673"/>
      <c r="AE1510" s="673"/>
      <c r="AF1510" s="673"/>
      <c r="AG1510" s="673"/>
      <c r="AH1510" s="673"/>
      <c r="AI1510" s="673"/>
      <c r="AJ1510" s="673"/>
      <c r="AK1510" s="673"/>
      <c r="AL1510" s="673"/>
      <c r="AM1510" s="673"/>
      <c r="AN1510" s="673"/>
      <c r="AO1510" s="673"/>
      <c r="AP1510" s="673"/>
      <c r="AQ1510" s="673"/>
      <c r="AR1510" s="673"/>
      <c r="AS1510" s="673"/>
      <c r="AT1510" s="696"/>
    </row>
    <row r="1511" ht="15.75" customHeight="1">
      <c r="A1511" s="653"/>
      <c r="B1511" s="654"/>
      <c r="C1511" s="691"/>
      <c r="D1511" s="656"/>
      <c r="E1511" s="657"/>
      <c r="F1511" s="658"/>
      <c r="G1511" s="659"/>
      <c r="H1511" s="660"/>
      <c r="I1511" s="659"/>
      <c r="J1511" s="661"/>
      <c r="K1511" s="692"/>
      <c r="L1511" s="645"/>
      <c r="M1511" s="663"/>
      <c r="N1511" s="665"/>
      <c r="O1511" s="665"/>
      <c r="P1511" s="666"/>
      <c r="Q1511" s="667"/>
      <c r="R1511" s="668"/>
      <c r="S1511" s="693"/>
      <c r="T1511" s="694"/>
      <c r="U1511" s="694"/>
      <c r="V1511" s="693"/>
      <c r="W1511" s="693"/>
      <c r="X1511" s="693"/>
      <c r="Y1511" s="671"/>
      <c r="Z1511" s="673"/>
      <c r="AA1511" s="672"/>
      <c r="AB1511" s="695"/>
      <c r="AC1511" s="673"/>
      <c r="AD1511" s="673"/>
      <c r="AE1511" s="673"/>
      <c r="AF1511" s="673"/>
      <c r="AG1511" s="673"/>
      <c r="AH1511" s="673"/>
      <c r="AI1511" s="673"/>
      <c r="AJ1511" s="673"/>
      <c r="AK1511" s="673"/>
      <c r="AL1511" s="673"/>
      <c r="AM1511" s="673"/>
      <c r="AN1511" s="673"/>
      <c r="AO1511" s="673"/>
      <c r="AP1511" s="673"/>
      <c r="AQ1511" s="673"/>
      <c r="AR1511" s="673"/>
      <c r="AS1511" s="673"/>
      <c r="AT1511" s="696"/>
    </row>
    <row r="1512" ht="15.75" customHeight="1">
      <c r="A1512" s="653"/>
      <c r="B1512" s="654"/>
      <c r="C1512" s="691"/>
      <c r="D1512" s="656"/>
      <c r="E1512" s="657"/>
      <c r="F1512" s="658"/>
      <c r="G1512" s="659"/>
      <c r="H1512" s="660"/>
      <c r="I1512" s="659"/>
      <c r="J1512" s="661"/>
      <c r="K1512" s="692"/>
      <c r="L1512" s="645"/>
      <c r="M1512" s="663"/>
      <c r="N1512" s="665"/>
      <c r="O1512" s="665"/>
      <c r="P1512" s="666"/>
      <c r="Q1512" s="667"/>
      <c r="R1512" s="668"/>
      <c r="S1512" s="693"/>
      <c r="T1512" s="694"/>
      <c r="U1512" s="694"/>
      <c r="V1512" s="693"/>
      <c r="W1512" s="693"/>
      <c r="X1512" s="693"/>
      <c r="Y1512" s="671"/>
      <c r="Z1512" s="673"/>
      <c r="AA1512" s="672"/>
      <c r="AB1512" s="695"/>
      <c r="AC1512" s="673"/>
      <c r="AD1512" s="673"/>
      <c r="AE1512" s="673"/>
      <c r="AF1512" s="673"/>
      <c r="AG1512" s="673"/>
      <c r="AH1512" s="673"/>
      <c r="AI1512" s="673"/>
      <c r="AJ1512" s="673"/>
      <c r="AK1512" s="673"/>
      <c r="AL1512" s="673"/>
      <c r="AM1512" s="673"/>
      <c r="AN1512" s="673"/>
      <c r="AO1512" s="673"/>
      <c r="AP1512" s="673"/>
      <c r="AQ1512" s="673"/>
      <c r="AR1512" s="673"/>
      <c r="AS1512" s="673"/>
      <c r="AT1512" s="696"/>
    </row>
    <row r="1513" ht="15.75" customHeight="1">
      <c r="A1513" s="653"/>
      <c r="B1513" s="654"/>
      <c r="C1513" s="691"/>
      <c r="D1513" s="656"/>
      <c r="E1513" s="657"/>
      <c r="F1513" s="658"/>
      <c r="G1513" s="659"/>
      <c r="H1513" s="660"/>
      <c r="I1513" s="659"/>
      <c r="J1513" s="661"/>
      <c r="K1513" s="692"/>
      <c r="L1513" s="645"/>
      <c r="M1513" s="663"/>
      <c r="N1513" s="665"/>
      <c r="O1513" s="665"/>
      <c r="P1513" s="666"/>
      <c r="Q1513" s="667"/>
      <c r="R1513" s="668"/>
      <c r="S1513" s="693"/>
      <c r="T1513" s="694"/>
      <c r="U1513" s="694"/>
      <c r="V1513" s="693"/>
      <c r="W1513" s="693"/>
      <c r="X1513" s="693"/>
      <c r="Y1513" s="671"/>
      <c r="Z1513" s="673"/>
      <c r="AA1513" s="672"/>
      <c r="AB1513" s="695"/>
      <c r="AC1513" s="673"/>
      <c r="AD1513" s="673"/>
      <c r="AE1513" s="673"/>
      <c r="AF1513" s="673"/>
      <c r="AG1513" s="673"/>
      <c r="AH1513" s="673"/>
      <c r="AI1513" s="673"/>
      <c r="AJ1513" s="673"/>
      <c r="AK1513" s="673"/>
      <c r="AL1513" s="673"/>
      <c r="AM1513" s="673"/>
      <c r="AN1513" s="673"/>
      <c r="AO1513" s="673"/>
      <c r="AP1513" s="673"/>
      <c r="AQ1513" s="673"/>
      <c r="AR1513" s="673"/>
      <c r="AS1513" s="673"/>
      <c r="AT1513" s="696"/>
    </row>
    <row r="1514" ht="15.75" customHeight="1">
      <c r="A1514" s="653"/>
      <c r="B1514" s="654"/>
      <c r="C1514" s="691"/>
      <c r="D1514" s="656"/>
      <c r="E1514" s="657"/>
      <c r="F1514" s="658"/>
      <c r="G1514" s="659"/>
      <c r="H1514" s="660"/>
      <c r="I1514" s="659"/>
      <c r="J1514" s="661"/>
      <c r="K1514" s="692"/>
      <c r="L1514" s="645"/>
      <c r="M1514" s="663"/>
      <c r="N1514" s="665"/>
      <c r="O1514" s="665"/>
      <c r="P1514" s="666"/>
      <c r="Q1514" s="667"/>
      <c r="R1514" s="668"/>
      <c r="S1514" s="693"/>
      <c r="T1514" s="694"/>
      <c r="U1514" s="694"/>
      <c r="V1514" s="693"/>
      <c r="W1514" s="693"/>
      <c r="X1514" s="693"/>
      <c r="Y1514" s="671"/>
      <c r="Z1514" s="673"/>
      <c r="AA1514" s="672"/>
      <c r="AB1514" s="695"/>
      <c r="AC1514" s="673"/>
      <c r="AD1514" s="673"/>
      <c r="AE1514" s="673"/>
      <c r="AF1514" s="673"/>
      <c r="AG1514" s="673"/>
      <c r="AH1514" s="673"/>
      <c r="AI1514" s="673"/>
      <c r="AJ1514" s="673"/>
      <c r="AK1514" s="673"/>
      <c r="AL1514" s="673"/>
      <c r="AM1514" s="673"/>
      <c r="AN1514" s="673"/>
      <c r="AO1514" s="673"/>
      <c r="AP1514" s="673"/>
      <c r="AQ1514" s="673"/>
      <c r="AR1514" s="673"/>
      <c r="AS1514" s="673"/>
      <c r="AT1514" s="696"/>
    </row>
    <row r="1515" ht="15.75" customHeight="1">
      <c r="A1515" s="653"/>
      <c r="B1515" s="654"/>
      <c r="C1515" s="691"/>
      <c r="D1515" s="656"/>
      <c r="E1515" s="657"/>
      <c r="F1515" s="658"/>
      <c r="G1515" s="659"/>
      <c r="H1515" s="660"/>
      <c r="I1515" s="659"/>
      <c r="J1515" s="661"/>
      <c r="K1515" s="692"/>
      <c r="L1515" s="645"/>
      <c r="M1515" s="663"/>
      <c r="N1515" s="665"/>
      <c r="O1515" s="665"/>
      <c r="P1515" s="666"/>
      <c r="Q1515" s="667"/>
      <c r="R1515" s="668"/>
      <c r="S1515" s="693"/>
      <c r="T1515" s="694"/>
      <c r="U1515" s="694"/>
      <c r="V1515" s="693"/>
      <c r="W1515" s="693"/>
      <c r="X1515" s="693"/>
      <c r="Y1515" s="671"/>
      <c r="Z1515" s="673"/>
      <c r="AA1515" s="672"/>
      <c r="AB1515" s="695"/>
      <c r="AC1515" s="673"/>
      <c r="AD1515" s="673"/>
      <c r="AE1515" s="673"/>
      <c r="AF1515" s="673"/>
      <c r="AG1515" s="673"/>
      <c r="AH1515" s="673"/>
      <c r="AI1515" s="673"/>
      <c r="AJ1515" s="673"/>
      <c r="AK1515" s="673"/>
      <c r="AL1515" s="673"/>
      <c r="AM1515" s="673"/>
      <c r="AN1515" s="673"/>
      <c r="AO1515" s="673"/>
      <c r="AP1515" s="673"/>
      <c r="AQ1515" s="673"/>
      <c r="AR1515" s="673"/>
      <c r="AS1515" s="673"/>
      <c r="AT1515" s="696"/>
    </row>
    <row r="1516" ht="15.75" customHeight="1">
      <c r="A1516" s="653"/>
      <c r="B1516" s="654"/>
      <c r="C1516" s="691"/>
      <c r="D1516" s="656"/>
      <c r="E1516" s="657"/>
      <c r="F1516" s="658"/>
      <c r="G1516" s="659"/>
      <c r="H1516" s="660"/>
      <c r="I1516" s="659"/>
      <c r="J1516" s="661"/>
      <c r="K1516" s="692"/>
      <c r="L1516" s="645"/>
      <c r="M1516" s="663"/>
      <c r="N1516" s="665"/>
      <c r="O1516" s="665"/>
      <c r="P1516" s="666"/>
      <c r="Q1516" s="667"/>
      <c r="R1516" s="668"/>
      <c r="S1516" s="693"/>
      <c r="T1516" s="694"/>
      <c r="U1516" s="694"/>
      <c r="V1516" s="693"/>
      <c r="W1516" s="693"/>
      <c r="X1516" s="693"/>
      <c r="Y1516" s="671"/>
      <c r="Z1516" s="673"/>
      <c r="AA1516" s="672"/>
      <c r="AB1516" s="695"/>
      <c r="AC1516" s="673"/>
      <c r="AD1516" s="673"/>
      <c r="AE1516" s="673"/>
      <c r="AF1516" s="673"/>
      <c r="AG1516" s="673"/>
      <c r="AH1516" s="673"/>
      <c r="AI1516" s="673"/>
      <c r="AJ1516" s="673"/>
      <c r="AK1516" s="673"/>
      <c r="AL1516" s="673"/>
      <c r="AM1516" s="673"/>
      <c r="AN1516" s="673"/>
      <c r="AO1516" s="673"/>
      <c r="AP1516" s="673"/>
      <c r="AQ1516" s="673"/>
      <c r="AR1516" s="673"/>
      <c r="AS1516" s="673"/>
      <c r="AT1516" s="696"/>
    </row>
    <row r="1517" ht="15.75" customHeight="1">
      <c r="A1517" s="653"/>
      <c r="B1517" s="654"/>
      <c r="C1517" s="691"/>
      <c r="D1517" s="656"/>
      <c r="E1517" s="657"/>
      <c r="F1517" s="658"/>
      <c r="G1517" s="659"/>
      <c r="H1517" s="660"/>
      <c r="I1517" s="659"/>
      <c r="J1517" s="661"/>
      <c r="K1517" s="692"/>
      <c r="L1517" s="645"/>
      <c r="M1517" s="663"/>
      <c r="N1517" s="665"/>
      <c r="O1517" s="665"/>
      <c r="P1517" s="666"/>
      <c r="Q1517" s="667"/>
      <c r="R1517" s="668"/>
      <c r="S1517" s="693"/>
      <c r="T1517" s="694"/>
      <c r="U1517" s="694"/>
      <c r="V1517" s="693"/>
      <c r="W1517" s="693"/>
      <c r="X1517" s="693"/>
      <c r="Y1517" s="671"/>
      <c r="Z1517" s="673"/>
      <c r="AA1517" s="672"/>
      <c r="AB1517" s="695"/>
      <c r="AC1517" s="673"/>
      <c r="AD1517" s="673"/>
      <c r="AE1517" s="673"/>
      <c r="AF1517" s="673"/>
      <c r="AG1517" s="673"/>
      <c r="AH1517" s="673"/>
      <c r="AI1517" s="673"/>
      <c r="AJ1517" s="673"/>
      <c r="AK1517" s="673"/>
      <c r="AL1517" s="673"/>
      <c r="AM1517" s="673"/>
      <c r="AN1517" s="673"/>
      <c r="AO1517" s="673"/>
      <c r="AP1517" s="673"/>
      <c r="AQ1517" s="673"/>
      <c r="AR1517" s="673"/>
      <c r="AS1517" s="673"/>
      <c r="AT1517" s="696"/>
    </row>
    <row r="1518" ht="15.75" customHeight="1">
      <c r="A1518" s="653"/>
      <c r="B1518" s="654"/>
      <c r="C1518" s="691"/>
      <c r="D1518" s="656"/>
      <c r="E1518" s="657"/>
      <c r="F1518" s="658"/>
      <c r="G1518" s="659"/>
      <c r="H1518" s="660"/>
      <c r="I1518" s="659"/>
      <c r="J1518" s="661"/>
      <c r="K1518" s="692"/>
      <c r="L1518" s="645"/>
      <c r="M1518" s="663"/>
      <c r="N1518" s="665"/>
      <c r="O1518" s="665"/>
      <c r="P1518" s="666"/>
      <c r="Q1518" s="667"/>
      <c r="R1518" s="668"/>
      <c r="S1518" s="693"/>
      <c r="T1518" s="694"/>
      <c r="U1518" s="694"/>
      <c r="V1518" s="693"/>
      <c r="W1518" s="693"/>
      <c r="X1518" s="693"/>
      <c r="Y1518" s="671"/>
      <c r="Z1518" s="673"/>
      <c r="AA1518" s="672"/>
      <c r="AB1518" s="695"/>
      <c r="AC1518" s="673"/>
      <c r="AD1518" s="673"/>
      <c r="AE1518" s="673"/>
      <c r="AF1518" s="673"/>
      <c r="AG1518" s="673"/>
      <c r="AH1518" s="673"/>
      <c r="AI1518" s="673"/>
      <c r="AJ1518" s="673"/>
      <c r="AK1518" s="673"/>
      <c r="AL1518" s="673"/>
      <c r="AM1518" s="673"/>
      <c r="AN1518" s="673"/>
      <c r="AO1518" s="673"/>
      <c r="AP1518" s="673"/>
      <c r="AQ1518" s="673"/>
      <c r="AR1518" s="673"/>
      <c r="AS1518" s="673"/>
      <c r="AT1518" s="696"/>
    </row>
    <row r="1519" ht="15.75" customHeight="1">
      <c r="A1519" s="653"/>
      <c r="B1519" s="654"/>
      <c r="C1519" s="691"/>
      <c r="D1519" s="656"/>
      <c r="E1519" s="657"/>
      <c r="F1519" s="658"/>
      <c r="G1519" s="659"/>
      <c r="H1519" s="660"/>
      <c r="I1519" s="659"/>
      <c r="J1519" s="661"/>
      <c r="K1519" s="692"/>
      <c r="L1519" s="645"/>
      <c r="M1519" s="663"/>
      <c r="N1519" s="665"/>
      <c r="O1519" s="665"/>
      <c r="P1519" s="666"/>
      <c r="Q1519" s="667"/>
      <c r="R1519" s="668"/>
      <c r="S1519" s="693"/>
      <c r="T1519" s="694"/>
      <c r="U1519" s="694"/>
      <c r="V1519" s="693"/>
      <c r="W1519" s="693"/>
      <c r="X1519" s="693"/>
      <c r="Y1519" s="671"/>
      <c r="Z1519" s="673"/>
      <c r="AA1519" s="672"/>
      <c r="AB1519" s="695"/>
      <c r="AC1519" s="673"/>
      <c r="AD1519" s="673"/>
      <c r="AE1519" s="673"/>
      <c r="AF1519" s="673"/>
      <c r="AG1519" s="673"/>
      <c r="AH1519" s="673"/>
      <c r="AI1519" s="673"/>
      <c r="AJ1519" s="673"/>
      <c r="AK1519" s="673"/>
      <c r="AL1519" s="673"/>
      <c r="AM1519" s="673"/>
      <c r="AN1519" s="673"/>
      <c r="AO1519" s="673"/>
      <c r="AP1519" s="673"/>
      <c r="AQ1519" s="673"/>
      <c r="AR1519" s="673"/>
      <c r="AS1519" s="673"/>
      <c r="AT1519" s="696"/>
    </row>
    <row r="1520" ht="15.75" customHeight="1">
      <c r="A1520" s="653"/>
      <c r="B1520" s="654"/>
      <c r="C1520" s="691"/>
      <c r="D1520" s="656"/>
      <c r="E1520" s="657"/>
      <c r="F1520" s="658"/>
      <c r="G1520" s="659"/>
      <c r="H1520" s="660"/>
      <c r="I1520" s="659"/>
      <c r="J1520" s="661"/>
      <c r="K1520" s="692"/>
      <c r="L1520" s="645"/>
      <c r="M1520" s="663"/>
      <c r="N1520" s="665"/>
      <c r="O1520" s="665"/>
      <c r="P1520" s="666"/>
      <c r="Q1520" s="667"/>
      <c r="R1520" s="668"/>
      <c r="S1520" s="693"/>
      <c r="T1520" s="694"/>
      <c r="U1520" s="694"/>
      <c r="V1520" s="693"/>
      <c r="W1520" s="693"/>
      <c r="X1520" s="693"/>
      <c r="Y1520" s="671"/>
      <c r="Z1520" s="673"/>
      <c r="AA1520" s="672"/>
      <c r="AB1520" s="695"/>
      <c r="AC1520" s="673"/>
      <c r="AD1520" s="673"/>
      <c r="AE1520" s="673"/>
      <c r="AF1520" s="673"/>
      <c r="AG1520" s="673"/>
      <c r="AH1520" s="673"/>
      <c r="AI1520" s="673"/>
      <c r="AJ1520" s="673"/>
      <c r="AK1520" s="673"/>
      <c r="AL1520" s="673"/>
      <c r="AM1520" s="673"/>
      <c r="AN1520" s="673"/>
      <c r="AO1520" s="673"/>
      <c r="AP1520" s="673"/>
      <c r="AQ1520" s="673"/>
      <c r="AR1520" s="673"/>
      <c r="AS1520" s="673"/>
      <c r="AT1520" s="696"/>
    </row>
    <row r="1521" ht="15.75" customHeight="1">
      <c r="A1521" s="653"/>
      <c r="B1521" s="654"/>
      <c r="C1521" s="691"/>
      <c r="D1521" s="656"/>
      <c r="E1521" s="657"/>
      <c r="F1521" s="658"/>
      <c r="G1521" s="659"/>
      <c r="H1521" s="660"/>
      <c r="I1521" s="659"/>
      <c r="J1521" s="661"/>
      <c r="K1521" s="692"/>
      <c r="L1521" s="645"/>
      <c r="M1521" s="663"/>
      <c r="N1521" s="665"/>
      <c r="O1521" s="665"/>
      <c r="P1521" s="666"/>
      <c r="Q1521" s="667"/>
      <c r="R1521" s="668"/>
      <c r="S1521" s="693"/>
      <c r="T1521" s="694"/>
      <c r="U1521" s="694"/>
      <c r="V1521" s="693"/>
      <c r="W1521" s="693"/>
      <c r="X1521" s="693"/>
      <c r="Y1521" s="671"/>
      <c r="Z1521" s="673"/>
      <c r="AA1521" s="672"/>
      <c r="AB1521" s="695"/>
      <c r="AC1521" s="673"/>
      <c r="AD1521" s="673"/>
      <c r="AE1521" s="673"/>
      <c r="AF1521" s="673"/>
      <c r="AG1521" s="673"/>
      <c r="AH1521" s="673"/>
      <c r="AI1521" s="673"/>
      <c r="AJ1521" s="673"/>
      <c r="AK1521" s="673"/>
      <c r="AL1521" s="673"/>
      <c r="AM1521" s="673"/>
      <c r="AN1521" s="673"/>
      <c r="AO1521" s="673"/>
      <c r="AP1521" s="673"/>
      <c r="AQ1521" s="673"/>
      <c r="AR1521" s="673"/>
      <c r="AS1521" s="673"/>
      <c r="AT1521" s="696"/>
    </row>
    <row r="1522" ht="15.75" customHeight="1">
      <c r="A1522" s="653"/>
      <c r="B1522" s="654"/>
      <c r="C1522" s="691"/>
      <c r="D1522" s="656"/>
      <c r="E1522" s="657"/>
      <c r="F1522" s="658"/>
      <c r="G1522" s="659"/>
      <c r="H1522" s="660"/>
      <c r="I1522" s="659"/>
      <c r="J1522" s="661"/>
      <c r="K1522" s="692"/>
      <c r="L1522" s="645"/>
      <c r="M1522" s="663"/>
      <c r="N1522" s="665"/>
      <c r="O1522" s="665"/>
      <c r="P1522" s="666"/>
      <c r="Q1522" s="667"/>
      <c r="R1522" s="668"/>
      <c r="S1522" s="693"/>
      <c r="T1522" s="694"/>
      <c r="U1522" s="694"/>
      <c r="V1522" s="693"/>
      <c r="W1522" s="693"/>
      <c r="X1522" s="693"/>
      <c r="Y1522" s="671"/>
      <c r="Z1522" s="673"/>
      <c r="AA1522" s="672"/>
      <c r="AB1522" s="695"/>
      <c r="AC1522" s="673"/>
      <c r="AD1522" s="673"/>
      <c r="AE1522" s="673"/>
      <c r="AF1522" s="673"/>
      <c r="AG1522" s="673"/>
      <c r="AH1522" s="673"/>
      <c r="AI1522" s="673"/>
      <c r="AJ1522" s="673"/>
      <c r="AK1522" s="673"/>
      <c r="AL1522" s="673"/>
      <c r="AM1522" s="673"/>
      <c r="AN1522" s="673"/>
      <c r="AO1522" s="673"/>
      <c r="AP1522" s="673"/>
      <c r="AQ1522" s="673"/>
      <c r="AR1522" s="673"/>
      <c r="AS1522" s="673"/>
      <c r="AT1522" s="696"/>
    </row>
    <row r="1523" ht="15.75" customHeight="1">
      <c r="A1523" s="653"/>
      <c r="B1523" s="654"/>
      <c r="C1523" s="691"/>
      <c r="D1523" s="656"/>
      <c r="E1523" s="657"/>
      <c r="F1523" s="658"/>
      <c r="G1523" s="659"/>
      <c r="H1523" s="660"/>
      <c r="I1523" s="659"/>
      <c r="J1523" s="661"/>
      <c r="K1523" s="692"/>
      <c r="L1523" s="645"/>
      <c r="M1523" s="663"/>
      <c r="N1523" s="665"/>
      <c r="O1523" s="665"/>
      <c r="P1523" s="666"/>
      <c r="Q1523" s="667"/>
      <c r="R1523" s="668"/>
      <c r="S1523" s="693"/>
      <c r="T1523" s="694"/>
      <c r="U1523" s="694"/>
      <c r="V1523" s="693"/>
      <c r="W1523" s="693"/>
      <c r="X1523" s="693"/>
      <c r="Y1523" s="671"/>
      <c r="Z1523" s="673"/>
      <c r="AA1523" s="672"/>
      <c r="AB1523" s="695"/>
      <c r="AC1523" s="673"/>
      <c r="AD1523" s="673"/>
      <c r="AE1523" s="673"/>
      <c r="AF1523" s="673"/>
      <c r="AG1523" s="673"/>
      <c r="AH1523" s="673"/>
      <c r="AI1523" s="673"/>
      <c r="AJ1523" s="673"/>
      <c r="AK1523" s="673"/>
      <c r="AL1523" s="673"/>
      <c r="AM1523" s="673"/>
      <c r="AN1523" s="673"/>
      <c r="AO1523" s="673"/>
      <c r="AP1523" s="673"/>
      <c r="AQ1523" s="673"/>
      <c r="AR1523" s="673"/>
      <c r="AS1523" s="673"/>
      <c r="AT1523" s="696"/>
    </row>
    <row r="1524" ht="15.75" customHeight="1">
      <c r="A1524" s="653"/>
      <c r="B1524" s="654"/>
      <c r="C1524" s="691"/>
      <c r="D1524" s="656"/>
      <c r="E1524" s="657"/>
      <c r="F1524" s="658"/>
      <c r="G1524" s="659"/>
      <c r="H1524" s="660"/>
      <c r="I1524" s="659"/>
      <c r="J1524" s="661"/>
      <c r="K1524" s="692"/>
      <c r="L1524" s="645"/>
      <c r="M1524" s="663"/>
      <c r="N1524" s="665"/>
      <c r="O1524" s="665"/>
      <c r="P1524" s="666"/>
      <c r="Q1524" s="667"/>
      <c r="R1524" s="668"/>
      <c r="S1524" s="693"/>
      <c r="T1524" s="694"/>
      <c r="U1524" s="694"/>
      <c r="V1524" s="693"/>
      <c r="W1524" s="693"/>
      <c r="X1524" s="693"/>
      <c r="Y1524" s="671"/>
      <c r="Z1524" s="673"/>
      <c r="AA1524" s="672"/>
      <c r="AB1524" s="695"/>
      <c r="AC1524" s="673"/>
      <c r="AD1524" s="673"/>
      <c r="AE1524" s="673"/>
      <c r="AF1524" s="673"/>
      <c r="AG1524" s="673"/>
      <c r="AH1524" s="673"/>
      <c r="AI1524" s="673"/>
      <c r="AJ1524" s="673"/>
      <c r="AK1524" s="673"/>
      <c r="AL1524" s="673"/>
      <c r="AM1524" s="673"/>
      <c r="AN1524" s="673"/>
      <c r="AO1524" s="673"/>
      <c r="AP1524" s="673"/>
      <c r="AQ1524" s="673"/>
      <c r="AR1524" s="673"/>
      <c r="AS1524" s="673"/>
      <c r="AT1524" s="696"/>
    </row>
    <row r="1525" ht="15.75" customHeight="1">
      <c r="A1525" s="653"/>
      <c r="B1525" s="654"/>
      <c r="C1525" s="691"/>
      <c r="D1525" s="656"/>
      <c r="E1525" s="657"/>
      <c r="F1525" s="658"/>
      <c r="G1525" s="659"/>
      <c r="H1525" s="660"/>
      <c r="I1525" s="659"/>
      <c r="J1525" s="661"/>
      <c r="K1525" s="692"/>
      <c r="L1525" s="645"/>
      <c r="M1525" s="663"/>
      <c r="N1525" s="665"/>
      <c r="O1525" s="665"/>
      <c r="P1525" s="666"/>
      <c r="Q1525" s="667"/>
      <c r="R1525" s="668"/>
      <c r="S1525" s="693"/>
      <c r="T1525" s="694"/>
      <c r="U1525" s="694"/>
      <c r="V1525" s="693"/>
      <c r="W1525" s="693"/>
      <c r="X1525" s="693"/>
      <c r="Y1525" s="671"/>
      <c r="Z1525" s="673"/>
      <c r="AA1525" s="672"/>
      <c r="AB1525" s="695"/>
      <c r="AC1525" s="673"/>
      <c r="AD1525" s="673"/>
      <c r="AE1525" s="673"/>
      <c r="AF1525" s="673"/>
      <c r="AG1525" s="673"/>
      <c r="AH1525" s="673"/>
      <c r="AI1525" s="673"/>
      <c r="AJ1525" s="673"/>
      <c r="AK1525" s="673"/>
      <c r="AL1525" s="673"/>
      <c r="AM1525" s="673"/>
      <c r="AN1525" s="673"/>
      <c r="AO1525" s="673"/>
      <c r="AP1525" s="673"/>
      <c r="AQ1525" s="673"/>
      <c r="AR1525" s="673"/>
      <c r="AS1525" s="673"/>
      <c r="AT1525" s="696"/>
    </row>
    <row r="1526" ht="15.75" customHeight="1">
      <c r="A1526" s="653"/>
      <c r="B1526" s="654"/>
      <c r="C1526" s="691"/>
      <c r="D1526" s="656"/>
      <c r="E1526" s="657"/>
      <c r="F1526" s="658"/>
      <c r="G1526" s="659"/>
      <c r="H1526" s="660"/>
      <c r="I1526" s="659"/>
      <c r="J1526" s="661"/>
      <c r="K1526" s="692"/>
      <c r="L1526" s="645"/>
      <c r="M1526" s="663"/>
      <c r="N1526" s="665"/>
      <c r="O1526" s="665"/>
      <c r="P1526" s="666"/>
      <c r="Q1526" s="667"/>
      <c r="R1526" s="668"/>
      <c r="S1526" s="693"/>
      <c r="T1526" s="694"/>
      <c r="U1526" s="694"/>
      <c r="V1526" s="693"/>
      <c r="W1526" s="693"/>
      <c r="X1526" s="693"/>
      <c r="Y1526" s="671"/>
      <c r="Z1526" s="673"/>
      <c r="AA1526" s="672"/>
      <c r="AB1526" s="695"/>
      <c r="AC1526" s="673"/>
      <c r="AD1526" s="673"/>
      <c r="AE1526" s="673"/>
      <c r="AF1526" s="673"/>
      <c r="AG1526" s="673"/>
      <c r="AH1526" s="673"/>
      <c r="AI1526" s="673"/>
      <c r="AJ1526" s="673"/>
      <c r="AK1526" s="673"/>
      <c r="AL1526" s="673"/>
      <c r="AM1526" s="673"/>
      <c r="AN1526" s="673"/>
      <c r="AO1526" s="673"/>
      <c r="AP1526" s="673"/>
      <c r="AQ1526" s="673"/>
      <c r="AR1526" s="673"/>
      <c r="AS1526" s="673"/>
      <c r="AT1526" s="696"/>
    </row>
    <row r="1527" ht="15.75" customHeight="1">
      <c r="A1527" s="653"/>
      <c r="B1527" s="654"/>
      <c r="C1527" s="691"/>
      <c r="D1527" s="656"/>
      <c r="E1527" s="657"/>
      <c r="F1527" s="658"/>
      <c r="G1527" s="659"/>
      <c r="H1527" s="660"/>
      <c r="I1527" s="659"/>
      <c r="J1527" s="661"/>
      <c r="K1527" s="692"/>
      <c r="L1527" s="645"/>
      <c r="M1527" s="663"/>
      <c r="N1527" s="665"/>
      <c r="O1527" s="665"/>
      <c r="P1527" s="666"/>
      <c r="Q1527" s="667"/>
      <c r="R1527" s="668"/>
      <c r="S1527" s="693"/>
      <c r="T1527" s="694"/>
      <c r="U1527" s="694"/>
      <c r="V1527" s="693"/>
      <c r="W1527" s="693"/>
      <c r="X1527" s="693"/>
      <c r="Y1527" s="671"/>
      <c r="Z1527" s="673"/>
      <c r="AA1527" s="672"/>
      <c r="AB1527" s="695"/>
      <c r="AC1527" s="673"/>
      <c r="AD1527" s="673"/>
      <c r="AE1527" s="673"/>
      <c r="AF1527" s="673"/>
      <c r="AG1527" s="673"/>
      <c r="AH1527" s="673"/>
      <c r="AI1527" s="673"/>
      <c r="AJ1527" s="673"/>
      <c r="AK1527" s="673"/>
      <c r="AL1527" s="673"/>
      <c r="AM1527" s="673"/>
      <c r="AN1527" s="673"/>
      <c r="AO1527" s="673"/>
      <c r="AP1527" s="673"/>
      <c r="AQ1527" s="673"/>
      <c r="AR1527" s="673"/>
      <c r="AS1527" s="673"/>
      <c r="AT1527" s="696"/>
    </row>
    <row r="1528" ht="15.75" customHeight="1">
      <c r="A1528" s="653"/>
      <c r="B1528" s="654"/>
      <c r="C1528" s="691"/>
      <c r="D1528" s="656"/>
      <c r="E1528" s="657"/>
      <c r="F1528" s="658"/>
      <c r="G1528" s="659"/>
      <c r="H1528" s="660"/>
      <c r="I1528" s="659"/>
      <c r="J1528" s="661"/>
      <c r="K1528" s="692"/>
      <c r="L1528" s="645"/>
      <c r="M1528" s="663"/>
      <c r="N1528" s="665"/>
      <c r="O1528" s="665"/>
      <c r="P1528" s="666"/>
      <c r="Q1528" s="667"/>
      <c r="R1528" s="668"/>
      <c r="S1528" s="693"/>
      <c r="T1528" s="694"/>
      <c r="U1528" s="694"/>
      <c r="V1528" s="693"/>
      <c r="W1528" s="693"/>
      <c r="X1528" s="693"/>
      <c r="Y1528" s="671"/>
      <c r="Z1528" s="673"/>
      <c r="AA1528" s="672"/>
      <c r="AB1528" s="695"/>
      <c r="AC1528" s="673"/>
      <c r="AD1528" s="673"/>
      <c r="AE1528" s="673"/>
      <c r="AF1528" s="673"/>
      <c r="AG1528" s="673"/>
      <c r="AH1528" s="673"/>
      <c r="AI1528" s="673"/>
      <c r="AJ1528" s="673"/>
      <c r="AK1528" s="673"/>
      <c r="AL1528" s="673"/>
      <c r="AM1528" s="673"/>
      <c r="AN1528" s="673"/>
      <c r="AO1528" s="673"/>
      <c r="AP1528" s="673"/>
      <c r="AQ1528" s="673"/>
      <c r="AR1528" s="673"/>
      <c r="AS1528" s="673"/>
      <c r="AT1528" s="696"/>
    </row>
    <row r="1529" ht="15.75" customHeight="1">
      <c r="A1529" s="653"/>
      <c r="B1529" s="654"/>
      <c r="C1529" s="691"/>
      <c r="D1529" s="656"/>
      <c r="E1529" s="657"/>
      <c r="F1529" s="658"/>
      <c r="G1529" s="659"/>
      <c r="H1529" s="660"/>
      <c r="I1529" s="659"/>
      <c r="J1529" s="661"/>
      <c r="K1529" s="692"/>
      <c r="L1529" s="645"/>
      <c r="M1529" s="663"/>
      <c r="N1529" s="665"/>
      <c r="O1529" s="665"/>
      <c r="P1529" s="666"/>
      <c r="Q1529" s="667"/>
      <c r="R1529" s="668"/>
      <c r="S1529" s="693"/>
      <c r="T1529" s="694"/>
      <c r="U1529" s="694"/>
      <c r="V1529" s="693"/>
      <c r="W1529" s="693"/>
      <c r="X1529" s="693"/>
      <c r="Y1529" s="671"/>
      <c r="Z1529" s="673"/>
      <c r="AA1529" s="672"/>
      <c r="AB1529" s="695"/>
      <c r="AC1529" s="673"/>
      <c r="AD1529" s="673"/>
      <c r="AE1529" s="673"/>
      <c r="AF1529" s="673"/>
      <c r="AG1529" s="673"/>
      <c r="AH1529" s="673"/>
      <c r="AI1529" s="673"/>
      <c r="AJ1529" s="673"/>
      <c r="AK1529" s="673"/>
      <c r="AL1529" s="673"/>
      <c r="AM1529" s="673"/>
      <c r="AN1529" s="673"/>
      <c r="AO1529" s="673"/>
      <c r="AP1529" s="673"/>
      <c r="AQ1529" s="673"/>
      <c r="AR1529" s="673"/>
      <c r="AS1529" s="673"/>
      <c r="AT1529" s="696"/>
    </row>
    <row r="1530" ht="15.75" customHeight="1">
      <c r="A1530" s="653"/>
      <c r="B1530" s="654"/>
      <c r="C1530" s="691"/>
      <c r="D1530" s="656"/>
      <c r="E1530" s="657"/>
      <c r="F1530" s="658"/>
      <c r="G1530" s="659"/>
      <c r="H1530" s="660"/>
      <c r="I1530" s="659"/>
      <c r="J1530" s="661"/>
      <c r="K1530" s="692"/>
      <c r="L1530" s="645"/>
      <c r="M1530" s="663"/>
      <c r="N1530" s="665"/>
      <c r="O1530" s="665"/>
      <c r="P1530" s="666"/>
      <c r="Q1530" s="667"/>
      <c r="R1530" s="668"/>
      <c r="S1530" s="693"/>
      <c r="T1530" s="694"/>
      <c r="U1530" s="694"/>
      <c r="V1530" s="693"/>
      <c r="W1530" s="693"/>
      <c r="X1530" s="693"/>
      <c r="Y1530" s="671"/>
      <c r="Z1530" s="673"/>
      <c r="AA1530" s="672"/>
      <c r="AB1530" s="695"/>
      <c r="AC1530" s="673"/>
      <c r="AD1530" s="673"/>
      <c r="AE1530" s="673"/>
      <c r="AF1530" s="673"/>
      <c r="AG1530" s="673"/>
      <c r="AH1530" s="673"/>
      <c r="AI1530" s="673"/>
      <c r="AJ1530" s="673"/>
      <c r="AK1530" s="673"/>
      <c r="AL1530" s="673"/>
      <c r="AM1530" s="673"/>
      <c r="AN1530" s="673"/>
      <c r="AO1530" s="673"/>
      <c r="AP1530" s="673"/>
      <c r="AQ1530" s="673"/>
      <c r="AR1530" s="673"/>
      <c r="AS1530" s="673"/>
      <c r="AT1530" s="696"/>
    </row>
    <row r="1531" ht="15.75" customHeight="1">
      <c r="A1531" s="653"/>
      <c r="B1531" s="654"/>
      <c r="C1531" s="691"/>
      <c r="D1531" s="656"/>
      <c r="E1531" s="657"/>
      <c r="F1531" s="658"/>
      <c r="G1531" s="659"/>
      <c r="H1531" s="660"/>
      <c r="I1531" s="659"/>
      <c r="J1531" s="661"/>
      <c r="K1531" s="692"/>
      <c r="L1531" s="645"/>
      <c r="M1531" s="663"/>
      <c r="N1531" s="665"/>
      <c r="O1531" s="665"/>
      <c r="P1531" s="666"/>
      <c r="Q1531" s="667"/>
      <c r="R1531" s="668"/>
      <c r="S1531" s="693"/>
      <c r="T1531" s="694"/>
      <c r="U1531" s="694"/>
      <c r="V1531" s="693"/>
      <c r="W1531" s="693"/>
      <c r="X1531" s="693"/>
      <c r="Y1531" s="671"/>
      <c r="Z1531" s="673"/>
      <c r="AA1531" s="672"/>
      <c r="AB1531" s="695"/>
      <c r="AC1531" s="673"/>
      <c r="AD1531" s="673"/>
      <c r="AE1531" s="673"/>
      <c r="AF1531" s="673"/>
      <c r="AG1531" s="673"/>
      <c r="AH1531" s="673"/>
      <c r="AI1531" s="673"/>
      <c r="AJ1531" s="673"/>
      <c r="AK1531" s="673"/>
      <c r="AL1531" s="673"/>
      <c r="AM1531" s="673"/>
      <c r="AN1531" s="673"/>
      <c r="AO1531" s="673"/>
      <c r="AP1531" s="673"/>
      <c r="AQ1531" s="673"/>
      <c r="AR1531" s="673"/>
      <c r="AS1531" s="673"/>
      <c r="AT1531" s="696"/>
    </row>
    <row r="1532" ht="15.75" customHeight="1">
      <c r="A1532" s="653"/>
      <c r="B1532" s="654"/>
      <c r="C1532" s="691"/>
      <c r="D1532" s="656"/>
      <c r="E1532" s="657"/>
      <c r="F1532" s="658"/>
      <c r="G1532" s="659"/>
      <c r="H1532" s="660"/>
      <c r="I1532" s="659"/>
      <c r="J1532" s="661"/>
      <c r="K1532" s="692"/>
      <c r="L1532" s="645"/>
      <c r="M1532" s="663"/>
      <c r="N1532" s="665"/>
      <c r="O1532" s="665"/>
      <c r="P1532" s="666"/>
      <c r="Q1532" s="667"/>
      <c r="R1532" s="668"/>
      <c r="S1532" s="693"/>
      <c r="T1532" s="694"/>
      <c r="U1532" s="694"/>
      <c r="V1532" s="693"/>
      <c r="W1532" s="693"/>
      <c r="X1532" s="693"/>
      <c r="Y1532" s="671"/>
      <c r="Z1532" s="673"/>
      <c r="AA1532" s="672"/>
      <c r="AB1532" s="695"/>
      <c r="AC1532" s="673"/>
      <c r="AD1532" s="673"/>
      <c r="AE1532" s="673"/>
      <c r="AF1532" s="673"/>
      <c r="AG1532" s="673"/>
      <c r="AH1532" s="673"/>
      <c r="AI1532" s="673"/>
      <c r="AJ1532" s="673"/>
      <c r="AK1532" s="673"/>
      <c r="AL1532" s="673"/>
      <c r="AM1532" s="673"/>
      <c r="AN1532" s="673"/>
      <c r="AO1532" s="673"/>
      <c r="AP1532" s="673"/>
      <c r="AQ1532" s="673"/>
      <c r="AR1532" s="673"/>
      <c r="AS1532" s="673"/>
      <c r="AT1532" s="696"/>
    </row>
    <row r="1533" ht="15.75" customHeight="1">
      <c r="A1533" s="653"/>
      <c r="B1533" s="654"/>
      <c r="C1533" s="691"/>
      <c r="D1533" s="656"/>
      <c r="E1533" s="657"/>
      <c r="F1533" s="658"/>
      <c r="G1533" s="659"/>
      <c r="H1533" s="660"/>
      <c r="I1533" s="659"/>
      <c r="J1533" s="661"/>
      <c r="K1533" s="692"/>
      <c r="L1533" s="645"/>
      <c r="M1533" s="663"/>
      <c r="N1533" s="665"/>
      <c r="O1533" s="665"/>
      <c r="P1533" s="666"/>
      <c r="Q1533" s="667"/>
      <c r="R1533" s="668"/>
      <c r="S1533" s="693"/>
      <c r="T1533" s="694"/>
      <c r="U1533" s="694"/>
      <c r="V1533" s="693"/>
      <c r="W1533" s="693"/>
      <c r="X1533" s="693"/>
      <c r="Y1533" s="671"/>
      <c r="Z1533" s="673"/>
      <c r="AA1533" s="672"/>
      <c r="AB1533" s="695"/>
      <c r="AC1533" s="673"/>
      <c r="AD1533" s="673"/>
      <c r="AE1533" s="673"/>
      <c r="AF1533" s="673"/>
      <c r="AG1533" s="673"/>
      <c r="AH1533" s="673"/>
      <c r="AI1533" s="673"/>
      <c r="AJ1533" s="673"/>
      <c r="AK1533" s="673"/>
      <c r="AL1533" s="673"/>
      <c r="AM1533" s="673"/>
      <c r="AN1533" s="673"/>
      <c r="AO1533" s="673"/>
      <c r="AP1533" s="673"/>
      <c r="AQ1533" s="673"/>
      <c r="AR1533" s="673"/>
      <c r="AS1533" s="673"/>
      <c r="AT1533" s="696"/>
    </row>
    <row r="1534" ht="15.75" customHeight="1">
      <c r="A1534" s="653"/>
      <c r="B1534" s="654"/>
      <c r="C1534" s="691"/>
      <c r="D1534" s="656"/>
      <c r="E1534" s="657"/>
      <c r="F1534" s="658"/>
      <c r="G1534" s="659"/>
      <c r="H1534" s="660"/>
      <c r="I1534" s="659"/>
      <c r="J1534" s="661"/>
      <c r="K1534" s="692"/>
      <c r="L1534" s="645"/>
      <c r="M1534" s="663"/>
      <c r="N1534" s="665"/>
      <c r="O1534" s="665"/>
      <c r="P1534" s="666"/>
      <c r="Q1534" s="667"/>
      <c r="R1534" s="668"/>
      <c r="S1534" s="693"/>
      <c r="T1534" s="694"/>
      <c r="U1534" s="694"/>
      <c r="V1534" s="693"/>
      <c r="W1534" s="693"/>
      <c r="X1534" s="693"/>
      <c r="Y1534" s="671"/>
      <c r="Z1534" s="673"/>
      <c r="AA1534" s="672"/>
      <c r="AB1534" s="695"/>
      <c r="AC1534" s="673"/>
      <c r="AD1534" s="673"/>
      <c r="AE1534" s="673"/>
      <c r="AF1534" s="673"/>
      <c r="AG1534" s="673"/>
      <c r="AH1534" s="673"/>
      <c r="AI1534" s="673"/>
      <c r="AJ1534" s="673"/>
      <c r="AK1534" s="673"/>
      <c r="AL1534" s="673"/>
      <c r="AM1534" s="673"/>
      <c r="AN1534" s="673"/>
      <c r="AO1534" s="673"/>
      <c r="AP1534" s="673"/>
      <c r="AQ1534" s="673"/>
      <c r="AR1534" s="673"/>
      <c r="AS1534" s="673"/>
      <c r="AT1534" s="696"/>
    </row>
    <row r="1535" ht="15.75" customHeight="1">
      <c r="A1535" s="653"/>
      <c r="B1535" s="654"/>
      <c r="C1535" s="691"/>
      <c r="D1535" s="656"/>
      <c r="E1535" s="657"/>
      <c r="F1535" s="658"/>
      <c r="G1535" s="659"/>
      <c r="H1535" s="660"/>
      <c r="I1535" s="659"/>
      <c r="J1535" s="661"/>
      <c r="K1535" s="692"/>
      <c r="L1535" s="645"/>
      <c r="M1535" s="663"/>
      <c r="N1535" s="665"/>
      <c r="O1535" s="665"/>
      <c r="P1535" s="666"/>
      <c r="Q1535" s="667"/>
      <c r="R1535" s="668"/>
      <c r="S1535" s="693"/>
      <c r="T1535" s="694"/>
      <c r="U1535" s="694"/>
      <c r="V1535" s="693"/>
      <c r="W1535" s="693"/>
      <c r="X1535" s="693"/>
      <c r="Y1535" s="671"/>
      <c r="Z1535" s="673"/>
      <c r="AA1535" s="672"/>
      <c r="AB1535" s="695"/>
      <c r="AC1535" s="673"/>
      <c r="AD1535" s="673"/>
      <c r="AE1535" s="673"/>
      <c r="AF1535" s="673"/>
      <c r="AG1535" s="673"/>
      <c r="AH1535" s="673"/>
      <c r="AI1535" s="673"/>
      <c r="AJ1535" s="673"/>
      <c r="AK1535" s="673"/>
      <c r="AL1535" s="673"/>
      <c r="AM1535" s="673"/>
      <c r="AN1535" s="673"/>
      <c r="AO1535" s="673"/>
      <c r="AP1535" s="673"/>
      <c r="AQ1535" s="673"/>
      <c r="AR1535" s="673"/>
      <c r="AS1535" s="673"/>
      <c r="AT1535" s="696"/>
    </row>
    <row r="1536" ht="15.75" customHeight="1">
      <c r="A1536" s="653"/>
      <c r="B1536" s="654"/>
      <c r="C1536" s="691"/>
      <c r="D1536" s="656"/>
      <c r="E1536" s="657"/>
      <c r="F1536" s="658"/>
      <c r="G1536" s="659"/>
      <c r="H1536" s="660"/>
      <c r="I1536" s="659"/>
      <c r="J1536" s="661"/>
      <c r="K1536" s="692"/>
      <c r="L1536" s="645"/>
      <c r="M1536" s="663"/>
      <c r="N1536" s="665"/>
      <c r="O1536" s="665"/>
      <c r="P1536" s="666"/>
      <c r="Q1536" s="667"/>
      <c r="R1536" s="668"/>
      <c r="S1536" s="693"/>
      <c r="T1536" s="694"/>
      <c r="U1536" s="694"/>
      <c r="V1536" s="693"/>
      <c r="W1536" s="693"/>
      <c r="X1536" s="693"/>
      <c r="Y1536" s="671"/>
      <c r="Z1536" s="673"/>
      <c r="AA1536" s="672"/>
      <c r="AB1536" s="695"/>
      <c r="AC1536" s="673"/>
      <c r="AD1536" s="673"/>
      <c r="AE1536" s="673"/>
      <c r="AF1536" s="673"/>
      <c r="AG1536" s="673"/>
      <c r="AH1536" s="673"/>
      <c r="AI1536" s="673"/>
      <c r="AJ1536" s="673"/>
      <c r="AK1536" s="673"/>
      <c r="AL1536" s="673"/>
      <c r="AM1536" s="673"/>
      <c r="AN1536" s="673"/>
      <c r="AO1536" s="673"/>
      <c r="AP1536" s="673"/>
      <c r="AQ1536" s="673"/>
      <c r="AR1536" s="673"/>
      <c r="AS1536" s="673"/>
      <c r="AT1536" s="696"/>
    </row>
    <row r="1537" ht="15.75" customHeight="1">
      <c r="A1537" s="653"/>
      <c r="B1537" s="654"/>
      <c r="C1537" s="691"/>
      <c r="D1537" s="656"/>
      <c r="E1537" s="657"/>
      <c r="F1537" s="658"/>
      <c r="G1537" s="659"/>
      <c r="H1537" s="660"/>
      <c r="I1537" s="659"/>
      <c r="J1537" s="661"/>
      <c r="K1537" s="692"/>
      <c r="L1537" s="645"/>
      <c r="M1537" s="663"/>
      <c r="N1537" s="665"/>
      <c r="O1537" s="665"/>
      <c r="P1537" s="666"/>
      <c r="Q1537" s="667"/>
      <c r="R1537" s="668"/>
      <c r="S1537" s="693"/>
      <c r="T1537" s="694"/>
      <c r="U1537" s="694"/>
      <c r="V1537" s="693"/>
      <c r="W1537" s="693"/>
      <c r="X1537" s="693"/>
      <c r="Y1537" s="671"/>
      <c r="Z1537" s="673"/>
      <c r="AA1537" s="672"/>
      <c r="AB1537" s="695"/>
      <c r="AC1537" s="673"/>
      <c r="AD1537" s="673"/>
      <c r="AE1537" s="673"/>
      <c r="AF1537" s="673"/>
      <c r="AG1537" s="673"/>
      <c r="AH1537" s="673"/>
      <c r="AI1537" s="673"/>
      <c r="AJ1537" s="673"/>
      <c r="AK1537" s="673"/>
      <c r="AL1537" s="673"/>
      <c r="AM1537" s="673"/>
      <c r="AN1537" s="673"/>
      <c r="AO1537" s="673"/>
      <c r="AP1537" s="673"/>
      <c r="AQ1537" s="673"/>
      <c r="AR1537" s="673"/>
      <c r="AS1537" s="673"/>
      <c r="AT1537" s="696"/>
    </row>
    <row r="1538" ht="15.75" customHeight="1">
      <c r="A1538" s="653"/>
      <c r="B1538" s="654"/>
      <c r="C1538" s="691"/>
      <c r="D1538" s="656"/>
      <c r="E1538" s="657"/>
      <c r="F1538" s="658"/>
      <c r="G1538" s="659"/>
      <c r="H1538" s="660"/>
      <c r="I1538" s="659"/>
      <c r="J1538" s="661"/>
      <c r="K1538" s="692"/>
      <c r="L1538" s="645"/>
      <c r="M1538" s="663"/>
      <c r="N1538" s="665"/>
      <c r="O1538" s="665"/>
      <c r="P1538" s="666"/>
      <c r="Q1538" s="667"/>
      <c r="R1538" s="668"/>
      <c r="S1538" s="693"/>
      <c r="T1538" s="694"/>
      <c r="U1538" s="694"/>
      <c r="V1538" s="693"/>
      <c r="W1538" s="693"/>
      <c r="X1538" s="693"/>
      <c r="Y1538" s="671"/>
      <c r="Z1538" s="673"/>
      <c r="AA1538" s="672"/>
      <c r="AB1538" s="695"/>
      <c r="AC1538" s="673"/>
      <c r="AD1538" s="673"/>
      <c r="AE1538" s="673"/>
      <c r="AF1538" s="673"/>
      <c r="AG1538" s="673"/>
      <c r="AH1538" s="673"/>
      <c r="AI1538" s="673"/>
      <c r="AJ1538" s="673"/>
      <c r="AK1538" s="673"/>
      <c r="AL1538" s="673"/>
      <c r="AM1538" s="673"/>
      <c r="AN1538" s="673"/>
      <c r="AO1538" s="673"/>
      <c r="AP1538" s="673"/>
      <c r="AQ1538" s="673"/>
      <c r="AR1538" s="673"/>
      <c r="AS1538" s="673"/>
      <c r="AT1538" s="696"/>
    </row>
    <row r="1539" ht="15.75" customHeight="1">
      <c r="A1539" s="653"/>
      <c r="B1539" s="654"/>
      <c r="C1539" s="691"/>
      <c r="D1539" s="656"/>
      <c r="E1539" s="657"/>
      <c r="F1539" s="658"/>
      <c r="G1539" s="659"/>
      <c r="H1539" s="660"/>
      <c r="I1539" s="659"/>
      <c r="J1539" s="661"/>
      <c r="K1539" s="692"/>
      <c r="L1539" s="645"/>
      <c r="M1539" s="663"/>
      <c r="N1539" s="665"/>
      <c r="O1539" s="665"/>
      <c r="P1539" s="666"/>
      <c r="Q1539" s="667"/>
      <c r="R1539" s="668"/>
      <c r="S1539" s="693"/>
      <c r="T1539" s="694"/>
      <c r="U1539" s="694"/>
      <c r="V1539" s="693"/>
      <c r="W1539" s="693"/>
      <c r="X1539" s="693"/>
      <c r="Y1539" s="671"/>
      <c r="Z1539" s="673"/>
      <c r="AA1539" s="672"/>
      <c r="AB1539" s="695"/>
      <c r="AC1539" s="673"/>
      <c r="AD1539" s="673"/>
      <c r="AE1539" s="673"/>
      <c r="AF1539" s="673"/>
      <c r="AG1539" s="673"/>
      <c r="AH1539" s="673"/>
      <c r="AI1539" s="673"/>
      <c r="AJ1539" s="673"/>
      <c r="AK1539" s="673"/>
      <c r="AL1539" s="673"/>
      <c r="AM1539" s="673"/>
      <c r="AN1539" s="673"/>
      <c r="AO1539" s="673"/>
      <c r="AP1539" s="673"/>
      <c r="AQ1539" s="673"/>
      <c r="AR1539" s="673"/>
      <c r="AS1539" s="673"/>
      <c r="AT1539" s="696"/>
    </row>
    <row r="1540" ht="15.75" customHeight="1">
      <c r="A1540" s="653"/>
      <c r="B1540" s="654"/>
      <c r="C1540" s="691"/>
      <c r="D1540" s="656"/>
      <c r="E1540" s="657"/>
      <c r="F1540" s="658"/>
      <c r="G1540" s="659"/>
      <c r="H1540" s="660"/>
      <c r="I1540" s="659"/>
      <c r="J1540" s="661"/>
      <c r="K1540" s="692"/>
      <c r="L1540" s="645"/>
      <c r="M1540" s="663"/>
      <c r="N1540" s="665"/>
      <c r="O1540" s="665"/>
      <c r="P1540" s="666"/>
      <c r="Q1540" s="667"/>
      <c r="R1540" s="668"/>
      <c r="S1540" s="693"/>
      <c r="T1540" s="694"/>
      <c r="U1540" s="694"/>
      <c r="V1540" s="693"/>
      <c r="W1540" s="693"/>
      <c r="X1540" s="693"/>
      <c r="Y1540" s="671"/>
      <c r="Z1540" s="673"/>
      <c r="AA1540" s="672"/>
      <c r="AB1540" s="695"/>
      <c r="AC1540" s="673"/>
      <c r="AD1540" s="673"/>
      <c r="AE1540" s="673"/>
      <c r="AF1540" s="673"/>
      <c r="AG1540" s="673"/>
      <c r="AH1540" s="673"/>
      <c r="AI1540" s="673"/>
      <c r="AJ1540" s="673"/>
      <c r="AK1540" s="673"/>
      <c r="AL1540" s="673"/>
      <c r="AM1540" s="673"/>
      <c r="AN1540" s="673"/>
      <c r="AO1540" s="673"/>
      <c r="AP1540" s="673"/>
      <c r="AQ1540" s="673"/>
      <c r="AR1540" s="673"/>
      <c r="AS1540" s="673"/>
      <c r="AT1540" s="696"/>
    </row>
    <row r="1541" ht="15.75" customHeight="1">
      <c r="A1541" s="653"/>
      <c r="B1541" s="654"/>
      <c r="C1541" s="691"/>
      <c r="D1541" s="656"/>
      <c r="E1541" s="657"/>
      <c r="F1541" s="658"/>
      <c r="G1541" s="659"/>
      <c r="H1541" s="660"/>
      <c r="I1541" s="659"/>
      <c r="J1541" s="661"/>
      <c r="K1541" s="692"/>
      <c r="L1541" s="645"/>
      <c r="M1541" s="663"/>
      <c r="N1541" s="665"/>
      <c r="O1541" s="665"/>
      <c r="P1541" s="666"/>
      <c r="Q1541" s="667"/>
      <c r="R1541" s="668"/>
      <c r="S1541" s="693"/>
      <c r="T1541" s="694"/>
      <c r="U1541" s="694"/>
      <c r="V1541" s="693"/>
      <c r="W1541" s="693"/>
      <c r="X1541" s="693"/>
      <c r="Y1541" s="671"/>
      <c r="Z1541" s="673"/>
      <c r="AA1541" s="672"/>
      <c r="AB1541" s="695"/>
      <c r="AC1541" s="673"/>
      <c r="AD1541" s="673"/>
      <c r="AE1541" s="673"/>
      <c r="AF1541" s="673"/>
      <c r="AG1541" s="673"/>
      <c r="AH1541" s="673"/>
      <c r="AI1541" s="673"/>
      <c r="AJ1541" s="673"/>
      <c r="AK1541" s="673"/>
      <c r="AL1541" s="673"/>
      <c r="AM1541" s="673"/>
      <c r="AN1541" s="673"/>
      <c r="AO1541" s="673"/>
      <c r="AP1541" s="673"/>
      <c r="AQ1541" s="673"/>
      <c r="AR1541" s="673"/>
      <c r="AS1541" s="673"/>
      <c r="AT1541" s="696"/>
    </row>
    <row r="1542" ht="15.75" customHeight="1">
      <c r="A1542" s="653"/>
      <c r="B1542" s="654"/>
      <c r="C1542" s="691"/>
      <c r="D1542" s="656"/>
      <c r="E1542" s="657"/>
      <c r="F1542" s="658"/>
      <c r="G1542" s="659"/>
      <c r="H1542" s="660"/>
      <c r="I1542" s="659"/>
      <c r="J1542" s="661"/>
      <c r="K1542" s="692"/>
      <c r="L1542" s="645"/>
      <c r="M1542" s="663"/>
      <c r="N1542" s="665"/>
      <c r="O1542" s="665"/>
      <c r="P1542" s="666"/>
      <c r="Q1542" s="667"/>
      <c r="R1542" s="668"/>
      <c r="S1542" s="693"/>
      <c r="T1542" s="694"/>
      <c r="U1542" s="694"/>
      <c r="V1542" s="693"/>
      <c r="W1542" s="693"/>
      <c r="X1542" s="693"/>
      <c r="Y1542" s="671"/>
      <c r="Z1542" s="673"/>
      <c r="AA1542" s="672"/>
      <c r="AB1542" s="695"/>
      <c r="AC1542" s="673"/>
      <c r="AD1542" s="673"/>
      <c r="AE1542" s="673"/>
      <c r="AF1542" s="673"/>
      <c r="AG1542" s="673"/>
      <c r="AH1542" s="673"/>
      <c r="AI1542" s="673"/>
      <c r="AJ1542" s="673"/>
      <c r="AK1542" s="673"/>
      <c r="AL1542" s="673"/>
      <c r="AM1542" s="673"/>
      <c r="AN1542" s="673"/>
      <c r="AO1542" s="673"/>
      <c r="AP1542" s="673"/>
      <c r="AQ1542" s="673"/>
      <c r="AR1542" s="673"/>
      <c r="AS1542" s="673"/>
      <c r="AT1542" s="696"/>
    </row>
    <row r="1543" ht="15.75" customHeight="1">
      <c r="A1543" s="653"/>
      <c r="B1543" s="654"/>
      <c r="C1543" s="691"/>
      <c r="D1543" s="656"/>
      <c r="E1543" s="657"/>
      <c r="F1543" s="658"/>
      <c r="G1543" s="659"/>
      <c r="H1543" s="660"/>
      <c r="I1543" s="659"/>
      <c r="J1543" s="661"/>
      <c r="K1543" s="692"/>
      <c r="L1543" s="645"/>
      <c r="M1543" s="663"/>
      <c r="N1543" s="665"/>
      <c r="O1543" s="665"/>
      <c r="P1543" s="666"/>
      <c r="Q1543" s="667"/>
      <c r="R1543" s="668"/>
      <c r="S1543" s="693"/>
      <c r="T1543" s="694"/>
      <c r="U1543" s="694"/>
      <c r="V1543" s="693"/>
      <c r="W1543" s="693"/>
      <c r="X1543" s="693"/>
      <c r="Y1543" s="671"/>
      <c r="Z1543" s="673"/>
      <c r="AA1543" s="672"/>
      <c r="AB1543" s="695"/>
      <c r="AC1543" s="673"/>
      <c r="AD1543" s="673"/>
      <c r="AE1543" s="673"/>
      <c r="AF1543" s="673"/>
      <c r="AG1543" s="673"/>
      <c r="AH1543" s="673"/>
      <c r="AI1543" s="673"/>
      <c r="AJ1543" s="673"/>
      <c r="AK1543" s="673"/>
      <c r="AL1543" s="673"/>
      <c r="AM1543" s="673"/>
      <c r="AN1543" s="673"/>
      <c r="AO1543" s="673"/>
      <c r="AP1543" s="673"/>
      <c r="AQ1543" s="673"/>
      <c r="AR1543" s="673"/>
      <c r="AS1543" s="673"/>
      <c r="AT1543" s="696"/>
    </row>
    <row r="1544" ht="15.75" customHeight="1">
      <c r="A1544" s="653"/>
      <c r="B1544" s="654"/>
      <c r="C1544" s="691"/>
      <c r="D1544" s="656"/>
      <c r="E1544" s="657"/>
      <c r="F1544" s="658"/>
      <c r="G1544" s="659"/>
      <c r="H1544" s="660"/>
      <c r="I1544" s="659"/>
      <c r="J1544" s="661"/>
      <c r="K1544" s="692"/>
      <c r="L1544" s="645"/>
      <c r="M1544" s="663"/>
      <c r="N1544" s="665"/>
      <c r="O1544" s="665"/>
      <c r="P1544" s="666"/>
      <c r="Q1544" s="667"/>
      <c r="R1544" s="668"/>
      <c r="S1544" s="693"/>
      <c r="T1544" s="694"/>
      <c r="U1544" s="694"/>
      <c r="V1544" s="693"/>
      <c r="W1544" s="693"/>
      <c r="X1544" s="693"/>
      <c r="Y1544" s="671"/>
      <c r="Z1544" s="673"/>
      <c r="AA1544" s="672"/>
      <c r="AB1544" s="695"/>
      <c r="AC1544" s="673"/>
      <c r="AD1544" s="673"/>
      <c r="AE1544" s="673"/>
      <c r="AF1544" s="673"/>
      <c r="AG1544" s="673"/>
      <c r="AH1544" s="673"/>
      <c r="AI1544" s="673"/>
      <c r="AJ1544" s="673"/>
      <c r="AK1544" s="673"/>
      <c r="AL1544" s="673"/>
      <c r="AM1544" s="673"/>
      <c r="AN1544" s="673"/>
      <c r="AO1544" s="673"/>
      <c r="AP1544" s="673"/>
      <c r="AQ1544" s="673"/>
      <c r="AR1544" s="673"/>
      <c r="AS1544" s="673"/>
      <c r="AT1544" s="696"/>
    </row>
    <row r="1545" ht="15.75" customHeight="1">
      <c r="A1545" s="653"/>
      <c r="B1545" s="654"/>
      <c r="C1545" s="691"/>
      <c r="D1545" s="656"/>
      <c r="E1545" s="657"/>
      <c r="F1545" s="658"/>
      <c r="G1545" s="659"/>
      <c r="H1545" s="660"/>
      <c r="I1545" s="659"/>
      <c r="J1545" s="661"/>
      <c r="K1545" s="692"/>
      <c r="L1545" s="645"/>
      <c r="M1545" s="663"/>
      <c r="N1545" s="665"/>
      <c r="O1545" s="665"/>
      <c r="P1545" s="666"/>
      <c r="Q1545" s="667"/>
      <c r="R1545" s="668"/>
      <c r="S1545" s="693"/>
      <c r="T1545" s="694"/>
      <c r="U1545" s="694"/>
      <c r="V1545" s="693"/>
      <c r="W1545" s="693"/>
      <c r="X1545" s="693"/>
      <c r="Y1545" s="671"/>
      <c r="Z1545" s="673"/>
      <c r="AA1545" s="672"/>
      <c r="AB1545" s="695"/>
      <c r="AC1545" s="673"/>
      <c r="AD1545" s="673"/>
      <c r="AE1545" s="673"/>
      <c r="AF1545" s="673"/>
      <c r="AG1545" s="673"/>
      <c r="AH1545" s="673"/>
      <c r="AI1545" s="673"/>
      <c r="AJ1545" s="673"/>
      <c r="AK1545" s="673"/>
      <c r="AL1545" s="673"/>
      <c r="AM1545" s="673"/>
      <c r="AN1545" s="673"/>
      <c r="AO1545" s="673"/>
      <c r="AP1545" s="673"/>
      <c r="AQ1545" s="673"/>
      <c r="AR1545" s="673"/>
      <c r="AS1545" s="673"/>
      <c r="AT1545" s="696"/>
    </row>
    <row r="1546" ht="15.75" customHeight="1">
      <c r="A1546" s="653"/>
      <c r="B1546" s="654"/>
      <c r="C1546" s="691"/>
      <c r="D1546" s="656"/>
      <c r="E1546" s="657"/>
      <c r="F1546" s="658"/>
      <c r="G1546" s="659"/>
      <c r="H1546" s="660"/>
      <c r="I1546" s="659"/>
      <c r="J1546" s="661"/>
      <c r="K1546" s="692"/>
      <c r="L1546" s="645"/>
      <c r="M1546" s="663"/>
      <c r="N1546" s="665"/>
      <c r="O1546" s="665"/>
      <c r="P1546" s="666"/>
      <c r="Q1546" s="667"/>
      <c r="R1546" s="668"/>
      <c r="S1546" s="693"/>
      <c r="T1546" s="694"/>
      <c r="U1546" s="694"/>
      <c r="V1546" s="693"/>
      <c r="W1546" s="693"/>
      <c r="X1546" s="693"/>
      <c r="Y1546" s="671"/>
      <c r="Z1546" s="673"/>
      <c r="AA1546" s="672"/>
      <c r="AB1546" s="695"/>
      <c r="AC1546" s="673"/>
      <c r="AD1546" s="673"/>
      <c r="AE1546" s="673"/>
      <c r="AF1546" s="673"/>
      <c r="AG1546" s="673"/>
      <c r="AH1546" s="673"/>
      <c r="AI1546" s="673"/>
      <c r="AJ1546" s="673"/>
      <c r="AK1546" s="673"/>
      <c r="AL1546" s="673"/>
      <c r="AM1546" s="673"/>
      <c r="AN1546" s="673"/>
      <c r="AO1546" s="673"/>
      <c r="AP1546" s="673"/>
      <c r="AQ1546" s="673"/>
      <c r="AR1546" s="673"/>
      <c r="AS1546" s="673"/>
      <c r="AT1546" s="696"/>
    </row>
    <row r="1547" ht="15.75" customHeight="1">
      <c r="A1547" s="653"/>
      <c r="B1547" s="654"/>
      <c r="C1547" s="691"/>
      <c r="D1547" s="656"/>
      <c r="E1547" s="657"/>
      <c r="F1547" s="658"/>
      <c r="G1547" s="659"/>
      <c r="H1547" s="660"/>
      <c r="I1547" s="659"/>
      <c r="J1547" s="661"/>
      <c r="K1547" s="692"/>
      <c r="L1547" s="645"/>
      <c r="M1547" s="663"/>
      <c r="N1547" s="665"/>
      <c r="O1547" s="665"/>
      <c r="P1547" s="666"/>
      <c r="Q1547" s="667"/>
      <c r="R1547" s="668"/>
      <c r="S1547" s="693"/>
      <c r="T1547" s="694"/>
      <c r="U1547" s="694"/>
      <c r="V1547" s="693"/>
      <c r="W1547" s="693"/>
      <c r="X1547" s="693"/>
      <c r="Y1547" s="671"/>
      <c r="Z1547" s="673"/>
      <c r="AA1547" s="672"/>
      <c r="AB1547" s="695"/>
      <c r="AC1547" s="673"/>
      <c r="AD1547" s="673"/>
      <c r="AE1547" s="673"/>
      <c r="AF1547" s="673"/>
      <c r="AG1547" s="673"/>
      <c r="AH1547" s="673"/>
      <c r="AI1547" s="673"/>
      <c r="AJ1547" s="673"/>
      <c r="AK1547" s="673"/>
      <c r="AL1547" s="673"/>
      <c r="AM1547" s="673"/>
      <c r="AN1547" s="673"/>
      <c r="AO1547" s="673"/>
      <c r="AP1547" s="673"/>
      <c r="AQ1547" s="673"/>
      <c r="AR1547" s="673"/>
      <c r="AS1547" s="673"/>
      <c r="AT1547" s="696"/>
    </row>
    <row r="1548" ht="15.75" customHeight="1">
      <c r="A1548" s="653"/>
      <c r="B1548" s="654"/>
      <c r="C1548" s="691"/>
      <c r="D1548" s="656"/>
      <c r="E1548" s="657"/>
      <c r="F1548" s="658"/>
      <c r="G1548" s="659"/>
      <c r="H1548" s="660"/>
      <c r="I1548" s="659"/>
      <c r="J1548" s="661"/>
      <c r="K1548" s="692"/>
      <c r="L1548" s="645"/>
      <c r="M1548" s="663"/>
      <c r="N1548" s="665"/>
      <c r="O1548" s="665"/>
      <c r="P1548" s="666"/>
      <c r="Q1548" s="667"/>
      <c r="R1548" s="668"/>
      <c r="S1548" s="693"/>
      <c r="T1548" s="694"/>
      <c r="U1548" s="694"/>
      <c r="V1548" s="693"/>
      <c r="W1548" s="693"/>
      <c r="X1548" s="693"/>
      <c r="Y1548" s="671"/>
      <c r="Z1548" s="673"/>
      <c r="AA1548" s="672"/>
      <c r="AB1548" s="695"/>
      <c r="AC1548" s="673"/>
      <c r="AD1548" s="673"/>
      <c r="AE1548" s="673"/>
      <c r="AF1548" s="673"/>
      <c r="AG1548" s="673"/>
      <c r="AH1548" s="673"/>
      <c r="AI1548" s="673"/>
      <c r="AJ1548" s="673"/>
      <c r="AK1548" s="673"/>
      <c r="AL1548" s="673"/>
      <c r="AM1548" s="673"/>
      <c r="AN1548" s="673"/>
      <c r="AO1548" s="673"/>
      <c r="AP1548" s="673"/>
      <c r="AQ1548" s="673"/>
      <c r="AR1548" s="673"/>
      <c r="AS1548" s="673"/>
      <c r="AT1548" s="696"/>
    </row>
    <row r="1549" ht="15.75" customHeight="1">
      <c r="A1549" s="653"/>
      <c r="B1549" s="654"/>
      <c r="C1549" s="691"/>
      <c r="D1549" s="656"/>
      <c r="E1549" s="657"/>
      <c r="F1549" s="658"/>
      <c r="G1549" s="659"/>
      <c r="H1549" s="660"/>
      <c r="I1549" s="659"/>
      <c r="J1549" s="661"/>
      <c r="K1549" s="692"/>
      <c r="L1549" s="645"/>
      <c r="M1549" s="663"/>
      <c r="N1549" s="665"/>
      <c r="O1549" s="665"/>
      <c r="P1549" s="666"/>
      <c r="Q1549" s="667"/>
      <c r="R1549" s="668"/>
      <c r="S1549" s="693"/>
      <c r="T1549" s="694"/>
      <c r="U1549" s="694"/>
      <c r="V1549" s="693"/>
      <c r="W1549" s="693"/>
      <c r="X1549" s="693"/>
      <c r="Y1549" s="671"/>
      <c r="Z1549" s="673"/>
      <c r="AA1549" s="672"/>
      <c r="AB1549" s="695"/>
      <c r="AC1549" s="673"/>
      <c r="AD1549" s="673"/>
      <c r="AE1549" s="673"/>
      <c r="AF1549" s="673"/>
      <c r="AG1549" s="673"/>
      <c r="AH1549" s="673"/>
      <c r="AI1549" s="673"/>
      <c r="AJ1549" s="673"/>
      <c r="AK1549" s="673"/>
      <c r="AL1549" s="673"/>
      <c r="AM1549" s="673"/>
      <c r="AN1549" s="673"/>
      <c r="AO1549" s="673"/>
      <c r="AP1549" s="673"/>
      <c r="AQ1549" s="673"/>
      <c r="AR1549" s="673"/>
      <c r="AS1549" s="673"/>
      <c r="AT1549" s="696"/>
    </row>
    <row r="1550" ht="15.75" customHeight="1">
      <c r="A1550" s="653"/>
      <c r="B1550" s="654"/>
      <c r="C1550" s="691"/>
      <c r="D1550" s="656"/>
      <c r="E1550" s="657"/>
      <c r="F1550" s="658"/>
      <c r="G1550" s="659"/>
      <c r="H1550" s="660"/>
      <c r="I1550" s="659"/>
      <c r="J1550" s="661"/>
      <c r="K1550" s="692"/>
      <c r="L1550" s="645"/>
      <c r="M1550" s="663"/>
      <c r="N1550" s="665"/>
      <c r="O1550" s="665"/>
      <c r="P1550" s="666"/>
      <c r="Q1550" s="667"/>
      <c r="R1550" s="668"/>
      <c r="S1550" s="693"/>
      <c r="T1550" s="694"/>
      <c r="U1550" s="694"/>
      <c r="V1550" s="693"/>
      <c r="W1550" s="693"/>
      <c r="X1550" s="693"/>
      <c r="Y1550" s="671"/>
      <c r="Z1550" s="673"/>
      <c r="AA1550" s="672"/>
      <c r="AB1550" s="695"/>
      <c r="AC1550" s="673"/>
      <c r="AD1550" s="673"/>
      <c r="AE1550" s="673"/>
      <c r="AF1550" s="673"/>
      <c r="AG1550" s="673"/>
      <c r="AH1550" s="673"/>
      <c r="AI1550" s="673"/>
      <c r="AJ1550" s="673"/>
      <c r="AK1550" s="673"/>
      <c r="AL1550" s="673"/>
      <c r="AM1550" s="673"/>
      <c r="AN1550" s="673"/>
      <c r="AO1550" s="673"/>
      <c r="AP1550" s="673"/>
      <c r="AQ1550" s="673"/>
      <c r="AR1550" s="673"/>
      <c r="AS1550" s="673"/>
      <c r="AT1550" s="696"/>
    </row>
    <row r="1551" ht="15.75" customHeight="1">
      <c r="A1551" s="653"/>
      <c r="B1551" s="654"/>
      <c r="C1551" s="691"/>
      <c r="D1551" s="656"/>
      <c r="E1551" s="657"/>
      <c r="F1551" s="658"/>
      <c r="G1551" s="659"/>
      <c r="H1551" s="660"/>
      <c r="I1551" s="659"/>
      <c r="J1551" s="661"/>
      <c r="K1551" s="692"/>
      <c r="L1551" s="645"/>
      <c r="M1551" s="663"/>
      <c r="N1551" s="665"/>
      <c r="O1551" s="665"/>
      <c r="P1551" s="666"/>
      <c r="Q1551" s="667"/>
      <c r="R1551" s="668"/>
      <c r="S1551" s="693"/>
      <c r="T1551" s="694"/>
      <c r="U1551" s="694"/>
      <c r="V1551" s="693"/>
      <c r="W1551" s="693"/>
      <c r="X1551" s="693"/>
      <c r="Y1551" s="671"/>
      <c r="Z1551" s="673"/>
      <c r="AA1551" s="672"/>
      <c r="AB1551" s="695"/>
      <c r="AC1551" s="673"/>
      <c r="AD1551" s="673"/>
      <c r="AE1551" s="673"/>
      <c r="AF1551" s="673"/>
      <c r="AG1551" s="673"/>
      <c r="AH1551" s="673"/>
      <c r="AI1551" s="673"/>
      <c r="AJ1551" s="673"/>
      <c r="AK1551" s="673"/>
      <c r="AL1551" s="673"/>
      <c r="AM1551" s="673"/>
      <c r="AN1551" s="673"/>
      <c r="AO1551" s="673"/>
      <c r="AP1551" s="673"/>
      <c r="AQ1551" s="673"/>
      <c r="AR1551" s="673"/>
      <c r="AS1551" s="673"/>
      <c r="AT1551" s="696"/>
    </row>
    <row r="1552" ht="15.75" customHeight="1">
      <c r="A1552" s="653"/>
      <c r="B1552" s="654"/>
      <c r="C1552" s="691"/>
      <c r="D1552" s="656"/>
      <c r="E1552" s="657"/>
      <c r="F1552" s="658"/>
      <c r="G1552" s="659"/>
      <c r="H1552" s="660"/>
      <c r="I1552" s="659"/>
      <c r="J1552" s="661"/>
      <c r="K1552" s="692"/>
      <c r="L1552" s="645"/>
      <c r="M1552" s="663"/>
      <c r="N1552" s="665"/>
      <c r="O1552" s="665"/>
      <c r="P1552" s="666"/>
      <c r="Q1552" s="667"/>
      <c r="R1552" s="668"/>
      <c r="S1552" s="693"/>
      <c r="T1552" s="694"/>
      <c r="U1552" s="694"/>
      <c r="V1552" s="693"/>
      <c r="W1552" s="693"/>
      <c r="X1552" s="693"/>
      <c r="Y1552" s="671"/>
      <c r="Z1552" s="673"/>
      <c r="AA1552" s="672"/>
      <c r="AB1552" s="695"/>
      <c r="AC1552" s="673"/>
      <c r="AD1552" s="673"/>
      <c r="AE1552" s="673"/>
      <c r="AF1552" s="673"/>
      <c r="AG1552" s="673"/>
      <c r="AH1552" s="673"/>
      <c r="AI1552" s="673"/>
      <c r="AJ1552" s="673"/>
      <c r="AK1552" s="673"/>
      <c r="AL1552" s="673"/>
      <c r="AM1552" s="673"/>
      <c r="AN1552" s="673"/>
      <c r="AO1552" s="673"/>
      <c r="AP1552" s="673"/>
      <c r="AQ1552" s="673"/>
      <c r="AR1552" s="673"/>
      <c r="AS1552" s="673"/>
      <c r="AT1552" s="696"/>
    </row>
    <row r="1553" ht="15.75" customHeight="1">
      <c r="A1553" s="653"/>
      <c r="B1553" s="654"/>
      <c r="C1553" s="691"/>
      <c r="D1553" s="656"/>
      <c r="E1553" s="657"/>
      <c r="F1553" s="658"/>
      <c r="G1553" s="659"/>
      <c r="H1553" s="660"/>
      <c r="I1553" s="659"/>
      <c r="J1553" s="661"/>
      <c r="K1553" s="692"/>
      <c r="L1553" s="645"/>
      <c r="M1553" s="663"/>
      <c r="N1553" s="665"/>
      <c r="O1553" s="665"/>
      <c r="P1553" s="666"/>
      <c r="Q1553" s="667"/>
      <c r="R1553" s="668"/>
      <c r="S1553" s="693"/>
      <c r="T1553" s="694"/>
      <c r="U1553" s="694"/>
      <c r="V1553" s="693"/>
      <c r="W1553" s="693"/>
      <c r="X1553" s="693"/>
      <c r="Y1553" s="671"/>
      <c r="Z1553" s="673"/>
      <c r="AA1553" s="672"/>
      <c r="AB1553" s="695"/>
      <c r="AC1553" s="673"/>
      <c r="AD1553" s="673"/>
      <c r="AE1553" s="673"/>
      <c r="AF1553" s="673"/>
      <c r="AG1553" s="673"/>
      <c r="AH1553" s="673"/>
      <c r="AI1553" s="673"/>
      <c r="AJ1553" s="673"/>
      <c r="AK1553" s="673"/>
      <c r="AL1553" s="673"/>
      <c r="AM1553" s="673"/>
      <c r="AN1553" s="673"/>
      <c r="AO1553" s="673"/>
      <c r="AP1553" s="673"/>
      <c r="AQ1553" s="673"/>
      <c r="AR1553" s="673"/>
      <c r="AS1553" s="673"/>
      <c r="AT1553" s="696"/>
    </row>
    <row r="1554" ht="15.75" customHeight="1">
      <c r="A1554" s="653"/>
      <c r="B1554" s="654"/>
      <c r="C1554" s="691"/>
      <c r="D1554" s="656"/>
      <c r="E1554" s="657"/>
      <c r="F1554" s="658"/>
      <c r="G1554" s="659"/>
      <c r="H1554" s="660"/>
      <c r="I1554" s="659"/>
      <c r="J1554" s="661"/>
      <c r="K1554" s="692"/>
      <c r="L1554" s="645"/>
      <c r="M1554" s="663"/>
      <c r="N1554" s="665"/>
      <c r="O1554" s="665"/>
      <c r="P1554" s="666"/>
      <c r="Q1554" s="667"/>
      <c r="R1554" s="668"/>
      <c r="S1554" s="693"/>
      <c r="T1554" s="694"/>
      <c r="U1554" s="694"/>
      <c r="V1554" s="693"/>
      <c r="W1554" s="693"/>
      <c r="X1554" s="693"/>
      <c r="Y1554" s="671"/>
      <c r="Z1554" s="673"/>
      <c r="AA1554" s="672"/>
      <c r="AB1554" s="695"/>
      <c r="AC1554" s="673"/>
      <c r="AD1554" s="673"/>
      <c r="AE1554" s="673"/>
      <c r="AF1554" s="673"/>
      <c r="AG1554" s="673"/>
      <c r="AH1554" s="673"/>
      <c r="AI1554" s="673"/>
      <c r="AJ1554" s="673"/>
      <c r="AK1554" s="673"/>
      <c r="AL1554" s="673"/>
      <c r="AM1554" s="673"/>
      <c r="AN1554" s="673"/>
      <c r="AO1554" s="673"/>
      <c r="AP1554" s="673"/>
      <c r="AQ1554" s="673"/>
      <c r="AR1554" s="673"/>
      <c r="AS1554" s="673"/>
      <c r="AT1554" s="696"/>
    </row>
    <row r="1555" ht="15.75" customHeight="1">
      <c r="A1555" s="653"/>
      <c r="B1555" s="654"/>
      <c r="C1555" s="691"/>
      <c r="D1555" s="656"/>
      <c r="E1555" s="657"/>
      <c r="F1555" s="658"/>
      <c r="G1555" s="659"/>
      <c r="H1555" s="660"/>
      <c r="I1555" s="659"/>
      <c r="J1555" s="661"/>
      <c r="K1555" s="692"/>
      <c r="L1555" s="645"/>
      <c r="M1555" s="663"/>
      <c r="N1555" s="665"/>
      <c r="O1555" s="665"/>
      <c r="P1555" s="666"/>
      <c r="Q1555" s="667"/>
      <c r="R1555" s="668"/>
      <c r="S1555" s="693"/>
      <c r="T1555" s="694"/>
      <c r="U1555" s="694"/>
      <c r="V1555" s="693"/>
      <c r="W1555" s="693"/>
      <c r="X1555" s="693"/>
      <c r="Y1555" s="671"/>
      <c r="Z1555" s="673"/>
      <c r="AA1555" s="672"/>
      <c r="AB1555" s="695"/>
      <c r="AC1555" s="673"/>
      <c r="AD1555" s="673"/>
      <c r="AE1555" s="673"/>
      <c r="AF1555" s="673"/>
      <c r="AG1555" s="673"/>
      <c r="AH1555" s="673"/>
      <c r="AI1555" s="673"/>
      <c r="AJ1555" s="673"/>
      <c r="AK1555" s="673"/>
      <c r="AL1555" s="673"/>
      <c r="AM1555" s="673"/>
      <c r="AN1555" s="673"/>
      <c r="AO1555" s="673"/>
      <c r="AP1555" s="673"/>
      <c r="AQ1555" s="673"/>
      <c r="AR1555" s="673"/>
      <c r="AS1555" s="673"/>
      <c r="AT1555" s="696"/>
    </row>
    <row r="1556" ht="15.75" customHeight="1">
      <c r="A1556" s="653"/>
      <c r="B1556" s="654"/>
      <c r="C1556" s="691"/>
      <c r="D1556" s="656"/>
      <c r="E1556" s="657"/>
      <c r="F1556" s="658"/>
      <c r="G1556" s="659"/>
      <c r="H1556" s="660"/>
      <c r="I1556" s="659"/>
      <c r="J1556" s="661"/>
      <c r="K1556" s="692"/>
      <c r="L1556" s="645"/>
      <c r="M1556" s="663"/>
      <c r="N1556" s="665"/>
      <c r="O1556" s="665"/>
      <c r="P1556" s="666"/>
      <c r="Q1556" s="667"/>
      <c r="R1556" s="668"/>
      <c r="S1556" s="693"/>
      <c r="T1556" s="694"/>
      <c r="U1556" s="694"/>
      <c r="V1556" s="693"/>
      <c r="W1556" s="693"/>
      <c r="X1556" s="693"/>
      <c r="Y1556" s="671"/>
      <c r="Z1556" s="673"/>
      <c r="AA1556" s="672"/>
      <c r="AB1556" s="695"/>
      <c r="AC1556" s="673"/>
      <c r="AD1556" s="673"/>
      <c r="AE1556" s="673"/>
      <c r="AF1556" s="673"/>
      <c r="AG1556" s="673"/>
      <c r="AH1556" s="673"/>
      <c r="AI1556" s="673"/>
      <c r="AJ1556" s="673"/>
      <c r="AK1556" s="673"/>
      <c r="AL1556" s="673"/>
      <c r="AM1556" s="673"/>
      <c r="AN1556" s="673"/>
      <c r="AO1556" s="673"/>
      <c r="AP1556" s="673"/>
      <c r="AQ1556" s="673"/>
      <c r="AR1556" s="673"/>
      <c r="AS1556" s="673"/>
      <c r="AT1556" s="696"/>
    </row>
    <row r="1557" ht="15.75" customHeight="1">
      <c r="A1557" s="653"/>
      <c r="B1557" s="654"/>
      <c r="C1557" s="691"/>
      <c r="D1557" s="656"/>
      <c r="E1557" s="657"/>
      <c r="F1557" s="658"/>
      <c r="G1557" s="659"/>
      <c r="H1557" s="660"/>
      <c r="I1557" s="659"/>
      <c r="J1557" s="661"/>
      <c r="K1557" s="692"/>
      <c r="L1557" s="645"/>
      <c r="M1557" s="663"/>
      <c r="N1557" s="665"/>
      <c r="O1557" s="665"/>
      <c r="P1557" s="666"/>
      <c r="Q1557" s="667"/>
      <c r="R1557" s="668"/>
      <c r="S1557" s="693"/>
      <c r="T1557" s="694"/>
      <c r="U1557" s="694"/>
      <c r="V1557" s="693"/>
      <c r="W1557" s="693"/>
      <c r="X1557" s="693"/>
      <c r="Y1557" s="671"/>
      <c r="Z1557" s="673"/>
      <c r="AA1557" s="672"/>
      <c r="AB1557" s="695"/>
      <c r="AC1557" s="673"/>
      <c r="AD1557" s="673"/>
      <c r="AE1557" s="673"/>
      <c r="AF1557" s="673"/>
      <c r="AG1557" s="673"/>
      <c r="AH1557" s="673"/>
      <c r="AI1557" s="673"/>
      <c r="AJ1557" s="673"/>
      <c r="AK1557" s="673"/>
      <c r="AL1557" s="673"/>
      <c r="AM1557" s="673"/>
      <c r="AN1557" s="673"/>
      <c r="AO1557" s="673"/>
      <c r="AP1557" s="673"/>
      <c r="AQ1557" s="673"/>
      <c r="AR1557" s="673"/>
      <c r="AS1557" s="673"/>
      <c r="AT1557" s="696"/>
    </row>
    <row r="1558" ht="15.75" customHeight="1">
      <c r="A1558" s="653"/>
      <c r="B1558" s="654"/>
      <c r="C1558" s="691"/>
      <c r="D1558" s="656"/>
      <c r="E1558" s="657"/>
      <c r="F1558" s="658"/>
      <c r="G1558" s="659"/>
      <c r="H1558" s="660"/>
      <c r="I1558" s="659"/>
      <c r="J1558" s="661"/>
      <c r="K1558" s="692"/>
      <c r="L1558" s="645"/>
      <c r="M1558" s="663"/>
      <c r="N1558" s="665"/>
      <c r="O1558" s="665"/>
      <c r="P1558" s="666"/>
      <c r="Q1558" s="667"/>
      <c r="R1558" s="668"/>
      <c r="S1558" s="693"/>
      <c r="T1558" s="694"/>
      <c r="U1558" s="694"/>
      <c r="V1558" s="693"/>
      <c r="W1558" s="693"/>
      <c r="X1558" s="693"/>
      <c r="Y1558" s="671"/>
      <c r="Z1558" s="673"/>
      <c r="AA1558" s="672"/>
      <c r="AB1558" s="695"/>
      <c r="AC1558" s="673"/>
      <c r="AD1558" s="673"/>
      <c r="AE1558" s="673"/>
      <c r="AF1558" s="673"/>
      <c r="AG1558" s="673"/>
      <c r="AH1558" s="673"/>
      <c r="AI1558" s="673"/>
      <c r="AJ1558" s="673"/>
      <c r="AK1558" s="673"/>
      <c r="AL1558" s="673"/>
      <c r="AM1558" s="673"/>
      <c r="AN1558" s="673"/>
      <c r="AO1558" s="673"/>
      <c r="AP1558" s="673"/>
      <c r="AQ1558" s="673"/>
      <c r="AR1558" s="673"/>
      <c r="AS1558" s="673"/>
      <c r="AT1558" s="696"/>
    </row>
    <row r="1559" ht="15.75" customHeight="1">
      <c r="A1559" s="653"/>
      <c r="B1559" s="654"/>
      <c r="C1559" s="691"/>
      <c r="D1559" s="656"/>
      <c r="E1559" s="657"/>
      <c r="F1559" s="658"/>
      <c r="G1559" s="659"/>
      <c r="H1559" s="660"/>
      <c r="I1559" s="659"/>
      <c r="J1559" s="661"/>
      <c r="K1559" s="692"/>
      <c r="L1559" s="645"/>
      <c r="M1559" s="663"/>
      <c r="N1559" s="665"/>
      <c r="O1559" s="665"/>
      <c r="P1559" s="666"/>
      <c r="Q1559" s="667"/>
      <c r="R1559" s="668"/>
      <c r="S1559" s="693"/>
      <c r="T1559" s="694"/>
      <c r="U1559" s="694"/>
      <c r="V1559" s="693"/>
      <c r="W1559" s="693"/>
      <c r="X1559" s="693"/>
      <c r="Y1559" s="671"/>
      <c r="Z1559" s="673"/>
      <c r="AA1559" s="672"/>
      <c r="AB1559" s="695"/>
      <c r="AC1559" s="673"/>
      <c r="AD1559" s="673"/>
      <c r="AE1559" s="673"/>
      <c r="AF1559" s="673"/>
      <c r="AG1559" s="673"/>
      <c r="AH1559" s="673"/>
      <c r="AI1559" s="673"/>
      <c r="AJ1559" s="673"/>
      <c r="AK1559" s="673"/>
      <c r="AL1559" s="673"/>
      <c r="AM1559" s="673"/>
      <c r="AN1559" s="673"/>
      <c r="AO1559" s="673"/>
      <c r="AP1559" s="673"/>
      <c r="AQ1559" s="673"/>
      <c r="AR1559" s="673"/>
      <c r="AS1559" s="673"/>
      <c r="AT1559" s="696"/>
    </row>
    <row r="1560" ht="15.75" customHeight="1">
      <c r="A1560" s="653"/>
      <c r="B1560" s="654"/>
      <c r="C1560" s="691"/>
      <c r="D1560" s="656"/>
      <c r="E1560" s="657"/>
      <c r="F1560" s="658"/>
      <c r="G1560" s="659"/>
      <c r="H1560" s="660"/>
      <c r="I1560" s="659"/>
      <c r="J1560" s="661"/>
      <c r="K1560" s="692"/>
      <c r="L1560" s="645"/>
      <c r="M1560" s="663"/>
      <c r="N1560" s="665"/>
      <c r="O1560" s="665"/>
      <c r="P1560" s="666"/>
      <c r="Q1560" s="667"/>
      <c r="R1560" s="668"/>
      <c r="S1560" s="693"/>
      <c r="T1560" s="694"/>
      <c r="U1560" s="694"/>
      <c r="V1560" s="693"/>
      <c r="W1560" s="693"/>
      <c r="X1560" s="693"/>
      <c r="Y1560" s="671"/>
      <c r="Z1560" s="673"/>
      <c r="AA1560" s="672"/>
      <c r="AB1560" s="695"/>
      <c r="AC1560" s="673"/>
      <c r="AD1560" s="673"/>
      <c r="AE1560" s="673"/>
      <c r="AF1560" s="673"/>
      <c r="AG1560" s="673"/>
      <c r="AH1560" s="673"/>
      <c r="AI1560" s="673"/>
      <c r="AJ1560" s="673"/>
      <c r="AK1560" s="673"/>
      <c r="AL1560" s="673"/>
      <c r="AM1560" s="673"/>
      <c r="AN1560" s="673"/>
      <c r="AO1560" s="673"/>
      <c r="AP1560" s="673"/>
      <c r="AQ1560" s="673"/>
      <c r="AR1560" s="673"/>
      <c r="AS1560" s="673"/>
      <c r="AT1560" s="696"/>
    </row>
    <row r="1561" ht="15.75" customHeight="1">
      <c r="A1561" s="653"/>
      <c r="B1561" s="654"/>
      <c r="C1561" s="691"/>
      <c r="D1561" s="656"/>
      <c r="E1561" s="657"/>
      <c r="F1561" s="658"/>
      <c r="G1561" s="659"/>
      <c r="H1561" s="660"/>
      <c r="I1561" s="659"/>
      <c r="J1561" s="661"/>
      <c r="K1561" s="692"/>
      <c r="L1561" s="645"/>
      <c r="M1561" s="663"/>
      <c r="N1561" s="665"/>
      <c r="O1561" s="665"/>
      <c r="P1561" s="666"/>
      <c r="Q1561" s="667"/>
      <c r="R1561" s="668"/>
      <c r="S1561" s="693"/>
      <c r="T1561" s="694"/>
      <c r="U1561" s="694"/>
      <c r="V1561" s="693"/>
      <c r="W1561" s="693"/>
      <c r="X1561" s="693"/>
      <c r="Y1561" s="671"/>
      <c r="Z1561" s="673"/>
      <c r="AA1561" s="672"/>
      <c r="AB1561" s="695"/>
      <c r="AC1561" s="673"/>
      <c r="AD1561" s="673"/>
      <c r="AE1561" s="673"/>
      <c r="AF1561" s="673"/>
      <c r="AG1561" s="673"/>
      <c r="AH1561" s="673"/>
      <c r="AI1561" s="673"/>
      <c r="AJ1561" s="673"/>
      <c r="AK1561" s="673"/>
      <c r="AL1561" s="673"/>
      <c r="AM1561" s="673"/>
      <c r="AN1561" s="673"/>
      <c r="AO1561" s="673"/>
      <c r="AP1561" s="673"/>
      <c r="AQ1561" s="673"/>
      <c r="AR1561" s="673"/>
      <c r="AS1561" s="673"/>
      <c r="AT1561" s="696"/>
    </row>
    <row r="1562" ht="15.75" customHeight="1">
      <c r="A1562" s="653"/>
      <c r="B1562" s="654"/>
      <c r="C1562" s="691"/>
      <c r="D1562" s="656"/>
      <c r="E1562" s="657"/>
      <c r="F1562" s="658"/>
      <c r="G1562" s="659"/>
      <c r="H1562" s="660"/>
      <c r="I1562" s="659"/>
      <c r="J1562" s="661"/>
      <c r="K1562" s="692"/>
      <c r="L1562" s="645"/>
      <c r="M1562" s="663"/>
      <c r="N1562" s="665"/>
      <c r="O1562" s="665"/>
      <c r="P1562" s="666"/>
      <c r="Q1562" s="667"/>
      <c r="R1562" s="668"/>
      <c r="S1562" s="693"/>
      <c r="T1562" s="694"/>
      <c r="U1562" s="694"/>
      <c r="V1562" s="693"/>
      <c r="W1562" s="693"/>
      <c r="X1562" s="693"/>
      <c r="Y1562" s="671"/>
      <c r="Z1562" s="673"/>
      <c r="AA1562" s="672"/>
      <c r="AB1562" s="695"/>
      <c r="AC1562" s="673"/>
      <c r="AD1562" s="673"/>
      <c r="AE1562" s="673"/>
      <c r="AF1562" s="673"/>
      <c r="AG1562" s="673"/>
      <c r="AH1562" s="673"/>
      <c r="AI1562" s="673"/>
      <c r="AJ1562" s="673"/>
      <c r="AK1562" s="673"/>
      <c r="AL1562" s="673"/>
      <c r="AM1562" s="673"/>
      <c r="AN1562" s="673"/>
      <c r="AO1562" s="673"/>
      <c r="AP1562" s="673"/>
      <c r="AQ1562" s="673"/>
      <c r="AR1562" s="673"/>
      <c r="AS1562" s="673"/>
      <c r="AT1562" s="696"/>
    </row>
    <row r="1563" ht="15.75" customHeight="1">
      <c r="A1563" s="653"/>
      <c r="B1563" s="654"/>
      <c r="C1563" s="691"/>
      <c r="D1563" s="656"/>
      <c r="E1563" s="657"/>
      <c r="F1563" s="658"/>
      <c r="G1563" s="659"/>
      <c r="H1563" s="660"/>
      <c r="I1563" s="659"/>
      <c r="J1563" s="661"/>
      <c r="K1563" s="692"/>
      <c r="L1563" s="645"/>
      <c r="M1563" s="663"/>
      <c r="N1563" s="665"/>
      <c r="O1563" s="665"/>
      <c r="P1563" s="666"/>
      <c r="Q1563" s="667"/>
      <c r="R1563" s="668"/>
      <c r="S1563" s="693"/>
      <c r="T1563" s="694"/>
      <c r="U1563" s="694"/>
      <c r="V1563" s="693"/>
      <c r="W1563" s="693"/>
      <c r="X1563" s="693"/>
      <c r="Y1563" s="671"/>
      <c r="Z1563" s="673"/>
      <c r="AA1563" s="672"/>
      <c r="AB1563" s="695"/>
      <c r="AC1563" s="673"/>
      <c r="AD1563" s="673"/>
      <c r="AE1563" s="673"/>
      <c r="AF1563" s="673"/>
      <c r="AG1563" s="673"/>
      <c r="AH1563" s="673"/>
      <c r="AI1563" s="673"/>
      <c r="AJ1563" s="673"/>
      <c r="AK1563" s="673"/>
      <c r="AL1563" s="673"/>
      <c r="AM1563" s="673"/>
      <c r="AN1563" s="673"/>
      <c r="AO1563" s="673"/>
      <c r="AP1563" s="673"/>
      <c r="AQ1563" s="673"/>
      <c r="AR1563" s="673"/>
      <c r="AS1563" s="673"/>
      <c r="AT1563" s="696"/>
    </row>
    <row r="1564" ht="15.75" customHeight="1">
      <c r="A1564" s="653"/>
      <c r="B1564" s="654"/>
      <c r="C1564" s="691"/>
      <c r="D1564" s="656"/>
      <c r="E1564" s="657"/>
      <c r="F1564" s="658"/>
      <c r="G1564" s="659"/>
      <c r="H1564" s="660"/>
      <c r="I1564" s="659"/>
      <c r="J1564" s="661"/>
      <c r="K1564" s="692"/>
      <c r="L1564" s="645"/>
      <c r="M1564" s="663"/>
      <c r="N1564" s="665"/>
      <c r="O1564" s="665"/>
      <c r="P1564" s="666"/>
      <c r="Q1564" s="667"/>
      <c r="R1564" s="668"/>
      <c r="S1564" s="693"/>
      <c r="T1564" s="694"/>
      <c r="U1564" s="694"/>
      <c r="V1564" s="693"/>
      <c r="W1564" s="693"/>
      <c r="X1564" s="693"/>
      <c r="Y1564" s="671"/>
      <c r="Z1564" s="673"/>
      <c r="AA1564" s="672"/>
      <c r="AB1564" s="695"/>
      <c r="AC1564" s="673"/>
      <c r="AD1564" s="673"/>
      <c r="AE1564" s="673"/>
      <c r="AF1564" s="673"/>
      <c r="AG1564" s="673"/>
      <c r="AH1564" s="673"/>
      <c r="AI1564" s="673"/>
      <c r="AJ1564" s="673"/>
      <c r="AK1564" s="673"/>
      <c r="AL1564" s="673"/>
      <c r="AM1564" s="673"/>
      <c r="AN1564" s="673"/>
      <c r="AO1564" s="673"/>
      <c r="AP1564" s="673"/>
      <c r="AQ1564" s="673"/>
      <c r="AR1564" s="673"/>
      <c r="AS1564" s="673"/>
      <c r="AT1564" s="696"/>
    </row>
    <row r="1565" ht="15.75" customHeight="1">
      <c r="A1565" s="653"/>
      <c r="B1565" s="654"/>
      <c r="C1565" s="691"/>
      <c r="D1565" s="656"/>
      <c r="E1565" s="657"/>
      <c r="F1565" s="658"/>
      <c r="G1565" s="659"/>
      <c r="H1565" s="660"/>
      <c r="I1565" s="659"/>
      <c r="J1565" s="661"/>
      <c r="K1565" s="692"/>
      <c r="L1565" s="645"/>
      <c r="M1565" s="663"/>
      <c r="N1565" s="665"/>
      <c r="O1565" s="665"/>
      <c r="P1565" s="666"/>
      <c r="Q1565" s="667"/>
      <c r="R1565" s="668"/>
      <c r="S1565" s="693"/>
      <c r="T1565" s="694"/>
      <c r="U1565" s="694"/>
      <c r="V1565" s="693"/>
      <c r="W1565" s="693"/>
      <c r="X1565" s="693"/>
      <c r="Y1565" s="671"/>
      <c r="Z1565" s="673"/>
      <c r="AA1565" s="672"/>
      <c r="AB1565" s="695"/>
      <c r="AC1565" s="673"/>
      <c r="AD1565" s="673"/>
      <c r="AE1565" s="673"/>
      <c r="AF1565" s="673"/>
      <c r="AG1565" s="673"/>
      <c r="AH1565" s="673"/>
      <c r="AI1565" s="673"/>
      <c r="AJ1565" s="673"/>
      <c r="AK1565" s="673"/>
      <c r="AL1565" s="673"/>
      <c r="AM1565" s="673"/>
      <c r="AN1565" s="673"/>
      <c r="AO1565" s="673"/>
      <c r="AP1565" s="673"/>
      <c r="AQ1565" s="673"/>
      <c r="AR1565" s="673"/>
      <c r="AS1565" s="673"/>
      <c r="AT1565" s="696"/>
    </row>
    <row r="1566" ht="15.75" customHeight="1">
      <c r="A1566" s="653"/>
      <c r="B1566" s="654"/>
      <c r="C1566" s="691"/>
      <c r="D1566" s="656"/>
      <c r="E1566" s="657"/>
      <c r="F1566" s="658"/>
      <c r="G1566" s="659"/>
      <c r="H1566" s="660"/>
      <c r="I1566" s="659"/>
      <c r="J1566" s="661"/>
      <c r="K1566" s="692"/>
      <c r="L1566" s="645"/>
      <c r="M1566" s="663"/>
      <c r="N1566" s="665"/>
      <c r="O1566" s="665"/>
      <c r="P1566" s="666"/>
      <c r="Q1566" s="667"/>
      <c r="R1566" s="668"/>
      <c r="S1566" s="693"/>
      <c r="T1566" s="694"/>
      <c r="U1566" s="694"/>
      <c r="V1566" s="693"/>
      <c r="W1566" s="693"/>
      <c r="X1566" s="693"/>
      <c r="Y1566" s="671"/>
      <c r="Z1566" s="673"/>
      <c r="AA1566" s="672"/>
      <c r="AB1566" s="695"/>
      <c r="AC1566" s="673"/>
      <c r="AD1566" s="673"/>
      <c r="AE1566" s="673"/>
      <c r="AF1566" s="673"/>
      <c r="AG1566" s="673"/>
      <c r="AH1566" s="673"/>
      <c r="AI1566" s="673"/>
      <c r="AJ1566" s="673"/>
      <c r="AK1566" s="673"/>
      <c r="AL1566" s="673"/>
      <c r="AM1566" s="673"/>
      <c r="AN1566" s="673"/>
      <c r="AO1566" s="673"/>
      <c r="AP1566" s="673"/>
      <c r="AQ1566" s="673"/>
      <c r="AR1566" s="673"/>
      <c r="AS1566" s="673"/>
      <c r="AT1566" s="696"/>
    </row>
    <row r="1567" ht="15.75" customHeight="1">
      <c r="A1567" s="653"/>
      <c r="B1567" s="654"/>
      <c r="C1567" s="691"/>
      <c r="D1567" s="656"/>
      <c r="E1567" s="657"/>
      <c r="F1567" s="658"/>
      <c r="G1567" s="659"/>
      <c r="H1567" s="660"/>
      <c r="I1567" s="659"/>
      <c r="J1567" s="661"/>
      <c r="K1567" s="692"/>
      <c r="L1567" s="645"/>
      <c r="M1567" s="663"/>
      <c r="N1567" s="665"/>
      <c r="O1567" s="665"/>
      <c r="P1567" s="666"/>
      <c r="Q1567" s="667"/>
      <c r="R1567" s="668"/>
      <c r="S1567" s="693"/>
      <c r="T1567" s="694"/>
      <c r="U1567" s="694"/>
      <c r="V1567" s="693"/>
      <c r="W1567" s="693"/>
      <c r="X1567" s="693"/>
      <c r="Y1567" s="671"/>
      <c r="Z1567" s="673"/>
      <c r="AA1567" s="672"/>
      <c r="AB1567" s="695"/>
      <c r="AC1567" s="673"/>
      <c r="AD1567" s="673"/>
      <c r="AE1567" s="673"/>
      <c r="AF1567" s="673"/>
      <c r="AG1567" s="673"/>
      <c r="AH1567" s="673"/>
      <c r="AI1567" s="673"/>
      <c r="AJ1567" s="673"/>
      <c r="AK1567" s="673"/>
      <c r="AL1567" s="673"/>
      <c r="AM1567" s="673"/>
      <c r="AN1567" s="673"/>
      <c r="AO1567" s="673"/>
      <c r="AP1567" s="673"/>
      <c r="AQ1567" s="673"/>
      <c r="AR1567" s="673"/>
      <c r="AS1567" s="673"/>
      <c r="AT1567" s="696"/>
    </row>
    <row r="1568" ht="15.75" customHeight="1">
      <c r="A1568" s="653"/>
      <c r="B1568" s="654"/>
      <c r="C1568" s="691"/>
      <c r="D1568" s="656"/>
      <c r="E1568" s="657"/>
      <c r="F1568" s="658"/>
      <c r="G1568" s="659"/>
      <c r="H1568" s="660"/>
      <c r="I1568" s="659"/>
      <c r="J1568" s="661"/>
      <c r="K1568" s="692"/>
      <c r="L1568" s="645"/>
      <c r="M1568" s="663"/>
      <c r="N1568" s="665"/>
      <c r="O1568" s="665"/>
      <c r="P1568" s="666"/>
      <c r="Q1568" s="667"/>
      <c r="R1568" s="668"/>
      <c r="S1568" s="693"/>
      <c r="T1568" s="694"/>
      <c r="U1568" s="694"/>
      <c r="V1568" s="693"/>
      <c r="W1568" s="693"/>
      <c r="X1568" s="693"/>
      <c r="Y1568" s="671"/>
      <c r="Z1568" s="673"/>
      <c r="AA1568" s="672"/>
      <c r="AB1568" s="695"/>
      <c r="AC1568" s="673"/>
      <c r="AD1568" s="673"/>
      <c r="AE1568" s="673"/>
      <c r="AF1568" s="673"/>
      <c r="AG1568" s="673"/>
      <c r="AH1568" s="673"/>
      <c r="AI1568" s="673"/>
      <c r="AJ1568" s="673"/>
      <c r="AK1568" s="673"/>
      <c r="AL1568" s="673"/>
      <c r="AM1568" s="673"/>
      <c r="AN1568" s="673"/>
      <c r="AO1568" s="673"/>
      <c r="AP1568" s="673"/>
      <c r="AQ1568" s="673"/>
      <c r="AR1568" s="673"/>
      <c r="AS1568" s="673"/>
      <c r="AT1568" s="696"/>
    </row>
    <row r="1569" ht="15.75" customHeight="1">
      <c r="A1569" s="653"/>
      <c r="B1569" s="654"/>
      <c r="C1569" s="691"/>
      <c r="D1569" s="656"/>
      <c r="E1569" s="657"/>
      <c r="F1569" s="658"/>
      <c r="G1569" s="659"/>
      <c r="H1569" s="660"/>
      <c r="I1569" s="659"/>
      <c r="J1569" s="661"/>
      <c r="K1569" s="692"/>
      <c r="L1569" s="645"/>
      <c r="M1569" s="663"/>
      <c r="N1569" s="665"/>
      <c r="O1569" s="665"/>
      <c r="P1569" s="666"/>
      <c r="Q1569" s="667"/>
      <c r="R1569" s="668"/>
      <c r="S1569" s="693"/>
      <c r="T1569" s="694"/>
      <c r="U1569" s="694"/>
      <c r="V1569" s="693"/>
      <c r="W1569" s="693"/>
      <c r="X1569" s="693"/>
      <c r="Y1569" s="671"/>
      <c r="Z1569" s="673"/>
      <c r="AA1569" s="672"/>
      <c r="AB1569" s="695"/>
      <c r="AC1569" s="673"/>
      <c r="AD1569" s="673"/>
      <c r="AE1569" s="673"/>
      <c r="AF1569" s="673"/>
      <c r="AG1569" s="673"/>
      <c r="AH1569" s="673"/>
      <c r="AI1569" s="673"/>
      <c r="AJ1569" s="673"/>
      <c r="AK1569" s="673"/>
      <c r="AL1569" s="673"/>
      <c r="AM1569" s="673"/>
      <c r="AN1569" s="673"/>
      <c r="AO1569" s="673"/>
      <c r="AP1569" s="673"/>
      <c r="AQ1569" s="673"/>
      <c r="AR1569" s="673"/>
      <c r="AS1569" s="673"/>
      <c r="AT1569" s="696"/>
    </row>
    <row r="1570" ht="15.75" customHeight="1">
      <c r="A1570" s="653"/>
      <c r="B1570" s="654"/>
      <c r="C1570" s="691"/>
      <c r="D1570" s="656"/>
      <c r="E1570" s="657"/>
      <c r="F1570" s="658"/>
      <c r="G1570" s="659"/>
      <c r="H1570" s="660"/>
      <c r="I1570" s="659"/>
      <c r="J1570" s="661"/>
      <c r="K1570" s="692"/>
      <c r="L1570" s="645"/>
      <c r="M1570" s="663"/>
      <c r="N1570" s="665"/>
      <c r="O1570" s="665"/>
      <c r="P1570" s="666"/>
      <c r="Q1570" s="667"/>
      <c r="R1570" s="668"/>
      <c r="S1570" s="693"/>
      <c r="T1570" s="694"/>
      <c r="U1570" s="694"/>
      <c r="V1570" s="693"/>
      <c r="W1570" s="693"/>
      <c r="X1570" s="693"/>
      <c r="Y1570" s="671"/>
      <c r="Z1570" s="673"/>
      <c r="AA1570" s="672"/>
      <c r="AB1570" s="695"/>
      <c r="AC1570" s="673"/>
      <c r="AD1570" s="673"/>
      <c r="AE1570" s="673"/>
      <c r="AF1570" s="673"/>
      <c r="AG1570" s="673"/>
      <c r="AH1570" s="673"/>
      <c r="AI1570" s="673"/>
      <c r="AJ1570" s="673"/>
      <c r="AK1570" s="673"/>
      <c r="AL1570" s="673"/>
      <c r="AM1570" s="673"/>
      <c r="AN1570" s="673"/>
      <c r="AO1570" s="673"/>
      <c r="AP1570" s="673"/>
      <c r="AQ1570" s="673"/>
      <c r="AR1570" s="673"/>
      <c r="AS1570" s="673"/>
      <c r="AT1570" s="696"/>
    </row>
    <row r="1571" ht="15.75" customHeight="1">
      <c r="A1571" s="653"/>
      <c r="B1571" s="654"/>
      <c r="C1571" s="691"/>
      <c r="D1571" s="656"/>
      <c r="E1571" s="657"/>
      <c r="F1571" s="658"/>
      <c r="G1571" s="659"/>
      <c r="H1571" s="660"/>
      <c r="I1571" s="659"/>
      <c r="J1571" s="661"/>
      <c r="K1571" s="692"/>
      <c r="L1571" s="645"/>
      <c r="M1571" s="663"/>
      <c r="N1571" s="665"/>
      <c r="O1571" s="665"/>
      <c r="P1571" s="666"/>
      <c r="Q1571" s="667"/>
      <c r="R1571" s="668"/>
      <c r="S1571" s="693"/>
      <c r="T1571" s="694"/>
      <c r="U1571" s="694"/>
      <c r="V1571" s="693"/>
      <c r="W1571" s="693"/>
      <c r="X1571" s="693"/>
      <c r="Y1571" s="671"/>
      <c r="Z1571" s="673"/>
      <c r="AA1571" s="672"/>
      <c r="AB1571" s="695"/>
      <c r="AC1571" s="673"/>
      <c r="AD1571" s="673"/>
      <c r="AE1571" s="673"/>
      <c r="AF1571" s="673"/>
      <c r="AG1571" s="673"/>
      <c r="AH1571" s="673"/>
      <c r="AI1571" s="673"/>
      <c r="AJ1571" s="673"/>
      <c r="AK1571" s="673"/>
      <c r="AL1571" s="673"/>
      <c r="AM1571" s="673"/>
      <c r="AN1571" s="673"/>
      <c r="AO1571" s="673"/>
      <c r="AP1571" s="673"/>
      <c r="AQ1571" s="673"/>
      <c r="AR1571" s="673"/>
      <c r="AS1571" s="673"/>
      <c r="AT1571" s="696"/>
    </row>
    <row r="1572" ht="15.75" customHeight="1">
      <c r="A1572" s="653"/>
      <c r="B1572" s="654"/>
      <c r="C1572" s="691"/>
      <c r="D1572" s="656"/>
      <c r="E1572" s="657"/>
      <c r="F1572" s="658"/>
      <c r="G1572" s="659"/>
      <c r="H1572" s="660"/>
      <c r="I1572" s="659"/>
      <c r="J1572" s="661"/>
      <c r="K1572" s="692"/>
      <c r="L1572" s="645"/>
      <c r="M1572" s="663"/>
      <c r="N1572" s="665"/>
      <c r="O1572" s="665"/>
      <c r="P1572" s="666"/>
      <c r="Q1572" s="667"/>
      <c r="R1572" s="668"/>
      <c r="S1572" s="693"/>
      <c r="T1572" s="694"/>
      <c r="U1572" s="694"/>
      <c r="V1572" s="693"/>
      <c r="W1572" s="693"/>
      <c r="X1572" s="693"/>
      <c r="Y1572" s="671"/>
      <c r="Z1572" s="673"/>
      <c r="AA1572" s="672"/>
      <c r="AB1572" s="695"/>
      <c r="AC1572" s="673"/>
      <c r="AD1572" s="673"/>
      <c r="AE1572" s="673"/>
      <c r="AF1572" s="673"/>
      <c r="AG1572" s="673"/>
      <c r="AH1572" s="673"/>
      <c r="AI1572" s="673"/>
      <c r="AJ1572" s="673"/>
      <c r="AK1572" s="673"/>
      <c r="AL1572" s="673"/>
      <c r="AM1572" s="673"/>
      <c r="AN1572" s="673"/>
      <c r="AO1572" s="673"/>
      <c r="AP1572" s="673"/>
      <c r="AQ1572" s="673"/>
      <c r="AR1572" s="673"/>
      <c r="AS1572" s="673"/>
      <c r="AT1572" s="696"/>
    </row>
    <row r="1573" ht="15.75" customHeight="1">
      <c r="A1573" s="653"/>
      <c r="B1573" s="654"/>
      <c r="C1573" s="691"/>
      <c r="D1573" s="656"/>
      <c r="E1573" s="657"/>
      <c r="F1573" s="658"/>
      <c r="G1573" s="659"/>
      <c r="H1573" s="660"/>
      <c r="I1573" s="659"/>
      <c r="J1573" s="661"/>
      <c r="K1573" s="692"/>
      <c r="L1573" s="645"/>
      <c r="M1573" s="663"/>
      <c r="N1573" s="665"/>
      <c r="O1573" s="665"/>
      <c r="P1573" s="666"/>
      <c r="Q1573" s="667"/>
      <c r="R1573" s="668"/>
      <c r="S1573" s="693"/>
      <c r="T1573" s="694"/>
      <c r="U1573" s="694"/>
      <c r="V1573" s="693"/>
      <c r="W1573" s="693"/>
      <c r="X1573" s="693"/>
      <c r="Y1573" s="671"/>
      <c r="Z1573" s="673"/>
      <c r="AA1573" s="672"/>
      <c r="AB1573" s="695"/>
      <c r="AC1573" s="673"/>
      <c r="AD1573" s="673"/>
      <c r="AE1573" s="673"/>
      <c r="AF1573" s="673"/>
      <c r="AG1573" s="673"/>
      <c r="AH1573" s="673"/>
      <c r="AI1573" s="673"/>
      <c r="AJ1573" s="673"/>
      <c r="AK1573" s="673"/>
      <c r="AL1573" s="673"/>
      <c r="AM1573" s="673"/>
      <c r="AN1573" s="673"/>
      <c r="AO1573" s="673"/>
      <c r="AP1573" s="673"/>
      <c r="AQ1573" s="673"/>
      <c r="AR1573" s="673"/>
      <c r="AS1573" s="673"/>
      <c r="AT1573" s="696"/>
    </row>
    <row r="1574" ht="15.75" customHeight="1">
      <c r="A1574" s="653"/>
      <c r="B1574" s="654"/>
      <c r="C1574" s="691"/>
      <c r="D1574" s="656"/>
      <c r="E1574" s="657"/>
      <c r="F1574" s="658"/>
      <c r="G1574" s="659"/>
      <c r="H1574" s="660"/>
      <c r="I1574" s="659"/>
      <c r="J1574" s="661"/>
      <c r="K1574" s="692"/>
      <c r="L1574" s="645"/>
      <c r="M1574" s="663"/>
      <c r="N1574" s="665"/>
      <c r="O1574" s="665"/>
      <c r="P1574" s="666"/>
      <c r="Q1574" s="667"/>
      <c r="R1574" s="668"/>
      <c r="S1574" s="693"/>
      <c r="T1574" s="694"/>
      <c r="U1574" s="694"/>
      <c r="V1574" s="693"/>
      <c r="W1574" s="693"/>
      <c r="X1574" s="693"/>
      <c r="Y1574" s="671"/>
      <c r="Z1574" s="673"/>
      <c r="AA1574" s="672"/>
      <c r="AB1574" s="695"/>
      <c r="AC1574" s="673"/>
      <c r="AD1574" s="673"/>
      <c r="AE1574" s="673"/>
      <c r="AF1574" s="673"/>
      <c r="AG1574" s="673"/>
      <c r="AH1574" s="673"/>
      <c r="AI1574" s="673"/>
      <c r="AJ1574" s="673"/>
      <c r="AK1574" s="673"/>
      <c r="AL1574" s="673"/>
      <c r="AM1574" s="673"/>
      <c r="AN1574" s="673"/>
      <c r="AO1574" s="673"/>
      <c r="AP1574" s="673"/>
      <c r="AQ1574" s="673"/>
      <c r="AR1574" s="673"/>
      <c r="AS1574" s="673"/>
      <c r="AT1574" s="696"/>
    </row>
    <row r="1575" ht="15.75" customHeight="1">
      <c r="A1575" s="653"/>
      <c r="B1575" s="654"/>
      <c r="C1575" s="691"/>
      <c r="D1575" s="656"/>
      <c r="E1575" s="657"/>
      <c r="F1575" s="658"/>
      <c r="G1575" s="659"/>
      <c r="H1575" s="660"/>
      <c r="I1575" s="659"/>
      <c r="J1575" s="661"/>
      <c r="K1575" s="692"/>
      <c r="L1575" s="645"/>
      <c r="M1575" s="663"/>
      <c r="N1575" s="665"/>
      <c r="O1575" s="665"/>
      <c r="P1575" s="666"/>
      <c r="Q1575" s="667"/>
      <c r="R1575" s="668"/>
      <c r="S1575" s="693"/>
      <c r="T1575" s="694"/>
      <c r="U1575" s="694"/>
      <c r="V1575" s="693"/>
      <c r="W1575" s="693"/>
      <c r="X1575" s="693"/>
      <c r="Y1575" s="671"/>
      <c r="Z1575" s="673"/>
      <c r="AA1575" s="672"/>
      <c r="AB1575" s="695"/>
      <c r="AC1575" s="673"/>
      <c r="AD1575" s="673"/>
      <c r="AE1575" s="673"/>
      <c r="AF1575" s="673"/>
      <c r="AG1575" s="673"/>
      <c r="AH1575" s="673"/>
      <c r="AI1575" s="673"/>
      <c r="AJ1575" s="673"/>
      <c r="AK1575" s="673"/>
      <c r="AL1575" s="673"/>
      <c r="AM1575" s="673"/>
      <c r="AN1575" s="673"/>
      <c r="AO1575" s="673"/>
      <c r="AP1575" s="673"/>
      <c r="AQ1575" s="673"/>
      <c r="AR1575" s="673"/>
      <c r="AS1575" s="673"/>
      <c r="AT1575" s="696"/>
    </row>
    <row r="1576" ht="15.75" customHeight="1">
      <c r="A1576" s="653"/>
      <c r="B1576" s="654"/>
      <c r="C1576" s="691"/>
      <c r="D1576" s="656"/>
      <c r="E1576" s="657"/>
      <c r="F1576" s="658"/>
      <c r="G1576" s="659"/>
      <c r="H1576" s="660"/>
      <c r="I1576" s="659"/>
      <c r="J1576" s="661"/>
      <c r="K1576" s="692"/>
      <c r="L1576" s="645"/>
      <c r="M1576" s="663"/>
      <c r="N1576" s="665"/>
      <c r="O1576" s="665"/>
      <c r="P1576" s="666"/>
      <c r="Q1576" s="667"/>
      <c r="R1576" s="668"/>
      <c r="S1576" s="693"/>
      <c r="T1576" s="694"/>
      <c r="U1576" s="694"/>
      <c r="V1576" s="693"/>
      <c r="W1576" s="693"/>
      <c r="X1576" s="693"/>
      <c r="Y1576" s="671"/>
      <c r="Z1576" s="673"/>
      <c r="AA1576" s="672"/>
      <c r="AB1576" s="695"/>
      <c r="AC1576" s="673"/>
      <c r="AD1576" s="673"/>
      <c r="AE1576" s="673"/>
      <c r="AF1576" s="673"/>
      <c r="AG1576" s="673"/>
      <c r="AH1576" s="673"/>
      <c r="AI1576" s="673"/>
      <c r="AJ1576" s="673"/>
      <c r="AK1576" s="673"/>
      <c r="AL1576" s="673"/>
      <c r="AM1576" s="673"/>
      <c r="AN1576" s="673"/>
      <c r="AO1576" s="673"/>
      <c r="AP1576" s="673"/>
      <c r="AQ1576" s="673"/>
      <c r="AR1576" s="673"/>
      <c r="AS1576" s="673"/>
      <c r="AT1576" s="696"/>
    </row>
    <row r="1577" ht="15.75" customHeight="1">
      <c r="A1577" s="653"/>
      <c r="B1577" s="654"/>
      <c r="C1577" s="691"/>
      <c r="D1577" s="656"/>
      <c r="E1577" s="657"/>
      <c r="F1577" s="658"/>
      <c r="G1577" s="659"/>
      <c r="H1577" s="660"/>
      <c r="I1577" s="659"/>
      <c r="J1577" s="661"/>
      <c r="K1577" s="692"/>
      <c r="L1577" s="645"/>
      <c r="M1577" s="663"/>
      <c r="N1577" s="665"/>
      <c r="O1577" s="665"/>
      <c r="P1577" s="666"/>
      <c r="Q1577" s="667"/>
      <c r="R1577" s="668"/>
      <c r="S1577" s="693"/>
      <c r="T1577" s="694"/>
      <c r="U1577" s="694"/>
      <c r="V1577" s="693"/>
      <c r="W1577" s="693"/>
      <c r="X1577" s="693"/>
      <c r="Y1577" s="671"/>
      <c r="Z1577" s="673"/>
      <c r="AA1577" s="672"/>
      <c r="AB1577" s="695"/>
      <c r="AC1577" s="673"/>
      <c r="AD1577" s="673"/>
      <c r="AE1577" s="673"/>
      <c r="AF1577" s="673"/>
      <c r="AG1577" s="673"/>
      <c r="AH1577" s="673"/>
      <c r="AI1577" s="673"/>
      <c r="AJ1577" s="673"/>
      <c r="AK1577" s="673"/>
      <c r="AL1577" s="673"/>
      <c r="AM1577" s="673"/>
      <c r="AN1577" s="673"/>
      <c r="AO1577" s="673"/>
      <c r="AP1577" s="673"/>
      <c r="AQ1577" s="673"/>
      <c r="AR1577" s="673"/>
      <c r="AS1577" s="673"/>
      <c r="AT1577" s="696"/>
    </row>
    <row r="1578" ht="15.75" customHeight="1">
      <c r="A1578" s="653"/>
      <c r="B1578" s="654"/>
      <c r="C1578" s="691"/>
      <c r="D1578" s="656"/>
      <c r="E1578" s="657"/>
      <c r="F1578" s="658"/>
      <c r="G1578" s="659"/>
      <c r="H1578" s="660"/>
      <c r="I1578" s="659"/>
      <c r="J1578" s="661"/>
      <c r="K1578" s="692"/>
      <c r="L1578" s="645"/>
      <c r="M1578" s="663"/>
      <c r="N1578" s="665"/>
      <c r="O1578" s="665"/>
      <c r="P1578" s="666"/>
      <c r="Q1578" s="667"/>
      <c r="R1578" s="668"/>
      <c r="S1578" s="693"/>
      <c r="T1578" s="694"/>
      <c r="U1578" s="694"/>
      <c r="V1578" s="693"/>
      <c r="W1578" s="693"/>
      <c r="X1578" s="693"/>
      <c r="Y1578" s="671"/>
      <c r="Z1578" s="673"/>
      <c r="AA1578" s="672"/>
      <c r="AB1578" s="695"/>
      <c r="AC1578" s="673"/>
      <c r="AD1578" s="673"/>
      <c r="AE1578" s="673"/>
      <c r="AF1578" s="673"/>
      <c r="AG1578" s="673"/>
      <c r="AH1578" s="673"/>
      <c r="AI1578" s="673"/>
      <c r="AJ1578" s="673"/>
      <c r="AK1578" s="673"/>
      <c r="AL1578" s="673"/>
      <c r="AM1578" s="673"/>
      <c r="AN1578" s="673"/>
      <c r="AO1578" s="673"/>
      <c r="AP1578" s="673"/>
      <c r="AQ1578" s="673"/>
      <c r="AR1578" s="673"/>
      <c r="AS1578" s="673"/>
      <c r="AT1578" s="696"/>
    </row>
    <row r="1579" ht="15.75" customHeight="1">
      <c r="A1579" s="653"/>
      <c r="B1579" s="654"/>
      <c r="C1579" s="691"/>
      <c r="D1579" s="656"/>
      <c r="E1579" s="657"/>
      <c r="F1579" s="658"/>
      <c r="G1579" s="659"/>
      <c r="H1579" s="660"/>
      <c r="I1579" s="659"/>
      <c r="J1579" s="661"/>
      <c r="K1579" s="692"/>
      <c r="L1579" s="645"/>
      <c r="M1579" s="663"/>
      <c r="N1579" s="665"/>
      <c r="O1579" s="665"/>
      <c r="P1579" s="666"/>
      <c r="Q1579" s="667"/>
      <c r="R1579" s="668"/>
      <c r="S1579" s="693"/>
      <c r="T1579" s="694"/>
      <c r="U1579" s="694"/>
      <c r="V1579" s="693"/>
      <c r="W1579" s="693"/>
      <c r="X1579" s="693"/>
      <c r="Y1579" s="671"/>
      <c r="Z1579" s="673"/>
      <c r="AA1579" s="672"/>
      <c r="AB1579" s="695"/>
      <c r="AC1579" s="673"/>
      <c r="AD1579" s="673"/>
      <c r="AE1579" s="673"/>
      <c r="AF1579" s="673"/>
      <c r="AG1579" s="673"/>
      <c r="AH1579" s="673"/>
      <c r="AI1579" s="673"/>
      <c r="AJ1579" s="673"/>
      <c r="AK1579" s="673"/>
      <c r="AL1579" s="673"/>
      <c r="AM1579" s="673"/>
      <c r="AN1579" s="673"/>
      <c r="AO1579" s="673"/>
      <c r="AP1579" s="673"/>
      <c r="AQ1579" s="673"/>
      <c r="AR1579" s="673"/>
      <c r="AS1579" s="673"/>
      <c r="AT1579" s="696"/>
    </row>
    <row r="1580" ht="15.75" customHeight="1">
      <c r="A1580" s="653"/>
      <c r="B1580" s="654"/>
      <c r="C1580" s="691"/>
      <c r="D1580" s="656"/>
      <c r="E1580" s="657"/>
      <c r="F1580" s="658"/>
      <c r="G1580" s="659"/>
      <c r="H1580" s="660"/>
      <c r="I1580" s="659"/>
      <c r="J1580" s="661"/>
      <c r="K1580" s="692"/>
      <c r="L1580" s="645"/>
      <c r="M1580" s="663"/>
      <c r="N1580" s="665"/>
      <c r="O1580" s="665"/>
      <c r="P1580" s="666"/>
      <c r="Q1580" s="667"/>
      <c r="R1580" s="668"/>
      <c r="S1580" s="693"/>
      <c r="T1580" s="694"/>
      <c r="U1580" s="694"/>
      <c r="V1580" s="693"/>
      <c r="W1580" s="693"/>
      <c r="X1580" s="693"/>
      <c r="Y1580" s="671"/>
      <c r="Z1580" s="673"/>
      <c r="AA1580" s="672"/>
      <c r="AB1580" s="695"/>
      <c r="AC1580" s="673"/>
      <c r="AD1580" s="673"/>
      <c r="AE1580" s="673"/>
      <c r="AF1580" s="673"/>
      <c r="AG1580" s="673"/>
      <c r="AH1580" s="673"/>
      <c r="AI1580" s="673"/>
      <c r="AJ1580" s="673"/>
      <c r="AK1580" s="673"/>
      <c r="AL1580" s="673"/>
      <c r="AM1580" s="673"/>
      <c r="AN1580" s="673"/>
      <c r="AO1580" s="673"/>
      <c r="AP1580" s="673"/>
      <c r="AQ1580" s="673"/>
      <c r="AR1580" s="673"/>
      <c r="AS1580" s="673"/>
      <c r="AT1580" s="696"/>
    </row>
    <row r="1581" ht="15.75" customHeight="1">
      <c r="A1581" s="653"/>
      <c r="B1581" s="654"/>
      <c r="C1581" s="691"/>
      <c r="D1581" s="656"/>
      <c r="E1581" s="657"/>
      <c r="F1581" s="658"/>
      <c r="G1581" s="659"/>
      <c r="H1581" s="660"/>
      <c r="I1581" s="659"/>
      <c r="J1581" s="661"/>
      <c r="K1581" s="692"/>
      <c r="L1581" s="645"/>
      <c r="M1581" s="663"/>
      <c r="N1581" s="665"/>
      <c r="O1581" s="665"/>
      <c r="P1581" s="666"/>
      <c r="Q1581" s="667"/>
      <c r="R1581" s="668"/>
      <c r="S1581" s="693"/>
      <c r="T1581" s="694"/>
      <c r="U1581" s="694"/>
      <c r="V1581" s="693"/>
      <c r="W1581" s="693"/>
      <c r="X1581" s="693"/>
      <c r="Y1581" s="671"/>
      <c r="Z1581" s="673"/>
      <c r="AA1581" s="672"/>
      <c r="AB1581" s="695"/>
      <c r="AC1581" s="673"/>
      <c r="AD1581" s="673"/>
      <c r="AE1581" s="673"/>
      <c r="AF1581" s="673"/>
      <c r="AG1581" s="673"/>
      <c r="AH1581" s="673"/>
      <c r="AI1581" s="673"/>
      <c r="AJ1581" s="673"/>
      <c r="AK1581" s="673"/>
      <c r="AL1581" s="673"/>
      <c r="AM1581" s="673"/>
      <c r="AN1581" s="673"/>
      <c r="AO1581" s="673"/>
      <c r="AP1581" s="673"/>
      <c r="AQ1581" s="673"/>
      <c r="AR1581" s="673"/>
      <c r="AS1581" s="673"/>
      <c r="AT1581" s="696"/>
    </row>
    <row r="1582" ht="15.75" customHeight="1">
      <c r="A1582" s="653"/>
      <c r="B1582" s="654"/>
      <c r="C1582" s="691"/>
      <c r="D1582" s="656"/>
      <c r="E1582" s="657"/>
      <c r="F1582" s="658"/>
      <c r="G1582" s="659"/>
      <c r="H1582" s="660"/>
      <c r="I1582" s="659"/>
      <c r="J1582" s="661"/>
      <c r="K1582" s="692"/>
      <c r="L1582" s="645"/>
      <c r="M1582" s="663"/>
      <c r="N1582" s="665"/>
      <c r="O1582" s="665"/>
      <c r="P1582" s="666"/>
      <c r="Q1582" s="667"/>
      <c r="R1582" s="668"/>
      <c r="S1582" s="693"/>
      <c r="T1582" s="694"/>
      <c r="U1582" s="694"/>
      <c r="V1582" s="693"/>
      <c r="W1582" s="693"/>
      <c r="X1582" s="693"/>
      <c r="Y1582" s="671"/>
      <c r="Z1582" s="673"/>
      <c r="AA1582" s="672"/>
      <c r="AB1582" s="695"/>
      <c r="AC1582" s="673"/>
      <c r="AD1582" s="673"/>
      <c r="AE1582" s="673"/>
      <c r="AF1582" s="673"/>
      <c r="AG1582" s="673"/>
      <c r="AH1582" s="673"/>
      <c r="AI1582" s="673"/>
      <c r="AJ1582" s="673"/>
      <c r="AK1582" s="673"/>
      <c r="AL1582" s="673"/>
      <c r="AM1582" s="673"/>
      <c r="AN1582" s="673"/>
      <c r="AO1582" s="673"/>
      <c r="AP1582" s="673"/>
      <c r="AQ1582" s="673"/>
      <c r="AR1582" s="673"/>
      <c r="AS1582" s="673"/>
      <c r="AT1582" s="696"/>
    </row>
    <row r="1583" ht="15.75" customHeight="1">
      <c r="A1583" s="653"/>
      <c r="B1583" s="654"/>
      <c r="C1583" s="691"/>
      <c r="D1583" s="656"/>
      <c r="E1583" s="657"/>
      <c r="F1583" s="658"/>
      <c r="G1583" s="659"/>
      <c r="H1583" s="660"/>
      <c r="I1583" s="659"/>
      <c r="J1583" s="661"/>
      <c r="K1583" s="692"/>
      <c r="L1583" s="645"/>
      <c r="M1583" s="663"/>
      <c r="N1583" s="665"/>
      <c r="O1583" s="665"/>
      <c r="P1583" s="666"/>
      <c r="Q1583" s="667"/>
      <c r="R1583" s="668"/>
      <c r="S1583" s="693"/>
      <c r="T1583" s="694"/>
      <c r="U1583" s="694"/>
      <c r="V1583" s="693"/>
      <c r="W1583" s="693"/>
      <c r="X1583" s="693"/>
      <c r="Y1583" s="671"/>
      <c r="Z1583" s="673"/>
      <c r="AA1583" s="672"/>
      <c r="AB1583" s="695"/>
      <c r="AC1583" s="673"/>
      <c r="AD1583" s="673"/>
      <c r="AE1583" s="673"/>
      <c r="AF1583" s="673"/>
      <c r="AG1583" s="673"/>
      <c r="AH1583" s="673"/>
      <c r="AI1583" s="673"/>
      <c r="AJ1583" s="673"/>
      <c r="AK1583" s="673"/>
      <c r="AL1583" s="673"/>
      <c r="AM1583" s="673"/>
      <c r="AN1583" s="673"/>
      <c r="AO1583" s="673"/>
      <c r="AP1583" s="673"/>
      <c r="AQ1583" s="673"/>
      <c r="AR1583" s="673"/>
      <c r="AS1583" s="673"/>
      <c r="AT1583" s="696"/>
    </row>
    <row r="1584" ht="15.75" customHeight="1">
      <c r="A1584" s="653"/>
      <c r="B1584" s="654"/>
      <c r="C1584" s="691"/>
      <c r="D1584" s="656"/>
      <c r="E1584" s="657"/>
      <c r="F1584" s="658"/>
      <c r="G1584" s="659"/>
      <c r="H1584" s="660"/>
      <c r="I1584" s="659"/>
      <c r="J1584" s="661"/>
      <c r="K1584" s="692"/>
      <c r="L1584" s="645"/>
      <c r="M1584" s="663"/>
      <c r="N1584" s="665"/>
      <c r="O1584" s="665"/>
      <c r="P1584" s="666"/>
      <c r="Q1584" s="667"/>
      <c r="R1584" s="668"/>
      <c r="S1584" s="693"/>
      <c r="T1584" s="694"/>
      <c r="U1584" s="694"/>
      <c r="V1584" s="693"/>
      <c r="W1584" s="693"/>
      <c r="X1584" s="693"/>
      <c r="Y1584" s="671"/>
      <c r="Z1584" s="673"/>
      <c r="AA1584" s="672"/>
      <c r="AB1584" s="695"/>
      <c r="AC1584" s="673"/>
      <c r="AD1584" s="673"/>
      <c r="AE1584" s="673"/>
      <c r="AF1584" s="673"/>
      <c r="AG1584" s="673"/>
      <c r="AH1584" s="673"/>
      <c r="AI1584" s="673"/>
      <c r="AJ1584" s="673"/>
      <c r="AK1584" s="673"/>
      <c r="AL1584" s="673"/>
      <c r="AM1584" s="673"/>
      <c r="AN1584" s="673"/>
      <c r="AO1584" s="673"/>
      <c r="AP1584" s="673"/>
      <c r="AQ1584" s="673"/>
      <c r="AR1584" s="673"/>
      <c r="AS1584" s="673"/>
      <c r="AT1584" s="696"/>
    </row>
    <row r="1585" ht="15.75" customHeight="1">
      <c r="A1585" s="653"/>
      <c r="B1585" s="654"/>
      <c r="C1585" s="691"/>
      <c r="D1585" s="656"/>
      <c r="E1585" s="657"/>
      <c r="F1585" s="658"/>
      <c r="G1585" s="659"/>
      <c r="H1585" s="660"/>
      <c r="I1585" s="659"/>
      <c r="J1585" s="661"/>
      <c r="K1585" s="692"/>
      <c r="L1585" s="645"/>
      <c r="M1585" s="663"/>
      <c r="N1585" s="665"/>
      <c r="O1585" s="665"/>
      <c r="P1585" s="666"/>
      <c r="Q1585" s="667"/>
      <c r="R1585" s="668"/>
      <c r="S1585" s="693"/>
      <c r="T1585" s="694"/>
      <c r="U1585" s="694"/>
      <c r="V1585" s="693"/>
      <c r="W1585" s="693"/>
      <c r="X1585" s="693"/>
      <c r="Y1585" s="671"/>
      <c r="Z1585" s="673"/>
      <c r="AA1585" s="672"/>
      <c r="AB1585" s="695"/>
      <c r="AC1585" s="673"/>
      <c r="AD1585" s="673"/>
      <c r="AE1585" s="673"/>
      <c r="AF1585" s="673"/>
      <c r="AG1585" s="673"/>
      <c r="AH1585" s="673"/>
      <c r="AI1585" s="673"/>
      <c r="AJ1585" s="673"/>
      <c r="AK1585" s="673"/>
      <c r="AL1585" s="673"/>
      <c r="AM1585" s="673"/>
      <c r="AN1585" s="673"/>
      <c r="AO1585" s="673"/>
      <c r="AP1585" s="673"/>
      <c r="AQ1585" s="673"/>
      <c r="AR1585" s="673"/>
      <c r="AS1585" s="673"/>
      <c r="AT1585" s="696"/>
    </row>
    <row r="1586" ht="15.75" customHeight="1">
      <c r="A1586" s="653"/>
      <c r="B1586" s="654"/>
      <c r="C1586" s="691"/>
      <c r="D1586" s="656"/>
      <c r="E1586" s="657"/>
      <c r="F1586" s="658"/>
      <c r="G1586" s="659"/>
      <c r="H1586" s="660"/>
      <c r="I1586" s="659"/>
      <c r="J1586" s="661"/>
      <c r="K1586" s="692"/>
      <c r="L1586" s="645"/>
      <c r="M1586" s="663"/>
      <c r="N1586" s="665"/>
      <c r="O1586" s="665"/>
      <c r="P1586" s="666"/>
      <c r="Q1586" s="667"/>
      <c r="R1586" s="668"/>
      <c r="S1586" s="693"/>
      <c r="T1586" s="694"/>
      <c r="U1586" s="694"/>
      <c r="V1586" s="693"/>
      <c r="W1586" s="693"/>
      <c r="X1586" s="693"/>
      <c r="Y1586" s="671"/>
      <c r="Z1586" s="673"/>
      <c r="AA1586" s="672"/>
      <c r="AB1586" s="695"/>
      <c r="AC1586" s="673"/>
      <c r="AD1586" s="673"/>
      <c r="AE1586" s="673"/>
      <c r="AF1586" s="673"/>
      <c r="AG1586" s="673"/>
      <c r="AH1586" s="673"/>
      <c r="AI1586" s="673"/>
      <c r="AJ1586" s="673"/>
      <c r="AK1586" s="673"/>
      <c r="AL1586" s="673"/>
      <c r="AM1586" s="673"/>
      <c r="AN1586" s="673"/>
      <c r="AO1586" s="673"/>
      <c r="AP1586" s="673"/>
      <c r="AQ1586" s="673"/>
      <c r="AR1586" s="673"/>
      <c r="AS1586" s="673"/>
      <c r="AT1586" s="696"/>
    </row>
    <row r="1587" ht="15.75" customHeight="1">
      <c r="A1587" s="653"/>
      <c r="B1587" s="654"/>
      <c r="C1587" s="691"/>
      <c r="D1587" s="656"/>
      <c r="E1587" s="657"/>
      <c r="F1587" s="658"/>
      <c r="G1587" s="659"/>
      <c r="H1587" s="660"/>
      <c r="I1587" s="659"/>
      <c r="J1587" s="661"/>
      <c r="K1587" s="692"/>
      <c r="L1587" s="645"/>
      <c r="M1587" s="663"/>
      <c r="N1587" s="665"/>
      <c r="O1587" s="665"/>
      <c r="P1587" s="666"/>
      <c r="Q1587" s="667"/>
      <c r="R1587" s="668"/>
      <c r="S1587" s="693"/>
      <c r="T1587" s="694"/>
      <c r="U1587" s="694"/>
      <c r="V1587" s="693"/>
      <c r="W1587" s="693"/>
      <c r="X1587" s="693"/>
      <c r="Y1587" s="671"/>
      <c r="Z1587" s="673"/>
      <c r="AA1587" s="672"/>
      <c r="AB1587" s="695"/>
      <c r="AC1587" s="673"/>
      <c r="AD1587" s="673"/>
      <c r="AE1587" s="673"/>
      <c r="AF1587" s="673"/>
      <c r="AG1587" s="673"/>
      <c r="AH1587" s="673"/>
      <c r="AI1587" s="673"/>
      <c r="AJ1587" s="673"/>
      <c r="AK1587" s="673"/>
      <c r="AL1587" s="673"/>
      <c r="AM1587" s="673"/>
      <c r="AN1587" s="673"/>
      <c r="AO1587" s="673"/>
      <c r="AP1587" s="673"/>
      <c r="AQ1587" s="673"/>
      <c r="AR1587" s="673"/>
      <c r="AS1587" s="673"/>
      <c r="AT1587" s="696"/>
    </row>
    <row r="1588" ht="15.75" customHeight="1">
      <c r="A1588" s="653"/>
      <c r="B1588" s="654"/>
      <c r="C1588" s="691"/>
      <c r="D1588" s="656"/>
      <c r="E1588" s="657"/>
      <c r="F1588" s="658"/>
      <c r="G1588" s="659"/>
      <c r="H1588" s="660"/>
      <c r="I1588" s="659"/>
      <c r="J1588" s="661"/>
      <c r="K1588" s="692"/>
      <c r="L1588" s="645"/>
      <c r="M1588" s="663"/>
      <c r="N1588" s="665"/>
      <c r="O1588" s="665"/>
      <c r="P1588" s="666"/>
      <c r="Q1588" s="667"/>
      <c r="R1588" s="668"/>
      <c r="S1588" s="693"/>
      <c r="T1588" s="694"/>
      <c r="U1588" s="694"/>
      <c r="V1588" s="693"/>
      <c r="W1588" s="693"/>
      <c r="X1588" s="693"/>
      <c r="Y1588" s="671"/>
      <c r="Z1588" s="673"/>
      <c r="AA1588" s="672"/>
      <c r="AB1588" s="695"/>
      <c r="AC1588" s="673"/>
      <c r="AD1588" s="673"/>
      <c r="AE1588" s="673"/>
      <c r="AF1588" s="673"/>
      <c r="AG1588" s="673"/>
      <c r="AH1588" s="673"/>
      <c r="AI1588" s="673"/>
      <c r="AJ1588" s="673"/>
      <c r="AK1588" s="673"/>
      <c r="AL1588" s="673"/>
      <c r="AM1588" s="673"/>
      <c r="AN1588" s="673"/>
      <c r="AO1588" s="673"/>
      <c r="AP1588" s="673"/>
      <c r="AQ1588" s="673"/>
      <c r="AR1588" s="673"/>
      <c r="AS1588" s="673"/>
      <c r="AT1588" s="696"/>
    </row>
    <row r="1589" ht="15.75" customHeight="1">
      <c r="A1589" s="653"/>
      <c r="B1589" s="654"/>
      <c r="C1589" s="691"/>
      <c r="D1589" s="656"/>
      <c r="E1589" s="657"/>
      <c r="F1589" s="658"/>
      <c r="G1589" s="659"/>
      <c r="H1589" s="660"/>
      <c r="I1589" s="659"/>
      <c r="J1589" s="661"/>
      <c r="K1589" s="692"/>
      <c r="L1589" s="645"/>
      <c r="M1589" s="663"/>
      <c r="N1589" s="665"/>
      <c r="O1589" s="665"/>
      <c r="P1589" s="666"/>
      <c r="Q1589" s="667"/>
      <c r="R1589" s="668"/>
      <c r="S1589" s="693"/>
      <c r="T1589" s="694"/>
      <c r="U1589" s="694"/>
      <c r="V1589" s="693"/>
      <c r="W1589" s="693"/>
      <c r="X1589" s="693"/>
      <c r="Y1589" s="671"/>
      <c r="Z1589" s="673"/>
      <c r="AA1589" s="672"/>
      <c r="AB1589" s="695"/>
      <c r="AC1589" s="673"/>
      <c r="AD1589" s="673"/>
      <c r="AE1589" s="673"/>
      <c r="AF1589" s="673"/>
      <c r="AG1589" s="673"/>
      <c r="AH1589" s="673"/>
      <c r="AI1589" s="673"/>
      <c r="AJ1589" s="673"/>
      <c r="AK1589" s="673"/>
      <c r="AL1589" s="673"/>
      <c r="AM1589" s="673"/>
      <c r="AN1589" s="673"/>
      <c r="AO1589" s="673"/>
      <c r="AP1589" s="673"/>
      <c r="AQ1589" s="673"/>
      <c r="AR1589" s="673"/>
      <c r="AS1589" s="673"/>
      <c r="AT1589" s="696"/>
    </row>
    <row r="1590" ht="15.75" customHeight="1">
      <c r="A1590" s="653"/>
      <c r="B1590" s="654"/>
      <c r="C1590" s="691"/>
      <c r="D1590" s="656"/>
      <c r="E1590" s="657"/>
      <c r="F1590" s="658"/>
      <c r="G1590" s="659"/>
      <c r="H1590" s="660"/>
      <c r="I1590" s="659"/>
      <c r="J1590" s="661"/>
      <c r="K1590" s="692"/>
      <c r="L1590" s="645"/>
      <c r="M1590" s="663"/>
      <c r="N1590" s="665"/>
      <c r="O1590" s="665"/>
      <c r="P1590" s="666"/>
      <c r="Q1590" s="667"/>
      <c r="R1590" s="668"/>
      <c r="S1590" s="693"/>
      <c r="T1590" s="694"/>
      <c r="U1590" s="694"/>
      <c r="V1590" s="693"/>
      <c r="W1590" s="693"/>
      <c r="X1590" s="693"/>
      <c r="Y1590" s="671"/>
      <c r="Z1590" s="673"/>
      <c r="AA1590" s="672"/>
      <c r="AB1590" s="695"/>
      <c r="AC1590" s="673"/>
      <c r="AD1590" s="673"/>
      <c r="AE1590" s="673"/>
      <c r="AF1590" s="673"/>
      <c r="AG1590" s="673"/>
      <c r="AH1590" s="673"/>
      <c r="AI1590" s="673"/>
      <c r="AJ1590" s="673"/>
      <c r="AK1590" s="673"/>
      <c r="AL1590" s="673"/>
      <c r="AM1590" s="673"/>
      <c r="AN1590" s="673"/>
      <c r="AO1590" s="673"/>
      <c r="AP1590" s="673"/>
      <c r="AQ1590" s="673"/>
      <c r="AR1590" s="673"/>
      <c r="AS1590" s="673"/>
      <c r="AT1590" s="696"/>
    </row>
    <row r="1591" ht="15.75" customHeight="1">
      <c r="A1591" s="653"/>
      <c r="B1591" s="654"/>
      <c r="C1591" s="691"/>
      <c r="D1591" s="656"/>
      <c r="E1591" s="657"/>
      <c r="F1591" s="658"/>
      <c r="G1591" s="659"/>
      <c r="H1591" s="660"/>
      <c r="I1591" s="659"/>
      <c r="J1591" s="661"/>
      <c r="K1591" s="692"/>
      <c r="L1591" s="645"/>
      <c r="M1591" s="663"/>
      <c r="N1591" s="665"/>
      <c r="O1591" s="665"/>
      <c r="P1591" s="666"/>
      <c r="Q1591" s="667"/>
      <c r="R1591" s="668"/>
      <c r="S1591" s="693"/>
      <c r="T1591" s="694"/>
      <c r="U1591" s="694"/>
      <c r="V1591" s="693"/>
      <c r="W1591" s="693"/>
      <c r="X1591" s="693"/>
      <c r="Y1591" s="671"/>
      <c r="Z1591" s="673"/>
      <c r="AA1591" s="672"/>
      <c r="AB1591" s="695"/>
      <c r="AC1591" s="673"/>
      <c r="AD1591" s="673"/>
      <c r="AE1591" s="673"/>
      <c r="AF1591" s="673"/>
      <c r="AG1591" s="673"/>
      <c r="AH1591" s="673"/>
      <c r="AI1591" s="673"/>
      <c r="AJ1591" s="673"/>
      <c r="AK1591" s="673"/>
      <c r="AL1591" s="673"/>
      <c r="AM1591" s="673"/>
      <c r="AN1591" s="673"/>
      <c r="AO1591" s="673"/>
      <c r="AP1591" s="673"/>
      <c r="AQ1591" s="673"/>
      <c r="AR1591" s="673"/>
      <c r="AS1591" s="673"/>
      <c r="AT1591" s="696"/>
    </row>
    <row r="1592" ht="15.75" customHeight="1">
      <c r="A1592" s="653"/>
      <c r="B1592" s="654"/>
      <c r="C1592" s="691"/>
      <c r="D1592" s="656"/>
      <c r="E1592" s="657"/>
      <c r="F1592" s="658"/>
      <c r="G1592" s="659"/>
      <c r="H1592" s="660"/>
      <c r="I1592" s="659"/>
      <c r="J1592" s="661"/>
      <c r="K1592" s="692"/>
      <c r="L1592" s="645"/>
      <c r="M1592" s="663"/>
      <c r="N1592" s="665"/>
      <c r="O1592" s="665"/>
      <c r="P1592" s="666"/>
      <c r="Q1592" s="667"/>
      <c r="R1592" s="668"/>
      <c r="S1592" s="693"/>
      <c r="T1592" s="694"/>
      <c r="U1592" s="694"/>
      <c r="V1592" s="693"/>
      <c r="W1592" s="693"/>
      <c r="X1592" s="693"/>
      <c r="Y1592" s="671"/>
      <c r="Z1592" s="673"/>
      <c r="AA1592" s="672"/>
      <c r="AB1592" s="695"/>
      <c r="AC1592" s="673"/>
      <c r="AD1592" s="673"/>
      <c r="AE1592" s="673"/>
      <c r="AF1592" s="673"/>
      <c r="AG1592" s="673"/>
      <c r="AH1592" s="673"/>
      <c r="AI1592" s="673"/>
      <c r="AJ1592" s="673"/>
      <c r="AK1592" s="673"/>
      <c r="AL1592" s="673"/>
      <c r="AM1592" s="673"/>
      <c r="AN1592" s="673"/>
      <c r="AO1592" s="673"/>
      <c r="AP1592" s="673"/>
      <c r="AQ1592" s="673"/>
      <c r="AR1592" s="673"/>
      <c r="AS1592" s="673"/>
      <c r="AT1592" s="696"/>
    </row>
    <row r="1593" ht="15.75" customHeight="1">
      <c r="A1593" s="653"/>
      <c r="B1593" s="654"/>
      <c r="C1593" s="691"/>
      <c r="D1593" s="656"/>
      <c r="E1593" s="657"/>
      <c r="F1593" s="658"/>
      <c r="G1593" s="659"/>
      <c r="H1593" s="660"/>
      <c r="I1593" s="659"/>
      <c r="J1593" s="661"/>
      <c r="K1593" s="692"/>
      <c r="L1593" s="645"/>
      <c r="M1593" s="663"/>
      <c r="N1593" s="665"/>
      <c r="O1593" s="665"/>
      <c r="P1593" s="666"/>
      <c r="Q1593" s="667"/>
      <c r="R1593" s="668"/>
      <c r="S1593" s="693"/>
      <c r="T1593" s="694"/>
      <c r="U1593" s="694"/>
      <c r="V1593" s="693"/>
      <c r="W1593" s="693"/>
      <c r="X1593" s="693"/>
      <c r="Y1593" s="671"/>
      <c r="Z1593" s="673"/>
      <c r="AA1593" s="672"/>
      <c r="AB1593" s="695"/>
      <c r="AC1593" s="673"/>
      <c r="AD1593" s="673"/>
      <c r="AE1593" s="673"/>
      <c r="AF1593" s="673"/>
      <c r="AG1593" s="673"/>
      <c r="AH1593" s="673"/>
      <c r="AI1593" s="673"/>
      <c r="AJ1593" s="673"/>
      <c r="AK1593" s="673"/>
      <c r="AL1593" s="673"/>
      <c r="AM1593" s="673"/>
      <c r="AN1593" s="673"/>
      <c r="AO1593" s="673"/>
      <c r="AP1593" s="673"/>
      <c r="AQ1593" s="673"/>
      <c r="AR1593" s="673"/>
      <c r="AS1593" s="673"/>
      <c r="AT1593" s="696"/>
    </row>
    <row r="1594" ht="15.75" customHeight="1">
      <c r="A1594" s="653"/>
      <c r="B1594" s="654"/>
      <c r="C1594" s="691"/>
      <c r="D1594" s="656"/>
      <c r="E1594" s="657"/>
      <c r="F1594" s="658"/>
      <c r="G1594" s="659"/>
      <c r="H1594" s="660"/>
      <c r="I1594" s="659"/>
      <c r="J1594" s="661"/>
      <c r="K1594" s="692"/>
      <c r="L1594" s="645"/>
      <c r="M1594" s="663"/>
      <c r="N1594" s="665"/>
      <c r="O1594" s="665"/>
      <c r="P1594" s="666"/>
      <c r="Q1594" s="667"/>
      <c r="R1594" s="668"/>
      <c r="S1594" s="693"/>
      <c r="T1594" s="694"/>
      <c r="U1594" s="694"/>
      <c r="V1594" s="693"/>
      <c r="W1594" s="693"/>
      <c r="X1594" s="693"/>
      <c r="Y1594" s="671"/>
      <c r="Z1594" s="673"/>
      <c r="AA1594" s="672"/>
      <c r="AB1594" s="695"/>
      <c r="AC1594" s="673"/>
      <c r="AD1594" s="673"/>
      <c r="AE1594" s="673"/>
      <c r="AF1594" s="673"/>
      <c r="AG1594" s="673"/>
      <c r="AH1594" s="673"/>
      <c r="AI1594" s="673"/>
      <c r="AJ1594" s="673"/>
      <c r="AK1594" s="673"/>
      <c r="AL1594" s="673"/>
      <c r="AM1594" s="673"/>
      <c r="AN1594" s="673"/>
      <c r="AO1594" s="673"/>
      <c r="AP1594" s="673"/>
      <c r="AQ1594" s="673"/>
      <c r="AR1594" s="673"/>
      <c r="AS1594" s="673"/>
      <c r="AT1594" s="696"/>
    </row>
    <row r="1595" ht="15.75" customHeight="1">
      <c r="A1595" s="653"/>
      <c r="B1595" s="654"/>
      <c r="C1595" s="691"/>
      <c r="D1595" s="656"/>
      <c r="E1595" s="657"/>
      <c r="F1595" s="658"/>
      <c r="G1595" s="659"/>
      <c r="H1595" s="660"/>
      <c r="I1595" s="659"/>
      <c r="J1595" s="661"/>
      <c r="K1595" s="692"/>
      <c r="L1595" s="645"/>
      <c r="M1595" s="663"/>
      <c r="N1595" s="665"/>
      <c r="O1595" s="665"/>
      <c r="P1595" s="666"/>
      <c r="Q1595" s="667"/>
      <c r="R1595" s="668"/>
      <c r="S1595" s="693"/>
      <c r="T1595" s="694"/>
      <c r="U1595" s="694"/>
      <c r="V1595" s="693"/>
      <c r="W1595" s="693"/>
      <c r="X1595" s="693"/>
      <c r="Y1595" s="671"/>
      <c r="Z1595" s="673"/>
      <c r="AA1595" s="672"/>
      <c r="AB1595" s="695"/>
      <c r="AC1595" s="673"/>
      <c r="AD1595" s="673"/>
      <c r="AE1595" s="673"/>
      <c r="AF1595" s="673"/>
      <c r="AG1595" s="673"/>
      <c r="AH1595" s="673"/>
      <c r="AI1595" s="673"/>
      <c r="AJ1595" s="673"/>
      <c r="AK1595" s="673"/>
      <c r="AL1595" s="673"/>
      <c r="AM1595" s="673"/>
      <c r="AN1595" s="673"/>
      <c r="AO1595" s="673"/>
      <c r="AP1595" s="673"/>
      <c r="AQ1595" s="673"/>
      <c r="AR1595" s="673"/>
      <c r="AS1595" s="673"/>
      <c r="AT1595" s="696"/>
    </row>
    <row r="1596" ht="15.75" customHeight="1">
      <c r="A1596" s="653"/>
      <c r="B1596" s="654"/>
      <c r="C1596" s="691"/>
      <c r="D1596" s="656"/>
      <c r="E1596" s="657"/>
      <c r="F1596" s="658"/>
      <c r="G1596" s="659"/>
      <c r="H1596" s="660"/>
      <c r="I1596" s="659"/>
      <c r="J1596" s="661"/>
      <c r="K1596" s="692"/>
      <c r="L1596" s="645"/>
      <c r="M1596" s="663"/>
      <c r="N1596" s="665"/>
      <c r="O1596" s="665"/>
      <c r="P1596" s="666"/>
      <c r="Q1596" s="667"/>
      <c r="R1596" s="668"/>
      <c r="S1596" s="693"/>
      <c r="T1596" s="694"/>
      <c r="U1596" s="694"/>
      <c r="V1596" s="693"/>
      <c r="W1596" s="693"/>
      <c r="X1596" s="693"/>
      <c r="Y1596" s="671"/>
      <c r="Z1596" s="673"/>
      <c r="AA1596" s="672"/>
      <c r="AB1596" s="695"/>
      <c r="AC1596" s="673"/>
      <c r="AD1596" s="673"/>
      <c r="AE1596" s="673"/>
      <c r="AF1596" s="673"/>
      <c r="AG1596" s="673"/>
      <c r="AH1596" s="673"/>
      <c r="AI1596" s="673"/>
      <c r="AJ1596" s="673"/>
      <c r="AK1596" s="673"/>
      <c r="AL1596" s="673"/>
      <c r="AM1596" s="673"/>
      <c r="AN1596" s="673"/>
      <c r="AO1596" s="673"/>
      <c r="AP1596" s="673"/>
      <c r="AQ1596" s="673"/>
      <c r="AR1596" s="673"/>
      <c r="AS1596" s="673"/>
      <c r="AT1596" s="696"/>
    </row>
    <row r="1597" ht="15.75" customHeight="1">
      <c r="A1597" s="653"/>
      <c r="B1597" s="654"/>
      <c r="C1597" s="691"/>
      <c r="D1597" s="656"/>
      <c r="E1597" s="657"/>
      <c r="F1597" s="658"/>
      <c r="G1597" s="659"/>
      <c r="H1597" s="660"/>
      <c r="I1597" s="659"/>
      <c r="J1597" s="661"/>
      <c r="K1597" s="692"/>
      <c r="L1597" s="645"/>
      <c r="M1597" s="663"/>
      <c r="N1597" s="665"/>
      <c r="O1597" s="665"/>
      <c r="P1597" s="666"/>
      <c r="Q1597" s="667"/>
      <c r="R1597" s="668"/>
      <c r="S1597" s="693"/>
      <c r="T1597" s="694"/>
      <c r="U1597" s="694"/>
      <c r="V1597" s="693"/>
      <c r="W1597" s="693"/>
      <c r="X1597" s="693"/>
      <c r="Y1597" s="671"/>
      <c r="Z1597" s="673"/>
      <c r="AA1597" s="672"/>
      <c r="AB1597" s="695"/>
      <c r="AC1597" s="673"/>
      <c r="AD1597" s="673"/>
      <c r="AE1597" s="673"/>
      <c r="AF1597" s="673"/>
      <c r="AG1597" s="673"/>
      <c r="AH1597" s="673"/>
      <c r="AI1597" s="673"/>
      <c r="AJ1597" s="673"/>
      <c r="AK1597" s="673"/>
      <c r="AL1597" s="673"/>
      <c r="AM1597" s="673"/>
      <c r="AN1597" s="673"/>
      <c r="AO1597" s="673"/>
      <c r="AP1597" s="673"/>
      <c r="AQ1597" s="673"/>
      <c r="AR1597" s="673"/>
      <c r="AS1597" s="673"/>
      <c r="AT1597" s="696"/>
    </row>
    <row r="1598" ht="15.75" customHeight="1">
      <c r="A1598" s="653"/>
      <c r="B1598" s="654"/>
      <c r="C1598" s="691"/>
      <c r="D1598" s="656"/>
      <c r="E1598" s="657"/>
      <c r="F1598" s="658"/>
      <c r="G1598" s="659"/>
      <c r="H1598" s="660"/>
      <c r="I1598" s="659"/>
      <c r="J1598" s="661"/>
      <c r="K1598" s="692"/>
      <c r="L1598" s="645"/>
      <c r="M1598" s="663"/>
      <c r="N1598" s="665"/>
      <c r="O1598" s="665"/>
      <c r="P1598" s="666"/>
      <c r="Q1598" s="667"/>
      <c r="R1598" s="668"/>
      <c r="S1598" s="693"/>
      <c r="T1598" s="694"/>
      <c r="U1598" s="694"/>
      <c r="V1598" s="693"/>
      <c r="W1598" s="693"/>
      <c r="X1598" s="693"/>
      <c r="Y1598" s="671"/>
      <c r="Z1598" s="673"/>
      <c r="AA1598" s="672"/>
      <c r="AB1598" s="695"/>
      <c r="AC1598" s="673"/>
      <c r="AD1598" s="673"/>
      <c r="AE1598" s="673"/>
      <c r="AF1598" s="673"/>
      <c r="AG1598" s="673"/>
      <c r="AH1598" s="673"/>
      <c r="AI1598" s="673"/>
      <c r="AJ1598" s="673"/>
      <c r="AK1598" s="673"/>
      <c r="AL1598" s="673"/>
      <c r="AM1598" s="673"/>
      <c r="AN1598" s="673"/>
      <c r="AO1598" s="673"/>
      <c r="AP1598" s="673"/>
      <c r="AQ1598" s="673"/>
      <c r="AR1598" s="673"/>
      <c r="AS1598" s="673"/>
      <c r="AT1598" s="696"/>
    </row>
    <row r="1599" ht="15.75" customHeight="1">
      <c r="A1599" s="653"/>
      <c r="B1599" s="654"/>
      <c r="C1599" s="691"/>
      <c r="D1599" s="656"/>
      <c r="E1599" s="657"/>
      <c r="F1599" s="658"/>
      <c r="G1599" s="659"/>
      <c r="H1599" s="660"/>
      <c r="I1599" s="659"/>
      <c r="J1599" s="661"/>
      <c r="K1599" s="692"/>
      <c r="L1599" s="645"/>
      <c r="M1599" s="663"/>
      <c r="N1599" s="665"/>
      <c r="O1599" s="665"/>
      <c r="P1599" s="666"/>
      <c r="Q1599" s="667"/>
      <c r="R1599" s="668"/>
      <c r="S1599" s="693"/>
      <c r="T1599" s="694"/>
      <c r="U1599" s="694"/>
      <c r="V1599" s="693"/>
      <c r="W1599" s="693"/>
      <c r="X1599" s="693"/>
      <c r="Y1599" s="671"/>
      <c r="Z1599" s="673"/>
      <c r="AA1599" s="672"/>
      <c r="AB1599" s="695"/>
      <c r="AC1599" s="673"/>
      <c r="AD1599" s="673"/>
      <c r="AE1599" s="673"/>
      <c r="AF1599" s="673"/>
      <c r="AG1599" s="673"/>
      <c r="AH1599" s="673"/>
      <c r="AI1599" s="673"/>
      <c r="AJ1599" s="673"/>
      <c r="AK1599" s="673"/>
      <c r="AL1599" s="673"/>
      <c r="AM1599" s="673"/>
      <c r="AN1599" s="673"/>
      <c r="AO1599" s="673"/>
      <c r="AP1599" s="673"/>
      <c r="AQ1599" s="673"/>
      <c r="AR1599" s="673"/>
      <c r="AS1599" s="673"/>
      <c r="AT1599" s="696"/>
    </row>
    <row r="1600" ht="15.75" customHeight="1">
      <c r="A1600" s="653"/>
      <c r="B1600" s="654"/>
      <c r="C1600" s="691"/>
      <c r="D1600" s="656"/>
      <c r="E1600" s="657"/>
      <c r="F1600" s="658"/>
      <c r="G1600" s="659"/>
      <c r="H1600" s="660"/>
      <c r="I1600" s="659"/>
      <c r="J1600" s="661"/>
      <c r="K1600" s="692"/>
      <c r="L1600" s="645"/>
      <c r="M1600" s="663"/>
      <c r="N1600" s="665"/>
      <c r="O1600" s="665"/>
      <c r="P1600" s="666"/>
      <c r="Q1600" s="667"/>
      <c r="R1600" s="668"/>
      <c r="S1600" s="693"/>
      <c r="T1600" s="694"/>
      <c r="U1600" s="694"/>
      <c r="V1600" s="693"/>
      <c r="W1600" s="693"/>
      <c r="X1600" s="693"/>
      <c r="Y1600" s="671"/>
      <c r="Z1600" s="673"/>
      <c r="AA1600" s="672"/>
      <c r="AB1600" s="695"/>
      <c r="AC1600" s="673"/>
      <c r="AD1600" s="673"/>
      <c r="AE1600" s="673"/>
      <c r="AF1600" s="673"/>
      <c r="AG1600" s="673"/>
      <c r="AH1600" s="673"/>
      <c r="AI1600" s="673"/>
      <c r="AJ1600" s="673"/>
      <c r="AK1600" s="673"/>
      <c r="AL1600" s="673"/>
      <c r="AM1600" s="673"/>
      <c r="AN1600" s="673"/>
      <c r="AO1600" s="673"/>
      <c r="AP1600" s="673"/>
      <c r="AQ1600" s="673"/>
      <c r="AR1600" s="673"/>
      <c r="AS1600" s="673"/>
      <c r="AT1600" s="696"/>
    </row>
    <row r="1601" ht="15.75" customHeight="1">
      <c r="A1601" s="653"/>
      <c r="B1601" s="654"/>
      <c r="C1601" s="691"/>
      <c r="D1601" s="656"/>
      <c r="E1601" s="657"/>
      <c r="F1601" s="658"/>
      <c r="G1601" s="659"/>
      <c r="H1601" s="660"/>
      <c r="I1601" s="659"/>
      <c r="J1601" s="661"/>
      <c r="K1601" s="692"/>
      <c r="L1601" s="645"/>
      <c r="M1601" s="663"/>
      <c r="N1601" s="665"/>
      <c r="O1601" s="665"/>
      <c r="P1601" s="666"/>
      <c r="Q1601" s="667"/>
      <c r="R1601" s="668"/>
      <c r="S1601" s="693"/>
      <c r="T1601" s="694"/>
      <c r="U1601" s="694"/>
      <c r="V1601" s="693"/>
      <c r="W1601" s="693"/>
      <c r="X1601" s="693"/>
      <c r="Y1601" s="671"/>
      <c r="Z1601" s="673"/>
      <c r="AA1601" s="672"/>
      <c r="AB1601" s="695"/>
      <c r="AC1601" s="673"/>
      <c r="AD1601" s="673"/>
      <c r="AE1601" s="673"/>
      <c r="AF1601" s="673"/>
      <c r="AG1601" s="673"/>
      <c r="AH1601" s="673"/>
      <c r="AI1601" s="673"/>
      <c r="AJ1601" s="673"/>
      <c r="AK1601" s="673"/>
      <c r="AL1601" s="673"/>
      <c r="AM1601" s="673"/>
      <c r="AN1601" s="673"/>
      <c r="AO1601" s="673"/>
      <c r="AP1601" s="673"/>
      <c r="AQ1601" s="673"/>
      <c r="AR1601" s="673"/>
      <c r="AS1601" s="673"/>
      <c r="AT1601" s="696"/>
    </row>
    <row r="1602" ht="15.75" customHeight="1">
      <c r="A1602" s="653"/>
      <c r="B1602" s="654"/>
      <c r="C1602" s="691"/>
      <c r="D1602" s="656"/>
      <c r="E1602" s="657"/>
      <c r="F1602" s="658"/>
      <c r="G1602" s="659"/>
      <c r="H1602" s="660"/>
      <c r="I1602" s="659"/>
      <c r="J1602" s="661"/>
      <c r="K1602" s="692"/>
      <c r="L1602" s="645"/>
      <c r="M1602" s="663"/>
      <c r="N1602" s="665"/>
      <c r="O1602" s="665"/>
      <c r="P1602" s="666"/>
      <c r="Q1602" s="667"/>
      <c r="R1602" s="668"/>
      <c r="S1602" s="693"/>
      <c r="T1602" s="694"/>
      <c r="U1602" s="694"/>
      <c r="V1602" s="693"/>
      <c r="W1602" s="693"/>
      <c r="X1602" s="693"/>
      <c r="Y1602" s="671"/>
      <c r="Z1602" s="673"/>
      <c r="AA1602" s="672"/>
      <c r="AB1602" s="695"/>
      <c r="AC1602" s="673"/>
      <c r="AD1602" s="673"/>
      <c r="AE1602" s="673"/>
      <c r="AF1602" s="673"/>
      <c r="AG1602" s="673"/>
      <c r="AH1602" s="673"/>
      <c r="AI1602" s="673"/>
      <c r="AJ1602" s="673"/>
      <c r="AK1602" s="673"/>
      <c r="AL1602" s="673"/>
      <c r="AM1602" s="673"/>
      <c r="AN1602" s="673"/>
      <c r="AO1602" s="673"/>
      <c r="AP1602" s="673"/>
      <c r="AQ1602" s="673"/>
      <c r="AR1602" s="673"/>
      <c r="AS1602" s="673"/>
      <c r="AT1602" s="696"/>
    </row>
    <row r="1603" ht="15.75" customHeight="1">
      <c r="A1603" s="653"/>
      <c r="B1603" s="654"/>
      <c r="C1603" s="691"/>
      <c r="D1603" s="656"/>
      <c r="E1603" s="657"/>
      <c r="F1603" s="658"/>
      <c r="G1603" s="659"/>
      <c r="H1603" s="660"/>
      <c r="I1603" s="659"/>
      <c r="J1603" s="661"/>
      <c r="K1603" s="692"/>
      <c r="L1603" s="645"/>
      <c r="M1603" s="663"/>
      <c r="N1603" s="665"/>
      <c r="O1603" s="665"/>
      <c r="P1603" s="666"/>
      <c r="Q1603" s="667"/>
      <c r="R1603" s="668"/>
      <c r="S1603" s="693"/>
      <c r="T1603" s="694"/>
      <c r="U1603" s="694"/>
      <c r="V1603" s="693"/>
      <c r="W1603" s="693"/>
      <c r="X1603" s="693"/>
      <c r="Y1603" s="671"/>
      <c r="Z1603" s="673"/>
      <c r="AA1603" s="672"/>
      <c r="AB1603" s="695"/>
      <c r="AC1603" s="673"/>
      <c r="AD1603" s="673"/>
      <c r="AE1603" s="673"/>
      <c r="AF1603" s="673"/>
      <c r="AG1603" s="673"/>
      <c r="AH1603" s="673"/>
      <c r="AI1603" s="673"/>
      <c r="AJ1603" s="673"/>
      <c r="AK1603" s="673"/>
      <c r="AL1603" s="673"/>
      <c r="AM1603" s="673"/>
      <c r="AN1603" s="673"/>
      <c r="AO1603" s="673"/>
      <c r="AP1603" s="673"/>
      <c r="AQ1603" s="673"/>
      <c r="AR1603" s="673"/>
      <c r="AS1603" s="673"/>
      <c r="AT1603" s="696"/>
    </row>
    <row r="1604" ht="15.75" customHeight="1">
      <c r="A1604" s="653"/>
      <c r="B1604" s="654"/>
      <c r="C1604" s="691"/>
      <c r="D1604" s="656"/>
      <c r="E1604" s="657"/>
      <c r="F1604" s="658"/>
      <c r="G1604" s="659"/>
      <c r="H1604" s="660"/>
      <c r="I1604" s="659"/>
      <c r="J1604" s="661"/>
      <c r="K1604" s="692"/>
      <c r="L1604" s="645"/>
      <c r="M1604" s="663"/>
      <c r="N1604" s="665"/>
      <c r="O1604" s="665"/>
      <c r="P1604" s="666"/>
      <c r="Q1604" s="667"/>
      <c r="R1604" s="668"/>
      <c r="S1604" s="693"/>
      <c r="T1604" s="694"/>
      <c r="U1604" s="694"/>
      <c r="V1604" s="693"/>
      <c r="W1604" s="693"/>
      <c r="X1604" s="693"/>
      <c r="Y1604" s="671"/>
      <c r="Z1604" s="673"/>
      <c r="AA1604" s="672"/>
      <c r="AB1604" s="695"/>
      <c r="AC1604" s="673"/>
      <c r="AD1604" s="673"/>
      <c r="AE1604" s="673"/>
      <c r="AF1604" s="673"/>
      <c r="AG1604" s="673"/>
      <c r="AH1604" s="673"/>
      <c r="AI1604" s="673"/>
      <c r="AJ1604" s="673"/>
      <c r="AK1604" s="673"/>
      <c r="AL1604" s="673"/>
      <c r="AM1604" s="673"/>
      <c r="AN1604" s="673"/>
      <c r="AO1604" s="673"/>
      <c r="AP1604" s="673"/>
      <c r="AQ1604" s="673"/>
      <c r="AR1604" s="673"/>
      <c r="AS1604" s="673"/>
      <c r="AT1604" s="696"/>
    </row>
    <row r="1605" ht="15.75" customHeight="1">
      <c r="A1605" s="653"/>
      <c r="B1605" s="654"/>
      <c r="C1605" s="691"/>
      <c r="D1605" s="656"/>
      <c r="E1605" s="657"/>
      <c r="F1605" s="658"/>
      <c r="G1605" s="659"/>
      <c r="H1605" s="660"/>
      <c r="I1605" s="659"/>
      <c r="J1605" s="661"/>
      <c r="K1605" s="692"/>
      <c r="L1605" s="645"/>
      <c r="M1605" s="663"/>
      <c r="N1605" s="665"/>
      <c r="O1605" s="665"/>
      <c r="P1605" s="666"/>
      <c r="Q1605" s="667"/>
      <c r="R1605" s="668"/>
      <c r="S1605" s="693"/>
      <c r="T1605" s="694"/>
      <c r="U1605" s="694"/>
      <c r="V1605" s="693"/>
      <c r="W1605" s="693"/>
      <c r="X1605" s="693"/>
      <c r="Y1605" s="671"/>
      <c r="Z1605" s="673"/>
      <c r="AA1605" s="672"/>
      <c r="AB1605" s="695"/>
      <c r="AC1605" s="673"/>
      <c r="AD1605" s="673"/>
      <c r="AE1605" s="673"/>
      <c r="AF1605" s="673"/>
      <c r="AG1605" s="673"/>
      <c r="AH1605" s="673"/>
      <c r="AI1605" s="673"/>
      <c r="AJ1605" s="673"/>
      <c r="AK1605" s="673"/>
      <c r="AL1605" s="673"/>
      <c r="AM1605" s="673"/>
      <c r="AN1605" s="673"/>
      <c r="AO1605" s="673"/>
      <c r="AP1605" s="673"/>
      <c r="AQ1605" s="673"/>
      <c r="AR1605" s="673"/>
      <c r="AS1605" s="673"/>
      <c r="AT1605" s="696"/>
    </row>
    <row r="1606" ht="15.75" customHeight="1">
      <c r="A1606" s="653"/>
      <c r="B1606" s="654"/>
      <c r="C1606" s="691"/>
      <c r="D1606" s="656"/>
      <c r="E1606" s="657"/>
      <c r="F1606" s="658"/>
      <c r="G1606" s="659"/>
      <c r="H1606" s="660"/>
      <c r="I1606" s="659"/>
      <c r="J1606" s="661"/>
      <c r="K1606" s="692"/>
      <c r="L1606" s="645"/>
      <c r="M1606" s="663"/>
      <c r="N1606" s="665"/>
      <c r="O1606" s="665"/>
      <c r="P1606" s="666"/>
      <c r="Q1606" s="667"/>
      <c r="R1606" s="668"/>
      <c r="S1606" s="693"/>
      <c r="T1606" s="694"/>
      <c r="U1606" s="694"/>
      <c r="V1606" s="693"/>
      <c r="W1606" s="693"/>
      <c r="X1606" s="693"/>
      <c r="Y1606" s="671"/>
      <c r="Z1606" s="673"/>
      <c r="AA1606" s="672"/>
      <c r="AB1606" s="695"/>
      <c r="AC1606" s="673"/>
      <c r="AD1606" s="673"/>
      <c r="AE1606" s="673"/>
      <c r="AF1606" s="673"/>
      <c r="AG1606" s="673"/>
      <c r="AH1606" s="673"/>
      <c r="AI1606" s="673"/>
      <c r="AJ1606" s="673"/>
      <c r="AK1606" s="673"/>
      <c r="AL1606" s="673"/>
      <c r="AM1606" s="673"/>
      <c r="AN1606" s="673"/>
      <c r="AO1606" s="673"/>
      <c r="AP1606" s="673"/>
      <c r="AQ1606" s="673"/>
      <c r="AR1606" s="673"/>
      <c r="AS1606" s="673"/>
      <c r="AT1606" s="696"/>
    </row>
    <row r="1607" ht="15.75" customHeight="1">
      <c r="A1607" s="653"/>
      <c r="B1607" s="654"/>
      <c r="C1607" s="691"/>
      <c r="D1607" s="656"/>
      <c r="E1607" s="657"/>
      <c r="F1607" s="658"/>
      <c r="G1607" s="659"/>
      <c r="H1607" s="660"/>
      <c r="I1607" s="659"/>
      <c r="J1607" s="661"/>
      <c r="K1607" s="692"/>
      <c r="L1607" s="645"/>
      <c r="M1607" s="663"/>
      <c r="N1607" s="665"/>
      <c r="O1607" s="665"/>
      <c r="P1607" s="666"/>
      <c r="Q1607" s="667"/>
      <c r="R1607" s="668"/>
      <c r="S1607" s="693"/>
      <c r="T1607" s="694"/>
      <c r="U1607" s="694"/>
      <c r="V1607" s="693"/>
      <c r="W1607" s="693"/>
      <c r="X1607" s="693"/>
      <c r="Y1607" s="671"/>
      <c r="Z1607" s="673"/>
      <c r="AA1607" s="672"/>
      <c r="AB1607" s="695"/>
      <c r="AC1607" s="673"/>
      <c r="AD1607" s="673"/>
      <c r="AE1607" s="673"/>
      <c r="AF1607" s="673"/>
      <c r="AG1607" s="673"/>
      <c r="AH1607" s="673"/>
      <c r="AI1607" s="673"/>
      <c r="AJ1607" s="673"/>
      <c r="AK1607" s="673"/>
      <c r="AL1607" s="673"/>
      <c r="AM1607" s="673"/>
      <c r="AN1607" s="673"/>
      <c r="AO1607" s="673"/>
      <c r="AP1607" s="673"/>
      <c r="AQ1607" s="673"/>
      <c r="AR1607" s="673"/>
      <c r="AS1607" s="673"/>
      <c r="AT1607" s="696"/>
    </row>
    <row r="1608" ht="15.75" customHeight="1">
      <c r="A1608" s="653"/>
      <c r="B1608" s="654"/>
      <c r="C1608" s="691"/>
      <c r="D1608" s="656"/>
      <c r="E1608" s="657"/>
      <c r="F1608" s="658"/>
      <c r="G1608" s="659"/>
      <c r="H1608" s="660"/>
      <c r="I1608" s="659"/>
      <c r="J1608" s="661"/>
      <c r="K1608" s="692"/>
      <c r="L1608" s="645"/>
      <c r="M1608" s="663"/>
      <c r="N1608" s="665"/>
      <c r="O1608" s="665"/>
      <c r="P1608" s="666"/>
      <c r="Q1608" s="667"/>
      <c r="R1608" s="668"/>
      <c r="S1608" s="693"/>
      <c r="T1608" s="694"/>
      <c r="U1608" s="694"/>
      <c r="V1608" s="693"/>
      <c r="W1608" s="693"/>
      <c r="X1608" s="693"/>
      <c r="Y1608" s="671"/>
      <c r="Z1608" s="673"/>
      <c r="AA1608" s="672"/>
      <c r="AB1608" s="695"/>
      <c r="AC1608" s="673"/>
      <c r="AD1608" s="673"/>
      <c r="AE1608" s="673"/>
      <c r="AF1608" s="673"/>
      <c r="AG1608" s="673"/>
      <c r="AH1608" s="673"/>
      <c r="AI1608" s="673"/>
      <c r="AJ1608" s="673"/>
      <c r="AK1608" s="673"/>
      <c r="AL1608" s="673"/>
      <c r="AM1608" s="673"/>
      <c r="AN1608" s="673"/>
      <c r="AO1608" s="673"/>
      <c r="AP1608" s="673"/>
      <c r="AQ1608" s="673"/>
      <c r="AR1608" s="673"/>
      <c r="AS1608" s="673"/>
      <c r="AT1608" s="696"/>
    </row>
    <row r="1609" ht="15.75" customHeight="1">
      <c r="A1609" s="653"/>
      <c r="B1609" s="654"/>
      <c r="C1609" s="691"/>
      <c r="D1609" s="656"/>
      <c r="E1609" s="657"/>
      <c r="F1609" s="658"/>
      <c r="G1609" s="659"/>
      <c r="H1609" s="660"/>
      <c r="I1609" s="659"/>
      <c r="J1609" s="661"/>
      <c r="K1609" s="692"/>
      <c r="L1609" s="645"/>
      <c r="M1609" s="663"/>
      <c r="N1609" s="665"/>
      <c r="O1609" s="665"/>
      <c r="P1609" s="666"/>
      <c r="Q1609" s="667"/>
      <c r="R1609" s="668"/>
      <c r="S1609" s="693"/>
      <c r="T1609" s="694"/>
      <c r="U1609" s="694"/>
      <c r="V1609" s="693"/>
      <c r="W1609" s="693"/>
      <c r="X1609" s="693"/>
      <c r="Y1609" s="671"/>
      <c r="Z1609" s="673"/>
      <c r="AA1609" s="672"/>
      <c r="AB1609" s="695"/>
      <c r="AC1609" s="673"/>
      <c r="AD1609" s="673"/>
      <c r="AE1609" s="673"/>
      <c r="AF1609" s="673"/>
      <c r="AG1609" s="673"/>
      <c r="AH1609" s="673"/>
      <c r="AI1609" s="673"/>
      <c r="AJ1609" s="673"/>
      <c r="AK1609" s="673"/>
      <c r="AL1609" s="673"/>
      <c r="AM1609" s="673"/>
      <c r="AN1609" s="673"/>
      <c r="AO1609" s="673"/>
      <c r="AP1609" s="673"/>
      <c r="AQ1609" s="673"/>
      <c r="AR1609" s="673"/>
      <c r="AS1609" s="673"/>
      <c r="AT1609" s="696"/>
    </row>
    <row r="1610" ht="15.75" customHeight="1">
      <c r="A1610" s="653"/>
      <c r="B1610" s="654"/>
      <c r="C1610" s="691"/>
      <c r="D1610" s="656"/>
      <c r="E1610" s="657"/>
      <c r="F1610" s="658"/>
      <c r="G1610" s="659"/>
      <c r="H1610" s="660"/>
      <c r="I1610" s="659"/>
      <c r="J1610" s="661"/>
      <c r="K1610" s="692"/>
      <c r="L1610" s="645"/>
      <c r="M1610" s="663"/>
      <c r="N1610" s="665"/>
      <c r="O1610" s="665"/>
      <c r="P1610" s="666"/>
      <c r="Q1610" s="667"/>
      <c r="R1610" s="668"/>
      <c r="S1610" s="693"/>
      <c r="T1610" s="694"/>
      <c r="U1610" s="694"/>
      <c r="V1610" s="693"/>
      <c r="W1610" s="693"/>
      <c r="X1610" s="693"/>
      <c r="Y1610" s="671"/>
      <c r="Z1610" s="673"/>
      <c r="AA1610" s="672"/>
      <c r="AB1610" s="695"/>
      <c r="AC1610" s="673"/>
      <c r="AD1610" s="673"/>
      <c r="AE1610" s="673"/>
      <c r="AF1610" s="673"/>
      <c r="AG1610" s="673"/>
      <c r="AH1610" s="673"/>
      <c r="AI1610" s="673"/>
      <c r="AJ1610" s="673"/>
      <c r="AK1610" s="673"/>
      <c r="AL1610" s="673"/>
      <c r="AM1610" s="673"/>
      <c r="AN1610" s="673"/>
      <c r="AO1610" s="673"/>
      <c r="AP1610" s="673"/>
      <c r="AQ1610" s="673"/>
      <c r="AR1610" s="673"/>
      <c r="AS1610" s="673"/>
      <c r="AT1610" s="696"/>
    </row>
    <row r="1611" ht="15.75" customHeight="1">
      <c r="A1611" s="653"/>
      <c r="B1611" s="654"/>
      <c r="C1611" s="691"/>
      <c r="D1611" s="656"/>
      <c r="E1611" s="657"/>
      <c r="F1611" s="658"/>
      <c r="G1611" s="659"/>
      <c r="H1611" s="660"/>
      <c r="I1611" s="659"/>
      <c r="J1611" s="661"/>
      <c r="K1611" s="692"/>
      <c r="L1611" s="645"/>
      <c r="M1611" s="663"/>
      <c r="N1611" s="665"/>
      <c r="O1611" s="665"/>
      <c r="P1611" s="666"/>
      <c r="Q1611" s="667"/>
      <c r="R1611" s="668"/>
      <c r="S1611" s="693"/>
      <c r="T1611" s="694"/>
      <c r="U1611" s="694"/>
      <c r="V1611" s="693"/>
      <c r="W1611" s="693"/>
      <c r="X1611" s="693"/>
      <c r="Y1611" s="671"/>
      <c r="Z1611" s="673"/>
      <c r="AA1611" s="672"/>
      <c r="AB1611" s="695"/>
      <c r="AC1611" s="673"/>
      <c r="AD1611" s="673"/>
      <c r="AE1611" s="673"/>
      <c r="AF1611" s="673"/>
      <c r="AG1611" s="673"/>
      <c r="AH1611" s="673"/>
      <c r="AI1611" s="673"/>
      <c r="AJ1611" s="673"/>
      <c r="AK1611" s="673"/>
      <c r="AL1611" s="673"/>
      <c r="AM1611" s="673"/>
      <c r="AN1611" s="673"/>
      <c r="AO1611" s="673"/>
      <c r="AP1611" s="673"/>
      <c r="AQ1611" s="673"/>
      <c r="AR1611" s="673"/>
      <c r="AS1611" s="673"/>
      <c r="AT1611" s="696"/>
    </row>
    <row r="1612" ht="15.75" customHeight="1">
      <c r="A1612" s="653"/>
      <c r="B1612" s="654"/>
      <c r="C1612" s="691"/>
      <c r="D1612" s="656"/>
      <c r="E1612" s="657"/>
      <c r="F1612" s="658"/>
      <c r="G1612" s="659"/>
      <c r="H1612" s="660"/>
      <c r="I1612" s="659"/>
      <c r="J1612" s="661"/>
      <c r="K1612" s="692"/>
      <c r="L1612" s="645"/>
      <c r="M1612" s="663"/>
      <c r="N1612" s="665"/>
      <c r="O1612" s="665"/>
      <c r="P1612" s="666"/>
      <c r="Q1612" s="667"/>
      <c r="R1612" s="668"/>
      <c r="S1612" s="693"/>
      <c r="T1612" s="694"/>
      <c r="U1612" s="694"/>
      <c r="V1612" s="693"/>
      <c r="W1612" s="693"/>
      <c r="X1612" s="693"/>
      <c r="Y1612" s="671"/>
      <c r="Z1612" s="673"/>
      <c r="AA1612" s="672"/>
      <c r="AB1612" s="695"/>
      <c r="AC1612" s="673"/>
      <c r="AD1612" s="673"/>
      <c r="AE1612" s="673"/>
      <c r="AF1612" s="673"/>
      <c r="AG1612" s="673"/>
      <c r="AH1612" s="673"/>
      <c r="AI1612" s="673"/>
      <c r="AJ1612" s="673"/>
      <c r="AK1612" s="673"/>
      <c r="AL1612" s="673"/>
      <c r="AM1612" s="673"/>
      <c r="AN1612" s="673"/>
      <c r="AO1612" s="673"/>
      <c r="AP1612" s="673"/>
      <c r="AQ1612" s="673"/>
      <c r="AR1612" s="673"/>
      <c r="AS1612" s="673"/>
      <c r="AT1612" s="696"/>
    </row>
    <row r="1613" ht="15.75" customHeight="1">
      <c r="A1613" s="653"/>
      <c r="B1613" s="654"/>
      <c r="C1613" s="691"/>
      <c r="D1613" s="656"/>
      <c r="E1613" s="657"/>
      <c r="F1613" s="658"/>
      <c r="G1613" s="659"/>
      <c r="H1613" s="660"/>
      <c r="I1613" s="659"/>
      <c r="J1613" s="661"/>
      <c r="K1613" s="692"/>
      <c r="L1613" s="645"/>
      <c r="M1613" s="663"/>
      <c r="N1613" s="665"/>
      <c r="O1613" s="665"/>
      <c r="P1613" s="666"/>
      <c r="Q1613" s="667"/>
      <c r="R1613" s="668"/>
      <c r="S1613" s="693"/>
      <c r="T1613" s="694"/>
      <c r="U1613" s="694"/>
      <c r="V1613" s="693"/>
      <c r="W1613" s="693"/>
      <c r="X1613" s="693"/>
      <c r="Y1613" s="671"/>
      <c r="Z1613" s="673"/>
      <c r="AA1613" s="672"/>
      <c r="AB1613" s="695"/>
      <c r="AC1613" s="673"/>
      <c r="AD1613" s="673"/>
      <c r="AE1613" s="673"/>
      <c r="AF1613" s="673"/>
      <c r="AG1613" s="673"/>
      <c r="AH1613" s="673"/>
      <c r="AI1613" s="673"/>
      <c r="AJ1613" s="673"/>
      <c r="AK1613" s="673"/>
      <c r="AL1613" s="673"/>
      <c r="AM1613" s="673"/>
      <c r="AN1613" s="673"/>
      <c r="AO1613" s="673"/>
      <c r="AP1613" s="673"/>
      <c r="AQ1613" s="673"/>
      <c r="AR1613" s="673"/>
      <c r="AS1613" s="673"/>
      <c r="AT1613" s="696"/>
    </row>
    <row r="1614" ht="15.75" customHeight="1">
      <c r="A1614" s="653"/>
      <c r="B1614" s="654"/>
      <c r="C1614" s="691"/>
      <c r="D1614" s="656"/>
      <c r="E1614" s="657"/>
      <c r="F1614" s="658"/>
      <c r="G1614" s="659"/>
      <c r="H1614" s="660"/>
      <c r="I1614" s="659"/>
      <c r="J1614" s="661"/>
      <c r="K1614" s="692"/>
      <c r="L1614" s="645"/>
      <c r="M1614" s="663"/>
      <c r="N1614" s="665"/>
      <c r="O1614" s="665"/>
      <c r="P1614" s="666"/>
      <c r="Q1614" s="667"/>
      <c r="R1614" s="668"/>
      <c r="S1614" s="693"/>
      <c r="T1614" s="694"/>
      <c r="U1614" s="694"/>
      <c r="V1614" s="693"/>
      <c r="W1614" s="693"/>
      <c r="X1614" s="693"/>
      <c r="Y1614" s="671"/>
      <c r="Z1614" s="673"/>
      <c r="AA1614" s="672"/>
      <c r="AB1614" s="695"/>
      <c r="AC1614" s="673"/>
      <c r="AD1614" s="673"/>
      <c r="AE1614" s="673"/>
      <c r="AF1614" s="673"/>
      <c r="AG1614" s="673"/>
      <c r="AH1614" s="673"/>
      <c r="AI1614" s="673"/>
      <c r="AJ1614" s="673"/>
      <c r="AK1614" s="673"/>
      <c r="AL1614" s="673"/>
      <c r="AM1614" s="673"/>
      <c r="AN1614" s="673"/>
      <c r="AO1614" s="673"/>
      <c r="AP1614" s="673"/>
      <c r="AQ1614" s="673"/>
      <c r="AR1614" s="673"/>
      <c r="AS1614" s="673"/>
      <c r="AT1614" s="696"/>
    </row>
    <row r="1615" ht="15.75" customHeight="1">
      <c r="A1615" s="653"/>
      <c r="B1615" s="654"/>
      <c r="C1615" s="691"/>
      <c r="D1615" s="656"/>
      <c r="E1615" s="657"/>
      <c r="F1615" s="658"/>
      <c r="G1615" s="659"/>
      <c r="H1615" s="660"/>
      <c r="I1615" s="659"/>
      <c r="J1615" s="661"/>
      <c r="K1615" s="692"/>
      <c r="L1615" s="645"/>
      <c r="M1615" s="663"/>
      <c r="N1615" s="665"/>
      <c r="O1615" s="665"/>
      <c r="P1615" s="666"/>
      <c r="Q1615" s="667"/>
      <c r="R1615" s="668"/>
      <c r="S1615" s="693"/>
      <c r="T1615" s="694"/>
      <c r="U1615" s="694"/>
      <c r="V1615" s="693"/>
      <c r="W1615" s="693"/>
      <c r="X1615" s="693"/>
      <c r="Y1615" s="671"/>
      <c r="Z1615" s="673"/>
      <c r="AA1615" s="672"/>
      <c r="AB1615" s="695"/>
      <c r="AC1615" s="673"/>
      <c r="AD1615" s="673"/>
      <c r="AE1615" s="673"/>
      <c r="AF1615" s="673"/>
      <c r="AG1615" s="673"/>
      <c r="AH1615" s="673"/>
      <c r="AI1615" s="673"/>
      <c r="AJ1615" s="673"/>
      <c r="AK1615" s="673"/>
      <c r="AL1615" s="673"/>
      <c r="AM1615" s="673"/>
      <c r="AN1615" s="673"/>
      <c r="AO1615" s="673"/>
      <c r="AP1615" s="673"/>
      <c r="AQ1615" s="673"/>
      <c r="AR1615" s="673"/>
      <c r="AS1615" s="673"/>
      <c r="AT1615" s="696"/>
    </row>
    <row r="1616" ht="15.75" customHeight="1">
      <c r="A1616" s="653"/>
      <c r="B1616" s="654"/>
      <c r="C1616" s="691"/>
      <c r="D1616" s="656"/>
      <c r="E1616" s="657"/>
      <c r="F1616" s="658"/>
      <c r="G1616" s="659"/>
      <c r="H1616" s="660"/>
      <c r="I1616" s="659"/>
      <c r="J1616" s="661"/>
      <c r="K1616" s="692"/>
      <c r="L1616" s="645"/>
      <c r="M1616" s="663"/>
      <c r="N1616" s="665"/>
      <c r="O1616" s="665"/>
      <c r="P1616" s="666"/>
      <c r="Q1616" s="667"/>
      <c r="R1616" s="668"/>
      <c r="S1616" s="693"/>
      <c r="T1616" s="694"/>
      <c r="U1616" s="694"/>
      <c r="V1616" s="693"/>
      <c r="W1616" s="693"/>
      <c r="X1616" s="693"/>
      <c r="Y1616" s="671"/>
      <c r="Z1616" s="673"/>
      <c r="AA1616" s="672"/>
      <c r="AB1616" s="695"/>
      <c r="AC1616" s="673"/>
      <c r="AD1616" s="673"/>
      <c r="AE1616" s="673"/>
      <c r="AF1616" s="673"/>
      <c r="AG1616" s="673"/>
      <c r="AH1616" s="673"/>
      <c r="AI1616" s="673"/>
      <c r="AJ1616" s="673"/>
      <c r="AK1616" s="673"/>
      <c r="AL1616" s="673"/>
      <c r="AM1616" s="673"/>
      <c r="AN1616" s="673"/>
      <c r="AO1616" s="673"/>
      <c r="AP1616" s="673"/>
      <c r="AQ1616" s="673"/>
      <c r="AR1616" s="673"/>
      <c r="AS1616" s="673"/>
      <c r="AT1616" s="696"/>
    </row>
    <row r="1617" ht="15.75" customHeight="1">
      <c r="A1617" s="653"/>
      <c r="B1617" s="654"/>
      <c r="C1617" s="691"/>
      <c r="D1617" s="656"/>
      <c r="E1617" s="657"/>
      <c r="F1617" s="658"/>
      <c r="G1617" s="659"/>
      <c r="H1617" s="660"/>
      <c r="I1617" s="659"/>
      <c r="J1617" s="661"/>
      <c r="K1617" s="692"/>
      <c r="L1617" s="645"/>
      <c r="M1617" s="663"/>
      <c r="N1617" s="665"/>
      <c r="O1617" s="665"/>
      <c r="P1617" s="666"/>
      <c r="Q1617" s="667"/>
      <c r="R1617" s="668"/>
      <c r="S1617" s="693"/>
      <c r="T1617" s="694"/>
      <c r="U1617" s="694"/>
      <c r="V1617" s="693"/>
      <c r="W1617" s="693"/>
      <c r="X1617" s="693"/>
      <c r="Y1617" s="671"/>
      <c r="Z1617" s="673"/>
      <c r="AA1617" s="672"/>
      <c r="AB1617" s="695"/>
      <c r="AC1617" s="673"/>
      <c r="AD1617" s="673"/>
      <c r="AE1617" s="673"/>
      <c r="AF1617" s="673"/>
      <c r="AG1617" s="673"/>
      <c r="AH1617" s="673"/>
      <c r="AI1617" s="673"/>
      <c r="AJ1617" s="673"/>
      <c r="AK1617" s="673"/>
      <c r="AL1617" s="673"/>
      <c r="AM1617" s="673"/>
      <c r="AN1617" s="673"/>
      <c r="AO1617" s="673"/>
      <c r="AP1617" s="673"/>
      <c r="AQ1617" s="673"/>
      <c r="AR1617" s="673"/>
      <c r="AS1617" s="673"/>
      <c r="AT1617" s="696"/>
    </row>
    <row r="1618" ht="15.75" customHeight="1">
      <c r="A1618" s="653"/>
      <c r="B1618" s="654"/>
      <c r="C1618" s="691"/>
      <c r="D1618" s="656"/>
      <c r="E1618" s="657"/>
      <c r="F1618" s="658"/>
      <c r="G1618" s="659"/>
      <c r="H1618" s="660"/>
      <c r="I1618" s="659"/>
      <c r="J1618" s="661"/>
      <c r="K1618" s="692"/>
      <c r="L1618" s="645"/>
      <c r="M1618" s="663"/>
      <c r="N1618" s="665"/>
      <c r="O1618" s="665"/>
      <c r="P1618" s="666"/>
      <c r="Q1618" s="667"/>
      <c r="R1618" s="668"/>
      <c r="S1618" s="693"/>
      <c r="T1618" s="694"/>
      <c r="U1618" s="694"/>
      <c r="V1618" s="693"/>
      <c r="W1618" s="693"/>
      <c r="X1618" s="693"/>
      <c r="Y1618" s="671"/>
      <c r="Z1618" s="673"/>
      <c r="AA1618" s="672"/>
      <c r="AB1618" s="695"/>
      <c r="AC1618" s="673"/>
      <c r="AD1618" s="673"/>
      <c r="AE1618" s="673"/>
      <c r="AF1618" s="673"/>
      <c r="AG1618" s="673"/>
      <c r="AH1618" s="673"/>
      <c r="AI1618" s="673"/>
      <c r="AJ1618" s="673"/>
      <c r="AK1618" s="673"/>
      <c r="AL1618" s="673"/>
      <c r="AM1618" s="673"/>
      <c r="AN1618" s="673"/>
      <c r="AO1618" s="673"/>
      <c r="AP1618" s="673"/>
      <c r="AQ1618" s="673"/>
      <c r="AR1618" s="673"/>
      <c r="AS1618" s="673"/>
      <c r="AT1618" s="696"/>
    </row>
    <row r="1619" ht="15.75" customHeight="1">
      <c r="A1619" s="653"/>
      <c r="B1619" s="654"/>
      <c r="C1619" s="691"/>
      <c r="D1619" s="656"/>
      <c r="E1619" s="657"/>
      <c r="F1619" s="658"/>
      <c r="G1619" s="659"/>
      <c r="H1619" s="660"/>
      <c r="I1619" s="659"/>
      <c r="J1619" s="661"/>
      <c r="K1619" s="692"/>
      <c r="L1619" s="645"/>
      <c r="M1619" s="663"/>
      <c r="N1619" s="665"/>
      <c r="O1619" s="665"/>
      <c r="P1619" s="666"/>
      <c r="Q1619" s="667"/>
      <c r="R1619" s="668"/>
      <c r="S1619" s="693"/>
      <c r="T1619" s="694"/>
      <c r="U1619" s="694"/>
      <c r="V1619" s="693"/>
      <c r="W1619" s="693"/>
      <c r="X1619" s="693"/>
      <c r="Y1619" s="671"/>
      <c r="Z1619" s="673"/>
      <c r="AA1619" s="672"/>
      <c r="AB1619" s="695"/>
      <c r="AC1619" s="673"/>
      <c r="AD1619" s="673"/>
      <c r="AE1619" s="673"/>
      <c r="AF1619" s="673"/>
      <c r="AG1619" s="673"/>
      <c r="AH1619" s="673"/>
      <c r="AI1619" s="673"/>
      <c r="AJ1619" s="673"/>
      <c r="AK1619" s="673"/>
      <c r="AL1619" s="673"/>
      <c r="AM1619" s="673"/>
      <c r="AN1619" s="673"/>
      <c r="AO1619" s="673"/>
      <c r="AP1619" s="673"/>
      <c r="AQ1619" s="673"/>
      <c r="AR1619" s="673"/>
      <c r="AS1619" s="673"/>
      <c r="AT1619" s="696"/>
    </row>
    <row r="1620" ht="15.75" customHeight="1">
      <c r="A1620" s="653"/>
      <c r="B1620" s="654"/>
      <c r="C1620" s="691"/>
      <c r="D1620" s="656"/>
      <c r="E1620" s="657"/>
      <c r="F1620" s="658"/>
      <c r="G1620" s="659"/>
      <c r="H1620" s="660"/>
      <c r="I1620" s="659"/>
      <c r="J1620" s="661"/>
      <c r="K1620" s="692"/>
      <c r="L1620" s="645"/>
      <c r="M1620" s="663"/>
      <c r="N1620" s="665"/>
      <c r="O1620" s="665"/>
      <c r="P1620" s="666"/>
      <c r="Q1620" s="667"/>
      <c r="R1620" s="668"/>
      <c r="S1620" s="693"/>
      <c r="T1620" s="694"/>
      <c r="U1620" s="694"/>
      <c r="V1620" s="693"/>
      <c r="W1620" s="693"/>
      <c r="X1620" s="693"/>
      <c r="Y1620" s="671"/>
      <c r="Z1620" s="673"/>
      <c r="AA1620" s="672"/>
      <c r="AB1620" s="695"/>
      <c r="AC1620" s="673"/>
      <c r="AD1620" s="673"/>
      <c r="AE1620" s="673"/>
      <c r="AF1620" s="673"/>
      <c r="AG1620" s="673"/>
      <c r="AH1620" s="673"/>
      <c r="AI1620" s="673"/>
      <c r="AJ1620" s="673"/>
      <c r="AK1620" s="673"/>
      <c r="AL1620" s="673"/>
      <c r="AM1620" s="673"/>
      <c r="AN1620" s="673"/>
      <c r="AO1620" s="673"/>
      <c r="AP1620" s="673"/>
      <c r="AQ1620" s="673"/>
      <c r="AR1620" s="673"/>
      <c r="AS1620" s="673"/>
      <c r="AT1620" s="696"/>
    </row>
    <row r="1621" ht="15.75" customHeight="1">
      <c r="A1621" s="653"/>
      <c r="B1621" s="654"/>
      <c r="C1621" s="691"/>
      <c r="D1621" s="656"/>
      <c r="E1621" s="657"/>
      <c r="F1621" s="658"/>
      <c r="G1621" s="659"/>
      <c r="H1621" s="660"/>
      <c r="I1621" s="659"/>
      <c r="J1621" s="661"/>
      <c r="K1621" s="692"/>
      <c r="L1621" s="645"/>
      <c r="M1621" s="663"/>
      <c r="N1621" s="665"/>
      <c r="O1621" s="665"/>
      <c r="P1621" s="666"/>
      <c r="Q1621" s="667"/>
      <c r="R1621" s="668"/>
      <c r="S1621" s="693"/>
      <c r="T1621" s="694"/>
      <c r="U1621" s="694"/>
      <c r="V1621" s="693"/>
      <c r="W1621" s="693"/>
      <c r="X1621" s="693"/>
      <c r="Y1621" s="671"/>
      <c r="Z1621" s="673"/>
      <c r="AA1621" s="672"/>
      <c r="AB1621" s="695"/>
      <c r="AC1621" s="673"/>
      <c r="AD1621" s="673"/>
      <c r="AE1621" s="673"/>
      <c r="AF1621" s="673"/>
      <c r="AG1621" s="673"/>
      <c r="AH1621" s="673"/>
      <c r="AI1621" s="673"/>
      <c r="AJ1621" s="673"/>
      <c r="AK1621" s="673"/>
      <c r="AL1621" s="673"/>
      <c r="AM1621" s="673"/>
      <c r="AN1621" s="673"/>
      <c r="AO1621" s="673"/>
      <c r="AP1621" s="673"/>
      <c r="AQ1621" s="673"/>
      <c r="AR1621" s="673"/>
      <c r="AS1621" s="673"/>
      <c r="AT1621" s="696"/>
    </row>
    <row r="1622" ht="15.75" customHeight="1">
      <c r="A1622" s="653"/>
      <c r="B1622" s="654"/>
      <c r="C1622" s="691"/>
      <c r="D1622" s="656"/>
      <c r="E1622" s="657"/>
      <c r="F1622" s="658"/>
      <c r="G1622" s="659"/>
      <c r="H1622" s="660"/>
      <c r="I1622" s="659"/>
      <c r="J1622" s="661"/>
      <c r="K1622" s="692"/>
      <c r="L1622" s="645"/>
      <c r="M1622" s="663"/>
      <c r="N1622" s="665"/>
      <c r="O1622" s="665"/>
      <c r="P1622" s="666"/>
      <c r="Q1622" s="667"/>
      <c r="R1622" s="668"/>
      <c r="S1622" s="693"/>
      <c r="T1622" s="694"/>
      <c r="U1622" s="694"/>
      <c r="V1622" s="693"/>
      <c r="W1622" s="693"/>
      <c r="X1622" s="693"/>
      <c r="Y1622" s="671"/>
      <c r="Z1622" s="673"/>
      <c r="AA1622" s="672"/>
      <c r="AB1622" s="695"/>
      <c r="AC1622" s="673"/>
      <c r="AD1622" s="673"/>
      <c r="AE1622" s="673"/>
      <c r="AF1622" s="673"/>
      <c r="AG1622" s="673"/>
      <c r="AH1622" s="673"/>
      <c r="AI1622" s="673"/>
      <c r="AJ1622" s="673"/>
      <c r="AK1622" s="673"/>
      <c r="AL1622" s="673"/>
      <c r="AM1622" s="673"/>
      <c r="AN1622" s="673"/>
      <c r="AO1622" s="673"/>
      <c r="AP1622" s="673"/>
      <c r="AQ1622" s="673"/>
      <c r="AR1622" s="673"/>
      <c r="AS1622" s="673"/>
      <c r="AT1622" s="696"/>
    </row>
    <row r="1623" ht="15.75" customHeight="1">
      <c r="A1623" s="653"/>
      <c r="B1623" s="654"/>
      <c r="C1623" s="691"/>
      <c r="D1623" s="656"/>
      <c r="E1623" s="657"/>
      <c r="F1623" s="658"/>
      <c r="G1623" s="659"/>
      <c r="H1623" s="660"/>
      <c r="I1623" s="659"/>
      <c r="J1623" s="661"/>
      <c r="K1623" s="692"/>
      <c r="L1623" s="645"/>
      <c r="M1623" s="663"/>
      <c r="N1623" s="665"/>
      <c r="O1623" s="665"/>
      <c r="P1623" s="666"/>
      <c r="Q1623" s="667"/>
      <c r="R1623" s="668"/>
      <c r="S1623" s="693"/>
      <c r="T1623" s="694"/>
      <c r="U1623" s="694"/>
      <c r="V1623" s="693"/>
      <c r="W1623" s="693"/>
      <c r="X1623" s="693"/>
      <c r="Y1623" s="671"/>
      <c r="Z1623" s="673"/>
      <c r="AA1623" s="672"/>
      <c r="AB1623" s="695"/>
      <c r="AC1623" s="673"/>
      <c r="AD1623" s="673"/>
      <c r="AE1623" s="673"/>
      <c r="AF1623" s="673"/>
      <c r="AG1623" s="673"/>
      <c r="AH1623" s="673"/>
      <c r="AI1623" s="673"/>
      <c r="AJ1623" s="673"/>
      <c r="AK1623" s="673"/>
      <c r="AL1623" s="673"/>
      <c r="AM1623" s="673"/>
      <c r="AN1623" s="673"/>
      <c r="AO1623" s="673"/>
      <c r="AP1623" s="673"/>
      <c r="AQ1623" s="673"/>
      <c r="AR1623" s="673"/>
      <c r="AS1623" s="673"/>
      <c r="AT1623" s="696"/>
    </row>
    <row r="1624" ht="15.75" customHeight="1">
      <c r="A1624" s="653"/>
      <c r="B1624" s="654"/>
      <c r="C1624" s="691"/>
      <c r="D1624" s="656"/>
      <c r="E1624" s="657"/>
      <c r="F1624" s="658"/>
      <c r="G1624" s="659"/>
      <c r="H1624" s="660"/>
      <c r="I1624" s="659"/>
      <c r="J1624" s="661"/>
      <c r="K1624" s="692"/>
      <c r="L1624" s="645"/>
      <c r="M1624" s="663"/>
      <c r="N1624" s="665"/>
      <c r="O1624" s="665"/>
      <c r="P1624" s="666"/>
      <c r="Q1624" s="667"/>
      <c r="R1624" s="668"/>
      <c r="S1624" s="693"/>
      <c r="T1624" s="694"/>
      <c r="U1624" s="694"/>
      <c r="V1624" s="693"/>
      <c r="W1624" s="693"/>
      <c r="X1624" s="693"/>
      <c r="Y1624" s="671"/>
      <c r="Z1624" s="673"/>
      <c r="AA1624" s="672"/>
      <c r="AB1624" s="695"/>
      <c r="AC1624" s="673"/>
      <c r="AD1624" s="673"/>
      <c r="AE1624" s="673"/>
      <c r="AF1624" s="673"/>
      <c r="AG1624" s="673"/>
      <c r="AH1624" s="673"/>
      <c r="AI1624" s="673"/>
      <c r="AJ1624" s="673"/>
      <c r="AK1624" s="673"/>
      <c r="AL1624" s="673"/>
      <c r="AM1624" s="673"/>
      <c r="AN1624" s="673"/>
      <c r="AO1624" s="673"/>
      <c r="AP1624" s="673"/>
      <c r="AQ1624" s="673"/>
      <c r="AR1624" s="673"/>
      <c r="AS1624" s="673"/>
      <c r="AT1624" s="696"/>
    </row>
    <row r="1625" ht="15.75" customHeight="1">
      <c r="A1625" s="653"/>
      <c r="B1625" s="654"/>
      <c r="C1625" s="691"/>
      <c r="D1625" s="656"/>
      <c r="E1625" s="657"/>
      <c r="F1625" s="658"/>
      <c r="G1625" s="659"/>
      <c r="H1625" s="660"/>
      <c r="I1625" s="659"/>
      <c r="J1625" s="661"/>
      <c r="K1625" s="692"/>
      <c r="L1625" s="645"/>
      <c r="M1625" s="663"/>
      <c r="N1625" s="665"/>
      <c r="O1625" s="665"/>
      <c r="P1625" s="666"/>
      <c r="Q1625" s="667"/>
      <c r="R1625" s="668"/>
      <c r="S1625" s="693"/>
      <c r="T1625" s="694"/>
      <c r="U1625" s="694"/>
      <c r="V1625" s="693"/>
      <c r="W1625" s="693"/>
      <c r="X1625" s="693"/>
      <c r="Y1625" s="671"/>
      <c r="Z1625" s="673"/>
      <c r="AA1625" s="672"/>
      <c r="AB1625" s="695"/>
      <c r="AC1625" s="673"/>
      <c r="AD1625" s="673"/>
      <c r="AE1625" s="673"/>
      <c r="AF1625" s="673"/>
      <c r="AG1625" s="673"/>
      <c r="AH1625" s="673"/>
      <c r="AI1625" s="673"/>
      <c r="AJ1625" s="673"/>
      <c r="AK1625" s="673"/>
      <c r="AL1625" s="673"/>
      <c r="AM1625" s="673"/>
      <c r="AN1625" s="673"/>
      <c r="AO1625" s="673"/>
      <c r="AP1625" s="673"/>
      <c r="AQ1625" s="673"/>
      <c r="AR1625" s="673"/>
      <c r="AS1625" s="673"/>
      <c r="AT1625" s="696"/>
    </row>
    <row r="1626" ht="15.75" customHeight="1">
      <c r="A1626" s="653"/>
      <c r="B1626" s="654"/>
      <c r="C1626" s="691"/>
      <c r="D1626" s="656"/>
      <c r="E1626" s="657"/>
      <c r="F1626" s="658"/>
      <c r="G1626" s="659"/>
      <c r="H1626" s="660"/>
      <c r="I1626" s="659"/>
      <c r="J1626" s="661"/>
      <c r="K1626" s="692"/>
      <c r="L1626" s="645"/>
      <c r="M1626" s="663"/>
      <c r="N1626" s="665"/>
      <c r="O1626" s="665"/>
      <c r="P1626" s="666"/>
      <c r="Q1626" s="667"/>
      <c r="R1626" s="668"/>
      <c r="S1626" s="693"/>
      <c r="T1626" s="694"/>
      <c r="U1626" s="694"/>
      <c r="V1626" s="693"/>
      <c r="W1626" s="693"/>
      <c r="X1626" s="693"/>
      <c r="Y1626" s="671"/>
      <c r="Z1626" s="673"/>
      <c r="AA1626" s="672"/>
      <c r="AB1626" s="695"/>
      <c r="AC1626" s="673"/>
      <c r="AD1626" s="673"/>
      <c r="AE1626" s="673"/>
      <c r="AF1626" s="673"/>
      <c r="AG1626" s="673"/>
      <c r="AH1626" s="673"/>
      <c r="AI1626" s="673"/>
      <c r="AJ1626" s="673"/>
      <c r="AK1626" s="673"/>
      <c r="AL1626" s="673"/>
      <c r="AM1626" s="673"/>
      <c r="AN1626" s="673"/>
      <c r="AO1626" s="673"/>
      <c r="AP1626" s="673"/>
      <c r="AQ1626" s="673"/>
      <c r="AR1626" s="673"/>
      <c r="AS1626" s="673"/>
      <c r="AT1626" s="696"/>
    </row>
    <row r="1627" ht="15.75" customHeight="1">
      <c r="A1627" s="653"/>
      <c r="B1627" s="654"/>
      <c r="C1627" s="691"/>
      <c r="D1627" s="656"/>
      <c r="E1627" s="657"/>
      <c r="F1627" s="658"/>
      <c r="G1627" s="659"/>
      <c r="H1627" s="660"/>
      <c r="I1627" s="659"/>
      <c r="J1627" s="661"/>
      <c r="K1627" s="692"/>
      <c r="L1627" s="645"/>
      <c r="M1627" s="663"/>
      <c r="N1627" s="665"/>
      <c r="O1627" s="665"/>
      <c r="P1627" s="666"/>
      <c r="Q1627" s="667"/>
      <c r="R1627" s="668"/>
      <c r="S1627" s="693"/>
      <c r="T1627" s="694"/>
      <c r="U1627" s="694"/>
      <c r="V1627" s="693"/>
      <c r="W1627" s="693"/>
      <c r="X1627" s="693"/>
      <c r="Y1627" s="671"/>
      <c r="Z1627" s="673"/>
      <c r="AA1627" s="672"/>
      <c r="AB1627" s="695"/>
      <c r="AC1627" s="673"/>
      <c r="AD1627" s="673"/>
      <c r="AE1627" s="673"/>
      <c r="AF1627" s="673"/>
      <c r="AG1627" s="673"/>
      <c r="AH1627" s="673"/>
      <c r="AI1627" s="673"/>
      <c r="AJ1627" s="673"/>
      <c r="AK1627" s="673"/>
      <c r="AL1627" s="673"/>
      <c r="AM1627" s="673"/>
      <c r="AN1627" s="673"/>
      <c r="AO1627" s="673"/>
      <c r="AP1627" s="673"/>
      <c r="AQ1627" s="673"/>
      <c r="AR1627" s="673"/>
      <c r="AS1627" s="673"/>
      <c r="AT1627" s="696"/>
    </row>
    <row r="1628" ht="15.75" customHeight="1">
      <c r="A1628" s="653"/>
      <c r="B1628" s="654"/>
      <c r="C1628" s="691"/>
      <c r="D1628" s="656"/>
      <c r="E1628" s="657"/>
      <c r="F1628" s="658"/>
      <c r="G1628" s="659"/>
      <c r="H1628" s="660"/>
      <c r="I1628" s="659"/>
      <c r="J1628" s="661"/>
      <c r="K1628" s="692"/>
      <c r="L1628" s="645"/>
      <c r="M1628" s="663"/>
      <c r="N1628" s="665"/>
      <c r="O1628" s="665"/>
      <c r="P1628" s="666"/>
      <c r="Q1628" s="667"/>
      <c r="R1628" s="668"/>
      <c r="S1628" s="693"/>
      <c r="T1628" s="694"/>
      <c r="U1628" s="694"/>
      <c r="V1628" s="693"/>
      <c r="W1628" s="693"/>
      <c r="X1628" s="693"/>
      <c r="Y1628" s="671"/>
      <c r="Z1628" s="673"/>
      <c r="AA1628" s="672"/>
      <c r="AB1628" s="695"/>
      <c r="AC1628" s="673"/>
      <c r="AD1628" s="673"/>
      <c r="AE1628" s="673"/>
      <c r="AF1628" s="673"/>
      <c r="AG1628" s="673"/>
      <c r="AH1628" s="673"/>
      <c r="AI1628" s="673"/>
      <c r="AJ1628" s="673"/>
      <c r="AK1628" s="673"/>
      <c r="AL1628" s="673"/>
      <c r="AM1628" s="673"/>
      <c r="AN1628" s="673"/>
      <c r="AO1628" s="673"/>
      <c r="AP1628" s="673"/>
      <c r="AQ1628" s="673"/>
      <c r="AR1628" s="673"/>
      <c r="AS1628" s="673"/>
      <c r="AT1628" s="696"/>
    </row>
    <row r="1629" ht="15.75" customHeight="1">
      <c r="A1629" s="653"/>
      <c r="B1629" s="654"/>
      <c r="C1629" s="691"/>
      <c r="D1629" s="656"/>
      <c r="E1629" s="657"/>
      <c r="F1629" s="658"/>
      <c r="G1629" s="659"/>
      <c r="H1629" s="660"/>
      <c r="I1629" s="659"/>
      <c r="J1629" s="661"/>
      <c r="K1629" s="692"/>
      <c r="L1629" s="645"/>
      <c r="M1629" s="663"/>
      <c r="N1629" s="665"/>
      <c r="O1629" s="665"/>
      <c r="P1629" s="666"/>
      <c r="Q1629" s="667"/>
      <c r="R1629" s="668"/>
      <c r="S1629" s="693"/>
      <c r="T1629" s="694"/>
      <c r="U1629" s="694"/>
      <c r="V1629" s="693"/>
      <c r="W1629" s="693"/>
      <c r="X1629" s="693"/>
      <c r="Y1629" s="671"/>
      <c r="Z1629" s="673"/>
      <c r="AA1629" s="672"/>
      <c r="AB1629" s="695"/>
      <c r="AC1629" s="673"/>
      <c r="AD1629" s="673"/>
      <c r="AE1629" s="673"/>
      <c r="AF1629" s="673"/>
      <c r="AG1629" s="673"/>
      <c r="AH1629" s="673"/>
      <c r="AI1629" s="673"/>
      <c r="AJ1629" s="673"/>
      <c r="AK1629" s="673"/>
      <c r="AL1629" s="673"/>
      <c r="AM1629" s="673"/>
      <c r="AN1629" s="673"/>
      <c r="AO1629" s="673"/>
      <c r="AP1629" s="673"/>
      <c r="AQ1629" s="673"/>
      <c r="AR1629" s="673"/>
      <c r="AS1629" s="673"/>
      <c r="AT1629" s="696"/>
    </row>
    <row r="1630" ht="15.75" customHeight="1">
      <c r="A1630" s="653"/>
      <c r="B1630" s="654"/>
      <c r="C1630" s="691"/>
      <c r="D1630" s="656"/>
      <c r="E1630" s="657"/>
      <c r="F1630" s="658"/>
      <c r="G1630" s="659"/>
      <c r="H1630" s="660"/>
      <c r="I1630" s="659"/>
      <c r="J1630" s="661"/>
      <c r="K1630" s="692"/>
      <c r="L1630" s="645"/>
      <c r="M1630" s="663"/>
      <c r="N1630" s="665"/>
      <c r="O1630" s="665"/>
      <c r="P1630" s="666"/>
      <c r="Q1630" s="667"/>
      <c r="R1630" s="668"/>
      <c r="S1630" s="693"/>
      <c r="T1630" s="694"/>
      <c r="U1630" s="694"/>
      <c r="V1630" s="693"/>
      <c r="W1630" s="693"/>
      <c r="X1630" s="693"/>
      <c r="Y1630" s="671"/>
      <c r="Z1630" s="673"/>
      <c r="AA1630" s="672"/>
      <c r="AB1630" s="695"/>
      <c r="AC1630" s="673"/>
      <c r="AD1630" s="673"/>
      <c r="AE1630" s="673"/>
      <c r="AF1630" s="673"/>
      <c r="AG1630" s="673"/>
      <c r="AH1630" s="673"/>
      <c r="AI1630" s="673"/>
      <c r="AJ1630" s="673"/>
      <c r="AK1630" s="673"/>
      <c r="AL1630" s="673"/>
      <c r="AM1630" s="673"/>
      <c r="AN1630" s="673"/>
      <c r="AO1630" s="673"/>
      <c r="AP1630" s="673"/>
      <c r="AQ1630" s="673"/>
      <c r="AR1630" s="673"/>
      <c r="AS1630" s="673"/>
      <c r="AT1630" s="696"/>
    </row>
    <row r="1631" ht="15.75" customHeight="1">
      <c r="A1631" s="653"/>
      <c r="B1631" s="654"/>
      <c r="C1631" s="691"/>
      <c r="D1631" s="656"/>
      <c r="E1631" s="657"/>
      <c r="F1631" s="658"/>
      <c r="G1631" s="659"/>
      <c r="H1631" s="660"/>
      <c r="I1631" s="659"/>
      <c r="J1631" s="661"/>
      <c r="K1631" s="692"/>
      <c r="L1631" s="645"/>
      <c r="M1631" s="663"/>
      <c r="N1631" s="665"/>
      <c r="O1631" s="665"/>
      <c r="P1631" s="666"/>
      <c r="Q1631" s="667"/>
      <c r="R1631" s="668"/>
      <c r="S1631" s="693"/>
      <c r="T1631" s="694"/>
      <c r="U1631" s="694"/>
      <c r="V1631" s="693"/>
      <c r="W1631" s="693"/>
      <c r="X1631" s="693"/>
      <c r="Y1631" s="671"/>
      <c r="Z1631" s="673"/>
      <c r="AA1631" s="672"/>
      <c r="AB1631" s="695"/>
      <c r="AC1631" s="673"/>
      <c r="AD1631" s="673"/>
      <c r="AE1631" s="673"/>
      <c r="AF1631" s="673"/>
      <c r="AG1631" s="673"/>
      <c r="AH1631" s="673"/>
      <c r="AI1631" s="673"/>
      <c r="AJ1631" s="673"/>
      <c r="AK1631" s="673"/>
      <c r="AL1631" s="673"/>
      <c r="AM1631" s="673"/>
      <c r="AN1631" s="673"/>
      <c r="AO1631" s="673"/>
      <c r="AP1631" s="673"/>
      <c r="AQ1631" s="673"/>
      <c r="AR1631" s="673"/>
      <c r="AS1631" s="673"/>
      <c r="AT1631" s="696"/>
    </row>
    <row r="1632" ht="15.75" customHeight="1">
      <c r="A1632" s="653"/>
      <c r="B1632" s="654"/>
      <c r="C1632" s="691"/>
      <c r="D1632" s="656"/>
      <c r="E1632" s="657"/>
      <c r="F1632" s="658"/>
      <c r="G1632" s="659"/>
      <c r="H1632" s="660"/>
      <c r="I1632" s="659"/>
      <c r="J1632" s="661"/>
      <c r="K1632" s="692"/>
      <c r="L1632" s="645"/>
      <c r="M1632" s="663"/>
      <c r="N1632" s="665"/>
      <c r="O1632" s="665"/>
      <c r="P1632" s="666"/>
      <c r="Q1632" s="667"/>
      <c r="R1632" s="668"/>
      <c r="S1632" s="693"/>
      <c r="T1632" s="694"/>
      <c r="U1632" s="694"/>
      <c r="V1632" s="693"/>
      <c r="W1632" s="693"/>
      <c r="X1632" s="693"/>
      <c r="Y1632" s="671"/>
      <c r="Z1632" s="673"/>
      <c r="AA1632" s="672"/>
      <c r="AB1632" s="695"/>
      <c r="AC1632" s="673"/>
      <c r="AD1632" s="673"/>
      <c r="AE1632" s="673"/>
      <c r="AF1632" s="673"/>
      <c r="AG1632" s="673"/>
      <c r="AH1632" s="673"/>
      <c r="AI1632" s="673"/>
      <c r="AJ1632" s="673"/>
      <c r="AK1632" s="673"/>
      <c r="AL1632" s="673"/>
      <c r="AM1632" s="673"/>
      <c r="AN1632" s="673"/>
      <c r="AO1632" s="673"/>
      <c r="AP1632" s="673"/>
      <c r="AQ1632" s="673"/>
      <c r="AR1632" s="673"/>
      <c r="AS1632" s="673"/>
      <c r="AT1632" s="696"/>
    </row>
    <row r="1633" ht="15.75" customHeight="1">
      <c r="A1633" s="653"/>
      <c r="B1633" s="654"/>
      <c r="C1633" s="691"/>
      <c r="D1633" s="656"/>
      <c r="E1633" s="657"/>
      <c r="F1633" s="658"/>
      <c r="G1633" s="659"/>
      <c r="H1633" s="660"/>
      <c r="I1633" s="659"/>
      <c r="J1633" s="661"/>
      <c r="K1633" s="692"/>
      <c r="L1633" s="645"/>
      <c r="M1633" s="663"/>
      <c r="N1633" s="665"/>
      <c r="O1633" s="665"/>
      <c r="P1633" s="666"/>
      <c r="Q1633" s="667"/>
      <c r="R1633" s="668"/>
      <c r="S1633" s="693"/>
      <c r="T1633" s="694"/>
      <c r="U1633" s="694"/>
      <c r="V1633" s="693"/>
      <c r="W1633" s="693"/>
      <c r="X1633" s="693"/>
      <c r="Y1633" s="671"/>
      <c r="Z1633" s="673"/>
      <c r="AA1633" s="672"/>
      <c r="AB1633" s="695"/>
      <c r="AC1633" s="673"/>
      <c r="AD1633" s="673"/>
      <c r="AE1633" s="673"/>
      <c r="AF1633" s="673"/>
      <c r="AG1633" s="673"/>
      <c r="AH1633" s="673"/>
      <c r="AI1633" s="673"/>
      <c r="AJ1633" s="673"/>
      <c r="AK1633" s="673"/>
      <c r="AL1633" s="673"/>
      <c r="AM1633" s="673"/>
      <c r="AN1633" s="673"/>
      <c r="AO1633" s="673"/>
      <c r="AP1633" s="673"/>
      <c r="AQ1633" s="673"/>
      <c r="AR1633" s="673"/>
      <c r="AS1633" s="673"/>
      <c r="AT1633" s="696"/>
    </row>
    <row r="1634" ht="15.75" customHeight="1">
      <c r="A1634" s="653"/>
      <c r="B1634" s="654"/>
      <c r="C1634" s="691"/>
      <c r="D1634" s="656"/>
      <c r="E1634" s="657"/>
      <c r="F1634" s="658"/>
      <c r="G1634" s="659"/>
      <c r="H1634" s="660"/>
      <c r="I1634" s="659"/>
      <c r="J1634" s="661"/>
      <c r="K1634" s="692"/>
      <c r="L1634" s="645"/>
      <c r="M1634" s="663"/>
      <c r="N1634" s="665"/>
      <c r="O1634" s="665"/>
      <c r="P1634" s="666"/>
      <c r="Q1634" s="667"/>
      <c r="R1634" s="668"/>
      <c r="S1634" s="693"/>
      <c r="T1634" s="694"/>
      <c r="U1634" s="694"/>
      <c r="V1634" s="693"/>
      <c r="W1634" s="693"/>
      <c r="X1634" s="693"/>
      <c r="Y1634" s="671"/>
      <c r="Z1634" s="673"/>
      <c r="AA1634" s="672"/>
      <c r="AB1634" s="695"/>
      <c r="AC1634" s="673"/>
      <c r="AD1634" s="673"/>
      <c r="AE1634" s="673"/>
      <c r="AF1634" s="673"/>
      <c r="AG1634" s="673"/>
      <c r="AH1634" s="673"/>
      <c r="AI1634" s="673"/>
      <c r="AJ1634" s="673"/>
      <c r="AK1634" s="673"/>
      <c r="AL1634" s="673"/>
      <c r="AM1634" s="673"/>
      <c r="AN1634" s="673"/>
      <c r="AO1634" s="673"/>
      <c r="AP1634" s="673"/>
      <c r="AQ1634" s="673"/>
      <c r="AR1634" s="673"/>
      <c r="AS1634" s="673"/>
      <c r="AT1634" s="696"/>
    </row>
    <row r="1635" ht="15.75" customHeight="1">
      <c r="A1635" s="653"/>
      <c r="B1635" s="654"/>
      <c r="C1635" s="691"/>
      <c r="D1635" s="656"/>
      <c r="E1635" s="657"/>
      <c r="F1635" s="658"/>
      <c r="G1635" s="659"/>
      <c r="H1635" s="660"/>
      <c r="I1635" s="659"/>
      <c r="J1635" s="661"/>
      <c r="K1635" s="692"/>
      <c r="L1635" s="645"/>
      <c r="M1635" s="663"/>
      <c r="N1635" s="665"/>
      <c r="O1635" s="665"/>
      <c r="P1635" s="666"/>
      <c r="Q1635" s="667"/>
      <c r="R1635" s="668"/>
      <c r="S1635" s="693"/>
      <c r="T1635" s="694"/>
      <c r="U1635" s="694"/>
      <c r="V1635" s="693"/>
      <c r="W1635" s="693"/>
      <c r="X1635" s="693"/>
      <c r="Y1635" s="671"/>
      <c r="Z1635" s="673"/>
      <c r="AA1635" s="672"/>
      <c r="AB1635" s="695"/>
      <c r="AC1635" s="673"/>
      <c r="AD1635" s="673"/>
      <c r="AE1635" s="673"/>
      <c r="AF1635" s="673"/>
      <c r="AG1635" s="673"/>
      <c r="AH1635" s="673"/>
      <c r="AI1635" s="673"/>
      <c r="AJ1635" s="673"/>
      <c r="AK1635" s="673"/>
      <c r="AL1635" s="673"/>
      <c r="AM1635" s="673"/>
      <c r="AN1635" s="673"/>
      <c r="AO1635" s="673"/>
      <c r="AP1635" s="673"/>
      <c r="AQ1635" s="673"/>
      <c r="AR1635" s="673"/>
      <c r="AS1635" s="673"/>
      <c r="AT1635" s="696"/>
    </row>
    <row r="1636" ht="15.75" customHeight="1">
      <c r="A1636" s="653"/>
      <c r="B1636" s="654"/>
      <c r="C1636" s="691"/>
      <c r="D1636" s="656"/>
      <c r="E1636" s="657"/>
      <c r="F1636" s="658"/>
      <c r="G1636" s="659"/>
      <c r="H1636" s="660"/>
      <c r="I1636" s="659"/>
      <c r="J1636" s="661"/>
      <c r="K1636" s="692"/>
      <c r="L1636" s="645"/>
      <c r="M1636" s="663"/>
      <c r="N1636" s="665"/>
      <c r="O1636" s="665"/>
      <c r="P1636" s="666"/>
      <c r="Q1636" s="667"/>
      <c r="R1636" s="668"/>
      <c r="S1636" s="693"/>
      <c r="T1636" s="694"/>
      <c r="U1636" s="694"/>
      <c r="V1636" s="693"/>
      <c r="W1636" s="693"/>
      <c r="X1636" s="693"/>
      <c r="Y1636" s="671"/>
      <c r="Z1636" s="673"/>
      <c r="AA1636" s="672"/>
      <c r="AB1636" s="695"/>
      <c r="AC1636" s="673"/>
      <c r="AD1636" s="673"/>
      <c r="AE1636" s="673"/>
      <c r="AF1636" s="673"/>
      <c r="AG1636" s="673"/>
      <c r="AH1636" s="673"/>
      <c r="AI1636" s="673"/>
      <c r="AJ1636" s="673"/>
      <c r="AK1636" s="673"/>
      <c r="AL1636" s="673"/>
      <c r="AM1636" s="673"/>
      <c r="AN1636" s="673"/>
      <c r="AO1636" s="673"/>
      <c r="AP1636" s="673"/>
      <c r="AQ1636" s="673"/>
      <c r="AR1636" s="673"/>
      <c r="AS1636" s="673"/>
      <c r="AT1636" s="696"/>
    </row>
    <row r="1637" ht="15.75" customHeight="1">
      <c r="A1637" s="653"/>
      <c r="B1637" s="654"/>
      <c r="C1637" s="691"/>
      <c r="D1637" s="656"/>
      <c r="E1637" s="657"/>
      <c r="F1637" s="658"/>
      <c r="G1637" s="659"/>
      <c r="H1637" s="660"/>
      <c r="I1637" s="659"/>
      <c r="J1637" s="661"/>
      <c r="K1637" s="692"/>
      <c r="L1637" s="645"/>
      <c r="M1637" s="663"/>
      <c r="N1637" s="665"/>
      <c r="O1637" s="665"/>
      <c r="P1637" s="666"/>
      <c r="Q1637" s="667"/>
      <c r="R1637" s="668"/>
      <c r="S1637" s="693"/>
      <c r="T1637" s="694"/>
      <c r="U1637" s="694"/>
      <c r="V1637" s="693"/>
      <c r="W1637" s="693"/>
      <c r="X1637" s="693"/>
      <c r="Y1637" s="671"/>
      <c r="Z1637" s="673"/>
      <c r="AA1637" s="672"/>
      <c r="AB1637" s="695"/>
      <c r="AC1637" s="673"/>
      <c r="AD1637" s="673"/>
      <c r="AE1637" s="673"/>
      <c r="AF1637" s="673"/>
      <c r="AG1637" s="673"/>
      <c r="AH1637" s="673"/>
      <c r="AI1637" s="673"/>
      <c r="AJ1637" s="673"/>
      <c r="AK1637" s="673"/>
      <c r="AL1637" s="673"/>
      <c r="AM1637" s="673"/>
      <c r="AN1637" s="673"/>
      <c r="AO1637" s="673"/>
      <c r="AP1637" s="673"/>
      <c r="AQ1637" s="673"/>
      <c r="AR1637" s="673"/>
      <c r="AS1637" s="673"/>
      <c r="AT1637" s="696"/>
    </row>
    <row r="1638" ht="15.75" customHeight="1">
      <c r="A1638" s="653"/>
      <c r="B1638" s="654"/>
      <c r="C1638" s="691"/>
      <c r="D1638" s="656"/>
      <c r="E1638" s="657"/>
      <c r="F1638" s="658"/>
      <c r="G1638" s="659"/>
      <c r="H1638" s="660"/>
      <c r="I1638" s="659"/>
      <c r="J1638" s="661"/>
      <c r="K1638" s="692"/>
      <c r="L1638" s="645"/>
      <c r="M1638" s="663"/>
      <c r="N1638" s="665"/>
      <c r="O1638" s="665"/>
      <c r="P1638" s="666"/>
      <c r="Q1638" s="667"/>
      <c r="R1638" s="668"/>
      <c r="S1638" s="693"/>
      <c r="T1638" s="694"/>
      <c r="U1638" s="694"/>
      <c r="V1638" s="693"/>
      <c r="W1638" s="693"/>
      <c r="X1638" s="693"/>
      <c r="Y1638" s="671"/>
      <c r="Z1638" s="673"/>
      <c r="AA1638" s="672"/>
      <c r="AB1638" s="695"/>
      <c r="AC1638" s="673"/>
      <c r="AD1638" s="673"/>
      <c r="AE1638" s="673"/>
      <c r="AF1638" s="673"/>
      <c r="AG1638" s="673"/>
      <c r="AH1638" s="673"/>
      <c r="AI1638" s="673"/>
      <c r="AJ1638" s="673"/>
      <c r="AK1638" s="673"/>
      <c r="AL1638" s="673"/>
      <c r="AM1638" s="673"/>
      <c r="AN1638" s="673"/>
      <c r="AO1638" s="673"/>
      <c r="AP1638" s="673"/>
      <c r="AQ1638" s="673"/>
      <c r="AR1638" s="673"/>
      <c r="AS1638" s="673"/>
      <c r="AT1638" s="696"/>
    </row>
    <row r="1639" ht="15.75" customHeight="1">
      <c r="A1639" s="653"/>
      <c r="B1639" s="654"/>
      <c r="C1639" s="691"/>
      <c r="D1639" s="656"/>
      <c r="E1639" s="657"/>
      <c r="F1639" s="658"/>
      <c r="G1639" s="659"/>
      <c r="H1639" s="660"/>
      <c r="I1639" s="659"/>
      <c r="J1639" s="661"/>
      <c r="K1639" s="692"/>
      <c r="L1639" s="645"/>
      <c r="M1639" s="663"/>
      <c r="N1639" s="665"/>
      <c r="O1639" s="665"/>
      <c r="P1639" s="666"/>
      <c r="Q1639" s="667"/>
      <c r="R1639" s="668"/>
      <c r="S1639" s="693"/>
      <c r="T1639" s="694"/>
      <c r="U1639" s="694"/>
      <c r="V1639" s="693"/>
      <c r="W1639" s="693"/>
      <c r="X1639" s="693"/>
      <c r="Y1639" s="671"/>
      <c r="Z1639" s="673"/>
      <c r="AA1639" s="672"/>
      <c r="AB1639" s="695"/>
      <c r="AC1639" s="673"/>
      <c r="AD1639" s="673"/>
      <c r="AE1639" s="673"/>
      <c r="AF1639" s="673"/>
      <c r="AG1639" s="673"/>
      <c r="AH1639" s="673"/>
      <c r="AI1639" s="673"/>
      <c r="AJ1639" s="673"/>
      <c r="AK1639" s="673"/>
      <c r="AL1639" s="673"/>
      <c r="AM1639" s="673"/>
      <c r="AN1639" s="673"/>
      <c r="AO1639" s="673"/>
      <c r="AP1639" s="673"/>
      <c r="AQ1639" s="673"/>
      <c r="AR1639" s="673"/>
      <c r="AS1639" s="673"/>
      <c r="AT1639" s="696"/>
    </row>
    <row r="1640" ht="15.75" customHeight="1">
      <c r="A1640" s="653"/>
      <c r="B1640" s="654"/>
      <c r="C1640" s="691"/>
      <c r="D1640" s="656"/>
      <c r="E1640" s="657"/>
      <c r="F1640" s="658"/>
      <c r="G1640" s="659"/>
      <c r="H1640" s="660"/>
      <c r="I1640" s="659"/>
      <c r="J1640" s="661"/>
      <c r="K1640" s="692"/>
      <c r="L1640" s="645"/>
      <c r="M1640" s="663"/>
      <c r="N1640" s="665"/>
      <c r="O1640" s="665"/>
      <c r="P1640" s="666"/>
      <c r="Q1640" s="667"/>
      <c r="R1640" s="668"/>
      <c r="S1640" s="693"/>
      <c r="T1640" s="694"/>
      <c r="U1640" s="694"/>
      <c r="V1640" s="693"/>
      <c r="W1640" s="693"/>
      <c r="X1640" s="693"/>
      <c r="Y1640" s="671"/>
      <c r="Z1640" s="673"/>
      <c r="AA1640" s="672"/>
      <c r="AB1640" s="695"/>
      <c r="AC1640" s="673"/>
      <c r="AD1640" s="673"/>
      <c r="AE1640" s="673"/>
      <c r="AF1640" s="673"/>
      <c r="AG1640" s="673"/>
      <c r="AH1640" s="673"/>
      <c r="AI1640" s="673"/>
      <c r="AJ1640" s="673"/>
      <c r="AK1640" s="673"/>
      <c r="AL1640" s="673"/>
      <c r="AM1640" s="673"/>
      <c r="AN1640" s="673"/>
      <c r="AO1640" s="673"/>
      <c r="AP1640" s="673"/>
      <c r="AQ1640" s="673"/>
      <c r="AR1640" s="673"/>
      <c r="AS1640" s="673"/>
      <c r="AT1640" s="696"/>
    </row>
    <row r="1641" ht="15.75" customHeight="1">
      <c r="A1641" s="653"/>
      <c r="B1641" s="654"/>
      <c r="C1641" s="691"/>
      <c r="D1641" s="656"/>
      <c r="E1641" s="657"/>
      <c r="F1641" s="658"/>
      <c r="G1641" s="659"/>
      <c r="H1641" s="660"/>
      <c r="I1641" s="659"/>
      <c r="J1641" s="661"/>
      <c r="K1641" s="692"/>
      <c r="L1641" s="645"/>
      <c r="M1641" s="663"/>
      <c r="N1641" s="665"/>
      <c r="O1641" s="665"/>
      <c r="P1641" s="666"/>
      <c r="Q1641" s="667"/>
      <c r="R1641" s="668"/>
      <c r="S1641" s="693"/>
      <c r="T1641" s="694"/>
      <c r="U1641" s="694"/>
      <c r="V1641" s="693"/>
      <c r="W1641" s="693"/>
      <c r="X1641" s="693"/>
      <c r="Y1641" s="671"/>
      <c r="Z1641" s="673"/>
      <c r="AA1641" s="672"/>
      <c r="AB1641" s="695"/>
      <c r="AC1641" s="673"/>
      <c r="AD1641" s="673"/>
      <c r="AE1641" s="673"/>
      <c r="AF1641" s="673"/>
      <c r="AG1641" s="673"/>
      <c r="AH1641" s="673"/>
      <c r="AI1641" s="673"/>
      <c r="AJ1641" s="673"/>
      <c r="AK1641" s="673"/>
      <c r="AL1641" s="673"/>
      <c r="AM1641" s="673"/>
      <c r="AN1641" s="673"/>
      <c r="AO1641" s="673"/>
      <c r="AP1641" s="673"/>
      <c r="AQ1641" s="673"/>
      <c r="AR1641" s="673"/>
      <c r="AS1641" s="673"/>
      <c r="AT1641" s="696"/>
    </row>
    <row r="1642" ht="15.75" customHeight="1">
      <c r="A1642" s="653"/>
      <c r="B1642" s="654"/>
      <c r="C1642" s="691"/>
      <c r="D1642" s="656"/>
      <c r="E1642" s="657"/>
      <c r="F1642" s="658"/>
      <c r="G1642" s="659"/>
      <c r="H1642" s="660"/>
      <c r="I1642" s="659"/>
      <c r="J1642" s="661"/>
      <c r="K1642" s="692"/>
      <c r="L1642" s="645"/>
      <c r="M1642" s="663"/>
      <c r="N1642" s="665"/>
      <c r="O1642" s="665"/>
      <c r="P1642" s="666"/>
      <c r="Q1642" s="667"/>
      <c r="R1642" s="668"/>
      <c r="S1642" s="693"/>
      <c r="T1642" s="694"/>
      <c r="U1642" s="694"/>
      <c r="V1642" s="693"/>
      <c r="W1642" s="693"/>
      <c r="X1642" s="693"/>
      <c r="Y1642" s="671"/>
      <c r="Z1642" s="673"/>
      <c r="AA1642" s="672"/>
      <c r="AB1642" s="695"/>
      <c r="AC1642" s="673"/>
      <c r="AD1642" s="673"/>
      <c r="AE1642" s="673"/>
      <c r="AF1642" s="673"/>
      <c r="AG1642" s="673"/>
      <c r="AH1642" s="673"/>
      <c r="AI1642" s="673"/>
      <c r="AJ1642" s="673"/>
      <c r="AK1642" s="673"/>
      <c r="AL1642" s="673"/>
      <c r="AM1642" s="673"/>
      <c r="AN1642" s="673"/>
      <c r="AO1642" s="673"/>
      <c r="AP1642" s="673"/>
      <c r="AQ1642" s="673"/>
      <c r="AR1642" s="673"/>
      <c r="AS1642" s="673"/>
      <c r="AT1642" s="696"/>
    </row>
    <row r="1643" ht="15.75" customHeight="1">
      <c r="A1643" s="653"/>
      <c r="B1643" s="654"/>
      <c r="C1643" s="691"/>
      <c r="D1643" s="656"/>
      <c r="E1643" s="657"/>
      <c r="F1643" s="658"/>
      <c r="G1643" s="659"/>
      <c r="H1643" s="660"/>
      <c r="I1643" s="659"/>
      <c r="J1643" s="661"/>
      <c r="K1643" s="692"/>
      <c r="L1643" s="645"/>
      <c r="M1643" s="663"/>
      <c r="N1643" s="665"/>
      <c r="O1643" s="665"/>
      <c r="P1643" s="666"/>
      <c r="Q1643" s="667"/>
      <c r="R1643" s="668"/>
      <c r="S1643" s="693"/>
      <c r="T1643" s="694"/>
      <c r="U1643" s="694"/>
      <c r="V1643" s="693"/>
      <c r="W1643" s="693"/>
      <c r="X1643" s="693"/>
      <c r="Y1643" s="671"/>
      <c r="Z1643" s="673"/>
      <c r="AA1643" s="672"/>
      <c r="AB1643" s="695"/>
      <c r="AC1643" s="673"/>
      <c r="AD1643" s="673"/>
      <c r="AE1643" s="673"/>
      <c r="AF1643" s="673"/>
      <c r="AG1643" s="673"/>
      <c r="AH1643" s="673"/>
      <c r="AI1643" s="673"/>
      <c r="AJ1643" s="673"/>
      <c r="AK1643" s="673"/>
      <c r="AL1643" s="673"/>
      <c r="AM1643" s="673"/>
      <c r="AN1643" s="673"/>
      <c r="AO1643" s="673"/>
      <c r="AP1643" s="673"/>
      <c r="AQ1643" s="673"/>
      <c r="AR1643" s="673"/>
      <c r="AS1643" s="673"/>
      <c r="AT1643" s="696"/>
    </row>
    <row r="1644" ht="15.75" customHeight="1">
      <c r="A1644" s="653"/>
      <c r="B1644" s="654"/>
      <c r="C1644" s="691"/>
      <c r="D1644" s="656"/>
      <c r="E1644" s="657"/>
      <c r="F1644" s="658"/>
      <c r="G1644" s="659"/>
      <c r="H1644" s="660"/>
      <c r="I1644" s="659"/>
      <c r="J1644" s="661"/>
      <c r="K1644" s="692"/>
      <c r="L1644" s="645"/>
      <c r="M1644" s="663"/>
      <c r="N1644" s="665"/>
      <c r="O1644" s="665"/>
      <c r="P1644" s="666"/>
      <c r="Q1644" s="667"/>
      <c r="R1644" s="668"/>
      <c r="S1644" s="693"/>
      <c r="T1644" s="694"/>
      <c r="U1644" s="694"/>
      <c r="V1644" s="693"/>
      <c r="W1644" s="693"/>
      <c r="X1644" s="693"/>
      <c r="Y1644" s="671"/>
      <c r="Z1644" s="673"/>
      <c r="AA1644" s="672"/>
      <c r="AB1644" s="695"/>
      <c r="AC1644" s="673"/>
      <c r="AD1644" s="673"/>
      <c r="AE1644" s="673"/>
      <c r="AF1644" s="673"/>
      <c r="AG1644" s="673"/>
      <c r="AH1644" s="673"/>
      <c r="AI1644" s="673"/>
      <c r="AJ1644" s="673"/>
      <c r="AK1644" s="673"/>
      <c r="AL1644" s="673"/>
      <c r="AM1644" s="673"/>
      <c r="AN1644" s="673"/>
      <c r="AO1644" s="673"/>
      <c r="AP1644" s="673"/>
      <c r="AQ1644" s="673"/>
      <c r="AR1644" s="673"/>
      <c r="AS1644" s="673"/>
      <c r="AT1644" s="696"/>
    </row>
    <row r="1645" ht="15.75" customHeight="1">
      <c r="A1645" s="653"/>
      <c r="B1645" s="654"/>
      <c r="C1645" s="691"/>
      <c r="D1645" s="656"/>
      <c r="E1645" s="657"/>
      <c r="F1645" s="658"/>
      <c r="G1645" s="659"/>
      <c r="H1645" s="660"/>
      <c r="I1645" s="659"/>
      <c r="J1645" s="661"/>
      <c r="K1645" s="692"/>
      <c r="L1645" s="645"/>
      <c r="M1645" s="663"/>
      <c r="N1645" s="665"/>
      <c r="O1645" s="665"/>
      <c r="P1645" s="666"/>
      <c r="Q1645" s="667"/>
      <c r="R1645" s="668"/>
      <c r="S1645" s="693"/>
      <c r="T1645" s="694"/>
      <c r="U1645" s="694"/>
      <c r="V1645" s="693"/>
      <c r="W1645" s="693"/>
      <c r="X1645" s="693"/>
      <c r="Y1645" s="671"/>
      <c r="Z1645" s="673"/>
      <c r="AA1645" s="672"/>
      <c r="AB1645" s="695"/>
      <c r="AC1645" s="673"/>
      <c r="AD1645" s="673"/>
      <c r="AE1645" s="673"/>
      <c r="AF1645" s="673"/>
      <c r="AG1645" s="673"/>
      <c r="AH1645" s="673"/>
      <c r="AI1645" s="673"/>
      <c r="AJ1645" s="673"/>
      <c r="AK1645" s="673"/>
      <c r="AL1645" s="673"/>
      <c r="AM1645" s="673"/>
      <c r="AN1645" s="673"/>
      <c r="AO1645" s="673"/>
      <c r="AP1645" s="673"/>
      <c r="AQ1645" s="673"/>
      <c r="AR1645" s="673"/>
      <c r="AS1645" s="673"/>
      <c r="AT1645" s="696"/>
    </row>
    <row r="1646" ht="15.75" customHeight="1">
      <c r="A1646" s="653"/>
      <c r="B1646" s="654"/>
      <c r="C1646" s="691"/>
      <c r="D1646" s="656"/>
      <c r="E1646" s="657"/>
      <c r="F1646" s="658"/>
      <c r="G1646" s="659"/>
      <c r="H1646" s="660"/>
      <c r="I1646" s="659"/>
      <c r="J1646" s="661"/>
      <c r="K1646" s="692"/>
      <c r="L1646" s="645"/>
      <c r="M1646" s="663"/>
      <c r="N1646" s="665"/>
      <c r="O1646" s="665"/>
      <c r="P1646" s="666"/>
      <c r="Q1646" s="667"/>
      <c r="R1646" s="668"/>
      <c r="S1646" s="693"/>
      <c r="T1646" s="694"/>
      <c r="U1646" s="694"/>
      <c r="V1646" s="693"/>
      <c r="W1646" s="693"/>
      <c r="X1646" s="693"/>
      <c r="Y1646" s="671"/>
      <c r="Z1646" s="673"/>
      <c r="AA1646" s="672"/>
      <c r="AB1646" s="695"/>
      <c r="AC1646" s="673"/>
      <c r="AD1646" s="673"/>
      <c r="AE1646" s="673"/>
      <c r="AF1646" s="673"/>
      <c r="AG1646" s="673"/>
      <c r="AH1646" s="673"/>
      <c r="AI1646" s="673"/>
      <c r="AJ1646" s="673"/>
      <c r="AK1646" s="673"/>
      <c r="AL1646" s="673"/>
      <c r="AM1646" s="673"/>
      <c r="AN1646" s="673"/>
      <c r="AO1646" s="673"/>
      <c r="AP1646" s="673"/>
      <c r="AQ1646" s="673"/>
      <c r="AR1646" s="673"/>
      <c r="AS1646" s="673"/>
      <c r="AT1646" s="696"/>
    </row>
    <row r="1647" ht="15.75" customHeight="1">
      <c r="A1647" s="653"/>
      <c r="B1647" s="654"/>
      <c r="C1647" s="691"/>
      <c r="D1647" s="656"/>
      <c r="E1647" s="657"/>
      <c r="F1647" s="658"/>
      <c r="G1647" s="659"/>
      <c r="H1647" s="660"/>
      <c r="I1647" s="659"/>
      <c r="J1647" s="661"/>
      <c r="K1647" s="692"/>
      <c r="L1647" s="645"/>
      <c r="M1647" s="663"/>
      <c r="N1647" s="665"/>
      <c r="O1647" s="665"/>
      <c r="P1647" s="666"/>
      <c r="Q1647" s="667"/>
      <c r="R1647" s="668"/>
      <c r="S1647" s="693"/>
      <c r="T1647" s="694"/>
      <c r="U1647" s="694"/>
      <c r="V1647" s="693"/>
      <c r="W1647" s="693"/>
      <c r="X1647" s="693"/>
      <c r="Y1647" s="671"/>
      <c r="Z1647" s="673"/>
      <c r="AA1647" s="672"/>
      <c r="AB1647" s="695"/>
      <c r="AC1647" s="673"/>
      <c r="AD1647" s="673"/>
      <c r="AE1647" s="673"/>
      <c r="AF1647" s="673"/>
      <c r="AG1647" s="673"/>
      <c r="AH1647" s="673"/>
      <c r="AI1647" s="673"/>
      <c r="AJ1647" s="673"/>
      <c r="AK1647" s="673"/>
      <c r="AL1647" s="673"/>
      <c r="AM1647" s="673"/>
      <c r="AN1647" s="673"/>
      <c r="AO1647" s="673"/>
      <c r="AP1647" s="673"/>
      <c r="AQ1647" s="673"/>
      <c r="AR1647" s="673"/>
      <c r="AS1647" s="673"/>
      <c r="AT1647" s="696"/>
    </row>
    <row r="1648" ht="15.75" customHeight="1">
      <c r="A1648" s="653"/>
      <c r="B1648" s="654"/>
      <c r="C1648" s="691"/>
      <c r="D1648" s="656"/>
      <c r="E1648" s="657"/>
      <c r="F1648" s="658"/>
      <c r="G1648" s="659"/>
      <c r="H1648" s="660"/>
      <c r="I1648" s="659"/>
      <c r="J1648" s="661"/>
      <c r="K1648" s="692"/>
      <c r="L1648" s="645"/>
      <c r="M1648" s="663"/>
      <c r="N1648" s="665"/>
      <c r="O1648" s="665"/>
      <c r="P1648" s="666"/>
      <c r="Q1648" s="667"/>
      <c r="R1648" s="668"/>
      <c r="S1648" s="693"/>
      <c r="T1648" s="694"/>
      <c r="U1648" s="694"/>
      <c r="V1648" s="693"/>
      <c r="W1648" s="693"/>
      <c r="X1648" s="693"/>
      <c r="Y1648" s="671"/>
      <c r="Z1648" s="673"/>
      <c r="AA1648" s="672"/>
      <c r="AB1648" s="695"/>
      <c r="AC1648" s="673"/>
      <c r="AD1648" s="673"/>
      <c r="AE1648" s="673"/>
      <c r="AF1648" s="673"/>
      <c r="AG1648" s="673"/>
      <c r="AH1648" s="673"/>
      <c r="AI1648" s="673"/>
      <c r="AJ1648" s="673"/>
      <c r="AK1648" s="673"/>
      <c r="AL1648" s="673"/>
      <c r="AM1648" s="673"/>
      <c r="AN1648" s="673"/>
      <c r="AO1648" s="673"/>
      <c r="AP1648" s="673"/>
      <c r="AQ1648" s="673"/>
      <c r="AR1648" s="673"/>
      <c r="AS1648" s="673"/>
      <c r="AT1648" s="696"/>
    </row>
    <row r="1649" ht="15.75" customHeight="1">
      <c r="A1649" s="653"/>
      <c r="B1649" s="654"/>
      <c r="C1649" s="691"/>
      <c r="D1649" s="656"/>
      <c r="E1649" s="657"/>
      <c r="F1649" s="658"/>
      <c r="G1649" s="659"/>
      <c r="H1649" s="660"/>
      <c r="I1649" s="659"/>
      <c r="J1649" s="661"/>
      <c r="K1649" s="692"/>
      <c r="L1649" s="645"/>
      <c r="M1649" s="663"/>
      <c r="N1649" s="665"/>
      <c r="O1649" s="665"/>
      <c r="P1649" s="666"/>
      <c r="Q1649" s="667"/>
      <c r="R1649" s="668"/>
      <c r="S1649" s="693"/>
      <c r="T1649" s="694"/>
      <c r="U1649" s="694"/>
      <c r="V1649" s="693"/>
      <c r="W1649" s="693"/>
      <c r="X1649" s="693"/>
      <c r="Y1649" s="671"/>
      <c r="Z1649" s="673"/>
      <c r="AA1649" s="672"/>
      <c r="AB1649" s="695"/>
      <c r="AC1649" s="673"/>
      <c r="AD1649" s="673"/>
      <c r="AE1649" s="673"/>
      <c r="AF1649" s="673"/>
      <c r="AG1649" s="673"/>
      <c r="AH1649" s="673"/>
      <c r="AI1649" s="673"/>
      <c r="AJ1649" s="673"/>
      <c r="AK1649" s="673"/>
      <c r="AL1649" s="673"/>
      <c r="AM1649" s="673"/>
      <c r="AN1649" s="673"/>
      <c r="AO1649" s="673"/>
      <c r="AP1649" s="673"/>
      <c r="AQ1649" s="673"/>
      <c r="AR1649" s="673"/>
      <c r="AS1649" s="673"/>
      <c r="AT1649" s="696"/>
    </row>
    <row r="1650" ht="15.75" customHeight="1">
      <c r="A1650" s="653"/>
      <c r="B1650" s="654"/>
      <c r="C1650" s="691"/>
      <c r="D1650" s="656"/>
      <c r="E1650" s="657"/>
      <c r="F1650" s="658"/>
      <c r="G1650" s="659"/>
      <c r="H1650" s="660"/>
      <c r="I1650" s="659"/>
      <c r="J1650" s="661"/>
      <c r="K1650" s="692"/>
      <c r="L1650" s="645"/>
      <c r="M1650" s="663"/>
      <c r="N1650" s="665"/>
      <c r="O1650" s="665"/>
      <c r="P1650" s="666"/>
      <c r="Q1650" s="667"/>
      <c r="R1650" s="668"/>
      <c r="S1650" s="693"/>
      <c r="T1650" s="694"/>
      <c r="U1650" s="694"/>
      <c r="V1650" s="693"/>
      <c r="W1650" s="693"/>
      <c r="X1650" s="693"/>
      <c r="Y1650" s="671"/>
      <c r="Z1650" s="673"/>
      <c r="AA1650" s="672"/>
      <c r="AB1650" s="695"/>
      <c r="AC1650" s="673"/>
      <c r="AD1650" s="673"/>
      <c r="AE1650" s="673"/>
      <c r="AF1650" s="673"/>
      <c r="AG1650" s="673"/>
      <c r="AH1650" s="673"/>
      <c r="AI1650" s="673"/>
      <c r="AJ1650" s="673"/>
      <c r="AK1650" s="673"/>
      <c r="AL1650" s="673"/>
      <c r="AM1650" s="673"/>
      <c r="AN1650" s="673"/>
      <c r="AO1650" s="673"/>
      <c r="AP1650" s="673"/>
      <c r="AQ1650" s="673"/>
      <c r="AR1650" s="673"/>
      <c r="AS1650" s="673"/>
      <c r="AT1650" s="696"/>
    </row>
    <row r="1651" ht="15.75" customHeight="1">
      <c r="A1651" s="653"/>
      <c r="B1651" s="654"/>
      <c r="C1651" s="691"/>
      <c r="D1651" s="656"/>
      <c r="E1651" s="657"/>
      <c r="F1651" s="658"/>
      <c r="G1651" s="659"/>
      <c r="H1651" s="660"/>
      <c r="I1651" s="659"/>
      <c r="J1651" s="661"/>
      <c r="K1651" s="692"/>
      <c r="L1651" s="645"/>
      <c r="M1651" s="663"/>
      <c r="N1651" s="665"/>
      <c r="O1651" s="665"/>
      <c r="P1651" s="666"/>
      <c r="Q1651" s="667"/>
      <c r="R1651" s="668"/>
      <c r="S1651" s="693"/>
      <c r="T1651" s="694"/>
      <c r="U1651" s="694"/>
      <c r="V1651" s="693"/>
      <c r="W1651" s="693"/>
      <c r="X1651" s="693"/>
      <c r="Y1651" s="671"/>
      <c r="Z1651" s="673"/>
      <c r="AA1651" s="672"/>
      <c r="AB1651" s="695"/>
      <c r="AC1651" s="673"/>
      <c r="AD1651" s="673"/>
      <c r="AE1651" s="673"/>
      <c r="AF1651" s="673"/>
      <c r="AG1651" s="673"/>
      <c r="AH1651" s="673"/>
      <c r="AI1651" s="673"/>
      <c r="AJ1651" s="673"/>
      <c r="AK1651" s="673"/>
      <c r="AL1651" s="673"/>
      <c r="AM1651" s="673"/>
      <c r="AN1651" s="673"/>
      <c r="AO1651" s="673"/>
      <c r="AP1651" s="673"/>
      <c r="AQ1651" s="673"/>
      <c r="AR1651" s="673"/>
      <c r="AS1651" s="673"/>
      <c r="AT1651" s="696"/>
    </row>
    <row r="1652" ht="15.75" customHeight="1">
      <c r="A1652" s="653"/>
      <c r="B1652" s="654"/>
      <c r="C1652" s="691"/>
      <c r="D1652" s="656"/>
      <c r="E1652" s="657"/>
      <c r="F1652" s="658"/>
      <c r="G1652" s="659"/>
      <c r="H1652" s="660"/>
      <c r="I1652" s="659"/>
      <c r="J1652" s="661"/>
      <c r="K1652" s="692"/>
      <c r="L1652" s="645"/>
      <c r="M1652" s="663"/>
      <c r="N1652" s="665"/>
      <c r="O1652" s="665"/>
      <c r="P1652" s="666"/>
      <c r="Q1652" s="667"/>
      <c r="R1652" s="668"/>
      <c r="S1652" s="693"/>
      <c r="T1652" s="694"/>
      <c r="U1652" s="694"/>
      <c r="V1652" s="693"/>
      <c r="W1652" s="693"/>
      <c r="X1652" s="693"/>
      <c r="Y1652" s="671"/>
      <c r="Z1652" s="673"/>
      <c r="AA1652" s="672"/>
      <c r="AB1652" s="695"/>
      <c r="AC1652" s="673"/>
      <c r="AD1652" s="673"/>
      <c r="AE1652" s="673"/>
      <c r="AF1652" s="673"/>
      <c r="AG1652" s="673"/>
      <c r="AH1652" s="673"/>
      <c r="AI1652" s="673"/>
      <c r="AJ1652" s="673"/>
      <c r="AK1652" s="673"/>
      <c r="AL1652" s="673"/>
      <c r="AM1652" s="673"/>
      <c r="AN1652" s="673"/>
      <c r="AO1652" s="673"/>
      <c r="AP1652" s="673"/>
      <c r="AQ1652" s="673"/>
      <c r="AR1652" s="673"/>
      <c r="AS1652" s="673"/>
      <c r="AT1652" s="696"/>
    </row>
    <row r="1653" ht="15.75" customHeight="1">
      <c r="A1653" s="653"/>
      <c r="B1653" s="654"/>
      <c r="C1653" s="691"/>
      <c r="D1653" s="656"/>
      <c r="E1653" s="657"/>
      <c r="F1653" s="658"/>
      <c r="G1653" s="659"/>
      <c r="H1653" s="660"/>
      <c r="I1653" s="659"/>
      <c r="J1653" s="661"/>
      <c r="K1653" s="692"/>
      <c r="L1653" s="645"/>
      <c r="M1653" s="663"/>
      <c r="N1653" s="665"/>
      <c r="O1653" s="665"/>
      <c r="P1653" s="666"/>
      <c r="Q1653" s="667"/>
      <c r="R1653" s="668"/>
      <c r="S1653" s="693"/>
      <c r="T1653" s="694"/>
      <c r="U1653" s="694"/>
      <c r="V1653" s="693"/>
      <c r="W1653" s="693"/>
      <c r="X1653" s="693"/>
      <c r="Y1653" s="671"/>
      <c r="Z1653" s="673"/>
      <c r="AA1653" s="672"/>
      <c r="AB1653" s="695"/>
      <c r="AC1653" s="673"/>
      <c r="AD1653" s="673"/>
      <c r="AE1653" s="673"/>
      <c r="AF1653" s="673"/>
      <c r="AG1653" s="673"/>
      <c r="AH1653" s="673"/>
      <c r="AI1653" s="673"/>
      <c r="AJ1653" s="673"/>
      <c r="AK1653" s="673"/>
      <c r="AL1653" s="673"/>
      <c r="AM1653" s="673"/>
      <c r="AN1653" s="673"/>
      <c r="AO1653" s="673"/>
      <c r="AP1653" s="673"/>
      <c r="AQ1653" s="673"/>
      <c r="AR1653" s="673"/>
      <c r="AS1653" s="673"/>
      <c r="AT1653" s="696"/>
    </row>
    <row r="1654" ht="15.75" customHeight="1">
      <c r="A1654" s="653"/>
      <c r="B1654" s="654"/>
      <c r="C1654" s="691"/>
      <c r="D1654" s="656"/>
      <c r="E1654" s="657"/>
      <c r="F1654" s="658"/>
      <c r="G1654" s="659"/>
      <c r="H1654" s="660"/>
      <c r="I1654" s="659"/>
      <c r="J1654" s="661"/>
      <c r="K1654" s="692"/>
      <c r="L1654" s="645"/>
      <c r="M1654" s="663"/>
      <c r="N1654" s="665"/>
      <c r="O1654" s="665"/>
      <c r="P1654" s="666"/>
      <c r="Q1654" s="667"/>
      <c r="R1654" s="668"/>
      <c r="S1654" s="693"/>
      <c r="T1654" s="694"/>
      <c r="U1654" s="694"/>
      <c r="V1654" s="693"/>
      <c r="W1654" s="693"/>
      <c r="X1654" s="693"/>
      <c r="Y1654" s="671"/>
      <c r="Z1654" s="673"/>
      <c r="AA1654" s="672"/>
      <c r="AB1654" s="695"/>
      <c r="AC1654" s="673"/>
      <c r="AD1654" s="673"/>
      <c r="AE1654" s="673"/>
      <c r="AF1654" s="673"/>
      <c r="AG1654" s="673"/>
      <c r="AH1654" s="673"/>
      <c r="AI1654" s="673"/>
      <c r="AJ1654" s="673"/>
      <c r="AK1654" s="673"/>
      <c r="AL1654" s="673"/>
      <c r="AM1654" s="673"/>
      <c r="AN1654" s="673"/>
      <c r="AO1654" s="673"/>
      <c r="AP1654" s="673"/>
      <c r="AQ1654" s="673"/>
      <c r="AR1654" s="673"/>
      <c r="AS1654" s="673"/>
      <c r="AT1654" s="696"/>
    </row>
    <row r="1655" ht="15.75" customHeight="1">
      <c r="A1655" s="653"/>
      <c r="B1655" s="654"/>
      <c r="C1655" s="691"/>
      <c r="D1655" s="656"/>
      <c r="E1655" s="657"/>
      <c r="F1655" s="658"/>
      <c r="G1655" s="659"/>
      <c r="H1655" s="660"/>
      <c r="I1655" s="659"/>
      <c r="J1655" s="661"/>
      <c r="K1655" s="692"/>
      <c r="L1655" s="645"/>
      <c r="M1655" s="663"/>
      <c r="N1655" s="665"/>
      <c r="O1655" s="665"/>
      <c r="P1655" s="666"/>
      <c r="Q1655" s="667"/>
      <c r="R1655" s="668"/>
      <c r="S1655" s="693"/>
      <c r="T1655" s="694"/>
      <c r="U1655" s="694"/>
      <c r="V1655" s="693"/>
      <c r="W1655" s="693"/>
      <c r="X1655" s="693"/>
      <c r="Y1655" s="671"/>
      <c r="Z1655" s="673"/>
      <c r="AA1655" s="672"/>
      <c r="AB1655" s="695"/>
      <c r="AC1655" s="673"/>
      <c r="AD1655" s="673"/>
      <c r="AE1655" s="673"/>
      <c r="AF1655" s="673"/>
      <c r="AG1655" s="673"/>
      <c r="AH1655" s="673"/>
      <c r="AI1655" s="673"/>
      <c r="AJ1655" s="673"/>
      <c r="AK1655" s="673"/>
      <c r="AL1655" s="673"/>
      <c r="AM1655" s="673"/>
      <c r="AN1655" s="673"/>
      <c r="AO1655" s="673"/>
      <c r="AP1655" s="673"/>
      <c r="AQ1655" s="673"/>
      <c r="AR1655" s="673"/>
      <c r="AS1655" s="673"/>
      <c r="AT1655" s="696"/>
    </row>
    <row r="1656" ht="15.75" customHeight="1">
      <c r="A1656" s="653"/>
      <c r="B1656" s="654"/>
      <c r="C1656" s="691"/>
      <c r="D1656" s="656"/>
      <c r="E1656" s="657"/>
      <c r="F1656" s="658"/>
      <c r="G1656" s="659"/>
      <c r="H1656" s="660"/>
      <c r="I1656" s="659"/>
      <c r="J1656" s="661"/>
      <c r="K1656" s="692"/>
      <c r="L1656" s="645"/>
      <c r="M1656" s="663"/>
      <c r="N1656" s="665"/>
      <c r="O1656" s="665"/>
      <c r="P1656" s="666"/>
      <c r="Q1656" s="667"/>
      <c r="R1656" s="668"/>
      <c r="S1656" s="693"/>
      <c r="T1656" s="694"/>
      <c r="U1656" s="694"/>
      <c r="V1656" s="693"/>
      <c r="W1656" s="693"/>
      <c r="X1656" s="693"/>
      <c r="Y1656" s="671"/>
      <c r="Z1656" s="673"/>
      <c r="AA1656" s="672"/>
      <c r="AB1656" s="695"/>
      <c r="AC1656" s="673"/>
      <c r="AD1656" s="673"/>
      <c r="AE1656" s="673"/>
      <c r="AF1656" s="673"/>
      <c r="AG1656" s="673"/>
      <c r="AH1656" s="673"/>
      <c r="AI1656" s="673"/>
      <c r="AJ1656" s="673"/>
      <c r="AK1656" s="673"/>
      <c r="AL1656" s="673"/>
      <c r="AM1656" s="673"/>
      <c r="AN1656" s="673"/>
      <c r="AO1656" s="673"/>
      <c r="AP1656" s="673"/>
      <c r="AQ1656" s="673"/>
      <c r="AR1656" s="673"/>
      <c r="AS1656" s="673"/>
      <c r="AT1656" s="696"/>
    </row>
    <row r="1657" ht="15.75" customHeight="1">
      <c r="A1657" s="653"/>
      <c r="B1657" s="654"/>
      <c r="C1657" s="691"/>
      <c r="D1657" s="656"/>
      <c r="E1657" s="657"/>
      <c r="F1657" s="658"/>
      <c r="G1657" s="659"/>
      <c r="H1657" s="660"/>
      <c r="I1657" s="659"/>
      <c r="J1657" s="661"/>
      <c r="K1657" s="692"/>
      <c r="L1657" s="645"/>
      <c r="M1657" s="663"/>
      <c r="N1657" s="665"/>
      <c r="O1657" s="665"/>
      <c r="P1657" s="666"/>
      <c r="Q1657" s="667"/>
      <c r="R1657" s="668"/>
      <c r="S1657" s="693"/>
      <c r="T1657" s="694"/>
      <c r="U1657" s="694"/>
      <c r="V1657" s="693"/>
      <c r="W1657" s="693"/>
      <c r="X1657" s="693"/>
      <c r="Y1657" s="671"/>
      <c r="Z1657" s="673"/>
      <c r="AA1657" s="672"/>
      <c r="AB1657" s="695"/>
      <c r="AC1657" s="673"/>
      <c r="AD1657" s="673"/>
      <c r="AE1657" s="673"/>
      <c r="AF1657" s="673"/>
      <c r="AG1657" s="673"/>
      <c r="AH1657" s="673"/>
      <c r="AI1657" s="673"/>
      <c r="AJ1657" s="673"/>
      <c r="AK1657" s="673"/>
      <c r="AL1657" s="673"/>
      <c r="AM1657" s="673"/>
      <c r="AN1657" s="673"/>
      <c r="AO1657" s="673"/>
      <c r="AP1657" s="673"/>
      <c r="AQ1657" s="673"/>
      <c r="AR1657" s="673"/>
      <c r="AS1657" s="673"/>
      <c r="AT1657" s="696"/>
    </row>
    <row r="1658" ht="15.75" customHeight="1">
      <c r="A1658" s="653"/>
      <c r="B1658" s="654"/>
      <c r="C1658" s="691"/>
      <c r="D1658" s="656"/>
      <c r="E1658" s="657"/>
      <c r="F1658" s="658"/>
      <c r="G1658" s="659"/>
      <c r="H1658" s="660"/>
      <c r="I1658" s="659"/>
      <c r="J1658" s="661"/>
      <c r="K1658" s="692"/>
      <c r="L1658" s="645"/>
      <c r="M1658" s="663"/>
      <c r="N1658" s="665"/>
      <c r="O1658" s="665"/>
      <c r="P1658" s="666"/>
      <c r="Q1658" s="667"/>
      <c r="R1658" s="668"/>
      <c r="S1658" s="693"/>
      <c r="T1658" s="694"/>
      <c r="U1658" s="694"/>
      <c r="V1658" s="693"/>
      <c r="W1658" s="693"/>
      <c r="X1658" s="693"/>
      <c r="Y1658" s="671"/>
      <c r="Z1658" s="673"/>
      <c r="AA1658" s="672"/>
      <c r="AB1658" s="695"/>
      <c r="AC1658" s="673"/>
      <c r="AD1658" s="673"/>
      <c r="AE1658" s="673"/>
      <c r="AF1658" s="673"/>
      <c r="AG1658" s="673"/>
      <c r="AH1658" s="673"/>
      <c r="AI1658" s="673"/>
      <c r="AJ1658" s="673"/>
      <c r="AK1658" s="673"/>
      <c r="AL1658" s="673"/>
      <c r="AM1658" s="673"/>
      <c r="AN1658" s="673"/>
      <c r="AO1658" s="673"/>
      <c r="AP1658" s="673"/>
      <c r="AQ1658" s="673"/>
      <c r="AR1658" s="673"/>
      <c r="AS1658" s="673"/>
      <c r="AT1658" s="696"/>
    </row>
    <row r="1659" ht="15.75" customHeight="1">
      <c r="A1659" s="653"/>
      <c r="B1659" s="654"/>
      <c r="C1659" s="691"/>
      <c r="D1659" s="656"/>
      <c r="E1659" s="657"/>
      <c r="F1659" s="658"/>
      <c r="G1659" s="659"/>
      <c r="H1659" s="660"/>
      <c r="I1659" s="659"/>
      <c r="J1659" s="661"/>
      <c r="K1659" s="692"/>
      <c r="L1659" s="645"/>
      <c r="M1659" s="663"/>
      <c r="N1659" s="665"/>
      <c r="O1659" s="665"/>
      <c r="P1659" s="666"/>
      <c r="Q1659" s="667"/>
      <c r="R1659" s="668"/>
      <c r="S1659" s="693"/>
      <c r="T1659" s="694"/>
      <c r="U1659" s="694"/>
      <c r="V1659" s="693"/>
      <c r="W1659" s="693"/>
      <c r="X1659" s="693"/>
      <c r="Y1659" s="671"/>
      <c r="Z1659" s="673"/>
      <c r="AA1659" s="672"/>
      <c r="AB1659" s="695"/>
      <c r="AC1659" s="673"/>
      <c r="AD1659" s="673"/>
      <c r="AE1659" s="673"/>
      <c r="AF1659" s="673"/>
      <c r="AG1659" s="673"/>
      <c r="AH1659" s="673"/>
      <c r="AI1659" s="673"/>
      <c r="AJ1659" s="673"/>
      <c r="AK1659" s="673"/>
      <c r="AL1659" s="673"/>
      <c r="AM1659" s="673"/>
      <c r="AN1659" s="673"/>
      <c r="AO1659" s="673"/>
      <c r="AP1659" s="673"/>
      <c r="AQ1659" s="673"/>
      <c r="AR1659" s="673"/>
      <c r="AS1659" s="673"/>
      <c r="AT1659" s="696"/>
    </row>
    <row r="1660" ht="15.75" customHeight="1">
      <c r="A1660" s="653"/>
      <c r="B1660" s="654"/>
      <c r="C1660" s="691"/>
      <c r="D1660" s="656"/>
      <c r="E1660" s="657"/>
      <c r="F1660" s="658"/>
      <c r="G1660" s="659"/>
      <c r="H1660" s="660"/>
      <c r="I1660" s="659"/>
      <c r="J1660" s="661"/>
      <c r="K1660" s="692"/>
      <c r="L1660" s="645"/>
      <c r="M1660" s="663"/>
      <c r="N1660" s="665"/>
      <c r="O1660" s="665"/>
      <c r="P1660" s="666"/>
      <c r="Q1660" s="667"/>
      <c r="R1660" s="668"/>
      <c r="S1660" s="693"/>
      <c r="T1660" s="694"/>
      <c r="U1660" s="694"/>
      <c r="V1660" s="693"/>
      <c r="W1660" s="693"/>
      <c r="X1660" s="693"/>
      <c r="Y1660" s="671"/>
      <c r="Z1660" s="673"/>
      <c r="AA1660" s="672"/>
      <c r="AB1660" s="695"/>
      <c r="AC1660" s="673"/>
      <c r="AD1660" s="673"/>
      <c r="AE1660" s="673"/>
      <c r="AF1660" s="673"/>
      <c r="AG1660" s="673"/>
      <c r="AH1660" s="673"/>
      <c r="AI1660" s="673"/>
      <c r="AJ1660" s="673"/>
      <c r="AK1660" s="673"/>
      <c r="AL1660" s="673"/>
      <c r="AM1660" s="673"/>
      <c r="AN1660" s="673"/>
      <c r="AO1660" s="673"/>
      <c r="AP1660" s="673"/>
      <c r="AQ1660" s="673"/>
      <c r="AR1660" s="673"/>
      <c r="AS1660" s="673"/>
      <c r="AT1660" s="696"/>
    </row>
    <row r="1661" ht="15.75" customHeight="1">
      <c r="A1661" s="653"/>
      <c r="B1661" s="654"/>
      <c r="C1661" s="691"/>
      <c r="D1661" s="656"/>
      <c r="E1661" s="657"/>
      <c r="F1661" s="658"/>
      <c r="G1661" s="659"/>
      <c r="H1661" s="660"/>
      <c r="I1661" s="659"/>
      <c r="J1661" s="661"/>
      <c r="K1661" s="692"/>
      <c r="L1661" s="645"/>
      <c r="M1661" s="663"/>
      <c r="N1661" s="665"/>
      <c r="O1661" s="665"/>
      <c r="P1661" s="666"/>
      <c r="Q1661" s="667"/>
      <c r="R1661" s="668"/>
      <c r="S1661" s="693"/>
      <c r="T1661" s="694"/>
      <c r="U1661" s="694"/>
      <c r="V1661" s="693"/>
      <c r="W1661" s="693"/>
      <c r="X1661" s="693"/>
      <c r="Y1661" s="671"/>
      <c r="Z1661" s="673"/>
      <c r="AA1661" s="672"/>
      <c r="AB1661" s="695"/>
      <c r="AC1661" s="673"/>
      <c r="AD1661" s="673"/>
      <c r="AE1661" s="673"/>
      <c r="AF1661" s="673"/>
      <c r="AG1661" s="673"/>
      <c r="AH1661" s="673"/>
      <c r="AI1661" s="673"/>
      <c r="AJ1661" s="673"/>
      <c r="AK1661" s="673"/>
      <c r="AL1661" s="673"/>
      <c r="AM1661" s="673"/>
      <c r="AN1661" s="673"/>
      <c r="AO1661" s="673"/>
      <c r="AP1661" s="673"/>
      <c r="AQ1661" s="673"/>
      <c r="AR1661" s="673"/>
      <c r="AS1661" s="673"/>
      <c r="AT1661" s="696"/>
    </row>
    <row r="1662" ht="15.75" customHeight="1">
      <c r="A1662" s="653"/>
      <c r="B1662" s="654"/>
      <c r="C1662" s="691"/>
      <c r="D1662" s="656"/>
      <c r="E1662" s="657"/>
      <c r="F1662" s="658"/>
      <c r="G1662" s="659"/>
      <c r="H1662" s="660"/>
      <c r="I1662" s="659"/>
      <c r="J1662" s="661"/>
      <c r="K1662" s="692"/>
      <c r="L1662" s="645"/>
      <c r="M1662" s="663"/>
      <c r="N1662" s="665"/>
      <c r="O1662" s="665"/>
      <c r="P1662" s="666"/>
      <c r="Q1662" s="667"/>
      <c r="R1662" s="668"/>
      <c r="S1662" s="693"/>
      <c r="T1662" s="694"/>
      <c r="U1662" s="694"/>
      <c r="V1662" s="693"/>
      <c r="W1662" s="693"/>
      <c r="X1662" s="693"/>
      <c r="Y1662" s="671"/>
      <c r="Z1662" s="673"/>
      <c r="AA1662" s="672"/>
      <c r="AB1662" s="695"/>
      <c r="AC1662" s="673"/>
      <c r="AD1662" s="673"/>
      <c r="AE1662" s="673"/>
      <c r="AF1662" s="673"/>
      <c r="AG1662" s="673"/>
      <c r="AH1662" s="673"/>
      <c r="AI1662" s="673"/>
      <c r="AJ1662" s="673"/>
      <c r="AK1662" s="673"/>
      <c r="AL1662" s="673"/>
      <c r="AM1662" s="673"/>
      <c r="AN1662" s="673"/>
      <c r="AO1662" s="673"/>
      <c r="AP1662" s="673"/>
      <c r="AQ1662" s="673"/>
      <c r="AR1662" s="673"/>
      <c r="AS1662" s="673"/>
      <c r="AT1662" s="696"/>
    </row>
    <row r="1663" ht="15.75" customHeight="1">
      <c r="A1663" s="653"/>
      <c r="B1663" s="654"/>
      <c r="C1663" s="691"/>
      <c r="D1663" s="656"/>
      <c r="E1663" s="657"/>
      <c r="F1663" s="658"/>
      <c r="G1663" s="659"/>
      <c r="H1663" s="660"/>
      <c r="I1663" s="659"/>
      <c r="J1663" s="661"/>
      <c r="K1663" s="692"/>
      <c r="L1663" s="645"/>
      <c r="M1663" s="663"/>
      <c r="N1663" s="665"/>
      <c r="O1663" s="665"/>
      <c r="P1663" s="666"/>
      <c r="Q1663" s="667"/>
      <c r="R1663" s="668"/>
      <c r="S1663" s="693"/>
      <c r="T1663" s="694"/>
      <c r="U1663" s="694"/>
      <c r="V1663" s="693"/>
      <c r="W1663" s="693"/>
      <c r="X1663" s="693"/>
      <c r="Y1663" s="671"/>
      <c r="Z1663" s="673"/>
      <c r="AA1663" s="672"/>
      <c r="AB1663" s="695"/>
      <c r="AC1663" s="673"/>
      <c r="AD1663" s="673"/>
      <c r="AE1663" s="673"/>
      <c r="AF1663" s="673"/>
      <c r="AG1663" s="673"/>
      <c r="AH1663" s="673"/>
      <c r="AI1663" s="673"/>
      <c r="AJ1663" s="673"/>
      <c r="AK1663" s="673"/>
      <c r="AL1663" s="673"/>
      <c r="AM1663" s="673"/>
      <c r="AN1663" s="673"/>
      <c r="AO1663" s="673"/>
      <c r="AP1663" s="673"/>
      <c r="AQ1663" s="673"/>
      <c r="AR1663" s="673"/>
      <c r="AS1663" s="673"/>
      <c r="AT1663" s="696"/>
    </row>
    <row r="1664" ht="15.75" customHeight="1">
      <c r="A1664" s="653"/>
      <c r="B1664" s="654"/>
      <c r="C1664" s="691"/>
      <c r="D1664" s="656"/>
      <c r="E1664" s="657"/>
      <c r="F1664" s="658"/>
      <c r="G1664" s="659"/>
      <c r="H1664" s="660"/>
      <c r="I1664" s="659"/>
      <c r="J1664" s="661"/>
      <c r="K1664" s="692"/>
      <c r="L1664" s="645"/>
      <c r="M1664" s="663"/>
      <c r="N1664" s="665"/>
      <c r="O1664" s="665"/>
      <c r="P1664" s="666"/>
      <c r="Q1664" s="667"/>
      <c r="R1664" s="668"/>
      <c r="S1664" s="693"/>
      <c r="T1664" s="694"/>
      <c r="U1664" s="694"/>
      <c r="V1664" s="693"/>
      <c r="W1664" s="693"/>
      <c r="X1664" s="693"/>
      <c r="Y1664" s="671"/>
      <c r="Z1664" s="673"/>
      <c r="AA1664" s="672"/>
      <c r="AB1664" s="695"/>
      <c r="AC1664" s="673"/>
      <c r="AD1664" s="673"/>
      <c r="AE1664" s="673"/>
      <c r="AF1664" s="673"/>
      <c r="AG1664" s="673"/>
      <c r="AH1664" s="673"/>
      <c r="AI1664" s="673"/>
      <c r="AJ1664" s="673"/>
      <c r="AK1664" s="673"/>
      <c r="AL1664" s="673"/>
      <c r="AM1664" s="673"/>
      <c r="AN1664" s="673"/>
      <c r="AO1664" s="673"/>
      <c r="AP1664" s="673"/>
      <c r="AQ1664" s="673"/>
      <c r="AR1664" s="673"/>
      <c r="AS1664" s="673"/>
      <c r="AT1664" s="696"/>
    </row>
    <row r="1665" ht="15.75" customHeight="1">
      <c r="A1665" s="653"/>
      <c r="B1665" s="654"/>
      <c r="C1665" s="691"/>
      <c r="D1665" s="656"/>
      <c r="E1665" s="657"/>
      <c r="F1665" s="658"/>
      <c r="G1665" s="659"/>
      <c r="H1665" s="660"/>
      <c r="I1665" s="659"/>
      <c r="J1665" s="661"/>
      <c r="K1665" s="692"/>
      <c r="L1665" s="645"/>
      <c r="M1665" s="663"/>
      <c r="N1665" s="665"/>
      <c r="O1665" s="665"/>
      <c r="P1665" s="666"/>
      <c r="Q1665" s="667"/>
      <c r="R1665" s="668"/>
      <c r="S1665" s="693"/>
      <c r="T1665" s="694"/>
      <c r="U1665" s="694"/>
      <c r="V1665" s="693"/>
      <c r="W1665" s="693"/>
      <c r="X1665" s="693"/>
      <c r="Y1665" s="671"/>
      <c r="Z1665" s="673"/>
      <c r="AA1665" s="672"/>
      <c r="AB1665" s="695"/>
      <c r="AC1665" s="673"/>
      <c r="AD1665" s="673"/>
      <c r="AE1665" s="673"/>
      <c r="AF1665" s="673"/>
      <c r="AG1665" s="673"/>
      <c r="AH1665" s="673"/>
      <c r="AI1665" s="673"/>
      <c r="AJ1665" s="673"/>
      <c r="AK1665" s="673"/>
      <c r="AL1665" s="673"/>
      <c r="AM1665" s="673"/>
      <c r="AN1665" s="673"/>
      <c r="AO1665" s="673"/>
      <c r="AP1665" s="673"/>
      <c r="AQ1665" s="673"/>
      <c r="AR1665" s="673"/>
      <c r="AS1665" s="673"/>
      <c r="AT1665" s="696"/>
    </row>
    <row r="1666" ht="15.75" customHeight="1">
      <c r="A1666" s="653"/>
      <c r="B1666" s="654"/>
      <c r="C1666" s="691"/>
      <c r="D1666" s="656"/>
      <c r="E1666" s="657"/>
      <c r="F1666" s="658"/>
      <c r="G1666" s="659"/>
      <c r="H1666" s="660"/>
      <c r="I1666" s="659"/>
      <c r="J1666" s="661"/>
      <c r="K1666" s="692"/>
      <c r="L1666" s="645"/>
      <c r="M1666" s="663"/>
      <c r="N1666" s="665"/>
      <c r="O1666" s="665"/>
      <c r="P1666" s="666"/>
      <c r="Q1666" s="667"/>
      <c r="R1666" s="668"/>
      <c r="S1666" s="693"/>
      <c r="T1666" s="694"/>
      <c r="U1666" s="694"/>
      <c r="V1666" s="693"/>
      <c r="W1666" s="693"/>
      <c r="X1666" s="693"/>
      <c r="Y1666" s="671"/>
      <c r="Z1666" s="673"/>
      <c r="AA1666" s="672"/>
      <c r="AB1666" s="695"/>
      <c r="AC1666" s="673"/>
      <c r="AD1666" s="673"/>
      <c r="AE1666" s="673"/>
      <c r="AF1666" s="673"/>
      <c r="AG1666" s="673"/>
      <c r="AH1666" s="673"/>
      <c r="AI1666" s="673"/>
      <c r="AJ1666" s="673"/>
      <c r="AK1666" s="673"/>
      <c r="AL1666" s="673"/>
      <c r="AM1666" s="673"/>
      <c r="AN1666" s="673"/>
      <c r="AO1666" s="673"/>
      <c r="AP1666" s="673"/>
      <c r="AQ1666" s="673"/>
      <c r="AR1666" s="673"/>
      <c r="AS1666" s="673"/>
      <c r="AT1666" s="696"/>
    </row>
    <row r="1667" ht="15.75" customHeight="1">
      <c r="A1667" s="653"/>
      <c r="B1667" s="654"/>
      <c r="C1667" s="691"/>
      <c r="D1667" s="656"/>
      <c r="E1667" s="657"/>
      <c r="F1667" s="658"/>
      <c r="G1667" s="659"/>
      <c r="H1667" s="660"/>
      <c r="I1667" s="659"/>
      <c r="J1667" s="661"/>
      <c r="K1667" s="692"/>
      <c r="L1667" s="645"/>
      <c r="M1667" s="663"/>
      <c r="N1667" s="665"/>
      <c r="O1667" s="665"/>
      <c r="P1667" s="666"/>
      <c r="Q1667" s="667"/>
      <c r="R1667" s="668"/>
      <c r="S1667" s="693"/>
      <c r="T1667" s="694"/>
      <c r="U1667" s="694"/>
      <c r="V1667" s="693"/>
      <c r="W1667" s="693"/>
      <c r="X1667" s="693"/>
      <c r="Y1667" s="671"/>
      <c r="Z1667" s="673"/>
      <c r="AA1667" s="672"/>
      <c r="AB1667" s="695"/>
      <c r="AC1667" s="673"/>
      <c r="AD1667" s="673"/>
      <c r="AE1667" s="673"/>
      <c r="AF1667" s="673"/>
      <c r="AG1667" s="673"/>
      <c r="AH1667" s="673"/>
      <c r="AI1667" s="673"/>
      <c r="AJ1667" s="673"/>
      <c r="AK1667" s="673"/>
      <c r="AL1667" s="673"/>
      <c r="AM1667" s="673"/>
      <c r="AN1667" s="673"/>
      <c r="AO1667" s="673"/>
      <c r="AP1667" s="673"/>
      <c r="AQ1667" s="673"/>
      <c r="AR1667" s="673"/>
      <c r="AS1667" s="673"/>
      <c r="AT1667" s="696"/>
    </row>
    <row r="1668" ht="15.75" customHeight="1">
      <c r="A1668" s="653"/>
      <c r="B1668" s="654"/>
      <c r="C1668" s="691"/>
      <c r="D1668" s="656"/>
      <c r="E1668" s="657"/>
      <c r="F1668" s="658"/>
      <c r="G1668" s="659"/>
      <c r="H1668" s="660"/>
      <c r="I1668" s="659"/>
      <c r="J1668" s="661"/>
      <c r="K1668" s="692"/>
      <c r="L1668" s="645"/>
      <c r="M1668" s="663"/>
      <c r="N1668" s="665"/>
      <c r="O1668" s="665"/>
      <c r="P1668" s="666"/>
      <c r="Q1668" s="667"/>
      <c r="R1668" s="668"/>
      <c r="S1668" s="693"/>
      <c r="T1668" s="694"/>
      <c r="U1668" s="694"/>
      <c r="V1668" s="693"/>
      <c r="W1668" s="693"/>
      <c r="X1668" s="693"/>
      <c r="Y1668" s="671"/>
      <c r="Z1668" s="673"/>
      <c r="AA1668" s="672"/>
      <c r="AB1668" s="695"/>
      <c r="AC1668" s="673"/>
      <c r="AD1668" s="673"/>
      <c r="AE1668" s="673"/>
      <c r="AF1668" s="673"/>
      <c r="AG1668" s="673"/>
      <c r="AH1668" s="673"/>
      <c r="AI1668" s="673"/>
      <c r="AJ1668" s="673"/>
      <c r="AK1668" s="673"/>
      <c r="AL1668" s="673"/>
      <c r="AM1668" s="673"/>
      <c r="AN1668" s="673"/>
      <c r="AO1668" s="673"/>
      <c r="AP1668" s="673"/>
      <c r="AQ1668" s="673"/>
      <c r="AR1668" s="673"/>
      <c r="AS1668" s="673"/>
      <c r="AT1668" s="696"/>
    </row>
    <row r="1669" ht="15.75" customHeight="1">
      <c r="A1669" s="653"/>
      <c r="B1669" s="654"/>
      <c r="C1669" s="691"/>
      <c r="D1669" s="656"/>
      <c r="E1669" s="657"/>
      <c r="F1669" s="658"/>
      <c r="G1669" s="659"/>
      <c r="H1669" s="660"/>
      <c r="I1669" s="659"/>
      <c r="J1669" s="661"/>
      <c r="K1669" s="692"/>
      <c r="L1669" s="645"/>
      <c r="M1669" s="663"/>
      <c r="N1669" s="665"/>
      <c r="O1669" s="665"/>
      <c r="P1669" s="666"/>
      <c r="Q1669" s="667"/>
      <c r="R1669" s="668"/>
      <c r="S1669" s="693"/>
      <c r="T1669" s="694"/>
      <c r="U1669" s="694"/>
      <c r="V1669" s="693"/>
      <c r="W1669" s="693"/>
      <c r="X1669" s="693"/>
      <c r="Y1669" s="671"/>
      <c r="Z1669" s="673"/>
      <c r="AA1669" s="672"/>
      <c r="AB1669" s="695"/>
      <c r="AC1669" s="673"/>
      <c r="AD1669" s="673"/>
      <c r="AE1669" s="673"/>
      <c r="AF1669" s="673"/>
      <c r="AG1669" s="673"/>
      <c r="AH1669" s="673"/>
      <c r="AI1669" s="673"/>
      <c r="AJ1669" s="673"/>
      <c r="AK1669" s="673"/>
      <c r="AL1669" s="673"/>
      <c r="AM1669" s="673"/>
      <c r="AN1669" s="673"/>
      <c r="AO1669" s="673"/>
      <c r="AP1669" s="673"/>
      <c r="AQ1669" s="673"/>
      <c r="AR1669" s="673"/>
      <c r="AS1669" s="673"/>
      <c r="AT1669" s="696"/>
    </row>
    <row r="1670" ht="15.75" customHeight="1">
      <c r="A1670" s="653"/>
      <c r="B1670" s="654"/>
      <c r="C1670" s="691"/>
      <c r="D1670" s="656"/>
      <c r="E1670" s="657"/>
      <c r="F1670" s="658"/>
      <c r="G1670" s="659"/>
      <c r="H1670" s="660"/>
      <c r="I1670" s="659"/>
      <c r="J1670" s="661"/>
      <c r="K1670" s="692"/>
      <c r="L1670" s="645"/>
      <c r="M1670" s="663"/>
      <c r="N1670" s="665"/>
      <c r="O1670" s="665"/>
      <c r="P1670" s="666"/>
      <c r="Q1670" s="667"/>
      <c r="R1670" s="668"/>
      <c r="S1670" s="693"/>
      <c r="T1670" s="694"/>
      <c r="U1670" s="694"/>
      <c r="V1670" s="693"/>
      <c r="W1670" s="693"/>
      <c r="X1670" s="693"/>
      <c r="Y1670" s="671"/>
      <c r="Z1670" s="673"/>
      <c r="AA1670" s="672"/>
      <c r="AB1670" s="695"/>
      <c r="AC1670" s="673"/>
      <c r="AD1670" s="673"/>
      <c r="AE1670" s="673"/>
      <c r="AF1670" s="673"/>
      <c r="AG1670" s="673"/>
      <c r="AH1670" s="673"/>
      <c r="AI1670" s="673"/>
      <c r="AJ1670" s="673"/>
      <c r="AK1670" s="673"/>
      <c r="AL1670" s="673"/>
      <c r="AM1670" s="673"/>
      <c r="AN1670" s="673"/>
      <c r="AO1670" s="673"/>
      <c r="AP1670" s="673"/>
      <c r="AQ1670" s="673"/>
      <c r="AR1670" s="673"/>
      <c r="AS1670" s="673"/>
      <c r="AT1670" s="696"/>
    </row>
    <row r="1671" ht="15.75" customHeight="1">
      <c r="A1671" s="653"/>
      <c r="B1671" s="654"/>
      <c r="C1671" s="691"/>
      <c r="D1671" s="656"/>
      <c r="E1671" s="657"/>
      <c r="F1671" s="658"/>
      <c r="G1671" s="659"/>
      <c r="H1671" s="660"/>
      <c r="I1671" s="659"/>
      <c r="J1671" s="661"/>
      <c r="K1671" s="692"/>
      <c r="L1671" s="645"/>
      <c r="M1671" s="663"/>
      <c r="N1671" s="665"/>
      <c r="O1671" s="665"/>
      <c r="P1671" s="666"/>
      <c r="Q1671" s="667"/>
      <c r="R1671" s="668"/>
      <c r="S1671" s="693"/>
      <c r="T1671" s="694"/>
      <c r="U1671" s="694"/>
      <c r="V1671" s="693"/>
      <c r="W1671" s="693"/>
      <c r="X1671" s="693"/>
      <c r="Y1671" s="671"/>
      <c r="Z1671" s="673"/>
      <c r="AA1671" s="672"/>
      <c r="AB1671" s="695"/>
      <c r="AC1671" s="673"/>
      <c r="AD1671" s="673"/>
      <c r="AE1671" s="673"/>
      <c r="AF1671" s="673"/>
      <c r="AG1671" s="673"/>
      <c r="AH1671" s="673"/>
      <c r="AI1671" s="673"/>
      <c r="AJ1671" s="673"/>
      <c r="AK1671" s="673"/>
      <c r="AL1671" s="673"/>
      <c r="AM1671" s="673"/>
      <c r="AN1671" s="673"/>
      <c r="AO1671" s="673"/>
      <c r="AP1671" s="673"/>
      <c r="AQ1671" s="673"/>
      <c r="AR1671" s="673"/>
      <c r="AS1671" s="673"/>
      <c r="AT1671" s="696"/>
    </row>
    <row r="1672" ht="15.75" customHeight="1">
      <c r="A1672" s="653"/>
      <c r="B1672" s="654"/>
      <c r="C1672" s="691"/>
      <c r="D1672" s="656"/>
      <c r="E1672" s="657"/>
      <c r="F1672" s="658"/>
      <c r="G1672" s="659"/>
      <c r="H1672" s="660"/>
      <c r="I1672" s="659"/>
      <c r="J1672" s="661"/>
      <c r="K1672" s="692"/>
      <c r="L1672" s="645"/>
      <c r="M1672" s="663"/>
      <c r="N1672" s="665"/>
      <c r="O1672" s="665"/>
      <c r="P1672" s="666"/>
      <c r="Q1672" s="667"/>
      <c r="R1672" s="668"/>
      <c r="S1672" s="693"/>
      <c r="T1672" s="694"/>
      <c r="U1672" s="694"/>
      <c r="V1672" s="693"/>
      <c r="W1672" s="693"/>
      <c r="X1672" s="693"/>
      <c r="Y1672" s="671"/>
      <c r="Z1672" s="673"/>
      <c r="AA1672" s="672"/>
      <c r="AB1672" s="695"/>
      <c r="AC1672" s="673"/>
      <c r="AD1672" s="673"/>
      <c r="AE1672" s="673"/>
      <c r="AF1672" s="673"/>
      <c r="AG1672" s="673"/>
      <c r="AH1672" s="673"/>
      <c r="AI1672" s="673"/>
      <c r="AJ1672" s="673"/>
      <c r="AK1672" s="673"/>
      <c r="AL1672" s="673"/>
      <c r="AM1672" s="673"/>
      <c r="AN1672" s="673"/>
      <c r="AO1672" s="673"/>
      <c r="AP1672" s="673"/>
      <c r="AQ1672" s="673"/>
      <c r="AR1672" s="673"/>
      <c r="AS1672" s="673"/>
      <c r="AT1672" s="696"/>
    </row>
    <row r="1673" ht="15.75" customHeight="1">
      <c r="A1673" s="653"/>
      <c r="B1673" s="654"/>
      <c r="C1673" s="691"/>
      <c r="D1673" s="656"/>
      <c r="E1673" s="657"/>
      <c r="F1673" s="658"/>
      <c r="G1673" s="659"/>
      <c r="H1673" s="660"/>
      <c r="I1673" s="659"/>
      <c r="J1673" s="661"/>
      <c r="K1673" s="692"/>
      <c r="L1673" s="645"/>
      <c r="M1673" s="663"/>
      <c r="N1673" s="665"/>
      <c r="O1673" s="665"/>
      <c r="P1673" s="666"/>
      <c r="Q1673" s="667"/>
      <c r="R1673" s="668"/>
      <c r="S1673" s="693"/>
      <c r="T1673" s="694"/>
      <c r="U1673" s="694"/>
      <c r="V1673" s="693"/>
      <c r="W1673" s="693"/>
      <c r="X1673" s="693"/>
      <c r="Y1673" s="671"/>
      <c r="Z1673" s="673"/>
      <c r="AA1673" s="672"/>
      <c r="AB1673" s="695"/>
      <c r="AC1673" s="673"/>
      <c r="AD1673" s="673"/>
      <c r="AE1673" s="673"/>
      <c r="AF1673" s="673"/>
      <c r="AG1673" s="673"/>
      <c r="AH1673" s="673"/>
      <c r="AI1673" s="673"/>
      <c r="AJ1673" s="673"/>
      <c r="AK1673" s="673"/>
      <c r="AL1673" s="673"/>
      <c r="AM1673" s="673"/>
      <c r="AN1673" s="673"/>
      <c r="AO1673" s="673"/>
      <c r="AP1673" s="673"/>
      <c r="AQ1673" s="673"/>
      <c r="AR1673" s="673"/>
      <c r="AS1673" s="673"/>
      <c r="AT1673" s="696"/>
    </row>
    <row r="1674" ht="15.75" customHeight="1">
      <c r="A1674" s="653"/>
      <c r="B1674" s="654"/>
      <c r="C1674" s="691"/>
      <c r="D1674" s="656"/>
      <c r="E1674" s="657"/>
      <c r="F1674" s="658"/>
      <c r="G1674" s="659"/>
      <c r="H1674" s="660"/>
      <c r="I1674" s="659"/>
      <c r="J1674" s="661"/>
      <c r="K1674" s="692"/>
      <c r="L1674" s="645"/>
      <c r="M1674" s="663"/>
      <c r="N1674" s="665"/>
      <c r="O1674" s="665"/>
      <c r="P1674" s="666"/>
      <c r="Q1674" s="667"/>
      <c r="R1674" s="668"/>
      <c r="S1674" s="693"/>
      <c r="T1674" s="694"/>
      <c r="U1674" s="694"/>
      <c r="V1674" s="693"/>
      <c r="W1674" s="693"/>
      <c r="X1674" s="693"/>
      <c r="Y1674" s="671"/>
      <c r="Z1674" s="673"/>
      <c r="AA1674" s="672"/>
      <c r="AB1674" s="695"/>
      <c r="AC1674" s="673"/>
      <c r="AD1674" s="673"/>
      <c r="AE1674" s="673"/>
      <c r="AF1674" s="673"/>
      <c r="AG1674" s="673"/>
      <c r="AH1674" s="673"/>
      <c r="AI1674" s="673"/>
      <c r="AJ1674" s="673"/>
      <c r="AK1674" s="673"/>
      <c r="AL1674" s="673"/>
      <c r="AM1674" s="673"/>
      <c r="AN1674" s="673"/>
      <c r="AO1674" s="673"/>
      <c r="AP1674" s="673"/>
      <c r="AQ1674" s="673"/>
      <c r="AR1674" s="673"/>
      <c r="AS1674" s="673"/>
      <c r="AT1674" s="696"/>
    </row>
    <row r="1675" ht="15.75" customHeight="1">
      <c r="A1675" s="653"/>
      <c r="B1675" s="654"/>
      <c r="C1675" s="691"/>
      <c r="D1675" s="656"/>
      <c r="E1675" s="657"/>
      <c r="F1675" s="658"/>
      <c r="G1675" s="659"/>
      <c r="H1675" s="660"/>
      <c r="I1675" s="659"/>
      <c r="J1675" s="661"/>
      <c r="K1675" s="692"/>
      <c r="L1675" s="645"/>
      <c r="M1675" s="663"/>
      <c r="N1675" s="665"/>
      <c r="O1675" s="665"/>
      <c r="P1675" s="666"/>
      <c r="Q1675" s="667"/>
      <c r="R1675" s="668"/>
      <c r="S1675" s="693"/>
      <c r="T1675" s="694"/>
      <c r="U1675" s="694"/>
      <c r="V1675" s="693"/>
      <c r="W1675" s="693"/>
      <c r="X1675" s="693"/>
      <c r="Y1675" s="671"/>
      <c r="Z1675" s="673"/>
      <c r="AA1675" s="672"/>
      <c r="AB1675" s="695"/>
      <c r="AC1675" s="673"/>
      <c r="AD1675" s="673"/>
      <c r="AE1675" s="673"/>
      <c r="AF1675" s="673"/>
      <c r="AG1675" s="673"/>
      <c r="AH1675" s="673"/>
      <c r="AI1675" s="673"/>
      <c r="AJ1675" s="673"/>
      <c r="AK1675" s="673"/>
      <c r="AL1675" s="673"/>
      <c r="AM1675" s="673"/>
      <c r="AN1675" s="673"/>
      <c r="AO1675" s="673"/>
      <c r="AP1675" s="673"/>
      <c r="AQ1675" s="673"/>
      <c r="AR1675" s="673"/>
      <c r="AS1675" s="673"/>
      <c r="AT1675" s="696"/>
    </row>
    <row r="1676" ht="15.75" customHeight="1">
      <c r="A1676" s="653"/>
      <c r="B1676" s="654"/>
      <c r="C1676" s="691"/>
      <c r="D1676" s="656"/>
      <c r="E1676" s="657"/>
      <c r="F1676" s="658"/>
      <c r="G1676" s="659"/>
      <c r="H1676" s="660"/>
      <c r="I1676" s="659"/>
      <c r="J1676" s="661"/>
      <c r="K1676" s="692"/>
      <c r="L1676" s="645"/>
      <c r="M1676" s="663"/>
      <c r="N1676" s="665"/>
      <c r="O1676" s="665"/>
      <c r="P1676" s="666"/>
      <c r="Q1676" s="667"/>
      <c r="R1676" s="668"/>
      <c r="S1676" s="693"/>
      <c r="T1676" s="694"/>
      <c r="U1676" s="694"/>
      <c r="V1676" s="693"/>
      <c r="W1676" s="693"/>
      <c r="X1676" s="693"/>
      <c r="Y1676" s="671"/>
      <c r="Z1676" s="673"/>
      <c r="AA1676" s="672"/>
      <c r="AB1676" s="695"/>
      <c r="AC1676" s="673"/>
      <c r="AD1676" s="673"/>
      <c r="AE1676" s="673"/>
      <c r="AF1676" s="673"/>
      <c r="AG1676" s="673"/>
      <c r="AH1676" s="673"/>
      <c r="AI1676" s="673"/>
      <c r="AJ1676" s="673"/>
      <c r="AK1676" s="673"/>
      <c r="AL1676" s="673"/>
      <c r="AM1676" s="673"/>
      <c r="AN1676" s="673"/>
      <c r="AO1676" s="673"/>
      <c r="AP1676" s="673"/>
      <c r="AQ1676" s="673"/>
      <c r="AR1676" s="673"/>
      <c r="AS1676" s="673"/>
      <c r="AT1676" s="696"/>
    </row>
    <row r="1677" ht="15.75" customHeight="1">
      <c r="A1677" s="653"/>
      <c r="B1677" s="654"/>
      <c r="C1677" s="691"/>
      <c r="D1677" s="656"/>
      <c r="E1677" s="657"/>
      <c r="F1677" s="658"/>
      <c r="G1677" s="659"/>
      <c r="H1677" s="660"/>
      <c r="I1677" s="659"/>
      <c r="J1677" s="661"/>
      <c r="K1677" s="692"/>
      <c r="L1677" s="645"/>
      <c r="M1677" s="663"/>
      <c r="N1677" s="665"/>
      <c r="O1677" s="665"/>
      <c r="P1677" s="666"/>
      <c r="Q1677" s="667"/>
      <c r="R1677" s="668"/>
      <c r="S1677" s="693"/>
      <c r="T1677" s="694"/>
      <c r="U1677" s="694"/>
      <c r="V1677" s="693"/>
      <c r="W1677" s="693"/>
      <c r="X1677" s="693"/>
      <c r="Y1677" s="671"/>
      <c r="Z1677" s="673"/>
      <c r="AA1677" s="672"/>
      <c r="AB1677" s="695"/>
      <c r="AC1677" s="673"/>
      <c r="AD1677" s="673"/>
      <c r="AE1677" s="673"/>
      <c r="AF1677" s="673"/>
      <c r="AG1677" s="673"/>
      <c r="AH1677" s="673"/>
      <c r="AI1677" s="673"/>
      <c r="AJ1677" s="673"/>
      <c r="AK1677" s="673"/>
      <c r="AL1677" s="673"/>
      <c r="AM1677" s="673"/>
      <c r="AN1677" s="673"/>
      <c r="AO1677" s="673"/>
      <c r="AP1677" s="673"/>
      <c r="AQ1677" s="673"/>
      <c r="AR1677" s="673"/>
      <c r="AS1677" s="673"/>
      <c r="AT1677" s="696"/>
    </row>
    <row r="1678" ht="15.75" customHeight="1">
      <c r="A1678" s="653"/>
      <c r="B1678" s="654"/>
      <c r="C1678" s="691"/>
      <c r="D1678" s="656"/>
      <c r="E1678" s="657"/>
      <c r="F1678" s="658"/>
      <c r="G1678" s="659"/>
      <c r="H1678" s="660"/>
      <c r="I1678" s="659"/>
      <c r="J1678" s="661"/>
      <c r="K1678" s="692"/>
      <c r="L1678" s="645"/>
      <c r="M1678" s="663"/>
      <c r="N1678" s="665"/>
      <c r="O1678" s="665"/>
      <c r="P1678" s="666"/>
      <c r="Q1678" s="667"/>
      <c r="R1678" s="668"/>
      <c r="S1678" s="693"/>
      <c r="T1678" s="694"/>
      <c r="U1678" s="694"/>
      <c r="V1678" s="693"/>
      <c r="W1678" s="693"/>
      <c r="X1678" s="693"/>
      <c r="Y1678" s="671"/>
      <c r="Z1678" s="673"/>
      <c r="AA1678" s="672"/>
      <c r="AB1678" s="695"/>
      <c r="AC1678" s="673"/>
      <c r="AD1678" s="673"/>
      <c r="AE1678" s="673"/>
      <c r="AF1678" s="673"/>
      <c r="AG1678" s="673"/>
      <c r="AH1678" s="673"/>
      <c r="AI1678" s="673"/>
      <c r="AJ1678" s="673"/>
      <c r="AK1678" s="673"/>
      <c r="AL1678" s="673"/>
      <c r="AM1678" s="673"/>
      <c r="AN1678" s="673"/>
      <c r="AO1678" s="673"/>
      <c r="AP1678" s="673"/>
      <c r="AQ1678" s="673"/>
      <c r="AR1678" s="673"/>
      <c r="AS1678" s="673"/>
      <c r="AT1678" s="696"/>
    </row>
    <row r="1679" ht="15.75" customHeight="1">
      <c r="A1679" s="653"/>
      <c r="B1679" s="654"/>
      <c r="C1679" s="691"/>
      <c r="D1679" s="656"/>
      <c r="E1679" s="657"/>
      <c r="F1679" s="658"/>
      <c r="G1679" s="659"/>
      <c r="H1679" s="660"/>
      <c r="I1679" s="659"/>
      <c r="J1679" s="661"/>
      <c r="K1679" s="692"/>
      <c r="L1679" s="645"/>
      <c r="M1679" s="663"/>
      <c r="N1679" s="665"/>
      <c r="O1679" s="665"/>
      <c r="P1679" s="666"/>
      <c r="Q1679" s="667"/>
      <c r="R1679" s="668"/>
      <c r="S1679" s="693"/>
      <c r="T1679" s="694"/>
      <c r="U1679" s="694"/>
      <c r="V1679" s="693"/>
      <c r="W1679" s="693"/>
      <c r="X1679" s="693"/>
      <c r="Y1679" s="671"/>
      <c r="Z1679" s="673"/>
      <c r="AA1679" s="672"/>
      <c r="AB1679" s="695"/>
      <c r="AC1679" s="673"/>
      <c r="AD1679" s="673"/>
      <c r="AE1679" s="673"/>
      <c r="AF1679" s="673"/>
      <c r="AG1679" s="673"/>
      <c r="AH1679" s="673"/>
      <c r="AI1679" s="673"/>
      <c r="AJ1679" s="673"/>
      <c r="AK1679" s="673"/>
      <c r="AL1679" s="673"/>
      <c r="AM1679" s="673"/>
      <c r="AN1679" s="673"/>
      <c r="AO1679" s="673"/>
      <c r="AP1679" s="673"/>
      <c r="AQ1679" s="673"/>
      <c r="AR1679" s="673"/>
      <c r="AS1679" s="673"/>
      <c r="AT1679" s="696"/>
    </row>
    <row r="1680" ht="15.75" customHeight="1">
      <c r="A1680" s="653"/>
      <c r="B1680" s="654"/>
      <c r="C1680" s="691"/>
      <c r="D1680" s="656"/>
      <c r="E1680" s="657"/>
      <c r="F1680" s="658"/>
      <c r="G1680" s="659"/>
      <c r="H1680" s="660"/>
      <c r="I1680" s="659"/>
      <c r="J1680" s="661"/>
      <c r="K1680" s="692"/>
      <c r="L1680" s="645"/>
      <c r="M1680" s="663"/>
      <c r="N1680" s="665"/>
      <c r="O1680" s="665"/>
      <c r="P1680" s="666"/>
      <c r="Q1680" s="667"/>
      <c r="R1680" s="668"/>
      <c r="S1680" s="693"/>
      <c r="T1680" s="694"/>
      <c r="U1680" s="694"/>
      <c r="V1680" s="693"/>
      <c r="W1680" s="693"/>
      <c r="X1680" s="693"/>
      <c r="Y1680" s="671"/>
      <c r="Z1680" s="673"/>
      <c r="AA1680" s="672"/>
      <c r="AB1680" s="695"/>
      <c r="AC1680" s="673"/>
      <c r="AD1680" s="673"/>
      <c r="AE1680" s="673"/>
      <c r="AF1680" s="673"/>
      <c r="AG1680" s="673"/>
      <c r="AH1680" s="673"/>
      <c r="AI1680" s="673"/>
      <c r="AJ1680" s="673"/>
      <c r="AK1680" s="673"/>
      <c r="AL1680" s="673"/>
      <c r="AM1680" s="673"/>
      <c r="AN1680" s="673"/>
      <c r="AO1680" s="673"/>
      <c r="AP1680" s="673"/>
      <c r="AQ1680" s="673"/>
      <c r="AR1680" s="673"/>
      <c r="AS1680" s="673"/>
      <c r="AT1680" s="696"/>
    </row>
    <row r="1681" ht="15.75" customHeight="1">
      <c r="A1681" s="653"/>
      <c r="B1681" s="654"/>
      <c r="C1681" s="691"/>
      <c r="D1681" s="656"/>
      <c r="E1681" s="657"/>
      <c r="F1681" s="658"/>
      <c r="G1681" s="659"/>
      <c r="H1681" s="660"/>
      <c r="I1681" s="659"/>
      <c r="J1681" s="661"/>
      <c r="K1681" s="692"/>
      <c r="L1681" s="645"/>
      <c r="M1681" s="663"/>
      <c r="N1681" s="665"/>
      <c r="O1681" s="665"/>
      <c r="P1681" s="666"/>
      <c r="Q1681" s="667"/>
      <c r="R1681" s="668"/>
      <c r="S1681" s="693"/>
      <c r="T1681" s="694"/>
      <c r="U1681" s="694"/>
      <c r="V1681" s="693"/>
      <c r="W1681" s="693"/>
      <c r="X1681" s="693"/>
      <c r="Y1681" s="671"/>
      <c r="Z1681" s="673"/>
      <c r="AA1681" s="672"/>
      <c r="AB1681" s="695"/>
      <c r="AC1681" s="673"/>
      <c r="AD1681" s="673"/>
      <c r="AE1681" s="673"/>
      <c r="AF1681" s="673"/>
      <c r="AG1681" s="673"/>
      <c r="AH1681" s="673"/>
      <c r="AI1681" s="673"/>
      <c r="AJ1681" s="673"/>
      <c r="AK1681" s="673"/>
      <c r="AL1681" s="673"/>
      <c r="AM1681" s="673"/>
      <c r="AN1681" s="673"/>
      <c r="AO1681" s="673"/>
      <c r="AP1681" s="673"/>
      <c r="AQ1681" s="673"/>
      <c r="AR1681" s="673"/>
      <c r="AS1681" s="673"/>
      <c r="AT1681" s="696"/>
    </row>
    <row r="1682" ht="15.75" customHeight="1">
      <c r="A1682" s="653"/>
      <c r="B1682" s="654"/>
      <c r="C1682" s="691"/>
      <c r="D1682" s="656"/>
      <c r="E1682" s="657"/>
      <c r="F1682" s="658"/>
      <c r="G1682" s="659"/>
      <c r="H1682" s="660"/>
      <c r="I1682" s="659"/>
      <c r="J1682" s="661"/>
      <c r="K1682" s="692"/>
      <c r="L1682" s="645"/>
      <c r="M1682" s="663"/>
      <c r="N1682" s="665"/>
      <c r="O1682" s="665"/>
      <c r="P1682" s="666"/>
      <c r="Q1682" s="667"/>
      <c r="R1682" s="668"/>
      <c r="S1682" s="693"/>
      <c r="T1682" s="694"/>
      <c r="U1682" s="694"/>
      <c r="V1682" s="693"/>
      <c r="W1682" s="693"/>
      <c r="X1682" s="693"/>
      <c r="Y1682" s="671"/>
      <c r="Z1682" s="673"/>
      <c r="AA1682" s="672"/>
      <c r="AB1682" s="695"/>
      <c r="AC1682" s="673"/>
      <c r="AD1682" s="673"/>
      <c r="AE1682" s="673"/>
      <c r="AF1682" s="673"/>
      <c r="AG1682" s="673"/>
      <c r="AH1682" s="673"/>
      <c r="AI1682" s="673"/>
      <c r="AJ1682" s="673"/>
      <c r="AK1682" s="673"/>
      <c r="AL1682" s="673"/>
      <c r="AM1682" s="673"/>
      <c r="AN1682" s="673"/>
      <c r="AO1682" s="673"/>
      <c r="AP1682" s="673"/>
      <c r="AQ1682" s="673"/>
      <c r="AR1682" s="673"/>
      <c r="AS1682" s="673"/>
      <c r="AT1682" s="696"/>
    </row>
    <row r="1683" ht="15.75" customHeight="1">
      <c r="A1683" s="653"/>
      <c r="B1683" s="654"/>
      <c r="C1683" s="691"/>
      <c r="D1683" s="656"/>
      <c r="E1683" s="657"/>
      <c r="F1683" s="658"/>
      <c r="G1683" s="659"/>
      <c r="H1683" s="660"/>
      <c r="I1683" s="659"/>
      <c r="J1683" s="661"/>
      <c r="K1683" s="692"/>
      <c r="L1683" s="645"/>
      <c r="M1683" s="663"/>
      <c r="N1683" s="665"/>
      <c r="O1683" s="665"/>
      <c r="P1683" s="666"/>
      <c r="Q1683" s="667"/>
      <c r="R1683" s="668"/>
      <c r="S1683" s="693"/>
      <c r="T1683" s="694"/>
      <c r="U1683" s="694"/>
      <c r="V1683" s="693"/>
      <c r="W1683" s="693"/>
      <c r="X1683" s="693"/>
      <c r="Y1683" s="671"/>
      <c r="Z1683" s="673"/>
      <c r="AA1683" s="672"/>
      <c r="AB1683" s="695"/>
      <c r="AC1683" s="673"/>
      <c r="AD1683" s="673"/>
      <c r="AE1683" s="673"/>
      <c r="AF1683" s="673"/>
      <c r="AG1683" s="673"/>
      <c r="AH1683" s="673"/>
      <c r="AI1683" s="673"/>
      <c r="AJ1683" s="673"/>
      <c r="AK1683" s="673"/>
      <c r="AL1683" s="673"/>
      <c r="AM1683" s="673"/>
      <c r="AN1683" s="673"/>
      <c r="AO1683" s="673"/>
      <c r="AP1683" s="673"/>
      <c r="AQ1683" s="673"/>
      <c r="AR1683" s="673"/>
      <c r="AS1683" s="673"/>
      <c r="AT1683" s="696"/>
    </row>
    <row r="1684" ht="15.75" customHeight="1">
      <c r="A1684" s="653"/>
      <c r="B1684" s="654"/>
      <c r="C1684" s="691"/>
      <c r="D1684" s="656"/>
      <c r="E1684" s="657"/>
      <c r="F1684" s="658"/>
      <c r="G1684" s="659"/>
      <c r="H1684" s="660"/>
      <c r="I1684" s="659"/>
      <c r="J1684" s="661"/>
      <c r="K1684" s="692"/>
      <c r="L1684" s="645"/>
      <c r="M1684" s="663"/>
      <c r="N1684" s="665"/>
      <c r="O1684" s="665"/>
      <c r="P1684" s="666"/>
      <c r="Q1684" s="667"/>
      <c r="R1684" s="668"/>
      <c r="S1684" s="693"/>
      <c r="T1684" s="694"/>
      <c r="U1684" s="694"/>
      <c r="V1684" s="693"/>
      <c r="W1684" s="693"/>
      <c r="X1684" s="693"/>
      <c r="Y1684" s="671"/>
      <c r="Z1684" s="673"/>
      <c r="AA1684" s="672"/>
      <c r="AB1684" s="695"/>
      <c r="AC1684" s="673"/>
      <c r="AD1684" s="673"/>
      <c r="AE1684" s="673"/>
      <c r="AF1684" s="673"/>
      <c r="AG1684" s="673"/>
      <c r="AH1684" s="673"/>
      <c r="AI1684" s="673"/>
      <c r="AJ1684" s="673"/>
      <c r="AK1684" s="673"/>
      <c r="AL1684" s="673"/>
      <c r="AM1684" s="673"/>
      <c r="AN1684" s="673"/>
      <c r="AO1684" s="673"/>
      <c r="AP1684" s="673"/>
      <c r="AQ1684" s="673"/>
      <c r="AR1684" s="673"/>
      <c r="AS1684" s="673"/>
      <c r="AT1684" s="696"/>
    </row>
    <row r="1685" ht="15.75" customHeight="1">
      <c r="A1685" s="653"/>
      <c r="B1685" s="654"/>
      <c r="C1685" s="691"/>
      <c r="D1685" s="656"/>
      <c r="E1685" s="657"/>
      <c r="F1685" s="658"/>
      <c r="G1685" s="659"/>
      <c r="H1685" s="660"/>
      <c r="I1685" s="659"/>
      <c r="J1685" s="661"/>
      <c r="K1685" s="692"/>
      <c r="L1685" s="645"/>
      <c r="M1685" s="663"/>
      <c r="N1685" s="665"/>
      <c r="O1685" s="665"/>
      <c r="P1685" s="666"/>
      <c r="Q1685" s="667"/>
      <c r="R1685" s="668"/>
      <c r="S1685" s="693"/>
      <c r="T1685" s="694"/>
      <c r="U1685" s="694"/>
      <c r="V1685" s="693"/>
      <c r="W1685" s="693"/>
      <c r="X1685" s="693"/>
      <c r="Y1685" s="671"/>
      <c r="Z1685" s="673"/>
      <c r="AA1685" s="672"/>
      <c r="AB1685" s="695"/>
      <c r="AC1685" s="673"/>
      <c r="AD1685" s="673"/>
      <c r="AE1685" s="673"/>
      <c r="AF1685" s="673"/>
      <c r="AG1685" s="673"/>
      <c r="AH1685" s="673"/>
      <c r="AI1685" s="673"/>
      <c r="AJ1685" s="673"/>
      <c r="AK1685" s="673"/>
      <c r="AL1685" s="673"/>
      <c r="AM1685" s="673"/>
      <c r="AN1685" s="673"/>
      <c r="AO1685" s="673"/>
      <c r="AP1685" s="673"/>
      <c r="AQ1685" s="673"/>
      <c r="AR1685" s="673"/>
      <c r="AS1685" s="673"/>
      <c r="AT1685" s="696"/>
    </row>
    <row r="1686" ht="15.75" customHeight="1">
      <c r="A1686" s="653"/>
      <c r="B1686" s="654"/>
      <c r="C1686" s="691"/>
      <c r="D1686" s="656"/>
      <c r="E1686" s="657"/>
      <c r="F1686" s="658"/>
      <c r="G1686" s="659"/>
      <c r="H1686" s="660"/>
      <c r="I1686" s="659"/>
      <c r="J1686" s="661"/>
      <c r="K1686" s="692"/>
      <c r="L1686" s="645"/>
      <c r="M1686" s="663"/>
      <c r="N1686" s="665"/>
      <c r="O1686" s="665"/>
      <c r="P1686" s="666"/>
      <c r="Q1686" s="667"/>
      <c r="R1686" s="668"/>
      <c r="S1686" s="693"/>
      <c r="T1686" s="694"/>
      <c r="U1686" s="694"/>
      <c r="V1686" s="693"/>
      <c r="W1686" s="693"/>
      <c r="X1686" s="693"/>
      <c r="Y1686" s="671"/>
      <c r="Z1686" s="673"/>
      <c r="AA1686" s="672"/>
      <c r="AB1686" s="695"/>
      <c r="AC1686" s="673"/>
      <c r="AD1686" s="673"/>
      <c r="AE1686" s="673"/>
      <c r="AF1686" s="673"/>
      <c r="AG1686" s="673"/>
      <c r="AH1686" s="673"/>
      <c r="AI1686" s="673"/>
      <c r="AJ1686" s="673"/>
      <c r="AK1686" s="673"/>
      <c r="AL1686" s="673"/>
      <c r="AM1686" s="673"/>
      <c r="AN1686" s="673"/>
      <c r="AO1686" s="673"/>
      <c r="AP1686" s="673"/>
      <c r="AQ1686" s="673"/>
      <c r="AR1686" s="673"/>
      <c r="AS1686" s="673"/>
      <c r="AT1686" s="696"/>
    </row>
    <row r="1687" ht="15.75" customHeight="1">
      <c r="A1687" s="653"/>
      <c r="B1687" s="654"/>
      <c r="C1687" s="691"/>
      <c r="D1687" s="656"/>
      <c r="E1687" s="657"/>
      <c r="F1687" s="658"/>
      <c r="G1687" s="659"/>
      <c r="H1687" s="660"/>
      <c r="I1687" s="659"/>
      <c r="J1687" s="661"/>
      <c r="K1687" s="692"/>
      <c r="L1687" s="645"/>
      <c r="M1687" s="663"/>
      <c r="N1687" s="665"/>
      <c r="O1687" s="665"/>
      <c r="P1687" s="666"/>
      <c r="Q1687" s="667"/>
      <c r="R1687" s="668"/>
      <c r="S1687" s="693"/>
      <c r="T1687" s="694"/>
      <c r="U1687" s="694"/>
      <c r="V1687" s="693"/>
      <c r="W1687" s="693"/>
      <c r="X1687" s="693"/>
      <c r="Y1687" s="671"/>
      <c r="Z1687" s="673"/>
      <c r="AA1687" s="672"/>
      <c r="AB1687" s="695"/>
      <c r="AC1687" s="673"/>
      <c r="AD1687" s="673"/>
      <c r="AE1687" s="673"/>
      <c r="AF1687" s="673"/>
      <c r="AG1687" s="673"/>
      <c r="AH1687" s="673"/>
      <c r="AI1687" s="673"/>
      <c r="AJ1687" s="673"/>
      <c r="AK1687" s="673"/>
      <c r="AL1687" s="673"/>
      <c r="AM1687" s="673"/>
      <c r="AN1687" s="673"/>
      <c r="AO1687" s="673"/>
      <c r="AP1687" s="673"/>
      <c r="AQ1687" s="673"/>
      <c r="AR1687" s="673"/>
      <c r="AS1687" s="673"/>
      <c r="AT1687" s="696"/>
    </row>
    <row r="1688" ht="15.75" customHeight="1">
      <c r="A1688" s="653"/>
      <c r="B1688" s="654"/>
      <c r="C1688" s="691"/>
      <c r="D1688" s="656"/>
      <c r="E1688" s="657"/>
      <c r="F1688" s="658"/>
      <c r="G1688" s="659"/>
      <c r="H1688" s="660"/>
      <c r="I1688" s="659"/>
      <c r="J1688" s="661"/>
      <c r="K1688" s="692"/>
      <c r="L1688" s="645"/>
      <c r="M1688" s="663"/>
      <c r="N1688" s="665"/>
      <c r="O1688" s="665"/>
      <c r="P1688" s="666"/>
      <c r="Q1688" s="667"/>
      <c r="R1688" s="668"/>
      <c r="S1688" s="693"/>
      <c r="T1688" s="694"/>
      <c r="U1688" s="694"/>
      <c r="V1688" s="693"/>
      <c r="W1688" s="693"/>
      <c r="X1688" s="693"/>
      <c r="Y1688" s="671"/>
      <c r="Z1688" s="673"/>
      <c r="AA1688" s="672"/>
      <c r="AB1688" s="695"/>
      <c r="AC1688" s="673"/>
      <c r="AD1688" s="673"/>
      <c r="AE1688" s="673"/>
      <c r="AF1688" s="673"/>
      <c r="AG1688" s="673"/>
      <c r="AH1688" s="673"/>
      <c r="AI1688" s="673"/>
      <c r="AJ1688" s="673"/>
      <c r="AK1688" s="673"/>
      <c r="AL1688" s="673"/>
      <c r="AM1688" s="673"/>
      <c r="AN1688" s="673"/>
      <c r="AO1688" s="673"/>
      <c r="AP1688" s="673"/>
      <c r="AQ1688" s="673"/>
      <c r="AR1688" s="673"/>
      <c r="AS1688" s="673"/>
      <c r="AT1688" s="696"/>
    </row>
    <row r="1689" ht="15.75" customHeight="1">
      <c r="A1689" s="653"/>
      <c r="B1689" s="654"/>
      <c r="C1689" s="691"/>
      <c r="D1689" s="656"/>
      <c r="E1689" s="657"/>
      <c r="F1689" s="658"/>
      <c r="G1689" s="659"/>
      <c r="H1689" s="660"/>
      <c r="I1689" s="659"/>
      <c r="J1689" s="661"/>
      <c r="K1689" s="692"/>
      <c r="L1689" s="645"/>
      <c r="M1689" s="663"/>
      <c r="N1689" s="665"/>
      <c r="O1689" s="665"/>
      <c r="P1689" s="666"/>
      <c r="Q1689" s="667"/>
      <c r="R1689" s="668"/>
      <c r="S1689" s="693"/>
      <c r="T1689" s="694"/>
      <c r="U1689" s="694"/>
      <c r="V1689" s="693"/>
      <c r="W1689" s="693"/>
      <c r="X1689" s="693"/>
      <c r="Y1689" s="671"/>
      <c r="Z1689" s="673"/>
      <c r="AA1689" s="672"/>
      <c r="AB1689" s="695"/>
      <c r="AC1689" s="673"/>
      <c r="AD1689" s="673"/>
      <c r="AE1689" s="673"/>
      <c r="AF1689" s="673"/>
      <c r="AG1689" s="673"/>
      <c r="AH1689" s="673"/>
      <c r="AI1689" s="673"/>
      <c r="AJ1689" s="673"/>
      <c r="AK1689" s="673"/>
      <c r="AL1689" s="673"/>
      <c r="AM1689" s="673"/>
      <c r="AN1689" s="673"/>
      <c r="AO1689" s="673"/>
      <c r="AP1689" s="673"/>
      <c r="AQ1689" s="673"/>
      <c r="AR1689" s="673"/>
      <c r="AS1689" s="673"/>
      <c r="AT1689" s="696"/>
    </row>
    <row r="1690" ht="15.75" customHeight="1">
      <c r="A1690" s="653"/>
      <c r="B1690" s="654"/>
      <c r="C1690" s="691"/>
      <c r="D1690" s="656"/>
      <c r="E1690" s="657"/>
      <c r="F1690" s="658"/>
      <c r="G1690" s="659"/>
      <c r="H1690" s="660"/>
      <c r="I1690" s="659"/>
      <c r="J1690" s="661"/>
      <c r="K1690" s="692"/>
      <c r="L1690" s="645"/>
      <c r="M1690" s="663"/>
      <c r="N1690" s="665"/>
      <c r="O1690" s="665"/>
      <c r="P1690" s="666"/>
      <c r="Q1690" s="667"/>
      <c r="R1690" s="668"/>
      <c r="S1690" s="693"/>
      <c r="T1690" s="694"/>
      <c r="U1690" s="694"/>
      <c r="V1690" s="693"/>
      <c r="W1690" s="693"/>
      <c r="X1690" s="693"/>
      <c r="Y1690" s="671"/>
      <c r="Z1690" s="673"/>
      <c r="AA1690" s="672"/>
      <c r="AB1690" s="695"/>
      <c r="AC1690" s="673"/>
      <c r="AD1690" s="673"/>
      <c r="AE1690" s="673"/>
      <c r="AF1690" s="673"/>
      <c r="AG1690" s="673"/>
      <c r="AH1690" s="673"/>
      <c r="AI1690" s="673"/>
      <c r="AJ1690" s="673"/>
      <c r="AK1690" s="673"/>
      <c r="AL1690" s="673"/>
      <c r="AM1690" s="673"/>
      <c r="AN1690" s="673"/>
      <c r="AO1690" s="673"/>
      <c r="AP1690" s="673"/>
      <c r="AQ1690" s="673"/>
      <c r="AR1690" s="673"/>
      <c r="AS1690" s="673"/>
      <c r="AT1690" s="696"/>
    </row>
    <row r="1691" ht="15.75" customHeight="1">
      <c r="A1691" s="653"/>
      <c r="B1691" s="654"/>
      <c r="C1691" s="691"/>
      <c r="D1691" s="656"/>
      <c r="E1691" s="657"/>
      <c r="F1691" s="658"/>
      <c r="G1691" s="659"/>
      <c r="H1691" s="660"/>
      <c r="I1691" s="659"/>
      <c r="J1691" s="661"/>
      <c r="K1691" s="692"/>
      <c r="L1691" s="645"/>
      <c r="M1691" s="663"/>
      <c r="N1691" s="665"/>
      <c r="O1691" s="665"/>
      <c r="P1691" s="666"/>
      <c r="Q1691" s="667"/>
      <c r="R1691" s="668"/>
      <c r="S1691" s="693"/>
      <c r="T1691" s="694"/>
      <c r="U1691" s="694"/>
      <c r="V1691" s="693"/>
      <c r="W1691" s="693"/>
      <c r="X1691" s="693"/>
      <c r="Y1691" s="671"/>
      <c r="Z1691" s="673"/>
      <c r="AA1691" s="672"/>
      <c r="AB1691" s="695"/>
      <c r="AC1691" s="673"/>
      <c r="AD1691" s="673"/>
      <c r="AE1691" s="673"/>
      <c r="AF1691" s="673"/>
      <c r="AG1691" s="673"/>
      <c r="AH1691" s="673"/>
      <c r="AI1691" s="673"/>
      <c r="AJ1691" s="673"/>
      <c r="AK1691" s="673"/>
      <c r="AL1691" s="673"/>
      <c r="AM1691" s="673"/>
      <c r="AN1691" s="673"/>
      <c r="AO1691" s="673"/>
      <c r="AP1691" s="673"/>
      <c r="AQ1691" s="673"/>
      <c r="AR1691" s="673"/>
      <c r="AS1691" s="673"/>
      <c r="AT1691" s="696"/>
    </row>
    <row r="1692" ht="15.75" customHeight="1">
      <c r="A1692" s="653"/>
      <c r="B1692" s="654"/>
      <c r="C1692" s="691"/>
      <c r="D1692" s="656"/>
      <c r="E1692" s="657"/>
      <c r="F1692" s="658"/>
      <c r="G1692" s="659"/>
      <c r="H1692" s="660"/>
      <c r="I1692" s="659"/>
      <c r="J1692" s="661"/>
      <c r="K1692" s="692"/>
      <c r="L1692" s="645"/>
      <c r="M1692" s="663"/>
      <c r="N1692" s="665"/>
      <c r="O1692" s="665"/>
      <c r="P1692" s="666"/>
      <c r="Q1692" s="667"/>
      <c r="R1692" s="668"/>
      <c r="S1692" s="693"/>
      <c r="T1692" s="694"/>
      <c r="U1692" s="694"/>
      <c r="V1692" s="693"/>
      <c r="W1692" s="693"/>
      <c r="X1692" s="693"/>
      <c r="Y1692" s="671"/>
      <c r="Z1692" s="673"/>
      <c r="AA1692" s="672"/>
      <c r="AB1692" s="695"/>
      <c r="AC1692" s="673"/>
      <c r="AD1692" s="673"/>
      <c r="AE1692" s="673"/>
      <c r="AF1692" s="673"/>
      <c r="AG1692" s="673"/>
      <c r="AH1692" s="673"/>
      <c r="AI1692" s="673"/>
      <c r="AJ1692" s="673"/>
      <c r="AK1692" s="673"/>
      <c r="AL1692" s="673"/>
      <c r="AM1692" s="673"/>
      <c r="AN1692" s="673"/>
      <c r="AO1692" s="673"/>
      <c r="AP1692" s="673"/>
      <c r="AQ1692" s="673"/>
      <c r="AR1692" s="673"/>
      <c r="AS1692" s="673"/>
      <c r="AT1692" s="696"/>
    </row>
    <row r="1693" ht="15.75" customHeight="1">
      <c r="A1693" s="653"/>
      <c r="B1693" s="654"/>
      <c r="C1693" s="691"/>
      <c r="D1693" s="656"/>
      <c r="E1693" s="657"/>
      <c r="F1693" s="658"/>
      <c r="G1693" s="659"/>
      <c r="H1693" s="660"/>
      <c r="I1693" s="659"/>
      <c r="J1693" s="661"/>
      <c r="K1693" s="692"/>
      <c r="L1693" s="645"/>
      <c r="M1693" s="663"/>
      <c r="N1693" s="665"/>
      <c r="O1693" s="665"/>
      <c r="P1693" s="666"/>
      <c r="Q1693" s="667"/>
      <c r="R1693" s="668"/>
      <c r="S1693" s="693"/>
      <c r="T1693" s="694"/>
      <c r="U1693" s="694"/>
      <c r="V1693" s="693"/>
      <c r="W1693" s="693"/>
      <c r="X1693" s="693"/>
      <c r="Y1693" s="671"/>
      <c r="Z1693" s="673"/>
      <c r="AA1693" s="672"/>
      <c r="AB1693" s="695"/>
      <c r="AC1693" s="673"/>
      <c r="AD1693" s="673"/>
      <c r="AE1693" s="673"/>
      <c r="AF1693" s="673"/>
      <c r="AG1693" s="673"/>
      <c r="AH1693" s="673"/>
      <c r="AI1693" s="673"/>
      <c r="AJ1693" s="673"/>
      <c r="AK1693" s="673"/>
      <c r="AL1693" s="673"/>
      <c r="AM1693" s="673"/>
      <c r="AN1693" s="673"/>
      <c r="AO1693" s="673"/>
      <c r="AP1693" s="673"/>
      <c r="AQ1693" s="673"/>
      <c r="AR1693" s="673"/>
      <c r="AS1693" s="673"/>
      <c r="AT1693" s="696"/>
    </row>
    <row r="1694" ht="15.75" customHeight="1">
      <c r="A1694" s="653"/>
      <c r="B1694" s="654"/>
      <c r="C1694" s="691"/>
      <c r="D1694" s="656"/>
      <c r="E1694" s="657"/>
      <c r="F1694" s="658"/>
      <c r="G1694" s="659"/>
      <c r="H1694" s="660"/>
      <c r="I1694" s="659"/>
      <c r="J1694" s="661"/>
      <c r="K1694" s="692"/>
      <c r="L1694" s="645"/>
      <c r="M1694" s="663"/>
      <c r="N1694" s="665"/>
      <c r="O1694" s="665"/>
      <c r="P1694" s="666"/>
      <c r="Q1694" s="667"/>
      <c r="R1694" s="668"/>
      <c r="S1694" s="693"/>
      <c r="T1694" s="694"/>
      <c r="U1694" s="694"/>
      <c r="V1694" s="693"/>
      <c r="W1694" s="693"/>
      <c r="X1694" s="693"/>
      <c r="Y1694" s="671"/>
      <c r="Z1694" s="673"/>
      <c r="AA1694" s="672"/>
      <c r="AB1694" s="695"/>
      <c r="AC1694" s="673"/>
      <c r="AD1694" s="673"/>
      <c r="AE1694" s="673"/>
      <c r="AF1694" s="673"/>
      <c r="AG1694" s="673"/>
      <c r="AH1694" s="673"/>
      <c r="AI1694" s="673"/>
      <c r="AJ1694" s="673"/>
      <c r="AK1694" s="673"/>
      <c r="AL1694" s="673"/>
      <c r="AM1694" s="673"/>
      <c r="AN1694" s="673"/>
      <c r="AO1694" s="673"/>
      <c r="AP1694" s="673"/>
      <c r="AQ1694" s="673"/>
      <c r="AR1694" s="673"/>
      <c r="AS1694" s="673"/>
      <c r="AT1694" s="696"/>
    </row>
    <row r="1695" ht="15.75" customHeight="1">
      <c r="A1695" s="653"/>
      <c r="B1695" s="654"/>
      <c r="C1695" s="691"/>
      <c r="D1695" s="656"/>
      <c r="E1695" s="657"/>
      <c r="F1695" s="658"/>
      <c r="G1695" s="659"/>
      <c r="H1695" s="660"/>
      <c r="I1695" s="659"/>
      <c r="J1695" s="661"/>
      <c r="K1695" s="692"/>
      <c r="L1695" s="645"/>
      <c r="M1695" s="663"/>
      <c r="N1695" s="665"/>
      <c r="O1695" s="665"/>
      <c r="P1695" s="666"/>
      <c r="Q1695" s="667"/>
      <c r="R1695" s="668"/>
      <c r="S1695" s="693"/>
      <c r="T1695" s="694"/>
      <c r="U1695" s="694"/>
      <c r="V1695" s="693"/>
      <c r="W1695" s="693"/>
      <c r="X1695" s="693"/>
      <c r="Y1695" s="671"/>
      <c r="Z1695" s="673"/>
      <c r="AA1695" s="672"/>
      <c r="AB1695" s="695"/>
      <c r="AC1695" s="673"/>
      <c r="AD1695" s="673"/>
      <c r="AE1695" s="673"/>
      <c r="AF1695" s="673"/>
      <c r="AG1695" s="673"/>
      <c r="AH1695" s="673"/>
      <c r="AI1695" s="673"/>
      <c r="AJ1695" s="673"/>
      <c r="AK1695" s="673"/>
      <c r="AL1695" s="673"/>
      <c r="AM1695" s="673"/>
      <c r="AN1695" s="673"/>
      <c r="AO1695" s="673"/>
      <c r="AP1695" s="673"/>
      <c r="AQ1695" s="673"/>
      <c r="AR1695" s="673"/>
      <c r="AS1695" s="673"/>
      <c r="AT1695" s="696"/>
    </row>
    <row r="1696" ht="15.75" customHeight="1">
      <c r="A1696" s="653"/>
      <c r="B1696" s="654"/>
      <c r="C1696" s="691"/>
      <c r="D1696" s="656"/>
      <c r="E1696" s="657"/>
      <c r="F1696" s="658"/>
      <c r="G1696" s="659"/>
      <c r="H1696" s="660"/>
      <c r="I1696" s="659"/>
      <c r="J1696" s="661"/>
      <c r="K1696" s="692"/>
      <c r="L1696" s="645"/>
      <c r="M1696" s="663"/>
      <c r="N1696" s="665"/>
      <c r="O1696" s="665"/>
      <c r="P1696" s="666"/>
      <c r="Q1696" s="667"/>
      <c r="R1696" s="668"/>
      <c r="S1696" s="693"/>
      <c r="T1696" s="694"/>
      <c r="U1696" s="694"/>
      <c r="V1696" s="693"/>
      <c r="W1696" s="693"/>
      <c r="X1696" s="693"/>
      <c r="Y1696" s="671"/>
      <c r="Z1696" s="673"/>
      <c r="AA1696" s="672"/>
      <c r="AB1696" s="695"/>
      <c r="AC1696" s="673"/>
      <c r="AD1696" s="673"/>
      <c r="AE1696" s="673"/>
      <c r="AF1696" s="673"/>
      <c r="AG1696" s="673"/>
      <c r="AH1696" s="673"/>
      <c r="AI1696" s="673"/>
      <c r="AJ1696" s="673"/>
      <c r="AK1696" s="673"/>
      <c r="AL1696" s="673"/>
      <c r="AM1696" s="673"/>
      <c r="AN1696" s="673"/>
      <c r="AO1696" s="673"/>
      <c r="AP1696" s="673"/>
      <c r="AQ1696" s="673"/>
      <c r="AR1696" s="673"/>
      <c r="AS1696" s="673"/>
      <c r="AT1696" s="696"/>
    </row>
    <row r="1697" ht="15.75" customHeight="1">
      <c r="A1697" s="653"/>
      <c r="B1697" s="654"/>
      <c r="C1697" s="691"/>
      <c r="D1697" s="656"/>
      <c r="E1697" s="657"/>
      <c r="F1697" s="658"/>
      <c r="G1697" s="659"/>
      <c r="H1697" s="660"/>
      <c r="I1697" s="659"/>
      <c r="J1697" s="661"/>
      <c r="K1697" s="692"/>
      <c r="L1697" s="645"/>
      <c r="M1697" s="663"/>
      <c r="N1697" s="665"/>
      <c r="O1697" s="665"/>
      <c r="P1697" s="666"/>
      <c r="Q1697" s="667"/>
      <c r="R1697" s="668"/>
      <c r="S1697" s="693"/>
      <c r="T1697" s="694"/>
      <c r="U1697" s="694"/>
      <c r="V1697" s="693"/>
      <c r="W1697" s="693"/>
      <c r="X1697" s="693"/>
      <c r="Y1697" s="671"/>
      <c r="Z1697" s="673"/>
      <c r="AA1697" s="672"/>
      <c r="AB1697" s="695"/>
      <c r="AC1697" s="673"/>
      <c r="AD1697" s="673"/>
      <c r="AE1697" s="673"/>
      <c r="AF1697" s="673"/>
      <c r="AG1697" s="673"/>
      <c r="AH1697" s="673"/>
      <c r="AI1697" s="673"/>
      <c r="AJ1697" s="673"/>
      <c r="AK1697" s="673"/>
      <c r="AL1697" s="673"/>
      <c r="AM1697" s="673"/>
      <c r="AN1697" s="673"/>
      <c r="AO1697" s="673"/>
      <c r="AP1697" s="673"/>
      <c r="AQ1697" s="673"/>
      <c r="AR1697" s="673"/>
      <c r="AS1697" s="673"/>
      <c r="AT1697" s="696"/>
    </row>
    <row r="1698" ht="15.75" customHeight="1">
      <c r="A1698" s="653"/>
      <c r="B1698" s="654"/>
      <c r="C1698" s="691"/>
      <c r="D1698" s="656"/>
      <c r="E1698" s="657"/>
      <c r="F1698" s="658"/>
      <c r="G1698" s="659"/>
      <c r="H1698" s="660"/>
      <c r="I1698" s="659"/>
      <c r="J1698" s="661"/>
      <c r="K1698" s="692"/>
      <c r="L1698" s="645"/>
      <c r="M1698" s="663"/>
      <c r="N1698" s="665"/>
      <c r="O1698" s="665"/>
      <c r="P1698" s="666"/>
      <c r="Q1698" s="667"/>
      <c r="R1698" s="668"/>
      <c r="S1698" s="693"/>
      <c r="T1698" s="694"/>
      <c r="U1698" s="694"/>
      <c r="V1698" s="693"/>
      <c r="W1698" s="693"/>
      <c r="X1698" s="693"/>
      <c r="Y1698" s="671"/>
      <c r="Z1698" s="673"/>
      <c r="AA1698" s="672"/>
      <c r="AB1698" s="695"/>
      <c r="AC1698" s="673"/>
      <c r="AD1698" s="673"/>
      <c r="AE1698" s="673"/>
      <c r="AF1698" s="673"/>
      <c r="AG1698" s="673"/>
      <c r="AH1698" s="673"/>
      <c r="AI1698" s="673"/>
      <c r="AJ1698" s="673"/>
      <c r="AK1698" s="673"/>
      <c r="AL1698" s="673"/>
      <c r="AM1698" s="673"/>
      <c r="AN1698" s="673"/>
      <c r="AO1698" s="673"/>
      <c r="AP1698" s="673"/>
      <c r="AQ1698" s="673"/>
      <c r="AR1698" s="673"/>
      <c r="AS1698" s="673"/>
      <c r="AT1698" s="696"/>
    </row>
    <row r="1699" ht="15.75" customHeight="1">
      <c r="A1699" s="653"/>
      <c r="B1699" s="654"/>
      <c r="C1699" s="691"/>
      <c r="D1699" s="656"/>
      <c r="E1699" s="657"/>
      <c r="F1699" s="658"/>
      <c r="G1699" s="659"/>
      <c r="H1699" s="660"/>
      <c r="I1699" s="659"/>
      <c r="J1699" s="661"/>
      <c r="K1699" s="692"/>
      <c r="L1699" s="645"/>
      <c r="M1699" s="663"/>
      <c r="N1699" s="665"/>
      <c r="O1699" s="665"/>
      <c r="P1699" s="666"/>
      <c r="Q1699" s="667"/>
      <c r="R1699" s="668"/>
      <c r="S1699" s="693"/>
      <c r="T1699" s="694"/>
      <c r="U1699" s="694"/>
      <c r="V1699" s="693"/>
      <c r="W1699" s="693"/>
      <c r="X1699" s="693"/>
      <c r="Y1699" s="671"/>
      <c r="Z1699" s="673"/>
      <c r="AA1699" s="672"/>
      <c r="AB1699" s="695"/>
      <c r="AC1699" s="673"/>
      <c r="AD1699" s="673"/>
      <c r="AE1699" s="673"/>
      <c r="AF1699" s="673"/>
      <c r="AG1699" s="673"/>
      <c r="AH1699" s="673"/>
      <c r="AI1699" s="673"/>
      <c r="AJ1699" s="673"/>
      <c r="AK1699" s="673"/>
      <c r="AL1699" s="673"/>
      <c r="AM1699" s="673"/>
      <c r="AN1699" s="673"/>
      <c r="AO1699" s="673"/>
      <c r="AP1699" s="673"/>
      <c r="AQ1699" s="673"/>
      <c r="AR1699" s="673"/>
      <c r="AS1699" s="673"/>
      <c r="AT1699" s="696"/>
    </row>
    <row r="1700" ht="15.75" customHeight="1">
      <c r="A1700" s="653"/>
      <c r="B1700" s="654"/>
      <c r="C1700" s="691"/>
      <c r="D1700" s="656"/>
      <c r="E1700" s="657"/>
      <c r="F1700" s="658"/>
      <c r="G1700" s="659"/>
      <c r="H1700" s="660"/>
      <c r="I1700" s="659"/>
      <c r="J1700" s="661"/>
      <c r="K1700" s="692"/>
      <c r="L1700" s="645"/>
      <c r="M1700" s="663"/>
      <c r="N1700" s="665"/>
      <c r="O1700" s="665"/>
      <c r="P1700" s="666"/>
      <c r="Q1700" s="667"/>
      <c r="R1700" s="668"/>
      <c r="S1700" s="693"/>
      <c r="T1700" s="694"/>
      <c r="U1700" s="694"/>
      <c r="V1700" s="693"/>
      <c r="W1700" s="693"/>
      <c r="X1700" s="693"/>
      <c r="Y1700" s="671"/>
      <c r="Z1700" s="673"/>
      <c r="AA1700" s="672"/>
      <c r="AB1700" s="695"/>
      <c r="AC1700" s="673"/>
      <c r="AD1700" s="673"/>
      <c r="AE1700" s="673"/>
      <c r="AF1700" s="673"/>
      <c r="AG1700" s="673"/>
      <c r="AH1700" s="673"/>
      <c r="AI1700" s="673"/>
      <c r="AJ1700" s="673"/>
      <c r="AK1700" s="673"/>
      <c r="AL1700" s="673"/>
      <c r="AM1700" s="673"/>
      <c r="AN1700" s="673"/>
      <c r="AO1700" s="673"/>
      <c r="AP1700" s="673"/>
      <c r="AQ1700" s="673"/>
      <c r="AR1700" s="673"/>
      <c r="AS1700" s="673"/>
      <c r="AT1700" s="696"/>
    </row>
    <row r="1701" ht="15.75" customHeight="1">
      <c r="A1701" s="653"/>
      <c r="B1701" s="654"/>
      <c r="C1701" s="691"/>
      <c r="D1701" s="656"/>
      <c r="E1701" s="657"/>
      <c r="F1701" s="658"/>
      <c r="G1701" s="659"/>
      <c r="H1701" s="660"/>
      <c r="I1701" s="659"/>
      <c r="J1701" s="661"/>
      <c r="K1701" s="692"/>
      <c r="L1701" s="645"/>
      <c r="M1701" s="663"/>
      <c r="N1701" s="665"/>
      <c r="O1701" s="665"/>
      <c r="P1701" s="666"/>
      <c r="Q1701" s="667"/>
      <c r="R1701" s="668"/>
      <c r="S1701" s="693"/>
      <c r="T1701" s="694"/>
      <c r="U1701" s="694"/>
      <c r="V1701" s="693"/>
      <c r="W1701" s="693"/>
      <c r="X1701" s="693"/>
      <c r="Y1701" s="671"/>
      <c r="Z1701" s="673"/>
      <c r="AA1701" s="672"/>
      <c r="AB1701" s="695"/>
      <c r="AC1701" s="673"/>
      <c r="AD1701" s="673"/>
      <c r="AE1701" s="673"/>
      <c r="AF1701" s="673"/>
      <c r="AG1701" s="673"/>
      <c r="AH1701" s="673"/>
      <c r="AI1701" s="673"/>
      <c r="AJ1701" s="673"/>
      <c r="AK1701" s="673"/>
      <c r="AL1701" s="673"/>
      <c r="AM1701" s="673"/>
      <c r="AN1701" s="673"/>
      <c r="AO1701" s="673"/>
      <c r="AP1701" s="673"/>
      <c r="AQ1701" s="673"/>
      <c r="AR1701" s="673"/>
      <c r="AS1701" s="673"/>
      <c r="AT1701" s="696"/>
    </row>
    <row r="1702" ht="15.75" customHeight="1">
      <c r="A1702" s="653"/>
      <c r="B1702" s="654"/>
      <c r="C1702" s="691"/>
      <c r="D1702" s="656"/>
      <c r="E1702" s="657"/>
      <c r="F1702" s="658"/>
      <c r="G1702" s="659"/>
      <c r="H1702" s="660"/>
      <c r="I1702" s="659"/>
      <c r="J1702" s="661"/>
      <c r="K1702" s="692"/>
      <c r="L1702" s="645"/>
      <c r="M1702" s="663"/>
      <c r="N1702" s="665"/>
      <c r="O1702" s="665"/>
      <c r="P1702" s="666"/>
      <c r="Q1702" s="667"/>
      <c r="R1702" s="668"/>
      <c r="S1702" s="693"/>
      <c r="T1702" s="694"/>
      <c r="U1702" s="694"/>
      <c r="V1702" s="693"/>
      <c r="W1702" s="693"/>
      <c r="X1702" s="693"/>
      <c r="Y1702" s="671"/>
      <c r="Z1702" s="673"/>
      <c r="AA1702" s="672"/>
      <c r="AB1702" s="695"/>
      <c r="AC1702" s="673"/>
      <c r="AD1702" s="673"/>
      <c r="AE1702" s="673"/>
      <c r="AF1702" s="673"/>
      <c r="AG1702" s="673"/>
      <c r="AH1702" s="673"/>
      <c r="AI1702" s="673"/>
      <c r="AJ1702" s="673"/>
      <c r="AK1702" s="673"/>
      <c r="AL1702" s="673"/>
      <c r="AM1702" s="673"/>
      <c r="AN1702" s="673"/>
      <c r="AO1702" s="673"/>
      <c r="AP1702" s="673"/>
      <c r="AQ1702" s="673"/>
      <c r="AR1702" s="673"/>
      <c r="AS1702" s="673"/>
      <c r="AT1702" s="696"/>
    </row>
    <row r="1703" ht="15.75" customHeight="1">
      <c r="A1703" s="653"/>
      <c r="B1703" s="654"/>
      <c r="C1703" s="691"/>
      <c r="D1703" s="656"/>
      <c r="E1703" s="657"/>
      <c r="F1703" s="658"/>
      <c r="G1703" s="659"/>
      <c r="H1703" s="660"/>
      <c r="I1703" s="659"/>
      <c r="J1703" s="661"/>
      <c r="K1703" s="692"/>
      <c r="L1703" s="645"/>
      <c r="M1703" s="663"/>
      <c r="N1703" s="665"/>
      <c r="O1703" s="665"/>
      <c r="P1703" s="666"/>
      <c r="Q1703" s="667"/>
      <c r="R1703" s="668"/>
      <c r="S1703" s="693"/>
      <c r="T1703" s="694"/>
      <c r="U1703" s="694"/>
      <c r="V1703" s="693"/>
      <c r="W1703" s="693"/>
      <c r="X1703" s="693"/>
      <c r="Y1703" s="671"/>
      <c r="Z1703" s="673"/>
      <c r="AA1703" s="672"/>
      <c r="AB1703" s="695"/>
      <c r="AC1703" s="673"/>
      <c r="AD1703" s="673"/>
      <c r="AE1703" s="673"/>
      <c r="AF1703" s="673"/>
      <c r="AG1703" s="673"/>
      <c r="AH1703" s="673"/>
      <c r="AI1703" s="673"/>
      <c r="AJ1703" s="673"/>
      <c r="AK1703" s="673"/>
      <c r="AL1703" s="673"/>
      <c r="AM1703" s="673"/>
      <c r="AN1703" s="673"/>
      <c r="AO1703" s="673"/>
      <c r="AP1703" s="673"/>
      <c r="AQ1703" s="673"/>
      <c r="AR1703" s="673"/>
      <c r="AS1703" s="673"/>
      <c r="AT1703" s="696"/>
    </row>
    <row r="1704" ht="15.75" customHeight="1">
      <c r="A1704" s="653"/>
      <c r="B1704" s="654"/>
      <c r="C1704" s="691"/>
      <c r="D1704" s="656"/>
      <c r="E1704" s="657"/>
      <c r="F1704" s="658"/>
      <c r="G1704" s="659"/>
      <c r="H1704" s="660"/>
      <c r="I1704" s="659"/>
      <c r="J1704" s="661"/>
      <c r="K1704" s="692"/>
      <c r="L1704" s="645"/>
      <c r="M1704" s="663"/>
      <c r="N1704" s="665"/>
      <c r="O1704" s="665"/>
      <c r="P1704" s="666"/>
      <c r="Q1704" s="667"/>
      <c r="R1704" s="668"/>
      <c r="S1704" s="693"/>
      <c r="T1704" s="694"/>
      <c r="U1704" s="694"/>
      <c r="V1704" s="693"/>
      <c r="W1704" s="693"/>
      <c r="X1704" s="693"/>
      <c r="Y1704" s="671"/>
      <c r="Z1704" s="673"/>
      <c r="AA1704" s="672"/>
      <c r="AB1704" s="695"/>
      <c r="AC1704" s="673"/>
      <c r="AD1704" s="673"/>
      <c r="AE1704" s="673"/>
      <c r="AF1704" s="673"/>
      <c r="AG1704" s="673"/>
      <c r="AH1704" s="673"/>
      <c r="AI1704" s="673"/>
      <c r="AJ1704" s="673"/>
      <c r="AK1704" s="673"/>
      <c r="AL1704" s="673"/>
      <c r="AM1704" s="673"/>
      <c r="AN1704" s="673"/>
      <c r="AO1704" s="673"/>
      <c r="AP1704" s="673"/>
      <c r="AQ1704" s="673"/>
      <c r="AR1704" s="673"/>
      <c r="AS1704" s="673"/>
      <c r="AT1704" s="696"/>
    </row>
    <row r="1705" ht="15.75" customHeight="1">
      <c r="A1705" s="653"/>
      <c r="B1705" s="654"/>
      <c r="C1705" s="691"/>
      <c r="D1705" s="656"/>
      <c r="E1705" s="657"/>
      <c r="F1705" s="658"/>
      <c r="G1705" s="659"/>
      <c r="H1705" s="660"/>
      <c r="I1705" s="659"/>
      <c r="J1705" s="661"/>
      <c r="K1705" s="692"/>
      <c r="L1705" s="645"/>
      <c r="M1705" s="663"/>
      <c r="N1705" s="665"/>
      <c r="O1705" s="665"/>
      <c r="P1705" s="666"/>
      <c r="Q1705" s="667"/>
      <c r="R1705" s="668"/>
      <c r="S1705" s="693"/>
      <c r="T1705" s="694"/>
      <c r="U1705" s="694"/>
      <c r="V1705" s="693"/>
      <c r="W1705" s="693"/>
      <c r="X1705" s="693"/>
      <c r="Y1705" s="671"/>
      <c r="Z1705" s="673"/>
      <c r="AA1705" s="672"/>
      <c r="AB1705" s="695"/>
      <c r="AC1705" s="673"/>
      <c r="AD1705" s="673"/>
      <c r="AE1705" s="673"/>
      <c r="AF1705" s="673"/>
      <c r="AG1705" s="673"/>
      <c r="AH1705" s="673"/>
      <c r="AI1705" s="673"/>
      <c r="AJ1705" s="673"/>
      <c r="AK1705" s="673"/>
      <c r="AL1705" s="673"/>
      <c r="AM1705" s="673"/>
      <c r="AN1705" s="673"/>
      <c r="AO1705" s="673"/>
      <c r="AP1705" s="673"/>
      <c r="AQ1705" s="673"/>
      <c r="AR1705" s="673"/>
      <c r="AS1705" s="673"/>
      <c r="AT1705" s="696"/>
    </row>
    <row r="1706" ht="15.75" customHeight="1">
      <c r="A1706" s="653"/>
      <c r="B1706" s="654"/>
      <c r="C1706" s="691"/>
      <c r="D1706" s="656"/>
      <c r="E1706" s="657"/>
      <c r="F1706" s="658"/>
      <c r="G1706" s="659"/>
      <c r="H1706" s="660"/>
      <c r="I1706" s="659"/>
      <c r="J1706" s="661"/>
      <c r="K1706" s="692"/>
      <c r="L1706" s="645"/>
      <c r="M1706" s="663"/>
      <c r="N1706" s="665"/>
      <c r="O1706" s="665"/>
      <c r="P1706" s="666"/>
      <c r="Q1706" s="667"/>
      <c r="R1706" s="668"/>
      <c r="S1706" s="693"/>
      <c r="T1706" s="694"/>
      <c r="U1706" s="694"/>
      <c r="V1706" s="693"/>
      <c r="W1706" s="693"/>
      <c r="X1706" s="693"/>
      <c r="Y1706" s="671"/>
      <c r="Z1706" s="673"/>
      <c r="AA1706" s="672"/>
      <c r="AB1706" s="695"/>
      <c r="AC1706" s="673"/>
      <c r="AD1706" s="673"/>
      <c r="AE1706" s="673"/>
      <c r="AF1706" s="673"/>
      <c r="AG1706" s="673"/>
      <c r="AH1706" s="673"/>
      <c r="AI1706" s="673"/>
      <c r="AJ1706" s="673"/>
      <c r="AK1706" s="673"/>
      <c r="AL1706" s="673"/>
      <c r="AM1706" s="673"/>
      <c r="AN1706" s="673"/>
      <c r="AO1706" s="673"/>
      <c r="AP1706" s="673"/>
      <c r="AQ1706" s="673"/>
      <c r="AR1706" s="673"/>
      <c r="AS1706" s="673"/>
      <c r="AT1706" s="696"/>
    </row>
    <row r="1707" ht="15.75" customHeight="1">
      <c r="A1707" s="653"/>
      <c r="B1707" s="654"/>
      <c r="C1707" s="691"/>
      <c r="D1707" s="656"/>
      <c r="E1707" s="657"/>
      <c r="F1707" s="658"/>
      <c r="G1707" s="659"/>
      <c r="H1707" s="660"/>
      <c r="I1707" s="659"/>
      <c r="J1707" s="661"/>
      <c r="K1707" s="692"/>
      <c r="L1707" s="645"/>
      <c r="M1707" s="663"/>
      <c r="N1707" s="665"/>
      <c r="O1707" s="665"/>
      <c r="P1707" s="666"/>
      <c r="Q1707" s="667"/>
      <c r="R1707" s="668"/>
      <c r="S1707" s="693"/>
      <c r="T1707" s="694"/>
      <c r="U1707" s="694"/>
      <c r="V1707" s="693"/>
      <c r="W1707" s="693"/>
      <c r="X1707" s="693"/>
      <c r="Y1707" s="671"/>
      <c r="Z1707" s="673"/>
      <c r="AA1707" s="672"/>
      <c r="AB1707" s="695"/>
      <c r="AC1707" s="673"/>
      <c r="AD1707" s="673"/>
      <c r="AE1707" s="673"/>
      <c r="AF1707" s="673"/>
      <c r="AG1707" s="673"/>
      <c r="AH1707" s="673"/>
      <c r="AI1707" s="673"/>
      <c r="AJ1707" s="673"/>
      <c r="AK1707" s="673"/>
      <c r="AL1707" s="673"/>
      <c r="AM1707" s="673"/>
      <c r="AN1707" s="673"/>
      <c r="AO1707" s="673"/>
      <c r="AP1707" s="673"/>
      <c r="AQ1707" s="673"/>
      <c r="AR1707" s="673"/>
      <c r="AS1707" s="673"/>
      <c r="AT1707" s="696"/>
    </row>
    <row r="1708" ht="15.75" customHeight="1">
      <c r="A1708" s="653"/>
      <c r="B1708" s="654"/>
      <c r="C1708" s="691"/>
      <c r="D1708" s="656"/>
      <c r="E1708" s="657"/>
      <c r="F1708" s="658"/>
      <c r="G1708" s="659"/>
      <c r="H1708" s="660"/>
      <c r="I1708" s="659"/>
      <c r="J1708" s="661"/>
      <c r="K1708" s="692"/>
      <c r="L1708" s="645"/>
      <c r="M1708" s="663"/>
      <c r="N1708" s="665"/>
      <c r="O1708" s="665"/>
      <c r="P1708" s="666"/>
      <c r="Q1708" s="667"/>
      <c r="R1708" s="668"/>
      <c r="S1708" s="693"/>
      <c r="T1708" s="694"/>
      <c r="U1708" s="694"/>
      <c r="V1708" s="693"/>
      <c r="W1708" s="693"/>
      <c r="X1708" s="693"/>
      <c r="Y1708" s="671"/>
      <c r="Z1708" s="673"/>
      <c r="AA1708" s="672"/>
      <c r="AB1708" s="695"/>
      <c r="AC1708" s="673"/>
      <c r="AD1708" s="673"/>
      <c r="AE1708" s="673"/>
      <c r="AF1708" s="673"/>
      <c r="AG1708" s="673"/>
      <c r="AH1708" s="673"/>
      <c r="AI1708" s="673"/>
      <c r="AJ1708" s="673"/>
      <c r="AK1708" s="673"/>
      <c r="AL1708" s="673"/>
      <c r="AM1708" s="673"/>
      <c r="AN1708" s="673"/>
      <c r="AO1708" s="673"/>
      <c r="AP1708" s="673"/>
      <c r="AQ1708" s="673"/>
      <c r="AR1708" s="673"/>
      <c r="AS1708" s="673"/>
      <c r="AT1708" s="696"/>
    </row>
    <row r="1709" ht="15.75" customHeight="1">
      <c r="A1709" s="653"/>
      <c r="B1709" s="654"/>
      <c r="C1709" s="691"/>
      <c r="D1709" s="656"/>
      <c r="E1709" s="657"/>
      <c r="F1709" s="658"/>
      <c r="G1709" s="659"/>
      <c r="H1709" s="660"/>
      <c r="I1709" s="659"/>
      <c r="J1709" s="661"/>
      <c r="K1709" s="692"/>
      <c r="L1709" s="645"/>
      <c r="M1709" s="663"/>
      <c r="N1709" s="665"/>
      <c r="O1709" s="665"/>
      <c r="P1709" s="666"/>
      <c r="Q1709" s="667"/>
      <c r="R1709" s="668"/>
      <c r="S1709" s="693"/>
      <c r="T1709" s="694"/>
      <c r="U1709" s="694"/>
      <c r="V1709" s="693"/>
      <c r="W1709" s="693"/>
      <c r="X1709" s="693"/>
      <c r="Y1709" s="671"/>
      <c r="Z1709" s="673"/>
      <c r="AA1709" s="672"/>
      <c r="AB1709" s="695"/>
      <c r="AC1709" s="673"/>
      <c r="AD1709" s="673"/>
      <c r="AE1709" s="673"/>
      <c r="AF1709" s="673"/>
      <c r="AG1709" s="673"/>
      <c r="AH1709" s="673"/>
      <c r="AI1709" s="673"/>
      <c r="AJ1709" s="673"/>
      <c r="AK1709" s="673"/>
      <c r="AL1709" s="673"/>
      <c r="AM1709" s="673"/>
      <c r="AN1709" s="673"/>
      <c r="AO1709" s="673"/>
      <c r="AP1709" s="673"/>
      <c r="AQ1709" s="673"/>
      <c r="AR1709" s="673"/>
      <c r="AS1709" s="673"/>
      <c r="AT1709" s="696"/>
    </row>
    <row r="1710" ht="15.75" customHeight="1">
      <c r="A1710" s="653"/>
      <c r="B1710" s="654"/>
      <c r="C1710" s="691"/>
      <c r="D1710" s="656"/>
      <c r="E1710" s="657"/>
      <c r="F1710" s="658"/>
      <c r="G1710" s="659"/>
      <c r="H1710" s="660"/>
      <c r="I1710" s="659"/>
      <c r="J1710" s="661"/>
      <c r="K1710" s="692"/>
      <c r="L1710" s="645"/>
      <c r="M1710" s="663"/>
      <c r="N1710" s="665"/>
      <c r="O1710" s="665"/>
      <c r="P1710" s="666"/>
      <c r="Q1710" s="667"/>
      <c r="R1710" s="668"/>
      <c r="S1710" s="693"/>
      <c r="T1710" s="694"/>
      <c r="U1710" s="694"/>
      <c r="V1710" s="693"/>
      <c r="W1710" s="693"/>
      <c r="X1710" s="693"/>
      <c r="Y1710" s="671"/>
      <c r="Z1710" s="673"/>
      <c r="AA1710" s="672"/>
      <c r="AB1710" s="695"/>
      <c r="AC1710" s="673"/>
      <c r="AD1710" s="673"/>
      <c r="AE1710" s="673"/>
      <c r="AF1710" s="673"/>
      <c r="AG1710" s="673"/>
      <c r="AH1710" s="673"/>
      <c r="AI1710" s="673"/>
      <c r="AJ1710" s="673"/>
      <c r="AK1710" s="673"/>
      <c r="AL1710" s="673"/>
      <c r="AM1710" s="673"/>
      <c r="AN1710" s="673"/>
      <c r="AO1710" s="673"/>
      <c r="AP1710" s="673"/>
      <c r="AQ1710" s="673"/>
      <c r="AR1710" s="673"/>
      <c r="AS1710" s="673"/>
      <c r="AT1710" s="696"/>
    </row>
    <row r="1711" ht="15.75" customHeight="1">
      <c r="A1711" s="653"/>
      <c r="B1711" s="654"/>
      <c r="C1711" s="691"/>
      <c r="D1711" s="656"/>
      <c r="E1711" s="657"/>
      <c r="F1711" s="658"/>
      <c r="G1711" s="659"/>
      <c r="H1711" s="660"/>
      <c r="I1711" s="659"/>
      <c r="J1711" s="661"/>
      <c r="K1711" s="692"/>
      <c r="L1711" s="645"/>
      <c r="M1711" s="663"/>
      <c r="N1711" s="665"/>
      <c r="O1711" s="665"/>
      <c r="P1711" s="666"/>
      <c r="Q1711" s="667"/>
      <c r="R1711" s="668"/>
      <c r="S1711" s="693"/>
      <c r="T1711" s="694"/>
      <c r="U1711" s="694"/>
      <c r="V1711" s="693"/>
      <c r="W1711" s="693"/>
      <c r="X1711" s="693"/>
      <c r="Y1711" s="671"/>
      <c r="Z1711" s="673"/>
      <c r="AA1711" s="672"/>
      <c r="AB1711" s="695"/>
      <c r="AC1711" s="673"/>
      <c r="AD1711" s="673"/>
      <c r="AE1711" s="673"/>
      <c r="AF1711" s="673"/>
      <c r="AG1711" s="673"/>
      <c r="AH1711" s="673"/>
      <c r="AI1711" s="673"/>
      <c r="AJ1711" s="673"/>
      <c r="AK1711" s="673"/>
      <c r="AL1711" s="673"/>
      <c r="AM1711" s="673"/>
      <c r="AN1711" s="673"/>
      <c r="AO1711" s="673"/>
      <c r="AP1711" s="673"/>
      <c r="AQ1711" s="673"/>
      <c r="AR1711" s="673"/>
      <c r="AS1711" s="673"/>
      <c r="AT1711" s="696"/>
    </row>
    <row r="1712" ht="15.75" customHeight="1">
      <c r="A1712" s="653"/>
      <c r="B1712" s="654"/>
      <c r="C1712" s="691"/>
      <c r="D1712" s="656"/>
      <c r="E1712" s="657"/>
      <c r="F1712" s="658"/>
      <c r="G1712" s="659"/>
      <c r="H1712" s="660"/>
      <c r="I1712" s="659"/>
      <c r="J1712" s="661"/>
      <c r="K1712" s="692"/>
      <c r="L1712" s="645"/>
      <c r="M1712" s="663"/>
      <c r="N1712" s="665"/>
      <c r="O1712" s="665"/>
      <c r="P1712" s="666"/>
      <c r="Q1712" s="667"/>
      <c r="R1712" s="668"/>
      <c r="S1712" s="693"/>
      <c r="T1712" s="694"/>
      <c r="U1712" s="694"/>
      <c r="V1712" s="693"/>
      <c r="W1712" s="693"/>
      <c r="X1712" s="693"/>
      <c r="Y1712" s="671"/>
      <c r="Z1712" s="673"/>
      <c r="AA1712" s="672"/>
      <c r="AB1712" s="695"/>
      <c r="AC1712" s="673"/>
      <c r="AD1712" s="673"/>
      <c r="AE1712" s="673"/>
      <c r="AF1712" s="673"/>
      <c r="AG1712" s="673"/>
      <c r="AH1712" s="673"/>
      <c r="AI1712" s="673"/>
      <c r="AJ1712" s="673"/>
      <c r="AK1712" s="673"/>
      <c r="AL1712" s="673"/>
      <c r="AM1712" s="673"/>
      <c r="AN1712" s="673"/>
      <c r="AO1712" s="673"/>
      <c r="AP1712" s="673"/>
      <c r="AQ1712" s="673"/>
      <c r="AR1712" s="673"/>
      <c r="AS1712" s="673"/>
      <c r="AT1712" s="696"/>
    </row>
    <row r="1713" ht="15.75" customHeight="1">
      <c r="A1713" s="653"/>
      <c r="B1713" s="654"/>
      <c r="C1713" s="691"/>
      <c r="D1713" s="656"/>
      <c r="E1713" s="657"/>
      <c r="F1713" s="658"/>
      <c r="G1713" s="659"/>
      <c r="H1713" s="660"/>
      <c r="I1713" s="659"/>
      <c r="J1713" s="661"/>
      <c r="K1713" s="692"/>
      <c r="L1713" s="645"/>
      <c r="M1713" s="663"/>
      <c r="N1713" s="665"/>
      <c r="O1713" s="665"/>
      <c r="P1713" s="666"/>
      <c r="Q1713" s="667"/>
      <c r="R1713" s="668"/>
      <c r="S1713" s="693"/>
      <c r="T1713" s="694"/>
      <c r="U1713" s="694"/>
      <c r="V1713" s="693"/>
      <c r="W1713" s="693"/>
      <c r="X1713" s="693"/>
      <c r="Y1713" s="671"/>
      <c r="Z1713" s="673"/>
      <c r="AA1713" s="672"/>
      <c r="AB1713" s="695"/>
      <c r="AC1713" s="673"/>
      <c r="AD1713" s="673"/>
      <c r="AE1713" s="673"/>
      <c r="AF1713" s="673"/>
      <c r="AG1713" s="673"/>
      <c r="AH1713" s="673"/>
      <c r="AI1713" s="673"/>
      <c r="AJ1713" s="673"/>
      <c r="AK1713" s="673"/>
      <c r="AL1713" s="673"/>
      <c r="AM1713" s="673"/>
      <c r="AN1713" s="673"/>
      <c r="AO1713" s="673"/>
      <c r="AP1713" s="673"/>
      <c r="AQ1713" s="673"/>
      <c r="AR1713" s="673"/>
      <c r="AS1713" s="673"/>
      <c r="AT1713" s="696"/>
    </row>
    <row r="1714" ht="15.75" customHeight="1">
      <c r="A1714" s="653"/>
      <c r="B1714" s="654"/>
      <c r="C1714" s="691"/>
      <c r="D1714" s="656"/>
      <c r="E1714" s="657"/>
      <c r="F1714" s="658"/>
      <c r="G1714" s="659"/>
      <c r="H1714" s="660"/>
      <c r="I1714" s="659"/>
      <c r="J1714" s="661"/>
      <c r="K1714" s="692"/>
      <c r="L1714" s="645"/>
      <c r="M1714" s="663"/>
      <c r="N1714" s="665"/>
      <c r="O1714" s="665"/>
      <c r="P1714" s="666"/>
      <c r="Q1714" s="667"/>
      <c r="R1714" s="668"/>
      <c r="S1714" s="693"/>
      <c r="T1714" s="694"/>
      <c r="U1714" s="694"/>
      <c r="V1714" s="693"/>
      <c r="W1714" s="693"/>
      <c r="X1714" s="693"/>
      <c r="Y1714" s="671"/>
      <c r="Z1714" s="673"/>
      <c r="AA1714" s="672"/>
      <c r="AB1714" s="695"/>
      <c r="AC1714" s="673"/>
      <c r="AD1714" s="673"/>
      <c r="AE1714" s="673"/>
      <c r="AF1714" s="673"/>
      <c r="AG1714" s="673"/>
      <c r="AH1714" s="673"/>
      <c r="AI1714" s="673"/>
      <c r="AJ1714" s="673"/>
      <c r="AK1714" s="673"/>
      <c r="AL1714" s="673"/>
      <c r="AM1714" s="673"/>
      <c r="AN1714" s="673"/>
      <c r="AO1714" s="673"/>
      <c r="AP1714" s="673"/>
      <c r="AQ1714" s="673"/>
      <c r="AR1714" s="673"/>
      <c r="AS1714" s="673"/>
      <c r="AT1714" s="696"/>
    </row>
    <row r="1715" ht="15.75" customHeight="1">
      <c r="A1715" s="653"/>
      <c r="B1715" s="654"/>
      <c r="C1715" s="691"/>
      <c r="D1715" s="656"/>
      <c r="E1715" s="657"/>
      <c r="F1715" s="658"/>
      <c r="G1715" s="659"/>
      <c r="H1715" s="660"/>
      <c r="I1715" s="659"/>
      <c r="J1715" s="661"/>
      <c r="K1715" s="692"/>
      <c r="L1715" s="645"/>
      <c r="M1715" s="663"/>
      <c r="N1715" s="665"/>
      <c r="O1715" s="665"/>
      <c r="P1715" s="666"/>
      <c r="Q1715" s="667"/>
      <c r="R1715" s="668"/>
      <c r="S1715" s="693"/>
      <c r="T1715" s="694"/>
      <c r="U1715" s="694"/>
      <c r="V1715" s="693"/>
      <c r="W1715" s="693"/>
      <c r="X1715" s="693"/>
      <c r="Y1715" s="671"/>
      <c r="Z1715" s="673"/>
      <c r="AA1715" s="672"/>
      <c r="AB1715" s="695"/>
      <c r="AC1715" s="673"/>
      <c r="AD1715" s="673"/>
      <c r="AE1715" s="673"/>
      <c r="AF1715" s="673"/>
      <c r="AG1715" s="673"/>
      <c r="AH1715" s="673"/>
      <c r="AI1715" s="673"/>
      <c r="AJ1715" s="673"/>
      <c r="AK1715" s="673"/>
      <c r="AL1715" s="673"/>
      <c r="AM1715" s="673"/>
      <c r="AN1715" s="673"/>
      <c r="AO1715" s="673"/>
      <c r="AP1715" s="673"/>
      <c r="AQ1715" s="673"/>
      <c r="AR1715" s="673"/>
      <c r="AS1715" s="673"/>
      <c r="AT1715" s="696"/>
    </row>
    <row r="1716" ht="15.75" customHeight="1">
      <c r="A1716" s="653"/>
      <c r="B1716" s="654"/>
      <c r="C1716" s="691"/>
      <c r="D1716" s="656"/>
      <c r="E1716" s="657"/>
      <c r="F1716" s="658"/>
      <c r="G1716" s="659"/>
      <c r="H1716" s="660"/>
      <c r="I1716" s="659"/>
      <c r="J1716" s="661"/>
      <c r="K1716" s="692"/>
      <c r="L1716" s="645"/>
      <c r="M1716" s="663"/>
      <c r="N1716" s="665"/>
      <c r="O1716" s="665"/>
      <c r="P1716" s="666"/>
      <c r="Q1716" s="667"/>
      <c r="R1716" s="668"/>
      <c r="S1716" s="693"/>
      <c r="T1716" s="694"/>
      <c r="U1716" s="694"/>
      <c r="V1716" s="693"/>
      <c r="W1716" s="693"/>
      <c r="X1716" s="693"/>
      <c r="Y1716" s="671"/>
      <c r="Z1716" s="673"/>
      <c r="AA1716" s="672"/>
      <c r="AB1716" s="695"/>
      <c r="AC1716" s="673"/>
      <c r="AD1716" s="673"/>
      <c r="AE1716" s="673"/>
      <c r="AF1716" s="673"/>
      <c r="AG1716" s="673"/>
      <c r="AH1716" s="673"/>
      <c r="AI1716" s="673"/>
      <c r="AJ1716" s="673"/>
      <c r="AK1716" s="673"/>
      <c r="AL1716" s="673"/>
      <c r="AM1716" s="673"/>
      <c r="AN1716" s="673"/>
      <c r="AO1716" s="673"/>
      <c r="AP1716" s="673"/>
      <c r="AQ1716" s="673"/>
      <c r="AR1716" s="673"/>
      <c r="AS1716" s="673"/>
      <c r="AT1716" s="696"/>
    </row>
    <row r="1717" ht="15.75" customHeight="1">
      <c r="A1717" s="653"/>
      <c r="B1717" s="654"/>
      <c r="C1717" s="691"/>
      <c r="D1717" s="656"/>
      <c r="E1717" s="657"/>
      <c r="F1717" s="658"/>
      <c r="G1717" s="659"/>
      <c r="H1717" s="660"/>
      <c r="I1717" s="659"/>
      <c r="J1717" s="661"/>
      <c r="K1717" s="692"/>
      <c r="L1717" s="645"/>
      <c r="M1717" s="663"/>
      <c r="N1717" s="665"/>
      <c r="O1717" s="665"/>
      <c r="P1717" s="666"/>
      <c r="Q1717" s="667"/>
      <c r="R1717" s="668"/>
      <c r="S1717" s="693"/>
      <c r="T1717" s="694"/>
      <c r="U1717" s="694"/>
      <c r="V1717" s="693"/>
      <c r="W1717" s="693"/>
      <c r="X1717" s="693"/>
      <c r="Y1717" s="671"/>
      <c r="Z1717" s="673"/>
      <c r="AA1717" s="672"/>
      <c r="AB1717" s="695"/>
      <c r="AC1717" s="673"/>
      <c r="AD1717" s="673"/>
      <c r="AE1717" s="673"/>
      <c r="AF1717" s="673"/>
      <c r="AG1717" s="673"/>
      <c r="AH1717" s="673"/>
      <c r="AI1717" s="673"/>
      <c r="AJ1717" s="673"/>
      <c r="AK1717" s="673"/>
      <c r="AL1717" s="673"/>
      <c r="AM1717" s="673"/>
      <c r="AN1717" s="673"/>
      <c r="AO1717" s="673"/>
      <c r="AP1717" s="673"/>
      <c r="AQ1717" s="673"/>
      <c r="AR1717" s="673"/>
      <c r="AS1717" s="673"/>
      <c r="AT1717" s="696"/>
    </row>
    <row r="1718" ht="15.75" customHeight="1">
      <c r="A1718" s="653"/>
      <c r="B1718" s="654"/>
      <c r="C1718" s="691"/>
      <c r="D1718" s="656"/>
      <c r="E1718" s="657"/>
      <c r="F1718" s="658"/>
      <c r="G1718" s="659"/>
      <c r="H1718" s="660"/>
      <c r="I1718" s="659"/>
      <c r="J1718" s="661"/>
      <c r="K1718" s="692"/>
      <c r="L1718" s="645"/>
      <c r="M1718" s="663"/>
      <c r="N1718" s="665"/>
      <c r="O1718" s="665"/>
      <c r="P1718" s="666"/>
      <c r="Q1718" s="667"/>
      <c r="R1718" s="668"/>
      <c r="S1718" s="693"/>
      <c r="T1718" s="694"/>
      <c r="U1718" s="694"/>
      <c r="V1718" s="693"/>
      <c r="W1718" s="693"/>
      <c r="X1718" s="693"/>
      <c r="Y1718" s="671"/>
      <c r="Z1718" s="673"/>
      <c r="AA1718" s="672"/>
      <c r="AB1718" s="695"/>
      <c r="AC1718" s="673"/>
      <c r="AD1718" s="673"/>
      <c r="AE1718" s="673"/>
      <c r="AF1718" s="673"/>
      <c r="AG1718" s="673"/>
      <c r="AH1718" s="673"/>
      <c r="AI1718" s="673"/>
      <c r="AJ1718" s="673"/>
      <c r="AK1718" s="673"/>
      <c r="AL1718" s="673"/>
      <c r="AM1718" s="673"/>
      <c r="AN1718" s="673"/>
      <c r="AO1718" s="673"/>
      <c r="AP1718" s="673"/>
      <c r="AQ1718" s="673"/>
      <c r="AR1718" s="673"/>
      <c r="AS1718" s="673"/>
      <c r="AT1718" s="696"/>
    </row>
    <row r="1719" ht="15.75" customHeight="1">
      <c r="A1719" s="653"/>
      <c r="B1719" s="654"/>
      <c r="C1719" s="691"/>
      <c r="D1719" s="656"/>
      <c r="E1719" s="657"/>
      <c r="F1719" s="658"/>
      <c r="G1719" s="659"/>
      <c r="H1719" s="660"/>
      <c r="I1719" s="659"/>
      <c r="J1719" s="661"/>
      <c r="K1719" s="692"/>
      <c r="L1719" s="645"/>
      <c r="M1719" s="663"/>
      <c r="N1719" s="665"/>
      <c r="O1719" s="665"/>
      <c r="P1719" s="666"/>
      <c r="Q1719" s="667"/>
      <c r="R1719" s="668"/>
      <c r="S1719" s="693"/>
      <c r="T1719" s="694"/>
      <c r="U1719" s="694"/>
      <c r="V1719" s="693"/>
      <c r="W1719" s="693"/>
      <c r="X1719" s="693"/>
      <c r="Y1719" s="671"/>
      <c r="Z1719" s="673"/>
      <c r="AA1719" s="672"/>
      <c r="AB1719" s="695"/>
      <c r="AC1719" s="673"/>
      <c r="AD1719" s="673"/>
      <c r="AE1719" s="673"/>
      <c r="AF1719" s="673"/>
      <c r="AG1719" s="673"/>
      <c r="AH1719" s="673"/>
      <c r="AI1719" s="673"/>
      <c r="AJ1719" s="673"/>
      <c r="AK1719" s="673"/>
      <c r="AL1719" s="673"/>
      <c r="AM1719" s="673"/>
      <c r="AN1719" s="673"/>
      <c r="AO1719" s="673"/>
      <c r="AP1719" s="673"/>
      <c r="AQ1719" s="673"/>
      <c r="AR1719" s="673"/>
      <c r="AS1719" s="673"/>
      <c r="AT1719" s="696"/>
    </row>
    <row r="1720" ht="15.75" customHeight="1">
      <c r="A1720" s="653"/>
      <c r="B1720" s="654"/>
      <c r="C1720" s="691"/>
      <c r="D1720" s="656"/>
      <c r="E1720" s="657"/>
      <c r="F1720" s="658"/>
      <c r="G1720" s="659"/>
      <c r="H1720" s="660"/>
      <c r="I1720" s="659"/>
      <c r="J1720" s="661"/>
      <c r="K1720" s="692"/>
      <c r="L1720" s="645"/>
      <c r="M1720" s="663"/>
      <c r="N1720" s="665"/>
      <c r="O1720" s="665"/>
      <c r="P1720" s="666"/>
      <c r="Q1720" s="667"/>
      <c r="R1720" s="668"/>
      <c r="S1720" s="693"/>
      <c r="T1720" s="694"/>
      <c r="U1720" s="694"/>
      <c r="V1720" s="693"/>
      <c r="W1720" s="693"/>
      <c r="X1720" s="693"/>
      <c r="Y1720" s="671"/>
      <c r="Z1720" s="673"/>
      <c r="AA1720" s="672"/>
      <c r="AB1720" s="695"/>
      <c r="AC1720" s="673"/>
      <c r="AD1720" s="673"/>
      <c r="AE1720" s="673"/>
      <c r="AF1720" s="673"/>
      <c r="AG1720" s="673"/>
      <c r="AH1720" s="673"/>
      <c r="AI1720" s="673"/>
      <c r="AJ1720" s="673"/>
      <c r="AK1720" s="673"/>
      <c r="AL1720" s="673"/>
      <c r="AM1720" s="673"/>
      <c r="AN1720" s="673"/>
      <c r="AO1720" s="673"/>
      <c r="AP1720" s="673"/>
      <c r="AQ1720" s="673"/>
      <c r="AR1720" s="673"/>
      <c r="AS1720" s="673"/>
      <c r="AT1720" s="696"/>
    </row>
    <row r="1721" ht="15.75" customHeight="1">
      <c r="A1721" s="653"/>
      <c r="B1721" s="654"/>
      <c r="C1721" s="691"/>
      <c r="D1721" s="656"/>
      <c r="E1721" s="657"/>
      <c r="F1721" s="658"/>
      <c r="G1721" s="659"/>
      <c r="H1721" s="660"/>
      <c r="I1721" s="659"/>
      <c r="J1721" s="661"/>
      <c r="K1721" s="692"/>
      <c r="L1721" s="645"/>
      <c r="M1721" s="663"/>
      <c r="N1721" s="665"/>
      <c r="O1721" s="665"/>
      <c r="P1721" s="666"/>
      <c r="Q1721" s="667"/>
      <c r="R1721" s="668"/>
      <c r="S1721" s="693"/>
      <c r="T1721" s="694"/>
      <c r="U1721" s="694"/>
      <c r="V1721" s="693"/>
      <c r="W1721" s="693"/>
      <c r="X1721" s="693"/>
      <c r="Y1721" s="671"/>
      <c r="Z1721" s="673"/>
      <c r="AA1721" s="672"/>
      <c r="AB1721" s="695"/>
      <c r="AC1721" s="673"/>
      <c r="AD1721" s="673"/>
      <c r="AE1721" s="673"/>
      <c r="AF1721" s="673"/>
      <c r="AG1721" s="673"/>
      <c r="AH1721" s="673"/>
      <c r="AI1721" s="673"/>
      <c r="AJ1721" s="673"/>
      <c r="AK1721" s="673"/>
      <c r="AL1721" s="673"/>
      <c r="AM1721" s="673"/>
      <c r="AN1721" s="673"/>
      <c r="AO1721" s="673"/>
      <c r="AP1721" s="673"/>
      <c r="AQ1721" s="673"/>
      <c r="AR1721" s="673"/>
      <c r="AS1721" s="673"/>
      <c r="AT1721" s="696"/>
    </row>
    <row r="1722" ht="15.75" customHeight="1">
      <c r="A1722" s="653"/>
      <c r="B1722" s="654"/>
      <c r="C1722" s="691"/>
      <c r="D1722" s="656"/>
      <c r="E1722" s="657"/>
      <c r="F1722" s="658"/>
      <c r="G1722" s="659"/>
      <c r="H1722" s="660"/>
      <c r="I1722" s="659"/>
      <c r="J1722" s="661"/>
      <c r="K1722" s="692"/>
      <c r="L1722" s="645"/>
      <c r="M1722" s="663"/>
      <c r="N1722" s="665"/>
      <c r="O1722" s="665"/>
      <c r="P1722" s="666"/>
      <c r="Q1722" s="667"/>
      <c r="R1722" s="668"/>
      <c r="S1722" s="693"/>
      <c r="T1722" s="694"/>
      <c r="U1722" s="694"/>
      <c r="V1722" s="693"/>
      <c r="W1722" s="693"/>
      <c r="X1722" s="693"/>
      <c r="Y1722" s="671"/>
      <c r="Z1722" s="673"/>
      <c r="AA1722" s="672"/>
      <c r="AB1722" s="695"/>
      <c r="AC1722" s="673"/>
      <c r="AD1722" s="673"/>
      <c r="AE1722" s="673"/>
      <c r="AF1722" s="673"/>
      <c r="AG1722" s="673"/>
      <c r="AH1722" s="673"/>
      <c r="AI1722" s="673"/>
      <c r="AJ1722" s="673"/>
      <c r="AK1722" s="673"/>
      <c r="AL1722" s="673"/>
      <c r="AM1722" s="673"/>
      <c r="AN1722" s="673"/>
      <c r="AO1722" s="673"/>
      <c r="AP1722" s="673"/>
      <c r="AQ1722" s="673"/>
      <c r="AR1722" s="673"/>
      <c r="AS1722" s="673"/>
      <c r="AT1722" s="696"/>
    </row>
    <row r="1723" ht="15.75" customHeight="1">
      <c r="A1723" s="653"/>
      <c r="B1723" s="654"/>
      <c r="C1723" s="691"/>
      <c r="D1723" s="656"/>
      <c r="E1723" s="657"/>
      <c r="F1723" s="658"/>
      <c r="G1723" s="659"/>
      <c r="H1723" s="660"/>
      <c r="I1723" s="659"/>
      <c r="J1723" s="661"/>
      <c r="K1723" s="692"/>
      <c r="L1723" s="645"/>
      <c r="M1723" s="663"/>
      <c r="N1723" s="665"/>
      <c r="O1723" s="665"/>
      <c r="P1723" s="666"/>
      <c r="Q1723" s="667"/>
      <c r="R1723" s="668"/>
      <c r="S1723" s="693"/>
      <c r="T1723" s="694"/>
      <c r="U1723" s="694"/>
      <c r="V1723" s="693"/>
      <c r="W1723" s="693"/>
      <c r="X1723" s="693"/>
      <c r="Y1723" s="671"/>
      <c r="Z1723" s="673"/>
      <c r="AA1723" s="672"/>
      <c r="AB1723" s="695"/>
      <c r="AC1723" s="673"/>
      <c r="AD1723" s="673"/>
      <c r="AE1723" s="673"/>
      <c r="AF1723" s="673"/>
      <c r="AG1723" s="673"/>
      <c r="AH1723" s="673"/>
      <c r="AI1723" s="673"/>
      <c r="AJ1723" s="673"/>
      <c r="AK1723" s="673"/>
      <c r="AL1723" s="673"/>
      <c r="AM1723" s="673"/>
      <c r="AN1723" s="673"/>
      <c r="AO1723" s="673"/>
      <c r="AP1723" s="673"/>
      <c r="AQ1723" s="673"/>
      <c r="AR1723" s="673"/>
      <c r="AS1723" s="673"/>
      <c r="AT1723" s="696"/>
    </row>
    <row r="1724" ht="15.75" customHeight="1">
      <c r="A1724" s="653"/>
      <c r="B1724" s="654"/>
      <c r="C1724" s="691"/>
      <c r="D1724" s="656"/>
      <c r="E1724" s="657"/>
      <c r="F1724" s="658"/>
      <c r="G1724" s="659"/>
      <c r="H1724" s="660"/>
      <c r="I1724" s="659"/>
      <c r="J1724" s="661"/>
      <c r="K1724" s="692"/>
      <c r="L1724" s="645"/>
      <c r="M1724" s="663"/>
      <c r="N1724" s="665"/>
      <c r="O1724" s="665"/>
      <c r="P1724" s="666"/>
      <c r="Q1724" s="667"/>
      <c r="R1724" s="668"/>
      <c r="S1724" s="693"/>
      <c r="T1724" s="694"/>
      <c r="U1724" s="694"/>
      <c r="V1724" s="693"/>
      <c r="W1724" s="693"/>
      <c r="X1724" s="693"/>
      <c r="Y1724" s="671"/>
      <c r="Z1724" s="673"/>
      <c r="AA1724" s="672"/>
      <c r="AB1724" s="695"/>
      <c r="AC1724" s="673"/>
      <c r="AD1724" s="673"/>
      <c r="AE1724" s="673"/>
      <c r="AF1724" s="673"/>
      <c r="AG1724" s="673"/>
      <c r="AH1724" s="673"/>
      <c r="AI1724" s="673"/>
      <c r="AJ1724" s="673"/>
      <c r="AK1724" s="673"/>
      <c r="AL1724" s="673"/>
      <c r="AM1724" s="673"/>
      <c r="AN1724" s="673"/>
      <c r="AO1724" s="673"/>
      <c r="AP1724" s="673"/>
      <c r="AQ1724" s="673"/>
      <c r="AR1724" s="673"/>
      <c r="AS1724" s="673"/>
      <c r="AT1724" s="696"/>
    </row>
    <row r="1725" ht="15.75" customHeight="1">
      <c r="A1725" s="653"/>
      <c r="B1725" s="654"/>
      <c r="C1725" s="691"/>
      <c r="D1725" s="656"/>
      <c r="E1725" s="657"/>
      <c r="F1725" s="658"/>
      <c r="G1725" s="659"/>
      <c r="H1725" s="660"/>
      <c r="I1725" s="659"/>
      <c r="J1725" s="661"/>
      <c r="K1725" s="692"/>
      <c r="L1725" s="645"/>
      <c r="M1725" s="663"/>
      <c r="N1725" s="665"/>
      <c r="O1725" s="665"/>
      <c r="P1725" s="666"/>
      <c r="Q1725" s="667"/>
      <c r="R1725" s="668"/>
      <c r="S1725" s="693"/>
      <c r="T1725" s="694"/>
      <c r="U1725" s="694"/>
      <c r="V1725" s="693"/>
      <c r="W1725" s="693"/>
      <c r="X1725" s="693"/>
      <c r="Y1725" s="671"/>
      <c r="Z1725" s="673"/>
      <c r="AA1725" s="672"/>
      <c r="AB1725" s="695"/>
      <c r="AC1725" s="673"/>
      <c r="AD1725" s="673"/>
      <c r="AE1725" s="673"/>
      <c r="AF1725" s="673"/>
      <c r="AG1725" s="673"/>
      <c r="AH1725" s="673"/>
      <c r="AI1725" s="673"/>
      <c r="AJ1725" s="673"/>
      <c r="AK1725" s="673"/>
      <c r="AL1725" s="673"/>
      <c r="AM1725" s="673"/>
      <c r="AN1725" s="673"/>
      <c r="AO1725" s="673"/>
      <c r="AP1725" s="673"/>
      <c r="AQ1725" s="673"/>
      <c r="AR1725" s="673"/>
      <c r="AS1725" s="673"/>
      <c r="AT1725" s="696"/>
    </row>
    <row r="1726" ht="15.75" customHeight="1">
      <c r="A1726" s="653"/>
      <c r="B1726" s="654"/>
      <c r="C1726" s="691"/>
      <c r="D1726" s="656"/>
      <c r="E1726" s="657"/>
      <c r="F1726" s="658"/>
      <c r="G1726" s="659"/>
      <c r="H1726" s="660"/>
      <c r="I1726" s="659"/>
      <c r="J1726" s="661"/>
      <c r="K1726" s="692"/>
      <c r="L1726" s="645"/>
      <c r="M1726" s="663"/>
      <c r="N1726" s="665"/>
      <c r="O1726" s="665"/>
      <c r="P1726" s="666"/>
      <c r="Q1726" s="667"/>
      <c r="R1726" s="668"/>
      <c r="S1726" s="693"/>
      <c r="T1726" s="694"/>
      <c r="U1726" s="694"/>
      <c r="V1726" s="693"/>
      <c r="W1726" s="693"/>
      <c r="X1726" s="693"/>
      <c r="Y1726" s="671"/>
      <c r="Z1726" s="673"/>
      <c r="AA1726" s="672"/>
      <c r="AB1726" s="695"/>
      <c r="AC1726" s="673"/>
      <c r="AD1726" s="673"/>
      <c r="AE1726" s="673"/>
      <c r="AF1726" s="673"/>
      <c r="AG1726" s="673"/>
      <c r="AH1726" s="673"/>
      <c r="AI1726" s="673"/>
      <c r="AJ1726" s="673"/>
      <c r="AK1726" s="673"/>
      <c r="AL1726" s="673"/>
      <c r="AM1726" s="673"/>
      <c r="AN1726" s="673"/>
      <c r="AO1726" s="673"/>
      <c r="AP1726" s="673"/>
      <c r="AQ1726" s="673"/>
      <c r="AR1726" s="673"/>
      <c r="AS1726" s="673"/>
      <c r="AT1726" s="696"/>
    </row>
    <row r="1727" ht="15.75" customHeight="1">
      <c r="A1727" s="653"/>
      <c r="B1727" s="654"/>
      <c r="C1727" s="691"/>
      <c r="D1727" s="656"/>
      <c r="E1727" s="657"/>
      <c r="F1727" s="658"/>
      <c r="G1727" s="659"/>
      <c r="H1727" s="660"/>
      <c r="I1727" s="659"/>
      <c r="J1727" s="661"/>
      <c r="K1727" s="692"/>
      <c r="L1727" s="645"/>
      <c r="M1727" s="663"/>
      <c r="N1727" s="665"/>
      <c r="O1727" s="665"/>
      <c r="P1727" s="666"/>
      <c r="Q1727" s="667"/>
      <c r="R1727" s="668"/>
      <c r="S1727" s="693"/>
      <c r="T1727" s="694"/>
      <c r="U1727" s="694"/>
      <c r="V1727" s="693"/>
      <c r="W1727" s="693"/>
      <c r="X1727" s="693"/>
      <c r="Y1727" s="671"/>
      <c r="Z1727" s="673"/>
      <c r="AA1727" s="672"/>
      <c r="AB1727" s="695"/>
      <c r="AC1727" s="673"/>
      <c r="AD1727" s="673"/>
      <c r="AE1727" s="673"/>
      <c r="AF1727" s="673"/>
      <c r="AG1727" s="673"/>
      <c r="AH1727" s="673"/>
      <c r="AI1727" s="673"/>
      <c r="AJ1727" s="673"/>
      <c r="AK1727" s="673"/>
      <c r="AL1727" s="673"/>
      <c r="AM1727" s="673"/>
      <c r="AN1727" s="673"/>
      <c r="AO1727" s="673"/>
      <c r="AP1727" s="673"/>
      <c r="AQ1727" s="673"/>
      <c r="AR1727" s="673"/>
      <c r="AS1727" s="673"/>
      <c r="AT1727" s="696"/>
    </row>
    <row r="1728" ht="15.75" customHeight="1">
      <c r="A1728" s="653"/>
      <c r="B1728" s="654"/>
      <c r="C1728" s="691"/>
      <c r="D1728" s="656"/>
      <c r="E1728" s="657"/>
      <c r="F1728" s="658"/>
      <c r="G1728" s="659"/>
      <c r="H1728" s="660"/>
      <c r="I1728" s="659"/>
      <c r="J1728" s="661"/>
      <c r="K1728" s="692"/>
      <c r="L1728" s="645"/>
      <c r="M1728" s="663"/>
      <c r="N1728" s="665"/>
      <c r="O1728" s="665"/>
      <c r="P1728" s="666"/>
      <c r="Q1728" s="667"/>
      <c r="R1728" s="668"/>
      <c r="S1728" s="693"/>
      <c r="T1728" s="694"/>
      <c r="U1728" s="694"/>
      <c r="V1728" s="693"/>
      <c r="W1728" s="693"/>
      <c r="X1728" s="693"/>
      <c r="Y1728" s="671"/>
      <c r="Z1728" s="673"/>
      <c r="AA1728" s="672"/>
      <c r="AB1728" s="695"/>
      <c r="AC1728" s="673"/>
      <c r="AD1728" s="673"/>
      <c r="AE1728" s="673"/>
      <c r="AF1728" s="673"/>
      <c r="AG1728" s="673"/>
      <c r="AH1728" s="673"/>
      <c r="AI1728" s="673"/>
      <c r="AJ1728" s="673"/>
      <c r="AK1728" s="673"/>
      <c r="AL1728" s="673"/>
      <c r="AM1728" s="673"/>
      <c r="AN1728" s="673"/>
      <c r="AO1728" s="673"/>
      <c r="AP1728" s="673"/>
      <c r="AQ1728" s="673"/>
      <c r="AR1728" s="673"/>
      <c r="AS1728" s="673"/>
      <c r="AT1728" s="696"/>
    </row>
    <row r="1729" ht="15.75" customHeight="1">
      <c r="A1729" s="653"/>
      <c r="B1729" s="654"/>
      <c r="C1729" s="691"/>
      <c r="D1729" s="656"/>
      <c r="E1729" s="657"/>
      <c r="F1729" s="658"/>
      <c r="G1729" s="659"/>
      <c r="H1729" s="660"/>
      <c r="I1729" s="659"/>
      <c r="J1729" s="661"/>
      <c r="K1729" s="692"/>
      <c r="L1729" s="645"/>
      <c r="M1729" s="663"/>
      <c r="N1729" s="665"/>
      <c r="O1729" s="665"/>
      <c r="P1729" s="666"/>
      <c r="Q1729" s="667"/>
      <c r="R1729" s="668"/>
      <c r="S1729" s="693"/>
      <c r="T1729" s="694"/>
      <c r="U1729" s="694"/>
      <c r="V1729" s="693"/>
      <c r="W1729" s="693"/>
      <c r="X1729" s="693"/>
      <c r="Y1729" s="671"/>
      <c r="Z1729" s="673"/>
      <c r="AA1729" s="672"/>
      <c r="AB1729" s="695"/>
      <c r="AC1729" s="673"/>
      <c r="AD1729" s="673"/>
      <c r="AE1729" s="673"/>
      <c r="AF1729" s="673"/>
      <c r="AG1729" s="673"/>
      <c r="AH1729" s="673"/>
      <c r="AI1729" s="673"/>
      <c r="AJ1729" s="673"/>
      <c r="AK1729" s="673"/>
      <c r="AL1729" s="673"/>
      <c r="AM1729" s="673"/>
      <c r="AN1729" s="673"/>
      <c r="AO1729" s="673"/>
      <c r="AP1729" s="673"/>
      <c r="AQ1729" s="673"/>
      <c r="AR1729" s="673"/>
      <c r="AS1729" s="673"/>
      <c r="AT1729" s="696"/>
    </row>
    <row r="1730" ht="15.75" customHeight="1">
      <c r="A1730" s="653"/>
      <c r="B1730" s="654"/>
      <c r="C1730" s="691"/>
      <c r="D1730" s="656"/>
      <c r="E1730" s="657"/>
      <c r="F1730" s="658"/>
      <c r="G1730" s="659"/>
      <c r="H1730" s="660"/>
      <c r="I1730" s="659"/>
      <c r="J1730" s="661"/>
      <c r="K1730" s="692"/>
      <c r="L1730" s="645"/>
      <c r="M1730" s="663"/>
      <c r="N1730" s="665"/>
      <c r="O1730" s="665"/>
      <c r="P1730" s="666"/>
      <c r="Q1730" s="667"/>
      <c r="R1730" s="668"/>
      <c r="S1730" s="693"/>
      <c r="T1730" s="694"/>
      <c r="U1730" s="694"/>
      <c r="V1730" s="693"/>
      <c r="W1730" s="693"/>
      <c r="X1730" s="693"/>
      <c r="Y1730" s="671"/>
      <c r="Z1730" s="673"/>
      <c r="AA1730" s="672"/>
      <c r="AB1730" s="695"/>
      <c r="AC1730" s="673"/>
      <c r="AD1730" s="673"/>
      <c r="AE1730" s="673"/>
      <c r="AF1730" s="673"/>
      <c r="AG1730" s="673"/>
      <c r="AH1730" s="673"/>
      <c r="AI1730" s="673"/>
      <c r="AJ1730" s="673"/>
      <c r="AK1730" s="673"/>
      <c r="AL1730" s="673"/>
      <c r="AM1730" s="673"/>
      <c r="AN1730" s="673"/>
      <c r="AO1730" s="673"/>
      <c r="AP1730" s="673"/>
      <c r="AQ1730" s="673"/>
      <c r="AR1730" s="673"/>
      <c r="AS1730" s="673"/>
      <c r="AT1730" s="696"/>
    </row>
    <row r="1731" ht="15.75" customHeight="1">
      <c r="A1731" s="653"/>
      <c r="B1731" s="654"/>
      <c r="C1731" s="691"/>
      <c r="D1731" s="656"/>
      <c r="E1731" s="657"/>
      <c r="F1731" s="658"/>
      <c r="G1731" s="659"/>
      <c r="H1731" s="660"/>
      <c r="I1731" s="659"/>
      <c r="J1731" s="661"/>
      <c r="K1731" s="692"/>
      <c r="L1731" s="645"/>
      <c r="M1731" s="663"/>
      <c r="N1731" s="665"/>
      <c r="O1731" s="665"/>
      <c r="P1731" s="666"/>
      <c r="Q1731" s="667"/>
      <c r="R1731" s="668"/>
      <c r="S1731" s="693"/>
      <c r="T1731" s="694"/>
      <c r="U1731" s="694"/>
      <c r="V1731" s="693"/>
      <c r="W1731" s="693"/>
      <c r="X1731" s="693"/>
      <c r="Y1731" s="671"/>
      <c r="Z1731" s="673"/>
      <c r="AA1731" s="672"/>
      <c r="AB1731" s="695"/>
      <c r="AC1731" s="673"/>
      <c r="AD1731" s="673"/>
      <c r="AE1731" s="673"/>
      <c r="AF1731" s="673"/>
      <c r="AG1731" s="673"/>
      <c r="AH1731" s="673"/>
      <c r="AI1731" s="673"/>
      <c r="AJ1731" s="673"/>
      <c r="AK1731" s="673"/>
      <c r="AL1731" s="673"/>
      <c r="AM1731" s="673"/>
      <c r="AN1731" s="673"/>
      <c r="AO1731" s="673"/>
      <c r="AP1731" s="673"/>
      <c r="AQ1731" s="673"/>
      <c r="AR1731" s="673"/>
      <c r="AS1731" s="673"/>
      <c r="AT1731" s="696"/>
    </row>
    <row r="1732" ht="15.75" customHeight="1">
      <c r="A1732" s="653"/>
      <c r="B1732" s="654"/>
      <c r="C1732" s="691"/>
      <c r="D1732" s="656"/>
      <c r="E1732" s="657"/>
      <c r="F1732" s="658"/>
      <c r="G1732" s="659"/>
      <c r="H1732" s="660"/>
      <c r="I1732" s="659"/>
      <c r="J1732" s="661"/>
      <c r="K1732" s="692"/>
      <c r="L1732" s="645"/>
      <c r="M1732" s="663"/>
      <c r="N1732" s="665"/>
      <c r="O1732" s="665"/>
      <c r="P1732" s="666"/>
      <c r="Q1732" s="667"/>
      <c r="R1732" s="668"/>
      <c r="S1732" s="693"/>
      <c r="T1732" s="694"/>
      <c r="U1732" s="694"/>
      <c r="V1732" s="693"/>
      <c r="W1732" s="693"/>
      <c r="X1732" s="693"/>
      <c r="Y1732" s="671"/>
      <c r="Z1732" s="673"/>
      <c r="AA1732" s="672"/>
      <c r="AB1732" s="695"/>
      <c r="AC1732" s="673"/>
      <c r="AD1732" s="673"/>
      <c r="AE1732" s="673"/>
      <c r="AF1732" s="673"/>
      <c r="AG1732" s="673"/>
      <c r="AH1732" s="673"/>
      <c r="AI1732" s="673"/>
      <c r="AJ1732" s="673"/>
      <c r="AK1732" s="673"/>
      <c r="AL1732" s="673"/>
      <c r="AM1732" s="673"/>
      <c r="AN1732" s="673"/>
      <c r="AO1732" s="673"/>
      <c r="AP1732" s="673"/>
      <c r="AQ1732" s="673"/>
      <c r="AR1732" s="673"/>
      <c r="AS1732" s="673"/>
      <c r="AT1732" s="696"/>
    </row>
    <row r="1733" ht="15.75" customHeight="1">
      <c r="A1733" s="653"/>
      <c r="B1733" s="654"/>
      <c r="C1733" s="691"/>
      <c r="D1733" s="656"/>
      <c r="E1733" s="657"/>
      <c r="F1733" s="658"/>
      <c r="G1733" s="659"/>
      <c r="H1733" s="660"/>
      <c r="I1733" s="659"/>
      <c r="J1733" s="661"/>
      <c r="K1733" s="692"/>
      <c r="L1733" s="645"/>
      <c r="M1733" s="663"/>
      <c r="N1733" s="665"/>
      <c r="O1733" s="665"/>
      <c r="P1733" s="666"/>
      <c r="Q1733" s="667"/>
      <c r="R1733" s="668"/>
      <c r="S1733" s="693"/>
      <c r="T1733" s="694"/>
      <c r="U1733" s="694"/>
      <c r="V1733" s="693"/>
      <c r="W1733" s="693"/>
      <c r="X1733" s="693"/>
      <c r="Y1733" s="671"/>
      <c r="Z1733" s="673"/>
      <c r="AA1733" s="672"/>
      <c r="AB1733" s="695"/>
      <c r="AC1733" s="673"/>
      <c r="AD1733" s="673"/>
      <c r="AE1733" s="673"/>
      <c r="AF1733" s="673"/>
      <c r="AG1733" s="673"/>
      <c r="AH1733" s="673"/>
      <c r="AI1733" s="673"/>
      <c r="AJ1733" s="673"/>
      <c r="AK1733" s="673"/>
      <c r="AL1733" s="673"/>
      <c r="AM1733" s="673"/>
      <c r="AN1733" s="673"/>
      <c r="AO1733" s="673"/>
      <c r="AP1733" s="673"/>
      <c r="AQ1733" s="673"/>
      <c r="AR1733" s="673"/>
      <c r="AS1733" s="673"/>
      <c r="AT1733" s="696"/>
    </row>
    <row r="1734" ht="15.75" customHeight="1">
      <c r="A1734" s="653"/>
      <c r="B1734" s="654"/>
      <c r="C1734" s="691"/>
      <c r="D1734" s="656"/>
      <c r="E1734" s="657"/>
      <c r="F1734" s="658"/>
      <c r="G1734" s="659"/>
      <c r="H1734" s="660"/>
      <c r="I1734" s="659"/>
      <c r="J1734" s="661"/>
      <c r="K1734" s="692"/>
      <c r="L1734" s="645"/>
      <c r="M1734" s="663"/>
      <c r="N1734" s="665"/>
      <c r="O1734" s="665"/>
      <c r="P1734" s="666"/>
      <c r="Q1734" s="667"/>
      <c r="R1734" s="668"/>
      <c r="S1734" s="693"/>
      <c r="T1734" s="694"/>
      <c r="U1734" s="694"/>
      <c r="V1734" s="693"/>
      <c r="W1734" s="693"/>
      <c r="X1734" s="693"/>
      <c r="Y1734" s="671"/>
      <c r="Z1734" s="673"/>
      <c r="AA1734" s="672"/>
      <c r="AB1734" s="695"/>
      <c r="AC1734" s="673"/>
      <c r="AD1734" s="673"/>
      <c r="AE1734" s="673"/>
      <c r="AF1734" s="673"/>
      <c r="AG1734" s="673"/>
      <c r="AH1734" s="673"/>
      <c r="AI1734" s="673"/>
      <c r="AJ1734" s="673"/>
      <c r="AK1734" s="673"/>
      <c r="AL1734" s="673"/>
      <c r="AM1734" s="673"/>
      <c r="AN1734" s="673"/>
      <c r="AO1734" s="673"/>
      <c r="AP1734" s="673"/>
      <c r="AQ1734" s="673"/>
      <c r="AR1734" s="673"/>
      <c r="AS1734" s="673"/>
      <c r="AT1734" s="696"/>
    </row>
    <row r="1735" ht="15.75" customHeight="1">
      <c r="A1735" s="653"/>
      <c r="B1735" s="654"/>
      <c r="C1735" s="691"/>
      <c r="D1735" s="656"/>
      <c r="E1735" s="657"/>
      <c r="F1735" s="658"/>
      <c r="G1735" s="659"/>
      <c r="H1735" s="660"/>
      <c r="I1735" s="659"/>
      <c r="J1735" s="661"/>
      <c r="K1735" s="692"/>
      <c r="L1735" s="645"/>
      <c r="M1735" s="663"/>
      <c r="N1735" s="665"/>
      <c r="O1735" s="665"/>
      <c r="P1735" s="666"/>
      <c r="Q1735" s="667"/>
      <c r="R1735" s="668"/>
      <c r="S1735" s="693"/>
      <c r="T1735" s="694"/>
      <c r="U1735" s="694"/>
      <c r="V1735" s="693"/>
      <c r="W1735" s="693"/>
      <c r="X1735" s="693"/>
      <c r="Y1735" s="671"/>
      <c r="Z1735" s="673"/>
      <c r="AA1735" s="672"/>
      <c r="AB1735" s="695"/>
      <c r="AC1735" s="673"/>
      <c r="AD1735" s="673"/>
      <c r="AE1735" s="673"/>
      <c r="AF1735" s="673"/>
      <c r="AG1735" s="673"/>
      <c r="AH1735" s="673"/>
      <c r="AI1735" s="673"/>
      <c r="AJ1735" s="673"/>
      <c r="AK1735" s="673"/>
      <c r="AL1735" s="673"/>
      <c r="AM1735" s="673"/>
      <c r="AN1735" s="673"/>
      <c r="AO1735" s="673"/>
      <c r="AP1735" s="673"/>
      <c r="AQ1735" s="673"/>
      <c r="AR1735" s="673"/>
      <c r="AS1735" s="673"/>
      <c r="AT1735" s="696"/>
    </row>
    <row r="1736" ht="15.75" customHeight="1">
      <c r="A1736" s="653"/>
      <c r="B1736" s="654"/>
      <c r="C1736" s="691"/>
      <c r="D1736" s="656"/>
      <c r="E1736" s="657"/>
      <c r="F1736" s="658"/>
      <c r="G1736" s="659"/>
      <c r="H1736" s="660"/>
      <c r="I1736" s="659"/>
      <c r="J1736" s="661"/>
      <c r="K1736" s="692"/>
      <c r="L1736" s="645"/>
      <c r="M1736" s="663"/>
      <c r="N1736" s="665"/>
      <c r="O1736" s="665"/>
      <c r="P1736" s="666"/>
      <c r="Q1736" s="667"/>
      <c r="R1736" s="668"/>
      <c r="S1736" s="693"/>
      <c r="T1736" s="694"/>
      <c r="U1736" s="694"/>
      <c r="V1736" s="693"/>
      <c r="W1736" s="693"/>
      <c r="X1736" s="693"/>
      <c r="Y1736" s="671"/>
      <c r="Z1736" s="673"/>
      <c r="AA1736" s="672"/>
      <c r="AB1736" s="695"/>
      <c r="AC1736" s="673"/>
      <c r="AD1736" s="673"/>
      <c r="AE1736" s="673"/>
      <c r="AF1736" s="673"/>
      <c r="AG1736" s="673"/>
      <c r="AH1736" s="673"/>
      <c r="AI1736" s="673"/>
      <c r="AJ1736" s="673"/>
      <c r="AK1736" s="673"/>
      <c r="AL1736" s="673"/>
      <c r="AM1736" s="673"/>
      <c r="AN1736" s="673"/>
      <c r="AO1736" s="673"/>
      <c r="AP1736" s="673"/>
      <c r="AQ1736" s="673"/>
      <c r="AR1736" s="673"/>
      <c r="AS1736" s="673"/>
      <c r="AT1736" s="696"/>
    </row>
    <row r="1737" ht="15.75" customHeight="1">
      <c r="A1737" s="653"/>
      <c r="B1737" s="654"/>
      <c r="C1737" s="691"/>
      <c r="D1737" s="656"/>
      <c r="E1737" s="657"/>
      <c r="F1737" s="658"/>
      <c r="G1737" s="659"/>
      <c r="H1737" s="660"/>
      <c r="I1737" s="659"/>
      <c r="J1737" s="661"/>
      <c r="K1737" s="692"/>
      <c r="L1737" s="645"/>
      <c r="M1737" s="663"/>
      <c r="N1737" s="665"/>
      <c r="O1737" s="665"/>
      <c r="P1737" s="666"/>
      <c r="Q1737" s="667"/>
      <c r="R1737" s="668"/>
      <c r="S1737" s="693"/>
      <c r="T1737" s="694"/>
      <c r="U1737" s="694"/>
      <c r="V1737" s="693"/>
      <c r="W1737" s="693"/>
      <c r="X1737" s="693"/>
      <c r="Y1737" s="671"/>
      <c r="Z1737" s="673"/>
      <c r="AA1737" s="672"/>
      <c r="AB1737" s="695"/>
      <c r="AC1737" s="673"/>
      <c r="AD1737" s="673"/>
      <c r="AE1737" s="673"/>
      <c r="AF1737" s="673"/>
      <c r="AG1737" s="673"/>
      <c r="AH1737" s="673"/>
      <c r="AI1737" s="673"/>
      <c r="AJ1737" s="673"/>
      <c r="AK1737" s="673"/>
      <c r="AL1737" s="673"/>
      <c r="AM1737" s="673"/>
      <c r="AN1737" s="673"/>
      <c r="AO1737" s="673"/>
      <c r="AP1737" s="673"/>
      <c r="AQ1737" s="673"/>
      <c r="AR1737" s="673"/>
      <c r="AS1737" s="673"/>
      <c r="AT1737" s="696"/>
    </row>
    <row r="1738" ht="15.75" customHeight="1">
      <c r="A1738" s="653"/>
      <c r="B1738" s="654"/>
      <c r="C1738" s="691"/>
      <c r="D1738" s="656"/>
      <c r="E1738" s="657"/>
      <c r="F1738" s="658"/>
      <c r="G1738" s="659"/>
      <c r="H1738" s="660"/>
      <c r="I1738" s="659"/>
      <c r="J1738" s="661"/>
      <c r="K1738" s="692"/>
      <c r="L1738" s="645"/>
      <c r="M1738" s="663"/>
      <c r="N1738" s="665"/>
      <c r="O1738" s="665"/>
      <c r="P1738" s="666"/>
      <c r="Q1738" s="667"/>
      <c r="R1738" s="668"/>
      <c r="S1738" s="693"/>
      <c r="T1738" s="694"/>
      <c r="U1738" s="694"/>
      <c r="V1738" s="693"/>
      <c r="W1738" s="693"/>
      <c r="X1738" s="693"/>
      <c r="Y1738" s="671"/>
      <c r="Z1738" s="673"/>
      <c r="AA1738" s="672"/>
      <c r="AB1738" s="695"/>
      <c r="AC1738" s="673"/>
      <c r="AD1738" s="673"/>
      <c r="AE1738" s="673"/>
      <c r="AF1738" s="673"/>
      <c r="AG1738" s="673"/>
      <c r="AH1738" s="673"/>
      <c r="AI1738" s="673"/>
      <c r="AJ1738" s="673"/>
      <c r="AK1738" s="673"/>
      <c r="AL1738" s="673"/>
      <c r="AM1738" s="673"/>
      <c r="AN1738" s="673"/>
      <c r="AO1738" s="673"/>
      <c r="AP1738" s="673"/>
      <c r="AQ1738" s="673"/>
      <c r="AR1738" s="673"/>
      <c r="AS1738" s="673"/>
      <c r="AT1738" s="696"/>
    </row>
    <row r="1739" ht="15.75" customHeight="1">
      <c r="A1739" s="653"/>
      <c r="B1739" s="654"/>
      <c r="C1739" s="691"/>
      <c r="D1739" s="656"/>
      <c r="E1739" s="657"/>
      <c r="F1739" s="658"/>
      <c r="G1739" s="659"/>
      <c r="H1739" s="660"/>
      <c r="I1739" s="659"/>
      <c r="J1739" s="661"/>
      <c r="K1739" s="692"/>
      <c r="L1739" s="645"/>
      <c r="M1739" s="663"/>
      <c r="N1739" s="665"/>
      <c r="O1739" s="665"/>
      <c r="P1739" s="666"/>
      <c r="Q1739" s="667"/>
      <c r="R1739" s="668"/>
      <c r="S1739" s="693"/>
      <c r="T1739" s="694"/>
      <c r="U1739" s="694"/>
      <c r="V1739" s="693"/>
      <c r="W1739" s="693"/>
      <c r="X1739" s="693"/>
      <c r="Y1739" s="671"/>
      <c r="Z1739" s="673"/>
      <c r="AA1739" s="672"/>
      <c r="AB1739" s="695"/>
      <c r="AC1739" s="673"/>
      <c r="AD1739" s="673"/>
      <c r="AE1739" s="673"/>
      <c r="AF1739" s="673"/>
      <c r="AG1739" s="673"/>
      <c r="AH1739" s="673"/>
      <c r="AI1739" s="673"/>
      <c r="AJ1739" s="673"/>
      <c r="AK1739" s="673"/>
      <c r="AL1739" s="673"/>
      <c r="AM1739" s="673"/>
      <c r="AN1739" s="673"/>
      <c r="AO1739" s="673"/>
      <c r="AP1739" s="673"/>
      <c r="AQ1739" s="673"/>
      <c r="AR1739" s="673"/>
      <c r="AS1739" s="673"/>
      <c r="AT1739" s="696"/>
    </row>
    <row r="1740" ht="15.75" customHeight="1">
      <c r="A1740" s="653"/>
      <c r="B1740" s="654"/>
      <c r="C1740" s="691"/>
      <c r="D1740" s="656"/>
      <c r="E1740" s="657"/>
      <c r="F1740" s="658"/>
      <c r="G1740" s="659"/>
      <c r="H1740" s="660"/>
      <c r="I1740" s="659"/>
      <c r="J1740" s="661"/>
      <c r="K1740" s="692"/>
      <c r="L1740" s="645"/>
      <c r="M1740" s="663"/>
      <c r="N1740" s="665"/>
      <c r="O1740" s="665"/>
      <c r="P1740" s="666"/>
      <c r="Q1740" s="667"/>
      <c r="R1740" s="668"/>
      <c r="S1740" s="693"/>
      <c r="T1740" s="694"/>
      <c r="U1740" s="694"/>
      <c r="V1740" s="693"/>
      <c r="W1740" s="693"/>
      <c r="X1740" s="693"/>
      <c r="Y1740" s="671"/>
      <c r="Z1740" s="673"/>
      <c r="AA1740" s="672"/>
      <c r="AB1740" s="695"/>
      <c r="AC1740" s="673"/>
      <c r="AD1740" s="673"/>
      <c r="AE1740" s="673"/>
      <c r="AF1740" s="673"/>
      <c r="AG1740" s="673"/>
      <c r="AH1740" s="673"/>
      <c r="AI1740" s="673"/>
      <c r="AJ1740" s="673"/>
      <c r="AK1740" s="673"/>
      <c r="AL1740" s="673"/>
      <c r="AM1740" s="673"/>
      <c r="AN1740" s="673"/>
      <c r="AO1740" s="673"/>
      <c r="AP1740" s="673"/>
      <c r="AQ1740" s="673"/>
      <c r="AR1740" s="673"/>
      <c r="AS1740" s="673"/>
      <c r="AT1740" s="696"/>
    </row>
    <row r="1741" ht="15.75" customHeight="1">
      <c r="A1741" s="653"/>
      <c r="B1741" s="654"/>
      <c r="C1741" s="691"/>
      <c r="D1741" s="656"/>
      <c r="E1741" s="657"/>
      <c r="F1741" s="658"/>
      <c r="G1741" s="659"/>
      <c r="H1741" s="660"/>
      <c r="I1741" s="659"/>
      <c r="J1741" s="661"/>
      <c r="K1741" s="692"/>
      <c r="L1741" s="645"/>
      <c r="M1741" s="663"/>
      <c r="N1741" s="665"/>
      <c r="O1741" s="665"/>
      <c r="P1741" s="666"/>
      <c r="Q1741" s="667"/>
      <c r="R1741" s="668"/>
      <c r="S1741" s="693"/>
      <c r="T1741" s="694"/>
      <c r="U1741" s="694"/>
      <c r="V1741" s="693"/>
      <c r="W1741" s="693"/>
      <c r="X1741" s="693"/>
      <c r="Y1741" s="671"/>
      <c r="Z1741" s="673"/>
      <c r="AA1741" s="672"/>
      <c r="AB1741" s="695"/>
      <c r="AC1741" s="673"/>
      <c r="AD1741" s="673"/>
      <c r="AE1741" s="673"/>
      <c r="AF1741" s="673"/>
      <c r="AG1741" s="673"/>
      <c r="AH1741" s="673"/>
      <c r="AI1741" s="673"/>
      <c r="AJ1741" s="673"/>
      <c r="AK1741" s="673"/>
      <c r="AL1741" s="673"/>
      <c r="AM1741" s="673"/>
      <c r="AN1741" s="673"/>
      <c r="AO1741" s="673"/>
      <c r="AP1741" s="673"/>
      <c r="AQ1741" s="673"/>
      <c r="AR1741" s="673"/>
      <c r="AS1741" s="673"/>
      <c r="AT1741" s="696"/>
    </row>
    <row r="1742" ht="15.75" customHeight="1">
      <c r="A1742" s="653"/>
      <c r="B1742" s="654"/>
      <c r="C1742" s="691"/>
      <c r="D1742" s="656"/>
      <c r="E1742" s="657"/>
      <c r="F1742" s="658"/>
      <c r="G1742" s="659"/>
      <c r="H1742" s="660"/>
      <c r="I1742" s="659"/>
      <c r="J1742" s="661"/>
      <c r="K1742" s="692"/>
      <c r="L1742" s="645"/>
      <c r="M1742" s="663"/>
      <c r="N1742" s="665"/>
      <c r="O1742" s="665"/>
      <c r="P1742" s="666"/>
      <c r="Q1742" s="667"/>
      <c r="R1742" s="668"/>
      <c r="S1742" s="693"/>
      <c r="T1742" s="694"/>
      <c r="U1742" s="694"/>
      <c r="V1742" s="693"/>
      <c r="W1742" s="693"/>
      <c r="X1742" s="693"/>
      <c r="Y1742" s="671"/>
      <c r="Z1742" s="673"/>
      <c r="AA1742" s="672"/>
      <c r="AB1742" s="695"/>
      <c r="AC1742" s="673"/>
      <c r="AD1742" s="673"/>
      <c r="AE1742" s="673"/>
      <c r="AF1742" s="673"/>
      <c r="AG1742" s="673"/>
      <c r="AH1742" s="673"/>
      <c r="AI1742" s="673"/>
      <c r="AJ1742" s="673"/>
      <c r="AK1742" s="673"/>
      <c r="AL1742" s="673"/>
      <c r="AM1742" s="673"/>
      <c r="AN1742" s="673"/>
      <c r="AO1742" s="673"/>
      <c r="AP1742" s="673"/>
      <c r="AQ1742" s="673"/>
      <c r="AR1742" s="673"/>
      <c r="AS1742" s="673"/>
      <c r="AT1742" s="696"/>
    </row>
    <row r="1743" ht="15.75" customHeight="1">
      <c r="A1743" s="653"/>
      <c r="B1743" s="654"/>
      <c r="C1743" s="691"/>
      <c r="D1743" s="656"/>
      <c r="E1743" s="657"/>
      <c r="F1743" s="658"/>
      <c r="G1743" s="659"/>
      <c r="H1743" s="660"/>
      <c r="I1743" s="659"/>
      <c r="J1743" s="661"/>
      <c r="K1743" s="692"/>
      <c r="L1743" s="645"/>
      <c r="M1743" s="663"/>
      <c r="N1743" s="665"/>
      <c r="O1743" s="665"/>
      <c r="P1743" s="666"/>
      <c r="Q1743" s="667"/>
      <c r="R1743" s="668"/>
      <c r="S1743" s="693"/>
      <c r="T1743" s="694"/>
      <c r="U1743" s="694"/>
      <c r="V1743" s="693"/>
      <c r="W1743" s="693"/>
      <c r="X1743" s="693"/>
      <c r="Y1743" s="671"/>
      <c r="Z1743" s="673"/>
      <c r="AA1743" s="672"/>
      <c r="AB1743" s="695"/>
      <c r="AC1743" s="673"/>
      <c r="AD1743" s="673"/>
      <c r="AE1743" s="673"/>
      <c r="AF1743" s="673"/>
      <c r="AG1743" s="673"/>
      <c r="AH1743" s="673"/>
      <c r="AI1743" s="673"/>
      <c r="AJ1743" s="673"/>
      <c r="AK1743" s="673"/>
      <c r="AL1743" s="673"/>
      <c r="AM1743" s="673"/>
      <c r="AN1743" s="673"/>
      <c r="AO1743" s="673"/>
      <c r="AP1743" s="673"/>
      <c r="AQ1743" s="673"/>
      <c r="AR1743" s="673"/>
      <c r="AS1743" s="673"/>
      <c r="AT1743" s="696"/>
    </row>
    <row r="1744" ht="15.75" customHeight="1">
      <c r="A1744" s="653"/>
      <c r="B1744" s="654"/>
      <c r="C1744" s="691"/>
      <c r="D1744" s="656"/>
      <c r="E1744" s="657"/>
      <c r="F1744" s="658"/>
      <c r="G1744" s="659"/>
      <c r="H1744" s="660"/>
      <c r="I1744" s="659"/>
      <c r="J1744" s="661"/>
      <c r="K1744" s="692"/>
      <c r="L1744" s="645"/>
      <c r="M1744" s="663"/>
      <c r="N1744" s="665"/>
      <c r="O1744" s="665"/>
      <c r="P1744" s="666"/>
      <c r="Q1744" s="667"/>
      <c r="R1744" s="668"/>
      <c r="S1744" s="693"/>
      <c r="T1744" s="694"/>
      <c r="U1744" s="694"/>
      <c r="V1744" s="693"/>
      <c r="W1744" s="693"/>
      <c r="X1744" s="693"/>
      <c r="Y1744" s="671"/>
      <c r="Z1744" s="673"/>
      <c r="AA1744" s="672"/>
      <c r="AB1744" s="695"/>
      <c r="AC1744" s="673"/>
      <c r="AD1744" s="673"/>
      <c r="AE1744" s="673"/>
      <c r="AF1744" s="673"/>
      <c r="AG1744" s="673"/>
      <c r="AH1744" s="673"/>
      <c r="AI1744" s="673"/>
      <c r="AJ1744" s="673"/>
      <c r="AK1744" s="673"/>
      <c r="AL1744" s="673"/>
      <c r="AM1744" s="673"/>
      <c r="AN1744" s="673"/>
      <c r="AO1744" s="673"/>
      <c r="AP1744" s="673"/>
      <c r="AQ1744" s="673"/>
      <c r="AR1744" s="673"/>
      <c r="AS1744" s="673"/>
      <c r="AT1744" s="696"/>
    </row>
    <row r="1745" ht="15.75" customHeight="1">
      <c r="A1745" s="653"/>
      <c r="B1745" s="654"/>
      <c r="C1745" s="691"/>
      <c r="D1745" s="656"/>
      <c r="E1745" s="657"/>
      <c r="F1745" s="658"/>
      <c r="G1745" s="659"/>
      <c r="H1745" s="660"/>
      <c r="I1745" s="659"/>
      <c r="J1745" s="661"/>
      <c r="K1745" s="692"/>
      <c r="L1745" s="645"/>
      <c r="M1745" s="663"/>
      <c r="N1745" s="665"/>
      <c r="O1745" s="665"/>
      <c r="P1745" s="666"/>
      <c r="Q1745" s="667"/>
      <c r="R1745" s="668"/>
      <c r="S1745" s="693"/>
      <c r="T1745" s="694"/>
      <c r="U1745" s="694"/>
      <c r="V1745" s="693"/>
      <c r="W1745" s="693"/>
      <c r="X1745" s="693"/>
      <c r="Y1745" s="671"/>
      <c r="Z1745" s="673"/>
      <c r="AA1745" s="672"/>
      <c r="AB1745" s="695"/>
      <c r="AC1745" s="673"/>
      <c r="AD1745" s="673"/>
      <c r="AE1745" s="673"/>
      <c r="AF1745" s="673"/>
      <c r="AG1745" s="673"/>
      <c r="AH1745" s="673"/>
      <c r="AI1745" s="673"/>
      <c r="AJ1745" s="673"/>
      <c r="AK1745" s="673"/>
      <c r="AL1745" s="673"/>
      <c r="AM1745" s="673"/>
      <c r="AN1745" s="673"/>
      <c r="AO1745" s="673"/>
      <c r="AP1745" s="673"/>
      <c r="AQ1745" s="673"/>
      <c r="AR1745" s="673"/>
      <c r="AS1745" s="673"/>
      <c r="AT1745" s="696"/>
    </row>
    <row r="1746" ht="15.75" customHeight="1">
      <c r="A1746" s="653"/>
      <c r="B1746" s="654"/>
      <c r="C1746" s="691"/>
      <c r="D1746" s="656"/>
      <c r="E1746" s="657"/>
      <c r="F1746" s="658"/>
      <c r="G1746" s="659"/>
      <c r="H1746" s="660"/>
      <c r="I1746" s="659"/>
      <c r="J1746" s="661"/>
      <c r="K1746" s="692"/>
      <c r="L1746" s="645"/>
      <c r="M1746" s="663"/>
      <c r="N1746" s="665"/>
      <c r="O1746" s="665"/>
      <c r="P1746" s="666"/>
      <c r="Q1746" s="667"/>
      <c r="R1746" s="668"/>
      <c r="S1746" s="693"/>
      <c r="T1746" s="694"/>
      <c r="U1746" s="694"/>
      <c r="V1746" s="693"/>
      <c r="W1746" s="693"/>
      <c r="X1746" s="693"/>
      <c r="Y1746" s="671"/>
      <c r="Z1746" s="673"/>
      <c r="AA1746" s="672"/>
      <c r="AB1746" s="695"/>
      <c r="AC1746" s="673"/>
      <c r="AD1746" s="673"/>
      <c r="AE1746" s="673"/>
      <c r="AF1746" s="673"/>
      <c r="AG1746" s="673"/>
      <c r="AH1746" s="673"/>
      <c r="AI1746" s="673"/>
      <c r="AJ1746" s="673"/>
      <c r="AK1746" s="673"/>
      <c r="AL1746" s="673"/>
      <c r="AM1746" s="673"/>
      <c r="AN1746" s="673"/>
      <c r="AO1746" s="673"/>
      <c r="AP1746" s="673"/>
      <c r="AQ1746" s="673"/>
      <c r="AR1746" s="673"/>
      <c r="AS1746" s="673"/>
      <c r="AT1746" s="696"/>
    </row>
    <row r="1747" ht="15.75" customHeight="1">
      <c r="A1747" s="653"/>
      <c r="B1747" s="654"/>
      <c r="C1747" s="691"/>
      <c r="D1747" s="656"/>
      <c r="E1747" s="657"/>
      <c r="F1747" s="658"/>
      <c r="G1747" s="659"/>
      <c r="H1747" s="660"/>
      <c r="I1747" s="659"/>
      <c r="J1747" s="661"/>
      <c r="K1747" s="692"/>
      <c r="L1747" s="645"/>
      <c r="M1747" s="663"/>
      <c r="N1747" s="665"/>
      <c r="O1747" s="665"/>
      <c r="P1747" s="666"/>
      <c r="Q1747" s="667"/>
      <c r="R1747" s="668"/>
      <c r="S1747" s="693"/>
      <c r="T1747" s="694"/>
      <c r="U1747" s="694"/>
      <c r="V1747" s="693"/>
      <c r="W1747" s="693"/>
      <c r="X1747" s="693"/>
      <c r="Y1747" s="671"/>
      <c r="Z1747" s="673"/>
      <c r="AA1747" s="672"/>
      <c r="AB1747" s="695"/>
      <c r="AC1747" s="673"/>
      <c r="AD1747" s="673"/>
      <c r="AE1747" s="673"/>
      <c r="AF1747" s="673"/>
      <c r="AG1747" s="673"/>
      <c r="AH1747" s="673"/>
      <c r="AI1747" s="673"/>
      <c r="AJ1747" s="673"/>
      <c r="AK1747" s="673"/>
      <c r="AL1747" s="673"/>
      <c r="AM1747" s="673"/>
      <c r="AN1747" s="673"/>
      <c r="AO1747" s="673"/>
      <c r="AP1747" s="673"/>
      <c r="AQ1747" s="673"/>
      <c r="AR1747" s="673"/>
      <c r="AS1747" s="673"/>
      <c r="AT1747" s="696"/>
    </row>
    <row r="1748" ht="15.75" customHeight="1">
      <c r="A1748" s="653"/>
      <c r="B1748" s="654"/>
      <c r="C1748" s="691"/>
      <c r="D1748" s="656"/>
      <c r="E1748" s="657"/>
      <c r="F1748" s="658"/>
      <c r="G1748" s="659"/>
      <c r="H1748" s="660"/>
      <c r="I1748" s="659"/>
      <c r="J1748" s="661"/>
      <c r="K1748" s="692"/>
      <c r="L1748" s="645"/>
      <c r="M1748" s="663"/>
      <c r="N1748" s="665"/>
      <c r="O1748" s="665"/>
      <c r="P1748" s="666"/>
      <c r="Q1748" s="667"/>
      <c r="R1748" s="668"/>
      <c r="S1748" s="693"/>
      <c r="T1748" s="694"/>
      <c r="U1748" s="694"/>
      <c r="V1748" s="693"/>
      <c r="W1748" s="693"/>
      <c r="X1748" s="693"/>
      <c r="Y1748" s="671"/>
      <c r="Z1748" s="673"/>
      <c r="AA1748" s="672"/>
      <c r="AB1748" s="695"/>
      <c r="AC1748" s="673"/>
      <c r="AD1748" s="673"/>
      <c r="AE1748" s="673"/>
      <c r="AF1748" s="673"/>
      <c r="AG1748" s="673"/>
      <c r="AH1748" s="673"/>
      <c r="AI1748" s="673"/>
      <c r="AJ1748" s="673"/>
      <c r="AK1748" s="673"/>
      <c r="AL1748" s="673"/>
      <c r="AM1748" s="673"/>
      <c r="AN1748" s="673"/>
      <c r="AO1748" s="673"/>
      <c r="AP1748" s="673"/>
      <c r="AQ1748" s="673"/>
      <c r="AR1748" s="673"/>
      <c r="AS1748" s="673"/>
      <c r="AT1748" s="696"/>
    </row>
    <row r="1749" ht="15.75" customHeight="1">
      <c r="A1749" s="653"/>
      <c r="B1749" s="654"/>
      <c r="C1749" s="691"/>
      <c r="D1749" s="656"/>
      <c r="E1749" s="657"/>
      <c r="F1749" s="658"/>
      <c r="G1749" s="659"/>
      <c r="H1749" s="660"/>
      <c r="I1749" s="659"/>
      <c r="J1749" s="661"/>
      <c r="K1749" s="692"/>
      <c r="L1749" s="645"/>
      <c r="M1749" s="663"/>
      <c r="N1749" s="665"/>
      <c r="O1749" s="665"/>
      <c r="P1749" s="666"/>
      <c r="Q1749" s="667"/>
      <c r="R1749" s="668"/>
      <c r="S1749" s="693"/>
      <c r="T1749" s="694"/>
      <c r="U1749" s="694"/>
      <c r="V1749" s="693"/>
      <c r="W1749" s="693"/>
      <c r="X1749" s="693"/>
      <c r="Y1749" s="671"/>
      <c r="Z1749" s="673"/>
      <c r="AA1749" s="672"/>
      <c r="AB1749" s="695"/>
      <c r="AC1749" s="673"/>
      <c r="AD1749" s="673"/>
      <c r="AE1749" s="673"/>
      <c r="AF1749" s="673"/>
      <c r="AG1749" s="673"/>
      <c r="AH1749" s="673"/>
      <c r="AI1749" s="673"/>
      <c r="AJ1749" s="673"/>
      <c r="AK1749" s="673"/>
      <c r="AL1749" s="673"/>
      <c r="AM1749" s="673"/>
      <c r="AN1749" s="673"/>
      <c r="AO1749" s="673"/>
      <c r="AP1749" s="673"/>
      <c r="AQ1749" s="673"/>
      <c r="AR1749" s="673"/>
      <c r="AS1749" s="673"/>
      <c r="AT1749" s="696"/>
    </row>
    <row r="1750" ht="15.75" customHeight="1">
      <c r="A1750" s="653"/>
      <c r="B1750" s="654"/>
      <c r="C1750" s="691"/>
      <c r="D1750" s="656"/>
      <c r="E1750" s="657"/>
      <c r="F1750" s="658"/>
      <c r="G1750" s="659"/>
      <c r="H1750" s="660"/>
      <c r="I1750" s="659"/>
      <c r="J1750" s="661"/>
      <c r="K1750" s="692"/>
      <c r="L1750" s="645"/>
      <c r="M1750" s="663"/>
      <c r="N1750" s="665"/>
      <c r="O1750" s="665"/>
      <c r="P1750" s="666"/>
      <c r="Q1750" s="667"/>
      <c r="R1750" s="668"/>
      <c r="S1750" s="693"/>
      <c r="T1750" s="694"/>
      <c r="U1750" s="694"/>
      <c r="V1750" s="693"/>
      <c r="W1750" s="693"/>
      <c r="X1750" s="693"/>
      <c r="Y1750" s="671"/>
      <c r="Z1750" s="673"/>
      <c r="AA1750" s="672"/>
      <c r="AB1750" s="695"/>
      <c r="AC1750" s="673"/>
      <c r="AD1750" s="673"/>
      <c r="AE1750" s="673"/>
      <c r="AF1750" s="673"/>
      <c r="AG1750" s="673"/>
      <c r="AH1750" s="673"/>
      <c r="AI1750" s="673"/>
      <c r="AJ1750" s="673"/>
      <c r="AK1750" s="673"/>
      <c r="AL1750" s="673"/>
      <c r="AM1750" s="673"/>
      <c r="AN1750" s="673"/>
      <c r="AO1750" s="673"/>
      <c r="AP1750" s="673"/>
      <c r="AQ1750" s="673"/>
      <c r="AR1750" s="673"/>
      <c r="AS1750" s="673"/>
      <c r="AT1750" s="696"/>
    </row>
    <row r="1751" ht="15.75" customHeight="1">
      <c r="A1751" s="653"/>
      <c r="B1751" s="654"/>
      <c r="C1751" s="691"/>
      <c r="D1751" s="656"/>
      <c r="E1751" s="657"/>
      <c r="F1751" s="658"/>
      <c r="G1751" s="659"/>
      <c r="H1751" s="660"/>
      <c r="I1751" s="659"/>
      <c r="J1751" s="661"/>
      <c r="K1751" s="692"/>
      <c r="L1751" s="645"/>
      <c r="M1751" s="663"/>
      <c r="N1751" s="665"/>
      <c r="O1751" s="665"/>
      <c r="P1751" s="666"/>
      <c r="Q1751" s="667"/>
      <c r="R1751" s="668"/>
      <c r="S1751" s="693"/>
      <c r="T1751" s="694"/>
      <c r="U1751" s="694"/>
      <c r="V1751" s="693"/>
      <c r="W1751" s="693"/>
      <c r="X1751" s="693"/>
      <c r="Y1751" s="671"/>
      <c r="Z1751" s="673"/>
      <c r="AA1751" s="672"/>
      <c r="AB1751" s="695"/>
      <c r="AC1751" s="673"/>
      <c r="AD1751" s="673"/>
      <c r="AE1751" s="673"/>
      <c r="AF1751" s="673"/>
      <c r="AG1751" s="673"/>
      <c r="AH1751" s="673"/>
      <c r="AI1751" s="673"/>
      <c r="AJ1751" s="673"/>
      <c r="AK1751" s="673"/>
      <c r="AL1751" s="673"/>
      <c r="AM1751" s="673"/>
      <c r="AN1751" s="673"/>
      <c r="AO1751" s="673"/>
      <c r="AP1751" s="673"/>
      <c r="AQ1751" s="673"/>
      <c r="AR1751" s="673"/>
      <c r="AS1751" s="673"/>
      <c r="AT1751" s="696"/>
    </row>
    <row r="1752" ht="15.75" customHeight="1">
      <c r="A1752" s="653"/>
      <c r="B1752" s="654"/>
      <c r="C1752" s="691"/>
      <c r="D1752" s="656"/>
      <c r="E1752" s="657"/>
      <c r="F1752" s="658"/>
      <c r="G1752" s="659"/>
      <c r="H1752" s="660"/>
      <c r="I1752" s="659"/>
      <c r="J1752" s="661"/>
      <c r="K1752" s="692"/>
      <c r="L1752" s="645"/>
      <c r="M1752" s="663"/>
      <c r="N1752" s="665"/>
      <c r="O1752" s="665"/>
      <c r="P1752" s="666"/>
      <c r="Q1752" s="667"/>
      <c r="R1752" s="668"/>
      <c r="S1752" s="693"/>
      <c r="T1752" s="694"/>
      <c r="U1752" s="694"/>
      <c r="V1752" s="693"/>
      <c r="W1752" s="693"/>
      <c r="X1752" s="693"/>
      <c r="Y1752" s="671"/>
      <c r="Z1752" s="673"/>
      <c r="AA1752" s="672"/>
      <c r="AB1752" s="695"/>
      <c r="AC1752" s="673"/>
      <c r="AD1752" s="673"/>
      <c r="AE1752" s="673"/>
      <c r="AF1752" s="673"/>
      <c r="AG1752" s="673"/>
      <c r="AH1752" s="673"/>
      <c r="AI1752" s="673"/>
      <c r="AJ1752" s="673"/>
      <c r="AK1752" s="673"/>
      <c r="AL1752" s="673"/>
      <c r="AM1752" s="673"/>
      <c r="AN1752" s="673"/>
      <c r="AO1752" s="673"/>
      <c r="AP1752" s="673"/>
      <c r="AQ1752" s="673"/>
      <c r="AR1752" s="673"/>
      <c r="AS1752" s="673"/>
      <c r="AT1752" s="696"/>
    </row>
    <row r="1753" ht="15.75" customHeight="1">
      <c r="A1753" s="653"/>
      <c r="B1753" s="654"/>
      <c r="C1753" s="691"/>
      <c r="D1753" s="656"/>
      <c r="E1753" s="657"/>
      <c r="F1753" s="658"/>
      <c r="G1753" s="659"/>
      <c r="H1753" s="660"/>
      <c r="I1753" s="659"/>
      <c r="J1753" s="661"/>
      <c r="K1753" s="692"/>
      <c r="L1753" s="645"/>
      <c r="M1753" s="663"/>
      <c r="N1753" s="665"/>
      <c r="O1753" s="665"/>
      <c r="P1753" s="666"/>
      <c r="Q1753" s="667"/>
      <c r="R1753" s="668"/>
      <c r="S1753" s="693"/>
      <c r="T1753" s="694"/>
      <c r="U1753" s="694"/>
      <c r="V1753" s="693"/>
      <c r="W1753" s="693"/>
      <c r="X1753" s="693"/>
      <c r="Y1753" s="671"/>
      <c r="Z1753" s="673"/>
      <c r="AA1753" s="672"/>
      <c r="AB1753" s="695"/>
      <c r="AC1753" s="673"/>
      <c r="AD1753" s="673"/>
      <c r="AE1753" s="673"/>
      <c r="AF1753" s="673"/>
      <c r="AG1753" s="673"/>
      <c r="AH1753" s="673"/>
      <c r="AI1753" s="673"/>
      <c r="AJ1753" s="673"/>
      <c r="AK1753" s="673"/>
      <c r="AL1753" s="673"/>
      <c r="AM1753" s="673"/>
      <c r="AN1753" s="673"/>
      <c r="AO1753" s="673"/>
      <c r="AP1753" s="673"/>
      <c r="AQ1753" s="673"/>
      <c r="AR1753" s="673"/>
      <c r="AS1753" s="673"/>
      <c r="AT1753" s="696"/>
    </row>
    <row r="1754" ht="15.75" customHeight="1">
      <c r="A1754" s="653"/>
      <c r="B1754" s="654"/>
      <c r="C1754" s="691"/>
      <c r="D1754" s="656"/>
      <c r="E1754" s="657"/>
      <c r="F1754" s="658"/>
      <c r="G1754" s="659"/>
      <c r="H1754" s="660"/>
      <c r="I1754" s="659"/>
      <c r="J1754" s="661"/>
      <c r="K1754" s="692"/>
      <c r="L1754" s="645"/>
      <c r="M1754" s="663"/>
      <c r="N1754" s="665"/>
      <c r="O1754" s="665"/>
      <c r="P1754" s="666"/>
      <c r="Q1754" s="667"/>
      <c r="R1754" s="668"/>
      <c r="S1754" s="693"/>
      <c r="T1754" s="694"/>
      <c r="U1754" s="694"/>
      <c r="V1754" s="693"/>
      <c r="W1754" s="693"/>
      <c r="X1754" s="693"/>
      <c r="Y1754" s="671"/>
      <c r="Z1754" s="673"/>
      <c r="AA1754" s="672"/>
      <c r="AB1754" s="695"/>
      <c r="AC1754" s="673"/>
      <c r="AD1754" s="673"/>
      <c r="AE1754" s="673"/>
      <c r="AF1754" s="673"/>
      <c r="AG1754" s="673"/>
      <c r="AH1754" s="673"/>
      <c r="AI1754" s="673"/>
      <c r="AJ1754" s="673"/>
      <c r="AK1754" s="673"/>
      <c r="AL1754" s="673"/>
      <c r="AM1754" s="673"/>
      <c r="AN1754" s="673"/>
      <c r="AO1754" s="673"/>
      <c r="AP1754" s="673"/>
      <c r="AQ1754" s="673"/>
      <c r="AR1754" s="673"/>
      <c r="AS1754" s="673"/>
      <c r="AT1754" s="696"/>
    </row>
    <row r="1755" ht="15.75" customHeight="1">
      <c r="A1755" s="653"/>
      <c r="B1755" s="654"/>
      <c r="C1755" s="691"/>
      <c r="D1755" s="656"/>
      <c r="E1755" s="657"/>
      <c r="F1755" s="658"/>
      <c r="G1755" s="659"/>
      <c r="H1755" s="660"/>
      <c r="I1755" s="659"/>
      <c r="J1755" s="661"/>
      <c r="K1755" s="692"/>
      <c r="L1755" s="645"/>
      <c r="M1755" s="663"/>
      <c r="N1755" s="665"/>
      <c r="O1755" s="665"/>
      <c r="P1755" s="666"/>
      <c r="Q1755" s="667"/>
      <c r="R1755" s="668"/>
      <c r="S1755" s="693"/>
      <c r="T1755" s="694"/>
      <c r="U1755" s="694"/>
      <c r="V1755" s="693"/>
      <c r="W1755" s="693"/>
      <c r="X1755" s="693"/>
      <c r="Y1755" s="671"/>
      <c r="Z1755" s="673"/>
      <c r="AA1755" s="672"/>
      <c r="AB1755" s="695"/>
      <c r="AC1755" s="673"/>
      <c r="AD1755" s="673"/>
      <c r="AE1755" s="673"/>
      <c r="AF1755" s="673"/>
      <c r="AG1755" s="673"/>
      <c r="AH1755" s="673"/>
      <c r="AI1755" s="673"/>
      <c r="AJ1755" s="673"/>
      <c r="AK1755" s="673"/>
      <c r="AL1755" s="673"/>
      <c r="AM1755" s="673"/>
      <c r="AN1755" s="673"/>
      <c r="AO1755" s="673"/>
      <c r="AP1755" s="673"/>
      <c r="AQ1755" s="673"/>
      <c r="AR1755" s="673"/>
      <c r="AS1755" s="673"/>
      <c r="AT1755" s="696"/>
    </row>
    <row r="1756" ht="15.75" customHeight="1">
      <c r="A1756" s="653"/>
      <c r="B1756" s="654"/>
      <c r="C1756" s="691"/>
      <c r="D1756" s="656"/>
      <c r="E1756" s="657"/>
      <c r="F1756" s="658"/>
      <c r="G1756" s="659"/>
      <c r="H1756" s="660"/>
      <c r="I1756" s="659"/>
      <c r="J1756" s="661"/>
      <c r="K1756" s="692"/>
      <c r="L1756" s="645"/>
      <c r="M1756" s="663"/>
      <c r="N1756" s="665"/>
      <c r="O1756" s="665"/>
      <c r="P1756" s="666"/>
      <c r="Q1756" s="667"/>
      <c r="R1756" s="668"/>
      <c r="S1756" s="693"/>
      <c r="T1756" s="694"/>
      <c r="U1756" s="694"/>
      <c r="V1756" s="693"/>
      <c r="W1756" s="693"/>
      <c r="X1756" s="693"/>
      <c r="Y1756" s="671"/>
      <c r="Z1756" s="673"/>
      <c r="AA1756" s="672"/>
      <c r="AB1756" s="695"/>
      <c r="AC1756" s="673"/>
      <c r="AD1756" s="673"/>
      <c r="AE1756" s="673"/>
      <c r="AF1756" s="673"/>
      <c r="AG1756" s="673"/>
      <c r="AH1756" s="673"/>
      <c r="AI1756" s="673"/>
      <c r="AJ1756" s="673"/>
      <c r="AK1756" s="673"/>
      <c r="AL1756" s="673"/>
      <c r="AM1756" s="673"/>
      <c r="AN1756" s="673"/>
      <c r="AO1756" s="673"/>
      <c r="AP1756" s="673"/>
      <c r="AQ1756" s="673"/>
      <c r="AR1756" s="673"/>
      <c r="AS1756" s="673"/>
      <c r="AT1756" s="696"/>
    </row>
    <row r="1757" ht="15.75" customHeight="1">
      <c r="A1757" s="653"/>
      <c r="B1757" s="654"/>
      <c r="C1757" s="691"/>
      <c r="D1757" s="656"/>
      <c r="E1757" s="657"/>
      <c r="F1757" s="658"/>
      <c r="G1757" s="659"/>
      <c r="H1757" s="660"/>
      <c r="I1757" s="659"/>
      <c r="J1757" s="661"/>
      <c r="K1757" s="692"/>
      <c r="L1757" s="645"/>
      <c r="M1757" s="663"/>
      <c r="N1757" s="665"/>
      <c r="O1757" s="665"/>
      <c r="P1757" s="666"/>
      <c r="Q1757" s="667"/>
      <c r="R1757" s="668"/>
      <c r="S1757" s="693"/>
      <c r="T1757" s="694"/>
      <c r="U1757" s="694"/>
      <c r="V1757" s="693"/>
      <c r="W1757" s="693"/>
      <c r="X1757" s="693"/>
      <c r="Y1757" s="671"/>
      <c r="Z1757" s="673"/>
      <c r="AA1757" s="672"/>
      <c r="AB1757" s="695"/>
      <c r="AC1757" s="673"/>
      <c r="AD1757" s="673"/>
      <c r="AE1757" s="673"/>
      <c r="AF1757" s="673"/>
      <c r="AG1757" s="673"/>
      <c r="AH1757" s="673"/>
      <c r="AI1757" s="673"/>
      <c r="AJ1757" s="673"/>
      <c r="AK1757" s="673"/>
      <c r="AL1757" s="673"/>
      <c r="AM1757" s="673"/>
      <c r="AN1757" s="673"/>
      <c r="AO1757" s="673"/>
      <c r="AP1757" s="673"/>
      <c r="AQ1757" s="673"/>
      <c r="AR1757" s="673"/>
      <c r="AS1757" s="673"/>
      <c r="AT1757" s="696"/>
    </row>
    <row r="1758" ht="15.75" customHeight="1">
      <c r="A1758" s="653"/>
      <c r="B1758" s="654"/>
      <c r="C1758" s="691"/>
      <c r="D1758" s="656"/>
      <c r="E1758" s="657"/>
      <c r="F1758" s="658"/>
      <c r="G1758" s="659"/>
      <c r="H1758" s="660"/>
      <c r="I1758" s="659"/>
      <c r="J1758" s="661"/>
      <c r="K1758" s="692"/>
      <c r="L1758" s="645"/>
      <c r="M1758" s="663"/>
      <c r="N1758" s="665"/>
      <c r="O1758" s="665"/>
      <c r="P1758" s="666"/>
      <c r="Q1758" s="667"/>
      <c r="R1758" s="668"/>
      <c r="S1758" s="693"/>
      <c r="T1758" s="694"/>
      <c r="U1758" s="694"/>
      <c r="V1758" s="693"/>
      <c r="W1758" s="693"/>
      <c r="X1758" s="693"/>
      <c r="Y1758" s="671"/>
      <c r="Z1758" s="673"/>
      <c r="AA1758" s="672"/>
      <c r="AB1758" s="695"/>
      <c r="AC1758" s="673"/>
      <c r="AD1758" s="673"/>
      <c r="AE1758" s="673"/>
      <c r="AF1758" s="673"/>
      <c r="AG1758" s="673"/>
      <c r="AH1758" s="673"/>
      <c r="AI1758" s="673"/>
      <c r="AJ1758" s="673"/>
      <c r="AK1758" s="673"/>
      <c r="AL1758" s="673"/>
      <c r="AM1758" s="673"/>
      <c r="AN1758" s="673"/>
      <c r="AO1758" s="673"/>
      <c r="AP1758" s="673"/>
      <c r="AQ1758" s="673"/>
      <c r="AR1758" s="673"/>
      <c r="AS1758" s="673"/>
      <c r="AT1758" s="696"/>
    </row>
    <row r="1759" ht="15.75" customHeight="1">
      <c r="A1759" s="653"/>
      <c r="B1759" s="654"/>
      <c r="C1759" s="691"/>
      <c r="D1759" s="656"/>
      <c r="E1759" s="657"/>
      <c r="F1759" s="658"/>
      <c r="G1759" s="659"/>
      <c r="H1759" s="660"/>
      <c r="I1759" s="659"/>
      <c r="J1759" s="661"/>
      <c r="K1759" s="692"/>
      <c r="L1759" s="645"/>
      <c r="M1759" s="663"/>
      <c r="N1759" s="665"/>
      <c r="O1759" s="665"/>
      <c r="P1759" s="666"/>
      <c r="Q1759" s="667"/>
      <c r="R1759" s="668"/>
      <c r="S1759" s="693"/>
      <c r="T1759" s="694"/>
      <c r="U1759" s="694"/>
      <c r="V1759" s="693"/>
      <c r="W1759" s="693"/>
      <c r="X1759" s="693"/>
      <c r="Y1759" s="671"/>
      <c r="Z1759" s="673"/>
      <c r="AA1759" s="672"/>
      <c r="AB1759" s="695"/>
      <c r="AC1759" s="673"/>
      <c r="AD1759" s="673"/>
      <c r="AE1759" s="673"/>
      <c r="AF1759" s="673"/>
      <c r="AG1759" s="673"/>
      <c r="AH1759" s="673"/>
      <c r="AI1759" s="673"/>
      <c r="AJ1759" s="673"/>
      <c r="AK1759" s="673"/>
      <c r="AL1759" s="673"/>
      <c r="AM1759" s="673"/>
      <c r="AN1759" s="673"/>
      <c r="AO1759" s="673"/>
      <c r="AP1759" s="673"/>
      <c r="AQ1759" s="673"/>
      <c r="AR1759" s="673"/>
      <c r="AS1759" s="673"/>
      <c r="AT1759" s="696"/>
    </row>
    <row r="1760" ht="15.75" customHeight="1">
      <c r="A1760" s="653"/>
      <c r="B1760" s="654"/>
      <c r="C1760" s="691"/>
      <c r="D1760" s="656"/>
      <c r="E1760" s="657"/>
      <c r="F1760" s="658"/>
      <c r="G1760" s="659"/>
      <c r="H1760" s="660"/>
      <c r="I1760" s="659"/>
      <c r="J1760" s="661"/>
      <c r="K1760" s="692"/>
      <c r="L1760" s="645"/>
      <c r="M1760" s="663"/>
      <c r="N1760" s="665"/>
      <c r="O1760" s="665"/>
      <c r="P1760" s="666"/>
      <c r="Q1760" s="667"/>
      <c r="R1760" s="668"/>
      <c r="S1760" s="693"/>
      <c r="T1760" s="694"/>
      <c r="U1760" s="694"/>
      <c r="V1760" s="693"/>
      <c r="W1760" s="693"/>
      <c r="X1760" s="693"/>
      <c r="Y1760" s="671"/>
      <c r="Z1760" s="673"/>
      <c r="AA1760" s="672"/>
      <c r="AB1760" s="695"/>
      <c r="AC1760" s="673"/>
      <c r="AD1760" s="673"/>
      <c r="AE1760" s="673"/>
      <c r="AF1760" s="673"/>
      <c r="AG1760" s="673"/>
      <c r="AH1760" s="673"/>
      <c r="AI1760" s="673"/>
      <c r="AJ1760" s="673"/>
      <c r="AK1760" s="673"/>
      <c r="AL1760" s="673"/>
      <c r="AM1760" s="673"/>
      <c r="AN1760" s="673"/>
      <c r="AO1760" s="673"/>
      <c r="AP1760" s="673"/>
      <c r="AQ1760" s="673"/>
      <c r="AR1760" s="673"/>
      <c r="AS1760" s="673"/>
      <c r="AT1760" s="696"/>
    </row>
    <row r="1761" ht="15.75" customHeight="1">
      <c r="A1761" s="653"/>
      <c r="B1761" s="654"/>
      <c r="C1761" s="691"/>
      <c r="D1761" s="656"/>
      <c r="E1761" s="657"/>
      <c r="F1761" s="658"/>
      <c r="G1761" s="659"/>
      <c r="H1761" s="660"/>
      <c r="I1761" s="659"/>
      <c r="J1761" s="661"/>
      <c r="K1761" s="692"/>
      <c r="L1761" s="645"/>
      <c r="M1761" s="663"/>
      <c r="N1761" s="665"/>
      <c r="O1761" s="665"/>
      <c r="P1761" s="666"/>
      <c r="Q1761" s="667"/>
      <c r="R1761" s="668"/>
      <c r="S1761" s="693"/>
      <c r="T1761" s="694"/>
      <c r="U1761" s="694"/>
      <c r="V1761" s="693"/>
      <c r="W1761" s="693"/>
      <c r="X1761" s="693"/>
      <c r="Y1761" s="671"/>
      <c r="Z1761" s="673"/>
      <c r="AA1761" s="672"/>
      <c r="AB1761" s="695"/>
      <c r="AC1761" s="673"/>
      <c r="AD1761" s="673"/>
      <c r="AE1761" s="673"/>
      <c r="AF1761" s="673"/>
      <c r="AG1761" s="673"/>
      <c r="AH1761" s="673"/>
      <c r="AI1761" s="673"/>
      <c r="AJ1761" s="673"/>
      <c r="AK1761" s="673"/>
      <c r="AL1761" s="673"/>
      <c r="AM1761" s="673"/>
      <c r="AN1761" s="673"/>
      <c r="AO1761" s="673"/>
      <c r="AP1761" s="673"/>
      <c r="AQ1761" s="673"/>
      <c r="AR1761" s="673"/>
      <c r="AS1761" s="673"/>
      <c r="AT1761" s="696"/>
    </row>
    <row r="1762" ht="15.75" customHeight="1">
      <c r="A1762" s="653"/>
      <c r="B1762" s="654"/>
      <c r="C1762" s="691"/>
      <c r="D1762" s="656"/>
      <c r="E1762" s="657"/>
      <c r="F1762" s="658"/>
      <c r="G1762" s="659"/>
      <c r="H1762" s="660"/>
      <c r="I1762" s="659"/>
      <c r="J1762" s="661"/>
      <c r="K1762" s="692"/>
      <c r="L1762" s="645"/>
      <c r="M1762" s="663"/>
      <c r="N1762" s="665"/>
      <c r="O1762" s="665"/>
      <c r="P1762" s="666"/>
      <c r="Q1762" s="667"/>
      <c r="R1762" s="668"/>
      <c r="S1762" s="693"/>
      <c r="T1762" s="694"/>
      <c r="U1762" s="694"/>
      <c r="V1762" s="693"/>
      <c r="W1762" s="693"/>
      <c r="X1762" s="693"/>
      <c r="Y1762" s="671"/>
      <c r="Z1762" s="673"/>
      <c r="AA1762" s="672"/>
      <c r="AB1762" s="695"/>
      <c r="AC1762" s="673"/>
      <c r="AD1762" s="673"/>
      <c r="AE1762" s="673"/>
      <c r="AF1762" s="673"/>
      <c r="AG1762" s="673"/>
      <c r="AH1762" s="673"/>
      <c r="AI1762" s="673"/>
      <c r="AJ1762" s="673"/>
      <c r="AK1762" s="673"/>
      <c r="AL1762" s="673"/>
      <c r="AM1762" s="673"/>
      <c r="AN1762" s="673"/>
      <c r="AO1762" s="673"/>
      <c r="AP1762" s="673"/>
      <c r="AQ1762" s="673"/>
      <c r="AR1762" s="673"/>
      <c r="AS1762" s="673"/>
      <c r="AT1762" s="696"/>
    </row>
    <row r="1763" ht="15.75" customHeight="1">
      <c r="A1763" s="653"/>
      <c r="B1763" s="654"/>
      <c r="C1763" s="691"/>
      <c r="D1763" s="656"/>
      <c r="E1763" s="657"/>
      <c r="F1763" s="658"/>
      <c r="G1763" s="659"/>
      <c r="H1763" s="660"/>
      <c r="I1763" s="659"/>
      <c r="J1763" s="661"/>
      <c r="K1763" s="692"/>
      <c r="L1763" s="645"/>
      <c r="M1763" s="663"/>
      <c r="N1763" s="665"/>
      <c r="O1763" s="665"/>
      <c r="P1763" s="666"/>
      <c r="Q1763" s="667"/>
      <c r="R1763" s="668"/>
      <c r="S1763" s="693"/>
      <c r="T1763" s="694"/>
      <c r="U1763" s="694"/>
      <c r="V1763" s="693"/>
      <c r="W1763" s="693"/>
      <c r="X1763" s="693"/>
      <c r="Y1763" s="671"/>
      <c r="Z1763" s="673"/>
      <c r="AA1763" s="672"/>
      <c r="AB1763" s="695"/>
      <c r="AC1763" s="673"/>
      <c r="AD1763" s="673"/>
      <c r="AE1763" s="673"/>
      <c r="AF1763" s="673"/>
      <c r="AG1763" s="673"/>
      <c r="AH1763" s="673"/>
      <c r="AI1763" s="673"/>
      <c r="AJ1763" s="673"/>
      <c r="AK1763" s="673"/>
      <c r="AL1763" s="673"/>
      <c r="AM1763" s="673"/>
      <c r="AN1763" s="673"/>
      <c r="AO1763" s="673"/>
      <c r="AP1763" s="673"/>
      <c r="AQ1763" s="673"/>
      <c r="AR1763" s="673"/>
      <c r="AS1763" s="673"/>
      <c r="AT1763" s="696"/>
    </row>
    <row r="1764" ht="15.75" customHeight="1">
      <c r="A1764" s="653"/>
      <c r="B1764" s="654"/>
      <c r="C1764" s="691"/>
      <c r="D1764" s="656"/>
      <c r="E1764" s="657"/>
      <c r="F1764" s="658"/>
      <c r="G1764" s="659"/>
      <c r="H1764" s="660"/>
      <c r="I1764" s="659"/>
      <c r="J1764" s="661"/>
      <c r="K1764" s="692"/>
      <c r="L1764" s="645"/>
      <c r="M1764" s="663"/>
      <c r="N1764" s="665"/>
      <c r="O1764" s="665"/>
      <c r="P1764" s="666"/>
      <c r="Q1764" s="667"/>
      <c r="R1764" s="668"/>
      <c r="S1764" s="693"/>
      <c r="T1764" s="694"/>
      <c r="U1764" s="694"/>
      <c r="V1764" s="693"/>
      <c r="W1764" s="693"/>
      <c r="X1764" s="693"/>
      <c r="Y1764" s="671"/>
      <c r="Z1764" s="673"/>
      <c r="AA1764" s="672"/>
      <c r="AB1764" s="695"/>
      <c r="AC1764" s="673"/>
      <c r="AD1764" s="673"/>
      <c r="AE1764" s="673"/>
      <c r="AF1764" s="673"/>
      <c r="AG1764" s="673"/>
      <c r="AH1764" s="673"/>
      <c r="AI1764" s="673"/>
      <c r="AJ1764" s="673"/>
      <c r="AK1764" s="673"/>
      <c r="AL1764" s="673"/>
      <c r="AM1764" s="673"/>
      <c r="AN1764" s="673"/>
      <c r="AO1764" s="673"/>
      <c r="AP1764" s="673"/>
      <c r="AQ1764" s="673"/>
      <c r="AR1764" s="673"/>
      <c r="AS1764" s="673"/>
      <c r="AT1764" s="696"/>
    </row>
    <row r="1765" ht="15.75" customHeight="1">
      <c r="A1765" s="653"/>
      <c r="B1765" s="654"/>
      <c r="C1765" s="691"/>
      <c r="D1765" s="656"/>
      <c r="E1765" s="657"/>
      <c r="F1765" s="658"/>
      <c r="G1765" s="659"/>
      <c r="H1765" s="660"/>
      <c r="I1765" s="659"/>
      <c r="J1765" s="661"/>
      <c r="K1765" s="692"/>
      <c r="L1765" s="645"/>
      <c r="M1765" s="663"/>
      <c r="N1765" s="665"/>
      <c r="O1765" s="665"/>
      <c r="P1765" s="666"/>
      <c r="Q1765" s="667"/>
      <c r="R1765" s="668"/>
      <c r="S1765" s="693"/>
      <c r="T1765" s="694"/>
      <c r="U1765" s="694"/>
      <c r="V1765" s="693"/>
      <c r="W1765" s="693"/>
      <c r="X1765" s="693"/>
      <c r="Y1765" s="671"/>
      <c r="Z1765" s="673"/>
      <c r="AA1765" s="672"/>
      <c r="AB1765" s="695"/>
      <c r="AC1765" s="673"/>
      <c r="AD1765" s="673"/>
      <c r="AE1765" s="673"/>
      <c r="AF1765" s="673"/>
      <c r="AG1765" s="673"/>
      <c r="AH1765" s="673"/>
      <c r="AI1765" s="673"/>
      <c r="AJ1765" s="673"/>
      <c r="AK1765" s="673"/>
      <c r="AL1765" s="673"/>
      <c r="AM1765" s="673"/>
      <c r="AN1765" s="673"/>
      <c r="AO1765" s="673"/>
      <c r="AP1765" s="673"/>
      <c r="AQ1765" s="673"/>
      <c r="AR1765" s="673"/>
      <c r="AS1765" s="673"/>
      <c r="AT1765" s="696"/>
    </row>
    <row r="1766" ht="15.75" customHeight="1">
      <c r="A1766" s="653"/>
      <c r="B1766" s="654"/>
      <c r="C1766" s="691"/>
      <c r="D1766" s="656"/>
      <c r="E1766" s="657"/>
      <c r="F1766" s="658"/>
      <c r="G1766" s="659"/>
      <c r="H1766" s="660"/>
      <c r="I1766" s="659"/>
      <c r="J1766" s="661"/>
      <c r="K1766" s="692"/>
      <c r="L1766" s="645"/>
      <c r="M1766" s="663"/>
      <c r="N1766" s="665"/>
      <c r="O1766" s="665"/>
      <c r="P1766" s="666"/>
      <c r="Q1766" s="667"/>
      <c r="R1766" s="668"/>
      <c r="S1766" s="693"/>
      <c r="T1766" s="694"/>
      <c r="U1766" s="694"/>
      <c r="V1766" s="693"/>
      <c r="W1766" s="693"/>
      <c r="X1766" s="693"/>
      <c r="Y1766" s="671"/>
      <c r="Z1766" s="673"/>
      <c r="AA1766" s="672"/>
      <c r="AB1766" s="695"/>
      <c r="AC1766" s="673"/>
      <c r="AD1766" s="673"/>
      <c r="AE1766" s="673"/>
      <c r="AF1766" s="673"/>
      <c r="AG1766" s="673"/>
      <c r="AH1766" s="673"/>
      <c r="AI1766" s="673"/>
      <c r="AJ1766" s="673"/>
      <c r="AK1766" s="673"/>
      <c r="AL1766" s="673"/>
      <c r="AM1766" s="673"/>
      <c r="AN1766" s="673"/>
      <c r="AO1766" s="673"/>
      <c r="AP1766" s="673"/>
      <c r="AQ1766" s="673"/>
      <c r="AR1766" s="673"/>
      <c r="AS1766" s="673"/>
      <c r="AT1766" s="696"/>
    </row>
    <row r="1767" ht="15.75" customHeight="1">
      <c r="A1767" s="653"/>
      <c r="B1767" s="654"/>
      <c r="C1767" s="691"/>
      <c r="D1767" s="656"/>
      <c r="E1767" s="657"/>
      <c r="F1767" s="658"/>
      <c r="G1767" s="659"/>
      <c r="H1767" s="660"/>
      <c r="I1767" s="659"/>
      <c r="J1767" s="661"/>
      <c r="K1767" s="692"/>
      <c r="L1767" s="645"/>
      <c r="M1767" s="663"/>
      <c r="N1767" s="665"/>
      <c r="O1767" s="665"/>
      <c r="P1767" s="666"/>
      <c r="Q1767" s="667"/>
      <c r="R1767" s="668"/>
      <c r="S1767" s="693"/>
      <c r="T1767" s="694"/>
      <c r="U1767" s="694"/>
      <c r="V1767" s="693"/>
      <c r="W1767" s="693"/>
      <c r="X1767" s="693"/>
      <c r="Y1767" s="671"/>
      <c r="Z1767" s="673"/>
      <c r="AA1767" s="672"/>
      <c r="AB1767" s="695"/>
      <c r="AC1767" s="673"/>
      <c r="AD1767" s="673"/>
      <c r="AE1767" s="673"/>
      <c r="AF1767" s="673"/>
      <c r="AG1767" s="673"/>
      <c r="AH1767" s="673"/>
      <c r="AI1767" s="673"/>
      <c r="AJ1767" s="673"/>
      <c r="AK1767" s="673"/>
      <c r="AL1767" s="673"/>
      <c r="AM1767" s="673"/>
      <c r="AN1767" s="673"/>
      <c r="AO1767" s="673"/>
      <c r="AP1767" s="673"/>
      <c r="AQ1767" s="673"/>
      <c r="AR1767" s="673"/>
      <c r="AS1767" s="673"/>
      <c r="AT1767" s="696"/>
    </row>
    <row r="1768" ht="15.75" customHeight="1">
      <c r="A1768" s="653"/>
      <c r="B1768" s="654"/>
      <c r="C1768" s="691"/>
      <c r="D1768" s="656"/>
      <c r="E1768" s="657"/>
      <c r="F1768" s="658"/>
      <c r="G1768" s="659"/>
      <c r="H1768" s="660"/>
      <c r="I1768" s="659"/>
      <c r="J1768" s="661"/>
      <c r="K1768" s="692"/>
      <c r="L1768" s="645"/>
      <c r="M1768" s="663"/>
      <c r="N1768" s="665"/>
      <c r="O1768" s="665"/>
      <c r="P1768" s="666"/>
      <c r="Q1768" s="667"/>
      <c r="R1768" s="668"/>
      <c r="S1768" s="693"/>
      <c r="T1768" s="694"/>
      <c r="U1768" s="694"/>
      <c r="V1768" s="693"/>
      <c r="W1768" s="693"/>
      <c r="X1768" s="693"/>
      <c r="Y1768" s="671"/>
      <c r="Z1768" s="673"/>
      <c r="AA1768" s="672"/>
      <c r="AB1768" s="695"/>
      <c r="AC1768" s="673"/>
      <c r="AD1768" s="673"/>
      <c r="AE1768" s="673"/>
      <c r="AF1768" s="673"/>
      <c r="AG1768" s="673"/>
      <c r="AH1768" s="673"/>
      <c r="AI1768" s="673"/>
      <c r="AJ1768" s="673"/>
      <c r="AK1768" s="673"/>
      <c r="AL1768" s="673"/>
      <c r="AM1768" s="673"/>
      <c r="AN1768" s="673"/>
      <c r="AO1768" s="673"/>
      <c r="AP1768" s="673"/>
      <c r="AQ1768" s="673"/>
      <c r="AR1768" s="673"/>
      <c r="AS1768" s="673"/>
      <c r="AT1768" s="696"/>
    </row>
    <row r="1769" ht="15.75" customHeight="1">
      <c r="A1769" s="653"/>
      <c r="B1769" s="654"/>
      <c r="C1769" s="691"/>
      <c r="D1769" s="656"/>
      <c r="E1769" s="657"/>
      <c r="F1769" s="658"/>
      <c r="G1769" s="659"/>
      <c r="H1769" s="660"/>
      <c r="I1769" s="659"/>
      <c r="J1769" s="661"/>
      <c r="K1769" s="692"/>
      <c r="L1769" s="645"/>
      <c r="M1769" s="663"/>
      <c r="N1769" s="665"/>
      <c r="O1769" s="665"/>
      <c r="P1769" s="666"/>
      <c r="Q1769" s="667"/>
      <c r="R1769" s="668"/>
      <c r="S1769" s="693"/>
      <c r="T1769" s="694"/>
      <c r="U1769" s="694"/>
      <c r="V1769" s="693"/>
      <c r="W1769" s="693"/>
      <c r="X1769" s="693"/>
      <c r="Y1769" s="671"/>
      <c r="Z1769" s="673"/>
      <c r="AA1769" s="672"/>
      <c r="AB1769" s="695"/>
      <c r="AC1769" s="673"/>
      <c r="AD1769" s="673"/>
      <c r="AE1769" s="673"/>
      <c r="AF1769" s="673"/>
      <c r="AG1769" s="673"/>
      <c r="AH1769" s="673"/>
      <c r="AI1769" s="673"/>
      <c r="AJ1769" s="673"/>
      <c r="AK1769" s="673"/>
      <c r="AL1769" s="673"/>
      <c r="AM1769" s="673"/>
      <c r="AN1769" s="673"/>
      <c r="AO1769" s="673"/>
      <c r="AP1769" s="673"/>
      <c r="AQ1769" s="673"/>
      <c r="AR1769" s="673"/>
      <c r="AS1769" s="673"/>
      <c r="AT1769" s="696"/>
    </row>
    <row r="1770" ht="15.75" customHeight="1">
      <c r="A1770" s="653"/>
      <c r="B1770" s="654"/>
      <c r="C1770" s="691"/>
      <c r="D1770" s="656"/>
      <c r="E1770" s="657"/>
      <c r="F1770" s="658"/>
      <c r="G1770" s="659"/>
      <c r="H1770" s="660"/>
      <c r="I1770" s="659"/>
      <c r="J1770" s="661"/>
      <c r="K1770" s="692"/>
      <c r="L1770" s="645"/>
      <c r="M1770" s="663"/>
      <c r="N1770" s="665"/>
      <c r="O1770" s="665"/>
      <c r="P1770" s="666"/>
      <c r="Q1770" s="667"/>
      <c r="R1770" s="668"/>
      <c r="S1770" s="693"/>
      <c r="T1770" s="694"/>
      <c r="U1770" s="694"/>
      <c r="V1770" s="693"/>
      <c r="W1770" s="693"/>
      <c r="X1770" s="693"/>
      <c r="Y1770" s="671"/>
      <c r="Z1770" s="673"/>
      <c r="AA1770" s="672"/>
      <c r="AB1770" s="695"/>
      <c r="AC1770" s="673"/>
      <c r="AD1770" s="673"/>
      <c r="AE1770" s="673"/>
      <c r="AF1770" s="673"/>
      <c r="AG1770" s="673"/>
      <c r="AH1770" s="673"/>
      <c r="AI1770" s="673"/>
      <c r="AJ1770" s="673"/>
      <c r="AK1770" s="673"/>
      <c r="AL1770" s="673"/>
      <c r="AM1770" s="673"/>
      <c r="AN1770" s="673"/>
      <c r="AO1770" s="673"/>
      <c r="AP1770" s="673"/>
      <c r="AQ1770" s="673"/>
      <c r="AR1770" s="673"/>
      <c r="AS1770" s="673"/>
      <c r="AT1770" s="696"/>
    </row>
    <row r="1771" ht="15.75" customHeight="1">
      <c r="A1771" s="653"/>
      <c r="B1771" s="654"/>
      <c r="C1771" s="691"/>
      <c r="D1771" s="656"/>
      <c r="E1771" s="657"/>
      <c r="F1771" s="658"/>
      <c r="G1771" s="659"/>
      <c r="H1771" s="660"/>
      <c r="I1771" s="659"/>
      <c r="J1771" s="661"/>
      <c r="K1771" s="692"/>
      <c r="L1771" s="645"/>
      <c r="M1771" s="663"/>
      <c r="N1771" s="665"/>
      <c r="O1771" s="665"/>
      <c r="P1771" s="666"/>
      <c r="Q1771" s="667"/>
      <c r="R1771" s="668"/>
      <c r="S1771" s="693"/>
      <c r="T1771" s="694"/>
      <c r="U1771" s="694"/>
      <c r="V1771" s="693"/>
      <c r="W1771" s="693"/>
      <c r="X1771" s="693"/>
      <c r="Y1771" s="671"/>
      <c r="Z1771" s="673"/>
      <c r="AA1771" s="672"/>
      <c r="AB1771" s="695"/>
      <c r="AC1771" s="673"/>
      <c r="AD1771" s="673"/>
      <c r="AE1771" s="673"/>
      <c r="AF1771" s="673"/>
      <c r="AG1771" s="673"/>
      <c r="AH1771" s="673"/>
      <c r="AI1771" s="673"/>
      <c r="AJ1771" s="673"/>
      <c r="AK1771" s="673"/>
      <c r="AL1771" s="673"/>
      <c r="AM1771" s="673"/>
      <c r="AN1771" s="673"/>
      <c r="AO1771" s="673"/>
      <c r="AP1771" s="673"/>
      <c r="AQ1771" s="673"/>
      <c r="AR1771" s="673"/>
      <c r="AS1771" s="673"/>
      <c r="AT1771" s="696"/>
    </row>
    <row r="1772" ht="15.75" customHeight="1">
      <c r="A1772" s="653"/>
      <c r="B1772" s="654"/>
      <c r="C1772" s="691"/>
      <c r="D1772" s="656"/>
      <c r="E1772" s="657"/>
      <c r="F1772" s="658"/>
      <c r="G1772" s="659"/>
      <c r="H1772" s="660"/>
      <c r="I1772" s="659"/>
      <c r="J1772" s="661"/>
      <c r="K1772" s="692"/>
      <c r="L1772" s="645"/>
      <c r="M1772" s="663"/>
      <c r="N1772" s="665"/>
      <c r="O1772" s="665"/>
      <c r="P1772" s="666"/>
      <c r="Q1772" s="667"/>
      <c r="R1772" s="668"/>
      <c r="S1772" s="693"/>
      <c r="T1772" s="694"/>
      <c r="U1772" s="694"/>
      <c r="V1772" s="693"/>
      <c r="W1772" s="693"/>
      <c r="X1772" s="693"/>
      <c r="Y1772" s="671"/>
      <c r="Z1772" s="673"/>
      <c r="AA1772" s="672"/>
      <c r="AB1772" s="695"/>
      <c r="AC1772" s="673"/>
      <c r="AD1772" s="673"/>
      <c r="AE1772" s="673"/>
      <c r="AF1772" s="673"/>
      <c r="AG1772" s="673"/>
      <c r="AH1772" s="673"/>
      <c r="AI1772" s="673"/>
      <c r="AJ1772" s="673"/>
      <c r="AK1772" s="673"/>
      <c r="AL1772" s="673"/>
      <c r="AM1772" s="673"/>
      <c r="AN1772" s="673"/>
      <c r="AO1772" s="673"/>
      <c r="AP1772" s="673"/>
      <c r="AQ1772" s="673"/>
      <c r="AR1772" s="673"/>
      <c r="AS1772" s="673"/>
      <c r="AT1772" s="696"/>
    </row>
    <row r="1773" ht="15.75" customHeight="1">
      <c r="A1773" s="653"/>
      <c r="B1773" s="654"/>
      <c r="C1773" s="691"/>
      <c r="D1773" s="656"/>
      <c r="E1773" s="657"/>
      <c r="F1773" s="658"/>
      <c r="G1773" s="659"/>
      <c r="H1773" s="660"/>
      <c r="I1773" s="659"/>
      <c r="J1773" s="661"/>
      <c r="K1773" s="692"/>
      <c r="L1773" s="645"/>
      <c r="M1773" s="663"/>
      <c r="N1773" s="665"/>
      <c r="O1773" s="665"/>
      <c r="P1773" s="666"/>
      <c r="Q1773" s="667"/>
      <c r="R1773" s="668"/>
      <c r="S1773" s="693"/>
      <c r="T1773" s="694"/>
      <c r="U1773" s="694"/>
      <c r="V1773" s="693"/>
      <c r="W1773" s="693"/>
      <c r="X1773" s="693"/>
      <c r="Y1773" s="671"/>
      <c r="Z1773" s="673"/>
      <c r="AA1773" s="672"/>
      <c r="AB1773" s="695"/>
      <c r="AC1773" s="673"/>
      <c r="AD1773" s="673"/>
      <c r="AE1773" s="673"/>
      <c r="AF1773" s="673"/>
      <c r="AG1773" s="673"/>
      <c r="AH1773" s="673"/>
      <c r="AI1773" s="673"/>
      <c r="AJ1773" s="673"/>
      <c r="AK1773" s="673"/>
      <c r="AL1773" s="673"/>
      <c r="AM1773" s="673"/>
      <c r="AN1773" s="673"/>
      <c r="AO1773" s="673"/>
      <c r="AP1773" s="673"/>
      <c r="AQ1773" s="673"/>
      <c r="AR1773" s="673"/>
      <c r="AS1773" s="673"/>
      <c r="AT1773" s="696"/>
    </row>
    <row r="1774" ht="15.75" customHeight="1">
      <c r="A1774" s="653"/>
      <c r="B1774" s="654"/>
      <c r="C1774" s="691"/>
      <c r="D1774" s="656"/>
      <c r="E1774" s="657"/>
      <c r="F1774" s="658"/>
      <c r="G1774" s="659"/>
      <c r="H1774" s="660"/>
      <c r="I1774" s="659"/>
      <c r="J1774" s="661"/>
      <c r="K1774" s="692"/>
      <c r="L1774" s="645"/>
      <c r="M1774" s="663"/>
      <c r="N1774" s="665"/>
      <c r="O1774" s="665"/>
      <c r="P1774" s="666"/>
      <c r="Q1774" s="667"/>
      <c r="R1774" s="668"/>
      <c r="S1774" s="693"/>
      <c r="T1774" s="694"/>
      <c r="U1774" s="694"/>
      <c r="V1774" s="693"/>
      <c r="W1774" s="693"/>
      <c r="X1774" s="693"/>
      <c r="Y1774" s="671"/>
      <c r="Z1774" s="673"/>
      <c r="AA1774" s="672"/>
      <c r="AB1774" s="695"/>
      <c r="AC1774" s="673"/>
      <c r="AD1774" s="673"/>
      <c r="AE1774" s="673"/>
      <c r="AF1774" s="673"/>
      <c r="AG1774" s="673"/>
      <c r="AH1774" s="673"/>
      <c r="AI1774" s="673"/>
      <c r="AJ1774" s="673"/>
      <c r="AK1774" s="673"/>
      <c r="AL1774" s="673"/>
      <c r="AM1774" s="673"/>
      <c r="AN1774" s="673"/>
      <c r="AO1774" s="673"/>
      <c r="AP1774" s="673"/>
      <c r="AQ1774" s="673"/>
      <c r="AR1774" s="673"/>
      <c r="AS1774" s="673"/>
      <c r="AT1774" s="696"/>
    </row>
    <row r="1775" ht="15.75" customHeight="1">
      <c r="A1775" s="653"/>
      <c r="B1775" s="654"/>
      <c r="C1775" s="691"/>
      <c r="D1775" s="656"/>
      <c r="E1775" s="657"/>
      <c r="F1775" s="658"/>
      <c r="G1775" s="659"/>
      <c r="H1775" s="660"/>
      <c r="I1775" s="659"/>
      <c r="J1775" s="661"/>
      <c r="K1775" s="692"/>
      <c r="L1775" s="645"/>
      <c r="M1775" s="663"/>
      <c r="N1775" s="665"/>
      <c r="O1775" s="665"/>
      <c r="P1775" s="666"/>
      <c r="Q1775" s="667"/>
      <c r="R1775" s="668"/>
      <c r="S1775" s="693"/>
      <c r="T1775" s="694"/>
      <c r="U1775" s="694"/>
      <c r="V1775" s="693"/>
      <c r="W1775" s="693"/>
      <c r="X1775" s="693"/>
      <c r="Y1775" s="671"/>
      <c r="Z1775" s="673"/>
      <c r="AA1775" s="672"/>
      <c r="AB1775" s="695"/>
      <c r="AC1775" s="673"/>
      <c r="AD1775" s="673"/>
      <c r="AE1775" s="673"/>
      <c r="AF1775" s="673"/>
      <c r="AG1775" s="673"/>
      <c r="AH1775" s="673"/>
      <c r="AI1775" s="673"/>
      <c r="AJ1775" s="673"/>
      <c r="AK1775" s="673"/>
      <c r="AL1775" s="673"/>
      <c r="AM1775" s="673"/>
      <c r="AN1775" s="673"/>
      <c r="AO1775" s="673"/>
      <c r="AP1775" s="673"/>
      <c r="AQ1775" s="673"/>
      <c r="AR1775" s="673"/>
      <c r="AS1775" s="673"/>
      <c r="AT1775" s="696"/>
    </row>
    <row r="1776" ht="15.75" customHeight="1">
      <c r="A1776" s="653"/>
      <c r="B1776" s="654"/>
      <c r="C1776" s="691"/>
      <c r="D1776" s="656"/>
      <c r="E1776" s="657"/>
      <c r="F1776" s="658"/>
      <c r="G1776" s="659"/>
      <c r="H1776" s="660"/>
      <c r="I1776" s="659"/>
      <c r="J1776" s="661"/>
      <c r="K1776" s="692"/>
      <c r="L1776" s="645"/>
      <c r="M1776" s="663"/>
      <c r="N1776" s="665"/>
      <c r="O1776" s="665"/>
      <c r="P1776" s="666"/>
      <c r="Q1776" s="667"/>
      <c r="R1776" s="668"/>
      <c r="S1776" s="693"/>
      <c r="T1776" s="694"/>
      <c r="U1776" s="694"/>
      <c r="V1776" s="693"/>
      <c r="W1776" s="693"/>
      <c r="X1776" s="693"/>
      <c r="Y1776" s="671"/>
      <c r="Z1776" s="673"/>
      <c r="AA1776" s="672"/>
      <c r="AB1776" s="695"/>
      <c r="AC1776" s="673"/>
      <c r="AD1776" s="673"/>
      <c r="AE1776" s="673"/>
      <c r="AF1776" s="673"/>
      <c r="AG1776" s="673"/>
      <c r="AH1776" s="673"/>
      <c r="AI1776" s="673"/>
      <c r="AJ1776" s="673"/>
      <c r="AK1776" s="673"/>
      <c r="AL1776" s="673"/>
      <c r="AM1776" s="673"/>
      <c r="AN1776" s="673"/>
      <c r="AO1776" s="673"/>
      <c r="AP1776" s="673"/>
      <c r="AQ1776" s="673"/>
      <c r="AR1776" s="673"/>
      <c r="AS1776" s="673"/>
      <c r="AT1776" s="696"/>
    </row>
    <row r="1777" ht="15.75" customHeight="1">
      <c r="A1777" s="653"/>
      <c r="B1777" s="654"/>
      <c r="C1777" s="691"/>
      <c r="D1777" s="656"/>
      <c r="E1777" s="657"/>
      <c r="F1777" s="658"/>
      <c r="G1777" s="659"/>
      <c r="H1777" s="660"/>
      <c r="I1777" s="659"/>
      <c r="J1777" s="661"/>
      <c r="K1777" s="692"/>
      <c r="L1777" s="645"/>
      <c r="M1777" s="663"/>
      <c r="N1777" s="665"/>
      <c r="O1777" s="665"/>
      <c r="P1777" s="666"/>
      <c r="Q1777" s="667"/>
      <c r="R1777" s="668"/>
      <c r="S1777" s="693"/>
      <c r="T1777" s="694"/>
      <c r="U1777" s="694"/>
      <c r="V1777" s="693"/>
      <c r="W1777" s="693"/>
      <c r="X1777" s="693"/>
      <c r="Y1777" s="671"/>
      <c r="Z1777" s="673"/>
      <c r="AA1777" s="672"/>
      <c r="AB1777" s="695"/>
      <c r="AC1777" s="673"/>
      <c r="AD1777" s="673"/>
      <c r="AE1777" s="673"/>
      <c r="AF1777" s="673"/>
      <c r="AG1777" s="673"/>
      <c r="AH1777" s="673"/>
      <c r="AI1777" s="673"/>
      <c r="AJ1777" s="673"/>
      <c r="AK1777" s="673"/>
      <c r="AL1777" s="673"/>
      <c r="AM1777" s="673"/>
      <c r="AN1777" s="673"/>
      <c r="AO1777" s="673"/>
      <c r="AP1777" s="673"/>
      <c r="AQ1777" s="673"/>
      <c r="AR1777" s="673"/>
      <c r="AS1777" s="673"/>
      <c r="AT1777" s="696"/>
    </row>
    <row r="1778" ht="15.75" customHeight="1">
      <c r="A1778" s="653"/>
      <c r="B1778" s="654"/>
      <c r="C1778" s="691"/>
      <c r="D1778" s="656"/>
      <c r="E1778" s="657"/>
      <c r="F1778" s="658"/>
      <c r="G1778" s="659"/>
      <c r="H1778" s="660"/>
      <c r="I1778" s="659"/>
      <c r="J1778" s="661"/>
      <c r="K1778" s="692"/>
      <c r="L1778" s="645"/>
      <c r="M1778" s="663"/>
      <c r="N1778" s="665"/>
      <c r="O1778" s="665"/>
      <c r="P1778" s="666"/>
      <c r="Q1778" s="667"/>
      <c r="R1778" s="668"/>
      <c r="S1778" s="693"/>
      <c r="T1778" s="694"/>
      <c r="U1778" s="694"/>
      <c r="V1778" s="693"/>
      <c r="W1778" s="693"/>
      <c r="X1778" s="693"/>
      <c r="Y1778" s="671"/>
      <c r="Z1778" s="673"/>
      <c r="AA1778" s="672"/>
      <c r="AB1778" s="695"/>
      <c r="AC1778" s="673"/>
      <c r="AD1778" s="673"/>
      <c r="AE1778" s="673"/>
      <c r="AF1778" s="673"/>
      <c r="AG1778" s="673"/>
      <c r="AH1778" s="673"/>
      <c r="AI1778" s="673"/>
      <c r="AJ1778" s="673"/>
      <c r="AK1778" s="673"/>
      <c r="AL1778" s="673"/>
      <c r="AM1778" s="673"/>
      <c r="AN1778" s="673"/>
      <c r="AO1778" s="673"/>
      <c r="AP1778" s="673"/>
      <c r="AQ1778" s="673"/>
      <c r="AR1778" s="673"/>
      <c r="AS1778" s="673"/>
      <c r="AT1778" s="696"/>
    </row>
    <row r="1779" ht="15.75" customHeight="1">
      <c r="A1779" s="653"/>
      <c r="B1779" s="654"/>
      <c r="C1779" s="691"/>
      <c r="D1779" s="656"/>
      <c r="E1779" s="657"/>
      <c r="F1779" s="658"/>
      <c r="G1779" s="659"/>
      <c r="H1779" s="660"/>
      <c r="I1779" s="659"/>
      <c r="J1779" s="661"/>
      <c r="K1779" s="692"/>
      <c r="L1779" s="645"/>
      <c r="M1779" s="663"/>
      <c r="N1779" s="665"/>
      <c r="O1779" s="665"/>
      <c r="P1779" s="666"/>
      <c r="Q1779" s="667"/>
      <c r="R1779" s="668"/>
      <c r="S1779" s="693"/>
      <c r="T1779" s="694"/>
      <c r="U1779" s="694"/>
      <c r="V1779" s="693"/>
      <c r="W1779" s="693"/>
      <c r="X1779" s="693"/>
      <c r="Y1779" s="671"/>
      <c r="Z1779" s="673"/>
      <c r="AA1779" s="672"/>
      <c r="AB1779" s="695"/>
      <c r="AC1779" s="673"/>
      <c r="AD1779" s="673"/>
      <c r="AE1779" s="673"/>
      <c r="AF1779" s="673"/>
      <c r="AG1779" s="673"/>
      <c r="AH1779" s="673"/>
      <c r="AI1779" s="673"/>
      <c r="AJ1779" s="673"/>
      <c r="AK1779" s="673"/>
      <c r="AL1779" s="673"/>
      <c r="AM1779" s="673"/>
      <c r="AN1779" s="673"/>
      <c r="AO1779" s="673"/>
      <c r="AP1779" s="673"/>
      <c r="AQ1779" s="673"/>
      <c r="AR1779" s="673"/>
      <c r="AS1779" s="673"/>
      <c r="AT1779" s="696"/>
    </row>
    <row r="1780" ht="15.75" customHeight="1">
      <c r="A1780" s="653"/>
      <c r="B1780" s="654"/>
      <c r="C1780" s="691"/>
      <c r="D1780" s="656"/>
      <c r="E1780" s="657"/>
      <c r="F1780" s="658"/>
      <c r="G1780" s="659"/>
      <c r="H1780" s="660"/>
      <c r="I1780" s="659"/>
      <c r="J1780" s="661"/>
      <c r="K1780" s="692"/>
      <c r="L1780" s="645"/>
      <c r="M1780" s="663"/>
      <c r="N1780" s="665"/>
      <c r="O1780" s="665"/>
      <c r="P1780" s="666"/>
      <c r="Q1780" s="667"/>
      <c r="R1780" s="668"/>
      <c r="S1780" s="693"/>
      <c r="T1780" s="694"/>
      <c r="U1780" s="694"/>
      <c r="V1780" s="693"/>
      <c r="W1780" s="693"/>
      <c r="X1780" s="693"/>
      <c r="Y1780" s="671"/>
      <c r="Z1780" s="673"/>
      <c r="AA1780" s="672"/>
      <c r="AB1780" s="695"/>
      <c r="AC1780" s="673"/>
      <c r="AD1780" s="673"/>
      <c r="AE1780" s="673"/>
      <c r="AF1780" s="673"/>
      <c r="AG1780" s="673"/>
      <c r="AH1780" s="673"/>
      <c r="AI1780" s="673"/>
      <c r="AJ1780" s="673"/>
      <c r="AK1780" s="673"/>
      <c r="AL1780" s="673"/>
      <c r="AM1780" s="673"/>
      <c r="AN1780" s="673"/>
      <c r="AO1780" s="673"/>
      <c r="AP1780" s="673"/>
      <c r="AQ1780" s="673"/>
      <c r="AR1780" s="673"/>
      <c r="AS1780" s="673"/>
      <c r="AT1780" s="696"/>
    </row>
    <row r="1781" ht="15.75" customHeight="1">
      <c r="A1781" s="653"/>
      <c r="B1781" s="654"/>
      <c r="C1781" s="691"/>
      <c r="D1781" s="656"/>
      <c r="E1781" s="657"/>
      <c r="F1781" s="658"/>
      <c r="G1781" s="659"/>
      <c r="H1781" s="660"/>
      <c r="I1781" s="659"/>
      <c r="J1781" s="661"/>
      <c r="K1781" s="692"/>
      <c r="L1781" s="645"/>
      <c r="M1781" s="663"/>
      <c r="N1781" s="665"/>
      <c r="O1781" s="665"/>
      <c r="P1781" s="666"/>
      <c r="Q1781" s="667"/>
      <c r="R1781" s="668"/>
      <c r="S1781" s="693"/>
      <c r="T1781" s="694"/>
      <c r="U1781" s="694"/>
      <c r="V1781" s="693"/>
      <c r="W1781" s="693"/>
      <c r="X1781" s="693"/>
      <c r="Y1781" s="671"/>
      <c r="Z1781" s="673"/>
      <c r="AA1781" s="672"/>
      <c r="AB1781" s="695"/>
      <c r="AC1781" s="673"/>
      <c r="AD1781" s="673"/>
      <c r="AE1781" s="673"/>
      <c r="AF1781" s="673"/>
      <c r="AG1781" s="673"/>
      <c r="AH1781" s="673"/>
      <c r="AI1781" s="673"/>
      <c r="AJ1781" s="673"/>
      <c r="AK1781" s="673"/>
      <c r="AL1781" s="673"/>
      <c r="AM1781" s="673"/>
      <c r="AN1781" s="673"/>
      <c r="AO1781" s="673"/>
      <c r="AP1781" s="673"/>
      <c r="AQ1781" s="673"/>
      <c r="AR1781" s="673"/>
      <c r="AS1781" s="673"/>
      <c r="AT1781" s="696"/>
    </row>
    <row r="1782" ht="15.75" customHeight="1">
      <c r="A1782" s="653"/>
      <c r="B1782" s="654"/>
      <c r="C1782" s="691"/>
      <c r="D1782" s="656"/>
      <c r="E1782" s="657"/>
      <c r="F1782" s="658"/>
      <c r="G1782" s="659"/>
      <c r="H1782" s="660"/>
      <c r="I1782" s="659"/>
      <c r="J1782" s="661"/>
      <c r="K1782" s="692"/>
      <c r="L1782" s="645"/>
      <c r="M1782" s="663"/>
      <c r="N1782" s="665"/>
      <c r="O1782" s="665"/>
      <c r="P1782" s="666"/>
      <c r="Q1782" s="667"/>
      <c r="R1782" s="668"/>
      <c r="S1782" s="693"/>
      <c r="T1782" s="694"/>
      <c r="U1782" s="694"/>
      <c r="V1782" s="693"/>
      <c r="W1782" s="693"/>
      <c r="X1782" s="693"/>
      <c r="Y1782" s="671"/>
      <c r="Z1782" s="673"/>
      <c r="AA1782" s="672"/>
      <c r="AB1782" s="695"/>
      <c r="AC1782" s="673"/>
      <c r="AD1782" s="673"/>
      <c r="AE1782" s="673"/>
      <c r="AF1782" s="673"/>
      <c r="AG1782" s="673"/>
      <c r="AH1782" s="673"/>
      <c r="AI1782" s="673"/>
      <c r="AJ1782" s="673"/>
      <c r="AK1782" s="673"/>
      <c r="AL1782" s="673"/>
      <c r="AM1782" s="673"/>
      <c r="AN1782" s="673"/>
      <c r="AO1782" s="673"/>
      <c r="AP1782" s="673"/>
      <c r="AQ1782" s="673"/>
      <c r="AR1782" s="673"/>
      <c r="AS1782" s="673"/>
      <c r="AT1782" s="696"/>
    </row>
    <row r="1783" ht="15.75" customHeight="1">
      <c r="A1783" s="653"/>
      <c r="B1783" s="654"/>
      <c r="C1783" s="691"/>
      <c r="D1783" s="656"/>
      <c r="E1783" s="657"/>
      <c r="F1783" s="658"/>
      <c r="G1783" s="659"/>
      <c r="H1783" s="660"/>
      <c r="I1783" s="659"/>
      <c r="J1783" s="661"/>
      <c r="K1783" s="692"/>
      <c r="L1783" s="645"/>
      <c r="M1783" s="663"/>
      <c r="N1783" s="665"/>
      <c r="O1783" s="665"/>
      <c r="P1783" s="666"/>
      <c r="Q1783" s="667"/>
      <c r="R1783" s="668"/>
      <c r="S1783" s="693"/>
      <c r="T1783" s="694"/>
      <c r="U1783" s="694"/>
      <c r="V1783" s="693"/>
      <c r="W1783" s="693"/>
      <c r="X1783" s="693"/>
      <c r="Y1783" s="671"/>
      <c r="Z1783" s="673"/>
      <c r="AA1783" s="672"/>
      <c r="AB1783" s="695"/>
      <c r="AC1783" s="673"/>
      <c r="AD1783" s="673"/>
      <c r="AE1783" s="673"/>
      <c r="AF1783" s="673"/>
      <c r="AG1783" s="673"/>
      <c r="AH1783" s="673"/>
      <c r="AI1783" s="673"/>
      <c r="AJ1783" s="673"/>
      <c r="AK1783" s="673"/>
      <c r="AL1783" s="673"/>
      <c r="AM1783" s="673"/>
      <c r="AN1783" s="673"/>
      <c r="AO1783" s="673"/>
      <c r="AP1783" s="673"/>
      <c r="AQ1783" s="673"/>
      <c r="AR1783" s="673"/>
      <c r="AS1783" s="673"/>
      <c r="AT1783" s="696"/>
    </row>
    <row r="1784" ht="15.75" customHeight="1">
      <c r="A1784" s="653"/>
      <c r="B1784" s="654"/>
      <c r="C1784" s="691"/>
      <c r="D1784" s="656"/>
      <c r="E1784" s="657"/>
      <c r="F1784" s="658"/>
      <c r="G1784" s="659"/>
      <c r="H1784" s="660"/>
      <c r="I1784" s="659"/>
      <c r="J1784" s="661"/>
      <c r="K1784" s="692"/>
      <c r="L1784" s="645"/>
      <c r="M1784" s="663"/>
      <c r="N1784" s="665"/>
      <c r="O1784" s="665"/>
      <c r="P1784" s="666"/>
      <c r="Q1784" s="667"/>
      <c r="R1784" s="668"/>
      <c r="S1784" s="693"/>
      <c r="T1784" s="694"/>
      <c r="U1784" s="694"/>
      <c r="V1784" s="693"/>
      <c r="W1784" s="693"/>
      <c r="X1784" s="693"/>
      <c r="Y1784" s="671"/>
      <c r="Z1784" s="673"/>
      <c r="AA1784" s="672"/>
      <c r="AB1784" s="695"/>
      <c r="AC1784" s="673"/>
      <c r="AD1784" s="673"/>
      <c r="AE1784" s="673"/>
      <c r="AF1784" s="673"/>
      <c r="AG1784" s="673"/>
      <c r="AH1784" s="673"/>
      <c r="AI1784" s="673"/>
      <c r="AJ1784" s="673"/>
      <c r="AK1784" s="673"/>
      <c r="AL1784" s="673"/>
      <c r="AM1784" s="673"/>
      <c r="AN1784" s="673"/>
      <c r="AO1784" s="673"/>
      <c r="AP1784" s="673"/>
      <c r="AQ1784" s="673"/>
      <c r="AR1784" s="673"/>
      <c r="AS1784" s="673"/>
      <c r="AT1784" s="696"/>
    </row>
    <row r="1785" ht="15.75" customHeight="1">
      <c r="A1785" s="653"/>
      <c r="B1785" s="654"/>
      <c r="C1785" s="691"/>
      <c r="D1785" s="656"/>
      <c r="E1785" s="657"/>
      <c r="F1785" s="658"/>
      <c r="G1785" s="659"/>
      <c r="H1785" s="660"/>
      <c r="I1785" s="659"/>
      <c r="J1785" s="661"/>
      <c r="K1785" s="692"/>
      <c r="L1785" s="645"/>
      <c r="M1785" s="663"/>
      <c r="N1785" s="665"/>
      <c r="O1785" s="665"/>
      <c r="P1785" s="666"/>
      <c r="Q1785" s="667"/>
      <c r="R1785" s="668"/>
      <c r="S1785" s="693"/>
      <c r="T1785" s="694"/>
      <c r="U1785" s="694"/>
      <c r="V1785" s="693"/>
      <c r="W1785" s="693"/>
      <c r="X1785" s="693"/>
      <c r="Y1785" s="671"/>
      <c r="Z1785" s="673"/>
      <c r="AA1785" s="672"/>
      <c r="AB1785" s="695"/>
      <c r="AC1785" s="673"/>
      <c r="AD1785" s="673"/>
      <c r="AE1785" s="673"/>
      <c r="AF1785" s="673"/>
      <c r="AG1785" s="673"/>
      <c r="AH1785" s="673"/>
      <c r="AI1785" s="673"/>
      <c r="AJ1785" s="673"/>
      <c r="AK1785" s="673"/>
      <c r="AL1785" s="673"/>
      <c r="AM1785" s="673"/>
      <c r="AN1785" s="673"/>
      <c r="AO1785" s="673"/>
      <c r="AP1785" s="673"/>
      <c r="AQ1785" s="673"/>
      <c r="AR1785" s="673"/>
      <c r="AS1785" s="673"/>
      <c r="AT1785" s="696"/>
    </row>
    <row r="1786" ht="15.75" customHeight="1">
      <c r="A1786" s="653"/>
      <c r="B1786" s="654"/>
      <c r="C1786" s="691"/>
      <c r="D1786" s="656"/>
      <c r="E1786" s="657"/>
      <c r="F1786" s="658"/>
      <c r="G1786" s="659"/>
      <c r="H1786" s="660"/>
      <c r="I1786" s="659"/>
      <c r="J1786" s="661"/>
      <c r="K1786" s="692"/>
      <c r="L1786" s="645"/>
      <c r="M1786" s="663"/>
      <c r="N1786" s="665"/>
      <c r="O1786" s="665"/>
      <c r="P1786" s="666"/>
      <c r="Q1786" s="667"/>
      <c r="R1786" s="668"/>
      <c r="S1786" s="693"/>
      <c r="T1786" s="694"/>
      <c r="U1786" s="694"/>
      <c r="V1786" s="693"/>
      <c r="W1786" s="693"/>
      <c r="X1786" s="693"/>
      <c r="Y1786" s="671"/>
      <c r="Z1786" s="673"/>
      <c r="AA1786" s="672"/>
      <c r="AB1786" s="695"/>
      <c r="AC1786" s="673"/>
      <c r="AD1786" s="673"/>
      <c r="AE1786" s="673"/>
      <c r="AF1786" s="673"/>
      <c r="AG1786" s="673"/>
      <c r="AH1786" s="673"/>
      <c r="AI1786" s="673"/>
      <c r="AJ1786" s="673"/>
      <c r="AK1786" s="673"/>
      <c r="AL1786" s="673"/>
      <c r="AM1786" s="673"/>
      <c r="AN1786" s="673"/>
      <c r="AO1786" s="673"/>
      <c r="AP1786" s="673"/>
      <c r="AQ1786" s="673"/>
      <c r="AR1786" s="673"/>
      <c r="AS1786" s="673"/>
      <c r="AT1786" s="696"/>
    </row>
    <row r="1787" ht="15.75" customHeight="1">
      <c r="A1787" s="653"/>
      <c r="B1787" s="654"/>
      <c r="C1787" s="691"/>
      <c r="D1787" s="656"/>
      <c r="E1787" s="657"/>
      <c r="F1787" s="658"/>
      <c r="G1787" s="659"/>
      <c r="H1787" s="660"/>
      <c r="I1787" s="659"/>
      <c r="J1787" s="661"/>
      <c r="K1787" s="692"/>
      <c r="L1787" s="645"/>
      <c r="M1787" s="663"/>
      <c r="N1787" s="665"/>
      <c r="O1787" s="665"/>
      <c r="P1787" s="666"/>
      <c r="Q1787" s="667"/>
      <c r="R1787" s="668"/>
      <c r="S1787" s="693"/>
      <c r="T1787" s="694"/>
      <c r="U1787" s="694"/>
      <c r="V1787" s="693"/>
      <c r="W1787" s="693"/>
      <c r="X1787" s="693"/>
      <c r="Y1787" s="671"/>
      <c r="Z1787" s="673"/>
      <c r="AA1787" s="672"/>
      <c r="AB1787" s="695"/>
      <c r="AC1787" s="673"/>
      <c r="AD1787" s="673"/>
      <c r="AE1787" s="673"/>
      <c r="AF1787" s="673"/>
      <c r="AG1787" s="673"/>
      <c r="AH1787" s="673"/>
      <c r="AI1787" s="673"/>
      <c r="AJ1787" s="673"/>
      <c r="AK1787" s="673"/>
      <c r="AL1787" s="673"/>
      <c r="AM1787" s="673"/>
      <c r="AN1787" s="673"/>
      <c r="AO1787" s="673"/>
      <c r="AP1787" s="673"/>
      <c r="AQ1787" s="673"/>
      <c r="AR1787" s="673"/>
      <c r="AS1787" s="673"/>
      <c r="AT1787" s="696"/>
    </row>
    <row r="1788" ht="15.75" customHeight="1">
      <c r="A1788" s="653"/>
      <c r="B1788" s="654"/>
      <c r="C1788" s="691"/>
      <c r="D1788" s="656"/>
      <c r="E1788" s="657"/>
      <c r="F1788" s="658"/>
      <c r="G1788" s="659"/>
      <c r="H1788" s="660"/>
      <c r="I1788" s="659"/>
      <c r="J1788" s="661"/>
      <c r="K1788" s="692"/>
      <c r="L1788" s="645"/>
      <c r="M1788" s="663"/>
      <c r="N1788" s="665"/>
      <c r="O1788" s="665"/>
      <c r="P1788" s="666"/>
      <c r="Q1788" s="667"/>
      <c r="R1788" s="668"/>
      <c r="S1788" s="693"/>
      <c r="T1788" s="694"/>
      <c r="U1788" s="694"/>
      <c r="V1788" s="693"/>
      <c r="W1788" s="693"/>
      <c r="X1788" s="693"/>
      <c r="Y1788" s="671"/>
      <c r="Z1788" s="673"/>
      <c r="AA1788" s="672"/>
      <c r="AB1788" s="695"/>
      <c r="AC1788" s="673"/>
      <c r="AD1788" s="673"/>
      <c r="AE1788" s="673"/>
      <c r="AF1788" s="673"/>
      <c r="AG1788" s="673"/>
      <c r="AH1788" s="673"/>
      <c r="AI1788" s="673"/>
      <c r="AJ1788" s="673"/>
      <c r="AK1788" s="673"/>
      <c r="AL1788" s="673"/>
      <c r="AM1788" s="673"/>
      <c r="AN1788" s="673"/>
      <c r="AO1788" s="673"/>
      <c r="AP1788" s="673"/>
      <c r="AQ1788" s="673"/>
      <c r="AR1788" s="673"/>
      <c r="AS1788" s="673"/>
      <c r="AT1788" s="696"/>
    </row>
    <row r="1789" ht="15.75" customHeight="1">
      <c r="A1789" s="653"/>
      <c r="B1789" s="654"/>
      <c r="C1789" s="691"/>
      <c r="D1789" s="656"/>
      <c r="E1789" s="657"/>
      <c r="F1789" s="658"/>
      <c r="G1789" s="659"/>
      <c r="H1789" s="660"/>
      <c r="I1789" s="659"/>
      <c r="J1789" s="661"/>
      <c r="K1789" s="692"/>
      <c r="L1789" s="645"/>
      <c r="M1789" s="663"/>
      <c r="N1789" s="665"/>
      <c r="O1789" s="665"/>
      <c r="P1789" s="666"/>
      <c r="Q1789" s="667"/>
      <c r="R1789" s="668"/>
      <c r="S1789" s="693"/>
      <c r="T1789" s="694"/>
      <c r="U1789" s="694"/>
      <c r="V1789" s="693"/>
      <c r="W1789" s="693"/>
      <c r="X1789" s="693"/>
      <c r="Y1789" s="671"/>
      <c r="Z1789" s="673"/>
      <c r="AA1789" s="672"/>
      <c r="AB1789" s="695"/>
      <c r="AC1789" s="673"/>
      <c r="AD1789" s="673"/>
      <c r="AE1789" s="673"/>
      <c r="AF1789" s="673"/>
      <c r="AG1789" s="673"/>
      <c r="AH1789" s="673"/>
      <c r="AI1789" s="673"/>
      <c r="AJ1789" s="673"/>
      <c r="AK1789" s="673"/>
      <c r="AL1789" s="673"/>
      <c r="AM1789" s="673"/>
      <c r="AN1789" s="673"/>
      <c r="AO1789" s="673"/>
      <c r="AP1789" s="673"/>
      <c r="AQ1789" s="673"/>
      <c r="AR1789" s="673"/>
      <c r="AS1789" s="673"/>
      <c r="AT1789" s="696"/>
    </row>
    <row r="1790" ht="15.75" customHeight="1">
      <c r="A1790" s="653"/>
      <c r="B1790" s="654"/>
      <c r="C1790" s="691"/>
      <c r="D1790" s="656"/>
      <c r="E1790" s="657"/>
      <c r="F1790" s="658"/>
      <c r="G1790" s="659"/>
      <c r="H1790" s="660"/>
      <c r="I1790" s="659"/>
      <c r="J1790" s="661"/>
      <c r="K1790" s="692"/>
      <c r="L1790" s="645"/>
      <c r="M1790" s="663"/>
      <c r="N1790" s="665"/>
      <c r="O1790" s="665"/>
      <c r="P1790" s="666"/>
      <c r="Q1790" s="667"/>
      <c r="R1790" s="668"/>
      <c r="S1790" s="693"/>
      <c r="T1790" s="694"/>
      <c r="U1790" s="694"/>
      <c r="V1790" s="693"/>
      <c r="W1790" s="693"/>
      <c r="X1790" s="693"/>
      <c r="Y1790" s="671"/>
      <c r="Z1790" s="673"/>
      <c r="AA1790" s="672"/>
      <c r="AB1790" s="695"/>
      <c r="AC1790" s="673"/>
      <c r="AD1790" s="673"/>
      <c r="AE1790" s="673"/>
      <c r="AF1790" s="673"/>
      <c r="AG1790" s="673"/>
      <c r="AH1790" s="673"/>
      <c r="AI1790" s="673"/>
      <c r="AJ1790" s="673"/>
      <c r="AK1790" s="673"/>
      <c r="AL1790" s="673"/>
      <c r="AM1790" s="673"/>
      <c r="AN1790" s="673"/>
      <c r="AO1790" s="673"/>
      <c r="AP1790" s="673"/>
      <c r="AQ1790" s="673"/>
      <c r="AR1790" s="673"/>
      <c r="AS1790" s="673"/>
      <c r="AT1790" s="696"/>
    </row>
    <row r="1791" ht="15.75" customHeight="1">
      <c r="A1791" s="653"/>
      <c r="B1791" s="654"/>
      <c r="C1791" s="691"/>
      <c r="D1791" s="656"/>
      <c r="E1791" s="657"/>
      <c r="F1791" s="658"/>
      <c r="G1791" s="659"/>
      <c r="H1791" s="660"/>
      <c r="I1791" s="659"/>
      <c r="J1791" s="661"/>
      <c r="K1791" s="692"/>
      <c r="L1791" s="645"/>
      <c r="M1791" s="663"/>
      <c r="N1791" s="665"/>
      <c r="O1791" s="665"/>
      <c r="P1791" s="666"/>
      <c r="Q1791" s="667"/>
      <c r="R1791" s="668"/>
      <c r="S1791" s="693"/>
      <c r="T1791" s="694"/>
      <c r="U1791" s="694"/>
      <c r="V1791" s="693"/>
      <c r="W1791" s="693"/>
      <c r="X1791" s="693"/>
      <c r="Y1791" s="671"/>
      <c r="Z1791" s="673"/>
      <c r="AA1791" s="672"/>
      <c r="AB1791" s="695"/>
      <c r="AC1791" s="673"/>
      <c r="AD1791" s="673"/>
      <c r="AE1791" s="673"/>
      <c r="AF1791" s="673"/>
      <c r="AG1791" s="673"/>
      <c r="AH1791" s="673"/>
      <c r="AI1791" s="673"/>
      <c r="AJ1791" s="673"/>
      <c r="AK1791" s="673"/>
      <c r="AL1791" s="673"/>
      <c r="AM1791" s="673"/>
      <c r="AN1791" s="673"/>
      <c r="AO1791" s="673"/>
      <c r="AP1791" s="673"/>
      <c r="AQ1791" s="673"/>
      <c r="AR1791" s="673"/>
      <c r="AS1791" s="673"/>
      <c r="AT1791" s="696"/>
    </row>
    <row r="1792" ht="15.75" customHeight="1">
      <c r="A1792" s="653"/>
      <c r="B1792" s="654"/>
      <c r="C1792" s="691"/>
      <c r="D1792" s="656"/>
      <c r="E1792" s="657"/>
      <c r="F1792" s="658"/>
      <c r="G1792" s="659"/>
      <c r="H1792" s="660"/>
      <c r="I1792" s="659"/>
      <c r="J1792" s="661"/>
      <c r="K1792" s="692"/>
      <c r="L1792" s="645"/>
      <c r="M1792" s="663"/>
      <c r="N1792" s="665"/>
      <c r="O1792" s="665"/>
      <c r="P1792" s="666"/>
      <c r="Q1792" s="667"/>
      <c r="R1792" s="668"/>
      <c r="S1792" s="693"/>
      <c r="T1792" s="694"/>
      <c r="U1792" s="694"/>
      <c r="V1792" s="693"/>
      <c r="W1792" s="693"/>
      <c r="X1792" s="693"/>
      <c r="Y1792" s="671"/>
      <c r="Z1792" s="673"/>
      <c r="AA1792" s="672"/>
      <c r="AB1792" s="695"/>
      <c r="AC1792" s="673"/>
      <c r="AD1792" s="673"/>
      <c r="AE1792" s="673"/>
      <c r="AF1792" s="673"/>
      <c r="AG1792" s="673"/>
      <c r="AH1792" s="673"/>
      <c r="AI1792" s="673"/>
      <c r="AJ1792" s="673"/>
      <c r="AK1792" s="673"/>
      <c r="AL1792" s="673"/>
      <c r="AM1792" s="673"/>
      <c r="AN1792" s="673"/>
      <c r="AO1792" s="673"/>
      <c r="AP1792" s="673"/>
      <c r="AQ1792" s="673"/>
      <c r="AR1792" s="673"/>
      <c r="AS1792" s="673"/>
      <c r="AT1792" s="696"/>
    </row>
    <row r="1793" ht="15.75" customHeight="1">
      <c r="A1793" s="653"/>
      <c r="B1793" s="654"/>
      <c r="C1793" s="691"/>
      <c r="D1793" s="656"/>
      <c r="E1793" s="657"/>
      <c r="F1793" s="658"/>
      <c r="G1793" s="659"/>
      <c r="H1793" s="660"/>
      <c r="I1793" s="659"/>
      <c r="J1793" s="661"/>
      <c r="K1793" s="692"/>
      <c r="L1793" s="645"/>
      <c r="M1793" s="663"/>
      <c r="N1793" s="665"/>
      <c r="O1793" s="665"/>
      <c r="P1793" s="666"/>
      <c r="Q1793" s="667"/>
      <c r="R1793" s="668"/>
      <c r="S1793" s="693"/>
      <c r="T1793" s="694"/>
      <c r="U1793" s="694"/>
      <c r="V1793" s="693"/>
      <c r="W1793" s="693"/>
      <c r="X1793" s="693"/>
      <c r="Y1793" s="671"/>
      <c r="Z1793" s="673"/>
      <c r="AA1793" s="672"/>
      <c r="AB1793" s="695"/>
      <c r="AC1793" s="673"/>
      <c r="AD1793" s="673"/>
      <c r="AE1793" s="673"/>
      <c r="AF1793" s="673"/>
      <c r="AG1793" s="673"/>
      <c r="AH1793" s="673"/>
      <c r="AI1793" s="673"/>
      <c r="AJ1793" s="673"/>
      <c r="AK1793" s="673"/>
      <c r="AL1793" s="673"/>
      <c r="AM1793" s="673"/>
      <c r="AN1793" s="673"/>
      <c r="AO1793" s="673"/>
      <c r="AP1793" s="673"/>
      <c r="AQ1793" s="673"/>
      <c r="AR1793" s="673"/>
      <c r="AS1793" s="673"/>
      <c r="AT1793" s="696"/>
    </row>
    <row r="1794" ht="15.75" customHeight="1">
      <c r="A1794" s="653"/>
      <c r="B1794" s="654"/>
      <c r="C1794" s="691"/>
      <c r="D1794" s="656"/>
      <c r="E1794" s="657"/>
      <c r="F1794" s="658"/>
      <c r="G1794" s="659"/>
      <c r="H1794" s="660"/>
      <c r="I1794" s="659"/>
      <c r="J1794" s="661"/>
      <c r="K1794" s="692"/>
      <c r="L1794" s="645"/>
      <c r="M1794" s="663"/>
      <c r="N1794" s="665"/>
      <c r="O1794" s="665"/>
      <c r="P1794" s="666"/>
      <c r="Q1794" s="667"/>
      <c r="R1794" s="668"/>
      <c r="S1794" s="693"/>
      <c r="T1794" s="694"/>
      <c r="U1794" s="694"/>
      <c r="V1794" s="693"/>
      <c r="W1794" s="693"/>
      <c r="X1794" s="693"/>
      <c r="Y1794" s="671"/>
      <c r="Z1794" s="673"/>
      <c r="AA1794" s="672"/>
      <c r="AB1794" s="695"/>
      <c r="AC1794" s="673"/>
      <c r="AD1794" s="673"/>
      <c r="AE1794" s="673"/>
      <c r="AF1794" s="673"/>
      <c r="AG1794" s="673"/>
      <c r="AH1794" s="673"/>
      <c r="AI1794" s="673"/>
      <c r="AJ1794" s="673"/>
      <c r="AK1794" s="673"/>
      <c r="AL1794" s="673"/>
      <c r="AM1794" s="673"/>
      <c r="AN1794" s="673"/>
      <c r="AO1794" s="673"/>
      <c r="AP1794" s="673"/>
      <c r="AQ1794" s="673"/>
      <c r="AR1794" s="673"/>
      <c r="AS1794" s="673"/>
      <c r="AT1794" s="696"/>
    </row>
    <row r="1795" ht="15.75" customHeight="1">
      <c r="A1795" s="653"/>
      <c r="B1795" s="654"/>
      <c r="C1795" s="691"/>
      <c r="D1795" s="656"/>
      <c r="E1795" s="657"/>
      <c r="F1795" s="658"/>
      <c r="G1795" s="659"/>
      <c r="H1795" s="660"/>
      <c r="I1795" s="659"/>
      <c r="J1795" s="661"/>
      <c r="K1795" s="692"/>
      <c r="L1795" s="645"/>
      <c r="M1795" s="663"/>
      <c r="N1795" s="665"/>
      <c r="O1795" s="665"/>
      <c r="P1795" s="666"/>
      <c r="Q1795" s="667"/>
      <c r="R1795" s="668"/>
      <c r="S1795" s="693"/>
      <c r="T1795" s="694"/>
      <c r="U1795" s="694"/>
      <c r="V1795" s="693"/>
      <c r="W1795" s="693"/>
      <c r="X1795" s="693"/>
      <c r="Y1795" s="671"/>
      <c r="Z1795" s="673"/>
      <c r="AA1795" s="672"/>
      <c r="AB1795" s="695"/>
      <c r="AC1795" s="673"/>
      <c r="AD1795" s="673"/>
      <c r="AE1795" s="673"/>
      <c r="AF1795" s="673"/>
      <c r="AG1795" s="673"/>
      <c r="AH1795" s="673"/>
      <c r="AI1795" s="673"/>
      <c r="AJ1795" s="673"/>
      <c r="AK1795" s="673"/>
      <c r="AL1795" s="673"/>
      <c r="AM1795" s="673"/>
      <c r="AN1795" s="673"/>
      <c r="AO1795" s="673"/>
      <c r="AP1795" s="673"/>
      <c r="AQ1795" s="673"/>
      <c r="AR1795" s="673"/>
      <c r="AS1795" s="673"/>
      <c r="AT1795" s="696"/>
    </row>
    <row r="1796" ht="15.75" customHeight="1">
      <c r="A1796" s="653"/>
      <c r="B1796" s="654"/>
      <c r="C1796" s="691"/>
      <c r="D1796" s="656"/>
      <c r="E1796" s="657"/>
      <c r="F1796" s="658"/>
      <c r="G1796" s="659"/>
      <c r="H1796" s="660"/>
      <c r="I1796" s="659"/>
      <c r="J1796" s="661"/>
      <c r="K1796" s="692"/>
      <c r="L1796" s="645"/>
      <c r="M1796" s="663"/>
      <c r="N1796" s="665"/>
      <c r="O1796" s="665"/>
      <c r="P1796" s="666"/>
      <c r="Q1796" s="667"/>
      <c r="R1796" s="668"/>
      <c r="S1796" s="693"/>
      <c r="T1796" s="694"/>
      <c r="U1796" s="694"/>
      <c r="V1796" s="693"/>
      <c r="W1796" s="693"/>
      <c r="X1796" s="693"/>
      <c r="Y1796" s="671"/>
      <c r="Z1796" s="673"/>
      <c r="AA1796" s="672"/>
      <c r="AB1796" s="695"/>
      <c r="AC1796" s="673"/>
      <c r="AD1796" s="673"/>
      <c r="AE1796" s="673"/>
      <c r="AF1796" s="673"/>
      <c r="AG1796" s="673"/>
      <c r="AH1796" s="673"/>
      <c r="AI1796" s="673"/>
      <c r="AJ1796" s="673"/>
      <c r="AK1796" s="673"/>
      <c r="AL1796" s="673"/>
      <c r="AM1796" s="673"/>
      <c r="AN1796" s="673"/>
      <c r="AO1796" s="673"/>
      <c r="AP1796" s="673"/>
      <c r="AQ1796" s="673"/>
      <c r="AR1796" s="673"/>
      <c r="AS1796" s="673"/>
      <c r="AT1796" s="696"/>
    </row>
    <row r="1797" ht="15.75" customHeight="1">
      <c r="A1797" s="653"/>
      <c r="B1797" s="654"/>
      <c r="C1797" s="691"/>
      <c r="D1797" s="656"/>
      <c r="E1797" s="657"/>
      <c r="F1797" s="658"/>
      <c r="G1797" s="659"/>
      <c r="H1797" s="660"/>
      <c r="I1797" s="659"/>
      <c r="J1797" s="661"/>
      <c r="K1797" s="692"/>
      <c r="L1797" s="645"/>
      <c r="M1797" s="663"/>
      <c r="N1797" s="665"/>
      <c r="O1797" s="665"/>
      <c r="P1797" s="666"/>
      <c r="Q1797" s="667"/>
      <c r="R1797" s="668"/>
      <c r="S1797" s="693"/>
      <c r="T1797" s="694"/>
      <c r="U1797" s="694"/>
      <c r="V1797" s="693"/>
      <c r="W1797" s="693"/>
      <c r="X1797" s="693"/>
      <c r="Y1797" s="671"/>
      <c r="Z1797" s="673"/>
      <c r="AA1797" s="672"/>
      <c r="AB1797" s="695"/>
      <c r="AC1797" s="673"/>
      <c r="AD1797" s="673"/>
      <c r="AE1797" s="673"/>
      <c r="AF1797" s="673"/>
      <c r="AG1797" s="673"/>
      <c r="AH1797" s="673"/>
      <c r="AI1797" s="673"/>
      <c r="AJ1797" s="673"/>
      <c r="AK1797" s="673"/>
      <c r="AL1797" s="673"/>
      <c r="AM1797" s="673"/>
      <c r="AN1797" s="673"/>
      <c r="AO1797" s="673"/>
      <c r="AP1797" s="673"/>
      <c r="AQ1797" s="673"/>
      <c r="AR1797" s="673"/>
      <c r="AS1797" s="673"/>
      <c r="AT1797" s="696"/>
    </row>
    <row r="1798" ht="15.75" customHeight="1">
      <c r="A1798" s="653"/>
      <c r="B1798" s="654"/>
      <c r="C1798" s="691"/>
      <c r="D1798" s="656"/>
      <c r="E1798" s="657"/>
      <c r="F1798" s="658"/>
      <c r="G1798" s="659"/>
      <c r="H1798" s="660"/>
      <c r="I1798" s="659"/>
      <c r="J1798" s="661"/>
      <c r="K1798" s="692"/>
      <c r="L1798" s="645"/>
      <c r="M1798" s="663"/>
      <c r="N1798" s="665"/>
      <c r="O1798" s="665"/>
      <c r="P1798" s="666"/>
      <c r="Q1798" s="667"/>
      <c r="R1798" s="668"/>
      <c r="S1798" s="693"/>
      <c r="T1798" s="694"/>
      <c r="U1798" s="694"/>
      <c r="V1798" s="693"/>
      <c r="W1798" s="693"/>
      <c r="X1798" s="693"/>
      <c r="Y1798" s="671"/>
      <c r="Z1798" s="673"/>
      <c r="AA1798" s="672"/>
      <c r="AB1798" s="695"/>
      <c r="AC1798" s="673"/>
      <c r="AD1798" s="673"/>
      <c r="AE1798" s="673"/>
      <c r="AF1798" s="673"/>
      <c r="AG1798" s="673"/>
      <c r="AH1798" s="673"/>
      <c r="AI1798" s="673"/>
      <c r="AJ1798" s="673"/>
      <c r="AK1798" s="673"/>
      <c r="AL1798" s="673"/>
      <c r="AM1798" s="673"/>
      <c r="AN1798" s="673"/>
      <c r="AO1798" s="673"/>
      <c r="AP1798" s="673"/>
      <c r="AQ1798" s="673"/>
      <c r="AR1798" s="673"/>
      <c r="AS1798" s="673"/>
      <c r="AT1798" s="696"/>
    </row>
    <row r="1799" ht="15.75" customHeight="1">
      <c r="A1799" s="653"/>
      <c r="B1799" s="654"/>
      <c r="C1799" s="691"/>
      <c r="D1799" s="656"/>
      <c r="E1799" s="657"/>
      <c r="F1799" s="658"/>
      <c r="G1799" s="659"/>
      <c r="H1799" s="660"/>
      <c r="I1799" s="659"/>
      <c r="J1799" s="661"/>
      <c r="K1799" s="692"/>
      <c r="L1799" s="645"/>
      <c r="M1799" s="663"/>
      <c r="N1799" s="665"/>
      <c r="O1799" s="665"/>
      <c r="P1799" s="666"/>
      <c r="Q1799" s="667"/>
      <c r="R1799" s="668"/>
      <c r="S1799" s="693"/>
      <c r="T1799" s="694"/>
      <c r="U1799" s="694"/>
      <c r="V1799" s="693"/>
      <c r="W1799" s="693"/>
      <c r="X1799" s="693"/>
      <c r="Y1799" s="671"/>
      <c r="Z1799" s="673"/>
      <c r="AA1799" s="672"/>
      <c r="AB1799" s="695"/>
      <c r="AC1799" s="673"/>
      <c r="AD1799" s="673"/>
      <c r="AE1799" s="673"/>
      <c r="AF1799" s="673"/>
      <c r="AG1799" s="673"/>
      <c r="AH1799" s="673"/>
      <c r="AI1799" s="673"/>
      <c r="AJ1799" s="673"/>
      <c r="AK1799" s="673"/>
      <c r="AL1799" s="673"/>
      <c r="AM1799" s="673"/>
      <c r="AN1799" s="673"/>
      <c r="AO1799" s="673"/>
      <c r="AP1799" s="673"/>
      <c r="AQ1799" s="673"/>
      <c r="AR1799" s="673"/>
      <c r="AS1799" s="673"/>
      <c r="AT1799" s="696"/>
    </row>
    <row r="1800" ht="15.75" customHeight="1">
      <c r="A1800" s="653"/>
      <c r="B1800" s="654"/>
      <c r="C1800" s="691"/>
      <c r="D1800" s="656"/>
      <c r="E1800" s="657"/>
      <c r="F1800" s="658"/>
      <c r="G1800" s="659"/>
      <c r="H1800" s="660"/>
      <c r="I1800" s="659"/>
      <c r="J1800" s="661"/>
      <c r="K1800" s="692"/>
      <c r="L1800" s="645"/>
      <c r="M1800" s="663"/>
      <c r="N1800" s="665"/>
      <c r="O1800" s="665"/>
      <c r="P1800" s="666"/>
      <c r="Q1800" s="667"/>
      <c r="R1800" s="668"/>
      <c r="S1800" s="693"/>
      <c r="T1800" s="694"/>
      <c r="U1800" s="694"/>
      <c r="V1800" s="693"/>
      <c r="W1800" s="693"/>
      <c r="X1800" s="693"/>
      <c r="Y1800" s="671"/>
      <c r="Z1800" s="673"/>
      <c r="AA1800" s="672"/>
      <c r="AB1800" s="695"/>
      <c r="AC1800" s="673"/>
      <c r="AD1800" s="673"/>
      <c r="AE1800" s="673"/>
      <c r="AF1800" s="673"/>
      <c r="AG1800" s="673"/>
      <c r="AH1800" s="673"/>
      <c r="AI1800" s="673"/>
      <c r="AJ1800" s="673"/>
      <c r="AK1800" s="673"/>
      <c r="AL1800" s="673"/>
      <c r="AM1800" s="673"/>
      <c r="AN1800" s="673"/>
      <c r="AO1800" s="673"/>
      <c r="AP1800" s="673"/>
      <c r="AQ1800" s="673"/>
      <c r="AR1800" s="673"/>
      <c r="AS1800" s="673"/>
      <c r="AT1800" s="696"/>
    </row>
    <row r="1801" ht="15.75" customHeight="1">
      <c r="A1801" s="653"/>
      <c r="B1801" s="654"/>
      <c r="C1801" s="691"/>
      <c r="D1801" s="656"/>
      <c r="E1801" s="657"/>
      <c r="F1801" s="658"/>
      <c r="G1801" s="659"/>
      <c r="H1801" s="660"/>
      <c r="I1801" s="659"/>
      <c r="J1801" s="661"/>
      <c r="K1801" s="692"/>
      <c r="L1801" s="645"/>
      <c r="M1801" s="663"/>
      <c r="N1801" s="665"/>
      <c r="O1801" s="665"/>
      <c r="P1801" s="666"/>
      <c r="Q1801" s="667"/>
      <c r="R1801" s="668"/>
      <c r="S1801" s="693"/>
      <c r="T1801" s="694"/>
      <c r="U1801" s="694"/>
      <c r="V1801" s="693"/>
      <c r="W1801" s="693"/>
      <c r="X1801" s="693"/>
      <c r="Y1801" s="671"/>
      <c r="Z1801" s="673"/>
      <c r="AA1801" s="672"/>
      <c r="AB1801" s="695"/>
      <c r="AC1801" s="673"/>
      <c r="AD1801" s="673"/>
      <c r="AE1801" s="673"/>
      <c r="AF1801" s="673"/>
      <c r="AG1801" s="673"/>
      <c r="AH1801" s="673"/>
      <c r="AI1801" s="673"/>
      <c r="AJ1801" s="673"/>
      <c r="AK1801" s="673"/>
      <c r="AL1801" s="673"/>
      <c r="AM1801" s="673"/>
      <c r="AN1801" s="673"/>
      <c r="AO1801" s="673"/>
      <c r="AP1801" s="673"/>
      <c r="AQ1801" s="673"/>
      <c r="AR1801" s="673"/>
      <c r="AS1801" s="673"/>
      <c r="AT1801" s="696"/>
    </row>
    <row r="1802" ht="15.75" customHeight="1">
      <c r="A1802" s="653"/>
      <c r="B1802" s="654"/>
      <c r="C1802" s="691"/>
      <c r="D1802" s="656"/>
      <c r="E1802" s="657"/>
      <c r="F1802" s="658"/>
      <c r="G1802" s="659"/>
      <c r="H1802" s="660"/>
      <c r="I1802" s="659"/>
      <c r="J1802" s="661"/>
      <c r="K1802" s="692"/>
      <c r="L1802" s="645"/>
      <c r="M1802" s="663"/>
      <c r="N1802" s="665"/>
      <c r="O1802" s="665"/>
      <c r="P1802" s="666"/>
      <c r="Q1802" s="667"/>
      <c r="R1802" s="668"/>
      <c r="S1802" s="693"/>
      <c r="T1802" s="694"/>
      <c r="U1802" s="694"/>
      <c r="V1802" s="693"/>
      <c r="W1802" s="693"/>
      <c r="X1802" s="693"/>
      <c r="Y1802" s="671"/>
      <c r="Z1802" s="673"/>
      <c r="AA1802" s="672"/>
      <c r="AB1802" s="695"/>
      <c r="AC1802" s="673"/>
      <c r="AD1802" s="673"/>
      <c r="AE1802" s="673"/>
      <c r="AF1802" s="673"/>
      <c r="AG1802" s="673"/>
      <c r="AH1802" s="673"/>
      <c r="AI1802" s="673"/>
      <c r="AJ1802" s="673"/>
      <c r="AK1802" s="673"/>
      <c r="AL1802" s="673"/>
      <c r="AM1802" s="673"/>
      <c r="AN1802" s="673"/>
      <c r="AO1802" s="673"/>
      <c r="AP1802" s="673"/>
      <c r="AQ1802" s="673"/>
      <c r="AR1802" s="673"/>
      <c r="AS1802" s="673"/>
      <c r="AT1802" s="696"/>
    </row>
    <row r="1803" ht="15.75" customHeight="1">
      <c r="A1803" s="653"/>
      <c r="B1803" s="654"/>
      <c r="C1803" s="691"/>
      <c r="D1803" s="656"/>
      <c r="E1803" s="657"/>
      <c r="F1803" s="658"/>
      <c r="G1803" s="659"/>
      <c r="H1803" s="660"/>
      <c r="I1803" s="659"/>
      <c r="J1803" s="661"/>
      <c r="K1803" s="692"/>
      <c r="L1803" s="645"/>
      <c r="M1803" s="663"/>
      <c r="N1803" s="665"/>
      <c r="O1803" s="665"/>
      <c r="P1803" s="666"/>
      <c r="Q1803" s="667"/>
      <c r="R1803" s="668"/>
      <c r="S1803" s="693"/>
      <c r="T1803" s="694"/>
      <c r="U1803" s="694"/>
      <c r="V1803" s="693"/>
      <c r="W1803" s="693"/>
      <c r="X1803" s="693"/>
      <c r="Y1803" s="671"/>
      <c r="Z1803" s="673"/>
      <c r="AA1803" s="672"/>
      <c r="AB1803" s="695"/>
      <c r="AC1803" s="673"/>
      <c r="AD1803" s="673"/>
      <c r="AE1803" s="673"/>
      <c r="AF1803" s="673"/>
      <c r="AG1803" s="673"/>
      <c r="AH1803" s="673"/>
      <c r="AI1803" s="673"/>
      <c r="AJ1803" s="673"/>
      <c r="AK1803" s="673"/>
      <c r="AL1803" s="673"/>
      <c r="AM1803" s="673"/>
      <c r="AN1803" s="673"/>
      <c r="AO1803" s="673"/>
      <c r="AP1803" s="673"/>
      <c r="AQ1803" s="673"/>
      <c r="AR1803" s="673"/>
      <c r="AS1803" s="673"/>
      <c r="AT1803" s="696"/>
    </row>
    <row r="1804" ht="15.75" customHeight="1">
      <c r="A1804" s="653"/>
      <c r="B1804" s="654"/>
      <c r="C1804" s="691"/>
      <c r="D1804" s="656"/>
      <c r="E1804" s="657"/>
      <c r="F1804" s="658"/>
      <c r="G1804" s="659"/>
      <c r="H1804" s="660"/>
      <c r="I1804" s="659"/>
      <c r="J1804" s="661"/>
      <c r="K1804" s="692"/>
      <c r="L1804" s="645"/>
      <c r="M1804" s="663"/>
      <c r="N1804" s="665"/>
      <c r="O1804" s="665"/>
      <c r="P1804" s="666"/>
      <c r="Q1804" s="667"/>
      <c r="R1804" s="668"/>
      <c r="S1804" s="693"/>
      <c r="T1804" s="694"/>
      <c r="U1804" s="694"/>
      <c r="V1804" s="693"/>
      <c r="W1804" s="693"/>
      <c r="X1804" s="693"/>
      <c r="Y1804" s="671"/>
      <c r="Z1804" s="673"/>
      <c r="AA1804" s="672"/>
      <c r="AB1804" s="695"/>
      <c r="AC1804" s="673"/>
      <c r="AD1804" s="673"/>
      <c r="AE1804" s="673"/>
      <c r="AF1804" s="673"/>
      <c r="AG1804" s="673"/>
      <c r="AH1804" s="673"/>
      <c r="AI1804" s="673"/>
      <c r="AJ1804" s="673"/>
      <c r="AK1804" s="673"/>
      <c r="AL1804" s="673"/>
      <c r="AM1804" s="673"/>
      <c r="AN1804" s="673"/>
      <c r="AO1804" s="673"/>
      <c r="AP1804" s="673"/>
      <c r="AQ1804" s="673"/>
      <c r="AR1804" s="673"/>
      <c r="AS1804" s="673"/>
      <c r="AT1804" s="696"/>
    </row>
    <row r="1805" ht="15.75" customHeight="1">
      <c r="A1805" s="653"/>
      <c r="B1805" s="654"/>
      <c r="C1805" s="691"/>
      <c r="D1805" s="656"/>
      <c r="E1805" s="657"/>
      <c r="F1805" s="658"/>
      <c r="G1805" s="659"/>
      <c r="H1805" s="660"/>
      <c r="I1805" s="659"/>
      <c r="J1805" s="661"/>
      <c r="K1805" s="692"/>
      <c r="L1805" s="645"/>
      <c r="M1805" s="663"/>
      <c r="N1805" s="665"/>
      <c r="O1805" s="665"/>
      <c r="P1805" s="666"/>
      <c r="Q1805" s="667"/>
      <c r="R1805" s="668"/>
      <c r="S1805" s="693"/>
      <c r="T1805" s="694"/>
      <c r="U1805" s="694"/>
      <c r="V1805" s="693"/>
      <c r="W1805" s="693"/>
      <c r="X1805" s="693"/>
      <c r="Y1805" s="671"/>
      <c r="Z1805" s="673"/>
      <c r="AA1805" s="672"/>
      <c r="AB1805" s="695"/>
      <c r="AC1805" s="673"/>
      <c r="AD1805" s="673"/>
      <c r="AE1805" s="673"/>
      <c r="AF1805" s="673"/>
      <c r="AG1805" s="673"/>
      <c r="AH1805" s="673"/>
      <c r="AI1805" s="673"/>
      <c r="AJ1805" s="673"/>
      <c r="AK1805" s="673"/>
      <c r="AL1805" s="673"/>
      <c r="AM1805" s="673"/>
      <c r="AN1805" s="673"/>
      <c r="AO1805" s="673"/>
      <c r="AP1805" s="673"/>
      <c r="AQ1805" s="673"/>
      <c r="AR1805" s="673"/>
      <c r="AS1805" s="673"/>
      <c r="AT1805" s="696"/>
    </row>
    <row r="1806" ht="15.75" customHeight="1">
      <c r="A1806" s="653"/>
      <c r="B1806" s="654"/>
      <c r="C1806" s="691"/>
      <c r="D1806" s="656"/>
      <c r="E1806" s="657"/>
      <c r="F1806" s="658"/>
      <c r="G1806" s="659"/>
      <c r="H1806" s="660"/>
      <c r="I1806" s="659"/>
      <c r="J1806" s="661"/>
      <c r="K1806" s="692"/>
      <c r="L1806" s="645"/>
      <c r="M1806" s="663"/>
      <c r="N1806" s="665"/>
      <c r="O1806" s="665"/>
      <c r="P1806" s="666"/>
      <c r="Q1806" s="667"/>
      <c r="R1806" s="668"/>
      <c r="S1806" s="693"/>
      <c r="T1806" s="694"/>
      <c r="U1806" s="694"/>
      <c r="V1806" s="693"/>
      <c r="W1806" s="693"/>
      <c r="X1806" s="693"/>
      <c r="Y1806" s="671"/>
      <c r="Z1806" s="673"/>
      <c r="AA1806" s="672"/>
      <c r="AB1806" s="695"/>
      <c r="AC1806" s="673"/>
      <c r="AD1806" s="673"/>
      <c r="AE1806" s="673"/>
      <c r="AF1806" s="673"/>
      <c r="AG1806" s="673"/>
      <c r="AH1806" s="673"/>
      <c r="AI1806" s="673"/>
      <c r="AJ1806" s="673"/>
      <c r="AK1806" s="673"/>
      <c r="AL1806" s="673"/>
      <c r="AM1806" s="673"/>
      <c r="AN1806" s="673"/>
      <c r="AO1806" s="673"/>
      <c r="AP1806" s="673"/>
      <c r="AQ1806" s="673"/>
      <c r="AR1806" s="673"/>
      <c r="AS1806" s="673"/>
      <c r="AT1806" s="696"/>
    </row>
    <row r="1807" ht="15.75" customHeight="1">
      <c r="A1807" s="653"/>
      <c r="B1807" s="654"/>
      <c r="C1807" s="691"/>
      <c r="D1807" s="656"/>
      <c r="E1807" s="657"/>
      <c r="F1807" s="658"/>
      <c r="G1807" s="659"/>
      <c r="H1807" s="660"/>
      <c r="I1807" s="659"/>
      <c r="J1807" s="661"/>
      <c r="K1807" s="692"/>
      <c r="L1807" s="645"/>
      <c r="M1807" s="663"/>
      <c r="N1807" s="665"/>
      <c r="O1807" s="665"/>
      <c r="P1807" s="666"/>
      <c r="Q1807" s="667"/>
      <c r="R1807" s="668"/>
      <c r="S1807" s="693"/>
      <c r="T1807" s="694"/>
      <c r="U1807" s="694"/>
      <c r="V1807" s="693"/>
      <c r="W1807" s="693"/>
      <c r="X1807" s="693"/>
      <c r="Y1807" s="671"/>
      <c r="Z1807" s="673"/>
      <c r="AA1807" s="672"/>
      <c r="AB1807" s="695"/>
      <c r="AC1807" s="673"/>
      <c r="AD1807" s="673"/>
      <c r="AE1807" s="673"/>
      <c r="AF1807" s="673"/>
      <c r="AG1807" s="673"/>
      <c r="AH1807" s="673"/>
      <c r="AI1807" s="673"/>
      <c r="AJ1807" s="673"/>
      <c r="AK1807" s="673"/>
      <c r="AL1807" s="673"/>
      <c r="AM1807" s="673"/>
      <c r="AN1807" s="673"/>
      <c r="AO1807" s="673"/>
      <c r="AP1807" s="673"/>
      <c r="AQ1807" s="673"/>
      <c r="AR1807" s="673"/>
      <c r="AS1807" s="673"/>
      <c r="AT1807" s="696"/>
    </row>
    <row r="1808" ht="15.75" customHeight="1">
      <c r="A1808" s="653"/>
      <c r="B1808" s="654"/>
      <c r="C1808" s="691"/>
      <c r="D1808" s="656"/>
      <c r="E1808" s="657"/>
      <c r="F1808" s="658"/>
      <c r="G1808" s="659"/>
      <c r="H1808" s="660"/>
      <c r="I1808" s="659"/>
      <c r="J1808" s="661"/>
      <c r="K1808" s="692"/>
      <c r="L1808" s="645"/>
      <c r="M1808" s="663"/>
      <c r="N1808" s="665"/>
      <c r="O1808" s="665"/>
      <c r="P1808" s="666"/>
      <c r="Q1808" s="667"/>
      <c r="R1808" s="668"/>
      <c r="S1808" s="693"/>
      <c r="T1808" s="694"/>
      <c r="U1808" s="694"/>
      <c r="V1808" s="693"/>
      <c r="W1808" s="693"/>
      <c r="X1808" s="693"/>
      <c r="Y1808" s="671"/>
      <c r="Z1808" s="673"/>
      <c r="AA1808" s="672"/>
      <c r="AB1808" s="695"/>
      <c r="AC1808" s="673"/>
      <c r="AD1808" s="673"/>
      <c r="AE1808" s="673"/>
      <c r="AF1808" s="673"/>
      <c r="AG1808" s="673"/>
      <c r="AH1808" s="673"/>
      <c r="AI1808" s="673"/>
      <c r="AJ1808" s="673"/>
      <c r="AK1808" s="673"/>
      <c r="AL1808" s="673"/>
      <c r="AM1808" s="673"/>
      <c r="AN1808" s="673"/>
      <c r="AO1808" s="673"/>
      <c r="AP1808" s="673"/>
      <c r="AQ1808" s="673"/>
      <c r="AR1808" s="673"/>
      <c r="AS1808" s="673"/>
      <c r="AT1808" s="696"/>
    </row>
    <row r="1809" ht="15.75" customHeight="1">
      <c r="A1809" s="653"/>
      <c r="B1809" s="654"/>
      <c r="C1809" s="691"/>
      <c r="D1809" s="656"/>
      <c r="E1809" s="657"/>
      <c r="F1809" s="658"/>
      <c r="G1809" s="659"/>
      <c r="H1809" s="660"/>
      <c r="I1809" s="659"/>
      <c r="J1809" s="661"/>
      <c r="K1809" s="692"/>
      <c r="L1809" s="645"/>
      <c r="M1809" s="663"/>
      <c r="N1809" s="665"/>
      <c r="O1809" s="665"/>
      <c r="P1809" s="666"/>
      <c r="Q1809" s="667"/>
      <c r="R1809" s="668"/>
      <c r="S1809" s="693"/>
      <c r="T1809" s="694"/>
      <c r="U1809" s="694"/>
      <c r="V1809" s="693"/>
      <c r="W1809" s="693"/>
      <c r="X1809" s="693"/>
      <c r="Y1809" s="671"/>
      <c r="Z1809" s="673"/>
      <c r="AA1809" s="672"/>
      <c r="AB1809" s="695"/>
      <c r="AC1809" s="673"/>
      <c r="AD1809" s="673"/>
      <c r="AE1809" s="673"/>
      <c r="AF1809" s="673"/>
      <c r="AG1809" s="673"/>
      <c r="AH1809" s="673"/>
      <c r="AI1809" s="673"/>
      <c r="AJ1809" s="673"/>
      <c r="AK1809" s="673"/>
      <c r="AL1809" s="673"/>
      <c r="AM1809" s="673"/>
      <c r="AN1809" s="673"/>
      <c r="AO1809" s="673"/>
      <c r="AP1809" s="673"/>
      <c r="AQ1809" s="673"/>
      <c r="AR1809" s="673"/>
      <c r="AS1809" s="673"/>
      <c r="AT1809" s="696"/>
    </row>
    <row r="1810" ht="15.75" customHeight="1">
      <c r="A1810" s="653"/>
      <c r="B1810" s="654"/>
      <c r="C1810" s="691"/>
      <c r="D1810" s="656"/>
      <c r="E1810" s="657"/>
      <c r="F1810" s="658"/>
      <c r="G1810" s="659"/>
      <c r="H1810" s="660"/>
      <c r="I1810" s="659"/>
      <c r="J1810" s="661"/>
      <c r="K1810" s="692"/>
      <c r="L1810" s="645"/>
      <c r="M1810" s="663"/>
      <c r="N1810" s="665"/>
      <c r="O1810" s="665"/>
      <c r="P1810" s="666"/>
      <c r="Q1810" s="667"/>
      <c r="R1810" s="668"/>
      <c r="S1810" s="693"/>
      <c r="T1810" s="694"/>
      <c r="U1810" s="694"/>
      <c r="V1810" s="693"/>
      <c r="W1810" s="693"/>
      <c r="X1810" s="693"/>
      <c r="Y1810" s="671"/>
      <c r="Z1810" s="673"/>
      <c r="AA1810" s="672"/>
      <c r="AB1810" s="695"/>
      <c r="AC1810" s="673"/>
      <c r="AD1810" s="673"/>
      <c r="AE1810" s="673"/>
      <c r="AF1810" s="673"/>
      <c r="AG1810" s="673"/>
      <c r="AH1810" s="673"/>
      <c r="AI1810" s="673"/>
      <c r="AJ1810" s="673"/>
      <c r="AK1810" s="673"/>
      <c r="AL1810" s="673"/>
      <c r="AM1810" s="673"/>
      <c r="AN1810" s="673"/>
      <c r="AO1810" s="673"/>
      <c r="AP1810" s="673"/>
      <c r="AQ1810" s="673"/>
      <c r="AR1810" s="673"/>
      <c r="AS1810" s="673"/>
      <c r="AT1810" s="696"/>
    </row>
    <row r="1811" ht="15.75" customHeight="1">
      <c r="A1811" s="653"/>
      <c r="B1811" s="654"/>
      <c r="C1811" s="691"/>
      <c r="D1811" s="656"/>
      <c r="E1811" s="657"/>
      <c r="F1811" s="658"/>
      <c r="G1811" s="659"/>
      <c r="H1811" s="660"/>
      <c r="I1811" s="659"/>
      <c r="J1811" s="661"/>
      <c r="K1811" s="692"/>
      <c r="L1811" s="645"/>
      <c r="M1811" s="663"/>
      <c r="N1811" s="665"/>
      <c r="O1811" s="665"/>
      <c r="P1811" s="666"/>
      <c r="Q1811" s="667"/>
      <c r="R1811" s="668"/>
      <c r="S1811" s="693"/>
      <c r="T1811" s="694"/>
      <c r="U1811" s="694"/>
      <c r="V1811" s="693"/>
      <c r="W1811" s="693"/>
      <c r="X1811" s="693"/>
      <c r="Y1811" s="671"/>
      <c r="Z1811" s="673"/>
      <c r="AA1811" s="672"/>
      <c r="AB1811" s="695"/>
      <c r="AC1811" s="673"/>
      <c r="AD1811" s="673"/>
      <c r="AE1811" s="673"/>
      <c r="AF1811" s="673"/>
      <c r="AG1811" s="673"/>
      <c r="AH1811" s="673"/>
      <c r="AI1811" s="673"/>
      <c r="AJ1811" s="673"/>
      <c r="AK1811" s="673"/>
      <c r="AL1811" s="673"/>
      <c r="AM1811" s="673"/>
      <c r="AN1811" s="673"/>
      <c r="AO1811" s="673"/>
      <c r="AP1811" s="673"/>
      <c r="AQ1811" s="673"/>
      <c r="AR1811" s="673"/>
      <c r="AS1811" s="673"/>
      <c r="AT1811" s="696"/>
    </row>
    <row r="1812" ht="15.75" customHeight="1">
      <c r="A1812" s="653"/>
      <c r="B1812" s="654"/>
      <c r="C1812" s="691"/>
      <c r="D1812" s="656"/>
      <c r="E1812" s="657"/>
      <c r="F1812" s="658"/>
      <c r="G1812" s="659"/>
      <c r="H1812" s="660"/>
      <c r="I1812" s="659"/>
      <c r="J1812" s="661"/>
      <c r="K1812" s="692"/>
      <c r="L1812" s="645"/>
      <c r="M1812" s="663"/>
      <c r="N1812" s="665"/>
      <c r="O1812" s="665"/>
      <c r="P1812" s="666"/>
      <c r="Q1812" s="667"/>
      <c r="R1812" s="668"/>
      <c r="S1812" s="693"/>
      <c r="T1812" s="694"/>
      <c r="U1812" s="694"/>
      <c r="V1812" s="693"/>
      <c r="W1812" s="693"/>
      <c r="X1812" s="693"/>
      <c r="Y1812" s="671"/>
      <c r="Z1812" s="673"/>
      <c r="AA1812" s="672"/>
      <c r="AB1812" s="695"/>
      <c r="AC1812" s="673"/>
      <c r="AD1812" s="673"/>
      <c r="AE1812" s="673"/>
      <c r="AF1812" s="673"/>
      <c r="AG1812" s="673"/>
      <c r="AH1812" s="673"/>
      <c r="AI1812" s="673"/>
      <c r="AJ1812" s="673"/>
      <c r="AK1812" s="673"/>
      <c r="AL1812" s="673"/>
      <c r="AM1812" s="673"/>
      <c r="AN1812" s="673"/>
      <c r="AO1812" s="673"/>
      <c r="AP1812" s="673"/>
      <c r="AQ1812" s="673"/>
      <c r="AR1812" s="673"/>
      <c r="AS1812" s="673"/>
      <c r="AT1812" s="696"/>
    </row>
    <row r="1813" ht="15.75" customHeight="1">
      <c r="A1813" s="653"/>
      <c r="B1813" s="654"/>
      <c r="C1813" s="691"/>
      <c r="D1813" s="656"/>
      <c r="E1813" s="657"/>
      <c r="F1813" s="658"/>
      <c r="G1813" s="659"/>
      <c r="H1813" s="660"/>
      <c r="I1813" s="659"/>
      <c r="J1813" s="661"/>
      <c r="K1813" s="692"/>
      <c r="L1813" s="645"/>
      <c r="M1813" s="663"/>
      <c r="N1813" s="665"/>
      <c r="O1813" s="665"/>
      <c r="P1813" s="666"/>
      <c r="Q1813" s="667"/>
      <c r="R1813" s="668"/>
      <c r="S1813" s="693"/>
      <c r="T1813" s="694"/>
      <c r="U1813" s="694"/>
      <c r="V1813" s="693"/>
      <c r="W1813" s="693"/>
      <c r="X1813" s="693"/>
      <c r="Y1813" s="671"/>
      <c r="Z1813" s="673"/>
      <c r="AA1813" s="672"/>
      <c r="AB1813" s="695"/>
      <c r="AC1813" s="673"/>
      <c r="AD1813" s="673"/>
      <c r="AE1813" s="673"/>
      <c r="AF1813" s="673"/>
      <c r="AG1813" s="673"/>
      <c r="AH1813" s="673"/>
      <c r="AI1813" s="673"/>
      <c r="AJ1813" s="673"/>
      <c r="AK1813" s="673"/>
      <c r="AL1813" s="673"/>
      <c r="AM1813" s="673"/>
      <c r="AN1813" s="673"/>
      <c r="AO1813" s="673"/>
      <c r="AP1813" s="673"/>
      <c r="AQ1813" s="673"/>
      <c r="AR1813" s="673"/>
      <c r="AS1813" s="673"/>
      <c r="AT1813" s="696"/>
    </row>
    <row r="1814" ht="15.75" customHeight="1">
      <c r="A1814" s="653"/>
      <c r="B1814" s="654"/>
      <c r="C1814" s="691"/>
      <c r="D1814" s="656"/>
      <c r="E1814" s="657"/>
      <c r="F1814" s="658"/>
      <c r="G1814" s="659"/>
      <c r="H1814" s="660"/>
      <c r="I1814" s="659"/>
      <c r="J1814" s="661"/>
      <c r="K1814" s="692"/>
      <c r="L1814" s="645"/>
      <c r="M1814" s="663"/>
      <c r="N1814" s="665"/>
      <c r="O1814" s="665"/>
      <c r="P1814" s="666"/>
      <c r="Q1814" s="667"/>
      <c r="R1814" s="668"/>
      <c r="S1814" s="693"/>
      <c r="T1814" s="694"/>
      <c r="U1814" s="694"/>
      <c r="V1814" s="693"/>
      <c r="W1814" s="693"/>
      <c r="X1814" s="693"/>
      <c r="Y1814" s="671"/>
      <c r="Z1814" s="673"/>
      <c r="AA1814" s="672"/>
      <c r="AB1814" s="695"/>
      <c r="AC1814" s="673"/>
      <c r="AD1814" s="673"/>
      <c r="AE1814" s="673"/>
      <c r="AF1814" s="673"/>
      <c r="AG1814" s="673"/>
      <c r="AH1814" s="673"/>
      <c r="AI1814" s="673"/>
      <c r="AJ1814" s="673"/>
      <c r="AK1814" s="673"/>
      <c r="AL1814" s="673"/>
      <c r="AM1814" s="673"/>
      <c r="AN1814" s="673"/>
      <c r="AO1814" s="673"/>
      <c r="AP1814" s="673"/>
      <c r="AQ1814" s="673"/>
      <c r="AR1814" s="673"/>
      <c r="AS1814" s="673"/>
      <c r="AT1814" s="696"/>
    </row>
    <row r="1815" ht="15.75" customHeight="1">
      <c r="A1815" s="653"/>
      <c r="B1815" s="654"/>
      <c r="C1815" s="691"/>
      <c r="D1815" s="656"/>
      <c r="E1815" s="657"/>
      <c r="F1815" s="658"/>
      <c r="G1815" s="659"/>
      <c r="H1815" s="660"/>
      <c r="I1815" s="659"/>
      <c r="J1815" s="661"/>
      <c r="K1815" s="692"/>
      <c r="L1815" s="645"/>
      <c r="M1815" s="663"/>
      <c r="N1815" s="665"/>
      <c r="O1815" s="665"/>
      <c r="P1815" s="666"/>
      <c r="Q1815" s="667"/>
      <c r="R1815" s="668"/>
      <c r="S1815" s="693"/>
      <c r="T1815" s="694"/>
      <c r="U1815" s="694"/>
      <c r="V1815" s="693"/>
      <c r="W1815" s="693"/>
      <c r="X1815" s="693"/>
      <c r="Y1815" s="671"/>
      <c r="Z1815" s="673"/>
      <c r="AA1815" s="672"/>
      <c r="AB1815" s="695"/>
      <c r="AC1815" s="673"/>
      <c r="AD1815" s="673"/>
      <c r="AE1815" s="673"/>
      <c r="AF1815" s="673"/>
      <c r="AG1815" s="673"/>
      <c r="AH1815" s="673"/>
      <c r="AI1815" s="673"/>
      <c r="AJ1815" s="673"/>
      <c r="AK1815" s="673"/>
      <c r="AL1815" s="673"/>
      <c r="AM1815" s="673"/>
      <c r="AN1815" s="673"/>
      <c r="AO1815" s="673"/>
      <c r="AP1815" s="673"/>
      <c r="AQ1815" s="673"/>
      <c r="AR1815" s="673"/>
      <c r="AS1815" s="673"/>
      <c r="AT1815" s="696"/>
    </row>
    <row r="1816" ht="15.75" customHeight="1">
      <c r="A1816" s="653"/>
      <c r="B1816" s="654"/>
      <c r="C1816" s="691"/>
      <c r="D1816" s="656"/>
      <c r="E1816" s="657"/>
      <c r="F1816" s="658"/>
      <c r="G1816" s="659"/>
      <c r="H1816" s="660"/>
      <c r="I1816" s="659"/>
      <c r="J1816" s="661"/>
      <c r="K1816" s="692"/>
      <c r="L1816" s="645"/>
      <c r="M1816" s="663"/>
      <c r="N1816" s="665"/>
      <c r="O1816" s="665"/>
      <c r="P1816" s="666"/>
      <c r="Q1816" s="667"/>
      <c r="R1816" s="668"/>
      <c r="S1816" s="693"/>
      <c r="T1816" s="694"/>
      <c r="U1816" s="694"/>
      <c r="V1816" s="693"/>
      <c r="W1816" s="693"/>
      <c r="X1816" s="693"/>
      <c r="Y1816" s="671"/>
      <c r="Z1816" s="673"/>
      <c r="AA1816" s="672"/>
      <c r="AB1816" s="695"/>
      <c r="AC1816" s="673"/>
      <c r="AD1816" s="673"/>
      <c r="AE1816" s="673"/>
      <c r="AF1816" s="673"/>
      <c r="AG1816" s="673"/>
      <c r="AH1816" s="673"/>
      <c r="AI1816" s="673"/>
      <c r="AJ1816" s="673"/>
      <c r="AK1816" s="673"/>
      <c r="AL1816" s="673"/>
      <c r="AM1816" s="673"/>
      <c r="AN1816" s="673"/>
      <c r="AO1816" s="673"/>
      <c r="AP1816" s="673"/>
      <c r="AQ1816" s="673"/>
      <c r="AR1816" s="673"/>
      <c r="AS1816" s="673"/>
      <c r="AT1816" s="696"/>
    </row>
    <row r="1817" ht="15.75" customHeight="1">
      <c r="A1817" s="653"/>
      <c r="B1817" s="654"/>
      <c r="C1817" s="691"/>
      <c r="D1817" s="656"/>
      <c r="E1817" s="657"/>
      <c r="F1817" s="658"/>
      <c r="G1817" s="659"/>
      <c r="H1817" s="660"/>
      <c r="I1817" s="659"/>
      <c r="J1817" s="661"/>
      <c r="K1817" s="692"/>
      <c r="L1817" s="645"/>
      <c r="M1817" s="663"/>
      <c r="N1817" s="665"/>
      <c r="O1817" s="665"/>
      <c r="P1817" s="666"/>
      <c r="Q1817" s="667"/>
      <c r="R1817" s="668"/>
      <c r="S1817" s="693"/>
      <c r="T1817" s="694"/>
      <c r="U1817" s="694"/>
      <c r="V1817" s="693"/>
      <c r="W1817" s="693"/>
      <c r="X1817" s="693"/>
      <c r="Y1817" s="671"/>
      <c r="Z1817" s="673"/>
      <c r="AA1817" s="672"/>
      <c r="AB1817" s="695"/>
      <c r="AC1817" s="673"/>
      <c r="AD1817" s="673"/>
      <c r="AE1817" s="673"/>
      <c r="AF1817" s="673"/>
      <c r="AG1817" s="673"/>
      <c r="AH1817" s="673"/>
      <c r="AI1817" s="673"/>
      <c r="AJ1817" s="673"/>
      <c r="AK1817" s="673"/>
      <c r="AL1817" s="673"/>
      <c r="AM1817" s="673"/>
      <c r="AN1817" s="673"/>
      <c r="AO1817" s="673"/>
      <c r="AP1817" s="673"/>
      <c r="AQ1817" s="673"/>
      <c r="AR1817" s="673"/>
      <c r="AS1817" s="673"/>
      <c r="AT1817" s="696"/>
    </row>
    <row r="1818" ht="15.75" customHeight="1">
      <c r="A1818" s="653"/>
      <c r="B1818" s="654"/>
      <c r="C1818" s="691"/>
      <c r="D1818" s="656"/>
      <c r="E1818" s="657"/>
      <c r="F1818" s="658"/>
      <c r="G1818" s="659"/>
      <c r="H1818" s="660"/>
      <c r="I1818" s="659"/>
      <c r="J1818" s="661"/>
      <c r="K1818" s="692"/>
      <c r="L1818" s="645"/>
      <c r="M1818" s="663"/>
      <c r="N1818" s="665"/>
      <c r="O1818" s="665"/>
      <c r="P1818" s="666"/>
      <c r="Q1818" s="667"/>
      <c r="R1818" s="668"/>
      <c r="S1818" s="693"/>
      <c r="T1818" s="694"/>
      <c r="U1818" s="694"/>
      <c r="V1818" s="693"/>
      <c r="W1818" s="693"/>
      <c r="X1818" s="693"/>
      <c r="Y1818" s="671"/>
      <c r="Z1818" s="673"/>
      <c r="AA1818" s="672"/>
      <c r="AB1818" s="695"/>
      <c r="AC1818" s="673"/>
      <c r="AD1818" s="673"/>
      <c r="AE1818" s="673"/>
      <c r="AF1818" s="673"/>
      <c r="AG1818" s="673"/>
      <c r="AH1818" s="673"/>
      <c r="AI1818" s="673"/>
      <c r="AJ1818" s="673"/>
      <c r="AK1818" s="673"/>
      <c r="AL1818" s="673"/>
      <c r="AM1818" s="673"/>
      <c r="AN1818" s="673"/>
      <c r="AO1818" s="673"/>
      <c r="AP1818" s="673"/>
      <c r="AQ1818" s="673"/>
      <c r="AR1818" s="673"/>
      <c r="AS1818" s="673"/>
      <c r="AT1818" s="696"/>
    </row>
    <row r="1819" ht="15.75" customHeight="1">
      <c r="A1819" s="653"/>
      <c r="B1819" s="654"/>
      <c r="C1819" s="691"/>
      <c r="D1819" s="656"/>
      <c r="E1819" s="657"/>
      <c r="F1819" s="658"/>
      <c r="G1819" s="659"/>
      <c r="H1819" s="660"/>
      <c r="I1819" s="659"/>
      <c r="J1819" s="661"/>
      <c r="K1819" s="692"/>
      <c r="L1819" s="645"/>
      <c r="M1819" s="663"/>
      <c r="N1819" s="665"/>
      <c r="O1819" s="665"/>
      <c r="P1819" s="666"/>
      <c r="Q1819" s="667"/>
      <c r="R1819" s="668"/>
      <c r="S1819" s="693"/>
      <c r="T1819" s="694"/>
      <c r="U1819" s="694"/>
      <c r="V1819" s="693"/>
      <c r="W1819" s="693"/>
      <c r="X1819" s="693"/>
      <c r="Y1819" s="671"/>
      <c r="Z1819" s="673"/>
      <c r="AA1819" s="672"/>
      <c r="AB1819" s="695"/>
      <c r="AC1819" s="673"/>
      <c r="AD1819" s="673"/>
      <c r="AE1819" s="673"/>
      <c r="AF1819" s="673"/>
      <c r="AG1819" s="673"/>
      <c r="AH1819" s="673"/>
      <c r="AI1819" s="673"/>
      <c r="AJ1819" s="673"/>
      <c r="AK1819" s="673"/>
      <c r="AL1819" s="673"/>
      <c r="AM1819" s="673"/>
      <c r="AN1819" s="673"/>
      <c r="AO1819" s="673"/>
      <c r="AP1819" s="673"/>
      <c r="AQ1819" s="673"/>
      <c r="AR1819" s="673"/>
      <c r="AS1819" s="673"/>
      <c r="AT1819" s="696"/>
    </row>
    <row r="1820" ht="15.75" customHeight="1">
      <c r="A1820" s="653"/>
      <c r="B1820" s="654"/>
      <c r="C1820" s="691"/>
      <c r="D1820" s="656"/>
      <c r="E1820" s="657"/>
      <c r="F1820" s="658"/>
      <c r="G1820" s="659"/>
      <c r="H1820" s="660"/>
      <c r="I1820" s="659"/>
      <c r="J1820" s="661"/>
      <c r="K1820" s="692"/>
      <c r="L1820" s="645"/>
      <c r="M1820" s="663"/>
      <c r="N1820" s="665"/>
      <c r="O1820" s="665"/>
      <c r="P1820" s="666"/>
      <c r="Q1820" s="667"/>
      <c r="R1820" s="668"/>
      <c r="S1820" s="693"/>
      <c r="T1820" s="694"/>
      <c r="U1820" s="694"/>
      <c r="V1820" s="693"/>
      <c r="W1820" s="693"/>
      <c r="X1820" s="693"/>
      <c r="Y1820" s="671"/>
      <c r="Z1820" s="673"/>
      <c r="AA1820" s="672"/>
      <c r="AB1820" s="695"/>
      <c r="AC1820" s="673"/>
      <c r="AD1820" s="673"/>
      <c r="AE1820" s="673"/>
      <c r="AF1820" s="673"/>
      <c r="AG1820" s="673"/>
      <c r="AH1820" s="673"/>
      <c r="AI1820" s="673"/>
      <c r="AJ1820" s="673"/>
      <c r="AK1820" s="673"/>
      <c r="AL1820" s="673"/>
      <c r="AM1820" s="673"/>
      <c r="AN1820" s="673"/>
      <c r="AO1820" s="673"/>
      <c r="AP1820" s="673"/>
      <c r="AQ1820" s="673"/>
      <c r="AR1820" s="673"/>
      <c r="AS1820" s="673"/>
      <c r="AT1820" s="696"/>
    </row>
    <row r="1821" ht="15.75" customHeight="1">
      <c r="A1821" s="653"/>
      <c r="B1821" s="654"/>
      <c r="C1821" s="691"/>
      <c r="D1821" s="656"/>
      <c r="E1821" s="657"/>
      <c r="F1821" s="658"/>
      <c r="G1821" s="659"/>
      <c r="H1821" s="660"/>
      <c r="I1821" s="659"/>
      <c r="J1821" s="661"/>
      <c r="K1821" s="692"/>
      <c r="L1821" s="645"/>
      <c r="M1821" s="663"/>
      <c r="N1821" s="665"/>
      <c r="O1821" s="665"/>
      <c r="P1821" s="666"/>
      <c r="Q1821" s="667"/>
      <c r="R1821" s="668"/>
      <c r="S1821" s="693"/>
      <c r="T1821" s="694"/>
      <c r="U1821" s="694"/>
      <c r="V1821" s="693"/>
      <c r="W1821" s="693"/>
      <c r="X1821" s="693"/>
      <c r="Y1821" s="671"/>
      <c r="Z1821" s="673"/>
      <c r="AA1821" s="672"/>
      <c r="AB1821" s="695"/>
      <c r="AC1821" s="673"/>
      <c r="AD1821" s="673"/>
      <c r="AE1821" s="673"/>
      <c r="AF1821" s="673"/>
      <c r="AG1821" s="673"/>
      <c r="AH1821" s="673"/>
      <c r="AI1821" s="673"/>
      <c r="AJ1821" s="673"/>
      <c r="AK1821" s="673"/>
      <c r="AL1821" s="673"/>
      <c r="AM1821" s="673"/>
      <c r="AN1821" s="673"/>
      <c r="AO1821" s="673"/>
      <c r="AP1821" s="673"/>
      <c r="AQ1821" s="673"/>
      <c r="AR1821" s="673"/>
      <c r="AS1821" s="673"/>
      <c r="AT1821" s="696"/>
    </row>
    <row r="1822" ht="15.75" customHeight="1">
      <c r="A1822" s="653"/>
      <c r="B1822" s="654"/>
      <c r="C1822" s="691"/>
      <c r="D1822" s="656"/>
      <c r="E1822" s="657"/>
      <c r="F1822" s="658"/>
      <c r="G1822" s="659"/>
      <c r="H1822" s="660"/>
      <c r="I1822" s="659"/>
      <c r="J1822" s="661"/>
      <c r="K1822" s="692"/>
      <c r="L1822" s="645"/>
      <c r="M1822" s="663"/>
      <c r="N1822" s="665"/>
      <c r="O1822" s="665"/>
      <c r="P1822" s="666"/>
      <c r="Q1822" s="667"/>
      <c r="R1822" s="668"/>
      <c r="S1822" s="693"/>
      <c r="T1822" s="694"/>
      <c r="U1822" s="694"/>
      <c r="V1822" s="693"/>
      <c r="W1822" s="693"/>
      <c r="X1822" s="693"/>
      <c r="Y1822" s="671"/>
      <c r="Z1822" s="673"/>
      <c r="AA1822" s="672"/>
      <c r="AB1822" s="695"/>
      <c r="AC1822" s="673"/>
      <c r="AD1822" s="673"/>
      <c r="AE1822" s="673"/>
      <c r="AF1822" s="673"/>
      <c r="AG1822" s="673"/>
      <c r="AH1822" s="673"/>
      <c r="AI1822" s="673"/>
      <c r="AJ1822" s="673"/>
      <c r="AK1822" s="673"/>
      <c r="AL1822" s="673"/>
      <c r="AM1822" s="673"/>
      <c r="AN1822" s="673"/>
      <c r="AO1822" s="673"/>
      <c r="AP1822" s="673"/>
      <c r="AQ1822" s="673"/>
      <c r="AR1822" s="673"/>
      <c r="AS1822" s="673"/>
      <c r="AT1822" s="696"/>
    </row>
    <row r="1823" ht="15.75" customHeight="1">
      <c r="A1823" s="653"/>
      <c r="B1823" s="654"/>
      <c r="C1823" s="691"/>
      <c r="D1823" s="656"/>
      <c r="E1823" s="657"/>
      <c r="F1823" s="658"/>
      <c r="G1823" s="659"/>
      <c r="H1823" s="660"/>
      <c r="I1823" s="659"/>
      <c r="J1823" s="661"/>
      <c r="K1823" s="692"/>
      <c r="L1823" s="645"/>
      <c r="M1823" s="663"/>
      <c r="N1823" s="665"/>
      <c r="O1823" s="665"/>
      <c r="P1823" s="666"/>
      <c r="Q1823" s="667"/>
      <c r="R1823" s="668"/>
      <c r="S1823" s="693"/>
      <c r="T1823" s="694"/>
      <c r="U1823" s="694"/>
      <c r="V1823" s="693"/>
      <c r="W1823" s="693"/>
      <c r="X1823" s="693"/>
      <c r="Y1823" s="671"/>
      <c r="Z1823" s="673"/>
      <c r="AA1823" s="672"/>
      <c r="AB1823" s="695"/>
      <c r="AC1823" s="673"/>
      <c r="AD1823" s="673"/>
      <c r="AE1823" s="673"/>
      <c r="AF1823" s="673"/>
      <c r="AG1823" s="673"/>
      <c r="AH1823" s="673"/>
      <c r="AI1823" s="673"/>
      <c r="AJ1823" s="673"/>
      <c r="AK1823" s="673"/>
      <c r="AL1823" s="673"/>
      <c r="AM1823" s="673"/>
      <c r="AN1823" s="673"/>
      <c r="AO1823" s="673"/>
      <c r="AP1823" s="673"/>
      <c r="AQ1823" s="673"/>
      <c r="AR1823" s="673"/>
      <c r="AS1823" s="673"/>
      <c r="AT1823" s="696"/>
    </row>
    <row r="1824" ht="15.75" customHeight="1">
      <c r="A1824" s="653"/>
      <c r="B1824" s="654"/>
      <c r="C1824" s="691"/>
      <c r="D1824" s="656"/>
      <c r="E1824" s="657"/>
      <c r="F1824" s="658"/>
      <c r="G1824" s="659"/>
      <c r="H1824" s="660"/>
      <c r="I1824" s="659"/>
      <c r="J1824" s="661"/>
      <c r="K1824" s="692"/>
      <c r="L1824" s="645"/>
      <c r="M1824" s="663"/>
      <c r="N1824" s="665"/>
      <c r="O1824" s="665"/>
      <c r="P1824" s="666"/>
      <c r="Q1824" s="667"/>
      <c r="R1824" s="668"/>
      <c r="S1824" s="693"/>
      <c r="T1824" s="694"/>
      <c r="U1824" s="694"/>
      <c r="V1824" s="693"/>
      <c r="W1824" s="693"/>
      <c r="X1824" s="693"/>
      <c r="Y1824" s="671"/>
      <c r="Z1824" s="673"/>
      <c r="AA1824" s="672"/>
      <c r="AB1824" s="695"/>
      <c r="AC1824" s="673"/>
      <c r="AD1824" s="673"/>
      <c r="AE1824" s="673"/>
      <c r="AF1824" s="673"/>
      <c r="AG1824" s="673"/>
      <c r="AH1824" s="673"/>
      <c r="AI1824" s="673"/>
      <c r="AJ1824" s="673"/>
      <c r="AK1824" s="673"/>
      <c r="AL1824" s="673"/>
      <c r="AM1824" s="673"/>
      <c r="AN1824" s="673"/>
      <c r="AO1824" s="673"/>
      <c r="AP1824" s="673"/>
      <c r="AQ1824" s="673"/>
      <c r="AR1824" s="673"/>
      <c r="AS1824" s="673"/>
      <c r="AT1824" s="696"/>
    </row>
    <row r="1825" ht="15.75" customHeight="1">
      <c r="A1825" s="653"/>
      <c r="B1825" s="654"/>
      <c r="C1825" s="691"/>
      <c r="D1825" s="656"/>
      <c r="E1825" s="657"/>
      <c r="F1825" s="658"/>
      <c r="G1825" s="659"/>
      <c r="H1825" s="660"/>
      <c r="I1825" s="659"/>
      <c r="J1825" s="661"/>
      <c r="K1825" s="692"/>
      <c r="L1825" s="645"/>
      <c r="M1825" s="663"/>
      <c r="N1825" s="665"/>
      <c r="O1825" s="665"/>
      <c r="P1825" s="666"/>
      <c r="Q1825" s="667"/>
      <c r="R1825" s="668"/>
      <c r="S1825" s="693"/>
      <c r="T1825" s="694"/>
      <c r="U1825" s="694"/>
      <c r="V1825" s="693"/>
      <c r="W1825" s="693"/>
      <c r="X1825" s="693"/>
      <c r="Y1825" s="671"/>
      <c r="Z1825" s="673"/>
      <c r="AA1825" s="672"/>
      <c r="AB1825" s="695"/>
      <c r="AC1825" s="673"/>
      <c r="AD1825" s="673"/>
      <c r="AE1825" s="673"/>
      <c r="AF1825" s="673"/>
      <c r="AG1825" s="673"/>
      <c r="AH1825" s="673"/>
      <c r="AI1825" s="673"/>
      <c r="AJ1825" s="673"/>
      <c r="AK1825" s="673"/>
      <c r="AL1825" s="673"/>
      <c r="AM1825" s="673"/>
      <c r="AN1825" s="673"/>
      <c r="AO1825" s="673"/>
      <c r="AP1825" s="673"/>
      <c r="AQ1825" s="673"/>
      <c r="AR1825" s="673"/>
      <c r="AS1825" s="673"/>
      <c r="AT1825" s="696"/>
    </row>
    <row r="1826" ht="15.75" customHeight="1">
      <c r="A1826" s="653"/>
      <c r="B1826" s="654"/>
      <c r="C1826" s="691"/>
      <c r="D1826" s="656"/>
      <c r="E1826" s="657"/>
      <c r="F1826" s="658"/>
      <c r="G1826" s="659"/>
      <c r="H1826" s="660"/>
      <c r="I1826" s="659"/>
      <c r="J1826" s="661"/>
      <c r="K1826" s="692"/>
      <c r="L1826" s="645"/>
      <c r="M1826" s="663"/>
      <c r="N1826" s="665"/>
      <c r="O1826" s="665"/>
      <c r="P1826" s="666"/>
      <c r="Q1826" s="667"/>
      <c r="R1826" s="668"/>
      <c r="S1826" s="693"/>
      <c r="T1826" s="694"/>
      <c r="U1826" s="694"/>
      <c r="V1826" s="693"/>
      <c r="W1826" s="693"/>
      <c r="X1826" s="693"/>
      <c r="Y1826" s="671"/>
      <c r="Z1826" s="673"/>
      <c r="AA1826" s="672"/>
      <c r="AB1826" s="695"/>
      <c r="AC1826" s="673"/>
      <c r="AD1826" s="673"/>
      <c r="AE1826" s="673"/>
      <c r="AF1826" s="673"/>
      <c r="AG1826" s="673"/>
      <c r="AH1826" s="673"/>
      <c r="AI1826" s="673"/>
      <c r="AJ1826" s="673"/>
      <c r="AK1826" s="673"/>
      <c r="AL1826" s="673"/>
      <c r="AM1826" s="673"/>
      <c r="AN1826" s="673"/>
      <c r="AO1826" s="673"/>
      <c r="AP1826" s="673"/>
      <c r="AQ1826" s="673"/>
      <c r="AR1826" s="673"/>
      <c r="AS1826" s="673"/>
      <c r="AT1826" s="696"/>
    </row>
    <row r="1827" ht="15.75" customHeight="1">
      <c r="A1827" s="653"/>
      <c r="B1827" s="654"/>
      <c r="C1827" s="691"/>
      <c r="D1827" s="656"/>
      <c r="E1827" s="657"/>
      <c r="F1827" s="658"/>
      <c r="G1827" s="659"/>
      <c r="H1827" s="660"/>
      <c r="I1827" s="659"/>
      <c r="J1827" s="661"/>
      <c r="K1827" s="692"/>
      <c r="L1827" s="645"/>
      <c r="M1827" s="663"/>
      <c r="N1827" s="665"/>
      <c r="O1827" s="665"/>
      <c r="P1827" s="666"/>
      <c r="Q1827" s="667"/>
      <c r="R1827" s="668"/>
      <c r="S1827" s="693"/>
      <c r="T1827" s="694"/>
      <c r="U1827" s="694"/>
      <c r="V1827" s="693"/>
      <c r="W1827" s="693"/>
      <c r="X1827" s="693"/>
      <c r="Y1827" s="671"/>
      <c r="Z1827" s="673"/>
      <c r="AA1827" s="672"/>
      <c r="AB1827" s="695"/>
      <c r="AC1827" s="673"/>
      <c r="AD1827" s="673"/>
      <c r="AE1827" s="673"/>
      <c r="AF1827" s="673"/>
      <c r="AG1827" s="673"/>
      <c r="AH1827" s="673"/>
      <c r="AI1827" s="673"/>
      <c r="AJ1827" s="673"/>
      <c r="AK1827" s="673"/>
      <c r="AL1827" s="673"/>
      <c r="AM1827" s="673"/>
      <c r="AN1827" s="673"/>
      <c r="AO1827" s="673"/>
      <c r="AP1827" s="673"/>
      <c r="AQ1827" s="673"/>
      <c r="AR1827" s="673"/>
      <c r="AS1827" s="673"/>
      <c r="AT1827" s="696"/>
    </row>
    <row r="1828" ht="15.75" customHeight="1">
      <c r="A1828" s="653"/>
      <c r="B1828" s="654"/>
      <c r="C1828" s="691"/>
      <c r="D1828" s="656"/>
      <c r="E1828" s="657"/>
      <c r="F1828" s="658"/>
      <c r="G1828" s="659"/>
      <c r="H1828" s="660"/>
      <c r="I1828" s="659"/>
      <c r="J1828" s="661"/>
      <c r="K1828" s="692"/>
      <c r="L1828" s="645"/>
      <c r="M1828" s="663"/>
      <c r="N1828" s="665"/>
      <c r="O1828" s="665"/>
      <c r="P1828" s="666"/>
      <c r="Q1828" s="667"/>
      <c r="R1828" s="668"/>
      <c r="S1828" s="693"/>
      <c r="T1828" s="694"/>
      <c r="U1828" s="694"/>
      <c r="V1828" s="693"/>
      <c r="W1828" s="693"/>
      <c r="X1828" s="693"/>
      <c r="Y1828" s="671"/>
      <c r="Z1828" s="673"/>
      <c r="AA1828" s="672"/>
      <c r="AB1828" s="695"/>
      <c r="AC1828" s="673"/>
      <c r="AD1828" s="673"/>
      <c r="AE1828" s="673"/>
      <c r="AF1828" s="673"/>
      <c r="AG1828" s="673"/>
      <c r="AH1828" s="673"/>
      <c r="AI1828" s="673"/>
      <c r="AJ1828" s="673"/>
      <c r="AK1828" s="673"/>
      <c r="AL1828" s="673"/>
      <c r="AM1828" s="673"/>
      <c r="AN1828" s="673"/>
      <c r="AO1828" s="673"/>
      <c r="AP1828" s="673"/>
      <c r="AQ1828" s="673"/>
      <c r="AR1828" s="673"/>
      <c r="AS1828" s="673"/>
      <c r="AT1828" s="696"/>
    </row>
    <row r="1829" ht="15.75" customHeight="1">
      <c r="A1829" s="653"/>
      <c r="B1829" s="654"/>
      <c r="C1829" s="691"/>
      <c r="D1829" s="656"/>
      <c r="E1829" s="657"/>
      <c r="F1829" s="658"/>
      <c r="G1829" s="659"/>
      <c r="H1829" s="660"/>
      <c r="I1829" s="659"/>
      <c r="J1829" s="661"/>
      <c r="K1829" s="692"/>
      <c r="L1829" s="645"/>
      <c r="M1829" s="663"/>
      <c r="N1829" s="665"/>
      <c r="O1829" s="665"/>
      <c r="P1829" s="666"/>
      <c r="Q1829" s="667"/>
      <c r="R1829" s="668"/>
      <c r="S1829" s="693"/>
      <c r="T1829" s="694"/>
      <c r="U1829" s="694"/>
      <c r="V1829" s="693"/>
      <c r="W1829" s="693"/>
      <c r="X1829" s="693"/>
      <c r="Y1829" s="671"/>
      <c r="Z1829" s="673"/>
      <c r="AA1829" s="672"/>
      <c r="AB1829" s="695"/>
      <c r="AC1829" s="673"/>
      <c r="AD1829" s="673"/>
      <c r="AE1829" s="673"/>
      <c r="AF1829" s="673"/>
      <c r="AG1829" s="673"/>
      <c r="AH1829" s="673"/>
      <c r="AI1829" s="673"/>
      <c r="AJ1829" s="673"/>
      <c r="AK1829" s="673"/>
      <c r="AL1829" s="673"/>
      <c r="AM1829" s="673"/>
      <c r="AN1829" s="673"/>
      <c r="AO1829" s="673"/>
      <c r="AP1829" s="673"/>
      <c r="AQ1829" s="673"/>
      <c r="AR1829" s="673"/>
      <c r="AS1829" s="673"/>
      <c r="AT1829" s="696"/>
    </row>
    <row r="1830" ht="15.75" customHeight="1">
      <c r="A1830" s="653"/>
      <c r="B1830" s="654"/>
      <c r="C1830" s="691"/>
      <c r="D1830" s="656"/>
      <c r="E1830" s="657"/>
      <c r="F1830" s="658"/>
      <c r="G1830" s="659"/>
      <c r="H1830" s="660"/>
      <c r="I1830" s="659"/>
      <c r="J1830" s="661"/>
      <c r="K1830" s="692"/>
      <c r="L1830" s="645"/>
      <c r="M1830" s="663"/>
      <c r="N1830" s="665"/>
      <c r="O1830" s="665"/>
      <c r="P1830" s="666"/>
      <c r="Q1830" s="667"/>
      <c r="R1830" s="668"/>
      <c r="S1830" s="693"/>
      <c r="T1830" s="694"/>
      <c r="U1830" s="694"/>
      <c r="V1830" s="693"/>
      <c r="W1830" s="693"/>
      <c r="X1830" s="693"/>
      <c r="Y1830" s="671"/>
      <c r="Z1830" s="673"/>
      <c r="AA1830" s="672"/>
      <c r="AB1830" s="695"/>
      <c r="AC1830" s="673"/>
      <c r="AD1830" s="673"/>
      <c r="AE1830" s="673"/>
      <c r="AF1830" s="673"/>
      <c r="AG1830" s="673"/>
      <c r="AH1830" s="673"/>
      <c r="AI1830" s="673"/>
      <c r="AJ1830" s="673"/>
      <c r="AK1830" s="673"/>
      <c r="AL1830" s="673"/>
      <c r="AM1830" s="673"/>
      <c r="AN1830" s="673"/>
      <c r="AO1830" s="673"/>
      <c r="AP1830" s="673"/>
      <c r="AQ1830" s="673"/>
      <c r="AR1830" s="673"/>
      <c r="AS1830" s="673"/>
      <c r="AT1830" s="696"/>
    </row>
    <row r="1831" ht="15.75" customHeight="1">
      <c r="A1831" s="653"/>
      <c r="B1831" s="654"/>
      <c r="C1831" s="691"/>
      <c r="D1831" s="656"/>
      <c r="E1831" s="657"/>
      <c r="F1831" s="658"/>
      <c r="G1831" s="659"/>
      <c r="H1831" s="660"/>
      <c r="I1831" s="659"/>
      <c r="J1831" s="661"/>
      <c r="K1831" s="692"/>
      <c r="L1831" s="645"/>
      <c r="M1831" s="663"/>
      <c r="N1831" s="665"/>
      <c r="O1831" s="665"/>
      <c r="P1831" s="666"/>
      <c r="Q1831" s="667"/>
      <c r="R1831" s="668"/>
      <c r="S1831" s="693"/>
      <c r="T1831" s="694"/>
      <c r="U1831" s="694"/>
      <c r="V1831" s="693"/>
      <c r="W1831" s="693"/>
      <c r="X1831" s="693"/>
      <c r="Y1831" s="671"/>
      <c r="Z1831" s="673"/>
      <c r="AA1831" s="672"/>
      <c r="AB1831" s="695"/>
      <c r="AC1831" s="673"/>
      <c r="AD1831" s="673"/>
      <c r="AE1831" s="673"/>
      <c r="AF1831" s="673"/>
      <c r="AG1831" s="673"/>
      <c r="AH1831" s="673"/>
      <c r="AI1831" s="673"/>
      <c r="AJ1831" s="673"/>
      <c r="AK1831" s="673"/>
      <c r="AL1831" s="673"/>
      <c r="AM1831" s="673"/>
      <c r="AN1831" s="673"/>
      <c r="AO1831" s="673"/>
      <c r="AP1831" s="673"/>
      <c r="AQ1831" s="673"/>
      <c r="AR1831" s="673"/>
      <c r="AS1831" s="673"/>
      <c r="AT1831" s="696"/>
    </row>
    <row r="1832" ht="15.75" customHeight="1">
      <c r="A1832" s="653"/>
      <c r="B1832" s="654"/>
      <c r="C1832" s="691"/>
      <c r="D1832" s="656"/>
      <c r="E1832" s="657"/>
      <c r="F1832" s="658"/>
      <c r="G1832" s="659"/>
      <c r="H1832" s="660"/>
      <c r="I1832" s="659"/>
      <c r="J1832" s="661"/>
      <c r="K1832" s="692"/>
      <c r="L1832" s="645"/>
      <c r="M1832" s="663"/>
      <c r="N1832" s="665"/>
      <c r="O1832" s="665"/>
      <c r="P1832" s="666"/>
      <c r="Q1832" s="667"/>
      <c r="R1832" s="668"/>
      <c r="S1832" s="693"/>
      <c r="T1832" s="694"/>
      <c r="U1832" s="694"/>
      <c r="V1832" s="693"/>
      <c r="W1832" s="693"/>
      <c r="X1832" s="693"/>
      <c r="Y1832" s="671"/>
      <c r="Z1832" s="673"/>
      <c r="AA1832" s="672"/>
      <c r="AB1832" s="695"/>
      <c r="AC1832" s="673"/>
      <c r="AD1832" s="673"/>
      <c r="AE1832" s="673"/>
      <c r="AF1832" s="673"/>
      <c r="AG1832" s="673"/>
      <c r="AH1832" s="673"/>
      <c r="AI1832" s="673"/>
      <c r="AJ1832" s="673"/>
      <c r="AK1832" s="673"/>
      <c r="AL1832" s="673"/>
      <c r="AM1832" s="673"/>
      <c r="AN1832" s="673"/>
      <c r="AO1832" s="673"/>
      <c r="AP1832" s="673"/>
      <c r="AQ1832" s="673"/>
      <c r="AR1832" s="673"/>
      <c r="AS1832" s="673"/>
      <c r="AT1832" s="696"/>
    </row>
    <row r="1833" ht="15.75" customHeight="1">
      <c r="A1833" s="653"/>
      <c r="B1833" s="654"/>
      <c r="C1833" s="691"/>
      <c r="D1833" s="656"/>
      <c r="E1833" s="657"/>
      <c r="F1833" s="658"/>
      <c r="G1833" s="659"/>
      <c r="H1833" s="660"/>
      <c r="I1833" s="659"/>
      <c r="J1833" s="661"/>
      <c r="K1833" s="692"/>
      <c r="L1833" s="645"/>
      <c r="M1833" s="663"/>
      <c r="N1833" s="665"/>
      <c r="O1833" s="665"/>
      <c r="P1833" s="666"/>
      <c r="Q1833" s="667"/>
      <c r="R1833" s="668"/>
      <c r="S1833" s="693"/>
      <c r="T1833" s="694"/>
      <c r="U1833" s="694"/>
      <c r="V1833" s="693"/>
      <c r="W1833" s="693"/>
      <c r="X1833" s="693"/>
      <c r="Y1833" s="671"/>
      <c r="Z1833" s="673"/>
      <c r="AA1833" s="672"/>
      <c r="AB1833" s="695"/>
      <c r="AC1833" s="673"/>
      <c r="AD1833" s="673"/>
      <c r="AE1833" s="673"/>
      <c r="AF1833" s="673"/>
      <c r="AG1833" s="673"/>
      <c r="AH1833" s="673"/>
      <c r="AI1833" s="673"/>
      <c r="AJ1833" s="673"/>
      <c r="AK1833" s="673"/>
      <c r="AL1833" s="673"/>
      <c r="AM1833" s="673"/>
      <c r="AN1833" s="673"/>
      <c r="AO1833" s="673"/>
      <c r="AP1833" s="673"/>
      <c r="AQ1833" s="673"/>
      <c r="AR1833" s="673"/>
      <c r="AS1833" s="673"/>
      <c r="AT1833" s="696"/>
    </row>
    <row r="1834" ht="15.75" customHeight="1">
      <c r="A1834" s="653"/>
      <c r="B1834" s="654"/>
      <c r="C1834" s="691"/>
      <c r="D1834" s="656"/>
      <c r="E1834" s="657"/>
      <c r="F1834" s="658"/>
      <c r="G1834" s="659"/>
      <c r="H1834" s="660"/>
      <c r="I1834" s="659"/>
      <c r="J1834" s="661"/>
      <c r="K1834" s="692"/>
      <c r="L1834" s="645"/>
      <c r="M1834" s="663"/>
      <c r="N1834" s="665"/>
      <c r="O1834" s="665"/>
      <c r="P1834" s="666"/>
      <c r="Q1834" s="667"/>
      <c r="R1834" s="668"/>
      <c r="S1834" s="693"/>
      <c r="T1834" s="694"/>
      <c r="U1834" s="694"/>
      <c r="V1834" s="693"/>
      <c r="W1834" s="693"/>
      <c r="X1834" s="693"/>
      <c r="Y1834" s="671"/>
      <c r="Z1834" s="673"/>
      <c r="AA1834" s="672"/>
      <c r="AB1834" s="695"/>
      <c r="AC1834" s="673"/>
      <c r="AD1834" s="673"/>
      <c r="AE1834" s="673"/>
      <c r="AF1834" s="673"/>
      <c r="AG1834" s="673"/>
      <c r="AH1834" s="673"/>
      <c r="AI1834" s="673"/>
      <c r="AJ1834" s="673"/>
      <c r="AK1834" s="673"/>
      <c r="AL1834" s="673"/>
      <c r="AM1834" s="673"/>
      <c r="AN1834" s="673"/>
      <c r="AO1834" s="673"/>
      <c r="AP1834" s="673"/>
      <c r="AQ1834" s="673"/>
      <c r="AR1834" s="673"/>
      <c r="AS1834" s="673"/>
      <c r="AT1834" s="696"/>
    </row>
    <row r="1835" ht="15.75" customHeight="1">
      <c r="A1835" s="653"/>
      <c r="B1835" s="654"/>
      <c r="C1835" s="691"/>
      <c r="D1835" s="656"/>
      <c r="E1835" s="657"/>
      <c r="F1835" s="658"/>
      <c r="G1835" s="659"/>
      <c r="H1835" s="660"/>
      <c r="I1835" s="659"/>
      <c r="J1835" s="661"/>
      <c r="K1835" s="692"/>
      <c r="L1835" s="645"/>
      <c r="M1835" s="663"/>
      <c r="N1835" s="665"/>
      <c r="O1835" s="665"/>
      <c r="P1835" s="666"/>
      <c r="Q1835" s="667"/>
      <c r="R1835" s="668"/>
      <c r="S1835" s="693"/>
      <c r="T1835" s="694"/>
      <c r="U1835" s="694"/>
      <c r="V1835" s="693"/>
      <c r="W1835" s="693"/>
      <c r="X1835" s="693"/>
      <c r="Y1835" s="671"/>
      <c r="Z1835" s="673"/>
      <c r="AA1835" s="672"/>
      <c r="AB1835" s="695"/>
      <c r="AC1835" s="673"/>
      <c r="AD1835" s="673"/>
      <c r="AE1835" s="673"/>
      <c r="AF1835" s="673"/>
      <c r="AG1835" s="673"/>
      <c r="AH1835" s="673"/>
      <c r="AI1835" s="673"/>
      <c r="AJ1835" s="673"/>
      <c r="AK1835" s="673"/>
      <c r="AL1835" s="673"/>
      <c r="AM1835" s="673"/>
      <c r="AN1835" s="673"/>
      <c r="AO1835" s="673"/>
      <c r="AP1835" s="673"/>
      <c r="AQ1835" s="673"/>
      <c r="AR1835" s="673"/>
      <c r="AS1835" s="673"/>
      <c r="AT1835" s="696"/>
    </row>
    <row r="1836" ht="15.75" customHeight="1">
      <c r="A1836" s="653"/>
      <c r="B1836" s="654"/>
      <c r="C1836" s="691"/>
      <c r="D1836" s="656"/>
      <c r="E1836" s="657"/>
      <c r="F1836" s="658"/>
      <c r="G1836" s="659"/>
      <c r="H1836" s="660"/>
      <c r="I1836" s="659"/>
      <c r="J1836" s="661"/>
      <c r="K1836" s="692"/>
      <c r="L1836" s="645"/>
      <c r="M1836" s="663"/>
      <c r="N1836" s="665"/>
      <c r="O1836" s="665"/>
      <c r="P1836" s="666"/>
      <c r="Q1836" s="667"/>
      <c r="R1836" s="668"/>
      <c r="S1836" s="693"/>
      <c r="T1836" s="694"/>
      <c r="U1836" s="694"/>
      <c r="V1836" s="693"/>
      <c r="W1836" s="693"/>
      <c r="X1836" s="693"/>
      <c r="Y1836" s="671"/>
      <c r="Z1836" s="673"/>
      <c r="AA1836" s="672"/>
      <c r="AB1836" s="695"/>
      <c r="AC1836" s="673"/>
      <c r="AD1836" s="673"/>
      <c r="AE1836" s="673"/>
      <c r="AF1836" s="673"/>
      <c r="AG1836" s="673"/>
      <c r="AH1836" s="673"/>
      <c r="AI1836" s="673"/>
      <c r="AJ1836" s="673"/>
      <c r="AK1836" s="673"/>
      <c r="AL1836" s="673"/>
      <c r="AM1836" s="673"/>
      <c r="AN1836" s="673"/>
      <c r="AO1836" s="673"/>
      <c r="AP1836" s="673"/>
      <c r="AQ1836" s="673"/>
      <c r="AR1836" s="673"/>
      <c r="AS1836" s="673"/>
      <c r="AT1836" s="696"/>
    </row>
    <row r="1837" ht="15.75" customHeight="1">
      <c r="A1837" s="653"/>
      <c r="B1837" s="654"/>
      <c r="C1837" s="691"/>
      <c r="D1837" s="656"/>
      <c r="E1837" s="657"/>
      <c r="F1837" s="658"/>
      <c r="G1837" s="659"/>
      <c r="H1837" s="660"/>
      <c r="I1837" s="659"/>
      <c r="J1837" s="661"/>
      <c r="K1837" s="692"/>
      <c r="L1837" s="645"/>
      <c r="M1837" s="663"/>
      <c r="N1837" s="665"/>
      <c r="O1837" s="665"/>
      <c r="P1837" s="666"/>
      <c r="Q1837" s="667"/>
      <c r="R1837" s="668"/>
      <c r="S1837" s="693"/>
      <c r="T1837" s="694"/>
      <c r="U1837" s="694"/>
      <c r="V1837" s="693"/>
      <c r="W1837" s="693"/>
      <c r="X1837" s="693"/>
      <c r="Y1837" s="671"/>
      <c r="Z1837" s="673"/>
      <c r="AA1837" s="672"/>
      <c r="AB1837" s="695"/>
      <c r="AC1837" s="673"/>
      <c r="AD1837" s="673"/>
      <c r="AE1837" s="673"/>
      <c r="AF1837" s="673"/>
      <c r="AG1837" s="673"/>
      <c r="AH1837" s="673"/>
      <c r="AI1837" s="673"/>
      <c r="AJ1837" s="673"/>
      <c r="AK1837" s="673"/>
      <c r="AL1837" s="673"/>
      <c r="AM1837" s="673"/>
      <c r="AN1837" s="673"/>
      <c r="AO1837" s="673"/>
      <c r="AP1837" s="673"/>
      <c r="AQ1837" s="673"/>
      <c r="AR1837" s="673"/>
      <c r="AS1837" s="673"/>
      <c r="AT1837" s="696"/>
    </row>
    <row r="1838" ht="15.75" customHeight="1">
      <c r="A1838" s="653"/>
      <c r="B1838" s="654"/>
      <c r="C1838" s="691"/>
      <c r="D1838" s="656"/>
      <c r="E1838" s="657"/>
      <c r="F1838" s="658"/>
      <c r="G1838" s="659"/>
      <c r="H1838" s="660"/>
      <c r="I1838" s="659"/>
      <c r="J1838" s="661"/>
      <c r="K1838" s="692"/>
      <c r="L1838" s="645"/>
      <c r="M1838" s="663"/>
      <c r="N1838" s="665"/>
      <c r="O1838" s="665"/>
      <c r="P1838" s="666"/>
      <c r="Q1838" s="667"/>
      <c r="R1838" s="668"/>
      <c r="S1838" s="693"/>
      <c r="T1838" s="694"/>
      <c r="U1838" s="694"/>
      <c r="V1838" s="693"/>
      <c r="W1838" s="693"/>
      <c r="X1838" s="693"/>
      <c r="Y1838" s="671"/>
      <c r="Z1838" s="673"/>
      <c r="AA1838" s="672"/>
      <c r="AB1838" s="695"/>
      <c r="AC1838" s="673"/>
      <c r="AD1838" s="673"/>
      <c r="AE1838" s="673"/>
      <c r="AF1838" s="673"/>
      <c r="AG1838" s="673"/>
      <c r="AH1838" s="673"/>
      <c r="AI1838" s="673"/>
      <c r="AJ1838" s="673"/>
      <c r="AK1838" s="673"/>
      <c r="AL1838" s="673"/>
      <c r="AM1838" s="673"/>
      <c r="AN1838" s="673"/>
      <c r="AO1838" s="673"/>
      <c r="AP1838" s="673"/>
      <c r="AQ1838" s="673"/>
      <c r="AR1838" s="673"/>
      <c r="AS1838" s="673"/>
      <c r="AT1838" s="696"/>
    </row>
    <row r="1839" ht="15.75" customHeight="1">
      <c r="A1839" s="653"/>
      <c r="B1839" s="654"/>
      <c r="C1839" s="691"/>
      <c r="D1839" s="656"/>
      <c r="E1839" s="657"/>
      <c r="F1839" s="658"/>
      <c r="G1839" s="659"/>
      <c r="H1839" s="660"/>
      <c r="I1839" s="659"/>
      <c r="J1839" s="661"/>
      <c r="K1839" s="692"/>
      <c r="L1839" s="645"/>
      <c r="M1839" s="663"/>
      <c r="N1839" s="665"/>
      <c r="O1839" s="665"/>
      <c r="P1839" s="666"/>
      <c r="Q1839" s="667"/>
      <c r="R1839" s="668"/>
      <c r="S1839" s="693"/>
      <c r="T1839" s="694"/>
      <c r="U1839" s="694"/>
      <c r="V1839" s="693"/>
      <c r="W1839" s="693"/>
      <c r="X1839" s="693"/>
      <c r="Y1839" s="671"/>
      <c r="Z1839" s="673"/>
      <c r="AA1839" s="672"/>
      <c r="AB1839" s="695"/>
      <c r="AC1839" s="673"/>
      <c r="AD1839" s="673"/>
      <c r="AE1839" s="673"/>
      <c r="AF1839" s="673"/>
      <c r="AG1839" s="673"/>
      <c r="AH1839" s="673"/>
      <c r="AI1839" s="673"/>
      <c r="AJ1839" s="673"/>
      <c r="AK1839" s="673"/>
      <c r="AL1839" s="673"/>
      <c r="AM1839" s="673"/>
      <c r="AN1839" s="673"/>
      <c r="AO1839" s="673"/>
      <c r="AP1839" s="673"/>
      <c r="AQ1839" s="673"/>
      <c r="AR1839" s="673"/>
      <c r="AS1839" s="673"/>
      <c r="AT1839" s="696"/>
    </row>
    <row r="1840" ht="15.75" customHeight="1">
      <c r="A1840" s="653"/>
      <c r="B1840" s="654"/>
      <c r="C1840" s="691"/>
      <c r="D1840" s="656"/>
      <c r="E1840" s="657"/>
      <c r="F1840" s="658"/>
      <c r="G1840" s="659"/>
      <c r="H1840" s="660"/>
      <c r="I1840" s="659"/>
      <c r="J1840" s="661"/>
      <c r="K1840" s="692"/>
      <c r="L1840" s="645"/>
      <c r="M1840" s="663"/>
      <c r="N1840" s="665"/>
      <c r="O1840" s="665"/>
      <c r="P1840" s="666"/>
      <c r="Q1840" s="667"/>
      <c r="R1840" s="668"/>
      <c r="S1840" s="693"/>
      <c r="T1840" s="694"/>
      <c r="U1840" s="694"/>
      <c r="V1840" s="693"/>
      <c r="W1840" s="693"/>
      <c r="X1840" s="693"/>
      <c r="Y1840" s="671"/>
      <c r="Z1840" s="673"/>
      <c r="AA1840" s="672"/>
      <c r="AB1840" s="695"/>
      <c r="AC1840" s="673"/>
      <c r="AD1840" s="673"/>
      <c r="AE1840" s="673"/>
      <c r="AF1840" s="673"/>
      <c r="AG1840" s="673"/>
      <c r="AH1840" s="673"/>
      <c r="AI1840" s="673"/>
      <c r="AJ1840" s="673"/>
      <c r="AK1840" s="673"/>
      <c r="AL1840" s="673"/>
      <c r="AM1840" s="673"/>
      <c r="AN1840" s="673"/>
      <c r="AO1840" s="673"/>
      <c r="AP1840" s="673"/>
      <c r="AQ1840" s="673"/>
      <c r="AR1840" s="673"/>
      <c r="AS1840" s="673"/>
      <c r="AT1840" s="696"/>
    </row>
    <row r="1841" ht="15.75" customHeight="1">
      <c r="A1841" s="653"/>
      <c r="B1841" s="654"/>
      <c r="C1841" s="691"/>
      <c r="D1841" s="656"/>
      <c r="E1841" s="657"/>
      <c r="F1841" s="658"/>
      <c r="G1841" s="659"/>
      <c r="H1841" s="660"/>
      <c r="I1841" s="659"/>
      <c r="J1841" s="661"/>
      <c r="K1841" s="692"/>
      <c r="L1841" s="645"/>
      <c r="M1841" s="663"/>
      <c r="N1841" s="665"/>
      <c r="O1841" s="665"/>
      <c r="P1841" s="666"/>
      <c r="Q1841" s="667"/>
      <c r="R1841" s="668"/>
      <c r="S1841" s="693"/>
      <c r="T1841" s="694"/>
      <c r="U1841" s="694"/>
      <c r="V1841" s="693"/>
      <c r="W1841" s="693"/>
      <c r="X1841" s="693"/>
      <c r="Y1841" s="671"/>
      <c r="Z1841" s="673"/>
      <c r="AA1841" s="672"/>
      <c r="AB1841" s="695"/>
      <c r="AC1841" s="673"/>
      <c r="AD1841" s="673"/>
      <c r="AE1841" s="673"/>
      <c r="AF1841" s="673"/>
      <c r="AG1841" s="673"/>
      <c r="AH1841" s="673"/>
      <c r="AI1841" s="673"/>
      <c r="AJ1841" s="673"/>
      <c r="AK1841" s="673"/>
      <c r="AL1841" s="673"/>
      <c r="AM1841" s="673"/>
      <c r="AN1841" s="673"/>
      <c r="AO1841" s="673"/>
      <c r="AP1841" s="673"/>
      <c r="AQ1841" s="673"/>
      <c r="AR1841" s="673"/>
      <c r="AS1841" s="673"/>
      <c r="AT1841" s="696"/>
    </row>
    <row r="1842" ht="15.75" customHeight="1">
      <c r="A1842" s="653"/>
      <c r="B1842" s="654"/>
      <c r="C1842" s="691"/>
      <c r="D1842" s="656"/>
      <c r="E1842" s="657"/>
      <c r="F1842" s="658"/>
      <c r="G1842" s="659"/>
      <c r="H1842" s="660"/>
      <c r="I1842" s="659"/>
      <c r="J1842" s="661"/>
      <c r="K1842" s="692"/>
      <c r="L1842" s="645"/>
      <c r="M1842" s="663"/>
      <c r="N1842" s="665"/>
      <c r="O1842" s="665"/>
      <c r="P1842" s="666"/>
      <c r="Q1842" s="667"/>
      <c r="R1842" s="668"/>
      <c r="S1842" s="693"/>
      <c r="T1842" s="694"/>
      <c r="U1842" s="694"/>
      <c r="V1842" s="693"/>
      <c r="W1842" s="693"/>
      <c r="X1842" s="693"/>
      <c r="Y1842" s="671"/>
      <c r="Z1842" s="673"/>
      <c r="AA1842" s="672"/>
      <c r="AB1842" s="695"/>
      <c r="AC1842" s="673"/>
      <c r="AD1842" s="673"/>
      <c r="AE1842" s="673"/>
      <c r="AF1842" s="673"/>
      <c r="AG1842" s="673"/>
      <c r="AH1842" s="673"/>
      <c r="AI1842" s="673"/>
      <c r="AJ1842" s="673"/>
      <c r="AK1842" s="673"/>
      <c r="AL1842" s="673"/>
      <c r="AM1842" s="673"/>
      <c r="AN1842" s="673"/>
      <c r="AO1842" s="673"/>
      <c r="AP1842" s="673"/>
      <c r="AQ1842" s="673"/>
      <c r="AR1842" s="673"/>
      <c r="AS1842" s="673"/>
      <c r="AT1842" s="696"/>
    </row>
    <row r="1843" ht="15.75" customHeight="1">
      <c r="A1843" s="653"/>
      <c r="B1843" s="654"/>
      <c r="C1843" s="691"/>
      <c r="D1843" s="656"/>
      <c r="E1843" s="657"/>
      <c r="F1843" s="658"/>
      <c r="G1843" s="659"/>
      <c r="H1843" s="660"/>
      <c r="I1843" s="659"/>
      <c r="J1843" s="661"/>
      <c r="K1843" s="692"/>
      <c r="L1843" s="645"/>
      <c r="M1843" s="663"/>
      <c r="N1843" s="665"/>
      <c r="O1843" s="665"/>
      <c r="P1843" s="666"/>
      <c r="Q1843" s="667"/>
      <c r="R1843" s="668"/>
      <c r="S1843" s="693"/>
      <c r="T1843" s="694"/>
      <c r="U1843" s="694"/>
      <c r="V1843" s="693"/>
      <c r="W1843" s="693"/>
      <c r="X1843" s="693"/>
      <c r="Y1843" s="671"/>
      <c r="Z1843" s="673"/>
      <c r="AA1843" s="672"/>
      <c r="AB1843" s="695"/>
      <c r="AC1843" s="673"/>
      <c r="AD1843" s="673"/>
      <c r="AE1843" s="673"/>
      <c r="AF1843" s="673"/>
      <c r="AG1843" s="673"/>
      <c r="AH1843" s="673"/>
      <c r="AI1843" s="673"/>
      <c r="AJ1843" s="673"/>
      <c r="AK1843" s="673"/>
      <c r="AL1843" s="673"/>
      <c r="AM1843" s="673"/>
      <c r="AN1843" s="673"/>
      <c r="AO1843" s="673"/>
      <c r="AP1843" s="673"/>
      <c r="AQ1843" s="673"/>
      <c r="AR1843" s="673"/>
      <c r="AS1843" s="673"/>
      <c r="AT1843" s="696"/>
    </row>
    <row r="1844" ht="15.75" customHeight="1">
      <c r="A1844" s="653"/>
      <c r="B1844" s="654"/>
      <c r="C1844" s="691"/>
      <c r="D1844" s="656"/>
      <c r="E1844" s="657"/>
      <c r="F1844" s="658"/>
      <c r="G1844" s="659"/>
      <c r="H1844" s="660"/>
      <c r="I1844" s="659"/>
      <c r="J1844" s="661"/>
      <c r="K1844" s="692"/>
      <c r="L1844" s="645"/>
      <c r="M1844" s="663"/>
      <c r="N1844" s="665"/>
      <c r="O1844" s="665"/>
      <c r="P1844" s="666"/>
      <c r="Q1844" s="667"/>
      <c r="R1844" s="668"/>
      <c r="S1844" s="693"/>
      <c r="T1844" s="694"/>
      <c r="U1844" s="694"/>
      <c r="V1844" s="693"/>
      <c r="W1844" s="693"/>
      <c r="X1844" s="693"/>
      <c r="Y1844" s="671"/>
      <c r="Z1844" s="673"/>
      <c r="AA1844" s="672"/>
      <c r="AB1844" s="695"/>
      <c r="AC1844" s="673"/>
      <c r="AD1844" s="673"/>
      <c r="AE1844" s="673"/>
      <c r="AF1844" s="673"/>
      <c r="AG1844" s="673"/>
      <c r="AH1844" s="673"/>
      <c r="AI1844" s="673"/>
      <c r="AJ1844" s="673"/>
      <c r="AK1844" s="673"/>
      <c r="AL1844" s="673"/>
      <c r="AM1844" s="673"/>
      <c r="AN1844" s="673"/>
      <c r="AO1844" s="673"/>
      <c r="AP1844" s="673"/>
      <c r="AQ1844" s="673"/>
      <c r="AR1844" s="673"/>
      <c r="AS1844" s="673"/>
      <c r="AT1844" s="696"/>
    </row>
    <row r="1845" ht="15.75" customHeight="1">
      <c r="A1845" s="653"/>
      <c r="B1845" s="654"/>
      <c r="C1845" s="691"/>
      <c r="D1845" s="656"/>
      <c r="E1845" s="657"/>
      <c r="F1845" s="658"/>
      <c r="G1845" s="659"/>
      <c r="H1845" s="660"/>
      <c r="I1845" s="659"/>
      <c r="J1845" s="661"/>
      <c r="K1845" s="692"/>
      <c r="L1845" s="645"/>
      <c r="M1845" s="663"/>
      <c r="N1845" s="665"/>
      <c r="O1845" s="665"/>
      <c r="P1845" s="666"/>
      <c r="Q1845" s="667"/>
      <c r="R1845" s="668"/>
      <c r="S1845" s="693"/>
      <c r="T1845" s="694"/>
      <c r="U1845" s="694"/>
      <c r="V1845" s="693"/>
      <c r="W1845" s="693"/>
      <c r="X1845" s="693"/>
      <c r="Y1845" s="671"/>
      <c r="Z1845" s="673"/>
      <c r="AA1845" s="672"/>
      <c r="AB1845" s="695"/>
      <c r="AC1845" s="673"/>
      <c r="AD1845" s="673"/>
      <c r="AE1845" s="673"/>
      <c r="AF1845" s="673"/>
      <c r="AG1845" s="673"/>
      <c r="AH1845" s="673"/>
      <c r="AI1845" s="673"/>
      <c r="AJ1845" s="673"/>
      <c r="AK1845" s="673"/>
      <c r="AL1845" s="673"/>
      <c r="AM1845" s="673"/>
      <c r="AN1845" s="673"/>
      <c r="AO1845" s="673"/>
      <c r="AP1845" s="673"/>
      <c r="AQ1845" s="673"/>
      <c r="AR1845" s="673"/>
      <c r="AS1845" s="673"/>
      <c r="AT1845" s="696"/>
    </row>
    <row r="1846" ht="15.75" customHeight="1">
      <c r="A1846" s="653"/>
      <c r="B1846" s="654"/>
      <c r="C1846" s="691"/>
      <c r="D1846" s="656"/>
      <c r="E1846" s="657"/>
      <c r="F1846" s="658"/>
      <c r="G1846" s="659"/>
      <c r="H1846" s="660"/>
      <c r="I1846" s="659"/>
      <c r="J1846" s="661"/>
      <c r="K1846" s="692"/>
      <c r="L1846" s="645"/>
      <c r="M1846" s="663"/>
      <c r="N1846" s="665"/>
      <c r="O1846" s="665"/>
      <c r="P1846" s="666"/>
      <c r="Q1846" s="667"/>
      <c r="R1846" s="668"/>
      <c r="S1846" s="693"/>
      <c r="T1846" s="694"/>
      <c r="U1846" s="694"/>
      <c r="V1846" s="693"/>
      <c r="W1846" s="693"/>
      <c r="X1846" s="693"/>
      <c r="Y1846" s="671"/>
      <c r="Z1846" s="673"/>
      <c r="AA1846" s="672"/>
      <c r="AB1846" s="695"/>
      <c r="AC1846" s="673"/>
      <c r="AD1846" s="673"/>
      <c r="AE1846" s="673"/>
      <c r="AF1846" s="673"/>
      <c r="AG1846" s="673"/>
      <c r="AH1846" s="673"/>
      <c r="AI1846" s="673"/>
      <c r="AJ1846" s="673"/>
      <c r="AK1846" s="673"/>
      <c r="AL1846" s="673"/>
      <c r="AM1846" s="673"/>
      <c r="AN1846" s="673"/>
      <c r="AO1846" s="673"/>
      <c r="AP1846" s="673"/>
      <c r="AQ1846" s="673"/>
      <c r="AR1846" s="673"/>
      <c r="AS1846" s="673"/>
      <c r="AT1846" s="696"/>
    </row>
    <row r="1847" ht="15.75" customHeight="1">
      <c r="A1847" s="653"/>
      <c r="B1847" s="654"/>
      <c r="C1847" s="691"/>
      <c r="D1847" s="656"/>
      <c r="E1847" s="657"/>
      <c r="F1847" s="658"/>
      <c r="G1847" s="659"/>
      <c r="H1847" s="660"/>
      <c r="I1847" s="659"/>
      <c r="J1847" s="661"/>
      <c r="K1847" s="692"/>
      <c r="L1847" s="645"/>
      <c r="M1847" s="663"/>
      <c r="N1847" s="665"/>
      <c r="O1847" s="665"/>
      <c r="P1847" s="666"/>
      <c r="Q1847" s="667"/>
      <c r="R1847" s="668"/>
      <c r="S1847" s="693"/>
      <c r="T1847" s="694"/>
      <c r="U1847" s="694"/>
      <c r="V1847" s="693"/>
      <c r="W1847" s="693"/>
      <c r="X1847" s="693"/>
      <c r="Y1847" s="671"/>
      <c r="Z1847" s="673"/>
      <c r="AA1847" s="672"/>
      <c r="AB1847" s="695"/>
      <c r="AC1847" s="673"/>
      <c r="AD1847" s="673"/>
      <c r="AE1847" s="673"/>
      <c r="AF1847" s="673"/>
      <c r="AG1847" s="673"/>
      <c r="AH1847" s="673"/>
      <c r="AI1847" s="673"/>
      <c r="AJ1847" s="673"/>
      <c r="AK1847" s="673"/>
      <c r="AL1847" s="673"/>
      <c r="AM1847" s="673"/>
      <c r="AN1847" s="673"/>
      <c r="AO1847" s="673"/>
      <c r="AP1847" s="673"/>
      <c r="AQ1847" s="673"/>
      <c r="AR1847" s="673"/>
      <c r="AS1847" s="673"/>
      <c r="AT1847" s="696"/>
    </row>
    <row r="1848" ht="15.75" customHeight="1">
      <c r="A1848" s="653"/>
      <c r="B1848" s="654"/>
      <c r="C1848" s="691"/>
      <c r="D1848" s="656"/>
      <c r="E1848" s="657"/>
      <c r="F1848" s="658"/>
      <c r="G1848" s="659"/>
      <c r="H1848" s="660"/>
      <c r="I1848" s="659"/>
      <c r="J1848" s="661"/>
      <c r="K1848" s="692"/>
      <c r="L1848" s="645"/>
      <c r="M1848" s="663"/>
      <c r="N1848" s="665"/>
      <c r="O1848" s="665"/>
      <c r="P1848" s="666"/>
      <c r="Q1848" s="667"/>
      <c r="R1848" s="668"/>
      <c r="S1848" s="693"/>
      <c r="T1848" s="694"/>
      <c r="U1848" s="694"/>
      <c r="V1848" s="693"/>
      <c r="W1848" s="693"/>
      <c r="X1848" s="693"/>
      <c r="Y1848" s="671"/>
      <c r="Z1848" s="673"/>
      <c r="AA1848" s="672"/>
      <c r="AB1848" s="695"/>
      <c r="AC1848" s="673"/>
      <c r="AD1848" s="673"/>
      <c r="AE1848" s="673"/>
      <c r="AF1848" s="673"/>
      <c r="AG1848" s="673"/>
      <c r="AH1848" s="673"/>
      <c r="AI1848" s="673"/>
      <c r="AJ1848" s="673"/>
      <c r="AK1848" s="673"/>
      <c r="AL1848" s="673"/>
      <c r="AM1848" s="673"/>
      <c r="AN1848" s="673"/>
      <c r="AO1848" s="673"/>
      <c r="AP1848" s="673"/>
      <c r="AQ1848" s="673"/>
      <c r="AR1848" s="673"/>
      <c r="AS1848" s="673"/>
      <c r="AT1848" s="696"/>
    </row>
    <row r="1849" ht="15.75" customHeight="1">
      <c r="A1849" s="653"/>
      <c r="B1849" s="654"/>
      <c r="C1849" s="691"/>
      <c r="D1849" s="656"/>
      <c r="E1849" s="657"/>
      <c r="F1849" s="658"/>
      <c r="G1849" s="659"/>
      <c r="H1849" s="660"/>
      <c r="I1849" s="659"/>
      <c r="J1849" s="661"/>
      <c r="K1849" s="692"/>
      <c r="L1849" s="645"/>
      <c r="M1849" s="663"/>
      <c r="N1849" s="665"/>
      <c r="O1849" s="665"/>
      <c r="P1849" s="666"/>
      <c r="Q1849" s="667"/>
      <c r="R1849" s="668"/>
      <c r="S1849" s="693"/>
      <c r="T1849" s="694"/>
      <c r="U1849" s="694"/>
      <c r="V1849" s="693"/>
      <c r="W1849" s="693"/>
      <c r="X1849" s="693"/>
      <c r="Y1849" s="671"/>
      <c r="Z1849" s="673"/>
      <c r="AA1849" s="672"/>
      <c r="AB1849" s="695"/>
      <c r="AC1849" s="673"/>
      <c r="AD1849" s="673"/>
      <c r="AE1849" s="673"/>
      <c r="AF1849" s="673"/>
      <c r="AG1849" s="673"/>
      <c r="AH1849" s="673"/>
      <c r="AI1849" s="673"/>
      <c r="AJ1849" s="673"/>
      <c r="AK1849" s="673"/>
      <c r="AL1849" s="673"/>
      <c r="AM1849" s="673"/>
      <c r="AN1849" s="673"/>
      <c r="AO1849" s="673"/>
      <c r="AP1849" s="673"/>
      <c r="AQ1849" s="673"/>
      <c r="AR1849" s="673"/>
      <c r="AS1849" s="673"/>
      <c r="AT1849" s="696"/>
    </row>
    <row r="1850" ht="15.75" customHeight="1">
      <c r="A1850" s="653"/>
      <c r="B1850" s="654"/>
      <c r="C1850" s="691"/>
      <c r="D1850" s="656"/>
      <c r="E1850" s="657"/>
      <c r="F1850" s="658"/>
      <c r="G1850" s="659"/>
      <c r="H1850" s="660"/>
      <c r="I1850" s="659"/>
      <c r="J1850" s="661"/>
      <c r="K1850" s="692"/>
      <c r="L1850" s="645"/>
      <c r="M1850" s="663"/>
      <c r="N1850" s="665"/>
      <c r="O1850" s="665"/>
      <c r="P1850" s="666"/>
      <c r="Q1850" s="667"/>
      <c r="R1850" s="668"/>
      <c r="S1850" s="693"/>
      <c r="T1850" s="694"/>
      <c r="U1850" s="694"/>
      <c r="V1850" s="693"/>
      <c r="W1850" s="693"/>
      <c r="X1850" s="693"/>
      <c r="Y1850" s="671"/>
      <c r="Z1850" s="673"/>
      <c r="AA1850" s="672"/>
      <c r="AB1850" s="695"/>
      <c r="AC1850" s="673"/>
      <c r="AD1850" s="673"/>
      <c r="AE1850" s="673"/>
      <c r="AF1850" s="673"/>
      <c r="AG1850" s="673"/>
      <c r="AH1850" s="673"/>
      <c r="AI1850" s="673"/>
      <c r="AJ1850" s="673"/>
      <c r="AK1850" s="673"/>
      <c r="AL1850" s="673"/>
      <c r="AM1850" s="673"/>
      <c r="AN1850" s="673"/>
      <c r="AO1850" s="673"/>
      <c r="AP1850" s="673"/>
      <c r="AQ1850" s="673"/>
      <c r="AR1850" s="673"/>
      <c r="AS1850" s="673"/>
      <c r="AT1850" s="696"/>
    </row>
    <row r="1851" ht="15.75" customHeight="1">
      <c r="A1851" s="653"/>
      <c r="B1851" s="654"/>
      <c r="C1851" s="691"/>
      <c r="D1851" s="656"/>
      <c r="E1851" s="657"/>
      <c r="F1851" s="658"/>
      <c r="G1851" s="659"/>
      <c r="H1851" s="660"/>
      <c r="I1851" s="659"/>
      <c r="J1851" s="661"/>
      <c r="K1851" s="692"/>
      <c r="L1851" s="645"/>
      <c r="M1851" s="663"/>
      <c r="N1851" s="665"/>
      <c r="O1851" s="665"/>
      <c r="P1851" s="666"/>
      <c r="Q1851" s="667"/>
      <c r="R1851" s="668"/>
      <c r="S1851" s="693"/>
      <c r="T1851" s="694"/>
      <c r="U1851" s="694"/>
      <c r="V1851" s="693"/>
      <c r="W1851" s="693"/>
      <c r="X1851" s="693"/>
      <c r="Y1851" s="671"/>
      <c r="Z1851" s="673"/>
      <c r="AA1851" s="672"/>
      <c r="AB1851" s="695"/>
      <c r="AC1851" s="673"/>
      <c r="AD1851" s="673"/>
      <c r="AE1851" s="673"/>
      <c r="AF1851" s="673"/>
      <c r="AG1851" s="673"/>
      <c r="AH1851" s="673"/>
      <c r="AI1851" s="673"/>
      <c r="AJ1851" s="673"/>
      <c r="AK1851" s="673"/>
      <c r="AL1851" s="673"/>
      <c r="AM1851" s="673"/>
      <c r="AN1851" s="673"/>
      <c r="AO1851" s="673"/>
      <c r="AP1851" s="673"/>
      <c r="AQ1851" s="673"/>
      <c r="AR1851" s="673"/>
      <c r="AS1851" s="673"/>
      <c r="AT1851" s="696"/>
    </row>
    <row r="1852" ht="15.75" customHeight="1">
      <c r="A1852" s="653"/>
      <c r="B1852" s="654"/>
      <c r="C1852" s="691"/>
      <c r="D1852" s="656"/>
      <c r="E1852" s="657"/>
      <c r="F1852" s="658"/>
      <c r="G1852" s="659"/>
      <c r="H1852" s="660"/>
      <c r="I1852" s="659"/>
      <c r="J1852" s="661"/>
      <c r="K1852" s="692"/>
      <c r="L1852" s="645"/>
      <c r="M1852" s="663"/>
      <c r="N1852" s="665"/>
      <c r="O1852" s="665"/>
      <c r="P1852" s="666"/>
      <c r="Q1852" s="667"/>
      <c r="R1852" s="668"/>
      <c r="S1852" s="693"/>
      <c r="T1852" s="694"/>
      <c r="U1852" s="694"/>
      <c r="V1852" s="693"/>
      <c r="W1852" s="693"/>
      <c r="X1852" s="693"/>
      <c r="Y1852" s="671"/>
      <c r="Z1852" s="673"/>
      <c r="AA1852" s="672"/>
      <c r="AB1852" s="695"/>
      <c r="AC1852" s="673"/>
      <c r="AD1852" s="673"/>
      <c r="AE1852" s="673"/>
      <c r="AF1852" s="673"/>
      <c r="AG1852" s="673"/>
      <c r="AH1852" s="673"/>
      <c r="AI1852" s="673"/>
      <c r="AJ1852" s="673"/>
      <c r="AK1852" s="673"/>
      <c r="AL1852" s="673"/>
      <c r="AM1852" s="673"/>
      <c r="AN1852" s="673"/>
      <c r="AO1852" s="673"/>
      <c r="AP1852" s="673"/>
      <c r="AQ1852" s="673"/>
      <c r="AR1852" s="673"/>
      <c r="AS1852" s="673"/>
      <c r="AT1852" s="696"/>
    </row>
    <row r="1853" ht="15.75" customHeight="1">
      <c r="A1853" s="653"/>
      <c r="B1853" s="654"/>
      <c r="C1853" s="691"/>
      <c r="D1853" s="656"/>
      <c r="E1853" s="657"/>
      <c r="F1853" s="658"/>
      <c r="G1853" s="659"/>
      <c r="H1853" s="660"/>
      <c r="I1853" s="659"/>
      <c r="J1853" s="661"/>
      <c r="K1853" s="692"/>
      <c r="L1853" s="645"/>
      <c r="M1853" s="663"/>
      <c r="N1853" s="665"/>
      <c r="O1853" s="665"/>
      <c r="P1853" s="666"/>
      <c r="Q1853" s="667"/>
      <c r="R1853" s="668"/>
      <c r="S1853" s="693"/>
      <c r="T1853" s="694"/>
      <c r="U1853" s="694"/>
      <c r="V1853" s="693"/>
      <c r="W1853" s="693"/>
      <c r="X1853" s="693"/>
      <c r="Y1853" s="671"/>
      <c r="Z1853" s="673"/>
      <c r="AA1853" s="672"/>
      <c r="AB1853" s="695"/>
      <c r="AC1853" s="673"/>
      <c r="AD1853" s="673"/>
      <c r="AE1853" s="673"/>
      <c r="AF1853" s="673"/>
      <c r="AG1853" s="673"/>
      <c r="AH1853" s="673"/>
      <c r="AI1853" s="673"/>
      <c r="AJ1853" s="673"/>
      <c r="AK1853" s="673"/>
      <c r="AL1853" s="673"/>
      <c r="AM1853" s="673"/>
      <c r="AN1853" s="673"/>
      <c r="AO1853" s="673"/>
      <c r="AP1853" s="673"/>
      <c r="AQ1853" s="673"/>
      <c r="AR1853" s="673"/>
      <c r="AS1853" s="673"/>
      <c r="AT1853" s="696"/>
    </row>
    <row r="1854" ht="15.75" customHeight="1">
      <c r="A1854" s="653"/>
      <c r="B1854" s="654"/>
      <c r="C1854" s="691"/>
      <c r="D1854" s="656"/>
      <c r="E1854" s="657"/>
      <c r="F1854" s="658"/>
      <c r="G1854" s="659"/>
      <c r="H1854" s="660"/>
      <c r="I1854" s="659"/>
      <c r="J1854" s="661"/>
      <c r="K1854" s="692"/>
      <c r="L1854" s="645"/>
      <c r="M1854" s="663"/>
      <c r="N1854" s="665"/>
      <c r="O1854" s="665"/>
      <c r="P1854" s="666"/>
      <c r="Q1854" s="667"/>
      <c r="R1854" s="668"/>
      <c r="S1854" s="693"/>
      <c r="T1854" s="694"/>
      <c r="U1854" s="694"/>
      <c r="V1854" s="693"/>
      <c r="W1854" s="693"/>
      <c r="X1854" s="693"/>
      <c r="Y1854" s="671"/>
      <c r="Z1854" s="673"/>
      <c r="AA1854" s="672"/>
      <c r="AB1854" s="695"/>
      <c r="AC1854" s="673"/>
      <c r="AD1854" s="673"/>
      <c r="AE1854" s="673"/>
      <c r="AF1854" s="673"/>
      <c r="AG1854" s="673"/>
      <c r="AH1854" s="673"/>
      <c r="AI1854" s="673"/>
      <c r="AJ1854" s="673"/>
      <c r="AK1854" s="673"/>
      <c r="AL1854" s="673"/>
      <c r="AM1854" s="673"/>
      <c r="AN1854" s="673"/>
      <c r="AO1854" s="673"/>
      <c r="AP1854" s="673"/>
      <c r="AQ1854" s="673"/>
      <c r="AR1854" s="673"/>
      <c r="AS1854" s="673"/>
      <c r="AT1854" s="696"/>
    </row>
    <row r="1855" ht="15.75" customHeight="1">
      <c r="A1855" s="653"/>
      <c r="B1855" s="654"/>
      <c r="C1855" s="691"/>
      <c r="D1855" s="656"/>
      <c r="E1855" s="657"/>
      <c r="F1855" s="658"/>
      <c r="G1855" s="659"/>
      <c r="H1855" s="660"/>
      <c r="I1855" s="659"/>
      <c r="J1855" s="661"/>
      <c r="K1855" s="692"/>
      <c r="L1855" s="645"/>
      <c r="M1855" s="663"/>
      <c r="N1855" s="665"/>
      <c r="O1855" s="665"/>
      <c r="P1855" s="666"/>
      <c r="Q1855" s="667"/>
      <c r="R1855" s="668"/>
      <c r="S1855" s="693"/>
      <c r="T1855" s="694"/>
      <c r="U1855" s="694"/>
      <c r="V1855" s="693"/>
      <c r="W1855" s="693"/>
      <c r="X1855" s="693"/>
      <c r="Y1855" s="671"/>
      <c r="Z1855" s="673"/>
      <c r="AA1855" s="672"/>
      <c r="AB1855" s="695"/>
      <c r="AC1855" s="673"/>
      <c r="AD1855" s="673"/>
      <c r="AE1855" s="673"/>
      <c r="AF1855" s="673"/>
      <c r="AG1855" s="673"/>
      <c r="AH1855" s="673"/>
      <c r="AI1855" s="673"/>
      <c r="AJ1855" s="673"/>
      <c r="AK1855" s="673"/>
      <c r="AL1855" s="673"/>
      <c r="AM1855" s="673"/>
      <c r="AN1855" s="673"/>
      <c r="AO1855" s="673"/>
      <c r="AP1855" s="673"/>
      <c r="AQ1855" s="673"/>
      <c r="AR1855" s="673"/>
      <c r="AS1855" s="673"/>
      <c r="AT1855" s="696"/>
    </row>
    <row r="1856" ht="15.75" customHeight="1">
      <c r="A1856" s="653"/>
      <c r="B1856" s="654"/>
      <c r="C1856" s="691"/>
      <c r="D1856" s="656"/>
      <c r="E1856" s="657"/>
      <c r="F1856" s="658"/>
      <c r="G1856" s="659"/>
      <c r="H1856" s="660"/>
      <c r="I1856" s="659"/>
      <c r="J1856" s="661"/>
      <c r="K1856" s="692"/>
      <c r="L1856" s="645"/>
      <c r="M1856" s="663"/>
      <c r="N1856" s="665"/>
      <c r="O1856" s="665"/>
      <c r="P1856" s="666"/>
      <c r="Q1856" s="667"/>
      <c r="R1856" s="668"/>
      <c r="S1856" s="693"/>
      <c r="T1856" s="694"/>
      <c r="U1856" s="694"/>
      <c r="V1856" s="693"/>
      <c r="W1856" s="693"/>
      <c r="X1856" s="693"/>
      <c r="Y1856" s="671"/>
      <c r="Z1856" s="673"/>
      <c r="AA1856" s="672"/>
      <c r="AB1856" s="695"/>
      <c r="AC1856" s="673"/>
      <c r="AD1856" s="673"/>
      <c r="AE1856" s="673"/>
      <c r="AF1856" s="673"/>
      <c r="AG1856" s="673"/>
      <c r="AH1856" s="673"/>
      <c r="AI1856" s="673"/>
      <c r="AJ1856" s="673"/>
      <c r="AK1856" s="673"/>
      <c r="AL1856" s="673"/>
      <c r="AM1856" s="673"/>
      <c r="AN1856" s="673"/>
      <c r="AO1856" s="673"/>
      <c r="AP1856" s="673"/>
      <c r="AQ1856" s="673"/>
      <c r="AR1856" s="673"/>
      <c r="AS1856" s="673"/>
      <c r="AT1856" s="696"/>
    </row>
    <row r="1857" ht="15.75" customHeight="1">
      <c r="A1857" s="653"/>
      <c r="B1857" s="654"/>
      <c r="C1857" s="691"/>
      <c r="D1857" s="656"/>
      <c r="E1857" s="657"/>
      <c r="F1857" s="658"/>
      <c r="G1857" s="659"/>
      <c r="H1857" s="660"/>
      <c r="I1857" s="659"/>
      <c r="J1857" s="661"/>
      <c r="K1857" s="692"/>
      <c r="L1857" s="645"/>
      <c r="M1857" s="663"/>
      <c r="N1857" s="665"/>
      <c r="O1857" s="665"/>
      <c r="P1857" s="666"/>
      <c r="Q1857" s="667"/>
      <c r="R1857" s="668"/>
      <c r="S1857" s="693"/>
      <c r="T1857" s="694"/>
      <c r="U1857" s="694"/>
      <c r="V1857" s="693"/>
      <c r="W1857" s="693"/>
      <c r="X1857" s="693"/>
      <c r="Y1857" s="671"/>
      <c r="Z1857" s="673"/>
      <c r="AA1857" s="672"/>
      <c r="AB1857" s="695"/>
      <c r="AC1857" s="673"/>
      <c r="AD1857" s="673"/>
      <c r="AE1857" s="673"/>
      <c r="AF1857" s="673"/>
      <c r="AG1857" s="673"/>
      <c r="AH1857" s="673"/>
      <c r="AI1857" s="673"/>
      <c r="AJ1857" s="673"/>
      <c r="AK1857" s="673"/>
      <c r="AL1857" s="673"/>
      <c r="AM1857" s="673"/>
      <c r="AN1857" s="673"/>
      <c r="AO1857" s="673"/>
      <c r="AP1857" s="673"/>
      <c r="AQ1857" s="673"/>
      <c r="AR1857" s="673"/>
      <c r="AS1857" s="673"/>
      <c r="AT1857" s="696"/>
    </row>
    <row r="1858" ht="15.75" customHeight="1">
      <c r="A1858" s="653"/>
      <c r="B1858" s="654"/>
      <c r="C1858" s="691"/>
      <c r="D1858" s="656"/>
      <c r="E1858" s="657"/>
      <c r="F1858" s="658"/>
      <c r="G1858" s="659"/>
      <c r="H1858" s="660"/>
      <c r="I1858" s="659"/>
      <c r="J1858" s="661"/>
      <c r="K1858" s="692"/>
      <c r="L1858" s="645"/>
      <c r="M1858" s="663"/>
      <c r="N1858" s="665"/>
      <c r="O1858" s="665"/>
      <c r="P1858" s="666"/>
      <c r="Q1858" s="667"/>
      <c r="R1858" s="668"/>
      <c r="S1858" s="693"/>
      <c r="T1858" s="694"/>
      <c r="U1858" s="694"/>
      <c r="V1858" s="693"/>
      <c r="W1858" s="693"/>
      <c r="X1858" s="693"/>
      <c r="Y1858" s="671"/>
      <c r="Z1858" s="673"/>
      <c r="AA1858" s="672"/>
      <c r="AB1858" s="695"/>
      <c r="AC1858" s="673"/>
      <c r="AD1858" s="673"/>
      <c r="AE1858" s="673"/>
      <c r="AF1858" s="673"/>
      <c r="AG1858" s="673"/>
      <c r="AH1858" s="673"/>
      <c r="AI1858" s="673"/>
      <c r="AJ1858" s="673"/>
      <c r="AK1858" s="673"/>
      <c r="AL1858" s="673"/>
      <c r="AM1858" s="673"/>
      <c r="AN1858" s="673"/>
      <c r="AO1858" s="673"/>
      <c r="AP1858" s="673"/>
      <c r="AQ1858" s="673"/>
      <c r="AR1858" s="673"/>
      <c r="AS1858" s="673"/>
      <c r="AT1858" s="696"/>
    </row>
    <row r="1859" ht="15.75" customHeight="1">
      <c r="A1859" s="653"/>
      <c r="B1859" s="654"/>
      <c r="C1859" s="691"/>
      <c r="D1859" s="656"/>
      <c r="E1859" s="657"/>
      <c r="F1859" s="658"/>
      <c r="G1859" s="659"/>
      <c r="H1859" s="660"/>
      <c r="I1859" s="659"/>
      <c r="J1859" s="661"/>
      <c r="K1859" s="692"/>
      <c r="L1859" s="645"/>
      <c r="M1859" s="663"/>
      <c r="N1859" s="665"/>
      <c r="O1859" s="665"/>
      <c r="P1859" s="666"/>
      <c r="Q1859" s="667"/>
      <c r="R1859" s="668"/>
      <c r="S1859" s="693"/>
      <c r="T1859" s="694"/>
      <c r="U1859" s="694"/>
      <c r="V1859" s="693"/>
      <c r="W1859" s="693"/>
      <c r="X1859" s="693"/>
      <c r="Y1859" s="671"/>
      <c r="Z1859" s="673"/>
      <c r="AA1859" s="672"/>
      <c r="AB1859" s="695"/>
      <c r="AC1859" s="673"/>
      <c r="AD1859" s="673"/>
      <c r="AE1859" s="673"/>
      <c r="AF1859" s="673"/>
      <c r="AG1859" s="673"/>
      <c r="AH1859" s="673"/>
      <c r="AI1859" s="673"/>
      <c r="AJ1859" s="673"/>
      <c r="AK1859" s="673"/>
      <c r="AL1859" s="673"/>
      <c r="AM1859" s="673"/>
      <c r="AN1859" s="673"/>
      <c r="AO1859" s="673"/>
      <c r="AP1859" s="673"/>
      <c r="AQ1859" s="673"/>
      <c r="AR1859" s="673"/>
      <c r="AS1859" s="673"/>
      <c r="AT1859" s="696"/>
    </row>
    <row r="1860" ht="15.75" customHeight="1">
      <c r="A1860" s="653"/>
      <c r="B1860" s="654"/>
      <c r="C1860" s="691"/>
      <c r="D1860" s="656"/>
      <c r="E1860" s="657"/>
      <c r="F1860" s="658"/>
      <c r="G1860" s="659"/>
      <c r="H1860" s="660"/>
      <c r="I1860" s="659"/>
      <c r="J1860" s="661"/>
      <c r="K1860" s="692"/>
      <c r="L1860" s="645"/>
      <c r="M1860" s="663"/>
      <c r="N1860" s="665"/>
      <c r="O1860" s="665"/>
      <c r="P1860" s="666"/>
      <c r="Q1860" s="667"/>
      <c r="R1860" s="668"/>
      <c r="S1860" s="693"/>
      <c r="T1860" s="694"/>
      <c r="U1860" s="694"/>
      <c r="V1860" s="693"/>
      <c r="W1860" s="693"/>
      <c r="X1860" s="693"/>
      <c r="Y1860" s="671"/>
      <c r="Z1860" s="673"/>
      <c r="AA1860" s="672"/>
      <c r="AB1860" s="695"/>
      <c r="AC1860" s="673"/>
      <c r="AD1860" s="673"/>
      <c r="AE1860" s="673"/>
      <c r="AF1860" s="673"/>
      <c r="AG1860" s="673"/>
      <c r="AH1860" s="673"/>
      <c r="AI1860" s="673"/>
      <c r="AJ1860" s="673"/>
      <c r="AK1860" s="673"/>
      <c r="AL1860" s="673"/>
      <c r="AM1860" s="673"/>
      <c r="AN1860" s="673"/>
      <c r="AO1860" s="673"/>
      <c r="AP1860" s="673"/>
      <c r="AQ1860" s="673"/>
      <c r="AR1860" s="673"/>
      <c r="AS1860" s="673"/>
      <c r="AT1860" s="696"/>
    </row>
    <row r="1861" ht="15.75" customHeight="1">
      <c r="A1861" s="653"/>
      <c r="B1861" s="654"/>
      <c r="C1861" s="691"/>
      <c r="D1861" s="656"/>
      <c r="E1861" s="657"/>
      <c r="F1861" s="658"/>
      <c r="G1861" s="659"/>
      <c r="H1861" s="660"/>
      <c r="I1861" s="659"/>
      <c r="J1861" s="661"/>
      <c r="K1861" s="692"/>
      <c r="L1861" s="645"/>
      <c r="M1861" s="663"/>
      <c r="N1861" s="665"/>
      <c r="O1861" s="665"/>
      <c r="P1861" s="666"/>
      <c r="Q1861" s="667"/>
      <c r="R1861" s="668"/>
      <c r="S1861" s="693"/>
      <c r="T1861" s="694"/>
      <c r="U1861" s="694"/>
      <c r="V1861" s="693"/>
      <c r="W1861" s="693"/>
      <c r="X1861" s="693"/>
      <c r="Y1861" s="671"/>
      <c r="Z1861" s="673"/>
      <c r="AA1861" s="672"/>
      <c r="AB1861" s="695"/>
      <c r="AC1861" s="673"/>
      <c r="AD1861" s="673"/>
      <c r="AE1861" s="673"/>
      <c r="AF1861" s="673"/>
      <c r="AG1861" s="673"/>
      <c r="AH1861" s="673"/>
      <c r="AI1861" s="673"/>
      <c r="AJ1861" s="673"/>
      <c r="AK1861" s="673"/>
      <c r="AL1861" s="673"/>
      <c r="AM1861" s="673"/>
      <c r="AN1861" s="673"/>
      <c r="AO1861" s="673"/>
      <c r="AP1861" s="673"/>
      <c r="AQ1861" s="673"/>
      <c r="AR1861" s="673"/>
      <c r="AS1861" s="673"/>
      <c r="AT1861" s="696"/>
    </row>
    <row r="1862" ht="15.75" customHeight="1">
      <c r="A1862" s="653"/>
      <c r="B1862" s="654"/>
      <c r="C1862" s="691"/>
      <c r="D1862" s="656"/>
      <c r="E1862" s="657"/>
      <c r="F1862" s="658"/>
      <c r="G1862" s="659"/>
      <c r="H1862" s="660"/>
      <c r="I1862" s="659"/>
      <c r="J1862" s="661"/>
      <c r="K1862" s="692"/>
      <c r="L1862" s="645"/>
      <c r="M1862" s="663"/>
      <c r="N1862" s="665"/>
      <c r="O1862" s="665"/>
      <c r="P1862" s="666"/>
      <c r="Q1862" s="667"/>
      <c r="R1862" s="668"/>
      <c r="S1862" s="693"/>
      <c r="T1862" s="694"/>
      <c r="U1862" s="694"/>
      <c r="V1862" s="693"/>
      <c r="W1862" s="693"/>
      <c r="X1862" s="693"/>
      <c r="Y1862" s="671"/>
      <c r="Z1862" s="673"/>
      <c r="AA1862" s="672"/>
      <c r="AB1862" s="695"/>
      <c r="AC1862" s="673"/>
      <c r="AD1862" s="673"/>
      <c r="AE1862" s="673"/>
      <c r="AF1862" s="673"/>
      <c r="AG1862" s="673"/>
      <c r="AH1862" s="673"/>
      <c r="AI1862" s="673"/>
      <c r="AJ1862" s="673"/>
      <c r="AK1862" s="673"/>
      <c r="AL1862" s="673"/>
      <c r="AM1862" s="673"/>
      <c r="AN1862" s="673"/>
      <c r="AO1862" s="673"/>
      <c r="AP1862" s="673"/>
      <c r="AQ1862" s="673"/>
      <c r="AR1862" s="673"/>
      <c r="AS1862" s="673"/>
      <c r="AT1862" s="696"/>
    </row>
    <row r="1863" ht="15.75" customHeight="1">
      <c r="A1863" s="653"/>
      <c r="B1863" s="654"/>
      <c r="C1863" s="691"/>
      <c r="D1863" s="656"/>
      <c r="E1863" s="657"/>
      <c r="F1863" s="658"/>
      <c r="G1863" s="659"/>
      <c r="H1863" s="660"/>
      <c r="I1863" s="659"/>
      <c r="J1863" s="661"/>
      <c r="K1863" s="692"/>
      <c r="L1863" s="645"/>
      <c r="M1863" s="663"/>
      <c r="N1863" s="665"/>
      <c r="O1863" s="665"/>
      <c r="P1863" s="666"/>
      <c r="Q1863" s="667"/>
      <c r="R1863" s="668"/>
      <c r="S1863" s="693"/>
      <c r="T1863" s="694"/>
      <c r="U1863" s="694"/>
      <c r="V1863" s="693"/>
      <c r="W1863" s="693"/>
      <c r="X1863" s="693"/>
      <c r="Y1863" s="671"/>
      <c r="Z1863" s="673"/>
      <c r="AA1863" s="672"/>
      <c r="AB1863" s="695"/>
      <c r="AC1863" s="673"/>
      <c r="AD1863" s="673"/>
      <c r="AE1863" s="673"/>
      <c r="AF1863" s="673"/>
      <c r="AG1863" s="673"/>
      <c r="AH1863" s="673"/>
      <c r="AI1863" s="673"/>
      <c r="AJ1863" s="673"/>
      <c r="AK1863" s="673"/>
      <c r="AL1863" s="673"/>
      <c r="AM1863" s="673"/>
      <c r="AN1863" s="673"/>
      <c r="AO1863" s="673"/>
      <c r="AP1863" s="673"/>
      <c r="AQ1863" s="673"/>
      <c r="AR1863" s="673"/>
      <c r="AS1863" s="673"/>
      <c r="AT1863" s="696"/>
    </row>
    <row r="1864" ht="15.75" customHeight="1">
      <c r="A1864" s="653"/>
      <c r="B1864" s="654"/>
      <c r="C1864" s="691"/>
      <c r="D1864" s="656"/>
      <c r="E1864" s="657"/>
      <c r="F1864" s="658"/>
      <c r="G1864" s="659"/>
      <c r="H1864" s="660"/>
      <c r="I1864" s="659"/>
      <c r="J1864" s="661"/>
      <c r="K1864" s="692"/>
      <c r="L1864" s="645"/>
      <c r="M1864" s="663"/>
      <c r="N1864" s="665"/>
      <c r="O1864" s="665"/>
      <c r="P1864" s="666"/>
      <c r="Q1864" s="667"/>
      <c r="R1864" s="668"/>
      <c r="S1864" s="693"/>
      <c r="T1864" s="694"/>
      <c r="U1864" s="694"/>
      <c r="V1864" s="693"/>
      <c r="W1864" s="693"/>
      <c r="X1864" s="693"/>
      <c r="Y1864" s="671"/>
      <c r="Z1864" s="673"/>
      <c r="AA1864" s="672"/>
      <c r="AB1864" s="695"/>
      <c r="AC1864" s="673"/>
      <c r="AD1864" s="673"/>
      <c r="AE1864" s="673"/>
      <c r="AF1864" s="673"/>
      <c r="AG1864" s="673"/>
      <c r="AH1864" s="673"/>
      <c r="AI1864" s="673"/>
      <c r="AJ1864" s="673"/>
      <c r="AK1864" s="673"/>
      <c r="AL1864" s="673"/>
      <c r="AM1864" s="673"/>
      <c r="AN1864" s="673"/>
      <c r="AO1864" s="673"/>
      <c r="AP1864" s="673"/>
      <c r="AQ1864" s="673"/>
      <c r="AR1864" s="673"/>
      <c r="AS1864" s="673"/>
      <c r="AT1864" s="696"/>
    </row>
    <row r="1865" ht="15.75" customHeight="1">
      <c r="A1865" s="653"/>
      <c r="B1865" s="654"/>
      <c r="C1865" s="691"/>
      <c r="D1865" s="656"/>
      <c r="E1865" s="657"/>
      <c r="F1865" s="658"/>
      <c r="G1865" s="659"/>
      <c r="H1865" s="660"/>
      <c r="I1865" s="659"/>
      <c r="J1865" s="661"/>
      <c r="K1865" s="692"/>
      <c r="L1865" s="645"/>
      <c r="M1865" s="663"/>
      <c r="N1865" s="665"/>
      <c r="O1865" s="665"/>
      <c r="P1865" s="666"/>
      <c r="Q1865" s="667"/>
      <c r="R1865" s="668"/>
      <c r="S1865" s="693"/>
      <c r="T1865" s="694"/>
      <c r="U1865" s="694"/>
      <c r="V1865" s="693"/>
      <c r="W1865" s="693"/>
      <c r="X1865" s="693"/>
      <c r="Y1865" s="671"/>
      <c r="Z1865" s="673"/>
      <c r="AA1865" s="672"/>
      <c r="AB1865" s="695"/>
      <c r="AC1865" s="673"/>
      <c r="AD1865" s="673"/>
      <c r="AE1865" s="673"/>
      <c r="AF1865" s="673"/>
      <c r="AG1865" s="673"/>
      <c r="AH1865" s="673"/>
      <c r="AI1865" s="673"/>
      <c r="AJ1865" s="673"/>
      <c r="AK1865" s="673"/>
      <c r="AL1865" s="673"/>
      <c r="AM1865" s="673"/>
      <c r="AN1865" s="673"/>
      <c r="AO1865" s="673"/>
      <c r="AP1865" s="673"/>
      <c r="AQ1865" s="673"/>
      <c r="AR1865" s="673"/>
      <c r="AS1865" s="673"/>
      <c r="AT1865" s="696"/>
    </row>
    <row r="1866" ht="15.75" customHeight="1">
      <c r="A1866" s="653"/>
      <c r="B1866" s="654"/>
      <c r="C1866" s="691"/>
      <c r="D1866" s="656"/>
      <c r="E1866" s="657"/>
      <c r="F1866" s="658"/>
      <c r="G1866" s="659"/>
      <c r="H1866" s="660"/>
      <c r="I1866" s="659"/>
      <c r="J1866" s="661"/>
      <c r="K1866" s="692"/>
      <c r="L1866" s="645"/>
      <c r="M1866" s="663"/>
      <c r="N1866" s="665"/>
      <c r="O1866" s="665"/>
      <c r="P1866" s="666"/>
      <c r="Q1866" s="667"/>
      <c r="R1866" s="668"/>
      <c r="S1866" s="693"/>
      <c r="T1866" s="694"/>
      <c r="U1866" s="694"/>
      <c r="V1866" s="693"/>
      <c r="W1866" s="693"/>
      <c r="X1866" s="693"/>
      <c r="Y1866" s="671"/>
      <c r="Z1866" s="673"/>
      <c r="AA1866" s="672"/>
      <c r="AB1866" s="695"/>
      <c r="AC1866" s="673"/>
      <c r="AD1866" s="673"/>
      <c r="AE1866" s="673"/>
      <c r="AF1866" s="673"/>
      <c r="AG1866" s="673"/>
      <c r="AH1866" s="673"/>
      <c r="AI1866" s="673"/>
      <c r="AJ1866" s="673"/>
      <c r="AK1866" s="673"/>
      <c r="AL1866" s="673"/>
      <c r="AM1866" s="673"/>
      <c r="AN1866" s="673"/>
      <c r="AO1866" s="673"/>
      <c r="AP1866" s="673"/>
      <c r="AQ1866" s="673"/>
      <c r="AR1866" s="673"/>
      <c r="AS1866" s="673"/>
      <c r="AT1866" s="696"/>
    </row>
    <row r="1867" ht="15.75" customHeight="1">
      <c r="A1867" s="653"/>
      <c r="B1867" s="654"/>
      <c r="C1867" s="691"/>
      <c r="D1867" s="656"/>
      <c r="E1867" s="657"/>
      <c r="F1867" s="658"/>
      <c r="G1867" s="659"/>
      <c r="H1867" s="660"/>
      <c r="I1867" s="659"/>
      <c r="J1867" s="661"/>
      <c r="K1867" s="692"/>
      <c r="L1867" s="645"/>
      <c r="M1867" s="663"/>
      <c r="N1867" s="665"/>
      <c r="O1867" s="665"/>
      <c r="P1867" s="666"/>
      <c r="Q1867" s="667"/>
      <c r="R1867" s="668"/>
      <c r="S1867" s="693"/>
      <c r="T1867" s="694"/>
      <c r="U1867" s="694"/>
      <c r="V1867" s="693"/>
      <c r="W1867" s="693"/>
      <c r="X1867" s="693"/>
      <c r="Y1867" s="671"/>
      <c r="Z1867" s="673"/>
      <c r="AA1867" s="672"/>
      <c r="AB1867" s="695"/>
      <c r="AC1867" s="673"/>
      <c r="AD1867" s="673"/>
      <c r="AE1867" s="673"/>
      <c r="AF1867" s="673"/>
      <c r="AG1867" s="673"/>
      <c r="AH1867" s="673"/>
      <c r="AI1867" s="673"/>
      <c r="AJ1867" s="673"/>
      <c r="AK1867" s="673"/>
      <c r="AL1867" s="673"/>
      <c r="AM1867" s="673"/>
      <c r="AN1867" s="673"/>
      <c r="AO1867" s="673"/>
      <c r="AP1867" s="673"/>
      <c r="AQ1867" s="673"/>
      <c r="AR1867" s="673"/>
      <c r="AS1867" s="673"/>
      <c r="AT1867" s="696"/>
    </row>
    <row r="1868" ht="15.75" customHeight="1">
      <c r="A1868" s="653"/>
      <c r="B1868" s="654"/>
      <c r="C1868" s="691"/>
      <c r="D1868" s="656"/>
      <c r="E1868" s="657"/>
      <c r="F1868" s="658"/>
      <c r="G1868" s="659"/>
      <c r="H1868" s="660"/>
      <c r="I1868" s="659"/>
      <c r="J1868" s="661"/>
      <c r="K1868" s="692"/>
      <c r="L1868" s="645"/>
      <c r="M1868" s="663"/>
      <c r="N1868" s="665"/>
      <c r="O1868" s="665"/>
      <c r="P1868" s="666"/>
      <c r="Q1868" s="667"/>
      <c r="R1868" s="668"/>
      <c r="S1868" s="693"/>
      <c r="T1868" s="694"/>
      <c r="U1868" s="694"/>
      <c r="V1868" s="693"/>
      <c r="W1868" s="693"/>
      <c r="X1868" s="693"/>
      <c r="Y1868" s="671"/>
      <c r="Z1868" s="673"/>
      <c r="AA1868" s="672"/>
      <c r="AB1868" s="695"/>
      <c r="AC1868" s="673"/>
      <c r="AD1868" s="673"/>
      <c r="AE1868" s="673"/>
      <c r="AF1868" s="673"/>
      <c r="AG1868" s="673"/>
      <c r="AH1868" s="673"/>
      <c r="AI1868" s="673"/>
      <c r="AJ1868" s="673"/>
      <c r="AK1868" s="673"/>
      <c r="AL1868" s="673"/>
      <c r="AM1868" s="673"/>
      <c r="AN1868" s="673"/>
      <c r="AO1868" s="673"/>
      <c r="AP1868" s="673"/>
      <c r="AQ1868" s="673"/>
      <c r="AR1868" s="673"/>
      <c r="AS1868" s="673"/>
      <c r="AT1868" s="696"/>
    </row>
    <row r="1869" ht="15.75" customHeight="1">
      <c r="A1869" s="653"/>
      <c r="B1869" s="654"/>
      <c r="C1869" s="691"/>
      <c r="D1869" s="656"/>
      <c r="E1869" s="657"/>
      <c r="F1869" s="658"/>
      <c r="G1869" s="659"/>
      <c r="H1869" s="660"/>
      <c r="I1869" s="659"/>
      <c r="J1869" s="661"/>
      <c r="K1869" s="692"/>
      <c r="L1869" s="645"/>
      <c r="M1869" s="663"/>
      <c r="N1869" s="665"/>
      <c r="O1869" s="665"/>
      <c r="P1869" s="666"/>
      <c r="Q1869" s="667"/>
      <c r="R1869" s="668"/>
      <c r="S1869" s="693"/>
      <c r="T1869" s="694"/>
      <c r="U1869" s="694"/>
      <c r="V1869" s="693"/>
      <c r="W1869" s="693"/>
      <c r="X1869" s="693"/>
      <c r="Y1869" s="671"/>
      <c r="Z1869" s="673"/>
      <c r="AA1869" s="672"/>
      <c r="AB1869" s="695"/>
      <c r="AC1869" s="673"/>
      <c r="AD1869" s="673"/>
      <c r="AE1869" s="673"/>
      <c r="AF1869" s="673"/>
      <c r="AG1869" s="673"/>
      <c r="AH1869" s="673"/>
      <c r="AI1869" s="673"/>
      <c r="AJ1869" s="673"/>
      <c r="AK1869" s="673"/>
      <c r="AL1869" s="673"/>
      <c r="AM1869" s="673"/>
      <c r="AN1869" s="673"/>
      <c r="AO1869" s="673"/>
      <c r="AP1869" s="673"/>
      <c r="AQ1869" s="673"/>
      <c r="AR1869" s="673"/>
      <c r="AS1869" s="673"/>
      <c r="AT1869" s="696"/>
    </row>
    <row r="1870" ht="15.75" customHeight="1">
      <c r="A1870" s="653"/>
      <c r="B1870" s="654"/>
      <c r="C1870" s="691"/>
      <c r="D1870" s="656"/>
      <c r="E1870" s="657"/>
      <c r="F1870" s="658"/>
      <c r="G1870" s="659"/>
      <c r="H1870" s="660"/>
      <c r="I1870" s="659"/>
      <c r="J1870" s="661"/>
      <c r="K1870" s="692"/>
      <c r="L1870" s="645"/>
      <c r="M1870" s="663"/>
      <c r="N1870" s="665"/>
      <c r="O1870" s="665"/>
      <c r="P1870" s="666"/>
      <c r="Q1870" s="667"/>
      <c r="R1870" s="668"/>
      <c r="S1870" s="693"/>
      <c r="T1870" s="694"/>
      <c r="U1870" s="694"/>
      <c r="V1870" s="693"/>
      <c r="W1870" s="693"/>
      <c r="X1870" s="693"/>
      <c r="Y1870" s="671"/>
      <c r="Z1870" s="673"/>
      <c r="AA1870" s="672"/>
      <c r="AB1870" s="695"/>
      <c r="AC1870" s="673"/>
      <c r="AD1870" s="673"/>
      <c r="AE1870" s="673"/>
      <c r="AF1870" s="673"/>
      <c r="AG1870" s="673"/>
      <c r="AH1870" s="673"/>
      <c r="AI1870" s="673"/>
      <c r="AJ1870" s="673"/>
      <c r="AK1870" s="673"/>
      <c r="AL1870" s="673"/>
      <c r="AM1870" s="673"/>
      <c r="AN1870" s="673"/>
      <c r="AO1870" s="673"/>
      <c r="AP1870" s="673"/>
      <c r="AQ1870" s="673"/>
      <c r="AR1870" s="673"/>
      <c r="AS1870" s="673"/>
      <c r="AT1870" s="696"/>
    </row>
    <row r="1871" ht="15.75" customHeight="1">
      <c r="A1871" s="653"/>
      <c r="B1871" s="654"/>
      <c r="C1871" s="691"/>
      <c r="D1871" s="656"/>
      <c r="E1871" s="657"/>
      <c r="F1871" s="658"/>
      <c r="G1871" s="659"/>
      <c r="H1871" s="660"/>
      <c r="I1871" s="659"/>
      <c r="J1871" s="661"/>
      <c r="K1871" s="692"/>
      <c r="L1871" s="645"/>
      <c r="M1871" s="663"/>
      <c r="N1871" s="665"/>
      <c r="O1871" s="665"/>
      <c r="P1871" s="666"/>
      <c r="Q1871" s="667"/>
      <c r="R1871" s="668"/>
      <c r="S1871" s="693"/>
      <c r="T1871" s="694"/>
      <c r="U1871" s="694"/>
      <c r="V1871" s="693"/>
      <c r="W1871" s="693"/>
      <c r="X1871" s="693"/>
      <c r="Y1871" s="671"/>
      <c r="Z1871" s="673"/>
      <c r="AA1871" s="672"/>
      <c r="AB1871" s="695"/>
      <c r="AC1871" s="673"/>
      <c r="AD1871" s="673"/>
      <c r="AE1871" s="673"/>
      <c r="AF1871" s="673"/>
      <c r="AG1871" s="673"/>
      <c r="AH1871" s="673"/>
      <c r="AI1871" s="673"/>
      <c r="AJ1871" s="673"/>
      <c r="AK1871" s="673"/>
      <c r="AL1871" s="673"/>
      <c r="AM1871" s="673"/>
      <c r="AN1871" s="673"/>
      <c r="AO1871" s="673"/>
      <c r="AP1871" s="673"/>
      <c r="AQ1871" s="673"/>
      <c r="AR1871" s="673"/>
      <c r="AS1871" s="673"/>
      <c r="AT1871" s="696"/>
    </row>
    <row r="1872" ht="15.75" customHeight="1">
      <c r="A1872" s="653"/>
      <c r="B1872" s="654"/>
      <c r="C1872" s="691"/>
      <c r="D1872" s="656"/>
      <c r="E1872" s="657"/>
      <c r="F1872" s="658"/>
      <c r="G1872" s="659"/>
      <c r="H1872" s="660"/>
      <c r="I1872" s="659"/>
      <c r="J1872" s="661"/>
      <c r="K1872" s="692"/>
      <c r="L1872" s="645"/>
      <c r="M1872" s="663"/>
      <c r="N1872" s="665"/>
      <c r="O1872" s="665"/>
      <c r="P1872" s="666"/>
      <c r="Q1872" s="667"/>
      <c r="R1872" s="668"/>
      <c r="S1872" s="693"/>
      <c r="T1872" s="694"/>
      <c r="U1872" s="694"/>
      <c r="V1872" s="693"/>
      <c r="W1872" s="693"/>
      <c r="X1872" s="693"/>
      <c r="Y1872" s="671"/>
      <c r="Z1872" s="673"/>
      <c r="AA1872" s="672"/>
      <c r="AB1872" s="695"/>
      <c r="AC1872" s="673"/>
      <c r="AD1872" s="673"/>
      <c r="AE1872" s="673"/>
      <c r="AF1872" s="673"/>
      <c r="AG1872" s="673"/>
      <c r="AH1872" s="673"/>
      <c r="AI1872" s="673"/>
      <c r="AJ1872" s="673"/>
      <c r="AK1872" s="673"/>
      <c r="AL1872" s="673"/>
      <c r="AM1872" s="673"/>
      <c r="AN1872" s="673"/>
      <c r="AO1872" s="673"/>
      <c r="AP1872" s="673"/>
      <c r="AQ1872" s="673"/>
      <c r="AR1872" s="673"/>
      <c r="AS1872" s="673"/>
      <c r="AT1872" s="696"/>
    </row>
    <row r="1873" ht="15.75" customHeight="1">
      <c r="A1873" s="653"/>
      <c r="B1873" s="654"/>
      <c r="C1873" s="691"/>
      <c r="D1873" s="656"/>
      <c r="E1873" s="657"/>
      <c r="F1873" s="658"/>
      <c r="G1873" s="659"/>
      <c r="H1873" s="660"/>
      <c r="I1873" s="659"/>
      <c r="J1873" s="661"/>
      <c r="K1873" s="692"/>
      <c r="L1873" s="645"/>
      <c r="M1873" s="663"/>
      <c r="N1873" s="665"/>
      <c r="O1873" s="665"/>
      <c r="P1873" s="666"/>
      <c r="Q1873" s="667"/>
      <c r="R1873" s="668"/>
      <c r="S1873" s="693"/>
      <c r="T1873" s="694"/>
      <c r="U1873" s="694"/>
      <c r="V1873" s="693"/>
      <c r="W1873" s="693"/>
      <c r="X1873" s="693"/>
      <c r="Y1873" s="671"/>
      <c r="Z1873" s="673"/>
      <c r="AA1873" s="672"/>
      <c r="AB1873" s="695"/>
      <c r="AC1873" s="673"/>
      <c r="AD1873" s="673"/>
      <c r="AE1873" s="673"/>
      <c r="AF1873" s="673"/>
      <c r="AG1873" s="673"/>
      <c r="AH1873" s="673"/>
      <c r="AI1873" s="673"/>
      <c r="AJ1873" s="673"/>
      <c r="AK1873" s="673"/>
      <c r="AL1873" s="673"/>
      <c r="AM1873" s="673"/>
      <c r="AN1873" s="673"/>
      <c r="AO1873" s="673"/>
      <c r="AP1873" s="673"/>
      <c r="AQ1873" s="673"/>
      <c r="AR1873" s="673"/>
      <c r="AS1873" s="673"/>
      <c r="AT1873" s="696"/>
    </row>
    <row r="1874" ht="15.75" customHeight="1">
      <c r="A1874" s="653"/>
      <c r="B1874" s="654"/>
      <c r="C1874" s="691"/>
      <c r="D1874" s="656"/>
      <c r="E1874" s="657"/>
      <c r="F1874" s="658"/>
      <c r="G1874" s="659"/>
      <c r="H1874" s="660"/>
      <c r="I1874" s="659"/>
      <c r="J1874" s="661"/>
      <c r="K1874" s="692"/>
      <c r="L1874" s="645"/>
      <c r="M1874" s="663"/>
      <c r="N1874" s="665"/>
      <c r="O1874" s="665"/>
      <c r="P1874" s="666"/>
      <c r="Q1874" s="667"/>
      <c r="R1874" s="668"/>
      <c r="S1874" s="693"/>
      <c r="T1874" s="694"/>
      <c r="U1874" s="694"/>
      <c r="V1874" s="693"/>
      <c r="W1874" s="693"/>
      <c r="X1874" s="693"/>
      <c r="Y1874" s="671"/>
      <c r="Z1874" s="673"/>
      <c r="AA1874" s="672"/>
      <c r="AB1874" s="695"/>
      <c r="AC1874" s="673"/>
      <c r="AD1874" s="673"/>
      <c r="AE1874" s="673"/>
      <c r="AF1874" s="673"/>
      <c r="AG1874" s="673"/>
      <c r="AH1874" s="673"/>
      <c r="AI1874" s="673"/>
      <c r="AJ1874" s="673"/>
      <c r="AK1874" s="673"/>
      <c r="AL1874" s="673"/>
      <c r="AM1874" s="673"/>
      <c r="AN1874" s="673"/>
      <c r="AO1874" s="673"/>
      <c r="AP1874" s="673"/>
      <c r="AQ1874" s="673"/>
      <c r="AR1874" s="673"/>
      <c r="AS1874" s="673"/>
      <c r="AT1874" s="696"/>
    </row>
    <row r="1875" ht="15.75" customHeight="1">
      <c r="A1875" s="653"/>
      <c r="B1875" s="654"/>
      <c r="C1875" s="691"/>
      <c r="D1875" s="656"/>
      <c r="E1875" s="657"/>
      <c r="F1875" s="658"/>
      <c r="G1875" s="659"/>
      <c r="H1875" s="660"/>
      <c r="I1875" s="659"/>
      <c r="J1875" s="661"/>
      <c r="K1875" s="692"/>
      <c r="L1875" s="645"/>
      <c r="M1875" s="663"/>
      <c r="N1875" s="665"/>
      <c r="O1875" s="665"/>
      <c r="P1875" s="666"/>
      <c r="Q1875" s="667"/>
      <c r="R1875" s="668"/>
      <c r="S1875" s="693"/>
      <c r="T1875" s="694"/>
      <c r="U1875" s="694"/>
      <c r="V1875" s="693"/>
      <c r="W1875" s="693"/>
      <c r="X1875" s="693"/>
      <c r="Y1875" s="671"/>
      <c r="Z1875" s="673"/>
      <c r="AA1875" s="672"/>
      <c r="AB1875" s="695"/>
      <c r="AC1875" s="673"/>
      <c r="AD1875" s="673"/>
      <c r="AE1875" s="673"/>
      <c r="AF1875" s="673"/>
      <c r="AG1875" s="673"/>
      <c r="AH1875" s="673"/>
      <c r="AI1875" s="673"/>
      <c r="AJ1875" s="673"/>
      <c r="AK1875" s="673"/>
      <c r="AL1875" s="673"/>
      <c r="AM1875" s="673"/>
      <c r="AN1875" s="673"/>
      <c r="AO1875" s="673"/>
      <c r="AP1875" s="673"/>
      <c r="AQ1875" s="673"/>
      <c r="AR1875" s="673"/>
      <c r="AS1875" s="673"/>
      <c r="AT1875" s="696"/>
    </row>
    <row r="1876" ht="15.75" customHeight="1">
      <c r="A1876" s="653"/>
      <c r="B1876" s="654"/>
      <c r="C1876" s="691"/>
      <c r="D1876" s="656"/>
      <c r="E1876" s="657"/>
      <c r="F1876" s="658"/>
      <c r="G1876" s="659"/>
      <c r="H1876" s="660"/>
      <c r="I1876" s="659"/>
      <c r="J1876" s="661"/>
      <c r="K1876" s="692"/>
      <c r="L1876" s="645"/>
      <c r="M1876" s="663"/>
      <c r="N1876" s="665"/>
      <c r="O1876" s="665"/>
      <c r="P1876" s="666"/>
      <c r="Q1876" s="667"/>
      <c r="R1876" s="668"/>
      <c r="S1876" s="693"/>
      <c r="T1876" s="694"/>
      <c r="U1876" s="694"/>
      <c r="V1876" s="693"/>
      <c r="W1876" s="693"/>
      <c r="X1876" s="693"/>
      <c r="Y1876" s="671"/>
      <c r="Z1876" s="673"/>
      <c r="AA1876" s="672"/>
      <c r="AB1876" s="695"/>
      <c r="AC1876" s="673"/>
      <c r="AD1876" s="673"/>
      <c r="AE1876" s="673"/>
      <c r="AF1876" s="673"/>
      <c r="AG1876" s="673"/>
      <c r="AH1876" s="673"/>
      <c r="AI1876" s="673"/>
      <c r="AJ1876" s="673"/>
      <c r="AK1876" s="673"/>
      <c r="AL1876" s="673"/>
      <c r="AM1876" s="673"/>
      <c r="AN1876" s="673"/>
      <c r="AO1876" s="673"/>
      <c r="AP1876" s="673"/>
      <c r="AQ1876" s="673"/>
      <c r="AR1876" s="673"/>
      <c r="AS1876" s="673"/>
      <c r="AT1876" s="696"/>
    </row>
    <row r="1877" ht="15.75" customHeight="1">
      <c r="A1877" s="653"/>
      <c r="B1877" s="654"/>
      <c r="C1877" s="691"/>
      <c r="D1877" s="656"/>
      <c r="E1877" s="657"/>
      <c r="F1877" s="658"/>
      <c r="G1877" s="659"/>
      <c r="H1877" s="660"/>
      <c r="I1877" s="659"/>
      <c r="J1877" s="661"/>
      <c r="K1877" s="692"/>
      <c r="L1877" s="645"/>
      <c r="M1877" s="663"/>
      <c r="N1877" s="665"/>
      <c r="O1877" s="665"/>
      <c r="P1877" s="666"/>
      <c r="Q1877" s="667"/>
      <c r="R1877" s="668"/>
      <c r="S1877" s="693"/>
      <c r="T1877" s="694"/>
      <c r="U1877" s="694"/>
      <c r="V1877" s="693"/>
      <c r="W1877" s="693"/>
      <c r="X1877" s="693"/>
      <c r="Y1877" s="671"/>
      <c r="Z1877" s="673"/>
      <c r="AA1877" s="672"/>
      <c r="AB1877" s="695"/>
      <c r="AC1877" s="673"/>
      <c r="AD1877" s="673"/>
      <c r="AE1877" s="673"/>
      <c r="AF1877" s="673"/>
      <c r="AG1877" s="673"/>
      <c r="AH1877" s="673"/>
      <c r="AI1877" s="673"/>
      <c r="AJ1877" s="673"/>
      <c r="AK1877" s="673"/>
      <c r="AL1877" s="673"/>
      <c r="AM1877" s="673"/>
      <c r="AN1877" s="673"/>
      <c r="AO1877" s="673"/>
      <c r="AP1877" s="673"/>
      <c r="AQ1877" s="673"/>
      <c r="AR1877" s="673"/>
      <c r="AS1877" s="673"/>
      <c r="AT1877" s="696"/>
    </row>
    <row r="1878" ht="15.75" customHeight="1">
      <c r="A1878" s="653"/>
      <c r="B1878" s="654"/>
      <c r="C1878" s="691"/>
      <c r="D1878" s="656"/>
      <c r="E1878" s="657"/>
      <c r="F1878" s="658"/>
      <c r="G1878" s="659"/>
      <c r="H1878" s="660"/>
      <c r="I1878" s="659"/>
      <c r="J1878" s="661"/>
      <c r="K1878" s="692"/>
      <c r="L1878" s="645"/>
      <c r="M1878" s="663"/>
      <c r="N1878" s="665"/>
      <c r="O1878" s="665"/>
      <c r="P1878" s="666"/>
      <c r="Q1878" s="667"/>
      <c r="R1878" s="668"/>
      <c r="S1878" s="693"/>
      <c r="T1878" s="694"/>
      <c r="U1878" s="694"/>
      <c r="V1878" s="693"/>
      <c r="W1878" s="693"/>
      <c r="X1878" s="693"/>
      <c r="Y1878" s="671"/>
      <c r="Z1878" s="673"/>
      <c r="AA1878" s="672"/>
      <c r="AB1878" s="695"/>
      <c r="AC1878" s="673"/>
      <c r="AD1878" s="673"/>
      <c r="AE1878" s="673"/>
      <c r="AF1878" s="673"/>
      <c r="AG1878" s="673"/>
      <c r="AH1878" s="673"/>
      <c r="AI1878" s="673"/>
      <c r="AJ1878" s="673"/>
      <c r="AK1878" s="673"/>
      <c r="AL1878" s="673"/>
      <c r="AM1878" s="673"/>
      <c r="AN1878" s="673"/>
      <c r="AO1878" s="673"/>
      <c r="AP1878" s="673"/>
      <c r="AQ1878" s="673"/>
      <c r="AR1878" s="673"/>
      <c r="AS1878" s="673"/>
      <c r="AT1878" s="696"/>
    </row>
    <row r="1879" ht="15.75" customHeight="1">
      <c r="A1879" s="653"/>
      <c r="B1879" s="654"/>
      <c r="C1879" s="691"/>
      <c r="D1879" s="656"/>
      <c r="E1879" s="657"/>
      <c r="F1879" s="658"/>
      <c r="G1879" s="659"/>
      <c r="H1879" s="660"/>
      <c r="I1879" s="659"/>
      <c r="J1879" s="661"/>
      <c r="K1879" s="692"/>
      <c r="L1879" s="645"/>
      <c r="M1879" s="663"/>
      <c r="N1879" s="665"/>
      <c r="O1879" s="665"/>
      <c r="P1879" s="666"/>
      <c r="Q1879" s="667"/>
      <c r="R1879" s="668"/>
      <c r="S1879" s="693"/>
      <c r="T1879" s="694"/>
      <c r="U1879" s="694"/>
      <c r="V1879" s="693"/>
      <c r="W1879" s="693"/>
      <c r="X1879" s="693"/>
      <c r="Y1879" s="671"/>
      <c r="Z1879" s="673"/>
      <c r="AA1879" s="672"/>
      <c r="AB1879" s="695"/>
      <c r="AC1879" s="673"/>
      <c r="AD1879" s="673"/>
      <c r="AE1879" s="673"/>
      <c r="AF1879" s="673"/>
      <c r="AG1879" s="673"/>
      <c r="AH1879" s="673"/>
      <c r="AI1879" s="673"/>
      <c r="AJ1879" s="673"/>
      <c r="AK1879" s="673"/>
      <c r="AL1879" s="673"/>
      <c r="AM1879" s="673"/>
      <c r="AN1879" s="673"/>
      <c r="AO1879" s="673"/>
      <c r="AP1879" s="673"/>
      <c r="AQ1879" s="673"/>
      <c r="AR1879" s="673"/>
      <c r="AS1879" s="673"/>
      <c r="AT1879" s="696"/>
    </row>
    <row r="1880" ht="15.75" customHeight="1">
      <c r="A1880" s="653"/>
      <c r="B1880" s="654"/>
      <c r="C1880" s="691"/>
      <c r="D1880" s="656"/>
      <c r="E1880" s="657"/>
      <c r="F1880" s="658"/>
      <c r="G1880" s="659"/>
      <c r="H1880" s="660"/>
      <c r="I1880" s="659"/>
      <c r="J1880" s="661"/>
      <c r="K1880" s="692"/>
      <c r="L1880" s="645"/>
      <c r="M1880" s="663"/>
      <c r="N1880" s="665"/>
      <c r="O1880" s="665"/>
      <c r="P1880" s="666"/>
      <c r="Q1880" s="667"/>
      <c r="R1880" s="668"/>
      <c r="S1880" s="693"/>
      <c r="T1880" s="694"/>
      <c r="U1880" s="694"/>
      <c r="V1880" s="693"/>
      <c r="W1880" s="693"/>
      <c r="X1880" s="693"/>
      <c r="Y1880" s="671"/>
      <c r="Z1880" s="673"/>
      <c r="AA1880" s="672"/>
      <c r="AB1880" s="695"/>
      <c r="AC1880" s="673"/>
      <c r="AD1880" s="673"/>
      <c r="AE1880" s="673"/>
      <c r="AF1880" s="673"/>
      <c r="AG1880" s="673"/>
      <c r="AH1880" s="673"/>
      <c r="AI1880" s="673"/>
      <c r="AJ1880" s="673"/>
      <c r="AK1880" s="673"/>
      <c r="AL1880" s="673"/>
      <c r="AM1880" s="673"/>
      <c r="AN1880" s="673"/>
      <c r="AO1880" s="673"/>
      <c r="AP1880" s="673"/>
      <c r="AQ1880" s="673"/>
      <c r="AR1880" s="673"/>
      <c r="AS1880" s="673"/>
      <c r="AT1880" s="696"/>
    </row>
    <row r="1881" ht="15.75" customHeight="1">
      <c r="A1881" s="653"/>
      <c r="B1881" s="654"/>
      <c r="C1881" s="691"/>
      <c r="D1881" s="656"/>
      <c r="E1881" s="657"/>
      <c r="F1881" s="658"/>
      <c r="G1881" s="659"/>
      <c r="H1881" s="660"/>
      <c r="I1881" s="659"/>
      <c r="J1881" s="661"/>
      <c r="K1881" s="692"/>
      <c r="L1881" s="645"/>
      <c r="M1881" s="663"/>
      <c r="N1881" s="665"/>
      <c r="O1881" s="665"/>
      <c r="P1881" s="666"/>
      <c r="Q1881" s="667"/>
      <c r="R1881" s="668"/>
      <c r="S1881" s="693"/>
      <c r="T1881" s="694"/>
      <c r="U1881" s="694"/>
      <c r="V1881" s="693"/>
      <c r="W1881" s="693"/>
      <c r="X1881" s="693"/>
      <c r="Y1881" s="671"/>
      <c r="Z1881" s="673"/>
      <c r="AA1881" s="672"/>
      <c r="AB1881" s="695"/>
      <c r="AC1881" s="673"/>
      <c r="AD1881" s="673"/>
      <c r="AE1881" s="673"/>
      <c r="AF1881" s="673"/>
      <c r="AG1881" s="673"/>
      <c r="AH1881" s="673"/>
      <c r="AI1881" s="673"/>
      <c r="AJ1881" s="673"/>
      <c r="AK1881" s="673"/>
      <c r="AL1881" s="673"/>
      <c r="AM1881" s="673"/>
      <c r="AN1881" s="673"/>
      <c r="AO1881" s="673"/>
      <c r="AP1881" s="673"/>
      <c r="AQ1881" s="673"/>
      <c r="AR1881" s="673"/>
      <c r="AS1881" s="673"/>
      <c r="AT1881" s="696"/>
    </row>
    <row r="1882" ht="15.75" customHeight="1">
      <c r="A1882" s="653"/>
      <c r="B1882" s="654"/>
      <c r="C1882" s="691"/>
      <c r="D1882" s="656"/>
      <c r="E1882" s="657"/>
      <c r="F1882" s="658"/>
      <c r="G1882" s="659"/>
      <c r="H1882" s="660"/>
      <c r="I1882" s="659"/>
      <c r="J1882" s="661"/>
      <c r="K1882" s="692"/>
      <c r="L1882" s="645"/>
      <c r="M1882" s="663"/>
      <c r="N1882" s="665"/>
      <c r="O1882" s="665"/>
      <c r="P1882" s="666"/>
      <c r="Q1882" s="667"/>
      <c r="R1882" s="668"/>
      <c r="S1882" s="693"/>
      <c r="T1882" s="694"/>
      <c r="U1882" s="694"/>
      <c r="V1882" s="693"/>
      <c r="W1882" s="693"/>
      <c r="X1882" s="693"/>
      <c r="Y1882" s="671"/>
      <c r="Z1882" s="673"/>
      <c r="AA1882" s="672"/>
      <c r="AB1882" s="695"/>
      <c r="AC1882" s="673"/>
      <c r="AD1882" s="673"/>
      <c r="AE1882" s="673"/>
      <c r="AF1882" s="673"/>
      <c r="AG1882" s="673"/>
      <c r="AH1882" s="673"/>
      <c r="AI1882" s="673"/>
      <c r="AJ1882" s="673"/>
      <c r="AK1882" s="673"/>
      <c r="AL1882" s="673"/>
      <c r="AM1882" s="673"/>
      <c r="AN1882" s="673"/>
      <c r="AO1882" s="673"/>
      <c r="AP1882" s="673"/>
      <c r="AQ1882" s="673"/>
      <c r="AR1882" s="673"/>
      <c r="AS1882" s="673"/>
      <c r="AT1882" s="696"/>
    </row>
    <row r="1883" ht="15.75" customHeight="1">
      <c r="A1883" s="653"/>
      <c r="B1883" s="654"/>
      <c r="C1883" s="691"/>
      <c r="D1883" s="656"/>
      <c r="E1883" s="657"/>
      <c r="F1883" s="658"/>
      <c r="G1883" s="659"/>
      <c r="H1883" s="660"/>
      <c r="I1883" s="659"/>
      <c r="J1883" s="661"/>
      <c r="K1883" s="692"/>
      <c r="L1883" s="645"/>
      <c r="M1883" s="663"/>
      <c r="N1883" s="665"/>
      <c r="O1883" s="665"/>
      <c r="P1883" s="666"/>
      <c r="Q1883" s="667"/>
      <c r="R1883" s="668"/>
      <c r="S1883" s="693"/>
      <c r="T1883" s="694"/>
      <c r="U1883" s="694"/>
      <c r="V1883" s="693"/>
      <c r="W1883" s="693"/>
      <c r="X1883" s="693"/>
      <c r="Y1883" s="671"/>
      <c r="Z1883" s="673"/>
      <c r="AA1883" s="672"/>
      <c r="AB1883" s="695"/>
      <c r="AC1883" s="673"/>
      <c r="AD1883" s="673"/>
      <c r="AE1883" s="673"/>
      <c r="AF1883" s="673"/>
      <c r="AG1883" s="673"/>
      <c r="AH1883" s="673"/>
      <c r="AI1883" s="673"/>
      <c r="AJ1883" s="673"/>
      <c r="AK1883" s="673"/>
      <c r="AL1883" s="673"/>
      <c r="AM1883" s="673"/>
      <c r="AN1883" s="673"/>
      <c r="AO1883" s="673"/>
      <c r="AP1883" s="673"/>
      <c r="AQ1883" s="673"/>
      <c r="AR1883" s="673"/>
      <c r="AS1883" s="673"/>
      <c r="AT1883" s="696"/>
    </row>
    <row r="1884" ht="15.75" customHeight="1">
      <c r="A1884" s="653"/>
      <c r="B1884" s="654"/>
      <c r="C1884" s="691"/>
      <c r="D1884" s="656"/>
      <c r="E1884" s="657"/>
      <c r="F1884" s="658"/>
      <c r="G1884" s="659"/>
      <c r="H1884" s="660"/>
      <c r="I1884" s="659"/>
      <c r="J1884" s="661"/>
      <c r="K1884" s="692"/>
      <c r="L1884" s="645"/>
      <c r="M1884" s="663"/>
      <c r="N1884" s="665"/>
      <c r="O1884" s="665"/>
      <c r="P1884" s="666"/>
      <c r="Q1884" s="667"/>
      <c r="R1884" s="668"/>
      <c r="S1884" s="693"/>
      <c r="T1884" s="694"/>
      <c r="U1884" s="694"/>
      <c r="V1884" s="693"/>
      <c r="W1884" s="693"/>
      <c r="X1884" s="693"/>
      <c r="Y1884" s="671"/>
      <c r="Z1884" s="673"/>
      <c r="AA1884" s="672"/>
      <c r="AB1884" s="695"/>
      <c r="AC1884" s="673"/>
      <c r="AD1884" s="673"/>
      <c r="AE1884" s="673"/>
      <c r="AF1884" s="673"/>
      <c r="AG1884" s="673"/>
      <c r="AH1884" s="673"/>
      <c r="AI1884" s="673"/>
      <c r="AJ1884" s="673"/>
      <c r="AK1884" s="673"/>
      <c r="AL1884" s="673"/>
      <c r="AM1884" s="673"/>
      <c r="AN1884" s="673"/>
      <c r="AO1884" s="673"/>
      <c r="AP1884" s="673"/>
      <c r="AQ1884" s="673"/>
      <c r="AR1884" s="673"/>
      <c r="AS1884" s="673"/>
      <c r="AT1884" s="696"/>
    </row>
    <row r="1885" ht="15.75" customHeight="1">
      <c r="A1885" s="653"/>
      <c r="B1885" s="654"/>
      <c r="C1885" s="691"/>
      <c r="D1885" s="656"/>
      <c r="E1885" s="657"/>
      <c r="F1885" s="658"/>
      <c r="G1885" s="659"/>
      <c r="H1885" s="660"/>
      <c r="I1885" s="659"/>
      <c r="J1885" s="661"/>
      <c r="K1885" s="692"/>
      <c r="L1885" s="645"/>
      <c r="M1885" s="663"/>
      <c r="N1885" s="665"/>
      <c r="O1885" s="665"/>
      <c r="P1885" s="666"/>
      <c r="Q1885" s="667"/>
      <c r="R1885" s="668"/>
      <c r="S1885" s="693"/>
      <c r="T1885" s="694"/>
      <c r="U1885" s="694"/>
      <c r="V1885" s="693"/>
      <c r="W1885" s="693"/>
      <c r="X1885" s="693"/>
      <c r="Y1885" s="671"/>
      <c r="Z1885" s="673"/>
      <c r="AA1885" s="672"/>
      <c r="AB1885" s="695"/>
      <c r="AC1885" s="673"/>
      <c r="AD1885" s="673"/>
      <c r="AE1885" s="673"/>
      <c r="AF1885" s="673"/>
      <c r="AG1885" s="673"/>
      <c r="AH1885" s="673"/>
      <c r="AI1885" s="673"/>
      <c r="AJ1885" s="673"/>
      <c r="AK1885" s="673"/>
      <c r="AL1885" s="673"/>
      <c r="AM1885" s="673"/>
      <c r="AN1885" s="673"/>
      <c r="AO1885" s="673"/>
      <c r="AP1885" s="673"/>
      <c r="AQ1885" s="673"/>
      <c r="AR1885" s="673"/>
      <c r="AS1885" s="673"/>
      <c r="AT1885" s="696"/>
    </row>
    <row r="1886" ht="15.75" customHeight="1">
      <c r="A1886" s="653"/>
      <c r="B1886" s="654"/>
      <c r="C1886" s="691"/>
      <c r="D1886" s="656"/>
      <c r="E1886" s="657"/>
      <c r="F1886" s="658"/>
      <c r="G1886" s="659"/>
      <c r="H1886" s="660"/>
      <c r="I1886" s="659"/>
      <c r="J1886" s="661"/>
      <c r="K1886" s="692"/>
      <c r="L1886" s="645"/>
      <c r="M1886" s="663"/>
      <c r="N1886" s="665"/>
      <c r="O1886" s="665"/>
      <c r="P1886" s="666"/>
      <c r="Q1886" s="667"/>
      <c r="R1886" s="668"/>
      <c r="S1886" s="693"/>
      <c r="T1886" s="694"/>
      <c r="U1886" s="694"/>
      <c r="V1886" s="693"/>
      <c r="W1886" s="693"/>
      <c r="X1886" s="693"/>
      <c r="Y1886" s="671"/>
      <c r="Z1886" s="673"/>
      <c r="AA1886" s="672"/>
      <c r="AB1886" s="695"/>
      <c r="AC1886" s="673"/>
      <c r="AD1886" s="673"/>
      <c r="AE1886" s="673"/>
      <c r="AF1886" s="673"/>
      <c r="AG1886" s="673"/>
      <c r="AH1886" s="673"/>
      <c r="AI1886" s="673"/>
      <c r="AJ1886" s="673"/>
      <c r="AK1886" s="673"/>
      <c r="AL1886" s="673"/>
      <c r="AM1886" s="673"/>
      <c r="AN1886" s="673"/>
      <c r="AO1886" s="673"/>
      <c r="AP1886" s="673"/>
      <c r="AQ1886" s="673"/>
      <c r="AR1886" s="673"/>
      <c r="AS1886" s="673"/>
      <c r="AT1886" s="696"/>
    </row>
    <row r="1887" ht="15.75" customHeight="1">
      <c r="A1887" s="653"/>
      <c r="B1887" s="654"/>
      <c r="C1887" s="691"/>
      <c r="D1887" s="656"/>
      <c r="E1887" s="657"/>
      <c r="F1887" s="658"/>
      <c r="G1887" s="659"/>
      <c r="H1887" s="660"/>
      <c r="I1887" s="659"/>
      <c r="J1887" s="661"/>
      <c r="K1887" s="692"/>
      <c r="L1887" s="645"/>
      <c r="M1887" s="663"/>
      <c r="N1887" s="665"/>
      <c r="O1887" s="665"/>
      <c r="P1887" s="666"/>
      <c r="Q1887" s="667"/>
      <c r="R1887" s="668"/>
      <c r="S1887" s="693"/>
      <c r="T1887" s="694"/>
      <c r="U1887" s="694"/>
      <c r="V1887" s="693"/>
      <c r="W1887" s="693"/>
      <c r="X1887" s="693"/>
      <c r="Y1887" s="671"/>
      <c r="Z1887" s="673"/>
      <c r="AA1887" s="672"/>
      <c r="AB1887" s="695"/>
      <c r="AC1887" s="673"/>
      <c r="AD1887" s="673"/>
      <c r="AE1887" s="673"/>
      <c r="AF1887" s="673"/>
      <c r="AG1887" s="673"/>
      <c r="AH1887" s="673"/>
      <c r="AI1887" s="673"/>
      <c r="AJ1887" s="673"/>
      <c r="AK1887" s="673"/>
      <c r="AL1887" s="673"/>
      <c r="AM1887" s="673"/>
      <c r="AN1887" s="673"/>
      <c r="AO1887" s="673"/>
      <c r="AP1887" s="673"/>
      <c r="AQ1887" s="673"/>
      <c r="AR1887" s="673"/>
      <c r="AS1887" s="673"/>
      <c r="AT1887" s="696"/>
    </row>
    <row r="1888" ht="15.75" customHeight="1">
      <c r="A1888" s="653"/>
      <c r="B1888" s="654"/>
      <c r="C1888" s="691"/>
      <c r="D1888" s="656"/>
      <c r="E1888" s="657"/>
      <c r="F1888" s="658"/>
      <c r="G1888" s="659"/>
      <c r="H1888" s="660"/>
      <c r="I1888" s="659"/>
      <c r="J1888" s="661"/>
      <c r="K1888" s="692"/>
      <c r="L1888" s="645"/>
      <c r="M1888" s="663"/>
      <c r="N1888" s="665"/>
      <c r="O1888" s="665"/>
      <c r="P1888" s="666"/>
      <c r="Q1888" s="667"/>
      <c r="R1888" s="668"/>
      <c r="S1888" s="693"/>
      <c r="T1888" s="694"/>
      <c r="U1888" s="694"/>
      <c r="V1888" s="693"/>
      <c r="W1888" s="693"/>
      <c r="X1888" s="693"/>
      <c r="Y1888" s="671"/>
      <c r="Z1888" s="673"/>
      <c r="AA1888" s="672"/>
      <c r="AB1888" s="695"/>
      <c r="AC1888" s="673"/>
      <c r="AD1888" s="673"/>
      <c r="AE1888" s="673"/>
      <c r="AF1888" s="673"/>
      <c r="AG1888" s="673"/>
      <c r="AH1888" s="673"/>
      <c r="AI1888" s="673"/>
      <c r="AJ1888" s="673"/>
      <c r="AK1888" s="673"/>
      <c r="AL1888" s="673"/>
      <c r="AM1888" s="673"/>
      <c r="AN1888" s="673"/>
      <c r="AO1888" s="673"/>
      <c r="AP1888" s="673"/>
      <c r="AQ1888" s="673"/>
      <c r="AR1888" s="673"/>
      <c r="AS1888" s="673"/>
      <c r="AT1888" s="696"/>
    </row>
    <row r="1889" ht="15.75" customHeight="1">
      <c r="A1889" s="653"/>
      <c r="B1889" s="654"/>
      <c r="C1889" s="691"/>
      <c r="D1889" s="656"/>
      <c r="E1889" s="657"/>
      <c r="F1889" s="658"/>
      <c r="G1889" s="659"/>
      <c r="H1889" s="660"/>
      <c r="I1889" s="659"/>
      <c r="J1889" s="661"/>
      <c r="K1889" s="692"/>
      <c r="L1889" s="645"/>
      <c r="M1889" s="663"/>
      <c r="N1889" s="665"/>
      <c r="O1889" s="665"/>
      <c r="P1889" s="666"/>
      <c r="Q1889" s="667"/>
      <c r="R1889" s="668"/>
      <c r="S1889" s="693"/>
      <c r="T1889" s="694"/>
      <c r="U1889" s="694"/>
      <c r="V1889" s="693"/>
      <c r="W1889" s="693"/>
      <c r="X1889" s="693"/>
      <c r="Y1889" s="671"/>
      <c r="Z1889" s="673"/>
      <c r="AA1889" s="672"/>
      <c r="AB1889" s="695"/>
      <c r="AC1889" s="673"/>
      <c r="AD1889" s="673"/>
      <c r="AE1889" s="673"/>
      <c r="AF1889" s="673"/>
      <c r="AG1889" s="673"/>
      <c r="AH1889" s="673"/>
      <c r="AI1889" s="673"/>
      <c r="AJ1889" s="673"/>
      <c r="AK1889" s="673"/>
      <c r="AL1889" s="673"/>
      <c r="AM1889" s="673"/>
      <c r="AN1889" s="673"/>
      <c r="AO1889" s="673"/>
      <c r="AP1889" s="673"/>
      <c r="AQ1889" s="673"/>
      <c r="AR1889" s="673"/>
      <c r="AS1889" s="673"/>
      <c r="AT1889" s="696"/>
    </row>
    <row r="1890" ht="15.75" customHeight="1">
      <c r="A1890" s="653"/>
      <c r="B1890" s="654"/>
      <c r="C1890" s="691"/>
      <c r="D1890" s="656"/>
      <c r="E1890" s="657"/>
      <c r="F1890" s="658"/>
      <c r="G1890" s="659"/>
      <c r="H1890" s="660"/>
      <c r="I1890" s="659"/>
      <c r="J1890" s="661"/>
      <c r="K1890" s="692"/>
      <c r="L1890" s="645"/>
      <c r="M1890" s="663"/>
      <c r="N1890" s="665"/>
      <c r="O1890" s="665"/>
      <c r="P1890" s="666"/>
      <c r="Q1890" s="667"/>
      <c r="R1890" s="668"/>
      <c r="S1890" s="693"/>
      <c r="T1890" s="694"/>
      <c r="U1890" s="694"/>
      <c r="V1890" s="693"/>
      <c r="W1890" s="693"/>
      <c r="X1890" s="693"/>
      <c r="Y1890" s="671"/>
      <c r="Z1890" s="673"/>
      <c r="AA1890" s="672"/>
      <c r="AB1890" s="695"/>
      <c r="AC1890" s="673"/>
      <c r="AD1890" s="673"/>
      <c r="AE1890" s="673"/>
      <c r="AF1890" s="673"/>
      <c r="AG1890" s="673"/>
      <c r="AH1890" s="673"/>
      <c r="AI1890" s="673"/>
      <c r="AJ1890" s="673"/>
      <c r="AK1890" s="673"/>
      <c r="AL1890" s="673"/>
      <c r="AM1890" s="673"/>
      <c r="AN1890" s="673"/>
      <c r="AO1890" s="673"/>
      <c r="AP1890" s="673"/>
      <c r="AQ1890" s="673"/>
      <c r="AR1890" s="673"/>
      <c r="AS1890" s="673"/>
      <c r="AT1890" s="696"/>
    </row>
    <row r="1891" ht="15.75" customHeight="1">
      <c r="A1891" s="653"/>
      <c r="B1891" s="654"/>
      <c r="C1891" s="691"/>
      <c r="D1891" s="656"/>
      <c r="E1891" s="657"/>
      <c r="F1891" s="658"/>
      <c r="G1891" s="659"/>
      <c r="H1891" s="660"/>
      <c r="I1891" s="659"/>
      <c r="J1891" s="661"/>
      <c r="K1891" s="692"/>
      <c r="L1891" s="645"/>
      <c r="M1891" s="663"/>
      <c r="N1891" s="665"/>
      <c r="O1891" s="665"/>
      <c r="P1891" s="666"/>
      <c r="Q1891" s="667"/>
      <c r="R1891" s="668"/>
      <c r="S1891" s="693"/>
      <c r="T1891" s="694"/>
      <c r="U1891" s="694"/>
      <c r="V1891" s="693"/>
      <c r="W1891" s="693"/>
      <c r="X1891" s="693"/>
      <c r="Y1891" s="671"/>
      <c r="Z1891" s="673"/>
      <c r="AA1891" s="672"/>
      <c r="AB1891" s="695"/>
      <c r="AC1891" s="673"/>
      <c r="AD1891" s="673"/>
      <c r="AE1891" s="673"/>
      <c r="AF1891" s="673"/>
      <c r="AG1891" s="673"/>
      <c r="AH1891" s="673"/>
      <c r="AI1891" s="673"/>
      <c r="AJ1891" s="673"/>
      <c r="AK1891" s="673"/>
      <c r="AL1891" s="673"/>
      <c r="AM1891" s="673"/>
      <c r="AN1891" s="673"/>
      <c r="AO1891" s="673"/>
      <c r="AP1891" s="673"/>
      <c r="AQ1891" s="673"/>
      <c r="AR1891" s="673"/>
      <c r="AS1891" s="673"/>
      <c r="AT1891" s="696"/>
    </row>
    <row r="1892" ht="15.75" customHeight="1">
      <c r="A1892" s="653"/>
      <c r="B1892" s="654"/>
      <c r="C1892" s="691"/>
      <c r="D1892" s="656"/>
      <c r="E1892" s="657"/>
      <c r="F1892" s="658"/>
      <c r="G1892" s="659"/>
      <c r="H1892" s="660"/>
      <c r="I1892" s="659"/>
      <c r="J1892" s="661"/>
      <c r="K1892" s="692"/>
      <c r="L1892" s="645"/>
      <c r="M1892" s="663"/>
      <c r="N1892" s="665"/>
      <c r="O1892" s="665"/>
      <c r="P1892" s="666"/>
      <c r="Q1892" s="667"/>
      <c r="R1892" s="668"/>
      <c r="S1892" s="693"/>
      <c r="T1892" s="694"/>
      <c r="U1892" s="694"/>
      <c r="V1892" s="693"/>
      <c r="W1892" s="693"/>
      <c r="X1892" s="693"/>
      <c r="Y1892" s="671"/>
      <c r="Z1892" s="673"/>
      <c r="AA1892" s="672"/>
      <c r="AB1892" s="695"/>
      <c r="AC1892" s="673"/>
      <c r="AD1892" s="673"/>
      <c r="AE1892" s="673"/>
      <c r="AF1892" s="673"/>
      <c r="AG1892" s="673"/>
      <c r="AH1892" s="673"/>
      <c r="AI1892" s="673"/>
      <c r="AJ1892" s="673"/>
      <c r="AK1892" s="673"/>
      <c r="AL1892" s="673"/>
      <c r="AM1892" s="673"/>
      <c r="AN1892" s="673"/>
      <c r="AO1892" s="673"/>
      <c r="AP1892" s="673"/>
      <c r="AQ1892" s="673"/>
      <c r="AR1892" s="673"/>
      <c r="AS1892" s="673"/>
      <c r="AT1892" s="696"/>
    </row>
    <row r="1893" ht="15.75" customHeight="1">
      <c r="A1893" s="653"/>
      <c r="B1893" s="654"/>
      <c r="C1893" s="691"/>
      <c r="D1893" s="656"/>
      <c r="E1893" s="657"/>
      <c r="F1893" s="658"/>
      <c r="G1893" s="659"/>
      <c r="H1893" s="660"/>
      <c r="I1893" s="659"/>
      <c r="J1893" s="661"/>
      <c r="K1893" s="692"/>
      <c r="L1893" s="645"/>
      <c r="M1893" s="663"/>
      <c r="N1893" s="665"/>
      <c r="O1893" s="665"/>
      <c r="P1893" s="666"/>
      <c r="Q1893" s="667"/>
      <c r="R1893" s="668"/>
      <c r="S1893" s="693"/>
      <c r="T1893" s="694"/>
      <c r="U1893" s="694"/>
      <c r="V1893" s="693"/>
      <c r="W1893" s="693"/>
      <c r="X1893" s="693"/>
      <c r="Y1893" s="671"/>
      <c r="Z1893" s="673"/>
      <c r="AA1893" s="672"/>
      <c r="AB1893" s="695"/>
      <c r="AC1893" s="673"/>
      <c r="AD1893" s="673"/>
      <c r="AE1893" s="673"/>
      <c r="AF1893" s="673"/>
      <c r="AG1893" s="673"/>
      <c r="AH1893" s="673"/>
      <c r="AI1893" s="673"/>
      <c r="AJ1893" s="673"/>
      <c r="AK1893" s="673"/>
      <c r="AL1893" s="673"/>
      <c r="AM1893" s="673"/>
      <c r="AN1893" s="673"/>
      <c r="AO1893" s="673"/>
      <c r="AP1893" s="673"/>
      <c r="AQ1893" s="673"/>
      <c r="AR1893" s="673"/>
      <c r="AS1893" s="673"/>
      <c r="AT1893" s="696"/>
    </row>
    <row r="1894" ht="15.75" customHeight="1">
      <c r="A1894" s="653"/>
      <c r="B1894" s="654"/>
      <c r="C1894" s="691"/>
      <c r="D1894" s="656"/>
      <c r="E1894" s="657"/>
      <c r="F1894" s="658"/>
      <c r="G1894" s="659"/>
      <c r="H1894" s="660"/>
      <c r="I1894" s="659"/>
      <c r="J1894" s="661"/>
      <c r="K1894" s="692"/>
      <c r="L1894" s="645"/>
      <c r="M1894" s="663"/>
      <c r="N1894" s="665"/>
      <c r="O1894" s="665"/>
      <c r="P1894" s="666"/>
      <c r="Q1894" s="667"/>
      <c r="R1894" s="668"/>
      <c r="S1894" s="693"/>
      <c r="T1894" s="694"/>
      <c r="U1894" s="694"/>
      <c r="V1894" s="693"/>
      <c r="W1894" s="693"/>
      <c r="X1894" s="693"/>
      <c r="Y1894" s="671"/>
      <c r="Z1894" s="673"/>
      <c r="AA1894" s="672"/>
      <c r="AB1894" s="695"/>
      <c r="AC1894" s="673"/>
      <c r="AD1894" s="673"/>
      <c r="AE1894" s="673"/>
      <c r="AF1894" s="673"/>
      <c r="AG1894" s="673"/>
      <c r="AH1894" s="673"/>
      <c r="AI1894" s="673"/>
      <c r="AJ1894" s="673"/>
      <c r="AK1894" s="673"/>
      <c r="AL1894" s="673"/>
      <c r="AM1894" s="673"/>
      <c r="AN1894" s="673"/>
      <c r="AO1894" s="673"/>
      <c r="AP1894" s="673"/>
      <c r="AQ1894" s="673"/>
      <c r="AR1894" s="673"/>
      <c r="AS1894" s="673"/>
      <c r="AT1894" s="696"/>
    </row>
    <row r="1895" ht="15.75" customHeight="1">
      <c r="A1895" s="653"/>
      <c r="B1895" s="654"/>
      <c r="C1895" s="691"/>
      <c r="D1895" s="656"/>
      <c r="E1895" s="657"/>
      <c r="F1895" s="658"/>
      <c r="G1895" s="659"/>
      <c r="H1895" s="660"/>
      <c r="I1895" s="659"/>
      <c r="J1895" s="661"/>
      <c r="K1895" s="692"/>
      <c r="L1895" s="645"/>
      <c r="M1895" s="663"/>
      <c r="N1895" s="665"/>
      <c r="O1895" s="665"/>
      <c r="P1895" s="666"/>
      <c r="Q1895" s="667"/>
      <c r="R1895" s="668"/>
      <c r="S1895" s="693"/>
      <c r="T1895" s="694"/>
      <c r="U1895" s="694"/>
      <c r="V1895" s="693"/>
      <c r="W1895" s="693"/>
      <c r="X1895" s="693"/>
      <c r="Y1895" s="671"/>
      <c r="Z1895" s="673"/>
      <c r="AA1895" s="672"/>
      <c r="AB1895" s="695"/>
      <c r="AC1895" s="673"/>
      <c r="AD1895" s="673"/>
      <c r="AE1895" s="673"/>
      <c r="AF1895" s="673"/>
      <c r="AG1895" s="673"/>
      <c r="AH1895" s="673"/>
      <c r="AI1895" s="673"/>
      <c r="AJ1895" s="673"/>
      <c r="AK1895" s="673"/>
      <c r="AL1895" s="673"/>
      <c r="AM1895" s="673"/>
      <c r="AN1895" s="673"/>
      <c r="AO1895" s="673"/>
      <c r="AP1895" s="673"/>
      <c r="AQ1895" s="673"/>
      <c r="AR1895" s="673"/>
      <c r="AS1895" s="673"/>
      <c r="AT1895" s="696"/>
    </row>
    <row r="1896" ht="15.75" customHeight="1">
      <c r="A1896" s="653"/>
      <c r="B1896" s="654"/>
      <c r="C1896" s="691"/>
      <c r="D1896" s="656"/>
      <c r="E1896" s="657"/>
      <c r="F1896" s="658"/>
      <c r="G1896" s="659"/>
      <c r="H1896" s="660"/>
      <c r="I1896" s="659"/>
      <c r="J1896" s="661"/>
      <c r="K1896" s="692"/>
      <c r="L1896" s="645"/>
      <c r="M1896" s="663"/>
      <c r="N1896" s="665"/>
      <c r="O1896" s="665"/>
      <c r="P1896" s="666"/>
      <c r="Q1896" s="667"/>
      <c r="R1896" s="668"/>
      <c r="S1896" s="693"/>
      <c r="T1896" s="694"/>
      <c r="U1896" s="694"/>
      <c r="V1896" s="693"/>
      <c r="W1896" s="693"/>
      <c r="X1896" s="693"/>
      <c r="Y1896" s="671"/>
      <c r="Z1896" s="673"/>
      <c r="AA1896" s="672"/>
      <c r="AB1896" s="695"/>
      <c r="AC1896" s="673"/>
      <c r="AD1896" s="673"/>
      <c r="AE1896" s="673"/>
      <c r="AF1896" s="673"/>
      <c r="AG1896" s="673"/>
      <c r="AH1896" s="673"/>
      <c r="AI1896" s="673"/>
      <c r="AJ1896" s="673"/>
      <c r="AK1896" s="673"/>
      <c r="AL1896" s="673"/>
      <c r="AM1896" s="673"/>
      <c r="AN1896" s="673"/>
      <c r="AO1896" s="673"/>
      <c r="AP1896" s="673"/>
      <c r="AQ1896" s="673"/>
      <c r="AR1896" s="673"/>
      <c r="AS1896" s="673"/>
      <c r="AT1896" s="696"/>
    </row>
    <row r="1897" ht="15.75" customHeight="1">
      <c r="A1897" s="653"/>
      <c r="B1897" s="654"/>
      <c r="C1897" s="691"/>
      <c r="D1897" s="656"/>
      <c r="E1897" s="657"/>
      <c r="F1897" s="658"/>
      <c r="G1897" s="659"/>
      <c r="H1897" s="660"/>
      <c r="I1897" s="659"/>
      <c r="J1897" s="661"/>
      <c r="K1897" s="692"/>
      <c r="L1897" s="645"/>
      <c r="M1897" s="663"/>
      <c r="N1897" s="665"/>
      <c r="O1897" s="665"/>
      <c r="P1897" s="666"/>
      <c r="Q1897" s="667"/>
      <c r="R1897" s="668"/>
      <c r="S1897" s="693"/>
      <c r="T1897" s="694"/>
      <c r="U1897" s="694"/>
      <c r="V1897" s="693"/>
      <c r="W1897" s="693"/>
      <c r="X1897" s="693"/>
      <c r="Y1897" s="671"/>
      <c r="Z1897" s="673"/>
      <c r="AA1897" s="672"/>
      <c r="AB1897" s="695"/>
      <c r="AC1897" s="673"/>
      <c r="AD1897" s="673"/>
      <c r="AE1897" s="673"/>
      <c r="AF1897" s="673"/>
      <c r="AG1897" s="673"/>
      <c r="AH1897" s="673"/>
      <c r="AI1897" s="673"/>
      <c r="AJ1897" s="673"/>
      <c r="AK1897" s="673"/>
      <c r="AL1897" s="673"/>
      <c r="AM1897" s="673"/>
      <c r="AN1897" s="673"/>
      <c r="AO1897" s="673"/>
      <c r="AP1897" s="673"/>
      <c r="AQ1897" s="673"/>
      <c r="AR1897" s="673"/>
      <c r="AS1897" s="673"/>
      <c r="AT1897" s="696"/>
    </row>
    <row r="1898" ht="15.75" customHeight="1">
      <c r="A1898" s="653"/>
      <c r="B1898" s="654"/>
      <c r="C1898" s="691"/>
      <c r="D1898" s="656"/>
      <c r="E1898" s="657"/>
      <c r="F1898" s="658"/>
      <c r="G1898" s="659"/>
      <c r="H1898" s="660"/>
      <c r="I1898" s="659"/>
      <c r="J1898" s="661"/>
      <c r="K1898" s="692"/>
      <c r="L1898" s="645"/>
      <c r="M1898" s="663"/>
      <c r="N1898" s="665"/>
      <c r="O1898" s="665"/>
      <c r="P1898" s="666"/>
      <c r="Q1898" s="667"/>
      <c r="R1898" s="668"/>
      <c r="S1898" s="693"/>
      <c r="T1898" s="694"/>
      <c r="U1898" s="694"/>
      <c r="V1898" s="693"/>
      <c r="W1898" s="693"/>
      <c r="X1898" s="693"/>
      <c r="Y1898" s="671"/>
      <c r="Z1898" s="673"/>
      <c r="AA1898" s="672"/>
      <c r="AB1898" s="695"/>
      <c r="AC1898" s="673"/>
      <c r="AD1898" s="673"/>
      <c r="AE1898" s="673"/>
      <c r="AF1898" s="673"/>
      <c r="AG1898" s="673"/>
      <c r="AH1898" s="673"/>
      <c r="AI1898" s="673"/>
      <c r="AJ1898" s="673"/>
      <c r="AK1898" s="673"/>
      <c r="AL1898" s="673"/>
      <c r="AM1898" s="673"/>
      <c r="AN1898" s="673"/>
      <c r="AO1898" s="673"/>
      <c r="AP1898" s="673"/>
      <c r="AQ1898" s="673"/>
      <c r="AR1898" s="673"/>
      <c r="AS1898" s="673"/>
      <c r="AT1898" s="696"/>
    </row>
    <row r="1899" ht="15.75" customHeight="1">
      <c r="A1899" s="653"/>
      <c r="B1899" s="654"/>
      <c r="C1899" s="691"/>
      <c r="D1899" s="656"/>
      <c r="E1899" s="657"/>
      <c r="F1899" s="658"/>
      <c r="G1899" s="659"/>
      <c r="H1899" s="660"/>
      <c r="I1899" s="659"/>
      <c r="J1899" s="661"/>
      <c r="K1899" s="692"/>
      <c r="L1899" s="645"/>
      <c r="M1899" s="663"/>
      <c r="N1899" s="665"/>
      <c r="O1899" s="665"/>
      <c r="P1899" s="666"/>
      <c r="Q1899" s="667"/>
      <c r="R1899" s="668"/>
      <c r="S1899" s="693"/>
      <c r="T1899" s="694"/>
      <c r="U1899" s="694"/>
      <c r="V1899" s="693"/>
      <c r="W1899" s="693"/>
      <c r="X1899" s="693"/>
      <c r="Y1899" s="671"/>
      <c r="Z1899" s="673"/>
      <c r="AA1899" s="672"/>
      <c r="AB1899" s="695"/>
      <c r="AC1899" s="673"/>
      <c r="AD1899" s="673"/>
      <c r="AE1899" s="673"/>
      <c r="AF1899" s="673"/>
      <c r="AG1899" s="673"/>
      <c r="AH1899" s="673"/>
      <c r="AI1899" s="673"/>
      <c r="AJ1899" s="673"/>
      <c r="AK1899" s="673"/>
      <c r="AL1899" s="673"/>
      <c r="AM1899" s="673"/>
      <c r="AN1899" s="673"/>
      <c r="AO1899" s="673"/>
      <c r="AP1899" s="673"/>
      <c r="AQ1899" s="673"/>
      <c r="AR1899" s="673"/>
      <c r="AS1899" s="673"/>
      <c r="AT1899" s="696"/>
    </row>
    <row r="1900" ht="15.75" customHeight="1">
      <c r="A1900" s="653"/>
      <c r="B1900" s="654"/>
      <c r="C1900" s="691"/>
      <c r="D1900" s="656"/>
      <c r="E1900" s="657"/>
      <c r="F1900" s="658"/>
      <c r="G1900" s="659"/>
      <c r="H1900" s="660"/>
      <c r="I1900" s="659"/>
      <c r="J1900" s="661"/>
      <c r="K1900" s="692"/>
      <c r="L1900" s="645"/>
      <c r="M1900" s="663"/>
      <c r="N1900" s="665"/>
      <c r="O1900" s="665"/>
      <c r="P1900" s="666"/>
      <c r="Q1900" s="667"/>
      <c r="R1900" s="668"/>
      <c r="S1900" s="693"/>
      <c r="T1900" s="694"/>
      <c r="U1900" s="694"/>
      <c r="V1900" s="693"/>
      <c r="W1900" s="693"/>
      <c r="X1900" s="693"/>
      <c r="Y1900" s="671"/>
      <c r="Z1900" s="673"/>
      <c r="AA1900" s="672"/>
      <c r="AB1900" s="695"/>
      <c r="AC1900" s="673"/>
      <c r="AD1900" s="673"/>
      <c r="AE1900" s="673"/>
      <c r="AF1900" s="673"/>
      <c r="AG1900" s="673"/>
      <c r="AH1900" s="673"/>
      <c r="AI1900" s="673"/>
      <c r="AJ1900" s="673"/>
      <c r="AK1900" s="673"/>
      <c r="AL1900" s="673"/>
      <c r="AM1900" s="673"/>
      <c r="AN1900" s="673"/>
      <c r="AO1900" s="673"/>
      <c r="AP1900" s="673"/>
      <c r="AQ1900" s="673"/>
      <c r="AR1900" s="673"/>
      <c r="AS1900" s="673"/>
      <c r="AT1900" s="696"/>
    </row>
    <row r="1901" ht="15.75" customHeight="1">
      <c r="A1901" s="653"/>
      <c r="B1901" s="654"/>
      <c r="C1901" s="691"/>
      <c r="D1901" s="656"/>
      <c r="E1901" s="657"/>
      <c r="F1901" s="658"/>
      <c r="G1901" s="659"/>
      <c r="H1901" s="660"/>
      <c r="I1901" s="659"/>
      <c r="J1901" s="661"/>
      <c r="K1901" s="692"/>
      <c r="L1901" s="645"/>
      <c r="M1901" s="663"/>
      <c r="N1901" s="665"/>
      <c r="O1901" s="665"/>
      <c r="P1901" s="666"/>
      <c r="Q1901" s="667"/>
      <c r="R1901" s="668"/>
      <c r="S1901" s="693"/>
      <c r="T1901" s="694"/>
      <c r="U1901" s="694"/>
      <c r="V1901" s="693"/>
      <c r="W1901" s="693"/>
      <c r="X1901" s="693"/>
      <c r="Y1901" s="671"/>
      <c r="Z1901" s="673"/>
      <c r="AA1901" s="672"/>
      <c r="AB1901" s="695"/>
      <c r="AC1901" s="673"/>
      <c r="AD1901" s="673"/>
      <c r="AE1901" s="673"/>
      <c r="AF1901" s="673"/>
      <c r="AG1901" s="673"/>
      <c r="AH1901" s="673"/>
      <c r="AI1901" s="673"/>
      <c r="AJ1901" s="673"/>
      <c r="AK1901" s="673"/>
      <c r="AL1901" s="673"/>
      <c r="AM1901" s="673"/>
      <c r="AN1901" s="673"/>
      <c r="AO1901" s="673"/>
      <c r="AP1901" s="673"/>
      <c r="AQ1901" s="673"/>
      <c r="AR1901" s="673"/>
      <c r="AS1901" s="673"/>
      <c r="AT1901" s="696"/>
    </row>
    <row r="1902" ht="15.75" customHeight="1">
      <c r="A1902" s="653"/>
      <c r="B1902" s="654"/>
      <c r="C1902" s="691"/>
      <c r="D1902" s="656"/>
      <c r="E1902" s="657"/>
      <c r="F1902" s="658"/>
      <c r="G1902" s="659"/>
      <c r="H1902" s="660"/>
      <c r="I1902" s="659"/>
      <c r="J1902" s="661"/>
      <c r="K1902" s="692"/>
      <c r="L1902" s="645"/>
      <c r="M1902" s="663"/>
      <c r="N1902" s="665"/>
      <c r="O1902" s="665"/>
      <c r="P1902" s="666"/>
      <c r="Q1902" s="667"/>
      <c r="R1902" s="668"/>
      <c r="S1902" s="693"/>
      <c r="T1902" s="694"/>
      <c r="U1902" s="694"/>
      <c r="V1902" s="693"/>
      <c r="W1902" s="693"/>
      <c r="X1902" s="693"/>
      <c r="Y1902" s="671"/>
      <c r="Z1902" s="673"/>
      <c r="AA1902" s="672"/>
      <c r="AB1902" s="695"/>
      <c r="AC1902" s="673"/>
      <c r="AD1902" s="673"/>
      <c r="AE1902" s="673"/>
      <c r="AF1902" s="673"/>
      <c r="AG1902" s="673"/>
      <c r="AH1902" s="673"/>
      <c r="AI1902" s="673"/>
      <c r="AJ1902" s="673"/>
      <c r="AK1902" s="673"/>
      <c r="AL1902" s="673"/>
      <c r="AM1902" s="673"/>
      <c r="AN1902" s="673"/>
      <c r="AO1902" s="673"/>
      <c r="AP1902" s="673"/>
      <c r="AQ1902" s="673"/>
      <c r="AR1902" s="673"/>
      <c r="AS1902" s="673"/>
      <c r="AT1902" s="696"/>
    </row>
    <row r="1903" ht="15.75" customHeight="1">
      <c r="A1903" s="653"/>
      <c r="B1903" s="654"/>
      <c r="C1903" s="691"/>
      <c r="D1903" s="656"/>
      <c r="E1903" s="657"/>
      <c r="F1903" s="658"/>
      <c r="G1903" s="659"/>
      <c r="H1903" s="660"/>
      <c r="I1903" s="659"/>
      <c r="J1903" s="661"/>
      <c r="K1903" s="692"/>
      <c r="L1903" s="645"/>
      <c r="M1903" s="663"/>
      <c r="N1903" s="665"/>
      <c r="O1903" s="665"/>
      <c r="P1903" s="666"/>
      <c r="Q1903" s="667"/>
      <c r="R1903" s="668"/>
      <c r="S1903" s="693"/>
      <c r="T1903" s="694"/>
      <c r="U1903" s="694"/>
      <c r="V1903" s="693"/>
      <c r="W1903" s="693"/>
      <c r="X1903" s="693"/>
      <c r="Y1903" s="671"/>
      <c r="Z1903" s="673"/>
      <c r="AA1903" s="672"/>
      <c r="AB1903" s="695"/>
      <c r="AC1903" s="673"/>
      <c r="AD1903" s="673"/>
      <c r="AE1903" s="673"/>
      <c r="AF1903" s="673"/>
      <c r="AG1903" s="673"/>
      <c r="AH1903" s="673"/>
      <c r="AI1903" s="673"/>
      <c r="AJ1903" s="673"/>
      <c r="AK1903" s="673"/>
      <c r="AL1903" s="673"/>
      <c r="AM1903" s="673"/>
      <c r="AN1903" s="673"/>
      <c r="AO1903" s="673"/>
      <c r="AP1903" s="673"/>
      <c r="AQ1903" s="673"/>
      <c r="AR1903" s="673"/>
      <c r="AS1903" s="673"/>
      <c r="AT1903" s="696"/>
    </row>
    <row r="1904" ht="15.75" customHeight="1">
      <c r="A1904" s="653"/>
      <c r="B1904" s="654"/>
      <c r="C1904" s="691"/>
      <c r="D1904" s="656"/>
      <c r="E1904" s="657"/>
      <c r="F1904" s="658"/>
      <c r="G1904" s="659"/>
      <c r="H1904" s="660"/>
      <c r="I1904" s="659"/>
      <c r="J1904" s="661"/>
      <c r="K1904" s="692"/>
      <c r="L1904" s="645"/>
      <c r="M1904" s="663"/>
      <c r="N1904" s="665"/>
      <c r="O1904" s="665"/>
      <c r="P1904" s="666"/>
      <c r="Q1904" s="667"/>
      <c r="R1904" s="668"/>
      <c r="S1904" s="693"/>
      <c r="T1904" s="694"/>
      <c r="U1904" s="694"/>
      <c r="V1904" s="693"/>
      <c r="W1904" s="693"/>
      <c r="X1904" s="693"/>
      <c r="Y1904" s="671"/>
      <c r="Z1904" s="673"/>
      <c r="AA1904" s="672"/>
      <c r="AB1904" s="695"/>
      <c r="AC1904" s="673"/>
      <c r="AD1904" s="673"/>
      <c r="AE1904" s="673"/>
      <c r="AF1904" s="673"/>
      <c r="AG1904" s="673"/>
      <c r="AH1904" s="673"/>
      <c r="AI1904" s="673"/>
      <c r="AJ1904" s="673"/>
      <c r="AK1904" s="673"/>
      <c r="AL1904" s="673"/>
      <c r="AM1904" s="673"/>
      <c r="AN1904" s="673"/>
      <c r="AO1904" s="673"/>
      <c r="AP1904" s="673"/>
      <c r="AQ1904" s="673"/>
      <c r="AR1904" s="673"/>
      <c r="AS1904" s="673"/>
      <c r="AT1904" s="696"/>
    </row>
    <row r="1905" ht="15.75" customHeight="1">
      <c r="A1905" s="653"/>
      <c r="B1905" s="654"/>
      <c r="C1905" s="691"/>
      <c r="D1905" s="656"/>
      <c r="E1905" s="657"/>
      <c r="F1905" s="658"/>
      <c r="G1905" s="659"/>
      <c r="H1905" s="660"/>
      <c r="I1905" s="659"/>
      <c r="J1905" s="661"/>
      <c r="K1905" s="692"/>
      <c r="L1905" s="645"/>
      <c r="M1905" s="663"/>
      <c r="N1905" s="665"/>
      <c r="O1905" s="665"/>
      <c r="P1905" s="666"/>
      <c r="Q1905" s="667"/>
      <c r="R1905" s="668"/>
      <c r="S1905" s="693"/>
      <c r="T1905" s="694"/>
      <c r="U1905" s="694"/>
      <c r="V1905" s="693"/>
      <c r="W1905" s="693"/>
      <c r="X1905" s="693"/>
      <c r="Y1905" s="671"/>
      <c r="Z1905" s="673"/>
      <c r="AA1905" s="672"/>
      <c r="AB1905" s="695"/>
      <c r="AC1905" s="673"/>
      <c r="AD1905" s="673"/>
      <c r="AE1905" s="673"/>
      <c r="AF1905" s="673"/>
      <c r="AG1905" s="673"/>
      <c r="AH1905" s="673"/>
      <c r="AI1905" s="673"/>
      <c r="AJ1905" s="673"/>
      <c r="AK1905" s="673"/>
      <c r="AL1905" s="673"/>
      <c r="AM1905" s="673"/>
      <c r="AN1905" s="673"/>
      <c r="AO1905" s="673"/>
      <c r="AP1905" s="673"/>
      <c r="AQ1905" s="673"/>
      <c r="AR1905" s="673"/>
      <c r="AS1905" s="673"/>
      <c r="AT1905" s="696"/>
    </row>
    <row r="1906" ht="15.75" customHeight="1">
      <c r="A1906" s="653"/>
      <c r="B1906" s="654"/>
      <c r="C1906" s="691"/>
      <c r="D1906" s="656"/>
      <c r="E1906" s="657"/>
      <c r="F1906" s="658"/>
      <c r="G1906" s="659"/>
      <c r="H1906" s="660"/>
      <c r="I1906" s="659"/>
      <c r="J1906" s="661"/>
      <c r="K1906" s="692"/>
      <c r="L1906" s="645"/>
      <c r="M1906" s="663"/>
      <c r="N1906" s="665"/>
      <c r="O1906" s="665"/>
      <c r="P1906" s="666"/>
      <c r="Q1906" s="667"/>
      <c r="R1906" s="668"/>
      <c r="S1906" s="693"/>
      <c r="T1906" s="694"/>
      <c r="U1906" s="694"/>
      <c r="V1906" s="693"/>
      <c r="W1906" s="693"/>
      <c r="X1906" s="693"/>
      <c r="Y1906" s="671"/>
      <c r="Z1906" s="673"/>
      <c r="AA1906" s="672"/>
      <c r="AB1906" s="695"/>
      <c r="AC1906" s="673"/>
      <c r="AD1906" s="673"/>
      <c r="AE1906" s="673"/>
      <c r="AF1906" s="673"/>
      <c r="AG1906" s="673"/>
      <c r="AH1906" s="673"/>
      <c r="AI1906" s="673"/>
      <c r="AJ1906" s="673"/>
      <c r="AK1906" s="673"/>
      <c r="AL1906" s="673"/>
      <c r="AM1906" s="673"/>
      <c r="AN1906" s="673"/>
      <c r="AO1906" s="673"/>
      <c r="AP1906" s="673"/>
      <c r="AQ1906" s="673"/>
      <c r="AR1906" s="673"/>
      <c r="AS1906" s="673"/>
      <c r="AT1906" s="696"/>
    </row>
    <row r="1907" ht="15.75" customHeight="1">
      <c r="A1907" s="653"/>
      <c r="B1907" s="654"/>
      <c r="C1907" s="691"/>
      <c r="D1907" s="656"/>
      <c r="E1907" s="657"/>
      <c r="F1907" s="658"/>
      <c r="G1907" s="659"/>
      <c r="H1907" s="660"/>
      <c r="I1907" s="659"/>
      <c r="J1907" s="661"/>
      <c r="K1907" s="692"/>
      <c r="L1907" s="645"/>
      <c r="M1907" s="663"/>
      <c r="N1907" s="665"/>
      <c r="O1907" s="665"/>
      <c r="P1907" s="666"/>
      <c r="Q1907" s="667"/>
      <c r="R1907" s="668"/>
      <c r="S1907" s="693"/>
      <c r="T1907" s="694"/>
      <c r="U1907" s="694"/>
      <c r="V1907" s="693"/>
      <c r="W1907" s="693"/>
      <c r="X1907" s="693"/>
      <c r="Y1907" s="671"/>
      <c r="Z1907" s="673"/>
      <c r="AA1907" s="672"/>
      <c r="AB1907" s="695"/>
      <c r="AC1907" s="673"/>
      <c r="AD1907" s="673"/>
      <c r="AE1907" s="673"/>
      <c r="AF1907" s="673"/>
      <c r="AG1907" s="673"/>
      <c r="AH1907" s="673"/>
      <c r="AI1907" s="673"/>
      <c r="AJ1907" s="673"/>
      <c r="AK1907" s="673"/>
      <c r="AL1907" s="673"/>
      <c r="AM1907" s="673"/>
      <c r="AN1907" s="673"/>
      <c r="AO1907" s="673"/>
      <c r="AP1907" s="673"/>
      <c r="AQ1907" s="673"/>
      <c r="AR1907" s="673"/>
      <c r="AS1907" s="673"/>
      <c r="AT1907" s="696"/>
    </row>
    <row r="1908" ht="15.75" customHeight="1">
      <c r="A1908" s="653"/>
      <c r="B1908" s="654"/>
      <c r="C1908" s="691"/>
      <c r="D1908" s="656"/>
      <c r="E1908" s="657"/>
      <c r="F1908" s="658"/>
      <c r="G1908" s="659"/>
      <c r="H1908" s="660"/>
      <c r="I1908" s="659"/>
      <c r="J1908" s="661"/>
      <c r="K1908" s="692"/>
      <c r="L1908" s="645"/>
      <c r="M1908" s="663"/>
      <c r="N1908" s="665"/>
      <c r="O1908" s="665"/>
      <c r="P1908" s="666"/>
      <c r="Q1908" s="667"/>
      <c r="R1908" s="668"/>
      <c r="S1908" s="693"/>
      <c r="T1908" s="694"/>
      <c r="U1908" s="694"/>
      <c r="V1908" s="693"/>
      <c r="W1908" s="693"/>
      <c r="X1908" s="693"/>
      <c r="Y1908" s="671"/>
      <c r="Z1908" s="673"/>
      <c r="AA1908" s="672"/>
      <c r="AB1908" s="695"/>
      <c r="AC1908" s="673"/>
      <c r="AD1908" s="673"/>
      <c r="AE1908" s="673"/>
      <c r="AF1908" s="673"/>
      <c r="AG1908" s="673"/>
      <c r="AH1908" s="673"/>
      <c r="AI1908" s="673"/>
      <c r="AJ1908" s="673"/>
      <c r="AK1908" s="673"/>
      <c r="AL1908" s="673"/>
      <c r="AM1908" s="673"/>
      <c r="AN1908" s="673"/>
      <c r="AO1908" s="673"/>
      <c r="AP1908" s="673"/>
      <c r="AQ1908" s="673"/>
      <c r="AR1908" s="673"/>
      <c r="AS1908" s="673"/>
      <c r="AT1908" s="696"/>
    </row>
    <row r="1909" ht="15.75" customHeight="1">
      <c r="A1909" s="653"/>
      <c r="B1909" s="654"/>
      <c r="C1909" s="691"/>
      <c r="D1909" s="656"/>
      <c r="E1909" s="657"/>
      <c r="F1909" s="658"/>
      <c r="G1909" s="659"/>
      <c r="H1909" s="660"/>
      <c r="I1909" s="659"/>
      <c r="J1909" s="661"/>
      <c r="K1909" s="692"/>
      <c r="L1909" s="645"/>
      <c r="M1909" s="663"/>
      <c r="N1909" s="665"/>
      <c r="O1909" s="665"/>
      <c r="P1909" s="666"/>
      <c r="Q1909" s="667"/>
      <c r="R1909" s="668"/>
      <c r="S1909" s="693"/>
      <c r="T1909" s="694"/>
      <c r="U1909" s="694"/>
      <c r="V1909" s="693"/>
      <c r="W1909" s="693"/>
      <c r="X1909" s="693"/>
      <c r="Y1909" s="671"/>
      <c r="Z1909" s="673"/>
      <c r="AA1909" s="672"/>
      <c r="AB1909" s="695"/>
      <c r="AC1909" s="673"/>
      <c r="AD1909" s="673"/>
      <c r="AE1909" s="673"/>
      <c r="AF1909" s="673"/>
      <c r="AG1909" s="673"/>
      <c r="AH1909" s="673"/>
      <c r="AI1909" s="673"/>
      <c r="AJ1909" s="673"/>
      <c r="AK1909" s="673"/>
      <c r="AL1909" s="673"/>
      <c r="AM1909" s="673"/>
      <c r="AN1909" s="673"/>
      <c r="AO1909" s="673"/>
      <c r="AP1909" s="673"/>
      <c r="AQ1909" s="673"/>
      <c r="AR1909" s="673"/>
      <c r="AS1909" s="673"/>
      <c r="AT1909" s="696"/>
    </row>
    <row r="1910" ht="15.75" customHeight="1">
      <c r="A1910" s="653"/>
      <c r="B1910" s="654"/>
      <c r="C1910" s="691"/>
      <c r="D1910" s="656"/>
      <c r="E1910" s="657"/>
      <c r="F1910" s="658"/>
      <c r="G1910" s="659"/>
      <c r="H1910" s="660"/>
      <c r="I1910" s="659"/>
      <c r="J1910" s="661"/>
      <c r="K1910" s="692"/>
      <c r="L1910" s="645"/>
      <c r="M1910" s="663"/>
      <c r="N1910" s="665"/>
      <c r="O1910" s="665"/>
      <c r="P1910" s="666"/>
      <c r="Q1910" s="667"/>
      <c r="R1910" s="668"/>
      <c r="S1910" s="693"/>
      <c r="T1910" s="694"/>
      <c r="U1910" s="694"/>
      <c r="V1910" s="693"/>
      <c r="W1910" s="693"/>
      <c r="X1910" s="693"/>
      <c r="Y1910" s="671"/>
      <c r="Z1910" s="673"/>
      <c r="AA1910" s="672"/>
      <c r="AB1910" s="695"/>
      <c r="AC1910" s="673"/>
      <c r="AD1910" s="673"/>
      <c r="AE1910" s="673"/>
      <c r="AF1910" s="673"/>
      <c r="AG1910" s="673"/>
      <c r="AH1910" s="673"/>
      <c r="AI1910" s="673"/>
      <c r="AJ1910" s="673"/>
      <c r="AK1910" s="673"/>
      <c r="AL1910" s="673"/>
      <c r="AM1910" s="673"/>
      <c r="AN1910" s="673"/>
      <c r="AO1910" s="673"/>
      <c r="AP1910" s="673"/>
      <c r="AQ1910" s="673"/>
      <c r="AR1910" s="673"/>
      <c r="AS1910" s="673"/>
      <c r="AT1910" s="696"/>
    </row>
    <row r="1911" ht="15.75" customHeight="1">
      <c r="A1911" s="653"/>
      <c r="B1911" s="654"/>
      <c r="C1911" s="691"/>
      <c r="D1911" s="656"/>
      <c r="E1911" s="657"/>
      <c r="F1911" s="658"/>
      <c r="G1911" s="659"/>
      <c r="H1911" s="660"/>
      <c r="I1911" s="659"/>
      <c r="J1911" s="661"/>
      <c r="K1911" s="692"/>
      <c r="L1911" s="645"/>
      <c r="M1911" s="663"/>
      <c r="N1911" s="665"/>
      <c r="O1911" s="665"/>
      <c r="P1911" s="666"/>
      <c r="Q1911" s="667"/>
      <c r="R1911" s="668"/>
      <c r="S1911" s="693"/>
      <c r="T1911" s="694"/>
      <c r="U1911" s="694"/>
      <c r="V1911" s="693"/>
      <c r="W1911" s="693"/>
      <c r="X1911" s="693"/>
      <c r="Y1911" s="671"/>
      <c r="Z1911" s="673"/>
      <c r="AA1911" s="672"/>
      <c r="AB1911" s="695"/>
      <c r="AC1911" s="673"/>
      <c r="AD1911" s="673"/>
      <c r="AE1911" s="673"/>
      <c r="AF1911" s="673"/>
      <c r="AG1911" s="673"/>
      <c r="AH1911" s="673"/>
      <c r="AI1911" s="673"/>
      <c r="AJ1911" s="673"/>
      <c r="AK1911" s="673"/>
      <c r="AL1911" s="673"/>
      <c r="AM1911" s="673"/>
      <c r="AN1911" s="673"/>
      <c r="AO1911" s="673"/>
      <c r="AP1911" s="673"/>
      <c r="AQ1911" s="673"/>
      <c r="AR1911" s="673"/>
      <c r="AS1911" s="673"/>
      <c r="AT1911" s="696"/>
    </row>
    <row r="1912" ht="15.75" customHeight="1">
      <c r="A1912" s="653"/>
      <c r="B1912" s="654"/>
      <c r="C1912" s="691"/>
      <c r="D1912" s="656"/>
      <c r="E1912" s="657"/>
      <c r="F1912" s="658"/>
      <c r="G1912" s="659"/>
      <c r="H1912" s="660"/>
      <c r="I1912" s="659"/>
      <c r="J1912" s="661"/>
      <c r="K1912" s="692"/>
      <c r="L1912" s="645"/>
      <c r="M1912" s="663"/>
      <c r="N1912" s="665"/>
      <c r="O1912" s="665"/>
      <c r="P1912" s="666"/>
      <c r="Q1912" s="667"/>
      <c r="R1912" s="668"/>
      <c r="S1912" s="693"/>
      <c r="T1912" s="694"/>
      <c r="U1912" s="694"/>
      <c r="V1912" s="693"/>
      <c r="W1912" s="693"/>
      <c r="X1912" s="693"/>
      <c r="Y1912" s="671"/>
      <c r="Z1912" s="673"/>
      <c r="AA1912" s="672"/>
      <c r="AB1912" s="695"/>
      <c r="AC1912" s="673"/>
      <c r="AD1912" s="673"/>
      <c r="AE1912" s="673"/>
      <c r="AF1912" s="673"/>
      <c r="AG1912" s="673"/>
      <c r="AH1912" s="673"/>
      <c r="AI1912" s="673"/>
      <c r="AJ1912" s="673"/>
      <c r="AK1912" s="673"/>
      <c r="AL1912" s="673"/>
      <c r="AM1912" s="673"/>
      <c r="AN1912" s="673"/>
      <c r="AO1912" s="673"/>
      <c r="AP1912" s="673"/>
      <c r="AQ1912" s="673"/>
      <c r="AR1912" s="673"/>
      <c r="AS1912" s="673"/>
      <c r="AT1912" s="696"/>
    </row>
    <row r="1913" ht="15.75" customHeight="1">
      <c r="A1913" s="653"/>
      <c r="B1913" s="654"/>
      <c r="C1913" s="691"/>
      <c r="D1913" s="656"/>
      <c r="E1913" s="657"/>
      <c r="F1913" s="658"/>
      <c r="G1913" s="659"/>
      <c r="H1913" s="660"/>
      <c r="I1913" s="659"/>
      <c r="J1913" s="661"/>
      <c r="K1913" s="692"/>
      <c r="L1913" s="645"/>
      <c r="M1913" s="663"/>
      <c r="N1913" s="665"/>
      <c r="O1913" s="665"/>
      <c r="P1913" s="666"/>
      <c r="Q1913" s="667"/>
      <c r="R1913" s="668"/>
      <c r="S1913" s="693"/>
      <c r="T1913" s="694"/>
      <c r="U1913" s="694"/>
      <c r="V1913" s="693"/>
      <c r="W1913" s="693"/>
      <c r="X1913" s="693"/>
      <c r="Y1913" s="671"/>
      <c r="Z1913" s="673"/>
      <c r="AA1913" s="672"/>
      <c r="AB1913" s="695"/>
      <c r="AC1913" s="673"/>
      <c r="AD1913" s="673"/>
      <c r="AE1913" s="673"/>
      <c r="AF1913" s="673"/>
      <c r="AG1913" s="673"/>
      <c r="AH1913" s="673"/>
      <c r="AI1913" s="673"/>
      <c r="AJ1913" s="673"/>
      <c r="AK1913" s="673"/>
      <c r="AL1913" s="673"/>
      <c r="AM1913" s="673"/>
      <c r="AN1913" s="673"/>
      <c r="AO1913" s="673"/>
      <c r="AP1913" s="673"/>
      <c r="AQ1913" s="673"/>
      <c r="AR1913" s="673"/>
      <c r="AS1913" s="673"/>
      <c r="AT1913" s="696"/>
    </row>
    <row r="1914" ht="15.75" customHeight="1">
      <c r="A1914" s="653"/>
      <c r="B1914" s="654"/>
      <c r="C1914" s="691"/>
      <c r="D1914" s="656"/>
      <c r="E1914" s="657"/>
      <c r="F1914" s="658"/>
      <c r="G1914" s="659"/>
      <c r="H1914" s="660"/>
      <c r="I1914" s="659"/>
      <c r="J1914" s="661"/>
      <c r="K1914" s="692"/>
      <c r="L1914" s="645"/>
      <c r="M1914" s="663"/>
      <c r="N1914" s="665"/>
      <c r="O1914" s="665"/>
      <c r="P1914" s="666"/>
      <c r="Q1914" s="667"/>
      <c r="R1914" s="668"/>
      <c r="S1914" s="693"/>
      <c r="T1914" s="694"/>
      <c r="U1914" s="694"/>
      <c r="V1914" s="693"/>
      <c r="W1914" s="693"/>
      <c r="X1914" s="693"/>
      <c r="Y1914" s="671"/>
      <c r="Z1914" s="673"/>
      <c r="AA1914" s="672"/>
      <c r="AB1914" s="695"/>
      <c r="AC1914" s="673"/>
      <c r="AD1914" s="673"/>
      <c r="AE1914" s="673"/>
      <c r="AF1914" s="673"/>
      <c r="AG1914" s="673"/>
      <c r="AH1914" s="673"/>
      <c r="AI1914" s="673"/>
      <c r="AJ1914" s="673"/>
      <c r="AK1914" s="673"/>
      <c r="AL1914" s="673"/>
      <c r="AM1914" s="673"/>
      <c r="AN1914" s="673"/>
      <c r="AO1914" s="673"/>
      <c r="AP1914" s="673"/>
      <c r="AQ1914" s="673"/>
      <c r="AR1914" s="673"/>
      <c r="AS1914" s="673"/>
      <c r="AT1914" s="696"/>
    </row>
    <row r="1915" ht="15.75" customHeight="1">
      <c r="A1915" s="653"/>
      <c r="B1915" s="654"/>
      <c r="C1915" s="691"/>
      <c r="D1915" s="656"/>
      <c r="E1915" s="657"/>
      <c r="F1915" s="658"/>
      <c r="G1915" s="659"/>
      <c r="H1915" s="660"/>
      <c r="I1915" s="659"/>
      <c r="J1915" s="661"/>
      <c r="K1915" s="692"/>
      <c r="L1915" s="645"/>
      <c r="M1915" s="663"/>
      <c r="N1915" s="665"/>
      <c r="O1915" s="665"/>
      <c r="P1915" s="666"/>
      <c r="Q1915" s="667"/>
      <c r="R1915" s="668"/>
      <c r="S1915" s="693"/>
      <c r="T1915" s="694"/>
      <c r="U1915" s="694"/>
      <c r="V1915" s="693"/>
      <c r="W1915" s="693"/>
      <c r="X1915" s="693"/>
      <c r="Y1915" s="671"/>
      <c r="Z1915" s="673"/>
      <c r="AA1915" s="672"/>
      <c r="AB1915" s="695"/>
      <c r="AC1915" s="673"/>
      <c r="AD1915" s="673"/>
      <c r="AE1915" s="673"/>
      <c r="AF1915" s="673"/>
      <c r="AG1915" s="673"/>
      <c r="AH1915" s="673"/>
      <c r="AI1915" s="673"/>
      <c r="AJ1915" s="673"/>
      <c r="AK1915" s="673"/>
      <c r="AL1915" s="673"/>
      <c r="AM1915" s="673"/>
      <c r="AN1915" s="673"/>
      <c r="AO1915" s="673"/>
      <c r="AP1915" s="673"/>
      <c r="AQ1915" s="673"/>
      <c r="AR1915" s="673"/>
      <c r="AS1915" s="673"/>
      <c r="AT1915" s="696"/>
    </row>
    <row r="1916" ht="15.75" customHeight="1">
      <c r="A1916" s="653"/>
      <c r="B1916" s="654"/>
      <c r="C1916" s="691"/>
      <c r="D1916" s="656"/>
      <c r="E1916" s="657"/>
      <c r="F1916" s="658"/>
      <c r="G1916" s="659"/>
      <c r="H1916" s="660"/>
      <c r="I1916" s="659"/>
      <c r="J1916" s="661"/>
      <c r="K1916" s="692"/>
      <c r="L1916" s="645"/>
      <c r="M1916" s="663"/>
      <c r="N1916" s="665"/>
      <c r="O1916" s="665"/>
      <c r="P1916" s="666"/>
      <c r="Q1916" s="667"/>
      <c r="R1916" s="668"/>
      <c r="S1916" s="693"/>
      <c r="T1916" s="694"/>
      <c r="U1916" s="694"/>
      <c r="V1916" s="693"/>
      <c r="W1916" s="693"/>
      <c r="X1916" s="693"/>
      <c r="Y1916" s="671"/>
      <c r="Z1916" s="673"/>
      <c r="AA1916" s="672"/>
      <c r="AB1916" s="695"/>
      <c r="AC1916" s="673"/>
      <c r="AD1916" s="673"/>
      <c r="AE1916" s="673"/>
      <c r="AF1916" s="673"/>
      <c r="AG1916" s="673"/>
      <c r="AH1916" s="673"/>
      <c r="AI1916" s="673"/>
      <c r="AJ1916" s="673"/>
      <c r="AK1916" s="673"/>
      <c r="AL1916" s="673"/>
      <c r="AM1916" s="673"/>
      <c r="AN1916" s="673"/>
      <c r="AO1916" s="673"/>
      <c r="AP1916" s="673"/>
      <c r="AQ1916" s="673"/>
      <c r="AR1916" s="673"/>
      <c r="AS1916" s="673"/>
      <c r="AT1916" s="696"/>
    </row>
    <row r="1917" ht="15.75" customHeight="1">
      <c r="A1917" s="653"/>
      <c r="B1917" s="654"/>
      <c r="C1917" s="691"/>
      <c r="D1917" s="656"/>
      <c r="E1917" s="657"/>
      <c r="F1917" s="658"/>
      <c r="G1917" s="659"/>
      <c r="H1917" s="660"/>
      <c r="I1917" s="659"/>
      <c r="J1917" s="661"/>
      <c r="K1917" s="692"/>
      <c r="L1917" s="645"/>
      <c r="M1917" s="663"/>
      <c r="N1917" s="665"/>
      <c r="O1917" s="665"/>
      <c r="P1917" s="666"/>
      <c r="Q1917" s="667"/>
      <c r="R1917" s="668"/>
      <c r="S1917" s="693"/>
      <c r="T1917" s="694"/>
      <c r="U1917" s="694"/>
      <c r="V1917" s="693"/>
      <c r="W1917" s="693"/>
      <c r="X1917" s="693"/>
      <c r="Y1917" s="671"/>
      <c r="Z1917" s="673"/>
      <c r="AA1917" s="672"/>
      <c r="AB1917" s="695"/>
      <c r="AC1917" s="673"/>
      <c r="AD1917" s="673"/>
      <c r="AE1917" s="673"/>
      <c r="AF1917" s="673"/>
      <c r="AG1917" s="673"/>
      <c r="AH1917" s="673"/>
      <c r="AI1917" s="673"/>
      <c r="AJ1917" s="673"/>
      <c r="AK1917" s="673"/>
      <c r="AL1917" s="673"/>
      <c r="AM1917" s="673"/>
      <c r="AN1917" s="673"/>
      <c r="AO1917" s="673"/>
      <c r="AP1917" s="673"/>
      <c r="AQ1917" s="673"/>
      <c r="AR1917" s="673"/>
      <c r="AS1917" s="673"/>
      <c r="AT1917" s="696"/>
    </row>
    <row r="1918" ht="15.75" customHeight="1">
      <c r="A1918" s="653"/>
      <c r="B1918" s="654"/>
      <c r="C1918" s="691"/>
      <c r="D1918" s="656"/>
      <c r="E1918" s="657"/>
      <c r="F1918" s="658"/>
      <c r="G1918" s="659"/>
      <c r="H1918" s="660"/>
      <c r="I1918" s="659"/>
      <c r="J1918" s="661"/>
      <c r="K1918" s="692"/>
      <c r="L1918" s="645"/>
      <c r="M1918" s="663"/>
      <c r="N1918" s="665"/>
      <c r="O1918" s="665"/>
      <c r="P1918" s="666"/>
      <c r="Q1918" s="667"/>
      <c r="R1918" s="668"/>
      <c r="S1918" s="693"/>
      <c r="T1918" s="694"/>
      <c r="U1918" s="694"/>
      <c r="V1918" s="693"/>
      <c r="W1918" s="693"/>
      <c r="X1918" s="693"/>
      <c r="Y1918" s="671"/>
      <c r="Z1918" s="673"/>
      <c r="AA1918" s="672"/>
      <c r="AB1918" s="695"/>
      <c r="AC1918" s="673"/>
      <c r="AD1918" s="673"/>
      <c r="AE1918" s="673"/>
      <c r="AF1918" s="673"/>
      <c r="AG1918" s="673"/>
      <c r="AH1918" s="673"/>
      <c r="AI1918" s="673"/>
      <c r="AJ1918" s="673"/>
      <c r="AK1918" s="673"/>
      <c r="AL1918" s="673"/>
      <c r="AM1918" s="673"/>
      <c r="AN1918" s="673"/>
      <c r="AO1918" s="673"/>
      <c r="AP1918" s="673"/>
      <c r="AQ1918" s="673"/>
      <c r="AR1918" s="673"/>
      <c r="AS1918" s="673"/>
      <c r="AT1918" s="696"/>
    </row>
    <row r="1919" ht="15.75" customHeight="1">
      <c r="A1919" s="653"/>
      <c r="B1919" s="654"/>
      <c r="C1919" s="691"/>
      <c r="D1919" s="656"/>
      <c r="E1919" s="657"/>
      <c r="F1919" s="658"/>
      <c r="G1919" s="659"/>
      <c r="H1919" s="660"/>
      <c r="I1919" s="659"/>
      <c r="J1919" s="661"/>
      <c r="K1919" s="692"/>
      <c r="L1919" s="645"/>
      <c r="M1919" s="663"/>
      <c r="N1919" s="665"/>
      <c r="O1919" s="665"/>
      <c r="P1919" s="666"/>
      <c r="Q1919" s="667"/>
      <c r="R1919" s="668"/>
      <c r="S1919" s="693"/>
      <c r="T1919" s="694"/>
      <c r="U1919" s="694"/>
      <c r="V1919" s="693"/>
      <c r="W1919" s="693"/>
      <c r="X1919" s="693"/>
      <c r="Y1919" s="671"/>
      <c r="Z1919" s="673"/>
      <c r="AA1919" s="672"/>
      <c r="AB1919" s="695"/>
      <c r="AC1919" s="673"/>
      <c r="AD1919" s="673"/>
      <c r="AE1919" s="673"/>
      <c r="AF1919" s="673"/>
      <c r="AG1919" s="673"/>
      <c r="AH1919" s="673"/>
      <c r="AI1919" s="673"/>
      <c r="AJ1919" s="673"/>
      <c r="AK1919" s="673"/>
      <c r="AL1919" s="673"/>
      <c r="AM1919" s="673"/>
      <c r="AN1919" s="673"/>
      <c r="AO1919" s="673"/>
      <c r="AP1919" s="673"/>
      <c r="AQ1919" s="673"/>
      <c r="AR1919" s="673"/>
      <c r="AS1919" s="673"/>
      <c r="AT1919" s="696"/>
    </row>
    <row r="1920" ht="15.75" customHeight="1">
      <c r="A1920" s="653"/>
      <c r="B1920" s="654"/>
      <c r="C1920" s="691"/>
      <c r="D1920" s="656"/>
      <c r="E1920" s="657"/>
      <c r="F1920" s="658"/>
      <c r="G1920" s="659"/>
      <c r="H1920" s="660"/>
      <c r="I1920" s="659"/>
      <c r="J1920" s="661"/>
      <c r="K1920" s="692"/>
      <c r="L1920" s="645"/>
      <c r="M1920" s="663"/>
      <c r="N1920" s="665"/>
      <c r="O1920" s="665"/>
      <c r="P1920" s="666"/>
      <c r="Q1920" s="667"/>
      <c r="R1920" s="668"/>
      <c r="S1920" s="693"/>
      <c r="T1920" s="694"/>
      <c r="U1920" s="694"/>
      <c r="V1920" s="693"/>
      <c r="W1920" s="693"/>
      <c r="X1920" s="693"/>
      <c r="Y1920" s="671"/>
      <c r="Z1920" s="673"/>
      <c r="AA1920" s="672"/>
      <c r="AB1920" s="695"/>
      <c r="AC1920" s="673"/>
      <c r="AD1920" s="673"/>
      <c r="AE1920" s="673"/>
      <c r="AF1920" s="673"/>
      <c r="AG1920" s="673"/>
      <c r="AH1920" s="673"/>
      <c r="AI1920" s="673"/>
      <c r="AJ1920" s="673"/>
      <c r="AK1920" s="673"/>
      <c r="AL1920" s="673"/>
      <c r="AM1920" s="673"/>
      <c r="AN1920" s="673"/>
      <c r="AO1920" s="673"/>
      <c r="AP1920" s="673"/>
      <c r="AQ1920" s="673"/>
      <c r="AR1920" s="673"/>
      <c r="AS1920" s="673"/>
      <c r="AT1920" s="696"/>
    </row>
    <row r="1921" ht="15.75" customHeight="1">
      <c r="A1921" s="653"/>
      <c r="B1921" s="654"/>
      <c r="C1921" s="691"/>
      <c r="D1921" s="656"/>
      <c r="E1921" s="657"/>
      <c r="F1921" s="658"/>
      <c r="G1921" s="659"/>
      <c r="H1921" s="660"/>
      <c r="I1921" s="659"/>
      <c r="J1921" s="661"/>
      <c r="K1921" s="692"/>
      <c r="L1921" s="645"/>
      <c r="M1921" s="663"/>
      <c r="N1921" s="665"/>
      <c r="O1921" s="665"/>
      <c r="P1921" s="666"/>
      <c r="Q1921" s="667"/>
      <c r="R1921" s="668"/>
      <c r="S1921" s="693"/>
      <c r="T1921" s="694"/>
      <c r="U1921" s="694"/>
      <c r="V1921" s="693"/>
      <c r="W1921" s="693"/>
      <c r="X1921" s="693"/>
      <c r="Y1921" s="671"/>
      <c r="Z1921" s="673"/>
      <c r="AA1921" s="672"/>
      <c r="AB1921" s="695"/>
      <c r="AC1921" s="673"/>
      <c r="AD1921" s="673"/>
      <c r="AE1921" s="673"/>
      <c r="AF1921" s="673"/>
      <c r="AG1921" s="673"/>
      <c r="AH1921" s="673"/>
      <c r="AI1921" s="673"/>
      <c r="AJ1921" s="673"/>
      <c r="AK1921" s="673"/>
      <c r="AL1921" s="673"/>
      <c r="AM1921" s="673"/>
      <c r="AN1921" s="673"/>
      <c r="AO1921" s="673"/>
      <c r="AP1921" s="673"/>
      <c r="AQ1921" s="673"/>
      <c r="AR1921" s="673"/>
      <c r="AS1921" s="673"/>
      <c r="AT1921" s="696"/>
    </row>
    <row r="1922" ht="15.75" customHeight="1">
      <c r="A1922" s="653"/>
      <c r="B1922" s="654"/>
      <c r="C1922" s="691"/>
      <c r="D1922" s="656"/>
      <c r="E1922" s="657"/>
      <c r="F1922" s="658"/>
      <c r="G1922" s="659"/>
      <c r="H1922" s="660"/>
      <c r="I1922" s="659"/>
      <c r="J1922" s="661"/>
      <c r="K1922" s="692"/>
      <c r="L1922" s="645"/>
      <c r="M1922" s="663"/>
      <c r="N1922" s="665"/>
      <c r="O1922" s="665"/>
      <c r="P1922" s="666"/>
      <c r="Q1922" s="667"/>
      <c r="R1922" s="668"/>
      <c r="S1922" s="693"/>
      <c r="T1922" s="694"/>
      <c r="U1922" s="694"/>
      <c r="V1922" s="693"/>
      <c r="W1922" s="693"/>
      <c r="X1922" s="693"/>
      <c r="Y1922" s="671"/>
      <c r="Z1922" s="673"/>
      <c r="AA1922" s="672"/>
      <c r="AB1922" s="695"/>
      <c r="AC1922" s="673"/>
      <c r="AD1922" s="673"/>
      <c r="AE1922" s="673"/>
      <c r="AF1922" s="673"/>
      <c r="AG1922" s="673"/>
      <c r="AH1922" s="673"/>
      <c r="AI1922" s="673"/>
      <c r="AJ1922" s="673"/>
      <c r="AK1922" s="673"/>
      <c r="AL1922" s="673"/>
      <c r="AM1922" s="673"/>
      <c r="AN1922" s="673"/>
      <c r="AO1922" s="673"/>
      <c r="AP1922" s="673"/>
      <c r="AQ1922" s="673"/>
      <c r="AR1922" s="673"/>
      <c r="AS1922" s="673"/>
      <c r="AT1922" s="696"/>
    </row>
    <row r="1923" ht="15.75" customHeight="1">
      <c r="A1923" s="653"/>
      <c r="B1923" s="654"/>
      <c r="C1923" s="691"/>
      <c r="D1923" s="656"/>
      <c r="E1923" s="657"/>
      <c r="F1923" s="658"/>
      <c r="G1923" s="659"/>
      <c r="H1923" s="660"/>
      <c r="I1923" s="659"/>
      <c r="J1923" s="661"/>
      <c r="K1923" s="692"/>
      <c r="L1923" s="645"/>
      <c r="M1923" s="663"/>
      <c r="N1923" s="665"/>
      <c r="O1923" s="665"/>
      <c r="P1923" s="666"/>
      <c r="Q1923" s="667"/>
      <c r="R1923" s="668"/>
      <c r="S1923" s="693"/>
      <c r="T1923" s="694"/>
      <c r="U1923" s="694"/>
      <c r="V1923" s="693"/>
      <c r="W1923" s="693"/>
      <c r="X1923" s="693"/>
      <c r="Y1923" s="671"/>
      <c r="Z1923" s="673"/>
      <c r="AA1923" s="672"/>
      <c r="AB1923" s="695"/>
      <c r="AC1923" s="673"/>
      <c r="AD1923" s="673"/>
      <c r="AE1923" s="673"/>
      <c r="AF1923" s="673"/>
      <c r="AG1923" s="673"/>
      <c r="AH1923" s="673"/>
      <c r="AI1923" s="673"/>
      <c r="AJ1923" s="673"/>
      <c r="AK1923" s="673"/>
      <c r="AL1923" s="673"/>
      <c r="AM1923" s="673"/>
      <c r="AN1923" s="673"/>
      <c r="AO1923" s="673"/>
      <c r="AP1923" s="673"/>
      <c r="AQ1923" s="673"/>
      <c r="AR1923" s="673"/>
      <c r="AS1923" s="673"/>
      <c r="AT1923" s="696"/>
    </row>
    <row r="1924" ht="15.75" customHeight="1">
      <c r="A1924" s="653"/>
      <c r="B1924" s="654"/>
      <c r="C1924" s="691"/>
      <c r="D1924" s="656"/>
      <c r="E1924" s="657"/>
      <c r="F1924" s="658"/>
      <c r="G1924" s="659"/>
      <c r="H1924" s="660"/>
      <c r="I1924" s="659"/>
      <c r="J1924" s="661"/>
      <c r="K1924" s="692"/>
      <c r="L1924" s="645"/>
      <c r="M1924" s="663"/>
      <c r="N1924" s="665"/>
      <c r="O1924" s="665"/>
      <c r="P1924" s="666"/>
      <c r="Q1924" s="667"/>
      <c r="R1924" s="668"/>
      <c r="S1924" s="693"/>
      <c r="T1924" s="694"/>
      <c r="U1924" s="694"/>
      <c r="V1924" s="693"/>
      <c r="W1924" s="693"/>
      <c r="X1924" s="693"/>
      <c r="Y1924" s="671"/>
      <c r="Z1924" s="673"/>
      <c r="AA1924" s="672"/>
      <c r="AB1924" s="695"/>
      <c r="AC1924" s="673"/>
      <c r="AD1924" s="673"/>
      <c r="AE1924" s="673"/>
      <c r="AF1924" s="673"/>
      <c r="AG1924" s="673"/>
      <c r="AH1924" s="673"/>
      <c r="AI1924" s="673"/>
      <c r="AJ1924" s="673"/>
      <c r="AK1924" s="673"/>
      <c r="AL1924" s="673"/>
      <c r="AM1924" s="673"/>
      <c r="AN1924" s="673"/>
      <c r="AO1924" s="673"/>
      <c r="AP1924" s="673"/>
      <c r="AQ1924" s="673"/>
      <c r="AR1924" s="673"/>
      <c r="AS1924" s="673"/>
      <c r="AT1924" s="696"/>
    </row>
    <row r="1925" ht="15.75" customHeight="1">
      <c r="A1925" s="653"/>
      <c r="B1925" s="654"/>
      <c r="C1925" s="691"/>
      <c r="D1925" s="656"/>
      <c r="E1925" s="657"/>
      <c r="F1925" s="658"/>
      <c r="G1925" s="659"/>
      <c r="H1925" s="660"/>
      <c r="I1925" s="659"/>
      <c r="J1925" s="661"/>
      <c r="K1925" s="692"/>
      <c r="L1925" s="645"/>
      <c r="M1925" s="663"/>
      <c r="N1925" s="665"/>
      <c r="O1925" s="665"/>
      <c r="P1925" s="666"/>
      <c r="Q1925" s="667"/>
      <c r="R1925" s="668"/>
      <c r="S1925" s="693"/>
      <c r="T1925" s="694"/>
      <c r="U1925" s="694"/>
      <c r="V1925" s="693"/>
      <c r="W1925" s="693"/>
      <c r="X1925" s="693"/>
      <c r="Y1925" s="671"/>
      <c r="Z1925" s="673"/>
      <c r="AA1925" s="672"/>
      <c r="AB1925" s="695"/>
      <c r="AC1925" s="673"/>
      <c r="AD1925" s="673"/>
      <c r="AE1925" s="673"/>
      <c r="AF1925" s="673"/>
      <c r="AG1925" s="673"/>
      <c r="AH1925" s="673"/>
      <c r="AI1925" s="673"/>
      <c r="AJ1925" s="673"/>
      <c r="AK1925" s="673"/>
      <c r="AL1925" s="673"/>
      <c r="AM1925" s="673"/>
      <c r="AN1925" s="673"/>
      <c r="AO1925" s="673"/>
      <c r="AP1925" s="673"/>
      <c r="AQ1925" s="673"/>
      <c r="AR1925" s="673"/>
      <c r="AS1925" s="673"/>
      <c r="AT1925" s="696"/>
    </row>
    <row r="1926" ht="15.75" customHeight="1">
      <c r="A1926" s="653"/>
      <c r="B1926" s="654"/>
      <c r="C1926" s="691"/>
      <c r="D1926" s="656"/>
      <c r="E1926" s="657"/>
      <c r="F1926" s="658"/>
      <c r="G1926" s="659"/>
      <c r="H1926" s="660"/>
      <c r="I1926" s="659"/>
      <c r="J1926" s="661"/>
      <c r="K1926" s="692"/>
      <c r="L1926" s="645"/>
      <c r="M1926" s="663"/>
      <c r="N1926" s="665"/>
      <c r="O1926" s="665"/>
      <c r="P1926" s="666"/>
      <c r="Q1926" s="667"/>
      <c r="R1926" s="668"/>
      <c r="S1926" s="693"/>
      <c r="T1926" s="694"/>
      <c r="U1926" s="694"/>
      <c r="V1926" s="693"/>
      <c r="W1926" s="693"/>
      <c r="X1926" s="693"/>
      <c r="Y1926" s="671"/>
      <c r="Z1926" s="673"/>
      <c r="AA1926" s="672"/>
      <c r="AB1926" s="695"/>
      <c r="AC1926" s="673"/>
      <c r="AD1926" s="673"/>
      <c r="AE1926" s="673"/>
      <c r="AF1926" s="673"/>
      <c r="AG1926" s="673"/>
      <c r="AH1926" s="673"/>
      <c r="AI1926" s="673"/>
      <c r="AJ1926" s="673"/>
      <c r="AK1926" s="673"/>
      <c r="AL1926" s="673"/>
      <c r="AM1926" s="673"/>
      <c r="AN1926" s="673"/>
      <c r="AO1926" s="673"/>
      <c r="AP1926" s="673"/>
      <c r="AQ1926" s="673"/>
      <c r="AR1926" s="673"/>
      <c r="AS1926" s="673"/>
      <c r="AT1926" s="696"/>
    </row>
    <row r="1927" ht="15.75" customHeight="1">
      <c r="A1927" s="653"/>
      <c r="B1927" s="654"/>
      <c r="C1927" s="691"/>
      <c r="D1927" s="656"/>
      <c r="E1927" s="657"/>
      <c r="F1927" s="658"/>
      <c r="G1927" s="659"/>
      <c r="H1927" s="660"/>
      <c r="I1927" s="659"/>
      <c r="J1927" s="661"/>
      <c r="K1927" s="692"/>
      <c r="L1927" s="645"/>
      <c r="M1927" s="663"/>
      <c r="N1927" s="665"/>
      <c r="O1927" s="665"/>
      <c r="P1927" s="666"/>
      <c r="Q1927" s="667"/>
      <c r="R1927" s="668"/>
      <c r="S1927" s="693"/>
      <c r="T1927" s="694"/>
      <c r="U1927" s="694"/>
      <c r="V1927" s="693"/>
      <c r="W1927" s="693"/>
      <c r="X1927" s="693"/>
      <c r="Y1927" s="671"/>
      <c r="Z1927" s="673"/>
      <c r="AA1927" s="672"/>
      <c r="AB1927" s="695"/>
      <c r="AC1927" s="673"/>
      <c r="AD1927" s="673"/>
      <c r="AE1927" s="673"/>
      <c r="AF1927" s="673"/>
      <c r="AG1927" s="673"/>
      <c r="AH1927" s="673"/>
      <c r="AI1927" s="673"/>
      <c r="AJ1927" s="673"/>
      <c r="AK1927" s="673"/>
      <c r="AL1927" s="673"/>
      <c r="AM1927" s="673"/>
      <c r="AN1927" s="673"/>
      <c r="AO1927" s="673"/>
      <c r="AP1927" s="673"/>
      <c r="AQ1927" s="673"/>
      <c r="AR1927" s="673"/>
      <c r="AS1927" s="673"/>
      <c r="AT1927" s="696"/>
    </row>
    <row r="1928" ht="15.75" customHeight="1">
      <c r="A1928" s="653"/>
      <c r="B1928" s="654"/>
      <c r="C1928" s="691"/>
      <c r="D1928" s="656"/>
      <c r="E1928" s="657"/>
      <c r="F1928" s="658"/>
      <c r="G1928" s="659"/>
      <c r="H1928" s="660"/>
      <c r="I1928" s="659"/>
      <c r="J1928" s="661"/>
      <c r="K1928" s="692"/>
      <c r="L1928" s="645"/>
      <c r="M1928" s="663"/>
      <c r="N1928" s="665"/>
      <c r="O1928" s="665"/>
      <c r="P1928" s="666"/>
      <c r="Q1928" s="667"/>
      <c r="R1928" s="668"/>
      <c r="S1928" s="693"/>
      <c r="T1928" s="694"/>
      <c r="U1928" s="694"/>
      <c r="V1928" s="693"/>
      <c r="W1928" s="693"/>
      <c r="X1928" s="693"/>
      <c r="Y1928" s="671"/>
      <c r="Z1928" s="673"/>
      <c r="AA1928" s="672"/>
      <c r="AB1928" s="695"/>
      <c r="AC1928" s="673"/>
      <c r="AD1928" s="673"/>
      <c r="AE1928" s="673"/>
      <c r="AF1928" s="673"/>
      <c r="AG1928" s="673"/>
      <c r="AH1928" s="673"/>
      <c r="AI1928" s="673"/>
      <c r="AJ1928" s="673"/>
      <c r="AK1928" s="673"/>
      <c r="AL1928" s="673"/>
      <c r="AM1928" s="673"/>
      <c r="AN1928" s="673"/>
      <c r="AO1928" s="673"/>
      <c r="AP1928" s="673"/>
      <c r="AQ1928" s="673"/>
      <c r="AR1928" s="673"/>
      <c r="AS1928" s="673"/>
      <c r="AT1928" s="696"/>
    </row>
    <row r="1929" ht="15.75" customHeight="1">
      <c r="A1929" s="653"/>
      <c r="B1929" s="654"/>
      <c r="C1929" s="691"/>
      <c r="D1929" s="656"/>
      <c r="E1929" s="657"/>
      <c r="F1929" s="658"/>
      <c r="G1929" s="659"/>
      <c r="H1929" s="660"/>
      <c r="I1929" s="659"/>
      <c r="J1929" s="661"/>
      <c r="K1929" s="692"/>
      <c r="L1929" s="645"/>
      <c r="M1929" s="663"/>
      <c r="N1929" s="665"/>
      <c r="O1929" s="665"/>
      <c r="P1929" s="666"/>
      <c r="Q1929" s="667"/>
      <c r="R1929" s="668"/>
      <c r="S1929" s="693"/>
      <c r="T1929" s="694"/>
      <c r="U1929" s="694"/>
      <c r="V1929" s="693"/>
      <c r="W1929" s="693"/>
      <c r="X1929" s="693"/>
      <c r="Y1929" s="671"/>
      <c r="Z1929" s="673"/>
      <c r="AA1929" s="672"/>
      <c r="AB1929" s="695"/>
      <c r="AC1929" s="673"/>
      <c r="AD1929" s="673"/>
      <c r="AE1929" s="673"/>
      <c r="AF1929" s="673"/>
      <c r="AG1929" s="673"/>
      <c r="AH1929" s="673"/>
      <c r="AI1929" s="673"/>
      <c r="AJ1929" s="673"/>
      <c r="AK1929" s="673"/>
      <c r="AL1929" s="673"/>
      <c r="AM1929" s="673"/>
      <c r="AN1929" s="673"/>
      <c r="AO1929" s="673"/>
      <c r="AP1929" s="673"/>
      <c r="AQ1929" s="673"/>
      <c r="AR1929" s="673"/>
      <c r="AS1929" s="673"/>
      <c r="AT1929" s="696"/>
    </row>
    <row r="1930" ht="15.75" customHeight="1">
      <c r="A1930" s="653"/>
      <c r="B1930" s="654"/>
      <c r="C1930" s="691"/>
      <c r="D1930" s="656"/>
      <c r="E1930" s="657"/>
      <c r="F1930" s="658"/>
      <c r="G1930" s="659"/>
      <c r="H1930" s="660"/>
      <c r="I1930" s="659"/>
      <c r="J1930" s="661"/>
      <c r="K1930" s="692"/>
      <c r="L1930" s="645"/>
      <c r="M1930" s="663"/>
      <c r="N1930" s="665"/>
      <c r="O1930" s="665"/>
      <c r="P1930" s="666"/>
      <c r="Q1930" s="667"/>
      <c r="R1930" s="668"/>
      <c r="S1930" s="693"/>
      <c r="T1930" s="694"/>
      <c r="U1930" s="694"/>
      <c r="V1930" s="693"/>
      <c r="W1930" s="693"/>
      <c r="X1930" s="693"/>
      <c r="Y1930" s="671"/>
      <c r="Z1930" s="673"/>
      <c r="AA1930" s="672"/>
      <c r="AB1930" s="695"/>
      <c r="AC1930" s="673"/>
      <c r="AD1930" s="673"/>
      <c r="AE1930" s="673"/>
      <c r="AF1930" s="673"/>
      <c r="AG1930" s="673"/>
      <c r="AH1930" s="673"/>
      <c r="AI1930" s="673"/>
      <c r="AJ1930" s="673"/>
      <c r="AK1930" s="673"/>
      <c r="AL1930" s="673"/>
      <c r="AM1930" s="673"/>
      <c r="AN1930" s="673"/>
      <c r="AO1930" s="673"/>
      <c r="AP1930" s="673"/>
      <c r="AQ1930" s="673"/>
      <c r="AR1930" s="673"/>
      <c r="AS1930" s="673"/>
      <c r="AT1930" s="696"/>
    </row>
    <row r="1931" ht="15.75" customHeight="1">
      <c r="A1931" s="653"/>
      <c r="B1931" s="654"/>
      <c r="C1931" s="691"/>
      <c r="D1931" s="656"/>
      <c r="E1931" s="657"/>
      <c r="F1931" s="658"/>
      <c r="G1931" s="659"/>
      <c r="H1931" s="660"/>
      <c r="I1931" s="659"/>
      <c r="J1931" s="661"/>
      <c r="K1931" s="692"/>
      <c r="L1931" s="645"/>
      <c r="M1931" s="663"/>
      <c r="N1931" s="665"/>
      <c r="O1931" s="665"/>
      <c r="P1931" s="666"/>
      <c r="Q1931" s="667"/>
      <c r="R1931" s="668"/>
      <c r="S1931" s="693"/>
      <c r="T1931" s="694"/>
      <c r="U1931" s="694"/>
      <c r="V1931" s="693"/>
      <c r="W1931" s="693"/>
      <c r="X1931" s="693"/>
      <c r="Y1931" s="671"/>
      <c r="Z1931" s="673"/>
      <c r="AA1931" s="672"/>
      <c r="AB1931" s="695"/>
      <c r="AC1931" s="673"/>
      <c r="AD1931" s="673"/>
      <c r="AE1931" s="673"/>
      <c r="AF1931" s="673"/>
      <c r="AG1931" s="673"/>
      <c r="AH1931" s="673"/>
      <c r="AI1931" s="673"/>
      <c r="AJ1931" s="673"/>
      <c r="AK1931" s="673"/>
      <c r="AL1931" s="673"/>
      <c r="AM1931" s="673"/>
      <c r="AN1931" s="673"/>
      <c r="AO1931" s="673"/>
      <c r="AP1931" s="673"/>
      <c r="AQ1931" s="673"/>
      <c r="AR1931" s="673"/>
      <c r="AS1931" s="673"/>
      <c r="AT1931" s="696"/>
    </row>
    <row r="1932" ht="15.75" customHeight="1">
      <c r="A1932" s="653"/>
      <c r="B1932" s="654"/>
      <c r="C1932" s="691"/>
      <c r="D1932" s="656"/>
      <c r="E1932" s="657"/>
      <c r="F1932" s="658"/>
      <c r="G1932" s="659"/>
      <c r="H1932" s="660"/>
      <c r="I1932" s="659"/>
      <c r="J1932" s="661"/>
      <c r="K1932" s="692"/>
      <c r="L1932" s="645"/>
      <c r="M1932" s="663"/>
      <c r="N1932" s="665"/>
      <c r="O1932" s="665"/>
      <c r="P1932" s="666"/>
      <c r="Q1932" s="667"/>
      <c r="R1932" s="668"/>
      <c r="S1932" s="693"/>
      <c r="T1932" s="694"/>
      <c r="U1932" s="694"/>
      <c r="V1932" s="693"/>
      <c r="W1932" s="693"/>
      <c r="X1932" s="693"/>
      <c r="Y1932" s="671"/>
      <c r="Z1932" s="673"/>
      <c r="AA1932" s="672"/>
      <c r="AB1932" s="695"/>
      <c r="AC1932" s="673"/>
      <c r="AD1932" s="673"/>
      <c r="AE1932" s="673"/>
      <c r="AF1932" s="673"/>
      <c r="AG1932" s="673"/>
      <c r="AH1932" s="673"/>
      <c r="AI1932" s="673"/>
      <c r="AJ1932" s="673"/>
      <c r="AK1932" s="673"/>
      <c r="AL1932" s="673"/>
      <c r="AM1932" s="673"/>
      <c r="AN1932" s="673"/>
      <c r="AO1932" s="673"/>
      <c r="AP1932" s="673"/>
      <c r="AQ1932" s="673"/>
      <c r="AR1932" s="673"/>
      <c r="AS1932" s="673"/>
      <c r="AT1932" s="696"/>
    </row>
    <row r="1933" ht="15.75" customHeight="1">
      <c r="A1933" s="653"/>
      <c r="B1933" s="654"/>
      <c r="C1933" s="691"/>
      <c r="D1933" s="656"/>
      <c r="E1933" s="657"/>
      <c r="F1933" s="658"/>
      <c r="G1933" s="659"/>
      <c r="H1933" s="660"/>
      <c r="I1933" s="659"/>
      <c r="J1933" s="661"/>
      <c r="K1933" s="692"/>
      <c r="L1933" s="645"/>
      <c r="M1933" s="663"/>
      <c r="N1933" s="665"/>
      <c r="O1933" s="665"/>
      <c r="P1933" s="666"/>
      <c r="Q1933" s="667"/>
      <c r="R1933" s="668"/>
      <c r="S1933" s="693"/>
      <c r="T1933" s="694"/>
      <c r="U1933" s="694"/>
      <c r="V1933" s="693"/>
      <c r="W1933" s="693"/>
      <c r="X1933" s="693"/>
      <c r="Y1933" s="671"/>
      <c r="Z1933" s="673"/>
      <c r="AA1933" s="672"/>
      <c r="AB1933" s="695"/>
      <c r="AC1933" s="673"/>
      <c r="AD1933" s="673"/>
      <c r="AE1933" s="673"/>
      <c r="AF1933" s="673"/>
      <c r="AG1933" s="673"/>
      <c r="AH1933" s="673"/>
      <c r="AI1933" s="673"/>
      <c r="AJ1933" s="673"/>
      <c r="AK1933" s="673"/>
      <c r="AL1933" s="673"/>
      <c r="AM1933" s="673"/>
      <c r="AN1933" s="673"/>
      <c r="AO1933" s="673"/>
      <c r="AP1933" s="673"/>
      <c r="AQ1933" s="673"/>
      <c r="AR1933" s="673"/>
      <c r="AS1933" s="673"/>
      <c r="AT1933" s="696"/>
    </row>
    <row r="1934" ht="15.75" customHeight="1">
      <c r="A1934" s="653"/>
      <c r="B1934" s="654"/>
      <c r="C1934" s="691"/>
      <c r="D1934" s="656"/>
      <c r="E1934" s="657"/>
      <c r="F1934" s="658"/>
      <c r="G1934" s="659"/>
      <c r="H1934" s="660"/>
      <c r="I1934" s="659"/>
      <c r="J1934" s="661"/>
      <c r="K1934" s="692"/>
      <c r="L1934" s="645"/>
      <c r="M1934" s="663"/>
      <c r="N1934" s="665"/>
      <c r="O1934" s="665"/>
      <c r="P1934" s="666"/>
      <c r="Q1934" s="667"/>
      <c r="R1934" s="668"/>
      <c r="S1934" s="693"/>
      <c r="T1934" s="694"/>
      <c r="U1934" s="694"/>
      <c r="V1934" s="693"/>
      <c r="W1934" s="693"/>
      <c r="X1934" s="693"/>
      <c r="Y1934" s="671"/>
      <c r="Z1934" s="673"/>
      <c r="AA1934" s="672"/>
      <c r="AB1934" s="695"/>
      <c r="AC1934" s="673"/>
      <c r="AD1934" s="673"/>
      <c r="AE1934" s="673"/>
      <c r="AF1934" s="673"/>
      <c r="AG1934" s="673"/>
      <c r="AH1934" s="673"/>
      <c r="AI1934" s="673"/>
      <c r="AJ1934" s="673"/>
      <c r="AK1934" s="673"/>
      <c r="AL1934" s="673"/>
      <c r="AM1934" s="673"/>
      <c r="AN1934" s="673"/>
      <c r="AO1934" s="673"/>
      <c r="AP1934" s="673"/>
      <c r="AQ1934" s="673"/>
      <c r="AR1934" s="673"/>
      <c r="AS1934" s="673"/>
      <c r="AT1934" s="696"/>
    </row>
    <row r="1935" ht="15.75" customHeight="1">
      <c r="A1935" s="653"/>
      <c r="B1935" s="654"/>
      <c r="C1935" s="691"/>
      <c r="D1935" s="656"/>
      <c r="E1935" s="657"/>
      <c r="F1935" s="658"/>
      <c r="G1935" s="659"/>
      <c r="H1935" s="660"/>
      <c r="I1935" s="659"/>
      <c r="J1935" s="661"/>
      <c r="K1935" s="692"/>
      <c r="L1935" s="645"/>
      <c r="M1935" s="663"/>
      <c r="N1935" s="665"/>
      <c r="O1935" s="665"/>
      <c r="P1935" s="666"/>
      <c r="Q1935" s="667"/>
      <c r="R1935" s="668"/>
      <c r="S1935" s="693"/>
      <c r="T1935" s="694"/>
      <c r="U1935" s="694"/>
      <c r="V1935" s="693"/>
      <c r="W1935" s="693"/>
      <c r="X1935" s="693"/>
      <c r="Y1935" s="671"/>
      <c r="Z1935" s="673"/>
      <c r="AA1935" s="672"/>
      <c r="AB1935" s="695"/>
      <c r="AC1935" s="673"/>
      <c r="AD1935" s="673"/>
      <c r="AE1935" s="673"/>
      <c r="AF1935" s="673"/>
      <c r="AG1935" s="673"/>
      <c r="AH1935" s="673"/>
      <c r="AI1935" s="673"/>
      <c r="AJ1935" s="673"/>
      <c r="AK1935" s="673"/>
      <c r="AL1935" s="673"/>
      <c r="AM1935" s="673"/>
      <c r="AN1935" s="673"/>
      <c r="AO1935" s="673"/>
      <c r="AP1935" s="673"/>
      <c r="AQ1935" s="673"/>
      <c r="AR1935" s="673"/>
      <c r="AS1935" s="673"/>
      <c r="AT1935" s="696"/>
    </row>
    <row r="1936" ht="15.75" customHeight="1">
      <c r="A1936" s="653"/>
      <c r="B1936" s="654"/>
      <c r="C1936" s="691"/>
      <c r="D1936" s="656"/>
      <c r="E1936" s="657"/>
      <c r="F1936" s="658"/>
      <c r="G1936" s="659"/>
      <c r="H1936" s="660"/>
      <c r="I1936" s="659"/>
      <c r="J1936" s="661"/>
      <c r="K1936" s="692"/>
      <c r="L1936" s="645"/>
      <c r="M1936" s="663"/>
      <c r="N1936" s="665"/>
      <c r="O1936" s="665"/>
      <c r="P1936" s="666"/>
      <c r="Q1936" s="667"/>
      <c r="R1936" s="668"/>
      <c r="S1936" s="693"/>
      <c r="T1936" s="694"/>
      <c r="U1936" s="694"/>
      <c r="V1936" s="693"/>
      <c r="W1936" s="693"/>
      <c r="X1936" s="693"/>
      <c r="Y1936" s="671"/>
      <c r="Z1936" s="673"/>
      <c r="AA1936" s="672"/>
      <c r="AB1936" s="695"/>
      <c r="AC1936" s="673"/>
      <c r="AD1936" s="673"/>
      <c r="AE1936" s="673"/>
      <c r="AF1936" s="673"/>
      <c r="AG1936" s="673"/>
      <c r="AH1936" s="673"/>
      <c r="AI1936" s="673"/>
      <c r="AJ1936" s="673"/>
      <c r="AK1936" s="673"/>
      <c r="AL1936" s="673"/>
      <c r="AM1936" s="673"/>
      <c r="AN1936" s="673"/>
      <c r="AO1936" s="673"/>
      <c r="AP1936" s="673"/>
      <c r="AQ1936" s="673"/>
      <c r="AR1936" s="673"/>
      <c r="AS1936" s="673"/>
      <c r="AT1936" s="696"/>
    </row>
    <row r="1937" ht="15.75" customHeight="1">
      <c r="A1937" s="653"/>
      <c r="B1937" s="654"/>
      <c r="C1937" s="691"/>
      <c r="D1937" s="656"/>
      <c r="E1937" s="657"/>
      <c r="F1937" s="658"/>
      <c r="G1937" s="659"/>
      <c r="H1937" s="660"/>
      <c r="I1937" s="659"/>
      <c r="J1937" s="661"/>
      <c r="K1937" s="692"/>
      <c r="L1937" s="645"/>
      <c r="M1937" s="663"/>
      <c r="N1937" s="665"/>
      <c r="O1937" s="665"/>
      <c r="P1937" s="666"/>
      <c r="Q1937" s="667"/>
      <c r="R1937" s="668"/>
      <c r="S1937" s="693"/>
      <c r="T1937" s="694"/>
      <c r="U1937" s="694"/>
      <c r="V1937" s="693"/>
      <c r="W1937" s="693"/>
      <c r="X1937" s="693"/>
      <c r="Y1937" s="671"/>
      <c r="Z1937" s="673"/>
      <c r="AA1937" s="672"/>
      <c r="AB1937" s="695"/>
      <c r="AC1937" s="673"/>
      <c r="AD1937" s="673"/>
      <c r="AE1937" s="673"/>
      <c r="AF1937" s="673"/>
      <c r="AG1937" s="673"/>
      <c r="AH1937" s="673"/>
      <c r="AI1937" s="673"/>
      <c r="AJ1937" s="673"/>
      <c r="AK1937" s="673"/>
      <c r="AL1937" s="673"/>
      <c r="AM1937" s="673"/>
      <c r="AN1937" s="673"/>
      <c r="AO1937" s="673"/>
      <c r="AP1937" s="673"/>
      <c r="AQ1937" s="673"/>
      <c r="AR1937" s="673"/>
      <c r="AS1937" s="673"/>
      <c r="AT1937" s="696"/>
    </row>
    <row r="1938" ht="15.75" customHeight="1">
      <c r="A1938" s="653"/>
      <c r="B1938" s="654"/>
      <c r="C1938" s="691"/>
      <c r="D1938" s="656"/>
      <c r="E1938" s="657"/>
      <c r="F1938" s="658"/>
      <c r="G1938" s="659"/>
      <c r="H1938" s="660"/>
      <c r="I1938" s="659"/>
      <c r="J1938" s="661"/>
      <c r="K1938" s="692"/>
      <c r="L1938" s="645"/>
      <c r="M1938" s="663"/>
      <c r="N1938" s="665"/>
      <c r="O1938" s="665"/>
      <c r="P1938" s="666"/>
      <c r="Q1938" s="667"/>
      <c r="R1938" s="668"/>
      <c r="S1938" s="693"/>
      <c r="T1938" s="694"/>
      <c r="U1938" s="694"/>
      <c r="V1938" s="693"/>
      <c r="W1938" s="693"/>
      <c r="X1938" s="693"/>
      <c r="Y1938" s="671"/>
      <c r="Z1938" s="673"/>
      <c r="AA1938" s="672"/>
      <c r="AB1938" s="695"/>
      <c r="AC1938" s="673"/>
      <c r="AD1938" s="673"/>
      <c r="AE1938" s="673"/>
      <c r="AF1938" s="673"/>
      <c r="AG1938" s="673"/>
      <c r="AH1938" s="673"/>
      <c r="AI1938" s="673"/>
      <c r="AJ1938" s="673"/>
      <c r="AK1938" s="673"/>
      <c r="AL1938" s="673"/>
      <c r="AM1938" s="673"/>
      <c r="AN1938" s="673"/>
      <c r="AO1938" s="673"/>
      <c r="AP1938" s="673"/>
      <c r="AQ1938" s="673"/>
      <c r="AR1938" s="673"/>
      <c r="AS1938" s="673"/>
      <c r="AT1938" s="696"/>
    </row>
    <row r="1939" ht="15.75" customHeight="1">
      <c r="A1939" s="653"/>
      <c r="B1939" s="654"/>
      <c r="C1939" s="691"/>
      <c r="D1939" s="656"/>
      <c r="E1939" s="657"/>
      <c r="F1939" s="658"/>
      <c r="G1939" s="659"/>
      <c r="H1939" s="660"/>
      <c r="I1939" s="659"/>
      <c r="J1939" s="661"/>
      <c r="K1939" s="692"/>
      <c r="L1939" s="645"/>
      <c r="M1939" s="663"/>
      <c r="N1939" s="665"/>
      <c r="O1939" s="665"/>
      <c r="P1939" s="666"/>
      <c r="Q1939" s="667"/>
      <c r="R1939" s="668"/>
      <c r="S1939" s="693"/>
      <c r="T1939" s="694"/>
      <c r="U1939" s="694"/>
      <c r="V1939" s="693"/>
      <c r="W1939" s="693"/>
      <c r="X1939" s="693"/>
      <c r="Y1939" s="671"/>
      <c r="Z1939" s="673"/>
      <c r="AA1939" s="672"/>
      <c r="AB1939" s="695"/>
      <c r="AC1939" s="673"/>
      <c r="AD1939" s="673"/>
      <c r="AE1939" s="673"/>
      <c r="AF1939" s="673"/>
      <c r="AG1939" s="673"/>
      <c r="AH1939" s="673"/>
      <c r="AI1939" s="673"/>
      <c r="AJ1939" s="673"/>
      <c r="AK1939" s="673"/>
      <c r="AL1939" s="673"/>
      <c r="AM1939" s="673"/>
      <c r="AN1939" s="673"/>
      <c r="AO1939" s="673"/>
      <c r="AP1939" s="673"/>
      <c r="AQ1939" s="673"/>
      <c r="AR1939" s="673"/>
      <c r="AS1939" s="673"/>
      <c r="AT1939" s="696"/>
    </row>
    <row r="1940" ht="15.75" customHeight="1">
      <c r="A1940" s="653"/>
      <c r="B1940" s="654"/>
      <c r="C1940" s="691"/>
      <c r="D1940" s="656"/>
      <c r="E1940" s="657"/>
      <c r="F1940" s="658"/>
      <c r="G1940" s="659"/>
      <c r="H1940" s="660"/>
      <c r="I1940" s="659"/>
      <c r="J1940" s="661"/>
      <c r="K1940" s="692"/>
      <c r="L1940" s="645"/>
      <c r="M1940" s="663"/>
      <c r="N1940" s="665"/>
      <c r="O1940" s="665"/>
      <c r="P1940" s="666"/>
      <c r="Q1940" s="667"/>
      <c r="R1940" s="668"/>
      <c r="S1940" s="693"/>
      <c r="T1940" s="694"/>
      <c r="U1940" s="694"/>
      <c r="V1940" s="693"/>
      <c r="W1940" s="693"/>
      <c r="X1940" s="693"/>
      <c r="Y1940" s="671"/>
      <c r="Z1940" s="673"/>
      <c r="AA1940" s="672"/>
      <c r="AB1940" s="695"/>
      <c r="AC1940" s="673"/>
      <c r="AD1940" s="673"/>
      <c r="AE1940" s="673"/>
      <c r="AF1940" s="673"/>
      <c r="AG1940" s="673"/>
      <c r="AH1940" s="673"/>
      <c r="AI1940" s="673"/>
      <c r="AJ1940" s="673"/>
      <c r="AK1940" s="673"/>
      <c r="AL1940" s="673"/>
      <c r="AM1940" s="673"/>
      <c r="AN1940" s="673"/>
      <c r="AO1940" s="673"/>
      <c r="AP1940" s="673"/>
      <c r="AQ1940" s="673"/>
      <c r="AR1940" s="673"/>
      <c r="AS1940" s="673"/>
      <c r="AT1940" s="696"/>
    </row>
    <row r="1941" ht="15.75" customHeight="1">
      <c r="A1941" s="653"/>
      <c r="B1941" s="654"/>
      <c r="C1941" s="691"/>
      <c r="D1941" s="656"/>
      <c r="E1941" s="657"/>
      <c r="F1941" s="658"/>
      <c r="G1941" s="659"/>
      <c r="H1941" s="660"/>
      <c r="I1941" s="659"/>
      <c r="J1941" s="661"/>
      <c r="K1941" s="692"/>
      <c r="L1941" s="645"/>
      <c r="M1941" s="663"/>
      <c r="N1941" s="665"/>
      <c r="O1941" s="665"/>
      <c r="P1941" s="666"/>
      <c r="Q1941" s="667"/>
      <c r="R1941" s="668"/>
      <c r="S1941" s="693"/>
      <c r="T1941" s="694"/>
      <c r="U1941" s="694"/>
      <c r="V1941" s="693"/>
      <c r="W1941" s="693"/>
      <c r="X1941" s="693"/>
      <c r="Y1941" s="671"/>
      <c r="Z1941" s="673"/>
      <c r="AA1941" s="672"/>
      <c r="AB1941" s="695"/>
      <c r="AC1941" s="673"/>
      <c r="AD1941" s="673"/>
      <c r="AE1941" s="673"/>
      <c r="AF1941" s="673"/>
      <c r="AG1941" s="673"/>
      <c r="AH1941" s="673"/>
      <c r="AI1941" s="673"/>
      <c r="AJ1941" s="673"/>
      <c r="AK1941" s="673"/>
      <c r="AL1941" s="673"/>
      <c r="AM1941" s="673"/>
      <c r="AN1941" s="673"/>
      <c r="AO1941" s="673"/>
      <c r="AP1941" s="673"/>
      <c r="AQ1941" s="673"/>
      <c r="AR1941" s="673"/>
      <c r="AS1941" s="673"/>
      <c r="AT1941" s="696"/>
    </row>
    <row r="1942" ht="15.75" customHeight="1">
      <c r="A1942" s="653"/>
      <c r="B1942" s="654"/>
      <c r="C1942" s="691"/>
      <c r="D1942" s="656"/>
      <c r="E1942" s="657"/>
      <c r="F1942" s="658"/>
      <c r="G1942" s="659"/>
      <c r="H1942" s="660"/>
      <c r="I1942" s="659"/>
      <c r="J1942" s="661"/>
      <c r="K1942" s="692"/>
      <c r="L1942" s="645"/>
      <c r="M1942" s="663"/>
      <c r="N1942" s="665"/>
      <c r="O1942" s="665"/>
      <c r="P1942" s="666"/>
      <c r="Q1942" s="667"/>
      <c r="R1942" s="668"/>
      <c r="S1942" s="693"/>
      <c r="T1942" s="694"/>
      <c r="U1942" s="694"/>
      <c r="V1942" s="693"/>
      <c r="W1942" s="693"/>
      <c r="X1942" s="693"/>
      <c r="Y1942" s="671"/>
      <c r="Z1942" s="673"/>
      <c r="AA1942" s="672"/>
      <c r="AB1942" s="695"/>
      <c r="AC1942" s="673"/>
      <c r="AD1942" s="673"/>
      <c r="AE1942" s="673"/>
      <c r="AF1942" s="673"/>
      <c r="AG1942" s="673"/>
      <c r="AH1942" s="673"/>
      <c r="AI1942" s="673"/>
      <c r="AJ1942" s="673"/>
      <c r="AK1942" s="673"/>
      <c r="AL1942" s="673"/>
      <c r="AM1942" s="673"/>
      <c r="AN1942" s="673"/>
      <c r="AO1942" s="673"/>
      <c r="AP1942" s="673"/>
      <c r="AQ1942" s="673"/>
      <c r="AR1942" s="673"/>
      <c r="AS1942" s="673"/>
      <c r="AT1942" s="696"/>
    </row>
    <row r="1943" ht="15.75" customHeight="1">
      <c r="A1943" s="653"/>
      <c r="B1943" s="654"/>
      <c r="C1943" s="691"/>
      <c r="D1943" s="656"/>
      <c r="E1943" s="657"/>
      <c r="F1943" s="658"/>
      <c r="G1943" s="659"/>
      <c r="H1943" s="660"/>
      <c r="I1943" s="659"/>
      <c r="J1943" s="661"/>
      <c r="K1943" s="692"/>
      <c r="L1943" s="645"/>
      <c r="M1943" s="663"/>
      <c r="N1943" s="665"/>
      <c r="O1943" s="665"/>
      <c r="P1943" s="666"/>
      <c r="Q1943" s="667"/>
      <c r="R1943" s="668"/>
      <c r="S1943" s="693"/>
      <c r="T1943" s="694"/>
      <c r="U1943" s="694"/>
      <c r="V1943" s="693"/>
      <c r="W1943" s="693"/>
      <c r="X1943" s="693"/>
      <c r="Y1943" s="671"/>
      <c r="Z1943" s="673"/>
      <c r="AA1943" s="672"/>
      <c r="AB1943" s="695"/>
      <c r="AC1943" s="673"/>
      <c r="AD1943" s="673"/>
      <c r="AE1943" s="673"/>
      <c r="AF1943" s="673"/>
      <c r="AG1943" s="673"/>
      <c r="AH1943" s="673"/>
      <c r="AI1943" s="673"/>
      <c r="AJ1943" s="673"/>
      <c r="AK1943" s="673"/>
      <c r="AL1943" s="673"/>
      <c r="AM1943" s="673"/>
      <c r="AN1943" s="673"/>
      <c r="AO1943" s="673"/>
      <c r="AP1943" s="673"/>
      <c r="AQ1943" s="673"/>
      <c r="AR1943" s="673"/>
      <c r="AS1943" s="673"/>
      <c r="AT1943" s="696"/>
    </row>
    <row r="1944" ht="15.75" customHeight="1">
      <c r="A1944" s="653"/>
      <c r="B1944" s="654"/>
      <c r="C1944" s="691"/>
      <c r="D1944" s="656"/>
      <c r="E1944" s="657"/>
      <c r="F1944" s="658"/>
      <c r="G1944" s="659"/>
      <c r="H1944" s="660"/>
      <c r="I1944" s="659"/>
      <c r="J1944" s="661"/>
      <c r="K1944" s="692"/>
      <c r="L1944" s="645"/>
      <c r="M1944" s="663"/>
      <c r="N1944" s="665"/>
      <c r="O1944" s="665"/>
      <c r="P1944" s="666"/>
      <c r="Q1944" s="667"/>
      <c r="R1944" s="668"/>
      <c r="S1944" s="693"/>
      <c r="T1944" s="694"/>
      <c r="U1944" s="694"/>
      <c r="V1944" s="693"/>
      <c r="W1944" s="693"/>
      <c r="X1944" s="693"/>
      <c r="Y1944" s="671"/>
      <c r="Z1944" s="673"/>
      <c r="AA1944" s="672"/>
      <c r="AB1944" s="695"/>
      <c r="AC1944" s="673"/>
      <c r="AD1944" s="673"/>
      <c r="AE1944" s="673"/>
      <c r="AF1944" s="673"/>
      <c r="AG1944" s="673"/>
      <c r="AH1944" s="673"/>
      <c r="AI1944" s="673"/>
      <c r="AJ1944" s="673"/>
      <c r="AK1944" s="673"/>
      <c r="AL1944" s="673"/>
      <c r="AM1944" s="673"/>
      <c r="AN1944" s="673"/>
      <c r="AO1944" s="673"/>
      <c r="AP1944" s="673"/>
      <c r="AQ1944" s="673"/>
      <c r="AR1944" s="673"/>
      <c r="AS1944" s="673"/>
      <c r="AT1944" s="696"/>
    </row>
    <row r="1945" ht="15.75" customHeight="1">
      <c r="A1945" s="653"/>
      <c r="B1945" s="654"/>
      <c r="C1945" s="691"/>
      <c r="D1945" s="656"/>
      <c r="E1945" s="657"/>
      <c r="F1945" s="658"/>
      <c r="G1945" s="659"/>
      <c r="H1945" s="660"/>
      <c r="I1945" s="659"/>
      <c r="J1945" s="661"/>
      <c r="K1945" s="692"/>
      <c r="L1945" s="645"/>
      <c r="M1945" s="663"/>
      <c r="N1945" s="665"/>
      <c r="O1945" s="665"/>
      <c r="P1945" s="666"/>
      <c r="Q1945" s="667"/>
      <c r="R1945" s="668"/>
      <c r="S1945" s="693"/>
      <c r="T1945" s="694"/>
      <c r="U1945" s="694"/>
      <c r="V1945" s="693"/>
      <c r="W1945" s="693"/>
      <c r="X1945" s="693"/>
      <c r="Y1945" s="671"/>
      <c r="Z1945" s="673"/>
      <c r="AA1945" s="672"/>
      <c r="AB1945" s="695"/>
      <c r="AC1945" s="673"/>
      <c r="AD1945" s="673"/>
      <c r="AE1945" s="673"/>
      <c r="AF1945" s="673"/>
      <c r="AG1945" s="673"/>
      <c r="AH1945" s="673"/>
      <c r="AI1945" s="673"/>
      <c r="AJ1945" s="673"/>
      <c r="AK1945" s="673"/>
      <c r="AL1945" s="673"/>
      <c r="AM1945" s="673"/>
      <c r="AN1945" s="673"/>
      <c r="AO1945" s="673"/>
      <c r="AP1945" s="673"/>
      <c r="AQ1945" s="673"/>
      <c r="AR1945" s="673"/>
      <c r="AS1945" s="673"/>
      <c r="AT1945" s="696"/>
    </row>
    <row r="1946" ht="15.75" customHeight="1">
      <c r="A1946" s="653"/>
      <c r="B1946" s="654"/>
      <c r="C1946" s="691"/>
      <c r="D1946" s="656"/>
      <c r="E1946" s="657"/>
      <c r="F1946" s="658"/>
      <c r="G1946" s="659"/>
      <c r="H1946" s="660"/>
      <c r="I1946" s="659"/>
      <c r="J1946" s="661"/>
      <c r="K1946" s="692"/>
      <c r="L1946" s="645"/>
      <c r="M1946" s="663"/>
      <c r="N1946" s="665"/>
      <c r="O1946" s="665"/>
      <c r="P1946" s="666"/>
      <c r="Q1946" s="667"/>
      <c r="R1946" s="668"/>
      <c r="S1946" s="693"/>
      <c r="T1946" s="694"/>
      <c r="U1946" s="694"/>
      <c r="V1946" s="693"/>
      <c r="W1946" s="693"/>
      <c r="X1946" s="693"/>
      <c r="Y1946" s="671"/>
      <c r="Z1946" s="673"/>
      <c r="AA1946" s="672"/>
      <c r="AB1946" s="695"/>
      <c r="AC1946" s="673"/>
      <c r="AD1946" s="673"/>
      <c r="AE1946" s="673"/>
      <c r="AF1946" s="673"/>
      <c r="AG1946" s="673"/>
      <c r="AH1946" s="673"/>
      <c r="AI1946" s="673"/>
      <c r="AJ1946" s="673"/>
      <c r="AK1946" s="673"/>
      <c r="AL1946" s="673"/>
      <c r="AM1946" s="673"/>
      <c r="AN1946" s="673"/>
      <c r="AO1946" s="673"/>
      <c r="AP1946" s="673"/>
      <c r="AQ1946" s="673"/>
      <c r="AR1946" s="673"/>
      <c r="AS1946" s="673"/>
      <c r="AT1946" s="696"/>
    </row>
    <row r="1947" ht="15.75" customHeight="1">
      <c r="A1947" s="653"/>
      <c r="B1947" s="654"/>
      <c r="C1947" s="691"/>
      <c r="D1947" s="656"/>
      <c r="E1947" s="657"/>
      <c r="F1947" s="658"/>
      <c r="G1947" s="659"/>
      <c r="H1947" s="660"/>
      <c r="I1947" s="659"/>
      <c r="J1947" s="661"/>
      <c r="K1947" s="692"/>
      <c r="L1947" s="645"/>
      <c r="M1947" s="663"/>
      <c r="N1947" s="665"/>
      <c r="O1947" s="665"/>
      <c r="P1947" s="666"/>
      <c r="Q1947" s="667"/>
      <c r="R1947" s="668"/>
      <c r="S1947" s="693"/>
      <c r="T1947" s="694"/>
      <c r="U1947" s="694"/>
      <c r="V1947" s="693"/>
      <c r="W1947" s="693"/>
      <c r="X1947" s="693"/>
      <c r="Y1947" s="671"/>
      <c r="Z1947" s="673"/>
      <c r="AA1947" s="672"/>
      <c r="AB1947" s="695"/>
      <c r="AC1947" s="673"/>
      <c r="AD1947" s="673"/>
      <c r="AE1947" s="673"/>
      <c r="AF1947" s="673"/>
      <c r="AG1947" s="673"/>
      <c r="AH1947" s="673"/>
      <c r="AI1947" s="673"/>
      <c r="AJ1947" s="673"/>
      <c r="AK1947" s="673"/>
      <c r="AL1947" s="673"/>
      <c r="AM1947" s="673"/>
      <c r="AN1947" s="673"/>
      <c r="AO1947" s="673"/>
      <c r="AP1947" s="673"/>
      <c r="AQ1947" s="673"/>
      <c r="AR1947" s="673"/>
      <c r="AS1947" s="673"/>
      <c r="AT1947" s="696"/>
    </row>
    <row r="1948" ht="15.75" customHeight="1">
      <c r="A1948" s="653"/>
      <c r="B1948" s="654"/>
      <c r="C1948" s="691"/>
      <c r="D1948" s="656"/>
      <c r="E1948" s="657"/>
      <c r="F1948" s="658"/>
      <c r="G1948" s="659"/>
      <c r="H1948" s="660"/>
      <c r="I1948" s="659"/>
      <c r="J1948" s="661"/>
      <c r="K1948" s="692"/>
      <c r="L1948" s="645"/>
      <c r="M1948" s="663"/>
      <c r="N1948" s="665"/>
      <c r="O1948" s="665"/>
      <c r="P1948" s="666"/>
      <c r="Q1948" s="667"/>
      <c r="R1948" s="668"/>
      <c r="S1948" s="693"/>
      <c r="T1948" s="694"/>
      <c r="U1948" s="694"/>
      <c r="V1948" s="693"/>
      <c r="W1948" s="693"/>
      <c r="X1948" s="693"/>
      <c r="Y1948" s="671"/>
      <c r="Z1948" s="673"/>
      <c r="AA1948" s="672"/>
      <c r="AB1948" s="695"/>
      <c r="AC1948" s="673"/>
      <c r="AD1948" s="673"/>
      <c r="AE1948" s="673"/>
      <c r="AF1948" s="673"/>
      <c r="AG1948" s="673"/>
      <c r="AH1948" s="673"/>
      <c r="AI1948" s="673"/>
      <c r="AJ1948" s="673"/>
      <c r="AK1948" s="673"/>
      <c r="AL1948" s="673"/>
      <c r="AM1948" s="673"/>
      <c r="AN1948" s="673"/>
      <c r="AO1948" s="673"/>
      <c r="AP1948" s="673"/>
      <c r="AQ1948" s="673"/>
      <c r="AR1948" s="673"/>
      <c r="AS1948" s="673"/>
      <c r="AT1948" s="696"/>
    </row>
    <row r="1949" ht="15.75" customHeight="1">
      <c r="A1949" s="653"/>
      <c r="B1949" s="654"/>
      <c r="C1949" s="691"/>
      <c r="D1949" s="656"/>
      <c r="E1949" s="657"/>
      <c r="F1949" s="658"/>
      <c r="G1949" s="659"/>
      <c r="H1949" s="660"/>
      <c r="I1949" s="659"/>
      <c r="J1949" s="661"/>
      <c r="K1949" s="692"/>
      <c r="L1949" s="645"/>
      <c r="M1949" s="663"/>
      <c r="N1949" s="665"/>
      <c r="O1949" s="665"/>
      <c r="P1949" s="666"/>
      <c r="Q1949" s="667"/>
      <c r="R1949" s="668"/>
      <c r="S1949" s="693"/>
      <c r="T1949" s="694"/>
      <c r="U1949" s="694"/>
      <c r="V1949" s="693"/>
      <c r="W1949" s="693"/>
      <c r="X1949" s="693"/>
      <c r="Y1949" s="671"/>
      <c r="Z1949" s="673"/>
      <c r="AA1949" s="672"/>
      <c r="AB1949" s="695"/>
      <c r="AC1949" s="673"/>
      <c r="AD1949" s="673"/>
      <c r="AE1949" s="673"/>
      <c r="AF1949" s="673"/>
      <c r="AG1949" s="673"/>
      <c r="AH1949" s="673"/>
      <c r="AI1949" s="673"/>
      <c r="AJ1949" s="673"/>
      <c r="AK1949" s="673"/>
      <c r="AL1949" s="673"/>
      <c r="AM1949" s="673"/>
      <c r="AN1949" s="673"/>
      <c r="AO1949" s="673"/>
      <c r="AP1949" s="673"/>
      <c r="AQ1949" s="673"/>
      <c r="AR1949" s="673"/>
      <c r="AS1949" s="673"/>
      <c r="AT1949" s="696"/>
    </row>
    <row r="1950" ht="15.75" customHeight="1">
      <c r="A1950" s="653"/>
      <c r="B1950" s="654"/>
      <c r="C1950" s="691"/>
      <c r="D1950" s="656"/>
      <c r="E1950" s="657"/>
      <c r="F1950" s="658"/>
      <c r="G1950" s="659"/>
      <c r="H1950" s="660"/>
      <c r="I1950" s="659"/>
      <c r="J1950" s="661"/>
      <c r="K1950" s="692"/>
      <c r="L1950" s="645"/>
      <c r="M1950" s="663"/>
      <c r="N1950" s="665"/>
      <c r="O1950" s="665"/>
      <c r="P1950" s="666"/>
      <c r="Q1950" s="667"/>
      <c r="R1950" s="668"/>
      <c r="S1950" s="693"/>
      <c r="T1950" s="694"/>
      <c r="U1950" s="694"/>
      <c r="V1950" s="693"/>
      <c r="W1950" s="693"/>
      <c r="X1950" s="693"/>
      <c r="Y1950" s="671"/>
      <c r="Z1950" s="673"/>
      <c r="AA1950" s="672"/>
      <c r="AB1950" s="695"/>
      <c r="AC1950" s="673"/>
      <c r="AD1950" s="673"/>
      <c r="AE1950" s="673"/>
      <c r="AF1950" s="673"/>
      <c r="AG1950" s="673"/>
      <c r="AH1950" s="673"/>
      <c r="AI1950" s="673"/>
      <c r="AJ1950" s="673"/>
      <c r="AK1950" s="673"/>
      <c r="AL1950" s="673"/>
      <c r="AM1950" s="673"/>
      <c r="AN1950" s="673"/>
      <c r="AO1950" s="673"/>
      <c r="AP1950" s="673"/>
      <c r="AQ1950" s="673"/>
      <c r="AR1950" s="673"/>
      <c r="AS1950" s="673"/>
      <c r="AT1950" s="696"/>
    </row>
    <row r="1951" ht="15.75" customHeight="1">
      <c r="A1951" s="653"/>
      <c r="B1951" s="654"/>
      <c r="C1951" s="691"/>
      <c r="D1951" s="656"/>
      <c r="E1951" s="657"/>
      <c r="F1951" s="658"/>
      <c r="G1951" s="659"/>
      <c r="H1951" s="660"/>
      <c r="I1951" s="659"/>
      <c r="J1951" s="661"/>
      <c r="K1951" s="692"/>
      <c r="L1951" s="645"/>
      <c r="M1951" s="663"/>
      <c r="N1951" s="665"/>
      <c r="O1951" s="665"/>
      <c r="P1951" s="666"/>
      <c r="Q1951" s="667"/>
      <c r="R1951" s="668"/>
      <c r="S1951" s="693"/>
      <c r="T1951" s="694"/>
      <c r="U1951" s="694"/>
      <c r="V1951" s="693"/>
      <c r="W1951" s="693"/>
      <c r="X1951" s="693"/>
      <c r="Y1951" s="671"/>
      <c r="Z1951" s="673"/>
      <c r="AA1951" s="672"/>
      <c r="AB1951" s="695"/>
      <c r="AC1951" s="673"/>
      <c r="AD1951" s="673"/>
      <c r="AE1951" s="673"/>
      <c r="AF1951" s="673"/>
      <c r="AG1951" s="673"/>
      <c r="AH1951" s="673"/>
      <c r="AI1951" s="673"/>
      <c r="AJ1951" s="673"/>
      <c r="AK1951" s="673"/>
      <c r="AL1951" s="673"/>
      <c r="AM1951" s="673"/>
      <c r="AN1951" s="673"/>
      <c r="AO1951" s="673"/>
      <c r="AP1951" s="673"/>
      <c r="AQ1951" s="673"/>
      <c r="AR1951" s="673"/>
      <c r="AS1951" s="673"/>
      <c r="AT1951" s="696"/>
    </row>
    <row r="1952" ht="15.75" customHeight="1">
      <c r="A1952" s="653"/>
      <c r="B1952" s="654"/>
      <c r="C1952" s="691"/>
      <c r="D1952" s="656"/>
      <c r="E1952" s="657"/>
      <c r="F1952" s="658"/>
      <c r="G1952" s="659"/>
      <c r="H1952" s="660"/>
      <c r="I1952" s="659"/>
      <c r="J1952" s="661"/>
      <c r="K1952" s="692"/>
      <c r="L1952" s="645"/>
      <c r="M1952" s="663"/>
      <c r="N1952" s="665"/>
      <c r="O1952" s="665"/>
      <c r="P1952" s="666"/>
      <c r="Q1952" s="667"/>
      <c r="R1952" s="668"/>
      <c r="S1952" s="693"/>
      <c r="T1952" s="694"/>
      <c r="U1952" s="694"/>
      <c r="V1952" s="693"/>
      <c r="W1952" s="693"/>
      <c r="X1952" s="693"/>
      <c r="Y1952" s="671"/>
      <c r="Z1952" s="673"/>
      <c r="AA1952" s="672"/>
      <c r="AB1952" s="695"/>
      <c r="AC1952" s="673"/>
      <c r="AD1952" s="673"/>
      <c r="AE1952" s="673"/>
      <c r="AF1952" s="673"/>
      <c r="AG1952" s="673"/>
      <c r="AH1952" s="673"/>
      <c r="AI1952" s="673"/>
      <c r="AJ1952" s="673"/>
      <c r="AK1952" s="673"/>
      <c r="AL1952" s="673"/>
      <c r="AM1952" s="673"/>
      <c r="AN1952" s="673"/>
      <c r="AO1952" s="673"/>
      <c r="AP1952" s="673"/>
      <c r="AQ1952" s="673"/>
      <c r="AR1952" s="673"/>
      <c r="AS1952" s="673"/>
      <c r="AT1952" s="696"/>
    </row>
    <row r="1953" ht="15.75" customHeight="1">
      <c r="A1953" s="653"/>
      <c r="B1953" s="654"/>
      <c r="C1953" s="691"/>
      <c r="D1953" s="656"/>
      <c r="E1953" s="657"/>
      <c r="F1953" s="658"/>
      <c r="G1953" s="659"/>
      <c r="H1953" s="660"/>
      <c r="I1953" s="659"/>
      <c r="J1953" s="661"/>
      <c r="K1953" s="692"/>
      <c r="L1953" s="645"/>
      <c r="M1953" s="663"/>
      <c r="N1953" s="665"/>
      <c r="O1953" s="665"/>
      <c r="P1953" s="666"/>
      <c r="Q1953" s="667"/>
      <c r="R1953" s="668"/>
      <c r="S1953" s="693"/>
      <c r="T1953" s="694"/>
      <c r="U1953" s="694"/>
      <c r="V1953" s="693"/>
      <c r="W1953" s="693"/>
      <c r="X1953" s="693"/>
      <c r="Y1953" s="671"/>
      <c r="Z1953" s="673"/>
      <c r="AA1953" s="672"/>
      <c r="AB1953" s="695"/>
      <c r="AC1953" s="673"/>
      <c r="AD1953" s="673"/>
      <c r="AE1953" s="673"/>
      <c r="AF1953" s="673"/>
      <c r="AG1953" s="673"/>
      <c r="AH1953" s="673"/>
      <c r="AI1953" s="673"/>
      <c r="AJ1953" s="673"/>
      <c r="AK1953" s="673"/>
      <c r="AL1953" s="673"/>
      <c r="AM1953" s="673"/>
      <c r="AN1953" s="673"/>
      <c r="AO1953" s="673"/>
      <c r="AP1953" s="673"/>
      <c r="AQ1953" s="673"/>
      <c r="AR1953" s="673"/>
      <c r="AS1953" s="673"/>
      <c r="AT1953" s="696"/>
    </row>
    <row r="1954" ht="15.75" customHeight="1">
      <c r="A1954" s="653"/>
      <c r="B1954" s="654"/>
      <c r="C1954" s="691"/>
      <c r="D1954" s="656"/>
      <c r="E1954" s="657"/>
      <c r="F1954" s="658"/>
      <c r="G1954" s="659"/>
      <c r="H1954" s="660"/>
      <c r="I1954" s="659"/>
      <c r="J1954" s="661"/>
      <c r="K1954" s="692"/>
      <c r="L1954" s="645"/>
      <c r="M1954" s="663"/>
      <c r="N1954" s="665"/>
      <c r="O1954" s="665"/>
      <c r="P1954" s="666"/>
      <c r="Q1954" s="667"/>
      <c r="R1954" s="668"/>
      <c r="S1954" s="693"/>
      <c r="T1954" s="694"/>
      <c r="U1954" s="694"/>
      <c r="V1954" s="693"/>
      <c r="W1954" s="693"/>
      <c r="X1954" s="693"/>
      <c r="Y1954" s="671"/>
      <c r="Z1954" s="673"/>
      <c r="AA1954" s="672"/>
      <c r="AB1954" s="695"/>
      <c r="AC1954" s="673"/>
      <c r="AD1954" s="673"/>
      <c r="AE1954" s="673"/>
      <c r="AF1954" s="673"/>
      <c r="AG1954" s="673"/>
      <c r="AH1954" s="673"/>
      <c r="AI1954" s="673"/>
      <c r="AJ1954" s="673"/>
      <c r="AK1954" s="673"/>
      <c r="AL1954" s="673"/>
      <c r="AM1954" s="673"/>
      <c r="AN1954" s="673"/>
      <c r="AO1954" s="673"/>
      <c r="AP1954" s="673"/>
      <c r="AQ1954" s="673"/>
      <c r="AR1954" s="673"/>
      <c r="AS1954" s="673"/>
      <c r="AT1954" s="696"/>
    </row>
    <row r="1955" ht="15.75" customHeight="1">
      <c r="A1955" s="653"/>
      <c r="B1955" s="654"/>
      <c r="C1955" s="691"/>
      <c r="D1955" s="656"/>
      <c r="E1955" s="657"/>
      <c r="F1955" s="658"/>
      <c r="G1955" s="659"/>
      <c r="H1955" s="660"/>
      <c r="I1955" s="659"/>
      <c r="J1955" s="661"/>
      <c r="K1955" s="692"/>
      <c r="L1955" s="645"/>
      <c r="M1955" s="663"/>
      <c r="N1955" s="665"/>
      <c r="O1955" s="665"/>
      <c r="P1955" s="666"/>
      <c r="Q1955" s="667"/>
      <c r="R1955" s="668"/>
      <c r="S1955" s="693"/>
      <c r="T1955" s="694"/>
      <c r="U1955" s="694"/>
      <c r="V1955" s="693"/>
      <c r="W1955" s="693"/>
      <c r="X1955" s="693"/>
      <c r="Y1955" s="671"/>
      <c r="Z1955" s="673"/>
      <c r="AA1955" s="672"/>
      <c r="AB1955" s="695"/>
      <c r="AC1955" s="673"/>
      <c r="AD1955" s="673"/>
      <c r="AE1955" s="673"/>
      <c r="AF1955" s="673"/>
      <c r="AG1955" s="673"/>
      <c r="AH1955" s="673"/>
      <c r="AI1955" s="673"/>
      <c r="AJ1955" s="673"/>
      <c r="AK1955" s="673"/>
      <c r="AL1955" s="673"/>
      <c r="AM1955" s="673"/>
      <c r="AN1955" s="673"/>
      <c r="AO1955" s="673"/>
      <c r="AP1955" s="673"/>
      <c r="AQ1955" s="673"/>
      <c r="AR1955" s="673"/>
      <c r="AS1955" s="673"/>
      <c r="AT1955" s="696"/>
    </row>
    <row r="1956" ht="15.75" customHeight="1">
      <c r="A1956" s="653"/>
      <c r="B1956" s="654"/>
      <c r="C1956" s="691"/>
      <c r="D1956" s="656"/>
      <c r="E1956" s="657"/>
      <c r="F1956" s="658"/>
      <c r="G1956" s="659"/>
      <c r="H1956" s="660"/>
      <c r="I1956" s="659"/>
      <c r="J1956" s="661"/>
      <c r="K1956" s="692"/>
      <c r="L1956" s="645"/>
      <c r="M1956" s="663"/>
      <c r="N1956" s="665"/>
      <c r="O1956" s="665"/>
      <c r="P1956" s="666"/>
      <c r="Q1956" s="667"/>
      <c r="R1956" s="668"/>
      <c r="S1956" s="693"/>
      <c r="T1956" s="694"/>
      <c r="U1956" s="694"/>
      <c r="V1956" s="693"/>
      <c r="W1956" s="693"/>
      <c r="X1956" s="693"/>
      <c r="Y1956" s="671"/>
      <c r="Z1956" s="673"/>
      <c r="AA1956" s="672"/>
      <c r="AB1956" s="695"/>
      <c r="AC1956" s="673"/>
      <c r="AD1956" s="673"/>
      <c r="AE1956" s="673"/>
      <c r="AF1956" s="673"/>
      <c r="AG1956" s="673"/>
      <c r="AH1956" s="673"/>
      <c r="AI1956" s="673"/>
      <c r="AJ1956" s="673"/>
      <c r="AK1956" s="673"/>
      <c r="AL1956" s="673"/>
      <c r="AM1956" s="673"/>
      <c r="AN1956" s="673"/>
      <c r="AO1956" s="673"/>
      <c r="AP1956" s="673"/>
      <c r="AQ1956" s="673"/>
      <c r="AR1956" s="673"/>
      <c r="AS1956" s="673"/>
      <c r="AT1956" s="696"/>
    </row>
    <row r="1957" ht="15.75" customHeight="1">
      <c r="A1957" s="653"/>
      <c r="B1957" s="654"/>
      <c r="C1957" s="691"/>
      <c r="D1957" s="656"/>
      <c r="E1957" s="657"/>
      <c r="F1957" s="658"/>
      <c r="G1957" s="659"/>
      <c r="H1957" s="660"/>
      <c r="I1957" s="659"/>
      <c r="J1957" s="661"/>
      <c r="K1957" s="692"/>
      <c r="L1957" s="645"/>
      <c r="M1957" s="663"/>
      <c r="N1957" s="665"/>
      <c r="O1957" s="665"/>
      <c r="P1957" s="666"/>
      <c r="Q1957" s="667"/>
      <c r="R1957" s="668"/>
      <c r="S1957" s="693"/>
      <c r="T1957" s="694"/>
      <c r="U1957" s="694"/>
      <c r="V1957" s="693"/>
      <c r="W1957" s="693"/>
      <c r="X1957" s="693"/>
      <c r="Y1957" s="671"/>
      <c r="Z1957" s="673"/>
      <c r="AA1957" s="672"/>
      <c r="AB1957" s="695"/>
      <c r="AC1957" s="673"/>
      <c r="AD1957" s="673"/>
      <c r="AE1957" s="673"/>
      <c r="AF1957" s="673"/>
      <c r="AG1957" s="673"/>
      <c r="AH1957" s="673"/>
      <c r="AI1957" s="673"/>
      <c r="AJ1957" s="673"/>
      <c r="AK1957" s="673"/>
      <c r="AL1957" s="673"/>
      <c r="AM1957" s="673"/>
      <c r="AN1957" s="673"/>
      <c r="AO1957" s="673"/>
      <c r="AP1957" s="673"/>
      <c r="AQ1957" s="673"/>
      <c r="AR1957" s="673"/>
      <c r="AS1957" s="673"/>
      <c r="AT1957" s="696"/>
    </row>
    <row r="1958" ht="15.75" customHeight="1">
      <c r="A1958" s="653"/>
      <c r="B1958" s="654"/>
      <c r="C1958" s="691"/>
      <c r="D1958" s="656"/>
      <c r="E1958" s="657"/>
      <c r="F1958" s="658"/>
      <c r="G1958" s="659"/>
      <c r="H1958" s="660"/>
      <c r="I1958" s="659"/>
      <c r="J1958" s="661"/>
      <c r="K1958" s="692"/>
      <c r="L1958" s="645"/>
      <c r="M1958" s="663"/>
      <c r="N1958" s="665"/>
      <c r="O1958" s="665"/>
      <c r="P1958" s="666"/>
      <c r="Q1958" s="667"/>
      <c r="R1958" s="668"/>
      <c r="S1958" s="693"/>
      <c r="T1958" s="694"/>
      <c r="U1958" s="694"/>
      <c r="V1958" s="693"/>
      <c r="W1958" s="693"/>
      <c r="X1958" s="693"/>
      <c r="Y1958" s="671"/>
      <c r="Z1958" s="673"/>
      <c r="AA1958" s="672"/>
      <c r="AB1958" s="695"/>
      <c r="AC1958" s="673"/>
      <c r="AD1958" s="673"/>
      <c r="AE1958" s="673"/>
      <c r="AF1958" s="673"/>
      <c r="AG1958" s="673"/>
      <c r="AH1958" s="673"/>
      <c r="AI1958" s="673"/>
      <c r="AJ1958" s="673"/>
      <c r="AK1958" s="673"/>
      <c r="AL1958" s="673"/>
      <c r="AM1958" s="673"/>
      <c r="AN1958" s="673"/>
      <c r="AO1958" s="673"/>
      <c r="AP1958" s="673"/>
      <c r="AQ1958" s="673"/>
      <c r="AR1958" s="673"/>
      <c r="AS1958" s="673"/>
      <c r="AT1958" s="696"/>
    </row>
    <row r="1959" ht="15.75" customHeight="1">
      <c r="A1959" s="653"/>
      <c r="B1959" s="654"/>
      <c r="C1959" s="691"/>
      <c r="D1959" s="656"/>
      <c r="E1959" s="657"/>
      <c r="F1959" s="658"/>
      <c r="G1959" s="659"/>
      <c r="H1959" s="660"/>
      <c r="I1959" s="659"/>
      <c r="J1959" s="661"/>
      <c r="K1959" s="692"/>
      <c r="L1959" s="645"/>
      <c r="M1959" s="663"/>
      <c r="N1959" s="665"/>
      <c r="O1959" s="665"/>
      <c r="P1959" s="666"/>
      <c r="Q1959" s="667"/>
      <c r="R1959" s="668"/>
      <c r="S1959" s="693"/>
      <c r="T1959" s="694"/>
      <c r="U1959" s="694"/>
      <c r="V1959" s="693"/>
      <c r="W1959" s="693"/>
      <c r="X1959" s="693"/>
      <c r="Y1959" s="671"/>
      <c r="Z1959" s="673"/>
      <c r="AA1959" s="672"/>
      <c r="AB1959" s="695"/>
      <c r="AC1959" s="673"/>
      <c r="AD1959" s="673"/>
      <c r="AE1959" s="673"/>
      <c r="AF1959" s="673"/>
      <c r="AG1959" s="673"/>
      <c r="AH1959" s="673"/>
      <c r="AI1959" s="673"/>
      <c r="AJ1959" s="673"/>
      <c r="AK1959" s="673"/>
      <c r="AL1959" s="673"/>
      <c r="AM1959" s="673"/>
      <c r="AN1959" s="673"/>
      <c r="AO1959" s="673"/>
      <c r="AP1959" s="673"/>
      <c r="AQ1959" s="673"/>
      <c r="AR1959" s="673"/>
      <c r="AS1959" s="673"/>
      <c r="AT1959" s="696"/>
    </row>
    <row r="1960" ht="15.75" customHeight="1">
      <c r="A1960" s="653"/>
      <c r="B1960" s="654"/>
      <c r="C1960" s="691"/>
      <c r="D1960" s="656"/>
      <c r="E1960" s="657"/>
      <c r="F1960" s="658"/>
      <c r="G1960" s="659"/>
      <c r="H1960" s="660"/>
      <c r="I1960" s="659"/>
      <c r="J1960" s="661"/>
      <c r="K1960" s="692"/>
      <c r="L1960" s="645"/>
      <c r="M1960" s="663"/>
      <c r="N1960" s="665"/>
      <c r="O1960" s="665"/>
      <c r="P1960" s="666"/>
      <c r="Q1960" s="667"/>
      <c r="R1960" s="668"/>
      <c r="S1960" s="693"/>
      <c r="T1960" s="694"/>
      <c r="U1960" s="694"/>
      <c r="V1960" s="693"/>
      <c r="W1960" s="693"/>
      <c r="X1960" s="693"/>
      <c r="Y1960" s="671"/>
      <c r="Z1960" s="673"/>
      <c r="AA1960" s="672"/>
      <c r="AB1960" s="695"/>
      <c r="AC1960" s="673"/>
      <c r="AD1960" s="673"/>
      <c r="AE1960" s="673"/>
      <c r="AF1960" s="673"/>
      <c r="AG1960" s="673"/>
      <c r="AH1960" s="673"/>
      <c r="AI1960" s="673"/>
      <c r="AJ1960" s="673"/>
      <c r="AK1960" s="673"/>
      <c r="AL1960" s="673"/>
      <c r="AM1960" s="673"/>
      <c r="AN1960" s="673"/>
      <c r="AO1960" s="673"/>
      <c r="AP1960" s="673"/>
      <c r="AQ1960" s="673"/>
      <c r="AR1960" s="673"/>
      <c r="AS1960" s="673"/>
      <c r="AT1960" s="696"/>
    </row>
    <row r="1961" ht="15.75" customHeight="1">
      <c r="A1961" s="653"/>
      <c r="B1961" s="654"/>
      <c r="C1961" s="691"/>
      <c r="D1961" s="656"/>
      <c r="E1961" s="657"/>
      <c r="F1961" s="658"/>
      <c r="G1961" s="659"/>
      <c r="H1961" s="660"/>
      <c r="I1961" s="659"/>
      <c r="J1961" s="661"/>
      <c r="K1961" s="692"/>
      <c r="L1961" s="645"/>
      <c r="M1961" s="663"/>
      <c r="N1961" s="665"/>
      <c r="O1961" s="665"/>
      <c r="P1961" s="666"/>
      <c r="Q1961" s="667"/>
      <c r="R1961" s="668"/>
      <c r="S1961" s="693"/>
      <c r="T1961" s="694"/>
      <c r="U1961" s="694"/>
      <c r="V1961" s="693"/>
      <c r="W1961" s="693"/>
      <c r="X1961" s="693"/>
      <c r="Y1961" s="671"/>
      <c r="Z1961" s="673"/>
      <c r="AA1961" s="672"/>
      <c r="AB1961" s="695"/>
      <c r="AC1961" s="673"/>
      <c r="AD1961" s="673"/>
      <c r="AE1961" s="673"/>
      <c r="AF1961" s="673"/>
      <c r="AG1961" s="673"/>
      <c r="AH1961" s="673"/>
      <c r="AI1961" s="673"/>
      <c r="AJ1961" s="673"/>
      <c r="AK1961" s="673"/>
      <c r="AL1961" s="673"/>
      <c r="AM1961" s="673"/>
      <c r="AN1961" s="673"/>
      <c r="AO1961" s="673"/>
      <c r="AP1961" s="673"/>
      <c r="AQ1961" s="673"/>
      <c r="AR1961" s="673"/>
      <c r="AS1961" s="673"/>
      <c r="AT1961" s="696"/>
    </row>
    <row r="1962" ht="15.75" customHeight="1">
      <c r="A1962" s="653"/>
      <c r="B1962" s="654"/>
      <c r="C1962" s="691"/>
      <c r="D1962" s="656"/>
      <c r="E1962" s="657"/>
      <c r="F1962" s="658"/>
      <c r="G1962" s="659"/>
      <c r="H1962" s="660"/>
      <c r="I1962" s="659"/>
      <c r="J1962" s="661"/>
      <c r="K1962" s="692"/>
      <c r="L1962" s="645"/>
      <c r="M1962" s="663"/>
      <c r="N1962" s="665"/>
      <c r="O1962" s="665"/>
      <c r="P1962" s="666"/>
      <c r="Q1962" s="667"/>
      <c r="R1962" s="668"/>
      <c r="S1962" s="693"/>
      <c r="T1962" s="694"/>
      <c r="U1962" s="694"/>
      <c r="V1962" s="693"/>
      <c r="W1962" s="693"/>
      <c r="X1962" s="693"/>
      <c r="Y1962" s="671"/>
      <c r="Z1962" s="673"/>
      <c r="AA1962" s="672"/>
      <c r="AB1962" s="695"/>
      <c r="AC1962" s="673"/>
      <c r="AD1962" s="673"/>
      <c r="AE1962" s="673"/>
      <c r="AF1962" s="673"/>
      <c r="AG1962" s="673"/>
      <c r="AH1962" s="673"/>
      <c r="AI1962" s="673"/>
      <c r="AJ1962" s="673"/>
      <c r="AK1962" s="673"/>
      <c r="AL1962" s="673"/>
      <c r="AM1962" s="673"/>
      <c r="AN1962" s="673"/>
      <c r="AO1962" s="673"/>
      <c r="AP1962" s="673"/>
      <c r="AQ1962" s="673"/>
      <c r="AR1962" s="673"/>
      <c r="AS1962" s="673"/>
      <c r="AT1962" s="696"/>
    </row>
    <row r="1963" ht="15.75" customHeight="1">
      <c r="A1963" s="653"/>
      <c r="B1963" s="654"/>
      <c r="C1963" s="691"/>
      <c r="D1963" s="656"/>
      <c r="E1963" s="657"/>
      <c r="F1963" s="658"/>
      <c r="G1963" s="659"/>
      <c r="H1963" s="660"/>
      <c r="I1963" s="659"/>
      <c r="J1963" s="661"/>
      <c r="K1963" s="692"/>
      <c r="L1963" s="645"/>
      <c r="M1963" s="663"/>
      <c r="N1963" s="665"/>
      <c r="O1963" s="665"/>
      <c r="P1963" s="666"/>
      <c r="Q1963" s="667"/>
      <c r="R1963" s="668"/>
      <c r="S1963" s="693"/>
      <c r="T1963" s="694"/>
      <c r="U1963" s="694"/>
      <c r="V1963" s="693"/>
      <c r="W1963" s="693"/>
      <c r="X1963" s="693"/>
      <c r="Y1963" s="671"/>
      <c r="Z1963" s="673"/>
      <c r="AA1963" s="672"/>
      <c r="AB1963" s="695"/>
      <c r="AC1963" s="673"/>
      <c r="AD1963" s="673"/>
      <c r="AE1963" s="673"/>
      <c r="AF1963" s="673"/>
      <c r="AG1963" s="673"/>
      <c r="AH1963" s="673"/>
      <c r="AI1963" s="673"/>
      <c r="AJ1963" s="673"/>
      <c r="AK1963" s="673"/>
      <c r="AL1963" s="673"/>
      <c r="AM1963" s="673"/>
      <c r="AN1963" s="673"/>
      <c r="AO1963" s="673"/>
      <c r="AP1963" s="673"/>
      <c r="AQ1963" s="673"/>
      <c r="AR1963" s="673"/>
      <c r="AS1963" s="673"/>
      <c r="AT1963" s="696"/>
    </row>
    <row r="1964" ht="15.75" customHeight="1">
      <c r="A1964" s="653"/>
      <c r="B1964" s="654"/>
      <c r="C1964" s="691"/>
      <c r="D1964" s="656"/>
      <c r="E1964" s="657"/>
      <c r="F1964" s="658"/>
      <c r="G1964" s="659"/>
      <c r="H1964" s="660"/>
      <c r="I1964" s="659"/>
      <c r="J1964" s="661"/>
      <c r="K1964" s="692"/>
      <c r="L1964" s="645"/>
      <c r="M1964" s="663"/>
      <c r="N1964" s="665"/>
      <c r="O1964" s="665"/>
      <c r="P1964" s="666"/>
      <c r="Q1964" s="667"/>
      <c r="R1964" s="668"/>
      <c r="S1964" s="693"/>
      <c r="T1964" s="694"/>
      <c r="U1964" s="694"/>
      <c r="V1964" s="693"/>
      <c r="W1964" s="693"/>
      <c r="X1964" s="693"/>
      <c r="Y1964" s="671"/>
      <c r="Z1964" s="673"/>
      <c r="AA1964" s="672"/>
      <c r="AB1964" s="695"/>
      <c r="AC1964" s="673"/>
      <c r="AD1964" s="673"/>
      <c r="AE1964" s="673"/>
      <c r="AF1964" s="673"/>
      <c r="AG1964" s="673"/>
      <c r="AH1964" s="673"/>
      <c r="AI1964" s="673"/>
      <c r="AJ1964" s="673"/>
      <c r="AK1964" s="673"/>
      <c r="AL1964" s="673"/>
      <c r="AM1964" s="673"/>
      <c r="AN1964" s="673"/>
      <c r="AO1964" s="673"/>
      <c r="AP1964" s="673"/>
      <c r="AQ1964" s="673"/>
      <c r="AR1964" s="673"/>
      <c r="AS1964" s="673"/>
      <c r="AT1964" s="696"/>
    </row>
    <row r="1965" ht="15.75" customHeight="1">
      <c r="A1965" s="653"/>
      <c r="B1965" s="654"/>
      <c r="C1965" s="691"/>
      <c r="D1965" s="656"/>
      <c r="E1965" s="657"/>
      <c r="F1965" s="658"/>
      <c r="G1965" s="659"/>
      <c r="H1965" s="660"/>
      <c r="I1965" s="659"/>
      <c r="J1965" s="661"/>
      <c r="K1965" s="692"/>
      <c r="L1965" s="645"/>
      <c r="M1965" s="663"/>
      <c r="N1965" s="665"/>
      <c r="O1965" s="665"/>
      <c r="P1965" s="666"/>
      <c r="Q1965" s="667"/>
      <c r="R1965" s="668"/>
      <c r="S1965" s="693"/>
      <c r="T1965" s="694"/>
      <c r="U1965" s="694"/>
      <c r="V1965" s="693"/>
      <c r="W1965" s="693"/>
      <c r="X1965" s="693"/>
      <c r="Y1965" s="671"/>
      <c r="Z1965" s="673"/>
      <c r="AA1965" s="672"/>
      <c r="AB1965" s="695"/>
      <c r="AC1965" s="673"/>
      <c r="AD1965" s="673"/>
      <c r="AE1965" s="673"/>
      <c r="AF1965" s="673"/>
      <c r="AG1965" s="673"/>
      <c r="AH1965" s="673"/>
      <c r="AI1965" s="673"/>
      <c r="AJ1965" s="673"/>
      <c r="AK1965" s="673"/>
      <c r="AL1965" s="673"/>
      <c r="AM1965" s="673"/>
      <c r="AN1965" s="673"/>
      <c r="AO1965" s="673"/>
      <c r="AP1965" s="673"/>
      <c r="AQ1965" s="673"/>
      <c r="AR1965" s="673"/>
      <c r="AS1965" s="673"/>
      <c r="AT1965" s="696"/>
    </row>
    <row r="1966" ht="15.75" customHeight="1">
      <c r="A1966" s="653"/>
      <c r="B1966" s="654"/>
      <c r="C1966" s="691"/>
      <c r="D1966" s="656"/>
      <c r="E1966" s="657"/>
      <c r="F1966" s="658"/>
      <c r="G1966" s="659"/>
      <c r="H1966" s="660"/>
      <c r="I1966" s="659"/>
      <c r="J1966" s="661"/>
      <c r="K1966" s="692"/>
      <c r="L1966" s="645"/>
      <c r="M1966" s="663"/>
      <c r="N1966" s="665"/>
      <c r="O1966" s="665"/>
      <c r="P1966" s="666"/>
      <c r="Q1966" s="667"/>
      <c r="R1966" s="668"/>
      <c r="S1966" s="693"/>
      <c r="T1966" s="694"/>
      <c r="U1966" s="694"/>
      <c r="V1966" s="693"/>
      <c r="W1966" s="693"/>
      <c r="X1966" s="693"/>
      <c r="Y1966" s="671"/>
      <c r="Z1966" s="673"/>
      <c r="AA1966" s="672"/>
      <c r="AB1966" s="695"/>
      <c r="AC1966" s="673"/>
      <c r="AD1966" s="673"/>
      <c r="AE1966" s="673"/>
      <c r="AF1966" s="673"/>
      <c r="AG1966" s="673"/>
      <c r="AH1966" s="673"/>
      <c r="AI1966" s="673"/>
      <c r="AJ1966" s="673"/>
      <c r="AK1966" s="673"/>
      <c r="AL1966" s="673"/>
      <c r="AM1966" s="673"/>
      <c r="AN1966" s="673"/>
      <c r="AO1966" s="673"/>
      <c r="AP1966" s="673"/>
      <c r="AQ1966" s="673"/>
      <c r="AR1966" s="673"/>
      <c r="AS1966" s="673"/>
      <c r="AT1966" s="696"/>
    </row>
    <row r="1967" ht="15.75" customHeight="1">
      <c r="A1967" s="653"/>
      <c r="B1967" s="654"/>
      <c r="C1967" s="691"/>
      <c r="D1967" s="656"/>
      <c r="E1967" s="657"/>
      <c r="F1967" s="658"/>
      <c r="G1967" s="659"/>
      <c r="H1967" s="660"/>
      <c r="I1967" s="659"/>
      <c r="J1967" s="661"/>
      <c r="K1967" s="692"/>
      <c r="L1967" s="645"/>
      <c r="M1967" s="663"/>
      <c r="N1967" s="665"/>
      <c r="O1967" s="665"/>
      <c r="P1967" s="666"/>
      <c r="Q1967" s="667"/>
      <c r="R1967" s="668"/>
      <c r="S1967" s="693"/>
      <c r="T1967" s="694"/>
      <c r="U1967" s="694"/>
      <c r="V1967" s="693"/>
      <c r="W1967" s="693"/>
      <c r="X1967" s="693"/>
      <c r="Y1967" s="671"/>
      <c r="Z1967" s="673"/>
      <c r="AA1967" s="672"/>
      <c r="AB1967" s="695"/>
      <c r="AC1967" s="673"/>
      <c r="AD1967" s="673"/>
      <c r="AE1967" s="673"/>
      <c r="AF1967" s="673"/>
      <c r="AG1967" s="673"/>
      <c r="AH1967" s="673"/>
      <c r="AI1967" s="673"/>
      <c r="AJ1967" s="673"/>
      <c r="AK1967" s="673"/>
      <c r="AL1967" s="673"/>
      <c r="AM1967" s="673"/>
      <c r="AN1967" s="673"/>
      <c r="AO1967" s="673"/>
      <c r="AP1967" s="673"/>
      <c r="AQ1967" s="673"/>
      <c r="AR1967" s="673"/>
      <c r="AS1967" s="673"/>
      <c r="AT1967" s="696"/>
    </row>
    <row r="1968" ht="15.75" customHeight="1">
      <c r="A1968" s="653"/>
      <c r="B1968" s="654"/>
      <c r="C1968" s="691"/>
      <c r="D1968" s="656"/>
      <c r="E1968" s="657"/>
      <c r="F1968" s="658"/>
      <c r="G1968" s="659"/>
      <c r="H1968" s="660"/>
      <c r="I1968" s="659"/>
      <c r="J1968" s="661"/>
      <c r="K1968" s="692"/>
      <c r="L1968" s="645"/>
      <c r="M1968" s="663"/>
      <c r="N1968" s="665"/>
      <c r="O1968" s="665"/>
      <c r="P1968" s="666"/>
      <c r="Q1968" s="667"/>
      <c r="R1968" s="668"/>
      <c r="S1968" s="693"/>
      <c r="T1968" s="694"/>
      <c r="U1968" s="694"/>
      <c r="V1968" s="693"/>
      <c r="W1968" s="693"/>
      <c r="X1968" s="693"/>
      <c r="Y1968" s="671"/>
      <c r="Z1968" s="673"/>
      <c r="AA1968" s="672"/>
      <c r="AB1968" s="695"/>
      <c r="AC1968" s="673"/>
      <c r="AD1968" s="673"/>
      <c r="AE1968" s="673"/>
      <c r="AF1968" s="673"/>
      <c r="AG1968" s="673"/>
      <c r="AH1968" s="673"/>
      <c r="AI1968" s="673"/>
      <c r="AJ1968" s="673"/>
      <c r="AK1968" s="673"/>
      <c r="AL1968" s="673"/>
      <c r="AM1968" s="673"/>
      <c r="AN1968" s="673"/>
      <c r="AO1968" s="673"/>
      <c r="AP1968" s="673"/>
      <c r="AQ1968" s="673"/>
      <c r="AR1968" s="673"/>
      <c r="AS1968" s="673"/>
      <c r="AT1968" s="696"/>
    </row>
    <row r="1969" ht="15.75" customHeight="1">
      <c r="A1969" s="653"/>
      <c r="B1969" s="654"/>
      <c r="C1969" s="691"/>
      <c r="D1969" s="656"/>
      <c r="E1969" s="657"/>
      <c r="F1969" s="658"/>
      <c r="G1969" s="659"/>
      <c r="H1969" s="660"/>
      <c r="I1969" s="659"/>
      <c r="J1969" s="661"/>
      <c r="K1969" s="692"/>
      <c r="L1969" s="645"/>
      <c r="M1969" s="663"/>
      <c r="N1969" s="665"/>
      <c r="O1969" s="665"/>
      <c r="P1969" s="666"/>
      <c r="Q1969" s="667"/>
      <c r="R1969" s="668"/>
      <c r="S1969" s="693"/>
      <c r="T1969" s="694"/>
      <c r="U1969" s="694"/>
      <c r="V1969" s="693"/>
      <c r="W1969" s="693"/>
      <c r="X1969" s="693"/>
      <c r="Y1969" s="671"/>
      <c r="Z1969" s="673"/>
      <c r="AA1969" s="672"/>
      <c r="AB1969" s="695"/>
      <c r="AC1969" s="673"/>
      <c r="AD1969" s="673"/>
      <c r="AE1969" s="673"/>
      <c r="AF1969" s="673"/>
      <c r="AG1969" s="673"/>
      <c r="AH1969" s="673"/>
      <c r="AI1969" s="673"/>
      <c r="AJ1969" s="673"/>
      <c r="AK1969" s="673"/>
      <c r="AL1969" s="673"/>
      <c r="AM1969" s="673"/>
      <c r="AN1969" s="673"/>
      <c r="AO1969" s="673"/>
      <c r="AP1969" s="673"/>
      <c r="AQ1969" s="673"/>
      <c r="AR1969" s="673"/>
      <c r="AS1969" s="673"/>
      <c r="AT1969" s="696"/>
    </row>
    <row r="1970" ht="15.75" customHeight="1">
      <c r="A1970" s="653"/>
      <c r="B1970" s="654"/>
      <c r="C1970" s="691"/>
      <c r="D1970" s="656"/>
      <c r="E1970" s="657"/>
      <c r="F1970" s="658"/>
      <c r="G1970" s="659"/>
      <c r="H1970" s="660"/>
      <c r="I1970" s="659"/>
      <c r="J1970" s="661"/>
      <c r="K1970" s="692"/>
      <c r="L1970" s="645"/>
      <c r="M1970" s="663"/>
      <c r="N1970" s="665"/>
      <c r="O1970" s="665"/>
      <c r="P1970" s="666"/>
      <c r="Q1970" s="667"/>
      <c r="R1970" s="668"/>
      <c r="S1970" s="693"/>
      <c r="T1970" s="694"/>
      <c r="U1970" s="694"/>
      <c r="V1970" s="693"/>
      <c r="W1970" s="693"/>
      <c r="X1970" s="693"/>
      <c r="Y1970" s="671"/>
      <c r="Z1970" s="673"/>
      <c r="AA1970" s="672"/>
      <c r="AB1970" s="695"/>
      <c r="AC1970" s="673"/>
      <c r="AD1970" s="673"/>
      <c r="AE1970" s="673"/>
      <c r="AF1970" s="673"/>
      <c r="AG1970" s="673"/>
      <c r="AH1970" s="673"/>
      <c r="AI1970" s="673"/>
      <c r="AJ1970" s="673"/>
      <c r="AK1970" s="673"/>
      <c r="AL1970" s="673"/>
      <c r="AM1970" s="673"/>
      <c r="AN1970" s="673"/>
      <c r="AO1970" s="673"/>
      <c r="AP1970" s="673"/>
      <c r="AQ1970" s="673"/>
      <c r="AR1970" s="673"/>
      <c r="AS1970" s="673"/>
      <c r="AT1970" s="696"/>
    </row>
    <row r="1971" ht="15.75" customHeight="1">
      <c r="A1971" s="653"/>
      <c r="B1971" s="654"/>
      <c r="C1971" s="691"/>
      <c r="D1971" s="656"/>
      <c r="E1971" s="657"/>
      <c r="F1971" s="658"/>
      <c r="G1971" s="659"/>
      <c r="H1971" s="660"/>
      <c r="I1971" s="659"/>
      <c r="J1971" s="661"/>
      <c r="K1971" s="692"/>
      <c r="L1971" s="645"/>
      <c r="M1971" s="663"/>
      <c r="N1971" s="665"/>
      <c r="O1971" s="665"/>
      <c r="P1971" s="666"/>
      <c r="Q1971" s="667"/>
      <c r="R1971" s="668"/>
      <c r="S1971" s="693"/>
      <c r="T1971" s="694"/>
      <c r="U1971" s="694"/>
      <c r="V1971" s="693"/>
      <c r="W1971" s="693"/>
      <c r="X1971" s="693"/>
      <c r="Y1971" s="671"/>
      <c r="Z1971" s="673"/>
      <c r="AA1971" s="672"/>
      <c r="AB1971" s="695"/>
      <c r="AC1971" s="673"/>
      <c r="AD1971" s="673"/>
      <c r="AE1971" s="673"/>
      <c r="AF1971" s="673"/>
      <c r="AG1971" s="673"/>
      <c r="AH1971" s="673"/>
      <c r="AI1971" s="673"/>
      <c r="AJ1971" s="673"/>
      <c r="AK1971" s="673"/>
      <c r="AL1971" s="673"/>
      <c r="AM1971" s="673"/>
      <c r="AN1971" s="673"/>
      <c r="AO1971" s="673"/>
      <c r="AP1971" s="673"/>
      <c r="AQ1971" s="673"/>
      <c r="AR1971" s="673"/>
      <c r="AS1971" s="673"/>
      <c r="AT1971" s="696"/>
    </row>
    <row r="1972" ht="15.75" customHeight="1">
      <c r="A1972" s="653"/>
      <c r="B1972" s="654"/>
      <c r="C1972" s="691"/>
      <c r="D1972" s="656"/>
      <c r="E1972" s="657"/>
      <c r="F1972" s="658"/>
      <c r="G1972" s="659"/>
      <c r="H1972" s="660"/>
      <c r="I1972" s="659"/>
      <c r="J1972" s="661"/>
      <c r="K1972" s="692"/>
      <c r="L1972" s="645"/>
      <c r="M1972" s="663"/>
      <c r="N1972" s="665"/>
      <c r="O1972" s="665"/>
      <c r="P1972" s="666"/>
      <c r="Q1972" s="667"/>
      <c r="R1972" s="668"/>
      <c r="S1972" s="693"/>
      <c r="T1972" s="694"/>
      <c r="U1972" s="694"/>
      <c r="V1972" s="693"/>
      <c r="W1972" s="693"/>
      <c r="X1972" s="693"/>
      <c r="Y1972" s="671"/>
      <c r="Z1972" s="673"/>
      <c r="AA1972" s="672"/>
      <c r="AB1972" s="695"/>
      <c r="AC1972" s="673"/>
      <c r="AD1972" s="673"/>
      <c r="AE1972" s="673"/>
      <c r="AF1972" s="673"/>
      <c r="AG1972" s="673"/>
      <c r="AH1972" s="673"/>
      <c r="AI1972" s="673"/>
      <c r="AJ1972" s="673"/>
      <c r="AK1972" s="673"/>
      <c r="AL1972" s="673"/>
      <c r="AM1972" s="673"/>
      <c r="AN1972" s="673"/>
      <c r="AO1972" s="673"/>
      <c r="AP1972" s="673"/>
      <c r="AQ1972" s="673"/>
      <c r="AR1972" s="673"/>
      <c r="AS1972" s="673"/>
      <c r="AT1972" s="696"/>
    </row>
    <row r="1973" ht="15.75" customHeight="1">
      <c r="A1973" s="653"/>
      <c r="B1973" s="654"/>
      <c r="C1973" s="691"/>
      <c r="D1973" s="656"/>
      <c r="E1973" s="657"/>
      <c r="F1973" s="658"/>
      <c r="G1973" s="659"/>
      <c r="H1973" s="660"/>
      <c r="I1973" s="659"/>
      <c r="J1973" s="661"/>
      <c r="K1973" s="692"/>
      <c r="L1973" s="645"/>
      <c r="M1973" s="663"/>
      <c r="N1973" s="665"/>
      <c r="O1973" s="665"/>
      <c r="P1973" s="666"/>
      <c r="Q1973" s="667"/>
      <c r="R1973" s="668"/>
      <c r="S1973" s="693"/>
      <c r="T1973" s="694"/>
      <c r="U1973" s="694"/>
      <c r="V1973" s="693"/>
      <c r="W1973" s="693"/>
      <c r="X1973" s="693"/>
      <c r="Y1973" s="671"/>
      <c r="Z1973" s="673"/>
      <c r="AA1973" s="672"/>
      <c r="AB1973" s="695"/>
      <c r="AC1973" s="673"/>
      <c r="AD1973" s="673"/>
      <c r="AE1973" s="673"/>
      <c r="AF1973" s="673"/>
      <c r="AG1973" s="673"/>
      <c r="AH1973" s="673"/>
      <c r="AI1973" s="673"/>
      <c r="AJ1973" s="673"/>
      <c r="AK1973" s="673"/>
      <c r="AL1973" s="673"/>
      <c r="AM1973" s="673"/>
      <c r="AN1973" s="673"/>
      <c r="AO1973" s="673"/>
      <c r="AP1973" s="673"/>
      <c r="AQ1973" s="673"/>
      <c r="AR1973" s="673"/>
      <c r="AS1973" s="673"/>
      <c r="AT1973" s="696"/>
    </row>
    <row r="1974" ht="15.75" customHeight="1">
      <c r="A1974" s="653"/>
      <c r="B1974" s="654"/>
      <c r="C1974" s="691"/>
      <c r="D1974" s="656"/>
      <c r="E1974" s="657"/>
      <c r="F1974" s="658"/>
      <c r="G1974" s="659"/>
      <c r="H1974" s="660"/>
      <c r="I1974" s="659"/>
      <c r="J1974" s="661"/>
      <c r="K1974" s="692"/>
      <c r="L1974" s="645"/>
      <c r="M1974" s="663"/>
      <c r="N1974" s="665"/>
      <c r="O1974" s="665"/>
      <c r="P1974" s="666"/>
      <c r="Q1974" s="667"/>
      <c r="R1974" s="668"/>
      <c r="S1974" s="693"/>
      <c r="T1974" s="694"/>
      <c r="U1974" s="694"/>
      <c r="V1974" s="693"/>
      <c r="W1974" s="693"/>
      <c r="X1974" s="693"/>
      <c r="Y1974" s="671"/>
      <c r="Z1974" s="673"/>
      <c r="AA1974" s="672"/>
      <c r="AB1974" s="695"/>
      <c r="AC1974" s="673"/>
      <c r="AD1974" s="673"/>
      <c r="AE1974" s="673"/>
      <c r="AF1974" s="673"/>
      <c r="AG1974" s="673"/>
      <c r="AH1974" s="673"/>
      <c r="AI1974" s="673"/>
      <c r="AJ1974" s="673"/>
      <c r="AK1974" s="673"/>
      <c r="AL1974" s="673"/>
      <c r="AM1974" s="673"/>
      <c r="AN1974" s="673"/>
      <c r="AO1974" s="673"/>
      <c r="AP1974" s="673"/>
      <c r="AQ1974" s="673"/>
      <c r="AR1974" s="673"/>
      <c r="AS1974" s="673"/>
      <c r="AT1974" s="696"/>
    </row>
    <row r="1975" ht="15.75" customHeight="1">
      <c r="A1975" s="653"/>
      <c r="B1975" s="654"/>
      <c r="C1975" s="691"/>
      <c r="D1975" s="656"/>
      <c r="E1975" s="657"/>
      <c r="F1975" s="658"/>
      <c r="G1975" s="659"/>
      <c r="H1975" s="660"/>
      <c r="I1975" s="659"/>
      <c r="J1975" s="661"/>
      <c r="K1975" s="692"/>
      <c r="L1975" s="645"/>
      <c r="M1975" s="663"/>
      <c r="N1975" s="665"/>
      <c r="O1975" s="665"/>
      <c r="P1975" s="666"/>
      <c r="Q1975" s="667"/>
      <c r="R1975" s="668"/>
      <c r="S1975" s="693"/>
      <c r="T1975" s="694"/>
      <c r="U1975" s="694"/>
      <c r="V1975" s="693"/>
      <c r="W1975" s="693"/>
      <c r="X1975" s="693"/>
      <c r="Y1975" s="671"/>
      <c r="Z1975" s="673"/>
      <c r="AA1975" s="672"/>
      <c r="AB1975" s="695"/>
      <c r="AC1975" s="673"/>
      <c r="AD1975" s="673"/>
      <c r="AE1975" s="673"/>
      <c r="AF1975" s="673"/>
      <c r="AG1975" s="673"/>
      <c r="AH1975" s="673"/>
      <c r="AI1975" s="673"/>
      <c r="AJ1975" s="673"/>
      <c r="AK1975" s="673"/>
      <c r="AL1975" s="673"/>
      <c r="AM1975" s="673"/>
      <c r="AN1975" s="673"/>
      <c r="AO1975" s="673"/>
      <c r="AP1975" s="673"/>
      <c r="AQ1975" s="673"/>
      <c r="AR1975" s="673"/>
      <c r="AS1975" s="673"/>
      <c r="AT1975" s="696"/>
    </row>
    <row r="1976" ht="15.75" customHeight="1">
      <c r="A1976" s="653"/>
      <c r="B1976" s="654"/>
      <c r="C1976" s="691"/>
      <c r="D1976" s="656"/>
      <c r="E1976" s="657"/>
      <c r="F1976" s="658"/>
      <c r="G1976" s="659"/>
      <c r="H1976" s="660"/>
      <c r="I1976" s="659"/>
      <c r="J1976" s="661"/>
      <c r="K1976" s="692"/>
      <c r="L1976" s="645"/>
      <c r="M1976" s="663"/>
      <c r="N1976" s="665"/>
      <c r="O1976" s="665"/>
      <c r="P1976" s="666"/>
      <c r="Q1976" s="667"/>
      <c r="R1976" s="668"/>
      <c r="S1976" s="693"/>
      <c r="T1976" s="694"/>
      <c r="U1976" s="694"/>
      <c r="V1976" s="693"/>
      <c r="W1976" s="693"/>
      <c r="X1976" s="693"/>
      <c r="Y1976" s="671"/>
      <c r="Z1976" s="673"/>
      <c r="AA1976" s="672"/>
      <c r="AB1976" s="695"/>
      <c r="AC1976" s="673"/>
      <c r="AD1976" s="673"/>
      <c r="AE1976" s="673"/>
      <c r="AF1976" s="673"/>
      <c r="AG1976" s="673"/>
      <c r="AH1976" s="673"/>
      <c r="AI1976" s="673"/>
      <c r="AJ1976" s="673"/>
      <c r="AK1976" s="673"/>
      <c r="AL1976" s="673"/>
      <c r="AM1976" s="673"/>
      <c r="AN1976" s="673"/>
      <c r="AO1976" s="673"/>
      <c r="AP1976" s="673"/>
      <c r="AQ1976" s="673"/>
      <c r="AR1976" s="673"/>
      <c r="AS1976" s="673"/>
      <c r="AT1976" s="696"/>
    </row>
    <row r="1977" ht="15.75" customHeight="1">
      <c r="A1977" s="653"/>
      <c r="B1977" s="654"/>
      <c r="C1977" s="691"/>
      <c r="D1977" s="656"/>
      <c r="E1977" s="657"/>
      <c r="F1977" s="658"/>
      <c r="G1977" s="659"/>
      <c r="H1977" s="660"/>
      <c r="I1977" s="659"/>
      <c r="J1977" s="661"/>
      <c r="K1977" s="692"/>
      <c r="L1977" s="645"/>
      <c r="M1977" s="663"/>
      <c r="N1977" s="665"/>
      <c r="O1977" s="665"/>
      <c r="P1977" s="666"/>
      <c r="Q1977" s="667"/>
      <c r="R1977" s="668"/>
      <c r="S1977" s="693"/>
      <c r="T1977" s="694"/>
      <c r="U1977" s="694"/>
      <c r="V1977" s="693"/>
      <c r="W1977" s="693"/>
      <c r="X1977" s="693"/>
      <c r="Y1977" s="671"/>
      <c r="Z1977" s="673"/>
      <c r="AA1977" s="672"/>
      <c r="AB1977" s="695"/>
      <c r="AC1977" s="673"/>
      <c r="AD1977" s="673"/>
      <c r="AE1977" s="673"/>
      <c r="AF1977" s="673"/>
      <c r="AG1977" s="673"/>
      <c r="AH1977" s="673"/>
      <c r="AI1977" s="673"/>
      <c r="AJ1977" s="673"/>
      <c r="AK1977" s="673"/>
      <c r="AL1977" s="673"/>
      <c r="AM1977" s="673"/>
      <c r="AN1977" s="673"/>
      <c r="AO1977" s="673"/>
      <c r="AP1977" s="673"/>
      <c r="AQ1977" s="673"/>
      <c r="AR1977" s="673"/>
      <c r="AS1977" s="673"/>
      <c r="AT1977" s="696"/>
    </row>
    <row r="1978" ht="15.75" customHeight="1">
      <c r="A1978" s="653"/>
      <c r="B1978" s="654"/>
      <c r="C1978" s="691"/>
      <c r="D1978" s="656"/>
      <c r="E1978" s="657"/>
      <c r="F1978" s="658"/>
      <c r="G1978" s="659"/>
      <c r="H1978" s="660"/>
      <c r="I1978" s="659"/>
      <c r="J1978" s="661"/>
      <c r="K1978" s="692"/>
      <c r="L1978" s="645"/>
      <c r="M1978" s="663"/>
      <c r="N1978" s="665"/>
      <c r="O1978" s="665"/>
      <c r="P1978" s="666"/>
      <c r="Q1978" s="667"/>
      <c r="R1978" s="668"/>
      <c r="S1978" s="693"/>
      <c r="T1978" s="694"/>
      <c r="U1978" s="694"/>
      <c r="V1978" s="693"/>
      <c r="W1978" s="693"/>
      <c r="X1978" s="693"/>
      <c r="Y1978" s="671"/>
      <c r="Z1978" s="673"/>
      <c r="AA1978" s="672"/>
      <c r="AB1978" s="695"/>
      <c r="AC1978" s="673"/>
      <c r="AD1978" s="673"/>
      <c r="AE1978" s="673"/>
      <c r="AF1978" s="673"/>
      <c r="AG1978" s="673"/>
      <c r="AH1978" s="673"/>
      <c r="AI1978" s="673"/>
      <c r="AJ1978" s="673"/>
      <c r="AK1978" s="673"/>
      <c r="AL1978" s="673"/>
      <c r="AM1978" s="673"/>
      <c r="AN1978" s="673"/>
      <c r="AO1978" s="673"/>
      <c r="AP1978" s="673"/>
      <c r="AQ1978" s="673"/>
      <c r="AR1978" s="673"/>
      <c r="AS1978" s="673"/>
      <c r="AT1978" s="696"/>
    </row>
    <row r="1979" ht="15.75" customHeight="1">
      <c r="A1979" s="653"/>
      <c r="B1979" s="654"/>
      <c r="C1979" s="691"/>
      <c r="D1979" s="656"/>
      <c r="E1979" s="657"/>
      <c r="F1979" s="658"/>
      <c r="G1979" s="659"/>
      <c r="H1979" s="660"/>
      <c r="I1979" s="659"/>
      <c r="J1979" s="661"/>
      <c r="K1979" s="692"/>
      <c r="L1979" s="645"/>
      <c r="M1979" s="663"/>
      <c r="N1979" s="665"/>
      <c r="O1979" s="665"/>
      <c r="P1979" s="666"/>
      <c r="Q1979" s="667"/>
      <c r="R1979" s="668"/>
      <c r="S1979" s="693"/>
      <c r="T1979" s="694"/>
      <c r="U1979" s="694"/>
      <c r="V1979" s="693"/>
      <c r="W1979" s="693"/>
      <c r="X1979" s="693"/>
      <c r="Y1979" s="671"/>
      <c r="Z1979" s="673"/>
      <c r="AA1979" s="672"/>
      <c r="AB1979" s="695"/>
      <c r="AC1979" s="673"/>
      <c r="AD1979" s="673"/>
      <c r="AE1979" s="673"/>
      <c r="AF1979" s="673"/>
      <c r="AG1979" s="673"/>
      <c r="AH1979" s="673"/>
      <c r="AI1979" s="673"/>
      <c r="AJ1979" s="673"/>
      <c r="AK1979" s="673"/>
      <c r="AL1979" s="673"/>
      <c r="AM1979" s="673"/>
      <c r="AN1979" s="673"/>
      <c r="AO1979" s="673"/>
      <c r="AP1979" s="673"/>
      <c r="AQ1979" s="673"/>
      <c r="AR1979" s="673"/>
      <c r="AS1979" s="673"/>
      <c r="AT1979" s="696"/>
    </row>
    <row r="1980" ht="15.75" customHeight="1">
      <c r="A1980" s="653"/>
      <c r="B1980" s="654"/>
      <c r="C1980" s="691"/>
      <c r="D1980" s="656"/>
      <c r="E1980" s="657"/>
      <c r="F1980" s="658"/>
      <c r="G1980" s="659"/>
      <c r="H1980" s="660"/>
      <c r="I1980" s="659"/>
      <c r="J1980" s="661"/>
      <c r="K1980" s="692"/>
      <c r="L1980" s="645"/>
      <c r="M1980" s="663"/>
      <c r="N1980" s="665"/>
      <c r="O1980" s="665"/>
      <c r="P1980" s="666"/>
      <c r="Q1980" s="667"/>
      <c r="R1980" s="668"/>
      <c r="S1980" s="693"/>
      <c r="T1980" s="694"/>
      <c r="U1980" s="694"/>
      <c r="V1980" s="693"/>
      <c r="W1980" s="693"/>
      <c r="X1980" s="693"/>
      <c r="Y1980" s="671"/>
      <c r="Z1980" s="673"/>
      <c r="AA1980" s="672"/>
      <c r="AB1980" s="695"/>
      <c r="AC1980" s="673"/>
      <c r="AD1980" s="673"/>
      <c r="AE1980" s="673"/>
      <c r="AF1980" s="673"/>
      <c r="AG1980" s="673"/>
      <c r="AH1980" s="673"/>
      <c r="AI1980" s="673"/>
      <c r="AJ1980" s="673"/>
      <c r="AK1980" s="673"/>
      <c r="AL1980" s="673"/>
      <c r="AM1980" s="673"/>
      <c r="AN1980" s="673"/>
      <c r="AO1980" s="673"/>
      <c r="AP1980" s="673"/>
      <c r="AQ1980" s="673"/>
      <c r="AR1980" s="673"/>
      <c r="AS1980" s="673"/>
      <c r="AT1980" s="696"/>
    </row>
    <row r="1981" ht="15.75" customHeight="1">
      <c r="A1981" s="653"/>
      <c r="B1981" s="654"/>
      <c r="C1981" s="691"/>
      <c r="D1981" s="656"/>
      <c r="E1981" s="657"/>
      <c r="F1981" s="658"/>
      <c r="G1981" s="659"/>
      <c r="H1981" s="660"/>
      <c r="I1981" s="659"/>
      <c r="J1981" s="661"/>
      <c r="K1981" s="692"/>
      <c r="L1981" s="645"/>
      <c r="M1981" s="663"/>
      <c r="N1981" s="665"/>
      <c r="O1981" s="665"/>
      <c r="P1981" s="666"/>
      <c r="Q1981" s="667"/>
      <c r="R1981" s="668"/>
      <c r="S1981" s="693"/>
      <c r="T1981" s="694"/>
      <c r="U1981" s="694"/>
      <c r="V1981" s="693"/>
      <c r="W1981" s="693"/>
      <c r="X1981" s="693"/>
      <c r="Y1981" s="671"/>
      <c r="Z1981" s="673"/>
      <c r="AA1981" s="672"/>
      <c r="AB1981" s="695"/>
      <c r="AC1981" s="673"/>
      <c r="AD1981" s="673"/>
      <c r="AE1981" s="673"/>
      <c r="AF1981" s="673"/>
      <c r="AG1981" s="673"/>
      <c r="AH1981" s="673"/>
      <c r="AI1981" s="673"/>
      <c r="AJ1981" s="673"/>
      <c r="AK1981" s="673"/>
      <c r="AL1981" s="673"/>
      <c r="AM1981" s="673"/>
      <c r="AN1981" s="673"/>
      <c r="AO1981" s="673"/>
      <c r="AP1981" s="673"/>
      <c r="AQ1981" s="673"/>
      <c r="AR1981" s="673"/>
      <c r="AS1981" s="673"/>
      <c r="AT1981" s="696"/>
    </row>
    <row r="1982" ht="15.75" customHeight="1">
      <c r="A1982" s="653"/>
      <c r="B1982" s="654"/>
      <c r="C1982" s="691"/>
      <c r="D1982" s="656"/>
      <c r="E1982" s="657"/>
      <c r="F1982" s="658"/>
      <c r="G1982" s="659"/>
      <c r="H1982" s="660"/>
      <c r="I1982" s="659"/>
      <c r="J1982" s="661"/>
      <c r="K1982" s="692"/>
      <c r="L1982" s="645"/>
      <c r="M1982" s="663"/>
      <c r="N1982" s="665"/>
      <c r="O1982" s="665"/>
      <c r="P1982" s="666"/>
      <c r="Q1982" s="667"/>
      <c r="R1982" s="668"/>
      <c r="S1982" s="693"/>
      <c r="T1982" s="694"/>
      <c r="U1982" s="694"/>
      <c r="V1982" s="693"/>
      <c r="W1982" s="693"/>
      <c r="X1982" s="693"/>
      <c r="Y1982" s="671"/>
      <c r="Z1982" s="673"/>
      <c r="AA1982" s="672"/>
      <c r="AB1982" s="695"/>
      <c r="AC1982" s="673"/>
      <c r="AD1982" s="673"/>
      <c r="AE1982" s="673"/>
      <c r="AF1982" s="673"/>
      <c r="AG1982" s="673"/>
      <c r="AH1982" s="673"/>
      <c r="AI1982" s="673"/>
      <c r="AJ1982" s="673"/>
      <c r="AK1982" s="673"/>
      <c r="AL1982" s="673"/>
      <c r="AM1982" s="673"/>
      <c r="AN1982" s="673"/>
      <c r="AO1982" s="673"/>
      <c r="AP1982" s="673"/>
      <c r="AQ1982" s="673"/>
      <c r="AR1982" s="673"/>
      <c r="AS1982" s="673"/>
      <c r="AT1982" s="696"/>
    </row>
    <row r="1983" ht="15.75" customHeight="1">
      <c r="A1983" s="653"/>
      <c r="B1983" s="654"/>
      <c r="C1983" s="691"/>
      <c r="D1983" s="656"/>
      <c r="E1983" s="657"/>
      <c r="F1983" s="658"/>
      <c r="G1983" s="659"/>
      <c r="H1983" s="660"/>
      <c r="I1983" s="659"/>
      <c r="J1983" s="661"/>
      <c r="K1983" s="692"/>
      <c r="L1983" s="645"/>
      <c r="M1983" s="663"/>
      <c r="N1983" s="665"/>
      <c r="O1983" s="665"/>
      <c r="P1983" s="666"/>
      <c r="Q1983" s="667"/>
      <c r="R1983" s="668"/>
      <c r="S1983" s="693"/>
      <c r="T1983" s="694"/>
      <c r="U1983" s="694"/>
      <c r="V1983" s="693"/>
      <c r="W1983" s="693"/>
      <c r="X1983" s="693"/>
      <c r="Y1983" s="671"/>
      <c r="Z1983" s="673"/>
      <c r="AA1983" s="672"/>
      <c r="AB1983" s="695"/>
      <c r="AC1983" s="673"/>
      <c r="AD1983" s="673"/>
      <c r="AE1983" s="673"/>
      <c r="AF1983" s="673"/>
      <c r="AG1983" s="673"/>
      <c r="AH1983" s="673"/>
      <c r="AI1983" s="673"/>
      <c r="AJ1983" s="673"/>
      <c r="AK1983" s="673"/>
      <c r="AL1983" s="673"/>
      <c r="AM1983" s="673"/>
      <c r="AN1983" s="673"/>
      <c r="AO1983" s="673"/>
      <c r="AP1983" s="673"/>
      <c r="AQ1983" s="673"/>
      <c r="AR1983" s="673"/>
      <c r="AS1983" s="673"/>
      <c r="AT1983" s="696"/>
    </row>
    <row r="1984" ht="15.75" customHeight="1">
      <c r="A1984" s="653"/>
      <c r="B1984" s="654"/>
      <c r="C1984" s="691"/>
      <c r="D1984" s="656"/>
      <c r="E1984" s="657"/>
      <c r="F1984" s="658"/>
      <c r="G1984" s="659"/>
      <c r="H1984" s="660"/>
      <c r="I1984" s="659"/>
      <c r="J1984" s="661"/>
      <c r="K1984" s="692"/>
      <c r="L1984" s="645"/>
      <c r="M1984" s="663"/>
      <c r="N1984" s="665"/>
      <c r="O1984" s="665"/>
      <c r="P1984" s="666"/>
      <c r="Q1984" s="667"/>
      <c r="R1984" s="668"/>
      <c r="S1984" s="693"/>
      <c r="T1984" s="694"/>
      <c r="U1984" s="694"/>
      <c r="V1984" s="693"/>
      <c r="W1984" s="693"/>
      <c r="X1984" s="693"/>
      <c r="Y1984" s="671"/>
      <c r="Z1984" s="673"/>
      <c r="AA1984" s="672"/>
      <c r="AB1984" s="695"/>
      <c r="AC1984" s="673"/>
      <c r="AD1984" s="673"/>
      <c r="AE1984" s="673"/>
      <c r="AF1984" s="673"/>
      <c r="AG1984" s="673"/>
      <c r="AH1984" s="673"/>
      <c r="AI1984" s="673"/>
      <c r="AJ1984" s="673"/>
      <c r="AK1984" s="673"/>
      <c r="AL1984" s="673"/>
      <c r="AM1984" s="673"/>
      <c r="AN1984" s="673"/>
      <c r="AO1984" s="673"/>
      <c r="AP1984" s="673"/>
      <c r="AQ1984" s="673"/>
      <c r="AR1984" s="673"/>
      <c r="AS1984" s="673"/>
      <c r="AT1984" s="696"/>
    </row>
    <row r="1985" ht="15.75" customHeight="1">
      <c r="A1985" s="653"/>
      <c r="B1985" s="654"/>
      <c r="C1985" s="691"/>
      <c r="D1985" s="656"/>
      <c r="E1985" s="657"/>
      <c r="F1985" s="658"/>
      <c r="G1985" s="659"/>
      <c r="H1985" s="660"/>
      <c r="I1985" s="659"/>
      <c r="J1985" s="661"/>
      <c r="K1985" s="692"/>
      <c r="L1985" s="645"/>
      <c r="M1985" s="663"/>
      <c r="N1985" s="665"/>
      <c r="O1985" s="665"/>
      <c r="P1985" s="666"/>
      <c r="Q1985" s="667"/>
      <c r="R1985" s="668"/>
      <c r="S1985" s="693"/>
      <c r="T1985" s="694"/>
      <c r="U1985" s="694"/>
      <c r="V1985" s="693"/>
      <c r="W1985" s="693"/>
      <c r="X1985" s="693"/>
      <c r="Y1985" s="671"/>
      <c r="Z1985" s="673"/>
      <c r="AA1985" s="672"/>
      <c r="AB1985" s="695"/>
      <c r="AC1985" s="673"/>
      <c r="AD1985" s="673"/>
      <c r="AE1985" s="673"/>
      <c r="AF1985" s="673"/>
      <c r="AG1985" s="673"/>
      <c r="AH1985" s="673"/>
      <c r="AI1985" s="673"/>
      <c r="AJ1985" s="673"/>
      <c r="AK1985" s="673"/>
      <c r="AL1985" s="673"/>
      <c r="AM1985" s="673"/>
      <c r="AN1985" s="673"/>
      <c r="AO1985" s="673"/>
      <c r="AP1985" s="673"/>
      <c r="AQ1985" s="673"/>
      <c r="AR1985" s="673"/>
      <c r="AS1985" s="673"/>
      <c r="AT1985" s="696"/>
    </row>
    <row r="1986" ht="15.75" customHeight="1">
      <c r="A1986" s="653"/>
      <c r="B1986" s="654"/>
      <c r="C1986" s="691"/>
      <c r="D1986" s="656"/>
      <c r="E1986" s="657"/>
      <c r="F1986" s="658"/>
      <c r="G1986" s="659"/>
      <c r="H1986" s="660"/>
      <c r="I1986" s="659"/>
      <c r="J1986" s="661"/>
      <c r="K1986" s="692"/>
      <c r="L1986" s="645"/>
      <c r="M1986" s="663"/>
      <c r="N1986" s="665"/>
      <c r="O1986" s="665"/>
      <c r="P1986" s="666"/>
      <c r="Q1986" s="667"/>
      <c r="R1986" s="668"/>
      <c r="S1986" s="693"/>
      <c r="T1986" s="694"/>
      <c r="U1986" s="694"/>
      <c r="V1986" s="693"/>
      <c r="W1986" s="693"/>
      <c r="X1986" s="693"/>
      <c r="Y1986" s="671"/>
      <c r="Z1986" s="673"/>
      <c r="AA1986" s="672"/>
      <c r="AB1986" s="695"/>
      <c r="AC1986" s="673"/>
      <c r="AD1986" s="673"/>
      <c r="AE1986" s="673"/>
      <c r="AF1986" s="673"/>
      <c r="AG1986" s="673"/>
      <c r="AH1986" s="673"/>
      <c r="AI1986" s="673"/>
      <c r="AJ1986" s="673"/>
      <c r="AK1986" s="673"/>
      <c r="AL1986" s="673"/>
      <c r="AM1986" s="673"/>
      <c r="AN1986" s="673"/>
      <c r="AO1986" s="673"/>
      <c r="AP1986" s="673"/>
      <c r="AQ1986" s="673"/>
      <c r="AR1986" s="673"/>
      <c r="AS1986" s="673"/>
      <c r="AT1986" s="696"/>
    </row>
    <row r="1987" ht="15.75" customHeight="1">
      <c r="A1987" s="653"/>
      <c r="B1987" s="654"/>
      <c r="C1987" s="691"/>
      <c r="D1987" s="656"/>
      <c r="E1987" s="657"/>
      <c r="F1987" s="658"/>
      <c r="G1987" s="659"/>
      <c r="H1987" s="660"/>
      <c r="I1987" s="659"/>
      <c r="J1987" s="661"/>
      <c r="K1987" s="692"/>
      <c r="L1987" s="645"/>
      <c r="M1987" s="663"/>
      <c r="N1987" s="665"/>
      <c r="O1987" s="665"/>
      <c r="P1987" s="666"/>
      <c r="Q1987" s="667"/>
      <c r="R1987" s="668"/>
      <c r="S1987" s="693"/>
      <c r="T1987" s="694"/>
      <c r="U1987" s="694"/>
      <c r="V1987" s="693"/>
      <c r="W1987" s="693"/>
      <c r="X1987" s="693"/>
      <c r="Y1987" s="671"/>
      <c r="Z1987" s="673"/>
      <c r="AA1987" s="672"/>
      <c r="AB1987" s="695"/>
      <c r="AC1987" s="673"/>
      <c r="AD1987" s="673"/>
      <c r="AE1987" s="673"/>
      <c r="AF1987" s="673"/>
      <c r="AG1987" s="673"/>
      <c r="AH1987" s="673"/>
      <c r="AI1987" s="673"/>
      <c r="AJ1987" s="673"/>
      <c r="AK1987" s="673"/>
      <c r="AL1987" s="673"/>
      <c r="AM1987" s="673"/>
      <c r="AN1987" s="673"/>
      <c r="AO1987" s="673"/>
      <c r="AP1987" s="673"/>
      <c r="AQ1987" s="673"/>
      <c r="AR1987" s="673"/>
      <c r="AS1987" s="673"/>
      <c r="AT1987" s="696"/>
    </row>
    <row r="1988" ht="15.75" customHeight="1">
      <c r="A1988" s="653"/>
      <c r="B1988" s="654"/>
      <c r="C1988" s="691"/>
      <c r="D1988" s="656"/>
      <c r="E1988" s="657"/>
      <c r="F1988" s="658"/>
      <c r="G1988" s="659"/>
      <c r="H1988" s="660"/>
      <c r="I1988" s="659"/>
      <c r="J1988" s="661"/>
      <c r="K1988" s="692"/>
      <c r="L1988" s="645"/>
      <c r="M1988" s="663"/>
      <c r="N1988" s="665"/>
      <c r="O1988" s="665"/>
      <c r="P1988" s="666"/>
      <c r="Q1988" s="667"/>
      <c r="R1988" s="668"/>
      <c r="S1988" s="693"/>
      <c r="T1988" s="694"/>
      <c r="U1988" s="694"/>
      <c r="V1988" s="693"/>
      <c r="W1988" s="693"/>
      <c r="X1988" s="693"/>
      <c r="Y1988" s="671"/>
      <c r="Z1988" s="673"/>
      <c r="AA1988" s="672"/>
      <c r="AB1988" s="695"/>
      <c r="AC1988" s="673"/>
      <c r="AD1988" s="673"/>
      <c r="AE1988" s="673"/>
      <c r="AF1988" s="673"/>
      <c r="AG1988" s="673"/>
      <c r="AH1988" s="673"/>
      <c r="AI1988" s="673"/>
      <c r="AJ1988" s="673"/>
      <c r="AK1988" s="673"/>
      <c r="AL1988" s="673"/>
      <c r="AM1988" s="673"/>
      <c r="AN1988" s="673"/>
      <c r="AO1988" s="673"/>
      <c r="AP1988" s="673"/>
      <c r="AQ1988" s="673"/>
      <c r="AR1988" s="673"/>
      <c r="AS1988" s="673"/>
      <c r="AT1988" s="696"/>
    </row>
    <row r="1989" ht="15.75" customHeight="1">
      <c r="A1989" s="653"/>
      <c r="B1989" s="654"/>
      <c r="C1989" s="691"/>
      <c r="D1989" s="656"/>
      <c r="E1989" s="657"/>
      <c r="F1989" s="658"/>
      <c r="G1989" s="659"/>
      <c r="H1989" s="660"/>
      <c r="I1989" s="659"/>
      <c r="J1989" s="661"/>
      <c r="K1989" s="692"/>
      <c r="L1989" s="645"/>
      <c r="M1989" s="663"/>
      <c r="N1989" s="665"/>
      <c r="O1989" s="665"/>
      <c r="P1989" s="666"/>
      <c r="Q1989" s="667"/>
      <c r="R1989" s="668"/>
      <c r="S1989" s="693"/>
      <c r="T1989" s="694"/>
      <c r="U1989" s="694"/>
      <c r="V1989" s="693"/>
      <c r="W1989" s="693"/>
      <c r="X1989" s="693"/>
      <c r="Y1989" s="671"/>
      <c r="Z1989" s="673"/>
      <c r="AA1989" s="672"/>
      <c r="AB1989" s="695"/>
      <c r="AC1989" s="673"/>
      <c r="AD1989" s="673"/>
      <c r="AE1989" s="673"/>
      <c r="AF1989" s="673"/>
      <c r="AG1989" s="673"/>
      <c r="AH1989" s="673"/>
      <c r="AI1989" s="673"/>
      <c r="AJ1989" s="673"/>
      <c r="AK1989" s="673"/>
      <c r="AL1989" s="673"/>
      <c r="AM1989" s="673"/>
      <c r="AN1989" s="673"/>
      <c r="AO1989" s="673"/>
      <c r="AP1989" s="673"/>
      <c r="AQ1989" s="673"/>
      <c r="AR1989" s="673"/>
      <c r="AS1989" s="673"/>
      <c r="AT1989" s="696"/>
    </row>
    <row r="1990" ht="15.75" customHeight="1">
      <c r="A1990" s="653"/>
      <c r="B1990" s="654"/>
      <c r="C1990" s="691"/>
      <c r="D1990" s="656"/>
      <c r="E1990" s="657"/>
      <c r="F1990" s="658"/>
      <c r="G1990" s="659"/>
      <c r="H1990" s="660"/>
      <c r="I1990" s="659"/>
      <c r="J1990" s="661"/>
      <c r="K1990" s="692"/>
      <c r="L1990" s="645"/>
      <c r="M1990" s="663"/>
      <c r="N1990" s="665"/>
      <c r="O1990" s="665"/>
      <c r="P1990" s="666"/>
      <c r="Q1990" s="667"/>
      <c r="R1990" s="668"/>
      <c r="S1990" s="693"/>
      <c r="T1990" s="694"/>
      <c r="U1990" s="694"/>
      <c r="V1990" s="693"/>
      <c r="W1990" s="693"/>
      <c r="X1990" s="693"/>
      <c r="Y1990" s="671"/>
      <c r="Z1990" s="673"/>
      <c r="AA1990" s="672"/>
      <c r="AB1990" s="695"/>
      <c r="AC1990" s="673"/>
      <c r="AD1990" s="673"/>
      <c r="AE1990" s="673"/>
      <c r="AF1990" s="673"/>
      <c r="AG1990" s="673"/>
      <c r="AH1990" s="673"/>
      <c r="AI1990" s="673"/>
      <c r="AJ1990" s="673"/>
      <c r="AK1990" s="673"/>
      <c r="AL1990" s="673"/>
      <c r="AM1990" s="673"/>
      <c r="AN1990" s="673"/>
      <c r="AO1990" s="673"/>
      <c r="AP1990" s="673"/>
      <c r="AQ1990" s="673"/>
      <c r="AR1990" s="673"/>
      <c r="AS1990" s="673"/>
      <c r="AT1990" s="696"/>
    </row>
    <row r="1991" ht="15.75" customHeight="1">
      <c r="A1991" s="653"/>
      <c r="B1991" s="654"/>
      <c r="C1991" s="691"/>
      <c r="D1991" s="656"/>
      <c r="E1991" s="657"/>
      <c r="F1991" s="658"/>
      <c r="G1991" s="659"/>
      <c r="H1991" s="660"/>
      <c r="I1991" s="659"/>
      <c r="J1991" s="661"/>
      <c r="K1991" s="692"/>
      <c r="L1991" s="645"/>
      <c r="M1991" s="663"/>
      <c r="N1991" s="665"/>
      <c r="O1991" s="665"/>
      <c r="P1991" s="666"/>
      <c r="Q1991" s="667"/>
      <c r="R1991" s="668"/>
      <c r="S1991" s="693"/>
      <c r="T1991" s="694"/>
      <c r="U1991" s="694"/>
      <c r="V1991" s="693"/>
      <c r="W1991" s="693"/>
      <c r="X1991" s="693"/>
      <c r="Y1991" s="671"/>
      <c r="Z1991" s="673"/>
      <c r="AA1991" s="672"/>
      <c r="AB1991" s="695"/>
      <c r="AC1991" s="673"/>
      <c r="AD1991" s="673"/>
      <c r="AE1991" s="673"/>
      <c r="AF1991" s="673"/>
      <c r="AG1991" s="673"/>
      <c r="AH1991" s="673"/>
      <c r="AI1991" s="673"/>
      <c r="AJ1991" s="673"/>
      <c r="AK1991" s="673"/>
      <c r="AL1991" s="673"/>
      <c r="AM1991" s="673"/>
      <c r="AN1991" s="673"/>
      <c r="AO1991" s="673"/>
      <c r="AP1991" s="673"/>
      <c r="AQ1991" s="673"/>
      <c r="AR1991" s="673"/>
      <c r="AS1991" s="673"/>
      <c r="AT1991" s="696"/>
    </row>
    <row r="1992" ht="15.75" customHeight="1">
      <c r="A1992" s="653"/>
      <c r="B1992" s="654"/>
      <c r="C1992" s="691"/>
      <c r="D1992" s="656"/>
      <c r="E1992" s="657"/>
      <c r="F1992" s="658"/>
      <c r="G1992" s="659"/>
      <c r="H1992" s="660"/>
      <c r="I1992" s="659"/>
      <c r="J1992" s="661"/>
      <c r="K1992" s="692"/>
      <c r="L1992" s="645"/>
      <c r="M1992" s="663"/>
      <c r="N1992" s="665"/>
      <c r="O1992" s="665"/>
      <c r="P1992" s="666"/>
      <c r="Q1992" s="667"/>
      <c r="R1992" s="668"/>
      <c r="S1992" s="693"/>
      <c r="T1992" s="694"/>
      <c r="U1992" s="694"/>
      <c r="V1992" s="693"/>
      <c r="W1992" s="693"/>
      <c r="X1992" s="693"/>
      <c r="Y1992" s="671"/>
      <c r="Z1992" s="673"/>
      <c r="AA1992" s="672"/>
      <c r="AB1992" s="695"/>
      <c r="AC1992" s="673"/>
      <c r="AD1992" s="673"/>
      <c r="AE1992" s="673"/>
      <c r="AF1992" s="673"/>
      <c r="AG1992" s="673"/>
      <c r="AH1992" s="673"/>
      <c r="AI1992" s="673"/>
      <c r="AJ1992" s="673"/>
      <c r="AK1992" s="673"/>
      <c r="AL1992" s="673"/>
      <c r="AM1992" s="673"/>
      <c r="AN1992" s="673"/>
      <c r="AO1992" s="673"/>
      <c r="AP1992" s="673"/>
      <c r="AQ1992" s="673"/>
      <c r="AR1992" s="673"/>
      <c r="AS1992" s="673"/>
      <c r="AT1992" s="696"/>
    </row>
    <row r="1993" ht="15.75" customHeight="1">
      <c r="A1993" s="653"/>
      <c r="B1993" s="654"/>
      <c r="C1993" s="691"/>
      <c r="D1993" s="656"/>
      <c r="E1993" s="657"/>
      <c r="F1993" s="658"/>
      <c r="G1993" s="659"/>
      <c r="H1993" s="660"/>
      <c r="I1993" s="659"/>
      <c r="J1993" s="661"/>
      <c r="K1993" s="692"/>
      <c r="L1993" s="645"/>
      <c r="M1993" s="663"/>
      <c r="N1993" s="665"/>
      <c r="O1993" s="665"/>
      <c r="P1993" s="666"/>
      <c r="Q1993" s="667"/>
      <c r="R1993" s="668"/>
      <c r="S1993" s="693"/>
      <c r="T1993" s="694"/>
      <c r="U1993" s="694"/>
      <c r="V1993" s="693"/>
      <c r="W1993" s="693"/>
      <c r="X1993" s="693"/>
      <c r="Y1993" s="671"/>
      <c r="Z1993" s="673"/>
      <c r="AA1993" s="672"/>
      <c r="AB1993" s="695"/>
      <c r="AC1993" s="673"/>
      <c r="AD1993" s="673"/>
      <c r="AE1993" s="673"/>
      <c r="AF1993" s="673"/>
      <c r="AG1993" s="673"/>
      <c r="AH1993" s="673"/>
      <c r="AI1993" s="673"/>
      <c r="AJ1993" s="673"/>
      <c r="AK1993" s="673"/>
      <c r="AL1993" s="673"/>
      <c r="AM1993" s="673"/>
      <c r="AN1993" s="673"/>
      <c r="AO1993" s="673"/>
      <c r="AP1993" s="673"/>
      <c r="AQ1993" s="673"/>
      <c r="AR1993" s="673"/>
      <c r="AS1993" s="673"/>
      <c r="AT1993" s="696"/>
    </row>
    <row r="1994" ht="15.75" customHeight="1">
      <c r="A1994" s="653"/>
      <c r="B1994" s="654"/>
      <c r="C1994" s="691"/>
      <c r="D1994" s="656"/>
      <c r="E1994" s="657"/>
      <c r="F1994" s="658"/>
      <c r="G1994" s="659"/>
      <c r="H1994" s="660"/>
      <c r="I1994" s="659"/>
      <c r="J1994" s="661"/>
      <c r="K1994" s="692"/>
      <c r="L1994" s="645"/>
      <c r="M1994" s="663"/>
      <c r="N1994" s="665"/>
      <c r="O1994" s="665"/>
      <c r="P1994" s="666"/>
      <c r="Q1994" s="667"/>
      <c r="R1994" s="668"/>
      <c r="S1994" s="693"/>
      <c r="T1994" s="694"/>
      <c r="U1994" s="694"/>
      <c r="V1994" s="693"/>
      <c r="W1994" s="693"/>
      <c r="X1994" s="693"/>
      <c r="Y1994" s="671"/>
      <c r="Z1994" s="673"/>
      <c r="AA1994" s="672"/>
      <c r="AB1994" s="695"/>
      <c r="AC1994" s="673"/>
      <c r="AD1994" s="673"/>
      <c r="AE1994" s="673"/>
      <c r="AF1994" s="673"/>
      <c r="AG1994" s="673"/>
      <c r="AH1994" s="673"/>
      <c r="AI1994" s="673"/>
      <c r="AJ1994" s="673"/>
      <c r="AK1994" s="673"/>
      <c r="AL1994" s="673"/>
      <c r="AM1994" s="673"/>
      <c r="AN1994" s="673"/>
      <c r="AO1994" s="673"/>
      <c r="AP1994" s="673"/>
      <c r="AQ1994" s="673"/>
      <c r="AR1994" s="673"/>
      <c r="AS1994" s="673"/>
      <c r="AT1994" s="696"/>
    </row>
    <row r="1995" ht="15.75" customHeight="1">
      <c r="A1995" s="653"/>
      <c r="B1995" s="654"/>
      <c r="C1995" s="691"/>
      <c r="D1995" s="656"/>
      <c r="E1995" s="657"/>
      <c r="F1995" s="658"/>
      <c r="G1995" s="659"/>
      <c r="H1995" s="660"/>
      <c r="I1995" s="659"/>
      <c r="J1995" s="661"/>
      <c r="K1995" s="692"/>
      <c r="L1995" s="645"/>
      <c r="M1995" s="663"/>
      <c r="N1995" s="665"/>
      <c r="O1995" s="665"/>
      <c r="P1995" s="666"/>
      <c r="Q1995" s="667"/>
      <c r="R1995" s="668"/>
      <c r="S1995" s="693"/>
      <c r="T1995" s="694"/>
      <c r="U1995" s="694"/>
      <c r="V1995" s="693"/>
      <c r="W1995" s="693"/>
      <c r="X1995" s="693"/>
      <c r="Y1995" s="671"/>
      <c r="Z1995" s="673"/>
      <c r="AA1995" s="672"/>
      <c r="AB1995" s="695"/>
      <c r="AC1995" s="673"/>
      <c r="AD1995" s="673"/>
      <c r="AE1995" s="673"/>
      <c r="AF1995" s="673"/>
      <c r="AG1995" s="673"/>
      <c r="AH1995" s="673"/>
      <c r="AI1995" s="673"/>
      <c r="AJ1995" s="673"/>
      <c r="AK1995" s="673"/>
      <c r="AL1995" s="673"/>
      <c r="AM1995" s="673"/>
      <c r="AN1995" s="673"/>
      <c r="AO1995" s="673"/>
      <c r="AP1995" s="673"/>
      <c r="AQ1995" s="673"/>
      <c r="AR1995" s="673"/>
      <c r="AS1995" s="673"/>
      <c r="AT1995" s="696"/>
    </row>
    <row r="1996" ht="15.75" customHeight="1">
      <c r="A1996" s="653"/>
      <c r="B1996" s="654"/>
      <c r="C1996" s="691"/>
      <c r="D1996" s="656"/>
      <c r="E1996" s="657"/>
      <c r="F1996" s="658"/>
      <c r="G1996" s="659"/>
      <c r="H1996" s="660"/>
      <c r="I1996" s="659"/>
      <c r="J1996" s="661"/>
      <c r="K1996" s="692"/>
      <c r="L1996" s="645"/>
      <c r="M1996" s="663"/>
      <c r="N1996" s="665"/>
      <c r="O1996" s="665"/>
      <c r="P1996" s="666"/>
      <c r="Q1996" s="667"/>
      <c r="R1996" s="668"/>
      <c r="S1996" s="693"/>
      <c r="T1996" s="694"/>
      <c r="U1996" s="694"/>
      <c r="V1996" s="693"/>
      <c r="W1996" s="693"/>
      <c r="X1996" s="693"/>
      <c r="Y1996" s="671"/>
      <c r="Z1996" s="673"/>
      <c r="AA1996" s="672"/>
      <c r="AB1996" s="695"/>
      <c r="AC1996" s="673"/>
      <c r="AD1996" s="673"/>
      <c r="AE1996" s="673"/>
      <c r="AF1996" s="673"/>
      <c r="AG1996" s="673"/>
      <c r="AH1996" s="673"/>
      <c r="AI1996" s="673"/>
      <c r="AJ1996" s="673"/>
      <c r="AK1996" s="673"/>
      <c r="AL1996" s="673"/>
      <c r="AM1996" s="673"/>
      <c r="AN1996" s="673"/>
      <c r="AO1996" s="673"/>
      <c r="AP1996" s="673"/>
      <c r="AQ1996" s="673"/>
      <c r="AR1996" s="673"/>
      <c r="AS1996" s="673"/>
      <c r="AT1996" s="696"/>
    </row>
    <row r="1997" ht="15.75" customHeight="1">
      <c r="A1997" s="653"/>
      <c r="B1997" s="654"/>
      <c r="C1997" s="691"/>
      <c r="D1997" s="656"/>
      <c r="E1997" s="657"/>
      <c r="F1997" s="658"/>
      <c r="G1997" s="659"/>
      <c r="H1997" s="660"/>
      <c r="I1997" s="659"/>
      <c r="J1997" s="661"/>
      <c r="K1997" s="692"/>
      <c r="L1997" s="645"/>
      <c r="M1997" s="663"/>
      <c r="N1997" s="665"/>
      <c r="O1997" s="665"/>
      <c r="P1997" s="666"/>
      <c r="Q1997" s="667"/>
      <c r="R1997" s="668"/>
      <c r="S1997" s="693"/>
      <c r="T1997" s="694"/>
      <c r="U1997" s="694"/>
      <c r="V1997" s="693"/>
      <c r="W1997" s="693"/>
      <c r="X1997" s="693"/>
      <c r="Y1997" s="671"/>
      <c r="Z1997" s="673"/>
      <c r="AA1997" s="672"/>
      <c r="AB1997" s="695"/>
      <c r="AC1997" s="673"/>
      <c r="AD1997" s="673"/>
      <c r="AE1997" s="673"/>
      <c r="AF1997" s="673"/>
      <c r="AG1997" s="673"/>
      <c r="AH1997" s="673"/>
      <c r="AI1997" s="673"/>
      <c r="AJ1997" s="673"/>
      <c r="AK1997" s="673"/>
      <c r="AL1997" s="673"/>
      <c r="AM1997" s="673"/>
      <c r="AN1997" s="673"/>
      <c r="AO1997" s="673"/>
      <c r="AP1997" s="673"/>
      <c r="AQ1997" s="673"/>
      <c r="AR1997" s="673"/>
      <c r="AS1997" s="673"/>
      <c r="AT1997" s="696"/>
    </row>
    <row r="1998" ht="15.75" customHeight="1">
      <c r="A1998" s="653"/>
      <c r="B1998" s="654"/>
      <c r="C1998" s="691"/>
      <c r="D1998" s="656"/>
      <c r="E1998" s="657"/>
      <c r="F1998" s="658"/>
      <c r="G1998" s="659"/>
      <c r="H1998" s="660"/>
      <c r="I1998" s="659"/>
      <c r="J1998" s="661"/>
      <c r="K1998" s="692"/>
      <c r="L1998" s="645"/>
      <c r="M1998" s="663"/>
      <c r="N1998" s="665"/>
      <c r="O1998" s="665"/>
      <c r="P1998" s="666"/>
      <c r="Q1998" s="667"/>
      <c r="R1998" s="668"/>
      <c r="S1998" s="693"/>
      <c r="T1998" s="694"/>
      <c r="U1998" s="694"/>
      <c r="V1998" s="693"/>
      <c r="W1998" s="693"/>
      <c r="X1998" s="693"/>
      <c r="Y1998" s="671"/>
      <c r="Z1998" s="673"/>
      <c r="AA1998" s="672"/>
      <c r="AB1998" s="695"/>
      <c r="AC1998" s="673"/>
      <c r="AD1998" s="673"/>
      <c r="AE1998" s="673"/>
      <c r="AF1998" s="673"/>
      <c r="AG1998" s="673"/>
      <c r="AH1998" s="673"/>
      <c r="AI1998" s="673"/>
      <c r="AJ1998" s="673"/>
      <c r="AK1998" s="673"/>
      <c r="AL1998" s="673"/>
      <c r="AM1998" s="673"/>
      <c r="AN1998" s="673"/>
      <c r="AO1998" s="673"/>
      <c r="AP1998" s="673"/>
      <c r="AQ1998" s="673"/>
      <c r="AR1998" s="673"/>
      <c r="AS1998" s="673"/>
      <c r="AT1998" s="696"/>
    </row>
    <row r="1999" ht="15.75" customHeight="1">
      <c r="A1999" s="653"/>
      <c r="B1999" s="654"/>
      <c r="C1999" s="691"/>
      <c r="D1999" s="656"/>
      <c r="E1999" s="657"/>
      <c r="F1999" s="658"/>
      <c r="G1999" s="659"/>
      <c r="H1999" s="660"/>
      <c r="I1999" s="659"/>
      <c r="J1999" s="661"/>
      <c r="K1999" s="692"/>
      <c r="L1999" s="645"/>
      <c r="M1999" s="663"/>
      <c r="N1999" s="665"/>
      <c r="O1999" s="665"/>
      <c r="P1999" s="666"/>
      <c r="Q1999" s="667"/>
      <c r="R1999" s="668"/>
      <c r="S1999" s="693"/>
      <c r="T1999" s="694"/>
      <c r="U1999" s="694"/>
      <c r="V1999" s="693"/>
      <c r="W1999" s="693"/>
      <c r="X1999" s="693"/>
      <c r="Y1999" s="671"/>
      <c r="Z1999" s="673"/>
      <c r="AA1999" s="672"/>
      <c r="AB1999" s="695"/>
      <c r="AC1999" s="673"/>
      <c r="AD1999" s="673"/>
      <c r="AE1999" s="673"/>
      <c r="AF1999" s="673"/>
      <c r="AG1999" s="673"/>
      <c r="AH1999" s="673"/>
      <c r="AI1999" s="673"/>
      <c r="AJ1999" s="673"/>
      <c r="AK1999" s="673"/>
      <c r="AL1999" s="673"/>
      <c r="AM1999" s="673"/>
      <c r="AN1999" s="673"/>
      <c r="AO1999" s="673"/>
      <c r="AP1999" s="673"/>
      <c r="AQ1999" s="673"/>
      <c r="AR1999" s="673"/>
      <c r="AS1999" s="673"/>
      <c r="AT1999" s="696"/>
    </row>
    <row r="2000" ht="15.75" customHeight="1">
      <c r="A2000" s="653"/>
      <c r="B2000" s="654"/>
      <c r="C2000" s="691"/>
      <c r="D2000" s="656"/>
      <c r="E2000" s="657"/>
      <c r="F2000" s="658"/>
      <c r="G2000" s="659"/>
      <c r="H2000" s="660"/>
      <c r="I2000" s="659"/>
      <c r="J2000" s="661"/>
      <c r="K2000" s="692"/>
      <c r="L2000" s="645"/>
      <c r="M2000" s="663"/>
      <c r="N2000" s="665"/>
      <c r="O2000" s="665"/>
      <c r="P2000" s="666"/>
      <c r="Q2000" s="667"/>
      <c r="R2000" s="668"/>
      <c r="S2000" s="693"/>
      <c r="T2000" s="694"/>
      <c r="U2000" s="694"/>
      <c r="V2000" s="693"/>
      <c r="W2000" s="693"/>
      <c r="X2000" s="693"/>
      <c r="Y2000" s="671"/>
      <c r="Z2000" s="673"/>
      <c r="AA2000" s="672"/>
      <c r="AB2000" s="695"/>
      <c r="AC2000" s="673"/>
      <c r="AD2000" s="673"/>
      <c r="AE2000" s="673"/>
      <c r="AF2000" s="673"/>
      <c r="AG2000" s="673"/>
      <c r="AH2000" s="673"/>
      <c r="AI2000" s="673"/>
      <c r="AJ2000" s="673"/>
      <c r="AK2000" s="673"/>
      <c r="AL2000" s="673"/>
      <c r="AM2000" s="673"/>
      <c r="AN2000" s="673"/>
      <c r="AO2000" s="673"/>
      <c r="AP2000" s="673"/>
      <c r="AQ2000" s="673"/>
      <c r="AR2000" s="673"/>
      <c r="AS2000" s="673"/>
      <c r="AT2000" s="696"/>
    </row>
    <row r="2001" ht="15.75" customHeight="1">
      <c r="A2001" s="653"/>
      <c r="B2001" s="654"/>
      <c r="C2001" s="691"/>
      <c r="D2001" s="656"/>
      <c r="E2001" s="657"/>
      <c r="F2001" s="658"/>
      <c r="G2001" s="659"/>
      <c r="H2001" s="660"/>
      <c r="I2001" s="659"/>
      <c r="J2001" s="661"/>
      <c r="K2001" s="692"/>
      <c r="L2001" s="645"/>
      <c r="M2001" s="663"/>
      <c r="N2001" s="665"/>
      <c r="O2001" s="665"/>
      <c r="P2001" s="666"/>
      <c r="Q2001" s="667"/>
      <c r="R2001" s="668"/>
      <c r="S2001" s="693"/>
      <c r="T2001" s="694"/>
      <c r="U2001" s="694"/>
      <c r="V2001" s="693"/>
      <c r="W2001" s="693"/>
      <c r="X2001" s="693"/>
      <c r="Y2001" s="671"/>
      <c r="Z2001" s="673"/>
      <c r="AA2001" s="672"/>
      <c r="AB2001" s="695"/>
      <c r="AC2001" s="673"/>
      <c r="AD2001" s="673"/>
      <c r="AE2001" s="673"/>
      <c r="AF2001" s="673"/>
      <c r="AG2001" s="673"/>
      <c r="AH2001" s="673"/>
      <c r="AI2001" s="673"/>
      <c r="AJ2001" s="673"/>
      <c r="AK2001" s="673"/>
      <c r="AL2001" s="673"/>
      <c r="AM2001" s="673"/>
      <c r="AN2001" s="673"/>
      <c r="AO2001" s="673"/>
      <c r="AP2001" s="673"/>
      <c r="AQ2001" s="673"/>
      <c r="AR2001" s="673"/>
      <c r="AS2001" s="673"/>
      <c r="AT2001" s="696"/>
    </row>
    <row r="2002" ht="15.75" customHeight="1">
      <c r="A2002" s="653"/>
      <c r="B2002" s="654"/>
      <c r="C2002" s="691"/>
      <c r="D2002" s="656"/>
      <c r="E2002" s="657"/>
      <c r="F2002" s="658"/>
      <c r="G2002" s="659"/>
      <c r="H2002" s="660"/>
      <c r="I2002" s="659"/>
      <c r="J2002" s="661"/>
      <c r="K2002" s="692"/>
      <c r="L2002" s="645"/>
      <c r="M2002" s="663"/>
      <c r="N2002" s="665"/>
      <c r="O2002" s="665"/>
      <c r="P2002" s="666"/>
      <c r="Q2002" s="667"/>
      <c r="R2002" s="668"/>
      <c r="S2002" s="693"/>
      <c r="T2002" s="694"/>
      <c r="U2002" s="694"/>
      <c r="V2002" s="693"/>
      <c r="W2002" s="693"/>
      <c r="X2002" s="693"/>
      <c r="Y2002" s="671"/>
      <c r="Z2002" s="673"/>
      <c r="AA2002" s="672"/>
      <c r="AB2002" s="695"/>
      <c r="AC2002" s="673"/>
      <c r="AD2002" s="673"/>
      <c r="AE2002" s="673"/>
      <c r="AF2002" s="673"/>
      <c r="AG2002" s="673"/>
      <c r="AH2002" s="673"/>
      <c r="AI2002" s="673"/>
      <c r="AJ2002" s="673"/>
      <c r="AK2002" s="673"/>
      <c r="AL2002" s="673"/>
      <c r="AM2002" s="673"/>
      <c r="AN2002" s="673"/>
      <c r="AO2002" s="673"/>
      <c r="AP2002" s="673"/>
      <c r="AQ2002" s="673"/>
      <c r="AR2002" s="673"/>
      <c r="AS2002" s="673"/>
      <c r="AT2002" s="696"/>
    </row>
    <row r="2003" ht="15.75" customHeight="1">
      <c r="A2003" s="653"/>
      <c r="B2003" s="654"/>
      <c r="C2003" s="691"/>
      <c r="D2003" s="656"/>
      <c r="E2003" s="657"/>
      <c r="F2003" s="658"/>
      <c r="G2003" s="659"/>
      <c r="H2003" s="660"/>
      <c r="I2003" s="659"/>
      <c r="J2003" s="661"/>
      <c r="K2003" s="692"/>
      <c r="L2003" s="645"/>
      <c r="M2003" s="663"/>
      <c r="N2003" s="665"/>
      <c r="O2003" s="665"/>
      <c r="P2003" s="666"/>
      <c r="Q2003" s="667"/>
      <c r="R2003" s="668"/>
      <c r="S2003" s="693"/>
      <c r="T2003" s="694"/>
      <c r="U2003" s="694"/>
      <c r="V2003" s="693"/>
      <c r="W2003" s="693"/>
      <c r="X2003" s="693"/>
      <c r="Y2003" s="671"/>
      <c r="Z2003" s="673"/>
      <c r="AA2003" s="672"/>
      <c r="AB2003" s="695"/>
      <c r="AC2003" s="673"/>
      <c r="AD2003" s="673"/>
      <c r="AE2003" s="673"/>
      <c r="AF2003" s="673"/>
      <c r="AG2003" s="673"/>
      <c r="AH2003" s="673"/>
      <c r="AI2003" s="673"/>
      <c r="AJ2003" s="673"/>
      <c r="AK2003" s="673"/>
      <c r="AL2003" s="673"/>
      <c r="AM2003" s="673"/>
      <c r="AN2003" s="673"/>
      <c r="AO2003" s="673"/>
      <c r="AP2003" s="673"/>
      <c r="AQ2003" s="673"/>
      <c r="AR2003" s="673"/>
      <c r="AS2003" s="673"/>
      <c r="AT2003" s="696"/>
    </row>
    <row r="2004" ht="15.75" customHeight="1">
      <c r="A2004" s="653"/>
      <c r="B2004" s="654"/>
      <c r="C2004" s="691"/>
      <c r="D2004" s="656"/>
      <c r="E2004" s="657"/>
      <c r="F2004" s="658"/>
      <c r="G2004" s="659"/>
      <c r="H2004" s="660"/>
      <c r="I2004" s="659"/>
      <c r="J2004" s="661"/>
      <c r="K2004" s="692"/>
      <c r="L2004" s="645"/>
      <c r="M2004" s="663"/>
      <c r="N2004" s="665"/>
      <c r="O2004" s="665"/>
      <c r="P2004" s="666"/>
      <c r="Q2004" s="667"/>
      <c r="R2004" s="668"/>
      <c r="S2004" s="693"/>
      <c r="T2004" s="694"/>
      <c r="U2004" s="694"/>
      <c r="V2004" s="693"/>
      <c r="W2004" s="693"/>
      <c r="X2004" s="693"/>
      <c r="Y2004" s="671"/>
      <c r="Z2004" s="673"/>
      <c r="AA2004" s="672"/>
      <c r="AB2004" s="695"/>
      <c r="AC2004" s="673"/>
      <c r="AD2004" s="673"/>
      <c r="AE2004" s="673"/>
      <c r="AF2004" s="673"/>
      <c r="AG2004" s="673"/>
      <c r="AH2004" s="673"/>
      <c r="AI2004" s="673"/>
      <c r="AJ2004" s="673"/>
      <c r="AK2004" s="673"/>
      <c r="AL2004" s="673"/>
      <c r="AM2004" s="673"/>
      <c r="AN2004" s="673"/>
      <c r="AO2004" s="673"/>
      <c r="AP2004" s="673"/>
      <c r="AQ2004" s="673"/>
      <c r="AR2004" s="673"/>
      <c r="AS2004" s="673"/>
      <c r="AT2004" s="696"/>
    </row>
    <row r="2005" ht="15.75" customHeight="1">
      <c r="A2005" s="653"/>
      <c r="B2005" s="654"/>
      <c r="C2005" s="691"/>
      <c r="D2005" s="656"/>
      <c r="E2005" s="657"/>
      <c r="F2005" s="658"/>
      <c r="G2005" s="659"/>
      <c r="H2005" s="660"/>
      <c r="I2005" s="659"/>
      <c r="J2005" s="661"/>
      <c r="K2005" s="692"/>
      <c r="L2005" s="645"/>
      <c r="M2005" s="663"/>
      <c r="N2005" s="665"/>
      <c r="O2005" s="665"/>
      <c r="P2005" s="666"/>
      <c r="Q2005" s="667"/>
      <c r="R2005" s="668"/>
      <c r="S2005" s="693"/>
      <c r="T2005" s="694"/>
      <c r="U2005" s="694"/>
      <c r="V2005" s="693"/>
      <c r="W2005" s="693"/>
      <c r="X2005" s="693"/>
      <c r="Y2005" s="671"/>
      <c r="Z2005" s="673"/>
      <c r="AA2005" s="672"/>
      <c r="AB2005" s="695"/>
      <c r="AC2005" s="673"/>
      <c r="AD2005" s="673"/>
      <c r="AE2005" s="673"/>
      <c r="AF2005" s="673"/>
      <c r="AG2005" s="673"/>
      <c r="AH2005" s="673"/>
      <c r="AI2005" s="673"/>
      <c r="AJ2005" s="673"/>
      <c r="AK2005" s="673"/>
      <c r="AL2005" s="673"/>
      <c r="AM2005" s="673"/>
      <c r="AN2005" s="673"/>
      <c r="AO2005" s="673"/>
      <c r="AP2005" s="673"/>
      <c r="AQ2005" s="673"/>
      <c r="AR2005" s="673"/>
      <c r="AS2005" s="673"/>
      <c r="AT2005" s="696"/>
    </row>
    <row r="2006" ht="15.75" customHeight="1">
      <c r="A2006" s="653"/>
      <c r="B2006" s="654"/>
      <c r="C2006" s="691"/>
      <c r="D2006" s="656"/>
      <c r="E2006" s="657"/>
      <c r="F2006" s="658"/>
      <c r="G2006" s="659"/>
      <c r="H2006" s="660"/>
      <c r="I2006" s="659"/>
      <c r="J2006" s="661"/>
      <c r="K2006" s="692"/>
      <c r="L2006" s="645"/>
      <c r="M2006" s="663"/>
      <c r="N2006" s="665"/>
      <c r="O2006" s="665"/>
      <c r="P2006" s="666"/>
      <c r="Q2006" s="667"/>
      <c r="R2006" s="668"/>
      <c r="S2006" s="693"/>
      <c r="T2006" s="694"/>
      <c r="U2006" s="694"/>
      <c r="V2006" s="693"/>
      <c r="W2006" s="693"/>
      <c r="X2006" s="693"/>
      <c r="Y2006" s="671"/>
      <c r="Z2006" s="673"/>
      <c r="AA2006" s="672"/>
      <c r="AB2006" s="695"/>
      <c r="AC2006" s="673"/>
      <c r="AD2006" s="673"/>
      <c r="AE2006" s="673"/>
      <c r="AF2006" s="673"/>
      <c r="AG2006" s="673"/>
      <c r="AH2006" s="673"/>
      <c r="AI2006" s="673"/>
      <c r="AJ2006" s="673"/>
      <c r="AK2006" s="673"/>
      <c r="AL2006" s="673"/>
      <c r="AM2006" s="673"/>
      <c r="AN2006" s="673"/>
      <c r="AO2006" s="673"/>
      <c r="AP2006" s="673"/>
      <c r="AQ2006" s="673"/>
      <c r="AR2006" s="673"/>
      <c r="AS2006" s="673"/>
      <c r="AT2006" s="696"/>
    </row>
    <row r="2007" ht="15.75" customHeight="1">
      <c r="A2007" s="653"/>
      <c r="B2007" s="654"/>
      <c r="C2007" s="691"/>
      <c r="D2007" s="656"/>
      <c r="E2007" s="657"/>
      <c r="F2007" s="658"/>
      <c r="G2007" s="659"/>
      <c r="H2007" s="660"/>
      <c r="I2007" s="659"/>
      <c r="J2007" s="661"/>
      <c r="K2007" s="692"/>
      <c r="L2007" s="645"/>
      <c r="M2007" s="663"/>
      <c r="N2007" s="665"/>
      <c r="O2007" s="665"/>
      <c r="P2007" s="666"/>
      <c r="Q2007" s="667"/>
      <c r="R2007" s="668"/>
      <c r="S2007" s="693"/>
      <c r="T2007" s="694"/>
      <c r="U2007" s="694"/>
      <c r="V2007" s="693"/>
      <c r="W2007" s="693"/>
      <c r="X2007" s="693"/>
      <c r="Y2007" s="671"/>
      <c r="Z2007" s="673"/>
      <c r="AA2007" s="672"/>
      <c r="AB2007" s="695"/>
      <c r="AC2007" s="673"/>
      <c r="AD2007" s="673"/>
      <c r="AE2007" s="673"/>
      <c r="AF2007" s="673"/>
      <c r="AG2007" s="673"/>
      <c r="AH2007" s="673"/>
      <c r="AI2007" s="673"/>
      <c r="AJ2007" s="673"/>
      <c r="AK2007" s="673"/>
      <c r="AL2007" s="673"/>
      <c r="AM2007" s="673"/>
      <c r="AN2007" s="673"/>
      <c r="AO2007" s="673"/>
      <c r="AP2007" s="673"/>
      <c r="AQ2007" s="673"/>
      <c r="AR2007" s="673"/>
      <c r="AS2007" s="673"/>
      <c r="AT2007" s="696"/>
    </row>
    <row r="2008" ht="15.75" customHeight="1">
      <c r="A2008" s="653"/>
      <c r="B2008" s="654"/>
      <c r="C2008" s="691"/>
      <c r="D2008" s="656"/>
      <c r="E2008" s="657"/>
      <c r="F2008" s="658"/>
      <c r="G2008" s="659"/>
      <c r="H2008" s="660"/>
      <c r="I2008" s="659"/>
      <c r="J2008" s="661"/>
      <c r="K2008" s="692"/>
      <c r="L2008" s="645"/>
      <c r="M2008" s="663"/>
      <c r="N2008" s="665"/>
      <c r="O2008" s="665"/>
      <c r="P2008" s="666"/>
      <c r="Q2008" s="667"/>
      <c r="R2008" s="668"/>
      <c r="S2008" s="693"/>
      <c r="T2008" s="694"/>
      <c r="U2008" s="694"/>
      <c r="V2008" s="693"/>
      <c r="W2008" s="693"/>
      <c r="X2008" s="693"/>
      <c r="Y2008" s="671"/>
      <c r="Z2008" s="673"/>
      <c r="AA2008" s="672"/>
      <c r="AB2008" s="695"/>
      <c r="AC2008" s="673"/>
      <c r="AD2008" s="673"/>
      <c r="AE2008" s="673"/>
      <c r="AF2008" s="673"/>
      <c r="AG2008" s="673"/>
      <c r="AH2008" s="673"/>
      <c r="AI2008" s="673"/>
      <c r="AJ2008" s="673"/>
      <c r="AK2008" s="673"/>
      <c r="AL2008" s="673"/>
      <c r="AM2008" s="673"/>
      <c r="AN2008" s="673"/>
      <c r="AO2008" s="673"/>
      <c r="AP2008" s="673"/>
      <c r="AQ2008" s="673"/>
      <c r="AR2008" s="673"/>
      <c r="AS2008" s="673"/>
      <c r="AT2008" s="696"/>
    </row>
    <row r="2009" ht="15.75" customHeight="1">
      <c r="A2009" s="653"/>
      <c r="B2009" s="654"/>
      <c r="C2009" s="691"/>
      <c r="D2009" s="656"/>
      <c r="E2009" s="657"/>
      <c r="F2009" s="658"/>
      <c r="G2009" s="659"/>
      <c r="H2009" s="660"/>
      <c r="I2009" s="659"/>
      <c r="J2009" s="661"/>
      <c r="K2009" s="692"/>
      <c r="L2009" s="645"/>
      <c r="M2009" s="663"/>
      <c r="N2009" s="665"/>
      <c r="O2009" s="665"/>
      <c r="P2009" s="666"/>
      <c r="Q2009" s="667"/>
      <c r="R2009" s="668"/>
      <c r="S2009" s="693"/>
      <c r="T2009" s="694"/>
      <c r="U2009" s="694"/>
      <c r="V2009" s="693"/>
      <c r="W2009" s="693"/>
      <c r="X2009" s="693"/>
      <c r="Y2009" s="671"/>
      <c r="Z2009" s="673"/>
      <c r="AA2009" s="672"/>
      <c r="AB2009" s="695"/>
      <c r="AC2009" s="673"/>
      <c r="AD2009" s="673"/>
      <c r="AE2009" s="673"/>
      <c r="AF2009" s="673"/>
      <c r="AG2009" s="673"/>
      <c r="AH2009" s="673"/>
      <c r="AI2009" s="673"/>
      <c r="AJ2009" s="673"/>
      <c r="AK2009" s="673"/>
      <c r="AL2009" s="673"/>
      <c r="AM2009" s="673"/>
      <c r="AN2009" s="673"/>
      <c r="AO2009" s="673"/>
      <c r="AP2009" s="673"/>
      <c r="AQ2009" s="673"/>
      <c r="AR2009" s="673"/>
      <c r="AS2009" s="673"/>
      <c r="AT2009" s="696"/>
    </row>
    <row r="2010" ht="15.75" customHeight="1">
      <c r="A2010" s="653"/>
      <c r="B2010" s="654"/>
      <c r="C2010" s="691"/>
      <c r="D2010" s="656"/>
      <c r="E2010" s="657"/>
      <c r="F2010" s="658"/>
      <c r="G2010" s="659"/>
      <c r="H2010" s="660"/>
      <c r="I2010" s="659"/>
      <c r="J2010" s="661"/>
      <c r="K2010" s="692"/>
      <c r="L2010" s="645"/>
      <c r="M2010" s="663"/>
      <c r="N2010" s="665"/>
      <c r="O2010" s="665"/>
      <c r="P2010" s="666"/>
      <c r="Q2010" s="667"/>
      <c r="R2010" s="668"/>
      <c r="S2010" s="693"/>
      <c r="T2010" s="694"/>
      <c r="U2010" s="694"/>
      <c r="V2010" s="693"/>
      <c r="W2010" s="693"/>
      <c r="X2010" s="693"/>
      <c r="Y2010" s="671"/>
      <c r="Z2010" s="673"/>
      <c r="AA2010" s="672"/>
      <c r="AB2010" s="695"/>
      <c r="AC2010" s="673"/>
      <c r="AD2010" s="673"/>
      <c r="AE2010" s="673"/>
      <c r="AF2010" s="673"/>
      <c r="AG2010" s="673"/>
      <c r="AH2010" s="673"/>
      <c r="AI2010" s="673"/>
      <c r="AJ2010" s="673"/>
      <c r="AK2010" s="673"/>
      <c r="AL2010" s="673"/>
      <c r="AM2010" s="673"/>
      <c r="AN2010" s="673"/>
      <c r="AO2010" s="673"/>
      <c r="AP2010" s="673"/>
      <c r="AQ2010" s="673"/>
      <c r="AR2010" s="673"/>
      <c r="AS2010" s="673"/>
      <c r="AT2010" s="696"/>
    </row>
    <row r="2011" ht="15.75" customHeight="1">
      <c r="A2011" s="653"/>
      <c r="B2011" s="654"/>
      <c r="C2011" s="691"/>
      <c r="D2011" s="656"/>
      <c r="E2011" s="657"/>
      <c r="F2011" s="658"/>
      <c r="G2011" s="659"/>
      <c r="H2011" s="660"/>
      <c r="I2011" s="659"/>
      <c r="J2011" s="661"/>
      <c r="K2011" s="692"/>
      <c r="L2011" s="645"/>
      <c r="M2011" s="663"/>
      <c r="N2011" s="665"/>
      <c r="O2011" s="665"/>
      <c r="P2011" s="666"/>
      <c r="Q2011" s="667"/>
      <c r="R2011" s="668"/>
      <c r="S2011" s="693"/>
      <c r="T2011" s="694"/>
      <c r="U2011" s="694"/>
      <c r="V2011" s="693"/>
      <c r="W2011" s="693"/>
      <c r="X2011" s="693"/>
      <c r="Y2011" s="671"/>
      <c r="Z2011" s="673"/>
      <c r="AA2011" s="672"/>
      <c r="AB2011" s="695"/>
      <c r="AC2011" s="673"/>
      <c r="AD2011" s="673"/>
      <c r="AE2011" s="673"/>
      <c r="AF2011" s="673"/>
      <c r="AG2011" s="673"/>
      <c r="AH2011" s="673"/>
      <c r="AI2011" s="673"/>
      <c r="AJ2011" s="673"/>
      <c r="AK2011" s="673"/>
      <c r="AL2011" s="673"/>
      <c r="AM2011" s="673"/>
      <c r="AN2011" s="673"/>
      <c r="AO2011" s="673"/>
      <c r="AP2011" s="673"/>
      <c r="AQ2011" s="673"/>
      <c r="AR2011" s="673"/>
      <c r="AS2011" s="673"/>
      <c r="AT2011" s="696"/>
    </row>
    <row r="2012" ht="15.75" customHeight="1">
      <c r="A2012" s="653"/>
      <c r="B2012" s="654"/>
      <c r="C2012" s="691"/>
      <c r="D2012" s="656"/>
      <c r="E2012" s="657"/>
      <c r="F2012" s="658"/>
      <c r="G2012" s="659"/>
      <c r="H2012" s="660"/>
      <c r="I2012" s="659"/>
      <c r="J2012" s="661"/>
      <c r="K2012" s="692"/>
      <c r="L2012" s="645"/>
      <c r="M2012" s="663"/>
      <c r="N2012" s="665"/>
      <c r="O2012" s="665"/>
      <c r="P2012" s="666"/>
      <c r="Q2012" s="667"/>
      <c r="R2012" s="668"/>
      <c r="S2012" s="693"/>
      <c r="T2012" s="694"/>
      <c r="U2012" s="694"/>
      <c r="V2012" s="693"/>
      <c r="W2012" s="693"/>
      <c r="X2012" s="693"/>
      <c r="Y2012" s="671"/>
      <c r="Z2012" s="673"/>
      <c r="AA2012" s="672"/>
      <c r="AB2012" s="695"/>
      <c r="AC2012" s="673"/>
      <c r="AD2012" s="673"/>
      <c r="AE2012" s="673"/>
      <c r="AF2012" s="673"/>
      <c r="AG2012" s="673"/>
      <c r="AH2012" s="673"/>
      <c r="AI2012" s="673"/>
      <c r="AJ2012" s="673"/>
      <c r="AK2012" s="673"/>
      <c r="AL2012" s="673"/>
      <c r="AM2012" s="673"/>
      <c r="AN2012" s="673"/>
      <c r="AO2012" s="673"/>
      <c r="AP2012" s="673"/>
      <c r="AQ2012" s="673"/>
      <c r="AR2012" s="673"/>
      <c r="AS2012" s="673"/>
      <c r="AT2012" s="696"/>
    </row>
    <row r="2013" ht="15.75" customHeight="1">
      <c r="A2013" s="653"/>
      <c r="B2013" s="654"/>
      <c r="C2013" s="691"/>
      <c r="D2013" s="656"/>
      <c r="E2013" s="657"/>
      <c r="F2013" s="658"/>
      <c r="G2013" s="659"/>
      <c r="H2013" s="660"/>
      <c r="I2013" s="659"/>
      <c r="J2013" s="661"/>
      <c r="K2013" s="692"/>
      <c r="L2013" s="645"/>
      <c r="M2013" s="663"/>
      <c r="N2013" s="665"/>
      <c r="O2013" s="665"/>
      <c r="P2013" s="666"/>
      <c r="Q2013" s="667"/>
      <c r="R2013" s="668"/>
      <c r="S2013" s="693"/>
      <c r="T2013" s="694"/>
      <c r="U2013" s="694"/>
      <c r="V2013" s="693"/>
      <c r="W2013" s="693"/>
      <c r="X2013" s="693"/>
      <c r="Y2013" s="671"/>
      <c r="Z2013" s="673"/>
      <c r="AA2013" s="672"/>
      <c r="AB2013" s="695"/>
      <c r="AC2013" s="673"/>
      <c r="AD2013" s="673"/>
      <c r="AE2013" s="673"/>
      <c r="AF2013" s="673"/>
      <c r="AG2013" s="673"/>
      <c r="AH2013" s="673"/>
      <c r="AI2013" s="673"/>
      <c r="AJ2013" s="673"/>
      <c r="AK2013" s="673"/>
      <c r="AL2013" s="673"/>
      <c r="AM2013" s="673"/>
      <c r="AN2013" s="673"/>
      <c r="AO2013" s="673"/>
      <c r="AP2013" s="673"/>
      <c r="AQ2013" s="673"/>
      <c r="AR2013" s="673"/>
      <c r="AS2013" s="673"/>
      <c r="AT2013" s="696"/>
    </row>
    <row r="2014" ht="15.75" customHeight="1">
      <c r="A2014" s="653"/>
      <c r="B2014" s="654"/>
      <c r="C2014" s="691"/>
      <c r="D2014" s="656"/>
      <c r="E2014" s="657"/>
      <c r="F2014" s="658"/>
      <c r="G2014" s="659"/>
      <c r="H2014" s="660"/>
      <c r="I2014" s="659"/>
      <c r="J2014" s="661"/>
      <c r="K2014" s="692"/>
      <c r="L2014" s="645"/>
      <c r="M2014" s="663"/>
      <c r="N2014" s="665"/>
      <c r="O2014" s="665"/>
      <c r="P2014" s="666"/>
      <c r="Q2014" s="667"/>
      <c r="R2014" s="668"/>
      <c r="S2014" s="693"/>
      <c r="T2014" s="694"/>
      <c r="U2014" s="694"/>
      <c r="V2014" s="693"/>
      <c r="W2014" s="693"/>
      <c r="X2014" s="693"/>
      <c r="Y2014" s="671"/>
      <c r="Z2014" s="673"/>
      <c r="AA2014" s="672"/>
      <c r="AB2014" s="695"/>
      <c r="AC2014" s="673"/>
      <c r="AD2014" s="673"/>
      <c r="AE2014" s="673"/>
      <c r="AF2014" s="673"/>
      <c r="AG2014" s="673"/>
      <c r="AH2014" s="673"/>
      <c r="AI2014" s="673"/>
      <c r="AJ2014" s="673"/>
      <c r="AK2014" s="673"/>
      <c r="AL2014" s="673"/>
      <c r="AM2014" s="673"/>
      <c r="AN2014" s="673"/>
      <c r="AO2014" s="673"/>
      <c r="AP2014" s="673"/>
      <c r="AQ2014" s="673"/>
      <c r="AR2014" s="673"/>
      <c r="AS2014" s="673"/>
      <c r="AT2014" s="696"/>
    </row>
    <row r="2015" ht="15.75" customHeight="1">
      <c r="A2015" s="653"/>
      <c r="B2015" s="654"/>
      <c r="C2015" s="691"/>
      <c r="D2015" s="656"/>
      <c r="E2015" s="657"/>
      <c r="F2015" s="658"/>
      <c r="G2015" s="659"/>
      <c r="H2015" s="660"/>
      <c r="I2015" s="659"/>
      <c r="J2015" s="661"/>
      <c r="K2015" s="692"/>
      <c r="L2015" s="645"/>
      <c r="M2015" s="663"/>
      <c r="N2015" s="665"/>
      <c r="O2015" s="665"/>
      <c r="P2015" s="666"/>
      <c r="Q2015" s="667"/>
      <c r="R2015" s="668"/>
      <c r="S2015" s="693"/>
      <c r="T2015" s="694"/>
      <c r="U2015" s="694"/>
      <c r="V2015" s="693"/>
      <c r="W2015" s="693"/>
      <c r="X2015" s="693"/>
      <c r="Y2015" s="671"/>
      <c r="Z2015" s="673"/>
      <c r="AA2015" s="672"/>
      <c r="AB2015" s="695"/>
      <c r="AC2015" s="673"/>
      <c r="AD2015" s="673"/>
      <c r="AE2015" s="673"/>
      <c r="AF2015" s="673"/>
      <c r="AG2015" s="673"/>
      <c r="AH2015" s="673"/>
      <c r="AI2015" s="673"/>
      <c r="AJ2015" s="673"/>
      <c r="AK2015" s="673"/>
      <c r="AL2015" s="673"/>
      <c r="AM2015" s="673"/>
      <c r="AN2015" s="673"/>
      <c r="AO2015" s="673"/>
      <c r="AP2015" s="673"/>
      <c r="AQ2015" s="673"/>
      <c r="AR2015" s="673"/>
      <c r="AS2015" s="673"/>
      <c r="AT2015" s="696"/>
    </row>
    <row r="2016" ht="15.75" customHeight="1">
      <c r="A2016" s="653"/>
      <c r="B2016" s="654"/>
      <c r="C2016" s="691"/>
      <c r="D2016" s="656"/>
      <c r="E2016" s="657"/>
      <c r="F2016" s="658"/>
      <c r="G2016" s="659"/>
      <c r="H2016" s="660"/>
      <c r="I2016" s="659"/>
      <c r="J2016" s="661"/>
      <c r="K2016" s="692"/>
      <c r="L2016" s="645"/>
      <c r="M2016" s="663"/>
      <c r="N2016" s="665"/>
      <c r="O2016" s="665"/>
      <c r="P2016" s="666"/>
      <c r="Q2016" s="667"/>
      <c r="R2016" s="668"/>
      <c r="S2016" s="693"/>
      <c r="T2016" s="694"/>
      <c r="U2016" s="694"/>
      <c r="V2016" s="693"/>
      <c r="W2016" s="693"/>
      <c r="X2016" s="693"/>
      <c r="Y2016" s="671"/>
      <c r="Z2016" s="673"/>
      <c r="AA2016" s="672"/>
      <c r="AB2016" s="695"/>
      <c r="AC2016" s="673"/>
      <c r="AD2016" s="673"/>
      <c r="AE2016" s="673"/>
      <c r="AF2016" s="673"/>
      <c r="AG2016" s="673"/>
      <c r="AH2016" s="673"/>
      <c r="AI2016" s="673"/>
      <c r="AJ2016" s="673"/>
      <c r="AK2016" s="673"/>
      <c r="AL2016" s="673"/>
      <c r="AM2016" s="673"/>
      <c r="AN2016" s="673"/>
      <c r="AO2016" s="673"/>
      <c r="AP2016" s="673"/>
      <c r="AQ2016" s="673"/>
      <c r="AR2016" s="673"/>
      <c r="AS2016" s="673"/>
      <c r="AT2016" s="696"/>
    </row>
    <row r="2017" ht="15.75" customHeight="1">
      <c r="A2017" s="653"/>
      <c r="B2017" s="654"/>
      <c r="C2017" s="691"/>
      <c r="D2017" s="656"/>
      <c r="E2017" s="657"/>
      <c r="F2017" s="658"/>
      <c r="G2017" s="659"/>
      <c r="H2017" s="660"/>
      <c r="I2017" s="659"/>
      <c r="J2017" s="661"/>
      <c r="K2017" s="692"/>
      <c r="L2017" s="645"/>
      <c r="M2017" s="663"/>
      <c r="N2017" s="665"/>
      <c r="O2017" s="665"/>
      <c r="P2017" s="666"/>
      <c r="Q2017" s="667"/>
      <c r="R2017" s="668"/>
      <c r="S2017" s="693"/>
      <c r="T2017" s="694"/>
      <c r="U2017" s="694"/>
      <c r="V2017" s="693"/>
      <c r="W2017" s="693"/>
      <c r="X2017" s="693"/>
      <c r="Y2017" s="671"/>
      <c r="Z2017" s="673"/>
      <c r="AA2017" s="672"/>
      <c r="AB2017" s="695"/>
      <c r="AC2017" s="673"/>
      <c r="AD2017" s="673"/>
      <c r="AE2017" s="673"/>
      <c r="AF2017" s="673"/>
      <c r="AG2017" s="673"/>
      <c r="AH2017" s="673"/>
      <c r="AI2017" s="673"/>
      <c r="AJ2017" s="673"/>
      <c r="AK2017" s="673"/>
      <c r="AL2017" s="673"/>
      <c r="AM2017" s="673"/>
      <c r="AN2017" s="673"/>
      <c r="AO2017" s="673"/>
      <c r="AP2017" s="673"/>
      <c r="AQ2017" s="673"/>
      <c r="AR2017" s="673"/>
      <c r="AS2017" s="673"/>
      <c r="AT2017" s="696"/>
    </row>
    <row r="2018" ht="15.75" customHeight="1">
      <c r="A2018" s="653"/>
      <c r="B2018" s="654"/>
      <c r="C2018" s="691"/>
      <c r="D2018" s="656"/>
      <c r="E2018" s="657"/>
      <c r="F2018" s="658"/>
      <c r="G2018" s="659"/>
      <c r="H2018" s="660"/>
      <c r="I2018" s="659"/>
      <c r="J2018" s="661"/>
      <c r="K2018" s="692"/>
      <c r="L2018" s="645"/>
      <c r="M2018" s="663"/>
      <c r="N2018" s="665"/>
      <c r="O2018" s="665"/>
      <c r="P2018" s="666"/>
      <c r="Q2018" s="667"/>
      <c r="R2018" s="668"/>
      <c r="S2018" s="693"/>
      <c r="T2018" s="694"/>
      <c r="U2018" s="694"/>
      <c r="V2018" s="693"/>
      <c r="W2018" s="693"/>
      <c r="X2018" s="693"/>
      <c r="Y2018" s="671"/>
      <c r="Z2018" s="673"/>
      <c r="AA2018" s="672"/>
      <c r="AB2018" s="695"/>
      <c r="AC2018" s="673"/>
      <c r="AD2018" s="673"/>
      <c r="AE2018" s="673"/>
      <c r="AF2018" s="673"/>
      <c r="AG2018" s="673"/>
      <c r="AH2018" s="673"/>
      <c r="AI2018" s="673"/>
      <c r="AJ2018" s="673"/>
      <c r="AK2018" s="673"/>
      <c r="AL2018" s="673"/>
      <c r="AM2018" s="673"/>
      <c r="AN2018" s="673"/>
      <c r="AO2018" s="673"/>
      <c r="AP2018" s="673"/>
      <c r="AQ2018" s="673"/>
      <c r="AR2018" s="673"/>
      <c r="AS2018" s="673"/>
      <c r="AT2018" s="696"/>
    </row>
    <row r="2019" ht="15.75" customHeight="1">
      <c r="A2019" s="653"/>
      <c r="B2019" s="654"/>
      <c r="C2019" s="691"/>
      <c r="D2019" s="656"/>
      <c r="E2019" s="657"/>
      <c r="F2019" s="658"/>
      <c r="G2019" s="659"/>
      <c r="H2019" s="660"/>
      <c r="I2019" s="659"/>
      <c r="J2019" s="661"/>
      <c r="K2019" s="692"/>
      <c r="L2019" s="645"/>
      <c r="M2019" s="663"/>
      <c r="N2019" s="665"/>
      <c r="O2019" s="665"/>
      <c r="P2019" s="666"/>
      <c r="Q2019" s="667"/>
      <c r="R2019" s="668"/>
      <c r="S2019" s="693"/>
      <c r="T2019" s="694"/>
      <c r="U2019" s="694"/>
      <c r="V2019" s="693"/>
      <c r="W2019" s="693"/>
      <c r="X2019" s="693"/>
      <c r="Y2019" s="671"/>
      <c r="Z2019" s="673"/>
      <c r="AA2019" s="672"/>
      <c r="AB2019" s="695"/>
      <c r="AC2019" s="673"/>
      <c r="AD2019" s="673"/>
      <c r="AE2019" s="673"/>
      <c r="AF2019" s="673"/>
      <c r="AG2019" s="673"/>
      <c r="AH2019" s="673"/>
      <c r="AI2019" s="673"/>
      <c r="AJ2019" s="673"/>
      <c r="AK2019" s="673"/>
      <c r="AL2019" s="673"/>
      <c r="AM2019" s="673"/>
      <c r="AN2019" s="673"/>
      <c r="AO2019" s="673"/>
      <c r="AP2019" s="673"/>
      <c r="AQ2019" s="673"/>
      <c r="AR2019" s="673"/>
      <c r="AS2019" s="673"/>
      <c r="AT2019" s="696"/>
    </row>
    <row r="2020" ht="15.75" customHeight="1">
      <c r="A2020" s="653"/>
      <c r="B2020" s="654"/>
      <c r="C2020" s="691"/>
      <c r="D2020" s="656"/>
      <c r="E2020" s="657"/>
      <c r="F2020" s="658"/>
      <c r="G2020" s="659"/>
      <c r="H2020" s="660"/>
      <c r="I2020" s="659"/>
      <c r="J2020" s="661"/>
      <c r="K2020" s="692"/>
      <c r="L2020" s="645"/>
      <c r="M2020" s="663"/>
      <c r="N2020" s="665"/>
      <c r="O2020" s="665"/>
      <c r="P2020" s="666"/>
      <c r="Q2020" s="667"/>
      <c r="R2020" s="668"/>
      <c r="S2020" s="693"/>
      <c r="T2020" s="694"/>
      <c r="U2020" s="694"/>
      <c r="V2020" s="693"/>
      <c r="W2020" s="693"/>
      <c r="X2020" s="693"/>
      <c r="Y2020" s="671"/>
      <c r="Z2020" s="673"/>
      <c r="AA2020" s="672"/>
      <c r="AB2020" s="695"/>
      <c r="AC2020" s="673"/>
      <c r="AD2020" s="673"/>
      <c r="AE2020" s="673"/>
      <c r="AF2020" s="673"/>
      <c r="AG2020" s="673"/>
      <c r="AH2020" s="673"/>
      <c r="AI2020" s="673"/>
      <c r="AJ2020" s="673"/>
      <c r="AK2020" s="673"/>
      <c r="AL2020" s="673"/>
      <c r="AM2020" s="673"/>
      <c r="AN2020" s="673"/>
      <c r="AO2020" s="673"/>
      <c r="AP2020" s="673"/>
      <c r="AQ2020" s="673"/>
      <c r="AR2020" s="673"/>
      <c r="AS2020" s="673"/>
      <c r="AT2020" s="696"/>
    </row>
    <row r="2021" ht="15.75" customHeight="1">
      <c r="A2021" s="653"/>
      <c r="B2021" s="654"/>
      <c r="C2021" s="691"/>
      <c r="D2021" s="656"/>
      <c r="E2021" s="657"/>
      <c r="F2021" s="658"/>
      <c r="G2021" s="659"/>
      <c r="H2021" s="660"/>
      <c r="I2021" s="659"/>
      <c r="J2021" s="661"/>
      <c r="K2021" s="692"/>
      <c r="L2021" s="645"/>
      <c r="M2021" s="663"/>
      <c r="N2021" s="665"/>
      <c r="O2021" s="665"/>
      <c r="P2021" s="666"/>
      <c r="Q2021" s="667"/>
      <c r="R2021" s="668"/>
      <c r="S2021" s="693"/>
      <c r="T2021" s="694"/>
      <c r="U2021" s="694"/>
      <c r="V2021" s="693"/>
      <c r="W2021" s="693"/>
      <c r="X2021" s="693"/>
      <c r="Y2021" s="671"/>
      <c r="Z2021" s="673"/>
      <c r="AA2021" s="672"/>
      <c r="AB2021" s="695"/>
      <c r="AC2021" s="673"/>
      <c r="AD2021" s="673"/>
      <c r="AE2021" s="673"/>
      <c r="AF2021" s="673"/>
      <c r="AG2021" s="673"/>
      <c r="AH2021" s="673"/>
      <c r="AI2021" s="673"/>
      <c r="AJ2021" s="673"/>
      <c r="AK2021" s="673"/>
      <c r="AL2021" s="673"/>
      <c r="AM2021" s="673"/>
      <c r="AN2021" s="673"/>
      <c r="AO2021" s="673"/>
      <c r="AP2021" s="673"/>
      <c r="AQ2021" s="673"/>
      <c r="AR2021" s="673"/>
      <c r="AS2021" s="673"/>
      <c r="AT2021" s="696"/>
    </row>
    <row r="2022" ht="15.75" customHeight="1">
      <c r="A2022" s="653"/>
      <c r="B2022" s="654"/>
      <c r="C2022" s="691"/>
      <c r="D2022" s="656"/>
      <c r="E2022" s="657"/>
      <c r="F2022" s="658"/>
      <c r="G2022" s="659"/>
      <c r="H2022" s="660"/>
      <c r="I2022" s="659"/>
      <c r="J2022" s="661"/>
      <c r="K2022" s="692"/>
      <c r="L2022" s="645"/>
      <c r="M2022" s="663"/>
      <c r="N2022" s="665"/>
      <c r="O2022" s="665"/>
      <c r="P2022" s="666"/>
      <c r="Q2022" s="667"/>
      <c r="R2022" s="668"/>
      <c r="S2022" s="693"/>
      <c r="T2022" s="694"/>
      <c r="U2022" s="694"/>
      <c r="V2022" s="693"/>
      <c r="W2022" s="693"/>
      <c r="X2022" s="693"/>
      <c r="Y2022" s="671"/>
      <c r="Z2022" s="673"/>
      <c r="AA2022" s="672"/>
      <c r="AB2022" s="695"/>
      <c r="AC2022" s="673"/>
      <c r="AD2022" s="673"/>
      <c r="AE2022" s="673"/>
      <c r="AF2022" s="673"/>
      <c r="AG2022" s="673"/>
      <c r="AH2022" s="673"/>
      <c r="AI2022" s="673"/>
      <c r="AJ2022" s="673"/>
      <c r="AK2022" s="673"/>
      <c r="AL2022" s="673"/>
      <c r="AM2022" s="673"/>
      <c r="AN2022" s="673"/>
      <c r="AO2022" s="673"/>
      <c r="AP2022" s="673"/>
      <c r="AQ2022" s="673"/>
      <c r="AR2022" s="673"/>
      <c r="AS2022" s="673"/>
      <c r="AT2022" s="696"/>
    </row>
    <row r="2023" ht="15.75" customHeight="1">
      <c r="A2023" s="653"/>
      <c r="B2023" s="654"/>
      <c r="C2023" s="691"/>
      <c r="D2023" s="656"/>
      <c r="E2023" s="657"/>
      <c r="F2023" s="658"/>
      <c r="G2023" s="659"/>
      <c r="H2023" s="660"/>
      <c r="I2023" s="659"/>
      <c r="J2023" s="661"/>
      <c r="K2023" s="692"/>
      <c r="L2023" s="645"/>
      <c r="M2023" s="663"/>
      <c r="N2023" s="665"/>
      <c r="O2023" s="665"/>
      <c r="P2023" s="666"/>
      <c r="Q2023" s="667"/>
      <c r="R2023" s="668"/>
      <c r="S2023" s="693"/>
      <c r="T2023" s="694"/>
      <c r="U2023" s="694"/>
      <c r="V2023" s="693"/>
      <c r="W2023" s="693"/>
      <c r="X2023" s="693"/>
      <c r="Y2023" s="671"/>
      <c r="Z2023" s="673"/>
      <c r="AA2023" s="672"/>
      <c r="AB2023" s="695"/>
      <c r="AC2023" s="673"/>
      <c r="AD2023" s="673"/>
      <c r="AE2023" s="673"/>
      <c r="AF2023" s="673"/>
      <c r="AG2023" s="673"/>
      <c r="AH2023" s="673"/>
      <c r="AI2023" s="673"/>
      <c r="AJ2023" s="673"/>
      <c r="AK2023" s="673"/>
      <c r="AL2023" s="673"/>
      <c r="AM2023" s="673"/>
      <c r="AN2023" s="673"/>
      <c r="AO2023" s="673"/>
      <c r="AP2023" s="673"/>
      <c r="AQ2023" s="673"/>
      <c r="AR2023" s="673"/>
      <c r="AS2023" s="673"/>
      <c r="AT2023" s="696"/>
    </row>
    <row r="2024" ht="15.75" customHeight="1">
      <c r="A2024" s="653"/>
      <c r="B2024" s="654"/>
      <c r="C2024" s="691"/>
      <c r="D2024" s="656"/>
      <c r="E2024" s="657"/>
      <c r="F2024" s="658"/>
      <c r="G2024" s="659"/>
      <c r="H2024" s="660"/>
      <c r="I2024" s="659"/>
      <c r="J2024" s="661"/>
      <c r="K2024" s="692"/>
      <c r="L2024" s="645"/>
      <c r="M2024" s="663"/>
      <c r="N2024" s="665"/>
      <c r="O2024" s="665"/>
      <c r="P2024" s="666"/>
      <c r="Q2024" s="667"/>
      <c r="R2024" s="668"/>
      <c r="S2024" s="693"/>
      <c r="T2024" s="694"/>
      <c r="U2024" s="694"/>
      <c r="V2024" s="693"/>
      <c r="W2024" s="693"/>
      <c r="X2024" s="693"/>
      <c r="Y2024" s="671"/>
      <c r="Z2024" s="673"/>
      <c r="AA2024" s="672"/>
      <c r="AB2024" s="695"/>
      <c r="AC2024" s="673"/>
      <c r="AD2024" s="673"/>
      <c r="AE2024" s="673"/>
      <c r="AF2024" s="673"/>
      <c r="AG2024" s="673"/>
      <c r="AH2024" s="673"/>
      <c r="AI2024" s="673"/>
      <c r="AJ2024" s="673"/>
      <c r="AK2024" s="673"/>
      <c r="AL2024" s="673"/>
      <c r="AM2024" s="673"/>
      <c r="AN2024" s="673"/>
      <c r="AO2024" s="673"/>
      <c r="AP2024" s="673"/>
      <c r="AQ2024" s="673"/>
      <c r="AR2024" s="673"/>
      <c r="AS2024" s="673"/>
      <c r="AT2024" s="696"/>
    </row>
    <row r="2025" ht="15.75" customHeight="1">
      <c r="A2025" s="653"/>
      <c r="B2025" s="654"/>
      <c r="C2025" s="691"/>
      <c r="D2025" s="656"/>
      <c r="E2025" s="657"/>
      <c r="F2025" s="658"/>
      <c r="G2025" s="659"/>
      <c r="H2025" s="660"/>
      <c r="I2025" s="659"/>
      <c r="J2025" s="661"/>
      <c r="K2025" s="692"/>
      <c r="L2025" s="645"/>
      <c r="M2025" s="663"/>
      <c r="N2025" s="665"/>
      <c r="O2025" s="665"/>
      <c r="P2025" s="666"/>
      <c r="Q2025" s="667"/>
      <c r="R2025" s="668"/>
      <c r="S2025" s="693"/>
      <c r="T2025" s="694"/>
      <c r="U2025" s="694"/>
      <c r="V2025" s="693"/>
      <c r="W2025" s="693"/>
      <c r="X2025" s="693"/>
      <c r="Y2025" s="671"/>
      <c r="Z2025" s="673"/>
      <c r="AA2025" s="672"/>
      <c r="AB2025" s="695"/>
      <c r="AC2025" s="673"/>
      <c r="AD2025" s="673"/>
      <c r="AE2025" s="673"/>
      <c r="AF2025" s="673"/>
      <c r="AG2025" s="673"/>
      <c r="AH2025" s="673"/>
      <c r="AI2025" s="673"/>
      <c r="AJ2025" s="673"/>
      <c r="AK2025" s="673"/>
      <c r="AL2025" s="673"/>
      <c r="AM2025" s="673"/>
      <c r="AN2025" s="673"/>
      <c r="AO2025" s="673"/>
      <c r="AP2025" s="673"/>
      <c r="AQ2025" s="673"/>
      <c r="AR2025" s="673"/>
      <c r="AS2025" s="673"/>
      <c r="AT2025" s="696"/>
    </row>
    <row r="2026" ht="15.75" customHeight="1">
      <c r="A2026" s="653"/>
      <c r="B2026" s="654"/>
      <c r="C2026" s="691"/>
      <c r="D2026" s="656"/>
      <c r="E2026" s="657"/>
      <c r="F2026" s="658"/>
      <c r="G2026" s="659"/>
      <c r="H2026" s="660"/>
      <c r="I2026" s="659"/>
      <c r="J2026" s="661"/>
      <c r="K2026" s="692"/>
      <c r="L2026" s="645"/>
      <c r="M2026" s="663"/>
      <c r="N2026" s="665"/>
      <c r="O2026" s="665"/>
      <c r="P2026" s="666"/>
      <c r="Q2026" s="667"/>
      <c r="R2026" s="668"/>
      <c r="S2026" s="693"/>
      <c r="T2026" s="694"/>
      <c r="U2026" s="694"/>
      <c r="V2026" s="693"/>
      <c r="W2026" s="693"/>
      <c r="X2026" s="693"/>
      <c r="Y2026" s="671"/>
      <c r="Z2026" s="673"/>
      <c r="AA2026" s="672"/>
      <c r="AB2026" s="695"/>
      <c r="AC2026" s="673"/>
      <c r="AD2026" s="673"/>
      <c r="AE2026" s="673"/>
      <c r="AF2026" s="673"/>
      <c r="AG2026" s="673"/>
      <c r="AH2026" s="673"/>
      <c r="AI2026" s="673"/>
      <c r="AJ2026" s="673"/>
      <c r="AK2026" s="673"/>
      <c r="AL2026" s="673"/>
      <c r="AM2026" s="673"/>
      <c r="AN2026" s="673"/>
      <c r="AO2026" s="673"/>
      <c r="AP2026" s="673"/>
      <c r="AQ2026" s="673"/>
      <c r="AR2026" s="673"/>
      <c r="AS2026" s="673"/>
      <c r="AT2026" s="696"/>
    </row>
    <row r="2027" ht="15.75" customHeight="1">
      <c r="A2027" s="653"/>
      <c r="B2027" s="654"/>
      <c r="C2027" s="691"/>
      <c r="D2027" s="656"/>
      <c r="E2027" s="657"/>
      <c r="F2027" s="658"/>
      <c r="G2027" s="659"/>
      <c r="H2027" s="660"/>
      <c r="I2027" s="659"/>
      <c r="J2027" s="661"/>
      <c r="K2027" s="692"/>
      <c r="L2027" s="645"/>
      <c r="M2027" s="663"/>
      <c r="N2027" s="665"/>
      <c r="O2027" s="665"/>
      <c r="P2027" s="666"/>
      <c r="Q2027" s="667"/>
      <c r="R2027" s="668"/>
      <c r="S2027" s="693"/>
      <c r="T2027" s="694"/>
      <c r="U2027" s="694"/>
      <c r="V2027" s="693"/>
      <c r="W2027" s="693"/>
      <c r="X2027" s="693"/>
      <c r="Y2027" s="671"/>
      <c r="Z2027" s="673"/>
      <c r="AA2027" s="672"/>
      <c r="AB2027" s="695"/>
      <c r="AC2027" s="673"/>
      <c r="AD2027" s="673"/>
      <c r="AE2027" s="673"/>
      <c r="AF2027" s="673"/>
      <c r="AG2027" s="673"/>
      <c r="AH2027" s="673"/>
      <c r="AI2027" s="673"/>
      <c r="AJ2027" s="673"/>
      <c r="AK2027" s="673"/>
      <c r="AL2027" s="673"/>
      <c r="AM2027" s="673"/>
      <c r="AN2027" s="673"/>
      <c r="AO2027" s="673"/>
      <c r="AP2027" s="673"/>
      <c r="AQ2027" s="673"/>
      <c r="AR2027" s="673"/>
      <c r="AS2027" s="673"/>
      <c r="AT2027" s="696"/>
    </row>
    <row r="2028" ht="15.75" customHeight="1">
      <c r="A2028" s="653"/>
      <c r="B2028" s="654"/>
      <c r="C2028" s="691"/>
      <c r="D2028" s="656"/>
      <c r="E2028" s="657"/>
      <c r="F2028" s="658"/>
      <c r="G2028" s="659"/>
      <c r="H2028" s="660"/>
      <c r="I2028" s="659"/>
      <c r="J2028" s="661"/>
      <c r="K2028" s="692"/>
      <c r="L2028" s="645"/>
      <c r="M2028" s="663"/>
      <c r="N2028" s="665"/>
      <c r="O2028" s="665"/>
      <c r="P2028" s="666"/>
      <c r="Q2028" s="667"/>
      <c r="R2028" s="668"/>
      <c r="S2028" s="693"/>
      <c r="T2028" s="694"/>
      <c r="U2028" s="694"/>
      <c r="V2028" s="693"/>
      <c r="W2028" s="693"/>
      <c r="X2028" s="693"/>
      <c r="Y2028" s="671"/>
      <c r="Z2028" s="673"/>
      <c r="AA2028" s="672"/>
      <c r="AB2028" s="695"/>
      <c r="AC2028" s="673"/>
      <c r="AD2028" s="673"/>
      <c r="AE2028" s="673"/>
      <c r="AF2028" s="673"/>
      <c r="AG2028" s="673"/>
      <c r="AH2028" s="673"/>
      <c r="AI2028" s="673"/>
      <c r="AJ2028" s="673"/>
      <c r="AK2028" s="673"/>
      <c r="AL2028" s="673"/>
      <c r="AM2028" s="673"/>
      <c r="AN2028" s="673"/>
      <c r="AO2028" s="673"/>
      <c r="AP2028" s="673"/>
      <c r="AQ2028" s="673"/>
      <c r="AR2028" s="673"/>
      <c r="AS2028" s="673"/>
      <c r="AT2028" s="696"/>
    </row>
    <row r="2029" ht="15.75" customHeight="1">
      <c r="A2029" s="653"/>
      <c r="B2029" s="654"/>
      <c r="C2029" s="691"/>
      <c r="D2029" s="656"/>
      <c r="E2029" s="657"/>
      <c r="F2029" s="658"/>
      <c r="G2029" s="659"/>
      <c r="H2029" s="660"/>
      <c r="I2029" s="659"/>
      <c r="J2029" s="661"/>
      <c r="K2029" s="692"/>
      <c r="L2029" s="645"/>
      <c r="M2029" s="663"/>
      <c r="N2029" s="665"/>
      <c r="O2029" s="665"/>
      <c r="P2029" s="666"/>
      <c r="Q2029" s="667"/>
      <c r="R2029" s="668"/>
      <c r="S2029" s="693"/>
      <c r="T2029" s="694"/>
      <c r="U2029" s="694"/>
      <c r="V2029" s="693"/>
      <c r="W2029" s="693"/>
      <c r="X2029" s="693"/>
      <c r="Y2029" s="671"/>
      <c r="Z2029" s="673"/>
      <c r="AA2029" s="672"/>
      <c r="AB2029" s="695"/>
      <c r="AC2029" s="673"/>
      <c r="AD2029" s="673"/>
      <c r="AE2029" s="673"/>
      <c r="AF2029" s="673"/>
      <c r="AG2029" s="673"/>
      <c r="AH2029" s="673"/>
      <c r="AI2029" s="673"/>
      <c r="AJ2029" s="673"/>
      <c r="AK2029" s="673"/>
      <c r="AL2029" s="673"/>
      <c r="AM2029" s="673"/>
      <c r="AN2029" s="673"/>
      <c r="AO2029" s="673"/>
      <c r="AP2029" s="673"/>
      <c r="AQ2029" s="673"/>
      <c r="AR2029" s="673"/>
      <c r="AS2029" s="673"/>
      <c r="AT2029" s="696"/>
    </row>
    <row r="2030" ht="15.75" customHeight="1">
      <c r="A2030" s="653"/>
      <c r="B2030" s="654"/>
      <c r="C2030" s="691"/>
      <c r="D2030" s="656"/>
      <c r="E2030" s="657"/>
      <c r="F2030" s="658"/>
      <c r="G2030" s="659"/>
      <c r="H2030" s="660"/>
      <c r="I2030" s="659"/>
      <c r="J2030" s="661"/>
      <c r="K2030" s="692"/>
      <c r="L2030" s="645"/>
      <c r="M2030" s="663"/>
      <c r="N2030" s="665"/>
      <c r="O2030" s="665"/>
      <c r="P2030" s="666"/>
      <c r="Q2030" s="667"/>
      <c r="R2030" s="668"/>
      <c r="S2030" s="693"/>
      <c r="T2030" s="694"/>
      <c r="U2030" s="694"/>
      <c r="V2030" s="693"/>
      <c r="W2030" s="693"/>
      <c r="X2030" s="693"/>
      <c r="Y2030" s="671"/>
      <c r="Z2030" s="673"/>
      <c r="AA2030" s="672"/>
      <c r="AB2030" s="695"/>
      <c r="AC2030" s="673"/>
      <c r="AD2030" s="673"/>
      <c r="AE2030" s="673"/>
      <c r="AF2030" s="673"/>
      <c r="AG2030" s="673"/>
      <c r="AH2030" s="673"/>
      <c r="AI2030" s="673"/>
      <c r="AJ2030" s="673"/>
      <c r="AK2030" s="673"/>
      <c r="AL2030" s="673"/>
      <c r="AM2030" s="673"/>
      <c r="AN2030" s="673"/>
      <c r="AO2030" s="673"/>
      <c r="AP2030" s="673"/>
      <c r="AQ2030" s="673"/>
      <c r="AR2030" s="673"/>
      <c r="AS2030" s="673"/>
      <c r="AT2030" s="696"/>
    </row>
    <row r="2031" ht="15.75" customHeight="1">
      <c r="A2031" s="653"/>
      <c r="B2031" s="654"/>
      <c r="C2031" s="691"/>
      <c r="D2031" s="656"/>
      <c r="E2031" s="657"/>
      <c r="F2031" s="658"/>
      <c r="G2031" s="659"/>
      <c r="H2031" s="660"/>
      <c r="I2031" s="659"/>
      <c r="J2031" s="661"/>
      <c r="K2031" s="692"/>
      <c r="L2031" s="645"/>
      <c r="M2031" s="663"/>
      <c r="N2031" s="665"/>
      <c r="O2031" s="665"/>
      <c r="P2031" s="666"/>
      <c r="Q2031" s="667"/>
      <c r="R2031" s="668"/>
      <c r="S2031" s="693"/>
      <c r="T2031" s="694"/>
      <c r="U2031" s="694"/>
      <c r="V2031" s="693"/>
      <c r="W2031" s="693"/>
      <c r="X2031" s="693"/>
      <c r="Y2031" s="671"/>
      <c r="Z2031" s="673"/>
      <c r="AA2031" s="672"/>
      <c r="AB2031" s="695"/>
      <c r="AC2031" s="673"/>
      <c r="AD2031" s="673"/>
      <c r="AE2031" s="673"/>
      <c r="AF2031" s="673"/>
      <c r="AG2031" s="673"/>
      <c r="AH2031" s="673"/>
      <c r="AI2031" s="673"/>
      <c r="AJ2031" s="673"/>
      <c r="AK2031" s="673"/>
      <c r="AL2031" s="673"/>
      <c r="AM2031" s="673"/>
      <c r="AN2031" s="673"/>
      <c r="AO2031" s="673"/>
      <c r="AP2031" s="673"/>
      <c r="AQ2031" s="673"/>
      <c r="AR2031" s="673"/>
      <c r="AS2031" s="673"/>
      <c r="AT2031" s="696"/>
    </row>
    <row r="2032" ht="15.75" customHeight="1">
      <c r="A2032" s="653"/>
      <c r="B2032" s="654"/>
      <c r="C2032" s="691"/>
      <c r="D2032" s="656"/>
      <c r="E2032" s="657"/>
      <c r="F2032" s="658"/>
      <c r="G2032" s="659"/>
      <c r="H2032" s="660"/>
      <c r="I2032" s="659"/>
      <c r="J2032" s="661"/>
      <c r="K2032" s="692"/>
      <c r="L2032" s="645"/>
      <c r="M2032" s="663"/>
      <c r="N2032" s="665"/>
      <c r="O2032" s="665"/>
      <c r="P2032" s="666"/>
      <c r="Q2032" s="667"/>
      <c r="R2032" s="668"/>
      <c r="S2032" s="693"/>
      <c r="T2032" s="694"/>
      <c r="U2032" s="694"/>
      <c r="V2032" s="693"/>
      <c r="W2032" s="693"/>
      <c r="X2032" s="693"/>
      <c r="Y2032" s="671"/>
      <c r="Z2032" s="673"/>
      <c r="AA2032" s="672"/>
      <c r="AB2032" s="695"/>
      <c r="AC2032" s="673"/>
      <c r="AD2032" s="673"/>
      <c r="AE2032" s="673"/>
      <c r="AF2032" s="673"/>
      <c r="AG2032" s="673"/>
      <c r="AH2032" s="673"/>
      <c r="AI2032" s="673"/>
      <c r="AJ2032" s="673"/>
      <c r="AK2032" s="673"/>
      <c r="AL2032" s="673"/>
      <c r="AM2032" s="673"/>
      <c r="AN2032" s="673"/>
      <c r="AO2032" s="673"/>
      <c r="AP2032" s="673"/>
      <c r="AQ2032" s="673"/>
      <c r="AR2032" s="673"/>
      <c r="AS2032" s="673"/>
      <c r="AT2032" s="696"/>
    </row>
    <row r="2033" ht="15.75" customHeight="1">
      <c r="A2033" s="653"/>
      <c r="B2033" s="654"/>
      <c r="C2033" s="691"/>
      <c r="D2033" s="656"/>
      <c r="E2033" s="657"/>
      <c r="F2033" s="658"/>
      <c r="G2033" s="659"/>
      <c r="H2033" s="660"/>
      <c r="I2033" s="659"/>
      <c r="J2033" s="661"/>
      <c r="K2033" s="692"/>
      <c r="L2033" s="645"/>
      <c r="M2033" s="663"/>
      <c r="N2033" s="665"/>
      <c r="O2033" s="665"/>
      <c r="P2033" s="666"/>
      <c r="Q2033" s="667"/>
      <c r="R2033" s="668"/>
      <c r="S2033" s="693"/>
      <c r="T2033" s="694"/>
      <c r="U2033" s="694"/>
      <c r="V2033" s="693"/>
      <c r="W2033" s="693"/>
      <c r="X2033" s="693"/>
      <c r="Y2033" s="671"/>
      <c r="Z2033" s="673"/>
      <c r="AA2033" s="672"/>
      <c r="AB2033" s="695"/>
      <c r="AC2033" s="673"/>
      <c r="AD2033" s="673"/>
      <c r="AE2033" s="673"/>
      <c r="AF2033" s="673"/>
      <c r="AG2033" s="673"/>
      <c r="AH2033" s="673"/>
      <c r="AI2033" s="673"/>
      <c r="AJ2033" s="673"/>
      <c r="AK2033" s="673"/>
      <c r="AL2033" s="673"/>
      <c r="AM2033" s="673"/>
      <c r="AN2033" s="673"/>
      <c r="AO2033" s="673"/>
      <c r="AP2033" s="673"/>
      <c r="AQ2033" s="673"/>
      <c r="AR2033" s="673"/>
      <c r="AS2033" s="673"/>
      <c r="AT2033" s="696"/>
    </row>
    <row r="2034" ht="15.75" customHeight="1">
      <c r="A2034" s="653"/>
      <c r="B2034" s="654"/>
      <c r="C2034" s="691"/>
      <c r="D2034" s="656"/>
      <c r="E2034" s="657"/>
      <c r="F2034" s="658"/>
      <c r="G2034" s="659"/>
      <c r="H2034" s="660"/>
      <c r="I2034" s="659"/>
      <c r="J2034" s="661"/>
      <c r="K2034" s="692"/>
      <c r="L2034" s="645"/>
      <c r="M2034" s="663"/>
      <c r="N2034" s="665"/>
      <c r="O2034" s="665"/>
      <c r="P2034" s="666"/>
      <c r="Q2034" s="667"/>
      <c r="R2034" s="668"/>
      <c r="S2034" s="693"/>
      <c r="T2034" s="694"/>
      <c r="U2034" s="694"/>
      <c r="V2034" s="693"/>
      <c r="W2034" s="693"/>
      <c r="X2034" s="693"/>
      <c r="Y2034" s="671"/>
      <c r="Z2034" s="673"/>
      <c r="AA2034" s="672"/>
      <c r="AB2034" s="695"/>
      <c r="AC2034" s="673"/>
      <c r="AD2034" s="673"/>
      <c r="AE2034" s="673"/>
      <c r="AF2034" s="673"/>
      <c r="AG2034" s="673"/>
      <c r="AH2034" s="673"/>
      <c r="AI2034" s="673"/>
      <c r="AJ2034" s="673"/>
      <c r="AK2034" s="673"/>
      <c r="AL2034" s="673"/>
      <c r="AM2034" s="673"/>
      <c r="AN2034" s="673"/>
      <c r="AO2034" s="673"/>
      <c r="AP2034" s="673"/>
      <c r="AQ2034" s="673"/>
      <c r="AR2034" s="673"/>
      <c r="AS2034" s="673"/>
      <c r="AT2034" s="696"/>
    </row>
    <row r="2035" ht="15.75" customHeight="1">
      <c r="A2035" s="653"/>
      <c r="B2035" s="654"/>
      <c r="C2035" s="691"/>
      <c r="D2035" s="656"/>
      <c r="E2035" s="657"/>
      <c r="F2035" s="658"/>
      <c r="G2035" s="659"/>
      <c r="H2035" s="660"/>
      <c r="I2035" s="659"/>
      <c r="J2035" s="661"/>
      <c r="K2035" s="692"/>
      <c r="L2035" s="645"/>
      <c r="M2035" s="663"/>
      <c r="N2035" s="665"/>
      <c r="O2035" s="665"/>
      <c r="P2035" s="666"/>
      <c r="Q2035" s="667"/>
      <c r="R2035" s="668"/>
      <c r="S2035" s="693"/>
      <c r="T2035" s="694"/>
      <c r="U2035" s="694"/>
      <c r="V2035" s="693"/>
      <c r="W2035" s="693"/>
      <c r="X2035" s="693"/>
      <c r="Y2035" s="671"/>
      <c r="Z2035" s="673"/>
      <c r="AA2035" s="672"/>
      <c r="AB2035" s="695"/>
      <c r="AC2035" s="673"/>
      <c r="AD2035" s="673"/>
      <c r="AE2035" s="673"/>
      <c r="AF2035" s="673"/>
      <c r="AG2035" s="673"/>
      <c r="AH2035" s="673"/>
      <c r="AI2035" s="673"/>
      <c r="AJ2035" s="673"/>
      <c r="AK2035" s="673"/>
      <c r="AL2035" s="673"/>
      <c r="AM2035" s="673"/>
      <c r="AN2035" s="673"/>
      <c r="AO2035" s="673"/>
      <c r="AP2035" s="673"/>
      <c r="AQ2035" s="673"/>
      <c r="AR2035" s="673"/>
      <c r="AS2035" s="673"/>
      <c r="AT2035" s="696"/>
    </row>
  </sheetData>
  <mergeCells count="3">
    <mergeCell ref="A1:L2"/>
    <mergeCell ref="M1:R2"/>
    <mergeCell ref="V1:Z2"/>
  </mergeCells>
  <conditionalFormatting sqref="M5:M2035">
    <cfRule type="cellIs" dxfId="5" priority="1" operator="equal">
      <formula>"AÇÃO"</formula>
    </cfRule>
  </conditionalFormatting>
  <conditionalFormatting sqref="M5:M2035">
    <cfRule type="expression" dxfId="25" priority="2">
      <formula>IF(OR(M5="ETF",M5="FIA",M5="FIP",M5="FIP IE"),TRUE)</formula>
    </cfRule>
  </conditionalFormatting>
  <conditionalFormatting sqref="M5:M2035">
    <cfRule type="cellIs" dxfId="43" priority="3" operator="equal">
      <formula>"FII"</formula>
    </cfRule>
  </conditionalFormatting>
  <conditionalFormatting sqref="M5:M2035">
    <cfRule type="cellIs" dxfId="44" priority="4" operator="equal">
      <formula>"OPÇÃO"</formula>
    </cfRule>
  </conditionalFormatting>
  <conditionalFormatting sqref="M5:M2035">
    <cfRule type="cellIs" dxfId="45" priority="5" operator="equal">
      <formula>"BDR"</formula>
    </cfRule>
  </conditionalFormatting>
  <conditionalFormatting sqref="M5:M2035">
    <cfRule type="expression" dxfId="46" priority="6">
      <formula>IF(OR(M5="STOCK",M5="REIT"),TRUE)</formula>
    </cfRule>
  </conditionalFormatting>
  <conditionalFormatting sqref="P5:Q2035">
    <cfRule type="cellIs" dxfId="3" priority="7" operator="greaterThan">
      <formula>0</formula>
    </cfRule>
  </conditionalFormatting>
  <conditionalFormatting sqref="O5:Z2035 AE5:AT2035">
    <cfRule type="cellIs" dxfId="2" priority="8" operator="lessThan">
      <formula>0</formula>
    </cfRule>
  </conditionalFormatting>
  <conditionalFormatting sqref="O5:Z2035 AE5:AT2035">
    <cfRule type="cellIs" dxfId="47" priority="9" operator="equal">
      <formula>0</formula>
    </cfRule>
  </conditionalFormatting>
  <conditionalFormatting sqref="N5:Q2035 S5:S2035 V5:X2035">
    <cfRule type="cellIs" dxfId="48" priority="10" operator="lessThan">
      <formula>0</formula>
    </cfRule>
  </conditionalFormatting>
  <conditionalFormatting sqref="E5:E2035">
    <cfRule type="cellIs" dxfId="49" priority="11" operator="greaterThanOrEqual">
      <formula>0</formula>
    </cfRule>
  </conditionalFormatting>
  <conditionalFormatting sqref="E5:E2035">
    <cfRule type="cellIs" dxfId="50" priority="12" operator="lessThan">
      <formula>0</formula>
    </cfRule>
  </conditionalFormatting>
  <conditionalFormatting sqref="M5:M2035">
    <cfRule type="expression" dxfId="1" priority="13">
      <formula>IF(OR(M5="CRIPTO",M5="TOKEN"),TRUE)</formula>
    </cfRule>
  </conditionalFormatting>
  <conditionalFormatting sqref="M5:M2035">
    <cfRule type="notContainsBlanks" dxfId="42" priority="14">
      <formula>LEN(TRIM(M5))&gt;0</formula>
    </cfRule>
  </conditionalFormatting>
  <dataValidations>
    <dataValidation type="list" allowBlank="1" sqref="A5:A2035">
      <formula1>'config.parâmetros'!$B$17:$B$23</formula1>
    </dataValidation>
    <dataValidation type="list" allowBlank="1" sqref="D5:D2035">
      <formula1>"DT"</formula1>
    </dataValidation>
    <dataValidation type="list" allowBlank="1" sqref="J5:J2035">
      <formula1>"BRL,USD,AUD,CAD,CHF,EUR,GBP,GBX,HKD,JPY,SGD"</formula1>
    </dataValidation>
  </dataValidations>
  <printOptions/>
  <pageMargins bottom="0.787401575" footer="0.0" header="0.0" left="0.511811024" right="0.511811024" top="0.787401575"/>
  <pageSetup paperSize="9" orientation="portrait"/>
  <drawing r:id="rId2"/>
  <legacyDrawing r:id="rId3"/>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outlinePr summaryBelow="0" summaryRight="0"/>
  </sheetPr>
  <sheetViews>
    <sheetView showGridLines="0" workbookViewId="0">
      <pane ySplit="4.0" topLeftCell="A5" activePane="bottomLeft" state="frozen"/>
      <selection activeCell="B6" sqref="B6" pane="bottomLeft"/>
    </sheetView>
  </sheetViews>
  <sheetFormatPr customHeight="1" defaultColWidth="15.13" defaultRowHeight="15.75"/>
  <cols>
    <col customWidth="1" hidden="1" min="1" max="1" width="11.38"/>
    <col customWidth="1" min="2" max="2" width="15.13"/>
    <col customWidth="1" min="3" max="3" width="8.25"/>
    <col customWidth="1" min="4" max="4" width="11.38"/>
    <col customWidth="1" min="5" max="6" width="8.25"/>
    <col customWidth="1" min="7" max="7" width="7.63"/>
    <col customWidth="1" min="8" max="8" width="11.38"/>
    <col customWidth="1" min="9" max="9" width="11.75"/>
    <col customWidth="1" min="10" max="10" width="15.13"/>
    <col customWidth="1" min="11" max="11" width="1.13"/>
    <col customWidth="1" min="12" max="12" width="11.38"/>
    <col customWidth="1" min="13" max="14" width="8.25"/>
    <col customWidth="1" min="15" max="16" width="9.5"/>
    <col customWidth="1" hidden="1" min="17" max="17" width="9.5"/>
    <col customWidth="1" hidden="1" min="18" max="19" width="16.38"/>
    <col customWidth="1" hidden="1" min="20" max="34" width="10.5"/>
  </cols>
  <sheetData>
    <row r="1" ht="12.75" customHeight="1">
      <c r="A1" s="516" t="s">
        <v>430</v>
      </c>
      <c r="B1" s="514"/>
      <c r="C1" s="514"/>
      <c r="D1" s="514"/>
      <c r="E1" s="514"/>
      <c r="F1" s="514"/>
      <c r="G1" s="514"/>
      <c r="H1" s="514"/>
      <c r="I1" s="514"/>
      <c r="J1" s="514"/>
      <c r="K1" s="217"/>
      <c r="L1" s="697" t="str">
        <f>HYPERLINK("bit.ly/dlombelloplanilhas","dlombello®planilhas "&amp;leiame!B6)</f>
        <v>dlombello®planilhas v6.4.02</v>
      </c>
      <c r="M1" s="514"/>
      <c r="N1" s="514"/>
      <c r="O1" s="514"/>
      <c r="P1" s="514"/>
      <c r="Q1" s="514"/>
      <c r="R1" s="698"/>
      <c r="S1" s="698"/>
      <c r="T1" s="642"/>
      <c r="U1" s="642"/>
      <c r="V1" s="642"/>
      <c r="W1" s="642"/>
      <c r="X1" s="642"/>
      <c r="Y1" s="642"/>
      <c r="Z1" s="642"/>
      <c r="AA1" s="642"/>
      <c r="AB1" s="642"/>
      <c r="AC1" s="642"/>
      <c r="AD1" s="642"/>
      <c r="AE1" s="642"/>
      <c r="AF1" s="642"/>
      <c r="AG1" s="642"/>
      <c r="AH1" s="642"/>
    </row>
    <row r="2" ht="12.75" customHeight="1">
      <c r="A2" s="230"/>
      <c r="B2" s="519"/>
      <c r="C2" s="519"/>
      <c r="D2" s="519"/>
      <c r="E2" s="519"/>
      <c r="F2" s="519"/>
      <c r="G2" s="519"/>
      <c r="H2" s="519"/>
      <c r="I2" s="519"/>
      <c r="J2" s="519"/>
      <c r="K2" s="231"/>
      <c r="L2" s="230"/>
      <c r="M2" s="519"/>
      <c r="N2" s="519"/>
      <c r="O2" s="519"/>
      <c r="P2" s="519"/>
      <c r="Q2" s="519"/>
      <c r="R2" s="698"/>
      <c r="S2" s="698"/>
      <c r="T2" s="642"/>
      <c r="U2" s="642"/>
      <c r="V2" s="642"/>
      <c r="W2" s="642"/>
      <c r="X2" s="642"/>
      <c r="Y2" s="642"/>
      <c r="Z2" s="642"/>
      <c r="AA2" s="642"/>
      <c r="AB2" s="642"/>
      <c r="AC2" s="642"/>
      <c r="AD2" s="642"/>
      <c r="AE2" s="642"/>
      <c r="AF2" s="642"/>
      <c r="AG2" s="642"/>
      <c r="AH2" s="642"/>
    </row>
    <row r="3" ht="6.0" customHeight="1">
      <c r="A3" s="699"/>
      <c r="B3" s="699"/>
      <c r="C3" s="699"/>
      <c r="D3" s="699"/>
      <c r="E3" s="699"/>
      <c r="F3" s="699"/>
      <c r="G3" s="699"/>
      <c r="H3" s="699"/>
      <c r="I3" s="699"/>
      <c r="J3" s="699"/>
      <c r="K3" s="699"/>
      <c r="L3" s="699"/>
      <c r="M3" s="699"/>
      <c r="N3" s="700"/>
      <c r="O3" s="699"/>
      <c r="P3" s="699"/>
      <c r="Q3" s="699"/>
      <c r="R3" s="699"/>
      <c r="S3" s="699"/>
      <c r="T3" s="643"/>
      <c r="U3" s="643"/>
      <c r="V3" s="643"/>
      <c r="W3" s="643"/>
      <c r="X3" s="643"/>
      <c r="Y3" s="643"/>
      <c r="Z3" s="643"/>
      <c r="AA3" s="643"/>
      <c r="AB3" s="643"/>
      <c r="AC3" s="643"/>
      <c r="AD3" s="643"/>
      <c r="AE3" s="643"/>
      <c r="AF3" s="643"/>
      <c r="AG3" s="643"/>
      <c r="AH3" s="643"/>
    </row>
    <row r="4">
      <c r="A4" s="648" t="s">
        <v>390</v>
      </c>
      <c r="B4" s="701" t="s">
        <v>188</v>
      </c>
      <c r="C4" s="701" t="s">
        <v>391</v>
      </c>
      <c r="D4" s="701" t="s">
        <v>392</v>
      </c>
      <c r="E4" s="701" t="s">
        <v>431</v>
      </c>
      <c r="F4" s="701" t="s">
        <v>396</v>
      </c>
      <c r="G4" s="701" t="s">
        <v>397</v>
      </c>
      <c r="H4" s="701" t="s">
        <v>316</v>
      </c>
      <c r="I4" s="701" t="s">
        <v>432</v>
      </c>
      <c r="J4" s="701" t="s">
        <v>398</v>
      </c>
      <c r="K4" s="702"/>
      <c r="L4" s="703" t="s">
        <v>399</v>
      </c>
      <c r="M4" s="703" t="s">
        <v>189</v>
      </c>
      <c r="N4" s="704" t="s">
        <v>407</v>
      </c>
      <c r="O4" s="703" t="s">
        <v>433</v>
      </c>
      <c r="P4" s="703" t="s">
        <v>434</v>
      </c>
      <c r="Q4" s="703" t="s">
        <v>435</v>
      </c>
      <c r="R4" s="703" t="s">
        <v>193</v>
      </c>
      <c r="S4" s="703" t="s">
        <v>413</v>
      </c>
      <c r="T4" s="649" t="s">
        <v>414</v>
      </c>
      <c r="U4" s="649" t="s">
        <v>415</v>
      </c>
      <c r="V4" s="649" t="s">
        <v>416</v>
      </c>
      <c r="W4" s="649" t="s">
        <v>417</v>
      </c>
      <c r="X4" s="649" t="s">
        <v>418</v>
      </c>
      <c r="Y4" s="649" t="s">
        <v>419</v>
      </c>
      <c r="Z4" s="649" t="s">
        <v>420</v>
      </c>
      <c r="AA4" s="649" t="s">
        <v>421</v>
      </c>
      <c r="AB4" s="649" t="s">
        <v>422</v>
      </c>
      <c r="AC4" s="649" t="s">
        <v>423</v>
      </c>
      <c r="AD4" s="649" t="s">
        <v>424</v>
      </c>
      <c r="AE4" s="649" t="s">
        <v>425</v>
      </c>
      <c r="AF4" s="649" t="s">
        <v>426</v>
      </c>
      <c r="AG4" s="649" t="s">
        <v>427</v>
      </c>
      <c r="AH4" s="649" t="s">
        <v>428</v>
      </c>
    </row>
    <row r="5">
      <c r="A5" s="653"/>
      <c r="B5" s="654"/>
      <c r="C5" s="691"/>
      <c r="D5" s="661"/>
      <c r="E5" s="705"/>
      <c r="F5" s="659"/>
      <c r="G5" s="661"/>
      <c r="H5" s="660"/>
      <c r="I5" s="691"/>
      <c r="J5" s="661"/>
      <c r="K5" s="706"/>
      <c r="L5" s="665"/>
      <c r="M5" s="663"/>
      <c r="N5" s="665"/>
      <c r="O5" s="665"/>
      <c r="P5" s="665"/>
      <c r="Q5" s="665"/>
      <c r="R5" s="665"/>
      <c r="S5" s="665"/>
      <c r="T5" s="673"/>
      <c r="U5" s="673"/>
      <c r="V5" s="673"/>
      <c r="W5" s="673"/>
      <c r="X5" s="673"/>
      <c r="Y5" s="673"/>
      <c r="Z5" s="673"/>
      <c r="AA5" s="673"/>
      <c r="AB5" s="673"/>
      <c r="AC5" s="673"/>
      <c r="AD5" s="673"/>
      <c r="AE5" s="673"/>
      <c r="AF5" s="673"/>
      <c r="AG5" s="673"/>
      <c r="AH5" s="673"/>
    </row>
    <row r="6">
      <c r="A6" s="653"/>
      <c r="B6" s="654"/>
      <c r="C6" s="691"/>
      <c r="D6" s="661"/>
      <c r="E6" s="705"/>
      <c r="F6" s="659"/>
      <c r="G6" s="661"/>
      <c r="H6" s="660"/>
      <c r="I6" s="691"/>
      <c r="J6" s="661"/>
      <c r="K6" s="706"/>
      <c r="L6" s="665"/>
      <c r="M6" s="663"/>
      <c r="N6" s="665"/>
      <c r="O6" s="665"/>
      <c r="P6" s="665"/>
      <c r="Q6" s="665"/>
      <c r="R6" s="665"/>
      <c r="S6" s="665"/>
      <c r="T6" s="673"/>
      <c r="U6" s="673"/>
      <c r="V6" s="673"/>
      <c r="W6" s="673"/>
      <c r="X6" s="673"/>
      <c r="Y6" s="673"/>
      <c r="Z6" s="673"/>
      <c r="AA6" s="673"/>
      <c r="AB6" s="673"/>
      <c r="AC6" s="673"/>
      <c r="AD6" s="673"/>
      <c r="AE6" s="673"/>
      <c r="AF6" s="673"/>
      <c r="AG6" s="673"/>
      <c r="AH6" s="673"/>
    </row>
    <row r="7">
      <c r="A7" s="653"/>
      <c r="B7" s="654"/>
      <c r="C7" s="691"/>
      <c r="D7" s="661"/>
      <c r="E7" s="705"/>
      <c r="F7" s="659"/>
      <c r="G7" s="661"/>
      <c r="H7" s="660"/>
      <c r="I7" s="691"/>
      <c r="J7" s="661"/>
      <c r="K7" s="706"/>
      <c r="L7" s="665"/>
      <c r="M7" s="663"/>
      <c r="N7" s="665"/>
      <c r="O7" s="665"/>
      <c r="P7" s="665"/>
      <c r="Q7" s="665"/>
      <c r="R7" s="665"/>
      <c r="S7" s="665"/>
      <c r="T7" s="673"/>
      <c r="U7" s="673"/>
      <c r="V7" s="673"/>
      <c r="W7" s="673"/>
      <c r="X7" s="673"/>
      <c r="Y7" s="673"/>
      <c r="Z7" s="673"/>
      <c r="AA7" s="673"/>
      <c r="AB7" s="673"/>
      <c r="AC7" s="673"/>
      <c r="AD7" s="673"/>
      <c r="AE7" s="673"/>
      <c r="AF7" s="673"/>
      <c r="AG7" s="673"/>
      <c r="AH7" s="673"/>
    </row>
    <row r="8">
      <c r="A8" s="653"/>
      <c r="B8" s="654"/>
      <c r="C8" s="691"/>
      <c r="D8" s="661"/>
      <c r="E8" s="705"/>
      <c r="F8" s="659"/>
      <c r="G8" s="661"/>
      <c r="H8" s="660"/>
      <c r="I8" s="691"/>
      <c r="J8" s="661"/>
      <c r="K8" s="706"/>
      <c r="L8" s="665"/>
      <c r="M8" s="663"/>
      <c r="N8" s="665"/>
      <c r="O8" s="665"/>
      <c r="P8" s="665"/>
      <c r="Q8" s="665"/>
      <c r="R8" s="665"/>
      <c r="S8" s="665"/>
      <c r="T8" s="673"/>
      <c r="U8" s="673"/>
      <c r="V8" s="673"/>
      <c r="W8" s="673"/>
      <c r="X8" s="673"/>
      <c r="Y8" s="673"/>
      <c r="Z8" s="673"/>
      <c r="AA8" s="673"/>
      <c r="AB8" s="673"/>
      <c r="AC8" s="673"/>
      <c r="AD8" s="673"/>
      <c r="AE8" s="673"/>
      <c r="AF8" s="673"/>
      <c r="AG8" s="673"/>
      <c r="AH8" s="673"/>
    </row>
    <row r="9">
      <c r="A9" s="653"/>
      <c r="B9" s="654"/>
      <c r="C9" s="691"/>
      <c r="D9" s="661"/>
      <c r="E9" s="705"/>
      <c r="F9" s="659"/>
      <c r="G9" s="661"/>
      <c r="H9" s="660"/>
      <c r="I9" s="691"/>
      <c r="J9" s="661"/>
      <c r="K9" s="706"/>
      <c r="L9" s="665"/>
      <c r="M9" s="663"/>
      <c r="N9" s="665"/>
      <c r="O9" s="665"/>
      <c r="P9" s="665"/>
      <c r="Q9" s="665"/>
      <c r="R9" s="665"/>
      <c r="S9" s="665"/>
      <c r="T9" s="673"/>
      <c r="U9" s="673"/>
      <c r="V9" s="673"/>
      <c r="W9" s="673"/>
      <c r="X9" s="673"/>
      <c r="Y9" s="673"/>
      <c r="Z9" s="673"/>
      <c r="AA9" s="673"/>
      <c r="AB9" s="673"/>
      <c r="AC9" s="673"/>
      <c r="AD9" s="673"/>
      <c r="AE9" s="673"/>
      <c r="AF9" s="673"/>
      <c r="AG9" s="673"/>
      <c r="AH9" s="673"/>
    </row>
    <row r="10">
      <c r="A10" s="653"/>
      <c r="B10" s="654"/>
      <c r="C10" s="691"/>
      <c r="D10" s="661"/>
      <c r="E10" s="705"/>
      <c r="F10" s="659"/>
      <c r="G10" s="661"/>
      <c r="H10" s="660"/>
      <c r="I10" s="691"/>
      <c r="J10" s="661"/>
      <c r="K10" s="706"/>
      <c r="L10" s="665"/>
      <c r="M10" s="663"/>
      <c r="N10" s="665"/>
      <c r="O10" s="665"/>
      <c r="P10" s="665"/>
      <c r="Q10" s="665"/>
      <c r="R10" s="665"/>
      <c r="S10" s="665"/>
      <c r="T10" s="673"/>
      <c r="U10" s="673"/>
      <c r="V10" s="673"/>
      <c r="W10" s="673"/>
      <c r="X10" s="673"/>
      <c r="Y10" s="673"/>
      <c r="Z10" s="673"/>
      <c r="AA10" s="673"/>
      <c r="AB10" s="673"/>
      <c r="AC10" s="673"/>
      <c r="AD10" s="673"/>
      <c r="AE10" s="673"/>
      <c r="AF10" s="673"/>
      <c r="AG10" s="673"/>
      <c r="AH10" s="673"/>
    </row>
    <row r="11">
      <c r="A11" s="653"/>
      <c r="B11" s="654"/>
      <c r="C11" s="691"/>
      <c r="D11" s="661"/>
      <c r="E11" s="705"/>
      <c r="F11" s="659"/>
      <c r="G11" s="661"/>
      <c r="H11" s="660"/>
      <c r="I11" s="691"/>
      <c r="J11" s="661"/>
      <c r="K11" s="706"/>
      <c r="L11" s="665"/>
      <c r="M11" s="663"/>
      <c r="N11" s="665"/>
      <c r="O11" s="665"/>
      <c r="P11" s="665"/>
      <c r="Q11" s="665"/>
      <c r="R11" s="665"/>
      <c r="S11" s="665"/>
      <c r="T11" s="673"/>
      <c r="U11" s="673"/>
      <c r="V11" s="673"/>
      <c r="W11" s="673"/>
      <c r="X11" s="673"/>
      <c r="Y11" s="673"/>
      <c r="Z11" s="673"/>
      <c r="AA11" s="673"/>
      <c r="AB11" s="673"/>
      <c r="AC11" s="673"/>
      <c r="AD11" s="673"/>
      <c r="AE11" s="673"/>
      <c r="AF11" s="673"/>
      <c r="AG11" s="673"/>
      <c r="AH11" s="673"/>
    </row>
    <row r="12">
      <c r="A12" s="653"/>
      <c r="B12" s="654"/>
      <c r="C12" s="691"/>
      <c r="D12" s="661"/>
      <c r="E12" s="705"/>
      <c r="F12" s="659"/>
      <c r="G12" s="661"/>
      <c r="H12" s="660"/>
      <c r="I12" s="691"/>
      <c r="J12" s="661"/>
      <c r="K12" s="706"/>
      <c r="L12" s="665"/>
      <c r="M12" s="663"/>
      <c r="N12" s="665"/>
      <c r="O12" s="665"/>
      <c r="P12" s="665"/>
      <c r="Q12" s="665"/>
      <c r="R12" s="665"/>
      <c r="S12" s="665"/>
      <c r="T12" s="673"/>
      <c r="U12" s="673"/>
      <c r="V12" s="673"/>
      <c r="W12" s="673"/>
      <c r="X12" s="673"/>
      <c r="Y12" s="673"/>
      <c r="Z12" s="673"/>
      <c r="AA12" s="673"/>
      <c r="AB12" s="673"/>
      <c r="AC12" s="673"/>
      <c r="AD12" s="673"/>
      <c r="AE12" s="673"/>
      <c r="AF12" s="673"/>
      <c r="AG12" s="673"/>
      <c r="AH12" s="673"/>
    </row>
    <row r="13">
      <c r="A13" s="653"/>
      <c r="B13" s="654"/>
      <c r="C13" s="691"/>
      <c r="D13" s="661"/>
      <c r="E13" s="705"/>
      <c r="F13" s="659"/>
      <c r="G13" s="661"/>
      <c r="H13" s="660"/>
      <c r="I13" s="691"/>
      <c r="J13" s="661"/>
      <c r="K13" s="706"/>
      <c r="L13" s="665"/>
      <c r="M13" s="663"/>
      <c r="N13" s="665"/>
      <c r="O13" s="665"/>
      <c r="P13" s="665"/>
      <c r="Q13" s="665"/>
      <c r="R13" s="665"/>
      <c r="S13" s="665"/>
      <c r="T13" s="673"/>
      <c r="U13" s="673"/>
      <c r="V13" s="673"/>
      <c r="W13" s="673"/>
      <c r="X13" s="673"/>
      <c r="Y13" s="673"/>
      <c r="Z13" s="673"/>
      <c r="AA13" s="673"/>
      <c r="AB13" s="673"/>
      <c r="AC13" s="673"/>
      <c r="AD13" s="673"/>
      <c r="AE13" s="673"/>
      <c r="AF13" s="673"/>
      <c r="AG13" s="673"/>
      <c r="AH13" s="673"/>
    </row>
    <row r="14">
      <c r="A14" s="653"/>
      <c r="B14" s="654"/>
      <c r="C14" s="691"/>
      <c r="D14" s="661"/>
      <c r="E14" s="705"/>
      <c r="F14" s="659"/>
      <c r="G14" s="661"/>
      <c r="H14" s="660"/>
      <c r="I14" s="691"/>
      <c r="J14" s="661"/>
      <c r="K14" s="706"/>
      <c r="L14" s="665"/>
      <c r="M14" s="663"/>
      <c r="N14" s="665"/>
      <c r="O14" s="665"/>
      <c r="P14" s="665"/>
      <c r="Q14" s="665"/>
      <c r="R14" s="665"/>
      <c r="S14" s="665"/>
      <c r="T14" s="673"/>
      <c r="U14" s="673"/>
      <c r="V14" s="673"/>
      <c r="W14" s="673"/>
      <c r="X14" s="673"/>
      <c r="Y14" s="673"/>
      <c r="Z14" s="673"/>
      <c r="AA14" s="673"/>
      <c r="AB14" s="673"/>
      <c r="AC14" s="673"/>
      <c r="AD14" s="673"/>
      <c r="AE14" s="673"/>
      <c r="AF14" s="673"/>
      <c r="AG14" s="673"/>
      <c r="AH14" s="673"/>
    </row>
    <row r="15">
      <c r="A15" s="653"/>
      <c r="B15" s="654"/>
      <c r="C15" s="691"/>
      <c r="D15" s="661"/>
      <c r="E15" s="705"/>
      <c r="F15" s="659"/>
      <c r="G15" s="661"/>
      <c r="H15" s="660"/>
      <c r="I15" s="691"/>
      <c r="J15" s="661"/>
      <c r="K15" s="706"/>
      <c r="L15" s="665"/>
      <c r="M15" s="663"/>
      <c r="N15" s="665"/>
      <c r="O15" s="665"/>
      <c r="P15" s="665"/>
      <c r="Q15" s="665"/>
      <c r="R15" s="665"/>
      <c r="S15" s="665"/>
      <c r="T15" s="673"/>
      <c r="U15" s="673"/>
      <c r="V15" s="673"/>
      <c r="W15" s="673"/>
      <c r="X15" s="673"/>
      <c r="Y15" s="673"/>
      <c r="Z15" s="673"/>
      <c r="AA15" s="673"/>
      <c r="AB15" s="673"/>
      <c r="AC15" s="673"/>
      <c r="AD15" s="673"/>
      <c r="AE15" s="673"/>
      <c r="AF15" s="673"/>
      <c r="AG15" s="673"/>
      <c r="AH15" s="673"/>
    </row>
    <row r="16">
      <c r="A16" s="653"/>
      <c r="B16" s="654"/>
      <c r="C16" s="691"/>
      <c r="D16" s="661"/>
      <c r="E16" s="705"/>
      <c r="F16" s="659"/>
      <c r="G16" s="661"/>
      <c r="H16" s="660"/>
      <c r="I16" s="691"/>
      <c r="J16" s="661"/>
      <c r="K16" s="706"/>
      <c r="L16" s="665"/>
      <c r="M16" s="663"/>
      <c r="N16" s="665"/>
      <c r="O16" s="665"/>
      <c r="P16" s="665"/>
      <c r="Q16" s="665"/>
      <c r="R16" s="665"/>
      <c r="S16" s="665"/>
      <c r="T16" s="673"/>
      <c r="U16" s="673"/>
      <c r="V16" s="673"/>
      <c r="W16" s="673"/>
      <c r="X16" s="673"/>
      <c r="Y16" s="673"/>
      <c r="Z16" s="673"/>
      <c r="AA16" s="673"/>
      <c r="AB16" s="673"/>
      <c r="AC16" s="673"/>
      <c r="AD16" s="673"/>
      <c r="AE16" s="673"/>
      <c r="AF16" s="673"/>
      <c r="AG16" s="673"/>
      <c r="AH16" s="673"/>
    </row>
    <row r="17">
      <c r="A17" s="653"/>
      <c r="B17" s="654"/>
      <c r="C17" s="691"/>
      <c r="D17" s="661"/>
      <c r="E17" s="705"/>
      <c r="F17" s="659"/>
      <c r="G17" s="661"/>
      <c r="H17" s="660"/>
      <c r="I17" s="691"/>
      <c r="J17" s="661"/>
      <c r="K17" s="706"/>
      <c r="L17" s="665"/>
      <c r="M17" s="663"/>
      <c r="N17" s="665"/>
      <c r="O17" s="665"/>
      <c r="P17" s="665"/>
      <c r="Q17" s="665"/>
      <c r="R17" s="665"/>
      <c r="S17" s="665"/>
      <c r="T17" s="673"/>
      <c r="U17" s="673"/>
      <c r="V17" s="673"/>
      <c r="W17" s="673"/>
      <c r="X17" s="673"/>
      <c r="Y17" s="673"/>
      <c r="Z17" s="673"/>
      <c r="AA17" s="673"/>
      <c r="AB17" s="673"/>
      <c r="AC17" s="673"/>
      <c r="AD17" s="673"/>
      <c r="AE17" s="673"/>
      <c r="AF17" s="673"/>
      <c r="AG17" s="673"/>
      <c r="AH17" s="673"/>
    </row>
    <row r="18">
      <c r="A18" s="653"/>
      <c r="B18" s="654"/>
      <c r="C18" s="691"/>
      <c r="D18" s="661"/>
      <c r="E18" s="705"/>
      <c r="F18" s="659"/>
      <c r="G18" s="661"/>
      <c r="H18" s="660"/>
      <c r="I18" s="691"/>
      <c r="J18" s="661"/>
      <c r="K18" s="706"/>
      <c r="L18" s="665"/>
      <c r="M18" s="663"/>
      <c r="N18" s="665"/>
      <c r="O18" s="665"/>
      <c r="P18" s="665"/>
      <c r="Q18" s="665"/>
      <c r="R18" s="665"/>
      <c r="S18" s="665"/>
      <c r="T18" s="673"/>
      <c r="U18" s="673"/>
      <c r="V18" s="673"/>
      <c r="W18" s="673"/>
      <c r="X18" s="673"/>
      <c r="Y18" s="673"/>
      <c r="Z18" s="673"/>
      <c r="AA18" s="673"/>
      <c r="AB18" s="673"/>
      <c r="AC18" s="673"/>
      <c r="AD18" s="673"/>
      <c r="AE18" s="673"/>
      <c r="AF18" s="673"/>
      <c r="AG18" s="673"/>
      <c r="AH18" s="673"/>
    </row>
    <row r="19">
      <c r="A19" s="653"/>
      <c r="B19" s="654"/>
      <c r="C19" s="691"/>
      <c r="D19" s="661"/>
      <c r="E19" s="705"/>
      <c r="F19" s="659"/>
      <c r="G19" s="661"/>
      <c r="H19" s="660"/>
      <c r="I19" s="691"/>
      <c r="J19" s="661"/>
      <c r="K19" s="706"/>
      <c r="L19" s="665"/>
      <c r="M19" s="663"/>
      <c r="N19" s="665"/>
      <c r="O19" s="665"/>
      <c r="P19" s="665"/>
      <c r="Q19" s="665"/>
      <c r="R19" s="665"/>
      <c r="S19" s="665"/>
      <c r="T19" s="673"/>
      <c r="U19" s="673"/>
      <c r="V19" s="673"/>
      <c r="W19" s="673"/>
      <c r="X19" s="673"/>
      <c r="Y19" s="673"/>
      <c r="Z19" s="673"/>
      <c r="AA19" s="673"/>
      <c r="AB19" s="673"/>
      <c r="AC19" s="673"/>
      <c r="AD19" s="673"/>
      <c r="AE19" s="673"/>
      <c r="AF19" s="673"/>
      <c r="AG19" s="673"/>
      <c r="AH19" s="673"/>
    </row>
    <row r="20">
      <c r="A20" s="653"/>
      <c r="B20" s="654"/>
      <c r="C20" s="691"/>
      <c r="D20" s="661"/>
      <c r="E20" s="705"/>
      <c r="F20" s="659"/>
      <c r="G20" s="661"/>
      <c r="H20" s="660"/>
      <c r="I20" s="691"/>
      <c r="J20" s="661"/>
      <c r="K20" s="706"/>
      <c r="L20" s="665"/>
      <c r="M20" s="663"/>
      <c r="N20" s="665"/>
      <c r="O20" s="665"/>
      <c r="P20" s="665"/>
      <c r="Q20" s="665"/>
      <c r="R20" s="665"/>
      <c r="S20" s="665"/>
      <c r="T20" s="673"/>
      <c r="U20" s="673"/>
      <c r="V20" s="673"/>
      <c r="W20" s="673"/>
      <c r="X20" s="673"/>
      <c r="Y20" s="673"/>
      <c r="Z20" s="673"/>
      <c r="AA20" s="673"/>
      <c r="AB20" s="673"/>
      <c r="AC20" s="673"/>
      <c r="AD20" s="673"/>
      <c r="AE20" s="673"/>
      <c r="AF20" s="673"/>
      <c r="AG20" s="673"/>
      <c r="AH20" s="673"/>
    </row>
    <row r="21">
      <c r="A21" s="653"/>
      <c r="B21" s="654"/>
      <c r="C21" s="691"/>
      <c r="D21" s="661"/>
      <c r="E21" s="705"/>
      <c r="F21" s="659"/>
      <c r="G21" s="661"/>
      <c r="H21" s="660"/>
      <c r="I21" s="691"/>
      <c r="J21" s="661"/>
      <c r="K21" s="706"/>
      <c r="L21" s="665"/>
      <c r="M21" s="663"/>
      <c r="N21" s="665"/>
      <c r="O21" s="665"/>
      <c r="P21" s="665"/>
      <c r="Q21" s="665"/>
      <c r="R21" s="665"/>
      <c r="S21" s="665"/>
      <c r="T21" s="673"/>
      <c r="U21" s="673"/>
      <c r="V21" s="673"/>
      <c r="W21" s="673"/>
      <c r="X21" s="673"/>
      <c r="Y21" s="673"/>
      <c r="Z21" s="673"/>
      <c r="AA21" s="673"/>
      <c r="AB21" s="673"/>
      <c r="AC21" s="673"/>
      <c r="AD21" s="673"/>
      <c r="AE21" s="673"/>
      <c r="AF21" s="673"/>
      <c r="AG21" s="673"/>
      <c r="AH21" s="673"/>
    </row>
    <row r="22">
      <c r="A22" s="653"/>
      <c r="B22" s="654"/>
      <c r="C22" s="691"/>
      <c r="D22" s="661"/>
      <c r="E22" s="705"/>
      <c r="F22" s="659"/>
      <c r="G22" s="661"/>
      <c r="H22" s="660"/>
      <c r="I22" s="691"/>
      <c r="J22" s="661"/>
      <c r="K22" s="706"/>
      <c r="L22" s="665"/>
      <c r="M22" s="663"/>
      <c r="N22" s="665"/>
      <c r="O22" s="665"/>
      <c r="P22" s="665"/>
      <c r="Q22" s="665"/>
      <c r="R22" s="665"/>
      <c r="S22" s="665"/>
      <c r="T22" s="673"/>
      <c r="U22" s="673"/>
      <c r="V22" s="673"/>
      <c r="W22" s="673"/>
      <c r="X22" s="673"/>
      <c r="Y22" s="673"/>
      <c r="Z22" s="673"/>
      <c r="AA22" s="673"/>
      <c r="AB22" s="673"/>
      <c r="AC22" s="673"/>
      <c r="AD22" s="673"/>
      <c r="AE22" s="673"/>
      <c r="AF22" s="673"/>
      <c r="AG22" s="673"/>
      <c r="AH22" s="673"/>
    </row>
    <row r="23">
      <c r="A23" s="653"/>
      <c r="B23" s="654"/>
      <c r="C23" s="691"/>
      <c r="D23" s="661"/>
      <c r="E23" s="705"/>
      <c r="F23" s="659"/>
      <c r="G23" s="661"/>
      <c r="H23" s="660"/>
      <c r="I23" s="691"/>
      <c r="J23" s="661"/>
      <c r="K23" s="706"/>
      <c r="L23" s="665"/>
      <c r="M23" s="663"/>
      <c r="N23" s="665"/>
      <c r="O23" s="665"/>
      <c r="P23" s="665"/>
      <c r="Q23" s="665"/>
      <c r="R23" s="665"/>
      <c r="S23" s="665"/>
      <c r="T23" s="673"/>
      <c r="U23" s="673"/>
      <c r="V23" s="673"/>
      <c r="W23" s="673"/>
      <c r="X23" s="673"/>
      <c r="Y23" s="673"/>
      <c r="Z23" s="673"/>
      <c r="AA23" s="673"/>
      <c r="AB23" s="673"/>
      <c r="AC23" s="673"/>
      <c r="AD23" s="673"/>
      <c r="AE23" s="673"/>
      <c r="AF23" s="673"/>
      <c r="AG23" s="673"/>
      <c r="AH23" s="673"/>
    </row>
    <row r="24">
      <c r="A24" s="653"/>
      <c r="B24" s="654"/>
      <c r="C24" s="691"/>
      <c r="D24" s="661"/>
      <c r="E24" s="705"/>
      <c r="F24" s="659"/>
      <c r="G24" s="661"/>
      <c r="H24" s="660"/>
      <c r="I24" s="691"/>
      <c r="J24" s="661"/>
      <c r="K24" s="706"/>
      <c r="L24" s="665"/>
      <c r="M24" s="663"/>
      <c r="N24" s="665"/>
      <c r="O24" s="665"/>
      <c r="P24" s="665"/>
      <c r="Q24" s="665"/>
      <c r="R24" s="665"/>
      <c r="S24" s="665"/>
      <c r="T24" s="673"/>
      <c r="U24" s="673"/>
      <c r="V24" s="673"/>
      <c r="W24" s="673"/>
      <c r="X24" s="673"/>
      <c r="Y24" s="673"/>
      <c r="Z24" s="673"/>
      <c r="AA24" s="673"/>
      <c r="AB24" s="673"/>
      <c r="AC24" s="673"/>
      <c r="AD24" s="673"/>
      <c r="AE24" s="673"/>
      <c r="AF24" s="673"/>
      <c r="AG24" s="673"/>
      <c r="AH24" s="673"/>
    </row>
    <row r="25">
      <c r="A25" s="653"/>
      <c r="B25" s="654"/>
      <c r="C25" s="691"/>
      <c r="D25" s="661"/>
      <c r="E25" s="705"/>
      <c r="F25" s="659"/>
      <c r="G25" s="661"/>
      <c r="H25" s="660"/>
      <c r="I25" s="691"/>
      <c r="J25" s="661"/>
      <c r="K25" s="706"/>
      <c r="L25" s="665"/>
      <c r="M25" s="663"/>
      <c r="N25" s="665"/>
      <c r="O25" s="665"/>
      <c r="P25" s="665"/>
      <c r="Q25" s="665"/>
      <c r="R25" s="665"/>
      <c r="S25" s="665"/>
      <c r="T25" s="673"/>
      <c r="U25" s="673"/>
      <c r="V25" s="673"/>
      <c r="W25" s="673"/>
      <c r="X25" s="673"/>
      <c r="Y25" s="673"/>
      <c r="Z25" s="673"/>
      <c r="AA25" s="673"/>
      <c r="AB25" s="673"/>
      <c r="AC25" s="673"/>
      <c r="AD25" s="673"/>
      <c r="AE25" s="673"/>
      <c r="AF25" s="673"/>
      <c r="AG25" s="673"/>
      <c r="AH25" s="673"/>
    </row>
    <row r="26">
      <c r="A26" s="653"/>
      <c r="B26" s="654"/>
      <c r="C26" s="691"/>
      <c r="D26" s="661"/>
      <c r="E26" s="705"/>
      <c r="F26" s="659"/>
      <c r="G26" s="661"/>
      <c r="H26" s="660"/>
      <c r="I26" s="691"/>
      <c r="J26" s="661"/>
      <c r="K26" s="706"/>
      <c r="L26" s="665"/>
      <c r="M26" s="663"/>
      <c r="N26" s="665"/>
      <c r="O26" s="665"/>
      <c r="P26" s="665"/>
      <c r="Q26" s="665"/>
      <c r="R26" s="665"/>
      <c r="S26" s="665"/>
      <c r="T26" s="673"/>
      <c r="U26" s="673"/>
      <c r="V26" s="673"/>
      <c r="W26" s="673"/>
      <c r="X26" s="673"/>
      <c r="Y26" s="673"/>
      <c r="Z26" s="673"/>
      <c r="AA26" s="673"/>
      <c r="AB26" s="673"/>
      <c r="AC26" s="673"/>
      <c r="AD26" s="673"/>
      <c r="AE26" s="673"/>
      <c r="AF26" s="673"/>
      <c r="AG26" s="673"/>
      <c r="AH26" s="673"/>
    </row>
    <row r="27">
      <c r="A27" s="653"/>
      <c r="B27" s="654"/>
      <c r="C27" s="691"/>
      <c r="D27" s="661"/>
      <c r="E27" s="705"/>
      <c r="F27" s="659"/>
      <c r="G27" s="661"/>
      <c r="H27" s="660"/>
      <c r="I27" s="691"/>
      <c r="J27" s="661"/>
      <c r="K27" s="706"/>
      <c r="L27" s="665"/>
      <c r="M27" s="663"/>
      <c r="N27" s="665"/>
      <c r="O27" s="665"/>
      <c r="P27" s="665"/>
      <c r="Q27" s="665"/>
      <c r="R27" s="665"/>
      <c r="S27" s="665"/>
      <c r="T27" s="673"/>
      <c r="U27" s="673"/>
      <c r="V27" s="673"/>
      <c r="W27" s="673"/>
      <c r="X27" s="673"/>
      <c r="Y27" s="673"/>
      <c r="Z27" s="673"/>
      <c r="AA27" s="673"/>
      <c r="AB27" s="673"/>
      <c r="AC27" s="673"/>
      <c r="AD27" s="673"/>
      <c r="AE27" s="673"/>
      <c r="AF27" s="673"/>
      <c r="AG27" s="673"/>
      <c r="AH27" s="673"/>
    </row>
    <row r="28">
      <c r="A28" s="653"/>
      <c r="B28" s="654"/>
      <c r="C28" s="691"/>
      <c r="D28" s="661"/>
      <c r="E28" s="705"/>
      <c r="F28" s="659"/>
      <c r="G28" s="661"/>
      <c r="H28" s="660"/>
      <c r="I28" s="691"/>
      <c r="J28" s="661"/>
      <c r="K28" s="706"/>
      <c r="L28" s="665"/>
      <c r="M28" s="663"/>
      <c r="N28" s="665"/>
      <c r="O28" s="665"/>
      <c r="P28" s="665"/>
      <c r="Q28" s="665"/>
      <c r="R28" s="665"/>
      <c r="S28" s="665"/>
      <c r="T28" s="673"/>
      <c r="U28" s="673"/>
      <c r="V28" s="673"/>
      <c r="W28" s="673"/>
      <c r="X28" s="673"/>
      <c r="Y28" s="673"/>
      <c r="Z28" s="673"/>
      <c r="AA28" s="673"/>
      <c r="AB28" s="673"/>
      <c r="AC28" s="673"/>
      <c r="AD28" s="673"/>
      <c r="AE28" s="673"/>
      <c r="AF28" s="673"/>
      <c r="AG28" s="673"/>
      <c r="AH28" s="673"/>
    </row>
    <row r="29">
      <c r="A29" s="653"/>
      <c r="B29" s="654"/>
      <c r="C29" s="691"/>
      <c r="D29" s="661"/>
      <c r="E29" s="705"/>
      <c r="F29" s="659"/>
      <c r="G29" s="661"/>
      <c r="H29" s="660"/>
      <c r="I29" s="691"/>
      <c r="J29" s="661"/>
      <c r="K29" s="706"/>
      <c r="L29" s="665"/>
      <c r="M29" s="663"/>
      <c r="N29" s="665"/>
      <c r="O29" s="665"/>
      <c r="P29" s="665"/>
      <c r="Q29" s="665"/>
      <c r="R29" s="665"/>
      <c r="S29" s="665"/>
      <c r="T29" s="673"/>
      <c r="U29" s="673"/>
      <c r="V29" s="673"/>
      <c r="W29" s="673"/>
      <c r="X29" s="673"/>
      <c r="Y29" s="673"/>
      <c r="Z29" s="673"/>
      <c r="AA29" s="673"/>
      <c r="AB29" s="673"/>
      <c r="AC29" s="673"/>
      <c r="AD29" s="673"/>
      <c r="AE29" s="673"/>
      <c r="AF29" s="673"/>
      <c r="AG29" s="673"/>
      <c r="AH29" s="673"/>
    </row>
    <row r="30">
      <c r="A30" s="653"/>
      <c r="B30" s="654"/>
      <c r="C30" s="691"/>
      <c r="D30" s="661"/>
      <c r="E30" s="705"/>
      <c r="F30" s="659"/>
      <c r="G30" s="661"/>
      <c r="H30" s="660"/>
      <c r="I30" s="691"/>
      <c r="J30" s="661"/>
      <c r="K30" s="706"/>
      <c r="L30" s="665"/>
      <c r="M30" s="663"/>
      <c r="N30" s="665"/>
      <c r="O30" s="665"/>
      <c r="P30" s="665"/>
      <c r="Q30" s="665"/>
      <c r="R30" s="665"/>
      <c r="S30" s="665"/>
      <c r="T30" s="673"/>
      <c r="U30" s="673"/>
      <c r="V30" s="673"/>
      <c r="W30" s="673"/>
      <c r="X30" s="673"/>
      <c r="Y30" s="673"/>
      <c r="Z30" s="673"/>
      <c r="AA30" s="673"/>
      <c r="AB30" s="673"/>
      <c r="AC30" s="673"/>
      <c r="AD30" s="673"/>
      <c r="AE30" s="673"/>
      <c r="AF30" s="673"/>
      <c r="AG30" s="673"/>
      <c r="AH30" s="673"/>
    </row>
    <row r="31">
      <c r="A31" s="653"/>
      <c r="B31" s="654"/>
      <c r="C31" s="691"/>
      <c r="D31" s="661"/>
      <c r="E31" s="705"/>
      <c r="F31" s="659"/>
      <c r="G31" s="661"/>
      <c r="H31" s="660"/>
      <c r="I31" s="691"/>
      <c r="J31" s="661"/>
      <c r="K31" s="706"/>
      <c r="L31" s="665"/>
      <c r="M31" s="663"/>
      <c r="N31" s="665"/>
      <c r="O31" s="665"/>
      <c r="P31" s="665"/>
      <c r="Q31" s="665"/>
      <c r="R31" s="665"/>
      <c r="S31" s="665"/>
      <c r="T31" s="673"/>
      <c r="U31" s="673"/>
      <c r="V31" s="673"/>
      <c r="W31" s="673"/>
      <c r="X31" s="673"/>
      <c r="Y31" s="673"/>
      <c r="Z31" s="673"/>
      <c r="AA31" s="673"/>
      <c r="AB31" s="673"/>
      <c r="AC31" s="673"/>
      <c r="AD31" s="673"/>
      <c r="AE31" s="673"/>
      <c r="AF31" s="673"/>
      <c r="AG31" s="673"/>
      <c r="AH31" s="673"/>
    </row>
    <row r="32">
      <c r="A32" s="653"/>
      <c r="B32" s="654"/>
      <c r="C32" s="691"/>
      <c r="D32" s="661"/>
      <c r="E32" s="705"/>
      <c r="F32" s="659"/>
      <c r="G32" s="661"/>
      <c r="H32" s="660"/>
      <c r="I32" s="691"/>
      <c r="J32" s="661"/>
      <c r="K32" s="706"/>
      <c r="L32" s="665"/>
      <c r="M32" s="663"/>
      <c r="N32" s="665"/>
      <c r="O32" s="665"/>
      <c r="P32" s="665"/>
      <c r="Q32" s="665"/>
      <c r="R32" s="665"/>
      <c r="S32" s="665"/>
      <c r="T32" s="673"/>
      <c r="U32" s="673"/>
      <c r="V32" s="673"/>
      <c r="W32" s="673"/>
      <c r="X32" s="673"/>
      <c r="Y32" s="673"/>
      <c r="Z32" s="673"/>
      <c r="AA32" s="673"/>
      <c r="AB32" s="673"/>
      <c r="AC32" s="673"/>
      <c r="AD32" s="673"/>
      <c r="AE32" s="673"/>
      <c r="AF32" s="673"/>
      <c r="AG32" s="673"/>
      <c r="AH32" s="673"/>
    </row>
    <row r="33">
      <c r="A33" s="653"/>
      <c r="B33" s="654"/>
      <c r="C33" s="691"/>
      <c r="D33" s="661"/>
      <c r="E33" s="705"/>
      <c r="F33" s="659"/>
      <c r="G33" s="661"/>
      <c r="H33" s="660"/>
      <c r="I33" s="691"/>
      <c r="J33" s="661"/>
      <c r="K33" s="706"/>
      <c r="L33" s="665"/>
      <c r="M33" s="663"/>
      <c r="N33" s="665"/>
      <c r="O33" s="665"/>
      <c r="P33" s="665"/>
      <c r="Q33" s="665"/>
      <c r="R33" s="665"/>
      <c r="S33" s="665"/>
      <c r="T33" s="673"/>
      <c r="U33" s="673"/>
      <c r="V33" s="673"/>
      <c r="W33" s="673"/>
      <c r="X33" s="673"/>
      <c r="Y33" s="673"/>
      <c r="Z33" s="673"/>
      <c r="AA33" s="673"/>
      <c r="AB33" s="673"/>
      <c r="AC33" s="673"/>
      <c r="AD33" s="673"/>
      <c r="AE33" s="673"/>
      <c r="AF33" s="673"/>
      <c r="AG33" s="673"/>
      <c r="AH33" s="673"/>
    </row>
    <row r="34">
      <c r="A34" s="653"/>
      <c r="B34" s="654"/>
      <c r="C34" s="691"/>
      <c r="D34" s="661"/>
      <c r="E34" s="705"/>
      <c r="F34" s="659"/>
      <c r="G34" s="661"/>
      <c r="H34" s="660"/>
      <c r="I34" s="691"/>
      <c r="J34" s="661"/>
      <c r="K34" s="706"/>
      <c r="L34" s="665"/>
      <c r="M34" s="663"/>
      <c r="N34" s="665"/>
      <c r="O34" s="665"/>
      <c r="P34" s="665"/>
      <c r="Q34" s="665"/>
      <c r="R34" s="665"/>
      <c r="S34" s="665"/>
      <c r="T34" s="673"/>
      <c r="U34" s="673"/>
      <c r="V34" s="673"/>
      <c r="W34" s="673"/>
      <c r="X34" s="673"/>
      <c r="Y34" s="673"/>
      <c r="Z34" s="673"/>
      <c r="AA34" s="673"/>
      <c r="AB34" s="673"/>
      <c r="AC34" s="673"/>
      <c r="AD34" s="673"/>
      <c r="AE34" s="673"/>
      <c r="AF34" s="673"/>
      <c r="AG34" s="673"/>
      <c r="AH34" s="673"/>
    </row>
    <row r="35">
      <c r="A35" s="653"/>
      <c r="B35" s="654"/>
      <c r="C35" s="691"/>
      <c r="D35" s="661"/>
      <c r="E35" s="705"/>
      <c r="F35" s="659"/>
      <c r="G35" s="661"/>
      <c r="H35" s="660"/>
      <c r="I35" s="691"/>
      <c r="J35" s="661"/>
      <c r="K35" s="706"/>
      <c r="L35" s="665"/>
      <c r="M35" s="663"/>
      <c r="N35" s="665"/>
      <c r="O35" s="665"/>
      <c r="P35" s="665"/>
      <c r="Q35" s="665"/>
      <c r="R35" s="665"/>
      <c r="S35" s="665"/>
      <c r="T35" s="673"/>
      <c r="U35" s="673"/>
      <c r="V35" s="673"/>
      <c r="W35" s="673"/>
      <c r="X35" s="673"/>
      <c r="Y35" s="673"/>
      <c r="Z35" s="673"/>
      <c r="AA35" s="673"/>
      <c r="AB35" s="673"/>
      <c r="AC35" s="673"/>
      <c r="AD35" s="673"/>
      <c r="AE35" s="673"/>
      <c r="AF35" s="673"/>
      <c r="AG35" s="673"/>
      <c r="AH35" s="673"/>
    </row>
    <row r="36">
      <c r="A36" s="653"/>
      <c r="B36" s="654"/>
      <c r="C36" s="691"/>
      <c r="D36" s="661"/>
      <c r="E36" s="705"/>
      <c r="F36" s="659"/>
      <c r="G36" s="661"/>
      <c r="H36" s="660"/>
      <c r="I36" s="691"/>
      <c r="J36" s="661"/>
      <c r="K36" s="706"/>
      <c r="L36" s="665"/>
      <c r="M36" s="663"/>
      <c r="N36" s="665"/>
      <c r="O36" s="665"/>
      <c r="P36" s="665"/>
      <c r="Q36" s="665"/>
      <c r="R36" s="665"/>
      <c r="S36" s="665"/>
      <c r="T36" s="673"/>
      <c r="U36" s="673"/>
      <c r="V36" s="673"/>
      <c r="W36" s="673"/>
      <c r="X36" s="673"/>
      <c r="Y36" s="673"/>
      <c r="Z36" s="673"/>
      <c r="AA36" s="673"/>
      <c r="AB36" s="673"/>
      <c r="AC36" s="673"/>
      <c r="AD36" s="673"/>
      <c r="AE36" s="673"/>
      <c r="AF36" s="673"/>
      <c r="AG36" s="673"/>
      <c r="AH36" s="673"/>
    </row>
    <row r="37">
      <c r="A37" s="653"/>
      <c r="B37" s="654"/>
      <c r="C37" s="691"/>
      <c r="D37" s="661"/>
      <c r="E37" s="705"/>
      <c r="F37" s="659"/>
      <c r="G37" s="661"/>
      <c r="H37" s="660"/>
      <c r="I37" s="691"/>
      <c r="J37" s="661"/>
      <c r="K37" s="706"/>
      <c r="L37" s="665"/>
      <c r="M37" s="663"/>
      <c r="N37" s="665"/>
      <c r="O37" s="665"/>
      <c r="P37" s="665"/>
      <c r="Q37" s="665"/>
      <c r="R37" s="665"/>
      <c r="S37" s="665"/>
      <c r="T37" s="673"/>
      <c r="U37" s="673"/>
      <c r="V37" s="673"/>
      <c r="W37" s="673"/>
      <c r="X37" s="673"/>
      <c r="Y37" s="673"/>
      <c r="Z37" s="673"/>
      <c r="AA37" s="673"/>
      <c r="AB37" s="673"/>
      <c r="AC37" s="673"/>
      <c r="AD37" s="673"/>
      <c r="AE37" s="673"/>
      <c r="AF37" s="673"/>
      <c r="AG37" s="673"/>
      <c r="AH37" s="673"/>
    </row>
    <row r="38">
      <c r="A38" s="653"/>
      <c r="B38" s="654"/>
      <c r="C38" s="691"/>
      <c r="D38" s="661"/>
      <c r="E38" s="705"/>
      <c r="F38" s="659"/>
      <c r="G38" s="661"/>
      <c r="H38" s="660"/>
      <c r="I38" s="691"/>
      <c r="J38" s="661"/>
      <c r="K38" s="706"/>
      <c r="L38" s="665"/>
      <c r="M38" s="663"/>
      <c r="N38" s="665"/>
      <c r="O38" s="665"/>
      <c r="P38" s="665"/>
      <c r="Q38" s="665"/>
      <c r="R38" s="665"/>
      <c r="S38" s="665"/>
      <c r="T38" s="673"/>
      <c r="U38" s="673"/>
      <c r="V38" s="673"/>
      <c r="W38" s="673"/>
      <c r="X38" s="673"/>
      <c r="Y38" s="673"/>
      <c r="Z38" s="673"/>
      <c r="AA38" s="673"/>
      <c r="AB38" s="673"/>
      <c r="AC38" s="673"/>
      <c r="AD38" s="673"/>
      <c r="AE38" s="673"/>
      <c r="AF38" s="673"/>
      <c r="AG38" s="673"/>
      <c r="AH38" s="673"/>
    </row>
    <row r="39">
      <c r="A39" s="653"/>
      <c r="B39" s="654"/>
      <c r="C39" s="691"/>
      <c r="D39" s="661"/>
      <c r="E39" s="705"/>
      <c r="F39" s="659"/>
      <c r="G39" s="661"/>
      <c r="H39" s="660"/>
      <c r="I39" s="691"/>
      <c r="J39" s="661"/>
      <c r="K39" s="706"/>
      <c r="L39" s="665"/>
      <c r="M39" s="663"/>
      <c r="N39" s="665"/>
      <c r="O39" s="665"/>
      <c r="P39" s="665"/>
      <c r="Q39" s="665"/>
      <c r="R39" s="665"/>
      <c r="S39" s="665"/>
      <c r="T39" s="673"/>
      <c r="U39" s="673"/>
      <c r="V39" s="673"/>
      <c r="W39" s="673"/>
      <c r="X39" s="673"/>
      <c r="Y39" s="673"/>
      <c r="Z39" s="673"/>
      <c r="AA39" s="673"/>
      <c r="AB39" s="673"/>
      <c r="AC39" s="673"/>
      <c r="AD39" s="673"/>
      <c r="AE39" s="673"/>
      <c r="AF39" s="673"/>
      <c r="AG39" s="673"/>
      <c r="AH39" s="673"/>
    </row>
    <row r="40">
      <c r="A40" s="653"/>
      <c r="B40" s="654"/>
      <c r="C40" s="691"/>
      <c r="D40" s="661"/>
      <c r="E40" s="705"/>
      <c r="F40" s="659"/>
      <c r="G40" s="661"/>
      <c r="H40" s="660"/>
      <c r="I40" s="691"/>
      <c r="J40" s="661"/>
      <c r="K40" s="706"/>
      <c r="L40" s="665"/>
      <c r="M40" s="663"/>
      <c r="N40" s="665"/>
      <c r="O40" s="665"/>
      <c r="P40" s="665"/>
      <c r="Q40" s="665"/>
      <c r="R40" s="665"/>
      <c r="S40" s="665"/>
      <c r="T40" s="673"/>
      <c r="U40" s="673"/>
      <c r="V40" s="673"/>
      <c r="W40" s="673"/>
      <c r="X40" s="673"/>
      <c r="Y40" s="673"/>
      <c r="Z40" s="673"/>
      <c r="AA40" s="673"/>
      <c r="AB40" s="673"/>
      <c r="AC40" s="673"/>
      <c r="AD40" s="673"/>
      <c r="AE40" s="673"/>
      <c r="AF40" s="673"/>
      <c r="AG40" s="673"/>
      <c r="AH40" s="673"/>
    </row>
    <row r="41">
      <c r="A41" s="653"/>
      <c r="B41" s="654"/>
      <c r="C41" s="691"/>
      <c r="D41" s="661"/>
      <c r="E41" s="705"/>
      <c r="F41" s="659"/>
      <c r="G41" s="661"/>
      <c r="H41" s="660"/>
      <c r="I41" s="691"/>
      <c r="J41" s="661"/>
      <c r="K41" s="706"/>
      <c r="L41" s="665"/>
      <c r="M41" s="663"/>
      <c r="N41" s="665"/>
      <c r="O41" s="665"/>
      <c r="P41" s="665"/>
      <c r="Q41" s="665"/>
      <c r="R41" s="665"/>
      <c r="S41" s="665"/>
      <c r="T41" s="673"/>
      <c r="U41" s="673"/>
      <c r="V41" s="673"/>
      <c r="W41" s="673"/>
      <c r="X41" s="673"/>
      <c r="Y41" s="673"/>
      <c r="Z41" s="673"/>
      <c r="AA41" s="673"/>
      <c r="AB41" s="673"/>
      <c r="AC41" s="673"/>
      <c r="AD41" s="673"/>
      <c r="AE41" s="673"/>
      <c r="AF41" s="673"/>
      <c r="AG41" s="673"/>
      <c r="AH41" s="673"/>
    </row>
    <row r="42">
      <c r="A42" s="653"/>
      <c r="B42" s="654"/>
      <c r="C42" s="691"/>
      <c r="D42" s="661"/>
      <c r="E42" s="705"/>
      <c r="F42" s="659"/>
      <c r="G42" s="661"/>
      <c r="H42" s="660"/>
      <c r="I42" s="691"/>
      <c r="J42" s="661"/>
      <c r="K42" s="706"/>
      <c r="L42" s="665"/>
      <c r="M42" s="663"/>
      <c r="N42" s="665"/>
      <c r="O42" s="665"/>
      <c r="P42" s="665"/>
      <c r="Q42" s="665"/>
      <c r="R42" s="665"/>
      <c r="S42" s="665"/>
      <c r="T42" s="673"/>
      <c r="U42" s="673"/>
      <c r="V42" s="673"/>
      <c r="W42" s="673"/>
      <c r="X42" s="673"/>
      <c r="Y42" s="673"/>
      <c r="Z42" s="673"/>
      <c r="AA42" s="673"/>
      <c r="AB42" s="673"/>
      <c r="AC42" s="673"/>
      <c r="AD42" s="673"/>
      <c r="AE42" s="673"/>
      <c r="AF42" s="673"/>
      <c r="AG42" s="673"/>
      <c r="AH42" s="673"/>
    </row>
    <row r="43">
      <c r="A43" s="653"/>
      <c r="B43" s="654"/>
      <c r="C43" s="691"/>
      <c r="D43" s="661"/>
      <c r="E43" s="705"/>
      <c r="F43" s="659"/>
      <c r="G43" s="661"/>
      <c r="H43" s="660"/>
      <c r="I43" s="691"/>
      <c r="J43" s="661"/>
      <c r="K43" s="706"/>
      <c r="L43" s="665"/>
      <c r="M43" s="663"/>
      <c r="N43" s="665"/>
      <c r="O43" s="665"/>
      <c r="P43" s="665"/>
      <c r="Q43" s="665"/>
      <c r="R43" s="665"/>
      <c r="S43" s="665"/>
      <c r="T43" s="673"/>
      <c r="U43" s="673"/>
      <c r="V43" s="673"/>
      <c r="W43" s="673"/>
      <c r="X43" s="673"/>
      <c r="Y43" s="673"/>
      <c r="Z43" s="673"/>
      <c r="AA43" s="673"/>
      <c r="AB43" s="673"/>
      <c r="AC43" s="673"/>
      <c r="AD43" s="673"/>
      <c r="AE43" s="673"/>
      <c r="AF43" s="673"/>
      <c r="AG43" s="673"/>
      <c r="AH43" s="673"/>
    </row>
    <row r="44">
      <c r="A44" s="653"/>
      <c r="B44" s="654"/>
      <c r="C44" s="691"/>
      <c r="D44" s="661"/>
      <c r="E44" s="705"/>
      <c r="F44" s="659"/>
      <c r="G44" s="661"/>
      <c r="H44" s="660"/>
      <c r="I44" s="691"/>
      <c r="J44" s="661"/>
      <c r="K44" s="706"/>
      <c r="L44" s="665"/>
      <c r="M44" s="663"/>
      <c r="N44" s="665"/>
      <c r="O44" s="665"/>
      <c r="P44" s="665"/>
      <c r="Q44" s="665"/>
      <c r="R44" s="665"/>
      <c r="S44" s="665"/>
      <c r="T44" s="673"/>
      <c r="U44" s="673"/>
      <c r="V44" s="673"/>
      <c r="W44" s="673"/>
      <c r="X44" s="673"/>
      <c r="Y44" s="673"/>
      <c r="Z44" s="673"/>
      <c r="AA44" s="673"/>
      <c r="AB44" s="673"/>
      <c r="AC44" s="673"/>
      <c r="AD44" s="673"/>
      <c r="AE44" s="673"/>
      <c r="AF44" s="673"/>
      <c r="AG44" s="673"/>
      <c r="AH44" s="673"/>
    </row>
    <row r="45">
      <c r="A45" s="653"/>
      <c r="B45" s="654"/>
      <c r="C45" s="691"/>
      <c r="D45" s="661"/>
      <c r="E45" s="705"/>
      <c r="F45" s="659"/>
      <c r="G45" s="661"/>
      <c r="H45" s="660"/>
      <c r="I45" s="691"/>
      <c r="J45" s="661"/>
      <c r="K45" s="706"/>
      <c r="L45" s="665"/>
      <c r="M45" s="663"/>
      <c r="N45" s="665"/>
      <c r="O45" s="665"/>
      <c r="P45" s="665"/>
      <c r="Q45" s="665"/>
      <c r="R45" s="665"/>
      <c r="S45" s="665"/>
      <c r="T45" s="673"/>
      <c r="U45" s="673"/>
      <c r="V45" s="673"/>
      <c r="W45" s="673"/>
      <c r="X45" s="673"/>
      <c r="Y45" s="673"/>
      <c r="Z45" s="673"/>
      <c r="AA45" s="673"/>
      <c r="AB45" s="673"/>
      <c r="AC45" s="673"/>
      <c r="AD45" s="673"/>
      <c r="AE45" s="673"/>
      <c r="AF45" s="673"/>
      <c r="AG45" s="673"/>
      <c r="AH45" s="673"/>
    </row>
    <row r="46">
      <c r="A46" s="653"/>
      <c r="B46" s="654"/>
      <c r="C46" s="691"/>
      <c r="D46" s="661"/>
      <c r="E46" s="705"/>
      <c r="F46" s="659"/>
      <c r="G46" s="661"/>
      <c r="H46" s="660"/>
      <c r="I46" s="691"/>
      <c r="J46" s="661"/>
      <c r="K46" s="706"/>
      <c r="L46" s="665"/>
      <c r="M46" s="663"/>
      <c r="N46" s="665"/>
      <c r="O46" s="665"/>
      <c r="P46" s="665"/>
      <c r="Q46" s="665"/>
      <c r="R46" s="665"/>
      <c r="S46" s="665"/>
      <c r="T46" s="673"/>
      <c r="U46" s="673"/>
      <c r="V46" s="673"/>
      <c r="W46" s="673"/>
      <c r="X46" s="673"/>
      <c r="Y46" s="673"/>
      <c r="Z46" s="673"/>
      <c r="AA46" s="673"/>
      <c r="AB46" s="673"/>
      <c r="AC46" s="673"/>
      <c r="AD46" s="673"/>
      <c r="AE46" s="673"/>
      <c r="AF46" s="673"/>
      <c r="AG46" s="673"/>
      <c r="AH46" s="673"/>
    </row>
    <row r="47">
      <c r="A47" s="653"/>
      <c r="B47" s="654"/>
      <c r="C47" s="691"/>
      <c r="D47" s="661"/>
      <c r="E47" s="705"/>
      <c r="F47" s="659"/>
      <c r="G47" s="661"/>
      <c r="H47" s="660"/>
      <c r="I47" s="691"/>
      <c r="J47" s="661"/>
      <c r="K47" s="706"/>
      <c r="L47" s="665"/>
      <c r="M47" s="663"/>
      <c r="N47" s="665"/>
      <c r="O47" s="665"/>
      <c r="P47" s="665"/>
      <c r="Q47" s="665"/>
      <c r="R47" s="665"/>
      <c r="S47" s="665"/>
      <c r="T47" s="673"/>
      <c r="U47" s="673"/>
      <c r="V47" s="673"/>
      <c r="W47" s="673"/>
      <c r="X47" s="673"/>
      <c r="Y47" s="673"/>
      <c r="Z47" s="673"/>
      <c r="AA47" s="673"/>
      <c r="AB47" s="673"/>
      <c r="AC47" s="673"/>
      <c r="AD47" s="673"/>
      <c r="AE47" s="673"/>
      <c r="AF47" s="673"/>
      <c r="AG47" s="673"/>
      <c r="AH47" s="673"/>
    </row>
    <row r="48">
      <c r="A48" s="653"/>
      <c r="B48" s="654"/>
      <c r="C48" s="691"/>
      <c r="D48" s="661"/>
      <c r="E48" s="705"/>
      <c r="F48" s="659"/>
      <c r="G48" s="661"/>
      <c r="H48" s="660"/>
      <c r="I48" s="691"/>
      <c r="J48" s="661"/>
      <c r="K48" s="706"/>
      <c r="L48" s="665"/>
      <c r="M48" s="663"/>
      <c r="N48" s="665"/>
      <c r="O48" s="665"/>
      <c r="P48" s="665"/>
      <c r="Q48" s="665"/>
      <c r="R48" s="665"/>
      <c r="S48" s="665"/>
      <c r="T48" s="673"/>
      <c r="U48" s="673"/>
      <c r="V48" s="673"/>
      <c r="W48" s="673"/>
      <c r="X48" s="673"/>
      <c r="Y48" s="673"/>
      <c r="Z48" s="673"/>
      <c r="AA48" s="673"/>
      <c r="AB48" s="673"/>
      <c r="AC48" s="673"/>
      <c r="AD48" s="673"/>
      <c r="AE48" s="673"/>
      <c r="AF48" s="673"/>
      <c r="AG48" s="673"/>
      <c r="AH48" s="673"/>
    </row>
    <row r="49">
      <c r="A49" s="653"/>
      <c r="B49" s="654"/>
      <c r="C49" s="691"/>
      <c r="D49" s="661"/>
      <c r="E49" s="705"/>
      <c r="F49" s="659"/>
      <c r="G49" s="661"/>
      <c r="H49" s="660"/>
      <c r="I49" s="691"/>
      <c r="J49" s="661"/>
      <c r="K49" s="706"/>
      <c r="L49" s="665"/>
      <c r="M49" s="663"/>
      <c r="N49" s="665"/>
      <c r="O49" s="665"/>
      <c r="P49" s="665"/>
      <c r="Q49" s="665"/>
      <c r="R49" s="665"/>
      <c r="S49" s="665"/>
      <c r="T49" s="673"/>
      <c r="U49" s="673"/>
      <c r="V49" s="673"/>
      <c r="W49" s="673"/>
      <c r="X49" s="673"/>
      <c r="Y49" s="673"/>
      <c r="Z49" s="673"/>
      <c r="AA49" s="673"/>
      <c r="AB49" s="673"/>
      <c r="AC49" s="673"/>
      <c r="AD49" s="673"/>
      <c r="AE49" s="673"/>
      <c r="AF49" s="673"/>
      <c r="AG49" s="673"/>
      <c r="AH49" s="673"/>
    </row>
    <row r="50">
      <c r="A50" s="653"/>
      <c r="B50" s="654"/>
      <c r="C50" s="691"/>
      <c r="D50" s="661"/>
      <c r="E50" s="705"/>
      <c r="F50" s="659"/>
      <c r="G50" s="661"/>
      <c r="H50" s="660"/>
      <c r="I50" s="691"/>
      <c r="J50" s="661"/>
      <c r="K50" s="706"/>
      <c r="L50" s="665"/>
      <c r="M50" s="663"/>
      <c r="N50" s="665"/>
      <c r="O50" s="665"/>
      <c r="P50" s="665"/>
      <c r="Q50" s="665"/>
      <c r="R50" s="665"/>
      <c r="S50" s="665"/>
      <c r="T50" s="673"/>
      <c r="U50" s="673"/>
      <c r="V50" s="673"/>
      <c r="W50" s="673"/>
      <c r="X50" s="673"/>
      <c r="Y50" s="673"/>
      <c r="Z50" s="673"/>
      <c r="AA50" s="673"/>
      <c r="AB50" s="673"/>
      <c r="AC50" s="673"/>
      <c r="AD50" s="673"/>
      <c r="AE50" s="673"/>
      <c r="AF50" s="673"/>
      <c r="AG50" s="673"/>
      <c r="AH50" s="673"/>
    </row>
    <row r="51">
      <c r="A51" s="653"/>
      <c r="B51" s="654"/>
      <c r="C51" s="691"/>
      <c r="D51" s="661"/>
      <c r="E51" s="705"/>
      <c r="F51" s="659"/>
      <c r="G51" s="661"/>
      <c r="H51" s="660"/>
      <c r="I51" s="691"/>
      <c r="J51" s="661"/>
      <c r="K51" s="706"/>
      <c r="L51" s="665"/>
      <c r="M51" s="663"/>
      <c r="N51" s="665"/>
      <c r="O51" s="665"/>
      <c r="P51" s="665"/>
      <c r="Q51" s="665"/>
      <c r="R51" s="665"/>
      <c r="S51" s="665"/>
      <c r="T51" s="673"/>
      <c r="U51" s="673"/>
      <c r="V51" s="673"/>
      <c r="W51" s="673"/>
      <c r="X51" s="673"/>
      <c r="Y51" s="673"/>
      <c r="Z51" s="673"/>
      <c r="AA51" s="673"/>
      <c r="AB51" s="673"/>
      <c r="AC51" s="673"/>
      <c r="AD51" s="673"/>
      <c r="AE51" s="673"/>
      <c r="AF51" s="673"/>
      <c r="AG51" s="673"/>
      <c r="AH51" s="673"/>
    </row>
    <row r="52">
      <c r="A52" s="653"/>
      <c r="B52" s="654"/>
      <c r="C52" s="691"/>
      <c r="D52" s="661"/>
      <c r="E52" s="705"/>
      <c r="F52" s="659"/>
      <c r="G52" s="661"/>
      <c r="H52" s="660"/>
      <c r="I52" s="691"/>
      <c r="J52" s="661"/>
      <c r="K52" s="706"/>
      <c r="L52" s="665"/>
      <c r="M52" s="663"/>
      <c r="N52" s="665"/>
      <c r="O52" s="665"/>
      <c r="P52" s="665"/>
      <c r="Q52" s="665"/>
      <c r="R52" s="665"/>
      <c r="S52" s="665"/>
      <c r="T52" s="673"/>
      <c r="U52" s="673"/>
      <c r="V52" s="673"/>
      <c r="W52" s="673"/>
      <c r="X52" s="673"/>
      <c r="Y52" s="673"/>
      <c r="Z52" s="673"/>
      <c r="AA52" s="673"/>
      <c r="AB52" s="673"/>
      <c r="AC52" s="673"/>
      <c r="AD52" s="673"/>
      <c r="AE52" s="673"/>
      <c r="AF52" s="673"/>
      <c r="AG52" s="673"/>
      <c r="AH52" s="673"/>
    </row>
    <row r="53">
      <c r="A53" s="653"/>
      <c r="B53" s="654"/>
      <c r="C53" s="691"/>
      <c r="D53" s="661"/>
      <c r="E53" s="705"/>
      <c r="F53" s="659"/>
      <c r="G53" s="661"/>
      <c r="H53" s="660"/>
      <c r="I53" s="691"/>
      <c r="J53" s="661"/>
      <c r="K53" s="706"/>
      <c r="L53" s="665"/>
      <c r="M53" s="663"/>
      <c r="N53" s="665"/>
      <c r="O53" s="665"/>
      <c r="P53" s="665"/>
      <c r="Q53" s="665"/>
      <c r="R53" s="665"/>
      <c r="S53" s="665"/>
      <c r="T53" s="673"/>
      <c r="U53" s="673"/>
      <c r="V53" s="673"/>
      <c r="W53" s="673"/>
      <c r="X53" s="673"/>
      <c r="Y53" s="673"/>
      <c r="Z53" s="673"/>
      <c r="AA53" s="673"/>
      <c r="AB53" s="673"/>
      <c r="AC53" s="673"/>
      <c r="AD53" s="673"/>
      <c r="AE53" s="673"/>
      <c r="AF53" s="673"/>
      <c r="AG53" s="673"/>
      <c r="AH53" s="673"/>
    </row>
    <row r="54">
      <c r="A54" s="653"/>
      <c r="B54" s="654"/>
      <c r="C54" s="691"/>
      <c r="D54" s="661"/>
      <c r="E54" s="705"/>
      <c r="F54" s="659"/>
      <c r="G54" s="661"/>
      <c r="H54" s="660"/>
      <c r="I54" s="691"/>
      <c r="J54" s="661"/>
      <c r="K54" s="706"/>
      <c r="L54" s="665"/>
      <c r="M54" s="663"/>
      <c r="N54" s="665"/>
      <c r="O54" s="665"/>
      <c r="P54" s="665"/>
      <c r="Q54" s="665"/>
      <c r="R54" s="665"/>
      <c r="S54" s="665"/>
      <c r="T54" s="673"/>
      <c r="U54" s="673"/>
      <c r="V54" s="673"/>
      <c r="W54" s="673"/>
      <c r="X54" s="673"/>
      <c r="Y54" s="673"/>
      <c r="Z54" s="673"/>
      <c r="AA54" s="673"/>
      <c r="AB54" s="673"/>
      <c r="AC54" s="673"/>
      <c r="AD54" s="673"/>
      <c r="AE54" s="673"/>
      <c r="AF54" s="673"/>
      <c r="AG54" s="673"/>
      <c r="AH54" s="673"/>
    </row>
    <row r="55">
      <c r="A55" s="653"/>
      <c r="B55" s="654"/>
      <c r="C55" s="691"/>
      <c r="D55" s="661"/>
      <c r="E55" s="705"/>
      <c r="F55" s="659"/>
      <c r="G55" s="661"/>
      <c r="H55" s="660"/>
      <c r="I55" s="691"/>
      <c r="J55" s="661"/>
      <c r="K55" s="706"/>
      <c r="L55" s="665"/>
      <c r="M55" s="663"/>
      <c r="N55" s="665"/>
      <c r="O55" s="665"/>
      <c r="P55" s="665"/>
      <c r="Q55" s="665"/>
      <c r="R55" s="665"/>
      <c r="S55" s="665"/>
      <c r="T55" s="673"/>
      <c r="U55" s="673"/>
      <c r="V55" s="673"/>
      <c r="W55" s="673"/>
      <c r="X55" s="673"/>
      <c r="Y55" s="673"/>
      <c r="Z55" s="673"/>
      <c r="AA55" s="673"/>
      <c r="AB55" s="673"/>
      <c r="AC55" s="673"/>
      <c r="AD55" s="673"/>
      <c r="AE55" s="673"/>
      <c r="AF55" s="673"/>
      <c r="AG55" s="673"/>
      <c r="AH55" s="673"/>
    </row>
    <row r="56">
      <c r="A56" s="653"/>
      <c r="B56" s="654"/>
      <c r="C56" s="691"/>
      <c r="D56" s="661"/>
      <c r="E56" s="705"/>
      <c r="F56" s="659"/>
      <c r="G56" s="661"/>
      <c r="H56" s="660"/>
      <c r="I56" s="691"/>
      <c r="J56" s="661"/>
      <c r="K56" s="706"/>
      <c r="L56" s="665"/>
      <c r="M56" s="663"/>
      <c r="N56" s="665"/>
      <c r="O56" s="665"/>
      <c r="P56" s="665"/>
      <c r="Q56" s="665"/>
      <c r="R56" s="665"/>
      <c r="S56" s="665"/>
      <c r="T56" s="673"/>
      <c r="U56" s="673"/>
      <c r="V56" s="673"/>
      <c r="W56" s="673"/>
      <c r="X56" s="673"/>
      <c r="Y56" s="673"/>
      <c r="Z56" s="673"/>
      <c r="AA56" s="673"/>
      <c r="AB56" s="673"/>
      <c r="AC56" s="673"/>
      <c r="AD56" s="673"/>
      <c r="AE56" s="673"/>
      <c r="AF56" s="673"/>
      <c r="AG56" s="673"/>
      <c r="AH56" s="673"/>
    </row>
    <row r="57">
      <c r="A57" s="653"/>
      <c r="B57" s="654"/>
      <c r="C57" s="691"/>
      <c r="D57" s="661"/>
      <c r="E57" s="705"/>
      <c r="F57" s="659"/>
      <c r="G57" s="661"/>
      <c r="H57" s="660"/>
      <c r="I57" s="691"/>
      <c r="J57" s="661"/>
      <c r="K57" s="706"/>
      <c r="L57" s="665"/>
      <c r="M57" s="663"/>
      <c r="N57" s="665"/>
      <c r="O57" s="665"/>
      <c r="P57" s="665"/>
      <c r="Q57" s="665"/>
      <c r="R57" s="665"/>
      <c r="S57" s="665"/>
      <c r="T57" s="673"/>
      <c r="U57" s="673"/>
      <c r="V57" s="673"/>
      <c r="W57" s="673"/>
      <c r="X57" s="673"/>
      <c r="Y57" s="673"/>
      <c r="Z57" s="673"/>
      <c r="AA57" s="673"/>
      <c r="AB57" s="673"/>
      <c r="AC57" s="673"/>
      <c r="AD57" s="673"/>
      <c r="AE57" s="673"/>
      <c r="AF57" s="673"/>
      <c r="AG57" s="673"/>
      <c r="AH57" s="673"/>
    </row>
    <row r="58">
      <c r="A58" s="653"/>
      <c r="B58" s="654"/>
      <c r="C58" s="691"/>
      <c r="D58" s="661"/>
      <c r="E58" s="705"/>
      <c r="F58" s="659"/>
      <c r="G58" s="661"/>
      <c r="H58" s="660"/>
      <c r="I58" s="691"/>
      <c r="J58" s="661"/>
      <c r="K58" s="706"/>
      <c r="L58" s="665"/>
      <c r="M58" s="663"/>
      <c r="N58" s="665"/>
      <c r="O58" s="665"/>
      <c r="P58" s="665"/>
      <c r="Q58" s="665"/>
      <c r="R58" s="665"/>
      <c r="S58" s="665"/>
      <c r="T58" s="673"/>
      <c r="U58" s="673"/>
      <c r="V58" s="673"/>
      <c r="W58" s="673"/>
      <c r="X58" s="673"/>
      <c r="Y58" s="673"/>
      <c r="Z58" s="673"/>
      <c r="AA58" s="673"/>
      <c r="AB58" s="673"/>
      <c r="AC58" s="673"/>
      <c r="AD58" s="673"/>
      <c r="AE58" s="673"/>
      <c r="AF58" s="673"/>
      <c r="AG58" s="673"/>
      <c r="AH58" s="673"/>
    </row>
    <row r="59">
      <c r="A59" s="653"/>
      <c r="B59" s="654"/>
      <c r="C59" s="691"/>
      <c r="D59" s="661"/>
      <c r="E59" s="705"/>
      <c r="F59" s="659"/>
      <c r="G59" s="661"/>
      <c r="H59" s="660"/>
      <c r="I59" s="691"/>
      <c r="J59" s="661"/>
      <c r="K59" s="706"/>
      <c r="L59" s="665"/>
      <c r="M59" s="663"/>
      <c r="N59" s="665"/>
      <c r="O59" s="665"/>
      <c r="P59" s="665"/>
      <c r="Q59" s="665"/>
      <c r="R59" s="665"/>
      <c r="S59" s="665"/>
      <c r="T59" s="673"/>
      <c r="U59" s="673"/>
      <c r="V59" s="673"/>
      <c r="W59" s="673"/>
      <c r="X59" s="673"/>
      <c r="Y59" s="673"/>
      <c r="Z59" s="673"/>
      <c r="AA59" s="673"/>
      <c r="AB59" s="673"/>
      <c r="AC59" s="673"/>
      <c r="AD59" s="673"/>
      <c r="AE59" s="673"/>
      <c r="AF59" s="673"/>
      <c r="AG59" s="673"/>
      <c r="AH59" s="673"/>
    </row>
    <row r="60">
      <c r="A60" s="653"/>
      <c r="B60" s="654"/>
      <c r="C60" s="691"/>
      <c r="D60" s="661"/>
      <c r="E60" s="705"/>
      <c r="F60" s="659"/>
      <c r="G60" s="661"/>
      <c r="H60" s="660"/>
      <c r="I60" s="691"/>
      <c r="J60" s="661"/>
      <c r="K60" s="706"/>
      <c r="L60" s="665"/>
      <c r="M60" s="663"/>
      <c r="N60" s="665"/>
      <c r="O60" s="665"/>
      <c r="P60" s="665"/>
      <c r="Q60" s="665"/>
      <c r="R60" s="665"/>
      <c r="S60" s="665"/>
      <c r="T60" s="673"/>
      <c r="U60" s="673"/>
      <c r="V60" s="673"/>
      <c r="W60" s="673"/>
      <c r="X60" s="673"/>
      <c r="Y60" s="673"/>
      <c r="Z60" s="673"/>
      <c r="AA60" s="673"/>
      <c r="AB60" s="673"/>
      <c r="AC60" s="673"/>
      <c r="AD60" s="673"/>
      <c r="AE60" s="673"/>
      <c r="AF60" s="673"/>
      <c r="AG60" s="673"/>
      <c r="AH60" s="673"/>
    </row>
    <row r="61">
      <c r="A61" s="653"/>
      <c r="B61" s="654"/>
      <c r="C61" s="691"/>
      <c r="D61" s="661"/>
      <c r="E61" s="705"/>
      <c r="F61" s="659"/>
      <c r="G61" s="661"/>
      <c r="H61" s="660"/>
      <c r="I61" s="691"/>
      <c r="J61" s="661"/>
      <c r="K61" s="706"/>
      <c r="L61" s="665"/>
      <c r="M61" s="663"/>
      <c r="N61" s="665"/>
      <c r="O61" s="665"/>
      <c r="P61" s="665"/>
      <c r="Q61" s="665"/>
      <c r="R61" s="665"/>
      <c r="S61" s="665"/>
      <c r="T61" s="673"/>
      <c r="U61" s="673"/>
      <c r="V61" s="673"/>
      <c r="W61" s="673"/>
      <c r="X61" s="673"/>
      <c r="Y61" s="673"/>
      <c r="Z61" s="673"/>
      <c r="AA61" s="673"/>
      <c r="AB61" s="673"/>
      <c r="AC61" s="673"/>
      <c r="AD61" s="673"/>
      <c r="AE61" s="673"/>
      <c r="AF61" s="673"/>
      <c r="AG61" s="673"/>
      <c r="AH61" s="673"/>
    </row>
    <row r="62">
      <c r="A62" s="653"/>
      <c r="B62" s="654"/>
      <c r="C62" s="691"/>
      <c r="D62" s="661"/>
      <c r="E62" s="705"/>
      <c r="F62" s="659"/>
      <c r="G62" s="661"/>
      <c r="H62" s="660"/>
      <c r="I62" s="691"/>
      <c r="J62" s="661"/>
      <c r="K62" s="706"/>
      <c r="L62" s="665"/>
      <c r="M62" s="663"/>
      <c r="N62" s="665"/>
      <c r="O62" s="665"/>
      <c r="P62" s="665"/>
      <c r="Q62" s="665"/>
      <c r="R62" s="665"/>
      <c r="S62" s="665"/>
      <c r="T62" s="673"/>
      <c r="U62" s="673"/>
      <c r="V62" s="673"/>
      <c r="W62" s="673"/>
      <c r="X62" s="673"/>
      <c r="Y62" s="673"/>
      <c r="Z62" s="673"/>
      <c r="AA62" s="673"/>
      <c r="AB62" s="673"/>
      <c r="AC62" s="673"/>
      <c r="AD62" s="673"/>
      <c r="AE62" s="673"/>
      <c r="AF62" s="673"/>
      <c r="AG62" s="673"/>
      <c r="AH62" s="673"/>
    </row>
    <row r="63">
      <c r="A63" s="653"/>
      <c r="B63" s="654"/>
      <c r="C63" s="691"/>
      <c r="D63" s="661"/>
      <c r="E63" s="705"/>
      <c r="F63" s="659"/>
      <c r="G63" s="661"/>
      <c r="H63" s="660"/>
      <c r="I63" s="691"/>
      <c r="J63" s="661"/>
      <c r="K63" s="706"/>
      <c r="L63" s="665"/>
      <c r="M63" s="663"/>
      <c r="N63" s="665"/>
      <c r="O63" s="665"/>
      <c r="P63" s="665"/>
      <c r="Q63" s="665"/>
      <c r="R63" s="665"/>
      <c r="S63" s="665"/>
      <c r="T63" s="673"/>
      <c r="U63" s="673"/>
      <c r="V63" s="673"/>
      <c r="W63" s="673"/>
      <c r="X63" s="673"/>
      <c r="Y63" s="673"/>
      <c r="Z63" s="673"/>
      <c r="AA63" s="673"/>
      <c r="AB63" s="673"/>
      <c r="AC63" s="673"/>
      <c r="AD63" s="673"/>
      <c r="AE63" s="673"/>
      <c r="AF63" s="673"/>
      <c r="AG63" s="673"/>
      <c r="AH63" s="673"/>
    </row>
    <row r="64">
      <c r="A64" s="653"/>
      <c r="B64" s="654"/>
      <c r="C64" s="691"/>
      <c r="D64" s="661"/>
      <c r="E64" s="705"/>
      <c r="F64" s="659"/>
      <c r="G64" s="661"/>
      <c r="H64" s="660"/>
      <c r="I64" s="691"/>
      <c r="J64" s="661"/>
      <c r="K64" s="706"/>
      <c r="L64" s="665"/>
      <c r="M64" s="663"/>
      <c r="N64" s="665"/>
      <c r="O64" s="665"/>
      <c r="P64" s="665"/>
      <c r="Q64" s="665"/>
      <c r="R64" s="665"/>
      <c r="S64" s="665"/>
      <c r="T64" s="673"/>
      <c r="U64" s="673"/>
      <c r="V64" s="673"/>
      <c r="W64" s="673"/>
      <c r="X64" s="673"/>
      <c r="Y64" s="673"/>
      <c r="Z64" s="673"/>
      <c r="AA64" s="673"/>
      <c r="AB64" s="673"/>
      <c r="AC64" s="673"/>
      <c r="AD64" s="673"/>
      <c r="AE64" s="673"/>
      <c r="AF64" s="673"/>
      <c r="AG64" s="673"/>
      <c r="AH64" s="673"/>
    </row>
    <row r="65">
      <c r="A65" s="653"/>
      <c r="B65" s="654"/>
      <c r="C65" s="691"/>
      <c r="D65" s="661"/>
      <c r="E65" s="705"/>
      <c r="F65" s="659"/>
      <c r="G65" s="661"/>
      <c r="H65" s="660"/>
      <c r="I65" s="691"/>
      <c r="J65" s="661"/>
      <c r="K65" s="706"/>
      <c r="L65" s="665"/>
      <c r="M65" s="663"/>
      <c r="N65" s="665"/>
      <c r="O65" s="665"/>
      <c r="P65" s="665"/>
      <c r="Q65" s="665"/>
      <c r="R65" s="665"/>
      <c r="S65" s="665"/>
      <c r="T65" s="673"/>
      <c r="U65" s="673"/>
      <c r="V65" s="673"/>
      <c r="W65" s="673"/>
      <c r="X65" s="673"/>
      <c r="Y65" s="673"/>
      <c r="Z65" s="673"/>
      <c r="AA65" s="673"/>
      <c r="AB65" s="673"/>
      <c r="AC65" s="673"/>
      <c r="AD65" s="673"/>
      <c r="AE65" s="673"/>
      <c r="AF65" s="673"/>
      <c r="AG65" s="673"/>
      <c r="AH65" s="673"/>
    </row>
    <row r="66">
      <c r="A66" s="653"/>
      <c r="B66" s="654"/>
      <c r="C66" s="691"/>
      <c r="D66" s="661"/>
      <c r="E66" s="705"/>
      <c r="F66" s="659"/>
      <c r="G66" s="661"/>
      <c r="H66" s="660"/>
      <c r="I66" s="691"/>
      <c r="J66" s="661"/>
      <c r="K66" s="706"/>
      <c r="L66" s="665"/>
      <c r="M66" s="663"/>
      <c r="N66" s="665"/>
      <c r="O66" s="665"/>
      <c r="P66" s="665"/>
      <c r="Q66" s="665"/>
      <c r="R66" s="665"/>
      <c r="S66" s="665"/>
      <c r="T66" s="673"/>
      <c r="U66" s="673"/>
      <c r="V66" s="673"/>
      <c r="W66" s="673"/>
      <c r="X66" s="673"/>
      <c r="Y66" s="673"/>
      <c r="Z66" s="673"/>
      <c r="AA66" s="673"/>
      <c r="AB66" s="673"/>
      <c r="AC66" s="673"/>
      <c r="AD66" s="673"/>
      <c r="AE66" s="673"/>
      <c r="AF66" s="673"/>
      <c r="AG66" s="673"/>
      <c r="AH66" s="673"/>
    </row>
    <row r="67">
      <c r="A67" s="653"/>
      <c r="B67" s="654"/>
      <c r="C67" s="691"/>
      <c r="D67" s="661"/>
      <c r="E67" s="705"/>
      <c r="F67" s="659"/>
      <c r="G67" s="661"/>
      <c r="H67" s="660"/>
      <c r="I67" s="691"/>
      <c r="J67" s="661"/>
      <c r="K67" s="706"/>
      <c r="L67" s="665"/>
      <c r="M67" s="663"/>
      <c r="N67" s="665"/>
      <c r="O67" s="665"/>
      <c r="P67" s="665"/>
      <c r="Q67" s="665"/>
      <c r="R67" s="665"/>
      <c r="S67" s="665"/>
      <c r="T67" s="673"/>
      <c r="U67" s="673"/>
      <c r="V67" s="673"/>
      <c r="W67" s="673"/>
      <c r="X67" s="673"/>
      <c r="Y67" s="673"/>
      <c r="Z67" s="673"/>
      <c r="AA67" s="673"/>
      <c r="AB67" s="673"/>
      <c r="AC67" s="673"/>
      <c r="AD67" s="673"/>
      <c r="AE67" s="673"/>
      <c r="AF67" s="673"/>
      <c r="AG67" s="673"/>
      <c r="AH67" s="673"/>
    </row>
    <row r="68">
      <c r="A68" s="653"/>
      <c r="B68" s="654"/>
      <c r="C68" s="691"/>
      <c r="D68" s="661"/>
      <c r="E68" s="705"/>
      <c r="F68" s="659"/>
      <c r="G68" s="661"/>
      <c r="H68" s="660"/>
      <c r="I68" s="691"/>
      <c r="J68" s="661"/>
      <c r="K68" s="706"/>
      <c r="L68" s="665"/>
      <c r="M68" s="663"/>
      <c r="N68" s="665"/>
      <c r="O68" s="665"/>
      <c r="P68" s="665"/>
      <c r="Q68" s="665"/>
      <c r="R68" s="665"/>
      <c r="S68" s="665"/>
      <c r="T68" s="673"/>
      <c r="U68" s="673"/>
      <c r="V68" s="673"/>
      <c r="W68" s="673"/>
      <c r="X68" s="673"/>
      <c r="Y68" s="673"/>
      <c r="Z68" s="673"/>
      <c r="AA68" s="673"/>
      <c r="AB68" s="673"/>
      <c r="AC68" s="673"/>
      <c r="AD68" s="673"/>
      <c r="AE68" s="673"/>
      <c r="AF68" s="673"/>
      <c r="AG68" s="673"/>
      <c r="AH68" s="673"/>
    </row>
    <row r="69">
      <c r="A69" s="653"/>
      <c r="B69" s="654"/>
      <c r="C69" s="691"/>
      <c r="D69" s="661"/>
      <c r="E69" s="705"/>
      <c r="F69" s="659"/>
      <c r="G69" s="661"/>
      <c r="H69" s="660"/>
      <c r="I69" s="691"/>
      <c r="J69" s="661"/>
      <c r="K69" s="706"/>
      <c r="L69" s="665"/>
      <c r="M69" s="663"/>
      <c r="N69" s="665"/>
      <c r="O69" s="665"/>
      <c r="P69" s="665"/>
      <c r="Q69" s="665"/>
      <c r="R69" s="665"/>
      <c r="S69" s="665"/>
      <c r="T69" s="673"/>
      <c r="U69" s="673"/>
      <c r="V69" s="673"/>
      <c r="W69" s="673"/>
      <c r="X69" s="673"/>
      <c r="Y69" s="673"/>
      <c r="Z69" s="673"/>
      <c r="AA69" s="673"/>
      <c r="AB69" s="673"/>
      <c r="AC69" s="673"/>
      <c r="AD69" s="673"/>
      <c r="AE69" s="673"/>
      <c r="AF69" s="673"/>
      <c r="AG69" s="673"/>
      <c r="AH69" s="673"/>
    </row>
    <row r="70">
      <c r="A70" s="653"/>
      <c r="B70" s="654"/>
      <c r="C70" s="691"/>
      <c r="D70" s="661"/>
      <c r="E70" s="705"/>
      <c r="F70" s="659"/>
      <c r="G70" s="661"/>
      <c r="H70" s="660"/>
      <c r="I70" s="691"/>
      <c r="J70" s="661"/>
      <c r="K70" s="706"/>
      <c r="L70" s="665"/>
      <c r="M70" s="663"/>
      <c r="N70" s="665"/>
      <c r="O70" s="665"/>
      <c r="P70" s="665"/>
      <c r="Q70" s="665"/>
      <c r="R70" s="665"/>
      <c r="S70" s="665"/>
      <c r="T70" s="673"/>
      <c r="U70" s="673"/>
      <c r="V70" s="673"/>
      <c r="W70" s="673"/>
      <c r="X70" s="673"/>
      <c r="Y70" s="673"/>
      <c r="Z70" s="673"/>
      <c r="AA70" s="673"/>
      <c r="AB70" s="673"/>
      <c r="AC70" s="673"/>
      <c r="AD70" s="673"/>
      <c r="AE70" s="673"/>
      <c r="AF70" s="673"/>
      <c r="AG70" s="673"/>
      <c r="AH70" s="673"/>
    </row>
    <row r="71">
      <c r="A71" s="653"/>
      <c r="B71" s="654"/>
      <c r="C71" s="691"/>
      <c r="D71" s="661"/>
      <c r="E71" s="705"/>
      <c r="F71" s="659"/>
      <c r="G71" s="661"/>
      <c r="H71" s="660"/>
      <c r="I71" s="691"/>
      <c r="J71" s="661"/>
      <c r="K71" s="706"/>
      <c r="L71" s="665"/>
      <c r="M71" s="663"/>
      <c r="N71" s="665"/>
      <c r="O71" s="665"/>
      <c r="P71" s="665"/>
      <c r="Q71" s="665"/>
      <c r="R71" s="665"/>
      <c r="S71" s="665"/>
      <c r="T71" s="673"/>
      <c r="U71" s="673"/>
      <c r="V71" s="673"/>
      <c r="W71" s="673"/>
      <c r="X71" s="673"/>
      <c r="Y71" s="673"/>
      <c r="Z71" s="673"/>
      <c r="AA71" s="673"/>
      <c r="AB71" s="673"/>
      <c r="AC71" s="673"/>
      <c r="AD71" s="673"/>
      <c r="AE71" s="673"/>
      <c r="AF71" s="673"/>
      <c r="AG71" s="673"/>
      <c r="AH71" s="673"/>
    </row>
    <row r="72">
      <c r="A72" s="653"/>
      <c r="B72" s="654"/>
      <c r="C72" s="691"/>
      <c r="D72" s="661"/>
      <c r="E72" s="705"/>
      <c r="F72" s="659"/>
      <c r="G72" s="661"/>
      <c r="H72" s="660"/>
      <c r="I72" s="691"/>
      <c r="J72" s="661"/>
      <c r="K72" s="706"/>
      <c r="L72" s="665"/>
      <c r="M72" s="663"/>
      <c r="N72" s="665"/>
      <c r="O72" s="665"/>
      <c r="P72" s="665"/>
      <c r="Q72" s="665"/>
      <c r="R72" s="665"/>
      <c r="S72" s="665"/>
      <c r="T72" s="673"/>
      <c r="U72" s="673"/>
      <c r="V72" s="673"/>
      <c r="W72" s="673"/>
      <c r="X72" s="673"/>
      <c r="Y72" s="673"/>
      <c r="Z72" s="673"/>
      <c r="AA72" s="673"/>
      <c r="AB72" s="673"/>
      <c r="AC72" s="673"/>
      <c r="AD72" s="673"/>
      <c r="AE72" s="673"/>
      <c r="AF72" s="673"/>
      <c r="AG72" s="673"/>
      <c r="AH72" s="673"/>
    </row>
    <row r="73">
      <c r="A73" s="653"/>
      <c r="B73" s="654"/>
      <c r="C73" s="691"/>
      <c r="D73" s="661"/>
      <c r="E73" s="705"/>
      <c r="F73" s="659"/>
      <c r="G73" s="661"/>
      <c r="H73" s="660"/>
      <c r="I73" s="691"/>
      <c r="J73" s="661"/>
      <c r="K73" s="706"/>
      <c r="L73" s="665"/>
      <c r="M73" s="663"/>
      <c r="N73" s="665"/>
      <c r="O73" s="665"/>
      <c r="P73" s="665"/>
      <c r="Q73" s="665"/>
      <c r="R73" s="665"/>
      <c r="S73" s="665"/>
      <c r="T73" s="673"/>
      <c r="U73" s="673"/>
      <c r="V73" s="673"/>
      <c r="W73" s="673"/>
      <c r="X73" s="673"/>
      <c r="Y73" s="673"/>
      <c r="Z73" s="673"/>
      <c r="AA73" s="673"/>
      <c r="AB73" s="673"/>
      <c r="AC73" s="673"/>
      <c r="AD73" s="673"/>
      <c r="AE73" s="673"/>
      <c r="AF73" s="673"/>
      <c r="AG73" s="673"/>
      <c r="AH73" s="673"/>
    </row>
    <row r="74">
      <c r="A74" s="653"/>
      <c r="B74" s="654"/>
      <c r="C74" s="691"/>
      <c r="D74" s="661"/>
      <c r="E74" s="705"/>
      <c r="F74" s="659"/>
      <c r="G74" s="661"/>
      <c r="H74" s="660"/>
      <c r="I74" s="691"/>
      <c r="J74" s="661"/>
      <c r="K74" s="706"/>
      <c r="L74" s="665"/>
      <c r="M74" s="663"/>
      <c r="N74" s="665"/>
      <c r="O74" s="665"/>
      <c r="P74" s="665"/>
      <c r="Q74" s="665"/>
      <c r="R74" s="665"/>
      <c r="S74" s="665"/>
      <c r="T74" s="673"/>
      <c r="U74" s="673"/>
      <c r="V74" s="673"/>
      <c r="W74" s="673"/>
      <c r="X74" s="673"/>
      <c r="Y74" s="673"/>
      <c r="Z74" s="673"/>
      <c r="AA74" s="673"/>
      <c r="AB74" s="673"/>
      <c r="AC74" s="673"/>
      <c r="AD74" s="673"/>
      <c r="AE74" s="673"/>
      <c r="AF74" s="673"/>
      <c r="AG74" s="673"/>
      <c r="AH74" s="673"/>
    </row>
    <row r="75">
      <c r="A75" s="653"/>
      <c r="B75" s="654"/>
      <c r="C75" s="691"/>
      <c r="D75" s="661"/>
      <c r="E75" s="705"/>
      <c r="F75" s="659"/>
      <c r="G75" s="661"/>
      <c r="H75" s="660"/>
      <c r="I75" s="691"/>
      <c r="J75" s="661"/>
      <c r="K75" s="706"/>
      <c r="L75" s="665"/>
      <c r="M75" s="663"/>
      <c r="N75" s="665"/>
      <c r="O75" s="665"/>
      <c r="P75" s="665"/>
      <c r="Q75" s="665"/>
      <c r="R75" s="665"/>
      <c r="S75" s="665"/>
      <c r="T75" s="673"/>
      <c r="U75" s="673"/>
      <c r="V75" s="673"/>
      <c r="W75" s="673"/>
      <c r="X75" s="673"/>
      <c r="Y75" s="673"/>
      <c r="Z75" s="673"/>
      <c r="AA75" s="673"/>
      <c r="AB75" s="673"/>
      <c r="AC75" s="673"/>
      <c r="AD75" s="673"/>
      <c r="AE75" s="673"/>
      <c r="AF75" s="673"/>
      <c r="AG75" s="673"/>
      <c r="AH75" s="673"/>
    </row>
    <row r="76">
      <c r="A76" s="653"/>
      <c r="B76" s="654"/>
      <c r="C76" s="691"/>
      <c r="D76" s="661"/>
      <c r="E76" s="705"/>
      <c r="F76" s="659"/>
      <c r="G76" s="661"/>
      <c r="H76" s="660"/>
      <c r="I76" s="691"/>
      <c r="J76" s="661"/>
      <c r="K76" s="706"/>
      <c r="L76" s="665"/>
      <c r="M76" s="663"/>
      <c r="N76" s="665"/>
      <c r="O76" s="665"/>
      <c r="P76" s="665"/>
      <c r="Q76" s="665"/>
      <c r="R76" s="665"/>
      <c r="S76" s="665"/>
      <c r="T76" s="673"/>
      <c r="U76" s="673"/>
      <c r="V76" s="673"/>
      <c r="W76" s="673"/>
      <c r="X76" s="673"/>
      <c r="Y76" s="673"/>
      <c r="Z76" s="673"/>
      <c r="AA76" s="673"/>
      <c r="AB76" s="673"/>
      <c r="AC76" s="673"/>
      <c r="AD76" s="673"/>
      <c r="AE76" s="673"/>
      <c r="AF76" s="673"/>
      <c r="AG76" s="673"/>
      <c r="AH76" s="673"/>
    </row>
    <row r="77">
      <c r="A77" s="653"/>
      <c r="B77" s="654"/>
      <c r="C77" s="691"/>
      <c r="D77" s="661"/>
      <c r="E77" s="705"/>
      <c r="F77" s="659"/>
      <c r="G77" s="661"/>
      <c r="H77" s="660"/>
      <c r="I77" s="691"/>
      <c r="J77" s="661"/>
      <c r="K77" s="706"/>
      <c r="L77" s="665"/>
      <c r="M77" s="663"/>
      <c r="N77" s="665"/>
      <c r="O77" s="665"/>
      <c r="P77" s="665"/>
      <c r="Q77" s="665"/>
      <c r="R77" s="665"/>
      <c r="S77" s="665"/>
      <c r="T77" s="673"/>
      <c r="U77" s="673"/>
      <c r="V77" s="673"/>
      <c r="W77" s="673"/>
      <c r="X77" s="673"/>
      <c r="Y77" s="673"/>
      <c r="Z77" s="673"/>
      <c r="AA77" s="673"/>
      <c r="AB77" s="673"/>
      <c r="AC77" s="673"/>
      <c r="AD77" s="673"/>
      <c r="AE77" s="673"/>
      <c r="AF77" s="673"/>
      <c r="AG77" s="673"/>
      <c r="AH77" s="673"/>
    </row>
    <row r="78">
      <c r="A78" s="653"/>
      <c r="B78" s="654"/>
      <c r="C78" s="691"/>
      <c r="D78" s="661"/>
      <c r="E78" s="705"/>
      <c r="F78" s="659"/>
      <c r="G78" s="661"/>
      <c r="H78" s="660"/>
      <c r="I78" s="691"/>
      <c r="J78" s="661"/>
      <c r="K78" s="706"/>
      <c r="L78" s="665"/>
      <c r="M78" s="663"/>
      <c r="N78" s="665"/>
      <c r="O78" s="665"/>
      <c r="P78" s="665"/>
      <c r="Q78" s="665"/>
      <c r="R78" s="665"/>
      <c r="S78" s="665"/>
      <c r="T78" s="673"/>
      <c r="U78" s="673"/>
      <c r="V78" s="673"/>
      <c r="W78" s="673"/>
      <c r="X78" s="673"/>
      <c r="Y78" s="673"/>
      <c r="Z78" s="673"/>
      <c r="AA78" s="673"/>
      <c r="AB78" s="673"/>
      <c r="AC78" s="673"/>
      <c r="AD78" s="673"/>
      <c r="AE78" s="673"/>
      <c r="AF78" s="673"/>
      <c r="AG78" s="673"/>
      <c r="AH78" s="673"/>
    </row>
    <row r="79">
      <c r="A79" s="653"/>
      <c r="B79" s="654"/>
      <c r="C79" s="691"/>
      <c r="D79" s="661"/>
      <c r="E79" s="705"/>
      <c r="F79" s="659"/>
      <c r="G79" s="661"/>
      <c r="H79" s="660"/>
      <c r="I79" s="691"/>
      <c r="J79" s="661"/>
      <c r="K79" s="706"/>
      <c r="L79" s="665"/>
      <c r="M79" s="663"/>
      <c r="N79" s="665"/>
      <c r="O79" s="665"/>
      <c r="P79" s="665"/>
      <c r="Q79" s="665"/>
      <c r="R79" s="665"/>
      <c r="S79" s="665"/>
      <c r="T79" s="673"/>
      <c r="U79" s="673"/>
      <c r="V79" s="673"/>
      <c r="W79" s="673"/>
      <c r="X79" s="673"/>
      <c r="Y79" s="673"/>
      <c r="Z79" s="673"/>
      <c r="AA79" s="673"/>
      <c r="AB79" s="673"/>
      <c r="AC79" s="673"/>
      <c r="AD79" s="673"/>
      <c r="AE79" s="673"/>
      <c r="AF79" s="673"/>
      <c r="AG79" s="673"/>
      <c r="AH79" s="673"/>
    </row>
    <row r="80">
      <c r="A80" s="653"/>
      <c r="B80" s="654"/>
      <c r="C80" s="691"/>
      <c r="D80" s="661"/>
      <c r="E80" s="705"/>
      <c r="F80" s="659"/>
      <c r="G80" s="661"/>
      <c r="H80" s="660"/>
      <c r="I80" s="691"/>
      <c r="J80" s="661"/>
      <c r="K80" s="706"/>
      <c r="L80" s="665"/>
      <c r="M80" s="663"/>
      <c r="N80" s="665"/>
      <c r="O80" s="665"/>
      <c r="P80" s="665"/>
      <c r="Q80" s="665"/>
      <c r="R80" s="665"/>
      <c r="S80" s="665"/>
      <c r="T80" s="673"/>
      <c r="U80" s="673"/>
      <c r="V80" s="673"/>
      <c r="W80" s="673"/>
      <c r="X80" s="673"/>
      <c r="Y80" s="673"/>
      <c r="Z80" s="673"/>
      <c r="AA80" s="673"/>
      <c r="AB80" s="673"/>
      <c r="AC80" s="673"/>
      <c r="AD80" s="673"/>
      <c r="AE80" s="673"/>
      <c r="AF80" s="673"/>
      <c r="AG80" s="673"/>
      <c r="AH80" s="673"/>
    </row>
    <row r="81">
      <c r="A81" s="653"/>
      <c r="B81" s="654"/>
      <c r="C81" s="691"/>
      <c r="D81" s="661"/>
      <c r="E81" s="705"/>
      <c r="F81" s="659"/>
      <c r="G81" s="661"/>
      <c r="H81" s="660"/>
      <c r="I81" s="691"/>
      <c r="J81" s="661"/>
      <c r="K81" s="706"/>
      <c r="L81" s="665"/>
      <c r="M81" s="663"/>
      <c r="N81" s="665"/>
      <c r="O81" s="665"/>
      <c r="P81" s="665"/>
      <c r="Q81" s="665"/>
      <c r="R81" s="665"/>
      <c r="S81" s="665"/>
      <c r="T81" s="673"/>
      <c r="U81" s="673"/>
      <c r="V81" s="673"/>
      <c r="W81" s="673"/>
      <c r="X81" s="673"/>
      <c r="Y81" s="673"/>
      <c r="Z81" s="673"/>
      <c r="AA81" s="673"/>
      <c r="AB81" s="673"/>
      <c r="AC81" s="673"/>
      <c r="AD81" s="673"/>
      <c r="AE81" s="673"/>
      <c r="AF81" s="673"/>
      <c r="AG81" s="673"/>
      <c r="AH81" s="673"/>
    </row>
    <row r="82">
      <c r="A82" s="653"/>
      <c r="B82" s="654"/>
      <c r="C82" s="691"/>
      <c r="D82" s="661"/>
      <c r="E82" s="705"/>
      <c r="F82" s="659"/>
      <c r="G82" s="661"/>
      <c r="H82" s="660"/>
      <c r="I82" s="691"/>
      <c r="J82" s="661"/>
      <c r="K82" s="706"/>
      <c r="L82" s="665"/>
      <c r="M82" s="663"/>
      <c r="N82" s="665"/>
      <c r="O82" s="665"/>
      <c r="P82" s="665"/>
      <c r="Q82" s="665"/>
      <c r="R82" s="665"/>
      <c r="S82" s="665"/>
      <c r="T82" s="673"/>
      <c r="U82" s="673"/>
      <c r="V82" s="673"/>
      <c r="W82" s="673"/>
      <c r="X82" s="673"/>
      <c r="Y82" s="673"/>
      <c r="Z82" s="673"/>
      <c r="AA82" s="673"/>
      <c r="AB82" s="673"/>
      <c r="AC82" s="673"/>
      <c r="AD82" s="673"/>
      <c r="AE82" s="673"/>
      <c r="AF82" s="673"/>
      <c r="AG82" s="673"/>
      <c r="AH82" s="673"/>
    </row>
    <row r="83">
      <c r="A83" s="653"/>
      <c r="B83" s="654"/>
      <c r="C83" s="691"/>
      <c r="D83" s="661"/>
      <c r="E83" s="705"/>
      <c r="F83" s="659"/>
      <c r="G83" s="661"/>
      <c r="H83" s="660"/>
      <c r="I83" s="691"/>
      <c r="J83" s="661"/>
      <c r="K83" s="706"/>
      <c r="L83" s="665"/>
      <c r="M83" s="663"/>
      <c r="N83" s="665"/>
      <c r="O83" s="665"/>
      <c r="P83" s="665"/>
      <c r="Q83" s="665"/>
      <c r="R83" s="665"/>
      <c r="S83" s="665"/>
      <c r="T83" s="673"/>
      <c r="U83" s="673"/>
      <c r="V83" s="673"/>
      <c r="W83" s="673"/>
      <c r="X83" s="673"/>
      <c r="Y83" s="673"/>
      <c r="Z83" s="673"/>
      <c r="AA83" s="673"/>
      <c r="AB83" s="673"/>
      <c r="AC83" s="673"/>
      <c r="AD83" s="673"/>
      <c r="AE83" s="673"/>
      <c r="AF83" s="673"/>
      <c r="AG83" s="673"/>
      <c r="AH83" s="673"/>
    </row>
    <row r="84">
      <c r="A84" s="653"/>
      <c r="B84" s="654"/>
      <c r="C84" s="691"/>
      <c r="D84" s="661"/>
      <c r="E84" s="705"/>
      <c r="F84" s="659"/>
      <c r="G84" s="661"/>
      <c r="H84" s="660"/>
      <c r="I84" s="691"/>
      <c r="J84" s="661"/>
      <c r="K84" s="706"/>
      <c r="L84" s="665"/>
      <c r="M84" s="663"/>
      <c r="N84" s="665"/>
      <c r="O84" s="665"/>
      <c r="P84" s="665"/>
      <c r="Q84" s="665"/>
      <c r="R84" s="665"/>
      <c r="S84" s="665"/>
      <c r="T84" s="673"/>
      <c r="U84" s="673"/>
      <c r="V84" s="673"/>
      <c r="W84" s="673"/>
      <c r="X84" s="673"/>
      <c r="Y84" s="673"/>
      <c r="Z84" s="673"/>
      <c r="AA84" s="673"/>
      <c r="AB84" s="673"/>
      <c r="AC84" s="673"/>
      <c r="AD84" s="673"/>
      <c r="AE84" s="673"/>
      <c r="AF84" s="673"/>
      <c r="AG84" s="673"/>
      <c r="AH84" s="673"/>
    </row>
    <row r="85">
      <c r="A85" s="653"/>
      <c r="B85" s="654"/>
      <c r="C85" s="691"/>
      <c r="D85" s="661"/>
      <c r="E85" s="705"/>
      <c r="F85" s="659"/>
      <c r="G85" s="661"/>
      <c r="H85" s="660"/>
      <c r="I85" s="691"/>
      <c r="J85" s="661"/>
      <c r="K85" s="706"/>
      <c r="L85" s="665"/>
      <c r="M85" s="663"/>
      <c r="N85" s="665"/>
      <c r="O85" s="665"/>
      <c r="P85" s="665"/>
      <c r="Q85" s="665"/>
      <c r="R85" s="665"/>
      <c r="S85" s="665"/>
      <c r="T85" s="673"/>
      <c r="U85" s="673"/>
      <c r="V85" s="673"/>
      <c r="W85" s="673"/>
      <c r="X85" s="673"/>
      <c r="Y85" s="673"/>
      <c r="Z85" s="673"/>
      <c r="AA85" s="673"/>
      <c r="AB85" s="673"/>
      <c r="AC85" s="673"/>
      <c r="AD85" s="673"/>
      <c r="AE85" s="673"/>
      <c r="AF85" s="673"/>
      <c r="AG85" s="673"/>
      <c r="AH85" s="673"/>
    </row>
    <row r="86">
      <c r="A86" s="653"/>
      <c r="B86" s="654"/>
      <c r="C86" s="691"/>
      <c r="D86" s="661"/>
      <c r="E86" s="705"/>
      <c r="F86" s="659"/>
      <c r="G86" s="661"/>
      <c r="H86" s="660"/>
      <c r="I86" s="691"/>
      <c r="J86" s="661"/>
      <c r="K86" s="706"/>
      <c r="L86" s="665"/>
      <c r="M86" s="663"/>
      <c r="N86" s="665"/>
      <c r="O86" s="665"/>
      <c r="P86" s="665"/>
      <c r="Q86" s="665"/>
      <c r="R86" s="665"/>
      <c r="S86" s="665"/>
      <c r="T86" s="673"/>
      <c r="U86" s="673"/>
      <c r="V86" s="673"/>
      <c r="W86" s="673"/>
      <c r="X86" s="673"/>
      <c r="Y86" s="673"/>
      <c r="Z86" s="673"/>
      <c r="AA86" s="673"/>
      <c r="AB86" s="673"/>
      <c r="AC86" s="673"/>
      <c r="AD86" s="673"/>
      <c r="AE86" s="673"/>
      <c r="AF86" s="673"/>
      <c r="AG86" s="673"/>
      <c r="AH86" s="673"/>
    </row>
    <row r="87">
      <c r="A87" s="653"/>
      <c r="B87" s="654"/>
      <c r="C87" s="691"/>
      <c r="D87" s="661"/>
      <c r="E87" s="705"/>
      <c r="F87" s="659"/>
      <c r="G87" s="661"/>
      <c r="H87" s="660"/>
      <c r="I87" s="691"/>
      <c r="J87" s="661"/>
      <c r="K87" s="706"/>
      <c r="L87" s="665"/>
      <c r="M87" s="663"/>
      <c r="N87" s="665"/>
      <c r="O87" s="665"/>
      <c r="P87" s="665"/>
      <c r="Q87" s="665"/>
      <c r="R87" s="665"/>
      <c r="S87" s="665"/>
      <c r="T87" s="673"/>
      <c r="U87" s="673"/>
      <c r="V87" s="673"/>
      <c r="W87" s="673"/>
      <c r="X87" s="673"/>
      <c r="Y87" s="673"/>
      <c r="Z87" s="673"/>
      <c r="AA87" s="673"/>
      <c r="AB87" s="673"/>
      <c r="AC87" s="673"/>
      <c r="AD87" s="673"/>
      <c r="AE87" s="673"/>
      <c r="AF87" s="673"/>
      <c r="AG87" s="673"/>
      <c r="AH87" s="673"/>
    </row>
    <row r="88">
      <c r="A88" s="653"/>
      <c r="B88" s="654"/>
      <c r="C88" s="691"/>
      <c r="D88" s="661"/>
      <c r="E88" s="705"/>
      <c r="F88" s="659"/>
      <c r="G88" s="661"/>
      <c r="H88" s="660"/>
      <c r="I88" s="691"/>
      <c r="J88" s="661"/>
      <c r="K88" s="706"/>
      <c r="L88" s="665"/>
      <c r="M88" s="663"/>
      <c r="N88" s="665"/>
      <c r="O88" s="665"/>
      <c r="P88" s="665"/>
      <c r="Q88" s="665"/>
      <c r="R88" s="665"/>
      <c r="S88" s="665"/>
      <c r="T88" s="673"/>
      <c r="U88" s="673"/>
      <c r="V88" s="673"/>
      <c r="W88" s="673"/>
      <c r="X88" s="673"/>
      <c r="Y88" s="673"/>
      <c r="Z88" s="673"/>
      <c r="AA88" s="673"/>
      <c r="AB88" s="673"/>
      <c r="AC88" s="673"/>
      <c r="AD88" s="673"/>
      <c r="AE88" s="673"/>
      <c r="AF88" s="673"/>
      <c r="AG88" s="673"/>
      <c r="AH88" s="673"/>
    </row>
    <row r="89">
      <c r="A89" s="653"/>
      <c r="B89" s="654"/>
      <c r="C89" s="691"/>
      <c r="D89" s="661"/>
      <c r="E89" s="705"/>
      <c r="F89" s="659"/>
      <c r="G89" s="661"/>
      <c r="H89" s="660"/>
      <c r="I89" s="691"/>
      <c r="J89" s="661"/>
      <c r="K89" s="706"/>
      <c r="L89" s="665"/>
      <c r="M89" s="663"/>
      <c r="N89" s="665"/>
      <c r="O89" s="665"/>
      <c r="P89" s="665"/>
      <c r="Q89" s="665"/>
      <c r="R89" s="665"/>
      <c r="S89" s="665"/>
      <c r="T89" s="673"/>
      <c r="U89" s="673"/>
      <c r="V89" s="673"/>
      <c r="W89" s="673"/>
      <c r="X89" s="673"/>
      <c r="Y89" s="673"/>
      <c r="Z89" s="673"/>
      <c r="AA89" s="673"/>
      <c r="AB89" s="673"/>
      <c r="AC89" s="673"/>
      <c r="AD89" s="673"/>
      <c r="AE89" s="673"/>
      <c r="AF89" s="673"/>
      <c r="AG89" s="673"/>
      <c r="AH89" s="673"/>
    </row>
    <row r="90">
      <c r="A90" s="653"/>
      <c r="B90" s="654"/>
      <c r="C90" s="691"/>
      <c r="D90" s="661"/>
      <c r="E90" s="705"/>
      <c r="F90" s="659"/>
      <c r="G90" s="661"/>
      <c r="H90" s="660"/>
      <c r="I90" s="691"/>
      <c r="J90" s="661"/>
      <c r="K90" s="706"/>
      <c r="L90" s="665"/>
      <c r="M90" s="663"/>
      <c r="N90" s="665"/>
      <c r="O90" s="665"/>
      <c r="P90" s="665"/>
      <c r="Q90" s="665"/>
      <c r="R90" s="665"/>
      <c r="S90" s="665"/>
      <c r="T90" s="673"/>
      <c r="U90" s="673"/>
      <c r="V90" s="673"/>
      <c r="W90" s="673"/>
      <c r="X90" s="673"/>
      <c r="Y90" s="673"/>
      <c r="Z90" s="673"/>
      <c r="AA90" s="673"/>
      <c r="AB90" s="673"/>
      <c r="AC90" s="673"/>
      <c r="AD90" s="673"/>
      <c r="AE90" s="673"/>
      <c r="AF90" s="673"/>
      <c r="AG90" s="673"/>
      <c r="AH90" s="673"/>
    </row>
    <row r="91">
      <c r="A91" s="653"/>
      <c r="B91" s="654"/>
      <c r="C91" s="691"/>
      <c r="D91" s="661"/>
      <c r="E91" s="705"/>
      <c r="F91" s="659"/>
      <c r="G91" s="661"/>
      <c r="H91" s="660"/>
      <c r="I91" s="691"/>
      <c r="J91" s="661"/>
      <c r="K91" s="706"/>
      <c r="L91" s="665"/>
      <c r="M91" s="663"/>
      <c r="N91" s="665"/>
      <c r="O91" s="665"/>
      <c r="P91" s="665"/>
      <c r="Q91" s="665"/>
      <c r="R91" s="665"/>
      <c r="S91" s="665"/>
      <c r="T91" s="673"/>
      <c r="U91" s="673"/>
      <c r="V91" s="673"/>
      <c r="W91" s="673"/>
      <c r="X91" s="673"/>
      <c r="Y91" s="673"/>
      <c r="Z91" s="673"/>
      <c r="AA91" s="673"/>
      <c r="AB91" s="673"/>
      <c r="AC91" s="673"/>
      <c r="AD91" s="673"/>
      <c r="AE91" s="673"/>
      <c r="AF91" s="673"/>
      <c r="AG91" s="673"/>
      <c r="AH91" s="673"/>
    </row>
    <row r="92">
      <c r="A92" s="653"/>
      <c r="B92" s="654"/>
      <c r="C92" s="691"/>
      <c r="D92" s="661"/>
      <c r="E92" s="705"/>
      <c r="F92" s="659"/>
      <c r="G92" s="661"/>
      <c r="H92" s="660"/>
      <c r="I92" s="691"/>
      <c r="J92" s="661"/>
      <c r="K92" s="706"/>
      <c r="L92" s="665"/>
      <c r="M92" s="663"/>
      <c r="N92" s="665"/>
      <c r="O92" s="665"/>
      <c r="P92" s="665"/>
      <c r="Q92" s="665"/>
      <c r="R92" s="665"/>
      <c r="S92" s="665"/>
      <c r="T92" s="673"/>
      <c r="U92" s="673"/>
      <c r="V92" s="673"/>
      <c r="W92" s="673"/>
      <c r="X92" s="673"/>
      <c r="Y92" s="673"/>
      <c r="Z92" s="673"/>
      <c r="AA92" s="673"/>
      <c r="AB92" s="673"/>
      <c r="AC92" s="673"/>
      <c r="AD92" s="673"/>
      <c r="AE92" s="673"/>
      <c r="AF92" s="673"/>
      <c r="AG92" s="673"/>
      <c r="AH92" s="673"/>
    </row>
    <row r="93">
      <c r="A93" s="653"/>
      <c r="B93" s="654"/>
      <c r="C93" s="691"/>
      <c r="D93" s="661"/>
      <c r="E93" s="705"/>
      <c r="F93" s="659"/>
      <c r="G93" s="661"/>
      <c r="H93" s="660"/>
      <c r="I93" s="691"/>
      <c r="J93" s="661"/>
      <c r="K93" s="706"/>
      <c r="L93" s="665"/>
      <c r="M93" s="663"/>
      <c r="N93" s="665"/>
      <c r="O93" s="665"/>
      <c r="P93" s="665"/>
      <c r="Q93" s="665"/>
      <c r="R93" s="665"/>
      <c r="S93" s="665"/>
      <c r="T93" s="673"/>
      <c r="U93" s="673"/>
      <c r="V93" s="673"/>
      <c r="W93" s="673"/>
      <c r="X93" s="673"/>
      <c r="Y93" s="673"/>
      <c r="Z93" s="673"/>
      <c r="AA93" s="673"/>
      <c r="AB93" s="673"/>
      <c r="AC93" s="673"/>
      <c r="AD93" s="673"/>
      <c r="AE93" s="673"/>
      <c r="AF93" s="673"/>
      <c r="AG93" s="673"/>
      <c r="AH93" s="673"/>
    </row>
    <row r="94">
      <c r="A94" s="653"/>
      <c r="B94" s="654"/>
      <c r="C94" s="691"/>
      <c r="D94" s="661"/>
      <c r="E94" s="705"/>
      <c r="F94" s="659"/>
      <c r="G94" s="661"/>
      <c r="H94" s="660"/>
      <c r="I94" s="691"/>
      <c r="J94" s="661"/>
      <c r="K94" s="706"/>
      <c r="L94" s="665"/>
      <c r="M94" s="663"/>
      <c r="N94" s="665"/>
      <c r="O94" s="665"/>
      <c r="P94" s="665"/>
      <c r="Q94" s="665"/>
      <c r="R94" s="665"/>
      <c r="S94" s="665"/>
      <c r="T94" s="673"/>
      <c r="U94" s="673"/>
      <c r="V94" s="673"/>
      <c r="W94" s="673"/>
      <c r="X94" s="673"/>
      <c r="Y94" s="673"/>
      <c r="Z94" s="673"/>
      <c r="AA94" s="673"/>
      <c r="AB94" s="673"/>
      <c r="AC94" s="673"/>
      <c r="AD94" s="673"/>
      <c r="AE94" s="673"/>
      <c r="AF94" s="673"/>
      <c r="AG94" s="673"/>
      <c r="AH94" s="673"/>
    </row>
    <row r="95">
      <c r="A95" s="653"/>
      <c r="B95" s="654"/>
      <c r="C95" s="691"/>
      <c r="D95" s="661"/>
      <c r="E95" s="705"/>
      <c r="F95" s="659"/>
      <c r="G95" s="661"/>
      <c r="H95" s="660"/>
      <c r="I95" s="691"/>
      <c r="J95" s="661"/>
      <c r="K95" s="706"/>
      <c r="L95" s="665"/>
      <c r="M95" s="663"/>
      <c r="N95" s="665"/>
      <c r="O95" s="665"/>
      <c r="P95" s="665"/>
      <c r="Q95" s="665"/>
      <c r="R95" s="665"/>
      <c r="S95" s="665"/>
      <c r="T95" s="673"/>
      <c r="U95" s="673"/>
      <c r="V95" s="673"/>
      <c r="W95" s="673"/>
      <c r="X95" s="673"/>
      <c r="Y95" s="673"/>
      <c r="Z95" s="673"/>
      <c r="AA95" s="673"/>
      <c r="AB95" s="673"/>
      <c r="AC95" s="673"/>
      <c r="AD95" s="673"/>
      <c r="AE95" s="673"/>
      <c r="AF95" s="673"/>
      <c r="AG95" s="673"/>
      <c r="AH95" s="673"/>
    </row>
    <row r="96">
      <c r="A96" s="653"/>
      <c r="B96" s="654"/>
      <c r="C96" s="691"/>
      <c r="D96" s="661"/>
      <c r="E96" s="705"/>
      <c r="F96" s="659"/>
      <c r="G96" s="661"/>
      <c r="H96" s="660"/>
      <c r="I96" s="691"/>
      <c r="J96" s="661"/>
      <c r="K96" s="706"/>
      <c r="L96" s="665"/>
      <c r="M96" s="663"/>
      <c r="N96" s="665"/>
      <c r="O96" s="665"/>
      <c r="P96" s="665"/>
      <c r="Q96" s="665"/>
      <c r="R96" s="665"/>
      <c r="S96" s="665"/>
      <c r="T96" s="673"/>
      <c r="U96" s="673"/>
      <c r="V96" s="673"/>
      <c r="W96" s="673"/>
      <c r="X96" s="673"/>
      <c r="Y96" s="673"/>
      <c r="Z96" s="673"/>
      <c r="AA96" s="673"/>
      <c r="AB96" s="673"/>
      <c r="AC96" s="673"/>
      <c r="AD96" s="673"/>
      <c r="AE96" s="673"/>
      <c r="AF96" s="673"/>
      <c r="AG96" s="673"/>
      <c r="AH96" s="673"/>
    </row>
    <row r="97">
      <c r="A97" s="653"/>
      <c r="B97" s="654"/>
      <c r="C97" s="691"/>
      <c r="D97" s="661"/>
      <c r="E97" s="705"/>
      <c r="F97" s="659"/>
      <c r="G97" s="661"/>
      <c r="H97" s="660"/>
      <c r="I97" s="691"/>
      <c r="J97" s="661"/>
      <c r="K97" s="706"/>
      <c r="L97" s="665"/>
      <c r="M97" s="663"/>
      <c r="N97" s="665"/>
      <c r="O97" s="665"/>
      <c r="P97" s="665"/>
      <c r="Q97" s="665"/>
      <c r="R97" s="665"/>
      <c r="S97" s="665"/>
      <c r="T97" s="673"/>
      <c r="U97" s="673"/>
      <c r="V97" s="673"/>
      <c r="W97" s="673"/>
      <c r="X97" s="673"/>
      <c r="Y97" s="673"/>
      <c r="Z97" s="673"/>
      <c r="AA97" s="673"/>
      <c r="AB97" s="673"/>
      <c r="AC97" s="673"/>
      <c r="AD97" s="673"/>
      <c r="AE97" s="673"/>
      <c r="AF97" s="673"/>
      <c r="AG97" s="673"/>
      <c r="AH97" s="673"/>
    </row>
    <row r="98">
      <c r="A98" s="653"/>
      <c r="B98" s="654"/>
      <c r="C98" s="691"/>
      <c r="D98" s="661"/>
      <c r="E98" s="705"/>
      <c r="F98" s="659"/>
      <c r="G98" s="661"/>
      <c r="H98" s="660"/>
      <c r="I98" s="691"/>
      <c r="J98" s="661"/>
      <c r="K98" s="706"/>
      <c r="L98" s="665"/>
      <c r="M98" s="663"/>
      <c r="N98" s="665"/>
      <c r="O98" s="665"/>
      <c r="P98" s="665"/>
      <c r="Q98" s="665"/>
      <c r="R98" s="665"/>
      <c r="S98" s="665"/>
      <c r="T98" s="673"/>
      <c r="U98" s="673"/>
      <c r="V98" s="673"/>
      <c r="W98" s="673"/>
      <c r="X98" s="673"/>
      <c r="Y98" s="673"/>
      <c r="Z98" s="673"/>
      <c r="AA98" s="673"/>
      <c r="AB98" s="673"/>
      <c r="AC98" s="673"/>
      <c r="AD98" s="673"/>
      <c r="AE98" s="673"/>
      <c r="AF98" s="673"/>
      <c r="AG98" s="673"/>
      <c r="AH98" s="673"/>
    </row>
    <row r="99">
      <c r="A99" s="653"/>
      <c r="B99" s="654"/>
      <c r="C99" s="691"/>
      <c r="D99" s="661"/>
      <c r="E99" s="705"/>
      <c r="F99" s="659"/>
      <c r="G99" s="661"/>
      <c r="H99" s="660"/>
      <c r="I99" s="691"/>
      <c r="J99" s="661"/>
      <c r="K99" s="706"/>
      <c r="L99" s="665"/>
      <c r="M99" s="663"/>
      <c r="N99" s="665"/>
      <c r="O99" s="665"/>
      <c r="P99" s="665"/>
      <c r="Q99" s="665"/>
      <c r="R99" s="665"/>
      <c r="S99" s="665"/>
      <c r="T99" s="673"/>
      <c r="U99" s="673"/>
      <c r="V99" s="673"/>
      <c r="W99" s="673"/>
      <c r="X99" s="673"/>
      <c r="Y99" s="673"/>
      <c r="Z99" s="673"/>
      <c r="AA99" s="673"/>
      <c r="AB99" s="673"/>
      <c r="AC99" s="673"/>
      <c r="AD99" s="673"/>
      <c r="AE99" s="673"/>
      <c r="AF99" s="673"/>
      <c r="AG99" s="673"/>
      <c r="AH99" s="673"/>
    </row>
    <row r="100">
      <c r="A100" s="653"/>
      <c r="B100" s="654"/>
      <c r="C100" s="691"/>
      <c r="D100" s="661"/>
      <c r="E100" s="705"/>
      <c r="F100" s="659"/>
      <c r="G100" s="661"/>
      <c r="H100" s="660"/>
      <c r="I100" s="691"/>
      <c r="J100" s="661"/>
      <c r="K100" s="706"/>
      <c r="L100" s="665"/>
      <c r="M100" s="663"/>
      <c r="N100" s="665"/>
      <c r="O100" s="665"/>
      <c r="P100" s="665"/>
      <c r="Q100" s="665"/>
      <c r="R100" s="665"/>
      <c r="S100" s="665"/>
      <c r="T100" s="673"/>
      <c r="U100" s="673"/>
      <c r="V100" s="673"/>
      <c r="W100" s="673"/>
      <c r="X100" s="673"/>
      <c r="Y100" s="673"/>
      <c r="Z100" s="673"/>
      <c r="AA100" s="673"/>
      <c r="AB100" s="673"/>
      <c r="AC100" s="673"/>
      <c r="AD100" s="673"/>
      <c r="AE100" s="673"/>
      <c r="AF100" s="673"/>
      <c r="AG100" s="673"/>
      <c r="AH100" s="673"/>
    </row>
    <row r="101">
      <c r="A101" s="653"/>
      <c r="B101" s="654"/>
      <c r="C101" s="691"/>
      <c r="D101" s="661"/>
      <c r="E101" s="705"/>
      <c r="F101" s="659"/>
      <c r="G101" s="661"/>
      <c r="H101" s="660"/>
      <c r="I101" s="691"/>
      <c r="J101" s="661"/>
      <c r="K101" s="706"/>
      <c r="L101" s="665"/>
      <c r="M101" s="663"/>
      <c r="N101" s="665"/>
      <c r="O101" s="665"/>
      <c r="P101" s="665"/>
      <c r="Q101" s="665"/>
      <c r="R101" s="665"/>
      <c r="S101" s="665"/>
      <c r="T101" s="673"/>
      <c r="U101" s="673"/>
      <c r="V101" s="673"/>
      <c r="W101" s="673"/>
      <c r="X101" s="673"/>
      <c r="Y101" s="673"/>
      <c r="Z101" s="673"/>
      <c r="AA101" s="673"/>
      <c r="AB101" s="673"/>
      <c r="AC101" s="673"/>
      <c r="AD101" s="673"/>
      <c r="AE101" s="673"/>
      <c r="AF101" s="673"/>
      <c r="AG101" s="673"/>
      <c r="AH101" s="673"/>
    </row>
    <row r="102">
      <c r="A102" s="653"/>
      <c r="B102" s="654"/>
      <c r="C102" s="691"/>
      <c r="D102" s="661"/>
      <c r="E102" s="705"/>
      <c r="F102" s="659"/>
      <c r="G102" s="661"/>
      <c r="H102" s="660"/>
      <c r="I102" s="691"/>
      <c r="J102" s="661"/>
      <c r="K102" s="706"/>
      <c r="L102" s="665"/>
      <c r="M102" s="663"/>
      <c r="N102" s="665"/>
      <c r="O102" s="665"/>
      <c r="P102" s="665"/>
      <c r="Q102" s="665"/>
      <c r="R102" s="665"/>
      <c r="S102" s="665"/>
      <c r="T102" s="673"/>
      <c r="U102" s="673"/>
      <c r="V102" s="673"/>
      <c r="W102" s="673"/>
      <c r="X102" s="673"/>
      <c r="Y102" s="673"/>
      <c r="Z102" s="673"/>
      <c r="AA102" s="673"/>
      <c r="AB102" s="673"/>
      <c r="AC102" s="673"/>
      <c r="AD102" s="673"/>
      <c r="AE102" s="673"/>
      <c r="AF102" s="673"/>
      <c r="AG102" s="673"/>
      <c r="AH102" s="673"/>
    </row>
    <row r="103">
      <c r="A103" s="653"/>
      <c r="B103" s="654"/>
      <c r="C103" s="691"/>
      <c r="D103" s="661"/>
      <c r="E103" s="705"/>
      <c r="F103" s="659"/>
      <c r="G103" s="661"/>
      <c r="H103" s="660"/>
      <c r="I103" s="691"/>
      <c r="J103" s="661"/>
      <c r="K103" s="706"/>
      <c r="L103" s="665"/>
      <c r="M103" s="663"/>
      <c r="N103" s="665"/>
      <c r="O103" s="665"/>
      <c r="P103" s="665"/>
      <c r="Q103" s="665"/>
      <c r="R103" s="665"/>
      <c r="S103" s="665"/>
      <c r="T103" s="673"/>
      <c r="U103" s="673"/>
      <c r="V103" s="673"/>
      <c r="W103" s="673"/>
      <c r="X103" s="673"/>
      <c r="Y103" s="673"/>
      <c r="Z103" s="673"/>
      <c r="AA103" s="673"/>
      <c r="AB103" s="673"/>
      <c r="AC103" s="673"/>
      <c r="AD103" s="673"/>
      <c r="AE103" s="673"/>
      <c r="AF103" s="673"/>
      <c r="AG103" s="673"/>
      <c r="AH103" s="673"/>
    </row>
    <row r="104">
      <c r="A104" s="653"/>
      <c r="B104" s="654"/>
      <c r="C104" s="691"/>
      <c r="D104" s="661"/>
      <c r="E104" s="705"/>
      <c r="F104" s="659"/>
      <c r="G104" s="661"/>
      <c r="H104" s="660"/>
      <c r="I104" s="691"/>
      <c r="J104" s="661"/>
      <c r="K104" s="706"/>
      <c r="L104" s="665"/>
      <c r="M104" s="663"/>
      <c r="N104" s="665"/>
      <c r="O104" s="665"/>
      <c r="P104" s="665"/>
      <c r="Q104" s="665"/>
      <c r="R104" s="665"/>
      <c r="S104" s="665"/>
      <c r="T104" s="673"/>
      <c r="U104" s="673"/>
      <c r="V104" s="673"/>
      <c r="W104" s="673"/>
      <c r="X104" s="673"/>
      <c r="Y104" s="673"/>
      <c r="Z104" s="673"/>
      <c r="AA104" s="673"/>
      <c r="AB104" s="673"/>
      <c r="AC104" s="673"/>
      <c r="AD104" s="673"/>
      <c r="AE104" s="673"/>
      <c r="AF104" s="673"/>
      <c r="AG104" s="673"/>
      <c r="AH104" s="673"/>
    </row>
    <row r="105">
      <c r="A105" s="653"/>
      <c r="B105" s="654"/>
      <c r="C105" s="691"/>
      <c r="D105" s="661"/>
      <c r="E105" s="705"/>
      <c r="F105" s="659"/>
      <c r="G105" s="661"/>
      <c r="H105" s="660"/>
      <c r="I105" s="691"/>
      <c r="J105" s="661"/>
      <c r="K105" s="706"/>
      <c r="L105" s="665"/>
      <c r="M105" s="663"/>
      <c r="N105" s="665"/>
      <c r="O105" s="665"/>
      <c r="P105" s="665"/>
      <c r="Q105" s="665"/>
      <c r="R105" s="665"/>
      <c r="S105" s="665"/>
      <c r="T105" s="673"/>
      <c r="U105" s="673"/>
      <c r="V105" s="673"/>
      <c r="W105" s="673"/>
      <c r="X105" s="673"/>
      <c r="Y105" s="673"/>
      <c r="Z105" s="673"/>
      <c r="AA105" s="673"/>
      <c r="AB105" s="673"/>
      <c r="AC105" s="673"/>
      <c r="AD105" s="673"/>
      <c r="AE105" s="673"/>
      <c r="AF105" s="673"/>
      <c r="AG105" s="673"/>
      <c r="AH105" s="673"/>
    </row>
    <row r="106">
      <c r="A106" s="653"/>
      <c r="B106" s="654"/>
      <c r="C106" s="691"/>
      <c r="D106" s="661"/>
      <c r="E106" s="705"/>
      <c r="F106" s="659"/>
      <c r="G106" s="661"/>
      <c r="H106" s="660"/>
      <c r="I106" s="691"/>
      <c r="J106" s="661"/>
      <c r="K106" s="706"/>
      <c r="L106" s="665"/>
      <c r="M106" s="663"/>
      <c r="N106" s="665"/>
      <c r="O106" s="665"/>
      <c r="P106" s="665"/>
      <c r="Q106" s="665"/>
      <c r="R106" s="665"/>
      <c r="S106" s="665"/>
      <c r="T106" s="673"/>
      <c r="U106" s="673"/>
      <c r="V106" s="673"/>
      <c r="W106" s="673"/>
      <c r="X106" s="673"/>
      <c r="Y106" s="673"/>
      <c r="Z106" s="673"/>
      <c r="AA106" s="673"/>
      <c r="AB106" s="673"/>
      <c r="AC106" s="673"/>
      <c r="AD106" s="673"/>
      <c r="AE106" s="673"/>
      <c r="AF106" s="673"/>
      <c r="AG106" s="673"/>
      <c r="AH106" s="673"/>
    </row>
    <row r="107">
      <c r="A107" s="653"/>
      <c r="B107" s="654"/>
      <c r="C107" s="691"/>
      <c r="D107" s="661"/>
      <c r="E107" s="705"/>
      <c r="F107" s="659"/>
      <c r="G107" s="661"/>
      <c r="H107" s="660"/>
      <c r="I107" s="691"/>
      <c r="J107" s="661"/>
      <c r="K107" s="706"/>
      <c r="L107" s="665"/>
      <c r="M107" s="663"/>
      <c r="N107" s="665"/>
      <c r="O107" s="665"/>
      <c r="P107" s="665"/>
      <c r="Q107" s="665"/>
      <c r="R107" s="665"/>
      <c r="S107" s="665"/>
      <c r="T107" s="673"/>
      <c r="U107" s="673"/>
      <c r="V107" s="673"/>
      <c r="W107" s="673"/>
      <c r="X107" s="673"/>
      <c r="Y107" s="673"/>
      <c r="Z107" s="673"/>
      <c r="AA107" s="673"/>
      <c r="AB107" s="673"/>
      <c r="AC107" s="673"/>
      <c r="AD107" s="673"/>
      <c r="AE107" s="673"/>
      <c r="AF107" s="673"/>
      <c r="AG107" s="673"/>
      <c r="AH107" s="673"/>
    </row>
    <row r="108">
      <c r="A108" s="653"/>
      <c r="B108" s="654"/>
      <c r="C108" s="691"/>
      <c r="D108" s="661"/>
      <c r="E108" s="705"/>
      <c r="F108" s="659"/>
      <c r="G108" s="661"/>
      <c r="H108" s="660"/>
      <c r="I108" s="691"/>
      <c r="J108" s="661"/>
      <c r="K108" s="706"/>
      <c r="L108" s="665"/>
      <c r="M108" s="663"/>
      <c r="N108" s="665"/>
      <c r="O108" s="665"/>
      <c r="P108" s="665"/>
      <c r="Q108" s="665"/>
      <c r="R108" s="665"/>
      <c r="S108" s="665"/>
      <c r="T108" s="673"/>
      <c r="U108" s="673"/>
      <c r="V108" s="673"/>
      <c r="W108" s="673"/>
      <c r="X108" s="673"/>
      <c r="Y108" s="673"/>
      <c r="Z108" s="673"/>
      <c r="AA108" s="673"/>
      <c r="AB108" s="673"/>
      <c r="AC108" s="673"/>
      <c r="AD108" s="673"/>
      <c r="AE108" s="673"/>
      <c r="AF108" s="673"/>
      <c r="AG108" s="673"/>
      <c r="AH108" s="673"/>
    </row>
    <row r="109">
      <c r="A109" s="653"/>
      <c r="B109" s="654"/>
      <c r="C109" s="691"/>
      <c r="D109" s="661"/>
      <c r="E109" s="705"/>
      <c r="F109" s="659"/>
      <c r="G109" s="661"/>
      <c r="H109" s="660"/>
      <c r="I109" s="691"/>
      <c r="J109" s="661"/>
      <c r="K109" s="706"/>
      <c r="L109" s="665"/>
      <c r="M109" s="663"/>
      <c r="N109" s="665"/>
      <c r="O109" s="665"/>
      <c r="P109" s="665"/>
      <c r="Q109" s="665"/>
      <c r="R109" s="665"/>
      <c r="S109" s="665"/>
      <c r="T109" s="673"/>
      <c r="U109" s="673"/>
      <c r="V109" s="673"/>
      <c r="W109" s="673"/>
      <c r="X109" s="673"/>
      <c r="Y109" s="673"/>
      <c r="Z109" s="673"/>
      <c r="AA109" s="673"/>
      <c r="AB109" s="673"/>
      <c r="AC109" s="673"/>
      <c r="AD109" s="673"/>
      <c r="AE109" s="673"/>
      <c r="AF109" s="673"/>
      <c r="AG109" s="673"/>
      <c r="AH109" s="673"/>
    </row>
    <row r="110">
      <c r="A110" s="653"/>
      <c r="B110" s="654"/>
      <c r="C110" s="691"/>
      <c r="D110" s="661"/>
      <c r="E110" s="705"/>
      <c r="F110" s="659"/>
      <c r="G110" s="661"/>
      <c r="H110" s="660"/>
      <c r="I110" s="691"/>
      <c r="J110" s="661"/>
      <c r="K110" s="706"/>
      <c r="L110" s="665"/>
      <c r="M110" s="663"/>
      <c r="N110" s="665"/>
      <c r="O110" s="665"/>
      <c r="P110" s="665"/>
      <c r="Q110" s="665"/>
      <c r="R110" s="665"/>
      <c r="S110" s="665"/>
      <c r="T110" s="673"/>
      <c r="U110" s="673"/>
      <c r="V110" s="673"/>
      <c r="W110" s="673"/>
      <c r="X110" s="673"/>
      <c r="Y110" s="673"/>
      <c r="Z110" s="673"/>
      <c r="AA110" s="673"/>
      <c r="AB110" s="673"/>
      <c r="AC110" s="673"/>
      <c r="AD110" s="673"/>
      <c r="AE110" s="673"/>
      <c r="AF110" s="673"/>
      <c r="AG110" s="673"/>
      <c r="AH110" s="673"/>
    </row>
    <row r="111">
      <c r="A111" s="653"/>
      <c r="B111" s="654"/>
      <c r="C111" s="691"/>
      <c r="D111" s="661"/>
      <c r="E111" s="705"/>
      <c r="F111" s="659"/>
      <c r="G111" s="661"/>
      <c r="H111" s="660"/>
      <c r="I111" s="691"/>
      <c r="J111" s="661"/>
      <c r="K111" s="706"/>
      <c r="L111" s="665"/>
      <c r="M111" s="663"/>
      <c r="N111" s="665"/>
      <c r="O111" s="665"/>
      <c r="P111" s="665"/>
      <c r="Q111" s="665"/>
      <c r="R111" s="665"/>
      <c r="S111" s="665"/>
      <c r="T111" s="673"/>
      <c r="U111" s="673"/>
      <c r="V111" s="673"/>
      <c r="W111" s="673"/>
      <c r="X111" s="673"/>
      <c r="Y111" s="673"/>
      <c r="Z111" s="673"/>
      <c r="AA111" s="673"/>
      <c r="AB111" s="673"/>
      <c r="AC111" s="673"/>
      <c r="AD111" s="673"/>
      <c r="AE111" s="673"/>
      <c r="AF111" s="673"/>
      <c r="AG111" s="673"/>
      <c r="AH111" s="673"/>
    </row>
    <row r="112">
      <c r="A112" s="653"/>
      <c r="B112" s="654"/>
      <c r="C112" s="691"/>
      <c r="D112" s="661"/>
      <c r="E112" s="705"/>
      <c r="F112" s="659"/>
      <c r="G112" s="661"/>
      <c r="H112" s="660"/>
      <c r="I112" s="691"/>
      <c r="J112" s="661"/>
      <c r="K112" s="706"/>
      <c r="L112" s="665"/>
      <c r="M112" s="663"/>
      <c r="N112" s="665"/>
      <c r="O112" s="665"/>
      <c r="P112" s="665"/>
      <c r="Q112" s="665"/>
      <c r="R112" s="665"/>
      <c r="S112" s="665"/>
      <c r="T112" s="673"/>
      <c r="U112" s="673"/>
      <c r="V112" s="673"/>
      <c r="W112" s="673"/>
      <c r="X112" s="673"/>
      <c r="Y112" s="673"/>
      <c r="Z112" s="673"/>
      <c r="AA112" s="673"/>
      <c r="AB112" s="673"/>
      <c r="AC112" s="673"/>
      <c r="AD112" s="673"/>
      <c r="AE112" s="673"/>
      <c r="AF112" s="673"/>
      <c r="AG112" s="673"/>
      <c r="AH112" s="673"/>
    </row>
    <row r="113">
      <c r="A113" s="653"/>
      <c r="B113" s="654"/>
      <c r="C113" s="691"/>
      <c r="D113" s="661"/>
      <c r="E113" s="705"/>
      <c r="F113" s="659"/>
      <c r="G113" s="661"/>
      <c r="H113" s="660"/>
      <c r="I113" s="691"/>
      <c r="J113" s="661"/>
      <c r="K113" s="706"/>
      <c r="L113" s="665"/>
      <c r="M113" s="663"/>
      <c r="N113" s="665"/>
      <c r="O113" s="665"/>
      <c r="P113" s="665"/>
      <c r="Q113" s="665"/>
      <c r="R113" s="665"/>
      <c r="S113" s="665"/>
      <c r="T113" s="673"/>
      <c r="U113" s="673"/>
      <c r="V113" s="673"/>
      <c r="W113" s="673"/>
      <c r="X113" s="673"/>
      <c r="Y113" s="673"/>
      <c r="Z113" s="673"/>
      <c r="AA113" s="673"/>
      <c r="AB113" s="673"/>
      <c r="AC113" s="673"/>
      <c r="AD113" s="673"/>
      <c r="AE113" s="673"/>
      <c r="AF113" s="673"/>
      <c r="AG113" s="673"/>
      <c r="AH113" s="673"/>
    </row>
    <row r="114">
      <c r="A114" s="653"/>
      <c r="B114" s="654"/>
      <c r="C114" s="691"/>
      <c r="D114" s="661"/>
      <c r="E114" s="705"/>
      <c r="F114" s="659"/>
      <c r="G114" s="661"/>
      <c r="H114" s="660"/>
      <c r="I114" s="691"/>
      <c r="J114" s="661"/>
      <c r="K114" s="706"/>
      <c r="L114" s="665"/>
      <c r="M114" s="663"/>
      <c r="N114" s="665"/>
      <c r="O114" s="665"/>
      <c r="P114" s="665"/>
      <c r="Q114" s="665"/>
      <c r="R114" s="665"/>
      <c r="S114" s="665"/>
      <c r="T114" s="673"/>
      <c r="U114" s="673"/>
      <c r="V114" s="673"/>
      <c r="W114" s="673"/>
      <c r="X114" s="673"/>
      <c r="Y114" s="673"/>
      <c r="Z114" s="673"/>
      <c r="AA114" s="673"/>
      <c r="AB114" s="673"/>
      <c r="AC114" s="673"/>
      <c r="AD114" s="673"/>
      <c r="AE114" s="673"/>
      <c r="AF114" s="673"/>
      <c r="AG114" s="673"/>
      <c r="AH114" s="673"/>
    </row>
    <row r="115">
      <c r="A115" s="653"/>
      <c r="B115" s="654"/>
      <c r="C115" s="691"/>
      <c r="D115" s="661"/>
      <c r="E115" s="705"/>
      <c r="F115" s="659"/>
      <c r="G115" s="661"/>
      <c r="H115" s="660"/>
      <c r="I115" s="691"/>
      <c r="J115" s="661"/>
      <c r="K115" s="706"/>
      <c r="L115" s="665"/>
      <c r="M115" s="663"/>
      <c r="N115" s="665"/>
      <c r="O115" s="665"/>
      <c r="P115" s="665"/>
      <c r="Q115" s="665"/>
      <c r="R115" s="665"/>
      <c r="S115" s="665"/>
      <c r="T115" s="673"/>
      <c r="U115" s="673"/>
      <c r="V115" s="673"/>
      <c r="W115" s="673"/>
      <c r="X115" s="673"/>
      <c r="Y115" s="673"/>
      <c r="Z115" s="673"/>
      <c r="AA115" s="673"/>
      <c r="AB115" s="673"/>
      <c r="AC115" s="673"/>
      <c r="AD115" s="673"/>
      <c r="AE115" s="673"/>
      <c r="AF115" s="673"/>
      <c r="AG115" s="673"/>
      <c r="AH115" s="673"/>
    </row>
    <row r="116">
      <c r="A116" s="653"/>
      <c r="B116" s="654"/>
      <c r="C116" s="691"/>
      <c r="D116" s="661"/>
      <c r="E116" s="705"/>
      <c r="F116" s="659"/>
      <c r="G116" s="661"/>
      <c r="H116" s="660"/>
      <c r="I116" s="691"/>
      <c r="J116" s="661"/>
      <c r="K116" s="706"/>
      <c r="L116" s="665"/>
      <c r="M116" s="663"/>
      <c r="N116" s="665"/>
      <c r="O116" s="665"/>
      <c r="P116" s="665"/>
      <c r="Q116" s="665"/>
      <c r="R116" s="665"/>
      <c r="S116" s="665"/>
      <c r="T116" s="673"/>
      <c r="U116" s="673"/>
      <c r="V116" s="673"/>
      <c r="W116" s="673"/>
      <c r="X116" s="673"/>
      <c r="Y116" s="673"/>
      <c r="Z116" s="673"/>
      <c r="AA116" s="673"/>
      <c r="AB116" s="673"/>
      <c r="AC116" s="673"/>
      <c r="AD116" s="673"/>
      <c r="AE116" s="673"/>
      <c r="AF116" s="673"/>
      <c r="AG116" s="673"/>
      <c r="AH116" s="673"/>
    </row>
    <row r="117">
      <c r="A117" s="653"/>
      <c r="B117" s="654"/>
      <c r="C117" s="691"/>
      <c r="D117" s="661"/>
      <c r="E117" s="705"/>
      <c r="F117" s="659"/>
      <c r="G117" s="661"/>
      <c r="H117" s="660"/>
      <c r="I117" s="691"/>
      <c r="J117" s="661"/>
      <c r="K117" s="706"/>
      <c r="L117" s="665"/>
      <c r="M117" s="663"/>
      <c r="N117" s="665"/>
      <c r="O117" s="665"/>
      <c r="P117" s="665"/>
      <c r="Q117" s="665"/>
      <c r="R117" s="665"/>
      <c r="S117" s="665"/>
      <c r="T117" s="673"/>
      <c r="U117" s="673"/>
      <c r="V117" s="673"/>
      <c r="W117" s="673"/>
      <c r="X117" s="673"/>
      <c r="Y117" s="673"/>
      <c r="Z117" s="673"/>
      <c r="AA117" s="673"/>
      <c r="AB117" s="673"/>
      <c r="AC117" s="673"/>
      <c r="AD117" s="673"/>
      <c r="AE117" s="673"/>
      <c r="AF117" s="673"/>
      <c r="AG117" s="673"/>
      <c r="AH117" s="673"/>
    </row>
    <row r="118">
      <c r="A118" s="653"/>
      <c r="B118" s="654"/>
      <c r="C118" s="691"/>
      <c r="D118" s="661"/>
      <c r="E118" s="705"/>
      <c r="F118" s="659"/>
      <c r="G118" s="661"/>
      <c r="H118" s="660"/>
      <c r="I118" s="691"/>
      <c r="J118" s="661"/>
      <c r="K118" s="706"/>
      <c r="L118" s="665"/>
      <c r="M118" s="663"/>
      <c r="N118" s="665"/>
      <c r="O118" s="665"/>
      <c r="P118" s="665"/>
      <c r="Q118" s="665"/>
      <c r="R118" s="665"/>
      <c r="S118" s="665"/>
      <c r="T118" s="673"/>
      <c r="U118" s="673"/>
      <c r="V118" s="673"/>
      <c r="W118" s="673"/>
      <c r="X118" s="673"/>
      <c r="Y118" s="673"/>
      <c r="Z118" s="673"/>
      <c r="AA118" s="673"/>
      <c r="AB118" s="673"/>
      <c r="AC118" s="673"/>
      <c r="AD118" s="673"/>
      <c r="AE118" s="673"/>
      <c r="AF118" s="673"/>
      <c r="AG118" s="673"/>
      <c r="AH118" s="673"/>
    </row>
    <row r="119">
      <c r="A119" s="653"/>
      <c r="B119" s="654"/>
      <c r="C119" s="691"/>
      <c r="D119" s="661"/>
      <c r="E119" s="705"/>
      <c r="F119" s="659"/>
      <c r="G119" s="661"/>
      <c r="H119" s="660"/>
      <c r="I119" s="691"/>
      <c r="J119" s="661"/>
      <c r="K119" s="706"/>
      <c r="L119" s="665"/>
      <c r="M119" s="663"/>
      <c r="N119" s="665"/>
      <c r="O119" s="665"/>
      <c r="P119" s="665"/>
      <c r="Q119" s="665"/>
      <c r="R119" s="665"/>
      <c r="S119" s="665"/>
      <c r="T119" s="673"/>
      <c r="U119" s="673"/>
      <c r="V119" s="673"/>
      <c r="W119" s="673"/>
      <c r="X119" s="673"/>
      <c r="Y119" s="673"/>
      <c r="Z119" s="673"/>
      <c r="AA119" s="673"/>
      <c r="AB119" s="673"/>
      <c r="AC119" s="673"/>
      <c r="AD119" s="673"/>
      <c r="AE119" s="673"/>
      <c r="AF119" s="673"/>
      <c r="AG119" s="673"/>
      <c r="AH119" s="673"/>
    </row>
    <row r="120">
      <c r="A120" s="653"/>
      <c r="B120" s="654"/>
      <c r="C120" s="691"/>
      <c r="D120" s="661"/>
      <c r="E120" s="705"/>
      <c r="F120" s="659"/>
      <c r="G120" s="661"/>
      <c r="H120" s="660"/>
      <c r="I120" s="691"/>
      <c r="J120" s="661"/>
      <c r="K120" s="706"/>
      <c r="L120" s="665"/>
      <c r="M120" s="663"/>
      <c r="N120" s="665"/>
      <c r="O120" s="665"/>
      <c r="P120" s="665"/>
      <c r="Q120" s="665"/>
      <c r="R120" s="665"/>
      <c r="S120" s="665"/>
      <c r="T120" s="673"/>
      <c r="U120" s="673"/>
      <c r="V120" s="673"/>
      <c r="W120" s="673"/>
      <c r="X120" s="673"/>
      <c r="Y120" s="673"/>
      <c r="Z120" s="673"/>
      <c r="AA120" s="673"/>
      <c r="AB120" s="673"/>
      <c r="AC120" s="673"/>
      <c r="AD120" s="673"/>
      <c r="AE120" s="673"/>
      <c r="AF120" s="673"/>
      <c r="AG120" s="673"/>
      <c r="AH120" s="673"/>
    </row>
    <row r="121">
      <c r="A121" s="653"/>
      <c r="B121" s="654"/>
      <c r="C121" s="691"/>
      <c r="D121" s="661"/>
      <c r="E121" s="705"/>
      <c r="F121" s="659"/>
      <c r="G121" s="661"/>
      <c r="H121" s="660"/>
      <c r="I121" s="691"/>
      <c r="J121" s="661"/>
      <c r="K121" s="706"/>
      <c r="L121" s="665"/>
      <c r="M121" s="663"/>
      <c r="N121" s="665"/>
      <c r="O121" s="665"/>
      <c r="P121" s="665"/>
      <c r="Q121" s="665"/>
      <c r="R121" s="665"/>
      <c r="S121" s="665"/>
      <c r="T121" s="673"/>
      <c r="U121" s="673"/>
      <c r="V121" s="673"/>
      <c r="W121" s="673"/>
      <c r="X121" s="673"/>
      <c r="Y121" s="673"/>
      <c r="Z121" s="673"/>
      <c r="AA121" s="673"/>
      <c r="AB121" s="673"/>
      <c r="AC121" s="673"/>
      <c r="AD121" s="673"/>
      <c r="AE121" s="673"/>
      <c r="AF121" s="673"/>
      <c r="AG121" s="673"/>
      <c r="AH121" s="673"/>
    </row>
    <row r="122">
      <c r="A122" s="653"/>
      <c r="B122" s="654"/>
      <c r="C122" s="691"/>
      <c r="D122" s="661"/>
      <c r="E122" s="705"/>
      <c r="F122" s="659"/>
      <c r="G122" s="661"/>
      <c r="H122" s="660"/>
      <c r="I122" s="691"/>
      <c r="J122" s="661"/>
      <c r="K122" s="706"/>
      <c r="L122" s="665"/>
      <c r="M122" s="663"/>
      <c r="N122" s="665"/>
      <c r="O122" s="665"/>
      <c r="P122" s="665"/>
      <c r="Q122" s="665"/>
      <c r="R122" s="665"/>
      <c r="S122" s="665"/>
      <c r="T122" s="673"/>
      <c r="U122" s="673"/>
      <c r="V122" s="673"/>
      <c r="W122" s="673"/>
      <c r="X122" s="673"/>
      <c r="Y122" s="673"/>
      <c r="Z122" s="673"/>
      <c r="AA122" s="673"/>
      <c r="AB122" s="673"/>
      <c r="AC122" s="673"/>
      <c r="AD122" s="673"/>
      <c r="AE122" s="673"/>
      <c r="AF122" s="673"/>
      <c r="AG122" s="673"/>
      <c r="AH122" s="673"/>
    </row>
    <row r="123">
      <c r="A123" s="653"/>
      <c r="B123" s="654"/>
      <c r="C123" s="691"/>
      <c r="D123" s="661"/>
      <c r="E123" s="705"/>
      <c r="F123" s="659"/>
      <c r="G123" s="661"/>
      <c r="H123" s="660"/>
      <c r="I123" s="691"/>
      <c r="J123" s="661"/>
      <c r="K123" s="706"/>
      <c r="L123" s="665"/>
      <c r="M123" s="663"/>
      <c r="N123" s="665"/>
      <c r="O123" s="665"/>
      <c r="P123" s="665"/>
      <c r="Q123" s="665"/>
      <c r="R123" s="665"/>
      <c r="S123" s="665"/>
      <c r="T123" s="673"/>
      <c r="U123" s="673"/>
      <c r="V123" s="673"/>
      <c r="W123" s="673"/>
      <c r="X123" s="673"/>
      <c r="Y123" s="673"/>
      <c r="Z123" s="673"/>
      <c r="AA123" s="673"/>
      <c r="AB123" s="673"/>
      <c r="AC123" s="673"/>
      <c r="AD123" s="673"/>
      <c r="AE123" s="673"/>
      <c r="AF123" s="673"/>
      <c r="AG123" s="673"/>
      <c r="AH123" s="673"/>
    </row>
    <row r="124">
      <c r="A124" s="653"/>
      <c r="B124" s="654"/>
      <c r="C124" s="691"/>
      <c r="D124" s="661"/>
      <c r="E124" s="705"/>
      <c r="F124" s="659"/>
      <c r="G124" s="661"/>
      <c r="H124" s="660"/>
      <c r="I124" s="691"/>
      <c r="J124" s="661"/>
      <c r="K124" s="706"/>
      <c r="L124" s="665"/>
      <c r="M124" s="663"/>
      <c r="N124" s="665"/>
      <c r="O124" s="665"/>
      <c r="P124" s="665"/>
      <c r="Q124" s="665"/>
      <c r="R124" s="665"/>
      <c r="S124" s="665"/>
      <c r="T124" s="673"/>
      <c r="U124" s="673"/>
      <c r="V124" s="673"/>
      <c r="W124" s="673"/>
      <c r="X124" s="673"/>
      <c r="Y124" s="673"/>
      <c r="Z124" s="673"/>
      <c r="AA124" s="673"/>
      <c r="AB124" s="673"/>
      <c r="AC124" s="673"/>
      <c r="AD124" s="673"/>
      <c r="AE124" s="673"/>
      <c r="AF124" s="673"/>
      <c r="AG124" s="673"/>
      <c r="AH124" s="673"/>
    </row>
    <row r="125">
      <c r="A125" s="653"/>
      <c r="B125" s="654"/>
      <c r="C125" s="691"/>
      <c r="D125" s="661"/>
      <c r="E125" s="705"/>
      <c r="F125" s="659"/>
      <c r="G125" s="661"/>
      <c r="H125" s="660"/>
      <c r="I125" s="691"/>
      <c r="J125" s="661"/>
      <c r="K125" s="706"/>
      <c r="L125" s="665"/>
      <c r="M125" s="663"/>
      <c r="N125" s="665"/>
      <c r="O125" s="665"/>
      <c r="P125" s="665"/>
      <c r="Q125" s="665"/>
      <c r="R125" s="665"/>
      <c r="S125" s="665"/>
      <c r="T125" s="673"/>
      <c r="U125" s="673"/>
      <c r="V125" s="673"/>
      <c r="W125" s="673"/>
      <c r="X125" s="673"/>
      <c r="Y125" s="673"/>
      <c r="Z125" s="673"/>
      <c r="AA125" s="673"/>
      <c r="AB125" s="673"/>
      <c r="AC125" s="673"/>
      <c r="AD125" s="673"/>
      <c r="AE125" s="673"/>
      <c r="AF125" s="673"/>
      <c r="AG125" s="673"/>
      <c r="AH125" s="673"/>
    </row>
    <row r="126">
      <c r="A126" s="653"/>
      <c r="B126" s="654"/>
      <c r="C126" s="691"/>
      <c r="D126" s="661"/>
      <c r="E126" s="705"/>
      <c r="F126" s="659"/>
      <c r="G126" s="661"/>
      <c r="H126" s="660"/>
      <c r="I126" s="691"/>
      <c r="J126" s="661"/>
      <c r="K126" s="706"/>
      <c r="L126" s="665"/>
      <c r="M126" s="663"/>
      <c r="N126" s="665"/>
      <c r="O126" s="665"/>
      <c r="P126" s="665"/>
      <c r="Q126" s="665"/>
      <c r="R126" s="665"/>
      <c r="S126" s="665"/>
      <c r="T126" s="673"/>
      <c r="U126" s="673"/>
      <c r="V126" s="673"/>
      <c r="W126" s="673"/>
      <c r="X126" s="673"/>
      <c r="Y126" s="673"/>
      <c r="Z126" s="673"/>
      <c r="AA126" s="673"/>
      <c r="AB126" s="673"/>
      <c r="AC126" s="673"/>
      <c r="AD126" s="673"/>
      <c r="AE126" s="673"/>
      <c r="AF126" s="673"/>
      <c r="AG126" s="673"/>
      <c r="AH126" s="673"/>
    </row>
    <row r="127">
      <c r="A127" s="653"/>
      <c r="B127" s="654"/>
      <c r="C127" s="691"/>
      <c r="D127" s="661"/>
      <c r="E127" s="705"/>
      <c r="F127" s="659"/>
      <c r="G127" s="661"/>
      <c r="H127" s="660"/>
      <c r="I127" s="691"/>
      <c r="J127" s="661"/>
      <c r="K127" s="706"/>
      <c r="L127" s="665"/>
      <c r="M127" s="663"/>
      <c r="N127" s="665"/>
      <c r="O127" s="665"/>
      <c r="P127" s="665"/>
      <c r="Q127" s="665"/>
      <c r="R127" s="665"/>
      <c r="S127" s="665"/>
      <c r="T127" s="673"/>
      <c r="U127" s="673"/>
      <c r="V127" s="673"/>
      <c r="W127" s="673"/>
      <c r="X127" s="673"/>
      <c r="Y127" s="673"/>
      <c r="Z127" s="673"/>
      <c r="AA127" s="673"/>
      <c r="AB127" s="673"/>
      <c r="AC127" s="673"/>
      <c r="AD127" s="673"/>
      <c r="AE127" s="673"/>
      <c r="AF127" s="673"/>
      <c r="AG127" s="673"/>
      <c r="AH127" s="673"/>
    </row>
    <row r="128">
      <c r="A128" s="653"/>
      <c r="B128" s="654"/>
      <c r="C128" s="691"/>
      <c r="D128" s="661"/>
      <c r="E128" s="705"/>
      <c r="F128" s="659"/>
      <c r="G128" s="661"/>
      <c r="H128" s="660"/>
      <c r="I128" s="691"/>
      <c r="J128" s="661"/>
      <c r="K128" s="706"/>
      <c r="L128" s="665"/>
      <c r="M128" s="663"/>
      <c r="N128" s="665"/>
      <c r="O128" s="665"/>
      <c r="P128" s="665"/>
      <c r="Q128" s="665"/>
      <c r="R128" s="665"/>
      <c r="S128" s="665"/>
      <c r="T128" s="673"/>
      <c r="U128" s="673"/>
      <c r="V128" s="673"/>
      <c r="W128" s="673"/>
      <c r="X128" s="673"/>
      <c r="Y128" s="673"/>
      <c r="Z128" s="673"/>
      <c r="AA128" s="673"/>
      <c r="AB128" s="673"/>
      <c r="AC128" s="673"/>
      <c r="AD128" s="673"/>
      <c r="AE128" s="673"/>
      <c r="AF128" s="673"/>
      <c r="AG128" s="673"/>
      <c r="AH128" s="673"/>
    </row>
    <row r="129">
      <c r="A129" s="653"/>
      <c r="B129" s="654"/>
      <c r="C129" s="691"/>
      <c r="D129" s="661"/>
      <c r="E129" s="705"/>
      <c r="F129" s="659"/>
      <c r="G129" s="661"/>
      <c r="H129" s="660"/>
      <c r="I129" s="691"/>
      <c r="J129" s="661"/>
      <c r="K129" s="706"/>
      <c r="L129" s="665"/>
      <c r="M129" s="663"/>
      <c r="N129" s="665"/>
      <c r="O129" s="665"/>
      <c r="P129" s="665"/>
      <c r="Q129" s="665"/>
      <c r="R129" s="665"/>
      <c r="S129" s="665"/>
      <c r="T129" s="673"/>
      <c r="U129" s="673"/>
      <c r="V129" s="673"/>
      <c r="W129" s="673"/>
      <c r="X129" s="673"/>
      <c r="Y129" s="673"/>
      <c r="Z129" s="673"/>
      <c r="AA129" s="673"/>
      <c r="AB129" s="673"/>
      <c r="AC129" s="673"/>
      <c r="AD129" s="673"/>
      <c r="AE129" s="673"/>
      <c r="AF129" s="673"/>
      <c r="AG129" s="673"/>
      <c r="AH129" s="673"/>
    </row>
    <row r="130">
      <c r="A130" s="653"/>
      <c r="B130" s="654"/>
      <c r="C130" s="691"/>
      <c r="D130" s="661"/>
      <c r="E130" s="705"/>
      <c r="F130" s="659"/>
      <c r="G130" s="661"/>
      <c r="H130" s="660"/>
      <c r="I130" s="691"/>
      <c r="J130" s="661"/>
      <c r="K130" s="706"/>
      <c r="L130" s="665"/>
      <c r="M130" s="663"/>
      <c r="N130" s="665"/>
      <c r="O130" s="665"/>
      <c r="P130" s="665"/>
      <c r="Q130" s="665"/>
      <c r="R130" s="665"/>
      <c r="S130" s="665"/>
      <c r="T130" s="673"/>
      <c r="U130" s="673"/>
      <c r="V130" s="673"/>
      <c r="W130" s="673"/>
      <c r="X130" s="673"/>
      <c r="Y130" s="673"/>
      <c r="Z130" s="673"/>
      <c r="AA130" s="673"/>
      <c r="AB130" s="673"/>
      <c r="AC130" s="673"/>
      <c r="AD130" s="673"/>
      <c r="AE130" s="673"/>
      <c r="AF130" s="673"/>
      <c r="AG130" s="673"/>
      <c r="AH130" s="673"/>
    </row>
    <row r="131">
      <c r="A131" s="653"/>
      <c r="B131" s="654"/>
      <c r="C131" s="691"/>
      <c r="D131" s="661"/>
      <c r="E131" s="705"/>
      <c r="F131" s="659"/>
      <c r="G131" s="661"/>
      <c r="H131" s="660"/>
      <c r="I131" s="691"/>
      <c r="J131" s="661"/>
      <c r="K131" s="706"/>
      <c r="L131" s="665"/>
      <c r="M131" s="663"/>
      <c r="N131" s="665"/>
      <c r="O131" s="665"/>
      <c r="P131" s="665"/>
      <c r="Q131" s="665"/>
      <c r="R131" s="665"/>
      <c r="S131" s="665"/>
      <c r="T131" s="673"/>
      <c r="U131" s="673"/>
      <c r="V131" s="673"/>
      <c r="W131" s="673"/>
      <c r="X131" s="673"/>
      <c r="Y131" s="673"/>
      <c r="Z131" s="673"/>
      <c r="AA131" s="673"/>
      <c r="AB131" s="673"/>
      <c r="AC131" s="673"/>
      <c r="AD131" s="673"/>
      <c r="AE131" s="673"/>
      <c r="AF131" s="673"/>
      <c r="AG131" s="673"/>
      <c r="AH131" s="673"/>
    </row>
    <row r="132">
      <c r="A132" s="653"/>
      <c r="B132" s="654"/>
      <c r="C132" s="691"/>
      <c r="D132" s="661"/>
      <c r="E132" s="705"/>
      <c r="F132" s="659"/>
      <c r="G132" s="661"/>
      <c r="H132" s="660"/>
      <c r="I132" s="691"/>
      <c r="J132" s="661"/>
      <c r="K132" s="706"/>
      <c r="L132" s="665"/>
      <c r="M132" s="663"/>
      <c r="N132" s="665"/>
      <c r="O132" s="665"/>
      <c r="P132" s="665"/>
      <c r="Q132" s="665"/>
      <c r="R132" s="665"/>
      <c r="S132" s="665"/>
      <c r="T132" s="673"/>
      <c r="U132" s="673"/>
      <c r="V132" s="673"/>
      <c r="W132" s="673"/>
      <c r="X132" s="673"/>
      <c r="Y132" s="673"/>
      <c r="Z132" s="673"/>
      <c r="AA132" s="673"/>
      <c r="AB132" s="673"/>
      <c r="AC132" s="673"/>
      <c r="AD132" s="673"/>
      <c r="AE132" s="673"/>
      <c r="AF132" s="673"/>
      <c r="AG132" s="673"/>
      <c r="AH132" s="673"/>
    </row>
    <row r="133">
      <c r="A133" s="653"/>
      <c r="B133" s="654"/>
      <c r="C133" s="691"/>
      <c r="D133" s="661"/>
      <c r="E133" s="705"/>
      <c r="F133" s="659"/>
      <c r="G133" s="661"/>
      <c r="H133" s="660"/>
      <c r="I133" s="691"/>
      <c r="J133" s="661"/>
      <c r="K133" s="706"/>
      <c r="L133" s="665"/>
      <c r="M133" s="663"/>
      <c r="N133" s="665"/>
      <c r="O133" s="665"/>
      <c r="P133" s="665"/>
      <c r="Q133" s="665"/>
      <c r="R133" s="665"/>
      <c r="S133" s="665"/>
      <c r="T133" s="673"/>
      <c r="U133" s="673"/>
      <c r="V133" s="673"/>
      <c r="W133" s="673"/>
      <c r="X133" s="673"/>
      <c r="Y133" s="673"/>
      <c r="Z133" s="673"/>
      <c r="AA133" s="673"/>
      <c r="AB133" s="673"/>
      <c r="AC133" s="673"/>
      <c r="AD133" s="673"/>
      <c r="AE133" s="673"/>
      <c r="AF133" s="673"/>
      <c r="AG133" s="673"/>
      <c r="AH133" s="673"/>
    </row>
    <row r="134">
      <c r="A134" s="653"/>
      <c r="B134" s="654"/>
      <c r="C134" s="691"/>
      <c r="D134" s="661"/>
      <c r="E134" s="705"/>
      <c r="F134" s="659"/>
      <c r="G134" s="661"/>
      <c r="H134" s="660"/>
      <c r="I134" s="691"/>
      <c r="J134" s="661"/>
      <c r="K134" s="706"/>
      <c r="L134" s="665"/>
      <c r="M134" s="663"/>
      <c r="N134" s="665"/>
      <c r="O134" s="665"/>
      <c r="P134" s="665"/>
      <c r="Q134" s="665"/>
      <c r="R134" s="665"/>
      <c r="S134" s="665"/>
      <c r="T134" s="673"/>
      <c r="U134" s="673"/>
      <c r="V134" s="673"/>
      <c r="W134" s="673"/>
      <c r="X134" s="673"/>
      <c r="Y134" s="673"/>
      <c r="Z134" s="673"/>
      <c r="AA134" s="673"/>
      <c r="AB134" s="673"/>
      <c r="AC134" s="673"/>
      <c r="AD134" s="673"/>
      <c r="AE134" s="673"/>
      <c r="AF134" s="673"/>
      <c r="AG134" s="673"/>
      <c r="AH134" s="673"/>
    </row>
    <row r="135">
      <c r="A135" s="653"/>
      <c r="B135" s="654"/>
      <c r="C135" s="691"/>
      <c r="D135" s="661"/>
      <c r="E135" s="705"/>
      <c r="F135" s="659"/>
      <c r="G135" s="661"/>
      <c r="H135" s="660"/>
      <c r="I135" s="691"/>
      <c r="J135" s="661"/>
      <c r="K135" s="706"/>
      <c r="L135" s="665"/>
      <c r="M135" s="663"/>
      <c r="N135" s="665"/>
      <c r="O135" s="665"/>
      <c r="P135" s="665"/>
      <c r="Q135" s="665"/>
      <c r="R135" s="665"/>
      <c r="S135" s="665"/>
      <c r="T135" s="673"/>
      <c r="U135" s="673"/>
      <c r="V135" s="673"/>
      <c r="W135" s="673"/>
      <c r="X135" s="673"/>
      <c r="Y135" s="673"/>
      <c r="Z135" s="673"/>
      <c r="AA135" s="673"/>
      <c r="AB135" s="673"/>
      <c r="AC135" s="673"/>
      <c r="AD135" s="673"/>
      <c r="AE135" s="673"/>
      <c r="AF135" s="673"/>
      <c r="AG135" s="673"/>
      <c r="AH135" s="673"/>
    </row>
    <row r="136">
      <c r="A136" s="653"/>
      <c r="B136" s="654"/>
      <c r="C136" s="691"/>
      <c r="D136" s="661"/>
      <c r="E136" s="705"/>
      <c r="F136" s="659"/>
      <c r="G136" s="661"/>
      <c r="H136" s="660"/>
      <c r="I136" s="691"/>
      <c r="J136" s="661"/>
      <c r="K136" s="706"/>
      <c r="L136" s="665"/>
      <c r="M136" s="663"/>
      <c r="N136" s="665"/>
      <c r="O136" s="665"/>
      <c r="P136" s="665"/>
      <c r="Q136" s="665"/>
      <c r="R136" s="665"/>
      <c r="S136" s="665"/>
      <c r="T136" s="673"/>
      <c r="U136" s="673"/>
      <c r="V136" s="673"/>
      <c r="W136" s="673"/>
      <c r="X136" s="673"/>
      <c r="Y136" s="673"/>
      <c r="Z136" s="673"/>
      <c r="AA136" s="673"/>
      <c r="AB136" s="673"/>
      <c r="AC136" s="673"/>
      <c r="AD136" s="673"/>
      <c r="AE136" s="673"/>
      <c r="AF136" s="673"/>
      <c r="AG136" s="673"/>
      <c r="AH136" s="673"/>
    </row>
    <row r="137">
      <c r="A137" s="653"/>
      <c r="B137" s="654"/>
      <c r="C137" s="691"/>
      <c r="D137" s="661"/>
      <c r="E137" s="705"/>
      <c r="F137" s="659"/>
      <c r="G137" s="661"/>
      <c r="H137" s="660"/>
      <c r="I137" s="691"/>
      <c r="J137" s="661"/>
      <c r="K137" s="706"/>
      <c r="L137" s="665"/>
      <c r="M137" s="663"/>
      <c r="N137" s="665"/>
      <c r="O137" s="665"/>
      <c r="P137" s="665"/>
      <c r="Q137" s="665"/>
      <c r="R137" s="665"/>
      <c r="S137" s="665"/>
      <c r="T137" s="673"/>
      <c r="U137" s="673"/>
      <c r="V137" s="673"/>
      <c r="W137" s="673"/>
      <c r="X137" s="673"/>
      <c r="Y137" s="673"/>
      <c r="Z137" s="673"/>
      <c r="AA137" s="673"/>
      <c r="AB137" s="673"/>
      <c r="AC137" s="673"/>
      <c r="AD137" s="673"/>
      <c r="AE137" s="673"/>
      <c r="AF137" s="673"/>
      <c r="AG137" s="673"/>
      <c r="AH137" s="673"/>
    </row>
    <row r="138">
      <c r="A138" s="653"/>
      <c r="B138" s="654"/>
      <c r="C138" s="691"/>
      <c r="D138" s="661"/>
      <c r="E138" s="705"/>
      <c r="F138" s="659"/>
      <c r="G138" s="661"/>
      <c r="H138" s="660"/>
      <c r="I138" s="691"/>
      <c r="J138" s="661"/>
      <c r="K138" s="706"/>
      <c r="L138" s="665"/>
      <c r="M138" s="663"/>
      <c r="N138" s="665"/>
      <c r="O138" s="665"/>
      <c r="P138" s="665"/>
      <c r="Q138" s="665"/>
      <c r="R138" s="665"/>
      <c r="S138" s="665"/>
      <c r="T138" s="673"/>
      <c r="U138" s="673"/>
      <c r="V138" s="673"/>
      <c r="W138" s="673"/>
      <c r="X138" s="673"/>
      <c r="Y138" s="673"/>
      <c r="Z138" s="673"/>
      <c r="AA138" s="673"/>
      <c r="AB138" s="673"/>
      <c r="AC138" s="673"/>
      <c r="AD138" s="673"/>
      <c r="AE138" s="673"/>
      <c r="AF138" s="673"/>
      <c r="AG138" s="673"/>
      <c r="AH138" s="673"/>
    </row>
    <row r="139">
      <c r="A139" s="653"/>
      <c r="B139" s="654"/>
      <c r="C139" s="691"/>
      <c r="D139" s="661"/>
      <c r="E139" s="705"/>
      <c r="F139" s="659"/>
      <c r="G139" s="661"/>
      <c r="H139" s="660"/>
      <c r="I139" s="691"/>
      <c r="J139" s="661"/>
      <c r="K139" s="706"/>
      <c r="L139" s="665"/>
      <c r="M139" s="663"/>
      <c r="N139" s="665"/>
      <c r="O139" s="665"/>
      <c r="P139" s="665"/>
      <c r="Q139" s="665"/>
      <c r="R139" s="665"/>
      <c r="S139" s="665"/>
      <c r="T139" s="673"/>
      <c r="U139" s="673"/>
      <c r="V139" s="673"/>
      <c r="W139" s="673"/>
      <c r="X139" s="673"/>
      <c r="Y139" s="673"/>
      <c r="Z139" s="673"/>
      <c r="AA139" s="673"/>
      <c r="AB139" s="673"/>
      <c r="AC139" s="673"/>
      <c r="AD139" s="673"/>
      <c r="AE139" s="673"/>
      <c r="AF139" s="673"/>
      <c r="AG139" s="673"/>
      <c r="AH139" s="673"/>
    </row>
    <row r="140">
      <c r="A140" s="653"/>
      <c r="B140" s="654"/>
      <c r="C140" s="691"/>
      <c r="D140" s="661"/>
      <c r="E140" s="705"/>
      <c r="F140" s="659"/>
      <c r="G140" s="661"/>
      <c r="H140" s="660"/>
      <c r="I140" s="691"/>
      <c r="J140" s="661"/>
      <c r="K140" s="706"/>
      <c r="L140" s="665"/>
      <c r="M140" s="663"/>
      <c r="N140" s="665"/>
      <c r="O140" s="665"/>
      <c r="P140" s="665"/>
      <c r="Q140" s="665"/>
      <c r="R140" s="665"/>
      <c r="S140" s="665"/>
      <c r="T140" s="673"/>
      <c r="U140" s="673"/>
      <c r="V140" s="673"/>
      <c r="W140" s="673"/>
      <c r="X140" s="673"/>
      <c r="Y140" s="673"/>
      <c r="Z140" s="673"/>
      <c r="AA140" s="673"/>
      <c r="AB140" s="673"/>
      <c r="AC140" s="673"/>
      <c r="AD140" s="673"/>
      <c r="AE140" s="673"/>
      <c r="AF140" s="673"/>
      <c r="AG140" s="673"/>
      <c r="AH140" s="673"/>
    </row>
    <row r="141">
      <c r="A141" s="653"/>
      <c r="B141" s="654"/>
      <c r="C141" s="691"/>
      <c r="D141" s="661"/>
      <c r="E141" s="705"/>
      <c r="F141" s="659"/>
      <c r="G141" s="661"/>
      <c r="H141" s="660"/>
      <c r="I141" s="691"/>
      <c r="J141" s="661"/>
      <c r="K141" s="706"/>
      <c r="L141" s="665"/>
      <c r="M141" s="663"/>
      <c r="N141" s="665"/>
      <c r="O141" s="665"/>
      <c r="P141" s="665"/>
      <c r="Q141" s="665"/>
      <c r="R141" s="665"/>
      <c r="S141" s="665"/>
      <c r="T141" s="673"/>
      <c r="U141" s="673"/>
      <c r="V141" s="673"/>
      <c r="W141" s="673"/>
      <c r="X141" s="673"/>
      <c r="Y141" s="673"/>
      <c r="Z141" s="673"/>
      <c r="AA141" s="673"/>
      <c r="AB141" s="673"/>
      <c r="AC141" s="673"/>
      <c r="AD141" s="673"/>
      <c r="AE141" s="673"/>
      <c r="AF141" s="673"/>
      <c r="AG141" s="673"/>
      <c r="AH141" s="673"/>
    </row>
    <row r="142">
      <c r="A142" s="653"/>
      <c r="B142" s="654"/>
      <c r="C142" s="691"/>
      <c r="D142" s="661"/>
      <c r="E142" s="705"/>
      <c r="F142" s="659"/>
      <c r="G142" s="661"/>
      <c r="H142" s="660"/>
      <c r="I142" s="691"/>
      <c r="J142" s="661"/>
      <c r="K142" s="706"/>
      <c r="L142" s="665"/>
      <c r="M142" s="663"/>
      <c r="N142" s="665"/>
      <c r="O142" s="665"/>
      <c r="P142" s="665"/>
      <c r="Q142" s="665"/>
      <c r="R142" s="665"/>
      <c r="S142" s="665"/>
      <c r="T142" s="673"/>
      <c r="U142" s="673"/>
      <c r="V142" s="673"/>
      <c r="W142" s="673"/>
      <c r="X142" s="673"/>
      <c r="Y142" s="673"/>
      <c r="Z142" s="673"/>
      <c r="AA142" s="673"/>
      <c r="AB142" s="673"/>
      <c r="AC142" s="673"/>
      <c r="AD142" s="673"/>
      <c r="AE142" s="673"/>
      <c r="AF142" s="673"/>
      <c r="AG142" s="673"/>
      <c r="AH142" s="673"/>
    </row>
    <row r="143">
      <c r="A143" s="653"/>
      <c r="B143" s="654"/>
      <c r="C143" s="691"/>
      <c r="D143" s="661"/>
      <c r="E143" s="705"/>
      <c r="F143" s="659"/>
      <c r="G143" s="661"/>
      <c r="H143" s="660"/>
      <c r="I143" s="691"/>
      <c r="J143" s="661"/>
      <c r="K143" s="706"/>
      <c r="L143" s="665"/>
      <c r="M143" s="663"/>
      <c r="N143" s="665"/>
      <c r="O143" s="665"/>
      <c r="P143" s="665"/>
      <c r="Q143" s="665"/>
      <c r="R143" s="665"/>
      <c r="S143" s="665"/>
      <c r="T143" s="673"/>
      <c r="U143" s="673"/>
      <c r="V143" s="673"/>
      <c r="W143" s="673"/>
      <c r="X143" s="673"/>
      <c r="Y143" s="673"/>
      <c r="Z143" s="673"/>
      <c r="AA143" s="673"/>
      <c r="AB143" s="673"/>
      <c r="AC143" s="673"/>
      <c r="AD143" s="673"/>
      <c r="AE143" s="673"/>
      <c r="AF143" s="673"/>
      <c r="AG143" s="673"/>
      <c r="AH143" s="673"/>
    </row>
    <row r="144">
      <c r="A144" s="653"/>
      <c r="B144" s="654"/>
      <c r="C144" s="691"/>
      <c r="D144" s="661"/>
      <c r="E144" s="705"/>
      <c r="F144" s="659"/>
      <c r="G144" s="661"/>
      <c r="H144" s="660"/>
      <c r="I144" s="691"/>
      <c r="J144" s="661"/>
      <c r="K144" s="706"/>
      <c r="L144" s="665"/>
      <c r="M144" s="663"/>
      <c r="N144" s="665"/>
      <c r="O144" s="665"/>
      <c r="P144" s="665"/>
      <c r="Q144" s="665"/>
      <c r="R144" s="665"/>
      <c r="S144" s="665"/>
      <c r="T144" s="673"/>
      <c r="U144" s="673"/>
      <c r="V144" s="673"/>
      <c r="W144" s="673"/>
      <c r="X144" s="673"/>
      <c r="Y144" s="673"/>
      <c r="Z144" s="673"/>
      <c r="AA144" s="673"/>
      <c r="AB144" s="673"/>
      <c r="AC144" s="673"/>
      <c r="AD144" s="673"/>
      <c r="AE144" s="673"/>
      <c r="AF144" s="673"/>
      <c r="AG144" s="673"/>
      <c r="AH144" s="673"/>
    </row>
    <row r="145">
      <c r="A145" s="653"/>
      <c r="B145" s="654"/>
      <c r="C145" s="691"/>
      <c r="D145" s="661"/>
      <c r="E145" s="705"/>
      <c r="F145" s="659"/>
      <c r="G145" s="661"/>
      <c r="H145" s="660"/>
      <c r="I145" s="691"/>
      <c r="J145" s="661"/>
      <c r="K145" s="706"/>
      <c r="L145" s="665"/>
      <c r="M145" s="663"/>
      <c r="N145" s="665"/>
      <c r="O145" s="665"/>
      <c r="P145" s="665"/>
      <c r="Q145" s="665"/>
      <c r="R145" s="665"/>
      <c r="S145" s="665"/>
      <c r="T145" s="673"/>
      <c r="U145" s="673"/>
      <c r="V145" s="673"/>
      <c r="W145" s="673"/>
      <c r="X145" s="673"/>
      <c r="Y145" s="673"/>
      <c r="Z145" s="673"/>
      <c r="AA145" s="673"/>
      <c r="AB145" s="673"/>
      <c r="AC145" s="673"/>
      <c r="AD145" s="673"/>
      <c r="AE145" s="673"/>
      <c r="AF145" s="673"/>
      <c r="AG145" s="673"/>
      <c r="AH145" s="673"/>
    </row>
    <row r="146">
      <c r="A146" s="653"/>
      <c r="B146" s="654"/>
      <c r="C146" s="691"/>
      <c r="D146" s="661"/>
      <c r="E146" s="705"/>
      <c r="F146" s="659"/>
      <c r="G146" s="661"/>
      <c r="H146" s="660"/>
      <c r="I146" s="691"/>
      <c r="J146" s="661"/>
      <c r="K146" s="706"/>
      <c r="L146" s="665"/>
      <c r="M146" s="663"/>
      <c r="N146" s="665"/>
      <c r="O146" s="665"/>
      <c r="P146" s="665"/>
      <c r="Q146" s="665"/>
      <c r="R146" s="665"/>
      <c r="S146" s="665"/>
      <c r="T146" s="673"/>
      <c r="U146" s="673"/>
      <c r="V146" s="673"/>
      <c r="W146" s="673"/>
      <c r="X146" s="673"/>
      <c r="Y146" s="673"/>
      <c r="Z146" s="673"/>
      <c r="AA146" s="673"/>
      <c r="AB146" s="673"/>
      <c r="AC146" s="673"/>
      <c r="AD146" s="673"/>
      <c r="AE146" s="673"/>
      <c r="AF146" s="673"/>
      <c r="AG146" s="673"/>
      <c r="AH146" s="673"/>
    </row>
    <row r="147">
      <c r="A147" s="653"/>
      <c r="B147" s="654"/>
      <c r="C147" s="691"/>
      <c r="D147" s="661"/>
      <c r="E147" s="705"/>
      <c r="F147" s="659"/>
      <c r="G147" s="661"/>
      <c r="H147" s="660"/>
      <c r="I147" s="691"/>
      <c r="J147" s="661"/>
      <c r="K147" s="706"/>
      <c r="L147" s="665"/>
      <c r="M147" s="663"/>
      <c r="N147" s="665"/>
      <c r="O147" s="665"/>
      <c r="P147" s="665"/>
      <c r="Q147" s="665"/>
      <c r="R147" s="665"/>
      <c r="S147" s="665"/>
      <c r="T147" s="673"/>
      <c r="U147" s="673"/>
      <c r="V147" s="673"/>
      <c r="W147" s="673"/>
      <c r="X147" s="673"/>
      <c r="Y147" s="673"/>
      <c r="Z147" s="673"/>
      <c r="AA147" s="673"/>
      <c r="AB147" s="673"/>
      <c r="AC147" s="673"/>
      <c r="AD147" s="673"/>
      <c r="AE147" s="673"/>
      <c r="AF147" s="673"/>
      <c r="AG147" s="673"/>
      <c r="AH147" s="673"/>
    </row>
    <row r="148">
      <c r="A148" s="653"/>
      <c r="B148" s="654"/>
      <c r="C148" s="691"/>
      <c r="D148" s="661"/>
      <c r="E148" s="705"/>
      <c r="F148" s="659"/>
      <c r="G148" s="661"/>
      <c r="H148" s="660"/>
      <c r="I148" s="691"/>
      <c r="J148" s="661"/>
      <c r="K148" s="706"/>
      <c r="L148" s="665"/>
      <c r="M148" s="663"/>
      <c r="N148" s="665"/>
      <c r="O148" s="665"/>
      <c r="P148" s="665"/>
      <c r="Q148" s="665"/>
      <c r="R148" s="665"/>
      <c r="S148" s="665"/>
      <c r="T148" s="673"/>
      <c r="U148" s="673"/>
      <c r="V148" s="673"/>
      <c r="W148" s="673"/>
      <c r="X148" s="673"/>
      <c r="Y148" s="673"/>
      <c r="Z148" s="673"/>
      <c r="AA148" s="673"/>
      <c r="AB148" s="673"/>
      <c r="AC148" s="673"/>
      <c r="AD148" s="673"/>
      <c r="AE148" s="673"/>
      <c r="AF148" s="673"/>
      <c r="AG148" s="673"/>
      <c r="AH148" s="673"/>
    </row>
    <row r="149">
      <c r="A149" s="653"/>
      <c r="B149" s="654"/>
      <c r="C149" s="691"/>
      <c r="D149" s="661"/>
      <c r="E149" s="705"/>
      <c r="F149" s="659"/>
      <c r="G149" s="661"/>
      <c r="H149" s="660"/>
      <c r="I149" s="691"/>
      <c r="J149" s="661"/>
      <c r="K149" s="706"/>
      <c r="L149" s="665"/>
      <c r="M149" s="663"/>
      <c r="N149" s="665"/>
      <c r="O149" s="665"/>
      <c r="P149" s="665"/>
      <c r="Q149" s="665"/>
      <c r="R149" s="665"/>
      <c r="S149" s="665"/>
      <c r="T149" s="673"/>
      <c r="U149" s="673"/>
      <c r="V149" s="673"/>
      <c r="W149" s="673"/>
      <c r="X149" s="673"/>
      <c r="Y149" s="673"/>
      <c r="Z149" s="673"/>
      <c r="AA149" s="673"/>
      <c r="AB149" s="673"/>
      <c r="AC149" s="673"/>
      <c r="AD149" s="673"/>
      <c r="AE149" s="673"/>
      <c r="AF149" s="673"/>
      <c r="AG149" s="673"/>
      <c r="AH149" s="673"/>
    </row>
    <row r="150">
      <c r="A150" s="653"/>
      <c r="B150" s="654"/>
      <c r="C150" s="691"/>
      <c r="D150" s="661"/>
      <c r="E150" s="705"/>
      <c r="F150" s="659"/>
      <c r="G150" s="661"/>
      <c r="H150" s="660"/>
      <c r="I150" s="691"/>
      <c r="J150" s="661"/>
      <c r="K150" s="706"/>
      <c r="L150" s="665"/>
      <c r="M150" s="663"/>
      <c r="N150" s="665"/>
      <c r="O150" s="665"/>
      <c r="P150" s="665"/>
      <c r="Q150" s="665"/>
      <c r="R150" s="665"/>
      <c r="S150" s="665"/>
      <c r="T150" s="673"/>
      <c r="U150" s="673"/>
      <c r="V150" s="673"/>
      <c r="W150" s="673"/>
      <c r="X150" s="673"/>
      <c r="Y150" s="673"/>
      <c r="Z150" s="673"/>
      <c r="AA150" s="673"/>
      <c r="AB150" s="673"/>
      <c r="AC150" s="673"/>
      <c r="AD150" s="673"/>
      <c r="AE150" s="673"/>
      <c r="AF150" s="673"/>
      <c r="AG150" s="673"/>
      <c r="AH150" s="673"/>
    </row>
    <row r="151">
      <c r="A151" s="653"/>
      <c r="B151" s="654"/>
      <c r="C151" s="691"/>
      <c r="D151" s="661"/>
      <c r="E151" s="705"/>
      <c r="F151" s="659"/>
      <c r="G151" s="661"/>
      <c r="H151" s="660"/>
      <c r="I151" s="691"/>
      <c r="J151" s="661"/>
      <c r="K151" s="706"/>
      <c r="L151" s="665"/>
      <c r="M151" s="663"/>
      <c r="N151" s="665"/>
      <c r="O151" s="665"/>
      <c r="P151" s="665"/>
      <c r="Q151" s="665"/>
      <c r="R151" s="665"/>
      <c r="S151" s="665"/>
      <c r="T151" s="673"/>
      <c r="U151" s="673"/>
      <c r="V151" s="673"/>
      <c r="W151" s="673"/>
      <c r="X151" s="673"/>
      <c r="Y151" s="673"/>
      <c r="Z151" s="673"/>
      <c r="AA151" s="673"/>
      <c r="AB151" s="673"/>
      <c r="AC151" s="673"/>
      <c r="AD151" s="673"/>
      <c r="AE151" s="673"/>
      <c r="AF151" s="673"/>
      <c r="AG151" s="673"/>
      <c r="AH151" s="673"/>
    </row>
    <row r="152">
      <c r="A152" s="653"/>
      <c r="B152" s="654"/>
      <c r="C152" s="691"/>
      <c r="D152" s="661"/>
      <c r="E152" s="705"/>
      <c r="F152" s="659"/>
      <c r="G152" s="661"/>
      <c r="H152" s="660"/>
      <c r="I152" s="691"/>
      <c r="J152" s="661"/>
      <c r="K152" s="706"/>
      <c r="L152" s="665"/>
      <c r="M152" s="663"/>
      <c r="N152" s="665"/>
      <c r="O152" s="665"/>
      <c r="P152" s="665"/>
      <c r="Q152" s="665"/>
      <c r="R152" s="665"/>
      <c r="S152" s="665"/>
      <c r="T152" s="673"/>
      <c r="U152" s="673"/>
      <c r="V152" s="673"/>
      <c r="W152" s="673"/>
      <c r="X152" s="673"/>
      <c r="Y152" s="673"/>
      <c r="Z152" s="673"/>
      <c r="AA152" s="673"/>
      <c r="AB152" s="673"/>
      <c r="AC152" s="673"/>
      <c r="AD152" s="673"/>
      <c r="AE152" s="673"/>
      <c r="AF152" s="673"/>
      <c r="AG152" s="673"/>
      <c r="AH152" s="673"/>
    </row>
    <row r="153">
      <c r="A153" s="653"/>
      <c r="B153" s="654"/>
      <c r="C153" s="691"/>
      <c r="D153" s="661"/>
      <c r="E153" s="705"/>
      <c r="F153" s="659"/>
      <c r="G153" s="661"/>
      <c r="H153" s="660"/>
      <c r="I153" s="691"/>
      <c r="J153" s="661"/>
      <c r="K153" s="706"/>
      <c r="L153" s="665"/>
      <c r="M153" s="663"/>
      <c r="N153" s="665"/>
      <c r="O153" s="665"/>
      <c r="P153" s="665"/>
      <c r="Q153" s="665"/>
      <c r="R153" s="665"/>
      <c r="S153" s="665"/>
      <c r="T153" s="673"/>
      <c r="U153" s="673"/>
      <c r="V153" s="673"/>
      <c r="W153" s="673"/>
      <c r="X153" s="673"/>
      <c r="Y153" s="673"/>
      <c r="Z153" s="673"/>
      <c r="AA153" s="673"/>
      <c r="AB153" s="673"/>
      <c r="AC153" s="673"/>
      <c r="AD153" s="673"/>
      <c r="AE153" s="673"/>
      <c r="AF153" s="673"/>
      <c r="AG153" s="673"/>
      <c r="AH153" s="673"/>
    </row>
    <row r="154">
      <c r="A154" s="653"/>
      <c r="B154" s="654"/>
      <c r="C154" s="691"/>
      <c r="D154" s="661"/>
      <c r="E154" s="705"/>
      <c r="F154" s="659"/>
      <c r="G154" s="661"/>
      <c r="H154" s="660"/>
      <c r="I154" s="691"/>
      <c r="J154" s="661"/>
      <c r="K154" s="706"/>
      <c r="L154" s="665"/>
      <c r="M154" s="663"/>
      <c r="N154" s="665"/>
      <c r="O154" s="665"/>
      <c r="P154" s="665"/>
      <c r="Q154" s="665"/>
      <c r="R154" s="665"/>
      <c r="S154" s="665"/>
      <c r="T154" s="673"/>
      <c r="U154" s="673"/>
      <c r="V154" s="673"/>
      <c r="W154" s="673"/>
      <c r="X154" s="673"/>
      <c r="Y154" s="673"/>
      <c r="Z154" s="673"/>
      <c r="AA154" s="673"/>
      <c r="AB154" s="673"/>
      <c r="AC154" s="673"/>
      <c r="AD154" s="673"/>
      <c r="AE154" s="673"/>
      <c r="AF154" s="673"/>
      <c r="AG154" s="673"/>
      <c r="AH154" s="673"/>
    </row>
    <row r="155">
      <c r="A155" s="653"/>
      <c r="B155" s="654"/>
      <c r="C155" s="691"/>
      <c r="D155" s="661"/>
      <c r="E155" s="705"/>
      <c r="F155" s="659"/>
      <c r="G155" s="661"/>
      <c r="H155" s="660"/>
      <c r="I155" s="691"/>
      <c r="J155" s="661"/>
      <c r="K155" s="706"/>
      <c r="L155" s="665"/>
      <c r="M155" s="663"/>
      <c r="N155" s="665"/>
      <c r="O155" s="665"/>
      <c r="P155" s="665"/>
      <c r="Q155" s="665"/>
      <c r="R155" s="665"/>
      <c r="S155" s="665"/>
      <c r="T155" s="673"/>
      <c r="U155" s="673"/>
      <c r="V155" s="673"/>
      <c r="W155" s="673"/>
      <c r="X155" s="673"/>
      <c r="Y155" s="673"/>
      <c r="Z155" s="673"/>
      <c r="AA155" s="673"/>
      <c r="AB155" s="673"/>
      <c r="AC155" s="673"/>
      <c r="AD155" s="673"/>
      <c r="AE155" s="673"/>
      <c r="AF155" s="673"/>
      <c r="AG155" s="673"/>
      <c r="AH155" s="673"/>
    </row>
    <row r="156">
      <c r="A156" s="653"/>
      <c r="B156" s="654"/>
      <c r="C156" s="691"/>
      <c r="D156" s="661"/>
      <c r="E156" s="705"/>
      <c r="F156" s="659"/>
      <c r="G156" s="661"/>
      <c r="H156" s="660"/>
      <c r="I156" s="691"/>
      <c r="J156" s="661"/>
      <c r="K156" s="706"/>
      <c r="L156" s="665"/>
      <c r="M156" s="663"/>
      <c r="N156" s="665"/>
      <c r="O156" s="665"/>
      <c r="P156" s="665"/>
      <c r="Q156" s="665"/>
      <c r="R156" s="665"/>
      <c r="S156" s="665"/>
      <c r="T156" s="673"/>
      <c r="U156" s="673"/>
      <c r="V156" s="673"/>
      <c r="W156" s="673"/>
      <c r="X156" s="673"/>
      <c r="Y156" s="673"/>
      <c r="Z156" s="673"/>
      <c r="AA156" s="673"/>
      <c r="AB156" s="673"/>
      <c r="AC156" s="673"/>
      <c r="AD156" s="673"/>
      <c r="AE156" s="673"/>
      <c r="AF156" s="673"/>
      <c r="AG156" s="673"/>
      <c r="AH156" s="673"/>
    </row>
    <row r="157">
      <c r="A157" s="653"/>
      <c r="B157" s="654"/>
      <c r="C157" s="691"/>
      <c r="D157" s="661"/>
      <c r="E157" s="705"/>
      <c r="F157" s="659"/>
      <c r="G157" s="661"/>
      <c r="H157" s="660"/>
      <c r="I157" s="691"/>
      <c r="J157" s="661"/>
      <c r="K157" s="706"/>
      <c r="L157" s="665"/>
      <c r="M157" s="663"/>
      <c r="N157" s="665"/>
      <c r="O157" s="665"/>
      <c r="P157" s="665"/>
      <c r="Q157" s="665"/>
      <c r="R157" s="665"/>
      <c r="S157" s="665"/>
      <c r="T157" s="673"/>
      <c r="U157" s="673"/>
      <c r="V157" s="673"/>
      <c r="W157" s="673"/>
      <c r="X157" s="673"/>
      <c r="Y157" s="673"/>
      <c r="Z157" s="673"/>
      <c r="AA157" s="673"/>
      <c r="AB157" s="673"/>
      <c r="AC157" s="673"/>
      <c r="AD157" s="673"/>
      <c r="AE157" s="673"/>
      <c r="AF157" s="673"/>
      <c r="AG157" s="673"/>
      <c r="AH157" s="673"/>
    </row>
    <row r="158">
      <c r="A158" s="653"/>
      <c r="B158" s="654"/>
      <c r="C158" s="691"/>
      <c r="D158" s="661"/>
      <c r="E158" s="705"/>
      <c r="F158" s="659"/>
      <c r="G158" s="661"/>
      <c r="H158" s="660"/>
      <c r="I158" s="691"/>
      <c r="J158" s="661"/>
      <c r="K158" s="706"/>
      <c r="L158" s="665"/>
      <c r="M158" s="663"/>
      <c r="N158" s="665"/>
      <c r="O158" s="665"/>
      <c r="P158" s="665"/>
      <c r="Q158" s="665"/>
      <c r="R158" s="665"/>
      <c r="S158" s="665"/>
      <c r="T158" s="673"/>
      <c r="U158" s="673"/>
      <c r="V158" s="673"/>
      <c r="W158" s="673"/>
      <c r="X158" s="673"/>
      <c r="Y158" s="673"/>
      <c r="Z158" s="673"/>
      <c r="AA158" s="673"/>
      <c r="AB158" s="673"/>
      <c r="AC158" s="673"/>
      <c r="AD158" s="673"/>
      <c r="AE158" s="673"/>
      <c r="AF158" s="673"/>
      <c r="AG158" s="673"/>
      <c r="AH158" s="673"/>
    </row>
    <row r="159">
      <c r="A159" s="653"/>
      <c r="B159" s="654"/>
      <c r="C159" s="691"/>
      <c r="D159" s="661"/>
      <c r="E159" s="705"/>
      <c r="F159" s="659"/>
      <c r="G159" s="661"/>
      <c r="H159" s="660"/>
      <c r="I159" s="691"/>
      <c r="J159" s="661"/>
      <c r="K159" s="706"/>
      <c r="L159" s="665"/>
      <c r="M159" s="663"/>
      <c r="N159" s="665"/>
      <c r="O159" s="665"/>
      <c r="P159" s="665"/>
      <c r="Q159" s="665"/>
      <c r="R159" s="665"/>
      <c r="S159" s="665"/>
      <c r="T159" s="673"/>
      <c r="U159" s="673"/>
      <c r="V159" s="673"/>
      <c r="W159" s="673"/>
      <c r="X159" s="673"/>
      <c r="Y159" s="673"/>
      <c r="Z159" s="673"/>
      <c r="AA159" s="673"/>
      <c r="AB159" s="673"/>
      <c r="AC159" s="673"/>
      <c r="AD159" s="673"/>
      <c r="AE159" s="673"/>
      <c r="AF159" s="673"/>
      <c r="AG159" s="673"/>
      <c r="AH159" s="673"/>
    </row>
    <row r="160">
      <c r="A160" s="653"/>
      <c r="B160" s="654"/>
      <c r="C160" s="691"/>
      <c r="D160" s="661"/>
      <c r="E160" s="705"/>
      <c r="F160" s="659"/>
      <c r="G160" s="661"/>
      <c r="H160" s="660"/>
      <c r="I160" s="691"/>
      <c r="J160" s="661"/>
      <c r="K160" s="706"/>
      <c r="L160" s="665"/>
      <c r="M160" s="663"/>
      <c r="N160" s="665"/>
      <c r="O160" s="665"/>
      <c r="P160" s="665"/>
      <c r="Q160" s="665"/>
      <c r="R160" s="665"/>
      <c r="S160" s="665"/>
      <c r="T160" s="673"/>
      <c r="U160" s="673"/>
      <c r="V160" s="673"/>
      <c r="W160" s="673"/>
      <c r="X160" s="673"/>
      <c r="Y160" s="673"/>
      <c r="Z160" s="673"/>
      <c r="AA160" s="673"/>
      <c r="AB160" s="673"/>
      <c r="AC160" s="673"/>
      <c r="AD160" s="673"/>
      <c r="AE160" s="673"/>
      <c r="AF160" s="673"/>
      <c r="AG160" s="673"/>
      <c r="AH160" s="673"/>
    </row>
    <row r="161">
      <c r="A161" s="653"/>
      <c r="B161" s="654"/>
      <c r="C161" s="691"/>
      <c r="D161" s="661"/>
      <c r="E161" s="705"/>
      <c r="F161" s="659"/>
      <c r="G161" s="661"/>
      <c r="H161" s="660"/>
      <c r="I161" s="691"/>
      <c r="J161" s="661"/>
      <c r="K161" s="706"/>
      <c r="L161" s="665"/>
      <c r="M161" s="663"/>
      <c r="N161" s="665"/>
      <c r="O161" s="665"/>
      <c r="P161" s="665"/>
      <c r="Q161" s="665"/>
      <c r="R161" s="665"/>
      <c r="S161" s="665"/>
      <c r="T161" s="673"/>
      <c r="U161" s="673"/>
      <c r="V161" s="673"/>
      <c r="W161" s="673"/>
      <c r="X161" s="673"/>
      <c r="Y161" s="673"/>
      <c r="Z161" s="673"/>
      <c r="AA161" s="673"/>
      <c r="AB161" s="673"/>
      <c r="AC161" s="673"/>
      <c r="AD161" s="673"/>
      <c r="AE161" s="673"/>
      <c r="AF161" s="673"/>
      <c r="AG161" s="673"/>
      <c r="AH161" s="673"/>
    </row>
    <row r="162">
      <c r="A162" s="653"/>
      <c r="B162" s="654"/>
      <c r="C162" s="691"/>
      <c r="D162" s="661"/>
      <c r="E162" s="705"/>
      <c r="F162" s="659"/>
      <c r="G162" s="661"/>
      <c r="H162" s="660"/>
      <c r="I162" s="691"/>
      <c r="J162" s="661"/>
      <c r="K162" s="706"/>
      <c r="L162" s="665"/>
      <c r="M162" s="663"/>
      <c r="N162" s="665"/>
      <c r="O162" s="665"/>
      <c r="P162" s="665"/>
      <c r="Q162" s="665"/>
      <c r="R162" s="665"/>
      <c r="S162" s="665"/>
      <c r="T162" s="673"/>
      <c r="U162" s="673"/>
      <c r="V162" s="673"/>
      <c r="W162" s="673"/>
      <c r="X162" s="673"/>
      <c r="Y162" s="673"/>
      <c r="Z162" s="673"/>
      <c r="AA162" s="673"/>
      <c r="AB162" s="673"/>
      <c r="AC162" s="673"/>
      <c r="AD162" s="673"/>
      <c r="AE162" s="673"/>
      <c r="AF162" s="673"/>
      <c r="AG162" s="673"/>
      <c r="AH162" s="673"/>
    </row>
    <row r="163">
      <c r="A163" s="653"/>
      <c r="B163" s="654"/>
      <c r="C163" s="691"/>
      <c r="D163" s="661"/>
      <c r="E163" s="705"/>
      <c r="F163" s="659"/>
      <c r="G163" s="661"/>
      <c r="H163" s="660"/>
      <c r="I163" s="691"/>
      <c r="J163" s="661"/>
      <c r="K163" s="706"/>
      <c r="L163" s="665"/>
      <c r="M163" s="663"/>
      <c r="N163" s="665"/>
      <c r="O163" s="665"/>
      <c r="P163" s="665"/>
      <c r="Q163" s="665"/>
      <c r="R163" s="665"/>
      <c r="S163" s="665"/>
      <c r="T163" s="673"/>
      <c r="U163" s="673"/>
      <c r="V163" s="673"/>
      <c r="W163" s="673"/>
      <c r="X163" s="673"/>
      <c r="Y163" s="673"/>
      <c r="Z163" s="673"/>
      <c r="AA163" s="673"/>
      <c r="AB163" s="673"/>
      <c r="AC163" s="673"/>
      <c r="AD163" s="673"/>
      <c r="AE163" s="673"/>
      <c r="AF163" s="673"/>
      <c r="AG163" s="673"/>
      <c r="AH163" s="673"/>
    </row>
    <row r="164">
      <c r="A164" s="653"/>
      <c r="B164" s="654"/>
      <c r="C164" s="691"/>
      <c r="D164" s="661"/>
      <c r="E164" s="705"/>
      <c r="F164" s="659"/>
      <c r="G164" s="661"/>
      <c r="H164" s="660"/>
      <c r="I164" s="691"/>
      <c r="J164" s="661"/>
      <c r="K164" s="706"/>
      <c r="L164" s="665"/>
      <c r="M164" s="663"/>
      <c r="N164" s="665"/>
      <c r="O164" s="665"/>
      <c r="P164" s="665"/>
      <c r="Q164" s="665"/>
      <c r="R164" s="665"/>
      <c r="S164" s="665"/>
      <c r="T164" s="673"/>
      <c r="U164" s="673"/>
      <c r="V164" s="673"/>
      <c r="W164" s="673"/>
      <c r="X164" s="673"/>
      <c r="Y164" s="673"/>
      <c r="Z164" s="673"/>
      <c r="AA164" s="673"/>
      <c r="AB164" s="673"/>
      <c r="AC164" s="673"/>
      <c r="AD164" s="673"/>
      <c r="AE164" s="673"/>
      <c r="AF164" s="673"/>
      <c r="AG164" s="673"/>
      <c r="AH164" s="673"/>
    </row>
    <row r="165">
      <c r="A165" s="653"/>
      <c r="B165" s="654"/>
      <c r="C165" s="691"/>
      <c r="D165" s="661"/>
      <c r="E165" s="705"/>
      <c r="F165" s="659"/>
      <c r="G165" s="661"/>
      <c r="H165" s="660"/>
      <c r="I165" s="691"/>
      <c r="J165" s="661"/>
      <c r="K165" s="706"/>
      <c r="L165" s="665"/>
      <c r="M165" s="663"/>
      <c r="N165" s="665"/>
      <c r="O165" s="665"/>
      <c r="P165" s="665"/>
      <c r="Q165" s="665"/>
      <c r="R165" s="665"/>
      <c r="S165" s="665"/>
      <c r="T165" s="673"/>
      <c r="U165" s="673"/>
      <c r="V165" s="673"/>
      <c r="W165" s="673"/>
      <c r="X165" s="673"/>
      <c r="Y165" s="673"/>
      <c r="Z165" s="673"/>
      <c r="AA165" s="673"/>
      <c r="AB165" s="673"/>
      <c r="AC165" s="673"/>
      <c r="AD165" s="673"/>
      <c r="AE165" s="673"/>
      <c r="AF165" s="673"/>
      <c r="AG165" s="673"/>
      <c r="AH165" s="673"/>
    </row>
    <row r="166">
      <c r="A166" s="653"/>
      <c r="B166" s="654"/>
      <c r="C166" s="691"/>
      <c r="D166" s="661"/>
      <c r="E166" s="705"/>
      <c r="F166" s="659"/>
      <c r="G166" s="661"/>
      <c r="H166" s="660"/>
      <c r="I166" s="691"/>
      <c r="J166" s="661"/>
      <c r="K166" s="706"/>
      <c r="L166" s="665"/>
      <c r="M166" s="663"/>
      <c r="N166" s="665"/>
      <c r="O166" s="665"/>
      <c r="P166" s="665"/>
      <c r="Q166" s="665"/>
      <c r="R166" s="665"/>
      <c r="S166" s="665"/>
      <c r="T166" s="673"/>
      <c r="U166" s="673"/>
      <c r="V166" s="673"/>
      <c r="W166" s="673"/>
      <c r="X166" s="673"/>
      <c r="Y166" s="673"/>
      <c r="Z166" s="673"/>
      <c r="AA166" s="673"/>
      <c r="AB166" s="673"/>
      <c r="AC166" s="673"/>
      <c r="AD166" s="673"/>
      <c r="AE166" s="673"/>
      <c r="AF166" s="673"/>
      <c r="AG166" s="673"/>
      <c r="AH166" s="673"/>
    </row>
    <row r="167">
      <c r="A167" s="653"/>
      <c r="B167" s="654"/>
      <c r="C167" s="691"/>
      <c r="D167" s="661"/>
      <c r="E167" s="705"/>
      <c r="F167" s="659"/>
      <c r="G167" s="661"/>
      <c r="H167" s="660"/>
      <c r="I167" s="691"/>
      <c r="J167" s="661"/>
      <c r="K167" s="706"/>
      <c r="L167" s="665"/>
      <c r="M167" s="663"/>
      <c r="N167" s="665"/>
      <c r="O167" s="665"/>
      <c r="P167" s="665"/>
      <c r="Q167" s="665"/>
      <c r="R167" s="665"/>
      <c r="S167" s="665"/>
      <c r="T167" s="673"/>
      <c r="U167" s="673"/>
      <c r="V167" s="673"/>
      <c r="W167" s="673"/>
      <c r="X167" s="673"/>
      <c r="Y167" s="673"/>
      <c r="Z167" s="673"/>
      <c r="AA167" s="673"/>
      <c r="AB167" s="673"/>
      <c r="AC167" s="673"/>
      <c r="AD167" s="673"/>
      <c r="AE167" s="673"/>
      <c r="AF167" s="673"/>
      <c r="AG167" s="673"/>
      <c r="AH167" s="673"/>
    </row>
    <row r="168">
      <c r="A168" s="653"/>
      <c r="B168" s="654"/>
      <c r="C168" s="691"/>
      <c r="D168" s="661"/>
      <c r="E168" s="705"/>
      <c r="F168" s="659"/>
      <c r="G168" s="661"/>
      <c r="H168" s="660"/>
      <c r="I168" s="691"/>
      <c r="J168" s="661"/>
      <c r="K168" s="706"/>
      <c r="L168" s="665"/>
      <c r="M168" s="663"/>
      <c r="N168" s="665"/>
      <c r="O168" s="665"/>
      <c r="P168" s="665"/>
      <c r="Q168" s="665"/>
      <c r="R168" s="665"/>
      <c r="S168" s="665"/>
      <c r="T168" s="673"/>
      <c r="U168" s="673"/>
      <c r="V168" s="673"/>
      <c r="W168" s="673"/>
      <c r="X168" s="673"/>
      <c r="Y168" s="673"/>
      <c r="Z168" s="673"/>
      <c r="AA168" s="673"/>
      <c r="AB168" s="673"/>
      <c r="AC168" s="673"/>
      <c r="AD168" s="673"/>
      <c r="AE168" s="673"/>
      <c r="AF168" s="673"/>
      <c r="AG168" s="673"/>
      <c r="AH168" s="673"/>
    </row>
    <row r="169">
      <c r="A169" s="653"/>
      <c r="B169" s="654"/>
      <c r="C169" s="691"/>
      <c r="D169" s="661"/>
      <c r="E169" s="705"/>
      <c r="F169" s="659"/>
      <c r="G169" s="661"/>
      <c r="H169" s="660"/>
      <c r="I169" s="691"/>
      <c r="J169" s="661"/>
      <c r="K169" s="706"/>
      <c r="L169" s="665"/>
      <c r="M169" s="663"/>
      <c r="N169" s="665"/>
      <c r="O169" s="665"/>
      <c r="P169" s="665"/>
      <c r="Q169" s="665"/>
      <c r="R169" s="665"/>
      <c r="S169" s="665"/>
      <c r="T169" s="673"/>
      <c r="U169" s="673"/>
      <c r="V169" s="673"/>
      <c r="W169" s="673"/>
      <c r="X169" s="673"/>
      <c r="Y169" s="673"/>
      <c r="Z169" s="673"/>
      <c r="AA169" s="673"/>
      <c r="AB169" s="673"/>
      <c r="AC169" s="673"/>
      <c r="AD169" s="673"/>
      <c r="AE169" s="673"/>
      <c r="AF169" s="673"/>
      <c r="AG169" s="673"/>
      <c r="AH169" s="673"/>
    </row>
    <row r="170">
      <c r="A170" s="653"/>
      <c r="B170" s="654"/>
      <c r="C170" s="691"/>
      <c r="D170" s="661"/>
      <c r="E170" s="705"/>
      <c r="F170" s="659"/>
      <c r="G170" s="661"/>
      <c r="H170" s="660"/>
      <c r="I170" s="691"/>
      <c r="J170" s="661"/>
      <c r="K170" s="706"/>
      <c r="L170" s="665"/>
      <c r="M170" s="663"/>
      <c r="N170" s="665"/>
      <c r="O170" s="665"/>
      <c r="P170" s="665"/>
      <c r="Q170" s="665"/>
      <c r="R170" s="665"/>
      <c r="S170" s="665"/>
      <c r="T170" s="673"/>
      <c r="U170" s="673"/>
      <c r="V170" s="673"/>
      <c r="W170" s="673"/>
      <c r="X170" s="673"/>
      <c r="Y170" s="673"/>
      <c r="Z170" s="673"/>
      <c r="AA170" s="673"/>
      <c r="AB170" s="673"/>
      <c r="AC170" s="673"/>
      <c r="AD170" s="673"/>
      <c r="AE170" s="673"/>
      <c r="AF170" s="673"/>
      <c r="AG170" s="673"/>
      <c r="AH170" s="673"/>
    </row>
    <row r="171">
      <c r="A171" s="653"/>
      <c r="B171" s="654"/>
      <c r="C171" s="691"/>
      <c r="D171" s="661"/>
      <c r="E171" s="705"/>
      <c r="F171" s="659"/>
      <c r="G171" s="661"/>
      <c r="H171" s="660"/>
      <c r="I171" s="691"/>
      <c r="J171" s="661"/>
      <c r="K171" s="706"/>
      <c r="L171" s="665"/>
      <c r="M171" s="663"/>
      <c r="N171" s="665"/>
      <c r="O171" s="665"/>
      <c r="P171" s="665"/>
      <c r="Q171" s="665"/>
      <c r="R171" s="665"/>
      <c r="S171" s="665"/>
      <c r="T171" s="673"/>
      <c r="U171" s="673"/>
      <c r="V171" s="673"/>
      <c r="W171" s="673"/>
      <c r="X171" s="673"/>
      <c r="Y171" s="673"/>
      <c r="Z171" s="673"/>
      <c r="AA171" s="673"/>
      <c r="AB171" s="673"/>
      <c r="AC171" s="673"/>
      <c r="AD171" s="673"/>
      <c r="AE171" s="673"/>
      <c r="AF171" s="673"/>
      <c r="AG171" s="673"/>
      <c r="AH171" s="673"/>
    </row>
    <row r="172">
      <c r="A172" s="653"/>
      <c r="B172" s="654"/>
      <c r="C172" s="691"/>
      <c r="D172" s="661"/>
      <c r="E172" s="705"/>
      <c r="F172" s="659"/>
      <c r="G172" s="661"/>
      <c r="H172" s="660"/>
      <c r="I172" s="691"/>
      <c r="J172" s="661"/>
      <c r="K172" s="706"/>
      <c r="L172" s="665"/>
      <c r="M172" s="663"/>
      <c r="N172" s="665"/>
      <c r="O172" s="665"/>
      <c r="P172" s="665"/>
      <c r="Q172" s="665"/>
      <c r="R172" s="665"/>
      <c r="S172" s="665"/>
      <c r="T172" s="673"/>
      <c r="U172" s="673"/>
      <c r="V172" s="673"/>
      <c r="W172" s="673"/>
      <c r="X172" s="673"/>
      <c r="Y172" s="673"/>
      <c r="Z172" s="673"/>
      <c r="AA172" s="673"/>
      <c r="AB172" s="673"/>
      <c r="AC172" s="673"/>
      <c r="AD172" s="673"/>
      <c r="AE172" s="673"/>
      <c r="AF172" s="673"/>
      <c r="AG172" s="673"/>
      <c r="AH172" s="673"/>
    </row>
    <row r="173">
      <c r="A173" s="653"/>
      <c r="B173" s="654"/>
      <c r="C173" s="691"/>
      <c r="D173" s="661"/>
      <c r="E173" s="705"/>
      <c r="F173" s="659"/>
      <c r="G173" s="661"/>
      <c r="H173" s="660"/>
      <c r="I173" s="691"/>
      <c r="J173" s="661"/>
      <c r="K173" s="706"/>
      <c r="L173" s="665"/>
      <c r="M173" s="663"/>
      <c r="N173" s="665"/>
      <c r="O173" s="665"/>
      <c r="P173" s="665"/>
      <c r="Q173" s="665"/>
      <c r="R173" s="665"/>
      <c r="S173" s="665"/>
      <c r="T173" s="673"/>
      <c r="U173" s="673"/>
      <c r="V173" s="673"/>
      <c r="W173" s="673"/>
      <c r="X173" s="673"/>
      <c r="Y173" s="673"/>
      <c r="Z173" s="673"/>
      <c r="AA173" s="673"/>
      <c r="AB173" s="673"/>
      <c r="AC173" s="673"/>
      <c r="AD173" s="673"/>
      <c r="AE173" s="673"/>
      <c r="AF173" s="673"/>
      <c r="AG173" s="673"/>
      <c r="AH173" s="673"/>
    </row>
    <row r="174">
      <c r="A174" s="653"/>
      <c r="B174" s="654"/>
      <c r="C174" s="691"/>
      <c r="D174" s="661"/>
      <c r="E174" s="705"/>
      <c r="F174" s="659"/>
      <c r="G174" s="661"/>
      <c r="H174" s="660"/>
      <c r="I174" s="691"/>
      <c r="J174" s="661"/>
      <c r="K174" s="706"/>
      <c r="L174" s="665"/>
      <c r="M174" s="663"/>
      <c r="N174" s="665"/>
      <c r="O174" s="665"/>
      <c r="P174" s="665"/>
      <c r="Q174" s="665"/>
      <c r="R174" s="665"/>
      <c r="S174" s="665"/>
      <c r="T174" s="673"/>
      <c r="U174" s="673"/>
      <c r="V174" s="673"/>
      <c r="W174" s="673"/>
      <c r="X174" s="673"/>
      <c r="Y174" s="673"/>
      <c r="Z174" s="673"/>
      <c r="AA174" s="673"/>
      <c r="AB174" s="673"/>
      <c r="AC174" s="673"/>
      <c r="AD174" s="673"/>
      <c r="AE174" s="673"/>
      <c r="AF174" s="673"/>
      <c r="AG174" s="673"/>
      <c r="AH174" s="673"/>
    </row>
    <row r="175">
      <c r="A175" s="653"/>
      <c r="B175" s="654"/>
      <c r="C175" s="691"/>
      <c r="D175" s="661"/>
      <c r="E175" s="705"/>
      <c r="F175" s="659"/>
      <c r="G175" s="661"/>
      <c r="H175" s="660"/>
      <c r="I175" s="691"/>
      <c r="J175" s="661"/>
      <c r="K175" s="706"/>
      <c r="L175" s="665"/>
      <c r="M175" s="663"/>
      <c r="N175" s="665"/>
      <c r="O175" s="665"/>
      <c r="P175" s="665"/>
      <c r="Q175" s="665"/>
      <c r="R175" s="665"/>
      <c r="S175" s="665"/>
      <c r="T175" s="673"/>
      <c r="U175" s="673"/>
      <c r="V175" s="673"/>
      <c r="W175" s="673"/>
      <c r="X175" s="673"/>
      <c r="Y175" s="673"/>
      <c r="Z175" s="673"/>
      <c r="AA175" s="673"/>
      <c r="AB175" s="673"/>
      <c r="AC175" s="673"/>
      <c r="AD175" s="673"/>
      <c r="AE175" s="673"/>
      <c r="AF175" s="673"/>
      <c r="AG175" s="673"/>
      <c r="AH175" s="673"/>
    </row>
    <row r="176">
      <c r="A176" s="653"/>
      <c r="B176" s="654"/>
      <c r="C176" s="691"/>
      <c r="D176" s="661"/>
      <c r="E176" s="705"/>
      <c r="F176" s="659"/>
      <c r="G176" s="661"/>
      <c r="H176" s="660"/>
      <c r="I176" s="691"/>
      <c r="J176" s="661"/>
      <c r="K176" s="706"/>
      <c r="L176" s="665"/>
      <c r="M176" s="663"/>
      <c r="N176" s="665"/>
      <c r="O176" s="665"/>
      <c r="P176" s="665"/>
      <c r="Q176" s="665"/>
      <c r="R176" s="665"/>
      <c r="S176" s="665"/>
      <c r="T176" s="673"/>
      <c r="U176" s="673"/>
      <c r="V176" s="673"/>
      <c r="W176" s="673"/>
      <c r="X176" s="673"/>
      <c r="Y176" s="673"/>
      <c r="Z176" s="673"/>
      <c r="AA176" s="673"/>
      <c r="AB176" s="673"/>
      <c r="AC176" s="673"/>
      <c r="AD176" s="673"/>
      <c r="AE176" s="673"/>
      <c r="AF176" s="673"/>
      <c r="AG176" s="673"/>
      <c r="AH176" s="673"/>
    </row>
    <row r="177">
      <c r="A177" s="653"/>
      <c r="B177" s="654"/>
      <c r="C177" s="691"/>
      <c r="D177" s="661"/>
      <c r="E177" s="705"/>
      <c r="F177" s="659"/>
      <c r="G177" s="661"/>
      <c r="H177" s="660"/>
      <c r="I177" s="691"/>
      <c r="J177" s="661"/>
      <c r="K177" s="706"/>
      <c r="L177" s="665"/>
      <c r="M177" s="663"/>
      <c r="N177" s="665"/>
      <c r="O177" s="665"/>
      <c r="P177" s="665"/>
      <c r="Q177" s="665"/>
      <c r="R177" s="665"/>
      <c r="S177" s="665"/>
      <c r="T177" s="673"/>
      <c r="U177" s="673"/>
      <c r="V177" s="673"/>
      <c r="W177" s="673"/>
      <c r="X177" s="673"/>
      <c r="Y177" s="673"/>
      <c r="Z177" s="673"/>
      <c r="AA177" s="673"/>
      <c r="AB177" s="673"/>
      <c r="AC177" s="673"/>
      <c r="AD177" s="673"/>
      <c r="AE177" s="673"/>
      <c r="AF177" s="673"/>
      <c r="AG177" s="673"/>
      <c r="AH177" s="673"/>
    </row>
    <row r="178">
      <c r="A178" s="653"/>
      <c r="B178" s="654"/>
      <c r="C178" s="691"/>
      <c r="D178" s="661"/>
      <c r="E178" s="705"/>
      <c r="F178" s="659"/>
      <c r="G178" s="661"/>
      <c r="H178" s="660"/>
      <c r="I178" s="691"/>
      <c r="J178" s="661"/>
      <c r="K178" s="706"/>
      <c r="L178" s="665"/>
      <c r="M178" s="663"/>
      <c r="N178" s="665"/>
      <c r="O178" s="665"/>
      <c r="P178" s="665"/>
      <c r="Q178" s="665"/>
      <c r="R178" s="665"/>
      <c r="S178" s="665"/>
      <c r="T178" s="673"/>
      <c r="U178" s="673"/>
      <c r="V178" s="673"/>
      <c r="W178" s="673"/>
      <c r="X178" s="673"/>
      <c r="Y178" s="673"/>
      <c r="Z178" s="673"/>
      <c r="AA178" s="673"/>
      <c r="AB178" s="673"/>
      <c r="AC178" s="673"/>
      <c r="AD178" s="673"/>
      <c r="AE178" s="673"/>
      <c r="AF178" s="673"/>
      <c r="AG178" s="673"/>
      <c r="AH178" s="673"/>
    </row>
    <row r="179">
      <c r="A179" s="653"/>
      <c r="B179" s="654"/>
      <c r="C179" s="691"/>
      <c r="D179" s="661"/>
      <c r="E179" s="705"/>
      <c r="F179" s="659"/>
      <c r="G179" s="661"/>
      <c r="H179" s="660"/>
      <c r="I179" s="691"/>
      <c r="J179" s="661"/>
      <c r="K179" s="706"/>
      <c r="L179" s="665"/>
      <c r="M179" s="663"/>
      <c r="N179" s="665"/>
      <c r="O179" s="665"/>
      <c r="P179" s="665"/>
      <c r="Q179" s="665"/>
      <c r="R179" s="665"/>
      <c r="S179" s="665"/>
      <c r="T179" s="673"/>
      <c r="U179" s="673"/>
      <c r="V179" s="673"/>
      <c r="W179" s="673"/>
      <c r="X179" s="673"/>
      <c r="Y179" s="673"/>
      <c r="Z179" s="673"/>
      <c r="AA179" s="673"/>
      <c r="AB179" s="673"/>
      <c r="AC179" s="673"/>
      <c r="AD179" s="673"/>
      <c r="AE179" s="673"/>
      <c r="AF179" s="673"/>
      <c r="AG179" s="673"/>
      <c r="AH179" s="673"/>
    </row>
    <row r="180">
      <c r="A180" s="653"/>
      <c r="B180" s="654"/>
      <c r="C180" s="691"/>
      <c r="D180" s="661"/>
      <c r="E180" s="705"/>
      <c r="F180" s="659"/>
      <c r="G180" s="661"/>
      <c r="H180" s="660"/>
      <c r="I180" s="691"/>
      <c r="J180" s="661"/>
      <c r="K180" s="706"/>
      <c r="L180" s="665"/>
      <c r="M180" s="663"/>
      <c r="N180" s="665"/>
      <c r="O180" s="665"/>
      <c r="P180" s="665"/>
      <c r="Q180" s="665"/>
      <c r="R180" s="665"/>
      <c r="S180" s="665"/>
      <c r="T180" s="673"/>
      <c r="U180" s="673"/>
      <c r="V180" s="673"/>
      <c r="W180" s="673"/>
      <c r="X180" s="673"/>
      <c r="Y180" s="673"/>
      <c r="Z180" s="673"/>
      <c r="AA180" s="673"/>
      <c r="AB180" s="673"/>
      <c r="AC180" s="673"/>
      <c r="AD180" s="673"/>
      <c r="AE180" s="673"/>
      <c r="AF180" s="673"/>
      <c r="AG180" s="673"/>
      <c r="AH180" s="673"/>
    </row>
    <row r="181">
      <c r="A181" s="653"/>
      <c r="B181" s="654"/>
      <c r="C181" s="691"/>
      <c r="D181" s="661"/>
      <c r="E181" s="705"/>
      <c r="F181" s="659"/>
      <c r="G181" s="661"/>
      <c r="H181" s="660"/>
      <c r="I181" s="691"/>
      <c r="J181" s="661"/>
      <c r="K181" s="706"/>
      <c r="L181" s="665"/>
      <c r="M181" s="663"/>
      <c r="N181" s="665"/>
      <c r="O181" s="665"/>
      <c r="P181" s="665"/>
      <c r="Q181" s="665"/>
      <c r="R181" s="665"/>
      <c r="S181" s="665"/>
      <c r="T181" s="673"/>
      <c r="U181" s="673"/>
      <c r="V181" s="673"/>
      <c r="W181" s="673"/>
      <c r="X181" s="673"/>
      <c r="Y181" s="673"/>
      <c r="Z181" s="673"/>
      <c r="AA181" s="673"/>
      <c r="AB181" s="673"/>
      <c r="AC181" s="673"/>
      <c r="AD181" s="673"/>
      <c r="AE181" s="673"/>
      <c r="AF181" s="673"/>
      <c r="AG181" s="673"/>
      <c r="AH181" s="673"/>
    </row>
    <row r="182">
      <c r="A182" s="653"/>
      <c r="B182" s="654"/>
      <c r="C182" s="691"/>
      <c r="D182" s="661"/>
      <c r="E182" s="705"/>
      <c r="F182" s="659"/>
      <c r="G182" s="661"/>
      <c r="H182" s="660"/>
      <c r="I182" s="691"/>
      <c r="J182" s="661"/>
      <c r="K182" s="706"/>
      <c r="L182" s="665"/>
      <c r="M182" s="663"/>
      <c r="N182" s="665"/>
      <c r="O182" s="665"/>
      <c r="P182" s="665"/>
      <c r="Q182" s="665"/>
      <c r="R182" s="665"/>
      <c r="S182" s="665"/>
      <c r="T182" s="673"/>
      <c r="U182" s="673"/>
      <c r="V182" s="673"/>
      <c r="W182" s="673"/>
      <c r="X182" s="673"/>
      <c r="Y182" s="673"/>
      <c r="Z182" s="673"/>
      <c r="AA182" s="673"/>
      <c r="AB182" s="673"/>
      <c r="AC182" s="673"/>
      <c r="AD182" s="673"/>
      <c r="AE182" s="673"/>
      <c r="AF182" s="673"/>
      <c r="AG182" s="673"/>
      <c r="AH182" s="673"/>
    </row>
    <row r="183">
      <c r="A183" s="653"/>
      <c r="B183" s="654"/>
      <c r="C183" s="691"/>
      <c r="D183" s="661"/>
      <c r="E183" s="705"/>
      <c r="F183" s="659"/>
      <c r="G183" s="661"/>
      <c r="H183" s="660"/>
      <c r="I183" s="691"/>
      <c r="J183" s="661"/>
      <c r="K183" s="706"/>
      <c r="L183" s="665"/>
      <c r="M183" s="663"/>
      <c r="N183" s="665"/>
      <c r="O183" s="665"/>
      <c r="P183" s="665"/>
      <c r="Q183" s="665"/>
      <c r="R183" s="665"/>
      <c r="S183" s="665"/>
      <c r="T183" s="673"/>
      <c r="U183" s="673"/>
      <c r="V183" s="673"/>
      <c r="W183" s="673"/>
      <c r="X183" s="673"/>
      <c r="Y183" s="673"/>
      <c r="Z183" s="673"/>
      <c r="AA183" s="673"/>
      <c r="AB183" s="673"/>
      <c r="AC183" s="673"/>
      <c r="AD183" s="673"/>
      <c r="AE183" s="673"/>
      <c r="AF183" s="673"/>
      <c r="AG183" s="673"/>
      <c r="AH183" s="673"/>
    </row>
    <row r="184">
      <c r="A184" s="653"/>
      <c r="B184" s="654"/>
      <c r="C184" s="691"/>
      <c r="D184" s="661"/>
      <c r="E184" s="705"/>
      <c r="F184" s="659"/>
      <c r="G184" s="661"/>
      <c r="H184" s="660"/>
      <c r="I184" s="691"/>
      <c r="J184" s="661"/>
      <c r="K184" s="706"/>
      <c r="L184" s="665"/>
      <c r="M184" s="663"/>
      <c r="N184" s="665"/>
      <c r="O184" s="665"/>
      <c r="P184" s="665"/>
      <c r="Q184" s="665"/>
      <c r="R184" s="665"/>
      <c r="S184" s="665"/>
      <c r="T184" s="673"/>
      <c r="U184" s="673"/>
      <c r="V184" s="673"/>
      <c r="W184" s="673"/>
      <c r="X184" s="673"/>
      <c r="Y184" s="673"/>
      <c r="Z184" s="673"/>
      <c r="AA184" s="673"/>
      <c r="AB184" s="673"/>
      <c r="AC184" s="673"/>
      <c r="AD184" s="673"/>
      <c r="AE184" s="673"/>
      <c r="AF184" s="673"/>
      <c r="AG184" s="673"/>
      <c r="AH184" s="673"/>
    </row>
    <row r="185">
      <c r="A185" s="653"/>
      <c r="B185" s="654"/>
      <c r="C185" s="691"/>
      <c r="D185" s="661"/>
      <c r="E185" s="705"/>
      <c r="F185" s="659"/>
      <c r="G185" s="661"/>
      <c r="H185" s="660"/>
      <c r="I185" s="691"/>
      <c r="J185" s="661"/>
      <c r="K185" s="706"/>
      <c r="L185" s="665"/>
      <c r="M185" s="663"/>
      <c r="N185" s="665"/>
      <c r="O185" s="665"/>
      <c r="P185" s="665"/>
      <c r="Q185" s="665"/>
      <c r="R185" s="665"/>
      <c r="S185" s="665"/>
      <c r="T185" s="673"/>
      <c r="U185" s="673"/>
      <c r="V185" s="673"/>
      <c r="W185" s="673"/>
      <c r="X185" s="673"/>
      <c r="Y185" s="673"/>
      <c r="Z185" s="673"/>
      <c r="AA185" s="673"/>
      <c r="AB185" s="673"/>
      <c r="AC185" s="673"/>
      <c r="AD185" s="673"/>
      <c r="AE185" s="673"/>
      <c r="AF185" s="673"/>
      <c r="AG185" s="673"/>
      <c r="AH185" s="673"/>
    </row>
    <row r="186">
      <c r="A186" s="653"/>
      <c r="B186" s="654"/>
      <c r="C186" s="691"/>
      <c r="D186" s="661"/>
      <c r="E186" s="705"/>
      <c r="F186" s="659"/>
      <c r="G186" s="661"/>
      <c r="H186" s="660"/>
      <c r="I186" s="691"/>
      <c r="J186" s="661"/>
      <c r="K186" s="706"/>
      <c r="L186" s="665"/>
      <c r="M186" s="663"/>
      <c r="N186" s="665"/>
      <c r="O186" s="665"/>
      <c r="P186" s="665"/>
      <c r="Q186" s="665"/>
      <c r="R186" s="665"/>
      <c r="S186" s="665"/>
      <c r="T186" s="673"/>
      <c r="U186" s="673"/>
      <c r="V186" s="673"/>
      <c r="W186" s="673"/>
      <c r="X186" s="673"/>
      <c r="Y186" s="673"/>
      <c r="Z186" s="673"/>
      <c r="AA186" s="673"/>
      <c r="AB186" s="673"/>
      <c r="AC186" s="673"/>
      <c r="AD186" s="673"/>
      <c r="AE186" s="673"/>
      <c r="AF186" s="673"/>
      <c r="AG186" s="673"/>
      <c r="AH186" s="673"/>
    </row>
    <row r="187">
      <c r="A187" s="653"/>
      <c r="B187" s="654"/>
      <c r="C187" s="691"/>
      <c r="D187" s="661"/>
      <c r="E187" s="705"/>
      <c r="F187" s="659"/>
      <c r="G187" s="661"/>
      <c r="H187" s="660"/>
      <c r="I187" s="691"/>
      <c r="J187" s="661"/>
      <c r="K187" s="706"/>
      <c r="L187" s="665"/>
      <c r="M187" s="663"/>
      <c r="N187" s="665"/>
      <c r="O187" s="665"/>
      <c r="P187" s="665"/>
      <c r="Q187" s="665"/>
      <c r="R187" s="665"/>
      <c r="S187" s="665"/>
      <c r="T187" s="673"/>
      <c r="U187" s="673"/>
      <c r="V187" s="673"/>
      <c r="W187" s="673"/>
      <c r="X187" s="673"/>
      <c r="Y187" s="673"/>
      <c r="Z187" s="673"/>
      <c r="AA187" s="673"/>
      <c r="AB187" s="673"/>
      <c r="AC187" s="673"/>
      <c r="AD187" s="673"/>
      <c r="AE187" s="673"/>
      <c r="AF187" s="673"/>
      <c r="AG187" s="673"/>
      <c r="AH187" s="673"/>
    </row>
    <row r="188">
      <c r="A188" s="653"/>
      <c r="B188" s="654"/>
      <c r="C188" s="691"/>
      <c r="D188" s="661"/>
      <c r="E188" s="705"/>
      <c r="F188" s="659"/>
      <c r="G188" s="661"/>
      <c r="H188" s="660"/>
      <c r="I188" s="691"/>
      <c r="J188" s="661"/>
      <c r="K188" s="706"/>
      <c r="L188" s="665"/>
      <c r="M188" s="663"/>
      <c r="N188" s="665"/>
      <c r="O188" s="665"/>
      <c r="P188" s="665"/>
      <c r="Q188" s="665"/>
      <c r="R188" s="665"/>
      <c r="S188" s="665"/>
      <c r="T188" s="673"/>
      <c r="U188" s="673"/>
      <c r="V188" s="673"/>
      <c r="W188" s="673"/>
      <c r="X188" s="673"/>
      <c r="Y188" s="673"/>
      <c r="Z188" s="673"/>
      <c r="AA188" s="673"/>
      <c r="AB188" s="673"/>
      <c r="AC188" s="673"/>
      <c r="AD188" s="673"/>
      <c r="AE188" s="673"/>
      <c r="AF188" s="673"/>
      <c r="AG188" s="673"/>
      <c r="AH188" s="673"/>
    </row>
    <row r="189">
      <c r="A189" s="653"/>
      <c r="B189" s="654"/>
      <c r="C189" s="691"/>
      <c r="D189" s="661"/>
      <c r="E189" s="705"/>
      <c r="F189" s="659"/>
      <c r="G189" s="661"/>
      <c r="H189" s="660"/>
      <c r="I189" s="691"/>
      <c r="J189" s="661"/>
      <c r="K189" s="706"/>
      <c r="L189" s="665"/>
      <c r="M189" s="663"/>
      <c r="N189" s="665"/>
      <c r="O189" s="665"/>
      <c r="P189" s="665"/>
      <c r="Q189" s="665"/>
      <c r="R189" s="665"/>
      <c r="S189" s="665"/>
      <c r="T189" s="673"/>
      <c r="U189" s="673"/>
      <c r="V189" s="673"/>
      <c r="W189" s="673"/>
      <c r="X189" s="673"/>
      <c r="Y189" s="673"/>
      <c r="Z189" s="673"/>
      <c r="AA189" s="673"/>
      <c r="AB189" s="673"/>
      <c r="AC189" s="673"/>
      <c r="AD189" s="673"/>
      <c r="AE189" s="673"/>
      <c r="AF189" s="673"/>
      <c r="AG189" s="673"/>
      <c r="AH189" s="673"/>
    </row>
    <row r="190">
      <c r="A190" s="653"/>
      <c r="B190" s="654"/>
      <c r="C190" s="691"/>
      <c r="D190" s="661"/>
      <c r="E190" s="705"/>
      <c r="F190" s="659"/>
      <c r="G190" s="661"/>
      <c r="H190" s="660"/>
      <c r="I190" s="691"/>
      <c r="J190" s="661"/>
      <c r="K190" s="706"/>
      <c r="L190" s="665"/>
      <c r="M190" s="663"/>
      <c r="N190" s="665"/>
      <c r="O190" s="665"/>
      <c r="P190" s="665"/>
      <c r="Q190" s="665"/>
      <c r="R190" s="665"/>
      <c r="S190" s="665"/>
      <c r="T190" s="673"/>
      <c r="U190" s="673"/>
      <c r="V190" s="673"/>
      <c r="W190" s="673"/>
      <c r="X190" s="673"/>
      <c r="Y190" s="673"/>
      <c r="Z190" s="673"/>
      <c r="AA190" s="673"/>
      <c r="AB190" s="673"/>
      <c r="AC190" s="673"/>
      <c r="AD190" s="673"/>
      <c r="AE190" s="673"/>
      <c r="AF190" s="673"/>
      <c r="AG190" s="673"/>
      <c r="AH190" s="673"/>
    </row>
    <row r="191">
      <c r="A191" s="653"/>
      <c r="B191" s="654"/>
      <c r="C191" s="691"/>
      <c r="D191" s="661"/>
      <c r="E191" s="705"/>
      <c r="F191" s="659"/>
      <c r="G191" s="661"/>
      <c r="H191" s="660"/>
      <c r="I191" s="691"/>
      <c r="J191" s="661"/>
      <c r="K191" s="706"/>
      <c r="L191" s="665"/>
      <c r="M191" s="663"/>
      <c r="N191" s="665"/>
      <c r="O191" s="665"/>
      <c r="P191" s="665"/>
      <c r="Q191" s="665"/>
      <c r="R191" s="665"/>
      <c r="S191" s="665"/>
      <c r="T191" s="673"/>
      <c r="U191" s="673"/>
      <c r="V191" s="673"/>
      <c r="W191" s="673"/>
      <c r="X191" s="673"/>
      <c r="Y191" s="673"/>
      <c r="Z191" s="673"/>
      <c r="AA191" s="673"/>
      <c r="AB191" s="673"/>
      <c r="AC191" s="673"/>
      <c r="AD191" s="673"/>
      <c r="AE191" s="673"/>
      <c r="AF191" s="673"/>
      <c r="AG191" s="673"/>
      <c r="AH191" s="673"/>
    </row>
    <row r="192">
      <c r="A192" s="653"/>
      <c r="B192" s="654"/>
      <c r="C192" s="691"/>
      <c r="D192" s="661"/>
      <c r="E192" s="705"/>
      <c r="F192" s="659"/>
      <c r="G192" s="661"/>
      <c r="H192" s="660"/>
      <c r="I192" s="691"/>
      <c r="J192" s="661"/>
      <c r="K192" s="706"/>
      <c r="L192" s="665"/>
      <c r="M192" s="663"/>
      <c r="N192" s="665"/>
      <c r="O192" s="665"/>
      <c r="P192" s="665"/>
      <c r="Q192" s="665"/>
      <c r="R192" s="665"/>
      <c r="S192" s="665"/>
      <c r="T192" s="673"/>
      <c r="U192" s="673"/>
      <c r="V192" s="673"/>
      <c r="W192" s="673"/>
      <c r="X192" s="673"/>
      <c r="Y192" s="673"/>
      <c r="Z192" s="673"/>
      <c r="AA192" s="673"/>
      <c r="AB192" s="673"/>
      <c r="AC192" s="673"/>
      <c r="AD192" s="673"/>
      <c r="AE192" s="673"/>
      <c r="AF192" s="673"/>
      <c r="AG192" s="673"/>
      <c r="AH192" s="673"/>
    </row>
    <row r="193">
      <c r="A193" s="653"/>
      <c r="B193" s="654"/>
      <c r="C193" s="691"/>
      <c r="D193" s="661"/>
      <c r="E193" s="705"/>
      <c r="F193" s="659"/>
      <c r="G193" s="661"/>
      <c r="H193" s="660"/>
      <c r="I193" s="691"/>
      <c r="J193" s="661"/>
      <c r="K193" s="706"/>
      <c r="L193" s="665"/>
      <c r="M193" s="663"/>
      <c r="N193" s="665"/>
      <c r="O193" s="665"/>
      <c r="P193" s="665"/>
      <c r="Q193" s="665"/>
      <c r="R193" s="665"/>
      <c r="S193" s="665"/>
      <c r="T193" s="673"/>
      <c r="U193" s="673"/>
      <c r="V193" s="673"/>
      <c r="W193" s="673"/>
      <c r="X193" s="673"/>
      <c r="Y193" s="673"/>
      <c r="Z193" s="673"/>
      <c r="AA193" s="673"/>
      <c r="AB193" s="673"/>
      <c r="AC193" s="673"/>
      <c r="AD193" s="673"/>
      <c r="AE193" s="673"/>
      <c r="AF193" s="673"/>
      <c r="AG193" s="673"/>
      <c r="AH193" s="673"/>
    </row>
    <row r="194">
      <c r="A194" s="653"/>
      <c r="B194" s="654"/>
      <c r="C194" s="691"/>
      <c r="D194" s="661"/>
      <c r="E194" s="705"/>
      <c r="F194" s="659"/>
      <c r="G194" s="661"/>
      <c r="H194" s="660"/>
      <c r="I194" s="691"/>
      <c r="J194" s="661"/>
      <c r="K194" s="706"/>
      <c r="L194" s="665"/>
      <c r="M194" s="663"/>
      <c r="N194" s="665"/>
      <c r="O194" s="665"/>
      <c r="P194" s="665"/>
      <c r="Q194" s="665"/>
      <c r="R194" s="665"/>
      <c r="S194" s="665"/>
      <c r="T194" s="673"/>
      <c r="U194" s="673"/>
      <c r="V194" s="673"/>
      <c r="W194" s="673"/>
      <c r="X194" s="673"/>
      <c r="Y194" s="673"/>
      <c r="Z194" s="673"/>
      <c r="AA194" s="673"/>
      <c r="AB194" s="673"/>
      <c r="AC194" s="673"/>
      <c r="AD194" s="673"/>
      <c r="AE194" s="673"/>
      <c r="AF194" s="673"/>
      <c r="AG194" s="673"/>
      <c r="AH194" s="673"/>
    </row>
    <row r="195">
      <c r="A195" s="653"/>
      <c r="B195" s="654"/>
      <c r="C195" s="691"/>
      <c r="D195" s="661"/>
      <c r="E195" s="705"/>
      <c r="F195" s="659"/>
      <c r="G195" s="661"/>
      <c r="H195" s="660"/>
      <c r="I195" s="691"/>
      <c r="J195" s="661"/>
      <c r="K195" s="706"/>
      <c r="L195" s="665"/>
      <c r="M195" s="663"/>
      <c r="N195" s="665"/>
      <c r="O195" s="665"/>
      <c r="P195" s="665"/>
      <c r="Q195" s="665"/>
      <c r="R195" s="665"/>
      <c r="S195" s="665"/>
      <c r="T195" s="673"/>
      <c r="U195" s="673"/>
      <c r="V195" s="673"/>
      <c r="W195" s="673"/>
      <c r="X195" s="673"/>
      <c r="Y195" s="673"/>
      <c r="Z195" s="673"/>
      <c r="AA195" s="673"/>
      <c r="AB195" s="673"/>
      <c r="AC195" s="673"/>
      <c r="AD195" s="673"/>
      <c r="AE195" s="673"/>
      <c r="AF195" s="673"/>
      <c r="AG195" s="673"/>
      <c r="AH195" s="673"/>
    </row>
    <row r="196">
      <c r="A196" s="653"/>
      <c r="B196" s="654"/>
      <c r="C196" s="691"/>
      <c r="D196" s="661"/>
      <c r="E196" s="705"/>
      <c r="F196" s="659"/>
      <c r="G196" s="661"/>
      <c r="H196" s="660"/>
      <c r="I196" s="691"/>
      <c r="J196" s="661"/>
      <c r="K196" s="706"/>
      <c r="L196" s="665"/>
      <c r="M196" s="663"/>
      <c r="N196" s="665"/>
      <c r="O196" s="665"/>
      <c r="P196" s="665"/>
      <c r="Q196" s="665"/>
      <c r="R196" s="665"/>
      <c r="S196" s="665"/>
      <c r="T196" s="673"/>
      <c r="U196" s="673"/>
      <c r="V196" s="673"/>
      <c r="W196" s="673"/>
      <c r="X196" s="673"/>
      <c r="Y196" s="673"/>
      <c r="Z196" s="673"/>
      <c r="AA196" s="673"/>
      <c r="AB196" s="673"/>
      <c r="AC196" s="673"/>
      <c r="AD196" s="673"/>
      <c r="AE196" s="673"/>
      <c r="AF196" s="673"/>
      <c r="AG196" s="673"/>
      <c r="AH196" s="673"/>
    </row>
    <row r="197">
      <c r="A197" s="653"/>
      <c r="B197" s="654"/>
      <c r="C197" s="691"/>
      <c r="D197" s="661"/>
      <c r="E197" s="705"/>
      <c r="F197" s="659"/>
      <c r="G197" s="661"/>
      <c r="H197" s="660"/>
      <c r="I197" s="691"/>
      <c r="J197" s="661"/>
      <c r="K197" s="706"/>
      <c r="L197" s="665"/>
      <c r="M197" s="663"/>
      <c r="N197" s="665"/>
      <c r="O197" s="665"/>
      <c r="P197" s="665"/>
      <c r="Q197" s="665"/>
      <c r="R197" s="665"/>
      <c r="S197" s="665"/>
      <c r="T197" s="673"/>
      <c r="U197" s="673"/>
      <c r="V197" s="673"/>
      <c r="W197" s="673"/>
      <c r="X197" s="673"/>
      <c r="Y197" s="673"/>
      <c r="Z197" s="673"/>
      <c r="AA197" s="673"/>
      <c r="AB197" s="673"/>
      <c r="AC197" s="673"/>
      <c r="AD197" s="673"/>
      <c r="AE197" s="673"/>
      <c r="AF197" s="673"/>
      <c r="AG197" s="673"/>
      <c r="AH197" s="673"/>
    </row>
    <row r="198">
      <c r="A198" s="653"/>
      <c r="B198" s="654"/>
      <c r="C198" s="691"/>
      <c r="D198" s="661"/>
      <c r="E198" s="705"/>
      <c r="F198" s="659"/>
      <c r="G198" s="661"/>
      <c r="H198" s="660"/>
      <c r="I198" s="691"/>
      <c r="J198" s="661"/>
      <c r="K198" s="706"/>
      <c r="L198" s="665"/>
      <c r="M198" s="663"/>
      <c r="N198" s="665"/>
      <c r="O198" s="665"/>
      <c r="P198" s="665"/>
      <c r="Q198" s="665"/>
      <c r="R198" s="665"/>
      <c r="S198" s="665"/>
      <c r="T198" s="673"/>
      <c r="U198" s="673"/>
      <c r="V198" s="673"/>
      <c r="W198" s="673"/>
      <c r="X198" s="673"/>
      <c r="Y198" s="673"/>
      <c r="Z198" s="673"/>
      <c r="AA198" s="673"/>
      <c r="AB198" s="673"/>
      <c r="AC198" s="673"/>
      <c r="AD198" s="673"/>
      <c r="AE198" s="673"/>
      <c r="AF198" s="673"/>
      <c r="AG198" s="673"/>
      <c r="AH198" s="673"/>
    </row>
    <row r="199">
      <c r="A199" s="653"/>
      <c r="B199" s="654"/>
      <c r="C199" s="691"/>
      <c r="D199" s="661"/>
      <c r="E199" s="705"/>
      <c r="F199" s="659"/>
      <c r="G199" s="661"/>
      <c r="H199" s="660"/>
      <c r="I199" s="691"/>
      <c r="J199" s="661"/>
      <c r="K199" s="706"/>
      <c r="L199" s="665"/>
      <c r="M199" s="663"/>
      <c r="N199" s="665"/>
      <c r="O199" s="665"/>
      <c r="P199" s="665"/>
      <c r="Q199" s="665"/>
      <c r="R199" s="665"/>
      <c r="S199" s="665"/>
      <c r="T199" s="673"/>
      <c r="U199" s="673"/>
      <c r="V199" s="673"/>
      <c r="W199" s="673"/>
      <c r="X199" s="673"/>
      <c r="Y199" s="673"/>
      <c r="Z199" s="673"/>
      <c r="AA199" s="673"/>
      <c r="AB199" s="673"/>
      <c r="AC199" s="673"/>
      <c r="AD199" s="673"/>
      <c r="AE199" s="673"/>
      <c r="AF199" s="673"/>
      <c r="AG199" s="673"/>
      <c r="AH199" s="673"/>
    </row>
    <row r="200">
      <c r="A200" s="653"/>
      <c r="B200" s="654"/>
      <c r="C200" s="691"/>
      <c r="D200" s="661"/>
      <c r="E200" s="705"/>
      <c r="F200" s="659"/>
      <c r="G200" s="661"/>
      <c r="H200" s="660"/>
      <c r="I200" s="691"/>
      <c r="J200" s="661"/>
      <c r="K200" s="706"/>
      <c r="L200" s="665"/>
      <c r="M200" s="663"/>
      <c r="N200" s="665"/>
      <c r="O200" s="665"/>
      <c r="P200" s="665"/>
      <c r="Q200" s="665"/>
      <c r="R200" s="665"/>
      <c r="S200" s="665"/>
      <c r="T200" s="673"/>
      <c r="U200" s="673"/>
      <c r="V200" s="673"/>
      <c r="W200" s="673"/>
      <c r="X200" s="673"/>
      <c r="Y200" s="673"/>
      <c r="Z200" s="673"/>
      <c r="AA200" s="673"/>
      <c r="AB200" s="673"/>
      <c r="AC200" s="673"/>
      <c r="AD200" s="673"/>
      <c r="AE200" s="673"/>
      <c r="AF200" s="673"/>
      <c r="AG200" s="673"/>
      <c r="AH200" s="673"/>
    </row>
    <row r="201">
      <c r="A201" s="653"/>
      <c r="B201" s="654"/>
      <c r="C201" s="691"/>
      <c r="D201" s="661"/>
      <c r="E201" s="705"/>
      <c r="F201" s="659"/>
      <c r="G201" s="661"/>
      <c r="H201" s="660"/>
      <c r="I201" s="691"/>
      <c r="J201" s="661"/>
      <c r="K201" s="706"/>
      <c r="L201" s="665"/>
      <c r="M201" s="663"/>
      <c r="N201" s="665"/>
      <c r="O201" s="665"/>
      <c r="P201" s="665"/>
      <c r="Q201" s="665"/>
      <c r="R201" s="665"/>
      <c r="S201" s="665"/>
      <c r="T201" s="673"/>
      <c r="U201" s="673"/>
      <c r="V201" s="673"/>
      <c r="W201" s="673"/>
      <c r="X201" s="673"/>
      <c r="Y201" s="673"/>
      <c r="Z201" s="673"/>
      <c r="AA201" s="673"/>
      <c r="AB201" s="673"/>
      <c r="AC201" s="673"/>
      <c r="AD201" s="673"/>
      <c r="AE201" s="673"/>
      <c r="AF201" s="673"/>
      <c r="AG201" s="673"/>
      <c r="AH201" s="673"/>
    </row>
    <row r="202">
      <c r="A202" s="653"/>
      <c r="B202" s="654"/>
      <c r="C202" s="691"/>
      <c r="D202" s="661"/>
      <c r="E202" s="705"/>
      <c r="F202" s="659"/>
      <c r="G202" s="661"/>
      <c r="H202" s="660"/>
      <c r="I202" s="691"/>
      <c r="J202" s="661"/>
      <c r="K202" s="706"/>
      <c r="L202" s="665"/>
      <c r="M202" s="663"/>
      <c r="N202" s="665"/>
      <c r="O202" s="665"/>
      <c r="P202" s="665"/>
      <c r="Q202" s="665"/>
      <c r="R202" s="665"/>
      <c r="S202" s="665"/>
      <c r="T202" s="673"/>
      <c r="U202" s="673"/>
      <c r="V202" s="673"/>
      <c r="W202" s="673"/>
      <c r="X202" s="673"/>
      <c r="Y202" s="673"/>
      <c r="Z202" s="673"/>
      <c r="AA202" s="673"/>
      <c r="AB202" s="673"/>
      <c r="AC202" s="673"/>
      <c r="AD202" s="673"/>
      <c r="AE202" s="673"/>
      <c r="AF202" s="673"/>
      <c r="AG202" s="673"/>
      <c r="AH202" s="673"/>
    </row>
    <row r="203">
      <c r="A203" s="653"/>
      <c r="B203" s="654"/>
      <c r="C203" s="691"/>
      <c r="D203" s="661"/>
      <c r="E203" s="705"/>
      <c r="F203" s="659"/>
      <c r="G203" s="661"/>
      <c r="H203" s="660"/>
      <c r="I203" s="691"/>
      <c r="J203" s="661"/>
      <c r="K203" s="706"/>
      <c r="L203" s="665"/>
      <c r="M203" s="663"/>
      <c r="N203" s="665"/>
      <c r="O203" s="665"/>
      <c r="P203" s="665"/>
      <c r="Q203" s="665"/>
      <c r="R203" s="665"/>
      <c r="S203" s="665"/>
      <c r="T203" s="673"/>
      <c r="U203" s="673"/>
      <c r="V203" s="673"/>
      <c r="W203" s="673"/>
      <c r="X203" s="673"/>
      <c r="Y203" s="673"/>
      <c r="Z203" s="673"/>
      <c r="AA203" s="673"/>
      <c r="AB203" s="673"/>
      <c r="AC203" s="673"/>
      <c r="AD203" s="673"/>
      <c r="AE203" s="673"/>
      <c r="AF203" s="673"/>
      <c r="AG203" s="673"/>
      <c r="AH203" s="673"/>
    </row>
    <row r="204">
      <c r="A204" s="653"/>
      <c r="B204" s="654"/>
      <c r="C204" s="691"/>
      <c r="D204" s="661"/>
      <c r="E204" s="705"/>
      <c r="F204" s="659"/>
      <c r="G204" s="661"/>
      <c r="H204" s="660"/>
      <c r="I204" s="691"/>
      <c r="J204" s="661"/>
      <c r="K204" s="706"/>
      <c r="L204" s="665"/>
      <c r="M204" s="663"/>
      <c r="N204" s="665"/>
      <c r="O204" s="665"/>
      <c r="P204" s="665"/>
      <c r="Q204" s="665"/>
      <c r="R204" s="665"/>
      <c r="S204" s="665"/>
      <c r="T204" s="673"/>
      <c r="U204" s="673"/>
      <c r="V204" s="673"/>
      <c r="W204" s="673"/>
      <c r="X204" s="673"/>
      <c r="Y204" s="673"/>
      <c r="Z204" s="673"/>
      <c r="AA204" s="673"/>
      <c r="AB204" s="673"/>
      <c r="AC204" s="673"/>
      <c r="AD204" s="673"/>
      <c r="AE204" s="673"/>
      <c r="AF204" s="673"/>
      <c r="AG204" s="673"/>
      <c r="AH204" s="673"/>
    </row>
    <row r="205">
      <c r="A205" s="653"/>
      <c r="B205" s="654"/>
      <c r="C205" s="691"/>
      <c r="D205" s="661"/>
      <c r="E205" s="705"/>
      <c r="F205" s="659"/>
      <c r="G205" s="661"/>
      <c r="H205" s="660"/>
      <c r="I205" s="691"/>
      <c r="J205" s="661"/>
      <c r="K205" s="706"/>
      <c r="L205" s="665"/>
      <c r="M205" s="663"/>
      <c r="N205" s="665"/>
      <c r="O205" s="665"/>
      <c r="P205" s="665"/>
      <c r="Q205" s="665"/>
      <c r="R205" s="665"/>
      <c r="S205" s="665"/>
      <c r="T205" s="673"/>
      <c r="U205" s="673"/>
      <c r="V205" s="673"/>
      <c r="W205" s="673"/>
      <c r="X205" s="673"/>
      <c r="Y205" s="673"/>
      <c r="Z205" s="673"/>
      <c r="AA205" s="673"/>
      <c r="AB205" s="673"/>
      <c r="AC205" s="673"/>
      <c r="AD205" s="673"/>
      <c r="AE205" s="673"/>
      <c r="AF205" s="673"/>
      <c r="AG205" s="673"/>
      <c r="AH205" s="673"/>
    </row>
    <row r="206">
      <c r="A206" s="653"/>
      <c r="B206" s="654"/>
      <c r="C206" s="691"/>
      <c r="D206" s="661"/>
      <c r="E206" s="705"/>
      <c r="F206" s="659"/>
      <c r="G206" s="661"/>
      <c r="H206" s="660"/>
      <c r="I206" s="691"/>
      <c r="J206" s="661"/>
      <c r="K206" s="706"/>
      <c r="L206" s="665"/>
      <c r="M206" s="663"/>
      <c r="N206" s="665"/>
      <c r="O206" s="665"/>
      <c r="P206" s="665"/>
      <c r="Q206" s="665"/>
      <c r="R206" s="665"/>
      <c r="S206" s="665"/>
      <c r="T206" s="673"/>
      <c r="U206" s="673"/>
      <c r="V206" s="673"/>
      <c r="W206" s="673"/>
      <c r="X206" s="673"/>
      <c r="Y206" s="673"/>
      <c r="Z206" s="673"/>
      <c r="AA206" s="673"/>
      <c r="AB206" s="673"/>
      <c r="AC206" s="673"/>
      <c r="AD206" s="673"/>
      <c r="AE206" s="673"/>
      <c r="AF206" s="673"/>
      <c r="AG206" s="673"/>
      <c r="AH206" s="673"/>
    </row>
    <row r="207">
      <c r="A207" s="653"/>
      <c r="B207" s="654"/>
      <c r="C207" s="691"/>
      <c r="D207" s="661"/>
      <c r="E207" s="705"/>
      <c r="F207" s="659"/>
      <c r="G207" s="661"/>
      <c r="H207" s="660"/>
      <c r="I207" s="691"/>
      <c r="J207" s="661"/>
      <c r="K207" s="706"/>
      <c r="L207" s="665"/>
      <c r="M207" s="663"/>
      <c r="N207" s="665"/>
      <c r="O207" s="665"/>
      <c r="P207" s="665"/>
      <c r="Q207" s="665"/>
      <c r="R207" s="665"/>
      <c r="S207" s="665"/>
      <c r="T207" s="673"/>
      <c r="U207" s="673"/>
      <c r="V207" s="673"/>
      <c r="W207" s="673"/>
      <c r="X207" s="673"/>
      <c r="Y207" s="673"/>
      <c r="Z207" s="673"/>
      <c r="AA207" s="673"/>
      <c r="AB207" s="673"/>
      <c r="AC207" s="673"/>
      <c r="AD207" s="673"/>
      <c r="AE207" s="673"/>
      <c r="AF207" s="673"/>
      <c r="AG207" s="673"/>
      <c r="AH207" s="673"/>
    </row>
    <row r="208">
      <c r="A208" s="653"/>
      <c r="B208" s="654"/>
      <c r="C208" s="691"/>
      <c r="D208" s="661"/>
      <c r="E208" s="705"/>
      <c r="F208" s="659"/>
      <c r="G208" s="661"/>
      <c r="H208" s="660"/>
      <c r="I208" s="691"/>
      <c r="J208" s="661"/>
      <c r="K208" s="706"/>
      <c r="L208" s="665"/>
      <c r="M208" s="663"/>
      <c r="N208" s="665"/>
      <c r="O208" s="665"/>
      <c r="P208" s="665"/>
      <c r="Q208" s="665"/>
      <c r="R208" s="665"/>
      <c r="S208" s="665"/>
      <c r="T208" s="673"/>
      <c r="U208" s="673"/>
      <c r="V208" s="673"/>
      <c r="W208" s="673"/>
      <c r="X208" s="673"/>
      <c r="Y208" s="673"/>
      <c r="Z208" s="673"/>
      <c r="AA208" s="673"/>
      <c r="AB208" s="673"/>
      <c r="AC208" s="673"/>
      <c r="AD208" s="673"/>
      <c r="AE208" s="673"/>
      <c r="AF208" s="673"/>
      <c r="AG208" s="673"/>
      <c r="AH208" s="673"/>
    </row>
    <row r="209">
      <c r="A209" s="653"/>
      <c r="B209" s="654"/>
      <c r="C209" s="691"/>
      <c r="D209" s="661"/>
      <c r="E209" s="705"/>
      <c r="F209" s="659"/>
      <c r="G209" s="661"/>
      <c r="H209" s="660"/>
      <c r="I209" s="691"/>
      <c r="J209" s="661"/>
      <c r="K209" s="706"/>
      <c r="L209" s="665"/>
      <c r="M209" s="663"/>
      <c r="N209" s="665"/>
      <c r="O209" s="665"/>
      <c r="P209" s="665"/>
      <c r="Q209" s="665"/>
      <c r="R209" s="665"/>
      <c r="S209" s="665"/>
      <c r="T209" s="673"/>
      <c r="U209" s="673"/>
      <c r="V209" s="673"/>
      <c r="W209" s="673"/>
      <c r="X209" s="673"/>
      <c r="Y209" s="673"/>
      <c r="Z209" s="673"/>
      <c r="AA209" s="673"/>
      <c r="AB209" s="673"/>
      <c r="AC209" s="673"/>
      <c r="AD209" s="673"/>
      <c r="AE209" s="673"/>
      <c r="AF209" s="673"/>
      <c r="AG209" s="673"/>
      <c r="AH209" s="673"/>
    </row>
    <row r="210">
      <c r="A210" s="653"/>
      <c r="B210" s="654"/>
      <c r="C210" s="691"/>
      <c r="D210" s="661"/>
      <c r="E210" s="705"/>
      <c r="F210" s="659"/>
      <c r="G210" s="661"/>
      <c r="H210" s="660"/>
      <c r="I210" s="691"/>
      <c r="J210" s="661"/>
      <c r="K210" s="706"/>
      <c r="L210" s="665"/>
      <c r="M210" s="663"/>
      <c r="N210" s="665"/>
      <c r="O210" s="665"/>
      <c r="P210" s="665"/>
      <c r="Q210" s="665"/>
      <c r="R210" s="665"/>
      <c r="S210" s="665"/>
      <c r="T210" s="673"/>
      <c r="U210" s="673"/>
      <c r="V210" s="673"/>
      <c r="W210" s="673"/>
      <c r="X210" s="673"/>
      <c r="Y210" s="673"/>
      <c r="Z210" s="673"/>
      <c r="AA210" s="673"/>
      <c r="AB210" s="673"/>
      <c r="AC210" s="673"/>
      <c r="AD210" s="673"/>
      <c r="AE210" s="673"/>
      <c r="AF210" s="673"/>
      <c r="AG210" s="673"/>
      <c r="AH210" s="673"/>
    </row>
    <row r="211">
      <c r="A211" s="653"/>
      <c r="B211" s="654"/>
      <c r="C211" s="691"/>
      <c r="D211" s="661"/>
      <c r="E211" s="705"/>
      <c r="F211" s="659"/>
      <c r="G211" s="661"/>
      <c r="H211" s="660"/>
      <c r="I211" s="691"/>
      <c r="J211" s="661"/>
      <c r="K211" s="706"/>
      <c r="L211" s="665"/>
      <c r="M211" s="663"/>
      <c r="N211" s="665"/>
      <c r="O211" s="665"/>
      <c r="P211" s="665"/>
      <c r="Q211" s="665"/>
      <c r="R211" s="665"/>
      <c r="S211" s="665"/>
      <c r="T211" s="673"/>
      <c r="U211" s="673"/>
      <c r="V211" s="673"/>
      <c r="W211" s="673"/>
      <c r="X211" s="673"/>
      <c r="Y211" s="673"/>
      <c r="Z211" s="673"/>
      <c r="AA211" s="673"/>
      <c r="AB211" s="673"/>
      <c r="AC211" s="673"/>
      <c r="AD211" s="673"/>
      <c r="AE211" s="673"/>
      <c r="AF211" s="673"/>
      <c r="AG211" s="673"/>
      <c r="AH211" s="673"/>
    </row>
    <row r="212">
      <c r="A212" s="653"/>
      <c r="B212" s="654"/>
      <c r="C212" s="691"/>
      <c r="D212" s="661"/>
      <c r="E212" s="705"/>
      <c r="F212" s="659"/>
      <c r="G212" s="661"/>
      <c r="H212" s="660"/>
      <c r="I212" s="691"/>
      <c r="J212" s="661"/>
      <c r="K212" s="706"/>
      <c r="L212" s="665"/>
      <c r="M212" s="663"/>
      <c r="N212" s="665"/>
      <c r="O212" s="665"/>
      <c r="P212" s="665"/>
      <c r="Q212" s="665"/>
      <c r="R212" s="665"/>
      <c r="S212" s="665"/>
      <c r="T212" s="673"/>
      <c r="U212" s="673"/>
      <c r="V212" s="673"/>
      <c r="W212" s="673"/>
      <c r="X212" s="673"/>
      <c r="Y212" s="673"/>
      <c r="Z212" s="673"/>
      <c r="AA212" s="673"/>
      <c r="AB212" s="673"/>
      <c r="AC212" s="673"/>
      <c r="AD212" s="673"/>
      <c r="AE212" s="673"/>
      <c r="AF212" s="673"/>
      <c r="AG212" s="673"/>
      <c r="AH212" s="673"/>
    </row>
    <row r="213">
      <c r="A213" s="653"/>
      <c r="B213" s="654"/>
      <c r="C213" s="691"/>
      <c r="D213" s="661"/>
      <c r="E213" s="705"/>
      <c r="F213" s="659"/>
      <c r="G213" s="661"/>
      <c r="H213" s="660"/>
      <c r="I213" s="691"/>
      <c r="J213" s="661"/>
      <c r="K213" s="706"/>
      <c r="L213" s="665"/>
      <c r="M213" s="663"/>
      <c r="N213" s="665"/>
      <c r="O213" s="665"/>
      <c r="P213" s="665"/>
      <c r="Q213" s="665"/>
      <c r="R213" s="665"/>
      <c r="S213" s="665"/>
      <c r="T213" s="673"/>
      <c r="U213" s="673"/>
      <c r="V213" s="673"/>
      <c r="W213" s="673"/>
      <c r="X213" s="673"/>
      <c r="Y213" s="673"/>
      <c r="Z213" s="673"/>
      <c r="AA213" s="673"/>
      <c r="AB213" s="673"/>
      <c r="AC213" s="673"/>
      <c r="AD213" s="673"/>
      <c r="AE213" s="673"/>
      <c r="AF213" s="673"/>
      <c r="AG213" s="673"/>
      <c r="AH213" s="673"/>
    </row>
    <row r="214">
      <c r="A214" s="653"/>
      <c r="B214" s="654"/>
      <c r="C214" s="691"/>
      <c r="D214" s="661"/>
      <c r="E214" s="705"/>
      <c r="F214" s="659"/>
      <c r="G214" s="661"/>
      <c r="H214" s="660"/>
      <c r="I214" s="691"/>
      <c r="J214" s="661"/>
      <c r="K214" s="706"/>
      <c r="L214" s="665"/>
      <c r="M214" s="663"/>
      <c r="N214" s="665"/>
      <c r="O214" s="665"/>
      <c r="P214" s="665"/>
      <c r="Q214" s="665"/>
      <c r="R214" s="665"/>
      <c r="S214" s="665"/>
      <c r="T214" s="673"/>
      <c r="U214" s="673"/>
      <c r="V214" s="673"/>
      <c r="W214" s="673"/>
      <c r="X214" s="673"/>
      <c r="Y214" s="673"/>
      <c r="Z214" s="673"/>
      <c r="AA214" s="673"/>
      <c r="AB214" s="673"/>
      <c r="AC214" s="673"/>
      <c r="AD214" s="673"/>
      <c r="AE214" s="673"/>
      <c r="AF214" s="673"/>
      <c r="AG214" s="673"/>
      <c r="AH214" s="673"/>
    </row>
    <row r="215">
      <c r="A215" s="653"/>
      <c r="B215" s="654"/>
      <c r="C215" s="691"/>
      <c r="D215" s="661"/>
      <c r="E215" s="705"/>
      <c r="F215" s="659"/>
      <c r="G215" s="661"/>
      <c r="H215" s="660"/>
      <c r="I215" s="691"/>
      <c r="J215" s="661"/>
      <c r="K215" s="706"/>
      <c r="L215" s="665"/>
      <c r="M215" s="663"/>
      <c r="N215" s="665"/>
      <c r="O215" s="665"/>
      <c r="P215" s="665"/>
      <c r="Q215" s="665"/>
      <c r="R215" s="665"/>
      <c r="S215" s="665"/>
      <c r="T215" s="673"/>
      <c r="U215" s="673"/>
      <c r="V215" s="673"/>
      <c r="W215" s="673"/>
      <c r="X215" s="673"/>
      <c r="Y215" s="673"/>
      <c r="Z215" s="673"/>
      <c r="AA215" s="673"/>
      <c r="AB215" s="673"/>
      <c r="AC215" s="673"/>
      <c r="AD215" s="673"/>
      <c r="AE215" s="673"/>
      <c r="AF215" s="673"/>
      <c r="AG215" s="673"/>
      <c r="AH215" s="673"/>
    </row>
    <row r="216">
      <c r="A216" s="653"/>
      <c r="B216" s="654"/>
      <c r="C216" s="691"/>
      <c r="D216" s="661"/>
      <c r="E216" s="705"/>
      <c r="F216" s="659"/>
      <c r="G216" s="661"/>
      <c r="H216" s="660"/>
      <c r="I216" s="691"/>
      <c r="J216" s="661"/>
      <c r="K216" s="706"/>
      <c r="L216" s="665"/>
      <c r="M216" s="663"/>
      <c r="N216" s="665"/>
      <c r="O216" s="665"/>
      <c r="P216" s="665"/>
      <c r="Q216" s="665"/>
      <c r="R216" s="665"/>
      <c r="S216" s="665"/>
      <c r="T216" s="673"/>
      <c r="U216" s="673"/>
      <c r="V216" s="673"/>
      <c r="W216" s="673"/>
      <c r="X216" s="673"/>
      <c r="Y216" s="673"/>
      <c r="Z216" s="673"/>
      <c r="AA216" s="673"/>
      <c r="AB216" s="673"/>
      <c r="AC216" s="673"/>
      <c r="AD216" s="673"/>
      <c r="AE216" s="673"/>
      <c r="AF216" s="673"/>
      <c r="AG216" s="673"/>
      <c r="AH216" s="673"/>
    </row>
    <row r="217">
      <c r="A217" s="653"/>
      <c r="B217" s="654"/>
      <c r="C217" s="691"/>
      <c r="D217" s="661"/>
      <c r="E217" s="705"/>
      <c r="F217" s="659"/>
      <c r="G217" s="661"/>
      <c r="H217" s="660"/>
      <c r="I217" s="691"/>
      <c r="J217" s="661"/>
      <c r="K217" s="706"/>
      <c r="L217" s="665"/>
      <c r="M217" s="663"/>
      <c r="N217" s="665"/>
      <c r="O217" s="665"/>
      <c r="P217" s="665"/>
      <c r="Q217" s="665"/>
      <c r="R217" s="665"/>
      <c r="S217" s="665"/>
      <c r="T217" s="673"/>
      <c r="U217" s="673"/>
      <c r="V217" s="673"/>
      <c r="W217" s="673"/>
      <c r="X217" s="673"/>
      <c r="Y217" s="673"/>
      <c r="Z217" s="673"/>
      <c r="AA217" s="673"/>
      <c r="AB217" s="673"/>
      <c r="AC217" s="673"/>
      <c r="AD217" s="673"/>
      <c r="AE217" s="673"/>
      <c r="AF217" s="673"/>
      <c r="AG217" s="673"/>
      <c r="AH217" s="673"/>
    </row>
    <row r="218">
      <c r="A218" s="653"/>
      <c r="B218" s="654"/>
      <c r="C218" s="691"/>
      <c r="D218" s="661"/>
      <c r="E218" s="705"/>
      <c r="F218" s="659"/>
      <c r="G218" s="661"/>
      <c r="H218" s="660"/>
      <c r="I218" s="691"/>
      <c r="J218" s="661"/>
      <c r="K218" s="706"/>
      <c r="L218" s="665"/>
      <c r="M218" s="663"/>
      <c r="N218" s="665"/>
      <c r="O218" s="665"/>
      <c r="P218" s="665"/>
      <c r="Q218" s="665"/>
      <c r="R218" s="665"/>
      <c r="S218" s="665"/>
      <c r="T218" s="673"/>
      <c r="U218" s="673"/>
      <c r="V218" s="673"/>
      <c r="W218" s="673"/>
      <c r="X218" s="673"/>
      <c r="Y218" s="673"/>
      <c r="Z218" s="673"/>
      <c r="AA218" s="673"/>
      <c r="AB218" s="673"/>
      <c r="AC218" s="673"/>
      <c r="AD218" s="673"/>
      <c r="AE218" s="673"/>
      <c r="AF218" s="673"/>
      <c r="AG218" s="673"/>
      <c r="AH218" s="673"/>
    </row>
    <row r="219">
      <c r="A219" s="653"/>
      <c r="B219" s="654"/>
      <c r="C219" s="691"/>
      <c r="D219" s="661"/>
      <c r="E219" s="705"/>
      <c r="F219" s="659"/>
      <c r="G219" s="661"/>
      <c r="H219" s="660"/>
      <c r="I219" s="691"/>
      <c r="J219" s="661"/>
      <c r="K219" s="706"/>
      <c r="L219" s="665"/>
      <c r="M219" s="663"/>
      <c r="N219" s="665"/>
      <c r="O219" s="665"/>
      <c r="P219" s="665"/>
      <c r="Q219" s="665"/>
      <c r="R219" s="665"/>
      <c r="S219" s="665"/>
      <c r="T219" s="673"/>
      <c r="U219" s="673"/>
      <c r="V219" s="673"/>
      <c r="W219" s="673"/>
      <c r="X219" s="673"/>
      <c r="Y219" s="673"/>
      <c r="Z219" s="673"/>
      <c r="AA219" s="673"/>
      <c r="AB219" s="673"/>
      <c r="AC219" s="673"/>
      <c r="AD219" s="673"/>
      <c r="AE219" s="673"/>
      <c r="AF219" s="673"/>
      <c r="AG219" s="673"/>
      <c r="AH219" s="673"/>
    </row>
    <row r="220">
      <c r="A220" s="653"/>
      <c r="B220" s="654"/>
      <c r="C220" s="691"/>
      <c r="D220" s="661"/>
      <c r="E220" s="705"/>
      <c r="F220" s="659"/>
      <c r="G220" s="661"/>
      <c r="H220" s="660"/>
      <c r="I220" s="691"/>
      <c r="J220" s="661"/>
      <c r="K220" s="706"/>
      <c r="L220" s="665"/>
      <c r="M220" s="663"/>
      <c r="N220" s="665"/>
      <c r="O220" s="665"/>
      <c r="P220" s="665"/>
      <c r="Q220" s="665"/>
      <c r="R220" s="665"/>
      <c r="S220" s="665"/>
      <c r="T220" s="673"/>
      <c r="U220" s="673"/>
      <c r="V220" s="673"/>
      <c r="W220" s="673"/>
      <c r="X220" s="673"/>
      <c r="Y220" s="673"/>
      <c r="Z220" s="673"/>
      <c r="AA220" s="673"/>
      <c r="AB220" s="673"/>
      <c r="AC220" s="673"/>
      <c r="AD220" s="673"/>
      <c r="AE220" s="673"/>
      <c r="AF220" s="673"/>
      <c r="AG220" s="673"/>
      <c r="AH220" s="673"/>
    </row>
    <row r="221">
      <c r="A221" s="653"/>
      <c r="B221" s="654"/>
      <c r="C221" s="691"/>
      <c r="D221" s="661"/>
      <c r="E221" s="705"/>
      <c r="F221" s="659"/>
      <c r="G221" s="661"/>
      <c r="H221" s="660"/>
      <c r="I221" s="691"/>
      <c r="J221" s="661"/>
      <c r="K221" s="706"/>
      <c r="L221" s="665"/>
      <c r="M221" s="663"/>
      <c r="N221" s="665"/>
      <c r="O221" s="665"/>
      <c r="P221" s="665"/>
      <c r="Q221" s="665"/>
      <c r="R221" s="665"/>
      <c r="S221" s="665"/>
      <c r="T221" s="673"/>
      <c r="U221" s="673"/>
      <c r="V221" s="673"/>
      <c r="W221" s="673"/>
      <c r="X221" s="673"/>
      <c r="Y221" s="673"/>
      <c r="Z221" s="673"/>
      <c r="AA221" s="673"/>
      <c r="AB221" s="673"/>
      <c r="AC221" s="673"/>
      <c r="AD221" s="673"/>
      <c r="AE221" s="673"/>
      <c r="AF221" s="673"/>
      <c r="AG221" s="673"/>
      <c r="AH221" s="673"/>
    </row>
    <row r="222">
      <c r="A222" s="653"/>
      <c r="B222" s="654"/>
      <c r="C222" s="691"/>
      <c r="D222" s="661"/>
      <c r="E222" s="705"/>
      <c r="F222" s="659"/>
      <c r="G222" s="661"/>
      <c r="H222" s="660"/>
      <c r="I222" s="691"/>
      <c r="J222" s="661"/>
      <c r="K222" s="706"/>
      <c r="L222" s="665"/>
      <c r="M222" s="663"/>
      <c r="N222" s="665"/>
      <c r="O222" s="665"/>
      <c r="P222" s="665"/>
      <c r="Q222" s="665"/>
      <c r="R222" s="665"/>
      <c r="S222" s="665"/>
      <c r="T222" s="673"/>
      <c r="U222" s="673"/>
      <c r="V222" s="673"/>
      <c r="W222" s="673"/>
      <c r="X222" s="673"/>
      <c r="Y222" s="673"/>
      <c r="Z222" s="673"/>
      <c r="AA222" s="673"/>
      <c r="AB222" s="673"/>
      <c r="AC222" s="673"/>
      <c r="AD222" s="673"/>
      <c r="AE222" s="673"/>
      <c r="AF222" s="673"/>
      <c r="AG222" s="673"/>
      <c r="AH222" s="673"/>
    </row>
    <row r="223">
      <c r="A223" s="653"/>
      <c r="B223" s="654"/>
      <c r="C223" s="691"/>
      <c r="D223" s="661"/>
      <c r="E223" s="705"/>
      <c r="F223" s="659"/>
      <c r="G223" s="661"/>
      <c r="H223" s="660"/>
      <c r="I223" s="691"/>
      <c r="J223" s="661"/>
      <c r="K223" s="706"/>
      <c r="L223" s="665"/>
      <c r="M223" s="663"/>
      <c r="N223" s="665"/>
      <c r="O223" s="665"/>
      <c r="P223" s="665"/>
      <c r="Q223" s="665"/>
      <c r="R223" s="665"/>
      <c r="S223" s="665"/>
      <c r="T223" s="673"/>
      <c r="U223" s="673"/>
      <c r="V223" s="673"/>
      <c r="W223" s="673"/>
      <c r="X223" s="673"/>
      <c r="Y223" s="673"/>
      <c r="Z223" s="673"/>
      <c r="AA223" s="673"/>
      <c r="AB223" s="673"/>
      <c r="AC223" s="673"/>
      <c r="AD223" s="673"/>
      <c r="AE223" s="673"/>
      <c r="AF223" s="673"/>
      <c r="AG223" s="673"/>
      <c r="AH223" s="673"/>
    </row>
    <row r="224">
      <c r="A224" s="653"/>
      <c r="B224" s="654"/>
      <c r="C224" s="691"/>
      <c r="D224" s="661"/>
      <c r="E224" s="705"/>
      <c r="F224" s="659"/>
      <c r="G224" s="661"/>
      <c r="H224" s="660"/>
      <c r="I224" s="691"/>
      <c r="J224" s="661"/>
      <c r="K224" s="706"/>
      <c r="L224" s="665"/>
      <c r="M224" s="663"/>
      <c r="N224" s="665"/>
      <c r="O224" s="665"/>
      <c r="P224" s="665"/>
      <c r="Q224" s="665"/>
      <c r="R224" s="665"/>
      <c r="S224" s="665"/>
      <c r="T224" s="673"/>
      <c r="U224" s="673"/>
      <c r="V224" s="673"/>
      <c r="W224" s="673"/>
      <c r="X224" s="673"/>
      <c r="Y224" s="673"/>
      <c r="Z224" s="673"/>
      <c r="AA224" s="673"/>
      <c r="AB224" s="673"/>
      <c r="AC224" s="673"/>
      <c r="AD224" s="673"/>
      <c r="AE224" s="673"/>
      <c r="AF224" s="673"/>
      <c r="AG224" s="673"/>
      <c r="AH224" s="673"/>
    </row>
    <row r="225">
      <c r="A225" s="653"/>
      <c r="B225" s="654"/>
      <c r="C225" s="691"/>
      <c r="D225" s="661"/>
      <c r="E225" s="705"/>
      <c r="F225" s="659"/>
      <c r="G225" s="661"/>
      <c r="H225" s="660"/>
      <c r="I225" s="691"/>
      <c r="J225" s="661"/>
      <c r="K225" s="706"/>
      <c r="L225" s="665"/>
      <c r="M225" s="663"/>
      <c r="N225" s="665"/>
      <c r="O225" s="665"/>
      <c r="P225" s="665"/>
      <c r="Q225" s="665"/>
      <c r="R225" s="665"/>
      <c r="S225" s="665"/>
      <c r="T225" s="673"/>
      <c r="U225" s="673"/>
      <c r="V225" s="673"/>
      <c r="W225" s="673"/>
      <c r="X225" s="673"/>
      <c r="Y225" s="673"/>
      <c r="Z225" s="673"/>
      <c r="AA225" s="673"/>
      <c r="AB225" s="673"/>
      <c r="AC225" s="673"/>
      <c r="AD225" s="673"/>
      <c r="AE225" s="673"/>
      <c r="AF225" s="673"/>
      <c r="AG225" s="673"/>
      <c r="AH225" s="673"/>
    </row>
    <row r="226">
      <c r="A226" s="653"/>
      <c r="B226" s="654"/>
      <c r="C226" s="691"/>
      <c r="D226" s="661"/>
      <c r="E226" s="705"/>
      <c r="F226" s="659"/>
      <c r="G226" s="661"/>
      <c r="H226" s="660"/>
      <c r="I226" s="691"/>
      <c r="J226" s="661"/>
      <c r="K226" s="706"/>
      <c r="L226" s="665"/>
      <c r="M226" s="663"/>
      <c r="N226" s="665"/>
      <c r="O226" s="665"/>
      <c r="P226" s="665"/>
      <c r="Q226" s="665"/>
      <c r="R226" s="665"/>
      <c r="S226" s="665"/>
      <c r="T226" s="673"/>
      <c r="U226" s="673"/>
      <c r="V226" s="673"/>
      <c r="W226" s="673"/>
      <c r="X226" s="673"/>
      <c r="Y226" s="673"/>
      <c r="Z226" s="673"/>
      <c r="AA226" s="673"/>
      <c r="AB226" s="673"/>
      <c r="AC226" s="673"/>
      <c r="AD226" s="673"/>
      <c r="AE226" s="673"/>
      <c r="AF226" s="673"/>
      <c r="AG226" s="673"/>
      <c r="AH226" s="673"/>
    </row>
    <row r="227">
      <c r="A227" s="653"/>
      <c r="B227" s="654"/>
      <c r="C227" s="691"/>
      <c r="D227" s="661"/>
      <c r="E227" s="705"/>
      <c r="F227" s="659"/>
      <c r="G227" s="661"/>
      <c r="H227" s="660"/>
      <c r="I227" s="691"/>
      <c r="J227" s="661"/>
      <c r="K227" s="706"/>
      <c r="L227" s="665"/>
      <c r="M227" s="663"/>
      <c r="N227" s="665"/>
      <c r="O227" s="665"/>
      <c r="P227" s="665"/>
      <c r="Q227" s="665"/>
      <c r="R227" s="665"/>
      <c r="S227" s="665"/>
      <c r="T227" s="673"/>
      <c r="U227" s="673"/>
      <c r="V227" s="673"/>
      <c r="W227" s="673"/>
      <c r="X227" s="673"/>
      <c r="Y227" s="673"/>
      <c r="Z227" s="673"/>
      <c r="AA227" s="673"/>
      <c r="AB227" s="673"/>
      <c r="AC227" s="673"/>
      <c r="AD227" s="673"/>
      <c r="AE227" s="673"/>
      <c r="AF227" s="673"/>
      <c r="AG227" s="673"/>
      <c r="AH227" s="673"/>
    </row>
    <row r="228">
      <c r="A228" s="653"/>
      <c r="B228" s="654"/>
      <c r="C228" s="691"/>
      <c r="D228" s="661"/>
      <c r="E228" s="705"/>
      <c r="F228" s="659"/>
      <c r="G228" s="661"/>
      <c r="H228" s="660"/>
      <c r="I228" s="691"/>
      <c r="J228" s="661"/>
      <c r="K228" s="706"/>
      <c r="L228" s="665"/>
      <c r="M228" s="663"/>
      <c r="N228" s="665"/>
      <c r="O228" s="665"/>
      <c r="P228" s="665"/>
      <c r="Q228" s="665"/>
      <c r="R228" s="665"/>
      <c r="S228" s="665"/>
      <c r="T228" s="673"/>
      <c r="U228" s="673"/>
      <c r="V228" s="673"/>
      <c r="W228" s="673"/>
      <c r="X228" s="673"/>
      <c r="Y228" s="673"/>
      <c r="Z228" s="673"/>
      <c r="AA228" s="673"/>
      <c r="AB228" s="673"/>
      <c r="AC228" s="673"/>
      <c r="AD228" s="673"/>
      <c r="AE228" s="673"/>
      <c r="AF228" s="673"/>
      <c r="AG228" s="673"/>
      <c r="AH228" s="673"/>
    </row>
    <row r="229">
      <c r="A229" s="653"/>
      <c r="B229" s="654"/>
      <c r="C229" s="691"/>
      <c r="D229" s="661"/>
      <c r="E229" s="705"/>
      <c r="F229" s="659"/>
      <c r="G229" s="661"/>
      <c r="H229" s="660"/>
      <c r="I229" s="691"/>
      <c r="J229" s="661"/>
      <c r="K229" s="706"/>
      <c r="L229" s="665"/>
      <c r="M229" s="663"/>
      <c r="N229" s="665"/>
      <c r="O229" s="665"/>
      <c r="P229" s="665"/>
      <c r="Q229" s="665"/>
      <c r="R229" s="665"/>
      <c r="S229" s="665"/>
      <c r="T229" s="673"/>
      <c r="U229" s="673"/>
      <c r="V229" s="673"/>
      <c r="W229" s="673"/>
      <c r="X229" s="673"/>
      <c r="Y229" s="673"/>
      <c r="Z229" s="673"/>
      <c r="AA229" s="673"/>
      <c r="AB229" s="673"/>
      <c r="AC229" s="673"/>
      <c r="AD229" s="673"/>
      <c r="AE229" s="673"/>
      <c r="AF229" s="673"/>
      <c r="AG229" s="673"/>
      <c r="AH229" s="673"/>
    </row>
    <row r="230">
      <c r="A230" s="653"/>
      <c r="B230" s="654"/>
      <c r="C230" s="691"/>
      <c r="D230" s="661"/>
      <c r="E230" s="705"/>
      <c r="F230" s="659"/>
      <c r="G230" s="661"/>
      <c r="H230" s="660"/>
      <c r="I230" s="691"/>
      <c r="J230" s="661"/>
      <c r="K230" s="706"/>
      <c r="L230" s="665"/>
      <c r="M230" s="663"/>
      <c r="N230" s="665"/>
      <c r="O230" s="665"/>
      <c r="P230" s="665"/>
      <c r="Q230" s="665"/>
      <c r="R230" s="665"/>
      <c r="S230" s="665"/>
      <c r="T230" s="673"/>
      <c r="U230" s="673"/>
      <c r="V230" s="673"/>
      <c r="W230" s="673"/>
      <c r="X230" s="673"/>
      <c r="Y230" s="673"/>
      <c r="Z230" s="673"/>
      <c r="AA230" s="673"/>
      <c r="AB230" s="673"/>
      <c r="AC230" s="673"/>
      <c r="AD230" s="673"/>
      <c r="AE230" s="673"/>
      <c r="AF230" s="673"/>
      <c r="AG230" s="673"/>
      <c r="AH230" s="673"/>
    </row>
    <row r="231">
      <c r="A231" s="653"/>
      <c r="B231" s="654"/>
      <c r="C231" s="691"/>
      <c r="D231" s="661"/>
      <c r="E231" s="705"/>
      <c r="F231" s="659"/>
      <c r="G231" s="661"/>
      <c r="H231" s="660"/>
      <c r="I231" s="691"/>
      <c r="J231" s="661"/>
      <c r="K231" s="706"/>
      <c r="L231" s="665"/>
      <c r="M231" s="663"/>
      <c r="N231" s="665"/>
      <c r="O231" s="665"/>
      <c r="P231" s="665"/>
      <c r="Q231" s="665"/>
      <c r="R231" s="665"/>
      <c r="S231" s="665"/>
      <c r="T231" s="673"/>
      <c r="U231" s="673"/>
      <c r="V231" s="673"/>
      <c r="W231" s="673"/>
      <c r="X231" s="673"/>
      <c r="Y231" s="673"/>
      <c r="Z231" s="673"/>
      <c r="AA231" s="673"/>
      <c r="AB231" s="673"/>
      <c r="AC231" s="673"/>
      <c r="AD231" s="673"/>
      <c r="AE231" s="673"/>
      <c r="AF231" s="673"/>
      <c r="AG231" s="673"/>
      <c r="AH231" s="673"/>
    </row>
    <row r="232">
      <c r="A232" s="653"/>
      <c r="B232" s="654"/>
      <c r="C232" s="691"/>
      <c r="D232" s="661"/>
      <c r="E232" s="705"/>
      <c r="F232" s="659"/>
      <c r="G232" s="661"/>
      <c r="H232" s="660"/>
      <c r="I232" s="691"/>
      <c r="J232" s="661"/>
      <c r="K232" s="706"/>
      <c r="L232" s="665"/>
      <c r="M232" s="663"/>
      <c r="N232" s="665"/>
      <c r="O232" s="665"/>
      <c r="P232" s="665"/>
      <c r="Q232" s="665"/>
      <c r="R232" s="665"/>
      <c r="S232" s="665"/>
      <c r="T232" s="673"/>
      <c r="U232" s="673"/>
      <c r="V232" s="673"/>
      <c r="W232" s="673"/>
      <c r="X232" s="673"/>
      <c r="Y232" s="673"/>
      <c r="Z232" s="673"/>
      <c r="AA232" s="673"/>
      <c r="AB232" s="673"/>
      <c r="AC232" s="673"/>
      <c r="AD232" s="673"/>
      <c r="AE232" s="673"/>
      <c r="AF232" s="673"/>
      <c r="AG232" s="673"/>
      <c r="AH232" s="673"/>
    </row>
    <row r="233">
      <c r="A233" s="653"/>
      <c r="B233" s="654"/>
      <c r="C233" s="691"/>
      <c r="D233" s="661"/>
      <c r="E233" s="705"/>
      <c r="F233" s="659"/>
      <c r="G233" s="661"/>
      <c r="H233" s="660"/>
      <c r="I233" s="691"/>
      <c r="J233" s="661"/>
      <c r="K233" s="706"/>
      <c r="L233" s="665"/>
      <c r="M233" s="663"/>
      <c r="N233" s="665"/>
      <c r="O233" s="665"/>
      <c r="P233" s="665"/>
      <c r="Q233" s="665"/>
      <c r="R233" s="665"/>
      <c r="S233" s="665"/>
      <c r="T233" s="673"/>
      <c r="U233" s="673"/>
      <c r="V233" s="673"/>
      <c r="W233" s="673"/>
      <c r="X233" s="673"/>
      <c r="Y233" s="673"/>
      <c r="Z233" s="673"/>
      <c r="AA233" s="673"/>
      <c r="AB233" s="673"/>
      <c r="AC233" s="673"/>
      <c r="AD233" s="673"/>
      <c r="AE233" s="673"/>
      <c r="AF233" s="673"/>
      <c r="AG233" s="673"/>
      <c r="AH233" s="673"/>
    </row>
    <row r="234">
      <c r="A234" s="653"/>
      <c r="B234" s="654"/>
      <c r="C234" s="691"/>
      <c r="D234" s="661"/>
      <c r="E234" s="705"/>
      <c r="F234" s="659"/>
      <c r="G234" s="661"/>
      <c r="H234" s="660"/>
      <c r="I234" s="691"/>
      <c r="J234" s="661"/>
      <c r="K234" s="706"/>
      <c r="L234" s="665"/>
      <c r="M234" s="663"/>
      <c r="N234" s="665"/>
      <c r="O234" s="665"/>
      <c r="P234" s="665"/>
      <c r="Q234" s="665"/>
      <c r="R234" s="665"/>
      <c r="S234" s="665"/>
      <c r="T234" s="673"/>
      <c r="U234" s="673"/>
      <c r="V234" s="673"/>
      <c r="W234" s="673"/>
      <c r="X234" s="673"/>
      <c r="Y234" s="673"/>
      <c r="Z234" s="673"/>
      <c r="AA234" s="673"/>
      <c r="AB234" s="673"/>
      <c r="AC234" s="673"/>
      <c r="AD234" s="673"/>
      <c r="AE234" s="673"/>
      <c r="AF234" s="673"/>
      <c r="AG234" s="673"/>
      <c r="AH234" s="673"/>
    </row>
    <row r="235">
      <c r="A235" s="653"/>
      <c r="B235" s="654"/>
      <c r="C235" s="691"/>
      <c r="D235" s="661"/>
      <c r="E235" s="705"/>
      <c r="F235" s="659"/>
      <c r="G235" s="661"/>
      <c r="H235" s="660"/>
      <c r="I235" s="691"/>
      <c r="J235" s="661"/>
      <c r="K235" s="706"/>
      <c r="L235" s="665"/>
      <c r="M235" s="663"/>
      <c r="N235" s="665"/>
      <c r="O235" s="665"/>
      <c r="P235" s="665"/>
      <c r="Q235" s="665"/>
      <c r="R235" s="665"/>
      <c r="S235" s="665"/>
      <c r="T235" s="673"/>
      <c r="U235" s="673"/>
      <c r="V235" s="673"/>
      <c r="W235" s="673"/>
      <c r="X235" s="673"/>
      <c r="Y235" s="673"/>
      <c r="Z235" s="673"/>
      <c r="AA235" s="673"/>
      <c r="AB235" s="673"/>
      <c r="AC235" s="673"/>
      <c r="AD235" s="673"/>
      <c r="AE235" s="673"/>
      <c r="AF235" s="673"/>
      <c r="AG235" s="673"/>
      <c r="AH235" s="673"/>
    </row>
    <row r="236">
      <c r="A236" s="653"/>
      <c r="B236" s="654"/>
      <c r="C236" s="691"/>
      <c r="D236" s="661"/>
      <c r="E236" s="705"/>
      <c r="F236" s="659"/>
      <c r="G236" s="661"/>
      <c r="H236" s="660"/>
      <c r="I236" s="691"/>
      <c r="J236" s="661"/>
      <c r="K236" s="706"/>
      <c r="L236" s="665"/>
      <c r="M236" s="663"/>
      <c r="N236" s="665"/>
      <c r="O236" s="665"/>
      <c r="P236" s="665"/>
      <c r="Q236" s="665"/>
      <c r="R236" s="665"/>
      <c r="S236" s="665"/>
      <c r="T236" s="673"/>
      <c r="U236" s="673"/>
      <c r="V236" s="673"/>
      <c r="W236" s="673"/>
      <c r="X236" s="673"/>
      <c r="Y236" s="673"/>
      <c r="Z236" s="673"/>
      <c r="AA236" s="673"/>
      <c r="AB236" s="673"/>
      <c r="AC236" s="673"/>
      <c r="AD236" s="673"/>
      <c r="AE236" s="673"/>
      <c r="AF236" s="673"/>
      <c r="AG236" s="673"/>
      <c r="AH236" s="673"/>
    </row>
    <row r="237">
      <c r="A237" s="653"/>
      <c r="B237" s="654"/>
      <c r="C237" s="691"/>
      <c r="D237" s="661"/>
      <c r="E237" s="705"/>
      <c r="F237" s="659"/>
      <c r="G237" s="661"/>
      <c r="H237" s="660"/>
      <c r="I237" s="691"/>
      <c r="J237" s="661"/>
      <c r="K237" s="706"/>
      <c r="L237" s="665"/>
      <c r="M237" s="663"/>
      <c r="N237" s="665"/>
      <c r="O237" s="665"/>
      <c r="P237" s="665"/>
      <c r="Q237" s="665"/>
      <c r="R237" s="665"/>
      <c r="S237" s="665"/>
      <c r="T237" s="673"/>
      <c r="U237" s="673"/>
      <c r="V237" s="673"/>
      <c r="W237" s="673"/>
      <c r="X237" s="673"/>
      <c r="Y237" s="673"/>
      <c r="Z237" s="673"/>
      <c r="AA237" s="673"/>
      <c r="AB237" s="673"/>
      <c r="AC237" s="673"/>
      <c r="AD237" s="673"/>
      <c r="AE237" s="673"/>
      <c r="AF237" s="673"/>
      <c r="AG237" s="673"/>
      <c r="AH237" s="673"/>
    </row>
    <row r="238">
      <c r="A238" s="653"/>
      <c r="B238" s="654"/>
      <c r="C238" s="691"/>
      <c r="D238" s="661"/>
      <c r="E238" s="705"/>
      <c r="F238" s="659"/>
      <c r="G238" s="661"/>
      <c r="H238" s="660"/>
      <c r="I238" s="691"/>
      <c r="J238" s="661"/>
      <c r="K238" s="706"/>
      <c r="L238" s="665"/>
      <c r="M238" s="663"/>
      <c r="N238" s="665"/>
      <c r="O238" s="665"/>
      <c r="P238" s="665"/>
      <c r="Q238" s="665"/>
      <c r="R238" s="665"/>
      <c r="S238" s="665"/>
      <c r="T238" s="673"/>
      <c r="U238" s="673"/>
      <c r="V238" s="673"/>
      <c r="W238" s="673"/>
      <c r="X238" s="673"/>
      <c r="Y238" s="673"/>
      <c r="Z238" s="673"/>
      <c r="AA238" s="673"/>
      <c r="AB238" s="673"/>
      <c r="AC238" s="673"/>
      <c r="AD238" s="673"/>
      <c r="AE238" s="673"/>
      <c r="AF238" s="673"/>
      <c r="AG238" s="673"/>
      <c r="AH238" s="673"/>
    </row>
    <row r="239">
      <c r="A239" s="653"/>
      <c r="B239" s="654"/>
      <c r="C239" s="691"/>
      <c r="D239" s="661"/>
      <c r="E239" s="705"/>
      <c r="F239" s="659"/>
      <c r="G239" s="661"/>
      <c r="H239" s="660"/>
      <c r="I239" s="691"/>
      <c r="J239" s="661"/>
      <c r="K239" s="706"/>
      <c r="L239" s="665"/>
      <c r="M239" s="663"/>
      <c r="N239" s="665"/>
      <c r="O239" s="665"/>
      <c r="P239" s="665"/>
      <c r="Q239" s="665"/>
      <c r="R239" s="665"/>
      <c r="S239" s="665"/>
      <c r="T239" s="673"/>
      <c r="U239" s="673"/>
      <c r="V239" s="673"/>
      <c r="W239" s="673"/>
      <c r="X239" s="673"/>
      <c r="Y239" s="673"/>
      <c r="Z239" s="673"/>
      <c r="AA239" s="673"/>
      <c r="AB239" s="673"/>
      <c r="AC239" s="673"/>
      <c r="AD239" s="673"/>
      <c r="AE239" s="673"/>
      <c r="AF239" s="673"/>
      <c r="AG239" s="673"/>
      <c r="AH239" s="673"/>
    </row>
    <row r="240">
      <c r="A240" s="653"/>
      <c r="B240" s="654"/>
      <c r="C240" s="691"/>
      <c r="D240" s="661"/>
      <c r="E240" s="705"/>
      <c r="F240" s="659"/>
      <c r="G240" s="661"/>
      <c r="H240" s="660"/>
      <c r="I240" s="691"/>
      <c r="J240" s="661"/>
      <c r="K240" s="706"/>
      <c r="L240" s="665"/>
      <c r="M240" s="663"/>
      <c r="N240" s="665"/>
      <c r="O240" s="665"/>
      <c r="P240" s="665"/>
      <c r="Q240" s="665"/>
      <c r="R240" s="665"/>
      <c r="S240" s="665"/>
      <c r="T240" s="673"/>
      <c r="U240" s="673"/>
      <c r="V240" s="673"/>
      <c r="W240" s="673"/>
      <c r="X240" s="673"/>
      <c r="Y240" s="673"/>
      <c r="Z240" s="673"/>
      <c r="AA240" s="673"/>
      <c r="AB240" s="673"/>
      <c r="AC240" s="673"/>
      <c r="AD240" s="673"/>
      <c r="AE240" s="673"/>
      <c r="AF240" s="673"/>
      <c r="AG240" s="673"/>
      <c r="AH240" s="673"/>
    </row>
    <row r="241">
      <c r="A241" s="653"/>
      <c r="B241" s="654"/>
      <c r="C241" s="691"/>
      <c r="D241" s="661"/>
      <c r="E241" s="705"/>
      <c r="F241" s="659"/>
      <c r="G241" s="661"/>
      <c r="H241" s="660"/>
      <c r="I241" s="691"/>
      <c r="J241" s="661"/>
      <c r="K241" s="706"/>
      <c r="L241" s="665"/>
      <c r="M241" s="663"/>
      <c r="N241" s="665"/>
      <c r="O241" s="665"/>
      <c r="P241" s="665"/>
      <c r="Q241" s="665"/>
      <c r="R241" s="665"/>
      <c r="S241" s="665"/>
      <c r="T241" s="673"/>
      <c r="U241" s="673"/>
      <c r="V241" s="673"/>
      <c r="W241" s="673"/>
      <c r="X241" s="673"/>
      <c r="Y241" s="673"/>
      <c r="Z241" s="673"/>
      <c r="AA241" s="673"/>
      <c r="AB241" s="673"/>
      <c r="AC241" s="673"/>
      <c r="AD241" s="673"/>
      <c r="AE241" s="673"/>
      <c r="AF241" s="673"/>
      <c r="AG241" s="673"/>
      <c r="AH241" s="673"/>
    </row>
    <row r="242">
      <c r="A242" s="653"/>
      <c r="B242" s="654"/>
      <c r="C242" s="691"/>
      <c r="D242" s="661"/>
      <c r="E242" s="705"/>
      <c r="F242" s="659"/>
      <c r="G242" s="661"/>
      <c r="H242" s="660"/>
      <c r="I242" s="691"/>
      <c r="J242" s="661"/>
      <c r="K242" s="706"/>
      <c r="L242" s="665"/>
      <c r="M242" s="663"/>
      <c r="N242" s="665"/>
      <c r="O242" s="665"/>
      <c r="P242" s="665"/>
      <c r="Q242" s="665"/>
      <c r="R242" s="665"/>
      <c r="S242" s="665"/>
      <c r="T242" s="673"/>
      <c r="U242" s="673"/>
      <c r="V242" s="673"/>
      <c r="W242" s="673"/>
      <c r="X242" s="673"/>
      <c r="Y242" s="673"/>
      <c r="Z242" s="673"/>
      <c r="AA242" s="673"/>
      <c r="AB242" s="673"/>
      <c r="AC242" s="673"/>
      <c r="AD242" s="673"/>
      <c r="AE242" s="673"/>
      <c r="AF242" s="673"/>
      <c r="AG242" s="673"/>
      <c r="AH242" s="673"/>
    </row>
    <row r="243">
      <c r="A243" s="653"/>
      <c r="B243" s="654"/>
      <c r="C243" s="691"/>
      <c r="D243" s="661"/>
      <c r="E243" s="705"/>
      <c r="F243" s="659"/>
      <c r="G243" s="661"/>
      <c r="H243" s="660"/>
      <c r="I243" s="691"/>
      <c r="J243" s="661"/>
      <c r="K243" s="706"/>
      <c r="L243" s="665"/>
      <c r="M243" s="663"/>
      <c r="N243" s="665"/>
      <c r="O243" s="665"/>
      <c r="P243" s="665"/>
      <c r="Q243" s="665"/>
      <c r="R243" s="665"/>
      <c r="S243" s="665"/>
      <c r="T243" s="673"/>
      <c r="U243" s="673"/>
      <c r="V243" s="673"/>
      <c r="W243" s="673"/>
      <c r="X243" s="673"/>
      <c r="Y243" s="673"/>
      <c r="Z243" s="673"/>
      <c r="AA243" s="673"/>
      <c r="AB243" s="673"/>
      <c r="AC243" s="673"/>
      <c r="AD243" s="673"/>
      <c r="AE243" s="673"/>
      <c r="AF243" s="673"/>
      <c r="AG243" s="673"/>
      <c r="AH243" s="673"/>
    </row>
    <row r="244">
      <c r="A244" s="653"/>
      <c r="B244" s="654"/>
      <c r="C244" s="691"/>
      <c r="D244" s="661"/>
      <c r="E244" s="705"/>
      <c r="F244" s="659"/>
      <c r="G244" s="661"/>
      <c r="H244" s="660"/>
      <c r="I244" s="691"/>
      <c r="J244" s="661"/>
      <c r="K244" s="706"/>
      <c r="L244" s="665"/>
      <c r="M244" s="663"/>
      <c r="N244" s="665"/>
      <c r="O244" s="665"/>
      <c r="P244" s="665"/>
      <c r="Q244" s="665"/>
      <c r="R244" s="665"/>
      <c r="S244" s="665"/>
      <c r="T244" s="673"/>
      <c r="U244" s="673"/>
      <c r="V244" s="673"/>
      <c r="W244" s="673"/>
      <c r="X244" s="673"/>
      <c r="Y244" s="673"/>
      <c r="Z244" s="673"/>
      <c r="AA244" s="673"/>
      <c r="AB244" s="673"/>
      <c r="AC244" s="673"/>
      <c r="AD244" s="673"/>
      <c r="AE244" s="673"/>
      <c r="AF244" s="673"/>
      <c r="AG244" s="673"/>
      <c r="AH244" s="673"/>
    </row>
    <row r="245">
      <c r="A245" s="653"/>
      <c r="B245" s="654"/>
      <c r="C245" s="691"/>
      <c r="D245" s="661"/>
      <c r="E245" s="705"/>
      <c r="F245" s="659"/>
      <c r="G245" s="661"/>
      <c r="H245" s="660"/>
      <c r="I245" s="691"/>
      <c r="J245" s="661"/>
      <c r="K245" s="706"/>
      <c r="L245" s="665"/>
      <c r="M245" s="663"/>
      <c r="N245" s="665"/>
      <c r="O245" s="665"/>
      <c r="P245" s="665"/>
      <c r="Q245" s="665"/>
      <c r="R245" s="665"/>
      <c r="S245" s="665"/>
      <c r="T245" s="673"/>
      <c r="U245" s="673"/>
      <c r="V245" s="673"/>
      <c r="W245" s="673"/>
      <c r="X245" s="673"/>
      <c r="Y245" s="673"/>
      <c r="Z245" s="673"/>
      <c r="AA245" s="673"/>
      <c r="AB245" s="673"/>
      <c r="AC245" s="673"/>
      <c r="AD245" s="673"/>
      <c r="AE245" s="673"/>
      <c r="AF245" s="673"/>
      <c r="AG245" s="673"/>
      <c r="AH245" s="673"/>
    </row>
    <row r="246">
      <c r="A246" s="653"/>
      <c r="B246" s="654"/>
      <c r="C246" s="691"/>
      <c r="D246" s="661"/>
      <c r="E246" s="705"/>
      <c r="F246" s="659"/>
      <c r="G246" s="661"/>
      <c r="H246" s="660"/>
      <c r="I246" s="691"/>
      <c r="J246" s="661"/>
      <c r="K246" s="706"/>
      <c r="L246" s="665"/>
      <c r="M246" s="663"/>
      <c r="N246" s="665"/>
      <c r="O246" s="665"/>
      <c r="P246" s="665"/>
      <c r="Q246" s="665"/>
      <c r="R246" s="665"/>
      <c r="S246" s="665"/>
      <c r="T246" s="673"/>
      <c r="U246" s="673"/>
      <c r="V246" s="673"/>
      <c r="W246" s="673"/>
      <c r="X246" s="673"/>
      <c r="Y246" s="673"/>
      <c r="Z246" s="673"/>
      <c r="AA246" s="673"/>
      <c r="AB246" s="673"/>
      <c r="AC246" s="673"/>
      <c r="AD246" s="673"/>
      <c r="AE246" s="673"/>
      <c r="AF246" s="673"/>
      <c r="AG246" s="673"/>
      <c r="AH246" s="673"/>
    </row>
    <row r="247">
      <c r="A247" s="653"/>
      <c r="B247" s="654"/>
      <c r="C247" s="691"/>
      <c r="D247" s="661"/>
      <c r="E247" s="705"/>
      <c r="F247" s="659"/>
      <c r="G247" s="661"/>
      <c r="H247" s="660"/>
      <c r="I247" s="691"/>
      <c r="J247" s="661"/>
      <c r="K247" s="706"/>
      <c r="L247" s="665"/>
      <c r="M247" s="663"/>
      <c r="N247" s="665"/>
      <c r="O247" s="665"/>
      <c r="P247" s="665"/>
      <c r="Q247" s="665"/>
      <c r="R247" s="665"/>
      <c r="S247" s="665"/>
      <c r="T247" s="673"/>
      <c r="U247" s="673"/>
      <c r="V247" s="673"/>
      <c r="W247" s="673"/>
      <c r="X247" s="673"/>
      <c r="Y247" s="673"/>
      <c r="Z247" s="673"/>
      <c r="AA247" s="673"/>
      <c r="AB247" s="673"/>
      <c r="AC247" s="673"/>
      <c r="AD247" s="673"/>
      <c r="AE247" s="673"/>
      <c r="AF247" s="673"/>
      <c r="AG247" s="673"/>
      <c r="AH247" s="673"/>
    </row>
    <row r="248">
      <c r="A248" s="653"/>
      <c r="B248" s="654"/>
      <c r="C248" s="691"/>
      <c r="D248" s="661"/>
      <c r="E248" s="705"/>
      <c r="F248" s="659"/>
      <c r="G248" s="661"/>
      <c r="H248" s="660"/>
      <c r="I248" s="691"/>
      <c r="J248" s="661"/>
      <c r="K248" s="706"/>
      <c r="L248" s="665"/>
      <c r="M248" s="663"/>
      <c r="N248" s="665"/>
      <c r="O248" s="665"/>
      <c r="P248" s="665"/>
      <c r="Q248" s="665"/>
      <c r="R248" s="665"/>
      <c r="S248" s="665"/>
      <c r="T248" s="673"/>
      <c r="U248" s="673"/>
      <c r="V248" s="673"/>
      <c r="W248" s="673"/>
      <c r="X248" s="673"/>
      <c r="Y248" s="673"/>
      <c r="Z248" s="673"/>
      <c r="AA248" s="673"/>
      <c r="AB248" s="673"/>
      <c r="AC248" s="673"/>
      <c r="AD248" s="673"/>
      <c r="AE248" s="673"/>
      <c r="AF248" s="673"/>
      <c r="AG248" s="673"/>
      <c r="AH248" s="673"/>
    </row>
    <row r="249">
      <c r="A249" s="653"/>
      <c r="B249" s="654"/>
      <c r="C249" s="691"/>
      <c r="D249" s="661"/>
      <c r="E249" s="705"/>
      <c r="F249" s="659"/>
      <c r="G249" s="661"/>
      <c r="H249" s="660"/>
      <c r="I249" s="691"/>
      <c r="J249" s="661"/>
      <c r="K249" s="706"/>
      <c r="L249" s="665"/>
      <c r="M249" s="663"/>
      <c r="N249" s="665"/>
      <c r="O249" s="665"/>
      <c r="P249" s="665"/>
      <c r="Q249" s="665"/>
      <c r="R249" s="665"/>
      <c r="S249" s="665"/>
      <c r="T249" s="673"/>
      <c r="U249" s="673"/>
      <c r="V249" s="673"/>
      <c r="W249" s="673"/>
      <c r="X249" s="673"/>
      <c r="Y249" s="673"/>
      <c r="Z249" s="673"/>
      <c r="AA249" s="673"/>
      <c r="AB249" s="673"/>
      <c r="AC249" s="673"/>
      <c r="AD249" s="673"/>
      <c r="AE249" s="673"/>
      <c r="AF249" s="673"/>
      <c r="AG249" s="673"/>
      <c r="AH249" s="673"/>
    </row>
    <row r="250">
      <c r="A250" s="653"/>
      <c r="B250" s="654"/>
      <c r="C250" s="691"/>
      <c r="D250" s="661"/>
      <c r="E250" s="705"/>
      <c r="F250" s="659"/>
      <c r="G250" s="661"/>
      <c r="H250" s="660"/>
      <c r="I250" s="691"/>
      <c r="J250" s="661"/>
      <c r="K250" s="706"/>
      <c r="L250" s="665"/>
      <c r="M250" s="663"/>
      <c r="N250" s="665"/>
      <c r="O250" s="665"/>
      <c r="P250" s="665"/>
      <c r="Q250" s="665"/>
      <c r="R250" s="665"/>
      <c r="S250" s="665"/>
      <c r="T250" s="673"/>
      <c r="U250" s="673"/>
      <c r="V250" s="673"/>
      <c r="W250" s="673"/>
      <c r="X250" s="673"/>
      <c r="Y250" s="673"/>
      <c r="Z250" s="673"/>
      <c r="AA250" s="673"/>
      <c r="AB250" s="673"/>
      <c r="AC250" s="673"/>
      <c r="AD250" s="673"/>
      <c r="AE250" s="673"/>
      <c r="AF250" s="673"/>
      <c r="AG250" s="673"/>
      <c r="AH250" s="673"/>
    </row>
    <row r="251">
      <c r="A251" s="653"/>
      <c r="B251" s="654"/>
      <c r="C251" s="691"/>
      <c r="D251" s="661"/>
      <c r="E251" s="705"/>
      <c r="F251" s="659"/>
      <c r="G251" s="661"/>
      <c r="H251" s="660"/>
      <c r="I251" s="691"/>
      <c r="J251" s="661"/>
      <c r="K251" s="706"/>
      <c r="L251" s="665"/>
      <c r="M251" s="663"/>
      <c r="N251" s="665"/>
      <c r="O251" s="665"/>
      <c r="P251" s="665"/>
      <c r="Q251" s="665"/>
      <c r="R251" s="665"/>
      <c r="S251" s="665"/>
      <c r="T251" s="673"/>
      <c r="U251" s="673"/>
      <c r="V251" s="673"/>
      <c r="W251" s="673"/>
      <c r="X251" s="673"/>
      <c r="Y251" s="673"/>
      <c r="Z251" s="673"/>
      <c r="AA251" s="673"/>
      <c r="AB251" s="673"/>
      <c r="AC251" s="673"/>
      <c r="AD251" s="673"/>
      <c r="AE251" s="673"/>
      <c r="AF251" s="673"/>
      <c r="AG251" s="673"/>
      <c r="AH251" s="673"/>
    </row>
    <row r="252">
      <c r="A252" s="653"/>
      <c r="B252" s="654"/>
      <c r="C252" s="691"/>
      <c r="D252" s="661"/>
      <c r="E252" s="705"/>
      <c r="F252" s="659"/>
      <c r="G252" s="661"/>
      <c r="H252" s="660"/>
      <c r="I252" s="691"/>
      <c r="J252" s="661"/>
      <c r="K252" s="706"/>
      <c r="L252" s="665"/>
      <c r="M252" s="663"/>
      <c r="N252" s="665"/>
      <c r="O252" s="665"/>
      <c r="P252" s="665"/>
      <c r="Q252" s="665"/>
      <c r="R252" s="665"/>
      <c r="S252" s="665"/>
      <c r="T252" s="673"/>
      <c r="U252" s="673"/>
      <c r="V252" s="673"/>
      <c r="W252" s="673"/>
      <c r="X252" s="673"/>
      <c r="Y252" s="673"/>
      <c r="Z252" s="673"/>
      <c r="AA252" s="673"/>
      <c r="AB252" s="673"/>
      <c r="AC252" s="673"/>
      <c r="AD252" s="673"/>
      <c r="AE252" s="673"/>
      <c r="AF252" s="673"/>
      <c r="AG252" s="673"/>
      <c r="AH252" s="673"/>
    </row>
    <row r="253">
      <c r="A253" s="653"/>
      <c r="B253" s="654"/>
      <c r="C253" s="691"/>
      <c r="D253" s="661"/>
      <c r="E253" s="705"/>
      <c r="F253" s="659"/>
      <c r="G253" s="661"/>
      <c r="H253" s="660"/>
      <c r="I253" s="691"/>
      <c r="J253" s="661"/>
      <c r="K253" s="706"/>
      <c r="L253" s="665"/>
      <c r="M253" s="663"/>
      <c r="N253" s="665"/>
      <c r="O253" s="665"/>
      <c r="P253" s="665"/>
      <c r="Q253" s="665"/>
      <c r="R253" s="665"/>
      <c r="S253" s="665"/>
      <c r="T253" s="673"/>
      <c r="U253" s="673"/>
      <c r="V253" s="673"/>
      <c r="W253" s="673"/>
      <c r="X253" s="673"/>
      <c r="Y253" s="673"/>
      <c r="Z253" s="673"/>
      <c r="AA253" s="673"/>
      <c r="AB253" s="673"/>
      <c r="AC253" s="673"/>
      <c r="AD253" s="673"/>
      <c r="AE253" s="673"/>
      <c r="AF253" s="673"/>
      <c r="AG253" s="673"/>
      <c r="AH253" s="673"/>
    </row>
    <row r="254">
      <c r="A254" s="653"/>
      <c r="B254" s="654"/>
      <c r="C254" s="691"/>
      <c r="D254" s="661"/>
      <c r="E254" s="705"/>
      <c r="F254" s="659"/>
      <c r="G254" s="661"/>
      <c r="H254" s="660"/>
      <c r="I254" s="691"/>
      <c r="J254" s="661"/>
      <c r="K254" s="706"/>
      <c r="L254" s="665"/>
      <c r="M254" s="663"/>
      <c r="N254" s="665"/>
      <c r="O254" s="665"/>
      <c r="P254" s="665"/>
      <c r="Q254" s="665"/>
      <c r="R254" s="665"/>
      <c r="S254" s="665"/>
      <c r="T254" s="673"/>
      <c r="U254" s="673"/>
      <c r="V254" s="673"/>
      <c r="W254" s="673"/>
      <c r="X254" s="673"/>
      <c r="Y254" s="673"/>
      <c r="Z254" s="673"/>
      <c r="AA254" s="673"/>
      <c r="AB254" s="673"/>
      <c r="AC254" s="673"/>
      <c r="AD254" s="673"/>
      <c r="AE254" s="673"/>
      <c r="AF254" s="673"/>
      <c r="AG254" s="673"/>
      <c r="AH254" s="673"/>
    </row>
    <row r="255">
      <c r="A255" s="653"/>
      <c r="B255" s="654"/>
      <c r="C255" s="691"/>
      <c r="D255" s="661"/>
      <c r="E255" s="705"/>
      <c r="F255" s="659"/>
      <c r="G255" s="661"/>
      <c r="H255" s="660"/>
      <c r="I255" s="691"/>
      <c r="J255" s="661"/>
      <c r="K255" s="706"/>
      <c r="L255" s="665"/>
      <c r="M255" s="663"/>
      <c r="N255" s="665"/>
      <c r="O255" s="665"/>
      <c r="P255" s="665"/>
      <c r="Q255" s="665"/>
      <c r="R255" s="665"/>
      <c r="S255" s="665"/>
      <c r="T255" s="673"/>
      <c r="U255" s="673"/>
      <c r="V255" s="673"/>
      <c r="W255" s="673"/>
      <c r="X255" s="673"/>
      <c r="Y255" s="673"/>
      <c r="Z255" s="673"/>
      <c r="AA255" s="673"/>
      <c r="AB255" s="673"/>
      <c r="AC255" s="673"/>
      <c r="AD255" s="673"/>
      <c r="AE255" s="673"/>
      <c r="AF255" s="673"/>
      <c r="AG255" s="673"/>
      <c r="AH255" s="673"/>
    </row>
    <row r="256">
      <c r="A256" s="653"/>
      <c r="B256" s="654"/>
      <c r="C256" s="691"/>
      <c r="D256" s="661"/>
      <c r="E256" s="705"/>
      <c r="F256" s="659"/>
      <c r="G256" s="661"/>
      <c r="H256" s="660"/>
      <c r="I256" s="691"/>
      <c r="J256" s="661"/>
      <c r="K256" s="706"/>
      <c r="L256" s="665"/>
      <c r="M256" s="663"/>
      <c r="N256" s="665"/>
      <c r="O256" s="665"/>
      <c r="P256" s="665"/>
      <c r="Q256" s="665"/>
      <c r="R256" s="665"/>
      <c r="S256" s="665"/>
      <c r="T256" s="673"/>
      <c r="U256" s="673"/>
      <c r="V256" s="673"/>
      <c r="W256" s="673"/>
      <c r="X256" s="673"/>
      <c r="Y256" s="673"/>
      <c r="Z256" s="673"/>
      <c r="AA256" s="673"/>
      <c r="AB256" s="673"/>
      <c r="AC256" s="673"/>
      <c r="AD256" s="673"/>
      <c r="AE256" s="673"/>
      <c r="AF256" s="673"/>
      <c r="AG256" s="673"/>
      <c r="AH256" s="673"/>
    </row>
    <row r="257">
      <c r="A257" s="653"/>
      <c r="B257" s="654"/>
      <c r="C257" s="691"/>
      <c r="D257" s="661"/>
      <c r="E257" s="705"/>
      <c r="F257" s="659"/>
      <c r="G257" s="661"/>
      <c r="H257" s="660"/>
      <c r="I257" s="691"/>
      <c r="J257" s="661"/>
      <c r="K257" s="706"/>
      <c r="L257" s="665"/>
      <c r="M257" s="663"/>
      <c r="N257" s="665"/>
      <c r="O257" s="665"/>
      <c r="P257" s="665"/>
      <c r="Q257" s="665"/>
      <c r="R257" s="665"/>
      <c r="S257" s="665"/>
      <c r="T257" s="673"/>
      <c r="U257" s="673"/>
      <c r="V257" s="673"/>
      <c r="W257" s="673"/>
      <c r="X257" s="673"/>
      <c r="Y257" s="673"/>
      <c r="Z257" s="673"/>
      <c r="AA257" s="673"/>
      <c r="AB257" s="673"/>
      <c r="AC257" s="673"/>
      <c r="AD257" s="673"/>
      <c r="AE257" s="673"/>
      <c r="AF257" s="673"/>
      <c r="AG257" s="673"/>
      <c r="AH257" s="673"/>
    </row>
    <row r="258">
      <c r="A258" s="653"/>
      <c r="B258" s="654"/>
      <c r="C258" s="691"/>
      <c r="D258" s="661"/>
      <c r="E258" s="705"/>
      <c r="F258" s="659"/>
      <c r="G258" s="661"/>
      <c r="H258" s="660"/>
      <c r="I258" s="691"/>
      <c r="J258" s="661"/>
      <c r="K258" s="706"/>
      <c r="L258" s="665"/>
      <c r="M258" s="663"/>
      <c r="N258" s="665"/>
      <c r="O258" s="665"/>
      <c r="P258" s="665"/>
      <c r="Q258" s="665"/>
      <c r="R258" s="665"/>
      <c r="S258" s="665"/>
      <c r="T258" s="673"/>
      <c r="U258" s="673"/>
      <c r="V258" s="673"/>
      <c r="W258" s="673"/>
      <c r="X258" s="673"/>
      <c r="Y258" s="673"/>
      <c r="Z258" s="673"/>
      <c r="AA258" s="673"/>
      <c r="AB258" s="673"/>
      <c r="AC258" s="673"/>
      <c r="AD258" s="673"/>
      <c r="AE258" s="673"/>
      <c r="AF258" s="673"/>
      <c r="AG258" s="673"/>
      <c r="AH258" s="673"/>
    </row>
    <row r="259">
      <c r="A259" s="653"/>
      <c r="B259" s="654"/>
      <c r="C259" s="691"/>
      <c r="D259" s="661"/>
      <c r="E259" s="705"/>
      <c r="F259" s="659"/>
      <c r="G259" s="661"/>
      <c r="H259" s="660"/>
      <c r="I259" s="691"/>
      <c r="J259" s="661"/>
      <c r="K259" s="706"/>
      <c r="L259" s="665"/>
      <c r="M259" s="663"/>
      <c r="N259" s="665"/>
      <c r="O259" s="665"/>
      <c r="P259" s="665"/>
      <c r="Q259" s="665"/>
      <c r="R259" s="665"/>
      <c r="S259" s="665"/>
      <c r="T259" s="673"/>
      <c r="U259" s="673"/>
      <c r="V259" s="673"/>
      <c r="W259" s="673"/>
      <c r="X259" s="673"/>
      <c r="Y259" s="673"/>
      <c r="Z259" s="673"/>
      <c r="AA259" s="673"/>
      <c r="AB259" s="673"/>
      <c r="AC259" s="673"/>
      <c r="AD259" s="673"/>
      <c r="AE259" s="673"/>
      <c r="AF259" s="673"/>
      <c r="AG259" s="673"/>
      <c r="AH259" s="673"/>
    </row>
    <row r="260">
      <c r="A260" s="653"/>
      <c r="B260" s="654"/>
      <c r="C260" s="691"/>
      <c r="D260" s="661"/>
      <c r="E260" s="705"/>
      <c r="F260" s="659"/>
      <c r="G260" s="661"/>
      <c r="H260" s="660"/>
      <c r="I260" s="691"/>
      <c r="J260" s="661"/>
      <c r="K260" s="706"/>
      <c r="L260" s="665"/>
      <c r="M260" s="663"/>
      <c r="N260" s="665"/>
      <c r="O260" s="665"/>
      <c r="P260" s="665"/>
      <c r="Q260" s="665"/>
      <c r="R260" s="665"/>
      <c r="S260" s="665"/>
      <c r="T260" s="673"/>
      <c r="U260" s="673"/>
      <c r="V260" s="673"/>
      <c r="W260" s="673"/>
      <c r="X260" s="673"/>
      <c r="Y260" s="673"/>
      <c r="Z260" s="673"/>
      <c r="AA260" s="673"/>
      <c r="AB260" s="673"/>
      <c r="AC260" s="673"/>
      <c r="AD260" s="673"/>
      <c r="AE260" s="673"/>
      <c r="AF260" s="673"/>
      <c r="AG260" s="673"/>
      <c r="AH260" s="673"/>
    </row>
    <row r="261">
      <c r="A261" s="653"/>
      <c r="B261" s="654"/>
      <c r="C261" s="691"/>
      <c r="D261" s="661"/>
      <c r="E261" s="705"/>
      <c r="F261" s="659"/>
      <c r="G261" s="661"/>
      <c r="H261" s="660"/>
      <c r="I261" s="691"/>
      <c r="J261" s="661"/>
      <c r="K261" s="706"/>
      <c r="L261" s="665"/>
      <c r="M261" s="663"/>
      <c r="N261" s="665"/>
      <c r="O261" s="665"/>
      <c r="P261" s="665"/>
      <c r="Q261" s="665"/>
      <c r="R261" s="665"/>
      <c r="S261" s="665"/>
      <c r="T261" s="673"/>
      <c r="U261" s="673"/>
      <c r="V261" s="673"/>
      <c r="W261" s="673"/>
      <c r="X261" s="673"/>
      <c r="Y261" s="673"/>
      <c r="Z261" s="673"/>
      <c r="AA261" s="673"/>
      <c r="AB261" s="673"/>
      <c r="AC261" s="673"/>
      <c r="AD261" s="673"/>
      <c r="AE261" s="673"/>
      <c r="AF261" s="673"/>
      <c r="AG261" s="673"/>
      <c r="AH261" s="673"/>
    </row>
    <row r="262">
      <c r="A262" s="653"/>
      <c r="B262" s="654"/>
      <c r="C262" s="691"/>
      <c r="D262" s="661"/>
      <c r="E262" s="705"/>
      <c r="F262" s="659"/>
      <c r="G262" s="661"/>
      <c r="H262" s="660"/>
      <c r="I262" s="691"/>
      <c r="J262" s="661"/>
      <c r="K262" s="706"/>
      <c r="L262" s="665"/>
      <c r="M262" s="663"/>
      <c r="N262" s="665"/>
      <c r="O262" s="665"/>
      <c r="P262" s="665"/>
      <c r="Q262" s="665"/>
      <c r="R262" s="665"/>
      <c r="S262" s="665"/>
      <c r="T262" s="673"/>
      <c r="U262" s="673"/>
      <c r="V262" s="673"/>
      <c r="W262" s="673"/>
      <c r="X262" s="673"/>
      <c r="Y262" s="673"/>
      <c r="Z262" s="673"/>
      <c r="AA262" s="673"/>
      <c r="AB262" s="673"/>
      <c r="AC262" s="673"/>
      <c r="AD262" s="673"/>
      <c r="AE262" s="673"/>
      <c r="AF262" s="673"/>
      <c r="AG262" s="673"/>
      <c r="AH262" s="673"/>
    </row>
    <row r="263">
      <c r="A263" s="653"/>
      <c r="B263" s="654"/>
      <c r="C263" s="691"/>
      <c r="D263" s="661"/>
      <c r="E263" s="705"/>
      <c r="F263" s="659"/>
      <c r="G263" s="661"/>
      <c r="H263" s="660"/>
      <c r="I263" s="691"/>
      <c r="J263" s="661"/>
      <c r="K263" s="706"/>
      <c r="L263" s="665"/>
      <c r="M263" s="663"/>
      <c r="N263" s="665"/>
      <c r="O263" s="665"/>
      <c r="P263" s="665"/>
      <c r="Q263" s="665"/>
      <c r="R263" s="665"/>
      <c r="S263" s="665"/>
      <c r="T263" s="673"/>
      <c r="U263" s="673"/>
      <c r="V263" s="673"/>
      <c r="W263" s="673"/>
      <c r="X263" s="673"/>
      <c r="Y263" s="673"/>
      <c r="Z263" s="673"/>
      <c r="AA263" s="673"/>
      <c r="AB263" s="673"/>
      <c r="AC263" s="673"/>
      <c r="AD263" s="673"/>
      <c r="AE263" s="673"/>
      <c r="AF263" s="673"/>
      <c r="AG263" s="673"/>
      <c r="AH263" s="673"/>
    </row>
    <row r="264">
      <c r="A264" s="653"/>
      <c r="B264" s="654"/>
      <c r="C264" s="691"/>
      <c r="D264" s="661"/>
      <c r="E264" s="705"/>
      <c r="F264" s="659"/>
      <c r="G264" s="661"/>
      <c r="H264" s="660"/>
      <c r="I264" s="691"/>
      <c r="J264" s="661"/>
      <c r="K264" s="706"/>
      <c r="L264" s="665"/>
      <c r="M264" s="663"/>
      <c r="N264" s="665"/>
      <c r="O264" s="665"/>
      <c r="P264" s="665"/>
      <c r="Q264" s="665"/>
      <c r="R264" s="665"/>
      <c r="S264" s="665"/>
      <c r="T264" s="673"/>
      <c r="U264" s="673"/>
      <c r="V264" s="673"/>
      <c r="W264" s="673"/>
      <c r="X264" s="673"/>
      <c r="Y264" s="673"/>
      <c r="Z264" s="673"/>
      <c r="AA264" s="673"/>
      <c r="AB264" s="673"/>
      <c r="AC264" s="673"/>
      <c r="AD264" s="673"/>
      <c r="AE264" s="673"/>
      <c r="AF264" s="673"/>
      <c r="AG264" s="673"/>
      <c r="AH264" s="673"/>
    </row>
    <row r="265">
      <c r="A265" s="653"/>
      <c r="B265" s="654"/>
      <c r="C265" s="691"/>
      <c r="D265" s="661"/>
      <c r="E265" s="705"/>
      <c r="F265" s="659"/>
      <c r="G265" s="661"/>
      <c r="H265" s="660"/>
      <c r="I265" s="691"/>
      <c r="J265" s="661"/>
      <c r="K265" s="706"/>
      <c r="L265" s="665"/>
      <c r="M265" s="663"/>
      <c r="N265" s="665"/>
      <c r="O265" s="665"/>
      <c r="P265" s="665"/>
      <c r="Q265" s="665"/>
      <c r="R265" s="665"/>
      <c r="S265" s="665"/>
      <c r="T265" s="673"/>
      <c r="U265" s="673"/>
      <c r="V265" s="673"/>
      <c r="W265" s="673"/>
      <c r="X265" s="673"/>
      <c r="Y265" s="673"/>
      <c r="Z265" s="673"/>
      <c r="AA265" s="673"/>
      <c r="AB265" s="673"/>
      <c r="AC265" s="673"/>
      <c r="AD265" s="673"/>
      <c r="AE265" s="673"/>
      <c r="AF265" s="673"/>
      <c r="AG265" s="673"/>
      <c r="AH265" s="673"/>
    </row>
    <row r="266">
      <c r="A266" s="653"/>
      <c r="B266" s="654"/>
      <c r="C266" s="691"/>
      <c r="D266" s="661"/>
      <c r="E266" s="705"/>
      <c r="F266" s="659"/>
      <c r="G266" s="661"/>
      <c r="H266" s="660"/>
      <c r="I266" s="691"/>
      <c r="J266" s="661"/>
      <c r="K266" s="706"/>
      <c r="L266" s="665"/>
      <c r="M266" s="663"/>
      <c r="N266" s="665"/>
      <c r="O266" s="665"/>
      <c r="P266" s="665"/>
      <c r="Q266" s="665"/>
      <c r="R266" s="665"/>
      <c r="S266" s="665"/>
      <c r="T266" s="673"/>
      <c r="U266" s="673"/>
      <c r="V266" s="673"/>
      <c r="W266" s="673"/>
      <c r="X266" s="673"/>
      <c r="Y266" s="673"/>
      <c r="Z266" s="673"/>
      <c r="AA266" s="673"/>
      <c r="AB266" s="673"/>
      <c r="AC266" s="673"/>
      <c r="AD266" s="673"/>
      <c r="AE266" s="673"/>
      <c r="AF266" s="673"/>
      <c r="AG266" s="673"/>
      <c r="AH266" s="673"/>
    </row>
    <row r="267">
      <c r="A267" s="653"/>
      <c r="B267" s="654"/>
      <c r="C267" s="691"/>
      <c r="D267" s="661"/>
      <c r="E267" s="705"/>
      <c r="F267" s="659"/>
      <c r="G267" s="661"/>
      <c r="H267" s="660"/>
      <c r="I267" s="691"/>
      <c r="J267" s="661"/>
      <c r="K267" s="706"/>
      <c r="L267" s="665"/>
      <c r="M267" s="663"/>
      <c r="N267" s="665"/>
      <c r="O267" s="665"/>
      <c r="P267" s="665"/>
      <c r="Q267" s="665"/>
      <c r="R267" s="665"/>
      <c r="S267" s="665"/>
      <c r="T267" s="673"/>
      <c r="U267" s="673"/>
      <c r="V267" s="673"/>
      <c r="W267" s="673"/>
      <c r="X267" s="673"/>
      <c r="Y267" s="673"/>
      <c r="Z267" s="673"/>
      <c r="AA267" s="673"/>
      <c r="AB267" s="673"/>
      <c r="AC267" s="673"/>
      <c r="AD267" s="673"/>
      <c r="AE267" s="673"/>
      <c r="AF267" s="673"/>
      <c r="AG267" s="673"/>
      <c r="AH267" s="673"/>
    </row>
    <row r="268">
      <c r="A268" s="653"/>
      <c r="B268" s="654"/>
      <c r="C268" s="691"/>
      <c r="D268" s="661"/>
      <c r="E268" s="705"/>
      <c r="F268" s="659"/>
      <c r="G268" s="661"/>
      <c r="H268" s="660"/>
      <c r="I268" s="691"/>
      <c r="J268" s="661"/>
      <c r="K268" s="706"/>
      <c r="L268" s="665"/>
      <c r="M268" s="663"/>
      <c r="N268" s="665"/>
      <c r="O268" s="665"/>
      <c r="P268" s="665"/>
      <c r="Q268" s="665"/>
      <c r="R268" s="665"/>
      <c r="S268" s="665"/>
      <c r="T268" s="673"/>
      <c r="U268" s="673"/>
      <c r="V268" s="673"/>
      <c r="W268" s="673"/>
      <c r="X268" s="673"/>
      <c r="Y268" s="673"/>
      <c r="Z268" s="673"/>
      <c r="AA268" s="673"/>
      <c r="AB268" s="673"/>
      <c r="AC268" s="673"/>
      <c r="AD268" s="673"/>
      <c r="AE268" s="673"/>
      <c r="AF268" s="673"/>
      <c r="AG268" s="673"/>
      <c r="AH268" s="673"/>
    </row>
    <row r="269">
      <c r="A269" s="653"/>
      <c r="B269" s="654"/>
      <c r="C269" s="691"/>
      <c r="D269" s="661"/>
      <c r="E269" s="705"/>
      <c r="F269" s="659"/>
      <c r="G269" s="661"/>
      <c r="H269" s="660"/>
      <c r="I269" s="691"/>
      <c r="J269" s="661"/>
      <c r="K269" s="706"/>
      <c r="L269" s="665"/>
      <c r="M269" s="663"/>
      <c r="N269" s="665"/>
      <c r="O269" s="665"/>
      <c r="P269" s="665"/>
      <c r="Q269" s="665"/>
      <c r="R269" s="665"/>
      <c r="S269" s="665"/>
      <c r="T269" s="673"/>
      <c r="U269" s="673"/>
      <c r="V269" s="673"/>
      <c r="W269" s="673"/>
      <c r="X269" s="673"/>
      <c r="Y269" s="673"/>
      <c r="Z269" s="673"/>
      <c r="AA269" s="673"/>
      <c r="AB269" s="673"/>
      <c r="AC269" s="673"/>
      <c r="AD269" s="673"/>
      <c r="AE269" s="673"/>
      <c r="AF269" s="673"/>
      <c r="AG269" s="673"/>
      <c r="AH269" s="673"/>
    </row>
    <row r="270">
      <c r="A270" s="653"/>
      <c r="B270" s="654"/>
      <c r="C270" s="691"/>
      <c r="D270" s="661"/>
      <c r="E270" s="705"/>
      <c r="F270" s="659"/>
      <c r="G270" s="661"/>
      <c r="H270" s="660"/>
      <c r="I270" s="691"/>
      <c r="J270" s="661"/>
      <c r="K270" s="706"/>
      <c r="L270" s="665"/>
      <c r="M270" s="663"/>
      <c r="N270" s="665"/>
      <c r="O270" s="665"/>
      <c r="P270" s="665"/>
      <c r="Q270" s="665"/>
      <c r="R270" s="665"/>
      <c r="S270" s="665"/>
      <c r="T270" s="673"/>
      <c r="U270" s="673"/>
      <c r="V270" s="673"/>
      <c r="W270" s="673"/>
      <c r="X270" s="673"/>
      <c r="Y270" s="673"/>
      <c r="Z270" s="673"/>
      <c r="AA270" s="673"/>
      <c r="AB270" s="673"/>
      <c r="AC270" s="673"/>
      <c r="AD270" s="673"/>
      <c r="AE270" s="673"/>
      <c r="AF270" s="673"/>
      <c r="AG270" s="673"/>
      <c r="AH270" s="673"/>
    </row>
    <row r="271">
      <c r="A271" s="653"/>
      <c r="B271" s="654"/>
      <c r="C271" s="691"/>
      <c r="D271" s="661"/>
      <c r="E271" s="705"/>
      <c r="F271" s="659"/>
      <c r="G271" s="661"/>
      <c r="H271" s="660"/>
      <c r="I271" s="691"/>
      <c r="J271" s="661"/>
      <c r="K271" s="706"/>
      <c r="L271" s="665"/>
      <c r="M271" s="663"/>
      <c r="N271" s="665"/>
      <c r="O271" s="665"/>
      <c r="P271" s="665"/>
      <c r="Q271" s="665"/>
      <c r="R271" s="665"/>
      <c r="S271" s="665"/>
      <c r="T271" s="673"/>
      <c r="U271" s="673"/>
      <c r="V271" s="673"/>
      <c r="W271" s="673"/>
      <c r="X271" s="673"/>
      <c r="Y271" s="673"/>
      <c r="Z271" s="673"/>
      <c r="AA271" s="673"/>
      <c r="AB271" s="673"/>
      <c r="AC271" s="673"/>
      <c r="AD271" s="673"/>
      <c r="AE271" s="673"/>
      <c r="AF271" s="673"/>
      <c r="AG271" s="673"/>
      <c r="AH271" s="673"/>
    </row>
    <row r="272">
      <c r="A272" s="653"/>
      <c r="B272" s="654"/>
      <c r="C272" s="691"/>
      <c r="D272" s="661"/>
      <c r="E272" s="705"/>
      <c r="F272" s="659"/>
      <c r="G272" s="661"/>
      <c r="H272" s="660"/>
      <c r="I272" s="691"/>
      <c r="J272" s="661"/>
      <c r="K272" s="706"/>
      <c r="L272" s="665"/>
      <c r="M272" s="663"/>
      <c r="N272" s="665"/>
      <c r="O272" s="665"/>
      <c r="P272" s="665"/>
      <c r="Q272" s="665"/>
      <c r="R272" s="665"/>
      <c r="S272" s="665"/>
      <c r="T272" s="673"/>
      <c r="U272" s="673"/>
      <c r="V272" s="673"/>
      <c r="W272" s="673"/>
      <c r="X272" s="673"/>
      <c r="Y272" s="673"/>
      <c r="Z272" s="673"/>
      <c r="AA272" s="673"/>
      <c r="AB272" s="673"/>
      <c r="AC272" s="673"/>
      <c r="AD272" s="673"/>
      <c r="AE272" s="673"/>
      <c r="AF272" s="673"/>
      <c r="AG272" s="673"/>
      <c r="AH272" s="673"/>
    </row>
    <row r="273">
      <c r="A273" s="653"/>
      <c r="B273" s="654"/>
      <c r="C273" s="691"/>
      <c r="D273" s="661"/>
      <c r="E273" s="705"/>
      <c r="F273" s="659"/>
      <c r="G273" s="661"/>
      <c r="H273" s="660"/>
      <c r="I273" s="691"/>
      <c r="J273" s="661"/>
      <c r="K273" s="706"/>
      <c r="L273" s="665"/>
      <c r="M273" s="663"/>
      <c r="N273" s="665"/>
      <c r="O273" s="665"/>
      <c r="P273" s="665"/>
      <c r="Q273" s="665"/>
      <c r="R273" s="665"/>
      <c r="S273" s="665"/>
      <c r="T273" s="673"/>
      <c r="U273" s="673"/>
      <c r="V273" s="673"/>
      <c r="W273" s="673"/>
      <c r="X273" s="673"/>
      <c r="Y273" s="673"/>
      <c r="Z273" s="673"/>
      <c r="AA273" s="673"/>
      <c r="AB273" s="673"/>
      <c r="AC273" s="673"/>
      <c r="AD273" s="673"/>
      <c r="AE273" s="673"/>
      <c r="AF273" s="673"/>
      <c r="AG273" s="673"/>
      <c r="AH273" s="673"/>
    </row>
    <row r="274">
      <c r="A274" s="653"/>
      <c r="B274" s="654"/>
      <c r="C274" s="691"/>
      <c r="D274" s="661"/>
      <c r="E274" s="705"/>
      <c r="F274" s="659"/>
      <c r="G274" s="661"/>
      <c r="H274" s="660"/>
      <c r="I274" s="691"/>
      <c r="J274" s="661"/>
      <c r="K274" s="706"/>
      <c r="L274" s="665"/>
      <c r="M274" s="663"/>
      <c r="N274" s="665"/>
      <c r="O274" s="665"/>
      <c r="P274" s="665"/>
      <c r="Q274" s="665"/>
      <c r="R274" s="665"/>
      <c r="S274" s="665"/>
      <c r="T274" s="673"/>
      <c r="U274" s="673"/>
      <c r="V274" s="673"/>
      <c r="W274" s="673"/>
      <c r="X274" s="673"/>
      <c r="Y274" s="673"/>
      <c r="Z274" s="673"/>
      <c r="AA274" s="673"/>
      <c r="AB274" s="673"/>
      <c r="AC274" s="673"/>
      <c r="AD274" s="673"/>
      <c r="AE274" s="673"/>
      <c r="AF274" s="673"/>
      <c r="AG274" s="673"/>
      <c r="AH274" s="673"/>
    </row>
    <row r="275">
      <c r="A275" s="653"/>
      <c r="B275" s="654"/>
      <c r="C275" s="691"/>
      <c r="D275" s="661"/>
      <c r="E275" s="705"/>
      <c r="F275" s="659"/>
      <c r="G275" s="661"/>
      <c r="H275" s="660"/>
      <c r="I275" s="691"/>
      <c r="J275" s="661"/>
      <c r="K275" s="706"/>
      <c r="L275" s="665"/>
      <c r="M275" s="663"/>
      <c r="N275" s="665"/>
      <c r="O275" s="665"/>
      <c r="P275" s="665"/>
      <c r="Q275" s="665"/>
      <c r="R275" s="665"/>
      <c r="S275" s="665"/>
      <c r="T275" s="673"/>
      <c r="U275" s="673"/>
      <c r="V275" s="673"/>
      <c r="W275" s="673"/>
      <c r="X275" s="673"/>
      <c r="Y275" s="673"/>
      <c r="Z275" s="673"/>
      <c r="AA275" s="673"/>
      <c r="AB275" s="673"/>
      <c r="AC275" s="673"/>
      <c r="AD275" s="673"/>
      <c r="AE275" s="673"/>
      <c r="AF275" s="673"/>
      <c r="AG275" s="673"/>
      <c r="AH275" s="673"/>
    </row>
    <row r="276">
      <c r="A276" s="653"/>
      <c r="B276" s="654"/>
      <c r="C276" s="691"/>
      <c r="D276" s="661"/>
      <c r="E276" s="705"/>
      <c r="F276" s="659"/>
      <c r="G276" s="661"/>
      <c r="H276" s="660"/>
      <c r="I276" s="691"/>
      <c r="J276" s="661"/>
      <c r="K276" s="706"/>
      <c r="L276" s="665"/>
      <c r="M276" s="663"/>
      <c r="N276" s="665"/>
      <c r="O276" s="665"/>
      <c r="P276" s="665"/>
      <c r="Q276" s="665"/>
      <c r="R276" s="665"/>
      <c r="S276" s="665"/>
      <c r="T276" s="673"/>
      <c r="U276" s="673"/>
      <c r="V276" s="673"/>
      <c r="W276" s="673"/>
      <c r="X276" s="673"/>
      <c r="Y276" s="673"/>
      <c r="Z276" s="673"/>
      <c r="AA276" s="673"/>
      <c r="AB276" s="673"/>
      <c r="AC276" s="673"/>
      <c r="AD276" s="673"/>
      <c r="AE276" s="673"/>
      <c r="AF276" s="673"/>
      <c r="AG276" s="673"/>
      <c r="AH276" s="673"/>
    </row>
    <row r="277">
      <c r="A277" s="653"/>
      <c r="B277" s="654"/>
      <c r="C277" s="691"/>
      <c r="D277" s="661"/>
      <c r="E277" s="705"/>
      <c r="F277" s="659"/>
      <c r="G277" s="661"/>
      <c r="H277" s="660"/>
      <c r="I277" s="691"/>
      <c r="J277" s="661"/>
      <c r="K277" s="706"/>
      <c r="L277" s="665"/>
      <c r="M277" s="663"/>
      <c r="N277" s="665"/>
      <c r="O277" s="665"/>
      <c r="P277" s="665"/>
      <c r="Q277" s="665"/>
      <c r="R277" s="665"/>
      <c r="S277" s="665"/>
      <c r="T277" s="673"/>
      <c r="U277" s="673"/>
      <c r="V277" s="673"/>
      <c r="W277" s="673"/>
      <c r="X277" s="673"/>
      <c r="Y277" s="673"/>
      <c r="Z277" s="673"/>
      <c r="AA277" s="673"/>
      <c r="AB277" s="673"/>
      <c r="AC277" s="673"/>
      <c r="AD277" s="673"/>
      <c r="AE277" s="673"/>
      <c r="AF277" s="673"/>
      <c r="AG277" s="673"/>
      <c r="AH277" s="673"/>
    </row>
    <row r="278">
      <c r="A278" s="653"/>
      <c r="B278" s="654"/>
      <c r="C278" s="691"/>
      <c r="D278" s="661"/>
      <c r="E278" s="705"/>
      <c r="F278" s="659"/>
      <c r="G278" s="661"/>
      <c r="H278" s="660"/>
      <c r="I278" s="691"/>
      <c r="J278" s="661"/>
      <c r="K278" s="706"/>
      <c r="L278" s="665"/>
      <c r="M278" s="663"/>
      <c r="N278" s="665"/>
      <c r="O278" s="665"/>
      <c r="P278" s="665"/>
      <c r="Q278" s="665"/>
      <c r="R278" s="665"/>
      <c r="S278" s="665"/>
      <c r="T278" s="673"/>
      <c r="U278" s="673"/>
      <c r="V278" s="673"/>
      <c r="W278" s="673"/>
      <c r="X278" s="673"/>
      <c r="Y278" s="673"/>
      <c r="Z278" s="673"/>
      <c r="AA278" s="673"/>
      <c r="AB278" s="673"/>
      <c r="AC278" s="673"/>
      <c r="AD278" s="673"/>
      <c r="AE278" s="673"/>
      <c r="AF278" s="673"/>
      <c r="AG278" s="673"/>
      <c r="AH278" s="673"/>
    </row>
    <row r="279">
      <c r="A279" s="653"/>
      <c r="B279" s="654"/>
      <c r="C279" s="691"/>
      <c r="D279" s="661"/>
      <c r="E279" s="705"/>
      <c r="F279" s="659"/>
      <c r="G279" s="661"/>
      <c r="H279" s="660"/>
      <c r="I279" s="691"/>
      <c r="J279" s="661"/>
      <c r="K279" s="706"/>
      <c r="L279" s="665"/>
      <c r="M279" s="663"/>
      <c r="N279" s="665"/>
      <c r="O279" s="665"/>
      <c r="P279" s="665"/>
      <c r="Q279" s="665"/>
      <c r="R279" s="665"/>
      <c r="S279" s="665"/>
      <c r="T279" s="673"/>
      <c r="U279" s="673"/>
      <c r="V279" s="673"/>
      <c r="W279" s="673"/>
      <c r="X279" s="673"/>
      <c r="Y279" s="673"/>
      <c r="Z279" s="673"/>
      <c r="AA279" s="673"/>
      <c r="AB279" s="673"/>
      <c r="AC279" s="673"/>
      <c r="AD279" s="673"/>
      <c r="AE279" s="673"/>
      <c r="AF279" s="673"/>
      <c r="AG279" s="673"/>
      <c r="AH279" s="673"/>
    </row>
    <row r="280">
      <c r="A280" s="653"/>
      <c r="B280" s="654"/>
      <c r="C280" s="691"/>
      <c r="D280" s="661"/>
      <c r="E280" s="705"/>
      <c r="F280" s="659"/>
      <c r="G280" s="661"/>
      <c r="H280" s="660"/>
      <c r="I280" s="691"/>
      <c r="J280" s="661"/>
      <c r="K280" s="706"/>
      <c r="L280" s="665"/>
      <c r="M280" s="663"/>
      <c r="N280" s="665"/>
      <c r="O280" s="665"/>
      <c r="P280" s="665"/>
      <c r="Q280" s="665"/>
      <c r="R280" s="665"/>
      <c r="S280" s="665"/>
      <c r="T280" s="673"/>
      <c r="U280" s="673"/>
      <c r="V280" s="673"/>
      <c r="W280" s="673"/>
      <c r="X280" s="673"/>
      <c r="Y280" s="673"/>
      <c r="Z280" s="673"/>
      <c r="AA280" s="673"/>
      <c r="AB280" s="673"/>
      <c r="AC280" s="673"/>
      <c r="AD280" s="673"/>
      <c r="AE280" s="673"/>
      <c r="AF280" s="673"/>
      <c r="AG280" s="673"/>
      <c r="AH280" s="673"/>
    </row>
    <row r="281">
      <c r="A281" s="653"/>
      <c r="B281" s="654"/>
      <c r="C281" s="691"/>
      <c r="D281" s="661"/>
      <c r="E281" s="705"/>
      <c r="F281" s="659"/>
      <c r="G281" s="661"/>
      <c r="H281" s="660"/>
      <c r="I281" s="691"/>
      <c r="J281" s="661"/>
      <c r="K281" s="706"/>
      <c r="L281" s="665"/>
      <c r="M281" s="663"/>
      <c r="N281" s="665"/>
      <c r="O281" s="665"/>
      <c r="P281" s="665"/>
      <c r="Q281" s="665"/>
      <c r="R281" s="665"/>
      <c r="S281" s="665"/>
      <c r="T281" s="673"/>
      <c r="U281" s="673"/>
      <c r="V281" s="673"/>
      <c r="W281" s="673"/>
      <c r="X281" s="673"/>
      <c r="Y281" s="673"/>
      <c r="Z281" s="673"/>
      <c r="AA281" s="673"/>
      <c r="AB281" s="673"/>
      <c r="AC281" s="673"/>
      <c r="AD281" s="673"/>
      <c r="AE281" s="673"/>
      <c r="AF281" s="673"/>
      <c r="AG281" s="673"/>
      <c r="AH281" s="673"/>
    </row>
    <row r="282">
      <c r="A282" s="653"/>
      <c r="B282" s="654"/>
      <c r="C282" s="691"/>
      <c r="D282" s="661"/>
      <c r="E282" s="705"/>
      <c r="F282" s="659"/>
      <c r="G282" s="661"/>
      <c r="H282" s="660"/>
      <c r="I282" s="691"/>
      <c r="J282" s="661"/>
      <c r="K282" s="706"/>
      <c r="L282" s="665"/>
      <c r="M282" s="663"/>
      <c r="N282" s="665"/>
      <c r="O282" s="665"/>
      <c r="P282" s="665"/>
      <c r="Q282" s="665"/>
      <c r="R282" s="665"/>
      <c r="S282" s="665"/>
      <c r="T282" s="673"/>
      <c r="U282" s="673"/>
      <c r="V282" s="673"/>
      <c r="W282" s="673"/>
      <c r="X282" s="673"/>
      <c r="Y282" s="673"/>
      <c r="Z282" s="673"/>
      <c r="AA282" s="673"/>
      <c r="AB282" s="673"/>
      <c r="AC282" s="673"/>
      <c r="AD282" s="673"/>
      <c r="AE282" s="673"/>
      <c r="AF282" s="673"/>
      <c r="AG282" s="673"/>
      <c r="AH282" s="673"/>
    </row>
    <row r="283">
      <c r="A283" s="653"/>
      <c r="B283" s="654"/>
      <c r="C283" s="691"/>
      <c r="D283" s="661"/>
      <c r="E283" s="705"/>
      <c r="F283" s="659"/>
      <c r="G283" s="661"/>
      <c r="H283" s="660"/>
      <c r="I283" s="691"/>
      <c r="J283" s="661"/>
      <c r="K283" s="706"/>
      <c r="L283" s="665"/>
      <c r="M283" s="663"/>
      <c r="N283" s="665"/>
      <c r="O283" s="665"/>
      <c r="P283" s="665"/>
      <c r="Q283" s="665"/>
      <c r="R283" s="665"/>
      <c r="S283" s="665"/>
      <c r="T283" s="673"/>
      <c r="U283" s="673"/>
      <c r="V283" s="673"/>
      <c r="W283" s="673"/>
      <c r="X283" s="673"/>
      <c r="Y283" s="673"/>
      <c r="Z283" s="673"/>
      <c r="AA283" s="673"/>
      <c r="AB283" s="673"/>
      <c r="AC283" s="673"/>
      <c r="AD283" s="673"/>
      <c r="AE283" s="673"/>
      <c r="AF283" s="673"/>
      <c r="AG283" s="673"/>
      <c r="AH283" s="673"/>
    </row>
    <row r="284">
      <c r="A284" s="653"/>
      <c r="B284" s="654"/>
      <c r="C284" s="691"/>
      <c r="D284" s="661"/>
      <c r="E284" s="705"/>
      <c r="F284" s="659"/>
      <c r="G284" s="661"/>
      <c r="H284" s="660"/>
      <c r="I284" s="691"/>
      <c r="J284" s="661"/>
      <c r="K284" s="706"/>
      <c r="L284" s="665"/>
      <c r="M284" s="663"/>
      <c r="N284" s="665"/>
      <c r="O284" s="665"/>
      <c r="P284" s="665"/>
      <c r="Q284" s="665"/>
      <c r="R284" s="665"/>
      <c r="S284" s="665"/>
      <c r="T284" s="673"/>
      <c r="U284" s="673"/>
      <c r="V284" s="673"/>
      <c r="W284" s="673"/>
      <c r="X284" s="673"/>
      <c r="Y284" s="673"/>
      <c r="Z284" s="673"/>
      <c r="AA284" s="673"/>
      <c r="AB284" s="673"/>
      <c r="AC284" s="673"/>
      <c r="AD284" s="673"/>
      <c r="AE284" s="673"/>
      <c r="AF284" s="673"/>
      <c r="AG284" s="673"/>
      <c r="AH284" s="673"/>
    </row>
    <row r="285">
      <c r="A285" s="653"/>
      <c r="B285" s="654"/>
      <c r="C285" s="691"/>
      <c r="D285" s="661"/>
      <c r="E285" s="705"/>
      <c r="F285" s="659"/>
      <c r="G285" s="661"/>
      <c r="H285" s="660"/>
      <c r="I285" s="691"/>
      <c r="J285" s="661"/>
      <c r="K285" s="706"/>
      <c r="L285" s="665"/>
      <c r="M285" s="663"/>
      <c r="N285" s="665"/>
      <c r="O285" s="665"/>
      <c r="P285" s="665"/>
      <c r="Q285" s="665"/>
      <c r="R285" s="665"/>
      <c r="S285" s="665"/>
      <c r="T285" s="673"/>
      <c r="U285" s="673"/>
      <c r="V285" s="673"/>
      <c r="W285" s="673"/>
      <c r="X285" s="673"/>
      <c r="Y285" s="673"/>
      <c r="Z285" s="673"/>
      <c r="AA285" s="673"/>
      <c r="AB285" s="673"/>
      <c r="AC285" s="673"/>
      <c r="AD285" s="673"/>
      <c r="AE285" s="673"/>
      <c r="AF285" s="673"/>
      <c r="AG285" s="673"/>
      <c r="AH285" s="673"/>
    </row>
    <row r="286">
      <c r="A286" s="653"/>
      <c r="B286" s="654"/>
      <c r="C286" s="691"/>
      <c r="D286" s="661"/>
      <c r="E286" s="705"/>
      <c r="F286" s="659"/>
      <c r="G286" s="661"/>
      <c r="H286" s="660"/>
      <c r="I286" s="691"/>
      <c r="J286" s="661"/>
      <c r="K286" s="706"/>
      <c r="L286" s="665"/>
      <c r="M286" s="663"/>
      <c r="N286" s="665"/>
      <c r="O286" s="665"/>
      <c r="P286" s="665"/>
      <c r="Q286" s="665"/>
      <c r="R286" s="665"/>
      <c r="S286" s="665"/>
      <c r="T286" s="673"/>
      <c r="U286" s="673"/>
      <c r="V286" s="673"/>
      <c r="W286" s="673"/>
      <c r="X286" s="673"/>
      <c r="Y286" s="673"/>
      <c r="Z286" s="673"/>
      <c r="AA286" s="673"/>
      <c r="AB286" s="673"/>
      <c r="AC286" s="673"/>
      <c r="AD286" s="673"/>
      <c r="AE286" s="673"/>
      <c r="AF286" s="673"/>
      <c r="AG286" s="673"/>
      <c r="AH286" s="673"/>
    </row>
    <row r="287">
      <c r="A287" s="653"/>
      <c r="B287" s="654"/>
      <c r="C287" s="691"/>
      <c r="D287" s="661"/>
      <c r="E287" s="705"/>
      <c r="F287" s="659"/>
      <c r="G287" s="661"/>
      <c r="H287" s="660"/>
      <c r="I287" s="691"/>
      <c r="J287" s="661"/>
      <c r="K287" s="706"/>
      <c r="L287" s="665"/>
      <c r="M287" s="663"/>
      <c r="N287" s="665"/>
      <c r="O287" s="665"/>
      <c r="P287" s="665"/>
      <c r="Q287" s="665"/>
      <c r="R287" s="665"/>
      <c r="S287" s="665"/>
      <c r="T287" s="673"/>
      <c r="U287" s="673"/>
      <c r="V287" s="673"/>
      <c r="W287" s="673"/>
      <c r="X287" s="673"/>
      <c r="Y287" s="673"/>
      <c r="Z287" s="673"/>
      <c r="AA287" s="673"/>
      <c r="AB287" s="673"/>
      <c r="AC287" s="673"/>
      <c r="AD287" s="673"/>
      <c r="AE287" s="673"/>
      <c r="AF287" s="673"/>
      <c r="AG287" s="673"/>
      <c r="AH287" s="673"/>
    </row>
    <row r="288">
      <c r="A288" s="653"/>
      <c r="B288" s="654"/>
      <c r="C288" s="691"/>
      <c r="D288" s="661"/>
      <c r="E288" s="705"/>
      <c r="F288" s="659"/>
      <c r="G288" s="661"/>
      <c r="H288" s="660"/>
      <c r="I288" s="691"/>
      <c r="J288" s="661"/>
      <c r="K288" s="706"/>
      <c r="L288" s="665"/>
      <c r="M288" s="663"/>
      <c r="N288" s="665"/>
      <c r="O288" s="665"/>
      <c r="P288" s="665"/>
      <c r="Q288" s="665"/>
      <c r="R288" s="665"/>
      <c r="S288" s="665"/>
      <c r="T288" s="673"/>
      <c r="U288" s="673"/>
      <c r="V288" s="673"/>
      <c r="W288" s="673"/>
      <c r="X288" s="673"/>
      <c r="Y288" s="673"/>
      <c r="Z288" s="673"/>
      <c r="AA288" s="673"/>
      <c r="AB288" s="673"/>
      <c r="AC288" s="673"/>
      <c r="AD288" s="673"/>
      <c r="AE288" s="673"/>
      <c r="AF288" s="673"/>
      <c r="AG288" s="673"/>
      <c r="AH288" s="673"/>
    </row>
    <row r="289">
      <c r="A289" s="653"/>
      <c r="B289" s="654"/>
      <c r="C289" s="691"/>
      <c r="D289" s="661"/>
      <c r="E289" s="705"/>
      <c r="F289" s="659"/>
      <c r="G289" s="661"/>
      <c r="H289" s="660"/>
      <c r="I289" s="691"/>
      <c r="J289" s="661"/>
      <c r="K289" s="706"/>
      <c r="L289" s="665"/>
      <c r="M289" s="663"/>
      <c r="N289" s="665"/>
      <c r="O289" s="665"/>
      <c r="P289" s="665"/>
      <c r="Q289" s="665"/>
      <c r="R289" s="665"/>
      <c r="S289" s="665"/>
      <c r="T289" s="673"/>
      <c r="U289" s="673"/>
      <c r="V289" s="673"/>
      <c r="W289" s="673"/>
      <c r="X289" s="673"/>
      <c r="Y289" s="673"/>
      <c r="Z289" s="673"/>
      <c r="AA289" s="673"/>
      <c r="AB289" s="673"/>
      <c r="AC289" s="673"/>
      <c r="AD289" s="673"/>
      <c r="AE289" s="673"/>
      <c r="AF289" s="673"/>
      <c r="AG289" s="673"/>
      <c r="AH289" s="673"/>
    </row>
    <row r="290">
      <c r="A290" s="653"/>
      <c r="B290" s="654"/>
      <c r="C290" s="691"/>
      <c r="D290" s="661"/>
      <c r="E290" s="705"/>
      <c r="F290" s="659"/>
      <c r="G290" s="661"/>
      <c r="H290" s="660"/>
      <c r="I290" s="691"/>
      <c r="J290" s="661"/>
      <c r="K290" s="706"/>
      <c r="L290" s="665"/>
      <c r="M290" s="663"/>
      <c r="N290" s="665"/>
      <c r="O290" s="665"/>
      <c r="P290" s="665"/>
      <c r="Q290" s="665"/>
      <c r="R290" s="665"/>
      <c r="S290" s="665"/>
      <c r="T290" s="673"/>
      <c r="U290" s="673"/>
      <c r="V290" s="673"/>
      <c r="W290" s="673"/>
      <c r="X290" s="673"/>
      <c r="Y290" s="673"/>
      <c r="Z290" s="673"/>
      <c r="AA290" s="673"/>
      <c r="AB290" s="673"/>
      <c r="AC290" s="673"/>
      <c r="AD290" s="673"/>
      <c r="AE290" s="673"/>
      <c r="AF290" s="673"/>
      <c r="AG290" s="673"/>
      <c r="AH290" s="673"/>
    </row>
    <row r="291">
      <c r="A291" s="653"/>
      <c r="B291" s="654"/>
      <c r="C291" s="691"/>
      <c r="D291" s="661"/>
      <c r="E291" s="705"/>
      <c r="F291" s="659"/>
      <c r="G291" s="661"/>
      <c r="H291" s="660"/>
      <c r="I291" s="691"/>
      <c r="J291" s="661"/>
      <c r="K291" s="706"/>
      <c r="L291" s="665"/>
      <c r="M291" s="663"/>
      <c r="N291" s="665"/>
      <c r="O291" s="665"/>
      <c r="P291" s="665"/>
      <c r="Q291" s="665"/>
      <c r="R291" s="665"/>
      <c r="S291" s="665"/>
      <c r="T291" s="673"/>
      <c r="U291" s="673"/>
      <c r="V291" s="673"/>
      <c r="W291" s="673"/>
      <c r="X291" s="673"/>
      <c r="Y291" s="673"/>
      <c r="Z291" s="673"/>
      <c r="AA291" s="673"/>
      <c r="AB291" s="673"/>
      <c r="AC291" s="673"/>
      <c r="AD291" s="673"/>
      <c r="AE291" s="673"/>
      <c r="AF291" s="673"/>
      <c r="AG291" s="673"/>
      <c r="AH291" s="673"/>
    </row>
    <row r="292">
      <c r="A292" s="653"/>
      <c r="B292" s="654"/>
      <c r="C292" s="691"/>
      <c r="D292" s="661"/>
      <c r="E292" s="705"/>
      <c r="F292" s="659"/>
      <c r="G292" s="661"/>
      <c r="H292" s="660"/>
      <c r="I292" s="691"/>
      <c r="J292" s="661"/>
      <c r="K292" s="706"/>
      <c r="L292" s="665"/>
      <c r="M292" s="663"/>
      <c r="N292" s="665"/>
      <c r="O292" s="665"/>
      <c r="P292" s="665"/>
      <c r="Q292" s="665"/>
      <c r="R292" s="665"/>
      <c r="S292" s="665"/>
      <c r="T292" s="673"/>
      <c r="U292" s="673"/>
      <c r="V292" s="673"/>
      <c r="W292" s="673"/>
      <c r="X292" s="673"/>
      <c r="Y292" s="673"/>
      <c r="Z292" s="673"/>
      <c r="AA292" s="673"/>
      <c r="AB292" s="673"/>
      <c r="AC292" s="673"/>
      <c r="AD292" s="673"/>
      <c r="AE292" s="673"/>
      <c r="AF292" s="673"/>
      <c r="AG292" s="673"/>
      <c r="AH292" s="673"/>
    </row>
    <row r="293">
      <c r="A293" s="653"/>
      <c r="B293" s="654"/>
      <c r="C293" s="691"/>
      <c r="D293" s="661"/>
      <c r="E293" s="705"/>
      <c r="F293" s="659"/>
      <c r="G293" s="661"/>
      <c r="H293" s="660"/>
      <c r="I293" s="691"/>
      <c r="J293" s="661"/>
      <c r="K293" s="706"/>
      <c r="L293" s="665"/>
      <c r="M293" s="663"/>
      <c r="N293" s="665"/>
      <c r="O293" s="665"/>
      <c r="P293" s="665"/>
      <c r="Q293" s="665"/>
      <c r="R293" s="665"/>
      <c r="S293" s="665"/>
      <c r="T293" s="673"/>
      <c r="U293" s="673"/>
      <c r="V293" s="673"/>
      <c r="W293" s="673"/>
      <c r="X293" s="673"/>
      <c r="Y293" s="673"/>
      <c r="Z293" s="673"/>
      <c r="AA293" s="673"/>
      <c r="AB293" s="673"/>
      <c r="AC293" s="673"/>
      <c r="AD293" s="673"/>
      <c r="AE293" s="673"/>
      <c r="AF293" s="673"/>
      <c r="AG293" s="673"/>
      <c r="AH293" s="673"/>
    </row>
    <row r="294">
      <c r="A294" s="653"/>
      <c r="B294" s="654"/>
      <c r="C294" s="691"/>
      <c r="D294" s="661"/>
      <c r="E294" s="705"/>
      <c r="F294" s="659"/>
      <c r="G294" s="661"/>
      <c r="H294" s="660"/>
      <c r="I294" s="691"/>
      <c r="J294" s="661"/>
      <c r="K294" s="706"/>
      <c r="L294" s="665"/>
      <c r="M294" s="663"/>
      <c r="N294" s="665"/>
      <c r="O294" s="665"/>
      <c r="P294" s="665"/>
      <c r="Q294" s="665"/>
      <c r="R294" s="665"/>
      <c r="S294" s="665"/>
      <c r="T294" s="673"/>
      <c r="U294" s="673"/>
      <c r="V294" s="673"/>
      <c r="W294" s="673"/>
      <c r="X294" s="673"/>
      <c r="Y294" s="673"/>
      <c r="Z294" s="673"/>
      <c r="AA294" s="673"/>
      <c r="AB294" s="673"/>
      <c r="AC294" s="673"/>
      <c r="AD294" s="673"/>
      <c r="AE294" s="673"/>
      <c r="AF294" s="673"/>
      <c r="AG294" s="673"/>
      <c r="AH294" s="673"/>
    </row>
    <row r="295">
      <c r="A295" s="653"/>
      <c r="B295" s="654"/>
      <c r="C295" s="691"/>
      <c r="D295" s="661"/>
      <c r="E295" s="705"/>
      <c r="F295" s="659"/>
      <c r="G295" s="661"/>
      <c r="H295" s="660"/>
      <c r="I295" s="691"/>
      <c r="J295" s="661"/>
      <c r="K295" s="706"/>
      <c r="L295" s="665"/>
      <c r="M295" s="663"/>
      <c r="N295" s="665"/>
      <c r="O295" s="665"/>
      <c r="P295" s="665"/>
      <c r="Q295" s="665"/>
      <c r="R295" s="665"/>
      <c r="S295" s="665"/>
      <c r="T295" s="673"/>
      <c r="U295" s="673"/>
      <c r="V295" s="673"/>
      <c r="W295" s="673"/>
      <c r="X295" s="673"/>
      <c r="Y295" s="673"/>
      <c r="Z295" s="673"/>
      <c r="AA295" s="673"/>
      <c r="AB295" s="673"/>
      <c r="AC295" s="673"/>
      <c r="AD295" s="673"/>
      <c r="AE295" s="673"/>
      <c r="AF295" s="673"/>
      <c r="AG295" s="673"/>
      <c r="AH295" s="673"/>
    </row>
    <row r="296">
      <c r="A296" s="653"/>
      <c r="B296" s="654"/>
      <c r="C296" s="691"/>
      <c r="D296" s="661"/>
      <c r="E296" s="705"/>
      <c r="F296" s="659"/>
      <c r="G296" s="661"/>
      <c r="H296" s="660"/>
      <c r="I296" s="691"/>
      <c r="J296" s="661"/>
      <c r="K296" s="706"/>
      <c r="L296" s="665"/>
      <c r="M296" s="663"/>
      <c r="N296" s="665"/>
      <c r="O296" s="665"/>
      <c r="P296" s="665"/>
      <c r="Q296" s="665"/>
      <c r="R296" s="665"/>
      <c r="S296" s="665"/>
      <c r="T296" s="673"/>
      <c r="U296" s="673"/>
      <c r="V296" s="673"/>
      <c r="W296" s="673"/>
      <c r="X296" s="673"/>
      <c r="Y296" s="673"/>
      <c r="Z296" s="673"/>
      <c r="AA296" s="673"/>
      <c r="AB296" s="673"/>
      <c r="AC296" s="673"/>
      <c r="AD296" s="673"/>
      <c r="AE296" s="673"/>
      <c r="AF296" s="673"/>
      <c r="AG296" s="673"/>
      <c r="AH296" s="673"/>
    </row>
    <row r="297">
      <c r="A297" s="653"/>
      <c r="B297" s="654"/>
      <c r="C297" s="691"/>
      <c r="D297" s="661"/>
      <c r="E297" s="705"/>
      <c r="F297" s="659"/>
      <c r="G297" s="661"/>
      <c r="H297" s="660"/>
      <c r="I297" s="691"/>
      <c r="J297" s="661"/>
      <c r="K297" s="706"/>
      <c r="L297" s="665"/>
      <c r="M297" s="663"/>
      <c r="N297" s="665"/>
      <c r="O297" s="665"/>
      <c r="P297" s="665"/>
      <c r="Q297" s="665"/>
      <c r="R297" s="665"/>
      <c r="S297" s="665"/>
      <c r="T297" s="673"/>
      <c r="U297" s="673"/>
      <c r="V297" s="673"/>
      <c r="W297" s="673"/>
      <c r="X297" s="673"/>
      <c r="Y297" s="673"/>
      <c r="Z297" s="673"/>
      <c r="AA297" s="673"/>
      <c r="AB297" s="673"/>
      <c r="AC297" s="673"/>
      <c r="AD297" s="673"/>
      <c r="AE297" s="673"/>
      <c r="AF297" s="673"/>
      <c r="AG297" s="673"/>
      <c r="AH297" s="673"/>
    </row>
    <row r="298">
      <c r="A298" s="653"/>
      <c r="B298" s="654"/>
      <c r="C298" s="691"/>
      <c r="D298" s="661"/>
      <c r="E298" s="705"/>
      <c r="F298" s="659"/>
      <c r="G298" s="661"/>
      <c r="H298" s="660"/>
      <c r="I298" s="691"/>
      <c r="J298" s="661"/>
      <c r="K298" s="706"/>
      <c r="L298" s="665"/>
      <c r="M298" s="663"/>
      <c r="N298" s="665"/>
      <c r="O298" s="665"/>
      <c r="P298" s="665"/>
      <c r="Q298" s="665"/>
      <c r="R298" s="665"/>
      <c r="S298" s="665"/>
      <c r="T298" s="673"/>
      <c r="U298" s="673"/>
      <c r="V298" s="673"/>
      <c r="W298" s="673"/>
      <c r="X298" s="673"/>
      <c r="Y298" s="673"/>
      <c r="Z298" s="673"/>
      <c r="AA298" s="673"/>
      <c r="AB298" s="673"/>
      <c r="AC298" s="673"/>
      <c r="AD298" s="673"/>
      <c r="AE298" s="673"/>
      <c r="AF298" s="673"/>
      <c r="AG298" s="673"/>
      <c r="AH298" s="673"/>
    </row>
    <row r="299">
      <c r="A299" s="653"/>
      <c r="B299" s="654"/>
      <c r="C299" s="691"/>
      <c r="D299" s="661"/>
      <c r="E299" s="705"/>
      <c r="F299" s="659"/>
      <c r="G299" s="661"/>
      <c r="H299" s="660"/>
      <c r="I299" s="691"/>
      <c r="J299" s="661"/>
      <c r="K299" s="706"/>
      <c r="L299" s="665"/>
      <c r="M299" s="663"/>
      <c r="N299" s="665"/>
      <c r="O299" s="665"/>
      <c r="P299" s="665"/>
      <c r="Q299" s="665"/>
      <c r="R299" s="665"/>
      <c r="S299" s="665"/>
      <c r="T299" s="673"/>
      <c r="U299" s="673"/>
      <c r="V299" s="673"/>
      <c r="W299" s="673"/>
      <c r="X299" s="673"/>
      <c r="Y299" s="673"/>
      <c r="Z299" s="673"/>
      <c r="AA299" s="673"/>
      <c r="AB299" s="673"/>
      <c r="AC299" s="673"/>
      <c r="AD299" s="673"/>
      <c r="AE299" s="673"/>
      <c r="AF299" s="673"/>
      <c r="AG299" s="673"/>
      <c r="AH299" s="673"/>
    </row>
    <row r="300">
      <c r="A300" s="653"/>
      <c r="B300" s="654"/>
      <c r="C300" s="691"/>
      <c r="D300" s="661"/>
      <c r="E300" s="705"/>
      <c r="F300" s="659"/>
      <c r="G300" s="661"/>
      <c r="H300" s="660"/>
      <c r="I300" s="691"/>
      <c r="J300" s="661"/>
      <c r="K300" s="706"/>
      <c r="L300" s="665"/>
      <c r="M300" s="663"/>
      <c r="N300" s="665"/>
      <c r="O300" s="665"/>
      <c r="P300" s="665"/>
      <c r="Q300" s="665"/>
      <c r="R300" s="665"/>
      <c r="S300" s="665"/>
      <c r="T300" s="673"/>
      <c r="U300" s="673"/>
      <c r="V300" s="673"/>
      <c r="W300" s="673"/>
      <c r="X300" s="673"/>
      <c r="Y300" s="673"/>
      <c r="Z300" s="673"/>
      <c r="AA300" s="673"/>
      <c r="AB300" s="673"/>
      <c r="AC300" s="673"/>
      <c r="AD300" s="673"/>
      <c r="AE300" s="673"/>
      <c r="AF300" s="673"/>
      <c r="AG300" s="673"/>
      <c r="AH300" s="673"/>
    </row>
    <row r="301">
      <c r="A301" s="653"/>
      <c r="B301" s="654"/>
      <c r="C301" s="691"/>
      <c r="D301" s="661"/>
      <c r="E301" s="705"/>
      <c r="F301" s="659"/>
      <c r="G301" s="661"/>
      <c r="H301" s="660"/>
      <c r="I301" s="691"/>
      <c r="J301" s="661"/>
      <c r="K301" s="706"/>
      <c r="L301" s="665"/>
      <c r="M301" s="663"/>
      <c r="N301" s="665"/>
      <c r="O301" s="665"/>
      <c r="P301" s="665"/>
      <c r="Q301" s="665"/>
      <c r="R301" s="665"/>
      <c r="S301" s="665"/>
      <c r="T301" s="673"/>
      <c r="U301" s="673"/>
      <c r="V301" s="673"/>
      <c r="W301" s="673"/>
      <c r="X301" s="673"/>
      <c r="Y301" s="673"/>
      <c r="Z301" s="673"/>
      <c r="AA301" s="673"/>
      <c r="AB301" s="673"/>
      <c r="AC301" s="673"/>
      <c r="AD301" s="673"/>
      <c r="AE301" s="673"/>
      <c r="AF301" s="673"/>
      <c r="AG301" s="673"/>
      <c r="AH301" s="673"/>
    </row>
    <row r="302">
      <c r="A302" s="653"/>
      <c r="B302" s="654"/>
      <c r="C302" s="691"/>
      <c r="D302" s="661"/>
      <c r="E302" s="705"/>
      <c r="F302" s="659"/>
      <c r="G302" s="661"/>
      <c r="H302" s="660"/>
      <c r="I302" s="691"/>
      <c r="J302" s="661"/>
      <c r="K302" s="706"/>
      <c r="L302" s="665"/>
      <c r="M302" s="663"/>
      <c r="N302" s="665"/>
      <c r="O302" s="665"/>
      <c r="P302" s="665"/>
      <c r="Q302" s="665"/>
      <c r="R302" s="665"/>
      <c r="S302" s="665"/>
      <c r="T302" s="673"/>
      <c r="U302" s="673"/>
      <c r="V302" s="673"/>
      <c r="W302" s="673"/>
      <c r="X302" s="673"/>
      <c r="Y302" s="673"/>
      <c r="Z302" s="673"/>
      <c r="AA302" s="673"/>
      <c r="AB302" s="673"/>
      <c r="AC302" s="673"/>
      <c r="AD302" s="673"/>
      <c r="AE302" s="673"/>
      <c r="AF302" s="673"/>
      <c r="AG302" s="673"/>
      <c r="AH302" s="673"/>
    </row>
    <row r="303">
      <c r="A303" s="653"/>
      <c r="B303" s="654"/>
      <c r="C303" s="691"/>
      <c r="D303" s="661"/>
      <c r="E303" s="705"/>
      <c r="F303" s="659"/>
      <c r="G303" s="661"/>
      <c r="H303" s="660"/>
      <c r="I303" s="691"/>
      <c r="J303" s="661"/>
      <c r="K303" s="706"/>
      <c r="L303" s="665"/>
      <c r="M303" s="663"/>
      <c r="N303" s="665"/>
      <c r="O303" s="665"/>
      <c r="P303" s="665"/>
      <c r="Q303" s="665"/>
      <c r="R303" s="665"/>
      <c r="S303" s="665"/>
      <c r="T303" s="673"/>
      <c r="U303" s="673"/>
      <c r="V303" s="673"/>
      <c r="W303" s="673"/>
      <c r="X303" s="673"/>
      <c r="Y303" s="673"/>
      <c r="Z303" s="673"/>
      <c r="AA303" s="673"/>
      <c r="AB303" s="673"/>
      <c r="AC303" s="673"/>
      <c r="AD303" s="673"/>
      <c r="AE303" s="673"/>
      <c r="AF303" s="673"/>
      <c r="AG303" s="673"/>
      <c r="AH303" s="673"/>
    </row>
    <row r="304">
      <c r="A304" s="653"/>
      <c r="B304" s="654"/>
      <c r="C304" s="691"/>
      <c r="D304" s="661"/>
      <c r="E304" s="705"/>
      <c r="F304" s="659"/>
      <c r="G304" s="661"/>
      <c r="H304" s="660"/>
      <c r="I304" s="691"/>
      <c r="J304" s="661"/>
      <c r="K304" s="706"/>
      <c r="L304" s="665"/>
      <c r="M304" s="663"/>
      <c r="N304" s="665"/>
      <c r="O304" s="665"/>
      <c r="P304" s="665"/>
      <c r="Q304" s="665"/>
      <c r="R304" s="665"/>
      <c r="S304" s="665"/>
      <c r="T304" s="673"/>
      <c r="U304" s="673"/>
      <c r="V304" s="673"/>
      <c r="W304" s="673"/>
      <c r="X304" s="673"/>
      <c r="Y304" s="673"/>
      <c r="Z304" s="673"/>
      <c r="AA304" s="673"/>
      <c r="AB304" s="673"/>
      <c r="AC304" s="673"/>
      <c r="AD304" s="673"/>
      <c r="AE304" s="673"/>
      <c r="AF304" s="673"/>
      <c r="AG304" s="673"/>
      <c r="AH304" s="673"/>
    </row>
    <row r="305">
      <c r="A305" s="653"/>
      <c r="B305" s="654"/>
      <c r="C305" s="691"/>
      <c r="D305" s="661"/>
      <c r="E305" s="705"/>
      <c r="F305" s="659"/>
      <c r="G305" s="661"/>
      <c r="H305" s="660"/>
      <c r="I305" s="691"/>
      <c r="J305" s="661"/>
      <c r="K305" s="706"/>
      <c r="L305" s="665"/>
      <c r="M305" s="663"/>
      <c r="N305" s="665"/>
      <c r="O305" s="665"/>
      <c r="P305" s="665"/>
      <c r="Q305" s="665"/>
      <c r="R305" s="665"/>
      <c r="S305" s="665"/>
      <c r="T305" s="673"/>
      <c r="U305" s="673"/>
      <c r="V305" s="673"/>
      <c r="W305" s="673"/>
      <c r="X305" s="673"/>
      <c r="Y305" s="673"/>
      <c r="Z305" s="673"/>
      <c r="AA305" s="673"/>
      <c r="AB305" s="673"/>
      <c r="AC305" s="673"/>
      <c r="AD305" s="673"/>
      <c r="AE305" s="673"/>
      <c r="AF305" s="673"/>
      <c r="AG305" s="673"/>
      <c r="AH305" s="673"/>
    </row>
    <row r="306">
      <c r="A306" s="653"/>
      <c r="B306" s="654"/>
      <c r="C306" s="691"/>
      <c r="D306" s="661"/>
      <c r="E306" s="705"/>
      <c r="F306" s="659"/>
      <c r="G306" s="661"/>
      <c r="H306" s="660"/>
      <c r="I306" s="691"/>
      <c r="J306" s="661"/>
      <c r="K306" s="706"/>
      <c r="L306" s="665"/>
      <c r="M306" s="663"/>
      <c r="N306" s="665"/>
      <c r="O306" s="665"/>
      <c r="P306" s="665"/>
      <c r="Q306" s="665"/>
      <c r="R306" s="665"/>
      <c r="S306" s="665"/>
      <c r="T306" s="673"/>
      <c r="U306" s="673"/>
      <c r="V306" s="673"/>
      <c r="W306" s="673"/>
      <c r="X306" s="673"/>
      <c r="Y306" s="673"/>
      <c r="Z306" s="673"/>
      <c r="AA306" s="673"/>
      <c r="AB306" s="673"/>
      <c r="AC306" s="673"/>
      <c r="AD306" s="673"/>
      <c r="AE306" s="673"/>
      <c r="AF306" s="673"/>
      <c r="AG306" s="673"/>
      <c r="AH306" s="673"/>
    </row>
    <row r="307">
      <c r="A307" s="653"/>
      <c r="B307" s="654"/>
      <c r="C307" s="691"/>
      <c r="D307" s="661"/>
      <c r="E307" s="705"/>
      <c r="F307" s="659"/>
      <c r="G307" s="661"/>
      <c r="H307" s="660"/>
      <c r="I307" s="691"/>
      <c r="J307" s="661"/>
      <c r="K307" s="706"/>
      <c r="L307" s="665"/>
      <c r="M307" s="663"/>
      <c r="N307" s="665"/>
      <c r="O307" s="665"/>
      <c r="P307" s="665"/>
      <c r="Q307" s="665"/>
      <c r="R307" s="665"/>
      <c r="S307" s="665"/>
      <c r="T307" s="673"/>
      <c r="U307" s="673"/>
      <c r="V307" s="673"/>
      <c r="W307" s="673"/>
      <c r="X307" s="673"/>
      <c r="Y307" s="673"/>
      <c r="Z307" s="673"/>
      <c r="AA307" s="673"/>
      <c r="AB307" s="673"/>
      <c r="AC307" s="673"/>
      <c r="AD307" s="673"/>
      <c r="AE307" s="673"/>
      <c r="AF307" s="673"/>
      <c r="AG307" s="673"/>
      <c r="AH307" s="673"/>
    </row>
    <row r="308">
      <c r="A308" s="653"/>
      <c r="B308" s="654"/>
      <c r="C308" s="691"/>
      <c r="D308" s="661"/>
      <c r="E308" s="705"/>
      <c r="F308" s="659"/>
      <c r="G308" s="661"/>
      <c r="H308" s="660"/>
      <c r="I308" s="691"/>
      <c r="J308" s="661"/>
      <c r="K308" s="706"/>
      <c r="L308" s="665"/>
      <c r="M308" s="663"/>
      <c r="N308" s="665"/>
      <c r="O308" s="665"/>
      <c r="P308" s="665"/>
      <c r="Q308" s="665"/>
      <c r="R308" s="665"/>
      <c r="S308" s="665"/>
      <c r="T308" s="673"/>
      <c r="U308" s="673"/>
      <c r="V308" s="673"/>
      <c r="W308" s="673"/>
      <c r="X308" s="673"/>
      <c r="Y308" s="673"/>
      <c r="Z308" s="673"/>
      <c r="AA308" s="673"/>
      <c r="AB308" s="673"/>
      <c r="AC308" s="673"/>
      <c r="AD308" s="673"/>
      <c r="AE308" s="673"/>
      <c r="AF308" s="673"/>
      <c r="AG308" s="673"/>
      <c r="AH308" s="673"/>
    </row>
    <row r="309">
      <c r="A309" s="653"/>
      <c r="B309" s="654"/>
      <c r="C309" s="691"/>
      <c r="D309" s="661"/>
      <c r="E309" s="705"/>
      <c r="F309" s="659"/>
      <c r="G309" s="661"/>
      <c r="H309" s="660"/>
      <c r="I309" s="691"/>
      <c r="J309" s="661"/>
      <c r="K309" s="706"/>
      <c r="L309" s="665"/>
      <c r="M309" s="663"/>
      <c r="N309" s="665"/>
      <c r="O309" s="665"/>
      <c r="P309" s="665"/>
      <c r="Q309" s="665"/>
      <c r="R309" s="665"/>
      <c r="S309" s="665"/>
      <c r="T309" s="673"/>
      <c r="U309" s="673"/>
      <c r="V309" s="673"/>
      <c r="W309" s="673"/>
      <c r="X309" s="673"/>
      <c r="Y309" s="673"/>
      <c r="Z309" s="673"/>
      <c r="AA309" s="673"/>
      <c r="AB309" s="673"/>
      <c r="AC309" s="673"/>
      <c r="AD309" s="673"/>
      <c r="AE309" s="673"/>
      <c r="AF309" s="673"/>
      <c r="AG309" s="673"/>
      <c r="AH309" s="673"/>
    </row>
    <row r="310">
      <c r="A310" s="653"/>
      <c r="B310" s="654"/>
      <c r="C310" s="691"/>
      <c r="D310" s="661"/>
      <c r="E310" s="705"/>
      <c r="F310" s="659"/>
      <c r="G310" s="661"/>
      <c r="H310" s="660"/>
      <c r="I310" s="691"/>
      <c r="J310" s="661"/>
      <c r="K310" s="706"/>
      <c r="L310" s="665"/>
      <c r="M310" s="663"/>
      <c r="N310" s="665"/>
      <c r="O310" s="665"/>
      <c r="P310" s="665"/>
      <c r="Q310" s="665"/>
      <c r="R310" s="665"/>
      <c r="S310" s="665"/>
      <c r="T310" s="673"/>
      <c r="U310" s="673"/>
      <c r="V310" s="673"/>
      <c r="W310" s="673"/>
      <c r="X310" s="673"/>
      <c r="Y310" s="673"/>
      <c r="Z310" s="673"/>
      <c r="AA310" s="673"/>
      <c r="AB310" s="673"/>
      <c r="AC310" s="673"/>
      <c r="AD310" s="673"/>
      <c r="AE310" s="673"/>
      <c r="AF310" s="673"/>
      <c r="AG310" s="673"/>
      <c r="AH310" s="673"/>
    </row>
    <row r="311">
      <c r="A311" s="653"/>
      <c r="B311" s="654"/>
      <c r="C311" s="691"/>
      <c r="D311" s="661"/>
      <c r="E311" s="705"/>
      <c r="F311" s="659"/>
      <c r="G311" s="661"/>
      <c r="H311" s="660"/>
      <c r="I311" s="691"/>
      <c r="J311" s="661"/>
      <c r="K311" s="706"/>
      <c r="L311" s="665"/>
      <c r="M311" s="663"/>
      <c r="N311" s="665"/>
      <c r="O311" s="665"/>
      <c r="P311" s="665"/>
      <c r="Q311" s="665"/>
      <c r="R311" s="665"/>
      <c r="S311" s="665"/>
      <c r="T311" s="673"/>
      <c r="U311" s="673"/>
      <c r="V311" s="673"/>
      <c r="W311" s="673"/>
      <c r="X311" s="673"/>
      <c r="Y311" s="673"/>
      <c r="Z311" s="673"/>
      <c r="AA311" s="673"/>
      <c r="AB311" s="673"/>
      <c r="AC311" s="673"/>
      <c r="AD311" s="673"/>
      <c r="AE311" s="673"/>
      <c r="AF311" s="673"/>
      <c r="AG311" s="673"/>
      <c r="AH311" s="673"/>
    </row>
    <row r="312">
      <c r="A312" s="653"/>
      <c r="B312" s="654"/>
      <c r="C312" s="691"/>
      <c r="D312" s="661"/>
      <c r="E312" s="705"/>
      <c r="F312" s="659"/>
      <c r="G312" s="661"/>
      <c r="H312" s="660"/>
      <c r="I312" s="691"/>
      <c r="J312" s="661"/>
      <c r="K312" s="706"/>
      <c r="L312" s="665"/>
      <c r="M312" s="663"/>
      <c r="N312" s="665"/>
      <c r="O312" s="665"/>
      <c r="P312" s="665"/>
      <c r="Q312" s="665"/>
      <c r="R312" s="665"/>
      <c r="S312" s="665"/>
      <c r="T312" s="673"/>
      <c r="U312" s="673"/>
      <c r="V312" s="673"/>
      <c r="W312" s="673"/>
      <c r="X312" s="673"/>
      <c r="Y312" s="673"/>
      <c r="Z312" s="673"/>
      <c r="AA312" s="673"/>
      <c r="AB312" s="673"/>
      <c r="AC312" s="673"/>
      <c r="AD312" s="673"/>
      <c r="AE312" s="673"/>
      <c r="AF312" s="673"/>
      <c r="AG312" s="673"/>
      <c r="AH312" s="673"/>
    </row>
    <row r="313">
      <c r="A313" s="653"/>
      <c r="B313" s="654"/>
      <c r="C313" s="691"/>
      <c r="D313" s="661"/>
      <c r="E313" s="705"/>
      <c r="F313" s="659"/>
      <c r="G313" s="661"/>
      <c r="H313" s="660"/>
      <c r="I313" s="691"/>
      <c r="J313" s="661"/>
      <c r="K313" s="706"/>
      <c r="L313" s="665"/>
      <c r="M313" s="663"/>
      <c r="N313" s="665"/>
      <c r="O313" s="665"/>
      <c r="P313" s="665"/>
      <c r="Q313" s="665"/>
      <c r="R313" s="665"/>
      <c r="S313" s="665"/>
      <c r="T313" s="673"/>
      <c r="U313" s="673"/>
      <c r="V313" s="673"/>
      <c r="W313" s="673"/>
      <c r="X313" s="673"/>
      <c r="Y313" s="673"/>
      <c r="Z313" s="673"/>
      <c r="AA313" s="673"/>
      <c r="AB313" s="673"/>
      <c r="AC313" s="673"/>
      <c r="AD313" s="673"/>
      <c r="AE313" s="673"/>
      <c r="AF313" s="673"/>
      <c r="AG313" s="673"/>
      <c r="AH313" s="673"/>
    </row>
    <row r="314">
      <c r="A314" s="653"/>
      <c r="B314" s="654"/>
      <c r="C314" s="691"/>
      <c r="D314" s="661"/>
      <c r="E314" s="705"/>
      <c r="F314" s="659"/>
      <c r="G314" s="661"/>
      <c r="H314" s="660"/>
      <c r="I314" s="691"/>
      <c r="J314" s="661"/>
      <c r="K314" s="706"/>
      <c r="L314" s="665"/>
      <c r="M314" s="663"/>
      <c r="N314" s="665"/>
      <c r="O314" s="665"/>
      <c r="P314" s="665"/>
      <c r="Q314" s="665"/>
      <c r="R314" s="665"/>
      <c r="S314" s="665"/>
      <c r="T314" s="673"/>
      <c r="U314" s="673"/>
      <c r="V314" s="673"/>
      <c r="W314" s="673"/>
      <c r="X314" s="673"/>
      <c r="Y314" s="673"/>
      <c r="Z314" s="673"/>
      <c r="AA314" s="673"/>
      <c r="AB314" s="673"/>
      <c r="AC314" s="673"/>
      <c r="AD314" s="673"/>
      <c r="AE314" s="673"/>
      <c r="AF314" s="673"/>
      <c r="AG314" s="673"/>
      <c r="AH314" s="673"/>
    </row>
    <row r="315">
      <c r="A315" s="653"/>
      <c r="B315" s="654"/>
      <c r="C315" s="691"/>
      <c r="D315" s="661"/>
      <c r="E315" s="705"/>
      <c r="F315" s="659"/>
      <c r="G315" s="661"/>
      <c r="H315" s="660"/>
      <c r="I315" s="691"/>
      <c r="J315" s="661"/>
      <c r="K315" s="706"/>
      <c r="L315" s="665"/>
      <c r="M315" s="663"/>
      <c r="N315" s="665"/>
      <c r="O315" s="665"/>
      <c r="P315" s="665"/>
      <c r="Q315" s="665"/>
      <c r="R315" s="665"/>
      <c r="S315" s="665"/>
      <c r="T315" s="673"/>
      <c r="U315" s="673"/>
      <c r="V315" s="673"/>
      <c r="W315" s="673"/>
      <c r="X315" s="673"/>
      <c r="Y315" s="673"/>
      <c r="Z315" s="673"/>
      <c r="AA315" s="673"/>
      <c r="AB315" s="673"/>
      <c r="AC315" s="673"/>
      <c r="AD315" s="673"/>
      <c r="AE315" s="673"/>
      <c r="AF315" s="673"/>
      <c r="AG315" s="673"/>
      <c r="AH315" s="673"/>
    </row>
    <row r="316">
      <c r="A316" s="653"/>
      <c r="B316" s="654"/>
      <c r="C316" s="691"/>
      <c r="D316" s="661"/>
      <c r="E316" s="705"/>
      <c r="F316" s="659"/>
      <c r="G316" s="661"/>
      <c r="H316" s="660"/>
      <c r="I316" s="691"/>
      <c r="J316" s="661"/>
      <c r="K316" s="706"/>
      <c r="L316" s="665"/>
      <c r="M316" s="663"/>
      <c r="N316" s="665"/>
      <c r="O316" s="665"/>
      <c r="P316" s="665"/>
      <c r="Q316" s="665"/>
      <c r="R316" s="665"/>
      <c r="S316" s="665"/>
      <c r="T316" s="673"/>
      <c r="U316" s="673"/>
      <c r="V316" s="673"/>
      <c r="W316" s="673"/>
      <c r="X316" s="673"/>
      <c r="Y316" s="673"/>
      <c r="Z316" s="673"/>
      <c r="AA316" s="673"/>
      <c r="AB316" s="673"/>
      <c r="AC316" s="673"/>
      <c r="AD316" s="673"/>
      <c r="AE316" s="673"/>
      <c r="AF316" s="673"/>
      <c r="AG316" s="673"/>
      <c r="AH316" s="673"/>
    </row>
    <row r="317">
      <c r="A317" s="653"/>
      <c r="B317" s="654"/>
      <c r="C317" s="691"/>
      <c r="D317" s="661"/>
      <c r="E317" s="705"/>
      <c r="F317" s="659"/>
      <c r="G317" s="661"/>
      <c r="H317" s="660"/>
      <c r="I317" s="691"/>
      <c r="J317" s="661"/>
      <c r="K317" s="706"/>
      <c r="L317" s="665"/>
      <c r="M317" s="663"/>
      <c r="N317" s="665"/>
      <c r="O317" s="665"/>
      <c r="P317" s="665"/>
      <c r="Q317" s="665"/>
      <c r="R317" s="665"/>
      <c r="S317" s="665"/>
      <c r="T317" s="673"/>
      <c r="U317" s="673"/>
      <c r="V317" s="673"/>
      <c r="W317" s="673"/>
      <c r="X317" s="673"/>
      <c r="Y317" s="673"/>
      <c r="Z317" s="673"/>
      <c r="AA317" s="673"/>
      <c r="AB317" s="673"/>
      <c r="AC317" s="673"/>
      <c r="AD317" s="673"/>
      <c r="AE317" s="673"/>
      <c r="AF317" s="673"/>
      <c r="AG317" s="673"/>
      <c r="AH317" s="673"/>
    </row>
    <row r="318">
      <c r="A318" s="653"/>
      <c r="B318" s="654"/>
      <c r="C318" s="691"/>
      <c r="D318" s="661"/>
      <c r="E318" s="705"/>
      <c r="F318" s="659"/>
      <c r="G318" s="661"/>
      <c r="H318" s="660"/>
      <c r="I318" s="691"/>
      <c r="J318" s="661"/>
      <c r="K318" s="706"/>
      <c r="L318" s="665"/>
      <c r="M318" s="663"/>
      <c r="N318" s="665"/>
      <c r="O318" s="665"/>
      <c r="P318" s="665"/>
      <c r="Q318" s="665"/>
      <c r="R318" s="665"/>
      <c r="S318" s="665"/>
      <c r="T318" s="673"/>
      <c r="U318" s="673"/>
      <c r="V318" s="673"/>
      <c r="W318" s="673"/>
      <c r="X318" s="673"/>
      <c r="Y318" s="673"/>
      <c r="Z318" s="673"/>
      <c r="AA318" s="673"/>
      <c r="AB318" s="673"/>
      <c r="AC318" s="673"/>
      <c r="AD318" s="673"/>
      <c r="AE318" s="673"/>
      <c r="AF318" s="673"/>
      <c r="AG318" s="673"/>
      <c r="AH318" s="673"/>
    </row>
    <row r="319">
      <c r="A319" s="653"/>
      <c r="B319" s="654"/>
      <c r="C319" s="691"/>
      <c r="D319" s="661"/>
      <c r="E319" s="705"/>
      <c r="F319" s="659"/>
      <c r="G319" s="661"/>
      <c r="H319" s="660"/>
      <c r="I319" s="691"/>
      <c r="J319" s="661"/>
      <c r="K319" s="706"/>
      <c r="L319" s="665"/>
      <c r="M319" s="663"/>
      <c r="N319" s="665"/>
      <c r="O319" s="665"/>
      <c r="P319" s="665"/>
      <c r="Q319" s="665"/>
      <c r="R319" s="665"/>
      <c r="S319" s="665"/>
      <c r="T319" s="673"/>
      <c r="U319" s="673"/>
      <c r="V319" s="673"/>
      <c r="W319" s="673"/>
      <c r="X319" s="673"/>
      <c r="Y319" s="673"/>
      <c r="Z319" s="673"/>
      <c r="AA319" s="673"/>
      <c r="AB319" s="673"/>
      <c r="AC319" s="673"/>
      <c r="AD319" s="673"/>
      <c r="AE319" s="673"/>
      <c r="AF319" s="673"/>
      <c r="AG319" s="673"/>
      <c r="AH319" s="673"/>
    </row>
    <row r="320">
      <c r="A320" s="653"/>
      <c r="B320" s="654"/>
      <c r="C320" s="691"/>
      <c r="D320" s="661"/>
      <c r="E320" s="705"/>
      <c r="F320" s="659"/>
      <c r="G320" s="661"/>
      <c r="H320" s="660"/>
      <c r="I320" s="691"/>
      <c r="J320" s="661"/>
      <c r="K320" s="706"/>
      <c r="L320" s="665"/>
      <c r="M320" s="663"/>
      <c r="N320" s="665"/>
      <c r="O320" s="665"/>
      <c r="P320" s="665"/>
      <c r="Q320" s="665"/>
      <c r="R320" s="665"/>
      <c r="S320" s="665"/>
      <c r="T320" s="673"/>
      <c r="U320" s="673"/>
      <c r="V320" s="673"/>
      <c r="W320" s="673"/>
      <c r="X320" s="673"/>
      <c r="Y320" s="673"/>
      <c r="Z320" s="673"/>
      <c r="AA320" s="673"/>
      <c r="AB320" s="673"/>
      <c r="AC320" s="673"/>
      <c r="AD320" s="673"/>
      <c r="AE320" s="673"/>
      <c r="AF320" s="673"/>
      <c r="AG320" s="673"/>
      <c r="AH320" s="673"/>
    </row>
    <row r="321">
      <c r="A321" s="653"/>
      <c r="B321" s="654"/>
      <c r="C321" s="691"/>
      <c r="D321" s="661"/>
      <c r="E321" s="705"/>
      <c r="F321" s="659"/>
      <c r="G321" s="661"/>
      <c r="H321" s="660"/>
      <c r="I321" s="691"/>
      <c r="J321" s="661"/>
      <c r="K321" s="706"/>
      <c r="L321" s="665"/>
      <c r="M321" s="663"/>
      <c r="N321" s="665"/>
      <c r="O321" s="665"/>
      <c r="P321" s="665"/>
      <c r="Q321" s="665"/>
      <c r="R321" s="665"/>
      <c r="S321" s="665"/>
      <c r="T321" s="673"/>
      <c r="U321" s="673"/>
      <c r="V321" s="673"/>
      <c r="W321" s="673"/>
      <c r="X321" s="673"/>
      <c r="Y321" s="673"/>
      <c r="Z321" s="673"/>
      <c r="AA321" s="673"/>
      <c r="AB321" s="673"/>
      <c r="AC321" s="673"/>
      <c r="AD321" s="673"/>
      <c r="AE321" s="673"/>
      <c r="AF321" s="673"/>
      <c r="AG321" s="673"/>
      <c r="AH321" s="673"/>
    </row>
    <row r="322">
      <c r="A322" s="653"/>
      <c r="B322" s="654"/>
      <c r="C322" s="691"/>
      <c r="D322" s="661"/>
      <c r="E322" s="705"/>
      <c r="F322" s="659"/>
      <c r="G322" s="661"/>
      <c r="H322" s="660"/>
      <c r="I322" s="691"/>
      <c r="J322" s="661"/>
      <c r="K322" s="706"/>
      <c r="L322" s="665"/>
      <c r="M322" s="663"/>
      <c r="N322" s="665"/>
      <c r="O322" s="665"/>
      <c r="P322" s="665"/>
      <c r="Q322" s="665"/>
      <c r="R322" s="665"/>
      <c r="S322" s="665"/>
      <c r="T322" s="673"/>
      <c r="U322" s="673"/>
      <c r="V322" s="673"/>
      <c r="W322" s="673"/>
      <c r="X322" s="673"/>
      <c r="Y322" s="673"/>
      <c r="Z322" s="673"/>
      <c r="AA322" s="673"/>
      <c r="AB322" s="673"/>
      <c r="AC322" s="673"/>
      <c r="AD322" s="673"/>
      <c r="AE322" s="673"/>
      <c r="AF322" s="673"/>
      <c r="AG322" s="673"/>
      <c r="AH322" s="673"/>
    </row>
    <row r="323">
      <c r="A323" s="653"/>
      <c r="B323" s="654"/>
      <c r="C323" s="691"/>
      <c r="D323" s="661"/>
      <c r="E323" s="705"/>
      <c r="F323" s="659"/>
      <c r="G323" s="661"/>
      <c r="H323" s="660"/>
      <c r="I323" s="691"/>
      <c r="J323" s="661"/>
      <c r="K323" s="706"/>
      <c r="L323" s="665"/>
      <c r="M323" s="663"/>
      <c r="N323" s="665"/>
      <c r="O323" s="665"/>
      <c r="P323" s="665"/>
      <c r="Q323" s="665"/>
      <c r="R323" s="665"/>
      <c r="S323" s="665"/>
      <c r="T323" s="673"/>
      <c r="U323" s="673"/>
      <c r="V323" s="673"/>
      <c r="W323" s="673"/>
      <c r="X323" s="673"/>
      <c r="Y323" s="673"/>
      <c r="Z323" s="673"/>
      <c r="AA323" s="673"/>
      <c r="AB323" s="673"/>
      <c r="AC323" s="673"/>
      <c r="AD323" s="673"/>
      <c r="AE323" s="673"/>
      <c r="AF323" s="673"/>
      <c r="AG323" s="673"/>
      <c r="AH323" s="673"/>
    </row>
    <row r="324">
      <c r="A324" s="653"/>
      <c r="B324" s="654"/>
      <c r="C324" s="691"/>
      <c r="D324" s="661"/>
      <c r="E324" s="705"/>
      <c r="F324" s="659"/>
      <c r="G324" s="661"/>
      <c r="H324" s="660"/>
      <c r="I324" s="691"/>
      <c r="J324" s="661"/>
      <c r="K324" s="706"/>
      <c r="L324" s="665"/>
      <c r="M324" s="663"/>
      <c r="N324" s="665"/>
      <c r="O324" s="665"/>
      <c r="P324" s="665"/>
      <c r="Q324" s="665"/>
      <c r="R324" s="665"/>
      <c r="S324" s="665"/>
      <c r="T324" s="673"/>
      <c r="U324" s="673"/>
      <c r="V324" s="673"/>
      <c r="W324" s="673"/>
      <c r="X324" s="673"/>
      <c r="Y324" s="673"/>
      <c r="Z324" s="673"/>
      <c r="AA324" s="673"/>
      <c r="AB324" s="673"/>
      <c r="AC324" s="673"/>
      <c r="AD324" s="673"/>
      <c r="AE324" s="673"/>
      <c r="AF324" s="673"/>
      <c r="AG324" s="673"/>
      <c r="AH324" s="673"/>
    </row>
    <row r="325">
      <c r="A325" s="653"/>
      <c r="B325" s="654"/>
      <c r="C325" s="691"/>
      <c r="D325" s="661"/>
      <c r="E325" s="705"/>
      <c r="F325" s="659"/>
      <c r="G325" s="661"/>
      <c r="H325" s="660"/>
      <c r="I325" s="691"/>
      <c r="J325" s="661"/>
      <c r="K325" s="706"/>
      <c r="L325" s="665"/>
      <c r="M325" s="663"/>
      <c r="N325" s="665"/>
      <c r="O325" s="665"/>
      <c r="P325" s="665"/>
      <c r="Q325" s="665"/>
      <c r="R325" s="665"/>
      <c r="S325" s="665"/>
      <c r="T325" s="673"/>
      <c r="U325" s="673"/>
      <c r="V325" s="673"/>
      <c r="W325" s="673"/>
      <c r="X325" s="673"/>
      <c r="Y325" s="673"/>
      <c r="Z325" s="673"/>
      <c r="AA325" s="673"/>
      <c r="AB325" s="673"/>
      <c r="AC325" s="673"/>
      <c r="AD325" s="673"/>
      <c r="AE325" s="673"/>
      <c r="AF325" s="673"/>
      <c r="AG325" s="673"/>
      <c r="AH325" s="673"/>
    </row>
    <row r="326">
      <c r="A326" s="653"/>
      <c r="B326" s="654"/>
      <c r="C326" s="691"/>
      <c r="D326" s="661"/>
      <c r="E326" s="705"/>
      <c r="F326" s="659"/>
      <c r="G326" s="661"/>
      <c r="H326" s="660"/>
      <c r="I326" s="691"/>
      <c r="J326" s="661"/>
      <c r="K326" s="706"/>
      <c r="L326" s="665"/>
      <c r="M326" s="663"/>
      <c r="N326" s="665"/>
      <c r="O326" s="665"/>
      <c r="P326" s="665"/>
      <c r="Q326" s="665"/>
      <c r="R326" s="665"/>
      <c r="S326" s="665"/>
      <c r="T326" s="673"/>
      <c r="U326" s="673"/>
      <c r="V326" s="673"/>
      <c r="W326" s="673"/>
      <c r="X326" s="673"/>
      <c r="Y326" s="673"/>
      <c r="Z326" s="673"/>
      <c r="AA326" s="673"/>
      <c r="AB326" s="673"/>
      <c r="AC326" s="673"/>
      <c r="AD326" s="673"/>
      <c r="AE326" s="673"/>
      <c r="AF326" s="673"/>
      <c r="AG326" s="673"/>
      <c r="AH326" s="673"/>
    </row>
    <row r="327">
      <c r="A327" s="653"/>
      <c r="B327" s="654"/>
      <c r="C327" s="691"/>
      <c r="D327" s="661"/>
      <c r="E327" s="705"/>
      <c r="F327" s="659"/>
      <c r="G327" s="661"/>
      <c r="H327" s="660"/>
      <c r="I327" s="691"/>
      <c r="J327" s="661"/>
      <c r="K327" s="706"/>
      <c r="L327" s="665"/>
      <c r="M327" s="663"/>
      <c r="N327" s="665"/>
      <c r="O327" s="665"/>
      <c r="P327" s="665"/>
      <c r="Q327" s="665"/>
      <c r="R327" s="665"/>
      <c r="S327" s="665"/>
      <c r="T327" s="673"/>
      <c r="U327" s="673"/>
      <c r="V327" s="673"/>
      <c r="W327" s="673"/>
      <c r="X327" s="673"/>
      <c r="Y327" s="673"/>
      <c r="Z327" s="673"/>
      <c r="AA327" s="673"/>
      <c r="AB327" s="673"/>
      <c r="AC327" s="673"/>
      <c r="AD327" s="673"/>
      <c r="AE327" s="673"/>
      <c r="AF327" s="673"/>
      <c r="AG327" s="673"/>
      <c r="AH327" s="673"/>
    </row>
    <row r="328">
      <c r="A328" s="653"/>
      <c r="B328" s="654"/>
      <c r="C328" s="691"/>
      <c r="D328" s="661"/>
      <c r="E328" s="705"/>
      <c r="F328" s="659"/>
      <c r="G328" s="661"/>
      <c r="H328" s="660"/>
      <c r="I328" s="691"/>
      <c r="J328" s="661"/>
      <c r="K328" s="706"/>
      <c r="L328" s="665"/>
      <c r="M328" s="663"/>
      <c r="N328" s="665"/>
      <c r="O328" s="665"/>
      <c r="P328" s="665"/>
      <c r="Q328" s="665"/>
      <c r="R328" s="665"/>
      <c r="S328" s="665"/>
      <c r="T328" s="673"/>
      <c r="U328" s="673"/>
      <c r="V328" s="673"/>
      <c r="W328" s="673"/>
      <c r="X328" s="673"/>
      <c r="Y328" s="673"/>
      <c r="Z328" s="673"/>
      <c r="AA328" s="673"/>
      <c r="AB328" s="673"/>
      <c r="AC328" s="673"/>
      <c r="AD328" s="673"/>
      <c r="AE328" s="673"/>
      <c r="AF328" s="673"/>
      <c r="AG328" s="673"/>
      <c r="AH328" s="673"/>
    </row>
    <row r="329">
      <c r="A329" s="653"/>
      <c r="B329" s="654"/>
      <c r="C329" s="691"/>
      <c r="D329" s="661"/>
      <c r="E329" s="705"/>
      <c r="F329" s="659"/>
      <c r="G329" s="661"/>
      <c r="H329" s="660"/>
      <c r="I329" s="691"/>
      <c r="J329" s="661"/>
      <c r="K329" s="706"/>
      <c r="L329" s="665"/>
      <c r="M329" s="663"/>
      <c r="N329" s="665"/>
      <c r="O329" s="665"/>
      <c r="P329" s="665"/>
      <c r="Q329" s="665"/>
      <c r="R329" s="665"/>
      <c r="S329" s="665"/>
      <c r="T329" s="673"/>
      <c r="U329" s="673"/>
      <c r="V329" s="673"/>
      <c r="W329" s="673"/>
      <c r="X329" s="673"/>
      <c r="Y329" s="673"/>
      <c r="Z329" s="673"/>
      <c r="AA329" s="673"/>
      <c r="AB329" s="673"/>
      <c r="AC329" s="673"/>
      <c r="AD329" s="673"/>
      <c r="AE329" s="673"/>
      <c r="AF329" s="673"/>
      <c r="AG329" s="673"/>
      <c r="AH329" s="673"/>
    </row>
    <row r="330">
      <c r="A330" s="653"/>
      <c r="B330" s="654"/>
      <c r="C330" s="691"/>
      <c r="D330" s="661"/>
      <c r="E330" s="705"/>
      <c r="F330" s="659"/>
      <c r="G330" s="661"/>
      <c r="H330" s="660"/>
      <c r="I330" s="691"/>
      <c r="J330" s="661"/>
      <c r="K330" s="706"/>
      <c r="L330" s="665"/>
      <c r="M330" s="663"/>
      <c r="N330" s="665"/>
      <c r="O330" s="665"/>
      <c r="P330" s="665"/>
      <c r="Q330" s="665"/>
      <c r="R330" s="665"/>
      <c r="S330" s="665"/>
      <c r="T330" s="673"/>
      <c r="U330" s="673"/>
      <c r="V330" s="673"/>
      <c r="W330" s="673"/>
      <c r="X330" s="673"/>
      <c r="Y330" s="673"/>
      <c r="Z330" s="673"/>
      <c r="AA330" s="673"/>
      <c r="AB330" s="673"/>
      <c r="AC330" s="673"/>
      <c r="AD330" s="673"/>
      <c r="AE330" s="673"/>
      <c r="AF330" s="673"/>
      <c r="AG330" s="673"/>
      <c r="AH330" s="673"/>
    </row>
    <row r="331">
      <c r="A331" s="653"/>
      <c r="B331" s="654"/>
      <c r="C331" s="691"/>
      <c r="D331" s="661"/>
      <c r="E331" s="705"/>
      <c r="F331" s="659"/>
      <c r="G331" s="661"/>
      <c r="H331" s="660"/>
      <c r="I331" s="691"/>
      <c r="J331" s="661"/>
      <c r="K331" s="706"/>
      <c r="L331" s="665"/>
      <c r="M331" s="663"/>
      <c r="N331" s="665"/>
      <c r="O331" s="665"/>
      <c r="P331" s="665"/>
      <c r="Q331" s="665"/>
      <c r="R331" s="665"/>
      <c r="S331" s="665"/>
      <c r="T331" s="673"/>
      <c r="U331" s="673"/>
      <c r="V331" s="673"/>
      <c r="W331" s="673"/>
      <c r="X331" s="673"/>
      <c r="Y331" s="673"/>
      <c r="Z331" s="673"/>
      <c r="AA331" s="673"/>
      <c r="AB331" s="673"/>
      <c r="AC331" s="673"/>
      <c r="AD331" s="673"/>
      <c r="AE331" s="673"/>
      <c r="AF331" s="673"/>
      <c r="AG331" s="673"/>
      <c r="AH331" s="673"/>
    </row>
    <row r="332">
      <c r="A332" s="653"/>
      <c r="B332" s="654"/>
      <c r="C332" s="691"/>
      <c r="D332" s="661"/>
      <c r="E332" s="705"/>
      <c r="F332" s="659"/>
      <c r="G332" s="661"/>
      <c r="H332" s="660"/>
      <c r="I332" s="691"/>
      <c r="J332" s="661"/>
      <c r="K332" s="706"/>
      <c r="L332" s="665"/>
      <c r="M332" s="663"/>
      <c r="N332" s="665"/>
      <c r="O332" s="665"/>
      <c r="P332" s="665"/>
      <c r="Q332" s="665"/>
      <c r="R332" s="665"/>
      <c r="S332" s="665"/>
      <c r="T332" s="673"/>
      <c r="U332" s="673"/>
      <c r="V332" s="673"/>
      <c r="W332" s="673"/>
      <c r="X332" s="673"/>
      <c r="Y332" s="673"/>
      <c r="Z332" s="673"/>
      <c r="AA332" s="673"/>
      <c r="AB332" s="673"/>
      <c r="AC332" s="673"/>
      <c r="AD332" s="673"/>
      <c r="AE332" s="673"/>
      <c r="AF332" s="673"/>
      <c r="AG332" s="673"/>
      <c r="AH332" s="673"/>
    </row>
    <row r="333">
      <c r="A333" s="653"/>
      <c r="B333" s="654"/>
      <c r="C333" s="691"/>
      <c r="D333" s="661"/>
      <c r="E333" s="705"/>
      <c r="F333" s="659"/>
      <c r="G333" s="661"/>
      <c r="H333" s="660"/>
      <c r="I333" s="691"/>
      <c r="J333" s="661"/>
      <c r="K333" s="706"/>
      <c r="L333" s="665"/>
      <c r="M333" s="663"/>
      <c r="N333" s="665"/>
      <c r="O333" s="665"/>
      <c r="P333" s="665"/>
      <c r="Q333" s="665"/>
      <c r="R333" s="665"/>
      <c r="S333" s="665"/>
      <c r="T333" s="673"/>
      <c r="U333" s="673"/>
      <c r="V333" s="673"/>
      <c r="W333" s="673"/>
      <c r="X333" s="673"/>
      <c r="Y333" s="673"/>
      <c r="Z333" s="673"/>
      <c r="AA333" s="673"/>
      <c r="AB333" s="673"/>
      <c r="AC333" s="673"/>
      <c r="AD333" s="673"/>
      <c r="AE333" s="673"/>
      <c r="AF333" s="673"/>
      <c r="AG333" s="673"/>
      <c r="AH333" s="673"/>
    </row>
    <row r="334">
      <c r="A334" s="653"/>
      <c r="B334" s="654"/>
      <c r="C334" s="691"/>
      <c r="D334" s="661"/>
      <c r="E334" s="705"/>
      <c r="F334" s="659"/>
      <c r="G334" s="661"/>
      <c r="H334" s="660"/>
      <c r="I334" s="691"/>
      <c r="J334" s="661"/>
      <c r="K334" s="706"/>
      <c r="L334" s="665"/>
      <c r="M334" s="663"/>
      <c r="N334" s="665"/>
      <c r="O334" s="665"/>
      <c r="P334" s="665"/>
      <c r="Q334" s="665"/>
      <c r="R334" s="665"/>
      <c r="S334" s="665"/>
      <c r="T334" s="673"/>
      <c r="U334" s="673"/>
      <c r="V334" s="673"/>
      <c r="W334" s="673"/>
      <c r="X334" s="673"/>
      <c r="Y334" s="673"/>
      <c r="Z334" s="673"/>
      <c r="AA334" s="673"/>
      <c r="AB334" s="673"/>
      <c r="AC334" s="673"/>
      <c r="AD334" s="673"/>
      <c r="AE334" s="673"/>
      <c r="AF334" s="673"/>
      <c r="AG334" s="673"/>
      <c r="AH334" s="673"/>
    </row>
    <row r="335">
      <c r="A335" s="653"/>
      <c r="B335" s="654"/>
      <c r="C335" s="691"/>
      <c r="D335" s="661"/>
      <c r="E335" s="705"/>
      <c r="F335" s="659"/>
      <c r="G335" s="661"/>
      <c r="H335" s="660"/>
      <c r="I335" s="691"/>
      <c r="J335" s="661"/>
      <c r="K335" s="706"/>
      <c r="L335" s="665"/>
      <c r="M335" s="663"/>
      <c r="N335" s="665"/>
      <c r="O335" s="665"/>
      <c r="P335" s="665"/>
      <c r="Q335" s="665"/>
      <c r="R335" s="665"/>
      <c r="S335" s="665"/>
      <c r="T335" s="673"/>
      <c r="U335" s="673"/>
      <c r="V335" s="673"/>
      <c r="W335" s="673"/>
      <c r="X335" s="673"/>
      <c r="Y335" s="673"/>
      <c r="Z335" s="673"/>
      <c r="AA335" s="673"/>
      <c r="AB335" s="673"/>
      <c r="AC335" s="673"/>
      <c r="AD335" s="673"/>
      <c r="AE335" s="673"/>
      <c r="AF335" s="673"/>
      <c r="AG335" s="673"/>
      <c r="AH335" s="673"/>
    </row>
    <row r="336">
      <c r="A336" s="653"/>
      <c r="B336" s="654"/>
      <c r="C336" s="691"/>
      <c r="D336" s="661"/>
      <c r="E336" s="705"/>
      <c r="F336" s="659"/>
      <c r="G336" s="661"/>
      <c r="H336" s="660"/>
      <c r="I336" s="691"/>
      <c r="J336" s="661"/>
      <c r="K336" s="706"/>
      <c r="L336" s="665"/>
      <c r="M336" s="663"/>
      <c r="N336" s="665"/>
      <c r="O336" s="665"/>
      <c r="P336" s="665"/>
      <c r="Q336" s="665"/>
      <c r="R336" s="665"/>
      <c r="S336" s="665"/>
      <c r="T336" s="673"/>
      <c r="U336" s="673"/>
      <c r="V336" s="673"/>
      <c r="W336" s="673"/>
      <c r="X336" s="673"/>
      <c r="Y336" s="673"/>
      <c r="Z336" s="673"/>
      <c r="AA336" s="673"/>
      <c r="AB336" s="673"/>
      <c r="AC336" s="673"/>
      <c r="AD336" s="673"/>
      <c r="AE336" s="673"/>
      <c r="AF336" s="673"/>
      <c r="AG336" s="673"/>
      <c r="AH336" s="673"/>
    </row>
    <row r="337">
      <c r="A337" s="653"/>
      <c r="B337" s="654"/>
      <c r="C337" s="691"/>
      <c r="D337" s="661"/>
      <c r="E337" s="705"/>
      <c r="F337" s="659"/>
      <c r="G337" s="661"/>
      <c r="H337" s="660"/>
      <c r="I337" s="691"/>
      <c r="J337" s="661"/>
      <c r="K337" s="706"/>
      <c r="L337" s="665"/>
      <c r="M337" s="663"/>
      <c r="N337" s="665"/>
      <c r="O337" s="665"/>
      <c r="P337" s="665"/>
      <c r="Q337" s="665"/>
      <c r="R337" s="665"/>
      <c r="S337" s="665"/>
      <c r="T337" s="673"/>
      <c r="U337" s="673"/>
      <c r="V337" s="673"/>
      <c r="W337" s="673"/>
      <c r="X337" s="673"/>
      <c r="Y337" s="673"/>
      <c r="Z337" s="673"/>
      <c r="AA337" s="673"/>
      <c r="AB337" s="673"/>
      <c r="AC337" s="673"/>
      <c r="AD337" s="673"/>
      <c r="AE337" s="673"/>
      <c r="AF337" s="673"/>
      <c r="AG337" s="673"/>
      <c r="AH337" s="673"/>
    </row>
    <row r="338">
      <c r="A338" s="653"/>
      <c r="B338" s="654"/>
      <c r="C338" s="691"/>
      <c r="D338" s="661"/>
      <c r="E338" s="705"/>
      <c r="F338" s="659"/>
      <c r="G338" s="661"/>
      <c r="H338" s="660"/>
      <c r="I338" s="691"/>
      <c r="J338" s="661"/>
      <c r="K338" s="706"/>
      <c r="L338" s="665"/>
      <c r="M338" s="663"/>
      <c r="N338" s="665"/>
      <c r="O338" s="665"/>
      <c r="P338" s="665"/>
      <c r="Q338" s="665"/>
      <c r="R338" s="665"/>
      <c r="S338" s="665"/>
      <c r="T338" s="673"/>
      <c r="U338" s="673"/>
      <c r="V338" s="673"/>
      <c r="W338" s="673"/>
      <c r="X338" s="673"/>
      <c r="Y338" s="673"/>
      <c r="Z338" s="673"/>
      <c r="AA338" s="673"/>
      <c r="AB338" s="673"/>
      <c r="AC338" s="673"/>
      <c r="AD338" s="673"/>
      <c r="AE338" s="673"/>
      <c r="AF338" s="673"/>
      <c r="AG338" s="673"/>
      <c r="AH338" s="673"/>
    </row>
    <row r="339">
      <c r="A339" s="653"/>
      <c r="B339" s="654"/>
      <c r="C339" s="691"/>
      <c r="D339" s="661"/>
      <c r="E339" s="705"/>
      <c r="F339" s="659"/>
      <c r="G339" s="661"/>
      <c r="H339" s="660"/>
      <c r="I339" s="691"/>
      <c r="J339" s="661"/>
      <c r="K339" s="706"/>
      <c r="L339" s="665"/>
      <c r="M339" s="663"/>
      <c r="N339" s="665"/>
      <c r="O339" s="665"/>
      <c r="P339" s="665"/>
      <c r="Q339" s="665"/>
      <c r="R339" s="665"/>
      <c r="S339" s="665"/>
      <c r="T339" s="673"/>
      <c r="U339" s="673"/>
      <c r="V339" s="673"/>
      <c r="W339" s="673"/>
      <c r="X339" s="673"/>
      <c r="Y339" s="673"/>
      <c r="Z339" s="673"/>
      <c r="AA339" s="673"/>
      <c r="AB339" s="673"/>
      <c r="AC339" s="673"/>
      <c r="AD339" s="673"/>
      <c r="AE339" s="673"/>
      <c r="AF339" s="673"/>
      <c r="AG339" s="673"/>
      <c r="AH339" s="673"/>
    </row>
    <row r="340">
      <c r="A340" s="653"/>
      <c r="B340" s="654"/>
      <c r="C340" s="691"/>
      <c r="D340" s="661"/>
      <c r="E340" s="705"/>
      <c r="F340" s="659"/>
      <c r="G340" s="661"/>
      <c r="H340" s="660"/>
      <c r="I340" s="691"/>
      <c r="J340" s="661"/>
      <c r="K340" s="706"/>
      <c r="L340" s="665"/>
      <c r="M340" s="663"/>
      <c r="N340" s="665"/>
      <c r="O340" s="665"/>
      <c r="P340" s="665"/>
      <c r="Q340" s="665"/>
      <c r="R340" s="665"/>
      <c r="S340" s="665"/>
      <c r="T340" s="673"/>
      <c r="U340" s="673"/>
      <c r="V340" s="673"/>
      <c r="W340" s="673"/>
      <c r="X340" s="673"/>
      <c r="Y340" s="673"/>
      <c r="Z340" s="673"/>
      <c r="AA340" s="673"/>
      <c r="AB340" s="673"/>
      <c r="AC340" s="673"/>
      <c r="AD340" s="673"/>
      <c r="AE340" s="673"/>
      <c r="AF340" s="673"/>
      <c r="AG340" s="673"/>
      <c r="AH340" s="673"/>
    </row>
    <row r="341">
      <c r="A341" s="653"/>
      <c r="B341" s="654"/>
      <c r="C341" s="691"/>
      <c r="D341" s="661"/>
      <c r="E341" s="705"/>
      <c r="F341" s="659"/>
      <c r="G341" s="661"/>
      <c r="H341" s="660"/>
      <c r="I341" s="691"/>
      <c r="J341" s="661"/>
      <c r="K341" s="706"/>
      <c r="L341" s="665"/>
      <c r="M341" s="663"/>
      <c r="N341" s="665"/>
      <c r="O341" s="665"/>
      <c r="P341" s="665"/>
      <c r="Q341" s="665"/>
      <c r="R341" s="665"/>
      <c r="S341" s="665"/>
      <c r="T341" s="673"/>
      <c r="U341" s="673"/>
      <c r="V341" s="673"/>
      <c r="W341" s="673"/>
      <c r="X341" s="673"/>
      <c r="Y341" s="673"/>
      <c r="Z341" s="673"/>
      <c r="AA341" s="673"/>
      <c r="AB341" s="673"/>
      <c r="AC341" s="673"/>
      <c r="AD341" s="673"/>
      <c r="AE341" s="673"/>
      <c r="AF341" s="673"/>
      <c r="AG341" s="673"/>
      <c r="AH341" s="673"/>
    </row>
    <row r="342">
      <c r="A342" s="653"/>
      <c r="B342" s="654"/>
      <c r="C342" s="691"/>
      <c r="D342" s="661"/>
      <c r="E342" s="705"/>
      <c r="F342" s="659"/>
      <c r="G342" s="661"/>
      <c r="H342" s="660"/>
      <c r="I342" s="691"/>
      <c r="J342" s="661"/>
      <c r="K342" s="706"/>
      <c r="L342" s="665"/>
      <c r="M342" s="663"/>
      <c r="N342" s="665"/>
      <c r="O342" s="665"/>
      <c r="P342" s="665"/>
      <c r="Q342" s="665"/>
      <c r="R342" s="665"/>
      <c r="S342" s="665"/>
      <c r="T342" s="673"/>
      <c r="U342" s="673"/>
      <c r="V342" s="673"/>
      <c r="W342" s="673"/>
      <c r="X342" s="673"/>
      <c r="Y342" s="673"/>
      <c r="Z342" s="673"/>
      <c r="AA342" s="673"/>
      <c r="AB342" s="673"/>
      <c r="AC342" s="673"/>
      <c r="AD342" s="673"/>
      <c r="AE342" s="673"/>
      <c r="AF342" s="673"/>
      <c r="AG342" s="673"/>
      <c r="AH342" s="673"/>
    </row>
    <row r="343">
      <c r="A343" s="653"/>
      <c r="B343" s="654"/>
      <c r="C343" s="691"/>
      <c r="D343" s="661"/>
      <c r="E343" s="705"/>
      <c r="F343" s="659"/>
      <c r="G343" s="661"/>
      <c r="H343" s="660"/>
      <c r="I343" s="691"/>
      <c r="J343" s="661"/>
      <c r="K343" s="706"/>
      <c r="L343" s="665"/>
      <c r="M343" s="663"/>
      <c r="N343" s="665"/>
      <c r="O343" s="665"/>
      <c r="P343" s="665"/>
      <c r="Q343" s="665"/>
      <c r="R343" s="665"/>
      <c r="S343" s="665"/>
      <c r="T343" s="673"/>
      <c r="U343" s="673"/>
      <c r="V343" s="673"/>
      <c r="W343" s="673"/>
      <c r="X343" s="673"/>
      <c r="Y343" s="673"/>
      <c r="Z343" s="673"/>
      <c r="AA343" s="673"/>
      <c r="AB343" s="673"/>
      <c r="AC343" s="673"/>
      <c r="AD343" s="673"/>
      <c r="AE343" s="673"/>
      <c r="AF343" s="673"/>
      <c r="AG343" s="673"/>
      <c r="AH343" s="673"/>
    </row>
    <row r="344">
      <c r="A344" s="653"/>
      <c r="B344" s="654"/>
      <c r="C344" s="691"/>
      <c r="D344" s="661"/>
      <c r="E344" s="705"/>
      <c r="F344" s="659"/>
      <c r="G344" s="661"/>
      <c r="H344" s="660"/>
      <c r="I344" s="691"/>
      <c r="J344" s="661"/>
      <c r="K344" s="706"/>
      <c r="L344" s="665"/>
      <c r="M344" s="663"/>
      <c r="N344" s="665"/>
      <c r="O344" s="665"/>
      <c r="P344" s="665"/>
      <c r="Q344" s="665"/>
      <c r="R344" s="665"/>
      <c r="S344" s="665"/>
      <c r="T344" s="673"/>
      <c r="U344" s="673"/>
      <c r="V344" s="673"/>
      <c r="W344" s="673"/>
      <c r="X344" s="673"/>
      <c r="Y344" s="673"/>
      <c r="Z344" s="673"/>
      <c r="AA344" s="673"/>
      <c r="AB344" s="673"/>
      <c r="AC344" s="673"/>
      <c r="AD344" s="673"/>
      <c r="AE344" s="673"/>
      <c r="AF344" s="673"/>
      <c r="AG344" s="673"/>
      <c r="AH344" s="673"/>
    </row>
    <row r="345">
      <c r="A345" s="653"/>
      <c r="B345" s="654"/>
      <c r="C345" s="691"/>
      <c r="D345" s="661"/>
      <c r="E345" s="705"/>
      <c r="F345" s="659"/>
      <c r="G345" s="661"/>
      <c r="H345" s="660"/>
      <c r="I345" s="691"/>
      <c r="J345" s="661"/>
      <c r="K345" s="706"/>
      <c r="L345" s="665"/>
      <c r="M345" s="663"/>
      <c r="N345" s="665"/>
      <c r="O345" s="665"/>
      <c r="P345" s="665"/>
      <c r="Q345" s="665"/>
      <c r="R345" s="665"/>
      <c r="S345" s="665"/>
      <c r="T345" s="673"/>
      <c r="U345" s="673"/>
      <c r="V345" s="673"/>
      <c r="W345" s="673"/>
      <c r="X345" s="673"/>
      <c r="Y345" s="673"/>
      <c r="Z345" s="673"/>
      <c r="AA345" s="673"/>
      <c r="AB345" s="673"/>
      <c r="AC345" s="673"/>
      <c r="AD345" s="673"/>
      <c r="AE345" s="673"/>
      <c r="AF345" s="673"/>
      <c r="AG345" s="673"/>
      <c r="AH345" s="673"/>
    </row>
    <row r="346">
      <c r="A346" s="653"/>
      <c r="B346" s="654"/>
      <c r="C346" s="691"/>
      <c r="D346" s="661"/>
      <c r="E346" s="705"/>
      <c r="F346" s="659"/>
      <c r="G346" s="661"/>
      <c r="H346" s="660"/>
      <c r="I346" s="691"/>
      <c r="J346" s="661"/>
      <c r="K346" s="706"/>
      <c r="L346" s="665"/>
      <c r="M346" s="663"/>
      <c r="N346" s="665"/>
      <c r="O346" s="665"/>
      <c r="P346" s="665"/>
      <c r="Q346" s="665"/>
      <c r="R346" s="665"/>
      <c r="S346" s="665"/>
      <c r="T346" s="673"/>
      <c r="U346" s="673"/>
      <c r="V346" s="673"/>
      <c r="W346" s="673"/>
      <c r="X346" s="673"/>
      <c r="Y346" s="673"/>
      <c r="Z346" s="673"/>
      <c r="AA346" s="673"/>
      <c r="AB346" s="673"/>
      <c r="AC346" s="673"/>
      <c r="AD346" s="673"/>
      <c r="AE346" s="673"/>
      <c r="AF346" s="673"/>
      <c r="AG346" s="673"/>
      <c r="AH346" s="673"/>
    </row>
    <row r="347">
      <c r="A347" s="653"/>
      <c r="B347" s="654"/>
      <c r="C347" s="691"/>
      <c r="D347" s="661"/>
      <c r="E347" s="705"/>
      <c r="F347" s="659"/>
      <c r="G347" s="661"/>
      <c r="H347" s="660"/>
      <c r="I347" s="691"/>
      <c r="J347" s="661"/>
      <c r="K347" s="706"/>
      <c r="L347" s="665"/>
      <c r="M347" s="663"/>
      <c r="N347" s="665"/>
      <c r="O347" s="665"/>
      <c r="P347" s="665"/>
      <c r="Q347" s="665"/>
      <c r="R347" s="665"/>
      <c r="S347" s="665"/>
      <c r="T347" s="673"/>
      <c r="U347" s="673"/>
      <c r="V347" s="673"/>
      <c r="W347" s="673"/>
      <c r="X347" s="673"/>
      <c r="Y347" s="673"/>
      <c r="Z347" s="673"/>
      <c r="AA347" s="673"/>
      <c r="AB347" s="673"/>
      <c r="AC347" s="673"/>
      <c r="AD347" s="673"/>
      <c r="AE347" s="673"/>
      <c r="AF347" s="673"/>
      <c r="AG347" s="673"/>
      <c r="AH347" s="673"/>
    </row>
    <row r="348">
      <c r="A348" s="653"/>
      <c r="B348" s="654"/>
      <c r="C348" s="691"/>
      <c r="D348" s="661"/>
      <c r="E348" s="705"/>
      <c r="F348" s="659"/>
      <c r="G348" s="661"/>
      <c r="H348" s="660"/>
      <c r="I348" s="691"/>
      <c r="J348" s="661"/>
      <c r="K348" s="706"/>
      <c r="L348" s="665"/>
      <c r="M348" s="663"/>
      <c r="N348" s="665"/>
      <c r="O348" s="665"/>
      <c r="P348" s="665"/>
      <c r="Q348" s="665"/>
      <c r="R348" s="665"/>
      <c r="S348" s="665"/>
      <c r="T348" s="673"/>
      <c r="U348" s="673"/>
      <c r="V348" s="673"/>
      <c r="W348" s="673"/>
      <c r="X348" s="673"/>
      <c r="Y348" s="673"/>
      <c r="Z348" s="673"/>
      <c r="AA348" s="673"/>
      <c r="AB348" s="673"/>
      <c r="AC348" s="673"/>
      <c r="AD348" s="673"/>
      <c r="AE348" s="673"/>
      <c r="AF348" s="673"/>
      <c r="AG348" s="673"/>
      <c r="AH348" s="673"/>
    </row>
    <row r="349">
      <c r="A349" s="653"/>
      <c r="B349" s="654"/>
      <c r="C349" s="691"/>
      <c r="D349" s="661"/>
      <c r="E349" s="705"/>
      <c r="F349" s="659"/>
      <c r="G349" s="661"/>
      <c r="H349" s="660"/>
      <c r="I349" s="691"/>
      <c r="J349" s="661"/>
      <c r="K349" s="706"/>
      <c r="L349" s="665"/>
      <c r="M349" s="663"/>
      <c r="N349" s="665"/>
      <c r="O349" s="665"/>
      <c r="P349" s="665"/>
      <c r="Q349" s="665"/>
      <c r="R349" s="665"/>
      <c r="S349" s="665"/>
      <c r="T349" s="673"/>
      <c r="U349" s="673"/>
      <c r="V349" s="673"/>
      <c r="W349" s="673"/>
      <c r="X349" s="673"/>
      <c r="Y349" s="673"/>
      <c r="Z349" s="673"/>
      <c r="AA349" s="673"/>
      <c r="AB349" s="673"/>
      <c r="AC349" s="673"/>
      <c r="AD349" s="673"/>
      <c r="AE349" s="673"/>
      <c r="AF349" s="673"/>
      <c r="AG349" s="673"/>
      <c r="AH349" s="673"/>
    </row>
    <row r="350">
      <c r="A350" s="653"/>
      <c r="B350" s="654"/>
      <c r="C350" s="691"/>
      <c r="D350" s="661"/>
      <c r="E350" s="705"/>
      <c r="F350" s="659"/>
      <c r="G350" s="661"/>
      <c r="H350" s="660"/>
      <c r="I350" s="691"/>
      <c r="J350" s="661"/>
      <c r="K350" s="706"/>
      <c r="L350" s="665"/>
      <c r="M350" s="663"/>
      <c r="N350" s="665"/>
      <c r="O350" s="665"/>
      <c r="P350" s="665"/>
      <c r="Q350" s="665"/>
      <c r="R350" s="665"/>
      <c r="S350" s="665"/>
      <c r="T350" s="673"/>
      <c r="U350" s="673"/>
      <c r="V350" s="673"/>
      <c r="W350" s="673"/>
      <c r="X350" s="673"/>
      <c r="Y350" s="673"/>
      <c r="Z350" s="673"/>
      <c r="AA350" s="673"/>
      <c r="AB350" s="673"/>
      <c r="AC350" s="673"/>
      <c r="AD350" s="673"/>
      <c r="AE350" s="673"/>
      <c r="AF350" s="673"/>
      <c r="AG350" s="673"/>
      <c r="AH350" s="673"/>
    </row>
    <row r="351">
      <c r="A351" s="653"/>
      <c r="B351" s="654"/>
      <c r="C351" s="691"/>
      <c r="D351" s="661"/>
      <c r="E351" s="705"/>
      <c r="F351" s="659"/>
      <c r="G351" s="661"/>
      <c r="H351" s="660"/>
      <c r="I351" s="691"/>
      <c r="J351" s="661"/>
      <c r="K351" s="706"/>
      <c r="L351" s="665"/>
      <c r="M351" s="663"/>
      <c r="N351" s="665"/>
      <c r="O351" s="665"/>
      <c r="P351" s="665"/>
      <c r="Q351" s="665"/>
      <c r="R351" s="665"/>
      <c r="S351" s="665"/>
      <c r="T351" s="673"/>
      <c r="U351" s="673"/>
      <c r="V351" s="673"/>
      <c r="W351" s="673"/>
      <c r="X351" s="673"/>
      <c r="Y351" s="673"/>
      <c r="Z351" s="673"/>
      <c r="AA351" s="673"/>
      <c r="AB351" s="673"/>
      <c r="AC351" s="673"/>
      <c r="AD351" s="673"/>
      <c r="AE351" s="673"/>
      <c r="AF351" s="673"/>
      <c r="AG351" s="673"/>
      <c r="AH351" s="673"/>
    </row>
    <row r="352">
      <c r="A352" s="653"/>
      <c r="B352" s="654"/>
      <c r="C352" s="691"/>
      <c r="D352" s="661"/>
      <c r="E352" s="705"/>
      <c r="F352" s="659"/>
      <c r="G352" s="661"/>
      <c r="H352" s="660"/>
      <c r="I352" s="691"/>
      <c r="J352" s="661"/>
      <c r="K352" s="706"/>
      <c r="L352" s="665"/>
      <c r="M352" s="663"/>
      <c r="N352" s="665"/>
      <c r="O352" s="665"/>
      <c r="P352" s="665"/>
      <c r="Q352" s="665"/>
      <c r="R352" s="665"/>
      <c r="S352" s="665"/>
      <c r="T352" s="673"/>
      <c r="U352" s="673"/>
      <c r="V352" s="673"/>
      <c r="W352" s="673"/>
      <c r="X352" s="673"/>
      <c r="Y352" s="673"/>
      <c r="Z352" s="673"/>
      <c r="AA352" s="673"/>
      <c r="AB352" s="673"/>
      <c r="AC352" s="673"/>
      <c r="AD352" s="673"/>
      <c r="AE352" s="673"/>
      <c r="AF352" s="673"/>
      <c r="AG352" s="673"/>
      <c r="AH352" s="673"/>
    </row>
    <row r="353">
      <c r="A353" s="653"/>
      <c r="B353" s="654"/>
      <c r="C353" s="691"/>
      <c r="D353" s="661"/>
      <c r="E353" s="705"/>
      <c r="F353" s="659"/>
      <c r="G353" s="661"/>
      <c r="H353" s="660"/>
      <c r="I353" s="691"/>
      <c r="J353" s="661"/>
      <c r="K353" s="706"/>
      <c r="L353" s="665"/>
      <c r="M353" s="663"/>
      <c r="N353" s="665"/>
      <c r="O353" s="665"/>
      <c r="P353" s="665"/>
      <c r="Q353" s="665"/>
      <c r="R353" s="665"/>
      <c r="S353" s="665"/>
      <c r="T353" s="673"/>
      <c r="U353" s="673"/>
      <c r="V353" s="673"/>
      <c r="W353" s="673"/>
      <c r="X353" s="673"/>
      <c r="Y353" s="673"/>
      <c r="Z353" s="673"/>
      <c r="AA353" s="673"/>
      <c r="AB353" s="673"/>
      <c r="AC353" s="673"/>
      <c r="AD353" s="673"/>
      <c r="AE353" s="673"/>
      <c r="AF353" s="673"/>
      <c r="AG353" s="673"/>
      <c r="AH353" s="673"/>
    </row>
    <row r="354">
      <c r="A354" s="653"/>
      <c r="B354" s="654"/>
      <c r="C354" s="691"/>
      <c r="D354" s="661"/>
      <c r="E354" s="705"/>
      <c r="F354" s="659"/>
      <c r="G354" s="661"/>
      <c r="H354" s="660"/>
      <c r="I354" s="691"/>
      <c r="J354" s="661"/>
      <c r="K354" s="706"/>
      <c r="L354" s="665"/>
      <c r="M354" s="663"/>
      <c r="N354" s="665"/>
      <c r="O354" s="665"/>
      <c r="P354" s="665"/>
      <c r="Q354" s="665"/>
      <c r="R354" s="665"/>
      <c r="S354" s="665"/>
      <c r="T354" s="673"/>
      <c r="U354" s="673"/>
      <c r="V354" s="673"/>
      <c r="W354" s="673"/>
      <c r="X354" s="673"/>
      <c r="Y354" s="673"/>
      <c r="Z354" s="673"/>
      <c r="AA354" s="673"/>
      <c r="AB354" s="673"/>
      <c r="AC354" s="673"/>
      <c r="AD354" s="673"/>
      <c r="AE354" s="673"/>
      <c r="AF354" s="673"/>
      <c r="AG354" s="673"/>
      <c r="AH354" s="673"/>
    </row>
    <row r="355">
      <c r="A355" s="653"/>
      <c r="B355" s="654"/>
      <c r="C355" s="691"/>
      <c r="D355" s="661"/>
      <c r="E355" s="705"/>
      <c r="F355" s="659"/>
      <c r="G355" s="661"/>
      <c r="H355" s="660"/>
      <c r="I355" s="691"/>
      <c r="J355" s="661"/>
      <c r="K355" s="706"/>
      <c r="L355" s="665"/>
      <c r="M355" s="663"/>
      <c r="N355" s="665"/>
      <c r="O355" s="665"/>
      <c r="P355" s="665"/>
      <c r="Q355" s="665"/>
      <c r="R355" s="665"/>
      <c r="S355" s="665"/>
      <c r="T355" s="673"/>
      <c r="U355" s="673"/>
      <c r="V355" s="673"/>
      <c r="W355" s="673"/>
      <c r="X355" s="673"/>
      <c r="Y355" s="673"/>
      <c r="Z355" s="673"/>
      <c r="AA355" s="673"/>
      <c r="AB355" s="673"/>
      <c r="AC355" s="673"/>
      <c r="AD355" s="673"/>
      <c r="AE355" s="673"/>
      <c r="AF355" s="673"/>
      <c r="AG355" s="673"/>
      <c r="AH355" s="673"/>
    </row>
    <row r="356">
      <c r="A356" s="653"/>
      <c r="B356" s="654"/>
      <c r="C356" s="691"/>
      <c r="D356" s="661"/>
      <c r="E356" s="705"/>
      <c r="F356" s="659"/>
      <c r="G356" s="661"/>
      <c r="H356" s="660"/>
      <c r="I356" s="691"/>
      <c r="J356" s="661"/>
      <c r="K356" s="706"/>
      <c r="L356" s="665"/>
      <c r="M356" s="663"/>
      <c r="N356" s="665"/>
      <c r="O356" s="665"/>
      <c r="P356" s="665"/>
      <c r="Q356" s="665"/>
      <c r="R356" s="665"/>
      <c r="S356" s="665"/>
      <c r="T356" s="673"/>
      <c r="U356" s="673"/>
      <c r="V356" s="673"/>
      <c r="W356" s="673"/>
      <c r="X356" s="673"/>
      <c r="Y356" s="673"/>
      <c r="Z356" s="673"/>
      <c r="AA356" s="673"/>
      <c r="AB356" s="673"/>
      <c r="AC356" s="673"/>
      <c r="AD356" s="673"/>
      <c r="AE356" s="673"/>
      <c r="AF356" s="673"/>
      <c r="AG356" s="673"/>
      <c r="AH356" s="673"/>
    </row>
    <row r="357">
      <c r="A357" s="653"/>
      <c r="B357" s="654"/>
      <c r="C357" s="691"/>
      <c r="D357" s="661"/>
      <c r="E357" s="705"/>
      <c r="F357" s="659"/>
      <c r="G357" s="661"/>
      <c r="H357" s="660"/>
      <c r="I357" s="691"/>
      <c r="J357" s="661"/>
      <c r="K357" s="706"/>
      <c r="L357" s="665"/>
      <c r="M357" s="663"/>
      <c r="N357" s="665"/>
      <c r="O357" s="665"/>
      <c r="P357" s="665"/>
      <c r="Q357" s="665"/>
      <c r="R357" s="665"/>
      <c r="S357" s="665"/>
      <c r="T357" s="673"/>
      <c r="U357" s="673"/>
      <c r="V357" s="673"/>
      <c r="W357" s="673"/>
      <c r="X357" s="673"/>
      <c r="Y357" s="673"/>
      <c r="Z357" s="673"/>
      <c r="AA357" s="673"/>
      <c r="AB357" s="673"/>
      <c r="AC357" s="673"/>
      <c r="AD357" s="673"/>
      <c r="AE357" s="673"/>
      <c r="AF357" s="673"/>
      <c r="AG357" s="673"/>
      <c r="AH357" s="673"/>
    </row>
    <row r="358">
      <c r="A358" s="653"/>
      <c r="B358" s="654"/>
      <c r="C358" s="691"/>
      <c r="D358" s="661"/>
      <c r="E358" s="705"/>
      <c r="F358" s="659"/>
      <c r="G358" s="661"/>
      <c r="H358" s="660"/>
      <c r="I358" s="691"/>
      <c r="J358" s="661"/>
      <c r="K358" s="706"/>
      <c r="L358" s="665"/>
      <c r="M358" s="663"/>
      <c r="N358" s="665"/>
      <c r="O358" s="665"/>
      <c r="P358" s="665"/>
      <c r="Q358" s="665"/>
      <c r="R358" s="665"/>
      <c r="S358" s="665"/>
      <c r="T358" s="673"/>
      <c r="U358" s="673"/>
      <c r="V358" s="673"/>
      <c r="W358" s="673"/>
      <c r="X358" s="673"/>
      <c r="Y358" s="673"/>
      <c r="Z358" s="673"/>
      <c r="AA358" s="673"/>
      <c r="AB358" s="673"/>
      <c r="AC358" s="673"/>
      <c r="AD358" s="673"/>
      <c r="AE358" s="673"/>
      <c r="AF358" s="673"/>
      <c r="AG358" s="673"/>
      <c r="AH358" s="673"/>
    </row>
    <row r="359">
      <c r="A359" s="653"/>
      <c r="B359" s="654"/>
      <c r="C359" s="691"/>
      <c r="D359" s="661"/>
      <c r="E359" s="705"/>
      <c r="F359" s="659"/>
      <c r="G359" s="661"/>
      <c r="H359" s="660"/>
      <c r="I359" s="691"/>
      <c r="J359" s="661"/>
      <c r="K359" s="706"/>
      <c r="L359" s="665"/>
      <c r="M359" s="663"/>
      <c r="N359" s="665"/>
      <c r="O359" s="665"/>
      <c r="P359" s="665"/>
      <c r="Q359" s="665"/>
      <c r="R359" s="665"/>
      <c r="S359" s="665"/>
      <c r="T359" s="673"/>
      <c r="U359" s="673"/>
      <c r="V359" s="673"/>
      <c r="W359" s="673"/>
      <c r="X359" s="673"/>
      <c r="Y359" s="673"/>
      <c r="Z359" s="673"/>
      <c r="AA359" s="673"/>
      <c r="AB359" s="673"/>
      <c r="AC359" s="673"/>
      <c r="AD359" s="673"/>
      <c r="AE359" s="673"/>
      <c r="AF359" s="673"/>
      <c r="AG359" s="673"/>
      <c r="AH359" s="673"/>
    </row>
    <row r="360">
      <c r="A360" s="653"/>
      <c r="B360" s="654"/>
      <c r="C360" s="691"/>
      <c r="D360" s="661"/>
      <c r="E360" s="705"/>
      <c r="F360" s="659"/>
      <c r="G360" s="661"/>
      <c r="H360" s="660"/>
      <c r="I360" s="691"/>
      <c r="J360" s="661"/>
      <c r="K360" s="706"/>
      <c r="L360" s="665"/>
      <c r="M360" s="663"/>
      <c r="N360" s="665"/>
      <c r="O360" s="665"/>
      <c r="P360" s="665"/>
      <c r="Q360" s="665"/>
      <c r="R360" s="665"/>
      <c r="S360" s="665"/>
      <c r="T360" s="673"/>
      <c r="U360" s="673"/>
      <c r="V360" s="673"/>
      <c r="W360" s="673"/>
      <c r="X360" s="673"/>
      <c r="Y360" s="673"/>
      <c r="Z360" s="673"/>
      <c r="AA360" s="673"/>
      <c r="AB360" s="673"/>
      <c r="AC360" s="673"/>
      <c r="AD360" s="673"/>
      <c r="AE360" s="673"/>
      <c r="AF360" s="673"/>
      <c r="AG360" s="673"/>
      <c r="AH360" s="673"/>
    </row>
    <row r="361">
      <c r="A361" s="653"/>
      <c r="B361" s="654"/>
      <c r="C361" s="691"/>
      <c r="D361" s="661"/>
      <c r="E361" s="705"/>
      <c r="F361" s="659"/>
      <c r="G361" s="661"/>
      <c r="H361" s="660"/>
      <c r="I361" s="691"/>
      <c r="J361" s="661"/>
      <c r="K361" s="706"/>
      <c r="L361" s="665"/>
      <c r="M361" s="663"/>
      <c r="N361" s="665"/>
      <c r="O361" s="665"/>
      <c r="P361" s="665"/>
      <c r="Q361" s="665"/>
      <c r="R361" s="665"/>
      <c r="S361" s="665"/>
      <c r="T361" s="673"/>
      <c r="U361" s="673"/>
      <c r="V361" s="673"/>
      <c r="W361" s="673"/>
      <c r="X361" s="673"/>
      <c r="Y361" s="673"/>
      <c r="Z361" s="673"/>
      <c r="AA361" s="673"/>
      <c r="AB361" s="673"/>
      <c r="AC361" s="673"/>
      <c r="AD361" s="673"/>
      <c r="AE361" s="673"/>
      <c r="AF361" s="673"/>
      <c r="AG361" s="673"/>
      <c r="AH361" s="673"/>
    </row>
    <row r="362">
      <c r="A362" s="653"/>
      <c r="B362" s="654"/>
      <c r="C362" s="691"/>
      <c r="D362" s="661"/>
      <c r="E362" s="705"/>
      <c r="F362" s="659"/>
      <c r="G362" s="661"/>
      <c r="H362" s="660"/>
      <c r="I362" s="691"/>
      <c r="J362" s="661"/>
      <c r="K362" s="706"/>
      <c r="L362" s="665"/>
      <c r="M362" s="663"/>
      <c r="N362" s="665"/>
      <c r="O362" s="665"/>
      <c r="P362" s="665"/>
      <c r="Q362" s="665"/>
      <c r="R362" s="665"/>
      <c r="S362" s="665"/>
      <c r="T362" s="673"/>
      <c r="U362" s="673"/>
      <c r="V362" s="673"/>
      <c r="W362" s="673"/>
      <c r="X362" s="673"/>
      <c r="Y362" s="673"/>
      <c r="Z362" s="673"/>
      <c r="AA362" s="673"/>
      <c r="AB362" s="673"/>
      <c r="AC362" s="673"/>
      <c r="AD362" s="673"/>
      <c r="AE362" s="673"/>
      <c r="AF362" s="673"/>
      <c r="AG362" s="673"/>
      <c r="AH362" s="673"/>
    </row>
    <row r="363">
      <c r="A363" s="653"/>
      <c r="B363" s="654"/>
      <c r="C363" s="691"/>
      <c r="D363" s="661"/>
      <c r="E363" s="705"/>
      <c r="F363" s="659"/>
      <c r="G363" s="661"/>
      <c r="H363" s="660"/>
      <c r="I363" s="691"/>
      <c r="J363" s="661"/>
      <c r="K363" s="706"/>
      <c r="L363" s="665"/>
      <c r="M363" s="663"/>
      <c r="N363" s="665"/>
      <c r="O363" s="665"/>
      <c r="P363" s="665"/>
      <c r="Q363" s="665"/>
      <c r="R363" s="665"/>
      <c r="S363" s="665"/>
      <c r="T363" s="673"/>
      <c r="U363" s="673"/>
      <c r="V363" s="673"/>
      <c r="W363" s="673"/>
      <c r="X363" s="673"/>
      <c r="Y363" s="673"/>
      <c r="Z363" s="673"/>
      <c r="AA363" s="673"/>
      <c r="AB363" s="673"/>
      <c r="AC363" s="673"/>
      <c r="AD363" s="673"/>
      <c r="AE363" s="673"/>
      <c r="AF363" s="673"/>
      <c r="AG363" s="673"/>
      <c r="AH363" s="673"/>
    </row>
    <row r="364">
      <c r="A364" s="653"/>
      <c r="B364" s="654"/>
      <c r="C364" s="691"/>
      <c r="D364" s="661"/>
      <c r="E364" s="705"/>
      <c r="F364" s="659"/>
      <c r="G364" s="661"/>
      <c r="H364" s="660"/>
      <c r="I364" s="691"/>
      <c r="J364" s="661"/>
      <c r="K364" s="706"/>
      <c r="L364" s="665"/>
      <c r="M364" s="663"/>
      <c r="N364" s="665"/>
      <c r="O364" s="665"/>
      <c r="P364" s="665"/>
      <c r="Q364" s="665"/>
      <c r="R364" s="665"/>
      <c r="S364" s="665"/>
      <c r="T364" s="673"/>
      <c r="U364" s="673"/>
      <c r="V364" s="673"/>
      <c r="W364" s="673"/>
      <c r="X364" s="673"/>
      <c r="Y364" s="673"/>
      <c r="Z364" s="673"/>
      <c r="AA364" s="673"/>
      <c r="AB364" s="673"/>
      <c r="AC364" s="673"/>
      <c r="AD364" s="673"/>
      <c r="AE364" s="673"/>
      <c r="AF364" s="673"/>
      <c r="AG364" s="673"/>
      <c r="AH364" s="673"/>
    </row>
    <row r="365">
      <c r="A365" s="653"/>
      <c r="B365" s="654"/>
      <c r="C365" s="691"/>
      <c r="D365" s="661"/>
      <c r="E365" s="705"/>
      <c r="F365" s="659"/>
      <c r="G365" s="661"/>
      <c r="H365" s="660"/>
      <c r="I365" s="691"/>
      <c r="J365" s="661"/>
      <c r="K365" s="706"/>
      <c r="L365" s="665"/>
      <c r="M365" s="663"/>
      <c r="N365" s="665"/>
      <c r="O365" s="665"/>
      <c r="P365" s="665"/>
      <c r="Q365" s="665"/>
      <c r="R365" s="665"/>
      <c r="S365" s="665"/>
      <c r="T365" s="673"/>
      <c r="U365" s="673"/>
      <c r="V365" s="673"/>
      <c r="W365" s="673"/>
      <c r="X365" s="673"/>
      <c r="Y365" s="673"/>
      <c r="Z365" s="673"/>
      <c r="AA365" s="673"/>
      <c r="AB365" s="673"/>
      <c r="AC365" s="673"/>
      <c r="AD365" s="673"/>
      <c r="AE365" s="673"/>
      <c r="AF365" s="673"/>
      <c r="AG365" s="673"/>
      <c r="AH365" s="673"/>
    </row>
    <row r="366">
      <c r="A366" s="653"/>
      <c r="B366" s="654"/>
      <c r="C366" s="691"/>
      <c r="D366" s="661"/>
      <c r="E366" s="705"/>
      <c r="F366" s="659"/>
      <c r="G366" s="661"/>
      <c r="H366" s="660"/>
      <c r="I366" s="691"/>
      <c r="J366" s="661"/>
      <c r="K366" s="706"/>
      <c r="L366" s="665"/>
      <c r="M366" s="663"/>
      <c r="N366" s="665"/>
      <c r="O366" s="665"/>
      <c r="P366" s="665"/>
      <c r="Q366" s="665"/>
      <c r="R366" s="665"/>
      <c r="S366" s="665"/>
      <c r="T366" s="673"/>
      <c r="U366" s="673"/>
      <c r="V366" s="673"/>
      <c r="W366" s="673"/>
      <c r="X366" s="673"/>
      <c r="Y366" s="673"/>
      <c r="Z366" s="673"/>
      <c r="AA366" s="673"/>
      <c r="AB366" s="673"/>
      <c r="AC366" s="673"/>
      <c r="AD366" s="673"/>
      <c r="AE366" s="673"/>
      <c r="AF366" s="673"/>
      <c r="AG366" s="673"/>
      <c r="AH366" s="673"/>
    </row>
    <row r="367">
      <c r="A367" s="653"/>
      <c r="B367" s="654"/>
      <c r="C367" s="691"/>
      <c r="D367" s="661"/>
      <c r="E367" s="705"/>
      <c r="F367" s="659"/>
      <c r="G367" s="661"/>
      <c r="H367" s="660"/>
      <c r="I367" s="691"/>
      <c r="J367" s="661"/>
      <c r="K367" s="706"/>
      <c r="L367" s="665"/>
      <c r="M367" s="663"/>
      <c r="N367" s="665"/>
      <c r="O367" s="665"/>
      <c r="P367" s="665"/>
      <c r="Q367" s="665"/>
      <c r="R367" s="665"/>
      <c r="S367" s="665"/>
      <c r="T367" s="673"/>
      <c r="U367" s="673"/>
      <c r="V367" s="673"/>
      <c r="W367" s="673"/>
      <c r="X367" s="673"/>
      <c r="Y367" s="673"/>
      <c r="Z367" s="673"/>
      <c r="AA367" s="673"/>
      <c r="AB367" s="673"/>
      <c r="AC367" s="673"/>
      <c r="AD367" s="673"/>
      <c r="AE367" s="673"/>
      <c r="AF367" s="673"/>
      <c r="AG367" s="673"/>
      <c r="AH367" s="673"/>
    </row>
    <row r="368">
      <c r="A368" s="653"/>
      <c r="B368" s="654"/>
      <c r="C368" s="691"/>
      <c r="D368" s="661"/>
      <c r="E368" s="705"/>
      <c r="F368" s="659"/>
      <c r="G368" s="661"/>
      <c r="H368" s="660"/>
      <c r="I368" s="691"/>
      <c r="J368" s="661"/>
      <c r="K368" s="706"/>
      <c r="L368" s="665"/>
      <c r="M368" s="663"/>
      <c r="N368" s="665"/>
      <c r="O368" s="665"/>
      <c r="P368" s="665"/>
      <c r="Q368" s="665"/>
      <c r="R368" s="665"/>
      <c r="S368" s="665"/>
      <c r="T368" s="673"/>
      <c r="U368" s="673"/>
      <c r="V368" s="673"/>
      <c r="W368" s="673"/>
      <c r="X368" s="673"/>
      <c r="Y368" s="673"/>
      <c r="Z368" s="673"/>
      <c r="AA368" s="673"/>
      <c r="AB368" s="673"/>
      <c r="AC368" s="673"/>
      <c r="AD368" s="673"/>
      <c r="AE368" s="673"/>
      <c r="AF368" s="673"/>
      <c r="AG368" s="673"/>
      <c r="AH368" s="673"/>
    </row>
    <row r="369">
      <c r="A369" s="653"/>
      <c r="B369" s="654"/>
      <c r="C369" s="691"/>
      <c r="D369" s="661"/>
      <c r="E369" s="705"/>
      <c r="F369" s="659"/>
      <c r="G369" s="661"/>
      <c r="H369" s="660"/>
      <c r="I369" s="691"/>
      <c r="J369" s="661"/>
      <c r="K369" s="706"/>
      <c r="L369" s="665"/>
      <c r="M369" s="663"/>
      <c r="N369" s="665"/>
      <c r="O369" s="665"/>
      <c r="P369" s="665"/>
      <c r="Q369" s="665"/>
      <c r="R369" s="665"/>
      <c r="S369" s="665"/>
      <c r="T369" s="673"/>
      <c r="U369" s="673"/>
      <c r="V369" s="673"/>
      <c r="W369" s="673"/>
      <c r="X369" s="673"/>
      <c r="Y369" s="673"/>
      <c r="Z369" s="673"/>
      <c r="AA369" s="673"/>
      <c r="AB369" s="673"/>
      <c r="AC369" s="673"/>
      <c r="AD369" s="673"/>
      <c r="AE369" s="673"/>
      <c r="AF369" s="673"/>
      <c r="AG369" s="673"/>
      <c r="AH369" s="673"/>
    </row>
    <row r="370">
      <c r="A370" s="653"/>
      <c r="B370" s="654"/>
      <c r="C370" s="691"/>
      <c r="D370" s="661"/>
      <c r="E370" s="705"/>
      <c r="F370" s="659"/>
      <c r="G370" s="661"/>
      <c r="H370" s="660"/>
      <c r="I370" s="691"/>
      <c r="J370" s="661"/>
      <c r="K370" s="706"/>
      <c r="L370" s="665"/>
      <c r="M370" s="663"/>
      <c r="N370" s="665"/>
      <c r="O370" s="665"/>
      <c r="P370" s="665"/>
      <c r="Q370" s="665"/>
      <c r="R370" s="665"/>
      <c r="S370" s="665"/>
      <c r="T370" s="673"/>
      <c r="U370" s="673"/>
      <c r="V370" s="673"/>
      <c r="W370" s="673"/>
      <c r="X370" s="673"/>
      <c r="Y370" s="673"/>
      <c r="Z370" s="673"/>
      <c r="AA370" s="673"/>
      <c r="AB370" s="673"/>
      <c r="AC370" s="673"/>
      <c r="AD370" s="673"/>
      <c r="AE370" s="673"/>
      <c r="AF370" s="673"/>
      <c r="AG370" s="673"/>
      <c r="AH370" s="673"/>
    </row>
    <row r="371">
      <c r="A371" s="653"/>
      <c r="B371" s="654"/>
      <c r="C371" s="691"/>
      <c r="D371" s="661"/>
      <c r="E371" s="705"/>
      <c r="F371" s="659"/>
      <c r="G371" s="661"/>
      <c r="H371" s="660"/>
      <c r="I371" s="691"/>
      <c r="J371" s="661"/>
      <c r="K371" s="706"/>
      <c r="L371" s="665"/>
      <c r="M371" s="663"/>
      <c r="N371" s="665"/>
      <c r="O371" s="665"/>
      <c r="P371" s="665"/>
      <c r="Q371" s="665"/>
      <c r="R371" s="665"/>
      <c r="S371" s="665"/>
      <c r="T371" s="673"/>
      <c r="U371" s="673"/>
      <c r="V371" s="673"/>
      <c r="W371" s="673"/>
      <c r="X371" s="673"/>
      <c r="Y371" s="673"/>
      <c r="Z371" s="673"/>
      <c r="AA371" s="673"/>
      <c r="AB371" s="673"/>
      <c r="AC371" s="673"/>
      <c r="AD371" s="673"/>
      <c r="AE371" s="673"/>
      <c r="AF371" s="673"/>
      <c r="AG371" s="673"/>
      <c r="AH371" s="673"/>
    </row>
    <row r="372">
      <c r="A372" s="653"/>
      <c r="B372" s="654"/>
      <c r="C372" s="691"/>
      <c r="D372" s="661"/>
      <c r="E372" s="705"/>
      <c r="F372" s="659"/>
      <c r="G372" s="661"/>
      <c r="H372" s="660"/>
      <c r="I372" s="691"/>
      <c r="J372" s="661"/>
      <c r="K372" s="706"/>
      <c r="L372" s="665"/>
      <c r="M372" s="663"/>
      <c r="N372" s="665"/>
      <c r="O372" s="665"/>
      <c r="P372" s="665"/>
      <c r="Q372" s="665"/>
      <c r="R372" s="665"/>
      <c r="S372" s="665"/>
      <c r="T372" s="673"/>
      <c r="U372" s="673"/>
      <c r="V372" s="673"/>
      <c r="W372" s="673"/>
      <c r="X372" s="673"/>
      <c r="Y372" s="673"/>
      <c r="Z372" s="673"/>
      <c r="AA372" s="673"/>
      <c r="AB372" s="673"/>
      <c r="AC372" s="673"/>
      <c r="AD372" s="673"/>
      <c r="AE372" s="673"/>
      <c r="AF372" s="673"/>
      <c r="AG372" s="673"/>
      <c r="AH372" s="673"/>
    </row>
    <row r="373">
      <c r="A373" s="653"/>
      <c r="B373" s="654"/>
      <c r="C373" s="691"/>
      <c r="D373" s="661"/>
      <c r="E373" s="705"/>
      <c r="F373" s="659"/>
      <c r="G373" s="661"/>
      <c r="H373" s="660"/>
      <c r="I373" s="691"/>
      <c r="J373" s="661"/>
      <c r="K373" s="706"/>
      <c r="L373" s="665"/>
      <c r="M373" s="663"/>
      <c r="N373" s="665"/>
      <c r="O373" s="665"/>
      <c r="P373" s="665"/>
      <c r="Q373" s="665"/>
      <c r="R373" s="665"/>
      <c r="S373" s="665"/>
      <c r="T373" s="673"/>
      <c r="U373" s="673"/>
      <c r="V373" s="673"/>
      <c r="W373" s="673"/>
      <c r="X373" s="673"/>
      <c r="Y373" s="673"/>
      <c r="Z373" s="673"/>
      <c r="AA373" s="673"/>
      <c r="AB373" s="673"/>
      <c r="AC373" s="673"/>
      <c r="AD373" s="673"/>
      <c r="AE373" s="673"/>
      <c r="AF373" s="673"/>
      <c r="AG373" s="673"/>
      <c r="AH373" s="673"/>
    </row>
    <row r="374">
      <c r="A374" s="653"/>
      <c r="B374" s="654"/>
      <c r="C374" s="691"/>
      <c r="D374" s="661"/>
      <c r="E374" s="705"/>
      <c r="F374" s="659"/>
      <c r="G374" s="661"/>
      <c r="H374" s="660"/>
      <c r="I374" s="691"/>
      <c r="J374" s="661"/>
      <c r="K374" s="706"/>
      <c r="L374" s="665"/>
      <c r="M374" s="663"/>
      <c r="N374" s="665"/>
      <c r="O374" s="665"/>
      <c r="P374" s="665"/>
      <c r="Q374" s="665"/>
      <c r="R374" s="665"/>
      <c r="S374" s="665"/>
      <c r="T374" s="673"/>
      <c r="U374" s="673"/>
      <c r="V374" s="673"/>
      <c r="W374" s="673"/>
      <c r="X374" s="673"/>
      <c r="Y374" s="673"/>
      <c r="Z374" s="673"/>
      <c r="AA374" s="673"/>
      <c r="AB374" s="673"/>
      <c r="AC374" s="673"/>
      <c r="AD374" s="673"/>
      <c r="AE374" s="673"/>
      <c r="AF374" s="673"/>
      <c r="AG374" s="673"/>
      <c r="AH374" s="673"/>
    </row>
    <row r="375">
      <c r="A375" s="653"/>
      <c r="B375" s="654"/>
      <c r="C375" s="691"/>
      <c r="D375" s="661"/>
      <c r="E375" s="705"/>
      <c r="F375" s="659"/>
      <c r="G375" s="661"/>
      <c r="H375" s="660"/>
      <c r="I375" s="691"/>
      <c r="J375" s="661"/>
      <c r="K375" s="706"/>
      <c r="L375" s="665"/>
      <c r="M375" s="663"/>
      <c r="N375" s="665"/>
      <c r="O375" s="665"/>
      <c r="P375" s="665"/>
      <c r="Q375" s="665"/>
      <c r="R375" s="665"/>
      <c r="S375" s="665"/>
      <c r="T375" s="673"/>
      <c r="U375" s="673"/>
      <c r="V375" s="673"/>
      <c r="W375" s="673"/>
      <c r="X375" s="673"/>
      <c r="Y375" s="673"/>
      <c r="Z375" s="673"/>
      <c r="AA375" s="673"/>
      <c r="AB375" s="673"/>
      <c r="AC375" s="673"/>
      <c r="AD375" s="673"/>
      <c r="AE375" s="673"/>
      <c r="AF375" s="673"/>
      <c r="AG375" s="673"/>
      <c r="AH375" s="673"/>
    </row>
    <row r="376">
      <c r="A376" s="653"/>
      <c r="B376" s="654"/>
      <c r="C376" s="691"/>
      <c r="D376" s="661"/>
      <c r="E376" s="705"/>
      <c r="F376" s="659"/>
      <c r="G376" s="661"/>
      <c r="H376" s="660"/>
      <c r="I376" s="691"/>
      <c r="J376" s="661"/>
      <c r="K376" s="706"/>
      <c r="L376" s="665"/>
      <c r="M376" s="663"/>
      <c r="N376" s="665"/>
      <c r="O376" s="665"/>
      <c r="P376" s="665"/>
      <c r="Q376" s="665"/>
      <c r="R376" s="665"/>
      <c r="S376" s="665"/>
      <c r="T376" s="673"/>
      <c r="U376" s="673"/>
      <c r="V376" s="673"/>
      <c r="W376" s="673"/>
      <c r="X376" s="673"/>
      <c r="Y376" s="673"/>
      <c r="Z376" s="673"/>
      <c r="AA376" s="673"/>
      <c r="AB376" s="673"/>
      <c r="AC376" s="673"/>
      <c r="AD376" s="673"/>
      <c r="AE376" s="673"/>
      <c r="AF376" s="673"/>
      <c r="AG376" s="673"/>
      <c r="AH376" s="673"/>
    </row>
    <row r="377">
      <c r="A377" s="653"/>
      <c r="B377" s="654"/>
      <c r="C377" s="691"/>
      <c r="D377" s="661"/>
      <c r="E377" s="705"/>
      <c r="F377" s="659"/>
      <c r="G377" s="661"/>
      <c r="H377" s="660"/>
      <c r="I377" s="691"/>
      <c r="J377" s="661"/>
      <c r="K377" s="706"/>
      <c r="L377" s="665"/>
      <c r="M377" s="663"/>
      <c r="N377" s="665"/>
      <c r="O377" s="665"/>
      <c r="P377" s="665"/>
      <c r="Q377" s="665"/>
      <c r="R377" s="665"/>
      <c r="S377" s="665"/>
      <c r="T377" s="673"/>
      <c r="U377" s="673"/>
      <c r="V377" s="673"/>
      <c r="W377" s="673"/>
      <c r="X377" s="673"/>
      <c r="Y377" s="673"/>
      <c r="Z377" s="673"/>
      <c r="AA377" s="673"/>
      <c r="AB377" s="673"/>
      <c r="AC377" s="673"/>
      <c r="AD377" s="673"/>
      <c r="AE377" s="673"/>
      <c r="AF377" s="673"/>
      <c r="AG377" s="673"/>
      <c r="AH377" s="673"/>
    </row>
    <row r="378">
      <c r="A378" s="653"/>
      <c r="B378" s="654"/>
      <c r="C378" s="691"/>
      <c r="D378" s="661"/>
      <c r="E378" s="705"/>
      <c r="F378" s="659"/>
      <c r="G378" s="661"/>
      <c r="H378" s="660"/>
      <c r="I378" s="691"/>
      <c r="J378" s="661"/>
      <c r="K378" s="706"/>
      <c r="L378" s="665"/>
      <c r="M378" s="663"/>
      <c r="N378" s="665"/>
      <c r="O378" s="665"/>
      <c r="P378" s="665"/>
      <c r="Q378" s="665"/>
      <c r="R378" s="665"/>
      <c r="S378" s="665"/>
      <c r="T378" s="673"/>
      <c r="U378" s="673"/>
      <c r="V378" s="673"/>
      <c r="W378" s="673"/>
      <c r="X378" s="673"/>
      <c r="Y378" s="673"/>
      <c r="Z378" s="673"/>
      <c r="AA378" s="673"/>
      <c r="AB378" s="673"/>
      <c r="AC378" s="673"/>
      <c r="AD378" s="673"/>
      <c r="AE378" s="673"/>
      <c r="AF378" s="673"/>
      <c r="AG378" s="673"/>
      <c r="AH378" s="673"/>
    </row>
    <row r="379">
      <c r="A379" s="653"/>
      <c r="B379" s="654"/>
      <c r="C379" s="691"/>
      <c r="D379" s="661"/>
      <c r="E379" s="705"/>
      <c r="F379" s="659"/>
      <c r="G379" s="661"/>
      <c r="H379" s="660"/>
      <c r="I379" s="691"/>
      <c r="J379" s="661"/>
      <c r="K379" s="706"/>
      <c r="L379" s="665"/>
      <c r="M379" s="663"/>
      <c r="N379" s="665"/>
      <c r="O379" s="665"/>
      <c r="P379" s="665"/>
      <c r="Q379" s="665"/>
      <c r="R379" s="665"/>
      <c r="S379" s="665"/>
      <c r="T379" s="673"/>
      <c r="U379" s="673"/>
      <c r="V379" s="673"/>
      <c r="W379" s="673"/>
      <c r="X379" s="673"/>
      <c r="Y379" s="673"/>
      <c r="Z379" s="673"/>
      <c r="AA379" s="673"/>
      <c r="AB379" s="673"/>
      <c r="AC379" s="673"/>
      <c r="AD379" s="673"/>
      <c r="AE379" s="673"/>
      <c r="AF379" s="673"/>
      <c r="AG379" s="673"/>
      <c r="AH379" s="673"/>
    </row>
    <row r="380">
      <c r="A380" s="653"/>
      <c r="B380" s="654"/>
      <c r="C380" s="691"/>
      <c r="D380" s="661"/>
      <c r="E380" s="705"/>
      <c r="F380" s="659"/>
      <c r="G380" s="661"/>
      <c r="H380" s="660"/>
      <c r="I380" s="691"/>
      <c r="J380" s="661"/>
      <c r="K380" s="706"/>
      <c r="L380" s="665"/>
      <c r="M380" s="663"/>
      <c r="N380" s="665"/>
      <c r="O380" s="665"/>
      <c r="P380" s="665"/>
      <c r="Q380" s="665"/>
      <c r="R380" s="665"/>
      <c r="S380" s="665"/>
      <c r="T380" s="673"/>
      <c r="U380" s="673"/>
      <c r="V380" s="673"/>
      <c r="W380" s="673"/>
      <c r="X380" s="673"/>
      <c r="Y380" s="673"/>
      <c r="Z380" s="673"/>
      <c r="AA380" s="673"/>
      <c r="AB380" s="673"/>
      <c r="AC380" s="673"/>
      <c r="AD380" s="673"/>
      <c r="AE380" s="673"/>
      <c r="AF380" s="673"/>
      <c r="AG380" s="673"/>
      <c r="AH380" s="673"/>
    </row>
    <row r="381">
      <c r="A381" s="653"/>
      <c r="B381" s="654"/>
      <c r="C381" s="691"/>
      <c r="D381" s="661"/>
      <c r="E381" s="705"/>
      <c r="F381" s="659"/>
      <c r="G381" s="661"/>
      <c r="H381" s="660"/>
      <c r="I381" s="691"/>
      <c r="J381" s="661"/>
      <c r="K381" s="706"/>
      <c r="L381" s="665"/>
      <c r="M381" s="663"/>
      <c r="N381" s="665"/>
      <c r="O381" s="665"/>
      <c r="P381" s="665"/>
      <c r="Q381" s="665"/>
      <c r="R381" s="665"/>
      <c r="S381" s="665"/>
      <c r="T381" s="673"/>
      <c r="U381" s="673"/>
      <c r="V381" s="673"/>
      <c r="W381" s="673"/>
      <c r="X381" s="673"/>
      <c r="Y381" s="673"/>
      <c r="Z381" s="673"/>
      <c r="AA381" s="673"/>
      <c r="AB381" s="673"/>
      <c r="AC381" s="673"/>
      <c r="AD381" s="673"/>
      <c r="AE381" s="673"/>
      <c r="AF381" s="673"/>
      <c r="AG381" s="673"/>
      <c r="AH381" s="673"/>
    </row>
    <row r="382">
      <c r="A382" s="653"/>
      <c r="B382" s="654"/>
      <c r="C382" s="691"/>
      <c r="D382" s="661"/>
      <c r="E382" s="705"/>
      <c r="F382" s="659"/>
      <c r="G382" s="661"/>
      <c r="H382" s="660"/>
      <c r="I382" s="691"/>
      <c r="J382" s="661"/>
      <c r="K382" s="706"/>
      <c r="L382" s="665"/>
      <c r="M382" s="663"/>
      <c r="N382" s="665"/>
      <c r="O382" s="665"/>
      <c r="P382" s="665"/>
      <c r="Q382" s="665"/>
      <c r="R382" s="665"/>
      <c r="S382" s="665"/>
      <c r="T382" s="673"/>
      <c r="U382" s="673"/>
      <c r="V382" s="673"/>
      <c r="W382" s="673"/>
      <c r="X382" s="673"/>
      <c r="Y382" s="673"/>
      <c r="Z382" s="673"/>
      <c r="AA382" s="673"/>
      <c r="AB382" s="673"/>
      <c r="AC382" s="673"/>
      <c r="AD382" s="673"/>
      <c r="AE382" s="673"/>
      <c r="AF382" s="673"/>
      <c r="AG382" s="673"/>
      <c r="AH382" s="673"/>
    </row>
    <row r="383">
      <c r="A383" s="653"/>
      <c r="B383" s="654"/>
      <c r="C383" s="691"/>
      <c r="D383" s="661"/>
      <c r="E383" s="705"/>
      <c r="F383" s="659"/>
      <c r="G383" s="661"/>
      <c r="H383" s="660"/>
      <c r="I383" s="691"/>
      <c r="J383" s="661"/>
      <c r="K383" s="706"/>
      <c r="L383" s="665"/>
      <c r="M383" s="663"/>
      <c r="N383" s="665"/>
      <c r="O383" s="665"/>
      <c r="P383" s="665"/>
      <c r="Q383" s="665"/>
      <c r="R383" s="665"/>
      <c r="S383" s="665"/>
      <c r="T383" s="673"/>
      <c r="U383" s="673"/>
      <c r="V383" s="673"/>
      <c r="W383" s="673"/>
      <c r="X383" s="673"/>
      <c r="Y383" s="673"/>
      <c r="Z383" s="673"/>
      <c r="AA383" s="673"/>
      <c r="AB383" s="673"/>
      <c r="AC383" s="673"/>
      <c r="AD383" s="673"/>
      <c r="AE383" s="673"/>
      <c r="AF383" s="673"/>
      <c r="AG383" s="673"/>
      <c r="AH383" s="673"/>
    </row>
    <row r="384">
      <c r="A384" s="653"/>
      <c r="B384" s="654"/>
      <c r="C384" s="691"/>
      <c r="D384" s="661"/>
      <c r="E384" s="705"/>
      <c r="F384" s="659"/>
      <c r="G384" s="661"/>
      <c r="H384" s="660"/>
      <c r="I384" s="691"/>
      <c r="J384" s="661"/>
      <c r="K384" s="706"/>
      <c r="L384" s="665"/>
      <c r="M384" s="663"/>
      <c r="N384" s="665"/>
      <c r="O384" s="665"/>
      <c r="P384" s="665"/>
      <c r="Q384" s="665"/>
      <c r="R384" s="665"/>
      <c r="S384" s="665"/>
      <c r="T384" s="673"/>
      <c r="U384" s="673"/>
      <c r="V384" s="673"/>
      <c r="W384" s="673"/>
      <c r="X384" s="673"/>
      <c r="Y384" s="673"/>
      <c r="Z384" s="673"/>
      <c r="AA384" s="673"/>
      <c r="AB384" s="673"/>
      <c r="AC384" s="673"/>
      <c r="AD384" s="673"/>
      <c r="AE384" s="673"/>
      <c r="AF384" s="673"/>
      <c r="AG384" s="673"/>
      <c r="AH384" s="673"/>
    </row>
    <row r="385">
      <c r="A385" s="653"/>
      <c r="B385" s="654"/>
      <c r="C385" s="691"/>
      <c r="D385" s="661"/>
      <c r="E385" s="705"/>
      <c r="F385" s="659"/>
      <c r="G385" s="661"/>
      <c r="H385" s="660"/>
      <c r="I385" s="691"/>
      <c r="J385" s="661"/>
      <c r="K385" s="706"/>
      <c r="L385" s="665"/>
      <c r="M385" s="663"/>
      <c r="N385" s="665"/>
      <c r="O385" s="665"/>
      <c r="P385" s="665"/>
      <c r="Q385" s="665"/>
      <c r="R385" s="665"/>
      <c r="S385" s="665"/>
      <c r="T385" s="673"/>
      <c r="U385" s="673"/>
      <c r="V385" s="673"/>
      <c r="W385" s="673"/>
      <c r="X385" s="673"/>
      <c r="Y385" s="673"/>
      <c r="Z385" s="673"/>
      <c r="AA385" s="673"/>
      <c r="AB385" s="673"/>
      <c r="AC385" s="673"/>
      <c r="AD385" s="673"/>
      <c r="AE385" s="673"/>
      <c r="AF385" s="673"/>
      <c r="AG385" s="673"/>
      <c r="AH385" s="673"/>
    </row>
    <row r="386">
      <c r="A386" s="653"/>
      <c r="B386" s="654"/>
      <c r="C386" s="691"/>
      <c r="D386" s="661"/>
      <c r="E386" s="705"/>
      <c r="F386" s="659"/>
      <c r="G386" s="661"/>
      <c r="H386" s="660"/>
      <c r="I386" s="691"/>
      <c r="J386" s="661"/>
      <c r="K386" s="706"/>
      <c r="L386" s="665"/>
      <c r="M386" s="663"/>
      <c r="N386" s="665"/>
      <c r="O386" s="665"/>
      <c r="P386" s="665"/>
      <c r="Q386" s="665"/>
      <c r="R386" s="665"/>
      <c r="S386" s="665"/>
      <c r="T386" s="673"/>
      <c r="U386" s="673"/>
      <c r="V386" s="673"/>
      <c r="W386" s="673"/>
      <c r="X386" s="673"/>
      <c r="Y386" s="673"/>
      <c r="Z386" s="673"/>
      <c r="AA386" s="673"/>
      <c r="AB386" s="673"/>
      <c r="AC386" s="673"/>
      <c r="AD386" s="673"/>
      <c r="AE386" s="673"/>
      <c r="AF386" s="673"/>
      <c r="AG386" s="673"/>
      <c r="AH386" s="673"/>
    </row>
    <row r="387">
      <c r="A387" s="653"/>
      <c r="B387" s="654"/>
      <c r="C387" s="691"/>
      <c r="D387" s="661"/>
      <c r="E387" s="705"/>
      <c r="F387" s="659"/>
      <c r="G387" s="661"/>
      <c r="H387" s="660"/>
      <c r="I387" s="691"/>
      <c r="J387" s="661"/>
      <c r="K387" s="706"/>
      <c r="L387" s="665"/>
      <c r="M387" s="663"/>
      <c r="N387" s="665"/>
      <c r="O387" s="665"/>
      <c r="P387" s="665"/>
      <c r="Q387" s="665"/>
      <c r="R387" s="665"/>
      <c r="S387" s="665"/>
      <c r="T387" s="673"/>
      <c r="U387" s="673"/>
      <c r="V387" s="673"/>
      <c r="W387" s="673"/>
      <c r="X387" s="673"/>
      <c r="Y387" s="673"/>
      <c r="Z387" s="673"/>
      <c r="AA387" s="673"/>
      <c r="AB387" s="673"/>
      <c r="AC387" s="673"/>
      <c r="AD387" s="673"/>
      <c r="AE387" s="673"/>
      <c r="AF387" s="673"/>
      <c r="AG387" s="673"/>
      <c r="AH387" s="673"/>
    </row>
    <row r="388">
      <c r="A388" s="653"/>
      <c r="B388" s="654"/>
      <c r="C388" s="691"/>
      <c r="D388" s="661"/>
      <c r="E388" s="705"/>
      <c r="F388" s="659"/>
      <c r="G388" s="661"/>
      <c r="H388" s="660"/>
      <c r="I388" s="691"/>
      <c r="J388" s="661"/>
      <c r="K388" s="706"/>
      <c r="L388" s="665"/>
      <c r="M388" s="663"/>
      <c r="N388" s="665"/>
      <c r="O388" s="665"/>
      <c r="P388" s="665"/>
      <c r="Q388" s="665"/>
      <c r="R388" s="665"/>
      <c r="S388" s="665"/>
      <c r="T388" s="673"/>
      <c r="U388" s="673"/>
      <c r="V388" s="673"/>
      <c r="W388" s="673"/>
      <c r="X388" s="673"/>
      <c r="Y388" s="673"/>
      <c r="Z388" s="673"/>
      <c r="AA388" s="673"/>
      <c r="AB388" s="673"/>
      <c r="AC388" s="673"/>
      <c r="AD388" s="673"/>
      <c r="AE388" s="673"/>
      <c r="AF388" s="673"/>
      <c r="AG388" s="673"/>
      <c r="AH388" s="673"/>
    </row>
    <row r="389">
      <c r="A389" s="653"/>
      <c r="B389" s="654"/>
      <c r="C389" s="691"/>
      <c r="D389" s="661"/>
      <c r="E389" s="705"/>
      <c r="F389" s="659"/>
      <c r="G389" s="661"/>
      <c r="H389" s="660"/>
      <c r="I389" s="691"/>
      <c r="J389" s="661"/>
      <c r="K389" s="706"/>
      <c r="L389" s="665"/>
      <c r="M389" s="663"/>
      <c r="N389" s="665"/>
      <c r="O389" s="665"/>
      <c r="P389" s="665"/>
      <c r="Q389" s="665"/>
      <c r="R389" s="665"/>
      <c r="S389" s="665"/>
      <c r="T389" s="673"/>
      <c r="U389" s="673"/>
      <c r="V389" s="673"/>
      <c r="W389" s="673"/>
      <c r="X389" s="673"/>
      <c r="Y389" s="673"/>
      <c r="Z389" s="673"/>
      <c r="AA389" s="673"/>
      <c r="AB389" s="673"/>
      <c r="AC389" s="673"/>
      <c r="AD389" s="673"/>
      <c r="AE389" s="673"/>
      <c r="AF389" s="673"/>
      <c r="AG389" s="673"/>
      <c r="AH389" s="673"/>
    </row>
    <row r="390">
      <c r="A390" s="653"/>
      <c r="B390" s="654"/>
      <c r="C390" s="691"/>
      <c r="D390" s="661"/>
      <c r="E390" s="705"/>
      <c r="F390" s="659"/>
      <c r="G390" s="661"/>
      <c r="H390" s="660"/>
      <c r="I390" s="691"/>
      <c r="J390" s="661"/>
      <c r="K390" s="706"/>
      <c r="L390" s="665"/>
      <c r="M390" s="663"/>
      <c r="N390" s="665"/>
      <c r="O390" s="665"/>
      <c r="P390" s="665"/>
      <c r="Q390" s="665"/>
      <c r="R390" s="665"/>
      <c r="S390" s="665"/>
      <c r="T390" s="673"/>
      <c r="U390" s="673"/>
      <c r="V390" s="673"/>
      <c r="W390" s="673"/>
      <c r="X390" s="673"/>
      <c r="Y390" s="673"/>
      <c r="Z390" s="673"/>
      <c r="AA390" s="673"/>
      <c r="AB390" s="673"/>
      <c r="AC390" s="673"/>
      <c r="AD390" s="673"/>
      <c r="AE390" s="673"/>
      <c r="AF390" s="673"/>
      <c r="AG390" s="673"/>
      <c r="AH390" s="673"/>
    </row>
    <row r="391">
      <c r="A391" s="653"/>
      <c r="B391" s="654"/>
      <c r="C391" s="691"/>
      <c r="D391" s="661"/>
      <c r="E391" s="705"/>
      <c r="F391" s="659"/>
      <c r="G391" s="661"/>
      <c r="H391" s="660"/>
      <c r="I391" s="691"/>
      <c r="J391" s="661"/>
      <c r="K391" s="706"/>
      <c r="L391" s="665"/>
      <c r="M391" s="663"/>
      <c r="N391" s="665"/>
      <c r="O391" s="665"/>
      <c r="P391" s="665"/>
      <c r="Q391" s="665"/>
      <c r="R391" s="665"/>
      <c r="S391" s="665"/>
      <c r="T391" s="673"/>
      <c r="U391" s="673"/>
      <c r="V391" s="673"/>
      <c r="W391" s="673"/>
      <c r="X391" s="673"/>
      <c r="Y391" s="673"/>
      <c r="Z391" s="673"/>
      <c r="AA391" s="673"/>
      <c r="AB391" s="673"/>
      <c r="AC391" s="673"/>
      <c r="AD391" s="673"/>
      <c r="AE391" s="673"/>
      <c r="AF391" s="673"/>
      <c r="AG391" s="673"/>
      <c r="AH391" s="673"/>
    </row>
    <row r="392">
      <c r="A392" s="653"/>
      <c r="B392" s="654"/>
      <c r="C392" s="691"/>
      <c r="D392" s="661"/>
      <c r="E392" s="705"/>
      <c r="F392" s="659"/>
      <c r="G392" s="661"/>
      <c r="H392" s="660"/>
      <c r="I392" s="691"/>
      <c r="J392" s="661"/>
      <c r="K392" s="706"/>
      <c r="L392" s="665"/>
      <c r="M392" s="663"/>
      <c r="N392" s="665"/>
      <c r="O392" s="665"/>
      <c r="P392" s="665"/>
      <c r="Q392" s="665"/>
      <c r="R392" s="665"/>
      <c r="S392" s="665"/>
      <c r="T392" s="673"/>
      <c r="U392" s="673"/>
      <c r="V392" s="673"/>
      <c r="W392" s="673"/>
      <c r="X392" s="673"/>
      <c r="Y392" s="673"/>
      <c r="Z392" s="673"/>
      <c r="AA392" s="673"/>
      <c r="AB392" s="673"/>
      <c r="AC392" s="673"/>
      <c r="AD392" s="673"/>
      <c r="AE392" s="673"/>
      <c r="AF392" s="673"/>
      <c r="AG392" s="673"/>
      <c r="AH392" s="673"/>
    </row>
    <row r="393">
      <c r="A393" s="653"/>
      <c r="B393" s="654"/>
      <c r="C393" s="691"/>
      <c r="D393" s="661"/>
      <c r="E393" s="705"/>
      <c r="F393" s="659"/>
      <c r="G393" s="661"/>
      <c r="H393" s="660"/>
      <c r="I393" s="691"/>
      <c r="J393" s="661"/>
      <c r="K393" s="706"/>
      <c r="L393" s="665"/>
      <c r="M393" s="663"/>
      <c r="N393" s="665"/>
      <c r="O393" s="665"/>
      <c r="P393" s="665"/>
      <c r="Q393" s="665"/>
      <c r="R393" s="665"/>
      <c r="S393" s="665"/>
      <c r="T393" s="673"/>
      <c r="U393" s="673"/>
      <c r="V393" s="673"/>
      <c r="W393" s="673"/>
      <c r="X393" s="673"/>
      <c r="Y393" s="673"/>
      <c r="Z393" s="673"/>
      <c r="AA393" s="673"/>
      <c r="AB393" s="673"/>
      <c r="AC393" s="673"/>
      <c r="AD393" s="673"/>
      <c r="AE393" s="673"/>
      <c r="AF393" s="673"/>
      <c r="AG393" s="673"/>
      <c r="AH393" s="673"/>
    </row>
    <row r="394">
      <c r="A394" s="653"/>
      <c r="B394" s="654"/>
      <c r="C394" s="691"/>
      <c r="D394" s="661"/>
      <c r="E394" s="705"/>
      <c r="F394" s="659"/>
      <c r="G394" s="661"/>
      <c r="H394" s="660"/>
      <c r="I394" s="691"/>
      <c r="J394" s="661"/>
      <c r="K394" s="706"/>
      <c r="L394" s="665"/>
      <c r="M394" s="663"/>
      <c r="N394" s="665"/>
      <c r="O394" s="665"/>
      <c r="P394" s="665"/>
      <c r="Q394" s="665"/>
      <c r="R394" s="665"/>
      <c r="S394" s="665"/>
      <c r="T394" s="673"/>
      <c r="U394" s="673"/>
      <c r="V394" s="673"/>
      <c r="W394" s="673"/>
      <c r="X394" s="673"/>
      <c r="Y394" s="673"/>
      <c r="Z394" s="673"/>
      <c r="AA394" s="673"/>
      <c r="AB394" s="673"/>
      <c r="AC394" s="673"/>
      <c r="AD394" s="673"/>
      <c r="AE394" s="673"/>
      <c r="AF394" s="673"/>
      <c r="AG394" s="673"/>
      <c r="AH394" s="673"/>
    </row>
    <row r="395">
      <c r="A395" s="653"/>
      <c r="B395" s="654"/>
      <c r="C395" s="691"/>
      <c r="D395" s="661"/>
      <c r="E395" s="705"/>
      <c r="F395" s="659"/>
      <c r="G395" s="661"/>
      <c r="H395" s="660"/>
      <c r="I395" s="691"/>
      <c r="J395" s="661"/>
      <c r="K395" s="706"/>
      <c r="L395" s="665"/>
      <c r="M395" s="663"/>
      <c r="N395" s="665"/>
      <c r="O395" s="665"/>
      <c r="P395" s="665"/>
      <c r="Q395" s="665"/>
      <c r="R395" s="665"/>
      <c r="S395" s="665"/>
      <c r="T395" s="673"/>
      <c r="U395" s="673"/>
      <c r="V395" s="673"/>
      <c r="W395" s="673"/>
      <c r="X395" s="673"/>
      <c r="Y395" s="673"/>
      <c r="Z395" s="673"/>
      <c r="AA395" s="673"/>
      <c r="AB395" s="673"/>
      <c r="AC395" s="673"/>
      <c r="AD395" s="673"/>
      <c r="AE395" s="673"/>
      <c r="AF395" s="673"/>
      <c r="AG395" s="673"/>
      <c r="AH395" s="673"/>
    </row>
    <row r="396">
      <c r="A396" s="653"/>
      <c r="B396" s="654"/>
      <c r="C396" s="691"/>
      <c r="D396" s="661"/>
      <c r="E396" s="705"/>
      <c r="F396" s="659"/>
      <c r="G396" s="661"/>
      <c r="H396" s="660"/>
      <c r="I396" s="691"/>
      <c r="J396" s="661"/>
      <c r="K396" s="706"/>
      <c r="L396" s="665"/>
      <c r="M396" s="663"/>
      <c r="N396" s="665"/>
      <c r="O396" s="665"/>
      <c r="P396" s="665"/>
      <c r="Q396" s="665"/>
      <c r="R396" s="665"/>
      <c r="S396" s="665"/>
      <c r="T396" s="673"/>
      <c r="U396" s="673"/>
      <c r="V396" s="673"/>
      <c r="W396" s="673"/>
      <c r="X396" s="673"/>
      <c r="Y396" s="673"/>
      <c r="Z396" s="673"/>
      <c r="AA396" s="673"/>
      <c r="AB396" s="673"/>
      <c r="AC396" s="673"/>
      <c r="AD396" s="673"/>
      <c r="AE396" s="673"/>
      <c r="AF396" s="673"/>
      <c r="AG396" s="673"/>
      <c r="AH396" s="673"/>
    </row>
    <row r="397">
      <c r="A397" s="653"/>
      <c r="B397" s="654"/>
      <c r="C397" s="691"/>
      <c r="D397" s="661"/>
      <c r="E397" s="705"/>
      <c r="F397" s="659"/>
      <c r="G397" s="661"/>
      <c r="H397" s="660"/>
      <c r="I397" s="691"/>
      <c r="J397" s="661"/>
      <c r="K397" s="706"/>
      <c r="L397" s="665"/>
      <c r="M397" s="663"/>
      <c r="N397" s="665"/>
      <c r="O397" s="665"/>
      <c r="P397" s="665"/>
      <c r="Q397" s="665"/>
      <c r="R397" s="665"/>
      <c r="S397" s="665"/>
      <c r="T397" s="673"/>
      <c r="U397" s="673"/>
      <c r="V397" s="673"/>
      <c r="W397" s="673"/>
      <c r="X397" s="673"/>
      <c r="Y397" s="673"/>
      <c r="Z397" s="673"/>
      <c r="AA397" s="673"/>
      <c r="AB397" s="673"/>
      <c r="AC397" s="673"/>
      <c r="AD397" s="673"/>
      <c r="AE397" s="673"/>
      <c r="AF397" s="673"/>
      <c r="AG397" s="673"/>
      <c r="AH397" s="673"/>
    </row>
    <row r="398">
      <c r="A398" s="653"/>
      <c r="B398" s="654"/>
      <c r="C398" s="691"/>
      <c r="D398" s="661"/>
      <c r="E398" s="705"/>
      <c r="F398" s="659"/>
      <c r="G398" s="661"/>
      <c r="H398" s="660"/>
      <c r="I398" s="691"/>
      <c r="J398" s="661"/>
      <c r="K398" s="706"/>
      <c r="L398" s="665"/>
      <c r="M398" s="663"/>
      <c r="N398" s="665"/>
      <c r="O398" s="665"/>
      <c r="P398" s="665"/>
      <c r="Q398" s="665"/>
      <c r="R398" s="665"/>
      <c r="S398" s="665"/>
      <c r="T398" s="673"/>
      <c r="U398" s="673"/>
      <c r="V398" s="673"/>
      <c r="W398" s="673"/>
      <c r="X398" s="673"/>
      <c r="Y398" s="673"/>
      <c r="Z398" s="673"/>
      <c r="AA398" s="673"/>
      <c r="AB398" s="673"/>
      <c r="AC398" s="673"/>
      <c r="AD398" s="673"/>
      <c r="AE398" s="673"/>
      <c r="AF398" s="673"/>
      <c r="AG398" s="673"/>
      <c r="AH398" s="673"/>
    </row>
    <row r="399">
      <c r="A399" s="653"/>
      <c r="B399" s="654"/>
      <c r="C399" s="691"/>
      <c r="D399" s="661"/>
      <c r="E399" s="705"/>
      <c r="F399" s="659"/>
      <c r="G399" s="661"/>
      <c r="H399" s="660"/>
      <c r="I399" s="691"/>
      <c r="J399" s="661"/>
      <c r="K399" s="706"/>
      <c r="L399" s="665"/>
      <c r="M399" s="663"/>
      <c r="N399" s="665"/>
      <c r="O399" s="665"/>
      <c r="P399" s="665"/>
      <c r="Q399" s="665"/>
      <c r="R399" s="665"/>
      <c r="S399" s="665"/>
      <c r="T399" s="673"/>
      <c r="U399" s="673"/>
      <c r="V399" s="673"/>
      <c r="W399" s="673"/>
      <c r="X399" s="673"/>
      <c r="Y399" s="673"/>
      <c r="Z399" s="673"/>
      <c r="AA399" s="673"/>
      <c r="AB399" s="673"/>
      <c r="AC399" s="673"/>
      <c r="AD399" s="673"/>
      <c r="AE399" s="673"/>
      <c r="AF399" s="673"/>
      <c r="AG399" s="673"/>
      <c r="AH399" s="673"/>
    </row>
    <row r="400">
      <c r="A400" s="653"/>
      <c r="B400" s="654"/>
      <c r="C400" s="691"/>
      <c r="D400" s="661"/>
      <c r="E400" s="705"/>
      <c r="F400" s="659"/>
      <c r="G400" s="661"/>
      <c r="H400" s="660"/>
      <c r="I400" s="691"/>
      <c r="J400" s="661"/>
      <c r="K400" s="706"/>
      <c r="L400" s="665"/>
      <c r="M400" s="663"/>
      <c r="N400" s="665"/>
      <c r="O400" s="665"/>
      <c r="P400" s="665"/>
      <c r="Q400" s="665"/>
      <c r="R400" s="665"/>
      <c r="S400" s="665"/>
      <c r="T400" s="673"/>
      <c r="U400" s="673"/>
      <c r="V400" s="673"/>
      <c r="W400" s="673"/>
      <c r="X400" s="673"/>
      <c r="Y400" s="673"/>
      <c r="Z400" s="673"/>
      <c r="AA400" s="673"/>
      <c r="AB400" s="673"/>
      <c r="AC400" s="673"/>
      <c r="AD400" s="673"/>
      <c r="AE400" s="673"/>
      <c r="AF400" s="673"/>
      <c r="AG400" s="673"/>
      <c r="AH400" s="673"/>
    </row>
    <row r="401">
      <c r="A401" s="653"/>
      <c r="B401" s="654"/>
      <c r="C401" s="691"/>
      <c r="D401" s="661"/>
      <c r="E401" s="705"/>
      <c r="F401" s="659"/>
      <c r="G401" s="661"/>
      <c r="H401" s="660"/>
      <c r="I401" s="691"/>
      <c r="J401" s="661"/>
      <c r="K401" s="706"/>
      <c r="L401" s="665"/>
      <c r="M401" s="663"/>
      <c r="N401" s="665"/>
      <c r="O401" s="665"/>
      <c r="P401" s="665"/>
      <c r="Q401" s="665"/>
      <c r="R401" s="665"/>
      <c r="S401" s="665"/>
      <c r="T401" s="673"/>
      <c r="U401" s="673"/>
      <c r="V401" s="673"/>
      <c r="W401" s="673"/>
      <c r="X401" s="673"/>
      <c r="Y401" s="673"/>
      <c r="Z401" s="673"/>
      <c r="AA401" s="673"/>
      <c r="AB401" s="673"/>
      <c r="AC401" s="673"/>
      <c r="AD401" s="673"/>
      <c r="AE401" s="673"/>
      <c r="AF401" s="673"/>
      <c r="AG401" s="673"/>
      <c r="AH401" s="673"/>
    </row>
    <row r="402">
      <c r="A402" s="653"/>
      <c r="B402" s="654"/>
      <c r="C402" s="691"/>
      <c r="D402" s="661"/>
      <c r="E402" s="705"/>
      <c r="F402" s="659"/>
      <c r="G402" s="661"/>
      <c r="H402" s="660"/>
      <c r="I402" s="691"/>
      <c r="J402" s="661"/>
      <c r="K402" s="706"/>
      <c r="L402" s="665"/>
      <c r="M402" s="663"/>
      <c r="N402" s="665"/>
      <c r="O402" s="665"/>
      <c r="P402" s="665"/>
      <c r="Q402" s="665"/>
      <c r="R402" s="665"/>
      <c r="S402" s="665"/>
      <c r="T402" s="673"/>
      <c r="U402" s="673"/>
      <c r="V402" s="673"/>
      <c r="W402" s="673"/>
      <c r="X402" s="673"/>
      <c r="Y402" s="673"/>
      <c r="Z402" s="673"/>
      <c r="AA402" s="673"/>
      <c r="AB402" s="673"/>
      <c r="AC402" s="673"/>
      <c r="AD402" s="673"/>
      <c r="AE402" s="673"/>
      <c r="AF402" s="673"/>
      <c r="AG402" s="673"/>
      <c r="AH402" s="673"/>
    </row>
    <row r="403">
      <c r="A403" s="653"/>
      <c r="B403" s="654"/>
      <c r="C403" s="691"/>
      <c r="D403" s="661"/>
      <c r="E403" s="705"/>
      <c r="F403" s="659"/>
      <c r="G403" s="661"/>
      <c r="H403" s="660"/>
      <c r="I403" s="691"/>
      <c r="J403" s="661"/>
      <c r="K403" s="706"/>
      <c r="L403" s="665"/>
      <c r="M403" s="663"/>
      <c r="N403" s="665"/>
      <c r="O403" s="665"/>
      <c r="P403" s="665"/>
      <c r="Q403" s="665"/>
      <c r="R403" s="665"/>
      <c r="S403" s="665"/>
      <c r="T403" s="673"/>
      <c r="U403" s="673"/>
      <c r="V403" s="673"/>
      <c r="W403" s="673"/>
      <c r="X403" s="673"/>
      <c r="Y403" s="673"/>
      <c r="Z403" s="673"/>
      <c r="AA403" s="673"/>
      <c r="AB403" s="673"/>
      <c r="AC403" s="673"/>
      <c r="AD403" s="673"/>
      <c r="AE403" s="673"/>
      <c r="AF403" s="673"/>
      <c r="AG403" s="673"/>
      <c r="AH403" s="673"/>
    </row>
    <row r="404">
      <c r="A404" s="653"/>
      <c r="B404" s="654"/>
      <c r="C404" s="691"/>
      <c r="D404" s="661"/>
      <c r="E404" s="705"/>
      <c r="F404" s="659"/>
      <c r="G404" s="661"/>
      <c r="H404" s="660"/>
      <c r="I404" s="691"/>
      <c r="J404" s="661"/>
      <c r="K404" s="706"/>
      <c r="L404" s="665"/>
      <c r="M404" s="663"/>
      <c r="N404" s="665"/>
      <c r="O404" s="665"/>
      <c r="P404" s="665"/>
      <c r="Q404" s="665"/>
      <c r="R404" s="665"/>
      <c r="S404" s="665"/>
      <c r="T404" s="673"/>
      <c r="U404" s="673"/>
      <c r="V404" s="673"/>
      <c r="W404" s="673"/>
      <c r="X404" s="673"/>
      <c r="Y404" s="673"/>
      <c r="Z404" s="673"/>
      <c r="AA404" s="673"/>
      <c r="AB404" s="673"/>
      <c r="AC404" s="673"/>
      <c r="AD404" s="673"/>
      <c r="AE404" s="673"/>
      <c r="AF404" s="673"/>
      <c r="AG404" s="673"/>
      <c r="AH404" s="673"/>
    </row>
    <row r="405">
      <c r="A405" s="653"/>
      <c r="B405" s="654"/>
      <c r="C405" s="691"/>
      <c r="D405" s="661"/>
      <c r="E405" s="705"/>
      <c r="F405" s="659"/>
      <c r="G405" s="661"/>
      <c r="H405" s="660"/>
      <c r="I405" s="691"/>
      <c r="J405" s="661"/>
      <c r="K405" s="706"/>
      <c r="L405" s="665"/>
      <c r="M405" s="663"/>
      <c r="N405" s="665"/>
      <c r="O405" s="665"/>
      <c r="P405" s="665"/>
      <c r="Q405" s="665"/>
      <c r="R405" s="665"/>
      <c r="S405" s="665"/>
      <c r="T405" s="673"/>
      <c r="U405" s="673"/>
      <c r="V405" s="673"/>
      <c r="W405" s="673"/>
      <c r="X405" s="673"/>
      <c r="Y405" s="673"/>
      <c r="Z405" s="673"/>
      <c r="AA405" s="673"/>
      <c r="AB405" s="673"/>
      <c r="AC405" s="673"/>
      <c r="AD405" s="673"/>
      <c r="AE405" s="673"/>
      <c r="AF405" s="673"/>
      <c r="AG405" s="673"/>
      <c r="AH405" s="673"/>
    </row>
    <row r="406">
      <c r="A406" s="653"/>
      <c r="B406" s="654"/>
      <c r="C406" s="691"/>
      <c r="D406" s="661"/>
      <c r="E406" s="705"/>
      <c r="F406" s="659"/>
      <c r="G406" s="661"/>
      <c r="H406" s="660"/>
      <c r="I406" s="691"/>
      <c r="J406" s="661"/>
      <c r="K406" s="706"/>
      <c r="L406" s="665"/>
      <c r="M406" s="663"/>
      <c r="N406" s="665"/>
      <c r="O406" s="665"/>
      <c r="P406" s="665"/>
      <c r="Q406" s="665"/>
      <c r="R406" s="665"/>
      <c r="S406" s="665"/>
      <c r="T406" s="673"/>
      <c r="U406" s="673"/>
      <c r="V406" s="673"/>
      <c r="W406" s="673"/>
      <c r="X406" s="673"/>
      <c r="Y406" s="673"/>
      <c r="Z406" s="673"/>
      <c r="AA406" s="673"/>
      <c r="AB406" s="673"/>
      <c r="AC406" s="673"/>
      <c r="AD406" s="673"/>
      <c r="AE406" s="673"/>
      <c r="AF406" s="673"/>
      <c r="AG406" s="673"/>
      <c r="AH406" s="673"/>
    </row>
    <row r="407">
      <c r="A407" s="653"/>
      <c r="B407" s="654"/>
      <c r="C407" s="691"/>
      <c r="D407" s="661"/>
      <c r="E407" s="705"/>
      <c r="F407" s="659"/>
      <c r="G407" s="661"/>
      <c r="H407" s="660"/>
      <c r="I407" s="691"/>
      <c r="J407" s="661"/>
      <c r="K407" s="706"/>
      <c r="L407" s="665"/>
      <c r="M407" s="663"/>
      <c r="N407" s="665"/>
      <c r="O407" s="665"/>
      <c r="P407" s="665"/>
      <c r="Q407" s="665"/>
      <c r="R407" s="665"/>
      <c r="S407" s="665"/>
      <c r="T407" s="673"/>
      <c r="U407" s="673"/>
      <c r="V407" s="673"/>
      <c r="W407" s="673"/>
      <c r="X407" s="673"/>
      <c r="Y407" s="673"/>
      <c r="Z407" s="673"/>
      <c r="AA407" s="673"/>
      <c r="AB407" s="673"/>
      <c r="AC407" s="673"/>
      <c r="AD407" s="673"/>
      <c r="AE407" s="673"/>
      <c r="AF407" s="673"/>
      <c r="AG407" s="673"/>
      <c r="AH407" s="673"/>
    </row>
    <row r="408">
      <c r="A408" s="653"/>
      <c r="B408" s="654"/>
      <c r="C408" s="691"/>
      <c r="D408" s="661"/>
      <c r="E408" s="705"/>
      <c r="F408" s="659"/>
      <c r="G408" s="661"/>
      <c r="H408" s="660"/>
      <c r="I408" s="691"/>
      <c r="J408" s="661"/>
      <c r="K408" s="706"/>
      <c r="L408" s="665"/>
      <c r="M408" s="663"/>
      <c r="N408" s="665"/>
      <c r="O408" s="665"/>
      <c r="P408" s="665"/>
      <c r="Q408" s="665"/>
      <c r="R408" s="665"/>
      <c r="S408" s="665"/>
      <c r="T408" s="673"/>
      <c r="U408" s="673"/>
      <c r="V408" s="673"/>
      <c r="W408" s="673"/>
      <c r="X408" s="673"/>
      <c r="Y408" s="673"/>
      <c r="Z408" s="673"/>
      <c r="AA408" s="673"/>
      <c r="AB408" s="673"/>
      <c r="AC408" s="673"/>
      <c r="AD408" s="673"/>
      <c r="AE408" s="673"/>
      <c r="AF408" s="673"/>
      <c r="AG408" s="673"/>
      <c r="AH408" s="673"/>
    </row>
    <row r="409">
      <c r="A409" s="653"/>
      <c r="B409" s="654"/>
      <c r="C409" s="691"/>
      <c r="D409" s="661"/>
      <c r="E409" s="705"/>
      <c r="F409" s="659"/>
      <c r="G409" s="661"/>
      <c r="H409" s="660"/>
      <c r="I409" s="691"/>
      <c r="J409" s="661"/>
      <c r="K409" s="706"/>
      <c r="L409" s="665"/>
      <c r="M409" s="663"/>
      <c r="N409" s="665"/>
      <c r="O409" s="665"/>
      <c r="P409" s="665"/>
      <c r="Q409" s="665"/>
      <c r="R409" s="665"/>
      <c r="S409" s="665"/>
      <c r="T409" s="673"/>
      <c r="U409" s="673"/>
      <c r="V409" s="673"/>
      <c r="W409" s="673"/>
      <c r="X409" s="673"/>
      <c r="Y409" s="673"/>
      <c r="Z409" s="673"/>
      <c r="AA409" s="673"/>
      <c r="AB409" s="673"/>
      <c r="AC409" s="673"/>
      <c r="AD409" s="673"/>
      <c r="AE409" s="673"/>
      <c r="AF409" s="673"/>
      <c r="AG409" s="673"/>
      <c r="AH409" s="673"/>
    </row>
    <row r="410">
      <c r="A410" s="653"/>
      <c r="B410" s="654"/>
      <c r="C410" s="691"/>
      <c r="D410" s="661"/>
      <c r="E410" s="705"/>
      <c r="F410" s="659"/>
      <c r="G410" s="661"/>
      <c r="H410" s="660"/>
      <c r="I410" s="691"/>
      <c r="J410" s="661"/>
      <c r="K410" s="706"/>
      <c r="L410" s="665"/>
      <c r="M410" s="663"/>
      <c r="N410" s="665"/>
      <c r="O410" s="665"/>
      <c r="P410" s="665"/>
      <c r="Q410" s="665"/>
      <c r="R410" s="665"/>
      <c r="S410" s="665"/>
      <c r="T410" s="673"/>
      <c r="U410" s="673"/>
      <c r="V410" s="673"/>
      <c r="W410" s="673"/>
      <c r="X410" s="673"/>
      <c r="Y410" s="673"/>
      <c r="Z410" s="673"/>
      <c r="AA410" s="673"/>
      <c r="AB410" s="673"/>
      <c r="AC410" s="673"/>
      <c r="AD410" s="673"/>
      <c r="AE410" s="673"/>
      <c r="AF410" s="673"/>
      <c r="AG410" s="673"/>
      <c r="AH410" s="673"/>
    </row>
    <row r="411">
      <c r="A411" s="653"/>
      <c r="B411" s="654"/>
      <c r="C411" s="691"/>
      <c r="D411" s="661"/>
      <c r="E411" s="705"/>
      <c r="F411" s="659"/>
      <c r="G411" s="661"/>
      <c r="H411" s="660"/>
      <c r="I411" s="691"/>
      <c r="J411" s="661"/>
      <c r="K411" s="706"/>
      <c r="L411" s="665"/>
      <c r="M411" s="663"/>
      <c r="N411" s="665"/>
      <c r="O411" s="665"/>
      <c r="P411" s="665"/>
      <c r="Q411" s="665"/>
      <c r="R411" s="665"/>
      <c r="S411" s="665"/>
      <c r="T411" s="673"/>
      <c r="U411" s="673"/>
      <c r="V411" s="673"/>
      <c r="W411" s="673"/>
      <c r="X411" s="673"/>
      <c r="Y411" s="673"/>
      <c r="Z411" s="673"/>
      <c r="AA411" s="673"/>
      <c r="AB411" s="673"/>
      <c r="AC411" s="673"/>
      <c r="AD411" s="673"/>
      <c r="AE411" s="673"/>
      <c r="AF411" s="673"/>
      <c r="AG411" s="673"/>
      <c r="AH411" s="673"/>
    </row>
    <row r="412">
      <c r="A412" s="653"/>
      <c r="B412" s="654"/>
      <c r="C412" s="691"/>
      <c r="D412" s="661"/>
      <c r="E412" s="705"/>
      <c r="F412" s="659"/>
      <c r="G412" s="661"/>
      <c r="H412" s="660"/>
      <c r="I412" s="691"/>
      <c r="J412" s="661"/>
      <c r="K412" s="706"/>
      <c r="L412" s="665"/>
      <c r="M412" s="663"/>
      <c r="N412" s="665"/>
      <c r="O412" s="665"/>
      <c r="P412" s="665"/>
      <c r="Q412" s="665"/>
      <c r="R412" s="665"/>
      <c r="S412" s="665"/>
      <c r="T412" s="673"/>
      <c r="U412" s="673"/>
      <c r="V412" s="673"/>
      <c r="W412" s="673"/>
      <c r="X412" s="673"/>
      <c r="Y412" s="673"/>
      <c r="Z412" s="673"/>
      <c r="AA412" s="673"/>
      <c r="AB412" s="673"/>
      <c r="AC412" s="673"/>
      <c r="AD412" s="673"/>
      <c r="AE412" s="673"/>
      <c r="AF412" s="673"/>
      <c r="AG412" s="673"/>
      <c r="AH412" s="673"/>
    </row>
    <row r="413">
      <c r="A413" s="653"/>
      <c r="B413" s="654"/>
      <c r="C413" s="691"/>
      <c r="D413" s="661"/>
      <c r="E413" s="705"/>
      <c r="F413" s="659"/>
      <c r="G413" s="661"/>
      <c r="H413" s="660"/>
      <c r="I413" s="691"/>
      <c r="J413" s="661"/>
      <c r="K413" s="706"/>
      <c r="L413" s="665"/>
      <c r="M413" s="663"/>
      <c r="N413" s="665"/>
      <c r="O413" s="665"/>
      <c r="P413" s="665"/>
      <c r="Q413" s="665"/>
      <c r="R413" s="665"/>
      <c r="S413" s="665"/>
      <c r="T413" s="673"/>
      <c r="U413" s="673"/>
      <c r="V413" s="673"/>
      <c r="W413" s="673"/>
      <c r="X413" s="673"/>
      <c r="Y413" s="673"/>
      <c r="Z413" s="673"/>
      <c r="AA413" s="673"/>
      <c r="AB413" s="673"/>
      <c r="AC413" s="673"/>
      <c r="AD413" s="673"/>
      <c r="AE413" s="673"/>
      <c r="AF413" s="673"/>
      <c r="AG413" s="673"/>
      <c r="AH413" s="673"/>
    </row>
    <row r="414">
      <c r="A414" s="653"/>
      <c r="B414" s="654"/>
      <c r="C414" s="691"/>
      <c r="D414" s="661"/>
      <c r="E414" s="705"/>
      <c r="F414" s="659"/>
      <c r="G414" s="661"/>
      <c r="H414" s="660"/>
      <c r="I414" s="691"/>
      <c r="J414" s="661"/>
      <c r="K414" s="706"/>
      <c r="L414" s="665"/>
      <c r="M414" s="663"/>
      <c r="N414" s="665"/>
      <c r="O414" s="665"/>
      <c r="P414" s="665"/>
      <c r="Q414" s="665"/>
      <c r="R414" s="665"/>
      <c r="S414" s="665"/>
      <c r="T414" s="673"/>
      <c r="U414" s="673"/>
      <c r="V414" s="673"/>
      <c r="W414" s="673"/>
      <c r="X414" s="673"/>
      <c r="Y414" s="673"/>
      <c r="Z414" s="673"/>
      <c r="AA414" s="673"/>
      <c r="AB414" s="673"/>
      <c r="AC414" s="673"/>
      <c r="AD414" s="673"/>
      <c r="AE414" s="673"/>
      <c r="AF414" s="673"/>
      <c r="AG414" s="673"/>
      <c r="AH414" s="673"/>
    </row>
    <row r="415">
      <c r="A415" s="653"/>
      <c r="B415" s="654"/>
      <c r="C415" s="691"/>
      <c r="D415" s="661"/>
      <c r="E415" s="705"/>
      <c r="F415" s="659"/>
      <c r="G415" s="661"/>
      <c r="H415" s="660"/>
      <c r="I415" s="691"/>
      <c r="J415" s="661"/>
      <c r="K415" s="706"/>
      <c r="L415" s="665"/>
      <c r="M415" s="663"/>
      <c r="N415" s="665"/>
      <c r="O415" s="665"/>
      <c r="P415" s="665"/>
      <c r="Q415" s="665"/>
      <c r="R415" s="665"/>
      <c r="S415" s="665"/>
      <c r="T415" s="673"/>
      <c r="U415" s="673"/>
      <c r="V415" s="673"/>
      <c r="W415" s="673"/>
      <c r="X415" s="673"/>
      <c r="Y415" s="673"/>
      <c r="Z415" s="673"/>
      <c r="AA415" s="673"/>
      <c r="AB415" s="673"/>
      <c r="AC415" s="673"/>
      <c r="AD415" s="673"/>
      <c r="AE415" s="673"/>
      <c r="AF415" s="673"/>
      <c r="AG415" s="673"/>
      <c r="AH415" s="673"/>
    </row>
    <row r="416">
      <c r="A416" s="653"/>
      <c r="B416" s="654"/>
      <c r="C416" s="691"/>
      <c r="D416" s="661"/>
      <c r="E416" s="705"/>
      <c r="F416" s="659"/>
      <c r="G416" s="661"/>
      <c r="H416" s="660"/>
      <c r="I416" s="691"/>
      <c r="J416" s="661"/>
      <c r="K416" s="706"/>
      <c r="L416" s="665"/>
      <c r="M416" s="663"/>
      <c r="N416" s="665"/>
      <c r="O416" s="665"/>
      <c r="P416" s="665"/>
      <c r="Q416" s="665"/>
      <c r="R416" s="665"/>
      <c r="S416" s="665"/>
      <c r="T416" s="673"/>
      <c r="U416" s="673"/>
      <c r="V416" s="673"/>
      <c r="W416" s="673"/>
      <c r="X416" s="673"/>
      <c r="Y416" s="673"/>
      <c r="Z416" s="673"/>
      <c r="AA416" s="673"/>
      <c r="AB416" s="673"/>
      <c r="AC416" s="673"/>
      <c r="AD416" s="673"/>
      <c r="AE416" s="673"/>
      <c r="AF416" s="673"/>
      <c r="AG416" s="673"/>
      <c r="AH416" s="673"/>
    </row>
    <row r="417">
      <c r="A417" s="653"/>
      <c r="B417" s="654"/>
      <c r="C417" s="691"/>
      <c r="D417" s="661"/>
      <c r="E417" s="705"/>
      <c r="F417" s="659"/>
      <c r="G417" s="661"/>
      <c r="H417" s="660"/>
      <c r="I417" s="691"/>
      <c r="J417" s="661"/>
      <c r="K417" s="706"/>
      <c r="L417" s="665"/>
      <c r="M417" s="663"/>
      <c r="N417" s="665"/>
      <c r="O417" s="665"/>
      <c r="P417" s="665"/>
      <c r="Q417" s="665"/>
      <c r="R417" s="665"/>
      <c r="S417" s="665"/>
      <c r="T417" s="673"/>
      <c r="U417" s="673"/>
      <c r="V417" s="673"/>
      <c r="W417" s="673"/>
      <c r="X417" s="673"/>
      <c r="Y417" s="673"/>
      <c r="Z417" s="673"/>
      <c r="AA417" s="673"/>
      <c r="AB417" s="673"/>
      <c r="AC417" s="673"/>
      <c r="AD417" s="673"/>
      <c r="AE417" s="673"/>
      <c r="AF417" s="673"/>
      <c r="AG417" s="673"/>
      <c r="AH417" s="673"/>
    </row>
    <row r="418">
      <c r="A418" s="653"/>
      <c r="B418" s="654"/>
      <c r="C418" s="691"/>
      <c r="D418" s="661"/>
      <c r="E418" s="705"/>
      <c r="F418" s="659"/>
      <c r="G418" s="661"/>
      <c r="H418" s="660"/>
      <c r="I418" s="691"/>
      <c r="J418" s="661"/>
      <c r="K418" s="706"/>
      <c r="L418" s="665"/>
      <c r="M418" s="663"/>
      <c r="N418" s="665"/>
      <c r="O418" s="665"/>
      <c r="P418" s="665"/>
      <c r="Q418" s="665"/>
      <c r="R418" s="665"/>
      <c r="S418" s="665"/>
      <c r="T418" s="673"/>
      <c r="U418" s="673"/>
      <c r="V418" s="673"/>
      <c r="W418" s="673"/>
      <c r="X418" s="673"/>
      <c r="Y418" s="673"/>
      <c r="Z418" s="673"/>
      <c r="AA418" s="673"/>
      <c r="AB418" s="673"/>
      <c r="AC418" s="673"/>
      <c r="AD418" s="673"/>
      <c r="AE418" s="673"/>
      <c r="AF418" s="673"/>
      <c r="AG418" s="673"/>
      <c r="AH418" s="673"/>
    </row>
    <row r="419">
      <c r="A419" s="653"/>
      <c r="B419" s="654"/>
      <c r="C419" s="691"/>
      <c r="D419" s="661"/>
      <c r="E419" s="705"/>
      <c r="F419" s="659"/>
      <c r="G419" s="661"/>
      <c r="H419" s="660"/>
      <c r="I419" s="691"/>
      <c r="J419" s="661"/>
      <c r="K419" s="706"/>
      <c r="L419" s="665"/>
      <c r="M419" s="663"/>
      <c r="N419" s="665"/>
      <c r="O419" s="665"/>
      <c r="P419" s="665"/>
      <c r="Q419" s="665"/>
      <c r="R419" s="665"/>
      <c r="S419" s="665"/>
      <c r="T419" s="673"/>
      <c r="U419" s="673"/>
      <c r="V419" s="673"/>
      <c r="W419" s="673"/>
      <c r="X419" s="673"/>
      <c r="Y419" s="673"/>
      <c r="Z419" s="673"/>
      <c r="AA419" s="673"/>
      <c r="AB419" s="673"/>
      <c r="AC419" s="673"/>
      <c r="AD419" s="673"/>
      <c r="AE419" s="673"/>
      <c r="AF419" s="673"/>
      <c r="AG419" s="673"/>
      <c r="AH419" s="673"/>
    </row>
    <row r="420">
      <c r="A420" s="653"/>
      <c r="B420" s="654"/>
      <c r="C420" s="691"/>
      <c r="D420" s="661"/>
      <c r="E420" s="705"/>
      <c r="F420" s="659"/>
      <c r="G420" s="661"/>
      <c r="H420" s="660"/>
      <c r="I420" s="691"/>
      <c r="J420" s="661"/>
      <c r="K420" s="706"/>
      <c r="L420" s="665"/>
      <c r="M420" s="663"/>
      <c r="N420" s="665"/>
      <c r="O420" s="665"/>
      <c r="P420" s="665"/>
      <c r="Q420" s="665"/>
      <c r="R420" s="665"/>
      <c r="S420" s="665"/>
      <c r="T420" s="673"/>
      <c r="U420" s="673"/>
      <c r="V420" s="673"/>
      <c r="W420" s="673"/>
      <c r="X420" s="673"/>
      <c r="Y420" s="673"/>
      <c r="Z420" s="673"/>
      <c r="AA420" s="673"/>
      <c r="AB420" s="673"/>
      <c r="AC420" s="673"/>
      <c r="AD420" s="673"/>
      <c r="AE420" s="673"/>
      <c r="AF420" s="673"/>
      <c r="AG420" s="673"/>
      <c r="AH420" s="673"/>
    </row>
    <row r="421">
      <c r="A421" s="653"/>
      <c r="B421" s="654"/>
      <c r="C421" s="691"/>
      <c r="D421" s="661"/>
      <c r="E421" s="705"/>
      <c r="F421" s="659"/>
      <c r="G421" s="661"/>
      <c r="H421" s="660"/>
      <c r="I421" s="691"/>
      <c r="J421" s="661"/>
      <c r="K421" s="706"/>
      <c r="L421" s="665"/>
      <c r="M421" s="663"/>
      <c r="N421" s="665"/>
      <c r="O421" s="665"/>
      <c r="P421" s="665"/>
      <c r="Q421" s="665"/>
      <c r="R421" s="665"/>
      <c r="S421" s="665"/>
      <c r="T421" s="673"/>
      <c r="U421" s="673"/>
      <c r="V421" s="673"/>
      <c r="W421" s="673"/>
      <c r="X421" s="673"/>
      <c r="Y421" s="673"/>
      <c r="Z421" s="673"/>
      <c r="AA421" s="673"/>
      <c r="AB421" s="673"/>
      <c r="AC421" s="673"/>
      <c r="AD421" s="673"/>
      <c r="AE421" s="673"/>
      <c r="AF421" s="673"/>
      <c r="AG421" s="673"/>
      <c r="AH421" s="673"/>
    </row>
    <row r="422">
      <c r="A422" s="653"/>
      <c r="B422" s="654"/>
      <c r="C422" s="691"/>
      <c r="D422" s="661"/>
      <c r="E422" s="705"/>
      <c r="F422" s="659"/>
      <c r="G422" s="661"/>
      <c r="H422" s="660"/>
      <c r="I422" s="691"/>
      <c r="J422" s="661"/>
      <c r="K422" s="706"/>
      <c r="L422" s="665"/>
      <c r="M422" s="663"/>
      <c r="N422" s="665"/>
      <c r="O422" s="665"/>
      <c r="P422" s="665"/>
      <c r="Q422" s="665"/>
      <c r="R422" s="665"/>
      <c r="S422" s="665"/>
      <c r="T422" s="673"/>
      <c r="U422" s="673"/>
      <c r="V422" s="673"/>
      <c r="W422" s="673"/>
      <c r="X422" s="673"/>
      <c r="Y422" s="673"/>
      <c r="Z422" s="673"/>
      <c r="AA422" s="673"/>
      <c r="AB422" s="673"/>
      <c r="AC422" s="673"/>
      <c r="AD422" s="673"/>
      <c r="AE422" s="673"/>
      <c r="AF422" s="673"/>
      <c r="AG422" s="673"/>
      <c r="AH422" s="673"/>
    </row>
    <row r="423">
      <c r="A423" s="653"/>
      <c r="B423" s="654"/>
      <c r="C423" s="691"/>
      <c r="D423" s="661"/>
      <c r="E423" s="705"/>
      <c r="F423" s="659"/>
      <c r="G423" s="661"/>
      <c r="H423" s="660"/>
      <c r="I423" s="691"/>
      <c r="J423" s="661"/>
      <c r="K423" s="706"/>
      <c r="L423" s="665"/>
      <c r="M423" s="663"/>
      <c r="N423" s="665"/>
      <c r="O423" s="665"/>
      <c r="P423" s="665"/>
      <c r="Q423" s="665"/>
      <c r="R423" s="665"/>
      <c r="S423" s="665"/>
      <c r="T423" s="673"/>
      <c r="U423" s="673"/>
      <c r="V423" s="673"/>
      <c r="W423" s="673"/>
      <c r="X423" s="673"/>
      <c r="Y423" s="673"/>
      <c r="Z423" s="673"/>
      <c r="AA423" s="673"/>
      <c r="AB423" s="673"/>
      <c r="AC423" s="673"/>
      <c r="AD423" s="673"/>
      <c r="AE423" s="673"/>
      <c r="AF423" s="673"/>
      <c r="AG423" s="673"/>
      <c r="AH423" s="673"/>
    </row>
    <row r="424">
      <c r="A424" s="653"/>
      <c r="B424" s="654"/>
      <c r="C424" s="691"/>
      <c r="D424" s="661"/>
      <c r="E424" s="705"/>
      <c r="F424" s="659"/>
      <c r="G424" s="661"/>
      <c r="H424" s="660"/>
      <c r="I424" s="691"/>
      <c r="J424" s="661"/>
      <c r="K424" s="706"/>
      <c r="L424" s="665"/>
      <c r="M424" s="663"/>
      <c r="N424" s="665"/>
      <c r="O424" s="665"/>
      <c r="P424" s="665"/>
      <c r="Q424" s="665"/>
      <c r="R424" s="665"/>
      <c r="S424" s="665"/>
      <c r="T424" s="673"/>
      <c r="U424" s="673"/>
      <c r="V424" s="673"/>
      <c r="W424" s="673"/>
      <c r="X424" s="673"/>
      <c r="Y424" s="673"/>
      <c r="Z424" s="673"/>
      <c r="AA424" s="673"/>
      <c r="AB424" s="673"/>
      <c r="AC424" s="673"/>
      <c r="AD424" s="673"/>
      <c r="AE424" s="673"/>
      <c r="AF424" s="673"/>
      <c r="AG424" s="673"/>
      <c r="AH424" s="673"/>
    </row>
    <row r="425">
      <c r="A425" s="653"/>
      <c r="B425" s="654"/>
      <c r="C425" s="691"/>
      <c r="D425" s="661"/>
      <c r="E425" s="705"/>
      <c r="F425" s="659"/>
      <c r="G425" s="661"/>
      <c r="H425" s="660"/>
      <c r="I425" s="691"/>
      <c r="J425" s="661"/>
      <c r="K425" s="706"/>
      <c r="L425" s="665"/>
      <c r="M425" s="663"/>
      <c r="N425" s="665"/>
      <c r="O425" s="665"/>
      <c r="P425" s="665"/>
      <c r="Q425" s="665"/>
      <c r="R425" s="665"/>
      <c r="S425" s="665"/>
      <c r="T425" s="673"/>
      <c r="U425" s="673"/>
      <c r="V425" s="673"/>
      <c r="W425" s="673"/>
      <c r="X425" s="673"/>
      <c r="Y425" s="673"/>
      <c r="Z425" s="673"/>
      <c r="AA425" s="673"/>
      <c r="AB425" s="673"/>
      <c r="AC425" s="673"/>
      <c r="AD425" s="673"/>
      <c r="AE425" s="673"/>
      <c r="AF425" s="673"/>
      <c r="AG425" s="673"/>
      <c r="AH425" s="673"/>
    </row>
    <row r="426">
      <c r="A426" s="653"/>
      <c r="B426" s="654"/>
      <c r="C426" s="691"/>
      <c r="D426" s="661"/>
      <c r="E426" s="705"/>
      <c r="F426" s="659"/>
      <c r="G426" s="661"/>
      <c r="H426" s="660"/>
      <c r="I426" s="691"/>
      <c r="J426" s="661"/>
      <c r="K426" s="706"/>
      <c r="L426" s="665"/>
      <c r="M426" s="663"/>
      <c r="N426" s="665"/>
      <c r="O426" s="665"/>
      <c r="P426" s="665"/>
      <c r="Q426" s="665"/>
      <c r="R426" s="665"/>
      <c r="S426" s="665"/>
      <c r="T426" s="673"/>
      <c r="U426" s="673"/>
      <c r="V426" s="673"/>
      <c r="W426" s="673"/>
      <c r="X426" s="673"/>
      <c r="Y426" s="673"/>
      <c r="Z426" s="673"/>
      <c r="AA426" s="673"/>
      <c r="AB426" s="673"/>
      <c r="AC426" s="673"/>
      <c r="AD426" s="673"/>
      <c r="AE426" s="673"/>
      <c r="AF426" s="673"/>
      <c r="AG426" s="673"/>
      <c r="AH426" s="673"/>
    </row>
    <row r="427">
      <c r="A427" s="653"/>
      <c r="B427" s="654"/>
      <c r="C427" s="691"/>
      <c r="D427" s="661"/>
      <c r="E427" s="705"/>
      <c r="F427" s="659"/>
      <c r="G427" s="661"/>
      <c r="H427" s="660"/>
      <c r="I427" s="691"/>
      <c r="J427" s="661"/>
      <c r="K427" s="706"/>
      <c r="L427" s="665"/>
      <c r="M427" s="663"/>
      <c r="N427" s="665"/>
      <c r="O427" s="665"/>
      <c r="P427" s="665"/>
      <c r="Q427" s="665"/>
      <c r="R427" s="665"/>
      <c r="S427" s="665"/>
      <c r="T427" s="673"/>
      <c r="U427" s="673"/>
      <c r="V427" s="673"/>
      <c r="W427" s="673"/>
      <c r="X427" s="673"/>
      <c r="Y427" s="673"/>
      <c r="Z427" s="673"/>
      <c r="AA427" s="673"/>
      <c r="AB427" s="673"/>
      <c r="AC427" s="673"/>
      <c r="AD427" s="673"/>
      <c r="AE427" s="673"/>
      <c r="AF427" s="673"/>
      <c r="AG427" s="673"/>
      <c r="AH427" s="673"/>
    </row>
    <row r="428">
      <c r="A428" s="653"/>
      <c r="B428" s="654"/>
      <c r="C428" s="691"/>
      <c r="D428" s="661"/>
      <c r="E428" s="705"/>
      <c r="F428" s="659"/>
      <c r="G428" s="661"/>
      <c r="H428" s="660"/>
      <c r="I428" s="691"/>
      <c r="J428" s="661"/>
      <c r="K428" s="706"/>
      <c r="L428" s="665"/>
      <c r="M428" s="663"/>
      <c r="N428" s="665"/>
      <c r="O428" s="665"/>
      <c r="P428" s="665"/>
      <c r="Q428" s="665"/>
      <c r="R428" s="665"/>
      <c r="S428" s="665"/>
      <c r="T428" s="673"/>
      <c r="U428" s="673"/>
      <c r="V428" s="673"/>
      <c r="W428" s="673"/>
      <c r="X428" s="673"/>
      <c r="Y428" s="673"/>
      <c r="Z428" s="673"/>
      <c r="AA428" s="673"/>
      <c r="AB428" s="673"/>
      <c r="AC428" s="673"/>
      <c r="AD428" s="673"/>
      <c r="AE428" s="673"/>
      <c r="AF428" s="673"/>
      <c r="AG428" s="673"/>
      <c r="AH428" s="673"/>
    </row>
    <row r="429">
      <c r="A429" s="653"/>
      <c r="B429" s="654"/>
      <c r="C429" s="691"/>
      <c r="D429" s="661"/>
      <c r="E429" s="705"/>
      <c r="F429" s="659"/>
      <c r="G429" s="661"/>
      <c r="H429" s="660"/>
      <c r="I429" s="691"/>
      <c r="J429" s="661"/>
      <c r="K429" s="706"/>
      <c r="L429" s="665"/>
      <c r="M429" s="663"/>
      <c r="N429" s="665"/>
      <c r="O429" s="665"/>
      <c r="P429" s="665"/>
      <c r="Q429" s="665"/>
      <c r="R429" s="665"/>
      <c r="S429" s="665"/>
      <c r="T429" s="673"/>
      <c r="U429" s="673"/>
      <c r="V429" s="673"/>
      <c r="W429" s="673"/>
      <c r="X429" s="673"/>
      <c r="Y429" s="673"/>
      <c r="Z429" s="673"/>
      <c r="AA429" s="673"/>
      <c r="AB429" s="673"/>
      <c r="AC429" s="673"/>
      <c r="AD429" s="673"/>
      <c r="AE429" s="673"/>
      <c r="AF429" s="673"/>
      <c r="AG429" s="673"/>
      <c r="AH429" s="673"/>
    </row>
    <row r="430">
      <c r="A430" s="653"/>
      <c r="B430" s="654"/>
      <c r="C430" s="691"/>
      <c r="D430" s="661"/>
      <c r="E430" s="705"/>
      <c r="F430" s="659"/>
      <c r="G430" s="661"/>
      <c r="H430" s="660"/>
      <c r="I430" s="691"/>
      <c r="J430" s="661"/>
      <c r="K430" s="706"/>
      <c r="L430" s="665"/>
      <c r="M430" s="663"/>
      <c r="N430" s="665"/>
      <c r="O430" s="665"/>
      <c r="P430" s="665"/>
      <c r="Q430" s="665"/>
      <c r="R430" s="665"/>
      <c r="S430" s="665"/>
      <c r="T430" s="673"/>
      <c r="U430" s="673"/>
      <c r="V430" s="673"/>
      <c r="W430" s="673"/>
      <c r="X430" s="673"/>
      <c r="Y430" s="673"/>
      <c r="Z430" s="673"/>
      <c r="AA430" s="673"/>
      <c r="AB430" s="673"/>
      <c r="AC430" s="673"/>
      <c r="AD430" s="673"/>
      <c r="AE430" s="673"/>
      <c r="AF430" s="673"/>
      <c r="AG430" s="673"/>
      <c r="AH430" s="673"/>
    </row>
    <row r="431">
      <c r="A431" s="653"/>
      <c r="B431" s="654"/>
      <c r="C431" s="691"/>
      <c r="D431" s="661"/>
      <c r="E431" s="705"/>
      <c r="F431" s="659"/>
      <c r="G431" s="661"/>
      <c r="H431" s="660"/>
      <c r="I431" s="691"/>
      <c r="J431" s="661"/>
      <c r="K431" s="706"/>
      <c r="L431" s="665"/>
      <c r="M431" s="663"/>
      <c r="N431" s="665"/>
      <c r="O431" s="665"/>
      <c r="P431" s="665"/>
      <c r="Q431" s="665"/>
      <c r="R431" s="665"/>
      <c r="S431" s="665"/>
      <c r="T431" s="673"/>
      <c r="U431" s="673"/>
      <c r="V431" s="673"/>
      <c r="W431" s="673"/>
      <c r="X431" s="673"/>
      <c r="Y431" s="673"/>
      <c r="Z431" s="673"/>
      <c r="AA431" s="673"/>
      <c r="AB431" s="673"/>
      <c r="AC431" s="673"/>
      <c r="AD431" s="673"/>
      <c r="AE431" s="673"/>
      <c r="AF431" s="673"/>
      <c r="AG431" s="673"/>
      <c r="AH431" s="673"/>
    </row>
    <row r="432">
      <c r="A432" s="653"/>
      <c r="B432" s="654"/>
      <c r="C432" s="691"/>
      <c r="D432" s="661"/>
      <c r="E432" s="705"/>
      <c r="F432" s="659"/>
      <c r="G432" s="661"/>
      <c r="H432" s="660"/>
      <c r="I432" s="691"/>
      <c r="J432" s="661"/>
      <c r="K432" s="706"/>
      <c r="L432" s="665"/>
      <c r="M432" s="663"/>
      <c r="N432" s="665"/>
      <c r="O432" s="665"/>
      <c r="P432" s="665"/>
      <c r="Q432" s="665"/>
      <c r="R432" s="665"/>
      <c r="S432" s="665"/>
      <c r="T432" s="673"/>
      <c r="U432" s="673"/>
      <c r="V432" s="673"/>
      <c r="W432" s="673"/>
      <c r="X432" s="673"/>
      <c r="Y432" s="673"/>
      <c r="Z432" s="673"/>
      <c r="AA432" s="673"/>
      <c r="AB432" s="673"/>
      <c r="AC432" s="673"/>
      <c r="AD432" s="673"/>
      <c r="AE432" s="673"/>
      <c r="AF432" s="673"/>
      <c r="AG432" s="673"/>
      <c r="AH432" s="673"/>
    </row>
    <row r="433">
      <c r="A433" s="653"/>
      <c r="B433" s="654"/>
      <c r="C433" s="691"/>
      <c r="D433" s="661"/>
      <c r="E433" s="705"/>
      <c r="F433" s="659"/>
      <c r="G433" s="661"/>
      <c r="H433" s="660"/>
      <c r="I433" s="691"/>
      <c r="J433" s="661"/>
      <c r="K433" s="706"/>
      <c r="L433" s="665"/>
      <c r="M433" s="663"/>
      <c r="N433" s="665"/>
      <c r="O433" s="665"/>
      <c r="P433" s="665"/>
      <c r="Q433" s="665"/>
      <c r="R433" s="665"/>
      <c r="S433" s="665"/>
      <c r="T433" s="673"/>
      <c r="U433" s="673"/>
      <c r="V433" s="673"/>
      <c r="W433" s="673"/>
      <c r="X433" s="673"/>
      <c r="Y433" s="673"/>
      <c r="Z433" s="673"/>
      <c r="AA433" s="673"/>
      <c r="AB433" s="673"/>
      <c r="AC433" s="673"/>
      <c r="AD433" s="673"/>
      <c r="AE433" s="673"/>
      <c r="AF433" s="673"/>
      <c r="AG433" s="673"/>
      <c r="AH433" s="673"/>
    </row>
    <row r="434">
      <c r="A434" s="653"/>
      <c r="B434" s="654"/>
      <c r="C434" s="691"/>
      <c r="D434" s="661"/>
      <c r="E434" s="705"/>
      <c r="F434" s="659"/>
      <c r="G434" s="661"/>
      <c r="H434" s="660"/>
      <c r="I434" s="691"/>
      <c r="J434" s="661"/>
      <c r="K434" s="706"/>
      <c r="L434" s="665"/>
      <c r="M434" s="663"/>
      <c r="N434" s="665"/>
      <c r="O434" s="665"/>
      <c r="P434" s="665"/>
      <c r="Q434" s="665"/>
      <c r="R434" s="665"/>
      <c r="S434" s="665"/>
      <c r="T434" s="673"/>
      <c r="U434" s="673"/>
      <c r="V434" s="673"/>
      <c r="W434" s="673"/>
      <c r="X434" s="673"/>
      <c r="Y434" s="673"/>
      <c r="Z434" s="673"/>
      <c r="AA434" s="673"/>
      <c r="AB434" s="673"/>
      <c r="AC434" s="673"/>
      <c r="AD434" s="673"/>
      <c r="AE434" s="673"/>
      <c r="AF434" s="673"/>
      <c r="AG434" s="673"/>
      <c r="AH434" s="673"/>
    </row>
    <row r="435">
      <c r="A435" s="653"/>
      <c r="B435" s="654"/>
      <c r="C435" s="691"/>
      <c r="D435" s="661"/>
      <c r="E435" s="705"/>
      <c r="F435" s="659"/>
      <c r="G435" s="661"/>
      <c r="H435" s="660"/>
      <c r="I435" s="691"/>
      <c r="J435" s="661"/>
      <c r="K435" s="706"/>
      <c r="L435" s="665"/>
      <c r="M435" s="663"/>
      <c r="N435" s="665"/>
      <c r="O435" s="665"/>
      <c r="P435" s="665"/>
      <c r="Q435" s="665"/>
      <c r="R435" s="665"/>
      <c r="S435" s="665"/>
      <c r="T435" s="673"/>
      <c r="U435" s="673"/>
      <c r="V435" s="673"/>
      <c r="W435" s="673"/>
      <c r="X435" s="673"/>
      <c r="Y435" s="673"/>
      <c r="Z435" s="673"/>
      <c r="AA435" s="673"/>
      <c r="AB435" s="673"/>
      <c r="AC435" s="673"/>
      <c r="AD435" s="673"/>
      <c r="AE435" s="673"/>
      <c r="AF435" s="673"/>
      <c r="AG435" s="673"/>
      <c r="AH435" s="673"/>
    </row>
    <row r="436">
      <c r="A436" s="653"/>
      <c r="B436" s="654"/>
      <c r="C436" s="691"/>
      <c r="D436" s="661"/>
      <c r="E436" s="705"/>
      <c r="F436" s="659"/>
      <c r="G436" s="661"/>
      <c r="H436" s="660"/>
      <c r="I436" s="691"/>
      <c r="J436" s="661"/>
      <c r="K436" s="706"/>
      <c r="L436" s="665"/>
      <c r="M436" s="663"/>
      <c r="N436" s="665"/>
      <c r="O436" s="665"/>
      <c r="P436" s="665"/>
      <c r="Q436" s="665"/>
      <c r="R436" s="665"/>
      <c r="S436" s="665"/>
      <c r="T436" s="673"/>
      <c r="U436" s="673"/>
      <c r="V436" s="673"/>
      <c r="W436" s="673"/>
      <c r="X436" s="673"/>
      <c r="Y436" s="673"/>
      <c r="Z436" s="673"/>
      <c r="AA436" s="673"/>
      <c r="AB436" s="673"/>
      <c r="AC436" s="673"/>
      <c r="AD436" s="673"/>
      <c r="AE436" s="673"/>
      <c r="AF436" s="673"/>
      <c r="AG436" s="673"/>
      <c r="AH436" s="673"/>
    </row>
    <row r="437">
      <c r="A437" s="653"/>
      <c r="B437" s="654"/>
      <c r="C437" s="691"/>
      <c r="D437" s="661"/>
      <c r="E437" s="705"/>
      <c r="F437" s="659"/>
      <c r="G437" s="661"/>
      <c r="H437" s="660"/>
      <c r="I437" s="691"/>
      <c r="J437" s="661"/>
      <c r="K437" s="706"/>
      <c r="L437" s="665"/>
      <c r="M437" s="663"/>
      <c r="N437" s="665"/>
      <c r="O437" s="665"/>
      <c r="P437" s="665"/>
      <c r="Q437" s="665"/>
      <c r="R437" s="665"/>
      <c r="S437" s="665"/>
      <c r="T437" s="673"/>
      <c r="U437" s="673"/>
      <c r="V437" s="673"/>
      <c r="W437" s="673"/>
      <c r="X437" s="673"/>
      <c r="Y437" s="673"/>
      <c r="Z437" s="673"/>
      <c r="AA437" s="673"/>
      <c r="AB437" s="673"/>
      <c r="AC437" s="673"/>
      <c r="AD437" s="673"/>
      <c r="AE437" s="673"/>
      <c r="AF437" s="673"/>
      <c r="AG437" s="673"/>
      <c r="AH437" s="673"/>
    </row>
    <row r="438">
      <c r="A438" s="653"/>
      <c r="B438" s="654"/>
      <c r="C438" s="691"/>
      <c r="D438" s="661"/>
      <c r="E438" s="705"/>
      <c r="F438" s="659"/>
      <c r="G438" s="661"/>
      <c r="H438" s="660"/>
      <c r="I438" s="691"/>
      <c r="J438" s="661"/>
      <c r="K438" s="706"/>
      <c r="L438" s="665"/>
      <c r="M438" s="663"/>
      <c r="N438" s="665"/>
      <c r="O438" s="665"/>
      <c r="P438" s="665"/>
      <c r="Q438" s="665"/>
      <c r="R438" s="665"/>
      <c r="S438" s="665"/>
      <c r="T438" s="673"/>
      <c r="U438" s="673"/>
      <c r="V438" s="673"/>
      <c r="W438" s="673"/>
      <c r="X438" s="673"/>
      <c r="Y438" s="673"/>
      <c r="Z438" s="673"/>
      <c r="AA438" s="673"/>
      <c r="AB438" s="673"/>
      <c r="AC438" s="673"/>
      <c r="AD438" s="673"/>
      <c r="AE438" s="673"/>
      <c r="AF438" s="673"/>
      <c r="AG438" s="673"/>
      <c r="AH438" s="673"/>
    </row>
    <row r="439">
      <c r="A439" s="653"/>
      <c r="B439" s="654"/>
      <c r="C439" s="691"/>
      <c r="D439" s="661"/>
      <c r="E439" s="705"/>
      <c r="F439" s="659"/>
      <c r="G439" s="661"/>
      <c r="H439" s="660"/>
      <c r="I439" s="691"/>
      <c r="J439" s="661"/>
      <c r="K439" s="706"/>
      <c r="L439" s="665"/>
      <c r="M439" s="663"/>
      <c r="N439" s="665"/>
      <c r="O439" s="665"/>
      <c r="P439" s="665"/>
      <c r="Q439" s="665"/>
      <c r="R439" s="665"/>
      <c r="S439" s="665"/>
      <c r="T439" s="673"/>
      <c r="U439" s="673"/>
      <c r="V439" s="673"/>
      <c r="W439" s="673"/>
      <c r="X439" s="673"/>
      <c r="Y439" s="673"/>
      <c r="Z439" s="673"/>
      <c r="AA439" s="673"/>
      <c r="AB439" s="673"/>
      <c r="AC439" s="673"/>
      <c r="AD439" s="673"/>
      <c r="AE439" s="673"/>
      <c r="AF439" s="673"/>
      <c r="AG439" s="673"/>
      <c r="AH439" s="673"/>
    </row>
    <row r="440">
      <c r="A440" s="653"/>
      <c r="B440" s="654"/>
      <c r="C440" s="691"/>
      <c r="D440" s="661"/>
      <c r="E440" s="705"/>
      <c r="F440" s="659"/>
      <c r="G440" s="661"/>
      <c r="H440" s="660"/>
      <c r="I440" s="691"/>
      <c r="J440" s="661"/>
      <c r="K440" s="706"/>
      <c r="L440" s="665"/>
      <c r="M440" s="663"/>
      <c r="N440" s="665"/>
      <c r="O440" s="665"/>
      <c r="P440" s="665"/>
      <c r="Q440" s="665"/>
      <c r="R440" s="665"/>
      <c r="S440" s="665"/>
      <c r="T440" s="673"/>
      <c r="U440" s="673"/>
      <c r="V440" s="673"/>
      <c r="W440" s="673"/>
      <c r="X440" s="673"/>
      <c r="Y440" s="673"/>
      <c r="Z440" s="673"/>
      <c r="AA440" s="673"/>
      <c r="AB440" s="673"/>
      <c r="AC440" s="673"/>
      <c r="AD440" s="673"/>
      <c r="AE440" s="673"/>
      <c r="AF440" s="673"/>
      <c r="AG440" s="673"/>
      <c r="AH440" s="673"/>
    </row>
    <row r="441">
      <c r="A441" s="653"/>
      <c r="B441" s="654"/>
      <c r="C441" s="691"/>
      <c r="D441" s="661"/>
      <c r="E441" s="705"/>
      <c r="F441" s="659"/>
      <c r="G441" s="661"/>
      <c r="H441" s="660"/>
      <c r="I441" s="691"/>
      <c r="J441" s="661"/>
      <c r="K441" s="706"/>
      <c r="L441" s="665"/>
      <c r="M441" s="663"/>
      <c r="N441" s="665"/>
      <c r="O441" s="665"/>
      <c r="P441" s="665"/>
      <c r="Q441" s="665"/>
      <c r="R441" s="665"/>
      <c r="S441" s="665"/>
      <c r="T441" s="673"/>
      <c r="U441" s="673"/>
      <c r="V441" s="673"/>
      <c r="W441" s="673"/>
      <c r="X441" s="673"/>
      <c r="Y441" s="673"/>
      <c r="Z441" s="673"/>
      <c r="AA441" s="673"/>
      <c r="AB441" s="673"/>
      <c r="AC441" s="673"/>
      <c r="AD441" s="673"/>
      <c r="AE441" s="673"/>
      <c r="AF441" s="673"/>
      <c r="AG441" s="673"/>
      <c r="AH441" s="673"/>
    </row>
    <row r="442">
      <c r="A442" s="653"/>
      <c r="B442" s="654"/>
      <c r="C442" s="691"/>
      <c r="D442" s="661"/>
      <c r="E442" s="705"/>
      <c r="F442" s="659"/>
      <c r="G442" s="661"/>
      <c r="H442" s="660"/>
      <c r="I442" s="691"/>
      <c r="J442" s="661"/>
      <c r="K442" s="706"/>
      <c r="L442" s="665"/>
      <c r="M442" s="663"/>
      <c r="N442" s="665"/>
      <c r="O442" s="665"/>
      <c r="P442" s="665"/>
      <c r="Q442" s="665"/>
      <c r="R442" s="665"/>
      <c r="S442" s="665"/>
      <c r="T442" s="673"/>
      <c r="U442" s="673"/>
      <c r="V442" s="673"/>
      <c r="W442" s="673"/>
      <c r="X442" s="673"/>
      <c r="Y442" s="673"/>
      <c r="Z442" s="673"/>
      <c r="AA442" s="673"/>
      <c r="AB442" s="673"/>
      <c r="AC442" s="673"/>
      <c r="AD442" s="673"/>
      <c r="AE442" s="673"/>
      <c r="AF442" s="673"/>
      <c r="AG442" s="673"/>
      <c r="AH442" s="673"/>
    </row>
    <row r="443">
      <c r="A443" s="653"/>
      <c r="B443" s="654"/>
      <c r="C443" s="691"/>
      <c r="D443" s="661"/>
      <c r="E443" s="705"/>
      <c r="F443" s="659"/>
      <c r="G443" s="661"/>
      <c r="H443" s="660"/>
      <c r="I443" s="691"/>
      <c r="J443" s="661"/>
      <c r="K443" s="706"/>
      <c r="L443" s="665"/>
      <c r="M443" s="663"/>
      <c r="N443" s="665"/>
      <c r="O443" s="665"/>
      <c r="P443" s="665"/>
      <c r="Q443" s="665"/>
      <c r="R443" s="665"/>
      <c r="S443" s="665"/>
      <c r="T443" s="673"/>
      <c r="U443" s="673"/>
      <c r="V443" s="673"/>
      <c r="W443" s="673"/>
      <c r="X443" s="673"/>
      <c r="Y443" s="673"/>
      <c r="Z443" s="673"/>
      <c r="AA443" s="673"/>
      <c r="AB443" s="673"/>
      <c r="AC443" s="673"/>
      <c r="AD443" s="673"/>
      <c r="AE443" s="673"/>
      <c r="AF443" s="673"/>
      <c r="AG443" s="673"/>
      <c r="AH443" s="673"/>
    </row>
    <row r="444">
      <c r="A444" s="653"/>
      <c r="B444" s="654"/>
      <c r="C444" s="691"/>
      <c r="D444" s="661"/>
      <c r="E444" s="705"/>
      <c r="F444" s="659"/>
      <c r="G444" s="661"/>
      <c r="H444" s="660"/>
      <c r="I444" s="691"/>
      <c r="J444" s="661"/>
      <c r="K444" s="706"/>
      <c r="L444" s="665"/>
      <c r="M444" s="663"/>
      <c r="N444" s="665"/>
      <c r="O444" s="665"/>
      <c r="P444" s="665"/>
      <c r="Q444" s="665"/>
      <c r="R444" s="665"/>
      <c r="S444" s="665"/>
      <c r="T444" s="673"/>
      <c r="U444" s="673"/>
      <c r="V444" s="673"/>
      <c r="W444" s="673"/>
      <c r="X444" s="673"/>
      <c r="Y444" s="673"/>
      <c r="Z444" s="673"/>
      <c r="AA444" s="673"/>
      <c r="AB444" s="673"/>
      <c r="AC444" s="673"/>
      <c r="AD444" s="673"/>
      <c r="AE444" s="673"/>
      <c r="AF444" s="673"/>
      <c r="AG444" s="673"/>
      <c r="AH444" s="673"/>
    </row>
    <row r="445">
      <c r="A445" s="653"/>
      <c r="B445" s="654"/>
      <c r="C445" s="691"/>
      <c r="D445" s="661"/>
      <c r="E445" s="705"/>
      <c r="F445" s="659"/>
      <c r="G445" s="661"/>
      <c r="H445" s="660"/>
      <c r="I445" s="691"/>
      <c r="J445" s="661"/>
      <c r="K445" s="706"/>
      <c r="L445" s="665"/>
      <c r="M445" s="663"/>
      <c r="N445" s="665"/>
      <c r="O445" s="665"/>
      <c r="P445" s="665"/>
      <c r="Q445" s="665"/>
      <c r="R445" s="665"/>
      <c r="S445" s="665"/>
      <c r="T445" s="673"/>
      <c r="U445" s="673"/>
      <c r="V445" s="673"/>
      <c r="W445" s="673"/>
      <c r="X445" s="673"/>
      <c r="Y445" s="673"/>
      <c r="Z445" s="673"/>
      <c r="AA445" s="673"/>
      <c r="AB445" s="673"/>
      <c r="AC445" s="673"/>
      <c r="AD445" s="673"/>
      <c r="AE445" s="673"/>
      <c r="AF445" s="673"/>
      <c r="AG445" s="673"/>
      <c r="AH445" s="673"/>
    </row>
    <row r="446">
      <c r="A446" s="653"/>
      <c r="B446" s="654"/>
      <c r="C446" s="691"/>
      <c r="D446" s="661"/>
      <c r="E446" s="705"/>
      <c r="F446" s="659"/>
      <c r="G446" s="661"/>
      <c r="H446" s="660"/>
      <c r="I446" s="691"/>
      <c r="J446" s="661"/>
      <c r="K446" s="706"/>
      <c r="L446" s="665"/>
      <c r="M446" s="663"/>
      <c r="N446" s="665"/>
      <c r="O446" s="665"/>
      <c r="P446" s="665"/>
      <c r="Q446" s="665"/>
      <c r="R446" s="665"/>
      <c r="S446" s="665"/>
      <c r="T446" s="673"/>
      <c r="U446" s="673"/>
      <c r="V446" s="673"/>
      <c r="W446" s="673"/>
      <c r="X446" s="673"/>
      <c r="Y446" s="673"/>
      <c r="Z446" s="673"/>
      <c r="AA446" s="673"/>
      <c r="AB446" s="673"/>
      <c r="AC446" s="673"/>
      <c r="AD446" s="673"/>
      <c r="AE446" s="673"/>
      <c r="AF446" s="673"/>
      <c r="AG446" s="673"/>
      <c r="AH446" s="673"/>
    </row>
    <row r="447">
      <c r="A447" s="653"/>
      <c r="B447" s="654"/>
      <c r="C447" s="691"/>
      <c r="D447" s="661"/>
      <c r="E447" s="705"/>
      <c r="F447" s="659"/>
      <c r="G447" s="661"/>
      <c r="H447" s="660"/>
      <c r="I447" s="691"/>
      <c r="J447" s="661"/>
      <c r="K447" s="706"/>
      <c r="L447" s="665"/>
      <c r="M447" s="663"/>
      <c r="N447" s="665"/>
      <c r="O447" s="665"/>
      <c r="P447" s="665"/>
      <c r="Q447" s="665"/>
      <c r="R447" s="665"/>
      <c r="S447" s="665"/>
      <c r="T447" s="673"/>
      <c r="U447" s="673"/>
      <c r="V447" s="673"/>
      <c r="W447" s="673"/>
      <c r="X447" s="673"/>
      <c r="Y447" s="673"/>
      <c r="Z447" s="673"/>
      <c r="AA447" s="673"/>
      <c r="AB447" s="673"/>
      <c r="AC447" s="673"/>
      <c r="AD447" s="673"/>
      <c r="AE447" s="673"/>
      <c r="AF447" s="673"/>
      <c r="AG447" s="673"/>
      <c r="AH447" s="673"/>
    </row>
    <row r="448">
      <c r="A448" s="653"/>
      <c r="B448" s="654"/>
      <c r="C448" s="691"/>
      <c r="D448" s="661"/>
      <c r="E448" s="705"/>
      <c r="F448" s="659"/>
      <c r="G448" s="661"/>
      <c r="H448" s="660"/>
      <c r="I448" s="691"/>
      <c r="J448" s="661"/>
      <c r="K448" s="706"/>
      <c r="L448" s="665"/>
      <c r="M448" s="663"/>
      <c r="N448" s="665"/>
      <c r="O448" s="665"/>
      <c r="P448" s="665"/>
      <c r="Q448" s="665"/>
      <c r="R448" s="665"/>
      <c r="S448" s="665"/>
      <c r="T448" s="673"/>
      <c r="U448" s="673"/>
      <c r="V448" s="673"/>
      <c r="W448" s="673"/>
      <c r="X448" s="673"/>
      <c r="Y448" s="673"/>
      <c r="Z448" s="673"/>
      <c r="AA448" s="673"/>
      <c r="AB448" s="673"/>
      <c r="AC448" s="673"/>
      <c r="AD448" s="673"/>
      <c r="AE448" s="673"/>
      <c r="AF448" s="673"/>
      <c r="AG448" s="673"/>
      <c r="AH448" s="673"/>
    </row>
    <row r="449">
      <c r="A449" s="653"/>
      <c r="B449" s="654"/>
      <c r="C449" s="691"/>
      <c r="D449" s="661"/>
      <c r="E449" s="705"/>
      <c r="F449" s="659"/>
      <c r="G449" s="661"/>
      <c r="H449" s="660"/>
      <c r="I449" s="691"/>
      <c r="J449" s="661"/>
      <c r="K449" s="706"/>
      <c r="L449" s="665"/>
      <c r="M449" s="663"/>
      <c r="N449" s="665"/>
      <c r="O449" s="665"/>
      <c r="P449" s="665"/>
      <c r="Q449" s="665"/>
      <c r="R449" s="665"/>
      <c r="S449" s="665"/>
      <c r="T449" s="673"/>
      <c r="U449" s="673"/>
      <c r="V449" s="673"/>
      <c r="W449" s="673"/>
      <c r="X449" s="673"/>
      <c r="Y449" s="673"/>
      <c r="Z449" s="673"/>
      <c r="AA449" s="673"/>
      <c r="AB449" s="673"/>
      <c r="AC449" s="673"/>
      <c r="AD449" s="673"/>
      <c r="AE449" s="673"/>
      <c r="AF449" s="673"/>
      <c r="AG449" s="673"/>
      <c r="AH449" s="673"/>
    </row>
    <row r="450">
      <c r="A450" s="653"/>
      <c r="B450" s="654"/>
      <c r="C450" s="691"/>
      <c r="D450" s="661"/>
      <c r="E450" s="705"/>
      <c r="F450" s="659"/>
      <c r="G450" s="661"/>
      <c r="H450" s="660"/>
      <c r="I450" s="691"/>
      <c r="J450" s="661"/>
      <c r="K450" s="706"/>
      <c r="L450" s="665"/>
      <c r="M450" s="663"/>
      <c r="N450" s="665"/>
      <c r="O450" s="665"/>
      <c r="P450" s="665"/>
      <c r="Q450" s="665"/>
      <c r="R450" s="665"/>
      <c r="S450" s="665"/>
      <c r="T450" s="673"/>
      <c r="U450" s="673"/>
      <c r="V450" s="673"/>
      <c r="W450" s="673"/>
      <c r="X450" s="673"/>
      <c r="Y450" s="673"/>
      <c r="Z450" s="673"/>
      <c r="AA450" s="673"/>
      <c r="AB450" s="673"/>
      <c r="AC450" s="673"/>
      <c r="AD450" s="673"/>
      <c r="AE450" s="673"/>
      <c r="AF450" s="673"/>
      <c r="AG450" s="673"/>
      <c r="AH450" s="673"/>
    </row>
    <row r="451">
      <c r="A451" s="653"/>
      <c r="B451" s="654"/>
      <c r="C451" s="691"/>
      <c r="D451" s="661"/>
      <c r="E451" s="705"/>
      <c r="F451" s="659"/>
      <c r="G451" s="661"/>
      <c r="H451" s="660"/>
      <c r="I451" s="691"/>
      <c r="J451" s="661"/>
      <c r="K451" s="706"/>
      <c r="L451" s="665"/>
      <c r="M451" s="663"/>
      <c r="N451" s="665"/>
      <c r="O451" s="665"/>
      <c r="P451" s="665"/>
      <c r="Q451" s="665"/>
      <c r="R451" s="665"/>
      <c r="S451" s="665"/>
      <c r="T451" s="673"/>
      <c r="U451" s="673"/>
      <c r="V451" s="673"/>
      <c r="W451" s="673"/>
      <c r="X451" s="673"/>
      <c r="Y451" s="673"/>
      <c r="Z451" s="673"/>
      <c r="AA451" s="673"/>
      <c r="AB451" s="673"/>
      <c r="AC451" s="673"/>
      <c r="AD451" s="673"/>
      <c r="AE451" s="673"/>
      <c r="AF451" s="673"/>
      <c r="AG451" s="673"/>
      <c r="AH451" s="673"/>
    </row>
    <row r="452">
      <c r="A452" s="653"/>
      <c r="B452" s="654"/>
      <c r="C452" s="691"/>
      <c r="D452" s="661"/>
      <c r="E452" s="705"/>
      <c r="F452" s="659"/>
      <c r="G452" s="661"/>
      <c r="H452" s="660"/>
      <c r="I452" s="691"/>
      <c r="J452" s="661"/>
      <c r="K452" s="706"/>
      <c r="L452" s="665"/>
      <c r="M452" s="663"/>
      <c r="N452" s="665"/>
      <c r="O452" s="665"/>
      <c r="P452" s="665"/>
      <c r="Q452" s="665"/>
      <c r="R452" s="665"/>
      <c r="S452" s="665"/>
      <c r="T452" s="673"/>
      <c r="U452" s="673"/>
      <c r="V452" s="673"/>
      <c r="W452" s="673"/>
      <c r="X452" s="673"/>
      <c r="Y452" s="673"/>
      <c r="Z452" s="673"/>
      <c r="AA452" s="673"/>
      <c r="AB452" s="673"/>
      <c r="AC452" s="673"/>
      <c r="AD452" s="673"/>
      <c r="AE452" s="673"/>
      <c r="AF452" s="673"/>
      <c r="AG452" s="673"/>
      <c r="AH452" s="673"/>
    </row>
    <row r="453">
      <c r="A453" s="653"/>
      <c r="B453" s="654"/>
      <c r="C453" s="691"/>
      <c r="D453" s="661"/>
      <c r="E453" s="705"/>
      <c r="F453" s="659"/>
      <c r="G453" s="661"/>
      <c r="H453" s="660"/>
      <c r="I453" s="691"/>
      <c r="J453" s="661"/>
      <c r="K453" s="706"/>
      <c r="L453" s="665"/>
      <c r="M453" s="663"/>
      <c r="N453" s="665"/>
      <c r="O453" s="665"/>
      <c r="P453" s="665"/>
      <c r="Q453" s="665"/>
      <c r="R453" s="665"/>
      <c r="S453" s="665"/>
      <c r="T453" s="673"/>
      <c r="U453" s="673"/>
      <c r="V453" s="673"/>
      <c r="W453" s="673"/>
      <c r="X453" s="673"/>
      <c r="Y453" s="673"/>
      <c r="Z453" s="673"/>
      <c r="AA453" s="673"/>
      <c r="AB453" s="673"/>
      <c r="AC453" s="673"/>
      <c r="AD453" s="673"/>
      <c r="AE453" s="673"/>
      <c r="AF453" s="673"/>
      <c r="AG453" s="673"/>
      <c r="AH453" s="673"/>
    </row>
    <row r="454">
      <c r="A454" s="653"/>
      <c r="B454" s="654"/>
      <c r="C454" s="691"/>
      <c r="D454" s="661"/>
      <c r="E454" s="705"/>
      <c r="F454" s="659"/>
      <c r="G454" s="661"/>
      <c r="H454" s="660"/>
      <c r="I454" s="691"/>
      <c r="J454" s="661"/>
      <c r="K454" s="706"/>
      <c r="L454" s="665"/>
      <c r="M454" s="663"/>
      <c r="N454" s="665"/>
      <c r="O454" s="665"/>
      <c r="P454" s="665"/>
      <c r="Q454" s="665"/>
      <c r="R454" s="665"/>
      <c r="S454" s="665"/>
      <c r="T454" s="673"/>
      <c r="U454" s="673"/>
      <c r="V454" s="673"/>
      <c r="W454" s="673"/>
      <c r="X454" s="673"/>
      <c r="Y454" s="673"/>
      <c r="Z454" s="673"/>
      <c r="AA454" s="673"/>
      <c r="AB454" s="673"/>
      <c r="AC454" s="673"/>
      <c r="AD454" s="673"/>
      <c r="AE454" s="673"/>
      <c r="AF454" s="673"/>
      <c r="AG454" s="673"/>
      <c r="AH454" s="673"/>
    </row>
    <row r="455">
      <c r="A455" s="653"/>
      <c r="B455" s="654"/>
      <c r="C455" s="691"/>
      <c r="D455" s="661"/>
      <c r="E455" s="705"/>
      <c r="F455" s="659"/>
      <c r="G455" s="661"/>
      <c r="H455" s="660"/>
      <c r="I455" s="691"/>
      <c r="J455" s="661"/>
      <c r="K455" s="706"/>
      <c r="L455" s="665"/>
      <c r="M455" s="663"/>
      <c r="N455" s="665"/>
      <c r="O455" s="665"/>
      <c r="P455" s="665"/>
      <c r="Q455" s="665"/>
      <c r="R455" s="665"/>
      <c r="S455" s="665"/>
      <c r="T455" s="673"/>
      <c r="U455" s="673"/>
      <c r="V455" s="673"/>
      <c r="W455" s="673"/>
      <c r="X455" s="673"/>
      <c r="Y455" s="673"/>
      <c r="Z455" s="673"/>
      <c r="AA455" s="673"/>
      <c r="AB455" s="673"/>
      <c r="AC455" s="673"/>
      <c r="AD455" s="673"/>
      <c r="AE455" s="673"/>
      <c r="AF455" s="673"/>
      <c r="AG455" s="673"/>
      <c r="AH455" s="673"/>
    </row>
    <row r="456">
      <c r="A456" s="653"/>
      <c r="B456" s="654"/>
      <c r="C456" s="691"/>
      <c r="D456" s="661"/>
      <c r="E456" s="705"/>
      <c r="F456" s="659"/>
      <c r="G456" s="661"/>
      <c r="H456" s="660"/>
      <c r="I456" s="691"/>
      <c r="J456" s="661"/>
      <c r="K456" s="706"/>
      <c r="L456" s="665"/>
      <c r="M456" s="663"/>
      <c r="N456" s="665"/>
      <c r="O456" s="665"/>
      <c r="P456" s="665"/>
      <c r="Q456" s="665"/>
      <c r="R456" s="665"/>
      <c r="S456" s="665"/>
      <c r="T456" s="673"/>
      <c r="U456" s="673"/>
      <c r="V456" s="673"/>
      <c r="W456" s="673"/>
      <c r="X456" s="673"/>
      <c r="Y456" s="673"/>
      <c r="Z456" s="673"/>
      <c r="AA456" s="673"/>
      <c r="AB456" s="673"/>
      <c r="AC456" s="673"/>
      <c r="AD456" s="673"/>
      <c r="AE456" s="673"/>
      <c r="AF456" s="673"/>
      <c r="AG456" s="673"/>
      <c r="AH456" s="673"/>
    </row>
    <row r="457">
      <c r="A457" s="653"/>
      <c r="B457" s="654"/>
      <c r="C457" s="691"/>
      <c r="D457" s="661"/>
      <c r="E457" s="705"/>
      <c r="F457" s="659"/>
      <c r="G457" s="661"/>
      <c r="H457" s="660"/>
      <c r="I457" s="691"/>
      <c r="J457" s="661"/>
      <c r="K457" s="706"/>
      <c r="L457" s="665"/>
      <c r="M457" s="663"/>
      <c r="N457" s="665"/>
      <c r="O457" s="665"/>
      <c r="P457" s="665"/>
      <c r="Q457" s="665"/>
      <c r="R457" s="665"/>
      <c r="S457" s="665"/>
      <c r="T457" s="673"/>
      <c r="U457" s="673"/>
      <c r="V457" s="673"/>
      <c r="W457" s="673"/>
      <c r="X457" s="673"/>
      <c r="Y457" s="673"/>
      <c r="Z457" s="673"/>
      <c r="AA457" s="673"/>
      <c r="AB457" s="673"/>
      <c r="AC457" s="673"/>
      <c r="AD457" s="673"/>
      <c r="AE457" s="673"/>
      <c r="AF457" s="673"/>
      <c r="AG457" s="673"/>
      <c r="AH457" s="673"/>
    </row>
    <row r="458">
      <c r="A458" s="653"/>
      <c r="B458" s="654"/>
      <c r="C458" s="691"/>
      <c r="D458" s="661"/>
      <c r="E458" s="705"/>
      <c r="F458" s="659"/>
      <c r="G458" s="661"/>
      <c r="H458" s="660"/>
      <c r="I458" s="691"/>
      <c r="J458" s="661"/>
      <c r="K458" s="706"/>
      <c r="L458" s="665"/>
      <c r="M458" s="663"/>
      <c r="N458" s="665"/>
      <c r="O458" s="665"/>
      <c r="P458" s="665"/>
      <c r="Q458" s="665"/>
      <c r="R458" s="665"/>
      <c r="S458" s="665"/>
      <c r="T458" s="673"/>
      <c r="U458" s="673"/>
      <c r="V458" s="673"/>
      <c r="W458" s="673"/>
      <c r="X458" s="673"/>
      <c r="Y458" s="673"/>
      <c r="Z458" s="673"/>
      <c r="AA458" s="673"/>
      <c r="AB458" s="673"/>
      <c r="AC458" s="673"/>
      <c r="AD458" s="673"/>
      <c r="AE458" s="673"/>
      <c r="AF458" s="673"/>
      <c r="AG458" s="673"/>
      <c r="AH458" s="673"/>
    </row>
    <row r="459">
      <c r="A459" s="653"/>
      <c r="B459" s="654"/>
      <c r="C459" s="691"/>
      <c r="D459" s="661"/>
      <c r="E459" s="705"/>
      <c r="F459" s="659"/>
      <c r="G459" s="661"/>
      <c r="H459" s="660"/>
      <c r="I459" s="691"/>
      <c r="J459" s="661"/>
      <c r="K459" s="706"/>
      <c r="L459" s="665"/>
      <c r="M459" s="663"/>
      <c r="N459" s="665"/>
      <c r="O459" s="665"/>
      <c r="P459" s="665"/>
      <c r="Q459" s="665"/>
      <c r="R459" s="665"/>
      <c r="S459" s="665"/>
      <c r="T459" s="673"/>
      <c r="U459" s="673"/>
      <c r="V459" s="673"/>
      <c r="W459" s="673"/>
      <c r="X459" s="673"/>
      <c r="Y459" s="673"/>
      <c r="Z459" s="673"/>
      <c r="AA459" s="673"/>
      <c r="AB459" s="673"/>
      <c r="AC459" s="673"/>
      <c r="AD459" s="673"/>
      <c r="AE459" s="673"/>
      <c r="AF459" s="673"/>
      <c r="AG459" s="673"/>
      <c r="AH459" s="673"/>
    </row>
    <row r="460">
      <c r="A460" s="653"/>
      <c r="B460" s="654"/>
      <c r="C460" s="691"/>
      <c r="D460" s="661"/>
      <c r="E460" s="705"/>
      <c r="F460" s="659"/>
      <c r="G460" s="661"/>
      <c r="H460" s="660"/>
      <c r="I460" s="691"/>
      <c r="J460" s="661"/>
      <c r="K460" s="706"/>
      <c r="L460" s="665"/>
      <c r="M460" s="663"/>
      <c r="N460" s="665"/>
      <c r="O460" s="665"/>
      <c r="P460" s="665"/>
      <c r="Q460" s="665"/>
      <c r="R460" s="665"/>
      <c r="S460" s="665"/>
      <c r="T460" s="673"/>
      <c r="U460" s="673"/>
      <c r="V460" s="673"/>
      <c r="W460" s="673"/>
      <c r="X460" s="673"/>
      <c r="Y460" s="673"/>
      <c r="Z460" s="673"/>
      <c r="AA460" s="673"/>
      <c r="AB460" s="673"/>
      <c r="AC460" s="673"/>
      <c r="AD460" s="673"/>
      <c r="AE460" s="673"/>
      <c r="AF460" s="673"/>
      <c r="AG460" s="673"/>
      <c r="AH460" s="673"/>
    </row>
    <row r="461">
      <c r="A461" s="653"/>
      <c r="B461" s="654"/>
      <c r="C461" s="691"/>
      <c r="D461" s="661"/>
      <c r="E461" s="705"/>
      <c r="F461" s="659"/>
      <c r="G461" s="661"/>
      <c r="H461" s="660"/>
      <c r="I461" s="691"/>
      <c r="J461" s="661"/>
      <c r="K461" s="706"/>
      <c r="L461" s="665"/>
      <c r="M461" s="663"/>
      <c r="N461" s="665"/>
      <c r="O461" s="665"/>
      <c r="P461" s="665"/>
      <c r="Q461" s="665"/>
      <c r="R461" s="665"/>
      <c r="S461" s="665"/>
      <c r="T461" s="673"/>
      <c r="U461" s="673"/>
      <c r="V461" s="673"/>
      <c r="W461" s="673"/>
      <c r="X461" s="673"/>
      <c r="Y461" s="673"/>
      <c r="Z461" s="673"/>
      <c r="AA461" s="673"/>
      <c r="AB461" s="673"/>
      <c r="AC461" s="673"/>
      <c r="AD461" s="673"/>
      <c r="AE461" s="673"/>
      <c r="AF461" s="673"/>
      <c r="AG461" s="673"/>
      <c r="AH461" s="673"/>
    </row>
    <row r="462">
      <c r="A462" s="653"/>
      <c r="B462" s="654"/>
      <c r="C462" s="691"/>
      <c r="D462" s="661"/>
      <c r="E462" s="705"/>
      <c r="F462" s="659"/>
      <c r="G462" s="661"/>
      <c r="H462" s="660"/>
      <c r="I462" s="691"/>
      <c r="J462" s="661"/>
      <c r="K462" s="706"/>
      <c r="L462" s="665"/>
      <c r="M462" s="663"/>
      <c r="N462" s="665"/>
      <c r="O462" s="665"/>
      <c r="P462" s="665"/>
      <c r="Q462" s="665"/>
      <c r="R462" s="665"/>
      <c r="S462" s="665"/>
      <c r="T462" s="673"/>
      <c r="U462" s="673"/>
      <c r="V462" s="673"/>
      <c r="W462" s="673"/>
      <c r="X462" s="673"/>
      <c r="Y462" s="673"/>
      <c r="Z462" s="673"/>
      <c r="AA462" s="673"/>
      <c r="AB462" s="673"/>
      <c r="AC462" s="673"/>
      <c r="AD462" s="673"/>
      <c r="AE462" s="673"/>
      <c r="AF462" s="673"/>
      <c r="AG462" s="673"/>
      <c r="AH462" s="673"/>
    </row>
    <row r="463">
      <c r="A463" s="653"/>
      <c r="B463" s="654"/>
      <c r="C463" s="691"/>
      <c r="D463" s="661"/>
      <c r="E463" s="705"/>
      <c r="F463" s="659"/>
      <c r="G463" s="661"/>
      <c r="H463" s="660"/>
      <c r="I463" s="691"/>
      <c r="J463" s="661"/>
      <c r="K463" s="706"/>
      <c r="L463" s="665"/>
      <c r="M463" s="663"/>
      <c r="N463" s="665"/>
      <c r="O463" s="665"/>
      <c r="P463" s="665"/>
      <c r="Q463" s="665"/>
      <c r="R463" s="665"/>
      <c r="S463" s="665"/>
      <c r="T463" s="673"/>
      <c r="U463" s="673"/>
      <c r="V463" s="673"/>
      <c r="W463" s="673"/>
      <c r="X463" s="673"/>
      <c r="Y463" s="673"/>
      <c r="Z463" s="673"/>
      <c r="AA463" s="673"/>
      <c r="AB463" s="673"/>
      <c r="AC463" s="673"/>
      <c r="AD463" s="673"/>
      <c r="AE463" s="673"/>
      <c r="AF463" s="673"/>
      <c r="AG463" s="673"/>
      <c r="AH463" s="673"/>
    </row>
    <row r="464">
      <c r="A464" s="653"/>
      <c r="B464" s="654"/>
      <c r="C464" s="691"/>
      <c r="D464" s="661"/>
      <c r="E464" s="705"/>
      <c r="F464" s="659"/>
      <c r="G464" s="661"/>
      <c r="H464" s="660"/>
      <c r="I464" s="691"/>
      <c r="J464" s="661"/>
      <c r="K464" s="706"/>
      <c r="L464" s="665"/>
      <c r="M464" s="663"/>
      <c r="N464" s="665"/>
      <c r="O464" s="665"/>
      <c r="P464" s="665"/>
      <c r="Q464" s="665"/>
      <c r="R464" s="665"/>
      <c r="S464" s="665"/>
      <c r="T464" s="673"/>
      <c r="U464" s="673"/>
      <c r="V464" s="673"/>
      <c r="W464" s="673"/>
      <c r="X464" s="673"/>
      <c r="Y464" s="673"/>
      <c r="Z464" s="673"/>
      <c r="AA464" s="673"/>
      <c r="AB464" s="673"/>
      <c r="AC464" s="673"/>
      <c r="AD464" s="673"/>
      <c r="AE464" s="673"/>
      <c r="AF464" s="673"/>
      <c r="AG464" s="673"/>
      <c r="AH464" s="673"/>
    </row>
    <row r="465">
      <c r="A465" s="653"/>
      <c r="B465" s="654"/>
      <c r="C465" s="691"/>
      <c r="D465" s="661"/>
      <c r="E465" s="705"/>
      <c r="F465" s="659"/>
      <c r="G465" s="661"/>
      <c r="H465" s="660"/>
      <c r="I465" s="691"/>
      <c r="J465" s="661"/>
      <c r="K465" s="706"/>
      <c r="L465" s="665"/>
      <c r="M465" s="663"/>
      <c r="N465" s="665"/>
      <c r="O465" s="665"/>
      <c r="P465" s="665"/>
      <c r="Q465" s="665"/>
      <c r="R465" s="665"/>
      <c r="S465" s="665"/>
      <c r="T465" s="673"/>
      <c r="U465" s="673"/>
      <c r="V465" s="673"/>
      <c r="W465" s="673"/>
      <c r="X465" s="673"/>
      <c r="Y465" s="673"/>
      <c r="Z465" s="673"/>
      <c r="AA465" s="673"/>
      <c r="AB465" s="673"/>
      <c r="AC465" s="673"/>
      <c r="AD465" s="673"/>
      <c r="AE465" s="673"/>
      <c r="AF465" s="673"/>
      <c r="AG465" s="673"/>
      <c r="AH465" s="673"/>
    </row>
    <row r="466">
      <c r="A466" s="653"/>
      <c r="B466" s="654"/>
      <c r="C466" s="691"/>
      <c r="D466" s="661"/>
      <c r="E466" s="705"/>
      <c r="F466" s="659"/>
      <c r="G466" s="661"/>
      <c r="H466" s="660"/>
      <c r="I466" s="691"/>
      <c r="J466" s="661"/>
      <c r="K466" s="706"/>
      <c r="L466" s="665"/>
      <c r="M466" s="663"/>
      <c r="N466" s="665"/>
      <c r="O466" s="665"/>
      <c r="P466" s="665"/>
      <c r="Q466" s="665"/>
      <c r="R466" s="665"/>
      <c r="S466" s="665"/>
      <c r="T466" s="673"/>
      <c r="U466" s="673"/>
      <c r="V466" s="673"/>
      <c r="W466" s="673"/>
      <c r="X466" s="673"/>
      <c r="Y466" s="673"/>
      <c r="Z466" s="673"/>
      <c r="AA466" s="673"/>
      <c r="AB466" s="673"/>
      <c r="AC466" s="673"/>
      <c r="AD466" s="673"/>
      <c r="AE466" s="673"/>
      <c r="AF466" s="673"/>
      <c r="AG466" s="673"/>
      <c r="AH466" s="673"/>
    </row>
    <row r="467">
      <c r="A467" s="653"/>
      <c r="B467" s="654"/>
      <c r="C467" s="691"/>
      <c r="D467" s="661"/>
      <c r="E467" s="705"/>
      <c r="F467" s="659"/>
      <c r="G467" s="661"/>
      <c r="H467" s="660"/>
      <c r="I467" s="691"/>
      <c r="J467" s="661"/>
      <c r="K467" s="706"/>
      <c r="L467" s="665"/>
      <c r="M467" s="663"/>
      <c r="N467" s="665"/>
      <c r="O467" s="665"/>
      <c r="P467" s="665"/>
      <c r="Q467" s="665"/>
      <c r="R467" s="665"/>
      <c r="S467" s="665"/>
      <c r="T467" s="673"/>
      <c r="U467" s="673"/>
      <c r="V467" s="673"/>
      <c r="W467" s="673"/>
      <c r="X467" s="673"/>
      <c r="Y467" s="673"/>
      <c r="Z467" s="673"/>
      <c r="AA467" s="673"/>
      <c r="AB467" s="673"/>
      <c r="AC467" s="673"/>
      <c r="AD467" s="673"/>
      <c r="AE467" s="673"/>
      <c r="AF467" s="673"/>
      <c r="AG467" s="673"/>
      <c r="AH467" s="673"/>
    </row>
    <row r="468">
      <c r="A468" s="653"/>
      <c r="B468" s="654"/>
      <c r="C468" s="691"/>
      <c r="D468" s="661"/>
      <c r="E468" s="705"/>
      <c r="F468" s="659"/>
      <c r="G468" s="661"/>
      <c r="H468" s="660"/>
      <c r="I468" s="691"/>
      <c r="J468" s="661"/>
      <c r="K468" s="706"/>
      <c r="L468" s="665"/>
      <c r="M468" s="663"/>
      <c r="N468" s="665"/>
      <c r="O468" s="665"/>
      <c r="P468" s="665"/>
      <c r="Q468" s="665"/>
      <c r="R468" s="665"/>
      <c r="S468" s="665"/>
      <c r="T468" s="673"/>
      <c r="U468" s="673"/>
      <c r="V468" s="673"/>
      <c r="W468" s="673"/>
      <c r="X468" s="673"/>
      <c r="Y468" s="673"/>
      <c r="Z468" s="673"/>
      <c r="AA468" s="673"/>
      <c r="AB468" s="673"/>
      <c r="AC468" s="673"/>
      <c r="AD468" s="673"/>
      <c r="AE468" s="673"/>
      <c r="AF468" s="673"/>
      <c r="AG468" s="673"/>
      <c r="AH468" s="673"/>
    </row>
    <row r="469">
      <c r="A469" s="653"/>
      <c r="B469" s="654"/>
      <c r="C469" s="691"/>
      <c r="D469" s="661"/>
      <c r="E469" s="705"/>
      <c r="F469" s="659"/>
      <c r="G469" s="661"/>
      <c r="H469" s="660"/>
      <c r="I469" s="691"/>
      <c r="J469" s="661"/>
      <c r="K469" s="706"/>
      <c r="L469" s="665"/>
      <c r="M469" s="663"/>
      <c r="N469" s="665"/>
      <c r="O469" s="665"/>
      <c r="P469" s="665"/>
      <c r="Q469" s="665"/>
      <c r="R469" s="665"/>
      <c r="S469" s="665"/>
      <c r="T469" s="673"/>
      <c r="U469" s="673"/>
      <c r="V469" s="673"/>
      <c r="W469" s="673"/>
      <c r="X469" s="673"/>
      <c r="Y469" s="673"/>
      <c r="Z469" s="673"/>
      <c r="AA469" s="673"/>
      <c r="AB469" s="673"/>
      <c r="AC469" s="673"/>
      <c r="AD469" s="673"/>
      <c r="AE469" s="673"/>
      <c r="AF469" s="673"/>
      <c r="AG469" s="673"/>
      <c r="AH469" s="673"/>
    </row>
    <row r="470">
      <c r="A470" s="653"/>
      <c r="B470" s="654"/>
      <c r="C470" s="691"/>
      <c r="D470" s="661"/>
      <c r="E470" s="705"/>
      <c r="F470" s="659"/>
      <c r="G470" s="661"/>
      <c r="H470" s="660"/>
      <c r="I470" s="691"/>
      <c r="J470" s="661"/>
      <c r="K470" s="706"/>
      <c r="L470" s="665"/>
      <c r="M470" s="663"/>
      <c r="N470" s="665"/>
      <c r="O470" s="665"/>
      <c r="P470" s="665"/>
      <c r="Q470" s="665"/>
      <c r="R470" s="665"/>
      <c r="S470" s="665"/>
      <c r="T470" s="673"/>
      <c r="U470" s="673"/>
      <c r="V470" s="673"/>
      <c r="W470" s="673"/>
      <c r="X470" s="673"/>
      <c r="Y470" s="673"/>
      <c r="Z470" s="673"/>
      <c r="AA470" s="673"/>
      <c r="AB470" s="673"/>
      <c r="AC470" s="673"/>
      <c r="AD470" s="673"/>
      <c r="AE470" s="673"/>
      <c r="AF470" s="673"/>
      <c r="AG470" s="673"/>
      <c r="AH470" s="673"/>
    </row>
    <row r="471">
      <c r="A471" s="653"/>
      <c r="B471" s="654"/>
      <c r="C471" s="691"/>
      <c r="D471" s="661"/>
      <c r="E471" s="705"/>
      <c r="F471" s="659"/>
      <c r="G471" s="661"/>
      <c r="H471" s="660"/>
      <c r="I471" s="691"/>
      <c r="J471" s="661"/>
      <c r="K471" s="706"/>
      <c r="L471" s="665"/>
      <c r="M471" s="663"/>
      <c r="N471" s="665"/>
      <c r="O471" s="665"/>
      <c r="P471" s="665"/>
      <c r="Q471" s="665"/>
      <c r="R471" s="665"/>
      <c r="S471" s="665"/>
      <c r="T471" s="673"/>
      <c r="U471" s="673"/>
      <c r="V471" s="673"/>
      <c r="W471" s="673"/>
      <c r="X471" s="673"/>
      <c r="Y471" s="673"/>
      <c r="Z471" s="673"/>
      <c r="AA471" s="673"/>
      <c r="AB471" s="673"/>
      <c r="AC471" s="673"/>
      <c r="AD471" s="673"/>
      <c r="AE471" s="673"/>
      <c r="AF471" s="673"/>
      <c r="AG471" s="673"/>
      <c r="AH471" s="673"/>
    </row>
    <row r="472">
      <c r="A472" s="653"/>
      <c r="B472" s="654"/>
      <c r="C472" s="691"/>
      <c r="D472" s="661"/>
      <c r="E472" s="705"/>
      <c r="F472" s="659"/>
      <c r="G472" s="661"/>
      <c r="H472" s="660"/>
      <c r="I472" s="691"/>
      <c r="J472" s="661"/>
      <c r="K472" s="706"/>
      <c r="L472" s="665"/>
      <c r="M472" s="663"/>
      <c r="N472" s="665"/>
      <c r="O472" s="665"/>
      <c r="P472" s="665"/>
      <c r="Q472" s="665"/>
      <c r="R472" s="665"/>
      <c r="S472" s="665"/>
      <c r="T472" s="673"/>
      <c r="U472" s="673"/>
      <c r="V472" s="673"/>
      <c r="W472" s="673"/>
      <c r="X472" s="673"/>
      <c r="Y472" s="673"/>
      <c r="Z472" s="673"/>
      <c r="AA472" s="673"/>
      <c r="AB472" s="673"/>
      <c r="AC472" s="673"/>
      <c r="AD472" s="673"/>
      <c r="AE472" s="673"/>
      <c r="AF472" s="673"/>
      <c r="AG472" s="673"/>
      <c r="AH472" s="673"/>
    </row>
    <row r="473">
      <c r="A473" s="653"/>
      <c r="B473" s="654"/>
      <c r="C473" s="691"/>
      <c r="D473" s="661"/>
      <c r="E473" s="705"/>
      <c r="F473" s="659"/>
      <c r="G473" s="661"/>
      <c r="H473" s="660"/>
      <c r="I473" s="691"/>
      <c r="J473" s="661"/>
      <c r="K473" s="706"/>
      <c r="L473" s="665"/>
      <c r="M473" s="663"/>
      <c r="N473" s="665"/>
      <c r="O473" s="665"/>
      <c r="P473" s="665"/>
      <c r="Q473" s="665"/>
      <c r="R473" s="665"/>
      <c r="S473" s="665"/>
      <c r="T473" s="673"/>
      <c r="U473" s="673"/>
      <c r="V473" s="673"/>
      <c r="W473" s="673"/>
      <c r="X473" s="673"/>
      <c r="Y473" s="673"/>
      <c r="Z473" s="673"/>
      <c r="AA473" s="673"/>
      <c r="AB473" s="673"/>
      <c r="AC473" s="673"/>
      <c r="AD473" s="673"/>
      <c r="AE473" s="673"/>
      <c r="AF473" s="673"/>
      <c r="AG473" s="673"/>
      <c r="AH473" s="673"/>
    </row>
    <row r="474">
      <c r="A474" s="653"/>
      <c r="B474" s="654"/>
      <c r="C474" s="691"/>
      <c r="D474" s="661"/>
      <c r="E474" s="705"/>
      <c r="F474" s="659"/>
      <c r="G474" s="661"/>
      <c r="H474" s="660"/>
      <c r="I474" s="691"/>
      <c r="J474" s="661"/>
      <c r="K474" s="706"/>
      <c r="L474" s="665"/>
      <c r="M474" s="663"/>
      <c r="N474" s="665"/>
      <c r="O474" s="665"/>
      <c r="P474" s="665"/>
      <c r="Q474" s="665"/>
      <c r="R474" s="665"/>
      <c r="S474" s="665"/>
      <c r="T474" s="673"/>
      <c r="U474" s="673"/>
      <c r="V474" s="673"/>
      <c r="W474" s="673"/>
      <c r="X474" s="673"/>
      <c r="Y474" s="673"/>
      <c r="Z474" s="673"/>
      <c r="AA474" s="673"/>
      <c r="AB474" s="673"/>
      <c r="AC474" s="673"/>
      <c r="AD474" s="673"/>
      <c r="AE474" s="673"/>
      <c r="AF474" s="673"/>
      <c r="AG474" s="673"/>
      <c r="AH474" s="673"/>
    </row>
    <row r="475">
      <c r="A475" s="653"/>
      <c r="B475" s="654"/>
      <c r="C475" s="691"/>
      <c r="D475" s="661"/>
      <c r="E475" s="705"/>
      <c r="F475" s="659"/>
      <c r="G475" s="661"/>
      <c r="H475" s="660"/>
      <c r="I475" s="691"/>
      <c r="J475" s="661"/>
      <c r="K475" s="706"/>
      <c r="L475" s="665"/>
      <c r="M475" s="663"/>
      <c r="N475" s="665"/>
      <c r="O475" s="665"/>
      <c r="P475" s="665"/>
      <c r="Q475" s="665"/>
      <c r="R475" s="665"/>
      <c r="S475" s="665"/>
      <c r="T475" s="673"/>
      <c r="U475" s="673"/>
      <c r="V475" s="673"/>
      <c r="W475" s="673"/>
      <c r="X475" s="673"/>
      <c r="Y475" s="673"/>
      <c r="Z475" s="673"/>
      <c r="AA475" s="673"/>
      <c r="AB475" s="673"/>
      <c r="AC475" s="673"/>
      <c r="AD475" s="673"/>
      <c r="AE475" s="673"/>
      <c r="AF475" s="673"/>
      <c r="AG475" s="673"/>
      <c r="AH475" s="673"/>
    </row>
    <row r="476">
      <c r="A476" s="653"/>
      <c r="B476" s="654"/>
      <c r="C476" s="691"/>
      <c r="D476" s="661"/>
      <c r="E476" s="705"/>
      <c r="F476" s="659"/>
      <c r="G476" s="661"/>
      <c r="H476" s="660"/>
      <c r="I476" s="691"/>
      <c r="J476" s="661"/>
      <c r="K476" s="706"/>
      <c r="L476" s="665"/>
      <c r="M476" s="663"/>
      <c r="N476" s="665"/>
      <c r="O476" s="665"/>
      <c r="P476" s="665"/>
      <c r="Q476" s="665"/>
      <c r="R476" s="665"/>
      <c r="S476" s="665"/>
      <c r="T476" s="673"/>
      <c r="U476" s="673"/>
      <c r="V476" s="673"/>
      <c r="W476" s="673"/>
      <c r="X476" s="673"/>
      <c r="Y476" s="673"/>
      <c r="Z476" s="673"/>
      <c r="AA476" s="673"/>
      <c r="AB476" s="673"/>
      <c r="AC476" s="673"/>
      <c r="AD476" s="673"/>
      <c r="AE476" s="673"/>
      <c r="AF476" s="673"/>
      <c r="AG476" s="673"/>
      <c r="AH476" s="673"/>
    </row>
    <row r="477">
      <c r="A477" s="653"/>
      <c r="B477" s="654"/>
      <c r="C477" s="691"/>
      <c r="D477" s="661"/>
      <c r="E477" s="705"/>
      <c r="F477" s="659"/>
      <c r="G477" s="661"/>
      <c r="H477" s="660"/>
      <c r="I477" s="691"/>
      <c r="J477" s="661"/>
      <c r="K477" s="706"/>
      <c r="L477" s="665"/>
      <c r="M477" s="663"/>
      <c r="N477" s="665"/>
      <c r="O477" s="665"/>
      <c r="P477" s="665"/>
      <c r="Q477" s="665"/>
      <c r="R477" s="665"/>
      <c r="S477" s="665"/>
      <c r="T477" s="673"/>
      <c r="U477" s="673"/>
      <c r="V477" s="673"/>
      <c r="W477" s="673"/>
      <c r="X477" s="673"/>
      <c r="Y477" s="673"/>
      <c r="Z477" s="673"/>
      <c r="AA477" s="673"/>
      <c r="AB477" s="673"/>
      <c r="AC477" s="673"/>
      <c r="AD477" s="673"/>
      <c r="AE477" s="673"/>
      <c r="AF477" s="673"/>
      <c r="AG477" s="673"/>
      <c r="AH477" s="673"/>
    </row>
    <row r="478">
      <c r="A478" s="653"/>
      <c r="B478" s="654"/>
      <c r="C478" s="691"/>
      <c r="D478" s="661"/>
      <c r="E478" s="705"/>
      <c r="F478" s="659"/>
      <c r="G478" s="661"/>
      <c r="H478" s="660"/>
      <c r="I478" s="691"/>
      <c r="J478" s="661"/>
      <c r="K478" s="706"/>
      <c r="L478" s="665"/>
      <c r="M478" s="663"/>
      <c r="N478" s="665"/>
      <c r="O478" s="665"/>
      <c r="P478" s="665"/>
      <c r="Q478" s="665"/>
      <c r="R478" s="665"/>
      <c r="S478" s="665"/>
      <c r="T478" s="673"/>
      <c r="U478" s="673"/>
      <c r="V478" s="673"/>
      <c r="W478" s="673"/>
      <c r="X478" s="673"/>
      <c r="Y478" s="673"/>
      <c r="Z478" s="673"/>
      <c r="AA478" s="673"/>
      <c r="AB478" s="673"/>
      <c r="AC478" s="673"/>
      <c r="AD478" s="673"/>
      <c r="AE478" s="673"/>
      <c r="AF478" s="673"/>
      <c r="AG478" s="673"/>
      <c r="AH478" s="673"/>
    </row>
    <row r="479">
      <c r="A479" s="653"/>
      <c r="B479" s="654"/>
      <c r="C479" s="691"/>
      <c r="D479" s="661"/>
      <c r="E479" s="705"/>
      <c r="F479" s="659"/>
      <c r="G479" s="661"/>
      <c r="H479" s="660"/>
      <c r="I479" s="691"/>
      <c r="J479" s="661"/>
      <c r="K479" s="706"/>
      <c r="L479" s="665"/>
      <c r="M479" s="663"/>
      <c r="N479" s="665"/>
      <c r="O479" s="665"/>
      <c r="P479" s="665"/>
      <c r="Q479" s="665"/>
      <c r="R479" s="665"/>
      <c r="S479" s="665"/>
      <c r="T479" s="673"/>
      <c r="U479" s="673"/>
      <c r="V479" s="673"/>
      <c r="W479" s="673"/>
      <c r="X479" s="673"/>
      <c r="Y479" s="673"/>
      <c r="Z479" s="673"/>
      <c r="AA479" s="673"/>
      <c r="AB479" s="673"/>
      <c r="AC479" s="673"/>
      <c r="AD479" s="673"/>
      <c r="AE479" s="673"/>
      <c r="AF479" s="673"/>
      <c r="AG479" s="673"/>
      <c r="AH479" s="673"/>
    </row>
    <row r="480">
      <c r="A480" s="653"/>
      <c r="B480" s="654"/>
      <c r="C480" s="691"/>
      <c r="D480" s="661"/>
      <c r="E480" s="705"/>
      <c r="F480" s="659"/>
      <c r="G480" s="661"/>
      <c r="H480" s="660"/>
      <c r="I480" s="691"/>
      <c r="J480" s="661"/>
      <c r="K480" s="706"/>
      <c r="L480" s="665"/>
      <c r="M480" s="663"/>
      <c r="N480" s="665"/>
      <c r="O480" s="665"/>
      <c r="P480" s="665"/>
      <c r="Q480" s="665"/>
      <c r="R480" s="665"/>
      <c r="S480" s="665"/>
      <c r="T480" s="673"/>
      <c r="U480" s="673"/>
      <c r="V480" s="673"/>
      <c r="W480" s="673"/>
      <c r="X480" s="673"/>
      <c r="Y480" s="673"/>
      <c r="Z480" s="673"/>
      <c r="AA480" s="673"/>
      <c r="AB480" s="673"/>
      <c r="AC480" s="673"/>
      <c r="AD480" s="673"/>
      <c r="AE480" s="673"/>
      <c r="AF480" s="673"/>
      <c r="AG480" s="673"/>
      <c r="AH480" s="673"/>
    </row>
    <row r="481">
      <c r="A481" s="653"/>
      <c r="B481" s="654"/>
      <c r="C481" s="691"/>
      <c r="D481" s="661"/>
      <c r="E481" s="705"/>
      <c r="F481" s="659"/>
      <c r="G481" s="661"/>
      <c r="H481" s="660"/>
      <c r="I481" s="691"/>
      <c r="J481" s="661"/>
      <c r="K481" s="706"/>
      <c r="L481" s="665"/>
      <c r="M481" s="663"/>
      <c r="N481" s="665"/>
      <c r="O481" s="665"/>
      <c r="P481" s="665"/>
      <c r="Q481" s="665"/>
      <c r="R481" s="665"/>
      <c r="S481" s="665"/>
      <c r="T481" s="673"/>
      <c r="U481" s="673"/>
      <c r="V481" s="673"/>
      <c r="W481" s="673"/>
      <c r="X481" s="673"/>
      <c r="Y481" s="673"/>
      <c r="Z481" s="673"/>
      <c r="AA481" s="673"/>
      <c r="AB481" s="673"/>
      <c r="AC481" s="673"/>
      <c r="AD481" s="673"/>
      <c r="AE481" s="673"/>
      <c r="AF481" s="673"/>
      <c r="AG481" s="673"/>
      <c r="AH481" s="673"/>
    </row>
    <row r="482">
      <c r="A482" s="653"/>
      <c r="B482" s="654"/>
      <c r="C482" s="691"/>
      <c r="D482" s="661"/>
      <c r="E482" s="705"/>
      <c r="F482" s="659"/>
      <c r="G482" s="661"/>
      <c r="H482" s="660"/>
      <c r="I482" s="691"/>
      <c r="J482" s="661"/>
      <c r="K482" s="706"/>
      <c r="L482" s="665"/>
      <c r="M482" s="663"/>
      <c r="N482" s="665"/>
      <c r="O482" s="665"/>
      <c r="P482" s="665"/>
      <c r="Q482" s="665"/>
      <c r="R482" s="665"/>
      <c r="S482" s="665"/>
      <c r="T482" s="673"/>
      <c r="U482" s="673"/>
      <c r="V482" s="673"/>
      <c r="W482" s="673"/>
      <c r="X482" s="673"/>
      <c r="Y482" s="673"/>
      <c r="Z482" s="673"/>
      <c r="AA482" s="673"/>
      <c r="AB482" s="673"/>
      <c r="AC482" s="673"/>
      <c r="AD482" s="673"/>
      <c r="AE482" s="673"/>
      <c r="AF482" s="673"/>
      <c r="AG482" s="673"/>
      <c r="AH482" s="673"/>
    </row>
    <row r="483">
      <c r="A483" s="653"/>
      <c r="B483" s="654"/>
      <c r="C483" s="691"/>
      <c r="D483" s="661"/>
      <c r="E483" s="705"/>
      <c r="F483" s="659"/>
      <c r="G483" s="661"/>
      <c r="H483" s="660"/>
      <c r="I483" s="691"/>
      <c r="J483" s="661"/>
      <c r="K483" s="706"/>
      <c r="L483" s="665"/>
      <c r="M483" s="663"/>
      <c r="N483" s="665"/>
      <c r="O483" s="665"/>
      <c r="P483" s="665"/>
      <c r="Q483" s="665"/>
      <c r="R483" s="665"/>
      <c r="S483" s="665"/>
      <c r="T483" s="673"/>
      <c r="U483" s="673"/>
      <c r="V483" s="673"/>
      <c r="W483" s="673"/>
      <c r="X483" s="673"/>
      <c r="Y483" s="673"/>
      <c r="Z483" s="673"/>
      <c r="AA483" s="673"/>
      <c r="AB483" s="673"/>
      <c r="AC483" s="673"/>
      <c r="AD483" s="673"/>
      <c r="AE483" s="673"/>
      <c r="AF483" s="673"/>
      <c r="AG483" s="673"/>
      <c r="AH483" s="673"/>
    </row>
    <row r="484">
      <c r="A484" s="653"/>
      <c r="B484" s="654"/>
      <c r="C484" s="691"/>
      <c r="D484" s="661"/>
      <c r="E484" s="705"/>
      <c r="F484" s="659"/>
      <c r="G484" s="661"/>
      <c r="H484" s="660"/>
      <c r="I484" s="691"/>
      <c r="J484" s="661"/>
      <c r="K484" s="706"/>
      <c r="L484" s="665"/>
      <c r="M484" s="663"/>
      <c r="N484" s="665"/>
      <c r="O484" s="665"/>
      <c r="P484" s="665"/>
      <c r="Q484" s="665"/>
      <c r="R484" s="665"/>
      <c r="S484" s="665"/>
      <c r="T484" s="673"/>
      <c r="U484" s="673"/>
      <c r="V484" s="673"/>
      <c r="W484" s="673"/>
      <c r="X484" s="673"/>
      <c r="Y484" s="673"/>
      <c r="Z484" s="673"/>
      <c r="AA484" s="673"/>
      <c r="AB484" s="673"/>
      <c r="AC484" s="673"/>
      <c r="AD484" s="673"/>
      <c r="AE484" s="673"/>
      <c r="AF484" s="673"/>
      <c r="AG484" s="673"/>
      <c r="AH484" s="673"/>
    </row>
    <row r="485">
      <c r="A485" s="653"/>
      <c r="B485" s="654"/>
      <c r="C485" s="691"/>
      <c r="D485" s="661"/>
      <c r="E485" s="705"/>
      <c r="F485" s="659"/>
      <c r="G485" s="661"/>
      <c r="H485" s="660"/>
      <c r="I485" s="691"/>
      <c r="J485" s="661"/>
      <c r="K485" s="706"/>
      <c r="L485" s="665"/>
      <c r="M485" s="663"/>
      <c r="N485" s="665"/>
      <c r="O485" s="665"/>
      <c r="P485" s="665"/>
      <c r="Q485" s="665"/>
      <c r="R485" s="665"/>
      <c r="S485" s="665"/>
      <c r="T485" s="673"/>
      <c r="U485" s="673"/>
      <c r="V485" s="673"/>
      <c r="W485" s="673"/>
      <c r="X485" s="673"/>
      <c r="Y485" s="673"/>
      <c r="Z485" s="673"/>
      <c r="AA485" s="673"/>
      <c r="AB485" s="673"/>
      <c r="AC485" s="673"/>
      <c r="AD485" s="673"/>
      <c r="AE485" s="673"/>
      <c r="AF485" s="673"/>
      <c r="AG485" s="673"/>
      <c r="AH485" s="673"/>
    </row>
    <row r="486">
      <c r="A486" s="653"/>
      <c r="B486" s="654"/>
      <c r="C486" s="691"/>
      <c r="D486" s="661"/>
      <c r="E486" s="705"/>
      <c r="F486" s="659"/>
      <c r="G486" s="661"/>
      <c r="H486" s="660"/>
      <c r="I486" s="691"/>
      <c r="J486" s="661"/>
      <c r="K486" s="706"/>
      <c r="L486" s="665"/>
      <c r="M486" s="663"/>
      <c r="N486" s="665"/>
      <c r="O486" s="665"/>
      <c r="P486" s="665"/>
      <c r="Q486" s="665"/>
      <c r="R486" s="665"/>
      <c r="S486" s="665"/>
      <c r="T486" s="673"/>
      <c r="U486" s="673"/>
      <c r="V486" s="673"/>
      <c r="W486" s="673"/>
      <c r="X486" s="673"/>
      <c r="Y486" s="673"/>
      <c r="Z486" s="673"/>
      <c r="AA486" s="673"/>
      <c r="AB486" s="673"/>
      <c r="AC486" s="673"/>
      <c r="AD486" s="673"/>
      <c r="AE486" s="673"/>
      <c r="AF486" s="673"/>
      <c r="AG486" s="673"/>
      <c r="AH486" s="673"/>
    </row>
    <row r="487">
      <c r="A487" s="653"/>
      <c r="B487" s="654"/>
      <c r="C487" s="691"/>
      <c r="D487" s="661"/>
      <c r="E487" s="705"/>
      <c r="F487" s="659"/>
      <c r="G487" s="661"/>
      <c r="H487" s="660"/>
      <c r="I487" s="691"/>
      <c r="J487" s="661"/>
      <c r="K487" s="706"/>
      <c r="L487" s="665"/>
      <c r="M487" s="663"/>
      <c r="N487" s="665"/>
      <c r="O487" s="665"/>
      <c r="P487" s="665"/>
      <c r="Q487" s="665"/>
      <c r="R487" s="665"/>
      <c r="S487" s="665"/>
      <c r="T487" s="673"/>
      <c r="U487" s="673"/>
      <c r="V487" s="673"/>
      <c r="W487" s="673"/>
      <c r="X487" s="673"/>
      <c r="Y487" s="673"/>
      <c r="Z487" s="673"/>
      <c r="AA487" s="673"/>
      <c r="AB487" s="673"/>
      <c r="AC487" s="673"/>
      <c r="AD487" s="673"/>
      <c r="AE487" s="673"/>
      <c r="AF487" s="673"/>
      <c r="AG487" s="673"/>
      <c r="AH487" s="673"/>
    </row>
    <row r="488">
      <c r="A488" s="653"/>
      <c r="B488" s="654"/>
      <c r="C488" s="691"/>
      <c r="D488" s="661"/>
      <c r="E488" s="705"/>
      <c r="F488" s="659"/>
      <c r="G488" s="661"/>
      <c r="H488" s="660"/>
      <c r="I488" s="691"/>
      <c r="J488" s="661"/>
      <c r="K488" s="706"/>
      <c r="L488" s="665"/>
      <c r="M488" s="663"/>
      <c r="N488" s="665"/>
      <c r="O488" s="665"/>
      <c r="P488" s="665"/>
      <c r="Q488" s="665"/>
      <c r="R488" s="665"/>
      <c r="S488" s="665"/>
      <c r="T488" s="673"/>
      <c r="U488" s="673"/>
      <c r="V488" s="673"/>
      <c r="W488" s="673"/>
      <c r="X488" s="673"/>
      <c r="Y488" s="673"/>
      <c r="Z488" s="673"/>
      <c r="AA488" s="673"/>
      <c r="AB488" s="673"/>
      <c r="AC488" s="673"/>
      <c r="AD488" s="673"/>
      <c r="AE488" s="673"/>
      <c r="AF488" s="673"/>
      <c r="AG488" s="673"/>
      <c r="AH488" s="673"/>
    </row>
    <row r="489">
      <c r="A489" s="653"/>
      <c r="B489" s="654"/>
      <c r="C489" s="691"/>
      <c r="D489" s="661"/>
      <c r="E489" s="705"/>
      <c r="F489" s="659"/>
      <c r="G489" s="661"/>
      <c r="H489" s="660"/>
      <c r="I489" s="691"/>
      <c r="J489" s="661"/>
      <c r="K489" s="706"/>
      <c r="L489" s="665"/>
      <c r="M489" s="663"/>
      <c r="N489" s="665"/>
      <c r="O489" s="665"/>
      <c r="P489" s="665"/>
      <c r="Q489" s="665"/>
      <c r="R489" s="665"/>
      <c r="S489" s="665"/>
      <c r="T489" s="673"/>
      <c r="U489" s="673"/>
      <c r="V489" s="673"/>
      <c r="W489" s="673"/>
      <c r="X489" s="673"/>
      <c r="Y489" s="673"/>
      <c r="Z489" s="673"/>
      <c r="AA489" s="673"/>
      <c r="AB489" s="673"/>
      <c r="AC489" s="673"/>
      <c r="AD489" s="673"/>
      <c r="AE489" s="673"/>
      <c r="AF489" s="673"/>
      <c r="AG489" s="673"/>
      <c r="AH489" s="673"/>
    </row>
    <row r="490">
      <c r="A490" s="653"/>
      <c r="B490" s="654"/>
      <c r="C490" s="691"/>
      <c r="D490" s="661"/>
      <c r="E490" s="705"/>
      <c r="F490" s="659"/>
      <c r="G490" s="661"/>
      <c r="H490" s="660"/>
      <c r="I490" s="691"/>
      <c r="J490" s="661"/>
      <c r="K490" s="706"/>
      <c r="L490" s="665"/>
      <c r="M490" s="663"/>
      <c r="N490" s="665"/>
      <c r="O490" s="665"/>
      <c r="P490" s="665"/>
      <c r="Q490" s="665"/>
      <c r="R490" s="665"/>
      <c r="S490" s="665"/>
      <c r="T490" s="673"/>
      <c r="U490" s="673"/>
      <c r="V490" s="673"/>
      <c r="W490" s="673"/>
      <c r="X490" s="673"/>
      <c r="Y490" s="673"/>
      <c r="Z490" s="673"/>
      <c r="AA490" s="673"/>
      <c r="AB490" s="673"/>
      <c r="AC490" s="673"/>
      <c r="AD490" s="673"/>
      <c r="AE490" s="673"/>
      <c r="AF490" s="673"/>
      <c r="AG490" s="673"/>
      <c r="AH490" s="673"/>
    </row>
    <row r="491">
      <c r="A491" s="653"/>
      <c r="B491" s="654"/>
      <c r="C491" s="691"/>
      <c r="D491" s="661"/>
      <c r="E491" s="705"/>
      <c r="F491" s="659"/>
      <c r="G491" s="661"/>
      <c r="H491" s="660"/>
      <c r="I491" s="691"/>
      <c r="J491" s="661"/>
      <c r="K491" s="706"/>
      <c r="L491" s="665"/>
      <c r="M491" s="663"/>
      <c r="N491" s="665"/>
      <c r="O491" s="665"/>
      <c r="P491" s="665"/>
      <c r="Q491" s="665"/>
      <c r="R491" s="665"/>
      <c r="S491" s="665"/>
      <c r="T491" s="673"/>
      <c r="U491" s="673"/>
      <c r="V491" s="673"/>
      <c r="W491" s="673"/>
      <c r="X491" s="673"/>
      <c r="Y491" s="673"/>
      <c r="Z491" s="673"/>
      <c r="AA491" s="673"/>
      <c r="AB491" s="673"/>
      <c r="AC491" s="673"/>
      <c r="AD491" s="673"/>
      <c r="AE491" s="673"/>
      <c r="AF491" s="673"/>
      <c r="AG491" s="673"/>
      <c r="AH491" s="673"/>
    </row>
    <row r="492">
      <c r="A492" s="653"/>
      <c r="B492" s="654"/>
      <c r="C492" s="691"/>
      <c r="D492" s="661"/>
      <c r="E492" s="705"/>
      <c r="F492" s="659"/>
      <c r="G492" s="661"/>
      <c r="H492" s="660"/>
      <c r="I492" s="691"/>
      <c r="J492" s="661"/>
      <c r="K492" s="706"/>
      <c r="L492" s="665"/>
      <c r="M492" s="663"/>
      <c r="N492" s="665"/>
      <c r="O492" s="665"/>
      <c r="P492" s="665"/>
      <c r="Q492" s="665"/>
      <c r="R492" s="665"/>
      <c r="S492" s="665"/>
      <c r="T492" s="673"/>
      <c r="U492" s="673"/>
      <c r="V492" s="673"/>
      <c r="W492" s="673"/>
      <c r="X492" s="673"/>
      <c r="Y492" s="673"/>
      <c r="Z492" s="673"/>
      <c r="AA492" s="673"/>
      <c r="AB492" s="673"/>
      <c r="AC492" s="673"/>
      <c r="AD492" s="673"/>
      <c r="AE492" s="673"/>
      <c r="AF492" s="673"/>
      <c r="AG492" s="673"/>
      <c r="AH492" s="673"/>
    </row>
    <row r="493">
      <c r="A493" s="653"/>
      <c r="B493" s="654"/>
      <c r="C493" s="691"/>
      <c r="D493" s="661"/>
      <c r="E493" s="705"/>
      <c r="F493" s="659"/>
      <c r="G493" s="661"/>
      <c r="H493" s="660"/>
      <c r="I493" s="691"/>
      <c r="J493" s="661"/>
      <c r="K493" s="706"/>
      <c r="L493" s="665"/>
      <c r="M493" s="663"/>
      <c r="N493" s="665"/>
      <c r="O493" s="665"/>
      <c r="P493" s="665"/>
      <c r="Q493" s="665"/>
      <c r="R493" s="665"/>
      <c r="S493" s="665"/>
      <c r="T493" s="673"/>
      <c r="U493" s="673"/>
      <c r="V493" s="673"/>
      <c r="W493" s="673"/>
      <c r="X493" s="673"/>
      <c r="Y493" s="673"/>
      <c r="Z493" s="673"/>
      <c r="AA493" s="673"/>
      <c r="AB493" s="673"/>
      <c r="AC493" s="673"/>
      <c r="AD493" s="673"/>
      <c r="AE493" s="673"/>
      <c r="AF493" s="673"/>
      <c r="AG493" s="673"/>
      <c r="AH493" s="673"/>
    </row>
    <row r="494">
      <c r="A494" s="653"/>
      <c r="B494" s="654"/>
      <c r="C494" s="691"/>
      <c r="D494" s="661"/>
      <c r="E494" s="705"/>
      <c r="F494" s="659"/>
      <c r="G494" s="661"/>
      <c r="H494" s="660"/>
      <c r="I494" s="691"/>
      <c r="J494" s="661"/>
      <c r="K494" s="706"/>
      <c r="L494" s="665"/>
      <c r="M494" s="663"/>
      <c r="N494" s="665"/>
      <c r="O494" s="665"/>
      <c r="P494" s="665"/>
      <c r="Q494" s="665"/>
      <c r="R494" s="665"/>
      <c r="S494" s="665"/>
      <c r="T494" s="673"/>
      <c r="U494" s="673"/>
      <c r="V494" s="673"/>
      <c r="W494" s="673"/>
      <c r="X494" s="673"/>
      <c r="Y494" s="673"/>
      <c r="Z494" s="673"/>
      <c r="AA494" s="673"/>
      <c r="AB494" s="673"/>
      <c r="AC494" s="673"/>
      <c r="AD494" s="673"/>
      <c r="AE494" s="673"/>
      <c r="AF494" s="673"/>
      <c r="AG494" s="673"/>
      <c r="AH494" s="673"/>
    </row>
    <row r="495">
      <c r="A495" s="653"/>
      <c r="B495" s="654"/>
      <c r="C495" s="691"/>
      <c r="D495" s="661"/>
      <c r="E495" s="705"/>
      <c r="F495" s="659"/>
      <c r="G495" s="661"/>
      <c r="H495" s="660"/>
      <c r="I495" s="691"/>
      <c r="J495" s="661"/>
      <c r="K495" s="706"/>
      <c r="L495" s="665"/>
      <c r="M495" s="663"/>
      <c r="N495" s="665"/>
      <c r="O495" s="665"/>
      <c r="P495" s="665"/>
      <c r="Q495" s="665"/>
      <c r="R495" s="665"/>
      <c r="S495" s="665"/>
      <c r="T495" s="673"/>
      <c r="U495" s="673"/>
      <c r="V495" s="673"/>
      <c r="W495" s="673"/>
      <c r="X495" s="673"/>
      <c r="Y495" s="673"/>
      <c r="Z495" s="673"/>
      <c r="AA495" s="673"/>
      <c r="AB495" s="673"/>
      <c r="AC495" s="673"/>
      <c r="AD495" s="673"/>
      <c r="AE495" s="673"/>
      <c r="AF495" s="673"/>
      <c r="AG495" s="673"/>
      <c r="AH495" s="673"/>
    </row>
    <row r="496">
      <c r="A496" s="653"/>
      <c r="B496" s="654"/>
      <c r="C496" s="691"/>
      <c r="D496" s="661"/>
      <c r="E496" s="705"/>
      <c r="F496" s="659"/>
      <c r="G496" s="661"/>
      <c r="H496" s="660"/>
      <c r="I496" s="691"/>
      <c r="J496" s="661"/>
      <c r="K496" s="706"/>
      <c r="L496" s="665"/>
      <c r="M496" s="663"/>
      <c r="N496" s="665"/>
      <c r="O496" s="665"/>
      <c r="P496" s="665"/>
      <c r="Q496" s="665"/>
      <c r="R496" s="665"/>
      <c r="S496" s="665"/>
      <c r="T496" s="673"/>
      <c r="U496" s="673"/>
      <c r="V496" s="673"/>
      <c r="W496" s="673"/>
      <c r="X496" s="673"/>
      <c r="Y496" s="673"/>
      <c r="Z496" s="673"/>
      <c r="AA496" s="673"/>
      <c r="AB496" s="673"/>
      <c r="AC496" s="673"/>
      <c r="AD496" s="673"/>
      <c r="AE496" s="673"/>
      <c r="AF496" s="673"/>
      <c r="AG496" s="673"/>
      <c r="AH496" s="673"/>
    </row>
    <row r="497">
      <c r="A497" s="653"/>
      <c r="B497" s="654"/>
      <c r="C497" s="691"/>
      <c r="D497" s="661"/>
      <c r="E497" s="705"/>
      <c r="F497" s="659"/>
      <c r="G497" s="661"/>
      <c r="H497" s="660"/>
      <c r="I497" s="691"/>
      <c r="J497" s="661"/>
      <c r="K497" s="706"/>
      <c r="L497" s="665"/>
      <c r="M497" s="663"/>
      <c r="N497" s="665"/>
      <c r="O497" s="665"/>
      <c r="P497" s="665"/>
      <c r="Q497" s="665"/>
      <c r="R497" s="665"/>
      <c r="S497" s="665"/>
      <c r="T497" s="673"/>
      <c r="U497" s="673"/>
      <c r="V497" s="673"/>
      <c r="W497" s="673"/>
      <c r="X497" s="673"/>
      <c r="Y497" s="673"/>
      <c r="Z497" s="673"/>
      <c r="AA497" s="673"/>
      <c r="AB497" s="673"/>
      <c r="AC497" s="673"/>
      <c r="AD497" s="673"/>
      <c r="AE497" s="673"/>
      <c r="AF497" s="673"/>
      <c r="AG497" s="673"/>
      <c r="AH497" s="673"/>
    </row>
    <row r="498">
      <c r="A498" s="653"/>
      <c r="B498" s="654"/>
      <c r="C498" s="691"/>
      <c r="D498" s="661"/>
      <c r="E498" s="705"/>
      <c r="F498" s="659"/>
      <c r="G498" s="661"/>
      <c r="H498" s="660"/>
      <c r="I498" s="691"/>
      <c r="J498" s="661"/>
      <c r="K498" s="706"/>
      <c r="L498" s="665"/>
      <c r="M498" s="663"/>
      <c r="N498" s="665"/>
      <c r="O498" s="665"/>
      <c r="P498" s="665"/>
      <c r="Q498" s="665"/>
      <c r="R498" s="665"/>
      <c r="S498" s="665"/>
      <c r="T498" s="673"/>
      <c r="U498" s="673"/>
      <c r="V498" s="673"/>
      <c r="W498" s="673"/>
      <c r="X498" s="673"/>
      <c r="Y498" s="673"/>
      <c r="Z498" s="673"/>
      <c r="AA498" s="673"/>
      <c r="AB498" s="673"/>
      <c r="AC498" s="673"/>
      <c r="AD498" s="673"/>
      <c r="AE498" s="673"/>
      <c r="AF498" s="673"/>
      <c r="AG498" s="673"/>
      <c r="AH498" s="673"/>
    </row>
    <row r="499">
      <c r="A499" s="653"/>
      <c r="B499" s="654"/>
      <c r="C499" s="691"/>
      <c r="D499" s="661"/>
      <c r="E499" s="705"/>
      <c r="F499" s="659"/>
      <c r="G499" s="661"/>
      <c r="H499" s="660"/>
      <c r="I499" s="691"/>
      <c r="J499" s="661"/>
      <c r="K499" s="706"/>
      <c r="L499" s="665"/>
      <c r="M499" s="663"/>
      <c r="N499" s="665"/>
      <c r="O499" s="665"/>
      <c r="P499" s="665"/>
      <c r="Q499" s="665"/>
      <c r="R499" s="665"/>
      <c r="S499" s="665"/>
      <c r="T499" s="673"/>
      <c r="U499" s="673"/>
      <c r="V499" s="673"/>
      <c r="W499" s="673"/>
      <c r="X499" s="673"/>
      <c r="Y499" s="673"/>
      <c r="Z499" s="673"/>
      <c r="AA499" s="673"/>
      <c r="AB499" s="673"/>
      <c r="AC499" s="673"/>
      <c r="AD499" s="673"/>
      <c r="AE499" s="673"/>
      <c r="AF499" s="673"/>
      <c r="AG499" s="673"/>
      <c r="AH499" s="673"/>
    </row>
    <row r="500">
      <c r="A500" s="653"/>
      <c r="B500" s="654"/>
      <c r="C500" s="691"/>
      <c r="D500" s="661"/>
      <c r="E500" s="705"/>
      <c r="F500" s="659"/>
      <c r="G500" s="661"/>
      <c r="H500" s="660"/>
      <c r="I500" s="691"/>
      <c r="J500" s="661"/>
      <c r="K500" s="706"/>
      <c r="L500" s="665"/>
      <c r="M500" s="663"/>
      <c r="N500" s="665"/>
      <c r="O500" s="665"/>
      <c r="P500" s="665"/>
      <c r="Q500" s="665"/>
      <c r="R500" s="665"/>
      <c r="S500" s="665"/>
      <c r="T500" s="673"/>
      <c r="U500" s="673"/>
      <c r="V500" s="673"/>
      <c r="W500" s="673"/>
      <c r="X500" s="673"/>
      <c r="Y500" s="673"/>
      <c r="Z500" s="673"/>
      <c r="AA500" s="673"/>
      <c r="AB500" s="673"/>
      <c r="AC500" s="673"/>
      <c r="AD500" s="673"/>
      <c r="AE500" s="673"/>
      <c r="AF500" s="673"/>
      <c r="AG500" s="673"/>
      <c r="AH500" s="673"/>
    </row>
    <row r="501">
      <c r="A501" s="653"/>
      <c r="B501" s="654"/>
      <c r="C501" s="691"/>
      <c r="D501" s="661"/>
      <c r="E501" s="705"/>
      <c r="F501" s="659"/>
      <c r="G501" s="661"/>
      <c r="H501" s="660"/>
      <c r="I501" s="691"/>
      <c r="J501" s="661"/>
      <c r="K501" s="706"/>
      <c r="L501" s="665"/>
      <c r="M501" s="663"/>
      <c r="N501" s="665"/>
      <c r="O501" s="665"/>
      <c r="P501" s="665"/>
      <c r="Q501" s="665"/>
      <c r="R501" s="665"/>
      <c r="S501" s="665"/>
      <c r="T501" s="673"/>
      <c r="U501" s="673"/>
      <c r="V501" s="673"/>
      <c r="W501" s="673"/>
      <c r="X501" s="673"/>
      <c r="Y501" s="673"/>
      <c r="Z501" s="673"/>
      <c r="AA501" s="673"/>
      <c r="AB501" s="673"/>
      <c r="AC501" s="673"/>
      <c r="AD501" s="673"/>
      <c r="AE501" s="673"/>
      <c r="AF501" s="673"/>
      <c r="AG501" s="673"/>
      <c r="AH501" s="673"/>
    </row>
    <row r="502">
      <c r="A502" s="653"/>
      <c r="B502" s="654"/>
      <c r="C502" s="691"/>
      <c r="D502" s="661"/>
      <c r="E502" s="705"/>
      <c r="F502" s="659"/>
      <c r="G502" s="661"/>
      <c r="H502" s="660"/>
      <c r="I502" s="691"/>
      <c r="J502" s="661"/>
      <c r="K502" s="706"/>
      <c r="L502" s="665"/>
      <c r="M502" s="663"/>
      <c r="N502" s="665"/>
      <c r="O502" s="665"/>
      <c r="P502" s="665"/>
      <c r="Q502" s="665"/>
      <c r="R502" s="665"/>
      <c r="S502" s="665"/>
      <c r="T502" s="673"/>
      <c r="U502" s="673"/>
      <c r="V502" s="673"/>
      <c r="W502" s="673"/>
      <c r="X502" s="673"/>
      <c r="Y502" s="673"/>
      <c r="Z502" s="673"/>
      <c r="AA502" s="673"/>
      <c r="AB502" s="673"/>
      <c r="AC502" s="673"/>
      <c r="AD502" s="673"/>
      <c r="AE502" s="673"/>
      <c r="AF502" s="673"/>
      <c r="AG502" s="673"/>
      <c r="AH502" s="673"/>
    </row>
    <row r="503">
      <c r="A503" s="653"/>
      <c r="B503" s="654"/>
      <c r="C503" s="691"/>
      <c r="D503" s="661"/>
      <c r="E503" s="705"/>
      <c r="F503" s="659"/>
      <c r="G503" s="661"/>
      <c r="H503" s="660"/>
      <c r="I503" s="691"/>
      <c r="J503" s="661"/>
      <c r="K503" s="706"/>
      <c r="L503" s="665"/>
      <c r="M503" s="663"/>
      <c r="N503" s="665"/>
      <c r="O503" s="665"/>
      <c r="P503" s="665"/>
      <c r="Q503" s="665"/>
      <c r="R503" s="665"/>
      <c r="S503" s="665"/>
      <c r="T503" s="673"/>
      <c r="U503" s="673"/>
      <c r="V503" s="673"/>
      <c r="W503" s="673"/>
      <c r="X503" s="673"/>
      <c r="Y503" s="673"/>
      <c r="Z503" s="673"/>
      <c r="AA503" s="673"/>
      <c r="AB503" s="673"/>
      <c r="AC503" s="673"/>
      <c r="AD503" s="673"/>
      <c r="AE503" s="673"/>
      <c r="AF503" s="673"/>
      <c r="AG503" s="673"/>
      <c r="AH503" s="673"/>
    </row>
    <row r="504">
      <c r="A504" s="653"/>
      <c r="B504" s="654"/>
      <c r="C504" s="691"/>
      <c r="D504" s="661"/>
      <c r="E504" s="705"/>
      <c r="F504" s="659"/>
      <c r="G504" s="661"/>
      <c r="H504" s="660"/>
      <c r="I504" s="691"/>
      <c r="J504" s="661"/>
      <c r="K504" s="706"/>
      <c r="L504" s="665"/>
      <c r="M504" s="663"/>
      <c r="N504" s="665"/>
      <c r="O504" s="665"/>
      <c r="P504" s="665"/>
      <c r="Q504" s="665"/>
      <c r="R504" s="665"/>
      <c r="S504" s="665"/>
      <c r="T504" s="673"/>
      <c r="U504" s="673"/>
      <c r="V504" s="673"/>
      <c r="W504" s="673"/>
      <c r="X504" s="673"/>
      <c r="Y504" s="673"/>
      <c r="Z504" s="673"/>
      <c r="AA504" s="673"/>
      <c r="AB504" s="673"/>
      <c r="AC504" s="673"/>
      <c r="AD504" s="673"/>
      <c r="AE504" s="673"/>
      <c r="AF504" s="673"/>
      <c r="AG504" s="673"/>
      <c r="AH504" s="673"/>
    </row>
    <row r="505">
      <c r="A505" s="653"/>
      <c r="B505" s="654"/>
      <c r="C505" s="691"/>
      <c r="D505" s="661"/>
      <c r="E505" s="705"/>
      <c r="F505" s="659"/>
      <c r="G505" s="661"/>
      <c r="H505" s="660"/>
      <c r="I505" s="691"/>
      <c r="J505" s="661"/>
      <c r="K505" s="706"/>
      <c r="L505" s="665"/>
      <c r="M505" s="663"/>
      <c r="N505" s="665"/>
      <c r="O505" s="665"/>
      <c r="P505" s="665"/>
      <c r="Q505" s="665"/>
      <c r="R505" s="665"/>
      <c r="S505" s="665"/>
      <c r="T505" s="673"/>
      <c r="U505" s="673"/>
      <c r="V505" s="673"/>
      <c r="W505" s="673"/>
      <c r="X505" s="673"/>
      <c r="Y505" s="673"/>
      <c r="Z505" s="673"/>
      <c r="AA505" s="673"/>
      <c r="AB505" s="673"/>
      <c r="AC505" s="673"/>
      <c r="AD505" s="673"/>
      <c r="AE505" s="673"/>
      <c r="AF505" s="673"/>
      <c r="AG505" s="673"/>
      <c r="AH505" s="673"/>
    </row>
    <row r="506">
      <c r="A506" s="653"/>
      <c r="B506" s="654"/>
      <c r="C506" s="691"/>
      <c r="D506" s="661"/>
      <c r="E506" s="705"/>
      <c r="F506" s="659"/>
      <c r="G506" s="661"/>
      <c r="H506" s="660"/>
      <c r="I506" s="691"/>
      <c r="J506" s="661"/>
      <c r="K506" s="706"/>
      <c r="L506" s="665"/>
      <c r="M506" s="663"/>
      <c r="N506" s="665"/>
      <c r="O506" s="665"/>
      <c r="P506" s="665"/>
      <c r="Q506" s="665"/>
      <c r="R506" s="665"/>
      <c r="S506" s="665"/>
      <c r="T506" s="673"/>
      <c r="U506" s="673"/>
      <c r="V506" s="673"/>
      <c r="W506" s="673"/>
      <c r="X506" s="673"/>
      <c r="Y506" s="673"/>
      <c r="Z506" s="673"/>
      <c r="AA506" s="673"/>
      <c r="AB506" s="673"/>
      <c r="AC506" s="673"/>
      <c r="AD506" s="673"/>
      <c r="AE506" s="673"/>
      <c r="AF506" s="673"/>
      <c r="AG506" s="673"/>
      <c r="AH506" s="673"/>
    </row>
    <row r="507">
      <c r="A507" s="653"/>
      <c r="B507" s="654"/>
      <c r="C507" s="691"/>
      <c r="D507" s="661"/>
      <c r="E507" s="705"/>
      <c r="F507" s="659"/>
      <c r="G507" s="661"/>
      <c r="H507" s="660"/>
      <c r="I507" s="691"/>
      <c r="J507" s="661"/>
      <c r="K507" s="706"/>
      <c r="L507" s="665"/>
      <c r="M507" s="663"/>
      <c r="N507" s="665"/>
      <c r="O507" s="665"/>
      <c r="P507" s="665"/>
      <c r="Q507" s="665"/>
      <c r="R507" s="665"/>
      <c r="S507" s="665"/>
      <c r="T507" s="673"/>
      <c r="U507" s="673"/>
      <c r="V507" s="673"/>
      <c r="W507" s="673"/>
      <c r="X507" s="673"/>
      <c r="Y507" s="673"/>
      <c r="Z507" s="673"/>
      <c r="AA507" s="673"/>
      <c r="AB507" s="673"/>
      <c r="AC507" s="673"/>
      <c r="AD507" s="673"/>
      <c r="AE507" s="673"/>
      <c r="AF507" s="673"/>
      <c r="AG507" s="673"/>
      <c r="AH507" s="673"/>
    </row>
    <row r="508">
      <c r="A508" s="653"/>
      <c r="B508" s="654"/>
      <c r="C508" s="691"/>
      <c r="D508" s="661"/>
      <c r="E508" s="705"/>
      <c r="F508" s="659"/>
      <c r="G508" s="661"/>
      <c r="H508" s="660"/>
      <c r="I508" s="691"/>
      <c r="J508" s="661"/>
      <c r="K508" s="706"/>
      <c r="L508" s="665"/>
      <c r="M508" s="663"/>
      <c r="N508" s="665"/>
      <c r="O508" s="665"/>
      <c r="P508" s="665"/>
      <c r="Q508" s="665"/>
      <c r="R508" s="665"/>
      <c r="S508" s="665"/>
      <c r="T508" s="673"/>
      <c r="U508" s="673"/>
      <c r="V508" s="673"/>
      <c r="W508" s="673"/>
      <c r="X508" s="673"/>
      <c r="Y508" s="673"/>
      <c r="Z508" s="673"/>
      <c r="AA508" s="673"/>
      <c r="AB508" s="673"/>
      <c r="AC508" s="673"/>
      <c r="AD508" s="673"/>
      <c r="AE508" s="673"/>
      <c r="AF508" s="673"/>
      <c r="AG508" s="673"/>
      <c r="AH508" s="673"/>
    </row>
    <row r="509">
      <c r="A509" s="653"/>
      <c r="B509" s="654"/>
      <c r="C509" s="691"/>
      <c r="D509" s="661"/>
      <c r="E509" s="705"/>
      <c r="F509" s="659"/>
      <c r="G509" s="661"/>
      <c r="H509" s="660"/>
      <c r="I509" s="691"/>
      <c r="J509" s="661"/>
      <c r="K509" s="706"/>
      <c r="L509" s="665"/>
      <c r="M509" s="663"/>
      <c r="N509" s="665"/>
      <c r="O509" s="665"/>
      <c r="P509" s="665"/>
      <c r="Q509" s="665"/>
      <c r="R509" s="665"/>
      <c r="S509" s="665"/>
      <c r="T509" s="673"/>
      <c r="U509" s="673"/>
      <c r="V509" s="673"/>
      <c r="W509" s="673"/>
      <c r="X509" s="673"/>
      <c r="Y509" s="673"/>
      <c r="Z509" s="673"/>
      <c r="AA509" s="673"/>
      <c r="AB509" s="673"/>
      <c r="AC509" s="673"/>
      <c r="AD509" s="673"/>
      <c r="AE509" s="673"/>
      <c r="AF509" s="673"/>
      <c r="AG509" s="673"/>
      <c r="AH509" s="673"/>
    </row>
    <row r="510">
      <c r="A510" s="653"/>
      <c r="B510" s="654"/>
      <c r="C510" s="691"/>
      <c r="D510" s="661"/>
      <c r="E510" s="705"/>
      <c r="F510" s="659"/>
      <c r="G510" s="661"/>
      <c r="H510" s="660"/>
      <c r="I510" s="691"/>
      <c r="J510" s="661"/>
      <c r="K510" s="706"/>
      <c r="L510" s="665"/>
      <c r="M510" s="663"/>
      <c r="N510" s="665"/>
      <c r="O510" s="665"/>
      <c r="P510" s="665"/>
      <c r="Q510" s="665"/>
      <c r="R510" s="665"/>
      <c r="S510" s="665"/>
      <c r="T510" s="673"/>
      <c r="U510" s="673"/>
      <c r="V510" s="673"/>
      <c r="W510" s="673"/>
      <c r="X510" s="673"/>
      <c r="Y510" s="673"/>
      <c r="Z510" s="673"/>
      <c r="AA510" s="673"/>
      <c r="AB510" s="673"/>
      <c r="AC510" s="673"/>
      <c r="AD510" s="673"/>
      <c r="AE510" s="673"/>
      <c r="AF510" s="673"/>
      <c r="AG510" s="673"/>
      <c r="AH510" s="673"/>
    </row>
    <row r="511">
      <c r="A511" s="653"/>
      <c r="B511" s="654"/>
      <c r="C511" s="691"/>
      <c r="D511" s="661"/>
      <c r="E511" s="705"/>
      <c r="F511" s="659"/>
      <c r="G511" s="661"/>
      <c r="H511" s="660"/>
      <c r="I511" s="691"/>
      <c r="J511" s="661"/>
      <c r="K511" s="706"/>
      <c r="L511" s="665"/>
      <c r="M511" s="663"/>
      <c r="N511" s="665"/>
      <c r="O511" s="665"/>
      <c r="P511" s="665"/>
      <c r="Q511" s="665"/>
      <c r="R511" s="665"/>
      <c r="S511" s="665"/>
      <c r="T511" s="673"/>
      <c r="U511" s="673"/>
      <c r="V511" s="673"/>
      <c r="W511" s="673"/>
      <c r="X511" s="673"/>
      <c r="Y511" s="673"/>
      <c r="Z511" s="673"/>
      <c r="AA511" s="673"/>
      <c r="AB511" s="673"/>
      <c r="AC511" s="673"/>
      <c r="AD511" s="673"/>
      <c r="AE511" s="673"/>
      <c r="AF511" s="673"/>
      <c r="AG511" s="673"/>
      <c r="AH511" s="673"/>
    </row>
    <row r="512">
      <c r="A512" s="653"/>
      <c r="B512" s="654"/>
      <c r="C512" s="691"/>
      <c r="D512" s="661"/>
      <c r="E512" s="705"/>
      <c r="F512" s="659"/>
      <c r="G512" s="661"/>
      <c r="H512" s="660"/>
      <c r="I512" s="691"/>
      <c r="J512" s="661"/>
      <c r="K512" s="706"/>
      <c r="L512" s="665"/>
      <c r="M512" s="663"/>
      <c r="N512" s="665"/>
      <c r="O512" s="665"/>
      <c r="P512" s="665"/>
      <c r="Q512" s="665"/>
      <c r="R512" s="665"/>
      <c r="S512" s="665"/>
      <c r="T512" s="673"/>
      <c r="U512" s="673"/>
      <c r="V512" s="673"/>
      <c r="W512" s="673"/>
      <c r="X512" s="673"/>
      <c r="Y512" s="673"/>
      <c r="Z512" s="673"/>
      <c r="AA512" s="673"/>
      <c r="AB512" s="673"/>
      <c r="AC512" s="673"/>
      <c r="AD512" s="673"/>
      <c r="AE512" s="673"/>
      <c r="AF512" s="673"/>
      <c r="AG512" s="673"/>
      <c r="AH512" s="673"/>
    </row>
    <row r="513">
      <c r="A513" s="653"/>
      <c r="B513" s="654"/>
      <c r="C513" s="691"/>
      <c r="D513" s="661"/>
      <c r="E513" s="705"/>
      <c r="F513" s="659"/>
      <c r="G513" s="661"/>
      <c r="H513" s="660"/>
      <c r="I513" s="691"/>
      <c r="J513" s="661"/>
      <c r="K513" s="706"/>
      <c r="L513" s="665"/>
      <c r="M513" s="663"/>
      <c r="N513" s="665"/>
      <c r="O513" s="665"/>
      <c r="P513" s="665"/>
      <c r="Q513" s="665"/>
      <c r="R513" s="665"/>
      <c r="S513" s="665"/>
      <c r="T513" s="673"/>
      <c r="U513" s="673"/>
      <c r="V513" s="673"/>
      <c r="W513" s="673"/>
      <c r="X513" s="673"/>
      <c r="Y513" s="673"/>
      <c r="Z513" s="673"/>
      <c r="AA513" s="673"/>
      <c r="AB513" s="673"/>
      <c r="AC513" s="673"/>
      <c r="AD513" s="673"/>
      <c r="AE513" s="673"/>
      <c r="AF513" s="673"/>
      <c r="AG513" s="673"/>
      <c r="AH513" s="673"/>
    </row>
    <row r="514">
      <c r="A514" s="653"/>
      <c r="B514" s="654"/>
      <c r="C514" s="691"/>
      <c r="D514" s="661"/>
      <c r="E514" s="705"/>
      <c r="F514" s="659"/>
      <c r="G514" s="661"/>
      <c r="H514" s="660"/>
      <c r="I514" s="691"/>
      <c r="J514" s="661"/>
      <c r="K514" s="706"/>
      <c r="L514" s="665"/>
      <c r="M514" s="663"/>
      <c r="N514" s="665"/>
      <c r="O514" s="665"/>
      <c r="P514" s="665"/>
      <c r="Q514" s="665"/>
      <c r="R514" s="665"/>
      <c r="S514" s="665"/>
      <c r="T514" s="673"/>
      <c r="U514" s="673"/>
      <c r="V514" s="673"/>
      <c r="W514" s="673"/>
      <c r="X514" s="673"/>
      <c r="Y514" s="673"/>
      <c r="Z514" s="673"/>
      <c r="AA514" s="673"/>
      <c r="AB514" s="673"/>
      <c r="AC514" s="673"/>
      <c r="AD514" s="673"/>
      <c r="AE514" s="673"/>
      <c r="AF514" s="673"/>
      <c r="AG514" s="673"/>
      <c r="AH514" s="673"/>
    </row>
    <row r="515">
      <c r="A515" s="653"/>
      <c r="B515" s="654"/>
      <c r="C515" s="691"/>
      <c r="D515" s="661"/>
      <c r="E515" s="705"/>
      <c r="F515" s="659"/>
      <c r="G515" s="661"/>
      <c r="H515" s="660"/>
      <c r="I515" s="691"/>
      <c r="J515" s="661"/>
      <c r="K515" s="706"/>
      <c r="L515" s="665"/>
      <c r="M515" s="663"/>
      <c r="N515" s="665"/>
      <c r="O515" s="665"/>
      <c r="P515" s="665"/>
      <c r="Q515" s="665"/>
      <c r="R515" s="665"/>
      <c r="S515" s="665"/>
      <c r="T515" s="673"/>
      <c r="U515" s="673"/>
      <c r="V515" s="673"/>
      <c r="W515" s="673"/>
      <c r="X515" s="673"/>
      <c r="Y515" s="673"/>
      <c r="Z515" s="673"/>
      <c r="AA515" s="673"/>
      <c r="AB515" s="673"/>
      <c r="AC515" s="673"/>
      <c r="AD515" s="673"/>
      <c r="AE515" s="673"/>
      <c r="AF515" s="673"/>
      <c r="AG515" s="673"/>
      <c r="AH515" s="673"/>
    </row>
    <row r="516">
      <c r="A516" s="653"/>
      <c r="B516" s="654"/>
      <c r="C516" s="691"/>
      <c r="D516" s="661"/>
      <c r="E516" s="705"/>
      <c r="F516" s="659"/>
      <c r="G516" s="661"/>
      <c r="H516" s="660"/>
      <c r="I516" s="691"/>
      <c r="J516" s="661"/>
      <c r="K516" s="706"/>
      <c r="L516" s="665"/>
      <c r="M516" s="663"/>
      <c r="N516" s="665"/>
      <c r="O516" s="665"/>
      <c r="P516" s="665"/>
      <c r="Q516" s="665"/>
      <c r="R516" s="665"/>
      <c r="S516" s="665"/>
      <c r="T516" s="673"/>
      <c r="U516" s="673"/>
      <c r="V516" s="673"/>
      <c r="W516" s="673"/>
      <c r="X516" s="673"/>
      <c r="Y516" s="673"/>
      <c r="Z516" s="673"/>
      <c r="AA516" s="673"/>
      <c r="AB516" s="673"/>
      <c r="AC516" s="673"/>
      <c r="AD516" s="673"/>
      <c r="AE516" s="673"/>
      <c r="AF516" s="673"/>
      <c r="AG516" s="673"/>
      <c r="AH516" s="673"/>
    </row>
    <row r="517">
      <c r="A517" s="653"/>
      <c r="B517" s="654"/>
      <c r="C517" s="691"/>
      <c r="D517" s="661"/>
      <c r="E517" s="705"/>
      <c r="F517" s="659"/>
      <c r="G517" s="661"/>
      <c r="H517" s="660"/>
      <c r="I517" s="691"/>
      <c r="J517" s="661"/>
      <c r="K517" s="706"/>
      <c r="L517" s="665"/>
      <c r="M517" s="663"/>
      <c r="N517" s="665"/>
      <c r="O517" s="665"/>
      <c r="P517" s="665"/>
      <c r="Q517" s="665"/>
      <c r="R517" s="665"/>
      <c r="S517" s="665"/>
      <c r="T517" s="673"/>
      <c r="U517" s="673"/>
      <c r="V517" s="673"/>
      <c r="W517" s="673"/>
      <c r="X517" s="673"/>
      <c r="Y517" s="673"/>
      <c r="Z517" s="673"/>
      <c r="AA517" s="673"/>
      <c r="AB517" s="673"/>
      <c r="AC517" s="673"/>
      <c r="AD517" s="673"/>
      <c r="AE517" s="673"/>
      <c r="AF517" s="673"/>
      <c r="AG517" s="673"/>
      <c r="AH517" s="673"/>
    </row>
    <row r="518">
      <c r="A518" s="653"/>
      <c r="B518" s="654"/>
      <c r="C518" s="691"/>
      <c r="D518" s="661"/>
      <c r="E518" s="705"/>
      <c r="F518" s="659"/>
      <c r="G518" s="661"/>
      <c r="H518" s="660"/>
      <c r="I518" s="691"/>
      <c r="J518" s="661"/>
      <c r="K518" s="706"/>
      <c r="L518" s="665"/>
      <c r="M518" s="663"/>
      <c r="N518" s="665"/>
      <c r="O518" s="665"/>
      <c r="P518" s="665"/>
      <c r="Q518" s="665"/>
      <c r="R518" s="665"/>
      <c r="S518" s="665"/>
      <c r="T518" s="673"/>
      <c r="U518" s="673"/>
      <c r="V518" s="673"/>
      <c r="W518" s="673"/>
      <c r="X518" s="673"/>
      <c r="Y518" s="673"/>
      <c r="Z518" s="673"/>
      <c r="AA518" s="673"/>
      <c r="AB518" s="673"/>
      <c r="AC518" s="673"/>
      <c r="AD518" s="673"/>
      <c r="AE518" s="673"/>
      <c r="AF518" s="673"/>
      <c r="AG518" s="673"/>
      <c r="AH518" s="673"/>
    </row>
    <row r="519">
      <c r="A519" s="653"/>
      <c r="B519" s="654"/>
      <c r="C519" s="691"/>
      <c r="D519" s="661"/>
      <c r="E519" s="705"/>
      <c r="F519" s="659"/>
      <c r="G519" s="661"/>
      <c r="H519" s="660"/>
      <c r="I519" s="691"/>
      <c r="J519" s="661"/>
      <c r="K519" s="706"/>
      <c r="L519" s="665"/>
      <c r="M519" s="663"/>
      <c r="N519" s="665"/>
      <c r="O519" s="665"/>
      <c r="P519" s="665"/>
      <c r="Q519" s="665"/>
      <c r="R519" s="665"/>
      <c r="S519" s="665"/>
      <c r="T519" s="673"/>
      <c r="U519" s="673"/>
      <c r="V519" s="673"/>
      <c r="W519" s="673"/>
      <c r="X519" s="673"/>
      <c r="Y519" s="673"/>
      <c r="Z519" s="673"/>
      <c r="AA519" s="673"/>
      <c r="AB519" s="673"/>
      <c r="AC519" s="673"/>
      <c r="AD519" s="673"/>
      <c r="AE519" s="673"/>
      <c r="AF519" s="673"/>
      <c r="AG519" s="673"/>
      <c r="AH519" s="673"/>
    </row>
    <row r="520">
      <c r="A520" s="653"/>
      <c r="B520" s="654"/>
      <c r="C520" s="691"/>
      <c r="D520" s="661"/>
      <c r="E520" s="705"/>
      <c r="F520" s="659"/>
      <c r="G520" s="661"/>
      <c r="H520" s="660"/>
      <c r="I520" s="691"/>
      <c r="J520" s="661"/>
      <c r="K520" s="706"/>
      <c r="L520" s="665"/>
      <c r="M520" s="663"/>
      <c r="N520" s="665"/>
      <c r="O520" s="665"/>
      <c r="P520" s="665"/>
      <c r="Q520" s="665"/>
      <c r="R520" s="665"/>
      <c r="S520" s="665"/>
      <c r="T520" s="673"/>
      <c r="U520" s="673"/>
      <c r="V520" s="673"/>
      <c r="W520" s="673"/>
      <c r="X520" s="673"/>
      <c r="Y520" s="673"/>
      <c r="Z520" s="673"/>
      <c r="AA520" s="673"/>
      <c r="AB520" s="673"/>
      <c r="AC520" s="673"/>
      <c r="AD520" s="673"/>
      <c r="AE520" s="673"/>
      <c r="AF520" s="673"/>
      <c r="AG520" s="673"/>
      <c r="AH520" s="673"/>
    </row>
    <row r="521">
      <c r="A521" s="653"/>
      <c r="B521" s="654"/>
      <c r="C521" s="691"/>
      <c r="D521" s="661"/>
      <c r="E521" s="705"/>
      <c r="F521" s="659"/>
      <c r="G521" s="661"/>
      <c r="H521" s="660"/>
      <c r="I521" s="691"/>
      <c r="J521" s="661"/>
      <c r="K521" s="706"/>
      <c r="L521" s="665"/>
      <c r="M521" s="663"/>
      <c r="N521" s="665"/>
      <c r="O521" s="665"/>
      <c r="P521" s="665"/>
      <c r="Q521" s="665"/>
      <c r="R521" s="665"/>
      <c r="S521" s="665"/>
      <c r="T521" s="673"/>
      <c r="U521" s="673"/>
      <c r="V521" s="673"/>
      <c r="W521" s="673"/>
      <c r="X521" s="673"/>
      <c r="Y521" s="673"/>
      <c r="Z521" s="673"/>
      <c r="AA521" s="673"/>
      <c r="AB521" s="673"/>
      <c r="AC521" s="673"/>
      <c r="AD521" s="673"/>
      <c r="AE521" s="673"/>
      <c r="AF521" s="673"/>
      <c r="AG521" s="673"/>
      <c r="AH521" s="673"/>
    </row>
    <row r="522">
      <c r="A522" s="653"/>
      <c r="B522" s="654"/>
      <c r="C522" s="691"/>
      <c r="D522" s="661"/>
      <c r="E522" s="705"/>
      <c r="F522" s="659"/>
      <c r="G522" s="661"/>
      <c r="H522" s="660"/>
      <c r="I522" s="691"/>
      <c r="J522" s="661"/>
      <c r="K522" s="706"/>
      <c r="L522" s="665"/>
      <c r="M522" s="663"/>
      <c r="N522" s="665"/>
      <c r="O522" s="665"/>
      <c r="P522" s="665"/>
      <c r="Q522" s="665"/>
      <c r="R522" s="665"/>
      <c r="S522" s="665"/>
      <c r="T522" s="673"/>
      <c r="U522" s="673"/>
      <c r="V522" s="673"/>
      <c r="W522" s="673"/>
      <c r="X522" s="673"/>
      <c r="Y522" s="673"/>
      <c r="Z522" s="673"/>
      <c r="AA522" s="673"/>
      <c r="AB522" s="673"/>
      <c r="AC522" s="673"/>
      <c r="AD522" s="673"/>
      <c r="AE522" s="673"/>
      <c r="AF522" s="673"/>
      <c r="AG522" s="673"/>
      <c r="AH522" s="673"/>
    </row>
    <row r="523">
      <c r="A523" s="653"/>
      <c r="B523" s="654"/>
      <c r="C523" s="691"/>
      <c r="D523" s="661"/>
      <c r="E523" s="705"/>
      <c r="F523" s="659"/>
      <c r="G523" s="661"/>
      <c r="H523" s="660"/>
      <c r="I523" s="691"/>
      <c r="J523" s="661"/>
      <c r="K523" s="706"/>
      <c r="L523" s="665"/>
      <c r="M523" s="663"/>
      <c r="N523" s="665"/>
      <c r="O523" s="665"/>
      <c r="P523" s="665"/>
      <c r="Q523" s="665"/>
      <c r="R523" s="665"/>
      <c r="S523" s="665"/>
      <c r="T523" s="673"/>
      <c r="U523" s="673"/>
      <c r="V523" s="673"/>
      <c r="W523" s="673"/>
      <c r="X523" s="673"/>
      <c r="Y523" s="673"/>
      <c r="Z523" s="673"/>
      <c r="AA523" s="673"/>
      <c r="AB523" s="673"/>
      <c r="AC523" s="673"/>
      <c r="AD523" s="673"/>
      <c r="AE523" s="673"/>
      <c r="AF523" s="673"/>
      <c r="AG523" s="673"/>
      <c r="AH523" s="673"/>
    </row>
    <row r="524">
      <c r="A524" s="653"/>
      <c r="B524" s="654"/>
      <c r="C524" s="691"/>
      <c r="D524" s="661"/>
      <c r="E524" s="705"/>
      <c r="F524" s="659"/>
      <c r="G524" s="661"/>
      <c r="H524" s="660"/>
      <c r="I524" s="691"/>
      <c r="J524" s="661"/>
      <c r="K524" s="706"/>
      <c r="L524" s="665"/>
      <c r="M524" s="663"/>
      <c r="N524" s="665"/>
      <c r="O524" s="665"/>
      <c r="P524" s="665"/>
      <c r="Q524" s="665"/>
      <c r="R524" s="665"/>
      <c r="S524" s="665"/>
      <c r="T524" s="673"/>
      <c r="U524" s="673"/>
      <c r="V524" s="673"/>
      <c r="W524" s="673"/>
      <c r="X524" s="673"/>
      <c r="Y524" s="673"/>
      <c r="Z524" s="673"/>
      <c r="AA524" s="673"/>
      <c r="AB524" s="673"/>
      <c r="AC524" s="673"/>
      <c r="AD524" s="673"/>
      <c r="AE524" s="673"/>
      <c r="AF524" s="673"/>
      <c r="AG524" s="673"/>
      <c r="AH524" s="673"/>
    </row>
    <row r="525">
      <c r="A525" s="653"/>
      <c r="B525" s="654"/>
      <c r="C525" s="691"/>
      <c r="D525" s="661"/>
      <c r="E525" s="705"/>
      <c r="F525" s="659"/>
      <c r="G525" s="661"/>
      <c r="H525" s="660"/>
      <c r="I525" s="691"/>
      <c r="J525" s="661"/>
      <c r="K525" s="706"/>
      <c r="L525" s="665"/>
      <c r="M525" s="663"/>
      <c r="N525" s="665"/>
      <c r="O525" s="665"/>
      <c r="P525" s="665"/>
      <c r="Q525" s="665"/>
      <c r="R525" s="665"/>
      <c r="S525" s="665"/>
      <c r="T525" s="673"/>
      <c r="U525" s="673"/>
      <c r="V525" s="673"/>
      <c r="W525" s="673"/>
      <c r="X525" s="673"/>
      <c r="Y525" s="673"/>
      <c r="Z525" s="673"/>
      <c r="AA525" s="673"/>
      <c r="AB525" s="673"/>
      <c r="AC525" s="673"/>
      <c r="AD525" s="673"/>
      <c r="AE525" s="673"/>
      <c r="AF525" s="673"/>
      <c r="AG525" s="673"/>
      <c r="AH525" s="673"/>
    </row>
    <row r="526">
      <c r="A526" s="653"/>
      <c r="B526" s="654"/>
      <c r="C526" s="691"/>
      <c r="D526" s="661"/>
      <c r="E526" s="705"/>
      <c r="F526" s="659"/>
      <c r="G526" s="661"/>
      <c r="H526" s="660"/>
      <c r="I526" s="691"/>
      <c r="J526" s="661"/>
      <c r="K526" s="706"/>
      <c r="L526" s="665"/>
      <c r="M526" s="663"/>
      <c r="N526" s="665"/>
      <c r="O526" s="665"/>
      <c r="P526" s="665"/>
      <c r="Q526" s="665"/>
      <c r="R526" s="665"/>
      <c r="S526" s="665"/>
      <c r="T526" s="673"/>
      <c r="U526" s="673"/>
      <c r="V526" s="673"/>
      <c r="W526" s="673"/>
      <c r="X526" s="673"/>
      <c r="Y526" s="673"/>
      <c r="Z526" s="673"/>
      <c r="AA526" s="673"/>
      <c r="AB526" s="673"/>
      <c r="AC526" s="673"/>
      <c r="AD526" s="673"/>
      <c r="AE526" s="673"/>
      <c r="AF526" s="673"/>
      <c r="AG526" s="673"/>
      <c r="AH526" s="673"/>
    </row>
    <row r="527">
      <c r="A527" s="653"/>
      <c r="B527" s="654"/>
      <c r="C527" s="691"/>
      <c r="D527" s="661"/>
      <c r="E527" s="705"/>
      <c r="F527" s="659"/>
      <c r="G527" s="661"/>
      <c r="H527" s="660"/>
      <c r="I527" s="691"/>
      <c r="J527" s="661"/>
      <c r="K527" s="706"/>
      <c r="L527" s="665"/>
      <c r="M527" s="663"/>
      <c r="N527" s="665"/>
      <c r="O527" s="665"/>
      <c r="P527" s="665"/>
      <c r="Q527" s="665"/>
      <c r="R527" s="665"/>
      <c r="S527" s="665"/>
      <c r="T527" s="673"/>
      <c r="U527" s="673"/>
      <c r="V527" s="673"/>
      <c r="W527" s="673"/>
      <c r="X527" s="673"/>
      <c r="Y527" s="673"/>
      <c r="Z527" s="673"/>
      <c r="AA527" s="673"/>
      <c r="AB527" s="673"/>
      <c r="AC527" s="673"/>
      <c r="AD527" s="673"/>
      <c r="AE527" s="673"/>
      <c r="AF527" s="673"/>
      <c r="AG527" s="673"/>
      <c r="AH527" s="673"/>
    </row>
    <row r="528">
      <c r="A528" s="653"/>
      <c r="B528" s="654"/>
      <c r="C528" s="691"/>
      <c r="D528" s="661"/>
      <c r="E528" s="705"/>
      <c r="F528" s="659"/>
      <c r="G528" s="661"/>
      <c r="H528" s="660"/>
      <c r="I528" s="691"/>
      <c r="J528" s="661"/>
      <c r="K528" s="706"/>
      <c r="L528" s="665"/>
      <c r="M528" s="663"/>
      <c r="N528" s="665"/>
      <c r="O528" s="665"/>
      <c r="P528" s="665"/>
      <c r="Q528" s="665"/>
      <c r="R528" s="665"/>
      <c r="S528" s="665"/>
      <c r="T528" s="673"/>
      <c r="U528" s="673"/>
      <c r="V528" s="673"/>
      <c r="W528" s="673"/>
      <c r="X528" s="673"/>
      <c r="Y528" s="673"/>
      <c r="Z528" s="673"/>
      <c r="AA528" s="673"/>
      <c r="AB528" s="673"/>
      <c r="AC528" s="673"/>
      <c r="AD528" s="673"/>
      <c r="AE528" s="673"/>
      <c r="AF528" s="673"/>
      <c r="AG528" s="673"/>
      <c r="AH528" s="673"/>
    </row>
    <row r="529">
      <c r="A529" s="653"/>
      <c r="B529" s="654"/>
      <c r="C529" s="691"/>
      <c r="D529" s="661"/>
      <c r="E529" s="705"/>
      <c r="F529" s="659"/>
      <c r="G529" s="661"/>
      <c r="H529" s="660"/>
      <c r="I529" s="691"/>
      <c r="J529" s="661"/>
      <c r="K529" s="706"/>
      <c r="L529" s="665"/>
      <c r="M529" s="663"/>
      <c r="N529" s="665"/>
      <c r="O529" s="665"/>
      <c r="P529" s="665"/>
      <c r="Q529" s="665"/>
      <c r="R529" s="665"/>
      <c r="S529" s="665"/>
      <c r="T529" s="673"/>
      <c r="U529" s="673"/>
      <c r="V529" s="673"/>
      <c r="W529" s="673"/>
      <c r="X529" s="673"/>
      <c r="Y529" s="673"/>
      <c r="Z529" s="673"/>
      <c r="AA529" s="673"/>
      <c r="AB529" s="673"/>
      <c r="AC529" s="673"/>
      <c r="AD529" s="673"/>
      <c r="AE529" s="673"/>
      <c r="AF529" s="673"/>
      <c r="AG529" s="673"/>
      <c r="AH529" s="673"/>
    </row>
    <row r="530">
      <c r="A530" s="653"/>
      <c r="B530" s="654"/>
      <c r="C530" s="691"/>
      <c r="D530" s="661"/>
      <c r="E530" s="705"/>
      <c r="F530" s="659"/>
      <c r="G530" s="661"/>
      <c r="H530" s="660"/>
      <c r="I530" s="691"/>
      <c r="J530" s="661"/>
      <c r="K530" s="706"/>
      <c r="L530" s="665"/>
      <c r="M530" s="663"/>
      <c r="N530" s="665"/>
      <c r="O530" s="665"/>
      <c r="P530" s="665"/>
      <c r="Q530" s="665"/>
      <c r="R530" s="665"/>
      <c r="S530" s="665"/>
      <c r="T530" s="673"/>
      <c r="U530" s="673"/>
      <c r="V530" s="673"/>
      <c r="W530" s="673"/>
      <c r="X530" s="673"/>
      <c r="Y530" s="673"/>
      <c r="Z530" s="673"/>
      <c r="AA530" s="673"/>
      <c r="AB530" s="673"/>
      <c r="AC530" s="673"/>
      <c r="AD530" s="673"/>
      <c r="AE530" s="673"/>
      <c r="AF530" s="673"/>
      <c r="AG530" s="673"/>
      <c r="AH530" s="673"/>
    </row>
    <row r="531">
      <c r="A531" s="653"/>
      <c r="B531" s="654"/>
      <c r="C531" s="691"/>
      <c r="D531" s="661"/>
      <c r="E531" s="705"/>
      <c r="F531" s="659"/>
      <c r="G531" s="661"/>
      <c r="H531" s="660"/>
      <c r="I531" s="691"/>
      <c r="J531" s="661"/>
      <c r="K531" s="706"/>
      <c r="L531" s="665"/>
      <c r="M531" s="663"/>
      <c r="N531" s="665"/>
      <c r="O531" s="665"/>
      <c r="P531" s="665"/>
      <c r="Q531" s="665"/>
      <c r="R531" s="665"/>
      <c r="S531" s="665"/>
      <c r="T531" s="673"/>
      <c r="U531" s="673"/>
      <c r="V531" s="673"/>
      <c r="W531" s="673"/>
      <c r="X531" s="673"/>
      <c r="Y531" s="673"/>
      <c r="Z531" s="673"/>
      <c r="AA531" s="673"/>
      <c r="AB531" s="673"/>
      <c r="AC531" s="673"/>
      <c r="AD531" s="673"/>
      <c r="AE531" s="673"/>
      <c r="AF531" s="673"/>
      <c r="AG531" s="673"/>
      <c r="AH531" s="673"/>
    </row>
    <row r="532">
      <c r="A532" s="653"/>
      <c r="B532" s="654"/>
      <c r="C532" s="691"/>
      <c r="D532" s="661"/>
      <c r="E532" s="705"/>
      <c r="F532" s="659"/>
      <c r="G532" s="661"/>
      <c r="H532" s="660"/>
      <c r="I532" s="691"/>
      <c r="J532" s="661"/>
      <c r="K532" s="706"/>
      <c r="L532" s="665"/>
      <c r="M532" s="663"/>
      <c r="N532" s="665"/>
      <c r="O532" s="665"/>
      <c r="P532" s="665"/>
      <c r="Q532" s="665"/>
      <c r="R532" s="665"/>
      <c r="S532" s="665"/>
      <c r="T532" s="673"/>
      <c r="U532" s="673"/>
      <c r="V532" s="673"/>
      <c r="W532" s="673"/>
      <c r="X532" s="673"/>
      <c r="Y532" s="673"/>
      <c r="Z532" s="673"/>
      <c r="AA532" s="673"/>
      <c r="AB532" s="673"/>
      <c r="AC532" s="673"/>
      <c r="AD532" s="673"/>
      <c r="AE532" s="673"/>
      <c r="AF532" s="673"/>
      <c r="AG532" s="673"/>
      <c r="AH532" s="673"/>
    </row>
    <row r="533">
      <c r="A533" s="653"/>
      <c r="B533" s="654"/>
      <c r="C533" s="691"/>
      <c r="D533" s="661"/>
      <c r="E533" s="705"/>
      <c r="F533" s="659"/>
      <c r="G533" s="661"/>
      <c r="H533" s="660"/>
      <c r="I533" s="691"/>
      <c r="J533" s="661"/>
      <c r="K533" s="706"/>
      <c r="L533" s="665"/>
      <c r="M533" s="663"/>
      <c r="N533" s="665"/>
      <c r="O533" s="665"/>
      <c r="P533" s="665"/>
      <c r="Q533" s="665"/>
      <c r="R533" s="665"/>
      <c r="S533" s="665"/>
      <c r="T533" s="673"/>
      <c r="U533" s="673"/>
      <c r="V533" s="673"/>
      <c r="W533" s="673"/>
      <c r="X533" s="673"/>
      <c r="Y533" s="673"/>
      <c r="Z533" s="673"/>
      <c r="AA533" s="673"/>
      <c r="AB533" s="673"/>
      <c r="AC533" s="673"/>
      <c r="AD533" s="673"/>
      <c r="AE533" s="673"/>
      <c r="AF533" s="673"/>
      <c r="AG533" s="673"/>
      <c r="AH533" s="673"/>
    </row>
    <row r="534">
      <c r="A534" s="653"/>
      <c r="B534" s="654"/>
      <c r="C534" s="691"/>
      <c r="D534" s="661"/>
      <c r="E534" s="705"/>
      <c r="F534" s="659"/>
      <c r="G534" s="661"/>
      <c r="H534" s="660"/>
      <c r="I534" s="691"/>
      <c r="J534" s="661"/>
      <c r="K534" s="706"/>
      <c r="L534" s="665"/>
      <c r="M534" s="663"/>
      <c r="N534" s="665"/>
      <c r="O534" s="665"/>
      <c r="P534" s="665"/>
      <c r="Q534" s="665"/>
      <c r="R534" s="665"/>
      <c r="S534" s="665"/>
      <c r="T534" s="673"/>
      <c r="U534" s="673"/>
      <c r="V534" s="673"/>
      <c r="W534" s="673"/>
      <c r="X534" s="673"/>
      <c r="Y534" s="673"/>
      <c r="Z534" s="673"/>
      <c r="AA534" s="673"/>
      <c r="AB534" s="673"/>
      <c r="AC534" s="673"/>
      <c r="AD534" s="673"/>
      <c r="AE534" s="673"/>
      <c r="AF534" s="673"/>
      <c r="AG534" s="673"/>
      <c r="AH534" s="673"/>
    </row>
    <row r="535">
      <c r="A535" s="653"/>
      <c r="B535" s="654"/>
      <c r="C535" s="691"/>
      <c r="D535" s="661"/>
      <c r="E535" s="705"/>
      <c r="F535" s="659"/>
      <c r="G535" s="661"/>
      <c r="H535" s="660"/>
      <c r="I535" s="691"/>
      <c r="J535" s="661"/>
      <c r="K535" s="706"/>
      <c r="L535" s="665"/>
      <c r="M535" s="663"/>
      <c r="N535" s="665"/>
      <c r="O535" s="665"/>
      <c r="P535" s="665"/>
      <c r="Q535" s="665"/>
      <c r="R535" s="665"/>
      <c r="S535" s="665"/>
      <c r="T535" s="673"/>
      <c r="U535" s="673"/>
      <c r="V535" s="673"/>
      <c r="W535" s="673"/>
      <c r="X535" s="673"/>
      <c r="Y535" s="673"/>
      <c r="Z535" s="673"/>
      <c r="AA535" s="673"/>
      <c r="AB535" s="673"/>
      <c r="AC535" s="673"/>
      <c r="AD535" s="673"/>
      <c r="AE535" s="673"/>
      <c r="AF535" s="673"/>
      <c r="AG535" s="673"/>
      <c r="AH535" s="673"/>
    </row>
    <row r="536">
      <c r="A536" s="653"/>
      <c r="B536" s="654"/>
      <c r="C536" s="691"/>
      <c r="D536" s="661"/>
      <c r="E536" s="705"/>
      <c r="F536" s="659"/>
      <c r="G536" s="661"/>
      <c r="H536" s="660"/>
      <c r="I536" s="691"/>
      <c r="J536" s="661"/>
      <c r="K536" s="706"/>
      <c r="L536" s="665"/>
      <c r="M536" s="663"/>
      <c r="N536" s="665"/>
      <c r="O536" s="665"/>
      <c r="P536" s="665"/>
      <c r="Q536" s="665"/>
      <c r="R536" s="665"/>
      <c r="S536" s="665"/>
      <c r="T536" s="673"/>
      <c r="U536" s="673"/>
      <c r="V536" s="673"/>
      <c r="W536" s="673"/>
      <c r="X536" s="673"/>
      <c r="Y536" s="673"/>
      <c r="Z536" s="673"/>
      <c r="AA536" s="673"/>
      <c r="AB536" s="673"/>
      <c r="AC536" s="673"/>
      <c r="AD536" s="673"/>
      <c r="AE536" s="673"/>
      <c r="AF536" s="673"/>
      <c r="AG536" s="673"/>
      <c r="AH536" s="673"/>
    </row>
    <row r="537">
      <c r="A537" s="653"/>
      <c r="B537" s="654"/>
      <c r="C537" s="691"/>
      <c r="D537" s="661"/>
      <c r="E537" s="705"/>
      <c r="F537" s="659"/>
      <c r="G537" s="661"/>
      <c r="H537" s="660"/>
      <c r="I537" s="691"/>
      <c r="J537" s="661"/>
      <c r="K537" s="706"/>
      <c r="L537" s="665"/>
      <c r="M537" s="663"/>
      <c r="N537" s="665"/>
      <c r="O537" s="665"/>
      <c r="P537" s="665"/>
      <c r="Q537" s="665"/>
      <c r="R537" s="665"/>
      <c r="S537" s="665"/>
      <c r="T537" s="673"/>
      <c r="U537" s="673"/>
      <c r="V537" s="673"/>
      <c r="W537" s="673"/>
      <c r="X537" s="673"/>
      <c r="Y537" s="673"/>
      <c r="Z537" s="673"/>
      <c r="AA537" s="673"/>
      <c r="AB537" s="673"/>
      <c r="AC537" s="673"/>
      <c r="AD537" s="673"/>
      <c r="AE537" s="673"/>
      <c r="AF537" s="673"/>
      <c r="AG537" s="673"/>
      <c r="AH537" s="673"/>
    </row>
    <row r="538">
      <c r="A538" s="653"/>
      <c r="B538" s="654"/>
      <c r="C538" s="691"/>
      <c r="D538" s="661"/>
      <c r="E538" s="705"/>
      <c r="F538" s="659"/>
      <c r="G538" s="661"/>
      <c r="H538" s="660"/>
      <c r="I538" s="691"/>
      <c r="J538" s="661"/>
      <c r="K538" s="706"/>
      <c r="L538" s="665"/>
      <c r="M538" s="663"/>
      <c r="N538" s="665"/>
      <c r="O538" s="665"/>
      <c r="P538" s="665"/>
      <c r="Q538" s="665"/>
      <c r="R538" s="665"/>
      <c r="S538" s="665"/>
      <c r="T538" s="673"/>
      <c r="U538" s="673"/>
      <c r="V538" s="673"/>
      <c r="W538" s="673"/>
      <c r="X538" s="673"/>
      <c r="Y538" s="673"/>
      <c r="Z538" s="673"/>
      <c r="AA538" s="673"/>
      <c r="AB538" s="673"/>
      <c r="AC538" s="673"/>
      <c r="AD538" s="673"/>
      <c r="AE538" s="673"/>
      <c r="AF538" s="673"/>
      <c r="AG538" s="673"/>
      <c r="AH538" s="673"/>
    </row>
    <row r="539">
      <c r="A539" s="653"/>
      <c r="B539" s="654"/>
      <c r="C539" s="691"/>
      <c r="D539" s="661"/>
      <c r="E539" s="705"/>
      <c r="F539" s="659"/>
      <c r="G539" s="661"/>
      <c r="H539" s="660"/>
      <c r="I539" s="691"/>
      <c r="J539" s="661"/>
      <c r="K539" s="706"/>
      <c r="L539" s="665"/>
      <c r="M539" s="663"/>
      <c r="N539" s="665"/>
      <c r="O539" s="665"/>
      <c r="P539" s="665"/>
      <c r="Q539" s="665"/>
      <c r="R539" s="665"/>
      <c r="S539" s="665"/>
      <c r="T539" s="673"/>
      <c r="U539" s="673"/>
      <c r="V539" s="673"/>
      <c r="W539" s="673"/>
      <c r="X539" s="673"/>
      <c r="Y539" s="673"/>
      <c r="Z539" s="673"/>
      <c r="AA539" s="673"/>
      <c r="AB539" s="673"/>
      <c r="AC539" s="673"/>
      <c r="AD539" s="673"/>
      <c r="AE539" s="673"/>
      <c r="AF539" s="673"/>
      <c r="AG539" s="673"/>
      <c r="AH539" s="673"/>
    </row>
    <row r="540">
      <c r="A540" s="653"/>
      <c r="B540" s="654"/>
      <c r="C540" s="691"/>
      <c r="D540" s="661"/>
      <c r="E540" s="705"/>
      <c r="F540" s="659"/>
      <c r="G540" s="661"/>
      <c r="H540" s="660"/>
      <c r="I540" s="691"/>
      <c r="J540" s="661"/>
      <c r="K540" s="706"/>
      <c r="L540" s="665"/>
      <c r="M540" s="663"/>
      <c r="N540" s="665"/>
      <c r="O540" s="665"/>
      <c r="P540" s="665"/>
      <c r="Q540" s="665"/>
      <c r="R540" s="665"/>
      <c r="S540" s="665"/>
      <c r="T540" s="673"/>
      <c r="U540" s="673"/>
      <c r="V540" s="673"/>
      <c r="W540" s="673"/>
      <c r="X540" s="673"/>
      <c r="Y540" s="673"/>
      <c r="Z540" s="673"/>
      <c r="AA540" s="673"/>
      <c r="AB540" s="673"/>
      <c r="AC540" s="673"/>
      <c r="AD540" s="673"/>
      <c r="AE540" s="673"/>
      <c r="AF540" s="673"/>
      <c r="AG540" s="673"/>
      <c r="AH540" s="673"/>
    </row>
    <row r="541">
      <c r="A541" s="653"/>
      <c r="B541" s="654"/>
      <c r="C541" s="691"/>
      <c r="D541" s="661"/>
      <c r="E541" s="705"/>
      <c r="F541" s="659"/>
      <c r="G541" s="661"/>
      <c r="H541" s="660"/>
      <c r="I541" s="691"/>
      <c r="J541" s="661"/>
      <c r="K541" s="706"/>
      <c r="L541" s="665"/>
      <c r="M541" s="663"/>
      <c r="N541" s="665"/>
      <c r="O541" s="665"/>
      <c r="P541" s="665"/>
      <c r="Q541" s="665"/>
      <c r="R541" s="665"/>
      <c r="S541" s="665"/>
      <c r="T541" s="673"/>
      <c r="U541" s="673"/>
      <c r="V541" s="673"/>
      <c r="W541" s="673"/>
      <c r="X541" s="673"/>
      <c r="Y541" s="673"/>
      <c r="Z541" s="673"/>
      <c r="AA541" s="673"/>
      <c r="AB541" s="673"/>
      <c r="AC541" s="673"/>
      <c r="AD541" s="673"/>
      <c r="AE541" s="673"/>
      <c r="AF541" s="673"/>
      <c r="AG541" s="673"/>
      <c r="AH541" s="673"/>
    </row>
    <row r="542">
      <c r="A542" s="653"/>
      <c r="B542" s="654"/>
      <c r="C542" s="691"/>
      <c r="D542" s="661"/>
      <c r="E542" s="705"/>
      <c r="F542" s="659"/>
      <c r="G542" s="661"/>
      <c r="H542" s="660"/>
      <c r="I542" s="691"/>
      <c r="J542" s="661"/>
      <c r="K542" s="706"/>
      <c r="L542" s="665"/>
      <c r="M542" s="663"/>
      <c r="N542" s="665"/>
      <c r="O542" s="665"/>
      <c r="P542" s="665"/>
      <c r="Q542" s="665"/>
      <c r="R542" s="665"/>
      <c r="S542" s="665"/>
      <c r="T542" s="673"/>
      <c r="U542" s="673"/>
      <c r="V542" s="673"/>
      <c r="W542" s="673"/>
      <c r="X542" s="673"/>
      <c r="Y542" s="673"/>
      <c r="Z542" s="673"/>
      <c r="AA542" s="673"/>
      <c r="AB542" s="673"/>
      <c r="AC542" s="673"/>
      <c r="AD542" s="673"/>
      <c r="AE542" s="673"/>
      <c r="AF542" s="673"/>
      <c r="AG542" s="673"/>
      <c r="AH542" s="673"/>
    </row>
    <row r="543">
      <c r="A543" s="653"/>
      <c r="B543" s="654"/>
      <c r="C543" s="691"/>
      <c r="D543" s="661"/>
      <c r="E543" s="705"/>
      <c r="F543" s="659"/>
      <c r="G543" s="661"/>
      <c r="H543" s="660"/>
      <c r="I543" s="691"/>
      <c r="J543" s="661"/>
      <c r="K543" s="706"/>
      <c r="L543" s="665"/>
      <c r="M543" s="663"/>
      <c r="N543" s="665"/>
      <c r="O543" s="665"/>
      <c r="P543" s="665"/>
      <c r="Q543" s="665"/>
      <c r="R543" s="665"/>
      <c r="S543" s="665"/>
      <c r="T543" s="673"/>
      <c r="U543" s="673"/>
      <c r="V543" s="673"/>
      <c r="W543" s="673"/>
      <c r="X543" s="673"/>
      <c r="Y543" s="673"/>
      <c r="Z543" s="673"/>
      <c r="AA543" s="673"/>
      <c r="AB543" s="673"/>
      <c r="AC543" s="673"/>
      <c r="AD543" s="673"/>
      <c r="AE543" s="673"/>
      <c r="AF543" s="673"/>
      <c r="AG543" s="673"/>
      <c r="AH543" s="673"/>
    </row>
    <row r="544">
      <c r="A544" s="653"/>
      <c r="B544" s="654"/>
      <c r="C544" s="691"/>
      <c r="D544" s="661"/>
      <c r="E544" s="705"/>
      <c r="F544" s="659"/>
      <c r="G544" s="661"/>
      <c r="H544" s="660"/>
      <c r="I544" s="691"/>
      <c r="J544" s="661"/>
      <c r="K544" s="706"/>
      <c r="L544" s="665"/>
      <c r="M544" s="663"/>
      <c r="N544" s="665"/>
      <c r="O544" s="665"/>
      <c r="P544" s="665"/>
      <c r="Q544" s="665"/>
      <c r="R544" s="665"/>
      <c r="S544" s="665"/>
      <c r="T544" s="673"/>
      <c r="U544" s="673"/>
      <c r="V544" s="673"/>
      <c r="W544" s="673"/>
      <c r="X544" s="673"/>
      <c r="Y544" s="673"/>
      <c r="Z544" s="673"/>
      <c r="AA544" s="673"/>
      <c r="AB544" s="673"/>
      <c r="AC544" s="673"/>
      <c r="AD544" s="673"/>
      <c r="AE544" s="673"/>
      <c r="AF544" s="673"/>
      <c r="AG544" s="673"/>
      <c r="AH544" s="673"/>
    </row>
    <row r="545">
      <c r="A545" s="653"/>
      <c r="B545" s="654"/>
      <c r="C545" s="691"/>
      <c r="D545" s="661"/>
      <c r="E545" s="705"/>
      <c r="F545" s="659"/>
      <c r="G545" s="661"/>
      <c r="H545" s="660"/>
      <c r="I545" s="691"/>
      <c r="J545" s="661"/>
      <c r="K545" s="706"/>
      <c r="L545" s="665"/>
      <c r="M545" s="663"/>
      <c r="N545" s="665"/>
      <c r="O545" s="665"/>
      <c r="P545" s="665"/>
      <c r="Q545" s="665"/>
      <c r="R545" s="665"/>
      <c r="S545" s="665"/>
      <c r="T545" s="673"/>
      <c r="U545" s="673"/>
      <c r="V545" s="673"/>
      <c r="W545" s="673"/>
      <c r="X545" s="673"/>
      <c r="Y545" s="673"/>
      <c r="Z545" s="673"/>
      <c r="AA545" s="673"/>
      <c r="AB545" s="673"/>
      <c r="AC545" s="673"/>
      <c r="AD545" s="673"/>
      <c r="AE545" s="673"/>
      <c r="AF545" s="673"/>
      <c r="AG545" s="673"/>
      <c r="AH545" s="673"/>
    </row>
    <row r="546">
      <c r="A546" s="653"/>
      <c r="B546" s="654"/>
      <c r="C546" s="691"/>
      <c r="D546" s="661"/>
      <c r="E546" s="705"/>
      <c r="F546" s="659"/>
      <c r="G546" s="661"/>
      <c r="H546" s="660"/>
      <c r="I546" s="691"/>
      <c r="J546" s="661"/>
      <c r="K546" s="706"/>
      <c r="L546" s="665"/>
      <c r="M546" s="663"/>
      <c r="N546" s="665"/>
      <c r="O546" s="665"/>
      <c r="P546" s="665"/>
      <c r="Q546" s="665"/>
      <c r="R546" s="665"/>
      <c r="S546" s="665"/>
      <c r="T546" s="673"/>
      <c r="U546" s="673"/>
      <c r="V546" s="673"/>
      <c r="W546" s="673"/>
      <c r="X546" s="673"/>
      <c r="Y546" s="673"/>
      <c r="Z546" s="673"/>
      <c r="AA546" s="673"/>
      <c r="AB546" s="673"/>
      <c r="AC546" s="673"/>
      <c r="AD546" s="673"/>
      <c r="AE546" s="673"/>
      <c r="AF546" s="673"/>
      <c r="AG546" s="673"/>
      <c r="AH546" s="673"/>
    </row>
    <row r="547">
      <c r="A547" s="653"/>
      <c r="B547" s="654"/>
      <c r="C547" s="691"/>
      <c r="D547" s="661"/>
      <c r="E547" s="705"/>
      <c r="F547" s="659"/>
      <c r="G547" s="661"/>
      <c r="H547" s="660"/>
      <c r="I547" s="691"/>
      <c r="J547" s="661"/>
      <c r="K547" s="706"/>
      <c r="L547" s="665"/>
      <c r="M547" s="663"/>
      <c r="N547" s="665"/>
      <c r="O547" s="665"/>
      <c r="P547" s="665"/>
      <c r="Q547" s="665"/>
      <c r="R547" s="665"/>
      <c r="S547" s="665"/>
      <c r="T547" s="673"/>
      <c r="U547" s="673"/>
      <c r="V547" s="673"/>
      <c r="W547" s="673"/>
      <c r="X547" s="673"/>
      <c r="Y547" s="673"/>
      <c r="Z547" s="673"/>
      <c r="AA547" s="673"/>
      <c r="AB547" s="673"/>
      <c r="AC547" s="673"/>
      <c r="AD547" s="673"/>
      <c r="AE547" s="673"/>
      <c r="AF547" s="673"/>
      <c r="AG547" s="673"/>
      <c r="AH547" s="673"/>
    </row>
    <row r="548">
      <c r="A548" s="653"/>
      <c r="B548" s="654"/>
      <c r="C548" s="691"/>
      <c r="D548" s="661"/>
      <c r="E548" s="705"/>
      <c r="F548" s="659"/>
      <c r="G548" s="661"/>
      <c r="H548" s="660"/>
      <c r="I548" s="691"/>
      <c r="J548" s="661"/>
      <c r="K548" s="706"/>
      <c r="L548" s="665"/>
      <c r="M548" s="663"/>
      <c r="N548" s="665"/>
      <c r="O548" s="665"/>
      <c r="P548" s="665"/>
      <c r="Q548" s="665"/>
      <c r="R548" s="665"/>
      <c r="S548" s="665"/>
      <c r="T548" s="673"/>
      <c r="U548" s="673"/>
      <c r="V548" s="673"/>
      <c r="W548" s="673"/>
      <c r="X548" s="673"/>
      <c r="Y548" s="673"/>
      <c r="Z548" s="673"/>
      <c r="AA548" s="673"/>
      <c r="AB548" s="673"/>
      <c r="AC548" s="673"/>
      <c r="AD548" s="673"/>
      <c r="AE548" s="673"/>
      <c r="AF548" s="673"/>
      <c r="AG548" s="673"/>
      <c r="AH548" s="673"/>
    </row>
    <row r="549">
      <c r="A549" s="653"/>
      <c r="B549" s="654"/>
      <c r="C549" s="691"/>
      <c r="D549" s="661"/>
      <c r="E549" s="705"/>
      <c r="F549" s="659"/>
      <c r="G549" s="661"/>
      <c r="H549" s="660"/>
      <c r="I549" s="691"/>
      <c r="J549" s="661"/>
      <c r="K549" s="706"/>
      <c r="L549" s="665"/>
      <c r="M549" s="663"/>
      <c r="N549" s="665"/>
      <c r="O549" s="665"/>
      <c r="P549" s="665"/>
      <c r="Q549" s="665"/>
      <c r="R549" s="665"/>
      <c r="S549" s="665"/>
      <c r="T549" s="673"/>
      <c r="U549" s="673"/>
      <c r="V549" s="673"/>
      <c r="W549" s="673"/>
      <c r="X549" s="673"/>
      <c r="Y549" s="673"/>
      <c r="Z549" s="673"/>
      <c r="AA549" s="673"/>
      <c r="AB549" s="673"/>
      <c r="AC549" s="673"/>
      <c r="AD549" s="673"/>
      <c r="AE549" s="673"/>
      <c r="AF549" s="673"/>
      <c r="AG549" s="673"/>
      <c r="AH549" s="673"/>
    </row>
    <row r="550">
      <c r="A550" s="653"/>
      <c r="B550" s="654"/>
      <c r="C550" s="691"/>
      <c r="D550" s="661"/>
      <c r="E550" s="705"/>
      <c r="F550" s="659"/>
      <c r="G550" s="661"/>
      <c r="H550" s="660"/>
      <c r="I550" s="691"/>
      <c r="J550" s="661"/>
      <c r="K550" s="706"/>
      <c r="L550" s="665"/>
      <c r="M550" s="663"/>
      <c r="N550" s="665"/>
      <c r="O550" s="665"/>
      <c r="P550" s="665"/>
      <c r="Q550" s="665"/>
      <c r="R550" s="665"/>
      <c r="S550" s="665"/>
      <c r="T550" s="673"/>
      <c r="U550" s="673"/>
      <c r="V550" s="673"/>
      <c r="W550" s="673"/>
      <c r="X550" s="673"/>
      <c r="Y550" s="673"/>
      <c r="Z550" s="673"/>
      <c r="AA550" s="673"/>
      <c r="AB550" s="673"/>
      <c r="AC550" s="673"/>
      <c r="AD550" s="673"/>
      <c r="AE550" s="673"/>
      <c r="AF550" s="673"/>
      <c r="AG550" s="673"/>
      <c r="AH550" s="673"/>
    </row>
    <row r="551">
      <c r="A551" s="653"/>
      <c r="B551" s="654"/>
      <c r="C551" s="691"/>
      <c r="D551" s="661"/>
      <c r="E551" s="705"/>
      <c r="F551" s="659"/>
      <c r="G551" s="661"/>
      <c r="H551" s="660"/>
      <c r="I551" s="691"/>
      <c r="J551" s="661"/>
      <c r="K551" s="706"/>
      <c r="L551" s="665"/>
      <c r="M551" s="663"/>
      <c r="N551" s="665"/>
      <c r="O551" s="665"/>
      <c r="P551" s="665"/>
      <c r="Q551" s="665"/>
      <c r="R551" s="665"/>
      <c r="S551" s="665"/>
      <c r="T551" s="673"/>
      <c r="U551" s="673"/>
      <c r="V551" s="673"/>
      <c r="W551" s="673"/>
      <c r="X551" s="673"/>
      <c r="Y551" s="673"/>
      <c r="Z551" s="673"/>
      <c r="AA551" s="673"/>
      <c r="AB551" s="673"/>
      <c r="AC551" s="673"/>
      <c r="AD551" s="673"/>
      <c r="AE551" s="673"/>
      <c r="AF551" s="673"/>
      <c r="AG551" s="673"/>
      <c r="AH551" s="673"/>
    </row>
    <row r="552">
      <c r="A552" s="653"/>
      <c r="B552" s="654"/>
      <c r="C552" s="691"/>
      <c r="D552" s="661"/>
      <c r="E552" s="705"/>
      <c r="F552" s="659"/>
      <c r="G552" s="661"/>
      <c r="H552" s="660"/>
      <c r="I552" s="691"/>
      <c r="J552" s="661"/>
      <c r="K552" s="706"/>
      <c r="L552" s="665"/>
      <c r="M552" s="663"/>
      <c r="N552" s="665"/>
      <c r="O552" s="665"/>
      <c r="P552" s="665"/>
      <c r="Q552" s="665"/>
      <c r="R552" s="665"/>
      <c r="S552" s="665"/>
      <c r="T552" s="673"/>
      <c r="U552" s="673"/>
      <c r="V552" s="673"/>
      <c r="W552" s="673"/>
      <c r="X552" s="673"/>
      <c r="Y552" s="673"/>
      <c r="Z552" s="673"/>
      <c r="AA552" s="673"/>
      <c r="AB552" s="673"/>
      <c r="AC552" s="673"/>
      <c r="AD552" s="673"/>
      <c r="AE552" s="673"/>
      <c r="AF552" s="673"/>
      <c r="AG552" s="673"/>
      <c r="AH552" s="673"/>
    </row>
    <row r="553">
      <c r="A553" s="653"/>
      <c r="B553" s="654"/>
      <c r="C553" s="691"/>
      <c r="D553" s="661"/>
      <c r="E553" s="705"/>
      <c r="F553" s="659"/>
      <c r="G553" s="661"/>
      <c r="H553" s="660"/>
      <c r="I553" s="691"/>
      <c r="J553" s="661"/>
      <c r="K553" s="706"/>
      <c r="L553" s="665"/>
      <c r="M553" s="663"/>
      <c r="N553" s="665"/>
      <c r="O553" s="665"/>
      <c r="P553" s="665"/>
      <c r="Q553" s="665"/>
      <c r="R553" s="665"/>
      <c r="S553" s="665"/>
      <c r="T553" s="673"/>
      <c r="U553" s="673"/>
      <c r="V553" s="673"/>
      <c r="W553" s="673"/>
      <c r="X553" s="673"/>
      <c r="Y553" s="673"/>
      <c r="Z553" s="673"/>
      <c r="AA553" s="673"/>
      <c r="AB553" s="673"/>
      <c r="AC553" s="673"/>
      <c r="AD553" s="673"/>
      <c r="AE553" s="673"/>
      <c r="AF553" s="673"/>
      <c r="AG553" s="673"/>
      <c r="AH553" s="673"/>
    </row>
    <row r="554">
      <c r="A554" s="653"/>
      <c r="B554" s="654"/>
      <c r="C554" s="691"/>
      <c r="D554" s="661"/>
      <c r="E554" s="705"/>
      <c r="F554" s="659"/>
      <c r="G554" s="661"/>
      <c r="H554" s="660"/>
      <c r="I554" s="691"/>
      <c r="J554" s="661"/>
      <c r="K554" s="706"/>
      <c r="L554" s="665"/>
      <c r="M554" s="663"/>
      <c r="N554" s="665"/>
      <c r="O554" s="665"/>
      <c r="P554" s="665"/>
      <c r="Q554" s="665"/>
      <c r="R554" s="665"/>
      <c r="S554" s="665"/>
      <c r="T554" s="673"/>
      <c r="U554" s="673"/>
      <c r="V554" s="673"/>
      <c r="W554" s="673"/>
      <c r="X554" s="673"/>
      <c r="Y554" s="673"/>
      <c r="Z554" s="673"/>
      <c r="AA554" s="673"/>
      <c r="AB554" s="673"/>
      <c r="AC554" s="673"/>
      <c r="AD554" s="673"/>
      <c r="AE554" s="673"/>
      <c r="AF554" s="673"/>
      <c r="AG554" s="673"/>
      <c r="AH554" s="673"/>
    </row>
    <row r="555">
      <c r="A555" s="653"/>
      <c r="B555" s="654"/>
      <c r="C555" s="691"/>
      <c r="D555" s="661"/>
      <c r="E555" s="705"/>
      <c r="F555" s="659"/>
      <c r="G555" s="661"/>
      <c r="H555" s="660"/>
      <c r="I555" s="691"/>
      <c r="J555" s="661"/>
      <c r="K555" s="706"/>
      <c r="L555" s="665"/>
      <c r="M555" s="663"/>
      <c r="N555" s="665"/>
      <c r="O555" s="665"/>
      <c r="P555" s="665"/>
      <c r="Q555" s="665"/>
      <c r="R555" s="665"/>
      <c r="S555" s="665"/>
      <c r="T555" s="673"/>
      <c r="U555" s="673"/>
      <c r="V555" s="673"/>
      <c r="W555" s="673"/>
      <c r="X555" s="673"/>
      <c r="Y555" s="673"/>
      <c r="Z555" s="673"/>
      <c r="AA555" s="673"/>
      <c r="AB555" s="673"/>
      <c r="AC555" s="673"/>
      <c r="AD555" s="673"/>
      <c r="AE555" s="673"/>
      <c r="AF555" s="673"/>
      <c r="AG555" s="673"/>
      <c r="AH555" s="673"/>
    </row>
    <row r="556">
      <c r="A556" s="653"/>
      <c r="B556" s="654"/>
      <c r="C556" s="691"/>
      <c r="D556" s="661"/>
      <c r="E556" s="705"/>
      <c r="F556" s="659"/>
      <c r="G556" s="661"/>
      <c r="H556" s="660"/>
      <c r="I556" s="691"/>
      <c r="J556" s="661"/>
      <c r="K556" s="706"/>
      <c r="L556" s="665"/>
      <c r="M556" s="663"/>
      <c r="N556" s="665"/>
      <c r="O556" s="665"/>
      <c r="P556" s="665"/>
      <c r="Q556" s="665"/>
      <c r="R556" s="665"/>
      <c r="S556" s="665"/>
      <c r="T556" s="673"/>
      <c r="U556" s="673"/>
      <c r="V556" s="673"/>
      <c r="W556" s="673"/>
      <c r="X556" s="673"/>
      <c r="Y556" s="673"/>
      <c r="Z556" s="673"/>
      <c r="AA556" s="673"/>
      <c r="AB556" s="673"/>
      <c r="AC556" s="673"/>
      <c r="AD556" s="673"/>
      <c r="AE556" s="673"/>
      <c r="AF556" s="673"/>
      <c r="AG556" s="673"/>
      <c r="AH556" s="673"/>
    </row>
    <row r="557">
      <c r="A557" s="653"/>
      <c r="B557" s="654"/>
      <c r="C557" s="691"/>
      <c r="D557" s="661"/>
      <c r="E557" s="705"/>
      <c r="F557" s="659"/>
      <c r="G557" s="661"/>
      <c r="H557" s="660"/>
      <c r="I557" s="691"/>
      <c r="J557" s="661"/>
      <c r="K557" s="706"/>
      <c r="L557" s="665"/>
      <c r="M557" s="663"/>
      <c r="N557" s="665"/>
      <c r="O557" s="665"/>
      <c r="P557" s="665"/>
      <c r="Q557" s="665"/>
      <c r="R557" s="665"/>
      <c r="S557" s="665"/>
      <c r="T557" s="673"/>
      <c r="U557" s="673"/>
      <c r="V557" s="673"/>
      <c r="W557" s="673"/>
      <c r="X557" s="673"/>
      <c r="Y557" s="673"/>
      <c r="Z557" s="673"/>
      <c r="AA557" s="673"/>
      <c r="AB557" s="673"/>
      <c r="AC557" s="673"/>
      <c r="AD557" s="673"/>
      <c r="AE557" s="673"/>
      <c r="AF557" s="673"/>
      <c r="AG557" s="673"/>
      <c r="AH557" s="673"/>
    </row>
    <row r="558">
      <c r="A558" s="653"/>
      <c r="B558" s="654"/>
      <c r="C558" s="691"/>
      <c r="D558" s="661"/>
      <c r="E558" s="705"/>
      <c r="F558" s="659"/>
      <c r="G558" s="661"/>
      <c r="H558" s="660"/>
      <c r="I558" s="691"/>
      <c r="J558" s="661"/>
      <c r="K558" s="706"/>
      <c r="L558" s="665"/>
      <c r="M558" s="663"/>
      <c r="N558" s="665"/>
      <c r="O558" s="665"/>
      <c r="P558" s="665"/>
      <c r="Q558" s="665"/>
      <c r="R558" s="665"/>
      <c r="S558" s="665"/>
      <c r="T558" s="673"/>
      <c r="U558" s="673"/>
      <c r="V558" s="673"/>
      <c r="W558" s="673"/>
      <c r="X558" s="673"/>
      <c r="Y558" s="673"/>
      <c r="Z558" s="673"/>
      <c r="AA558" s="673"/>
      <c r="AB558" s="673"/>
      <c r="AC558" s="673"/>
      <c r="AD558" s="673"/>
      <c r="AE558" s="673"/>
      <c r="AF558" s="673"/>
      <c r="AG558" s="673"/>
      <c r="AH558" s="673"/>
    </row>
    <row r="559">
      <c r="A559" s="653"/>
      <c r="B559" s="654"/>
      <c r="C559" s="691"/>
      <c r="D559" s="661"/>
      <c r="E559" s="705"/>
      <c r="F559" s="659"/>
      <c r="G559" s="661"/>
      <c r="H559" s="660"/>
      <c r="I559" s="691"/>
      <c r="J559" s="661"/>
      <c r="K559" s="706"/>
      <c r="L559" s="665"/>
      <c r="M559" s="663"/>
      <c r="N559" s="665"/>
      <c r="O559" s="665"/>
      <c r="P559" s="665"/>
      <c r="Q559" s="665"/>
      <c r="R559" s="665"/>
      <c r="S559" s="665"/>
      <c r="T559" s="673"/>
      <c r="U559" s="673"/>
      <c r="V559" s="673"/>
      <c r="W559" s="673"/>
      <c r="X559" s="673"/>
      <c r="Y559" s="673"/>
      <c r="Z559" s="673"/>
      <c r="AA559" s="673"/>
      <c r="AB559" s="673"/>
      <c r="AC559" s="673"/>
      <c r="AD559" s="673"/>
      <c r="AE559" s="673"/>
      <c r="AF559" s="673"/>
      <c r="AG559" s="673"/>
      <c r="AH559" s="673"/>
    </row>
    <row r="560">
      <c r="A560" s="653"/>
      <c r="B560" s="654"/>
      <c r="C560" s="691"/>
      <c r="D560" s="661"/>
      <c r="E560" s="705"/>
      <c r="F560" s="659"/>
      <c r="G560" s="661"/>
      <c r="H560" s="660"/>
      <c r="I560" s="691"/>
      <c r="J560" s="661"/>
      <c r="K560" s="706"/>
      <c r="L560" s="665"/>
      <c r="M560" s="663"/>
      <c r="N560" s="665"/>
      <c r="O560" s="665"/>
      <c r="P560" s="665"/>
      <c r="Q560" s="665"/>
      <c r="R560" s="665"/>
      <c r="S560" s="665"/>
      <c r="T560" s="673"/>
      <c r="U560" s="673"/>
      <c r="V560" s="673"/>
      <c r="W560" s="673"/>
      <c r="X560" s="673"/>
      <c r="Y560" s="673"/>
      <c r="Z560" s="673"/>
      <c r="AA560" s="673"/>
      <c r="AB560" s="673"/>
      <c r="AC560" s="673"/>
      <c r="AD560" s="673"/>
      <c r="AE560" s="673"/>
      <c r="AF560" s="673"/>
      <c r="AG560" s="673"/>
      <c r="AH560" s="673"/>
    </row>
    <row r="561">
      <c r="A561" s="653"/>
      <c r="B561" s="654"/>
      <c r="C561" s="691"/>
      <c r="D561" s="661"/>
      <c r="E561" s="705"/>
      <c r="F561" s="659"/>
      <c r="G561" s="661"/>
      <c r="H561" s="660"/>
      <c r="I561" s="691"/>
      <c r="J561" s="661"/>
      <c r="K561" s="706"/>
      <c r="L561" s="665"/>
      <c r="M561" s="663"/>
      <c r="N561" s="665"/>
      <c r="O561" s="665"/>
      <c r="P561" s="665"/>
      <c r="Q561" s="665"/>
      <c r="R561" s="665"/>
      <c r="S561" s="665"/>
      <c r="T561" s="673"/>
      <c r="U561" s="673"/>
      <c r="V561" s="673"/>
      <c r="W561" s="673"/>
      <c r="X561" s="673"/>
      <c r="Y561" s="673"/>
      <c r="Z561" s="673"/>
      <c r="AA561" s="673"/>
      <c r="AB561" s="673"/>
      <c r="AC561" s="673"/>
      <c r="AD561" s="673"/>
      <c r="AE561" s="673"/>
      <c r="AF561" s="673"/>
      <c r="AG561" s="673"/>
      <c r="AH561" s="673"/>
    </row>
    <row r="562">
      <c r="A562" s="653"/>
      <c r="B562" s="654"/>
      <c r="C562" s="691"/>
      <c r="D562" s="661"/>
      <c r="E562" s="705"/>
      <c r="F562" s="659"/>
      <c r="G562" s="661"/>
      <c r="H562" s="660"/>
      <c r="I562" s="691"/>
      <c r="J562" s="661"/>
      <c r="K562" s="706"/>
      <c r="L562" s="665"/>
      <c r="M562" s="663"/>
      <c r="N562" s="665"/>
      <c r="O562" s="665"/>
      <c r="P562" s="665"/>
      <c r="Q562" s="665"/>
      <c r="R562" s="665"/>
      <c r="S562" s="665"/>
      <c r="T562" s="673"/>
      <c r="U562" s="673"/>
      <c r="V562" s="673"/>
      <c r="W562" s="673"/>
      <c r="X562" s="673"/>
      <c r="Y562" s="673"/>
      <c r="Z562" s="673"/>
      <c r="AA562" s="673"/>
      <c r="AB562" s="673"/>
      <c r="AC562" s="673"/>
      <c r="AD562" s="673"/>
      <c r="AE562" s="673"/>
      <c r="AF562" s="673"/>
      <c r="AG562" s="673"/>
      <c r="AH562" s="673"/>
    </row>
    <row r="563">
      <c r="A563" s="653"/>
      <c r="B563" s="654"/>
      <c r="C563" s="691"/>
      <c r="D563" s="661"/>
      <c r="E563" s="705"/>
      <c r="F563" s="659"/>
      <c r="G563" s="661"/>
      <c r="H563" s="660"/>
      <c r="I563" s="691"/>
      <c r="J563" s="661"/>
      <c r="K563" s="706"/>
      <c r="L563" s="665"/>
      <c r="M563" s="663"/>
      <c r="N563" s="665"/>
      <c r="O563" s="665"/>
      <c r="P563" s="665"/>
      <c r="Q563" s="665"/>
      <c r="R563" s="665"/>
      <c r="S563" s="665"/>
      <c r="T563" s="673"/>
      <c r="U563" s="673"/>
      <c r="V563" s="673"/>
      <c r="W563" s="673"/>
      <c r="X563" s="673"/>
      <c r="Y563" s="673"/>
      <c r="Z563" s="673"/>
      <c r="AA563" s="673"/>
      <c r="AB563" s="673"/>
      <c r="AC563" s="673"/>
      <c r="AD563" s="673"/>
      <c r="AE563" s="673"/>
      <c r="AF563" s="673"/>
      <c r="AG563" s="673"/>
      <c r="AH563" s="673"/>
    </row>
    <row r="564">
      <c r="A564" s="653"/>
      <c r="B564" s="654"/>
      <c r="C564" s="691"/>
      <c r="D564" s="661"/>
      <c r="E564" s="705"/>
      <c r="F564" s="659"/>
      <c r="G564" s="661"/>
      <c r="H564" s="660"/>
      <c r="I564" s="691"/>
      <c r="J564" s="661"/>
      <c r="K564" s="706"/>
      <c r="L564" s="665"/>
      <c r="M564" s="663"/>
      <c r="N564" s="665"/>
      <c r="O564" s="665"/>
      <c r="P564" s="665"/>
      <c r="Q564" s="665"/>
      <c r="R564" s="665"/>
      <c r="S564" s="665"/>
      <c r="T564" s="673"/>
      <c r="U564" s="673"/>
      <c r="V564" s="673"/>
      <c r="W564" s="673"/>
      <c r="X564" s="673"/>
      <c r="Y564" s="673"/>
      <c r="Z564" s="673"/>
      <c r="AA564" s="673"/>
      <c r="AB564" s="673"/>
      <c r="AC564" s="673"/>
      <c r="AD564" s="673"/>
      <c r="AE564" s="673"/>
      <c r="AF564" s="673"/>
      <c r="AG564" s="673"/>
      <c r="AH564" s="673"/>
    </row>
    <row r="565">
      <c r="A565" s="653"/>
      <c r="B565" s="654"/>
      <c r="C565" s="691"/>
      <c r="D565" s="661"/>
      <c r="E565" s="705"/>
      <c r="F565" s="659"/>
      <c r="G565" s="661"/>
      <c r="H565" s="660"/>
      <c r="I565" s="691"/>
      <c r="J565" s="661"/>
      <c r="K565" s="706"/>
      <c r="L565" s="665"/>
      <c r="M565" s="663"/>
      <c r="N565" s="665"/>
      <c r="O565" s="665"/>
      <c r="P565" s="665"/>
      <c r="Q565" s="665"/>
      <c r="R565" s="665"/>
      <c r="S565" s="665"/>
      <c r="T565" s="673"/>
      <c r="U565" s="673"/>
      <c r="V565" s="673"/>
      <c r="W565" s="673"/>
      <c r="X565" s="673"/>
      <c r="Y565" s="673"/>
      <c r="Z565" s="673"/>
      <c r="AA565" s="673"/>
      <c r="AB565" s="673"/>
      <c r="AC565" s="673"/>
      <c r="AD565" s="673"/>
      <c r="AE565" s="673"/>
      <c r="AF565" s="673"/>
      <c r="AG565" s="673"/>
      <c r="AH565" s="673"/>
    </row>
    <row r="566">
      <c r="A566" s="653"/>
      <c r="B566" s="654"/>
      <c r="C566" s="691"/>
      <c r="D566" s="661"/>
      <c r="E566" s="705"/>
      <c r="F566" s="659"/>
      <c r="G566" s="661"/>
      <c r="H566" s="660"/>
      <c r="I566" s="691"/>
      <c r="J566" s="661"/>
      <c r="K566" s="706"/>
      <c r="L566" s="665"/>
      <c r="M566" s="663"/>
      <c r="N566" s="665"/>
      <c r="O566" s="665"/>
      <c r="P566" s="665"/>
      <c r="Q566" s="665"/>
      <c r="R566" s="665"/>
      <c r="S566" s="665"/>
      <c r="T566" s="673"/>
      <c r="U566" s="673"/>
      <c r="V566" s="673"/>
      <c r="W566" s="673"/>
      <c r="X566" s="673"/>
      <c r="Y566" s="673"/>
      <c r="Z566" s="673"/>
      <c r="AA566" s="673"/>
      <c r="AB566" s="673"/>
      <c r="AC566" s="673"/>
      <c r="AD566" s="673"/>
      <c r="AE566" s="673"/>
      <c r="AF566" s="673"/>
      <c r="AG566" s="673"/>
      <c r="AH566" s="673"/>
    </row>
    <row r="567">
      <c r="A567" s="653"/>
      <c r="B567" s="654"/>
      <c r="C567" s="691"/>
      <c r="D567" s="661"/>
      <c r="E567" s="705"/>
      <c r="F567" s="659"/>
      <c r="G567" s="661"/>
      <c r="H567" s="660"/>
      <c r="I567" s="691"/>
      <c r="J567" s="661"/>
      <c r="K567" s="706"/>
      <c r="L567" s="665"/>
      <c r="M567" s="663"/>
      <c r="N567" s="665"/>
      <c r="O567" s="665"/>
      <c r="P567" s="665"/>
      <c r="Q567" s="665"/>
      <c r="R567" s="665"/>
      <c r="S567" s="665"/>
      <c r="T567" s="673"/>
      <c r="U567" s="673"/>
      <c r="V567" s="673"/>
      <c r="W567" s="673"/>
      <c r="X567" s="673"/>
      <c r="Y567" s="673"/>
      <c r="Z567" s="673"/>
      <c r="AA567" s="673"/>
      <c r="AB567" s="673"/>
      <c r="AC567" s="673"/>
      <c r="AD567" s="673"/>
      <c r="AE567" s="673"/>
      <c r="AF567" s="673"/>
      <c r="AG567" s="673"/>
      <c r="AH567" s="673"/>
    </row>
    <row r="568">
      <c r="A568" s="653"/>
      <c r="B568" s="654"/>
      <c r="C568" s="691"/>
      <c r="D568" s="661"/>
      <c r="E568" s="705"/>
      <c r="F568" s="659"/>
      <c r="G568" s="661"/>
      <c r="H568" s="660"/>
      <c r="I568" s="691"/>
      <c r="J568" s="661"/>
      <c r="K568" s="706"/>
      <c r="L568" s="665"/>
      <c r="M568" s="663"/>
      <c r="N568" s="665"/>
      <c r="O568" s="665"/>
      <c r="P568" s="665"/>
      <c r="Q568" s="665"/>
      <c r="R568" s="665"/>
      <c r="S568" s="665"/>
      <c r="T568" s="673"/>
      <c r="U568" s="673"/>
      <c r="V568" s="673"/>
      <c r="W568" s="673"/>
      <c r="X568" s="673"/>
      <c r="Y568" s="673"/>
      <c r="Z568" s="673"/>
      <c r="AA568" s="673"/>
      <c r="AB568" s="673"/>
      <c r="AC568" s="673"/>
      <c r="AD568" s="673"/>
      <c r="AE568" s="673"/>
      <c r="AF568" s="673"/>
      <c r="AG568" s="673"/>
      <c r="AH568" s="673"/>
    </row>
    <row r="569">
      <c r="A569" s="653"/>
      <c r="B569" s="654"/>
      <c r="C569" s="691"/>
      <c r="D569" s="661"/>
      <c r="E569" s="705"/>
      <c r="F569" s="659"/>
      <c r="G569" s="661"/>
      <c r="H569" s="660"/>
      <c r="I569" s="691"/>
      <c r="J569" s="661"/>
      <c r="K569" s="706"/>
      <c r="L569" s="665"/>
      <c r="M569" s="663"/>
      <c r="N569" s="665"/>
      <c r="O569" s="665"/>
      <c r="P569" s="665"/>
      <c r="Q569" s="665"/>
      <c r="R569" s="665"/>
      <c r="S569" s="665"/>
      <c r="T569" s="673"/>
      <c r="U569" s="673"/>
      <c r="V569" s="673"/>
      <c r="W569" s="673"/>
      <c r="X569" s="673"/>
      <c r="Y569" s="673"/>
      <c r="Z569" s="673"/>
      <c r="AA569" s="673"/>
      <c r="AB569" s="673"/>
      <c r="AC569" s="673"/>
      <c r="AD569" s="673"/>
      <c r="AE569" s="673"/>
      <c r="AF569" s="673"/>
      <c r="AG569" s="673"/>
      <c r="AH569" s="673"/>
    </row>
    <row r="570">
      <c r="A570" s="653"/>
      <c r="B570" s="654"/>
      <c r="C570" s="691"/>
      <c r="D570" s="661"/>
      <c r="E570" s="705"/>
      <c r="F570" s="659"/>
      <c r="G570" s="661"/>
      <c r="H570" s="660"/>
      <c r="I570" s="691"/>
      <c r="J570" s="661"/>
      <c r="K570" s="706"/>
      <c r="L570" s="665"/>
      <c r="M570" s="663"/>
      <c r="N570" s="665"/>
      <c r="O570" s="665"/>
      <c r="P570" s="665"/>
      <c r="Q570" s="665"/>
      <c r="R570" s="665"/>
      <c r="S570" s="665"/>
      <c r="T570" s="673"/>
      <c r="U570" s="673"/>
      <c r="V570" s="673"/>
      <c r="W570" s="673"/>
      <c r="X570" s="673"/>
      <c r="Y570" s="673"/>
      <c r="Z570" s="673"/>
      <c r="AA570" s="673"/>
      <c r="AB570" s="673"/>
      <c r="AC570" s="673"/>
      <c r="AD570" s="673"/>
      <c r="AE570" s="673"/>
      <c r="AF570" s="673"/>
      <c r="AG570" s="673"/>
      <c r="AH570" s="673"/>
    </row>
    <row r="571">
      <c r="A571" s="653"/>
      <c r="B571" s="654"/>
      <c r="C571" s="691"/>
      <c r="D571" s="661"/>
      <c r="E571" s="705"/>
      <c r="F571" s="659"/>
      <c r="G571" s="661"/>
      <c r="H571" s="660"/>
      <c r="I571" s="691"/>
      <c r="J571" s="661"/>
      <c r="K571" s="706"/>
      <c r="L571" s="665"/>
      <c r="M571" s="663"/>
      <c r="N571" s="665"/>
      <c r="O571" s="665"/>
      <c r="P571" s="665"/>
      <c r="Q571" s="665"/>
      <c r="R571" s="665"/>
      <c r="S571" s="665"/>
      <c r="T571" s="673"/>
      <c r="U571" s="673"/>
      <c r="V571" s="673"/>
      <c r="W571" s="673"/>
      <c r="X571" s="673"/>
      <c r="Y571" s="673"/>
      <c r="Z571" s="673"/>
      <c r="AA571" s="673"/>
      <c r="AB571" s="673"/>
      <c r="AC571" s="673"/>
      <c r="AD571" s="673"/>
      <c r="AE571" s="673"/>
      <c r="AF571" s="673"/>
      <c r="AG571" s="673"/>
      <c r="AH571" s="673"/>
    </row>
    <row r="572">
      <c r="A572" s="653"/>
      <c r="B572" s="654"/>
      <c r="C572" s="691"/>
      <c r="D572" s="661"/>
      <c r="E572" s="705"/>
      <c r="F572" s="659"/>
      <c r="G572" s="661"/>
      <c r="H572" s="660"/>
      <c r="I572" s="691"/>
      <c r="J572" s="661"/>
      <c r="K572" s="706"/>
      <c r="L572" s="665"/>
      <c r="M572" s="663"/>
      <c r="N572" s="665"/>
      <c r="O572" s="665"/>
      <c r="P572" s="665"/>
      <c r="Q572" s="665"/>
      <c r="R572" s="665"/>
      <c r="S572" s="665"/>
      <c r="T572" s="673"/>
      <c r="U572" s="673"/>
      <c r="V572" s="673"/>
      <c r="W572" s="673"/>
      <c r="X572" s="673"/>
      <c r="Y572" s="673"/>
      <c r="Z572" s="673"/>
      <c r="AA572" s="673"/>
      <c r="AB572" s="673"/>
      <c r="AC572" s="673"/>
      <c r="AD572" s="673"/>
      <c r="AE572" s="673"/>
      <c r="AF572" s="673"/>
      <c r="AG572" s="673"/>
      <c r="AH572" s="673"/>
    </row>
    <row r="573">
      <c r="A573" s="653"/>
      <c r="B573" s="654"/>
      <c r="C573" s="691"/>
      <c r="D573" s="661"/>
      <c r="E573" s="705"/>
      <c r="F573" s="659"/>
      <c r="G573" s="661"/>
      <c r="H573" s="660"/>
      <c r="I573" s="691"/>
      <c r="J573" s="661"/>
      <c r="K573" s="706"/>
      <c r="L573" s="665"/>
      <c r="M573" s="663"/>
      <c r="N573" s="665"/>
      <c r="O573" s="665"/>
      <c r="P573" s="665"/>
      <c r="Q573" s="665"/>
      <c r="R573" s="665"/>
      <c r="S573" s="665"/>
      <c r="T573" s="673"/>
      <c r="U573" s="673"/>
      <c r="V573" s="673"/>
      <c r="W573" s="673"/>
      <c r="X573" s="673"/>
      <c r="Y573" s="673"/>
      <c r="Z573" s="673"/>
      <c r="AA573" s="673"/>
      <c r="AB573" s="673"/>
      <c r="AC573" s="673"/>
      <c r="AD573" s="673"/>
      <c r="AE573" s="673"/>
      <c r="AF573" s="673"/>
      <c r="AG573" s="673"/>
      <c r="AH573" s="673"/>
    </row>
    <row r="574">
      <c r="A574" s="653"/>
      <c r="B574" s="654"/>
      <c r="C574" s="691"/>
      <c r="D574" s="661"/>
      <c r="E574" s="705"/>
      <c r="F574" s="659"/>
      <c r="G574" s="661"/>
      <c r="H574" s="660"/>
      <c r="I574" s="691"/>
      <c r="J574" s="661"/>
      <c r="K574" s="706"/>
      <c r="L574" s="665"/>
      <c r="M574" s="663"/>
      <c r="N574" s="665"/>
      <c r="O574" s="665"/>
      <c r="P574" s="665"/>
      <c r="Q574" s="665"/>
      <c r="R574" s="665"/>
      <c r="S574" s="665"/>
      <c r="T574" s="673"/>
      <c r="U574" s="673"/>
      <c r="V574" s="673"/>
      <c r="W574" s="673"/>
      <c r="X574" s="673"/>
      <c r="Y574" s="673"/>
      <c r="Z574" s="673"/>
      <c r="AA574" s="673"/>
      <c r="AB574" s="673"/>
      <c r="AC574" s="673"/>
      <c r="AD574" s="673"/>
      <c r="AE574" s="673"/>
      <c r="AF574" s="673"/>
      <c r="AG574" s="673"/>
      <c r="AH574" s="673"/>
    </row>
    <row r="575">
      <c r="A575" s="653"/>
      <c r="B575" s="654"/>
      <c r="C575" s="691"/>
      <c r="D575" s="661"/>
      <c r="E575" s="705"/>
      <c r="F575" s="659"/>
      <c r="G575" s="661"/>
      <c r="H575" s="660"/>
      <c r="I575" s="691"/>
      <c r="J575" s="661"/>
      <c r="K575" s="706"/>
      <c r="L575" s="665"/>
      <c r="M575" s="663"/>
      <c r="N575" s="665"/>
      <c r="O575" s="665"/>
      <c r="P575" s="665"/>
      <c r="Q575" s="665"/>
      <c r="R575" s="665"/>
      <c r="S575" s="665"/>
      <c r="T575" s="673"/>
      <c r="U575" s="673"/>
      <c r="V575" s="673"/>
      <c r="W575" s="673"/>
      <c r="X575" s="673"/>
      <c r="Y575" s="673"/>
      <c r="Z575" s="673"/>
      <c r="AA575" s="673"/>
      <c r="AB575" s="673"/>
      <c r="AC575" s="673"/>
      <c r="AD575" s="673"/>
      <c r="AE575" s="673"/>
      <c r="AF575" s="673"/>
      <c r="AG575" s="673"/>
      <c r="AH575" s="673"/>
    </row>
    <row r="576">
      <c r="A576" s="653"/>
      <c r="B576" s="654"/>
      <c r="C576" s="691"/>
      <c r="D576" s="661"/>
      <c r="E576" s="705"/>
      <c r="F576" s="659"/>
      <c r="G576" s="661"/>
      <c r="H576" s="660"/>
      <c r="I576" s="691"/>
      <c r="J576" s="661"/>
      <c r="K576" s="706"/>
      <c r="L576" s="665"/>
      <c r="M576" s="663"/>
      <c r="N576" s="665"/>
      <c r="O576" s="665"/>
      <c r="P576" s="665"/>
      <c r="Q576" s="665"/>
      <c r="R576" s="665"/>
      <c r="S576" s="665"/>
      <c r="T576" s="673"/>
      <c r="U576" s="673"/>
      <c r="V576" s="673"/>
      <c r="W576" s="673"/>
      <c r="X576" s="673"/>
      <c r="Y576" s="673"/>
      <c r="Z576" s="673"/>
      <c r="AA576" s="673"/>
      <c r="AB576" s="673"/>
      <c r="AC576" s="673"/>
      <c r="AD576" s="673"/>
      <c r="AE576" s="673"/>
      <c r="AF576" s="673"/>
      <c r="AG576" s="673"/>
      <c r="AH576" s="673"/>
    </row>
    <row r="577">
      <c r="A577" s="653"/>
      <c r="B577" s="654"/>
      <c r="C577" s="691"/>
      <c r="D577" s="661"/>
      <c r="E577" s="705"/>
      <c r="F577" s="659"/>
      <c r="G577" s="661"/>
      <c r="H577" s="660"/>
      <c r="I577" s="691"/>
      <c r="J577" s="661"/>
      <c r="K577" s="706"/>
      <c r="L577" s="665"/>
      <c r="M577" s="663"/>
      <c r="N577" s="665"/>
      <c r="O577" s="665"/>
      <c r="P577" s="665"/>
      <c r="Q577" s="665"/>
      <c r="R577" s="665"/>
      <c r="S577" s="665"/>
      <c r="T577" s="673"/>
      <c r="U577" s="673"/>
      <c r="V577" s="673"/>
      <c r="W577" s="673"/>
      <c r="X577" s="673"/>
      <c r="Y577" s="673"/>
      <c r="Z577" s="673"/>
      <c r="AA577" s="673"/>
      <c r="AB577" s="673"/>
      <c r="AC577" s="673"/>
      <c r="AD577" s="673"/>
      <c r="AE577" s="673"/>
      <c r="AF577" s="673"/>
      <c r="AG577" s="673"/>
      <c r="AH577" s="673"/>
    </row>
    <row r="578">
      <c r="A578" s="653"/>
      <c r="B578" s="654"/>
      <c r="C578" s="691"/>
      <c r="D578" s="661"/>
      <c r="E578" s="705"/>
      <c r="F578" s="659"/>
      <c r="G578" s="661"/>
      <c r="H578" s="660"/>
      <c r="I578" s="691"/>
      <c r="J578" s="661"/>
      <c r="K578" s="706"/>
      <c r="L578" s="665"/>
      <c r="M578" s="663"/>
      <c r="N578" s="665"/>
      <c r="O578" s="665"/>
      <c r="P578" s="665"/>
      <c r="Q578" s="665"/>
      <c r="R578" s="665"/>
      <c r="S578" s="665"/>
      <c r="T578" s="673"/>
      <c r="U578" s="673"/>
      <c r="V578" s="673"/>
      <c r="W578" s="673"/>
      <c r="X578" s="673"/>
      <c r="Y578" s="673"/>
      <c r="Z578" s="673"/>
      <c r="AA578" s="673"/>
      <c r="AB578" s="673"/>
      <c r="AC578" s="673"/>
      <c r="AD578" s="673"/>
      <c r="AE578" s="673"/>
      <c r="AF578" s="673"/>
      <c r="AG578" s="673"/>
      <c r="AH578" s="673"/>
    </row>
    <row r="579">
      <c r="A579" s="653"/>
      <c r="B579" s="654"/>
      <c r="C579" s="691"/>
      <c r="D579" s="661"/>
      <c r="E579" s="705"/>
      <c r="F579" s="659"/>
      <c r="G579" s="661"/>
      <c r="H579" s="660"/>
      <c r="I579" s="691"/>
      <c r="J579" s="661"/>
      <c r="K579" s="706"/>
      <c r="L579" s="665"/>
      <c r="M579" s="663"/>
      <c r="N579" s="665"/>
      <c r="O579" s="665"/>
      <c r="P579" s="665"/>
      <c r="Q579" s="665"/>
      <c r="R579" s="665"/>
      <c r="S579" s="665"/>
      <c r="T579" s="673"/>
      <c r="U579" s="673"/>
      <c r="V579" s="673"/>
      <c r="W579" s="673"/>
      <c r="X579" s="673"/>
      <c r="Y579" s="673"/>
      <c r="Z579" s="673"/>
      <c r="AA579" s="673"/>
      <c r="AB579" s="673"/>
      <c r="AC579" s="673"/>
      <c r="AD579" s="673"/>
      <c r="AE579" s="673"/>
      <c r="AF579" s="673"/>
      <c r="AG579" s="673"/>
      <c r="AH579" s="673"/>
    </row>
    <row r="580">
      <c r="A580" s="653"/>
      <c r="B580" s="654"/>
      <c r="C580" s="691"/>
      <c r="D580" s="661"/>
      <c r="E580" s="705"/>
      <c r="F580" s="659"/>
      <c r="G580" s="661"/>
      <c r="H580" s="660"/>
      <c r="I580" s="691"/>
      <c r="J580" s="661"/>
      <c r="K580" s="706"/>
      <c r="L580" s="665"/>
      <c r="M580" s="663"/>
      <c r="N580" s="665"/>
      <c r="O580" s="665"/>
      <c r="P580" s="665"/>
      <c r="Q580" s="665"/>
      <c r="R580" s="665"/>
      <c r="S580" s="665"/>
      <c r="T580" s="673"/>
      <c r="U580" s="673"/>
      <c r="V580" s="673"/>
      <c r="W580" s="673"/>
      <c r="X580" s="673"/>
      <c r="Y580" s="673"/>
      <c r="Z580" s="673"/>
      <c r="AA580" s="673"/>
      <c r="AB580" s="673"/>
      <c r="AC580" s="673"/>
      <c r="AD580" s="673"/>
      <c r="AE580" s="673"/>
      <c r="AF580" s="673"/>
      <c r="AG580" s="673"/>
      <c r="AH580" s="673"/>
    </row>
    <row r="581">
      <c r="A581" s="653"/>
      <c r="B581" s="654"/>
      <c r="C581" s="691"/>
      <c r="D581" s="661"/>
      <c r="E581" s="705"/>
      <c r="F581" s="659"/>
      <c r="G581" s="661"/>
      <c r="H581" s="660"/>
      <c r="I581" s="691"/>
      <c r="J581" s="661"/>
      <c r="K581" s="706"/>
      <c r="L581" s="665"/>
      <c r="M581" s="663"/>
      <c r="N581" s="665"/>
      <c r="O581" s="665"/>
      <c r="P581" s="665"/>
      <c r="Q581" s="665"/>
      <c r="R581" s="665"/>
      <c r="S581" s="665"/>
      <c r="T581" s="673"/>
      <c r="U581" s="673"/>
      <c r="V581" s="673"/>
      <c r="W581" s="673"/>
      <c r="X581" s="673"/>
      <c r="Y581" s="673"/>
      <c r="Z581" s="673"/>
      <c r="AA581" s="673"/>
      <c r="AB581" s="673"/>
      <c r="AC581" s="673"/>
      <c r="AD581" s="673"/>
      <c r="AE581" s="673"/>
      <c r="AF581" s="673"/>
      <c r="AG581" s="673"/>
      <c r="AH581" s="673"/>
    </row>
    <row r="582">
      <c r="A582" s="653"/>
      <c r="B582" s="654"/>
      <c r="C582" s="691"/>
      <c r="D582" s="661"/>
      <c r="E582" s="705"/>
      <c r="F582" s="659"/>
      <c r="G582" s="661"/>
      <c r="H582" s="660"/>
      <c r="I582" s="691"/>
      <c r="J582" s="661"/>
      <c r="K582" s="706"/>
      <c r="L582" s="665"/>
      <c r="M582" s="663"/>
      <c r="N582" s="665"/>
      <c r="O582" s="665"/>
      <c r="P582" s="665"/>
      <c r="Q582" s="665"/>
      <c r="R582" s="665"/>
      <c r="S582" s="665"/>
      <c r="T582" s="673"/>
      <c r="U582" s="673"/>
      <c r="V582" s="673"/>
      <c r="W582" s="673"/>
      <c r="X582" s="673"/>
      <c r="Y582" s="673"/>
      <c r="Z582" s="673"/>
      <c r="AA582" s="673"/>
      <c r="AB582" s="673"/>
      <c r="AC582" s="673"/>
      <c r="AD582" s="673"/>
      <c r="AE582" s="673"/>
      <c r="AF582" s="673"/>
      <c r="AG582" s="673"/>
      <c r="AH582" s="673"/>
    </row>
    <row r="583">
      <c r="A583" s="653"/>
      <c r="B583" s="654"/>
      <c r="C583" s="691"/>
      <c r="D583" s="661"/>
      <c r="E583" s="705"/>
      <c r="F583" s="659"/>
      <c r="G583" s="661"/>
      <c r="H583" s="660"/>
      <c r="I583" s="691"/>
      <c r="J583" s="661"/>
      <c r="K583" s="706"/>
      <c r="L583" s="665"/>
      <c r="M583" s="663"/>
      <c r="N583" s="665"/>
      <c r="O583" s="665"/>
      <c r="P583" s="665"/>
      <c r="Q583" s="665"/>
      <c r="R583" s="665"/>
      <c r="S583" s="665"/>
      <c r="T583" s="673"/>
      <c r="U583" s="673"/>
      <c r="V583" s="673"/>
      <c r="W583" s="673"/>
      <c r="X583" s="673"/>
      <c r="Y583" s="673"/>
      <c r="Z583" s="673"/>
      <c r="AA583" s="673"/>
      <c r="AB583" s="673"/>
      <c r="AC583" s="673"/>
      <c r="AD583" s="673"/>
      <c r="AE583" s="673"/>
      <c r="AF583" s="673"/>
      <c r="AG583" s="673"/>
      <c r="AH583" s="673"/>
    </row>
    <row r="584">
      <c r="A584" s="653"/>
      <c r="B584" s="654"/>
      <c r="C584" s="691"/>
      <c r="D584" s="661"/>
      <c r="E584" s="705"/>
      <c r="F584" s="659"/>
      <c r="G584" s="661"/>
      <c r="H584" s="660"/>
      <c r="I584" s="691"/>
      <c r="J584" s="661"/>
      <c r="K584" s="706"/>
      <c r="L584" s="665"/>
      <c r="M584" s="663"/>
      <c r="N584" s="665"/>
      <c r="O584" s="665"/>
      <c r="P584" s="665"/>
      <c r="Q584" s="665"/>
      <c r="R584" s="665"/>
      <c r="S584" s="665"/>
      <c r="T584" s="673"/>
      <c r="U584" s="673"/>
      <c r="V584" s="673"/>
      <c r="W584" s="673"/>
      <c r="X584" s="673"/>
      <c r="Y584" s="673"/>
      <c r="Z584" s="673"/>
      <c r="AA584" s="673"/>
      <c r="AB584" s="673"/>
      <c r="AC584" s="673"/>
      <c r="AD584" s="673"/>
      <c r="AE584" s="673"/>
      <c r="AF584" s="673"/>
      <c r="AG584" s="673"/>
      <c r="AH584" s="673"/>
    </row>
    <row r="585">
      <c r="A585" s="653"/>
      <c r="B585" s="654"/>
      <c r="C585" s="691"/>
      <c r="D585" s="661"/>
      <c r="E585" s="705"/>
      <c r="F585" s="659"/>
      <c r="G585" s="661"/>
      <c r="H585" s="660"/>
      <c r="I585" s="691"/>
      <c r="J585" s="661"/>
      <c r="K585" s="706"/>
      <c r="L585" s="665"/>
      <c r="M585" s="663"/>
      <c r="N585" s="665"/>
      <c r="O585" s="665"/>
      <c r="P585" s="665"/>
      <c r="Q585" s="665"/>
      <c r="R585" s="665"/>
      <c r="S585" s="665"/>
      <c r="T585" s="673"/>
      <c r="U585" s="673"/>
      <c r="V585" s="673"/>
      <c r="W585" s="673"/>
      <c r="X585" s="673"/>
      <c r="Y585" s="673"/>
      <c r="Z585" s="673"/>
      <c r="AA585" s="673"/>
      <c r="AB585" s="673"/>
      <c r="AC585" s="673"/>
      <c r="AD585" s="673"/>
      <c r="AE585" s="673"/>
      <c r="AF585" s="673"/>
      <c r="AG585" s="673"/>
      <c r="AH585" s="673"/>
    </row>
    <row r="586">
      <c r="A586" s="653"/>
      <c r="B586" s="654"/>
      <c r="C586" s="691"/>
      <c r="D586" s="661"/>
      <c r="E586" s="705"/>
      <c r="F586" s="659"/>
      <c r="G586" s="661"/>
      <c r="H586" s="660"/>
      <c r="I586" s="691"/>
      <c r="J586" s="661"/>
      <c r="K586" s="706"/>
      <c r="L586" s="665"/>
      <c r="M586" s="663"/>
      <c r="N586" s="665"/>
      <c r="O586" s="665"/>
      <c r="P586" s="665"/>
      <c r="Q586" s="665"/>
      <c r="R586" s="665"/>
      <c r="S586" s="665"/>
      <c r="T586" s="673"/>
      <c r="U586" s="673"/>
      <c r="V586" s="673"/>
      <c r="W586" s="673"/>
      <c r="X586" s="673"/>
      <c r="Y586" s="673"/>
      <c r="Z586" s="673"/>
      <c r="AA586" s="673"/>
      <c r="AB586" s="673"/>
      <c r="AC586" s="673"/>
      <c r="AD586" s="673"/>
      <c r="AE586" s="673"/>
      <c r="AF586" s="673"/>
      <c r="AG586" s="673"/>
      <c r="AH586" s="673"/>
    </row>
    <row r="587">
      <c r="A587" s="653"/>
      <c r="B587" s="654"/>
      <c r="C587" s="691"/>
      <c r="D587" s="661"/>
      <c r="E587" s="705"/>
      <c r="F587" s="659"/>
      <c r="G587" s="661"/>
      <c r="H587" s="660"/>
      <c r="I587" s="691"/>
      <c r="J587" s="661"/>
      <c r="K587" s="706"/>
      <c r="L587" s="665"/>
      <c r="M587" s="663"/>
      <c r="N587" s="665"/>
      <c r="O587" s="665"/>
      <c r="P587" s="665"/>
      <c r="Q587" s="665"/>
      <c r="R587" s="665"/>
      <c r="S587" s="665"/>
      <c r="T587" s="673"/>
      <c r="U587" s="673"/>
      <c r="V587" s="673"/>
      <c r="W587" s="673"/>
      <c r="X587" s="673"/>
      <c r="Y587" s="673"/>
      <c r="Z587" s="673"/>
      <c r="AA587" s="673"/>
      <c r="AB587" s="673"/>
      <c r="AC587" s="673"/>
      <c r="AD587" s="673"/>
      <c r="AE587" s="673"/>
      <c r="AF587" s="673"/>
      <c r="AG587" s="673"/>
      <c r="AH587" s="673"/>
    </row>
    <row r="588">
      <c r="A588" s="653"/>
      <c r="B588" s="654"/>
      <c r="C588" s="691"/>
      <c r="D588" s="661"/>
      <c r="E588" s="705"/>
      <c r="F588" s="659"/>
      <c r="G588" s="661"/>
      <c r="H588" s="660"/>
      <c r="I588" s="691"/>
      <c r="J588" s="661"/>
      <c r="K588" s="706"/>
      <c r="L588" s="665"/>
      <c r="M588" s="663"/>
      <c r="N588" s="665"/>
      <c r="O588" s="665"/>
      <c r="P588" s="665"/>
      <c r="Q588" s="665"/>
      <c r="R588" s="665"/>
      <c r="S588" s="665"/>
      <c r="T588" s="673"/>
      <c r="U588" s="673"/>
      <c r="V588" s="673"/>
      <c r="W588" s="673"/>
      <c r="X588" s="673"/>
      <c r="Y588" s="673"/>
      <c r="Z588" s="673"/>
      <c r="AA588" s="673"/>
      <c r="AB588" s="673"/>
      <c r="AC588" s="673"/>
      <c r="AD588" s="673"/>
      <c r="AE588" s="673"/>
      <c r="AF588" s="673"/>
      <c r="AG588" s="673"/>
      <c r="AH588" s="673"/>
    </row>
    <row r="589">
      <c r="A589" s="653"/>
      <c r="B589" s="654"/>
      <c r="C589" s="691"/>
      <c r="D589" s="661"/>
      <c r="E589" s="705"/>
      <c r="F589" s="659"/>
      <c r="G589" s="661"/>
      <c r="H589" s="660"/>
      <c r="I589" s="691"/>
      <c r="J589" s="661"/>
      <c r="K589" s="706"/>
      <c r="L589" s="665"/>
      <c r="M589" s="663"/>
      <c r="N589" s="665"/>
      <c r="O589" s="665"/>
      <c r="P589" s="665"/>
      <c r="Q589" s="665"/>
      <c r="R589" s="665"/>
      <c r="S589" s="665"/>
      <c r="T589" s="673"/>
      <c r="U589" s="673"/>
      <c r="V589" s="673"/>
      <c r="W589" s="673"/>
      <c r="X589" s="673"/>
      <c r="Y589" s="673"/>
      <c r="Z589" s="673"/>
      <c r="AA589" s="673"/>
      <c r="AB589" s="673"/>
      <c r="AC589" s="673"/>
      <c r="AD589" s="673"/>
      <c r="AE589" s="673"/>
      <c r="AF589" s="673"/>
      <c r="AG589" s="673"/>
      <c r="AH589" s="673"/>
    </row>
    <row r="590">
      <c r="A590" s="653"/>
      <c r="B590" s="654"/>
      <c r="C590" s="691"/>
      <c r="D590" s="661"/>
      <c r="E590" s="705"/>
      <c r="F590" s="659"/>
      <c r="G590" s="661"/>
      <c r="H590" s="660"/>
      <c r="I590" s="691"/>
      <c r="J590" s="661"/>
      <c r="K590" s="706"/>
      <c r="L590" s="665"/>
      <c r="M590" s="663"/>
      <c r="N590" s="665"/>
      <c r="O590" s="665"/>
      <c r="P590" s="665"/>
      <c r="Q590" s="665"/>
      <c r="R590" s="665"/>
      <c r="S590" s="665"/>
      <c r="T590" s="673"/>
      <c r="U590" s="673"/>
      <c r="V590" s="673"/>
      <c r="W590" s="673"/>
      <c r="X590" s="673"/>
      <c r="Y590" s="673"/>
      <c r="Z590" s="673"/>
      <c r="AA590" s="673"/>
      <c r="AB590" s="673"/>
      <c r="AC590" s="673"/>
      <c r="AD590" s="673"/>
      <c r="AE590" s="673"/>
      <c r="AF590" s="673"/>
      <c r="AG590" s="673"/>
      <c r="AH590" s="673"/>
    </row>
    <row r="591">
      <c r="A591" s="653"/>
      <c r="B591" s="654"/>
      <c r="C591" s="691"/>
      <c r="D591" s="661"/>
      <c r="E591" s="705"/>
      <c r="F591" s="659"/>
      <c r="G591" s="661"/>
      <c r="H591" s="660"/>
      <c r="I591" s="691"/>
      <c r="J591" s="661"/>
      <c r="K591" s="706"/>
      <c r="L591" s="665"/>
      <c r="M591" s="663"/>
      <c r="N591" s="665"/>
      <c r="O591" s="665"/>
      <c r="P591" s="665"/>
      <c r="Q591" s="665"/>
      <c r="R591" s="665"/>
      <c r="S591" s="665"/>
      <c r="T591" s="673"/>
      <c r="U591" s="673"/>
      <c r="V591" s="673"/>
      <c r="W591" s="673"/>
      <c r="X591" s="673"/>
      <c r="Y591" s="673"/>
      <c r="Z591" s="673"/>
      <c r="AA591" s="673"/>
      <c r="AB591" s="673"/>
      <c r="AC591" s="673"/>
      <c r="AD591" s="673"/>
      <c r="AE591" s="673"/>
      <c r="AF591" s="673"/>
      <c r="AG591" s="673"/>
      <c r="AH591" s="673"/>
    </row>
    <row r="592">
      <c r="A592" s="653"/>
      <c r="B592" s="654"/>
      <c r="C592" s="691"/>
      <c r="D592" s="661"/>
      <c r="E592" s="705"/>
      <c r="F592" s="659"/>
      <c r="G592" s="661"/>
      <c r="H592" s="660"/>
      <c r="I592" s="691"/>
      <c r="J592" s="661"/>
      <c r="K592" s="706"/>
      <c r="L592" s="665"/>
      <c r="M592" s="663"/>
      <c r="N592" s="665"/>
      <c r="O592" s="665"/>
      <c r="P592" s="665"/>
      <c r="Q592" s="665"/>
      <c r="R592" s="665"/>
      <c r="S592" s="665"/>
      <c r="T592" s="673"/>
      <c r="U592" s="673"/>
      <c r="V592" s="673"/>
      <c r="W592" s="673"/>
      <c r="X592" s="673"/>
      <c r="Y592" s="673"/>
      <c r="Z592" s="673"/>
      <c r="AA592" s="673"/>
      <c r="AB592" s="673"/>
      <c r="AC592" s="673"/>
      <c r="AD592" s="673"/>
      <c r="AE592" s="673"/>
      <c r="AF592" s="673"/>
      <c r="AG592" s="673"/>
      <c r="AH592" s="673"/>
    </row>
    <row r="593">
      <c r="A593" s="653"/>
      <c r="B593" s="654"/>
      <c r="C593" s="691"/>
      <c r="D593" s="661"/>
      <c r="E593" s="705"/>
      <c r="F593" s="659"/>
      <c r="G593" s="661"/>
      <c r="H593" s="660"/>
      <c r="I593" s="691"/>
      <c r="J593" s="661"/>
      <c r="K593" s="706"/>
      <c r="L593" s="665"/>
      <c r="M593" s="663"/>
      <c r="N593" s="665"/>
      <c r="O593" s="665"/>
      <c r="P593" s="665"/>
      <c r="Q593" s="665"/>
      <c r="R593" s="665"/>
      <c r="S593" s="665"/>
      <c r="T593" s="673"/>
      <c r="U593" s="673"/>
      <c r="V593" s="673"/>
      <c r="W593" s="673"/>
      <c r="X593" s="673"/>
      <c r="Y593" s="673"/>
      <c r="Z593" s="673"/>
      <c r="AA593" s="673"/>
      <c r="AB593" s="673"/>
      <c r="AC593" s="673"/>
      <c r="AD593" s="673"/>
      <c r="AE593" s="673"/>
      <c r="AF593" s="673"/>
      <c r="AG593" s="673"/>
      <c r="AH593" s="673"/>
    </row>
    <row r="594">
      <c r="A594" s="653"/>
      <c r="B594" s="654"/>
      <c r="C594" s="691"/>
      <c r="D594" s="661"/>
      <c r="E594" s="705"/>
      <c r="F594" s="659"/>
      <c r="G594" s="661"/>
      <c r="H594" s="660"/>
      <c r="I594" s="691"/>
      <c r="J594" s="661"/>
      <c r="K594" s="706"/>
      <c r="L594" s="665"/>
      <c r="M594" s="663"/>
      <c r="N594" s="665"/>
      <c r="O594" s="665"/>
      <c r="P594" s="665"/>
      <c r="Q594" s="665"/>
      <c r="R594" s="665"/>
      <c r="S594" s="665"/>
      <c r="T594" s="673"/>
      <c r="U594" s="673"/>
      <c r="V594" s="673"/>
      <c r="W594" s="673"/>
      <c r="X594" s="673"/>
      <c r="Y594" s="673"/>
      <c r="Z594" s="673"/>
      <c r="AA594" s="673"/>
      <c r="AB594" s="673"/>
      <c r="AC594" s="673"/>
      <c r="AD594" s="673"/>
      <c r="AE594" s="673"/>
      <c r="AF594" s="673"/>
      <c r="AG594" s="673"/>
      <c r="AH594" s="673"/>
    </row>
    <row r="595">
      <c r="A595" s="653"/>
      <c r="B595" s="654"/>
      <c r="C595" s="691"/>
      <c r="D595" s="661"/>
      <c r="E595" s="705"/>
      <c r="F595" s="659"/>
      <c r="G595" s="661"/>
      <c r="H595" s="660"/>
      <c r="I595" s="691"/>
      <c r="J595" s="661"/>
      <c r="K595" s="706"/>
      <c r="L595" s="665"/>
      <c r="M595" s="663"/>
      <c r="N595" s="665"/>
      <c r="O595" s="665"/>
      <c r="P595" s="665"/>
      <c r="Q595" s="665"/>
      <c r="R595" s="665"/>
      <c r="S595" s="665"/>
      <c r="T595" s="673"/>
      <c r="U595" s="673"/>
      <c r="V595" s="673"/>
      <c r="W595" s="673"/>
      <c r="X595" s="673"/>
      <c r="Y595" s="673"/>
      <c r="Z595" s="673"/>
      <c r="AA595" s="673"/>
      <c r="AB595" s="673"/>
      <c r="AC595" s="673"/>
      <c r="AD595" s="673"/>
      <c r="AE595" s="673"/>
      <c r="AF595" s="673"/>
      <c r="AG595" s="673"/>
      <c r="AH595" s="673"/>
    </row>
    <row r="596">
      <c r="A596" s="653"/>
      <c r="B596" s="654"/>
      <c r="C596" s="691"/>
      <c r="D596" s="661"/>
      <c r="E596" s="705"/>
      <c r="F596" s="659"/>
      <c r="G596" s="661"/>
      <c r="H596" s="660"/>
      <c r="I596" s="691"/>
      <c r="J596" s="661"/>
      <c r="K596" s="706"/>
      <c r="L596" s="665"/>
      <c r="M596" s="663"/>
      <c r="N596" s="665"/>
      <c r="O596" s="665"/>
      <c r="P596" s="665"/>
      <c r="Q596" s="665"/>
      <c r="R596" s="665"/>
      <c r="S596" s="665"/>
      <c r="T596" s="673"/>
      <c r="U596" s="673"/>
      <c r="V596" s="673"/>
      <c r="W596" s="673"/>
      <c r="X596" s="673"/>
      <c r="Y596" s="673"/>
      <c r="Z596" s="673"/>
      <c r="AA596" s="673"/>
      <c r="AB596" s="673"/>
      <c r="AC596" s="673"/>
      <c r="AD596" s="673"/>
      <c r="AE596" s="673"/>
      <c r="AF596" s="673"/>
      <c r="AG596" s="673"/>
      <c r="AH596" s="673"/>
    </row>
    <row r="597">
      <c r="A597" s="653"/>
      <c r="B597" s="654"/>
      <c r="C597" s="691"/>
      <c r="D597" s="661"/>
      <c r="E597" s="705"/>
      <c r="F597" s="659"/>
      <c r="G597" s="661"/>
      <c r="H597" s="660"/>
      <c r="I597" s="691"/>
      <c r="J597" s="661"/>
      <c r="K597" s="706"/>
      <c r="L597" s="665"/>
      <c r="M597" s="663"/>
      <c r="N597" s="665"/>
      <c r="O597" s="665"/>
      <c r="P597" s="665"/>
      <c r="Q597" s="665"/>
      <c r="R597" s="665"/>
      <c r="S597" s="665"/>
      <c r="T597" s="673"/>
      <c r="U597" s="673"/>
      <c r="V597" s="673"/>
      <c r="W597" s="673"/>
      <c r="X597" s="673"/>
      <c r="Y597" s="673"/>
      <c r="Z597" s="673"/>
      <c r="AA597" s="673"/>
      <c r="AB597" s="673"/>
      <c r="AC597" s="673"/>
      <c r="AD597" s="673"/>
      <c r="AE597" s="673"/>
      <c r="AF597" s="673"/>
      <c r="AG597" s="673"/>
      <c r="AH597" s="673"/>
    </row>
    <row r="598">
      <c r="A598" s="653"/>
      <c r="B598" s="654"/>
      <c r="C598" s="691"/>
      <c r="D598" s="661"/>
      <c r="E598" s="705"/>
      <c r="F598" s="659"/>
      <c r="G598" s="661"/>
      <c r="H598" s="660"/>
      <c r="I598" s="691"/>
      <c r="J598" s="661"/>
      <c r="K598" s="706"/>
      <c r="L598" s="665"/>
      <c r="M598" s="663"/>
      <c r="N598" s="665"/>
      <c r="O598" s="665"/>
      <c r="P598" s="665"/>
      <c r="Q598" s="665"/>
      <c r="R598" s="665"/>
      <c r="S598" s="665"/>
      <c r="T598" s="673"/>
      <c r="U598" s="673"/>
      <c r="V598" s="673"/>
      <c r="W598" s="673"/>
      <c r="X598" s="673"/>
      <c r="Y598" s="673"/>
      <c r="Z598" s="673"/>
      <c r="AA598" s="673"/>
      <c r="AB598" s="673"/>
      <c r="AC598" s="673"/>
      <c r="AD598" s="673"/>
      <c r="AE598" s="673"/>
      <c r="AF598" s="673"/>
      <c r="AG598" s="673"/>
      <c r="AH598" s="673"/>
    </row>
    <row r="599">
      <c r="A599" s="653"/>
      <c r="B599" s="654"/>
      <c r="C599" s="691"/>
      <c r="D599" s="661"/>
      <c r="E599" s="705"/>
      <c r="F599" s="659"/>
      <c r="G599" s="661"/>
      <c r="H599" s="660"/>
      <c r="I599" s="691"/>
      <c r="J599" s="661"/>
      <c r="K599" s="706"/>
      <c r="L599" s="665"/>
      <c r="M599" s="663"/>
      <c r="N599" s="665"/>
      <c r="O599" s="665"/>
      <c r="P599" s="665"/>
      <c r="Q599" s="665"/>
      <c r="R599" s="665"/>
      <c r="S599" s="665"/>
      <c r="T599" s="673"/>
      <c r="U599" s="673"/>
      <c r="V599" s="673"/>
      <c r="W599" s="673"/>
      <c r="X599" s="673"/>
      <c r="Y599" s="673"/>
      <c r="Z599" s="673"/>
      <c r="AA599" s="673"/>
      <c r="AB599" s="673"/>
      <c r="AC599" s="673"/>
      <c r="AD599" s="673"/>
      <c r="AE599" s="673"/>
      <c r="AF599" s="673"/>
      <c r="AG599" s="673"/>
      <c r="AH599" s="673"/>
    </row>
    <row r="600">
      <c r="A600" s="653"/>
      <c r="B600" s="654"/>
      <c r="C600" s="691"/>
      <c r="D600" s="661"/>
      <c r="E600" s="705"/>
      <c r="F600" s="659"/>
      <c r="G600" s="661"/>
      <c r="H600" s="660"/>
      <c r="I600" s="691"/>
      <c r="J600" s="661"/>
      <c r="K600" s="706"/>
      <c r="L600" s="665"/>
      <c r="M600" s="663"/>
      <c r="N600" s="665"/>
      <c r="O600" s="665"/>
      <c r="P600" s="665"/>
      <c r="Q600" s="665"/>
      <c r="R600" s="665"/>
      <c r="S600" s="665"/>
      <c r="T600" s="673"/>
      <c r="U600" s="673"/>
      <c r="V600" s="673"/>
      <c r="W600" s="673"/>
      <c r="X600" s="673"/>
      <c r="Y600" s="673"/>
      <c r="Z600" s="673"/>
      <c r="AA600" s="673"/>
      <c r="AB600" s="673"/>
      <c r="AC600" s="673"/>
      <c r="AD600" s="673"/>
      <c r="AE600" s="673"/>
      <c r="AF600" s="673"/>
      <c r="AG600" s="673"/>
      <c r="AH600" s="673"/>
    </row>
    <row r="601">
      <c r="A601" s="653"/>
      <c r="B601" s="654"/>
      <c r="C601" s="691"/>
      <c r="D601" s="661"/>
      <c r="E601" s="705"/>
      <c r="F601" s="659"/>
      <c r="G601" s="661"/>
      <c r="H601" s="660"/>
      <c r="I601" s="691"/>
      <c r="J601" s="661"/>
      <c r="K601" s="706"/>
      <c r="L601" s="665"/>
      <c r="M601" s="663"/>
      <c r="N601" s="665"/>
      <c r="O601" s="665"/>
      <c r="P601" s="665"/>
      <c r="Q601" s="665"/>
      <c r="R601" s="665"/>
      <c r="S601" s="665"/>
      <c r="T601" s="673"/>
      <c r="U601" s="673"/>
      <c r="V601" s="673"/>
      <c r="W601" s="673"/>
      <c r="X601" s="673"/>
      <c r="Y601" s="673"/>
      <c r="Z601" s="673"/>
      <c r="AA601" s="673"/>
      <c r="AB601" s="673"/>
      <c r="AC601" s="673"/>
      <c r="AD601" s="673"/>
      <c r="AE601" s="673"/>
      <c r="AF601" s="673"/>
      <c r="AG601" s="673"/>
      <c r="AH601" s="673"/>
    </row>
    <row r="602">
      <c r="A602" s="653"/>
      <c r="B602" s="654"/>
      <c r="C602" s="691"/>
      <c r="D602" s="661"/>
      <c r="E602" s="705"/>
      <c r="F602" s="659"/>
      <c r="G602" s="661"/>
      <c r="H602" s="660"/>
      <c r="I602" s="691"/>
      <c r="J602" s="661"/>
      <c r="K602" s="706"/>
      <c r="L602" s="665"/>
      <c r="M602" s="663"/>
      <c r="N602" s="665"/>
      <c r="O602" s="665"/>
      <c r="P602" s="665"/>
      <c r="Q602" s="665"/>
      <c r="R602" s="665"/>
      <c r="S602" s="665"/>
      <c r="T602" s="673"/>
      <c r="U602" s="673"/>
      <c r="V602" s="673"/>
      <c r="W602" s="673"/>
      <c r="X602" s="673"/>
      <c r="Y602" s="673"/>
      <c r="Z602" s="673"/>
      <c r="AA602" s="673"/>
      <c r="AB602" s="673"/>
      <c r="AC602" s="673"/>
      <c r="AD602" s="673"/>
      <c r="AE602" s="673"/>
      <c r="AF602" s="673"/>
      <c r="AG602" s="673"/>
      <c r="AH602" s="673"/>
    </row>
    <row r="603">
      <c r="A603" s="653"/>
      <c r="B603" s="654"/>
      <c r="C603" s="691"/>
      <c r="D603" s="661"/>
      <c r="E603" s="705"/>
      <c r="F603" s="659"/>
      <c r="G603" s="661"/>
      <c r="H603" s="660"/>
      <c r="I603" s="691"/>
      <c r="J603" s="661"/>
      <c r="K603" s="706"/>
      <c r="L603" s="665"/>
      <c r="M603" s="663"/>
      <c r="N603" s="665"/>
      <c r="O603" s="665"/>
      <c r="P603" s="665"/>
      <c r="Q603" s="665"/>
      <c r="R603" s="665"/>
      <c r="S603" s="665"/>
      <c r="T603" s="673"/>
      <c r="U603" s="673"/>
      <c r="V603" s="673"/>
      <c r="W603" s="673"/>
      <c r="X603" s="673"/>
      <c r="Y603" s="673"/>
      <c r="Z603" s="673"/>
      <c r="AA603" s="673"/>
      <c r="AB603" s="673"/>
      <c r="AC603" s="673"/>
      <c r="AD603" s="673"/>
      <c r="AE603" s="673"/>
      <c r="AF603" s="673"/>
      <c r="AG603" s="673"/>
      <c r="AH603" s="673"/>
    </row>
    <row r="604">
      <c r="A604" s="653"/>
      <c r="B604" s="654"/>
      <c r="C604" s="691"/>
      <c r="D604" s="661"/>
      <c r="E604" s="705"/>
      <c r="F604" s="659"/>
      <c r="G604" s="661"/>
      <c r="H604" s="660"/>
      <c r="I604" s="691"/>
      <c r="J604" s="661"/>
      <c r="K604" s="706"/>
      <c r="L604" s="665"/>
      <c r="M604" s="663"/>
      <c r="N604" s="665"/>
      <c r="O604" s="665"/>
      <c r="P604" s="665"/>
      <c r="Q604" s="665"/>
      <c r="R604" s="665"/>
      <c r="S604" s="665"/>
      <c r="T604" s="673"/>
      <c r="U604" s="673"/>
      <c r="V604" s="673"/>
      <c r="W604" s="673"/>
      <c r="X604" s="673"/>
      <c r="Y604" s="673"/>
      <c r="Z604" s="673"/>
      <c r="AA604" s="673"/>
      <c r="AB604" s="673"/>
      <c r="AC604" s="673"/>
      <c r="AD604" s="673"/>
      <c r="AE604" s="673"/>
      <c r="AF604" s="673"/>
      <c r="AG604" s="673"/>
      <c r="AH604" s="673"/>
    </row>
    <row r="605">
      <c r="A605" s="653"/>
      <c r="B605" s="654"/>
      <c r="C605" s="691"/>
      <c r="D605" s="661"/>
      <c r="E605" s="705"/>
      <c r="F605" s="659"/>
      <c r="G605" s="661"/>
      <c r="H605" s="660"/>
      <c r="I605" s="691"/>
      <c r="J605" s="661"/>
      <c r="K605" s="706"/>
      <c r="L605" s="665"/>
      <c r="M605" s="663"/>
      <c r="N605" s="665"/>
      <c r="O605" s="665"/>
      <c r="P605" s="665"/>
      <c r="Q605" s="665"/>
      <c r="R605" s="665"/>
      <c r="S605" s="665"/>
      <c r="T605" s="673"/>
      <c r="U605" s="673"/>
      <c r="V605" s="673"/>
      <c r="W605" s="673"/>
      <c r="X605" s="673"/>
      <c r="Y605" s="673"/>
      <c r="Z605" s="673"/>
      <c r="AA605" s="673"/>
      <c r="AB605" s="673"/>
      <c r="AC605" s="673"/>
      <c r="AD605" s="673"/>
      <c r="AE605" s="673"/>
      <c r="AF605" s="673"/>
      <c r="AG605" s="673"/>
      <c r="AH605" s="673"/>
    </row>
    <row r="606">
      <c r="A606" s="653"/>
      <c r="B606" s="654"/>
      <c r="C606" s="691"/>
      <c r="D606" s="661"/>
      <c r="E606" s="705"/>
      <c r="F606" s="659"/>
      <c r="G606" s="661"/>
      <c r="H606" s="660"/>
      <c r="I606" s="691"/>
      <c r="J606" s="661"/>
      <c r="K606" s="706"/>
      <c r="L606" s="665"/>
      <c r="M606" s="663"/>
      <c r="N606" s="665"/>
      <c r="O606" s="665"/>
      <c r="P606" s="665"/>
      <c r="Q606" s="665"/>
      <c r="R606" s="665"/>
      <c r="S606" s="665"/>
      <c r="T606" s="673"/>
      <c r="U606" s="673"/>
      <c r="V606" s="673"/>
      <c r="W606" s="673"/>
      <c r="X606" s="673"/>
      <c r="Y606" s="673"/>
      <c r="Z606" s="673"/>
      <c r="AA606" s="673"/>
      <c r="AB606" s="673"/>
      <c r="AC606" s="673"/>
      <c r="AD606" s="673"/>
      <c r="AE606" s="673"/>
      <c r="AF606" s="673"/>
      <c r="AG606" s="673"/>
      <c r="AH606" s="673"/>
    </row>
    <row r="607">
      <c r="A607" s="653"/>
      <c r="B607" s="654"/>
      <c r="C607" s="691"/>
      <c r="D607" s="661"/>
      <c r="E607" s="705"/>
      <c r="F607" s="659"/>
      <c r="G607" s="661"/>
      <c r="H607" s="660"/>
      <c r="I607" s="691"/>
      <c r="J607" s="661"/>
      <c r="K607" s="706"/>
      <c r="L607" s="665"/>
      <c r="M607" s="663"/>
      <c r="N607" s="665"/>
      <c r="O607" s="665"/>
      <c r="P607" s="665"/>
      <c r="Q607" s="665"/>
      <c r="R607" s="665"/>
      <c r="S607" s="665"/>
      <c r="T607" s="673"/>
      <c r="U607" s="673"/>
      <c r="V607" s="673"/>
      <c r="W607" s="673"/>
      <c r="X607" s="673"/>
      <c r="Y607" s="673"/>
      <c r="Z607" s="673"/>
      <c r="AA607" s="673"/>
      <c r="AB607" s="673"/>
      <c r="AC607" s="673"/>
      <c r="AD607" s="673"/>
      <c r="AE607" s="673"/>
      <c r="AF607" s="673"/>
      <c r="AG607" s="673"/>
      <c r="AH607" s="673"/>
    </row>
    <row r="608">
      <c r="A608" s="653"/>
      <c r="B608" s="654"/>
      <c r="C608" s="691"/>
      <c r="D608" s="661"/>
      <c r="E608" s="705"/>
      <c r="F608" s="659"/>
      <c r="G608" s="661"/>
      <c r="H608" s="660"/>
      <c r="I608" s="691"/>
      <c r="J608" s="661"/>
      <c r="K608" s="706"/>
      <c r="L608" s="665"/>
      <c r="M608" s="663"/>
      <c r="N608" s="665"/>
      <c r="O608" s="665"/>
      <c r="P608" s="665"/>
      <c r="Q608" s="665"/>
      <c r="R608" s="665"/>
      <c r="S608" s="665"/>
      <c r="T608" s="673"/>
      <c r="U608" s="673"/>
      <c r="V608" s="673"/>
      <c r="W608" s="673"/>
      <c r="X608" s="673"/>
      <c r="Y608" s="673"/>
      <c r="Z608" s="673"/>
      <c r="AA608" s="673"/>
      <c r="AB608" s="673"/>
      <c r="AC608" s="673"/>
      <c r="AD608" s="673"/>
      <c r="AE608" s="673"/>
      <c r="AF608" s="673"/>
      <c r="AG608" s="673"/>
      <c r="AH608" s="673"/>
    </row>
    <row r="609">
      <c r="A609" s="653"/>
      <c r="B609" s="654"/>
      <c r="C609" s="691"/>
      <c r="D609" s="661"/>
      <c r="E609" s="705"/>
      <c r="F609" s="659"/>
      <c r="G609" s="661"/>
      <c r="H609" s="660"/>
      <c r="I609" s="691"/>
      <c r="J609" s="661"/>
      <c r="K609" s="706"/>
      <c r="L609" s="665"/>
      <c r="M609" s="663"/>
      <c r="N609" s="665"/>
      <c r="O609" s="665"/>
      <c r="P609" s="665"/>
      <c r="Q609" s="665"/>
      <c r="R609" s="665"/>
      <c r="S609" s="665"/>
      <c r="T609" s="673"/>
      <c r="U609" s="673"/>
      <c r="V609" s="673"/>
      <c r="W609" s="673"/>
      <c r="X609" s="673"/>
      <c r="Y609" s="673"/>
      <c r="Z609" s="673"/>
      <c r="AA609" s="673"/>
      <c r="AB609" s="673"/>
      <c r="AC609" s="673"/>
      <c r="AD609" s="673"/>
      <c r="AE609" s="673"/>
      <c r="AF609" s="673"/>
      <c r="AG609" s="673"/>
      <c r="AH609" s="673"/>
    </row>
    <row r="610">
      <c r="A610" s="653"/>
      <c r="B610" s="654"/>
      <c r="C610" s="691"/>
      <c r="D610" s="661"/>
      <c r="E610" s="705"/>
      <c r="F610" s="659"/>
      <c r="G610" s="661"/>
      <c r="H610" s="660"/>
      <c r="I610" s="691"/>
      <c r="J610" s="661"/>
      <c r="K610" s="706"/>
      <c r="L610" s="665"/>
      <c r="M610" s="663"/>
      <c r="N610" s="665"/>
      <c r="O610" s="665"/>
      <c r="P610" s="665"/>
      <c r="Q610" s="665"/>
      <c r="R610" s="665"/>
      <c r="S610" s="665"/>
      <c r="T610" s="673"/>
      <c r="U610" s="673"/>
      <c r="V610" s="673"/>
      <c r="W610" s="673"/>
      <c r="X610" s="673"/>
      <c r="Y610" s="673"/>
      <c r="Z610" s="673"/>
      <c r="AA610" s="673"/>
      <c r="AB610" s="673"/>
      <c r="AC610" s="673"/>
      <c r="AD610" s="673"/>
      <c r="AE610" s="673"/>
      <c r="AF610" s="673"/>
      <c r="AG610" s="673"/>
      <c r="AH610" s="673"/>
    </row>
    <row r="611">
      <c r="A611" s="653"/>
      <c r="B611" s="654"/>
      <c r="C611" s="691"/>
      <c r="D611" s="661"/>
      <c r="E611" s="705"/>
      <c r="F611" s="659"/>
      <c r="G611" s="661"/>
      <c r="H611" s="660"/>
      <c r="I611" s="691"/>
      <c r="J611" s="661"/>
      <c r="K611" s="706"/>
      <c r="L611" s="665"/>
      <c r="M611" s="663"/>
      <c r="N611" s="665"/>
      <c r="O611" s="665"/>
      <c r="P611" s="665"/>
      <c r="Q611" s="665"/>
      <c r="R611" s="665"/>
      <c r="S611" s="665"/>
      <c r="T611" s="673"/>
      <c r="U611" s="673"/>
      <c r="V611" s="673"/>
      <c r="W611" s="673"/>
      <c r="X611" s="673"/>
      <c r="Y611" s="673"/>
      <c r="Z611" s="673"/>
      <c r="AA611" s="673"/>
      <c r="AB611" s="673"/>
      <c r="AC611" s="673"/>
      <c r="AD611" s="673"/>
      <c r="AE611" s="673"/>
      <c r="AF611" s="673"/>
      <c r="AG611" s="673"/>
      <c r="AH611" s="673"/>
    </row>
    <row r="612">
      <c r="A612" s="653"/>
      <c r="B612" s="654"/>
      <c r="C612" s="691"/>
      <c r="D612" s="661"/>
      <c r="E612" s="705"/>
      <c r="F612" s="659"/>
      <c r="G612" s="661"/>
      <c r="H612" s="660"/>
      <c r="I612" s="691"/>
      <c r="J612" s="661"/>
      <c r="K612" s="706"/>
      <c r="L612" s="665"/>
      <c r="M612" s="663"/>
      <c r="N612" s="665"/>
      <c r="O612" s="665"/>
      <c r="P612" s="665"/>
      <c r="Q612" s="665"/>
      <c r="R612" s="665"/>
      <c r="S612" s="665"/>
      <c r="T612" s="673"/>
      <c r="U612" s="673"/>
      <c r="V612" s="673"/>
      <c r="W612" s="673"/>
      <c r="X612" s="673"/>
      <c r="Y612" s="673"/>
      <c r="Z612" s="673"/>
      <c r="AA612" s="673"/>
      <c r="AB612" s="673"/>
      <c r="AC612" s="673"/>
      <c r="AD612" s="673"/>
      <c r="AE612" s="673"/>
      <c r="AF612" s="673"/>
      <c r="AG612" s="673"/>
      <c r="AH612" s="673"/>
    </row>
    <row r="613">
      <c r="A613" s="653"/>
      <c r="B613" s="654"/>
      <c r="C613" s="691"/>
      <c r="D613" s="661"/>
      <c r="E613" s="705"/>
      <c r="F613" s="659"/>
      <c r="G613" s="661"/>
      <c r="H613" s="660"/>
      <c r="I613" s="691"/>
      <c r="J613" s="661"/>
      <c r="K613" s="706"/>
      <c r="L613" s="665"/>
      <c r="M613" s="663"/>
      <c r="N613" s="665"/>
      <c r="O613" s="665"/>
      <c r="P613" s="665"/>
      <c r="Q613" s="665"/>
      <c r="R613" s="665"/>
      <c r="S613" s="665"/>
      <c r="T613" s="673"/>
      <c r="U613" s="673"/>
      <c r="V613" s="673"/>
      <c r="W613" s="673"/>
      <c r="X613" s="673"/>
      <c r="Y613" s="673"/>
      <c r="Z613" s="673"/>
      <c r="AA613" s="673"/>
      <c r="AB613" s="673"/>
      <c r="AC613" s="673"/>
      <c r="AD613" s="673"/>
      <c r="AE613" s="673"/>
      <c r="AF613" s="673"/>
      <c r="AG613" s="673"/>
      <c r="AH613" s="673"/>
    </row>
    <row r="614">
      <c r="A614" s="653"/>
      <c r="B614" s="654"/>
      <c r="C614" s="691"/>
      <c r="D614" s="661"/>
      <c r="E614" s="705"/>
      <c r="F614" s="659"/>
      <c r="G614" s="661"/>
      <c r="H614" s="660"/>
      <c r="I614" s="691"/>
      <c r="J614" s="661"/>
      <c r="K614" s="706"/>
      <c r="L614" s="665"/>
      <c r="M614" s="663"/>
      <c r="N614" s="665"/>
      <c r="O614" s="665"/>
      <c r="P614" s="665"/>
      <c r="Q614" s="665"/>
      <c r="R614" s="665"/>
      <c r="S614" s="665"/>
      <c r="T614" s="673"/>
      <c r="U614" s="673"/>
      <c r="V614" s="673"/>
      <c r="W614" s="673"/>
      <c r="X614" s="673"/>
      <c r="Y614" s="673"/>
      <c r="Z614" s="673"/>
      <c r="AA614" s="673"/>
      <c r="AB614" s="673"/>
      <c r="AC614" s="673"/>
      <c r="AD614" s="673"/>
      <c r="AE614" s="673"/>
      <c r="AF614" s="673"/>
      <c r="AG614" s="673"/>
      <c r="AH614" s="673"/>
    </row>
    <row r="615">
      <c r="A615" s="653"/>
      <c r="B615" s="654"/>
      <c r="C615" s="691"/>
      <c r="D615" s="661"/>
      <c r="E615" s="705"/>
      <c r="F615" s="659"/>
      <c r="G615" s="661"/>
      <c r="H615" s="660"/>
      <c r="I615" s="691"/>
      <c r="J615" s="661"/>
      <c r="K615" s="706"/>
      <c r="L615" s="665"/>
      <c r="M615" s="663"/>
      <c r="N615" s="665"/>
      <c r="O615" s="665"/>
      <c r="P615" s="665"/>
      <c r="Q615" s="665"/>
      <c r="R615" s="665"/>
      <c r="S615" s="665"/>
      <c r="T615" s="673"/>
      <c r="U615" s="673"/>
      <c r="V615" s="673"/>
      <c r="W615" s="673"/>
      <c r="X615" s="673"/>
      <c r="Y615" s="673"/>
      <c r="Z615" s="673"/>
      <c r="AA615" s="673"/>
      <c r="AB615" s="673"/>
      <c r="AC615" s="673"/>
      <c r="AD615" s="673"/>
      <c r="AE615" s="673"/>
      <c r="AF615" s="673"/>
      <c r="AG615" s="673"/>
      <c r="AH615" s="673"/>
    </row>
    <row r="616">
      <c r="A616" s="653"/>
      <c r="B616" s="654"/>
      <c r="C616" s="691"/>
      <c r="D616" s="661"/>
      <c r="E616" s="705"/>
      <c r="F616" s="659"/>
      <c r="G616" s="661"/>
      <c r="H616" s="660"/>
      <c r="I616" s="691"/>
      <c r="J616" s="661"/>
      <c r="K616" s="706"/>
      <c r="L616" s="665"/>
      <c r="M616" s="663"/>
      <c r="N616" s="665"/>
      <c r="O616" s="665"/>
      <c r="P616" s="665"/>
      <c r="Q616" s="665"/>
      <c r="R616" s="665"/>
      <c r="S616" s="665"/>
      <c r="T616" s="673"/>
      <c r="U616" s="673"/>
      <c r="V616" s="673"/>
      <c r="W616" s="673"/>
      <c r="X616" s="673"/>
      <c r="Y616" s="673"/>
      <c r="Z616" s="673"/>
      <c r="AA616" s="673"/>
      <c r="AB616" s="673"/>
      <c r="AC616" s="673"/>
      <c r="AD616" s="673"/>
      <c r="AE616" s="673"/>
      <c r="AF616" s="673"/>
      <c r="AG616" s="673"/>
      <c r="AH616" s="673"/>
    </row>
    <row r="617">
      <c r="A617" s="653"/>
      <c r="B617" s="654"/>
      <c r="C617" s="691"/>
      <c r="D617" s="661"/>
      <c r="E617" s="705"/>
      <c r="F617" s="659"/>
      <c r="G617" s="661"/>
      <c r="H617" s="660"/>
      <c r="I617" s="691"/>
      <c r="J617" s="661"/>
      <c r="K617" s="706"/>
      <c r="L617" s="665"/>
      <c r="M617" s="663"/>
      <c r="N617" s="665"/>
      <c r="O617" s="665"/>
      <c r="P617" s="665"/>
      <c r="Q617" s="665"/>
      <c r="R617" s="665"/>
      <c r="S617" s="665"/>
      <c r="T617" s="673"/>
      <c r="U617" s="673"/>
      <c r="V617" s="673"/>
      <c r="W617" s="673"/>
      <c r="X617" s="673"/>
      <c r="Y617" s="673"/>
      <c r="Z617" s="673"/>
      <c r="AA617" s="673"/>
      <c r="AB617" s="673"/>
      <c r="AC617" s="673"/>
      <c r="AD617" s="673"/>
      <c r="AE617" s="673"/>
      <c r="AF617" s="673"/>
      <c r="AG617" s="673"/>
      <c r="AH617" s="673"/>
    </row>
    <row r="618">
      <c r="A618" s="653"/>
      <c r="B618" s="654"/>
      <c r="C618" s="691"/>
      <c r="D618" s="661"/>
      <c r="E618" s="705"/>
      <c r="F618" s="659"/>
      <c r="G618" s="661"/>
      <c r="H618" s="660"/>
      <c r="I618" s="691"/>
      <c r="J618" s="661"/>
      <c r="K618" s="706"/>
      <c r="L618" s="665"/>
      <c r="M618" s="663"/>
      <c r="N618" s="665"/>
      <c r="O618" s="665"/>
      <c r="P618" s="665"/>
      <c r="Q618" s="665"/>
      <c r="R618" s="665"/>
      <c r="S618" s="665"/>
      <c r="T618" s="673"/>
      <c r="U618" s="673"/>
      <c r="V618" s="673"/>
      <c r="W618" s="673"/>
      <c r="X618" s="673"/>
      <c r="Y618" s="673"/>
      <c r="Z618" s="673"/>
      <c r="AA618" s="673"/>
      <c r="AB618" s="673"/>
      <c r="AC618" s="673"/>
      <c r="AD618" s="673"/>
      <c r="AE618" s="673"/>
      <c r="AF618" s="673"/>
      <c r="AG618" s="673"/>
      <c r="AH618" s="673"/>
    </row>
    <row r="619">
      <c r="A619" s="653"/>
      <c r="B619" s="654"/>
      <c r="C619" s="691"/>
      <c r="D619" s="661"/>
      <c r="E619" s="705"/>
      <c r="F619" s="659"/>
      <c r="G619" s="661"/>
      <c r="H619" s="660"/>
      <c r="I619" s="691"/>
      <c r="J619" s="661"/>
      <c r="K619" s="706"/>
      <c r="L619" s="665"/>
      <c r="M619" s="663"/>
      <c r="N619" s="665"/>
      <c r="O619" s="665"/>
      <c r="P619" s="665"/>
      <c r="Q619" s="665"/>
      <c r="R619" s="665"/>
      <c r="S619" s="665"/>
      <c r="T619" s="673"/>
      <c r="U619" s="673"/>
      <c r="V619" s="673"/>
      <c r="W619" s="673"/>
      <c r="X619" s="673"/>
      <c r="Y619" s="673"/>
      <c r="Z619" s="673"/>
      <c r="AA619" s="673"/>
      <c r="AB619" s="673"/>
      <c r="AC619" s="673"/>
      <c r="AD619" s="673"/>
      <c r="AE619" s="673"/>
      <c r="AF619" s="673"/>
      <c r="AG619" s="673"/>
      <c r="AH619" s="673"/>
    </row>
    <row r="620">
      <c r="A620" s="653"/>
      <c r="B620" s="654"/>
      <c r="C620" s="691"/>
      <c r="D620" s="661"/>
      <c r="E620" s="705"/>
      <c r="F620" s="659"/>
      <c r="G620" s="661"/>
      <c r="H620" s="660"/>
      <c r="I620" s="691"/>
      <c r="J620" s="661"/>
      <c r="K620" s="706"/>
      <c r="L620" s="665"/>
      <c r="M620" s="663"/>
      <c r="N620" s="665"/>
      <c r="O620" s="665"/>
      <c r="P620" s="665"/>
      <c r="Q620" s="665"/>
      <c r="R620" s="665"/>
      <c r="S620" s="665"/>
      <c r="T620" s="673"/>
      <c r="U620" s="673"/>
      <c r="V620" s="673"/>
      <c r="W620" s="673"/>
      <c r="X620" s="673"/>
      <c r="Y620" s="673"/>
      <c r="Z620" s="673"/>
      <c r="AA620" s="673"/>
      <c r="AB620" s="673"/>
      <c r="AC620" s="673"/>
      <c r="AD620" s="673"/>
      <c r="AE620" s="673"/>
      <c r="AF620" s="673"/>
      <c r="AG620" s="673"/>
      <c r="AH620" s="673"/>
    </row>
    <row r="621">
      <c r="A621" s="653"/>
      <c r="B621" s="654"/>
      <c r="C621" s="691"/>
      <c r="D621" s="661"/>
      <c r="E621" s="705"/>
      <c r="F621" s="659"/>
      <c r="G621" s="661"/>
      <c r="H621" s="660"/>
      <c r="I621" s="691"/>
      <c r="J621" s="661"/>
      <c r="K621" s="706"/>
      <c r="L621" s="665"/>
      <c r="M621" s="663"/>
      <c r="N621" s="665"/>
      <c r="O621" s="665"/>
      <c r="P621" s="665"/>
      <c r="Q621" s="665"/>
      <c r="R621" s="665"/>
      <c r="S621" s="665"/>
      <c r="T621" s="673"/>
      <c r="U621" s="673"/>
      <c r="V621" s="673"/>
      <c r="W621" s="673"/>
      <c r="X621" s="673"/>
      <c r="Y621" s="673"/>
      <c r="Z621" s="673"/>
      <c r="AA621" s="673"/>
      <c r="AB621" s="673"/>
      <c r="AC621" s="673"/>
      <c r="AD621" s="673"/>
      <c r="AE621" s="673"/>
      <c r="AF621" s="673"/>
      <c r="AG621" s="673"/>
      <c r="AH621" s="673"/>
    </row>
    <row r="622">
      <c r="A622" s="653"/>
      <c r="B622" s="654"/>
      <c r="C622" s="691"/>
      <c r="D622" s="661"/>
      <c r="E622" s="705"/>
      <c r="F622" s="659"/>
      <c r="G622" s="661"/>
      <c r="H622" s="660"/>
      <c r="I622" s="691"/>
      <c r="J622" s="661"/>
      <c r="K622" s="706"/>
      <c r="L622" s="665"/>
      <c r="M622" s="663"/>
      <c r="N622" s="665"/>
      <c r="O622" s="665"/>
      <c r="P622" s="665"/>
      <c r="Q622" s="665"/>
      <c r="R622" s="665"/>
      <c r="S622" s="665"/>
      <c r="T622" s="673"/>
      <c r="U622" s="673"/>
      <c r="V622" s="673"/>
      <c r="W622" s="673"/>
      <c r="X622" s="673"/>
      <c r="Y622" s="673"/>
      <c r="Z622" s="673"/>
      <c r="AA622" s="673"/>
      <c r="AB622" s="673"/>
      <c r="AC622" s="673"/>
      <c r="AD622" s="673"/>
      <c r="AE622" s="673"/>
      <c r="AF622" s="673"/>
      <c r="AG622" s="673"/>
      <c r="AH622" s="673"/>
    </row>
    <row r="623">
      <c r="A623" s="653"/>
      <c r="B623" s="654"/>
      <c r="C623" s="691"/>
      <c r="D623" s="661"/>
      <c r="E623" s="705"/>
      <c r="F623" s="659"/>
      <c r="G623" s="661"/>
      <c r="H623" s="660"/>
      <c r="I623" s="691"/>
      <c r="J623" s="661"/>
      <c r="K623" s="706"/>
      <c r="L623" s="665"/>
      <c r="M623" s="663"/>
      <c r="N623" s="665"/>
      <c r="O623" s="665"/>
      <c r="P623" s="665"/>
      <c r="Q623" s="665"/>
      <c r="R623" s="665"/>
      <c r="S623" s="665"/>
      <c r="T623" s="673"/>
      <c r="U623" s="673"/>
      <c r="V623" s="673"/>
      <c r="W623" s="673"/>
      <c r="X623" s="673"/>
      <c r="Y623" s="673"/>
      <c r="Z623" s="673"/>
      <c r="AA623" s="673"/>
      <c r="AB623" s="673"/>
      <c r="AC623" s="673"/>
      <c r="AD623" s="673"/>
      <c r="AE623" s="673"/>
      <c r="AF623" s="673"/>
      <c r="AG623" s="673"/>
      <c r="AH623" s="673"/>
    </row>
    <row r="624">
      <c r="A624" s="653"/>
      <c r="B624" s="654"/>
      <c r="C624" s="691"/>
      <c r="D624" s="661"/>
      <c r="E624" s="705"/>
      <c r="F624" s="659"/>
      <c r="G624" s="661"/>
      <c r="H624" s="660"/>
      <c r="I624" s="691"/>
      <c r="J624" s="661"/>
      <c r="K624" s="706"/>
      <c r="L624" s="665"/>
      <c r="M624" s="663"/>
      <c r="N624" s="665"/>
      <c r="O624" s="665"/>
      <c r="P624" s="665"/>
      <c r="Q624" s="665"/>
      <c r="R624" s="665"/>
      <c r="S624" s="665"/>
      <c r="T624" s="673"/>
      <c r="U624" s="673"/>
      <c r="V624" s="673"/>
      <c r="W624" s="673"/>
      <c r="X624" s="673"/>
      <c r="Y624" s="673"/>
      <c r="Z624" s="673"/>
      <c r="AA624" s="673"/>
      <c r="AB624" s="673"/>
      <c r="AC624" s="673"/>
      <c r="AD624" s="673"/>
      <c r="AE624" s="673"/>
      <c r="AF624" s="673"/>
      <c r="AG624" s="673"/>
      <c r="AH624" s="673"/>
    </row>
    <row r="625">
      <c r="A625" s="653"/>
      <c r="B625" s="654"/>
      <c r="C625" s="691"/>
      <c r="D625" s="661"/>
      <c r="E625" s="705"/>
      <c r="F625" s="659"/>
      <c r="G625" s="661"/>
      <c r="H625" s="660"/>
      <c r="I625" s="691"/>
      <c r="J625" s="661"/>
      <c r="K625" s="706"/>
      <c r="L625" s="665"/>
      <c r="M625" s="663"/>
      <c r="N625" s="665"/>
      <c r="O625" s="665"/>
      <c r="P625" s="665"/>
      <c r="Q625" s="665"/>
      <c r="R625" s="665"/>
      <c r="S625" s="665"/>
      <c r="T625" s="673"/>
      <c r="U625" s="673"/>
      <c r="V625" s="673"/>
      <c r="W625" s="673"/>
      <c r="X625" s="673"/>
      <c r="Y625" s="673"/>
      <c r="Z625" s="673"/>
      <c r="AA625" s="673"/>
      <c r="AB625" s="673"/>
      <c r="AC625" s="673"/>
      <c r="AD625" s="673"/>
      <c r="AE625" s="673"/>
      <c r="AF625" s="673"/>
      <c r="AG625" s="673"/>
      <c r="AH625" s="673"/>
    </row>
    <row r="626">
      <c r="A626" s="653"/>
      <c r="B626" s="654"/>
      <c r="C626" s="691"/>
      <c r="D626" s="661"/>
      <c r="E626" s="705"/>
      <c r="F626" s="659"/>
      <c r="G626" s="661"/>
      <c r="H626" s="660"/>
      <c r="I626" s="691"/>
      <c r="J626" s="661"/>
      <c r="K626" s="706"/>
      <c r="L626" s="665"/>
      <c r="M626" s="663"/>
      <c r="N626" s="665"/>
      <c r="O626" s="665"/>
      <c r="P626" s="665"/>
      <c r="Q626" s="665"/>
      <c r="R626" s="665"/>
      <c r="S626" s="665"/>
      <c r="T626" s="673"/>
      <c r="U626" s="673"/>
      <c r="V626" s="673"/>
      <c r="W626" s="673"/>
      <c r="X626" s="673"/>
      <c r="Y626" s="673"/>
      <c r="Z626" s="673"/>
      <c r="AA626" s="673"/>
      <c r="AB626" s="673"/>
      <c r="AC626" s="673"/>
      <c r="AD626" s="673"/>
      <c r="AE626" s="673"/>
      <c r="AF626" s="673"/>
      <c r="AG626" s="673"/>
      <c r="AH626" s="673"/>
    </row>
    <row r="627">
      <c r="A627" s="653"/>
      <c r="B627" s="654"/>
      <c r="C627" s="691"/>
      <c r="D627" s="661"/>
      <c r="E627" s="705"/>
      <c r="F627" s="659"/>
      <c r="G627" s="661"/>
      <c r="H627" s="660"/>
      <c r="I627" s="691"/>
      <c r="J627" s="661"/>
      <c r="K627" s="706"/>
      <c r="L627" s="665"/>
      <c r="M627" s="663"/>
      <c r="N627" s="665"/>
      <c r="O627" s="665"/>
      <c r="P627" s="665"/>
      <c r="Q627" s="665"/>
      <c r="R627" s="665"/>
      <c r="S627" s="665"/>
      <c r="T627" s="673"/>
      <c r="U627" s="673"/>
      <c r="V627" s="673"/>
      <c r="W627" s="673"/>
      <c r="X627" s="673"/>
      <c r="Y627" s="673"/>
      <c r="Z627" s="673"/>
      <c r="AA627" s="673"/>
      <c r="AB627" s="673"/>
      <c r="AC627" s="673"/>
      <c r="AD627" s="673"/>
      <c r="AE627" s="673"/>
      <c r="AF627" s="673"/>
      <c r="AG627" s="673"/>
      <c r="AH627" s="673"/>
    </row>
    <row r="628">
      <c r="A628" s="653"/>
      <c r="B628" s="654"/>
      <c r="C628" s="691"/>
      <c r="D628" s="661"/>
      <c r="E628" s="705"/>
      <c r="F628" s="659"/>
      <c r="G628" s="661"/>
      <c r="H628" s="660"/>
      <c r="I628" s="691"/>
      <c r="J628" s="661"/>
      <c r="K628" s="706"/>
      <c r="L628" s="665"/>
      <c r="M628" s="663"/>
      <c r="N628" s="665"/>
      <c r="O628" s="665"/>
      <c r="P628" s="665"/>
      <c r="Q628" s="665"/>
      <c r="R628" s="665"/>
      <c r="S628" s="665"/>
      <c r="T628" s="673"/>
      <c r="U628" s="673"/>
      <c r="V628" s="673"/>
      <c r="W628" s="673"/>
      <c r="X628" s="673"/>
      <c r="Y628" s="673"/>
      <c r="Z628" s="673"/>
      <c r="AA628" s="673"/>
      <c r="AB628" s="673"/>
      <c r="AC628" s="673"/>
      <c r="AD628" s="673"/>
      <c r="AE628" s="673"/>
      <c r="AF628" s="673"/>
      <c r="AG628" s="673"/>
      <c r="AH628" s="673"/>
    </row>
    <row r="629">
      <c r="A629" s="653"/>
      <c r="B629" s="654"/>
      <c r="C629" s="691"/>
      <c r="D629" s="661"/>
      <c r="E629" s="705"/>
      <c r="F629" s="659"/>
      <c r="G629" s="661"/>
      <c r="H629" s="660"/>
      <c r="I629" s="691"/>
      <c r="J629" s="661"/>
      <c r="K629" s="706"/>
      <c r="L629" s="665"/>
      <c r="M629" s="663"/>
      <c r="N629" s="665"/>
      <c r="O629" s="665"/>
      <c r="P629" s="665"/>
      <c r="Q629" s="665"/>
      <c r="R629" s="665"/>
      <c r="S629" s="665"/>
      <c r="T629" s="673"/>
      <c r="U629" s="673"/>
      <c r="V629" s="673"/>
      <c r="W629" s="673"/>
      <c r="X629" s="673"/>
      <c r="Y629" s="673"/>
      <c r="Z629" s="673"/>
      <c r="AA629" s="673"/>
      <c r="AB629" s="673"/>
      <c r="AC629" s="673"/>
      <c r="AD629" s="673"/>
      <c r="AE629" s="673"/>
      <c r="AF629" s="673"/>
      <c r="AG629" s="673"/>
      <c r="AH629" s="673"/>
    </row>
    <row r="630">
      <c r="A630" s="653"/>
      <c r="B630" s="654"/>
      <c r="C630" s="691"/>
      <c r="D630" s="661"/>
      <c r="E630" s="705"/>
      <c r="F630" s="659"/>
      <c r="G630" s="661"/>
      <c r="H630" s="660"/>
      <c r="I630" s="691"/>
      <c r="J630" s="661"/>
      <c r="K630" s="706"/>
      <c r="L630" s="665"/>
      <c r="M630" s="663"/>
      <c r="N630" s="665"/>
      <c r="O630" s="665"/>
      <c r="P630" s="665"/>
      <c r="Q630" s="665"/>
      <c r="R630" s="665"/>
      <c r="S630" s="665"/>
      <c r="T630" s="673"/>
      <c r="U630" s="673"/>
      <c r="V630" s="673"/>
      <c r="W630" s="673"/>
      <c r="X630" s="673"/>
      <c r="Y630" s="673"/>
      <c r="Z630" s="673"/>
      <c r="AA630" s="673"/>
      <c r="AB630" s="673"/>
      <c r="AC630" s="673"/>
      <c r="AD630" s="673"/>
      <c r="AE630" s="673"/>
      <c r="AF630" s="673"/>
      <c r="AG630" s="673"/>
      <c r="AH630" s="673"/>
    </row>
    <row r="631">
      <c r="A631" s="653"/>
      <c r="B631" s="654"/>
      <c r="C631" s="691"/>
      <c r="D631" s="661"/>
      <c r="E631" s="705"/>
      <c r="F631" s="659"/>
      <c r="G631" s="661"/>
      <c r="H631" s="660"/>
      <c r="I631" s="691"/>
      <c r="J631" s="661"/>
      <c r="K631" s="706"/>
      <c r="L631" s="665"/>
      <c r="M631" s="663"/>
      <c r="N631" s="665"/>
      <c r="O631" s="665"/>
      <c r="P631" s="665"/>
      <c r="Q631" s="665"/>
      <c r="R631" s="665"/>
      <c r="S631" s="665"/>
      <c r="T631" s="673"/>
      <c r="U631" s="673"/>
      <c r="V631" s="673"/>
      <c r="W631" s="673"/>
      <c r="X631" s="673"/>
      <c r="Y631" s="673"/>
      <c r="Z631" s="673"/>
      <c r="AA631" s="673"/>
      <c r="AB631" s="673"/>
      <c r="AC631" s="673"/>
      <c r="AD631" s="673"/>
      <c r="AE631" s="673"/>
      <c r="AF631" s="673"/>
      <c r="AG631" s="673"/>
      <c r="AH631" s="673"/>
    </row>
    <row r="632">
      <c r="A632" s="653"/>
      <c r="B632" s="654"/>
      <c r="C632" s="691"/>
      <c r="D632" s="661"/>
      <c r="E632" s="705"/>
      <c r="F632" s="659"/>
      <c r="G632" s="661"/>
      <c r="H632" s="660"/>
      <c r="I632" s="691"/>
      <c r="J632" s="661"/>
      <c r="K632" s="706"/>
      <c r="L632" s="665"/>
      <c r="M632" s="663"/>
      <c r="N632" s="665"/>
      <c r="O632" s="665"/>
      <c r="P632" s="665"/>
      <c r="Q632" s="665"/>
      <c r="R632" s="665"/>
      <c r="S632" s="665"/>
      <c r="T632" s="673"/>
      <c r="U632" s="673"/>
      <c r="V632" s="673"/>
      <c r="W632" s="673"/>
      <c r="X632" s="673"/>
      <c r="Y632" s="673"/>
      <c r="Z632" s="673"/>
      <c r="AA632" s="673"/>
      <c r="AB632" s="673"/>
      <c r="AC632" s="673"/>
      <c r="AD632" s="673"/>
      <c r="AE632" s="673"/>
      <c r="AF632" s="673"/>
      <c r="AG632" s="673"/>
      <c r="AH632" s="673"/>
    </row>
    <row r="633">
      <c r="A633" s="653"/>
      <c r="B633" s="654"/>
      <c r="C633" s="691"/>
      <c r="D633" s="661"/>
      <c r="E633" s="705"/>
      <c r="F633" s="659"/>
      <c r="G633" s="661"/>
      <c r="H633" s="660"/>
      <c r="I633" s="691"/>
      <c r="J633" s="661"/>
      <c r="K633" s="706"/>
      <c r="L633" s="665"/>
      <c r="M633" s="663"/>
      <c r="N633" s="665"/>
      <c r="O633" s="665"/>
      <c r="P633" s="665"/>
      <c r="Q633" s="665"/>
      <c r="R633" s="665"/>
      <c r="S633" s="665"/>
      <c r="T633" s="673"/>
      <c r="U633" s="673"/>
      <c r="V633" s="673"/>
      <c r="W633" s="673"/>
      <c r="X633" s="673"/>
      <c r="Y633" s="673"/>
      <c r="Z633" s="673"/>
      <c r="AA633" s="673"/>
      <c r="AB633" s="673"/>
      <c r="AC633" s="673"/>
      <c r="AD633" s="673"/>
      <c r="AE633" s="673"/>
      <c r="AF633" s="673"/>
      <c r="AG633" s="673"/>
      <c r="AH633" s="673"/>
    </row>
    <row r="634">
      <c r="A634" s="653"/>
      <c r="B634" s="654"/>
      <c r="C634" s="691"/>
      <c r="D634" s="661"/>
      <c r="E634" s="705"/>
      <c r="F634" s="659"/>
      <c r="G634" s="661"/>
      <c r="H634" s="660"/>
      <c r="I634" s="691"/>
      <c r="J634" s="661"/>
      <c r="K634" s="706"/>
      <c r="L634" s="665"/>
      <c r="M634" s="663"/>
      <c r="N634" s="665"/>
      <c r="O634" s="665"/>
      <c r="P634" s="665"/>
      <c r="Q634" s="665"/>
      <c r="R634" s="665"/>
      <c r="S634" s="665"/>
      <c r="T634" s="673"/>
      <c r="U634" s="673"/>
      <c r="V634" s="673"/>
      <c r="W634" s="673"/>
      <c r="X634" s="673"/>
      <c r="Y634" s="673"/>
      <c r="Z634" s="673"/>
      <c r="AA634" s="673"/>
      <c r="AB634" s="673"/>
      <c r="AC634" s="673"/>
      <c r="AD634" s="673"/>
      <c r="AE634" s="673"/>
      <c r="AF634" s="673"/>
      <c r="AG634" s="673"/>
      <c r="AH634" s="673"/>
    </row>
    <row r="635">
      <c r="A635" s="653"/>
      <c r="B635" s="654"/>
      <c r="C635" s="691"/>
      <c r="D635" s="661"/>
      <c r="E635" s="705"/>
      <c r="F635" s="659"/>
      <c r="G635" s="661"/>
      <c r="H635" s="660"/>
      <c r="I635" s="691"/>
      <c r="J635" s="661"/>
      <c r="K635" s="706"/>
      <c r="L635" s="665"/>
      <c r="M635" s="663"/>
      <c r="N635" s="665"/>
      <c r="O635" s="665"/>
      <c r="P635" s="665"/>
      <c r="Q635" s="665"/>
      <c r="R635" s="665"/>
      <c r="S635" s="665"/>
      <c r="T635" s="673"/>
      <c r="U635" s="673"/>
      <c r="V635" s="673"/>
      <c r="W635" s="673"/>
      <c r="X635" s="673"/>
      <c r="Y635" s="673"/>
      <c r="Z635" s="673"/>
      <c r="AA635" s="673"/>
      <c r="AB635" s="673"/>
      <c r="AC635" s="673"/>
      <c r="AD635" s="673"/>
      <c r="AE635" s="673"/>
      <c r="AF635" s="673"/>
      <c r="AG635" s="673"/>
      <c r="AH635" s="673"/>
    </row>
    <row r="636">
      <c r="A636" s="653"/>
      <c r="B636" s="654"/>
      <c r="C636" s="691"/>
      <c r="D636" s="661"/>
      <c r="E636" s="705"/>
      <c r="F636" s="659"/>
      <c r="G636" s="661"/>
      <c r="H636" s="660"/>
      <c r="I636" s="691"/>
      <c r="J636" s="661"/>
      <c r="K636" s="706"/>
      <c r="L636" s="665"/>
      <c r="M636" s="663"/>
      <c r="N636" s="665"/>
      <c r="O636" s="665"/>
      <c r="P636" s="665"/>
      <c r="Q636" s="665"/>
      <c r="R636" s="665"/>
      <c r="S636" s="665"/>
      <c r="T636" s="673"/>
      <c r="U636" s="673"/>
      <c r="V636" s="673"/>
      <c r="W636" s="673"/>
      <c r="X636" s="673"/>
      <c r="Y636" s="673"/>
      <c r="Z636" s="673"/>
      <c r="AA636" s="673"/>
      <c r="AB636" s="673"/>
      <c r="AC636" s="673"/>
      <c r="AD636" s="673"/>
      <c r="AE636" s="673"/>
      <c r="AF636" s="673"/>
      <c r="AG636" s="673"/>
      <c r="AH636" s="673"/>
    </row>
    <row r="637">
      <c r="A637" s="653"/>
      <c r="B637" s="654"/>
      <c r="C637" s="691"/>
      <c r="D637" s="661"/>
      <c r="E637" s="705"/>
      <c r="F637" s="659"/>
      <c r="G637" s="661"/>
      <c r="H637" s="660"/>
      <c r="I637" s="691"/>
      <c r="J637" s="661"/>
      <c r="K637" s="706"/>
      <c r="L637" s="665"/>
      <c r="M637" s="663"/>
      <c r="N637" s="665"/>
      <c r="O637" s="665"/>
      <c r="P637" s="665"/>
      <c r="Q637" s="665"/>
      <c r="R637" s="665"/>
      <c r="S637" s="665"/>
      <c r="T637" s="673"/>
      <c r="U637" s="673"/>
      <c r="V637" s="673"/>
      <c r="W637" s="673"/>
      <c r="X637" s="673"/>
      <c r="Y637" s="673"/>
      <c r="Z637" s="673"/>
      <c r="AA637" s="673"/>
      <c r="AB637" s="673"/>
      <c r="AC637" s="673"/>
      <c r="AD637" s="673"/>
      <c r="AE637" s="673"/>
      <c r="AF637" s="673"/>
      <c r="AG637" s="673"/>
      <c r="AH637" s="673"/>
    </row>
    <row r="638">
      <c r="A638" s="653"/>
      <c r="B638" s="654"/>
      <c r="C638" s="691"/>
      <c r="D638" s="661"/>
      <c r="E638" s="705"/>
      <c r="F638" s="659"/>
      <c r="G638" s="661"/>
      <c r="H638" s="660"/>
      <c r="I638" s="691"/>
      <c r="J638" s="661"/>
      <c r="K638" s="706"/>
      <c r="L638" s="665"/>
      <c r="M638" s="663"/>
      <c r="N638" s="665"/>
      <c r="O638" s="665"/>
      <c r="P638" s="665"/>
      <c r="Q638" s="665"/>
      <c r="R638" s="665"/>
      <c r="S638" s="665"/>
      <c r="T638" s="673"/>
      <c r="U638" s="673"/>
      <c r="V638" s="673"/>
      <c r="W638" s="673"/>
      <c r="X638" s="673"/>
      <c r="Y638" s="673"/>
      <c r="Z638" s="673"/>
      <c r="AA638" s="673"/>
      <c r="AB638" s="673"/>
      <c r="AC638" s="673"/>
      <c r="AD638" s="673"/>
      <c r="AE638" s="673"/>
      <c r="AF638" s="673"/>
      <c r="AG638" s="673"/>
      <c r="AH638" s="673"/>
    </row>
    <row r="639">
      <c r="A639" s="653"/>
      <c r="B639" s="654"/>
      <c r="C639" s="691"/>
      <c r="D639" s="661"/>
      <c r="E639" s="705"/>
      <c r="F639" s="659"/>
      <c r="G639" s="661"/>
      <c r="H639" s="660"/>
      <c r="I639" s="691"/>
      <c r="J639" s="661"/>
      <c r="K639" s="706"/>
      <c r="L639" s="665"/>
      <c r="M639" s="663"/>
      <c r="N639" s="665"/>
      <c r="O639" s="665"/>
      <c r="P639" s="665"/>
      <c r="Q639" s="665"/>
      <c r="R639" s="665"/>
      <c r="S639" s="665"/>
      <c r="T639" s="673"/>
      <c r="U639" s="673"/>
      <c r="V639" s="673"/>
      <c r="W639" s="673"/>
      <c r="X639" s="673"/>
      <c r="Y639" s="673"/>
      <c r="Z639" s="673"/>
      <c r="AA639" s="673"/>
      <c r="AB639" s="673"/>
      <c r="AC639" s="673"/>
      <c r="AD639" s="673"/>
      <c r="AE639" s="673"/>
      <c r="AF639" s="673"/>
      <c r="AG639" s="673"/>
      <c r="AH639" s="673"/>
    </row>
    <row r="640">
      <c r="A640" s="653"/>
      <c r="B640" s="654"/>
      <c r="C640" s="691"/>
      <c r="D640" s="661"/>
      <c r="E640" s="705"/>
      <c r="F640" s="659"/>
      <c r="G640" s="661"/>
      <c r="H640" s="660"/>
      <c r="I640" s="691"/>
      <c r="J640" s="661"/>
      <c r="K640" s="706"/>
      <c r="L640" s="665"/>
      <c r="M640" s="663"/>
      <c r="N640" s="665"/>
      <c r="O640" s="665"/>
      <c r="P640" s="665"/>
      <c r="Q640" s="665"/>
      <c r="R640" s="665"/>
      <c r="S640" s="665"/>
      <c r="T640" s="673"/>
      <c r="U640" s="673"/>
      <c r="V640" s="673"/>
      <c r="W640" s="673"/>
      <c r="X640" s="673"/>
      <c r="Y640" s="673"/>
      <c r="Z640" s="673"/>
      <c r="AA640" s="673"/>
      <c r="AB640" s="673"/>
      <c r="AC640" s="673"/>
      <c r="AD640" s="673"/>
      <c r="AE640" s="673"/>
      <c r="AF640" s="673"/>
      <c r="AG640" s="673"/>
      <c r="AH640" s="673"/>
    </row>
    <row r="641">
      <c r="A641" s="653"/>
      <c r="B641" s="654"/>
      <c r="C641" s="691"/>
      <c r="D641" s="661"/>
      <c r="E641" s="705"/>
      <c r="F641" s="659"/>
      <c r="G641" s="661"/>
      <c r="H641" s="660"/>
      <c r="I641" s="691"/>
      <c r="J641" s="661"/>
      <c r="K641" s="706"/>
      <c r="L641" s="665"/>
      <c r="M641" s="663"/>
      <c r="N641" s="665"/>
      <c r="O641" s="665"/>
      <c r="P641" s="665"/>
      <c r="Q641" s="665"/>
      <c r="R641" s="665"/>
      <c r="S641" s="665"/>
      <c r="T641" s="673"/>
      <c r="U641" s="673"/>
      <c r="V641" s="673"/>
      <c r="W641" s="673"/>
      <c r="X641" s="673"/>
      <c r="Y641" s="673"/>
      <c r="Z641" s="673"/>
      <c r="AA641" s="673"/>
      <c r="AB641" s="673"/>
      <c r="AC641" s="673"/>
      <c r="AD641" s="673"/>
      <c r="AE641" s="673"/>
      <c r="AF641" s="673"/>
      <c r="AG641" s="673"/>
      <c r="AH641" s="673"/>
    </row>
    <row r="642">
      <c r="A642" s="653"/>
      <c r="B642" s="654"/>
      <c r="C642" s="691"/>
      <c r="D642" s="661"/>
      <c r="E642" s="705"/>
      <c r="F642" s="659"/>
      <c r="G642" s="661"/>
      <c r="H642" s="660"/>
      <c r="I642" s="691"/>
      <c r="J642" s="661"/>
      <c r="K642" s="706"/>
      <c r="L642" s="665"/>
      <c r="M642" s="663"/>
      <c r="N642" s="665"/>
      <c r="O642" s="665"/>
      <c r="P642" s="665"/>
      <c r="Q642" s="665"/>
      <c r="R642" s="665"/>
      <c r="S642" s="665"/>
      <c r="T642" s="673"/>
      <c r="U642" s="673"/>
      <c r="V642" s="673"/>
      <c r="W642" s="673"/>
      <c r="X642" s="673"/>
      <c r="Y642" s="673"/>
      <c r="Z642" s="673"/>
      <c r="AA642" s="673"/>
      <c r="AB642" s="673"/>
      <c r="AC642" s="673"/>
      <c r="AD642" s="673"/>
      <c r="AE642" s="673"/>
      <c r="AF642" s="673"/>
      <c r="AG642" s="673"/>
      <c r="AH642" s="673"/>
    </row>
    <row r="643">
      <c r="A643" s="653"/>
      <c r="B643" s="654"/>
      <c r="C643" s="691"/>
      <c r="D643" s="661"/>
      <c r="E643" s="705"/>
      <c r="F643" s="659"/>
      <c r="G643" s="661"/>
      <c r="H643" s="660"/>
      <c r="I643" s="691"/>
      <c r="J643" s="661"/>
      <c r="K643" s="706"/>
      <c r="L643" s="665"/>
      <c r="M643" s="663"/>
      <c r="N643" s="665"/>
      <c r="O643" s="665"/>
      <c r="P643" s="665"/>
      <c r="Q643" s="665"/>
      <c r="R643" s="665"/>
      <c r="S643" s="665"/>
      <c r="T643" s="673"/>
      <c r="U643" s="673"/>
      <c r="V643" s="673"/>
      <c r="W643" s="673"/>
      <c r="X643" s="673"/>
      <c r="Y643" s="673"/>
      <c r="Z643" s="673"/>
      <c r="AA643" s="673"/>
      <c r="AB643" s="673"/>
      <c r="AC643" s="673"/>
      <c r="AD643" s="673"/>
      <c r="AE643" s="673"/>
      <c r="AF643" s="673"/>
      <c r="AG643" s="673"/>
      <c r="AH643" s="673"/>
    </row>
    <row r="644">
      <c r="A644" s="653"/>
      <c r="B644" s="654"/>
      <c r="C644" s="691"/>
      <c r="D644" s="661"/>
      <c r="E644" s="705"/>
      <c r="F644" s="659"/>
      <c r="G644" s="661"/>
      <c r="H644" s="660"/>
      <c r="I644" s="691"/>
      <c r="J644" s="661"/>
      <c r="K644" s="706"/>
      <c r="L644" s="665"/>
      <c r="M644" s="663"/>
      <c r="N644" s="665"/>
      <c r="O644" s="665"/>
      <c r="P644" s="665"/>
      <c r="Q644" s="665"/>
      <c r="R644" s="665"/>
      <c r="S644" s="665"/>
      <c r="T644" s="673"/>
      <c r="U644" s="673"/>
      <c r="V644" s="673"/>
      <c r="W644" s="673"/>
      <c r="X644" s="673"/>
      <c r="Y644" s="673"/>
      <c r="Z644" s="673"/>
      <c r="AA644" s="673"/>
      <c r="AB644" s="673"/>
      <c r="AC644" s="673"/>
      <c r="AD644" s="673"/>
      <c r="AE644" s="673"/>
      <c r="AF644" s="673"/>
      <c r="AG644" s="673"/>
      <c r="AH644" s="673"/>
    </row>
    <row r="645">
      <c r="A645" s="653"/>
      <c r="B645" s="654"/>
      <c r="C645" s="691"/>
      <c r="D645" s="661"/>
      <c r="E645" s="705"/>
      <c r="F645" s="659"/>
      <c r="G645" s="661"/>
      <c r="H645" s="660"/>
      <c r="I645" s="691"/>
      <c r="J645" s="661"/>
      <c r="K645" s="706"/>
      <c r="L645" s="665"/>
      <c r="M645" s="663"/>
      <c r="N645" s="665"/>
      <c r="O645" s="665"/>
      <c r="P645" s="665"/>
      <c r="Q645" s="665"/>
      <c r="R645" s="665"/>
      <c r="S645" s="665"/>
      <c r="T645" s="673"/>
      <c r="U645" s="673"/>
      <c r="V645" s="673"/>
      <c r="W645" s="673"/>
      <c r="X645" s="673"/>
      <c r="Y645" s="673"/>
      <c r="Z645" s="673"/>
      <c r="AA645" s="673"/>
      <c r="AB645" s="673"/>
      <c r="AC645" s="673"/>
      <c r="AD645" s="673"/>
      <c r="AE645" s="673"/>
      <c r="AF645" s="673"/>
      <c r="AG645" s="673"/>
      <c r="AH645" s="673"/>
    </row>
    <row r="646">
      <c r="A646" s="653"/>
      <c r="B646" s="654"/>
      <c r="C646" s="691"/>
      <c r="D646" s="661"/>
      <c r="E646" s="705"/>
      <c r="F646" s="659"/>
      <c r="G646" s="661"/>
      <c r="H646" s="660"/>
      <c r="I646" s="691"/>
      <c r="J646" s="661"/>
      <c r="K646" s="706"/>
      <c r="L646" s="665"/>
      <c r="M646" s="663"/>
      <c r="N646" s="665"/>
      <c r="O646" s="665"/>
      <c r="P646" s="665"/>
      <c r="Q646" s="665"/>
      <c r="R646" s="665"/>
      <c r="S646" s="665"/>
      <c r="T646" s="673"/>
      <c r="U646" s="673"/>
      <c r="V646" s="673"/>
      <c r="W646" s="673"/>
      <c r="X646" s="673"/>
      <c r="Y646" s="673"/>
      <c r="Z646" s="673"/>
      <c r="AA646" s="673"/>
      <c r="AB646" s="673"/>
      <c r="AC646" s="673"/>
      <c r="AD646" s="673"/>
      <c r="AE646" s="673"/>
      <c r="AF646" s="673"/>
      <c r="AG646" s="673"/>
      <c r="AH646" s="673"/>
    </row>
    <row r="647">
      <c r="A647" s="653"/>
      <c r="B647" s="654"/>
      <c r="C647" s="691"/>
      <c r="D647" s="661"/>
      <c r="E647" s="705"/>
      <c r="F647" s="659"/>
      <c r="G647" s="661"/>
      <c r="H647" s="660"/>
      <c r="I647" s="691"/>
      <c r="J647" s="661"/>
      <c r="K647" s="706"/>
      <c r="L647" s="665"/>
      <c r="M647" s="663"/>
      <c r="N647" s="665"/>
      <c r="O647" s="665"/>
      <c r="P647" s="665"/>
      <c r="Q647" s="665"/>
      <c r="R647" s="665"/>
      <c r="S647" s="665"/>
      <c r="T647" s="673"/>
      <c r="U647" s="673"/>
      <c r="V647" s="673"/>
      <c r="W647" s="673"/>
      <c r="X647" s="673"/>
      <c r="Y647" s="673"/>
      <c r="Z647" s="673"/>
      <c r="AA647" s="673"/>
      <c r="AB647" s="673"/>
      <c r="AC647" s="673"/>
      <c r="AD647" s="673"/>
      <c r="AE647" s="673"/>
      <c r="AF647" s="673"/>
      <c r="AG647" s="673"/>
      <c r="AH647" s="673"/>
    </row>
    <row r="648">
      <c r="A648" s="653"/>
      <c r="B648" s="654"/>
      <c r="C648" s="691"/>
      <c r="D648" s="661"/>
      <c r="E648" s="705"/>
      <c r="F648" s="659"/>
      <c r="G648" s="661"/>
      <c r="H648" s="660"/>
      <c r="I648" s="691"/>
      <c r="J648" s="661"/>
      <c r="K648" s="706"/>
      <c r="L648" s="665"/>
      <c r="M648" s="663"/>
      <c r="N648" s="665"/>
      <c r="O648" s="665"/>
      <c r="P648" s="665"/>
      <c r="Q648" s="665"/>
      <c r="R648" s="665"/>
      <c r="S648" s="665"/>
      <c r="T648" s="673"/>
      <c r="U648" s="673"/>
      <c r="V648" s="673"/>
      <c r="W648" s="673"/>
      <c r="X648" s="673"/>
      <c r="Y648" s="673"/>
      <c r="Z648" s="673"/>
      <c r="AA648" s="673"/>
      <c r="AB648" s="673"/>
      <c r="AC648" s="673"/>
      <c r="AD648" s="673"/>
      <c r="AE648" s="673"/>
      <c r="AF648" s="673"/>
      <c r="AG648" s="673"/>
      <c r="AH648" s="673"/>
    </row>
    <row r="649">
      <c r="A649" s="653"/>
      <c r="B649" s="654"/>
      <c r="C649" s="691"/>
      <c r="D649" s="661"/>
      <c r="E649" s="705"/>
      <c r="F649" s="659"/>
      <c r="G649" s="661"/>
      <c r="H649" s="660"/>
      <c r="I649" s="691"/>
      <c r="J649" s="661"/>
      <c r="K649" s="706"/>
      <c r="L649" s="665"/>
      <c r="M649" s="663"/>
      <c r="N649" s="665"/>
      <c r="O649" s="665"/>
      <c r="P649" s="665"/>
      <c r="Q649" s="665"/>
      <c r="R649" s="665"/>
      <c r="S649" s="665"/>
      <c r="T649" s="673"/>
      <c r="U649" s="673"/>
      <c r="V649" s="673"/>
      <c r="W649" s="673"/>
      <c r="X649" s="673"/>
      <c r="Y649" s="673"/>
      <c r="Z649" s="673"/>
      <c r="AA649" s="673"/>
      <c r="AB649" s="673"/>
      <c r="AC649" s="673"/>
      <c r="AD649" s="673"/>
      <c r="AE649" s="673"/>
      <c r="AF649" s="673"/>
      <c r="AG649" s="673"/>
      <c r="AH649" s="673"/>
    </row>
    <row r="650">
      <c r="A650" s="653"/>
      <c r="B650" s="654"/>
      <c r="C650" s="691"/>
      <c r="D650" s="661"/>
      <c r="E650" s="705"/>
      <c r="F650" s="659"/>
      <c r="G650" s="661"/>
      <c r="H650" s="660"/>
      <c r="I650" s="691"/>
      <c r="J650" s="661"/>
      <c r="K650" s="706"/>
      <c r="L650" s="665"/>
      <c r="M650" s="663"/>
      <c r="N650" s="665"/>
      <c r="O650" s="665"/>
      <c r="P650" s="665"/>
      <c r="Q650" s="665"/>
      <c r="R650" s="665"/>
      <c r="S650" s="665"/>
      <c r="T650" s="673"/>
      <c r="U650" s="673"/>
      <c r="V650" s="673"/>
      <c r="W650" s="673"/>
      <c r="X650" s="673"/>
      <c r="Y650" s="673"/>
      <c r="Z650" s="673"/>
      <c r="AA650" s="673"/>
      <c r="AB650" s="673"/>
      <c r="AC650" s="673"/>
      <c r="AD650" s="673"/>
      <c r="AE650" s="673"/>
      <c r="AF650" s="673"/>
      <c r="AG650" s="673"/>
      <c r="AH650" s="673"/>
    </row>
    <row r="651">
      <c r="A651" s="653"/>
      <c r="B651" s="654"/>
      <c r="C651" s="691"/>
      <c r="D651" s="661"/>
      <c r="E651" s="705"/>
      <c r="F651" s="659"/>
      <c r="G651" s="661"/>
      <c r="H651" s="660"/>
      <c r="I651" s="691"/>
      <c r="J651" s="661"/>
      <c r="K651" s="706"/>
      <c r="L651" s="665"/>
      <c r="M651" s="663"/>
      <c r="N651" s="665"/>
      <c r="O651" s="665"/>
      <c r="P651" s="665"/>
      <c r="Q651" s="665"/>
      <c r="R651" s="665"/>
      <c r="S651" s="665"/>
      <c r="T651" s="673"/>
      <c r="U651" s="673"/>
      <c r="V651" s="673"/>
      <c r="W651" s="673"/>
      <c r="X651" s="673"/>
      <c r="Y651" s="673"/>
      <c r="Z651" s="673"/>
      <c r="AA651" s="673"/>
      <c r="AB651" s="673"/>
      <c r="AC651" s="673"/>
      <c r="AD651" s="673"/>
      <c r="AE651" s="673"/>
      <c r="AF651" s="673"/>
      <c r="AG651" s="673"/>
      <c r="AH651" s="673"/>
    </row>
    <row r="652">
      <c r="A652" s="653"/>
      <c r="B652" s="654"/>
      <c r="C652" s="691"/>
      <c r="D652" s="661"/>
      <c r="E652" s="705"/>
      <c r="F652" s="659"/>
      <c r="G652" s="661"/>
      <c r="H652" s="660"/>
      <c r="I652" s="691"/>
      <c r="J652" s="661"/>
      <c r="K652" s="706"/>
      <c r="L652" s="665"/>
      <c r="M652" s="663"/>
      <c r="N652" s="665"/>
      <c r="O652" s="665"/>
      <c r="P652" s="665"/>
      <c r="Q652" s="665"/>
      <c r="R652" s="665"/>
      <c r="S652" s="665"/>
      <c r="T652" s="673"/>
      <c r="U652" s="673"/>
      <c r="V652" s="673"/>
      <c r="W652" s="673"/>
      <c r="X652" s="673"/>
      <c r="Y652" s="673"/>
      <c r="Z652" s="673"/>
      <c r="AA652" s="673"/>
      <c r="AB652" s="673"/>
      <c r="AC652" s="673"/>
      <c r="AD652" s="673"/>
      <c r="AE652" s="673"/>
      <c r="AF652" s="673"/>
      <c r="AG652" s="673"/>
      <c r="AH652" s="673"/>
    </row>
    <row r="653">
      <c r="A653" s="653"/>
      <c r="B653" s="654"/>
      <c r="C653" s="691"/>
      <c r="D653" s="661"/>
      <c r="E653" s="705"/>
      <c r="F653" s="659"/>
      <c r="G653" s="661"/>
      <c r="H653" s="660"/>
      <c r="I653" s="691"/>
      <c r="J653" s="661"/>
      <c r="K653" s="706"/>
      <c r="L653" s="665"/>
      <c r="M653" s="663"/>
      <c r="N653" s="665"/>
      <c r="O653" s="665"/>
      <c r="P653" s="665"/>
      <c r="Q653" s="665"/>
      <c r="R653" s="665"/>
      <c r="S653" s="665"/>
      <c r="T653" s="673"/>
      <c r="U653" s="673"/>
      <c r="V653" s="673"/>
      <c r="W653" s="673"/>
      <c r="X653" s="673"/>
      <c r="Y653" s="673"/>
      <c r="Z653" s="673"/>
      <c r="AA653" s="673"/>
      <c r="AB653" s="673"/>
      <c r="AC653" s="673"/>
      <c r="AD653" s="673"/>
      <c r="AE653" s="673"/>
      <c r="AF653" s="673"/>
      <c r="AG653" s="673"/>
      <c r="AH653" s="673"/>
    </row>
    <row r="654">
      <c r="A654" s="653"/>
      <c r="B654" s="654"/>
      <c r="C654" s="691"/>
      <c r="D654" s="661"/>
      <c r="E654" s="705"/>
      <c r="F654" s="659"/>
      <c r="G654" s="661"/>
      <c r="H654" s="660"/>
      <c r="I654" s="691"/>
      <c r="J654" s="661"/>
      <c r="K654" s="706"/>
      <c r="L654" s="665"/>
      <c r="M654" s="663"/>
      <c r="N654" s="665"/>
      <c r="O654" s="665"/>
      <c r="P654" s="665"/>
      <c r="Q654" s="665"/>
      <c r="R654" s="665"/>
      <c r="S654" s="665"/>
      <c r="T654" s="673"/>
      <c r="U654" s="673"/>
      <c r="V654" s="673"/>
      <c r="W654" s="673"/>
      <c r="X654" s="673"/>
      <c r="Y654" s="673"/>
      <c r="Z654" s="673"/>
      <c r="AA654" s="673"/>
      <c r="AB654" s="673"/>
      <c r="AC654" s="673"/>
      <c r="AD654" s="673"/>
      <c r="AE654" s="673"/>
      <c r="AF654" s="673"/>
      <c r="AG654" s="673"/>
      <c r="AH654" s="673"/>
    </row>
    <row r="655">
      <c r="A655" s="653"/>
      <c r="B655" s="654"/>
      <c r="C655" s="691"/>
      <c r="D655" s="661"/>
      <c r="E655" s="705"/>
      <c r="F655" s="659"/>
      <c r="G655" s="661"/>
      <c r="H655" s="660"/>
      <c r="I655" s="691"/>
      <c r="J655" s="661"/>
      <c r="K655" s="706"/>
      <c r="L655" s="665"/>
      <c r="M655" s="663"/>
      <c r="N655" s="665"/>
      <c r="O655" s="665"/>
      <c r="P655" s="665"/>
      <c r="Q655" s="665"/>
      <c r="R655" s="665"/>
      <c r="S655" s="665"/>
      <c r="T655" s="673"/>
      <c r="U655" s="673"/>
      <c r="V655" s="673"/>
      <c r="W655" s="673"/>
      <c r="X655" s="673"/>
      <c r="Y655" s="673"/>
      <c r="Z655" s="673"/>
      <c r="AA655" s="673"/>
      <c r="AB655" s="673"/>
      <c r="AC655" s="673"/>
      <c r="AD655" s="673"/>
      <c r="AE655" s="673"/>
      <c r="AF655" s="673"/>
      <c r="AG655" s="673"/>
      <c r="AH655" s="673"/>
    </row>
    <row r="656">
      <c r="A656" s="653"/>
      <c r="B656" s="654"/>
      <c r="C656" s="691"/>
      <c r="D656" s="661"/>
      <c r="E656" s="705"/>
      <c r="F656" s="659"/>
      <c r="G656" s="661"/>
      <c r="H656" s="660"/>
      <c r="I656" s="691"/>
      <c r="J656" s="661"/>
      <c r="K656" s="706"/>
      <c r="L656" s="665"/>
      <c r="M656" s="663"/>
      <c r="N656" s="665"/>
      <c r="O656" s="665"/>
      <c r="P656" s="665"/>
      <c r="Q656" s="665"/>
      <c r="R656" s="665"/>
      <c r="S656" s="665"/>
      <c r="T656" s="673"/>
      <c r="U656" s="673"/>
      <c r="V656" s="673"/>
      <c r="W656" s="673"/>
      <c r="X656" s="673"/>
      <c r="Y656" s="673"/>
      <c r="Z656" s="673"/>
      <c r="AA656" s="673"/>
      <c r="AB656" s="673"/>
      <c r="AC656" s="673"/>
      <c r="AD656" s="673"/>
      <c r="AE656" s="673"/>
      <c r="AF656" s="673"/>
      <c r="AG656" s="673"/>
      <c r="AH656" s="673"/>
    </row>
    <row r="657">
      <c r="A657" s="653"/>
      <c r="B657" s="654"/>
      <c r="C657" s="691"/>
      <c r="D657" s="661"/>
      <c r="E657" s="705"/>
      <c r="F657" s="659"/>
      <c r="G657" s="661"/>
      <c r="H657" s="660"/>
      <c r="I657" s="691"/>
      <c r="J657" s="661"/>
      <c r="K657" s="706"/>
      <c r="L657" s="665"/>
      <c r="M657" s="663"/>
      <c r="N657" s="665"/>
      <c r="O657" s="665"/>
      <c r="P657" s="665"/>
      <c r="Q657" s="665"/>
      <c r="R657" s="665"/>
      <c r="S657" s="665"/>
      <c r="T657" s="673"/>
      <c r="U657" s="673"/>
      <c r="V657" s="673"/>
      <c r="W657" s="673"/>
      <c r="X657" s="673"/>
      <c r="Y657" s="673"/>
      <c r="Z657" s="673"/>
      <c r="AA657" s="673"/>
      <c r="AB657" s="673"/>
      <c r="AC657" s="673"/>
      <c r="AD657" s="673"/>
      <c r="AE657" s="673"/>
      <c r="AF657" s="673"/>
      <c r="AG657" s="673"/>
      <c r="AH657" s="673"/>
    </row>
    <row r="658">
      <c r="A658" s="653"/>
      <c r="B658" s="654"/>
      <c r="C658" s="691"/>
      <c r="D658" s="661"/>
      <c r="E658" s="705"/>
      <c r="F658" s="659"/>
      <c r="G658" s="661"/>
      <c r="H658" s="660"/>
      <c r="I658" s="691"/>
      <c r="J658" s="661"/>
      <c r="K658" s="706"/>
      <c r="L658" s="665"/>
      <c r="M658" s="663"/>
      <c r="N658" s="665"/>
      <c r="O658" s="665"/>
      <c r="P658" s="665"/>
      <c r="Q658" s="665"/>
      <c r="R658" s="665"/>
      <c r="S658" s="665"/>
      <c r="T658" s="673"/>
      <c r="U658" s="673"/>
      <c r="V658" s="673"/>
      <c r="W658" s="673"/>
      <c r="X658" s="673"/>
      <c r="Y658" s="673"/>
      <c r="Z658" s="673"/>
      <c r="AA658" s="673"/>
      <c r="AB658" s="673"/>
      <c r="AC658" s="673"/>
      <c r="AD658" s="673"/>
      <c r="AE658" s="673"/>
      <c r="AF658" s="673"/>
      <c r="AG658" s="673"/>
      <c r="AH658" s="673"/>
    </row>
    <row r="659">
      <c r="A659" s="653"/>
      <c r="B659" s="654"/>
      <c r="C659" s="691"/>
      <c r="D659" s="661"/>
      <c r="E659" s="705"/>
      <c r="F659" s="659"/>
      <c r="G659" s="661"/>
      <c r="H659" s="660"/>
      <c r="I659" s="691"/>
      <c r="J659" s="661"/>
      <c r="K659" s="706"/>
      <c r="L659" s="665"/>
      <c r="M659" s="663"/>
      <c r="N659" s="665"/>
      <c r="O659" s="665"/>
      <c r="P659" s="665"/>
      <c r="Q659" s="665"/>
      <c r="R659" s="665"/>
      <c r="S659" s="665"/>
      <c r="T659" s="673"/>
      <c r="U659" s="673"/>
      <c r="V659" s="673"/>
      <c r="W659" s="673"/>
      <c r="X659" s="673"/>
      <c r="Y659" s="673"/>
      <c r="Z659" s="673"/>
      <c r="AA659" s="673"/>
      <c r="AB659" s="673"/>
      <c r="AC659" s="673"/>
      <c r="AD659" s="673"/>
      <c r="AE659" s="673"/>
      <c r="AF659" s="673"/>
      <c r="AG659" s="673"/>
      <c r="AH659" s="673"/>
    </row>
    <row r="660">
      <c r="A660" s="653"/>
      <c r="B660" s="654"/>
      <c r="C660" s="691"/>
      <c r="D660" s="661"/>
      <c r="E660" s="705"/>
      <c r="F660" s="659"/>
      <c r="G660" s="661"/>
      <c r="H660" s="660"/>
      <c r="I660" s="691"/>
      <c r="J660" s="661"/>
      <c r="K660" s="706"/>
      <c r="L660" s="665"/>
      <c r="M660" s="663"/>
      <c r="N660" s="665"/>
      <c r="O660" s="665"/>
      <c r="P660" s="665"/>
      <c r="Q660" s="665"/>
      <c r="R660" s="665"/>
      <c r="S660" s="665"/>
      <c r="T660" s="673"/>
      <c r="U660" s="673"/>
      <c r="V660" s="673"/>
      <c r="W660" s="673"/>
      <c r="X660" s="673"/>
      <c r="Y660" s="673"/>
      <c r="Z660" s="673"/>
      <c r="AA660" s="673"/>
      <c r="AB660" s="673"/>
      <c r="AC660" s="673"/>
      <c r="AD660" s="673"/>
      <c r="AE660" s="673"/>
      <c r="AF660" s="673"/>
      <c r="AG660" s="673"/>
      <c r="AH660" s="673"/>
    </row>
    <row r="661">
      <c r="A661" s="653"/>
      <c r="B661" s="654"/>
      <c r="C661" s="691"/>
      <c r="D661" s="661"/>
      <c r="E661" s="705"/>
      <c r="F661" s="659"/>
      <c r="G661" s="661"/>
      <c r="H661" s="660"/>
      <c r="I661" s="691"/>
      <c r="J661" s="661"/>
      <c r="K661" s="706"/>
      <c r="L661" s="665"/>
      <c r="M661" s="663"/>
      <c r="N661" s="665"/>
      <c r="O661" s="665"/>
      <c r="P661" s="665"/>
      <c r="Q661" s="665"/>
      <c r="R661" s="665"/>
      <c r="S661" s="665"/>
      <c r="T661" s="673"/>
      <c r="U661" s="673"/>
      <c r="V661" s="673"/>
      <c r="W661" s="673"/>
      <c r="X661" s="673"/>
      <c r="Y661" s="673"/>
      <c r="Z661" s="673"/>
      <c r="AA661" s="673"/>
      <c r="AB661" s="673"/>
      <c r="AC661" s="673"/>
      <c r="AD661" s="673"/>
      <c r="AE661" s="673"/>
      <c r="AF661" s="673"/>
      <c r="AG661" s="673"/>
      <c r="AH661" s="673"/>
    </row>
    <row r="662">
      <c r="A662" s="653"/>
      <c r="B662" s="654"/>
      <c r="C662" s="691"/>
      <c r="D662" s="661"/>
      <c r="E662" s="705"/>
      <c r="F662" s="659"/>
      <c r="G662" s="661"/>
      <c r="H662" s="660"/>
      <c r="I662" s="691"/>
      <c r="J662" s="661"/>
      <c r="K662" s="706"/>
      <c r="L662" s="665"/>
      <c r="M662" s="663"/>
      <c r="N662" s="665"/>
      <c r="O662" s="665"/>
      <c r="P662" s="665"/>
      <c r="Q662" s="665"/>
      <c r="R662" s="665"/>
      <c r="S662" s="665"/>
      <c r="T662" s="673"/>
      <c r="U662" s="673"/>
      <c r="V662" s="673"/>
      <c r="W662" s="673"/>
      <c r="X662" s="673"/>
      <c r="Y662" s="673"/>
      <c r="Z662" s="673"/>
      <c r="AA662" s="673"/>
      <c r="AB662" s="673"/>
      <c r="AC662" s="673"/>
      <c r="AD662" s="673"/>
      <c r="AE662" s="673"/>
      <c r="AF662" s="673"/>
      <c r="AG662" s="673"/>
      <c r="AH662" s="673"/>
    </row>
    <row r="663">
      <c r="A663" s="653"/>
      <c r="B663" s="654"/>
      <c r="C663" s="691"/>
      <c r="D663" s="661"/>
      <c r="E663" s="705"/>
      <c r="F663" s="659"/>
      <c r="G663" s="661"/>
      <c r="H663" s="660"/>
      <c r="I663" s="691"/>
      <c r="J663" s="661"/>
      <c r="K663" s="706"/>
      <c r="L663" s="665"/>
      <c r="M663" s="663"/>
      <c r="N663" s="665"/>
      <c r="O663" s="665"/>
      <c r="P663" s="665"/>
      <c r="Q663" s="665"/>
      <c r="R663" s="665"/>
      <c r="S663" s="665"/>
      <c r="T663" s="673"/>
      <c r="U663" s="673"/>
      <c r="V663" s="673"/>
      <c r="W663" s="673"/>
      <c r="X663" s="673"/>
      <c r="Y663" s="673"/>
      <c r="Z663" s="673"/>
      <c r="AA663" s="673"/>
      <c r="AB663" s="673"/>
      <c r="AC663" s="673"/>
      <c r="AD663" s="673"/>
      <c r="AE663" s="673"/>
      <c r="AF663" s="673"/>
      <c r="AG663" s="673"/>
      <c r="AH663" s="673"/>
    </row>
    <row r="664">
      <c r="A664" s="653"/>
      <c r="B664" s="654"/>
      <c r="C664" s="691"/>
      <c r="D664" s="661"/>
      <c r="E664" s="705"/>
      <c r="F664" s="659"/>
      <c r="G664" s="661"/>
      <c r="H664" s="660"/>
      <c r="I664" s="691"/>
      <c r="J664" s="661"/>
      <c r="K664" s="706"/>
      <c r="L664" s="665"/>
      <c r="M664" s="663"/>
      <c r="N664" s="665"/>
      <c r="O664" s="665"/>
      <c r="P664" s="665"/>
      <c r="Q664" s="665"/>
      <c r="R664" s="665"/>
      <c r="S664" s="665"/>
      <c r="T664" s="673"/>
      <c r="U664" s="673"/>
      <c r="V664" s="673"/>
      <c r="W664" s="673"/>
      <c r="X664" s="673"/>
      <c r="Y664" s="673"/>
      <c r="Z664" s="673"/>
      <c r="AA664" s="673"/>
      <c r="AB664" s="673"/>
      <c r="AC664" s="673"/>
      <c r="AD664" s="673"/>
      <c r="AE664" s="673"/>
      <c r="AF664" s="673"/>
      <c r="AG664" s="673"/>
      <c r="AH664" s="673"/>
    </row>
    <row r="665">
      <c r="A665" s="653"/>
      <c r="B665" s="654"/>
      <c r="C665" s="691"/>
      <c r="D665" s="661"/>
      <c r="E665" s="705"/>
      <c r="F665" s="659"/>
      <c r="G665" s="661"/>
      <c r="H665" s="660"/>
      <c r="I665" s="691"/>
      <c r="J665" s="661"/>
      <c r="K665" s="706"/>
      <c r="L665" s="665"/>
      <c r="M665" s="663"/>
      <c r="N665" s="665"/>
      <c r="O665" s="665"/>
      <c r="P665" s="665"/>
      <c r="Q665" s="665"/>
      <c r="R665" s="665"/>
      <c r="S665" s="665"/>
      <c r="T665" s="673"/>
      <c r="U665" s="673"/>
      <c r="V665" s="673"/>
      <c r="W665" s="673"/>
      <c r="X665" s="673"/>
      <c r="Y665" s="673"/>
      <c r="Z665" s="673"/>
      <c r="AA665" s="673"/>
      <c r="AB665" s="673"/>
      <c r="AC665" s="673"/>
      <c r="AD665" s="673"/>
      <c r="AE665" s="673"/>
      <c r="AF665" s="673"/>
      <c r="AG665" s="673"/>
      <c r="AH665" s="673"/>
    </row>
    <row r="666">
      <c r="A666" s="653"/>
      <c r="B666" s="654"/>
      <c r="C666" s="691"/>
      <c r="D666" s="661"/>
      <c r="E666" s="705"/>
      <c r="F666" s="659"/>
      <c r="G666" s="661"/>
      <c r="H666" s="660"/>
      <c r="I666" s="691"/>
      <c r="J666" s="661"/>
      <c r="K666" s="706"/>
      <c r="L666" s="665"/>
      <c r="M666" s="663"/>
      <c r="N666" s="665"/>
      <c r="O666" s="665"/>
      <c r="P666" s="665"/>
      <c r="Q666" s="665"/>
      <c r="R666" s="665"/>
      <c r="S666" s="665"/>
      <c r="T666" s="673"/>
      <c r="U666" s="673"/>
      <c r="V666" s="673"/>
      <c r="W666" s="673"/>
      <c r="X666" s="673"/>
      <c r="Y666" s="673"/>
      <c r="Z666" s="673"/>
      <c r="AA666" s="673"/>
      <c r="AB666" s="673"/>
      <c r="AC666" s="673"/>
      <c r="AD666" s="673"/>
      <c r="AE666" s="673"/>
      <c r="AF666" s="673"/>
      <c r="AG666" s="673"/>
      <c r="AH666" s="673"/>
    </row>
    <row r="667">
      <c r="A667" s="653"/>
      <c r="B667" s="654"/>
      <c r="C667" s="691"/>
      <c r="D667" s="661"/>
      <c r="E667" s="705"/>
      <c r="F667" s="659"/>
      <c r="G667" s="661"/>
      <c r="H667" s="660"/>
      <c r="I667" s="691"/>
      <c r="J667" s="661"/>
      <c r="K667" s="706"/>
      <c r="L667" s="665"/>
      <c r="M667" s="663"/>
      <c r="N667" s="665"/>
      <c r="O667" s="665"/>
      <c r="P667" s="665"/>
      <c r="Q667" s="665"/>
      <c r="R667" s="665"/>
      <c r="S667" s="665"/>
      <c r="T667" s="673"/>
      <c r="U667" s="673"/>
      <c r="V667" s="673"/>
      <c r="W667" s="673"/>
      <c r="X667" s="673"/>
      <c r="Y667" s="673"/>
      <c r="Z667" s="673"/>
      <c r="AA667" s="673"/>
      <c r="AB667" s="673"/>
      <c r="AC667" s="673"/>
      <c r="AD667" s="673"/>
      <c r="AE667" s="673"/>
      <c r="AF667" s="673"/>
      <c r="AG667" s="673"/>
      <c r="AH667" s="673"/>
    </row>
    <row r="668">
      <c r="A668" s="653"/>
      <c r="B668" s="654"/>
      <c r="C668" s="691"/>
      <c r="D668" s="661"/>
      <c r="E668" s="705"/>
      <c r="F668" s="659"/>
      <c r="G668" s="661"/>
      <c r="H668" s="660"/>
      <c r="I668" s="691"/>
      <c r="J668" s="661"/>
      <c r="K668" s="706"/>
      <c r="L668" s="665"/>
      <c r="M668" s="663"/>
      <c r="N668" s="665"/>
      <c r="O668" s="665"/>
      <c r="P668" s="665"/>
      <c r="Q668" s="665"/>
      <c r="R668" s="665"/>
      <c r="S668" s="665"/>
      <c r="T668" s="673"/>
      <c r="U668" s="673"/>
      <c r="V668" s="673"/>
      <c r="W668" s="673"/>
      <c r="X668" s="673"/>
      <c r="Y668" s="673"/>
      <c r="Z668" s="673"/>
      <c r="AA668" s="673"/>
      <c r="AB668" s="673"/>
      <c r="AC668" s="673"/>
      <c r="AD668" s="673"/>
      <c r="AE668" s="673"/>
      <c r="AF668" s="673"/>
      <c r="AG668" s="673"/>
      <c r="AH668" s="673"/>
    </row>
    <row r="669">
      <c r="A669" s="653"/>
      <c r="B669" s="654"/>
      <c r="C669" s="691"/>
      <c r="D669" s="661"/>
      <c r="E669" s="705"/>
      <c r="F669" s="659"/>
      <c r="G669" s="661"/>
      <c r="H669" s="660"/>
      <c r="I669" s="691"/>
      <c r="J669" s="661"/>
      <c r="K669" s="706"/>
      <c r="L669" s="665"/>
      <c r="M669" s="663"/>
      <c r="N669" s="665"/>
      <c r="O669" s="665"/>
      <c r="P669" s="665"/>
      <c r="Q669" s="665"/>
      <c r="R669" s="665"/>
      <c r="S669" s="665"/>
      <c r="T669" s="673"/>
      <c r="U669" s="673"/>
      <c r="V669" s="673"/>
      <c r="W669" s="673"/>
      <c r="X669" s="673"/>
      <c r="Y669" s="673"/>
      <c r="Z669" s="673"/>
      <c r="AA669" s="673"/>
      <c r="AB669" s="673"/>
      <c r="AC669" s="673"/>
      <c r="AD669" s="673"/>
      <c r="AE669" s="673"/>
      <c r="AF669" s="673"/>
      <c r="AG669" s="673"/>
      <c r="AH669" s="673"/>
    </row>
    <row r="670">
      <c r="A670" s="653"/>
      <c r="B670" s="654"/>
      <c r="C670" s="691"/>
      <c r="D670" s="661"/>
      <c r="E670" s="705"/>
      <c r="F670" s="659"/>
      <c r="G670" s="661"/>
      <c r="H670" s="660"/>
      <c r="I670" s="691"/>
      <c r="J670" s="661"/>
      <c r="K670" s="706"/>
      <c r="L670" s="665"/>
      <c r="M670" s="663"/>
      <c r="N670" s="665"/>
      <c r="O670" s="665"/>
      <c r="P670" s="665"/>
      <c r="Q670" s="665"/>
      <c r="R670" s="665"/>
      <c r="S670" s="665"/>
      <c r="T670" s="673"/>
      <c r="U670" s="673"/>
      <c r="V670" s="673"/>
      <c r="W670" s="673"/>
      <c r="X670" s="673"/>
      <c r="Y670" s="673"/>
      <c r="Z670" s="673"/>
      <c r="AA670" s="673"/>
      <c r="AB670" s="673"/>
      <c r="AC670" s="673"/>
      <c r="AD670" s="673"/>
      <c r="AE670" s="673"/>
      <c r="AF670" s="673"/>
      <c r="AG670" s="673"/>
      <c r="AH670" s="673"/>
    </row>
    <row r="671">
      <c r="A671" s="653"/>
      <c r="B671" s="654"/>
      <c r="C671" s="691"/>
      <c r="D671" s="661"/>
      <c r="E671" s="705"/>
      <c r="F671" s="659"/>
      <c r="G671" s="661"/>
      <c r="H671" s="660"/>
      <c r="I671" s="691"/>
      <c r="J671" s="661"/>
      <c r="K671" s="706"/>
      <c r="L671" s="665"/>
      <c r="M671" s="663"/>
      <c r="N671" s="665"/>
      <c r="O671" s="665"/>
      <c r="P671" s="665"/>
      <c r="Q671" s="665"/>
      <c r="R671" s="665"/>
      <c r="S671" s="665"/>
      <c r="T671" s="673"/>
      <c r="U671" s="673"/>
      <c r="V671" s="673"/>
      <c r="W671" s="673"/>
      <c r="X671" s="673"/>
      <c r="Y671" s="673"/>
      <c r="Z671" s="673"/>
      <c r="AA671" s="673"/>
      <c r="AB671" s="673"/>
      <c r="AC671" s="673"/>
      <c r="AD671" s="673"/>
      <c r="AE671" s="673"/>
      <c r="AF671" s="673"/>
      <c r="AG671" s="673"/>
      <c r="AH671" s="673"/>
    </row>
    <row r="672">
      <c r="A672" s="653"/>
      <c r="B672" s="654"/>
      <c r="C672" s="691"/>
      <c r="D672" s="661"/>
      <c r="E672" s="705"/>
      <c r="F672" s="659"/>
      <c r="G672" s="661"/>
      <c r="H672" s="660"/>
      <c r="I672" s="691"/>
      <c r="J672" s="661"/>
      <c r="K672" s="706"/>
      <c r="L672" s="665"/>
      <c r="M672" s="663"/>
      <c r="N672" s="665"/>
      <c r="O672" s="665"/>
      <c r="P672" s="665"/>
      <c r="Q672" s="665"/>
      <c r="R672" s="665"/>
      <c r="S672" s="665"/>
      <c r="T672" s="673"/>
      <c r="U672" s="673"/>
      <c r="V672" s="673"/>
      <c r="W672" s="673"/>
      <c r="X672" s="673"/>
      <c r="Y672" s="673"/>
      <c r="Z672" s="673"/>
      <c r="AA672" s="673"/>
      <c r="AB672" s="673"/>
      <c r="AC672" s="673"/>
      <c r="AD672" s="673"/>
      <c r="AE672" s="673"/>
      <c r="AF672" s="673"/>
      <c r="AG672" s="673"/>
      <c r="AH672" s="673"/>
    </row>
    <row r="673">
      <c r="A673" s="653"/>
      <c r="B673" s="654"/>
      <c r="C673" s="691"/>
      <c r="D673" s="661"/>
      <c r="E673" s="705"/>
      <c r="F673" s="659"/>
      <c r="G673" s="661"/>
      <c r="H673" s="660"/>
      <c r="I673" s="691"/>
      <c r="J673" s="661"/>
      <c r="K673" s="706"/>
      <c r="L673" s="665"/>
      <c r="M673" s="663"/>
      <c r="N673" s="665"/>
      <c r="O673" s="665"/>
      <c r="P673" s="665"/>
      <c r="Q673" s="665"/>
      <c r="R673" s="665"/>
      <c r="S673" s="665"/>
      <c r="T673" s="673"/>
      <c r="U673" s="673"/>
      <c r="V673" s="673"/>
      <c r="W673" s="673"/>
      <c r="X673" s="673"/>
      <c r="Y673" s="673"/>
      <c r="Z673" s="673"/>
      <c r="AA673" s="673"/>
      <c r="AB673" s="673"/>
      <c r="AC673" s="673"/>
      <c r="AD673" s="673"/>
      <c r="AE673" s="673"/>
      <c r="AF673" s="673"/>
      <c r="AG673" s="673"/>
      <c r="AH673" s="673"/>
    </row>
    <row r="674">
      <c r="A674" s="653"/>
      <c r="B674" s="654"/>
      <c r="C674" s="691"/>
      <c r="D674" s="661"/>
      <c r="E674" s="705"/>
      <c r="F674" s="659"/>
      <c r="G674" s="661"/>
      <c r="H674" s="660"/>
      <c r="I674" s="691"/>
      <c r="J674" s="661"/>
      <c r="K674" s="706"/>
      <c r="L674" s="665"/>
      <c r="M674" s="663"/>
      <c r="N674" s="665"/>
      <c r="O674" s="665"/>
      <c r="P674" s="665"/>
      <c r="Q674" s="665"/>
      <c r="R674" s="665"/>
      <c r="S674" s="665"/>
      <c r="T674" s="673"/>
      <c r="U674" s="673"/>
      <c r="V674" s="673"/>
      <c r="W674" s="673"/>
      <c r="X674" s="673"/>
      <c r="Y674" s="673"/>
      <c r="Z674" s="673"/>
      <c r="AA674" s="673"/>
      <c r="AB674" s="673"/>
      <c r="AC674" s="673"/>
      <c r="AD674" s="673"/>
      <c r="AE674" s="673"/>
      <c r="AF674" s="673"/>
      <c r="AG674" s="673"/>
      <c r="AH674" s="673"/>
    </row>
    <row r="675">
      <c r="A675" s="653"/>
      <c r="B675" s="654"/>
      <c r="C675" s="691"/>
      <c r="D675" s="661"/>
      <c r="E675" s="705"/>
      <c r="F675" s="659"/>
      <c r="G675" s="661"/>
      <c r="H675" s="660"/>
      <c r="I675" s="691"/>
      <c r="J675" s="661"/>
      <c r="K675" s="706"/>
      <c r="L675" s="665"/>
      <c r="M675" s="663"/>
      <c r="N675" s="665"/>
      <c r="O675" s="665"/>
      <c r="P675" s="665"/>
      <c r="Q675" s="665"/>
      <c r="R675" s="665"/>
      <c r="S675" s="665"/>
      <c r="T675" s="673"/>
      <c r="U675" s="673"/>
      <c r="V675" s="673"/>
      <c r="W675" s="673"/>
      <c r="X675" s="673"/>
      <c r="Y675" s="673"/>
      <c r="Z675" s="673"/>
      <c r="AA675" s="673"/>
      <c r="AB675" s="673"/>
      <c r="AC675" s="673"/>
      <c r="AD675" s="673"/>
      <c r="AE675" s="673"/>
      <c r="AF675" s="673"/>
      <c r="AG675" s="673"/>
      <c r="AH675" s="673"/>
    </row>
    <row r="676">
      <c r="A676" s="653"/>
      <c r="B676" s="654"/>
      <c r="C676" s="691"/>
      <c r="D676" s="661"/>
      <c r="E676" s="705"/>
      <c r="F676" s="659"/>
      <c r="G676" s="661"/>
      <c r="H676" s="660"/>
      <c r="I676" s="691"/>
      <c r="J676" s="661"/>
      <c r="K676" s="706"/>
      <c r="L676" s="665"/>
      <c r="M676" s="663"/>
      <c r="N676" s="665"/>
      <c r="O676" s="665"/>
      <c r="P676" s="665"/>
      <c r="Q676" s="665"/>
      <c r="R676" s="665"/>
      <c r="S676" s="665"/>
      <c r="T676" s="673"/>
      <c r="U676" s="673"/>
      <c r="V676" s="673"/>
      <c r="W676" s="673"/>
      <c r="X676" s="673"/>
      <c r="Y676" s="673"/>
      <c r="Z676" s="673"/>
      <c r="AA676" s="673"/>
      <c r="AB676" s="673"/>
      <c r="AC676" s="673"/>
      <c r="AD676" s="673"/>
      <c r="AE676" s="673"/>
      <c r="AF676" s="673"/>
      <c r="AG676" s="673"/>
      <c r="AH676" s="673"/>
    </row>
    <row r="677">
      <c r="A677" s="653"/>
      <c r="B677" s="654"/>
      <c r="C677" s="691"/>
      <c r="D677" s="661"/>
      <c r="E677" s="705"/>
      <c r="F677" s="659"/>
      <c r="G677" s="661"/>
      <c r="H677" s="660"/>
      <c r="I677" s="691"/>
      <c r="J677" s="661"/>
      <c r="K677" s="706"/>
      <c r="L677" s="665"/>
      <c r="M677" s="663"/>
      <c r="N677" s="665"/>
      <c r="O677" s="665"/>
      <c r="P677" s="665"/>
      <c r="Q677" s="665"/>
      <c r="R677" s="665"/>
      <c r="S677" s="665"/>
      <c r="T677" s="673"/>
      <c r="U677" s="673"/>
      <c r="V677" s="673"/>
      <c r="W677" s="673"/>
      <c r="X677" s="673"/>
      <c r="Y677" s="673"/>
      <c r="Z677" s="673"/>
      <c r="AA677" s="673"/>
      <c r="AB677" s="673"/>
      <c r="AC677" s="673"/>
      <c r="AD677" s="673"/>
      <c r="AE677" s="673"/>
      <c r="AF677" s="673"/>
      <c r="AG677" s="673"/>
      <c r="AH677" s="673"/>
    </row>
    <row r="678">
      <c r="A678" s="653"/>
      <c r="B678" s="654"/>
      <c r="C678" s="691"/>
      <c r="D678" s="661"/>
      <c r="E678" s="705"/>
      <c r="F678" s="659"/>
      <c r="G678" s="661"/>
      <c r="H678" s="660"/>
      <c r="I678" s="691"/>
      <c r="J678" s="661"/>
      <c r="K678" s="706"/>
      <c r="L678" s="665"/>
      <c r="M678" s="663"/>
      <c r="N678" s="665"/>
      <c r="O678" s="665"/>
      <c r="P678" s="665"/>
      <c r="Q678" s="665"/>
      <c r="R678" s="665"/>
      <c r="S678" s="665"/>
      <c r="T678" s="673"/>
      <c r="U678" s="673"/>
      <c r="V678" s="673"/>
      <c r="W678" s="673"/>
      <c r="X678" s="673"/>
      <c r="Y678" s="673"/>
      <c r="Z678" s="673"/>
      <c r="AA678" s="673"/>
      <c r="AB678" s="673"/>
      <c r="AC678" s="673"/>
      <c r="AD678" s="673"/>
      <c r="AE678" s="673"/>
      <c r="AF678" s="673"/>
      <c r="AG678" s="673"/>
      <c r="AH678" s="673"/>
    </row>
    <row r="679">
      <c r="A679" s="653"/>
      <c r="B679" s="654"/>
      <c r="C679" s="691"/>
      <c r="D679" s="661"/>
      <c r="E679" s="705"/>
      <c r="F679" s="659"/>
      <c r="G679" s="661"/>
      <c r="H679" s="660"/>
      <c r="I679" s="691"/>
      <c r="J679" s="661"/>
      <c r="K679" s="706"/>
      <c r="L679" s="665"/>
      <c r="M679" s="663"/>
      <c r="N679" s="665"/>
      <c r="O679" s="665"/>
      <c r="P679" s="665"/>
      <c r="Q679" s="665"/>
      <c r="R679" s="665"/>
      <c r="S679" s="665"/>
      <c r="T679" s="673"/>
      <c r="U679" s="673"/>
      <c r="V679" s="673"/>
      <c r="W679" s="673"/>
      <c r="X679" s="673"/>
      <c r="Y679" s="673"/>
      <c r="Z679" s="673"/>
      <c r="AA679" s="673"/>
      <c r="AB679" s="673"/>
      <c r="AC679" s="673"/>
      <c r="AD679" s="673"/>
      <c r="AE679" s="673"/>
      <c r="AF679" s="673"/>
      <c r="AG679" s="673"/>
      <c r="AH679" s="673"/>
    </row>
    <row r="680">
      <c r="A680" s="653"/>
      <c r="B680" s="654"/>
      <c r="C680" s="691"/>
      <c r="D680" s="661"/>
      <c r="E680" s="705"/>
      <c r="F680" s="659"/>
      <c r="G680" s="661"/>
      <c r="H680" s="660"/>
      <c r="I680" s="691"/>
      <c r="J680" s="661"/>
      <c r="K680" s="706"/>
      <c r="L680" s="665"/>
      <c r="M680" s="663"/>
      <c r="N680" s="665"/>
      <c r="O680" s="665"/>
      <c r="P680" s="665"/>
      <c r="Q680" s="665"/>
      <c r="R680" s="665"/>
      <c r="S680" s="665"/>
      <c r="T680" s="673"/>
      <c r="U680" s="673"/>
      <c r="V680" s="673"/>
      <c r="W680" s="673"/>
      <c r="X680" s="673"/>
      <c r="Y680" s="673"/>
      <c r="Z680" s="673"/>
      <c r="AA680" s="673"/>
      <c r="AB680" s="673"/>
      <c r="AC680" s="673"/>
      <c r="AD680" s="673"/>
      <c r="AE680" s="673"/>
      <c r="AF680" s="673"/>
      <c r="AG680" s="673"/>
      <c r="AH680" s="673"/>
    </row>
    <row r="681">
      <c r="A681" s="653"/>
      <c r="B681" s="654"/>
      <c r="C681" s="691"/>
      <c r="D681" s="661"/>
      <c r="E681" s="705"/>
      <c r="F681" s="659"/>
      <c r="G681" s="661"/>
      <c r="H681" s="660"/>
      <c r="I681" s="691"/>
      <c r="J681" s="661"/>
      <c r="K681" s="706"/>
      <c r="L681" s="665"/>
      <c r="M681" s="663"/>
      <c r="N681" s="665"/>
      <c r="O681" s="665"/>
      <c r="P681" s="665"/>
      <c r="Q681" s="665"/>
      <c r="R681" s="665"/>
      <c r="S681" s="665"/>
      <c r="T681" s="673"/>
      <c r="U681" s="673"/>
      <c r="V681" s="673"/>
      <c r="W681" s="673"/>
      <c r="X681" s="673"/>
      <c r="Y681" s="673"/>
      <c r="Z681" s="673"/>
      <c r="AA681" s="673"/>
      <c r="AB681" s="673"/>
      <c r="AC681" s="673"/>
      <c r="AD681" s="673"/>
      <c r="AE681" s="673"/>
      <c r="AF681" s="673"/>
      <c r="AG681" s="673"/>
      <c r="AH681" s="673"/>
    </row>
    <row r="682">
      <c r="A682" s="653"/>
      <c r="B682" s="654"/>
      <c r="C682" s="691"/>
      <c r="D682" s="661"/>
      <c r="E682" s="705"/>
      <c r="F682" s="659"/>
      <c r="G682" s="661"/>
      <c r="H682" s="660"/>
      <c r="I682" s="691"/>
      <c r="J682" s="661"/>
      <c r="K682" s="706"/>
      <c r="L682" s="665"/>
      <c r="M682" s="663"/>
      <c r="N682" s="665"/>
      <c r="O682" s="665"/>
      <c r="P682" s="665"/>
      <c r="Q682" s="665"/>
      <c r="R682" s="665"/>
      <c r="S682" s="665"/>
      <c r="T682" s="673"/>
      <c r="U682" s="673"/>
      <c r="V682" s="673"/>
      <c r="W682" s="673"/>
      <c r="X682" s="673"/>
      <c r="Y682" s="673"/>
      <c r="Z682" s="673"/>
      <c r="AA682" s="673"/>
      <c r="AB682" s="673"/>
      <c r="AC682" s="673"/>
      <c r="AD682" s="673"/>
      <c r="AE682" s="673"/>
      <c r="AF682" s="673"/>
      <c r="AG682" s="673"/>
      <c r="AH682" s="673"/>
    </row>
    <row r="683">
      <c r="A683" s="653"/>
      <c r="B683" s="654"/>
      <c r="C683" s="691"/>
      <c r="D683" s="661"/>
      <c r="E683" s="705"/>
      <c r="F683" s="659"/>
      <c r="G683" s="661"/>
      <c r="H683" s="660"/>
      <c r="I683" s="691"/>
      <c r="J683" s="661"/>
      <c r="K683" s="706"/>
      <c r="L683" s="665"/>
      <c r="M683" s="663"/>
      <c r="N683" s="665"/>
      <c r="O683" s="665"/>
      <c r="P683" s="665"/>
      <c r="Q683" s="665"/>
      <c r="R683" s="665"/>
      <c r="S683" s="665"/>
      <c r="T683" s="673"/>
      <c r="U683" s="673"/>
      <c r="V683" s="673"/>
      <c r="W683" s="673"/>
      <c r="X683" s="673"/>
      <c r="Y683" s="673"/>
      <c r="Z683" s="673"/>
      <c r="AA683" s="673"/>
      <c r="AB683" s="673"/>
      <c r="AC683" s="673"/>
      <c r="AD683" s="673"/>
      <c r="AE683" s="673"/>
      <c r="AF683" s="673"/>
      <c r="AG683" s="673"/>
      <c r="AH683" s="673"/>
    </row>
    <row r="684">
      <c r="A684" s="653"/>
      <c r="B684" s="654"/>
      <c r="C684" s="691"/>
      <c r="D684" s="661"/>
      <c r="E684" s="705"/>
      <c r="F684" s="659"/>
      <c r="G684" s="661"/>
      <c r="H684" s="660"/>
      <c r="I684" s="691"/>
      <c r="J684" s="661"/>
      <c r="K684" s="706"/>
      <c r="L684" s="665"/>
      <c r="M684" s="663"/>
      <c r="N684" s="665"/>
      <c r="O684" s="665"/>
      <c r="P684" s="665"/>
      <c r="Q684" s="665"/>
      <c r="R684" s="665"/>
      <c r="S684" s="665"/>
      <c r="T684" s="673"/>
      <c r="U684" s="673"/>
      <c r="V684" s="673"/>
      <c r="W684" s="673"/>
      <c r="X684" s="673"/>
      <c r="Y684" s="673"/>
      <c r="Z684" s="673"/>
      <c r="AA684" s="673"/>
      <c r="AB684" s="673"/>
      <c r="AC684" s="673"/>
      <c r="AD684" s="673"/>
      <c r="AE684" s="673"/>
      <c r="AF684" s="673"/>
      <c r="AG684" s="673"/>
      <c r="AH684" s="673"/>
    </row>
    <row r="685">
      <c r="A685" s="653"/>
      <c r="B685" s="654"/>
      <c r="C685" s="691"/>
      <c r="D685" s="661"/>
      <c r="E685" s="705"/>
      <c r="F685" s="659"/>
      <c r="G685" s="661"/>
      <c r="H685" s="660"/>
      <c r="I685" s="691"/>
      <c r="J685" s="661"/>
      <c r="K685" s="706"/>
      <c r="L685" s="665"/>
      <c r="M685" s="663"/>
      <c r="N685" s="665"/>
      <c r="O685" s="665"/>
      <c r="P685" s="665"/>
      <c r="Q685" s="665"/>
      <c r="R685" s="665"/>
      <c r="S685" s="665"/>
      <c r="T685" s="673"/>
      <c r="U685" s="673"/>
      <c r="V685" s="673"/>
      <c r="W685" s="673"/>
      <c r="X685" s="673"/>
      <c r="Y685" s="673"/>
      <c r="Z685" s="673"/>
      <c r="AA685" s="673"/>
      <c r="AB685" s="673"/>
      <c r="AC685" s="673"/>
      <c r="AD685" s="673"/>
      <c r="AE685" s="673"/>
      <c r="AF685" s="673"/>
      <c r="AG685" s="673"/>
      <c r="AH685" s="673"/>
    </row>
    <row r="686">
      <c r="A686" s="653"/>
      <c r="B686" s="654"/>
      <c r="C686" s="691"/>
      <c r="D686" s="661"/>
      <c r="E686" s="705"/>
      <c r="F686" s="659"/>
      <c r="G686" s="661"/>
      <c r="H686" s="660"/>
      <c r="I686" s="691"/>
      <c r="J686" s="661"/>
      <c r="K686" s="706"/>
      <c r="L686" s="665"/>
      <c r="M686" s="663"/>
      <c r="N686" s="665"/>
      <c r="O686" s="665"/>
      <c r="P686" s="665"/>
      <c r="Q686" s="665"/>
      <c r="R686" s="665"/>
      <c r="S686" s="665"/>
      <c r="T686" s="673"/>
      <c r="U686" s="673"/>
      <c r="V686" s="673"/>
      <c r="W686" s="673"/>
      <c r="X686" s="673"/>
      <c r="Y686" s="673"/>
      <c r="Z686" s="673"/>
      <c r="AA686" s="673"/>
      <c r="AB686" s="673"/>
      <c r="AC686" s="673"/>
      <c r="AD686" s="673"/>
      <c r="AE686" s="673"/>
      <c r="AF686" s="673"/>
      <c r="AG686" s="673"/>
      <c r="AH686" s="673"/>
    </row>
    <row r="687">
      <c r="A687" s="653"/>
      <c r="B687" s="654"/>
      <c r="C687" s="691"/>
      <c r="D687" s="661"/>
      <c r="E687" s="705"/>
      <c r="F687" s="659"/>
      <c r="G687" s="661"/>
      <c r="H687" s="660"/>
      <c r="I687" s="691"/>
      <c r="J687" s="661"/>
      <c r="K687" s="706"/>
      <c r="L687" s="665"/>
      <c r="M687" s="663"/>
      <c r="N687" s="665"/>
      <c r="O687" s="665"/>
      <c r="P687" s="665"/>
      <c r="Q687" s="665"/>
      <c r="R687" s="665"/>
      <c r="S687" s="665"/>
      <c r="T687" s="673"/>
      <c r="U687" s="673"/>
      <c r="V687" s="673"/>
      <c r="W687" s="673"/>
      <c r="X687" s="673"/>
      <c r="Y687" s="673"/>
      <c r="Z687" s="673"/>
      <c r="AA687" s="673"/>
      <c r="AB687" s="673"/>
      <c r="AC687" s="673"/>
      <c r="AD687" s="673"/>
      <c r="AE687" s="673"/>
      <c r="AF687" s="673"/>
      <c r="AG687" s="673"/>
      <c r="AH687" s="673"/>
    </row>
    <row r="688">
      <c r="A688" s="653"/>
      <c r="B688" s="654"/>
      <c r="C688" s="691"/>
      <c r="D688" s="661"/>
      <c r="E688" s="705"/>
      <c r="F688" s="659"/>
      <c r="G688" s="661"/>
      <c r="H688" s="660"/>
      <c r="I688" s="691"/>
      <c r="J688" s="661"/>
      <c r="K688" s="706"/>
      <c r="L688" s="665"/>
      <c r="M688" s="663"/>
      <c r="N688" s="665"/>
      <c r="O688" s="665"/>
      <c r="P688" s="665"/>
      <c r="Q688" s="665"/>
      <c r="R688" s="665"/>
      <c r="S688" s="665"/>
      <c r="T688" s="673"/>
      <c r="U688" s="673"/>
      <c r="V688" s="673"/>
      <c r="W688" s="673"/>
      <c r="X688" s="673"/>
      <c r="Y688" s="673"/>
      <c r="Z688" s="673"/>
      <c r="AA688" s="673"/>
      <c r="AB688" s="673"/>
      <c r="AC688" s="673"/>
      <c r="AD688" s="673"/>
      <c r="AE688" s="673"/>
      <c r="AF688" s="673"/>
      <c r="AG688" s="673"/>
      <c r="AH688" s="673"/>
    </row>
    <row r="689">
      <c r="A689" s="653"/>
      <c r="B689" s="654"/>
      <c r="C689" s="691"/>
      <c r="D689" s="661"/>
      <c r="E689" s="705"/>
      <c r="F689" s="659"/>
      <c r="G689" s="661"/>
      <c r="H689" s="660"/>
      <c r="I689" s="691"/>
      <c r="J689" s="661"/>
      <c r="K689" s="706"/>
      <c r="L689" s="665"/>
      <c r="M689" s="663"/>
      <c r="N689" s="665"/>
      <c r="O689" s="665"/>
      <c r="P689" s="665"/>
      <c r="Q689" s="665"/>
      <c r="R689" s="665"/>
      <c r="S689" s="665"/>
      <c r="T689" s="673"/>
      <c r="U689" s="673"/>
      <c r="V689" s="673"/>
      <c r="W689" s="673"/>
      <c r="X689" s="673"/>
      <c r="Y689" s="673"/>
      <c r="Z689" s="673"/>
      <c r="AA689" s="673"/>
      <c r="AB689" s="673"/>
      <c r="AC689" s="673"/>
      <c r="AD689" s="673"/>
      <c r="AE689" s="673"/>
      <c r="AF689" s="673"/>
      <c r="AG689" s="673"/>
      <c r="AH689" s="673"/>
    </row>
    <row r="690">
      <c r="A690" s="653"/>
      <c r="B690" s="654"/>
      <c r="C690" s="691"/>
      <c r="D690" s="661"/>
      <c r="E690" s="705"/>
      <c r="F690" s="659"/>
      <c r="G690" s="661"/>
      <c r="H690" s="660"/>
      <c r="I690" s="691"/>
      <c r="J690" s="661"/>
      <c r="K690" s="706"/>
      <c r="L690" s="665"/>
      <c r="M690" s="663"/>
      <c r="N690" s="665"/>
      <c r="O690" s="665"/>
      <c r="P690" s="665"/>
      <c r="Q690" s="665"/>
      <c r="R690" s="665"/>
      <c r="S690" s="665"/>
      <c r="T690" s="673"/>
      <c r="U690" s="673"/>
      <c r="V690" s="673"/>
      <c r="W690" s="673"/>
      <c r="X690" s="673"/>
      <c r="Y690" s="673"/>
      <c r="Z690" s="673"/>
      <c r="AA690" s="673"/>
      <c r="AB690" s="673"/>
      <c r="AC690" s="673"/>
      <c r="AD690" s="673"/>
      <c r="AE690" s="673"/>
      <c r="AF690" s="673"/>
      <c r="AG690" s="673"/>
      <c r="AH690" s="673"/>
    </row>
    <row r="691">
      <c r="A691" s="653"/>
      <c r="B691" s="654"/>
      <c r="C691" s="691"/>
      <c r="D691" s="661"/>
      <c r="E691" s="705"/>
      <c r="F691" s="659"/>
      <c r="G691" s="661"/>
      <c r="H691" s="660"/>
      <c r="I691" s="691"/>
      <c r="J691" s="661"/>
      <c r="K691" s="706"/>
      <c r="L691" s="665"/>
      <c r="M691" s="663"/>
      <c r="N691" s="665"/>
      <c r="O691" s="665"/>
      <c r="P691" s="665"/>
      <c r="Q691" s="665"/>
      <c r="R691" s="665"/>
      <c r="S691" s="665"/>
      <c r="T691" s="673"/>
      <c r="U691" s="673"/>
      <c r="V691" s="673"/>
      <c r="W691" s="673"/>
      <c r="X691" s="673"/>
      <c r="Y691" s="673"/>
      <c r="Z691" s="673"/>
      <c r="AA691" s="673"/>
      <c r="AB691" s="673"/>
      <c r="AC691" s="673"/>
      <c r="AD691" s="673"/>
      <c r="AE691" s="673"/>
      <c r="AF691" s="673"/>
      <c r="AG691" s="673"/>
      <c r="AH691" s="673"/>
    </row>
    <row r="692">
      <c r="A692" s="653"/>
      <c r="B692" s="654"/>
      <c r="C692" s="691"/>
      <c r="D692" s="661"/>
      <c r="E692" s="705"/>
      <c r="F692" s="659"/>
      <c r="G692" s="661"/>
      <c r="H692" s="660"/>
      <c r="I692" s="691"/>
      <c r="J692" s="661"/>
      <c r="K692" s="706"/>
      <c r="L692" s="665"/>
      <c r="M692" s="663"/>
      <c r="N692" s="665"/>
      <c r="O692" s="665"/>
      <c r="P692" s="665"/>
      <c r="Q692" s="665"/>
      <c r="R692" s="665"/>
      <c r="S692" s="665"/>
      <c r="T692" s="673"/>
      <c r="U692" s="673"/>
      <c r="V692" s="673"/>
      <c r="W692" s="673"/>
      <c r="X692" s="673"/>
      <c r="Y692" s="673"/>
      <c r="Z692" s="673"/>
      <c r="AA692" s="673"/>
      <c r="AB692" s="673"/>
      <c r="AC692" s="673"/>
      <c r="AD692" s="673"/>
      <c r="AE692" s="673"/>
      <c r="AF692" s="673"/>
      <c r="AG692" s="673"/>
      <c r="AH692" s="673"/>
    </row>
    <row r="693">
      <c r="A693" s="653"/>
      <c r="B693" s="654"/>
      <c r="C693" s="691"/>
      <c r="D693" s="661"/>
      <c r="E693" s="705"/>
      <c r="F693" s="659"/>
      <c r="G693" s="661"/>
      <c r="H693" s="660"/>
      <c r="I693" s="691"/>
      <c r="J693" s="661"/>
      <c r="K693" s="706"/>
      <c r="L693" s="665"/>
      <c r="M693" s="663"/>
      <c r="N693" s="665"/>
      <c r="O693" s="665"/>
      <c r="P693" s="665"/>
      <c r="Q693" s="665"/>
      <c r="R693" s="665"/>
      <c r="S693" s="665"/>
      <c r="T693" s="673"/>
      <c r="U693" s="673"/>
      <c r="V693" s="673"/>
      <c r="W693" s="673"/>
      <c r="X693" s="673"/>
      <c r="Y693" s="673"/>
      <c r="Z693" s="673"/>
      <c r="AA693" s="673"/>
      <c r="AB693" s="673"/>
      <c r="AC693" s="673"/>
      <c r="AD693" s="673"/>
      <c r="AE693" s="673"/>
      <c r="AF693" s="673"/>
      <c r="AG693" s="673"/>
      <c r="AH693" s="673"/>
    </row>
    <row r="694">
      <c r="A694" s="653"/>
      <c r="B694" s="654"/>
      <c r="C694" s="691"/>
      <c r="D694" s="661"/>
      <c r="E694" s="705"/>
      <c r="F694" s="659"/>
      <c r="G694" s="661"/>
      <c r="H694" s="660"/>
      <c r="I694" s="691"/>
      <c r="J694" s="661"/>
      <c r="K694" s="706"/>
      <c r="L694" s="665"/>
      <c r="M694" s="663"/>
      <c r="N694" s="665"/>
      <c r="O694" s="665"/>
      <c r="P694" s="665"/>
      <c r="Q694" s="665"/>
      <c r="R694" s="665"/>
      <c r="S694" s="665"/>
      <c r="T694" s="673"/>
      <c r="U694" s="673"/>
      <c r="V694" s="673"/>
      <c r="W694" s="673"/>
      <c r="X694" s="673"/>
      <c r="Y694" s="673"/>
      <c r="Z694" s="673"/>
      <c r="AA694" s="673"/>
      <c r="AB694" s="673"/>
      <c r="AC694" s="673"/>
      <c r="AD694" s="673"/>
      <c r="AE694" s="673"/>
      <c r="AF694" s="673"/>
      <c r="AG694" s="673"/>
      <c r="AH694" s="673"/>
    </row>
    <row r="695">
      <c r="A695" s="653"/>
      <c r="B695" s="654"/>
      <c r="C695" s="691"/>
      <c r="D695" s="661"/>
      <c r="E695" s="705"/>
      <c r="F695" s="659"/>
      <c r="G695" s="661"/>
      <c r="H695" s="660"/>
      <c r="I695" s="691"/>
      <c r="J695" s="661"/>
      <c r="K695" s="706"/>
      <c r="L695" s="665"/>
      <c r="M695" s="663"/>
      <c r="N695" s="665"/>
      <c r="O695" s="665"/>
      <c r="P695" s="665"/>
      <c r="Q695" s="665"/>
      <c r="R695" s="665"/>
      <c r="S695" s="665"/>
      <c r="T695" s="673"/>
      <c r="U695" s="673"/>
      <c r="V695" s="673"/>
      <c r="W695" s="673"/>
      <c r="X695" s="673"/>
      <c r="Y695" s="673"/>
      <c r="Z695" s="673"/>
      <c r="AA695" s="673"/>
      <c r="AB695" s="673"/>
      <c r="AC695" s="673"/>
      <c r="AD695" s="673"/>
      <c r="AE695" s="673"/>
      <c r="AF695" s="673"/>
      <c r="AG695" s="673"/>
      <c r="AH695" s="673"/>
    </row>
    <row r="696">
      <c r="A696" s="653"/>
      <c r="B696" s="654"/>
      <c r="C696" s="691"/>
      <c r="D696" s="661"/>
      <c r="E696" s="705"/>
      <c r="F696" s="659"/>
      <c r="G696" s="661"/>
      <c r="H696" s="660"/>
      <c r="I696" s="691"/>
      <c r="J696" s="661"/>
      <c r="K696" s="706"/>
      <c r="L696" s="665"/>
      <c r="M696" s="663"/>
      <c r="N696" s="665"/>
      <c r="O696" s="665"/>
      <c r="P696" s="665"/>
      <c r="Q696" s="665"/>
      <c r="R696" s="665"/>
      <c r="S696" s="665"/>
      <c r="T696" s="673"/>
      <c r="U696" s="673"/>
      <c r="V696" s="673"/>
      <c r="W696" s="673"/>
      <c r="X696" s="673"/>
      <c r="Y696" s="673"/>
      <c r="Z696" s="673"/>
      <c r="AA696" s="673"/>
      <c r="AB696" s="673"/>
      <c r="AC696" s="673"/>
      <c r="AD696" s="673"/>
      <c r="AE696" s="673"/>
      <c r="AF696" s="673"/>
      <c r="AG696" s="673"/>
      <c r="AH696" s="673"/>
    </row>
    <row r="697">
      <c r="A697" s="653"/>
      <c r="B697" s="654"/>
      <c r="C697" s="691"/>
      <c r="D697" s="661"/>
      <c r="E697" s="705"/>
      <c r="F697" s="659"/>
      <c r="G697" s="661"/>
      <c r="H697" s="660"/>
      <c r="I697" s="691"/>
      <c r="J697" s="661"/>
      <c r="K697" s="706"/>
      <c r="L697" s="665"/>
      <c r="M697" s="663"/>
      <c r="N697" s="665"/>
      <c r="O697" s="665"/>
      <c r="P697" s="665"/>
      <c r="Q697" s="665"/>
      <c r="R697" s="665"/>
      <c r="S697" s="665"/>
      <c r="T697" s="673"/>
      <c r="U697" s="673"/>
      <c r="V697" s="673"/>
      <c r="W697" s="673"/>
      <c r="X697" s="673"/>
      <c r="Y697" s="673"/>
      <c r="Z697" s="673"/>
      <c r="AA697" s="673"/>
      <c r="AB697" s="673"/>
      <c r="AC697" s="673"/>
      <c r="AD697" s="673"/>
      <c r="AE697" s="673"/>
      <c r="AF697" s="673"/>
      <c r="AG697" s="673"/>
      <c r="AH697" s="673"/>
    </row>
    <row r="698">
      <c r="A698" s="653"/>
      <c r="B698" s="654"/>
      <c r="C698" s="691"/>
      <c r="D698" s="661"/>
      <c r="E698" s="705"/>
      <c r="F698" s="659"/>
      <c r="G698" s="661"/>
      <c r="H698" s="660"/>
      <c r="I698" s="691"/>
      <c r="J698" s="661"/>
      <c r="K698" s="706"/>
      <c r="L698" s="665"/>
      <c r="M698" s="663"/>
      <c r="N698" s="665"/>
      <c r="O698" s="665"/>
      <c r="P698" s="665"/>
      <c r="Q698" s="665"/>
      <c r="R698" s="665"/>
      <c r="S698" s="665"/>
      <c r="T698" s="673"/>
      <c r="U698" s="673"/>
      <c r="V698" s="673"/>
      <c r="W698" s="673"/>
      <c r="X698" s="673"/>
      <c r="Y698" s="673"/>
      <c r="Z698" s="673"/>
      <c r="AA698" s="673"/>
      <c r="AB698" s="673"/>
      <c r="AC698" s="673"/>
      <c r="AD698" s="673"/>
      <c r="AE698" s="673"/>
      <c r="AF698" s="673"/>
      <c r="AG698" s="673"/>
      <c r="AH698" s="673"/>
    </row>
    <row r="699">
      <c r="A699" s="653"/>
      <c r="B699" s="654"/>
      <c r="C699" s="691"/>
      <c r="D699" s="661"/>
      <c r="E699" s="705"/>
      <c r="F699" s="659"/>
      <c r="G699" s="661"/>
      <c r="H699" s="660"/>
      <c r="I699" s="691"/>
      <c r="J699" s="661"/>
      <c r="K699" s="706"/>
      <c r="L699" s="665"/>
      <c r="M699" s="663"/>
      <c r="N699" s="665"/>
      <c r="O699" s="665"/>
      <c r="P699" s="665"/>
      <c r="Q699" s="665"/>
      <c r="R699" s="665"/>
      <c r="S699" s="665"/>
      <c r="T699" s="673"/>
      <c r="U699" s="673"/>
      <c r="V699" s="673"/>
      <c r="W699" s="673"/>
      <c r="X699" s="673"/>
      <c r="Y699" s="673"/>
      <c r="Z699" s="673"/>
      <c r="AA699" s="673"/>
      <c r="AB699" s="673"/>
      <c r="AC699" s="673"/>
      <c r="AD699" s="673"/>
      <c r="AE699" s="673"/>
      <c r="AF699" s="673"/>
      <c r="AG699" s="673"/>
      <c r="AH699" s="673"/>
    </row>
    <row r="700">
      <c r="A700" s="653"/>
      <c r="B700" s="654"/>
      <c r="C700" s="691"/>
      <c r="D700" s="661"/>
      <c r="E700" s="705"/>
      <c r="F700" s="659"/>
      <c r="G700" s="661"/>
      <c r="H700" s="660"/>
      <c r="I700" s="691"/>
      <c r="J700" s="661"/>
      <c r="K700" s="706"/>
      <c r="L700" s="665"/>
      <c r="M700" s="663"/>
      <c r="N700" s="665"/>
      <c r="O700" s="665"/>
      <c r="P700" s="665"/>
      <c r="Q700" s="665"/>
      <c r="R700" s="665"/>
      <c r="S700" s="665"/>
      <c r="T700" s="673"/>
      <c r="U700" s="673"/>
      <c r="V700" s="673"/>
      <c r="W700" s="673"/>
      <c r="X700" s="673"/>
      <c r="Y700" s="673"/>
      <c r="Z700" s="673"/>
      <c r="AA700" s="673"/>
      <c r="AB700" s="673"/>
      <c r="AC700" s="673"/>
      <c r="AD700" s="673"/>
      <c r="AE700" s="673"/>
      <c r="AF700" s="673"/>
      <c r="AG700" s="673"/>
      <c r="AH700" s="673"/>
    </row>
    <row r="701">
      <c r="A701" s="653"/>
      <c r="B701" s="654"/>
      <c r="C701" s="691"/>
      <c r="D701" s="661"/>
      <c r="E701" s="705"/>
      <c r="F701" s="659"/>
      <c r="G701" s="661"/>
      <c r="H701" s="660"/>
      <c r="I701" s="691"/>
      <c r="J701" s="661"/>
      <c r="K701" s="706"/>
      <c r="L701" s="665"/>
      <c r="M701" s="663"/>
      <c r="N701" s="665"/>
      <c r="O701" s="665"/>
      <c r="P701" s="665"/>
      <c r="Q701" s="665"/>
      <c r="R701" s="665"/>
      <c r="S701" s="665"/>
      <c r="T701" s="673"/>
      <c r="U701" s="673"/>
      <c r="V701" s="673"/>
      <c r="W701" s="673"/>
      <c r="X701" s="673"/>
      <c r="Y701" s="673"/>
      <c r="Z701" s="673"/>
      <c r="AA701" s="673"/>
      <c r="AB701" s="673"/>
      <c r="AC701" s="673"/>
      <c r="AD701" s="673"/>
      <c r="AE701" s="673"/>
      <c r="AF701" s="673"/>
      <c r="AG701" s="673"/>
      <c r="AH701" s="673"/>
    </row>
    <row r="702">
      <c r="A702" s="653"/>
      <c r="B702" s="654"/>
      <c r="C702" s="691"/>
      <c r="D702" s="661"/>
      <c r="E702" s="705"/>
      <c r="F702" s="659"/>
      <c r="G702" s="661"/>
      <c r="H702" s="660"/>
      <c r="I702" s="691"/>
      <c r="J702" s="661"/>
      <c r="K702" s="706"/>
      <c r="L702" s="665"/>
      <c r="M702" s="663"/>
      <c r="N702" s="665"/>
      <c r="O702" s="665"/>
      <c r="P702" s="665"/>
      <c r="Q702" s="665"/>
      <c r="R702" s="665"/>
      <c r="S702" s="665"/>
      <c r="T702" s="673"/>
      <c r="U702" s="673"/>
      <c r="V702" s="673"/>
      <c r="W702" s="673"/>
      <c r="X702" s="673"/>
      <c r="Y702" s="673"/>
      <c r="Z702" s="673"/>
      <c r="AA702" s="673"/>
      <c r="AB702" s="673"/>
      <c r="AC702" s="673"/>
      <c r="AD702" s="673"/>
      <c r="AE702" s="673"/>
      <c r="AF702" s="673"/>
      <c r="AG702" s="673"/>
      <c r="AH702" s="673"/>
    </row>
    <row r="703">
      <c r="A703" s="653"/>
      <c r="B703" s="654"/>
      <c r="C703" s="691"/>
      <c r="D703" s="661"/>
      <c r="E703" s="705"/>
      <c r="F703" s="659"/>
      <c r="G703" s="661"/>
      <c r="H703" s="660"/>
      <c r="I703" s="691"/>
      <c r="J703" s="661"/>
      <c r="K703" s="706"/>
      <c r="L703" s="665"/>
      <c r="M703" s="663"/>
      <c r="N703" s="665"/>
      <c r="O703" s="665"/>
      <c r="P703" s="665"/>
      <c r="Q703" s="665"/>
      <c r="R703" s="665"/>
      <c r="S703" s="665"/>
      <c r="T703" s="673"/>
      <c r="U703" s="673"/>
      <c r="V703" s="673"/>
      <c r="W703" s="673"/>
      <c r="X703" s="673"/>
      <c r="Y703" s="673"/>
      <c r="Z703" s="673"/>
      <c r="AA703" s="673"/>
      <c r="AB703" s="673"/>
      <c r="AC703" s="673"/>
      <c r="AD703" s="673"/>
      <c r="AE703" s="673"/>
      <c r="AF703" s="673"/>
      <c r="AG703" s="673"/>
      <c r="AH703" s="673"/>
    </row>
    <row r="704">
      <c r="A704" s="653"/>
      <c r="B704" s="654"/>
      <c r="C704" s="691"/>
      <c r="D704" s="661"/>
      <c r="E704" s="705"/>
      <c r="F704" s="659"/>
      <c r="G704" s="661"/>
      <c r="H704" s="660"/>
      <c r="I704" s="691"/>
      <c r="J704" s="661"/>
      <c r="K704" s="706"/>
      <c r="L704" s="665"/>
      <c r="M704" s="663"/>
      <c r="N704" s="665"/>
      <c r="O704" s="665"/>
      <c r="P704" s="665"/>
      <c r="Q704" s="665"/>
      <c r="R704" s="665"/>
      <c r="S704" s="665"/>
      <c r="T704" s="673"/>
      <c r="U704" s="673"/>
      <c r="V704" s="673"/>
      <c r="W704" s="673"/>
      <c r="X704" s="673"/>
      <c r="Y704" s="673"/>
      <c r="Z704" s="673"/>
      <c r="AA704" s="673"/>
      <c r="AB704" s="673"/>
      <c r="AC704" s="673"/>
      <c r="AD704" s="673"/>
      <c r="AE704" s="673"/>
      <c r="AF704" s="673"/>
      <c r="AG704" s="673"/>
      <c r="AH704" s="673"/>
    </row>
    <row r="705">
      <c r="A705" s="653"/>
      <c r="B705" s="654"/>
      <c r="C705" s="691"/>
      <c r="D705" s="661"/>
      <c r="E705" s="705"/>
      <c r="F705" s="659"/>
      <c r="G705" s="661"/>
      <c r="H705" s="660"/>
      <c r="I705" s="691"/>
      <c r="J705" s="661"/>
      <c r="K705" s="706"/>
      <c r="L705" s="665"/>
      <c r="M705" s="663"/>
      <c r="N705" s="665"/>
      <c r="O705" s="665"/>
      <c r="P705" s="665"/>
      <c r="Q705" s="665"/>
      <c r="R705" s="665"/>
      <c r="S705" s="665"/>
      <c r="T705" s="673"/>
      <c r="U705" s="673"/>
      <c r="V705" s="673"/>
      <c r="W705" s="673"/>
      <c r="X705" s="673"/>
      <c r="Y705" s="673"/>
      <c r="Z705" s="673"/>
      <c r="AA705" s="673"/>
      <c r="AB705" s="673"/>
      <c r="AC705" s="673"/>
      <c r="AD705" s="673"/>
      <c r="AE705" s="673"/>
      <c r="AF705" s="673"/>
      <c r="AG705" s="673"/>
      <c r="AH705" s="673"/>
    </row>
    <row r="706">
      <c r="A706" s="653"/>
      <c r="B706" s="654"/>
      <c r="C706" s="691"/>
      <c r="D706" s="661"/>
      <c r="E706" s="705"/>
      <c r="F706" s="659"/>
      <c r="G706" s="661"/>
      <c r="H706" s="660"/>
      <c r="I706" s="691"/>
      <c r="J706" s="661"/>
      <c r="K706" s="706"/>
      <c r="L706" s="665"/>
      <c r="M706" s="663"/>
      <c r="N706" s="665"/>
      <c r="O706" s="665"/>
      <c r="P706" s="665"/>
      <c r="Q706" s="665"/>
      <c r="R706" s="665"/>
      <c r="S706" s="665"/>
      <c r="T706" s="673"/>
      <c r="U706" s="673"/>
      <c r="V706" s="673"/>
      <c r="W706" s="673"/>
      <c r="X706" s="673"/>
      <c r="Y706" s="673"/>
      <c r="Z706" s="673"/>
      <c r="AA706" s="673"/>
      <c r="AB706" s="673"/>
      <c r="AC706" s="673"/>
      <c r="AD706" s="673"/>
      <c r="AE706" s="673"/>
      <c r="AF706" s="673"/>
      <c r="AG706" s="673"/>
      <c r="AH706" s="673"/>
    </row>
    <row r="707">
      <c r="A707" s="653"/>
      <c r="B707" s="654"/>
      <c r="C707" s="691"/>
      <c r="D707" s="661"/>
      <c r="E707" s="705"/>
      <c r="F707" s="659"/>
      <c r="G707" s="661"/>
      <c r="H707" s="660"/>
      <c r="I707" s="691"/>
      <c r="J707" s="661"/>
      <c r="K707" s="706"/>
      <c r="L707" s="665"/>
      <c r="M707" s="663"/>
      <c r="N707" s="665"/>
      <c r="O707" s="665"/>
      <c r="P707" s="665"/>
      <c r="Q707" s="665"/>
      <c r="R707" s="665"/>
      <c r="S707" s="665"/>
      <c r="T707" s="673"/>
      <c r="U707" s="673"/>
      <c r="V707" s="673"/>
      <c r="W707" s="673"/>
      <c r="X707" s="673"/>
      <c r="Y707" s="673"/>
      <c r="Z707" s="673"/>
      <c r="AA707" s="673"/>
      <c r="AB707" s="673"/>
      <c r="AC707" s="673"/>
      <c r="AD707" s="673"/>
      <c r="AE707" s="673"/>
      <c r="AF707" s="673"/>
      <c r="AG707" s="673"/>
      <c r="AH707" s="673"/>
    </row>
    <row r="708">
      <c r="A708" s="653"/>
      <c r="B708" s="654"/>
      <c r="C708" s="691"/>
      <c r="D708" s="661"/>
      <c r="E708" s="705"/>
      <c r="F708" s="659"/>
      <c r="G708" s="661"/>
      <c r="H708" s="660"/>
      <c r="I708" s="691"/>
      <c r="J708" s="661"/>
      <c r="K708" s="706"/>
      <c r="L708" s="665"/>
      <c r="M708" s="663"/>
      <c r="N708" s="665"/>
      <c r="O708" s="665"/>
      <c r="P708" s="665"/>
      <c r="Q708" s="665"/>
      <c r="R708" s="665"/>
      <c r="S708" s="665"/>
      <c r="T708" s="673"/>
      <c r="U708" s="673"/>
      <c r="V708" s="673"/>
      <c r="W708" s="673"/>
      <c r="X708" s="673"/>
      <c r="Y708" s="673"/>
      <c r="Z708" s="673"/>
      <c r="AA708" s="673"/>
      <c r="AB708" s="673"/>
      <c r="AC708" s="673"/>
      <c r="AD708" s="673"/>
      <c r="AE708" s="673"/>
      <c r="AF708" s="673"/>
      <c r="AG708" s="673"/>
      <c r="AH708" s="673"/>
    </row>
    <row r="709">
      <c r="A709" s="653"/>
      <c r="B709" s="654"/>
      <c r="C709" s="691"/>
      <c r="D709" s="661"/>
      <c r="E709" s="705"/>
      <c r="F709" s="659"/>
      <c r="G709" s="661"/>
      <c r="H709" s="660"/>
      <c r="I709" s="691"/>
      <c r="J709" s="661"/>
      <c r="K709" s="706"/>
      <c r="L709" s="665"/>
      <c r="M709" s="663"/>
      <c r="N709" s="665"/>
      <c r="O709" s="665"/>
      <c r="P709" s="665"/>
      <c r="Q709" s="665"/>
      <c r="R709" s="665"/>
      <c r="S709" s="665"/>
      <c r="T709" s="673"/>
      <c r="U709" s="673"/>
      <c r="V709" s="673"/>
      <c r="W709" s="673"/>
      <c r="X709" s="673"/>
      <c r="Y709" s="673"/>
      <c r="Z709" s="673"/>
      <c r="AA709" s="673"/>
      <c r="AB709" s="673"/>
      <c r="AC709" s="673"/>
      <c r="AD709" s="673"/>
      <c r="AE709" s="673"/>
      <c r="AF709" s="673"/>
      <c r="AG709" s="673"/>
      <c r="AH709" s="673"/>
    </row>
    <row r="710">
      <c r="A710" s="653"/>
      <c r="B710" s="654"/>
      <c r="C710" s="691"/>
      <c r="D710" s="661"/>
      <c r="E710" s="705"/>
      <c r="F710" s="659"/>
      <c r="G710" s="661"/>
      <c r="H710" s="660"/>
      <c r="I710" s="691"/>
      <c r="J710" s="661"/>
      <c r="K710" s="706"/>
      <c r="L710" s="665"/>
      <c r="M710" s="663"/>
      <c r="N710" s="665"/>
      <c r="O710" s="665"/>
      <c r="P710" s="665"/>
      <c r="Q710" s="665"/>
      <c r="R710" s="665"/>
      <c r="S710" s="665"/>
      <c r="T710" s="673"/>
      <c r="U710" s="673"/>
      <c r="V710" s="673"/>
      <c r="W710" s="673"/>
      <c r="X710" s="673"/>
      <c r="Y710" s="673"/>
      <c r="Z710" s="673"/>
      <c r="AA710" s="673"/>
      <c r="AB710" s="673"/>
      <c r="AC710" s="673"/>
      <c r="AD710" s="673"/>
      <c r="AE710" s="673"/>
      <c r="AF710" s="673"/>
      <c r="AG710" s="673"/>
      <c r="AH710" s="673"/>
    </row>
    <row r="711">
      <c r="A711" s="653"/>
      <c r="B711" s="654"/>
      <c r="C711" s="691"/>
      <c r="D711" s="661"/>
      <c r="E711" s="705"/>
      <c r="F711" s="659"/>
      <c r="G711" s="661"/>
      <c r="H711" s="660"/>
      <c r="I711" s="691"/>
      <c r="J711" s="661"/>
      <c r="K711" s="706"/>
      <c r="L711" s="665"/>
      <c r="M711" s="663"/>
      <c r="N711" s="665"/>
      <c r="O711" s="665"/>
      <c r="P711" s="665"/>
      <c r="Q711" s="665"/>
      <c r="R711" s="665"/>
      <c r="S711" s="665"/>
      <c r="T711" s="673"/>
      <c r="U711" s="673"/>
      <c r="V711" s="673"/>
      <c r="W711" s="673"/>
      <c r="X711" s="673"/>
      <c r="Y711" s="673"/>
      <c r="Z711" s="673"/>
      <c r="AA711" s="673"/>
      <c r="AB711" s="673"/>
      <c r="AC711" s="673"/>
      <c r="AD711" s="673"/>
      <c r="AE711" s="673"/>
      <c r="AF711" s="673"/>
      <c r="AG711" s="673"/>
      <c r="AH711" s="673"/>
    </row>
    <row r="712">
      <c r="A712" s="653"/>
      <c r="B712" s="654"/>
      <c r="C712" s="691"/>
      <c r="D712" s="661"/>
      <c r="E712" s="705"/>
      <c r="F712" s="659"/>
      <c r="G712" s="661"/>
      <c r="H712" s="660"/>
      <c r="I712" s="691"/>
      <c r="J712" s="661"/>
      <c r="K712" s="706"/>
      <c r="L712" s="665"/>
      <c r="M712" s="663"/>
      <c r="N712" s="665"/>
      <c r="O712" s="665"/>
      <c r="P712" s="665"/>
      <c r="Q712" s="665"/>
      <c r="R712" s="665"/>
      <c r="S712" s="665"/>
      <c r="T712" s="673"/>
      <c r="U712" s="673"/>
      <c r="V712" s="673"/>
      <c r="W712" s="673"/>
      <c r="X712" s="673"/>
      <c r="Y712" s="673"/>
      <c r="Z712" s="673"/>
      <c r="AA712" s="673"/>
      <c r="AB712" s="673"/>
      <c r="AC712" s="673"/>
      <c r="AD712" s="673"/>
      <c r="AE712" s="673"/>
      <c r="AF712" s="673"/>
      <c r="AG712" s="673"/>
      <c r="AH712" s="673"/>
    </row>
    <row r="713">
      <c r="A713" s="653"/>
      <c r="B713" s="654"/>
      <c r="C713" s="691"/>
      <c r="D713" s="661"/>
      <c r="E713" s="705"/>
      <c r="F713" s="659"/>
      <c r="G713" s="661"/>
      <c r="H713" s="660"/>
      <c r="I713" s="691"/>
      <c r="J713" s="661"/>
      <c r="K713" s="706"/>
      <c r="L713" s="665"/>
      <c r="M713" s="663"/>
      <c r="N713" s="665"/>
      <c r="O713" s="665"/>
      <c r="P713" s="665"/>
      <c r="Q713" s="665"/>
      <c r="R713" s="665"/>
      <c r="S713" s="665"/>
      <c r="T713" s="673"/>
      <c r="U713" s="673"/>
      <c r="V713" s="673"/>
      <c r="W713" s="673"/>
      <c r="X713" s="673"/>
      <c r="Y713" s="673"/>
      <c r="Z713" s="673"/>
      <c r="AA713" s="673"/>
      <c r="AB713" s="673"/>
      <c r="AC713" s="673"/>
      <c r="AD713" s="673"/>
      <c r="AE713" s="673"/>
      <c r="AF713" s="673"/>
      <c r="AG713" s="673"/>
      <c r="AH713" s="673"/>
    </row>
    <row r="714">
      <c r="A714" s="653"/>
      <c r="B714" s="654"/>
      <c r="C714" s="691"/>
      <c r="D714" s="661"/>
      <c r="E714" s="705"/>
      <c r="F714" s="659"/>
      <c r="G714" s="661"/>
      <c r="H714" s="660"/>
      <c r="I714" s="691"/>
      <c r="J714" s="661"/>
      <c r="K714" s="706"/>
      <c r="L714" s="665"/>
      <c r="M714" s="663"/>
      <c r="N714" s="665"/>
      <c r="O714" s="665"/>
      <c r="P714" s="665"/>
      <c r="Q714" s="665"/>
      <c r="R714" s="665"/>
      <c r="S714" s="665"/>
      <c r="T714" s="673"/>
      <c r="U714" s="673"/>
      <c r="V714" s="673"/>
      <c r="W714" s="673"/>
      <c r="X714" s="673"/>
      <c r="Y714" s="673"/>
      <c r="Z714" s="673"/>
      <c r="AA714" s="673"/>
      <c r="AB714" s="673"/>
      <c r="AC714" s="673"/>
      <c r="AD714" s="673"/>
      <c r="AE714" s="673"/>
      <c r="AF714" s="673"/>
      <c r="AG714" s="673"/>
      <c r="AH714" s="673"/>
    </row>
    <row r="715">
      <c r="A715" s="653"/>
      <c r="B715" s="654"/>
      <c r="C715" s="691"/>
      <c r="D715" s="661"/>
      <c r="E715" s="705"/>
      <c r="F715" s="659"/>
      <c r="G715" s="661"/>
      <c r="H715" s="660"/>
      <c r="I715" s="691"/>
      <c r="J715" s="661"/>
      <c r="K715" s="706"/>
      <c r="L715" s="665"/>
      <c r="M715" s="663"/>
      <c r="N715" s="665"/>
      <c r="O715" s="665"/>
      <c r="P715" s="665"/>
      <c r="Q715" s="665"/>
      <c r="R715" s="665"/>
      <c r="S715" s="665"/>
      <c r="T715" s="673"/>
      <c r="U715" s="673"/>
      <c r="V715" s="673"/>
      <c r="W715" s="673"/>
      <c r="X715" s="673"/>
      <c r="Y715" s="673"/>
      <c r="Z715" s="673"/>
      <c r="AA715" s="673"/>
      <c r="AB715" s="673"/>
      <c r="AC715" s="673"/>
      <c r="AD715" s="673"/>
      <c r="AE715" s="673"/>
      <c r="AF715" s="673"/>
      <c r="AG715" s="673"/>
      <c r="AH715" s="673"/>
    </row>
    <row r="716">
      <c r="A716" s="653"/>
      <c r="B716" s="654"/>
      <c r="C716" s="691"/>
      <c r="D716" s="661"/>
      <c r="E716" s="705"/>
      <c r="F716" s="659"/>
      <c r="G716" s="661"/>
      <c r="H716" s="660"/>
      <c r="I716" s="691"/>
      <c r="J716" s="661"/>
      <c r="K716" s="706"/>
      <c r="L716" s="665"/>
      <c r="M716" s="663"/>
      <c r="N716" s="665"/>
      <c r="O716" s="665"/>
      <c r="P716" s="665"/>
      <c r="Q716" s="665"/>
      <c r="R716" s="665"/>
      <c r="S716" s="665"/>
      <c r="T716" s="673"/>
      <c r="U716" s="673"/>
      <c r="V716" s="673"/>
      <c r="W716" s="673"/>
      <c r="X716" s="673"/>
      <c r="Y716" s="673"/>
      <c r="Z716" s="673"/>
      <c r="AA716" s="673"/>
      <c r="AB716" s="673"/>
      <c r="AC716" s="673"/>
      <c r="AD716" s="673"/>
      <c r="AE716" s="673"/>
      <c r="AF716" s="673"/>
      <c r="AG716" s="673"/>
      <c r="AH716" s="673"/>
    </row>
    <row r="717">
      <c r="A717" s="653"/>
      <c r="B717" s="654"/>
      <c r="C717" s="691"/>
      <c r="D717" s="661"/>
      <c r="E717" s="705"/>
      <c r="F717" s="659"/>
      <c r="G717" s="661"/>
      <c r="H717" s="660"/>
      <c r="I717" s="691"/>
      <c r="J717" s="661"/>
      <c r="K717" s="706"/>
      <c r="L717" s="665"/>
      <c r="M717" s="663"/>
      <c r="N717" s="665"/>
      <c r="O717" s="665"/>
      <c r="P717" s="665"/>
      <c r="Q717" s="665"/>
      <c r="R717" s="665"/>
      <c r="S717" s="665"/>
      <c r="T717" s="673"/>
      <c r="U717" s="673"/>
      <c r="V717" s="673"/>
      <c r="W717" s="673"/>
      <c r="X717" s="673"/>
      <c r="Y717" s="673"/>
      <c r="Z717" s="673"/>
      <c r="AA717" s="673"/>
      <c r="AB717" s="673"/>
      <c r="AC717" s="673"/>
      <c r="AD717" s="673"/>
      <c r="AE717" s="673"/>
      <c r="AF717" s="673"/>
      <c r="AG717" s="673"/>
      <c r="AH717" s="673"/>
    </row>
    <row r="718">
      <c r="A718" s="653"/>
      <c r="B718" s="654"/>
      <c r="C718" s="691"/>
      <c r="D718" s="661"/>
      <c r="E718" s="705"/>
      <c r="F718" s="659"/>
      <c r="G718" s="661"/>
      <c r="H718" s="660"/>
      <c r="I718" s="691"/>
      <c r="J718" s="661"/>
      <c r="K718" s="706"/>
      <c r="L718" s="665"/>
      <c r="M718" s="663"/>
      <c r="N718" s="665"/>
      <c r="O718" s="665"/>
      <c r="P718" s="665"/>
      <c r="Q718" s="665"/>
      <c r="R718" s="665"/>
      <c r="S718" s="665"/>
      <c r="T718" s="673"/>
      <c r="U718" s="673"/>
      <c r="V718" s="673"/>
      <c r="W718" s="673"/>
      <c r="X718" s="673"/>
      <c r="Y718" s="673"/>
      <c r="Z718" s="673"/>
      <c r="AA718" s="673"/>
      <c r="AB718" s="673"/>
      <c r="AC718" s="673"/>
      <c r="AD718" s="673"/>
      <c r="AE718" s="673"/>
      <c r="AF718" s="673"/>
      <c r="AG718" s="673"/>
      <c r="AH718" s="673"/>
    </row>
    <row r="719">
      <c r="A719" s="653"/>
      <c r="B719" s="654"/>
      <c r="C719" s="691"/>
      <c r="D719" s="661"/>
      <c r="E719" s="705"/>
      <c r="F719" s="659"/>
      <c r="G719" s="661"/>
      <c r="H719" s="660"/>
      <c r="I719" s="691"/>
      <c r="J719" s="661"/>
      <c r="K719" s="706"/>
      <c r="L719" s="665"/>
      <c r="M719" s="663"/>
      <c r="N719" s="665"/>
      <c r="O719" s="665"/>
      <c r="P719" s="665"/>
      <c r="Q719" s="665"/>
      <c r="R719" s="665"/>
      <c r="S719" s="665"/>
      <c r="T719" s="673"/>
      <c r="U719" s="673"/>
      <c r="V719" s="673"/>
      <c r="W719" s="673"/>
      <c r="X719" s="673"/>
      <c r="Y719" s="673"/>
      <c r="Z719" s="673"/>
      <c r="AA719" s="673"/>
      <c r="AB719" s="673"/>
      <c r="AC719" s="673"/>
      <c r="AD719" s="673"/>
      <c r="AE719" s="673"/>
      <c r="AF719" s="673"/>
      <c r="AG719" s="673"/>
      <c r="AH719" s="673"/>
    </row>
    <row r="720">
      <c r="A720" s="653"/>
      <c r="B720" s="654"/>
      <c r="C720" s="691"/>
      <c r="D720" s="661"/>
      <c r="E720" s="705"/>
      <c r="F720" s="659"/>
      <c r="G720" s="661"/>
      <c r="H720" s="660"/>
      <c r="I720" s="691"/>
      <c r="J720" s="661"/>
      <c r="K720" s="706"/>
      <c r="L720" s="665"/>
      <c r="M720" s="663"/>
      <c r="N720" s="665"/>
      <c r="O720" s="665"/>
      <c r="P720" s="665"/>
      <c r="Q720" s="665"/>
      <c r="R720" s="665"/>
      <c r="S720" s="665"/>
      <c r="T720" s="673"/>
      <c r="U720" s="673"/>
      <c r="V720" s="673"/>
      <c r="W720" s="673"/>
      <c r="X720" s="673"/>
      <c r="Y720" s="673"/>
      <c r="Z720" s="673"/>
      <c r="AA720" s="673"/>
      <c r="AB720" s="673"/>
      <c r="AC720" s="673"/>
      <c r="AD720" s="673"/>
      <c r="AE720" s="673"/>
      <c r="AF720" s="673"/>
      <c r="AG720" s="673"/>
      <c r="AH720" s="673"/>
    </row>
    <row r="721">
      <c r="A721" s="653"/>
      <c r="B721" s="654"/>
      <c r="C721" s="691"/>
      <c r="D721" s="661"/>
      <c r="E721" s="705"/>
      <c r="F721" s="659"/>
      <c r="G721" s="661"/>
      <c r="H721" s="660"/>
      <c r="I721" s="691"/>
      <c r="J721" s="661"/>
      <c r="K721" s="706"/>
      <c r="L721" s="665"/>
      <c r="M721" s="663"/>
      <c r="N721" s="665"/>
      <c r="O721" s="665"/>
      <c r="P721" s="665"/>
      <c r="Q721" s="665"/>
      <c r="R721" s="665"/>
      <c r="S721" s="665"/>
      <c r="T721" s="673"/>
      <c r="U721" s="673"/>
      <c r="V721" s="673"/>
      <c r="W721" s="673"/>
      <c r="X721" s="673"/>
      <c r="Y721" s="673"/>
      <c r="Z721" s="673"/>
      <c r="AA721" s="673"/>
      <c r="AB721" s="673"/>
      <c r="AC721" s="673"/>
      <c r="AD721" s="673"/>
      <c r="AE721" s="673"/>
      <c r="AF721" s="673"/>
      <c r="AG721" s="673"/>
      <c r="AH721" s="673"/>
    </row>
    <row r="722">
      <c r="A722" s="653"/>
      <c r="B722" s="654"/>
      <c r="C722" s="691"/>
      <c r="D722" s="661"/>
      <c r="E722" s="705"/>
      <c r="F722" s="659"/>
      <c r="G722" s="661"/>
      <c r="H722" s="660"/>
      <c r="I722" s="691"/>
      <c r="J722" s="661"/>
      <c r="K722" s="706"/>
      <c r="L722" s="665"/>
      <c r="M722" s="663"/>
      <c r="N722" s="665"/>
      <c r="O722" s="665"/>
      <c r="P722" s="665"/>
      <c r="Q722" s="665"/>
      <c r="R722" s="665"/>
      <c r="S722" s="665"/>
      <c r="T722" s="673"/>
      <c r="U722" s="673"/>
      <c r="V722" s="673"/>
      <c r="W722" s="673"/>
      <c r="X722" s="673"/>
      <c r="Y722" s="673"/>
      <c r="Z722" s="673"/>
      <c r="AA722" s="673"/>
      <c r="AB722" s="673"/>
      <c r="AC722" s="673"/>
      <c r="AD722" s="673"/>
      <c r="AE722" s="673"/>
      <c r="AF722" s="673"/>
      <c r="AG722" s="673"/>
      <c r="AH722" s="673"/>
    </row>
    <row r="723">
      <c r="A723" s="653"/>
      <c r="B723" s="654"/>
      <c r="C723" s="691"/>
      <c r="D723" s="661"/>
      <c r="E723" s="705"/>
      <c r="F723" s="659"/>
      <c r="G723" s="661"/>
      <c r="H723" s="660"/>
      <c r="I723" s="691"/>
      <c r="J723" s="661"/>
      <c r="K723" s="706"/>
      <c r="L723" s="665"/>
      <c r="M723" s="663"/>
      <c r="N723" s="665"/>
      <c r="O723" s="665"/>
      <c r="P723" s="665"/>
      <c r="Q723" s="665"/>
      <c r="R723" s="665"/>
      <c r="S723" s="665"/>
      <c r="T723" s="673"/>
      <c r="U723" s="673"/>
      <c r="V723" s="673"/>
      <c r="W723" s="673"/>
      <c r="X723" s="673"/>
      <c r="Y723" s="673"/>
      <c r="Z723" s="673"/>
      <c r="AA723" s="673"/>
      <c r="AB723" s="673"/>
      <c r="AC723" s="673"/>
      <c r="AD723" s="673"/>
      <c r="AE723" s="673"/>
      <c r="AF723" s="673"/>
      <c r="AG723" s="673"/>
      <c r="AH723" s="673"/>
    </row>
    <row r="724">
      <c r="A724" s="653"/>
      <c r="B724" s="654"/>
      <c r="C724" s="691"/>
      <c r="D724" s="661"/>
      <c r="E724" s="705"/>
      <c r="F724" s="659"/>
      <c r="G724" s="661"/>
      <c r="H724" s="660"/>
      <c r="I724" s="691"/>
      <c r="J724" s="661"/>
      <c r="K724" s="706"/>
      <c r="L724" s="665"/>
      <c r="M724" s="663"/>
      <c r="N724" s="665"/>
      <c r="O724" s="665"/>
      <c r="P724" s="665"/>
      <c r="Q724" s="665"/>
      <c r="R724" s="665"/>
      <c r="S724" s="665"/>
      <c r="T724" s="673"/>
      <c r="U724" s="673"/>
      <c r="V724" s="673"/>
      <c r="W724" s="673"/>
      <c r="X724" s="673"/>
      <c r="Y724" s="673"/>
      <c r="Z724" s="673"/>
      <c r="AA724" s="673"/>
      <c r="AB724" s="673"/>
      <c r="AC724" s="673"/>
      <c r="AD724" s="673"/>
      <c r="AE724" s="673"/>
      <c r="AF724" s="673"/>
      <c r="AG724" s="673"/>
      <c r="AH724" s="673"/>
    </row>
    <row r="725">
      <c r="A725" s="653"/>
      <c r="B725" s="654"/>
      <c r="C725" s="691"/>
      <c r="D725" s="661"/>
      <c r="E725" s="705"/>
      <c r="F725" s="659"/>
      <c r="G725" s="661"/>
      <c r="H725" s="660"/>
      <c r="I725" s="691"/>
      <c r="J725" s="661"/>
      <c r="K725" s="706"/>
      <c r="L725" s="665"/>
      <c r="M725" s="663"/>
      <c r="N725" s="665"/>
      <c r="O725" s="665"/>
      <c r="P725" s="665"/>
      <c r="Q725" s="665"/>
      <c r="R725" s="665"/>
      <c r="S725" s="665"/>
      <c r="T725" s="673"/>
      <c r="U725" s="673"/>
      <c r="V725" s="673"/>
      <c r="W725" s="673"/>
      <c r="X725" s="673"/>
      <c r="Y725" s="673"/>
      <c r="Z725" s="673"/>
      <c r="AA725" s="673"/>
      <c r="AB725" s="673"/>
      <c r="AC725" s="673"/>
      <c r="AD725" s="673"/>
      <c r="AE725" s="673"/>
      <c r="AF725" s="673"/>
      <c r="AG725" s="673"/>
      <c r="AH725" s="673"/>
    </row>
    <row r="726">
      <c r="A726" s="653"/>
      <c r="B726" s="654"/>
      <c r="C726" s="691"/>
      <c r="D726" s="661"/>
      <c r="E726" s="705"/>
      <c r="F726" s="659"/>
      <c r="G726" s="661"/>
      <c r="H726" s="660"/>
      <c r="I726" s="691"/>
      <c r="J726" s="661"/>
      <c r="K726" s="706"/>
      <c r="L726" s="665"/>
      <c r="M726" s="663"/>
      <c r="N726" s="665"/>
      <c r="O726" s="665"/>
      <c r="P726" s="665"/>
      <c r="Q726" s="665"/>
      <c r="R726" s="665"/>
      <c r="S726" s="665"/>
      <c r="T726" s="673"/>
      <c r="U726" s="673"/>
      <c r="V726" s="673"/>
      <c r="W726" s="673"/>
      <c r="X726" s="673"/>
      <c r="Y726" s="673"/>
      <c r="Z726" s="673"/>
      <c r="AA726" s="673"/>
      <c r="AB726" s="673"/>
      <c r="AC726" s="673"/>
      <c r="AD726" s="673"/>
      <c r="AE726" s="673"/>
      <c r="AF726" s="673"/>
      <c r="AG726" s="673"/>
      <c r="AH726" s="673"/>
    </row>
    <row r="727">
      <c r="A727" s="653"/>
      <c r="B727" s="654"/>
      <c r="C727" s="691"/>
      <c r="D727" s="661"/>
      <c r="E727" s="705"/>
      <c r="F727" s="659"/>
      <c r="G727" s="661"/>
      <c r="H727" s="660"/>
      <c r="I727" s="691"/>
      <c r="J727" s="661"/>
      <c r="K727" s="706"/>
      <c r="L727" s="665"/>
      <c r="M727" s="663"/>
      <c r="N727" s="665"/>
      <c r="O727" s="665"/>
      <c r="P727" s="665"/>
      <c r="Q727" s="665"/>
      <c r="R727" s="665"/>
      <c r="S727" s="665"/>
      <c r="T727" s="673"/>
      <c r="U727" s="673"/>
      <c r="V727" s="673"/>
      <c r="W727" s="673"/>
      <c r="X727" s="673"/>
      <c r="Y727" s="673"/>
      <c r="Z727" s="673"/>
      <c r="AA727" s="673"/>
      <c r="AB727" s="673"/>
      <c r="AC727" s="673"/>
      <c r="AD727" s="673"/>
      <c r="AE727" s="673"/>
      <c r="AF727" s="673"/>
      <c r="AG727" s="673"/>
      <c r="AH727" s="673"/>
    </row>
    <row r="728">
      <c r="A728" s="653"/>
      <c r="B728" s="654"/>
      <c r="C728" s="691"/>
      <c r="D728" s="661"/>
      <c r="E728" s="705"/>
      <c r="F728" s="659"/>
      <c r="G728" s="661"/>
      <c r="H728" s="660"/>
      <c r="I728" s="691"/>
      <c r="J728" s="661"/>
      <c r="K728" s="706"/>
      <c r="L728" s="665"/>
      <c r="M728" s="663"/>
      <c r="N728" s="665"/>
      <c r="O728" s="665"/>
      <c r="P728" s="665"/>
      <c r="Q728" s="665"/>
      <c r="R728" s="665"/>
      <c r="S728" s="665"/>
      <c r="T728" s="673"/>
      <c r="U728" s="673"/>
      <c r="V728" s="673"/>
      <c r="W728" s="673"/>
      <c r="X728" s="673"/>
      <c r="Y728" s="673"/>
      <c r="Z728" s="673"/>
      <c r="AA728" s="673"/>
      <c r="AB728" s="673"/>
      <c r="AC728" s="673"/>
      <c r="AD728" s="673"/>
      <c r="AE728" s="673"/>
      <c r="AF728" s="673"/>
      <c r="AG728" s="673"/>
      <c r="AH728" s="673"/>
    </row>
    <row r="729">
      <c r="A729" s="653"/>
      <c r="B729" s="654"/>
      <c r="C729" s="691"/>
      <c r="D729" s="661"/>
      <c r="E729" s="705"/>
      <c r="F729" s="659"/>
      <c r="G729" s="661"/>
      <c r="H729" s="660"/>
      <c r="I729" s="691"/>
      <c r="J729" s="661"/>
      <c r="K729" s="706"/>
      <c r="L729" s="665"/>
      <c r="M729" s="663"/>
      <c r="N729" s="665"/>
      <c r="O729" s="665"/>
      <c r="P729" s="665"/>
      <c r="Q729" s="665"/>
      <c r="R729" s="665"/>
      <c r="S729" s="665"/>
      <c r="T729" s="673"/>
      <c r="U729" s="673"/>
      <c r="V729" s="673"/>
      <c r="W729" s="673"/>
      <c r="X729" s="673"/>
      <c r="Y729" s="673"/>
      <c r="Z729" s="673"/>
      <c r="AA729" s="673"/>
      <c r="AB729" s="673"/>
      <c r="AC729" s="673"/>
      <c r="AD729" s="673"/>
      <c r="AE729" s="673"/>
      <c r="AF729" s="673"/>
      <c r="AG729" s="673"/>
      <c r="AH729" s="673"/>
    </row>
    <row r="730">
      <c r="A730" s="653"/>
      <c r="B730" s="654"/>
      <c r="C730" s="691"/>
      <c r="D730" s="661"/>
      <c r="E730" s="705"/>
      <c r="F730" s="659"/>
      <c r="G730" s="661"/>
      <c r="H730" s="660"/>
      <c r="I730" s="691"/>
      <c r="J730" s="661"/>
      <c r="K730" s="706"/>
      <c r="L730" s="665"/>
      <c r="M730" s="663"/>
      <c r="N730" s="665"/>
      <c r="O730" s="665"/>
      <c r="P730" s="665"/>
      <c r="Q730" s="665"/>
      <c r="R730" s="665"/>
      <c r="S730" s="665"/>
      <c r="T730" s="673"/>
      <c r="U730" s="673"/>
      <c r="V730" s="673"/>
      <c r="W730" s="673"/>
      <c r="X730" s="673"/>
      <c r="Y730" s="673"/>
      <c r="Z730" s="673"/>
      <c r="AA730" s="673"/>
      <c r="AB730" s="673"/>
      <c r="AC730" s="673"/>
      <c r="AD730" s="673"/>
      <c r="AE730" s="673"/>
      <c r="AF730" s="673"/>
      <c r="AG730" s="673"/>
      <c r="AH730" s="673"/>
    </row>
    <row r="731">
      <c r="A731" s="653"/>
      <c r="B731" s="654"/>
      <c r="C731" s="691"/>
      <c r="D731" s="661"/>
      <c r="E731" s="705"/>
      <c r="F731" s="659"/>
      <c r="G731" s="661"/>
      <c r="H731" s="660"/>
      <c r="I731" s="691"/>
      <c r="J731" s="661"/>
      <c r="K731" s="706"/>
      <c r="L731" s="665"/>
      <c r="M731" s="663"/>
      <c r="N731" s="665"/>
      <c r="O731" s="665"/>
      <c r="P731" s="665"/>
      <c r="Q731" s="665"/>
      <c r="R731" s="665"/>
      <c r="S731" s="665"/>
      <c r="T731" s="673"/>
      <c r="U731" s="673"/>
      <c r="V731" s="673"/>
      <c r="W731" s="673"/>
      <c r="X731" s="673"/>
      <c r="Y731" s="673"/>
      <c r="Z731" s="673"/>
      <c r="AA731" s="673"/>
      <c r="AB731" s="673"/>
      <c r="AC731" s="673"/>
      <c r="AD731" s="673"/>
      <c r="AE731" s="673"/>
      <c r="AF731" s="673"/>
      <c r="AG731" s="673"/>
      <c r="AH731" s="673"/>
    </row>
    <row r="732">
      <c r="A732" s="653"/>
      <c r="B732" s="654"/>
      <c r="C732" s="691"/>
      <c r="D732" s="661"/>
      <c r="E732" s="705"/>
      <c r="F732" s="659"/>
      <c r="G732" s="661"/>
      <c r="H732" s="660"/>
      <c r="I732" s="691"/>
      <c r="J732" s="661"/>
      <c r="K732" s="706"/>
      <c r="L732" s="665"/>
      <c r="M732" s="663"/>
      <c r="N732" s="665"/>
      <c r="O732" s="665"/>
      <c r="P732" s="665"/>
      <c r="Q732" s="665"/>
      <c r="R732" s="665"/>
      <c r="S732" s="665"/>
      <c r="T732" s="673"/>
      <c r="U732" s="673"/>
      <c r="V732" s="673"/>
      <c r="W732" s="673"/>
      <c r="X732" s="673"/>
      <c r="Y732" s="673"/>
      <c r="Z732" s="673"/>
      <c r="AA732" s="673"/>
      <c r="AB732" s="673"/>
      <c r="AC732" s="673"/>
      <c r="AD732" s="673"/>
      <c r="AE732" s="673"/>
      <c r="AF732" s="673"/>
      <c r="AG732" s="673"/>
      <c r="AH732" s="673"/>
    </row>
    <row r="733">
      <c r="A733" s="653"/>
      <c r="B733" s="654"/>
      <c r="C733" s="691"/>
      <c r="D733" s="661"/>
      <c r="E733" s="705"/>
      <c r="F733" s="659"/>
      <c r="G733" s="661"/>
      <c r="H733" s="660"/>
      <c r="I733" s="691"/>
      <c r="J733" s="661"/>
      <c r="K733" s="706"/>
      <c r="L733" s="665"/>
      <c r="M733" s="663"/>
      <c r="N733" s="665"/>
      <c r="O733" s="665"/>
      <c r="P733" s="665"/>
      <c r="Q733" s="665"/>
      <c r="R733" s="665"/>
      <c r="S733" s="665"/>
      <c r="T733" s="673"/>
      <c r="U733" s="673"/>
      <c r="V733" s="673"/>
      <c r="W733" s="673"/>
      <c r="X733" s="673"/>
      <c r="Y733" s="673"/>
      <c r="Z733" s="673"/>
      <c r="AA733" s="673"/>
      <c r="AB733" s="673"/>
      <c r="AC733" s="673"/>
      <c r="AD733" s="673"/>
      <c r="AE733" s="673"/>
      <c r="AF733" s="673"/>
      <c r="AG733" s="673"/>
      <c r="AH733" s="673"/>
    </row>
    <row r="734">
      <c r="A734" s="653"/>
      <c r="B734" s="654"/>
      <c r="C734" s="691"/>
      <c r="D734" s="661"/>
      <c r="E734" s="705"/>
      <c r="F734" s="659"/>
      <c r="G734" s="661"/>
      <c r="H734" s="660"/>
      <c r="I734" s="691"/>
      <c r="J734" s="661"/>
      <c r="K734" s="706"/>
      <c r="L734" s="665"/>
      <c r="M734" s="663"/>
      <c r="N734" s="665"/>
      <c r="O734" s="665"/>
      <c r="P734" s="665"/>
      <c r="Q734" s="665"/>
      <c r="R734" s="665"/>
      <c r="S734" s="665"/>
      <c r="T734" s="673"/>
      <c r="U734" s="673"/>
      <c r="V734" s="673"/>
      <c r="W734" s="673"/>
      <c r="X734" s="673"/>
      <c r="Y734" s="673"/>
      <c r="Z734" s="673"/>
      <c r="AA734" s="673"/>
      <c r="AB734" s="673"/>
      <c r="AC734" s="673"/>
      <c r="AD734" s="673"/>
      <c r="AE734" s="673"/>
      <c r="AF734" s="673"/>
      <c r="AG734" s="673"/>
      <c r="AH734" s="673"/>
    </row>
    <row r="735">
      <c r="A735" s="653"/>
      <c r="B735" s="654"/>
      <c r="C735" s="691"/>
      <c r="D735" s="661"/>
      <c r="E735" s="705"/>
      <c r="F735" s="659"/>
      <c r="G735" s="661"/>
      <c r="H735" s="660"/>
      <c r="I735" s="691"/>
      <c r="J735" s="661"/>
      <c r="K735" s="706"/>
      <c r="L735" s="665"/>
      <c r="M735" s="663"/>
      <c r="N735" s="665"/>
      <c r="O735" s="665"/>
      <c r="P735" s="665"/>
      <c r="Q735" s="665"/>
      <c r="R735" s="665"/>
      <c r="S735" s="665"/>
      <c r="T735" s="673"/>
      <c r="U735" s="673"/>
      <c r="V735" s="673"/>
      <c r="W735" s="673"/>
      <c r="X735" s="673"/>
      <c r="Y735" s="673"/>
      <c r="Z735" s="673"/>
      <c r="AA735" s="673"/>
      <c r="AB735" s="673"/>
      <c r="AC735" s="673"/>
      <c r="AD735" s="673"/>
      <c r="AE735" s="673"/>
      <c r="AF735" s="673"/>
      <c r="AG735" s="673"/>
      <c r="AH735" s="673"/>
    </row>
    <row r="736">
      <c r="A736" s="653"/>
      <c r="B736" s="654"/>
      <c r="C736" s="691"/>
      <c r="D736" s="661"/>
      <c r="E736" s="705"/>
      <c r="F736" s="659"/>
      <c r="G736" s="661"/>
      <c r="H736" s="660"/>
      <c r="I736" s="691"/>
      <c r="J736" s="661"/>
      <c r="K736" s="706"/>
      <c r="L736" s="665"/>
      <c r="M736" s="663"/>
      <c r="N736" s="665"/>
      <c r="O736" s="665"/>
      <c r="P736" s="665"/>
      <c r="Q736" s="665"/>
      <c r="R736" s="665"/>
      <c r="S736" s="665"/>
      <c r="T736" s="673"/>
      <c r="U736" s="673"/>
      <c r="V736" s="673"/>
      <c r="W736" s="673"/>
      <c r="X736" s="673"/>
      <c r="Y736" s="673"/>
      <c r="Z736" s="673"/>
      <c r="AA736" s="673"/>
      <c r="AB736" s="673"/>
      <c r="AC736" s="673"/>
      <c r="AD736" s="673"/>
      <c r="AE736" s="673"/>
      <c r="AF736" s="673"/>
      <c r="AG736" s="673"/>
      <c r="AH736" s="673"/>
    </row>
    <row r="737">
      <c r="A737" s="653"/>
      <c r="B737" s="654"/>
      <c r="C737" s="691"/>
      <c r="D737" s="661"/>
      <c r="E737" s="705"/>
      <c r="F737" s="659"/>
      <c r="G737" s="661"/>
      <c r="H737" s="660"/>
      <c r="I737" s="691"/>
      <c r="J737" s="661"/>
      <c r="K737" s="706"/>
      <c r="L737" s="665"/>
      <c r="M737" s="663"/>
      <c r="N737" s="665"/>
      <c r="O737" s="665"/>
      <c r="P737" s="665"/>
      <c r="Q737" s="665"/>
      <c r="R737" s="665"/>
      <c r="S737" s="665"/>
      <c r="T737" s="673"/>
      <c r="U737" s="673"/>
      <c r="V737" s="673"/>
      <c r="W737" s="673"/>
      <c r="X737" s="673"/>
      <c r="Y737" s="673"/>
      <c r="Z737" s="673"/>
      <c r="AA737" s="673"/>
      <c r="AB737" s="673"/>
      <c r="AC737" s="673"/>
      <c r="AD737" s="673"/>
      <c r="AE737" s="673"/>
      <c r="AF737" s="673"/>
      <c r="AG737" s="673"/>
      <c r="AH737" s="673"/>
    </row>
    <row r="738">
      <c r="A738" s="653"/>
      <c r="B738" s="654"/>
      <c r="C738" s="691"/>
      <c r="D738" s="661"/>
      <c r="E738" s="705"/>
      <c r="F738" s="659"/>
      <c r="G738" s="661"/>
      <c r="H738" s="660"/>
      <c r="I738" s="691"/>
      <c r="J738" s="661"/>
      <c r="K738" s="706"/>
      <c r="L738" s="665"/>
      <c r="M738" s="663"/>
      <c r="N738" s="665"/>
      <c r="O738" s="665"/>
      <c r="P738" s="665"/>
      <c r="Q738" s="665"/>
      <c r="R738" s="665"/>
      <c r="S738" s="665"/>
      <c r="T738" s="673"/>
      <c r="U738" s="673"/>
      <c r="V738" s="673"/>
      <c r="W738" s="673"/>
      <c r="X738" s="673"/>
      <c r="Y738" s="673"/>
      <c r="Z738" s="673"/>
      <c r="AA738" s="673"/>
      <c r="AB738" s="673"/>
      <c r="AC738" s="673"/>
      <c r="AD738" s="673"/>
      <c r="AE738" s="673"/>
      <c r="AF738" s="673"/>
      <c r="AG738" s="673"/>
      <c r="AH738" s="673"/>
    </row>
    <row r="739">
      <c r="A739" s="653"/>
      <c r="B739" s="654"/>
      <c r="C739" s="691"/>
      <c r="D739" s="661"/>
      <c r="E739" s="705"/>
      <c r="F739" s="659"/>
      <c r="G739" s="661"/>
      <c r="H739" s="660"/>
      <c r="I739" s="691"/>
      <c r="J739" s="661"/>
      <c r="K739" s="706"/>
      <c r="L739" s="665"/>
      <c r="M739" s="663"/>
      <c r="N739" s="665"/>
      <c r="O739" s="665"/>
      <c r="P739" s="665"/>
      <c r="Q739" s="665"/>
      <c r="R739" s="665"/>
      <c r="S739" s="665"/>
      <c r="T739" s="673"/>
      <c r="U739" s="673"/>
      <c r="V739" s="673"/>
      <c r="W739" s="673"/>
      <c r="X739" s="673"/>
      <c r="Y739" s="673"/>
      <c r="Z739" s="673"/>
      <c r="AA739" s="673"/>
      <c r="AB739" s="673"/>
      <c r="AC739" s="673"/>
      <c r="AD739" s="673"/>
      <c r="AE739" s="673"/>
      <c r="AF739" s="673"/>
      <c r="AG739" s="673"/>
      <c r="AH739" s="673"/>
    </row>
    <row r="740">
      <c r="A740" s="653"/>
      <c r="B740" s="654"/>
      <c r="C740" s="691"/>
      <c r="D740" s="661"/>
      <c r="E740" s="705"/>
      <c r="F740" s="659"/>
      <c r="G740" s="661"/>
      <c r="H740" s="660"/>
      <c r="I740" s="691"/>
      <c r="J740" s="661"/>
      <c r="K740" s="706"/>
      <c r="L740" s="665"/>
      <c r="M740" s="663"/>
      <c r="N740" s="665"/>
      <c r="O740" s="665"/>
      <c r="P740" s="665"/>
      <c r="Q740" s="665"/>
      <c r="R740" s="665"/>
      <c r="S740" s="665"/>
      <c r="T740" s="673"/>
      <c r="U740" s="673"/>
      <c r="V740" s="673"/>
      <c r="W740" s="673"/>
      <c r="X740" s="673"/>
      <c r="Y740" s="673"/>
      <c r="Z740" s="673"/>
      <c r="AA740" s="673"/>
      <c r="AB740" s="673"/>
      <c r="AC740" s="673"/>
      <c r="AD740" s="673"/>
      <c r="AE740" s="673"/>
      <c r="AF740" s="673"/>
      <c r="AG740" s="673"/>
      <c r="AH740" s="673"/>
    </row>
    <row r="741">
      <c r="A741" s="653"/>
      <c r="B741" s="654"/>
      <c r="C741" s="691"/>
      <c r="D741" s="661"/>
      <c r="E741" s="705"/>
      <c r="F741" s="659"/>
      <c r="G741" s="661"/>
      <c r="H741" s="660"/>
      <c r="I741" s="691"/>
      <c r="J741" s="661"/>
      <c r="K741" s="706"/>
      <c r="L741" s="665"/>
      <c r="M741" s="663"/>
      <c r="N741" s="665"/>
      <c r="O741" s="665"/>
      <c r="P741" s="665"/>
      <c r="Q741" s="665"/>
      <c r="R741" s="665"/>
      <c r="S741" s="665"/>
      <c r="T741" s="673"/>
      <c r="U741" s="673"/>
      <c r="V741" s="673"/>
      <c r="W741" s="673"/>
      <c r="X741" s="673"/>
      <c r="Y741" s="673"/>
      <c r="Z741" s="673"/>
      <c r="AA741" s="673"/>
      <c r="AB741" s="673"/>
      <c r="AC741" s="673"/>
      <c r="AD741" s="673"/>
      <c r="AE741" s="673"/>
      <c r="AF741" s="673"/>
      <c r="AG741" s="673"/>
      <c r="AH741" s="673"/>
    </row>
    <row r="742">
      <c r="A742" s="653"/>
      <c r="B742" s="654"/>
      <c r="C742" s="691"/>
      <c r="D742" s="661"/>
      <c r="E742" s="705"/>
      <c r="F742" s="659"/>
      <c r="G742" s="661"/>
      <c r="H742" s="660"/>
      <c r="I742" s="691"/>
      <c r="J742" s="661"/>
      <c r="K742" s="706"/>
      <c r="L742" s="665"/>
      <c r="M742" s="663"/>
      <c r="N742" s="665"/>
      <c r="O742" s="665"/>
      <c r="P742" s="665"/>
      <c r="Q742" s="665"/>
      <c r="R742" s="665"/>
      <c r="S742" s="665"/>
      <c r="T742" s="673"/>
      <c r="U742" s="673"/>
      <c r="V742" s="673"/>
      <c r="W742" s="673"/>
      <c r="X742" s="673"/>
      <c r="Y742" s="673"/>
      <c r="Z742" s="673"/>
      <c r="AA742" s="673"/>
      <c r="AB742" s="673"/>
      <c r="AC742" s="673"/>
      <c r="AD742" s="673"/>
      <c r="AE742" s="673"/>
      <c r="AF742" s="673"/>
      <c r="AG742" s="673"/>
      <c r="AH742" s="673"/>
    </row>
    <row r="743">
      <c r="A743" s="653"/>
      <c r="B743" s="654"/>
      <c r="C743" s="691"/>
      <c r="D743" s="661"/>
      <c r="E743" s="705"/>
      <c r="F743" s="659"/>
      <c r="G743" s="661"/>
      <c r="H743" s="660"/>
      <c r="I743" s="691"/>
      <c r="J743" s="661"/>
      <c r="K743" s="706"/>
      <c r="L743" s="665"/>
      <c r="M743" s="663"/>
      <c r="N743" s="665"/>
      <c r="O743" s="665"/>
      <c r="P743" s="665"/>
      <c r="Q743" s="665"/>
      <c r="R743" s="665"/>
      <c r="S743" s="665"/>
      <c r="T743" s="673"/>
      <c r="U743" s="673"/>
      <c r="V743" s="673"/>
      <c r="W743" s="673"/>
      <c r="X743" s="673"/>
      <c r="Y743" s="673"/>
      <c r="Z743" s="673"/>
      <c r="AA743" s="673"/>
      <c r="AB743" s="673"/>
      <c r="AC743" s="673"/>
      <c r="AD743" s="673"/>
      <c r="AE743" s="673"/>
      <c r="AF743" s="673"/>
      <c r="AG743" s="673"/>
      <c r="AH743" s="673"/>
    </row>
    <row r="744">
      <c r="A744" s="653"/>
      <c r="B744" s="654"/>
      <c r="C744" s="691"/>
      <c r="D744" s="661"/>
      <c r="E744" s="705"/>
      <c r="F744" s="659"/>
      <c r="G744" s="661"/>
      <c r="H744" s="660"/>
      <c r="I744" s="691"/>
      <c r="J744" s="661"/>
      <c r="K744" s="706"/>
      <c r="L744" s="665"/>
      <c r="M744" s="663"/>
      <c r="N744" s="665"/>
      <c r="O744" s="665"/>
      <c r="P744" s="665"/>
      <c r="Q744" s="665"/>
      <c r="R744" s="665"/>
      <c r="S744" s="665"/>
      <c r="T744" s="673"/>
      <c r="U744" s="673"/>
      <c r="V744" s="673"/>
      <c r="W744" s="673"/>
      <c r="X744" s="673"/>
      <c r="Y744" s="673"/>
      <c r="Z744" s="673"/>
      <c r="AA744" s="673"/>
      <c r="AB744" s="673"/>
      <c r="AC744" s="673"/>
      <c r="AD744" s="673"/>
      <c r="AE744" s="673"/>
      <c r="AF744" s="673"/>
      <c r="AG744" s="673"/>
      <c r="AH744" s="673"/>
    </row>
    <row r="745">
      <c r="A745" s="653"/>
      <c r="B745" s="654"/>
      <c r="C745" s="691"/>
      <c r="D745" s="661"/>
      <c r="E745" s="705"/>
      <c r="F745" s="659"/>
      <c r="G745" s="661"/>
      <c r="H745" s="660"/>
      <c r="I745" s="691"/>
      <c r="J745" s="661"/>
      <c r="K745" s="706"/>
      <c r="L745" s="665"/>
      <c r="M745" s="663"/>
      <c r="N745" s="665"/>
      <c r="O745" s="665"/>
      <c r="P745" s="665"/>
      <c r="Q745" s="665"/>
      <c r="R745" s="665"/>
      <c r="S745" s="665"/>
      <c r="T745" s="673"/>
      <c r="U745" s="673"/>
      <c r="V745" s="673"/>
      <c r="W745" s="673"/>
      <c r="X745" s="673"/>
      <c r="Y745" s="673"/>
      <c r="Z745" s="673"/>
      <c r="AA745" s="673"/>
      <c r="AB745" s="673"/>
      <c r="AC745" s="673"/>
      <c r="AD745" s="673"/>
      <c r="AE745" s="673"/>
      <c r="AF745" s="673"/>
      <c r="AG745" s="673"/>
      <c r="AH745" s="673"/>
    </row>
    <row r="746">
      <c r="A746" s="653"/>
      <c r="B746" s="654"/>
      <c r="C746" s="691"/>
      <c r="D746" s="661"/>
      <c r="E746" s="705"/>
      <c r="F746" s="659"/>
      <c r="G746" s="661"/>
      <c r="H746" s="660"/>
      <c r="I746" s="691"/>
      <c r="J746" s="661"/>
      <c r="K746" s="706"/>
      <c r="L746" s="665"/>
      <c r="M746" s="663"/>
      <c r="N746" s="665"/>
      <c r="O746" s="665"/>
      <c r="P746" s="665"/>
      <c r="Q746" s="665"/>
      <c r="R746" s="665"/>
      <c r="S746" s="665"/>
      <c r="T746" s="673"/>
      <c r="U746" s="673"/>
      <c r="V746" s="673"/>
      <c r="W746" s="673"/>
      <c r="X746" s="673"/>
      <c r="Y746" s="673"/>
      <c r="Z746" s="673"/>
      <c r="AA746" s="673"/>
      <c r="AB746" s="673"/>
      <c r="AC746" s="673"/>
      <c r="AD746" s="673"/>
      <c r="AE746" s="673"/>
      <c r="AF746" s="673"/>
      <c r="AG746" s="673"/>
      <c r="AH746" s="673"/>
    </row>
    <row r="747">
      <c r="A747" s="653"/>
      <c r="B747" s="654"/>
      <c r="C747" s="691"/>
      <c r="D747" s="661"/>
      <c r="E747" s="705"/>
      <c r="F747" s="659"/>
      <c r="G747" s="661"/>
      <c r="H747" s="660"/>
      <c r="I747" s="691"/>
      <c r="J747" s="661"/>
      <c r="K747" s="706"/>
      <c r="L747" s="665"/>
      <c r="M747" s="663"/>
      <c r="N747" s="665"/>
      <c r="O747" s="665"/>
      <c r="P747" s="665"/>
      <c r="Q747" s="665"/>
      <c r="R747" s="665"/>
      <c r="S747" s="665"/>
      <c r="T747" s="673"/>
      <c r="U747" s="673"/>
      <c r="V747" s="673"/>
      <c r="W747" s="673"/>
      <c r="X747" s="673"/>
      <c r="Y747" s="673"/>
      <c r="Z747" s="673"/>
      <c r="AA747" s="673"/>
      <c r="AB747" s="673"/>
      <c r="AC747" s="673"/>
      <c r="AD747" s="673"/>
      <c r="AE747" s="673"/>
      <c r="AF747" s="673"/>
      <c r="AG747" s="673"/>
      <c r="AH747" s="673"/>
    </row>
    <row r="748">
      <c r="A748" s="653"/>
      <c r="B748" s="654"/>
      <c r="C748" s="691"/>
      <c r="D748" s="661"/>
      <c r="E748" s="705"/>
      <c r="F748" s="659"/>
      <c r="G748" s="661"/>
      <c r="H748" s="660"/>
      <c r="I748" s="691"/>
      <c r="J748" s="661"/>
      <c r="K748" s="706"/>
      <c r="L748" s="665"/>
      <c r="M748" s="663"/>
      <c r="N748" s="665"/>
      <c r="O748" s="665"/>
      <c r="P748" s="665"/>
      <c r="Q748" s="665"/>
      <c r="R748" s="665"/>
      <c r="S748" s="665"/>
      <c r="T748" s="673"/>
      <c r="U748" s="673"/>
      <c r="V748" s="673"/>
      <c r="W748" s="673"/>
      <c r="X748" s="673"/>
      <c r="Y748" s="673"/>
      <c r="Z748" s="673"/>
      <c r="AA748" s="673"/>
      <c r="AB748" s="673"/>
      <c r="AC748" s="673"/>
      <c r="AD748" s="673"/>
      <c r="AE748" s="673"/>
      <c r="AF748" s="673"/>
      <c r="AG748" s="673"/>
      <c r="AH748" s="673"/>
    </row>
    <row r="749">
      <c r="A749" s="653"/>
      <c r="B749" s="654"/>
      <c r="C749" s="691"/>
      <c r="D749" s="661"/>
      <c r="E749" s="705"/>
      <c r="F749" s="659"/>
      <c r="G749" s="661"/>
      <c r="H749" s="660"/>
      <c r="I749" s="691"/>
      <c r="J749" s="661"/>
      <c r="K749" s="706"/>
      <c r="L749" s="665"/>
      <c r="M749" s="663"/>
      <c r="N749" s="665"/>
      <c r="O749" s="665"/>
      <c r="P749" s="665"/>
      <c r="Q749" s="665"/>
      <c r="R749" s="665"/>
      <c r="S749" s="665"/>
      <c r="T749" s="673"/>
      <c r="U749" s="673"/>
      <c r="V749" s="673"/>
      <c r="W749" s="673"/>
      <c r="X749" s="673"/>
      <c r="Y749" s="673"/>
      <c r="Z749" s="673"/>
      <c r="AA749" s="673"/>
      <c r="AB749" s="673"/>
      <c r="AC749" s="673"/>
      <c r="AD749" s="673"/>
      <c r="AE749" s="673"/>
      <c r="AF749" s="673"/>
      <c r="AG749" s="673"/>
      <c r="AH749" s="673"/>
    </row>
    <row r="750">
      <c r="A750" s="653"/>
      <c r="B750" s="654"/>
      <c r="C750" s="691"/>
      <c r="D750" s="661"/>
      <c r="E750" s="705"/>
      <c r="F750" s="659"/>
      <c r="G750" s="661"/>
      <c r="H750" s="660"/>
      <c r="I750" s="691"/>
      <c r="J750" s="661"/>
      <c r="K750" s="706"/>
      <c r="L750" s="665"/>
      <c r="M750" s="663"/>
      <c r="N750" s="665"/>
      <c r="O750" s="665"/>
      <c r="P750" s="665"/>
      <c r="Q750" s="665"/>
      <c r="R750" s="665"/>
      <c r="S750" s="665"/>
      <c r="T750" s="673"/>
      <c r="U750" s="673"/>
      <c r="V750" s="673"/>
      <c r="W750" s="673"/>
      <c r="X750" s="673"/>
      <c r="Y750" s="673"/>
      <c r="Z750" s="673"/>
      <c r="AA750" s="673"/>
      <c r="AB750" s="673"/>
      <c r="AC750" s="673"/>
      <c r="AD750" s="673"/>
      <c r="AE750" s="673"/>
      <c r="AF750" s="673"/>
      <c r="AG750" s="673"/>
      <c r="AH750" s="673"/>
    </row>
    <row r="751">
      <c r="A751" s="653"/>
      <c r="B751" s="654"/>
      <c r="C751" s="691"/>
      <c r="D751" s="661"/>
      <c r="E751" s="705"/>
      <c r="F751" s="659"/>
      <c r="G751" s="661"/>
      <c r="H751" s="660"/>
      <c r="I751" s="691"/>
      <c r="J751" s="661"/>
      <c r="K751" s="706"/>
      <c r="L751" s="665"/>
      <c r="M751" s="663"/>
      <c r="N751" s="665"/>
      <c r="O751" s="665"/>
      <c r="P751" s="665"/>
      <c r="Q751" s="665"/>
      <c r="R751" s="665"/>
      <c r="S751" s="665"/>
      <c r="T751" s="673"/>
      <c r="U751" s="673"/>
      <c r="V751" s="673"/>
      <c r="W751" s="673"/>
      <c r="X751" s="673"/>
      <c r="Y751" s="673"/>
      <c r="Z751" s="673"/>
      <c r="AA751" s="673"/>
      <c r="AB751" s="673"/>
      <c r="AC751" s="673"/>
      <c r="AD751" s="673"/>
      <c r="AE751" s="673"/>
      <c r="AF751" s="673"/>
      <c r="AG751" s="673"/>
      <c r="AH751" s="673"/>
    </row>
    <row r="752">
      <c r="A752" s="653"/>
      <c r="B752" s="654"/>
      <c r="C752" s="691"/>
      <c r="D752" s="661"/>
      <c r="E752" s="705"/>
      <c r="F752" s="659"/>
      <c r="G752" s="661"/>
      <c r="H752" s="660"/>
      <c r="I752" s="691"/>
      <c r="J752" s="661"/>
      <c r="K752" s="706"/>
      <c r="L752" s="665"/>
      <c r="M752" s="663"/>
      <c r="N752" s="665"/>
      <c r="O752" s="665"/>
      <c r="P752" s="665"/>
      <c r="Q752" s="665"/>
      <c r="R752" s="665"/>
      <c r="S752" s="665"/>
      <c r="T752" s="673"/>
      <c r="U752" s="673"/>
      <c r="V752" s="673"/>
      <c r="W752" s="673"/>
      <c r="X752" s="673"/>
      <c r="Y752" s="673"/>
      <c r="Z752" s="673"/>
      <c r="AA752" s="673"/>
      <c r="AB752" s="673"/>
      <c r="AC752" s="673"/>
      <c r="AD752" s="673"/>
      <c r="AE752" s="673"/>
      <c r="AF752" s="673"/>
      <c r="AG752" s="673"/>
      <c r="AH752" s="673"/>
    </row>
    <row r="753">
      <c r="A753" s="653"/>
      <c r="B753" s="654"/>
      <c r="C753" s="691"/>
      <c r="D753" s="661"/>
      <c r="E753" s="705"/>
      <c r="F753" s="659"/>
      <c r="G753" s="661"/>
      <c r="H753" s="660"/>
      <c r="I753" s="691"/>
      <c r="J753" s="661"/>
      <c r="K753" s="706"/>
      <c r="L753" s="665"/>
      <c r="M753" s="663"/>
      <c r="N753" s="665"/>
      <c r="O753" s="665"/>
      <c r="P753" s="665"/>
      <c r="Q753" s="665"/>
      <c r="R753" s="665"/>
      <c r="S753" s="665"/>
      <c r="T753" s="673"/>
      <c r="U753" s="673"/>
      <c r="V753" s="673"/>
      <c r="W753" s="673"/>
      <c r="X753" s="673"/>
      <c r="Y753" s="673"/>
      <c r="Z753" s="673"/>
      <c r="AA753" s="673"/>
      <c r="AB753" s="673"/>
      <c r="AC753" s="673"/>
      <c r="AD753" s="673"/>
      <c r="AE753" s="673"/>
      <c r="AF753" s="673"/>
      <c r="AG753" s="673"/>
      <c r="AH753" s="673"/>
    </row>
    <row r="754">
      <c r="A754" s="653"/>
      <c r="B754" s="654"/>
      <c r="C754" s="691"/>
      <c r="D754" s="661"/>
      <c r="E754" s="705"/>
      <c r="F754" s="659"/>
      <c r="G754" s="661"/>
      <c r="H754" s="660"/>
      <c r="I754" s="691"/>
      <c r="J754" s="661"/>
      <c r="K754" s="706"/>
      <c r="L754" s="665"/>
      <c r="M754" s="663"/>
      <c r="N754" s="665"/>
      <c r="O754" s="665"/>
      <c r="P754" s="665"/>
      <c r="Q754" s="665"/>
      <c r="R754" s="665"/>
      <c r="S754" s="665"/>
      <c r="T754" s="673"/>
      <c r="U754" s="673"/>
      <c r="V754" s="673"/>
      <c r="W754" s="673"/>
      <c r="X754" s="673"/>
      <c r="Y754" s="673"/>
      <c r="Z754" s="673"/>
      <c r="AA754" s="673"/>
      <c r="AB754" s="673"/>
      <c r="AC754" s="673"/>
      <c r="AD754" s="673"/>
      <c r="AE754" s="673"/>
      <c r="AF754" s="673"/>
      <c r="AG754" s="673"/>
      <c r="AH754" s="673"/>
    </row>
    <row r="755">
      <c r="A755" s="653"/>
      <c r="B755" s="654"/>
      <c r="C755" s="691"/>
      <c r="D755" s="661"/>
      <c r="E755" s="705"/>
      <c r="F755" s="659"/>
      <c r="G755" s="661"/>
      <c r="H755" s="660"/>
      <c r="I755" s="691"/>
      <c r="J755" s="661"/>
      <c r="K755" s="706"/>
      <c r="L755" s="665"/>
      <c r="M755" s="663"/>
      <c r="N755" s="665"/>
      <c r="O755" s="665"/>
      <c r="P755" s="665"/>
      <c r="Q755" s="665"/>
      <c r="R755" s="665"/>
      <c r="S755" s="665"/>
      <c r="T755" s="673"/>
      <c r="U755" s="673"/>
      <c r="V755" s="673"/>
      <c r="W755" s="673"/>
      <c r="X755" s="673"/>
      <c r="Y755" s="673"/>
      <c r="Z755" s="673"/>
      <c r="AA755" s="673"/>
      <c r="AB755" s="673"/>
      <c r="AC755" s="673"/>
      <c r="AD755" s="673"/>
      <c r="AE755" s="673"/>
      <c r="AF755" s="673"/>
      <c r="AG755" s="673"/>
      <c r="AH755" s="673"/>
    </row>
    <row r="756">
      <c r="A756" s="653"/>
      <c r="B756" s="654"/>
      <c r="C756" s="691"/>
      <c r="D756" s="661"/>
      <c r="E756" s="705"/>
      <c r="F756" s="659"/>
      <c r="G756" s="661"/>
      <c r="H756" s="660"/>
      <c r="I756" s="691"/>
      <c r="J756" s="661"/>
      <c r="K756" s="706"/>
      <c r="L756" s="665"/>
      <c r="M756" s="663"/>
      <c r="N756" s="665"/>
      <c r="O756" s="665"/>
      <c r="P756" s="665"/>
      <c r="Q756" s="665"/>
      <c r="R756" s="665"/>
      <c r="S756" s="665"/>
      <c r="T756" s="673"/>
      <c r="U756" s="673"/>
      <c r="V756" s="673"/>
      <c r="W756" s="673"/>
      <c r="X756" s="673"/>
      <c r="Y756" s="673"/>
      <c r="Z756" s="673"/>
      <c r="AA756" s="673"/>
      <c r="AB756" s="673"/>
      <c r="AC756" s="673"/>
      <c r="AD756" s="673"/>
      <c r="AE756" s="673"/>
      <c r="AF756" s="673"/>
      <c r="AG756" s="673"/>
      <c r="AH756" s="673"/>
    </row>
    <row r="757">
      <c r="A757" s="653"/>
      <c r="B757" s="654"/>
      <c r="C757" s="691"/>
      <c r="D757" s="661"/>
      <c r="E757" s="705"/>
      <c r="F757" s="659"/>
      <c r="G757" s="661"/>
      <c r="H757" s="660"/>
      <c r="I757" s="691"/>
      <c r="J757" s="661"/>
      <c r="K757" s="706"/>
      <c r="L757" s="665"/>
      <c r="M757" s="663"/>
      <c r="N757" s="665"/>
      <c r="O757" s="665"/>
      <c r="P757" s="665"/>
      <c r="Q757" s="665"/>
      <c r="R757" s="665"/>
      <c r="S757" s="665"/>
      <c r="T757" s="673"/>
      <c r="U757" s="673"/>
      <c r="V757" s="673"/>
      <c r="W757" s="673"/>
      <c r="X757" s="673"/>
      <c r="Y757" s="673"/>
      <c r="Z757" s="673"/>
      <c r="AA757" s="673"/>
      <c r="AB757" s="673"/>
      <c r="AC757" s="673"/>
      <c r="AD757" s="673"/>
      <c r="AE757" s="673"/>
      <c r="AF757" s="673"/>
      <c r="AG757" s="673"/>
      <c r="AH757" s="673"/>
    </row>
    <row r="758">
      <c r="A758" s="653"/>
      <c r="B758" s="654"/>
      <c r="C758" s="691"/>
      <c r="D758" s="661"/>
      <c r="E758" s="705"/>
      <c r="F758" s="659"/>
      <c r="G758" s="661"/>
      <c r="H758" s="660"/>
      <c r="I758" s="691"/>
      <c r="J758" s="661"/>
      <c r="K758" s="706"/>
      <c r="L758" s="665"/>
      <c r="M758" s="663"/>
      <c r="N758" s="665"/>
      <c r="O758" s="665"/>
      <c r="P758" s="665"/>
      <c r="Q758" s="665"/>
      <c r="R758" s="665"/>
      <c r="S758" s="665"/>
      <c r="T758" s="673"/>
      <c r="U758" s="673"/>
      <c r="V758" s="673"/>
      <c r="W758" s="673"/>
      <c r="X758" s="673"/>
      <c r="Y758" s="673"/>
      <c r="Z758" s="673"/>
      <c r="AA758" s="673"/>
      <c r="AB758" s="673"/>
      <c r="AC758" s="673"/>
      <c r="AD758" s="673"/>
      <c r="AE758" s="673"/>
      <c r="AF758" s="673"/>
      <c r="AG758" s="673"/>
      <c r="AH758" s="673"/>
    </row>
    <row r="759">
      <c r="A759" s="653"/>
      <c r="B759" s="654"/>
      <c r="C759" s="691"/>
      <c r="D759" s="661"/>
      <c r="E759" s="705"/>
      <c r="F759" s="659"/>
      <c r="G759" s="661"/>
      <c r="H759" s="660"/>
      <c r="I759" s="691"/>
      <c r="J759" s="661"/>
      <c r="K759" s="706"/>
      <c r="L759" s="665"/>
      <c r="M759" s="663"/>
      <c r="N759" s="665"/>
      <c r="O759" s="665"/>
      <c r="P759" s="665"/>
      <c r="Q759" s="665"/>
      <c r="R759" s="665"/>
      <c r="S759" s="665"/>
      <c r="T759" s="673"/>
      <c r="U759" s="673"/>
      <c r="V759" s="673"/>
      <c r="W759" s="673"/>
      <c r="X759" s="673"/>
      <c r="Y759" s="673"/>
      <c r="Z759" s="673"/>
      <c r="AA759" s="673"/>
      <c r="AB759" s="673"/>
      <c r="AC759" s="673"/>
      <c r="AD759" s="673"/>
      <c r="AE759" s="673"/>
      <c r="AF759" s="673"/>
      <c r="AG759" s="673"/>
      <c r="AH759" s="673"/>
    </row>
    <row r="760">
      <c r="A760" s="653"/>
      <c r="B760" s="654"/>
      <c r="C760" s="691"/>
      <c r="D760" s="661"/>
      <c r="E760" s="705"/>
      <c r="F760" s="659"/>
      <c r="G760" s="661"/>
      <c r="H760" s="660"/>
      <c r="I760" s="691"/>
      <c r="J760" s="661"/>
      <c r="K760" s="706"/>
      <c r="L760" s="665"/>
      <c r="M760" s="663"/>
      <c r="N760" s="665"/>
      <c r="O760" s="665"/>
      <c r="P760" s="665"/>
      <c r="Q760" s="665"/>
      <c r="R760" s="665"/>
      <c r="S760" s="665"/>
      <c r="T760" s="673"/>
      <c r="U760" s="673"/>
      <c r="V760" s="673"/>
      <c r="W760" s="673"/>
      <c r="X760" s="673"/>
      <c r="Y760" s="673"/>
      <c r="Z760" s="673"/>
      <c r="AA760" s="673"/>
      <c r="AB760" s="673"/>
      <c r="AC760" s="673"/>
      <c r="AD760" s="673"/>
      <c r="AE760" s="673"/>
      <c r="AF760" s="673"/>
      <c r="AG760" s="673"/>
      <c r="AH760" s="673"/>
    </row>
    <row r="761">
      <c r="A761" s="653"/>
      <c r="B761" s="654"/>
      <c r="C761" s="691"/>
      <c r="D761" s="661"/>
      <c r="E761" s="705"/>
      <c r="F761" s="659"/>
      <c r="G761" s="661"/>
      <c r="H761" s="660"/>
      <c r="I761" s="691"/>
      <c r="J761" s="661"/>
      <c r="K761" s="706"/>
      <c r="L761" s="665"/>
      <c r="M761" s="663"/>
      <c r="N761" s="665"/>
      <c r="O761" s="665"/>
      <c r="P761" s="665"/>
      <c r="Q761" s="665"/>
      <c r="R761" s="665"/>
      <c r="S761" s="665"/>
      <c r="T761" s="673"/>
      <c r="U761" s="673"/>
      <c r="V761" s="673"/>
      <c r="W761" s="673"/>
      <c r="X761" s="673"/>
      <c r="Y761" s="673"/>
      <c r="Z761" s="673"/>
      <c r="AA761" s="673"/>
      <c r="AB761" s="673"/>
      <c r="AC761" s="673"/>
      <c r="AD761" s="673"/>
      <c r="AE761" s="673"/>
      <c r="AF761" s="673"/>
      <c r="AG761" s="673"/>
      <c r="AH761" s="673"/>
    </row>
    <row r="762">
      <c r="A762" s="653"/>
      <c r="B762" s="654"/>
      <c r="C762" s="691"/>
      <c r="D762" s="661"/>
      <c r="E762" s="705"/>
      <c r="F762" s="659"/>
      <c r="G762" s="661"/>
      <c r="H762" s="660"/>
      <c r="I762" s="691"/>
      <c r="J762" s="661"/>
      <c r="K762" s="706"/>
      <c r="L762" s="665"/>
      <c r="M762" s="663"/>
      <c r="N762" s="665"/>
      <c r="O762" s="665"/>
      <c r="P762" s="665"/>
      <c r="Q762" s="665"/>
      <c r="R762" s="665"/>
      <c r="S762" s="665"/>
      <c r="T762" s="673"/>
      <c r="U762" s="673"/>
      <c r="V762" s="673"/>
      <c r="W762" s="673"/>
      <c r="X762" s="673"/>
      <c r="Y762" s="673"/>
      <c r="Z762" s="673"/>
      <c r="AA762" s="673"/>
      <c r="AB762" s="673"/>
      <c r="AC762" s="673"/>
      <c r="AD762" s="673"/>
      <c r="AE762" s="673"/>
      <c r="AF762" s="673"/>
      <c r="AG762" s="673"/>
      <c r="AH762" s="673"/>
    </row>
    <row r="763">
      <c r="A763" s="653"/>
      <c r="B763" s="654"/>
      <c r="C763" s="691"/>
      <c r="D763" s="661"/>
      <c r="E763" s="705"/>
      <c r="F763" s="659"/>
      <c r="G763" s="661"/>
      <c r="H763" s="660"/>
      <c r="I763" s="691"/>
      <c r="J763" s="661"/>
      <c r="K763" s="706"/>
      <c r="L763" s="665"/>
      <c r="M763" s="663"/>
      <c r="N763" s="665"/>
      <c r="O763" s="665"/>
      <c r="P763" s="665"/>
      <c r="Q763" s="665"/>
      <c r="R763" s="665"/>
      <c r="S763" s="665"/>
      <c r="T763" s="673"/>
      <c r="U763" s="673"/>
      <c r="V763" s="673"/>
      <c r="W763" s="673"/>
      <c r="X763" s="673"/>
      <c r="Y763" s="673"/>
      <c r="Z763" s="673"/>
      <c r="AA763" s="673"/>
      <c r="AB763" s="673"/>
      <c r="AC763" s="673"/>
      <c r="AD763" s="673"/>
      <c r="AE763" s="673"/>
      <c r="AF763" s="673"/>
      <c r="AG763" s="673"/>
      <c r="AH763" s="673"/>
    </row>
    <row r="764">
      <c r="A764" s="653"/>
      <c r="B764" s="654"/>
      <c r="C764" s="691"/>
      <c r="D764" s="661"/>
      <c r="E764" s="705"/>
      <c r="F764" s="659"/>
      <c r="G764" s="661"/>
      <c r="H764" s="660"/>
      <c r="I764" s="691"/>
      <c r="J764" s="661"/>
      <c r="K764" s="706"/>
      <c r="L764" s="665"/>
      <c r="M764" s="663"/>
      <c r="N764" s="665"/>
      <c r="O764" s="665"/>
      <c r="P764" s="665"/>
      <c r="Q764" s="665"/>
      <c r="R764" s="665"/>
      <c r="S764" s="665"/>
      <c r="T764" s="673"/>
      <c r="U764" s="673"/>
      <c r="V764" s="673"/>
      <c r="W764" s="673"/>
      <c r="X764" s="673"/>
      <c r="Y764" s="673"/>
      <c r="Z764" s="673"/>
      <c r="AA764" s="673"/>
      <c r="AB764" s="673"/>
      <c r="AC764" s="673"/>
      <c r="AD764" s="673"/>
      <c r="AE764" s="673"/>
      <c r="AF764" s="673"/>
      <c r="AG764" s="673"/>
      <c r="AH764" s="673"/>
    </row>
    <row r="765">
      <c r="A765" s="653"/>
      <c r="B765" s="654"/>
      <c r="C765" s="691"/>
      <c r="D765" s="661"/>
      <c r="E765" s="705"/>
      <c r="F765" s="659"/>
      <c r="G765" s="661"/>
      <c r="H765" s="660"/>
      <c r="I765" s="691"/>
      <c r="J765" s="661"/>
      <c r="K765" s="706"/>
      <c r="L765" s="665"/>
      <c r="M765" s="663"/>
      <c r="N765" s="665"/>
      <c r="O765" s="665"/>
      <c r="P765" s="665"/>
      <c r="Q765" s="665"/>
      <c r="R765" s="665"/>
      <c r="S765" s="665"/>
      <c r="T765" s="673"/>
      <c r="U765" s="673"/>
      <c r="V765" s="673"/>
      <c r="W765" s="673"/>
      <c r="X765" s="673"/>
      <c r="Y765" s="673"/>
      <c r="Z765" s="673"/>
      <c r="AA765" s="673"/>
      <c r="AB765" s="673"/>
      <c r="AC765" s="673"/>
      <c r="AD765" s="673"/>
      <c r="AE765" s="673"/>
      <c r="AF765" s="673"/>
      <c r="AG765" s="673"/>
      <c r="AH765" s="673"/>
    </row>
    <row r="766">
      <c r="A766" s="653"/>
      <c r="B766" s="654"/>
      <c r="C766" s="691"/>
      <c r="D766" s="661"/>
      <c r="E766" s="705"/>
      <c r="F766" s="659"/>
      <c r="G766" s="661"/>
      <c r="H766" s="660"/>
      <c r="I766" s="691"/>
      <c r="J766" s="661"/>
      <c r="K766" s="706"/>
      <c r="L766" s="665"/>
      <c r="M766" s="663"/>
      <c r="N766" s="665"/>
      <c r="O766" s="665"/>
      <c r="P766" s="665"/>
      <c r="Q766" s="665"/>
      <c r="R766" s="665"/>
      <c r="S766" s="665"/>
      <c r="T766" s="673"/>
      <c r="U766" s="673"/>
      <c r="V766" s="673"/>
      <c r="W766" s="673"/>
      <c r="X766" s="673"/>
      <c r="Y766" s="673"/>
      <c r="Z766" s="673"/>
      <c r="AA766" s="673"/>
      <c r="AB766" s="673"/>
      <c r="AC766" s="673"/>
      <c r="AD766" s="673"/>
      <c r="AE766" s="673"/>
      <c r="AF766" s="673"/>
      <c r="AG766" s="673"/>
      <c r="AH766" s="673"/>
    </row>
    <row r="767">
      <c r="A767" s="653"/>
      <c r="B767" s="654"/>
      <c r="C767" s="691"/>
      <c r="D767" s="661"/>
      <c r="E767" s="705"/>
      <c r="F767" s="659"/>
      <c r="G767" s="661"/>
      <c r="H767" s="660"/>
      <c r="I767" s="691"/>
      <c r="J767" s="661"/>
      <c r="K767" s="706"/>
      <c r="L767" s="665"/>
      <c r="M767" s="663"/>
      <c r="N767" s="665"/>
      <c r="O767" s="665"/>
      <c r="P767" s="665"/>
      <c r="Q767" s="665"/>
      <c r="R767" s="665"/>
      <c r="S767" s="665"/>
      <c r="T767" s="673"/>
      <c r="U767" s="673"/>
      <c r="V767" s="673"/>
      <c r="W767" s="673"/>
      <c r="X767" s="673"/>
      <c r="Y767" s="673"/>
      <c r="Z767" s="673"/>
      <c r="AA767" s="673"/>
      <c r="AB767" s="673"/>
      <c r="AC767" s="673"/>
      <c r="AD767" s="673"/>
      <c r="AE767" s="673"/>
      <c r="AF767" s="673"/>
      <c r="AG767" s="673"/>
      <c r="AH767" s="673"/>
    </row>
    <row r="768">
      <c r="A768" s="653"/>
      <c r="B768" s="654"/>
      <c r="C768" s="691"/>
      <c r="D768" s="661"/>
      <c r="E768" s="705"/>
      <c r="F768" s="659"/>
      <c r="G768" s="661"/>
      <c r="H768" s="660"/>
      <c r="I768" s="691"/>
      <c r="J768" s="661"/>
      <c r="K768" s="706"/>
      <c r="L768" s="665"/>
      <c r="M768" s="663"/>
      <c r="N768" s="665"/>
      <c r="O768" s="665"/>
      <c r="P768" s="665"/>
      <c r="Q768" s="665"/>
      <c r="R768" s="665"/>
      <c r="S768" s="665"/>
      <c r="T768" s="673"/>
      <c r="U768" s="673"/>
      <c r="V768" s="673"/>
      <c r="W768" s="673"/>
      <c r="X768" s="673"/>
      <c r="Y768" s="673"/>
      <c r="Z768" s="673"/>
      <c r="AA768" s="673"/>
      <c r="AB768" s="673"/>
      <c r="AC768" s="673"/>
      <c r="AD768" s="673"/>
      <c r="AE768" s="673"/>
      <c r="AF768" s="673"/>
      <c r="AG768" s="673"/>
      <c r="AH768" s="673"/>
    </row>
    <row r="769">
      <c r="A769" s="653"/>
      <c r="B769" s="654"/>
      <c r="C769" s="691"/>
      <c r="D769" s="661"/>
      <c r="E769" s="705"/>
      <c r="F769" s="659"/>
      <c r="G769" s="661"/>
      <c r="H769" s="660"/>
      <c r="I769" s="691"/>
      <c r="J769" s="661"/>
      <c r="K769" s="706"/>
      <c r="L769" s="665"/>
      <c r="M769" s="663"/>
      <c r="N769" s="665"/>
      <c r="O769" s="665"/>
      <c r="P769" s="665"/>
      <c r="Q769" s="665"/>
      <c r="R769" s="665"/>
      <c r="S769" s="665"/>
      <c r="T769" s="673"/>
      <c r="U769" s="673"/>
      <c r="V769" s="673"/>
      <c r="W769" s="673"/>
      <c r="X769" s="673"/>
      <c r="Y769" s="673"/>
      <c r="Z769" s="673"/>
      <c r="AA769" s="673"/>
      <c r="AB769" s="673"/>
      <c r="AC769" s="673"/>
      <c r="AD769" s="673"/>
      <c r="AE769" s="673"/>
      <c r="AF769" s="673"/>
      <c r="AG769" s="673"/>
      <c r="AH769" s="673"/>
    </row>
    <row r="770">
      <c r="A770" s="653"/>
      <c r="B770" s="654"/>
      <c r="C770" s="691"/>
      <c r="D770" s="661"/>
      <c r="E770" s="705"/>
      <c r="F770" s="659"/>
      <c r="G770" s="661"/>
      <c r="H770" s="660"/>
      <c r="I770" s="691"/>
      <c r="J770" s="661"/>
      <c r="K770" s="706"/>
      <c r="L770" s="665"/>
      <c r="M770" s="663"/>
      <c r="N770" s="665"/>
      <c r="O770" s="665"/>
      <c r="P770" s="665"/>
      <c r="Q770" s="665"/>
      <c r="R770" s="665"/>
      <c r="S770" s="665"/>
      <c r="T770" s="673"/>
      <c r="U770" s="673"/>
      <c r="V770" s="673"/>
      <c r="W770" s="673"/>
      <c r="X770" s="673"/>
      <c r="Y770" s="673"/>
      <c r="Z770" s="673"/>
      <c r="AA770" s="673"/>
      <c r="AB770" s="673"/>
      <c r="AC770" s="673"/>
      <c r="AD770" s="673"/>
      <c r="AE770" s="673"/>
      <c r="AF770" s="673"/>
      <c r="AG770" s="673"/>
      <c r="AH770" s="673"/>
    </row>
    <row r="771">
      <c r="A771" s="653"/>
      <c r="B771" s="654"/>
      <c r="C771" s="691"/>
      <c r="D771" s="661"/>
      <c r="E771" s="705"/>
      <c r="F771" s="659"/>
      <c r="G771" s="661"/>
      <c r="H771" s="660"/>
      <c r="I771" s="691"/>
      <c r="J771" s="661"/>
      <c r="K771" s="706"/>
      <c r="L771" s="665"/>
      <c r="M771" s="663"/>
      <c r="N771" s="665"/>
      <c r="O771" s="665"/>
      <c r="P771" s="665"/>
      <c r="Q771" s="665"/>
      <c r="R771" s="665"/>
      <c r="S771" s="665"/>
      <c r="T771" s="673"/>
      <c r="U771" s="673"/>
      <c r="V771" s="673"/>
      <c r="W771" s="673"/>
      <c r="X771" s="673"/>
      <c r="Y771" s="673"/>
      <c r="Z771" s="673"/>
      <c r="AA771" s="673"/>
      <c r="AB771" s="673"/>
      <c r="AC771" s="673"/>
      <c r="AD771" s="673"/>
      <c r="AE771" s="673"/>
      <c r="AF771" s="673"/>
      <c r="AG771" s="673"/>
      <c r="AH771" s="673"/>
    </row>
    <row r="772">
      <c r="A772" s="653"/>
      <c r="B772" s="654"/>
      <c r="C772" s="691"/>
      <c r="D772" s="661"/>
      <c r="E772" s="705"/>
      <c r="F772" s="659"/>
      <c r="G772" s="661"/>
      <c r="H772" s="660"/>
      <c r="I772" s="691"/>
      <c r="J772" s="661"/>
      <c r="K772" s="706"/>
      <c r="L772" s="665"/>
      <c r="M772" s="663"/>
      <c r="N772" s="665"/>
      <c r="O772" s="665"/>
      <c r="P772" s="665"/>
      <c r="Q772" s="665"/>
      <c r="R772" s="665"/>
      <c r="S772" s="665"/>
      <c r="T772" s="673"/>
      <c r="U772" s="673"/>
      <c r="V772" s="673"/>
      <c r="W772" s="673"/>
      <c r="X772" s="673"/>
      <c r="Y772" s="673"/>
      <c r="Z772" s="673"/>
      <c r="AA772" s="673"/>
      <c r="AB772" s="673"/>
      <c r="AC772" s="673"/>
      <c r="AD772" s="673"/>
      <c r="AE772" s="673"/>
      <c r="AF772" s="673"/>
      <c r="AG772" s="673"/>
      <c r="AH772" s="673"/>
    </row>
    <row r="773">
      <c r="A773" s="653"/>
      <c r="B773" s="654"/>
      <c r="C773" s="691"/>
      <c r="D773" s="661"/>
      <c r="E773" s="705"/>
      <c r="F773" s="659"/>
      <c r="G773" s="661"/>
      <c r="H773" s="660"/>
      <c r="I773" s="691"/>
      <c r="J773" s="661"/>
      <c r="K773" s="706"/>
      <c r="L773" s="665"/>
      <c r="M773" s="663"/>
      <c r="N773" s="665"/>
      <c r="O773" s="665"/>
      <c r="P773" s="665"/>
      <c r="Q773" s="665"/>
      <c r="R773" s="665"/>
      <c r="S773" s="665"/>
      <c r="T773" s="673"/>
      <c r="U773" s="673"/>
      <c r="V773" s="673"/>
      <c r="W773" s="673"/>
      <c r="X773" s="673"/>
      <c r="Y773" s="673"/>
      <c r="Z773" s="673"/>
      <c r="AA773" s="673"/>
      <c r="AB773" s="673"/>
      <c r="AC773" s="673"/>
      <c r="AD773" s="673"/>
      <c r="AE773" s="673"/>
      <c r="AF773" s="673"/>
      <c r="AG773" s="673"/>
      <c r="AH773" s="673"/>
    </row>
    <row r="774">
      <c r="A774" s="653"/>
      <c r="B774" s="654"/>
      <c r="C774" s="691"/>
      <c r="D774" s="661"/>
      <c r="E774" s="705"/>
      <c r="F774" s="659"/>
      <c r="G774" s="661"/>
      <c r="H774" s="660"/>
      <c r="I774" s="691"/>
      <c r="J774" s="661"/>
      <c r="K774" s="706"/>
      <c r="L774" s="665"/>
      <c r="M774" s="663"/>
      <c r="N774" s="665"/>
      <c r="O774" s="665"/>
      <c r="P774" s="665"/>
      <c r="Q774" s="665"/>
      <c r="R774" s="665"/>
      <c r="S774" s="665"/>
      <c r="T774" s="673"/>
      <c r="U774" s="673"/>
      <c r="V774" s="673"/>
      <c r="W774" s="673"/>
      <c r="X774" s="673"/>
      <c r="Y774" s="673"/>
      <c r="Z774" s="673"/>
      <c r="AA774" s="673"/>
      <c r="AB774" s="673"/>
      <c r="AC774" s="673"/>
      <c r="AD774" s="673"/>
      <c r="AE774" s="673"/>
      <c r="AF774" s="673"/>
      <c r="AG774" s="673"/>
      <c r="AH774" s="673"/>
    </row>
    <row r="775">
      <c r="A775" s="653"/>
      <c r="B775" s="654"/>
      <c r="C775" s="691"/>
      <c r="D775" s="661"/>
      <c r="E775" s="705"/>
      <c r="F775" s="659"/>
      <c r="G775" s="661"/>
      <c r="H775" s="660"/>
      <c r="I775" s="691"/>
      <c r="J775" s="661"/>
      <c r="K775" s="706"/>
      <c r="L775" s="665"/>
      <c r="M775" s="663"/>
      <c r="N775" s="665"/>
      <c r="O775" s="665"/>
      <c r="P775" s="665"/>
      <c r="Q775" s="665"/>
      <c r="R775" s="665"/>
      <c r="S775" s="665"/>
      <c r="T775" s="673"/>
      <c r="U775" s="673"/>
      <c r="V775" s="673"/>
      <c r="W775" s="673"/>
      <c r="X775" s="673"/>
      <c r="Y775" s="673"/>
      <c r="Z775" s="673"/>
      <c r="AA775" s="673"/>
      <c r="AB775" s="673"/>
      <c r="AC775" s="673"/>
      <c r="AD775" s="673"/>
      <c r="AE775" s="673"/>
      <c r="AF775" s="673"/>
      <c r="AG775" s="673"/>
      <c r="AH775" s="673"/>
    </row>
    <row r="776">
      <c r="A776" s="653"/>
      <c r="B776" s="654"/>
      <c r="C776" s="691"/>
      <c r="D776" s="661"/>
      <c r="E776" s="705"/>
      <c r="F776" s="659"/>
      <c r="G776" s="661"/>
      <c r="H776" s="660"/>
      <c r="I776" s="691"/>
      <c r="J776" s="661"/>
      <c r="K776" s="706"/>
      <c r="L776" s="665"/>
      <c r="M776" s="663"/>
      <c r="N776" s="665"/>
      <c r="O776" s="665"/>
      <c r="P776" s="665"/>
      <c r="Q776" s="665"/>
      <c r="R776" s="665"/>
      <c r="S776" s="665"/>
      <c r="T776" s="673"/>
      <c r="U776" s="673"/>
      <c r="V776" s="673"/>
      <c r="W776" s="673"/>
      <c r="X776" s="673"/>
      <c r="Y776" s="673"/>
      <c r="Z776" s="673"/>
      <c r="AA776" s="673"/>
      <c r="AB776" s="673"/>
      <c r="AC776" s="673"/>
      <c r="AD776" s="673"/>
      <c r="AE776" s="673"/>
      <c r="AF776" s="673"/>
      <c r="AG776" s="673"/>
      <c r="AH776" s="673"/>
    </row>
    <row r="777">
      <c r="A777" s="653"/>
      <c r="B777" s="654"/>
      <c r="C777" s="691"/>
      <c r="D777" s="661"/>
      <c r="E777" s="705"/>
      <c r="F777" s="659"/>
      <c r="G777" s="661"/>
      <c r="H777" s="660"/>
      <c r="I777" s="691"/>
      <c r="J777" s="661"/>
      <c r="K777" s="706"/>
      <c r="L777" s="665"/>
      <c r="M777" s="663"/>
      <c r="N777" s="665"/>
      <c r="O777" s="665"/>
      <c r="P777" s="665"/>
      <c r="Q777" s="665"/>
      <c r="R777" s="665"/>
      <c r="S777" s="665"/>
      <c r="T777" s="673"/>
      <c r="U777" s="673"/>
      <c r="V777" s="673"/>
      <c r="W777" s="673"/>
      <c r="X777" s="673"/>
      <c r="Y777" s="673"/>
      <c r="Z777" s="673"/>
      <c r="AA777" s="673"/>
      <c r="AB777" s="673"/>
      <c r="AC777" s="673"/>
      <c r="AD777" s="673"/>
      <c r="AE777" s="673"/>
      <c r="AF777" s="673"/>
      <c r="AG777" s="673"/>
      <c r="AH777" s="673"/>
    </row>
    <row r="778">
      <c r="A778" s="653"/>
      <c r="B778" s="654"/>
      <c r="C778" s="691"/>
      <c r="D778" s="661"/>
      <c r="E778" s="705"/>
      <c r="F778" s="659"/>
      <c r="G778" s="661"/>
      <c r="H778" s="660"/>
      <c r="I778" s="691"/>
      <c r="J778" s="661"/>
      <c r="K778" s="706"/>
      <c r="L778" s="665"/>
      <c r="M778" s="663"/>
      <c r="N778" s="665"/>
      <c r="O778" s="665"/>
      <c r="P778" s="665"/>
      <c r="Q778" s="665"/>
      <c r="R778" s="665"/>
      <c r="S778" s="665"/>
      <c r="T778" s="673"/>
      <c r="U778" s="673"/>
      <c r="V778" s="673"/>
      <c r="W778" s="673"/>
      <c r="X778" s="673"/>
      <c r="Y778" s="673"/>
      <c r="Z778" s="673"/>
      <c r="AA778" s="673"/>
      <c r="AB778" s="673"/>
      <c r="AC778" s="673"/>
      <c r="AD778" s="673"/>
      <c r="AE778" s="673"/>
      <c r="AF778" s="673"/>
      <c r="AG778" s="673"/>
      <c r="AH778" s="673"/>
    </row>
    <row r="779">
      <c r="A779" s="653"/>
      <c r="B779" s="654"/>
      <c r="C779" s="691"/>
      <c r="D779" s="661"/>
      <c r="E779" s="705"/>
      <c r="F779" s="659"/>
      <c r="G779" s="661"/>
      <c r="H779" s="660"/>
      <c r="I779" s="691"/>
      <c r="J779" s="661"/>
      <c r="K779" s="706"/>
      <c r="L779" s="665"/>
      <c r="M779" s="663"/>
      <c r="N779" s="665"/>
      <c r="O779" s="665"/>
      <c r="P779" s="665"/>
      <c r="Q779" s="665"/>
      <c r="R779" s="665"/>
      <c r="S779" s="665"/>
      <c r="T779" s="673"/>
      <c r="U779" s="673"/>
      <c r="V779" s="673"/>
      <c r="W779" s="673"/>
      <c r="X779" s="673"/>
      <c r="Y779" s="673"/>
      <c r="Z779" s="673"/>
      <c r="AA779" s="673"/>
      <c r="AB779" s="673"/>
      <c r="AC779" s="673"/>
      <c r="AD779" s="673"/>
      <c r="AE779" s="673"/>
      <c r="AF779" s="673"/>
      <c r="AG779" s="673"/>
      <c r="AH779" s="673"/>
    </row>
    <row r="780">
      <c r="A780" s="653"/>
      <c r="B780" s="654"/>
      <c r="C780" s="691"/>
      <c r="D780" s="661"/>
      <c r="E780" s="705"/>
      <c r="F780" s="659"/>
      <c r="G780" s="661"/>
      <c r="H780" s="660"/>
      <c r="I780" s="691"/>
      <c r="J780" s="661"/>
      <c r="K780" s="706"/>
      <c r="L780" s="665"/>
      <c r="M780" s="663"/>
      <c r="N780" s="665"/>
      <c r="O780" s="665"/>
      <c r="P780" s="665"/>
      <c r="Q780" s="665"/>
      <c r="R780" s="665"/>
      <c r="S780" s="665"/>
      <c r="T780" s="673"/>
      <c r="U780" s="673"/>
      <c r="V780" s="673"/>
      <c r="W780" s="673"/>
      <c r="X780" s="673"/>
      <c r="Y780" s="673"/>
      <c r="Z780" s="673"/>
      <c r="AA780" s="673"/>
      <c r="AB780" s="673"/>
      <c r="AC780" s="673"/>
      <c r="AD780" s="673"/>
      <c r="AE780" s="673"/>
      <c r="AF780" s="673"/>
      <c r="AG780" s="673"/>
      <c r="AH780" s="673"/>
    </row>
    <row r="781">
      <c r="A781" s="653"/>
      <c r="B781" s="654"/>
      <c r="C781" s="691"/>
      <c r="D781" s="661"/>
      <c r="E781" s="705"/>
      <c r="F781" s="659"/>
      <c r="G781" s="661"/>
      <c r="H781" s="660"/>
      <c r="I781" s="691"/>
      <c r="J781" s="661"/>
      <c r="K781" s="706"/>
      <c r="L781" s="665"/>
      <c r="M781" s="663"/>
      <c r="N781" s="665"/>
      <c r="O781" s="665"/>
      <c r="P781" s="665"/>
      <c r="Q781" s="665"/>
      <c r="R781" s="665"/>
      <c r="S781" s="665"/>
      <c r="T781" s="673"/>
      <c r="U781" s="673"/>
      <c r="V781" s="673"/>
      <c r="W781" s="673"/>
      <c r="X781" s="673"/>
      <c r="Y781" s="673"/>
      <c r="Z781" s="673"/>
      <c r="AA781" s="673"/>
      <c r="AB781" s="673"/>
      <c r="AC781" s="673"/>
      <c r="AD781" s="673"/>
      <c r="AE781" s="673"/>
      <c r="AF781" s="673"/>
      <c r="AG781" s="673"/>
      <c r="AH781" s="673"/>
    </row>
    <row r="782">
      <c r="A782" s="653"/>
      <c r="B782" s="654"/>
      <c r="C782" s="691"/>
      <c r="D782" s="661"/>
      <c r="E782" s="705"/>
      <c r="F782" s="659"/>
      <c r="G782" s="661"/>
      <c r="H782" s="660"/>
      <c r="I782" s="691"/>
      <c r="J782" s="661"/>
      <c r="K782" s="706"/>
      <c r="L782" s="665"/>
      <c r="M782" s="663"/>
      <c r="N782" s="665"/>
      <c r="O782" s="665"/>
      <c r="P782" s="665"/>
      <c r="Q782" s="665"/>
      <c r="R782" s="665"/>
      <c r="S782" s="665"/>
      <c r="T782" s="673"/>
      <c r="U782" s="673"/>
      <c r="V782" s="673"/>
      <c r="W782" s="673"/>
      <c r="X782" s="673"/>
      <c r="Y782" s="673"/>
      <c r="Z782" s="673"/>
      <c r="AA782" s="673"/>
      <c r="AB782" s="673"/>
      <c r="AC782" s="673"/>
      <c r="AD782" s="673"/>
      <c r="AE782" s="673"/>
      <c r="AF782" s="673"/>
      <c r="AG782" s="673"/>
      <c r="AH782" s="673"/>
    </row>
    <row r="783">
      <c r="A783" s="653"/>
      <c r="B783" s="654"/>
      <c r="C783" s="691"/>
      <c r="D783" s="661"/>
      <c r="E783" s="705"/>
      <c r="F783" s="659"/>
      <c r="G783" s="661"/>
      <c r="H783" s="660"/>
      <c r="I783" s="691"/>
      <c r="J783" s="661"/>
      <c r="K783" s="706"/>
      <c r="L783" s="665"/>
      <c r="M783" s="663"/>
      <c r="N783" s="665"/>
      <c r="O783" s="665"/>
      <c r="P783" s="665"/>
      <c r="Q783" s="665"/>
      <c r="R783" s="665"/>
      <c r="S783" s="665"/>
      <c r="T783" s="673"/>
      <c r="U783" s="673"/>
      <c r="V783" s="673"/>
      <c r="W783" s="673"/>
      <c r="X783" s="673"/>
      <c r="Y783" s="673"/>
      <c r="Z783" s="673"/>
      <c r="AA783" s="673"/>
      <c r="AB783" s="673"/>
      <c r="AC783" s="673"/>
      <c r="AD783" s="673"/>
      <c r="AE783" s="673"/>
      <c r="AF783" s="673"/>
      <c r="AG783" s="673"/>
      <c r="AH783" s="673"/>
    </row>
    <row r="784">
      <c r="A784" s="653"/>
      <c r="B784" s="654"/>
      <c r="C784" s="691"/>
      <c r="D784" s="661"/>
      <c r="E784" s="705"/>
      <c r="F784" s="659"/>
      <c r="G784" s="661"/>
      <c r="H784" s="660"/>
      <c r="I784" s="691"/>
      <c r="J784" s="661"/>
      <c r="K784" s="706"/>
      <c r="L784" s="665"/>
      <c r="M784" s="663"/>
      <c r="N784" s="665"/>
      <c r="O784" s="665"/>
      <c r="P784" s="665"/>
      <c r="Q784" s="665"/>
      <c r="R784" s="665"/>
      <c r="S784" s="665"/>
      <c r="T784" s="673"/>
      <c r="U784" s="673"/>
      <c r="V784" s="673"/>
      <c r="W784" s="673"/>
      <c r="X784" s="673"/>
      <c r="Y784" s="673"/>
      <c r="Z784" s="673"/>
      <c r="AA784" s="673"/>
      <c r="AB784" s="673"/>
      <c r="AC784" s="673"/>
      <c r="AD784" s="673"/>
      <c r="AE784" s="673"/>
      <c r="AF784" s="673"/>
      <c r="AG784" s="673"/>
      <c r="AH784" s="673"/>
    </row>
    <row r="785">
      <c r="A785" s="653"/>
      <c r="B785" s="654"/>
      <c r="C785" s="691"/>
      <c r="D785" s="661"/>
      <c r="E785" s="705"/>
      <c r="F785" s="659"/>
      <c r="G785" s="661"/>
      <c r="H785" s="660"/>
      <c r="I785" s="691"/>
      <c r="J785" s="661"/>
      <c r="K785" s="706"/>
      <c r="L785" s="665"/>
      <c r="M785" s="663"/>
      <c r="N785" s="665"/>
      <c r="O785" s="665"/>
      <c r="P785" s="665"/>
      <c r="Q785" s="665"/>
      <c r="R785" s="665"/>
      <c r="S785" s="665"/>
      <c r="T785" s="673"/>
      <c r="U785" s="673"/>
      <c r="V785" s="673"/>
      <c r="W785" s="673"/>
      <c r="X785" s="673"/>
      <c r="Y785" s="673"/>
      <c r="Z785" s="673"/>
      <c r="AA785" s="673"/>
      <c r="AB785" s="673"/>
      <c r="AC785" s="673"/>
      <c r="AD785" s="673"/>
      <c r="AE785" s="673"/>
      <c r="AF785" s="673"/>
      <c r="AG785" s="673"/>
      <c r="AH785" s="673"/>
    </row>
    <row r="786">
      <c r="A786" s="653"/>
      <c r="B786" s="654"/>
      <c r="C786" s="691"/>
      <c r="D786" s="661"/>
      <c r="E786" s="705"/>
      <c r="F786" s="659"/>
      <c r="G786" s="661"/>
      <c r="H786" s="660"/>
      <c r="I786" s="691"/>
      <c r="J786" s="661"/>
      <c r="K786" s="706"/>
      <c r="L786" s="665"/>
      <c r="M786" s="663"/>
      <c r="N786" s="665"/>
      <c r="O786" s="665"/>
      <c r="P786" s="665"/>
      <c r="Q786" s="665"/>
      <c r="R786" s="665"/>
      <c r="S786" s="665"/>
      <c r="T786" s="673"/>
      <c r="U786" s="673"/>
      <c r="V786" s="673"/>
      <c r="W786" s="673"/>
      <c r="X786" s="673"/>
      <c r="Y786" s="673"/>
      <c r="Z786" s="673"/>
      <c r="AA786" s="673"/>
      <c r="AB786" s="673"/>
      <c r="AC786" s="673"/>
      <c r="AD786" s="673"/>
      <c r="AE786" s="673"/>
      <c r="AF786" s="673"/>
      <c r="AG786" s="673"/>
      <c r="AH786" s="673"/>
    </row>
    <row r="787">
      <c r="A787" s="653"/>
      <c r="B787" s="654"/>
      <c r="C787" s="691"/>
      <c r="D787" s="661"/>
      <c r="E787" s="705"/>
      <c r="F787" s="659"/>
      <c r="G787" s="661"/>
      <c r="H787" s="660"/>
      <c r="I787" s="691"/>
      <c r="J787" s="661"/>
      <c r="K787" s="706"/>
      <c r="L787" s="665"/>
      <c r="M787" s="663"/>
      <c r="N787" s="665"/>
      <c r="O787" s="665"/>
      <c r="P787" s="665"/>
      <c r="Q787" s="665"/>
      <c r="R787" s="665"/>
      <c r="S787" s="665"/>
      <c r="T787" s="673"/>
      <c r="U787" s="673"/>
      <c r="V787" s="673"/>
      <c r="W787" s="673"/>
      <c r="X787" s="673"/>
      <c r="Y787" s="673"/>
      <c r="Z787" s="673"/>
      <c r="AA787" s="673"/>
      <c r="AB787" s="673"/>
      <c r="AC787" s="673"/>
      <c r="AD787" s="673"/>
      <c r="AE787" s="673"/>
      <c r="AF787" s="673"/>
      <c r="AG787" s="673"/>
      <c r="AH787" s="673"/>
    </row>
    <row r="788">
      <c r="A788" s="653"/>
      <c r="B788" s="654"/>
      <c r="C788" s="691"/>
      <c r="D788" s="661"/>
      <c r="E788" s="705"/>
      <c r="F788" s="659"/>
      <c r="G788" s="661"/>
      <c r="H788" s="660"/>
      <c r="I788" s="691"/>
      <c r="J788" s="661"/>
      <c r="K788" s="706"/>
      <c r="L788" s="665"/>
      <c r="M788" s="663"/>
      <c r="N788" s="665"/>
      <c r="O788" s="665"/>
      <c r="P788" s="665"/>
      <c r="Q788" s="665"/>
      <c r="R788" s="665"/>
      <c r="S788" s="665"/>
      <c r="T788" s="673"/>
      <c r="U788" s="673"/>
      <c r="V788" s="673"/>
      <c r="W788" s="673"/>
      <c r="X788" s="673"/>
      <c r="Y788" s="673"/>
      <c r="Z788" s="673"/>
      <c r="AA788" s="673"/>
      <c r="AB788" s="673"/>
      <c r="AC788" s="673"/>
      <c r="AD788" s="673"/>
      <c r="AE788" s="673"/>
      <c r="AF788" s="673"/>
      <c r="AG788" s="673"/>
      <c r="AH788" s="673"/>
    </row>
    <row r="789">
      <c r="A789" s="653"/>
      <c r="B789" s="654"/>
      <c r="C789" s="691"/>
      <c r="D789" s="661"/>
      <c r="E789" s="705"/>
      <c r="F789" s="659"/>
      <c r="G789" s="661"/>
      <c r="H789" s="660"/>
      <c r="I789" s="691"/>
      <c r="J789" s="661"/>
      <c r="K789" s="706"/>
      <c r="L789" s="665"/>
      <c r="M789" s="663"/>
      <c r="N789" s="665"/>
      <c r="O789" s="665"/>
      <c r="P789" s="665"/>
      <c r="Q789" s="665"/>
      <c r="R789" s="665"/>
      <c r="S789" s="665"/>
      <c r="T789" s="673"/>
      <c r="U789" s="673"/>
      <c r="V789" s="673"/>
      <c r="W789" s="673"/>
      <c r="X789" s="673"/>
      <c r="Y789" s="673"/>
      <c r="Z789" s="673"/>
      <c r="AA789" s="673"/>
      <c r="AB789" s="673"/>
      <c r="AC789" s="673"/>
      <c r="AD789" s="673"/>
      <c r="AE789" s="673"/>
      <c r="AF789" s="673"/>
      <c r="AG789" s="673"/>
      <c r="AH789" s="673"/>
    </row>
    <row r="790">
      <c r="A790" s="653"/>
      <c r="B790" s="654"/>
      <c r="C790" s="691"/>
      <c r="D790" s="661"/>
      <c r="E790" s="705"/>
      <c r="F790" s="659"/>
      <c r="G790" s="661"/>
      <c r="H790" s="660"/>
      <c r="I790" s="691"/>
      <c r="J790" s="661"/>
      <c r="K790" s="706"/>
      <c r="L790" s="665"/>
      <c r="M790" s="663"/>
      <c r="N790" s="665"/>
      <c r="O790" s="665"/>
      <c r="P790" s="665"/>
      <c r="Q790" s="665"/>
      <c r="R790" s="665"/>
      <c r="S790" s="665"/>
      <c r="T790" s="673"/>
      <c r="U790" s="673"/>
      <c r="V790" s="673"/>
      <c r="W790" s="673"/>
      <c r="X790" s="673"/>
      <c r="Y790" s="673"/>
      <c r="Z790" s="673"/>
      <c r="AA790" s="673"/>
      <c r="AB790" s="673"/>
      <c r="AC790" s="673"/>
      <c r="AD790" s="673"/>
      <c r="AE790" s="673"/>
      <c r="AF790" s="673"/>
      <c r="AG790" s="673"/>
      <c r="AH790" s="673"/>
    </row>
    <row r="791">
      <c r="A791" s="653"/>
      <c r="B791" s="654"/>
      <c r="C791" s="691"/>
      <c r="D791" s="661"/>
      <c r="E791" s="705"/>
      <c r="F791" s="659"/>
      <c r="G791" s="661"/>
      <c r="H791" s="660"/>
      <c r="I791" s="691"/>
      <c r="J791" s="661"/>
      <c r="K791" s="706"/>
      <c r="L791" s="665"/>
      <c r="M791" s="663"/>
      <c r="N791" s="665"/>
      <c r="O791" s="665"/>
      <c r="P791" s="665"/>
      <c r="Q791" s="665"/>
      <c r="R791" s="665"/>
      <c r="S791" s="665"/>
      <c r="T791" s="673"/>
      <c r="U791" s="673"/>
      <c r="V791" s="673"/>
      <c r="W791" s="673"/>
      <c r="X791" s="673"/>
      <c r="Y791" s="673"/>
      <c r="Z791" s="673"/>
      <c r="AA791" s="673"/>
      <c r="AB791" s="673"/>
      <c r="AC791" s="673"/>
      <c r="AD791" s="673"/>
      <c r="AE791" s="673"/>
      <c r="AF791" s="673"/>
      <c r="AG791" s="673"/>
      <c r="AH791" s="673"/>
    </row>
    <row r="792">
      <c r="A792" s="653"/>
      <c r="B792" s="654"/>
      <c r="C792" s="691"/>
      <c r="D792" s="661"/>
      <c r="E792" s="705"/>
      <c r="F792" s="659"/>
      <c r="G792" s="661"/>
      <c r="H792" s="660"/>
      <c r="I792" s="691"/>
      <c r="J792" s="661"/>
      <c r="K792" s="706"/>
      <c r="L792" s="665"/>
      <c r="M792" s="663"/>
      <c r="N792" s="665"/>
      <c r="O792" s="665"/>
      <c r="P792" s="665"/>
      <c r="Q792" s="665"/>
      <c r="R792" s="665"/>
      <c r="S792" s="665"/>
      <c r="T792" s="673"/>
      <c r="U792" s="673"/>
      <c r="V792" s="673"/>
      <c r="W792" s="673"/>
      <c r="X792" s="673"/>
      <c r="Y792" s="673"/>
      <c r="Z792" s="673"/>
      <c r="AA792" s="673"/>
      <c r="AB792" s="673"/>
      <c r="AC792" s="673"/>
      <c r="AD792" s="673"/>
      <c r="AE792" s="673"/>
      <c r="AF792" s="673"/>
      <c r="AG792" s="673"/>
      <c r="AH792" s="673"/>
    </row>
    <row r="793">
      <c r="A793" s="653"/>
      <c r="B793" s="654"/>
      <c r="C793" s="691"/>
      <c r="D793" s="661"/>
      <c r="E793" s="705"/>
      <c r="F793" s="659"/>
      <c r="G793" s="661"/>
      <c r="H793" s="660"/>
      <c r="I793" s="691"/>
      <c r="J793" s="661"/>
      <c r="K793" s="706"/>
      <c r="L793" s="665"/>
      <c r="M793" s="663"/>
      <c r="N793" s="665"/>
      <c r="O793" s="665"/>
      <c r="P793" s="665"/>
      <c r="Q793" s="665"/>
      <c r="R793" s="665"/>
      <c r="S793" s="665"/>
      <c r="T793" s="673"/>
      <c r="U793" s="673"/>
      <c r="V793" s="673"/>
      <c r="W793" s="673"/>
      <c r="X793" s="673"/>
      <c r="Y793" s="673"/>
      <c r="Z793" s="673"/>
      <c r="AA793" s="673"/>
      <c r="AB793" s="673"/>
      <c r="AC793" s="673"/>
      <c r="AD793" s="673"/>
      <c r="AE793" s="673"/>
      <c r="AF793" s="673"/>
      <c r="AG793" s="673"/>
      <c r="AH793" s="673"/>
    </row>
    <row r="794">
      <c r="A794" s="653"/>
      <c r="B794" s="654"/>
      <c r="C794" s="691"/>
      <c r="D794" s="661"/>
      <c r="E794" s="705"/>
      <c r="F794" s="659"/>
      <c r="G794" s="661"/>
      <c r="H794" s="660"/>
      <c r="I794" s="691"/>
      <c r="J794" s="661"/>
      <c r="K794" s="706"/>
      <c r="L794" s="665"/>
      <c r="M794" s="663"/>
      <c r="N794" s="665"/>
      <c r="O794" s="665"/>
      <c r="P794" s="665"/>
      <c r="Q794" s="665"/>
      <c r="R794" s="665"/>
      <c r="S794" s="665"/>
      <c r="T794" s="673"/>
      <c r="U794" s="673"/>
      <c r="V794" s="673"/>
      <c r="W794" s="673"/>
      <c r="X794" s="673"/>
      <c r="Y794" s="673"/>
      <c r="Z794" s="673"/>
      <c r="AA794" s="673"/>
      <c r="AB794" s="673"/>
      <c r="AC794" s="673"/>
      <c r="AD794" s="673"/>
      <c r="AE794" s="673"/>
      <c r="AF794" s="673"/>
      <c r="AG794" s="673"/>
      <c r="AH794" s="673"/>
    </row>
    <row r="795">
      <c r="A795" s="653"/>
      <c r="B795" s="654"/>
      <c r="C795" s="691"/>
      <c r="D795" s="661"/>
      <c r="E795" s="705"/>
      <c r="F795" s="659"/>
      <c r="G795" s="661"/>
      <c r="H795" s="660"/>
      <c r="I795" s="691"/>
      <c r="J795" s="661"/>
      <c r="K795" s="706"/>
      <c r="L795" s="665"/>
      <c r="M795" s="663"/>
      <c r="N795" s="665"/>
      <c r="O795" s="665"/>
      <c r="P795" s="665"/>
      <c r="Q795" s="665"/>
      <c r="R795" s="665"/>
      <c r="S795" s="665"/>
      <c r="T795" s="673"/>
      <c r="U795" s="673"/>
      <c r="V795" s="673"/>
      <c r="W795" s="673"/>
      <c r="X795" s="673"/>
      <c r="Y795" s="673"/>
      <c r="Z795" s="673"/>
      <c r="AA795" s="673"/>
      <c r="AB795" s="673"/>
      <c r="AC795" s="673"/>
      <c r="AD795" s="673"/>
      <c r="AE795" s="673"/>
      <c r="AF795" s="673"/>
      <c r="AG795" s="673"/>
      <c r="AH795" s="673"/>
    </row>
    <row r="796">
      <c r="A796" s="653"/>
      <c r="B796" s="654"/>
      <c r="C796" s="691"/>
      <c r="D796" s="661"/>
      <c r="E796" s="705"/>
      <c r="F796" s="659"/>
      <c r="G796" s="661"/>
      <c r="H796" s="660"/>
      <c r="I796" s="691"/>
      <c r="J796" s="661"/>
      <c r="K796" s="706"/>
      <c r="L796" s="665"/>
      <c r="M796" s="663"/>
      <c r="N796" s="665"/>
      <c r="O796" s="665"/>
      <c r="P796" s="665"/>
      <c r="Q796" s="665"/>
      <c r="R796" s="665"/>
      <c r="S796" s="665"/>
      <c r="T796" s="673"/>
      <c r="U796" s="673"/>
      <c r="V796" s="673"/>
      <c r="W796" s="673"/>
      <c r="X796" s="673"/>
      <c r="Y796" s="673"/>
      <c r="Z796" s="673"/>
      <c r="AA796" s="673"/>
      <c r="AB796" s="673"/>
      <c r="AC796" s="673"/>
      <c r="AD796" s="673"/>
      <c r="AE796" s="673"/>
      <c r="AF796" s="673"/>
      <c r="AG796" s="673"/>
      <c r="AH796" s="673"/>
    </row>
    <row r="797">
      <c r="A797" s="653"/>
      <c r="B797" s="654"/>
      <c r="C797" s="691"/>
      <c r="D797" s="661"/>
      <c r="E797" s="705"/>
      <c r="F797" s="659"/>
      <c r="G797" s="661"/>
      <c r="H797" s="660"/>
      <c r="I797" s="691"/>
      <c r="J797" s="661"/>
      <c r="K797" s="706"/>
      <c r="L797" s="665"/>
      <c r="M797" s="663"/>
      <c r="N797" s="665"/>
      <c r="O797" s="665"/>
      <c r="P797" s="665"/>
      <c r="Q797" s="665"/>
      <c r="R797" s="665"/>
      <c r="S797" s="665"/>
      <c r="T797" s="673"/>
      <c r="U797" s="673"/>
      <c r="V797" s="673"/>
      <c r="W797" s="673"/>
      <c r="X797" s="673"/>
      <c r="Y797" s="673"/>
      <c r="Z797" s="673"/>
      <c r="AA797" s="673"/>
      <c r="AB797" s="673"/>
      <c r="AC797" s="673"/>
      <c r="AD797" s="673"/>
      <c r="AE797" s="673"/>
      <c r="AF797" s="673"/>
      <c r="AG797" s="673"/>
      <c r="AH797" s="673"/>
    </row>
    <row r="798">
      <c r="A798" s="653"/>
      <c r="B798" s="654"/>
      <c r="C798" s="691"/>
      <c r="D798" s="661"/>
      <c r="E798" s="705"/>
      <c r="F798" s="659"/>
      <c r="G798" s="661"/>
      <c r="H798" s="660"/>
      <c r="I798" s="691"/>
      <c r="J798" s="661"/>
      <c r="K798" s="706"/>
      <c r="L798" s="665"/>
      <c r="M798" s="663"/>
      <c r="N798" s="665"/>
      <c r="O798" s="665"/>
      <c r="P798" s="665"/>
      <c r="Q798" s="665"/>
      <c r="R798" s="665"/>
      <c r="S798" s="665"/>
      <c r="T798" s="673"/>
      <c r="U798" s="673"/>
      <c r="V798" s="673"/>
      <c r="W798" s="673"/>
      <c r="X798" s="673"/>
      <c r="Y798" s="673"/>
      <c r="Z798" s="673"/>
      <c r="AA798" s="673"/>
      <c r="AB798" s="673"/>
      <c r="AC798" s="673"/>
      <c r="AD798" s="673"/>
      <c r="AE798" s="673"/>
      <c r="AF798" s="673"/>
      <c r="AG798" s="673"/>
      <c r="AH798" s="673"/>
    </row>
    <row r="799">
      <c r="A799" s="653"/>
      <c r="B799" s="654"/>
      <c r="C799" s="691"/>
      <c r="D799" s="661"/>
      <c r="E799" s="705"/>
      <c r="F799" s="659"/>
      <c r="G799" s="661"/>
      <c r="H799" s="660"/>
      <c r="I799" s="691"/>
      <c r="J799" s="661"/>
      <c r="K799" s="706"/>
      <c r="L799" s="665"/>
      <c r="M799" s="663"/>
      <c r="N799" s="665"/>
      <c r="O799" s="665"/>
      <c r="P799" s="665"/>
      <c r="Q799" s="665"/>
      <c r="R799" s="665"/>
      <c r="S799" s="665"/>
      <c r="T799" s="673"/>
      <c r="U799" s="673"/>
      <c r="V799" s="673"/>
      <c r="W799" s="673"/>
      <c r="X799" s="673"/>
      <c r="Y799" s="673"/>
      <c r="Z799" s="673"/>
      <c r="AA799" s="673"/>
      <c r="AB799" s="673"/>
      <c r="AC799" s="673"/>
      <c r="AD799" s="673"/>
      <c r="AE799" s="673"/>
      <c r="AF799" s="673"/>
      <c r="AG799" s="673"/>
      <c r="AH799" s="673"/>
    </row>
    <row r="800">
      <c r="A800" s="653"/>
      <c r="B800" s="654"/>
      <c r="C800" s="691"/>
      <c r="D800" s="661"/>
      <c r="E800" s="705"/>
      <c r="F800" s="659"/>
      <c r="G800" s="661"/>
      <c r="H800" s="660"/>
      <c r="I800" s="691"/>
      <c r="J800" s="661"/>
      <c r="K800" s="706"/>
      <c r="L800" s="665"/>
      <c r="M800" s="663"/>
      <c r="N800" s="665"/>
      <c r="O800" s="665"/>
      <c r="P800" s="665"/>
      <c r="Q800" s="665"/>
      <c r="R800" s="665"/>
      <c r="S800" s="665"/>
      <c r="T800" s="673"/>
      <c r="U800" s="673"/>
      <c r="V800" s="673"/>
      <c r="W800" s="673"/>
      <c r="X800" s="673"/>
      <c r="Y800" s="673"/>
      <c r="Z800" s="673"/>
      <c r="AA800" s="673"/>
      <c r="AB800" s="673"/>
      <c r="AC800" s="673"/>
      <c r="AD800" s="673"/>
      <c r="AE800" s="673"/>
      <c r="AF800" s="673"/>
      <c r="AG800" s="673"/>
      <c r="AH800" s="673"/>
    </row>
    <row r="801">
      <c r="A801" s="653"/>
      <c r="B801" s="654"/>
      <c r="C801" s="691"/>
      <c r="D801" s="661"/>
      <c r="E801" s="705"/>
      <c r="F801" s="659"/>
      <c r="G801" s="661"/>
      <c r="H801" s="660"/>
      <c r="I801" s="691"/>
      <c r="J801" s="661"/>
      <c r="K801" s="706"/>
      <c r="L801" s="665"/>
      <c r="M801" s="663"/>
      <c r="N801" s="665"/>
      <c r="O801" s="665"/>
      <c r="P801" s="665"/>
      <c r="Q801" s="665"/>
      <c r="R801" s="665"/>
      <c r="S801" s="665"/>
      <c r="T801" s="673"/>
      <c r="U801" s="673"/>
      <c r="V801" s="673"/>
      <c r="W801" s="673"/>
      <c r="X801" s="673"/>
      <c r="Y801" s="673"/>
      <c r="Z801" s="673"/>
      <c r="AA801" s="673"/>
      <c r="AB801" s="673"/>
      <c r="AC801" s="673"/>
      <c r="AD801" s="673"/>
      <c r="AE801" s="673"/>
      <c r="AF801" s="673"/>
      <c r="AG801" s="673"/>
      <c r="AH801" s="673"/>
    </row>
    <row r="802">
      <c r="A802" s="653"/>
      <c r="B802" s="654"/>
      <c r="C802" s="691"/>
      <c r="D802" s="661"/>
      <c r="E802" s="705"/>
      <c r="F802" s="659"/>
      <c r="G802" s="661"/>
      <c r="H802" s="660"/>
      <c r="I802" s="691"/>
      <c r="J802" s="661"/>
      <c r="K802" s="706"/>
      <c r="L802" s="665"/>
      <c r="M802" s="663"/>
      <c r="N802" s="665"/>
      <c r="O802" s="665"/>
      <c r="P802" s="665"/>
      <c r="Q802" s="665"/>
      <c r="R802" s="665"/>
      <c r="S802" s="665"/>
      <c r="T802" s="673"/>
      <c r="U802" s="673"/>
      <c r="V802" s="673"/>
      <c r="W802" s="673"/>
      <c r="X802" s="673"/>
      <c r="Y802" s="673"/>
      <c r="Z802" s="673"/>
      <c r="AA802" s="673"/>
      <c r="AB802" s="673"/>
      <c r="AC802" s="673"/>
      <c r="AD802" s="673"/>
      <c r="AE802" s="673"/>
      <c r="AF802" s="673"/>
      <c r="AG802" s="673"/>
      <c r="AH802" s="673"/>
    </row>
    <row r="803">
      <c r="A803" s="653"/>
      <c r="B803" s="654"/>
      <c r="C803" s="691"/>
      <c r="D803" s="661"/>
      <c r="E803" s="705"/>
      <c r="F803" s="659"/>
      <c r="G803" s="661"/>
      <c r="H803" s="660"/>
      <c r="I803" s="691"/>
      <c r="J803" s="661"/>
      <c r="K803" s="706"/>
      <c r="L803" s="665"/>
      <c r="M803" s="663"/>
      <c r="N803" s="665"/>
      <c r="O803" s="665"/>
      <c r="P803" s="665"/>
      <c r="Q803" s="665"/>
      <c r="R803" s="665"/>
      <c r="S803" s="665"/>
      <c r="T803" s="673"/>
      <c r="U803" s="673"/>
      <c r="V803" s="673"/>
      <c r="W803" s="673"/>
      <c r="X803" s="673"/>
      <c r="Y803" s="673"/>
      <c r="Z803" s="673"/>
      <c r="AA803" s="673"/>
      <c r="AB803" s="673"/>
      <c r="AC803" s="673"/>
      <c r="AD803" s="673"/>
      <c r="AE803" s="673"/>
      <c r="AF803" s="673"/>
      <c r="AG803" s="673"/>
      <c r="AH803" s="673"/>
    </row>
    <row r="804">
      <c r="A804" s="653"/>
      <c r="B804" s="654"/>
      <c r="C804" s="691"/>
      <c r="D804" s="661"/>
      <c r="E804" s="705"/>
      <c r="F804" s="659"/>
      <c r="G804" s="661"/>
      <c r="H804" s="660"/>
      <c r="I804" s="691"/>
      <c r="J804" s="661"/>
      <c r="K804" s="706"/>
      <c r="L804" s="665"/>
      <c r="M804" s="663"/>
      <c r="N804" s="665"/>
      <c r="O804" s="665"/>
      <c r="P804" s="665"/>
      <c r="Q804" s="665"/>
      <c r="R804" s="665"/>
      <c r="S804" s="665"/>
      <c r="T804" s="673"/>
      <c r="U804" s="673"/>
      <c r="V804" s="673"/>
      <c r="W804" s="673"/>
      <c r="X804" s="673"/>
      <c r="Y804" s="673"/>
      <c r="Z804" s="673"/>
      <c r="AA804" s="673"/>
      <c r="AB804" s="673"/>
      <c r="AC804" s="673"/>
      <c r="AD804" s="673"/>
      <c r="AE804" s="673"/>
      <c r="AF804" s="673"/>
      <c r="AG804" s="673"/>
      <c r="AH804" s="673"/>
    </row>
    <row r="805">
      <c r="A805" s="653"/>
      <c r="B805" s="654"/>
      <c r="C805" s="691"/>
      <c r="D805" s="661"/>
      <c r="E805" s="705"/>
      <c r="F805" s="659"/>
      <c r="G805" s="661"/>
      <c r="H805" s="660"/>
      <c r="I805" s="691"/>
      <c r="J805" s="661"/>
      <c r="K805" s="706"/>
      <c r="L805" s="665"/>
      <c r="M805" s="663"/>
      <c r="N805" s="665"/>
      <c r="O805" s="665"/>
      <c r="P805" s="665"/>
      <c r="Q805" s="665"/>
      <c r="R805" s="665"/>
      <c r="S805" s="665"/>
      <c r="T805" s="673"/>
      <c r="U805" s="673"/>
      <c r="V805" s="673"/>
      <c r="W805" s="673"/>
      <c r="X805" s="673"/>
      <c r="Y805" s="673"/>
      <c r="Z805" s="673"/>
      <c r="AA805" s="673"/>
      <c r="AB805" s="673"/>
      <c r="AC805" s="673"/>
      <c r="AD805" s="673"/>
      <c r="AE805" s="673"/>
      <c r="AF805" s="673"/>
      <c r="AG805" s="673"/>
      <c r="AH805" s="673"/>
    </row>
    <row r="806">
      <c r="A806" s="653"/>
      <c r="B806" s="654"/>
      <c r="C806" s="691"/>
      <c r="D806" s="661"/>
      <c r="E806" s="705"/>
      <c r="F806" s="659"/>
      <c r="G806" s="661"/>
      <c r="H806" s="660"/>
      <c r="I806" s="691"/>
      <c r="J806" s="661"/>
      <c r="K806" s="706"/>
      <c r="L806" s="665"/>
      <c r="M806" s="663"/>
      <c r="N806" s="665"/>
      <c r="O806" s="665"/>
      <c r="P806" s="665"/>
      <c r="Q806" s="665"/>
      <c r="R806" s="665"/>
      <c r="S806" s="665"/>
      <c r="T806" s="673"/>
      <c r="U806" s="673"/>
      <c r="V806" s="673"/>
      <c r="W806" s="673"/>
      <c r="X806" s="673"/>
      <c r="Y806" s="673"/>
      <c r="Z806" s="673"/>
      <c r="AA806" s="673"/>
      <c r="AB806" s="673"/>
      <c r="AC806" s="673"/>
      <c r="AD806" s="673"/>
      <c r="AE806" s="673"/>
      <c r="AF806" s="673"/>
      <c r="AG806" s="673"/>
      <c r="AH806" s="673"/>
    </row>
    <row r="807">
      <c r="A807" s="653"/>
      <c r="B807" s="654"/>
      <c r="C807" s="691"/>
      <c r="D807" s="661"/>
      <c r="E807" s="705"/>
      <c r="F807" s="659"/>
      <c r="G807" s="661"/>
      <c r="H807" s="660"/>
      <c r="I807" s="691"/>
      <c r="J807" s="661"/>
      <c r="K807" s="706"/>
      <c r="L807" s="665"/>
      <c r="M807" s="663"/>
      <c r="N807" s="665"/>
      <c r="O807" s="665"/>
      <c r="P807" s="665"/>
      <c r="Q807" s="665"/>
      <c r="R807" s="665"/>
      <c r="S807" s="665"/>
      <c r="T807" s="673"/>
      <c r="U807" s="673"/>
      <c r="V807" s="673"/>
      <c r="W807" s="673"/>
      <c r="X807" s="673"/>
      <c r="Y807" s="673"/>
      <c r="Z807" s="673"/>
      <c r="AA807" s="673"/>
      <c r="AB807" s="673"/>
      <c r="AC807" s="673"/>
      <c r="AD807" s="673"/>
      <c r="AE807" s="673"/>
      <c r="AF807" s="673"/>
      <c r="AG807" s="673"/>
      <c r="AH807" s="673"/>
    </row>
    <row r="808">
      <c r="A808" s="653"/>
      <c r="B808" s="654"/>
      <c r="C808" s="691"/>
      <c r="D808" s="661"/>
      <c r="E808" s="705"/>
      <c r="F808" s="659"/>
      <c r="G808" s="661"/>
      <c r="H808" s="660"/>
      <c r="I808" s="691"/>
      <c r="J808" s="661"/>
      <c r="K808" s="706"/>
      <c r="L808" s="665"/>
      <c r="M808" s="663"/>
      <c r="N808" s="665"/>
      <c r="O808" s="665"/>
      <c r="P808" s="665"/>
      <c r="Q808" s="665"/>
      <c r="R808" s="665"/>
      <c r="S808" s="665"/>
      <c r="T808" s="673"/>
      <c r="U808" s="673"/>
      <c r="V808" s="673"/>
      <c r="W808" s="673"/>
      <c r="X808" s="673"/>
      <c r="Y808" s="673"/>
      <c r="Z808" s="673"/>
      <c r="AA808" s="673"/>
      <c r="AB808" s="673"/>
      <c r="AC808" s="673"/>
      <c r="AD808" s="673"/>
      <c r="AE808" s="673"/>
      <c r="AF808" s="673"/>
      <c r="AG808" s="673"/>
      <c r="AH808" s="673"/>
    </row>
    <row r="809">
      <c r="A809" s="653"/>
      <c r="B809" s="654"/>
      <c r="C809" s="691"/>
      <c r="D809" s="661"/>
      <c r="E809" s="705"/>
      <c r="F809" s="659"/>
      <c r="G809" s="661"/>
      <c r="H809" s="660"/>
      <c r="I809" s="691"/>
      <c r="J809" s="661"/>
      <c r="K809" s="706"/>
      <c r="L809" s="665"/>
      <c r="M809" s="663"/>
      <c r="N809" s="665"/>
      <c r="O809" s="665"/>
      <c r="P809" s="665"/>
      <c r="Q809" s="665"/>
      <c r="R809" s="665"/>
      <c r="S809" s="665"/>
      <c r="T809" s="673"/>
      <c r="U809" s="673"/>
      <c r="V809" s="673"/>
      <c r="W809" s="673"/>
      <c r="X809" s="673"/>
      <c r="Y809" s="673"/>
      <c r="Z809" s="673"/>
      <c r="AA809" s="673"/>
      <c r="AB809" s="673"/>
      <c r="AC809" s="673"/>
      <c r="AD809" s="673"/>
      <c r="AE809" s="673"/>
      <c r="AF809" s="673"/>
      <c r="AG809" s="673"/>
      <c r="AH809" s="673"/>
    </row>
    <row r="810">
      <c r="A810" s="653"/>
      <c r="B810" s="654"/>
      <c r="C810" s="691"/>
      <c r="D810" s="661"/>
      <c r="E810" s="705"/>
      <c r="F810" s="659"/>
      <c r="G810" s="661"/>
      <c r="H810" s="660"/>
      <c r="I810" s="691"/>
      <c r="J810" s="661"/>
      <c r="K810" s="706"/>
      <c r="L810" s="665"/>
      <c r="M810" s="663"/>
      <c r="N810" s="665"/>
      <c r="O810" s="665"/>
      <c r="P810" s="665"/>
      <c r="Q810" s="665"/>
      <c r="R810" s="665"/>
      <c r="S810" s="665"/>
      <c r="T810" s="673"/>
      <c r="U810" s="673"/>
      <c r="V810" s="673"/>
      <c r="W810" s="673"/>
      <c r="X810" s="673"/>
      <c r="Y810" s="673"/>
      <c r="Z810" s="673"/>
      <c r="AA810" s="673"/>
      <c r="AB810" s="673"/>
      <c r="AC810" s="673"/>
      <c r="AD810" s="673"/>
      <c r="AE810" s="673"/>
      <c r="AF810" s="673"/>
      <c r="AG810" s="673"/>
      <c r="AH810" s="673"/>
    </row>
    <row r="811">
      <c r="A811" s="653"/>
      <c r="B811" s="654"/>
      <c r="C811" s="691"/>
      <c r="D811" s="661"/>
      <c r="E811" s="705"/>
      <c r="F811" s="659"/>
      <c r="G811" s="661"/>
      <c r="H811" s="660"/>
      <c r="I811" s="691"/>
      <c r="J811" s="661"/>
      <c r="K811" s="706"/>
      <c r="L811" s="665"/>
      <c r="M811" s="663"/>
      <c r="N811" s="665"/>
      <c r="O811" s="665"/>
      <c r="P811" s="665"/>
      <c r="Q811" s="665"/>
      <c r="R811" s="665"/>
      <c r="S811" s="665"/>
      <c r="T811" s="673"/>
      <c r="U811" s="673"/>
      <c r="V811" s="673"/>
      <c r="W811" s="673"/>
      <c r="X811" s="673"/>
      <c r="Y811" s="673"/>
      <c r="Z811" s="673"/>
      <c r="AA811" s="673"/>
      <c r="AB811" s="673"/>
      <c r="AC811" s="673"/>
      <c r="AD811" s="673"/>
      <c r="AE811" s="673"/>
      <c r="AF811" s="673"/>
      <c r="AG811" s="673"/>
      <c r="AH811" s="673"/>
    </row>
    <row r="812">
      <c r="A812" s="653"/>
      <c r="B812" s="654"/>
      <c r="C812" s="691"/>
      <c r="D812" s="661"/>
      <c r="E812" s="705"/>
      <c r="F812" s="659"/>
      <c r="G812" s="661"/>
      <c r="H812" s="660"/>
      <c r="I812" s="691"/>
      <c r="J812" s="661"/>
      <c r="K812" s="706"/>
      <c r="L812" s="665"/>
      <c r="M812" s="663"/>
      <c r="N812" s="665"/>
      <c r="O812" s="665"/>
      <c r="P812" s="665"/>
      <c r="Q812" s="665"/>
      <c r="R812" s="665"/>
      <c r="S812" s="665"/>
      <c r="T812" s="673"/>
      <c r="U812" s="673"/>
      <c r="V812" s="673"/>
      <c r="W812" s="673"/>
      <c r="X812" s="673"/>
      <c r="Y812" s="673"/>
      <c r="Z812" s="673"/>
      <c r="AA812" s="673"/>
      <c r="AB812" s="673"/>
      <c r="AC812" s="673"/>
      <c r="AD812" s="673"/>
      <c r="AE812" s="673"/>
      <c r="AF812" s="673"/>
      <c r="AG812" s="673"/>
      <c r="AH812" s="673"/>
    </row>
    <row r="813">
      <c r="A813" s="653"/>
      <c r="B813" s="654"/>
      <c r="C813" s="691"/>
      <c r="D813" s="661"/>
      <c r="E813" s="705"/>
      <c r="F813" s="659"/>
      <c r="G813" s="661"/>
      <c r="H813" s="660"/>
      <c r="I813" s="691"/>
      <c r="J813" s="661"/>
      <c r="K813" s="706"/>
      <c r="L813" s="665"/>
      <c r="M813" s="663"/>
      <c r="N813" s="665"/>
      <c r="O813" s="665"/>
      <c r="P813" s="665"/>
      <c r="Q813" s="665"/>
      <c r="R813" s="665"/>
      <c r="S813" s="665"/>
      <c r="T813" s="673"/>
      <c r="U813" s="673"/>
      <c r="V813" s="673"/>
      <c r="W813" s="673"/>
      <c r="X813" s="673"/>
      <c r="Y813" s="673"/>
      <c r="Z813" s="673"/>
      <c r="AA813" s="673"/>
      <c r="AB813" s="673"/>
      <c r="AC813" s="673"/>
      <c r="AD813" s="673"/>
      <c r="AE813" s="673"/>
      <c r="AF813" s="673"/>
      <c r="AG813" s="673"/>
      <c r="AH813" s="673"/>
    </row>
    <row r="814">
      <c r="A814" s="653"/>
      <c r="B814" s="654"/>
      <c r="C814" s="691"/>
      <c r="D814" s="661"/>
      <c r="E814" s="705"/>
      <c r="F814" s="659"/>
      <c r="G814" s="661"/>
      <c r="H814" s="660"/>
      <c r="I814" s="691"/>
      <c r="J814" s="661"/>
      <c r="K814" s="706"/>
      <c r="L814" s="665"/>
      <c r="M814" s="663"/>
      <c r="N814" s="665"/>
      <c r="O814" s="665"/>
      <c r="P814" s="665"/>
      <c r="Q814" s="665"/>
      <c r="R814" s="665"/>
      <c r="S814" s="665"/>
      <c r="T814" s="673"/>
      <c r="U814" s="673"/>
      <c r="V814" s="673"/>
      <c r="W814" s="673"/>
      <c r="X814" s="673"/>
      <c r="Y814" s="673"/>
      <c r="Z814" s="673"/>
      <c r="AA814" s="673"/>
      <c r="AB814" s="673"/>
      <c r="AC814" s="673"/>
      <c r="AD814" s="673"/>
      <c r="AE814" s="673"/>
      <c r="AF814" s="673"/>
      <c r="AG814" s="673"/>
      <c r="AH814" s="673"/>
    </row>
    <row r="815">
      <c r="A815" s="653"/>
      <c r="B815" s="654"/>
      <c r="C815" s="691"/>
      <c r="D815" s="661"/>
      <c r="E815" s="705"/>
      <c r="F815" s="659"/>
      <c r="G815" s="661"/>
      <c r="H815" s="660"/>
      <c r="I815" s="691"/>
      <c r="J815" s="661"/>
      <c r="K815" s="706"/>
      <c r="L815" s="665"/>
      <c r="M815" s="663"/>
      <c r="N815" s="665"/>
      <c r="O815" s="665"/>
      <c r="P815" s="665"/>
      <c r="Q815" s="665"/>
      <c r="R815" s="665"/>
      <c r="S815" s="665"/>
      <c r="T815" s="673"/>
      <c r="U815" s="673"/>
      <c r="V815" s="673"/>
      <c r="W815" s="673"/>
      <c r="X815" s="673"/>
      <c r="Y815" s="673"/>
      <c r="Z815" s="673"/>
      <c r="AA815" s="673"/>
      <c r="AB815" s="673"/>
      <c r="AC815" s="673"/>
      <c r="AD815" s="673"/>
      <c r="AE815" s="673"/>
      <c r="AF815" s="673"/>
      <c r="AG815" s="673"/>
      <c r="AH815" s="673"/>
    </row>
    <row r="816">
      <c r="A816" s="653"/>
      <c r="B816" s="654"/>
      <c r="C816" s="691"/>
      <c r="D816" s="661"/>
      <c r="E816" s="705"/>
      <c r="F816" s="659"/>
      <c r="G816" s="661"/>
      <c r="H816" s="660"/>
      <c r="I816" s="691"/>
      <c r="J816" s="661"/>
      <c r="K816" s="706"/>
      <c r="L816" s="665"/>
      <c r="M816" s="663"/>
      <c r="N816" s="665"/>
      <c r="O816" s="665"/>
      <c r="P816" s="665"/>
      <c r="Q816" s="665"/>
      <c r="R816" s="665"/>
      <c r="S816" s="665"/>
      <c r="T816" s="673"/>
      <c r="U816" s="673"/>
      <c r="V816" s="673"/>
      <c r="W816" s="673"/>
      <c r="X816" s="673"/>
      <c r="Y816" s="673"/>
      <c r="Z816" s="673"/>
      <c r="AA816" s="673"/>
      <c r="AB816" s="673"/>
      <c r="AC816" s="673"/>
      <c r="AD816" s="673"/>
      <c r="AE816" s="673"/>
      <c r="AF816" s="673"/>
      <c r="AG816" s="673"/>
      <c r="AH816" s="673"/>
    </row>
    <row r="817">
      <c r="A817" s="653"/>
      <c r="B817" s="654"/>
      <c r="C817" s="691"/>
      <c r="D817" s="661"/>
      <c r="E817" s="705"/>
      <c r="F817" s="659"/>
      <c r="G817" s="661"/>
      <c r="H817" s="660"/>
      <c r="I817" s="691"/>
      <c r="J817" s="661"/>
      <c r="K817" s="706"/>
      <c r="L817" s="665"/>
      <c r="M817" s="663"/>
      <c r="N817" s="665"/>
      <c r="O817" s="665"/>
      <c r="P817" s="665"/>
      <c r="Q817" s="665"/>
      <c r="R817" s="665"/>
      <c r="S817" s="665"/>
      <c r="T817" s="673"/>
      <c r="U817" s="673"/>
      <c r="V817" s="673"/>
      <c r="W817" s="673"/>
      <c r="X817" s="673"/>
      <c r="Y817" s="673"/>
      <c r="Z817" s="673"/>
      <c r="AA817" s="673"/>
      <c r="AB817" s="673"/>
      <c r="AC817" s="673"/>
      <c r="AD817" s="673"/>
      <c r="AE817" s="673"/>
      <c r="AF817" s="673"/>
      <c r="AG817" s="673"/>
      <c r="AH817" s="673"/>
    </row>
    <row r="818">
      <c r="A818" s="653"/>
      <c r="B818" s="654"/>
      <c r="C818" s="691"/>
      <c r="D818" s="661"/>
      <c r="E818" s="705"/>
      <c r="F818" s="659"/>
      <c r="G818" s="661"/>
      <c r="H818" s="660"/>
      <c r="I818" s="691"/>
      <c r="J818" s="661"/>
      <c r="K818" s="706"/>
      <c r="L818" s="665"/>
      <c r="M818" s="663"/>
      <c r="N818" s="665"/>
      <c r="O818" s="665"/>
      <c r="P818" s="665"/>
      <c r="Q818" s="665"/>
      <c r="R818" s="665"/>
      <c r="S818" s="665"/>
      <c r="T818" s="673"/>
      <c r="U818" s="673"/>
      <c r="V818" s="673"/>
      <c r="W818" s="673"/>
      <c r="X818" s="673"/>
      <c r="Y818" s="673"/>
      <c r="Z818" s="673"/>
      <c r="AA818" s="673"/>
      <c r="AB818" s="673"/>
      <c r="AC818" s="673"/>
      <c r="AD818" s="673"/>
      <c r="AE818" s="673"/>
      <c r="AF818" s="673"/>
      <c r="AG818" s="673"/>
      <c r="AH818" s="673"/>
    </row>
    <row r="819">
      <c r="A819" s="653"/>
      <c r="B819" s="654"/>
      <c r="C819" s="691"/>
      <c r="D819" s="661"/>
      <c r="E819" s="705"/>
      <c r="F819" s="659"/>
      <c r="G819" s="661"/>
      <c r="H819" s="660"/>
      <c r="I819" s="691"/>
      <c r="J819" s="661"/>
      <c r="K819" s="706"/>
      <c r="L819" s="665"/>
      <c r="M819" s="663"/>
      <c r="N819" s="665"/>
      <c r="O819" s="665"/>
      <c r="P819" s="665"/>
      <c r="Q819" s="665"/>
      <c r="R819" s="665"/>
      <c r="S819" s="665"/>
      <c r="T819" s="673"/>
      <c r="U819" s="673"/>
      <c r="V819" s="673"/>
      <c r="W819" s="673"/>
      <c r="X819" s="673"/>
      <c r="Y819" s="673"/>
      <c r="Z819" s="673"/>
      <c r="AA819" s="673"/>
      <c r="AB819" s="673"/>
      <c r="AC819" s="673"/>
      <c r="AD819" s="673"/>
      <c r="AE819" s="673"/>
      <c r="AF819" s="673"/>
      <c r="AG819" s="673"/>
      <c r="AH819" s="673"/>
    </row>
    <row r="820">
      <c r="A820" s="653"/>
      <c r="B820" s="654"/>
      <c r="C820" s="691"/>
      <c r="D820" s="661"/>
      <c r="E820" s="705"/>
      <c r="F820" s="659"/>
      <c r="G820" s="661"/>
      <c r="H820" s="660"/>
      <c r="I820" s="691"/>
      <c r="J820" s="661"/>
      <c r="K820" s="706"/>
      <c r="L820" s="665"/>
      <c r="M820" s="663"/>
      <c r="N820" s="665"/>
      <c r="O820" s="665"/>
      <c r="P820" s="665"/>
      <c r="Q820" s="665"/>
      <c r="R820" s="665"/>
      <c r="S820" s="665"/>
      <c r="T820" s="673"/>
      <c r="U820" s="673"/>
      <c r="V820" s="673"/>
      <c r="W820" s="673"/>
      <c r="X820" s="673"/>
      <c r="Y820" s="673"/>
      <c r="Z820" s="673"/>
      <c r="AA820" s="673"/>
      <c r="AB820" s="673"/>
      <c r="AC820" s="673"/>
      <c r="AD820" s="673"/>
      <c r="AE820" s="673"/>
      <c r="AF820" s="673"/>
      <c r="AG820" s="673"/>
      <c r="AH820" s="673"/>
    </row>
    <row r="821">
      <c r="A821" s="653"/>
      <c r="B821" s="654"/>
      <c r="C821" s="691"/>
      <c r="D821" s="661"/>
      <c r="E821" s="705"/>
      <c r="F821" s="659"/>
      <c r="G821" s="661"/>
      <c r="H821" s="660"/>
      <c r="I821" s="691"/>
      <c r="J821" s="661"/>
      <c r="K821" s="706"/>
      <c r="L821" s="665"/>
      <c r="M821" s="663"/>
      <c r="N821" s="665"/>
      <c r="O821" s="665"/>
      <c r="P821" s="665"/>
      <c r="Q821" s="665"/>
      <c r="R821" s="665"/>
      <c r="S821" s="665"/>
      <c r="T821" s="673"/>
      <c r="U821" s="673"/>
      <c r="V821" s="673"/>
      <c r="W821" s="673"/>
      <c r="X821" s="673"/>
      <c r="Y821" s="673"/>
      <c r="Z821" s="673"/>
      <c r="AA821" s="673"/>
      <c r="AB821" s="673"/>
      <c r="AC821" s="673"/>
      <c r="AD821" s="673"/>
      <c r="AE821" s="673"/>
      <c r="AF821" s="673"/>
      <c r="AG821" s="673"/>
      <c r="AH821" s="673"/>
    </row>
    <row r="822">
      <c r="A822" s="653"/>
      <c r="B822" s="654"/>
      <c r="C822" s="691"/>
      <c r="D822" s="661"/>
      <c r="E822" s="705"/>
      <c r="F822" s="659"/>
      <c r="G822" s="661"/>
      <c r="H822" s="660"/>
      <c r="I822" s="691"/>
      <c r="J822" s="661"/>
      <c r="K822" s="706"/>
      <c r="L822" s="665"/>
      <c r="M822" s="663"/>
      <c r="N822" s="665"/>
      <c r="O822" s="665"/>
      <c r="P822" s="665"/>
      <c r="Q822" s="665"/>
      <c r="R822" s="665"/>
      <c r="S822" s="665"/>
      <c r="T822" s="673"/>
      <c r="U822" s="673"/>
      <c r="V822" s="673"/>
      <c r="W822" s="673"/>
      <c r="X822" s="673"/>
      <c r="Y822" s="673"/>
      <c r="Z822" s="673"/>
      <c r="AA822" s="673"/>
      <c r="AB822" s="673"/>
      <c r="AC822" s="673"/>
      <c r="AD822" s="673"/>
      <c r="AE822" s="673"/>
      <c r="AF822" s="673"/>
      <c r="AG822" s="673"/>
      <c r="AH822" s="673"/>
    </row>
    <row r="823">
      <c r="A823" s="653"/>
      <c r="B823" s="654"/>
      <c r="C823" s="691"/>
      <c r="D823" s="661"/>
      <c r="E823" s="705"/>
      <c r="F823" s="659"/>
      <c r="G823" s="661"/>
      <c r="H823" s="660"/>
      <c r="I823" s="691"/>
      <c r="J823" s="661"/>
      <c r="K823" s="706"/>
      <c r="L823" s="665"/>
      <c r="M823" s="663"/>
      <c r="N823" s="665"/>
      <c r="O823" s="665"/>
      <c r="P823" s="665"/>
      <c r="Q823" s="665"/>
      <c r="R823" s="665"/>
      <c r="S823" s="665"/>
      <c r="T823" s="673"/>
      <c r="U823" s="673"/>
      <c r="V823" s="673"/>
      <c r="W823" s="673"/>
      <c r="X823" s="673"/>
      <c r="Y823" s="673"/>
      <c r="Z823" s="673"/>
      <c r="AA823" s="673"/>
      <c r="AB823" s="673"/>
      <c r="AC823" s="673"/>
      <c r="AD823" s="673"/>
      <c r="AE823" s="673"/>
      <c r="AF823" s="673"/>
      <c r="AG823" s="673"/>
      <c r="AH823" s="673"/>
    </row>
    <row r="824">
      <c r="A824" s="653"/>
      <c r="B824" s="654"/>
      <c r="C824" s="691"/>
      <c r="D824" s="661"/>
      <c r="E824" s="705"/>
      <c r="F824" s="659"/>
      <c r="G824" s="661"/>
      <c r="H824" s="660"/>
      <c r="I824" s="691"/>
      <c r="J824" s="661"/>
      <c r="K824" s="706"/>
      <c r="L824" s="665"/>
      <c r="M824" s="663"/>
      <c r="N824" s="665"/>
      <c r="O824" s="665"/>
      <c r="P824" s="665"/>
      <c r="Q824" s="665"/>
      <c r="R824" s="665"/>
      <c r="S824" s="665"/>
      <c r="T824" s="673"/>
      <c r="U824" s="673"/>
      <c r="V824" s="673"/>
      <c r="W824" s="673"/>
      <c r="X824" s="673"/>
      <c r="Y824" s="673"/>
      <c r="Z824" s="673"/>
      <c r="AA824" s="673"/>
      <c r="AB824" s="673"/>
      <c r="AC824" s="673"/>
      <c r="AD824" s="673"/>
      <c r="AE824" s="673"/>
      <c r="AF824" s="673"/>
      <c r="AG824" s="673"/>
      <c r="AH824" s="673"/>
    </row>
    <row r="825">
      <c r="A825" s="653"/>
      <c r="B825" s="654"/>
      <c r="C825" s="691"/>
      <c r="D825" s="661"/>
      <c r="E825" s="705"/>
      <c r="F825" s="659"/>
      <c r="G825" s="661"/>
      <c r="H825" s="660"/>
      <c r="I825" s="691"/>
      <c r="J825" s="661"/>
      <c r="K825" s="706"/>
      <c r="L825" s="665"/>
      <c r="M825" s="663"/>
      <c r="N825" s="665"/>
      <c r="O825" s="665"/>
      <c r="P825" s="665"/>
      <c r="Q825" s="665"/>
      <c r="R825" s="665"/>
      <c r="S825" s="665"/>
      <c r="T825" s="673"/>
      <c r="U825" s="673"/>
      <c r="V825" s="673"/>
      <c r="W825" s="673"/>
      <c r="X825" s="673"/>
      <c r="Y825" s="673"/>
      <c r="Z825" s="673"/>
      <c r="AA825" s="673"/>
      <c r="AB825" s="673"/>
      <c r="AC825" s="673"/>
      <c r="AD825" s="673"/>
      <c r="AE825" s="673"/>
      <c r="AF825" s="673"/>
      <c r="AG825" s="673"/>
      <c r="AH825" s="673"/>
    </row>
    <row r="826">
      <c r="A826" s="653"/>
      <c r="B826" s="654"/>
      <c r="C826" s="691"/>
      <c r="D826" s="661"/>
      <c r="E826" s="705"/>
      <c r="F826" s="659"/>
      <c r="G826" s="661"/>
      <c r="H826" s="660"/>
      <c r="I826" s="691"/>
      <c r="J826" s="661"/>
      <c r="K826" s="706"/>
      <c r="L826" s="665"/>
      <c r="M826" s="663"/>
      <c r="N826" s="665"/>
      <c r="O826" s="665"/>
      <c r="P826" s="665"/>
      <c r="Q826" s="665"/>
      <c r="R826" s="665"/>
      <c r="S826" s="665"/>
      <c r="T826" s="673"/>
      <c r="U826" s="673"/>
      <c r="V826" s="673"/>
      <c r="W826" s="673"/>
      <c r="X826" s="673"/>
      <c r="Y826" s="673"/>
      <c r="Z826" s="673"/>
      <c r="AA826" s="673"/>
      <c r="AB826" s="673"/>
      <c r="AC826" s="673"/>
      <c r="AD826" s="673"/>
      <c r="AE826" s="673"/>
      <c r="AF826" s="673"/>
      <c r="AG826" s="673"/>
      <c r="AH826" s="673"/>
    </row>
    <row r="827">
      <c r="A827" s="653"/>
      <c r="B827" s="654"/>
      <c r="C827" s="691"/>
      <c r="D827" s="661"/>
      <c r="E827" s="705"/>
      <c r="F827" s="659"/>
      <c r="G827" s="661"/>
      <c r="H827" s="660"/>
      <c r="I827" s="691"/>
      <c r="J827" s="661"/>
      <c r="K827" s="706"/>
      <c r="L827" s="665"/>
      <c r="M827" s="663"/>
      <c r="N827" s="665"/>
      <c r="O827" s="665"/>
      <c r="P827" s="665"/>
      <c r="Q827" s="665"/>
      <c r="R827" s="665"/>
      <c r="S827" s="665"/>
      <c r="T827" s="673"/>
      <c r="U827" s="673"/>
      <c r="V827" s="673"/>
      <c r="W827" s="673"/>
      <c r="X827" s="673"/>
      <c r="Y827" s="673"/>
      <c r="Z827" s="673"/>
      <c r="AA827" s="673"/>
      <c r="AB827" s="673"/>
      <c r="AC827" s="673"/>
      <c r="AD827" s="673"/>
      <c r="AE827" s="673"/>
      <c r="AF827" s="673"/>
      <c r="AG827" s="673"/>
      <c r="AH827" s="673"/>
    </row>
    <row r="828">
      <c r="A828" s="653"/>
      <c r="B828" s="654"/>
      <c r="C828" s="691"/>
      <c r="D828" s="661"/>
      <c r="E828" s="705"/>
      <c r="F828" s="659"/>
      <c r="G828" s="661"/>
      <c r="H828" s="660"/>
      <c r="I828" s="691"/>
      <c r="J828" s="661"/>
      <c r="K828" s="706"/>
      <c r="L828" s="665"/>
      <c r="M828" s="663"/>
      <c r="N828" s="665"/>
      <c r="O828" s="665"/>
      <c r="P828" s="665"/>
      <c r="Q828" s="665"/>
      <c r="R828" s="665"/>
      <c r="S828" s="665"/>
      <c r="T828" s="673"/>
      <c r="U828" s="673"/>
      <c r="V828" s="673"/>
      <c r="W828" s="673"/>
      <c r="X828" s="673"/>
      <c r="Y828" s="673"/>
      <c r="Z828" s="673"/>
      <c r="AA828" s="673"/>
      <c r="AB828" s="673"/>
      <c r="AC828" s="673"/>
      <c r="AD828" s="673"/>
      <c r="AE828" s="673"/>
      <c r="AF828" s="673"/>
      <c r="AG828" s="673"/>
      <c r="AH828" s="673"/>
    </row>
    <row r="829">
      <c r="A829" s="653"/>
      <c r="B829" s="654"/>
      <c r="C829" s="691"/>
      <c r="D829" s="661"/>
      <c r="E829" s="705"/>
      <c r="F829" s="659"/>
      <c r="G829" s="661"/>
      <c r="H829" s="660"/>
      <c r="I829" s="691"/>
      <c r="J829" s="661"/>
      <c r="K829" s="706"/>
      <c r="L829" s="665"/>
      <c r="M829" s="663"/>
      <c r="N829" s="665"/>
      <c r="O829" s="665"/>
      <c r="P829" s="665"/>
      <c r="Q829" s="665"/>
      <c r="R829" s="665"/>
      <c r="S829" s="665"/>
      <c r="T829" s="673"/>
      <c r="U829" s="673"/>
      <c r="V829" s="673"/>
      <c r="W829" s="673"/>
      <c r="X829" s="673"/>
      <c r="Y829" s="673"/>
      <c r="Z829" s="673"/>
      <c r="AA829" s="673"/>
      <c r="AB829" s="673"/>
      <c r="AC829" s="673"/>
      <c r="AD829" s="673"/>
      <c r="AE829" s="673"/>
      <c r="AF829" s="673"/>
      <c r="AG829" s="673"/>
      <c r="AH829" s="673"/>
    </row>
    <row r="830">
      <c r="A830" s="653"/>
      <c r="B830" s="654"/>
      <c r="C830" s="691"/>
      <c r="D830" s="661"/>
      <c r="E830" s="705"/>
      <c r="F830" s="659"/>
      <c r="G830" s="661"/>
      <c r="H830" s="660"/>
      <c r="I830" s="691"/>
      <c r="J830" s="661"/>
      <c r="K830" s="706"/>
      <c r="L830" s="665"/>
      <c r="M830" s="663"/>
      <c r="N830" s="665"/>
      <c r="O830" s="665"/>
      <c r="P830" s="665"/>
      <c r="Q830" s="665"/>
      <c r="R830" s="665"/>
      <c r="S830" s="665"/>
      <c r="T830" s="673"/>
      <c r="U830" s="673"/>
      <c r="V830" s="673"/>
      <c r="W830" s="673"/>
      <c r="X830" s="673"/>
      <c r="Y830" s="673"/>
      <c r="Z830" s="673"/>
      <c r="AA830" s="673"/>
      <c r="AB830" s="673"/>
      <c r="AC830" s="673"/>
      <c r="AD830" s="673"/>
      <c r="AE830" s="673"/>
      <c r="AF830" s="673"/>
      <c r="AG830" s="673"/>
      <c r="AH830" s="673"/>
    </row>
    <row r="831">
      <c r="A831" s="653"/>
      <c r="B831" s="654"/>
      <c r="C831" s="691"/>
      <c r="D831" s="661"/>
      <c r="E831" s="705"/>
      <c r="F831" s="659"/>
      <c r="G831" s="661"/>
      <c r="H831" s="660"/>
      <c r="I831" s="691"/>
      <c r="J831" s="661"/>
      <c r="K831" s="706"/>
      <c r="L831" s="665"/>
      <c r="M831" s="663"/>
      <c r="N831" s="665"/>
      <c r="O831" s="665"/>
      <c r="P831" s="665"/>
      <c r="Q831" s="665"/>
      <c r="R831" s="665"/>
      <c r="S831" s="665"/>
      <c r="T831" s="673"/>
      <c r="U831" s="673"/>
      <c r="V831" s="673"/>
      <c r="W831" s="673"/>
      <c r="X831" s="673"/>
      <c r="Y831" s="673"/>
      <c r="Z831" s="673"/>
      <c r="AA831" s="673"/>
      <c r="AB831" s="673"/>
      <c r="AC831" s="673"/>
      <c r="AD831" s="673"/>
      <c r="AE831" s="673"/>
      <c r="AF831" s="673"/>
      <c r="AG831" s="673"/>
      <c r="AH831" s="673"/>
    </row>
    <row r="832">
      <c r="A832" s="653"/>
      <c r="B832" s="654"/>
      <c r="C832" s="691"/>
      <c r="D832" s="661"/>
      <c r="E832" s="705"/>
      <c r="F832" s="659"/>
      <c r="G832" s="661"/>
      <c r="H832" s="660"/>
      <c r="I832" s="691"/>
      <c r="J832" s="661"/>
      <c r="K832" s="706"/>
      <c r="L832" s="665"/>
      <c r="M832" s="663"/>
      <c r="N832" s="665"/>
      <c r="O832" s="665"/>
      <c r="P832" s="665"/>
      <c r="Q832" s="665"/>
      <c r="R832" s="665"/>
      <c r="S832" s="665"/>
      <c r="T832" s="673"/>
      <c r="U832" s="673"/>
      <c r="V832" s="673"/>
      <c r="W832" s="673"/>
      <c r="X832" s="673"/>
      <c r="Y832" s="673"/>
      <c r="Z832" s="673"/>
      <c r="AA832" s="673"/>
      <c r="AB832" s="673"/>
      <c r="AC832" s="673"/>
      <c r="AD832" s="673"/>
      <c r="AE832" s="673"/>
      <c r="AF832" s="673"/>
      <c r="AG832" s="673"/>
      <c r="AH832" s="673"/>
    </row>
    <row r="833">
      <c r="A833" s="653"/>
      <c r="B833" s="654"/>
      <c r="C833" s="691"/>
      <c r="D833" s="661"/>
      <c r="E833" s="705"/>
      <c r="F833" s="659"/>
      <c r="G833" s="661"/>
      <c r="H833" s="660"/>
      <c r="I833" s="691"/>
      <c r="J833" s="661"/>
      <c r="K833" s="706"/>
      <c r="L833" s="665"/>
      <c r="M833" s="663"/>
      <c r="N833" s="665"/>
      <c r="O833" s="665"/>
      <c r="P833" s="665"/>
      <c r="Q833" s="665"/>
      <c r="R833" s="665"/>
      <c r="S833" s="665"/>
      <c r="T833" s="673"/>
      <c r="U833" s="673"/>
      <c r="V833" s="673"/>
      <c r="W833" s="673"/>
      <c r="X833" s="673"/>
      <c r="Y833" s="673"/>
      <c r="Z833" s="673"/>
      <c r="AA833" s="673"/>
      <c r="AB833" s="673"/>
      <c r="AC833" s="673"/>
      <c r="AD833" s="673"/>
      <c r="AE833" s="673"/>
      <c r="AF833" s="673"/>
      <c r="AG833" s="673"/>
      <c r="AH833" s="673"/>
    </row>
    <row r="834">
      <c r="A834" s="653"/>
      <c r="B834" s="654"/>
      <c r="C834" s="691"/>
      <c r="D834" s="661"/>
      <c r="E834" s="705"/>
      <c r="F834" s="659"/>
      <c r="G834" s="661"/>
      <c r="H834" s="660"/>
      <c r="I834" s="691"/>
      <c r="J834" s="661"/>
      <c r="K834" s="706"/>
      <c r="L834" s="665"/>
      <c r="M834" s="663"/>
      <c r="N834" s="665"/>
      <c r="O834" s="665"/>
      <c r="P834" s="665"/>
      <c r="Q834" s="665"/>
      <c r="R834" s="665"/>
      <c r="S834" s="665"/>
      <c r="T834" s="673"/>
      <c r="U834" s="673"/>
      <c r="V834" s="673"/>
      <c r="W834" s="673"/>
      <c r="X834" s="673"/>
      <c r="Y834" s="673"/>
      <c r="Z834" s="673"/>
      <c r="AA834" s="673"/>
      <c r="AB834" s="673"/>
      <c r="AC834" s="673"/>
      <c r="AD834" s="673"/>
      <c r="AE834" s="673"/>
      <c r="AF834" s="673"/>
      <c r="AG834" s="673"/>
      <c r="AH834" s="673"/>
    </row>
    <row r="835">
      <c r="A835" s="653"/>
      <c r="B835" s="654"/>
      <c r="C835" s="691"/>
      <c r="D835" s="661"/>
      <c r="E835" s="705"/>
      <c r="F835" s="659"/>
      <c r="G835" s="661"/>
      <c r="H835" s="660"/>
      <c r="I835" s="691"/>
      <c r="J835" s="661"/>
      <c r="K835" s="706"/>
      <c r="L835" s="665"/>
      <c r="M835" s="663"/>
      <c r="N835" s="665"/>
      <c r="O835" s="665"/>
      <c r="P835" s="665"/>
      <c r="Q835" s="665"/>
      <c r="R835" s="665"/>
      <c r="S835" s="665"/>
      <c r="T835" s="673"/>
      <c r="U835" s="673"/>
      <c r="V835" s="673"/>
      <c r="W835" s="673"/>
      <c r="X835" s="673"/>
      <c r="Y835" s="673"/>
      <c r="Z835" s="673"/>
      <c r="AA835" s="673"/>
      <c r="AB835" s="673"/>
      <c r="AC835" s="673"/>
      <c r="AD835" s="673"/>
      <c r="AE835" s="673"/>
      <c r="AF835" s="673"/>
      <c r="AG835" s="673"/>
      <c r="AH835" s="673"/>
    </row>
    <row r="836">
      <c r="A836" s="653"/>
      <c r="B836" s="654"/>
      <c r="C836" s="691"/>
      <c r="D836" s="661"/>
      <c r="E836" s="705"/>
      <c r="F836" s="659"/>
      <c r="G836" s="661"/>
      <c r="H836" s="660"/>
      <c r="I836" s="691"/>
      <c r="J836" s="661"/>
      <c r="K836" s="706"/>
      <c r="L836" s="665"/>
      <c r="M836" s="663"/>
      <c r="N836" s="665"/>
      <c r="O836" s="665"/>
      <c r="P836" s="665"/>
      <c r="Q836" s="665"/>
      <c r="R836" s="665"/>
      <c r="S836" s="665"/>
      <c r="T836" s="673"/>
      <c r="U836" s="673"/>
      <c r="V836" s="673"/>
      <c r="W836" s="673"/>
      <c r="X836" s="673"/>
      <c r="Y836" s="673"/>
      <c r="Z836" s="673"/>
      <c r="AA836" s="673"/>
      <c r="AB836" s="673"/>
      <c r="AC836" s="673"/>
      <c r="AD836" s="673"/>
      <c r="AE836" s="673"/>
      <c r="AF836" s="673"/>
      <c r="AG836" s="673"/>
      <c r="AH836" s="673"/>
    </row>
    <row r="837">
      <c r="A837" s="653"/>
      <c r="B837" s="654"/>
      <c r="C837" s="691"/>
      <c r="D837" s="661"/>
      <c r="E837" s="705"/>
      <c r="F837" s="659"/>
      <c r="G837" s="661"/>
      <c r="H837" s="660"/>
      <c r="I837" s="691"/>
      <c r="J837" s="661"/>
      <c r="K837" s="706"/>
      <c r="L837" s="665"/>
      <c r="M837" s="663"/>
      <c r="N837" s="665"/>
      <c r="O837" s="665"/>
      <c r="P837" s="665"/>
      <c r="Q837" s="665"/>
      <c r="R837" s="665"/>
      <c r="S837" s="665"/>
      <c r="T837" s="673"/>
      <c r="U837" s="673"/>
      <c r="V837" s="673"/>
      <c r="W837" s="673"/>
      <c r="X837" s="673"/>
      <c r="Y837" s="673"/>
      <c r="Z837" s="673"/>
      <c r="AA837" s="673"/>
      <c r="AB837" s="673"/>
      <c r="AC837" s="673"/>
      <c r="AD837" s="673"/>
      <c r="AE837" s="673"/>
      <c r="AF837" s="673"/>
      <c r="AG837" s="673"/>
      <c r="AH837" s="673"/>
    </row>
    <row r="838">
      <c r="A838" s="653"/>
      <c r="B838" s="654"/>
      <c r="C838" s="691"/>
      <c r="D838" s="661"/>
      <c r="E838" s="705"/>
      <c r="F838" s="659"/>
      <c r="G838" s="661"/>
      <c r="H838" s="660"/>
      <c r="I838" s="691"/>
      <c r="J838" s="661"/>
      <c r="K838" s="706"/>
      <c r="L838" s="665"/>
      <c r="M838" s="663"/>
      <c r="N838" s="665"/>
      <c r="O838" s="665"/>
      <c r="P838" s="665"/>
      <c r="Q838" s="665"/>
      <c r="R838" s="665"/>
      <c r="S838" s="665"/>
      <c r="T838" s="673"/>
      <c r="U838" s="673"/>
      <c r="V838" s="673"/>
      <c r="W838" s="673"/>
      <c r="X838" s="673"/>
      <c r="Y838" s="673"/>
      <c r="Z838" s="673"/>
      <c r="AA838" s="673"/>
      <c r="AB838" s="673"/>
      <c r="AC838" s="673"/>
      <c r="AD838" s="673"/>
      <c r="AE838" s="673"/>
      <c r="AF838" s="673"/>
      <c r="AG838" s="673"/>
      <c r="AH838" s="673"/>
    </row>
    <row r="839">
      <c r="A839" s="653"/>
      <c r="B839" s="654"/>
      <c r="C839" s="691"/>
      <c r="D839" s="661"/>
      <c r="E839" s="705"/>
      <c r="F839" s="659"/>
      <c r="G839" s="661"/>
      <c r="H839" s="660"/>
      <c r="I839" s="691"/>
      <c r="J839" s="661"/>
      <c r="K839" s="706"/>
      <c r="L839" s="665"/>
      <c r="M839" s="663"/>
      <c r="N839" s="665"/>
      <c r="O839" s="665"/>
      <c r="P839" s="665"/>
      <c r="Q839" s="665"/>
      <c r="R839" s="665"/>
      <c r="S839" s="665"/>
      <c r="T839" s="673"/>
      <c r="U839" s="673"/>
      <c r="V839" s="673"/>
      <c r="W839" s="673"/>
      <c r="X839" s="673"/>
      <c r="Y839" s="673"/>
      <c r="Z839" s="673"/>
      <c r="AA839" s="673"/>
      <c r="AB839" s="673"/>
      <c r="AC839" s="673"/>
      <c r="AD839" s="673"/>
      <c r="AE839" s="673"/>
      <c r="AF839" s="673"/>
      <c r="AG839" s="673"/>
      <c r="AH839" s="673"/>
    </row>
    <row r="840">
      <c r="A840" s="653"/>
      <c r="B840" s="654"/>
      <c r="C840" s="691"/>
      <c r="D840" s="661"/>
      <c r="E840" s="705"/>
      <c r="F840" s="659"/>
      <c r="G840" s="661"/>
      <c r="H840" s="660"/>
      <c r="I840" s="691"/>
      <c r="J840" s="661"/>
      <c r="K840" s="706"/>
      <c r="L840" s="665"/>
      <c r="M840" s="663"/>
      <c r="N840" s="665"/>
      <c r="O840" s="665"/>
      <c r="P840" s="665"/>
      <c r="Q840" s="665"/>
      <c r="R840" s="665"/>
      <c r="S840" s="665"/>
      <c r="T840" s="673"/>
      <c r="U840" s="673"/>
      <c r="V840" s="673"/>
      <c r="W840" s="673"/>
      <c r="X840" s="673"/>
      <c r="Y840" s="673"/>
      <c r="Z840" s="673"/>
      <c r="AA840" s="673"/>
      <c r="AB840" s="673"/>
      <c r="AC840" s="673"/>
      <c r="AD840" s="673"/>
      <c r="AE840" s="673"/>
      <c r="AF840" s="673"/>
      <c r="AG840" s="673"/>
      <c r="AH840" s="673"/>
    </row>
    <row r="841">
      <c r="A841" s="653"/>
      <c r="B841" s="654"/>
      <c r="C841" s="691"/>
      <c r="D841" s="661"/>
      <c r="E841" s="705"/>
      <c r="F841" s="659"/>
      <c r="G841" s="661"/>
      <c r="H841" s="660"/>
      <c r="I841" s="691"/>
      <c r="J841" s="661"/>
      <c r="K841" s="706"/>
      <c r="L841" s="665"/>
      <c r="M841" s="663"/>
      <c r="N841" s="665"/>
      <c r="O841" s="665"/>
      <c r="P841" s="665"/>
      <c r="Q841" s="665"/>
      <c r="R841" s="665"/>
      <c r="S841" s="665"/>
      <c r="T841" s="673"/>
      <c r="U841" s="673"/>
      <c r="V841" s="673"/>
      <c r="W841" s="673"/>
      <c r="X841" s="673"/>
      <c r="Y841" s="673"/>
      <c r="Z841" s="673"/>
      <c r="AA841" s="673"/>
      <c r="AB841" s="673"/>
      <c r="AC841" s="673"/>
      <c r="AD841" s="673"/>
      <c r="AE841" s="673"/>
      <c r="AF841" s="673"/>
      <c r="AG841" s="673"/>
      <c r="AH841" s="673"/>
    </row>
    <row r="842">
      <c r="A842" s="653"/>
      <c r="B842" s="654"/>
      <c r="C842" s="691"/>
      <c r="D842" s="661"/>
      <c r="E842" s="705"/>
      <c r="F842" s="659"/>
      <c r="G842" s="661"/>
      <c r="H842" s="660"/>
      <c r="I842" s="691"/>
      <c r="J842" s="661"/>
      <c r="K842" s="706"/>
      <c r="L842" s="665"/>
      <c r="M842" s="663"/>
      <c r="N842" s="665"/>
      <c r="O842" s="665"/>
      <c r="P842" s="665"/>
      <c r="Q842" s="665"/>
      <c r="R842" s="665"/>
      <c r="S842" s="665"/>
      <c r="T842" s="673"/>
      <c r="U842" s="673"/>
      <c r="V842" s="673"/>
      <c r="W842" s="673"/>
      <c r="X842" s="673"/>
      <c r="Y842" s="673"/>
      <c r="Z842" s="673"/>
      <c r="AA842" s="673"/>
      <c r="AB842" s="673"/>
      <c r="AC842" s="673"/>
      <c r="AD842" s="673"/>
      <c r="AE842" s="673"/>
      <c r="AF842" s="673"/>
      <c r="AG842" s="673"/>
      <c r="AH842" s="673"/>
    </row>
    <row r="843">
      <c r="A843" s="653"/>
      <c r="B843" s="654"/>
      <c r="C843" s="691"/>
      <c r="D843" s="661"/>
      <c r="E843" s="705"/>
      <c r="F843" s="659"/>
      <c r="G843" s="661"/>
      <c r="H843" s="660"/>
      <c r="I843" s="691"/>
      <c r="J843" s="661"/>
      <c r="K843" s="706"/>
      <c r="L843" s="665"/>
      <c r="M843" s="663"/>
      <c r="N843" s="665"/>
      <c r="O843" s="665"/>
      <c r="P843" s="665"/>
      <c r="Q843" s="665"/>
      <c r="R843" s="665"/>
      <c r="S843" s="665"/>
      <c r="T843" s="673"/>
      <c r="U843" s="673"/>
      <c r="V843" s="673"/>
      <c r="W843" s="673"/>
      <c r="X843" s="673"/>
      <c r="Y843" s="673"/>
      <c r="Z843" s="673"/>
      <c r="AA843" s="673"/>
      <c r="AB843" s="673"/>
      <c r="AC843" s="673"/>
      <c r="AD843" s="673"/>
      <c r="AE843" s="673"/>
      <c r="AF843" s="673"/>
      <c r="AG843" s="673"/>
      <c r="AH843" s="673"/>
    </row>
    <row r="844">
      <c r="A844" s="653"/>
      <c r="B844" s="654"/>
      <c r="C844" s="691"/>
      <c r="D844" s="661"/>
      <c r="E844" s="705"/>
      <c r="F844" s="659"/>
      <c r="G844" s="661"/>
      <c r="H844" s="660"/>
      <c r="I844" s="691"/>
      <c r="J844" s="661"/>
      <c r="K844" s="706"/>
      <c r="L844" s="665"/>
      <c r="M844" s="663"/>
      <c r="N844" s="665"/>
      <c r="O844" s="665"/>
      <c r="P844" s="665"/>
      <c r="Q844" s="665"/>
      <c r="R844" s="665"/>
      <c r="S844" s="665"/>
      <c r="T844" s="673"/>
      <c r="U844" s="673"/>
      <c r="V844" s="673"/>
      <c r="W844" s="673"/>
      <c r="X844" s="673"/>
      <c r="Y844" s="673"/>
      <c r="Z844" s="673"/>
      <c r="AA844" s="673"/>
      <c r="AB844" s="673"/>
      <c r="AC844" s="673"/>
      <c r="AD844" s="673"/>
      <c r="AE844" s="673"/>
      <c r="AF844" s="673"/>
      <c r="AG844" s="673"/>
      <c r="AH844" s="673"/>
    </row>
    <row r="845">
      <c r="A845" s="653"/>
      <c r="B845" s="654"/>
      <c r="C845" s="691"/>
      <c r="D845" s="661"/>
      <c r="E845" s="705"/>
      <c r="F845" s="659"/>
      <c r="G845" s="661"/>
      <c r="H845" s="660"/>
      <c r="I845" s="691"/>
      <c r="J845" s="661"/>
      <c r="K845" s="706"/>
      <c r="L845" s="665"/>
      <c r="M845" s="663"/>
      <c r="N845" s="665"/>
      <c r="O845" s="665"/>
      <c r="P845" s="665"/>
      <c r="Q845" s="665"/>
      <c r="R845" s="665"/>
      <c r="S845" s="665"/>
      <c r="T845" s="673"/>
      <c r="U845" s="673"/>
      <c r="V845" s="673"/>
      <c r="W845" s="673"/>
      <c r="X845" s="673"/>
      <c r="Y845" s="673"/>
      <c r="Z845" s="673"/>
      <c r="AA845" s="673"/>
      <c r="AB845" s="673"/>
      <c r="AC845" s="673"/>
      <c r="AD845" s="673"/>
      <c r="AE845" s="673"/>
      <c r="AF845" s="673"/>
      <c r="AG845" s="673"/>
      <c r="AH845" s="673"/>
    </row>
    <row r="846">
      <c r="A846" s="653"/>
      <c r="B846" s="654"/>
      <c r="C846" s="691"/>
      <c r="D846" s="661"/>
      <c r="E846" s="705"/>
      <c r="F846" s="659"/>
      <c r="G846" s="661"/>
      <c r="H846" s="660"/>
      <c r="I846" s="691"/>
      <c r="J846" s="661"/>
      <c r="K846" s="706"/>
      <c r="L846" s="665"/>
      <c r="M846" s="663"/>
      <c r="N846" s="665"/>
      <c r="O846" s="665"/>
      <c r="P846" s="665"/>
      <c r="Q846" s="665"/>
      <c r="R846" s="665"/>
      <c r="S846" s="665"/>
      <c r="T846" s="673"/>
      <c r="U846" s="673"/>
      <c r="V846" s="673"/>
      <c r="W846" s="673"/>
      <c r="X846" s="673"/>
      <c r="Y846" s="673"/>
      <c r="Z846" s="673"/>
      <c r="AA846" s="673"/>
      <c r="AB846" s="673"/>
      <c r="AC846" s="673"/>
      <c r="AD846" s="673"/>
      <c r="AE846" s="673"/>
      <c r="AF846" s="673"/>
      <c r="AG846" s="673"/>
      <c r="AH846" s="673"/>
    </row>
    <row r="847">
      <c r="A847" s="653"/>
      <c r="B847" s="654"/>
      <c r="C847" s="691"/>
      <c r="D847" s="661"/>
      <c r="E847" s="705"/>
      <c r="F847" s="659"/>
      <c r="G847" s="661"/>
      <c r="H847" s="660"/>
      <c r="I847" s="691"/>
      <c r="J847" s="661"/>
      <c r="K847" s="706"/>
      <c r="L847" s="665"/>
      <c r="M847" s="663"/>
      <c r="N847" s="665"/>
      <c r="O847" s="665"/>
      <c r="P847" s="665"/>
      <c r="Q847" s="665"/>
      <c r="R847" s="665"/>
      <c r="S847" s="665"/>
      <c r="T847" s="673"/>
      <c r="U847" s="673"/>
      <c r="V847" s="673"/>
      <c r="W847" s="673"/>
      <c r="X847" s="673"/>
      <c r="Y847" s="673"/>
      <c r="Z847" s="673"/>
      <c r="AA847" s="673"/>
      <c r="AB847" s="673"/>
      <c r="AC847" s="673"/>
      <c r="AD847" s="673"/>
      <c r="AE847" s="673"/>
      <c r="AF847" s="673"/>
      <c r="AG847" s="673"/>
      <c r="AH847" s="673"/>
    </row>
    <row r="848">
      <c r="A848" s="653"/>
      <c r="B848" s="654"/>
      <c r="C848" s="691"/>
      <c r="D848" s="661"/>
      <c r="E848" s="705"/>
      <c r="F848" s="659"/>
      <c r="G848" s="661"/>
      <c r="H848" s="660"/>
      <c r="I848" s="691"/>
      <c r="J848" s="661"/>
      <c r="K848" s="706"/>
      <c r="L848" s="665"/>
      <c r="M848" s="663"/>
      <c r="N848" s="665"/>
      <c r="O848" s="665"/>
      <c r="P848" s="665"/>
      <c r="Q848" s="665"/>
      <c r="R848" s="665"/>
      <c r="S848" s="665"/>
      <c r="T848" s="673"/>
      <c r="U848" s="673"/>
      <c r="V848" s="673"/>
      <c r="W848" s="673"/>
      <c r="X848" s="673"/>
      <c r="Y848" s="673"/>
      <c r="Z848" s="673"/>
      <c r="AA848" s="673"/>
      <c r="AB848" s="673"/>
      <c r="AC848" s="673"/>
      <c r="AD848" s="673"/>
      <c r="AE848" s="673"/>
      <c r="AF848" s="673"/>
      <c r="AG848" s="673"/>
      <c r="AH848" s="673"/>
    </row>
    <row r="849">
      <c r="A849" s="653"/>
      <c r="B849" s="654"/>
      <c r="C849" s="691"/>
      <c r="D849" s="661"/>
      <c r="E849" s="705"/>
      <c r="F849" s="659"/>
      <c r="G849" s="661"/>
      <c r="H849" s="660"/>
      <c r="I849" s="691"/>
      <c r="J849" s="661"/>
      <c r="K849" s="706"/>
      <c r="L849" s="665"/>
      <c r="M849" s="663"/>
      <c r="N849" s="665"/>
      <c r="O849" s="665"/>
      <c r="P849" s="665"/>
      <c r="Q849" s="665"/>
      <c r="R849" s="665"/>
      <c r="S849" s="665"/>
      <c r="T849" s="673"/>
      <c r="U849" s="673"/>
      <c r="V849" s="673"/>
      <c r="W849" s="673"/>
      <c r="X849" s="673"/>
      <c r="Y849" s="673"/>
      <c r="Z849" s="673"/>
      <c r="AA849" s="673"/>
      <c r="AB849" s="673"/>
      <c r="AC849" s="673"/>
      <c r="AD849" s="673"/>
      <c r="AE849" s="673"/>
      <c r="AF849" s="673"/>
      <c r="AG849" s="673"/>
      <c r="AH849" s="673"/>
    </row>
    <row r="850">
      <c r="A850" s="653"/>
      <c r="B850" s="654"/>
      <c r="C850" s="691"/>
      <c r="D850" s="661"/>
      <c r="E850" s="705"/>
      <c r="F850" s="659"/>
      <c r="G850" s="661"/>
      <c r="H850" s="660"/>
      <c r="I850" s="691"/>
      <c r="J850" s="661"/>
      <c r="K850" s="706"/>
      <c r="L850" s="665"/>
      <c r="M850" s="663"/>
      <c r="N850" s="665"/>
      <c r="O850" s="665"/>
      <c r="P850" s="665"/>
      <c r="Q850" s="665"/>
      <c r="R850" s="665"/>
      <c r="S850" s="665"/>
      <c r="T850" s="673"/>
      <c r="U850" s="673"/>
      <c r="V850" s="673"/>
      <c r="W850" s="673"/>
      <c r="X850" s="673"/>
      <c r="Y850" s="673"/>
      <c r="Z850" s="673"/>
      <c r="AA850" s="673"/>
      <c r="AB850" s="673"/>
      <c r="AC850" s="673"/>
      <c r="AD850" s="673"/>
      <c r="AE850" s="673"/>
      <c r="AF850" s="673"/>
      <c r="AG850" s="673"/>
      <c r="AH850" s="673"/>
    </row>
    <row r="851">
      <c r="A851" s="653"/>
      <c r="B851" s="654"/>
      <c r="C851" s="691"/>
      <c r="D851" s="661"/>
      <c r="E851" s="705"/>
      <c r="F851" s="659"/>
      <c r="G851" s="661"/>
      <c r="H851" s="660"/>
      <c r="I851" s="691"/>
      <c r="J851" s="661"/>
      <c r="K851" s="706"/>
      <c r="L851" s="665"/>
      <c r="M851" s="663"/>
      <c r="N851" s="665"/>
      <c r="O851" s="665"/>
      <c r="P851" s="665"/>
      <c r="Q851" s="665"/>
      <c r="R851" s="665"/>
      <c r="S851" s="665"/>
      <c r="T851" s="673"/>
      <c r="U851" s="673"/>
      <c r="V851" s="673"/>
      <c r="W851" s="673"/>
      <c r="X851" s="673"/>
      <c r="Y851" s="673"/>
      <c r="Z851" s="673"/>
      <c r="AA851" s="673"/>
      <c r="AB851" s="673"/>
      <c r="AC851" s="673"/>
      <c r="AD851" s="673"/>
      <c r="AE851" s="673"/>
      <c r="AF851" s="673"/>
      <c r="AG851" s="673"/>
      <c r="AH851" s="673"/>
    </row>
    <row r="852">
      <c r="A852" s="653"/>
      <c r="B852" s="654"/>
      <c r="C852" s="691"/>
      <c r="D852" s="661"/>
      <c r="E852" s="705"/>
      <c r="F852" s="659"/>
      <c r="G852" s="661"/>
      <c r="H852" s="660"/>
      <c r="I852" s="691"/>
      <c r="J852" s="661"/>
      <c r="K852" s="706"/>
      <c r="L852" s="665"/>
      <c r="M852" s="663"/>
      <c r="N852" s="665"/>
      <c r="O852" s="665"/>
      <c r="P852" s="665"/>
      <c r="Q852" s="665"/>
      <c r="R852" s="665"/>
      <c r="S852" s="665"/>
      <c r="T852" s="673"/>
      <c r="U852" s="673"/>
      <c r="V852" s="673"/>
      <c r="W852" s="673"/>
      <c r="X852" s="673"/>
      <c r="Y852" s="673"/>
      <c r="Z852" s="673"/>
      <c r="AA852" s="673"/>
      <c r="AB852" s="673"/>
      <c r="AC852" s="673"/>
      <c r="AD852" s="673"/>
      <c r="AE852" s="673"/>
      <c r="AF852" s="673"/>
      <c r="AG852" s="673"/>
      <c r="AH852" s="673"/>
    </row>
    <row r="853">
      <c r="A853" s="653"/>
      <c r="B853" s="654"/>
      <c r="C853" s="691"/>
      <c r="D853" s="661"/>
      <c r="E853" s="705"/>
      <c r="F853" s="659"/>
      <c r="G853" s="661"/>
      <c r="H853" s="660"/>
      <c r="I853" s="691"/>
      <c r="J853" s="661"/>
      <c r="K853" s="706"/>
      <c r="L853" s="665"/>
      <c r="M853" s="663"/>
      <c r="N853" s="665"/>
      <c r="O853" s="665"/>
      <c r="P853" s="665"/>
      <c r="Q853" s="665"/>
      <c r="R853" s="665"/>
      <c r="S853" s="665"/>
      <c r="T853" s="673"/>
      <c r="U853" s="673"/>
      <c r="V853" s="673"/>
      <c r="W853" s="673"/>
      <c r="X853" s="673"/>
      <c r="Y853" s="673"/>
      <c r="Z853" s="673"/>
      <c r="AA853" s="673"/>
      <c r="AB853" s="673"/>
      <c r="AC853" s="673"/>
      <c r="AD853" s="673"/>
      <c r="AE853" s="673"/>
      <c r="AF853" s="673"/>
      <c r="AG853" s="673"/>
      <c r="AH853" s="673"/>
    </row>
    <row r="854">
      <c r="A854" s="653"/>
      <c r="B854" s="654"/>
      <c r="C854" s="691"/>
      <c r="D854" s="661"/>
      <c r="E854" s="705"/>
      <c r="F854" s="659"/>
      <c r="G854" s="661"/>
      <c r="H854" s="660"/>
      <c r="I854" s="691"/>
      <c r="J854" s="661"/>
      <c r="K854" s="706"/>
      <c r="L854" s="665"/>
      <c r="M854" s="663"/>
      <c r="N854" s="665"/>
      <c r="O854" s="665"/>
      <c r="P854" s="665"/>
      <c r="Q854" s="665"/>
      <c r="R854" s="665"/>
      <c r="S854" s="665"/>
      <c r="T854" s="673"/>
      <c r="U854" s="673"/>
      <c r="V854" s="673"/>
      <c r="W854" s="673"/>
      <c r="X854" s="673"/>
      <c r="Y854" s="673"/>
      <c r="Z854" s="673"/>
      <c r="AA854" s="673"/>
      <c r="AB854" s="673"/>
      <c r="AC854" s="673"/>
      <c r="AD854" s="673"/>
      <c r="AE854" s="673"/>
      <c r="AF854" s="673"/>
      <c r="AG854" s="673"/>
      <c r="AH854" s="673"/>
    </row>
    <row r="855">
      <c r="A855" s="653"/>
      <c r="B855" s="654"/>
      <c r="C855" s="691"/>
      <c r="D855" s="661"/>
      <c r="E855" s="705"/>
      <c r="F855" s="659"/>
      <c r="G855" s="661"/>
      <c r="H855" s="660"/>
      <c r="I855" s="691"/>
      <c r="J855" s="661"/>
      <c r="K855" s="706"/>
      <c r="L855" s="665"/>
      <c r="M855" s="663"/>
      <c r="N855" s="665"/>
      <c r="O855" s="665"/>
      <c r="P855" s="665"/>
      <c r="Q855" s="665"/>
      <c r="R855" s="665"/>
      <c r="S855" s="665"/>
      <c r="T855" s="673"/>
      <c r="U855" s="673"/>
      <c r="V855" s="673"/>
      <c r="W855" s="673"/>
      <c r="X855" s="673"/>
      <c r="Y855" s="673"/>
      <c r="Z855" s="673"/>
      <c r="AA855" s="673"/>
      <c r="AB855" s="673"/>
      <c r="AC855" s="673"/>
      <c r="AD855" s="673"/>
      <c r="AE855" s="673"/>
      <c r="AF855" s="673"/>
      <c r="AG855" s="673"/>
      <c r="AH855" s="673"/>
    </row>
    <row r="856">
      <c r="A856" s="653"/>
      <c r="B856" s="654"/>
      <c r="C856" s="691"/>
      <c r="D856" s="661"/>
      <c r="E856" s="705"/>
      <c r="F856" s="659"/>
      <c r="G856" s="661"/>
      <c r="H856" s="660"/>
      <c r="I856" s="691"/>
      <c r="J856" s="661"/>
      <c r="K856" s="706"/>
      <c r="L856" s="665"/>
      <c r="M856" s="663"/>
      <c r="N856" s="665"/>
      <c r="O856" s="665"/>
      <c r="P856" s="665"/>
      <c r="Q856" s="665"/>
      <c r="R856" s="665"/>
      <c r="S856" s="665"/>
      <c r="T856" s="673"/>
      <c r="U856" s="673"/>
      <c r="V856" s="673"/>
      <c r="W856" s="673"/>
      <c r="X856" s="673"/>
      <c r="Y856" s="673"/>
      <c r="Z856" s="673"/>
      <c r="AA856" s="673"/>
      <c r="AB856" s="673"/>
      <c r="AC856" s="673"/>
      <c r="AD856" s="673"/>
      <c r="AE856" s="673"/>
      <c r="AF856" s="673"/>
      <c r="AG856" s="673"/>
      <c r="AH856" s="673"/>
    </row>
    <row r="857">
      <c r="A857" s="653"/>
      <c r="B857" s="654"/>
      <c r="C857" s="691"/>
      <c r="D857" s="661"/>
      <c r="E857" s="705"/>
      <c r="F857" s="659"/>
      <c r="G857" s="661"/>
      <c r="H857" s="660"/>
      <c r="I857" s="691"/>
      <c r="J857" s="661"/>
      <c r="K857" s="706"/>
      <c r="L857" s="665"/>
      <c r="M857" s="663"/>
      <c r="N857" s="665"/>
      <c r="O857" s="665"/>
      <c r="P857" s="665"/>
      <c r="Q857" s="665"/>
      <c r="R857" s="665"/>
      <c r="S857" s="665"/>
      <c r="T857" s="673"/>
      <c r="U857" s="673"/>
      <c r="V857" s="673"/>
      <c r="W857" s="673"/>
      <c r="X857" s="673"/>
      <c r="Y857" s="673"/>
      <c r="Z857" s="673"/>
      <c r="AA857" s="673"/>
      <c r="AB857" s="673"/>
      <c r="AC857" s="673"/>
      <c r="AD857" s="673"/>
      <c r="AE857" s="673"/>
      <c r="AF857" s="673"/>
      <c r="AG857" s="673"/>
      <c r="AH857" s="673"/>
    </row>
    <row r="858">
      <c r="A858" s="653"/>
      <c r="B858" s="654"/>
      <c r="C858" s="691"/>
      <c r="D858" s="661"/>
      <c r="E858" s="705"/>
      <c r="F858" s="659"/>
      <c r="G858" s="661"/>
      <c r="H858" s="660"/>
      <c r="I858" s="691"/>
      <c r="J858" s="661"/>
      <c r="K858" s="706"/>
      <c r="L858" s="665"/>
      <c r="M858" s="663"/>
      <c r="N858" s="665"/>
      <c r="O858" s="665"/>
      <c r="P858" s="665"/>
      <c r="Q858" s="665"/>
      <c r="R858" s="665"/>
      <c r="S858" s="665"/>
      <c r="T858" s="673"/>
      <c r="U858" s="673"/>
      <c r="V858" s="673"/>
      <c r="W858" s="673"/>
      <c r="X858" s="673"/>
      <c r="Y858" s="673"/>
      <c r="Z858" s="673"/>
      <c r="AA858" s="673"/>
      <c r="AB858" s="673"/>
      <c r="AC858" s="673"/>
      <c r="AD858" s="673"/>
      <c r="AE858" s="673"/>
      <c r="AF858" s="673"/>
      <c r="AG858" s="673"/>
      <c r="AH858" s="673"/>
    </row>
    <row r="859">
      <c r="A859" s="653"/>
      <c r="B859" s="654"/>
      <c r="C859" s="691"/>
      <c r="D859" s="661"/>
      <c r="E859" s="705"/>
      <c r="F859" s="659"/>
      <c r="G859" s="661"/>
      <c r="H859" s="660"/>
      <c r="I859" s="691"/>
      <c r="J859" s="661"/>
      <c r="K859" s="706"/>
      <c r="L859" s="665"/>
      <c r="M859" s="663"/>
      <c r="N859" s="665"/>
      <c r="O859" s="665"/>
      <c r="P859" s="665"/>
      <c r="Q859" s="665"/>
      <c r="R859" s="665"/>
      <c r="S859" s="665"/>
      <c r="T859" s="673"/>
      <c r="U859" s="673"/>
      <c r="V859" s="673"/>
      <c r="W859" s="673"/>
      <c r="X859" s="673"/>
      <c r="Y859" s="673"/>
      <c r="Z859" s="673"/>
      <c r="AA859" s="673"/>
      <c r="AB859" s="673"/>
      <c r="AC859" s="673"/>
      <c r="AD859" s="673"/>
      <c r="AE859" s="673"/>
      <c r="AF859" s="673"/>
      <c r="AG859" s="673"/>
      <c r="AH859" s="673"/>
    </row>
    <row r="860">
      <c r="A860" s="653"/>
      <c r="B860" s="654"/>
      <c r="C860" s="691"/>
      <c r="D860" s="661"/>
      <c r="E860" s="705"/>
      <c r="F860" s="659"/>
      <c r="G860" s="661"/>
      <c r="H860" s="660"/>
      <c r="I860" s="691"/>
      <c r="J860" s="661"/>
      <c r="K860" s="706"/>
      <c r="L860" s="665"/>
      <c r="M860" s="663"/>
      <c r="N860" s="665"/>
      <c r="O860" s="665"/>
      <c r="P860" s="665"/>
      <c r="Q860" s="665"/>
      <c r="R860" s="665"/>
      <c r="S860" s="665"/>
      <c r="T860" s="673"/>
      <c r="U860" s="673"/>
      <c r="V860" s="673"/>
      <c r="W860" s="673"/>
      <c r="X860" s="673"/>
      <c r="Y860" s="673"/>
      <c r="Z860" s="673"/>
      <c r="AA860" s="673"/>
      <c r="AB860" s="673"/>
      <c r="AC860" s="673"/>
      <c r="AD860" s="673"/>
      <c r="AE860" s="673"/>
      <c r="AF860" s="673"/>
      <c r="AG860" s="673"/>
      <c r="AH860" s="673"/>
    </row>
    <row r="861">
      <c r="A861" s="653"/>
      <c r="B861" s="654"/>
      <c r="C861" s="691"/>
      <c r="D861" s="661"/>
      <c r="E861" s="705"/>
      <c r="F861" s="659"/>
      <c r="G861" s="661"/>
      <c r="H861" s="660"/>
      <c r="I861" s="691"/>
      <c r="J861" s="661"/>
      <c r="K861" s="706"/>
      <c r="L861" s="665"/>
      <c r="M861" s="663"/>
      <c r="N861" s="665"/>
      <c r="O861" s="665"/>
      <c r="P861" s="665"/>
      <c r="Q861" s="665"/>
      <c r="R861" s="665"/>
      <c r="S861" s="665"/>
      <c r="T861" s="673"/>
      <c r="U861" s="673"/>
      <c r="V861" s="673"/>
      <c r="W861" s="673"/>
      <c r="X861" s="673"/>
      <c r="Y861" s="673"/>
      <c r="Z861" s="673"/>
      <c r="AA861" s="673"/>
      <c r="AB861" s="673"/>
      <c r="AC861" s="673"/>
      <c r="AD861" s="673"/>
      <c r="AE861" s="673"/>
      <c r="AF861" s="673"/>
      <c r="AG861" s="673"/>
      <c r="AH861" s="673"/>
    </row>
    <row r="862">
      <c r="A862" s="653"/>
      <c r="B862" s="654"/>
      <c r="C862" s="691"/>
      <c r="D862" s="661"/>
      <c r="E862" s="705"/>
      <c r="F862" s="659"/>
      <c r="G862" s="661"/>
      <c r="H862" s="660"/>
      <c r="I862" s="691"/>
      <c r="J862" s="661"/>
      <c r="K862" s="706"/>
      <c r="L862" s="665"/>
      <c r="M862" s="663"/>
      <c r="N862" s="665"/>
      <c r="O862" s="665"/>
      <c r="P862" s="665"/>
      <c r="Q862" s="665"/>
      <c r="R862" s="665"/>
      <c r="S862" s="665"/>
      <c r="T862" s="673"/>
      <c r="U862" s="673"/>
      <c r="V862" s="673"/>
      <c r="W862" s="673"/>
      <c r="X862" s="673"/>
      <c r="Y862" s="673"/>
      <c r="Z862" s="673"/>
      <c r="AA862" s="673"/>
      <c r="AB862" s="673"/>
      <c r="AC862" s="673"/>
      <c r="AD862" s="673"/>
      <c r="AE862" s="673"/>
      <c r="AF862" s="673"/>
      <c r="AG862" s="673"/>
      <c r="AH862" s="673"/>
    </row>
    <row r="863">
      <c r="A863" s="653"/>
      <c r="B863" s="654"/>
      <c r="C863" s="691"/>
      <c r="D863" s="661"/>
      <c r="E863" s="705"/>
      <c r="F863" s="659"/>
      <c r="G863" s="661"/>
      <c r="H863" s="660"/>
      <c r="I863" s="691"/>
      <c r="J863" s="661"/>
      <c r="K863" s="706"/>
      <c r="L863" s="665"/>
      <c r="M863" s="663"/>
      <c r="N863" s="665"/>
      <c r="O863" s="665"/>
      <c r="P863" s="665"/>
      <c r="Q863" s="665"/>
      <c r="R863" s="665"/>
      <c r="S863" s="665"/>
      <c r="T863" s="673"/>
      <c r="U863" s="673"/>
      <c r="V863" s="673"/>
      <c r="W863" s="673"/>
      <c r="X863" s="673"/>
      <c r="Y863" s="673"/>
      <c r="Z863" s="673"/>
      <c r="AA863" s="673"/>
      <c r="AB863" s="673"/>
      <c r="AC863" s="673"/>
      <c r="AD863" s="673"/>
      <c r="AE863" s="673"/>
      <c r="AF863" s="673"/>
      <c r="AG863" s="673"/>
      <c r="AH863" s="673"/>
    </row>
    <row r="864">
      <c r="A864" s="653"/>
      <c r="B864" s="654"/>
      <c r="C864" s="691"/>
      <c r="D864" s="661"/>
      <c r="E864" s="705"/>
      <c r="F864" s="659"/>
      <c r="G864" s="661"/>
      <c r="H864" s="660"/>
      <c r="I864" s="691"/>
      <c r="J864" s="661"/>
      <c r="K864" s="706"/>
      <c r="L864" s="665"/>
      <c r="M864" s="663"/>
      <c r="N864" s="665"/>
      <c r="O864" s="665"/>
      <c r="P864" s="665"/>
      <c r="Q864" s="665"/>
      <c r="R864" s="665"/>
      <c r="S864" s="665"/>
      <c r="T864" s="673"/>
      <c r="U864" s="673"/>
      <c r="V864" s="673"/>
      <c r="W864" s="673"/>
      <c r="X864" s="673"/>
      <c r="Y864" s="673"/>
      <c r="Z864" s="673"/>
      <c r="AA864" s="673"/>
      <c r="AB864" s="673"/>
      <c r="AC864" s="673"/>
      <c r="AD864" s="673"/>
      <c r="AE864" s="673"/>
      <c r="AF864" s="673"/>
      <c r="AG864" s="673"/>
      <c r="AH864" s="673"/>
    </row>
    <row r="865">
      <c r="A865" s="653"/>
      <c r="B865" s="654"/>
      <c r="C865" s="691"/>
      <c r="D865" s="661"/>
      <c r="E865" s="705"/>
      <c r="F865" s="659"/>
      <c r="G865" s="661"/>
      <c r="H865" s="660"/>
      <c r="I865" s="691"/>
      <c r="J865" s="661"/>
      <c r="K865" s="706"/>
      <c r="L865" s="665"/>
      <c r="M865" s="663"/>
      <c r="N865" s="665"/>
      <c r="O865" s="665"/>
      <c r="P865" s="665"/>
      <c r="Q865" s="665"/>
      <c r="R865" s="665"/>
      <c r="S865" s="665"/>
      <c r="T865" s="673"/>
      <c r="U865" s="673"/>
      <c r="V865" s="673"/>
      <c r="W865" s="673"/>
      <c r="X865" s="673"/>
      <c r="Y865" s="673"/>
      <c r="Z865" s="673"/>
      <c r="AA865" s="673"/>
      <c r="AB865" s="673"/>
      <c r="AC865" s="673"/>
      <c r="AD865" s="673"/>
      <c r="AE865" s="673"/>
      <c r="AF865" s="673"/>
      <c r="AG865" s="673"/>
      <c r="AH865" s="673"/>
    </row>
    <row r="866">
      <c r="A866" s="653"/>
      <c r="B866" s="654"/>
      <c r="C866" s="691"/>
      <c r="D866" s="661"/>
      <c r="E866" s="705"/>
      <c r="F866" s="659"/>
      <c r="G866" s="661"/>
      <c r="H866" s="660"/>
      <c r="I866" s="691"/>
      <c r="J866" s="661"/>
      <c r="K866" s="706"/>
      <c r="L866" s="665"/>
      <c r="M866" s="663"/>
      <c r="N866" s="665"/>
      <c r="O866" s="665"/>
      <c r="P866" s="665"/>
      <c r="Q866" s="665"/>
      <c r="R866" s="665"/>
      <c r="S866" s="665"/>
      <c r="T866" s="673"/>
      <c r="U866" s="673"/>
      <c r="V866" s="673"/>
      <c r="W866" s="673"/>
      <c r="X866" s="673"/>
      <c r="Y866" s="673"/>
      <c r="Z866" s="673"/>
      <c r="AA866" s="673"/>
      <c r="AB866" s="673"/>
      <c r="AC866" s="673"/>
      <c r="AD866" s="673"/>
      <c r="AE866" s="673"/>
      <c r="AF866" s="673"/>
      <c r="AG866" s="673"/>
      <c r="AH866" s="673"/>
    </row>
    <row r="867">
      <c r="A867" s="653"/>
      <c r="B867" s="654"/>
      <c r="C867" s="691"/>
      <c r="D867" s="661"/>
      <c r="E867" s="705"/>
      <c r="F867" s="659"/>
      <c r="G867" s="661"/>
      <c r="H867" s="660"/>
      <c r="I867" s="691"/>
      <c r="J867" s="661"/>
      <c r="K867" s="706"/>
      <c r="L867" s="665"/>
      <c r="M867" s="663"/>
      <c r="N867" s="665"/>
      <c r="O867" s="665"/>
      <c r="P867" s="665"/>
      <c r="Q867" s="665"/>
      <c r="R867" s="665"/>
      <c r="S867" s="665"/>
      <c r="T867" s="673"/>
      <c r="U867" s="673"/>
      <c r="V867" s="673"/>
      <c r="W867" s="673"/>
      <c r="X867" s="673"/>
      <c r="Y867" s="673"/>
      <c r="Z867" s="673"/>
      <c r="AA867" s="673"/>
      <c r="AB867" s="673"/>
      <c r="AC867" s="673"/>
      <c r="AD867" s="673"/>
      <c r="AE867" s="673"/>
      <c r="AF867" s="673"/>
      <c r="AG867" s="673"/>
      <c r="AH867" s="673"/>
    </row>
    <row r="868">
      <c r="A868" s="653"/>
      <c r="B868" s="654"/>
      <c r="C868" s="691"/>
      <c r="D868" s="661"/>
      <c r="E868" s="705"/>
      <c r="F868" s="659"/>
      <c r="G868" s="661"/>
      <c r="H868" s="660"/>
      <c r="I868" s="691"/>
      <c r="J868" s="661"/>
      <c r="K868" s="706"/>
      <c r="L868" s="665"/>
      <c r="M868" s="663"/>
      <c r="N868" s="665"/>
      <c r="O868" s="665"/>
      <c r="P868" s="665"/>
      <c r="Q868" s="665"/>
      <c r="R868" s="665"/>
      <c r="S868" s="665"/>
      <c r="T868" s="673"/>
      <c r="U868" s="673"/>
      <c r="V868" s="673"/>
      <c r="W868" s="673"/>
      <c r="X868" s="673"/>
      <c r="Y868" s="673"/>
      <c r="Z868" s="673"/>
      <c r="AA868" s="673"/>
      <c r="AB868" s="673"/>
      <c r="AC868" s="673"/>
      <c r="AD868" s="673"/>
      <c r="AE868" s="673"/>
      <c r="AF868" s="673"/>
      <c r="AG868" s="673"/>
      <c r="AH868" s="673"/>
    </row>
    <row r="869">
      <c r="A869" s="653"/>
      <c r="B869" s="654"/>
      <c r="C869" s="691"/>
      <c r="D869" s="661"/>
      <c r="E869" s="705"/>
      <c r="F869" s="659"/>
      <c r="G869" s="661"/>
      <c r="H869" s="660"/>
      <c r="I869" s="691"/>
      <c r="J869" s="661"/>
      <c r="K869" s="706"/>
      <c r="L869" s="665"/>
      <c r="M869" s="663"/>
      <c r="N869" s="665"/>
      <c r="O869" s="665"/>
      <c r="P869" s="665"/>
      <c r="Q869" s="665"/>
      <c r="R869" s="665"/>
      <c r="S869" s="665"/>
      <c r="T869" s="673"/>
      <c r="U869" s="673"/>
      <c r="V869" s="673"/>
      <c r="W869" s="673"/>
      <c r="X869" s="673"/>
      <c r="Y869" s="673"/>
      <c r="Z869" s="673"/>
      <c r="AA869" s="673"/>
      <c r="AB869" s="673"/>
      <c r="AC869" s="673"/>
      <c r="AD869" s="673"/>
      <c r="AE869" s="673"/>
      <c r="AF869" s="673"/>
      <c r="AG869" s="673"/>
      <c r="AH869" s="673"/>
    </row>
    <row r="870">
      <c r="A870" s="653"/>
      <c r="B870" s="654"/>
      <c r="C870" s="691"/>
      <c r="D870" s="661"/>
      <c r="E870" s="705"/>
      <c r="F870" s="659"/>
      <c r="G870" s="661"/>
      <c r="H870" s="660"/>
      <c r="I870" s="691"/>
      <c r="J870" s="661"/>
      <c r="K870" s="706"/>
      <c r="L870" s="665"/>
      <c r="M870" s="663"/>
      <c r="N870" s="665"/>
      <c r="O870" s="665"/>
      <c r="P870" s="665"/>
      <c r="Q870" s="665"/>
      <c r="R870" s="665"/>
      <c r="S870" s="665"/>
      <c r="T870" s="673"/>
      <c r="U870" s="673"/>
      <c r="V870" s="673"/>
      <c r="W870" s="673"/>
      <c r="X870" s="673"/>
      <c r="Y870" s="673"/>
      <c r="Z870" s="673"/>
      <c r="AA870" s="673"/>
      <c r="AB870" s="673"/>
      <c r="AC870" s="673"/>
      <c r="AD870" s="673"/>
      <c r="AE870" s="673"/>
      <c r="AF870" s="673"/>
      <c r="AG870" s="673"/>
      <c r="AH870" s="673"/>
    </row>
    <row r="871">
      <c r="A871" s="653"/>
      <c r="B871" s="654"/>
      <c r="C871" s="691"/>
      <c r="D871" s="661"/>
      <c r="E871" s="705"/>
      <c r="F871" s="659"/>
      <c r="G871" s="661"/>
      <c r="H871" s="660"/>
      <c r="I871" s="691"/>
      <c r="J871" s="661"/>
      <c r="K871" s="706"/>
      <c r="L871" s="665"/>
      <c r="M871" s="663"/>
      <c r="N871" s="665"/>
      <c r="O871" s="665"/>
      <c r="P871" s="665"/>
      <c r="Q871" s="665"/>
      <c r="R871" s="665"/>
      <c r="S871" s="665"/>
      <c r="T871" s="673"/>
      <c r="U871" s="673"/>
      <c r="V871" s="673"/>
      <c r="W871" s="673"/>
      <c r="X871" s="673"/>
      <c r="Y871" s="673"/>
      <c r="Z871" s="673"/>
      <c r="AA871" s="673"/>
      <c r="AB871" s="673"/>
      <c r="AC871" s="673"/>
      <c r="AD871" s="673"/>
      <c r="AE871" s="673"/>
      <c r="AF871" s="673"/>
      <c r="AG871" s="673"/>
      <c r="AH871" s="673"/>
    </row>
    <row r="872">
      <c r="A872" s="653"/>
      <c r="B872" s="654"/>
      <c r="C872" s="691"/>
      <c r="D872" s="661"/>
      <c r="E872" s="705"/>
      <c r="F872" s="659"/>
      <c r="G872" s="661"/>
      <c r="H872" s="660"/>
      <c r="I872" s="691"/>
      <c r="J872" s="661"/>
      <c r="K872" s="706"/>
      <c r="L872" s="665"/>
      <c r="M872" s="663"/>
      <c r="N872" s="665"/>
      <c r="O872" s="665"/>
      <c r="P872" s="665"/>
      <c r="Q872" s="665"/>
      <c r="R872" s="665"/>
      <c r="S872" s="665"/>
      <c r="T872" s="673"/>
      <c r="U872" s="673"/>
      <c r="V872" s="673"/>
      <c r="W872" s="673"/>
      <c r="X872" s="673"/>
      <c r="Y872" s="673"/>
      <c r="Z872" s="673"/>
      <c r="AA872" s="673"/>
      <c r="AB872" s="673"/>
      <c r="AC872" s="673"/>
      <c r="AD872" s="673"/>
      <c r="AE872" s="673"/>
      <c r="AF872" s="673"/>
      <c r="AG872" s="673"/>
      <c r="AH872" s="673"/>
    </row>
    <row r="873">
      <c r="A873" s="653"/>
      <c r="B873" s="654"/>
      <c r="C873" s="691"/>
      <c r="D873" s="661"/>
      <c r="E873" s="705"/>
      <c r="F873" s="659"/>
      <c r="G873" s="661"/>
      <c r="H873" s="660"/>
      <c r="I873" s="691"/>
      <c r="J873" s="661"/>
      <c r="K873" s="706"/>
      <c r="L873" s="665"/>
      <c r="M873" s="663"/>
      <c r="N873" s="665"/>
      <c r="O873" s="665"/>
      <c r="P873" s="665"/>
      <c r="Q873" s="665"/>
      <c r="R873" s="665"/>
      <c r="S873" s="665"/>
      <c r="T873" s="673"/>
      <c r="U873" s="673"/>
      <c r="V873" s="673"/>
      <c r="W873" s="673"/>
      <c r="X873" s="673"/>
      <c r="Y873" s="673"/>
      <c r="Z873" s="673"/>
      <c r="AA873" s="673"/>
      <c r="AB873" s="673"/>
      <c r="AC873" s="673"/>
      <c r="AD873" s="673"/>
      <c r="AE873" s="673"/>
      <c r="AF873" s="673"/>
      <c r="AG873" s="673"/>
      <c r="AH873" s="673"/>
    </row>
    <row r="874">
      <c r="A874" s="653"/>
      <c r="B874" s="654"/>
      <c r="C874" s="691"/>
      <c r="D874" s="661"/>
      <c r="E874" s="705"/>
      <c r="F874" s="659"/>
      <c r="G874" s="661"/>
      <c r="H874" s="660"/>
      <c r="I874" s="691"/>
      <c r="J874" s="661"/>
      <c r="K874" s="706"/>
      <c r="L874" s="665"/>
      <c r="M874" s="663"/>
      <c r="N874" s="665"/>
      <c r="O874" s="665"/>
      <c r="P874" s="665"/>
      <c r="Q874" s="665"/>
      <c r="R874" s="665"/>
      <c r="S874" s="665"/>
      <c r="T874" s="673"/>
      <c r="U874" s="673"/>
      <c r="V874" s="673"/>
      <c r="W874" s="673"/>
      <c r="X874" s="673"/>
      <c r="Y874" s="673"/>
      <c r="Z874" s="673"/>
      <c r="AA874" s="673"/>
      <c r="AB874" s="673"/>
      <c r="AC874" s="673"/>
      <c r="AD874" s="673"/>
      <c r="AE874" s="673"/>
      <c r="AF874" s="673"/>
      <c r="AG874" s="673"/>
      <c r="AH874" s="673"/>
    </row>
    <row r="875">
      <c r="A875" s="653"/>
      <c r="B875" s="654"/>
      <c r="C875" s="691"/>
      <c r="D875" s="661"/>
      <c r="E875" s="705"/>
      <c r="F875" s="659"/>
      <c r="G875" s="661"/>
      <c r="H875" s="660"/>
      <c r="I875" s="691"/>
      <c r="J875" s="661"/>
      <c r="K875" s="706"/>
      <c r="L875" s="665"/>
      <c r="M875" s="663"/>
      <c r="N875" s="665"/>
      <c r="O875" s="665"/>
      <c r="P875" s="665"/>
      <c r="Q875" s="665"/>
      <c r="R875" s="665"/>
      <c r="S875" s="665"/>
      <c r="T875" s="673"/>
      <c r="U875" s="673"/>
      <c r="V875" s="673"/>
      <c r="W875" s="673"/>
      <c r="X875" s="673"/>
      <c r="Y875" s="673"/>
      <c r="Z875" s="673"/>
      <c r="AA875" s="673"/>
      <c r="AB875" s="673"/>
      <c r="AC875" s="673"/>
      <c r="AD875" s="673"/>
      <c r="AE875" s="673"/>
      <c r="AF875" s="673"/>
      <c r="AG875" s="673"/>
      <c r="AH875" s="673"/>
    </row>
    <row r="876">
      <c r="A876" s="653"/>
      <c r="B876" s="654"/>
      <c r="C876" s="691"/>
      <c r="D876" s="661"/>
      <c r="E876" s="705"/>
      <c r="F876" s="659"/>
      <c r="G876" s="661"/>
      <c r="H876" s="660"/>
      <c r="I876" s="691"/>
      <c r="J876" s="661"/>
      <c r="K876" s="706"/>
      <c r="L876" s="665"/>
      <c r="M876" s="663"/>
      <c r="N876" s="665"/>
      <c r="O876" s="665"/>
      <c r="P876" s="665"/>
      <c r="Q876" s="665"/>
      <c r="R876" s="665"/>
      <c r="S876" s="665"/>
      <c r="T876" s="673"/>
      <c r="U876" s="673"/>
      <c r="V876" s="673"/>
      <c r="W876" s="673"/>
      <c r="X876" s="673"/>
      <c r="Y876" s="673"/>
      <c r="Z876" s="673"/>
      <c r="AA876" s="673"/>
      <c r="AB876" s="673"/>
      <c r="AC876" s="673"/>
      <c r="AD876" s="673"/>
      <c r="AE876" s="673"/>
      <c r="AF876" s="673"/>
      <c r="AG876" s="673"/>
      <c r="AH876" s="673"/>
    </row>
    <row r="877">
      <c r="A877" s="653"/>
      <c r="B877" s="654"/>
      <c r="C877" s="691"/>
      <c r="D877" s="661"/>
      <c r="E877" s="705"/>
      <c r="F877" s="659"/>
      <c r="G877" s="661"/>
      <c r="H877" s="660"/>
      <c r="I877" s="691"/>
      <c r="J877" s="661"/>
      <c r="K877" s="706"/>
      <c r="L877" s="665"/>
      <c r="M877" s="663"/>
      <c r="N877" s="665"/>
      <c r="O877" s="665"/>
      <c r="P877" s="665"/>
      <c r="Q877" s="665"/>
      <c r="R877" s="665"/>
      <c r="S877" s="665"/>
      <c r="T877" s="673"/>
      <c r="U877" s="673"/>
      <c r="V877" s="673"/>
      <c r="W877" s="673"/>
      <c r="X877" s="673"/>
      <c r="Y877" s="673"/>
      <c r="Z877" s="673"/>
      <c r="AA877" s="673"/>
      <c r="AB877" s="673"/>
      <c r="AC877" s="673"/>
      <c r="AD877" s="673"/>
      <c r="AE877" s="673"/>
      <c r="AF877" s="673"/>
      <c r="AG877" s="673"/>
      <c r="AH877" s="673"/>
    </row>
    <row r="878">
      <c r="A878" s="653"/>
      <c r="B878" s="654"/>
      <c r="C878" s="691"/>
      <c r="D878" s="661"/>
      <c r="E878" s="705"/>
      <c r="F878" s="659"/>
      <c r="G878" s="661"/>
      <c r="H878" s="660"/>
      <c r="I878" s="691"/>
      <c r="J878" s="661"/>
      <c r="K878" s="706"/>
      <c r="L878" s="665"/>
      <c r="M878" s="663"/>
      <c r="N878" s="665"/>
      <c r="O878" s="665"/>
      <c r="P878" s="665"/>
      <c r="Q878" s="665"/>
      <c r="R878" s="665"/>
      <c r="S878" s="665"/>
      <c r="T878" s="673"/>
      <c r="U878" s="673"/>
      <c r="V878" s="673"/>
      <c r="W878" s="673"/>
      <c r="X878" s="673"/>
      <c r="Y878" s="673"/>
      <c r="Z878" s="673"/>
      <c r="AA878" s="673"/>
      <c r="AB878" s="673"/>
      <c r="AC878" s="673"/>
      <c r="AD878" s="673"/>
      <c r="AE878" s="673"/>
      <c r="AF878" s="673"/>
      <c r="AG878" s="673"/>
      <c r="AH878" s="673"/>
    </row>
    <row r="879">
      <c r="A879" s="653"/>
      <c r="B879" s="654"/>
      <c r="C879" s="691"/>
      <c r="D879" s="661"/>
      <c r="E879" s="705"/>
      <c r="F879" s="659"/>
      <c r="G879" s="661"/>
      <c r="H879" s="660"/>
      <c r="I879" s="691"/>
      <c r="J879" s="661"/>
      <c r="K879" s="706"/>
      <c r="L879" s="665"/>
      <c r="M879" s="663"/>
      <c r="N879" s="665"/>
      <c r="O879" s="665"/>
      <c r="P879" s="665"/>
      <c r="Q879" s="665"/>
      <c r="R879" s="665"/>
      <c r="S879" s="665"/>
      <c r="T879" s="673"/>
      <c r="U879" s="673"/>
      <c r="V879" s="673"/>
      <c r="W879" s="673"/>
      <c r="X879" s="673"/>
      <c r="Y879" s="673"/>
      <c r="Z879" s="673"/>
      <c r="AA879" s="673"/>
      <c r="AB879" s="673"/>
      <c r="AC879" s="673"/>
      <c r="AD879" s="673"/>
      <c r="AE879" s="673"/>
      <c r="AF879" s="673"/>
      <c r="AG879" s="673"/>
      <c r="AH879" s="673"/>
    </row>
    <row r="880">
      <c r="A880" s="653"/>
      <c r="B880" s="654"/>
      <c r="C880" s="691"/>
      <c r="D880" s="661"/>
      <c r="E880" s="705"/>
      <c r="F880" s="659"/>
      <c r="G880" s="661"/>
      <c r="H880" s="660"/>
      <c r="I880" s="691"/>
      <c r="J880" s="661"/>
      <c r="K880" s="706"/>
      <c r="L880" s="665"/>
      <c r="M880" s="663"/>
      <c r="N880" s="665"/>
      <c r="O880" s="665"/>
      <c r="P880" s="665"/>
      <c r="Q880" s="665"/>
      <c r="R880" s="665"/>
      <c r="S880" s="665"/>
      <c r="T880" s="673"/>
      <c r="U880" s="673"/>
      <c r="V880" s="673"/>
      <c r="W880" s="673"/>
      <c r="X880" s="673"/>
      <c r="Y880" s="673"/>
      <c r="Z880" s="673"/>
      <c r="AA880" s="673"/>
      <c r="AB880" s="673"/>
      <c r="AC880" s="673"/>
      <c r="AD880" s="673"/>
      <c r="AE880" s="673"/>
      <c r="AF880" s="673"/>
      <c r="AG880" s="673"/>
      <c r="AH880" s="673"/>
    </row>
    <row r="881">
      <c r="A881" s="653"/>
      <c r="B881" s="654"/>
      <c r="C881" s="691"/>
      <c r="D881" s="661"/>
      <c r="E881" s="705"/>
      <c r="F881" s="659"/>
      <c r="G881" s="661"/>
      <c r="H881" s="660"/>
      <c r="I881" s="691"/>
      <c r="J881" s="661"/>
      <c r="K881" s="706"/>
      <c r="L881" s="665"/>
      <c r="M881" s="663"/>
      <c r="N881" s="665"/>
      <c r="O881" s="665"/>
      <c r="P881" s="665"/>
      <c r="Q881" s="665"/>
      <c r="R881" s="665"/>
      <c r="S881" s="665"/>
      <c r="T881" s="673"/>
      <c r="U881" s="673"/>
      <c r="V881" s="673"/>
      <c r="W881" s="673"/>
      <c r="X881" s="673"/>
      <c r="Y881" s="673"/>
      <c r="Z881" s="673"/>
      <c r="AA881" s="673"/>
      <c r="AB881" s="673"/>
      <c r="AC881" s="673"/>
      <c r="AD881" s="673"/>
      <c r="AE881" s="673"/>
      <c r="AF881" s="673"/>
      <c r="AG881" s="673"/>
      <c r="AH881" s="673"/>
    </row>
    <row r="882">
      <c r="A882" s="653"/>
      <c r="B882" s="654"/>
      <c r="C882" s="691"/>
      <c r="D882" s="661"/>
      <c r="E882" s="705"/>
      <c r="F882" s="659"/>
      <c r="G882" s="661"/>
      <c r="H882" s="660"/>
      <c r="I882" s="691"/>
      <c r="J882" s="661"/>
      <c r="K882" s="706"/>
      <c r="L882" s="665"/>
      <c r="M882" s="663"/>
      <c r="N882" s="665"/>
      <c r="O882" s="665"/>
      <c r="P882" s="665"/>
      <c r="Q882" s="665"/>
      <c r="R882" s="665"/>
      <c r="S882" s="665"/>
      <c r="T882" s="673"/>
      <c r="U882" s="673"/>
      <c r="V882" s="673"/>
      <c r="W882" s="673"/>
      <c r="X882" s="673"/>
      <c r="Y882" s="673"/>
      <c r="Z882" s="673"/>
      <c r="AA882" s="673"/>
      <c r="AB882" s="673"/>
      <c r="AC882" s="673"/>
      <c r="AD882" s="673"/>
      <c r="AE882" s="673"/>
      <c r="AF882" s="673"/>
      <c r="AG882" s="673"/>
      <c r="AH882" s="673"/>
    </row>
    <row r="883">
      <c r="A883" s="653"/>
      <c r="B883" s="654"/>
      <c r="C883" s="691"/>
      <c r="D883" s="661"/>
      <c r="E883" s="705"/>
      <c r="F883" s="659"/>
      <c r="G883" s="661"/>
      <c r="H883" s="660"/>
      <c r="I883" s="691"/>
      <c r="J883" s="661"/>
      <c r="K883" s="706"/>
      <c r="L883" s="665"/>
      <c r="M883" s="663"/>
      <c r="N883" s="665"/>
      <c r="O883" s="665"/>
      <c r="P883" s="665"/>
      <c r="Q883" s="665"/>
      <c r="R883" s="665"/>
      <c r="S883" s="665"/>
      <c r="T883" s="673"/>
      <c r="U883" s="673"/>
      <c r="V883" s="673"/>
      <c r="W883" s="673"/>
      <c r="X883" s="673"/>
      <c r="Y883" s="673"/>
      <c r="Z883" s="673"/>
      <c r="AA883" s="673"/>
      <c r="AB883" s="673"/>
      <c r="AC883" s="673"/>
      <c r="AD883" s="673"/>
      <c r="AE883" s="673"/>
      <c r="AF883" s="673"/>
      <c r="AG883" s="673"/>
      <c r="AH883" s="673"/>
    </row>
    <row r="884">
      <c r="A884" s="653"/>
      <c r="B884" s="654"/>
      <c r="C884" s="691"/>
      <c r="D884" s="661"/>
      <c r="E884" s="705"/>
      <c r="F884" s="659"/>
      <c r="G884" s="661"/>
      <c r="H884" s="660"/>
      <c r="I884" s="691"/>
      <c r="J884" s="661"/>
      <c r="K884" s="706"/>
      <c r="L884" s="665"/>
      <c r="M884" s="663"/>
      <c r="N884" s="665"/>
      <c r="O884" s="665"/>
      <c r="P884" s="665"/>
      <c r="Q884" s="665"/>
      <c r="R884" s="665"/>
      <c r="S884" s="665"/>
      <c r="T884" s="673"/>
      <c r="U884" s="673"/>
      <c r="V884" s="673"/>
      <c r="W884" s="673"/>
      <c r="X884" s="673"/>
      <c r="Y884" s="673"/>
      <c r="Z884" s="673"/>
      <c r="AA884" s="673"/>
      <c r="AB884" s="673"/>
      <c r="AC884" s="673"/>
      <c r="AD884" s="673"/>
      <c r="AE884" s="673"/>
      <c r="AF884" s="673"/>
      <c r="AG884" s="673"/>
      <c r="AH884" s="673"/>
    </row>
    <row r="885">
      <c r="A885" s="653"/>
      <c r="B885" s="654"/>
      <c r="C885" s="691"/>
      <c r="D885" s="661"/>
      <c r="E885" s="705"/>
      <c r="F885" s="659"/>
      <c r="G885" s="661"/>
      <c r="H885" s="660"/>
      <c r="I885" s="691"/>
      <c r="J885" s="661"/>
      <c r="K885" s="706"/>
      <c r="L885" s="665"/>
      <c r="M885" s="663"/>
      <c r="N885" s="665"/>
      <c r="O885" s="665"/>
      <c r="P885" s="665"/>
      <c r="Q885" s="665"/>
      <c r="R885" s="665"/>
      <c r="S885" s="665"/>
      <c r="T885" s="673"/>
      <c r="U885" s="673"/>
      <c r="V885" s="673"/>
      <c r="W885" s="673"/>
      <c r="X885" s="673"/>
      <c r="Y885" s="673"/>
      <c r="Z885" s="673"/>
      <c r="AA885" s="673"/>
      <c r="AB885" s="673"/>
      <c r="AC885" s="673"/>
      <c r="AD885" s="673"/>
      <c r="AE885" s="673"/>
      <c r="AF885" s="673"/>
      <c r="AG885" s="673"/>
      <c r="AH885" s="673"/>
    </row>
    <row r="886">
      <c r="A886" s="653"/>
      <c r="B886" s="654"/>
      <c r="C886" s="691"/>
      <c r="D886" s="661"/>
      <c r="E886" s="705"/>
      <c r="F886" s="659"/>
      <c r="G886" s="661"/>
      <c r="H886" s="660"/>
      <c r="I886" s="691"/>
      <c r="J886" s="661"/>
      <c r="K886" s="706"/>
      <c r="L886" s="665"/>
      <c r="M886" s="663"/>
      <c r="N886" s="665"/>
      <c r="O886" s="665"/>
      <c r="P886" s="665"/>
      <c r="Q886" s="665"/>
      <c r="R886" s="665"/>
      <c r="S886" s="665"/>
      <c r="T886" s="673"/>
      <c r="U886" s="673"/>
      <c r="V886" s="673"/>
      <c r="W886" s="673"/>
      <c r="X886" s="673"/>
      <c r="Y886" s="673"/>
      <c r="Z886" s="673"/>
      <c r="AA886" s="673"/>
      <c r="AB886" s="673"/>
      <c r="AC886" s="673"/>
      <c r="AD886" s="673"/>
      <c r="AE886" s="673"/>
      <c r="AF886" s="673"/>
      <c r="AG886" s="673"/>
      <c r="AH886" s="673"/>
    </row>
    <row r="887">
      <c r="A887" s="653"/>
      <c r="B887" s="654"/>
      <c r="C887" s="691"/>
      <c r="D887" s="661"/>
      <c r="E887" s="705"/>
      <c r="F887" s="659"/>
      <c r="G887" s="661"/>
      <c r="H887" s="660"/>
      <c r="I887" s="691"/>
      <c r="J887" s="661"/>
      <c r="K887" s="706"/>
      <c r="L887" s="665"/>
      <c r="M887" s="663"/>
      <c r="N887" s="665"/>
      <c r="O887" s="665"/>
      <c r="P887" s="665"/>
      <c r="Q887" s="665"/>
      <c r="R887" s="665"/>
      <c r="S887" s="665"/>
      <c r="T887" s="673"/>
      <c r="U887" s="673"/>
      <c r="V887" s="673"/>
      <c r="W887" s="673"/>
      <c r="X887" s="673"/>
      <c r="Y887" s="673"/>
      <c r="Z887" s="673"/>
      <c r="AA887" s="673"/>
      <c r="AB887" s="673"/>
      <c r="AC887" s="673"/>
      <c r="AD887" s="673"/>
      <c r="AE887" s="673"/>
      <c r="AF887" s="673"/>
      <c r="AG887" s="673"/>
      <c r="AH887" s="673"/>
    </row>
    <row r="888">
      <c r="A888" s="653"/>
      <c r="B888" s="654"/>
      <c r="C888" s="691"/>
      <c r="D888" s="661"/>
      <c r="E888" s="705"/>
      <c r="F888" s="659"/>
      <c r="G888" s="661"/>
      <c r="H888" s="660"/>
      <c r="I888" s="691"/>
      <c r="J888" s="661"/>
      <c r="K888" s="706"/>
      <c r="L888" s="665"/>
      <c r="M888" s="663"/>
      <c r="N888" s="665"/>
      <c r="O888" s="665"/>
      <c r="P888" s="665"/>
      <c r="Q888" s="665"/>
      <c r="R888" s="665"/>
      <c r="S888" s="665"/>
      <c r="T888" s="673"/>
      <c r="U888" s="673"/>
      <c r="V888" s="673"/>
      <c r="W888" s="673"/>
      <c r="X888" s="673"/>
      <c r="Y888" s="673"/>
      <c r="Z888" s="673"/>
      <c r="AA888" s="673"/>
      <c r="AB888" s="673"/>
      <c r="AC888" s="673"/>
      <c r="AD888" s="673"/>
      <c r="AE888" s="673"/>
      <c r="AF888" s="673"/>
      <c r="AG888" s="673"/>
      <c r="AH888" s="673"/>
    </row>
    <row r="889">
      <c r="A889" s="653"/>
      <c r="B889" s="654"/>
      <c r="C889" s="691"/>
      <c r="D889" s="661"/>
      <c r="E889" s="705"/>
      <c r="F889" s="659"/>
      <c r="G889" s="661"/>
      <c r="H889" s="660"/>
      <c r="I889" s="691"/>
      <c r="J889" s="661"/>
      <c r="K889" s="706"/>
      <c r="L889" s="665"/>
      <c r="M889" s="663"/>
      <c r="N889" s="665"/>
      <c r="O889" s="665"/>
      <c r="P889" s="665"/>
      <c r="Q889" s="665"/>
      <c r="R889" s="665"/>
      <c r="S889" s="665"/>
      <c r="T889" s="673"/>
      <c r="U889" s="673"/>
      <c r="V889" s="673"/>
      <c r="W889" s="673"/>
      <c r="X889" s="673"/>
      <c r="Y889" s="673"/>
      <c r="Z889" s="673"/>
      <c r="AA889" s="673"/>
      <c r="AB889" s="673"/>
      <c r="AC889" s="673"/>
      <c r="AD889" s="673"/>
      <c r="AE889" s="673"/>
      <c r="AF889" s="673"/>
      <c r="AG889" s="673"/>
      <c r="AH889" s="673"/>
    </row>
    <row r="890">
      <c r="A890" s="653"/>
      <c r="B890" s="654"/>
      <c r="C890" s="691"/>
      <c r="D890" s="661"/>
      <c r="E890" s="705"/>
      <c r="F890" s="659"/>
      <c r="G890" s="661"/>
      <c r="H890" s="660"/>
      <c r="I890" s="691"/>
      <c r="J890" s="661"/>
      <c r="K890" s="706"/>
      <c r="L890" s="665"/>
      <c r="M890" s="663"/>
      <c r="N890" s="665"/>
      <c r="O890" s="665"/>
      <c r="P890" s="665"/>
      <c r="Q890" s="665"/>
      <c r="R890" s="665"/>
      <c r="S890" s="665"/>
      <c r="T890" s="673"/>
      <c r="U890" s="673"/>
      <c r="V890" s="673"/>
      <c r="W890" s="673"/>
      <c r="X890" s="673"/>
      <c r="Y890" s="673"/>
      <c r="Z890" s="673"/>
      <c r="AA890" s="673"/>
      <c r="AB890" s="673"/>
      <c r="AC890" s="673"/>
      <c r="AD890" s="673"/>
      <c r="AE890" s="673"/>
      <c r="AF890" s="673"/>
      <c r="AG890" s="673"/>
      <c r="AH890" s="673"/>
    </row>
    <row r="891">
      <c r="A891" s="653"/>
      <c r="B891" s="654"/>
      <c r="C891" s="691"/>
      <c r="D891" s="661"/>
      <c r="E891" s="705"/>
      <c r="F891" s="659"/>
      <c r="G891" s="661"/>
      <c r="H891" s="660"/>
      <c r="I891" s="691"/>
      <c r="J891" s="661"/>
      <c r="K891" s="706"/>
      <c r="L891" s="665"/>
      <c r="M891" s="663"/>
      <c r="N891" s="665"/>
      <c r="O891" s="665"/>
      <c r="P891" s="665"/>
      <c r="Q891" s="665"/>
      <c r="R891" s="665"/>
      <c r="S891" s="665"/>
      <c r="T891" s="673"/>
      <c r="U891" s="673"/>
      <c r="V891" s="673"/>
      <c r="W891" s="673"/>
      <c r="X891" s="673"/>
      <c r="Y891" s="673"/>
      <c r="Z891" s="673"/>
      <c r="AA891" s="673"/>
      <c r="AB891" s="673"/>
      <c r="AC891" s="673"/>
      <c r="AD891" s="673"/>
      <c r="AE891" s="673"/>
      <c r="AF891" s="673"/>
      <c r="AG891" s="673"/>
      <c r="AH891" s="673"/>
    </row>
    <row r="892">
      <c r="A892" s="653"/>
      <c r="B892" s="654"/>
      <c r="C892" s="691"/>
      <c r="D892" s="661"/>
      <c r="E892" s="705"/>
      <c r="F892" s="659"/>
      <c r="G892" s="661"/>
      <c r="H892" s="660"/>
      <c r="I892" s="691"/>
      <c r="J892" s="661"/>
      <c r="K892" s="706"/>
      <c r="L892" s="665"/>
      <c r="M892" s="663"/>
      <c r="N892" s="665"/>
      <c r="O892" s="665"/>
      <c r="P892" s="665"/>
      <c r="Q892" s="665"/>
      <c r="R892" s="665"/>
      <c r="S892" s="665"/>
      <c r="T892" s="673"/>
      <c r="U892" s="673"/>
      <c r="V892" s="673"/>
      <c r="W892" s="673"/>
      <c r="X892" s="673"/>
      <c r="Y892" s="673"/>
      <c r="Z892" s="673"/>
      <c r="AA892" s="673"/>
      <c r="AB892" s="673"/>
      <c r="AC892" s="673"/>
      <c r="AD892" s="673"/>
      <c r="AE892" s="673"/>
      <c r="AF892" s="673"/>
      <c r="AG892" s="673"/>
      <c r="AH892" s="673"/>
    </row>
    <row r="893">
      <c r="A893" s="653"/>
      <c r="B893" s="654"/>
      <c r="C893" s="691"/>
      <c r="D893" s="661"/>
      <c r="E893" s="705"/>
      <c r="F893" s="659"/>
      <c r="G893" s="661"/>
      <c r="H893" s="660"/>
      <c r="I893" s="691"/>
      <c r="J893" s="661"/>
      <c r="K893" s="706"/>
      <c r="L893" s="665"/>
      <c r="M893" s="663"/>
      <c r="N893" s="665"/>
      <c r="O893" s="665"/>
      <c r="P893" s="665"/>
      <c r="Q893" s="665"/>
      <c r="R893" s="665"/>
      <c r="S893" s="665"/>
      <c r="T893" s="673"/>
      <c r="U893" s="673"/>
      <c r="V893" s="673"/>
      <c r="W893" s="673"/>
      <c r="X893" s="673"/>
      <c r="Y893" s="673"/>
      <c r="Z893" s="673"/>
      <c r="AA893" s="673"/>
      <c r="AB893" s="673"/>
      <c r="AC893" s="673"/>
      <c r="AD893" s="673"/>
      <c r="AE893" s="673"/>
      <c r="AF893" s="673"/>
      <c r="AG893" s="673"/>
      <c r="AH893" s="673"/>
    </row>
    <row r="894">
      <c r="A894" s="653"/>
      <c r="B894" s="654"/>
      <c r="C894" s="691"/>
      <c r="D894" s="661"/>
      <c r="E894" s="705"/>
      <c r="F894" s="659"/>
      <c r="G894" s="661"/>
      <c r="H894" s="660"/>
      <c r="I894" s="691"/>
      <c r="J894" s="661"/>
      <c r="K894" s="706"/>
      <c r="L894" s="665"/>
      <c r="M894" s="663"/>
      <c r="N894" s="665"/>
      <c r="O894" s="665"/>
      <c r="P894" s="665"/>
      <c r="Q894" s="665"/>
      <c r="R894" s="665"/>
      <c r="S894" s="665"/>
      <c r="T894" s="673"/>
      <c r="U894" s="673"/>
      <c r="V894" s="673"/>
      <c r="W894" s="673"/>
      <c r="X894" s="673"/>
      <c r="Y894" s="673"/>
      <c r="Z894" s="673"/>
      <c r="AA894" s="673"/>
      <c r="AB894" s="673"/>
      <c r="AC894" s="673"/>
      <c r="AD894" s="673"/>
      <c r="AE894" s="673"/>
      <c r="AF894" s="673"/>
      <c r="AG894" s="673"/>
      <c r="AH894" s="673"/>
    </row>
    <row r="895">
      <c r="A895" s="653"/>
      <c r="B895" s="654"/>
      <c r="C895" s="691"/>
      <c r="D895" s="661"/>
      <c r="E895" s="705"/>
      <c r="F895" s="659"/>
      <c r="G895" s="661"/>
      <c r="H895" s="660"/>
      <c r="I895" s="691"/>
      <c r="J895" s="661"/>
      <c r="K895" s="706"/>
      <c r="L895" s="665"/>
      <c r="M895" s="663"/>
      <c r="N895" s="665"/>
      <c r="O895" s="665"/>
      <c r="P895" s="665"/>
      <c r="Q895" s="665"/>
      <c r="R895" s="665"/>
      <c r="S895" s="665"/>
      <c r="T895" s="673"/>
      <c r="U895" s="673"/>
      <c r="V895" s="673"/>
      <c r="W895" s="673"/>
      <c r="X895" s="673"/>
      <c r="Y895" s="673"/>
      <c r="Z895" s="673"/>
      <c r="AA895" s="673"/>
      <c r="AB895" s="673"/>
      <c r="AC895" s="673"/>
      <c r="AD895" s="673"/>
      <c r="AE895" s="673"/>
      <c r="AF895" s="673"/>
      <c r="AG895" s="673"/>
      <c r="AH895" s="673"/>
    </row>
    <row r="896">
      <c r="A896" s="653"/>
      <c r="B896" s="654"/>
      <c r="C896" s="691"/>
      <c r="D896" s="661"/>
      <c r="E896" s="705"/>
      <c r="F896" s="659"/>
      <c r="G896" s="661"/>
      <c r="H896" s="660"/>
      <c r="I896" s="691"/>
      <c r="J896" s="661"/>
      <c r="K896" s="706"/>
      <c r="L896" s="665"/>
      <c r="M896" s="663"/>
      <c r="N896" s="665"/>
      <c r="O896" s="665"/>
      <c r="P896" s="665"/>
      <c r="Q896" s="665"/>
      <c r="R896" s="665"/>
      <c r="S896" s="665"/>
      <c r="T896" s="673"/>
      <c r="U896" s="673"/>
      <c r="V896" s="673"/>
      <c r="W896" s="673"/>
      <c r="X896" s="673"/>
      <c r="Y896" s="673"/>
      <c r="Z896" s="673"/>
      <c r="AA896" s="673"/>
      <c r="AB896" s="673"/>
      <c r="AC896" s="673"/>
      <c r="AD896" s="673"/>
      <c r="AE896" s="673"/>
      <c r="AF896" s="673"/>
      <c r="AG896" s="673"/>
      <c r="AH896" s="673"/>
    </row>
    <row r="897">
      <c r="A897" s="653"/>
      <c r="B897" s="654"/>
      <c r="C897" s="691"/>
      <c r="D897" s="661"/>
      <c r="E897" s="705"/>
      <c r="F897" s="659"/>
      <c r="G897" s="661"/>
      <c r="H897" s="660"/>
      <c r="I897" s="691"/>
      <c r="J897" s="661"/>
      <c r="K897" s="706"/>
      <c r="L897" s="665"/>
      <c r="M897" s="663"/>
      <c r="N897" s="665"/>
      <c r="O897" s="665"/>
      <c r="P897" s="665"/>
      <c r="Q897" s="665"/>
      <c r="R897" s="665"/>
      <c r="S897" s="665"/>
      <c r="T897" s="673"/>
      <c r="U897" s="673"/>
      <c r="V897" s="673"/>
      <c r="W897" s="673"/>
      <c r="X897" s="673"/>
      <c r="Y897" s="673"/>
      <c r="Z897" s="673"/>
      <c r="AA897" s="673"/>
      <c r="AB897" s="673"/>
      <c r="AC897" s="673"/>
      <c r="AD897" s="673"/>
      <c r="AE897" s="673"/>
      <c r="AF897" s="673"/>
      <c r="AG897" s="673"/>
      <c r="AH897" s="673"/>
    </row>
    <row r="898">
      <c r="A898" s="653"/>
      <c r="B898" s="654"/>
      <c r="C898" s="691"/>
      <c r="D898" s="661"/>
      <c r="E898" s="705"/>
      <c r="F898" s="659"/>
      <c r="G898" s="661"/>
      <c r="H898" s="660"/>
      <c r="I898" s="691"/>
      <c r="J898" s="661"/>
      <c r="K898" s="706"/>
      <c r="L898" s="665"/>
      <c r="M898" s="663"/>
      <c r="N898" s="665"/>
      <c r="O898" s="665"/>
      <c r="P898" s="665"/>
      <c r="Q898" s="665"/>
      <c r="R898" s="665"/>
      <c r="S898" s="665"/>
      <c r="T898" s="673"/>
      <c r="U898" s="673"/>
      <c r="V898" s="673"/>
      <c r="W898" s="673"/>
      <c r="X898" s="673"/>
      <c r="Y898" s="673"/>
      <c r="Z898" s="673"/>
      <c r="AA898" s="673"/>
      <c r="AB898" s="673"/>
      <c r="AC898" s="673"/>
      <c r="AD898" s="673"/>
      <c r="AE898" s="673"/>
      <c r="AF898" s="673"/>
      <c r="AG898" s="673"/>
      <c r="AH898" s="673"/>
    </row>
    <row r="899">
      <c r="A899" s="653"/>
      <c r="B899" s="654"/>
      <c r="C899" s="691"/>
      <c r="D899" s="661"/>
      <c r="E899" s="705"/>
      <c r="F899" s="659"/>
      <c r="G899" s="661"/>
      <c r="H899" s="660"/>
      <c r="I899" s="691"/>
      <c r="J899" s="661"/>
      <c r="K899" s="706"/>
      <c r="L899" s="665"/>
      <c r="M899" s="663"/>
      <c r="N899" s="665"/>
      <c r="O899" s="665"/>
      <c r="P899" s="665"/>
      <c r="Q899" s="665"/>
      <c r="R899" s="665"/>
      <c r="S899" s="665"/>
      <c r="T899" s="673"/>
      <c r="U899" s="673"/>
      <c r="V899" s="673"/>
      <c r="W899" s="673"/>
      <c r="X899" s="673"/>
      <c r="Y899" s="673"/>
      <c r="Z899" s="673"/>
      <c r="AA899" s="673"/>
      <c r="AB899" s="673"/>
      <c r="AC899" s="673"/>
      <c r="AD899" s="673"/>
      <c r="AE899" s="673"/>
      <c r="AF899" s="673"/>
      <c r="AG899" s="673"/>
      <c r="AH899" s="673"/>
    </row>
    <row r="900">
      <c r="A900" s="653"/>
      <c r="B900" s="654"/>
      <c r="C900" s="691"/>
      <c r="D900" s="661"/>
      <c r="E900" s="705"/>
      <c r="F900" s="659"/>
      <c r="G900" s="661"/>
      <c r="H900" s="660"/>
      <c r="I900" s="691"/>
      <c r="J900" s="661"/>
      <c r="K900" s="706"/>
      <c r="L900" s="665"/>
      <c r="M900" s="663"/>
      <c r="N900" s="665"/>
      <c r="O900" s="665"/>
      <c r="P900" s="665"/>
      <c r="Q900" s="665"/>
      <c r="R900" s="665"/>
      <c r="S900" s="665"/>
      <c r="T900" s="673"/>
      <c r="U900" s="673"/>
      <c r="V900" s="673"/>
      <c r="W900" s="673"/>
      <c r="X900" s="673"/>
      <c r="Y900" s="673"/>
      <c r="Z900" s="673"/>
      <c r="AA900" s="673"/>
      <c r="AB900" s="673"/>
      <c r="AC900" s="673"/>
      <c r="AD900" s="673"/>
      <c r="AE900" s="673"/>
      <c r="AF900" s="673"/>
      <c r="AG900" s="673"/>
      <c r="AH900" s="673"/>
    </row>
    <row r="901">
      <c r="A901" s="653"/>
      <c r="B901" s="654"/>
      <c r="C901" s="691"/>
      <c r="D901" s="661"/>
      <c r="E901" s="705"/>
      <c r="F901" s="659"/>
      <c r="G901" s="661"/>
      <c r="H901" s="660"/>
      <c r="I901" s="691"/>
      <c r="J901" s="661"/>
      <c r="K901" s="706"/>
      <c r="L901" s="665"/>
      <c r="M901" s="663"/>
      <c r="N901" s="665"/>
      <c r="O901" s="665"/>
      <c r="P901" s="665"/>
      <c r="Q901" s="665"/>
      <c r="R901" s="665"/>
      <c r="S901" s="665"/>
      <c r="T901" s="673"/>
      <c r="U901" s="673"/>
      <c r="V901" s="673"/>
      <c r="W901" s="673"/>
      <c r="X901" s="673"/>
      <c r="Y901" s="673"/>
      <c r="Z901" s="673"/>
      <c r="AA901" s="673"/>
      <c r="AB901" s="673"/>
      <c r="AC901" s="673"/>
      <c r="AD901" s="673"/>
      <c r="AE901" s="673"/>
      <c r="AF901" s="673"/>
      <c r="AG901" s="673"/>
      <c r="AH901" s="673"/>
    </row>
    <row r="902">
      <c r="A902" s="653"/>
      <c r="B902" s="654"/>
      <c r="C902" s="691"/>
      <c r="D902" s="661"/>
      <c r="E902" s="705"/>
      <c r="F902" s="659"/>
      <c r="G902" s="661"/>
      <c r="H902" s="660"/>
      <c r="I902" s="691"/>
      <c r="J902" s="661"/>
      <c r="K902" s="706"/>
      <c r="L902" s="665"/>
      <c r="M902" s="663"/>
      <c r="N902" s="665"/>
      <c r="O902" s="665"/>
      <c r="P902" s="665"/>
      <c r="Q902" s="665"/>
      <c r="R902" s="665"/>
      <c r="S902" s="665"/>
      <c r="T902" s="673"/>
      <c r="U902" s="673"/>
      <c r="V902" s="673"/>
      <c r="W902" s="673"/>
      <c r="X902" s="673"/>
      <c r="Y902" s="673"/>
      <c r="Z902" s="673"/>
      <c r="AA902" s="673"/>
      <c r="AB902" s="673"/>
      <c r="AC902" s="673"/>
      <c r="AD902" s="673"/>
      <c r="AE902" s="673"/>
      <c r="AF902" s="673"/>
      <c r="AG902" s="673"/>
      <c r="AH902" s="673"/>
    </row>
    <row r="903">
      <c r="A903" s="653"/>
      <c r="B903" s="654"/>
      <c r="C903" s="691"/>
      <c r="D903" s="661"/>
      <c r="E903" s="705"/>
      <c r="F903" s="659"/>
      <c r="G903" s="661"/>
      <c r="H903" s="660"/>
      <c r="I903" s="691"/>
      <c r="J903" s="661"/>
      <c r="K903" s="706"/>
      <c r="L903" s="665"/>
      <c r="M903" s="663"/>
      <c r="N903" s="665"/>
      <c r="O903" s="665"/>
      <c r="P903" s="665"/>
      <c r="Q903" s="665"/>
      <c r="R903" s="665"/>
      <c r="S903" s="665"/>
      <c r="T903" s="673"/>
      <c r="U903" s="673"/>
      <c r="V903" s="673"/>
      <c r="W903" s="673"/>
      <c r="X903" s="673"/>
      <c r="Y903" s="673"/>
      <c r="Z903" s="673"/>
      <c r="AA903" s="673"/>
      <c r="AB903" s="673"/>
      <c r="AC903" s="673"/>
      <c r="AD903" s="673"/>
      <c r="AE903" s="673"/>
      <c r="AF903" s="673"/>
      <c r="AG903" s="673"/>
      <c r="AH903" s="673"/>
    </row>
    <row r="904">
      <c r="A904" s="653"/>
      <c r="B904" s="654"/>
      <c r="C904" s="691"/>
      <c r="D904" s="661"/>
      <c r="E904" s="705"/>
      <c r="F904" s="659"/>
      <c r="G904" s="661"/>
      <c r="H904" s="660"/>
      <c r="I904" s="691"/>
      <c r="J904" s="661"/>
      <c r="K904" s="706"/>
      <c r="L904" s="665"/>
      <c r="M904" s="663"/>
      <c r="N904" s="665"/>
      <c r="O904" s="665"/>
      <c r="P904" s="665"/>
      <c r="Q904" s="665"/>
      <c r="R904" s="665"/>
      <c r="S904" s="665"/>
      <c r="T904" s="673"/>
      <c r="U904" s="673"/>
      <c r="V904" s="673"/>
      <c r="W904" s="673"/>
      <c r="X904" s="673"/>
      <c r="Y904" s="673"/>
      <c r="Z904" s="673"/>
      <c r="AA904" s="673"/>
      <c r="AB904" s="673"/>
      <c r="AC904" s="673"/>
      <c r="AD904" s="673"/>
      <c r="AE904" s="673"/>
      <c r="AF904" s="673"/>
      <c r="AG904" s="673"/>
      <c r="AH904" s="673"/>
    </row>
    <row r="905">
      <c r="A905" s="653"/>
      <c r="B905" s="654"/>
      <c r="C905" s="691"/>
      <c r="D905" s="661"/>
      <c r="E905" s="705"/>
      <c r="F905" s="659"/>
      <c r="G905" s="661"/>
      <c r="H905" s="660"/>
      <c r="I905" s="691"/>
      <c r="J905" s="661"/>
      <c r="K905" s="706"/>
      <c r="L905" s="665"/>
      <c r="M905" s="663"/>
      <c r="N905" s="665"/>
      <c r="O905" s="665"/>
      <c r="P905" s="665"/>
      <c r="Q905" s="665"/>
      <c r="R905" s="665"/>
      <c r="S905" s="665"/>
      <c r="T905" s="673"/>
      <c r="U905" s="673"/>
      <c r="V905" s="673"/>
      <c r="W905" s="673"/>
      <c r="X905" s="673"/>
      <c r="Y905" s="673"/>
      <c r="Z905" s="673"/>
      <c r="AA905" s="673"/>
      <c r="AB905" s="673"/>
      <c r="AC905" s="673"/>
      <c r="AD905" s="673"/>
      <c r="AE905" s="673"/>
      <c r="AF905" s="673"/>
      <c r="AG905" s="673"/>
      <c r="AH905" s="673"/>
    </row>
    <row r="906">
      <c r="A906" s="653"/>
      <c r="B906" s="654"/>
      <c r="C906" s="691"/>
      <c r="D906" s="661"/>
      <c r="E906" s="705"/>
      <c r="F906" s="659"/>
      <c r="G906" s="661"/>
      <c r="H906" s="660"/>
      <c r="I906" s="691"/>
      <c r="J906" s="661"/>
      <c r="K906" s="706"/>
      <c r="L906" s="665"/>
      <c r="M906" s="663"/>
      <c r="N906" s="665"/>
      <c r="O906" s="665"/>
      <c r="P906" s="665"/>
      <c r="Q906" s="665"/>
      <c r="R906" s="665"/>
      <c r="S906" s="665"/>
      <c r="T906" s="673"/>
      <c r="U906" s="673"/>
      <c r="V906" s="673"/>
      <c r="W906" s="673"/>
      <c r="X906" s="673"/>
      <c r="Y906" s="673"/>
      <c r="Z906" s="673"/>
      <c r="AA906" s="673"/>
      <c r="AB906" s="673"/>
      <c r="AC906" s="673"/>
      <c r="AD906" s="673"/>
      <c r="AE906" s="673"/>
      <c r="AF906" s="673"/>
      <c r="AG906" s="673"/>
      <c r="AH906" s="673"/>
    </row>
    <row r="907">
      <c r="A907" s="653"/>
      <c r="B907" s="654"/>
      <c r="C907" s="691"/>
      <c r="D907" s="661"/>
      <c r="E907" s="705"/>
      <c r="F907" s="659"/>
      <c r="G907" s="661"/>
      <c r="H907" s="660"/>
      <c r="I907" s="691"/>
      <c r="J907" s="661"/>
      <c r="K907" s="706"/>
      <c r="L907" s="665"/>
      <c r="M907" s="663"/>
      <c r="N907" s="665"/>
      <c r="O907" s="665"/>
      <c r="P907" s="665"/>
      <c r="Q907" s="665"/>
      <c r="R907" s="665"/>
      <c r="S907" s="665"/>
      <c r="T907" s="673"/>
      <c r="U907" s="673"/>
      <c r="V907" s="673"/>
      <c r="W907" s="673"/>
      <c r="X907" s="673"/>
      <c r="Y907" s="673"/>
      <c r="Z907" s="673"/>
      <c r="AA907" s="673"/>
      <c r="AB907" s="673"/>
      <c r="AC907" s="673"/>
      <c r="AD907" s="673"/>
      <c r="AE907" s="673"/>
      <c r="AF907" s="673"/>
      <c r="AG907" s="673"/>
      <c r="AH907" s="673"/>
    </row>
    <row r="908">
      <c r="A908" s="653"/>
      <c r="B908" s="654"/>
      <c r="C908" s="691"/>
      <c r="D908" s="661"/>
      <c r="E908" s="705"/>
      <c r="F908" s="659"/>
      <c r="G908" s="661"/>
      <c r="H908" s="660"/>
      <c r="I908" s="691"/>
      <c r="J908" s="661"/>
      <c r="K908" s="706"/>
      <c r="L908" s="665"/>
      <c r="M908" s="663"/>
      <c r="N908" s="665"/>
      <c r="O908" s="665"/>
      <c r="P908" s="665"/>
      <c r="Q908" s="665"/>
      <c r="R908" s="665"/>
      <c r="S908" s="665"/>
      <c r="T908" s="673"/>
      <c r="U908" s="673"/>
      <c r="V908" s="673"/>
      <c r="W908" s="673"/>
      <c r="X908" s="673"/>
      <c r="Y908" s="673"/>
      <c r="Z908" s="673"/>
      <c r="AA908" s="673"/>
      <c r="AB908" s="673"/>
      <c r="AC908" s="673"/>
      <c r="AD908" s="673"/>
      <c r="AE908" s="673"/>
      <c r="AF908" s="673"/>
      <c r="AG908" s="673"/>
      <c r="AH908" s="673"/>
    </row>
    <row r="909">
      <c r="A909" s="653"/>
      <c r="B909" s="654"/>
      <c r="C909" s="691"/>
      <c r="D909" s="661"/>
      <c r="E909" s="705"/>
      <c r="F909" s="659"/>
      <c r="G909" s="661"/>
      <c r="H909" s="660"/>
      <c r="I909" s="691"/>
      <c r="J909" s="661"/>
      <c r="K909" s="706"/>
      <c r="L909" s="665"/>
      <c r="M909" s="663"/>
      <c r="N909" s="665"/>
      <c r="O909" s="665"/>
      <c r="P909" s="665"/>
      <c r="Q909" s="665"/>
      <c r="R909" s="665"/>
      <c r="S909" s="665"/>
      <c r="T909" s="673"/>
      <c r="U909" s="673"/>
      <c r="V909" s="673"/>
      <c r="W909" s="673"/>
      <c r="X909" s="673"/>
      <c r="Y909" s="673"/>
      <c r="Z909" s="673"/>
      <c r="AA909" s="673"/>
      <c r="AB909" s="673"/>
      <c r="AC909" s="673"/>
      <c r="AD909" s="673"/>
      <c r="AE909" s="673"/>
      <c r="AF909" s="673"/>
      <c r="AG909" s="673"/>
      <c r="AH909" s="673"/>
    </row>
    <row r="910">
      <c r="A910" s="653"/>
      <c r="B910" s="654"/>
      <c r="C910" s="691"/>
      <c r="D910" s="661"/>
      <c r="E910" s="705"/>
      <c r="F910" s="659"/>
      <c r="G910" s="661"/>
      <c r="H910" s="660"/>
      <c r="I910" s="691"/>
      <c r="J910" s="661"/>
      <c r="K910" s="706"/>
      <c r="L910" s="665"/>
      <c r="M910" s="663"/>
      <c r="N910" s="665"/>
      <c r="O910" s="665"/>
      <c r="P910" s="665"/>
      <c r="Q910" s="665"/>
      <c r="R910" s="665"/>
      <c r="S910" s="665"/>
      <c r="T910" s="673"/>
      <c r="U910" s="673"/>
      <c r="V910" s="673"/>
      <c r="W910" s="673"/>
      <c r="X910" s="673"/>
      <c r="Y910" s="673"/>
      <c r="Z910" s="673"/>
      <c r="AA910" s="673"/>
      <c r="AB910" s="673"/>
      <c r="AC910" s="673"/>
      <c r="AD910" s="673"/>
      <c r="AE910" s="673"/>
      <c r="AF910" s="673"/>
      <c r="AG910" s="673"/>
      <c r="AH910" s="673"/>
    </row>
    <row r="911">
      <c r="A911" s="653"/>
      <c r="B911" s="654"/>
      <c r="C911" s="691"/>
      <c r="D911" s="661"/>
      <c r="E911" s="705"/>
      <c r="F911" s="659"/>
      <c r="G911" s="661"/>
      <c r="H911" s="660"/>
      <c r="I911" s="691"/>
      <c r="J911" s="661"/>
      <c r="K911" s="706"/>
      <c r="L911" s="665"/>
      <c r="M911" s="663"/>
      <c r="N911" s="665"/>
      <c r="O911" s="665"/>
      <c r="P911" s="665"/>
      <c r="Q911" s="665"/>
      <c r="R911" s="665"/>
      <c r="S911" s="665"/>
      <c r="T911" s="673"/>
      <c r="U911" s="673"/>
      <c r="V911" s="673"/>
      <c r="W911" s="673"/>
      <c r="X911" s="673"/>
      <c r="Y911" s="673"/>
      <c r="Z911" s="673"/>
      <c r="AA911" s="673"/>
      <c r="AB911" s="673"/>
      <c r="AC911" s="673"/>
      <c r="AD911" s="673"/>
      <c r="AE911" s="673"/>
      <c r="AF911" s="673"/>
      <c r="AG911" s="673"/>
      <c r="AH911" s="673"/>
    </row>
    <row r="912">
      <c r="A912" s="653"/>
      <c r="B912" s="654"/>
      <c r="C912" s="691"/>
      <c r="D912" s="661"/>
      <c r="E912" s="705"/>
      <c r="F912" s="659"/>
      <c r="G912" s="661"/>
      <c r="H912" s="660"/>
      <c r="I912" s="691"/>
      <c r="J912" s="661"/>
      <c r="K912" s="706"/>
      <c r="L912" s="665"/>
      <c r="M912" s="663"/>
      <c r="N912" s="665"/>
      <c r="O912" s="665"/>
      <c r="P912" s="665"/>
      <c r="Q912" s="665"/>
      <c r="R912" s="665"/>
      <c r="S912" s="665"/>
      <c r="T912" s="673"/>
      <c r="U912" s="673"/>
      <c r="V912" s="673"/>
      <c r="W912" s="673"/>
      <c r="X912" s="673"/>
      <c r="Y912" s="673"/>
      <c r="Z912" s="673"/>
      <c r="AA912" s="673"/>
      <c r="AB912" s="673"/>
      <c r="AC912" s="673"/>
      <c r="AD912" s="673"/>
      <c r="AE912" s="673"/>
      <c r="AF912" s="673"/>
      <c r="AG912" s="673"/>
      <c r="AH912" s="673"/>
    </row>
    <row r="913">
      <c r="A913" s="653"/>
      <c r="B913" s="654"/>
      <c r="C913" s="691"/>
      <c r="D913" s="661"/>
      <c r="E913" s="705"/>
      <c r="F913" s="659"/>
      <c r="G913" s="661"/>
      <c r="H913" s="660"/>
      <c r="I913" s="691"/>
      <c r="J913" s="661"/>
      <c r="K913" s="706"/>
      <c r="L913" s="665"/>
      <c r="M913" s="663"/>
      <c r="N913" s="665"/>
      <c r="O913" s="665"/>
      <c r="P913" s="665"/>
      <c r="Q913" s="665"/>
      <c r="R913" s="665"/>
      <c r="S913" s="665"/>
      <c r="T913" s="673"/>
      <c r="U913" s="673"/>
      <c r="V913" s="673"/>
      <c r="W913" s="673"/>
      <c r="X913" s="673"/>
      <c r="Y913" s="673"/>
      <c r="Z913" s="673"/>
      <c r="AA913" s="673"/>
      <c r="AB913" s="673"/>
      <c r="AC913" s="673"/>
      <c r="AD913" s="673"/>
      <c r="AE913" s="673"/>
      <c r="AF913" s="673"/>
      <c r="AG913" s="673"/>
      <c r="AH913" s="673"/>
    </row>
    <row r="914">
      <c r="A914" s="653"/>
      <c r="B914" s="654"/>
      <c r="C914" s="691"/>
      <c r="D914" s="661"/>
      <c r="E914" s="705"/>
      <c r="F914" s="659"/>
      <c r="G914" s="661"/>
      <c r="H914" s="660"/>
      <c r="I914" s="691"/>
      <c r="J914" s="661"/>
      <c r="K914" s="706"/>
      <c r="L914" s="665"/>
      <c r="M914" s="663"/>
      <c r="N914" s="665"/>
      <c r="O914" s="665"/>
      <c r="P914" s="665"/>
      <c r="Q914" s="665"/>
      <c r="R914" s="665"/>
      <c r="S914" s="665"/>
      <c r="T914" s="673"/>
      <c r="U914" s="673"/>
      <c r="V914" s="673"/>
      <c r="W914" s="673"/>
      <c r="X914" s="673"/>
      <c r="Y914" s="673"/>
      <c r="Z914" s="673"/>
      <c r="AA914" s="673"/>
      <c r="AB914" s="673"/>
      <c r="AC914" s="673"/>
      <c r="AD914" s="673"/>
      <c r="AE914" s="673"/>
      <c r="AF914" s="673"/>
      <c r="AG914" s="673"/>
      <c r="AH914" s="673"/>
    </row>
    <row r="915">
      <c r="A915" s="653"/>
      <c r="B915" s="654"/>
      <c r="C915" s="691"/>
      <c r="D915" s="661"/>
      <c r="E915" s="705"/>
      <c r="F915" s="659"/>
      <c r="G915" s="661"/>
      <c r="H915" s="660"/>
      <c r="I915" s="691"/>
      <c r="J915" s="661"/>
      <c r="K915" s="706"/>
      <c r="L915" s="665"/>
      <c r="M915" s="663"/>
      <c r="N915" s="665"/>
      <c r="O915" s="665"/>
      <c r="P915" s="665"/>
      <c r="Q915" s="665"/>
      <c r="R915" s="665"/>
      <c r="S915" s="665"/>
      <c r="T915" s="673"/>
      <c r="U915" s="673"/>
      <c r="V915" s="673"/>
      <c r="W915" s="673"/>
      <c r="X915" s="673"/>
      <c r="Y915" s="673"/>
      <c r="Z915" s="673"/>
      <c r="AA915" s="673"/>
      <c r="AB915" s="673"/>
      <c r="AC915" s="673"/>
      <c r="AD915" s="673"/>
      <c r="AE915" s="673"/>
      <c r="AF915" s="673"/>
      <c r="AG915" s="673"/>
      <c r="AH915" s="673"/>
    </row>
    <row r="916">
      <c r="A916" s="653"/>
      <c r="B916" s="654"/>
      <c r="C916" s="691"/>
      <c r="D916" s="661"/>
      <c r="E916" s="705"/>
      <c r="F916" s="659"/>
      <c r="G916" s="661"/>
      <c r="H916" s="660"/>
      <c r="I916" s="691"/>
      <c r="J916" s="661"/>
      <c r="K916" s="706"/>
      <c r="L916" s="665"/>
      <c r="M916" s="663"/>
      <c r="N916" s="665"/>
      <c r="O916" s="665"/>
      <c r="P916" s="665"/>
      <c r="Q916" s="665"/>
      <c r="R916" s="665"/>
      <c r="S916" s="665"/>
      <c r="T916" s="673"/>
      <c r="U916" s="673"/>
      <c r="V916" s="673"/>
      <c r="W916" s="673"/>
      <c r="X916" s="673"/>
      <c r="Y916" s="673"/>
      <c r="Z916" s="673"/>
      <c r="AA916" s="673"/>
      <c r="AB916" s="673"/>
      <c r="AC916" s="673"/>
      <c r="AD916" s="673"/>
      <c r="AE916" s="673"/>
      <c r="AF916" s="673"/>
      <c r="AG916" s="673"/>
      <c r="AH916" s="673"/>
    </row>
    <row r="917">
      <c r="A917" s="653"/>
      <c r="B917" s="654"/>
      <c r="C917" s="691"/>
      <c r="D917" s="661"/>
      <c r="E917" s="705"/>
      <c r="F917" s="659"/>
      <c r="G917" s="661"/>
      <c r="H917" s="660"/>
      <c r="I917" s="691"/>
      <c r="J917" s="661"/>
      <c r="K917" s="706"/>
      <c r="L917" s="665"/>
      <c r="M917" s="663"/>
      <c r="N917" s="665"/>
      <c r="O917" s="665"/>
      <c r="P917" s="665"/>
      <c r="Q917" s="665"/>
      <c r="R917" s="665"/>
      <c r="S917" s="665"/>
      <c r="T917" s="673"/>
      <c r="U917" s="673"/>
      <c r="V917" s="673"/>
      <c r="W917" s="673"/>
      <c r="X917" s="673"/>
      <c r="Y917" s="673"/>
      <c r="Z917" s="673"/>
      <c r="AA917" s="673"/>
      <c r="AB917" s="673"/>
      <c r="AC917" s="673"/>
      <c r="AD917" s="673"/>
      <c r="AE917" s="673"/>
      <c r="AF917" s="673"/>
      <c r="AG917" s="673"/>
      <c r="AH917" s="673"/>
    </row>
    <row r="918">
      <c r="A918" s="653"/>
      <c r="B918" s="654"/>
      <c r="C918" s="691"/>
      <c r="D918" s="661"/>
      <c r="E918" s="705"/>
      <c r="F918" s="659"/>
      <c r="G918" s="661"/>
      <c r="H918" s="660"/>
      <c r="I918" s="691"/>
      <c r="J918" s="661"/>
      <c r="K918" s="706"/>
      <c r="L918" s="665"/>
      <c r="M918" s="663"/>
      <c r="N918" s="665"/>
      <c r="O918" s="665"/>
      <c r="P918" s="665"/>
      <c r="Q918" s="665"/>
      <c r="R918" s="665"/>
      <c r="S918" s="665"/>
      <c r="T918" s="673"/>
      <c r="U918" s="673"/>
      <c r="V918" s="673"/>
      <c r="W918" s="673"/>
      <c r="X918" s="673"/>
      <c r="Y918" s="673"/>
      <c r="Z918" s="673"/>
      <c r="AA918" s="673"/>
      <c r="AB918" s="673"/>
      <c r="AC918" s="673"/>
      <c r="AD918" s="673"/>
      <c r="AE918" s="673"/>
      <c r="AF918" s="673"/>
      <c r="AG918" s="673"/>
      <c r="AH918" s="673"/>
    </row>
    <row r="919">
      <c r="A919" s="653"/>
      <c r="B919" s="654"/>
      <c r="C919" s="691"/>
      <c r="D919" s="661"/>
      <c r="E919" s="705"/>
      <c r="F919" s="659"/>
      <c r="G919" s="661"/>
      <c r="H919" s="660"/>
      <c r="I919" s="691"/>
      <c r="J919" s="661"/>
      <c r="K919" s="706"/>
      <c r="L919" s="665"/>
      <c r="M919" s="663"/>
      <c r="N919" s="665"/>
      <c r="O919" s="665"/>
      <c r="P919" s="665"/>
      <c r="Q919" s="665"/>
      <c r="R919" s="665"/>
      <c r="S919" s="665"/>
      <c r="T919" s="673"/>
      <c r="U919" s="673"/>
      <c r="V919" s="673"/>
      <c r="W919" s="673"/>
      <c r="X919" s="673"/>
      <c r="Y919" s="673"/>
      <c r="Z919" s="673"/>
      <c r="AA919" s="673"/>
      <c r="AB919" s="673"/>
      <c r="AC919" s="673"/>
      <c r="AD919" s="673"/>
      <c r="AE919" s="673"/>
      <c r="AF919" s="673"/>
      <c r="AG919" s="673"/>
      <c r="AH919" s="673"/>
    </row>
    <row r="920">
      <c r="A920" s="653"/>
      <c r="B920" s="654"/>
      <c r="C920" s="691"/>
      <c r="D920" s="661"/>
      <c r="E920" s="705"/>
      <c r="F920" s="659"/>
      <c r="G920" s="661"/>
      <c r="H920" s="660"/>
      <c r="I920" s="691"/>
      <c r="J920" s="661"/>
      <c r="K920" s="706"/>
      <c r="L920" s="665"/>
      <c r="M920" s="663"/>
      <c r="N920" s="665"/>
      <c r="O920" s="665"/>
      <c r="P920" s="665"/>
      <c r="Q920" s="665"/>
      <c r="R920" s="665"/>
      <c r="S920" s="665"/>
      <c r="T920" s="673"/>
      <c r="U920" s="673"/>
      <c r="V920" s="673"/>
      <c r="W920" s="673"/>
      <c r="X920" s="673"/>
      <c r="Y920" s="673"/>
      <c r="Z920" s="673"/>
      <c r="AA920" s="673"/>
      <c r="AB920" s="673"/>
      <c r="AC920" s="673"/>
      <c r="AD920" s="673"/>
      <c r="AE920" s="673"/>
      <c r="AF920" s="673"/>
      <c r="AG920" s="673"/>
      <c r="AH920" s="673"/>
    </row>
    <row r="921">
      <c r="A921" s="653"/>
      <c r="B921" s="654"/>
      <c r="C921" s="691"/>
      <c r="D921" s="661"/>
      <c r="E921" s="705"/>
      <c r="F921" s="659"/>
      <c r="G921" s="661"/>
      <c r="H921" s="660"/>
      <c r="I921" s="691"/>
      <c r="J921" s="661"/>
      <c r="K921" s="706"/>
      <c r="L921" s="665"/>
      <c r="M921" s="663"/>
      <c r="N921" s="665"/>
      <c r="O921" s="665"/>
      <c r="P921" s="665"/>
      <c r="Q921" s="665"/>
      <c r="R921" s="665"/>
      <c r="S921" s="665"/>
      <c r="T921" s="673"/>
      <c r="U921" s="673"/>
      <c r="V921" s="673"/>
      <c r="W921" s="673"/>
      <c r="X921" s="673"/>
      <c r="Y921" s="673"/>
      <c r="Z921" s="673"/>
      <c r="AA921" s="673"/>
      <c r="AB921" s="673"/>
      <c r="AC921" s="673"/>
      <c r="AD921" s="673"/>
      <c r="AE921" s="673"/>
      <c r="AF921" s="673"/>
      <c r="AG921" s="673"/>
      <c r="AH921" s="673"/>
    </row>
    <row r="922">
      <c r="A922" s="653"/>
      <c r="B922" s="654"/>
      <c r="C922" s="691"/>
      <c r="D922" s="661"/>
      <c r="E922" s="705"/>
      <c r="F922" s="659"/>
      <c r="G922" s="661"/>
      <c r="H922" s="660"/>
      <c r="I922" s="691"/>
      <c r="J922" s="661"/>
      <c r="K922" s="706"/>
      <c r="L922" s="665"/>
      <c r="M922" s="663"/>
      <c r="N922" s="665"/>
      <c r="O922" s="665"/>
      <c r="P922" s="665"/>
      <c r="Q922" s="665"/>
      <c r="R922" s="665"/>
      <c r="S922" s="665"/>
      <c r="T922" s="673"/>
      <c r="U922" s="673"/>
      <c r="V922" s="673"/>
      <c r="W922" s="673"/>
      <c r="X922" s="673"/>
      <c r="Y922" s="673"/>
      <c r="Z922" s="673"/>
      <c r="AA922" s="673"/>
      <c r="AB922" s="673"/>
      <c r="AC922" s="673"/>
      <c r="AD922" s="673"/>
      <c r="AE922" s="673"/>
      <c r="AF922" s="673"/>
      <c r="AG922" s="673"/>
      <c r="AH922" s="673"/>
    </row>
    <row r="923">
      <c r="A923" s="653"/>
      <c r="B923" s="654"/>
      <c r="C923" s="691"/>
      <c r="D923" s="661"/>
      <c r="E923" s="705"/>
      <c r="F923" s="659"/>
      <c r="G923" s="661"/>
      <c r="H923" s="660"/>
      <c r="I923" s="691"/>
      <c r="J923" s="661"/>
      <c r="K923" s="706"/>
      <c r="L923" s="665"/>
      <c r="M923" s="663"/>
      <c r="N923" s="665"/>
      <c r="O923" s="665"/>
      <c r="P923" s="665"/>
      <c r="Q923" s="665"/>
      <c r="R923" s="665"/>
      <c r="S923" s="665"/>
      <c r="T923" s="673"/>
      <c r="U923" s="673"/>
      <c r="V923" s="673"/>
      <c r="W923" s="673"/>
      <c r="X923" s="673"/>
      <c r="Y923" s="673"/>
      <c r="Z923" s="673"/>
      <c r="AA923" s="673"/>
      <c r="AB923" s="673"/>
      <c r="AC923" s="673"/>
      <c r="AD923" s="673"/>
      <c r="AE923" s="673"/>
      <c r="AF923" s="673"/>
      <c r="AG923" s="673"/>
      <c r="AH923" s="673"/>
    </row>
    <row r="924">
      <c r="A924" s="653"/>
      <c r="B924" s="654"/>
      <c r="C924" s="691"/>
      <c r="D924" s="661"/>
      <c r="E924" s="705"/>
      <c r="F924" s="659"/>
      <c r="G924" s="661"/>
      <c r="H924" s="660"/>
      <c r="I924" s="691"/>
      <c r="J924" s="661"/>
      <c r="K924" s="706"/>
      <c r="L924" s="665"/>
      <c r="M924" s="663"/>
      <c r="N924" s="665"/>
      <c r="O924" s="665"/>
      <c r="P924" s="665"/>
      <c r="Q924" s="665"/>
      <c r="R924" s="665"/>
      <c r="S924" s="665"/>
      <c r="T924" s="673"/>
      <c r="U924" s="673"/>
      <c r="V924" s="673"/>
      <c r="W924" s="673"/>
      <c r="X924" s="673"/>
      <c r="Y924" s="673"/>
      <c r="Z924" s="673"/>
      <c r="AA924" s="673"/>
      <c r="AB924" s="673"/>
      <c r="AC924" s="673"/>
      <c r="AD924" s="673"/>
      <c r="AE924" s="673"/>
      <c r="AF924" s="673"/>
      <c r="AG924" s="673"/>
      <c r="AH924" s="673"/>
    </row>
    <row r="925">
      <c r="A925" s="653"/>
      <c r="B925" s="654"/>
      <c r="C925" s="691"/>
      <c r="D925" s="661"/>
      <c r="E925" s="705"/>
      <c r="F925" s="659"/>
      <c r="G925" s="661"/>
      <c r="H925" s="660"/>
      <c r="I925" s="691"/>
      <c r="J925" s="661"/>
      <c r="K925" s="706"/>
      <c r="L925" s="665"/>
      <c r="M925" s="663"/>
      <c r="N925" s="665"/>
      <c r="O925" s="665"/>
      <c r="P925" s="665"/>
      <c r="Q925" s="665"/>
      <c r="R925" s="665"/>
      <c r="S925" s="665"/>
      <c r="T925" s="673"/>
      <c r="U925" s="673"/>
      <c r="V925" s="673"/>
      <c r="W925" s="673"/>
      <c r="X925" s="673"/>
      <c r="Y925" s="673"/>
      <c r="Z925" s="673"/>
      <c r="AA925" s="673"/>
      <c r="AB925" s="673"/>
      <c r="AC925" s="673"/>
      <c r="AD925" s="673"/>
      <c r="AE925" s="673"/>
      <c r="AF925" s="673"/>
      <c r="AG925" s="673"/>
      <c r="AH925" s="673"/>
    </row>
    <row r="926">
      <c r="A926" s="653"/>
      <c r="B926" s="654"/>
      <c r="C926" s="691"/>
      <c r="D926" s="661"/>
      <c r="E926" s="705"/>
      <c r="F926" s="659"/>
      <c r="G926" s="661"/>
      <c r="H926" s="660"/>
      <c r="I926" s="691"/>
      <c r="J926" s="661"/>
      <c r="K926" s="706"/>
      <c r="L926" s="665"/>
      <c r="M926" s="663"/>
      <c r="N926" s="665"/>
      <c r="O926" s="665"/>
      <c r="P926" s="665"/>
      <c r="Q926" s="665"/>
      <c r="R926" s="665"/>
      <c r="S926" s="665"/>
      <c r="T926" s="673"/>
      <c r="U926" s="673"/>
      <c r="V926" s="673"/>
      <c r="W926" s="673"/>
      <c r="X926" s="673"/>
      <c r="Y926" s="673"/>
      <c r="Z926" s="673"/>
      <c r="AA926" s="673"/>
      <c r="AB926" s="673"/>
      <c r="AC926" s="673"/>
      <c r="AD926" s="673"/>
      <c r="AE926" s="673"/>
      <c r="AF926" s="673"/>
      <c r="AG926" s="673"/>
      <c r="AH926" s="673"/>
    </row>
    <row r="927">
      <c r="A927" s="653"/>
      <c r="B927" s="654"/>
      <c r="C927" s="691"/>
      <c r="D927" s="661"/>
      <c r="E927" s="705"/>
      <c r="F927" s="659"/>
      <c r="G927" s="661"/>
      <c r="H927" s="660"/>
      <c r="I927" s="691"/>
      <c r="J927" s="661"/>
      <c r="K927" s="706"/>
      <c r="L927" s="665"/>
      <c r="M927" s="663"/>
      <c r="N927" s="665"/>
      <c r="O927" s="665"/>
      <c r="P927" s="665"/>
      <c r="Q927" s="665"/>
      <c r="R927" s="665"/>
      <c r="S927" s="665"/>
      <c r="T927" s="673"/>
      <c r="U927" s="673"/>
      <c r="V927" s="673"/>
      <c r="W927" s="673"/>
      <c r="X927" s="673"/>
      <c r="Y927" s="673"/>
      <c r="Z927" s="673"/>
      <c r="AA927" s="673"/>
      <c r="AB927" s="673"/>
      <c r="AC927" s="673"/>
      <c r="AD927" s="673"/>
      <c r="AE927" s="673"/>
      <c r="AF927" s="673"/>
      <c r="AG927" s="673"/>
      <c r="AH927" s="673"/>
    </row>
    <row r="928">
      <c r="A928" s="653"/>
      <c r="B928" s="654"/>
      <c r="C928" s="691"/>
      <c r="D928" s="661"/>
      <c r="E928" s="705"/>
      <c r="F928" s="659"/>
      <c r="G928" s="661"/>
      <c r="H928" s="660"/>
      <c r="I928" s="691"/>
      <c r="J928" s="661"/>
      <c r="K928" s="706"/>
      <c r="L928" s="665"/>
      <c r="M928" s="663"/>
      <c r="N928" s="665"/>
      <c r="O928" s="665"/>
      <c r="P928" s="665"/>
      <c r="Q928" s="665"/>
      <c r="R928" s="665"/>
      <c r="S928" s="665"/>
      <c r="T928" s="673"/>
      <c r="U928" s="673"/>
      <c r="V928" s="673"/>
      <c r="W928" s="673"/>
      <c r="X928" s="673"/>
      <c r="Y928" s="673"/>
      <c r="Z928" s="673"/>
      <c r="AA928" s="673"/>
      <c r="AB928" s="673"/>
      <c r="AC928" s="673"/>
      <c r="AD928" s="673"/>
      <c r="AE928" s="673"/>
      <c r="AF928" s="673"/>
      <c r="AG928" s="673"/>
      <c r="AH928" s="673"/>
    </row>
    <row r="929">
      <c r="A929" s="653"/>
      <c r="B929" s="654"/>
      <c r="C929" s="691"/>
      <c r="D929" s="661"/>
      <c r="E929" s="705"/>
      <c r="F929" s="659"/>
      <c r="G929" s="661"/>
      <c r="H929" s="660"/>
      <c r="I929" s="691"/>
      <c r="J929" s="661"/>
      <c r="K929" s="706"/>
      <c r="L929" s="665"/>
      <c r="M929" s="663"/>
      <c r="N929" s="665"/>
      <c r="O929" s="665"/>
      <c r="P929" s="665"/>
      <c r="Q929" s="665"/>
      <c r="R929" s="665"/>
      <c r="S929" s="665"/>
      <c r="T929" s="673"/>
      <c r="U929" s="673"/>
      <c r="V929" s="673"/>
      <c r="W929" s="673"/>
      <c r="X929" s="673"/>
      <c r="Y929" s="673"/>
      <c r="Z929" s="673"/>
      <c r="AA929" s="673"/>
      <c r="AB929" s="673"/>
      <c r="AC929" s="673"/>
      <c r="AD929" s="673"/>
      <c r="AE929" s="673"/>
      <c r="AF929" s="673"/>
      <c r="AG929" s="673"/>
      <c r="AH929" s="673"/>
    </row>
    <row r="930">
      <c r="A930" s="653"/>
      <c r="B930" s="654"/>
      <c r="C930" s="691"/>
      <c r="D930" s="661"/>
      <c r="E930" s="705"/>
      <c r="F930" s="659"/>
      <c r="G930" s="661"/>
      <c r="H930" s="660"/>
      <c r="I930" s="691"/>
      <c r="J930" s="661"/>
      <c r="K930" s="706"/>
      <c r="L930" s="665"/>
      <c r="M930" s="663"/>
      <c r="N930" s="665"/>
      <c r="O930" s="665"/>
      <c r="P930" s="665"/>
      <c r="Q930" s="665"/>
      <c r="R930" s="665"/>
      <c r="S930" s="665"/>
      <c r="T930" s="673"/>
      <c r="U930" s="673"/>
      <c r="V930" s="673"/>
      <c r="W930" s="673"/>
      <c r="X930" s="673"/>
      <c r="Y930" s="673"/>
      <c r="Z930" s="673"/>
      <c r="AA930" s="673"/>
      <c r="AB930" s="673"/>
      <c r="AC930" s="673"/>
      <c r="AD930" s="673"/>
      <c r="AE930" s="673"/>
      <c r="AF930" s="673"/>
      <c r="AG930" s="673"/>
      <c r="AH930" s="673"/>
    </row>
    <row r="931">
      <c r="A931" s="653"/>
      <c r="B931" s="654"/>
      <c r="C931" s="691"/>
      <c r="D931" s="661"/>
      <c r="E931" s="705"/>
      <c r="F931" s="659"/>
      <c r="G931" s="661"/>
      <c r="H931" s="660"/>
      <c r="I931" s="691"/>
      <c r="J931" s="661"/>
      <c r="K931" s="706"/>
      <c r="L931" s="665"/>
      <c r="M931" s="663"/>
      <c r="N931" s="665"/>
      <c r="O931" s="665"/>
      <c r="P931" s="665"/>
      <c r="Q931" s="665"/>
      <c r="R931" s="665"/>
      <c r="S931" s="665"/>
      <c r="T931" s="673"/>
      <c r="U931" s="673"/>
      <c r="V931" s="673"/>
      <c r="W931" s="673"/>
      <c r="X931" s="673"/>
      <c r="Y931" s="673"/>
      <c r="Z931" s="673"/>
      <c r="AA931" s="673"/>
      <c r="AB931" s="673"/>
      <c r="AC931" s="673"/>
      <c r="AD931" s="673"/>
      <c r="AE931" s="673"/>
      <c r="AF931" s="673"/>
      <c r="AG931" s="673"/>
      <c r="AH931" s="673"/>
    </row>
    <row r="932">
      <c r="A932" s="653"/>
      <c r="B932" s="654"/>
      <c r="C932" s="691"/>
      <c r="D932" s="661"/>
      <c r="E932" s="705"/>
      <c r="F932" s="659"/>
      <c r="G932" s="661"/>
      <c r="H932" s="660"/>
      <c r="I932" s="691"/>
      <c r="J932" s="661"/>
      <c r="K932" s="706"/>
      <c r="L932" s="665"/>
      <c r="M932" s="663"/>
      <c r="N932" s="665"/>
      <c r="O932" s="665"/>
      <c r="P932" s="665"/>
      <c r="Q932" s="665"/>
      <c r="R932" s="665"/>
      <c r="S932" s="665"/>
      <c r="T932" s="673"/>
      <c r="U932" s="673"/>
      <c r="V932" s="673"/>
      <c r="W932" s="673"/>
      <c r="X932" s="673"/>
      <c r="Y932" s="673"/>
      <c r="Z932" s="673"/>
      <c r="AA932" s="673"/>
      <c r="AB932" s="673"/>
      <c r="AC932" s="673"/>
      <c r="AD932" s="673"/>
      <c r="AE932" s="673"/>
      <c r="AF932" s="673"/>
      <c r="AG932" s="673"/>
      <c r="AH932" s="673"/>
    </row>
    <row r="933">
      <c r="A933" s="653"/>
      <c r="B933" s="654"/>
      <c r="C933" s="691"/>
      <c r="D933" s="661"/>
      <c r="E933" s="705"/>
      <c r="F933" s="659"/>
      <c r="G933" s="661"/>
      <c r="H933" s="660"/>
      <c r="I933" s="691"/>
      <c r="J933" s="661"/>
      <c r="K933" s="706"/>
      <c r="L933" s="665"/>
      <c r="M933" s="663"/>
      <c r="N933" s="665"/>
      <c r="O933" s="665"/>
      <c r="P933" s="665"/>
      <c r="Q933" s="665"/>
      <c r="R933" s="665"/>
      <c r="S933" s="665"/>
      <c r="T933" s="673"/>
      <c r="U933" s="673"/>
      <c r="V933" s="673"/>
      <c r="W933" s="673"/>
      <c r="X933" s="673"/>
      <c r="Y933" s="673"/>
      <c r="Z933" s="673"/>
      <c r="AA933" s="673"/>
      <c r="AB933" s="673"/>
      <c r="AC933" s="673"/>
      <c r="AD933" s="673"/>
      <c r="AE933" s="673"/>
      <c r="AF933" s="673"/>
      <c r="AG933" s="673"/>
      <c r="AH933" s="673"/>
    </row>
    <row r="934">
      <c r="A934" s="653"/>
      <c r="B934" s="654"/>
      <c r="C934" s="691"/>
      <c r="D934" s="661"/>
      <c r="E934" s="705"/>
      <c r="F934" s="659"/>
      <c r="G934" s="661"/>
      <c r="H934" s="660"/>
      <c r="I934" s="691"/>
      <c r="J934" s="661"/>
      <c r="K934" s="706"/>
      <c r="L934" s="665"/>
      <c r="M934" s="663"/>
      <c r="N934" s="665"/>
      <c r="O934" s="665"/>
      <c r="P934" s="665"/>
      <c r="Q934" s="665"/>
      <c r="R934" s="665"/>
      <c r="S934" s="665"/>
      <c r="T934" s="673"/>
      <c r="U934" s="673"/>
      <c r="V934" s="673"/>
      <c r="W934" s="673"/>
      <c r="X934" s="673"/>
      <c r="Y934" s="673"/>
      <c r="Z934" s="673"/>
      <c r="AA934" s="673"/>
      <c r="AB934" s="673"/>
      <c r="AC934" s="673"/>
      <c r="AD934" s="673"/>
      <c r="AE934" s="673"/>
      <c r="AF934" s="673"/>
      <c r="AG934" s="673"/>
      <c r="AH934" s="673"/>
    </row>
    <row r="935">
      <c r="A935" s="653"/>
      <c r="B935" s="654"/>
      <c r="C935" s="691"/>
      <c r="D935" s="661"/>
      <c r="E935" s="705"/>
      <c r="F935" s="659"/>
      <c r="G935" s="661"/>
      <c r="H935" s="660"/>
      <c r="I935" s="691"/>
      <c r="J935" s="661"/>
      <c r="K935" s="706"/>
      <c r="L935" s="665"/>
      <c r="M935" s="663"/>
      <c r="N935" s="665"/>
      <c r="O935" s="665"/>
      <c r="P935" s="665"/>
      <c r="Q935" s="665"/>
      <c r="R935" s="665"/>
      <c r="S935" s="665"/>
      <c r="T935" s="673"/>
      <c r="U935" s="673"/>
      <c r="V935" s="673"/>
      <c r="W935" s="673"/>
      <c r="X935" s="673"/>
      <c r="Y935" s="673"/>
      <c r="Z935" s="673"/>
      <c r="AA935" s="673"/>
      <c r="AB935" s="673"/>
      <c r="AC935" s="673"/>
      <c r="AD935" s="673"/>
      <c r="AE935" s="673"/>
      <c r="AF935" s="673"/>
      <c r="AG935" s="673"/>
      <c r="AH935" s="673"/>
    </row>
    <row r="936">
      <c r="A936" s="653"/>
      <c r="B936" s="654"/>
      <c r="C936" s="691"/>
      <c r="D936" s="661"/>
      <c r="E936" s="705"/>
      <c r="F936" s="659"/>
      <c r="G936" s="661"/>
      <c r="H936" s="660"/>
      <c r="I936" s="691"/>
      <c r="J936" s="661"/>
      <c r="K936" s="706"/>
      <c r="L936" s="665"/>
      <c r="M936" s="663"/>
      <c r="N936" s="665"/>
      <c r="O936" s="665"/>
      <c r="P936" s="665"/>
      <c r="Q936" s="665"/>
      <c r="R936" s="665"/>
      <c r="S936" s="665"/>
      <c r="T936" s="673"/>
      <c r="U936" s="673"/>
      <c r="V936" s="673"/>
      <c r="W936" s="673"/>
      <c r="X936" s="673"/>
      <c r="Y936" s="673"/>
      <c r="Z936" s="673"/>
      <c r="AA936" s="673"/>
      <c r="AB936" s="673"/>
      <c r="AC936" s="673"/>
      <c r="AD936" s="673"/>
      <c r="AE936" s="673"/>
      <c r="AF936" s="673"/>
      <c r="AG936" s="673"/>
      <c r="AH936" s="673"/>
    </row>
    <row r="937">
      <c r="A937" s="653"/>
      <c r="B937" s="654"/>
      <c r="C937" s="691"/>
      <c r="D937" s="661"/>
      <c r="E937" s="705"/>
      <c r="F937" s="659"/>
      <c r="G937" s="661"/>
      <c r="H937" s="660"/>
      <c r="I937" s="691"/>
      <c r="J937" s="661"/>
      <c r="K937" s="706"/>
      <c r="L937" s="665"/>
      <c r="M937" s="663"/>
      <c r="N937" s="665"/>
      <c r="O937" s="665"/>
      <c r="P937" s="665"/>
      <c r="Q937" s="665"/>
      <c r="R937" s="665"/>
      <c r="S937" s="665"/>
      <c r="T937" s="673"/>
      <c r="U937" s="673"/>
      <c r="V937" s="673"/>
      <c r="W937" s="673"/>
      <c r="X937" s="673"/>
      <c r="Y937" s="673"/>
      <c r="Z937" s="673"/>
      <c r="AA937" s="673"/>
      <c r="AB937" s="673"/>
      <c r="AC937" s="673"/>
      <c r="AD937" s="673"/>
      <c r="AE937" s="673"/>
      <c r="AF937" s="673"/>
      <c r="AG937" s="673"/>
      <c r="AH937" s="673"/>
    </row>
    <row r="938">
      <c r="A938" s="653"/>
      <c r="B938" s="654"/>
      <c r="C938" s="691"/>
      <c r="D938" s="661"/>
      <c r="E938" s="705"/>
      <c r="F938" s="659"/>
      <c r="G938" s="661"/>
      <c r="H938" s="660"/>
      <c r="I938" s="691"/>
      <c r="J938" s="661"/>
      <c r="K938" s="706"/>
      <c r="L938" s="665"/>
      <c r="M938" s="663"/>
      <c r="N938" s="665"/>
      <c r="O938" s="665"/>
      <c r="P938" s="665"/>
      <c r="Q938" s="665"/>
      <c r="R938" s="665"/>
      <c r="S938" s="665"/>
      <c r="T938" s="673"/>
      <c r="U938" s="673"/>
      <c r="V938" s="673"/>
      <c r="W938" s="673"/>
      <c r="X938" s="673"/>
      <c r="Y938" s="673"/>
      <c r="Z938" s="673"/>
      <c r="AA938" s="673"/>
      <c r="AB938" s="673"/>
      <c r="AC938" s="673"/>
      <c r="AD938" s="673"/>
      <c r="AE938" s="673"/>
      <c r="AF938" s="673"/>
      <c r="AG938" s="673"/>
      <c r="AH938" s="673"/>
    </row>
    <row r="939">
      <c r="A939" s="653"/>
      <c r="B939" s="654"/>
      <c r="C939" s="691"/>
      <c r="D939" s="661"/>
      <c r="E939" s="705"/>
      <c r="F939" s="659"/>
      <c r="G939" s="661"/>
      <c r="H939" s="660"/>
      <c r="I939" s="691"/>
      <c r="J939" s="661"/>
      <c r="K939" s="706"/>
      <c r="L939" s="665"/>
      <c r="M939" s="663"/>
      <c r="N939" s="665"/>
      <c r="O939" s="665"/>
      <c r="P939" s="665"/>
      <c r="Q939" s="665"/>
      <c r="R939" s="665"/>
      <c r="S939" s="665"/>
      <c r="T939" s="673"/>
      <c r="U939" s="673"/>
      <c r="V939" s="673"/>
      <c r="W939" s="673"/>
      <c r="X939" s="673"/>
      <c r="Y939" s="673"/>
      <c r="Z939" s="673"/>
      <c r="AA939" s="673"/>
      <c r="AB939" s="673"/>
      <c r="AC939" s="673"/>
      <c r="AD939" s="673"/>
      <c r="AE939" s="673"/>
      <c r="AF939" s="673"/>
      <c r="AG939" s="673"/>
      <c r="AH939" s="673"/>
    </row>
    <row r="940">
      <c r="A940" s="653"/>
      <c r="B940" s="654"/>
      <c r="C940" s="691"/>
      <c r="D940" s="661"/>
      <c r="E940" s="705"/>
      <c r="F940" s="659"/>
      <c r="G940" s="661"/>
      <c r="H940" s="660"/>
      <c r="I940" s="691"/>
      <c r="J940" s="661"/>
      <c r="K940" s="706"/>
      <c r="L940" s="665"/>
      <c r="M940" s="663"/>
      <c r="N940" s="665"/>
      <c r="O940" s="665"/>
      <c r="P940" s="665"/>
      <c r="Q940" s="665"/>
      <c r="R940" s="665"/>
      <c r="S940" s="665"/>
      <c r="T940" s="673"/>
      <c r="U940" s="673"/>
      <c r="V940" s="673"/>
      <c r="W940" s="673"/>
      <c r="X940" s="673"/>
      <c r="Y940" s="673"/>
      <c r="Z940" s="673"/>
      <c r="AA940" s="673"/>
      <c r="AB940" s="673"/>
      <c r="AC940" s="673"/>
      <c r="AD940" s="673"/>
      <c r="AE940" s="673"/>
      <c r="AF940" s="673"/>
      <c r="AG940" s="673"/>
      <c r="AH940" s="673"/>
    </row>
    <row r="941">
      <c r="A941" s="653"/>
      <c r="B941" s="654"/>
      <c r="C941" s="691"/>
      <c r="D941" s="661"/>
      <c r="E941" s="705"/>
      <c r="F941" s="659"/>
      <c r="G941" s="661"/>
      <c r="H941" s="660"/>
      <c r="I941" s="691"/>
      <c r="J941" s="661"/>
      <c r="K941" s="706"/>
      <c r="L941" s="665"/>
      <c r="M941" s="663"/>
      <c r="N941" s="665"/>
      <c r="O941" s="665"/>
      <c r="P941" s="665"/>
      <c r="Q941" s="665"/>
      <c r="R941" s="665"/>
      <c r="S941" s="665"/>
      <c r="T941" s="673"/>
      <c r="U941" s="673"/>
      <c r="V941" s="673"/>
      <c r="W941" s="673"/>
      <c r="X941" s="673"/>
      <c r="Y941" s="673"/>
      <c r="Z941" s="673"/>
      <c r="AA941" s="673"/>
      <c r="AB941" s="673"/>
      <c r="AC941" s="673"/>
      <c r="AD941" s="673"/>
      <c r="AE941" s="673"/>
      <c r="AF941" s="673"/>
      <c r="AG941" s="673"/>
      <c r="AH941" s="673"/>
    </row>
    <row r="942">
      <c r="A942" s="653"/>
      <c r="B942" s="654"/>
      <c r="C942" s="691"/>
      <c r="D942" s="661"/>
      <c r="E942" s="705"/>
      <c r="F942" s="659"/>
      <c r="G942" s="661"/>
      <c r="H942" s="660"/>
      <c r="I942" s="691"/>
      <c r="J942" s="661"/>
      <c r="K942" s="706"/>
      <c r="L942" s="665"/>
      <c r="M942" s="663"/>
      <c r="N942" s="665"/>
      <c r="O942" s="665"/>
      <c r="P942" s="665"/>
      <c r="Q942" s="665"/>
      <c r="R942" s="665"/>
      <c r="S942" s="665"/>
      <c r="T942" s="673"/>
      <c r="U942" s="673"/>
      <c r="V942" s="673"/>
      <c r="W942" s="673"/>
      <c r="X942" s="673"/>
      <c r="Y942" s="673"/>
      <c r="Z942" s="673"/>
      <c r="AA942" s="673"/>
      <c r="AB942" s="673"/>
      <c r="AC942" s="673"/>
      <c r="AD942" s="673"/>
      <c r="AE942" s="673"/>
      <c r="AF942" s="673"/>
      <c r="AG942" s="673"/>
      <c r="AH942" s="673"/>
    </row>
    <row r="943">
      <c r="A943" s="653"/>
      <c r="B943" s="654"/>
      <c r="C943" s="691"/>
      <c r="D943" s="661"/>
      <c r="E943" s="705"/>
      <c r="F943" s="659"/>
      <c r="G943" s="661"/>
      <c r="H943" s="660"/>
      <c r="I943" s="691"/>
      <c r="J943" s="661"/>
      <c r="K943" s="706"/>
      <c r="L943" s="665"/>
      <c r="M943" s="663"/>
      <c r="N943" s="665"/>
      <c r="O943" s="665"/>
      <c r="P943" s="665"/>
      <c r="Q943" s="665"/>
      <c r="R943" s="665"/>
      <c r="S943" s="665"/>
      <c r="T943" s="673"/>
      <c r="U943" s="673"/>
      <c r="V943" s="673"/>
      <c r="W943" s="673"/>
      <c r="X943" s="673"/>
      <c r="Y943" s="673"/>
      <c r="Z943" s="673"/>
      <c r="AA943" s="673"/>
      <c r="AB943" s="673"/>
      <c r="AC943" s="673"/>
      <c r="AD943" s="673"/>
      <c r="AE943" s="673"/>
      <c r="AF943" s="673"/>
      <c r="AG943" s="673"/>
      <c r="AH943" s="673"/>
    </row>
    <row r="944">
      <c r="A944" s="653"/>
      <c r="B944" s="654"/>
      <c r="C944" s="691"/>
      <c r="D944" s="661"/>
      <c r="E944" s="705"/>
      <c r="F944" s="659"/>
      <c r="G944" s="661"/>
      <c r="H944" s="660"/>
      <c r="I944" s="691"/>
      <c r="J944" s="661"/>
      <c r="K944" s="706"/>
      <c r="L944" s="665"/>
      <c r="M944" s="663"/>
      <c r="N944" s="665"/>
      <c r="O944" s="665"/>
      <c r="P944" s="665"/>
      <c r="Q944" s="665"/>
      <c r="R944" s="665"/>
      <c r="S944" s="665"/>
      <c r="T944" s="673"/>
      <c r="U944" s="673"/>
      <c r="V944" s="673"/>
      <c r="W944" s="673"/>
      <c r="X944" s="673"/>
      <c r="Y944" s="673"/>
      <c r="Z944" s="673"/>
      <c r="AA944" s="673"/>
      <c r="AB944" s="673"/>
      <c r="AC944" s="673"/>
      <c r="AD944" s="673"/>
      <c r="AE944" s="673"/>
      <c r="AF944" s="673"/>
      <c r="AG944" s="673"/>
      <c r="AH944" s="673"/>
    </row>
    <row r="945">
      <c r="A945" s="653"/>
      <c r="B945" s="654"/>
      <c r="C945" s="691"/>
      <c r="D945" s="661"/>
      <c r="E945" s="705"/>
      <c r="F945" s="659"/>
      <c r="G945" s="661"/>
      <c r="H945" s="660"/>
      <c r="I945" s="691"/>
      <c r="J945" s="661"/>
      <c r="K945" s="706"/>
      <c r="L945" s="665"/>
      <c r="M945" s="663"/>
      <c r="N945" s="665"/>
      <c r="O945" s="665"/>
      <c r="P945" s="665"/>
      <c r="Q945" s="665"/>
      <c r="R945" s="665"/>
      <c r="S945" s="665"/>
      <c r="T945" s="673"/>
      <c r="U945" s="673"/>
      <c r="V945" s="673"/>
      <c r="W945" s="673"/>
      <c r="X945" s="673"/>
      <c r="Y945" s="673"/>
      <c r="Z945" s="673"/>
      <c r="AA945" s="673"/>
      <c r="AB945" s="673"/>
      <c r="AC945" s="673"/>
      <c r="AD945" s="673"/>
      <c r="AE945" s="673"/>
      <c r="AF945" s="673"/>
      <c r="AG945" s="673"/>
      <c r="AH945" s="673"/>
    </row>
    <row r="946">
      <c r="A946" s="653"/>
      <c r="B946" s="654"/>
      <c r="C946" s="691"/>
      <c r="D946" s="661"/>
      <c r="E946" s="705"/>
      <c r="F946" s="659"/>
      <c r="G946" s="661"/>
      <c r="H946" s="660"/>
      <c r="I946" s="691"/>
      <c r="J946" s="661"/>
      <c r="K946" s="706"/>
      <c r="L946" s="665"/>
      <c r="M946" s="663"/>
      <c r="N946" s="665"/>
      <c r="O946" s="665"/>
      <c r="P946" s="665"/>
      <c r="Q946" s="665"/>
      <c r="R946" s="665"/>
      <c r="S946" s="665"/>
      <c r="T946" s="673"/>
      <c r="U946" s="673"/>
      <c r="V946" s="673"/>
      <c r="W946" s="673"/>
      <c r="X946" s="673"/>
      <c r="Y946" s="673"/>
      <c r="Z946" s="673"/>
      <c r="AA946" s="673"/>
      <c r="AB946" s="673"/>
      <c r="AC946" s="673"/>
      <c r="AD946" s="673"/>
      <c r="AE946" s="673"/>
      <c r="AF946" s="673"/>
      <c r="AG946" s="673"/>
      <c r="AH946" s="673"/>
    </row>
    <row r="947">
      <c r="A947" s="653"/>
      <c r="B947" s="654"/>
      <c r="C947" s="691"/>
      <c r="D947" s="661"/>
      <c r="E947" s="705"/>
      <c r="F947" s="659"/>
      <c r="G947" s="661"/>
      <c r="H947" s="660"/>
      <c r="I947" s="691"/>
      <c r="J947" s="661"/>
      <c r="K947" s="706"/>
      <c r="L947" s="665"/>
      <c r="M947" s="663"/>
      <c r="N947" s="665"/>
      <c r="O947" s="665"/>
      <c r="P947" s="665"/>
      <c r="Q947" s="665"/>
      <c r="R947" s="665"/>
      <c r="S947" s="665"/>
      <c r="T947" s="673"/>
      <c r="U947" s="673"/>
      <c r="V947" s="673"/>
      <c r="W947" s="673"/>
      <c r="X947" s="673"/>
      <c r="Y947" s="673"/>
      <c r="Z947" s="673"/>
      <c r="AA947" s="673"/>
      <c r="AB947" s="673"/>
      <c r="AC947" s="673"/>
      <c r="AD947" s="673"/>
      <c r="AE947" s="673"/>
      <c r="AF947" s="673"/>
      <c r="AG947" s="673"/>
      <c r="AH947" s="673"/>
    </row>
    <row r="948">
      <c r="A948" s="653"/>
      <c r="B948" s="654"/>
      <c r="C948" s="691"/>
      <c r="D948" s="661"/>
      <c r="E948" s="705"/>
      <c r="F948" s="659"/>
      <c r="G948" s="661"/>
      <c r="H948" s="660"/>
      <c r="I948" s="691"/>
      <c r="J948" s="661"/>
      <c r="K948" s="706"/>
      <c r="L948" s="665"/>
      <c r="M948" s="663"/>
      <c r="N948" s="665"/>
      <c r="O948" s="665"/>
      <c r="P948" s="665"/>
      <c r="Q948" s="665"/>
      <c r="R948" s="665"/>
      <c r="S948" s="665"/>
      <c r="T948" s="673"/>
      <c r="U948" s="673"/>
      <c r="V948" s="673"/>
      <c r="W948" s="673"/>
      <c r="X948" s="673"/>
      <c r="Y948" s="673"/>
      <c r="Z948" s="673"/>
      <c r="AA948" s="673"/>
      <c r="AB948" s="673"/>
      <c r="AC948" s="673"/>
      <c r="AD948" s="673"/>
      <c r="AE948" s="673"/>
      <c r="AF948" s="673"/>
      <c r="AG948" s="673"/>
      <c r="AH948" s="673"/>
    </row>
    <row r="949">
      <c r="A949" s="653"/>
      <c r="B949" s="654"/>
      <c r="C949" s="691"/>
      <c r="D949" s="661"/>
      <c r="E949" s="705"/>
      <c r="F949" s="659"/>
      <c r="G949" s="661"/>
      <c r="H949" s="660"/>
      <c r="I949" s="691"/>
      <c r="J949" s="661"/>
      <c r="K949" s="706"/>
      <c r="L949" s="665"/>
      <c r="M949" s="663"/>
      <c r="N949" s="665"/>
      <c r="O949" s="665"/>
      <c r="P949" s="665"/>
      <c r="Q949" s="665"/>
      <c r="R949" s="665"/>
      <c r="S949" s="665"/>
      <c r="T949" s="673"/>
      <c r="U949" s="673"/>
      <c r="V949" s="673"/>
      <c r="W949" s="673"/>
      <c r="X949" s="673"/>
      <c r="Y949" s="673"/>
      <c r="Z949" s="673"/>
      <c r="AA949" s="673"/>
      <c r="AB949" s="673"/>
      <c r="AC949" s="673"/>
      <c r="AD949" s="673"/>
      <c r="AE949" s="673"/>
      <c r="AF949" s="673"/>
      <c r="AG949" s="673"/>
      <c r="AH949" s="673"/>
    </row>
    <row r="950">
      <c r="A950" s="653"/>
      <c r="B950" s="654"/>
      <c r="C950" s="691"/>
      <c r="D950" s="661"/>
      <c r="E950" s="705"/>
      <c r="F950" s="659"/>
      <c r="G950" s="661"/>
      <c r="H950" s="660"/>
      <c r="I950" s="691"/>
      <c r="J950" s="661"/>
      <c r="K950" s="706"/>
      <c r="L950" s="665"/>
      <c r="M950" s="663"/>
      <c r="N950" s="665"/>
      <c r="O950" s="665"/>
      <c r="P950" s="665"/>
      <c r="Q950" s="665"/>
      <c r="R950" s="665"/>
      <c r="S950" s="665"/>
      <c r="T950" s="673"/>
      <c r="U950" s="673"/>
      <c r="V950" s="673"/>
      <c r="W950" s="673"/>
      <c r="X950" s="673"/>
      <c r="Y950" s="673"/>
      <c r="Z950" s="673"/>
      <c r="AA950" s="673"/>
      <c r="AB950" s="673"/>
      <c r="AC950" s="673"/>
      <c r="AD950" s="673"/>
      <c r="AE950" s="673"/>
      <c r="AF950" s="673"/>
      <c r="AG950" s="673"/>
      <c r="AH950" s="673"/>
    </row>
    <row r="951">
      <c r="A951" s="653"/>
      <c r="B951" s="654"/>
      <c r="C951" s="691"/>
      <c r="D951" s="661"/>
      <c r="E951" s="705"/>
      <c r="F951" s="659"/>
      <c r="G951" s="661"/>
      <c r="H951" s="660"/>
      <c r="I951" s="691"/>
      <c r="J951" s="661"/>
      <c r="K951" s="706"/>
      <c r="L951" s="665"/>
      <c r="M951" s="663"/>
      <c r="N951" s="665"/>
      <c r="O951" s="665"/>
      <c r="P951" s="665"/>
      <c r="Q951" s="665"/>
      <c r="R951" s="665"/>
      <c r="S951" s="665"/>
      <c r="T951" s="673"/>
      <c r="U951" s="673"/>
      <c r="V951" s="673"/>
      <c r="W951" s="673"/>
      <c r="X951" s="673"/>
      <c r="Y951" s="673"/>
      <c r="Z951" s="673"/>
      <c r="AA951" s="673"/>
      <c r="AB951" s="673"/>
      <c r="AC951" s="673"/>
      <c r="AD951" s="673"/>
      <c r="AE951" s="673"/>
      <c r="AF951" s="673"/>
      <c r="AG951" s="673"/>
      <c r="AH951" s="673"/>
    </row>
    <row r="952">
      <c r="A952" s="653"/>
      <c r="B952" s="654"/>
      <c r="C952" s="691"/>
      <c r="D952" s="661"/>
      <c r="E952" s="705"/>
      <c r="F952" s="659"/>
      <c r="G952" s="661"/>
      <c r="H952" s="660"/>
      <c r="I952" s="691"/>
      <c r="J952" s="661"/>
      <c r="K952" s="706"/>
      <c r="L952" s="665"/>
      <c r="M952" s="663"/>
      <c r="N952" s="665"/>
      <c r="O952" s="665"/>
      <c r="P952" s="665"/>
      <c r="Q952" s="665"/>
      <c r="R952" s="665"/>
      <c r="S952" s="665"/>
      <c r="T952" s="673"/>
      <c r="U952" s="673"/>
      <c r="V952" s="673"/>
      <c r="W952" s="673"/>
      <c r="X952" s="673"/>
      <c r="Y952" s="673"/>
      <c r="Z952" s="673"/>
      <c r="AA952" s="673"/>
      <c r="AB952" s="673"/>
      <c r="AC952" s="673"/>
      <c r="AD952" s="673"/>
      <c r="AE952" s="673"/>
      <c r="AF952" s="673"/>
      <c r="AG952" s="673"/>
      <c r="AH952" s="673"/>
    </row>
    <row r="953">
      <c r="A953" s="653"/>
      <c r="B953" s="654"/>
      <c r="C953" s="691"/>
      <c r="D953" s="661"/>
      <c r="E953" s="705"/>
      <c r="F953" s="659"/>
      <c r="G953" s="661"/>
      <c r="H953" s="660"/>
      <c r="I953" s="691"/>
      <c r="J953" s="661"/>
      <c r="K953" s="706"/>
      <c r="L953" s="665"/>
      <c r="M953" s="663"/>
      <c r="N953" s="665"/>
      <c r="O953" s="665"/>
      <c r="P953" s="665"/>
      <c r="Q953" s="665"/>
      <c r="R953" s="665"/>
      <c r="S953" s="665"/>
      <c r="T953" s="673"/>
      <c r="U953" s="673"/>
      <c r="V953" s="673"/>
      <c r="W953" s="673"/>
      <c r="X953" s="673"/>
      <c r="Y953" s="673"/>
      <c r="Z953" s="673"/>
      <c r="AA953" s="673"/>
      <c r="AB953" s="673"/>
      <c r="AC953" s="673"/>
      <c r="AD953" s="673"/>
      <c r="AE953" s="673"/>
      <c r="AF953" s="673"/>
      <c r="AG953" s="673"/>
      <c r="AH953" s="673"/>
    </row>
    <row r="954">
      <c r="A954" s="653"/>
      <c r="B954" s="654"/>
      <c r="C954" s="691"/>
      <c r="D954" s="661"/>
      <c r="E954" s="705"/>
      <c r="F954" s="659"/>
      <c r="G954" s="661"/>
      <c r="H954" s="660"/>
      <c r="I954" s="691"/>
      <c r="J954" s="661"/>
      <c r="K954" s="706"/>
      <c r="L954" s="665"/>
      <c r="M954" s="663"/>
      <c r="N954" s="665"/>
      <c r="O954" s="665"/>
      <c r="P954" s="665"/>
      <c r="Q954" s="665"/>
      <c r="R954" s="665"/>
      <c r="S954" s="665"/>
      <c r="T954" s="673"/>
      <c r="U954" s="673"/>
      <c r="V954" s="673"/>
      <c r="W954" s="673"/>
      <c r="X954" s="673"/>
      <c r="Y954" s="673"/>
      <c r="Z954" s="673"/>
      <c r="AA954" s="673"/>
      <c r="AB954" s="673"/>
      <c r="AC954" s="673"/>
      <c r="AD954" s="673"/>
      <c r="AE954" s="673"/>
      <c r="AF954" s="673"/>
      <c r="AG954" s="673"/>
      <c r="AH954" s="673"/>
    </row>
    <row r="955">
      <c r="A955" s="653"/>
      <c r="B955" s="654"/>
      <c r="C955" s="691"/>
      <c r="D955" s="661"/>
      <c r="E955" s="705"/>
      <c r="F955" s="659"/>
      <c r="G955" s="661"/>
      <c r="H955" s="660"/>
      <c r="I955" s="691"/>
      <c r="J955" s="661"/>
      <c r="K955" s="706"/>
      <c r="L955" s="665"/>
      <c r="M955" s="663"/>
      <c r="N955" s="665"/>
      <c r="O955" s="665"/>
      <c r="P955" s="665"/>
      <c r="Q955" s="665"/>
      <c r="R955" s="665"/>
      <c r="S955" s="665"/>
      <c r="T955" s="673"/>
      <c r="U955" s="673"/>
      <c r="V955" s="673"/>
      <c r="W955" s="673"/>
      <c r="X955" s="673"/>
      <c r="Y955" s="673"/>
      <c r="Z955" s="673"/>
      <c r="AA955" s="673"/>
      <c r="AB955" s="673"/>
      <c r="AC955" s="673"/>
      <c r="AD955" s="673"/>
      <c r="AE955" s="673"/>
      <c r="AF955" s="673"/>
      <c r="AG955" s="673"/>
      <c r="AH955" s="673"/>
    </row>
    <row r="956">
      <c r="A956" s="653"/>
      <c r="B956" s="654"/>
      <c r="C956" s="691"/>
      <c r="D956" s="661"/>
      <c r="E956" s="705"/>
      <c r="F956" s="659"/>
      <c r="G956" s="661"/>
      <c r="H956" s="660"/>
      <c r="I956" s="691"/>
      <c r="J956" s="661"/>
      <c r="K956" s="706"/>
      <c r="L956" s="665"/>
      <c r="M956" s="663"/>
      <c r="N956" s="665"/>
      <c r="O956" s="665"/>
      <c r="P956" s="665"/>
      <c r="Q956" s="665"/>
      <c r="R956" s="665"/>
      <c r="S956" s="665"/>
      <c r="T956" s="673"/>
      <c r="U956" s="673"/>
      <c r="V956" s="673"/>
      <c r="W956" s="673"/>
      <c r="X956" s="673"/>
      <c r="Y956" s="673"/>
      <c r="Z956" s="673"/>
      <c r="AA956" s="673"/>
      <c r="AB956" s="673"/>
      <c r="AC956" s="673"/>
      <c r="AD956" s="673"/>
      <c r="AE956" s="673"/>
      <c r="AF956" s="673"/>
      <c r="AG956" s="673"/>
      <c r="AH956" s="673"/>
    </row>
    <row r="957">
      <c r="A957" s="653"/>
      <c r="B957" s="654"/>
      <c r="C957" s="691"/>
      <c r="D957" s="661"/>
      <c r="E957" s="705"/>
      <c r="F957" s="659"/>
      <c r="G957" s="661"/>
      <c r="H957" s="660"/>
      <c r="I957" s="691"/>
      <c r="J957" s="661"/>
      <c r="K957" s="706"/>
      <c r="L957" s="665"/>
      <c r="M957" s="663"/>
      <c r="N957" s="665"/>
      <c r="O957" s="665"/>
      <c r="P957" s="665"/>
      <c r="Q957" s="665"/>
      <c r="R957" s="665"/>
      <c r="S957" s="665"/>
      <c r="T957" s="673"/>
      <c r="U957" s="673"/>
      <c r="V957" s="673"/>
      <c r="W957" s="673"/>
      <c r="X957" s="673"/>
      <c r="Y957" s="673"/>
      <c r="Z957" s="673"/>
      <c r="AA957" s="673"/>
      <c r="AB957" s="673"/>
      <c r="AC957" s="673"/>
      <c r="AD957" s="673"/>
      <c r="AE957" s="673"/>
      <c r="AF957" s="673"/>
      <c r="AG957" s="673"/>
      <c r="AH957" s="673"/>
    </row>
    <row r="958">
      <c r="A958" s="653"/>
      <c r="B958" s="654"/>
      <c r="C958" s="691"/>
      <c r="D958" s="661"/>
      <c r="E958" s="705"/>
      <c r="F958" s="659"/>
      <c r="G958" s="661"/>
      <c r="H958" s="660"/>
      <c r="I958" s="691"/>
      <c r="J958" s="661"/>
      <c r="K958" s="706"/>
      <c r="L958" s="665"/>
      <c r="M958" s="663"/>
      <c r="N958" s="665"/>
      <c r="O958" s="665"/>
      <c r="P958" s="665"/>
      <c r="Q958" s="665"/>
      <c r="R958" s="665"/>
      <c r="S958" s="665"/>
      <c r="T958" s="673"/>
      <c r="U958" s="673"/>
      <c r="V958" s="673"/>
      <c r="W958" s="673"/>
      <c r="X958" s="673"/>
      <c r="Y958" s="673"/>
      <c r="Z958" s="673"/>
      <c r="AA958" s="673"/>
      <c r="AB958" s="673"/>
      <c r="AC958" s="673"/>
      <c r="AD958" s="673"/>
      <c r="AE958" s="673"/>
      <c r="AF958" s="673"/>
      <c r="AG958" s="673"/>
      <c r="AH958" s="673"/>
    </row>
    <row r="959">
      <c r="A959" s="653"/>
      <c r="B959" s="654"/>
      <c r="C959" s="691"/>
      <c r="D959" s="661"/>
      <c r="E959" s="705"/>
      <c r="F959" s="659"/>
      <c r="G959" s="661"/>
      <c r="H959" s="660"/>
      <c r="I959" s="691"/>
      <c r="J959" s="661"/>
      <c r="K959" s="706"/>
      <c r="L959" s="665"/>
      <c r="M959" s="663"/>
      <c r="N959" s="665"/>
      <c r="O959" s="665"/>
      <c r="P959" s="665"/>
      <c r="Q959" s="665"/>
      <c r="R959" s="665"/>
      <c r="S959" s="665"/>
      <c r="T959" s="673"/>
      <c r="U959" s="673"/>
      <c r="V959" s="673"/>
      <c r="W959" s="673"/>
      <c r="X959" s="673"/>
      <c r="Y959" s="673"/>
      <c r="Z959" s="673"/>
      <c r="AA959" s="673"/>
      <c r="AB959" s="673"/>
      <c r="AC959" s="673"/>
      <c r="AD959" s="673"/>
      <c r="AE959" s="673"/>
      <c r="AF959" s="673"/>
      <c r="AG959" s="673"/>
      <c r="AH959" s="673"/>
    </row>
    <row r="960">
      <c r="A960" s="653"/>
      <c r="B960" s="654"/>
      <c r="C960" s="691"/>
      <c r="D960" s="661"/>
      <c r="E960" s="705"/>
      <c r="F960" s="659"/>
      <c r="G960" s="661"/>
      <c r="H960" s="660"/>
      <c r="I960" s="691"/>
      <c r="J960" s="661"/>
      <c r="K960" s="706"/>
      <c r="L960" s="665"/>
      <c r="M960" s="663"/>
      <c r="N960" s="665"/>
      <c r="O960" s="665"/>
      <c r="P960" s="665"/>
      <c r="Q960" s="665"/>
      <c r="R960" s="665"/>
      <c r="S960" s="665"/>
      <c r="T960" s="673"/>
      <c r="U960" s="673"/>
      <c r="V960" s="673"/>
      <c r="W960" s="673"/>
      <c r="X960" s="673"/>
      <c r="Y960" s="673"/>
      <c r="Z960" s="673"/>
      <c r="AA960" s="673"/>
      <c r="AB960" s="673"/>
      <c r="AC960" s="673"/>
      <c r="AD960" s="673"/>
      <c r="AE960" s="673"/>
      <c r="AF960" s="673"/>
      <c r="AG960" s="673"/>
      <c r="AH960" s="673"/>
    </row>
    <row r="961">
      <c r="A961" s="653"/>
      <c r="B961" s="654"/>
      <c r="C961" s="691"/>
      <c r="D961" s="661"/>
      <c r="E961" s="705"/>
      <c r="F961" s="659"/>
      <c r="G961" s="661"/>
      <c r="H961" s="660"/>
      <c r="I961" s="691"/>
      <c r="J961" s="661"/>
      <c r="K961" s="706"/>
      <c r="L961" s="665"/>
      <c r="M961" s="663"/>
      <c r="N961" s="665"/>
      <c r="O961" s="665"/>
      <c r="P961" s="665"/>
      <c r="Q961" s="665"/>
      <c r="R961" s="665"/>
      <c r="S961" s="665"/>
      <c r="T961" s="673"/>
      <c r="U961" s="673"/>
      <c r="V961" s="673"/>
      <c r="W961" s="673"/>
      <c r="X961" s="673"/>
      <c r="Y961" s="673"/>
      <c r="Z961" s="673"/>
      <c r="AA961" s="673"/>
      <c r="AB961" s="673"/>
      <c r="AC961" s="673"/>
      <c r="AD961" s="673"/>
      <c r="AE961" s="673"/>
      <c r="AF961" s="673"/>
      <c r="AG961" s="673"/>
      <c r="AH961" s="673"/>
    </row>
    <row r="962">
      <c r="A962" s="653"/>
      <c r="B962" s="654"/>
      <c r="C962" s="691"/>
      <c r="D962" s="661"/>
      <c r="E962" s="705"/>
      <c r="F962" s="659"/>
      <c r="G962" s="661"/>
      <c r="H962" s="660"/>
      <c r="I962" s="691"/>
      <c r="J962" s="661"/>
      <c r="K962" s="706"/>
      <c r="L962" s="665"/>
      <c r="M962" s="663"/>
      <c r="N962" s="665"/>
      <c r="O962" s="665"/>
      <c r="P962" s="665"/>
      <c r="Q962" s="665"/>
      <c r="R962" s="665"/>
      <c r="S962" s="665"/>
      <c r="T962" s="673"/>
      <c r="U962" s="673"/>
      <c r="V962" s="673"/>
      <c r="W962" s="673"/>
      <c r="X962" s="673"/>
      <c r="Y962" s="673"/>
      <c r="Z962" s="673"/>
      <c r="AA962" s="673"/>
      <c r="AB962" s="673"/>
      <c r="AC962" s="673"/>
      <c r="AD962" s="673"/>
      <c r="AE962" s="673"/>
      <c r="AF962" s="673"/>
      <c r="AG962" s="673"/>
      <c r="AH962" s="673"/>
    </row>
    <row r="963">
      <c r="A963" s="653"/>
      <c r="B963" s="654"/>
      <c r="C963" s="691"/>
      <c r="D963" s="661"/>
      <c r="E963" s="705"/>
      <c r="F963" s="659"/>
      <c r="G963" s="661"/>
      <c r="H963" s="660"/>
      <c r="I963" s="691"/>
      <c r="J963" s="661"/>
      <c r="K963" s="706"/>
      <c r="L963" s="665"/>
      <c r="M963" s="663"/>
      <c r="N963" s="665"/>
      <c r="O963" s="665"/>
      <c r="P963" s="665"/>
      <c r="Q963" s="665"/>
      <c r="R963" s="665"/>
      <c r="S963" s="665"/>
      <c r="T963" s="673"/>
      <c r="U963" s="673"/>
      <c r="V963" s="673"/>
      <c r="W963" s="673"/>
      <c r="X963" s="673"/>
      <c r="Y963" s="673"/>
      <c r="Z963" s="673"/>
      <c r="AA963" s="673"/>
      <c r="AB963" s="673"/>
      <c r="AC963" s="673"/>
      <c r="AD963" s="673"/>
      <c r="AE963" s="673"/>
      <c r="AF963" s="673"/>
      <c r="AG963" s="673"/>
      <c r="AH963" s="673"/>
    </row>
    <row r="964">
      <c r="A964" s="653"/>
      <c r="B964" s="654"/>
      <c r="C964" s="691"/>
      <c r="D964" s="661"/>
      <c r="E964" s="705"/>
      <c r="F964" s="659"/>
      <c r="G964" s="661"/>
      <c r="H964" s="660"/>
      <c r="I964" s="691"/>
      <c r="J964" s="661"/>
      <c r="K964" s="706"/>
      <c r="L964" s="665"/>
      <c r="M964" s="663"/>
      <c r="N964" s="665"/>
      <c r="O964" s="665"/>
      <c r="P964" s="665"/>
      <c r="Q964" s="665"/>
      <c r="R964" s="665"/>
      <c r="S964" s="665"/>
      <c r="T964" s="673"/>
      <c r="U964" s="673"/>
      <c r="V964" s="673"/>
      <c r="W964" s="673"/>
      <c r="X964" s="673"/>
      <c r="Y964" s="673"/>
      <c r="Z964" s="673"/>
      <c r="AA964" s="673"/>
      <c r="AB964" s="673"/>
      <c r="AC964" s="673"/>
      <c r="AD964" s="673"/>
      <c r="AE964" s="673"/>
      <c r="AF964" s="673"/>
      <c r="AG964" s="673"/>
      <c r="AH964" s="673"/>
    </row>
    <row r="965">
      <c r="A965" s="653"/>
      <c r="B965" s="654"/>
      <c r="C965" s="691"/>
      <c r="D965" s="661"/>
      <c r="E965" s="705"/>
      <c r="F965" s="659"/>
      <c r="G965" s="661"/>
      <c r="H965" s="660"/>
      <c r="I965" s="691"/>
      <c r="J965" s="661"/>
      <c r="K965" s="706"/>
      <c r="L965" s="665"/>
      <c r="M965" s="663"/>
      <c r="N965" s="665"/>
      <c r="O965" s="665"/>
      <c r="P965" s="665"/>
      <c r="Q965" s="665"/>
      <c r="R965" s="665"/>
      <c r="S965" s="665"/>
      <c r="T965" s="673"/>
      <c r="U965" s="673"/>
      <c r="V965" s="673"/>
      <c r="W965" s="673"/>
      <c r="X965" s="673"/>
      <c r="Y965" s="673"/>
      <c r="Z965" s="673"/>
      <c r="AA965" s="673"/>
      <c r="AB965" s="673"/>
      <c r="AC965" s="673"/>
      <c r="AD965" s="673"/>
      <c r="AE965" s="673"/>
      <c r="AF965" s="673"/>
      <c r="AG965" s="673"/>
      <c r="AH965" s="673"/>
    </row>
    <row r="966">
      <c r="A966" s="653"/>
      <c r="B966" s="654"/>
      <c r="C966" s="691"/>
      <c r="D966" s="661"/>
      <c r="E966" s="705"/>
      <c r="F966" s="659"/>
      <c r="G966" s="661"/>
      <c r="H966" s="660"/>
      <c r="I966" s="691"/>
      <c r="J966" s="661"/>
      <c r="K966" s="706"/>
      <c r="L966" s="665"/>
      <c r="M966" s="663"/>
      <c r="N966" s="665"/>
      <c r="O966" s="665"/>
      <c r="P966" s="665"/>
      <c r="Q966" s="665"/>
      <c r="R966" s="665"/>
      <c r="S966" s="665"/>
      <c r="T966" s="673"/>
      <c r="U966" s="673"/>
      <c r="V966" s="673"/>
      <c r="W966" s="673"/>
      <c r="X966" s="673"/>
      <c r="Y966" s="673"/>
      <c r="Z966" s="673"/>
      <c r="AA966" s="673"/>
      <c r="AB966" s="673"/>
      <c r="AC966" s="673"/>
      <c r="AD966" s="673"/>
      <c r="AE966" s="673"/>
      <c r="AF966" s="673"/>
      <c r="AG966" s="673"/>
      <c r="AH966" s="673"/>
    </row>
    <row r="967">
      <c r="A967" s="653"/>
      <c r="B967" s="654"/>
      <c r="C967" s="691"/>
      <c r="D967" s="661"/>
      <c r="E967" s="705"/>
      <c r="F967" s="659"/>
      <c r="G967" s="661"/>
      <c r="H967" s="660"/>
      <c r="I967" s="691"/>
      <c r="J967" s="661"/>
      <c r="K967" s="706"/>
      <c r="L967" s="665"/>
      <c r="M967" s="663"/>
      <c r="N967" s="665"/>
      <c r="O967" s="665"/>
      <c r="P967" s="665"/>
      <c r="Q967" s="665"/>
      <c r="R967" s="665"/>
      <c r="S967" s="665"/>
      <c r="T967" s="673"/>
      <c r="U967" s="673"/>
      <c r="V967" s="673"/>
      <c r="W967" s="673"/>
      <c r="X967" s="673"/>
      <c r="Y967" s="673"/>
      <c r="Z967" s="673"/>
      <c r="AA967" s="673"/>
      <c r="AB967" s="673"/>
      <c r="AC967" s="673"/>
      <c r="AD967" s="673"/>
      <c r="AE967" s="673"/>
      <c r="AF967" s="673"/>
      <c r="AG967" s="673"/>
      <c r="AH967" s="673"/>
    </row>
    <row r="968">
      <c r="A968" s="653"/>
      <c r="B968" s="654"/>
      <c r="C968" s="691"/>
      <c r="D968" s="661"/>
      <c r="E968" s="705"/>
      <c r="F968" s="659"/>
      <c r="G968" s="661"/>
      <c r="H968" s="660"/>
      <c r="I968" s="691"/>
      <c r="J968" s="661"/>
      <c r="K968" s="706"/>
      <c r="L968" s="665"/>
      <c r="M968" s="663"/>
      <c r="N968" s="665"/>
      <c r="O968" s="665"/>
      <c r="P968" s="665"/>
      <c r="Q968" s="665"/>
      <c r="R968" s="665"/>
      <c r="S968" s="665"/>
      <c r="T968" s="673"/>
      <c r="U968" s="673"/>
      <c r="V968" s="673"/>
      <c r="W968" s="673"/>
      <c r="X968" s="673"/>
      <c r="Y968" s="673"/>
      <c r="Z968" s="673"/>
      <c r="AA968" s="673"/>
      <c r="AB968" s="673"/>
      <c r="AC968" s="673"/>
      <c r="AD968" s="673"/>
      <c r="AE968" s="673"/>
      <c r="AF968" s="673"/>
      <c r="AG968" s="673"/>
      <c r="AH968" s="673"/>
    </row>
    <row r="969">
      <c r="A969" s="653"/>
      <c r="B969" s="654"/>
      <c r="C969" s="691"/>
      <c r="D969" s="661"/>
      <c r="E969" s="705"/>
      <c r="F969" s="659"/>
      <c r="G969" s="661"/>
      <c r="H969" s="660"/>
      <c r="I969" s="691"/>
      <c r="J969" s="661"/>
      <c r="K969" s="706"/>
      <c r="L969" s="665"/>
      <c r="M969" s="663"/>
      <c r="N969" s="665"/>
      <c r="O969" s="665"/>
      <c r="P969" s="665"/>
      <c r="Q969" s="665"/>
      <c r="R969" s="665"/>
      <c r="S969" s="665"/>
      <c r="T969" s="673"/>
      <c r="U969" s="673"/>
      <c r="V969" s="673"/>
      <c r="W969" s="673"/>
      <c r="X969" s="673"/>
      <c r="Y969" s="673"/>
      <c r="Z969" s="673"/>
      <c r="AA969" s="673"/>
      <c r="AB969" s="673"/>
      <c r="AC969" s="673"/>
      <c r="AD969" s="673"/>
      <c r="AE969" s="673"/>
      <c r="AF969" s="673"/>
      <c r="AG969" s="673"/>
      <c r="AH969" s="673"/>
    </row>
    <row r="970">
      <c r="A970" s="653"/>
      <c r="B970" s="654"/>
      <c r="C970" s="691"/>
      <c r="D970" s="661"/>
      <c r="E970" s="705"/>
      <c r="F970" s="659"/>
      <c r="G970" s="661"/>
      <c r="H970" s="660"/>
      <c r="I970" s="691"/>
      <c r="J970" s="661"/>
      <c r="K970" s="706"/>
      <c r="L970" s="665"/>
      <c r="M970" s="663"/>
      <c r="N970" s="665"/>
      <c r="O970" s="665"/>
      <c r="P970" s="665"/>
      <c r="Q970" s="665"/>
      <c r="R970" s="665"/>
      <c r="S970" s="665"/>
      <c r="T970" s="673"/>
      <c r="U970" s="673"/>
      <c r="V970" s="673"/>
      <c r="W970" s="673"/>
      <c r="X970" s="673"/>
      <c r="Y970" s="673"/>
      <c r="Z970" s="673"/>
      <c r="AA970" s="673"/>
      <c r="AB970" s="673"/>
      <c r="AC970" s="673"/>
      <c r="AD970" s="673"/>
      <c r="AE970" s="673"/>
      <c r="AF970" s="673"/>
      <c r="AG970" s="673"/>
      <c r="AH970" s="673"/>
    </row>
    <row r="971">
      <c r="A971" s="653"/>
      <c r="B971" s="654"/>
      <c r="C971" s="691"/>
      <c r="D971" s="661"/>
      <c r="E971" s="705"/>
      <c r="F971" s="659"/>
      <c r="G971" s="661"/>
      <c r="H971" s="660"/>
      <c r="I971" s="691"/>
      <c r="J971" s="661"/>
      <c r="K971" s="706"/>
      <c r="L971" s="665"/>
      <c r="M971" s="663"/>
      <c r="N971" s="665"/>
      <c r="O971" s="665"/>
      <c r="P971" s="665"/>
      <c r="Q971" s="665"/>
      <c r="R971" s="665"/>
      <c r="S971" s="665"/>
      <c r="T971" s="673"/>
      <c r="U971" s="673"/>
      <c r="V971" s="673"/>
      <c r="W971" s="673"/>
      <c r="X971" s="673"/>
      <c r="Y971" s="673"/>
      <c r="Z971" s="673"/>
      <c r="AA971" s="673"/>
      <c r="AB971" s="673"/>
      <c r="AC971" s="673"/>
      <c r="AD971" s="673"/>
      <c r="AE971" s="673"/>
      <c r="AF971" s="673"/>
      <c r="AG971" s="673"/>
      <c r="AH971" s="673"/>
    </row>
    <row r="972">
      <c r="A972" s="653"/>
      <c r="B972" s="654"/>
      <c r="C972" s="691"/>
      <c r="D972" s="661"/>
      <c r="E972" s="705"/>
      <c r="F972" s="659"/>
      <c r="G972" s="661"/>
      <c r="H972" s="660"/>
      <c r="I972" s="691"/>
      <c r="J972" s="661"/>
      <c r="K972" s="706"/>
      <c r="L972" s="665"/>
      <c r="M972" s="663"/>
      <c r="N972" s="665"/>
      <c r="O972" s="665"/>
      <c r="P972" s="665"/>
      <c r="Q972" s="665"/>
      <c r="R972" s="665"/>
      <c r="S972" s="665"/>
      <c r="T972" s="673"/>
      <c r="U972" s="673"/>
      <c r="V972" s="673"/>
      <c r="W972" s="673"/>
      <c r="X972" s="673"/>
      <c r="Y972" s="673"/>
      <c r="Z972" s="673"/>
      <c r="AA972" s="673"/>
      <c r="AB972" s="673"/>
      <c r="AC972" s="673"/>
      <c r="AD972" s="673"/>
      <c r="AE972" s="673"/>
      <c r="AF972" s="673"/>
      <c r="AG972" s="673"/>
      <c r="AH972" s="673"/>
    </row>
    <row r="973">
      <c r="A973" s="653"/>
      <c r="B973" s="654"/>
      <c r="C973" s="691"/>
      <c r="D973" s="661"/>
      <c r="E973" s="705"/>
      <c r="F973" s="659"/>
      <c r="G973" s="661"/>
      <c r="H973" s="660"/>
      <c r="I973" s="691"/>
      <c r="J973" s="661"/>
      <c r="K973" s="706"/>
      <c r="L973" s="665"/>
      <c r="M973" s="663"/>
      <c r="N973" s="665"/>
      <c r="O973" s="665"/>
      <c r="P973" s="665"/>
      <c r="Q973" s="665"/>
      <c r="R973" s="665"/>
      <c r="S973" s="665"/>
      <c r="T973" s="673"/>
      <c r="U973" s="673"/>
      <c r="V973" s="673"/>
      <c r="W973" s="673"/>
      <c r="X973" s="673"/>
      <c r="Y973" s="673"/>
      <c r="Z973" s="673"/>
      <c r="AA973" s="673"/>
      <c r="AB973" s="673"/>
      <c r="AC973" s="673"/>
      <c r="AD973" s="673"/>
      <c r="AE973" s="673"/>
      <c r="AF973" s="673"/>
      <c r="AG973" s="673"/>
      <c r="AH973" s="673"/>
    </row>
    <row r="974">
      <c r="A974" s="653"/>
      <c r="B974" s="654"/>
      <c r="C974" s="691"/>
      <c r="D974" s="661"/>
      <c r="E974" s="705"/>
      <c r="F974" s="659"/>
      <c r="G974" s="661"/>
      <c r="H974" s="660"/>
      <c r="I974" s="691"/>
      <c r="J974" s="661"/>
      <c r="K974" s="706"/>
      <c r="L974" s="665"/>
      <c r="M974" s="663"/>
      <c r="N974" s="665"/>
      <c r="O974" s="665"/>
      <c r="P974" s="665"/>
      <c r="Q974" s="665"/>
      <c r="R974" s="665"/>
      <c r="S974" s="665"/>
      <c r="T974" s="673"/>
      <c r="U974" s="673"/>
      <c r="V974" s="673"/>
      <c r="W974" s="673"/>
      <c r="X974" s="673"/>
      <c r="Y974" s="673"/>
      <c r="Z974" s="673"/>
      <c r="AA974" s="673"/>
      <c r="AB974" s="673"/>
      <c r="AC974" s="673"/>
      <c r="AD974" s="673"/>
      <c r="AE974" s="673"/>
      <c r="AF974" s="673"/>
      <c r="AG974" s="673"/>
      <c r="AH974" s="673"/>
    </row>
    <row r="975">
      <c r="A975" s="653"/>
      <c r="B975" s="654"/>
      <c r="C975" s="691"/>
      <c r="D975" s="661"/>
      <c r="E975" s="705"/>
      <c r="F975" s="659"/>
      <c r="G975" s="661"/>
      <c r="H975" s="660"/>
      <c r="I975" s="691"/>
      <c r="J975" s="661"/>
      <c r="K975" s="706"/>
      <c r="L975" s="665"/>
      <c r="M975" s="663"/>
      <c r="N975" s="665"/>
      <c r="O975" s="665"/>
      <c r="P975" s="665"/>
      <c r="Q975" s="665"/>
      <c r="R975" s="665"/>
      <c r="S975" s="665"/>
      <c r="T975" s="673"/>
      <c r="U975" s="673"/>
      <c r="V975" s="673"/>
      <c r="W975" s="673"/>
      <c r="X975" s="673"/>
      <c r="Y975" s="673"/>
      <c r="Z975" s="673"/>
      <c r="AA975" s="673"/>
      <c r="AB975" s="673"/>
      <c r="AC975" s="673"/>
      <c r="AD975" s="673"/>
      <c r="AE975" s="673"/>
      <c r="AF975" s="673"/>
      <c r="AG975" s="673"/>
      <c r="AH975" s="673"/>
    </row>
    <row r="976">
      <c r="A976" s="653"/>
      <c r="B976" s="654"/>
      <c r="C976" s="691"/>
      <c r="D976" s="661"/>
      <c r="E976" s="705"/>
      <c r="F976" s="659"/>
      <c r="G976" s="661"/>
      <c r="H976" s="660"/>
      <c r="I976" s="691"/>
      <c r="J976" s="661"/>
      <c r="K976" s="706"/>
      <c r="L976" s="665"/>
      <c r="M976" s="663"/>
      <c r="N976" s="665"/>
      <c r="O976" s="665"/>
      <c r="P976" s="665"/>
      <c r="Q976" s="665"/>
      <c r="R976" s="665"/>
      <c r="S976" s="665"/>
      <c r="T976" s="673"/>
      <c r="U976" s="673"/>
      <c r="V976" s="673"/>
      <c r="W976" s="673"/>
      <c r="X976" s="673"/>
      <c r="Y976" s="673"/>
      <c r="Z976" s="673"/>
      <c r="AA976" s="673"/>
      <c r="AB976" s="673"/>
      <c r="AC976" s="673"/>
      <c r="AD976" s="673"/>
      <c r="AE976" s="673"/>
      <c r="AF976" s="673"/>
      <c r="AG976" s="673"/>
      <c r="AH976" s="673"/>
    </row>
    <row r="977">
      <c r="A977" s="653"/>
      <c r="B977" s="654"/>
      <c r="C977" s="691"/>
      <c r="D977" s="661"/>
      <c r="E977" s="705"/>
      <c r="F977" s="659"/>
      <c r="G977" s="661"/>
      <c r="H977" s="660"/>
      <c r="I977" s="691"/>
      <c r="J977" s="661"/>
      <c r="K977" s="706"/>
      <c r="L977" s="665"/>
      <c r="M977" s="663"/>
      <c r="N977" s="665"/>
      <c r="O977" s="665"/>
      <c r="P977" s="665"/>
      <c r="Q977" s="665"/>
      <c r="R977" s="665"/>
      <c r="S977" s="665"/>
      <c r="T977" s="673"/>
      <c r="U977" s="673"/>
      <c r="V977" s="673"/>
      <c r="W977" s="673"/>
      <c r="X977" s="673"/>
      <c r="Y977" s="673"/>
      <c r="Z977" s="673"/>
      <c r="AA977" s="673"/>
      <c r="AB977" s="673"/>
      <c r="AC977" s="673"/>
      <c r="AD977" s="673"/>
      <c r="AE977" s="673"/>
      <c r="AF977" s="673"/>
      <c r="AG977" s="673"/>
      <c r="AH977" s="673"/>
    </row>
    <row r="978">
      <c r="A978" s="653"/>
      <c r="B978" s="654"/>
      <c r="C978" s="691"/>
      <c r="D978" s="661"/>
      <c r="E978" s="705"/>
      <c r="F978" s="659"/>
      <c r="G978" s="661"/>
      <c r="H978" s="660"/>
      <c r="I978" s="691"/>
      <c r="J978" s="661"/>
      <c r="K978" s="706"/>
      <c r="L978" s="665"/>
      <c r="M978" s="663"/>
      <c r="N978" s="665"/>
      <c r="O978" s="665"/>
      <c r="P978" s="665"/>
      <c r="Q978" s="665"/>
      <c r="R978" s="665"/>
      <c r="S978" s="665"/>
      <c r="T978" s="673"/>
      <c r="U978" s="673"/>
      <c r="V978" s="673"/>
      <c r="W978" s="673"/>
      <c r="X978" s="673"/>
      <c r="Y978" s="673"/>
      <c r="Z978" s="673"/>
      <c r="AA978" s="673"/>
      <c r="AB978" s="673"/>
      <c r="AC978" s="673"/>
      <c r="AD978" s="673"/>
      <c r="AE978" s="673"/>
      <c r="AF978" s="673"/>
      <c r="AG978" s="673"/>
      <c r="AH978" s="673"/>
    </row>
    <row r="979">
      <c r="A979" s="653"/>
      <c r="B979" s="654"/>
      <c r="C979" s="691"/>
      <c r="D979" s="661"/>
      <c r="E979" s="705"/>
      <c r="F979" s="659"/>
      <c r="G979" s="661"/>
      <c r="H979" s="660"/>
      <c r="I979" s="691"/>
      <c r="J979" s="661"/>
      <c r="K979" s="706"/>
      <c r="L979" s="665"/>
      <c r="M979" s="663"/>
      <c r="N979" s="665"/>
      <c r="O979" s="665"/>
      <c r="P979" s="665"/>
      <c r="Q979" s="665"/>
      <c r="R979" s="665"/>
      <c r="S979" s="665"/>
      <c r="T979" s="673"/>
      <c r="U979" s="673"/>
      <c r="V979" s="673"/>
      <c r="W979" s="673"/>
      <c r="X979" s="673"/>
      <c r="Y979" s="673"/>
      <c r="Z979" s="673"/>
      <c r="AA979" s="673"/>
      <c r="AB979" s="673"/>
      <c r="AC979" s="673"/>
      <c r="AD979" s="673"/>
      <c r="AE979" s="673"/>
      <c r="AF979" s="673"/>
      <c r="AG979" s="673"/>
      <c r="AH979" s="673"/>
    </row>
    <row r="980">
      <c r="A980" s="653"/>
      <c r="B980" s="654"/>
      <c r="C980" s="691"/>
      <c r="D980" s="661"/>
      <c r="E980" s="705"/>
      <c r="F980" s="659"/>
      <c r="G980" s="661"/>
      <c r="H980" s="660"/>
      <c r="I980" s="691"/>
      <c r="J980" s="661"/>
      <c r="K980" s="706"/>
      <c r="L980" s="665"/>
      <c r="M980" s="663"/>
      <c r="N980" s="665"/>
      <c r="O980" s="665"/>
      <c r="P980" s="665"/>
      <c r="Q980" s="665"/>
      <c r="R980" s="665"/>
      <c r="S980" s="665"/>
      <c r="T980" s="673"/>
      <c r="U980" s="673"/>
      <c r="V980" s="673"/>
      <c r="W980" s="673"/>
      <c r="X980" s="673"/>
      <c r="Y980" s="673"/>
      <c r="Z980" s="673"/>
      <c r="AA980" s="673"/>
      <c r="AB980" s="673"/>
      <c r="AC980" s="673"/>
      <c r="AD980" s="673"/>
      <c r="AE980" s="673"/>
      <c r="AF980" s="673"/>
      <c r="AG980" s="673"/>
      <c r="AH980" s="673"/>
    </row>
    <row r="981">
      <c r="A981" s="653"/>
      <c r="B981" s="654"/>
      <c r="C981" s="691"/>
      <c r="D981" s="661"/>
      <c r="E981" s="705"/>
      <c r="F981" s="659"/>
      <c r="G981" s="661"/>
      <c r="H981" s="660"/>
      <c r="I981" s="691"/>
      <c r="J981" s="661"/>
      <c r="K981" s="706"/>
      <c r="L981" s="665"/>
      <c r="M981" s="663"/>
      <c r="N981" s="665"/>
      <c r="O981" s="665"/>
      <c r="P981" s="665"/>
      <c r="Q981" s="665"/>
      <c r="R981" s="665"/>
      <c r="S981" s="665"/>
      <c r="T981" s="673"/>
      <c r="U981" s="673"/>
      <c r="V981" s="673"/>
      <c r="W981" s="673"/>
      <c r="X981" s="673"/>
      <c r="Y981" s="673"/>
      <c r="Z981" s="673"/>
      <c r="AA981" s="673"/>
      <c r="AB981" s="673"/>
      <c r="AC981" s="673"/>
      <c r="AD981" s="673"/>
      <c r="AE981" s="673"/>
      <c r="AF981" s="673"/>
      <c r="AG981" s="673"/>
      <c r="AH981" s="673"/>
    </row>
    <row r="982">
      <c r="A982" s="653"/>
      <c r="B982" s="654"/>
      <c r="C982" s="691"/>
      <c r="D982" s="661"/>
      <c r="E982" s="705"/>
      <c r="F982" s="659"/>
      <c r="G982" s="661"/>
      <c r="H982" s="660"/>
      <c r="I982" s="691"/>
      <c r="J982" s="661"/>
      <c r="K982" s="706"/>
      <c r="L982" s="665"/>
      <c r="M982" s="663"/>
      <c r="N982" s="665"/>
      <c r="O982" s="665"/>
      <c r="P982" s="665"/>
      <c r="Q982" s="665"/>
      <c r="R982" s="665"/>
      <c r="S982" s="665"/>
      <c r="T982" s="673"/>
      <c r="U982" s="673"/>
      <c r="V982" s="673"/>
      <c r="W982" s="673"/>
      <c r="X982" s="673"/>
      <c r="Y982" s="673"/>
      <c r="Z982" s="673"/>
      <c r="AA982" s="673"/>
      <c r="AB982" s="673"/>
      <c r="AC982" s="673"/>
      <c r="AD982" s="673"/>
      <c r="AE982" s="673"/>
      <c r="AF982" s="673"/>
      <c r="AG982" s="673"/>
      <c r="AH982" s="673"/>
    </row>
    <row r="983">
      <c r="A983" s="653"/>
      <c r="B983" s="654"/>
      <c r="C983" s="691"/>
      <c r="D983" s="661"/>
      <c r="E983" s="705"/>
      <c r="F983" s="659"/>
      <c r="G983" s="661"/>
      <c r="H983" s="660"/>
      <c r="I983" s="691"/>
      <c r="J983" s="661"/>
      <c r="K983" s="706"/>
      <c r="L983" s="665"/>
      <c r="M983" s="663"/>
      <c r="N983" s="665"/>
      <c r="O983" s="665"/>
      <c r="P983" s="665"/>
      <c r="Q983" s="665"/>
      <c r="R983" s="665"/>
      <c r="S983" s="665"/>
      <c r="T983" s="673"/>
      <c r="U983" s="673"/>
      <c r="V983" s="673"/>
      <c r="W983" s="673"/>
      <c r="X983" s="673"/>
      <c r="Y983" s="673"/>
      <c r="Z983" s="673"/>
      <c r="AA983" s="673"/>
      <c r="AB983" s="673"/>
      <c r="AC983" s="673"/>
      <c r="AD983" s="673"/>
      <c r="AE983" s="673"/>
      <c r="AF983" s="673"/>
      <c r="AG983" s="673"/>
      <c r="AH983" s="673"/>
    </row>
    <row r="984">
      <c r="A984" s="653"/>
      <c r="B984" s="654"/>
      <c r="C984" s="691"/>
      <c r="D984" s="661"/>
      <c r="E984" s="705"/>
      <c r="F984" s="659"/>
      <c r="G984" s="661"/>
      <c r="H984" s="660"/>
      <c r="I984" s="691"/>
      <c r="J984" s="661"/>
      <c r="K984" s="706"/>
      <c r="L984" s="665"/>
      <c r="M984" s="663"/>
      <c r="N984" s="665"/>
      <c r="O984" s="665"/>
      <c r="P984" s="665"/>
      <c r="Q984" s="665"/>
      <c r="R984" s="665"/>
      <c r="S984" s="665"/>
      <c r="T984" s="673"/>
      <c r="U984" s="673"/>
      <c r="V984" s="673"/>
      <c r="W984" s="673"/>
      <c r="X984" s="673"/>
      <c r="Y984" s="673"/>
      <c r="Z984" s="673"/>
      <c r="AA984" s="673"/>
      <c r="AB984" s="673"/>
      <c r="AC984" s="673"/>
      <c r="AD984" s="673"/>
      <c r="AE984" s="673"/>
      <c r="AF984" s="673"/>
      <c r="AG984" s="673"/>
      <c r="AH984" s="673"/>
    </row>
    <row r="985">
      <c r="A985" s="653"/>
      <c r="B985" s="654"/>
      <c r="C985" s="691"/>
      <c r="D985" s="661"/>
      <c r="E985" s="705"/>
      <c r="F985" s="659"/>
      <c r="G985" s="661"/>
      <c r="H985" s="660"/>
      <c r="I985" s="691"/>
      <c r="J985" s="661"/>
      <c r="K985" s="706"/>
      <c r="L985" s="665"/>
      <c r="M985" s="663"/>
      <c r="N985" s="665"/>
      <c r="O985" s="665"/>
      <c r="P985" s="665"/>
      <c r="Q985" s="665"/>
      <c r="R985" s="665"/>
      <c r="S985" s="665"/>
      <c r="T985" s="673"/>
      <c r="U985" s="673"/>
      <c r="V985" s="673"/>
      <c r="W985" s="673"/>
      <c r="X985" s="673"/>
      <c r="Y985" s="673"/>
      <c r="Z985" s="673"/>
      <c r="AA985" s="673"/>
      <c r="AB985" s="673"/>
      <c r="AC985" s="673"/>
      <c r="AD985" s="673"/>
      <c r="AE985" s="673"/>
      <c r="AF985" s="673"/>
      <c r="AG985" s="673"/>
      <c r="AH985" s="673"/>
    </row>
    <row r="986">
      <c r="A986" s="653"/>
      <c r="B986" s="654"/>
      <c r="C986" s="691"/>
      <c r="D986" s="661"/>
      <c r="E986" s="705"/>
      <c r="F986" s="659"/>
      <c r="G986" s="661"/>
      <c r="H986" s="660"/>
      <c r="I986" s="691"/>
      <c r="J986" s="661"/>
      <c r="K986" s="706"/>
      <c r="L986" s="665"/>
      <c r="M986" s="663"/>
      <c r="N986" s="665"/>
      <c r="O986" s="665"/>
      <c r="P986" s="665"/>
      <c r="Q986" s="665"/>
      <c r="R986" s="665"/>
      <c r="S986" s="665"/>
      <c r="T986" s="673"/>
      <c r="U986" s="673"/>
      <c r="V986" s="673"/>
      <c r="W986" s="673"/>
      <c r="X986" s="673"/>
      <c r="Y986" s="673"/>
      <c r="Z986" s="673"/>
      <c r="AA986" s="673"/>
      <c r="AB986" s="673"/>
      <c r="AC986" s="673"/>
      <c r="AD986" s="673"/>
      <c r="AE986" s="673"/>
      <c r="AF986" s="673"/>
      <c r="AG986" s="673"/>
      <c r="AH986" s="673"/>
    </row>
    <row r="987">
      <c r="A987" s="653"/>
      <c r="B987" s="654"/>
      <c r="C987" s="691"/>
      <c r="D987" s="661"/>
      <c r="E987" s="705"/>
      <c r="F987" s="659"/>
      <c r="G987" s="661"/>
      <c r="H987" s="660"/>
      <c r="I987" s="691"/>
      <c r="J987" s="661"/>
      <c r="K987" s="706"/>
      <c r="L987" s="665"/>
      <c r="M987" s="663"/>
      <c r="N987" s="665"/>
      <c r="O987" s="665"/>
      <c r="P987" s="665"/>
      <c r="Q987" s="665"/>
      <c r="R987" s="665"/>
      <c r="S987" s="665"/>
      <c r="T987" s="673"/>
      <c r="U987" s="673"/>
      <c r="V987" s="673"/>
      <c r="W987" s="673"/>
      <c r="X987" s="673"/>
      <c r="Y987" s="673"/>
      <c r="Z987" s="673"/>
      <c r="AA987" s="673"/>
      <c r="AB987" s="673"/>
      <c r="AC987" s="673"/>
      <c r="AD987" s="673"/>
      <c r="AE987" s="673"/>
      <c r="AF987" s="673"/>
      <c r="AG987" s="673"/>
      <c r="AH987" s="673"/>
    </row>
    <row r="988">
      <c r="A988" s="653"/>
      <c r="B988" s="654"/>
      <c r="C988" s="691"/>
      <c r="D988" s="661"/>
      <c r="E988" s="705"/>
      <c r="F988" s="659"/>
      <c r="G988" s="661"/>
      <c r="H988" s="660"/>
      <c r="I988" s="691"/>
      <c r="J988" s="661"/>
      <c r="K988" s="706"/>
      <c r="L988" s="665"/>
      <c r="M988" s="663"/>
      <c r="N988" s="665"/>
      <c r="O988" s="665"/>
      <c r="P988" s="665"/>
      <c r="Q988" s="665"/>
      <c r="R988" s="665"/>
      <c r="S988" s="665"/>
      <c r="T988" s="673"/>
      <c r="U988" s="673"/>
      <c r="V988" s="673"/>
      <c r="W988" s="673"/>
      <c r="X988" s="673"/>
      <c r="Y988" s="673"/>
      <c r="Z988" s="673"/>
      <c r="AA988" s="673"/>
      <c r="AB988" s="673"/>
      <c r="AC988" s="673"/>
      <c r="AD988" s="673"/>
      <c r="AE988" s="673"/>
      <c r="AF988" s="673"/>
      <c r="AG988" s="673"/>
      <c r="AH988" s="673"/>
    </row>
    <row r="989">
      <c r="A989" s="653"/>
      <c r="B989" s="654"/>
      <c r="C989" s="691"/>
      <c r="D989" s="661"/>
      <c r="E989" s="705"/>
      <c r="F989" s="659"/>
      <c r="G989" s="661"/>
      <c r="H989" s="660"/>
      <c r="I989" s="691"/>
      <c r="J989" s="661"/>
      <c r="K989" s="706"/>
      <c r="L989" s="665"/>
      <c r="M989" s="663"/>
      <c r="N989" s="665"/>
      <c r="O989" s="665"/>
      <c r="P989" s="665"/>
      <c r="Q989" s="665"/>
      <c r="R989" s="665"/>
      <c r="S989" s="665"/>
      <c r="T989" s="673"/>
      <c r="U989" s="673"/>
      <c r="V989" s="673"/>
      <c r="W989" s="673"/>
      <c r="X989" s="673"/>
      <c r="Y989" s="673"/>
      <c r="Z989" s="673"/>
      <c r="AA989" s="673"/>
      <c r="AB989" s="673"/>
      <c r="AC989" s="673"/>
      <c r="AD989" s="673"/>
      <c r="AE989" s="673"/>
      <c r="AF989" s="673"/>
      <c r="AG989" s="673"/>
      <c r="AH989" s="673"/>
    </row>
    <row r="990">
      <c r="A990" s="653"/>
      <c r="B990" s="654"/>
      <c r="C990" s="691"/>
      <c r="D990" s="661"/>
      <c r="E990" s="705"/>
      <c r="F990" s="659"/>
      <c r="G990" s="661"/>
      <c r="H990" s="660"/>
      <c r="I990" s="691"/>
      <c r="J990" s="661"/>
      <c r="K990" s="706"/>
      <c r="L990" s="665"/>
      <c r="M990" s="663"/>
      <c r="N990" s="665"/>
      <c r="O990" s="665"/>
      <c r="P990" s="665"/>
      <c r="Q990" s="665"/>
      <c r="R990" s="665"/>
      <c r="S990" s="665"/>
      <c r="T990" s="673"/>
      <c r="U990" s="673"/>
      <c r="V990" s="673"/>
      <c r="W990" s="673"/>
      <c r="X990" s="673"/>
      <c r="Y990" s="673"/>
      <c r="Z990" s="673"/>
      <c r="AA990" s="673"/>
      <c r="AB990" s="673"/>
      <c r="AC990" s="673"/>
      <c r="AD990" s="673"/>
      <c r="AE990" s="673"/>
      <c r="AF990" s="673"/>
      <c r="AG990" s="673"/>
      <c r="AH990" s="673"/>
    </row>
    <row r="991">
      <c r="A991" s="653"/>
      <c r="B991" s="654"/>
      <c r="C991" s="691"/>
      <c r="D991" s="661"/>
      <c r="E991" s="705"/>
      <c r="F991" s="659"/>
      <c r="G991" s="661"/>
      <c r="H991" s="660"/>
      <c r="I991" s="691"/>
      <c r="J991" s="661"/>
      <c r="K991" s="706"/>
      <c r="L991" s="665"/>
      <c r="M991" s="663"/>
      <c r="N991" s="665"/>
      <c r="O991" s="665"/>
      <c r="P991" s="665"/>
      <c r="Q991" s="665"/>
      <c r="R991" s="665"/>
      <c r="S991" s="665"/>
      <c r="T991" s="673"/>
      <c r="U991" s="673"/>
      <c r="V991" s="673"/>
      <c r="W991" s="673"/>
      <c r="X991" s="673"/>
      <c r="Y991" s="673"/>
      <c r="Z991" s="673"/>
      <c r="AA991" s="673"/>
      <c r="AB991" s="673"/>
      <c r="AC991" s="673"/>
      <c r="AD991" s="673"/>
      <c r="AE991" s="673"/>
      <c r="AF991" s="673"/>
      <c r="AG991" s="673"/>
      <c r="AH991" s="673"/>
    </row>
    <row r="992">
      <c r="A992" s="653"/>
      <c r="B992" s="654"/>
      <c r="C992" s="691"/>
      <c r="D992" s="661"/>
      <c r="E992" s="705"/>
      <c r="F992" s="659"/>
      <c r="G992" s="661"/>
      <c r="H992" s="660"/>
      <c r="I992" s="691"/>
      <c r="J992" s="661"/>
      <c r="K992" s="706"/>
      <c r="L992" s="665"/>
      <c r="M992" s="663"/>
      <c r="N992" s="665"/>
      <c r="O992" s="665"/>
      <c r="P992" s="665"/>
      <c r="Q992" s="665"/>
      <c r="R992" s="665"/>
      <c r="S992" s="665"/>
      <c r="T992" s="673"/>
      <c r="U992" s="673"/>
      <c r="V992" s="673"/>
      <c r="W992" s="673"/>
      <c r="X992" s="673"/>
      <c r="Y992" s="673"/>
      <c r="Z992" s="673"/>
      <c r="AA992" s="673"/>
      <c r="AB992" s="673"/>
      <c r="AC992" s="673"/>
      <c r="AD992" s="673"/>
      <c r="AE992" s="673"/>
      <c r="AF992" s="673"/>
      <c r="AG992" s="673"/>
      <c r="AH992" s="673"/>
    </row>
    <row r="993">
      <c r="A993" s="653"/>
      <c r="B993" s="654"/>
      <c r="C993" s="691"/>
      <c r="D993" s="661"/>
      <c r="E993" s="705"/>
      <c r="F993" s="659"/>
      <c r="G993" s="661"/>
      <c r="H993" s="660"/>
      <c r="I993" s="691"/>
      <c r="J993" s="661"/>
      <c r="K993" s="706"/>
      <c r="L993" s="665"/>
      <c r="M993" s="663"/>
      <c r="N993" s="665"/>
      <c r="O993" s="665"/>
      <c r="P993" s="665"/>
      <c r="Q993" s="665"/>
      <c r="R993" s="665"/>
      <c r="S993" s="665"/>
      <c r="T993" s="673"/>
      <c r="U993" s="673"/>
      <c r="V993" s="673"/>
      <c r="W993" s="673"/>
      <c r="X993" s="673"/>
      <c r="Y993" s="673"/>
      <c r="Z993" s="673"/>
      <c r="AA993" s="673"/>
      <c r="AB993" s="673"/>
      <c r="AC993" s="673"/>
      <c r="AD993" s="673"/>
      <c r="AE993" s="673"/>
      <c r="AF993" s="673"/>
      <c r="AG993" s="673"/>
      <c r="AH993" s="673"/>
    </row>
    <row r="994">
      <c r="A994" s="653"/>
      <c r="B994" s="654"/>
      <c r="C994" s="691"/>
      <c r="D994" s="661"/>
      <c r="E994" s="705"/>
      <c r="F994" s="659"/>
      <c r="G994" s="661"/>
      <c r="H994" s="660"/>
      <c r="I994" s="691"/>
      <c r="J994" s="661"/>
      <c r="K994" s="706"/>
      <c r="L994" s="665"/>
      <c r="M994" s="663"/>
      <c r="N994" s="665"/>
      <c r="O994" s="665"/>
      <c r="P994" s="665"/>
      <c r="Q994" s="665"/>
      <c r="R994" s="665"/>
      <c r="S994" s="665"/>
      <c r="T994" s="673"/>
      <c r="U994" s="673"/>
      <c r="V994" s="673"/>
      <c r="W994" s="673"/>
      <c r="X994" s="673"/>
      <c r="Y994" s="673"/>
      <c r="Z994" s="673"/>
      <c r="AA994" s="673"/>
      <c r="AB994" s="673"/>
      <c r="AC994" s="673"/>
      <c r="AD994" s="673"/>
      <c r="AE994" s="673"/>
      <c r="AF994" s="673"/>
      <c r="AG994" s="673"/>
      <c r="AH994" s="673"/>
    </row>
    <row r="995">
      <c r="A995" s="653"/>
      <c r="B995" s="654"/>
      <c r="C995" s="691"/>
      <c r="D995" s="661"/>
      <c r="E995" s="705"/>
      <c r="F995" s="659"/>
      <c r="G995" s="661"/>
      <c r="H995" s="660"/>
      <c r="I995" s="691"/>
      <c r="J995" s="661"/>
      <c r="K995" s="706"/>
      <c r="L995" s="665"/>
      <c r="M995" s="663"/>
      <c r="N995" s="665"/>
      <c r="O995" s="665"/>
      <c r="P995" s="665"/>
      <c r="Q995" s="665"/>
      <c r="R995" s="665"/>
      <c r="S995" s="665"/>
      <c r="T995" s="673"/>
      <c r="U995" s="673"/>
      <c r="V995" s="673"/>
      <c r="W995" s="673"/>
      <c r="X995" s="673"/>
      <c r="Y995" s="673"/>
      <c r="Z995" s="673"/>
      <c r="AA995" s="673"/>
      <c r="AB995" s="673"/>
      <c r="AC995" s="673"/>
      <c r="AD995" s="673"/>
      <c r="AE995" s="673"/>
      <c r="AF995" s="673"/>
      <c r="AG995" s="673"/>
      <c r="AH995" s="673"/>
    </row>
    <row r="996">
      <c r="A996" s="653"/>
      <c r="B996" s="654"/>
      <c r="C996" s="691"/>
      <c r="D996" s="661"/>
      <c r="E996" s="705"/>
      <c r="F996" s="659"/>
      <c r="G996" s="661"/>
      <c r="H996" s="660"/>
      <c r="I996" s="691"/>
      <c r="J996" s="661"/>
      <c r="K996" s="706"/>
      <c r="L996" s="665"/>
      <c r="M996" s="663"/>
      <c r="N996" s="665"/>
      <c r="O996" s="665"/>
      <c r="P996" s="665"/>
      <c r="Q996" s="665"/>
      <c r="R996" s="665"/>
      <c r="S996" s="665"/>
      <c r="T996" s="673"/>
      <c r="U996" s="673"/>
      <c r="V996" s="673"/>
      <c r="W996" s="673"/>
      <c r="X996" s="673"/>
      <c r="Y996" s="673"/>
      <c r="Z996" s="673"/>
      <c r="AA996" s="673"/>
      <c r="AB996" s="673"/>
      <c r="AC996" s="673"/>
      <c r="AD996" s="673"/>
      <c r="AE996" s="673"/>
      <c r="AF996" s="673"/>
      <c r="AG996" s="673"/>
      <c r="AH996" s="673"/>
    </row>
    <row r="997">
      <c r="A997" s="653"/>
      <c r="B997" s="654"/>
      <c r="C997" s="691"/>
      <c r="D997" s="661"/>
      <c r="E997" s="705"/>
      <c r="F997" s="659"/>
      <c r="G997" s="661"/>
      <c r="H997" s="660"/>
      <c r="I997" s="691"/>
      <c r="J997" s="661"/>
      <c r="K997" s="706"/>
      <c r="L997" s="665"/>
      <c r="M997" s="663"/>
      <c r="N997" s="665"/>
      <c r="O997" s="665"/>
      <c r="P997" s="665"/>
      <c r="Q997" s="665"/>
      <c r="R997" s="665"/>
      <c r="S997" s="665"/>
      <c r="T997" s="673"/>
      <c r="U997" s="673"/>
      <c r="V997" s="673"/>
      <c r="W997" s="673"/>
      <c r="X997" s="673"/>
      <c r="Y997" s="673"/>
      <c r="Z997" s="673"/>
      <c r="AA997" s="673"/>
      <c r="AB997" s="673"/>
      <c r="AC997" s="673"/>
      <c r="AD997" s="673"/>
      <c r="AE997" s="673"/>
      <c r="AF997" s="673"/>
      <c r="AG997" s="673"/>
      <c r="AH997" s="673"/>
    </row>
    <row r="998">
      <c r="A998" s="653"/>
      <c r="B998" s="654"/>
      <c r="C998" s="691"/>
      <c r="D998" s="661"/>
      <c r="E998" s="705"/>
      <c r="F998" s="659"/>
      <c r="G998" s="661"/>
      <c r="H998" s="660"/>
      <c r="I998" s="691"/>
      <c r="J998" s="661"/>
      <c r="K998" s="706"/>
      <c r="L998" s="665"/>
      <c r="M998" s="663"/>
      <c r="N998" s="665"/>
      <c r="O998" s="665"/>
      <c r="P998" s="665"/>
      <c r="Q998" s="665"/>
      <c r="R998" s="665"/>
      <c r="S998" s="665"/>
      <c r="T998" s="673"/>
      <c r="U998" s="673"/>
      <c r="V998" s="673"/>
      <c r="W998" s="673"/>
      <c r="X998" s="673"/>
      <c r="Y998" s="673"/>
      <c r="Z998" s="673"/>
      <c r="AA998" s="673"/>
      <c r="AB998" s="673"/>
      <c r="AC998" s="673"/>
      <c r="AD998" s="673"/>
      <c r="AE998" s="673"/>
      <c r="AF998" s="673"/>
      <c r="AG998" s="673"/>
      <c r="AH998" s="673"/>
    </row>
    <row r="999">
      <c r="A999" s="653"/>
      <c r="B999" s="654"/>
      <c r="C999" s="691"/>
      <c r="D999" s="661"/>
      <c r="E999" s="705"/>
      <c r="F999" s="659"/>
      <c r="G999" s="661"/>
      <c r="H999" s="660"/>
      <c r="I999" s="691"/>
      <c r="J999" s="661"/>
      <c r="K999" s="706"/>
      <c r="L999" s="665"/>
      <c r="M999" s="663"/>
      <c r="N999" s="665"/>
      <c r="O999" s="665"/>
      <c r="P999" s="665"/>
      <c r="Q999" s="665"/>
      <c r="R999" s="665"/>
      <c r="S999" s="665"/>
      <c r="T999" s="673"/>
      <c r="U999" s="673"/>
      <c r="V999" s="673"/>
      <c r="W999" s="673"/>
      <c r="X999" s="673"/>
      <c r="Y999" s="673"/>
      <c r="Z999" s="673"/>
      <c r="AA999" s="673"/>
      <c r="AB999" s="673"/>
      <c r="AC999" s="673"/>
      <c r="AD999" s="673"/>
      <c r="AE999" s="673"/>
      <c r="AF999" s="673"/>
      <c r="AG999" s="673"/>
      <c r="AH999" s="673"/>
    </row>
    <row r="1000">
      <c r="A1000" s="653"/>
      <c r="B1000" s="654"/>
      <c r="C1000" s="691"/>
      <c r="D1000" s="661"/>
      <c r="E1000" s="705"/>
      <c r="F1000" s="659"/>
      <c r="G1000" s="661"/>
      <c r="H1000" s="660"/>
      <c r="I1000" s="691"/>
      <c r="J1000" s="661"/>
      <c r="K1000" s="706"/>
      <c r="L1000" s="665"/>
      <c r="M1000" s="663"/>
      <c r="N1000" s="665"/>
      <c r="O1000" s="665"/>
      <c r="P1000" s="665"/>
      <c r="Q1000" s="665"/>
      <c r="R1000" s="665"/>
      <c r="S1000" s="665"/>
      <c r="T1000" s="673"/>
      <c r="U1000" s="673"/>
      <c r="V1000" s="673"/>
      <c r="W1000" s="673"/>
      <c r="X1000" s="673"/>
      <c r="Y1000" s="673"/>
      <c r="Z1000" s="673"/>
      <c r="AA1000" s="673"/>
      <c r="AB1000" s="673"/>
      <c r="AC1000" s="673"/>
      <c r="AD1000" s="673"/>
      <c r="AE1000" s="673"/>
      <c r="AF1000" s="673"/>
      <c r="AG1000" s="673"/>
      <c r="AH1000" s="673"/>
    </row>
    <row r="1001">
      <c r="A1001" s="653"/>
      <c r="B1001" s="654"/>
      <c r="C1001" s="691"/>
      <c r="D1001" s="661"/>
      <c r="E1001" s="705"/>
      <c r="F1001" s="659"/>
      <c r="G1001" s="661"/>
      <c r="H1001" s="660"/>
      <c r="I1001" s="691"/>
      <c r="J1001" s="661"/>
      <c r="K1001" s="706"/>
      <c r="L1001" s="665"/>
      <c r="M1001" s="663"/>
      <c r="N1001" s="665"/>
      <c r="O1001" s="665"/>
      <c r="P1001" s="665"/>
      <c r="Q1001" s="665"/>
      <c r="R1001" s="665"/>
      <c r="S1001" s="665"/>
      <c r="T1001" s="673"/>
      <c r="U1001" s="673"/>
      <c r="V1001" s="673"/>
      <c r="W1001" s="673"/>
      <c r="X1001" s="673"/>
      <c r="Y1001" s="673"/>
      <c r="Z1001" s="673"/>
      <c r="AA1001" s="673"/>
      <c r="AB1001" s="673"/>
      <c r="AC1001" s="673"/>
      <c r="AD1001" s="673"/>
      <c r="AE1001" s="673"/>
      <c r="AF1001" s="673"/>
      <c r="AG1001" s="673"/>
      <c r="AH1001" s="673"/>
    </row>
    <row r="1002">
      <c r="A1002" s="653"/>
      <c r="B1002" s="654"/>
      <c r="C1002" s="691"/>
      <c r="D1002" s="661"/>
      <c r="E1002" s="705"/>
      <c r="F1002" s="659"/>
      <c r="G1002" s="661"/>
      <c r="H1002" s="660"/>
      <c r="I1002" s="691"/>
      <c r="J1002" s="661"/>
      <c r="K1002" s="706"/>
      <c r="L1002" s="665"/>
      <c r="M1002" s="663"/>
      <c r="N1002" s="665"/>
      <c r="O1002" s="665"/>
      <c r="P1002" s="665"/>
      <c r="Q1002" s="665"/>
      <c r="R1002" s="665"/>
      <c r="S1002" s="665"/>
      <c r="T1002" s="673"/>
      <c r="U1002" s="673"/>
      <c r="V1002" s="673"/>
      <c r="W1002" s="673"/>
      <c r="X1002" s="673"/>
      <c r="Y1002" s="673"/>
      <c r="Z1002" s="673"/>
      <c r="AA1002" s="673"/>
      <c r="AB1002" s="673"/>
      <c r="AC1002" s="673"/>
      <c r="AD1002" s="673"/>
      <c r="AE1002" s="673"/>
      <c r="AF1002" s="673"/>
      <c r="AG1002" s="673"/>
      <c r="AH1002" s="673"/>
    </row>
    <row r="1003">
      <c r="A1003" s="653"/>
      <c r="B1003" s="654"/>
      <c r="C1003" s="691"/>
      <c r="D1003" s="661"/>
      <c r="E1003" s="705"/>
      <c r="F1003" s="659"/>
      <c r="G1003" s="661"/>
      <c r="H1003" s="660"/>
      <c r="I1003" s="691"/>
      <c r="J1003" s="661"/>
      <c r="K1003" s="706"/>
      <c r="L1003" s="665"/>
      <c r="M1003" s="663"/>
      <c r="N1003" s="665"/>
      <c r="O1003" s="665"/>
      <c r="P1003" s="665"/>
      <c r="Q1003" s="665"/>
      <c r="R1003" s="665"/>
      <c r="S1003" s="665"/>
      <c r="T1003" s="673"/>
      <c r="U1003" s="673"/>
      <c r="V1003" s="673"/>
      <c r="W1003" s="673"/>
      <c r="X1003" s="673"/>
      <c r="Y1003" s="673"/>
      <c r="Z1003" s="673"/>
      <c r="AA1003" s="673"/>
      <c r="AB1003" s="673"/>
      <c r="AC1003" s="673"/>
      <c r="AD1003" s="673"/>
      <c r="AE1003" s="673"/>
      <c r="AF1003" s="673"/>
      <c r="AG1003" s="673"/>
      <c r="AH1003" s="673"/>
    </row>
    <row r="1004">
      <c r="A1004" s="653"/>
      <c r="B1004" s="654"/>
      <c r="C1004" s="691"/>
      <c r="D1004" s="661"/>
      <c r="E1004" s="705"/>
      <c r="F1004" s="659"/>
      <c r="G1004" s="661"/>
      <c r="H1004" s="660"/>
      <c r="I1004" s="691"/>
      <c r="J1004" s="661"/>
      <c r="K1004" s="706"/>
      <c r="L1004" s="665"/>
      <c r="M1004" s="663"/>
      <c r="N1004" s="665"/>
      <c r="O1004" s="665"/>
      <c r="P1004" s="665"/>
      <c r="Q1004" s="665"/>
      <c r="R1004" s="665"/>
      <c r="S1004" s="665"/>
      <c r="T1004" s="673"/>
      <c r="U1004" s="673"/>
      <c r="V1004" s="673"/>
      <c r="W1004" s="673"/>
      <c r="X1004" s="673"/>
      <c r="Y1004" s="673"/>
      <c r="Z1004" s="673"/>
      <c r="AA1004" s="673"/>
      <c r="AB1004" s="673"/>
      <c r="AC1004" s="673"/>
      <c r="AD1004" s="673"/>
      <c r="AE1004" s="673"/>
      <c r="AF1004" s="673"/>
      <c r="AG1004" s="673"/>
      <c r="AH1004" s="673"/>
    </row>
    <row r="1005">
      <c r="A1005" s="653"/>
      <c r="B1005" s="654"/>
      <c r="C1005" s="691"/>
      <c r="D1005" s="661"/>
      <c r="E1005" s="705"/>
      <c r="F1005" s="659"/>
      <c r="G1005" s="661"/>
      <c r="H1005" s="660"/>
      <c r="I1005" s="691"/>
      <c r="J1005" s="661"/>
      <c r="K1005" s="706"/>
      <c r="L1005" s="665"/>
      <c r="M1005" s="663"/>
      <c r="N1005" s="665"/>
      <c r="O1005" s="665"/>
      <c r="P1005" s="665"/>
      <c r="Q1005" s="665"/>
      <c r="R1005" s="665"/>
      <c r="S1005" s="665"/>
      <c r="T1005" s="673"/>
      <c r="U1005" s="673"/>
      <c r="V1005" s="673"/>
      <c r="W1005" s="673"/>
      <c r="X1005" s="673"/>
      <c r="Y1005" s="673"/>
      <c r="Z1005" s="673"/>
      <c r="AA1005" s="673"/>
      <c r="AB1005" s="673"/>
      <c r="AC1005" s="673"/>
      <c r="AD1005" s="673"/>
      <c r="AE1005" s="673"/>
      <c r="AF1005" s="673"/>
      <c r="AG1005" s="673"/>
      <c r="AH1005" s="673"/>
    </row>
    <row r="1006">
      <c r="A1006" s="653"/>
      <c r="B1006" s="654"/>
      <c r="C1006" s="691"/>
      <c r="D1006" s="661"/>
      <c r="E1006" s="705"/>
      <c r="F1006" s="659"/>
      <c r="G1006" s="661"/>
      <c r="H1006" s="660"/>
      <c r="I1006" s="691"/>
      <c r="J1006" s="661"/>
      <c r="K1006" s="706"/>
      <c r="L1006" s="665"/>
      <c r="M1006" s="663"/>
      <c r="N1006" s="665"/>
      <c r="O1006" s="665"/>
      <c r="P1006" s="665"/>
      <c r="Q1006" s="665"/>
      <c r="R1006" s="665"/>
      <c r="S1006" s="665"/>
      <c r="T1006" s="673"/>
      <c r="U1006" s="673"/>
      <c r="V1006" s="673"/>
      <c r="W1006" s="673"/>
      <c r="X1006" s="673"/>
      <c r="Y1006" s="673"/>
      <c r="Z1006" s="673"/>
      <c r="AA1006" s="673"/>
      <c r="AB1006" s="673"/>
      <c r="AC1006" s="673"/>
      <c r="AD1006" s="673"/>
      <c r="AE1006" s="673"/>
      <c r="AF1006" s="673"/>
      <c r="AG1006" s="673"/>
      <c r="AH1006" s="673"/>
    </row>
    <row r="1007">
      <c r="A1007" s="653"/>
      <c r="B1007" s="654"/>
      <c r="C1007" s="691"/>
      <c r="D1007" s="661"/>
      <c r="E1007" s="705"/>
      <c r="F1007" s="659"/>
      <c r="G1007" s="661"/>
      <c r="H1007" s="660"/>
      <c r="I1007" s="691"/>
      <c r="J1007" s="661"/>
      <c r="K1007" s="706"/>
      <c r="L1007" s="665"/>
      <c r="M1007" s="663"/>
      <c r="N1007" s="665"/>
      <c r="O1007" s="665"/>
      <c r="P1007" s="665"/>
      <c r="Q1007" s="665"/>
      <c r="R1007" s="665"/>
      <c r="S1007" s="665"/>
      <c r="T1007" s="673"/>
      <c r="U1007" s="673"/>
      <c r="V1007" s="673"/>
      <c r="W1007" s="673"/>
      <c r="X1007" s="673"/>
      <c r="Y1007" s="673"/>
      <c r="Z1007" s="673"/>
      <c r="AA1007" s="673"/>
      <c r="AB1007" s="673"/>
      <c r="AC1007" s="673"/>
      <c r="AD1007" s="673"/>
      <c r="AE1007" s="673"/>
      <c r="AF1007" s="673"/>
      <c r="AG1007" s="673"/>
      <c r="AH1007" s="673"/>
    </row>
    <row r="1008">
      <c r="A1008" s="653"/>
      <c r="B1008" s="654"/>
      <c r="C1008" s="691"/>
      <c r="D1008" s="661"/>
      <c r="E1008" s="705"/>
      <c r="F1008" s="659"/>
      <c r="G1008" s="661"/>
      <c r="H1008" s="660"/>
      <c r="I1008" s="691"/>
      <c r="J1008" s="661"/>
      <c r="K1008" s="706"/>
      <c r="L1008" s="665"/>
      <c r="M1008" s="663"/>
      <c r="N1008" s="665"/>
      <c r="O1008" s="665"/>
      <c r="P1008" s="665"/>
      <c r="Q1008" s="665"/>
      <c r="R1008" s="665"/>
      <c r="S1008" s="665"/>
      <c r="T1008" s="673"/>
      <c r="U1008" s="673"/>
      <c r="V1008" s="673"/>
      <c r="W1008" s="673"/>
      <c r="X1008" s="673"/>
      <c r="Y1008" s="673"/>
      <c r="Z1008" s="673"/>
      <c r="AA1008" s="673"/>
      <c r="AB1008" s="673"/>
      <c r="AC1008" s="673"/>
      <c r="AD1008" s="673"/>
      <c r="AE1008" s="673"/>
      <c r="AF1008" s="673"/>
      <c r="AG1008" s="673"/>
      <c r="AH1008" s="673"/>
    </row>
    <row r="1009">
      <c r="A1009" s="653"/>
      <c r="B1009" s="654"/>
      <c r="C1009" s="691"/>
      <c r="D1009" s="661"/>
      <c r="E1009" s="705"/>
      <c r="F1009" s="659"/>
      <c r="G1009" s="661"/>
      <c r="H1009" s="660"/>
      <c r="I1009" s="691"/>
      <c r="J1009" s="661"/>
      <c r="K1009" s="706"/>
      <c r="L1009" s="665"/>
      <c r="M1009" s="663"/>
      <c r="N1009" s="665"/>
      <c r="O1009" s="665"/>
      <c r="P1009" s="665"/>
      <c r="Q1009" s="665"/>
      <c r="R1009" s="665"/>
      <c r="S1009" s="665"/>
      <c r="T1009" s="673"/>
      <c r="U1009" s="673"/>
      <c r="V1009" s="673"/>
      <c r="W1009" s="673"/>
      <c r="X1009" s="673"/>
      <c r="Y1009" s="673"/>
      <c r="Z1009" s="673"/>
      <c r="AA1009" s="673"/>
      <c r="AB1009" s="673"/>
      <c r="AC1009" s="673"/>
      <c r="AD1009" s="673"/>
      <c r="AE1009" s="673"/>
      <c r="AF1009" s="673"/>
      <c r="AG1009" s="673"/>
      <c r="AH1009" s="673"/>
    </row>
    <row r="1010">
      <c r="A1010" s="653"/>
      <c r="B1010" s="654"/>
      <c r="C1010" s="691"/>
      <c r="D1010" s="661"/>
      <c r="E1010" s="705"/>
      <c r="F1010" s="659"/>
      <c r="G1010" s="661"/>
      <c r="H1010" s="660"/>
      <c r="I1010" s="691"/>
      <c r="J1010" s="661"/>
      <c r="K1010" s="706"/>
      <c r="L1010" s="665"/>
      <c r="M1010" s="663"/>
      <c r="N1010" s="665"/>
      <c r="O1010" s="665"/>
      <c r="P1010" s="665"/>
      <c r="Q1010" s="665"/>
      <c r="R1010" s="665"/>
      <c r="S1010" s="665"/>
      <c r="T1010" s="673"/>
      <c r="U1010" s="673"/>
      <c r="V1010" s="673"/>
      <c r="W1010" s="673"/>
      <c r="X1010" s="673"/>
      <c r="Y1010" s="673"/>
      <c r="Z1010" s="673"/>
      <c r="AA1010" s="673"/>
      <c r="AB1010" s="673"/>
      <c r="AC1010" s="673"/>
      <c r="AD1010" s="673"/>
      <c r="AE1010" s="673"/>
      <c r="AF1010" s="673"/>
      <c r="AG1010" s="673"/>
      <c r="AH1010" s="673"/>
    </row>
    <row r="1011">
      <c r="A1011" s="653"/>
      <c r="B1011" s="654"/>
      <c r="C1011" s="691"/>
      <c r="D1011" s="661"/>
      <c r="E1011" s="705"/>
      <c r="F1011" s="659"/>
      <c r="G1011" s="661"/>
      <c r="H1011" s="660"/>
      <c r="I1011" s="691"/>
      <c r="J1011" s="661"/>
      <c r="K1011" s="706"/>
      <c r="L1011" s="665"/>
      <c r="M1011" s="663"/>
      <c r="N1011" s="665"/>
      <c r="O1011" s="665"/>
      <c r="P1011" s="665"/>
      <c r="Q1011" s="665"/>
      <c r="R1011" s="665"/>
      <c r="S1011" s="665"/>
      <c r="T1011" s="673"/>
      <c r="U1011" s="673"/>
      <c r="V1011" s="673"/>
      <c r="W1011" s="673"/>
      <c r="X1011" s="673"/>
      <c r="Y1011" s="673"/>
      <c r="Z1011" s="673"/>
      <c r="AA1011" s="673"/>
      <c r="AB1011" s="673"/>
      <c r="AC1011" s="673"/>
      <c r="AD1011" s="673"/>
      <c r="AE1011" s="673"/>
      <c r="AF1011" s="673"/>
      <c r="AG1011" s="673"/>
      <c r="AH1011" s="673"/>
    </row>
    <row r="1012">
      <c r="A1012" s="653"/>
      <c r="B1012" s="654"/>
      <c r="C1012" s="691"/>
      <c r="D1012" s="661"/>
      <c r="E1012" s="705"/>
      <c r="F1012" s="659"/>
      <c r="G1012" s="661"/>
      <c r="H1012" s="660"/>
      <c r="I1012" s="691"/>
      <c r="J1012" s="661"/>
      <c r="K1012" s="706"/>
      <c r="L1012" s="665"/>
      <c r="M1012" s="663"/>
      <c r="N1012" s="665"/>
      <c r="O1012" s="665"/>
      <c r="P1012" s="665"/>
      <c r="Q1012" s="665"/>
      <c r="R1012" s="665"/>
      <c r="S1012" s="665"/>
      <c r="T1012" s="673"/>
      <c r="U1012" s="673"/>
      <c r="V1012" s="673"/>
      <c r="W1012" s="673"/>
      <c r="X1012" s="673"/>
      <c r="Y1012" s="673"/>
      <c r="Z1012" s="673"/>
      <c r="AA1012" s="673"/>
      <c r="AB1012" s="673"/>
      <c r="AC1012" s="673"/>
      <c r="AD1012" s="673"/>
      <c r="AE1012" s="673"/>
      <c r="AF1012" s="673"/>
      <c r="AG1012" s="673"/>
      <c r="AH1012" s="673"/>
    </row>
    <row r="1013">
      <c r="A1013" s="653"/>
      <c r="B1013" s="654"/>
      <c r="C1013" s="691"/>
      <c r="D1013" s="661"/>
      <c r="E1013" s="705"/>
      <c r="F1013" s="659"/>
      <c r="G1013" s="661"/>
      <c r="H1013" s="660"/>
      <c r="I1013" s="691"/>
      <c r="J1013" s="661"/>
      <c r="K1013" s="706"/>
      <c r="L1013" s="665"/>
      <c r="M1013" s="663"/>
      <c r="N1013" s="665"/>
      <c r="O1013" s="665"/>
      <c r="P1013" s="665"/>
      <c r="Q1013" s="665"/>
      <c r="R1013" s="665"/>
      <c r="S1013" s="665"/>
      <c r="T1013" s="673"/>
      <c r="U1013" s="673"/>
      <c r="V1013" s="673"/>
      <c r="W1013" s="673"/>
      <c r="X1013" s="673"/>
      <c r="Y1013" s="673"/>
      <c r="Z1013" s="673"/>
      <c r="AA1013" s="673"/>
      <c r="AB1013" s="673"/>
      <c r="AC1013" s="673"/>
      <c r="AD1013" s="673"/>
      <c r="AE1013" s="673"/>
      <c r="AF1013" s="673"/>
      <c r="AG1013" s="673"/>
      <c r="AH1013" s="673"/>
    </row>
    <row r="1014">
      <c r="A1014" s="653"/>
      <c r="B1014" s="654"/>
      <c r="C1014" s="691"/>
      <c r="D1014" s="661"/>
      <c r="E1014" s="705"/>
      <c r="F1014" s="659"/>
      <c r="G1014" s="661"/>
      <c r="H1014" s="660"/>
      <c r="I1014" s="691"/>
      <c r="J1014" s="661"/>
      <c r="K1014" s="706"/>
      <c r="L1014" s="665"/>
      <c r="M1014" s="663"/>
      <c r="N1014" s="665"/>
      <c r="O1014" s="665"/>
      <c r="P1014" s="665"/>
      <c r="Q1014" s="665"/>
      <c r="R1014" s="665"/>
      <c r="S1014" s="665"/>
      <c r="T1014" s="673"/>
      <c r="U1014" s="673"/>
      <c r="V1014" s="673"/>
      <c r="W1014" s="673"/>
      <c r="X1014" s="673"/>
      <c r="Y1014" s="673"/>
      <c r="Z1014" s="673"/>
      <c r="AA1014" s="673"/>
      <c r="AB1014" s="673"/>
      <c r="AC1014" s="673"/>
      <c r="AD1014" s="673"/>
      <c r="AE1014" s="673"/>
      <c r="AF1014" s="673"/>
      <c r="AG1014" s="673"/>
      <c r="AH1014" s="673"/>
    </row>
    <row r="1015">
      <c r="A1015" s="653"/>
      <c r="B1015" s="654"/>
      <c r="C1015" s="691"/>
      <c r="D1015" s="661"/>
      <c r="E1015" s="705"/>
      <c r="F1015" s="659"/>
      <c r="G1015" s="661"/>
      <c r="H1015" s="660"/>
      <c r="I1015" s="691"/>
      <c r="J1015" s="661"/>
      <c r="K1015" s="706"/>
      <c r="L1015" s="665"/>
      <c r="M1015" s="663"/>
      <c r="N1015" s="665"/>
      <c r="O1015" s="665"/>
      <c r="P1015" s="665"/>
      <c r="Q1015" s="665"/>
      <c r="R1015" s="665"/>
      <c r="S1015" s="665"/>
      <c r="T1015" s="673"/>
      <c r="U1015" s="673"/>
      <c r="V1015" s="673"/>
      <c r="W1015" s="673"/>
      <c r="X1015" s="673"/>
      <c r="Y1015" s="673"/>
      <c r="Z1015" s="673"/>
      <c r="AA1015" s="673"/>
      <c r="AB1015" s="673"/>
      <c r="AC1015" s="673"/>
      <c r="AD1015" s="673"/>
      <c r="AE1015" s="673"/>
      <c r="AF1015" s="673"/>
      <c r="AG1015" s="673"/>
      <c r="AH1015" s="673"/>
    </row>
    <row r="1016">
      <c r="A1016" s="653"/>
      <c r="B1016" s="654"/>
      <c r="C1016" s="691"/>
      <c r="D1016" s="661"/>
      <c r="E1016" s="705"/>
      <c r="F1016" s="659"/>
      <c r="G1016" s="661"/>
      <c r="H1016" s="660"/>
      <c r="I1016" s="691"/>
      <c r="J1016" s="661"/>
      <c r="K1016" s="706"/>
      <c r="L1016" s="665"/>
      <c r="M1016" s="663"/>
      <c r="N1016" s="665"/>
      <c r="O1016" s="665"/>
      <c r="P1016" s="665"/>
      <c r="Q1016" s="665"/>
      <c r="R1016" s="665"/>
      <c r="S1016" s="665"/>
      <c r="T1016" s="673"/>
      <c r="U1016" s="673"/>
      <c r="V1016" s="673"/>
      <c r="W1016" s="673"/>
      <c r="X1016" s="673"/>
      <c r="Y1016" s="673"/>
      <c r="Z1016" s="673"/>
      <c r="AA1016" s="673"/>
      <c r="AB1016" s="673"/>
      <c r="AC1016" s="673"/>
      <c r="AD1016" s="673"/>
      <c r="AE1016" s="673"/>
      <c r="AF1016" s="673"/>
      <c r="AG1016" s="673"/>
      <c r="AH1016" s="673"/>
    </row>
    <row r="1017">
      <c r="A1017" s="653"/>
      <c r="B1017" s="654"/>
      <c r="C1017" s="691"/>
      <c r="D1017" s="661"/>
      <c r="E1017" s="705"/>
      <c r="F1017" s="659"/>
      <c r="G1017" s="661"/>
      <c r="H1017" s="660"/>
      <c r="I1017" s="691"/>
      <c r="J1017" s="661"/>
      <c r="K1017" s="706"/>
      <c r="L1017" s="665"/>
      <c r="M1017" s="663"/>
      <c r="N1017" s="665"/>
      <c r="O1017" s="665"/>
      <c r="P1017" s="665"/>
      <c r="Q1017" s="665"/>
      <c r="R1017" s="665"/>
      <c r="S1017" s="665"/>
      <c r="T1017" s="673"/>
      <c r="U1017" s="673"/>
      <c r="V1017" s="673"/>
      <c r="W1017" s="673"/>
      <c r="X1017" s="673"/>
      <c r="Y1017" s="673"/>
      <c r="Z1017" s="673"/>
      <c r="AA1017" s="673"/>
      <c r="AB1017" s="673"/>
      <c r="AC1017" s="673"/>
      <c r="AD1017" s="673"/>
      <c r="AE1017" s="673"/>
      <c r="AF1017" s="673"/>
      <c r="AG1017" s="673"/>
      <c r="AH1017" s="673"/>
    </row>
    <row r="1018">
      <c r="A1018" s="653"/>
      <c r="B1018" s="654"/>
      <c r="C1018" s="691"/>
      <c r="D1018" s="661"/>
      <c r="E1018" s="705"/>
      <c r="F1018" s="659"/>
      <c r="G1018" s="661"/>
      <c r="H1018" s="660"/>
      <c r="I1018" s="691"/>
      <c r="J1018" s="661"/>
      <c r="K1018" s="706"/>
      <c r="L1018" s="665"/>
      <c r="M1018" s="663"/>
      <c r="N1018" s="665"/>
      <c r="O1018" s="665"/>
      <c r="P1018" s="665"/>
      <c r="Q1018" s="665"/>
      <c r="R1018" s="665"/>
      <c r="S1018" s="665"/>
      <c r="T1018" s="673"/>
      <c r="U1018" s="673"/>
      <c r="V1018" s="673"/>
      <c r="W1018" s="673"/>
      <c r="X1018" s="673"/>
      <c r="Y1018" s="673"/>
      <c r="Z1018" s="673"/>
      <c r="AA1018" s="673"/>
      <c r="AB1018" s="673"/>
      <c r="AC1018" s="673"/>
      <c r="AD1018" s="673"/>
      <c r="AE1018" s="673"/>
      <c r="AF1018" s="673"/>
      <c r="AG1018" s="673"/>
      <c r="AH1018" s="673"/>
    </row>
    <row r="1019">
      <c r="A1019" s="653"/>
      <c r="B1019" s="654"/>
      <c r="C1019" s="691"/>
      <c r="D1019" s="661"/>
      <c r="E1019" s="705"/>
      <c r="F1019" s="659"/>
      <c r="G1019" s="661"/>
      <c r="H1019" s="660"/>
      <c r="I1019" s="691"/>
      <c r="J1019" s="661"/>
      <c r="K1019" s="706"/>
      <c r="L1019" s="665"/>
      <c r="M1019" s="663"/>
      <c r="N1019" s="665"/>
      <c r="O1019" s="665"/>
      <c r="P1019" s="665"/>
      <c r="Q1019" s="665"/>
      <c r="R1019" s="665"/>
      <c r="S1019" s="665"/>
      <c r="T1019" s="673"/>
      <c r="U1019" s="673"/>
      <c r="V1019" s="673"/>
      <c r="W1019" s="673"/>
      <c r="X1019" s="673"/>
      <c r="Y1019" s="673"/>
      <c r="Z1019" s="673"/>
      <c r="AA1019" s="673"/>
      <c r="AB1019" s="673"/>
      <c r="AC1019" s="673"/>
      <c r="AD1019" s="673"/>
      <c r="AE1019" s="673"/>
      <c r="AF1019" s="673"/>
      <c r="AG1019" s="673"/>
      <c r="AH1019" s="673"/>
    </row>
    <row r="1020">
      <c r="A1020" s="653"/>
      <c r="B1020" s="654"/>
      <c r="C1020" s="691"/>
      <c r="D1020" s="661"/>
      <c r="E1020" s="705"/>
      <c r="F1020" s="659"/>
      <c r="G1020" s="661"/>
      <c r="H1020" s="660"/>
      <c r="I1020" s="691"/>
      <c r="J1020" s="661"/>
      <c r="K1020" s="706"/>
      <c r="L1020" s="665"/>
      <c r="M1020" s="663"/>
      <c r="N1020" s="665"/>
      <c r="O1020" s="665"/>
      <c r="P1020" s="665"/>
      <c r="Q1020" s="665"/>
      <c r="R1020" s="665"/>
      <c r="S1020" s="665"/>
      <c r="T1020" s="673"/>
      <c r="U1020" s="673"/>
      <c r="V1020" s="673"/>
      <c r="W1020" s="673"/>
      <c r="X1020" s="673"/>
      <c r="Y1020" s="673"/>
      <c r="Z1020" s="673"/>
      <c r="AA1020" s="673"/>
      <c r="AB1020" s="673"/>
      <c r="AC1020" s="673"/>
      <c r="AD1020" s="673"/>
      <c r="AE1020" s="673"/>
      <c r="AF1020" s="673"/>
      <c r="AG1020" s="673"/>
      <c r="AH1020" s="673"/>
    </row>
    <row r="1021">
      <c r="A1021" s="653"/>
      <c r="B1021" s="654"/>
      <c r="C1021" s="691"/>
      <c r="D1021" s="661"/>
      <c r="E1021" s="705"/>
      <c r="F1021" s="659"/>
      <c r="G1021" s="661"/>
      <c r="H1021" s="660"/>
      <c r="I1021" s="691"/>
      <c r="J1021" s="661"/>
      <c r="K1021" s="706"/>
      <c r="L1021" s="665"/>
      <c r="M1021" s="663"/>
      <c r="N1021" s="665"/>
      <c r="O1021" s="665"/>
      <c r="P1021" s="665"/>
      <c r="Q1021" s="665"/>
      <c r="R1021" s="665"/>
      <c r="S1021" s="665"/>
      <c r="T1021" s="673"/>
      <c r="U1021" s="673"/>
      <c r="V1021" s="673"/>
      <c r="W1021" s="673"/>
      <c r="X1021" s="673"/>
      <c r="Y1021" s="673"/>
      <c r="Z1021" s="673"/>
      <c r="AA1021" s="673"/>
      <c r="AB1021" s="673"/>
      <c r="AC1021" s="673"/>
      <c r="AD1021" s="673"/>
      <c r="AE1021" s="673"/>
      <c r="AF1021" s="673"/>
      <c r="AG1021" s="673"/>
      <c r="AH1021" s="673"/>
    </row>
    <row r="1022">
      <c r="A1022" s="653"/>
      <c r="B1022" s="654"/>
      <c r="C1022" s="691"/>
      <c r="D1022" s="661"/>
      <c r="E1022" s="705"/>
      <c r="F1022" s="659"/>
      <c r="G1022" s="661"/>
      <c r="H1022" s="660"/>
      <c r="I1022" s="691"/>
      <c r="J1022" s="661"/>
      <c r="K1022" s="706"/>
      <c r="L1022" s="665"/>
      <c r="M1022" s="663"/>
      <c r="N1022" s="665"/>
      <c r="O1022" s="665"/>
      <c r="P1022" s="665"/>
      <c r="Q1022" s="665"/>
      <c r="R1022" s="665"/>
      <c r="S1022" s="665"/>
      <c r="T1022" s="673"/>
      <c r="U1022" s="673"/>
      <c r="V1022" s="673"/>
      <c r="W1022" s="673"/>
      <c r="X1022" s="673"/>
      <c r="Y1022" s="673"/>
      <c r="Z1022" s="673"/>
      <c r="AA1022" s="673"/>
      <c r="AB1022" s="673"/>
      <c r="AC1022" s="673"/>
      <c r="AD1022" s="673"/>
      <c r="AE1022" s="673"/>
      <c r="AF1022" s="673"/>
      <c r="AG1022" s="673"/>
      <c r="AH1022" s="673"/>
    </row>
    <row r="1023">
      <c r="A1023" s="653"/>
      <c r="B1023" s="654"/>
      <c r="C1023" s="691"/>
      <c r="D1023" s="661"/>
      <c r="E1023" s="705"/>
      <c r="F1023" s="659"/>
      <c r="G1023" s="661"/>
      <c r="H1023" s="660"/>
      <c r="I1023" s="691"/>
      <c r="J1023" s="661"/>
      <c r="K1023" s="706"/>
      <c r="L1023" s="665"/>
      <c r="M1023" s="663"/>
      <c r="N1023" s="665"/>
      <c r="O1023" s="665"/>
      <c r="P1023" s="665"/>
      <c r="Q1023" s="665"/>
      <c r="R1023" s="665"/>
      <c r="S1023" s="665"/>
      <c r="T1023" s="673"/>
      <c r="U1023" s="673"/>
      <c r="V1023" s="673"/>
      <c r="W1023" s="673"/>
      <c r="X1023" s="673"/>
      <c r="Y1023" s="673"/>
      <c r="Z1023" s="673"/>
      <c r="AA1023" s="673"/>
      <c r="AB1023" s="673"/>
      <c r="AC1023" s="673"/>
      <c r="AD1023" s="673"/>
      <c r="AE1023" s="673"/>
      <c r="AF1023" s="673"/>
      <c r="AG1023" s="673"/>
      <c r="AH1023" s="673"/>
    </row>
    <row r="1024">
      <c r="A1024" s="653"/>
      <c r="B1024" s="654"/>
      <c r="C1024" s="691"/>
      <c r="D1024" s="661"/>
      <c r="E1024" s="705"/>
      <c r="F1024" s="659"/>
      <c r="G1024" s="661"/>
      <c r="H1024" s="660"/>
      <c r="I1024" s="691"/>
      <c r="J1024" s="661"/>
      <c r="K1024" s="706"/>
      <c r="L1024" s="665"/>
      <c r="M1024" s="663"/>
      <c r="N1024" s="665"/>
      <c r="O1024" s="665"/>
      <c r="P1024" s="665"/>
      <c r="Q1024" s="665"/>
      <c r="R1024" s="665"/>
      <c r="S1024" s="665"/>
      <c r="T1024" s="673"/>
      <c r="U1024" s="673"/>
      <c r="V1024" s="673"/>
      <c r="W1024" s="673"/>
      <c r="X1024" s="673"/>
      <c r="Y1024" s="673"/>
      <c r="Z1024" s="673"/>
      <c r="AA1024" s="673"/>
      <c r="AB1024" s="673"/>
      <c r="AC1024" s="673"/>
      <c r="AD1024" s="673"/>
      <c r="AE1024" s="673"/>
      <c r="AF1024" s="673"/>
      <c r="AG1024" s="673"/>
      <c r="AH1024" s="673"/>
    </row>
    <row r="1025">
      <c r="A1025" s="653"/>
      <c r="B1025" s="654"/>
      <c r="C1025" s="691"/>
      <c r="D1025" s="661"/>
      <c r="E1025" s="705"/>
      <c r="F1025" s="659"/>
      <c r="G1025" s="661"/>
      <c r="H1025" s="660"/>
      <c r="I1025" s="691"/>
      <c r="J1025" s="661"/>
      <c r="K1025" s="706"/>
      <c r="L1025" s="665"/>
      <c r="M1025" s="663"/>
      <c r="N1025" s="665"/>
      <c r="O1025" s="665"/>
      <c r="P1025" s="665"/>
      <c r="Q1025" s="665"/>
      <c r="R1025" s="665"/>
      <c r="S1025" s="665"/>
      <c r="T1025" s="673"/>
      <c r="U1025" s="673"/>
      <c r="V1025" s="673"/>
      <c r="W1025" s="673"/>
      <c r="X1025" s="673"/>
      <c r="Y1025" s="673"/>
      <c r="Z1025" s="673"/>
      <c r="AA1025" s="673"/>
      <c r="AB1025" s="673"/>
      <c r="AC1025" s="673"/>
      <c r="AD1025" s="673"/>
      <c r="AE1025" s="673"/>
      <c r="AF1025" s="673"/>
      <c r="AG1025" s="673"/>
      <c r="AH1025" s="673"/>
    </row>
    <row r="1026">
      <c r="A1026" s="653"/>
      <c r="B1026" s="654"/>
      <c r="C1026" s="691"/>
      <c r="D1026" s="661"/>
      <c r="E1026" s="705"/>
      <c r="F1026" s="659"/>
      <c r="G1026" s="661"/>
      <c r="H1026" s="660"/>
      <c r="I1026" s="691"/>
      <c r="J1026" s="661"/>
      <c r="K1026" s="706"/>
      <c r="L1026" s="665"/>
      <c r="M1026" s="663"/>
      <c r="N1026" s="665"/>
      <c r="O1026" s="665"/>
      <c r="P1026" s="665"/>
      <c r="Q1026" s="665"/>
      <c r="R1026" s="665"/>
      <c r="S1026" s="665"/>
      <c r="T1026" s="673"/>
      <c r="U1026" s="673"/>
      <c r="V1026" s="673"/>
      <c r="W1026" s="673"/>
      <c r="X1026" s="673"/>
      <c r="Y1026" s="673"/>
      <c r="Z1026" s="673"/>
      <c r="AA1026" s="673"/>
      <c r="AB1026" s="673"/>
      <c r="AC1026" s="673"/>
      <c r="AD1026" s="673"/>
      <c r="AE1026" s="673"/>
      <c r="AF1026" s="673"/>
      <c r="AG1026" s="673"/>
      <c r="AH1026" s="673"/>
    </row>
    <row r="1027">
      <c r="A1027" s="653"/>
      <c r="B1027" s="654"/>
      <c r="C1027" s="691"/>
      <c r="D1027" s="661"/>
      <c r="E1027" s="705"/>
      <c r="F1027" s="659"/>
      <c r="G1027" s="661"/>
      <c r="H1027" s="660"/>
      <c r="I1027" s="691"/>
      <c r="J1027" s="661"/>
      <c r="K1027" s="706"/>
      <c r="L1027" s="665"/>
      <c r="M1027" s="663"/>
      <c r="N1027" s="665"/>
      <c r="O1027" s="665"/>
      <c r="P1027" s="665"/>
      <c r="Q1027" s="665"/>
      <c r="R1027" s="665"/>
      <c r="S1027" s="665"/>
      <c r="T1027" s="673"/>
      <c r="U1027" s="673"/>
      <c r="V1027" s="673"/>
      <c r="W1027" s="673"/>
      <c r="X1027" s="673"/>
      <c r="Y1027" s="673"/>
      <c r="Z1027" s="673"/>
      <c r="AA1027" s="673"/>
      <c r="AB1027" s="673"/>
      <c r="AC1027" s="673"/>
      <c r="AD1027" s="673"/>
      <c r="AE1027" s="673"/>
      <c r="AF1027" s="673"/>
      <c r="AG1027" s="673"/>
      <c r="AH1027" s="673"/>
    </row>
    <row r="1028">
      <c r="A1028" s="653"/>
      <c r="B1028" s="654"/>
      <c r="C1028" s="691"/>
      <c r="D1028" s="661"/>
      <c r="E1028" s="705"/>
      <c r="F1028" s="659"/>
      <c r="G1028" s="661"/>
      <c r="H1028" s="660"/>
      <c r="I1028" s="691"/>
      <c r="J1028" s="661"/>
      <c r="K1028" s="706"/>
      <c r="L1028" s="665"/>
      <c r="M1028" s="663"/>
      <c r="N1028" s="665"/>
      <c r="O1028" s="665"/>
      <c r="P1028" s="665"/>
      <c r="Q1028" s="665"/>
      <c r="R1028" s="665"/>
      <c r="S1028" s="665"/>
      <c r="T1028" s="673"/>
      <c r="U1028" s="673"/>
      <c r="V1028" s="673"/>
      <c r="W1028" s="673"/>
      <c r="X1028" s="673"/>
      <c r="Y1028" s="673"/>
      <c r="Z1028" s="673"/>
      <c r="AA1028" s="673"/>
      <c r="AB1028" s="673"/>
      <c r="AC1028" s="673"/>
      <c r="AD1028" s="673"/>
      <c r="AE1028" s="673"/>
      <c r="AF1028" s="673"/>
      <c r="AG1028" s="673"/>
      <c r="AH1028" s="673"/>
    </row>
    <row r="1029">
      <c r="A1029" s="653"/>
      <c r="B1029" s="654"/>
      <c r="C1029" s="691"/>
      <c r="D1029" s="661"/>
      <c r="E1029" s="705"/>
      <c r="F1029" s="659"/>
      <c r="G1029" s="661"/>
      <c r="H1029" s="660"/>
      <c r="I1029" s="691"/>
      <c r="J1029" s="661"/>
      <c r="K1029" s="706"/>
      <c r="L1029" s="665"/>
      <c r="M1029" s="663"/>
      <c r="N1029" s="665"/>
      <c r="O1029" s="665"/>
      <c r="P1029" s="665"/>
      <c r="Q1029" s="665"/>
      <c r="R1029" s="665"/>
      <c r="S1029" s="665"/>
      <c r="T1029" s="673"/>
      <c r="U1029" s="673"/>
      <c r="V1029" s="673"/>
      <c r="W1029" s="673"/>
      <c r="X1029" s="673"/>
      <c r="Y1029" s="673"/>
      <c r="Z1029" s="673"/>
      <c r="AA1029" s="673"/>
      <c r="AB1029" s="673"/>
      <c r="AC1029" s="673"/>
      <c r="AD1029" s="673"/>
      <c r="AE1029" s="673"/>
      <c r="AF1029" s="673"/>
      <c r="AG1029" s="673"/>
      <c r="AH1029" s="673"/>
    </row>
    <row r="1030">
      <c r="A1030" s="653"/>
      <c r="B1030" s="654"/>
      <c r="C1030" s="691"/>
      <c r="D1030" s="661"/>
      <c r="E1030" s="705"/>
      <c r="F1030" s="659"/>
      <c r="G1030" s="661"/>
      <c r="H1030" s="660"/>
      <c r="I1030" s="691"/>
      <c r="J1030" s="661"/>
      <c r="K1030" s="706"/>
      <c r="L1030" s="665"/>
      <c r="M1030" s="663"/>
      <c r="N1030" s="665"/>
      <c r="O1030" s="665"/>
      <c r="P1030" s="665"/>
      <c r="Q1030" s="665"/>
      <c r="R1030" s="665"/>
      <c r="S1030" s="665"/>
      <c r="T1030" s="673"/>
      <c r="U1030" s="673"/>
      <c r="V1030" s="673"/>
      <c r="W1030" s="673"/>
      <c r="X1030" s="673"/>
      <c r="Y1030" s="673"/>
      <c r="Z1030" s="673"/>
      <c r="AA1030" s="673"/>
      <c r="AB1030" s="673"/>
      <c r="AC1030" s="673"/>
      <c r="AD1030" s="673"/>
      <c r="AE1030" s="673"/>
      <c r="AF1030" s="673"/>
      <c r="AG1030" s="673"/>
      <c r="AH1030" s="673"/>
    </row>
    <row r="1031">
      <c r="A1031" s="653"/>
      <c r="B1031" s="654"/>
      <c r="C1031" s="691"/>
      <c r="D1031" s="661"/>
      <c r="E1031" s="705"/>
      <c r="F1031" s="659"/>
      <c r="G1031" s="661"/>
      <c r="H1031" s="660"/>
      <c r="I1031" s="691"/>
      <c r="J1031" s="661"/>
      <c r="K1031" s="706"/>
      <c r="L1031" s="665"/>
      <c r="M1031" s="663"/>
      <c r="N1031" s="665"/>
      <c r="O1031" s="665"/>
      <c r="P1031" s="665"/>
      <c r="Q1031" s="665"/>
      <c r="R1031" s="665"/>
      <c r="S1031" s="665"/>
      <c r="T1031" s="673"/>
      <c r="U1031" s="673"/>
      <c r="V1031" s="673"/>
      <c r="W1031" s="673"/>
      <c r="X1031" s="673"/>
      <c r="Y1031" s="673"/>
      <c r="Z1031" s="673"/>
      <c r="AA1031" s="673"/>
      <c r="AB1031" s="673"/>
      <c r="AC1031" s="673"/>
      <c r="AD1031" s="673"/>
      <c r="AE1031" s="673"/>
      <c r="AF1031" s="673"/>
      <c r="AG1031" s="673"/>
      <c r="AH1031" s="673"/>
    </row>
    <row r="1032">
      <c r="A1032" s="653"/>
      <c r="B1032" s="654"/>
      <c r="C1032" s="691"/>
      <c r="D1032" s="661"/>
      <c r="E1032" s="705"/>
      <c r="F1032" s="659"/>
      <c r="G1032" s="661"/>
      <c r="H1032" s="660"/>
      <c r="I1032" s="691"/>
      <c r="J1032" s="661"/>
      <c r="K1032" s="706"/>
      <c r="L1032" s="665"/>
      <c r="M1032" s="663"/>
      <c r="N1032" s="665"/>
      <c r="O1032" s="665"/>
      <c r="P1032" s="665"/>
      <c r="Q1032" s="665"/>
      <c r="R1032" s="665"/>
      <c r="S1032" s="665"/>
      <c r="T1032" s="673"/>
      <c r="U1032" s="673"/>
      <c r="V1032" s="673"/>
      <c r="W1032" s="673"/>
      <c r="X1032" s="673"/>
      <c r="Y1032" s="673"/>
      <c r="Z1032" s="673"/>
      <c r="AA1032" s="673"/>
      <c r="AB1032" s="673"/>
      <c r="AC1032" s="673"/>
      <c r="AD1032" s="673"/>
      <c r="AE1032" s="673"/>
      <c r="AF1032" s="673"/>
      <c r="AG1032" s="673"/>
      <c r="AH1032" s="673"/>
    </row>
    <row r="1033">
      <c r="A1033" s="653"/>
      <c r="B1033" s="654"/>
      <c r="C1033" s="691"/>
      <c r="D1033" s="661"/>
      <c r="E1033" s="705"/>
      <c r="F1033" s="659"/>
      <c r="G1033" s="661"/>
      <c r="H1033" s="660"/>
      <c r="I1033" s="691"/>
      <c r="J1033" s="661"/>
      <c r="K1033" s="706"/>
      <c r="L1033" s="665"/>
      <c r="M1033" s="663"/>
      <c r="N1033" s="665"/>
      <c r="O1033" s="665"/>
      <c r="P1033" s="665"/>
      <c r="Q1033" s="665"/>
      <c r="R1033" s="665"/>
      <c r="S1033" s="665"/>
      <c r="T1033" s="673"/>
      <c r="U1033" s="673"/>
      <c r="V1033" s="673"/>
      <c r="W1033" s="673"/>
      <c r="X1033" s="673"/>
      <c r="Y1033" s="673"/>
      <c r="Z1033" s="673"/>
      <c r="AA1033" s="673"/>
      <c r="AB1033" s="673"/>
      <c r="AC1033" s="673"/>
      <c r="AD1033" s="673"/>
      <c r="AE1033" s="673"/>
      <c r="AF1033" s="673"/>
      <c r="AG1033" s="673"/>
      <c r="AH1033" s="673"/>
    </row>
    <row r="1034">
      <c r="A1034" s="653"/>
      <c r="B1034" s="654"/>
      <c r="C1034" s="691"/>
      <c r="D1034" s="661"/>
      <c r="E1034" s="705"/>
      <c r="F1034" s="659"/>
      <c r="G1034" s="661"/>
      <c r="H1034" s="660"/>
      <c r="I1034" s="691"/>
      <c r="J1034" s="661"/>
      <c r="K1034" s="706"/>
      <c r="L1034" s="665"/>
      <c r="M1034" s="663"/>
      <c r="N1034" s="665"/>
      <c r="O1034" s="665"/>
      <c r="P1034" s="665"/>
      <c r="Q1034" s="665"/>
      <c r="R1034" s="665"/>
      <c r="S1034" s="665"/>
      <c r="T1034" s="673"/>
      <c r="U1034" s="673"/>
      <c r="V1034" s="673"/>
      <c r="W1034" s="673"/>
      <c r="X1034" s="673"/>
      <c r="Y1034" s="673"/>
      <c r="Z1034" s="673"/>
      <c r="AA1034" s="673"/>
      <c r="AB1034" s="673"/>
      <c r="AC1034" s="673"/>
      <c r="AD1034" s="673"/>
      <c r="AE1034" s="673"/>
      <c r="AF1034" s="673"/>
      <c r="AG1034" s="673"/>
      <c r="AH1034" s="673"/>
    </row>
    <row r="1035">
      <c r="A1035" s="653"/>
      <c r="B1035" s="654"/>
      <c r="C1035" s="691"/>
      <c r="D1035" s="661"/>
      <c r="E1035" s="705"/>
      <c r="F1035" s="659"/>
      <c r="G1035" s="661"/>
      <c r="H1035" s="660"/>
      <c r="I1035" s="691"/>
      <c r="J1035" s="661"/>
      <c r="K1035" s="706"/>
      <c r="L1035" s="665"/>
      <c r="M1035" s="663"/>
      <c r="N1035" s="665"/>
      <c r="O1035" s="665"/>
      <c r="P1035" s="665"/>
      <c r="Q1035" s="665"/>
      <c r="R1035" s="665"/>
      <c r="S1035" s="665"/>
      <c r="T1035" s="673"/>
      <c r="U1035" s="673"/>
      <c r="V1035" s="673"/>
      <c r="W1035" s="673"/>
      <c r="X1035" s="673"/>
      <c r="Y1035" s="673"/>
      <c r="Z1035" s="673"/>
      <c r="AA1035" s="673"/>
      <c r="AB1035" s="673"/>
      <c r="AC1035" s="673"/>
      <c r="AD1035" s="673"/>
      <c r="AE1035" s="673"/>
      <c r="AF1035" s="673"/>
      <c r="AG1035" s="673"/>
      <c r="AH1035" s="673"/>
    </row>
    <row r="1036">
      <c r="A1036" s="653"/>
      <c r="B1036" s="654"/>
      <c r="C1036" s="691"/>
      <c r="D1036" s="661"/>
      <c r="E1036" s="705"/>
      <c r="F1036" s="659"/>
      <c r="G1036" s="661"/>
      <c r="H1036" s="660"/>
      <c r="I1036" s="691"/>
      <c r="J1036" s="661"/>
      <c r="K1036" s="706"/>
      <c r="L1036" s="665"/>
      <c r="M1036" s="663"/>
      <c r="N1036" s="665"/>
      <c r="O1036" s="665"/>
      <c r="P1036" s="665"/>
      <c r="Q1036" s="665"/>
      <c r="R1036" s="665"/>
      <c r="S1036" s="665"/>
      <c r="T1036" s="673"/>
      <c r="U1036" s="673"/>
      <c r="V1036" s="673"/>
      <c r="W1036" s="673"/>
      <c r="X1036" s="673"/>
      <c r="Y1036" s="673"/>
      <c r="Z1036" s="673"/>
      <c r="AA1036" s="673"/>
      <c r="AB1036" s="673"/>
      <c r="AC1036" s="673"/>
      <c r="AD1036" s="673"/>
      <c r="AE1036" s="673"/>
      <c r="AF1036" s="673"/>
      <c r="AG1036" s="673"/>
      <c r="AH1036" s="673"/>
    </row>
    <row r="1037">
      <c r="A1037" s="653"/>
      <c r="B1037" s="654"/>
      <c r="C1037" s="691"/>
      <c r="D1037" s="661"/>
      <c r="E1037" s="705"/>
      <c r="F1037" s="659"/>
      <c r="G1037" s="661"/>
      <c r="H1037" s="660"/>
      <c r="I1037" s="691"/>
      <c r="J1037" s="661"/>
      <c r="K1037" s="706"/>
      <c r="L1037" s="665"/>
      <c r="M1037" s="663"/>
      <c r="N1037" s="665"/>
      <c r="O1037" s="665"/>
      <c r="P1037" s="665"/>
      <c r="Q1037" s="665"/>
      <c r="R1037" s="665"/>
      <c r="S1037" s="665"/>
      <c r="T1037" s="673"/>
      <c r="U1037" s="673"/>
      <c r="V1037" s="673"/>
      <c r="W1037" s="673"/>
      <c r="X1037" s="673"/>
      <c r="Y1037" s="673"/>
      <c r="Z1037" s="673"/>
      <c r="AA1037" s="673"/>
      <c r="AB1037" s="673"/>
      <c r="AC1037" s="673"/>
      <c r="AD1037" s="673"/>
      <c r="AE1037" s="673"/>
      <c r="AF1037" s="673"/>
      <c r="AG1037" s="673"/>
      <c r="AH1037" s="673"/>
    </row>
    <row r="1038">
      <c r="A1038" s="653"/>
      <c r="B1038" s="654"/>
      <c r="C1038" s="691"/>
      <c r="D1038" s="661"/>
      <c r="E1038" s="705"/>
      <c r="F1038" s="659"/>
      <c r="G1038" s="661"/>
      <c r="H1038" s="660"/>
      <c r="I1038" s="691"/>
      <c r="J1038" s="661"/>
      <c r="K1038" s="706"/>
      <c r="L1038" s="665"/>
      <c r="M1038" s="663"/>
      <c r="N1038" s="665"/>
      <c r="O1038" s="665"/>
      <c r="P1038" s="665"/>
      <c r="Q1038" s="665"/>
      <c r="R1038" s="665"/>
      <c r="S1038" s="665"/>
      <c r="T1038" s="673"/>
      <c r="U1038" s="673"/>
      <c r="V1038" s="673"/>
      <c r="W1038" s="673"/>
      <c r="X1038" s="673"/>
      <c r="Y1038" s="673"/>
      <c r="Z1038" s="673"/>
      <c r="AA1038" s="673"/>
      <c r="AB1038" s="673"/>
      <c r="AC1038" s="673"/>
      <c r="AD1038" s="673"/>
      <c r="AE1038" s="673"/>
      <c r="AF1038" s="673"/>
      <c r="AG1038" s="673"/>
      <c r="AH1038" s="673"/>
    </row>
    <row r="1039">
      <c r="A1039" s="653"/>
      <c r="B1039" s="654"/>
      <c r="C1039" s="691"/>
      <c r="D1039" s="661"/>
      <c r="E1039" s="705"/>
      <c r="F1039" s="659"/>
      <c r="G1039" s="661"/>
      <c r="H1039" s="660"/>
      <c r="I1039" s="691"/>
      <c r="J1039" s="661"/>
      <c r="K1039" s="706"/>
      <c r="L1039" s="665"/>
      <c r="M1039" s="663"/>
      <c r="N1039" s="665"/>
      <c r="O1039" s="665"/>
      <c r="P1039" s="665"/>
      <c r="Q1039" s="665"/>
      <c r="R1039" s="665"/>
      <c r="S1039" s="665"/>
      <c r="T1039" s="673"/>
      <c r="U1039" s="673"/>
      <c r="V1039" s="673"/>
      <c r="W1039" s="673"/>
      <c r="X1039" s="673"/>
      <c r="Y1039" s="673"/>
      <c r="Z1039" s="673"/>
      <c r="AA1039" s="673"/>
      <c r="AB1039" s="673"/>
      <c r="AC1039" s="673"/>
      <c r="AD1039" s="673"/>
      <c r="AE1039" s="673"/>
      <c r="AF1039" s="673"/>
      <c r="AG1039" s="673"/>
      <c r="AH1039" s="673"/>
    </row>
    <row r="1040">
      <c r="A1040" s="653"/>
      <c r="B1040" s="654"/>
      <c r="C1040" s="691"/>
      <c r="D1040" s="661"/>
      <c r="E1040" s="705"/>
      <c r="F1040" s="659"/>
      <c r="G1040" s="661"/>
      <c r="H1040" s="660"/>
      <c r="I1040" s="691"/>
      <c r="J1040" s="661"/>
      <c r="K1040" s="706"/>
      <c r="L1040" s="665"/>
      <c r="M1040" s="663"/>
      <c r="N1040" s="665"/>
      <c r="O1040" s="665"/>
      <c r="P1040" s="665"/>
      <c r="Q1040" s="665"/>
      <c r="R1040" s="665"/>
      <c r="S1040" s="665"/>
      <c r="T1040" s="673"/>
      <c r="U1040" s="673"/>
      <c r="V1040" s="673"/>
      <c r="W1040" s="673"/>
      <c r="X1040" s="673"/>
      <c r="Y1040" s="673"/>
      <c r="Z1040" s="673"/>
      <c r="AA1040" s="673"/>
      <c r="AB1040" s="673"/>
      <c r="AC1040" s="673"/>
      <c r="AD1040" s="673"/>
      <c r="AE1040" s="673"/>
      <c r="AF1040" s="673"/>
      <c r="AG1040" s="673"/>
      <c r="AH1040" s="673"/>
    </row>
    <row r="1041">
      <c r="A1041" s="653"/>
      <c r="B1041" s="654"/>
      <c r="C1041" s="691"/>
      <c r="D1041" s="661"/>
      <c r="E1041" s="705"/>
      <c r="F1041" s="659"/>
      <c r="G1041" s="661"/>
      <c r="H1041" s="660"/>
      <c r="I1041" s="691"/>
      <c r="J1041" s="661"/>
      <c r="K1041" s="706"/>
      <c r="L1041" s="665"/>
      <c r="M1041" s="663"/>
      <c r="N1041" s="665"/>
      <c r="O1041" s="665"/>
      <c r="P1041" s="665"/>
      <c r="Q1041" s="665"/>
      <c r="R1041" s="665"/>
      <c r="S1041" s="665"/>
      <c r="T1041" s="673"/>
      <c r="U1041" s="673"/>
      <c r="V1041" s="673"/>
      <c r="W1041" s="673"/>
      <c r="X1041" s="673"/>
      <c r="Y1041" s="673"/>
      <c r="Z1041" s="673"/>
      <c r="AA1041" s="673"/>
      <c r="AB1041" s="673"/>
      <c r="AC1041" s="673"/>
      <c r="AD1041" s="673"/>
      <c r="AE1041" s="673"/>
      <c r="AF1041" s="673"/>
      <c r="AG1041" s="673"/>
      <c r="AH1041" s="673"/>
    </row>
    <row r="1042">
      <c r="A1042" s="653"/>
      <c r="B1042" s="654"/>
      <c r="C1042" s="691"/>
      <c r="D1042" s="661"/>
      <c r="E1042" s="705"/>
      <c r="F1042" s="659"/>
      <c r="G1042" s="661"/>
      <c r="H1042" s="660"/>
      <c r="I1042" s="691"/>
      <c r="J1042" s="661"/>
      <c r="K1042" s="706"/>
      <c r="L1042" s="665"/>
      <c r="M1042" s="663"/>
      <c r="N1042" s="665"/>
      <c r="O1042" s="665"/>
      <c r="P1042" s="665"/>
      <c r="Q1042" s="665"/>
      <c r="R1042" s="665"/>
      <c r="S1042" s="665"/>
      <c r="T1042" s="673"/>
      <c r="U1042" s="673"/>
      <c r="V1042" s="673"/>
      <c r="W1042" s="673"/>
      <c r="X1042" s="673"/>
      <c r="Y1042" s="673"/>
      <c r="Z1042" s="673"/>
      <c r="AA1042" s="673"/>
      <c r="AB1042" s="673"/>
      <c r="AC1042" s="673"/>
      <c r="AD1042" s="673"/>
      <c r="AE1042" s="673"/>
      <c r="AF1042" s="673"/>
      <c r="AG1042" s="673"/>
      <c r="AH1042" s="673"/>
    </row>
    <row r="1043">
      <c r="A1043" s="653"/>
      <c r="B1043" s="654"/>
      <c r="C1043" s="691"/>
      <c r="D1043" s="661"/>
      <c r="E1043" s="705"/>
      <c r="F1043" s="659"/>
      <c r="G1043" s="661"/>
      <c r="H1043" s="660"/>
      <c r="I1043" s="691"/>
      <c r="J1043" s="661"/>
      <c r="K1043" s="706"/>
      <c r="L1043" s="665"/>
      <c r="M1043" s="663"/>
      <c r="N1043" s="665"/>
      <c r="O1043" s="665"/>
      <c r="P1043" s="665"/>
      <c r="Q1043" s="665"/>
      <c r="R1043" s="665"/>
      <c r="S1043" s="665"/>
      <c r="T1043" s="673"/>
      <c r="U1043" s="673"/>
      <c r="V1043" s="673"/>
      <c r="W1043" s="673"/>
      <c r="X1043" s="673"/>
      <c r="Y1043" s="673"/>
      <c r="Z1043" s="673"/>
      <c r="AA1043" s="673"/>
      <c r="AB1043" s="673"/>
      <c r="AC1043" s="673"/>
      <c r="AD1043" s="673"/>
      <c r="AE1043" s="673"/>
      <c r="AF1043" s="673"/>
      <c r="AG1043" s="673"/>
      <c r="AH1043" s="673"/>
    </row>
    <row r="1044">
      <c r="A1044" s="653"/>
      <c r="B1044" s="654"/>
      <c r="C1044" s="691"/>
      <c r="D1044" s="661"/>
      <c r="E1044" s="705"/>
      <c r="F1044" s="659"/>
      <c r="G1044" s="661"/>
      <c r="H1044" s="660"/>
      <c r="I1044" s="691"/>
      <c r="J1044" s="661"/>
      <c r="K1044" s="706"/>
      <c r="L1044" s="665"/>
      <c r="M1044" s="663"/>
      <c r="N1044" s="665"/>
      <c r="O1044" s="665"/>
      <c r="P1044" s="665"/>
      <c r="Q1044" s="665"/>
      <c r="R1044" s="665"/>
      <c r="S1044" s="665"/>
      <c r="T1044" s="673"/>
      <c r="U1044" s="673"/>
      <c r="V1044" s="673"/>
      <c r="W1044" s="673"/>
      <c r="X1044" s="673"/>
      <c r="Y1044" s="673"/>
      <c r="Z1044" s="673"/>
      <c r="AA1044" s="673"/>
      <c r="AB1044" s="673"/>
      <c r="AC1044" s="673"/>
      <c r="AD1044" s="673"/>
      <c r="AE1044" s="673"/>
      <c r="AF1044" s="673"/>
      <c r="AG1044" s="673"/>
      <c r="AH1044" s="673"/>
    </row>
    <row r="1045">
      <c r="A1045" s="653"/>
      <c r="B1045" s="654"/>
      <c r="C1045" s="691"/>
      <c r="D1045" s="661"/>
      <c r="E1045" s="705"/>
      <c r="F1045" s="659"/>
      <c r="G1045" s="661"/>
      <c r="H1045" s="660"/>
      <c r="I1045" s="691"/>
      <c r="J1045" s="661"/>
      <c r="K1045" s="706"/>
      <c r="L1045" s="665"/>
      <c r="M1045" s="663"/>
      <c r="N1045" s="665"/>
      <c r="O1045" s="665"/>
      <c r="P1045" s="665"/>
      <c r="Q1045" s="665"/>
      <c r="R1045" s="665"/>
      <c r="S1045" s="665"/>
      <c r="T1045" s="673"/>
      <c r="U1045" s="673"/>
      <c r="V1045" s="673"/>
      <c r="W1045" s="673"/>
      <c r="X1045" s="673"/>
      <c r="Y1045" s="673"/>
      <c r="Z1045" s="673"/>
      <c r="AA1045" s="673"/>
      <c r="AB1045" s="673"/>
      <c r="AC1045" s="673"/>
      <c r="AD1045" s="673"/>
      <c r="AE1045" s="673"/>
      <c r="AF1045" s="673"/>
      <c r="AG1045" s="673"/>
      <c r="AH1045" s="673"/>
    </row>
    <row r="1046">
      <c r="A1046" s="653"/>
      <c r="B1046" s="654"/>
      <c r="C1046" s="691"/>
      <c r="D1046" s="661"/>
      <c r="E1046" s="705"/>
      <c r="F1046" s="659"/>
      <c r="G1046" s="661"/>
      <c r="H1046" s="660"/>
      <c r="I1046" s="691"/>
      <c r="J1046" s="661"/>
      <c r="K1046" s="706"/>
      <c r="L1046" s="665"/>
      <c r="M1046" s="663"/>
      <c r="N1046" s="665"/>
      <c r="O1046" s="665"/>
      <c r="P1046" s="665"/>
      <c r="Q1046" s="665"/>
      <c r="R1046" s="665"/>
      <c r="S1046" s="665"/>
      <c r="T1046" s="673"/>
      <c r="U1046" s="673"/>
      <c r="V1046" s="673"/>
      <c r="W1046" s="673"/>
      <c r="X1046" s="673"/>
      <c r="Y1046" s="673"/>
      <c r="Z1046" s="673"/>
      <c r="AA1046" s="673"/>
      <c r="AB1046" s="673"/>
      <c r="AC1046" s="673"/>
      <c r="AD1046" s="673"/>
      <c r="AE1046" s="673"/>
      <c r="AF1046" s="673"/>
      <c r="AG1046" s="673"/>
      <c r="AH1046" s="673"/>
    </row>
    <row r="1047">
      <c r="A1047" s="653"/>
      <c r="B1047" s="654"/>
      <c r="C1047" s="691"/>
      <c r="D1047" s="661"/>
      <c r="E1047" s="705"/>
      <c r="F1047" s="659"/>
      <c r="G1047" s="661"/>
      <c r="H1047" s="660"/>
      <c r="I1047" s="691"/>
      <c r="J1047" s="661"/>
      <c r="K1047" s="706"/>
      <c r="L1047" s="665"/>
      <c r="M1047" s="663"/>
      <c r="N1047" s="665"/>
      <c r="O1047" s="665"/>
      <c r="P1047" s="665"/>
      <c r="Q1047" s="665"/>
      <c r="R1047" s="665"/>
      <c r="S1047" s="665"/>
      <c r="T1047" s="673"/>
      <c r="U1047" s="673"/>
      <c r="V1047" s="673"/>
      <c r="W1047" s="673"/>
      <c r="X1047" s="673"/>
      <c r="Y1047" s="673"/>
      <c r="Z1047" s="673"/>
      <c r="AA1047" s="673"/>
      <c r="AB1047" s="673"/>
      <c r="AC1047" s="673"/>
      <c r="AD1047" s="673"/>
      <c r="AE1047" s="673"/>
      <c r="AF1047" s="673"/>
      <c r="AG1047" s="673"/>
      <c r="AH1047" s="673"/>
    </row>
    <row r="1048">
      <c r="A1048" s="653"/>
      <c r="B1048" s="654"/>
      <c r="C1048" s="691"/>
      <c r="D1048" s="661"/>
      <c r="E1048" s="705"/>
      <c r="F1048" s="659"/>
      <c r="G1048" s="661"/>
      <c r="H1048" s="660"/>
      <c r="I1048" s="691"/>
      <c r="J1048" s="661"/>
      <c r="K1048" s="706"/>
      <c r="L1048" s="665"/>
      <c r="M1048" s="663"/>
      <c r="N1048" s="665"/>
      <c r="O1048" s="665"/>
      <c r="P1048" s="665"/>
      <c r="Q1048" s="665"/>
      <c r="R1048" s="665"/>
      <c r="S1048" s="665"/>
      <c r="T1048" s="673"/>
      <c r="U1048" s="673"/>
      <c r="V1048" s="673"/>
      <c r="W1048" s="673"/>
      <c r="X1048" s="673"/>
      <c r="Y1048" s="673"/>
      <c r="Z1048" s="673"/>
      <c r="AA1048" s="673"/>
      <c r="AB1048" s="673"/>
      <c r="AC1048" s="673"/>
      <c r="AD1048" s="673"/>
      <c r="AE1048" s="673"/>
      <c r="AF1048" s="673"/>
      <c r="AG1048" s="673"/>
      <c r="AH1048" s="673"/>
    </row>
    <row r="1049">
      <c r="A1049" s="653"/>
      <c r="B1049" s="654"/>
      <c r="C1049" s="691"/>
      <c r="D1049" s="661"/>
      <c r="E1049" s="705"/>
      <c r="F1049" s="659"/>
      <c r="G1049" s="661"/>
      <c r="H1049" s="660"/>
      <c r="I1049" s="691"/>
      <c r="J1049" s="661"/>
      <c r="K1049" s="706"/>
      <c r="L1049" s="665"/>
      <c r="M1049" s="663"/>
      <c r="N1049" s="665"/>
      <c r="O1049" s="665"/>
      <c r="P1049" s="665"/>
      <c r="Q1049" s="665"/>
      <c r="R1049" s="665"/>
      <c r="S1049" s="665"/>
      <c r="T1049" s="673"/>
      <c r="U1049" s="673"/>
      <c r="V1049" s="673"/>
      <c r="W1049" s="673"/>
      <c r="X1049" s="673"/>
      <c r="Y1049" s="673"/>
      <c r="Z1049" s="673"/>
      <c r="AA1049" s="673"/>
      <c r="AB1049" s="673"/>
      <c r="AC1049" s="673"/>
      <c r="AD1049" s="673"/>
      <c r="AE1049" s="673"/>
      <c r="AF1049" s="673"/>
      <c r="AG1049" s="673"/>
      <c r="AH1049" s="673"/>
    </row>
    <row r="1050">
      <c r="A1050" s="653"/>
      <c r="B1050" s="654"/>
      <c r="C1050" s="691"/>
      <c r="D1050" s="661"/>
      <c r="E1050" s="705"/>
      <c r="F1050" s="659"/>
      <c r="G1050" s="661"/>
      <c r="H1050" s="660"/>
      <c r="I1050" s="691"/>
      <c r="J1050" s="661"/>
      <c r="K1050" s="706"/>
      <c r="L1050" s="665"/>
      <c r="M1050" s="663"/>
      <c r="N1050" s="665"/>
      <c r="O1050" s="665"/>
      <c r="P1050" s="665"/>
      <c r="Q1050" s="665"/>
      <c r="R1050" s="665"/>
      <c r="S1050" s="665"/>
      <c r="T1050" s="673"/>
      <c r="U1050" s="673"/>
      <c r="V1050" s="673"/>
      <c r="W1050" s="673"/>
      <c r="X1050" s="673"/>
      <c r="Y1050" s="673"/>
      <c r="Z1050" s="673"/>
      <c r="AA1050" s="673"/>
      <c r="AB1050" s="673"/>
      <c r="AC1050" s="673"/>
      <c r="AD1050" s="673"/>
      <c r="AE1050" s="673"/>
      <c r="AF1050" s="673"/>
      <c r="AG1050" s="673"/>
      <c r="AH1050" s="673"/>
    </row>
    <row r="1051">
      <c r="A1051" s="653"/>
      <c r="B1051" s="654"/>
      <c r="C1051" s="691"/>
      <c r="D1051" s="661"/>
      <c r="E1051" s="705"/>
      <c r="F1051" s="659"/>
      <c r="G1051" s="661"/>
      <c r="H1051" s="660"/>
      <c r="I1051" s="691"/>
      <c r="J1051" s="661"/>
      <c r="K1051" s="706"/>
      <c r="L1051" s="665"/>
      <c r="M1051" s="663"/>
      <c r="N1051" s="665"/>
      <c r="O1051" s="665"/>
      <c r="P1051" s="665"/>
      <c r="Q1051" s="665"/>
      <c r="R1051" s="665"/>
      <c r="S1051" s="665"/>
      <c r="T1051" s="673"/>
      <c r="U1051" s="673"/>
      <c r="V1051" s="673"/>
      <c r="W1051" s="673"/>
      <c r="X1051" s="673"/>
      <c r="Y1051" s="673"/>
      <c r="Z1051" s="673"/>
      <c r="AA1051" s="673"/>
      <c r="AB1051" s="673"/>
      <c r="AC1051" s="673"/>
      <c r="AD1051" s="673"/>
      <c r="AE1051" s="673"/>
      <c r="AF1051" s="673"/>
      <c r="AG1051" s="673"/>
      <c r="AH1051" s="673"/>
    </row>
    <row r="1052">
      <c r="A1052" s="653"/>
      <c r="B1052" s="654"/>
      <c r="C1052" s="691"/>
      <c r="D1052" s="661"/>
      <c r="E1052" s="705"/>
      <c r="F1052" s="659"/>
      <c r="G1052" s="661"/>
      <c r="H1052" s="660"/>
      <c r="I1052" s="691"/>
      <c r="J1052" s="661"/>
      <c r="K1052" s="706"/>
      <c r="L1052" s="665"/>
      <c r="M1052" s="663"/>
      <c r="N1052" s="665"/>
      <c r="O1052" s="665"/>
      <c r="P1052" s="665"/>
      <c r="Q1052" s="665"/>
      <c r="R1052" s="665"/>
      <c r="S1052" s="665"/>
      <c r="T1052" s="673"/>
      <c r="U1052" s="673"/>
      <c r="V1052" s="673"/>
      <c r="W1052" s="673"/>
      <c r="X1052" s="673"/>
      <c r="Y1052" s="673"/>
      <c r="Z1052" s="673"/>
      <c r="AA1052" s="673"/>
      <c r="AB1052" s="673"/>
      <c r="AC1052" s="673"/>
      <c r="AD1052" s="673"/>
      <c r="AE1052" s="673"/>
      <c r="AF1052" s="673"/>
      <c r="AG1052" s="673"/>
      <c r="AH1052" s="673"/>
    </row>
    <row r="1053">
      <c r="A1053" s="653"/>
      <c r="B1053" s="654"/>
      <c r="C1053" s="691"/>
      <c r="D1053" s="661"/>
      <c r="E1053" s="705"/>
      <c r="F1053" s="659"/>
      <c r="G1053" s="661"/>
      <c r="H1053" s="660"/>
      <c r="I1053" s="691"/>
      <c r="J1053" s="661"/>
      <c r="K1053" s="706"/>
      <c r="L1053" s="665"/>
      <c r="M1053" s="663"/>
      <c r="N1053" s="665"/>
      <c r="O1053" s="665"/>
      <c r="P1053" s="665"/>
      <c r="Q1053" s="665"/>
      <c r="R1053" s="665"/>
      <c r="S1053" s="665"/>
      <c r="T1053" s="673"/>
      <c r="U1053" s="673"/>
      <c r="V1053" s="673"/>
      <c r="W1053" s="673"/>
      <c r="X1053" s="673"/>
      <c r="Y1053" s="673"/>
      <c r="Z1053" s="673"/>
      <c r="AA1053" s="673"/>
      <c r="AB1053" s="673"/>
      <c r="AC1053" s="673"/>
      <c r="AD1053" s="673"/>
      <c r="AE1053" s="673"/>
      <c r="AF1053" s="673"/>
      <c r="AG1053" s="673"/>
      <c r="AH1053" s="673"/>
    </row>
    <row r="1054">
      <c r="A1054" s="653"/>
      <c r="B1054" s="654"/>
      <c r="C1054" s="691"/>
      <c r="D1054" s="661"/>
      <c r="E1054" s="705"/>
      <c r="F1054" s="659"/>
      <c r="G1054" s="661"/>
      <c r="H1054" s="660"/>
      <c r="I1054" s="691"/>
      <c r="J1054" s="661"/>
      <c r="K1054" s="706"/>
      <c r="L1054" s="665"/>
      <c r="M1054" s="663"/>
      <c r="N1054" s="665"/>
      <c r="O1054" s="665"/>
      <c r="P1054" s="665"/>
      <c r="Q1054" s="665"/>
      <c r="R1054" s="665"/>
      <c r="S1054" s="665"/>
      <c r="T1054" s="673"/>
      <c r="U1054" s="673"/>
      <c r="V1054" s="673"/>
      <c r="W1054" s="673"/>
      <c r="X1054" s="673"/>
      <c r="Y1054" s="673"/>
      <c r="Z1054" s="673"/>
      <c r="AA1054" s="673"/>
      <c r="AB1054" s="673"/>
      <c r="AC1054" s="673"/>
      <c r="AD1054" s="673"/>
      <c r="AE1054" s="673"/>
      <c r="AF1054" s="673"/>
      <c r="AG1054" s="673"/>
      <c r="AH1054" s="673"/>
    </row>
    <row r="1055">
      <c r="A1055" s="653"/>
      <c r="B1055" s="654"/>
      <c r="C1055" s="691"/>
      <c r="D1055" s="661"/>
      <c r="E1055" s="705"/>
      <c r="F1055" s="659"/>
      <c r="G1055" s="661"/>
      <c r="H1055" s="660"/>
      <c r="I1055" s="691"/>
      <c r="J1055" s="661"/>
      <c r="K1055" s="706"/>
      <c r="L1055" s="665"/>
      <c r="M1055" s="663"/>
      <c r="N1055" s="665"/>
      <c r="O1055" s="665"/>
      <c r="P1055" s="665"/>
      <c r="Q1055" s="665"/>
      <c r="R1055" s="665"/>
      <c r="S1055" s="665"/>
      <c r="T1055" s="673"/>
      <c r="U1055" s="673"/>
      <c r="V1055" s="673"/>
      <c r="W1055" s="673"/>
      <c r="X1055" s="673"/>
      <c r="Y1055" s="673"/>
      <c r="Z1055" s="673"/>
      <c r="AA1055" s="673"/>
      <c r="AB1055" s="673"/>
      <c r="AC1055" s="673"/>
      <c r="AD1055" s="673"/>
      <c r="AE1055" s="673"/>
      <c r="AF1055" s="673"/>
      <c r="AG1055" s="673"/>
      <c r="AH1055" s="673"/>
    </row>
    <row r="1056">
      <c r="A1056" s="653"/>
      <c r="B1056" s="654"/>
      <c r="C1056" s="691"/>
      <c r="D1056" s="661"/>
      <c r="E1056" s="705"/>
      <c r="F1056" s="659"/>
      <c r="G1056" s="661"/>
      <c r="H1056" s="660"/>
      <c r="I1056" s="691"/>
      <c r="J1056" s="661"/>
      <c r="K1056" s="706"/>
      <c r="L1056" s="665"/>
      <c r="M1056" s="663"/>
      <c r="N1056" s="665"/>
      <c r="O1056" s="665"/>
      <c r="P1056" s="665"/>
      <c r="Q1056" s="665"/>
      <c r="R1056" s="665"/>
      <c r="S1056" s="665"/>
      <c r="T1056" s="673"/>
      <c r="U1056" s="673"/>
      <c r="V1056" s="673"/>
      <c r="W1056" s="673"/>
      <c r="X1056" s="673"/>
      <c r="Y1056" s="673"/>
      <c r="Z1056" s="673"/>
      <c r="AA1056" s="673"/>
      <c r="AB1056" s="673"/>
      <c r="AC1056" s="673"/>
      <c r="AD1056" s="673"/>
      <c r="AE1056" s="673"/>
      <c r="AF1056" s="673"/>
      <c r="AG1056" s="673"/>
      <c r="AH1056" s="673"/>
    </row>
    <row r="1057">
      <c r="A1057" s="653"/>
      <c r="B1057" s="654"/>
      <c r="C1057" s="691"/>
      <c r="D1057" s="661"/>
      <c r="E1057" s="705"/>
      <c r="F1057" s="659"/>
      <c r="G1057" s="661"/>
      <c r="H1057" s="660"/>
      <c r="I1057" s="691"/>
      <c r="J1057" s="661"/>
      <c r="K1057" s="706"/>
      <c r="L1057" s="665"/>
      <c r="M1057" s="663"/>
      <c r="N1057" s="665"/>
      <c r="O1057" s="665"/>
      <c r="P1057" s="665"/>
      <c r="Q1057" s="665"/>
      <c r="R1057" s="665"/>
      <c r="S1057" s="665"/>
      <c r="T1057" s="673"/>
      <c r="U1057" s="673"/>
      <c r="V1057" s="673"/>
      <c r="W1057" s="673"/>
      <c r="X1057" s="673"/>
      <c r="Y1057" s="673"/>
      <c r="Z1057" s="673"/>
      <c r="AA1057" s="673"/>
      <c r="AB1057" s="673"/>
      <c r="AC1057" s="673"/>
      <c r="AD1057" s="673"/>
      <c r="AE1057" s="673"/>
      <c r="AF1057" s="673"/>
      <c r="AG1057" s="673"/>
      <c r="AH1057" s="673"/>
    </row>
    <row r="1058">
      <c r="A1058" s="653"/>
      <c r="B1058" s="654"/>
      <c r="C1058" s="691"/>
      <c r="D1058" s="661"/>
      <c r="E1058" s="705"/>
      <c r="F1058" s="659"/>
      <c r="G1058" s="661"/>
      <c r="H1058" s="660"/>
      <c r="I1058" s="691"/>
      <c r="J1058" s="661"/>
      <c r="K1058" s="706"/>
      <c r="L1058" s="665"/>
      <c r="M1058" s="663"/>
      <c r="N1058" s="665"/>
      <c r="O1058" s="665"/>
      <c r="P1058" s="665"/>
      <c r="Q1058" s="665"/>
      <c r="R1058" s="665"/>
      <c r="S1058" s="665"/>
      <c r="T1058" s="673"/>
      <c r="U1058" s="673"/>
      <c r="V1058" s="673"/>
      <c r="W1058" s="673"/>
      <c r="X1058" s="673"/>
      <c r="Y1058" s="673"/>
      <c r="Z1058" s="673"/>
      <c r="AA1058" s="673"/>
      <c r="AB1058" s="673"/>
      <c r="AC1058" s="673"/>
      <c r="AD1058" s="673"/>
      <c r="AE1058" s="673"/>
      <c r="AF1058" s="673"/>
      <c r="AG1058" s="673"/>
      <c r="AH1058" s="673"/>
    </row>
    <row r="1059">
      <c r="A1059" s="653"/>
      <c r="B1059" s="654"/>
      <c r="C1059" s="691"/>
      <c r="D1059" s="661"/>
      <c r="E1059" s="705"/>
      <c r="F1059" s="659"/>
      <c r="G1059" s="661"/>
      <c r="H1059" s="660"/>
      <c r="I1059" s="691"/>
      <c r="J1059" s="661"/>
      <c r="K1059" s="706"/>
      <c r="L1059" s="665"/>
      <c r="M1059" s="663"/>
      <c r="N1059" s="665"/>
      <c r="O1059" s="665"/>
      <c r="P1059" s="665"/>
      <c r="Q1059" s="665"/>
      <c r="R1059" s="665"/>
      <c r="S1059" s="665"/>
      <c r="T1059" s="673"/>
      <c r="U1059" s="673"/>
      <c r="V1059" s="673"/>
      <c r="W1059" s="673"/>
      <c r="X1059" s="673"/>
      <c r="Y1059" s="673"/>
      <c r="Z1059" s="673"/>
      <c r="AA1059" s="673"/>
      <c r="AB1059" s="673"/>
      <c r="AC1059" s="673"/>
      <c r="AD1059" s="673"/>
      <c r="AE1059" s="673"/>
      <c r="AF1059" s="673"/>
      <c r="AG1059" s="673"/>
      <c r="AH1059" s="673"/>
    </row>
    <row r="1060">
      <c r="A1060" s="653"/>
      <c r="B1060" s="654"/>
      <c r="C1060" s="691"/>
      <c r="D1060" s="661"/>
      <c r="E1060" s="705"/>
      <c r="F1060" s="659"/>
      <c r="G1060" s="661"/>
      <c r="H1060" s="660"/>
      <c r="I1060" s="691"/>
      <c r="J1060" s="661"/>
      <c r="K1060" s="706"/>
      <c r="L1060" s="665"/>
      <c r="M1060" s="663"/>
      <c r="N1060" s="665"/>
      <c r="O1060" s="665"/>
      <c r="P1060" s="665"/>
      <c r="Q1060" s="665"/>
      <c r="R1060" s="665"/>
      <c r="S1060" s="665"/>
      <c r="T1060" s="673"/>
      <c r="U1060" s="673"/>
      <c r="V1060" s="673"/>
      <c r="W1060" s="673"/>
      <c r="X1060" s="673"/>
      <c r="Y1060" s="673"/>
      <c r="Z1060" s="673"/>
      <c r="AA1060" s="673"/>
      <c r="AB1060" s="673"/>
      <c r="AC1060" s="673"/>
      <c r="AD1060" s="673"/>
      <c r="AE1060" s="673"/>
      <c r="AF1060" s="673"/>
      <c r="AG1060" s="673"/>
      <c r="AH1060" s="673"/>
    </row>
    <row r="1061">
      <c r="A1061" s="653"/>
      <c r="B1061" s="654"/>
      <c r="C1061" s="691"/>
      <c r="D1061" s="661"/>
      <c r="E1061" s="705"/>
      <c r="F1061" s="659"/>
      <c r="G1061" s="661"/>
      <c r="H1061" s="660"/>
      <c r="I1061" s="691"/>
      <c r="J1061" s="661"/>
      <c r="K1061" s="706"/>
      <c r="L1061" s="665"/>
      <c r="M1061" s="663"/>
      <c r="N1061" s="665"/>
      <c r="O1061" s="665"/>
      <c r="P1061" s="665"/>
      <c r="Q1061" s="665"/>
      <c r="R1061" s="665"/>
      <c r="S1061" s="665"/>
      <c r="T1061" s="673"/>
      <c r="U1061" s="673"/>
      <c r="V1061" s="673"/>
      <c r="W1061" s="673"/>
      <c r="X1061" s="673"/>
      <c r="Y1061" s="673"/>
      <c r="Z1061" s="673"/>
      <c r="AA1061" s="673"/>
      <c r="AB1061" s="673"/>
      <c r="AC1061" s="673"/>
      <c r="AD1061" s="673"/>
      <c r="AE1061" s="673"/>
      <c r="AF1061" s="673"/>
      <c r="AG1061" s="673"/>
      <c r="AH1061" s="673"/>
    </row>
    <row r="1062">
      <c r="A1062" s="653"/>
      <c r="B1062" s="654"/>
      <c r="C1062" s="691"/>
      <c r="D1062" s="661"/>
      <c r="E1062" s="705"/>
      <c r="F1062" s="659"/>
      <c r="G1062" s="661"/>
      <c r="H1062" s="660"/>
      <c r="I1062" s="691"/>
      <c r="J1062" s="661"/>
      <c r="K1062" s="706"/>
      <c r="L1062" s="665"/>
      <c r="M1062" s="663"/>
      <c r="N1062" s="665"/>
      <c r="O1062" s="665"/>
      <c r="P1062" s="665"/>
      <c r="Q1062" s="665"/>
      <c r="R1062" s="665"/>
      <c r="S1062" s="665"/>
      <c r="T1062" s="673"/>
      <c r="U1062" s="673"/>
      <c r="V1062" s="673"/>
      <c r="W1062" s="673"/>
      <c r="X1062" s="673"/>
      <c r="Y1062" s="673"/>
      <c r="Z1062" s="673"/>
      <c r="AA1062" s="673"/>
      <c r="AB1062" s="673"/>
      <c r="AC1062" s="673"/>
      <c r="AD1062" s="673"/>
      <c r="AE1062" s="673"/>
      <c r="AF1062" s="673"/>
      <c r="AG1062" s="673"/>
      <c r="AH1062" s="673"/>
    </row>
    <row r="1063">
      <c r="A1063" s="653"/>
      <c r="B1063" s="654"/>
      <c r="C1063" s="691"/>
      <c r="D1063" s="661"/>
      <c r="E1063" s="705"/>
      <c r="F1063" s="659"/>
      <c r="G1063" s="661"/>
      <c r="H1063" s="660"/>
      <c r="I1063" s="691"/>
      <c r="J1063" s="661"/>
      <c r="K1063" s="706"/>
      <c r="L1063" s="665"/>
      <c r="M1063" s="663"/>
      <c r="N1063" s="665"/>
      <c r="O1063" s="665"/>
      <c r="P1063" s="665"/>
      <c r="Q1063" s="665"/>
      <c r="R1063" s="665"/>
      <c r="S1063" s="665"/>
      <c r="T1063" s="673"/>
      <c r="U1063" s="673"/>
      <c r="V1063" s="673"/>
      <c r="W1063" s="673"/>
      <c r="X1063" s="673"/>
      <c r="Y1063" s="673"/>
      <c r="Z1063" s="673"/>
      <c r="AA1063" s="673"/>
      <c r="AB1063" s="673"/>
      <c r="AC1063" s="673"/>
      <c r="AD1063" s="673"/>
      <c r="AE1063" s="673"/>
      <c r="AF1063" s="673"/>
      <c r="AG1063" s="673"/>
      <c r="AH1063" s="673"/>
    </row>
    <row r="1064">
      <c r="A1064" s="653"/>
      <c r="B1064" s="654"/>
      <c r="C1064" s="691"/>
      <c r="D1064" s="661"/>
      <c r="E1064" s="705"/>
      <c r="F1064" s="659"/>
      <c r="G1064" s="661"/>
      <c r="H1064" s="660"/>
      <c r="I1064" s="691"/>
      <c r="J1064" s="661"/>
      <c r="K1064" s="706"/>
      <c r="L1064" s="665"/>
      <c r="M1064" s="663"/>
      <c r="N1064" s="665"/>
      <c r="O1064" s="665"/>
      <c r="P1064" s="665"/>
      <c r="Q1064" s="665"/>
      <c r="R1064" s="665"/>
      <c r="S1064" s="665"/>
      <c r="T1064" s="673"/>
      <c r="U1064" s="673"/>
      <c r="V1064" s="673"/>
      <c r="W1064" s="673"/>
      <c r="X1064" s="673"/>
      <c r="Y1064" s="673"/>
      <c r="Z1064" s="673"/>
      <c r="AA1064" s="673"/>
      <c r="AB1064" s="673"/>
      <c r="AC1064" s="673"/>
      <c r="AD1064" s="673"/>
      <c r="AE1064" s="673"/>
      <c r="AF1064" s="673"/>
      <c r="AG1064" s="673"/>
      <c r="AH1064" s="673"/>
    </row>
    <row r="1065">
      <c r="A1065" s="653"/>
      <c r="B1065" s="654"/>
      <c r="C1065" s="691"/>
      <c r="D1065" s="661"/>
      <c r="E1065" s="705"/>
      <c r="F1065" s="659"/>
      <c r="G1065" s="661"/>
      <c r="H1065" s="660"/>
      <c r="I1065" s="691"/>
      <c r="J1065" s="661"/>
      <c r="K1065" s="706"/>
      <c r="L1065" s="665"/>
      <c r="M1065" s="663"/>
      <c r="N1065" s="665"/>
      <c r="O1065" s="665"/>
      <c r="P1065" s="665"/>
      <c r="Q1065" s="665"/>
      <c r="R1065" s="665"/>
      <c r="S1065" s="665"/>
      <c r="T1065" s="673"/>
      <c r="U1065" s="673"/>
      <c r="V1065" s="673"/>
      <c r="W1065" s="673"/>
      <c r="X1065" s="673"/>
      <c r="Y1065" s="673"/>
      <c r="Z1065" s="673"/>
      <c r="AA1065" s="673"/>
      <c r="AB1065" s="673"/>
      <c r="AC1065" s="673"/>
      <c r="AD1065" s="673"/>
      <c r="AE1065" s="673"/>
      <c r="AF1065" s="673"/>
      <c r="AG1065" s="673"/>
      <c r="AH1065" s="673"/>
    </row>
    <row r="1066">
      <c r="A1066" s="653"/>
      <c r="B1066" s="654"/>
      <c r="C1066" s="691"/>
      <c r="D1066" s="661"/>
      <c r="E1066" s="705"/>
      <c r="F1066" s="659"/>
      <c r="G1066" s="661"/>
      <c r="H1066" s="660"/>
      <c r="I1066" s="691"/>
      <c r="J1066" s="661"/>
      <c r="K1066" s="706"/>
      <c r="L1066" s="665"/>
      <c r="M1066" s="663"/>
      <c r="N1066" s="665"/>
      <c r="O1066" s="665"/>
      <c r="P1066" s="665"/>
      <c r="Q1066" s="665"/>
      <c r="R1066" s="665"/>
      <c r="S1066" s="665"/>
      <c r="T1066" s="673"/>
      <c r="U1066" s="673"/>
      <c r="V1066" s="673"/>
      <c r="W1066" s="673"/>
      <c r="X1066" s="673"/>
      <c r="Y1066" s="673"/>
      <c r="Z1066" s="673"/>
      <c r="AA1066" s="673"/>
      <c r="AB1066" s="673"/>
      <c r="AC1066" s="673"/>
      <c r="AD1066" s="673"/>
      <c r="AE1066" s="673"/>
      <c r="AF1066" s="673"/>
      <c r="AG1066" s="673"/>
      <c r="AH1066" s="673"/>
    </row>
    <row r="1067">
      <c r="A1067" s="653"/>
      <c r="B1067" s="654"/>
      <c r="C1067" s="691"/>
      <c r="D1067" s="661"/>
      <c r="E1067" s="705"/>
      <c r="F1067" s="659"/>
      <c r="G1067" s="661"/>
      <c r="H1067" s="660"/>
      <c r="I1067" s="691"/>
      <c r="J1067" s="661"/>
      <c r="K1067" s="706"/>
      <c r="L1067" s="665"/>
      <c r="M1067" s="663"/>
      <c r="N1067" s="665"/>
      <c r="O1067" s="665"/>
      <c r="P1067" s="665"/>
      <c r="Q1067" s="665"/>
      <c r="R1067" s="665"/>
      <c r="S1067" s="665"/>
      <c r="T1067" s="673"/>
      <c r="U1067" s="673"/>
      <c r="V1067" s="673"/>
      <c r="W1067" s="673"/>
      <c r="X1067" s="673"/>
      <c r="Y1067" s="673"/>
      <c r="Z1067" s="673"/>
      <c r="AA1067" s="673"/>
      <c r="AB1067" s="673"/>
      <c r="AC1067" s="673"/>
      <c r="AD1067" s="673"/>
      <c r="AE1067" s="673"/>
      <c r="AF1067" s="673"/>
      <c r="AG1067" s="673"/>
      <c r="AH1067" s="673"/>
    </row>
    <row r="1068">
      <c r="A1068" s="653"/>
      <c r="B1068" s="654"/>
      <c r="C1068" s="691"/>
      <c r="D1068" s="661"/>
      <c r="E1068" s="705"/>
      <c r="F1068" s="659"/>
      <c r="G1068" s="661"/>
      <c r="H1068" s="660"/>
      <c r="I1068" s="691"/>
      <c r="J1068" s="661"/>
      <c r="K1068" s="706"/>
      <c r="L1068" s="665"/>
      <c r="M1068" s="663"/>
      <c r="N1068" s="665"/>
      <c r="O1068" s="665"/>
      <c r="P1068" s="665"/>
      <c r="Q1068" s="665"/>
      <c r="R1068" s="665"/>
      <c r="S1068" s="665"/>
      <c r="T1068" s="673"/>
      <c r="U1068" s="673"/>
      <c r="V1068" s="673"/>
      <c r="W1068" s="673"/>
      <c r="X1068" s="673"/>
      <c r="Y1068" s="673"/>
      <c r="Z1068" s="673"/>
      <c r="AA1068" s="673"/>
      <c r="AB1068" s="673"/>
      <c r="AC1068" s="673"/>
      <c r="AD1068" s="673"/>
      <c r="AE1068" s="673"/>
      <c r="AF1068" s="673"/>
      <c r="AG1068" s="673"/>
      <c r="AH1068" s="673"/>
    </row>
    <row r="1069">
      <c r="A1069" s="653"/>
      <c r="B1069" s="654"/>
      <c r="C1069" s="691"/>
      <c r="D1069" s="661"/>
      <c r="E1069" s="705"/>
      <c r="F1069" s="659"/>
      <c r="G1069" s="661"/>
      <c r="H1069" s="660"/>
      <c r="I1069" s="691"/>
      <c r="J1069" s="661"/>
      <c r="K1069" s="706"/>
      <c r="L1069" s="665"/>
      <c r="M1069" s="663"/>
      <c r="N1069" s="665"/>
      <c r="O1069" s="665"/>
      <c r="P1069" s="665"/>
      <c r="Q1069" s="665"/>
      <c r="R1069" s="665"/>
      <c r="S1069" s="665"/>
      <c r="T1069" s="673"/>
      <c r="U1069" s="673"/>
      <c r="V1069" s="673"/>
      <c r="W1069" s="673"/>
      <c r="X1069" s="673"/>
      <c r="Y1069" s="673"/>
      <c r="Z1069" s="673"/>
      <c r="AA1069" s="673"/>
      <c r="AB1069" s="673"/>
      <c r="AC1069" s="673"/>
      <c r="AD1069" s="673"/>
      <c r="AE1069" s="673"/>
      <c r="AF1069" s="673"/>
      <c r="AG1069" s="673"/>
      <c r="AH1069" s="673"/>
    </row>
    <row r="1070">
      <c r="A1070" s="653"/>
      <c r="B1070" s="654"/>
      <c r="C1070" s="691"/>
      <c r="D1070" s="661"/>
      <c r="E1070" s="705"/>
      <c r="F1070" s="659"/>
      <c r="G1070" s="661"/>
      <c r="H1070" s="660"/>
      <c r="I1070" s="691"/>
      <c r="J1070" s="661"/>
      <c r="K1070" s="706"/>
      <c r="L1070" s="665"/>
      <c r="M1070" s="663"/>
      <c r="N1070" s="665"/>
      <c r="O1070" s="665"/>
      <c r="P1070" s="665"/>
      <c r="Q1070" s="665"/>
      <c r="R1070" s="665"/>
      <c r="S1070" s="665"/>
      <c r="T1070" s="673"/>
      <c r="U1070" s="673"/>
      <c r="V1070" s="673"/>
      <c r="W1070" s="673"/>
      <c r="X1070" s="673"/>
      <c r="Y1070" s="673"/>
      <c r="Z1070" s="673"/>
      <c r="AA1070" s="673"/>
      <c r="AB1070" s="673"/>
      <c r="AC1070" s="673"/>
      <c r="AD1070" s="673"/>
      <c r="AE1070" s="673"/>
      <c r="AF1070" s="673"/>
      <c r="AG1070" s="673"/>
      <c r="AH1070" s="673"/>
    </row>
    <row r="1071">
      <c r="A1071" s="653"/>
      <c r="B1071" s="654"/>
      <c r="C1071" s="691"/>
      <c r="D1071" s="661"/>
      <c r="E1071" s="705"/>
      <c r="F1071" s="659"/>
      <c r="G1071" s="661"/>
      <c r="H1071" s="660"/>
      <c r="I1071" s="691"/>
      <c r="J1071" s="661"/>
      <c r="K1071" s="706"/>
      <c r="L1071" s="665"/>
      <c r="M1071" s="663"/>
      <c r="N1071" s="665"/>
      <c r="O1071" s="665"/>
      <c r="P1071" s="665"/>
      <c r="Q1071" s="665"/>
      <c r="R1071" s="665"/>
      <c r="S1071" s="665"/>
      <c r="T1071" s="673"/>
      <c r="U1071" s="673"/>
      <c r="V1071" s="673"/>
      <c r="W1071" s="673"/>
      <c r="X1071" s="673"/>
      <c r="Y1071" s="673"/>
      <c r="Z1071" s="673"/>
      <c r="AA1071" s="673"/>
      <c r="AB1071" s="673"/>
      <c r="AC1071" s="673"/>
      <c r="AD1071" s="673"/>
      <c r="AE1071" s="673"/>
      <c r="AF1071" s="673"/>
      <c r="AG1071" s="673"/>
      <c r="AH1071" s="673"/>
    </row>
    <row r="1072">
      <c r="A1072" s="653"/>
      <c r="B1072" s="654"/>
      <c r="C1072" s="691"/>
      <c r="D1072" s="661"/>
      <c r="E1072" s="705"/>
      <c r="F1072" s="659"/>
      <c r="G1072" s="661"/>
      <c r="H1072" s="660"/>
      <c r="I1072" s="691"/>
      <c r="J1072" s="661"/>
      <c r="K1072" s="706"/>
      <c r="L1072" s="665"/>
      <c r="M1072" s="663"/>
      <c r="N1072" s="665"/>
      <c r="O1072" s="665"/>
      <c r="P1072" s="665"/>
      <c r="Q1072" s="665"/>
      <c r="R1072" s="665"/>
      <c r="S1072" s="665"/>
      <c r="T1072" s="673"/>
      <c r="U1072" s="673"/>
      <c r="V1072" s="673"/>
      <c r="W1072" s="673"/>
      <c r="X1072" s="673"/>
      <c r="Y1072" s="673"/>
      <c r="Z1072" s="673"/>
      <c r="AA1072" s="673"/>
      <c r="AB1072" s="673"/>
      <c r="AC1072" s="673"/>
      <c r="AD1072" s="673"/>
      <c r="AE1072" s="673"/>
      <c r="AF1072" s="673"/>
      <c r="AG1072" s="673"/>
      <c r="AH1072" s="673"/>
    </row>
    <row r="1073">
      <c r="A1073" s="653"/>
      <c r="B1073" s="654"/>
      <c r="C1073" s="691"/>
      <c r="D1073" s="661"/>
      <c r="E1073" s="705"/>
      <c r="F1073" s="659"/>
      <c r="G1073" s="661"/>
      <c r="H1073" s="660"/>
      <c r="I1073" s="691"/>
      <c r="J1073" s="661"/>
      <c r="K1073" s="706"/>
      <c r="L1073" s="665"/>
      <c r="M1073" s="663"/>
      <c r="N1073" s="665"/>
      <c r="O1073" s="665"/>
      <c r="P1073" s="665"/>
      <c r="Q1073" s="665"/>
      <c r="R1073" s="665"/>
      <c r="S1073" s="665"/>
      <c r="T1073" s="673"/>
      <c r="U1073" s="673"/>
      <c r="V1073" s="673"/>
      <c r="W1073" s="673"/>
      <c r="X1073" s="673"/>
      <c r="Y1073" s="673"/>
      <c r="Z1073" s="673"/>
      <c r="AA1073" s="673"/>
      <c r="AB1073" s="673"/>
      <c r="AC1073" s="673"/>
      <c r="AD1073" s="673"/>
      <c r="AE1073" s="673"/>
      <c r="AF1073" s="673"/>
      <c r="AG1073" s="673"/>
      <c r="AH1073" s="673"/>
    </row>
    <row r="1074">
      <c r="A1074" s="653"/>
      <c r="B1074" s="654"/>
      <c r="C1074" s="691"/>
      <c r="D1074" s="661"/>
      <c r="E1074" s="705"/>
      <c r="F1074" s="659"/>
      <c r="G1074" s="661"/>
      <c r="H1074" s="660"/>
      <c r="I1074" s="691"/>
      <c r="J1074" s="661"/>
      <c r="K1074" s="706"/>
      <c r="L1074" s="665"/>
      <c r="M1074" s="663"/>
      <c r="N1074" s="665"/>
      <c r="O1074" s="665"/>
      <c r="P1074" s="665"/>
      <c r="Q1074" s="665"/>
      <c r="R1074" s="665"/>
      <c r="S1074" s="665"/>
      <c r="T1074" s="673"/>
      <c r="U1074" s="673"/>
      <c r="V1074" s="673"/>
      <c r="W1074" s="673"/>
      <c r="X1074" s="673"/>
      <c r="Y1074" s="673"/>
      <c r="Z1074" s="673"/>
      <c r="AA1074" s="673"/>
      <c r="AB1074" s="673"/>
      <c r="AC1074" s="673"/>
      <c r="AD1074" s="673"/>
      <c r="AE1074" s="673"/>
      <c r="AF1074" s="673"/>
      <c r="AG1074" s="673"/>
      <c r="AH1074" s="673"/>
    </row>
    <row r="1075">
      <c r="A1075" s="653"/>
      <c r="B1075" s="654"/>
      <c r="C1075" s="691"/>
      <c r="D1075" s="661"/>
      <c r="E1075" s="705"/>
      <c r="F1075" s="659"/>
      <c r="G1075" s="661"/>
      <c r="H1075" s="660"/>
      <c r="I1075" s="691"/>
      <c r="J1075" s="661"/>
      <c r="K1075" s="706"/>
      <c r="L1075" s="665"/>
      <c r="M1075" s="663"/>
      <c r="N1075" s="665"/>
      <c r="O1075" s="665"/>
      <c r="P1075" s="665"/>
      <c r="Q1075" s="665"/>
      <c r="R1075" s="665"/>
      <c r="S1075" s="665"/>
      <c r="T1075" s="673"/>
      <c r="U1075" s="673"/>
      <c r="V1075" s="673"/>
      <c r="W1075" s="673"/>
      <c r="X1075" s="673"/>
      <c r="Y1075" s="673"/>
      <c r="Z1075" s="673"/>
      <c r="AA1075" s="673"/>
      <c r="AB1075" s="673"/>
      <c r="AC1075" s="673"/>
      <c r="AD1075" s="673"/>
      <c r="AE1075" s="673"/>
      <c r="AF1075" s="673"/>
      <c r="AG1075" s="673"/>
      <c r="AH1075" s="673"/>
    </row>
    <row r="1076">
      <c r="A1076" s="653"/>
      <c r="B1076" s="654"/>
      <c r="C1076" s="691"/>
      <c r="D1076" s="661"/>
      <c r="E1076" s="705"/>
      <c r="F1076" s="659"/>
      <c r="G1076" s="661"/>
      <c r="H1076" s="660"/>
      <c r="I1076" s="691"/>
      <c r="J1076" s="661"/>
      <c r="K1076" s="706"/>
      <c r="L1076" s="665"/>
      <c r="M1076" s="663"/>
      <c r="N1076" s="665"/>
      <c r="O1076" s="665"/>
      <c r="P1076" s="665"/>
      <c r="Q1076" s="665"/>
      <c r="R1076" s="665"/>
      <c r="S1076" s="665"/>
      <c r="T1076" s="673"/>
      <c r="U1076" s="673"/>
      <c r="V1076" s="673"/>
      <c r="W1076" s="673"/>
      <c r="X1076" s="673"/>
      <c r="Y1076" s="673"/>
      <c r="Z1076" s="673"/>
      <c r="AA1076" s="673"/>
      <c r="AB1076" s="673"/>
      <c r="AC1076" s="673"/>
      <c r="AD1076" s="673"/>
      <c r="AE1076" s="673"/>
      <c r="AF1076" s="673"/>
      <c r="AG1076" s="673"/>
      <c r="AH1076" s="673"/>
    </row>
    <row r="1077">
      <c r="A1077" s="653"/>
      <c r="B1077" s="654"/>
      <c r="C1077" s="691"/>
      <c r="D1077" s="661"/>
      <c r="E1077" s="705"/>
      <c r="F1077" s="659"/>
      <c r="G1077" s="661"/>
      <c r="H1077" s="660"/>
      <c r="I1077" s="691"/>
      <c r="J1077" s="661"/>
      <c r="K1077" s="706"/>
      <c r="L1077" s="665"/>
      <c r="M1077" s="663"/>
      <c r="N1077" s="665"/>
      <c r="O1077" s="665"/>
      <c r="P1077" s="665"/>
      <c r="Q1077" s="665"/>
      <c r="R1077" s="665"/>
      <c r="S1077" s="665"/>
      <c r="T1077" s="673"/>
      <c r="U1077" s="673"/>
      <c r="V1077" s="673"/>
      <c r="W1077" s="673"/>
      <c r="X1077" s="673"/>
      <c r="Y1077" s="673"/>
      <c r="Z1077" s="673"/>
      <c r="AA1077" s="673"/>
      <c r="AB1077" s="673"/>
      <c r="AC1077" s="673"/>
      <c r="AD1077" s="673"/>
      <c r="AE1077" s="673"/>
      <c r="AF1077" s="673"/>
      <c r="AG1077" s="673"/>
      <c r="AH1077" s="673"/>
    </row>
    <row r="1078">
      <c r="A1078" s="653"/>
      <c r="B1078" s="654"/>
      <c r="C1078" s="691"/>
      <c r="D1078" s="661"/>
      <c r="E1078" s="705"/>
      <c r="F1078" s="659"/>
      <c r="G1078" s="661"/>
      <c r="H1078" s="660"/>
      <c r="I1078" s="691"/>
      <c r="J1078" s="661"/>
      <c r="K1078" s="706"/>
      <c r="L1078" s="665"/>
      <c r="M1078" s="663"/>
      <c r="N1078" s="665"/>
      <c r="O1078" s="665"/>
      <c r="P1078" s="665"/>
      <c r="Q1078" s="665"/>
      <c r="R1078" s="665"/>
      <c r="S1078" s="665"/>
      <c r="T1078" s="673"/>
      <c r="U1078" s="673"/>
      <c r="V1078" s="673"/>
      <c r="W1078" s="673"/>
      <c r="X1078" s="673"/>
      <c r="Y1078" s="673"/>
      <c r="Z1078" s="673"/>
      <c r="AA1078" s="673"/>
      <c r="AB1078" s="673"/>
      <c r="AC1078" s="673"/>
      <c r="AD1078" s="673"/>
      <c r="AE1078" s="673"/>
      <c r="AF1078" s="673"/>
      <c r="AG1078" s="673"/>
      <c r="AH1078" s="673"/>
    </row>
    <row r="1079">
      <c r="A1079" s="653"/>
      <c r="B1079" s="654"/>
      <c r="C1079" s="691"/>
      <c r="D1079" s="661"/>
      <c r="E1079" s="705"/>
      <c r="F1079" s="659"/>
      <c r="G1079" s="661"/>
      <c r="H1079" s="660"/>
      <c r="I1079" s="691"/>
      <c r="J1079" s="661"/>
      <c r="K1079" s="706"/>
      <c r="L1079" s="665"/>
      <c r="M1079" s="663"/>
      <c r="N1079" s="665"/>
      <c r="O1079" s="665"/>
      <c r="P1079" s="665"/>
      <c r="Q1079" s="665"/>
      <c r="R1079" s="665"/>
      <c r="S1079" s="665"/>
      <c r="T1079" s="673"/>
      <c r="U1079" s="673"/>
      <c r="V1079" s="673"/>
      <c r="W1079" s="673"/>
      <c r="X1079" s="673"/>
      <c r="Y1079" s="673"/>
      <c r="Z1079" s="673"/>
      <c r="AA1079" s="673"/>
      <c r="AB1079" s="673"/>
      <c r="AC1079" s="673"/>
      <c r="AD1079" s="673"/>
      <c r="AE1079" s="673"/>
      <c r="AF1079" s="673"/>
      <c r="AG1079" s="673"/>
      <c r="AH1079" s="673"/>
    </row>
    <row r="1080">
      <c r="A1080" s="653"/>
      <c r="B1080" s="654"/>
      <c r="C1080" s="691"/>
      <c r="D1080" s="661"/>
      <c r="E1080" s="705"/>
      <c r="F1080" s="659"/>
      <c r="G1080" s="661"/>
      <c r="H1080" s="660"/>
      <c r="I1080" s="691"/>
      <c r="J1080" s="661"/>
      <c r="K1080" s="706"/>
      <c r="L1080" s="665"/>
      <c r="M1080" s="663"/>
      <c r="N1080" s="665"/>
      <c r="O1080" s="665"/>
      <c r="P1080" s="665"/>
      <c r="Q1080" s="665"/>
      <c r="R1080" s="665"/>
      <c r="S1080" s="665"/>
      <c r="T1080" s="673"/>
      <c r="U1080" s="673"/>
      <c r="V1080" s="673"/>
      <c r="W1080" s="673"/>
      <c r="X1080" s="673"/>
      <c r="Y1080" s="673"/>
      <c r="Z1080" s="673"/>
      <c r="AA1080" s="673"/>
      <c r="AB1080" s="673"/>
      <c r="AC1080" s="673"/>
      <c r="AD1080" s="673"/>
      <c r="AE1080" s="673"/>
      <c r="AF1080" s="673"/>
      <c r="AG1080" s="673"/>
      <c r="AH1080" s="673"/>
    </row>
    <row r="1081">
      <c r="A1081" s="653"/>
      <c r="B1081" s="654"/>
      <c r="C1081" s="691"/>
      <c r="D1081" s="661"/>
      <c r="E1081" s="705"/>
      <c r="F1081" s="659"/>
      <c r="G1081" s="661"/>
      <c r="H1081" s="660"/>
      <c r="I1081" s="691"/>
      <c r="J1081" s="661"/>
      <c r="K1081" s="706"/>
      <c r="L1081" s="665"/>
      <c r="M1081" s="663"/>
      <c r="N1081" s="665"/>
      <c r="O1081" s="665"/>
      <c r="P1081" s="665"/>
      <c r="Q1081" s="665"/>
      <c r="R1081" s="665"/>
      <c r="S1081" s="665"/>
      <c r="T1081" s="673"/>
      <c r="U1081" s="673"/>
      <c r="V1081" s="673"/>
      <c r="W1081" s="673"/>
      <c r="X1081" s="673"/>
      <c r="Y1081" s="673"/>
      <c r="Z1081" s="673"/>
      <c r="AA1081" s="673"/>
      <c r="AB1081" s="673"/>
      <c r="AC1081" s="673"/>
      <c r="AD1081" s="673"/>
      <c r="AE1081" s="673"/>
      <c r="AF1081" s="673"/>
      <c r="AG1081" s="673"/>
      <c r="AH1081" s="673"/>
    </row>
    <row r="1082">
      <c r="A1082" s="653"/>
      <c r="B1082" s="654"/>
      <c r="C1082" s="691"/>
      <c r="D1082" s="661"/>
      <c r="E1082" s="705"/>
      <c r="F1082" s="659"/>
      <c r="G1082" s="661"/>
      <c r="H1082" s="660"/>
      <c r="I1082" s="691"/>
      <c r="J1082" s="661"/>
      <c r="K1082" s="706"/>
      <c r="L1082" s="665"/>
      <c r="M1082" s="663"/>
      <c r="N1082" s="665"/>
      <c r="O1082" s="665"/>
      <c r="P1082" s="665"/>
      <c r="Q1082" s="665"/>
      <c r="R1082" s="665"/>
      <c r="S1082" s="665"/>
      <c r="T1082" s="673"/>
      <c r="U1082" s="673"/>
      <c r="V1082" s="673"/>
      <c r="W1082" s="673"/>
      <c r="X1082" s="673"/>
      <c r="Y1082" s="673"/>
      <c r="Z1082" s="673"/>
      <c r="AA1082" s="673"/>
      <c r="AB1082" s="673"/>
      <c r="AC1082" s="673"/>
      <c r="AD1082" s="673"/>
      <c r="AE1082" s="673"/>
      <c r="AF1082" s="673"/>
      <c r="AG1082" s="673"/>
      <c r="AH1082" s="673"/>
    </row>
    <row r="1083">
      <c r="A1083" s="653"/>
      <c r="B1083" s="654"/>
      <c r="C1083" s="691"/>
      <c r="D1083" s="661"/>
      <c r="E1083" s="705"/>
      <c r="F1083" s="659"/>
      <c r="G1083" s="661"/>
      <c r="H1083" s="660"/>
      <c r="I1083" s="691"/>
      <c r="J1083" s="661"/>
      <c r="K1083" s="706"/>
      <c r="L1083" s="665"/>
      <c r="M1083" s="663"/>
      <c r="N1083" s="665"/>
      <c r="O1083" s="665"/>
      <c r="P1083" s="665"/>
      <c r="Q1083" s="665"/>
      <c r="R1083" s="665"/>
      <c r="S1083" s="665"/>
      <c r="T1083" s="673"/>
      <c r="U1083" s="673"/>
      <c r="V1083" s="673"/>
      <c r="W1083" s="673"/>
      <c r="X1083" s="673"/>
      <c r="Y1083" s="673"/>
      <c r="Z1083" s="673"/>
      <c r="AA1083" s="673"/>
      <c r="AB1083" s="673"/>
      <c r="AC1083" s="673"/>
      <c r="AD1083" s="673"/>
      <c r="AE1083" s="673"/>
      <c r="AF1083" s="673"/>
      <c r="AG1083" s="673"/>
      <c r="AH1083" s="673"/>
    </row>
    <row r="1084">
      <c r="A1084" s="653"/>
      <c r="B1084" s="654"/>
      <c r="C1084" s="691"/>
      <c r="D1084" s="661"/>
      <c r="E1084" s="705"/>
      <c r="F1084" s="659"/>
      <c r="G1084" s="661"/>
      <c r="H1084" s="660"/>
      <c r="I1084" s="691"/>
      <c r="J1084" s="661"/>
      <c r="K1084" s="706"/>
      <c r="L1084" s="665"/>
      <c r="M1084" s="663"/>
      <c r="N1084" s="665"/>
      <c r="O1084" s="665"/>
      <c r="P1084" s="665"/>
      <c r="Q1084" s="665"/>
      <c r="R1084" s="665"/>
      <c r="S1084" s="665"/>
      <c r="T1084" s="673"/>
      <c r="U1084" s="673"/>
      <c r="V1084" s="673"/>
      <c r="W1084" s="673"/>
      <c r="X1084" s="673"/>
      <c r="Y1084" s="673"/>
      <c r="Z1084" s="673"/>
      <c r="AA1084" s="673"/>
      <c r="AB1084" s="673"/>
      <c r="AC1084" s="673"/>
      <c r="AD1084" s="673"/>
      <c r="AE1084" s="673"/>
      <c r="AF1084" s="673"/>
      <c r="AG1084" s="673"/>
      <c r="AH1084" s="673"/>
    </row>
    <row r="1085">
      <c r="A1085" s="653"/>
      <c r="B1085" s="654"/>
      <c r="C1085" s="691"/>
      <c r="D1085" s="661"/>
      <c r="E1085" s="705"/>
      <c r="F1085" s="659"/>
      <c r="G1085" s="661"/>
      <c r="H1085" s="660"/>
      <c r="I1085" s="691"/>
      <c r="J1085" s="661"/>
      <c r="K1085" s="706"/>
      <c r="L1085" s="665"/>
      <c r="M1085" s="663"/>
      <c r="N1085" s="665"/>
      <c r="O1085" s="665"/>
      <c r="P1085" s="665"/>
      <c r="Q1085" s="665"/>
      <c r="R1085" s="665"/>
      <c r="S1085" s="665"/>
      <c r="T1085" s="673"/>
      <c r="U1085" s="673"/>
      <c r="V1085" s="673"/>
      <c r="W1085" s="673"/>
      <c r="X1085" s="673"/>
      <c r="Y1085" s="673"/>
      <c r="Z1085" s="673"/>
      <c r="AA1085" s="673"/>
      <c r="AB1085" s="673"/>
      <c r="AC1085" s="673"/>
      <c r="AD1085" s="673"/>
      <c r="AE1085" s="673"/>
      <c r="AF1085" s="673"/>
      <c r="AG1085" s="673"/>
      <c r="AH1085" s="673"/>
    </row>
    <row r="1086">
      <c r="A1086" s="653"/>
      <c r="B1086" s="654"/>
      <c r="C1086" s="691"/>
      <c r="D1086" s="661"/>
      <c r="E1086" s="705"/>
      <c r="F1086" s="659"/>
      <c r="G1086" s="661"/>
      <c r="H1086" s="660"/>
      <c r="I1086" s="691"/>
      <c r="J1086" s="661"/>
      <c r="K1086" s="706"/>
      <c r="L1086" s="665"/>
      <c r="M1086" s="663"/>
      <c r="N1086" s="665"/>
      <c r="O1086" s="665"/>
      <c r="P1086" s="665"/>
      <c r="Q1086" s="665"/>
      <c r="R1086" s="665"/>
      <c r="S1086" s="665"/>
      <c r="T1086" s="673"/>
      <c r="U1086" s="673"/>
      <c r="V1086" s="673"/>
      <c r="W1086" s="673"/>
      <c r="X1086" s="673"/>
      <c r="Y1086" s="673"/>
      <c r="Z1086" s="673"/>
      <c r="AA1086" s="673"/>
      <c r="AB1086" s="673"/>
      <c r="AC1086" s="673"/>
      <c r="AD1086" s="673"/>
      <c r="AE1086" s="673"/>
      <c r="AF1086" s="673"/>
      <c r="AG1086" s="673"/>
      <c r="AH1086" s="673"/>
    </row>
    <row r="1087">
      <c r="A1087" s="653"/>
      <c r="B1087" s="654"/>
      <c r="C1087" s="691"/>
      <c r="D1087" s="661"/>
      <c r="E1087" s="705"/>
      <c r="F1087" s="659"/>
      <c r="G1087" s="661"/>
      <c r="H1087" s="660"/>
      <c r="I1087" s="691"/>
      <c r="J1087" s="661"/>
      <c r="K1087" s="706"/>
      <c r="L1087" s="665"/>
      <c r="M1087" s="663"/>
      <c r="N1087" s="665"/>
      <c r="O1087" s="665"/>
      <c r="P1087" s="665"/>
      <c r="Q1087" s="665"/>
      <c r="R1087" s="665"/>
      <c r="S1087" s="665"/>
      <c r="T1087" s="673"/>
      <c r="U1087" s="673"/>
      <c r="V1087" s="673"/>
      <c r="W1087" s="673"/>
      <c r="X1087" s="673"/>
      <c r="Y1087" s="673"/>
      <c r="Z1087" s="673"/>
      <c r="AA1087" s="673"/>
      <c r="AB1087" s="673"/>
      <c r="AC1087" s="673"/>
      <c r="AD1087" s="673"/>
      <c r="AE1087" s="673"/>
      <c r="AF1087" s="673"/>
      <c r="AG1087" s="673"/>
      <c r="AH1087" s="673"/>
    </row>
    <row r="1088">
      <c r="A1088" s="653"/>
      <c r="B1088" s="654"/>
      <c r="C1088" s="691"/>
      <c r="D1088" s="661"/>
      <c r="E1088" s="705"/>
      <c r="F1088" s="659"/>
      <c r="G1088" s="661"/>
      <c r="H1088" s="660"/>
      <c r="I1088" s="691"/>
      <c r="J1088" s="661"/>
      <c r="K1088" s="706"/>
      <c r="L1088" s="665"/>
      <c r="M1088" s="663"/>
      <c r="N1088" s="665"/>
      <c r="O1088" s="665"/>
      <c r="P1088" s="665"/>
      <c r="Q1088" s="665"/>
      <c r="R1088" s="665"/>
      <c r="S1088" s="665"/>
      <c r="T1088" s="673"/>
      <c r="U1088" s="673"/>
      <c r="V1088" s="673"/>
      <c r="W1088" s="673"/>
      <c r="X1088" s="673"/>
      <c r="Y1088" s="673"/>
      <c r="Z1088" s="673"/>
      <c r="AA1088" s="673"/>
      <c r="AB1088" s="673"/>
      <c r="AC1088" s="673"/>
      <c r="AD1088" s="673"/>
      <c r="AE1088" s="673"/>
      <c r="AF1088" s="673"/>
      <c r="AG1088" s="673"/>
      <c r="AH1088" s="673"/>
    </row>
    <row r="1089">
      <c r="A1089" s="653"/>
      <c r="B1089" s="654"/>
      <c r="C1089" s="691"/>
      <c r="D1089" s="661"/>
      <c r="E1089" s="705"/>
      <c r="F1089" s="659"/>
      <c r="G1089" s="661"/>
      <c r="H1089" s="660"/>
      <c r="I1089" s="691"/>
      <c r="J1089" s="661"/>
      <c r="K1089" s="706"/>
      <c r="L1089" s="665"/>
      <c r="M1089" s="663"/>
      <c r="N1089" s="665"/>
      <c r="O1089" s="665"/>
      <c r="P1089" s="665"/>
      <c r="Q1089" s="665"/>
      <c r="R1089" s="665"/>
      <c r="S1089" s="665"/>
      <c r="T1089" s="673"/>
      <c r="U1089" s="673"/>
      <c r="V1089" s="673"/>
      <c r="W1089" s="673"/>
      <c r="X1089" s="673"/>
      <c r="Y1089" s="673"/>
      <c r="Z1089" s="673"/>
      <c r="AA1089" s="673"/>
      <c r="AB1089" s="673"/>
      <c r="AC1089" s="673"/>
      <c r="AD1089" s="673"/>
      <c r="AE1089" s="673"/>
      <c r="AF1089" s="673"/>
      <c r="AG1089" s="673"/>
      <c r="AH1089" s="673"/>
    </row>
    <row r="1090">
      <c r="A1090" s="653"/>
      <c r="B1090" s="654"/>
      <c r="C1090" s="691"/>
      <c r="D1090" s="661"/>
      <c r="E1090" s="705"/>
      <c r="F1090" s="659"/>
      <c r="G1090" s="661"/>
      <c r="H1090" s="660"/>
      <c r="I1090" s="691"/>
      <c r="J1090" s="661"/>
      <c r="K1090" s="706"/>
      <c r="L1090" s="665"/>
      <c r="M1090" s="663"/>
      <c r="N1090" s="665"/>
      <c r="O1090" s="665"/>
      <c r="P1090" s="665"/>
      <c r="Q1090" s="665"/>
      <c r="R1090" s="665"/>
      <c r="S1090" s="665"/>
      <c r="T1090" s="673"/>
      <c r="U1090" s="673"/>
      <c r="V1090" s="673"/>
      <c r="W1090" s="673"/>
      <c r="X1090" s="673"/>
      <c r="Y1090" s="673"/>
      <c r="Z1090" s="673"/>
      <c r="AA1090" s="673"/>
      <c r="AB1090" s="673"/>
      <c r="AC1090" s="673"/>
      <c r="AD1090" s="673"/>
      <c r="AE1090" s="673"/>
      <c r="AF1090" s="673"/>
      <c r="AG1090" s="673"/>
      <c r="AH1090" s="673"/>
    </row>
    <row r="1091">
      <c r="A1091" s="653"/>
      <c r="B1091" s="654"/>
      <c r="C1091" s="691"/>
      <c r="D1091" s="661"/>
      <c r="E1091" s="705"/>
      <c r="F1091" s="659"/>
      <c r="G1091" s="661"/>
      <c r="H1091" s="660"/>
      <c r="I1091" s="691"/>
      <c r="J1091" s="661"/>
      <c r="K1091" s="706"/>
      <c r="L1091" s="665"/>
      <c r="M1091" s="663"/>
      <c r="N1091" s="665"/>
      <c r="O1091" s="665"/>
      <c r="P1091" s="665"/>
      <c r="Q1091" s="665"/>
      <c r="R1091" s="665"/>
      <c r="S1091" s="665"/>
      <c r="T1091" s="673"/>
      <c r="U1091" s="673"/>
      <c r="V1091" s="673"/>
      <c r="W1091" s="673"/>
      <c r="X1091" s="673"/>
      <c r="Y1091" s="673"/>
      <c r="Z1091" s="673"/>
      <c r="AA1091" s="673"/>
      <c r="AB1091" s="673"/>
      <c r="AC1091" s="673"/>
      <c r="AD1091" s="673"/>
      <c r="AE1091" s="673"/>
      <c r="AF1091" s="673"/>
      <c r="AG1091" s="673"/>
      <c r="AH1091" s="673"/>
    </row>
    <row r="1092">
      <c r="A1092" s="653"/>
      <c r="B1092" s="654"/>
      <c r="C1092" s="691"/>
      <c r="D1092" s="661"/>
      <c r="E1092" s="705"/>
      <c r="F1092" s="659"/>
      <c r="G1092" s="661"/>
      <c r="H1092" s="660"/>
      <c r="I1092" s="691"/>
      <c r="J1092" s="661"/>
      <c r="K1092" s="706"/>
      <c r="L1092" s="665"/>
      <c r="M1092" s="663"/>
      <c r="N1092" s="665"/>
      <c r="O1092" s="665"/>
      <c r="P1092" s="665"/>
      <c r="Q1092" s="665"/>
      <c r="R1092" s="665"/>
      <c r="S1092" s="665"/>
      <c r="T1092" s="673"/>
      <c r="U1092" s="673"/>
      <c r="V1092" s="673"/>
      <c r="W1092" s="673"/>
      <c r="X1092" s="673"/>
      <c r="Y1092" s="673"/>
      <c r="Z1092" s="673"/>
      <c r="AA1092" s="673"/>
      <c r="AB1092" s="673"/>
      <c r="AC1092" s="673"/>
      <c r="AD1092" s="673"/>
      <c r="AE1092" s="673"/>
      <c r="AF1092" s="673"/>
      <c r="AG1092" s="673"/>
      <c r="AH1092" s="673"/>
    </row>
    <row r="1093">
      <c r="A1093" s="653"/>
      <c r="B1093" s="654"/>
      <c r="C1093" s="691"/>
      <c r="D1093" s="661"/>
      <c r="E1093" s="705"/>
      <c r="F1093" s="659"/>
      <c r="G1093" s="661"/>
      <c r="H1093" s="660"/>
      <c r="I1093" s="691"/>
      <c r="J1093" s="661"/>
      <c r="K1093" s="706"/>
      <c r="L1093" s="665"/>
      <c r="M1093" s="663"/>
      <c r="N1093" s="665"/>
      <c r="O1093" s="665"/>
      <c r="P1093" s="665"/>
      <c r="Q1093" s="665"/>
      <c r="R1093" s="665"/>
      <c r="S1093" s="665"/>
      <c r="T1093" s="673"/>
      <c r="U1093" s="673"/>
      <c r="V1093" s="673"/>
      <c r="W1093" s="673"/>
      <c r="X1093" s="673"/>
      <c r="Y1093" s="673"/>
      <c r="Z1093" s="673"/>
      <c r="AA1093" s="673"/>
      <c r="AB1093" s="673"/>
      <c r="AC1093" s="673"/>
      <c r="AD1093" s="673"/>
      <c r="AE1093" s="673"/>
      <c r="AF1093" s="673"/>
      <c r="AG1093" s="673"/>
      <c r="AH1093" s="673"/>
    </row>
    <row r="1094">
      <c r="A1094" s="653"/>
      <c r="B1094" s="654"/>
      <c r="C1094" s="691"/>
      <c r="D1094" s="661"/>
      <c r="E1094" s="705"/>
      <c r="F1094" s="659"/>
      <c r="G1094" s="661"/>
      <c r="H1094" s="660"/>
      <c r="I1094" s="691"/>
      <c r="J1094" s="661"/>
      <c r="K1094" s="706"/>
      <c r="L1094" s="665"/>
      <c r="M1094" s="663"/>
      <c r="N1094" s="665"/>
      <c r="O1094" s="665"/>
      <c r="P1094" s="665"/>
      <c r="Q1094" s="665"/>
      <c r="R1094" s="665"/>
      <c r="S1094" s="665"/>
      <c r="T1094" s="673"/>
      <c r="U1094" s="673"/>
      <c r="V1094" s="673"/>
      <c r="W1094" s="673"/>
      <c r="X1094" s="673"/>
      <c r="Y1094" s="673"/>
      <c r="Z1094" s="673"/>
      <c r="AA1094" s="673"/>
      <c r="AB1094" s="673"/>
      <c r="AC1094" s="673"/>
      <c r="AD1094" s="673"/>
      <c r="AE1094" s="673"/>
      <c r="AF1094" s="673"/>
      <c r="AG1094" s="673"/>
      <c r="AH1094" s="673"/>
    </row>
    <row r="1095">
      <c r="A1095" s="653"/>
      <c r="B1095" s="654"/>
      <c r="C1095" s="691"/>
      <c r="D1095" s="661"/>
      <c r="E1095" s="705"/>
      <c r="F1095" s="659"/>
      <c r="G1095" s="661"/>
      <c r="H1095" s="660"/>
      <c r="I1095" s="691"/>
      <c r="J1095" s="661"/>
      <c r="K1095" s="706"/>
      <c r="L1095" s="665"/>
      <c r="M1095" s="663"/>
      <c r="N1095" s="665"/>
      <c r="O1095" s="665"/>
      <c r="P1095" s="665"/>
      <c r="Q1095" s="665"/>
      <c r="R1095" s="665"/>
      <c r="S1095" s="665"/>
      <c r="T1095" s="673"/>
      <c r="U1095" s="673"/>
      <c r="V1095" s="673"/>
      <c r="W1095" s="673"/>
      <c r="X1095" s="673"/>
      <c r="Y1095" s="673"/>
      <c r="Z1095" s="673"/>
      <c r="AA1095" s="673"/>
      <c r="AB1095" s="673"/>
      <c r="AC1095" s="673"/>
      <c r="AD1095" s="673"/>
      <c r="AE1095" s="673"/>
      <c r="AF1095" s="673"/>
      <c r="AG1095" s="673"/>
      <c r="AH1095" s="673"/>
    </row>
    <row r="1096">
      <c r="A1096" s="653"/>
      <c r="B1096" s="654"/>
      <c r="C1096" s="691"/>
      <c r="D1096" s="661"/>
      <c r="E1096" s="705"/>
      <c r="F1096" s="659"/>
      <c r="G1096" s="661"/>
      <c r="H1096" s="660"/>
      <c r="I1096" s="691"/>
      <c r="J1096" s="661"/>
      <c r="K1096" s="706"/>
      <c r="L1096" s="665"/>
      <c r="M1096" s="663"/>
      <c r="N1096" s="665"/>
      <c r="O1096" s="665"/>
      <c r="P1096" s="665"/>
      <c r="Q1096" s="665"/>
      <c r="R1096" s="665"/>
      <c r="S1096" s="665"/>
      <c r="T1096" s="673"/>
      <c r="U1096" s="673"/>
      <c r="V1096" s="673"/>
      <c r="W1096" s="673"/>
      <c r="X1096" s="673"/>
      <c r="Y1096" s="673"/>
      <c r="Z1096" s="673"/>
      <c r="AA1096" s="673"/>
      <c r="AB1096" s="673"/>
      <c r="AC1096" s="673"/>
      <c r="AD1096" s="673"/>
      <c r="AE1096" s="673"/>
      <c r="AF1096" s="673"/>
      <c r="AG1096" s="673"/>
      <c r="AH1096" s="673"/>
    </row>
    <row r="1097">
      <c r="A1097" s="653"/>
      <c r="B1097" s="654"/>
      <c r="C1097" s="691"/>
      <c r="D1097" s="661"/>
      <c r="E1097" s="705"/>
      <c r="F1097" s="659"/>
      <c r="G1097" s="661"/>
      <c r="H1097" s="660"/>
      <c r="I1097" s="691"/>
      <c r="J1097" s="661"/>
      <c r="K1097" s="706"/>
      <c r="L1097" s="665"/>
      <c r="M1097" s="663"/>
      <c r="N1097" s="665"/>
      <c r="O1097" s="665"/>
      <c r="P1097" s="665"/>
      <c r="Q1097" s="665"/>
      <c r="R1097" s="665"/>
      <c r="S1097" s="665"/>
      <c r="T1097" s="673"/>
      <c r="U1097" s="673"/>
      <c r="V1097" s="673"/>
      <c r="W1097" s="673"/>
      <c r="X1097" s="673"/>
      <c r="Y1097" s="673"/>
      <c r="Z1097" s="673"/>
      <c r="AA1097" s="673"/>
      <c r="AB1097" s="673"/>
      <c r="AC1097" s="673"/>
      <c r="AD1097" s="673"/>
      <c r="AE1097" s="673"/>
      <c r="AF1097" s="673"/>
      <c r="AG1097" s="673"/>
      <c r="AH1097" s="673"/>
    </row>
    <row r="1098">
      <c r="A1098" s="653"/>
      <c r="B1098" s="654"/>
      <c r="C1098" s="691"/>
      <c r="D1098" s="661"/>
      <c r="E1098" s="705"/>
      <c r="F1098" s="659"/>
      <c r="G1098" s="661"/>
      <c r="H1098" s="660"/>
      <c r="I1098" s="691"/>
      <c r="J1098" s="661"/>
      <c r="K1098" s="706"/>
      <c r="L1098" s="665"/>
      <c r="M1098" s="663"/>
      <c r="N1098" s="665"/>
      <c r="O1098" s="665"/>
      <c r="P1098" s="665"/>
      <c r="Q1098" s="665"/>
      <c r="R1098" s="665"/>
      <c r="S1098" s="665"/>
      <c r="T1098" s="673"/>
      <c r="U1098" s="673"/>
      <c r="V1098" s="673"/>
      <c r="W1098" s="673"/>
      <c r="X1098" s="673"/>
      <c r="Y1098" s="673"/>
      <c r="Z1098" s="673"/>
      <c r="AA1098" s="673"/>
      <c r="AB1098" s="673"/>
      <c r="AC1098" s="673"/>
      <c r="AD1098" s="673"/>
      <c r="AE1098" s="673"/>
      <c r="AF1098" s="673"/>
      <c r="AG1098" s="673"/>
      <c r="AH1098" s="673"/>
    </row>
    <row r="1099">
      <c r="A1099" s="653"/>
      <c r="B1099" s="654"/>
      <c r="C1099" s="691"/>
      <c r="D1099" s="661"/>
      <c r="E1099" s="705"/>
      <c r="F1099" s="659"/>
      <c r="G1099" s="661"/>
      <c r="H1099" s="660"/>
      <c r="I1099" s="691"/>
      <c r="J1099" s="661"/>
      <c r="K1099" s="706"/>
      <c r="L1099" s="665"/>
      <c r="M1099" s="663"/>
      <c r="N1099" s="665"/>
      <c r="O1099" s="665"/>
      <c r="P1099" s="665"/>
      <c r="Q1099" s="665"/>
      <c r="R1099" s="665"/>
      <c r="S1099" s="665"/>
      <c r="T1099" s="673"/>
      <c r="U1099" s="673"/>
      <c r="V1099" s="673"/>
      <c r="W1099" s="673"/>
      <c r="X1099" s="673"/>
      <c r="Y1099" s="673"/>
      <c r="Z1099" s="673"/>
      <c r="AA1099" s="673"/>
      <c r="AB1099" s="673"/>
      <c r="AC1099" s="673"/>
      <c r="AD1099" s="673"/>
      <c r="AE1099" s="673"/>
      <c r="AF1099" s="673"/>
      <c r="AG1099" s="673"/>
      <c r="AH1099" s="673"/>
    </row>
    <row r="1100">
      <c r="A1100" s="653"/>
      <c r="B1100" s="654"/>
      <c r="C1100" s="691"/>
      <c r="D1100" s="661"/>
      <c r="E1100" s="705"/>
      <c r="F1100" s="659"/>
      <c r="G1100" s="661"/>
      <c r="H1100" s="660"/>
      <c r="I1100" s="691"/>
      <c r="J1100" s="661"/>
      <c r="K1100" s="706"/>
      <c r="L1100" s="665"/>
      <c r="M1100" s="663"/>
      <c r="N1100" s="665"/>
      <c r="O1100" s="665"/>
      <c r="P1100" s="665"/>
      <c r="Q1100" s="665"/>
      <c r="R1100" s="665"/>
      <c r="S1100" s="665"/>
      <c r="T1100" s="673"/>
      <c r="U1100" s="673"/>
      <c r="V1100" s="673"/>
      <c r="W1100" s="673"/>
      <c r="X1100" s="673"/>
      <c r="Y1100" s="673"/>
      <c r="Z1100" s="673"/>
      <c r="AA1100" s="673"/>
      <c r="AB1100" s="673"/>
      <c r="AC1100" s="673"/>
      <c r="AD1100" s="673"/>
      <c r="AE1100" s="673"/>
      <c r="AF1100" s="673"/>
      <c r="AG1100" s="673"/>
      <c r="AH1100" s="673"/>
    </row>
    <row r="1101">
      <c r="A1101" s="653"/>
      <c r="B1101" s="654"/>
      <c r="C1101" s="691"/>
      <c r="D1101" s="661"/>
      <c r="E1101" s="705"/>
      <c r="F1101" s="659"/>
      <c r="G1101" s="661"/>
      <c r="H1101" s="660"/>
      <c r="I1101" s="691"/>
      <c r="J1101" s="661"/>
      <c r="K1101" s="706"/>
      <c r="L1101" s="665"/>
      <c r="M1101" s="663"/>
      <c r="N1101" s="665"/>
      <c r="O1101" s="665"/>
      <c r="P1101" s="665"/>
      <c r="Q1101" s="665"/>
      <c r="R1101" s="665"/>
      <c r="S1101" s="665"/>
      <c r="T1101" s="673"/>
      <c r="U1101" s="673"/>
      <c r="V1101" s="673"/>
      <c r="W1101" s="673"/>
      <c r="X1101" s="673"/>
      <c r="Y1101" s="673"/>
      <c r="Z1101" s="673"/>
      <c r="AA1101" s="673"/>
      <c r="AB1101" s="673"/>
      <c r="AC1101" s="673"/>
      <c r="AD1101" s="673"/>
      <c r="AE1101" s="673"/>
      <c r="AF1101" s="673"/>
      <c r="AG1101" s="673"/>
      <c r="AH1101" s="673"/>
    </row>
    <row r="1102">
      <c r="A1102" s="653"/>
      <c r="B1102" s="654"/>
      <c r="C1102" s="691"/>
      <c r="D1102" s="661"/>
      <c r="E1102" s="705"/>
      <c r="F1102" s="659"/>
      <c r="G1102" s="661"/>
      <c r="H1102" s="660"/>
      <c r="I1102" s="691"/>
      <c r="J1102" s="661"/>
      <c r="K1102" s="706"/>
      <c r="L1102" s="665"/>
      <c r="M1102" s="663"/>
      <c r="N1102" s="665"/>
      <c r="O1102" s="665"/>
      <c r="P1102" s="665"/>
      <c r="Q1102" s="665"/>
      <c r="R1102" s="665"/>
      <c r="S1102" s="665"/>
      <c r="T1102" s="673"/>
      <c r="U1102" s="673"/>
      <c r="V1102" s="673"/>
      <c r="W1102" s="673"/>
      <c r="X1102" s="673"/>
      <c r="Y1102" s="673"/>
      <c r="Z1102" s="673"/>
      <c r="AA1102" s="673"/>
      <c r="AB1102" s="673"/>
      <c r="AC1102" s="673"/>
      <c r="AD1102" s="673"/>
      <c r="AE1102" s="673"/>
      <c r="AF1102" s="673"/>
      <c r="AG1102" s="673"/>
      <c r="AH1102" s="673"/>
    </row>
    <row r="1103">
      <c r="A1103" s="653"/>
      <c r="B1103" s="654"/>
      <c r="C1103" s="691"/>
      <c r="D1103" s="661"/>
      <c r="E1103" s="705"/>
      <c r="F1103" s="659"/>
      <c r="G1103" s="661"/>
      <c r="H1103" s="660"/>
      <c r="I1103" s="691"/>
      <c r="J1103" s="661"/>
      <c r="K1103" s="706"/>
      <c r="L1103" s="665"/>
      <c r="M1103" s="663"/>
      <c r="N1103" s="665"/>
      <c r="O1103" s="665"/>
      <c r="P1103" s="665"/>
      <c r="Q1103" s="665"/>
      <c r="R1103" s="665"/>
      <c r="S1103" s="665"/>
      <c r="T1103" s="673"/>
      <c r="U1103" s="673"/>
      <c r="V1103" s="673"/>
      <c r="W1103" s="673"/>
      <c r="X1103" s="673"/>
      <c r="Y1103" s="673"/>
      <c r="Z1103" s="673"/>
      <c r="AA1103" s="673"/>
      <c r="AB1103" s="673"/>
      <c r="AC1103" s="673"/>
      <c r="AD1103" s="673"/>
      <c r="AE1103" s="673"/>
      <c r="AF1103" s="673"/>
      <c r="AG1103" s="673"/>
      <c r="AH1103" s="673"/>
    </row>
    <row r="1104">
      <c r="A1104" s="653"/>
      <c r="B1104" s="654"/>
      <c r="C1104" s="691"/>
      <c r="D1104" s="661"/>
      <c r="E1104" s="705"/>
      <c r="F1104" s="659"/>
      <c r="G1104" s="661"/>
      <c r="H1104" s="660"/>
      <c r="I1104" s="691"/>
      <c r="J1104" s="661"/>
      <c r="K1104" s="706"/>
      <c r="L1104" s="665"/>
      <c r="M1104" s="663"/>
      <c r="N1104" s="665"/>
      <c r="O1104" s="665"/>
      <c r="P1104" s="665"/>
      <c r="Q1104" s="665"/>
      <c r="R1104" s="665"/>
      <c r="S1104" s="665"/>
      <c r="T1104" s="673"/>
      <c r="U1104" s="673"/>
      <c r="V1104" s="673"/>
      <c r="W1104" s="673"/>
      <c r="X1104" s="673"/>
      <c r="Y1104" s="673"/>
      <c r="Z1104" s="673"/>
      <c r="AA1104" s="673"/>
      <c r="AB1104" s="673"/>
      <c r="AC1104" s="673"/>
      <c r="AD1104" s="673"/>
      <c r="AE1104" s="673"/>
      <c r="AF1104" s="673"/>
      <c r="AG1104" s="673"/>
      <c r="AH1104" s="673"/>
    </row>
    <row r="1105">
      <c r="A1105" s="653"/>
      <c r="B1105" s="654"/>
      <c r="C1105" s="691"/>
      <c r="D1105" s="661"/>
      <c r="E1105" s="705"/>
      <c r="F1105" s="659"/>
      <c r="G1105" s="661"/>
      <c r="H1105" s="660"/>
      <c r="I1105" s="691"/>
      <c r="J1105" s="661"/>
      <c r="K1105" s="706"/>
      <c r="L1105" s="665"/>
      <c r="M1105" s="663"/>
      <c r="N1105" s="665"/>
      <c r="O1105" s="665"/>
      <c r="P1105" s="665"/>
      <c r="Q1105" s="665"/>
      <c r="R1105" s="665"/>
      <c r="S1105" s="665"/>
      <c r="T1105" s="673"/>
      <c r="U1105" s="673"/>
      <c r="V1105" s="673"/>
      <c r="W1105" s="673"/>
      <c r="X1105" s="673"/>
      <c r="Y1105" s="673"/>
      <c r="Z1105" s="673"/>
      <c r="AA1105" s="673"/>
      <c r="AB1105" s="673"/>
      <c r="AC1105" s="673"/>
      <c r="AD1105" s="673"/>
      <c r="AE1105" s="673"/>
      <c r="AF1105" s="673"/>
      <c r="AG1105" s="673"/>
      <c r="AH1105" s="673"/>
    </row>
    <row r="1106">
      <c r="A1106" s="653"/>
      <c r="B1106" s="654"/>
      <c r="C1106" s="691"/>
      <c r="D1106" s="661"/>
      <c r="E1106" s="705"/>
      <c r="F1106" s="659"/>
      <c r="G1106" s="661"/>
      <c r="H1106" s="660"/>
      <c r="I1106" s="691"/>
      <c r="J1106" s="661"/>
      <c r="K1106" s="706"/>
      <c r="L1106" s="665"/>
      <c r="M1106" s="663"/>
      <c r="N1106" s="665"/>
      <c r="O1106" s="665"/>
      <c r="P1106" s="665"/>
      <c r="Q1106" s="665"/>
      <c r="R1106" s="665"/>
      <c r="S1106" s="665"/>
      <c r="T1106" s="673"/>
      <c r="U1106" s="673"/>
      <c r="V1106" s="673"/>
      <c r="W1106" s="673"/>
      <c r="X1106" s="673"/>
      <c r="Y1106" s="673"/>
      <c r="Z1106" s="673"/>
      <c r="AA1106" s="673"/>
      <c r="AB1106" s="673"/>
      <c r="AC1106" s="673"/>
      <c r="AD1106" s="673"/>
      <c r="AE1106" s="673"/>
      <c r="AF1106" s="673"/>
      <c r="AG1106" s="673"/>
      <c r="AH1106" s="673"/>
    </row>
    <row r="1107">
      <c r="A1107" s="653"/>
      <c r="B1107" s="654"/>
      <c r="C1107" s="691"/>
      <c r="D1107" s="661"/>
      <c r="E1107" s="705"/>
      <c r="F1107" s="659"/>
      <c r="G1107" s="661"/>
      <c r="H1107" s="660"/>
      <c r="I1107" s="691"/>
      <c r="J1107" s="661"/>
      <c r="K1107" s="706"/>
      <c r="L1107" s="665"/>
      <c r="M1107" s="663"/>
      <c r="N1107" s="665"/>
      <c r="O1107" s="665"/>
      <c r="P1107" s="665"/>
      <c r="Q1107" s="665"/>
      <c r="R1107" s="665"/>
      <c r="S1107" s="665"/>
      <c r="T1107" s="673"/>
      <c r="U1107" s="673"/>
      <c r="V1107" s="673"/>
      <c r="W1107" s="673"/>
      <c r="X1107" s="673"/>
      <c r="Y1107" s="673"/>
      <c r="Z1107" s="673"/>
      <c r="AA1107" s="673"/>
      <c r="AB1107" s="673"/>
      <c r="AC1107" s="673"/>
      <c r="AD1107" s="673"/>
      <c r="AE1107" s="673"/>
      <c r="AF1107" s="673"/>
      <c r="AG1107" s="673"/>
      <c r="AH1107" s="673"/>
    </row>
    <row r="1108">
      <c r="A1108" s="653"/>
      <c r="B1108" s="654"/>
      <c r="C1108" s="691"/>
      <c r="D1108" s="661"/>
      <c r="E1108" s="705"/>
      <c r="F1108" s="659"/>
      <c r="G1108" s="661"/>
      <c r="H1108" s="660"/>
      <c r="I1108" s="691"/>
      <c r="J1108" s="661"/>
      <c r="K1108" s="706"/>
      <c r="L1108" s="665"/>
      <c r="M1108" s="663"/>
      <c r="N1108" s="665"/>
      <c r="O1108" s="665"/>
      <c r="P1108" s="665"/>
      <c r="Q1108" s="665"/>
      <c r="R1108" s="665"/>
      <c r="S1108" s="665"/>
      <c r="T1108" s="673"/>
      <c r="U1108" s="673"/>
      <c r="V1108" s="673"/>
      <c r="W1108" s="673"/>
      <c r="X1108" s="673"/>
      <c r="Y1108" s="673"/>
      <c r="Z1108" s="673"/>
      <c r="AA1108" s="673"/>
      <c r="AB1108" s="673"/>
      <c r="AC1108" s="673"/>
      <c r="AD1108" s="673"/>
      <c r="AE1108" s="673"/>
      <c r="AF1108" s="673"/>
      <c r="AG1108" s="673"/>
      <c r="AH1108" s="673"/>
    </row>
    <row r="1109">
      <c r="A1109" s="653"/>
      <c r="B1109" s="654"/>
      <c r="C1109" s="691"/>
      <c r="D1109" s="661"/>
      <c r="E1109" s="705"/>
      <c r="F1109" s="659"/>
      <c r="G1109" s="661"/>
      <c r="H1109" s="660"/>
      <c r="I1109" s="691"/>
      <c r="J1109" s="661"/>
      <c r="K1109" s="706"/>
      <c r="L1109" s="665"/>
      <c r="M1109" s="663"/>
      <c r="N1109" s="665"/>
      <c r="O1109" s="665"/>
      <c r="P1109" s="665"/>
      <c r="Q1109" s="665"/>
      <c r="R1109" s="665"/>
      <c r="S1109" s="665"/>
      <c r="T1109" s="673"/>
      <c r="U1109" s="673"/>
      <c r="V1109" s="673"/>
      <c r="W1109" s="673"/>
      <c r="X1109" s="673"/>
      <c r="Y1109" s="673"/>
      <c r="Z1109" s="673"/>
      <c r="AA1109" s="673"/>
      <c r="AB1109" s="673"/>
      <c r="AC1109" s="673"/>
      <c r="AD1109" s="673"/>
      <c r="AE1109" s="673"/>
      <c r="AF1109" s="673"/>
      <c r="AG1109" s="673"/>
      <c r="AH1109" s="673"/>
    </row>
    <row r="1110">
      <c r="A1110" s="653"/>
      <c r="B1110" s="654"/>
      <c r="C1110" s="691"/>
      <c r="D1110" s="661"/>
      <c r="E1110" s="705"/>
      <c r="F1110" s="659"/>
      <c r="G1110" s="661"/>
      <c r="H1110" s="660"/>
      <c r="I1110" s="691"/>
      <c r="J1110" s="661"/>
      <c r="K1110" s="706"/>
      <c r="L1110" s="665"/>
      <c r="M1110" s="663"/>
      <c r="N1110" s="665"/>
      <c r="O1110" s="665"/>
      <c r="P1110" s="665"/>
      <c r="Q1110" s="665"/>
      <c r="R1110" s="665"/>
      <c r="S1110" s="665"/>
      <c r="T1110" s="673"/>
      <c r="U1110" s="673"/>
      <c r="V1110" s="673"/>
      <c r="W1110" s="673"/>
      <c r="X1110" s="673"/>
      <c r="Y1110" s="673"/>
      <c r="Z1110" s="673"/>
      <c r="AA1110" s="673"/>
      <c r="AB1110" s="673"/>
      <c r="AC1110" s="673"/>
      <c r="AD1110" s="673"/>
      <c r="AE1110" s="673"/>
      <c r="AF1110" s="673"/>
      <c r="AG1110" s="673"/>
      <c r="AH1110" s="673"/>
    </row>
    <row r="1111">
      <c r="A1111" s="653"/>
      <c r="B1111" s="654"/>
      <c r="C1111" s="691"/>
      <c r="D1111" s="661"/>
      <c r="E1111" s="705"/>
      <c r="F1111" s="659"/>
      <c r="G1111" s="661"/>
      <c r="H1111" s="660"/>
      <c r="I1111" s="691"/>
      <c r="J1111" s="661"/>
      <c r="K1111" s="706"/>
      <c r="L1111" s="665"/>
      <c r="M1111" s="663"/>
      <c r="N1111" s="665"/>
      <c r="O1111" s="665"/>
      <c r="P1111" s="665"/>
      <c r="Q1111" s="665"/>
      <c r="R1111" s="665"/>
      <c r="S1111" s="665"/>
      <c r="T1111" s="673"/>
      <c r="U1111" s="673"/>
      <c r="V1111" s="673"/>
      <c r="W1111" s="673"/>
      <c r="X1111" s="673"/>
      <c r="Y1111" s="673"/>
      <c r="Z1111" s="673"/>
      <c r="AA1111" s="673"/>
      <c r="AB1111" s="673"/>
      <c r="AC1111" s="673"/>
      <c r="AD1111" s="673"/>
      <c r="AE1111" s="673"/>
      <c r="AF1111" s="673"/>
      <c r="AG1111" s="673"/>
      <c r="AH1111" s="673"/>
    </row>
    <row r="1112">
      <c r="A1112" s="653"/>
      <c r="B1112" s="654"/>
      <c r="C1112" s="691"/>
      <c r="D1112" s="661"/>
      <c r="E1112" s="705"/>
      <c r="F1112" s="659"/>
      <c r="G1112" s="661"/>
      <c r="H1112" s="660"/>
      <c r="I1112" s="691"/>
      <c r="J1112" s="661"/>
      <c r="K1112" s="706"/>
      <c r="L1112" s="665"/>
      <c r="M1112" s="663"/>
      <c r="N1112" s="665"/>
      <c r="O1112" s="665"/>
      <c r="P1112" s="665"/>
      <c r="Q1112" s="665"/>
      <c r="R1112" s="665"/>
      <c r="S1112" s="665"/>
      <c r="T1112" s="673"/>
      <c r="U1112" s="673"/>
      <c r="V1112" s="673"/>
      <c r="W1112" s="673"/>
      <c r="X1112" s="673"/>
      <c r="Y1112" s="673"/>
      <c r="Z1112" s="673"/>
      <c r="AA1112" s="673"/>
      <c r="AB1112" s="673"/>
      <c r="AC1112" s="673"/>
      <c r="AD1112" s="673"/>
      <c r="AE1112" s="673"/>
      <c r="AF1112" s="673"/>
      <c r="AG1112" s="673"/>
      <c r="AH1112" s="673"/>
    </row>
    <row r="1113">
      <c r="A1113" s="653"/>
      <c r="B1113" s="654"/>
      <c r="C1113" s="691"/>
      <c r="D1113" s="661"/>
      <c r="E1113" s="705"/>
      <c r="F1113" s="659"/>
      <c r="G1113" s="661"/>
      <c r="H1113" s="660"/>
      <c r="I1113" s="691"/>
      <c r="J1113" s="661"/>
      <c r="K1113" s="706"/>
      <c r="L1113" s="665"/>
      <c r="M1113" s="663"/>
      <c r="N1113" s="665"/>
      <c r="O1113" s="665"/>
      <c r="P1113" s="665"/>
      <c r="Q1113" s="665"/>
      <c r="R1113" s="665"/>
      <c r="S1113" s="665"/>
      <c r="T1113" s="673"/>
      <c r="U1113" s="673"/>
      <c r="V1113" s="673"/>
      <c r="W1113" s="673"/>
      <c r="X1113" s="673"/>
      <c r="Y1113" s="673"/>
      <c r="Z1113" s="673"/>
      <c r="AA1113" s="673"/>
      <c r="AB1113" s="673"/>
      <c r="AC1113" s="673"/>
      <c r="AD1113" s="673"/>
      <c r="AE1113" s="673"/>
      <c r="AF1113" s="673"/>
      <c r="AG1113" s="673"/>
      <c r="AH1113" s="673"/>
    </row>
    <row r="1114">
      <c r="A1114" s="653"/>
      <c r="B1114" s="654"/>
      <c r="C1114" s="691"/>
      <c r="D1114" s="661"/>
      <c r="E1114" s="705"/>
      <c r="F1114" s="659"/>
      <c r="G1114" s="661"/>
      <c r="H1114" s="660"/>
      <c r="I1114" s="691"/>
      <c r="J1114" s="661"/>
      <c r="K1114" s="706"/>
      <c r="L1114" s="665"/>
      <c r="M1114" s="663"/>
      <c r="N1114" s="665"/>
      <c r="O1114" s="665"/>
      <c r="P1114" s="665"/>
      <c r="Q1114" s="665"/>
      <c r="R1114" s="665"/>
      <c r="S1114" s="665"/>
      <c r="T1114" s="673"/>
      <c r="U1114" s="673"/>
      <c r="V1114" s="673"/>
      <c r="W1114" s="673"/>
      <c r="X1114" s="673"/>
      <c r="Y1114" s="673"/>
      <c r="Z1114" s="673"/>
      <c r="AA1114" s="673"/>
      <c r="AB1114" s="673"/>
      <c r="AC1114" s="673"/>
      <c r="AD1114" s="673"/>
      <c r="AE1114" s="673"/>
      <c r="AF1114" s="673"/>
      <c r="AG1114" s="673"/>
      <c r="AH1114" s="673"/>
    </row>
    <row r="1115">
      <c r="A1115" s="653"/>
      <c r="B1115" s="654"/>
      <c r="C1115" s="691"/>
      <c r="D1115" s="661"/>
      <c r="E1115" s="705"/>
      <c r="F1115" s="659"/>
      <c r="G1115" s="661"/>
      <c r="H1115" s="660"/>
      <c r="I1115" s="691"/>
      <c r="J1115" s="661"/>
      <c r="K1115" s="706"/>
      <c r="L1115" s="665"/>
      <c r="M1115" s="663"/>
      <c r="N1115" s="665"/>
      <c r="O1115" s="665"/>
      <c r="P1115" s="665"/>
      <c r="Q1115" s="665"/>
      <c r="R1115" s="665"/>
      <c r="S1115" s="665"/>
      <c r="T1115" s="673"/>
      <c r="U1115" s="673"/>
      <c r="V1115" s="673"/>
      <c r="W1115" s="673"/>
      <c r="X1115" s="673"/>
      <c r="Y1115" s="673"/>
      <c r="Z1115" s="673"/>
      <c r="AA1115" s="673"/>
      <c r="AB1115" s="673"/>
      <c r="AC1115" s="673"/>
      <c r="AD1115" s="673"/>
      <c r="AE1115" s="673"/>
      <c r="AF1115" s="673"/>
      <c r="AG1115" s="673"/>
      <c r="AH1115" s="673"/>
    </row>
    <row r="1116">
      <c r="A1116" s="653"/>
      <c r="B1116" s="654"/>
      <c r="C1116" s="691"/>
      <c r="D1116" s="661"/>
      <c r="E1116" s="705"/>
      <c r="F1116" s="659"/>
      <c r="G1116" s="661"/>
      <c r="H1116" s="660"/>
      <c r="I1116" s="691"/>
      <c r="J1116" s="661"/>
      <c r="K1116" s="706"/>
      <c r="L1116" s="665"/>
      <c r="M1116" s="663"/>
      <c r="N1116" s="665"/>
      <c r="O1116" s="665"/>
      <c r="P1116" s="665"/>
      <c r="Q1116" s="665"/>
      <c r="R1116" s="665"/>
      <c r="S1116" s="665"/>
      <c r="T1116" s="673"/>
      <c r="U1116" s="673"/>
      <c r="V1116" s="673"/>
      <c r="W1116" s="673"/>
      <c r="X1116" s="673"/>
      <c r="Y1116" s="673"/>
      <c r="Z1116" s="673"/>
      <c r="AA1116" s="673"/>
      <c r="AB1116" s="673"/>
      <c r="AC1116" s="673"/>
      <c r="AD1116" s="673"/>
      <c r="AE1116" s="673"/>
      <c r="AF1116" s="673"/>
      <c r="AG1116" s="673"/>
      <c r="AH1116" s="673"/>
    </row>
    <row r="1117">
      <c r="A1117" s="653"/>
      <c r="B1117" s="654"/>
      <c r="C1117" s="691"/>
      <c r="D1117" s="661"/>
      <c r="E1117" s="705"/>
      <c r="F1117" s="659"/>
      <c r="G1117" s="661"/>
      <c r="H1117" s="660"/>
      <c r="I1117" s="691"/>
      <c r="J1117" s="661"/>
      <c r="K1117" s="706"/>
      <c r="L1117" s="665"/>
      <c r="M1117" s="663"/>
      <c r="N1117" s="665"/>
      <c r="O1117" s="665"/>
      <c r="P1117" s="665"/>
      <c r="Q1117" s="665"/>
      <c r="R1117" s="665"/>
      <c r="S1117" s="665"/>
      <c r="T1117" s="673"/>
      <c r="U1117" s="673"/>
      <c r="V1117" s="673"/>
      <c r="W1117" s="673"/>
      <c r="X1117" s="673"/>
      <c r="Y1117" s="673"/>
      <c r="Z1117" s="673"/>
      <c r="AA1117" s="673"/>
      <c r="AB1117" s="673"/>
      <c r="AC1117" s="673"/>
      <c r="AD1117" s="673"/>
      <c r="AE1117" s="673"/>
      <c r="AF1117" s="673"/>
      <c r="AG1117" s="673"/>
      <c r="AH1117" s="673"/>
    </row>
    <row r="1118">
      <c r="A1118" s="653"/>
      <c r="B1118" s="654"/>
      <c r="C1118" s="691"/>
      <c r="D1118" s="661"/>
      <c r="E1118" s="705"/>
      <c r="F1118" s="659"/>
      <c r="G1118" s="661"/>
      <c r="H1118" s="660"/>
      <c r="I1118" s="691"/>
      <c r="J1118" s="661"/>
      <c r="K1118" s="706"/>
      <c r="L1118" s="665"/>
      <c r="M1118" s="663"/>
      <c r="N1118" s="665"/>
      <c r="O1118" s="665"/>
      <c r="P1118" s="665"/>
      <c r="Q1118" s="665"/>
      <c r="R1118" s="665"/>
      <c r="S1118" s="665"/>
      <c r="T1118" s="673"/>
      <c r="U1118" s="673"/>
      <c r="V1118" s="673"/>
      <c r="W1118" s="673"/>
      <c r="X1118" s="673"/>
      <c r="Y1118" s="673"/>
      <c r="Z1118" s="673"/>
      <c r="AA1118" s="673"/>
      <c r="AB1118" s="673"/>
      <c r="AC1118" s="673"/>
      <c r="AD1118" s="673"/>
      <c r="AE1118" s="673"/>
      <c r="AF1118" s="673"/>
      <c r="AG1118" s="673"/>
      <c r="AH1118" s="673"/>
    </row>
    <row r="1119">
      <c r="A1119" s="653"/>
      <c r="B1119" s="654"/>
      <c r="C1119" s="691"/>
      <c r="D1119" s="661"/>
      <c r="E1119" s="705"/>
      <c r="F1119" s="659"/>
      <c r="G1119" s="661"/>
      <c r="H1119" s="660"/>
      <c r="I1119" s="691"/>
      <c r="J1119" s="661"/>
      <c r="K1119" s="706"/>
      <c r="L1119" s="665"/>
      <c r="M1119" s="663"/>
      <c r="N1119" s="665"/>
      <c r="O1119" s="665"/>
      <c r="P1119" s="665"/>
      <c r="Q1119" s="665"/>
      <c r="R1119" s="665"/>
      <c r="S1119" s="665"/>
      <c r="T1119" s="673"/>
      <c r="U1119" s="673"/>
      <c r="V1119" s="673"/>
      <c r="W1119" s="673"/>
      <c r="X1119" s="673"/>
      <c r="Y1119" s="673"/>
      <c r="Z1119" s="673"/>
      <c r="AA1119" s="673"/>
      <c r="AB1119" s="673"/>
      <c r="AC1119" s="673"/>
      <c r="AD1119" s="673"/>
      <c r="AE1119" s="673"/>
      <c r="AF1119" s="673"/>
      <c r="AG1119" s="673"/>
      <c r="AH1119" s="673"/>
    </row>
    <row r="1120">
      <c r="A1120" s="653"/>
      <c r="B1120" s="654"/>
      <c r="C1120" s="691"/>
      <c r="D1120" s="661"/>
      <c r="E1120" s="705"/>
      <c r="F1120" s="659"/>
      <c r="G1120" s="661"/>
      <c r="H1120" s="660"/>
      <c r="I1120" s="691"/>
      <c r="J1120" s="661"/>
      <c r="K1120" s="706"/>
      <c r="L1120" s="665"/>
      <c r="M1120" s="663"/>
      <c r="N1120" s="665"/>
      <c r="O1120" s="665"/>
      <c r="P1120" s="665"/>
      <c r="Q1120" s="665"/>
      <c r="R1120" s="665"/>
      <c r="S1120" s="665"/>
      <c r="T1120" s="673"/>
      <c r="U1120" s="673"/>
      <c r="V1120" s="673"/>
      <c r="W1120" s="673"/>
      <c r="X1120" s="673"/>
      <c r="Y1120" s="673"/>
      <c r="Z1120" s="673"/>
      <c r="AA1120" s="673"/>
      <c r="AB1120" s="673"/>
      <c r="AC1120" s="673"/>
      <c r="AD1120" s="673"/>
      <c r="AE1120" s="673"/>
      <c r="AF1120" s="673"/>
      <c r="AG1120" s="673"/>
      <c r="AH1120" s="673"/>
    </row>
    <row r="1121">
      <c r="A1121" s="653"/>
      <c r="B1121" s="654"/>
      <c r="C1121" s="691"/>
      <c r="D1121" s="661"/>
      <c r="E1121" s="705"/>
      <c r="F1121" s="659"/>
      <c r="G1121" s="661"/>
      <c r="H1121" s="660"/>
      <c r="I1121" s="691"/>
      <c r="J1121" s="661"/>
      <c r="K1121" s="706"/>
      <c r="L1121" s="665"/>
      <c r="M1121" s="663"/>
      <c r="N1121" s="665"/>
      <c r="O1121" s="665"/>
      <c r="P1121" s="665"/>
      <c r="Q1121" s="665"/>
      <c r="R1121" s="665"/>
      <c r="S1121" s="665"/>
      <c r="T1121" s="673"/>
      <c r="U1121" s="673"/>
      <c r="V1121" s="673"/>
      <c r="W1121" s="673"/>
      <c r="X1121" s="673"/>
      <c r="Y1121" s="673"/>
      <c r="Z1121" s="673"/>
      <c r="AA1121" s="673"/>
      <c r="AB1121" s="673"/>
      <c r="AC1121" s="673"/>
      <c r="AD1121" s="673"/>
      <c r="AE1121" s="673"/>
      <c r="AF1121" s="673"/>
      <c r="AG1121" s="673"/>
      <c r="AH1121" s="673"/>
    </row>
    <row r="1122">
      <c r="A1122" s="653"/>
      <c r="B1122" s="654"/>
      <c r="C1122" s="691"/>
      <c r="D1122" s="661"/>
      <c r="E1122" s="705"/>
      <c r="F1122" s="659"/>
      <c r="G1122" s="661"/>
      <c r="H1122" s="660"/>
      <c r="I1122" s="691"/>
      <c r="J1122" s="661"/>
      <c r="K1122" s="706"/>
      <c r="L1122" s="665"/>
      <c r="M1122" s="663"/>
      <c r="N1122" s="665"/>
      <c r="O1122" s="665"/>
      <c r="P1122" s="665"/>
      <c r="Q1122" s="665"/>
      <c r="R1122" s="665"/>
      <c r="S1122" s="665"/>
      <c r="T1122" s="673"/>
      <c r="U1122" s="673"/>
      <c r="V1122" s="673"/>
      <c r="W1122" s="673"/>
      <c r="X1122" s="673"/>
      <c r="Y1122" s="673"/>
      <c r="Z1122" s="673"/>
      <c r="AA1122" s="673"/>
      <c r="AB1122" s="673"/>
      <c r="AC1122" s="673"/>
      <c r="AD1122" s="673"/>
      <c r="AE1122" s="673"/>
      <c r="AF1122" s="673"/>
      <c r="AG1122" s="673"/>
      <c r="AH1122" s="673"/>
    </row>
    <row r="1123">
      <c r="A1123" s="653"/>
      <c r="B1123" s="654"/>
      <c r="C1123" s="691"/>
      <c r="D1123" s="661"/>
      <c r="E1123" s="705"/>
      <c r="F1123" s="659"/>
      <c r="G1123" s="661"/>
      <c r="H1123" s="660"/>
      <c r="I1123" s="691"/>
      <c r="J1123" s="661"/>
      <c r="K1123" s="706"/>
      <c r="L1123" s="665"/>
      <c r="M1123" s="663"/>
      <c r="N1123" s="665"/>
      <c r="O1123" s="665"/>
      <c r="P1123" s="665"/>
      <c r="Q1123" s="665"/>
      <c r="R1123" s="665"/>
      <c r="S1123" s="665"/>
      <c r="T1123" s="673"/>
      <c r="U1123" s="673"/>
      <c r="V1123" s="673"/>
      <c r="W1123" s="673"/>
      <c r="X1123" s="673"/>
      <c r="Y1123" s="673"/>
      <c r="Z1123" s="673"/>
      <c r="AA1123" s="673"/>
      <c r="AB1123" s="673"/>
      <c r="AC1123" s="673"/>
      <c r="AD1123" s="673"/>
      <c r="AE1123" s="673"/>
      <c r="AF1123" s="673"/>
      <c r="AG1123" s="673"/>
      <c r="AH1123" s="673"/>
    </row>
    <row r="1124">
      <c r="A1124" s="653"/>
      <c r="B1124" s="654"/>
      <c r="C1124" s="691"/>
      <c r="D1124" s="661"/>
      <c r="E1124" s="705"/>
      <c r="F1124" s="659"/>
      <c r="G1124" s="661"/>
      <c r="H1124" s="660"/>
      <c r="I1124" s="691"/>
      <c r="J1124" s="661"/>
      <c r="K1124" s="706"/>
      <c r="L1124" s="665"/>
      <c r="M1124" s="663"/>
      <c r="N1124" s="665"/>
      <c r="O1124" s="665"/>
      <c r="P1124" s="665"/>
      <c r="Q1124" s="665"/>
      <c r="R1124" s="665"/>
      <c r="S1124" s="665"/>
      <c r="T1124" s="673"/>
      <c r="U1124" s="673"/>
      <c r="V1124" s="673"/>
      <c r="W1124" s="673"/>
      <c r="X1124" s="673"/>
      <c r="Y1124" s="673"/>
      <c r="Z1124" s="673"/>
      <c r="AA1124" s="673"/>
      <c r="AB1124" s="673"/>
      <c r="AC1124" s="673"/>
      <c r="AD1124" s="673"/>
      <c r="AE1124" s="673"/>
      <c r="AF1124" s="673"/>
      <c r="AG1124" s="673"/>
      <c r="AH1124" s="673"/>
    </row>
    <row r="1125">
      <c r="A1125" s="653"/>
      <c r="B1125" s="654"/>
      <c r="C1125" s="691"/>
      <c r="D1125" s="661"/>
      <c r="E1125" s="705"/>
      <c r="F1125" s="659"/>
      <c r="G1125" s="661"/>
      <c r="H1125" s="660"/>
      <c r="I1125" s="691"/>
      <c r="J1125" s="661"/>
      <c r="K1125" s="706"/>
      <c r="L1125" s="665"/>
      <c r="M1125" s="663"/>
      <c r="N1125" s="665"/>
      <c r="O1125" s="665"/>
      <c r="P1125" s="665"/>
      <c r="Q1125" s="665"/>
      <c r="R1125" s="665"/>
      <c r="S1125" s="665"/>
      <c r="T1125" s="673"/>
      <c r="U1125" s="673"/>
      <c r="V1125" s="673"/>
      <c r="W1125" s="673"/>
      <c r="X1125" s="673"/>
      <c r="Y1125" s="673"/>
      <c r="Z1125" s="673"/>
      <c r="AA1125" s="673"/>
      <c r="AB1125" s="673"/>
      <c r="AC1125" s="673"/>
      <c r="AD1125" s="673"/>
      <c r="AE1125" s="673"/>
      <c r="AF1125" s="673"/>
      <c r="AG1125" s="673"/>
      <c r="AH1125" s="673"/>
    </row>
    <row r="1126">
      <c r="A1126" s="653"/>
      <c r="B1126" s="654"/>
      <c r="C1126" s="691"/>
      <c r="D1126" s="661"/>
      <c r="E1126" s="705"/>
      <c r="F1126" s="659"/>
      <c r="G1126" s="661"/>
      <c r="H1126" s="660"/>
      <c r="I1126" s="691"/>
      <c r="J1126" s="661"/>
      <c r="K1126" s="706"/>
      <c r="L1126" s="665"/>
      <c r="M1126" s="663"/>
      <c r="N1126" s="665"/>
      <c r="O1126" s="665"/>
      <c r="P1126" s="665"/>
      <c r="Q1126" s="665"/>
      <c r="R1126" s="665"/>
      <c r="S1126" s="665"/>
      <c r="T1126" s="673"/>
      <c r="U1126" s="673"/>
      <c r="V1126" s="673"/>
      <c r="W1126" s="673"/>
      <c r="X1126" s="673"/>
      <c r="Y1126" s="673"/>
      <c r="Z1126" s="673"/>
      <c r="AA1126" s="673"/>
      <c r="AB1126" s="673"/>
      <c r="AC1126" s="673"/>
      <c r="AD1126" s="673"/>
      <c r="AE1126" s="673"/>
      <c r="AF1126" s="673"/>
      <c r="AG1126" s="673"/>
      <c r="AH1126" s="673"/>
    </row>
    <row r="1127">
      <c r="A1127" s="653"/>
      <c r="B1127" s="654"/>
      <c r="C1127" s="691"/>
      <c r="D1127" s="661"/>
      <c r="E1127" s="705"/>
      <c r="F1127" s="659"/>
      <c r="G1127" s="661"/>
      <c r="H1127" s="660"/>
      <c r="I1127" s="691"/>
      <c r="J1127" s="661"/>
      <c r="K1127" s="706"/>
      <c r="L1127" s="665"/>
      <c r="M1127" s="663"/>
      <c r="N1127" s="665"/>
      <c r="O1127" s="665"/>
      <c r="P1127" s="665"/>
      <c r="Q1127" s="665"/>
      <c r="R1127" s="665"/>
      <c r="S1127" s="665"/>
      <c r="T1127" s="673"/>
      <c r="U1127" s="673"/>
      <c r="V1127" s="673"/>
      <c r="W1127" s="673"/>
      <c r="X1127" s="673"/>
      <c r="Y1127" s="673"/>
      <c r="Z1127" s="673"/>
      <c r="AA1127" s="673"/>
      <c r="AB1127" s="673"/>
      <c r="AC1127" s="673"/>
      <c r="AD1127" s="673"/>
      <c r="AE1127" s="673"/>
      <c r="AF1127" s="673"/>
      <c r="AG1127" s="673"/>
      <c r="AH1127" s="673"/>
    </row>
    <row r="1128">
      <c r="A1128" s="653"/>
      <c r="B1128" s="654"/>
      <c r="C1128" s="691"/>
      <c r="D1128" s="661"/>
      <c r="E1128" s="705"/>
      <c r="F1128" s="659"/>
      <c r="G1128" s="661"/>
      <c r="H1128" s="660"/>
      <c r="I1128" s="691"/>
      <c r="J1128" s="661"/>
      <c r="K1128" s="706"/>
      <c r="L1128" s="665"/>
      <c r="M1128" s="663"/>
      <c r="N1128" s="665"/>
      <c r="O1128" s="665"/>
      <c r="P1128" s="665"/>
      <c r="Q1128" s="665"/>
      <c r="R1128" s="665"/>
      <c r="S1128" s="665"/>
      <c r="T1128" s="673"/>
      <c r="U1128" s="673"/>
      <c r="V1128" s="673"/>
      <c r="W1128" s="673"/>
      <c r="X1128" s="673"/>
      <c r="Y1128" s="673"/>
      <c r="Z1128" s="673"/>
      <c r="AA1128" s="673"/>
      <c r="AB1128" s="673"/>
      <c r="AC1128" s="673"/>
      <c r="AD1128" s="673"/>
      <c r="AE1128" s="673"/>
      <c r="AF1128" s="673"/>
      <c r="AG1128" s="673"/>
      <c r="AH1128" s="673"/>
    </row>
    <row r="1129">
      <c r="A1129" s="653"/>
      <c r="B1129" s="654"/>
      <c r="C1129" s="691"/>
      <c r="D1129" s="661"/>
      <c r="E1129" s="705"/>
      <c r="F1129" s="659"/>
      <c r="G1129" s="661"/>
      <c r="H1129" s="660"/>
      <c r="I1129" s="691"/>
      <c r="J1129" s="661"/>
      <c r="K1129" s="706"/>
      <c r="L1129" s="665"/>
      <c r="M1129" s="663"/>
      <c r="N1129" s="665"/>
      <c r="O1129" s="665"/>
      <c r="P1129" s="665"/>
      <c r="Q1129" s="665"/>
      <c r="R1129" s="665"/>
      <c r="S1129" s="665"/>
      <c r="T1129" s="673"/>
      <c r="U1129" s="673"/>
      <c r="V1129" s="673"/>
      <c r="W1129" s="673"/>
      <c r="X1129" s="673"/>
      <c r="Y1129" s="673"/>
      <c r="Z1129" s="673"/>
      <c r="AA1129" s="673"/>
      <c r="AB1129" s="673"/>
      <c r="AC1129" s="673"/>
      <c r="AD1129" s="673"/>
      <c r="AE1129" s="673"/>
      <c r="AF1129" s="673"/>
      <c r="AG1129" s="673"/>
      <c r="AH1129" s="673"/>
    </row>
    <row r="1130">
      <c r="A1130" s="653"/>
      <c r="B1130" s="654"/>
      <c r="C1130" s="691"/>
      <c r="D1130" s="661"/>
      <c r="E1130" s="705"/>
      <c r="F1130" s="659"/>
      <c r="G1130" s="661"/>
      <c r="H1130" s="660"/>
      <c r="I1130" s="691"/>
      <c r="J1130" s="661"/>
      <c r="K1130" s="706"/>
      <c r="L1130" s="665"/>
      <c r="M1130" s="663"/>
      <c r="N1130" s="665"/>
      <c r="O1130" s="665"/>
      <c r="P1130" s="665"/>
      <c r="Q1130" s="665"/>
      <c r="R1130" s="665"/>
      <c r="S1130" s="665"/>
      <c r="T1130" s="673"/>
      <c r="U1130" s="673"/>
      <c r="V1130" s="673"/>
      <c r="W1130" s="673"/>
      <c r="X1130" s="673"/>
      <c r="Y1130" s="673"/>
      <c r="Z1130" s="673"/>
      <c r="AA1130" s="673"/>
      <c r="AB1130" s="673"/>
      <c r="AC1130" s="673"/>
      <c r="AD1130" s="673"/>
      <c r="AE1130" s="673"/>
      <c r="AF1130" s="673"/>
      <c r="AG1130" s="673"/>
      <c r="AH1130" s="673"/>
    </row>
    <row r="1131">
      <c r="A1131" s="653"/>
      <c r="B1131" s="654"/>
      <c r="C1131" s="691"/>
      <c r="D1131" s="661"/>
      <c r="E1131" s="705"/>
      <c r="F1131" s="659"/>
      <c r="G1131" s="661"/>
      <c r="H1131" s="660"/>
      <c r="I1131" s="691"/>
      <c r="J1131" s="661"/>
      <c r="K1131" s="706"/>
      <c r="L1131" s="665"/>
      <c r="M1131" s="663"/>
      <c r="N1131" s="665"/>
      <c r="O1131" s="665"/>
      <c r="P1131" s="665"/>
      <c r="Q1131" s="665"/>
      <c r="R1131" s="665"/>
      <c r="S1131" s="665"/>
      <c r="T1131" s="673"/>
      <c r="U1131" s="673"/>
      <c r="V1131" s="673"/>
      <c r="W1131" s="673"/>
      <c r="X1131" s="673"/>
      <c r="Y1131" s="673"/>
      <c r="Z1131" s="673"/>
      <c r="AA1131" s="673"/>
      <c r="AB1131" s="673"/>
      <c r="AC1131" s="673"/>
      <c r="AD1131" s="673"/>
      <c r="AE1131" s="673"/>
      <c r="AF1131" s="673"/>
      <c r="AG1131" s="673"/>
      <c r="AH1131" s="673"/>
    </row>
    <row r="1132">
      <c r="A1132" s="653"/>
      <c r="B1132" s="654"/>
      <c r="C1132" s="691"/>
      <c r="D1132" s="661"/>
      <c r="E1132" s="705"/>
      <c r="F1132" s="659"/>
      <c r="G1132" s="661"/>
      <c r="H1132" s="660"/>
      <c r="I1132" s="691"/>
      <c r="J1132" s="661"/>
      <c r="K1132" s="706"/>
      <c r="L1132" s="665"/>
      <c r="M1132" s="663"/>
      <c r="N1132" s="665"/>
      <c r="O1132" s="665"/>
      <c r="P1132" s="665"/>
      <c r="Q1132" s="665"/>
      <c r="R1132" s="665"/>
      <c r="S1132" s="665"/>
      <c r="T1132" s="673"/>
      <c r="U1132" s="673"/>
      <c r="V1132" s="673"/>
      <c r="W1132" s="673"/>
      <c r="X1132" s="673"/>
      <c r="Y1132" s="673"/>
      <c r="Z1132" s="673"/>
      <c r="AA1132" s="673"/>
      <c r="AB1132" s="673"/>
      <c r="AC1132" s="673"/>
      <c r="AD1132" s="673"/>
      <c r="AE1132" s="673"/>
      <c r="AF1132" s="673"/>
      <c r="AG1132" s="673"/>
      <c r="AH1132" s="673"/>
    </row>
    <row r="1133">
      <c r="A1133" s="653"/>
      <c r="B1133" s="654"/>
      <c r="C1133" s="691"/>
      <c r="D1133" s="661"/>
      <c r="E1133" s="705"/>
      <c r="F1133" s="659"/>
      <c r="G1133" s="661"/>
      <c r="H1133" s="660"/>
      <c r="I1133" s="691"/>
      <c r="J1133" s="661"/>
      <c r="K1133" s="706"/>
      <c r="L1133" s="665"/>
      <c r="M1133" s="663"/>
      <c r="N1133" s="665"/>
      <c r="O1133" s="665"/>
      <c r="P1133" s="665"/>
      <c r="Q1133" s="665"/>
      <c r="R1133" s="665"/>
      <c r="S1133" s="665"/>
      <c r="T1133" s="673"/>
      <c r="U1133" s="673"/>
      <c r="V1133" s="673"/>
      <c r="W1133" s="673"/>
      <c r="X1133" s="673"/>
      <c r="Y1133" s="673"/>
      <c r="Z1133" s="673"/>
      <c r="AA1133" s="673"/>
      <c r="AB1133" s="673"/>
      <c r="AC1133" s="673"/>
      <c r="AD1133" s="673"/>
      <c r="AE1133" s="673"/>
      <c r="AF1133" s="673"/>
      <c r="AG1133" s="673"/>
      <c r="AH1133" s="673"/>
    </row>
    <row r="1134">
      <c r="A1134" s="653"/>
      <c r="B1134" s="654"/>
      <c r="C1134" s="691"/>
      <c r="D1134" s="661"/>
      <c r="E1134" s="705"/>
      <c r="F1134" s="659"/>
      <c r="G1134" s="661"/>
      <c r="H1134" s="660"/>
      <c r="I1134" s="691"/>
      <c r="J1134" s="661"/>
      <c r="K1134" s="706"/>
      <c r="L1134" s="665"/>
      <c r="M1134" s="663"/>
      <c r="N1134" s="665"/>
      <c r="O1134" s="665"/>
      <c r="P1134" s="665"/>
      <c r="Q1134" s="665"/>
      <c r="R1134" s="665"/>
      <c r="S1134" s="665"/>
      <c r="T1134" s="673"/>
      <c r="U1134" s="673"/>
      <c r="V1134" s="673"/>
      <c r="W1134" s="673"/>
      <c r="X1134" s="673"/>
      <c r="Y1134" s="673"/>
      <c r="Z1134" s="673"/>
      <c r="AA1134" s="673"/>
      <c r="AB1134" s="673"/>
      <c r="AC1134" s="673"/>
      <c r="AD1134" s="673"/>
      <c r="AE1134" s="673"/>
      <c r="AF1134" s="673"/>
      <c r="AG1134" s="673"/>
      <c r="AH1134" s="673"/>
    </row>
    <row r="1135">
      <c r="A1135" s="653"/>
      <c r="B1135" s="654"/>
      <c r="C1135" s="691"/>
      <c r="D1135" s="661"/>
      <c r="E1135" s="705"/>
      <c r="F1135" s="659"/>
      <c r="G1135" s="661"/>
      <c r="H1135" s="660"/>
      <c r="I1135" s="691"/>
      <c r="J1135" s="661"/>
      <c r="K1135" s="706"/>
      <c r="L1135" s="665"/>
      <c r="M1135" s="663"/>
      <c r="N1135" s="665"/>
      <c r="O1135" s="665"/>
      <c r="P1135" s="665"/>
      <c r="Q1135" s="665"/>
      <c r="R1135" s="665"/>
      <c r="S1135" s="665"/>
      <c r="T1135" s="673"/>
      <c r="U1135" s="673"/>
      <c r="V1135" s="673"/>
      <c r="W1135" s="673"/>
      <c r="X1135" s="673"/>
      <c r="Y1135" s="673"/>
      <c r="Z1135" s="673"/>
      <c r="AA1135" s="673"/>
      <c r="AB1135" s="673"/>
      <c r="AC1135" s="673"/>
      <c r="AD1135" s="673"/>
      <c r="AE1135" s="673"/>
      <c r="AF1135" s="673"/>
      <c r="AG1135" s="673"/>
      <c r="AH1135" s="673"/>
    </row>
    <row r="1136">
      <c r="A1136" s="653"/>
      <c r="B1136" s="654"/>
      <c r="C1136" s="691"/>
      <c r="D1136" s="661"/>
      <c r="E1136" s="705"/>
      <c r="F1136" s="659"/>
      <c r="G1136" s="661"/>
      <c r="H1136" s="660"/>
      <c r="I1136" s="691"/>
      <c r="J1136" s="661"/>
      <c r="K1136" s="706"/>
      <c r="L1136" s="665"/>
      <c r="M1136" s="663"/>
      <c r="N1136" s="665"/>
      <c r="O1136" s="665"/>
      <c r="P1136" s="665"/>
      <c r="Q1136" s="665"/>
      <c r="R1136" s="665"/>
      <c r="S1136" s="665"/>
      <c r="T1136" s="673"/>
      <c r="U1136" s="673"/>
      <c r="V1136" s="673"/>
      <c r="W1136" s="673"/>
      <c r="X1136" s="673"/>
      <c r="Y1136" s="673"/>
      <c r="Z1136" s="673"/>
      <c r="AA1136" s="673"/>
      <c r="AB1136" s="673"/>
      <c r="AC1136" s="673"/>
      <c r="AD1136" s="673"/>
      <c r="AE1136" s="673"/>
      <c r="AF1136" s="673"/>
      <c r="AG1136" s="673"/>
      <c r="AH1136" s="673"/>
    </row>
    <row r="1137">
      <c r="A1137" s="653"/>
      <c r="B1137" s="654"/>
      <c r="C1137" s="691"/>
      <c r="D1137" s="661"/>
      <c r="E1137" s="705"/>
      <c r="F1137" s="659"/>
      <c r="G1137" s="661"/>
      <c r="H1137" s="660"/>
      <c r="I1137" s="691"/>
      <c r="J1137" s="661"/>
      <c r="K1137" s="706"/>
      <c r="L1137" s="665"/>
      <c r="M1137" s="663"/>
      <c r="N1137" s="665"/>
      <c r="O1137" s="665"/>
      <c r="P1137" s="665"/>
      <c r="Q1137" s="665"/>
      <c r="R1137" s="665"/>
      <c r="S1137" s="665"/>
      <c r="T1137" s="673"/>
      <c r="U1137" s="673"/>
      <c r="V1137" s="673"/>
      <c r="W1137" s="673"/>
      <c r="X1137" s="673"/>
      <c r="Y1137" s="673"/>
      <c r="Z1137" s="673"/>
      <c r="AA1137" s="673"/>
      <c r="AB1137" s="673"/>
      <c r="AC1137" s="673"/>
      <c r="AD1137" s="673"/>
      <c r="AE1137" s="673"/>
      <c r="AF1137" s="673"/>
      <c r="AG1137" s="673"/>
      <c r="AH1137" s="673"/>
    </row>
    <row r="1138">
      <c r="A1138" s="653"/>
      <c r="B1138" s="654"/>
      <c r="C1138" s="691"/>
      <c r="D1138" s="661"/>
      <c r="E1138" s="705"/>
      <c r="F1138" s="659"/>
      <c r="G1138" s="661"/>
      <c r="H1138" s="660"/>
      <c r="I1138" s="691"/>
      <c r="J1138" s="661"/>
      <c r="K1138" s="706"/>
      <c r="L1138" s="665"/>
      <c r="M1138" s="663"/>
      <c r="N1138" s="665"/>
      <c r="O1138" s="665"/>
      <c r="P1138" s="665"/>
      <c r="Q1138" s="665"/>
      <c r="R1138" s="665"/>
      <c r="S1138" s="665"/>
      <c r="T1138" s="673"/>
      <c r="U1138" s="673"/>
      <c r="V1138" s="673"/>
      <c r="W1138" s="673"/>
      <c r="X1138" s="673"/>
      <c r="Y1138" s="673"/>
      <c r="Z1138" s="673"/>
      <c r="AA1138" s="673"/>
      <c r="AB1138" s="673"/>
      <c r="AC1138" s="673"/>
      <c r="AD1138" s="673"/>
      <c r="AE1138" s="673"/>
      <c r="AF1138" s="673"/>
      <c r="AG1138" s="673"/>
      <c r="AH1138" s="673"/>
    </row>
    <row r="1139">
      <c r="A1139" s="653"/>
      <c r="B1139" s="654"/>
      <c r="C1139" s="691"/>
      <c r="D1139" s="661"/>
      <c r="E1139" s="705"/>
      <c r="F1139" s="659"/>
      <c r="G1139" s="661"/>
      <c r="H1139" s="660"/>
      <c r="I1139" s="691"/>
      <c r="J1139" s="661"/>
      <c r="K1139" s="706"/>
      <c r="L1139" s="665"/>
      <c r="M1139" s="663"/>
      <c r="N1139" s="665"/>
      <c r="O1139" s="665"/>
      <c r="P1139" s="665"/>
      <c r="Q1139" s="665"/>
      <c r="R1139" s="665"/>
      <c r="S1139" s="665"/>
      <c r="T1139" s="673"/>
      <c r="U1139" s="673"/>
      <c r="V1139" s="673"/>
      <c r="W1139" s="673"/>
      <c r="X1139" s="673"/>
      <c r="Y1139" s="673"/>
      <c r="Z1139" s="673"/>
      <c r="AA1139" s="673"/>
      <c r="AB1139" s="673"/>
      <c r="AC1139" s="673"/>
      <c r="AD1139" s="673"/>
      <c r="AE1139" s="673"/>
      <c r="AF1139" s="673"/>
      <c r="AG1139" s="673"/>
      <c r="AH1139" s="673"/>
    </row>
    <row r="1140">
      <c r="A1140" s="653"/>
      <c r="B1140" s="654"/>
      <c r="C1140" s="691"/>
      <c r="D1140" s="661"/>
      <c r="E1140" s="705"/>
      <c r="F1140" s="659"/>
      <c r="G1140" s="661"/>
      <c r="H1140" s="660"/>
      <c r="I1140" s="691"/>
      <c r="J1140" s="661"/>
      <c r="K1140" s="706"/>
      <c r="L1140" s="665"/>
      <c r="M1140" s="663"/>
      <c r="N1140" s="665"/>
      <c r="O1140" s="665"/>
      <c r="P1140" s="665"/>
      <c r="Q1140" s="665"/>
      <c r="R1140" s="665"/>
      <c r="S1140" s="665"/>
      <c r="T1140" s="673"/>
      <c r="U1140" s="673"/>
      <c r="V1140" s="673"/>
      <c r="W1140" s="673"/>
      <c r="X1140" s="673"/>
      <c r="Y1140" s="673"/>
      <c r="Z1140" s="673"/>
      <c r="AA1140" s="673"/>
      <c r="AB1140" s="673"/>
      <c r="AC1140" s="673"/>
      <c r="AD1140" s="673"/>
      <c r="AE1140" s="673"/>
      <c r="AF1140" s="673"/>
      <c r="AG1140" s="673"/>
      <c r="AH1140" s="673"/>
    </row>
    <row r="1141">
      <c r="A1141" s="653"/>
      <c r="B1141" s="654"/>
      <c r="C1141" s="691"/>
      <c r="D1141" s="661"/>
      <c r="E1141" s="705"/>
      <c r="F1141" s="659"/>
      <c r="G1141" s="661"/>
      <c r="H1141" s="660"/>
      <c r="I1141" s="691"/>
      <c r="J1141" s="661"/>
      <c r="K1141" s="706"/>
      <c r="L1141" s="665"/>
      <c r="M1141" s="663"/>
      <c r="N1141" s="665"/>
      <c r="O1141" s="665"/>
      <c r="P1141" s="665"/>
      <c r="Q1141" s="665"/>
      <c r="R1141" s="665"/>
      <c r="S1141" s="665"/>
      <c r="T1141" s="673"/>
      <c r="U1141" s="673"/>
      <c r="V1141" s="673"/>
      <c r="W1141" s="673"/>
      <c r="X1141" s="673"/>
      <c r="Y1141" s="673"/>
      <c r="Z1141" s="673"/>
      <c r="AA1141" s="673"/>
      <c r="AB1141" s="673"/>
      <c r="AC1141" s="673"/>
      <c r="AD1141" s="673"/>
      <c r="AE1141" s="673"/>
      <c r="AF1141" s="673"/>
      <c r="AG1141" s="673"/>
      <c r="AH1141" s="673"/>
    </row>
    <row r="1142">
      <c r="A1142" s="653"/>
      <c r="B1142" s="654"/>
      <c r="C1142" s="691"/>
      <c r="D1142" s="661"/>
      <c r="E1142" s="705"/>
      <c r="F1142" s="659"/>
      <c r="G1142" s="661"/>
      <c r="H1142" s="660"/>
      <c r="I1142" s="691"/>
      <c r="J1142" s="661"/>
      <c r="K1142" s="706"/>
      <c r="L1142" s="665"/>
      <c r="M1142" s="663"/>
      <c r="N1142" s="665"/>
      <c r="O1142" s="665"/>
      <c r="P1142" s="665"/>
      <c r="Q1142" s="665"/>
      <c r="R1142" s="665"/>
      <c r="S1142" s="665"/>
      <c r="T1142" s="673"/>
      <c r="U1142" s="673"/>
      <c r="V1142" s="673"/>
      <c r="W1142" s="673"/>
      <c r="X1142" s="673"/>
      <c r="Y1142" s="673"/>
      <c r="Z1142" s="673"/>
      <c r="AA1142" s="673"/>
      <c r="AB1142" s="673"/>
      <c r="AC1142" s="673"/>
      <c r="AD1142" s="673"/>
      <c r="AE1142" s="673"/>
      <c r="AF1142" s="673"/>
      <c r="AG1142" s="673"/>
      <c r="AH1142" s="673"/>
    </row>
    <row r="1143">
      <c r="A1143" s="653"/>
      <c r="B1143" s="654"/>
      <c r="C1143" s="691"/>
      <c r="D1143" s="661"/>
      <c r="E1143" s="705"/>
      <c r="F1143" s="659"/>
      <c r="G1143" s="661"/>
      <c r="H1143" s="660"/>
      <c r="I1143" s="691"/>
      <c r="J1143" s="661"/>
      <c r="K1143" s="706"/>
      <c r="L1143" s="665"/>
      <c r="M1143" s="663"/>
      <c r="N1143" s="665"/>
      <c r="O1143" s="665"/>
      <c r="P1143" s="665"/>
      <c r="Q1143" s="665"/>
      <c r="R1143" s="665"/>
      <c r="S1143" s="665"/>
      <c r="T1143" s="673"/>
      <c r="U1143" s="673"/>
      <c r="V1143" s="673"/>
      <c r="W1143" s="673"/>
      <c r="X1143" s="673"/>
      <c r="Y1143" s="673"/>
      <c r="Z1143" s="673"/>
      <c r="AA1143" s="673"/>
      <c r="AB1143" s="673"/>
      <c r="AC1143" s="673"/>
      <c r="AD1143" s="673"/>
      <c r="AE1143" s="673"/>
      <c r="AF1143" s="673"/>
      <c r="AG1143" s="673"/>
      <c r="AH1143" s="673"/>
    </row>
    <row r="1144">
      <c r="A1144" s="653"/>
      <c r="B1144" s="654"/>
      <c r="C1144" s="691"/>
      <c r="D1144" s="661"/>
      <c r="E1144" s="705"/>
      <c r="F1144" s="659"/>
      <c r="G1144" s="661"/>
      <c r="H1144" s="660"/>
      <c r="I1144" s="691"/>
      <c r="J1144" s="661"/>
      <c r="K1144" s="706"/>
      <c r="L1144" s="665"/>
      <c r="M1144" s="663"/>
      <c r="N1144" s="665"/>
      <c r="O1144" s="665"/>
      <c r="P1144" s="665"/>
      <c r="Q1144" s="665"/>
      <c r="R1144" s="665"/>
      <c r="S1144" s="665"/>
      <c r="T1144" s="673"/>
      <c r="U1144" s="673"/>
      <c r="V1144" s="673"/>
      <c r="W1144" s="673"/>
      <c r="X1144" s="673"/>
      <c r="Y1144" s="673"/>
      <c r="Z1144" s="673"/>
      <c r="AA1144" s="673"/>
      <c r="AB1144" s="673"/>
      <c r="AC1144" s="673"/>
      <c r="AD1144" s="673"/>
      <c r="AE1144" s="673"/>
      <c r="AF1144" s="673"/>
      <c r="AG1144" s="673"/>
      <c r="AH1144" s="673"/>
    </row>
    <row r="1145">
      <c r="A1145" s="653"/>
      <c r="B1145" s="654"/>
      <c r="C1145" s="691"/>
      <c r="D1145" s="661"/>
      <c r="E1145" s="705"/>
      <c r="F1145" s="659"/>
      <c r="G1145" s="661"/>
      <c r="H1145" s="660"/>
      <c r="I1145" s="691"/>
      <c r="J1145" s="661"/>
      <c r="K1145" s="706"/>
      <c r="L1145" s="665"/>
      <c r="M1145" s="663"/>
      <c r="N1145" s="665"/>
      <c r="O1145" s="665"/>
      <c r="P1145" s="665"/>
      <c r="Q1145" s="665"/>
      <c r="R1145" s="665"/>
      <c r="S1145" s="665"/>
      <c r="T1145" s="673"/>
      <c r="U1145" s="673"/>
      <c r="V1145" s="673"/>
      <c r="W1145" s="673"/>
      <c r="X1145" s="673"/>
      <c r="Y1145" s="673"/>
      <c r="Z1145" s="673"/>
      <c r="AA1145" s="673"/>
      <c r="AB1145" s="673"/>
      <c r="AC1145" s="673"/>
      <c r="AD1145" s="673"/>
      <c r="AE1145" s="673"/>
      <c r="AF1145" s="673"/>
      <c r="AG1145" s="673"/>
      <c r="AH1145" s="673"/>
    </row>
    <row r="1146">
      <c r="A1146" s="653"/>
      <c r="B1146" s="654"/>
      <c r="C1146" s="691"/>
      <c r="D1146" s="661"/>
      <c r="E1146" s="705"/>
      <c r="F1146" s="659"/>
      <c r="G1146" s="661"/>
      <c r="H1146" s="660"/>
      <c r="I1146" s="691"/>
      <c r="J1146" s="661"/>
      <c r="K1146" s="706"/>
      <c r="L1146" s="665"/>
      <c r="M1146" s="663"/>
      <c r="N1146" s="665"/>
      <c r="O1146" s="665"/>
      <c r="P1146" s="665"/>
      <c r="Q1146" s="665"/>
      <c r="R1146" s="665"/>
      <c r="S1146" s="665"/>
      <c r="T1146" s="673"/>
      <c r="U1146" s="673"/>
      <c r="V1146" s="673"/>
      <c r="W1146" s="673"/>
      <c r="X1146" s="673"/>
      <c r="Y1146" s="673"/>
      <c r="Z1146" s="673"/>
      <c r="AA1146" s="673"/>
      <c r="AB1146" s="673"/>
      <c r="AC1146" s="673"/>
      <c r="AD1146" s="673"/>
      <c r="AE1146" s="673"/>
      <c r="AF1146" s="673"/>
      <c r="AG1146" s="673"/>
      <c r="AH1146" s="673"/>
    </row>
    <row r="1147">
      <c r="A1147" s="653"/>
      <c r="B1147" s="654"/>
      <c r="C1147" s="691"/>
      <c r="D1147" s="661"/>
      <c r="E1147" s="705"/>
      <c r="F1147" s="659"/>
      <c r="G1147" s="661"/>
      <c r="H1147" s="660"/>
      <c r="I1147" s="691"/>
      <c r="J1147" s="661"/>
      <c r="K1147" s="706"/>
      <c r="L1147" s="665"/>
      <c r="M1147" s="663"/>
      <c r="N1147" s="665"/>
      <c r="O1147" s="665"/>
      <c r="P1147" s="665"/>
      <c r="Q1147" s="665"/>
      <c r="R1147" s="665"/>
      <c r="S1147" s="665"/>
      <c r="T1147" s="673"/>
      <c r="U1147" s="673"/>
      <c r="V1147" s="673"/>
      <c r="W1147" s="673"/>
      <c r="X1147" s="673"/>
      <c r="Y1147" s="673"/>
      <c r="Z1147" s="673"/>
      <c r="AA1147" s="673"/>
      <c r="AB1147" s="673"/>
      <c r="AC1147" s="673"/>
      <c r="AD1147" s="673"/>
      <c r="AE1147" s="673"/>
      <c r="AF1147" s="673"/>
      <c r="AG1147" s="673"/>
      <c r="AH1147" s="673"/>
    </row>
    <row r="1148">
      <c r="A1148" s="653"/>
      <c r="B1148" s="654"/>
      <c r="C1148" s="691"/>
      <c r="D1148" s="661"/>
      <c r="E1148" s="705"/>
      <c r="F1148" s="659"/>
      <c r="G1148" s="661"/>
      <c r="H1148" s="660"/>
      <c r="I1148" s="691"/>
      <c r="J1148" s="661"/>
      <c r="K1148" s="706"/>
      <c r="L1148" s="665"/>
      <c r="M1148" s="663"/>
      <c r="N1148" s="665"/>
      <c r="O1148" s="665"/>
      <c r="P1148" s="665"/>
      <c r="Q1148" s="665"/>
      <c r="R1148" s="665"/>
      <c r="S1148" s="665"/>
      <c r="T1148" s="673"/>
      <c r="U1148" s="673"/>
      <c r="V1148" s="673"/>
      <c r="W1148" s="673"/>
      <c r="X1148" s="673"/>
      <c r="Y1148" s="673"/>
      <c r="Z1148" s="673"/>
      <c r="AA1148" s="673"/>
      <c r="AB1148" s="673"/>
      <c r="AC1148" s="673"/>
      <c r="AD1148" s="673"/>
      <c r="AE1148" s="673"/>
      <c r="AF1148" s="673"/>
      <c r="AG1148" s="673"/>
      <c r="AH1148" s="673"/>
    </row>
    <row r="1149">
      <c r="A1149" s="653"/>
      <c r="B1149" s="654"/>
      <c r="C1149" s="691"/>
      <c r="D1149" s="661"/>
      <c r="E1149" s="705"/>
      <c r="F1149" s="659"/>
      <c r="G1149" s="661"/>
      <c r="H1149" s="660"/>
      <c r="I1149" s="691"/>
      <c r="J1149" s="661"/>
      <c r="K1149" s="706"/>
      <c r="L1149" s="665"/>
      <c r="M1149" s="663"/>
      <c r="N1149" s="665"/>
      <c r="O1149" s="665"/>
      <c r="P1149" s="665"/>
      <c r="Q1149" s="665"/>
      <c r="R1149" s="665"/>
      <c r="S1149" s="665"/>
      <c r="T1149" s="673"/>
      <c r="U1149" s="673"/>
      <c r="V1149" s="673"/>
      <c r="W1149" s="673"/>
      <c r="X1149" s="673"/>
      <c r="Y1149" s="673"/>
      <c r="Z1149" s="673"/>
      <c r="AA1149" s="673"/>
      <c r="AB1149" s="673"/>
      <c r="AC1149" s="673"/>
      <c r="AD1149" s="673"/>
      <c r="AE1149" s="673"/>
      <c r="AF1149" s="673"/>
      <c r="AG1149" s="673"/>
      <c r="AH1149" s="673"/>
    </row>
    <row r="1150">
      <c r="A1150" s="653"/>
      <c r="B1150" s="654"/>
      <c r="C1150" s="691"/>
      <c r="D1150" s="661"/>
      <c r="E1150" s="705"/>
      <c r="F1150" s="659"/>
      <c r="G1150" s="661"/>
      <c r="H1150" s="660"/>
      <c r="I1150" s="691"/>
      <c r="J1150" s="661"/>
      <c r="K1150" s="706"/>
      <c r="L1150" s="665"/>
      <c r="M1150" s="663"/>
      <c r="N1150" s="665"/>
      <c r="O1150" s="665"/>
      <c r="P1150" s="665"/>
      <c r="Q1150" s="665"/>
      <c r="R1150" s="665"/>
      <c r="S1150" s="665"/>
      <c r="T1150" s="673"/>
      <c r="U1150" s="673"/>
      <c r="V1150" s="673"/>
      <c r="W1150" s="673"/>
      <c r="X1150" s="673"/>
      <c r="Y1150" s="673"/>
      <c r="Z1150" s="673"/>
      <c r="AA1150" s="673"/>
      <c r="AB1150" s="673"/>
      <c r="AC1150" s="673"/>
      <c r="AD1150" s="673"/>
      <c r="AE1150" s="673"/>
      <c r="AF1150" s="673"/>
      <c r="AG1150" s="673"/>
      <c r="AH1150" s="673"/>
    </row>
    <row r="1151">
      <c r="A1151" s="653"/>
      <c r="B1151" s="654"/>
      <c r="C1151" s="691"/>
      <c r="D1151" s="661"/>
      <c r="E1151" s="705"/>
      <c r="F1151" s="659"/>
      <c r="G1151" s="661"/>
      <c r="H1151" s="660"/>
      <c r="I1151" s="691"/>
      <c r="J1151" s="661"/>
      <c r="K1151" s="706"/>
      <c r="L1151" s="665"/>
      <c r="M1151" s="663"/>
      <c r="N1151" s="665"/>
      <c r="O1151" s="665"/>
      <c r="P1151" s="665"/>
      <c r="Q1151" s="665"/>
      <c r="R1151" s="665"/>
      <c r="S1151" s="665"/>
      <c r="T1151" s="673"/>
      <c r="U1151" s="673"/>
      <c r="V1151" s="673"/>
      <c r="W1151" s="673"/>
      <c r="X1151" s="673"/>
      <c r="Y1151" s="673"/>
      <c r="Z1151" s="673"/>
      <c r="AA1151" s="673"/>
      <c r="AB1151" s="673"/>
      <c r="AC1151" s="673"/>
      <c r="AD1151" s="673"/>
      <c r="AE1151" s="673"/>
      <c r="AF1151" s="673"/>
      <c r="AG1151" s="673"/>
      <c r="AH1151" s="673"/>
    </row>
    <row r="1152">
      <c r="A1152" s="653"/>
      <c r="B1152" s="654"/>
      <c r="C1152" s="691"/>
      <c r="D1152" s="661"/>
      <c r="E1152" s="705"/>
      <c r="F1152" s="659"/>
      <c r="G1152" s="661"/>
      <c r="H1152" s="660"/>
      <c r="I1152" s="691"/>
      <c r="J1152" s="661"/>
      <c r="K1152" s="706"/>
      <c r="L1152" s="665"/>
      <c r="M1152" s="663"/>
      <c r="N1152" s="665"/>
      <c r="O1152" s="665"/>
      <c r="P1152" s="665"/>
      <c r="Q1152" s="665"/>
      <c r="R1152" s="665"/>
      <c r="S1152" s="665"/>
      <c r="T1152" s="673"/>
      <c r="U1152" s="673"/>
      <c r="V1152" s="673"/>
      <c r="W1152" s="673"/>
      <c r="X1152" s="673"/>
      <c r="Y1152" s="673"/>
      <c r="Z1152" s="673"/>
      <c r="AA1152" s="673"/>
      <c r="AB1152" s="673"/>
      <c r="AC1152" s="673"/>
      <c r="AD1152" s="673"/>
      <c r="AE1152" s="673"/>
      <c r="AF1152" s="673"/>
      <c r="AG1152" s="673"/>
      <c r="AH1152" s="673"/>
    </row>
    <row r="1153">
      <c r="A1153" s="653"/>
      <c r="B1153" s="654"/>
      <c r="C1153" s="691"/>
      <c r="D1153" s="661"/>
      <c r="E1153" s="705"/>
      <c r="F1153" s="659"/>
      <c r="G1153" s="661"/>
      <c r="H1153" s="660"/>
      <c r="I1153" s="691"/>
      <c r="J1153" s="661"/>
      <c r="K1153" s="706"/>
      <c r="L1153" s="665"/>
      <c r="M1153" s="663"/>
      <c r="N1153" s="665"/>
      <c r="O1153" s="665"/>
      <c r="P1153" s="665"/>
      <c r="Q1153" s="665"/>
      <c r="R1153" s="665"/>
      <c r="S1153" s="665"/>
      <c r="T1153" s="673"/>
      <c r="U1153" s="673"/>
      <c r="V1153" s="673"/>
      <c r="W1153" s="673"/>
      <c r="X1153" s="673"/>
      <c r="Y1153" s="673"/>
      <c r="Z1153" s="673"/>
      <c r="AA1153" s="673"/>
      <c r="AB1153" s="673"/>
      <c r="AC1153" s="673"/>
      <c r="AD1153" s="673"/>
      <c r="AE1153" s="673"/>
      <c r="AF1153" s="673"/>
      <c r="AG1153" s="673"/>
      <c r="AH1153" s="673"/>
    </row>
    <row r="1154">
      <c r="A1154" s="653"/>
      <c r="B1154" s="654"/>
      <c r="C1154" s="691"/>
      <c r="D1154" s="661"/>
      <c r="E1154" s="705"/>
      <c r="F1154" s="659"/>
      <c r="G1154" s="661"/>
      <c r="H1154" s="660"/>
      <c r="I1154" s="691"/>
      <c r="J1154" s="661"/>
      <c r="K1154" s="706"/>
      <c r="L1154" s="665"/>
      <c r="M1154" s="663"/>
      <c r="N1154" s="665"/>
      <c r="O1154" s="665"/>
      <c r="P1154" s="665"/>
      <c r="Q1154" s="665"/>
      <c r="R1154" s="665"/>
      <c r="S1154" s="665"/>
      <c r="T1154" s="673"/>
      <c r="U1154" s="673"/>
      <c r="V1154" s="673"/>
      <c r="W1154" s="673"/>
      <c r="X1154" s="673"/>
      <c r="Y1154" s="673"/>
      <c r="Z1154" s="673"/>
      <c r="AA1154" s="673"/>
      <c r="AB1154" s="673"/>
      <c r="AC1154" s="673"/>
      <c r="AD1154" s="673"/>
      <c r="AE1154" s="673"/>
      <c r="AF1154" s="673"/>
      <c r="AG1154" s="673"/>
      <c r="AH1154" s="673"/>
    </row>
    <row r="1155">
      <c r="A1155" s="653"/>
      <c r="B1155" s="654"/>
      <c r="C1155" s="691"/>
      <c r="D1155" s="661"/>
      <c r="E1155" s="705"/>
      <c r="F1155" s="659"/>
      <c r="G1155" s="661"/>
      <c r="H1155" s="660"/>
      <c r="I1155" s="691"/>
      <c r="J1155" s="661"/>
      <c r="K1155" s="706"/>
      <c r="L1155" s="665"/>
      <c r="M1155" s="663"/>
      <c r="N1155" s="665"/>
      <c r="O1155" s="665"/>
      <c r="P1155" s="665"/>
      <c r="Q1155" s="665"/>
      <c r="R1155" s="665"/>
      <c r="S1155" s="665"/>
      <c r="T1155" s="673"/>
      <c r="U1155" s="673"/>
      <c r="V1155" s="673"/>
      <c r="W1155" s="673"/>
      <c r="X1155" s="673"/>
      <c r="Y1155" s="673"/>
      <c r="Z1155" s="673"/>
      <c r="AA1155" s="673"/>
      <c r="AB1155" s="673"/>
      <c r="AC1155" s="673"/>
      <c r="AD1155" s="673"/>
      <c r="AE1155" s="673"/>
      <c r="AF1155" s="673"/>
      <c r="AG1155" s="673"/>
      <c r="AH1155" s="673"/>
    </row>
    <row r="1156">
      <c r="A1156" s="653"/>
      <c r="B1156" s="654"/>
      <c r="C1156" s="691"/>
      <c r="D1156" s="661"/>
      <c r="E1156" s="705"/>
      <c r="F1156" s="659"/>
      <c r="G1156" s="661"/>
      <c r="H1156" s="660"/>
      <c r="I1156" s="691"/>
      <c r="J1156" s="661"/>
      <c r="K1156" s="706"/>
      <c r="L1156" s="665"/>
      <c r="M1156" s="663"/>
      <c r="N1156" s="665"/>
      <c r="O1156" s="665"/>
      <c r="P1156" s="665"/>
      <c r="Q1156" s="665"/>
      <c r="R1156" s="665"/>
      <c r="S1156" s="665"/>
      <c r="T1156" s="673"/>
      <c r="U1156" s="673"/>
      <c r="V1156" s="673"/>
      <c r="W1156" s="673"/>
      <c r="X1156" s="673"/>
      <c r="Y1156" s="673"/>
      <c r="Z1156" s="673"/>
      <c r="AA1156" s="673"/>
      <c r="AB1156" s="673"/>
      <c r="AC1156" s="673"/>
      <c r="AD1156" s="673"/>
      <c r="AE1156" s="673"/>
      <c r="AF1156" s="673"/>
      <c r="AG1156" s="673"/>
      <c r="AH1156" s="673"/>
    </row>
    <row r="1157">
      <c r="A1157" s="653"/>
      <c r="B1157" s="654"/>
      <c r="C1157" s="691"/>
      <c r="D1157" s="661"/>
      <c r="E1157" s="705"/>
      <c r="F1157" s="659"/>
      <c r="G1157" s="661"/>
      <c r="H1157" s="660"/>
      <c r="I1157" s="691"/>
      <c r="J1157" s="661"/>
      <c r="K1157" s="706"/>
      <c r="L1157" s="665"/>
      <c r="M1157" s="663"/>
      <c r="N1157" s="665"/>
      <c r="O1157" s="665"/>
      <c r="P1157" s="665"/>
      <c r="Q1157" s="665"/>
      <c r="R1157" s="665"/>
      <c r="S1157" s="665"/>
      <c r="T1157" s="673"/>
      <c r="U1157" s="673"/>
      <c r="V1157" s="673"/>
      <c r="W1157" s="673"/>
      <c r="X1157" s="673"/>
      <c r="Y1157" s="673"/>
      <c r="Z1157" s="673"/>
      <c r="AA1157" s="673"/>
      <c r="AB1157" s="673"/>
      <c r="AC1157" s="673"/>
      <c r="AD1157" s="673"/>
      <c r="AE1157" s="673"/>
      <c r="AF1157" s="673"/>
      <c r="AG1157" s="673"/>
      <c r="AH1157" s="673"/>
    </row>
    <row r="1158">
      <c r="A1158" s="653"/>
      <c r="B1158" s="654"/>
      <c r="C1158" s="691"/>
      <c r="D1158" s="661"/>
      <c r="E1158" s="705"/>
      <c r="F1158" s="659"/>
      <c r="G1158" s="661"/>
      <c r="H1158" s="660"/>
      <c r="I1158" s="691"/>
      <c r="J1158" s="661"/>
      <c r="K1158" s="706"/>
      <c r="L1158" s="665"/>
      <c r="M1158" s="663"/>
      <c r="N1158" s="665"/>
      <c r="O1158" s="665"/>
      <c r="P1158" s="665"/>
      <c r="Q1158" s="665"/>
      <c r="R1158" s="665"/>
      <c r="S1158" s="665"/>
      <c r="T1158" s="673"/>
      <c r="U1158" s="673"/>
      <c r="V1158" s="673"/>
      <c r="W1158" s="673"/>
      <c r="X1158" s="673"/>
      <c r="Y1158" s="673"/>
      <c r="Z1158" s="673"/>
      <c r="AA1158" s="673"/>
      <c r="AB1158" s="673"/>
      <c r="AC1158" s="673"/>
      <c r="AD1158" s="673"/>
      <c r="AE1158" s="673"/>
      <c r="AF1158" s="673"/>
      <c r="AG1158" s="673"/>
      <c r="AH1158" s="673"/>
    </row>
    <row r="1159">
      <c r="A1159" s="653"/>
      <c r="B1159" s="654"/>
      <c r="C1159" s="691"/>
      <c r="D1159" s="661"/>
      <c r="E1159" s="705"/>
      <c r="F1159" s="659"/>
      <c r="G1159" s="661"/>
      <c r="H1159" s="660"/>
      <c r="I1159" s="691"/>
      <c r="J1159" s="661"/>
      <c r="K1159" s="706"/>
      <c r="L1159" s="665"/>
      <c r="M1159" s="663"/>
      <c r="N1159" s="665"/>
      <c r="O1159" s="665"/>
      <c r="P1159" s="665"/>
      <c r="Q1159" s="665"/>
      <c r="R1159" s="665"/>
      <c r="S1159" s="665"/>
      <c r="T1159" s="673"/>
      <c r="U1159" s="673"/>
      <c r="V1159" s="673"/>
      <c r="W1159" s="673"/>
      <c r="X1159" s="673"/>
      <c r="Y1159" s="673"/>
      <c r="Z1159" s="673"/>
      <c r="AA1159" s="673"/>
      <c r="AB1159" s="673"/>
      <c r="AC1159" s="673"/>
      <c r="AD1159" s="673"/>
      <c r="AE1159" s="673"/>
      <c r="AF1159" s="673"/>
      <c r="AG1159" s="673"/>
      <c r="AH1159" s="673"/>
    </row>
    <row r="1160">
      <c r="A1160" s="653"/>
      <c r="B1160" s="654"/>
      <c r="C1160" s="691"/>
      <c r="D1160" s="661"/>
      <c r="E1160" s="705"/>
      <c r="F1160" s="659"/>
      <c r="G1160" s="661"/>
      <c r="H1160" s="660"/>
      <c r="I1160" s="691"/>
      <c r="J1160" s="661"/>
      <c r="K1160" s="706"/>
      <c r="L1160" s="665"/>
      <c r="M1160" s="663"/>
      <c r="N1160" s="665"/>
      <c r="O1160" s="665"/>
      <c r="P1160" s="665"/>
      <c r="Q1160" s="665"/>
      <c r="R1160" s="665"/>
      <c r="S1160" s="665"/>
      <c r="T1160" s="673"/>
      <c r="U1160" s="673"/>
      <c r="V1160" s="673"/>
      <c r="W1160" s="673"/>
      <c r="X1160" s="673"/>
      <c r="Y1160" s="673"/>
      <c r="Z1160" s="673"/>
      <c r="AA1160" s="673"/>
      <c r="AB1160" s="673"/>
      <c r="AC1160" s="673"/>
      <c r="AD1160" s="673"/>
      <c r="AE1160" s="673"/>
      <c r="AF1160" s="673"/>
      <c r="AG1160" s="673"/>
      <c r="AH1160" s="673"/>
    </row>
    <row r="1161">
      <c r="A1161" s="653"/>
      <c r="B1161" s="654"/>
      <c r="C1161" s="691"/>
      <c r="D1161" s="661"/>
      <c r="E1161" s="705"/>
      <c r="F1161" s="659"/>
      <c r="G1161" s="661"/>
      <c r="H1161" s="660"/>
      <c r="I1161" s="691"/>
      <c r="J1161" s="661"/>
      <c r="K1161" s="706"/>
      <c r="L1161" s="665"/>
      <c r="M1161" s="663"/>
      <c r="N1161" s="665"/>
      <c r="O1161" s="665"/>
      <c r="P1161" s="665"/>
      <c r="Q1161" s="665"/>
      <c r="R1161" s="665"/>
      <c r="S1161" s="665"/>
      <c r="T1161" s="673"/>
      <c r="U1161" s="673"/>
      <c r="V1161" s="673"/>
      <c r="W1161" s="673"/>
      <c r="X1161" s="673"/>
      <c r="Y1161" s="673"/>
      <c r="Z1161" s="673"/>
      <c r="AA1161" s="673"/>
      <c r="AB1161" s="673"/>
      <c r="AC1161" s="673"/>
      <c r="AD1161" s="673"/>
      <c r="AE1161" s="673"/>
      <c r="AF1161" s="673"/>
      <c r="AG1161" s="673"/>
      <c r="AH1161" s="673"/>
    </row>
    <row r="1162">
      <c r="A1162" s="653"/>
      <c r="B1162" s="654"/>
      <c r="C1162" s="691"/>
      <c r="D1162" s="661"/>
      <c r="E1162" s="705"/>
      <c r="F1162" s="659"/>
      <c r="G1162" s="661"/>
      <c r="H1162" s="660"/>
      <c r="I1162" s="691"/>
      <c r="J1162" s="661"/>
      <c r="K1162" s="706"/>
      <c r="L1162" s="665"/>
      <c r="M1162" s="663"/>
      <c r="N1162" s="665"/>
      <c r="O1162" s="665"/>
      <c r="P1162" s="665"/>
      <c r="Q1162" s="665"/>
      <c r="R1162" s="665"/>
      <c r="S1162" s="665"/>
      <c r="T1162" s="673"/>
      <c r="U1162" s="673"/>
      <c r="V1162" s="673"/>
      <c r="W1162" s="673"/>
      <c r="X1162" s="673"/>
      <c r="Y1162" s="673"/>
      <c r="Z1162" s="673"/>
      <c r="AA1162" s="673"/>
      <c r="AB1162" s="673"/>
      <c r="AC1162" s="673"/>
      <c r="AD1162" s="673"/>
      <c r="AE1162" s="673"/>
      <c r="AF1162" s="673"/>
      <c r="AG1162" s="673"/>
      <c r="AH1162" s="673"/>
    </row>
    <row r="1163">
      <c r="A1163" s="653"/>
      <c r="B1163" s="654"/>
      <c r="C1163" s="691"/>
      <c r="D1163" s="661"/>
      <c r="E1163" s="705"/>
      <c r="F1163" s="659"/>
      <c r="G1163" s="661"/>
      <c r="H1163" s="660"/>
      <c r="I1163" s="691"/>
      <c r="J1163" s="661"/>
      <c r="K1163" s="706"/>
      <c r="L1163" s="665"/>
      <c r="M1163" s="663"/>
      <c r="N1163" s="665"/>
      <c r="O1163" s="665"/>
      <c r="P1163" s="665"/>
      <c r="Q1163" s="665"/>
      <c r="R1163" s="665"/>
      <c r="S1163" s="665"/>
      <c r="T1163" s="673"/>
      <c r="U1163" s="673"/>
      <c r="V1163" s="673"/>
      <c r="W1163" s="673"/>
      <c r="X1163" s="673"/>
      <c r="Y1163" s="673"/>
      <c r="Z1163" s="673"/>
      <c r="AA1163" s="673"/>
      <c r="AB1163" s="673"/>
      <c r="AC1163" s="673"/>
      <c r="AD1163" s="673"/>
      <c r="AE1163" s="673"/>
      <c r="AF1163" s="673"/>
      <c r="AG1163" s="673"/>
      <c r="AH1163" s="673"/>
    </row>
    <row r="1164">
      <c r="A1164" s="653"/>
      <c r="B1164" s="654"/>
      <c r="C1164" s="691"/>
      <c r="D1164" s="661"/>
      <c r="E1164" s="705"/>
      <c r="F1164" s="659"/>
      <c r="G1164" s="661"/>
      <c r="H1164" s="660"/>
      <c r="I1164" s="691"/>
      <c r="J1164" s="661"/>
      <c r="K1164" s="706"/>
      <c r="L1164" s="665"/>
      <c r="M1164" s="663"/>
      <c r="N1164" s="665"/>
      <c r="O1164" s="665"/>
      <c r="P1164" s="665"/>
      <c r="Q1164" s="665"/>
      <c r="R1164" s="665"/>
      <c r="S1164" s="665"/>
      <c r="T1164" s="673"/>
      <c r="U1164" s="673"/>
      <c r="V1164" s="673"/>
      <c r="W1164" s="673"/>
      <c r="X1164" s="673"/>
      <c r="Y1164" s="673"/>
      <c r="Z1164" s="673"/>
      <c r="AA1164" s="673"/>
      <c r="AB1164" s="673"/>
      <c r="AC1164" s="673"/>
      <c r="AD1164" s="673"/>
      <c r="AE1164" s="673"/>
      <c r="AF1164" s="673"/>
      <c r="AG1164" s="673"/>
      <c r="AH1164" s="673"/>
    </row>
    <row r="1165">
      <c r="A1165" s="653"/>
      <c r="B1165" s="654"/>
      <c r="C1165" s="691"/>
      <c r="D1165" s="661"/>
      <c r="E1165" s="705"/>
      <c r="F1165" s="659"/>
      <c r="G1165" s="661"/>
      <c r="H1165" s="660"/>
      <c r="I1165" s="691"/>
      <c r="J1165" s="661"/>
      <c r="K1165" s="706"/>
      <c r="L1165" s="665"/>
      <c r="M1165" s="663"/>
      <c r="N1165" s="665"/>
      <c r="O1165" s="665"/>
      <c r="P1165" s="665"/>
      <c r="Q1165" s="665"/>
      <c r="R1165" s="665"/>
      <c r="S1165" s="665"/>
      <c r="T1165" s="673"/>
      <c r="U1165" s="673"/>
      <c r="V1165" s="673"/>
      <c r="W1165" s="673"/>
      <c r="X1165" s="673"/>
      <c r="Y1165" s="673"/>
      <c r="Z1165" s="673"/>
      <c r="AA1165" s="673"/>
      <c r="AB1165" s="673"/>
      <c r="AC1165" s="673"/>
      <c r="AD1165" s="673"/>
      <c r="AE1165" s="673"/>
      <c r="AF1165" s="673"/>
      <c r="AG1165" s="673"/>
      <c r="AH1165" s="673"/>
    </row>
    <row r="1166">
      <c r="A1166" s="653"/>
      <c r="B1166" s="654"/>
      <c r="C1166" s="691"/>
      <c r="D1166" s="661"/>
      <c r="E1166" s="705"/>
      <c r="F1166" s="659"/>
      <c r="G1166" s="661"/>
      <c r="H1166" s="660"/>
      <c r="I1166" s="691"/>
      <c r="J1166" s="661"/>
      <c r="K1166" s="706"/>
      <c r="L1166" s="665"/>
      <c r="M1166" s="663"/>
      <c r="N1166" s="665"/>
      <c r="O1166" s="665"/>
      <c r="P1166" s="665"/>
      <c r="Q1166" s="665"/>
      <c r="R1166" s="665"/>
      <c r="S1166" s="665"/>
      <c r="T1166" s="673"/>
      <c r="U1166" s="673"/>
      <c r="V1166" s="673"/>
      <c r="W1166" s="673"/>
      <c r="X1166" s="673"/>
      <c r="Y1166" s="673"/>
      <c r="Z1166" s="673"/>
      <c r="AA1166" s="673"/>
      <c r="AB1166" s="673"/>
      <c r="AC1166" s="673"/>
      <c r="AD1166" s="673"/>
      <c r="AE1166" s="673"/>
      <c r="AF1166" s="673"/>
      <c r="AG1166" s="673"/>
      <c r="AH1166" s="673"/>
    </row>
    <row r="1167">
      <c r="A1167" s="653"/>
      <c r="B1167" s="654"/>
      <c r="C1167" s="691"/>
      <c r="D1167" s="661"/>
      <c r="E1167" s="705"/>
      <c r="F1167" s="659"/>
      <c r="G1167" s="661"/>
      <c r="H1167" s="660"/>
      <c r="I1167" s="691"/>
      <c r="J1167" s="661"/>
      <c r="K1167" s="706"/>
      <c r="L1167" s="665"/>
      <c r="M1167" s="663"/>
      <c r="N1167" s="665"/>
      <c r="O1167" s="665"/>
      <c r="P1167" s="665"/>
      <c r="Q1167" s="665"/>
      <c r="R1167" s="665"/>
      <c r="S1167" s="665"/>
      <c r="T1167" s="673"/>
      <c r="U1167" s="673"/>
      <c r="V1167" s="673"/>
      <c r="W1167" s="673"/>
      <c r="X1167" s="673"/>
      <c r="Y1167" s="673"/>
      <c r="Z1167" s="673"/>
      <c r="AA1167" s="673"/>
      <c r="AB1167" s="673"/>
      <c r="AC1167" s="673"/>
      <c r="AD1167" s="673"/>
      <c r="AE1167" s="673"/>
      <c r="AF1167" s="673"/>
      <c r="AG1167" s="673"/>
      <c r="AH1167" s="673"/>
    </row>
    <row r="1168">
      <c r="A1168" s="653"/>
      <c r="B1168" s="654"/>
      <c r="C1168" s="691"/>
      <c r="D1168" s="661"/>
      <c r="E1168" s="705"/>
      <c r="F1168" s="659"/>
      <c r="G1168" s="661"/>
      <c r="H1168" s="660"/>
      <c r="I1168" s="691"/>
      <c r="J1168" s="661"/>
      <c r="K1168" s="706"/>
      <c r="L1168" s="665"/>
      <c r="M1168" s="663"/>
      <c r="N1168" s="665"/>
      <c r="O1168" s="665"/>
      <c r="P1168" s="665"/>
      <c r="Q1168" s="665"/>
      <c r="R1168" s="665"/>
      <c r="S1168" s="665"/>
      <c r="T1168" s="673"/>
      <c r="U1168" s="673"/>
      <c r="V1168" s="673"/>
      <c r="W1168" s="673"/>
      <c r="X1168" s="673"/>
      <c r="Y1168" s="673"/>
      <c r="Z1168" s="673"/>
      <c r="AA1168" s="673"/>
      <c r="AB1168" s="673"/>
      <c r="AC1168" s="673"/>
      <c r="AD1168" s="673"/>
      <c r="AE1168" s="673"/>
      <c r="AF1168" s="673"/>
      <c r="AG1168" s="673"/>
      <c r="AH1168" s="673"/>
    </row>
    <row r="1169">
      <c r="A1169" s="653"/>
      <c r="B1169" s="654"/>
      <c r="C1169" s="691"/>
      <c r="D1169" s="661"/>
      <c r="E1169" s="705"/>
      <c r="F1169" s="659"/>
      <c r="G1169" s="661"/>
      <c r="H1169" s="660"/>
      <c r="I1169" s="691"/>
      <c r="J1169" s="661"/>
      <c r="K1169" s="706"/>
      <c r="L1169" s="665"/>
      <c r="M1169" s="663"/>
      <c r="N1169" s="665"/>
      <c r="O1169" s="665"/>
      <c r="P1169" s="665"/>
      <c r="Q1169" s="665"/>
      <c r="R1169" s="665"/>
      <c r="S1169" s="665"/>
      <c r="T1169" s="673"/>
      <c r="U1169" s="673"/>
      <c r="V1169" s="673"/>
      <c r="W1169" s="673"/>
      <c r="X1169" s="673"/>
      <c r="Y1169" s="673"/>
      <c r="Z1169" s="673"/>
      <c r="AA1169" s="673"/>
      <c r="AB1169" s="673"/>
      <c r="AC1169" s="673"/>
      <c r="AD1169" s="673"/>
      <c r="AE1169" s="673"/>
      <c r="AF1169" s="673"/>
      <c r="AG1169" s="673"/>
      <c r="AH1169" s="673"/>
    </row>
    <row r="1170">
      <c r="A1170" s="653"/>
      <c r="B1170" s="654"/>
      <c r="C1170" s="691"/>
      <c r="D1170" s="661"/>
      <c r="E1170" s="705"/>
      <c r="F1170" s="659"/>
      <c r="G1170" s="661"/>
      <c r="H1170" s="660"/>
      <c r="I1170" s="691"/>
      <c r="J1170" s="661"/>
      <c r="K1170" s="706"/>
      <c r="L1170" s="665"/>
      <c r="M1170" s="663"/>
      <c r="N1170" s="665"/>
      <c r="O1170" s="665"/>
      <c r="P1170" s="665"/>
      <c r="Q1170" s="665"/>
      <c r="R1170" s="665"/>
      <c r="S1170" s="665"/>
      <c r="T1170" s="673"/>
      <c r="U1170" s="673"/>
      <c r="V1170" s="673"/>
      <c r="W1170" s="673"/>
      <c r="X1170" s="673"/>
      <c r="Y1170" s="673"/>
      <c r="Z1170" s="673"/>
      <c r="AA1170" s="673"/>
      <c r="AB1170" s="673"/>
      <c r="AC1170" s="673"/>
      <c r="AD1170" s="673"/>
      <c r="AE1170" s="673"/>
      <c r="AF1170" s="673"/>
      <c r="AG1170" s="673"/>
      <c r="AH1170" s="673"/>
    </row>
    <row r="1171">
      <c r="A1171" s="653"/>
      <c r="B1171" s="654"/>
      <c r="C1171" s="691"/>
      <c r="D1171" s="661"/>
      <c r="E1171" s="705"/>
      <c r="F1171" s="659"/>
      <c r="G1171" s="661"/>
      <c r="H1171" s="660"/>
      <c r="I1171" s="691"/>
      <c r="J1171" s="661"/>
      <c r="K1171" s="706"/>
      <c r="L1171" s="665"/>
      <c r="M1171" s="663"/>
      <c r="N1171" s="665"/>
      <c r="O1171" s="665"/>
      <c r="P1171" s="665"/>
      <c r="Q1171" s="665"/>
      <c r="R1171" s="665"/>
      <c r="S1171" s="665"/>
      <c r="T1171" s="673"/>
      <c r="U1171" s="673"/>
      <c r="V1171" s="673"/>
      <c r="W1171" s="673"/>
      <c r="X1171" s="673"/>
      <c r="Y1171" s="673"/>
      <c r="Z1171" s="673"/>
      <c r="AA1171" s="673"/>
      <c r="AB1171" s="673"/>
      <c r="AC1171" s="673"/>
      <c r="AD1171" s="673"/>
      <c r="AE1171" s="673"/>
      <c r="AF1171" s="673"/>
      <c r="AG1171" s="673"/>
      <c r="AH1171" s="673"/>
    </row>
    <row r="1172">
      <c r="A1172" s="653"/>
      <c r="B1172" s="654"/>
      <c r="C1172" s="691"/>
      <c r="D1172" s="661"/>
      <c r="E1172" s="705"/>
      <c r="F1172" s="659"/>
      <c r="G1172" s="661"/>
      <c r="H1172" s="660"/>
      <c r="I1172" s="691"/>
      <c r="J1172" s="661"/>
      <c r="K1172" s="706"/>
      <c r="L1172" s="665"/>
      <c r="M1172" s="663"/>
      <c r="N1172" s="665"/>
      <c r="O1172" s="665"/>
      <c r="P1172" s="665"/>
      <c r="Q1172" s="665"/>
      <c r="R1172" s="665"/>
      <c r="S1172" s="665"/>
      <c r="T1172" s="673"/>
      <c r="U1172" s="673"/>
      <c r="V1172" s="673"/>
      <c r="W1172" s="673"/>
      <c r="X1172" s="673"/>
      <c r="Y1172" s="673"/>
      <c r="Z1172" s="673"/>
      <c r="AA1172" s="673"/>
      <c r="AB1172" s="673"/>
      <c r="AC1172" s="673"/>
      <c r="AD1172" s="673"/>
      <c r="AE1172" s="673"/>
      <c r="AF1172" s="673"/>
      <c r="AG1172" s="673"/>
      <c r="AH1172" s="673"/>
    </row>
    <row r="1173">
      <c r="A1173" s="653"/>
      <c r="B1173" s="654"/>
      <c r="C1173" s="691"/>
      <c r="D1173" s="661"/>
      <c r="E1173" s="705"/>
      <c r="F1173" s="659"/>
      <c r="G1173" s="661"/>
      <c r="H1173" s="660"/>
      <c r="I1173" s="691"/>
      <c r="J1173" s="661"/>
      <c r="K1173" s="706"/>
      <c r="L1173" s="665"/>
      <c r="M1173" s="663"/>
      <c r="N1173" s="665"/>
      <c r="O1173" s="665"/>
      <c r="P1173" s="665"/>
      <c r="Q1173" s="665"/>
      <c r="R1173" s="665"/>
      <c r="S1173" s="665"/>
      <c r="T1173" s="673"/>
      <c r="U1173" s="673"/>
      <c r="V1173" s="673"/>
      <c r="W1173" s="673"/>
      <c r="X1173" s="673"/>
      <c r="Y1173" s="673"/>
      <c r="Z1173" s="673"/>
      <c r="AA1173" s="673"/>
      <c r="AB1173" s="673"/>
      <c r="AC1173" s="673"/>
      <c r="AD1173" s="673"/>
      <c r="AE1173" s="673"/>
      <c r="AF1173" s="673"/>
      <c r="AG1173" s="673"/>
      <c r="AH1173" s="673"/>
    </row>
    <row r="1174">
      <c r="A1174" s="653"/>
      <c r="B1174" s="654"/>
      <c r="C1174" s="691"/>
      <c r="D1174" s="661"/>
      <c r="E1174" s="705"/>
      <c r="F1174" s="659"/>
      <c r="G1174" s="661"/>
      <c r="H1174" s="660"/>
      <c r="I1174" s="691"/>
      <c r="J1174" s="661"/>
      <c r="K1174" s="706"/>
      <c r="L1174" s="665"/>
      <c r="M1174" s="663"/>
      <c r="N1174" s="665"/>
      <c r="O1174" s="665"/>
      <c r="P1174" s="665"/>
      <c r="Q1174" s="665"/>
      <c r="R1174" s="665"/>
      <c r="S1174" s="665"/>
      <c r="T1174" s="673"/>
      <c r="U1174" s="673"/>
      <c r="V1174" s="673"/>
      <c r="W1174" s="673"/>
      <c r="X1174" s="673"/>
      <c r="Y1174" s="673"/>
      <c r="Z1174" s="673"/>
      <c r="AA1174" s="673"/>
      <c r="AB1174" s="673"/>
      <c r="AC1174" s="673"/>
      <c r="AD1174" s="673"/>
      <c r="AE1174" s="673"/>
      <c r="AF1174" s="673"/>
      <c r="AG1174" s="673"/>
      <c r="AH1174" s="673"/>
    </row>
    <row r="1175">
      <c r="A1175" s="653"/>
      <c r="B1175" s="654"/>
      <c r="C1175" s="691"/>
      <c r="D1175" s="661"/>
      <c r="E1175" s="705"/>
      <c r="F1175" s="659"/>
      <c r="G1175" s="661"/>
      <c r="H1175" s="660"/>
      <c r="I1175" s="691"/>
      <c r="J1175" s="661"/>
      <c r="K1175" s="706"/>
      <c r="L1175" s="665"/>
      <c r="M1175" s="663"/>
      <c r="N1175" s="665"/>
      <c r="O1175" s="665"/>
      <c r="P1175" s="665"/>
      <c r="Q1175" s="665"/>
      <c r="R1175" s="665"/>
      <c r="S1175" s="665"/>
      <c r="T1175" s="673"/>
      <c r="U1175" s="673"/>
      <c r="V1175" s="673"/>
      <c r="W1175" s="673"/>
      <c r="X1175" s="673"/>
      <c r="Y1175" s="673"/>
      <c r="Z1175" s="673"/>
      <c r="AA1175" s="673"/>
      <c r="AB1175" s="673"/>
      <c r="AC1175" s="673"/>
      <c r="AD1175" s="673"/>
      <c r="AE1175" s="673"/>
      <c r="AF1175" s="673"/>
      <c r="AG1175" s="673"/>
      <c r="AH1175" s="673"/>
    </row>
    <row r="1176">
      <c r="A1176" s="653"/>
      <c r="B1176" s="654"/>
      <c r="C1176" s="691"/>
      <c r="D1176" s="661"/>
      <c r="E1176" s="705"/>
      <c r="F1176" s="659"/>
      <c r="G1176" s="661"/>
      <c r="H1176" s="660"/>
      <c r="I1176" s="691"/>
      <c r="J1176" s="661"/>
      <c r="K1176" s="706"/>
      <c r="L1176" s="665"/>
      <c r="M1176" s="663"/>
      <c r="N1176" s="665"/>
      <c r="O1176" s="665"/>
      <c r="P1176" s="665"/>
      <c r="Q1176" s="665"/>
      <c r="R1176" s="665"/>
      <c r="S1176" s="665"/>
      <c r="T1176" s="673"/>
      <c r="U1176" s="673"/>
      <c r="V1176" s="673"/>
      <c r="W1176" s="673"/>
      <c r="X1176" s="673"/>
      <c r="Y1176" s="673"/>
      <c r="Z1176" s="673"/>
      <c r="AA1176" s="673"/>
      <c r="AB1176" s="673"/>
      <c r="AC1176" s="673"/>
      <c r="AD1176" s="673"/>
      <c r="AE1176" s="673"/>
      <c r="AF1176" s="673"/>
      <c r="AG1176" s="673"/>
      <c r="AH1176" s="673"/>
    </row>
    <row r="1177">
      <c r="A1177" s="653"/>
      <c r="B1177" s="654"/>
      <c r="C1177" s="691"/>
      <c r="D1177" s="661"/>
      <c r="E1177" s="705"/>
      <c r="F1177" s="659"/>
      <c r="G1177" s="661"/>
      <c r="H1177" s="660"/>
      <c r="I1177" s="691"/>
      <c r="J1177" s="661"/>
      <c r="K1177" s="706"/>
      <c r="L1177" s="665"/>
      <c r="M1177" s="663"/>
      <c r="N1177" s="665"/>
      <c r="O1177" s="665"/>
      <c r="P1177" s="665"/>
      <c r="Q1177" s="665"/>
      <c r="R1177" s="665"/>
      <c r="S1177" s="665"/>
      <c r="T1177" s="673"/>
      <c r="U1177" s="673"/>
      <c r="V1177" s="673"/>
      <c r="W1177" s="673"/>
      <c r="X1177" s="673"/>
      <c r="Y1177" s="673"/>
      <c r="Z1177" s="673"/>
      <c r="AA1177" s="673"/>
      <c r="AB1177" s="673"/>
      <c r="AC1177" s="673"/>
      <c r="AD1177" s="673"/>
      <c r="AE1177" s="673"/>
      <c r="AF1177" s="673"/>
      <c r="AG1177" s="673"/>
      <c r="AH1177" s="673"/>
    </row>
    <row r="1178">
      <c r="A1178" s="653"/>
      <c r="B1178" s="654"/>
      <c r="C1178" s="691"/>
      <c r="D1178" s="661"/>
      <c r="E1178" s="705"/>
      <c r="F1178" s="659"/>
      <c r="G1178" s="661"/>
      <c r="H1178" s="660"/>
      <c r="I1178" s="691"/>
      <c r="J1178" s="661"/>
      <c r="K1178" s="706"/>
      <c r="L1178" s="665"/>
      <c r="M1178" s="663"/>
      <c r="N1178" s="665"/>
      <c r="O1178" s="665"/>
      <c r="P1178" s="665"/>
      <c r="Q1178" s="665"/>
      <c r="R1178" s="665"/>
      <c r="S1178" s="665"/>
      <c r="T1178" s="673"/>
      <c r="U1178" s="673"/>
      <c r="V1178" s="673"/>
      <c r="W1178" s="673"/>
      <c r="X1178" s="673"/>
      <c r="Y1178" s="673"/>
      <c r="Z1178" s="673"/>
      <c r="AA1178" s="673"/>
      <c r="AB1178" s="673"/>
      <c r="AC1178" s="673"/>
      <c r="AD1178" s="673"/>
      <c r="AE1178" s="673"/>
      <c r="AF1178" s="673"/>
      <c r="AG1178" s="673"/>
      <c r="AH1178" s="673"/>
    </row>
    <row r="1179">
      <c r="A1179" s="653"/>
      <c r="B1179" s="654"/>
      <c r="C1179" s="691"/>
      <c r="D1179" s="661"/>
      <c r="E1179" s="705"/>
      <c r="F1179" s="659"/>
      <c r="G1179" s="661"/>
      <c r="H1179" s="660"/>
      <c r="I1179" s="691"/>
      <c r="J1179" s="661"/>
      <c r="K1179" s="706"/>
      <c r="L1179" s="665"/>
      <c r="M1179" s="663"/>
      <c r="N1179" s="665"/>
      <c r="O1179" s="665"/>
      <c r="P1179" s="665"/>
      <c r="Q1179" s="665"/>
      <c r="R1179" s="665"/>
      <c r="S1179" s="665"/>
      <c r="T1179" s="673"/>
      <c r="U1179" s="673"/>
      <c r="V1179" s="673"/>
      <c r="W1179" s="673"/>
      <c r="X1179" s="673"/>
      <c r="Y1179" s="673"/>
      <c r="Z1179" s="673"/>
      <c r="AA1179" s="673"/>
      <c r="AB1179" s="673"/>
      <c r="AC1179" s="673"/>
      <c r="AD1179" s="673"/>
      <c r="AE1179" s="673"/>
      <c r="AF1179" s="673"/>
      <c r="AG1179" s="673"/>
      <c r="AH1179" s="673"/>
    </row>
    <row r="1180">
      <c r="A1180" s="653"/>
      <c r="B1180" s="654"/>
      <c r="C1180" s="691"/>
      <c r="D1180" s="661"/>
      <c r="E1180" s="705"/>
      <c r="F1180" s="659"/>
      <c r="G1180" s="661"/>
      <c r="H1180" s="660"/>
      <c r="I1180" s="691"/>
      <c r="J1180" s="661"/>
      <c r="K1180" s="706"/>
      <c r="L1180" s="665"/>
      <c r="M1180" s="663"/>
      <c r="N1180" s="665"/>
      <c r="O1180" s="665"/>
      <c r="P1180" s="665"/>
      <c r="Q1180" s="665"/>
      <c r="R1180" s="665"/>
      <c r="S1180" s="665"/>
      <c r="T1180" s="673"/>
      <c r="U1180" s="673"/>
      <c r="V1180" s="673"/>
      <c r="W1180" s="673"/>
      <c r="X1180" s="673"/>
      <c r="Y1180" s="673"/>
      <c r="Z1180" s="673"/>
      <c r="AA1180" s="673"/>
      <c r="AB1180" s="673"/>
      <c r="AC1180" s="673"/>
      <c r="AD1180" s="673"/>
      <c r="AE1180" s="673"/>
      <c r="AF1180" s="673"/>
      <c r="AG1180" s="673"/>
      <c r="AH1180" s="673"/>
    </row>
    <row r="1181">
      <c r="A1181" s="653"/>
      <c r="B1181" s="654"/>
      <c r="C1181" s="691"/>
      <c r="D1181" s="661"/>
      <c r="E1181" s="705"/>
      <c r="F1181" s="659"/>
      <c r="G1181" s="661"/>
      <c r="H1181" s="660"/>
      <c r="I1181" s="691"/>
      <c r="J1181" s="661"/>
      <c r="K1181" s="706"/>
      <c r="L1181" s="665"/>
      <c r="M1181" s="663"/>
      <c r="N1181" s="665"/>
      <c r="O1181" s="665"/>
      <c r="P1181" s="665"/>
      <c r="Q1181" s="665"/>
      <c r="R1181" s="665"/>
      <c r="S1181" s="665"/>
      <c r="T1181" s="673"/>
      <c r="U1181" s="673"/>
      <c r="V1181" s="673"/>
      <c r="W1181" s="673"/>
      <c r="X1181" s="673"/>
      <c r="Y1181" s="673"/>
      <c r="Z1181" s="673"/>
      <c r="AA1181" s="673"/>
      <c r="AB1181" s="673"/>
      <c r="AC1181" s="673"/>
      <c r="AD1181" s="673"/>
      <c r="AE1181" s="673"/>
      <c r="AF1181" s="673"/>
      <c r="AG1181" s="673"/>
      <c r="AH1181" s="673"/>
    </row>
    <row r="1182">
      <c r="A1182" s="653"/>
      <c r="B1182" s="654"/>
      <c r="C1182" s="691"/>
      <c r="D1182" s="661"/>
      <c r="E1182" s="705"/>
      <c r="F1182" s="659"/>
      <c r="G1182" s="661"/>
      <c r="H1182" s="660"/>
      <c r="I1182" s="691"/>
      <c r="J1182" s="661"/>
      <c r="K1182" s="706"/>
      <c r="L1182" s="665"/>
      <c r="M1182" s="663"/>
      <c r="N1182" s="665"/>
      <c r="O1182" s="665"/>
      <c r="P1182" s="665"/>
      <c r="Q1182" s="665"/>
      <c r="R1182" s="665"/>
      <c r="S1182" s="665"/>
      <c r="T1182" s="673"/>
      <c r="U1182" s="673"/>
      <c r="V1182" s="673"/>
      <c r="W1182" s="673"/>
      <c r="X1182" s="673"/>
      <c r="Y1182" s="673"/>
      <c r="Z1182" s="673"/>
      <c r="AA1182" s="673"/>
      <c r="AB1182" s="673"/>
      <c r="AC1182" s="673"/>
      <c r="AD1182" s="673"/>
      <c r="AE1182" s="673"/>
      <c r="AF1182" s="673"/>
      <c r="AG1182" s="673"/>
      <c r="AH1182" s="673"/>
    </row>
    <row r="1183">
      <c r="A1183" s="653"/>
      <c r="B1183" s="654"/>
      <c r="C1183" s="691"/>
      <c r="D1183" s="661"/>
      <c r="E1183" s="705"/>
      <c r="F1183" s="659"/>
      <c r="G1183" s="661"/>
      <c r="H1183" s="660"/>
      <c r="I1183" s="691"/>
      <c r="J1183" s="661"/>
      <c r="K1183" s="706"/>
      <c r="L1183" s="665"/>
      <c r="M1183" s="663"/>
      <c r="N1183" s="665"/>
      <c r="O1183" s="665"/>
      <c r="P1183" s="665"/>
      <c r="Q1183" s="665"/>
      <c r="R1183" s="665"/>
      <c r="S1183" s="665"/>
      <c r="T1183" s="673"/>
      <c r="U1183" s="673"/>
      <c r="V1183" s="673"/>
      <c r="W1183" s="673"/>
      <c r="X1183" s="673"/>
      <c r="Y1183" s="673"/>
      <c r="Z1183" s="673"/>
      <c r="AA1183" s="673"/>
      <c r="AB1183" s="673"/>
      <c r="AC1183" s="673"/>
      <c r="AD1183" s="673"/>
      <c r="AE1183" s="673"/>
      <c r="AF1183" s="673"/>
      <c r="AG1183" s="673"/>
      <c r="AH1183" s="673"/>
    </row>
    <row r="1184">
      <c r="A1184" s="653"/>
      <c r="B1184" s="654"/>
      <c r="C1184" s="691"/>
      <c r="D1184" s="661"/>
      <c r="E1184" s="705"/>
      <c r="F1184" s="659"/>
      <c r="G1184" s="661"/>
      <c r="H1184" s="660"/>
      <c r="I1184" s="691"/>
      <c r="J1184" s="661"/>
      <c r="K1184" s="706"/>
      <c r="L1184" s="665"/>
      <c r="M1184" s="663"/>
      <c r="N1184" s="665"/>
      <c r="O1184" s="665"/>
      <c r="P1184" s="665"/>
      <c r="Q1184" s="665"/>
      <c r="R1184" s="665"/>
      <c r="S1184" s="665"/>
      <c r="T1184" s="673"/>
      <c r="U1184" s="673"/>
      <c r="V1184" s="673"/>
      <c r="W1184" s="673"/>
      <c r="X1184" s="673"/>
      <c r="Y1184" s="673"/>
      <c r="Z1184" s="673"/>
      <c r="AA1184" s="673"/>
      <c r="AB1184" s="673"/>
      <c r="AC1184" s="673"/>
      <c r="AD1184" s="673"/>
      <c r="AE1184" s="673"/>
      <c r="AF1184" s="673"/>
      <c r="AG1184" s="673"/>
      <c r="AH1184" s="673"/>
    </row>
    <row r="1185">
      <c r="A1185" s="653"/>
      <c r="B1185" s="654"/>
      <c r="C1185" s="691"/>
      <c r="D1185" s="661"/>
      <c r="E1185" s="705"/>
      <c r="F1185" s="659"/>
      <c r="G1185" s="661"/>
      <c r="H1185" s="660"/>
      <c r="I1185" s="691"/>
      <c r="J1185" s="661"/>
      <c r="K1185" s="706"/>
      <c r="L1185" s="665"/>
      <c r="M1185" s="663"/>
      <c r="N1185" s="665"/>
      <c r="O1185" s="665"/>
      <c r="P1185" s="665"/>
      <c r="Q1185" s="665"/>
      <c r="R1185" s="665"/>
      <c r="S1185" s="665"/>
      <c r="T1185" s="673"/>
      <c r="U1185" s="673"/>
      <c r="V1185" s="673"/>
      <c r="W1185" s="673"/>
      <c r="X1185" s="673"/>
      <c r="Y1185" s="673"/>
      <c r="Z1185" s="673"/>
      <c r="AA1185" s="673"/>
      <c r="AB1185" s="673"/>
      <c r="AC1185" s="673"/>
      <c r="AD1185" s="673"/>
      <c r="AE1185" s="673"/>
      <c r="AF1185" s="673"/>
      <c r="AG1185" s="673"/>
      <c r="AH1185" s="673"/>
    </row>
    <row r="1186">
      <c r="A1186" s="653"/>
      <c r="B1186" s="654"/>
      <c r="C1186" s="691"/>
      <c r="D1186" s="661"/>
      <c r="E1186" s="705"/>
      <c r="F1186" s="659"/>
      <c r="G1186" s="661"/>
      <c r="H1186" s="660"/>
      <c r="I1186" s="691"/>
      <c r="J1186" s="661"/>
      <c r="K1186" s="706"/>
      <c r="L1186" s="665"/>
      <c r="M1186" s="663"/>
      <c r="N1186" s="665"/>
      <c r="O1186" s="665"/>
      <c r="P1186" s="665"/>
      <c r="Q1186" s="665"/>
      <c r="R1186" s="665"/>
      <c r="S1186" s="665"/>
      <c r="T1186" s="673"/>
      <c r="U1186" s="673"/>
      <c r="V1186" s="673"/>
      <c r="W1186" s="673"/>
      <c r="X1186" s="673"/>
      <c r="Y1186" s="673"/>
      <c r="Z1186" s="673"/>
      <c r="AA1186" s="673"/>
      <c r="AB1186" s="673"/>
      <c r="AC1186" s="673"/>
      <c r="AD1186" s="673"/>
      <c r="AE1186" s="673"/>
      <c r="AF1186" s="673"/>
      <c r="AG1186" s="673"/>
      <c r="AH1186" s="673"/>
    </row>
    <row r="1187">
      <c r="A1187" s="653"/>
      <c r="B1187" s="654"/>
      <c r="C1187" s="691"/>
      <c r="D1187" s="661"/>
      <c r="E1187" s="705"/>
      <c r="F1187" s="659"/>
      <c r="G1187" s="661"/>
      <c r="H1187" s="660"/>
      <c r="I1187" s="691"/>
      <c r="J1187" s="661"/>
      <c r="K1187" s="706"/>
      <c r="L1187" s="665"/>
      <c r="M1187" s="663"/>
      <c r="N1187" s="665"/>
      <c r="O1187" s="665"/>
      <c r="P1187" s="665"/>
      <c r="Q1187" s="665"/>
      <c r="R1187" s="665"/>
      <c r="S1187" s="665"/>
      <c r="T1187" s="673"/>
      <c r="U1187" s="673"/>
      <c r="V1187" s="673"/>
      <c r="W1187" s="673"/>
      <c r="X1187" s="673"/>
      <c r="Y1187" s="673"/>
      <c r="Z1187" s="673"/>
      <c r="AA1187" s="673"/>
      <c r="AB1187" s="673"/>
      <c r="AC1187" s="673"/>
      <c r="AD1187" s="673"/>
      <c r="AE1187" s="673"/>
      <c r="AF1187" s="673"/>
      <c r="AG1187" s="673"/>
      <c r="AH1187" s="673"/>
    </row>
    <row r="1188">
      <c r="A1188" s="653"/>
      <c r="B1188" s="654"/>
      <c r="C1188" s="691"/>
      <c r="D1188" s="661"/>
      <c r="E1188" s="705"/>
      <c r="F1188" s="659"/>
      <c r="G1188" s="661"/>
      <c r="H1188" s="660"/>
      <c r="I1188" s="691"/>
      <c r="J1188" s="661"/>
      <c r="K1188" s="706"/>
      <c r="L1188" s="665"/>
      <c r="M1188" s="663"/>
      <c r="N1188" s="665"/>
      <c r="O1188" s="665"/>
      <c r="P1188" s="665"/>
      <c r="Q1188" s="665"/>
      <c r="R1188" s="665"/>
      <c r="S1188" s="665"/>
      <c r="T1188" s="673"/>
      <c r="U1188" s="673"/>
      <c r="V1188" s="673"/>
      <c r="W1188" s="673"/>
      <c r="X1188" s="673"/>
      <c r="Y1188" s="673"/>
      <c r="Z1188" s="673"/>
      <c r="AA1188" s="673"/>
      <c r="AB1188" s="673"/>
      <c r="AC1188" s="673"/>
      <c r="AD1188" s="673"/>
      <c r="AE1188" s="673"/>
      <c r="AF1188" s="673"/>
      <c r="AG1188" s="673"/>
      <c r="AH1188" s="673"/>
    </row>
    <row r="1189">
      <c r="A1189" s="653"/>
      <c r="B1189" s="654"/>
      <c r="C1189" s="691"/>
      <c r="D1189" s="661"/>
      <c r="E1189" s="705"/>
      <c r="F1189" s="659"/>
      <c r="G1189" s="661"/>
      <c r="H1189" s="660"/>
      <c r="I1189" s="691"/>
      <c r="J1189" s="661"/>
      <c r="K1189" s="706"/>
      <c r="L1189" s="665"/>
      <c r="M1189" s="663"/>
      <c r="N1189" s="665"/>
      <c r="O1189" s="665"/>
      <c r="P1189" s="665"/>
      <c r="Q1189" s="665"/>
      <c r="R1189" s="665"/>
      <c r="S1189" s="665"/>
      <c r="T1189" s="673"/>
      <c r="U1189" s="673"/>
      <c r="V1189" s="673"/>
      <c r="W1189" s="673"/>
      <c r="X1189" s="673"/>
      <c r="Y1189" s="673"/>
      <c r="Z1189" s="673"/>
      <c r="AA1189" s="673"/>
      <c r="AB1189" s="673"/>
      <c r="AC1189" s="673"/>
      <c r="AD1189" s="673"/>
      <c r="AE1189" s="673"/>
      <c r="AF1189" s="673"/>
      <c r="AG1189" s="673"/>
      <c r="AH1189" s="673"/>
    </row>
    <row r="1190">
      <c r="A1190" s="653"/>
      <c r="B1190" s="654"/>
      <c r="C1190" s="691"/>
      <c r="D1190" s="661"/>
      <c r="E1190" s="705"/>
      <c r="F1190" s="659"/>
      <c r="G1190" s="661"/>
      <c r="H1190" s="660"/>
      <c r="I1190" s="691"/>
      <c r="J1190" s="661"/>
      <c r="K1190" s="706"/>
      <c r="L1190" s="665"/>
      <c r="M1190" s="663"/>
      <c r="N1190" s="665"/>
      <c r="O1190" s="665"/>
      <c r="P1190" s="665"/>
      <c r="Q1190" s="665"/>
      <c r="R1190" s="665"/>
      <c r="S1190" s="665"/>
      <c r="T1190" s="673"/>
      <c r="U1190" s="673"/>
      <c r="V1190" s="673"/>
      <c r="W1190" s="673"/>
      <c r="X1190" s="673"/>
      <c r="Y1190" s="673"/>
      <c r="Z1190" s="673"/>
      <c r="AA1190" s="673"/>
      <c r="AB1190" s="673"/>
      <c r="AC1190" s="673"/>
      <c r="AD1190" s="673"/>
      <c r="AE1190" s="673"/>
      <c r="AF1190" s="673"/>
      <c r="AG1190" s="673"/>
      <c r="AH1190" s="673"/>
    </row>
    <row r="1191">
      <c r="A1191" s="653"/>
      <c r="B1191" s="654"/>
      <c r="C1191" s="691"/>
      <c r="D1191" s="661"/>
      <c r="E1191" s="705"/>
      <c r="F1191" s="659"/>
      <c r="G1191" s="661"/>
      <c r="H1191" s="660"/>
      <c r="I1191" s="691"/>
      <c r="J1191" s="661"/>
      <c r="K1191" s="706"/>
      <c r="L1191" s="665"/>
      <c r="M1191" s="663"/>
      <c r="N1191" s="665"/>
      <c r="O1191" s="665"/>
      <c r="P1191" s="665"/>
      <c r="Q1191" s="665"/>
      <c r="R1191" s="665"/>
      <c r="S1191" s="665"/>
      <c r="T1191" s="673"/>
      <c r="U1191" s="673"/>
      <c r="V1191" s="673"/>
      <c r="W1191" s="673"/>
      <c r="X1191" s="673"/>
      <c r="Y1191" s="673"/>
      <c r="Z1191" s="673"/>
      <c r="AA1191" s="673"/>
      <c r="AB1191" s="673"/>
      <c r="AC1191" s="673"/>
      <c r="AD1191" s="673"/>
      <c r="AE1191" s="673"/>
      <c r="AF1191" s="673"/>
      <c r="AG1191" s="673"/>
      <c r="AH1191" s="673"/>
    </row>
    <row r="1192">
      <c r="A1192" s="653"/>
      <c r="B1192" s="654"/>
      <c r="C1192" s="691"/>
      <c r="D1192" s="661"/>
      <c r="E1192" s="705"/>
      <c r="F1192" s="659"/>
      <c r="G1192" s="661"/>
      <c r="H1192" s="660"/>
      <c r="I1192" s="691"/>
      <c r="J1192" s="661"/>
      <c r="K1192" s="706"/>
      <c r="L1192" s="665"/>
      <c r="M1192" s="663"/>
      <c r="N1192" s="665"/>
      <c r="O1192" s="665"/>
      <c r="P1192" s="665"/>
      <c r="Q1192" s="665"/>
      <c r="R1192" s="665"/>
      <c r="S1192" s="665"/>
      <c r="T1192" s="673"/>
      <c r="U1192" s="673"/>
      <c r="V1192" s="673"/>
      <c r="W1192" s="673"/>
      <c r="X1192" s="673"/>
      <c r="Y1192" s="673"/>
      <c r="Z1192" s="673"/>
      <c r="AA1192" s="673"/>
      <c r="AB1192" s="673"/>
      <c r="AC1192" s="673"/>
      <c r="AD1192" s="673"/>
      <c r="AE1192" s="673"/>
      <c r="AF1192" s="673"/>
      <c r="AG1192" s="673"/>
      <c r="AH1192" s="673"/>
    </row>
    <row r="1193">
      <c r="A1193" s="653"/>
      <c r="B1193" s="654"/>
      <c r="C1193" s="691"/>
      <c r="D1193" s="661"/>
      <c r="E1193" s="705"/>
      <c r="F1193" s="659"/>
      <c r="G1193" s="661"/>
      <c r="H1193" s="660"/>
      <c r="I1193" s="691"/>
      <c r="J1193" s="661"/>
      <c r="K1193" s="706"/>
      <c r="L1193" s="665"/>
      <c r="M1193" s="663"/>
      <c r="N1193" s="665"/>
      <c r="O1193" s="665"/>
      <c r="P1193" s="665"/>
      <c r="Q1193" s="665"/>
      <c r="R1193" s="665"/>
      <c r="S1193" s="665"/>
      <c r="T1193" s="673"/>
      <c r="U1193" s="673"/>
      <c r="V1193" s="673"/>
      <c r="W1193" s="673"/>
      <c r="X1193" s="673"/>
      <c r="Y1193" s="673"/>
      <c r="Z1193" s="673"/>
      <c r="AA1193" s="673"/>
      <c r="AB1193" s="673"/>
      <c r="AC1193" s="673"/>
      <c r="AD1193" s="673"/>
      <c r="AE1193" s="673"/>
      <c r="AF1193" s="673"/>
      <c r="AG1193" s="673"/>
      <c r="AH1193" s="673"/>
    </row>
    <row r="1194">
      <c r="A1194" s="653"/>
      <c r="B1194" s="654"/>
      <c r="C1194" s="691"/>
      <c r="D1194" s="661"/>
      <c r="E1194" s="705"/>
      <c r="F1194" s="659"/>
      <c r="G1194" s="661"/>
      <c r="H1194" s="660"/>
      <c r="I1194" s="691"/>
      <c r="J1194" s="661"/>
      <c r="K1194" s="706"/>
      <c r="L1194" s="665"/>
      <c r="M1194" s="663"/>
      <c r="N1194" s="665"/>
      <c r="O1194" s="665"/>
      <c r="P1194" s="665"/>
      <c r="Q1194" s="665"/>
      <c r="R1194" s="665"/>
      <c r="S1194" s="665"/>
      <c r="T1194" s="673"/>
      <c r="U1194" s="673"/>
      <c r="V1194" s="673"/>
      <c r="W1194" s="673"/>
      <c r="X1194" s="673"/>
      <c r="Y1194" s="673"/>
      <c r="Z1194" s="673"/>
      <c r="AA1194" s="673"/>
      <c r="AB1194" s="673"/>
      <c r="AC1194" s="673"/>
      <c r="AD1194" s="673"/>
      <c r="AE1194" s="673"/>
      <c r="AF1194" s="673"/>
      <c r="AG1194" s="673"/>
      <c r="AH1194" s="673"/>
    </row>
    <row r="1195">
      <c r="A1195" s="653"/>
      <c r="B1195" s="654"/>
      <c r="C1195" s="691"/>
      <c r="D1195" s="661"/>
      <c r="E1195" s="705"/>
      <c r="F1195" s="659"/>
      <c r="G1195" s="661"/>
      <c r="H1195" s="660"/>
      <c r="I1195" s="691"/>
      <c r="J1195" s="661"/>
      <c r="K1195" s="706"/>
      <c r="L1195" s="665"/>
      <c r="M1195" s="663"/>
      <c r="N1195" s="665"/>
      <c r="O1195" s="665"/>
      <c r="P1195" s="665"/>
      <c r="Q1195" s="665"/>
      <c r="R1195" s="665"/>
      <c r="S1195" s="665"/>
      <c r="T1195" s="673"/>
      <c r="U1195" s="673"/>
      <c r="V1195" s="673"/>
      <c r="W1195" s="673"/>
      <c r="X1195" s="673"/>
      <c r="Y1195" s="673"/>
      <c r="Z1195" s="673"/>
      <c r="AA1195" s="673"/>
      <c r="AB1195" s="673"/>
      <c r="AC1195" s="673"/>
      <c r="AD1195" s="673"/>
      <c r="AE1195" s="673"/>
      <c r="AF1195" s="673"/>
      <c r="AG1195" s="673"/>
      <c r="AH1195" s="673"/>
    </row>
    <row r="1196">
      <c r="A1196" s="653"/>
      <c r="B1196" s="654"/>
      <c r="C1196" s="691"/>
      <c r="D1196" s="661"/>
      <c r="E1196" s="705"/>
      <c r="F1196" s="659"/>
      <c r="G1196" s="661"/>
      <c r="H1196" s="660"/>
      <c r="I1196" s="691"/>
      <c r="J1196" s="661"/>
      <c r="K1196" s="706"/>
      <c r="L1196" s="665"/>
      <c r="M1196" s="663"/>
      <c r="N1196" s="665"/>
      <c r="O1196" s="665"/>
      <c r="P1196" s="665"/>
      <c r="Q1196" s="665"/>
      <c r="R1196" s="665"/>
      <c r="S1196" s="665"/>
      <c r="T1196" s="673"/>
      <c r="U1196" s="673"/>
      <c r="V1196" s="673"/>
      <c r="W1196" s="673"/>
      <c r="X1196" s="673"/>
      <c r="Y1196" s="673"/>
      <c r="Z1196" s="673"/>
      <c r="AA1196" s="673"/>
      <c r="AB1196" s="673"/>
      <c r="AC1196" s="673"/>
      <c r="AD1196" s="673"/>
      <c r="AE1196" s="673"/>
      <c r="AF1196" s="673"/>
      <c r="AG1196" s="673"/>
      <c r="AH1196" s="673"/>
    </row>
    <row r="1197">
      <c r="A1197" s="653"/>
      <c r="B1197" s="654"/>
      <c r="C1197" s="691"/>
      <c r="D1197" s="661"/>
      <c r="E1197" s="705"/>
      <c r="F1197" s="659"/>
      <c r="G1197" s="661"/>
      <c r="H1197" s="660"/>
      <c r="I1197" s="691"/>
      <c r="J1197" s="661"/>
      <c r="K1197" s="706"/>
      <c r="L1197" s="665"/>
      <c r="M1197" s="663"/>
      <c r="N1197" s="665"/>
      <c r="O1197" s="665"/>
      <c r="P1197" s="665"/>
      <c r="Q1197" s="665"/>
      <c r="R1197" s="665"/>
      <c r="S1197" s="665"/>
      <c r="T1197" s="673"/>
      <c r="U1197" s="673"/>
      <c r="V1197" s="673"/>
      <c r="W1197" s="673"/>
      <c r="X1197" s="673"/>
      <c r="Y1197" s="673"/>
      <c r="Z1197" s="673"/>
      <c r="AA1197" s="673"/>
      <c r="AB1197" s="673"/>
      <c r="AC1197" s="673"/>
      <c r="AD1197" s="673"/>
      <c r="AE1197" s="673"/>
      <c r="AF1197" s="673"/>
      <c r="AG1197" s="673"/>
      <c r="AH1197" s="673"/>
    </row>
    <row r="1198">
      <c r="A1198" s="653"/>
      <c r="B1198" s="654"/>
      <c r="C1198" s="691"/>
      <c r="D1198" s="661"/>
      <c r="E1198" s="705"/>
      <c r="F1198" s="659"/>
      <c r="G1198" s="661"/>
      <c r="H1198" s="660"/>
      <c r="I1198" s="691"/>
      <c r="J1198" s="661"/>
      <c r="K1198" s="706"/>
      <c r="L1198" s="665"/>
      <c r="M1198" s="663"/>
      <c r="N1198" s="665"/>
      <c r="O1198" s="665"/>
      <c r="P1198" s="665"/>
      <c r="Q1198" s="665"/>
      <c r="R1198" s="665"/>
      <c r="S1198" s="665"/>
      <c r="T1198" s="673"/>
      <c r="U1198" s="673"/>
      <c r="V1198" s="673"/>
      <c r="W1198" s="673"/>
      <c r="X1198" s="673"/>
      <c r="Y1198" s="673"/>
      <c r="Z1198" s="673"/>
      <c r="AA1198" s="673"/>
      <c r="AB1198" s="673"/>
      <c r="AC1198" s="673"/>
      <c r="AD1198" s="673"/>
      <c r="AE1198" s="673"/>
      <c r="AF1198" s="673"/>
      <c r="AG1198" s="673"/>
      <c r="AH1198" s="673"/>
    </row>
    <row r="1199">
      <c r="A1199" s="653"/>
      <c r="B1199" s="654"/>
      <c r="C1199" s="691"/>
      <c r="D1199" s="661"/>
      <c r="E1199" s="705"/>
      <c r="F1199" s="659"/>
      <c r="G1199" s="661"/>
      <c r="H1199" s="660"/>
      <c r="I1199" s="691"/>
      <c r="J1199" s="661"/>
      <c r="K1199" s="706"/>
      <c r="L1199" s="665"/>
      <c r="M1199" s="663"/>
      <c r="N1199" s="665"/>
      <c r="O1199" s="665"/>
      <c r="P1199" s="665"/>
      <c r="Q1199" s="665"/>
      <c r="R1199" s="665"/>
      <c r="S1199" s="665"/>
      <c r="T1199" s="673"/>
      <c r="U1199" s="673"/>
      <c r="V1199" s="673"/>
      <c r="W1199" s="673"/>
      <c r="X1199" s="673"/>
      <c r="Y1199" s="673"/>
      <c r="Z1199" s="673"/>
      <c r="AA1199" s="673"/>
      <c r="AB1199" s="673"/>
      <c r="AC1199" s="673"/>
      <c r="AD1199" s="673"/>
      <c r="AE1199" s="673"/>
      <c r="AF1199" s="673"/>
      <c r="AG1199" s="673"/>
      <c r="AH1199" s="673"/>
    </row>
    <row r="1200">
      <c r="A1200" s="653"/>
      <c r="B1200" s="654"/>
      <c r="C1200" s="691"/>
      <c r="D1200" s="661"/>
      <c r="E1200" s="705"/>
      <c r="F1200" s="659"/>
      <c r="G1200" s="661"/>
      <c r="H1200" s="660"/>
      <c r="I1200" s="691"/>
      <c r="J1200" s="661"/>
      <c r="K1200" s="706"/>
      <c r="L1200" s="665"/>
      <c r="M1200" s="663"/>
      <c r="N1200" s="665"/>
      <c r="O1200" s="665"/>
      <c r="P1200" s="665"/>
      <c r="Q1200" s="665"/>
      <c r="R1200" s="665"/>
      <c r="S1200" s="665"/>
      <c r="T1200" s="673"/>
      <c r="U1200" s="673"/>
      <c r="V1200" s="673"/>
      <c r="W1200" s="673"/>
      <c r="X1200" s="673"/>
      <c r="Y1200" s="673"/>
      <c r="Z1200" s="673"/>
      <c r="AA1200" s="673"/>
      <c r="AB1200" s="673"/>
      <c r="AC1200" s="673"/>
      <c r="AD1200" s="673"/>
      <c r="AE1200" s="673"/>
      <c r="AF1200" s="673"/>
      <c r="AG1200" s="673"/>
      <c r="AH1200" s="673"/>
    </row>
    <row r="1201">
      <c r="A1201" s="653"/>
      <c r="B1201" s="654"/>
      <c r="C1201" s="691"/>
      <c r="D1201" s="661"/>
      <c r="E1201" s="705"/>
      <c r="F1201" s="659"/>
      <c r="G1201" s="661"/>
      <c r="H1201" s="660"/>
      <c r="I1201" s="691"/>
      <c r="J1201" s="661"/>
      <c r="K1201" s="706"/>
      <c r="L1201" s="665"/>
      <c r="M1201" s="663"/>
      <c r="N1201" s="665"/>
      <c r="O1201" s="665"/>
      <c r="P1201" s="665"/>
      <c r="Q1201" s="665"/>
      <c r="R1201" s="665"/>
      <c r="S1201" s="665"/>
      <c r="T1201" s="673"/>
      <c r="U1201" s="673"/>
      <c r="V1201" s="673"/>
      <c r="W1201" s="673"/>
      <c r="X1201" s="673"/>
      <c r="Y1201" s="673"/>
      <c r="Z1201" s="673"/>
      <c r="AA1201" s="673"/>
      <c r="AB1201" s="673"/>
      <c r="AC1201" s="673"/>
      <c r="AD1201" s="673"/>
      <c r="AE1201" s="673"/>
      <c r="AF1201" s="673"/>
      <c r="AG1201" s="673"/>
      <c r="AH1201" s="673"/>
    </row>
    <row r="1202">
      <c r="A1202" s="653"/>
      <c r="B1202" s="654"/>
      <c r="C1202" s="691"/>
      <c r="D1202" s="661"/>
      <c r="E1202" s="705"/>
      <c r="F1202" s="659"/>
      <c r="G1202" s="661"/>
      <c r="H1202" s="660"/>
      <c r="I1202" s="691"/>
      <c r="J1202" s="661"/>
      <c r="K1202" s="706"/>
      <c r="L1202" s="665"/>
      <c r="M1202" s="663"/>
      <c r="N1202" s="665"/>
      <c r="O1202" s="665"/>
      <c r="P1202" s="665"/>
      <c r="Q1202" s="665"/>
      <c r="R1202" s="665"/>
      <c r="S1202" s="665"/>
      <c r="T1202" s="673"/>
      <c r="U1202" s="673"/>
      <c r="V1202" s="673"/>
      <c r="W1202" s="673"/>
      <c r="X1202" s="673"/>
      <c r="Y1202" s="673"/>
      <c r="Z1202" s="673"/>
      <c r="AA1202" s="673"/>
      <c r="AB1202" s="673"/>
      <c r="AC1202" s="673"/>
      <c r="AD1202" s="673"/>
      <c r="AE1202" s="673"/>
      <c r="AF1202" s="673"/>
      <c r="AG1202" s="673"/>
      <c r="AH1202" s="673"/>
    </row>
    <row r="1203">
      <c r="A1203" s="653"/>
      <c r="B1203" s="654"/>
      <c r="C1203" s="691"/>
      <c r="D1203" s="661"/>
      <c r="E1203" s="705"/>
      <c r="F1203" s="659"/>
      <c r="G1203" s="661"/>
      <c r="H1203" s="660"/>
      <c r="I1203" s="691"/>
      <c r="J1203" s="661"/>
      <c r="K1203" s="706"/>
      <c r="L1203" s="665"/>
      <c r="M1203" s="663"/>
      <c r="N1203" s="665"/>
      <c r="O1203" s="665"/>
      <c r="P1203" s="665"/>
      <c r="Q1203" s="665"/>
      <c r="R1203" s="665"/>
      <c r="S1203" s="665"/>
      <c r="T1203" s="673"/>
      <c r="U1203" s="673"/>
      <c r="V1203" s="673"/>
      <c r="W1203" s="673"/>
      <c r="X1203" s="673"/>
      <c r="Y1203" s="673"/>
      <c r="Z1203" s="673"/>
      <c r="AA1203" s="673"/>
      <c r="AB1203" s="673"/>
      <c r="AC1203" s="673"/>
      <c r="AD1203" s="673"/>
      <c r="AE1203" s="673"/>
      <c r="AF1203" s="673"/>
      <c r="AG1203" s="673"/>
      <c r="AH1203" s="673"/>
    </row>
    <row r="1204">
      <c r="A1204" s="653"/>
      <c r="B1204" s="654"/>
      <c r="C1204" s="691"/>
      <c r="D1204" s="661"/>
      <c r="E1204" s="705"/>
      <c r="F1204" s="659"/>
      <c r="G1204" s="661"/>
      <c r="H1204" s="660"/>
      <c r="I1204" s="691"/>
      <c r="J1204" s="661"/>
      <c r="K1204" s="706"/>
      <c r="L1204" s="665"/>
      <c r="M1204" s="663"/>
      <c r="N1204" s="665"/>
      <c r="O1204" s="665"/>
      <c r="P1204" s="665"/>
      <c r="Q1204" s="665"/>
      <c r="R1204" s="665"/>
      <c r="S1204" s="665"/>
      <c r="T1204" s="673"/>
      <c r="U1204" s="673"/>
      <c r="V1204" s="673"/>
      <c r="W1204" s="673"/>
      <c r="X1204" s="673"/>
      <c r="Y1204" s="673"/>
      <c r="Z1204" s="673"/>
      <c r="AA1204" s="673"/>
      <c r="AB1204" s="673"/>
      <c r="AC1204" s="673"/>
      <c r="AD1204" s="673"/>
      <c r="AE1204" s="673"/>
      <c r="AF1204" s="673"/>
      <c r="AG1204" s="673"/>
      <c r="AH1204" s="673"/>
    </row>
    <row r="1205">
      <c r="A1205" s="653"/>
      <c r="B1205" s="654"/>
      <c r="C1205" s="691"/>
      <c r="D1205" s="661"/>
      <c r="E1205" s="705"/>
      <c r="F1205" s="659"/>
      <c r="G1205" s="661"/>
      <c r="H1205" s="660"/>
      <c r="I1205" s="691"/>
      <c r="J1205" s="661"/>
      <c r="K1205" s="706"/>
      <c r="L1205" s="665"/>
      <c r="M1205" s="663"/>
      <c r="N1205" s="665"/>
      <c r="O1205" s="665"/>
      <c r="P1205" s="665"/>
      <c r="Q1205" s="665"/>
      <c r="R1205" s="665"/>
      <c r="S1205" s="665"/>
      <c r="T1205" s="673"/>
      <c r="U1205" s="673"/>
      <c r="V1205" s="673"/>
      <c r="W1205" s="673"/>
      <c r="X1205" s="673"/>
      <c r="Y1205" s="673"/>
      <c r="Z1205" s="673"/>
      <c r="AA1205" s="673"/>
      <c r="AB1205" s="673"/>
      <c r="AC1205" s="673"/>
      <c r="AD1205" s="673"/>
      <c r="AE1205" s="673"/>
      <c r="AF1205" s="673"/>
      <c r="AG1205" s="673"/>
      <c r="AH1205" s="673"/>
    </row>
    <row r="1206">
      <c r="A1206" s="653"/>
      <c r="B1206" s="654"/>
      <c r="C1206" s="691"/>
      <c r="D1206" s="661"/>
      <c r="E1206" s="705"/>
      <c r="F1206" s="659"/>
      <c r="G1206" s="661"/>
      <c r="H1206" s="660"/>
      <c r="I1206" s="691"/>
      <c r="J1206" s="661"/>
      <c r="K1206" s="706"/>
      <c r="L1206" s="665"/>
      <c r="M1206" s="663"/>
      <c r="N1206" s="665"/>
      <c r="O1206" s="665"/>
      <c r="P1206" s="665"/>
      <c r="Q1206" s="665"/>
      <c r="R1206" s="665"/>
      <c r="S1206" s="665"/>
      <c r="T1206" s="673"/>
      <c r="U1206" s="673"/>
      <c r="V1206" s="673"/>
      <c r="W1206" s="673"/>
      <c r="X1206" s="673"/>
      <c r="Y1206" s="673"/>
      <c r="Z1206" s="673"/>
      <c r="AA1206" s="673"/>
      <c r="AB1206" s="673"/>
      <c r="AC1206" s="673"/>
      <c r="AD1206" s="673"/>
      <c r="AE1206" s="673"/>
      <c r="AF1206" s="673"/>
      <c r="AG1206" s="673"/>
      <c r="AH1206" s="673"/>
    </row>
    <row r="1207">
      <c r="A1207" s="653"/>
      <c r="B1207" s="654"/>
      <c r="C1207" s="691"/>
      <c r="D1207" s="661"/>
      <c r="E1207" s="705"/>
      <c r="F1207" s="659"/>
      <c r="G1207" s="661"/>
      <c r="H1207" s="660"/>
      <c r="I1207" s="691"/>
      <c r="J1207" s="661"/>
      <c r="K1207" s="706"/>
      <c r="L1207" s="665"/>
      <c r="M1207" s="663"/>
      <c r="N1207" s="665"/>
      <c r="O1207" s="665"/>
      <c r="P1207" s="665"/>
      <c r="Q1207" s="665"/>
      <c r="R1207" s="665"/>
      <c r="S1207" s="665"/>
      <c r="T1207" s="673"/>
      <c r="U1207" s="673"/>
      <c r="V1207" s="673"/>
      <c r="W1207" s="673"/>
      <c r="X1207" s="673"/>
      <c r="Y1207" s="673"/>
      <c r="Z1207" s="673"/>
      <c r="AA1207" s="673"/>
      <c r="AB1207" s="673"/>
      <c r="AC1207" s="673"/>
      <c r="AD1207" s="673"/>
      <c r="AE1207" s="673"/>
      <c r="AF1207" s="673"/>
      <c r="AG1207" s="673"/>
      <c r="AH1207" s="673"/>
    </row>
    <row r="1208">
      <c r="A1208" s="653"/>
      <c r="B1208" s="654"/>
      <c r="C1208" s="691"/>
      <c r="D1208" s="661"/>
      <c r="E1208" s="705"/>
      <c r="F1208" s="659"/>
      <c r="G1208" s="661"/>
      <c r="H1208" s="660"/>
      <c r="I1208" s="691"/>
      <c r="J1208" s="661"/>
      <c r="K1208" s="706"/>
      <c r="L1208" s="665"/>
      <c r="M1208" s="663"/>
      <c r="N1208" s="665"/>
      <c r="O1208" s="665"/>
      <c r="P1208" s="665"/>
      <c r="Q1208" s="665"/>
      <c r="R1208" s="665"/>
      <c r="S1208" s="665"/>
      <c r="T1208" s="673"/>
      <c r="U1208" s="673"/>
      <c r="V1208" s="673"/>
      <c r="W1208" s="673"/>
      <c r="X1208" s="673"/>
      <c r="Y1208" s="673"/>
      <c r="Z1208" s="673"/>
      <c r="AA1208" s="673"/>
      <c r="AB1208" s="673"/>
      <c r="AC1208" s="673"/>
      <c r="AD1208" s="673"/>
      <c r="AE1208" s="673"/>
      <c r="AF1208" s="673"/>
      <c r="AG1208" s="673"/>
      <c r="AH1208" s="673"/>
    </row>
    <row r="1209">
      <c r="A1209" s="653"/>
      <c r="B1209" s="654"/>
      <c r="C1209" s="691"/>
      <c r="D1209" s="661"/>
      <c r="E1209" s="705"/>
      <c r="F1209" s="659"/>
      <c r="G1209" s="661"/>
      <c r="H1209" s="660"/>
      <c r="I1209" s="691"/>
      <c r="J1209" s="661"/>
      <c r="K1209" s="706"/>
      <c r="L1209" s="665"/>
      <c r="M1209" s="663"/>
      <c r="N1209" s="665"/>
      <c r="O1209" s="665"/>
      <c r="P1209" s="665"/>
      <c r="Q1209" s="665"/>
      <c r="R1209" s="665"/>
      <c r="S1209" s="665"/>
      <c r="T1209" s="673"/>
      <c r="U1209" s="673"/>
      <c r="V1209" s="673"/>
      <c r="W1209" s="673"/>
      <c r="X1209" s="673"/>
      <c r="Y1209" s="673"/>
      <c r="Z1209" s="673"/>
      <c r="AA1209" s="673"/>
      <c r="AB1209" s="673"/>
      <c r="AC1209" s="673"/>
      <c r="AD1209" s="673"/>
      <c r="AE1209" s="673"/>
      <c r="AF1209" s="673"/>
      <c r="AG1209" s="673"/>
      <c r="AH1209" s="673"/>
    </row>
    <row r="1210">
      <c r="A1210" s="653"/>
      <c r="B1210" s="654"/>
      <c r="C1210" s="691"/>
      <c r="D1210" s="661"/>
      <c r="E1210" s="705"/>
      <c r="F1210" s="659"/>
      <c r="G1210" s="661"/>
      <c r="H1210" s="660"/>
      <c r="I1210" s="691"/>
      <c r="J1210" s="661"/>
      <c r="K1210" s="706"/>
      <c r="L1210" s="665"/>
      <c r="M1210" s="663"/>
      <c r="N1210" s="665"/>
      <c r="O1210" s="665"/>
      <c r="P1210" s="665"/>
      <c r="Q1210" s="665"/>
      <c r="R1210" s="665"/>
      <c r="S1210" s="665"/>
      <c r="T1210" s="673"/>
      <c r="U1210" s="673"/>
      <c r="V1210" s="673"/>
      <c r="W1210" s="673"/>
      <c r="X1210" s="673"/>
      <c r="Y1210" s="673"/>
      <c r="Z1210" s="673"/>
      <c r="AA1210" s="673"/>
      <c r="AB1210" s="673"/>
      <c r="AC1210" s="673"/>
      <c r="AD1210" s="673"/>
      <c r="AE1210" s="673"/>
      <c r="AF1210" s="673"/>
      <c r="AG1210" s="673"/>
      <c r="AH1210" s="673"/>
    </row>
    <row r="1211">
      <c r="A1211" s="653"/>
      <c r="B1211" s="654"/>
      <c r="C1211" s="691"/>
      <c r="D1211" s="661"/>
      <c r="E1211" s="705"/>
      <c r="F1211" s="659"/>
      <c r="G1211" s="661"/>
      <c r="H1211" s="660"/>
      <c r="I1211" s="691"/>
      <c r="J1211" s="661"/>
      <c r="K1211" s="706"/>
      <c r="L1211" s="665"/>
      <c r="M1211" s="663"/>
      <c r="N1211" s="665"/>
      <c r="O1211" s="665"/>
      <c r="P1211" s="665"/>
      <c r="Q1211" s="665"/>
      <c r="R1211" s="665"/>
      <c r="S1211" s="665"/>
      <c r="T1211" s="673"/>
      <c r="U1211" s="673"/>
      <c r="V1211" s="673"/>
      <c r="W1211" s="673"/>
      <c r="X1211" s="673"/>
      <c r="Y1211" s="673"/>
      <c r="Z1211" s="673"/>
      <c r="AA1211" s="673"/>
      <c r="AB1211" s="673"/>
      <c r="AC1211" s="673"/>
      <c r="AD1211" s="673"/>
      <c r="AE1211" s="673"/>
      <c r="AF1211" s="673"/>
      <c r="AG1211" s="673"/>
      <c r="AH1211" s="673"/>
    </row>
    <row r="1212">
      <c r="A1212" s="653"/>
      <c r="B1212" s="654"/>
      <c r="C1212" s="691"/>
      <c r="D1212" s="661"/>
      <c r="E1212" s="705"/>
      <c r="F1212" s="659"/>
      <c r="G1212" s="661"/>
      <c r="H1212" s="660"/>
      <c r="I1212" s="691"/>
      <c r="J1212" s="661"/>
      <c r="K1212" s="706"/>
      <c r="L1212" s="665"/>
      <c r="M1212" s="663"/>
      <c r="N1212" s="665"/>
      <c r="O1212" s="665"/>
      <c r="P1212" s="665"/>
      <c r="Q1212" s="665"/>
      <c r="R1212" s="665"/>
      <c r="S1212" s="665"/>
      <c r="T1212" s="673"/>
      <c r="U1212" s="673"/>
      <c r="V1212" s="673"/>
      <c r="W1212" s="673"/>
      <c r="X1212" s="673"/>
      <c r="Y1212" s="673"/>
      <c r="Z1212" s="673"/>
      <c r="AA1212" s="673"/>
      <c r="AB1212" s="673"/>
      <c r="AC1212" s="673"/>
      <c r="AD1212" s="673"/>
      <c r="AE1212" s="673"/>
      <c r="AF1212" s="673"/>
      <c r="AG1212" s="673"/>
      <c r="AH1212" s="673"/>
    </row>
    <row r="1213">
      <c r="A1213" s="653"/>
      <c r="B1213" s="654"/>
      <c r="C1213" s="691"/>
      <c r="D1213" s="661"/>
      <c r="E1213" s="705"/>
      <c r="F1213" s="659"/>
      <c r="G1213" s="661"/>
      <c r="H1213" s="660"/>
      <c r="I1213" s="691"/>
      <c r="J1213" s="661"/>
      <c r="K1213" s="706"/>
      <c r="L1213" s="665"/>
      <c r="M1213" s="663"/>
      <c r="N1213" s="665"/>
      <c r="O1213" s="665"/>
      <c r="P1213" s="665"/>
      <c r="Q1213" s="665"/>
      <c r="R1213" s="665"/>
      <c r="S1213" s="665"/>
      <c r="T1213" s="673"/>
      <c r="U1213" s="673"/>
      <c r="V1213" s="673"/>
      <c r="W1213" s="673"/>
      <c r="X1213" s="673"/>
      <c r="Y1213" s="673"/>
      <c r="Z1213" s="673"/>
      <c r="AA1213" s="673"/>
      <c r="AB1213" s="673"/>
      <c r="AC1213" s="673"/>
      <c r="AD1213" s="673"/>
      <c r="AE1213" s="673"/>
      <c r="AF1213" s="673"/>
      <c r="AG1213" s="673"/>
      <c r="AH1213" s="673"/>
    </row>
    <row r="1214">
      <c r="A1214" s="653"/>
      <c r="B1214" s="654"/>
      <c r="C1214" s="691"/>
      <c r="D1214" s="661"/>
      <c r="E1214" s="705"/>
      <c r="F1214" s="659"/>
      <c r="G1214" s="661"/>
      <c r="H1214" s="660"/>
      <c r="I1214" s="691"/>
      <c r="J1214" s="661"/>
      <c r="K1214" s="706"/>
      <c r="L1214" s="665"/>
      <c r="M1214" s="663"/>
      <c r="N1214" s="665"/>
      <c r="O1214" s="665"/>
      <c r="P1214" s="665"/>
      <c r="Q1214" s="665"/>
      <c r="R1214" s="665"/>
      <c r="S1214" s="665"/>
      <c r="T1214" s="673"/>
      <c r="U1214" s="673"/>
      <c r="V1214" s="673"/>
      <c r="W1214" s="673"/>
      <c r="X1214" s="673"/>
      <c r="Y1214" s="673"/>
      <c r="Z1214" s="673"/>
      <c r="AA1214" s="673"/>
      <c r="AB1214" s="673"/>
      <c r="AC1214" s="673"/>
      <c r="AD1214" s="673"/>
      <c r="AE1214" s="673"/>
      <c r="AF1214" s="673"/>
      <c r="AG1214" s="673"/>
      <c r="AH1214" s="673"/>
    </row>
    <row r="1215">
      <c r="A1215" s="653"/>
      <c r="B1215" s="654"/>
      <c r="C1215" s="691"/>
      <c r="D1215" s="661"/>
      <c r="E1215" s="705"/>
      <c r="F1215" s="659"/>
      <c r="G1215" s="661"/>
      <c r="H1215" s="660"/>
      <c r="I1215" s="691"/>
      <c r="J1215" s="661"/>
      <c r="K1215" s="706"/>
      <c r="L1215" s="665"/>
      <c r="M1215" s="663"/>
      <c r="N1215" s="665"/>
      <c r="O1215" s="665"/>
      <c r="P1215" s="665"/>
      <c r="Q1215" s="665"/>
      <c r="R1215" s="665"/>
      <c r="S1215" s="665"/>
      <c r="T1215" s="673"/>
      <c r="U1215" s="673"/>
      <c r="V1215" s="673"/>
      <c r="W1215" s="673"/>
      <c r="X1215" s="673"/>
      <c r="Y1215" s="673"/>
      <c r="Z1215" s="673"/>
      <c r="AA1215" s="673"/>
      <c r="AB1215" s="673"/>
      <c r="AC1215" s="673"/>
      <c r="AD1215" s="673"/>
      <c r="AE1215" s="673"/>
      <c r="AF1215" s="673"/>
      <c r="AG1215" s="673"/>
      <c r="AH1215" s="673"/>
    </row>
    <row r="1216">
      <c r="A1216" s="653"/>
      <c r="B1216" s="654"/>
      <c r="C1216" s="691"/>
      <c r="D1216" s="661"/>
      <c r="E1216" s="705"/>
      <c r="F1216" s="659"/>
      <c r="G1216" s="661"/>
      <c r="H1216" s="660"/>
      <c r="I1216" s="691"/>
      <c r="J1216" s="661"/>
      <c r="K1216" s="706"/>
      <c r="L1216" s="665"/>
      <c r="M1216" s="663"/>
      <c r="N1216" s="665"/>
      <c r="O1216" s="665"/>
      <c r="P1216" s="665"/>
      <c r="Q1216" s="665"/>
      <c r="R1216" s="665"/>
      <c r="S1216" s="665"/>
      <c r="T1216" s="673"/>
      <c r="U1216" s="673"/>
      <c r="V1216" s="673"/>
      <c r="W1216" s="673"/>
      <c r="X1216" s="673"/>
      <c r="Y1216" s="673"/>
      <c r="Z1216" s="673"/>
      <c r="AA1216" s="673"/>
      <c r="AB1216" s="673"/>
      <c r="AC1216" s="673"/>
      <c r="AD1216" s="673"/>
      <c r="AE1216" s="673"/>
      <c r="AF1216" s="673"/>
      <c r="AG1216" s="673"/>
      <c r="AH1216" s="673"/>
    </row>
    <row r="1217">
      <c r="A1217" s="653"/>
      <c r="B1217" s="654"/>
      <c r="C1217" s="691"/>
      <c r="D1217" s="661"/>
      <c r="E1217" s="705"/>
      <c r="F1217" s="659"/>
      <c r="G1217" s="661"/>
      <c r="H1217" s="660"/>
      <c r="I1217" s="691"/>
      <c r="J1217" s="661"/>
      <c r="K1217" s="706"/>
      <c r="L1217" s="665"/>
      <c r="M1217" s="663"/>
      <c r="N1217" s="665"/>
      <c r="O1217" s="665"/>
      <c r="P1217" s="665"/>
      <c r="Q1217" s="665"/>
      <c r="R1217" s="665"/>
      <c r="S1217" s="665"/>
      <c r="T1217" s="673"/>
      <c r="U1217" s="673"/>
      <c r="V1217" s="673"/>
      <c r="W1217" s="673"/>
      <c r="X1217" s="673"/>
      <c r="Y1217" s="673"/>
      <c r="Z1217" s="673"/>
      <c r="AA1217" s="673"/>
      <c r="AB1217" s="673"/>
      <c r="AC1217" s="673"/>
      <c r="AD1217" s="673"/>
      <c r="AE1217" s="673"/>
      <c r="AF1217" s="673"/>
      <c r="AG1217" s="673"/>
      <c r="AH1217" s="673"/>
    </row>
    <row r="1218">
      <c r="A1218" s="653"/>
      <c r="B1218" s="654"/>
      <c r="C1218" s="691"/>
      <c r="D1218" s="661"/>
      <c r="E1218" s="705"/>
      <c r="F1218" s="659"/>
      <c r="G1218" s="661"/>
      <c r="H1218" s="660"/>
      <c r="I1218" s="691"/>
      <c r="J1218" s="661"/>
      <c r="K1218" s="706"/>
      <c r="L1218" s="665"/>
      <c r="M1218" s="663"/>
      <c r="N1218" s="665"/>
      <c r="O1218" s="665"/>
      <c r="P1218" s="665"/>
      <c r="Q1218" s="665"/>
      <c r="R1218" s="665"/>
      <c r="S1218" s="665"/>
      <c r="T1218" s="673"/>
      <c r="U1218" s="673"/>
      <c r="V1218" s="673"/>
      <c r="W1218" s="673"/>
      <c r="X1218" s="673"/>
      <c r="Y1218" s="673"/>
      <c r="Z1218" s="673"/>
      <c r="AA1218" s="673"/>
      <c r="AB1218" s="673"/>
      <c r="AC1218" s="673"/>
      <c r="AD1218" s="673"/>
      <c r="AE1218" s="673"/>
      <c r="AF1218" s="673"/>
      <c r="AG1218" s="673"/>
      <c r="AH1218" s="673"/>
    </row>
    <row r="1219">
      <c r="A1219" s="653"/>
      <c r="B1219" s="654"/>
      <c r="C1219" s="691"/>
      <c r="D1219" s="661"/>
      <c r="E1219" s="705"/>
      <c r="F1219" s="659"/>
      <c r="G1219" s="661"/>
      <c r="H1219" s="660"/>
      <c r="I1219" s="691"/>
      <c r="J1219" s="661"/>
      <c r="K1219" s="706"/>
      <c r="L1219" s="665"/>
      <c r="M1219" s="663"/>
      <c r="N1219" s="665"/>
      <c r="O1219" s="665"/>
      <c r="P1219" s="665"/>
      <c r="Q1219" s="665"/>
      <c r="R1219" s="665"/>
      <c r="S1219" s="665"/>
      <c r="T1219" s="673"/>
      <c r="U1219" s="673"/>
      <c r="V1219" s="673"/>
      <c r="W1219" s="673"/>
      <c r="X1219" s="673"/>
      <c r="Y1219" s="673"/>
      <c r="Z1219" s="673"/>
      <c r="AA1219" s="673"/>
      <c r="AB1219" s="673"/>
      <c r="AC1219" s="673"/>
      <c r="AD1219" s="673"/>
      <c r="AE1219" s="673"/>
      <c r="AF1219" s="673"/>
      <c r="AG1219" s="673"/>
      <c r="AH1219" s="673"/>
    </row>
    <row r="1220">
      <c r="A1220" s="653"/>
      <c r="B1220" s="654"/>
      <c r="C1220" s="691"/>
      <c r="D1220" s="661"/>
      <c r="E1220" s="705"/>
      <c r="F1220" s="659"/>
      <c r="G1220" s="661"/>
      <c r="H1220" s="660"/>
      <c r="I1220" s="691"/>
      <c r="J1220" s="661"/>
      <c r="K1220" s="706"/>
      <c r="L1220" s="665"/>
      <c r="M1220" s="663"/>
      <c r="N1220" s="665"/>
      <c r="O1220" s="665"/>
      <c r="P1220" s="665"/>
      <c r="Q1220" s="665"/>
      <c r="R1220" s="665"/>
      <c r="S1220" s="665"/>
      <c r="T1220" s="673"/>
      <c r="U1220" s="673"/>
      <c r="V1220" s="673"/>
      <c r="W1220" s="673"/>
      <c r="X1220" s="673"/>
      <c r="Y1220" s="673"/>
      <c r="Z1220" s="673"/>
      <c r="AA1220" s="673"/>
      <c r="AB1220" s="673"/>
      <c r="AC1220" s="673"/>
      <c r="AD1220" s="673"/>
      <c r="AE1220" s="673"/>
      <c r="AF1220" s="673"/>
      <c r="AG1220" s="673"/>
      <c r="AH1220" s="673"/>
    </row>
    <row r="1221">
      <c r="A1221" s="653"/>
      <c r="B1221" s="654"/>
      <c r="C1221" s="691"/>
      <c r="D1221" s="661"/>
      <c r="E1221" s="705"/>
      <c r="F1221" s="659"/>
      <c r="G1221" s="661"/>
      <c r="H1221" s="660"/>
      <c r="I1221" s="691"/>
      <c r="J1221" s="661"/>
      <c r="K1221" s="706"/>
      <c r="L1221" s="665"/>
      <c r="M1221" s="663"/>
      <c r="N1221" s="665"/>
      <c r="O1221" s="665"/>
      <c r="P1221" s="665"/>
      <c r="Q1221" s="665"/>
      <c r="R1221" s="665"/>
      <c r="S1221" s="665"/>
      <c r="T1221" s="673"/>
      <c r="U1221" s="673"/>
      <c r="V1221" s="673"/>
      <c r="W1221" s="673"/>
      <c r="X1221" s="673"/>
      <c r="Y1221" s="673"/>
      <c r="Z1221" s="673"/>
      <c r="AA1221" s="673"/>
      <c r="AB1221" s="673"/>
      <c r="AC1221" s="673"/>
      <c r="AD1221" s="673"/>
      <c r="AE1221" s="673"/>
      <c r="AF1221" s="673"/>
      <c r="AG1221" s="673"/>
      <c r="AH1221" s="673"/>
    </row>
    <row r="1222">
      <c r="A1222" s="653"/>
      <c r="B1222" s="654"/>
      <c r="C1222" s="691"/>
      <c r="D1222" s="661"/>
      <c r="E1222" s="705"/>
      <c r="F1222" s="659"/>
      <c r="G1222" s="661"/>
      <c r="H1222" s="660"/>
      <c r="I1222" s="691"/>
      <c r="J1222" s="661"/>
      <c r="K1222" s="706"/>
      <c r="L1222" s="665"/>
      <c r="M1222" s="663"/>
      <c r="N1222" s="665"/>
      <c r="O1222" s="665"/>
      <c r="P1222" s="665"/>
      <c r="Q1222" s="665"/>
      <c r="R1222" s="665"/>
      <c r="S1222" s="665"/>
      <c r="T1222" s="673"/>
      <c r="U1222" s="673"/>
      <c r="V1222" s="673"/>
      <c r="W1222" s="673"/>
      <c r="X1222" s="673"/>
      <c r="Y1222" s="673"/>
      <c r="Z1222" s="673"/>
      <c r="AA1222" s="673"/>
      <c r="AB1222" s="673"/>
      <c r="AC1222" s="673"/>
      <c r="AD1222" s="673"/>
      <c r="AE1222" s="673"/>
      <c r="AF1222" s="673"/>
      <c r="AG1222" s="673"/>
      <c r="AH1222" s="673"/>
    </row>
    <row r="1223">
      <c r="A1223" s="653"/>
      <c r="B1223" s="654"/>
      <c r="C1223" s="691"/>
      <c r="D1223" s="661"/>
      <c r="E1223" s="705"/>
      <c r="F1223" s="659"/>
      <c r="G1223" s="661"/>
      <c r="H1223" s="660"/>
      <c r="I1223" s="691"/>
      <c r="J1223" s="661"/>
      <c r="K1223" s="706"/>
      <c r="L1223" s="665"/>
      <c r="M1223" s="663"/>
      <c r="N1223" s="665"/>
      <c r="O1223" s="665"/>
      <c r="P1223" s="665"/>
      <c r="Q1223" s="665"/>
      <c r="R1223" s="665"/>
      <c r="S1223" s="665"/>
      <c r="T1223" s="673"/>
      <c r="U1223" s="673"/>
      <c r="V1223" s="673"/>
      <c r="W1223" s="673"/>
      <c r="X1223" s="673"/>
      <c r="Y1223" s="673"/>
      <c r="Z1223" s="673"/>
      <c r="AA1223" s="673"/>
      <c r="AB1223" s="673"/>
      <c r="AC1223" s="673"/>
      <c r="AD1223" s="673"/>
      <c r="AE1223" s="673"/>
      <c r="AF1223" s="673"/>
      <c r="AG1223" s="673"/>
      <c r="AH1223" s="673"/>
    </row>
    <row r="1224">
      <c r="A1224" s="653"/>
      <c r="B1224" s="654"/>
      <c r="C1224" s="691"/>
      <c r="D1224" s="661"/>
      <c r="E1224" s="705"/>
      <c r="F1224" s="659"/>
      <c r="G1224" s="661"/>
      <c r="H1224" s="660"/>
      <c r="I1224" s="691"/>
      <c r="J1224" s="661"/>
      <c r="K1224" s="706"/>
      <c r="L1224" s="665"/>
      <c r="M1224" s="663"/>
      <c r="N1224" s="665"/>
      <c r="O1224" s="665"/>
      <c r="P1224" s="665"/>
      <c r="Q1224" s="665"/>
      <c r="R1224" s="665"/>
      <c r="S1224" s="665"/>
      <c r="T1224" s="673"/>
      <c r="U1224" s="673"/>
      <c r="V1224" s="673"/>
      <c r="W1224" s="673"/>
      <c r="X1224" s="673"/>
      <c r="Y1224" s="673"/>
      <c r="Z1224" s="673"/>
      <c r="AA1224" s="673"/>
      <c r="AB1224" s="673"/>
      <c r="AC1224" s="673"/>
      <c r="AD1224" s="673"/>
      <c r="AE1224" s="673"/>
      <c r="AF1224" s="673"/>
      <c r="AG1224" s="673"/>
      <c r="AH1224" s="673"/>
    </row>
    <row r="1225">
      <c r="A1225" s="653"/>
      <c r="B1225" s="654"/>
      <c r="C1225" s="691"/>
      <c r="D1225" s="661"/>
      <c r="E1225" s="705"/>
      <c r="F1225" s="659"/>
      <c r="G1225" s="661"/>
      <c r="H1225" s="660"/>
      <c r="I1225" s="691"/>
      <c r="J1225" s="661"/>
      <c r="K1225" s="706"/>
      <c r="L1225" s="665"/>
      <c r="M1225" s="663"/>
      <c r="N1225" s="665"/>
      <c r="O1225" s="665"/>
      <c r="P1225" s="665"/>
      <c r="Q1225" s="665"/>
      <c r="R1225" s="665"/>
      <c r="S1225" s="665"/>
      <c r="T1225" s="673"/>
      <c r="U1225" s="673"/>
      <c r="V1225" s="673"/>
      <c r="W1225" s="673"/>
      <c r="X1225" s="673"/>
      <c r="Y1225" s="673"/>
      <c r="Z1225" s="673"/>
      <c r="AA1225" s="673"/>
      <c r="AB1225" s="673"/>
      <c r="AC1225" s="673"/>
      <c r="AD1225" s="673"/>
      <c r="AE1225" s="673"/>
      <c r="AF1225" s="673"/>
      <c r="AG1225" s="673"/>
      <c r="AH1225" s="673"/>
    </row>
    <row r="1226">
      <c r="A1226" s="653"/>
      <c r="B1226" s="654"/>
      <c r="C1226" s="691"/>
      <c r="D1226" s="661"/>
      <c r="E1226" s="705"/>
      <c r="F1226" s="659"/>
      <c r="G1226" s="661"/>
      <c r="H1226" s="660"/>
      <c r="I1226" s="691"/>
      <c r="J1226" s="661"/>
      <c r="K1226" s="706"/>
      <c r="L1226" s="665"/>
      <c r="M1226" s="663"/>
      <c r="N1226" s="665"/>
      <c r="O1226" s="665"/>
      <c r="P1226" s="665"/>
      <c r="Q1226" s="665"/>
      <c r="R1226" s="665"/>
      <c r="S1226" s="665"/>
      <c r="T1226" s="673"/>
      <c r="U1226" s="673"/>
      <c r="V1226" s="673"/>
      <c r="W1226" s="673"/>
      <c r="X1226" s="673"/>
      <c r="Y1226" s="673"/>
      <c r="Z1226" s="673"/>
      <c r="AA1226" s="673"/>
      <c r="AB1226" s="673"/>
      <c r="AC1226" s="673"/>
      <c r="AD1226" s="673"/>
      <c r="AE1226" s="673"/>
      <c r="AF1226" s="673"/>
      <c r="AG1226" s="673"/>
      <c r="AH1226" s="673"/>
    </row>
    <row r="1227">
      <c r="A1227" s="653"/>
      <c r="B1227" s="654"/>
      <c r="C1227" s="691"/>
      <c r="D1227" s="661"/>
      <c r="E1227" s="705"/>
      <c r="F1227" s="659"/>
      <c r="G1227" s="661"/>
      <c r="H1227" s="660"/>
      <c r="I1227" s="691"/>
      <c r="J1227" s="661"/>
      <c r="K1227" s="706"/>
      <c r="L1227" s="665"/>
      <c r="M1227" s="663"/>
      <c r="N1227" s="665"/>
      <c r="O1227" s="665"/>
      <c r="P1227" s="665"/>
      <c r="Q1227" s="665"/>
      <c r="R1227" s="665"/>
      <c r="S1227" s="665"/>
      <c r="T1227" s="673"/>
      <c r="U1227" s="673"/>
      <c r="V1227" s="673"/>
      <c r="W1227" s="673"/>
      <c r="X1227" s="673"/>
      <c r="Y1227" s="673"/>
      <c r="Z1227" s="673"/>
      <c r="AA1227" s="673"/>
      <c r="AB1227" s="673"/>
      <c r="AC1227" s="673"/>
      <c r="AD1227" s="673"/>
      <c r="AE1227" s="673"/>
      <c r="AF1227" s="673"/>
      <c r="AG1227" s="673"/>
      <c r="AH1227" s="673"/>
    </row>
    <row r="1228">
      <c r="A1228" s="653"/>
      <c r="B1228" s="654"/>
      <c r="C1228" s="691"/>
      <c r="D1228" s="661"/>
      <c r="E1228" s="705"/>
      <c r="F1228" s="659"/>
      <c r="G1228" s="661"/>
      <c r="H1228" s="660"/>
      <c r="I1228" s="691"/>
      <c r="J1228" s="661"/>
      <c r="K1228" s="706"/>
      <c r="L1228" s="665"/>
      <c r="M1228" s="663"/>
      <c r="N1228" s="665"/>
      <c r="O1228" s="665"/>
      <c r="P1228" s="665"/>
      <c r="Q1228" s="665"/>
      <c r="R1228" s="665"/>
      <c r="S1228" s="665"/>
      <c r="T1228" s="673"/>
      <c r="U1228" s="673"/>
      <c r="V1228" s="673"/>
      <c r="W1228" s="673"/>
      <c r="X1228" s="673"/>
      <c r="Y1228" s="673"/>
      <c r="Z1228" s="673"/>
      <c r="AA1228" s="673"/>
      <c r="AB1228" s="673"/>
      <c r="AC1228" s="673"/>
      <c r="AD1228" s="673"/>
      <c r="AE1228" s="673"/>
      <c r="AF1228" s="673"/>
      <c r="AG1228" s="673"/>
      <c r="AH1228" s="673"/>
    </row>
    <row r="1229">
      <c r="A1229" s="653"/>
      <c r="B1229" s="654"/>
      <c r="C1229" s="691"/>
      <c r="D1229" s="661"/>
      <c r="E1229" s="705"/>
      <c r="F1229" s="659"/>
      <c r="G1229" s="661"/>
      <c r="H1229" s="660"/>
      <c r="I1229" s="691"/>
      <c r="J1229" s="661"/>
      <c r="K1229" s="706"/>
      <c r="L1229" s="665"/>
      <c r="M1229" s="663"/>
      <c r="N1229" s="665"/>
      <c r="O1229" s="665"/>
      <c r="P1229" s="665"/>
      <c r="Q1229" s="665"/>
      <c r="R1229" s="665"/>
      <c r="S1229" s="665"/>
      <c r="T1229" s="673"/>
      <c r="U1229" s="673"/>
      <c r="V1229" s="673"/>
      <c r="W1229" s="673"/>
      <c r="X1229" s="673"/>
      <c r="Y1229" s="673"/>
      <c r="Z1229" s="673"/>
      <c r="AA1229" s="673"/>
      <c r="AB1229" s="673"/>
      <c r="AC1229" s="673"/>
      <c r="AD1229" s="673"/>
      <c r="AE1229" s="673"/>
      <c r="AF1229" s="673"/>
      <c r="AG1229" s="673"/>
      <c r="AH1229" s="673"/>
    </row>
    <row r="1230">
      <c r="A1230" s="653"/>
      <c r="B1230" s="654"/>
      <c r="C1230" s="691"/>
      <c r="D1230" s="661"/>
      <c r="E1230" s="705"/>
      <c r="F1230" s="659"/>
      <c r="G1230" s="661"/>
      <c r="H1230" s="660"/>
      <c r="I1230" s="691"/>
      <c r="J1230" s="661"/>
      <c r="K1230" s="706"/>
      <c r="L1230" s="665"/>
      <c r="M1230" s="663"/>
      <c r="N1230" s="665"/>
      <c r="O1230" s="665"/>
      <c r="P1230" s="665"/>
      <c r="Q1230" s="665"/>
      <c r="R1230" s="665"/>
      <c r="S1230" s="665"/>
      <c r="T1230" s="673"/>
      <c r="U1230" s="673"/>
      <c r="V1230" s="673"/>
      <c r="W1230" s="673"/>
      <c r="X1230" s="673"/>
      <c r="Y1230" s="673"/>
      <c r="Z1230" s="673"/>
      <c r="AA1230" s="673"/>
      <c r="AB1230" s="673"/>
      <c r="AC1230" s="673"/>
      <c r="AD1230" s="673"/>
      <c r="AE1230" s="673"/>
      <c r="AF1230" s="673"/>
      <c r="AG1230" s="673"/>
      <c r="AH1230" s="673"/>
    </row>
    <row r="1231">
      <c r="A1231" s="653"/>
      <c r="B1231" s="654"/>
      <c r="C1231" s="691"/>
      <c r="D1231" s="661"/>
      <c r="E1231" s="705"/>
      <c r="F1231" s="659"/>
      <c r="G1231" s="661"/>
      <c r="H1231" s="660"/>
      <c r="I1231" s="691"/>
      <c r="J1231" s="661"/>
      <c r="K1231" s="706"/>
      <c r="L1231" s="665"/>
      <c r="M1231" s="663"/>
      <c r="N1231" s="665"/>
      <c r="O1231" s="665"/>
      <c r="P1231" s="665"/>
      <c r="Q1231" s="665"/>
      <c r="R1231" s="665"/>
      <c r="S1231" s="665"/>
      <c r="T1231" s="673"/>
      <c r="U1231" s="673"/>
      <c r="V1231" s="673"/>
      <c r="W1231" s="673"/>
      <c r="X1231" s="673"/>
      <c r="Y1231" s="673"/>
      <c r="Z1231" s="673"/>
      <c r="AA1231" s="673"/>
      <c r="AB1231" s="673"/>
      <c r="AC1231" s="673"/>
      <c r="AD1231" s="673"/>
      <c r="AE1231" s="673"/>
      <c r="AF1231" s="673"/>
      <c r="AG1231" s="673"/>
      <c r="AH1231" s="673"/>
    </row>
    <row r="1232">
      <c r="A1232" s="653"/>
      <c r="B1232" s="654"/>
      <c r="C1232" s="691"/>
      <c r="D1232" s="661"/>
      <c r="E1232" s="705"/>
      <c r="F1232" s="659"/>
      <c r="G1232" s="661"/>
      <c r="H1232" s="660"/>
      <c r="I1232" s="691"/>
      <c r="J1232" s="661"/>
      <c r="K1232" s="706"/>
      <c r="L1232" s="665"/>
      <c r="M1232" s="663"/>
      <c r="N1232" s="665"/>
      <c r="O1232" s="665"/>
      <c r="P1232" s="665"/>
      <c r="Q1232" s="665"/>
      <c r="R1232" s="665"/>
      <c r="S1232" s="665"/>
      <c r="T1232" s="673"/>
      <c r="U1232" s="673"/>
      <c r="V1232" s="673"/>
      <c r="W1232" s="673"/>
      <c r="X1232" s="673"/>
      <c r="Y1232" s="673"/>
      <c r="Z1232" s="673"/>
      <c r="AA1232" s="673"/>
      <c r="AB1232" s="673"/>
      <c r="AC1232" s="673"/>
      <c r="AD1232" s="673"/>
      <c r="AE1232" s="673"/>
      <c r="AF1232" s="673"/>
      <c r="AG1232" s="673"/>
      <c r="AH1232" s="673"/>
    </row>
    <row r="1233">
      <c r="A1233" s="653"/>
      <c r="B1233" s="654"/>
      <c r="C1233" s="691"/>
      <c r="D1233" s="661"/>
      <c r="E1233" s="705"/>
      <c r="F1233" s="659"/>
      <c r="G1233" s="661"/>
      <c r="H1233" s="660"/>
      <c r="I1233" s="691"/>
      <c r="J1233" s="661"/>
      <c r="K1233" s="706"/>
      <c r="L1233" s="665"/>
      <c r="M1233" s="663"/>
      <c r="N1233" s="665"/>
      <c r="O1233" s="665"/>
      <c r="P1233" s="665"/>
      <c r="Q1233" s="665"/>
      <c r="R1233" s="665"/>
      <c r="S1233" s="665"/>
      <c r="T1233" s="673"/>
      <c r="U1233" s="673"/>
      <c r="V1233" s="673"/>
      <c r="W1233" s="673"/>
      <c r="X1233" s="673"/>
      <c r="Y1233" s="673"/>
      <c r="Z1233" s="673"/>
      <c r="AA1233" s="673"/>
      <c r="AB1233" s="673"/>
      <c r="AC1233" s="673"/>
      <c r="AD1233" s="673"/>
      <c r="AE1233" s="673"/>
      <c r="AF1233" s="673"/>
      <c r="AG1233" s="673"/>
      <c r="AH1233" s="673"/>
    </row>
    <row r="1234">
      <c r="A1234" s="653"/>
      <c r="B1234" s="654"/>
      <c r="C1234" s="691"/>
      <c r="D1234" s="661"/>
      <c r="E1234" s="705"/>
      <c r="F1234" s="659"/>
      <c r="G1234" s="661"/>
      <c r="H1234" s="660"/>
      <c r="I1234" s="691"/>
      <c r="J1234" s="661"/>
      <c r="K1234" s="706"/>
      <c r="L1234" s="665"/>
      <c r="M1234" s="663"/>
      <c r="N1234" s="665"/>
      <c r="O1234" s="665"/>
      <c r="P1234" s="665"/>
      <c r="Q1234" s="665"/>
      <c r="R1234" s="665"/>
      <c r="S1234" s="665"/>
      <c r="T1234" s="673"/>
      <c r="U1234" s="673"/>
      <c r="V1234" s="673"/>
      <c r="W1234" s="673"/>
      <c r="X1234" s="673"/>
      <c r="Y1234" s="673"/>
      <c r="Z1234" s="673"/>
      <c r="AA1234" s="673"/>
      <c r="AB1234" s="673"/>
      <c r="AC1234" s="673"/>
      <c r="AD1234" s="673"/>
      <c r="AE1234" s="673"/>
      <c r="AF1234" s="673"/>
      <c r="AG1234" s="673"/>
      <c r="AH1234" s="673"/>
    </row>
    <row r="1235">
      <c r="A1235" s="653"/>
      <c r="B1235" s="654"/>
      <c r="C1235" s="691"/>
      <c r="D1235" s="661"/>
      <c r="E1235" s="705"/>
      <c r="F1235" s="659"/>
      <c r="G1235" s="661"/>
      <c r="H1235" s="660"/>
      <c r="I1235" s="691"/>
      <c r="J1235" s="661"/>
      <c r="K1235" s="706"/>
      <c r="L1235" s="665"/>
      <c r="M1235" s="663"/>
      <c r="N1235" s="665"/>
      <c r="O1235" s="665"/>
      <c r="P1235" s="665"/>
      <c r="Q1235" s="665"/>
      <c r="R1235" s="665"/>
      <c r="S1235" s="665"/>
      <c r="T1235" s="673"/>
      <c r="U1235" s="673"/>
      <c r="V1235" s="673"/>
      <c r="W1235" s="673"/>
      <c r="X1235" s="673"/>
      <c r="Y1235" s="673"/>
      <c r="Z1235" s="673"/>
      <c r="AA1235" s="673"/>
      <c r="AB1235" s="673"/>
      <c r="AC1235" s="673"/>
      <c r="AD1235" s="673"/>
      <c r="AE1235" s="673"/>
      <c r="AF1235" s="673"/>
      <c r="AG1235" s="673"/>
      <c r="AH1235" s="673"/>
    </row>
    <row r="1236">
      <c r="A1236" s="653"/>
      <c r="B1236" s="654"/>
      <c r="C1236" s="691"/>
      <c r="D1236" s="661"/>
      <c r="E1236" s="705"/>
      <c r="F1236" s="659"/>
      <c r="G1236" s="661"/>
      <c r="H1236" s="660"/>
      <c r="I1236" s="691"/>
      <c r="J1236" s="661"/>
      <c r="K1236" s="706"/>
      <c r="L1236" s="665"/>
      <c r="M1236" s="663"/>
      <c r="N1236" s="665"/>
      <c r="O1236" s="665"/>
      <c r="P1236" s="665"/>
      <c r="Q1236" s="665"/>
      <c r="R1236" s="665"/>
      <c r="S1236" s="665"/>
      <c r="T1236" s="673"/>
      <c r="U1236" s="673"/>
      <c r="V1236" s="673"/>
      <c r="W1236" s="673"/>
      <c r="X1236" s="673"/>
      <c r="Y1236" s="673"/>
      <c r="Z1236" s="673"/>
      <c r="AA1236" s="673"/>
      <c r="AB1236" s="673"/>
      <c r="AC1236" s="673"/>
      <c r="AD1236" s="673"/>
      <c r="AE1236" s="673"/>
      <c r="AF1236" s="673"/>
      <c r="AG1236" s="673"/>
      <c r="AH1236" s="673"/>
    </row>
    <row r="1237">
      <c r="A1237" s="653"/>
      <c r="B1237" s="654"/>
      <c r="C1237" s="691"/>
      <c r="D1237" s="661"/>
      <c r="E1237" s="705"/>
      <c r="F1237" s="659"/>
      <c r="G1237" s="661"/>
      <c r="H1237" s="660"/>
      <c r="I1237" s="691"/>
      <c r="J1237" s="661"/>
      <c r="K1237" s="706"/>
      <c r="L1237" s="665"/>
      <c r="M1237" s="663"/>
      <c r="N1237" s="665"/>
      <c r="O1237" s="665"/>
      <c r="P1237" s="665"/>
      <c r="Q1237" s="665"/>
      <c r="R1237" s="665"/>
      <c r="S1237" s="665"/>
      <c r="T1237" s="673"/>
      <c r="U1237" s="673"/>
      <c r="V1237" s="673"/>
      <c r="W1237" s="673"/>
      <c r="X1237" s="673"/>
      <c r="Y1237" s="673"/>
      <c r="Z1237" s="673"/>
      <c r="AA1237" s="673"/>
      <c r="AB1237" s="673"/>
      <c r="AC1237" s="673"/>
      <c r="AD1237" s="673"/>
      <c r="AE1237" s="673"/>
      <c r="AF1237" s="673"/>
      <c r="AG1237" s="673"/>
      <c r="AH1237" s="673"/>
    </row>
    <row r="1238">
      <c r="A1238" s="653"/>
      <c r="B1238" s="654"/>
      <c r="C1238" s="691"/>
      <c r="D1238" s="661"/>
      <c r="E1238" s="705"/>
      <c r="F1238" s="659"/>
      <c r="G1238" s="661"/>
      <c r="H1238" s="660"/>
      <c r="I1238" s="691"/>
      <c r="J1238" s="661"/>
      <c r="K1238" s="706"/>
      <c r="L1238" s="665"/>
      <c r="M1238" s="663"/>
      <c r="N1238" s="665"/>
      <c r="O1238" s="665"/>
      <c r="P1238" s="665"/>
      <c r="Q1238" s="665"/>
      <c r="R1238" s="665"/>
      <c r="S1238" s="665"/>
      <c r="T1238" s="673"/>
      <c r="U1238" s="673"/>
      <c r="V1238" s="673"/>
      <c r="W1238" s="673"/>
      <c r="X1238" s="673"/>
      <c r="Y1238" s="673"/>
      <c r="Z1238" s="673"/>
      <c r="AA1238" s="673"/>
      <c r="AB1238" s="673"/>
      <c r="AC1238" s="673"/>
      <c r="AD1238" s="673"/>
      <c r="AE1238" s="673"/>
      <c r="AF1238" s="673"/>
      <c r="AG1238" s="673"/>
      <c r="AH1238" s="673"/>
    </row>
    <row r="1239">
      <c r="A1239" s="653"/>
      <c r="B1239" s="654"/>
      <c r="C1239" s="691"/>
      <c r="D1239" s="661"/>
      <c r="E1239" s="705"/>
      <c r="F1239" s="659"/>
      <c r="G1239" s="661"/>
      <c r="H1239" s="660"/>
      <c r="I1239" s="691"/>
      <c r="J1239" s="661"/>
      <c r="K1239" s="706"/>
      <c r="L1239" s="665"/>
      <c r="M1239" s="663"/>
      <c r="N1239" s="665"/>
      <c r="O1239" s="665"/>
      <c r="P1239" s="665"/>
      <c r="Q1239" s="665"/>
      <c r="R1239" s="665"/>
      <c r="S1239" s="665"/>
      <c r="T1239" s="673"/>
      <c r="U1239" s="673"/>
      <c r="V1239" s="673"/>
      <c r="W1239" s="673"/>
      <c r="X1239" s="673"/>
      <c r="Y1239" s="673"/>
      <c r="Z1239" s="673"/>
      <c r="AA1239" s="673"/>
      <c r="AB1239" s="673"/>
      <c r="AC1239" s="673"/>
      <c r="AD1239" s="673"/>
      <c r="AE1239" s="673"/>
      <c r="AF1239" s="673"/>
      <c r="AG1239" s="673"/>
      <c r="AH1239" s="673"/>
    </row>
    <row r="1240">
      <c r="A1240" s="653"/>
      <c r="B1240" s="654"/>
      <c r="C1240" s="691"/>
      <c r="D1240" s="661"/>
      <c r="E1240" s="705"/>
      <c r="F1240" s="659"/>
      <c r="G1240" s="661"/>
      <c r="H1240" s="660"/>
      <c r="I1240" s="691"/>
      <c r="J1240" s="661"/>
      <c r="K1240" s="706"/>
      <c r="L1240" s="665"/>
      <c r="M1240" s="663"/>
      <c r="N1240" s="665"/>
      <c r="O1240" s="665"/>
      <c r="P1240" s="665"/>
      <c r="Q1240" s="665"/>
      <c r="R1240" s="665"/>
      <c r="S1240" s="665"/>
      <c r="T1240" s="673"/>
      <c r="U1240" s="673"/>
      <c r="V1240" s="673"/>
      <c r="W1240" s="673"/>
      <c r="X1240" s="673"/>
      <c r="Y1240" s="673"/>
      <c r="Z1240" s="673"/>
      <c r="AA1240" s="673"/>
      <c r="AB1240" s="673"/>
      <c r="AC1240" s="673"/>
      <c r="AD1240" s="673"/>
      <c r="AE1240" s="673"/>
      <c r="AF1240" s="673"/>
      <c r="AG1240" s="673"/>
      <c r="AH1240" s="673"/>
    </row>
    <row r="1241">
      <c r="A1241" s="653"/>
      <c r="B1241" s="654"/>
      <c r="C1241" s="691"/>
      <c r="D1241" s="661"/>
      <c r="E1241" s="705"/>
      <c r="F1241" s="659"/>
      <c r="G1241" s="661"/>
      <c r="H1241" s="660"/>
      <c r="I1241" s="691"/>
      <c r="J1241" s="661"/>
      <c r="K1241" s="706"/>
      <c r="L1241" s="665"/>
      <c r="M1241" s="663"/>
      <c r="N1241" s="665"/>
      <c r="O1241" s="665"/>
      <c r="P1241" s="665"/>
      <c r="Q1241" s="665"/>
      <c r="R1241" s="665"/>
      <c r="S1241" s="665"/>
      <c r="T1241" s="673"/>
      <c r="U1241" s="673"/>
      <c r="V1241" s="673"/>
      <c r="W1241" s="673"/>
      <c r="X1241" s="673"/>
      <c r="Y1241" s="673"/>
      <c r="Z1241" s="673"/>
      <c r="AA1241" s="673"/>
      <c r="AB1241" s="673"/>
      <c r="AC1241" s="673"/>
      <c r="AD1241" s="673"/>
      <c r="AE1241" s="673"/>
      <c r="AF1241" s="673"/>
      <c r="AG1241" s="673"/>
      <c r="AH1241" s="673"/>
    </row>
    <row r="1242">
      <c r="A1242" s="653"/>
      <c r="B1242" s="654"/>
      <c r="C1242" s="691"/>
      <c r="D1242" s="661"/>
      <c r="E1242" s="705"/>
      <c r="F1242" s="659"/>
      <c r="G1242" s="661"/>
      <c r="H1242" s="660"/>
      <c r="I1242" s="691"/>
      <c r="J1242" s="661"/>
      <c r="K1242" s="706"/>
      <c r="L1242" s="665"/>
      <c r="M1242" s="663"/>
      <c r="N1242" s="665"/>
      <c r="O1242" s="665"/>
      <c r="P1242" s="665"/>
      <c r="Q1242" s="665"/>
      <c r="R1242" s="665"/>
      <c r="S1242" s="665"/>
      <c r="T1242" s="673"/>
      <c r="U1242" s="673"/>
      <c r="V1242" s="673"/>
      <c r="W1242" s="673"/>
      <c r="X1242" s="673"/>
      <c r="Y1242" s="673"/>
      <c r="Z1242" s="673"/>
      <c r="AA1242" s="673"/>
      <c r="AB1242" s="673"/>
      <c r="AC1242" s="673"/>
      <c r="AD1242" s="673"/>
      <c r="AE1242" s="673"/>
      <c r="AF1242" s="673"/>
      <c r="AG1242" s="673"/>
      <c r="AH1242" s="673"/>
    </row>
    <row r="1243">
      <c r="A1243" s="653"/>
      <c r="B1243" s="654"/>
      <c r="C1243" s="691"/>
      <c r="D1243" s="661"/>
      <c r="E1243" s="705"/>
      <c r="F1243" s="659"/>
      <c r="G1243" s="661"/>
      <c r="H1243" s="660"/>
      <c r="I1243" s="691"/>
      <c r="J1243" s="661"/>
      <c r="K1243" s="706"/>
      <c r="L1243" s="665"/>
      <c r="M1243" s="663"/>
      <c r="N1243" s="665"/>
      <c r="O1243" s="665"/>
      <c r="P1243" s="665"/>
      <c r="Q1243" s="665"/>
      <c r="R1243" s="665"/>
      <c r="S1243" s="665"/>
      <c r="T1243" s="673"/>
      <c r="U1243" s="673"/>
      <c r="V1243" s="673"/>
      <c r="W1243" s="673"/>
      <c r="X1243" s="673"/>
      <c r="Y1243" s="673"/>
      <c r="Z1243" s="673"/>
      <c r="AA1243" s="673"/>
      <c r="AB1243" s="673"/>
      <c r="AC1243" s="673"/>
      <c r="AD1243" s="673"/>
      <c r="AE1243" s="673"/>
      <c r="AF1243" s="673"/>
      <c r="AG1243" s="673"/>
      <c r="AH1243" s="673"/>
    </row>
    <row r="1244">
      <c r="A1244" s="653"/>
      <c r="B1244" s="654"/>
      <c r="C1244" s="691"/>
      <c r="D1244" s="661"/>
      <c r="E1244" s="705"/>
      <c r="F1244" s="659"/>
      <c r="G1244" s="661"/>
      <c r="H1244" s="660"/>
      <c r="I1244" s="691"/>
      <c r="J1244" s="661"/>
      <c r="K1244" s="706"/>
      <c r="L1244" s="665"/>
      <c r="M1244" s="663"/>
      <c r="N1244" s="665"/>
      <c r="O1244" s="665"/>
      <c r="P1244" s="665"/>
      <c r="Q1244" s="665"/>
      <c r="R1244" s="665"/>
      <c r="S1244" s="665"/>
      <c r="T1244" s="673"/>
      <c r="U1244" s="673"/>
      <c r="V1244" s="673"/>
      <c r="W1244" s="673"/>
      <c r="X1244" s="673"/>
      <c r="Y1244" s="673"/>
      <c r="Z1244" s="673"/>
      <c r="AA1244" s="673"/>
      <c r="AB1244" s="673"/>
      <c r="AC1244" s="673"/>
      <c r="AD1244" s="673"/>
      <c r="AE1244" s="673"/>
      <c r="AF1244" s="673"/>
      <c r="AG1244" s="673"/>
      <c r="AH1244" s="673"/>
    </row>
    <row r="1245">
      <c r="A1245" s="653"/>
      <c r="B1245" s="654"/>
      <c r="C1245" s="691"/>
      <c r="D1245" s="661"/>
      <c r="E1245" s="705"/>
      <c r="F1245" s="659"/>
      <c r="G1245" s="661"/>
      <c r="H1245" s="660"/>
      <c r="I1245" s="691"/>
      <c r="J1245" s="661"/>
      <c r="K1245" s="706"/>
      <c r="L1245" s="665"/>
      <c r="M1245" s="663"/>
      <c r="N1245" s="665"/>
      <c r="O1245" s="665"/>
      <c r="P1245" s="665"/>
      <c r="Q1245" s="665"/>
      <c r="R1245" s="665"/>
      <c r="S1245" s="665"/>
      <c r="T1245" s="673"/>
      <c r="U1245" s="673"/>
      <c r="V1245" s="673"/>
      <c r="W1245" s="673"/>
      <c r="X1245" s="673"/>
      <c r="Y1245" s="673"/>
      <c r="Z1245" s="673"/>
      <c r="AA1245" s="673"/>
      <c r="AB1245" s="673"/>
      <c r="AC1245" s="673"/>
      <c r="AD1245" s="673"/>
      <c r="AE1245" s="673"/>
      <c r="AF1245" s="673"/>
      <c r="AG1245" s="673"/>
      <c r="AH1245" s="673"/>
    </row>
    <row r="1246">
      <c r="A1246" s="653"/>
      <c r="B1246" s="654"/>
      <c r="C1246" s="691"/>
      <c r="D1246" s="661"/>
      <c r="E1246" s="705"/>
      <c r="F1246" s="659"/>
      <c r="G1246" s="661"/>
      <c r="H1246" s="660"/>
      <c r="I1246" s="691"/>
      <c r="J1246" s="661"/>
      <c r="K1246" s="706"/>
      <c r="L1246" s="665"/>
      <c r="M1246" s="663"/>
      <c r="N1246" s="665"/>
      <c r="O1246" s="665"/>
      <c r="P1246" s="665"/>
      <c r="Q1246" s="665"/>
      <c r="R1246" s="665"/>
      <c r="S1246" s="665"/>
      <c r="T1246" s="673"/>
      <c r="U1246" s="673"/>
      <c r="V1246" s="673"/>
      <c r="W1246" s="673"/>
      <c r="X1246" s="673"/>
      <c r="Y1246" s="673"/>
      <c r="Z1246" s="673"/>
      <c r="AA1246" s="673"/>
      <c r="AB1246" s="673"/>
      <c r="AC1246" s="673"/>
      <c r="AD1246" s="673"/>
      <c r="AE1246" s="673"/>
      <c r="AF1246" s="673"/>
      <c r="AG1246" s="673"/>
      <c r="AH1246" s="673"/>
    </row>
    <row r="1247">
      <c r="A1247" s="653"/>
      <c r="B1247" s="654"/>
      <c r="C1247" s="691"/>
      <c r="D1247" s="661"/>
      <c r="E1247" s="705"/>
      <c r="F1247" s="659"/>
      <c r="G1247" s="661"/>
      <c r="H1247" s="660"/>
      <c r="I1247" s="691"/>
      <c r="J1247" s="661"/>
      <c r="K1247" s="706"/>
      <c r="L1247" s="665"/>
      <c r="M1247" s="663"/>
      <c r="N1247" s="665"/>
      <c r="O1247" s="665"/>
      <c r="P1247" s="665"/>
      <c r="Q1247" s="665"/>
      <c r="R1247" s="665"/>
      <c r="S1247" s="665"/>
      <c r="T1247" s="673"/>
      <c r="U1247" s="673"/>
      <c r="V1247" s="673"/>
      <c r="W1247" s="673"/>
      <c r="X1247" s="673"/>
      <c r="Y1247" s="673"/>
      <c r="Z1247" s="673"/>
      <c r="AA1247" s="673"/>
      <c r="AB1247" s="673"/>
      <c r="AC1247" s="673"/>
      <c r="AD1247" s="673"/>
      <c r="AE1247" s="673"/>
      <c r="AF1247" s="673"/>
      <c r="AG1247" s="673"/>
      <c r="AH1247" s="673"/>
    </row>
    <row r="1248">
      <c r="A1248" s="653"/>
      <c r="B1248" s="654"/>
      <c r="C1248" s="691"/>
      <c r="D1248" s="661"/>
      <c r="E1248" s="705"/>
      <c r="F1248" s="659"/>
      <c r="G1248" s="661"/>
      <c r="H1248" s="660"/>
      <c r="I1248" s="691"/>
      <c r="J1248" s="661"/>
      <c r="K1248" s="706"/>
      <c r="L1248" s="665"/>
      <c r="M1248" s="663"/>
      <c r="N1248" s="665"/>
      <c r="O1248" s="665"/>
      <c r="P1248" s="665"/>
      <c r="Q1248" s="665"/>
      <c r="R1248" s="665"/>
      <c r="S1248" s="665"/>
      <c r="T1248" s="673"/>
      <c r="U1248" s="673"/>
      <c r="V1248" s="673"/>
      <c r="W1248" s="673"/>
      <c r="X1248" s="673"/>
      <c r="Y1248" s="673"/>
      <c r="Z1248" s="673"/>
      <c r="AA1248" s="673"/>
      <c r="AB1248" s="673"/>
      <c r="AC1248" s="673"/>
      <c r="AD1248" s="673"/>
      <c r="AE1248" s="673"/>
      <c r="AF1248" s="673"/>
      <c r="AG1248" s="673"/>
      <c r="AH1248" s="673"/>
    </row>
    <row r="1249">
      <c r="A1249" s="653"/>
      <c r="B1249" s="654"/>
      <c r="C1249" s="691"/>
      <c r="D1249" s="661"/>
      <c r="E1249" s="705"/>
      <c r="F1249" s="659"/>
      <c r="G1249" s="661"/>
      <c r="H1249" s="660"/>
      <c r="I1249" s="691"/>
      <c r="J1249" s="661"/>
      <c r="K1249" s="706"/>
      <c r="L1249" s="665"/>
      <c r="M1249" s="663"/>
      <c r="N1249" s="665"/>
      <c r="O1249" s="665"/>
      <c r="P1249" s="665"/>
      <c r="Q1249" s="665"/>
      <c r="R1249" s="665"/>
      <c r="S1249" s="665"/>
      <c r="T1249" s="673"/>
      <c r="U1249" s="673"/>
      <c r="V1249" s="673"/>
      <c r="W1249" s="673"/>
      <c r="X1249" s="673"/>
      <c r="Y1249" s="673"/>
      <c r="Z1249" s="673"/>
      <c r="AA1249" s="673"/>
      <c r="AB1249" s="673"/>
      <c r="AC1249" s="673"/>
      <c r="AD1249" s="673"/>
      <c r="AE1249" s="673"/>
      <c r="AF1249" s="673"/>
      <c r="AG1249" s="673"/>
      <c r="AH1249" s="673"/>
    </row>
    <row r="1250">
      <c r="A1250" s="653"/>
      <c r="B1250" s="654"/>
      <c r="C1250" s="691"/>
      <c r="D1250" s="661"/>
      <c r="E1250" s="705"/>
      <c r="F1250" s="659"/>
      <c r="G1250" s="661"/>
      <c r="H1250" s="660"/>
      <c r="I1250" s="691"/>
      <c r="J1250" s="661"/>
      <c r="K1250" s="706"/>
      <c r="L1250" s="665"/>
      <c r="M1250" s="663"/>
      <c r="N1250" s="665"/>
      <c r="O1250" s="665"/>
      <c r="P1250" s="665"/>
      <c r="Q1250" s="665"/>
      <c r="R1250" s="665"/>
      <c r="S1250" s="665"/>
      <c r="T1250" s="673"/>
      <c r="U1250" s="673"/>
      <c r="V1250" s="673"/>
      <c r="W1250" s="673"/>
      <c r="X1250" s="673"/>
      <c r="Y1250" s="673"/>
      <c r="Z1250" s="673"/>
      <c r="AA1250" s="673"/>
      <c r="AB1250" s="673"/>
      <c r="AC1250" s="673"/>
      <c r="AD1250" s="673"/>
      <c r="AE1250" s="673"/>
      <c r="AF1250" s="673"/>
      <c r="AG1250" s="673"/>
      <c r="AH1250" s="673"/>
    </row>
    <row r="1251">
      <c r="A1251" s="653"/>
      <c r="B1251" s="654"/>
      <c r="C1251" s="691"/>
      <c r="D1251" s="661"/>
      <c r="E1251" s="705"/>
      <c r="F1251" s="659"/>
      <c r="G1251" s="661"/>
      <c r="H1251" s="660"/>
      <c r="I1251" s="691"/>
      <c r="J1251" s="661"/>
      <c r="K1251" s="706"/>
      <c r="L1251" s="665"/>
      <c r="M1251" s="663"/>
      <c r="N1251" s="665"/>
      <c r="O1251" s="665"/>
      <c r="P1251" s="665"/>
      <c r="Q1251" s="665"/>
      <c r="R1251" s="665"/>
      <c r="S1251" s="665"/>
      <c r="T1251" s="673"/>
      <c r="U1251" s="673"/>
      <c r="V1251" s="673"/>
      <c r="W1251" s="673"/>
      <c r="X1251" s="673"/>
      <c r="Y1251" s="673"/>
      <c r="Z1251" s="673"/>
      <c r="AA1251" s="673"/>
      <c r="AB1251" s="673"/>
      <c r="AC1251" s="673"/>
      <c r="AD1251" s="673"/>
      <c r="AE1251" s="673"/>
      <c r="AF1251" s="673"/>
      <c r="AG1251" s="673"/>
      <c r="AH1251" s="673"/>
    </row>
    <row r="1252">
      <c r="A1252" s="653"/>
      <c r="B1252" s="654"/>
      <c r="C1252" s="691"/>
      <c r="D1252" s="661"/>
      <c r="E1252" s="705"/>
      <c r="F1252" s="659"/>
      <c r="G1252" s="661"/>
      <c r="H1252" s="660"/>
      <c r="I1252" s="691"/>
      <c r="J1252" s="661"/>
      <c r="K1252" s="706"/>
      <c r="L1252" s="665"/>
      <c r="M1252" s="663"/>
      <c r="N1252" s="665"/>
      <c r="O1252" s="665"/>
      <c r="P1252" s="665"/>
      <c r="Q1252" s="665"/>
      <c r="R1252" s="665"/>
      <c r="S1252" s="665"/>
      <c r="T1252" s="673"/>
      <c r="U1252" s="673"/>
      <c r="V1252" s="673"/>
      <c r="W1252" s="673"/>
      <c r="X1252" s="673"/>
      <c r="Y1252" s="673"/>
      <c r="Z1252" s="673"/>
      <c r="AA1252" s="673"/>
      <c r="AB1252" s="673"/>
      <c r="AC1252" s="673"/>
      <c r="AD1252" s="673"/>
      <c r="AE1252" s="673"/>
      <c r="AF1252" s="673"/>
      <c r="AG1252" s="673"/>
      <c r="AH1252" s="673"/>
    </row>
    <row r="1253">
      <c r="A1253" s="653"/>
      <c r="B1253" s="654"/>
      <c r="C1253" s="691"/>
      <c r="D1253" s="661"/>
      <c r="E1253" s="705"/>
      <c r="F1253" s="659"/>
      <c r="G1253" s="661"/>
      <c r="H1253" s="660"/>
      <c r="I1253" s="691"/>
      <c r="J1253" s="661"/>
      <c r="K1253" s="706"/>
      <c r="L1253" s="665"/>
      <c r="M1253" s="663"/>
      <c r="N1253" s="665"/>
      <c r="O1253" s="665"/>
      <c r="P1253" s="665"/>
      <c r="Q1253" s="665"/>
      <c r="R1253" s="665"/>
      <c r="S1253" s="665"/>
      <c r="T1253" s="673"/>
      <c r="U1253" s="673"/>
      <c r="V1253" s="673"/>
      <c r="W1253" s="673"/>
      <c r="X1253" s="673"/>
      <c r="Y1253" s="673"/>
      <c r="Z1253" s="673"/>
      <c r="AA1253" s="673"/>
      <c r="AB1253" s="673"/>
      <c r="AC1253" s="673"/>
      <c r="AD1253" s="673"/>
      <c r="AE1253" s="673"/>
      <c r="AF1253" s="673"/>
      <c r="AG1253" s="673"/>
      <c r="AH1253" s="673"/>
    </row>
    <row r="1254">
      <c r="A1254" s="653"/>
      <c r="B1254" s="654"/>
      <c r="C1254" s="691"/>
      <c r="D1254" s="661"/>
      <c r="E1254" s="705"/>
      <c r="F1254" s="659"/>
      <c r="G1254" s="661"/>
      <c r="H1254" s="660"/>
      <c r="I1254" s="691"/>
      <c r="J1254" s="661"/>
      <c r="K1254" s="706"/>
      <c r="L1254" s="665"/>
      <c r="M1254" s="663"/>
      <c r="N1254" s="665"/>
      <c r="O1254" s="665"/>
      <c r="P1254" s="665"/>
      <c r="Q1254" s="665"/>
      <c r="R1254" s="665"/>
      <c r="S1254" s="665"/>
      <c r="T1254" s="673"/>
      <c r="U1254" s="673"/>
      <c r="V1254" s="673"/>
      <c r="W1254" s="673"/>
      <c r="X1254" s="673"/>
      <c r="Y1254" s="673"/>
      <c r="Z1254" s="673"/>
      <c r="AA1254" s="673"/>
      <c r="AB1254" s="673"/>
      <c r="AC1254" s="673"/>
      <c r="AD1254" s="673"/>
      <c r="AE1254" s="673"/>
      <c r="AF1254" s="673"/>
      <c r="AG1254" s="673"/>
      <c r="AH1254" s="673"/>
    </row>
    <row r="1255">
      <c r="A1255" s="653"/>
      <c r="B1255" s="654"/>
      <c r="C1255" s="691"/>
      <c r="D1255" s="661"/>
      <c r="E1255" s="705"/>
      <c r="F1255" s="659"/>
      <c r="G1255" s="661"/>
      <c r="H1255" s="660"/>
      <c r="I1255" s="691"/>
      <c r="J1255" s="661"/>
      <c r="K1255" s="706"/>
      <c r="L1255" s="665"/>
      <c r="M1255" s="663"/>
      <c r="N1255" s="665"/>
      <c r="O1255" s="665"/>
      <c r="P1255" s="665"/>
      <c r="Q1255" s="665"/>
      <c r="R1255" s="665"/>
      <c r="S1255" s="665"/>
      <c r="T1255" s="673"/>
      <c r="U1255" s="673"/>
      <c r="V1255" s="673"/>
      <c r="W1255" s="673"/>
      <c r="X1255" s="673"/>
      <c r="Y1255" s="673"/>
      <c r="Z1255" s="673"/>
      <c r="AA1255" s="673"/>
      <c r="AB1255" s="673"/>
      <c r="AC1255" s="673"/>
      <c r="AD1255" s="673"/>
      <c r="AE1255" s="673"/>
      <c r="AF1255" s="673"/>
      <c r="AG1255" s="673"/>
      <c r="AH1255" s="673"/>
    </row>
    <row r="1256">
      <c r="A1256" s="653"/>
      <c r="B1256" s="654"/>
      <c r="C1256" s="691"/>
      <c r="D1256" s="661"/>
      <c r="E1256" s="705"/>
      <c r="F1256" s="659"/>
      <c r="G1256" s="661"/>
      <c r="H1256" s="660"/>
      <c r="I1256" s="691"/>
      <c r="J1256" s="661"/>
      <c r="K1256" s="706"/>
      <c r="L1256" s="665"/>
      <c r="M1256" s="663"/>
      <c r="N1256" s="665"/>
      <c r="O1256" s="665"/>
      <c r="P1256" s="665"/>
      <c r="Q1256" s="665"/>
      <c r="R1256" s="665"/>
      <c r="S1256" s="665"/>
      <c r="T1256" s="673"/>
      <c r="U1256" s="673"/>
      <c r="V1256" s="673"/>
      <c r="W1256" s="673"/>
      <c r="X1256" s="673"/>
      <c r="Y1256" s="673"/>
      <c r="Z1256" s="673"/>
      <c r="AA1256" s="673"/>
      <c r="AB1256" s="673"/>
      <c r="AC1256" s="673"/>
      <c r="AD1256" s="673"/>
      <c r="AE1256" s="673"/>
      <c r="AF1256" s="673"/>
      <c r="AG1256" s="673"/>
      <c r="AH1256" s="673"/>
    </row>
    <row r="1257">
      <c r="A1257" s="653"/>
      <c r="B1257" s="654"/>
      <c r="C1257" s="691"/>
      <c r="D1257" s="661"/>
      <c r="E1257" s="705"/>
      <c r="F1257" s="659"/>
      <c r="G1257" s="661"/>
      <c r="H1257" s="660"/>
      <c r="I1257" s="691"/>
      <c r="J1257" s="661"/>
      <c r="K1257" s="706"/>
      <c r="L1257" s="665"/>
      <c r="M1257" s="663"/>
      <c r="N1257" s="665"/>
      <c r="O1257" s="665"/>
      <c r="P1257" s="665"/>
      <c r="Q1257" s="665"/>
      <c r="R1257" s="665"/>
      <c r="S1257" s="665"/>
      <c r="T1257" s="673"/>
      <c r="U1257" s="673"/>
      <c r="V1257" s="673"/>
      <c r="W1257" s="673"/>
      <c r="X1257" s="673"/>
      <c r="Y1257" s="673"/>
      <c r="Z1257" s="673"/>
      <c r="AA1257" s="673"/>
      <c r="AB1257" s="673"/>
      <c r="AC1257" s="673"/>
      <c r="AD1257" s="673"/>
      <c r="AE1257" s="673"/>
      <c r="AF1257" s="673"/>
      <c r="AG1257" s="673"/>
      <c r="AH1257" s="673"/>
    </row>
    <row r="1258">
      <c r="A1258" s="653"/>
      <c r="B1258" s="654"/>
      <c r="C1258" s="691"/>
      <c r="D1258" s="661"/>
      <c r="E1258" s="705"/>
      <c r="F1258" s="659"/>
      <c r="G1258" s="661"/>
      <c r="H1258" s="660"/>
      <c r="I1258" s="691"/>
      <c r="J1258" s="661"/>
      <c r="K1258" s="706"/>
      <c r="L1258" s="665"/>
      <c r="M1258" s="663"/>
      <c r="N1258" s="665"/>
      <c r="O1258" s="665"/>
      <c r="P1258" s="665"/>
      <c r="Q1258" s="665"/>
      <c r="R1258" s="665"/>
      <c r="S1258" s="665"/>
      <c r="T1258" s="673"/>
      <c r="U1258" s="673"/>
      <c r="V1258" s="673"/>
      <c r="W1258" s="673"/>
      <c r="X1258" s="673"/>
      <c r="Y1258" s="673"/>
      <c r="Z1258" s="673"/>
      <c r="AA1258" s="673"/>
      <c r="AB1258" s="673"/>
      <c r="AC1258" s="673"/>
      <c r="AD1258" s="673"/>
      <c r="AE1258" s="673"/>
      <c r="AF1258" s="673"/>
      <c r="AG1258" s="673"/>
      <c r="AH1258" s="673"/>
    </row>
    <row r="1259">
      <c r="A1259" s="653"/>
      <c r="B1259" s="654"/>
      <c r="C1259" s="691"/>
      <c r="D1259" s="661"/>
      <c r="E1259" s="705"/>
      <c r="F1259" s="659"/>
      <c r="G1259" s="661"/>
      <c r="H1259" s="660"/>
      <c r="I1259" s="691"/>
      <c r="J1259" s="661"/>
      <c r="K1259" s="706"/>
      <c r="L1259" s="665"/>
      <c r="M1259" s="663"/>
      <c r="N1259" s="665"/>
      <c r="O1259" s="665"/>
      <c r="P1259" s="665"/>
      <c r="Q1259" s="665"/>
      <c r="R1259" s="665"/>
      <c r="S1259" s="665"/>
      <c r="T1259" s="673"/>
      <c r="U1259" s="673"/>
      <c r="V1259" s="673"/>
      <c r="W1259" s="673"/>
      <c r="X1259" s="673"/>
      <c r="Y1259" s="673"/>
      <c r="Z1259" s="673"/>
      <c r="AA1259" s="673"/>
      <c r="AB1259" s="673"/>
      <c r="AC1259" s="673"/>
      <c r="AD1259" s="673"/>
      <c r="AE1259" s="673"/>
      <c r="AF1259" s="673"/>
      <c r="AG1259" s="673"/>
      <c r="AH1259" s="673"/>
    </row>
    <row r="1260">
      <c r="A1260" s="653"/>
      <c r="B1260" s="654"/>
      <c r="C1260" s="691"/>
      <c r="D1260" s="661"/>
      <c r="E1260" s="705"/>
      <c r="F1260" s="659"/>
      <c r="G1260" s="661"/>
      <c r="H1260" s="660"/>
      <c r="I1260" s="691"/>
      <c r="J1260" s="661"/>
      <c r="K1260" s="706"/>
      <c r="L1260" s="665"/>
      <c r="M1260" s="663"/>
      <c r="N1260" s="665"/>
      <c r="O1260" s="665"/>
      <c r="P1260" s="665"/>
      <c r="Q1260" s="665"/>
      <c r="R1260" s="665"/>
      <c r="S1260" s="665"/>
      <c r="T1260" s="673"/>
      <c r="U1260" s="673"/>
      <c r="V1260" s="673"/>
      <c r="W1260" s="673"/>
      <c r="X1260" s="673"/>
      <c r="Y1260" s="673"/>
      <c r="Z1260" s="673"/>
      <c r="AA1260" s="673"/>
      <c r="AB1260" s="673"/>
      <c r="AC1260" s="673"/>
      <c r="AD1260" s="673"/>
      <c r="AE1260" s="673"/>
      <c r="AF1260" s="673"/>
      <c r="AG1260" s="673"/>
      <c r="AH1260" s="673"/>
    </row>
    <row r="1261">
      <c r="A1261" s="653"/>
      <c r="B1261" s="654"/>
      <c r="C1261" s="691"/>
      <c r="D1261" s="661"/>
      <c r="E1261" s="705"/>
      <c r="F1261" s="659"/>
      <c r="G1261" s="661"/>
      <c r="H1261" s="660"/>
      <c r="I1261" s="691"/>
      <c r="J1261" s="661"/>
      <c r="K1261" s="706"/>
      <c r="L1261" s="665"/>
      <c r="M1261" s="663"/>
      <c r="N1261" s="665"/>
      <c r="O1261" s="665"/>
      <c r="P1261" s="665"/>
      <c r="Q1261" s="665"/>
      <c r="R1261" s="665"/>
      <c r="S1261" s="665"/>
      <c r="T1261" s="673"/>
      <c r="U1261" s="673"/>
      <c r="V1261" s="673"/>
      <c r="W1261" s="673"/>
      <c r="X1261" s="673"/>
      <c r="Y1261" s="673"/>
      <c r="Z1261" s="673"/>
      <c r="AA1261" s="673"/>
      <c r="AB1261" s="673"/>
      <c r="AC1261" s="673"/>
      <c r="AD1261" s="673"/>
      <c r="AE1261" s="673"/>
      <c r="AF1261" s="673"/>
      <c r="AG1261" s="673"/>
      <c r="AH1261" s="673"/>
    </row>
    <row r="1262">
      <c r="A1262" s="653"/>
      <c r="B1262" s="654"/>
      <c r="C1262" s="691"/>
      <c r="D1262" s="661"/>
      <c r="E1262" s="705"/>
      <c r="F1262" s="659"/>
      <c r="G1262" s="661"/>
      <c r="H1262" s="660"/>
      <c r="I1262" s="691"/>
      <c r="J1262" s="661"/>
      <c r="K1262" s="706"/>
      <c r="L1262" s="665"/>
      <c r="M1262" s="663"/>
      <c r="N1262" s="665"/>
      <c r="O1262" s="665"/>
      <c r="P1262" s="665"/>
      <c r="Q1262" s="665"/>
      <c r="R1262" s="665"/>
      <c r="S1262" s="665"/>
      <c r="T1262" s="673"/>
      <c r="U1262" s="673"/>
      <c r="V1262" s="673"/>
      <c r="W1262" s="673"/>
      <c r="X1262" s="673"/>
      <c r="Y1262" s="673"/>
      <c r="Z1262" s="673"/>
      <c r="AA1262" s="673"/>
      <c r="AB1262" s="673"/>
      <c r="AC1262" s="673"/>
      <c r="AD1262" s="673"/>
      <c r="AE1262" s="673"/>
      <c r="AF1262" s="673"/>
      <c r="AG1262" s="673"/>
      <c r="AH1262" s="673"/>
    </row>
    <row r="1263">
      <c r="A1263" s="653"/>
      <c r="B1263" s="654"/>
      <c r="C1263" s="691"/>
      <c r="D1263" s="661"/>
      <c r="E1263" s="705"/>
      <c r="F1263" s="659"/>
      <c r="G1263" s="661"/>
      <c r="H1263" s="660"/>
      <c r="I1263" s="691"/>
      <c r="J1263" s="661"/>
      <c r="K1263" s="706"/>
      <c r="L1263" s="665"/>
      <c r="M1263" s="663"/>
      <c r="N1263" s="665"/>
      <c r="O1263" s="665"/>
      <c r="P1263" s="665"/>
      <c r="Q1263" s="665"/>
      <c r="R1263" s="665"/>
      <c r="S1263" s="665"/>
      <c r="T1263" s="673"/>
      <c r="U1263" s="673"/>
      <c r="V1263" s="673"/>
      <c r="W1263" s="673"/>
      <c r="X1263" s="673"/>
      <c r="Y1263" s="673"/>
      <c r="Z1263" s="673"/>
      <c r="AA1263" s="673"/>
      <c r="AB1263" s="673"/>
      <c r="AC1263" s="673"/>
      <c r="AD1263" s="673"/>
      <c r="AE1263" s="673"/>
      <c r="AF1263" s="673"/>
      <c r="AG1263" s="673"/>
      <c r="AH1263" s="673"/>
    </row>
    <row r="1264">
      <c r="A1264" s="653"/>
      <c r="B1264" s="654"/>
      <c r="C1264" s="691"/>
      <c r="D1264" s="661"/>
      <c r="E1264" s="705"/>
      <c r="F1264" s="659"/>
      <c r="G1264" s="661"/>
      <c r="H1264" s="660"/>
      <c r="I1264" s="691"/>
      <c r="J1264" s="661"/>
      <c r="K1264" s="706"/>
      <c r="L1264" s="665"/>
      <c r="M1264" s="663"/>
      <c r="N1264" s="665"/>
      <c r="O1264" s="665"/>
      <c r="P1264" s="665"/>
      <c r="Q1264" s="665"/>
      <c r="R1264" s="665"/>
      <c r="S1264" s="665"/>
      <c r="T1264" s="673"/>
      <c r="U1264" s="673"/>
      <c r="V1264" s="673"/>
      <c r="W1264" s="673"/>
      <c r="X1264" s="673"/>
      <c r="Y1264" s="673"/>
      <c r="Z1264" s="673"/>
      <c r="AA1264" s="673"/>
      <c r="AB1264" s="673"/>
      <c r="AC1264" s="673"/>
      <c r="AD1264" s="673"/>
      <c r="AE1264" s="673"/>
      <c r="AF1264" s="673"/>
      <c r="AG1264" s="673"/>
      <c r="AH1264" s="673"/>
    </row>
    <row r="1265">
      <c r="A1265" s="653"/>
      <c r="B1265" s="654"/>
      <c r="C1265" s="691"/>
      <c r="D1265" s="661"/>
      <c r="E1265" s="705"/>
      <c r="F1265" s="659"/>
      <c r="G1265" s="661"/>
      <c r="H1265" s="660"/>
      <c r="I1265" s="691"/>
      <c r="J1265" s="661"/>
      <c r="K1265" s="706"/>
      <c r="L1265" s="665"/>
      <c r="M1265" s="663"/>
      <c r="N1265" s="665"/>
      <c r="O1265" s="665"/>
      <c r="P1265" s="665"/>
      <c r="Q1265" s="665"/>
      <c r="R1265" s="665"/>
      <c r="S1265" s="665"/>
      <c r="T1265" s="673"/>
      <c r="U1265" s="673"/>
      <c r="V1265" s="673"/>
      <c r="W1265" s="673"/>
      <c r="X1265" s="673"/>
      <c r="Y1265" s="673"/>
      <c r="Z1265" s="673"/>
      <c r="AA1265" s="673"/>
      <c r="AB1265" s="673"/>
      <c r="AC1265" s="673"/>
      <c r="AD1265" s="673"/>
      <c r="AE1265" s="673"/>
      <c r="AF1265" s="673"/>
      <c r="AG1265" s="673"/>
      <c r="AH1265" s="673"/>
    </row>
    <row r="1266">
      <c r="A1266" s="653"/>
      <c r="B1266" s="654"/>
      <c r="C1266" s="691"/>
      <c r="D1266" s="661"/>
      <c r="E1266" s="705"/>
      <c r="F1266" s="659"/>
      <c r="G1266" s="661"/>
      <c r="H1266" s="660"/>
      <c r="I1266" s="691"/>
      <c r="J1266" s="661"/>
      <c r="K1266" s="706"/>
      <c r="L1266" s="665"/>
      <c r="M1266" s="663"/>
      <c r="N1266" s="665"/>
      <c r="O1266" s="665"/>
      <c r="P1266" s="665"/>
      <c r="Q1266" s="665"/>
      <c r="R1266" s="665"/>
      <c r="S1266" s="665"/>
      <c r="T1266" s="673"/>
      <c r="U1266" s="673"/>
      <c r="V1266" s="673"/>
      <c r="W1266" s="673"/>
      <c r="X1266" s="673"/>
      <c r="Y1266" s="673"/>
      <c r="Z1266" s="673"/>
      <c r="AA1266" s="673"/>
      <c r="AB1266" s="673"/>
      <c r="AC1266" s="673"/>
      <c r="AD1266" s="673"/>
      <c r="AE1266" s="673"/>
      <c r="AF1266" s="673"/>
      <c r="AG1266" s="673"/>
      <c r="AH1266" s="673"/>
    </row>
    <row r="1267">
      <c r="A1267" s="653"/>
      <c r="B1267" s="654"/>
      <c r="C1267" s="691"/>
      <c r="D1267" s="661"/>
      <c r="E1267" s="705"/>
      <c r="F1267" s="659"/>
      <c r="G1267" s="661"/>
      <c r="H1267" s="660"/>
      <c r="I1267" s="691"/>
      <c r="J1267" s="661"/>
      <c r="K1267" s="706"/>
      <c r="L1267" s="665"/>
      <c r="M1267" s="663"/>
      <c r="N1267" s="665"/>
      <c r="O1267" s="665"/>
      <c r="P1267" s="665"/>
      <c r="Q1267" s="665"/>
      <c r="R1267" s="665"/>
      <c r="S1267" s="665"/>
      <c r="T1267" s="673"/>
      <c r="U1267" s="673"/>
      <c r="V1267" s="673"/>
      <c r="W1267" s="673"/>
      <c r="X1267" s="673"/>
      <c r="Y1267" s="673"/>
      <c r="Z1267" s="673"/>
      <c r="AA1267" s="673"/>
      <c r="AB1267" s="673"/>
      <c r="AC1267" s="673"/>
      <c r="AD1267" s="673"/>
      <c r="AE1267" s="673"/>
      <c r="AF1267" s="673"/>
      <c r="AG1267" s="673"/>
      <c r="AH1267" s="673"/>
    </row>
    <row r="1268">
      <c r="A1268" s="653"/>
      <c r="B1268" s="654"/>
      <c r="C1268" s="691"/>
      <c r="D1268" s="661"/>
      <c r="E1268" s="705"/>
      <c r="F1268" s="659"/>
      <c r="G1268" s="661"/>
      <c r="H1268" s="660"/>
      <c r="I1268" s="691"/>
      <c r="J1268" s="661"/>
      <c r="K1268" s="706"/>
      <c r="L1268" s="665"/>
      <c r="M1268" s="663"/>
      <c r="N1268" s="665"/>
      <c r="O1268" s="665"/>
      <c r="P1268" s="665"/>
      <c r="Q1268" s="665"/>
      <c r="R1268" s="665"/>
      <c r="S1268" s="665"/>
      <c r="T1268" s="673"/>
      <c r="U1268" s="673"/>
      <c r="V1268" s="673"/>
      <c r="W1268" s="673"/>
      <c r="X1268" s="673"/>
      <c r="Y1268" s="673"/>
      <c r="Z1268" s="673"/>
      <c r="AA1268" s="673"/>
      <c r="AB1268" s="673"/>
      <c r="AC1268" s="673"/>
      <c r="AD1268" s="673"/>
      <c r="AE1268" s="673"/>
      <c r="AF1268" s="673"/>
      <c r="AG1268" s="673"/>
      <c r="AH1268" s="673"/>
    </row>
    <row r="1269">
      <c r="A1269" s="653"/>
      <c r="B1269" s="654"/>
      <c r="C1269" s="691"/>
      <c r="D1269" s="661"/>
      <c r="E1269" s="705"/>
      <c r="F1269" s="659"/>
      <c r="G1269" s="661"/>
      <c r="H1269" s="660"/>
      <c r="I1269" s="691"/>
      <c r="J1269" s="661"/>
      <c r="K1269" s="706"/>
      <c r="L1269" s="665"/>
      <c r="M1269" s="663"/>
      <c r="N1269" s="665"/>
      <c r="O1269" s="665"/>
      <c r="P1269" s="665"/>
      <c r="Q1269" s="665"/>
      <c r="R1269" s="665"/>
      <c r="S1269" s="665"/>
      <c r="T1269" s="673"/>
      <c r="U1269" s="673"/>
      <c r="V1269" s="673"/>
      <c r="W1269" s="673"/>
      <c r="X1269" s="673"/>
      <c r="Y1269" s="673"/>
      <c r="Z1269" s="673"/>
      <c r="AA1269" s="673"/>
      <c r="AB1269" s="673"/>
      <c r="AC1269" s="673"/>
      <c r="AD1269" s="673"/>
      <c r="AE1269" s="673"/>
      <c r="AF1269" s="673"/>
      <c r="AG1269" s="673"/>
      <c r="AH1269" s="673"/>
    </row>
    <row r="1270">
      <c r="A1270" s="653"/>
      <c r="B1270" s="654"/>
      <c r="C1270" s="691"/>
      <c r="D1270" s="661"/>
      <c r="E1270" s="705"/>
      <c r="F1270" s="659"/>
      <c r="G1270" s="661"/>
      <c r="H1270" s="660"/>
      <c r="I1270" s="691"/>
      <c r="J1270" s="661"/>
      <c r="K1270" s="706"/>
      <c r="L1270" s="665"/>
      <c r="M1270" s="663"/>
      <c r="N1270" s="665"/>
      <c r="O1270" s="665"/>
      <c r="P1270" s="665"/>
      <c r="Q1270" s="665"/>
      <c r="R1270" s="665"/>
      <c r="S1270" s="665"/>
      <c r="T1270" s="673"/>
      <c r="U1270" s="673"/>
      <c r="V1270" s="673"/>
      <c r="W1270" s="673"/>
      <c r="X1270" s="673"/>
      <c r="Y1270" s="673"/>
      <c r="Z1270" s="673"/>
      <c r="AA1270" s="673"/>
      <c r="AB1270" s="673"/>
      <c r="AC1270" s="673"/>
      <c r="AD1270" s="673"/>
      <c r="AE1270" s="673"/>
      <c r="AF1270" s="673"/>
      <c r="AG1270" s="673"/>
      <c r="AH1270" s="673"/>
    </row>
    <row r="1271">
      <c r="A1271" s="653"/>
      <c r="B1271" s="654"/>
      <c r="C1271" s="691"/>
      <c r="D1271" s="661"/>
      <c r="E1271" s="705"/>
      <c r="F1271" s="659"/>
      <c r="G1271" s="661"/>
      <c r="H1271" s="660"/>
      <c r="I1271" s="691"/>
      <c r="J1271" s="661"/>
      <c r="K1271" s="706"/>
      <c r="L1271" s="665"/>
      <c r="M1271" s="663"/>
      <c r="N1271" s="665"/>
      <c r="O1271" s="665"/>
      <c r="P1271" s="665"/>
      <c r="Q1271" s="665"/>
      <c r="R1271" s="665"/>
      <c r="S1271" s="665"/>
      <c r="T1271" s="673"/>
      <c r="U1271" s="673"/>
      <c r="V1271" s="673"/>
      <c r="W1271" s="673"/>
      <c r="X1271" s="673"/>
      <c r="Y1271" s="673"/>
      <c r="Z1271" s="673"/>
      <c r="AA1271" s="673"/>
      <c r="AB1271" s="673"/>
      <c r="AC1271" s="673"/>
      <c r="AD1271" s="673"/>
      <c r="AE1271" s="673"/>
      <c r="AF1271" s="673"/>
      <c r="AG1271" s="673"/>
      <c r="AH1271" s="673"/>
    </row>
    <row r="1272">
      <c r="A1272" s="653"/>
      <c r="B1272" s="654"/>
      <c r="C1272" s="691"/>
      <c r="D1272" s="661"/>
      <c r="E1272" s="705"/>
      <c r="F1272" s="659"/>
      <c r="G1272" s="661"/>
      <c r="H1272" s="660"/>
      <c r="I1272" s="691"/>
      <c r="J1272" s="661"/>
      <c r="K1272" s="706"/>
      <c r="L1272" s="665"/>
      <c r="M1272" s="663"/>
      <c r="N1272" s="665"/>
      <c r="O1272" s="665"/>
      <c r="P1272" s="665"/>
      <c r="Q1272" s="665"/>
      <c r="R1272" s="665"/>
      <c r="S1272" s="665"/>
      <c r="T1272" s="673"/>
      <c r="U1272" s="673"/>
      <c r="V1272" s="673"/>
      <c r="W1272" s="673"/>
      <c r="X1272" s="673"/>
      <c r="Y1272" s="673"/>
      <c r="Z1272" s="673"/>
      <c r="AA1272" s="673"/>
      <c r="AB1272" s="673"/>
      <c r="AC1272" s="673"/>
      <c r="AD1272" s="673"/>
      <c r="AE1272" s="673"/>
      <c r="AF1272" s="673"/>
      <c r="AG1272" s="673"/>
      <c r="AH1272" s="673"/>
    </row>
    <row r="1273">
      <c r="A1273" s="653"/>
      <c r="B1273" s="654"/>
      <c r="C1273" s="691"/>
      <c r="D1273" s="661"/>
      <c r="E1273" s="705"/>
      <c r="F1273" s="659"/>
      <c r="G1273" s="661"/>
      <c r="H1273" s="660"/>
      <c r="I1273" s="691"/>
      <c r="J1273" s="661"/>
      <c r="K1273" s="706"/>
      <c r="L1273" s="665"/>
      <c r="M1273" s="663"/>
      <c r="N1273" s="665"/>
      <c r="O1273" s="665"/>
      <c r="P1273" s="665"/>
      <c r="Q1273" s="665"/>
      <c r="R1273" s="665"/>
      <c r="S1273" s="665"/>
      <c r="T1273" s="673"/>
      <c r="U1273" s="673"/>
      <c r="V1273" s="673"/>
      <c r="W1273" s="673"/>
      <c r="X1273" s="673"/>
      <c r="Y1273" s="673"/>
      <c r="Z1273" s="673"/>
      <c r="AA1273" s="673"/>
      <c r="AB1273" s="673"/>
      <c r="AC1273" s="673"/>
      <c r="AD1273" s="673"/>
      <c r="AE1273" s="673"/>
      <c r="AF1273" s="673"/>
      <c r="AG1273" s="673"/>
      <c r="AH1273" s="673"/>
    </row>
    <row r="1274">
      <c r="A1274" s="653"/>
      <c r="B1274" s="654"/>
      <c r="C1274" s="691"/>
      <c r="D1274" s="661"/>
      <c r="E1274" s="705"/>
      <c r="F1274" s="659"/>
      <c r="G1274" s="661"/>
      <c r="H1274" s="660"/>
      <c r="I1274" s="691"/>
      <c r="J1274" s="661"/>
      <c r="K1274" s="706"/>
      <c r="L1274" s="665"/>
      <c r="M1274" s="663"/>
      <c r="N1274" s="665"/>
      <c r="O1274" s="665"/>
      <c r="P1274" s="665"/>
      <c r="Q1274" s="665"/>
      <c r="R1274" s="665"/>
      <c r="S1274" s="665"/>
      <c r="T1274" s="673"/>
      <c r="U1274" s="673"/>
      <c r="V1274" s="673"/>
      <c r="W1274" s="673"/>
      <c r="X1274" s="673"/>
      <c r="Y1274" s="673"/>
      <c r="Z1274" s="673"/>
      <c r="AA1274" s="673"/>
      <c r="AB1274" s="673"/>
      <c r="AC1274" s="673"/>
      <c r="AD1274" s="673"/>
      <c r="AE1274" s="673"/>
      <c r="AF1274" s="673"/>
      <c r="AG1274" s="673"/>
      <c r="AH1274" s="673"/>
    </row>
    <row r="1275">
      <c r="A1275" s="653"/>
      <c r="B1275" s="654"/>
      <c r="C1275" s="691"/>
      <c r="D1275" s="661"/>
      <c r="E1275" s="705"/>
      <c r="F1275" s="659"/>
      <c r="G1275" s="661"/>
      <c r="H1275" s="660"/>
      <c r="I1275" s="691"/>
      <c r="J1275" s="661"/>
      <c r="K1275" s="706"/>
      <c r="L1275" s="665"/>
      <c r="M1275" s="663"/>
      <c r="N1275" s="665"/>
      <c r="O1275" s="665"/>
      <c r="P1275" s="665"/>
      <c r="Q1275" s="665"/>
      <c r="R1275" s="665"/>
      <c r="S1275" s="665"/>
      <c r="T1275" s="673"/>
      <c r="U1275" s="673"/>
      <c r="V1275" s="673"/>
      <c r="W1275" s="673"/>
      <c r="X1275" s="673"/>
      <c r="Y1275" s="673"/>
      <c r="Z1275" s="673"/>
      <c r="AA1275" s="673"/>
      <c r="AB1275" s="673"/>
      <c r="AC1275" s="673"/>
      <c r="AD1275" s="673"/>
      <c r="AE1275" s="673"/>
      <c r="AF1275" s="673"/>
      <c r="AG1275" s="673"/>
      <c r="AH1275" s="673"/>
    </row>
    <row r="1276">
      <c r="A1276" s="653"/>
      <c r="B1276" s="654"/>
      <c r="C1276" s="691"/>
      <c r="D1276" s="661"/>
      <c r="E1276" s="705"/>
      <c r="F1276" s="659"/>
      <c r="G1276" s="661"/>
      <c r="H1276" s="660"/>
      <c r="I1276" s="691"/>
      <c r="J1276" s="661"/>
      <c r="K1276" s="706"/>
      <c r="L1276" s="665"/>
      <c r="M1276" s="663"/>
      <c r="N1276" s="665"/>
      <c r="O1276" s="665"/>
      <c r="P1276" s="665"/>
      <c r="Q1276" s="665"/>
      <c r="R1276" s="665"/>
      <c r="S1276" s="665"/>
      <c r="T1276" s="673"/>
      <c r="U1276" s="673"/>
      <c r="V1276" s="673"/>
      <c r="W1276" s="673"/>
      <c r="X1276" s="673"/>
      <c r="Y1276" s="673"/>
      <c r="Z1276" s="673"/>
      <c r="AA1276" s="673"/>
      <c r="AB1276" s="673"/>
      <c r="AC1276" s="673"/>
      <c r="AD1276" s="673"/>
      <c r="AE1276" s="673"/>
      <c r="AF1276" s="673"/>
      <c r="AG1276" s="673"/>
      <c r="AH1276" s="673"/>
    </row>
    <row r="1277">
      <c r="A1277" s="653"/>
      <c r="B1277" s="654"/>
      <c r="C1277" s="691"/>
      <c r="D1277" s="661"/>
      <c r="E1277" s="705"/>
      <c r="F1277" s="659"/>
      <c r="G1277" s="661"/>
      <c r="H1277" s="660"/>
      <c r="I1277" s="691"/>
      <c r="J1277" s="661"/>
      <c r="K1277" s="706"/>
      <c r="L1277" s="665"/>
      <c r="M1277" s="663"/>
      <c r="N1277" s="665"/>
      <c r="O1277" s="665"/>
      <c r="P1277" s="665"/>
      <c r="Q1277" s="665"/>
      <c r="R1277" s="665"/>
      <c r="S1277" s="665"/>
      <c r="T1277" s="673"/>
      <c r="U1277" s="673"/>
      <c r="V1277" s="673"/>
      <c r="W1277" s="673"/>
      <c r="X1277" s="673"/>
      <c r="Y1277" s="673"/>
      <c r="Z1277" s="673"/>
      <c r="AA1277" s="673"/>
      <c r="AB1277" s="673"/>
      <c r="AC1277" s="673"/>
      <c r="AD1277" s="673"/>
      <c r="AE1277" s="673"/>
      <c r="AF1277" s="673"/>
      <c r="AG1277" s="673"/>
      <c r="AH1277" s="673"/>
    </row>
    <row r="1278">
      <c r="A1278" s="653"/>
      <c r="B1278" s="654"/>
      <c r="C1278" s="691"/>
      <c r="D1278" s="661"/>
      <c r="E1278" s="705"/>
      <c r="F1278" s="659"/>
      <c r="G1278" s="661"/>
      <c r="H1278" s="660"/>
      <c r="I1278" s="691"/>
      <c r="J1278" s="661"/>
      <c r="K1278" s="706"/>
      <c r="L1278" s="665"/>
      <c r="M1278" s="663"/>
      <c r="N1278" s="665"/>
      <c r="O1278" s="665"/>
      <c r="P1278" s="665"/>
      <c r="Q1278" s="665"/>
      <c r="R1278" s="665"/>
      <c r="S1278" s="665"/>
      <c r="T1278" s="673"/>
      <c r="U1278" s="673"/>
      <c r="V1278" s="673"/>
      <c r="W1278" s="673"/>
      <c r="X1278" s="673"/>
      <c r="Y1278" s="673"/>
      <c r="Z1278" s="673"/>
      <c r="AA1278" s="673"/>
      <c r="AB1278" s="673"/>
      <c r="AC1278" s="673"/>
      <c r="AD1278" s="673"/>
      <c r="AE1278" s="673"/>
      <c r="AF1278" s="673"/>
      <c r="AG1278" s="673"/>
      <c r="AH1278" s="673"/>
    </row>
    <row r="1279">
      <c r="A1279" s="653"/>
      <c r="B1279" s="654"/>
      <c r="C1279" s="691"/>
      <c r="D1279" s="661"/>
      <c r="E1279" s="705"/>
      <c r="F1279" s="659"/>
      <c r="G1279" s="661"/>
      <c r="H1279" s="660"/>
      <c r="I1279" s="691"/>
      <c r="J1279" s="661"/>
      <c r="K1279" s="706"/>
      <c r="L1279" s="665"/>
      <c r="M1279" s="663"/>
      <c r="N1279" s="665"/>
      <c r="O1279" s="665"/>
      <c r="P1279" s="665"/>
      <c r="Q1279" s="665"/>
      <c r="R1279" s="665"/>
      <c r="S1279" s="665"/>
      <c r="T1279" s="673"/>
      <c r="U1279" s="673"/>
      <c r="V1279" s="673"/>
      <c r="W1279" s="673"/>
      <c r="X1279" s="673"/>
      <c r="Y1279" s="673"/>
      <c r="Z1279" s="673"/>
      <c r="AA1279" s="673"/>
      <c r="AB1279" s="673"/>
      <c r="AC1279" s="673"/>
      <c r="AD1279" s="673"/>
      <c r="AE1279" s="673"/>
      <c r="AF1279" s="673"/>
      <c r="AG1279" s="673"/>
      <c r="AH1279" s="673"/>
    </row>
    <row r="1280">
      <c r="A1280" s="653"/>
      <c r="B1280" s="654"/>
      <c r="C1280" s="691"/>
      <c r="D1280" s="661"/>
      <c r="E1280" s="705"/>
      <c r="F1280" s="659"/>
      <c r="G1280" s="661"/>
      <c r="H1280" s="660"/>
      <c r="I1280" s="691"/>
      <c r="J1280" s="661"/>
      <c r="K1280" s="706"/>
      <c r="L1280" s="665"/>
      <c r="M1280" s="663"/>
      <c r="N1280" s="665"/>
      <c r="O1280" s="665"/>
      <c r="P1280" s="665"/>
      <c r="Q1280" s="665"/>
      <c r="R1280" s="665"/>
      <c r="S1280" s="665"/>
      <c r="T1280" s="673"/>
      <c r="U1280" s="673"/>
      <c r="V1280" s="673"/>
      <c r="W1280" s="673"/>
      <c r="X1280" s="673"/>
      <c r="Y1280" s="673"/>
      <c r="Z1280" s="673"/>
      <c r="AA1280" s="673"/>
      <c r="AB1280" s="673"/>
      <c r="AC1280" s="673"/>
      <c r="AD1280" s="673"/>
      <c r="AE1280" s="673"/>
      <c r="AF1280" s="673"/>
      <c r="AG1280" s="673"/>
      <c r="AH1280" s="673"/>
    </row>
    <row r="1281">
      <c r="A1281" s="653"/>
      <c r="B1281" s="654"/>
      <c r="C1281" s="691"/>
      <c r="D1281" s="661"/>
      <c r="E1281" s="705"/>
      <c r="F1281" s="659"/>
      <c r="G1281" s="661"/>
      <c r="H1281" s="660"/>
      <c r="I1281" s="691"/>
      <c r="J1281" s="661"/>
      <c r="K1281" s="706"/>
      <c r="L1281" s="665"/>
      <c r="M1281" s="663"/>
      <c r="N1281" s="665"/>
      <c r="O1281" s="665"/>
      <c r="P1281" s="665"/>
      <c r="Q1281" s="665"/>
      <c r="R1281" s="665"/>
      <c r="S1281" s="665"/>
      <c r="T1281" s="673"/>
      <c r="U1281" s="673"/>
      <c r="V1281" s="673"/>
      <c r="W1281" s="673"/>
      <c r="X1281" s="673"/>
      <c r="Y1281" s="673"/>
      <c r="Z1281" s="673"/>
      <c r="AA1281" s="673"/>
      <c r="AB1281" s="673"/>
      <c r="AC1281" s="673"/>
      <c r="AD1281" s="673"/>
      <c r="AE1281" s="673"/>
      <c r="AF1281" s="673"/>
      <c r="AG1281" s="673"/>
      <c r="AH1281" s="673"/>
    </row>
    <row r="1282">
      <c r="A1282" s="653"/>
      <c r="B1282" s="654"/>
      <c r="C1282" s="691"/>
      <c r="D1282" s="661"/>
      <c r="E1282" s="705"/>
      <c r="F1282" s="659"/>
      <c r="G1282" s="661"/>
      <c r="H1282" s="660"/>
      <c r="I1282" s="691"/>
      <c r="J1282" s="661"/>
      <c r="K1282" s="706"/>
      <c r="L1282" s="665"/>
      <c r="M1282" s="663"/>
      <c r="N1282" s="665"/>
      <c r="O1282" s="665"/>
      <c r="P1282" s="665"/>
      <c r="Q1282" s="665"/>
      <c r="R1282" s="665"/>
      <c r="S1282" s="665"/>
      <c r="T1282" s="673"/>
      <c r="U1282" s="673"/>
      <c r="V1282" s="673"/>
      <c r="W1282" s="673"/>
      <c r="X1282" s="673"/>
      <c r="Y1282" s="673"/>
      <c r="Z1282" s="673"/>
      <c r="AA1282" s="673"/>
      <c r="AB1282" s="673"/>
      <c r="AC1282" s="673"/>
      <c r="AD1282" s="673"/>
      <c r="AE1282" s="673"/>
      <c r="AF1282" s="673"/>
      <c r="AG1282" s="673"/>
      <c r="AH1282" s="673"/>
    </row>
    <row r="1283">
      <c r="A1283" s="653"/>
      <c r="B1283" s="654"/>
      <c r="C1283" s="691"/>
      <c r="D1283" s="661"/>
      <c r="E1283" s="705"/>
      <c r="F1283" s="659"/>
      <c r="G1283" s="661"/>
      <c r="H1283" s="660"/>
      <c r="I1283" s="691"/>
      <c r="J1283" s="661"/>
      <c r="K1283" s="706"/>
      <c r="L1283" s="665"/>
      <c r="M1283" s="663"/>
      <c r="N1283" s="665"/>
      <c r="O1283" s="665"/>
      <c r="P1283" s="665"/>
      <c r="Q1283" s="665"/>
      <c r="R1283" s="665"/>
      <c r="S1283" s="665"/>
      <c r="T1283" s="673"/>
      <c r="U1283" s="673"/>
      <c r="V1283" s="673"/>
      <c r="W1283" s="673"/>
      <c r="X1283" s="673"/>
      <c r="Y1283" s="673"/>
      <c r="Z1283" s="673"/>
      <c r="AA1283" s="673"/>
      <c r="AB1283" s="673"/>
      <c r="AC1283" s="673"/>
      <c r="AD1283" s="673"/>
      <c r="AE1283" s="673"/>
      <c r="AF1283" s="673"/>
      <c r="AG1283" s="673"/>
      <c r="AH1283" s="673"/>
    </row>
    <row r="1284">
      <c r="A1284" s="653"/>
      <c r="B1284" s="654"/>
      <c r="C1284" s="691"/>
      <c r="D1284" s="661"/>
      <c r="E1284" s="705"/>
      <c r="F1284" s="659"/>
      <c r="G1284" s="661"/>
      <c r="H1284" s="660"/>
      <c r="I1284" s="691"/>
      <c r="J1284" s="661"/>
      <c r="K1284" s="706"/>
      <c r="L1284" s="665"/>
      <c r="M1284" s="663"/>
      <c r="N1284" s="665"/>
      <c r="O1284" s="665"/>
      <c r="P1284" s="665"/>
      <c r="Q1284" s="665"/>
      <c r="R1284" s="665"/>
      <c r="S1284" s="665"/>
      <c r="T1284" s="673"/>
      <c r="U1284" s="673"/>
      <c r="V1284" s="673"/>
      <c r="W1284" s="673"/>
      <c r="X1284" s="673"/>
      <c r="Y1284" s="673"/>
      <c r="Z1284" s="673"/>
      <c r="AA1284" s="673"/>
      <c r="AB1284" s="673"/>
      <c r="AC1284" s="673"/>
      <c r="AD1284" s="673"/>
      <c r="AE1284" s="673"/>
      <c r="AF1284" s="673"/>
      <c r="AG1284" s="673"/>
      <c r="AH1284" s="673"/>
    </row>
    <row r="1285">
      <c r="A1285" s="653"/>
      <c r="B1285" s="654"/>
      <c r="C1285" s="691"/>
      <c r="D1285" s="661"/>
      <c r="E1285" s="705"/>
      <c r="F1285" s="659"/>
      <c r="G1285" s="661"/>
      <c r="H1285" s="660"/>
      <c r="I1285" s="691"/>
      <c r="J1285" s="661"/>
      <c r="K1285" s="706"/>
      <c r="L1285" s="665"/>
      <c r="M1285" s="663"/>
      <c r="N1285" s="665"/>
      <c r="O1285" s="665"/>
      <c r="P1285" s="665"/>
      <c r="Q1285" s="665"/>
      <c r="R1285" s="665"/>
      <c r="S1285" s="665"/>
      <c r="T1285" s="673"/>
      <c r="U1285" s="673"/>
      <c r="V1285" s="673"/>
      <c r="W1285" s="673"/>
      <c r="X1285" s="673"/>
      <c r="Y1285" s="673"/>
      <c r="Z1285" s="673"/>
      <c r="AA1285" s="673"/>
      <c r="AB1285" s="673"/>
      <c r="AC1285" s="673"/>
      <c r="AD1285" s="673"/>
      <c r="AE1285" s="673"/>
      <c r="AF1285" s="673"/>
      <c r="AG1285" s="673"/>
      <c r="AH1285" s="673"/>
    </row>
    <row r="1286">
      <c r="A1286" s="653"/>
      <c r="B1286" s="654"/>
      <c r="C1286" s="691"/>
      <c r="D1286" s="661"/>
      <c r="E1286" s="705"/>
      <c r="F1286" s="659"/>
      <c r="G1286" s="661"/>
      <c r="H1286" s="660"/>
      <c r="I1286" s="691"/>
      <c r="J1286" s="661"/>
      <c r="K1286" s="706"/>
      <c r="L1286" s="665"/>
      <c r="M1286" s="663"/>
      <c r="N1286" s="665"/>
      <c r="O1286" s="665"/>
      <c r="P1286" s="665"/>
      <c r="Q1286" s="665"/>
      <c r="R1286" s="665"/>
      <c r="S1286" s="665"/>
      <c r="T1286" s="673"/>
      <c r="U1286" s="673"/>
      <c r="V1286" s="673"/>
      <c r="W1286" s="673"/>
      <c r="X1286" s="673"/>
      <c r="Y1286" s="673"/>
      <c r="Z1286" s="673"/>
      <c r="AA1286" s="673"/>
      <c r="AB1286" s="673"/>
      <c r="AC1286" s="673"/>
      <c r="AD1286" s="673"/>
      <c r="AE1286" s="673"/>
      <c r="AF1286" s="673"/>
      <c r="AG1286" s="673"/>
      <c r="AH1286" s="673"/>
    </row>
    <row r="1287">
      <c r="A1287" s="653"/>
      <c r="B1287" s="654"/>
      <c r="C1287" s="691"/>
      <c r="D1287" s="661"/>
      <c r="E1287" s="705"/>
      <c r="F1287" s="659"/>
      <c r="G1287" s="661"/>
      <c r="H1287" s="660"/>
      <c r="I1287" s="691"/>
      <c r="J1287" s="661"/>
      <c r="K1287" s="706"/>
      <c r="L1287" s="665"/>
      <c r="M1287" s="663"/>
      <c r="N1287" s="665"/>
      <c r="O1287" s="665"/>
      <c r="P1287" s="665"/>
      <c r="Q1287" s="665"/>
      <c r="R1287" s="665"/>
      <c r="S1287" s="665"/>
      <c r="T1287" s="673"/>
      <c r="U1287" s="673"/>
      <c r="V1287" s="673"/>
      <c r="W1287" s="673"/>
      <c r="X1287" s="673"/>
      <c r="Y1287" s="673"/>
      <c r="Z1287" s="673"/>
      <c r="AA1287" s="673"/>
      <c r="AB1287" s="673"/>
      <c r="AC1287" s="673"/>
      <c r="AD1287" s="673"/>
      <c r="AE1287" s="673"/>
      <c r="AF1287" s="673"/>
      <c r="AG1287" s="673"/>
      <c r="AH1287" s="673"/>
    </row>
    <row r="1288">
      <c r="A1288" s="653"/>
      <c r="B1288" s="654"/>
      <c r="C1288" s="691"/>
      <c r="D1288" s="661"/>
      <c r="E1288" s="705"/>
      <c r="F1288" s="659"/>
      <c r="G1288" s="661"/>
      <c r="H1288" s="660"/>
      <c r="I1288" s="691"/>
      <c r="J1288" s="661"/>
      <c r="K1288" s="706"/>
      <c r="L1288" s="665"/>
      <c r="M1288" s="663"/>
      <c r="N1288" s="665"/>
      <c r="O1288" s="665"/>
      <c r="P1288" s="665"/>
      <c r="Q1288" s="665"/>
      <c r="R1288" s="665"/>
      <c r="S1288" s="665"/>
      <c r="T1288" s="673"/>
      <c r="U1288" s="673"/>
      <c r="V1288" s="673"/>
      <c r="W1288" s="673"/>
      <c r="X1288" s="673"/>
      <c r="Y1288" s="673"/>
      <c r="Z1288" s="673"/>
      <c r="AA1288" s="673"/>
      <c r="AB1288" s="673"/>
      <c r="AC1288" s="673"/>
      <c r="AD1288" s="673"/>
      <c r="AE1288" s="673"/>
      <c r="AF1288" s="673"/>
      <c r="AG1288" s="673"/>
      <c r="AH1288" s="673"/>
    </row>
    <row r="1289">
      <c r="A1289" s="653"/>
      <c r="B1289" s="654"/>
      <c r="C1289" s="691"/>
      <c r="D1289" s="661"/>
      <c r="E1289" s="705"/>
      <c r="F1289" s="659"/>
      <c r="G1289" s="661"/>
      <c r="H1289" s="660"/>
      <c r="I1289" s="691"/>
      <c r="J1289" s="661"/>
      <c r="K1289" s="706"/>
      <c r="L1289" s="665"/>
      <c r="M1289" s="663"/>
      <c r="N1289" s="665"/>
      <c r="O1289" s="665"/>
      <c r="P1289" s="665"/>
      <c r="Q1289" s="665"/>
      <c r="R1289" s="665"/>
      <c r="S1289" s="665"/>
      <c r="T1289" s="673"/>
      <c r="U1289" s="673"/>
      <c r="V1289" s="673"/>
      <c r="W1289" s="673"/>
      <c r="X1289" s="673"/>
      <c r="Y1289" s="673"/>
      <c r="Z1289" s="673"/>
      <c r="AA1289" s="673"/>
      <c r="AB1289" s="673"/>
      <c r="AC1289" s="673"/>
      <c r="AD1289" s="673"/>
      <c r="AE1289" s="673"/>
      <c r="AF1289" s="673"/>
      <c r="AG1289" s="673"/>
      <c r="AH1289" s="673"/>
    </row>
    <row r="1290">
      <c r="A1290" s="653"/>
      <c r="B1290" s="654"/>
      <c r="C1290" s="691"/>
      <c r="D1290" s="661"/>
      <c r="E1290" s="705"/>
      <c r="F1290" s="659"/>
      <c r="G1290" s="661"/>
      <c r="H1290" s="660"/>
      <c r="I1290" s="691"/>
      <c r="J1290" s="661"/>
      <c r="K1290" s="706"/>
      <c r="L1290" s="665"/>
      <c r="M1290" s="663"/>
      <c r="N1290" s="665"/>
      <c r="O1290" s="665"/>
      <c r="P1290" s="665"/>
      <c r="Q1290" s="665"/>
      <c r="R1290" s="665"/>
      <c r="S1290" s="665"/>
      <c r="T1290" s="673"/>
      <c r="U1290" s="673"/>
      <c r="V1290" s="673"/>
      <c r="W1290" s="673"/>
      <c r="X1290" s="673"/>
      <c r="Y1290" s="673"/>
      <c r="Z1290" s="673"/>
      <c r="AA1290" s="673"/>
      <c r="AB1290" s="673"/>
      <c r="AC1290" s="673"/>
      <c r="AD1290" s="673"/>
      <c r="AE1290" s="673"/>
      <c r="AF1290" s="673"/>
      <c r="AG1290" s="673"/>
      <c r="AH1290" s="673"/>
    </row>
    <row r="1291">
      <c r="A1291" s="653"/>
      <c r="B1291" s="654"/>
      <c r="C1291" s="691"/>
      <c r="D1291" s="661"/>
      <c r="E1291" s="705"/>
      <c r="F1291" s="659"/>
      <c r="G1291" s="661"/>
      <c r="H1291" s="660"/>
      <c r="I1291" s="691"/>
      <c r="J1291" s="661"/>
      <c r="K1291" s="706"/>
      <c r="L1291" s="665"/>
      <c r="M1291" s="663"/>
      <c r="N1291" s="665"/>
      <c r="O1291" s="665"/>
      <c r="P1291" s="665"/>
      <c r="Q1291" s="665"/>
      <c r="R1291" s="665"/>
      <c r="S1291" s="665"/>
      <c r="T1291" s="673"/>
      <c r="U1291" s="673"/>
      <c r="V1291" s="673"/>
      <c r="W1291" s="673"/>
      <c r="X1291" s="673"/>
      <c r="Y1291" s="673"/>
      <c r="Z1291" s="673"/>
      <c r="AA1291" s="673"/>
      <c r="AB1291" s="673"/>
      <c r="AC1291" s="673"/>
      <c r="AD1291" s="673"/>
      <c r="AE1291" s="673"/>
      <c r="AF1291" s="673"/>
      <c r="AG1291" s="673"/>
      <c r="AH1291" s="673"/>
    </row>
    <row r="1292">
      <c r="A1292" s="653"/>
      <c r="B1292" s="654"/>
      <c r="C1292" s="691"/>
      <c r="D1292" s="661"/>
      <c r="E1292" s="705"/>
      <c r="F1292" s="659"/>
      <c r="G1292" s="661"/>
      <c r="H1292" s="660"/>
      <c r="I1292" s="691"/>
      <c r="J1292" s="661"/>
      <c r="K1292" s="706"/>
      <c r="L1292" s="665"/>
      <c r="M1292" s="663"/>
      <c r="N1292" s="665"/>
      <c r="O1292" s="665"/>
      <c r="P1292" s="665"/>
      <c r="Q1292" s="665"/>
      <c r="R1292" s="665"/>
      <c r="S1292" s="665"/>
      <c r="T1292" s="673"/>
      <c r="U1292" s="673"/>
      <c r="V1292" s="673"/>
      <c r="W1292" s="673"/>
      <c r="X1292" s="673"/>
      <c r="Y1292" s="673"/>
      <c r="Z1292" s="673"/>
      <c r="AA1292" s="673"/>
      <c r="AB1292" s="673"/>
      <c r="AC1292" s="673"/>
      <c r="AD1292" s="673"/>
      <c r="AE1292" s="673"/>
      <c r="AF1292" s="673"/>
      <c r="AG1292" s="673"/>
      <c r="AH1292" s="673"/>
    </row>
    <row r="1293">
      <c r="A1293" s="653"/>
      <c r="B1293" s="654"/>
      <c r="C1293" s="691"/>
      <c r="D1293" s="661"/>
      <c r="E1293" s="705"/>
      <c r="F1293" s="659"/>
      <c r="G1293" s="661"/>
      <c r="H1293" s="660"/>
      <c r="I1293" s="691"/>
      <c r="J1293" s="661"/>
      <c r="K1293" s="706"/>
      <c r="L1293" s="665"/>
      <c r="M1293" s="663"/>
      <c r="N1293" s="665"/>
      <c r="O1293" s="665"/>
      <c r="P1293" s="665"/>
      <c r="Q1293" s="665"/>
      <c r="R1293" s="665"/>
      <c r="S1293" s="665"/>
      <c r="T1293" s="673"/>
      <c r="U1293" s="673"/>
      <c r="V1293" s="673"/>
      <c r="W1293" s="673"/>
      <c r="X1293" s="673"/>
      <c r="Y1293" s="673"/>
      <c r="Z1293" s="673"/>
      <c r="AA1293" s="673"/>
      <c r="AB1293" s="673"/>
      <c r="AC1293" s="673"/>
      <c r="AD1293" s="673"/>
      <c r="AE1293" s="673"/>
      <c r="AF1293" s="673"/>
      <c r="AG1293" s="673"/>
      <c r="AH1293" s="673"/>
    </row>
    <row r="1294">
      <c r="A1294" s="653"/>
      <c r="B1294" s="654"/>
      <c r="C1294" s="691"/>
      <c r="D1294" s="661"/>
      <c r="E1294" s="705"/>
      <c r="F1294" s="659"/>
      <c r="G1294" s="661"/>
      <c r="H1294" s="660"/>
      <c r="I1294" s="691"/>
      <c r="J1294" s="661"/>
      <c r="K1294" s="706"/>
      <c r="L1294" s="665"/>
      <c r="M1294" s="663"/>
      <c r="N1294" s="665"/>
      <c r="O1294" s="665"/>
      <c r="P1294" s="665"/>
      <c r="Q1294" s="665"/>
      <c r="R1294" s="665"/>
      <c r="S1294" s="665"/>
      <c r="T1294" s="673"/>
      <c r="U1294" s="673"/>
      <c r="V1294" s="673"/>
      <c r="W1294" s="673"/>
      <c r="X1294" s="673"/>
      <c r="Y1294" s="673"/>
      <c r="Z1294" s="673"/>
      <c r="AA1294" s="673"/>
      <c r="AB1294" s="673"/>
      <c r="AC1294" s="673"/>
      <c r="AD1294" s="673"/>
      <c r="AE1294" s="673"/>
      <c r="AF1294" s="673"/>
      <c r="AG1294" s="673"/>
      <c r="AH1294" s="673"/>
    </row>
    <row r="1295">
      <c r="A1295" s="653"/>
      <c r="B1295" s="654"/>
      <c r="C1295" s="691"/>
      <c r="D1295" s="661"/>
      <c r="E1295" s="705"/>
      <c r="F1295" s="659"/>
      <c r="G1295" s="661"/>
      <c r="H1295" s="660"/>
      <c r="I1295" s="691"/>
      <c r="J1295" s="661"/>
      <c r="K1295" s="706"/>
      <c r="L1295" s="665"/>
      <c r="M1295" s="663"/>
      <c r="N1295" s="665"/>
      <c r="O1295" s="665"/>
      <c r="P1295" s="665"/>
      <c r="Q1295" s="665"/>
      <c r="R1295" s="665"/>
      <c r="S1295" s="665"/>
      <c r="T1295" s="673"/>
      <c r="U1295" s="673"/>
      <c r="V1295" s="673"/>
      <c r="W1295" s="673"/>
      <c r="X1295" s="673"/>
      <c r="Y1295" s="673"/>
      <c r="Z1295" s="673"/>
      <c r="AA1295" s="673"/>
      <c r="AB1295" s="673"/>
      <c r="AC1295" s="673"/>
      <c r="AD1295" s="673"/>
      <c r="AE1295" s="673"/>
      <c r="AF1295" s="673"/>
      <c r="AG1295" s="673"/>
      <c r="AH1295" s="673"/>
    </row>
    <row r="1296">
      <c r="A1296" s="653"/>
      <c r="B1296" s="654"/>
      <c r="C1296" s="691"/>
      <c r="D1296" s="661"/>
      <c r="E1296" s="705"/>
      <c r="F1296" s="659"/>
      <c r="G1296" s="661"/>
      <c r="H1296" s="660"/>
      <c r="I1296" s="691"/>
      <c r="J1296" s="661"/>
      <c r="K1296" s="706"/>
      <c r="L1296" s="665"/>
      <c r="M1296" s="663"/>
      <c r="N1296" s="665"/>
      <c r="O1296" s="665"/>
      <c r="P1296" s="665"/>
      <c r="Q1296" s="665"/>
      <c r="R1296" s="665"/>
      <c r="S1296" s="665"/>
      <c r="T1296" s="673"/>
      <c r="U1296" s="673"/>
      <c r="V1296" s="673"/>
      <c r="W1296" s="673"/>
      <c r="X1296" s="673"/>
      <c r="Y1296" s="673"/>
      <c r="Z1296" s="673"/>
      <c r="AA1296" s="673"/>
      <c r="AB1296" s="673"/>
      <c r="AC1296" s="673"/>
      <c r="AD1296" s="673"/>
      <c r="AE1296" s="673"/>
      <c r="AF1296" s="673"/>
      <c r="AG1296" s="673"/>
      <c r="AH1296" s="673"/>
    </row>
    <row r="1297">
      <c r="A1297" s="653"/>
      <c r="B1297" s="654"/>
      <c r="C1297" s="691"/>
      <c r="D1297" s="661"/>
      <c r="E1297" s="705"/>
      <c r="F1297" s="659"/>
      <c r="G1297" s="661"/>
      <c r="H1297" s="660"/>
      <c r="I1297" s="691"/>
      <c r="J1297" s="661"/>
      <c r="K1297" s="706"/>
      <c r="L1297" s="665"/>
      <c r="M1297" s="663"/>
      <c r="N1297" s="665"/>
      <c r="O1297" s="665"/>
      <c r="P1297" s="665"/>
      <c r="Q1297" s="665"/>
      <c r="R1297" s="665"/>
      <c r="S1297" s="665"/>
      <c r="T1297" s="673"/>
      <c r="U1297" s="673"/>
      <c r="V1297" s="673"/>
      <c r="W1297" s="673"/>
      <c r="X1297" s="673"/>
      <c r="Y1297" s="673"/>
      <c r="Z1297" s="673"/>
      <c r="AA1297" s="673"/>
      <c r="AB1297" s="673"/>
      <c r="AC1297" s="673"/>
      <c r="AD1297" s="673"/>
      <c r="AE1297" s="673"/>
      <c r="AF1297" s="673"/>
      <c r="AG1297" s="673"/>
      <c r="AH1297" s="673"/>
    </row>
    <row r="1298">
      <c r="A1298" s="653"/>
      <c r="B1298" s="654"/>
      <c r="C1298" s="691"/>
      <c r="D1298" s="661"/>
      <c r="E1298" s="705"/>
      <c r="F1298" s="659"/>
      <c r="G1298" s="661"/>
      <c r="H1298" s="660"/>
      <c r="I1298" s="691"/>
      <c r="J1298" s="661"/>
      <c r="K1298" s="706"/>
      <c r="L1298" s="665"/>
      <c r="M1298" s="663"/>
      <c r="N1298" s="665"/>
      <c r="O1298" s="665"/>
      <c r="P1298" s="665"/>
      <c r="Q1298" s="665"/>
      <c r="R1298" s="665"/>
      <c r="S1298" s="665"/>
      <c r="T1298" s="673"/>
      <c r="U1298" s="673"/>
      <c r="V1298" s="673"/>
      <c r="W1298" s="673"/>
      <c r="X1298" s="673"/>
      <c r="Y1298" s="673"/>
      <c r="Z1298" s="673"/>
      <c r="AA1298" s="673"/>
      <c r="AB1298" s="673"/>
      <c r="AC1298" s="673"/>
      <c r="AD1298" s="673"/>
      <c r="AE1298" s="673"/>
      <c r="AF1298" s="673"/>
      <c r="AG1298" s="673"/>
      <c r="AH1298" s="673"/>
    </row>
    <row r="1299">
      <c r="A1299" s="653"/>
      <c r="B1299" s="654"/>
      <c r="C1299" s="691"/>
      <c r="D1299" s="661"/>
      <c r="E1299" s="705"/>
      <c r="F1299" s="659"/>
      <c r="G1299" s="661"/>
      <c r="H1299" s="660"/>
      <c r="I1299" s="691"/>
      <c r="J1299" s="661"/>
      <c r="K1299" s="706"/>
      <c r="L1299" s="665"/>
      <c r="M1299" s="663"/>
      <c r="N1299" s="665"/>
      <c r="O1299" s="665"/>
      <c r="P1299" s="665"/>
      <c r="Q1299" s="665"/>
      <c r="R1299" s="665"/>
      <c r="S1299" s="665"/>
      <c r="T1299" s="673"/>
      <c r="U1299" s="673"/>
      <c r="V1299" s="673"/>
      <c r="W1299" s="673"/>
      <c r="X1299" s="673"/>
      <c r="Y1299" s="673"/>
      <c r="Z1299" s="673"/>
      <c r="AA1299" s="673"/>
      <c r="AB1299" s="673"/>
      <c r="AC1299" s="673"/>
      <c r="AD1299" s="673"/>
      <c r="AE1299" s="673"/>
      <c r="AF1299" s="673"/>
      <c r="AG1299" s="673"/>
      <c r="AH1299" s="673"/>
    </row>
    <row r="1300">
      <c r="A1300" s="653"/>
      <c r="B1300" s="654"/>
      <c r="C1300" s="691"/>
      <c r="D1300" s="661"/>
      <c r="E1300" s="705"/>
      <c r="F1300" s="659"/>
      <c r="G1300" s="661"/>
      <c r="H1300" s="660"/>
      <c r="I1300" s="691"/>
      <c r="J1300" s="661"/>
      <c r="K1300" s="706"/>
      <c r="L1300" s="665"/>
      <c r="M1300" s="663"/>
      <c r="N1300" s="665"/>
      <c r="O1300" s="665"/>
      <c r="P1300" s="665"/>
      <c r="Q1300" s="665"/>
      <c r="R1300" s="665"/>
      <c r="S1300" s="665"/>
      <c r="T1300" s="673"/>
      <c r="U1300" s="673"/>
      <c r="V1300" s="673"/>
      <c r="W1300" s="673"/>
      <c r="X1300" s="673"/>
      <c r="Y1300" s="673"/>
      <c r="Z1300" s="673"/>
      <c r="AA1300" s="673"/>
      <c r="AB1300" s="673"/>
      <c r="AC1300" s="673"/>
      <c r="AD1300" s="673"/>
      <c r="AE1300" s="673"/>
      <c r="AF1300" s="673"/>
      <c r="AG1300" s="673"/>
      <c r="AH1300" s="673"/>
    </row>
    <row r="1301">
      <c r="A1301" s="653"/>
      <c r="B1301" s="654"/>
      <c r="C1301" s="691"/>
      <c r="D1301" s="661"/>
      <c r="E1301" s="705"/>
      <c r="F1301" s="659"/>
      <c r="G1301" s="661"/>
      <c r="H1301" s="660"/>
      <c r="I1301" s="691"/>
      <c r="J1301" s="661"/>
      <c r="K1301" s="706"/>
      <c r="L1301" s="665"/>
      <c r="M1301" s="663"/>
      <c r="N1301" s="665"/>
      <c r="O1301" s="665"/>
      <c r="P1301" s="665"/>
      <c r="Q1301" s="665"/>
      <c r="R1301" s="665"/>
      <c r="S1301" s="665"/>
      <c r="T1301" s="673"/>
      <c r="U1301" s="673"/>
      <c r="V1301" s="673"/>
      <c r="W1301" s="673"/>
      <c r="X1301" s="673"/>
      <c r="Y1301" s="673"/>
      <c r="Z1301" s="673"/>
      <c r="AA1301" s="673"/>
      <c r="AB1301" s="673"/>
      <c r="AC1301" s="673"/>
      <c r="AD1301" s="673"/>
      <c r="AE1301" s="673"/>
      <c r="AF1301" s="673"/>
      <c r="AG1301" s="673"/>
      <c r="AH1301" s="673"/>
    </row>
    <row r="1302">
      <c r="A1302" s="653"/>
      <c r="B1302" s="654"/>
      <c r="C1302" s="691"/>
      <c r="D1302" s="661"/>
      <c r="E1302" s="705"/>
      <c r="F1302" s="659"/>
      <c r="G1302" s="661"/>
      <c r="H1302" s="660"/>
      <c r="I1302" s="691"/>
      <c r="J1302" s="661"/>
      <c r="K1302" s="706"/>
      <c r="L1302" s="665"/>
      <c r="M1302" s="663"/>
      <c r="N1302" s="665"/>
      <c r="O1302" s="665"/>
      <c r="P1302" s="665"/>
      <c r="Q1302" s="665"/>
      <c r="R1302" s="665"/>
      <c r="S1302" s="665"/>
      <c r="T1302" s="673"/>
      <c r="U1302" s="673"/>
      <c r="V1302" s="673"/>
      <c r="W1302" s="673"/>
      <c r="X1302" s="673"/>
      <c r="Y1302" s="673"/>
      <c r="Z1302" s="673"/>
      <c r="AA1302" s="673"/>
      <c r="AB1302" s="673"/>
      <c r="AC1302" s="673"/>
      <c r="AD1302" s="673"/>
      <c r="AE1302" s="673"/>
      <c r="AF1302" s="673"/>
      <c r="AG1302" s="673"/>
      <c r="AH1302" s="673"/>
    </row>
    <row r="1303">
      <c r="A1303" s="653"/>
      <c r="B1303" s="654"/>
      <c r="C1303" s="691"/>
      <c r="D1303" s="661"/>
      <c r="E1303" s="705"/>
      <c r="F1303" s="659"/>
      <c r="G1303" s="661"/>
      <c r="H1303" s="660"/>
      <c r="I1303" s="691"/>
      <c r="J1303" s="661"/>
      <c r="K1303" s="706"/>
      <c r="L1303" s="665"/>
      <c r="M1303" s="663"/>
      <c r="N1303" s="665"/>
      <c r="O1303" s="665"/>
      <c r="P1303" s="665"/>
      <c r="Q1303" s="665"/>
      <c r="R1303" s="665"/>
      <c r="S1303" s="665"/>
      <c r="T1303" s="673"/>
      <c r="U1303" s="673"/>
      <c r="V1303" s="673"/>
      <c r="W1303" s="673"/>
      <c r="X1303" s="673"/>
      <c r="Y1303" s="673"/>
      <c r="Z1303" s="673"/>
      <c r="AA1303" s="673"/>
      <c r="AB1303" s="673"/>
      <c r="AC1303" s="673"/>
      <c r="AD1303" s="673"/>
      <c r="AE1303" s="673"/>
      <c r="AF1303" s="673"/>
      <c r="AG1303" s="673"/>
      <c r="AH1303" s="673"/>
    </row>
    <row r="1304">
      <c r="A1304" s="653"/>
      <c r="B1304" s="654"/>
      <c r="C1304" s="691"/>
      <c r="D1304" s="661"/>
      <c r="E1304" s="705"/>
      <c r="F1304" s="659"/>
      <c r="G1304" s="661"/>
      <c r="H1304" s="660"/>
      <c r="I1304" s="691"/>
      <c r="J1304" s="661"/>
      <c r="K1304" s="706"/>
      <c r="L1304" s="665"/>
      <c r="M1304" s="663"/>
      <c r="N1304" s="665"/>
      <c r="O1304" s="665"/>
      <c r="P1304" s="665"/>
      <c r="Q1304" s="665"/>
      <c r="R1304" s="665"/>
      <c r="S1304" s="665"/>
      <c r="T1304" s="673"/>
      <c r="U1304" s="673"/>
      <c r="V1304" s="673"/>
      <c r="W1304" s="673"/>
      <c r="X1304" s="673"/>
      <c r="Y1304" s="673"/>
      <c r="Z1304" s="673"/>
      <c r="AA1304" s="673"/>
      <c r="AB1304" s="673"/>
      <c r="AC1304" s="673"/>
      <c r="AD1304" s="673"/>
      <c r="AE1304" s="673"/>
      <c r="AF1304" s="673"/>
      <c r="AG1304" s="673"/>
      <c r="AH1304" s="673"/>
    </row>
    <row r="1305">
      <c r="A1305" s="653"/>
      <c r="B1305" s="654"/>
      <c r="C1305" s="691"/>
      <c r="D1305" s="661"/>
      <c r="E1305" s="705"/>
      <c r="F1305" s="659"/>
      <c r="G1305" s="661"/>
      <c r="H1305" s="660"/>
      <c r="I1305" s="691"/>
      <c r="J1305" s="661"/>
      <c r="K1305" s="706"/>
      <c r="L1305" s="665"/>
      <c r="M1305" s="663"/>
      <c r="N1305" s="665"/>
      <c r="O1305" s="665"/>
      <c r="P1305" s="665"/>
      <c r="Q1305" s="665"/>
      <c r="R1305" s="665"/>
      <c r="S1305" s="665"/>
      <c r="T1305" s="673"/>
      <c r="U1305" s="673"/>
      <c r="V1305" s="673"/>
      <c r="W1305" s="673"/>
      <c r="X1305" s="673"/>
      <c r="Y1305" s="673"/>
      <c r="Z1305" s="673"/>
      <c r="AA1305" s="673"/>
      <c r="AB1305" s="673"/>
      <c r="AC1305" s="673"/>
      <c r="AD1305" s="673"/>
      <c r="AE1305" s="673"/>
      <c r="AF1305" s="673"/>
      <c r="AG1305" s="673"/>
      <c r="AH1305" s="673"/>
    </row>
    <row r="1306">
      <c r="A1306" s="653"/>
      <c r="B1306" s="654"/>
      <c r="C1306" s="691"/>
      <c r="D1306" s="661"/>
      <c r="E1306" s="705"/>
      <c r="F1306" s="659"/>
      <c r="G1306" s="661"/>
      <c r="H1306" s="660"/>
      <c r="I1306" s="691"/>
      <c r="J1306" s="661"/>
      <c r="K1306" s="706"/>
      <c r="L1306" s="665"/>
      <c r="M1306" s="663"/>
      <c r="N1306" s="665"/>
      <c r="O1306" s="665"/>
      <c r="P1306" s="665"/>
      <c r="Q1306" s="665"/>
      <c r="R1306" s="665"/>
      <c r="S1306" s="665"/>
      <c r="T1306" s="673"/>
      <c r="U1306" s="673"/>
      <c r="V1306" s="673"/>
      <c r="W1306" s="673"/>
      <c r="X1306" s="673"/>
      <c r="Y1306" s="673"/>
      <c r="Z1306" s="673"/>
      <c r="AA1306" s="673"/>
      <c r="AB1306" s="673"/>
      <c r="AC1306" s="673"/>
      <c r="AD1306" s="673"/>
      <c r="AE1306" s="673"/>
      <c r="AF1306" s="673"/>
      <c r="AG1306" s="673"/>
      <c r="AH1306" s="673"/>
    </row>
    <row r="1307">
      <c r="A1307" s="653"/>
      <c r="B1307" s="654"/>
      <c r="C1307" s="691"/>
      <c r="D1307" s="661"/>
      <c r="E1307" s="705"/>
      <c r="F1307" s="659"/>
      <c r="G1307" s="661"/>
      <c r="H1307" s="660"/>
      <c r="I1307" s="691"/>
      <c r="J1307" s="661"/>
      <c r="K1307" s="706"/>
      <c r="L1307" s="665"/>
      <c r="M1307" s="663"/>
      <c r="N1307" s="665"/>
      <c r="O1307" s="665"/>
      <c r="P1307" s="665"/>
      <c r="Q1307" s="665"/>
      <c r="R1307" s="665"/>
      <c r="S1307" s="665"/>
      <c r="T1307" s="673"/>
      <c r="U1307" s="673"/>
      <c r="V1307" s="673"/>
      <c r="W1307" s="673"/>
      <c r="X1307" s="673"/>
      <c r="Y1307" s="673"/>
      <c r="Z1307" s="673"/>
      <c r="AA1307" s="673"/>
      <c r="AB1307" s="673"/>
      <c r="AC1307" s="673"/>
      <c r="AD1307" s="673"/>
      <c r="AE1307" s="673"/>
      <c r="AF1307" s="673"/>
      <c r="AG1307" s="673"/>
      <c r="AH1307" s="673"/>
    </row>
    <row r="1308">
      <c r="A1308" s="653"/>
      <c r="B1308" s="654"/>
      <c r="C1308" s="691"/>
      <c r="D1308" s="661"/>
      <c r="E1308" s="705"/>
      <c r="F1308" s="659"/>
      <c r="G1308" s="661"/>
      <c r="H1308" s="660"/>
      <c r="I1308" s="691"/>
      <c r="J1308" s="661"/>
      <c r="K1308" s="706"/>
      <c r="L1308" s="665"/>
      <c r="M1308" s="663"/>
      <c r="N1308" s="665"/>
      <c r="O1308" s="665"/>
      <c r="P1308" s="665"/>
      <c r="Q1308" s="665"/>
      <c r="R1308" s="665"/>
      <c r="S1308" s="665"/>
      <c r="T1308" s="673"/>
      <c r="U1308" s="673"/>
      <c r="V1308" s="673"/>
      <c r="W1308" s="673"/>
      <c r="X1308" s="673"/>
      <c r="Y1308" s="673"/>
      <c r="Z1308" s="673"/>
      <c r="AA1308" s="673"/>
      <c r="AB1308" s="673"/>
      <c r="AC1308" s="673"/>
      <c r="AD1308" s="673"/>
      <c r="AE1308" s="673"/>
      <c r="AF1308" s="673"/>
      <c r="AG1308" s="673"/>
      <c r="AH1308" s="673"/>
    </row>
    <row r="1309">
      <c r="A1309" s="653"/>
      <c r="B1309" s="654"/>
      <c r="C1309" s="691"/>
      <c r="D1309" s="661"/>
      <c r="E1309" s="705"/>
      <c r="F1309" s="659"/>
      <c r="G1309" s="661"/>
      <c r="H1309" s="660"/>
      <c r="I1309" s="691"/>
      <c r="J1309" s="661"/>
      <c r="K1309" s="706"/>
      <c r="L1309" s="665"/>
      <c r="M1309" s="663"/>
      <c r="N1309" s="665"/>
      <c r="O1309" s="665"/>
      <c r="P1309" s="665"/>
      <c r="Q1309" s="665"/>
      <c r="R1309" s="665"/>
      <c r="S1309" s="665"/>
      <c r="T1309" s="673"/>
      <c r="U1309" s="673"/>
      <c r="V1309" s="673"/>
      <c r="W1309" s="673"/>
      <c r="X1309" s="673"/>
      <c r="Y1309" s="673"/>
      <c r="Z1309" s="673"/>
      <c r="AA1309" s="673"/>
      <c r="AB1309" s="673"/>
      <c r="AC1309" s="673"/>
      <c r="AD1309" s="673"/>
      <c r="AE1309" s="673"/>
      <c r="AF1309" s="673"/>
      <c r="AG1309" s="673"/>
      <c r="AH1309" s="673"/>
    </row>
    <row r="1310">
      <c r="A1310" s="653"/>
      <c r="B1310" s="654"/>
      <c r="C1310" s="691"/>
      <c r="D1310" s="661"/>
      <c r="E1310" s="705"/>
      <c r="F1310" s="659"/>
      <c r="G1310" s="661"/>
      <c r="H1310" s="660"/>
      <c r="I1310" s="691"/>
      <c r="J1310" s="661"/>
      <c r="K1310" s="706"/>
      <c r="L1310" s="665"/>
      <c r="M1310" s="663"/>
      <c r="N1310" s="665"/>
      <c r="O1310" s="665"/>
      <c r="P1310" s="665"/>
      <c r="Q1310" s="665"/>
      <c r="R1310" s="665"/>
      <c r="S1310" s="665"/>
      <c r="T1310" s="673"/>
      <c r="U1310" s="673"/>
      <c r="V1310" s="673"/>
      <c r="W1310" s="673"/>
      <c r="X1310" s="673"/>
      <c r="Y1310" s="673"/>
      <c r="Z1310" s="673"/>
      <c r="AA1310" s="673"/>
      <c r="AB1310" s="673"/>
      <c r="AC1310" s="673"/>
      <c r="AD1310" s="673"/>
      <c r="AE1310" s="673"/>
      <c r="AF1310" s="673"/>
      <c r="AG1310" s="673"/>
      <c r="AH1310" s="673"/>
    </row>
    <row r="1311">
      <c r="A1311" s="653"/>
      <c r="B1311" s="654"/>
      <c r="C1311" s="691"/>
      <c r="D1311" s="661"/>
      <c r="E1311" s="705"/>
      <c r="F1311" s="659"/>
      <c r="G1311" s="661"/>
      <c r="H1311" s="660"/>
      <c r="I1311" s="691"/>
      <c r="J1311" s="661"/>
      <c r="K1311" s="706"/>
      <c r="L1311" s="665"/>
      <c r="M1311" s="663"/>
      <c r="N1311" s="665"/>
      <c r="O1311" s="665"/>
      <c r="P1311" s="665"/>
      <c r="Q1311" s="665"/>
      <c r="R1311" s="665"/>
      <c r="S1311" s="665"/>
      <c r="T1311" s="673"/>
      <c r="U1311" s="673"/>
      <c r="V1311" s="673"/>
      <c r="W1311" s="673"/>
      <c r="X1311" s="673"/>
      <c r="Y1311" s="673"/>
      <c r="Z1311" s="673"/>
      <c r="AA1311" s="673"/>
      <c r="AB1311" s="673"/>
      <c r="AC1311" s="673"/>
      <c r="AD1311" s="673"/>
      <c r="AE1311" s="673"/>
      <c r="AF1311" s="673"/>
      <c r="AG1311" s="673"/>
      <c r="AH1311" s="673"/>
    </row>
    <row r="1312">
      <c r="A1312" s="653"/>
      <c r="B1312" s="654"/>
      <c r="C1312" s="691"/>
      <c r="D1312" s="661"/>
      <c r="E1312" s="705"/>
      <c r="F1312" s="659"/>
      <c r="G1312" s="661"/>
      <c r="H1312" s="660"/>
      <c r="I1312" s="691"/>
      <c r="J1312" s="661"/>
      <c r="K1312" s="706"/>
      <c r="L1312" s="665"/>
      <c r="M1312" s="663"/>
      <c r="N1312" s="665"/>
      <c r="O1312" s="665"/>
      <c r="P1312" s="665"/>
      <c r="Q1312" s="665"/>
      <c r="R1312" s="665"/>
      <c r="S1312" s="665"/>
      <c r="T1312" s="673"/>
      <c r="U1312" s="673"/>
      <c r="V1312" s="673"/>
      <c r="W1312" s="673"/>
      <c r="X1312" s="673"/>
      <c r="Y1312" s="673"/>
      <c r="Z1312" s="673"/>
      <c r="AA1312" s="673"/>
      <c r="AB1312" s="673"/>
      <c r="AC1312" s="673"/>
      <c r="AD1312" s="673"/>
      <c r="AE1312" s="673"/>
      <c r="AF1312" s="673"/>
      <c r="AG1312" s="673"/>
      <c r="AH1312" s="673"/>
    </row>
    <row r="1313">
      <c r="A1313" s="653"/>
      <c r="B1313" s="654"/>
      <c r="C1313" s="691"/>
      <c r="D1313" s="661"/>
      <c r="E1313" s="705"/>
      <c r="F1313" s="659"/>
      <c r="G1313" s="661"/>
      <c r="H1313" s="660"/>
      <c r="I1313" s="691"/>
      <c r="J1313" s="661"/>
      <c r="K1313" s="706"/>
      <c r="L1313" s="665"/>
      <c r="M1313" s="663"/>
      <c r="N1313" s="665"/>
      <c r="O1313" s="665"/>
      <c r="P1313" s="665"/>
      <c r="Q1313" s="665"/>
      <c r="R1313" s="665"/>
      <c r="S1313" s="665"/>
      <c r="T1313" s="673"/>
      <c r="U1313" s="673"/>
      <c r="V1313" s="673"/>
      <c r="W1313" s="673"/>
      <c r="X1313" s="673"/>
      <c r="Y1313" s="673"/>
      <c r="Z1313" s="673"/>
      <c r="AA1313" s="673"/>
      <c r="AB1313" s="673"/>
      <c r="AC1313" s="673"/>
      <c r="AD1313" s="673"/>
      <c r="AE1313" s="673"/>
      <c r="AF1313" s="673"/>
      <c r="AG1313" s="673"/>
      <c r="AH1313" s="673"/>
    </row>
    <row r="1314">
      <c r="A1314" s="653"/>
      <c r="B1314" s="654"/>
      <c r="C1314" s="691"/>
      <c r="D1314" s="661"/>
      <c r="E1314" s="705"/>
      <c r="F1314" s="659"/>
      <c r="G1314" s="661"/>
      <c r="H1314" s="660"/>
      <c r="I1314" s="691"/>
      <c r="J1314" s="661"/>
      <c r="K1314" s="706"/>
      <c r="L1314" s="665"/>
      <c r="M1314" s="663"/>
      <c r="N1314" s="665"/>
      <c r="O1314" s="665"/>
      <c r="P1314" s="665"/>
      <c r="Q1314" s="665"/>
      <c r="R1314" s="665"/>
      <c r="S1314" s="665"/>
      <c r="T1314" s="673"/>
      <c r="U1314" s="673"/>
      <c r="V1314" s="673"/>
      <c r="W1314" s="673"/>
      <c r="X1314" s="673"/>
      <c r="Y1314" s="673"/>
      <c r="Z1314" s="673"/>
      <c r="AA1314" s="673"/>
      <c r="AB1314" s="673"/>
      <c r="AC1314" s="673"/>
      <c r="AD1314" s="673"/>
      <c r="AE1314" s="673"/>
      <c r="AF1314" s="673"/>
      <c r="AG1314" s="673"/>
      <c r="AH1314" s="673"/>
    </row>
    <row r="1315">
      <c r="A1315" s="653"/>
      <c r="B1315" s="654"/>
      <c r="C1315" s="691"/>
      <c r="D1315" s="661"/>
      <c r="E1315" s="705"/>
      <c r="F1315" s="659"/>
      <c r="G1315" s="661"/>
      <c r="H1315" s="660"/>
      <c r="I1315" s="691"/>
      <c r="J1315" s="661"/>
      <c r="K1315" s="706"/>
      <c r="L1315" s="665"/>
      <c r="M1315" s="663"/>
      <c r="N1315" s="665"/>
      <c r="O1315" s="665"/>
      <c r="P1315" s="665"/>
      <c r="Q1315" s="665"/>
      <c r="R1315" s="665"/>
      <c r="S1315" s="665"/>
      <c r="T1315" s="673"/>
      <c r="U1315" s="673"/>
      <c r="V1315" s="673"/>
      <c r="W1315" s="673"/>
      <c r="X1315" s="673"/>
      <c r="Y1315" s="673"/>
      <c r="Z1315" s="673"/>
      <c r="AA1315" s="673"/>
      <c r="AB1315" s="673"/>
      <c r="AC1315" s="673"/>
      <c r="AD1315" s="673"/>
      <c r="AE1315" s="673"/>
      <c r="AF1315" s="673"/>
      <c r="AG1315" s="673"/>
      <c r="AH1315" s="673"/>
    </row>
    <row r="1316">
      <c r="A1316" s="653"/>
      <c r="B1316" s="654"/>
      <c r="C1316" s="691"/>
      <c r="D1316" s="661"/>
      <c r="E1316" s="705"/>
      <c r="F1316" s="659"/>
      <c r="G1316" s="661"/>
      <c r="H1316" s="660"/>
      <c r="I1316" s="691"/>
      <c r="J1316" s="661"/>
      <c r="K1316" s="706"/>
      <c r="L1316" s="665"/>
      <c r="M1316" s="663"/>
      <c r="N1316" s="665"/>
      <c r="O1316" s="665"/>
      <c r="P1316" s="665"/>
      <c r="Q1316" s="665"/>
      <c r="R1316" s="665"/>
      <c r="S1316" s="665"/>
      <c r="T1316" s="673"/>
      <c r="U1316" s="673"/>
      <c r="V1316" s="673"/>
      <c r="W1316" s="673"/>
      <c r="X1316" s="673"/>
      <c r="Y1316" s="673"/>
      <c r="Z1316" s="673"/>
      <c r="AA1316" s="673"/>
      <c r="AB1316" s="673"/>
      <c r="AC1316" s="673"/>
      <c r="AD1316" s="673"/>
      <c r="AE1316" s="673"/>
      <c r="AF1316" s="673"/>
      <c r="AG1316" s="673"/>
      <c r="AH1316" s="673"/>
    </row>
    <row r="1317">
      <c r="A1317" s="653"/>
      <c r="B1317" s="654"/>
      <c r="C1317" s="691"/>
      <c r="D1317" s="661"/>
      <c r="E1317" s="705"/>
      <c r="F1317" s="659"/>
      <c r="G1317" s="661"/>
      <c r="H1317" s="660"/>
      <c r="I1317" s="691"/>
      <c r="J1317" s="661"/>
      <c r="K1317" s="706"/>
      <c r="L1317" s="665"/>
      <c r="M1317" s="663"/>
      <c r="N1317" s="665"/>
      <c r="O1317" s="665"/>
      <c r="P1317" s="665"/>
      <c r="Q1317" s="665"/>
      <c r="R1317" s="665"/>
      <c r="S1317" s="665"/>
      <c r="T1317" s="673"/>
      <c r="U1317" s="673"/>
      <c r="V1317" s="673"/>
      <c r="W1317" s="673"/>
      <c r="X1317" s="673"/>
      <c r="Y1317" s="673"/>
      <c r="Z1317" s="673"/>
      <c r="AA1317" s="673"/>
      <c r="AB1317" s="673"/>
      <c r="AC1317" s="673"/>
      <c r="AD1317" s="673"/>
      <c r="AE1317" s="673"/>
      <c r="AF1317" s="673"/>
      <c r="AG1317" s="673"/>
      <c r="AH1317" s="673"/>
    </row>
    <row r="1318">
      <c r="A1318" s="653"/>
      <c r="B1318" s="654"/>
      <c r="C1318" s="691"/>
      <c r="D1318" s="661"/>
      <c r="E1318" s="705"/>
      <c r="F1318" s="659"/>
      <c r="G1318" s="661"/>
      <c r="H1318" s="660"/>
      <c r="I1318" s="691"/>
      <c r="J1318" s="661"/>
      <c r="K1318" s="706"/>
      <c r="L1318" s="665"/>
      <c r="M1318" s="663"/>
      <c r="N1318" s="665"/>
      <c r="O1318" s="665"/>
      <c r="P1318" s="665"/>
      <c r="Q1318" s="665"/>
      <c r="R1318" s="665"/>
      <c r="S1318" s="665"/>
      <c r="T1318" s="673"/>
      <c r="U1318" s="673"/>
      <c r="V1318" s="673"/>
      <c r="W1318" s="673"/>
      <c r="X1318" s="673"/>
      <c r="Y1318" s="673"/>
      <c r="Z1318" s="673"/>
      <c r="AA1318" s="673"/>
      <c r="AB1318" s="673"/>
      <c r="AC1318" s="673"/>
      <c r="AD1318" s="673"/>
      <c r="AE1318" s="673"/>
      <c r="AF1318" s="673"/>
      <c r="AG1318" s="673"/>
      <c r="AH1318" s="673"/>
    </row>
    <row r="1319">
      <c r="A1319" s="653"/>
      <c r="B1319" s="654"/>
      <c r="C1319" s="691"/>
      <c r="D1319" s="661"/>
      <c r="E1319" s="705"/>
      <c r="F1319" s="659"/>
      <c r="G1319" s="661"/>
      <c r="H1319" s="660"/>
      <c r="I1319" s="691"/>
      <c r="J1319" s="661"/>
      <c r="K1319" s="706"/>
      <c r="L1319" s="665"/>
      <c r="M1319" s="663"/>
      <c r="N1319" s="665"/>
      <c r="O1319" s="665"/>
      <c r="P1319" s="665"/>
      <c r="Q1319" s="665"/>
      <c r="R1319" s="665"/>
      <c r="S1319" s="665"/>
      <c r="T1319" s="673"/>
      <c r="U1319" s="673"/>
      <c r="V1319" s="673"/>
      <c r="W1319" s="673"/>
      <c r="X1319" s="673"/>
      <c r="Y1319" s="673"/>
      <c r="Z1319" s="673"/>
      <c r="AA1319" s="673"/>
      <c r="AB1319" s="673"/>
      <c r="AC1319" s="673"/>
      <c r="AD1319" s="673"/>
      <c r="AE1319" s="673"/>
      <c r="AF1319" s="673"/>
      <c r="AG1319" s="673"/>
      <c r="AH1319" s="673"/>
    </row>
    <row r="1320">
      <c r="A1320" s="653"/>
      <c r="B1320" s="654"/>
      <c r="C1320" s="691"/>
      <c r="D1320" s="661"/>
      <c r="E1320" s="705"/>
      <c r="F1320" s="659"/>
      <c r="G1320" s="661"/>
      <c r="H1320" s="660"/>
      <c r="I1320" s="691"/>
      <c r="J1320" s="661"/>
      <c r="K1320" s="706"/>
      <c r="L1320" s="665"/>
      <c r="M1320" s="663"/>
      <c r="N1320" s="665"/>
      <c r="O1320" s="665"/>
      <c r="P1320" s="665"/>
      <c r="Q1320" s="665"/>
      <c r="R1320" s="665"/>
      <c r="S1320" s="665"/>
      <c r="T1320" s="673"/>
      <c r="U1320" s="673"/>
      <c r="V1320" s="673"/>
      <c r="W1320" s="673"/>
      <c r="X1320" s="673"/>
      <c r="Y1320" s="673"/>
      <c r="Z1320" s="673"/>
      <c r="AA1320" s="673"/>
      <c r="AB1320" s="673"/>
      <c r="AC1320" s="673"/>
      <c r="AD1320" s="673"/>
      <c r="AE1320" s="673"/>
      <c r="AF1320" s="673"/>
      <c r="AG1320" s="673"/>
      <c r="AH1320" s="673"/>
    </row>
    <row r="1321">
      <c r="A1321" s="653"/>
      <c r="B1321" s="654"/>
      <c r="C1321" s="691"/>
      <c r="D1321" s="661"/>
      <c r="E1321" s="705"/>
      <c r="F1321" s="659"/>
      <c r="G1321" s="661"/>
      <c r="H1321" s="660"/>
      <c r="I1321" s="691"/>
      <c r="J1321" s="661"/>
      <c r="K1321" s="706"/>
      <c r="L1321" s="665"/>
      <c r="M1321" s="663"/>
      <c r="N1321" s="665"/>
      <c r="O1321" s="665"/>
      <c r="P1321" s="665"/>
      <c r="Q1321" s="665"/>
      <c r="R1321" s="665"/>
      <c r="S1321" s="665"/>
      <c r="T1321" s="673"/>
      <c r="U1321" s="673"/>
      <c r="V1321" s="673"/>
      <c r="W1321" s="673"/>
      <c r="X1321" s="673"/>
      <c r="Y1321" s="673"/>
      <c r="Z1321" s="673"/>
      <c r="AA1321" s="673"/>
      <c r="AB1321" s="673"/>
      <c r="AC1321" s="673"/>
      <c r="AD1321" s="673"/>
      <c r="AE1321" s="673"/>
      <c r="AF1321" s="673"/>
      <c r="AG1321" s="673"/>
      <c r="AH1321" s="673"/>
    </row>
    <row r="1322">
      <c r="A1322" s="653"/>
      <c r="B1322" s="654"/>
      <c r="C1322" s="691"/>
      <c r="D1322" s="661"/>
      <c r="E1322" s="705"/>
      <c r="F1322" s="659"/>
      <c r="G1322" s="661"/>
      <c r="H1322" s="660"/>
      <c r="I1322" s="691"/>
      <c r="J1322" s="661"/>
      <c r="K1322" s="706"/>
      <c r="L1322" s="665"/>
      <c r="M1322" s="663"/>
      <c r="N1322" s="665"/>
      <c r="O1322" s="665"/>
      <c r="P1322" s="665"/>
      <c r="Q1322" s="665"/>
      <c r="R1322" s="665"/>
      <c r="S1322" s="665"/>
      <c r="T1322" s="673"/>
      <c r="U1322" s="673"/>
      <c r="V1322" s="673"/>
      <c r="W1322" s="673"/>
      <c r="X1322" s="673"/>
      <c r="Y1322" s="673"/>
      <c r="Z1322" s="673"/>
      <c r="AA1322" s="673"/>
      <c r="AB1322" s="673"/>
      <c r="AC1322" s="673"/>
      <c r="AD1322" s="673"/>
      <c r="AE1322" s="673"/>
      <c r="AF1322" s="673"/>
      <c r="AG1322" s="673"/>
      <c r="AH1322" s="673"/>
    </row>
    <row r="1323">
      <c r="A1323" s="653"/>
      <c r="B1323" s="654"/>
      <c r="C1323" s="691"/>
      <c r="D1323" s="661"/>
      <c r="E1323" s="705"/>
      <c r="F1323" s="659"/>
      <c r="G1323" s="661"/>
      <c r="H1323" s="660"/>
      <c r="I1323" s="691"/>
      <c r="J1323" s="661"/>
      <c r="K1323" s="706"/>
      <c r="L1323" s="665"/>
      <c r="M1323" s="663"/>
      <c r="N1323" s="665"/>
      <c r="O1323" s="665"/>
      <c r="P1323" s="665"/>
      <c r="Q1323" s="665"/>
      <c r="R1323" s="665"/>
      <c r="S1323" s="665"/>
      <c r="T1323" s="673"/>
      <c r="U1323" s="673"/>
      <c r="V1323" s="673"/>
      <c r="W1323" s="673"/>
      <c r="X1323" s="673"/>
      <c r="Y1323" s="673"/>
      <c r="Z1323" s="673"/>
      <c r="AA1323" s="673"/>
      <c r="AB1323" s="673"/>
      <c r="AC1323" s="673"/>
      <c r="AD1323" s="673"/>
      <c r="AE1323" s="673"/>
      <c r="AF1323" s="673"/>
      <c r="AG1323" s="673"/>
      <c r="AH1323" s="673"/>
    </row>
    <row r="1324">
      <c r="A1324" s="653"/>
      <c r="B1324" s="654"/>
      <c r="C1324" s="691"/>
      <c r="D1324" s="661"/>
      <c r="E1324" s="705"/>
      <c r="F1324" s="659"/>
      <c r="G1324" s="661"/>
      <c r="H1324" s="660"/>
      <c r="I1324" s="691"/>
      <c r="J1324" s="661"/>
      <c r="K1324" s="706"/>
      <c r="L1324" s="665"/>
      <c r="M1324" s="663"/>
      <c r="N1324" s="665"/>
      <c r="O1324" s="665"/>
      <c r="P1324" s="665"/>
      <c r="Q1324" s="665"/>
      <c r="R1324" s="665"/>
      <c r="S1324" s="665"/>
      <c r="T1324" s="673"/>
      <c r="U1324" s="673"/>
      <c r="V1324" s="673"/>
      <c r="W1324" s="673"/>
      <c r="X1324" s="673"/>
      <c r="Y1324" s="673"/>
      <c r="Z1324" s="673"/>
      <c r="AA1324" s="673"/>
      <c r="AB1324" s="673"/>
      <c r="AC1324" s="673"/>
      <c r="AD1324" s="673"/>
      <c r="AE1324" s="673"/>
      <c r="AF1324" s="673"/>
      <c r="AG1324" s="673"/>
      <c r="AH1324" s="673"/>
    </row>
    <row r="1325">
      <c r="A1325" s="653"/>
      <c r="B1325" s="654"/>
      <c r="C1325" s="691"/>
      <c r="D1325" s="661"/>
      <c r="E1325" s="705"/>
      <c r="F1325" s="659"/>
      <c r="G1325" s="661"/>
      <c r="H1325" s="660"/>
      <c r="I1325" s="691"/>
      <c r="J1325" s="661"/>
      <c r="K1325" s="706"/>
      <c r="L1325" s="665"/>
      <c r="M1325" s="663"/>
      <c r="N1325" s="665"/>
      <c r="O1325" s="665"/>
      <c r="P1325" s="665"/>
      <c r="Q1325" s="665"/>
      <c r="R1325" s="665"/>
      <c r="S1325" s="665"/>
      <c r="T1325" s="673"/>
      <c r="U1325" s="673"/>
      <c r="V1325" s="673"/>
      <c r="W1325" s="673"/>
      <c r="X1325" s="673"/>
      <c r="Y1325" s="673"/>
      <c r="Z1325" s="673"/>
      <c r="AA1325" s="673"/>
      <c r="AB1325" s="673"/>
      <c r="AC1325" s="673"/>
      <c r="AD1325" s="673"/>
      <c r="AE1325" s="673"/>
      <c r="AF1325" s="673"/>
      <c r="AG1325" s="673"/>
      <c r="AH1325" s="673"/>
    </row>
    <row r="1326">
      <c r="A1326" s="653"/>
      <c r="B1326" s="654"/>
      <c r="C1326" s="691"/>
      <c r="D1326" s="661"/>
      <c r="E1326" s="705"/>
      <c r="F1326" s="659"/>
      <c r="G1326" s="661"/>
      <c r="H1326" s="660"/>
      <c r="I1326" s="691"/>
      <c r="J1326" s="661"/>
      <c r="K1326" s="706"/>
      <c r="L1326" s="665"/>
      <c r="M1326" s="663"/>
      <c r="N1326" s="665"/>
      <c r="O1326" s="665"/>
      <c r="P1326" s="665"/>
      <c r="Q1326" s="665"/>
      <c r="R1326" s="665"/>
      <c r="S1326" s="665"/>
      <c r="T1326" s="673"/>
      <c r="U1326" s="673"/>
      <c r="V1326" s="673"/>
      <c r="W1326" s="673"/>
      <c r="X1326" s="673"/>
      <c r="Y1326" s="673"/>
      <c r="Z1326" s="673"/>
      <c r="AA1326" s="673"/>
      <c r="AB1326" s="673"/>
      <c r="AC1326" s="673"/>
      <c r="AD1326" s="673"/>
      <c r="AE1326" s="673"/>
      <c r="AF1326" s="673"/>
      <c r="AG1326" s="673"/>
      <c r="AH1326" s="673"/>
    </row>
    <row r="1327">
      <c r="A1327" s="653"/>
      <c r="B1327" s="654"/>
      <c r="C1327" s="691"/>
      <c r="D1327" s="661"/>
      <c r="E1327" s="705"/>
      <c r="F1327" s="659"/>
      <c r="G1327" s="661"/>
      <c r="H1327" s="660"/>
      <c r="I1327" s="691"/>
      <c r="J1327" s="661"/>
      <c r="K1327" s="706"/>
      <c r="L1327" s="665"/>
      <c r="M1327" s="663"/>
      <c r="N1327" s="665"/>
      <c r="O1327" s="665"/>
      <c r="P1327" s="665"/>
      <c r="Q1327" s="665"/>
      <c r="R1327" s="665"/>
      <c r="S1327" s="665"/>
      <c r="T1327" s="673"/>
      <c r="U1327" s="673"/>
      <c r="V1327" s="673"/>
      <c r="W1327" s="673"/>
      <c r="X1327" s="673"/>
      <c r="Y1327" s="673"/>
      <c r="Z1327" s="673"/>
      <c r="AA1327" s="673"/>
      <c r="AB1327" s="673"/>
      <c r="AC1327" s="673"/>
      <c r="AD1327" s="673"/>
      <c r="AE1327" s="673"/>
      <c r="AF1327" s="673"/>
      <c r="AG1327" s="673"/>
      <c r="AH1327" s="673"/>
    </row>
    <row r="1328">
      <c r="A1328" s="653"/>
      <c r="B1328" s="654"/>
      <c r="C1328" s="691"/>
      <c r="D1328" s="661"/>
      <c r="E1328" s="705"/>
      <c r="F1328" s="659"/>
      <c r="G1328" s="661"/>
      <c r="H1328" s="660"/>
      <c r="I1328" s="691"/>
      <c r="J1328" s="661"/>
      <c r="K1328" s="706"/>
      <c r="L1328" s="665"/>
      <c r="M1328" s="663"/>
      <c r="N1328" s="665"/>
      <c r="O1328" s="665"/>
      <c r="P1328" s="665"/>
      <c r="Q1328" s="665"/>
      <c r="R1328" s="665"/>
      <c r="S1328" s="665"/>
      <c r="T1328" s="673"/>
      <c r="U1328" s="673"/>
      <c r="V1328" s="673"/>
      <c r="W1328" s="673"/>
      <c r="X1328" s="673"/>
      <c r="Y1328" s="673"/>
      <c r="Z1328" s="673"/>
      <c r="AA1328" s="673"/>
      <c r="AB1328" s="673"/>
      <c r="AC1328" s="673"/>
      <c r="AD1328" s="673"/>
      <c r="AE1328" s="673"/>
      <c r="AF1328" s="673"/>
      <c r="AG1328" s="673"/>
      <c r="AH1328" s="673"/>
    </row>
    <row r="1329">
      <c r="A1329" s="653"/>
      <c r="B1329" s="654"/>
      <c r="C1329" s="691"/>
      <c r="D1329" s="661"/>
      <c r="E1329" s="705"/>
      <c r="F1329" s="659"/>
      <c r="G1329" s="661"/>
      <c r="H1329" s="660"/>
      <c r="I1329" s="691"/>
      <c r="J1329" s="661"/>
      <c r="K1329" s="706"/>
      <c r="L1329" s="665"/>
      <c r="M1329" s="663"/>
      <c r="N1329" s="665"/>
      <c r="O1329" s="665"/>
      <c r="P1329" s="665"/>
      <c r="Q1329" s="665"/>
      <c r="R1329" s="665"/>
      <c r="S1329" s="665"/>
      <c r="T1329" s="673"/>
      <c r="U1329" s="673"/>
      <c r="V1329" s="673"/>
      <c r="W1329" s="673"/>
      <c r="X1329" s="673"/>
      <c r="Y1329" s="673"/>
      <c r="Z1329" s="673"/>
      <c r="AA1329" s="673"/>
      <c r="AB1329" s="673"/>
      <c r="AC1329" s="673"/>
      <c r="AD1329" s="673"/>
      <c r="AE1329" s="673"/>
      <c r="AF1329" s="673"/>
      <c r="AG1329" s="673"/>
      <c r="AH1329" s="673"/>
    </row>
    <row r="1330">
      <c r="A1330" s="653"/>
      <c r="B1330" s="654"/>
      <c r="C1330" s="691"/>
      <c r="D1330" s="661"/>
      <c r="E1330" s="705"/>
      <c r="F1330" s="659"/>
      <c r="G1330" s="661"/>
      <c r="H1330" s="660"/>
      <c r="I1330" s="691"/>
      <c r="J1330" s="661"/>
      <c r="K1330" s="706"/>
      <c r="L1330" s="665"/>
      <c r="M1330" s="663"/>
      <c r="N1330" s="665"/>
      <c r="O1330" s="665"/>
      <c r="P1330" s="665"/>
      <c r="Q1330" s="665"/>
      <c r="R1330" s="665"/>
      <c r="S1330" s="665"/>
      <c r="T1330" s="673"/>
      <c r="U1330" s="673"/>
      <c r="V1330" s="673"/>
      <c r="W1330" s="673"/>
      <c r="X1330" s="673"/>
      <c r="Y1330" s="673"/>
      <c r="Z1330" s="673"/>
      <c r="AA1330" s="673"/>
      <c r="AB1330" s="673"/>
      <c r="AC1330" s="673"/>
      <c r="AD1330" s="673"/>
      <c r="AE1330" s="673"/>
      <c r="AF1330" s="673"/>
      <c r="AG1330" s="673"/>
      <c r="AH1330" s="673"/>
    </row>
    <row r="1331">
      <c r="A1331" s="653"/>
      <c r="B1331" s="654"/>
      <c r="C1331" s="691"/>
      <c r="D1331" s="661"/>
      <c r="E1331" s="705"/>
      <c r="F1331" s="659"/>
      <c r="G1331" s="661"/>
      <c r="H1331" s="660"/>
      <c r="I1331" s="691"/>
      <c r="J1331" s="661"/>
      <c r="K1331" s="706"/>
      <c r="L1331" s="665"/>
      <c r="M1331" s="663"/>
      <c r="N1331" s="665"/>
      <c r="O1331" s="665"/>
      <c r="P1331" s="665"/>
      <c r="Q1331" s="665"/>
      <c r="R1331" s="665"/>
      <c r="S1331" s="665"/>
      <c r="T1331" s="673"/>
      <c r="U1331" s="673"/>
      <c r="V1331" s="673"/>
      <c r="W1331" s="673"/>
      <c r="X1331" s="673"/>
      <c r="Y1331" s="673"/>
      <c r="Z1331" s="673"/>
      <c r="AA1331" s="673"/>
      <c r="AB1331" s="673"/>
      <c r="AC1331" s="673"/>
      <c r="AD1331" s="673"/>
      <c r="AE1331" s="673"/>
      <c r="AF1331" s="673"/>
      <c r="AG1331" s="673"/>
      <c r="AH1331" s="673"/>
    </row>
    <row r="1332">
      <c r="A1332" s="653"/>
      <c r="B1332" s="654"/>
      <c r="C1332" s="691"/>
      <c r="D1332" s="661"/>
      <c r="E1332" s="705"/>
      <c r="F1332" s="659"/>
      <c r="G1332" s="661"/>
      <c r="H1332" s="660"/>
      <c r="I1332" s="691"/>
      <c r="J1332" s="661"/>
      <c r="K1332" s="706"/>
      <c r="L1332" s="665"/>
      <c r="M1332" s="663"/>
      <c r="N1332" s="665"/>
      <c r="O1332" s="665"/>
      <c r="P1332" s="665"/>
      <c r="Q1332" s="665"/>
      <c r="R1332" s="665"/>
      <c r="S1332" s="665"/>
      <c r="T1332" s="673"/>
      <c r="U1332" s="673"/>
      <c r="V1332" s="673"/>
      <c r="W1332" s="673"/>
      <c r="X1332" s="673"/>
      <c r="Y1332" s="673"/>
      <c r="Z1332" s="673"/>
      <c r="AA1332" s="673"/>
      <c r="AB1332" s="673"/>
      <c r="AC1332" s="673"/>
      <c r="AD1332" s="673"/>
      <c r="AE1332" s="673"/>
      <c r="AF1332" s="673"/>
      <c r="AG1332" s="673"/>
      <c r="AH1332" s="673"/>
    </row>
    <row r="1333">
      <c r="A1333" s="653"/>
      <c r="B1333" s="654"/>
      <c r="C1333" s="691"/>
      <c r="D1333" s="661"/>
      <c r="E1333" s="705"/>
      <c r="F1333" s="659"/>
      <c r="G1333" s="661"/>
      <c r="H1333" s="660"/>
      <c r="I1333" s="691"/>
      <c r="J1333" s="661"/>
      <c r="K1333" s="706"/>
      <c r="L1333" s="665"/>
      <c r="M1333" s="663"/>
      <c r="N1333" s="665"/>
      <c r="O1333" s="665"/>
      <c r="P1333" s="665"/>
      <c r="Q1333" s="665"/>
      <c r="R1333" s="665"/>
      <c r="S1333" s="665"/>
      <c r="T1333" s="673"/>
      <c r="U1333" s="673"/>
      <c r="V1333" s="673"/>
      <c r="W1333" s="673"/>
      <c r="X1333" s="673"/>
      <c r="Y1333" s="673"/>
      <c r="Z1333" s="673"/>
      <c r="AA1333" s="673"/>
      <c r="AB1333" s="673"/>
      <c r="AC1333" s="673"/>
      <c r="AD1333" s="673"/>
      <c r="AE1333" s="673"/>
      <c r="AF1333" s="673"/>
      <c r="AG1333" s="673"/>
      <c r="AH1333" s="673"/>
    </row>
    <row r="1334">
      <c r="A1334" s="653"/>
      <c r="B1334" s="654"/>
      <c r="C1334" s="691"/>
      <c r="D1334" s="661"/>
      <c r="E1334" s="705"/>
      <c r="F1334" s="659"/>
      <c r="G1334" s="661"/>
      <c r="H1334" s="660"/>
      <c r="I1334" s="691"/>
      <c r="J1334" s="661"/>
      <c r="K1334" s="706"/>
      <c r="L1334" s="665"/>
      <c r="M1334" s="663"/>
      <c r="N1334" s="665"/>
      <c r="O1334" s="665"/>
      <c r="P1334" s="665"/>
      <c r="Q1334" s="665"/>
      <c r="R1334" s="665"/>
      <c r="S1334" s="665"/>
      <c r="T1334" s="673"/>
      <c r="U1334" s="673"/>
      <c r="V1334" s="673"/>
      <c r="W1334" s="673"/>
      <c r="X1334" s="673"/>
      <c r="Y1334" s="673"/>
      <c r="Z1334" s="673"/>
      <c r="AA1334" s="673"/>
      <c r="AB1334" s="673"/>
      <c r="AC1334" s="673"/>
      <c r="AD1334" s="673"/>
      <c r="AE1334" s="673"/>
      <c r="AF1334" s="673"/>
      <c r="AG1334" s="673"/>
      <c r="AH1334" s="673"/>
    </row>
    <row r="1335">
      <c r="A1335" s="653"/>
      <c r="B1335" s="654"/>
      <c r="C1335" s="691"/>
      <c r="D1335" s="661"/>
      <c r="E1335" s="705"/>
      <c r="F1335" s="659"/>
      <c r="G1335" s="661"/>
      <c r="H1335" s="660"/>
      <c r="I1335" s="691"/>
      <c r="J1335" s="661"/>
      <c r="K1335" s="706"/>
      <c r="L1335" s="665"/>
      <c r="M1335" s="663"/>
      <c r="N1335" s="665"/>
      <c r="O1335" s="665"/>
      <c r="P1335" s="665"/>
      <c r="Q1335" s="665"/>
      <c r="R1335" s="665"/>
      <c r="S1335" s="665"/>
      <c r="T1335" s="673"/>
      <c r="U1335" s="673"/>
      <c r="V1335" s="673"/>
      <c r="W1335" s="673"/>
      <c r="X1335" s="673"/>
      <c r="Y1335" s="673"/>
      <c r="Z1335" s="673"/>
      <c r="AA1335" s="673"/>
      <c r="AB1335" s="673"/>
      <c r="AC1335" s="673"/>
      <c r="AD1335" s="673"/>
      <c r="AE1335" s="673"/>
      <c r="AF1335" s="673"/>
      <c r="AG1335" s="673"/>
      <c r="AH1335" s="673"/>
    </row>
    <row r="1336">
      <c r="A1336" s="653"/>
      <c r="B1336" s="654"/>
      <c r="C1336" s="691"/>
      <c r="D1336" s="661"/>
      <c r="E1336" s="705"/>
      <c r="F1336" s="659"/>
      <c r="G1336" s="661"/>
      <c r="H1336" s="660"/>
      <c r="I1336" s="691"/>
      <c r="J1336" s="661"/>
      <c r="K1336" s="706"/>
      <c r="L1336" s="665"/>
      <c r="M1336" s="663"/>
      <c r="N1336" s="665"/>
      <c r="O1336" s="665"/>
      <c r="P1336" s="665"/>
      <c r="Q1336" s="665"/>
      <c r="R1336" s="665"/>
      <c r="S1336" s="665"/>
      <c r="T1336" s="673"/>
      <c r="U1336" s="673"/>
      <c r="V1336" s="673"/>
      <c r="W1336" s="673"/>
      <c r="X1336" s="673"/>
      <c r="Y1336" s="673"/>
      <c r="Z1336" s="673"/>
      <c r="AA1336" s="673"/>
      <c r="AB1336" s="673"/>
      <c r="AC1336" s="673"/>
      <c r="AD1336" s="673"/>
      <c r="AE1336" s="673"/>
      <c r="AF1336" s="673"/>
      <c r="AG1336" s="673"/>
      <c r="AH1336" s="673"/>
    </row>
    <row r="1337">
      <c r="A1337" s="653"/>
      <c r="B1337" s="654"/>
      <c r="C1337" s="691"/>
      <c r="D1337" s="661"/>
      <c r="E1337" s="705"/>
      <c r="F1337" s="659"/>
      <c r="G1337" s="661"/>
      <c r="H1337" s="660"/>
      <c r="I1337" s="691"/>
      <c r="J1337" s="661"/>
      <c r="K1337" s="706"/>
      <c r="L1337" s="665"/>
      <c r="M1337" s="663"/>
      <c r="N1337" s="665"/>
      <c r="O1337" s="665"/>
      <c r="P1337" s="665"/>
      <c r="Q1337" s="665"/>
      <c r="R1337" s="665"/>
      <c r="S1337" s="665"/>
      <c r="T1337" s="673"/>
      <c r="U1337" s="673"/>
      <c r="V1337" s="673"/>
      <c r="W1337" s="673"/>
      <c r="X1337" s="673"/>
      <c r="Y1337" s="673"/>
      <c r="Z1337" s="673"/>
      <c r="AA1337" s="673"/>
      <c r="AB1337" s="673"/>
      <c r="AC1337" s="673"/>
      <c r="AD1337" s="673"/>
      <c r="AE1337" s="673"/>
      <c r="AF1337" s="673"/>
      <c r="AG1337" s="673"/>
      <c r="AH1337" s="673"/>
    </row>
    <row r="1338">
      <c r="A1338" s="653"/>
      <c r="B1338" s="654"/>
      <c r="C1338" s="691"/>
      <c r="D1338" s="661"/>
      <c r="E1338" s="705"/>
      <c r="F1338" s="659"/>
      <c r="G1338" s="661"/>
      <c r="H1338" s="660"/>
      <c r="I1338" s="691"/>
      <c r="J1338" s="661"/>
      <c r="K1338" s="706"/>
      <c r="L1338" s="665"/>
      <c r="M1338" s="663"/>
      <c r="N1338" s="665"/>
      <c r="O1338" s="665"/>
      <c r="P1338" s="665"/>
      <c r="Q1338" s="665"/>
      <c r="R1338" s="665"/>
      <c r="S1338" s="665"/>
      <c r="T1338" s="673"/>
      <c r="U1338" s="673"/>
      <c r="V1338" s="673"/>
      <c r="W1338" s="673"/>
      <c r="X1338" s="673"/>
      <c r="Y1338" s="673"/>
      <c r="Z1338" s="673"/>
      <c r="AA1338" s="673"/>
      <c r="AB1338" s="673"/>
      <c r="AC1338" s="673"/>
      <c r="AD1338" s="673"/>
      <c r="AE1338" s="673"/>
      <c r="AF1338" s="673"/>
      <c r="AG1338" s="673"/>
      <c r="AH1338" s="673"/>
    </row>
    <row r="1339">
      <c r="A1339" s="653"/>
      <c r="B1339" s="654"/>
      <c r="C1339" s="691"/>
      <c r="D1339" s="661"/>
      <c r="E1339" s="705"/>
      <c r="F1339" s="659"/>
      <c r="G1339" s="661"/>
      <c r="H1339" s="660"/>
      <c r="I1339" s="691"/>
      <c r="J1339" s="661"/>
      <c r="K1339" s="706"/>
      <c r="L1339" s="665"/>
      <c r="M1339" s="663"/>
      <c r="N1339" s="665"/>
      <c r="O1339" s="665"/>
      <c r="P1339" s="665"/>
      <c r="Q1339" s="665"/>
      <c r="R1339" s="665"/>
      <c r="S1339" s="665"/>
      <c r="T1339" s="673"/>
      <c r="U1339" s="673"/>
      <c r="V1339" s="673"/>
      <c r="W1339" s="673"/>
      <c r="X1339" s="673"/>
      <c r="Y1339" s="673"/>
      <c r="Z1339" s="673"/>
      <c r="AA1339" s="673"/>
      <c r="AB1339" s="673"/>
      <c r="AC1339" s="673"/>
      <c r="AD1339" s="673"/>
      <c r="AE1339" s="673"/>
      <c r="AF1339" s="673"/>
      <c r="AG1339" s="673"/>
      <c r="AH1339" s="673"/>
    </row>
    <row r="1340">
      <c r="A1340" s="653"/>
      <c r="B1340" s="654"/>
      <c r="C1340" s="691"/>
      <c r="D1340" s="661"/>
      <c r="E1340" s="705"/>
      <c r="F1340" s="659"/>
      <c r="G1340" s="661"/>
      <c r="H1340" s="660"/>
      <c r="I1340" s="691"/>
      <c r="J1340" s="661"/>
      <c r="K1340" s="706"/>
      <c r="L1340" s="665"/>
      <c r="M1340" s="663"/>
      <c r="N1340" s="665"/>
      <c r="O1340" s="665"/>
      <c r="P1340" s="665"/>
      <c r="Q1340" s="665"/>
      <c r="R1340" s="665"/>
      <c r="S1340" s="665"/>
      <c r="T1340" s="673"/>
      <c r="U1340" s="673"/>
      <c r="V1340" s="673"/>
      <c r="W1340" s="673"/>
      <c r="X1340" s="673"/>
      <c r="Y1340" s="673"/>
      <c r="Z1340" s="673"/>
      <c r="AA1340" s="673"/>
      <c r="AB1340" s="673"/>
      <c r="AC1340" s="673"/>
      <c r="AD1340" s="673"/>
      <c r="AE1340" s="673"/>
      <c r="AF1340" s="673"/>
      <c r="AG1340" s="673"/>
      <c r="AH1340" s="673"/>
    </row>
    <row r="1341">
      <c r="A1341" s="653"/>
      <c r="B1341" s="654"/>
      <c r="C1341" s="691"/>
      <c r="D1341" s="661"/>
      <c r="E1341" s="705"/>
      <c r="F1341" s="659"/>
      <c r="G1341" s="661"/>
      <c r="H1341" s="660"/>
      <c r="I1341" s="691"/>
      <c r="J1341" s="661"/>
      <c r="K1341" s="706"/>
      <c r="L1341" s="665"/>
      <c r="M1341" s="663"/>
      <c r="N1341" s="665"/>
      <c r="O1341" s="665"/>
      <c r="P1341" s="665"/>
      <c r="Q1341" s="665"/>
      <c r="R1341" s="665"/>
      <c r="S1341" s="665"/>
      <c r="T1341" s="673"/>
      <c r="U1341" s="673"/>
      <c r="V1341" s="673"/>
      <c r="W1341" s="673"/>
      <c r="X1341" s="673"/>
      <c r="Y1341" s="673"/>
      <c r="Z1341" s="673"/>
      <c r="AA1341" s="673"/>
      <c r="AB1341" s="673"/>
      <c r="AC1341" s="673"/>
      <c r="AD1341" s="673"/>
      <c r="AE1341" s="673"/>
      <c r="AF1341" s="673"/>
      <c r="AG1341" s="673"/>
      <c r="AH1341" s="673"/>
    </row>
    <row r="1342">
      <c r="A1342" s="653"/>
      <c r="B1342" s="654"/>
      <c r="C1342" s="691"/>
      <c r="D1342" s="661"/>
      <c r="E1342" s="705"/>
      <c r="F1342" s="659"/>
      <c r="G1342" s="661"/>
      <c r="H1342" s="660"/>
      <c r="I1342" s="691"/>
      <c r="J1342" s="661"/>
      <c r="K1342" s="706"/>
      <c r="L1342" s="665"/>
      <c r="M1342" s="663"/>
      <c r="N1342" s="665"/>
      <c r="O1342" s="665"/>
      <c r="P1342" s="665"/>
      <c r="Q1342" s="665"/>
      <c r="R1342" s="665"/>
      <c r="S1342" s="665"/>
      <c r="T1342" s="673"/>
      <c r="U1342" s="673"/>
      <c r="V1342" s="673"/>
      <c r="W1342" s="673"/>
      <c r="X1342" s="673"/>
      <c r="Y1342" s="673"/>
      <c r="Z1342" s="673"/>
      <c r="AA1342" s="673"/>
      <c r="AB1342" s="673"/>
      <c r="AC1342" s="673"/>
      <c r="AD1342" s="673"/>
      <c r="AE1342" s="673"/>
      <c r="AF1342" s="673"/>
      <c r="AG1342" s="673"/>
      <c r="AH1342" s="673"/>
    </row>
    <row r="1343">
      <c r="A1343" s="653"/>
      <c r="B1343" s="654"/>
      <c r="C1343" s="691"/>
      <c r="D1343" s="661"/>
      <c r="E1343" s="705"/>
      <c r="F1343" s="659"/>
      <c r="G1343" s="661"/>
      <c r="H1343" s="660"/>
      <c r="I1343" s="691"/>
      <c r="J1343" s="661"/>
      <c r="K1343" s="706"/>
      <c r="L1343" s="665"/>
      <c r="M1343" s="663"/>
      <c r="N1343" s="665"/>
      <c r="O1343" s="665"/>
      <c r="P1343" s="665"/>
      <c r="Q1343" s="665"/>
      <c r="R1343" s="665"/>
      <c r="S1343" s="665"/>
      <c r="T1343" s="673"/>
      <c r="U1343" s="673"/>
      <c r="V1343" s="673"/>
      <c r="W1343" s="673"/>
      <c r="X1343" s="673"/>
      <c r="Y1343" s="673"/>
      <c r="Z1343" s="673"/>
      <c r="AA1343" s="673"/>
      <c r="AB1343" s="673"/>
      <c r="AC1343" s="673"/>
      <c r="AD1343" s="673"/>
      <c r="AE1343" s="673"/>
      <c r="AF1343" s="673"/>
      <c r="AG1343" s="673"/>
      <c r="AH1343" s="673"/>
    </row>
    <row r="1344">
      <c r="A1344" s="653"/>
      <c r="B1344" s="654"/>
      <c r="C1344" s="691"/>
      <c r="D1344" s="661"/>
      <c r="E1344" s="705"/>
      <c r="F1344" s="659"/>
      <c r="G1344" s="661"/>
      <c r="H1344" s="660"/>
      <c r="I1344" s="691"/>
      <c r="J1344" s="661"/>
      <c r="K1344" s="706"/>
      <c r="L1344" s="665"/>
      <c r="M1344" s="663"/>
      <c r="N1344" s="665"/>
      <c r="O1344" s="665"/>
      <c r="P1344" s="665"/>
      <c r="Q1344" s="665"/>
      <c r="R1344" s="665"/>
      <c r="S1344" s="665"/>
      <c r="T1344" s="673"/>
      <c r="U1344" s="673"/>
      <c r="V1344" s="673"/>
      <c r="W1344" s="673"/>
      <c r="X1344" s="673"/>
      <c r="Y1344" s="673"/>
      <c r="Z1344" s="673"/>
      <c r="AA1344" s="673"/>
      <c r="AB1344" s="673"/>
      <c r="AC1344" s="673"/>
      <c r="AD1344" s="673"/>
      <c r="AE1344" s="673"/>
      <c r="AF1344" s="673"/>
      <c r="AG1344" s="673"/>
      <c r="AH1344" s="673"/>
    </row>
    <row r="1345">
      <c r="A1345" s="653"/>
      <c r="B1345" s="654"/>
      <c r="C1345" s="691"/>
      <c r="D1345" s="661"/>
      <c r="E1345" s="705"/>
      <c r="F1345" s="659"/>
      <c r="G1345" s="661"/>
      <c r="H1345" s="660"/>
      <c r="I1345" s="691"/>
      <c r="J1345" s="661"/>
      <c r="K1345" s="706"/>
      <c r="L1345" s="665"/>
      <c r="M1345" s="663"/>
      <c r="N1345" s="665"/>
      <c r="O1345" s="665"/>
      <c r="P1345" s="665"/>
      <c r="Q1345" s="665"/>
      <c r="R1345" s="665"/>
      <c r="S1345" s="665"/>
      <c r="T1345" s="673"/>
      <c r="U1345" s="673"/>
      <c r="V1345" s="673"/>
      <c r="W1345" s="673"/>
      <c r="X1345" s="673"/>
      <c r="Y1345" s="673"/>
      <c r="Z1345" s="673"/>
      <c r="AA1345" s="673"/>
      <c r="AB1345" s="673"/>
      <c r="AC1345" s="673"/>
      <c r="AD1345" s="673"/>
      <c r="AE1345" s="673"/>
      <c r="AF1345" s="673"/>
      <c r="AG1345" s="673"/>
      <c r="AH1345" s="673"/>
    </row>
    <row r="1346">
      <c r="A1346" s="653"/>
      <c r="B1346" s="654"/>
      <c r="C1346" s="691"/>
      <c r="D1346" s="661"/>
      <c r="E1346" s="705"/>
      <c r="F1346" s="659"/>
      <c r="G1346" s="661"/>
      <c r="H1346" s="660"/>
      <c r="I1346" s="691"/>
      <c r="J1346" s="661"/>
      <c r="K1346" s="706"/>
      <c r="L1346" s="665"/>
      <c r="M1346" s="663"/>
      <c r="N1346" s="665"/>
      <c r="O1346" s="665"/>
      <c r="P1346" s="665"/>
      <c r="Q1346" s="665"/>
      <c r="R1346" s="665"/>
      <c r="S1346" s="665"/>
      <c r="T1346" s="673"/>
      <c r="U1346" s="673"/>
      <c r="V1346" s="673"/>
      <c r="W1346" s="673"/>
      <c r="X1346" s="673"/>
      <c r="Y1346" s="673"/>
      <c r="Z1346" s="673"/>
      <c r="AA1346" s="673"/>
      <c r="AB1346" s="673"/>
      <c r="AC1346" s="673"/>
      <c r="AD1346" s="673"/>
      <c r="AE1346" s="673"/>
      <c r="AF1346" s="673"/>
      <c r="AG1346" s="673"/>
      <c r="AH1346" s="673"/>
    </row>
    <row r="1347">
      <c r="A1347" s="653"/>
      <c r="B1347" s="654"/>
      <c r="C1347" s="691"/>
      <c r="D1347" s="661"/>
      <c r="E1347" s="705"/>
      <c r="F1347" s="659"/>
      <c r="G1347" s="661"/>
      <c r="H1347" s="660"/>
      <c r="I1347" s="691"/>
      <c r="J1347" s="661"/>
      <c r="K1347" s="706"/>
      <c r="L1347" s="665"/>
      <c r="M1347" s="663"/>
      <c r="N1347" s="665"/>
      <c r="O1347" s="665"/>
      <c r="P1347" s="665"/>
      <c r="Q1347" s="665"/>
      <c r="R1347" s="665"/>
      <c r="S1347" s="665"/>
      <c r="T1347" s="673"/>
      <c r="U1347" s="673"/>
      <c r="V1347" s="673"/>
      <c r="W1347" s="673"/>
      <c r="X1347" s="673"/>
      <c r="Y1347" s="673"/>
      <c r="Z1347" s="673"/>
      <c r="AA1347" s="673"/>
      <c r="AB1347" s="673"/>
      <c r="AC1347" s="673"/>
      <c r="AD1347" s="673"/>
      <c r="AE1347" s="673"/>
      <c r="AF1347" s="673"/>
      <c r="AG1347" s="673"/>
      <c r="AH1347" s="673"/>
    </row>
    <row r="1348">
      <c r="A1348" s="653"/>
      <c r="B1348" s="654"/>
      <c r="C1348" s="691"/>
      <c r="D1348" s="661"/>
      <c r="E1348" s="705"/>
      <c r="F1348" s="659"/>
      <c r="G1348" s="661"/>
      <c r="H1348" s="660"/>
      <c r="I1348" s="691"/>
      <c r="J1348" s="661"/>
      <c r="K1348" s="706"/>
      <c r="L1348" s="665"/>
      <c r="M1348" s="663"/>
      <c r="N1348" s="665"/>
      <c r="O1348" s="665"/>
      <c r="P1348" s="665"/>
      <c r="Q1348" s="665"/>
      <c r="R1348" s="665"/>
      <c r="S1348" s="665"/>
      <c r="T1348" s="673"/>
      <c r="U1348" s="673"/>
      <c r="V1348" s="673"/>
      <c r="W1348" s="673"/>
      <c r="X1348" s="673"/>
      <c r="Y1348" s="673"/>
      <c r="Z1348" s="673"/>
      <c r="AA1348" s="673"/>
      <c r="AB1348" s="673"/>
      <c r="AC1348" s="673"/>
      <c r="AD1348" s="673"/>
      <c r="AE1348" s="673"/>
      <c r="AF1348" s="673"/>
      <c r="AG1348" s="673"/>
      <c r="AH1348" s="673"/>
    </row>
    <row r="1349">
      <c r="A1349" s="653"/>
      <c r="B1349" s="654"/>
      <c r="C1349" s="691"/>
      <c r="D1349" s="661"/>
      <c r="E1349" s="705"/>
      <c r="F1349" s="659"/>
      <c r="G1349" s="661"/>
      <c r="H1349" s="660"/>
      <c r="I1349" s="691"/>
      <c r="J1349" s="661"/>
      <c r="K1349" s="706"/>
      <c r="L1349" s="665"/>
      <c r="M1349" s="663"/>
      <c r="N1349" s="665"/>
      <c r="O1349" s="665"/>
      <c r="P1349" s="665"/>
      <c r="Q1349" s="665"/>
      <c r="R1349" s="665"/>
      <c r="S1349" s="665"/>
      <c r="T1349" s="673"/>
      <c r="U1349" s="673"/>
      <c r="V1349" s="673"/>
      <c r="W1349" s="673"/>
      <c r="X1349" s="673"/>
      <c r="Y1349" s="673"/>
      <c r="Z1349" s="673"/>
      <c r="AA1349" s="673"/>
      <c r="AB1349" s="673"/>
      <c r="AC1349" s="673"/>
      <c r="AD1349" s="673"/>
      <c r="AE1349" s="673"/>
      <c r="AF1349" s="673"/>
      <c r="AG1349" s="673"/>
      <c r="AH1349" s="673"/>
    </row>
    <row r="1350">
      <c r="A1350" s="653"/>
      <c r="B1350" s="654"/>
      <c r="C1350" s="691"/>
      <c r="D1350" s="661"/>
      <c r="E1350" s="705"/>
      <c r="F1350" s="659"/>
      <c r="G1350" s="661"/>
      <c r="H1350" s="660"/>
      <c r="I1350" s="691"/>
      <c r="J1350" s="661"/>
      <c r="K1350" s="706"/>
      <c r="L1350" s="665"/>
      <c r="M1350" s="663"/>
      <c r="N1350" s="665"/>
      <c r="O1350" s="665"/>
      <c r="P1350" s="665"/>
      <c r="Q1350" s="665"/>
      <c r="R1350" s="665"/>
      <c r="S1350" s="665"/>
      <c r="T1350" s="673"/>
      <c r="U1350" s="673"/>
      <c r="V1350" s="673"/>
      <c r="W1350" s="673"/>
      <c r="X1350" s="673"/>
      <c r="Y1350" s="673"/>
      <c r="Z1350" s="673"/>
      <c r="AA1350" s="673"/>
      <c r="AB1350" s="673"/>
      <c r="AC1350" s="673"/>
      <c r="AD1350" s="673"/>
      <c r="AE1350" s="673"/>
      <c r="AF1350" s="673"/>
      <c r="AG1350" s="673"/>
      <c r="AH1350" s="673"/>
    </row>
    <row r="1351">
      <c r="A1351" s="653"/>
      <c r="B1351" s="654"/>
      <c r="C1351" s="691"/>
      <c r="D1351" s="661"/>
      <c r="E1351" s="705"/>
      <c r="F1351" s="659"/>
      <c r="G1351" s="661"/>
      <c r="H1351" s="660"/>
      <c r="I1351" s="691"/>
      <c r="J1351" s="661"/>
      <c r="K1351" s="706"/>
      <c r="L1351" s="665"/>
      <c r="M1351" s="663"/>
      <c r="N1351" s="665"/>
      <c r="O1351" s="665"/>
      <c r="P1351" s="665"/>
      <c r="Q1351" s="665"/>
      <c r="R1351" s="665"/>
      <c r="S1351" s="665"/>
      <c r="T1351" s="673"/>
      <c r="U1351" s="673"/>
      <c r="V1351" s="673"/>
      <c r="W1351" s="673"/>
      <c r="X1351" s="673"/>
      <c r="Y1351" s="673"/>
      <c r="Z1351" s="673"/>
      <c r="AA1351" s="673"/>
      <c r="AB1351" s="673"/>
      <c r="AC1351" s="673"/>
      <c r="AD1351" s="673"/>
      <c r="AE1351" s="673"/>
      <c r="AF1351" s="673"/>
      <c r="AG1351" s="673"/>
      <c r="AH1351" s="673"/>
    </row>
    <row r="1352">
      <c r="A1352" s="653"/>
      <c r="B1352" s="654"/>
      <c r="C1352" s="691"/>
      <c r="D1352" s="661"/>
      <c r="E1352" s="705"/>
      <c r="F1352" s="659"/>
      <c r="G1352" s="661"/>
      <c r="H1352" s="660"/>
      <c r="I1352" s="691"/>
      <c r="J1352" s="661"/>
      <c r="K1352" s="706"/>
      <c r="L1352" s="665"/>
      <c r="M1352" s="663"/>
      <c r="N1352" s="665"/>
      <c r="O1352" s="665"/>
      <c r="P1352" s="665"/>
      <c r="Q1352" s="665"/>
      <c r="R1352" s="665"/>
      <c r="S1352" s="665"/>
      <c r="T1352" s="673"/>
      <c r="U1352" s="673"/>
      <c r="V1352" s="673"/>
      <c r="W1352" s="673"/>
      <c r="X1352" s="673"/>
      <c r="Y1352" s="673"/>
      <c r="Z1352" s="673"/>
      <c r="AA1352" s="673"/>
      <c r="AB1352" s="673"/>
      <c r="AC1352" s="673"/>
      <c r="AD1352" s="673"/>
      <c r="AE1352" s="673"/>
      <c r="AF1352" s="673"/>
      <c r="AG1352" s="673"/>
      <c r="AH1352" s="673"/>
    </row>
    <row r="1353">
      <c r="A1353" s="653"/>
      <c r="B1353" s="654"/>
      <c r="C1353" s="691"/>
      <c r="D1353" s="661"/>
      <c r="E1353" s="705"/>
      <c r="F1353" s="659"/>
      <c r="G1353" s="661"/>
      <c r="H1353" s="660"/>
      <c r="I1353" s="691"/>
      <c r="J1353" s="661"/>
      <c r="K1353" s="706"/>
      <c r="L1353" s="665"/>
      <c r="M1353" s="663"/>
      <c r="N1353" s="665"/>
      <c r="O1353" s="665"/>
      <c r="P1353" s="665"/>
      <c r="Q1353" s="665"/>
      <c r="R1353" s="665"/>
      <c r="S1353" s="665"/>
      <c r="T1353" s="673"/>
      <c r="U1353" s="673"/>
      <c r="V1353" s="673"/>
      <c r="W1353" s="673"/>
      <c r="X1353" s="673"/>
      <c r="Y1353" s="673"/>
      <c r="Z1353" s="673"/>
      <c r="AA1353" s="673"/>
      <c r="AB1353" s="673"/>
      <c r="AC1353" s="673"/>
      <c r="AD1353" s="673"/>
      <c r="AE1353" s="673"/>
      <c r="AF1353" s="673"/>
      <c r="AG1353" s="673"/>
      <c r="AH1353" s="673"/>
    </row>
    <row r="1354">
      <c r="A1354" s="653"/>
      <c r="B1354" s="654"/>
      <c r="C1354" s="691"/>
      <c r="D1354" s="661"/>
      <c r="E1354" s="705"/>
      <c r="F1354" s="659"/>
      <c r="G1354" s="661"/>
      <c r="H1354" s="660"/>
      <c r="I1354" s="691"/>
      <c r="J1354" s="661"/>
      <c r="K1354" s="706"/>
      <c r="L1354" s="665"/>
      <c r="M1354" s="663"/>
      <c r="N1354" s="665"/>
      <c r="O1354" s="665"/>
      <c r="P1354" s="665"/>
      <c r="Q1354" s="665"/>
      <c r="R1354" s="665"/>
      <c r="S1354" s="665"/>
      <c r="T1354" s="673"/>
      <c r="U1354" s="673"/>
      <c r="V1354" s="673"/>
      <c r="W1354" s="673"/>
      <c r="X1354" s="673"/>
      <c r="Y1354" s="673"/>
      <c r="Z1354" s="673"/>
      <c r="AA1354" s="673"/>
      <c r="AB1354" s="673"/>
      <c r="AC1354" s="673"/>
      <c r="AD1354" s="673"/>
      <c r="AE1354" s="673"/>
      <c r="AF1354" s="673"/>
      <c r="AG1354" s="673"/>
      <c r="AH1354" s="673"/>
    </row>
    <row r="1355">
      <c r="A1355" s="653"/>
      <c r="B1355" s="654"/>
      <c r="C1355" s="691"/>
      <c r="D1355" s="661"/>
      <c r="E1355" s="705"/>
      <c r="F1355" s="659"/>
      <c r="G1355" s="661"/>
      <c r="H1355" s="660"/>
      <c r="I1355" s="691"/>
      <c r="J1355" s="661"/>
      <c r="K1355" s="706"/>
      <c r="L1355" s="665"/>
      <c r="M1355" s="663"/>
      <c r="N1355" s="665"/>
      <c r="O1355" s="665"/>
      <c r="P1355" s="665"/>
      <c r="Q1355" s="665"/>
      <c r="R1355" s="665"/>
      <c r="S1355" s="665"/>
      <c r="T1355" s="673"/>
      <c r="U1355" s="673"/>
      <c r="V1355" s="673"/>
      <c r="W1355" s="673"/>
      <c r="X1355" s="673"/>
      <c r="Y1355" s="673"/>
      <c r="Z1355" s="673"/>
      <c r="AA1355" s="673"/>
      <c r="AB1355" s="673"/>
      <c r="AC1355" s="673"/>
      <c r="AD1355" s="673"/>
      <c r="AE1355" s="673"/>
      <c r="AF1355" s="673"/>
      <c r="AG1355" s="673"/>
      <c r="AH1355" s="673"/>
    </row>
    <row r="1356">
      <c r="A1356" s="653"/>
      <c r="B1356" s="654"/>
      <c r="C1356" s="691"/>
      <c r="D1356" s="661"/>
      <c r="E1356" s="705"/>
      <c r="F1356" s="659"/>
      <c r="G1356" s="661"/>
      <c r="H1356" s="660"/>
      <c r="I1356" s="691"/>
      <c r="J1356" s="661"/>
      <c r="K1356" s="706"/>
      <c r="L1356" s="665"/>
      <c r="M1356" s="663"/>
      <c r="N1356" s="665"/>
      <c r="O1356" s="665"/>
      <c r="P1356" s="665"/>
      <c r="Q1356" s="665"/>
      <c r="R1356" s="665"/>
      <c r="S1356" s="665"/>
      <c r="T1356" s="673"/>
      <c r="U1356" s="673"/>
      <c r="V1356" s="673"/>
      <c r="W1356" s="673"/>
      <c r="X1356" s="673"/>
      <c r="Y1356" s="673"/>
      <c r="Z1356" s="673"/>
      <c r="AA1356" s="673"/>
      <c r="AB1356" s="673"/>
      <c r="AC1356" s="673"/>
      <c r="AD1356" s="673"/>
      <c r="AE1356" s="673"/>
      <c r="AF1356" s="673"/>
      <c r="AG1356" s="673"/>
      <c r="AH1356" s="673"/>
    </row>
    <row r="1357">
      <c r="A1357" s="653"/>
      <c r="B1357" s="654"/>
      <c r="C1357" s="691"/>
      <c r="D1357" s="661"/>
      <c r="E1357" s="705"/>
      <c r="F1357" s="659"/>
      <c r="G1357" s="661"/>
      <c r="H1357" s="660"/>
      <c r="I1357" s="691"/>
      <c r="J1357" s="661"/>
      <c r="K1357" s="706"/>
      <c r="L1357" s="665"/>
      <c r="M1357" s="663"/>
      <c r="N1357" s="665"/>
      <c r="O1357" s="665"/>
      <c r="P1357" s="665"/>
      <c r="Q1357" s="665"/>
      <c r="R1357" s="665"/>
      <c r="S1357" s="665"/>
      <c r="T1357" s="673"/>
      <c r="U1357" s="673"/>
      <c r="V1357" s="673"/>
      <c r="W1357" s="673"/>
      <c r="X1357" s="673"/>
      <c r="Y1357" s="673"/>
      <c r="Z1357" s="673"/>
      <c r="AA1357" s="673"/>
      <c r="AB1357" s="673"/>
      <c r="AC1357" s="673"/>
      <c r="AD1357" s="673"/>
      <c r="AE1357" s="673"/>
      <c r="AF1357" s="673"/>
      <c r="AG1357" s="673"/>
      <c r="AH1357" s="673"/>
    </row>
    <row r="1358">
      <c r="A1358" s="653"/>
      <c r="B1358" s="654"/>
      <c r="C1358" s="691"/>
      <c r="D1358" s="661"/>
      <c r="E1358" s="705"/>
      <c r="F1358" s="659"/>
      <c r="G1358" s="661"/>
      <c r="H1358" s="660"/>
      <c r="I1358" s="691"/>
      <c r="J1358" s="661"/>
      <c r="K1358" s="706"/>
      <c r="L1358" s="665"/>
      <c r="M1358" s="663"/>
      <c r="N1358" s="665"/>
      <c r="O1358" s="665"/>
      <c r="P1358" s="665"/>
      <c r="Q1358" s="665"/>
      <c r="R1358" s="665"/>
      <c r="S1358" s="665"/>
      <c r="T1358" s="673"/>
      <c r="U1358" s="673"/>
      <c r="V1358" s="673"/>
      <c r="W1358" s="673"/>
      <c r="X1358" s="673"/>
      <c r="Y1358" s="673"/>
      <c r="Z1358" s="673"/>
      <c r="AA1358" s="673"/>
      <c r="AB1358" s="673"/>
      <c r="AC1358" s="673"/>
      <c r="AD1358" s="673"/>
      <c r="AE1358" s="673"/>
      <c r="AF1358" s="673"/>
      <c r="AG1358" s="673"/>
      <c r="AH1358" s="673"/>
    </row>
    <row r="1359">
      <c r="A1359" s="653"/>
      <c r="B1359" s="654"/>
      <c r="C1359" s="691"/>
      <c r="D1359" s="661"/>
      <c r="E1359" s="705"/>
      <c r="F1359" s="659"/>
      <c r="G1359" s="661"/>
      <c r="H1359" s="660"/>
      <c r="I1359" s="691"/>
      <c r="J1359" s="661"/>
      <c r="K1359" s="706"/>
      <c r="L1359" s="665"/>
      <c r="M1359" s="663"/>
      <c r="N1359" s="665"/>
      <c r="O1359" s="665"/>
      <c r="P1359" s="665"/>
      <c r="Q1359" s="665"/>
      <c r="R1359" s="665"/>
      <c r="S1359" s="665"/>
      <c r="T1359" s="673"/>
      <c r="U1359" s="673"/>
      <c r="V1359" s="673"/>
      <c r="W1359" s="673"/>
      <c r="X1359" s="673"/>
      <c r="Y1359" s="673"/>
      <c r="Z1359" s="673"/>
      <c r="AA1359" s="673"/>
      <c r="AB1359" s="673"/>
      <c r="AC1359" s="673"/>
      <c r="AD1359" s="673"/>
      <c r="AE1359" s="673"/>
      <c r="AF1359" s="673"/>
      <c r="AG1359" s="673"/>
      <c r="AH1359" s="673"/>
    </row>
    <row r="1360">
      <c r="A1360" s="653"/>
      <c r="B1360" s="654"/>
      <c r="C1360" s="691"/>
      <c r="D1360" s="661"/>
      <c r="E1360" s="705"/>
      <c r="F1360" s="659"/>
      <c r="G1360" s="661"/>
      <c r="H1360" s="660"/>
      <c r="I1360" s="691"/>
      <c r="J1360" s="661"/>
      <c r="K1360" s="706"/>
      <c r="L1360" s="665"/>
      <c r="M1360" s="663"/>
      <c r="N1360" s="665"/>
      <c r="O1360" s="665"/>
      <c r="P1360" s="665"/>
      <c r="Q1360" s="665"/>
      <c r="R1360" s="665"/>
      <c r="S1360" s="665"/>
      <c r="T1360" s="673"/>
      <c r="U1360" s="673"/>
      <c r="V1360" s="673"/>
      <c r="W1360" s="673"/>
      <c r="X1360" s="673"/>
      <c r="Y1360" s="673"/>
      <c r="Z1360" s="673"/>
      <c r="AA1360" s="673"/>
      <c r="AB1360" s="673"/>
      <c r="AC1360" s="673"/>
      <c r="AD1360" s="673"/>
      <c r="AE1360" s="673"/>
      <c r="AF1360" s="673"/>
      <c r="AG1360" s="673"/>
      <c r="AH1360" s="673"/>
    </row>
    <row r="1361">
      <c r="A1361" s="653"/>
      <c r="B1361" s="654"/>
      <c r="C1361" s="691"/>
      <c r="D1361" s="661"/>
      <c r="E1361" s="705"/>
      <c r="F1361" s="659"/>
      <c r="G1361" s="661"/>
      <c r="H1361" s="660"/>
      <c r="I1361" s="691"/>
      <c r="J1361" s="661"/>
      <c r="K1361" s="706"/>
      <c r="L1361" s="665"/>
      <c r="M1361" s="663"/>
      <c r="N1361" s="665"/>
      <c r="O1361" s="665"/>
      <c r="P1361" s="665"/>
      <c r="Q1361" s="665"/>
      <c r="R1361" s="665"/>
      <c r="S1361" s="665"/>
      <c r="T1361" s="673"/>
      <c r="U1361" s="673"/>
      <c r="V1361" s="673"/>
      <c r="W1361" s="673"/>
      <c r="X1361" s="673"/>
      <c r="Y1361" s="673"/>
      <c r="Z1361" s="673"/>
      <c r="AA1361" s="673"/>
      <c r="AB1361" s="673"/>
      <c r="AC1361" s="673"/>
      <c r="AD1361" s="673"/>
      <c r="AE1361" s="673"/>
      <c r="AF1361" s="673"/>
      <c r="AG1361" s="673"/>
      <c r="AH1361" s="673"/>
    </row>
    <row r="1362">
      <c r="A1362" s="653"/>
      <c r="B1362" s="654"/>
      <c r="C1362" s="691"/>
      <c r="D1362" s="661"/>
      <c r="E1362" s="705"/>
      <c r="F1362" s="659"/>
      <c r="G1362" s="661"/>
      <c r="H1362" s="660"/>
      <c r="I1362" s="691"/>
      <c r="J1362" s="661"/>
      <c r="K1362" s="706"/>
      <c r="L1362" s="665"/>
      <c r="M1362" s="663"/>
      <c r="N1362" s="665"/>
      <c r="O1362" s="665"/>
      <c r="P1362" s="665"/>
      <c r="Q1362" s="665"/>
      <c r="R1362" s="665"/>
      <c r="S1362" s="665"/>
      <c r="T1362" s="673"/>
      <c r="U1362" s="673"/>
      <c r="V1362" s="673"/>
      <c r="W1362" s="673"/>
      <c r="X1362" s="673"/>
      <c r="Y1362" s="673"/>
      <c r="Z1362" s="673"/>
      <c r="AA1362" s="673"/>
      <c r="AB1362" s="673"/>
      <c r="AC1362" s="673"/>
      <c r="AD1362" s="673"/>
      <c r="AE1362" s="673"/>
      <c r="AF1362" s="673"/>
      <c r="AG1362" s="673"/>
      <c r="AH1362" s="673"/>
    </row>
    <row r="1363">
      <c r="A1363" s="653"/>
      <c r="B1363" s="654"/>
      <c r="C1363" s="691"/>
      <c r="D1363" s="661"/>
      <c r="E1363" s="705"/>
      <c r="F1363" s="659"/>
      <c r="G1363" s="661"/>
      <c r="H1363" s="660"/>
      <c r="I1363" s="691"/>
      <c r="J1363" s="661"/>
      <c r="K1363" s="706"/>
      <c r="L1363" s="665"/>
      <c r="M1363" s="663"/>
      <c r="N1363" s="665"/>
      <c r="O1363" s="665"/>
      <c r="P1363" s="665"/>
      <c r="Q1363" s="665"/>
      <c r="R1363" s="665"/>
      <c r="S1363" s="665"/>
      <c r="T1363" s="673"/>
      <c r="U1363" s="673"/>
      <c r="V1363" s="673"/>
      <c r="W1363" s="673"/>
      <c r="X1363" s="673"/>
      <c r="Y1363" s="673"/>
      <c r="Z1363" s="673"/>
      <c r="AA1363" s="673"/>
      <c r="AB1363" s="673"/>
      <c r="AC1363" s="673"/>
      <c r="AD1363" s="673"/>
      <c r="AE1363" s="673"/>
      <c r="AF1363" s="673"/>
      <c r="AG1363" s="673"/>
      <c r="AH1363" s="673"/>
    </row>
    <row r="1364">
      <c r="A1364" s="653"/>
      <c r="B1364" s="654"/>
      <c r="C1364" s="691"/>
      <c r="D1364" s="661"/>
      <c r="E1364" s="705"/>
      <c r="F1364" s="659"/>
      <c r="G1364" s="661"/>
      <c r="H1364" s="660"/>
      <c r="I1364" s="691"/>
      <c r="J1364" s="661"/>
      <c r="K1364" s="706"/>
      <c r="L1364" s="665"/>
      <c r="M1364" s="663"/>
      <c r="N1364" s="665"/>
      <c r="O1364" s="665"/>
      <c r="P1364" s="665"/>
      <c r="Q1364" s="665"/>
      <c r="R1364" s="665"/>
      <c r="S1364" s="665"/>
      <c r="T1364" s="673"/>
      <c r="U1364" s="673"/>
      <c r="V1364" s="673"/>
      <c r="W1364" s="673"/>
      <c r="X1364" s="673"/>
      <c r="Y1364" s="673"/>
      <c r="Z1364" s="673"/>
      <c r="AA1364" s="673"/>
      <c r="AB1364" s="673"/>
      <c r="AC1364" s="673"/>
      <c r="AD1364" s="673"/>
      <c r="AE1364" s="673"/>
      <c r="AF1364" s="673"/>
      <c r="AG1364" s="673"/>
      <c r="AH1364" s="673"/>
    </row>
    <row r="1365">
      <c r="A1365" s="653"/>
      <c r="B1365" s="654"/>
      <c r="C1365" s="691"/>
      <c r="D1365" s="661"/>
      <c r="E1365" s="705"/>
      <c r="F1365" s="659"/>
      <c r="G1365" s="661"/>
      <c r="H1365" s="660"/>
      <c r="I1365" s="691"/>
      <c r="J1365" s="661"/>
      <c r="K1365" s="706"/>
      <c r="L1365" s="665"/>
      <c r="M1365" s="663"/>
      <c r="N1365" s="665"/>
      <c r="O1365" s="665"/>
      <c r="P1365" s="665"/>
      <c r="Q1365" s="665"/>
      <c r="R1365" s="665"/>
      <c r="S1365" s="665"/>
      <c r="T1365" s="673"/>
      <c r="U1365" s="673"/>
      <c r="V1365" s="673"/>
      <c r="W1365" s="673"/>
      <c r="X1365" s="673"/>
      <c r="Y1365" s="673"/>
      <c r="Z1365" s="673"/>
      <c r="AA1365" s="673"/>
      <c r="AB1365" s="673"/>
      <c r="AC1365" s="673"/>
      <c r="AD1365" s="673"/>
      <c r="AE1365" s="673"/>
      <c r="AF1365" s="673"/>
      <c r="AG1365" s="673"/>
      <c r="AH1365" s="673"/>
    </row>
    <row r="1366">
      <c r="A1366" s="653"/>
      <c r="B1366" s="654"/>
      <c r="C1366" s="691"/>
      <c r="D1366" s="661"/>
      <c r="E1366" s="705"/>
      <c r="F1366" s="659"/>
      <c r="G1366" s="661"/>
      <c r="H1366" s="660"/>
      <c r="I1366" s="691"/>
      <c r="J1366" s="661"/>
      <c r="K1366" s="706"/>
      <c r="L1366" s="665"/>
      <c r="M1366" s="663"/>
      <c r="N1366" s="665"/>
      <c r="O1366" s="665"/>
      <c r="P1366" s="665"/>
      <c r="Q1366" s="665"/>
      <c r="R1366" s="665"/>
      <c r="S1366" s="665"/>
      <c r="T1366" s="673"/>
      <c r="U1366" s="673"/>
      <c r="V1366" s="673"/>
      <c r="W1366" s="673"/>
      <c r="X1366" s="673"/>
      <c r="Y1366" s="673"/>
      <c r="Z1366" s="673"/>
      <c r="AA1366" s="673"/>
      <c r="AB1366" s="673"/>
      <c r="AC1366" s="673"/>
      <c r="AD1366" s="673"/>
      <c r="AE1366" s="673"/>
      <c r="AF1366" s="673"/>
      <c r="AG1366" s="673"/>
      <c r="AH1366" s="673"/>
    </row>
    <row r="1367">
      <c r="A1367" s="653"/>
      <c r="B1367" s="654"/>
      <c r="C1367" s="691"/>
      <c r="D1367" s="661"/>
      <c r="E1367" s="705"/>
      <c r="F1367" s="659"/>
      <c r="G1367" s="661"/>
      <c r="H1367" s="660"/>
      <c r="I1367" s="691"/>
      <c r="J1367" s="661"/>
      <c r="K1367" s="706"/>
      <c r="L1367" s="665"/>
      <c r="M1367" s="663"/>
      <c r="N1367" s="665"/>
      <c r="O1367" s="665"/>
      <c r="P1367" s="665"/>
      <c r="Q1367" s="665"/>
      <c r="R1367" s="665"/>
      <c r="S1367" s="665"/>
      <c r="T1367" s="673"/>
      <c r="U1367" s="673"/>
      <c r="V1367" s="673"/>
      <c r="W1367" s="673"/>
      <c r="X1367" s="673"/>
      <c r="Y1367" s="673"/>
      <c r="Z1367" s="673"/>
      <c r="AA1367" s="673"/>
      <c r="AB1367" s="673"/>
      <c r="AC1367" s="673"/>
      <c r="AD1367" s="673"/>
      <c r="AE1367" s="673"/>
      <c r="AF1367" s="673"/>
      <c r="AG1367" s="673"/>
      <c r="AH1367" s="673"/>
    </row>
    <row r="1368">
      <c r="A1368" s="653"/>
      <c r="B1368" s="654"/>
      <c r="C1368" s="691"/>
      <c r="D1368" s="661"/>
      <c r="E1368" s="705"/>
      <c r="F1368" s="659"/>
      <c r="G1368" s="661"/>
      <c r="H1368" s="660"/>
      <c r="I1368" s="691"/>
      <c r="J1368" s="661"/>
      <c r="K1368" s="706"/>
      <c r="L1368" s="665"/>
      <c r="M1368" s="663"/>
      <c r="N1368" s="665"/>
      <c r="O1368" s="665"/>
      <c r="P1368" s="665"/>
      <c r="Q1368" s="665"/>
      <c r="R1368" s="665"/>
      <c r="S1368" s="665"/>
      <c r="T1368" s="673"/>
      <c r="U1368" s="673"/>
      <c r="V1368" s="673"/>
      <c r="W1368" s="673"/>
      <c r="X1368" s="673"/>
      <c r="Y1368" s="673"/>
      <c r="Z1368" s="673"/>
      <c r="AA1368" s="673"/>
      <c r="AB1368" s="673"/>
      <c r="AC1368" s="673"/>
      <c r="AD1368" s="673"/>
      <c r="AE1368" s="673"/>
      <c r="AF1368" s="673"/>
      <c r="AG1368" s="673"/>
      <c r="AH1368" s="673"/>
    </row>
    <row r="1369">
      <c r="A1369" s="653"/>
      <c r="B1369" s="654"/>
      <c r="C1369" s="691"/>
      <c r="D1369" s="661"/>
      <c r="E1369" s="705"/>
      <c r="F1369" s="659"/>
      <c r="G1369" s="661"/>
      <c r="H1369" s="660"/>
      <c r="I1369" s="691"/>
      <c r="J1369" s="661"/>
      <c r="K1369" s="706"/>
      <c r="L1369" s="665"/>
      <c r="M1369" s="663"/>
      <c r="N1369" s="665"/>
      <c r="O1369" s="665"/>
      <c r="P1369" s="665"/>
      <c r="Q1369" s="665"/>
      <c r="R1369" s="665"/>
      <c r="S1369" s="665"/>
      <c r="T1369" s="673"/>
      <c r="U1369" s="673"/>
      <c r="V1369" s="673"/>
      <c r="W1369" s="673"/>
      <c r="X1369" s="673"/>
      <c r="Y1369" s="673"/>
      <c r="Z1369" s="673"/>
      <c r="AA1369" s="673"/>
      <c r="AB1369" s="673"/>
      <c r="AC1369" s="673"/>
      <c r="AD1369" s="673"/>
      <c r="AE1369" s="673"/>
      <c r="AF1369" s="673"/>
      <c r="AG1369" s="673"/>
      <c r="AH1369" s="673"/>
    </row>
    <row r="1370">
      <c r="A1370" s="653"/>
      <c r="B1370" s="654"/>
      <c r="C1370" s="691"/>
      <c r="D1370" s="661"/>
      <c r="E1370" s="705"/>
      <c r="F1370" s="659"/>
      <c r="G1370" s="661"/>
      <c r="H1370" s="660"/>
      <c r="I1370" s="691"/>
      <c r="J1370" s="661"/>
      <c r="K1370" s="706"/>
      <c r="L1370" s="665"/>
      <c r="M1370" s="663"/>
      <c r="N1370" s="665"/>
      <c r="O1370" s="665"/>
      <c r="P1370" s="665"/>
      <c r="Q1370" s="665"/>
      <c r="R1370" s="665"/>
      <c r="S1370" s="665"/>
      <c r="T1370" s="673"/>
      <c r="U1370" s="673"/>
      <c r="V1370" s="673"/>
      <c r="W1370" s="673"/>
      <c r="X1370" s="673"/>
      <c r="Y1370" s="673"/>
      <c r="Z1370" s="673"/>
      <c r="AA1370" s="673"/>
      <c r="AB1370" s="673"/>
      <c r="AC1370" s="673"/>
      <c r="AD1370" s="673"/>
      <c r="AE1370" s="673"/>
      <c r="AF1370" s="673"/>
      <c r="AG1370" s="673"/>
      <c r="AH1370" s="673"/>
    </row>
    <row r="1371">
      <c r="A1371" s="653"/>
      <c r="B1371" s="654"/>
      <c r="C1371" s="691"/>
      <c r="D1371" s="661"/>
      <c r="E1371" s="705"/>
      <c r="F1371" s="659"/>
      <c r="G1371" s="661"/>
      <c r="H1371" s="660"/>
      <c r="I1371" s="691"/>
      <c r="J1371" s="661"/>
      <c r="K1371" s="706"/>
      <c r="L1371" s="665"/>
      <c r="M1371" s="663"/>
      <c r="N1371" s="665"/>
      <c r="O1371" s="665"/>
      <c r="P1371" s="665"/>
      <c r="Q1371" s="665"/>
      <c r="R1371" s="665"/>
      <c r="S1371" s="665"/>
      <c r="T1371" s="673"/>
      <c r="U1371" s="673"/>
      <c r="V1371" s="673"/>
      <c r="W1371" s="673"/>
      <c r="X1371" s="673"/>
      <c r="Y1371" s="673"/>
      <c r="Z1371" s="673"/>
      <c r="AA1371" s="673"/>
      <c r="AB1371" s="673"/>
      <c r="AC1371" s="673"/>
      <c r="AD1371" s="673"/>
      <c r="AE1371" s="673"/>
      <c r="AF1371" s="673"/>
      <c r="AG1371" s="673"/>
      <c r="AH1371" s="673"/>
    </row>
    <row r="1372">
      <c r="A1372" s="653"/>
      <c r="B1372" s="654"/>
      <c r="C1372" s="691"/>
      <c r="D1372" s="661"/>
      <c r="E1372" s="705"/>
      <c r="F1372" s="659"/>
      <c r="G1372" s="661"/>
      <c r="H1372" s="660"/>
      <c r="I1372" s="691"/>
      <c r="J1372" s="661"/>
      <c r="K1372" s="706"/>
      <c r="L1372" s="665"/>
      <c r="M1372" s="663"/>
      <c r="N1372" s="665"/>
      <c r="O1372" s="665"/>
      <c r="P1372" s="665"/>
      <c r="Q1372" s="665"/>
      <c r="R1372" s="665"/>
      <c r="S1372" s="665"/>
      <c r="T1372" s="673"/>
      <c r="U1372" s="673"/>
      <c r="V1372" s="673"/>
      <c r="W1372" s="673"/>
      <c r="X1372" s="673"/>
      <c r="Y1372" s="673"/>
      <c r="Z1372" s="673"/>
      <c r="AA1372" s="673"/>
      <c r="AB1372" s="673"/>
      <c r="AC1372" s="673"/>
      <c r="AD1372" s="673"/>
      <c r="AE1372" s="673"/>
      <c r="AF1372" s="673"/>
      <c r="AG1372" s="673"/>
      <c r="AH1372" s="673"/>
    </row>
    <row r="1373">
      <c r="A1373" s="653"/>
      <c r="B1373" s="654"/>
      <c r="C1373" s="691"/>
      <c r="D1373" s="661"/>
      <c r="E1373" s="705"/>
      <c r="F1373" s="659"/>
      <c r="G1373" s="661"/>
      <c r="H1373" s="660"/>
      <c r="I1373" s="691"/>
      <c r="J1373" s="661"/>
      <c r="K1373" s="706"/>
      <c r="L1373" s="665"/>
      <c r="M1373" s="663"/>
      <c r="N1373" s="665"/>
      <c r="O1373" s="665"/>
      <c r="P1373" s="665"/>
      <c r="Q1373" s="665"/>
      <c r="R1373" s="665"/>
      <c r="S1373" s="665"/>
      <c r="T1373" s="673"/>
      <c r="U1373" s="673"/>
      <c r="V1373" s="673"/>
      <c r="W1373" s="673"/>
      <c r="X1373" s="673"/>
      <c r="Y1373" s="673"/>
      <c r="Z1373" s="673"/>
      <c r="AA1373" s="673"/>
      <c r="AB1373" s="673"/>
      <c r="AC1373" s="673"/>
      <c r="AD1373" s="673"/>
      <c r="AE1373" s="673"/>
      <c r="AF1373" s="673"/>
      <c r="AG1373" s="673"/>
      <c r="AH1373" s="673"/>
    </row>
    <row r="1374">
      <c r="A1374" s="653"/>
      <c r="B1374" s="654"/>
      <c r="C1374" s="691"/>
      <c r="D1374" s="661"/>
      <c r="E1374" s="705"/>
      <c r="F1374" s="659"/>
      <c r="G1374" s="661"/>
      <c r="H1374" s="660"/>
      <c r="I1374" s="691"/>
      <c r="J1374" s="661"/>
      <c r="K1374" s="706"/>
      <c r="L1374" s="665"/>
      <c r="M1374" s="663"/>
      <c r="N1374" s="665"/>
      <c r="O1374" s="665"/>
      <c r="P1374" s="665"/>
      <c r="Q1374" s="665"/>
      <c r="R1374" s="665"/>
      <c r="S1374" s="665"/>
      <c r="T1374" s="673"/>
      <c r="U1374" s="673"/>
      <c r="V1374" s="673"/>
      <c r="W1374" s="673"/>
      <c r="X1374" s="673"/>
      <c r="Y1374" s="673"/>
      <c r="Z1374" s="673"/>
      <c r="AA1374" s="673"/>
      <c r="AB1374" s="673"/>
      <c r="AC1374" s="673"/>
      <c r="AD1374" s="673"/>
      <c r="AE1374" s="673"/>
      <c r="AF1374" s="673"/>
      <c r="AG1374" s="673"/>
      <c r="AH1374" s="673"/>
    </row>
    <row r="1375">
      <c r="A1375" s="653"/>
      <c r="B1375" s="654"/>
      <c r="C1375" s="691"/>
      <c r="D1375" s="661"/>
      <c r="E1375" s="705"/>
      <c r="F1375" s="659"/>
      <c r="G1375" s="661"/>
      <c r="H1375" s="660"/>
      <c r="I1375" s="691"/>
      <c r="J1375" s="661"/>
      <c r="K1375" s="706"/>
      <c r="L1375" s="665"/>
      <c r="M1375" s="663"/>
      <c r="N1375" s="665"/>
      <c r="O1375" s="665"/>
      <c r="P1375" s="665"/>
      <c r="Q1375" s="665"/>
      <c r="R1375" s="665"/>
      <c r="S1375" s="665"/>
      <c r="T1375" s="673"/>
      <c r="U1375" s="673"/>
      <c r="V1375" s="673"/>
      <c r="W1375" s="673"/>
      <c r="X1375" s="673"/>
      <c r="Y1375" s="673"/>
      <c r="Z1375" s="673"/>
      <c r="AA1375" s="673"/>
      <c r="AB1375" s="673"/>
      <c r="AC1375" s="673"/>
      <c r="AD1375" s="673"/>
      <c r="AE1375" s="673"/>
      <c r="AF1375" s="673"/>
      <c r="AG1375" s="673"/>
      <c r="AH1375" s="673"/>
    </row>
    <row r="1376">
      <c r="A1376" s="653"/>
      <c r="B1376" s="654"/>
      <c r="C1376" s="691"/>
      <c r="D1376" s="661"/>
      <c r="E1376" s="705"/>
      <c r="F1376" s="659"/>
      <c r="G1376" s="661"/>
      <c r="H1376" s="660"/>
      <c r="I1376" s="691"/>
      <c r="J1376" s="661"/>
      <c r="K1376" s="706"/>
      <c r="L1376" s="665"/>
      <c r="M1376" s="663"/>
      <c r="N1376" s="665"/>
      <c r="O1376" s="665"/>
      <c r="P1376" s="665"/>
      <c r="Q1376" s="665"/>
      <c r="R1376" s="665"/>
      <c r="S1376" s="665"/>
      <c r="T1376" s="673"/>
      <c r="U1376" s="673"/>
      <c r="V1376" s="673"/>
      <c r="W1376" s="673"/>
      <c r="X1376" s="673"/>
      <c r="Y1376" s="673"/>
      <c r="Z1376" s="673"/>
      <c r="AA1376" s="673"/>
      <c r="AB1376" s="673"/>
      <c r="AC1376" s="673"/>
      <c r="AD1376" s="673"/>
      <c r="AE1376" s="673"/>
      <c r="AF1376" s="673"/>
      <c r="AG1376" s="673"/>
      <c r="AH1376" s="673"/>
    </row>
    <row r="1377">
      <c r="A1377" s="653"/>
      <c r="B1377" s="654"/>
      <c r="C1377" s="691"/>
      <c r="D1377" s="661"/>
      <c r="E1377" s="705"/>
      <c r="F1377" s="659"/>
      <c r="G1377" s="661"/>
      <c r="H1377" s="660"/>
      <c r="I1377" s="691"/>
      <c r="J1377" s="661"/>
      <c r="K1377" s="706"/>
      <c r="L1377" s="665"/>
      <c r="M1377" s="663"/>
      <c r="N1377" s="665"/>
      <c r="O1377" s="665"/>
      <c r="P1377" s="665"/>
      <c r="Q1377" s="665"/>
      <c r="R1377" s="665"/>
      <c r="S1377" s="665"/>
      <c r="T1377" s="673"/>
      <c r="U1377" s="673"/>
      <c r="V1377" s="673"/>
      <c r="W1377" s="673"/>
      <c r="X1377" s="673"/>
      <c r="Y1377" s="673"/>
      <c r="Z1377" s="673"/>
      <c r="AA1377" s="673"/>
      <c r="AB1377" s="673"/>
      <c r="AC1377" s="673"/>
      <c r="AD1377" s="673"/>
      <c r="AE1377" s="673"/>
      <c r="AF1377" s="673"/>
      <c r="AG1377" s="673"/>
      <c r="AH1377" s="673"/>
    </row>
    <row r="1378">
      <c r="A1378" s="653"/>
      <c r="B1378" s="654"/>
      <c r="C1378" s="691"/>
      <c r="D1378" s="661"/>
      <c r="E1378" s="705"/>
      <c r="F1378" s="659"/>
      <c r="G1378" s="661"/>
      <c r="H1378" s="660"/>
      <c r="I1378" s="691"/>
      <c r="J1378" s="661"/>
      <c r="K1378" s="706"/>
      <c r="L1378" s="665"/>
      <c r="M1378" s="663"/>
      <c r="N1378" s="665"/>
      <c r="O1378" s="665"/>
      <c r="P1378" s="665"/>
      <c r="Q1378" s="665"/>
      <c r="R1378" s="665"/>
      <c r="S1378" s="665"/>
      <c r="T1378" s="673"/>
      <c r="U1378" s="673"/>
      <c r="V1378" s="673"/>
      <c r="W1378" s="673"/>
      <c r="X1378" s="673"/>
      <c r="Y1378" s="673"/>
      <c r="Z1378" s="673"/>
      <c r="AA1378" s="673"/>
      <c r="AB1378" s="673"/>
      <c r="AC1378" s="673"/>
      <c r="AD1378" s="673"/>
      <c r="AE1378" s="673"/>
      <c r="AF1378" s="673"/>
      <c r="AG1378" s="673"/>
      <c r="AH1378" s="673"/>
    </row>
    <row r="1379">
      <c r="A1379" s="653"/>
      <c r="B1379" s="654"/>
      <c r="C1379" s="691"/>
      <c r="D1379" s="661"/>
      <c r="E1379" s="705"/>
      <c r="F1379" s="659"/>
      <c r="G1379" s="661"/>
      <c r="H1379" s="660"/>
      <c r="I1379" s="691"/>
      <c r="J1379" s="661"/>
      <c r="K1379" s="706"/>
      <c r="L1379" s="665"/>
      <c r="M1379" s="663"/>
      <c r="N1379" s="665"/>
      <c r="O1379" s="665"/>
      <c r="P1379" s="665"/>
      <c r="Q1379" s="665"/>
      <c r="R1379" s="665"/>
      <c r="S1379" s="665"/>
      <c r="T1379" s="673"/>
      <c r="U1379" s="673"/>
      <c r="V1379" s="673"/>
      <c r="W1379" s="673"/>
      <c r="X1379" s="673"/>
      <c r="Y1379" s="673"/>
      <c r="Z1379" s="673"/>
      <c r="AA1379" s="673"/>
      <c r="AB1379" s="673"/>
      <c r="AC1379" s="673"/>
      <c r="AD1379" s="673"/>
      <c r="AE1379" s="673"/>
      <c r="AF1379" s="673"/>
      <c r="AG1379" s="673"/>
      <c r="AH1379" s="673"/>
    </row>
    <row r="1380">
      <c r="A1380" s="653"/>
      <c r="B1380" s="654"/>
      <c r="C1380" s="691"/>
      <c r="D1380" s="661"/>
      <c r="E1380" s="705"/>
      <c r="F1380" s="659"/>
      <c r="G1380" s="661"/>
      <c r="H1380" s="660"/>
      <c r="I1380" s="691"/>
      <c r="J1380" s="661"/>
      <c r="K1380" s="706"/>
      <c r="L1380" s="665"/>
      <c r="M1380" s="663"/>
      <c r="N1380" s="665"/>
      <c r="O1380" s="665"/>
      <c r="P1380" s="665"/>
      <c r="Q1380" s="665"/>
      <c r="R1380" s="665"/>
      <c r="S1380" s="665"/>
      <c r="T1380" s="673"/>
      <c r="U1380" s="673"/>
      <c r="V1380" s="673"/>
      <c r="W1380" s="673"/>
      <c r="X1380" s="673"/>
      <c r="Y1380" s="673"/>
      <c r="Z1380" s="673"/>
      <c r="AA1380" s="673"/>
      <c r="AB1380" s="673"/>
      <c r="AC1380" s="673"/>
      <c r="AD1380" s="673"/>
      <c r="AE1380" s="673"/>
      <c r="AF1380" s="673"/>
      <c r="AG1380" s="673"/>
      <c r="AH1380" s="673"/>
    </row>
    <row r="1381">
      <c r="A1381" s="653"/>
      <c r="B1381" s="654"/>
      <c r="C1381" s="691"/>
      <c r="D1381" s="661"/>
      <c r="E1381" s="705"/>
      <c r="F1381" s="659"/>
      <c r="G1381" s="661"/>
      <c r="H1381" s="660"/>
      <c r="I1381" s="691"/>
      <c r="J1381" s="661"/>
      <c r="K1381" s="706"/>
      <c r="L1381" s="665"/>
      <c r="M1381" s="663"/>
      <c r="N1381" s="665"/>
      <c r="O1381" s="665"/>
      <c r="P1381" s="665"/>
      <c r="Q1381" s="665"/>
      <c r="R1381" s="665"/>
      <c r="S1381" s="665"/>
      <c r="T1381" s="673"/>
      <c r="U1381" s="673"/>
      <c r="V1381" s="673"/>
      <c r="W1381" s="673"/>
      <c r="X1381" s="673"/>
      <c r="Y1381" s="673"/>
      <c r="Z1381" s="673"/>
      <c r="AA1381" s="673"/>
      <c r="AB1381" s="673"/>
      <c r="AC1381" s="673"/>
      <c r="AD1381" s="673"/>
      <c r="AE1381" s="673"/>
      <c r="AF1381" s="673"/>
      <c r="AG1381" s="673"/>
      <c r="AH1381" s="673"/>
    </row>
    <row r="1382">
      <c r="A1382" s="653"/>
      <c r="B1382" s="654"/>
      <c r="C1382" s="691"/>
      <c r="D1382" s="661"/>
      <c r="E1382" s="705"/>
      <c r="F1382" s="659"/>
      <c r="G1382" s="661"/>
      <c r="H1382" s="660"/>
      <c r="I1382" s="691"/>
      <c r="J1382" s="661"/>
      <c r="K1382" s="706"/>
      <c r="L1382" s="665"/>
      <c r="M1382" s="663"/>
      <c r="N1382" s="665"/>
      <c r="O1382" s="665"/>
      <c r="P1382" s="665"/>
      <c r="Q1382" s="665"/>
      <c r="R1382" s="665"/>
      <c r="S1382" s="665"/>
      <c r="T1382" s="673"/>
      <c r="U1382" s="673"/>
      <c r="V1382" s="673"/>
      <c r="W1382" s="673"/>
      <c r="X1382" s="673"/>
      <c r="Y1382" s="673"/>
      <c r="Z1382" s="673"/>
      <c r="AA1382" s="673"/>
      <c r="AB1382" s="673"/>
      <c r="AC1382" s="673"/>
      <c r="AD1382" s="673"/>
      <c r="AE1382" s="673"/>
      <c r="AF1382" s="673"/>
      <c r="AG1382" s="673"/>
      <c r="AH1382" s="673"/>
    </row>
    <row r="1383">
      <c r="A1383" s="653"/>
      <c r="B1383" s="654"/>
      <c r="C1383" s="691"/>
      <c r="D1383" s="661"/>
      <c r="E1383" s="705"/>
      <c r="F1383" s="659"/>
      <c r="G1383" s="661"/>
      <c r="H1383" s="660"/>
      <c r="I1383" s="691"/>
      <c r="J1383" s="661"/>
      <c r="K1383" s="706"/>
      <c r="L1383" s="665"/>
      <c r="M1383" s="663"/>
      <c r="N1383" s="665"/>
      <c r="O1383" s="665"/>
      <c r="P1383" s="665"/>
      <c r="Q1383" s="665"/>
      <c r="R1383" s="665"/>
      <c r="S1383" s="665"/>
      <c r="T1383" s="673"/>
      <c r="U1383" s="673"/>
      <c r="V1383" s="673"/>
      <c r="W1383" s="673"/>
      <c r="X1383" s="673"/>
      <c r="Y1383" s="673"/>
      <c r="Z1383" s="673"/>
      <c r="AA1383" s="673"/>
      <c r="AB1383" s="673"/>
      <c r="AC1383" s="673"/>
      <c r="AD1383" s="673"/>
      <c r="AE1383" s="673"/>
      <c r="AF1383" s="673"/>
      <c r="AG1383" s="673"/>
      <c r="AH1383" s="673"/>
    </row>
    <row r="1384">
      <c r="A1384" s="653"/>
      <c r="B1384" s="654"/>
      <c r="C1384" s="691"/>
      <c r="D1384" s="661"/>
      <c r="E1384" s="705"/>
      <c r="F1384" s="659"/>
      <c r="G1384" s="661"/>
      <c r="H1384" s="660"/>
      <c r="I1384" s="691"/>
      <c r="J1384" s="661"/>
      <c r="K1384" s="706"/>
      <c r="L1384" s="665"/>
      <c r="M1384" s="663"/>
      <c r="N1384" s="665"/>
      <c r="O1384" s="665"/>
      <c r="P1384" s="665"/>
      <c r="Q1384" s="665"/>
      <c r="R1384" s="665"/>
      <c r="S1384" s="665"/>
      <c r="T1384" s="673"/>
      <c r="U1384" s="673"/>
      <c r="V1384" s="673"/>
      <c r="W1384" s="673"/>
      <c r="X1384" s="673"/>
      <c r="Y1384" s="673"/>
      <c r="Z1384" s="673"/>
      <c r="AA1384" s="673"/>
      <c r="AB1384" s="673"/>
      <c r="AC1384" s="673"/>
      <c r="AD1384" s="673"/>
      <c r="AE1384" s="673"/>
      <c r="AF1384" s="673"/>
      <c r="AG1384" s="673"/>
      <c r="AH1384" s="673"/>
    </row>
    <row r="1385">
      <c r="A1385" s="653"/>
      <c r="B1385" s="654"/>
      <c r="C1385" s="691"/>
      <c r="D1385" s="661"/>
      <c r="E1385" s="705"/>
      <c r="F1385" s="659"/>
      <c r="G1385" s="661"/>
      <c r="H1385" s="660"/>
      <c r="I1385" s="691"/>
      <c r="J1385" s="661"/>
      <c r="K1385" s="706"/>
      <c r="L1385" s="665"/>
      <c r="M1385" s="663"/>
      <c r="N1385" s="665"/>
      <c r="O1385" s="665"/>
      <c r="P1385" s="665"/>
      <c r="Q1385" s="665"/>
      <c r="R1385" s="665"/>
      <c r="S1385" s="665"/>
      <c r="T1385" s="673"/>
      <c r="U1385" s="673"/>
      <c r="V1385" s="673"/>
      <c r="W1385" s="673"/>
      <c r="X1385" s="673"/>
      <c r="Y1385" s="673"/>
      <c r="Z1385" s="673"/>
      <c r="AA1385" s="673"/>
      <c r="AB1385" s="673"/>
      <c r="AC1385" s="673"/>
      <c r="AD1385" s="673"/>
      <c r="AE1385" s="673"/>
      <c r="AF1385" s="673"/>
      <c r="AG1385" s="673"/>
      <c r="AH1385" s="673"/>
    </row>
    <row r="1386">
      <c r="A1386" s="653"/>
      <c r="B1386" s="654"/>
      <c r="C1386" s="691"/>
      <c r="D1386" s="661"/>
      <c r="E1386" s="705"/>
      <c r="F1386" s="659"/>
      <c r="G1386" s="661"/>
      <c r="H1386" s="660"/>
      <c r="I1386" s="691"/>
      <c r="J1386" s="661"/>
      <c r="K1386" s="706"/>
      <c r="L1386" s="665"/>
      <c r="M1386" s="663"/>
      <c r="N1386" s="665"/>
      <c r="O1386" s="665"/>
      <c r="P1386" s="665"/>
      <c r="Q1386" s="665"/>
      <c r="R1386" s="665"/>
      <c r="S1386" s="665"/>
      <c r="T1386" s="673"/>
      <c r="U1386" s="673"/>
      <c r="V1386" s="673"/>
      <c r="W1386" s="673"/>
      <c r="X1386" s="673"/>
      <c r="Y1386" s="673"/>
      <c r="Z1386" s="673"/>
      <c r="AA1386" s="673"/>
      <c r="AB1386" s="673"/>
      <c r="AC1386" s="673"/>
      <c r="AD1386" s="673"/>
      <c r="AE1386" s="673"/>
      <c r="AF1386" s="673"/>
      <c r="AG1386" s="673"/>
      <c r="AH1386" s="673"/>
    </row>
    <row r="1387">
      <c r="A1387" s="653"/>
      <c r="B1387" s="654"/>
      <c r="C1387" s="691"/>
      <c r="D1387" s="661"/>
      <c r="E1387" s="705"/>
      <c r="F1387" s="659"/>
      <c r="G1387" s="661"/>
      <c r="H1387" s="660"/>
      <c r="I1387" s="691"/>
      <c r="J1387" s="661"/>
      <c r="K1387" s="706"/>
      <c r="L1387" s="665"/>
      <c r="M1387" s="663"/>
      <c r="N1387" s="665"/>
      <c r="O1387" s="665"/>
      <c r="P1387" s="665"/>
      <c r="Q1387" s="665"/>
      <c r="R1387" s="665"/>
      <c r="S1387" s="665"/>
      <c r="T1387" s="673"/>
      <c r="U1387" s="673"/>
      <c r="V1387" s="673"/>
      <c r="W1387" s="673"/>
      <c r="X1387" s="673"/>
      <c r="Y1387" s="673"/>
      <c r="Z1387" s="673"/>
      <c r="AA1387" s="673"/>
      <c r="AB1387" s="673"/>
      <c r="AC1387" s="673"/>
      <c r="AD1387" s="673"/>
      <c r="AE1387" s="673"/>
      <c r="AF1387" s="673"/>
      <c r="AG1387" s="673"/>
      <c r="AH1387" s="673"/>
    </row>
    <row r="1388">
      <c r="A1388" s="653"/>
      <c r="B1388" s="654"/>
      <c r="C1388" s="691"/>
      <c r="D1388" s="661"/>
      <c r="E1388" s="705"/>
      <c r="F1388" s="659"/>
      <c r="G1388" s="661"/>
      <c r="H1388" s="660"/>
      <c r="I1388" s="691"/>
      <c r="J1388" s="661"/>
      <c r="K1388" s="706"/>
      <c r="L1388" s="665"/>
      <c r="M1388" s="663"/>
      <c r="N1388" s="665"/>
      <c r="O1388" s="665"/>
      <c r="P1388" s="665"/>
      <c r="Q1388" s="665"/>
      <c r="R1388" s="665"/>
      <c r="S1388" s="665"/>
      <c r="T1388" s="673"/>
      <c r="U1388" s="673"/>
      <c r="V1388" s="673"/>
      <c r="W1388" s="673"/>
      <c r="X1388" s="673"/>
      <c r="Y1388" s="673"/>
      <c r="Z1388" s="673"/>
      <c r="AA1388" s="673"/>
      <c r="AB1388" s="673"/>
      <c r="AC1388" s="673"/>
      <c r="AD1388" s="673"/>
      <c r="AE1388" s="673"/>
      <c r="AF1388" s="673"/>
      <c r="AG1388" s="673"/>
      <c r="AH1388" s="673"/>
    </row>
    <row r="1389">
      <c r="A1389" s="653"/>
      <c r="B1389" s="654"/>
      <c r="C1389" s="691"/>
      <c r="D1389" s="661"/>
      <c r="E1389" s="705"/>
      <c r="F1389" s="659"/>
      <c r="G1389" s="661"/>
      <c r="H1389" s="660"/>
      <c r="I1389" s="691"/>
      <c r="J1389" s="661"/>
      <c r="K1389" s="706"/>
      <c r="L1389" s="665"/>
      <c r="M1389" s="663"/>
      <c r="N1389" s="665"/>
      <c r="O1389" s="665"/>
      <c r="P1389" s="665"/>
      <c r="Q1389" s="665"/>
      <c r="R1389" s="665"/>
      <c r="S1389" s="665"/>
      <c r="T1389" s="673"/>
      <c r="U1389" s="673"/>
      <c r="V1389" s="673"/>
      <c r="W1389" s="673"/>
      <c r="X1389" s="673"/>
      <c r="Y1389" s="673"/>
      <c r="Z1389" s="673"/>
      <c r="AA1389" s="673"/>
      <c r="AB1389" s="673"/>
      <c r="AC1389" s="673"/>
      <c r="AD1389" s="673"/>
      <c r="AE1389" s="673"/>
      <c r="AF1389" s="673"/>
      <c r="AG1389" s="673"/>
      <c r="AH1389" s="673"/>
    </row>
    <row r="1390">
      <c r="A1390" s="653"/>
      <c r="B1390" s="654"/>
      <c r="C1390" s="691"/>
      <c r="D1390" s="661"/>
      <c r="E1390" s="705"/>
      <c r="F1390" s="659"/>
      <c r="G1390" s="661"/>
      <c r="H1390" s="660"/>
      <c r="I1390" s="691"/>
      <c r="J1390" s="661"/>
      <c r="K1390" s="706"/>
      <c r="L1390" s="665"/>
      <c r="M1390" s="663"/>
      <c r="N1390" s="665"/>
      <c r="O1390" s="665"/>
      <c r="P1390" s="665"/>
      <c r="Q1390" s="665"/>
      <c r="R1390" s="665"/>
      <c r="S1390" s="665"/>
      <c r="T1390" s="673"/>
      <c r="U1390" s="673"/>
      <c r="V1390" s="673"/>
      <c r="W1390" s="673"/>
      <c r="X1390" s="673"/>
      <c r="Y1390" s="673"/>
      <c r="Z1390" s="673"/>
      <c r="AA1390" s="673"/>
      <c r="AB1390" s="673"/>
      <c r="AC1390" s="673"/>
      <c r="AD1390" s="673"/>
      <c r="AE1390" s="673"/>
      <c r="AF1390" s="673"/>
      <c r="AG1390" s="673"/>
      <c r="AH1390" s="673"/>
    </row>
    <row r="1391">
      <c r="A1391" s="653"/>
      <c r="B1391" s="654"/>
      <c r="C1391" s="691"/>
      <c r="D1391" s="661"/>
      <c r="E1391" s="705"/>
      <c r="F1391" s="659"/>
      <c r="G1391" s="661"/>
      <c r="H1391" s="660"/>
      <c r="I1391" s="691"/>
      <c r="J1391" s="661"/>
      <c r="K1391" s="706"/>
      <c r="L1391" s="665"/>
      <c r="M1391" s="663"/>
      <c r="N1391" s="665"/>
      <c r="O1391" s="665"/>
      <c r="P1391" s="665"/>
      <c r="Q1391" s="665"/>
      <c r="R1391" s="665"/>
      <c r="S1391" s="665"/>
      <c r="T1391" s="673"/>
      <c r="U1391" s="673"/>
      <c r="V1391" s="673"/>
      <c r="W1391" s="673"/>
      <c r="X1391" s="673"/>
      <c r="Y1391" s="673"/>
      <c r="Z1391" s="673"/>
      <c r="AA1391" s="673"/>
      <c r="AB1391" s="673"/>
      <c r="AC1391" s="673"/>
      <c r="AD1391" s="673"/>
      <c r="AE1391" s="673"/>
      <c r="AF1391" s="673"/>
      <c r="AG1391" s="673"/>
      <c r="AH1391" s="673"/>
    </row>
    <row r="1392">
      <c r="A1392" s="653"/>
      <c r="B1392" s="654"/>
      <c r="C1392" s="691"/>
      <c r="D1392" s="661"/>
      <c r="E1392" s="705"/>
      <c r="F1392" s="659"/>
      <c r="G1392" s="661"/>
      <c r="H1392" s="660"/>
      <c r="I1392" s="691"/>
      <c r="J1392" s="661"/>
      <c r="K1392" s="706"/>
      <c r="L1392" s="665"/>
      <c r="M1392" s="663"/>
      <c r="N1392" s="665"/>
      <c r="O1392" s="665"/>
      <c r="P1392" s="665"/>
      <c r="Q1392" s="665"/>
      <c r="R1392" s="665"/>
      <c r="S1392" s="665"/>
      <c r="T1392" s="673"/>
      <c r="U1392" s="673"/>
      <c r="V1392" s="673"/>
      <c r="W1392" s="673"/>
      <c r="X1392" s="673"/>
      <c r="Y1392" s="673"/>
      <c r="Z1392" s="673"/>
      <c r="AA1392" s="673"/>
      <c r="AB1392" s="673"/>
      <c r="AC1392" s="673"/>
      <c r="AD1392" s="673"/>
      <c r="AE1392" s="673"/>
      <c r="AF1392" s="673"/>
      <c r="AG1392" s="673"/>
      <c r="AH1392" s="673"/>
    </row>
    <row r="1393">
      <c r="A1393" s="653"/>
      <c r="B1393" s="654"/>
      <c r="C1393" s="691"/>
      <c r="D1393" s="661"/>
      <c r="E1393" s="705"/>
      <c r="F1393" s="659"/>
      <c r="G1393" s="661"/>
      <c r="H1393" s="660"/>
      <c r="I1393" s="691"/>
      <c r="J1393" s="661"/>
      <c r="K1393" s="706"/>
      <c r="L1393" s="665"/>
      <c r="M1393" s="663"/>
      <c r="N1393" s="665"/>
      <c r="O1393" s="665"/>
      <c r="P1393" s="665"/>
      <c r="Q1393" s="665"/>
      <c r="R1393" s="665"/>
      <c r="S1393" s="665"/>
      <c r="T1393" s="673"/>
      <c r="U1393" s="673"/>
      <c r="V1393" s="673"/>
      <c r="W1393" s="673"/>
      <c r="X1393" s="673"/>
      <c r="Y1393" s="673"/>
      <c r="Z1393" s="673"/>
      <c r="AA1393" s="673"/>
      <c r="AB1393" s="673"/>
      <c r="AC1393" s="673"/>
      <c r="AD1393" s="673"/>
      <c r="AE1393" s="673"/>
      <c r="AF1393" s="673"/>
      <c r="AG1393" s="673"/>
      <c r="AH1393" s="673"/>
    </row>
    <row r="1394">
      <c r="A1394" s="653"/>
      <c r="B1394" s="654"/>
      <c r="C1394" s="691"/>
      <c r="D1394" s="661"/>
      <c r="E1394" s="705"/>
      <c r="F1394" s="659"/>
      <c r="G1394" s="661"/>
      <c r="H1394" s="660"/>
      <c r="I1394" s="691"/>
      <c r="J1394" s="661"/>
      <c r="K1394" s="706"/>
      <c r="L1394" s="665"/>
      <c r="M1394" s="663"/>
      <c r="N1394" s="665"/>
      <c r="O1394" s="665"/>
      <c r="P1394" s="665"/>
      <c r="Q1394" s="665"/>
      <c r="R1394" s="665"/>
      <c r="S1394" s="665"/>
      <c r="T1394" s="673"/>
      <c r="U1394" s="673"/>
      <c r="V1394" s="673"/>
      <c r="W1394" s="673"/>
      <c r="X1394" s="673"/>
      <c r="Y1394" s="673"/>
      <c r="Z1394" s="673"/>
      <c r="AA1394" s="673"/>
      <c r="AB1394" s="673"/>
      <c r="AC1394" s="673"/>
      <c r="AD1394" s="673"/>
      <c r="AE1394" s="673"/>
      <c r="AF1394" s="673"/>
      <c r="AG1394" s="673"/>
      <c r="AH1394" s="673"/>
    </row>
    <row r="1395">
      <c r="A1395" s="653"/>
      <c r="B1395" s="654"/>
      <c r="C1395" s="691"/>
      <c r="D1395" s="661"/>
      <c r="E1395" s="705"/>
      <c r="F1395" s="659"/>
      <c r="G1395" s="661"/>
      <c r="H1395" s="660"/>
      <c r="I1395" s="691"/>
      <c r="J1395" s="661"/>
      <c r="K1395" s="706"/>
      <c r="L1395" s="665"/>
      <c r="M1395" s="663"/>
      <c r="N1395" s="665"/>
      <c r="O1395" s="665"/>
      <c r="P1395" s="665"/>
      <c r="Q1395" s="665"/>
      <c r="R1395" s="665"/>
      <c r="S1395" s="665"/>
      <c r="T1395" s="673"/>
      <c r="U1395" s="673"/>
      <c r="V1395" s="673"/>
      <c r="W1395" s="673"/>
      <c r="X1395" s="673"/>
      <c r="Y1395" s="673"/>
      <c r="Z1395" s="673"/>
      <c r="AA1395" s="673"/>
      <c r="AB1395" s="673"/>
      <c r="AC1395" s="673"/>
      <c r="AD1395" s="673"/>
      <c r="AE1395" s="673"/>
      <c r="AF1395" s="673"/>
      <c r="AG1395" s="673"/>
      <c r="AH1395" s="673"/>
    </row>
    <row r="1396">
      <c r="A1396" s="653"/>
      <c r="B1396" s="654"/>
      <c r="C1396" s="691"/>
      <c r="D1396" s="661"/>
      <c r="E1396" s="705"/>
      <c r="F1396" s="659"/>
      <c r="G1396" s="661"/>
      <c r="H1396" s="660"/>
      <c r="I1396" s="691"/>
      <c r="J1396" s="661"/>
      <c r="K1396" s="706"/>
      <c r="L1396" s="665"/>
      <c r="M1396" s="663"/>
      <c r="N1396" s="665"/>
      <c r="O1396" s="665"/>
      <c r="P1396" s="665"/>
      <c r="Q1396" s="665"/>
      <c r="R1396" s="665"/>
      <c r="S1396" s="665"/>
      <c r="T1396" s="673"/>
      <c r="U1396" s="673"/>
      <c r="V1396" s="673"/>
      <c r="W1396" s="673"/>
      <c r="X1396" s="673"/>
      <c r="Y1396" s="673"/>
      <c r="Z1396" s="673"/>
      <c r="AA1396" s="673"/>
      <c r="AB1396" s="673"/>
      <c r="AC1396" s="673"/>
      <c r="AD1396" s="673"/>
      <c r="AE1396" s="673"/>
      <c r="AF1396" s="673"/>
      <c r="AG1396" s="673"/>
      <c r="AH1396" s="673"/>
    </row>
    <row r="1397">
      <c r="A1397" s="653"/>
      <c r="B1397" s="654"/>
      <c r="C1397" s="691"/>
      <c r="D1397" s="661"/>
      <c r="E1397" s="705"/>
      <c r="F1397" s="659"/>
      <c r="G1397" s="661"/>
      <c r="H1397" s="660"/>
      <c r="I1397" s="691"/>
      <c r="J1397" s="661"/>
      <c r="K1397" s="706"/>
      <c r="L1397" s="665"/>
      <c r="M1397" s="663"/>
      <c r="N1397" s="665"/>
      <c r="O1397" s="665"/>
      <c r="P1397" s="665"/>
      <c r="Q1397" s="665"/>
      <c r="R1397" s="665"/>
      <c r="S1397" s="665"/>
      <c r="T1397" s="673"/>
      <c r="U1397" s="673"/>
      <c r="V1397" s="673"/>
      <c r="W1397" s="673"/>
      <c r="X1397" s="673"/>
      <c r="Y1397" s="673"/>
      <c r="Z1397" s="673"/>
      <c r="AA1397" s="673"/>
      <c r="AB1397" s="673"/>
      <c r="AC1397" s="673"/>
      <c r="AD1397" s="673"/>
      <c r="AE1397" s="673"/>
      <c r="AF1397" s="673"/>
      <c r="AG1397" s="673"/>
      <c r="AH1397" s="673"/>
    </row>
    <row r="1398">
      <c r="A1398" s="653"/>
      <c r="B1398" s="654"/>
      <c r="C1398" s="691"/>
      <c r="D1398" s="661"/>
      <c r="E1398" s="705"/>
      <c r="F1398" s="659"/>
      <c r="G1398" s="661"/>
      <c r="H1398" s="660"/>
      <c r="I1398" s="691"/>
      <c r="J1398" s="661"/>
      <c r="K1398" s="706"/>
      <c r="L1398" s="665"/>
      <c r="M1398" s="663"/>
      <c r="N1398" s="665"/>
      <c r="O1398" s="665"/>
      <c r="P1398" s="665"/>
      <c r="Q1398" s="665"/>
      <c r="R1398" s="665"/>
      <c r="S1398" s="665"/>
      <c r="T1398" s="673"/>
      <c r="U1398" s="673"/>
      <c r="V1398" s="673"/>
      <c r="W1398" s="673"/>
      <c r="X1398" s="673"/>
      <c r="Y1398" s="673"/>
      <c r="Z1398" s="673"/>
      <c r="AA1398" s="673"/>
      <c r="AB1398" s="673"/>
      <c r="AC1398" s="673"/>
      <c r="AD1398" s="673"/>
      <c r="AE1398" s="673"/>
      <c r="AF1398" s="673"/>
      <c r="AG1398" s="673"/>
      <c r="AH1398" s="673"/>
    </row>
    <row r="1399">
      <c r="A1399" s="653"/>
      <c r="B1399" s="654"/>
      <c r="C1399" s="691"/>
      <c r="D1399" s="661"/>
      <c r="E1399" s="705"/>
      <c r="F1399" s="659"/>
      <c r="G1399" s="661"/>
      <c r="H1399" s="660"/>
      <c r="I1399" s="691"/>
      <c r="J1399" s="661"/>
      <c r="K1399" s="706"/>
      <c r="L1399" s="665"/>
      <c r="M1399" s="663"/>
      <c r="N1399" s="665"/>
      <c r="O1399" s="665"/>
      <c r="P1399" s="665"/>
      <c r="Q1399" s="665"/>
      <c r="R1399" s="665"/>
      <c r="S1399" s="665"/>
      <c r="T1399" s="673"/>
      <c r="U1399" s="673"/>
      <c r="V1399" s="673"/>
      <c r="W1399" s="673"/>
      <c r="X1399" s="673"/>
      <c r="Y1399" s="673"/>
      <c r="Z1399" s="673"/>
      <c r="AA1399" s="673"/>
      <c r="AB1399" s="673"/>
      <c r="AC1399" s="673"/>
      <c r="AD1399" s="673"/>
      <c r="AE1399" s="673"/>
      <c r="AF1399" s="673"/>
      <c r="AG1399" s="673"/>
      <c r="AH1399" s="673"/>
    </row>
    <row r="1400">
      <c r="A1400" s="653"/>
      <c r="B1400" s="654"/>
      <c r="C1400" s="691"/>
      <c r="D1400" s="661"/>
      <c r="E1400" s="705"/>
      <c r="F1400" s="659"/>
      <c r="G1400" s="661"/>
      <c r="H1400" s="660"/>
      <c r="I1400" s="691"/>
      <c r="J1400" s="661"/>
      <c r="K1400" s="706"/>
      <c r="L1400" s="665"/>
      <c r="M1400" s="663"/>
      <c r="N1400" s="665"/>
      <c r="O1400" s="665"/>
      <c r="P1400" s="665"/>
      <c r="Q1400" s="665"/>
      <c r="R1400" s="665"/>
      <c r="S1400" s="665"/>
      <c r="T1400" s="673"/>
      <c r="U1400" s="673"/>
      <c r="V1400" s="673"/>
      <c r="W1400" s="673"/>
      <c r="X1400" s="673"/>
      <c r="Y1400" s="673"/>
      <c r="Z1400" s="673"/>
      <c r="AA1400" s="673"/>
      <c r="AB1400" s="673"/>
      <c r="AC1400" s="673"/>
      <c r="AD1400" s="673"/>
      <c r="AE1400" s="673"/>
      <c r="AF1400" s="673"/>
      <c r="AG1400" s="673"/>
      <c r="AH1400" s="673"/>
    </row>
    <row r="1401">
      <c r="A1401" s="653"/>
      <c r="B1401" s="654"/>
      <c r="C1401" s="691"/>
      <c r="D1401" s="661"/>
      <c r="E1401" s="705"/>
      <c r="F1401" s="659"/>
      <c r="G1401" s="661"/>
      <c r="H1401" s="660"/>
      <c r="I1401" s="691"/>
      <c r="J1401" s="661"/>
      <c r="K1401" s="706"/>
      <c r="L1401" s="665"/>
      <c r="M1401" s="663"/>
      <c r="N1401" s="665"/>
      <c r="O1401" s="665"/>
      <c r="P1401" s="665"/>
      <c r="Q1401" s="665"/>
      <c r="R1401" s="665"/>
      <c r="S1401" s="665"/>
      <c r="T1401" s="673"/>
      <c r="U1401" s="673"/>
      <c r="V1401" s="673"/>
      <c r="W1401" s="673"/>
      <c r="X1401" s="673"/>
      <c r="Y1401" s="673"/>
      <c r="Z1401" s="673"/>
      <c r="AA1401" s="673"/>
      <c r="AB1401" s="673"/>
      <c r="AC1401" s="673"/>
      <c r="AD1401" s="673"/>
      <c r="AE1401" s="673"/>
      <c r="AF1401" s="673"/>
      <c r="AG1401" s="673"/>
      <c r="AH1401" s="673"/>
    </row>
    <row r="1402">
      <c r="A1402" s="653"/>
      <c r="B1402" s="654"/>
      <c r="C1402" s="691"/>
      <c r="D1402" s="661"/>
      <c r="E1402" s="705"/>
      <c r="F1402" s="659"/>
      <c r="G1402" s="661"/>
      <c r="H1402" s="660"/>
      <c r="I1402" s="691"/>
      <c r="J1402" s="661"/>
      <c r="K1402" s="706"/>
      <c r="L1402" s="665"/>
      <c r="M1402" s="663"/>
      <c r="N1402" s="665"/>
      <c r="O1402" s="665"/>
      <c r="P1402" s="665"/>
      <c r="Q1402" s="665"/>
      <c r="R1402" s="665"/>
      <c r="S1402" s="665"/>
      <c r="T1402" s="673"/>
      <c r="U1402" s="673"/>
      <c r="V1402" s="673"/>
      <c r="W1402" s="673"/>
      <c r="X1402" s="673"/>
      <c r="Y1402" s="673"/>
      <c r="Z1402" s="673"/>
      <c r="AA1402" s="673"/>
      <c r="AB1402" s="673"/>
      <c r="AC1402" s="673"/>
      <c r="AD1402" s="673"/>
      <c r="AE1402" s="673"/>
      <c r="AF1402" s="673"/>
      <c r="AG1402" s="673"/>
      <c r="AH1402" s="673"/>
    </row>
    <row r="1403">
      <c r="A1403" s="653"/>
      <c r="B1403" s="654"/>
      <c r="C1403" s="691"/>
      <c r="D1403" s="661"/>
      <c r="E1403" s="705"/>
      <c r="F1403" s="659"/>
      <c r="G1403" s="661"/>
      <c r="H1403" s="660"/>
      <c r="I1403" s="691"/>
      <c r="J1403" s="661"/>
      <c r="K1403" s="706"/>
      <c r="L1403" s="665"/>
      <c r="M1403" s="663"/>
      <c r="N1403" s="665"/>
      <c r="O1403" s="665"/>
      <c r="P1403" s="665"/>
      <c r="Q1403" s="665"/>
      <c r="R1403" s="665"/>
      <c r="S1403" s="665"/>
      <c r="T1403" s="673"/>
      <c r="U1403" s="673"/>
      <c r="V1403" s="673"/>
      <c r="W1403" s="673"/>
      <c r="X1403" s="673"/>
      <c r="Y1403" s="673"/>
      <c r="Z1403" s="673"/>
      <c r="AA1403" s="673"/>
      <c r="AB1403" s="673"/>
      <c r="AC1403" s="673"/>
      <c r="AD1403" s="673"/>
      <c r="AE1403" s="673"/>
      <c r="AF1403" s="673"/>
      <c r="AG1403" s="673"/>
      <c r="AH1403" s="673"/>
    </row>
    <row r="1404">
      <c r="A1404" s="653"/>
      <c r="B1404" s="654"/>
      <c r="C1404" s="691"/>
      <c r="D1404" s="661"/>
      <c r="E1404" s="705"/>
      <c r="F1404" s="659"/>
      <c r="G1404" s="661"/>
      <c r="H1404" s="660"/>
      <c r="I1404" s="691"/>
      <c r="J1404" s="661"/>
      <c r="K1404" s="706"/>
      <c r="L1404" s="665"/>
      <c r="M1404" s="663"/>
      <c r="N1404" s="665"/>
      <c r="O1404" s="665"/>
      <c r="P1404" s="665"/>
      <c r="Q1404" s="665"/>
      <c r="R1404" s="665"/>
      <c r="S1404" s="665"/>
      <c r="T1404" s="673"/>
      <c r="U1404" s="673"/>
      <c r="V1404" s="673"/>
      <c r="W1404" s="673"/>
      <c r="X1404" s="673"/>
      <c r="Y1404" s="673"/>
      <c r="Z1404" s="673"/>
      <c r="AA1404" s="673"/>
      <c r="AB1404" s="673"/>
      <c r="AC1404" s="673"/>
      <c r="AD1404" s="673"/>
      <c r="AE1404" s="673"/>
      <c r="AF1404" s="673"/>
      <c r="AG1404" s="673"/>
      <c r="AH1404" s="673"/>
    </row>
    <row r="1405">
      <c r="A1405" s="653"/>
      <c r="B1405" s="654"/>
      <c r="C1405" s="691"/>
      <c r="D1405" s="661"/>
      <c r="E1405" s="705"/>
      <c r="F1405" s="659"/>
      <c r="G1405" s="661"/>
      <c r="H1405" s="660"/>
      <c r="I1405" s="691"/>
      <c r="J1405" s="661"/>
      <c r="K1405" s="706"/>
      <c r="L1405" s="665"/>
      <c r="M1405" s="663"/>
      <c r="N1405" s="665"/>
      <c r="O1405" s="665"/>
      <c r="P1405" s="665"/>
      <c r="Q1405" s="665"/>
      <c r="R1405" s="665"/>
      <c r="S1405" s="665"/>
      <c r="T1405" s="673"/>
      <c r="U1405" s="673"/>
      <c r="V1405" s="673"/>
      <c r="W1405" s="673"/>
      <c r="X1405" s="673"/>
      <c r="Y1405" s="673"/>
      <c r="Z1405" s="673"/>
      <c r="AA1405" s="673"/>
      <c r="AB1405" s="673"/>
      <c r="AC1405" s="673"/>
      <c r="AD1405" s="673"/>
      <c r="AE1405" s="673"/>
      <c r="AF1405" s="673"/>
      <c r="AG1405" s="673"/>
      <c r="AH1405" s="673"/>
    </row>
    <row r="1406">
      <c r="A1406" s="653"/>
      <c r="B1406" s="654"/>
      <c r="C1406" s="691"/>
      <c r="D1406" s="661"/>
      <c r="E1406" s="705"/>
      <c r="F1406" s="659"/>
      <c r="G1406" s="661"/>
      <c r="H1406" s="660"/>
      <c r="I1406" s="691"/>
      <c r="J1406" s="661"/>
      <c r="K1406" s="706"/>
      <c r="L1406" s="665"/>
      <c r="M1406" s="663"/>
      <c r="N1406" s="665"/>
      <c r="O1406" s="665"/>
      <c r="P1406" s="665"/>
      <c r="Q1406" s="665"/>
      <c r="R1406" s="665"/>
      <c r="S1406" s="665"/>
      <c r="T1406" s="673"/>
      <c r="U1406" s="673"/>
      <c r="V1406" s="673"/>
      <c r="W1406" s="673"/>
      <c r="X1406" s="673"/>
      <c r="Y1406" s="673"/>
      <c r="Z1406" s="673"/>
      <c r="AA1406" s="673"/>
      <c r="AB1406" s="673"/>
      <c r="AC1406" s="673"/>
      <c r="AD1406" s="673"/>
      <c r="AE1406" s="673"/>
      <c r="AF1406" s="673"/>
      <c r="AG1406" s="673"/>
      <c r="AH1406" s="673"/>
    </row>
    <row r="1407">
      <c r="A1407" s="653"/>
      <c r="B1407" s="654"/>
      <c r="C1407" s="691"/>
      <c r="D1407" s="661"/>
      <c r="E1407" s="705"/>
      <c r="F1407" s="659"/>
      <c r="G1407" s="661"/>
      <c r="H1407" s="660"/>
      <c r="I1407" s="691"/>
      <c r="J1407" s="661"/>
      <c r="K1407" s="706"/>
      <c r="L1407" s="665"/>
      <c r="M1407" s="663"/>
      <c r="N1407" s="665"/>
      <c r="O1407" s="665"/>
      <c r="P1407" s="665"/>
      <c r="Q1407" s="665"/>
      <c r="R1407" s="665"/>
      <c r="S1407" s="665"/>
      <c r="T1407" s="673"/>
      <c r="U1407" s="673"/>
      <c r="V1407" s="673"/>
      <c r="W1407" s="673"/>
      <c r="X1407" s="673"/>
      <c r="Y1407" s="673"/>
      <c r="Z1407" s="673"/>
      <c r="AA1407" s="673"/>
      <c r="AB1407" s="673"/>
      <c r="AC1407" s="673"/>
      <c r="AD1407" s="673"/>
      <c r="AE1407" s="673"/>
      <c r="AF1407" s="673"/>
      <c r="AG1407" s="673"/>
      <c r="AH1407" s="673"/>
    </row>
    <row r="1408">
      <c r="A1408" s="653"/>
      <c r="B1408" s="654"/>
      <c r="C1408" s="691"/>
      <c r="D1408" s="661"/>
      <c r="E1408" s="705"/>
      <c r="F1408" s="659"/>
      <c r="G1408" s="661"/>
      <c r="H1408" s="660"/>
      <c r="I1408" s="691"/>
      <c r="J1408" s="661"/>
      <c r="K1408" s="706"/>
      <c r="L1408" s="665"/>
      <c r="M1408" s="663"/>
      <c r="N1408" s="665"/>
      <c r="O1408" s="665"/>
      <c r="P1408" s="665"/>
      <c r="Q1408" s="665"/>
      <c r="R1408" s="665"/>
      <c r="S1408" s="665"/>
      <c r="T1408" s="673"/>
      <c r="U1408" s="673"/>
      <c r="V1408" s="673"/>
      <c r="W1408" s="673"/>
      <c r="X1408" s="673"/>
      <c r="Y1408" s="673"/>
      <c r="Z1408" s="673"/>
      <c r="AA1408" s="673"/>
      <c r="AB1408" s="673"/>
      <c r="AC1408" s="673"/>
      <c r="AD1408" s="673"/>
      <c r="AE1408" s="673"/>
      <c r="AF1408" s="673"/>
      <c r="AG1408" s="673"/>
      <c r="AH1408" s="673"/>
    </row>
    <row r="1409">
      <c r="A1409" s="653"/>
      <c r="B1409" s="654"/>
      <c r="C1409" s="691"/>
      <c r="D1409" s="661"/>
      <c r="E1409" s="705"/>
      <c r="F1409" s="659"/>
      <c r="G1409" s="661"/>
      <c r="H1409" s="660"/>
      <c r="I1409" s="691"/>
      <c r="J1409" s="661"/>
      <c r="K1409" s="706"/>
      <c r="L1409" s="665"/>
      <c r="M1409" s="663"/>
      <c r="N1409" s="665"/>
      <c r="O1409" s="665"/>
      <c r="P1409" s="665"/>
      <c r="Q1409" s="665"/>
      <c r="R1409" s="665"/>
      <c r="S1409" s="665"/>
      <c r="T1409" s="673"/>
      <c r="U1409" s="673"/>
      <c r="V1409" s="673"/>
      <c r="W1409" s="673"/>
      <c r="X1409" s="673"/>
      <c r="Y1409" s="673"/>
      <c r="Z1409" s="673"/>
      <c r="AA1409" s="673"/>
      <c r="AB1409" s="673"/>
      <c r="AC1409" s="673"/>
      <c r="AD1409" s="673"/>
      <c r="AE1409" s="673"/>
      <c r="AF1409" s="673"/>
      <c r="AG1409" s="673"/>
      <c r="AH1409" s="673"/>
    </row>
    <row r="1410">
      <c r="A1410" s="653"/>
      <c r="B1410" s="654"/>
      <c r="C1410" s="691"/>
      <c r="D1410" s="661"/>
      <c r="E1410" s="705"/>
      <c r="F1410" s="659"/>
      <c r="G1410" s="661"/>
      <c r="H1410" s="660"/>
      <c r="I1410" s="691"/>
      <c r="J1410" s="661"/>
      <c r="K1410" s="706"/>
      <c r="L1410" s="665"/>
      <c r="M1410" s="663"/>
      <c r="N1410" s="665"/>
      <c r="O1410" s="665"/>
      <c r="P1410" s="665"/>
      <c r="Q1410" s="665"/>
      <c r="R1410" s="665"/>
      <c r="S1410" s="665"/>
      <c r="T1410" s="673"/>
      <c r="U1410" s="673"/>
      <c r="V1410" s="673"/>
      <c r="W1410" s="673"/>
      <c r="X1410" s="673"/>
      <c r="Y1410" s="673"/>
      <c r="Z1410" s="673"/>
      <c r="AA1410" s="673"/>
      <c r="AB1410" s="673"/>
      <c r="AC1410" s="673"/>
      <c r="AD1410" s="673"/>
      <c r="AE1410" s="673"/>
      <c r="AF1410" s="673"/>
      <c r="AG1410" s="673"/>
      <c r="AH1410" s="673"/>
    </row>
    <row r="1411">
      <c r="A1411" s="653"/>
      <c r="B1411" s="654"/>
      <c r="C1411" s="691"/>
      <c r="D1411" s="661"/>
      <c r="E1411" s="705"/>
      <c r="F1411" s="659"/>
      <c r="G1411" s="661"/>
      <c r="H1411" s="660"/>
      <c r="I1411" s="691"/>
      <c r="J1411" s="661"/>
      <c r="K1411" s="706"/>
      <c r="L1411" s="665"/>
      <c r="M1411" s="663"/>
      <c r="N1411" s="665"/>
      <c r="O1411" s="665"/>
      <c r="P1411" s="665"/>
      <c r="Q1411" s="665"/>
      <c r="R1411" s="665"/>
      <c r="S1411" s="665"/>
      <c r="T1411" s="673"/>
      <c r="U1411" s="673"/>
      <c r="V1411" s="673"/>
      <c r="W1411" s="673"/>
      <c r="X1411" s="673"/>
      <c r="Y1411" s="673"/>
      <c r="Z1411" s="673"/>
      <c r="AA1411" s="673"/>
      <c r="AB1411" s="673"/>
      <c r="AC1411" s="673"/>
      <c r="AD1411" s="673"/>
      <c r="AE1411" s="673"/>
      <c r="AF1411" s="673"/>
      <c r="AG1411" s="673"/>
      <c r="AH1411" s="673"/>
    </row>
    <row r="1412">
      <c r="A1412" s="653"/>
      <c r="B1412" s="654"/>
      <c r="C1412" s="691"/>
      <c r="D1412" s="661"/>
      <c r="E1412" s="705"/>
      <c r="F1412" s="659"/>
      <c r="G1412" s="661"/>
      <c r="H1412" s="660"/>
      <c r="I1412" s="691"/>
      <c r="J1412" s="661"/>
      <c r="K1412" s="706"/>
      <c r="L1412" s="665"/>
      <c r="M1412" s="663"/>
      <c r="N1412" s="665"/>
      <c r="O1412" s="665"/>
      <c r="P1412" s="665"/>
      <c r="Q1412" s="665"/>
      <c r="R1412" s="665"/>
      <c r="S1412" s="665"/>
      <c r="T1412" s="673"/>
      <c r="U1412" s="673"/>
      <c r="V1412" s="673"/>
      <c r="W1412" s="673"/>
      <c r="X1412" s="673"/>
      <c r="Y1412" s="673"/>
      <c r="Z1412" s="673"/>
      <c r="AA1412" s="673"/>
      <c r="AB1412" s="673"/>
      <c r="AC1412" s="673"/>
      <c r="AD1412" s="673"/>
      <c r="AE1412" s="673"/>
      <c r="AF1412" s="673"/>
      <c r="AG1412" s="673"/>
      <c r="AH1412" s="673"/>
    </row>
    <row r="1413">
      <c r="A1413" s="653"/>
      <c r="B1413" s="654"/>
      <c r="C1413" s="691"/>
      <c r="D1413" s="661"/>
      <c r="E1413" s="705"/>
      <c r="F1413" s="659"/>
      <c r="G1413" s="661"/>
      <c r="H1413" s="660"/>
      <c r="I1413" s="691"/>
      <c r="J1413" s="661"/>
      <c r="K1413" s="706"/>
      <c r="L1413" s="665"/>
      <c r="M1413" s="663"/>
      <c r="N1413" s="665"/>
      <c r="O1413" s="665"/>
      <c r="P1413" s="665"/>
      <c r="Q1413" s="665"/>
      <c r="R1413" s="665"/>
      <c r="S1413" s="665"/>
      <c r="T1413" s="673"/>
      <c r="U1413" s="673"/>
      <c r="V1413" s="673"/>
      <c r="W1413" s="673"/>
      <c r="X1413" s="673"/>
      <c r="Y1413" s="673"/>
      <c r="Z1413" s="673"/>
      <c r="AA1413" s="673"/>
      <c r="AB1413" s="673"/>
      <c r="AC1413" s="673"/>
      <c r="AD1413" s="673"/>
      <c r="AE1413" s="673"/>
      <c r="AF1413" s="673"/>
      <c r="AG1413" s="673"/>
      <c r="AH1413" s="673"/>
    </row>
    <row r="1414">
      <c r="A1414" s="653"/>
      <c r="B1414" s="654"/>
      <c r="C1414" s="691"/>
      <c r="D1414" s="661"/>
      <c r="E1414" s="705"/>
      <c r="F1414" s="659"/>
      <c r="G1414" s="661"/>
      <c r="H1414" s="660"/>
      <c r="I1414" s="691"/>
      <c r="J1414" s="661"/>
      <c r="K1414" s="706"/>
      <c r="L1414" s="665"/>
      <c r="M1414" s="663"/>
      <c r="N1414" s="665"/>
      <c r="O1414" s="665"/>
      <c r="P1414" s="665"/>
      <c r="Q1414" s="665"/>
      <c r="R1414" s="665"/>
      <c r="S1414" s="665"/>
      <c r="T1414" s="673"/>
      <c r="U1414" s="673"/>
      <c r="V1414" s="673"/>
      <c r="W1414" s="673"/>
      <c r="X1414" s="673"/>
      <c r="Y1414" s="673"/>
      <c r="Z1414" s="673"/>
      <c r="AA1414" s="673"/>
      <c r="AB1414" s="673"/>
      <c r="AC1414" s="673"/>
      <c r="AD1414" s="673"/>
      <c r="AE1414" s="673"/>
      <c r="AF1414" s="673"/>
      <c r="AG1414" s="673"/>
      <c r="AH1414" s="673"/>
    </row>
    <row r="1415">
      <c r="A1415" s="653"/>
      <c r="B1415" s="654"/>
      <c r="C1415" s="691"/>
      <c r="D1415" s="661"/>
      <c r="E1415" s="705"/>
      <c r="F1415" s="659"/>
      <c r="G1415" s="661"/>
      <c r="H1415" s="660"/>
      <c r="I1415" s="691"/>
      <c r="J1415" s="661"/>
      <c r="K1415" s="706"/>
      <c r="L1415" s="665"/>
      <c r="M1415" s="663"/>
      <c r="N1415" s="665"/>
      <c r="O1415" s="665"/>
      <c r="P1415" s="665"/>
      <c r="Q1415" s="665"/>
      <c r="R1415" s="665"/>
      <c r="S1415" s="665"/>
      <c r="T1415" s="673"/>
      <c r="U1415" s="673"/>
      <c r="V1415" s="673"/>
      <c r="W1415" s="673"/>
      <c r="X1415" s="673"/>
      <c r="Y1415" s="673"/>
      <c r="Z1415" s="673"/>
      <c r="AA1415" s="673"/>
      <c r="AB1415" s="673"/>
      <c r="AC1415" s="673"/>
      <c r="AD1415" s="673"/>
      <c r="AE1415" s="673"/>
      <c r="AF1415" s="673"/>
      <c r="AG1415" s="673"/>
      <c r="AH1415" s="673"/>
    </row>
    <row r="1416">
      <c r="A1416" s="653"/>
      <c r="B1416" s="654"/>
      <c r="C1416" s="691"/>
      <c r="D1416" s="661"/>
      <c r="E1416" s="705"/>
      <c r="F1416" s="659"/>
      <c r="G1416" s="661"/>
      <c r="H1416" s="660"/>
      <c r="I1416" s="691"/>
      <c r="J1416" s="661"/>
      <c r="K1416" s="706"/>
      <c r="L1416" s="665"/>
      <c r="M1416" s="663"/>
      <c r="N1416" s="665"/>
      <c r="O1416" s="665"/>
      <c r="P1416" s="665"/>
      <c r="Q1416" s="665"/>
      <c r="R1416" s="665"/>
      <c r="S1416" s="665"/>
      <c r="T1416" s="673"/>
      <c r="U1416" s="673"/>
      <c r="V1416" s="673"/>
      <c r="W1416" s="673"/>
      <c r="X1416" s="673"/>
      <c r="Y1416" s="673"/>
      <c r="Z1416" s="673"/>
      <c r="AA1416" s="673"/>
      <c r="AB1416" s="673"/>
      <c r="AC1416" s="673"/>
      <c r="AD1416" s="673"/>
      <c r="AE1416" s="673"/>
      <c r="AF1416" s="673"/>
      <c r="AG1416" s="673"/>
      <c r="AH1416" s="673"/>
    </row>
    <row r="1417">
      <c r="A1417" s="653"/>
      <c r="B1417" s="654"/>
      <c r="C1417" s="691"/>
      <c r="D1417" s="661"/>
      <c r="E1417" s="705"/>
      <c r="F1417" s="659"/>
      <c r="G1417" s="661"/>
      <c r="H1417" s="660"/>
      <c r="I1417" s="691"/>
      <c r="J1417" s="661"/>
      <c r="K1417" s="706"/>
      <c r="L1417" s="665"/>
      <c r="M1417" s="663"/>
      <c r="N1417" s="665"/>
      <c r="O1417" s="665"/>
      <c r="P1417" s="665"/>
      <c r="Q1417" s="665"/>
      <c r="R1417" s="665"/>
      <c r="S1417" s="665"/>
      <c r="T1417" s="673"/>
      <c r="U1417" s="673"/>
      <c r="V1417" s="673"/>
      <c r="W1417" s="673"/>
      <c r="X1417" s="673"/>
      <c r="Y1417" s="673"/>
      <c r="Z1417" s="673"/>
      <c r="AA1417" s="673"/>
      <c r="AB1417" s="673"/>
      <c r="AC1417" s="673"/>
      <c r="AD1417" s="673"/>
      <c r="AE1417" s="673"/>
      <c r="AF1417" s="673"/>
      <c r="AG1417" s="673"/>
      <c r="AH1417" s="673"/>
    </row>
    <row r="1418">
      <c r="A1418" s="653"/>
      <c r="B1418" s="654"/>
      <c r="C1418" s="691"/>
      <c r="D1418" s="661"/>
      <c r="E1418" s="705"/>
      <c r="F1418" s="659"/>
      <c r="G1418" s="661"/>
      <c r="H1418" s="660"/>
      <c r="I1418" s="691"/>
      <c r="J1418" s="661"/>
      <c r="K1418" s="706"/>
      <c r="L1418" s="665"/>
      <c r="M1418" s="663"/>
      <c r="N1418" s="665"/>
      <c r="O1418" s="665"/>
      <c r="P1418" s="665"/>
      <c r="Q1418" s="665"/>
      <c r="R1418" s="665"/>
      <c r="S1418" s="665"/>
      <c r="T1418" s="673"/>
      <c r="U1418" s="673"/>
      <c r="V1418" s="673"/>
      <c r="W1418" s="673"/>
      <c r="X1418" s="673"/>
      <c r="Y1418" s="673"/>
      <c r="Z1418" s="673"/>
      <c r="AA1418" s="673"/>
      <c r="AB1418" s="673"/>
      <c r="AC1418" s="673"/>
      <c r="AD1418" s="673"/>
      <c r="AE1418" s="673"/>
      <c r="AF1418" s="673"/>
      <c r="AG1418" s="673"/>
      <c r="AH1418" s="673"/>
    </row>
    <row r="1419">
      <c r="A1419" s="653"/>
      <c r="B1419" s="654"/>
      <c r="C1419" s="691"/>
      <c r="D1419" s="661"/>
      <c r="E1419" s="705"/>
      <c r="F1419" s="659"/>
      <c r="G1419" s="661"/>
      <c r="H1419" s="660"/>
      <c r="I1419" s="691"/>
      <c r="J1419" s="661"/>
      <c r="K1419" s="706"/>
      <c r="L1419" s="665"/>
      <c r="M1419" s="663"/>
      <c r="N1419" s="665"/>
      <c r="O1419" s="665"/>
      <c r="P1419" s="665"/>
      <c r="Q1419" s="665"/>
      <c r="R1419" s="665"/>
      <c r="S1419" s="665"/>
      <c r="T1419" s="673"/>
      <c r="U1419" s="673"/>
      <c r="V1419" s="673"/>
      <c r="W1419" s="673"/>
      <c r="X1419" s="673"/>
      <c r="Y1419" s="673"/>
      <c r="Z1419" s="673"/>
      <c r="AA1419" s="673"/>
      <c r="AB1419" s="673"/>
      <c r="AC1419" s="673"/>
      <c r="AD1419" s="673"/>
      <c r="AE1419" s="673"/>
      <c r="AF1419" s="673"/>
      <c r="AG1419" s="673"/>
      <c r="AH1419" s="673"/>
    </row>
    <row r="1420">
      <c r="A1420" s="653"/>
      <c r="B1420" s="654"/>
      <c r="C1420" s="691"/>
      <c r="D1420" s="661"/>
      <c r="E1420" s="705"/>
      <c r="F1420" s="659"/>
      <c r="G1420" s="661"/>
      <c r="H1420" s="660"/>
      <c r="I1420" s="691"/>
      <c r="J1420" s="661"/>
      <c r="K1420" s="706"/>
      <c r="L1420" s="665"/>
      <c r="M1420" s="663"/>
      <c r="N1420" s="665"/>
      <c r="O1420" s="665"/>
      <c r="P1420" s="665"/>
      <c r="Q1420" s="665"/>
      <c r="R1420" s="665"/>
      <c r="S1420" s="665"/>
      <c r="T1420" s="673"/>
      <c r="U1420" s="673"/>
      <c r="V1420" s="673"/>
      <c r="W1420" s="673"/>
      <c r="X1420" s="673"/>
      <c r="Y1420" s="673"/>
      <c r="Z1420" s="673"/>
      <c r="AA1420" s="673"/>
      <c r="AB1420" s="673"/>
      <c r="AC1420" s="673"/>
      <c r="AD1420" s="673"/>
      <c r="AE1420" s="673"/>
      <c r="AF1420" s="673"/>
      <c r="AG1420" s="673"/>
      <c r="AH1420" s="673"/>
    </row>
    <row r="1421">
      <c r="A1421" s="653"/>
      <c r="B1421" s="654"/>
      <c r="C1421" s="691"/>
      <c r="D1421" s="661"/>
      <c r="E1421" s="705"/>
      <c r="F1421" s="659"/>
      <c r="G1421" s="661"/>
      <c r="H1421" s="660"/>
      <c r="I1421" s="691"/>
      <c r="J1421" s="661"/>
      <c r="K1421" s="706"/>
      <c r="L1421" s="665"/>
      <c r="M1421" s="663"/>
      <c r="N1421" s="665"/>
      <c r="O1421" s="665"/>
      <c r="P1421" s="665"/>
      <c r="Q1421" s="665"/>
      <c r="R1421" s="665"/>
      <c r="S1421" s="665"/>
      <c r="T1421" s="673"/>
      <c r="U1421" s="673"/>
      <c r="V1421" s="673"/>
      <c r="W1421" s="673"/>
      <c r="X1421" s="673"/>
      <c r="Y1421" s="673"/>
      <c r="Z1421" s="673"/>
      <c r="AA1421" s="673"/>
      <c r="AB1421" s="673"/>
      <c r="AC1421" s="673"/>
      <c r="AD1421" s="673"/>
      <c r="AE1421" s="673"/>
      <c r="AF1421" s="673"/>
      <c r="AG1421" s="673"/>
      <c r="AH1421" s="673"/>
    </row>
    <row r="1422">
      <c r="A1422" s="653"/>
      <c r="B1422" s="654"/>
      <c r="C1422" s="691"/>
      <c r="D1422" s="661"/>
      <c r="E1422" s="705"/>
      <c r="F1422" s="659"/>
      <c r="G1422" s="661"/>
      <c r="H1422" s="660"/>
      <c r="I1422" s="691"/>
      <c r="J1422" s="661"/>
      <c r="K1422" s="706"/>
      <c r="L1422" s="665"/>
      <c r="M1422" s="663"/>
      <c r="N1422" s="665"/>
      <c r="O1422" s="665"/>
      <c r="P1422" s="665"/>
      <c r="Q1422" s="665"/>
      <c r="R1422" s="665"/>
      <c r="S1422" s="665"/>
      <c r="T1422" s="673"/>
      <c r="U1422" s="673"/>
      <c r="V1422" s="673"/>
      <c r="W1422" s="673"/>
      <c r="X1422" s="673"/>
      <c r="Y1422" s="673"/>
      <c r="Z1422" s="673"/>
      <c r="AA1422" s="673"/>
      <c r="AB1422" s="673"/>
      <c r="AC1422" s="673"/>
      <c r="AD1422" s="673"/>
      <c r="AE1422" s="673"/>
      <c r="AF1422" s="673"/>
      <c r="AG1422" s="673"/>
      <c r="AH1422" s="673"/>
    </row>
    <row r="1423">
      <c r="A1423" s="653"/>
      <c r="B1423" s="654"/>
      <c r="C1423" s="691"/>
      <c r="D1423" s="661"/>
      <c r="E1423" s="705"/>
      <c r="F1423" s="659"/>
      <c r="G1423" s="661"/>
      <c r="H1423" s="660"/>
      <c r="I1423" s="691"/>
      <c r="J1423" s="661"/>
      <c r="K1423" s="706"/>
      <c r="L1423" s="665"/>
      <c r="M1423" s="663"/>
      <c r="N1423" s="665"/>
      <c r="O1423" s="665"/>
      <c r="P1423" s="665"/>
      <c r="Q1423" s="665"/>
      <c r="R1423" s="665"/>
      <c r="S1423" s="665"/>
      <c r="T1423" s="673"/>
      <c r="U1423" s="673"/>
      <c r="V1423" s="673"/>
      <c r="W1423" s="673"/>
      <c r="X1423" s="673"/>
      <c r="Y1423" s="673"/>
      <c r="Z1423" s="673"/>
      <c r="AA1423" s="673"/>
      <c r="AB1423" s="673"/>
      <c r="AC1423" s="673"/>
      <c r="AD1423" s="673"/>
      <c r="AE1423" s="673"/>
      <c r="AF1423" s="673"/>
      <c r="AG1423" s="673"/>
      <c r="AH1423" s="673"/>
    </row>
    <row r="1424">
      <c r="A1424" s="653"/>
      <c r="B1424" s="654"/>
      <c r="C1424" s="691"/>
      <c r="D1424" s="661"/>
      <c r="E1424" s="705"/>
      <c r="F1424" s="659"/>
      <c r="G1424" s="661"/>
      <c r="H1424" s="660"/>
      <c r="I1424" s="691"/>
      <c r="J1424" s="661"/>
      <c r="K1424" s="706"/>
      <c r="L1424" s="665"/>
      <c r="M1424" s="663"/>
      <c r="N1424" s="665"/>
      <c r="O1424" s="665"/>
      <c r="P1424" s="665"/>
      <c r="Q1424" s="665"/>
      <c r="R1424" s="665"/>
      <c r="S1424" s="665"/>
      <c r="T1424" s="673"/>
      <c r="U1424" s="673"/>
      <c r="V1424" s="673"/>
      <c r="W1424" s="673"/>
      <c r="X1424" s="673"/>
      <c r="Y1424" s="673"/>
      <c r="Z1424" s="673"/>
      <c r="AA1424" s="673"/>
      <c r="AB1424" s="673"/>
      <c r="AC1424" s="673"/>
      <c r="AD1424" s="673"/>
      <c r="AE1424" s="673"/>
      <c r="AF1424" s="673"/>
      <c r="AG1424" s="673"/>
      <c r="AH1424" s="673"/>
    </row>
    <row r="1425">
      <c r="A1425" s="653"/>
      <c r="B1425" s="654"/>
      <c r="C1425" s="691"/>
      <c r="D1425" s="661"/>
      <c r="E1425" s="705"/>
      <c r="F1425" s="659"/>
      <c r="G1425" s="661"/>
      <c r="H1425" s="660"/>
      <c r="I1425" s="691"/>
      <c r="J1425" s="661"/>
      <c r="K1425" s="706"/>
      <c r="L1425" s="665"/>
      <c r="M1425" s="663"/>
      <c r="N1425" s="665"/>
      <c r="O1425" s="665"/>
      <c r="P1425" s="665"/>
      <c r="Q1425" s="665"/>
      <c r="R1425" s="665"/>
      <c r="S1425" s="665"/>
      <c r="T1425" s="673"/>
      <c r="U1425" s="673"/>
      <c r="V1425" s="673"/>
      <c r="W1425" s="673"/>
      <c r="X1425" s="673"/>
      <c r="Y1425" s="673"/>
      <c r="Z1425" s="673"/>
      <c r="AA1425" s="673"/>
      <c r="AB1425" s="673"/>
      <c r="AC1425" s="673"/>
      <c r="AD1425" s="673"/>
      <c r="AE1425" s="673"/>
      <c r="AF1425" s="673"/>
      <c r="AG1425" s="673"/>
      <c r="AH1425" s="673"/>
    </row>
    <row r="1426">
      <c r="A1426" s="653"/>
      <c r="B1426" s="654"/>
      <c r="C1426" s="691"/>
      <c r="D1426" s="661"/>
      <c r="E1426" s="705"/>
      <c r="F1426" s="659"/>
      <c r="G1426" s="661"/>
      <c r="H1426" s="660"/>
      <c r="I1426" s="691"/>
      <c r="J1426" s="661"/>
      <c r="K1426" s="706"/>
      <c r="L1426" s="665"/>
      <c r="M1426" s="663"/>
      <c r="N1426" s="665"/>
      <c r="O1426" s="665"/>
      <c r="P1426" s="665"/>
      <c r="Q1426" s="665"/>
      <c r="R1426" s="665"/>
      <c r="S1426" s="665"/>
      <c r="T1426" s="673"/>
      <c r="U1426" s="673"/>
      <c r="V1426" s="673"/>
      <c r="W1426" s="673"/>
      <c r="X1426" s="673"/>
      <c r="Y1426" s="673"/>
      <c r="Z1426" s="673"/>
      <c r="AA1426" s="673"/>
      <c r="AB1426" s="673"/>
      <c r="AC1426" s="673"/>
      <c r="AD1426" s="673"/>
      <c r="AE1426" s="673"/>
      <c r="AF1426" s="673"/>
      <c r="AG1426" s="673"/>
      <c r="AH1426" s="673"/>
    </row>
    <row r="1427">
      <c r="A1427" s="653"/>
      <c r="B1427" s="654"/>
      <c r="C1427" s="691"/>
      <c r="D1427" s="661"/>
      <c r="E1427" s="705"/>
      <c r="F1427" s="659"/>
      <c r="G1427" s="661"/>
      <c r="H1427" s="660"/>
      <c r="I1427" s="691"/>
      <c r="J1427" s="661"/>
      <c r="K1427" s="706"/>
      <c r="L1427" s="665"/>
      <c r="M1427" s="663"/>
      <c r="N1427" s="665"/>
      <c r="O1427" s="665"/>
      <c r="P1427" s="665"/>
      <c r="Q1427" s="665"/>
      <c r="R1427" s="665"/>
      <c r="S1427" s="665"/>
      <c r="T1427" s="673"/>
      <c r="U1427" s="673"/>
      <c r="V1427" s="673"/>
      <c r="W1427" s="673"/>
      <c r="X1427" s="673"/>
      <c r="Y1427" s="673"/>
      <c r="Z1427" s="673"/>
      <c r="AA1427" s="673"/>
      <c r="AB1427" s="673"/>
      <c r="AC1427" s="673"/>
      <c r="AD1427" s="673"/>
      <c r="AE1427" s="673"/>
      <c r="AF1427" s="673"/>
      <c r="AG1427" s="673"/>
      <c r="AH1427" s="673"/>
    </row>
    <row r="1428">
      <c r="A1428" s="653"/>
      <c r="B1428" s="654"/>
      <c r="C1428" s="691"/>
      <c r="D1428" s="661"/>
      <c r="E1428" s="705"/>
      <c r="F1428" s="659"/>
      <c r="G1428" s="661"/>
      <c r="H1428" s="660"/>
      <c r="I1428" s="691"/>
      <c r="J1428" s="661"/>
      <c r="K1428" s="706"/>
      <c r="L1428" s="665"/>
      <c r="M1428" s="663"/>
      <c r="N1428" s="665"/>
      <c r="O1428" s="665"/>
      <c r="P1428" s="665"/>
      <c r="Q1428" s="665"/>
      <c r="R1428" s="665"/>
      <c r="S1428" s="665"/>
      <c r="T1428" s="673"/>
      <c r="U1428" s="673"/>
      <c r="V1428" s="673"/>
      <c r="W1428" s="673"/>
      <c r="X1428" s="673"/>
      <c r="Y1428" s="673"/>
      <c r="Z1428" s="673"/>
      <c r="AA1428" s="673"/>
      <c r="AB1428" s="673"/>
      <c r="AC1428" s="673"/>
      <c r="AD1428" s="673"/>
      <c r="AE1428" s="673"/>
      <c r="AF1428" s="673"/>
      <c r="AG1428" s="673"/>
      <c r="AH1428" s="673"/>
    </row>
    <row r="1429">
      <c r="A1429" s="653"/>
      <c r="B1429" s="654"/>
      <c r="C1429" s="691"/>
      <c r="D1429" s="661"/>
      <c r="E1429" s="705"/>
      <c r="F1429" s="659"/>
      <c r="G1429" s="661"/>
      <c r="H1429" s="660"/>
      <c r="I1429" s="691"/>
      <c r="J1429" s="661"/>
      <c r="K1429" s="706"/>
      <c r="L1429" s="665"/>
      <c r="M1429" s="663"/>
      <c r="N1429" s="665"/>
      <c r="O1429" s="665"/>
      <c r="P1429" s="665"/>
      <c r="Q1429" s="665"/>
      <c r="R1429" s="665"/>
      <c r="S1429" s="665"/>
      <c r="T1429" s="673"/>
      <c r="U1429" s="673"/>
      <c r="V1429" s="673"/>
      <c r="W1429" s="673"/>
      <c r="X1429" s="673"/>
      <c r="Y1429" s="673"/>
      <c r="Z1429" s="673"/>
      <c r="AA1429" s="673"/>
      <c r="AB1429" s="673"/>
      <c r="AC1429" s="673"/>
      <c r="AD1429" s="673"/>
      <c r="AE1429" s="673"/>
      <c r="AF1429" s="673"/>
      <c r="AG1429" s="673"/>
      <c r="AH1429" s="673"/>
    </row>
    <row r="1430">
      <c r="A1430" s="653"/>
      <c r="B1430" s="654"/>
      <c r="C1430" s="691"/>
      <c r="D1430" s="661"/>
      <c r="E1430" s="705"/>
      <c r="F1430" s="659"/>
      <c r="G1430" s="661"/>
      <c r="H1430" s="660"/>
      <c r="I1430" s="691"/>
      <c r="J1430" s="661"/>
      <c r="K1430" s="706"/>
      <c r="L1430" s="665"/>
      <c r="M1430" s="663"/>
      <c r="N1430" s="665"/>
      <c r="O1430" s="665"/>
      <c r="P1430" s="665"/>
      <c r="Q1430" s="665"/>
      <c r="R1430" s="665"/>
      <c r="S1430" s="665"/>
      <c r="T1430" s="673"/>
      <c r="U1430" s="673"/>
      <c r="V1430" s="673"/>
      <c r="W1430" s="673"/>
      <c r="X1430" s="673"/>
      <c r="Y1430" s="673"/>
      <c r="Z1430" s="673"/>
      <c r="AA1430" s="673"/>
      <c r="AB1430" s="673"/>
      <c r="AC1430" s="673"/>
      <c r="AD1430" s="673"/>
      <c r="AE1430" s="673"/>
      <c r="AF1430" s="673"/>
      <c r="AG1430" s="673"/>
      <c r="AH1430" s="673"/>
    </row>
    <row r="1431">
      <c r="A1431" s="653"/>
      <c r="B1431" s="654"/>
      <c r="C1431" s="691"/>
      <c r="D1431" s="661"/>
      <c r="E1431" s="705"/>
      <c r="F1431" s="659"/>
      <c r="G1431" s="661"/>
      <c r="H1431" s="660"/>
      <c r="I1431" s="691"/>
      <c r="J1431" s="661"/>
      <c r="K1431" s="706"/>
      <c r="L1431" s="665"/>
      <c r="M1431" s="663"/>
      <c r="N1431" s="665"/>
      <c r="O1431" s="665"/>
      <c r="P1431" s="665"/>
      <c r="Q1431" s="665"/>
      <c r="R1431" s="665"/>
      <c r="S1431" s="665"/>
      <c r="T1431" s="673"/>
      <c r="U1431" s="673"/>
      <c r="V1431" s="673"/>
      <c r="W1431" s="673"/>
      <c r="X1431" s="673"/>
      <c r="Y1431" s="673"/>
      <c r="Z1431" s="673"/>
      <c r="AA1431" s="673"/>
      <c r="AB1431" s="673"/>
      <c r="AC1431" s="673"/>
      <c r="AD1431" s="673"/>
      <c r="AE1431" s="673"/>
      <c r="AF1431" s="673"/>
      <c r="AG1431" s="673"/>
      <c r="AH1431" s="673"/>
    </row>
    <row r="1432">
      <c r="A1432" s="653"/>
      <c r="B1432" s="654"/>
      <c r="C1432" s="691"/>
      <c r="D1432" s="661"/>
      <c r="E1432" s="705"/>
      <c r="F1432" s="659"/>
      <c r="G1432" s="661"/>
      <c r="H1432" s="660"/>
      <c r="I1432" s="691"/>
      <c r="J1432" s="661"/>
      <c r="K1432" s="706"/>
      <c r="L1432" s="665"/>
      <c r="M1432" s="663"/>
      <c r="N1432" s="665"/>
      <c r="O1432" s="665"/>
      <c r="P1432" s="665"/>
      <c r="Q1432" s="665"/>
      <c r="R1432" s="665"/>
      <c r="S1432" s="665"/>
      <c r="T1432" s="673"/>
      <c r="U1432" s="673"/>
      <c r="V1432" s="673"/>
      <c r="W1432" s="673"/>
      <c r="X1432" s="673"/>
      <c r="Y1432" s="673"/>
      <c r="Z1432" s="673"/>
      <c r="AA1432" s="673"/>
      <c r="AB1432" s="673"/>
      <c r="AC1432" s="673"/>
      <c r="AD1432" s="673"/>
      <c r="AE1432" s="673"/>
      <c r="AF1432" s="673"/>
      <c r="AG1432" s="673"/>
      <c r="AH1432" s="673"/>
    </row>
    <row r="1433">
      <c r="A1433" s="653"/>
      <c r="B1433" s="654"/>
      <c r="C1433" s="691"/>
      <c r="D1433" s="661"/>
      <c r="E1433" s="705"/>
      <c r="F1433" s="659"/>
      <c r="G1433" s="661"/>
      <c r="H1433" s="660"/>
      <c r="I1433" s="691"/>
      <c r="J1433" s="661"/>
      <c r="K1433" s="706"/>
      <c r="L1433" s="665"/>
      <c r="M1433" s="663"/>
      <c r="N1433" s="665"/>
      <c r="O1433" s="665"/>
      <c r="P1433" s="665"/>
      <c r="Q1433" s="665"/>
      <c r="R1433" s="665"/>
      <c r="S1433" s="665"/>
      <c r="T1433" s="673"/>
      <c r="U1433" s="673"/>
      <c r="V1433" s="673"/>
      <c r="W1433" s="673"/>
      <c r="X1433" s="673"/>
      <c r="Y1433" s="673"/>
      <c r="Z1433" s="673"/>
      <c r="AA1433" s="673"/>
      <c r="AB1433" s="673"/>
      <c r="AC1433" s="673"/>
      <c r="AD1433" s="673"/>
      <c r="AE1433" s="673"/>
      <c r="AF1433" s="673"/>
      <c r="AG1433" s="673"/>
      <c r="AH1433" s="673"/>
    </row>
    <row r="1434">
      <c r="A1434" s="653"/>
      <c r="B1434" s="654"/>
      <c r="C1434" s="691"/>
      <c r="D1434" s="661"/>
      <c r="E1434" s="705"/>
      <c r="F1434" s="659"/>
      <c r="G1434" s="661"/>
      <c r="H1434" s="660"/>
      <c r="I1434" s="691"/>
      <c r="J1434" s="661"/>
      <c r="K1434" s="706"/>
      <c r="L1434" s="665"/>
      <c r="M1434" s="663"/>
      <c r="N1434" s="665"/>
      <c r="O1434" s="665"/>
      <c r="P1434" s="665"/>
      <c r="Q1434" s="665"/>
      <c r="R1434" s="665"/>
      <c r="S1434" s="665"/>
      <c r="T1434" s="673"/>
      <c r="U1434" s="673"/>
      <c r="V1434" s="673"/>
      <c r="W1434" s="673"/>
      <c r="X1434" s="673"/>
      <c r="Y1434" s="673"/>
      <c r="Z1434" s="673"/>
      <c r="AA1434" s="673"/>
      <c r="AB1434" s="673"/>
      <c r="AC1434" s="673"/>
      <c r="AD1434" s="673"/>
      <c r="AE1434" s="673"/>
      <c r="AF1434" s="673"/>
      <c r="AG1434" s="673"/>
      <c r="AH1434" s="673"/>
    </row>
    <row r="1435">
      <c r="A1435" s="653"/>
      <c r="B1435" s="654"/>
      <c r="C1435" s="691"/>
      <c r="D1435" s="661"/>
      <c r="E1435" s="705"/>
      <c r="F1435" s="659"/>
      <c r="G1435" s="661"/>
      <c r="H1435" s="660"/>
      <c r="I1435" s="691"/>
      <c r="J1435" s="661"/>
      <c r="K1435" s="706"/>
      <c r="L1435" s="665"/>
      <c r="M1435" s="663"/>
      <c r="N1435" s="665"/>
      <c r="O1435" s="665"/>
      <c r="P1435" s="665"/>
      <c r="Q1435" s="665"/>
      <c r="R1435" s="665"/>
      <c r="S1435" s="665"/>
      <c r="T1435" s="673"/>
      <c r="U1435" s="673"/>
      <c r="V1435" s="673"/>
      <c r="W1435" s="673"/>
      <c r="X1435" s="673"/>
      <c r="Y1435" s="673"/>
      <c r="Z1435" s="673"/>
      <c r="AA1435" s="673"/>
      <c r="AB1435" s="673"/>
      <c r="AC1435" s="673"/>
      <c r="AD1435" s="673"/>
      <c r="AE1435" s="673"/>
      <c r="AF1435" s="673"/>
      <c r="AG1435" s="673"/>
      <c r="AH1435" s="673"/>
    </row>
    <row r="1436">
      <c r="A1436" s="653"/>
      <c r="B1436" s="654"/>
      <c r="C1436" s="691"/>
      <c r="D1436" s="661"/>
      <c r="E1436" s="705"/>
      <c r="F1436" s="659"/>
      <c r="G1436" s="661"/>
      <c r="H1436" s="660"/>
      <c r="I1436" s="691"/>
      <c r="J1436" s="661"/>
      <c r="K1436" s="706"/>
      <c r="L1436" s="665"/>
      <c r="M1436" s="663"/>
      <c r="N1436" s="665"/>
      <c r="O1436" s="665"/>
      <c r="P1436" s="665"/>
      <c r="Q1436" s="665"/>
      <c r="R1436" s="665"/>
      <c r="S1436" s="665"/>
      <c r="T1436" s="673"/>
      <c r="U1436" s="673"/>
      <c r="V1436" s="673"/>
      <c r="W1436" s="673"/>
      <c r="X1436" s="673"/>
      <c r="Y1436" s="673"/>
      <c r="Z1436" s="673"/>
      <c r="AA1436" s="673"/>
      <c r="AB1436" s="673"/>
      <c r="AC1436" s="673"/>
      <c r="AD1436" s="673"/>
      <c r="AE1436" s="673"/>
      <c r="AF1436" s="673"/>
      <c r="AG1436" s="673"/>
      <c r="AH1436" s="673"/>
    </row>
    <row r="1437">
      <c r="A1437" s="653"/>
      <c r="B1437" s="654"/>
      <c r="C1437" s="691"/>
      <c r="D1437" s="661"/>
      <c r="E1437" s="705"/>
      <c r="F1437" s="659"/>
      <c r="G1437" s="661"/>
      <c r="H1437" s="660"/>
      <c r="I1437" s="691"/>
      <c r="J1437" s="661"/>
      <c r="K1437" s="706"/>
      <c r="L1437" s="665"/>
      <c r="M1437" s="663"/>
      <c r="N1437" s="665"/>
      <c r="O1437" s="665"/>
      <c r="P1437" s="665"/>
      <c r="Q1437" s="665"/>
      <c r="R1437" s="665"/>
      <c r="S1437" s="665"/>
      <c r="T1437" s="673"/>
      <c r="U1437" s="673"/>
      <c r="V1437" s="673"/>
      <c r="W1437" s="673"/>
      <c r="X1437" s="673"/>
      <c r="Y1437" s="673"/>
      <c r="Z1437" s="673"/>
      <c r="AA1437" s="673"/>
      <c r="AB1437" s="673"/>
      <c r="AC1437" s="673"/>
      <c r="AD1437" s="673"/>
      <c r="AE1437" s="673"/>
      <c r="AF1437" s="673"/>
      <c r="AG1437" s="673"/>
      <c r="AH1437" s="673"/>
    </row>
    <row r="1438">
      <c r="A1438" s="653"/>
      <c r="B1438" s="654"/>
      <c r="C1438" s="691"/>
      <c r="D1438" s="661"/>
      <c r="E1438" s="705"/>
      <c r="F1438" s="659"/>
      <c r="G1438" s="661"/>
      <c r="H1438" s="660"/>
      <c r="I1438" s="691"/>
      <c r="J1438" s="661"/>
      <c r="K1438" s="706"/>
      <c r="L1438" s="665"/>
      <c r="M1438" s="663"/>
      <c r="N1438" s="665"/>
      <c r="O1438" s="665"/>
      <c r="P1438" s="665"/>
      <c r="Q1438" s="665"/>
      <c r="R1438" s="665"/>
      <c r="S1438" s="665"/>
      <c r="T1438" s="673"/>
      <c r="U1438" s="673"/>
      <c r="V1438" s="673"/>
      <c r="W1438" s="673"/>
      <c r="X1438" s="673"/>
      <c r="Y1438" s="673"/>
      <c r="Z1438" s="673"/>
      <c r="AA1438" s="673"/>
      <c r="AB1438" s="673"/>
      <c r="AC1438" s="673"/>
      <c r="AD1438" s="673"/>
      <c r="AE1438" s="673"/>
      <c r="AF1438" s="673"/>
      <c r="AG1438" s="673"/>
      <c r="AH1438" s="673"/>
    </row>
    <row r="1439">
      <c r="A1439" s="653"/>
      <c r="B1439" s="654"/>
      <c r="C1439" s="691"/>
      <c r="D1439" s="661"/>
      <c r="E1439" s="705"/>
      <c r="F1439" s="659"/>
      <c r="G1439" s="661"/>
      <c r="H1439" s="660"/>
      <c r="I1439" s="691"/>
      <c r="J1439" s="661"/>
      <c r="K1439" s="706"/>
      <c r="L1439" s="665"/>
      <c r="M1439" s="663"/>
      <c r="N1439" s="665"/>
      <c r="O1439" s="665"/>
      <c r="P1439" s="665"/>
      <c r="Q1439" s="665"/>
      <c r="R1439" s="665"/>
      <c r="S1439" s="665"/>
      <c r="T1439" s="673"/>
      <c r="U1439" s="673"/>
      <c r="V1439" s="673"/>
      <c r="W1439" s="673"/>
      <c r="X1439" s="673"/>
      <c r="Y1439" s="673"/>
      <c r="Z1439" s="673"/>
      <c r="AA1439" s="673"/>
      <c r="AB1439" s="673"/>
      <c r="AC1439" s="673"/>
      <c r="AD1439" s="673"/>
      <c r="AE1439" s="673"/>
      <c r="AF1439" s="673"/>
      <c r="AG1439" s="673"/>
      <c r="AH1439" s="673"/>
    </row>
    <row r="1440">
      <c r="A1440" s="653"/>
      <c r="B1440" s="654"/>
      <c r="C1440" s="691"/>
      <c r="D1440" s="661"/>
      <c r="E1440" s="705"/>
      <c r="F1440" s="659"/>
      <c r="G1440" s="661"/>
      <c r="H1440" s="660"/>
      <c r="I1440" s="691"/>
      <c r="J1440" s="661"/>
      <c r="K1440" s="706"/>
      <c r="L1440" s="665"/>
      <c r="M1440" s="663"/>
      <c r="N1440" s="665"/>
      <c r="O1440" s="665"/>
      <c r="P1440" s="665"/>
      <c r="Q1440" s="665"/>
      <c r="R1440" s="665"/>
      <c r="S1440" s="665"/>
      <c r="T1440" s="673"/>
      <c r="U1440" s="673"/>
      <c r="V1440" s="673"/>
      <c r="W1440" s="673"/>
      <c r="X1440" s="673"/>
      <c r="Y1440" s="673"/>
      <c r="Z1440" s="673"/>
      <c r="AA1440" s="673"/>
      <c r="AB1440" s="673"/>
      <c r="AC1440" s="673"/>
      <c r="AD1440" s="673"/>
      <c r="AE1440" s="673"/>
      <c r="AF1440" s="673"/>
      <c r="AG1440" s="673"/>
      <c r="AH1440" s="673"/>
    </row>
    <row r="1441">
      <c r="A1441" s="653"/>
      <c r="B1441" s="654"/>
      <c r="C1441" s="691"/>
      <c r="D1441" s="661"/>
      <c r="E1441" s="705"/>
      <c r="F1441" s="659"/>
      <c r="G1441" s="661"/>
      <c r="H1441" s="660"/>
      <c r="I1441" s="691"/>
      <c r="J1441" s="661"/>
      <c r="K1441" s="706"/>
      <c r="L1441" s="665"/>
      <c r="M1441" s="663"/>
      <c r="N1441" s="665"/>
      <c r="O1441" s="665"/>
      <c r="P1441" s="665"/>
      <c r="Q1441" s="665"/>
      <c r="R1441" s="665"/>
      <c r="S1441" s="665"/>
      <c r="T1441" s="673"/>
      <c r="U1441" s="673"/>
      <c r="V1441" s="673"/>
      <c r="W1441" s="673"/>
      <c r="X1441" s="673"/>
      <c r="Y1441" s="673"/>
      <c r="Z1441" s="673"/>
      <c r="AA1441" s="673"/>
      <c r="AB1441" s="673"/>
      <c r="AC1441" s="673"/>
      <c r="AD1441" s="673"/>
      <c r="AE1441" s="673"/>
      <c r="AF1441" s="673"/>
      <c r="AG1441" s="673"/>
      <c r="AH1441" s="673"/>
    </row>
    <row r="1442">
      <c r="A1442" s="653"/>
      <c r="B1442" s="654"/>
      <c r="C1442" s="691"/>
      <c r="D1442" s="661"/>
      <c r="E1442" s="705"/>
      <c r="F1442" s="659"/>
      <c r="G1442" s="661"/>
      <c r="H1442" s="660"/>
      <c r="I1442" s="691"/>
      <c r="J1442" s="661"/>
      <c r="K1442" s="706"/>
      <c r="L1442" s="665"/>
      <c r="M1442" s="663"/>
      <c r="N1442" s="665"/>
      <c r="O1442" s="665"/>
      <c r="P1442" s="665"/>
      <c r="Q1442" s="665"/>
      <c r="R1442" s="665"/>
      <c r="S1442" s="665"/>
      <c r="T1442" s="673"/>
      <c r="U1442" s="673"/>
      <c r="V1442" s="673"/>
      <c r="W1442" s="673"/>
      <c r="X1442" s="673"/>
      <c r="Y1442" s="673"/>
      <c r="Z1442" s="673"/>
      <c r="AA1442" s="673"/>
      <c r="AB1442" s="673"/>
      <c r="AC1442" s="673"/>
      <c r="AD1442" s="673"/>
      <c r="AE1442" s="673"/>
      <c r="AF1442" s="673"/>
      <c r="AG1442" s="673"/>
      <c r="AH1442" s="673"/>
    </row>
    <row r="1443">
      <c r="A1443" s="653"/>
      <c r="B1443" s="654"/>
      <c r="C1443" s="691"/>
      <c r="D1443" s="661"/>
      <c r="E1443" s="705"/>
      <c r="F1443" s="659"/>
      <c r="G1443" s="661"/>
      <c r="H1443" s="660"/>
      <c r="I1443" s="691"/>
      <c r="J1443" s="661"/>
      <c r="K1443" s="706"/>
      <c r="L1443" s="665"/>
      <c r="M1443" s="663"/>
      <c r="N1443" s="665"/>
      <c r="O1443" s="665"/>
      <c r="P1443" s="665"/>
      <c r="Q1443" s="665"/>
      <c r="R1443" s="665"/>
      <c r="S1443" s="665"/>
      <c r="T1443" s="673"/>
      <c r="U1443" s="673"/>
      <c r="V1443" s="673"/>
      <c r="W1443" s="673"/>
      <c r="X1443" s="673"/>
      <c r="Y1443" s="673"/>
      <c r="Z1443" s="673"/>
      <c r="AA1443" s="673"/>
      <c r="AB1443" s="673"/>
      <c r="AC1443" s="673"/>
      <c r="AD1443" s="673"/>
      <c r="AE1443" s="673"/>
      <c r="AF1443" s="673"/>
      <c r="AG1443" s="673"/>
      <c r="AH1443" s="673"/>
    </row>
    <row r="1444">
      <c r="A1444" s="653"/>
      <c r="B1444" s="654"/>
      <c r="C1444" s="691"/>
      <c r="D1444" s="661"/>
      <c r="E1444" s="705"/>
      <c r="F1444" s="659"/>
      <c r="G1444" s="661"/>
      <c r="H1444" s="660"/>
      <c r="I1444" s="691"/>
      <c r="J1444" s="661"/>
      <c r="K1444" s="706"/>
      <c r="L1444" s="665"/>
      <c r="M1444" s="663"/>
      <c r="N1444" s="665"/>
      <c r="O1444" s="665"/>
      <c r="P1444" s="665"/>
      <c r="Q1444" s="665"/>
      <c r="R1444" s="665"/>
      <c r="S1444" s="665"/>
      <c r="T1444" s="673"/>
      <c r="U1444" s="673"/>
      <c r="V1444" s="673"/>
      <c r="W1444" s="673"/>
      <c r="X1444" s="673"/>
      <c r="Y1444" s="673"/>
      <c r="Z1444" s="673"/>
      <c r="AA1444" s="673"/>
      <c r="AB1444" s="673"/>
      <c r="AC1444" s="673"/>
      <c r="AD1444" s="673"/>
      <c r="AE1444" s="673"/>
      <c r="AF1444" s="673"/>
      <c r="AG1444" s="673"/>
      <c r="AH1444" s="673"/>
    </row>
    <row r="1445">
      <c r="A1445" s="653"/>
      <c r="B1445" s="654"/>
      <c r="C1445" s="691"/>
      <c r="D1445" s="661"/>
      <c r="E1445" s="705"/>
      <c r="F1445" s="659"/>
      <c r="G1445" s="661"/>
      <c r="H1445" s="660"/>
      <c r="I1445" s="691"/>
      <c r="J1445" s="661"/>
      <c r="K1445" s="706"/>
      <c r="L1445" s="665"/>
      <c r="M1445" s="663"/>
      <c r="N1445" s="665"/>
      <c r="O1445" s="665"/>
      <c r="P1445" s="665"/>
      <c r="Q1445" s="665"/>
      <c r="R1445" s="665"/>
      <c r="S1445" s="665"/>
      <c r="T1445" s="673"/>
      <c r="U1445" s="673"/>
      <c r="V1445" s="673"/>
      <c r="W1445" s="673"/>
      <c r="X1445" s="673"/>
      <c r="Y1445" s="673"/>
      <c r="Z1445" s="673"/>
      <c r="AA1445" s="673"/>
      <c r="AB1445" s="673"/>
      <c r="AC1445" s="673"/>
      <c r="AD1445" s="673"/>
      <c r="AE1445" s="673"/>
      <c r="AF1445" s="673"/>
      <c r="AG1445" s="673"/>
      <c r="AH1445" s="673"/>
    </row>
    <row r="1446">
      <c r="A1446" s="653"/>
      <c r="B1446" s="654"/>
      <c r="C1446" s="691"/>
      <c r="D1446" s="661"/>
      <c r="E1446" s="705"/>
      <c r="F1446" s="659"/>
      <c r="G1446" s="661"/>
      <c r="H1446" s="660"/>
      <c r="I1446" s="691"/>
      <c r="J1446" s="661"/>
      <c r="K1446" s="706"/>
      <c r="L1446" s="665"/>
      <c r="M1446" s="663"/>
      <c r="N1446" s="665"/>
      <c r="O1446" s="665"/>
      <c r="P1446" s="665"/>
      <c r="Q1446" s="665"/>
      <c r="R1446" s="665"/>
      <c r="S1446" s="665"/>
      <c r="T1446" s="673"/>
      <c r="U1446" s="673"/>
      <c r="V1446" s="673"/>
      <c r="W1446" s="673"/>
      <c r="X1446" s="673"/>
      <c r="Y1446" s="673"/>
      <c r="Z1446" s="673"/>
      <c r="AA1446" s="673"/>
      <c r="AB1446" s="673"/>
      <c r="AC1446" s="673"/>
      <c r="AD1446" s="673"/>
      <c r="AE1446" s="673"/>
      <c r="AF1446" s="673"/>
      <c r="AG1446" s="673"/>
      <c r="AH1446" s="673"/>
    </row>
    <row r="1447">
      <c r="A1447" s="653"/>
      <c r="B1447" s="654"/>
      <c r="C1447" s="691"/>
      <c r="D1447" s="661"/>
      <c r="E1447" s="705"/>
      <c r="F1447" s="659"/>
      <c r="G1447" s="661"/>
      <c r="H1447" s="660"/>
      <c r="I1447" s="691"/>
      <c r="J1447" s="661"/>
      <c r="K1447" s="706"/>
      <c r="L1447" s="665"/>
      <c r="M1447" s="663"/>
      <c r="N1447" s="665"/>
      <c r="O1447" s="665"/>
      <c r="P1447" s="665"/>
      <c r="Q1447" s="665"/>
      <c r="R1447" s="665"/>
      <c r="S1447" s="665"/>
      <c r="T1447" s="673"/>
      <c r="U1447" s="673"/>
      <c r="V1447" s="673"/>
      <c r="W1447" s="673"/>
      <c r="X1447" s="673"/>
      <c r="Y1447" s="673"/>
      <c r="Z1447" s="673"/>
      <c r="AA1447" s="673"/>
      <c r="AB1447" s="673"/>
      <c r="AC1447" s="673"/>
      <c r="AD1447" s="673"/>
      <c r="AE1447" s="673"/>
      <c r="AF1447" s="673"/>
      <c r="AG1447" s="673"/>
      <c r="AH1447" s="673"/>
    </row>
    <row r="1448">
      <c r="A1448" s="653"/>
      <c r="B1448" s="654"/>
      <c r="C1448" s="691"/>
      <c r="D1448" s="661"/>
      <c r="E1448" s="705"/>
      <c r="F1448" s="659"/>
      <c r="G1448" s="661"/>
      <c r="H1448" s="660"/>
      <c r="I1448" s="691"/>
      <c r="J1448" s="661"/>
      <c r="K1448" s="706"/>
      <c r="L1448" s="665"/>
      <c r="M1448" s="663"/>
      <c r="N1448" s="665"/>
      <c r="O1448" s="665"/>
      <c r="P1448" s="665"/>
      <c r="Q1448" s="665"/>
      <c r="R1448" s="665"/>
      <c r="S1448" s="665"/>
      <c r="T1448" s="673"/>
      <c r="U1448" s="673"/>
      <c r="V1448" s="673"/>
      <c r="W1448" s="673"/>
      <c r="X1448" s="673"/>
      <c r="Y1448" s="673"/>
      <c r="Z1448" s="673"/>
      <c r="AA1448" s="673"/>
      <c r="AB1448" s="673"/>
      <c r="AC1448" s="673"/>
      <c r="AD1448" s="673"/>
      <c r="AE1448" s="673"/>
      <c r="AF1448" s="673"/>
      <c r="AG1448" s="673"/>
      <c r="AH1448" s="673"/>
    </row>
    <row r="1449">
      <c r="A1449" s="653"/>
      <c r="B1449" s="654"/>
      <c r="C1449" s="691"/>
      <c r="D1449" s="661"/>
      <c r="E1449" s="705"/>
      <c r="F1449" s="659"/>
      <c r="G1449" s="661"/>
      <c r="H1449" s="660"/>
      <c r="I1449" s="691"/>
      <c r="J1449" s="661"/>
      <c r="K1449" s="706"/>
      <c r="L1449" s="665"/>
      <c r="M1449" s="663"/>
      <c r="N1449" s="665"/>
      <c r="O1449" s="665"/>
      <c r="P1449" s="665"/>
      <c r="Q1449" s="665"/>
      <c r="R1449" s="665"/>
      <c r="S1449" s="665"/>
      <c r="T1449" s="673"/>
      <c r="U1449" s="673"/>
      <c r="V1449" s="673"/>
      <c r="W1449" s="673"/>
      <c r="X1449" s="673"/>
      <c r="Y1449" s="673"/>
      <c r="Z1449" s="673"/>
      <c r="AA1449" s="673"/>
      <c r="AB1449" s="673"/>
      <c r="AC1449" s="673"/>
      <c r="AD1449" s="673"/>
      <c r="AE1449" s="673"/>
      <c r="AF1449" s="673"/>
      <c r="AG1449" s="673"/>
      <c r="AH1449" s="673"/>
    </row>
    <row r="1450">
      <c r="A1450" s="653"/>
      <c r="B1450" s="654"/>
      <c r="C1450" s="691"/>
      <c r="D1450" s="661"/>
      <c r="E1450" s="705"/>
      <c r="F1450" s="659"/>
      <c r="G1450" s="661"/>
      <c r="H1450" s="660"/>
      <c r="I1450" s="691"/>
      <c r="J1450" s="661"/>
      <c r="K1450" s="706"/>
      <c r="L1450" s="665"/>
      <c r="M1450" s="663"/>
      <c r="N1450" s="665"/>
      <c r="O1450" s="665"/>
      <c r="P1450" s="665"/>
      <c r="Q1450" s="665"/>
      <c r="R1450" s="665"/>
      <c r="S1450" s="665"/>
      <c r="T1450" s="673"/>
      <c r="U1450" s="673"/>
      <c r="V1450" s="673"/>
      <c r="W1450" s="673"/>
      <c r="X1450" s="673"/>
      <c r="Y1450" s="673"/>
      <c r="Z1450" s="673"/>
      <c r="AA1450" s="673"/>
      <c r="AB1450" s="673"/>
      <c r="AC1450" s="673"/>
      <c r="AD1450" s="673"/>
      <c r="AE1450" s="673"/>
      <c r="AF1450" s="673"/>
      <c r="AG1450" s="673"/>
      <c r="AH1450" s="673"/>
    </row>
    <row r="1451">
      <c r="A1451" s="653"/>
      <c r="B1451" s="654"/>
      <c r="C1451" s="691"/>
      <c r="D1451" s="661"/>
      <c r="E1451" s="705"/>
      <c r="F1451" s="659"/>
      <c r="G1451" s="661"/>
      <c r="H1451" s="660"/>
      <c r="I1451" s="691"/>
      <c r="J1451" s="661"/>
      <c r="K1451" s="706"/>
      <c r="L1451" s="665"/>
      <c r="M1451" s="663"/>
      <c r="N1451" s="665"/>
      <c r="O1451" s="665"/>
      <c r="P1451" s="665"/>
      <c r="Q1451" s="665"/>
      <c r="R1451" s="665"/>
      <c r="S1451" s="665"/>
      <c r="T1451" s="673"/>
      <c r="U1451" s="673"/>
      <c r="V1451" s="673"/>
      <c r="W1451" s="673"/>
      <c r="X1451" s="673"/>
      <c r="Y1451" s="673"/>
      <c r="Z1451" s="673"/>
      <c r="AA1451" s="673"/>
      <c r="AB1451" s="673"/>
      <c r="AC1451" s="673"/>
      <c r="AD1451" s="673"/>
      <c r="AE1451" s="673"/>
      <c r="AF1451" s="673"/>
      <c r="AG1451" s="673"/>
      <c r="AH1451" s="673"/>
    </row>
    <row r="1452">
      <c r="A1452" s="653"/>
      <c r="B1452" s="654"/>
      <c r="C1452" s="691"/>
      <c r="D1452" s="661"/>
      <c r="E1452" s="705"/>
      <c r="F1452" s="659"/>
      <c r="G1452" s="661"/>
      <c r="H1452" s="660"/>
      <c r="I1452" s="691"/>
      <c r="J1452" s="661"/>
      <c r="K1452" s="706"/>
      <c r="L1452" s="665"/>
      <c r="M1452" s="663"/>
      <c r="N1452" s="665"/>
      <c r="O1452" s="665"/>
      <c r="P1452" s="665"/>
      <c r="Q1452" s="665"/>
      <c r="R1452" s="665"/>
      <c r="S1452" s="665"/>
      <c r="T1452" s="673"/>
      <c r="U1452" s="673"/>
      <c r="V1452" s="673"/>
      <c r="W1452" s="673"/>
      <c r="X1452" s="673"/>
      <c r="Y1452" s="673"/>
      <c r="Z1452" s="673"/>
      <c r="AA1452" s="673"/>
      <c r="AB1452" s="673"/>
      <c r="AC1452" s="673"/>
      <c r="AD1452" s="673"/>
      <c r="AE1452" s="673"/>
      <c r="AF1452" s="673"/>
      <c r="AG1452" s="673"/>
      <c r="AH1452" s="673"/>
    </row>
    <row r="1453">
      <c r="A1453" s="653"/>
      <c r="B1453" s="654"/>
      <c r="C1453" s="691"/>
      <c r="D1453" s="661"/>
      <c r="E1453" s="705"/>
      <c r="F1453" s="659"/>
      <c r="G1453" s="661"/>
      <c r="H1453" s="660"/>
      <c r="I1453" s="691"/>
      <c r="J1453" s="661"/>
      <c r="K1453" s="706"/>
      <c r="L1453" s="665"/>
      <c r="M1453" s="663"/>
      <c r="N1453" s="665"/>
      <c r="O1453" s="665"/>
      <c r="P1453" s="665"/>
      <c r="Q1453" s="665"/>
      <c r="R1453" s="665"/>
      <c r="S1453" s="665"/>
      <c r="T1453" s="673"/>
      <c r="U1453" s="673"/>
      <c r="V1453" s="673"/>
      <c r="W1453" s="673"/>
      <c r="X1453" s="673"/>
      <c r="Y1453" s="673"/>
      <c r="Z1453" s="673"/>
      <c r="AA1453" s="673"/>
      <c r="AB1453" s="673"/>
      <c r="AC1453" s="673"/>
      <c r="AD1453" s="673"/>
      <c r="AE1453" s="673"/>
      <c r="AF1453" s="673"/>
      <c r="AG1453" s="673"/>
      <c r="AH1453" s="673"/>
    </row>
    <row r="1454">
      <c r="A1454" s="653"/>
      <c r="B1454" s="654"/>
      <c r="C1454" s="691"/>
      <c r="D1454" s="661"/>
      <c r="E1454" s="705"/>
      <c r="F1454" s="659"/>
      <c r="G1454" s="661"/>
      <c r="H1454" s="660"/>
      <c r="I1454" s="691"/>
      <c r="J1454" s="661"/>
      <c r="K1454" s="706"/>
      <c r="L1454" s="665"/>
      <c r="M1454" s="663"/>
      <c r="N1454" s="665"/>
      <c r="O1454" s="665"/>
      <c r="P1454" s="665"/>
      <c r="Q1454" s="665"/>
      <c r="R1454" s="665"/>
      <c r="S1454" s="665"/>
      <c r="T1454" s="673"/>
      <c r="U1454" s="673"/>
      <c r="V1454" s="673"/>
      <c r="W1454" s="673"/>
      <c r="X1454" s="673"/>
      <c r="Y1454" s="673"/>
      <c r="Z1454" s="673"/>
      <c r="AA1454" s="673"/>
      <c r="AB1454" s="673"/>
      <c r="AC1454" s="673"/>
      <c r="AD1454" s="673"/>
      <c r="AE1454" s="673"/>
      <c r="AF1454" s="673"/>
      <c r="AG1454" s="673"/>
      <c r="AH1454" s="673"/>
    </row>
    <row r="1455">
      <c r="A1455" s="653"/>
      <c r="B1455" s="654"/>
      <c r="C1455" s="691"/>
      <c r="D1455" s="661"/>
      <c r="E1455" s="705"/>
      <c r="F1455" s="659"/>
      <c r="G1455" s="661"/>
      <c r="H1455" s="660"/>
      <c r="I1455" s="691"/>
      <c r="J1455" s="661"/>
      <c r="K1455" s="706"/>
      <c r="L1455" s="665"/>
      <c r="M1455" s="663"/>
      <c r="N1455" s="665"/>
      <c r="O1455" s="665"/>
      <c r="P1455" s="665"/>
      <c r="Q1455" s="665"/>
      <c r="R1455" s="665"/>
      <c r="S1455" s="665"/>
      <c r="T1455" s="673"/>
      <c r="U1455" s="673"/>
      <c r="V1455" s="673"/>
      <c r="W1455" s="673"/>
      <c r="X1455" s="673"/>
      <c r="Y1455" s="673"/>
      <c r="Z1455" s="673"/>
      <c r="AA1455" s="673"/>
      <c r="AB1455" s="673"/>
      <c r="AC1455" s="673"/>
      <c r="AD1455" s="673"/>
      <c r="AE1455" s="673"/>
      <c r="AF1455" s="673"/>
      <c r="AG1455" s="673"/>
      <c r="AH1455" s="673"/>
    </row>
    <row r="1456">
      <c r="A1456" s="653"/>
      <c r="B1456" s="654"/>
      <c r="C1456" s="691"/>
      <c r="D1456" s="661"/>
      <c r="E1456" s="705"/>
      <c r="F1456" s="659"/>
      <c r="G1456" s="661"/>
      <c r="H1456" s="660"/>
      <c r="I1456" s="691"/>
      <c r="J1456" s="661"/>
      <c r="K1456" s="706"/>
      <c r="L1456" s="665"/>
      <c r="M1456" s="663"/>
      <c r="N1456" s="665"/>
      <c r="O1456" s="665"/>
      <c r="P1456" s="665"/>
      <c r="Q1456" s="665"/>
      <c r="R1456" s="665"/>
      <c r="S1456" s="665"/>
      <c r="T1456" s="673"/>
      <c r="U1456" s="673"/>
      <c r="V1456" s="673"/>
      <c r="W1456" s="673"/>
      <c r="X1456" s="673"/>
      <c r="Y1456" s="673"/>
      <c r="Z1456" s="673"/>
      <c r="AA1456" s="673"/>
      <c r="AB1456" s="673"/>
      <c r="AC1456" s="673"/>
      <c r="AD1456" s="673"/>
      <c r="AE1456" s="673"/>
      <c r="AF1456" s="673"/>
      <c r="AG1456" s="673"/>
      <c r="AH1456" s="673"/>
    </row>
    <row r="1457">
      <c r="A1457" s="653"/>
      <c r="B1457" s="654"/>
      <c r="C1457" s="691"/>
      <c r="D1457" s="661"/>
      <c r="E1457" s="705"/>
      <c r="F1457" s="659"/>
      <c r="G1457" s="661"/>
      <c r="H1457" s="660"/>
      <c r="I1457" s="691"/>
      <c r="J1457" s="661"/>
      <c r="K1457" s="706"/>
      <c r="L1457" s="665"/>
      <c r="M1457" s="663"/>
      <c r="N1457" s="665"/>
      <c r="O1457" s="665"/>
      <c r="P1457" s="665"/>
      <c r="Q1457" s="665"/>
      <c r="R1457" s="665"/>
      <c r="S1457" s="665"/>
      <c r="T1457" s="673"/>
      <c r="U1457" s="673"/>
      <c r="V1457" s="673"/>
      <c r="W1457" s="673"/>
      <c r="X1457" s="673"/>
      <c r="Y1457" s="673"/>
      <c r="Z1457" s="673"/>
      <c r="AA1457" s="673"/>
      <c r="AB1457" s="673"/>
      <c r="AC1457" s="673"/>
      <c r="AD1457" s="673"/>
      <c r="AE1457" s="673"/>
      <c r="AF1457" s="673"/>
      <c r="AG1457" s="673"/>
      <c r="AH1457" s="673"/>
    </row>
    <row r="1458">
      <c r="A1458" s="653"/>
      <c r="B1458" s="654"/>
      <c r="C1458" s="691"/>
      <c r="D1458" s="661"/>
      <c r="E1458" s="705"/>
      <c r="F1458" s="659"/>
      <c r="G1458" s="661"/>
      <c r="H1458" s="660"/>
      <c r="I1458" s="691"/>
      <c r="J1458" s="661"/>
      <c r="K1458" s="706"/>
      <c r="L1458" s="665"/>
      <c r="M1458" s="663"/>
      <c r="N1458" s="665"/>
      <c r="O1458" s="665"/>
      <c r="P1458" s="665"/>
      <c r="Q1458" s="665"/>
      <c r="R1458" s="665"/>
      <c r="S1458" s="665"/>
      <c r="T1458" s="673"/>
      <c r="U1458" s="673"/>
      <c r="V1458" s="673"/>
      <c r="W1458" s="673"/>
      <c r="X1458" s="673"/>
      <c r="Y1458" s="673"/>
      <c r="Z1458" s="673"/>
      <c r="AA1458" s="673"/>
      <c r="AB1458" s="673"/>
      <c r="AC1458" s="673"/>
      <c r="AD1458" s="673"/>
      <c r="AE1458" s="673"/>
      <c r="AF1458" s="673"/>
      <c r="AG1458" s="673"/>
      <c r="AH1458" s="673"/>
    </row>
    <row r="1459">
      <c r="A1459" s="653"/>
      <c r="B1459" s="654"/>
      <c r="C1459" s="691"/>
      <c r="D1459" s="661"/>
      <c r="E1459" s="705"/>
      <c r="F1459" s="659"/>
      <c r="G1459" s="661"/>
      <c r="H1459" s="660"/>
      <c r="I1459" s="691"/>
      <c r="J1459" s="661"/>
      <c r="K1459" s="706"/>
      <c r="L1459" s="665"/>
      <c r="M1459" s="663"/>
      <c r="N1459" s="665"/>
      <c r="O1459" s="665"/>
      <c r="P1459" s="665"/>
      <c r="Q1459" s="665"/>
      <c r="R1459" s="665"/>
      <c r="S1459" s="665"/>
      <c r="T1459" s="673"/>
      <c r="U1459" s="673"/>
      <c r="V1459" s="673"/>
      <c r="W1459" s="673"/>
      <c r="X1459" s="673"/>
      <c r="Y1459" s="673"/>
      <c r="Z1459" s="673"/>
      <c r="AA1459" s="673"/>
      <c r="AB1459" s="673"/>
      <c r="AC1459" s="673"/>
      <c r="AD1459" s="673"/>
      <c r="AE1459" s="673"/>
      <c r="AF1459" s="673"/>
      <c r="AG1459" s="673"/>
      <c r="AH1459" s="673"/>
    </row>
    <row r="1460">
      <c r="A1460" s="653"/>
      <c r="B1460" s="654"/>
      <c r="C1460" s="691"/>
      <c r="D1460" s="661"/>
      <c r="E1460" s="705"/>
      <c r="F1460" s="659"/>
      <c r="G1460" s="661"/>
      <c r="H1460" s="660"/>
      <c r="I1460" s="691"/>
      <c r="J1460" s="661"/>
      <c r="K1460" s="706"/>
      <c r="L1460" s="665"/>
      <c r="M1460" s="663"/>
      <c r="N1460" s="665"/>
      <c r="O1460" s="665"/>
      <c r="P1460" s="665"/>
      <c r="Q1460" s="665"/>
      <c r="R1460" s="665"/>
      <c r="S1460" s="665"/>
      <c r="T1460" s="673"/>
      <c r="U1460" s="673"/>
      <c r="V1460" s="673"/>
      <c r="W1460" s="673"/>
      <c r="X1460" s="673"/>
      <c r="Y1460" s="673"/>
      <c r="Z1460" s="673"/>
      <c r="AA1460" s="673"/>
      <c r="AB1460" s="673"/>
      <c r="AC1460" s="673"/>
      <c r="AD1460" s="673"/>
      <c r="AE1460" s="673"/>
      <c r="AF1460" s="673"/>
      <c r="AG1460" s="673"/>
      <c r="AH1460" s="673"/>
    </row>
    <row r="1461">
      <c r="A1461" s="653"/>
      <c r="B1461" s="654"/>
      <c r="C1461" s="691"/>
      <c r="D1461" s="661"/>
      <c r="E1461" s="705"/>
      <c r="F1461" s="659"/>
      <c r="G1461" s="661"/>
      <c r="H1461" s="660"/>
      <c r="I1461" s="691"/>
      <c r="J1461" s="661"/>
      <c r="K1461" s="706"/>
      <c r="L1461" s="665"/>
      <c r="M1461" s="663"/>
      <c r="N1461" s="665"/>
      <c r="O1461" s="665"/>
      <c r="P1461" s="665"/>
      <c r="Q1461" s="665"/>
      <c r="R1461" s="665"/>
      <c r="S1461" s="665"/>
      <c r="T1461" s="673"/>
      <c r="U1461" s="673"/>
      <c r="V1461" s="673"/>
      <c r="W1461" s="673"/>
      <c r="X1461" s="673"/>
      <c r="Y1461" s="673"/>
      <c r="Z1461" s="673"/>
      <c r="AA1461" s="673"/>
      <c r="AB1461" s="673"/>
      <c r="AC1461" s="673"/>
      <c r="AD1461" s="673"/>
      <c r="AE1461" s="673"/>
      <c r="AF1461" s="673"/>
      <c r="AG1461" s="673"/>
      <c r="AH1461" s="673"/>
    </row>
    <row r="1462">
      <c r="A1462" s="653"/>
      <c r="B1462" s="654"/>
      <c r="C1462" s="691"/>
      <c r="D1462" s="661"/>
      <c r="E1462" s="705"/>
      <c r="F1462" s="659"/>
      <c r="G1462" s="661"/>
      <c r="H1462" s="660"/>
      <c r="I1462" s="691"/>
      <c r="J1462" s="661"/>
      <c r="K1462" s="706"/>
      <c r="L1462" s="665"/>
      <c r="M1462" s="663"/>
      <c r="N1462" s="665"/>
      <c r="O1462" s="665"/>
      <c r="P1462" s="665"/>
      <c r="Q1462" s="665"/>
      <c r="R1462" s="665"/>
      <c r="S1462" s="665"/>
      <c r="T1462" s="673"/>
      <c r="U1462" s="673"/>
      <c r="V1462" s="673"/>
      <c r="W1462" s="673"/>
      <c r="X1462" s="673"/>
      <c r="Y1462" s="673"/>
      <c r="Z1462" s="673"/>
      <c r="AA1462" s="673"/>
      <c r="AB1462" s="673"/>
      <c r="AC1462" s="673"/>
      <c r="AD1462" s="673"/>
      <c r="AE1462" s="673"/>
      <c r="AF1462" s="673"/>
      <c r="AG1462" s="673"/>
      <c r="AH1462" s="673"/>
    </row>
    <row r="1463">
      <c r="A1463" s="653"/>
      <c r="B1463" s="654"/>
      <c r="C1463" s="691"/>
      <c r="D1463" s="661"/>
      <c r="E1463" s="705"/>
      <c r="F1463" s="659"/>
      <c r="G1463" s="661"/>
      <c r="H1463" s="660"/>
      <c r="I1463" s="691"/>
      <c r="J1463" s="661"/>
      <c r="K1463" s="706"/>
      <c r="L1463" s="665"/>
      <c r="M1463" s="663"/>
      <c r="N1463" s="665"/>
      <c r="O1463" s="665"/>
      <c r="P1463" s="665"/>
      <c r="Q1463" s="665"/>
      <c r="R1463" s="665"/>
      <c r="S1463" s="665"/>
      <c r="T1463" s="673"/>
      <c r="U1463" s="673"/>
      <c r="V1463" s="673"/>
      <c r="W1463" s="673"/>
      <c r="X1463" s="673"/>
      <c r="Y1463" s="673"/>
      <c r="Z1463" s="673"/>
      <c r="AA1463" s="673"/>
      <c r="AB1463" s="673"/>
      <c r="AC1463" s="673"/>
      <c r="AD1463" s="673"/>
      <c r="AE1463" s="673"/>
      <c r="AF1463" s="673"/>
      <c r="AG1463" s="673"/>
      <c r="AH1463" s="673"/>
    </row>
    <row r="1464">
      <c r="A1464" s="653"/>
      <c r="B1464" s="654"/>
      <c r="C1464" s="691"/>
      <c r="D1464" s="661"/>
      <c r="E1464" s="705"/>
      <c r="F1464" s="659"/>
      <c r="G1464" s="661"/>
      <c r="H1464" s="660"/>
      <c r="I1464" s="691"/>
      <c r="J1464" s="661"/>
      <c r="K1464" s="706"/>
      <c r="L1464" s="665"/>
      <c r="M1464" s="663"/>
      <c r="N1464" s="665"/>
      <c r="O1464" s="665"/>
      <c r="P1464" s="665"/>
      <c r="Q1464" s="665"/>
      <c r="R1464" s="665"/>
      <c r="S1464" s="665"/>
      <c r="T1464" s="673"/>
      <c r="U1464" s="673"/>
      <c r="V1464" s="673"/>
      <c r="W1464" s="673"/>
      <c r="X1464" s="673"/>
      <c r="Y1464" s="673"/>
      <c r="Z1464" s="673"/>
      <c r="AA1464" s="673"/>
      <c r="AB1464" s="673"/>
      <c r="AC1464" s="673"/>
      <c r="AD1464" s="673"/>
      <c r="AE1464" s="673"/>
      <c r="AF1464" s="673"/>
      <c r="AG1464" s="673"/>
      <c r="AH1464" s="673"/>
    </row>
    <row r="1465">
      <c r="A1465" s="653"/>
      <c r="B1465" s="654"/>
      <c r="C1465" s="691"/>
      <c r="D1465" s="661"/>
      <c r="E1465" s="705"/>
      <c r="F1465" s="659"/>
      <c r="G1465" s="661"/>
      <c r="H1465" s="660"/>
      <c r="I1465" s="691"/>
      <c r="J1465" s="661"/>
      <c r="K1465" s="706"/>
      <c r="L1465" s="665"/>
      <c r="M1465" s="663"/>
      <c r="N1465" s="665"/>
      <c r="O1465" s="665"/>
      <c r="P1465" s="665"/>
      <c r="Q1465" s="665"/>
      <c r="R1465" s="665"/>
      <c r="S1465" s="665"/>
      <c r="T1465" s="673"/>
      <c r="U1465" s="673"/>
      <c r="V1465" s="673"/>
      <c r="W1465" s="673"/>
      <c r="X1465" s="673"/>
      <c r="Y1465" s="673"/>
      <c r="Z1465" s="673"/>
      <c r="AA1465" s="673"/>
      <c r="AB1465" s="673"/>
      <c r="AC1465" s="673"/>
      <c r="AD1465" s="673"/>
      <c r="AE1465" s="673"/>
      <c r="AF1465" s="673"/>
      <c r="AG1465" s="673"/>
      <c r="AH1465" s="673"/>
    </row>
    <row r="1466">
      <c r="A1466" s="653"/>
      <c r="B1466" s="654"/>
      <c r="C1466" s="691"/>
      <c r="D1466" s="661"/>
      <c r="E1466" s="705"/>
      <c r="F1466" s="659"/>
      <c r="G1466" s="661"/>
      <c r="H1466" s="660"/>
      <c r="I1466" s="691"/>
      <c r="J1466" s="661"/>
      <c r="K1466" s="706"/>
      <c r="L1466" s="665"/>
      <c r="M1466" s="663"/>
      <c r="N1466" s="665"/>
      <c r="O1466" s="665"/>
      <c r="P1466" s="665"/>
      <c r="Q1466" s="665"/>
      <c r="R1466" s="665"/>
      <c r="S1466" s="665"/>
      <c r="T1466" s="673"/>
      <c r="U1466" s="673"/>
      <c r="V1466" s="673"/>
      <c r="W1466" s="673"/>
      <c r="X1466" s="673"/>
      <c r="Y1466" s="673"/>
      <c r="Z1466" s="673"/>
      <c r="AA1466" s="673"/>
      <c r="AB1466" s="673"/>
      <c r="AC1466" s="673"/>
      <c r="AD1466" s="673"/>
      <c r="AE1466" s="673"/>
      <c r="AF1466" s="673"/>
      <c r="AG1466" s="673"/>
      <c r="AH1466" s="673"/>
    </row>
    <row r="1467">
      <c r="A1467" s="653"/>
      <c r="B1467" s="654"/>
      <c r="C1467" s="691"/>
      <c r="D1467" s="661"/>
      <c r="E1467" s="705"/>
      <c r="F1467" s="659"/>
      <c r="G1467" s="661"/>
      <c r="H1467" s="660"/>
      <c r="I1467" s="691"/>
      <c r="J1467" s="661"/>
      <c r="K1467" s="706"/>
      <c r="L1467" s="665"/>
      <c r="M1467" s="663"/>
      <c r="N1467" s="665"/>
      <c r="O1467" s="665"/>
      <c r="P1467" s="665"/>
      <c r="Q1467" s="665"/>
      <c r="R1467" s="665"/>
      <c r="S1467" s="665"/>
      <c r="T1467" s="673"/>
      <c r="U1467" s="673"/>
      <c r="V1467" s="673"/>
      <c r="W1467" s="673"/>
      <c r="X1467" s="673"/>
      <c r="Y1467" s="673"/>
      <c r="Z1467" s="673"/>
      <c r="AA1467" s="673"/>
      <c r="AB1467" s="673"/>
      <c r="AC1467" s="673"/>
      <c r="AD1467" s="673"/>
      <c r="AE1467" s="673"/>
      <c r="AF1467" s="673"/>
      <c r="AG1467" s="673"/>
      <c r="AH1467" s="673"/>
    </row>
    <row r="1468">
      <c r="A1468" s="653"/>
      <c r="B1468" s="654"/>
      <c r="C1468" s="691"/>
      <c r="D1468" s="661"/>
      <c r="E1468" s="705"/>
      <c r="F1468" s="659"/>
      <c r="G1468" s="661"/>
      <c r="H1468" s="660"/>
      <c r="I1468" s="691"/>
      <c r="J1468" s="661"/>
      <c r="K1468" s="706"/>
      <c r="L1468" s="665"/>
      <c r="M1468" s="663"/>
      <c r="N1468" s="665"/>
      <c r="O1468" s="665"/>
      <c r="P1468" s="665"/>
      <c r="Q1468" s="665"/>
      <c r="R1468" s="665"/>
      <c r="S1468" s="665"/>
      <c r="T1468" s="673"/>
      <c r="U1468" s="673"/>
      <c r="V1468" s="673"/>
      <c r="W1468" s="673"/>
      <c r="X1468" s="673"/>
      <c r="Y1468" s="673"/>
      <c r="Z1468" s="673"/>
      <c r="AA1468" s="673"/>
      <c r="AB1468" s="673"/>
      <c r="AC1468" s="673"/>
      <c r="AD1468" s="673"/>
      <c r="AE1468" s="673"/>
      <c r="AF1468" s="673"/>
      <c r="AG1468" s="673"/>
      <c r="AH1468" s="673"/>
    </row>
    <row r="1469">
      <c r="A1469" s="653"/>
      <c r="B1469" s="654"/>
      <c r="C1469" s="691"/>
      <c r="D1469" s="661"/>
      <c r="E1469" s="705"/>
      <c r="F1469" s="659"/>
      <c r="G1469" s="661"/>
      <c r="H1469" s="660"/>
      <c r="I1469" s="691"/>
      <c r="J1469" s="661"/>
      <c r="K1469" s="706"/>
      <c r="L1469" s="665"/>
      <c r="M1469" s="663"/>
      <c r="N1469" s="665"/>
      <c r="O1469" s="665"/>
      <c r="P1469" s="665"/>
      <c r="Q1469" s="665"/>
      <c r="R1469" s="665"/>
      <c r="S1469" s="665"/>
      <c r="T1469" s="673"/>
      <c r="U1469" s="673"/>
      <c r="V1469" s="673"/>
      <c r="W1469" s="673"/>
      <c r="X1469" s="673"/>
      <c r="Y1469" s="673"/>
      <c r="Z1469" s="673"/>
      <c r="AA1469" s="673"/>
      <c r="AB1469" s="673"/>
      <c r="AC1469" s="673"/>
      <c r="AD1469" s="673"/>
      <c r="AE1469" s="673"/>
      <c r="AF1469" s="673"/>
      <c r="AG1469" s="673"/>
      <c r="AH1469" s="673"/>
    </row>
    <row r="1470">
      <c r="A1470" s="653"/>
      <c r="B1470" s="654"/>
      <c r="C1470" s="691"/>
      <c r="D1470" s="661"/>
      <c r="E1470" s="705"/>
      <c r="F1470" s="659"/>
      <c r="G1470" s="661"/>
      <c r="H1470" s="660"/>
      <c r="I1470" s="691"/>
      <c r="J1470" s="661"/>
      <c r="K1470" s="706"/>
      <c r="L1470" s="665"/>
      <c r="M1470" s="663"/>
      <c r="N1470" s="665"/>
      <c r="O1470" s="665"/>
      <c r="P1470" s="665"/>
      <c r="Q1470" s="665"/>
      <c r="R1470" s="665"/>
      <c r="S1470" s="665"/>
      <c r="T1470" s="673"/>
      <c r="U1470" s="673"/>
      <c r="V1470" s="673"/>
      <c r="W1470" s="673"/>
      <c r="X1470" s="673"/>
      <c r="Y1470" s="673"/>
      <c r="Z1470" s="673"/>
      <c r="AA1470" s="673"/>
      <c r="AB1470" s="673"/>
      <c r="AC1470" s="673"/>
      <c r="AD1470" s="673"/>
      <c r="AE1470" s="673"/>
      <c r="AF1470" s="673"/>
      <c r="AG1470" s="673"/>
      <c r="AH1470" s="673"/>
    </row>
    <row r="1471">
      <c r="A1471" s="653"/>
      <c r="B1471" s="654"/>
      <c r="C1471" s="691"/>
      <c r="D1471" s="661"/>
      <c r="E1471" s="705"/>
      <c r="F1471" s="659"/>
      <c r="G1471" s="661"/>
      <c r="H1471" s="660"/>
      <c r="I1471" s="691"/>
      <c r="J1471" s="661"/>
      <c r="K1471" s="706"/>
      <c r="L1471" s="665"/>
      <c r="M1471" s="663"/>
      <c r="N1471" s="665"/>
      <c r="O1471" s="665"/>
      <c r="P1471" s="665"/>
      <c r="Q1471" s="665"/>
      <c r="R1471" s="665"/>
      <c r="S1471" s="665"/>
      <c r="T1471" s="673"/>
      <c r="U1471" s="673"/>
      <c r="V1471" s="673"/>
      <c r="W1471" s="673"/>
      <c r="X1471" s="673"/>
      <c r="Y1471" s="673"/>
      <c r="Z1471" s="673"/>
      <c r="AA1471" s="673"/>
      <c r="AB1471" s="673"/>
      <c r="AC1471" s="673"/>
      <c r="AD1471" s="673"/>
      <c r="AE1471" s="673"/>
      <c r="AF1471" s="673"/>
      <c r="AG1471" s="673"/>
      <c r="AH1471" s="673"/>
    </row>
    <row r="1472">
      <c r="A1472" s="653"/>
      <c r="B1472" s="654"/>
      <c r="C1472" s="691"/>
      <c r="D1472" s="661"/>
      <c r="E1472" s="705"/>
      <c r="F1472" s="659"/>
      <c r="G1472" s="661"/>
      <c r="H1472" s="660"/>
      <c r="I1472" s="691"/>
      <c r="J1472" s="661"/>
      <c r="K1472" s="706"/>
      <c r="L1472" s="665"/>
      <c r="M1472" s="663"/>
      <c r="N1472" s="665"/>
      <c r="O1472" s="665"/>
      <c r="P1472" s="665"/>
      <c r="Q1472" s="665"/>
      <c r="R1472" s="665"/>
      <c r="S1472" s="665"/>
      <c r="T1472" s="673"/>
      <c r="U1472" s="673"/>
      <c r="V1472" s="673"/>
      <c r="W1472" s="673"/>
      <c r="X1472" s="673"/>
      <c r="Y1472" s="673"/>
      <c r="Z1472" s="673"/>
      <c r="AA1472" s="673"/>
      <c r="AB1472" s="673"/>
      <c r="AC1472" s="673"/>
      <c r="AD1472" s="673"/>
      <c r="AE1472" s="673"/>
      <c r="AF1472" s="673"/>
      <c r="AG1472" s="673"/>
      <c r="AH1472" s="673"/>
    </row>
    <row r="1473">
      <c r="A1473" s="653"/>
      <c r="B1473" s="654"/>
      <c r="C1473" s="691"/>
      <c r="D1473" s="661"/>
      <c r="E1473" s="705"/>
      <c r="F1473" s="659"/>
      <c r="G1473" s="661"/>
      <c r="H1473" s="660"/>
      <c r="I1473" s="691"/>
      <c r="J1473" s="661"/>
      <c r="K1473" s="706"/>
      <c r="L1473" s="665"/>
      <c r="M1473" s="663"/>
      <c r="N1473" s="665"/>
      <c r="O1473" s="665"/>
      <c r="P1473" s="665"/>
      <c r="Q1473" s="665"/>
      <c r="R1473" s="665"/>
      <c r="S1473" s="665"/>
      <c r="T1473" s="673"/>
      <c r="U1473" s="673"/>
      <c r="V1473" s="673"/>
      <c r="W1473" s="673"/>
      <c r="X1473" s="673"/>
      <c r="Y1473" s="673"/>
      <c r="Z1473" s="673"/>
      <c r="AA1473" s="673"/>
      <c r="AB1473" s="673"/>
      <c r="AC1473" s="673"/>
      <c r="AD1473" s="673"/>
      <c r="AE1473" s="673"/>
      <c r="AF1473" s="673"/>
      <c r="AG1473" s="673"/>
      <c r="AH1473" s="673"/>
    </row>
    <row r="1474">
      <c r="A1474" s="653"/>
      <c r="B1474" s="654"/>
      <c r="C1474" s="691"/>
      <c r="D1474" s="661"/>
      <c r="E1474" s="705"/>
      <c r="F1474" s="659"/>
      <c r="G1474" s="661"/>
      <c r="H1474" s="660"/>
      <c r="I1474" s="691"/>
      <c r="J1474" s="661"/>
      <c r="K1474" s="706"/>
      <c r="L1474" s="665"/>
      <c r="M1474" s="663"/>
      <c r="N1474" s="665"/>
      <c r="O1474" s="665"/>
      <c r="P1474" s="665"/>
      <c r="Q1474" s="665"/>
      <c r="R1474" s="665"/>
      <c r="S1474" s="665"/>
      <c r="T1474" s="673"/>
      <c r="U1474" s="673"/>
      <c r="V1474" s="673"/>
      <c r="W1474" s="673"/>
      <c r="X1474" s="673"/>
      <c r="Y1474" s="673"/>
      <c r="Z1474" s="673"/>
      <c r="AA1474" s="673"/>
      <c r="AB1474" s="673"/>
      <c r="AC1474" s="673"/>
      <c r="AD1474" s="673"/>
      <c r="AE1474" s="673"/>
      <c r="AF1474" s="673"/>
      <c r="AG1474" s="673"/>
      <c r="AH1474" s="673"/>
    </row>
    <row r="1475">
      <c r="A1475" s="653"/>
      <c r="B1475" s="654"/>
      <c r="C1475" s="691"/>
      <c r="D1475" s="661"/>
      <c r="E1475" s="705"/>
      <c r="F1475" s="659"/>
      <c r="G1475" s="661"/>
      <c r="H1475" s="660"/>
      <c r="I1475" s="691"/>
      <c r="J1475" s="661"/>
      <c r="K1475" s="706"/>
      <c r="L1475" s="665"/>
      <c r="M1475" s="663"/>
      <c r="N1475" s="665"/>
      <c r="O1475" s="665"/>
      <c r="P1475" s="665"/>
      <c r="Q1475" s="665"/>
      <c r="R1475" s="665"/>
      <c r="S1475" s="665"/>
      <c r="T1475" s="673"/>
      <c r="U1475" s="673"/>
      <c r="V1475" s="673"/>
      <c r="W1475" s="673"/>
      <c r="X1475" s="673"/>
      <c r="Y1475" s="673"/>
      <c r="Z1475" s="673"/>
      <c r="AA1475" s="673"/>
      <c r="AB1475" s="673"/>
      <c r="AC1475" s="673"/>
      <c r="AD1475" s="673"/>
      <c r="AE1475" s="673"/>
      <c r="AF1475" s="673"/>
      <c r="AG1475" s="673"/>
      <c r="AH1475" s="673"/>
    </row>
    <row r="1476">
      <c r="A1476" s="653"/>
      <c r="B1476" s="654"/>
      <c r="C1476" s="691"/>
      <c r="D1476" s="661"/>
      <c r="E1476" s="705"/>
      <c r="F1476" s="659"/>
      <c r="G1476" s="661"/>
      <c r="H1476" s="660"/>
      <c r="I1476" s="691"/>
      <c r="J1476" s="661"/>
      <c r="K1476" s="706"/>
      <c r="L1476" s="665"/>
      <c r="M1476" s="663"/>
      <c r="N1476" s="665"/>
      <c r="O1476" s="665"/>
      <c r="P1476" s="665"/>
      <c r="Q1476" s="665"/>
      <c r="R1476" s="665"/>
      <c r="S1476" s="665"/>
      <c r="T1476" s="673"/>
      <c r="U1476" s="673"/>
      <c r="V1476" s="673"/>
      <c r="W1476" s="673"/>
      <c r="X1476" s="673"/>
      <c r="Y1476" s="673"/>
      <c r="Z1476" s="673"/>
      <c r="AA1476" s="673"/>
      <c r="AB1476" s="673"/>
      <c r="AC1476" s="673"/>
      <c r="AD1476" s="673"/>
      <c r="AE1476" s="673"/>
      <c r="AF1476" s="673"/>
      <c r="AG1476" s="673"/>
      <c r="AH1476" s="673"/>
    </row>
    <row r="1477">
      <c r="A1477" s="653"/>
      <c r="B1477" s="654"/>
      <c r="C1477" s="691"/>
      <c r="D1477" s="661"/>
      <c r="E1477" s="705"/>
      <c r="F1477" s="659"/>
      <c r="G1477" s="661"/>
      <c r="H1477" s="660"/>
      <c r="I1477" s="691"/>
      <c r="J1477" s="661"/>
      <c r="K1477" s="706"/>
      <c r="L1477" s="665"/>
      <c r="M1477" s="663"/>
      <c r="N1477" s="665"/>
      <c r="O1477" s="665"/>
      <c r="P1477" s="665"/>
      <c r="Q1477" s="665"/>
      <c r="R1477" s="665"/>
      <c r="S1477" s="665"/>
      <c r="T1477" s="673"/>
      <c r="U1477" s="673"/>
      <c r="V1477" s="673"/>
      <c r="W1477" s="673"/>
      <c r="X1477" s="673"/>
      <c r="Y1477" s="673"/>
      <c r="Z1477" s="673"/>
      <c r="AA1477" s="673"/>
      <c r="AB1477" s="673"/>
      <c r="AC1477" s="673"/>
      <c r="AD1477" s="673"/>
      <c r="AE1477" s="673"/>
      <c r="AF1477" s="673"/>
      <c r="AG1477" s="673"/>
      <c r="AH1477" s="673"/>
    </row>
    <row r="1478">
      <c r="A1478" s="653"/>
      <c r="B1478" s="654"/>
      <c r="C1478" s="691"/>
      <c r="D1478" s="661"/>
      <c r="E1478" s="705"/>
      <c r="F1478" s="659"/>
      <c r="G1478" s="661"/>
      <c r="H1478" s="660"/>
      <c r="I1478" s="691"/>
      <c r="J1478" s="661"/>
      <c r="K1478" s="706"/>
      <c r="L1478" s="665"/>
      <c r="M1478" s="663"/>
      <c r="N1478" s="665"/>
      <c r="O1478" s="665"/>
      <c r="P1478" s="665"/>
      <c r="Q1478" s="665"/>
      <c r="R1478" s="665"/>
      <c r="S1478" s="665"/>
      <c r="T1478" s="673"/>
      <c r="U1478" s="673"/>
      <c r="V1478" s="673"/>
      <c r="W1478" s="673"/>
      <c r="X1478" s="673"/>
      <c r="Y1478" s="673"/>
      <c r="Z1478" s="673"/>
      <c r="AA1478" s="673"/>
      <c r="AB1478" s="673"/>
      <c r="AC1478" s="673"/>
      <c r="AD1478" s="673"/>
      <c r="AE1478" s="673"/>
      <c r="AF1478" s="673"/>
      <c r="AG1478" s="673"/>
      <c r="AH1478" s="673"/>
    </row>
    <row r="1479">
      <c r="A1479" s="653"/>
      <c r="B1479" s="654"/>
      <c r="C1479" s="691"/>
      <c r="D1479" s="661"/>
      <c r="E1479" s="705"/>
      <c r="F1479" s="659"/>
      <c r="G1479" s="661"/>
      <c r="H1479" s="660"/>
      <c r="I1479" s="691"/>
      <c r="J1479" s="661"/>
      <c r="K1479" s="706"/>
      <c r="L1479" s="665"/>
      <c r="M1479" s="663"/>
      <c r="N1479" s="665"/>
      <c r="O1479" s="665"/>
      <c r="P1479" s="665"/>
      <c r="Q1479" s="665"/>
      <c r="R1479" s="665"/>
      <c r="S1479" s="665"/>
      <c r="T1479" s="673"/>
      <c r="U1479" s="673"/>
      <c r="V1479" s="673"/>
      <c r="W1479" s="673"/>
      <c r="X1479" s="673"/>
      <c r="Y1479" s="673"/>
      <c r="Z1479" s="673"/>
      <c r="AA1479" s="673"/>
      <c r="AB1479" s="673"/>
      <c r="AC1479" s="673"/>
      <c r="AD1479" s="673"/>
      <c r="AE1479" s="673"/>
      <c r="AF1479" s="673"/>
      <c r="AG1479" s="673"/>
      <c r="AH1479" s="673"/>
    </row>
    <row r="1480">
      <c r="A1480" s="653"/>
      <c r="B1480" s="654"/>
      <c r="C1480" s="691"/>
      <c r="D1480" s="661"/>
      <c r="E1480" s="705"/>
      <c r="F1480" s="659"/>
      <c r="G1480" s="661"/>
      <c r="H1480" s="660"/>
      <c r="I1480" s="691"/>
      <c r="J1480" s="661"/>
      <c r="K1480" s="706"/>
      <c r="L1480" s="665"/>
      <c r="M1480" s="663"/>
      <c r="N1480" s="665"/>
      <c r="O1480" s="665"/>
      <c r="P1480" s="665"/>
      <c r="Q1480" s="665"/>
      <c r="R1480" s="665"/>
      <c r="S1480" s="665"/>
      <c r="T1480" s="673"/>
      <c r="U1480" s="673"/>
      <c r="V1480" s="673"/>
      <c r="W1480" s="673"/>
      <c r="X1480" s="673"/>
      <c r="Y1480" s="673"/>
      <c r="Z1480" s="673"/>
      <c r="AA1480" s="673"/>
      <c r="AB1480" s="673"/>
      <c r="AC1480" s="673"/>
      <c r="AD1480" s="673"/>
      <c r="AE1480" s="673"/>
      <c r="AF1480" s="673"/>
      <c r="AG1480" s="673"/>
      <c r="AH1480" s="673"/>
    </row>
    <row r="1481">
      <c r="A1481" s="653"/>
      <c r="B1481" s="654"/>
      <c r="C1481" s="691"/>
      <c r="D1481" s="661"/>
      <c r="E1481" s="705"/>
      <c r="F1481" s="659"/>
      <c r="G1481" s="661"/>
      <c r="H1481" s="660"/>
      <c r="I1481" s="691"/>
      <c r="J1481" s="661"/>
      <c r="K1481" s="706"/>
      <c r="L1481" s="665"/>
      <c r="M1481" s="663"/>
      <c r="N1481" s="665"/>
      <c r="O1481" s="665"/>
      <c r="P1481" s="665"/>
      <c r="Q1481" s="665"/>
      <c r="R1481" s="665"/>
      <c r="S1481" s="665"/>
      <c r="T1481" s="673"/>
      <c r="U1481" s="673"/>
      <c r="V1481" s="673"/>
      <c r="W1481" s="673"/>
      <c r="X1481" s="673"/>
      <c r="Y1481" s="673"/>
      <c r="Z1481" s="673"/>
      <c r="AA1481" s="673"/>
      <c r="AB1481" s="673"/>
      <c r="AC1481" s="673"/>
      <c r="AD1481" s="673"/>
      <c r="AE1481" s="673"/>
      <c r="AF1481" s="673"/>
      <c r="AG1481" s="673"/>
      <c r="AH1481" s="673"/>
    </row>
    <row r="1482">
      <c r="A1482" s="653"/>
      <c r="B1482" s="654"/>
      <c r="C1482" s="691"/>
      <c r="D1482" s="661"/>
      <c r="E1482" s="705"/>
      <c r="F1482" s="659"/>
      <c r="G1482" s="661"/>
      <c r="H1482" s="660"/>
      <c r="I1482" s="691"/>
      <c r="J1482" s="661"/>
      <c r="K1482" s="706"/>
      <c r="L1482" s="665"/>
      <c r="M1482" s="663"/>
      <c r="N1482" s="665"/>
      <c r="O1482" s="665"/>
      <c r="P1482" s="665"/>
      <c r="Q1482" s="665"/>
      <c r="R1482" s="665"/>
      <c r="S1482" s="665"/>
      <c r="T1482" s="673"/>
      <c r="U1482" s="673"/>
      <c r="V1482" s="673"/>
      <c r="W1482" s="673"/>
      <c r="X1482" s="673"/>
      <c r="Y1482" s="673"/>
      <c r="Z1482" s="673"/>
      <c r="AA1482" s="673"/>
      <c r="AB1482" s="673"/>
      <c r="AC1482" s="673"/>
      <c r="AD1482" s="673"/>
      <c r="AE1482" s="673"/>
      <c r="AF1482" s="673"/>
      <c r="AG1482" s="673"/>
      <c r="AH1482" s="673"/>
    </row>
    <row r="1483">
      <c r="A1483" s="653"/>
      <c r="B1483" s="654"/>
      <c r="C1483" s="691"/>
      <c r="D1483" s="661"/>
      <c r="E1483" s="705"/>
      <c r="F1483" s="659"/>
      <c r="G1483" s="661"/>
      <c r="H1483" s="660"/>
      <c r="I1483" s="691"/>
      <c r="J1483" s="661"/>
      <c r="K1483" s="706"/>
      <c r="L1483" s="665"/>
      <c r="M1483" s="663"/>
      <c r="N1483" s="665"/>
      <c r="O1483" s="665"/>
      <c r="P1483" s="665"/>
      <c r="Q1483" s="665"/>
      <c r="R1483" s="665"/>
      <c r="S1483" s="665"/>
      <c r="T1483" s="673"/>
      <c r="U1483" s="673"/>
      <c r="V1483" s="673"/>
      <c r="W1483" s="673"/>
      <c r="X1483" s="673"/>
      <c r="Y1483" s="673"/>
      <c r="Z1483" s="673"/>
      <c r="AA1483" s="673"/>
      <c r="AB1483" s="673"/>
      <c r="AC1483" s="673"/>
      <c r="AD1483" s="673"/>
      <c r="AE1483" s="673"/>
      <c r="AF1483" s="673"/>
      <c r="AG1483" s="673"/>
      <c r="AH1483" s="673"/>
    </row>
    <row r="1484">
      <c r="A1484" s="653"/>
      <c r="B1484" s="654"/>
      <c r="C1484" s="691"/>
      <c r="D1484" s="661"/>
      <c r="E1484" s="705"/>
      <c r="F1484" s="659"/>
      <c r="G1484" s="661"/>
      <c r="H1484" s="660"/>
      <c r="I1484" s="691"/>
      <c r="J1484" s="661"/>
      <c r="K1484" s="706"/>
      <c r="L1484" s="665"/>
      <c r="M1484" s="663"/>
      <c r="N1484" s="665"/>
      <c r="O1484" s="665"/>
      <c r="P1484" s="665"/>
      <c r="Q1484" s="665"/>
      <c r="R1484" s="665"/>
      <c r="S1484" s="665"/>
      <c r="T1484" s="673"/>
      <c r="U1484" s="673"/>
      <c r="V1484" s="673"/>
      <c r="W1484" s="673"/>
      <c r="X1484" s="673"/>
      <c r="Y1484" s="673"/>
      <c r="Z1484" s="673"/>
      <c r="AA1484" s="673"/>
      <c r="AB1484" s="673"/>
      <c r="AC1484" s="673"/>
      <c r="AD1484" s="673"/>
      <c r="AE1484" s="673"/>
      <c r="AF1484" s="673"/>
      <c r="AG1484" s="673"/>
      <c r="AH1484" s="673"/>
    </row>
    <row r="1485">
      <c r="A1485" s="653"/>
      <c r="B1485" s="654"/>
      <c r="C1485" s="691"/>
      <c r="D1485" s="661"/>
      <c r="E1485" s="705"/>
      <c r="F1485" s="659"/>
      <c r="G1485" s="661"/>
      <c r="H1485" s="660"/>
      <c r="I1485" s="691"/>
      <c r="J1485" s="661"/>
      <c r="K1485" s="706"/>
      <c r="L1485" s="665"/>
      <c r="M1485" s="663"/>
      <c r="N1485" s="665"/>
      <c r="O1485" s="665"/>
      <c r="P1485" s="665"/>
      <c r="Q1485" s="665"/>
      <c r="R1485" s="665"/>
      <c r="S1485" s="665"/>
      <c r="T1485" s="673"/>
      <c r="U1485" s="673"/>
      <c r="V1485" s="673"/>
      <c r="W1485" s="673"/>
      <c r="X1485" s="673"/>
      <c r="Y1485" s="673"/>
      <c r="Z1485" s="673"/>
      <c r="AA1485" s="673"/>
      <c r="AB1485" s="673"/>
      <c r="AC1485" s="673"/>
      <c r="AD1485" s="673"/>
      <c r="AE1485" s="673"/>
      <c r="AF1485" s="673"/>
      <c r="AG1485" s="673"/>
      <c r="AH1485" s="673"/>
    </row>
    <row r="1486">
      <c r="A1486" s="653"/>
      <c r="B1486" s="654"/>
      <c r="C1486" s="691"/>
      <c r="D1486" s="661"/>
      <c r="E1486" s="705"/>
      <c r="F1486" s="659"/>
      <c r="G1486" s="661"/>
      <c r="H1486" s="660"/>
      <c r="I1486" s="691"/>
      <c r="J1486" s="661"/>
      <c r="K1486" s="706"/>
      <c r="L1486" s="665"/>
      <c r="M1486" s="663"/>
      <c r="N1486" s="665"/>
      <c r="O1486" s="665"/>
      <c r="P1486" s="665"/>
      <c r="Q1486" s="665"/>
      <c r="R1486" s="665"/>
      <c r="S1486" s="665"/>
      <c r="T1486" s="673"/>
      <c r="U1486" s="673"/>
      <c r="V1486" s="673"/>
      <c r="W1486" s="673"/>
      <c r="X1486" s="673"/>
      <c r="Y1486" s="673"/>
      <c r="Z1486" s="673"/>
      <c r="AA1486" s="673"/>
      <c r="AB1486" s="673"/>
      <c r="AC1486" s="673"/>
      <c r="AD1486" s="673"/>
      <c r="AE1486" s="673"/>
      <c r="AF1486" s="673"/>
      <c r="AG1486" s="673"/>
      <c r="AH1486" s="673"/>
    </row>
    <row r="1487">
      <c r="A1487" s="653"/>
      <c r="B1487" s="654"/>
      <c r="C1487" s="691"/>
      <c r="D1487" s="661"/>
      <c r="E1487" s="705"/>
      <c r="F1487" s="659"/>
      <c r="G1487" s="661"/>
      <c r="H1487" s="660"/>
      <c r="I1487" s="691"/>
      <c r="J1487" s="661"/>
      <c r="K1487" s="706"/>
      <c r="L1487" s="665"/>
      <c r="M1487" s="663"/>
      <c r="N1487" s="665"/>
      <c r="O1487" s="665"/>
      <c r="P1487" s="665"/>
      <c r="Q1487" s="665"/>
      <c r="R1487" s="665"/>
      <c r="S1487" s="665"/>
      <c r="T1487" s="673"/>
      <c r="U1487" s="673"/>
      <c r="V1487" s="673"/>
      <c r="W1487" s="673"/>
      <c r="X1487" s="673"/>
      <c r="Y1487" s="673"/>
      <c r="Z1487" s="673"/>
      <c r="AA1487" s="673"/>
      <c r="AB1487" s="673"/>
      <c r="AC1487" s="673"/>
      <c r="AD1487" s="673"/>
      <c r="AE1487" s="673"/>
      <c r="AF1487" s="673"/>
      <c r="AG1487" s="673"/>
      <c r="AH1487" s="673"/>
    </row>
    <row r="1488">
      <c r="A1488" s="653"/>
      <c r="B1488" s="654"/>
      <c r="C1488" s="691"/>
      <c r="D1488" s="661"/>
      <c r="E1488" s="705"/>
      <c r="F1488" s="659"/>
      <c r="G1488" s="661"/>
      <c r="H1488" s="660"/>
      <c r="I1488" s="691"/>
      <c r="J1488" s="661"/>
      <c r="K1488" s="706"/>
      <c r="L1488" s="665"/>
      <c r="M1488" s="663"/>
      <c r="N1488" s="665"/>
      <c r="O1488" s="665"/>
      <c r="P1488" s="665"/>
      <c r="Q1488" s="665"/>
      <c r="R1488" s="665"/>
      <c r="S1488" s="665"/>
      <c r="T1488" s="673"/>
      <c r="U1488" s="673"/>
      <c r="V1488" s="673"/>
      <c r="W1488" s="673"/>
      <c r="X1488" s="673"/>
      <c r="Y1488" s="673"/>
      <c r="Z1488" s="673"/>
      <c r="AA1488" s="673"/>
      <c r="AB1488" s="673"/>
      <c r="AC1488" s="673"/>
      <c r="AD1488" s="673"/>
      <c r="AE1488" s="673"/>
      <c r="AF1488" s="673"/>
      <c r="AG1488" s="673"/>
      <c r="AH1488" s="673"/>
    </row>
    <row r="1489">
      <c r="A1489" s="653"/>
      <c r="B1489" s="654"/>
      <c r="C1489" s="691"/>
      <c r="D1489" s="661"/>
      <c r="E1489" s="705"/>
      <c r="F1489" s="659"/>
      <c r="G1489" s="661"/>
      <c r="H1489" s="660"/>
      <c r="I1489" s="691"/>
      <c r="J1489" s="661"/>
      <c r="K1489" s="706"/>
      <c r="L1489" s="665"/>
      <c r="M1489" s="663"/>
      <c r="N1489" s="665"/>
      <c r="O1489" s="665"/>
      <c r="P1489" s="665"/>
      <c r="Q1489" s="665"/>
      <c r="R1489" s="665"/>
      <c r="S1489" s="665"/>
      <c r="T1489" s="673"/>
      <c r="U1489" s="673"/>
      <c r="V1489" s="673"/>
      <c r="W1489" s="673"/>
      <c r="X1489" s="673"/>
      <c r="Y1489" s="673"/>
      <c r="Z1489" s="673"/>
      <c r="AA1489" s="673"/>
      <c r="AB1489" s="673"/>
      <c r="AC1489" s="673"/>
      <c r="AD1489" s="673"/>
      <c r="AE1489" s="673"/>
      <c r="AF1489" s="673"/>
      <c r="AG1489" s="673"/>
      <c r="AH1489" s="673"/>
    </row>
    <row r="1490">
      <c r="A1490" s="653"/>
      <c r="B1490" s="654"/>
      <c r="C1490" s="691"/>
      <c r="D1490" s="661"/>
      <c r="E1490" s="705"/>
      <c r="F1490" s="659"/>
      <c r="G1490" s="661"/>
      <c r="H1490" s="660"/>
      <c r="I1490" s="691"/>
      <c r="J1490" s="661"/>
      <c r="K1490" s="706"/>
      <c r="L1490" s="665"/>
      <c r="M1490" s="663"/>
      <c r="N1490" s="665"/>
      <c r="O1490" s="665"/>
      <c r="P1490" s="665"/>
      <c r="Q1490" s="665"/>
      <c r="R1490" s="665"/>
      <c r="S1490" s="665"/>
      <c r="T1490" s="673"/>
      <c r="U1490" s="673"/>
      <c r="V1490" s="673"/>
      <c r="W1490" s="673"/>
      <c r="X1490" s="673"/>
      <c r="Y1490" s="673"/>
      <c r="Z1490" s="673"/>
      <c r="AA1490" s="673"/>
      <c r="AB1490" s="673"/>
      <c r="AC1490" s="673"/>
      <c r="AD1490" s="673"/>
      <c r="AE1490" s="673"/>
      <c r="AF1490" s="673"/>
      <c r="AG1490" s="673"/>
      <c r="AH1490" s="673"/>
    </row>
    <row r="1491">
      <c r="A1491" s="653"/>
      <c r="B1491" s="654"/>
      <c r="C1491" s="691"/>
      <c r="D1491" s="661"/>
      <c r="E1491" s="705"/>
      <c r="F1491" s="659"/>
      <c r="G1491" s="661"/>
      <c r="H1491" s="660"/>
      <c r="I1491" s="691"/>
      <c r="J1491" s="661"/>
      <c r="K1491" s="706"/>
      <c r="L1491" s="665"/>
      <c r="M1491" s="663"/>
      <c r="N1491" s="665"/>
      <c r="O1491" s="665"/>
      <c r="P1491" s="665"/>
      <c r="Q1491" s="665"/>
      <c r="R1491" s="665"/>
      <c r="S1491" s="665"/>
      <c r="T1491" s="673"/>
      <c r="U1491" s="673"/>
      <c r="V1491" s="673"/>
      <c r="W1491" s="673"/>
      <c r="X1491" s="673"/>
      <c r="Y1491" s="673"/>
      <c r="Z1491" s="673"/>
      <c r="AA1491" s="673"/>
      <c r="AB1491" s="673"/>
      <c r="AC1491" s="673"/>
      <c r="AD1491" s="673"/>
      <c r="AE1491" s="673"/>
      <c r="AF1491" s="673"/>
      <c r="AG1491" s="673"/>
      <c r="AH1491" s="673"/>
    </row>
    <row r="1492">
      <c r="A1492" s="653"/>
      <c r="B1492" s="654"/>
      <c r="C1492" s="691"/>
      <c r="D1492" s="661"/>
      <c r="E1492" s="705"/>
      <c r="F1492" s="659"/>
      <c r="G1492" s="661"/>
      <c r="H1492" s="660"/>
      <c r="I1492" s="691"/>
      <c r="J1492" s="661"/>
      <c r="K1492" s="706"/>
      <c r="L1492" s="665"/>
      <c r="M1492" s="663"/>
      <c r="N1492" s="665"/>
      <c r="O1492" s="665"/>
      <c r="P1492" s="665"/>
      <c r="Q1492" s="665"/>
      <c r="R1492" s="665"/>
      <c r="S1492" s="665"/>
      <c r="T1492" s="673"/>
      <c r="U1492" s="673"/>
      <c r="V1492" s="673"/>
      <c r="W1492" s="673"/>
      <c r="X1492" s="673"/>
      <c r="Y1492" s="673"/>
      <c r="Z1492" s="673"/>
      <c r="AA1492" s="673"/>
      <c r="AB1492" s="673"/>
      <c r="AC1492" s="673"/>
      <c r="AD1492" s="673"/>
      <c r="AE1492" s="673"/>
      <c r="AF1492" s="673"/>
      <c r="AG1492" s="673"/>
      <c r="AH1492" s="673"/>
    </row>
    <row r="1493">
      <c r="A1493" s="653"/>
      <c r="B1493" s="654"/>
      <c r="C1493" s="691"/>
      <c r="D1493" s="661"/>
      <c r="E1493" s="705"/>
      <c r="F1493" s="659"/>
      <c r="G1493" s="661"/>
      <c r="H1493" s="660"/>
      <c r="I1493" s="691"/>
      <c r="J1493" s="661"/>
      <c r="K1493" s="706"/>
      <c r="L1493" s="665"/>
      <c r="M1493" s="663"/>
      <c r="N1493" s="665"/>
      <c r="O1493" s="665"/>
      <c r="P1493" s="665"/>
      <c r="Q1493" s="665"/>
      <c r="R1493" s="665"/>
      <c r="S1493" s="665"/>
      <c r="T1493" s="673"/>
      <c r="U1493" s="673"/>
      <c r="V1493" s="673"/>
      <c r="W1493" s="673"/>
      <c r="X1493" s="673"/>
      <c r="Y1493" s="673"/>
      <c r="Z1493" s="673"/>
      <c r="AA1493" s="673"/>
      <c r="AB1493" s="673"/>
      <c r="AC1493" s="673"/>
      <c r="AD1493" s="673"/>
      <c r="AE1493" s="673"/>
      <c r="AF1493" s="673"/>
      <c r="AG1493" s="673"/>
      <c r="AH1493" s="673"/>
    </row>
    <row r="1494">
      <c r="A1494" s="653"/>
      <c r="B1494" s="654"/>
      <c r="C1494" s="691"/>
      <c r="D1494" s="661"/>
      <c r="E1494" s="705"/>
      <c r="F1494" s="659"/>
      <c r="G1494" s="661"/>
      <c r="H1494" s="660"/>
      <c r="I1494" s="691"/>
      <c r="J1494" s="661"/>
      <c r="K1494" s="706"/>
      <c r="L1494" s="665"/>
      <c r="M1494" s="663"/>
      <c r="N1494" s="665"/>
      <c r="O1494" s="665"/>
      <c r="P1494" s="665"/>
      <c r="Q1494" s="665"/>
      <c r="R1494" s="665"/>
      <c r="S1494" s="665"/>
      <c r="T1494" s="673"/>
      <c r="U1494" s="673"/>
      <c r="V1494" s="673"/>
      <c r="W1494" s="673"/>
      <c r="X1494" s="673"/>
      <c r="Y1494" s="673"/>
      <c r="Z1494" s="673"/>
      <c r="AA1494" s="673"/>
      <c r="AB1494" s="673"/>
      <c r="AC1494" s="673"/>
      <c r="AD1494" s="673"/>
      <c r="AE1494" s="673"/>
      <c r="AF1494" s="673"/>
      <c r="AG1494" s="673"/>
      <c r="AH1494" s="673"/>
    </row>
    <row r="1495">
      <c r="A1495" s="653"/>
      <c r="B1495" s="654"/>
      <c r="C1495" s="691"/>
      <c r="D1495" s="661"/>
      <c r="E1495" s="705"/>
      <c r="F1495" s="659"/>
      <c r="G1495" s="661"/>
      <c r="H1495" s="660"/>
      <c r="I1495" s="691"/>
      <c r="J1495" s="661"/>
      <c r="K1495" s="706"/>
      <c r="L1495" s="665"/>
      <c r="M1495" s="663"/>
      <c r="N1495" s="665"/>
      <c r="O1495" s="665"/>
      <c r="P1495" s="665"/>
      <c r="Q1495" s="665"/>
      <c r="R1495" s="665"/>
      <c r="S1495" s="665"/>
      <c r="T1495" s="673"/>
      <c r="U1495" s="673"/>
      <c r="V1495" s="673"/>
      <c r="W1495" s="673"/>
      <c r="X1495" s="673"/>
      <c r="Y1495" s="673"/>
      <c r="Z1495" s="673"/>
      <c r="AA1495" s="673"/>
      <c r="AB1495" s="673"/>
      <c r="AC1495" s="673"/>
      <c r="AD1495" s="673"/>
      <c r="AE1495" s="673"/>
      <c r="AF1495" s="673"/>
      <c r="AG1495" s="673"/>
      <c r="AH1495" s="673"/>
    </row>
    <row r="1496">
      <c r="A1496" s="653"/>
      <c r="B1496" s="654"/>
      <c r="C1496" s="691"/>
      <c r="D1496" s="661"/>
      <c r="E1496" s="705"/>
      <c r="F1496" s="659"/>
      <c r="G1496" s="661"/>
      <c r="H1496" s="660"/>
      <c r="I1496" s="691"/>
      <c r="J1496" s="661"/>
      <c r="K1496" s="706"/>
      <c r="L1496" s="665"/>
      <c r="M1496" s="663"/>
      <c r="N1496" s="665"/>
      <c r="O1496" s="665"/>
      <c r="P1496" s="665"/>
      <c r="Q1496" s="665"/>
      <c r="R1496" s="665"/>
      <c r="S1496" s="665"/>
      <c r="T1496" s="673"/>
      <c r="U1496" s="673"/>
      <c r="V1496" s="673"/>
      <c r="W1496" s="673"/>
      <c r="X1496" s="673"/>
      <c r="Y1496" s="673"/>
      <c r="Z1496" s="673"/>
      <c r="AA1496" s="673"/>
      <c r="AB1496" s="673"/>
      <c r="AC1496" s="673"/>
      <c r="AD1496" s="673"/>
      <c r="AE1496" s="673"/>
      <c r="AF1496" s="673"/>
      <c r="AG1496" s="673"/>
      <c r="AH1496" s="673"/>
    </row>
    <row r="1497">
      <c r="A1497" s="653"/>
      <c r="B1497" s="654"/>
      <c r="C1497" s="691"/>
      <c r="D1497" s="661"/>
      <c r="E1497" s="705"/>
      <c r="F1497" s="659"/>
      <c r="G1497" s="661"/>
      <c r="H1497" s="660"/>
      <c r="I1497" s="691"/>
      <c r="J1497" s="661"/>
      <c r="K1497" s="706"/>
      <c r="L1497" s="665"/>
      <c r="M1497" s="663"/>
      <c r="N1497" s="665"/>
      <c r="O1497" s="665"/>
      <c r="P1497" s="665"/>
      <c r="Q1497" s="665"/>
      <c r="R1497" s="665"/>
      <c r="S1497" s="665"/>
      <c r="T1497" s="673"/>
      <c r="U1497" s="673"/>
      <c r="V1497" s="673"/>
      <c r="W1497" s="673"/>
      <c r="X1497" s="673"/>
      <c r="Y1497" s="673"/>
      <c r="Z1497" s="673"/>
      <c r="AA1497" s="673"/>
      <c r="AB1497" s="673"/>
      <c r="AC1497" s="673"/>
      <c r="AD1497" s="673"/>
      <c r="AE1497" s="673"/>
      <c r="AF1497" s="673"/>
      <c r="AG1497" s="673"/>
      <c r="AH1497" s="673"/>
    </row>
    <row r="1498">
      <c r="A1498" s="653"/>
      <c r="B1498" s="654"/>
      <c r="C1498" s="691"/>
      <c r="D1498" s="661"/>
      <c r="E1498" s="705"/>
      <c r="F1498" s="659"/>
      <c r="G1498" s="661"/>
      <c r="H1498" s="660"/>
      <c r="I1498" s="691"/>
      <c r="J1498" s="661"/>
      <c r="K1498" s="706"/>
      <c r="L1498" s="665"/>
      <c r="M1498" s="663"/>
      <c r="N1498" s="665"/>
      <c r="O1498" s="665"/>
      <c r="P1498" s="665"/>
      <c r="Q1498" s="665"/>
      <c r="R1498" s="665"/>
      <c r="S1498" s="665"/>
      <c r="T1498" s="673"/>
      <c r="U1498" s="673"/>
      <c r="V1498" s="673"/>
      <c r="W1498" s="673"/>
      <c r="X1498" s="673"/>
      <c r="Y1498" s="673"/>
      <c r="Z1498" s="673"/>
      <c r="AA1498" s="673"/>
      <c r="AB1498" s="673"/>
      <c r="AC1498" s="673"/>
      <c r="AD1498" s="673"/>
      <c r="AE1498" s="673"/>
      <c r="AF1498" s="673"/>
      <c r="AG1498" s="673"/>
      <c r="AH1498" s="673"/>
    </row>
    <row r="1499">
      <c r="A1499" s="653"/>
      <c r="B1499" s="654"/>
      <c r="C1499" s="691"/>
      <c r="D1499" s="661"/>
      <c r="E1499" s="705"/>
      <c r="F1499" s="659"/>
      <c r="G1499" s="661"/>
      <c r="H1499" s="660"/>
      <c r="I1499" s="691"/>
      <c r="J1499" s="661"/>
      <c r="K1499" s="706"/>
      <c r="L1499" s="665"/>
      <c r="M1499" s="663"/>
      <c r="N1499" s="665"/>
      <c r="O1499" s="665"/>
      <c r="P1499" s="665"/>
      <c r="Q1499" s="665"/>
      <c r="R1499" s="665"/>
      <c r="S1499" s="665"/>
      <c r="T1499" s="673"/>
      <c r="U1499" s="673"/>
      <c r="V1499" s="673"/>
      <c r="W1499" s="673"/>
      <c r="X1499" s="673"/>
      <c r="Y1499" s="673"/>
      <c r="Z1499" s="673"/>
      <c r="AA1499" s="673"/>
      <c r="AB1499" s="673"/>
      <c r="AC1499" s="673"/>
      <c r="AD1499" s="673"/>
      <c r="AE1499" s="673"/>
      <c r="AF1499" s="673"/>
      <c r="AG1499" s="673"/>
      <c r="AH1499" s="673"/>
    </row>
    <row r="1500">
      <c r="A1500" s="653"/>
      <c r="B1500" s="654"/>
      <c r="C1500" s="691"/>
      <c r="D1500" s="661"/>
      <c r="E1500" s="705"/>
      <c r="F1500" s="659"/>
      <c r="G1500" s="661"/>
      <c r="H1500" s="660"/>
      <c r="I1500" s="691"/>
      <c r="J1500" s="661"/>
      <c r="K1500" s="706"/>
      <c r="L1500" s="665"/>
      <c r="M1500" s="663"/>
      <c r="N1500" s="665"/>
      <c r="O1500" s="665"/>
      <c r="P1500" s="665"/>
      <c r="Q1500" s="665"/>
      <c r="R1500" s="665"/>
      <c r="S1500" s="665"/>
      <c r="T1500" s="673"/>
      <c r="U1500" s="673"/>
      <c r="V1500" s="673"/>
      <c r="W1500" s="673"/>
      <c r="X1500" s="673"/>
      <c r="Y1500" s="673"/>
      <c r="Z1500" s="673"/>
      <c r="AA1500" s="673"/>
      <c r="AB1500" s="673"/>
      <c r="AC1500" s="673"/>
      <c r="AD1500" s="673"/>
      <c r="AE1500" s="673"/>
      <c r="AF1500" s="673"/>
      <c r="AG1500" s="673"/>
      <c r="AH1500" s="673"/>
    </row>
    <row r="1501">
      <c r="A1501" s="653"/>
      <c r="B1501" s="654"/>
      <c r="C1501" s="691"/>
      <c r="D1501" s="661"/>
      <c r="E1501" s="705"/>
      <c r="F1501" s="659"/>
      <c r="G1501" s="661"/>
      <c r="H1501" s="660"/>
      <c r="I1501" s="691"/>
      <c r="J1501" s="661"/>
      <c r="K1501" s="706"/>
      <c r="L1501" s="665"/>
      <c r="M1501" s="663"/>
      <c r="N1501" s="665"/>
      <c r="O1501" s="665"/>
      <c r="P1501" s="665"/>
      <c r="Q1501" s="665"/>
      <c r="R1501" s="665"/>
      <c r="S1501" s="665"/>
      <c r="T1501" s="673"/>
      <c r="U1501" s="673"/>
      <c r="V1501" s="673"/>
      <c r="W1501" s="673"/>
      <c r="X1501" s="673"/>
      <c r="Y1501" s="673"/>
      <c r="Z1501" s="673"/>
      <c r="AA1501" s="673"/>
      <c r="AB1501" s="673"/>
      <c r="AC1501" s="673"/>
      <c r="AD1501" s="673"/>
      <c r="AE1501" s="673"/>
      <c r="AF1501" s="673"/>
      <c r="AG1501" s="673"/>
      <c r="AH1501" s="673"/>
    </row>
    <row r="1502">
      <c r="A1502" s="653"/>
      <c r="B1502" s="654"/>
      <c r="C1502" s="691"/>
      <c r="D1502" s="661"/>
      <c r="E1502" s="705"/>
      <c r="F1502" s="659"/>
      <c r="G1502" s="661"/>
      <c r="H1502" s="660"/>
      <c r="I1502" s="691"/>
      <c r="J1502" s="661"/>
      <c r="K1502" s="706"/>
      <c r="L1502" s="665"/>
      <c r="M1502" s="663"/>
      <c r="N1502" s="665"/>
      <c r="O1502" s="665"/>
      <c r="P1502" s="665"/>
      <c r="Q1502" s="665"/>
      <c r="R1502" s="665"/>
      <c r="S1502" s="665"/>
      <c r="T1502" s="673"/>
      <c r="U1502" s="673"/>
      <c r="V1502" s="673"/>
      <c r="W1502" s="673"/>
      <c r="X1502" s="673"/>
      <c r="Y1502" s="673"/>
      <c r="Z1502" s="673"/>
      <c r="AA1502" s="673"/>
      <c r="AB1502" s="673"/>
      <c r="AC1502" s="673"/>
      <c r="AD1502" s="673"/>
      <c r="AE1502" s="673"/>
      <c r="AF1502" s="673"/>
      <c r="AG1502" s="673"/>
      <c r="AH1502" s="673"/>
    </row>
    <row r="1503">
      <c r="A1503" s="653"/>
      <c r="B1503" s="654"/>
      <c r="C1503" s="691"/>
      <c r="D1503" s="661"/>
      <c r="E1503" s="705"/>
      <c r="F1503" s="659"/>
      <c r="G1503" s="661"/>
      <c r="H1503" s="660"/>
      <c r="I1503" s="691"/>
      <c r="J1503" s="661"/>
      <c r="K1503" s="706"/>
      <c r="L1503" s="665"/>
      <c r="M1503" s="663"/>
      <c r="N1503" s="665"/>
      <c r="O1503" s="665"/>
      <c r="P1503" s="665"/>
      <c r="Q1503" s="665"/>
      <c r="R1503" s="665"/>
      <c r="S1503" s="665"/>
      <c r="T1503" s="673"/>
      <c r="U1503" s="673"/>
      <c r="V1503" s="673"/>
      <c r="W1503" s="673"/>
      <c r="X1503" s="673"/>
      <c r="Y1503" s="673"/>
      <c r="Z1503" s="673"/>
      <c r="AA1503" s="673"/>
      <c r="AB1503" s="673"/>
      <c r="AC1503" s="673"/>
      <c r="AD1503" s="673"/>
      <c r="AE1503" s="673"/>
      <c r="AF1503" s="673"/>
      <c r="AG1503" s="673"/>
      <c r="AH1503" s="673"/>
    </row>
    <row r="1504">
      <c r="A1504" s="653"/>
      <c r="B1504" s="654"/>
      <c r="C1504" s="691"/>
      <c r="D1504" s="661"/>
      <c r="E1504" s="705"/>
      <c r="F1504" s="659"/>
      <c r="G1504" s="661"/>
      <c r="H1504" s="660"/>
      <c r="I1504" s="691"/>
      <c r="J1504" s="661"/>
      <c r="K1504" s="706"/>
      <c r="L1504" s="665"/>
      <c r="M1504" s="663"/>
      <c r="N1504" s="665"/>
      <c r="O1504" s="665"/>
      <c r="P1504" s="665"/>
      <c r="Q1504" s="665"/>
      <c r="R1504" s="665"/>
      <c r="S1504" s="665"/>
      <c r="T1504" s="673"/>
      <c r="U1504" s="673"/>
      <c r="V1504" s="673"/>
      <c r="W1504" s="673"/>
      <c r="X1504" s="673"/>
      <c r="Y1504" s="673"/>
      <c r="Z1504" s="673"/>
      <c r="AA1504" s="673"/>
      <c r="AB1504" s="673"/>
      <c r="AC1504" s="673"/>
      <c r="AD1504" s="673"/>
      <c r="AE1504" s="673"/>
      <c r="AF1504" s="673"/>
      <c r="AG1504" s="673"/>
      <c r="AH1504" s="673"/>
    </row>
    <row r="1505">
      <c r="A1505" s="653"/>
      <c r="B1505" s="654"/>
      <c r="C1505" s="691"/>
      <c r="D1505" s="661"/>
      <c r="E1505" s="705"/>
      <c r="F1505" s="659"/>
      <c r="G1505" s="661"/>
      <c r="H1505" s="660"/>
      <c r="I1505" s="691"/>
      <c r="J1505" s="661"/>
      <c r="K1505" s="706"/>
      <c r="L1505" s="665"/>
      <c r="M1505" s="663"/>
      <c r="N1505" s="665"/>
      <c r="O1505" s="665"/>
      <c r="P1505" s="665"/>
      <c r="Q1505" s="665"/>
      <c r="R1505" s="665"/>
      <c r="S1505" s="665"/>
      <c r="T1505" s="673"/>
      <c r="U1505" s="673"/>
      <c r="V1505" s="673"/>
      <c r="W1505" s="673"/>
      <c r="X1505" s="673"/>
      <c r="Y1505" s="673"/>
      <c r="Z1505" s="673"/>
      <c r="AA1505" s="673"/>
      <c r="AB1505" s="673"/>
      <c r="AC1505" s="673"/>
      <c r="AD1505" s="673"/>
      <c r="AE1505" s="673"/>
      <c r="AF1505" s="673"/>
      <c r="AG1505" s="673"/>
      <c r="AH1505" s="673"/>
    </row>
    <row r="1506">
      <c r="A1506" s="653"/>
      <c r="B1506" s="654"/>
      <c r="C1506" s="691"/>
      <c r="D1506" s="661"/>
      <c r="E1506" s="705"/>
      <c r="F1506" s="659"/>
      <c r="G1506" s="661"/>
      <c r="H1506" s="660"/>
      <c r="I1506" s="691"/>
      <c r="J1506" s="661"/>
      <c r="K1506" s="706"/>
      <c r="L1506" s="665"/>
      <c r="M1506" s="663"/>
      <c r="N1506" s="665"/>
      <c r="O1506" s="665"/>
      <c r="P1506" s="665"/>
      <c r="Q1506" s="665"/>
      <c r="R1506" s="665"/>
      <c r="S1506" s="665"/>
      <c r="T1506" s="673"/>
      <c r="U1506" s="673"/>
      <c r="V1506" s="673"/>
      <c r="W1506" s="673"/>
      <c r="X1506" s="673"/>
      <c r="Y1506" s="673"/>
      <c r="Z1506" s="673"/>
      <c r="AA1506" s="673"/>
      <c r="AB1506" s="673"/>
      <c r="AC1506" s="673"/>
      <c r="AD1506" s="673"/>
      <c r="AE1506" s="673"/>
      <c r="AF1506" s="673"/>
      <c r="AG1506" s="673"/>
      <c r="AH1506" s="673"/>
    </row>
    <row r="1507">
      <c r="A1507" s="653"/>
      <c r="B1507" s="654"/>
      <c r="C1507" s="691"/>
      <c r="D1507" s="661"/>
      <c r="E1507" s="705"/>
      <c r="F1507" s="659"/>
      <c r="G1507" s="661"/>
      <c r="H1507" s="660"/>
      <c r="I1507" s="691"/>
      <c r="J1507" s="661"/>
      <c r="K1507" s="706"/>
      <c r="L1507" s="665"/>
      <c r="M1507" s="663"/>
      <c r="N1507" s="665"/>
      <c r="O1507" s="665"/>
      <c r="P1507" s="665"/>
      <c r="Q1507" s="665"/>
      <c r="R1507" s="665"/>
      <c r="S1507" s="665"/>
      <c r="T1507" s="673"/>
      <c r="U1507" s="673"/>
      <c r="V1507" s="673"/>
      <c r="W1507" s="673"/>
      <c r="X1507" s="673"/>
      <c r="Y1507" s="673"/>
      <c r="Z1507" s="673"/>
      <c r="AA1507" s="673"/>
      <c r="AB1507" s="673"/>
      <c r="AC1507" s="673"/>
      <c r="AD1507" s="673"/>
      <c r="AE1507" s="673"/>
      <c r="AF1507" s="673"/>
      <c r="AG1507" s="673"/>
      <c r="AH1507" s="673"/>
    </row>
    <row r="1508">
      <c r="A1508" s="653"/>
      <c r="B1508" s="654"/>
      <c r="C1508" s="691"/>
      <c r="D1508" s="661"/>
      <c r="E1508" s="705"/>
      <c r="F1508" s="659"/>
      <c r="G1508" s="661"/>
      <c r="H1508" s="660"/>
      <c r="I1508" s="691"/>
      <c r="J1508" s="661"/>
      <c r="K1508" s="706"/>
      <c r="L1508" s="665"/>
      <c r="M1508" s="663"/>
      <c r="N1508" s="665"/>
      <c r="O1508" s="665"/>
      <c r="P1508" s="665"/>
      <c r="Q1508" s="665"/>
      <c r="R1508" s="665"/>
      <c r="S1508" s="665"/>
      <c r="T1508" s="673"/>
      <c r="U1508" s="673"/>
      <c r="V1508" s="673"/>
      <c r="W1508" s="673"/>
      <c r="X1508" s="673"/>
      <c r="Y1508" s="673"/>
      <c r="Z1508" s="673"/>
      <c r="AA1508" s="673"/>
      <c r="AB1508" s="673"/>
      <c r="AC1508" s="673"/>
      <c r="AD1508" s="673"/>
      <c r="AE1508" s="673"/>
      <c r="AF1508" s="673"/>
      <c r="AG1508" s="673"/>
      <c r="AH1508" s="673"/>
    </row>
    <row r="1509">
      <c r="A1509" s="653"/>
      <c r="B1509" s="654"/>
      <c r="C1509" s="691"/>
      <c r="D1509" s="661"/>
      <c r="E1509" s="705"/>
      <c r="F1509" s="659"/>
      <c r="G1509" s="661"/>
      <c r="H1509" s="660"/>
      <c r="I1509" s="691"/>
      <c r="J1509" s="661"/>
      <c r="K1509" s="706"/>
      <c r="L1509" s="665"/>
      <c r="M1509" s="663"/>
      <c r="N1509" s="665"/>
      <c r="O1509" s="665"/>
      <c r="P1509" s="665"/>
      <c r="Q1509" s="665"/>
      <c r="R1509" s="665"/>
      <c r="S1509" s="665"/>
      <c r="T1509" s="673"/>
      <c r="U1509" s="673"/>
      <c r="V1509" s="673"/>
      <c r="W1509" s="673"/>
      <c r="X1509" s="673"/>
      <c r="Y1509" s="673"/>
      <c r="Z1509" s="673"/>
      <c r="AA1509" s="673"/>
      <c r="AB1509" s="673"/>
      <c r="AC1509" s="673"/>
      <c r="AD1509" s="673"/>
      <c r="AE1509" s="673"/>
      <c r="AF1509" s="673"/>
      <c r="AG1509" s="673"/>
      <c r="AH1509" s="673"/>
    </row>
    <row r="1510">
      <c r="A1510" s="653"/>
      <c r="B1510" s="654"/>
      <c r="C1510" s="691"/>
      <c r="D1510" s="661"/>
      <c r="E1510" s="705"/>
      <c r="F1510" s="659"/>
      <c r="G1510" s="661"/>
      <c r="H1510" s="660"/>
      <c r="I1510" s="691"/>
      <c r="J1510" s="661"/>
      <c r="K1510" s="706"/>
      <c r="L1510" s="665"/>
      <c r="M1510" s="663"/>
      <c r="N1510" s="665"/>
      <c r="O1510" s="665"/>
      <c r="P1510" s="665"/>
      <c r="Q1510" s="665"/>
      <c r="R1510" s="665"/>
      <c r="S1510" s="665"/>
      <c r="T1510" s="673"/>
      <c r="U1510" s="673"/>
      <c r="V1510" s="673"/>
      <c r="W1510" s="673"/>
      <c r="X1510" s="673"/>
      <c r="Y1510" s="673"/>
      <c r="Z1510" s="673"/>
      <c r="AA1510" s="673"/>
      <c r="AB1510" s="673"/>
      <c r="AC1510" s="673"/>
      <c r="AD1510" s="673"/>
      <c r="AE1510" s="673"/>
      <c r="AF1510" s="673"/>
      <c r="AG1510" s="673"/>
      <c r="AH1510" s="673"/>
    </row>
    <row r="1511">
      <c r="A1511" s="653"/>
      <c r="B1511" s="654"/>
      <c r="C1511" s="691"/>
      <c r="D1511" s="661"/>
      <c r="E1511" s="705"/>
      <c r="F1511" s="659"/>
      <c r="G1511" s="661"/>
      <c r="H1511" s="660"/>
      <c r="I1511" s="691"/>
      <c r="J1511" s="661"/>
      <c r="K1511" s="706"/>
      <c r="L1511" s="665"/>
      <c r="M1511" s="663"/>
      <c r="N1511" s="665"/>
      <c r="O1511" s="665"/>
      <c r="P1511" s="665"/>
      <c r="Q1511" s="665"/>
      <c r="R1511" s="665"/>
      <c r="S1511" s="665"/>
      <c r="T1511" s="673"/>
      <c r="U1511" s="673"/>
      <c r="V1511" s="673"/>
      <c r="W1511" s="673"/>
      <c r="X1511" s="673"/>
      <c r="Y1511" s="673"/>
      <c r="Z1511" s="673"/>
      <c r="AA1511" s="673"/>
      <c r="AB1511" s="673"/>
      <c r="AC1511" s="673"/>
      <c r="AD1511" s="673"/>
      <c r="AE1511" s="673"/>
      <c r="AF1511" s="673"/>
      <c r="AG1511" s="673"/>
      <c r="AH1511" s="673"/>
    </row>
    <row r="1512">
      <c r="A1512" s="653"/>
      <c r="B1512" s="654"/>
      <c r="C1512" s="691"/>
      <c r="D1512" s="661"/>
      <c r="E1512" s="705"/>
      <c r="F1512" s="659"/>
      <c r="G1512" s="661"/>
      <c r="H1512" s="660"/>
      <c r="I1512" s="691"/>
      <c r="J1512" s="661"/>
      <c r="K1512" s="706"/>
      <c r="L1512" s="665"/>
      <c r="M1512" s="663"/>
      <c r="N1512" s="665"/>
      <c r="O1512" s="665"/>
      <c r="P1512" s="665"/>
      <c r="Q1512" s="665"/>
      <c r="R1512" s="665"/>
      <c r="S1512" s="665"/>
      <c r="T1512" s="673"/>
      <c r="U1512" s="673"/>
      <c r="V1512" s="673"/>
      <c r="W1512" s="673"/>
      <c r="X1512" s="673"/>
      <c r="Y1512" s="673"/>
      <c r="Z1512" s="673"/>
      <c r="AA1512" s="673"/>
      <c r="AB1512" s="673"/>
      <c r="AC1512" s="673"/>
      <c r="AD1512" s="673"/>
      <c r="AE1512" s="673"/>
      <c r="AF1512" s="673"/>
      <c r="AG1512" s="673"/>
      <c r="AH1512" s="673"/>
    </row>
    <row r="1513">
      <c r="A1513" s="653"/>
      <c r="B1513" s="654"/>
      <c r="C1513" s="691"/>
      <c r="D1513" s="661"/>
      <c r="E1513" s="705"/>
      <c r="F1513" s="659"/>
      <c r="G1513" s="661"/>
      <c r="H1513" s="660"/>
      <c r="I1513" s="691"/>
      <c r="J1513" s="661"/>
      <c r="K1513" s="706"/>
      <c r="L1513" s="665"/>
      <c r="M1513" s="663"/>
      <c r="N1513" s="665"/>
      <c r="O1513" s="665"/>
      <c r="P1513" s="665"/>
      <c r="Q1513" s="665"/>
      <c r="R1513" s="665"/>
      <c r="S1513" s="665"/>
      <c r="T1513" s="673"/>
      <c r="U1513" s="673"/>
      <c r="V1513" s="673"/>
      <c r="W1513" s="673"/>
      <c r="X1513" s="673"/>
      <c r="Y1513" s="673"/>
      <c r="Z1513" s="673"/>
      <c r="AA1513" s="673"/>
      <c r="AB1513" s="673"/>
      <c r="AC1513" s="673"/>
      <c r="AD1513" s="673"/>
      <c r="AE1513" s="673"/>
      <c r="AF1513" s="673"/>
      <c r="AG1513" s="673"/>
      <c r="AH1513" s="673"/>
    </row>
    <row r="1514">
      <c r="A1514" s="653"/>
      <c r="B1514" s="654"/>
      <c r="C1514" s="691"/>
      <c r="D1514" s="661"/>
      <c r="E1514" s="705"/>
      <c r="F1514" s="659"/>
      <c r="G1514" s="661"/>
      <c r="H1514" s="660"/>
      <c r="I1514" s="691"/>
      <c r="J1514" s="661"/>
      <c r="K1514" s="706"/>
      <c r="L1514" s="665"/>
      <c r="M1514" s="663"/>
      <c r="N1514" s="665"/>
      <c r="O1514" s="665"/>
      <c r="P1514" s="665"/>
      <c r="Q1514" s="665"/>
      <c r="R1514" s="665"/>
      <c r="S1514" s="665"/>
      <c r="T1514" s="673"/>
      <c r="U1514" s="673"/>
      <c r="V1514" s="673"/>
      <c r="W1514" s="673"/>
      <c r="X1514" s="673"/>
      <c r="Y1514" s="673"/>
      <c r="Z1514" s="673"/>
      <c r="AA1514" s="673"/>
      <c r="AB1514" s="673"/>
      <c r="AC1514" s="673"/>
      <c r="AD1514" s="673"/>
      <c r="AE1514" s="673"/>
      <c r="AF1514" s="673"/>
      <c r="AG1514" s="673"/>
      <c r="AH1514" s="673"/>
    </row>
    <row r="1515">
      <c r="A1515" s="653"/>
      <c r="B1515" s="654"/>
      <c r="C1515" s="691"/>
      <c r="D1515" s="661"/>
      <c r="E1515" s="705"/>
      <c r="F1515" s="659"/>
      <c r="G1515" s="661"/>
      <c r="H1515" s="660"/>
      <c r="I1515" s="691"/>
      <c r="J1515" s="661"/>
      <c r="K1515" s="706"/>
      <c r="L1515" s="665"/>
      <c r="M1515" s="663"/>
      <c r="N1515" s="665"/>
      <c r="O1515" s="665"/>
      <c r="P1515" s="665"/>
      <c r="Q1515" s="665"/>
      <c r="R1515" s="665"/>
      <c r="S1515" s="665"/>
      <c r="T1515" s="673"/>
      <c r="U1515" s="673"/>
      <c r="V1515" s="673"/>
      <c r="W1515" s="673"/>
      <c r="X1515" s="673"/>
      <c r="Y1515" s="673"/>
      <c r="Z1515" s="673"/>
      <c r="AA1515" s="673"/>
      <c r="AB1515" s="673"/>
      <c r="AC1515" s="673"/>
      <c r="AD1515" s="673"/>
      <c r="AE1515" s="673"/>
      <c r="AF1515" s="673"/>
      <c r="AG1515" s="673"/>
      <c r="AH1515" s="673"/>
    </row>
    <row r="1516">
      <c r="A1516" s="653"/>
      <c r="B1516" s="654"/>
      <c r="C1516" s="691"/>
      <c r="D1516" s="661"/>
      <c r="E1516" s="705"/>
      <c r="F1516" s="659"/>
      <c r="G1516" s="661"/>
      <c r="H1516" s="660"/>
      <c r="I1516" s="691"/>
      <c r="J1516" s="661"/>
      <c r="K1516" s="706"/>
      <c r="L1516" s="665"/>
      <c r="M1516" s="663"/>
      <c r="N1516" s="665"/>
      <c r="O1516" s="665"/>
      <c r="P1516" s="665"/>
      <c r="Q1516" s="665"/>
      <c r="R1516" s="665"/>
      <c r="S1516" s="665"/>
      <c r="T1516" s="673"/>
      <c r="U1516" s="673"/>
      <c r="V1516" s="673"/>
      <c r="W1516" s="673"/>
      <c r="X1516" s="673"/>
      <c r="Y1516" s="673"/>
      <c r="Z1516" s="673"/>
      <c r="AA1516" s="673"/>
      <c r="AB1516" s="673"/>
      <c r="AC1516" s="673"/>
      <c r="AD1516" s="673"/>
      <c r="AE1516" s="673"/>
      <c r="AF1516" s="673"/>
      <c r="AG1516" s="673"/>
      <c r="AH1516" s="673"/>
    </row>
    <row r="1517">
      <c r="A1517" s="653"/>
      <c r="B1517" s="654"/>
      <c r="C1517" s="691"/>
      <c r="D1517" s="661"/>
      <c r="E1517" s="705"/>
      <c r="F1517" s="659"/>
      <c r="G1517" s="661"/>
      <c r="H1517" s="660"/>
      <c r="I1517" s="691"/>
      <c r="J1517" s="661"/>
      <c r="K1517" s="706"/>
      <c r="L1517" s="665"/>
      <c r="M1517" s="663"/>
      <c r="N1517" s="665"/>
      <c r="O1517" s="665"/>
      <c r="P1517" s="665"/>
      <c r="Q1517" s="665"/>
      <c r="R1517" s="665"/>
      <c r="S1517" s="665"/>
      <c r="T1517" s="673"/>
      <c r="U1517" s="673"/>
      <c r="V1517" s="673"/>
      <c r="W1517" s="673"/>
      <c r="X1517" s="673"/>
      <c r="Y1517" s="673"/>
      <c r="Z1517" s="673"/>
      <c r="AA1517" s="673"/>
      <c r="AB1517" s="673"/>
      <c r="AC1517" s="673"/>
      <c r="AD1517" s="673"/>
      <c r="AE1517" s="673"/>
      <c r="AF1517" s="673"/>
      <c r="AG1517" s="673"/>
      <c r="AH1517" s="673"/>
    </row>
    <row r="1518">
      <c r="A1518" s="653"/>
      <c r="B1518" s="654"/>
      <c r="C1518" s="691"/>
      <c r="D1518" s="661"/>
      <c r="E1518" s="705"/>
      <c r="F1518" s="659"/>
      <c r="G1518" s="661"/>
      <c r="H1518" s="660"/>
      <c r="I1518" s="691"/>
      <c r="J1518" s="661"/>
      <c r="K1518" s="706"/>
      <c r="L1518" s="665"/>
      <c r="M1518" s="663"/>
      <c r="N1518" s="665"/>
      <c r="O1518" s="665"/>
      <c r="P1518" s="665"/>
      <c r="Q1518" s="665"/>
      <c r="R1518" s="665"/>
      <c r="S1518" s="665"/>
      <c r="T1518" s="673"/>
      <c r="U1518" s="673"/>
      <c r="V1518" s="673"/>
      <c r="W1518" s="673"/>
      <c r="X1518" s="673"/>
      <c r="Y1518" s="673"/>
      <c r="Z1518" s="673"/>
      <c r="AA1518" s="673"/>
      <c r="AB1518" s="673"/>
      <c r="AC1518" s="673"/>
      <c r="AD1518" s="673"/>
      <c r="AE1518" s="673"/>
      <c r="AF1518" s="673"/>
      <c r="AG1518" s="673"/>
      <c r="AH1518" s="673"/>
    </row>
    <row r="1519">
      <c r="A1519" s="653"/>
      <c r="B1519" s="654"/>
      <c r="C1519" s="691"/>
      <c r="D1519" s="661"/>
      <c r="E1519" s="705"/>
      <c r="F1519" s="659"/>
      <c r="G1519" s="661"/>
      <c r="H1519" s="660"/>
      <c r="I1519" s="691"/>
      <c r="J1519" s="661"/>
      <c r="K1519" s="706"/>
      <c r="L1519" s="665"/>
      <c r="M1519" s="663"/>
      <c r="N1519" s="665"/>
      <c r="O1519" s="665"/>
      <c r="P1519" s="665"/>
      <c r="Q1519" s="665"/>
      <c r="R1519" s="665"/>
      <c r="S1519" s="665"/>
      <c r="T1519" s="673"/>
      <c r="U1519" s="673"/>
      <c r="V1519" s="673"/>
      <c r="W1519" s="673"/>
      <c r="X1519" s="673"/>
      <c r="Y1519" s="673"/>
      <c r="Z1519" s="673"/>
      <c r="AA1519" s="673"/>
      <c r="AB1519" s="673"/>
      <c r="AC1519" s="673"/>
      <c r="AD1519" s="673"/>
      <c r="AE1519" s="673"/>
      <c r="AF1519" s="673"/>
      <c r="AG1519" s="673"/>
      <c r="AH1519" s="673"/>
    </row>
    <row r="1520">
      <c r="A1520" s="653"/>
      <c r="B1520" s="654"/>
      <c r="C1520" s="691"/>
      <c r="D1520" s="661"/>
      <c r="E1520" s="705"/>
      <c r="F1520" s="659"/>
      <c r="G1520" s="661"/>
      <c r="H1520" s="660"/>
      <c r="I1520" s="691"/>
      <c r="J1520" s="661"/>
      <c r="K1520" s="706"/>
      <c r="L1520" s="665"/>
      <c r="M1520" s="663"/>
      <c r="N1520" s="665"/>
      <c r="O1520" s="665"/>
      <c r="P1520" s="665"/>
      <c r="Q1520" s="665"/>
      <c r="R1520" s="665"/>
      <c r="S1520" s="665"/>
      <c r="T1520" s="673"/>
      <c r="U1520" s="673"/>
      <c r="V1520" s="673"/>
      <c r="W1520" s="673"/>
      <c r="X1520" s="673"/>
      <c r="Y1520" s="673"/>
      <c r="Z1520" s="673"/>
      <c r="AA1520" s="673"/>
      <c r="AB1520" s="673"/>
      <c r="AC1520" s="673"/>
      <c r="AD1520" s="673"/>
      <c r="AE1520" s="673"/>
      <c r="AF1520" s="673"/>
      <c r="AG1520" s="673"/>
      <c r="AH1520" s="673"/>
    </row>
    <row r="1521">
      <c r="A1521" s="653"/>
      <c r="B1521" s="654"/>
      <c r="C1521" s="691"/>
      <c r="D1521" s="661"/>
      <c r="E1521" s="705"/>
      <c r="F1521" s="659"/>
      <c r="G1521" s="661"/>
      <c r="H1521" s="660"/>
      <c r="I1521" s="691"/>
      <c r="J1521" s="661"/>
      <c r="K1521" s="706"/>
      <c r="L1521" s="665"/>
      <c r="M1521" s="663"/>
      <c r="N1521" s="665"/>
      <c r="O1521" s="665"/>
      <c r="P1521" s="665"/>
      <c r="Q1521" s="665"/>
      <c r="R1521" s="665"/>
      <c r="S1521" s="665"/>
      <c r="T1521" s="673"/>
      <c r="U1521" s="673"/>
      <c r="V1521" s="673"/>
      <c r="W1521" s="673"/>
      <c r="X1521" s="673"/>
      <c r="Y1521" s="673"/>
      <c r="Z1521" s="673"/>
      <c r="AA1521" s="673"/>
      <c r="AB1521" s="673"/>
      <c r="AC1521" s="673"/>
      <c r="AD1521" s="673"/>
      <c r="AE1521" s="673"/>
      <c r="AF1521" s="673"/>
      <c r="AG1521" s="673"/>
      <c r="AH1521" s="673"/>
    </row>
    <row r="1522">
      <c r="A1522" s="653"/>
      <c r="B1522" s="654"/>
      <c r="C1522" s="691"/>
      <c r="D1522" s="661"/>
      <c r="E1522" s="705"/>
      <c r="F1522" s="659"/>
      <c r="G1522" s="661"/>
      <c r="H1522" s="660"/>
      <c r="I1522" s="691"/>
      <c r="J1522" s="661"/>
      <c r="K1522" s="706"/>
      <c r="L1522" s="665"/>
      <c r="M1522" s="663"/>
      <c r="N1522" s="665"/>
      <c r="O1522" s="665"/>
      <c r="P1522" s="665"/>
      <c r="Q1522" s="665"/>
      <c r="R1522" s="665"/>
      <c r="S1522" s="665"/>
      <c r="T1522" s="673"/>
      <c r="U1522" s="673"/>
      <c r="V1522" s="673"/>
      <c r="W1522" s="673"/>
      <c r="X1522" s="673"/>
      <c r="Y1522" s="673"/>
      <c r="Z1522" s="673"/>
      <c r="AA1522" s="673"/>
      <c r="AB1522" s="673"/>
      <c r="AC1522" s="673"/>
      <c r="AD1522" s="673"/>
      <c r="AE1522" s="673"/>
      <c r="AF1522" s="673"/>
      <c r="AG1522" s="673"/>
      <c r="AH1522" s="673"/>
    </row>
    <row r="1523">
      <c r="A1523" s="653"/>
      <c r="B1523" s="654"/>
      <c r="C1523" s="691"/>
      <c r="D1523" s="661"/>
      <c r="E1523" s="705"/>
      <c r="F1523" s="659"/>
      <c r="G1523" s="661"/>
      <c r="H1523" s="660"/>
      <c r="I1523" s="691"/>
      <c r="J1523" s="661"/>
      <c r="K1523" s="706"/>
      <c r="L1523" s="665"/>
      <c r="M1523" s="663"/>
      <c r="N1523" s="665"/>
      <c r="O1523" s="665"/>
      <c r="P1523" s="665"/>
      <c r="Q1523" s="665"/>
      <c r="R1523" s="665"/>
      <c r="S1523" s="665"/>
      <c r="T1523" s="673"/>
      <c r="U1523" s="673"/>
      <c r="V1523" s="673"/>
      <c r="W1523" s="673"/>
      <c r="X1523" s="673"/>
      <c r="Y1523" s="673"/>
      <c r="Z1523" s="673"/>
      <c r="AA1523" s="673"/>
      <c r="AB1523" s="673"/>
      <c r="AC1523" s="673"/>
      <c r="AD1523" s="673"/>
      <c r="AE1523" s="673"/>
      <c r="AF1523" s="673"/>
      <c r="AG1523" s="673"/>
      <c r="AH1523" s="673"/>
    </row>
    <row r="1524">
      <c r="A1524" s="653"/>
      <c r="B1524" s="654"/>
      <c r="C1524" s="691"/>
      <c r="D1524" s="661"/>
      <c r="E1524" s="705"/>
      <c r="F1524" s="659"/>
      <c r="G1524" s="661"/>
      <c r="H1524" s="660"/>
      <c r="I1524" s="691"/>
      <c r="J1524" s="661"/>
      <c r="K1524" s="706"/>
      <c r="L1524" s="665"/>
      <c r="M1524" s="663"/>
      <c r="N1524" s="665"/>
      <c r="O1524" s="665"/>
      <c r="P1524" s="665"/>
      <c r="Q1524" s="665"/>
      <c r="R1524" s="665"/>
      <c r="S1524" s="665"/>
      <c r="T1524" s="673"/>
      <c r="U1524" s="673"/>
      <c r="V1524" s="673"/>
      <c r="W1524" s="673"/>
      <c r="X1524" s="673"/>
      <c r="Y1524" s="673"/>
      <c r="Z1524" s="673"/>
      <c r="AA1524" s="673"/>
      <c r="AB1524" s="673"/>
      <c r="AC1524" s="673"/>
      <c r="AD1524" s="673"/>
      <c r="AE1524" s="673"/>
      <c r="AF1524" s="673"/>
      <c r="AG1524" s="673"/>
      <c r="AH1524" s="673"/>
    </row>
    <row r="1525">
      <c r="A1525" s="653"/>
      <c r="B1525" s="654"/>
      <c r="C1525" s="691"/>
      <c r="D1525" s="661"/>
      <c r="E1525" s="705"/>
      <c r="F1525" s="659"/>
      <c r="G1525" s="661"/>
      <c r="H1525" s="660"/>
      <c r="I1525" s="691"/>
      <c r="J1525" s="661"/>
      <c r="K1525" s="706"/>
      <c r="L1525" s="665"/>
      <c r="M1525" s="663"/>
      <c r="N1525" s="665"/>
      <c r="O1525" s="665"/>
      <c r="P1525" s="665"/>
      <c r="Q1525" s="665"/>
      <c r="R1525" s="665"/>
      <c r="S1525" s="665"/>
      <c r="T1525" s="673"/>
      <c r="U1525" s="673"/>
      <c r="V1525" s="673"/>
      <c r="W1525" s="673"/>
      <c r="X1525" s="673"/>
      <c r="Y1525" s="673"/>
      <c r="Z1525" s="673"/>
      <c r="AA1525" s="673"/>
      <c r="AB1525" s="673"/>
      <c r="AC1525" s="673"/>
      <c r="AD1525" s="673"/>
      <c r="AE1525" s="673"/>
      <c r="AF1525" s="673"/>
      <c r="AG1525" s="673"/>
      <c r="AH1525" s="673"/>
    </row>
    <row r="1526">
      <c r="A1526" s="653"/>
      <c r="B1526" s="654"/>
      <c r="C1526" s="691"/>
      <c r="D1526" s="661"/>
      <c r="E1526" s="705"/>
      <c r="F1526" s="659"/>
      <c r="G1526" s="661"/>
      <c r="H1526" s="660"/>
      <c r="I1526" s="691"/>
      <c r="J1526" s="661"/>
      <c r="K1526" s="706"/>
      <c r="L1526" s="665"/>
      <c r="M1526" s="663"/>
      <c r="N1526" s="665"/>
      <c r="O1526" s="665"/>
      <c r="P1526" s="665"/>
      <c r="Q1526" s="665"/>
      <c r="R1526" s="665"/>
      <c r="S1526" s="665"/>
      <c r="T1526" s="673"/>
      <c r="U1526" s="673"/>
      <c r="V1526" s="673"/>
      <c r="W1526" s="673"/>
      <c r="X1526" s="673"/>
      <c r="Y1526" s="673"/>
      <c r="Z1526" s="673"/>
      <c r="AA1526" s="673"/>
      <c r="AB1526" s="673"/>
      <c r="AC1526" s="673"/>
      <c r="AD1526" s="673"/>
      <c r="AE1526" s="673"/>
      <c r="AF1526" s="673"/>
      <c r="AG1526" s="673"/>
      <c r="AH1526" s="673"/>
    </row>
    <row r="1527">
      <c r="A1527" s="653"/>
      <c r="B1527" s="654"/>
      <c r="C1527" s="691"/>
      <c r="D1527" s="661"/>
      <c r="E1527" s="705"/>
      <c r="F1527" s="659"/>
      <c r="G1527" s="661"/>
      <c r="H1527" s="660"/>
      <c r="I1527" s="691"/>
      <c r="J1527" s="661"/>
      <c r="K1527" s="706"/>
      <c r="L1527" s="665"/>
      <c r="M1527" s="663"/>
      <c r="N1527" s="665"/>
      <c r="O1527" s="665"/>
      <c r="P1527" s="665"/>
      <c r="Q1527" s="665"/>
      <c r="R1527" s="665"/>
      <c r="S1527" s="665"/>
      <c r="T1527" s="673"/>
      <c r="U1527" s="673"/>
      <c r="V1527" s="673"/>
      <c r="W1527" s="673"/>
      <c r="X1527" s="673"/>
      <c r="Y1527" s="673"/>
      <c r="Z1527" s="673"/>
      <c r="AA1527" s="673"/>
      <c r="AB1527" s="673"/>
      <c r="AC1527" s="673"/>
      <c r="AD1527" s="673"/>
      <c r="AE1527" s="673"/>
      <c r="AF1527" s="673"/>
      <c r="AG1527" s="673"/>
      <c r="AH1527" s="673"/>
    </row>
    <row r="1528">
      <c r="A1528" s="653"/>
      <c r="B1528" s="654"/>
      <c r="C1528" s="691"/>
      <c r="D1528" s="661"/>
      <c r="E1528" s="705"/>
      <c r="F1528" s="659"/>
      <c r="G1528" s="661"/>
      <c r="H1528" s="660"/>
      <c r="I1528" s="691"/>
      <c r="J1528" s="661"/>
      <c r="K1528" s="706"/>
      <c r="L1528" s="665"/>
      <c r="M1528" s="663"/>
      <c r="N1528" s="665"/>
      <c r="O1528" s="665"/>
      <c r="P1528" s="665"/>
      <c r="Q1528" s="665"/>
      <c r="R1528" s="665"/>
      <c r="S1528" s="665"/>
      <c r="T1528" s="673"/>
      <c r="U1528" s="673"/>
      <c r="V1528" s="673"/>
      <c r="W1528" s="673"/>
      <c r="X1528" s="673"/>
      <c r="Y1528" s="673"/>
      <c r="Z1528" s="673"/>
      <c r="AA1528" s="673"/>
      <c r="AB1528" s="673"/>
      <c r="AC1528" s="673"/>
      <c r="AD1528" s="673"/>
      <c r="AE1528" s="673"/>
      <c r="AF1528" s="673"/>
      <c r="AG1528" s="673"/>
      <c r="AH1528" s="673"/>
    </row>
    <row r="1529">
      <c r="A1529" s="653"/>
      <c r="B1529" s="654"/>
      <c r="C1529" s="691"/>
      <c r="D1529" s="661"/>
      <c r="E1529" s="705"/>
      <c r="F1529" s="659"/>
      <c r="G1529" s="661"/>
      <c r="H1529" s="660"/>
      <c r="I1529" s="691"/>
      <c r="J1529" s="661"/>
      <c r="K1529" s="706"/>
      <c r="L1529" s="665"/>
      <c r="M1529" s="663"/>
      <c r="N1529" s="665"/>
      <c r="O1529" s="665"/>
      <c r="P1529" s="665"/>
      <c r="Q1529" s="665"/>
      <c r="R1529" s="665"/>
      <c r="S1529" s="665"/>
      <c r="T1529" s="673"/>
      <c r="U1529" s="673"/>
      <c r="V1529" s="673"/>
      <c r="W1529" s="673"/>
      <c r="X1529" s="673"/>
      <c r="Y1529" s="673"/>
      <c r="Z1529" s="673"/>
      <c r="AA1529" s="673"/>
      <c r="AB1529" s="673"/>
      <c r="AC1529" s="673"/>
      <c r="AD1529" s="673"/>
      <c r="AE1529" s="673"/>
      <c r="AF1529" s="673"/>
      <c r="AG1529" s="673"/>
      <c r="AH1529" s="673"/>
    </row>
    <row r="1530">
      <c r="A1530" s="653"/>
      <c r="B1530" s="654"/>
      <c r="C1530" s="691"/>
      <c r="D1530" s="661"/>
      <c r="E1530" s="705"/>
      <c r="F1530" s="659"/>
      <c r="G1530" s="661"/>
      <c r="H1530" s="660"/>
      <c r="I1530" s="691"/>
      <c r="J1530" s="661"/>
      <c r="K1530" s="706"/>
      <c r="L1530" s="665"/>
      <c r="M1530" s="663"/>
      <c r="N1530" s="665"/>
      <c r="O1530" s="665"/>
      <c r="P1530" s="665"/>
      <c r="Q1530" s="665"/>
      <c r="R1530" s="665"/>
      <c r="S1530" s="665"/>
      <c r="T1530" s="673"/>
      <c r="U1530" s="673"/>
      <c r="V1530" s="673"/>
      <c r="W1530" s="673"/>
      <c r="X1530" s="673"/>
      <c r="Y1530" s="673"/>
      <c r="Z1530" s="673"/>
      <c r="AA1530" s="673"/>
      <c r="AB1530" s="673"/>
      <c r="AC1530" s="673"/>
      <c r="AD1530" s="673"/>
      <c r="AE1530" s="673"/>
      <c r="AF1530" s="673"/>
      <c r="AG1530" s="673"/>
      <c r="AH1530" s="673"/>
    </row>
    <row r="1531">
      <c r="A1531" s="653"/>
      <c r="B1531" s="654"/>
      <c r="C1531" s="691"/>
      <c r="D1531" s="661"/>
      <c r="E1531" s="705"/>
      <c r="F1531" s="659"/>
      <c r="G1531" s="661"/>
      <c r="H1531" s="660"/>
      <c r="I1531" s="691"/>
      <c r="J1531" s="661"/>
      <c r="K1531" s="706"/>
      <c r="L1531" s="665"/>
      <c r="M1531" s="663"/>
      <c r="N1531" s="665"/>
      <c r="O1531" s="665"/>
      <c r="P1531" s="665"/>
      <c r="Q1531" s="665"/>
      <c r="R1531" s="665"/>
      <c r="S1531" s="665"/>
      <c r="T1531" s="673"/>
      <c r="U1531" s="673"/>
      <c r="V1531" s="673"/>
      <c r="W1531" s="673"/>
      <c r="X1531" s="673"/>
      <c r="Y1531" s="673"/>
      <c r="Z1531" s="673"/>
      <c r="AA1531" s="673"/>
      <c r="AB1531" s="673"/>
      <c r="AC1531" s="673"/>
      <c r="AD1531" s="673"/>
      <c r="AE1531" s="673"/>
      <c r="AF1531" s="673"/>
      <c r="AG1531" s="673"/>
      <c r="AH1531" s="673"/>
    </row>
    <row r="1532">
      <c r="A1532" s="653"/>
      <c r="B1532" s="654"/>
      <c r="C1532" s="691"/>
      <c r="D1532" s="661"/>
      <c r="E1532" s="705"/>
      <c r="F1532" s="659"/>
      <c r="G1532" s="661"/>
      <c r="H1532" s="660"/>
      <c r="I1532" s="691"/>
      <c r="J1532" s="661"/>
      <c r="K1532" s="706"/>
      <c r="L1532" s="665"/>
      <c r="M1532" s="663"/>
      <c r="N1532" s="665"/>
      <c r="O1532" s="665"/>
      <c r="P1532" s="665"/>
      <c r="Q1532" s="665"/>
      <c r="R1532" s="665"/>
      <c r="S1532" s="665"/>
      <c r="T1532" s="673"/>
      <c r="U1532" s="673"/>
      <c r="V1532" s="673"/>
      <c r="W1532" s="673"/>
      <c r="X1532" s="673"/>
      <c r="Y1532" s="673"/>
      <c r="Z1532" s="673"/>
      <c r="AA1532" s="673"/>
      <c r="AB1532" s="673"/>
      <c r="AC1532" s="673"/>
      <c r="AD1532" s="673"/>
      <c r="AE1532" s="673"/>
      <c r="AF1532" s="673"/>
      <c r="AG1532" s="673"/>
      <c r="AH1532" s="673"/>
    </row>
    <row r="1533">
      <c r="A1533" s="653"/>
      <c r="B1533" s="654"/>
      <c r="C1533" s="691"/>
      <c r="D1533" s="661"/>
      <c r="E1533" s="705"/>
      <c r="F1533" s="659"/>
      <c r="G1533" s="661"/>
      <c r="H1533" s="660"/>
      <c r="I1533" s="691"/>
      <c r="J1533" s="661"/>
      <c r="K1533" s="706"/>
      <c r="L1533" s="665"/>
      <c r="M1533" s="663"/>
      <c r="N1533" s="665"/>
      <c r="O1533" s="665"/>
      <c r="P1533" s="665"/>
      <c r="Q1533" s="665"/>
      <c r="R1533" s="665"/>
      <c r="S1533" s="665"/>
      <c r="T1533" s="673"/>
      <c r="U1533" s="673"/>
      <c r="V1533" s="673"/>
      <c r="W1533" s="673"/>
      <c r="X1533" s="673"/>
      <c r="Y1533" s="673"/>
      <c r="Z1533" s="673"/>
      <c r="AA1533" s="673"/>
      <c r="AB1533" s="673"/>
      <c r="AC1533" s="673"/>
      <c r="AD1533" s="673"/>
      <c r="AE1533" s="673"/>
      <c r="AF1533" s="673"/>
      <c r="AG1533" s="673"/>
      <c r="AH1533" s="673"/>
    </row>
    <row r="1534">
      <c r="A1534" s="653"/>
      <c r="B1534" s="654"/>
      <c r="C1534" s="691"/>
      <c r="D1534" s="661"/>
      <c r="E1534" s="705"/>
      <c r="F1534" s="659"/>
      <c r="G1534" s="661"/>
      <c r="H1534" s="660"/>
      <c r="I1534" s="691"/>
      <c r="J1534" s="661"/>
      <c r="K1534" s="706"/>
      <c r="L1534" s="665"/>
      <c r="M1534" s="663"/>
      <c r="N1534" s="665"/>
      <c r="O1534" s="665"/>
      <c r="P1534" s="665"/>
      <c r="Q1534" s="665"/>
      <c r="R1534" s="665"/>
      <c r="S1534" s="665"/>
      <c r="T1534" s="673"/>
      <c r="U1534" s="673"/>
      <c r="V1534" s="673"/>
      <c r="W1534" s="673"/>
      <c r="X1534" s="673"/>
      <c r="Y1534" s="673"/>
      <c r="Z1534" s="673"/>
      <c r="AA1534" s="673"/>
      <c r="AB1534" s="673"/>
      <c r="AC1534" s="673"/>
      <c r="AD1534" s="673"/>
      <c r="AE1534" s="673"/>
      <c r="AF1534" s="673"/>
      <c r="AG1534" s="673"/>
      <c r="AH1534" s="673"/>
    </row>
    <row r="1535">
      <c r="A1535" s="653"/>
      <c r="B1535" s="654"/>
      <c r="C1535" s="691"/>
      <c r="D1535" s="661"/>
      <c r="E1535" s="705"/>
      <c r="F1535" s="659"/>
      <c r="G1535" s="661"/>
      <c r="H1535" s="660"/>
      <c r="I1535" s="691"/>
      <c r="J1535" s="661"/>
      <c r="K1535" s="706"/>
      <c r="L1535" s="665"/>
      <c r="M1535" s="663"/>
      <c r="N1535" s="665"/>
      <c r="O1535" s="665"/>
      <c r="P1535" s="665"/>
      <c r="Q1535" s="665"/>
      <c r="R1535" s="665"/>
      <c r="S1535" s="665"/>
      <c r="T1535" s="673"/>
      <c r="U1535" s="673"/>
      <c r="V1535" s="673"/>
      <c r="W1535" s="673"/>
      <c r="X1535" s="673"/>
      <c r="Y1535" s="673"/>
      <c r="Z1535" s="673"/>
      <c r="AA1535" s="673"/>
      <c r="AB1535" s="673"/>
      <c r="AC1535" s="673"/>
      <c r="AD1535" s="673"/>
      <c r="AE1535" s="673"/>
      <c r="AF1535" s="673"/>
      <c r="AG1535" s="673"/>
      <c r="AH1535" s="673"/>
    </row>
    <row r="1536">
      <c r="A1536" s="653"/>
      <c r="B1536" s="654"/>
      <c r="C1536" s="691"/>
      <c r="D1536" s="661"/>
      <c r="E1536" s="705"/>
      <c r="F1536" s="659"/>
      <c r="G1536" s="661"/>
      <c r="H1536" s="660"/>
      <c r="I1536" s="691"/>
      <c r="J1536" s="661"/>
      <c r="K1536" s="706"/>
      <c r="L1536" s="665"/>
      <c r="M1536" s="663"/>
      <c r="N1536" s="665"/>
      <c r="O1536" s="665"/>
      <c r="P1536" s="665"/>
      <c r="Q1536" s="665"/>
      <c r="R1536" s="665"/>
      <c r="S1536" s="665"/>
      <c r="T1536" s="673"/>
      <c r="U1536" s="673"/>
      <c r="V1536" s="673"/>
      <c r="W1536" s="673"/>
      <c r="X1536" s="673"/>
      <c r="Y1536" s="673"/>
      <c r="Z1536" s="673"/>
      <c r="AA1536" s="673"/>
      <c r="AB1536" s="673"/>
      <c r="AC1536" s="673"/>
      <c r="AD1536" s="673"/>
      <c r="AE1536" s="673"/>
      <c r="AF1536" s="673"/>
      <c r="AG1536" s="673"/>
      <c r="AH1536" s="673"/>
    </row>
    <row r="1537">
      <c r="A1537" s="653"/>
      <c r="B1537" s="654"/>
      <c r="C1537" s="691"/>
      <c r="D1537" s="661"/>
      <c r="E1537" s="705"/>
      <c r="F1537" s="659"/>
      <c r="G1537" s="661"/>
      <c r="H1537" s="660"/>
      <c r="I1537" s="691"/>
      <c r="J1537" s="661"/>
      <c r="K1537" s="706"/>
      <c r="L1537" s="665"/>
      <c r="M1537" s="663"/>
      <c r="N1537" s="665"/>
      <c r="O1537" s="665"/>
      <c r="P1537" s="665"/>
      <c r="Q1537" s="665"/>
      <c r="R1537" s="665"/>
      <c r="S1537" s="665"/>
      <c r="T1537" s="673"/>
      <c r="U1537" s="673"/>
      <c r="V1537" s="673"/>
      <c r="W1537" s="673"/>
      <c r="X1537" s="673"/>
      <c r="Y1537" s="673"/>
      <c r="Z1537" s="673"/>
      <c r="AA1537" s="673"/>
      <c r="AB1537" s="673"/>
      <c r="AC1537" s="673"/>
      <c r="AD1537" s="673"/>
      <c r="AE1537" s="673"/>
      <c r="AF1537" s="673"/>
      <c r="AG1537" s="673"/>
      <c r="AH1537" s="673"/>
    </row>
    <row r="1538">
      <c r="A1538" s="653"/>
      <c r="B1538" s="654"/>
      <c r="C1538" s="691"/>
      <c r="D1538" s="661"/>
      <c r="E1538" s="705"/>
      <c r="F1538" s="659"/>
      <c r="G1538" s="661"/>
      <c r="H1538" s="660"/>
      <c r="I1538" s="691"/>
      <c r="J1538" s="661"/>
      <c r="K1538" s="706"/>
      <c r="L1538" s="665"/>
      <c r="M1538" s="663"/>
      <c r="N1538" s="665"/>
      <c r="O1538" s="665"/>
      <c r="P1538" s="665"/>
      <c r="Q1538" s="665"/>
      <c r="R1538" s="665"/>
      <c r="S1538" s="665"/>
      <c r="T1538" s="673"/>
      <c r="U1538" s="673"/>
      <c r="V1538" s="673"/>
      <c r="W1538" s="673"/>
      <c r="X1538" s="673"/>
      <c r="Y1538" s="673"/>
      <c r="Z1538" s="673"/>
      <c r="AA1538" s="673"/>
      <c r="AB1538" s="673"/>
      <c r="AC1538" s="673"/>
      <c r="AD1538" s="673"/>
      <c r="AE1538" s="673"/>
      <c r="AF1538" s="673"/>
      <c r="AG1538" s="673"/>
      <c r="AH1538" s="673"/>
    </row>
    <row r="1539">
      <c r="A1539" s="653"/>
      <c r="B1539" s="654"/>
      <c r="C1539" s="691"/>
      <c r="D1539" s="661"/>
      <c r="E1539" s="705"/>
      <c r="F1539" s="659"/>
      <c r="G1539" s="661"/>
      <c r="H1539" s="660"/>
      <c r="I1539" s="691"/>
      <c r="J1539" s="661"/>
      <c r="K1539" s="706"/>
      <c r="L1539" s="665"/>
      <c r="M1539" s="663"/>
      <c r="N1539" s="665"/>
      <c r="O1539" s="665"/>
      <c r="P1539" s="665"/>
      <c r="Q1539" s="665"/>
      <c r="R1539" s="665"/>
      <c r="S1539" s="665"/>
      <c r="T1539" s="673"/>
      <c r="U1539" s="673"/>
      <c r="V1539" s="673"/>
      <c r="W1539" s="673"/>
      <c r="X1539" s="673"/>
      <c r="Y1539" s="673"/>
      <c r="Z1539" s="673"/>
      <c r="AA1539" s="673"/>
      <c r="AB1539" s="673"/>
      <c r="AC1539" s="673"/>
      <c r="AD1539" s="673"/>
      <c r="AE1539" s="673"/>
      <c r="AF1539" s="673"/>
      <c r="AG1539" s="673"/>
      <c r="AH1539" s="673"/>
    </row>
    <row r="1540">
      <c r="A1540" s="653"/>
      <c r="B1540" s="654"/>
      <c r="C1540" s="691"/>
      <c r="D1540" s="661"/>
      <c r="E1540" s="705"/>
      <c r="F1540" s="659"/>
      <c r="G1540" s="661"/>
      <c r="H1540" s="660"/>
      <c r="I1540" s="691"/>
      <c r="J1540" s="661"/>
      <c r="K1540" s="706"/>
      <c r="L1540" s="665"/>
      <c r="M1540" s="663"/>
      <c r="N1540" s="665"/>
      <c r="O1540" s="665"/>
      <c r="P1540" s="665"/>
      <c r="Q1540" s="665"/>
      <c r="R1540" s="665"/>
      <c r="S1540" s="665"/>
      <c r="T1540" s="673"/>
      <c r="U1540" s="673"/>
      <c r="V1540" s="673"/>
      <c r="W1540" s="673"/>
      <c r="X1540" s="673"/>
      <c r="Y1540" s="673"/>
      <c r="Z1540" s="673"/>
      <c r="AA1540" s="673"/>
      <c r="AB1540" s="673"/>
      <c r="AC1540" s="673"/>
      <c r="AD1540" s="673"/>
      <c r="AE1540" s="673"/>
      <c r="AF1540" s="673"/>
      <c r="AG1540" s="673"/>
      <c r="AH1540" s="673"/>
    </row>
    <row r="1541">
      <c r="A1541" s="653"/>
      <c r="B1541" s="654"/>
      <c r="C1541" s="691"/>
      <c r="D1541" s="661"/>
      <c r="E1541" s="705"/>
      <c r="F1541" s="659"/>
      <c r="G1541" s="661"/>
      <c r="H1541" s="660"/>
      <c r="I1541" s="691"/>
      <c r="J1541" s="661"/>
      <c r="K1541" s="706"/>
      <c r="L1541" s="665"/>
      <c r="M1541" s="663"/>
      <c r="N1541" s="665"/>
      <c r="O1541" s="665"/>
      <c r="P1541" s="665"/>
      <c r="Q1541" s="665"/>
      <c r="R1541" s="665"/>
      <c r="S1541" s="665"/>
      <c r="T1541" s="673"/>
      <c r="U1541" s="673"/>
      <c r="V1541" s="673"/>
      <c r="W1541" s="673"/>
      <c r="X1541" s="673"/>
      <c r="Y1541" s="673"/>
      <c r="Z1541" s="673"/>
      <c r="AA1541" s="673"/>
      <c r="AB1541" s="673"/>
      <c r="AC1541" s="673"/>
      <c r="AD1541" s="673"/>
      <c r="AE1541" s="673"/>
      <c r="AF1541" s="673"/>
      <c r="AG1541" s="673"/>
      <c r="AH1541" s="673"/>
    </row>
    <row r="1542">
      <c r="A1542" s="653"/>
      <c r="B1542" s="654"/>
      <c r="C1542" s="691"/>
      <c r="D1542" s="661"/>
      <c r="E1542" s="705"/>
      <c r="F1542" s="659"/>
      <c r="G1542" s="661"/>
      <c r="H1542" s="660"/>
      <c r="I1542" s="691"/>
      <c r="J1542" s="661"/>
      <c r="K1542" s="706"/>
      <c r="L1542" s="665"/>
      <c r="M1542" s="663"/>
      <c r="N1542" s="665"/>
      <c r="O1542" s="665"/>
      <c r="P1542" s="665"/>
      <c r="Q1542" s="665"/>
      <c r="R1542" s="665"/>
      <c r="S1542" s="665"/>
      <c r="T1542" s="673"/>
      <c r="U1542" s="673"/>
      <c r="V1542" s="673"/>
      <c r="W1542" s="673"/>
      <c r="X1542" s="673"/>
      <c r="Y1542" s="673"/>
      <c r="Z1542" s="673"/>
      <c r="AA1542" s="673"/>
      <c r="AB1542" s="673"/>
      <c r="AC1542" s="673"/>
      <c r="AD1542" s="673"/>
      <c r="AE1542" s="673"/>
      <c r="AF1542" s="673"/>
      <c r="AG1542" s="673"/>
      <c r="AH1542" s="673"/>
    </row>
    <row r="1543">
      <c r="A1543" s="653"/>
      <c r="B1543" s="654"/>
      <c r="C1543" s="691"/>
      <c r="D1543" s="661"/>
      <c r="E1543" s="705"/>
      <c r="F1543" s="659"/>
      <c r="G1543" s="661"/>
      <c r="H1543" s="660"/>
      <c r="I1543" s="691"/>
      <c r="J1543" s="661"/>
      <c r="K1543" s="706"/>
      <c r="L1543" s="665"/>
      <c r="M1543" s="663"/>
      <c r="N1543" s="665"/>
      <c r="O1543" s="665"/>
      <c r="P1543" s="665"/>
      <c r="Q1543" s="665"/>
      <c r="R1543" s="665"/>
      <c r="S1543" s="665"/>
      <c r="T1543" s="673"/>
      <c r="U1543" s="673"/>
      <c r="V1543" s="673"/>
      <c r="W1543" s="673"/>
      <c r="X1543" s="673"/>
      <c r="Y1543" s="673"/>
      <c r="Z1543" s="673"/>
      <c r="AA1543" s="673"/>
      <c r="AB1543" s="673"/>
      <c r="AC1543" s="673"/>
      <c r="AD1543" s="673"/>
      <c r="AE1543" s="673"/>
      <c r="AF1543" s="673"/>
      <c r="AG1543" s="673"/>
      <c r="AH1543" s="673"/>
    </row>
    <row r="1544">
      <c r="A1544" s="653"/>
      <c r="B1544" s="654"/>
      <c r="C1544" s="691"/>
      <c r="D1544" s="661"/>
      <c r="E1544" s="705"/>
      <c r="F1544" s="659"/>
      <c r="G1544" s="661"/>
      <c r="H1544" s="660"/>
      <c r="I1544" s="691"/>
      <c r="J1544" s="661"/>
      <c r="K1544" s="706"/>
      <c r="L1544" s="665"/>
      <c r="M1544" s="663"/>
      <c r="N1544" s="665"/>
      <c r="O1544" s="665"/>
      <c r="P1544" s="665"/>
      <c r="Q1544" s="665"/>
      <c r="R1544" s="665"/>
      <c r="S1544" s="665"/>
      <c r="T1544" s="673"/>
      <c r="U1544" s="673"/>
      <c r="V1544" s="673"/>
      <c r="W1544" s="673"/>
      <c r="X1544" s="673"/>
      <c r="Y1544" s="673"/>
      <c r="Z1544" s="673"/>
      <c r="AA1544" s="673"/>
      <c r="AB1544" s="673"/>
      <c r="AC1544" s="673"/>
      <c r="AD1544" s="673"/>
      <c r="AE1544" s="673"/>
      <c r="AF1544" s="673"/>
      <c r="AG1544" s="673"/>
      <c r="AH1544" s="673"/>
    </row>
    <row r="1545">
      <c r="A1545" s="653"/>
      <c r="B1545" s="654"/>
      <c r="C1545" s="691"/>
      <c r="D1545" s="661"/>
      <c r="E1545" s="705"/>
      <c r="F1545" s="659"/>
      <c r="G1545" s="661"/>
      <c r="H1545" s="660"/>
      <c r="I1545" s="691"/>
      <c r="J1545" s="661"/>
      <c r="K1545" s="706"/>
      <c r="L1545" s="665"/>
      <c r="M1545" s="663"/>
      <c r="N1545" s="665"/>
      <c r="O1545" s="665"/>
      <c r="P1545" s="665"/>
      <c r="Q1545" s="665"/>
      <c r="R1545" s="665"/>
      <c r="S1545" s="665"/>
      <c r="T1545" s="673"/>
      <c r="U1545" s="673"/>
      <c r="V1545" s="673"/>
      <c r="W1545" s="673"/>
      <c r="X1545" s="673"/>
      <c r="Y1545" s="673"/>
      <c r="Z1545" s="673"/>
      <c r="AA1545" s="673"/>
      <c r="AB1545" s="673"/>
      <c r="AC1545" s="673"/>
      <c r="AD1545" s="673"/>
      <c r="AE1545" s="673"/>
      <c r="AF1545" s="673"/>
      <c r="AG1545" s="673"/>
      <c r="AH1545" s="673"/>
    </row>
    <row r="1546">
      <c r="A1546" s="653"/>
      <c r="B1546" s="654"/>
      <c r="C1546" s="691"/>
      <c r="D1546" s="661"/>
      <c r="E1546" s="705"/>
      <c r="F1546" s="659"/>
      <c r="G1546" s="661"/>
      <c r="H1546" s="660"/>
      <c r="I1546" s="691"/>
      <c r="J1546" s="661"/>
      <c r="K1546" s="706"/>
      <c r="L1546" s="665"/>
      <c r="M1546" s="663"/>
      <c r="N1546" s="665"/>
      <c r="O1546" s="665"/>
      <c r="P1546" s="665"/>
      <c r="Q1546" s="665"/>
      <c r="R1546" s="665"/>
      <c r="S1546" s="665"/>
      <c r="T1546" s="673"/>
      <c r="U1546" s="673"/>
      <c r="V1546" s="673"/>
      <c r="W1546" s="673"/>
      <c r="X1546" s="673"/>
      <c r="Y1546" s="673"/>
      <c r="Z1546" s="673"/>
      <c r="AA1546" s="673"/>
      <c r="AB1546" s="673"/>
      <c r="AC1546" s="673"/>
      <c r="AD1546" s="673"/>
      <c r="AE1546" s="673"/>
      <c r="AF1546" s="673"/>
      <c r="AG1546" s="673"/>
      <c r="AH1546" s="673"/>
    </row>
    <row r="1547">
      <c r="A1547" s="653"/>
      <c r="B1547" s="654"/>
      <c r="C1547" s="691"/>
      <c r="D1547" s="661"/>
      <c r="E1547" s="705"/>
      <c r="F1547" s="659"/>
      <c r="G1547" s="661"/>
      <c r="H1547" s="660"/>
      <c r="I1547" s="691"/>
      <c r="J1547" s="661"/>
      <c r="K1547" s="706"/>
      <c r="L1547" s="665"/>
      <c r="M1547" s="663"/>
      <c r="N1547" s="665"/>
      <c r="O1547" s="665"/>
      <c r="P1547" s="665"/>
      <c r="Q1547" s="665"/>
      <c r="R1547" s="665"/>
      <c r="S1547" s="665"/>
      <c r="T1547" s="673"/>
      <c r="U1547" s="673"/>
      <c r="V1547" s="673"/>
      <c r="W1547" s="673"/>
      <c r="X1547" s="673"/>
      <c r="Y1547" s="673"/>
      <c r="Z1547" s="673"/>
      <c r="AA1547" s="673"/>
      <c r="AB1547" s="673"/>
      <c r="AC1547" s="673"/>
      <c r="AD1547" s="673"/>
      <c r="AE1547" s="673"/>
      <c r="AF1547" s="673"/>
      <c r="AG1547" s="673"/>
      <c r="AH1547" s="673"/>
    </row>
    <row r="1548">
      <c r="A1548" s="653"/>
      <c r="B1548" s="654"/>
      <c r="C1548" s="691"/>
      <c r="D1548" s="661"/>
      <c r="E1548" s="705"/>
      <c r="F1548" s="659"/>
      <c r="G1548" s="661"/>
      <c r="H1548" s="660"/>
      <c r="I1548" s="691"/>
      <c r="J1548" s="661"/>
      <c r="K1548" s="706"/>
      <c r="L1548" s="665"/>
      <c r="M1548" s="663"/>
      <c r="N1548" s="665"/>
      <c r="O1548" s="665"/>
      <c r="P1548" s="665"/>
      <c r="Q1548" s="665"/>
      <c r="R1548" s="665"/>
      <c r="S1548" s="665"/>
      <c r="T1548" s="673"/>
      <c r="U1548" s="673"/>
      <c r="V1548" s="673"/>
      <c r="W1548" s="673"/>
      <c r="X1548" s="673"/>
      <c r="Y1548" s="673"/>
      <c r="Z1548" s="673"/>
      <c r="AA1548" s="673"/>
      <c r="AB1548" s="673"/>
      <c r="AC1548" s="673"/>
      <c r="AD1548" s="673"/>
      <c r="AE1548" s="673"/>
      <c r="AF1548" s="673"/>
      <c r="AG1548" s="673"/>
      <c r="AH1548" s="673"/>
    </row>
    <row r="1549">
      <c r="A1549" s="653"/>
      <c r="B1549" s="654"/>
      <c r="C1549" s="691"/>
      <c r="D1549" s="661"/>
      <c r="E1549" s="705"/>
      <c r="F1549" s="659"/>
      <c r="G1549" s="661"/>
      <c r="H1549" s="660"/>
      <c r="I1549" s="691"/>
      <c r="J1549" s="661"/>
      <c r="K1549" s="706"/>
      <c r="L1549" s="665"/>
      <c r="M1549" s="663"/>
      <c r="N1549" s="665"/>
      <c r="O1549" s="665"/>
      <c r="P1549" s="665"/>
      <c r="Q1549" s="665"/>
      <c r="R1549" s="665"/>
      <c r="S1549" s="665"/>
      <c r="T1549" s="673"/>
      <c r="U1549" s="673"/>
      <c r="V1549" s="673"/>
      <c r="W1549" s="673"/>
      <c r="X1549" s="673"/>
      <c r="Y1549" s="673"/>
      <c r="Z1549" s="673"/>
      <c r="AA1549" s="673"/>
      <c r="AB1549" s="673"/>
      <c r="AC1549" s="673"/>
      <c r="AD1549" s="673"/>
      <c r="AE1549" s="673"/>
      <c r="AF1549" s="673"/>
      <c r="AG1549" s="673"/>
      <c r="AH1549" s="673"/>
    </row>
    <row r="1550">
      <c r="A1550" s="653"/>
      <c r="B1550" s="654"/>
      <c r="C1550" s="691"/>
      <c r="D1550" s="661"/>
      <c r="E1550" s="705"/>
      <c r="F1550" s="659"/>
      <c r="G1550" s="661"/>
      <c r="H1550" s="660"/>
      <c r="I1550" s="691"/>
      <c r="J1550" s="661"/>
      <c r="K1550" s="706"/>
      <c r="L1550" s="665"/>
      <c r="M1550" s="663"/>
      <c r="N1550" s="665"/>
      <c r="O1550" s="665"/>
      <c r="P1550" s="665"/>
      <c r="Q1550" s="665"/>
      <c r="R1550" s="665"/>
      <c r="S1550" s="665"/>
      <c r="T1550" s="673"/>
      <c r="U1550" s="673"/>
      <c r="V1550" s="673"/>
      <c r="W1550" s="673"/>
      <c r="X1550" s="673"/>
      <c r="Y1550" s="673"/>
      <c r="Z1550" s="673"/>
      <c r="AA1550" s="673"/>
      <c r="AB1550" s="673"/>
      <c r="AC1550" s="673"/>
      <c r="AD1550" s="673"/>
      <c r="AE1550" s="673"/>
      <c r="AF1550" s="673"/>
      <c r="AG1550" s="673"/>
      <c r="AH1550" s="673"/>
    </row>
    <row r="1551">
      <c r="A1551" s="653"/>
      <c r="B1551" s="654"/>
      <c r="C1551" s="691"/>
      <c r="D1551" s="661"/>
      <c r="E1551" s="705"/>
      <c r="F1551" s="659"/>
      <c r="G1551" s="661"/>
      <c r="H1551" s="660"/>
      <c r="I1551" s="691"/>
      <c r="J1551" s="661"/>
      <c r="K1551" s="706"/>
      <c r="L1551" s="665"/>
      <c r="M1551" s="663"/>
      <c r="N1551" s="665"/>
      <c r="O1551" s="665"/>
      <c r="P1551" s="665"/>
      <c r="Q1551" s="665"/>
      <c r="R1551" s="665"/>
      <c r="S1551" s="665"/>
      <c r="T1551" s="673"/>
      <c r="U1551" s="673"/>
      <c r="V1551" s="673"/>
      <c r="W1551" s="673"/>
      <c r="X1551" s="673"/>
      <c r="Y1551" s="673"/>
      <c r="Z1551" s="673"/>
      <c r="AA1551" s="673"/>
      <c r="AB1551" s="673"/>
      <c r="AC1551" s="673"/>
      <c r="AD1551" s="673"/>
      <c r="AE1551" s="673"/>
      <c r="AF1551" s="673"/>
      <c r="AG1551" s="673"/>
      <c r="AH1551" s="673"/>
    </row>
    <row r="1552">
      <c r="A1552" s="653"/>
      <c r="B1552" s="654"/>
      <c r="C1552" s="691"/>
      <c r="D1552" s="661"/>
      <c r="E1552" s="705"/>
      <c r="F1552" s="659"/>
      <c r="G1552" s="661"/>
      <c r="H1552" s="660"/>
      <c r="I1552" s="691"/>
      <c r="J1552" s="661"/>
      <c r="K1552" s="706"/>
      <c r="L1552" s="665"/>
      <c r="M1552" s="663"/>
      <c r="N1552" s="665"/>
      <c r="O1552" s="665"/>
      <c r="P1552" s="665"/>
      <c r="Q1552" s="665"/>
      <c r="R1552" s="665"/>
      <c r="S1552" s="665"/>
      <c r="T1552" s="673"/>
      <c r="U1552" s="673"/>
      <c r="V1552" s="673"/>
      <c r="W1552" s="673"/>
      <c r="X1552" s="673"/>
      <c r="Y1552" s="673"/>
      <c r="Z1552" s="673"/>
      <c r="AA1552" s="673"/>
      <c r="AB1552" s="673"/>
      <c r="AC1552" s="673"/>
      <c r="AD1552" s="673"/>
      <c r="AE1552" s="673"/>
      <c r="AF1552" s="673"/>
      <c r="AG1552" s="673"/>
      <c r="AH1552" s="673"/>
    </row>
    <row r="1553">
      <c r="A1553" s="653"/>
      <c r="B1553" s="654"/>
      <c r="C1553" s="691"/>
      <c r="D1553" s="661"/>
      <c r="E1553" s="705"/>
      <c r="F1553" s="659"/>
      <c r="G1553" s="661"/>
      <c r="H1553" s="660"/>
      <c r="I1553" s="691"/>
      <c r="J1553" s="661"/>
      <c r="K1553" s="706"/>
      <c r="L1553" s="665"/>
      <c r="M1553" s="663"/>
      <c r="N1553" s="665"/>
      <c r="O1553" s="665"/>
      <c r="P1553" s="665"/>
      <c r="Q1553" s="665"/>
      <c r="R1553" s="665"/>
      <c r="S1553" s="665"/>
      <c r="T1553" s="673"/>
      <c r="U1553" s="673"/>
      <c r="V1553" s="673"/>
      <c r="W1553" s="673"/>
      <c r="X1553" s="673"/>
      <c r="Y1553" s="673"/>
      <c r="Z1553" s="673"/>
      <c r="AA1553" s="673"/>
      <c r="AB1553" s="673"/>
      <c r="AC1553" s="673"/>
      <c r="AD1553" s="673"/>
      <c r="AE1553" s="673"/>
      <c r="AF1553" s="673"/>
      <c r="AG1553" s="673"/>
      <c r="AH1553" s="673"/>
    </row>
    <row r="1554">
      <c r="A1554" s="653"/>
      <c r="B1554" s="654"/>
      <c r="C1554" s="691"/>
      <c r="D1554" s="661"/>
      <c r="E1554" s="705"/>
      <c r="F1554" s="659"/>
      <c r="G1554" s="661"/>
      <c r="H1554" s="660"/>
      <c r="I1554" s="691"/>
      <c r="J1554" s="661"/>
      <c r="K1554" s="706"/>
      <c r="L1554" s="665"/>
      <c r="M1554" s="663"/>
      <c r="N1554" s="665"/>
      <c r="O1554" s="665"/>
      <c r="P1554" s="665"/>
      <c r="Q1554" s="665"/>
      <c r="R1554" s="665"/>
      <c r="S1554" s="665"/>
      <c r="T1554" s="673"/>
      <c r="U1554" s="673"/>
      <c r="V1554" s="673"/>
      <c r="W1554" s="673"/>
      <c r="X1554" s="673"/>
      <c r="Y1554" s="673"/>
      <c r="Z1554" s="673"/>
      <c r="AA1554" s="673"/>
      <c r="AB1554" s="673"/>
      <c r="AC1554" s="673"/>
      <c r="AD1554" s="673"/>
      <c r="AE1554" s="673"/>
      <c r="AF1554" s="673"/>
      <c r="AG1554" s="673"/>
      <c r="AH1554" s="673"/>
    </row>
    <row r="1555">
      <c r="A1555" s="653"/>
      <c r="B1555" s="654"/>
      <c r="C1555" s="691"/>
      <c r="D1555" s="661"/>
      <c r="E1555" s="705"/>
      <c r="F1555" s="659"/>
      <c r="G1555" s="661"/>
      <c r="H1555" s="660"/>
      <c r="I1555" s="691"/>
      <c r="J1555" s="661"/>
      <c r="K1555" s="706"/>
      <c r="L1555" s="665"/>
      <c r="M1555" s="663"/>
      <c r="N1555" s="665"/>
      <c r="O1555" s="665"/>
      <c r="P1555" s="665"/>
      <c r="Q1555" s="665"/>
      <c r="R1555" s="665"/>
      <c r="S1555" s="665"/>
      <c r="T1555" s="673"/>
      <c r="U1555" s="673"/>
      <c r="V1555" s="673"/>
      <c r="W1555" s="673"/>
      <c r="X1555" s="673"/>
      <c r="Y1555" s="673"/>
      <c r="Z1555" s="673"/>
      <c r="AA1555" s="673"/>
      <c r="AB1555" s="673"/>
      <c r="AC1555" s="673"/>
      <c r="AD1555" s="673"/>
      <c r="AE1555" s="673"/>
      <c r="AF1555" s="673"/>
      <c r="AG1555" s="673"/>
      <c r="AH1555" s="673"/>
    </row>
    <row r="1556">
      <c r="A1556" s="653"/>
      <c r="B1556" s="654"/>
      <c r="C1556" s="691"/>
      <c r="D1556" s="661"/>
      <c r="E1556" s="705"/>
      <c r="F1556" s="659"/>
      <c r="G1556" s="661"/>
      <c r="H1556" s="660"/>
      <c r="I1556" s="691"/>
      <c r="J1556" s="661"/>
      <c r="K1556" s="706"/>
      <c r="L1556" s="665"/>
      <c r="M1556" s="663"/>
      <c r="N1556" s="665"/>
      <c r="O1556" s="665"/>
      <c r="P1556" s="665"/>
      <c r="Q1556" s="665"/>
      <c r="R1556" s="665"/>
      <c r="S1556" s="665"/>
      <c r="T1556" s="673"/>
      <c r="U1556" s="673"/>
      <c r="V1556" s="673"/>
      <c r="W1556" s="673"/>
      <c r="X1556" s="673"/>
      <c r="Y1556" s="673"/>
      <c r="Z1556" s="673"/>
      <c r="AA1556" s="673"/>
      <c r="AB1556" s="673"/>
      <c r="AC1556" s="673"/>
      <c r="AD1556" s="673"/>
      <c r="AE1556" s="673"/>
      <c r="AF1556" s="673"/>
      <c r="AG1556" s="673"/>
      <c r="AH1556" s="673"/>
    </row>
    <row r="1557">
      <c r="A1557" s="653"/>
      <c r="B1557" s="654"/>
      <c r="C1557" s="691"/>
      <c r="D1557" s="661"/>
      <c r="E1557" s="705"/>
      <c r="F1557" s="659"/>
      <c r="G1557" s="661"/>
      <c r="H1557" s="660"/>
      <c r="I1557" s="691"/>
      <c r="J1557" s="661"/>
      <c r="K1557" s="706"/>
      <c r="L1557" s="665"/>
      <c r="M1557" s="663"/>
      <c r="N1557" s="665"/>
      <c r="O1557" s="665"/>
      <c r="P1557" s="665"/>
      <c r="Q1557" s="665"/>
      <c r="R1557" s="665"/>
      <c r="S1557" s="665"/>
      <c r="T1557" s="673"/>
      <c r="U1557" s="673"/>
      <c r="V1557" s="673"/>
      <c r="W1557" s="673"/>
      <c r="X1557" s="673"/>
      <c r="Y1557" s="673"/>
      <c r="Z1557" s="673"/>
      <c r="AA1557" s="673"/>
      <c r="AB1557" s="673"/>
      <c r="AC1557" s="673"/>
      <c r="AD1557" s="673"/>
      <c r="AE1557" s="673"/>
      <c r="AF1557" s="673"/>
      <c r="AG1557" s="673"/>
      <c r="AH1557" s="673"/>
    </row>
    <row r="1558">
      <c r="A1558" s="653"/>
      <c r="B1558" s="654"/>
      <c r="C1558" s="691"/>
      <c r="D1558" s="661"/>
      <c r="E1558" s="705"/>
      <c r="F1558" s="659"/>
      <c r="G1558" s="661"/>
      <c r="H1558" s="660"/>
      <c r="I1558" s="691"/>
      <c r="J1558" s="661"/>
      <c r="K1558" s="706"/>
      <c r="L1558" s="665"/>
      <c r="M1558" s="663"/>
      <c r="N1558" s="665"/>
      <c r="O1558" s="665"/>
      <c r="P1558" s="665"/>
      <c r="Q1558" s="665"/>
      <c r="R1558" s="665"/>
      <c r="S1558" s="665"/>
      <c r="T1558" s="673"/>
      <c r="U1558" s="673"/>
      <c r="V1558" s="673"/>
      <c r="W1558" s="673"/>
      <c r="X1558" s="673"/>
      <c r="Y1558" s="673"/>
      <c r="Z1558" s="673"/>
      <c r="AA1558" s="673"/>
      <c r="AB1558" s="673"/>
      <c r="AC1558" s="673"/>
      <c r="AD1558" s="673"/>
      <c r="AE1558" s="673"/>
      <c r="AF1558" s="673"/>
      <c r="AG1558" s="673"/>
      <c r="AH1558" s="673"/>
    </row>
    <row r="1559">
      <c r="A1559" s="653"/>
      <c r="B1559" s="654"/>
      <c r="C1559" s="691"/>
      <c r="D1559" s="661"/>
      <c r="E1559" s="705"/>
      <c r="F1559" s="659"/>
      <c r="G1559" s="661"/>
      <c r="H1559" s="660"/>
      <c r="I1559" s="691"/>
      <c r="J1559" s="661"/>
      <c r="K1559" s="706"/>
      <c r="L1559" s="665"/>
      <c r="M1559" s="663"/>
      <c r="N1559" s="665"/>
      <c r="O1559" s="665"/>
      <c r="P1559" s="665"/>
      <c r="Q1559" s="665"/>
      <c r="R1559" s="665"/>
      <c r="S1559" s="665"/>
      <c r="T1559" s="673"/>
      <c r="U1559" s="673"/>
      <c r="V1559" s="673"/>
      <c r="W1559" s="673"/>
      <c r="X1559" s="673"/>
      <c r="Y1559" s="673"/>
      <c r="Z1559" s="673"/>
      <c r="AA1559" s="673"/>
      <c r="AB1559" s="673"/>
      <c r="AC1559" s="673"/>
      <c r="AD1559" s="673"/>
      <c r="AE1559" s="673"/>
      <c r="AF1559" s="673"/>
      <c r="AG1559" s="673"/>
      <c r="AH1559" s="673"/>
    </row>
    <row r="1560">
      <c r="A1560" s="653"/>
      <c r="B1560" s="654"/>
      <c r="C1560" s="691"/>
      <c r="D1560" s="661"/>
      <c r="E1560" s="705"/>
      <c r="F1560" s="659"/>
      <c r="G1560" s="661"/>
      <c r="H1560" s="660"/>
      <c r="I1560" s="691"/>
      <c r="J1560" s="661"/>
      <c r="K1560" s="706"/>
      <c r="L1560" s="665"/>
      <c r="M1560" s="663"/>
      <c r="N1560" s="665"/>
      <c r="O1560" s="665"/>
      <c r="P1560" s="665"/>
      <c r="Q1560" s="665"/>
      <c r="R1560" s="665"/>
      <c r="S1560" s="665"/>
      <c r="T1560" s="673"/>
      <c r="U1560" s="673"/>
      <c r="V1560" s="673"/>
      <c r="W1560" s="673"/>
      <c r="X1560" s="673"/>
      <c r="Y1560" s="673"/>
      <c r="Z1560" s="673"/>
      <c r="AA1560" s="673"/>
      <c r="AB1560" s="673"/>
      <c r="AC1560" s="673"/>
      <c r="AD1560" s="673"/>
      <c r="AE1560" s="673"/>
      <c r="AF1560" s="673"/>
      <c r="AG1560" s="673"/>
      <c r="AH1560" s="673"/>
    </row>
    <row r="1561">
      <c r="A1561" s="653"/>
      <c r="B1561" s="654"/>
      <c r="C1561" s="691"/>
      <c r="D1561" s="661"/>
      <c r="E1561" s="705"/>
      <c r="F1561" s="659"/>
      <c r="G1561" s="661"/>
      <c r="H1561" s="660"/>
      <c r="I1561" s="691"/>
      <c r="J1561" s="661"/>
      <c r="K1561" s="706"/>
      <c r="L1561" s="665"/>
      <c r="M1561" s="663"/>
      <c r="N1561" s="665"/>
      <c r="O1561" s="665"/>
      <c r="P1561" s="665"/>
      <c r="Q1561" s="665"/>
      <c r="R1561" s="665"/>
      <c r="S1561" s="665"/>
      <c r="T1561" s="673"/>
      <c r="U1561" s="673"/>
      <c r="V1561" s="673"/>
      <c r="W1561" s="673"/>
      <c r="X1561" s="673"/>
      <c r="Y1561" s="673"/>
      <c r="Z1561" s="673"/>
      <c r="AA1561" s="673"/>
      <c r="AB1561" s="673"/>
      <c r="AC1561" s="673"/>
      <c r="AD1561" s="673"/>
      <c r="AE1561" s="673"/>
      <c r="AF1561" s="673"/>
      <c r="AG1561" s="673"/>
      <c r="AH1561" s="673"/>
    </row>
    <row r="1562">
      <c r="A1562" s="653"/>
      <c r="B1562" s="654"/>
      <c r="C1562" s="691"/>
      <c r="D1562" s="661"/>
      <c r="E1562" s="705"/>
      <c r="F1562" s="659"/>
      <c r="G1562" s="661"/>
      <c r="H1562" s="660"/>
      <c r="I1562" s="691"/>
      <c r="J1562" s="661"/>
      <c r="K1562" s="706"/>
      <c r="L1562" s="665"/>
      <c r="M1562" s="663"/>
      <c r="N1562" s="665"/>
      <c r="O1562" s="665"/>
      <c r="P1562" s="665"/>
      <c r="Q1562" s="665"/>
      <c r="R1562" s="665"/>
      <c r="S1562" s="665"/>
      <c r="T1562" s="673"/>
      <c r="U1562" s="673"/>
      <c r="V1562" s="673"/>
      <c r="W1562" s="673"/>
      <c r="X1562" s="673"/>
      <c r="Y1562" s="673"/>
      <c r="Z1562" s="673"/>
      <c r="AA1562" s="673"/>
      <c r="AB1562" s="673"/>
      <c r="AC1562" s="673"/>
      <c r="AD1562" s="673"/>
      <c r="AE1562" s="673"/>
      <c r="AF1562" s="673"/>
      <c r="AG1562" s="673"/>
      <c r="AH1562" s="673"/>
    </row>
    <row r="1563">
      <c r="A1563" s="653"/>
      <c r="B1563" s="654"/>
      <c r="C1563" s="691"/>
      <c r="D1563" s="661"/>
      <c r="E1563" s="705"/>
      <c r="F1563" s="659"/>
      <c r="G1563" s="661"/>
      <c r="H1563" s="660"/>
      <c r="I1563" s="691"/>
      <c r="J1563" s="661"/>
      <c r="K1563" s="706"/>
      <c r="L1563" s="665"/>
      <c r="M1563" s="663"/>
      <c r="N1563" s="665"/>
      <c r="O1563" s="665"/>
      <c r="P1563" s="665"/>
      <c r="Q1563" s="665"/>
      <c r="R1563" s="665"/>
      <c r="S1563" s="665"/>
      <c r="T1563" s="673"/>
      <c r="U1563" s="673"/>
      <c r="V1563" s="673"/>
      <c r="W1563" s="673"/>
      <c r="X1563" s="673"/>
      <c r="Y1563" s="673"/>
      <c r="Z1563" s="673"/>
      <c r="AA1563" s="673"/>
      <c r="AB1563" s="673"/>
      <c r="AC1563" s="673"/>
      <c r="AD1563" s="673"/>
      <c r="AE1563" s="673"/>
      <c r="AF1563" s="673"/>
      <c r="AG1563" s="673"/>
      <c r="AH1563" s="673"/>
    </row>
    <row r="1564">
      <c r="A1564" s="653"/>
      <c r="B1564" s="654"/>
      <c r="C1564" s="691"/>
      <c r="D1564" s="661"/>
      <c r="E1564" s="705"/>
      <c r="F1564" s="659"/>
      <c r="G1564" s="661"/>
      <c r="H1564" s="660"/>
      <c r="I1564" s="691"/>
      <c r="J1564" s="661"/>
      <c r="K1564" s="706"/>
      <c r="L1564" s="665"/>
      <c r="M1564" s="663"/>
      <c r="N1564" s="665"/>
      <c r="O1564" s="665"/>
      <c r="P1564" s="665"/>
      <c r="Q1564" s="665"/>
      <c r="R1564" s="665"/>
      <c r="S1564" s="665"/>
      <c r="T1564" s="673"/>
      <c r="U1564" s="673"/>
      <c r="V1564" s="673"/>
      <c r="W1564" s="673"/>
      <c r="X1564" s="673"/>
      <c r="Y1564" s="673"/>
      <c r="Z1564" s="673"/>
      <c r="AA1564" s="673"/>
      <c r="AB1564" s="673"/>
      <c r="AC1564" s="673"/>
      <c r="AD1564" s="673"/>
      <c r="AE1564" s="673"/>
      <c r="AF1564" s="673"/>
      <c r="AG1564" s="673"/>
      <c r="AH1564" s="673"/>
    </row>
    <row r="1565">
      <c r="A1565" s="653"/>
      <c r="B1565" s="654"/>
      <c r="C1565" s="691"/>
      <c r="D1565" s="661"/>
      <c r="E1565" s="705"/>
      <c r="F1565" s="659"/>
      <c r="G1565" s="661"/>
      <c r="H1565" s="660"/>
      <c r="I1565" s="691"/>
      <c r="J1565" s="661"/>
      <c r="K1565" s="706"/>
      <c r="L1565" s="665"/>
      <c r="M1565" s="663"/>
      <c r="N1565" s="665"/>
      <c r="O1565" s="665"/>
      <c r="P1565" s="665"/>
      <c r="Q1565" s="665"/>
      <c r="R1565" s="665"/>
      <c r="S1565" s="665"/>
      <c r="T1565" s="673"/>
      <c r="U1565" s="673"/>
      <c r="V1565" s="673"/>
      <c r="W1565" s="673"/>
      <c r="X1565" s="673"/>
      <c r="Y1565" s="673"/>
      <c r="Z1565" s="673"/>
      <c r="AA1565" s="673"/>
      <c r="AB1565" s="673"/>
      <c r="AC1565" s="673"/>
      <c r="AD1565" s="673"/>
      <c r="AE1565" s="673"/>
      <c r="AF1565" s="673"/>
      <c r="AG1565" s="673"/>
      <c r="AH1565" s="673"/>
    </row>
    <row r="1566">
      <c r="A1566" s="653"/>
      <c r="B1566" s="654"/>
      <c r="C1566" s="691"/>
      <c r="D1566" s="661"/>
      <c r="E1566" s="705"/>
      <c r="F1566" s="659"/>
      <c r="G1566" s="661"/>
      <c r="H1566" s="660"/>
      <c r="I1566" s="691"/>
      <c r="J1566" s="661"/>
      <c r="K1566" s="706"/>
      <c r="L1566" s="665"/>
      <c r="M1566" s="663"/>
      <c r="N1566" s="665"/>
      <c r="O1566" s="665"/>
      <c r="P1566" s="665"/>
      <c r="Q1566" s="665"/>
      <c r="R1566" s="665"/>
      <c r="S1566" s="665"/>
      <c r="T1566" s="673"/>
      <c r="U1566" s="673"/>
      <c r="V1566" s="673"/>
      <c r="W1566" s="673"/>
      <c r="X1566" s="673"/>
      <c r="Y1566" s="673"/>
      <c r="Z1566" s="673"/>
      <c r="AA1566" s="673"/>
      <c r="AB1566" s="673"/>
      <c r="AC1566" s="673"/>
      <c r="AD1566" s="673"/>
      <c r="AE1566" s="673"/>
      <c r="AF1566" s="673"/>
      <c r="AG1566" s="673"/>
      <c r="AH1566" s="673"/>
    </row>
    <row r="1567">
      <c r="A1567" s="653"/>
      <c r="B1567" s="654"/>
      <c r="C1567" s="691"/>
      <c r="D1567" s="661"/>
      <c r="E1567" s="705"/>
      <c r="F1567" s="659"/>
      <c r="G1567" s="661"/>
      <c r="H1567" s="660"/>
      <c r="I1567" s="691"/>
      <c r="J1567" s="661"/>
      <c r="K1567" s="706"/>
      <c r="L1567" s="665"/>
      <c r="M1567" s="663"/>
      <c r="N1567" s="665"/>
      <c r="O1567" s="665"/>
      <c r="P1567" s="665"/>
      <c r="Q1567" s="665"/>
      <c r="R1567" s="665"/>
      <c r="S1567" s="665"/>
      <c r="T1567" s="673"/>
      <c r="U1567" s="673"/>
      <c r="V1567" s="673"/>
      <c r="W1567" s="673"/>
      <c r="X1567" s="673"/>
      <c r="Y1567" s="673"/>
      <c r="Z1567" s="673"/>
      <c r="AA1567" s="673"/>
      <c r="AB1567" s="673"/>
      <c r="AC1567" s="673"/>
      <c r="AD1567" s="673"/>
      <c r="AE1567" s="673"/>
      <c r="AF1567" s="673"/>
      <c r="AG1567" s="673"/>
      <c r="AH1567" s="673"/>
    </row>
    <row r="1568">
      <c r="A1568" s="653"/>
      <c r="B1568" s="654"/>
      <c r="C1568" s="691"/>
      <c r="D1568" s="661"/>
      <c r="E1568" s="705"/>
      <c r="F1568" s="659"/>
      <c r="G1568" s="661"/>
      <c r="H1568" s="660"/>
      <c r="I1568" s="691"/>
      <c r="J1568" s="661"/>
      <c r="K1568" s="706"/>
      <c r="L1568" s="665"/>
      <c r="M1568" s="663"/>
      <c r="N1568" s="665"/>
      <c r="O1568" s="665"/>
      <c r="P1568" s="665"/>
      <c r="Q1568" s="665"/>
      <c r="R1568" s="665"/>
      <c r="S1568" s="665"/>
      <c r="T1568" s="673"/>
      <c r="U1568" s="673"/>
      <c r="V1568" s="673"/>
      <c r="W1568" s="673"/>
      <c r="X1568" s="673"/>
      <c r="Y1568" s="673"/>
      <c r="Z1568" s="673"/>
      <c r="AA1568" s="673"/>
      <c r="AB1568" s="673"/>
      <c r="AC1568" s="673"/>
      <c r="AD1568" s="673"/>
      <c r="AE1568" s="673"/>
      <c r="AF1568" s="673"/>
      <c r="AG1568" s="673"/>
      <c r="AH1568" s="673"/>
    </row>
    <row r="1569">
      <c r="A1569" s="653"/>
      <c r="B1569" s="654"/>
      <c r="C1569" s="691"/>
      <c r="D1569" s="661"/>
      <c r="E1569" s="705"/>
      <c r="F1569" s="659"/>
      <c r="G1569" s="661"/>
      <c r="H1569" s="660"/>
      <c r="I1569" s="691"/>
      <c r="J1569" s="661"/>
      <c r="K1569" s="706"/>
      <c r="L1569" s="665"/>
      <c r="M1569" s="663"/>
      <c r="N1569" s="665"/>
      <c r="O1569" s="665"/>
      <c r="P1569" s="665"/>
      <c r="Q1569" s="665"/>
      <c r="R1569" s="665"/>
      <c r="S1569" s="665"/>
      <c r="T1569" s="673"/>
      <c r="U1569" s="673"/>
      <c r="V1569" s="673"/>
      <c r="W1569" s="673"/>
      <c r="X1569" s="673"/>
      <c r="Y1569" s="673"/>
      <c r="Z1569" s="673"/>
      <c r="AA1569" s="673"/>
      <c r="AB1569" s="673"/>
      <c r="AC1569" s="673"/>
      <c r="AD1569" s="673"/>
      <c r="AE1569" s="673"/>
      <c r="AF1569" s="673"/>
      <c r="AG1569" s="673"/>
      <c r="AH1569" s="673"/>
    </row>
    <row r="1570">
      <c r="A1570" s="653"/>
      <c r="B1570" s="654"/>
      <c r="C1570" s="691"/>
      <c r="D1570" s="661"/>
      <c r="E1570" s="705"/>
      <c r="F1570" s="659"/>
      <c r="G1570" s="661"/>
      <c r="H1570" s="660"/>
      <c r="I1570" s="691"/>
      <c r="J1570" s="661"/>
      <c r="K1570" s="706"/>
      <c r="L1570" s="665"/>
      <c r="M1570" s="663"/>
      <c r="N1570" s="665"/>
      <c r="O1570" s="665"/>
      <c r="P1570" s="665"/>
      <c r="Q1570" s="665"/>
      <c r="R1570" s="665"/>
      <c r="S1570" s="665"/>
      <c r="T1570" s="673"/>
      <c r="U1570" s="673"/>
      <c r="V1570" s="673"/>
      <c r="W1570" s="673"/>
      <c r="X1570" s="673"/>
      <c r="Y1570" s="673"/>
      <c r="Z1570" s="673"/>
      <c r="AA1570" s="673"/>
      <c r="AB1570" s="673"/>
      <c r="AC1570" s="673"/>
      <c r="AD1570" s="673"/>
      <c r="AE1570" s="673"/>
      <c r="AF1570" s="673"/>
      <c r="AG1570" s="673"/>
      <c r="AH1570" s="673"/>
    </row>
    <row r="1571">
      <c r="A1571" s="653"/>
      <c r="B1571" s="654"/>
      <c r="C1571" s="691"/>
      <c r="D1571" s="661"/>
      <c r="E1571" s="705"/>
      <c r="F1571" s="659"/>
      <c r="G1571" s="661"/>
      <c r="H1571" s="660"/>
      <c r="I1571" s="691"/>
      <c r="J1571" s="661"/>
      <c r="K1571" s="706"/>
      <c r="L1571" s="665"/>
      <c r="M1571" s="663"/>
      <c r="N1571" s="665"/>
      <c r="O1571" s="665"/>
      <c r="P1571" s="665"/>
      <c r="Q1571" s="665"/>
      <c r="R1571" s="665"/>
      <c r="S1571" s="665"/>
      <c r="T1571" s="673"/>
      <c r="U1571" s="673"/>
      <c r="V1571" s="673"/>
      <c r="W1571" s="673"/>
      <c r="X1571" s="673"/>
      <c r="Y1571" s="673"/>
      <c r="Z1571" s="673"/>
      <c r="AA1571" s="673"/>
      <c r="AB1571" s="673"/>
      <c r="AC1571" s="673"/>
      <c r="AD1571" s="673"/>
      <c r="AE1571" s="673"/>
      <c r="AF1571" s="673"/>
      <c r="AG1571" s="673"/>
      <c r="AH1571" s="673"/>
    </row>
    <row r="1572">
      <c r="A1572" s="653"/>
      <c r="B1572" s="654"/>
      <c r="C1572" s="691"/>
      <c r="D1572" s="661"/>
      <c r="E1572" s="705"/>
      <c r="F1572" s="659"/>
      <c r="G1572" s="661"/>
      <c r="H1572" s="660"/>
      <c r="I1572" s="691"/>
      <c r="J1572" s="661"/>
      <c r="K1572" s="706"/>
      <c r="L1572" s="665"/>
      <c r="M1572" s="663"/>
      <c r="N1572" s="665"/>
      <c r="O1572" s="665"/>
      <c r="P1572" s="665"/>
      <c r="Q1572" s="665"/>
      <c r="R1572" s="665"/>
      <c r="S1572" s="665"/>
      <c r="T1572" s="673"/>
      <c r="U1572" s="673"/>
      <c r="V1572" s="673"/>
      <c r="W1572" s="673"/>
      <c r="X1572" s="673"/>
      <c r="Y1572" s="673"/>
      <c r="Z1572" s="673"/>
      <c r="AA1572" s="673"/>
      <c r="AB1572" s="673"/>
      <c r="AC1572" s="673"/>
      <c r="AD1572" s="673"/>
      <c r="AE1572" s="673"/>
      <c r="AF1572" s="673"/>
      <c r="AG1572" s="673"/>
      <c r="AH1572" s="673"/>
    </row>
    <row r="1573">
      <c r="A1573" s="653"/>
      <c r="B1573" s="654"/>
      <c r="C1573" s="691"/>
      <c r="D1573" s="661"/>
      <c r="E1573" s="705"/>
      <c r="F1573" s="659"/>
      <c r="G1573" s="661"/>
      <c r="H1573" s="660"/>
      <c r="I1573" s="691"/>
      <c r="J1573" s="661"/>
      <c r="K1573" s="706"/>
      <c r="L1573" s="665"/>
      <c r="M1573" s="663"/>
      <c r="N1573" s="665"/>
      <c r="O1573" s="665"/>
      <c r="P1573" s="665"/>
      <c r="Q1573" s="665"/>
      <c r="R1573" s="665"/>
      <c r="S1573" s="665"/>
      <c r="T1573" s="673"/>
      <c r="U1573" s="673"/>
      <c r="V1573" s="673"/>
      <c r="W1573" s="673"/>
      <c r="X1573" s="673"/>
      <c r="Y1573" s="673"/>
      <c r="Z1573" s="673"/>
      <c r="AA1573" s="673"/>
      <c r="AB1573" s="673"/>
      <c r="AC1573" s="673"/>
      <c r="AD1573" s="673"/>
      <c r="AE1573" s="673"/>
      <c r="AF1573" s="673"/>
      <c r="AG1573" s="673"/>
      <c r="AH1573" s="673"/>
    </row>
    <row r="1574">
      <c r="A1574" s="653"/>
      <c r="B1574" s="654"/>
      <c r="C1574" s="691"/>
      <c r="D1574" s="661"/>
      <c r="E1574" s="705"/>
      <c r="F1574" s="659"/>
      <c r="G1574" s="661"/>
      <c r="H1574" s="660"/>
      <c r="I1574" s="691"/>
      <c r="J1574" s="661"/>
      <c r="K1574" s="706"/>
      <c r="L1574" s="665"/>
      <c r="M1574" s="663"/>
      <c r="N1574" s="665"/>
      <c r="O1574" s="665"/>
      <c r="P1574" s="665"/>
      <c r="Q1574" s="665"/>
      <c r="R1574" s="665"/>
      <c r="S1574" s="665"/>
      <c r="T1574" s="673"/>
      <c r="U1574" s="673"/>
      <c r="V1574" s="673"/>
      <c r="W1574" s="673"/>
      <c r="X1574" s="673"/>
      <c r="Y1574" s="673"/>
      <c r="Z1574" s="673"/>
      <c r="AA1574" s="673"/>
      <c r="AB1574" s="673"/>
      <c r="AC1574" s="673"/>
      <c r="AD1574" s="673"/>
      <c r="AE1574" s="673"/>
      <c r="AF1574" s="673"/>
      <c r="AG1574" s="673"/>
      <c r="AH1574" s="673"/>
    </row>
    <row r="1575">
      <c r="A1575" s="653"/>
      <c r="B1575" s="654"/>
      <c r="C1575" s="691"/>
      <c r="D1575" s="661"/>
      <c r="E1575" s="705"/>
      <c r="F1575" s="659"/>
      <c r="G1575" s="661"/>
      <c r="H1575" s="660"/>
      <c r="I1575" s="691"/>
      <c r="J1575" s="661"/>
      <c r="K1575" s="706"/>
      <c r="L1575" s="665"/>
      <c r="M1575" s="663"/>
      <c r="N1575" s="665"/>
      <c r="O1575" s="665"/>
      <c r="P1575" s="665"/>
      <c r="Q1575" s="665"/>
      <c r="R1575" s="665"/>
      <c r="S1575" s="665"/>
      <c r="T1575" s="673"/>
      <c r="U1575" s="673"/>
      <c r="V1575" s="673"/>
      <c r="W1575" s="673"/>
      <c r="X1575" s="673"/>
      <c r="Y1575" s="673"/>
      <c r="Z1575" s="673"/>
      <c r="AA1575" s="673"/>
      <c r="AB1575" s="673"/>
      <c r="AC1575" s="673"/>
      <c r="AD1575" s="673"/>
      <c r="AE1575" s="673"/>
      <c r="AF1575" s="673"/>
      <c r="AG1575" s="673"/>
      <c r="AH1575" s="673"/>
    </row>
    <row r="1576">
      <c r="A1576" s="653"/>
      <c r="B1576" s="654"/>
      <c r="C1576" s="691"/>
      <c r="D1576" s="661"/>
      <c r="E1576" s="705"/>
      <c r="F1576" s="659"/>
      <c r="G1576" s="661"/>
      <c r="H1576" s="660"/>
      <c r="I1576" s="691"/>
      <c r="J1576" s="661"/>
      <c r="K1576" s="706"/>
      <c r="L1576" s="665"/>
      <c r="M1576" s="663"/>
      <c r="N1576" s="665"/>
      <c r="O1576" s="665"/>
      <c r="P1576" s="665"/>
      <c r="Q1576" s="665"/>
      <c r="R1576" s="665"/>
      <c r="S1576" s="665"/>
      <c r="T1576" s="673"/>
      <c r="U1576" s="673"/>
      <c r="V1576" s="673"/>
      <c r="W1576" s="673"/>
      <c r="X1576" s="673"/>
      <c r="Y1576" s="673"/>
      <c r="Z1576" s="673"/>
      <c r="AA1576" s="673"/>
      <c r="AB1576" s="673"/>
      <c r="AC1576" s="673"/>
      <c r="AD1576" s="673"/>
      <c r="AE1576" s="673"/>
      <c r="AF1576" s="673"/>
      <c r="AG1576" s="673"/>
      <c r="AH1576" s="673"/>
    </row>
    <row r="1577">
      <c r="A1577" s="653"/>
      <c r="B1577" s="654"/>
      <c r="C1577" s="691"/>
      <c r="D1577" s="661"/>
      <c r="E1577" s="705"/>
      <c r="F1577" s="659"/>
      <c r="G1577" s="661"/>
      <c r="H1577" s="660"/>
      <c r="I1577" s="691"/>
      <c r="J1577" s="661"/>
      <c r="K1577" s="706"/>
      <c r="L1577" s="665"/>
      <c r="M1577" s="663"/>
      <c r="N1577" s="665"/>
      <c r="O1577" s="665"/>
      <c r="P1577" s="665"/>
      <c r="Q1577" s="665"/>
      <c r="R1577" s="665"/>
      <c r="S1577" s="665"/>
      <c r="T1577" s="673"/>
      <c r="U1577" s="673"/>
      <c r="V1577" s="673"/>
      <c r="W1577" s="673"/>
      <c r="X1577" s="673"/>
      <c r="Y1577" s="673"/>
      <c r="Z1577" s="673"/>
      <c r="AA1577" s="673"/>
      <c r="AB1577" s="673"/>
      <c r="AC1577" s="673"/>
      <c r="AD1577" s="673"/>
      <c r="AE1577" s="673"/>
      <c r="AF1577" s="673"/>
      <c r="AG1577" s="673"/>
      <c r="AH1577" s="673"/>
    </row>
    <row r="1578">
      <c r="A1578" s="653"/>
      <c r="B1578" s="654"/>
      <c r="C1578" s="691"/>
      <c r="D1578" s="661"/>
      <c r="E1578" s="705"/>
      <c r="F1578" s="659"/>
      <c r="G1578" s="661"/>
      <c r="H1578" s="660"/>
      <c r="I1578" s="691"/>
      <c r="J1578" s="661"/>
      <c r="K1578" s="706"/>
      <c r="L1578" s="665"/>
      <c r="M1578" s="663"/>
      <c r="N1578" s="665"/>
      <c r="O1578" s="665"/>
      <c r="P1578" s="665"/>
      <c r="Q1578" s="665"/>
      <c r="R1578" s="665"/>
      <c r="S1578" s="665"/>
      <c r="T1578" s="673"/>
      <c r="U1578" s="673"/>
      <c r="V1578" s="673"/>
      <c r="W1578" s="673"/>
      <c r="X1578" s="673"/>
      <c r="Y1578" s="673"/>
      <c r="Z1578" s="673"/>
      <c r="AA1578" s="673"/>
      <c r="AB1578" s="673"/>
      <c r="AC1578" s="673"/>
      <c r="AD1578" s="673"/>
      <c r="AE1578" s="673"/>
      <c r="AF1578" s="673"/>
      <c r="AG1578" s="673"/>
      <c r="AH1578" s="673"/>
    </row>
    <row r="1579">
      <c r="A1579" s="653"/>
      <c r="B1579" s="654"/>
      <c r="C1579" s="691"/>
      <c r="D1579" s="661"/>
      <c r="E1579" s="705"/>
      <c r="F1579" s="659"/>
      <c r="G1579" s="661"/>
      <c r="H1579" s="660"/>
      <c r="I1579" s="691"/>
      <c r="J1579" s="661"/>
      <c r="K1579" s="706"/>
      <c r="L1579" s="665"/>
      <c r="M1579" s="663"/>
      <c r="N1579" s="665"/>
      <c r="O1579" s="665"/>
      <c r="P1579" s="665"/>
      <c r="Q1579" s="665"/>
      <c r="R1579" s="665"/>
      <c r="S1579" s="665"/>
      <c r="T1579" s="673"/>
      <c r="U1579" s="673"/>
      <c r="V1579" s="673"/>
      <c r="W1579" s="673"/>
      <c r="X1579" s="673"/>
      <c r="Y1579" s="673"/>
      <c r="Z1579" s="673"/>
      <c r="AA1579" s="673"/>
      <c r="AB1579" s="673"/>
      <c r="AC1579" s="673"/>
      <c r="AD1579" s="673"/>
      <c r="AE1579" s="673"/>
      <c r="AF1579" s="673"/>
      <c r="AG1579" s="673"/>
      <c r="AH1579" s="673"/>
    </row>
    <row r="1580">
      <c r="A1580" s="653"/>
      <c r="B1580" s="654"/>
      <c r="C1580" s="691"/>
      <c r="D1580" s="661"/>
      <c r="E1580" s="705"/>
      <c r="F1580" s="659"/>
      <c r="G1580" s="661"/>
      <c r="H1580" s="660"/>
      <c r="I1580" s="691"/>
      <c r="J1580" s="661"/>
      <c r="K1580" s="706"/>
      <c r="L1580" s="665"/>
      <c r="M1580" s="663"/>
      <c r="N1580" s="665"/>
      <c r="O1580" s="665"/>
      <c r="P1580" s="665"/>
      <c r="Q1580" s="665"/>
      <c r="R1580" s="665"/>
      <c r="S1580" s="665"/>
      <c r="T1580" s="673"/>
      <c r="U1580" s="673"/>
      <c r="V1580" s="673"/>
      <c r="W1580" s="673"/>
      <c r="X1580" s="673"/>
      <c r="Y1580" s="673"/>
      <c r="Z1580" s="673"/>
      <c r="AA1580" s="673"/>
      <c r="AB1580" s="673"/>
      <c r="AC1580" s="673"/>
      <c r="AD1580" s="673"/>
      <c r="AE1580" s="673"/>
      <c r="AF1580" s="673"/>
      <c r="AG1580" s="673"/>
      <c r="AH1580" s="673"/>
    </row>
    <row r="1581">
      <c r="A1581" s="653"/>
      <c r="B1581" s="654"/>
      <c r="C1581" s="691"/>
      <c r="D1581" s="661"/>
      <c r="E1581" s="705"/>
      <c r="F1581" s="659"/>
      <c r="G1581" s="661"/>
      <c r="H1581" s="660"/>
      <c r="I1581" s="691"/>
      <c r="J1581" s="661"/>
      <c r="K1581" s="706"/>
      <c r="L1581" s="665"/>
      <c r="M1581" s="663"/>
      <c r="N1581" s="665"/>
      <c r="O1581" s="665"/>
      <c r="P1581" s="665"/>
      <c r="Q1581" s="665"/>
      <c r="R1581" s="665"/>
      <c r="S1581" s="665"/>
      <c r="T1581" s="673"/>
      <c r="U1581" s="673"/>
      <c r="V1581" s="673"/>
      <c r="W1581" s="673"/>
      <c r="X1581" s="673"/>
      <c r="Y1581" s="673"/>
      <c r="Z1581" s="673"/>
      <c r="AA1581" s="673"/>
      <c r="AB1581" s="673"/>
      <c r="AC1581" s="673"/>
      <c r="AD1581" s="673"/>
      <c r="AE1581" s="673"/>
      <c r="AF1581" s="673"/>
      <c r="AG1581" s="673"/>
      <c r="AH1581" s="673"/>
    </row>
    <row r="1582">
      <c r="A1582" s="653"/>
      <c r="B1582" s="654"/>
      <c r="C1582" s="691"/>
      <c r="D1582" s="661"/>
      <c r="E1582" s="705"/>
      <c r="F1582" s="659"/>
      <c r="G1582" s="661"/>
      <c r="H1582" s="660"/>
      <c r="I1582" s="691"/>
      <c r="J1582" s="661"/>
      <c r="K1582" s="706"/>
      <c r="L1582" s="665"/>
      <c r="M1582" s="663"/>
      <c r="N1582" s="665"/>
      <c r="O1582" s="665"/>
      <c r="P1582" s="665"/>
      <c r="Q1582" s="665"/>
      <c r="R1582" s="665"/>
      <c r="S1582" s="665"/>
      <c r="T1582" s="673"/>
      <c r="U1582" s="673"/>
      <c r="V1582" s="673"/>
      <c r="W1582" s="673"/>
      <c r="X1582" s="673"/>
      <c r="Y1582" s="673"/>
      <c r="Z1582" s="673"/>
      <c r="AA1582" s="673"/>
      <c r="AB1582" s="673"/>
      <c r="AC1582" s="673"/>
      <c r="AD1582" s="673"/>
      <c r="AE1582" s="673"/>
      <c r="AF1582" s="673"/>
      <c r="AG1582" s="673"/>
      <c r="AH1582" s="673"/>
    </row>
    <row r="1583">
      <c r="A1583" s="653"/>
      <c r="B1583" s="654"/>
      <c r="C1583" s="691"/>
      <c r="D1583" s="661"/>
      <c r="E1583" s="705"/>
      <c r="F1583" s="659"/>
      <c r="G1583" s="661"/>
      <c r="H1583" s="660"/>
      <c r="I1583" s="691"/>
      <c r="J1583" s="661"/>
      <c r="K1583" s="706"/>
      <c r="L1583" s="665"/>
      <c r="M1583" s="663"/>
      <c r="N1583" s="665"/>
      <c r="O1583" s="665"/>
      <c r="P1583" s="665"/>
      <c r="Q1583" s="665"/>
      <c r="R1583" s="665"/>
      <c r="S1583" s="665"/>
      <c r="T1583" s="673"/>
      <c r="U1583" s="673"/>
      <c r="V1583" s="673"/>
      <c r="W1583" s="673"/>
      <c r="X1583" s="673"/>
      <c r="Y1583" s="673"/>
      <c r="Z1583" s="673"/>
      <c r="AA1583" s="673"/>
      <c r="AB1583" s="673"/>
      <c r="AC1583" s="673"/>
      <c r="AD1583" s="673"/>
      <c r="AE1583" s="673"/>
      <c r="AF1583" s="673"/>
      <c r="AG1583" s="673"/>
      <c r="AH1583" s="673"/>
    </row>
    <row r="1584">
      <c r="A1584" s="653"/>
      <c r="B1584" s="654"/>
      <c r="C1584" s="691"/>
      <c r="D1584" s="661"/>
      <c r="E1584" s="705"/>
      <c r="F1584" s="659"/>
      <c r="G1584" s="661"/>
      <c r="H1584" s="660"/>
      <c r="I1584" s="691"/>
      <c r="J1584" s="661"/>
      <c r="K1584" s="706"/>
      <c r="L1584" s="665"/>
      <c r="M1584" s="663"/>
      <c r="N1584" s="665"/>
      <c r="O1584" s="665"/>
      <c r="P1584" s="665"/>
      <c r="Q1584" s="665"/>
      <c r="R1584" s="665"/>
      <c r="S1584" s="665"/>
      <c r="T1584" s="673"/>
      <c r="U1584" s="673"/>
      <c r="V1584" s="673"/>
      <c r="W1584" s="673"/>
      <c r="X1584" s="673"/>
      <c r="Y1584" s="673"/>
      <c r="Z1584" s="673"/>
      <c r="AA1584" s="673"/>
      <c r="AB1584" s="673"/>
      <c r="AC1584" s="673"/>
      <c r="AD1584" s="673"/>
      <c r="AE1584" s="673"/>
      <c r="AF1584" s="673"/>
      <c r="AG1584" s="673"/>
      <c r="AH1584" s="673"/>
    </row>
    <row r="1585">
      <c r="A1585" s="653"/>
      <c r="B1585" s="654"/>
      <c r="C1585" s="691"/>
      <c r="D1585" s="661"/>
      <c r="E1585" s="705"/>
      <c r="F1585" s="659"/>
      <c r="G1585" s="661"/>
      <c r="H1585" s="660"/>
      <c r="I1585" s="691"/>
      <c r="J1585" s="661"/>
      <c r="K1585" s="706"/>
      <c r="L1585" s="665"/>
      <c r="M1585" s="663"/>
      <c r="N1585" s="665"/>
      <c r="O1585" s="665"/>
      <c r="P1585" s="665"/>
      <c r="Q1585" s="665"/>
      <c r="R1585" s="665"/>
      <c r="S1585" s="665"/>
      <c r="T1585" s="673"/>
      <c r="U1585" s="673"/>
      <c r="V1585" s="673"/>
      <c r="W1585" s="673"/>
      <c r="X1585" s="673"/>
      <c r="Y1585" s="673"/>
      <c r="Z1585" s="673"/>
      <c r="AA1585" s="673"/>
      <c r="AB1585" s="673"/>
      <c r="AC1585" s="673"/>
      <c r="AD1585" s="673"/>
      <c r="AE1585" s="673"/>
      <c r="AF1585" s="673"/>
      <c r="AG1585" s="673"/>
      <c r="AH1585" s="673"/>
    </row>
    <row r="1586">
      <c r="A1586" s="653"/>
      <c r="B1586" s="654"/>
      <c r="C1586" s="691"/>
      <c r="D1586" s="661"/>
      <c r="E1586" s="705"/>
      <c r="F1586" s="659"/>
      <c r="G1586" s="661"/>
      <c r="H1586" s="660"/>
      <c r="I1586" s="691"/>
      <c r="J1586" s="661"/>
      <c r="K1586" s="706"/>
      <c r="L1586" s="665"/>
      <c r="M1586" s="663"/>
      <c r="N1586" s="665"/>
      <c r="O1586" s="665"/>
      <c r="P1586" s="665"/>
      <c r="Q1586" s="665"/>
      <c r="R1586" s="665"/>
      <c r="S1586" s="665"/>
      <c r="T1586" s="673"/>
      <c r="U1586" s="673"/>
      <c r="V1586" s="673"/>
      <c r="W1586" s="673"/>
      <c r="X1586" s="673"/>
      <c r="Y1586" s="673"/>
      <c r="Z1586" s="673"/>
      <c r="AA1586" s="673"/>
      <c r="AB1586" s="673"/>
      <c r="AC1586" s="673"/>
      <c r="AD1586" s="673"/>
      <c r="AE1586" s="673"/>
      <c r="AF1586" s="673"/>
      <c r="AG1586" s="673"/>
      <c r="AH1586" s="673"/>
    </row>
    <row r="1587">
      <c r="A1587" s="653"/>
      <c r="B1587" s="654"/>
      <c r="C1587" s="691"/>
      <c r="D1587" s="661"/>
      <c r="E1587" s="705"/>
      <c r="F1587" s="659"/>
      <c r="G1587" s="661"/>
      <c r="H1587" s="660"/>
      <c r="I1587" s="691"/>
      <c r="J1587" s="661"/>
      <c r="K1587" s="706"/>
      <c r="L1587" s="665"/>
      <c r="M1587" s="663"/>
      <c r="N1587" s="665"/>
      <c r="O1587" s="665"/>
      <c r="P1587" s="665"/>
      <c r="Q1587" s="665"/>
      <c r="R1587" s="665"/>
      <c r="S1587" s="665"/>
      <c r="T1587" s="673"/>
      <c r="U1587" s="673"/>
      <c r="V1587" s="673"/>
      <c r="W1587" s="673"/>
      <c r="X1587" s="673"/>
      <c r="Y1587" s="673"/>
      <c r="Z1587" s="673"/>
      <c r="AA1587" s="673"/>
      <c r="AB1587" s="673"/>
      <c r="AC1587" s="673"/>
      <c r="AD1587" s="673"/>
      <c r="AE1587" s="673"/>
      <c r="AF1587" s="673"/>
      <c r="AG1587" s="673"/>
      <c r="AH1587" s="673"/>
    </row>
    <row r="1588">
      <c r="A1588" s="653"/>
      <c r="B1588" s="654"/>
      <c r="C1588" s="691"/>
      <c r="D1588" s="661"/>
      <c r="E1588" s="705"/>
      <c r="F1588" s="659"/>
      <c r="G1588" s="661"/>
      <c r="H1588" s="660"/>
      <c r="I1588" s="691"/>
      <c r="J1588" s="661"/>
      <c r="K1588" s="706"/>
      <c r="L1588" s="665"/>
      <c r="M1588" s="663"/>
      <c r="N1588" s="665"/>
      <c r="O1588" s="665"/>
      <c r="P1588" s="665"/>
      <c r="Q1588" s="665"/>
      <c r="R1588" s="665"/>
      <c r="S1588" s="665"/>
      <c r="T1588" s="673"/>
      <c r="U1588" s="673"/>
      <c r="V1588" s="673"/>
      <c r="W1588" s="673"/>
      <c r="X1588" s="673"/>
      <c r="Y1588" s="673"/>
      <c r="Z1588" s="673"/>
      <c r="AA1588" s="673"/>
      <c r="AB1588" s="673"/>
      <c r="AC1588" s="673"/>
      <c r="AD1588" s="673"/>
      <c r="AE1588" s="673"/>
      <c r="AF1588" s="673"/>
      <c r="AG1588" s="673"/>
      <c r="AH1588" s="673"/>
    </row>
    <row r="1589">
      <c r="A1589" s="653"/>
      <c r="B1589" s="654"/>
      <c r="C1589" s="691"/>
      <c r="D1589" s="661"/>
      <c r="E1589" s="705"/>
      <c r="F1589" s="659"/>
      <c r="G1589" s="661"/>
      <c r="H1589" s="660"/>
      <c r="I1589" s="691"/>
      <c r="J1589" s="661"/>
      <c r="K1589" s="706"/>
      <c r="L1589" s="665"/>
      <c r="M1589" s="663"/>
      <c r="N1589" s="665"/>
      <c r="O1589" s="665"/>
      <c r="P1589" s="665"/>
      <c r="Q1589" s="665"/>
      <c r="R1589" s="665"/>
      <c r="S1589" s="665"/>
      <c r="T1589" s="673"/>
      <c r="U1589" s="673"/>
      <c r="V1589" s="673"/>
      <c r="W1589" s="673"/>
      <c r="X1589" s="673"/>
      <c r="Y1589" s="673"/>
      <c r="Z1589" s="673"/>
      <c r="AA1589" s="673"/>
      <c r="AB1589" s="673"/>
      <c r="AC1589" s="673"/>
      <c r="AD1589" s="673"/>
      <c r="AE1589" s="673"/>
      <c r="AF1589" s="673"/>
      <c r="AG1589" s="673"/>
      <c r="AH1589" s="673"/>
    </row>
    <row r="1590">
      <c r="A1590" s="653"/>
      <c r="B1590" s="654"/>
      <c r="C1590" s="691"/>
      <c r="D1590" s="661"/>
      <c r="E1590" s="705"/>
      <c r="F1590" s="659"/>
      <c r="G1590" s="661"/>
      <c r="H1590" s="660"/>
      <c r="I1590" s="691"/>
      <c r="J1590" s="661"/>
      <c r="K1590" s="706"/>
      <c r="L1590" s="665"/>
      <c r="M1590" s="663"/>
      <c r="N1590" s="665"/>
      <c r="O1590" s="665"/>
      <c r="P1590" s="665"/>
      <c r="Q1590" s="665"/>
      <c r="R1590" s="665"/>
      <c r="S1590" s="665"/>
      <c r="T1590" s="673"/>
      <c r="U1590" s="673"/>
      <c r="V1590" s="673"/>
      <c r="W1590" s="673"/>
      <c r="X1590" s="673"/>
      <c r="Y1590" s="673"/>
      <c r="Z1590" s="673"/>
      <c r="AA1590" s="673"/>
      <c r="AB1590" s="673"/>
      <c r="AC1590" s="673"/>
      <c r="AD1590" s="673"/>
      <c r="AE1590" s="673"/>
      <c r="AF1590" s="673"/>
      <c r="AG1590" s="673"/>
      <c r="AH1590" s="673"/>
    </row>
    <row r="1591">
      <c r="A1591" s="653"/>
      <c r="B1591" s="654"/>
      <c r="C1591" s="691"/>
      <c r="D1591" s="661"/>
      <c r="E1591" s="705"/>
      <c r="F1591" s="659"/>
      <c r="G1591" s="661"/>
      <c r="H1591" s="660"/>
      <c r="I1591" s="691"/>
      <c r="J1591" s="661"/>
      <c r="K1591" s="706"/>
      <c r="L1591" s="665"/>
      <c r="M1591" s="663"/>
      <c r="N1591" s="665"/>
      <c r="O1591" s="665"/>
      <c r="P1591" s="665"/>
      <c r="Q1591" s="665"/>
      <c r="R1591" s="665"/>
      <c r="S1591" s="665"/>
      <c r="T1591" s="673"/>
      <c r="U1591" s="673"/>
      <c r="V1591" s="673"/>
      <c r="W1591" s="673"/>
      <c r="X1591" s="673"/>
      <c r="Y1591" s="673"/>
      <c r="Z1591" s="673"/>
      <c r="AA1591" s="673"/>
      <c r="AB1591" s="673"/>
      <c r="AC1591" s="673"/>
      <c r="AD1591" s="673"/>
      <c r="AE1591" s="673"/>
      <c r="AF1591" s="673"/>
      <c r="AG1591" s="673"/>
      <c r="AH1591" s="673"/>
    </row>
    <row r="1592">
      <c r="A1592" s="653"/>
      <c r="B1592" s="654"/>
      <c r="C1592" s="691"/>
      <c r="D1592" s="661"/>
      <c r="E1592" s="705"/>
      <c r="F1592" s="659"/>
      <c r="G1592" s="661"/>
      <c r="H1592" s="660"/>
      <c r="I1592" s="691"/>
      <c r="J1592" s="661"/>
      <c r="K1592" s="706"/>
      <c r="L1592" s="665"/>
      <c r="M1592" s="663"/>
      <c r="N1592" s="665"/>
      <c r="O1592" s="665"/>
      <c r="P1592" s="665"/>
      <c r="Q1592" s="665"/>
      <c r="R1592" s="665"/>
      <c r="S1592" s="665"/>
      <c r="T1592" s="673"/>
      <c r="U1592" s="673"/>
      <c r="V1592" s="673"/>
      <c r="W1592" s="673"/>
      <c r="X1592" s="673"/>
      <c r="Y1592" s="673"/>
      <c r="Z1592" s="673"/>
      <c r="AA1592" s="673"/>
      <c r="AB1592" s="673"/>
      <c r="AC1592" s="673"/>
      <c r="AD1592" s="673"/>
      <c r="AE1592" s="673"/>
      <c r="AF1592" s="673"/>
      <c r="AG1592" s="673"/>
      <c r="AH1592" s="673"/>
    </row>
    <row r="1593">
      <c r="A1593" s="653"/>
      <c r="B1593" s="654"/>
      <c r="C1593" s="691"/>
      <c r="D1593" s="661"/>
      <c r="E1593" s="705"/>
      <c r="F1593" s="659"/>
      <c r="G1593" s="661"/>
      <c r="H1593" s="660"/>
      <c r="I1593" s="691"/>
      <c r="J1593" s="661"/>
      <c r="K1593" s="706"/>
      <c r="L1593" s="665"/>
      <c r="M1593" s="663"/>
      <c r="N1593" s="665"/>
      <c r="O1593" s="665"/>
      <c r="P1593" s="665"/>
      <c r="Q1593" s="665"/>
      <c r="R1593" s="665"/>
      <c r="S1593" s="665"/>
      <c r="T1593" s="673"/>
      <c r="U1593" s="673"/>
      <c r="V1593" s="673"/>
      <c r="W1593" s="673"/>
      <c r="X1593" s="673"/>
      <c r="Y1593" s="673"/>
      <c r="Z1593" s="673"/>
      <c r="AA1593" s="673"/>
      <c r="AB1593" s="673"/>
      <c r="AC1593" s="673"/>
      <c r="AD1593" s="673"/>
      <c r="AE1593" s="673"/>
      <c r="AF1593" s="673"/>
      <c r="AG1593" s="673"/>
      <c r="AH1593" s="673"/>
    </row>
    <row r="1594">
      <c r="A1594" s="653"/>
      <c r="B1594" s="654"/>
      <c r="C1594" s="691"/>
      <c r="D1594" s="661"/>
      <c r="E1594" s="705"/>
      <c r="F1594" s="659"/>
      <c r="G1594" s="661"/>
      <c r="H1594" s="660"/>
      <c r="I1594" s="691"/>
      <c r="J1594" s="661"/>
      <c r="K1594" s="706"/>
      <c r="L1594" s="665"/>
      <c r="M1594" s="663"/>
      <c r="N1594" s="665"/>
      <c r="O1594" s="665"/>
      <c r="P1594" s="665"/>
      <c r="Q1594" s="665"/>
      <c r="R1594" s="665"/>
      <c r="S1594" s="665"/>
      <c r="T1594" s="673"/>
      <c r="U1594" s="673"/>
      <c r="V1594" s="673"/>
      <c r="W1594" s="673"/>
      <c r="X1594" s="673"/>
      <c r="Y1594" s="673"/>
      <c r="Z1594" s="673"/>
      <c r="AA1594" s="673"/>
      <c r="AB1594" s="673"/>
      <c r="AC1594" s="673"/>
      <c r="AD1594" s="673"/>
      <c r="AE1594" s="673"/>
      <c r="AF1594" s="673"/>
      <c r="AG1594" s="673"/>
      <c r="AH1594" s="673"/>
    </row>
    <row r="1595">
      <c r="A1595" s="653"/>
      <c r="B1595" s="654"/>
      <c r="C1595" s="691"/>
      <c r="D1595" s="661"/>
      <c r="E1595" s="705"/>
      <c r="F1595" s="659"/>
      <c r="G1595" s="661"/>
      <c r="H1595" s="660"/>
      <c r="I1595" s="691"/>
      <c r="J1595" s="661"/>
      <c r="K1595" s="706"/>
      <c r="L1595" s="665"/>
      <c r="M1595" s="663"/>
      <c r="N1595" s="665"/>
      <c r="O1595" s="665"/>
      <c r="P1595" s="665"/>
      <c r="Q1595" s="665"/>
      <c r="R1595" s="665"/>
      <c r="S1595" s="665"/>
      <c r="T1595" s="673"/>
      <c r="U1595" s="673"/>
      <c r="V1595" s="673"/>
      <c r="W1595" s="673"/>
      <c r="X1595" s="673"/>
      <c r="Y1595" s="673"/>
      <c r="Z1595" s="673"/>
      <c r="AA1595" s="673"/>
      <c r="AB1595" s="673"/>
      <c r="AC1595" s="673"/>
      <c r="AD1595" s="673"/>
      <c r="AE1595" s="673"/>
      <c r="AF1595" s="673"/>
      <c r="AG1595" s="673"/>
      <c r="AH1595" s="673"/>
    </row>
    <row r="1596">
      <c r="A1596" s="653"/>
      <c r="B1596" s="654"/>
      <c r="C1596" s="691"/>
      <c r="D1596" s="661"/>
      <c r="E1596" s="705"/>
      <c r="F1596" s="659"/>
      <c r="G1596" s="661"/>
      <c r="H1596" s="660"/>
      <c r="I1596" s="691"/>
      <c r="J1596" s="661"/>
      <c r="K1596" s="706"/>
      <c r="L1596" s="665"/>
      <c r="M1596" s="663"/>
      <c r="N1596" s="665"/>
      <c r="O1596" s="665"/>
      <c r="P1596" s="665"/>
      <c r="Q1596" s="665"/>
      <c r="R1596" s="665"/>
      <c r="S1596" s="665"/>
      <c r="T1596" s="673"/>
      <c r="U1596" s="673"/>
      <c r="V1596" s="673"/>
      <c r="W1596" s="673"/>
      <c r="X1596" s="673"/>
      <c r="Y1596" s="673"/>
      <c r="Z1596" s="673"/>
      <c r="AA1596" s="673"/>
      <c r="AB1596" s="673"/>
      <c r="AC1596" s="673"/>
      <c r="AD1596" s="673"/>
      <c r="AE1596" s="673"/>
      <c r="AF1596" s="673"/>
      <c r="AG1596" s="673"/>
      <c r="AH1596" s="673"/>
    </row>
    <row r="1597">
      <c r="A1597" s="653"/>
      <c r="B1597" s="654"/>
      <c r="C1597" s="691"/>
      <c r="D1597" s="661"/>
      <c r="E1597" s="705"/>
      <c r="F1597" s="659"/>
      <c r="G1597" s="661"/>
      <c r="H1597" s="660"/>
      <c r="I1597" s="691"/>
      <c r="J1597" s="661"/>
      <c r="K1597" s="706"/>
      <c r="L1597" s="665"/>
      <c r="M1597" s="663"/>
      <c r="N1597" s="665"/>
      <c r="O1597" s="665"/>
      <c r="P1597" s="665"/>
      <c r="Q1597" s="665"/>
      <c r="R1597" s="665"/>
      <c r="S1597" s="665"/>
      <c r="T1597" s="673"/>
      <c r="U1597" s="673"/>
      <c r="V1597" s="673"/>
      <c r="W1597" s="673"/>
      <c r="X1597" s="673"/>
      <c r="Y1597" s="673"/>
      <c r="Z1597" s="673"/>
      <c r="AA1597" s="673"/>
      <c r="AB1597" s="673"/>
      <c r="AC1597" s="673"/>
      <c r="AD1597" s="673"/>
      <c r="AE1597" s="673"/>
      <c r="AF1597" s="673"/>
      <c r="AG1597" s="673"/>
      <c r="AH1597" s="673"/>
    </row>
    <row r="1598">
      <c r="A1598" s="653"/>
      <c r="B1598" s="654"/>
      <c r="C1598" s="691"/>
      <c r="D1598" s="661"/>
      <c r="E1598" s="705"/>
      <c r="F1598" s="659"/>
      <c r="G1598" s="661"/>
      <c r="H1598" s="660"/>
      <c r="I1598" s="691"/>
      <c r="J1598" s="661"/>
      <c r="K1598" s="706"/>
      <c r="L1598" s="665"/>
      <c r="M1598" s="663"/>
      <c r="N1598" s="665"/>
      <c r="O1598" s="665"/>
      <c r="P1598" s="665"/>
      <c r="Q1598" s="665"/>
      <c r="R1598" s="665"/>
      <c r="S1598" s="665"/>
      <c r="T1598" s="673"/>
      <c r="U1598" s="673"/>
      <c r="V1598" s="673"/>
      <c r="W1598" s="673"/>
      <c r="X1598" s="673"/>
      <c r="Y1598" s="673"/>
      <c r="Z1598" s="673"/>
      <c r="AA1598" s="673"/>
      <c r="AB1598" s="673"/>
      <c r="AC1598" s="673"/>
      <c r="AD1598" s="673"/>
      <c r="AE1598" s="673"/>
      <c r="AF1598" s="673"/>
      <c r="AG1598" s="673"/>
      <c r="AH1598" s="673"/>
    </row>
    <row r="1599">
      <c r="A1599" s="653"/>
      <c r="B1599" s="654"/>
      <c r="C1599" s="691"/>
      <c r="D1599" s="661"/>
      <c r="E1599" s="705"/>
      <c r="F1599" s="659"/>
      <c r="G1599" s="661"/>
      <c r="H1599" s="660"/>
      <c r="I1599" s="691"/>
      <c r="J1599" s="661"/>
      <c r="K1599" s="706"/>
      <c r="L1599" s="665"/>
      <c r="M1599" s="663"/>
      <c r="N1599" s="665"/>
      <c r="O1599" s="665"/>
      <c r="P1599" s="665"/>
      <c r="Q1599" s="665"/>
      <c r="R1599" s="665"/>
      <c r="S1599" s="665"/>
      <c r="T1599" s="673"/>
      <c r="U1599" s="673"/>
      <c r="V1599" s="673"/>
      <c r="W1599" s="673"/>
      <c r="X1599" s="673"/>
      <c r="Y1599" s="673"/>
      <c r="Z1599" s="673"/>
      <c r="AA1599" s="673"/>
      <c r="AB1599" s="673"/>
      <c r="AC1599" s="673"/>
      <c r="AD1599" s="673"/>
      <c r="AE1599" s="673"/>
      <c r="AF1599" s="673"/>
      <c r="AG1599" s="673"/>
      <c r="AH1599" s="673"/>
    </row>
    <row r="1600">
      <c r="A1600" s="653"/>
      <c r="B1600" s="654"/>
      <c r="C1600" s="691"/>
      <c r="D1600" s="661"/>
      <c r="E1600" s="705"/>
      <c r="F1600" s="659"/>
      <c r="G1600" s="661"/>
      <c r="H1600" s="660"/>
      <c r="I1600" s="691"/>
      <c r="J1600" s="661"/>
      <c r="K1600" s="706"/>
      <c r="L1600" s="665"/>
      <c r="M1600" s="663"/>
      <c r="N1600" s="665"/>
      <c r="O1600" s="665"/>
      <c r="P1600" s="665"/>
      <c r="Q1600" s="665"/>
      <c r="R1600" s="665"/>
      <c r="S1600" s="665"/>
      <c r="T1600" s="673"/>
      <c r="U1600" s="673"/>
      <c r="V1600" s="673"/>
      <c r="W1600" s="673"/>
      <c r="X1600" s="673"/>
      <c r="Y1600" s="673"/>
      <c r="Z1600" s="673"/>
      <c r="AA1600" s="673"/>
      <c r="AB1600" s="673"/>
      <c r="AC1600" s="673"/>
      <c r="AD1600" s="673"/>
      <c r="AE1600" s="673"/>
      <c r="AF1600" s="673"/>
      <c r="AG1600" s="673"/>
      <c r="AH1600" s="673"/>
    </row>
    <row r="1601">
      <c r="A1601" s="653"/>
      <c r="B1601" s="654"/>
      <c r="C1601" s="691"/>
      <c r="D1601" s="661"/>
      <c r="E1601" s="705"/>
      <c r="F1601" s="659"/>
      <c r="G1601" s="661"/>
      <c r="H1601" s="660"/>
      <c r="I1601" s="691"/>
      <c r="J1601" s="661"/>
      <c r="K1601" s="706"/>
      <c r="L1601" s="665"/>
      <c r="M1601" s="663"/>
      <c r="N1601" s="665"/>
      <c r="O1601" s="665"/>
      <c r="P1601" s="665"/>
      <c r="Q1601" s="665"/>
      <c r="R1601" s="665"/>
      <c r="S1601" s="665"/>
      <c r="T1601" s="673"/>
      <c r="U1601" s="673"/>
      <c r="V1601" s="673"/>
      <c r="W1601" s="673"/>
      <c r="X1601" s="673"/>
      <c r="Y1601" s="673"/>
      <c r="Z1601" s="673"/>
      <c r="AA1601" s="673"/>
      <c r="AB1601" s="673"/>
      <c r="AC1601" s="673"/>
      <c r="AD1601" s="673"/>
      <c r="AE1601" s="673"/>
      <c r="AF1601" s="673"/>
      <c r="AG1601" s="673"/>
      <c r="AH1601" s="673"/>
    </row>
    <row r="1602">
      <c r="A1602" s="653"/>
      <c r="B1602" s="654"/>
      <c r="C1602" s="691"/>
      <c r="D1602" s="661"/>
      <c r="E1602" s="705"/>
      <c r="F1602" s="659"/>
      <c r="G1602" s="661"/>
      <c r="H1602" s="660"/>
      <c r="I1602" s="691"/>
      <c r="J1602" s="661"/>
      <c r="K1602" s="706"/>
      <c r="L1602" s="665"/>
      <c r="M1602" s="663"/>
      <c r="N1602" s="665"/>
      <c r="O1602" s="665"/>
      <c r="P1602" s="665"/>
      <c r="Q1602" s="665"/>
      <c r="R1602" s="665"/>
      <c r="S1602" s="665"/>
      <c r="T1602" s="673"/>
      <c r="U1602" s="673"/>
      <c r="V1602" s="673"/>
      <c r="W1602" s="673"/>
      <c r="X1602" s="673"/>
      <c r="Y1602" s="673"/>
      <c r="Z1602" s="673"/>
      <c r="AA1602" s="673"/>
      <c r="AB1602" s="673"/>
      <c r="AC1602" s="673"/>
      <c r="AD1602" s="673"/>
      <c r="AE1602" s="673"/>
      <c r="AF1602" s="673"/>
      <c r="AG1602" s="673"/>
      <c r="AH1602" s="673"/>
    </row>
    <row r="1603">
      <c r="A1603" s="653"/>
      <c r="B1603" s="654"/>
      <c r="C1603" s="691"/>
      <c r="D1603" s="661"/>
      <c r="E1603" s="705"/>
      <c r="F1603" s="659"/>
      <c r="G1603" s="661"/>
      <c r="H1603" s="660"/>
      <c r="I1603" s="691"/>
      <c r="J1603" s="661"/>
      <c r="K1603" s="706"/>
      <c r="L1603" s="665"/>
      <c r="M1603" s="663"/>
      <c r="N1603" s="665"/>
      <c r="O1603" s="665"/>
      <c r="P1603" s="665"/>
      <c r="Q1603" s="665"/>
      <c r="R1603" s="665"/>
      <c r="S1603" s="665"/>
      <c r="T1603" s="673"/>
      <c r="U1603" s="673"/>
      <c r="V1603" s="673"/>
      <c r="W1603" s="673"/>
      <c r="X1603" s="673"/>
      <c r="Y1603" s="673"/>
      <c r="Z1603" s="673"/>
      <c r="AA1603" s="673"/>
      <c r="AB1603" s="673"/>
      <c r="AC1603" s="673"/>
      <c r="AD1603" s="673"/>
      <c r="AE1603" s="673"/>
      <c r="AF1603" s="673"/>
      <c r="AG1603" s="673"/>
      <c r="AH1603" s="673"/>
    </row>
    <row r="1604">
      <c r="A1604" s="653"/>
      <c r="B1604" s="654"/>
      <c r="C1604" s="691"/>
      <c r="D1604" s="661"/>
      <c r="E1604" s="705"/>
      <c r="F1604" s="659"/>
      <c r="G1604" s="661"/>
      <c r="H1604" s="660"/>
      <c r="I1604" s="691"/>
      <c r="J1604" s="661"/>
      <c r="K1604" s="706"/>
      <c r="L1604" s="665"/>
      <c r="M1604" s="663"/>
      <c r="N1604" s="665"/>
      <c r="O1604" s="665"/>
      <c r="P1604" s="665"/>
      <c r="Q1604" s="665"/>
      <c r="R1604" s="665"/>
      <c r="S1604" s="665"/>
      <c r="T1604" s="673"/>
      <c r="U1604" s="673"/>
      <c r="V1604" s="673"/>
      <c r="W1604" s="673"/>
      <c r="X1604" s="673"/>
      <c r="Y1604" s="673"/>
      <c r="Z1604" s="673"/>
      <c r="AA1604" s="673"/>
      <c r="AB1604" s="673"/>
      <c r="AC1604" s="673"/>
      <c r="AD1604" s="673"/>
      <c r="AE1604" s="673"/>
      <c r="AF1604" s="673"/>
      <c r="AG1604" s="673"/>
      <c r="AH1604" s="673"/>
    </row>
    <row r="1605">
      <c r="A1605" s="653"/>
      <c r="B1605" s="654"/>
      <c r="C1605" s="691"/>
      <c r="D1605" s="661"/>
      <c r="E1605" s="705"/>
      <c r="F1605" s="659"/>
      <c r="G1605" s="661"/>
      <c r="H1605" s="660"/>
      <c r="I1605" s="691"/>
      <c r="J1605" s="661"/>
      <c r="K1605" s="706"/>
      <c r="L1605" s="665"/>
      <c r="M1605" s="663"/>
      <c r="N1605" s="665"/>
      <c r="O1605" s="665"/>
      <c r="P1605" s="665"/>
      <c r="Q1605" s="665"/>
      <c r="R1605" s="665"/>
      <c r="S1605" s="665"/>
      <c r="T1605" s="673"/>
      <c r="U1605" s="673"/>
      <c r="V1605" s="673"/>
      <c r="W1605" s="673"/>
      <c r="X1605" s="673"/>
      <c r="Y1605" s="673"/>
      <c r="Z1605" s="673"/>
      <c r="AA1605" s="673"/>
      <c r="AB1605" s="673"/>
      <c r="AC1605" s="673"/>
      <c r="AD1605" s="673"/>
      <c r="AE1605" s="673"/>
      <c r="AF1605" s="673"/>
      <c r="AG1605" s="673"/>
      <c r="AH1605" s="673"/>
    </row>
    <row r="1606">
      <c r="A1606" s="653"/>
      <c r="B1606" s="654"/>
      <c r="C1606" s="691"/>
      <c r="D1606" s="661"/>
      <c r="E1606" s="705"/>
      <c r="F1606" s="659"/>
      <c r="G1606" s="661"/>
      <c r="H1606" s="660"/>
      <c r="I1606" s="691"/>
      <c r="J1606" s="661"/>
      <c r="K1606" s="706"/>
      <c r="L1606" s="665"/>
      <c r="M1606" s="663"/>
      <c r="N1606" s="665"/>
      <c r="O1606" s="665"/>
      <c r="P1606" s="665"/>
      <c r="Q1606" s="665"/>
      <c r="R1606" s="665"/>
      <c r="S1606" s="665"/>
      <c r="T1606" s="673"/>
      <c r="U1606" s="673"/>
      <c r="V1606" s="673"/>
      <c r="W1606" s="673"/>
      <c r="X1606" s="673"/>
      <c r="Y1606" s="673"/>
      <c r="Z1606" s="673"/>
      <c r="AA1606" s="673"/>
      <c r="AB1606" s="673"/>
      <c r="AC1606" s="673"/>
      <c r="AD1606" s="673"/>
      <c r="AE1606" s="673"/>
      <c r="AF1606" s="673"/>
      <c r="AG1606" s="673"/>
      <c r="AH1606" s="673"/>
    </row>
    <row r="1607">
      <c r="A1607" s="653"/>
      <c r="B1607" s="654"/>
      <c r="C1607" s="691"/>
      <c r="D1607" s="661"/>
      <c r="E1607" s="705"/>
      <c r="F1607" s="659"/>
      <c r="G1607" s="661"/>
      <c r="H1607" s="660"/>
      <c r="I1607" s="691"/>
      <c r="J1607" s="661"/>
      <c r="K1607" s="706"/>
      <c r="L1607" s="665"/>
      <c r="M1607" s="663"/>
      <c r="N1607" s="665"/>
      <c r="O1607" s="665"/>
      <c r="P1607" s="665"/>
      <c r="Q1607" s="665"/>
      <c r="R1607" s="665"/>
      <c r="S1607" s="665"/>
      <c r="T1607" s="673"/>
      <c r="U1607" s="673"/>
      <c r="V1607" s="673"/>
      <c r="W1607" s="673"/>
      <c r="X1607" s="673"/>
      <c r="Y1607" s="673"/>
      <c r="Z1607" s="673"/>
      <c r="AA1607" s="673"/>
      <c r="AB1607" s="673"/>
      <c r="AC1607" s="673"/>
      <c r="AD1607" s="673"/>
      <c r="AE1607" s="673"/>
      <c r="AF1607" s="673"/>
      <c r="AG1607" s="673"/>
      <c r="AH1607" s="673"/>
    </row>
    <row r="1608">
      <c r="A1608" s="653"/>
      <c r="B1608" s="654"/>
      <c r="C1608" s="691"/>
      <c r="D1608" s="661"/>
      <c r="E1608" s="705"/>
      <c r="F1608" s="659"/>
      <c r="G1608" s="661"/>
      <c r="H1608" s="660"/>
      <c r="I1608" s="691"/>
      <c r="J1608" s="661"/>
      <c r="K1608" s="706"/>
      <c r="L1608" s="665"/>
      <c r="M1608" s="663"/>
      <c r="N1608" s="665"/>
      <c r="O1608" s="665"/>
      <c r="P1608" s="665"/>
      <c r="Q1608" s="665"/>
      <c r="R1608" s="665"/>
      <c r="S1608" s="665"/>
      <c r="T1608" s="673"/>
      <c r="U1608" s="673"/>
      <c r="V1608" s="673"/>
      <c r="W1608" s="673"/>
      <c r="X1608" s="673"/>
      <c r="Y1608" s="673"/>
      <c r="Z1608" s="673"/>
      <c r="AA1608" s="673"/>
      <c r="AB1608" s="673"/>
      <c r="AC1608" s="673"/>
      <c r="AD1608" s="673"/>
      <c r="AE1608" s="673"/>
      <c r="AF1608" s="673"/>
      <c r="AG1608" s="673"/>
      <c r="AH1608" s="673"/>
    </row>
    <row r="1609">
      <c r="A1609" s="653"/>
      <c r="B1609" s="654"/>
      <c r="C1609" s="691"/>
      <c r="D1609" s="661"/>
      <c r="E1609" s="705"/>
      <c r="F1609" s="659"/>
      <c r="G1609" s="661"/>
      <c r="H1609" s="660"/>
      <c r="I1609" s="691"/>
      <c r="J1609" s="661"/>
      <c r="K1609" s="706"/>
      <c r="L1609" s="665"/>
      <c r="M1609" s="663"/>
      <c r="N1609" s="665"/>
      <c r="O1609" s="665"/>
      <c r="P1609" s="665"/>
      <c r="Q1609" s="665"/>
      <c r="R1609" s="665"/>
      <c r="S1609" s="665"/>
      <c r="T1609" s="673"/>
      <c r="U1609" s="673"/>
      <c r="V1609" s="673"/>
      <c r="W1609" s="673"/>
      <c r="X1609" s="673"/>
      <c r="Y1609" s="673"/>
      <c r="Z1609" s="673"/>
      <c r="AA1609" s="673"/>
      <c r="AB1609" s="673"/>
      <c r="AC1609" s="673"/>
      <c r="AD1609" s="673"/>
      <c r="AE1609" s="673"/>
      <c r="AF1609" s="673"/>
      <c r="AG1609" s="673"/>
      <c r="AH1609" s="673"/>
    </row>
    <row r="1610">
      <c r="A1610" s="653"/>
      <c r="B1610" s="654"/>
      <c r="C1610" s="691"/>
      <c r="D1610" s="661"/>
      <c r="E1610" s="705"/>
      <c r="F1610" s="659"/>
      <c r="G1610" s="661"/>
      <c r="H1610" s="660"/>
      <c r="I1610" s="691"/>
      <c r="J1610" s="661"/>
      <c r="K1610" s="706"/>
      <c r="L1610" s="665"/>
      <c r="M1610" s="663"/>
      <c r="N1610" s="665"/>
      <c r="O1610" s="665"/>
      <c r="P1610" s="665"/>
      <c r="Q1610" s="665"/>
      <c r="R1610" s="665"/>
      <c r="S1610" s="665"/>
      <c r="T1610" s="673"/>
      <c r="U1610" s="673"/>
      <c r="V1610" s="673"/>
      <c r="W1610" s="673"/>
      <c r="X1610" s="673"/>
      <c r="Y1610" s="673"/>
      <c r="Z1610" s="673"/>
      <c r="AA1610" s="673"/>
      <c r="AB1610" s="673"/>
      <c r="AC1610" s="673"/>
      <c r="AD1610" s="673"/>
      <c r="AE1610" s="673"/>
      <c r="AF1610" s="673"/>
      <c r="AG1610" s="673"/>
      <c r="AH1610" s="673"/>
    </row>
    <row r="1611">
      <c r="A1611" s="653"/>
      <c r="B1611" s="654"/>
      <c r="C1611" s="691"/>
      <c r="D1611" s="661"/>
      <c r="E1611" s="705"/>
      <c r="F1611" s="659"/>
      <c r="G1611" s="661"/>
      <c r="H1611" s="660"/>
      <c r="I1611" s="691"/>
      <c r="J1611" s="661"/>
      <c r="K1611" s="706"/>
      <c r="L1611" s="665"/>
      <c r="M1611" s="663"/>
      <c r="N1611" s="665"/>
      <c r="O1611" s="665"/>
      <c r="P1611" s="665"/>
      <c r="Q1611" s="665"/>
      <c r="R1611" s="665"/>
      <c r="S1611" s="665"/>
      <c r="T1611" s="673"/>
      <c r="U1611" s="673"/>
      <c r="V1611" s="673"/>
      <c r="W1611" s="673"/>
      <c r="X1611" s="673"/>
      <c r="Y1611" s="673"/>
      <c r="Z1611" s="673"/>
      <c r="AA1611" s="673"/>
      <c r="AB1611" s="673"/>
      <c r="AC1611" s="673"/>
      <c r="AD1611" s="673"/>
      <c r="AE1611" s="673"/>
      <c r="AF1611" s="673"/>
      <c r="AG1611" s="673"/>
      <c r="AH1611" s="673"/>
    </row>
    <row r="1612">
      <c r="A1612" s="653"/>
      <c r="B1612" s="654"/>
      <c r="C1612" s="691"/>
      <c r="D1612" s="661"/>
      <c r="E1612" s="705"/>
      <c r="F1612" s="659"/>
      <c r="G1612" s="661"/>
      <c r="H1612" s="660"/>
      <c r="I1612" s="691"/>
      <c r="J1612" s="661"/>
      <c r="K1612" s="706"/>
      <c r="L1612" s="665"/>
      <c r="M1612" s="663"/>
      <c r="N1612" s="665"/>
      <c r="O1612" s="665"/>
      <c r="P1612" s="665"/>
      <c r="Q1612" s="665"/>
      <c r="R1612" s="665"/>
      <c r="S1612" s="665"/>
      <c r="T1612" s="673"/>
      <c r="U1612" s="673"/>
      <c r="V1612" s="673"/>
      <c r="W1612" s="673"/>
      <c r="X1612" s="673"/>
      <c r="Y1612" s="673"/>
      <c r="Z1612" s="673"/>
      <c r="AA1612" s="673"/>
      <c r="AB1612" s="673"/>
      <c r="AC1612" s="673"/>
      <c r="AD1612" s="673"/>
      <c r="AE1612" s="673"/>
      <c r="AF1612" s="673"/>
      <c r="AG1612" s="673"/>
      <c r="AH1612" s="673"/>
    </row>
    <row r="1613">
      <c r="A1613" s="653"/>
      <c r="B1613" s="654"/>
      <c r="C1613" s="691"/>
      <c r="D1613" s="661"/>
      <c r="E1613" s="705"/>
      <c r="F1613" s="659"/>
      <c r="G1613" s="661"/>
      <c r="H1613" s="660"/>
      <c r="I1613" s="691"/>
      <c r="J1613" s="661"/>
      <c r="K1613" s="706"/>
      <c r="L1613" s="665"/>
      <c r="M1613" s="663"/>
      <c r="N1613" s="665"/>
      <c r="O1613" s="665"/>
      <c r="P1613" s="665"/>
      <c r="Q1613" s="665"/>
      <c r="R1613" s="665"/>
      <c r="S1613" s="665"/>
      <c r="T1613" s="673"/>
      <c r="U1613" s="673"/>
      <c r="V1613" s="673"/>
      <c r="W1613" s="673"/>
      <c r="X1613" s="673"/>
      <c r="Y1613" s="673"/>
      <c r="Z1613" s="673"/>
      <c r="AA1613" s="673"/>
      <c r="AB1613" s="673"/>
      <c r="AC1613" s="673"/>
      <c r="AD1613" s="673"/>
      <c r="AE1613" s="673"/>
      <c r="AF1613" s="673"/>
      <c r="AG1613" s="673"/>
      <c r="AH1613" s="673"/>
    </row>
    <row r="1614">
      <c r="A1614" s="653"/>
      <c r="B1614" s="654"/>
      <c r="C1614" s="691"/>
      <c r="D1614" s="661"/>
      <c r="E1614" s="705"/>
      <c r="F1614" s="659"/>
      <c r="G1614" s="661"/>
      <c r="H1614" s="660"/>
      <c r="I1614" s="691"/>
      <c r="J1614" s="661"/>
      <c r="K1614" s="706"/>
      <c r="L1614" s="665"/>
      <c r="M1614" s="663"/>
      <c r="N1614" s="665"/>
      <c r="O1614" s="665"/>
      <c r="P1614" s="665"/>
      <c r="Q1614" s="665"/>
      <c r="R1614" s="665"/>
      <c r="S1614" s="665"/>
      <c r="T1614" s="673"/>
      <c r="U1614" s="673"/>
      <c r="V1614" s="673"/>
      <c r="W1614" s="673"/>
      <c r="X1614" s="673"/>
      <c r="Y1614" s="673"/>
      <c r="Z1614" s="673"/>
      <c r="AA1614" s="673"/>
      <c r="AB1614" s="673"/>
      <c r="AC1614" s="673"/>
      <c r="AD1614" s="673"/>
      <c r="AE1614" s="673"/>
      <c r="AF1614" s="673"/>
      <c r="AG1614" s="673"/>
      <c r="AH1614" s="673"/>
    </row>
    <row r="1615">
      <c r="A1615" s="653"/>
      <c r="B1615" s="654"/>
      <c r="C1615" s="691"/>
      <c r="D1615" s="661"/>
      <c r="E1615" s="705"/>
      <c r="F1615" s="659"/>
      <c r="G1615" s="661"/>
      <c r="H1615" s="660"/>
      <c r="I1615" s="691"/>
      <c r="J1615" s="661"/>
      <c r="K1615" s="706"/>
      <c r="L1615" s="665"/>
      <c r="M1615" s="663"/>
      <c r="N1615" s="665"/>
      <c r="O1615" s="665"/>
      <c r="P1615" s="665"/>
      <c r="Q1615" s="665"/>
      <c r="R1615" s="665"/>
      <c r="S1615" s="665"/>
      <c r="T1615" s="673"/>
      <c r="U1615" s="673"/>
      <c r="V1615" s="673"/>
      <c r="W1615" s="673"/>
      <c r="X1615" s="673"/>
      <c r="Y1615" s="673"/>
      <c r="Z1615" s="673"/>
      <c r="AA1615" s="673"/>
      <c r="AB1615" s="673"/>
      <c r="AC1615" s="673"/>
      <c r="AD1615" s="673"/>
      <c r="AE1615" s="673"/>
      <c r="AF1615" s="673"/>
      <c r="AG1615" s="673"/>
      <c r="AH1615" s="673"/>
    </row>
    <row r="1616">
      <c r="A1616" s="653"/>
      <c r="B1616" s="654"/>
      <c r="C1616" s="691"/>
      <c r="D1616" s="661"/>
      <c r="E1616" s="705"/>
      <c r="F1616" s="659"/>
      <c r="G1616" s="661"/>
      <c r="H1616" s="660"/>
      <c r="I1616" s="691"/>
      <c r="J1616" s="661"/>
      <c r="K1616" s="706"/>
      <c r="L1616" s="665"/>
      <c r="M1616" s="663"/>
      <c r="N1616" s="665"/>
      <c r="O1616" s="665"/>
      <c r="P1616" s="665"/>
      <c r="Q1616" s="665"/>
      <c r="R1616" s="665"/>
      <c r="S1616" s="665"/>
      <c r="T1616" s="673"/>
      <c r="U1616" s="673"/>
      <c r="V1616" s="673"/>
      <c r="W1616" s="673"/>
      <c r="X1616" s="673"/>
      <c r="Y1616" s="673"/>
      <c r="Z1616" s="673"/>
      <c r="AA1616" s="673"/>
      <c r="AB1616" s="673"/>
      <c r="AC1616" s="673"/>
      <c r="AD1616" s="673"/>
      <c r="AE1616" s="673"/>
      <c r="AF1616" s="673"/>
      <c r="AG1616" s="673"/>
      <c r="AH1616" s="673"/>
    </row>
    <row r="1617">
      <c r="A1617" s="653"/>
      <c r="B1617" s="654"/>
      <c r="C1617" s="691"/>
      <c r="D1617" s="661"/>
      <c r="E1617" s="705"/>
      <c r="F1617" s="659"/>
      <c r="G1617" s="661"/>
      <c r="H1617" s="660"/>
      <c r="I1617" s="691"/>
      <c r="J1617" s="661"/>
      <c r="K1617" s="706"/>
      <c r="L1617" s="665"/>
      <c r="M1617" s="663"/>
      <c r="N1617" s="665"/>
      <c r="O1617" s="665"/>
      <c r="P1617" s="665"/>
      <c r="Q1617" s="665"/>
      <c r="R1617" s="665"/>
      <c r="S1617" s="665"/>
      <c r="T1617" s="673"/>
      <c r="U1617" s="673"/>
      <c r="V1617" s="673"/>
      <c r="W1617" s="673"/>
      <c r="X1617" s="673"/>
      <c r="Y1617" s="673"/>
      <c r="Z1617" s="673"/>
      <c r="AA1617" s="673"/>
      <c r="AB1617" s="673"/>
      <c r="AC1617" s="673"/>
      <c r="AD1617" s="673"/>
      <c r="AE1617" s="673"/>
      <c r="AF1617" s="673"/>
      <c r="AG1617" s="673"/>
      <c r="AH1617" s="673"/>
    </row>
    <row r="1618">
      <c r="A1618" s="653"/>
      <c r="B1618" s="654"/>
      <c r="C1618" s="691"/>
      <c r="D1618" s="661"/>
      <c r="E1618" s="705"/>
      <c r="F1618" s="659"/>
      <c r="G1618" s="661"/>
      <c r="H1618" s="660"/>
      <c r="I1618" s="691"/>
      <c r="J1618" s="661"/>
      <c r="K1618" s="706"/>
      <c r="L1618" s="665"/>
      <c r="M1618" s="663"/>
      <c r="N1618" s="665"/>
      <c r="O1618" s="665"/>
      <c r="P1618" s="665"/>
      <c r="Q1618" s="665"/>
      <c r="R1618" s="665"/>
      <c r="S1618" s="665"/>
      <c r="T1618" s="673"/>
      <c r="U1618" s="673"/>
      <c r="V1618" s="673"/>
      <c r="W1618" s="673"/>
      <c r="X1618" s="673"/>
      <c r="Y1618" s="673"/>
      <c r="Z1618" s="673"/>
      <c r="AA1618" s="673"/>
      <c r="AB1618" s="673"/>
      <c r="AC1618" s="673"/>
      <c r="AD1618" s="673"/>
      <c r="AE1618" s="673"/>
      <c r="AF1618" s="673"/>
      <c r="AG1618" s="673"/>
      <c r="AH1618" s="673"/>
    </row>
    <row r="1619">
      <c r="A1619" s="653"/>
      <c r="B1619" s="654"/>
      <c r="C1619" s="691"/>
      <c r="D1619" s="661"/>
      <c r="E1619" s="705"/>
      <c r="F1619" s="659"/>
      <c r="G1619" s="661"/>
      <c r="H1619" s="660"/>
      <c r="I1619" s="691"/>
      <c r="J1619" s="661"/>
      <c r="K1619" s="706"/>
      <c r="L1619" s="665"/>
      <c r="M1619" s="663"/>
      <c r="N1619" s="665"/>
      <c r="O1619" s="665"/>
      <c r="P1619" s="665"/>
      <c r="Q1619" s="665"/>
      <c r="R1619" s="665"/>
      <c r="S1619" s="665"/>
      <c r="T1619" s="673"/>
      <c r="U1619" s="673"/>
      <c r="V1619" s="673"/>
      <c r="W1619" s="673"/>
      <c r="X1619" s="673"/>
      <c r="Y1619" s="673"/>
      <c r="Z1619" s="673"/>
      <c r="AA1619" s="673"/>
      <c r="AB1619" s="673"/>
      <c r="AC1619" s="673"/>
      <c r="AD1619" s="673"/>
      <c r="AE1619" s="673"/>
      <c r="AF1619" s="673"/>
      <c r="AG1619" s="673"/>
      <c r="AH1619" s="673"/>
    </row>
    <row r="1620">
      <c r="A1620" s="653"/>
      <c r="B1620" s="654"/>
      <c r="C1620" s="691"/>
      <c r="D1620" s="661"/>
      <c r="E1620" s="705"/>
      <c r="F1620" s="659"/>
      <c r="G1620" s="661"/>
      <c r="H1620" s="660"/>
      <c r="I1620" s="691"/>
      <c r="J1620" s="661"/>
      <c r="K1620" s="706"/>
      <c r="L1620" s="665"/>
      <c r="M1620" s="663"/>
      <c r="N1620" s="665"/>
      <c r="O1620" s="665"/>
      <c r="P1620" s="665"/>
      <c r="Q1620" s="665"/>
      <c r="R1620" s="665"/>
      <c r="S1620" s="665"/>
      <c r="T1620" s="673"/>
      <c r="U1620" s="673"/>
      <c r="V1620" s="673"/>
      <c r="W1620" s="673"/>
      <c r="X1620" s="673"/>
      <c r="Y1620" s="673"/>
      <c r="Z1620" s="673"/>
      <c r="AA1620" s="673"/>
      <c r="AB1620" s="673"/>
      <c r="AC1620" s="673"/>
      <c r="AD1620" s="673"/>
      <c r="AE1620" s="673"/>
      <c r="AF1620" s="673"/>
      <c r="AG1620" s="673"/>
      <c r="AH1620" s="673"/>
    </row>
    <row r="1621">
      <c r="A1621" s="653"/>
      <c r="B1621" s="654"/>
      <c r="C1621" s="691"/>
      <c r="D1621" s="661"/>
      <c r="E1621" s="705"/>
      <c r="F1621" s="659"/>
      <c r="G1621" s="661"/>
      <c r="H1621" s="660"/>
      <c r="I1621" s="691"/>
      <c r="J1621" s="661"/>
      <c r="K1621" s="706"/>
      <c r="L1621" s="665"/>
      <c r="M1621" s="663"/>
      <c r="N1621" s="665"/>
      <c r="O1621" s="665"/>
      <c r="P1621" s="665"/>
      <c r="Q1621" s="665"/>
      <c r="R1621" s="665"/>
      <c r="S1621" s="665"/>
      <c r="T1621" s="673"/>
      <c r="U1621" s="673"/>
      <c r="V1621" s="673"/>
      <c r="W1621" s="673"/>
      <c r="X1621" s="673"/>
      <c r="Y1621" s="673"/>
      <c r="Z1621" s="673"/>
      <c r="AA1621" s="673"/>
      <c r="AB1621" s="673"/>
      <c r="AC1621" s="673"/>
      <c r="AD1621" s="673"/>
      <c r="AE1621" s="673"/>
      <c r="AF1621" s="673"/>
      <c r="AG1621" s="673"/>
      <c r="AH1621" s="673"/>
    </row>
    <row r="1622">
      <c r="A1622" s="653"/>
      <c r="B1622" s="654"/>
      <c r="C1622" s="691"/>
      <c r="D1622" s="661"/>
      <c r="E1622" s="705"/>
      <c r="F1622" s="659"/>
      <c r="G1622" s="661"/>
      <c r="H1622" s="660"/>
      <c r="I1622" s="691"/>
      <c r="J1622" s="661"/>
      <c r="K1622" s="706"/>
      <c r="L1622" s="665"/>
      <c r="M1622" s="663"/>
      <c r="N1622" s="665"/>
      <c r="O1622" s="665"/>
      <c r="P1622" s="665"/>
      <c r="Q1622" s="665"/>
      <c r="R1622" s="665"/>
      <c r="S1622" s="665"/>
      <c r="T1622" s="673"/>
      <c r="U1622" s="673"/>
      <c r="V1622" s="673"/>
      <c r="W1622" s="673"/>
      <c r="X1622" s="673"/>
      <c r="Y1622" s="673"/>
      <c r="Z1622" s="673"/>
      <c r="AA1622" s="673"/>
      <c r="AB1622" s="673"/>
      <c r="AC1622" s="673"/>
      <c r="AD1622" s="673"/>
      <c r="AE1622" s="673"/>
      <c r="AF1622" s="673"/>
      <c r="AG1622" s="673"/>
      <c r="AH1622" s="673"/>
    </row>
    <row r="1623">
      <c r="A1623" s="653"/>
      <c r="B1623" s="654"/>
      <c r="C1623" s="691"/>
      <c r="D1623" s="661"/>
      <c r="E1623" s="705"/>
      <c r="F1623" s="659"/>
      <c r="G1623" s="661"/>
      <c r="H1623" s="660"/>
      <c r="I1623" s="691"/>
      <c r="J1623" s="661"/>
      <c r="K1623" s="706"/>
      <c r="L1623" s="665"/>
      <c r="M1623" s="663"/>
      <c r="N1623" s="665"/>
      <c r="O1623" s="665"/>
      <c r="P1623" s="665"/>
      <c r="Q1623" s="665"/>
      <c r="R1623" s="665"/>
      <c r="S1623" s="665"/>
      <c r="T1623" s="673"/>
      <c r="U1623" s="673"/>
      <c r="V1623" s="673"/>
      <c r="W1623" s="673"/>
      <c r="X1623" s="673"/>
      <c r="Y1623" s="673"/>
      <c r="Z1623" s="673"/>
      <c r="AA1623" s="673"/>
      <c r="AB1623" s="673"/>
      <c r="AC1623" s="673"/>
      <c r="AD1623" s="673"/>
      <c r="AE1623" s="673"/>
      <c r="AF1623" s="673"/>
      <c r="AG1623" s="673"/>
      <c r="AH1623" s="673"/>
    </row>
    <row r="1624">
      <c r="A1624" s="653"/>
      <c r="B1624" s="654"/>
      <c r="C1624" s="691"/>
      <c r="D1624" s="661"/>
      <c r="E1624" s="705"/>
      <c r="F1624" s="659"/>
      <c r="G1624" s="661"/>
      <c r="H1624" s="660"/>
      <c r="I1624" s="691"/>
      <c r="J1624" s="661"/>
      <c r="K1624" s="706"/>
      <c r="L1624" s="665"/>
      <c r="M1624" s="663"/>
      <c r="N1624" s="665"/>
      <c r="O1624" s="665"/>
      <c r="P1624" s="665"/>
      <c r="Q1624" s="665"/>
      <c r="R1624" s="665"/>
      <c r="S1624" s="665"/>
      <c r="T1624" s="673"/>
      <c r="U1624" s="673"/>
      <c r="V1624" s="673"/>
      <c r="W1624" s="673"/>
      <c r="X1624" s="673"/>
      <c r="Y1624" s="673"/>
      <c r="Z1624" s="673"/>
      <c r="AA1624" s="673"/>
      <c r="AB1624" s="673"/>
      <c r="AC1624" s="673"/>
      <c r="AD1624" s="673"/>
      <c r="AE1624" s="673"/>
      <c r="AF1624" s="673"/>
      <c r="AG1624" s="673"/>
      <c r="AH1624" s="673"/>
    </row>
    <row r="1625">
      <c r="A1625" s="653"/>
      <c r="B1625" s="654"/>
      <c r="C1625" s="691"/>
      <c r="D1625" s="661"/>
      <c r="E1625" s="705"/>
      <c r="F1625" s="659"/>
      <c r="G1625" s="661"/>
      <c r="H1625" s="660"/>
      <c r="I1625" s="691"/>
      <c r="J1625" s="661"/>
      <c r="K1625" s="706"/>
      <c r="L1625" s="665"/>
      <c r="M1625" s="663"/>
      <c r="N1625" s="665"/>
      <c r="O1625" s="665"/>
      <c r="P1625" s="665"/>
      <c r="Q1625" s="665"/>
      <c r="R1625" s="665"/>
      <c r="S1625" s="665"/>
      <c r="T1625" s="673"/>
      <c r="U1625" s="673"/>
      <c r="V1625" s="673"/>
      <c r="W1625" s="673"/>
      <c r="X1625" s="673"/>
      <c r="Y1625" s="673"/>
      <c r="Z1625" s="673"/>
      <c r="AA1625" s="673"/>
      <c r="AB1625" s="673"/>
      <c r="AC1625" s="673"/>
      <c r="AD1625" s="673"/>
      <c r="AE1625" s="673"/>
      <c r="AF1625" s="673"/>
      <c r="AG1625" s="673"/>
      <c r="AH1625" s="673"/>
    </row>
    <row r="1626">
      <c r="A1626" s="653"/>
      <c r="B1626" s="654"/>
      <c r="C1626" s="691"/>
      <c r="D1626" s="661"/>
      <c r="E1626" s="705"/>
      <c r="F1626" s="659"/>
      <c r="G1626" s="661"/>
      <c r="H1626" s="660"/>
      <c r="I1626" s="691"/>
      <c r="J1626" s="661"/>
      <c r="K1626" s="706"/>
      <c r="L1626" s="665"/>
      <c r="M1626" s="663"/>
      <c r="N1626" s="665"/>
      <c r="O1626" s="665"/>
      <c r="P1626" s="665"/>
      <c r="Q1626" s="665"/>
      <c r="R1626" s="665"/>
      <c r="S1626" s="665"/>
      <c r="T1626" s="673"/>
      <c r="U1626" s="673"/>
      <c r="V1626" s="673"/>
      <c r="W1626" s="673"/>
      <c r="X1626" s="673"/>
      <c r="Y1626" s="673"/>
      <c r="Z1626" s="673"/>
      <c r="AA1626" s="673"/>
      <c r="AB1626" s="673"/>
      <c r="AC1626" s="673"/>
      <c r="AD1626" s="673"/>
      <c r="AE1626" s="673"/>
      <c r="AF1626" s="673"/>
      <c r="AG1626" s="673"/>
      <c r="AH1626" s="673"/>
    </row>
    <row r="1627">
      <c r="A1627" s="653"/>
      <c r="B1627" s="654"/>
      <c r="C1627" s="691"/>
      <c r="D1627" s="661"/>
      <c r="E1627" s="705"/>
      <c r="F1627" s="659"/>
      <c r="G1627" s="661"/>
      <c r="H1627" s="660"/>
      <c r="I1627" s="691"/>
      <c r="J1627" s="661"/>
      <c r="K1627" s="706"/>
      <c r="L1627" s="665"/>
      <c r="M1627" s="663"/>
      <c r="N1627" s="665"/>
      <c r="O1627" s="665"/>
      <c r="P1627" s="665"/>
      <c r="Q1627" s="665"/>
      <c r="R1627" s="665"/>
      <c r="S1627" s="665"/>
      <c r="T1627" s="673"/>
      <c r="U1627" s="673"/>
      <c r="V1627" s="673"/>
      <c r="W1627" s="673"/>
      <c r="X1627" s="673"/>
      <c r="Y1627" s="673"/>
      <c r="Z1627" s="673"/>
      <c r="AA1627" s="673"/>
      <c r="AB1627" s="673"/>
      <c r="AC1627" s="673"/>
      <c r="AD1627" s="673"/>
      <c r="AE1627" s="673"/>
      <c r="AF1627" s="673"/>
      <c r="AG1627" s="673"/>
      <c r="AH1627" s="673"/>
    </row>
    <row r="1628">
      <c r="A1628" s="653"/>
      <c r="B1628" s="654"/>
      <c r="C1628" s="691"/>
      <c r="D1628" s="661"/>
      <c r="E1628" s="705"/>
      <c r="F1628" s="659"/>
      <c r="G1628" s="661"/>
      <c r="H1628" s="660"/>
      <c r="I1628" s="691"/>
      <c r="J1628" s="661"/>
      <c r="K1628" s="706"/>
      <c r="L1628" s="665"/>
      <c r="M1628" s="663"/>
      <c r="N1628" s="665"/>
      <c r="O1628" s="665"/>
      <c r="P1628" s="665"/>
      <c r="Q1628" s="665"/>
      <c r="R1628" s="665"/>
      <c r="S1628" s="665"/>
      <c r="T1628" s="673"/>
      <c r="U1628" s="673"/>
      <c r="V1628" s="673"/>
      <c r="W1628" s="673"/>
      <c r="X1628" s="673"/>
      <c r="Y1628" s="673"/>
      <c r="Z1628" s="673"/>
      <c r="AA1628" s="673"/>
      <c r="AB1628" s="673"/>
      <c r="AC1628" s="673"/>
      <c r="AD1628" s="673"/>
      <c r="AE1628" s="673"/>
      <c r="AF1628" s="673"/>
      <c r="AG1628" s="673"/>
      <c r="AH1628" s="673"/>
    </row>
    <row r="1629">
      <c r="A1629" s="653"/>
      <c r="B1629" s="654"/>
      <c r="C1629" s="691"/>
      <c r="D1629" s="661"/>
      <c r="E1629" s="705"/>
      <c r="F1629" s="659"/>
      <c r="G1629" s="661"/>
      <c r="H1629" s="660"/>
      <c r="I1629" s="691"/>
      <c r="J1629" s="661"/>
      <c r="K1629" s="706"/>
      <c r="L1629" s="665"/>
      <c r="M1629" s="663"/>
      <c r="N1629" s="665"/>
      <c r="O1629" s="665"/>
      <c r="P1629" s="665"/>
      <c r="Q1629" s="665"/>
      <c r="R1629" s="665"/>
      <c r="S1629" s="665"/>
      <c r="T1629" s="673"/>
      <c r="U1629" s="673"/>
      <c r="V1629" s="673"/>
      <c r="W1629" s="673"/>
      <c r="X1629" s="673"/>
      <c r="Y1629" s="673"/>
      <c r="Z1629" s="673"/>
      <c r="AA1629" s="673"/>
      <c r="AB1629" s="673"/>
      <c r="AC1629" s="673"/>
      <c r="AD1629" s="673"/>
      <c r="AE1629" s="673"/>
      <c r="AF1629" s="673"/>
      <c r="AG1629" s="673"/>
      <c r="AH1629" s="673"/>
    </row>
    <row r="1630">
      <c r="A1630" s="653"/>
      <c r="B1630" s="654"/>
      <c r="C1630" s="691"/>
      <c r="D1630" s="661"/>
      <c r="E1630" s="705"/>
      <c r="F1630" s="659"/>
      <c r="G1630" s="661"/>
      <c r="H1630" s="660"/>
      <c r="I1630" s="691"/>
      <c r="J1630" s="661"/>
      <c r="K1630" s="706"/>
      <c r="L1630" s="665"/>
      <c r="M1630" s="663"/>
      <c r="N1630" s="665"/>
      <c r="O1630" s="665"/>
      <c r="P1630" s="665"/>
      <c r="Q1630" s="665"/>
      <c r="R1630" s="665"/>
      <c r="S1630" s="665"/>
      <c r="T1630" s="673"/>
      <c r="U1630" s="673"/>
      <c r="V1630" s="673"/>
      <c r="W1630" s="673"/>
      <c r="X1630" s="673"/>
      <c r="Y1630" s="673"/>
      <c r="Z1630" s="673"/>
      <c r="AA1630" s="673"/>
      <c r="AB1630" s="673"/>
      <c r="AC1630" s="673"/>
      <c r="AD1630" s="673"/>
      <c r="AE1630" s="673"/>
      <c r="AF1630" s="673"/>
      <c r="AG1630" s="673"/>
      <c r="AH1630" s="673"/>
    </row>
    <row r="1631">
      <c r="A1631" s="653"/>
      <c r="B1631" s="654"/>
      <c r="C1631" s="691"/>
      <c r="D1631" s="661"/>
      <c r="E1631" s="705"/>
      <c r="F1631" s="659"/>
      <c r="G1631" s="661"/>
      <c r="H1631" s="660"/>
      <c r="I1631" s="691"/>
      <c r="J1631" s="661"/>
      <c r="K1631" s="706"/>
      <c r="L1631" s="665"/>
      <c r="M1631" s="663"/>
      <c r="N1631" s="665"/>
      <c r="O1631" s="665"/>
      <c r="P1631" s="665"/>
      <c r="Q1631" s="665"/>
      <c r="R1631" s="665"/>
      <c r="S1631" s="665"/>
      <c r="T1631" s="673"/>
      <c r="U1631" s="673"/>
      <c r="V1631" s="673"/>
      <c r="W1631" s="673"/>
      <c r="X1631" s="673"/>
      <c r="Y1631" s="673"/>
      <c r="Z1631" s="673"/>
      <c r="AA1631" s="673"/>
      <c r="AB1631" s="673"/>
      <c r="AC1631" s="673"/>
      <c r="AD1631" s="673"/>
      <c r="AE1631" s="673"/>
      <c r="AF1631" s="673"/>
      <c r="AG1631" s="673"/>
      <c r="AH1631" s="673"/>
    </row>
    <row r="1632">
      <c r="A1632" s="653"/>
      <c r="B1632" s="654"/>
      <c r="C1632" s="691"/>
      <c r="D1632" s="661"/>
      <c r="E1632" s="705"/>
      <c r="F1632" s="659"/>
      <c r="G1632" s="661"/>
      <c r="H1632" s="660"/>
      <c r="I1632" s="691"/>
      <c r="J1632" s="661"/>
      <c r="K1632" s="706"/>
      <c r="L1632" s="665"/>
      <c r="M1632" s="663"/>
      <c r="N1632" s="665"/>
      <c r="O1632" s="665"/>
      <c r="P1632" s="665"/>
      <c r="Q1632" s="665"/>
      <c r="R1632" s="665"/>
      <c r="S1632" s="665"/>
      <c r="T1632" s="673"/>
      <c r="U1632" s="673"/>
      <c r="V1632" s="673"/>
      <c r="W1632" s="673"/>
      <c r="X1632" s="673"/>
      <c r="Y1632" s="673"/>
      <c r="Z1632" s="673"/>
      <c r="AA1632" s="673"/>
      <c r="AB1632" s="673"/>
      <c r="AC1632" s="673"/>
      <c r="AD1632" s="673"/>
      <c r="AE1632" s="673"/>
      <c r="AF1632" s="673"/>
      <c r="AG1632" s="673"/>
      <c r="AH1632" s="673"/>
    </row>
    <row r="1633">
      <c r="A1633" s="653"/>
      <c r="B1633" s="654"/>
      <c r="C1633" s="691"/>
      <c r="D1633" s="661"/>
      <c r="E1633" s="705"/>
      <c r="F1633" s="659"/>
      <c r="G1633" s="661"/>
      <c r="H1633" s="660"/>
      <c r="I1633" s="691"/>
      <c r="J1633" s="661"/>
      <c r="K1633" s="706"/>
      <c r="L1633" s="665"/>
      <c r="M1633" s="663"/>
      <c r="N1633" s="665"/>
      <c r="O1633" s="665"/>
      <c r="P1633" s="665"/>
      <c r="Q1633" s="665"/>
      <c r="R1633" s="665"/>
      <c r="S1633" s="665"/>
      <c r="T1633" s="673"/>
      <c r="U1633" s="673"/>
      <c r="V1633" s="673"/>
      <c r="W1633" s="673"/>
      <c r="X1633" s="673"/>
      <c r="Y1633" s="673"/>
      <c r="Z1633" s="673"/>
      <c r="AA1633" s="673"/>
      <c r="AB1633" s="673"/>
      <c r="AC1633" s="673"/>
      <c r="AD1633" s="673"/>
      <c r="AE1633" s="673"/>
      <c r="AF1633" s="673"/>
      <c r="AG1633" s="673"/>
      <c r="AH1633" s="673"/>
    </row>
    <row r="1634">
      <c r="A1634" s="653"/>
      <c r="B1634" s="654"/>
      <c r="C1634" s="691"/>
      <c r="D1634" s="661"/>
      <c r="E1634" s="705"/>
      <c r="F1634" s="659"/>
      <c r="G1634" s="661"/>
      <c r="H1634" s="660"/>
      <c r="I1634" s="691"/>
      <c r="J1634" s="661"/>
      <c r="K1634" s="706"/>
      <c r="L1634" s="665"/>
      <c r="M1634" s="663"/>
      <c r="N1634" s="665"/>
      <c r="O1634" s="665"/>
      <c r="P1634" s="665"/>
      <c r="Q1634" s="665"/>
      <c r="R1634" s="665"/>
      <c r="S1634" s="665"/>
      <c r="T1634" s="673"/>
      <c r="U1634" s="673"/>
      <c r="V1634" s="673"/>
      <c r="W1634" s="673"/>
      <c r="X1634" s="673"/>
      <c r="Y1634" s="673"/>
      <c r="Z1634" s="673"/>
      <c r="AA1634" s="673"/>
      <c r="AB1634" s="673"/>
      <c r="AC1634" s="673"/>
      <c r="AD1634" s="673"/>
      <c r="AE1634" s="673"/>
      <c r="AF1634" s="673"/>
      <c r="AG1634" s="673"/>
      <c r="AH1634" s="673"/>
    </row>
    <row r="1635">
      <c r="A1635" s="653"/>
      <c r="B1635" s="654"/>
      <c r="C1635" s="691"/>
      <c r="D1635" s="661"/>
      <c r="E1635" s="705"/>
      <c r="F1635" s="659"/>
      <c r="G1635" s="661"/>
      <c r="H1635" s="660"/>
      <c r="I1635" s="691"/>
      <c r="J1635" s="661"/>
      <c r="K1635" s="706"/>
      <c r="L1635" s="665"/>
      <c r="M1635" s="663"/>
      <c r="N1635" s="665"/>
      <c r="O1635" s="665"/>
      <c r="P1635" s="665"/>
      <c r="Q1635" s="665"/>
      <c r="R1635" s="665"/>
      <c r="S1635" s="665"/>
      <c r="T1635" s="673"/>
      <c r="U1635" s="673"/>
      <c r="V1635" s="673"/>
      <c r="W1635" s="673"/>
      <c r="X1635" s="673"/>
      <c r="Y1635" s="673"/>
      <c r="Z1635" s="673"/>
      <c r="AA1635" s="673"/>
      <c r="AB1635" s="673"/>
      <c r="AC1635" s="673"/>
      <c r="AD1635" s="673"/>
      <c r="AE1635" s="673"/>
      <c r="AF1635" s="673"/>
      <c r="AG1635" s="673"/>
      <c r="AH1635" s="673"/>
    </row>
    <row r="1636">
      <c r="A1636" s="653"/>
      <c r="B1636" s="654"/>
      <c r="C1636" s="691"/>
      <c r="D1636" s="661"/>
      <c r="E1636" s="705"/>
      <c r="F1636" s="659"/>
      <c r="G1636" s="661"/>
      <c r="H1636" s="660"/>
      <c r="I1636" s="691"/>
      <c r="J1636" s="661"/>
      <c r="K1636" s="706"/>
      <c r="L1636" s="665"/>
      <c r="M1636" s="663"/>
      <c r="N1636" s="665"/>
      <c r="O1636" s="665"/>
      <c r="P1636" s="665"/>
      <c r="Q1636" s="665"/>
      <c r="R1636" s="665"/>
      <c r="S1636" s="665"/>
      <c r="T1636" s="673"/>
      <c r="U1636" s="673"/>
      <c r="V1636" s="673"/>
      <c r="W1636" s="673"/>
      <c r="X1636" s="673"/>
      <c r="Y1636" s="673"/>
      <c r="Z1636" s="673"/>
      <c r="AA1636" s="673"/>
      <c r="AB1636" s="673"/>
      <c r="AC1636" s="673"/>
      <c r="AD1636" s="673"/>
      <c r="AE1636" s="673"/>
      <c r="AF1636" s="673"/>
      <c r="AG1636" s="673"/>
      <c r="AH1636" s="673"/>
    </row>
    <row r="1637">
      <c r="A1637" s="653"/>
      <c r="B1637" s="654"/>
      <c r="C1637" s="691"/>
      <c r="D1637" s="661"/>
      <c r="E1637" s="705"/>
      <c r="F1637" s="659"/>
      <c r="G1637" s="661"/>
      <c r="H1637" s="660"/>
      <c r="I1637" s="691"/>
      <c r="J1637" s="661"/>
      <c r="K1637" s="706"/>
      <c r="L1637" s="665"/>
      <c r="M1637" s="663"/>
      <c r="N1637" s="665"/>
      <c r="O1637" s="665"/>
      <c r="P1637" s="665"/>
      <c r="Q1637" s="665"/>
      <c r="R1637" s="665"/>
      <c r="S1637" s="665"/>
      <c r="T1637" s="673"/>
      <c r="U1637" s="673"/>
      <c r="V1637" s="673"/>
      <c r="W1637" s="673"/>
      <c r="X1637" s="673"/>
      <c r="Y1637" s="673"/>
      <c r="Z1637" s="673"/>
      <c r="AA1637" s="673"/>
      <c r="AB1637" s="673"/>
      <c r="AC1637" s="673"/>
      <c r="AD1637" s="673"/>
      <c r="AE1637" s="673"/>
      <c r="AF1637" s="673"/>
      <c r="AG1637" s="673"/>
      <c r="AH1637" s="673"/>
    </row>
    <row r="1638">
      <c r="A1638" s="653"/>
      <c r="B1638" s="654"/>
      <c r="C1638" s="691"/>
      <c r="D1638" s="661"/>
      <c r="E1638" s="705"/>
      <c r="F1638" s="659"/>
      <c r="G1638" s="661"/>
      <c r="H1638" s="660"/>
      <c r="I1638" s="691"/>
      <c r="J1638" s="661"/>
      <c r="K1638" s="706"/>
      <c r="L1638" s="665"/>
      <c r="M1638" s="663"/>
      <c r="N1638" s="665"/>
      <c r="O1638" s="665"/>
      <c r="P1638" s="665"/>
      <c r="Q1638" s="665"/>
      <c r="R1638" s="665"/>
      <c r="S1638" s="665"/>
      <c r="T1638" s="673"/>
      <c r="U1638" s="673"/>
      <c r="V1638" s="673"/>
      <c r="W1638" s="673"/>
      <c r="X1638" s="673"/>
      <c r="Y1638" s="673"/>
      <c r="Z1638" s="673"/>
      <c r="AA1638" s="673"/>
      <c r="AB1638" s="673"/>
      <c r="AC1638" s="673"/>
      <c r="AD1638" s="673"/>
      <c r="AE1638" s="673"/>
      <c r="AF1638" s="673"/>
      <c r="AG1638" s="673"/>
      <c r="AH1638" s="673"/>
    </row>
    <row r="1639">
      <c r="A1639" s="653"/>
      <c r="B1639" s="654"/>
      <c r="C1639" s="691"/>
      <c r="D1639" s="661"/>
      <c r="E1639" s="705"/>
      <c r="F1639" s="659"/>
      <c r="G1639" s="661"/>
      <c r="H1639" s="660"/>
      <c r="I1639" s="691"/>
      <c r="J1639" s="661"/>
      <c r="K1639" s="706"/>
      <c r="L1639" s="665"/>
      <c r="M1639" s="663"/>
      <c r="N1639" s="665"/>
      <c r="O1639" s="665"/>
      <c r="P1639" s="665"/>
      <c r="Q1639" s="665"/>
      <c r="R1639" s="665"/>
      <c r="S1639" s="665"/>
      <c r="T1639" s="673"/>
      <c r="U1639" s="673"/>
      <c r="V1639" s="673"/>
      <c r="W1639" s="673"/>
      <c r="X1639" s="673"/>
      <c r="Y1639" s="673"/>
      <c r="Z1639" s="673"/>
      <c r="AA1639" s="673"/>
      <c r="AB1639" s="673"/>
      <c r="AC1639" s="673"/>
      <c r="AD1639" s="673"/>
      <c r="AE1639" s="673"/>
      <c r="AF1639" s="673"/>
      <c r="AG1639" s="673"/>
      <c r="AH1639" s="673"/>
    </row>
    <row r="1640">
      <c r="A1640" s="653"/>
      <c r="B1640" s="654"/>
      <c r="C1640" s="691"/>
      <c r="D1640" s="661"/>
      <c r="E1640" s="705"/>
      <c r="F1640" s="659"/>
      <c r="G1640" s="661"/>
      <c r="H1640" s="660"/>
      <c r="I1640" s="691"/>
      <c r="J1640" s="661"/>
      <c r="K1640" s="706"/>
      <c r="L1640" s="665"/>
      <c r="M1640" s="663"/>
      <c r="N1640" s="665"/>
      <c r="O1640" s="665"/>
      <c r="P1640" s="665"/>
      <c r="Q1640" s="665"/>
      <c r="R1640" s="665"/>
      <c r="S1640" s="665"/>
      <c r="T1640" s="673"/>
      <c r="U1640" s="673"/>
      <c r="V1640" s="673"/>
      <c r="W1640" s="673"/>
      <c r="X1640" s="673"/>
      <c r="Y1640" s="673"/>
      <c r="Z1640" s="673"/>
      <c r="AA1640" s="673"/>
      <c r="AB1640" s="673"/>
      <c r="AC1640" s="673"/>
      <c r="AD1640" s="673"/>
      <c r="AE1640" s="673"/>
      <c r="AF1640" s="673"/>
      <c r="AG1640" s="673"/>
      <c r="AH1640" s="673"/>
    </row>
    <row r="1641">
      <c r="A1641" s="653"/>
      <c r="B1641" s="654"/>
      <c r="C1641" s="691"/>
      <c r="D1641" s="661"/>
      <c r="E1641" s="705"/>
      <c r="F1641" s="659"/>
      <c r="G1641" s="661"/>
      <c r="H1641" s="660"/>
      <c r="I1641" s="691"/>
      <c r="J1641" s="661"/>
      <c r="K1641" s="706"/>
      <c r="L1641" s="665"/>
      <c r="M1641" s="663"/>
      <c r="N1641" s="665"/>
      <c r="O1641" s="665"/>
      <c r="P1641" s="665"/>
      <c r="Q1641" s="665"/>
      <c r="R1641" s="665"/>
      <c r="S1641" s="665"/>
      <c r="T1641" s="673"/>
      <c r="U1641" s="673"/>
      <c r="V1641" s="673"/>
      <c r="W1641" s="673"/>
      <c r="X1641" s="673"/>
      <c r="Y1641" s="673"/>
      <c r="Z1641" s="673"/>
      <c r="AA1641" s="673"/>
      <c r="AB1641" s="673"/>
      <c r="AC1641" s="673"/>
      <c r="AD1641" s="673"/>
      <c r="AE1641" s="673"/>
      <c r="AF1641" s="673"/>
      <c r="AG1641" s="673"/>
      <c r="AH1641" s="673"/>
    </row>
    <row r="1642">
      <c r="A1642" s="653"/>
      <c r="B1642" s="654"/>
      <c r="C1642" s="691"/>
      <c r="D1642" s="661"/>
      <c r="E1642" s="705"/>
      <c r="F1642" s="659"/>
      <c r="G1642" s="661"/>
      <c r="H1642" s="660"/>
      <c r="I1642" s="691"/>
      <c r="J1642" s="661"/>
      <c r="K1642" s="706"/>
      <c r="L1642" s="665"/>
      <c r="M1642" s="663"/>
      <c r="N1642" s="665"/>
      <c r="O1642" s="665"/>
      <c r="P1642" s="665"/>
      <c r="Q1642" s="665"/>
      <c r="R1642" s="665"/>
      <c r="S1642" s="665"/>
      <c r="T1642" s="673"/>
      <c r="U1642" s="673"/>
      <c r="V1642" s="673"/>
      <c r="W1642" s="673"/>
      <c r="X1642" s="673"/>
      <c r="Y1642" s="673"/>
      <c r="Z1642" s="673"/>
      <c r="AA1642" s="673"/>
      <c r="AB1642" s="673"/>
      <c r="AC1642" s="673"/>
      <c r="AD1642" s="673"/>
      <c r="AE1642" s="673"/>
      <c r="AF1642" s="673"/>
      <c r="AG1642" s="673"/>
      <c r="AH1642" s="673"/>
    </row>
    <row r="1643">
      <c r="A1643" s="653"/>
      <c r="B1643" s="654"/>
      <c r="C1643" s="691"/>
      <c r="D1643" s="661"/>
      <c r="E1643" s="705"/>
      <c r="F1643" s="659"/>
      <c r="G1643" s="661"/>
      <c r="H1643" s="660"/>
      <c r="I1643" s="691"/>
      <c r="J1643" s="661"/>
      <c r="K1643" s="706"/>
      <c r="L1643" s="665"/>
      <c r="M1643" s="663"/>
      <c r="N1643" s="665"/>
      <c r="O1643" s="665"/>
      <c r="P1643" s="665"/>
      <c r="Q1643" s="665"/>
      <c r="R1643" s="665"/>
      <c r="S1643" s="665"/>
      <c r="T1643" s="673"/>
      <c r="U1643" s="673"/>
      <c r="V1643" s="673"/>
      <c r="W1643" s="673"/>
      <c r="X1643" s="673"/>
      <c r="Y1643" s="673"/>
      <c r="Z1643" s="673"/>
      <c r="AA1643" s="673"/>
      <c r="AB1643" s="673"/>
      <c r="AC1643" s="673"/>
      <c r="AD1643" s="673"/>
      <c r="AE1643" s="673"/>
      <c r="AF1643" s="673"/>
      <c r="AG1643" s="673"/>
      <c r="AH1643" s="673"/>
    </row>
    <row r="1644">
      <c r="A1644" s="653"/>
      <c r="B1644" s="654"/>
      <c r="C1644" s="691"/>
      <c r="D1644" s="661"/>
      <c r="E1644" s="705"/>
      <c r="F1644" s="659"/>
      <c r="G1644" s="661"/>
      <c r="H1644" s="660"/>
      <c r="I1644" s="691"/>
      <c r="J1644" s="661"/>
      <c r="K1644" s="706"/>
      <c r="L1644" s="665"/>
      <c r="M1644" s="663"/>
      <c r="N1644" s="665"/>
      <c r="O1644" s="665"/>
      <c r="P1644" s="665"/>
      <c r="Q1644" s="665"/>
      <c r="R1644" s="665"/>
      <c r="S1644" s="665"/>
      <c r="T1644" s="673"/>
      <c r="U1644" s="673"/>
      <c r="V1644" s="673"/>
      <c r="W1644" s="673"/>
      <c r="X1644" s="673"/>
      <c r="Y1644" s="673"/>
      <c r="Z1644" s="673"/>
      <c r="AA1644" s="673"/>
      <c r="AB1644" s="673"/>
      <c r="AC1644" s="673"/>
      <c r="AD1644" s="673"/>
      <c r="AE1644" s="673"/>
      <c r="AF1644" s="673"/>
      <c r="AG1644" s="673"/>
      <c r="AH1644" s="673"/>
    </row>
    <row r="1645">
      <c r="A1645" s="653"/>
      <c r="B1645" s="654"/>
      <c r="C1645" s="691"/>
      <c r="D1645" s="661"/>
      <c r="E1645" s="705"/>
      <c r="F1645" s="659"/>
      <c r="G1645" s="661"/>
      <c r="H1645" s="660"/>
      <c r="I1645" s="691"/>
      <c r="J1645" s="661"/>
      <c r="K1645" s="706"/>
      <c r="L1645" s="665"/>
      <c r="M1645" s="663"/>
      <c r="N1645" s="665"/>
      <c r="O1645" s="665"/>
      <c r="P1645" s="665"/>
      <c r="Q1645" s="665"/>
      <c r="R1645" s="665"/>
      <c r="S1645" s="665"/>
      <c r="T1645" s="673"/>
      <c r="U1645" s="673"/>
      <c r="V1645" s="673"/>
      <c r="W1645" s="673"/>
      <c r="X1645" s="673"/>
      <c r="Y1645" s="673"/>
      <c r="Z1645" s="673"/>
      <c r="AA1645" s="673"/>
      <c r="AB1645" s="673"/>
      <c r="AC1645" s="673"/>
      <c r="AD1645" s="673"/>
      <c r="AE1645" s="673"/>
      <c r="AF1645" s="673"/>
      <c r="AG1645" s="673"/>
      <c r="AH1645" s="673"/>
    </row>
    <row r="1646">
      <c r="A1646" s="653"/>
      <c r="B1646" s="654"/>
      <c r="C1646" s="691"/>
      <c r="D1646" s="661"/>
      <c r="E1646" s="705"/>
      <c r="F1646" s="659"/>
      <c r="G1646" s="661"/>
      <c r="H1646" s="660"/>
      <c r="I1646" s="691"/>
      <c r="J1646" s="661"/>
      <c r="K1646" s="706"/>
      <c r="L1646" s="665"/>
      <c r="M1646" s="663"/>
      <c r="N1646" s="665"/>
      <c r="O1646" s="665"/>
      <c r="P1646" s="665"/>
      <c r="Q1646" s="665"/>
      <c r="R1646" s="665"/>
      <c r="S1646" s="665"/>
      <c r="T1646" s="673"/>
      <c r="U1646" s="673"/>
      <c r="V1646" s="673"/>
      <c r="W1646" s="673"/>
      <c r="X1646" s="673"/>
      <c r="Y1646" s="673"/>
      <c r="Z1646" s="673"/>
      <c r="AA1646" s="673"/>
      <c r="AB1646" s="673"/>
      <c r="AC1646" s="673"/>
      <c r="AD1646" s="673"/>
      <c r="AE1646" s="673"/>
      <c r="AF1646" s="673"/>
      <c r="AG1646" s="673"/>
      <c r="AH1646" s="673"/>
    </row>
    <row r="1647">
      <c r="A1647" s="653"/>
      <c r="B1647" s="654"/>
      <c r="C1647" s="691"/>
      <c r="D1647" s="661"/>
      <c r="E1647" s="705"/>
      <c r="F1647" s="659"/>
      <c r="G1647" s="661"/>
      <c r="H1647" s="660"/>
      <c r="I1647" s="691"/>
      <c r="J1647" s="661"/>
      <c r="K1647" s="706"/>
      <c r="L1647" s="665"/>
      <c r="M1647" s="663"/>
      <c r="N1647" s="665"/>
      <c r="O1647" s="665"/>
      <c r="P1647" s="665"/>
      <c r="Q1647" s="665"/>
      <c r="R1647" s="665"/>
      <c r="S1647" s="665"/>
      <c r="T1647" s="673"/>
      <c r="U1647" s="673"/>
      <c r="V1647" s="673"/>
      <c r="W1647" s="673"/>
      <c r="X1647" s="673"/>
      <c r="Y1647" s="673"/>
      <c r="Z1647" s="673"/>
      <c r="AA1647" s="673"/>
      <c r="AB1647" s="673"/>
      <c r="AC1647" s="673"/>
      <c r="AD1647" s="673"/>
      <c r="AE1647" s="673"/>
      <c r="AF1647" s="673"/>
      <c r="AG1647" s="673"/>
      <c r="AH1647" s="673"/>
    </row>
    <row r="1648">
      <c r="A1648" s="653"/>
      <c r="B1648" s="654"/>
      <c r="C1648" s="691"/>
      <c r="D1648" s="661"/>
      <c r="E1648" s="705"/>
      <c r="F1648" s="659"/>
      <c r="G1648" s="661"/>
      <c r="H1648" s="660"/>
      <c r="I1648" s="691"/>
      <c r="J1648" s="661"/>
      <c r="K1648" s="706"/>
      <c r="L1648" s="665"/>
      <c r="M1648" s="663"/>
      <c r="N1648" s="665"/>
      <c r="O1648" s="665"/>
      <c r="P1648" s="665"/>
      <c r="Q1648" s="665"/>
      <c r="R1648" s="665"/>
      <c r="S1648" s="665"/>
      <c r="T1648" s="673"/>
      <c r="U1648" s="673"/>
      <c r="V1648" s="673"/>
      <c r="W1648" s="673"/>
      <c r="X1648" s="673"/>
      <c r="Y1648" s="673"/>
      <c r="Z1648" s="673"/>
      <c r="AA1648" s="673"/>
      <c r="AB1648" s="673"/>
      <c r="AC1648" s="673"/>
      <c r="AD1648" s="673"/>
      <c r="AE1648" s="673"/>
      <c r="AF1648" s="673"/>
      <c r="AG1648" s="673"/>
      <c r="AH1648" s="673"/>
    </row>
    <row r="1649">
      <c r="A1649" s="653"/>
      <c r="B1649" s="654"/>
      <c r="C1649" s="691"/>
      <c r="D1649" s="661"/>
      <c r="E1649" s="705"/>
      <c r="F1649" s="659"/>
      <c r="G1649" s="661"/>
      <c r="H1649" s="660"/>
      <c r="I1649" s="691"/>
      <c r="J1649" s="661"/>
      <c r="K1649" s="706"/>
      <c r="L1649" s="665"/>
      <c r="M1649" s="663"/>
      <c r="N1649" s="665"/>
      <c r="O1649" s="665"/>
      <c r="P1649" s="665"/>
      <c r="Q1649" s="665"/>
      <c r="R1649" s="665"/>
      <c r="S1649" s="665"/>
      <c r="T1649" s="673"/>
      <c r="U1649" s="673"/>
      <c r="V1649" s="673"/>
      <c r="W1649" s="673"/>
      <c r="X1649" s="673"/>
      <c r="Y1649" s="673"/>
      <c r="Z1649" s="673"/>
      <c r="AA1649" s="673"/>
      <c r="AB1649" s="673"/>
      <c r="AC1649" s="673"/>
      <c r="AD1649" s="673"/>
      <c r="AE1649" s="673"/>
      <c r="AF1649" s="673"/>
      <c r="AG1649" s="673"/>
      <c r="AH1649" s="673"/>
    </row>
    <row r="1650">
      <c r="A1650" s="653"/>
      <c r="B1650" s="654"/>
      <c r="C1650" s="691"/>
      <c r="D1650" s="661"/>
      <c r="E1650" s="705"/>
      <c r="F1650" s="659"/>
      <c r="G1650" s="661"/>
      <c r="H1650" s="660"/>
      <c r="I1650" s="691"/>
      <c r="J1650" s="661"/>
      <c r="K1650" s="706"/>
      <c r="L1650" s="665"/>
      <c r="M1650" s="663"/>
      <c r="N1650" s="665"/>
      <c r="O1650" s="665"/>
      <c r="P1650" s="665"/>
      <c r="Q1650" s="665"/>
      <c r="R1650" s="665"/>
      <c r="S1650" s="665"/>
      <c r="T1650" s="673"/>
      <c r="U1650" s="673"/>
      <c r="V1650" s="673"/>
      <c r="W1650" s="673"/>
      <c r="X1650" s="673"/>
      <c r="Y1650" s="673"/>
      <c r="Z1650" s="673"/>
      <c r="AA1650" s="673"/>
      <c r="AB1650" s="673"/>
      <c r="AC1650" s="673"/>
      <c r="AD1650" s="673"/>
      <c r="AE1650" s="673"/>
      <c r="AF1650" s="673"/>
      <c r="AG1650" s="673"/>
      <c r="AH1650" s="673"/>
    </row>
    <row r="1651">
      <c r="A1651" s="653"/>
      <c r="B1651" s="654"/>
      <c r="C1651" s="691"/>
      <c r="D1651" s="661"/>
      <c r="E1651" s="705"/>
      <c r="F1651" s="659"/>
      <c r="G1651" s="661"/>
      <c r="H1651" s="660"/>
      <c r="I1651" s="691"/>
      <c r="J1651" s="661"/>
      <c r="K1651" s="706"/>
      <c r="L1651" s="665"/>
      <c r="M1651" s="663"/>
      <c r="N1651" s="665"/>
      <c r="O1651" s="665"/>
      <c r="P1651" s="665"/>
      <c r="Q1651" s="665"/>
      <c r="R1651" s="665"/>
      <c r="S1651" s="665"/>
      <c r="T1651" s="673"/>
      <c r="U1651" s="673"/>
      <c r="V1651" s="673"/>
      <c r="W1651" s="673"/>
      <c r="X1651" s="673"/>
      <c r="Y1651" s="673"/>
      <c r="Z1651" s="673"/>
      <c r="AA1651" s="673"/>
      <c r="AB1651" s="673"/>
      <c r="AC1651" s="673"/>
      <c r="AD1651" s="673"/>
      <c r="AE1651" s="673"/>
      <c r="AF1651" s="673"/>
      <c r="AG1651" s="673"/>
      <c r="AH1651" s="673"/>
    </row>
    <row r="1652">
      <c r="A1652" s="653"/>
      <c r="B1652" s="654"/>
      <c r="C1652" s="691"/>
      <c r="D1652" s="661"/>
      <c r="E1652" s="705"/>
      <c r="F1652" s="659"/>
      <c r="G1652" s="661"/>
      <c r="H1652" s="660"/>
      <c r="I1652" s="691"/>
      <c r="J1652" s="661"/>
      <c r="K1652" s="706"/>
      <c r="L1652" s="665"/>
      <c r="M1652" s="663"/>
      <c r="N1652" s="665"/>
      <c r="O1652" s="665"/>
      <c r="P1652" s="665"/>
      <c r="Q1652" s="665"/>
      <c r="R1652" s="665"/>
      <c r="S1652" s="665"/>
      <c r="T1652" s="673"/>
      <c r="U1652" s="673"/>
      <c r="V1652" s="673"/>
      <c r="W1652" s="673"/>
      <c r="X1652" s="673"/>
      <c r="Y1652" s="673"/>
      <c r="Z1652" s="673"/>
      <c r="AA1652" s="673"/>
      <c r="AB1652" s="673"/>
      <c r="AC1652" s="673"/>
      <c r="AD1652" s="673"/>
      <c r="AE1652" s="673"/>
      <c r="AF1652" s="673"/>
      <c r="AG1652" s="673"/>
      <c r="AH1652" s="673"/>
    </row>
    <row r="1653">
      <c r="A1653" s="653"/>
      <c r="B1653" s="654"/>
      <c r="C1653" s="691"/>
      <c r="D1653" s="661"/>
      <c r="E1653" s="705"/>
      <c r="F1653" s="659"/>
      <c r="G1653" s="661"/>
      <c r="H1653" s="660"/>
      <c r="I1653" s="691"/>
      <c r="J1653" s="661"/>
      <c r="K1653" s="706"/>
      <c r="L1653" s="665"/>
      <c r="M1653" s="663"/>
      <c r="N1653" s="665"/>
      <c r="O1653" s="665"/>
      <c r="P1653" s="665"/>
      <c r="Q1653" s="665"/>
      <c r="R1653" s="665"/>
      <c r="S1653" s="665"/>
      <c r="T1653" s="673"/>
      <c r="U1653" s="673"/>
      <c r="V1653" s="673"/>
      <c r="W1653" s="673"/>
      <c r="X1653" s="673"/>
      <c r="Y1653" s="673"/>
      <c r="Z1653" s="673"/>
      <c r="AA1653" s="673"/>
      <c r="AB1653" s="673"/>
      <c r="AC1653" s="673"/>
      <c r="AD1653" s="673"/>
      <c r="AE1653" s="673"/>
      <c r="AF1653" s="673"/>
      <c r="AG1653" s="673"/>
      <c r="AH1653" s="673"/>
    </row>
    <row r="1654">
      <c r="A1654" s="653"/>
      <c r="B1654" s="654"/>
      <c r="C1654" s="691"/>
      <c r="D1654" s="661"/>
      <c r="E1654" s="705"/>
      <c r="F1654" s="659"/>
      <c r="G1654" s="661"/>
      <c r="H1654" s="660"/>
      <c r="I1654" s="691"/>
      <c r="J1654" s="661"/>
      <c r="K1654" s="706"/>
      <c r="L1654" s="665"/>
      <c r="M1654" s="663"/>
      <c r="N1654" s="665"/>
      <c r="O1654" s="665"/>
      <c r="P1654" s="665"/>
      <c r="Q1654" s="665"/>
      <c r="R1654" s="665"/>
      <c r="S1654" s="665"/>
      <c r="T1654" s="673"/>
      <c r="U1654" s="673"/>
      <c r="V1654" s="673"/>
      <c r="W1654" s="673"/>
      <c r="X1654" s="673"/>
      <c r="Y1654" s="673"/>
      <c r="Z1654" s="673"/>
      <c r="AA1654" s="673"/>
      <c r="AB1654" s="673"/>
      <c r="AC1654" s="673"/>
      <c r="AD1654" s="673"/>
      <c r="AE1654" s="673"/>
      <c r="AF1654" s="673"/>
      <c r="AG1654" s="673"/>
      <c r="AH1654" s="673"/>
    </row>
    <row r="1655">
      <c r="A1655" s="653"/>
      <c r="B1655" s="654"/>
      <c r="C1655" s="691"/>
      <c r="D1655" s="661"/>
      <c r="E1655" s="705"/>
      <c r="F1655" s="659"/>
      <c r="G1655" s="661"/>
      <c r="H1655" s="660"/>
      <c r="I1655" s="691"/>
      <c r="J1655" s="661"/>
      <c r="K1655" s="706"/>
      <c r="L1655" s="665"/>
      <c r="M1655" s="663"/>
      <c r="N1655" s="665"/>
      <c r="O1655" s="665"/>
      <c r="P1655" s="665"/>
      <c r="Q1655" s="665"/>
      <c r="R1655" s="665"/>
      <c r="S1655" s="665"/>
      <c r="T1655" s="673"/>
      <c r="U1655" s="673"/>
      <c r="V1655" s="673"/>
      <c r="W1655" s="673"/>
      <c r="X1655" s="673"/>
      <c r="Y1655" s="673"/>
      <c r="Z1655" s="673"/>
      <c r="AA1655" s="673"/>
      <c r="AB1655" s="673"/>
      <c r="AC1655" s="673"/>
      <c r="AD1655" s="673"/>
      <c r="AE1655" s="673"/>
      <c r="AF1655" s="673"/>
      <c r="AG1655" s="673"/>
      <c r="AH1655" s="673"/>
    </row>
    <row r="1656">
      <c r="A1656" s="653"/>
      <c r="B1656" s="654"/>
      <c r="C1656" s="691"/>
      <c r="D1656" s="661"/>
      <c r="E1656" s="705"/>
      <c r="F1656" s="659"/>
      <c r="G1656" s="661"/>
      <c r="H1656" s="660"/>
      <c r="I1656" s="691"/>
      <c r="J1656" s="661"/>
      <c r="K1656" s="706"/>
      <c r="L1656" s="665"/>
      <c r="M1656" s="663"/>
      <c r="N1656" s="665"/>
      <c r="O1656" s="665"/>
      <c r="P1656" s="665"/>
      <c r="Q1656" s="665"/>
      <c r="R1656" s="665"/>
      <c r="S1656" s="665"/>
      <c r="T1656" s="673"/>
      <c r="U1656" s="673"/>
      <c r="V1656" s="673"/>
      <c r="W1656" s="673"/>
      <c r="X1656" s="673"/>
      <c r="Y1656" s="673"/>
      <c r="Z1656" s="673"/>
      <c r="AA1656" s="673"/>
      <c r="AB1656" s="673"/>
      <c r="AC1656" s="673"/>
      <c r="AD1656" s="673"/>
      <c r="AE1656" s="673"/>
      <c r="AF1656" s="673"/>
      <c r="AG1656" s="673"/>
      <c r="AH1656" s="673"/>
    </row>
    <row r="1657">
      <c r="A1657" s="653"/>
      <c r="B1657" s="654"/>
      <c r="C1657" s="691"/>
      <c r="D1657" s="661"/>
      <c r="E1657" s="705"/>
      <c r="F1657" s="659"/>
      <c r="G1657" s="661"/>
      <c r="H1657" s="660"/>
      <c r="I1657" s="691"/>
      <c r="J1657" s="661"/>
      <c r="K1657" s="706"/>
      <c r="L1657" s="665"/>
      <c r="M1657" s="663"/>
      <c r="N1657" s="665"/>
      <c r="O1657" s="665"/>
      <c r="P1657" s="665"/>
      <c r="Q1657" s="665"/>
      <c r="R1657" s="665"/>
      <c r="S1657" s="665"/>
      <c r="T1657" s="673"/>
      <c r="U1657" s="673"/>
      <c r="V1657" s="673"/>
      <c r="W1657" s="673"/>
      <c r="X1657" s="673"/>
      <c r="Y1657" s="673"/>
      <c r="Z1657" s="673"/>
      <c r="AA1657" s="673"/>
      <c r="AB1657" s="673"/>
      <c r="AC1657" s="673"/>
      <c r="AD1657" s="673"/>
      <c r="AE1657" s="673"/>
      <c r="AF1657" s="673"/>
      <c r="AG1657" s="673"/>
      <c r="AH1657" s="673"/>
    </row>
    <row r="1658">
      <c r="A1658" s="653"/>
      <c r="B1658" s="654"/>
      <c r="C1658" s="691"/>
      <c r="D1658" s="661"/>
      <c r="E1658" s="705"/>
      <c r="F1658" s="659"/>
      <c r="G1658" s="661"/>
      <c r="H1658" s="660"/>
      <c r="I1658" s="691"/>
      <c r="J1658" s="661"/>
      <c r="K1658" s="706"/>
      <c r="L1658" s="665"/>
      <c r="M1658" s="663"/>
      <c r="N1658" s="665"/>
      <c r="O1658" s="665"/>
      <c r="P1658" s="665"/>
      <c r="Q1658" s="665"/>
      <c r="R1658" s="665"/>
      <c r="S1658" s="665"/>
      <c r="T1658" s="673"/>
      <c r="U1658" s="673"/>
      <c r="V1658" s="673"/>
      <c r="W1658" s="673"/>
      <c r="X1658" s="673"/>
      <c r="Y1658" s="673"/>
      <c r="Z1658" s="673"/>
      <c r="AA1658" s="673"/>
      <c r="AB1658" s="673"/>
      <c r="AC1658" s="673"/>
      <c r="AD1658" s="673"/>
      <c r="AE1658" s="673"/>
      <c r="AF1658" s="673"/>
      <c r="AG1658" s="673"/>
      <c r="AH1658" s="673"/>
    </row>
    <row r="1659">
      <c r="A1659" s="653"/>
      <c r="B1659" s="654"/>
      <c r="C1659" s="691"/>
      <c r="D1659" s="661"/>
      <c r="E1659" s="705"/>
      <c r="F1659" s="659"/>
      <c r="G1659" s="661"/>
      <c r="H1659" s="660"/>
      <c r="I1659" s="691"/>
      <c r="J1659" s="661"/>
      <c r="K1659" s="706"/>
      <c r="L1659" s="665"/>
      <c r="M1659" s="663"/>
      <c r="N1659" s="665"/>
      <c r="O1659" s="665"/>
      <c r="P1659" s="665"/>
      <c r="Q1659" s="665"/>
      <c r="R1659" s="665"/>
      <c r="S1659" s="665"/>
      <c r="T1659" s="673"/>
      <c r="U1659" s="673"/>
      <c r="V1659" s="673"/>
      <c r="W1659" s="673"/>
      <c r="X1659" s="673"/>
      <c r="Y1659" s="673"/>
      <c r="Z1659" s="673"/>
      <c r="AA1659" s="673"/>
      <c r="AB1659" s="673"/>
      <c r="AC1659" s="673"/>
      <c r="AD1659" s="673"/>
      <c r="AE1659" s="673"/>
      <c r="AF1659" s="673"/>
      <c r="AG1659" s="673"/>
      <c r="AH1659" s="673"/>
    </row>
    <row r="1660">
      <c r="A1660" s="653"/>
      <c r="B1660" s="654"/>
      <c r="C1660" s="691"/>
      <c r="D1660" s="661"/>
      <c r="E1660" s="705"/>
      <c r="F1660" s="659"/>
      <c r="G1660" s="661"/>
      <c r="H1660" s="660"/>
      <c r="I1660" s="691"/>
      <c r="J1660" s="661"/>
      <c r="K1660" s="706"/>
      <c r="L1660" s="665"/>
      <c r="M1660" s="663"/>
      <c r="N1660" s="665"/>
      <c r="O1660" s="665"/>
      <c r="P1660" s="665"/>
      <c r="Q1660" s="665"/>
      <c r="R1660" s="665"/>
      <c r="S1660" s="665"/>
      <c r="T1660" s="673"/>
      <c r="U1660" s="673"/>
      <c r="V1660" s="673"/>
      <c r="W1660" s="673"/>
      <c r="X1660" s="673"/>
      <c r="Y1660" s="673"/>
      <c r="Z1660" s="673"/>
      <c r="AA1660" s="673"/>
      <c r="AB1660" s="673"/>
      <c r="AC1660" s="673"/>
      <c r="AD1660" s="673"/>
      <c r="AE1660" s="673"/>
      <c r="AF1660" s="673"/>
      <c r="AG1660" s="673"/>
      <c r="AH1660" s="673"/>
    </row>
    <row r="1661">
      <c r="A1661" s="653"/>
      <c r="B1661" s="654"/>
      <c r="C1661" s="691"/>
      <c r="D1661" s="661"/>
      <c r="E1661" s="705"/>
      <c r="F1661" s="659"/>
      <c r="G1661" s="661"/>
      <c r="H1661" s="660"/>
      <c r="I1661" s="691"/>
      <c r="J1661" s="661"/>
      <c r="K1661" s="706"/>
      <c r="L1661" s="665"/>
      <c r="M1661" s="663"/>
      <c r="N1661" s="665"/>
      <c r="O1661" s="665"/>
      <c r="P1661" s="665"/>
      <c r="Q1661" s="665"/>
      <c r="R1661" s="665"/>
      <c r="S1661" s="665"/>
      <c r="T1661" s="673"/>
      <c r="U1661" s="673"/>
      <c r="V1661" s="673"/>
      <c r="W1661" s="673"/>
      <c r="X1661" s="673"/>
      <c r="Y1661" s="673"/>
      <c r="Z1661" s="673"/>
      <c r="AA1661" s="673"/>
      <c r="AB1661" s="673"/>
      <c r="AC1661" s="673"/>
      <c r="AD1661" s="673"/>
      <c r="AE1661" s="673"/>
      <c r="AF1661" s="673"/>
      <c r="AG1661" s="673"/>
      <c r="AH1661" s="673"/>
    </row>
    <row r="1662">
      <c r="A1662" s="653"/>
      <c r="B1662" s="654"/>
      <c r="C1662" s="691"/>
      <c r="D1662" s="661"/>
      <c r="E1662" s="705"/>
      <c r="F1662" s="659"/>
      <c r="G1662" s="661"/>
      <c r="H1662" s="660"/>
      <c r="I1662" s="691"/>
      <c r="J1662" s="661"/>
      <c r="K1662" s="706"/>
      <c r="L1662" s="665"/>
      <c r="M1662" s="663"/>
      <c r="N1662" s="665"/>
      <c r="O1662" s="665"/>
      <c r="P1662" s="665"/>
      <c r="Q1662" s="665"/>
      <c r="R1662" s="665"/>
      <c r="S1662" s="665"/>
      <c r="T1662" s="673"/>
      <c r="U1662" s="673"/>
      <c r="V1662" s="673"/>
      <c r="W1662" s="673"/>
      <c r="X1662" s="673"/>
      <c r="Y1662" s="673"/>
      <c r="Z1662" s="673"/>
      <c r="AA1662" s="673"/>
      <c r="AB1662" s="673"/>
      <c r="AC1662" s="673"/>
      <c r="AD1662" s="673"/>
      <c r="AE1662" s="673"/>
      <c r="AF1662" s="673"/>
      <c r="AG1662" s="673"/>
      <c r="AH1662" s="673"/>
    </row>
    <row r="1663">
      <c r="A1663" s="653"/>
      <c r="B1663" s="654"/>
      <c r="C1663" s="691"/>
      <c r="D1663" s="661"/>
      <c r="E1663" s="705"/>
      <c r="F1663" s="659"/>
      <c r="G1663" s="661"/>
      <c r="H1663" s="660"/>
      <c r="I1663" s="691"/>
      <c r="J1663" s="661"/>
      <c r="K1663" s="706"/>
      <c r="L1663" s="665"/>
      <c r="M1663" s="663"/>
      <c r="N1663" s="665"/>
      <c r="O1663" s="665"/>
      <c r="P1663" s="665"/>
      <c r="Q1663" s="665"/>
      <c r="R1663" s="665"/>
      <c r="S1663" s="665"/>
      <c r="T1663" s="673"/>
      <c r="U1663" s="673"/>
      <c r="V1663" s="673"/>
      <c r="W1663" s="673"/>
      <c r="X1663" s="673"/>
      <c r="Y1663" s="673"/>
      <c r="Z1663" s="673"/>
      <c r="AA1663" s="673"/>
      <c r="AB1663" s="673"/>
      <c r="AC1663" s="673"/>
      <c r="AD1663" s="673"/>
      <c r="AE1663" s="673"/>
      <c r="AF1663" s="673"/>
      <c r="AG1663" s="673"/>
      <c r="AH1663" s="673"/>
    </row>
    <row r="1664">
      <c r="A1664" s="653"/>
      <c r="B1664" s="654"/>
      <c r="C1664" s="691"/>
      <c r="D1664" s="661"/>
      <c r="E1664" s="705"/>
      <c r="F1664" s="659"/>
      <c r="G1664" s="661"/>
      <c r="H1664" s="660"/>
      <c r="I1664" s="691"/>
      <c r="J1664" s="661"/>
      <c r="K1664" s="706"/>
      <c r="L1664" s="665"/>
      <c r="M1664" s="663"/>
      <c r="N1664" s="665"/>
      <c r="O1664" s="665"/>
      <c r="P1664" s="665"/>
      <c r="Q1664" s="665"/>
      <c r="R1664" s="665"/>
      <c r="S1664" s="665"/>
      <c r="T1664" s="673"/>
      <c r="U1664" s="673"/>
      <c r="V1664" s="673"/>
      <c r="W1664" s="673"/>
      <c r="X1664" s="673"/>
      <c r="Y1664" s="673"/>
      <c r="Z1664" s="673"/>
      <c r="AA1664" s="673"/>
      <c r="AB1664" s="673"/>
      <c r="AC1664" s="673"/>
      <c r="AD1664" s="673"/>
      <c r="AE1664" s="673"/>
      <c r="AF1664" s="673"/>
      <c r="AG1664" s="673"/>
      <c r="AH1664" s="673"/>
    </row>
    <row r="1665">
      <c r="A1665" s="653"/>
      <c r="B1665" s="654"/>
      <c r="C1665" s="691"/>
      <c r="D1665" s="661"/>
      <c r="E1665" s="705"/>
      <c r="F1665" s="659"/>
      <c r="G1665" s="661"/>
      <c r="H1665" s="660"/>
      <c r="I1665" s="691"/>
      <c r="J1665" s="661"/>
      <c r="K1665" s="706"/>
      <c r="L1665" s="665"/>
      <c r="M1665" s="663"/>
      <c r="N1665" s="665"/>
      <c r="O1665" s="665"/>
      <c r="P1665" s="665"/>
      <c r="Q1665" s="665"/>
      <c r="R1665" s="665"/>
      <c r="S1665" s="665"/>
      <c r="T1665" s="673"/>
      <c r="U1665" s="673"/>
      <c r="V1665" s="673"/>
      <c r="W1665" s="673"/>
      <c r="X1665" s="673"/>
      <c r="Y1665" s="673"/>
      <c r="Z1665" s="673"/>
      <c r="AA1665" s="673"/>
      <c r="AB1665" s="673"/>
      <c r="AC1665" s="673"/>
      <c r="AD1665" s="673"/>
      <c r="AE1665" s="673"/>
      <c r="AF1665" s="673"/>
      <c r="AG1665" s="673"/>
      <c r="AH1665" s="673"/>
    </row>
    <row r="1666">
      <c r="A1666" s="653"/>
      <c r="B1666" s="654"/>
      <c r="C1666" s="691"/>
      <c r="D1666" s="661"/>
      <c r="E1666" s="705"/>
      <c r="F1666" s="659"/>
      <c r="G1666" s="661"/>
      <c r="H1666" s="660"/>
      <c r="I1666" s="691"/>
      <c r="J1666" s="661"/>
      <c r="K1666" s="706"/>
      <c r="L1666" s="665"/>
      <c r="M1666" s="663"/>
      <c r="N1666" s="665"/>
      <c r="O1666" s="665"/>
      <c r="P1666" s="665"/>
      <c r="Q1666" s="665"/>
      <c r="R1666" s="665"/>
      <c r="S1666" s="665"/>
      <c r="T1666" s="673"/>
      <c r="U1666" s="673"/>
      <c r="V1666" s="673"/>
      <c r="W1666" s="673"/>
      <c r="X1666" s="673"/>
      <c r="Y1666" s="673"/>
      <c r="Z1666" s="673"/>
      <c r="AA1666" s="673"/>
      <c r="AB1666" s="673"/>
      <c r="AC1666" s="673"/>
      <c r="AD1666" s="673"/>
      <c r="AE1666" s="673"/>
      <c r="AF1666" s="673"/>
      <c r="AG1666" s="673"/>
      <c r="AH1666" s="673"/>
    </row>
    <row r="1667">
      <c r="A1667" s="653"/>
      <c r="B1667" s="654"/>
      <c r="C1667" s="691"/>
      <c r="D1667" s="661"/>
      <c r="E1667" s="705"/>
      <c r="F1667" s="659"/>
      <c r="G1667" s="661"/>
      <c r="H1667" s="660"/>
      <c r="I1667" s="691"/>
      <c r="J1667" s="661"/>
      <c r="K1667" s="706"/>
      <c r="L1667" s="665"/>
      <c r="M1667" s="663"/>
      <c r="N1667" s="665"/>
      <c r="O1667" s="665"/>
      <c r="P1667" s="665"/>
      <c r="Q1667" s="665"/>
      <c r="R1667" s="665"/>
      <c r="S1667" s="665"/>
      <c r="T1667" s="673"/>
      <c r="U1667" s="673"/>
      <c r="V1667" s="673"/>
      <c r="W1667" s="673"/>
      <c r="X1667" s="673"/>
      <c r="Y1667" s="673"/>
      <c r="Z1667" s="673"/>
      <c r="AA1667" s="673"/>
      <c r="AB1667" s="673"/>
      <c r="AC1667" s="673"/>
      <c r="AD1667" s="673"/>
      <c r="AE1667" s="673"/>
      <c r="AF1667" s="673"/>
      <c r="AG1667" s="673"/>
      <c r="AH1667" s="673"/>
    </row>
    <row r="1668">
      <c r="A1668" s="653"/>
      <c r="B1668" s="654"/>
      <c r="C1668" s="691"/>
      <c r="D1668" s="661"/>
      <c r="E1668" s="705"/>
      <c r="F1668" s="659"/>
      <c r="G1668" s="661"/>
      <c r="H1668" s="660"/>
      <c r="I1668" s="691"/>
      <c r="J1668" s="661"/>
      <c r="K1668" s="706"/>
      <c r="L1668" s="665"/>
      <c r="M1668" s="663"/>
      <c r="N1668" s="665"/>
      <c r="O1668" s="665"/>
      <c r="P1668" s="665"/>
      <c r="Q1668" s="665"/>
      <c r="R1668" s="665"/>
      <c r="S1668" s="665"/>
      <c r="T1668" s="673"/>
      <c r="U1668" s="673"/>
      <c r="V1668" s="673"/>
      <c r="W1668" s="673"/>
      <c r="X1668" s="673"/>
      <c r="Y1668" s="673"/>
      <c r="Z1668" s="673"/>
      <c r="AA1668" s="673"/>
      <c r="AB1668" s="673"/>
      <c r="AC1668" s="673"/>
      <c r="AD1668" s="673"/>
      <c r="AE1668" s="673"/>
      <c r="AF1668" s="673"/>
      <c r="AG1668" s="673"/>
      <c r="AH1668" s="673"/>
    </row>
    <row r="1669">
      <c r="A1669" s="653"/>
      <c r="B1669" s="654"/>
      <c r="C1669" s="691"/>
      <c r="D1669" s="661"/>
      <c r="E1669" s="705"/>
      <c r="F1669" s="659"/>
      <c r="G1669" s="661"/>
      <c r="H1669" s="660"/>
      <c r="I1669" s="691"/>
      <c r="J1669" s="661"/>
      <c r="K1669" s="706"/>
      <c r="L1669" s="665"/>
      <c r="M1669" s="663"/>
      <c r="N1669" s="665"/>
      <c r="O1669" s="665"/>
      <c r="P1669" s="665"/>
      <c r="Q1669" s="665"/>
      <c r="R1669" s="665"/>
      <c r="S1669" s="665"/>
      <c r="T1669" s="673"/>
      <c r="U1669" s="673"/>
      <c r="V1669" s="673"/>
      <c r="W1669" s="673"/>
      <c r="X1669" s="673"/>
      <c r="Y1669" s="673"/>
      <c r="Z1669" s="673"/>
      <c r="AA1669" s="673"/>
      <c r="AB1669" s="673"/>
      <c r="AC1669" s="673"/>
      <c r="AD1669" s="673"/>
      <c r="AE1669" s="673"/>
      <c r="AF1669" s="673"/>
      <c r="AG1669" s="673"/>
      <c r="AH1669" s="673"/>
    </row>
    <row r="1670">
      <c r="A1670" s="653"/>
      <c r="B1670" s="654"/>
      <c r="C1670" s="691"/>
      <c r="D1670" s="661"/>
      <c r="E1670" s="705"/>
      <c r="F1670" s="659"/>
      <c r="G1670" s="661"/>
      <c r="H1670" s="660"/>
      <c r="I1670" s="691"/>
      <c r="J1670" s="661"/>
      <c r="K1670" s="706"/>
      <c r="L1670" s="665"/>
      <c r="M1670" s="663"/>
      <c r="N1670" s="665"/>
      <c r="O1670" s="665"/>
      <c r="P1670" s="665"/>
      <c r="Q1670" s="665"/>
      <c r="R1670" s="665"/>
      <c r="S1670" s="665"/>
      <c r="T1670" s="673"/>
      <c r="U1670" s="673"/>
      <c r="V1670" s="673"/>
      <c r="W1670" s="673"/>
      <c r="X1670" s="673"/>
      <c r="Y1670" s="673"/>
      <c r="Z1670" s="673"/>
      <c r="AA1670" s="673"/>
      <c r="AB1670" s="673"/>
      <c r="AC1670" s="673"/>
      <c r="AD1670" s="673"/>
      <c r="AE1670" s="673"/>
      <c r="AF1670" s="673"/>
      <c r="AG1670" s="673"/>
      <c r="AH1670" s="673"/>
    </row>
    <row r="1671">
      <c r="A1671" s="653"/>
      <c r="B1671" s="654"/>
      <c r="C1671" s="691"/>
      <c r="D1671" s="661"/>
      <c r="E1671" s="705"/>
      <c r="F1671" s="659"/>
      <c r="G1671" s="661"/>
      <c r="H1671" s="660"/>
      <c r="I1671" s="691"/>
      <c r="J1671" s="661"/>
      <c r="K1671" s="706"/>
      <c r="L1671" s="665"/>
      <c r="M1671" s="663"/>
      <c r="N1671" s="665"/>
      <c r="O1671" s="665"/>
      <c r="P1671" s="665"/>
      <c r="Q1671" s="665"/>
      <c r="R1671" s="665"/>
      <c r="S1671" s="665"/>
      <c r="T1671" s="673"/>
      <c r="U1671" s="673"/>
      <c r="V1671" s="673"/>
      <c r="W1671" s="673"/>
      <c r="X1671" s="673"/>
      <c r="Y1671" s="673"/>
      <c r="Z1671" s="673"/>
      <c r="AA1671" s="673"/>
      <c r="AB1671" s="673"/>
      <c r="AC1671" s="673"/>
      <c r="AD1671" s="673"/>
      <c r="AE1671" s="673"/>
      <c r="AF1671" s="673"/>
      <c r="AG1671" s="673"/>
      <c r="AH1671" s="673"/>
    </row>
    <row r="1672">
      <c r="A1672" s="653"/>
      <c r="B1672" s="654"/>
      <c r="C1672" s="691"/>
      <c r="D1672" s="661"/>
      <c r="E1672" s="705"/>
      <c r="F1672" s="659"/>
      <c r="G1672" s="661"/>
      <c r="H1672" s="660"/>
      <c r="I1672" s="691"/>
      <c r="J1672" s="661"/>
      <c r="K1672" s="706"/>
      <c r="L1672" s="665"/>
      <c r="M1672" s="663"/>
      <c r="N1672" s="665"/>
      <c r="O1672" s="665"/>
      <c r="P1672" s="665"/>
      <c r="Q1672" s="665"/>
      <c r="R1672" s="665"/>
      <c r="S1672" s="665"/>
      <c r="T1672" s="673"/>
      <c r="U1672" s="673"/>
      <c r="V1672" s="673"/>
      <c r="W1672" s="673"/>
      <c r="X1672" s="673"/>
      <c r="Y1672" s="673"/>
      <c r="Z1672" s="673"/>
      <c r="AA1672" s="673"/>
      <c r="AB1672" s="673"/>
      <c r="AC1672" s="673"/>
      <c r="AD1672" s="673"/>
      <c r="AE1672" s="673"/>
      <c r="AF1672" s="673"/>
      <c r="AG1672" s="673"/>
      <c r="AH1672" s="673"/>
    </row>
    <row r="1673">
      <c r="A1673" s="653"/>
      <c r="B1673" s="654"/>
      <c r="C1673" s="691"/>
      <c r="D1673" s="661"/>
      <c r="E1673" s="705"/>
      <c r="F1673" s="659"/>
      <c r="G1673" s="661"/>
      <c r="H1673" s="660"/>
      <c r="I1673" s="691"/>
      <c r="J1673" s="661"/>
      <c r="K1673" s="706"/>
      <c r="L1673" s="665"/>
      <c r="M1673" s="663"/>
      <c r="N1673" s="665"/>
      <c r="O1673" s="665"/>
      <c r="P1673" s="665"/>
      <c r="Q1673" s="665"/>
      <c r="R1673" s="665"/>
      <c r="S1673" s="665"/>
      <c r="T1673" s="673"/>
      <c r="U1673" s="673"/>
      <c r="V1673" s="673"/>
      <c r="W1673" s="673"/>
      <c r="X1673" s="673"/>
      <c r="Y1673" s="673"/>
      <c r="Z1673" s="673"/>
      <c r="AA1673" s="673"/>
      <c r="AB1673" s="673"/>
      <c r="AC1673" s="673"/>
      <c r="AD1673" s="673"/>
      <c r="AE1673" s="673"/>
      <c r="AF1673" s="673"/>
      <c r="AG1673" s="673"/>
      <c r="AH1673" s="673"/>
    </row>
    <row r="1674">
      <c r="A1674" s="653"/>
      <c r="B1674" s="654"/>
      <c r="C1674" s="691"/>
      <c r="D1674" s="661"/>
      <c r="E1674" s="705"/>
      <c r="F1674" s="659"/>
      <c r="G1674" s="661"/>
      <c r="H1674" s="660"/>
      <c r="I1674" s="691"/>
      <c r="J1674" s="661"/>
      <c r="K1674" s="706"/>
      <c r="L1674" s="665"/>
      <c r="M1674" s="663"/>
      <c r="N1674" s="665"/>
      <c r="O1674" s="665"/>
      <c r="P1674" s="665"/>
      <c r="Q1674" s="665"/>
      <c r="R1674" s="665"/>
      <c r="S1674" s="665"/>
      <c r="T1674" s="673"/>
      <c r="U1674" s="673"/>
      <c r="V1674" s="673"/>
      <c r="W1674" s="673"/>
      <c r="X1674" s="673"/>
      <c r="Y1674" s="673"/>
      <c r="Z1674" s="673"/>
      <c r="AA1674" s="673"/>
      <c r="AB1674" s="673"/>
      <c r="AC1674" s="673"/>
      <c r="AD1674" s="673"/>
      <c r="AE1674" s="673"/>
      <c r="AF1674" s="673"/>
      <c r="AG1674" s="673"/>
      <c r="AH1674" s="673"/>
    </row>
    <row r="1675">
      <c r="A1675" s="653"/>
      <c r="B1675" s="654"/>
      <c r="C1675" s="691"/>
      <c r="D1675" s="661"/>
      <c r="E1675" s="705"/>
      <c r="F1675" s="659"/>
      <c r="G1675" s="661"/>
      <c r="H1675" s="660"/>
      <c r="I1675" s="691"/>
      <c r="J1675" s="661"/>
      <c r="K1675" s="706"/>
      <c r="L1675" s="665"/>
      <c r="M1675" s="663"/>
      <c r="N1675" s="665"/>
      <c r="O1675" s="665"/>
      <c r="P1675" s="665"/>
      <c r="Q1675" s="665"/>
      <c r="R1675" s="665"/>
      <c r="S1675" s="665"/>
      <c r="T1675" s="673"/>
      <c r="U1675" s="673"/>
      <c r="V1675" s="673"/>
      <c r="W1675" s="673"/>
      <c r="X1675" s="673"/>
      <c r="Y1675" s="673"/>
      <c r="Z1675" s="673"/>
      <c r="AA1675" s="673"/>
      <c r="AB1675" s="673"/>
      <c r="AC1675" s="673"/>
      <c r="AD1675" s="673"/>
      <c r="AE1675" s="673"/>
      <c r="AF1675" s="673"/>
      <c r="AG1675" s="673"/>
      <c r="AH1675" s="673"/>
    </row>
    <row r="1676">
      <c r="A1676" s="653"/>
      <c r="B1676" s="654"/>
      <c r="C1676" s="691"/>
      <c r="D1676" s="661"/>
      <c r="E1676" s="705"/>
      <c r="F1676" s="659"/>
      <c r="G1676" s="661"/>
      <c r="H1676" s="660"/>
      <c r="I1676" s="691"/>
      <c r="J1676" s="661"/>
      <c r="K1676" s="706"/>
      <c r="L1676" s="665"/>
      <c r="M1676" s="663"/>
      <c r="N1676" s="665"/>
      <c r="O1676" s="665"/>
      <c r="P1676" s="665"/>
      <c r="Q1676" s="665"/>
      <c r="R1676" s="665"/>
      <c r="S1676" s="665"/>
      <c r="T1676" s="673"/>
      <c r="U1676" s="673"/>
      <c r="V1676" s="673"/>
      <c r="W1676" s="673"/>
      <c r="X1676" s="673"/>
      <c r="Y1676" s="673"/>
      <c r="Z1676" s="673"/>
      <c r="AA1676" s="673"/>
      <c r="AB1676" s="673"/>
      <c r="AC1676" s="673"/>
      <c r="AD1676" s="673"/>
      <c r="AE1676" s="673"/>
      <c r="AF1676" s="673"/>
      <c r="AG1676" s="673"/>
      <c r="AH1676" s="673"/>
    </row>
    <row r="1677">
      <c r="A1677" s="653"/>
      <c r="B1677" s="654"/>
      <c r="C1677" s="691"/>
      <c r="D1677" s="661"/>
      <c r="E1677" s="705"/>
      <c r="F1677" s="659"/>
      <c r="G1677" s="661"/>
      <c r="H1677" s="660"/>
      <c r="I1677" s="691"/>
      <c r="J1677" s="661"/>
      <c r="K1677" s="706"/>
      <c r="L1677" s="665"/>
      <c r="M1677" s="663"/>
      <c r="N1677" s="665"/>
      <c r="O1677" s="665"/>
      <c r="P1677" s="665"/>
      <c r="Q1677" s="665"/>
      <c r="R1677" s="665"/>
      <c r="S1677" s="665"/>
      <c r="T1677" s="673"/>
      <c r="U1677" s="673"/>
      <c r="V1677" s="673"/>
      <c r="W1677" s="673"/>
      <c r="X1677" s="673"/>
      <c r="Y1677" s="673"/>
      <c r="Z1677" s="673"/>
      <c r="AA1677" s="673"/>
      <c r="AB1677" s="673"/>
      <c r="AC1677" s="673"/>
      <c r="AD1677" s="673"/>
      <c r="AE1677" s="673"/>
      <c r="AF1677" s="673"/>
      <c r="AG1677" s="673"/>
      <c r="AH1677" s="673"/>
    </row>
    <row r="1678">
      <c r="A1678" s="653"/>
      <c r="B1678" s="654"/>
      <c r="C1678" s="691"/>
      <c r="D1678" s="661"/>
      <c r="E1678" s="705"/>
      <c r="F1678" s="659"/>
      <c r="G1678" s="661"/>
      <c r="H1678" s="660"/>
      <c r="I1678" s="691"/>
      <c r="J1678" s="661"/>
      <c r="K1678" s="706"/>
      <c r="L1678" s="665"/>
      <c r="M1678" s="663"/>
      <c r="N1678" s="665"/>
      <c r="O1678" s="665"/>
      <c r="P1678" s="665"/>
      <c r="Q1678" s="665"/>
      <c r="R1678" s="665"/>
      <c r="S1678" s="665"/>
      <c r="T1678" s="673"/>
      <c r="U1678" s="673"/>
      <c r="V1678" s="673"/>
      <c r="W1678" s="673"/>
      <c r="X1678" s="673"/>
      <c r="Y1678" s="673"/>
      <c r="Z1678" s="673"/>
      <c r="AA1678" s="673"/>
      <c r="AB1678" s="673"/>
      <c r="AC1678" s="673"/>
      <c r="AD1678" s="673"/>
      <c r="AE1678" s="673"/>
      <c r="AF1678" s="673"/>
      <c r="AG1678" s="673"/>
      <c r="AH1678" s="673"/>
    </row>
    <row r="1679">
      <c r="A1679" s="653"/>
      <c r="B1679" s="654"/>
      <c r="C1679" s="691"/>
      <c r="D1679" s="661"/>
      <c r="E1679" s="705"/>
      <c r="F1679" s="659"/>
      <c r="G1679" s="661"/>
      <c r="H1679" s="660"/>
      <c r="I1679" s="691"/>
      <c r="J1679" s="661"/>
      <c r="K1679" s="706"/>
      <c r="L1679" s="665"/>
      <c r="M1679" s="663"/>
      <c r="N1679" s="665"/>
      <c r="O1679" s="665"/>
      <c r="P1679" s="665"/>
      <c r="Q1679" s="665"/>
      <c r="R1679" s="665"/>
      <c r="S1679" s="665"/>
      <c r="T1679" s="673"/>
      <c r="U1679" s="673"/>
      <c r="V1679" s="673"/>
      <c r="W1679" s="673"/>
      <c r="X1679" s="673"/>
      <c r="Y1679" s="673"/>
      <c r="Z1679" s="673"/>
      <c r="AA1679" s="673"/>
      <c r="AB1679" s="673"/>
      <c r="AC1679" s="673"/>
      <c r="AD1679" s="673"/>
      <c r="AE1679" s="673"/>
      <c r="AF1679" s="673"/>
      <c r="AG1679" s="673"/>
      <c r="AH1679" s="673"/>
    </row>
    <row r="1680">
      <c r="A1680" s="653"/>
      <c r="B1680" s="654"/>
      <c r="C1680" s="691"/>
      <c r="D1680" s="661"/>
      <c r="E1680" s="705"/>
      <c r="F1680" s="659"/>
      <c r="G1680" s="661"/>
      <c r="H1680" s="660"/>
      <c r="I1680" s="691"/>
      <c r="J1680" s="661"/>
      <c r="K1680" s="706"/>
      <c r="L1680" s="665"/>
      <c r="M1680" s="663"/>
      <c r="N1680" s="665"/>
      <c r="O1680" s="665"/>
      <c r="P1680" s="665"/>
      <c r="Q1680" s="665"/>
      <c r="R1680" s="665"/>
      <c r="S1680" s="665"/>
      <c r="T1680" s="673"/>
      <c r="U1680" s="673"/>
      <c r="V1680" s="673"/>
      <c r="W1680" s="673"/>
      <c r="X1680" s="673"/>
      <c r="Y1680" s="673"/>
      <c r="Z1680" s="673"/>
      <c r="AA1680" s="673"/>
      <c r="AB1680" s="673"/>
      <c r="AC1680" s="673"/>
      <c r="AD1680" s="673"/>
      <c r="AE1680" s="673"/>
      <c r="AF1680" s="673"/>
      <c r="AG1680" s="673"/>
      <c r="AH1680" s="673"/>
    </row>
    <row r="1681">
      <c r="A1681" s="653"/>
      <c r="B1681" s="654"/>
      <c r="C1681" s="691"/>
      <c r="D1681" s="661"/>
      <c r="E1681" s="705"/>
      <c r="F1681" s="659"/>
      <c r="G1681" s="661"/>
      <c r="H1681" s="660"/>
      <c r="I1681" s="691"/>
      <c r="J1681" s="661"/>
      <c r="K1681" s="706"/>
      <c r="L1681" s="665"/>
      <c r="M1681" s="663"/>
      <c r="N1681" s="665"/>
      <c r="O1681" s="665"/>
      <c r="P1681" s="665"/>
      <c r="Q1681" s="665"/>
      <c r="R1681" s="665"/>
      <c r="S1681" s="665"/>
      <c r="T1681" s="673"/>
      <c r="U1681" s="673"/>
      <c r="V1681" s="673"/>
      <c r="W1681" s="673"/>
      <c r="X1681" s="673"/>
      <c r="Y1681" s="673"/>
      <c r="Z1681" s="673"/>
      <c r="AA1681" s="673"/>
      <c r="AB1681" s="673"/>
      <c r="AC1681" s="673"/>
      <c r="AD1681" s="673"/>
      <c r="AE1681" s="673"/>
      <c r="AF1681" s="673"/>
      <c r="AG1681" s="673"/>
      <c r="AH1681" s="673"/>
    </row>
    <row r="1682">
      <c r="A1682" s="653"/>
      <c r="B1682" s="654"/>
      <c r="C1682" s="691"/>
      <c r="D1682" s="661"/>
      <c r="E1682" s="705"/>
      <c r="F1682" s="659"/>
      <c r="G1682" s="661"/>
      <c r="H1682" s="660"/>
      <c r="I1682" s="691"/>
      <c r="J1682" s="661"/>
      <c r="K1682" s="706"/>
      <c r="L1682" s="665"/>
      <c r="M1682" s="663"/>
      <c r="N1682" s="665"/>
      <c r="O1682" s="665"/>
      <c r="P1682" s="665"/>
      <c r="Q1682" s="665"/>
      <c r="R1682" s="665"/>
      <c r="S1682" s="665"/>
      <c r="T1682" s="673"/>
      <c r="U1682" s="673"/>
      <c r="V1682" s="673"/>
      <c r="W1682" s="673"/>
      <c r="X1682" s="673"/>
      <c r="Y1682" s="673"/>
      <c r="Z1682" s="673"/>
      <c r="AA1682" s="673"/>
      <c r="AB1682" s="673"/>
      <c r="AC1682" s="673"/>
      <c r="AD1682" s="673"/>
      <c r="AE1682" s="673"/>
      <c r="AF1682" s="673"/>
      <c r="AG1682" s="673"/>
      <c r="AH1682" s="673"/>
    </row>
    <row r="1683">
      <c r="A1683" s="653"/>
      <c r="B1683" s="654"/>
      <c r="C1683" s="691"/>
      <c r="D1683" s="661"/>
      <c r="E1683" s="705"/>
      <c r="F1683" s="659"/>
      <c r="G1683" s="661"/>
      <c r="H1683" s="660"/>
      <c r="I1683" s="691"/>
      <c r="J1683" s="661"/>
      <c r="K1683" s="706"/>
      <c r="L1683" s="665"/>
      <c r="M1683" s="663"/>
      <c r="N1683" s="665"/>
      <c r="O1683" s="665"/>
      <c r="P1683" s="665"/>
      <c r="Q1683" s="665"/>
      <c r="R1683" s="665"/>
      <c r="S1683" s="665"/>
      <c r="T1683" s="673"/>
      <c r="U1683" s="673"/>
      <c r="V1683" s="673"/>
      <c r="W1683" s="673"/>
      <c r="X1683" s="673"/>
      <c r="Y1683" s="673"/>
      <c r="Z1683" s="673"/>
      <c r="AA1683" s="673"/>
      <c r="AB1683" s="673"/>
      <c r="AC1683" s="673"/>
      <c r="AD1683" s="673"/>
      <c r="AE1683" s="673"/>
      <c r="AF1683" s="673"/>
      <c r="AG1683" s="673"/>
      <c r="AH1683" s="673"/>
    </row>
    <row r="1684">
      <c r="A1684" s="653"/>
      <c r="B1684" s="654"/>
      <c r="C1684" s="691"/>
      <c r="D1684" s="661"/>
      <c r="E1684" s="705"/>
      <c r="F1684" s="659"/>
      <c r="G1684" s="661"/>
      <c r="H1684" s="660"/>
      <c r="I1684" s="691"/>
      <c r="J1684" s="661"/>
      <c r="K1684" s="706"/>
      <c r="L1684" s="665"/>
      <c r="M1684" s="663"/>
      <c r="N1684" s="665"/>
      <c r="O1684" s="665"/>
      <c r="P1684" s="665"/>
      <c r="Q1684" s="665"/>
      <c r="R1684" s="665"/>
      <c r="S1684" s="665"/>
      <c r="T1684" s="673"/>
      <c r="U1684" s="673"/>
      <c r="V1684" s="673"/>
      <c r="W1684" s="673"/>
      <c r="X1684" s="673"/>
      <c r="Y1684" s="673"/>
      <c r="Z1684" s="673"/>
      <c r="AA1684" s="673"/>
      <c r="AB1684" s="673"/>
      <c r="AC1684" s="673"/>
      <c r="AD1684" s="673"/>
      <c r="AE1684" s="673"/>
      <c r="AF1684" s="673"/>
      <c r="AG1684" s="673"/>
      <c r="AH1684" s="673"/>
    </row>
    <row r="1685">
      <c r="A1685" s="653"/>
      <c r="B1685" s="654"/>
      <c r="C1685" s="691"/>
      <c r="D1685" s="661"/>
      <c r="E1685" s="705"/>
      <c r="F1685" s="659"/>
      <c r="G1685" s="661"/>
      <c r="H1685" s="660"/>
      <c r="I1685" s="691"/>
      <c r="J1685" s="661"/>
      <c r="K1685" s="706"/>
      <c r="L1685" s="665"/>
      <c r="M1685" s="663"/>
      <c r="N1685" s="665"/>
      <c r="O1685" s="665"/>
      <c r="P1685" s="665"/>
      <c r="Q1685" s="665"/>
      <c r="R1685" s="665"/>
      <c r="S1685" s="665"/>
      <c r="T1685" s="673"/>
      <c r="U1685" s="673"/>
      <c r="V1685" s="673"/>
      <c r="W1685" s="673"/>
      <c r="X1685" s="673"/>
      <c r="Y1685" s="673"/>
      <c r="Z1685" s="673"/>
      <c r="AA1685" s="673"/>
      <c r="AB1685" s="673"/>
      <c r="AC1685" s="673"/>
      <c r="AD1685" s="673"/>
      <c r="AE1685" s="673"/>
      <c r="AF1685" s="673"/>
      <c r="AG1685" s="673"/>
      <c r="AH1685" s="673"/>
    </row>
    <row r="1686">
      <c r="A1686" s="653"/>
      <c r="B1686" s="654"/>
      <c r="C1686" s="691"/>
      <c r="D1686" s="661"/>
      <c r="E1686" s="705"/>
      <c r="F1686" s="659"/>
      <c r="G1686" s="661"/>
      <c r="H1686" s="660"/>
      <c r="I1686" s="691"/>
      <c r="J1686" s="661"/>
      <c r="K1686" s="706"/>
      <c r="L1686" s="665"/>
      <c r="M1686" s="663"/>
      <c r="N1686" s="665"/>
      <c r="O1686" s="665"/>
      <c r="P1686" s="665"/>
      <c r="Q1686" s="665"/>
      <c r="R1686" s="665"/>
      <c r="S1686" s="665"/>
      <c r="T1686" s="673"/>
      <c r="U1686" s="673"/>
      <c r="V1686" s="673"/>
      <c r="W1686" s="673"/>
      <c r="X1686" s="673"/>
      <c r="Y1686" s="673"/>
      <c r="Z1686" s="673"/>
      <c r="AA1686" s="673"/>
      <c r="AB1686" s="673"/>
      <c r="AC1686" s="673"/>
      <c r="AD1686" s="673"/>
      <c r="AE1686" s="673"/>
      <c r="AF1686" s="673"/>
      <c r="AG1686" s="673"/>
      <c r="AH1686" s="673"/>
    </row>
    <row r="1687">
      <c r="A1687" s="653"/>
      <c r="B1687" s="654"/>
      <c r="C1687" s="691"/>
      <c r="D1687" s="661"/>
      <c r="E1687" s="705"/>
      <c r="F1687" s="659"/>
      <c r="G1687" s="661"/>
      <c r="H1687" s="660"/>
      <c r="I1687" s="691"/>
      <c r="J1687" s="661"/>
      <c r="K1687" s="706"/>
      <c r="L1687" s="665"/>
      <c r="M1687" s="663"/>
      <c r="N1687" s="665"/>
      <c r="O1687" s="665"/>
      <c r="P1687" s="665"/>
      <c r="Q1687" s="665"/>
      <c r="R1687" s="665"/>
      <c r="S1687" s="665"/>
      <c r="T1687" s="673"/>
      <c r="U1687" s="673"/>
      <c r="V1687" s="673"/>
      <c r="W1687" s="673"/>
      <c r="X1687" s="673"/>
      <c r="Y1687" s="673"/>
      <c r="Z1687" s="673"/>
      <c r="AA1687" s="673"/>
      <c r="AB1687" s="673"/>
      <c r="AC1687" s="673"/>
      <c r="AD1687" s="673"/>
      <c r="AE1687" s="673"/>
      <c r="AF1687" s="673"/>
      <c r="AG1687" s="673"/>
      <c r="AH1687" s="673"/>
    </row>
    <row r="1688">
      <c r="A1688" s="653"/>
      <c r="B1688" s="654"/>
      <c r="C1688" s="691"/>
      <c r="D1688" s="661"/>
      <c r="E1688" s="705"/>
      <c r="F1688" s="659"/>
      <c r="G1688" s="661"/>
      <c r="H1688" s="660"/>
      <c r="I1688" s="691"/>
      <c r="J1688" s="661"/>
      <c r="K1688" s="706"/>
      <c r="L1688" s="665"/>
      <c r="M1688" s="663"/>
      <c r="N1688" s="665"/>
      <c r="O1688" s="665"/>
      <c r="P1688" s="665"/>
      <c r="Q1688" s="665"/>
      <c r="R1688" s="665"/>
      <c r="S1688" s="665"/>
      <c r="T1688" s="673"/>
      <c r="U1688" s="673"/>
      <c r="V1688" s="673"/>
      <c r="W1688" s="673"/>
      <c r="X1688" s="673"/>
      <c r="Y1688" s="673"/>
      <c r="Z1688" s="673"/>
      <c r="AA1688" s="673"/>
      <c r="AB1688" s="673"/>
      <c r="AC1688" s="673"/>
      <c r="AD1688" s="673"/>
      <c r="AE1688" s="673"/>
      <c r="AF1688" s="673"/>
      <c r="AG1688" s="673"/>
      <c r="AH1688" s="673"/>
    </row>
    <row r="1689">
      <c r="A1689" s="653"/>
      <c r="B1689" s="654"/>
      <c r="C1689" s="691"/>
      <c r="D1689" s="661"/>
      <c r="E1689" s="705"/>
      <c r="F1689" s="659"/>
      <c r="G1689" s="661"/>
      <c r="H1689" s="660"/>
      <c r="I1689" s="691"/>
      <c r="J1689" s="661"/>
      <c r="K1689" s="706"/>
      <c r="L1689" s="665"/>
      <c r="M1689" s="663"/>
      <c r="N1689" s="665"/>
      <c r="O1689" s="665"/>
      <c r="P1689" s="665"/>
      <c r="Q1689" s="665"/>
      <c r="R1689" s="665"/>
      <c r="S1689" s="665"/>
      <c r="T1689" s="673"/>
      <c r="U1689" s="673"/>
      <c r="V1689" s="673"/>
      <c r="W1689" s="673"/>
      <c r="X1689" s="673"/>
      <c r="Y1689" s="673"/>
      <c r="Z1689" s="673"/>
      <c r="AA1689" s="673"/>
      <c r="AB1689" s="673"/>
      <c r="AC1689" s="673"/>
      <c r="AD1689" s="673"/>
      <c r="AE1689" s="673"/>
      <c r="AF1689" s="673"/>
      <c r="AG1689" s="673"/>
      <c r="AH1689" s="673"/>
    </row>
    <row r="1690">
      <c r="A1690" s="653"/>
      <c r="B1690" s="654"/>
      <c r="C1690" s="691"/>
      <c r="D1690" s="661"/>
      <c r="E1690" s="705"/>
      <c r="F1690" s="659"/>
      <c r="G1690" s="661"/>
      <c r="H1690" s="660"/>
      <c r="I1690" s="691"/>
      <c r="J1690" s="661"/>
      <c r="K1690" s="706"/>
      <c r="L1690" s="665"/>
      <c r="M1690" s="663"/>
      <c r="N1690" s="665"/>
      <c r="O1690" s="665"/>
      <c r="P1690" s="665"/>
      <c r="Q1690" s="665"/>
      <c r="R1690" s="665"/>
      <c r="S1690" s="665"/>
      <c r="T1690" s="673"/>
      <c r="U1690" s="673"/>
      <c r="V1690" s="673"/>
      <c r="W1690" s="673"/>
      <c r="X1690" s="673"/>
      <c r="Y1690" s="673"/>
      <c r="Z1690" s="673"/>
      <c r="AA1690" s="673"/>
      <c r="AB1690" s="673"/>
      <c r="AC1690" s="673"/>
      <c r="AD1690" s="673"/>
      <c r="AE1690" s="673"/>
      <c r="AF1690" s="673"/>
      <c r="AG1690" s="673"/>
      <c r="AH1690" s="673"/>
    </row>
    <row r="1691">
      <c r="A1691" s="653"/>
      <c r="B1691" s="654"/>
      <c r="C1691" s="691"/>
      <c r="D1691" s="661"/>
      <c r="E1691" s="705"/>
      <c r="F1691" s="659"/>
      <c r="G1691" s="661"/>
      <c r="H1691" s="660"/>
      <c r="I1691" s="691"/>
      <c r="J1691" s="661"/>
      <c r="K1691" s="706"/>
      <c r="L1691" s="665"/>
      <c r="M1691" s="663"/>
      <c r="N1691" s="665"/>
      <c r="O1691" s="665"/>
      <c r="P1691" s="665"/>
      <c r="Q1691" s="665"/>
      <c r="R1691" s="665"/>
      <c r="S1691" s="665"/>
      <c r="T1691" s="673"/>
      <c r="U1691" s="673"/>
      <c r="V1691" s="673"/>
      <c r="W1691" s="673"/>
      <c r="X1691" s="673"/>
      <c r="Y1691" s="673"/>
      <c r="Z1691" s="673"/>
      <c r="AA1691" s="673"/>
      <c r="AB1691" s="673"/>
      <c r="AC1691" s="673"/>
      <c r="AD1691" s="673"/>
      <c r="AE1691" s="673"/>
      <c r="AF1691" s="673"/>
      <c r="AG1691" s="673"/>
      <c r="AH1691" s="673"/>
    </row>
    <row r="1692">
      <c r="A1692" s="653"/>
      <c r="B1692" s="654"/>
      <c r="C1692" s="691"/>
      <c r="D1692" s="661"/>
      <c r="E1692" s="705"/>
      <c r="F1692" s="659"/>
      <c r="G1692" s="661"/>
      <c r="H1692" s="660"/>
      <c r="I1692" s="691"/>
      <c r="J1692" s="661"/>
      <c r="K1692" s="706"/>
      <c r="L1692" s="665"/>
      <c r="M1692" s="663"/>
      <c r="N1692" s="665"/>
      <c r="O1692" s="665"/>
      <c r="P1692" s="665"/>
      <c r="Q1692" s="665"/>
      <c r="R1692" s="665"/>
      <c r="S1692" s="665"/>
      <c r="T1692" s="673"/>
      <c r="U1692" s="673"/>
      <c r="V1692" s="673"/>
      <c r="W1692" s="673"/>
      <c r="X1692" s="673"/>
      <c r="Y1692" s="673"/>
      <c r="Z1692" s="673"/>
      <c r="AA1692" s="673"/>
      <c r="AB1692" s="673"/>
      <c r="AC1692" s="673"/>
      <c r="AD1692" s="673"/>
      <c r="AE1692" s="673"/>
      <c r="AF1692" s="673"/>
      <c r="AG1692" s="673"/>
      <c r="AH1692" s="673"/>
    </row>
    <row r="1693">
      <c r="A1693" s="653"/>
      <c r="B1693" s="654"/>
      <c r="C1693" s="691"/>
      <c r="D1693" s="661"/>
      <c r="E1693" s="705"/>
      <c r="F1693" s="659"/>
      <c r="G1693" s="661"/>
      <c r="H1693" s="660"/>
      <c r="I1693" s="691"/>
      <c r="J1693" s="661"/>
      <c r="K1693" s="706"/>
      <c r="L1693" s="665"/>
      <c r="M1693" s="663"/>
      <c r="N1693" s="665"/>
      <c r="O1693" s="665"/>
      <c r="P1693" s="665"/>
      <c r="Q1693" s="665"/>
      <c r="R1693" s="665"/>
      <c r="S1693" s="665"/>
      <c r="T1693" s="673"/>
      <c r="U1693" s="673"/>
      <c r="V1693" s="673"/>
      <c r="W1693" s="673"/>
      <c r="X1693" s="673"/>
      <c r="Y1693" s="673"/>
      <c r="Z1693" s="673"/>
      <c r="AA1693" s="673"/>
      <c r="AB1693" s="673"/>
      <c r="AC1693" s="673"/>
      <c r="AD1693" s="673"/>
      <c r="AE1693" s="673"/>
      <c r="AF1693" s="673"/>
      <c r="AG1693" s="673"/>
      <c r="AH1693" s="673"/>
    </row>
    <row r="1694">
      <c r="A1694" s="653"/>
      <c r="B1694" s="654"/>
      <c r="C1694" s="691"/>
      <c r="D1694" s="661"/>
      <c r="E1694" s="705"/>
      <c r="F1694" s="659"/>
      <c r="G1694" s="661"/>
      <c r="H1694" s="660"/>
      <c r="I1694" s="691"/>
      <c r="J1694" s="661"/>
      <c r="K1694" s="706"/>
      <c r="L1694" s="665"/>
      <c r="M1694" s="663"/>
      <c r="N1694" s="665"/>
      <c r="O1694" s="665"/>
      <c r="P1694" s="665"/>
      <c r="Q1694" s="665"/>
      <c r="R1694" s="665"/>
      <c r="S1694" s="665"/>
      <c r="T1694" s="673"/>
      <c r="U1694" s="673"/>
      <c r="V1694" s="673"/>
      <c r="W1694" s="673"/>
      <c r="X1694" s="673"/>
      <c r="Y1694" s="673"/>
      <c r="Z1694" s="673"/>
      <c r="AA1694" s="673"/>
      <c r="AB1694" s="673"/>
      <c r="AC1694" s="673"/>
      <c r="AD1694" s="673"/>
      <c r="AE1694" s="673"/>
      <c r="AF1694" s="673"/>
      <c r="AG1694" s="673"/>
      <c r="AH1694" s="673"/>
    </row>
    <row r="1695">
      <c r="A1695" s="653"/>
      <c r="B1695" s="654"/>
      <c r="C1695" s="691"/>
      <c r="D1695" s="661"/>
      <c r="E1695" s="705"/>
      <c r="F1695" s="659"/>
      <c r="G1695" s="661"/>
      <c r="H1695" s="660"/>
      <c r="I1695" s="691"/>
      <c r="J1695" s="661"/>
      <c r="K1695" s="706"/>
      <c r="L1695" s="665"/>
      <c r="M1695" s="663"/>
      <c r="N1695" s="665"/>
      <c r="O1695" s="665"/>
      <c r="P1695" s="665"/>
      <c r="Q1695" s="665"/>
      <c r="R1695" s="665"/>
      <c r="S1695" s="665"/>
      <c r="T1695" s="673"/>
      <c r="U1695" s="673"/>
      <c r="V1695" s="673"/>
      <c r="W1695" s="673"/>
      <c r="X1695" s="673"/>
      <c r="Y1695" s="673"/>
      <c r="Z1695" s="673"/>
      <c r="AA1695" s="673"/>
      <c r="AB1695" s="673"/>
      <c r="AC1695" s="673"/>
      <c r="AD1695" s="673"/>
      <c r="AE1695" s="673"/>
      <c r="AF1695" s="673"/>
      <c r="AG1695" s="673"/>
      <c r="AH1695" s="673"/>
    </row>
    <row r="1696">
      <c r="A1696" s="653"/>
      <c r="B1696" s="654"/>
      <c r="C1696" s="691"/>
      <c r="D1696" s="661"/>
      <c r="E1696" s="705"/>
      <c r="F1696" s="659"/>
      <c r="G1696" s="661"/>
      <c r="H1696" s="660"/>
      <c r="I1696" s="691"/>
      <c r="J1696" s="661"/>
      <c r="K1696" s="706"/>
      <c r="L1696" s="665"/>
      <c r="M1696" s="663"/>
      <c r="N1696" s="665"/>
      <c r="O1696" s="665"/>
      <c r="P1696" s="665"/>
      <c r="Q1696" s="665"/>
      <c r="R1696" s="665"/>
      <c r="S1696" s="665"/>
      <c r="T1696" s="673"/>
      <c r="U1696" s="673"/>
      <c r="V1696" s="673"/>
      <c r="W1696" s="673"/>
      <c r="X1696" s="673"/>
      <c r="Y1696" s="673"/>
      <c r="Z1696" s="673"/>
      <c r="AA1696" s="673"/>
      <c r="AB1696" s="673"/>
      <c r="AC1696" s="673"/>
      <c r="AD1696" s="673"/>
      <c r="AE1696" s="673"/>
      <c r="AF1696" s="673"/>
      <c r="AG1696" s="673"/>
      <c r="AH1696" s="673"/>
    </row>
    <row r="1697">
      <c r="A1697" s="653"/>
      <c r="B1697" s="654"/>
      <c r="C1697" s="691"/>
      <c r="D1697" s="661"/>
      <c r="E1697" s="705"/>
      <c r="F1697" s="659"/>
      <c r="G1697" s="661"/>
      <c r="H1697" s="660"/>
      <c r="I1697" s="691"/>
      <c r="J1697" s="661"/>
      <c r="K1697" s="706"/>
      <c r="L1697" s="665"/>
      <c r="M1697" s="663"/>
      <c r="N1697" s="665"/>
      <c r="O1697" s="665"/>
      <c r="P1697" s="665"/>
      <c r="Q1697" s="665"/>
      <c r="R1697" s="665"/>
      <c r="S1697" s="665"/>
      <c r="T1697" s="673"/>
      <c r="U1697" s="673"/>
      <c r="V1697" s="673"/>
      <c r="W1697" s="673"/>
      <c r="X1697" s="673"/>
      <c r="Y1697" s="673"/>
      <c r="Z1697" s="673"/>
      <c r="AA1697" s="673"/>
      <c r="AB1697" s="673"/>
      <c r="AC1697" s="673"/>
      <c r="AD1697" s="673"/>
      <c r="AE1697" s="673"/>
      <c r="AF1697" s="673"/>
      <c r="AG1697" s="673"/>
      <c r="AH1697" s="673"/>
    </row>
    <row r="1698">
      <c r="A1698" s="653"/>
      <c r="B1698" s="654"/>
      <c r="C1698" s="691"/>
      <c r="D1698" s="661"/>
      <c r="E1698" s="705"/>
      <c r="F1698" s="659"/>
      <c r="G1698" s="661"/>
      <c r="H1698" s="660"/>
      <c r="I1698" s="691"/>
      <c r="J1698" s="661"/>
      <c r="K1698" s="706"/>
      <c r="L1698" s="665"/>
      <c r="M1698" s="663"/>
      <c r="N1698" s="665"/>
      <c r="O1698" s="665"/>
      <c r="P1698" s="665"/>
      <c r="Q1698" s="665"/>
      <c r="R1698" s="665"/>
      <c r="S1698" s="665"/>
      <c r="T1698" s="673"/>
      <c r="U1698" s="673"/>
      <c r="V1698" s="673"/>
      <c r="W1698" s="673"/>
      <c r="X1698" s="673"/>
      <c r="Y1698" s="673"/>
      <c r="Z1698" s="673"/>
      <c r="AA1698" s="673"/>
      <c r="AB1698" s="673"/>
      <c r="AC1698" s="673"/>
      <c r="AD1698" s="673"/>
      <c r="AE1698" s="673"/>
      <c r="AF1698" s="673"/>
      <c r="AG1698" s="673"/>
      <c r="AH1698" s="673"/>
    </row>
    <row r="1699">
      <c r="A1699" s="653"/>
      <c r="B1699" s="654"/>
      <c r="C1699" s="691"/>
      <c r="D1699" s="661"/>
      <c r="E1699" s="705"/>
      <c r="F1699" s="659"/>
      <c r="G1699" s="661"/>
      <c r="H1699" s="660"/>
      <c r="I1699" s="691"/>
      <c r="J1699" s="661"/>
      <c r="K1699" s="706"/>
      <c r="L1699" s="665"/>
      <c r="M1699" s="663"/>
      <c r="N1699" s="665"/>
      <c r="O1699" s="665"/>
      <c r="P1699" s="665"/>
      <c r="Q1699" s="665"/>
      <c r="R1699" s="665"/>
      <c r="S1699" s="665"/>
      <c r="T1699" s="673"/>
      <c r="U1699" s="673"/>
      <c r="V1699" s="673"/>
      <c r="W1699" s="673"/>
      <c r="X1699" s="673"/>
      <c r="Y1699" s="673"/>
      <c r="Z1699" s="673"/>
      <c r="AA1699" s="673"/>
      <c r="AB1699" s="673"/>
      <c r="AC1699" s="673"/>
      <c r="AD1699" s="673"/>
      <c r="AE1699" s="673"/>
      <c r="AF1699" s="673"/>
      <c r="AG1699" s="673"/>
      <c r="AH1699" s="673"/>
    </row>
    <row r="1700">
      <c r="A1700" s="653"/>
      <c r="B1700" s="654"/>
      <c r="C1700" s="691"/>
      <c r="D1700" s="661"/>
      <c r="E1700" s="705"/>
      <c r="F1700" s="659"/>
      <c r="G1700" s="661"/>
      <c r="H1700" s="660"/>
      <c r="I1700" s="691"/>
      <c r="J1700" s="661"/>
      <c r="K1700" s="706"/>
      <c r="L1700" s="665"/>
      <c r="M1700" s="663"/>
      <c r="N1700" s="665"/>
      <c r="O1700" s="665"/>
      <c r="P1700" s="665"/>
      <c r="Q1700" s="665"/>
      <c r="R1700" s="665"/>
      <c r="S1700" s="665"/>
      <c r="T1700" s="673"/>
      <c r="U1700" s="673"/>
      <c r="V1700" s="673"/>
      <c r="W1700" s="673"/>
      <c r="X1700" s="673"/>
      <c r="Y1700" s="673"/>
      <c r="Z1700" s="673"/>
      <c r="AA1700" s="673"/>
      <c r="AB1700" s="673"/>
      <c r="AC1700" s="673"/>
      <c r="AD1700" s="673"/>
      <c r="AE1700" s="673"/>
      <c r="AF1700" s="673"/>
      <c r="AG1700" s="673"/>
      <c r="AH1700" s="673"/>
    </row>
    <row r="1701">
      <c r="A1701" s="653"/>
      <c r="B1701" s="654"/>
      <c r="C1701" s="691"/>
      <c r="D1701" s="661"/>
      <c r="E1701" s="705"/>
      <c r="F1701" s="659"/>
      <c r="G1701" s="661"/>
      <c r="H1701" s="660"/>
      <c r="I1701" s="691"/>
      <c r="J1701" s="661"/>
      <c r="K1701" s="706"/>
      <c r="L1701" s="665"/>
      <c r="M1701" s="663"/>
      <c r="N1701" s="665"/>
      <c r="O1701" s="665"/>
      <c r="P1701" s="665"/>
      <c r="Q1701" s="665"/>
      <c r="R1701" s="665"/>
      <c r="S1701" s="665"/>
      <c r="T1701" s="673"/>
      <c r="U1701" s="673"/>
      <c r="V1701" s="673"/>
      <c r="W1701" s="673"/>
      <c r="X1701" s="673"/>
      <c r="Y1701" s="673"/>
      <c r="Z1701" s="673"/>
      <c r="AA1701" s="673"/>
      <c r="AB1701" s="673"/>
      <c r="AC1701" s="673"/>
      <c r="AD1701" s="673"/>
      <c r="AE1701" s="673"/>
      <c r="AF1701" s="673"/>
      <c r="AG1701" s="673"/>
      <c r="AH1701" s="673"/>
    </row>
    <row r="1702">
      <c r="A1702" s="653"/>
      <c r="B1702" s="654"/>
      <c r="C1702" s="691"/>
      <c r="D1702" s="661"/>
      <c r="E1702" s="705"/>
      <c r="F1702" s="659"/>
      <c r="G1702" s="661"/>
      <c r="H1702" s="660"/>
      <c r="I1702" s="691"/>
      <c r="J1702" s="661"/>
      <c r="K1702" s="706"/>
      <c r="L1702" s="665"/>
      <c r="M1702" s="663"/>
      <c r="N1702" s="665"/>
      <c r="O1702" s="665"/>
      <c r="P1702" s="665"/>
      <c r="Q1702" s="665"/>
      <c r="R1702" s="665"/>
      <c r="S1702" s="665"/>
      <c r="T1702" s="673"/>
      <c r="U1702" s="673"/>
      <c r="V1702" s="673"/>
      <c r="W1702" s="673"/>
      <c r="X1702" s="673"/>
      <c r="Y1702" s="673"/>
      <c r="Z1702" s="673"/>
      <c r="AA1702" s="673"/>
      <c r="AB1702" s="673"/>
      <c r="AC1702" s="673"/>
      <c r="AD1702" s="673"/>
      <c r="AE1702" s="673"/>
      <c r="AF1702" s="673"/>
      <c r="AG1702" s="673"/>
      <c r="AH1702" s="673"/>
    </row>
    <row r="1703">
      <c r="A1703" s="653"/>
      <c r="B1703" s="654"/>
      <c r="C1703" s="691"/>
      <c r="D1703" s="661"/>
      <c r="E1703" s="705"/>
      <c r="F1703" s="659"/>
      <c r="G1703" s="661"/>
      <c r="H1703" s="660"/>
      <c r="I1703" s="691"/>
      <c r="J1703" s="661"/>
      <c r="K1703" s="706"/>
      <c r="L1703" s="665"/>
      <c r="M1703" s="663"/>
      <c r="N1703" s="665"/>
      <c r="O1703" s="665"/>
      <c r="P1703" s="665"/>
      <c r="Q1703" s="665"/>
      <c r="R1703" s="665"/>
      <c r="S1703" s="665"/>
      <c r="T1703" s="673"/>
      <c r="U1703" s="673"/>
      <c r="V1703" s="673"/>
      <c r="W1703" s="673"/>
      <c r="X1703" s="673"/>
      <c r="Y1703" s="673"/>
      <c r="Z1703" s="673"/>
      <c r="AA1703" s="673"/>
      <c r="AB1703" s="673"/>
      <c r="AC1703" s="673"/>
      <c r="AD1703" s="673"/>
      <c r="AE1703" s="673"/>
      <c r="AF1703" s="673"/>
      <c r="AG1703" s="673"/>
      <c r="AH1703" s="673"/>
    </row>
    <row r="1704">
      <c r="A1704" s="653"/>
      <c r="B1704" s="654"/>
      <c r="C1704" s="691"/>
      <c r="D1704" s="661"/>
      <c r="E1704" s="705"/>
      <c r="F1704" s="659"/>
      <c r="G1704" s="661"/>
      <c r="H1704" s="660"/>
      <c r="I1704" s="691"/>
      <c r="J1704" s="661"/>
      <c r="K1704" s="706"/>
      <c r="L1704" s="665"/>
      <c r="M1704" s="663"/>
      <c r="N1704" s="665"/>
      <c r="O1704" s="665"/>
      <c r="P1704" s="665"/>
      <c r="Q1704" s="665"/>
      <c r="R1704" s="665"/>
      <c r="S1704" s="665"/>
      <c r="T1704" s="673"/>
      <c r="U1704" s="673"/>
      <c r="V1704" s="673"/>
      <c r="W1704" s="673"/>
      <c r="X1704" s="673"/>
      <c r="Y1704" s="673"/>
      <c r="Z1704" s="673"/>
      <c r="AA1704" s="673"/>
      <c r="AB1704" s="673"/>
      <c r="AC1704" s="673"/>
      <c r="AD1704" s="673"/>
      <c r="AE1704" s="673"/>
      <c r="AF1704" s="673"/>
      <c r="AG1704" s="673"/>
      <c r="AH1704" s="673"/>
    </row>
    <row r="1705">
      <c r="A1705" s="653"/>
      <c r="B1705" s="654"/>
      <c r="C1705" s="691"/>
      <c r="D1705" s="661"/>
      <c r="E1705" s="705"/>
      <c r="F1705" s="659"/>
      <c r="G1705" s="661"/>
      <c r="H1705" s="660"/>
      <c r="I1705" s="691"/>
      <c r="J1705" s="661"/>
      <c r="K1705" s="706"/>
      <c r="L1705" s="665"/>
      <c r="M1705" s="663"/>
      <c r="N1705" s="665"/>
      <c r="O1705" s="665"/>
      <c r="P1705" s="665"/>
      <c r="Q1705" s="665"/>
      <c r="R1705" s="665"/>
      <c r="S1705" s="665"/>
      <c r="T1705" s="673"/>
      <c r="U1705" s="673"/>
      <c r="V1705" s="673"/>
      <c r="W1705" s="673"/>
      <c r="X1705" s="673"/>
      <c r="Y1705" s="673"/>
      <c r="Z1705" s="673"/>
      <c r="AA1705" s="673"/>
      <c r="AB1705" s="673"/>
      <c r="AC1705" s="673"/>
      <c r="AD1705" s="673"/>
      <c r="AE1705" s="673"/>
      <c r="AF1705" s="673"/>
      <c r="AG1705" s="673"/>
      <c r="AH1705" s="673"/>
    </row>
    <row r="1706">
      <c r="A1706" s="653"/>
      <c r="B1706" s="654"/>
      <c r="C1706" s="691"/>
      <c r="D1706" s="661"/>
      <c r="E1706" s="705"/>
      <c r="F1706" s="659"/>
      <c r="G1706" s="661"/>
      <c r="H1706" s="660"/>
      <c r="I1706" s="691"/>
      <c r="J1706" s="661"/>
      <c r="K1706" s="706"/>
      <c r="L1706" s="665"/>
      <c r="M1706" s="663"/>
      <c r="N1706" s="665"/>
      <c r="O1706" s="665"/>
      <c r="P1706" s="665"/>
      <c r="Q1706" s="665"/>
      <c r="R1706" s="665"/>
      <c r="S1706" s="665"/>
      <c r="T1706" s="673"/>
      <c r="U1706" s="673"/>
      <c r="V1706" s="673"/>
      <c r="W1706" s="673"/>
      <c r="X1706" s="673"/>
      <c r="Y1706" s="673"/>
      <c r="Z1706" s="673"/>
      <c r="AA1706" s="673"/>
      <c r="AB1706" s="673"/>
      <c r="AC1706" s="673"/>
      <c r="AD1706" s="673"/>
      <c r="AE1706" s="673"/>
      <c r="AF1706" s="673"/>
      <c r="AG1706" s="673"/>
      <c r="AH1706" s="673"/>
    </row>
    <row r="1707">
      <c r="A1707" s="653"/>
      <c r="B1707" s="654"/>
      <c r="C1707" s="691"/>
      <c r="D1707" s="661"/>
      <c r="E1707" s="705"/>
      <c r="F1707" s="659"/>
      <c r="G1707" s="661"/>
      <c r="H1707" s="660"/>
      <c r="I1707" s="691"/>
      <c r="J1707" s="661"/>
      <c r="K1707" s="706"/>
      <c r="L1707" s="665"/>
      <c r="M1707" s="663"/>
      <c r="N1707" s="665"/>
      <c r="O1707" s="665"/>
      <c r="P1707" s="665"/>
      <c r="Q1707" s="665"/>
      <c r="R1707" s="665"/>
      <c r="S1707" s="665"/>
      <c r="T1707" s="673"/>
      <c r="U1707" s="673"/>
      <c r="V1707" s="673"/>
      <c r="W1707" s="673"/>
      <c r="X1707" s="673"/>
      <c r="Y1707" s="673"/>
      <c r="Z1707" s="673"/>
      <c r="AA1707" s="673"/>
      <c r="AB1707" s="673"/>
      <c r="AC1707" s="673"/>
      <c r="AD1707" s="673"/>
      <c r="AE1707" s="673"/>
      <c r="AF1707" s="673"/>
      <c r="AG1707" s="673"/>
      <c r="AH1707" s="673"/>
    </row>
    <row r="1708">
      <c r="A1708" s="653"/>
      <c r="B1708" s="654"/>
      <c r="C1708" s="691"/>
      <c r="D1708" s="661"/>
      <c r="E1708" s="705"/>
      <c r="F1708" s="659"/>
      <c r="G1708" s="661"/>
      <c r="H1708" s="660"/>
      <c r="I1708" s="691"/>
      <c r="J1708" s="661"/>
      <c r="K1708" s="706"/>
      <c r="L1708" s="665"/>
      <c r="M1708" s="663"/>
      <c r="N1708" s="665"/>
      <c r="O1708" s="665"/>
      <c r="P1708" s="665"/>
      <c r="Q1708" s="665"/>
      <c r="R1708" s="665"/>
      <c r="S1708" s="665"/>
      <c r="T1708" s="673"/>
      <c r="U1708" s="673"/>
      <c r="V1708" s="673"/>
      <c r="W1708" s="673"/>
      <c r="X1708" s="673"/>
      <c r="Y1708" s="673"/>
      <c r="Z1708" s="673"/>
      <c r="AA1708" s="673"/>
      <c r="AB1708" s="673"/>
      <c r="AC1708" s="673"/>
      <c r="AD1708" s="673"/>
      <c r="AE1708" s="673"/>
      <c r="AF1708" s="673"/>
      <c r="AG1708" s="673"/>
      <c r="AH1708" s="673"/>
    </row>
    <row r="1709">
      <c r="A1709" s="653"/>
      <c r="B1709" s="654"/>
      <c r="C1709" s="691"/>
      <c r="D1709" s="661"/>
      <c r="E1709" s="705"/>
      <c r="F1709" s="659"/>
      <c r="G1709" s="661"/>
      <c r="H1709" s="660"/>
      <c r="I1709" s="691"/>
      <c r="J1709" s="661"/>
      <c r="K1709" s="706"/>
      <c r="L1709" s="665"/>
      <c r="M1709" s="663"/>
      <c r="N1709" s="665"/>
      <c r="O1709" s="665"/>
      <c r="P1709" s="665"/>
      <c r="Q1709" s="665"/>
      <c r="R1709" s="665"/>
      <c r="S1709" s="665"/>
      <c r="T1709" s="673"/>
      <c r="U1709" s="673"/>
      <c r="V1709" s="673"/>
      <c r="W1709" s="673"/>
      <c r="X1709" s="673"/>
      <c r="Y1709" s="673"/>
      <c r="Z1709" s="673"/>
      <c r="AA1709" s="673"/>
      <c r="AB1709" s="673"/>
      <c r="AC1709" s="673"/>
      <c r="AD1709" s="673"/>
      <c r="AE1709" s="673"/>
      <c r="AF1709" s="673"/>
      <c r="AG1709" s="673"/>
      <c r="AH1709" s="673"/>
    </row>
    <row r="1710">
      <c r="A1710" s="653"/>
      <c r="B1710" s="654"/>
      <c r="C1710" s="691"/>
      <c r="D1710" s="661"/>
      <c r="E1710" s="705"/>
      <c r="F1710" s="659"/>
      <c r="G1710" s="661"/>
      <c r="H1710" s="660"/>
      <c r="I1710" s="691"/>
      <c r="J1710" s="661"/>
      <c r="K1710" s="706"/>
      <c r="L1710" s="665"/>
      <c r="M1710" s="663"/>
      <c r="N1710" s="665"/>
      <c r="O1710" s="665"/>
      <c r="P1710" s="665"/>
      <c r="Q1710" s="665"/>
      <c r="R1710" s="665"/>
      <c r="S1710" s="665"/>
      <c r="T1710" s="673"/>
      <c r="U1710" s="673"/>
      <c r="V1710" s="673"/>
      <c r="W1710" s="673"/>
      <c r="X1710" s="673"/>
      <c r="Y1710" s="673"/>
      <c r="Z1710" s="673"/>
      <c r="AA1710" s="673"/>
      <c r="AB1710" s="673"/>
      <c r="AC1710" s="673"/>
      <c r="AD1710" s="673"/>
      <c r="AE1710" s="673"/>
      <c r="AF1710" s="673"/>
      <c r="AG1710" s="673"/>
      <c r="AH1710" s="673"/>
    </row>
    <row r="1711">
      <c r="A1711" s="653"/>
      <c r="B1711" s="654"/>
      <c r="C1711" s="691"/>
      <c r="D1711" s="661"/>
      <c r="E1711" s="705"/>
      <c r="F1711" s="659"/>
      <c r="G1711" s="661"/>
      <c r="H1711" s="660"/>
      <c r="I1711" s="691"/>
      <c r="J1711" s="661"/>
      <c r="K1711" s="706"/>
      <c r="L1711" s="665"/>
      <c r="M1711" s="663"/>
      <c r="N1711" s="665"/>
      <c r="O1711" s="665"/>
      <c r="P1711" s="665"/>
      <c r="Q1711" s="665"/>
      <c r="R1711" s="665"/>
      <c r="S1711" s="665"/>
      <c r="T1711" s="673"/>
      <c r="U1711" s="673"/>
      <c r="V1711" s="673"/>
      <c r="W1711" s="673"/>
      <c r="X1711" s="673"/>
      <c r="Y1711" s="673"/>
      <c r="Z1711" s="673"/>
      <c r="AA1711" s="673"/>
      <c r="AB1711" s="673"/>
      <c r="AC1711" s="673"/>
      <c r="AD1711" s="673"/>
      <c r="AE1711" s="673"/>
      <c r="AF1711" s="673"/>
      <c r="AG1711" s="673"/>
      <c r="AH1711" s="673"/>
    </row>
    <row r="1712">
      <c r="A1712" s="653"/>
      <c r="B1712" s="654"/>
      <c r="C1712" s="691"/>
      <c r="D1712" s="661"/>
      <c r="E1712" s="705"/>
      <c r="F1712" s="659"/>
      <c r="G1712" s="661"/>
      <c r="H1712" s="660"/>
      <c r="I1712" s="691"/>
      <c r="J1712" s="661"/>
      <c r="K1712" s="706"/>
      <c r="L1712" s="665"/>
      <c r="M1712" s="663"/>
      <c r="N1712" s="665"/>
      <c r="O1712" s="665"/>
      <c r="P1712" s="665"/>
      <c r="Q1712" s="665"/>
      <c r="R1712" s="665"/>
      <c r="S1712" s="665"/>
      <c r="T1712" s="673"/>
      <c r="U1712" s="673"/>
      <c r="V1712" s="673"/>
      <c r="W1712" s="673"/>
      <c r="X1712" s="673"/>
      <c r="Y1712" s="673"/>
      <c r="Z1712" s="673"/>
      <c r="AA1712" s="673"/>
      <c r="AB1712" s="673"/>
      <c r="AC1712" s="673"/>
      <c r="AD1712" s="673"/>
      <c r="AE1712" s="673"/>
      <c r="AF1712" s="673"/>
      <c r="AG1712" s="673"/>
      <c r="AH1712" s="673"/>
    </row>
    <row r="1713">
      <c r="A1713" s="653"/>
      <c r="B1713" s="654"/>
      <c r="C1713" s="691"/>
      <c r="D1713" s="661"/>
      <c r="E1713" s="705"/>
      <c r="F1713" s="659"/>
      <c r="G1713" s="661"/>
      <c r="H1713" s="660"/>
      <c r="I1713" s="691"/>
      <c r="J1713" s="661"/>
      <c r="K1713" s="706"/>
      <c r="L1713" s="665"/>
      <c r="M1713" s="663"/>
      <c r="N1713" s="665"/>
      <c r="O1713" s="665"/>
      <c r="P1713" s="665"/>
      <c r="Q1713" s="665"/>
      <c r="R1713" s="665"/>
      <c r="S1713" s="665"/>
      <c r="T1713" s="673"/>
      <c r="U1713" s="673"/>
      <c r="V1713" s="673"/>
      <c r="W1713" s="673"/>
      <c r="X1713" s="673"/>
      <c r="Y1713" s="673"/>
      <c r="Z1713" s="673"/>
      <c r="AA1713" s="673"/>
      <c r="AB1713" s="673"/>
      <c r="AC1713" s="673"/>
      <c r="AD1713" s="673"/>
      <c r="AE1713" s="673"/>
      <c r="AF1713" s="673"/>
      <c r="AG1713" s="673"/>
      <c r="AH1713" s="673"/>
    </row>
    <row r="1714">
      <c r="A1714" s="653"/>
      <c r="B1714" s="654"/>
      <c r="C1714" s="691"/>
      <c r="D1714" s="661"/>
      <c r="E1714" s="705"/>
      <c r="F1714" s="659"/>
      <c r="G1714" s="661"/>
      <c r="H1714" s="660"/>
      <c r="I1714" s="691"/>
      <c r="J1714" s="661"/>
      <c r="K1714" s="706"/>
      <c r="L1714" s="665"/>
      <c r="M1714" s="663"/>
      <c r="N1714" s="665"/>
      <c r="O1714" s="665"/>
      <c r="P1714" s="665"/>
      <c r="Q1714" s="665"/>
      <c r="R1714" s="665"/>
      <c r="S1714" s="665"/>
      <c r="T1714" s="673"/>
      <c r="U1714" s="673"/>
      <c r="V1714" s="673"/>
      <c r="W1714" s="673"/>
      <c r="X1714" s="673"/>
      <c r="Y1714" s="673"/>
      <c r="Z1714" s="673"/>
      <c r="AA1714" s="673"/>
      <c r="AB1714" s="673"/>
      <c r="AC1714" s="673"/>
      <c r="AD1714" s="673"/>
      <c r="AE1714" s="673"/>
      <c r="AF1714" s="673"/>
      <c r="AG1714" s="673"/>
      <c r="AH1714" s="673"/>
    </row>
    <row r="1715">
      <c r="A1715" s="653"/>
      <c r="B1715" s="654"/>
      <c r="C1715" s="691"/>
      <c r="D1715" s="661"/>
      <c r="E1715" s="705"/>
      <c r="F1715" s="659"/>
      <c r="G1715" s="661"/>
      <c r="H1715" s="660"/>
      <c r="I1715" s="691"/>
      <c r="J1715" s="661"/>
      <c r="K1715" s="706"/>
      <c r="L1715" s="665"/>
      <c r="M1715" s="663"/>
      <c r="N1715" s="665"/>
      <c r="O1715" s="665"/>
      <c r="P1715" s="665"/>
      <c r="Q1715" s="665"/>
      <c r="R1715" s="665"/>
      <c r="S1715" s="665"/>
      <c r="T1715" s="673"/>
      <c r="U1715" s="673"/>
      <c r="V1715" s="673"/>
      <c r="W1715" s="673"/>
      <c r="X1715" s="673"/>
      <c r="Y1715" s="673"/>
      <c r="Z1715" s="673"/>
      <c r="AA1715" s="673"/>
      <c r="AB1715" s="673"/>
      <c r="AC1715" s="673"/>
      <c r="AD1715" s="673"/>
      <c r="AE1715" s="673"/>
      <c r="AF1715" s="673"/>
      <c r="AG1715" s="673"/>
      <c r="AH1715" s="673"/>
    </row>
    <row r="1716">
      <c r="A1716" s="653"/>
      <c r="B1716" s="654"/>
      <c r="C1716" s="691"/>
      <c r="D1716" s="661"/>
      <c r="E1716" s="705"/>
      <c r="F1716" s="659"/>
      <c r="G1716" s="661"/>
      <c r="H1716" s="660"/>
      <c r="I1716" s="691"/>
      <c r="J1716" s="661"/>
      <c r="K1716" s="706"/>
      <c r="L1716" s="665"/>
      <c r="M1716" s="663"/>
      <c r="N1716" s="665"/>
      <c r="O1716" s="665"/>
      <c r="P1716" s="665"/>
      <c r="Q1716" s="665"/>
      <c r="R1716" s="665"/>
      <c r="S1716" s="665"/>
      <c r="T1716" s="673"/>
      <c r="U1716" s="673"/>
      <c r="V1716" s="673"/>
      <c r="W1716" s="673"/>
      <c r="X1716" s="673"/>
      <c r="Y1716" s="673"/>
      <c r="Z1716" s="673"/>
      <c r="AA1716" s="673"/>
      <c r="AB1716" s="673"/>
      <c r="AC1716" s="673"/>
      <c r="AD1716" s="673"/>
      <c r="AE1716" s="673"/>
      <c r="AF1716" s="673"/>
      <c r="AG1716" s="673"/>
      <c r="AH1716" s="673"/>
    </row>
    <row r="1717">
      <c r="A1717" s="653"/>
      <c r="B1717" s="654"/>
      <c r="C1717" s="691"/>
      <c r="D1717" s="661"/>
      <c r="E1717" s="705"/>
      <c r="F1717" s="659"/>
      <c r="G1717" s="661"/>
      <c r="H1717" s="660"/>
      <c r="I1717" s="691"/>
      <c r="J1717" s="661"/>
      <c r="K1717" s="706"/>
      <c r="L1717" s="665"/>
      <c r="M1717" s="663"/>
      <c r="N1717" s="665"/>
      <c r="O1717" s="665"/>
      <c r="P1717" s="665"/>
      <c r="Q1717" s="665"/>
      <c r="R1717" s="665"/>
      <c r="S1717" s="665"/>
      <c r="T1717" s="673"/>
      <c r="U1717" s="673"/>
      <c r="V1717" s="673"/>
      <c r="W1717" s="673"/>
      <c r="X1717" s="673"/>
      <c r="Y1717" s="673"/>
      <c r="Z1717" s="673"/>
      <c r="AA1717" s="673"/>
      <c r="AB1717" s="673"/>
      <c r="AC1717" s="673"/>
      <c r="AD1717" s="673"/>
      <c r="AE1717" s="673"/>
      <c r="AF1717" s="673"/>
      <c r="AG1717" s="673"/>
      <c r="AH1717" s="673"/>
    </row>
    <row r="1718">
      <c r="A1718" s="653"/>
      <c r="B1718" s="654"/>
      <c r="C1718" s="691"/>
      <c r="D1718" s="661"/>
      <c r="E1718" s="705"/>
      <c r="F1718" s="659"/>
      <c r="G1718" s="661"/>
      <c r="H1718" s="660"/>
      <c r="I1718" s="691"/>
      <c r="J1718" s="661"/>
      <c r="K1718" s="706"/>
      <c r="L1718" s="665"/>
      <c r="M1718" s="663"/>
      <c r="N1718" s="665"/>
      <c r="O1718" s="665"/>
      <c r="P1718" s="665"/>
      <c r="Q1718" s="665"/>
      <c r="R1718" s="665"/>
      <c r="S1718" s="665"/>
      <c r="T1718" s="673"/>
      <c r="U1718" s="673"/>
      <c r="V1718" s="673"/>
      <c r="W1718" s="673"/>
      <c r="X1718" s="673"/>
      <c r="Y1718" s="673"/>
      <c r="Z1718" s="673"/>
      <c r="AA1718" s="673"/>
      <c r="AB1718" s="673"/>
      <c r="AC1718" s="673"/>
      <c r="AD1718" s="673"/>
      <c r="AE1718" s="673"/>
      <c r="AF1718" s="673"/>
      <c r="AG1718" s="673"/>
      <c r="AH1718" s="673"/>
    </row>
    <row r="1719">
      <c r="A1719" s="653"/>
      <c r="B1719" s="654"/>
      <c r="C1719" s="691"/>
      <c r="D1719" s="661"/>
      <c r="E1719" s="705"/>
      <c r="F1719" s="659"/>
      <c r="G1719" s="661"/>
      <c r="H1719" s="660"/>
      <c r="I1719" s="691"/>
      <c r="J1719" s="661"/>
      <c r="K1719" s="706"/>
      <c r="L1719" s="665"/>
      <c r="M1719" s="663"/>
      <c r="N1719" s="665"/>
      <c r="O1719" s="665"/>
      <c r="P1719" s="665"/>
      <c r="Q1719" s="665"/>
      <c r="R1719" s="665"/>
      <c r="S1719" s="665"/>
      <c r="T1719" s="673"/>
      <c r="U1719" s="673"/>
      <c r="V1719" s="673"/>
      <c r="W1719" s="673"/>
      <c r="X1719" s="673"/>
      <c r="Y1719" s="673"/>
      <c r="Z1719" s="673"/>
      <c r="AA1719" s="673"/>
      <c r="AB1719" s="673"/>
      <c r="AC1719" s="673"/>
      <c r="AD1719" s="673"/>
      <c r="AE1719" s="673"/>
      <c r="AF1719" s="673"/>
      <c r="AG1719" s="673"/>
      <c r="AH1719" s="673"/>
    </row>
    <row r="1720">
      <c r="A1720" s="653"/>
      <c r="B1720" s="654"/>
      <c r="C1720" s="691"/>
      <c r="D1720" s="661"/>
      <c r="E1720" s="705"/>
      <c r="F1720" s="659"/>
      <c r="G1720" s="661"/>
      <c r="H1720" s="660"/>
      <c r="I1720" s="691"/>
      <c r="J1720" s="661"/>
      <c r="K1720" s="706"/>
      <c r="L1720" s="665"/>
      <c r="M1720" s="663"/>
      <c r="N1720" s="665"/>
      <c r="O1720" s="665"/>
      <c r="P1720" s="665"/>
      <c r="Q1720" s="665"/>
      <c r="R1720" s="665"/>
      <c r="S1720" s="665"/>
      <c r="T1720" s="673"/>
      <c r="U1720" s="673"/>
      <c r="V1720" s="673"/>
      <c r="W1720" s="673"/>
      <c r="X1720" s="673"/>
      <c r="Y1720" s="673"/>
      <c r="Z1720" s="673"/>
      <c r="AA1720" s="673"/>
      <c r="AB1720" s="673"/>
      <c r="AC1720" s="673"/>
      <c r="AD1720" s="673"/>
      <c r="AE1720" s="673"/>
      <c r="AF1720" s="673"/>
      <c r="AG1720" s="673"/>
      <c r="AH1720" s="673"/>
    </row>
    <row r="1721">
      <c r="A1721" s="653"/>
      <c r="B1721" s="654"/>
      <c r="C1721" s="691"/>
      <c r="D1721" s="661"/>
      <c r="E1721" s="705"/>
      <c r="F1721" s="659"/>
      <c r="G1721" s="661"/>
      <c r="H1721" s="660"/>
      <c r="I1721" s="691"/>
      <c r="J1721" s="661"/>
      <c r="K1721" s="706"/>
      <c r="L1721" s="665"/>
      <c r="M1721" s="663"/>
      <c r="N1721" s="665"/>
      <c r="O1721" s="665"/>
      <c r="P1721" s="665"/>
      <c r="Q1721" s="665"/>
      <c r="R1721" s="665"/>
      <c r="S1721" s="665"/>
      <c r="T1721" s="673"/>
      <c r="U1721" s="673"/>
      <c r="V1721" s="673"/>
      <c r="W1721" s="673"/>
      <c r="X1721" s="673"/>
      <c r="Y1721" s="673"/>
      <c r="Z1721" s="673"/>
      <c r="AA1721" s="673"/>
      <c r="AB1721" s="673"/>
      <c r="AC1721" s="673"/>
      <c r="AD1721" s="673"/>
      <c r="AE1721" s="673"/>
      <c r="AF1721" s="673"/>
      <c r="AG1721" s="673"/>
      <c r="AH1721" s="673"/>
    </row>
    <row r="1722">
      <c r="A1722" s="653"/>
      <c r="B1722" s="654"/>
      <c r="C1722" s="691"/>
      <c r="D1722" s="661"/>
      <c r="E1722" s="705"/>
      <c r="F1722" s="659"/>
      <c r="G1722" s="661"/>
      <c r="H1722" s="660"/>
      <c r="I1722" s="691"/>
      <c r="J1722" s="661"/>
      <c r="K1722" s="706"/>
      <c r="L1722" s="665"/>
      <c r="M1722" s="663"/>
      <c r="N1722" s="665"/>
      <c r="O1722" s="665"/>
      <c r="P1722" s="665"/>
      <c r="Q1722" s="665"/>
      <c r="R1722" s="665"/>
      <c r="S1722" s="665"/>
      <c r="T1722" s="673"/>
      <c r="U1722" s="673"/>
      <c r="V1722" s="673"/>
      <c r="W1722" s="673"/>
      <c r="X1722" s="673"/>
      <c r="Y1722" s="673"/>
      <c r="Z1722" s="673"/>
      <c r="AA1722" s="673"/>
      <c r="AB1722" s="673"/>
      <c r="AC1722" s="673"/>
      <c r="AD1722" s="673"/>
      <c r="AE1722" s="673"/>
      <c r="AF1722" s="673"/>
      <c r="AG1722" s="673"/>
      <c r="AH1722" s="673"/>
    </row>
    <row r="1723">
      <c r="A1723" s="653"/>
      <c r="B1723" s="654"/>
      <c r="C1723" s="691"/>
      <c r="D1723" s="661"/>
      <c r="E1723" s="705"/>
      <c r="F1723" s="659"/>
      <c r="G1723" s="661"/>
      <c r="H1723" s="660"/>
      <c r="I1723" s="691"/>
      <c r="J1723" s="661"/>
      <c r="K1723" s="706"/>
      <c r="L1723" s="665"/>
      <c r="M1723" s="663"/>
      <c r="N1723" s="665"/>
      <c r="O1723" s="665"/>
      <c r="P1723" s="665"/>
      <c r="Q1723" s="665"/>
      <c r="R1723" s="665"/>
      <c r="S1723" s="665"/>
      <c r="T1723" s="673"/>
      <c r="U1723" s="673"/>
      <c r="V1723" s="673"/>
      <c r="W1723" s="673"/>
      <c r="X1723" s="673"/>
      <c r="Y1723" s="673"/>
      <c r="Z1723" s="673"/>
      <c r="AA1723" s="673"/>
      <c r="AB1723" s="673"/>
      <c r="AC1723" s="673"/>
      <c r="AD1723" s="673"/>
      <c r="AE1723" s="673"/>
      <c r="AF1723" s="673"/>
      <c r="AG1723" s="673"/>
      <c r="AH1723" s="673"/>
    </row>
    <row r="1724">
      <c r="A1724" s="653"/>
      <c r="B1724" s="654"/>
      <c r="C1724" s="691"/>
      <c r="D1724" s="661"/>
      <c r="E1724" s="705"/>
      <c r="F1724" s="659"/>
      <c r="G1724" s="661"/>
      <c r="H1724" s="660"/>
      <c r="I1724" s="691"/>
      <c r="J1724" s="661"/>
      <c r="K1724" s="706"/>
      <c r="L1724" s="665"/>
      <c r="M1724" s="663"/>
      <c r="N1724" s="665"/>
      <c r="O1724" s="665"/>
      <c r="P1724" s="665"/>
      <c r="Q1724" s="665"/>
      <c r="R1724" s="665"/>
      <c r="S1724" s="665"/>
      <c r="T1724" s="673"/>
      <c r="U1724" s="673"/>
      <c r="V1724" s="673"/>
      <c r="W1724" s="673"/>
      <c r="X1724" s="673"/>
      <c r="Y1724" s="673"/>
      <c r="Z1724" s="673"/>
      <c r="AA1724" s="673"/>
      <c r="AB1724" s="673"/>
      <c r="AC1724" s="673"/>
      <c r="AD1724" s="673"/>
      <c r="AE1724" s="673"/>
      <c r="AF1724" s="673"/>
      <c r="AG1724" s="673"/>
      <c r="AH1724" s="673"/>
    </row>
    <row r="1725">
      <c r="A1725" s="653"/>
      <c r="B1725" s="654"/>
      <c r="C1725" s="691"/>
      <c r="D1725" s="661"/>
      <c r="E1725" s="705"/>
      <c r="F1725" s="659"/>
      <c r="G1725" s="661"/>
      <c r="H1725" s="660"/>
      <c r="I1725" s="691"/>
      <c r="J1725" s="661"/>
      <c r="K1725" s="706"/>
      <c r="L1725" s="665"/>
      <c r="M1725" s="663"/>
      <c r="N1725" s="665"/>
      <c r="O1725" s="665"/>
      <c r="P1725" s="665"/>
      <c r="Q1725" s="665"/>
      <c r="R1725" s="665"/>
      <c r="S1725" s="665"/>
      <c r="T1725" s="673"/>
      <c r="U1725" s="673"/>
      <c r="V1725" s="673"/>
      <c r="W1725" s="673"/>
      <c r="X1725" s="673"/>
      <c r="Y1725" s="673"/>
      <c r="Z1725" s="673"/>
      <c r="AA1725" s="673"/>
      <c r="AB1725" s="673"/>
      <c r="AC1725" s="673"/>
      <c r="AD1725" s="673"/>
      <c r="AE1725" s="673"/>
      <c r="AF1725" s="673"/>
      <c r="AG1725" s="673"/>
      <c r="AH1725" s="673"/>
    </row>
    <row r="1726">
      <c r="A1726" s="653"/>
      <c r="B1726" s="654"/>
      <c r="C1726" s="691"/>
      <c r="D1726" s="661"/>
      <c r="E1726" s="705"/>
      <c r="F1726" s="659"/>
      <c r="G1726" s="661"/>
      <c r="H1726" s="660"/>
      <c r="I1726" s="691"/>
      <c r="J1726" s="661"/>
      <c r="K1726" s="706"/>
      <c r="L1726" s="665"/>
      <c r="M1726" s="663"/>
      <c r="N1726" s="665"/>
      <c r="O1726" s="665"/>
      <c r="P1726" s="665"/>
      <c r="Q1726" s="665"/>
      <c r="R1726" s="665"/>
      <c r="S1726" s="665"/>
      <c r="T1726" s="673"/>
      <c r="U1726" s="673"/>
      <c r="V1726" s="673"/>
      <c r="W1726" s="673"/>
      <c r="X1726" s="673"/>
      <c r="Y1726" s="673"/>
      <c r="Z1726" s="673"/>
      <c r="AA1726" s="673"/>
      <c r="AB1726" s="673"/>
      <c r="AC1726" s="673"/>
      <c r="AD1726" s="673"/>
      <c r="AE1726" s="673"/>
      <c r="AF1726" s="673"/>
      <c r="AG1726" s="673"/>
      <c r="AH1726" s="673"/>
    </row>
    <row r="1727">
      <c r="A1727" s="653"/>
      <c r="B1727" s="654"/>
      <c r="C1727" s="691"/>
      <c r="D1727" s="661"/>
      <c r="E1727" s="705"/>
      <c r="F1727" s="659"/>
      <c r="G1727" s="661"/>
      <c r="H1727" s="660"/>
      <c r="I1727" s="691"/>
      <c r="J1727" s="661"/>
      <c r="K1727" s="706"/>
      <c r="L1727" s="665"/>
      <c r="M1727" s="663"/>
      <c r="N1727" s="665"/>
      <c r="O1727" s="665"/>
      <c r="P1727" s="665"/>
      <c r="Q1727" s="665"/>
      <c r="R1727" s="665"/>
      <c r="S1727" s="665"/>
      <c r="T1727" s="673"/>
      <c r="U1727" s="673"/>
      <c r="V1727" s="673"/>
      <c r="W1727" s="673"/>
      <c r="X1727" s="673"/>
      <c r="Y1727" s="673"/>
      <c r="Z1727" s="673"/>
      <c r="AA1727" s="673"/>
      <c r="AB1727" s="673"/>
      <c r="AC1727" s="673"/>
      <c r="AD1727" s="673"/>
      <c r="AE1727" s="673"/>
      <c r="AF1727" s="673"/>
      <c r="AG1727" s="673"/>
      <c r="AH1727" s="673"/>
    </row>
    <row r="1728">
      <c r="A1728" s="653"/>
      <c r="B1728" s="654"/>
      <c r="C1728" s="691"/>
      <c r="D1728" s="661"/>
      <c r="E1728" s="705"/>
      <c r="F1728" s="659"/>
      <c r="G1728" s="661"/>
      <c r="H1728" s="660"/>
      <c r="I1728" s="691"/>
      <c r="J1728" s="661"/>
      <c r="K1728" s="706"/>
      <c r="L1728" s="665"/>
      <c r="M1728" s="663"/>
      <c r="N1728" s="665"/>
      <c r="O1728" s="665"/>
      <c r="P1728" s="665"/>
      <c r="Q1728" s="665"/>
      <c r="R1728" s="665"/>
      <c r="S1728" s="665"/>
      <c r="T1728" s="673"/>
      <c r="U1728" s="673"/>
      <c r="V1728" s="673"/>
      <c r="W1728" s="673"/>
      <c r="X1728" s="673"/>
      <c r="Y1728" s="673"/>
      <c r="Z1728" s="673"/>
      <c r="AA1728" s="673"/>
      <c r="AB1728" s="673"/>
      <c r="AC1728" s="673"/>
      <c r="AD1728" s="673"/>
      <c r="AE1728" s="673"/>
      <c r="AF1728" s="673"/>
      <c r="AG1728" s="673"/>
      <c r="AH1728" s="673"/>
    </row>
    <row r="1729">
      <c r="A1729" s="653"/>
      <c r="B1729" s="654"/>
      <c r="C1729" s="691"/>
      <c r="D1729" s="661"/>
      <c r="E1729" s="705"/>
      <c r="F1729" s="659"/>
      <c r="G1729" s="661"/>
      <c r="H1729" s="660"/>
      <c r="I1729" s="691"/>
      <c r="J1729" s="661"/>
      <c r="K1729" s="706"/>
      <c r="L1729" s="665"/>
      <c r="M1729" s="663"/>
      <c r="N1729" s="665"/>
      <c r="O1729" s="665"/>
      <c r="P1729" s="665"/>
      <c r="Q1729" s="665"/>
      <c r="R1729" s="665"/>
      <c r="S1729" s="665"/>
      <c r="T1729" s="673"/>
      <c r="U1729" s="673"/>
      <c r="V1729" s="673"/>
      <c r="W1729" s="673"/>
      <c r="X1729" s="673"/>
      <c r="Y1729" s="673"/>
      <c r="Z1729" s="673"/>
      <c r="AA1729" s="673"/>
      <c r="AB1729" s="673"/>
      <c r="AC1729" s="673"/>
      <c r="AD1729" s="673"/>
      <c r="AE1729" s="673"/>
      <c r="AF1729" s="673"/>
      <c r="AG1729" s="673"/>
      <c r="AH1729" s="673"/>
    </row>
    <row r="1730">
      <c r="A1730" s="653"/>
      <c r="B1730" s="654"/>
      <c r="C1730" s="691"/>
      <c r="D1730" s="661"/>
      <c r="E1730" s="705"/>
      <c r="F1730" s="659"/>
      <c r="G1730" s="661"/>
      <c r="H1730" s="660"/>
      <c r="I1730" s="691"/>
      <c r="J1730" s="661"/>
      <c r="K1730" s="706"/>
      <c r="L1730" s="665"/>
      <c r="M1730" s="663"/>
      <c r="N1730" s="665"/>
      <c r="O1730" s="665"/>
      <c r="P1730" s="665"/>
      <c r="Q1730" s="665"/>
      <c r="R1730" s="665"/>
      <c r="S1730" s="665"/>
      <c r="T1730" s="673"/>
      <c r="U1730" s="673"/>
      <c r="V1730" s="673"/>
      <c r="W1730" s="673"/>
      <c r="X1730" s="673"/>
      <c r="Y1730" s="673"/>
      <c r="Z1730" s="673"/>
      <c r="AA1730" s="673"/>
      <c r="AB1730" s="673"/>
      <c r="AC1730" s="673"/>
      <c r="AD1730" s="673"/>
      <c r="AE1730" s="673"/>
      <c r="AF1730" s="673"/>
      <c r="AG1730" s="673"/>
      <c r="AH1730" s="673"/>
    </row>
    <row r="1731">
      <c r="A1731" s="653"/>
      <c r="B1731" s="654"/>
      <c r="C1731" s="691"/>
      <c r="D1731" s="661"/>
      <c r="E1731" s="705"/>
      <c r="F1731" s="659"/>
      <c r="G1731" s="661"/>
      <c r="H1731" s="660"/>
      <c r="I1731" s="691"/>
      <c r="J1731" s="661"/>
      <c r="K1731" s="706"/>
      <c r="L1731" s="665"/>
      <c r="M1731" s="663"/>
      <c r="N1731" s="665"/>
      <c r="O1731" s="665"/>
      <c r="P1731" s="665"/>
      <c r="Q1731" s="665"/>
      <c r="R1731" s="665"/>
      <c r="S1731" s="665"/>
      <c r="T1731" s="673"/>
      <c r="U1731" s="673"/>
      <c r="V1731" s="673"/>
      <c r="W1731" s="673"/>
      <c r="X1731" s="673"/>
      <c r="Y1731" s="673"/>
      <c r="Z1731" s="673"/>
      <c r="AA1731" s="673"/>
      <c r="AB1731" s="673"/>
      <c r="AC1731" s="673"/>
      <c r="AD1731" s="673"/>
      <c r="AE1731" s="673"/>
      <c r="AF1731" s="673"/>
      <c r="AG1731" s="673"/>
      <c r="AH1731" s="673"/>
    </row>
    <row r="1732">
      <c r="A1732" s="653"/>
      <c r="B1732" s="654"/>
      <c r="C1732" s="691"/>
      <c r="D1732" s="661"/>
      <c r="E1732" s="705"/>
      <c r="F1732" s="659"/>
      <c r="G1732" s="661"/>
      <c r="H1732" s="660"/>
      <c r="I1732" s="691"/>
      <c r="J1732" s="661"/>
      <c r="K1732" s="706"/>
      <c r="L1732" s="665"/>
      <c r="M1732" s="663"/>
      <c r="N1732" s="665"/>
      <c r="O1732" s="665"/>
      <c r="P1732" s="665"/>
      <c r="Q1732" s="665"/>
      <c r="R1732" s="665"/>
      <c r="S1732" s="665"/>
      <c r="T1732" s="673"/>
      <c r="U1732" s="673"/>
      <c r="V1732" s="673"/>
      <c r="W1732" s="673"/>
      <c r="X1732" s="673"/>
      <c r="Y1732" s="673"/>
      <c r="Z1732" s="673"/>
      <c r="AA1732" s="673"/>
      <c r="AB1732" s="673"/>
      <c r="AC1732" s="673"/>
      <c r="AD1732" s="673"/>
      <c r="AE1732" s="673"/>
      <c r="AF1732" s="673"/>
      <c r="AG1732" s="673"/>
      <c r="AH1732" s="673"/>
    </row>
    <row r="1733">
      <c r="A1733" s="653"/>
      <c r="B1733" s="654"/>
      <c r="C1733" s="691"/>
      <c r="D1733" s="661"/>
      <c r="E1733" s="705"/>
      <c r="F1733" s="659"/>
      <c r="G1733" s="661"/>
      <c r="H1733" s="660"/>
      <c r="I1733" s="691"/>
      <c r="J1733" s="661"/>
      <c r="K1733" s="706"/>
      <c r="L1733" s="665"/>
      <c r="M1733" s="663"/>
      <c r="N1733" s="665"/>
      <c r="O1733" s="665"/>
      <c r="P1733" s="665"/>
      <c r="Q1733" s="665"/>
      <c r="R1733" s="665"/>
      <c r="S1733" s="665"/>
      <c r="T1733" s="673"/>
      <c r="U1733" s="673"/>
      <c r="V1733" s="673"/>
      <c r="W1733" s="673"/>
      <c r="X1733" s="673"/>
      <c r="Y1733" s="673"/>
      <c r="Z1733" s="673"/>
      <c r="AA1733" s="673"/>
      <c r="AB1733" s="673"/>
      <c r="AC1733" s="673"/>
      <c r="AD1733" s="673"/>
      <c r="AE1733" s="673"/>
      <c r="AF1733" s="673"/>
      <c r="AG1733" s="673"/>
      <c r="AH1733" s="673"/>
    </row>
    <row r="1734">
      <c r="A1734" s="653"/>
      <c r="B1734" s="654"/>
      <c r="C1734" s="691"/>
      <c r="D1734" s="661"/>
      <c r="E1734" s="705"/>
      <c r="F1734" s="659"/>
      <c r="G1734" s="661"/>
      <c r="H1734" s="660"/>
      <c r="I1734" s="691"/>
      <c r="J1734" s="661"/>
      <c r="K1734" s="706"/>
      <c r="L1734" s="665"/>
      <c r="M1734" s="663"/>
      <c r="N1734" s="665"/>
      <c r="O1734" s="665"/>
      <c r="P1734" s="665"/>
      <c r="Q1734" s="665"/>
      <c r="R1734" s="665"/>
      <c r="S1734" s="665"/>
      <c r="T1734" s="673"/>
      <c r="U1734" s="673"/>
      <c r="V1734" s="673"/>
      <c r="W1734" s="673"/>
      <c r="X1734" s="673"/>
      <c r="Y1734" s="673"/>
      <c r="Z1734" s="673"/>
      <c r="AA1734" s="673"/>
      <c r="AB1734" s="673"/>
      <c r="AC1734" s="673"/>
      <c r="AD1734" s="673"/>
      <c r="AE1734" s="673"/>
      <c r="AF1734" s="673"/>
      <c r="AG1734" s="673"/>
      <c r="AH1734" s="673"/>
    </row>
    <row r="1735">
      <c r="A1735" s="653"/>
      <c r="B1735" s="654"/>
      <c r="C1735" s="691"/>
      <c r="D1735" s="661"/>
      <c r="E1735" s="705"/>
      <c r="F1735" s="659"/>
      <c r="G1735" s="661"/>
      <c r="H1735" s="660"/>
      <c r="I1735" s="691"/>
      <c r="J1735" s="661"/>
      <c r="K1735" s="706"/>
      <c r="L1735" s="665"/>
      <c r="M1735" s="663"/>
      <c r="N1735" s="665"/>
      <c r="O1735" s="665"/>
      <c r="P1735" s="665"/>
      <c r="Q1735" s="665"/>
      <c r="R1735" s="665"/>
      <c r="S1735" s="665"/>
      <c r="T1735" s="673"/>
      <c r="U1735" s="673"/>
      <c r="V1735" s="673"/>
      <c r="W1735" s="673"/>
      <c r="X1735" s="673"/>
      <c r="Y1735" s="673"/>
      <c r="Z1735" s="673"/>
      <c r="AA1735" s="673"/>
      <c r="AB1735" s="673"/>
      <c r="AC1735" s="673"/>
      <c r="AD1735" s="673"/>
      <c r="AE1735" s="673"/>
      <c r="AF1735" s="673"/>
      <c r="AG1735" s="673"/>
      <c r="AH1735" s="673"/>
    </row>
    <row r="1736">
      <c r="A1736" s="653"/>
      <c r="B1736" s="654"/>
      <c r="C1736" s="691"/>
      <c r="D1736" s="661"/>
      <c r="E1736" s="705"/>
      <c r="F1736" s="659"/>
      <c r="G1736" s="661"/>
      <c r="H1736" s="660"/>
      <c r="I1736" s="691"/>
      <c r="J1736" s="661"/>
      <c r="K1736" s="706"/>
      <c r="L1736" s="665"/>
      <c r="M1736" s="663"/>
      <c r="N1736" s="665"/>
      <c r="O1736" s="665"/>
      <c r="P1736" s="665"/>
      <c r="Q1736" s="665"/>
      <c r="R1736" s="665"/>
      <c r="S1736" s="665"/>
      <c r="T1736" s="673"/>
      <c r="U1736" s="673"/>
      <c r="V1736" s="673"/>
      <c r="W1736" s="673"/>
      <c r="X1736" s="673"/>
      <c r="Y1736" s="673"/>
      <c r="Z1736" s="673"/>
      <c r="AA1736" s="673"/>
      <c r="AB1736" s="673"/>
      <c r="AC1736" s="673"/>
      <c r="AD1736" s="673"/>
      <c r="AE1736" s="673"/>
      <c r="AF1736" s="673"/>
      <c r="AG1736" s="673"/>
      <c r="AH1736" s="673"/>
    </row>
    <row r="1737">
      <c r="A1737" s="653"/>
      <c r="B1737" s="654"/>
      <c r="C1737" s="691"/>
      <c r="D1737" s="661"/>
      <c r="E1737" s="705"/>
      <c r="F1737" s="659"/>
      <c r="G1737" s="661"/>
      <c r="H1737" s="660"/>
      <c r="I1737" s="691"/>
      <c r="J1737" s="661"/>
      <c r="K1737" s="706"/>
      <c r="L1737" s="665"/>
      <c r="M1737" s="663"/>
      <c r="N1737" s="665"/>
      <c r="O1737" s="665"/>
      <c r="P1737" s="665"/>
      <c r="Q1737" s="665"/>
      <c r="R1737" s="665"/>
      <c r="S1737" s="665"/>
      <c r="T1737" s="673"/>
      <c r="U1737" s="673"/>
      <c r="V1737" s="673"/>
      <c r="W1737" s="673"/>
      <c r="X1737" s="673"/>
      <c r="Y1737" s="673"/>
      <c r="Z1737" s="673"/>
      <c r="AA1737" s="673"/>
      <c r="AB1737" s="673"/>
      <c r="AC1737" s="673"/>
      <c r="AD1737" s="673"/>
      <c r="AE1737" s="673"/>
      <c r="AF1737" s="673"/>
      <c r="AG1737" s="673"/>
      <c r="AH1737" s="673"/>
    </row>
    <row r="1738">
      <c r="A1738" s="653"/>
      <c r="B1738" s="654"/>
      <c r="C1738" s="691"/>
      <c r="D1738" s="661"/>
      <c r="E1738" s="705"/>
      <c r="F1738" s="659"/>
      <c r="G1738" s="661"/>
      <c r="H1738" s="660"/>
      <c r="I1738" s="691"/>
      <c r="J1738" s="661"/>
      <c r="K1738" s="706"/>
      <c r="L1738" s="665"/>
      <c r="M1738" s="663"/>
      <c r="N1738" s="665"/>
      <c r="O1738" s="665"/>
      <c r="P1738" s="665"/>
      <c r="Q1738" s="665"/>
      <c r="R1738" s="665"/>
      <c r="S1738" s="665"/>
      <c r="T1738" s="673"/>
      <c r="U1738" s="673"/>
      <c r="V1738" s="673"/>
      <c r="W1738" s="673"/>
      <c r="X1738" s="673"/>
      <c r="Y1738" s="673"/>
      <c r="Z1738" s="673"/>
      <c r="AA1738" s="673"/>
      <c r="AB1738" s="673"/>
      <c r="AC1738" s="673"/>
      <c r="AD1738" s="673"/>
      <c r="AE1738" s="673"/>
      <c r="AF1738" s="673"/>
      <c r="AG1738" s="673"/>
      <c r="AH1738" s="673"/>
    </row>
    <row r="1739">
      <c r="A1739" s="653"/>
      <c r="B1739" s="654"/>
      <c r="C1739" s="691"/>
      <c r="D1739" s="661"/>
      <c r="E1739" s="705"/>
      <c r="F1739" s="659"/>
      <c r="G1739" s="661"/>
      <c r="H1739" s="660"/>
      <c r="I1739" s="691"/>
      <c r="J1739" s="661"/>
      <c r="K1739" s="706"/>
      <c r="L1739" s="665"/>
      <c r="M1739" s="663"/>
      <c r="N1739" s="665"/>
      <c r="O1739" s="665"/>
      <c r="P1739" s="665"/>
      <c r="Q1739" s="665"/>
      <c r="R1739" s="665"/>
      <c r="S1739" s="665"/>
      <c r="T1739" s="673"/>
      <c r="U1739" s="673"/>
      <c r="V1739" s="673"/>
      <c r="W1739" s="673"/>
      <c r="X1739" s="673"/>
      <c r="Y1739" s="673"/>
      <c r="Z1739" s="673"/>
      <c r="AA1739" s="673"/>
      <c r="AB1739" s="673"/>
      <c r="AC1739" s="673"/>
      <c r="AD1739" s="673"/>
      <c r="AE1739" s="673"/>
      <c r="AF1739" s="673"/>
      <c r="AG1739" s="673"/>
      <c r="AH1739" s="673"/>
    </row>
    <row r="1740">
      <c r="A1740" s="653"/>
      <c r="B1740" s="654"/>
      <c r="C1740" s="691"/>
      <c r="D1740" s="661"/>
      <c r="E1740" s="705"/>
      <c r="F1740" s="659"/>
      <c r="G1740" s="661"/>
      <c r="H1740" s="660"/>
      <c r="I1740" s="691"/>
      <c r="J1740" s="661"/>
      <c r="K1740" s="706"/>
      <c r="L1740" s="665"/>
      <c r="M1740" s="663"/>
      <c r="N1740" s="665"/>
      <c r="O1740" s="665"/>
      <c r="P1740" s="665"/>
      <c r="Q1740" s="665"/>
      <c r="R1740" s="665"/>
      <c r="S1740" s="665"/>
      <c r="T1740" s="673"/>
      <c r="U1740" s="673"/>
      <c r="V1740" s="673"/>
      <c r="W1740" s="673"/>
      <c r="X1740" s="673"/>
      <c r="Y1740" s="673"/>
      <c r="Z1740" s="673"/>
      <c r="AA1740" s="673"/>
      <c r="AB1740" s="673"/>
      <c r="AC1740" s="673"/>
      <c r="AD1740" s="673"/>
      <c r="AE1740" s="673"/>
      <c r="AF1740" s="673"/>
      <c r="AG1740" s="673"/>
      <c r="AH1740" s="673"/>
    </row>
    <row r="1741">
      <c r="A1741" s="653"/>
      <c r="B1741" s="654"/>
      <c r="C1741" s="691"/>
      <c r="D1741" s="661"/>
      <c r="E1741" s="705"/>
      <c r="F1741" s="659"/>
      <c r="G1741" s="661"/>
      <c r="H1741" s="660"/>
      <c r="I1741" s="691"/>
      <c r="J1741" s="661"/>
      <c r="K1741" s="706"/>
      <c r="L1741" s="665"/>
      <c r="M1741" s="663"/>
      <c r="N1741" s="665"/>
      <c r="O1741" s="665"/>
      <c r="P1741" s="665"/>
      <c r="Q1741" s="665"/>
      <c r="R1741" s="665"/>
      <c r="S1741" s="665"/>
      <c r="T1741" s="673"/>
      <c r="U1741" s="673"/>
      <c r="V1741" s="673"/>
      <c r="W1741" s="673"/>
      <c r="X1741" s="673"/>
      <c r="Y1741" s="673"/>
      <c r="Z1741" s="673"/>
      <c r="AA1741" s="673"/>
      <c r="AB1741" s="673"/>
      <c r="AC1741" s="673"/>
      <c r="AD1741" s="673"/>
      <c r="AE1741" s="673"/>
      <c r="AF1741" s="673"/>
      <c r="AG1741" s="673"/>
      <c r="AH1741" s="673"/>
    </row>
    <row r="1742">
      <c r="A1742" s="653"/>
      <c r="B1742" s="654"/>
      <c r="C1742" s="691"/>
      <c r="D1742" s="661"/>
      <c r="E1742" s="705"/>
      <c r="F1742" s="659"/>
      <c r="G1742" s="661"/>
      <c r="H1742" s="660"/>
      <c r="I1742" s="691"/>
      <c r="J1742" s="661"/>
      <c r="K1742" s="706"/>
      <c r="L1742" s="665"/>
      <c r="M1742" s="663"/>
      <c r="N1742" s="665"/>
      <c r="O1742" s="665"/>
      <c r="P1742" s="665"/>
      <c r="Q1742" s="665"/>
      <c r="R1742" s="665"/>
      <c r="S1742" s="665"/>
      <c r="T1742" s="673"/>
      <c r="U1742" s="673"/>
      <c r="V1742" s="673"/>
      <c r="W1742" s="673"/>
      <c r="X1742" s="673"/>
      <c r="Y1742" s="673"/>
      <c r="Z1742" s="673"/>
      <c r="AA1742" s="673"/>
      <c r="AB1742" s="673"/>
      <c r="AC1742" s="673"/>
      <c r="AD1742" s="673"/>
      <c r="AE1742" s="673"/>
      <c r="AF1742" s="673"/>
      <c r="AG1742" s="673"/>
      <c r="AH1742" s="673"/>
    </row>
    <row r="1743">
      <c r="A1743" s="653"/>
      <c r="B1743" s="654"/>
      <c r="C1743" s="691"/>
      <c r="D1743" s="661"/>
      <c r="E1743" s="705"/>
      <c r="F1743" s="659"/>
      <c r="G1743" s="661"/>
      <c r="H1743" s="660"/>
      <c r="I1743" s="691"/>
      <c r="J1743" s="661"/>
      <c r="K1743" s="706"/>
      <c r="L1743" s="665"/>
      <c r="M1743" s="663"/>
      <c r="N1743" s="665"/>
      <c r="O1743" s="665"/>
      <c r="P1743" s="665"/>
      <c r="Q1743" s="665"/>
      <c r="R1743" s="665"/>
      <c r="S1743" s="665"/>
      <c r="T1743" s="673"/>
      <c r="U1743" s="673"/>
      <c r="V1743" s="673"/>
      <c r="W1743" s="673"/>
      <c r="X1743" s="673"/>
      <c r="Y1743" s="673"/>
      <c r="Z1743" s="673"/>
      <c r="AA1743" s="673"/>
      <c r="AB1743" s="673"/>
      <c r="AC1743" s="673"/>
      <c r="AD1743" s="673"/>
      <c r="AE1743" s="673"/>
      <c r="AF1743" s="673"/>
      <c r="AG1743" s="673"/>
      <c r="AH1743" s="673"/>
    </row>
    <row r="1744">
      <c r="A1744" s="653"/>
      <c r="B1744" s="654"/>
      <c r="C1744" s="691"/>
      <c r="D1744" s="661"/>
      <c r="E1744" s="705"/>
      <c r="F1744" s="659"/>
      <c r="G1744" s="661"/>
      <c r="H1744" s="660"/>
      <c r="I1744" s="691"/>
      <c r="J1744" s="661"/>
      <c r="K1744" s="706"/>
      <c r="L1744" s="665"/>
      <c r="M1744" s="663"/>
      <c r="N1744" s="665"/>
      <c r="O1744" s="665"/>
      <c r="P1744" s="665"/>
      <c r="Q1744" s="665"/>
      <c r="R1744" s="665"/>
      <c r="S1744" s="665"/>
      <c r="T1744" s="673"/>
      <c r="U1744" s="673"/>
      <c r="V1744" s="673"/>
      <c r="W1744" s="673"/>
      <c r="X1744" s="673"/>
      <c r="Y1744" s="673"/>
      <c r="Z1744" s="673"/>
      <c r="AA1744" s="673"/>
      <c r="AB1744" s="673"/>
      <c r="AC1744" s="673"/>
      <c r="AD1744" s="673"/>
      <c r="AE1744" s="673"/>
      <c r="AF1744" s="673"/>
      <c r="AG1744" s="673"/>
      <c r="AH1744" s="673"/>
    </row>
    <row r="1745">
      <c r="A1745" s="653"/>
      <c r="B1745" s="654"/>
      <c r="C1745" s="691"/>
      <c r="D1745" s="661"/>
      <c r="E1745" s="705"/>
      <c r="F1745" s="659"/>
      <c r="G1745" s="661"/>
      <c r="H1745" s="660"/>
      <c r="I1745" s="691"/>
      <c r="J1745" s="661"/>
      <c r="K1745" s="706"/>
      <c r="L1745" s="665"/>
      <c r="M1745" s="663"/>
      <c r="N1745" s="665"/>
      <c r="O1745" s="665"/>
      <c r="P1745" s="665"/>
      <c r="Q1745" s="665"/>
      <c r="R1745" s="665"/>
      <c r="S1745" s="665"/>
      <c r="T1745" s="673"/>
      <c r="U1745" s="673"/>
      <c r="V1745" s="673"/>
      <c r="W1745" s="673"/>
      <c r="X1745" s="673"/>
      <c r="Y1745" s="673"/>
      <c r="Z1745" s="673"/>
      <c r="AA1745" s="673"/>
      <c r="AB1745" s="673"/>
      <c r="AC1745" s="673"/>
      <c r="AD1745" s="673"/>
      <c r="AE1745" s="673"/>
      <c r="AF1745" s="673"/>
      <c r="AG1745" s="673"/>
      <c r="AH1745" s="673"/>
    </row>
    <row r="1746">
      <c r="A1746" s="653"/>
      <c r="B1746" s="654"/>
      <c r="C1746" s="691"/>
      <c r="D1746" s="661"/>
      <c r="E1746" s="705"/>
      <c r="F1746" s="659"/>
      <c r="G1746" s="661"/>
      <c r="H1746" s="660"/>
      <c r="I1746" s="691"/>
      <c r="J1746" s="661"/>
      <c r="K1746" s="706"/>
      <c r="L1746" s="665"/>
      <c r="M1746" s="663"/>
      <c r="N1746" s="665"/>
      <c r="O1746" s="665"/>
      <c r="P1746" s="665"/>
      <c r="Q1746" s="665"/>
      <c r="R1746" s="665"/>
      <c r="S1746" s="665"/>
      <c r="T1746" s="673"/>
      <c r="U1746" s="673"/>
      <c r="V1746" s="673"/>
      <c r="W1746" s="673"/>
      <c r="X1746" s="673"/>
      <c r="Y1746" s="673"/>
      <c r="Z1746" s="673"/>
      <c r="AA1746" s="673"/>
      <c r="AB1746" s="673"/>
      <c r="AC1746" s="673"/>
      <c r="AD1746" s="673"/>
      <c r="AE1746" s="673"/>
      <c r="AF1746" s="673"/>
      <c r="AG1746" s="673"/>
      <c r="AH1746" s="673"/>
    </row>
    <row r="1747">
      <c r="A1747" s="653"/>
      <c r="B1747" s="654"/>
      <c r="C1747" s="691"/>
      <c r="D1747" s="661"/>
      <c r="E1747" s="705"/>
      <c r="F1747" s="659"/>
      <c r="G1747" s="661"/>
      <c r="H1747" s="660"/>
      <c r="I1747" s="691"/>
      <c r="J1747" s="661"/>
      <c r="K1747" s="706"/>
      <c r="L1747" s="665"/>
      <c r="M1747" s="663"/>
      <c r="N1747" s="665"/>
      <c r="O1747" s="665"/>
      <c r="P1747" s="665"/>
      <c r="Q1747" s="665"/>
      <c r="R1747" s="665"/>
      <c r="S1747" s="665"/>
      <c r="T1747" s="673"/>
      <c r="U1747" s="673"/>
      <c r="V1747" s="673"/>
      <c r="W1747" s="673"/>
      <c r="X1747" s="673"/>
      <c r="Y1747" s="673"/>
      <c r="Z1747" s="673"/>
      <c r="AA1747" s="673"/>
      <c r="AB1747" s="673"/>
      <c r="AC1747" s="673"/>
      <c r="AD1747" s="673"/>
      <c r="AE1747" s="673"/>
      <c r="AF1747" s="673"/>
      <c r="AG1747" s="673"/>
      <c r="AH1747" s="673"/>
    </row>
    <row r="1748">
      <c r="A1748" s="653"/>
      <c r="B1748" s="654"/>
      <c r="C1748" s="691"/>
      <c r="D1748" s="661"/>
      <c r="E1748" s="705"/>
      <c r="F1748" s="659"/>
      <c r="G1748" s="661"/>
      <c r="H1748" s="660"/>
      <c r="I1748" s="691"/>
      <c r="J1748" s="661"/>
      <c r="K1748" s="706"/>
      <c r="L1748" s="665"/>
      <c r="M1748" s="663"/>
      <c r="N1748" s="665"/>
      <c r="O1748" s="665"/>
      <c r="P1748" s="665"/>
      <c r="Q1748" s="665"/>
      <c r="R1748" s="665"/>
      <c r="S1748" s="665"/>
      <c r="T1748" s="673"/>
      <c r="U1748" s="673"/>
      <c r="V1748" s="673"/>
      <c r="W1748" s="673"/>
      <c r="X1748" s="673"/>
      <c r="Y1748" s="673"/>
      <c r="Z1748" s="673"/>
      <c r="AA1748" s="673"/>
      <c r="AB1748" s="673"/>
      <c r="AC1748" s="673"/>
      <c r="AD1748" s="673"/>
      <c r="AE1748" s="673"/>
      <c r="AF1748" s="673"/>
      <c r="AG1748" s="673"/>
      <c r="AH1748" s="673"/>
    </row>
    <row r="1749">
      <c r="A1749" s="653"/>
      <c r="B1749" s="654"/>
      <c r="C1749" s="691"/>
      <c r="D1749" s="661"/>
      <c r="E1749" s="705"/>
      <c r="F1749" s="659"/>
      <c r="G1749" s="661"/>
      <c r="H1749" s="660"/>
      <c r="I1749" s="691"/>
      <c r="J1749" s="661"/>
      <c r="K1749" s="706"/>
      <c r="L1749" s="665"/>
      <c r="M1749" s="663"/>
      <c r="N1749" s="665"/>
      <c r="O1749" s="665"/>
      <c r="P1749" s="665"/>
      <c r="Q1749" s="665"/>
      <c r="R1749" s="665"/>
      <c r="S1749" s="665"/>
      <c r="T1749" s="673"/>
      <c r="U1749" s="673"/>
      <c r="V1749" s="673"/>
      <c r="W1749" s="673"/>
      <c r="X1749" s="673"/>
      <c r="Y1749" s="673"/>
      <c r="Z1749" s="673"/>
      <c r="AA1749" s="673"/>
      <c r="AB1749" s="673"/>
      <c r="AC1749" s="673"/>
      <c r="AD1749" s="673"/>
      <c r="AE1749" s="673"/>
      <c r="AF1749" s="673"/>
      <c r="AG1749" s="673"/>
      <c r="AH1749" s="673"/>
    </row>
    <row r="1750">
      <c r="A1750" s="653"/>
      <c r="B1750" s="654"/>
      <c r="C1750" s="691"/>
      <c r="D1750" s="661"/>
      <c r="E1750" s="705"/>
      <c r="F1750" s="659"/>
      <c r="G1750" s="661"/>
      <c r="H1750" s="660"/>
      <c r="I1750" s="691"/>
      <c r="J1750" s="661"/>
      <c r="K1750" s="706"/>
      <c r="L1750" s="665"/>
      <c r="M1750" s="663"/>
      <c r="N1750" s="665"/>
      <c r="O1750" s="665"/>
      <c r="P1750" s="665"/>
      <c r="Q1750" s="665"/>
      <c r="R1750" s="665"/>
      <c r="S1750" s="665"/>
      <c r="T1750" s="673"/>
      <c r="U1750" s="673"/>
      <c r="V1750" s="673"/>
      <c r="W1750" s="673"/>
      <c r="X1750" s="673"/>
      <c r="Y1750" s="673"/>
      <c r="Z1750" s="673"/>
      <c r="AA1750" s="673"/>
      <c r="AB1750" s="673"/>
      <c r="AC1750" s="673"/>
      <c r="AD1750" s="673"/>
      <c r="AE1750" s="673"/>
      <c r="AF1750" s="673"/>
      <c r="AG1750" s="673"/>
      <c r="AH1750" s="673"/>
    </row>
    <row r="1751">
      <c r="A1751" s="653"/>
      <c r="B1751" s="654"/>
      <c r="C1751" s="691"/>
      <c r="D1751" s="661"/>
      <c r="E1751" s="705"/>
      <c r="F1751" s="659"/>
      <c r="G1751" s="661"/>
      <c r="H1751" s="660"/>
      <c r="I1751" s="691"/>
      <c r="J1751" s="661"/>
      <c r="K1751" s="706"/>
      <c r="L1751" s="665"/>
      <c r="M1751" s="663"/>
      <c r="N1751" s="665"/>
      <c r="O1751" s="665"/>
      <c r="P1751" s="665"/>
      <c r="Q1751" s="665"/>
      <c r="R1751" s="665"/>
      <c r="S1751" s="665"/>
      <c r="T1751" s="673"/>
      <c r="U1751" s="673"/>
      <c r="V1751" s="673"/>
      <c r="W1751" s="673"/>
      <c r="X1751" s="673"/>
      <c r="Y1751" s="673"/>
      <c r="Z1751" s="673"/>
      <c r="AA1751" s="673"/>
      <c r="AB1751" s="673"/>
      <c r="AC1751" s="673"/>
      <c r="AD1751" s="673"/>
      <c r="AE1751" s="673"/>
      <c r="AF1751" s="673"/>
      <c r="AG1751" s="673"/>
      <c r="AH1751" s="673"/>
    </row>
    <row r="1752">
      <c r="A1752" s="653"/>
      <c r="B1752" s="654"/>
      <c r="C1752" s="691"/>
      <c r="D1752" s="661"/>
      <c r="E1752" s="705"/>
      <c r="F1752" s="659"/>
      <c r="G1752" s="661"/>
      <c r="H1752" s="660"/>
      <c r="I1752" s="691"/>
      <c r="J1752" s="661"/>
      <c r="K1752" s="706"/>
      <c r="L1752" s="665"/>
      <c r="M1752" s="663"/>
      <c r="N1752" s="665"/>
      <c r="O1752" s="665"/>
      <c r="P1752" s="665"/>
      <c r="Q1752" s="665"/>
      <c r="R1752" s="665"/>
      <c r="S1752" s="665"/>
      <c r="T1752" s="673"/>
      <c r="U1752" s="673"/>
      <c r="V1752" s="673"/>
      <c r="W1752" s="673"/>
      <c r="X1752" s="673"/>
      <c r="Y1752" s="673"/>
      <c r="Z1752" s="673"/>
      <c r="AA1752" s="673"/>
      <c r="AB1752" s="673"/>
      <c r="AC1752" s="673"/>
      <c r="AD1752" s="673"/>
      <c r="AE1752" s="673"/>
      <c r="AF1752" s="673"/>
      <c r="AG1752" s="673"/>
      <c r="AH1752" s="673"/>
    </row>
    <row r="1753">
      <c r="A1753" s="653"/>
      <c r="B1753" s="654"/>
      <c r="C1753" s="691"/>
      <c r="D1753" s="661"/>
      <c r="E1753" s="705"/>
      <c r="F1753" s="659"/>
      <c r="G1753" s="661"/>
      <c r="H1753" s="660"/>
      <c r="I1753" s="691"/>
      <c r="J1753" s="661"/>
      <c r="K1753" s="706"/>
      <c r="L1753" s="665"/>
      <c r="M1753" s="663"/>
      <c r="N1753" s="665"/>
      <c r="O1753" s="665"/>
      <c r="P1753" s="665"/>
      <c r="Q1753" s="665"/>
      <c r="R1753" s="665"/>
      <c r="S1753" s="665"/>
      <c r="T1753" s="673"/>
      <c r="U1753" s="673"/>
      <c r="V1753" s="673"/>
      <c r="W1753" s="673"/>
      <c r="X1753" s="673"/>
      <c r="Y1753" s="673"/>
      <c r="Z1753" s="673"/>
      <c r="AA1753" s="673"/>
      <c r="AB1753" s="673"/>
      <c r="AC1753" s="673"/>
      <c r="AD1753" s="673"/>
      <c r="AE1753" s="673"/>
      <c r="AF1753" s="673"/>
      <c r="AG1753" s="673"/>
      <c r="AH1753" s="673"/>
    </row>
    <row r="1754">
      <c r="A1754" s="653"/>
      <c r="B1754" s="654"/>
      <c r="C1754" s="691"/>
      <c r="D1754" s="661"/>
      <c r="E1754" s="705"/>
      <c r="F1754" s="659"/>
      <c r="G1754" s="661"/>
      <c r="H1754" s="660"/>
      <c r="I1754" s="691"/>
      <c r="J1754" s="661"/>
      <c r="K1754" s="706"/>
      <c r="L1754" s="665"/>
      <c r="M1754" s="663"/>
      <c r="N1754" s="665"/>
      <c r="O1754" s="665"/>
      <c r="P1754" s="665"/>
      <c r="Q1754" s="665"/>
      <c r="R1754" s="665"/>
      <c r="S1754" s="665"/>
      <c r="T1754" s="673"/>
      <c r="U1754" s="673"/>
      <c r="V1754" s="673"/>
      <c r="W1754" s="673"/>
      <c r="X1754" s="673"/>
      <c r="Y1754" s="673"/>
      <c r="Z1754" s="673"/>
      <c r="AA1754" s="673"/>
      <c r="AB1754" s="673"/>
      <c r="AC1754" s="673"/>
      <c r="AD1754" s="673"/>
      <c r="AE1754" s="673"/>
      <c r="AF1754" s="673"/>
      <c r="AG1754" s="673"/>
      <c r="AH1754" s="673"/>
    </row>
    <row r="1755">
      <c r="A1755" s="653"/>
      <c r="B1755" s="654"/>
      <c r="C1755" s="691"/>
      <c r="D1755" s="661"/>
      <c r="E1755" s="705"/>
      <c r="F1755" s="659"/>
      <c r="G1755" s="661"/>
      <c r="H1755" s="660"/>
      <c r="I1755" s="691"/>
      <c r="J1755" s="661"/>
      <c r="K1755" s="706"/>
      <c r="L1755" s="665"/>
      <c r="M1755" s="663"/>
      <c r="N1755" s="665"/>
      <c r="O1755" s="665"/>
      <c r="P1755" s="665"/>
      <c r="Q1755" s="665"/>
      <c r="R1755" s="665"/>
      <c r="S1755" s="665"/>
      <c r="T1755" s="673"/>
      <c r="U1755" s="673"/>
      <c r="V1755" s="673"/>
      <c r="W1755" s="673"/>
      <c r="X1755" s="673"/>
      <c r="Y1755" s="673"/>
      <c r="Z1755" s="673"/>
      <c r="AA1755" s="673"/>
      <c r="AB1755" s="673"/>
      <c r="AC1755" s="673"/>
      <c r="AD1755" s="673"/>
      <c r="AE1755" s="673"/>
      <c r="AF1755" s="673"/>
      <c r="AG1755" s="673"/>
      <c r="AH1755" s="673"/>
    </row>
    <row r="1756">
      <c r="A1756" s="653"/>
      <c r="B1756" s="654"/>
      <c r="C1756" s="691"/>
      <c r="D1756" s="661"/>
      <c r="E1756" s="705"/>
      <c r="F1756" s="659"/>
      <c r="G1756" s="661"/>
      <c r="H1756" s="660"/>
      <c r="I1756" s="691"/>
      <c r="J1756" s="661"/>
      <c r="K1756" s="706"/>
      <c r="L1756" s="665"/>
      <c r="M1756" s="663"/>
      <c r="N1756" s="665"/>
      <c r="O1756" s="665"/>
      <c r="P1756" s="665"/>
      <c r="Q1756" s="665"/>
      <c r="R1756" s="665"/>
      <c r="S1756" s="665"/>
      <c r="T1756" s="673"/>
      <c r="U1756" s="673"/>
      <c r="V1756" s="673"/>
      <c r="W1756" s="673"/>
      <c r="X1756" s="673"/>
      <c r="Y1756" s="673"/>
      <c r="Z1756" s="673"/>
      <c r="AA1756" s="673"/>
      <c r="AB1756" s="673"/>
      <c r="AC1756" s="673"/>
      <c r="AD1756" s="673"/>
      <c r="AE1756" s="673"/>
      <c r="AF1756" s="673"/>
      <c r="AG1756" s="673"/>
      <c r="AH1756" s="673"/>
    </row>
    <row r="1757">
      <c r="A1757" s="653"/>
      <c r="B1757" s="654"/>
      <c r="C1757" s="691"/>
      <c r="D1757" s="661"/>
      <c r="E1757" s="705"/>
      <c r="F1757" s="659"/>
      <c r="G1757" s="661"/>
      <c r="H1757" s="660"/>
      <c r="I1757" s="691"/>
      <c r="J1757" s="661"/>
      <c r="K1757" s="706"/>
      <c r="L1757" s="665"/>
      <c r="M1757" s="663"/>
      <c r="N1757" s="665"/>
      <c r="O1757" s="665"/>
      <c r="P1757" s="665"/>
      <c r="Q1757" s="665"/>
      <c r="R1757" s="665"/>
      <c r="S1757" s="665"/>
      <c r="T1757" s="673"/>
      <c r="U1757" s="673"/>
      <c r="V1757" s="673"/>
      <c r="W1757" s="673"/>
      <c r="X1757" s="673"/>
      <c r="Y1757" s="673"/>
      <c r="Z1757" s="673"/>
      <c r="AA1757" s="673"/>
      <c r="AB1757" s="673"/>
      <c r="AC1757" s="673"/>
      <c r="AD1757" s="673"/>
      <c r="AE1757" s="673"/>
      <c r="AF1757" s="673"/>
      <c r="AG1757" s="673"/>
      <c r="AH1757" s="673"/>
    </row>
    <row r="1758">
      <c r="A1758" s="653"/>
      <c r="B1758" s="654"/>
      <c r="C1758" s="691"/>
      <c r="D1758" s="661"/>
      <c r="E1758" s="705"/>
      <c r="F1758" s="659"/>
      <c r="G1758" s="661"/>
      <c r="H1758" s="660"/>
      <c r="I1758" s="691"/>
      <c r="J1758" s="661"/>
      <c r="K1758" s="706"/>
      <c r="L1758" s="665"/>
      <c r="M1758" s="663"/>
      <c r="N1758" s="665"/>
      <c r="O1758" s="665"/>
      <c r="P1758" s="665"/>
      <c r="Q1758" s="665"/>
      <c r="R1758" s="665"/>
      <c r="S1758" s="665"/>
      <c r="T1758" s="673"/>
      <c r="U1758" s="673"/>
      <c r="V1758" s="673"/>
      <c r="W1758" s="673"/>
      <c r="X1758" s="673"/>
      <c r="Y1758" s="673"/>
      <c r="Z1758" s="673"/>
      <c r="AA1758" s="673"/>
      <c r="AB1758" s="673"/>
      <c r="AC1758" s="673"/>
      <c r="AD1758" s="673"/>
      <c r="AE1758" s="673"/>
      <c r="AF1758" s="673"/>
      <c r="AG1758" s="673"/>
      <c r="AH1758" s="673"/>
    </row>
    <row r="1759">
      <c r="A1759" s="653"/>
      <c r="B1759" s="654"/>
      <c r="C1759" s="691"/>
      <c r="D1759" s="661"/>
      <c r="E1759" s="705"/>
      <c r="F1759" s="659"/>
      <c r="G1759" s="661"/>
      <c r="H1759" s="660"/>
      <c r="I1759" s="691"/>
      <c r="J1759" s="661"/>
      <c r="K1759" s="706"/>
      <c r="L1759" s="665"/>
      <c r="M1759" s="663"/>
      <c r="N1759" s="665"/>
      <c r="O1759" s="665"/>
      <c r="P1759" s="665"/>
      <c r="Q1759" s="665"/>
      <c r="R1759" s="665"/>
      <c r="S1759" s="665"/>
      <c r="T1759" s="673"/>
      <c r="U1759" s="673"/>
      <c r="V1759" s="673"/>
      <c r="W1759" s="673"/>
      <c r="X1759" s="673"/>
      <c r="Y1759" s="673"/>
      <c r="Z1759" s="673"/>
      <c r="AA1759" s="673"/>
      <c r="AB1759" s="673"/>
      <c r="AC1759" s="673"/>
      <c r="AD1759" s="673"/>
      <c r="AE1759" s="673"/>
      <c r="AF1759" s="673"/>
      <c r="AG1759" s="673"/>
      <c r="AH1759" s="673"/>
    </row>
    <row r="1760">
      <c r="A1760" s="653"/>
      <c r="B1760" s="654"/>
      <c r="C1760" s="691"/>
      <c r="D1760" s="661"/>
      <c r="E1760" s="705"/>
      <c r="F1760" s="659"/>
      <c r="G1760" s="661"/>
      <c r="H1760" s="660"/>
      <c r="I1760" s="691"/>
      <c r="J1760" s="661"/>
      <c r="K1760" s="706"/>
      <c r="L1760" s="665"/>
      <c r="M1760" s="663"/>
      <c r="N1760" s="665"/>
      <c r="O1760" s="665"/>
      <c r="P1760" s="665"/>
      <c r="Q1760" s="665"/>
      <c r="R1760" s="665"/>
      <c r="S1760" s="665"/>
      <c r="T1760" s="673"/>
      <c r="U1760" s="673"/>
      <c r="V1760" s="673"/>
      <c r="W1760" s="673"/>
      <c r="X1760" s="673"/>
      <c r="Y1760" s="673"/>
      <c r="Z1760" s="673"/>
      <c r="AA1760" s="673"/>
      <c r="AB1760" s="673"/>
      <c r="AC1760" s="673"/>
      <c r="AD1760" s="673"/>
      <c r="AE1760" s="673"/>
      <c r="AF1760" s="673"/>
      <c r="AG1760" s="673"/>
      <c r="AH1760" s="673"/>
    </row>
    <row r="1761">
      <c r="A1761" s="653"/>
      <c r="B1761" s="654"/>
      <c r="C1761" s="691"/>
      <c r="D1761" s="661"/>
      <c r="E1761" s="705"/>
      <c r="F1761" s="659"/>
      <c r="G1761" s="661"/>
      <c r="H1761" s="660"/>
      <c r="I1761" s="691"/>
      <c r="J1761" s="661"/>
      <c r="K1761" s="706"/>
      <c r="L1761" s="665"/>
      <c r="M1761" s="663"/>
      <c r="N1761" s="665"/>
      <c r="O1761" s="665"/>
      <c r="P1761" s="665"/>
      <c r="Q1761" s="665"/>
      <c r="R1761" s="665"/>
      <c r="S1761" s="665"/>
      <c r="T1761" s="673"/>
      <c r="U1761" s="673"/>
      <c r="V1761" s="673"/>
      <c r="W1761" s="673"/>
      <c r="X1761" s="673"/>
      <c r="Y1761" s="673"/>
      <c r="Z1761" s="673"/>
      <c r="AA1761" s="673"/>
      <c r="AB1761" s="673"/>
      <c r="AC1761" s="673"/>
      <c r="AD1761" s="673"/>
      <c r="AE1761" s="673"/>
      <c r="AF1761" s="673"/>
      <c r="AG1761" s="673"/>
      <c r="AH1761" s="673"/>
    </row>
    <row r="1762">
      <c r="A1762" s="653"/>
      <c r="B1762" s="654"/>
      <c r="C1762" s="691"/>
      <c r="D1762" s="661"/>
      <c r="E1762" s="705"/>
      <c r="F1762" s="659"/>
      <c r="G1762" s="661"/>
      <c r="H1762" s="660"/>
      <c r="I1762" s="691"/>
      <c r="J1762" s="661"/>
      <c r="K1762" s="706"/>
      <c r="L1762" s="665"/>
      <c r="M1762" s="663"/>
      <c r="N1762" s="665"/>
      <c r="O1762" s="665"/>
      <c r="P1762" s="665"/>
      <c r="Q1762" s="665"/>
      <c r="R1762" s="665"/>
      <c r="S1762" s="665"/>
      <c r="T1762" s="673"/>
      <c r="U1762" s="673"/>
      <c r="V1762" s="673"/>
      <c r="W1762" s="673"/>
      <c r="X1762" s="673"/>
      <c r="Y1762" s="673"/>
      <c r="Z1762" s="673"/>
      <c r="AA1762" s="673"/>
      <c r="AB1762" s="673"/>
      <c r="AC1762" s="673"/>
      <c r="AD1762" s="673"/>
      <c r="AE1762" s="673"/>
      <c r="AF1762" s="673"/>
      <c r="AG1762" s="673"/>
      <c r="AH1762" s="673"/>
    </row>
    <row r="1763">
      <c r="A1763" s="653"/>
      <c r="B1763" s="654"/>
      <c r="C1763" s="691"/>
      <c r="D1763" s="661"/>
      <c r="E1763" s="705"/>
      <c r="F1763" s="659"/>
      <c r="G1763" s="661"/>
      <c r="H1763" s="660"/>
      <c r="I1763" s="691"/>
      <c r="J1763" s="661"/>
      <c r="K1763" s="706"/>
      <c r="L1763" s="665"/>
      <c r="M1763" s="663"/>
      <c r="N1763" s="665"/>
      <c r="O1763" s="665"/>
      <c r="P1763" s="665"/>
      <c r="Q1763" s="665"/>
      <c r="R1763" s="665"/>
      <c r="S1763" s="665"/>
      <c r="T1763" s="673"/>
      <c r="U1763" s="673"/>
      <c r="V1763" s="673"/>
      <c r="W1763" s="673"/>
      <c r="X1763" s="673"/>
      <c r="Y1763" s="673"/>
      <c r="Z1763" s="673"/>
      <c r="AA1763" s="673"/>
      <c r="AB1763" s="673"/>
      <c r="AC1763" s="673"/>
      <c r="AD1763" s="673"/>
      <c r="AE1763" s="673"/>
      <c r="AF1763" s="673"/>
      <c r="AG1763" s="673"/>
      <c r="AH1763" s="673"/>
    </row>
    <row r="1764">
      <c r="A1764" s="653"/>
      <c r="B1764" s="654"/>
      <c r="C1764" s="691"/>
      <c r="D1764" s="661"/>
      <c r="E1764" s="705"/>
      <c r="F1764" s="659"/>
      <c r="G1764" s="661"/>
      <c r="H1764" s="660"/>
      <c r="I1764" s="691"/>
      <c r="J1764" s="661"/>
      <c r="K1764" s="706"/>
      <c r="L1764" s="665"/>
      <c r="M1764" s="663"/>
      <c r="N1764" s="665"/>
      <c r="O1764" s="665"/>
      <c r="P1764" s="665"/>
      <c r="Q1764" s="665"/>
      <c r="R1764" s="665"/>
      <c r="S1764" s="665"/>
      <c r="T1764" s="673"/>
      <c r="U1764" s="673"/>
      <c r="V1764" s="673"/>
      <c r="W1764" s="673"/>
      <c r="X1764" s="673"/>
      <c r="Y1764" s="673"/>
      <c r="Z1764" s="673"/>
      <c r="AA1764" s="673"/>
      <c r="AB1764" s="673"/>
      <c r="AC1764" s="673"/>
      <c r="AD1764" s="673"/>
      <c r="AE1764" s="673"/>
      <c r="AF1764" s="673"/>
      <c r="AG1764" s="673"/>
      <c r="AH1764" s="673"/>
    </row>
    <row r="1765">
      <c r="A1765" s="653"/>
      <c r="B1765" s="654"/>
      <c r="C1765" s="691"/>
      <c r="D1765" s="661"/>
      <c r="E1765" s="705"/>
      <c r="F1765" s="659"/>
      <c r="G1765" s="661"/>
      <c r="H1765" s="660"/>
      <c r="I1765" s="691"/>
      <c r="J1765" s="661"/>
      <c r="K1765" s="706"/>
      <c r="L1765" s="665"/>
      <c r="M1765" s="663"/>
      <c r="N1765" s="665"/>
      <c r="O1765" s="665"/>
      <c r="P1765" s="665"/>
      <c r="Q1765" s="665"/>
      <c r="R1765" s="665"/>
      <c r="S1765" s="665"/>
      <c r="T1765" s="673"/>
      <c r="U1765" s="673"/>
      <c r="V1765" s="673"/>
      <c r="W1765" s="673"/>
      <c r="X1765" s="673"/>
      <c r="Y1765" s="673"/>
      <c r="Z1765" s="673"/>
      <c r="AA1765" s="673"/>
      <c r="AB1765" s="673"/>
      <c r="AC1765" s="673"/>
      <c r="AD1765" s="673"/>
      <c r="AE1765" s="673"/>
      <c r="AF1765" s="673"/>
      <c r="AG1765" s="673"/>
      <c r="AH1765" s="673"/>
    </row>
    <row r="1766">
      <c r="A1766" s="653"/>
      <c r="B1766" s="654"/>
      <c r="C1766" s="691"/>
      <c r="D1766" s="661"/>
      <c r="E1766" s="705"/>
      <c r="F1766" s="659"/>
      <c r="G1766" s="661"/>
      <c r="H1766" s="660"/>
      <c r="I1766" s="691"/>
      <c r="J1766" s="661"/>
      <c r="K1766" s="706"/>
      <c r="L1766" s="665"/>
      <c r="M1766" s="663"/>
      <c r="N1766" s="665"/>
      <c r="O1766" s="665"/>
      <c r="P1766" s="665"/>
      <c r="Q1766" s="665"/>
      <c r="R1766" s="665"/>
      <c r="S1766" s="665"/>
      <c r="T1766" s="673"/>
      <c r="U1766" s="673"/>
      <c r="V1766" s="673"/>
      <c r="W1766" s="673"/>
      <c r="X1766" s="673"/>
      <c r="Y1766" s="673"/>
      <c r="Z1766" s="673"/>
      <c r="AA1766" s="673"/>
      <c r="AB1766" s="673"/>
      <c r="AC1766" s="673"/>
      <c r="AD1766" s="673"/>
      <c r="AE1766" s="673"/>
      <c r="AF1766" s="673"/>
      <c r="AG1766" s="673"/>
      <c r="AH1766" s="673"/>
    </row>
    <row r="1767">
      <c r="A1767" s="653"/>
      <c r="B1767" s="654"/>
      <c r="C1767" s="691"/>
      <c r="D1767" s="661"/>
      <c r="E1767" s="705"/>
      <c r="F1767" s="659"/>
      <c r="G1767" s="661"/>
      <c r="H1767" s="660"/>
      <c r="I1767" s="691"/>
      <c r="J1767" s="661"/>
      <c r="K1767" s="706"/>
      <c r="L1767" s="665"/>
      <c r="M1767" s="663"/>
      <c r="N1767" s="665"/>
      <c r="O1767" s="665"/>
      <c r="P1767" s="665"/>
      <c r="Q1767" s="665"/>
      <c r="R1767" s="665"/>
      <c r="S1767" s="665"/>
      <c r="T1767" s="673"/>
      <c r="U1767" s="673"/>
      <c r="V1767" s="673"/>
      <c r="W1767" s="673"/>
      <c r="X1767" s="673"/>
      <c r="Y1767" s="673"/>
      <c r="Z1767" s="673"/>
      <c r="AA1767" s="673"/>
      <c r="AB1767" s="673"/>
      <c r="AC1767" s="673"/>
      <c r="AD1767" s="673"/>
      <c r="AE1767" s="673"/>
      <c r="AF1767" s="673"/>
      <c r="AG1767" s="673"/>
      <c r="AH1767" s="673"/>
    </row>
    <row r="1768">
      <c r="A1768" s="653"/>
      <c r="B1768" s="654"/>
      <c r="C1768" s="691"/>
      <c r="D1768" s="661"/>
      <c r="E1768" s="705"/>
      <c r="F1768" s="659"/>
      <c r="G1768" s="661"/>
      <c r="H1768" s="660"/>
      <c r="I1768" s="691"/>
      <c r="J1768" s="661"/>
      <c r="K1768" s="706"/>
      <c r="L1768" s="665"/>
      <c r="M1768" s="663"/>
      <c r="N1768" s="665"/>
      <c r="O1768" s="665"/>
      <c r="P1768" s="665"/>
      <c r="Q1768" s="665"/>
      <c r="R1768" s="665"/>
      <c r="S1768" s="665"/>
      <c r="T1768" s="673"/>
      <c r="U1768" s="673"/>
      <c r="V1768" s="673"/>
      <c r="W1768" s="673"/>
      <c r="X1768" s="673"/>
      <c r="Y1768" s="673"/>
      <c r="Z1768" s="673"/>
      <c r="AA1768" s="673"/>
      <c r="AB1768" s="673"/>
      <c r="AC1768" s="673"/>
      <c r="AD1768" s="673"/>
      <c r="AE1768" s="673"/>
      <c r="AF1768" s="673"/>
      <c r="AG1768" s="673"/>
      <c r="AH1768" s="673"/>
    </row>
    <row r="1769">
      <c r="A1769" s="653"/>
      <c r="B1769" s="654"/>
      <c r="C1769" s="691"/>
      <c r="D1769" s="661"/>
      <c r="E1769" s="705"/>
      <c r="F1769" s="659"/>
      <c r="G1769" s="661"/>
      <c r="H1769" s="660"/>
      <c r="I1769" s="691"/>
      <c r="J1769" s="661"/>
      <c r="K1769" s="706"/>
      <c r="L1769" s="665"/>
      <c r="M1769" s="663"/>
      <c r="N1769" s="665"/>
      <c r="O1769" s="665"/>
      <c r="P1769" s="665"/>
      <c r="Q1769" s="665"/>
      <c r="R1769" s="665"/>
      <c r="S1769" s="665"/>
      <c r="T1769" s="673"/>
      <c r="U1769" s="673"/>
      <c r="V1769" s="673"/>
      <c r="W1769" s="673"/>
      <c r="X1769" s="673"/>
      <c r="Y1769" s="673"/>
      <c r="Z1769" s="673"/>
      <c r="AA1769" s="673"/>
      <c r="AB1769" s="673"/>
      <c r="AC1769" s="673"/>
      <c r="AD1769" s="673"/>
      <c r="AE1769" s="673"/>
      <c r="AF1769" s="673"/>
      <c r="AG1769" s="673"/>
      <c r="AH1769" s="673"/>
    </row>
    <row r="1770">
      <c r="A1770" s="653"/>
      <c r="B1770" s="654"/>
      <c r="C1770" s="691"/>
      <c r="D1770" s="661"/>
      <c r="E1770" s="705"/>
      <c r="F1770" s="659"/>
      <c r="G1770" s="661"/>
      <c r="H1770" s="660"/>
      <c r="I1770" s="691"/>
      <c r="J1770" s="661"/>
      <c r="K1770" s="706"/>
      <c r="L1770" s="665"/>
      <c r="M1770" s="663"/>
      <c r="N1770" s="665"/>
      <c r="O1770" s="665"/>
      <c r="P1770" s="665"/>
      <c r="Q1770" s="665"/>
      <c r="R1770" s="665"/>
      <c r="S1770" s="665"/>
      <c r="T1770" s="673"/>
      <c r="U1770" s="673"/>
      <c r="V1770" s="673"/>
      <c r="W1770" s="673"/>
      <c r="X1770" s="673"/>
      <c r="Y1770" s="673"/>
      <c r="Z1770" s="673"/>
      <c r="AA1770" s="673"/>
      <c r="AB1770" s="673"/>
      <c r="AC1770" s="673"/>
      <c r="AD1770" s="673"/>
      <c r="AE1770" s="673"/>
      <c r="AF1770" s="673"/>
      <c r="AG1770" s="673"/>
      <c r="AH1770" s="673"/>
    </row>
    <row r="1771">
      <c r="A1771" s="653"/>
      <c r="B1771" s="654"/>
      <c r="C1771" s="691"/>
      <c r="D1771" s="661"/>
      <c r="E1771" s="705"/>
      <c r="F1771" s="659"/>
      <c r="G1771" s="661"/>
      <c r="H1771" s="660"/>
      <c r="I1771" s="691"/>
      <c r="J1771" s="661"/>
      <c r="K1771" s="706"/>
      <c r="L1771" s="665"/>
      <c r="M1771" s="663"/>
      <c r="N1771" s="665"/>
      <c r="O1771" s="665"/>
      <c r="P1771" s="665"/>
      <c r="Q1771" s="665"/>
      <c r="R1771" s="665"/>
      <c r="S1771" s="665"/>
      <c r="T1771" s="673"/>
      <c r="U1771" s="673"/>
      <c r="V1771" s="673"/>
      <c r="W1771" s="673"/>
      <c r="X1771" s="673"/>
      <c r="Y1771" s="673"/>
      <c r="Z1771" s="673"/>
      <c r="AA1771" s="673"/>
      <c r="AB1771" s="673"/>
      <c r="AC1771" s="673"/>
      <c r="AD1771" s="673"/>
      <c r="AE1771" s="673"/>
      <c r="AF1771" s="673"/>
      <c r="AG1771" s="673"/>
      <c r="AH1771" s="673"/>
    </row>
    <row r="1772">
      <c r="A1772" s="653"/>
      <c r="B1772" s="654"/>
      <c r="C1772" s="691"/>
      <c r="D1772" s="661"/>
      <c r="E1772" s="705"/>
      <c r="F1772" s="659"/>
      <c r="G1772" s="661"/>
      <c r="H1772" s="660"/>
      <c r="I1772" s="691"/>
      <c r="J1772" s="661"/>
      <c r="K1772" s="706"/>
      <c r="L1772" s="665"/>
      <c r="M1772" s="663"/>
      <c r="N1772" s="665"/>
      <c r="O1772" s="665"/>
      <c r="P1772" s="665"/>
      <c r="Q1772" s="665"/>
      <c r="R1772" s="665"/>
      <c r="S1772" s="665"/>
      <c r="T1772" s="673"/>
      <c r="U1772" s="673"/>
      <c r="V1772" s="673"/>
      <c r="W1772" s="673"/>
      <c r="X1772" s="673"/>
      <c r="Y1772" s="673"/>
      <c r="Z1772" s="673"/>
      <c r="AA1772" s="673"/>
      <c r="AB1772" s="673"/>
      <c r="AC1772" s="673"/>
      <c r="AD1772" s="673"/>
      <c r="AE1772" s="673"/>
      <c r="AF1772" s="673"/>
      <c r="AG1772" s="673"/>
      <c r="AH1772" s="673"/>
    </row>
    <row r="1773">
      <c r="A1773" s="653"/>
      <c r="B1773" s="654"/>
      <c r="C1773" s="691"/>
      <c r="D1773" s="661"/>
      <c r="E1773" s="705"/>
      <c r="F1773" s="659"/>
      <c r="G1773" s="661"/>
      <c r="H1773" s="660"/>
      <c r="I1773" s="691"/>
      <c r="J1773" s="661"/>
      <c r="K1773" s="706"/>
      <c r="L1773" s="665"/>
      <c r="M1773" s="663"/>
      <c r="N1773" s="665"/>
      <c r="O1773" s="665"/>
      <c r="P1773" s="665"/>
      <c r="Q1773" s="665"/>
      <c r="R1773" s="665"/>
      <c r="S1773" s="665"/>
      <c r="T1773" s="673"/>
      <c r="U1773" s="673"/>
      <c r="V1773" s="673"/>
      <c r="W1773" s="673"/>
      <c r="X1773" s="673"/>
      <c r="Y1773" s="673"/>
      <c r="Z1773" s="673"/>
      <c r="AA1773" s="673"/>
      <c r="AB1773" s="673"/>
      <c r="AC1773" s="673"/>
      <c r="AD1773" s="673"/>
      <c r="AE1773" s="673"/>
      <c r="AF1773" s="673"/>
      <c r="AG1773" s="673"/>
      <c r="AH1773" s="673"/>
    </row>
    <row r="1774">
      <c r="A1774" s="653"/>
      <c r="B1774" s="654"/>
      <c r="C1774" s="691"/>
      <c r="D1774" s="661"/>
      <c r="E1774" s="705"/>
      <c r="F1774" s="659"/>
      <c r="G1774" s="661"/>
      <c r="H1774" s="660"/>
      <c r="I1774" s="691"/>
      <c r="J1774" s="661"/>
      <c r="K1774" s="706"/>
      <c r="L1774" s="665"/>
      <c r="M1774" s="663"/>
      <c r="N1774" s="665"/>
      <c r="O1774" s="665"/>
      <c r="P1774" s="665"/>
      <c r="Q1774" s="665"/>
      <c r="R1774" s="665"/>
      <c r="S1774" s="665"/>
      <c r="T1774" s="673"/>
      <c r="U1774" s="673"/>
      <c r="V1774" s="673"/>
      <c r="W1774" s="673"/>
      <c r="X1774" s="673"/>
      <c r="Y1774" s="673"/>
      <c r="Z1774" s="673"/>
      <c r="AA1774" s="673"/>
      <c r="AB1774" s="673"/>
      <c r="AC1774" s="673"/>
      <c r="AD1774" s="673"/>
      <c r="AE1774" s="673"/>
      <c r="AF1774" s="673"/>
      <c r="AG1774" s="673"/>
      <c r="AH1774" s="673"/>
    </row>
    <row r="1775">
      <c r="A1775" s="653"/>
      <c r="B1775" s="654"/>
      <c r="C1775" s="691"/>
      <c r="D1775" s="661"/>
      <c r="E1775" s="705"/>
      <c r="F1775" s="659"/>
      <c r="G1775" s="661"/>
      <c r="H1775" s="660"/>
      <c r="I1775" s="691"/>
      <c r="J1775" s="661"/>
      <c r="K1775" s="706"/>
      <c r="L1775" s="665"/>
      <c r="M1775" s="663"/>
      <c r="N1775" s="665"/>
      <c r="O1775" s="665"/>
      <c r="P1775" s="665"/>
      <c r="Q1775" s="665"/>
      <c r="R1775" s="665"/>
      <c r="S1775" s="665"/>
      <c r="T1775" s="673"/>
      <c r="U1775" s="673"/>
      <c r="V1775" s="673"/>
      <c r="W1775" s="673"/>
      <c r="X1775" s="673"/>
      <c r="Y1775" s="673"/>
      <c r="Z1775" s="673"/>
      <c r="AA1775" s="673"/>
      <c r="AB1775" s="673"/>
      <c r="AC1775" s="673"/>
      <c r="AD1775" s="673"/>
      <c r="AE1775" s="673"/>
      <c r="AF1775" s="673"/>
      <c r="AG1775" s="673"/>
      <c r="AH1775" s="673"/>
    </row>
    <row r="1776">
      <c r="A1776" s="653"/>
      <c r="B1776" s="654"/>
      <c r="C1776" s="691"/>
      <c r="D1776" s="661"/>
      <c r="E1776" s="705"/>
      <c r="F1776" s="659"/>
      <c r="G1776" s="661"/>
      <c r="H1776" s="660"/>
      <c r="I1776" s="691"/>
      <c r="J1776" s="661"/>
      <c r="K1776" s="706"/>
      <c r="L1776" s="665"/>
      <c r="M1776" s="663"/>
      <c r="N1776" s="665"/>
      <c r="O1776" s="665"/>
      <c r="P1776" s="665"/>
      <c r="Q1776" s="665"/>
      <c r="R1776" s="665"/>
      <c r="S1776" s="665"/>
      <c r="T1776" s="673"/>
      <c r="U1776" s="673"/>
      <c r="V1776" s="673"/>
      <c r="W1776" s="673"/>
      <c r="X1776" s="673"/>
      <c r="Y1776" s="673"/>
      <c r="Z1776" s="673"/>
      <c r="AA1776" s="673"/>
      <c r="AB1776" s="673"/>
      <c r="AC1776" s="673"/>
      <c r="AD1776" s="673"/>
      <c r="AE1776" s="673"/>
      <c r="AF1776" s="673"/>
      <c r="AG1776" s="673"/>
      <c r="AH1776" s="673"/>
    </row>
    <row r="1777">
      <c r="A1777" s="653"/>
      <c r="B1777" s="654"/>
      <c r="C1777" s="691"/>
      <c r="D1777" s="661"/>
      <c r="E1777" s="705"/>
      <c r="F1777" s="659"/>
      <c r="G1777" s="661"/>
      <c r="H1777" s="660"/>
      <c r="I1777" s="691"/>
      <c r="J1777" s="661"/>
      <c r="K1777" s="706"/>
      <c r="L1777" s="665"/>
      <c r="M1777" s="663"/>
      <c r="N1777" s="665"/>
      <c r="O1777" s="665"/>
      <c r="P1777" s="665"/>
      <c r="Q1777" s="665"/>
      <c r="R1777" s="665"/>
      <c r="S1777" s="665"/>
      <c r="T1777" s="673"/>
      <c r="U1777" s="673"/>
      <c r="V1777" s="673"/>
      <c r="W1777" s="673"/>
      <c r="X1777" s="673"/>
      <c r="Y1777" s="673"/>
      <c r="Z1777" s="673"/>
      <c r="AA1777" s="673"/>
      <c r="AB1777" s="673"/>
      <c r="AC1777" s="673"/>
      <c r="AD1777" s="673"/>
      <c r="AE1777" s="673"/>
      <c r="AF1777" s="673"/>
      <c r="AG1777" s="673"/>
      <c r="AH1777" s="673"/>
    </row>
    <row r="1778">
      <c r="A1778" s="653"/>
      <c r="B1778" s="654"/>
      <c r="C1778" s="691"/>
      <c r="D1778" s="661"/>
      <c r="E1778" s="705"/>
      <c r="F1778" s="659"/>
      <c r="G1778" s="661"/>
      <c r="H1778" s="660"/>
      <c r="I1778" s="691"/>
      <c r="J1778" s="661"/>
      <c r="K1778" s="706"/>
      <c r="L1778" s="665"/>
      <c r="M1778" s="663"/>
      <c r="N1778" s="665"/>
      <c r="O1778" s="665"/>
      <c r="P1778" s="665"/>
      <c r="Q1778" s="665"/>
      <c r="R1778" s="665"/>
      <c r="S1778" s="665"/>
      <c r="T1778" s="673"/>
      <c r="U1778" s="673"/>
      <c r="V1778" s="673"/>
      <c r="W1778" s="673"/>
      <c r="X1778" s="673"/>
      <c r="Y1778" s="673"/>
      <c r="Z1778" s="673"/>
      <c r="AA1778" s="673"/>
      <c r="AB1778" s="673"/>
      <c r="AC1778" s="673"/>
      <c r="AD1778" s="673"/>
      <c r="AE1778" s="673"/>
      <c r="AF1778" s="673"/>
      <c r="AG1778" s="673"/>
      <c r="AH1778" s="673"/>
    </row>
    <row r="1779">
      <c r="A1779" s="653"/>
      <c r="B1779" s="654"/>
      <c r="C1779" s="691"/>
      <c r="D1779" s="661"/>
      <c r="E1779" s="705"/>
      <c r="F1779" s="659"/>
      <c r="G1779" s="661"/>
      <c r="H1779" s="660"/>
      <c r="I1779" s="691"/>
      <c r="J1779" s="661"/>
      <c r="K1779" s="706"/>
      <c r="L1779" s="665"/>
      <c r="M1779" s="663"/>
      <c r="N1779" s="665"/>
      <c r="O1779" s="665"/>
      <c r="P1779" s="665"/>
      <c r="Q1779" s="665"/>
      <c r="R1779" s="665"/>
      <c r="S1779" s="665"/>
      <c r="T1779" s="673"/>
      <c r="U1779" s="673"/>
      <c r="V1779" s="673"/>
      <c r="W1779" s="673"/>
      <c r="X1779" s="673"/>
      <c r="Y1779" s="673"/>
      <c r="Z1779" s="673"/>
      <c r="AA1779" s="673"/>
      <c r="AB1779" s="673"/>
      <c r="AC1779" s="673"/>
      <c r="AD1779" s="673"/>
      <c r="AE1779" s="673"/>
      <c r="AF1779" s="673"/>
      <c r="AG1779" s="673"/>
      <c r="AH1779" s="673"/>
    </row>
    <row r="1780">
      <c r="A1780" s="653"/>
      <c r="B1780" s="654"/>
      <c r="C1780" s="691"/>
      <c r="D1780" s="661"/>
      <c r="E1780" s="705"/>
      <c r="F1780" s="659"/>
      <c r="G1780" s="661"/>
      <c r="H1780" s="660"/>
      <c r="I1780" s="691"/>
      <c r="J1780" s="661"/>
      <c r="K1780" s="706"/>
      <c r="L1780" s="665"/>
      <c r="M1780" s="663"/>
      <c r="N1780" s="665"/>
      <c r="O1780" s="665"/>
      <c r="P1780" s="665"/>
      <c r="Q1780" s="665"/>
      <c r="R1780" s="665"/>
      <c r="S1780" s="665"/>
      <c r="T1780" s="673"/>
      <c r="U1780" s="673"/>
      <c r="V1780" s="673"/>
      <c r="W1780" s="673"/>
      <c r="X1780" s="673"/>
      <c r="Y1780" s="673"/>
      <c r="Z1780" s="673"/>
      <c r="AA1780" s="673"/>
      <c r="AB1780" s="673"/>
      <c r="AC1780" s="673"/>
      <c r="AD1780" s="673"/>
      <c r="AE1780" s="673"/>
      <c r="AF1780" s="673"/>
      <c r="AG1780" s="673"/>
      <c r="AH1780" s="673"/>
    </row>
    <row r="1781">
      <c r="A1781" s="653"/>
      <c r="B1781" s="654"/>
      <c r="C1781" s="691"/>
      <c r="D1781" s="661"/>
      <c r="E1781" s="705"/>
      <c r="F1781" s="659"/>
      <c r="G1781" s="661"/>
      <c r="H1781" s="660"/>
      <c r="I1781" s="691"/>
      <c r="J1781" s="661"/>
      <c r="K1781" s="706"/>
      <c r="L1781" s="665"/>
      <c r="M1781" s="663"/>
      <c r="N1781" s="665"/>
      <c r="O1781" s="665"/>
      <c r="P1781" s="665"/>
      <c r="Q1781" s="665"/>
      <c r="R1781" s="665"/>
      <c r="S1781" s="665"/>
      <c r="T1781" s="673"/>
      <c r="U1781" s="673"/>
      <c r="V1781" s="673"/>
      <c r="W1781" s="673"/>
      <c r="X1781" s="673"/>
      <c r="Y1781" s="673"/>
      <c r="Z1781" s="673"/>
      <c r="AA1781" s="673"/>
      <c r="AB1781" s="673"/>
      <c r="AC1781" s="673"/>
      <c r="AD1781" s="673"/>
      <c r="AE1781" s="673"/>
      <c r="AF1781" s="673"/>
      <c r="AG1781" s="673"/>
      <c r="AH1781" s="673"/>
    </row>
    <row r="1782">
      <c r="A1782" s="653"/>
      <c r="B1782" s="654"/>
      <c r="C1782" s="691"/>
      <c r="D1782" s="661"/>
      <c r="E1782" s="705"/>
      <c r="F1782" s="659"/>
      <c r="G1782" s="661"/>
      <c r="H1782" s="660"/>
      <c r="I1782" s="691"/>
      <c r="J1782" s="661"/>
      <c r="K1782" s="706"/>
      <c r="L1782" s="665"/>
      <c r="M1782" s="663"/>
      <c r="N1782" s="665"/>
      <c r="O1782" s="665"/>
      <c r="P1782" s="665"/>
      <c r="Q1782" s="665"/>
      <c r="R1782" s="665"/>
      <c r="S1782" s="665"/>
      <c r="T1782" s="673"/>
      <c r="U1782" s="673"/>
      <c r="V1782" s="673"/>
      <c r="W1782" s="673"/>
      <c r="X1782" s="673"/>
      <c r="Y1782" s="673"/>
      <c r="Z1782" s="673"/>
      <c r="AA1782" s="673"/>
      <c r="AB1782" s="673"/>
      <c r="AC1782" s="673"/>
      <c r="AD1782" s="673"/>
      <c r="AE1782" s="673"/>
      <c r="AF1782" s="673"/>
      <c r="AG1782" s="673"/>
      <c r="AH1782" s="673"/>
    </row>
    <row r="1783">
      <c r="A1783" s="653"/>
      <c r="B1783" s="654"/>
      <c r="C1783" s="691"/>
      <c r="D1783" s="661"/>
      <c r="E1783" s="705"/>
      <c r="F1783" s="659"/>
      <c r="G1783" s="661"/>
      <c r="H1783" s="660"/>
      <c r="I1783" s="691"/>
      <c r="J1783" s="661"/>
      <c r="K1783" s="706"/>
      <c r="L1783" s="665"/>
      <c r="M1783" s="663"/>
      <c r="N1783" s="665"/>
      <c r="O1783" s="665"/>
      <c r="P1783" s="665"/>
      <c r="Q1783" s="665"/>
      <c r="R1783" s="665"/>
      <c r="S1783" s="665"/>
      <c r="T1783" s="673"/>
      <c r="U1783" s="673"/>
      <c r="V1783" s="673"/>
      <c r="W1783" s="673"/>
      <c r="X1783" s="673"/>
      <c r="Y1783" s="673"/>
      <c r="Z1783" s="673"/>
      <c r="AA1783" s="673"/>
      <c r="AB1783" s="673"/>
      <c r="AC1783" s="673"/>
      <c r="AD1783" s="673"/>
      <c r="AE1783" s="673"/>
      <c r="AF1783" s="673"/>
      <c r="AG1783" s="673"/>
      <c r="AH1783" s="673"/>
    </row>
    <row r="1784">
      <c r="A1784" s="653"/>
      <c r="B1784" s="654"/>
      <c r="C1784" s="691"/>
      <c r="D1784" s="661"/>
      <c r="E1784" s="705"/>
      <c r="F1784" s="659"/>
      <c r="G1784" s="661"/>
      <c r="H1784" s="660"/>
      <c r="I1784" s="691"/>
      <c r="J1784" s="661"/>
      <c r="K1784" s="706"/>
      <c r="L1784" s="665"/>
      <c r="M1784" s="663"/>
      <c r="N1784" s="665"/>
      <c r="O1784" s="665"/>
      <c r="P1784" s="665"/>
      <c r="Q1784" s="665"/>
      <c r="R1784" s="665"/>
      <c r="S1784" s="665"/>
      <c r="T1784" s="673"/>
      <c r="U1784" s="673"/>
      <c r="V1784" s="673"/>
      <c r="W1784" s="673"/>
      <c r="X1784" s="673"/>
      <c r="Y1784" s="673"/>
      <c r="Z1784" s="673"/>
      <c r="AA1784" s="673"/>
      <c r="AB1784" s="673"/>
      <c r="AC1784" s="673"/>
      <c r="AD1784" s="673"/>
      <c r="AE1784" s="673"/>
      <c r="AF1784" s="673"/>
      <c r="AG1784" s="673"/>
      <c r="AH1784" s="673"/>
    </row>
    <row r="1785">
      <c r="A1785" s="653"/>
      <c r="B1785" s="654"/>
      <c r="C1785" s="691"/>
      <c r="D1785" s="661"/>
      <c r="E1785" s="705"/>
      <c r="F1785" s="659"/>
      <c r="G1785" s="661"/>
      <c r="H1785" s="660"/>
      <c r="I1785" s="691"/>
      <c r="J1785" s="661"/>
      <c r="K1785" s="706"/>
      <c r="L1785" s="665"/>
      <c r="M1785" s="663"/>
      <c r="N1785" s="665"/>
      <c r="O1785" s="665"/>
      <c r="P1785" s="665"/>
      <c r="Q1785" s="665"/>
      <c r="R1785" s="665"/>
      <c r="S1785" s="665"/>
      <c r="T1785" s="673"/>
      <c r="U1785" s="673"/>
      <c r="V1785" s="673"/>
      <c r="W1785" s="673"/>
      <c r="X1785" s="673"/>
      <c r="Y1785" s="673"/>
      <c r="Z1785" s="673"/>
      <c r="AA1785" s="673"/>
      <c r="AB1785" s="673"/>
      <c r="AC1785" s="673"/>
      <c r="AD1785" s="673"/>
      <c r="AE1785" s="673"/>
      <c r="AF1785" s="673"/>
      <c r="AG1785" s="673"/>
      <c r="AH1785" s="673"/>
    </row>
    <row r="1786">
      <c r="A1786" s="653"/>
      <c r="B1786" s="654"/>
      <c r="C1786" s="691"/>
      <c r="D1786" s="661"/>
      <c r="E1786" s="705"/>
      <c r="F1786" s="659"/>
      <c r="G1786" s="661"/>
      <c r="H1786" s="660"/>
      <c r="I1786" s="691"/>
      <c r="J1786" s="661"/>
      <c r="K1786" s="706"/>
      <c r="L1786" s="665"/>
      <c r="M1786" s="663"/>
      <c r="N1786" s="665"/>
      <c r="O1786" s="665"/>
      <c r="P1786" s="665"/>
      <c r="Q1786" s="665"/>
      <c r="R1786" s="665"/>
      <c r="S1786" s="665"/>
      <c r="T1786" s="673"/>
      <c r="U1786" s="673"/>
      <c r="V1786" s="673"/>
      <c r="W1786" s="673"/>
      <c r="X1786" s="673"/>
      <c r="Y1786" s="673"/>
      <c r="Z1786" s="673"/>
      <c r="AA1786" s="673"/>
      <c r="AB1786" s="673"/>
      <c r="AC1786" s="673"/>
      <c r="AD1786" s="673"/>
      <c r="AE1786" s="673"/>
      <c r="AF1786" s="673"/>
      <c r="AG1786" s="673"/>
      <c r="AH1786" s="673"/>
    </row>
    <row r="1787">
      <c r="A1787" s="653"/>
      <c r="B1787" s="654"/>
      <c r="C1787" s="691"/>
      <c r="D1787" s="661"/>
      <c r="E1787" s="705"/>
      <c r="F1787" s="659"/>
      <c r="G1787" s="661"/>
      <c r="H1787" s="660"/>
      <c r="I1787" s="691"/>
      <c r="J1787" s="661"/>
      <c r="K1787" s="706"/>
      <c r="L1787" s="665"/>
      <c r="M1787" s="663"/>
      <c r="N1787" s="665"/>
      <c r="O1787" s="665"/>
      <c r="P1787" s="665"/>
      <c r="Q1787" s="665"/>
      <c r="R1787" s="665"/>
      <c r="S1787" s="665"/>
      <c r="T1787" s="673"/>
      <c r="U1787" s="673"/>
      <c r="V1787" s="673"/>
      <c r="W1787" s="673"/>
      <c r="X1787" s="673"/>
      <c r="Y1787" s="673"/>
      <c r="Z1787" s="673"/>
      <c r="AA1787" s="673"/>
      <c r="AB1787" s="673"/>
      <c r="AC1787" s="673"/>
      <c r="AD1787" s="673"/>
      <c r="AE1787" s="673"/>
      <c r="AF1787" s="673"/>
      <c r="AG1787" s="673"/>
      <c r="AH1787" s="673"/>
    </row>
    <row r="1788">
      <c r="A1788" s="653"/>
      <c r="B1788" s="654"/>
      <c r="C1788" s="691"/>
      <c r="D1788" s="661"/>
      <c r="E1788" s="705"/>
      <c r="F1788" s="659"/>
      <c r="G1788" s="661"/>
      <c r="H1788" s="660"/>
      <c r="I1788" s="691"/>
      <c r="J1788" s="661"/>
      <c r="K1788" s="706"/>
      <c r="L1788" s="665"/>
      <c r="M1788" s="663"/>
      <c r="N1788" s="665"/>
      <c r="O1788" s="665"/>
      <c r="P1788" s="665"/>
      <c r="Q1788" s="665"/>
      <c r="R1788" s="665"/>
      <c r="S1788" s="665"/>
      <c r="T1788" s="673"/>
      <c r="U1788" s="673"/>
      <c r="V1788" s="673"/>
      <c r="W1788" s="673"/>
      <c r="X1788" s="673"/>
      <c r="Y1788" s="673"/>
      <c r="Z1788" s="673"/>
      <c r="AA1788" s="673"/>
      <c r="AB1788" s="673"/>
      <c r="AC1788" s="673"/>
      <c r="AD1788" s="673"/>
      <c r="AE1788" s="673"/>
      <c r="AF1788" s="673"/>
      <c r="AG1788" s="673"/>
      <c r="AH1788" s="673"/>
    </row>
    <row r="1789">
      <c r="A1789" s="653"/>
      <c r="B1789" s="654"/>
      <c r="C1789" s="691"/>
      <c r="D1789" s="661"/>
      <c r="E1789" s="705"/>
      <c r="F1789" s="659"/>
      <c r="G1789" s="661"/>
      <c r="H1789" s="660"/>
      <c r="I1789" s="691"/>
      <c r="J1789" s="661"/>
      <c r="K1789" s="706"/>
      <c r="L1789" s="665"/>
      <c r="M1789" s="663"/>
      <c r="N1789" s="665"/>
      <c r="O1789" s="665"/>
      <c r="P1789" s="665"/>
      <c r="Q1789" s="665"/>
      <c r="R1789" s="665"/>
      <c r="S1789" s="665"/>
      <c r="T1789" s="673"/>
      <c r="U1789" s="673"/>
      <c r="V1789" s="673"/>
      <c r="W1789" s="673"/>
      <c r="X1789" s="673"/>
      <c r="Y1789" s="673"/>
      <c r="Z1789" s="673"/>
      <c r="AA1789" s="673"/>
      <c r="AB1789" s="673"/>
      <c r="AC1789" s="673"/>
      <c r="AD1789" s="673"/>
      <c r="AE1789" s="673"/>
      <c r="AF1789" s="673"/>
      <c r="AG1789" s="673"/>
      <c r="AH1789" s="673"/>
    </row>
    <row r="1790">
      <c r="A1790" s="653"/>
      <c r="B1790" s="654"/>
      <c r="C1790" s="691"/>
      <c r="D1790" s="661"/>
      <c r="E1790" s="705"/>
      <c r="F1790" s="659"/>
      <c r="G1790" s="661"/>
      <c r="H1790" s="660"/>
      <c r="I1790" s="691"/>
      <c r="J1790" s="661"/>
      <c r="K1790" s="706"/>
      <c r="L1790" s="665"/>
      <c r="M1790" s="663"/>
      <c r="N1790" s="665"/>
      <c r="O1790" s="665"/>
      <c r="P1790" s="665"/>
      <c r="Q1790" s="665"/>
      <c r="R1790" s="665"/>
      <c r="S1790" s="665"/>
      <c r="T1790" s="673"/>
      <c r="U1790" s="673"/>
      <c r="V1790" s="673"/>
      <c r="W1790" s="673"/>
      <c r="X1790" s="673"/>
      <c r="Y1790" s="673"/>
      <c r="Z1790" s="673"/>
      <c r="AA1790" s="673"/>
      <c r="AB1790" s="673"/>
      <c r="AC1790" s="673"/>
      <c r="AD1790" s="673"/>
      <c r="AE1790" s="673"/>
      <c r="AF1790" s="673"/>
      <c r="AG1790" s="673"/>
      <c r="AH1790" s="673"/>
    </row>
    <row r="1791">
      <c r="A1791" s="653"/>
      <c r="B1791" s="654"/>
      <c r="C1791" s="691"/>
      <c r="D1791" s="661"/>
      <c r="E1791" s="705"/>
      <c r="F1791" s="659"/>
      <c r="G1791" s="661"/>
      <c r="H1791" s="660"/>
      <c r="I1791" s="691"/>
      <c r="J1791" s="661"/>
      <c r="K1791" s="706"/>
      <c r="L1791" s="665"/>
      <c r="M1791" s="663"/>
      <c r="N1791" s="665"/>
      <c r="O1791" s="665"/>
      <c r="P1791" s="665"/>
      <c r="Q1791" s="665"/>
      <c r="R1791" s="665"/>
      <c r="S1791" s="665"/>
      <c r="T1791" s="673"/>
      <c r="U1791" s="673"/>
      <c r="V1791" s="673"/>
      <c r="W1791" s="673"/>
      <c r="X1791" s="673"/>
      <c r="Y1791" s="673"/>
      <c r="Z1791" s="673"/>
      <c r="AA1791" s="673"/>
      <c r="AB1791" s="673"/>
      <c r="AC1791" s="673"/>
      <c r="AD1791" s="673"/>
      <c r="AE1791" s="673"/>
      <c r="AF1791" s="673"/>
      <c r="AG1791" s="673"/>
      <c r="AH1791" s="673"/>
    </row>
    <row r="1792">
      <c r="A1792" s="653"/>
      <c r="B1792" s="654"/>
      <c r="C1792" s="691"/>
      <c r="D1792" s="661"/>
      <c r="E1792" s="705"/>
      <c r="F1792" s="659"/>
      <c r="G1792" s="661"/>
      <c r="H1792" s="660"/>
      <c r="I1792" s="691"/>
      <c r="J1792" s="661"/>
      <c r="K1792" s="706"/>
      <c r="L1792" s="665"/>
      <c r="M1792" s="663"/>
      <c r="N1792" s="665"/>
      <c r="O1792" s="665"/>
      <c r="P1792" s="665"/>
      <c r="Q1792" s="665"/>
      <c r="R1792" s="665"/>
      <c r="S1792" s="665"/>
      <c r="T1792" s="673"/>
      <c r="U1792" s="673"/>
      <c r="V1792" s="673"/>
      <c r="W1792" s="673"/>
      <c r="X1792" s="673"/>
      <c r="Y1792" s="673"/>
      <c r="Z1792" s="673"/>
      <c r="AA1792" s="673"/>
      <c r="AB1792" s="673"/>
      <c r="AC1792" s="673"/>
      <c r="AD1792" s="673"/>
      <c r="AE1792" s="673"/>
      <c r="AF1792" s="673"/>
      <c r="AG1792" s="673"/>
      <c r="AH1792" s="673"/>
    </row>
    <row r="1793">
      <c r="A1793" s="653"/>
      <c r="B1793" s="654"/>
      <c r="C1793" s="691"/>
      <c r="D1793" s="661"/>
      <c r="E1793" s="705"/>
      <c r="F1793" s="659"/>
      <c r="G1793" s="661"/>
      <c r="H1793" s="660"/>
      <c r="I1793" s="691"/>
      <c r="J1793" s="661"/>
      <c r="K1793" s="706"/>
      <c r="L1793" s="665"/>
      <c r="M1793" s="663"/>
      <c r="N1793" s="665"/>
      <c r="O1793" s="665"/>
      <c r="P1793" s="665"/>
      <c r="Q1793" s="665"/>
      <c r="R1793" s="665"/>
      <c r="S1793" s="665"/>
      <c r="T1793" s="673"/>
      <c r="U1793" s="673"/>
      <c r="V1793" s="673"/>
      <c r="W1793" s="673"/>
      <c r="X1793" s="673"/>
      <c r="Y1793" s="673"/>
      <c r="Z1793" s="673"/>
      <c r="AA1793" s="673"/>
      <c r="AB1793" s="673"/>
      <c r="AC1793" s="673"/>
      <c r="AD1793" s="673"/>
      <c r="AE1793" s="673"/>
      <c r="AF1793" s="673"/>
      <c r="AG1793" s="673"/>
      <c r="AH1793" s="673"/>
    </row>
    <row r="1794">
      <c r="A1794" s="653"/>
      <c r="B1794" s="654"/>
      <c r="C1794" s="691"/>
      <c r="D1794" s="661"/>
      <c r="E1794" s="705"/>
      <c r="F1794" s="659"/>
      <c r="G1794" s="661"/>
      <c r="H1794" s="660"/>
      <c r="I1794" s="691"/>
      <c r="J1794" s="661"/>
      <c r="K1794" s="706"/>
      <c r="L1794" s="665"/>
      <c r="M1794" s="663"/>
      <c r="N1794" s="665"/>
      <c r="O1794" s="665"/>
      <c r="P1794" s="665"/>
      <c r="Q1794" s="665"/>
      <c r="R1794" s="665"/>
      <c r="S1794" s="665"/>
      <c r="T1794" s="673"/>
      <c r="U1794" s="673"/>
      <c r="V1794" s="673"/>
      <c r="W1794" s="673"/>
      <c r="X1794" s="673"/>
      <c r="Y1794" s="673"/>
      <c r="Z1794" s="673"/>
      <c r="AA1794" s="673"/>
      <c r="AB1794" s="673"/>
      <c r="AC1794" s="673"/>
      <c r="AD1794" s="673"/>
      <c r="AE1794" s="673"/>
      <c r="AF1794" s="673"/>
      <c r="AG1794" s="673"/>
      <c r="AH1794" s="673"/>
    </row>
    <row r="1795">
      <c r="A1795" s="653"/>
      <c r="B1795" s="654"/>
      <c r="C1795" s="691"/>
      <c r="D1795" s="661"/>
      <c r="E1795" s="705"/>
      <c r="F1795" s="659"/>
      <c r="G1795" s="661"/>
      <c r="H1795" s="660"/>
      <c r="I1795" s="691"/>
      <c r="J1795" s="661"/>
      <c r="K1795" s="706"/>
      <c r="L1795" s="665"/>
      <c r="M1795" s="663"/>
      <c r="N1795" s="665"/>
      <c r="O1795" s="665"/>
      <c r="P1795" s="665"/>
      <c r="Q1795" s="665"/>
      <c r="R1795" s="665"/>
      <c r="S1795" s="665"/>
      <c r="T1795" s="673"/>
      <c r="U1795" s="673"/>
      <c r="V1795" s="673"/>
      <c r="W1795" s="673"/>
      <c r="X1795" s="673"/>
      <c r="Y1795" s="673"/>
      <c r="Z1795" s="673"/>
      <c r="AA1795" s="673"/>
      <c r="AB1795" s="673"/>
      <c r="AC1795" s="673"/>
      <c r="AD1795" s="673"/>
      <c r="AE1795" s="673"/>
      <c r="AF1795" s="673"/>
      <c r="AG1795" s="673"/>
      <c r="AH1795" s="673"/>
    </row>
    <row r="1796">
      <c r="A1796" s="653"/>
      <c r="B1796" s="654"/>
      <c r="C1796" s="691"/>
      <c r="D1796" s="661"/>
      <c r="E1796" s="705"/>
      <c r="F1796" s="659"/>
      <c r="G1796" s="661"/>
      <c r="H1796" s="660"/>
      <c r="I1796" s="691"/>
      <c r="J1796" s="661"/>
      <c r="K1796" s="706"/>
      <c r="L1796" s="665"/>
      <c r="M1796" s="663"/>
      <c r="N1796" s="665"/>
      <c r="O1796" s="665"/>
      <c r="P1796" s="665"/>
      <c r="Q1796" s="665"/>
      <c r="R1796" s="665"/>
      <c r="S1796" s="665"/>
      <c r="T1796" s="673"/>
      <c r="U1796" s="673"/>
      <c r="V1796" s="673"/>
      <c r="W1796" s="673"/>
      <c r="X1796" s="673"/>
      <c r="Y1796" s="673"/>
      <c r="Z1796" s="673"/>
      <c r="AA1796" s="673"/>
      <c r="AB1796" s="673"/>
      <c r="AC1796" s="673"/>
      <c r="AD1796" s="673"/>
      <c r="AE1796" s="673"/>
      <c r="AF1796" s="673"/>
      <c r="AG1796" s="673"/>
      <c r="AH1796" s="673"/>
    </row>
    <row r="1797">
      <c r="A1797" s="653"/>
      <c r="B1797" s="654"/>
      <c r="C1797" s="691"/>
      <c r="D1797" s="661"/>
      <c r="E1797" s="705"/>
      <c r="F1797" s="659"/>
      <c r="G1797" s="661"/>
      <c r="H1797" s="660"/>
      <c r="I1797" s="691"/>
      <c r="J1797" s="661"/>
      <c r="K1797" s="706"/>
      <c r="L1797" s="665"/>
      <c r="M1797" s="663"/>
      <c r="N1797" s="665"/>
      <c r="O1797" s="665"/>
      <c r="P1797" s="665"/>
      <c r="Q1797" s="665"/>
      <c r="R1797" s="665"/>
      <c r="S1797" s="665"/>
      <c r="T1797" s="673"/>
      <c r="U1797" s="673"/>
      <c r="V1797" s="673"/>
      <c r="W1797" s="673"/>
      <c r="X1797" s="673"/>
      <c r="Y1797" s="673"/>
      <c r="Z1797" s="673"/>
      <c r="AA1797" s="673"/>
      <c r="AB1797" s="673"/>
      <c r="AC1797" s="673"/>
      <c r="AD1797" s="673"/>
      <c r="AE1797" s="673"/>
      <c r="AF1797" s="673"/>
      <c r="AG1797" s="673"/>
      <c r="AH1797" s="673"/>
    </row>
    <row r="1798">
      <c r="A1798" s="653"/>
      <c r="B1798" s="654"/>
      <c r="C1798" s="691"/>
      <c r="D1798" s="661"/>
      <c r="E1798" s="705"/>
      <c r="F1798" s="659"/>
      <c r="G1798" s="661"/>
      <c r="H1798" s="660"/>
      <c r="I1798" s="691"/>
      <c r="J1798" s="661"/>
      <c r="K1798" s="706"/>
      <c r="L1798" s="665"/>
      <c r="M1798" s="663"/>
      <c r="N1798" s="665"/>
      <c r="O1798" s="665"/>
      <c r="P1798" s="665"/>
      <c r="Q1798" s="665"/>
      <c r="R1798" s="665"/>
      <c r="S1798" s="665"/>
      <c r="T1798" s="673"/>
      <c r="U1798" s="673"/>
      <c r="V1798" s="673"/>
      <c r="W1798" s="673"/>
      <c r="X1798" s="673"/>
      <c r="Y1798" s="673"/>
      <c r="Z1798" s="673"/>
      <c r="AA1798" s="673"/>
      <c r="AB1798" s="673"/>
      <c r="AC1798" s="673"/>
      <c r="AD1798" s="673"/>
      <c r="AE1798" s="673"/>
      <c r="AF1798" s="673"/>
      <c r="AG1798" s="673"/>
      <c r="AH1798" s="673"/>
    </row>
    <row r="1799">
      <c r="A1799" s="653"/>
      <c r="B1799" s="654"/>
      <c r="C1799" s="691"/>
      <c r="D1799" s="661"/>
      <c r="E1799" s="705"/>
      <c r="F1799" s="659"/>
      <c r="G1799" s="661"/>
      <c r="H1799" s="660"/>
      <c r="I1799" s="691"/>
      <c r="J1799" s="661"/>
      <c r="K1799" s="706"/>
      <c r="L1799" s="665"/>
      <c r="M1799" s="663"/>
      <c r="N1799" s="665"/>
      <c r="O1799" s="665"/>
      <c r="P1799" s="665"/>
      <c r="Q1799" s="665"/>
      <c r="R1799" s="665"/>
      <c r="S1799" s="665"/>
      <c r="T1799" s="673"/>
      <c r="U1799" s="673"/>
      <c r="V1799" s="673"/>
      <c r="W1799" s="673"/>
      <c r="X1799" s="673"/>
      <c r="Y1799" s="673"/>
      <c r="Z1799" s="673"/>
      <c r="AA1799" s="673"/>
      <c r="AB1799" s="673"/>
      <c r="AC1799" s="673"/>
      <c r="AD1799" s="673"/>
      <c r="AE1799" s="673"/>
      <c r="AF1799" s="673"/>
      <c r="AG1799" s="673"/>
      <c r="AH1799" s="673"/>
    </row>
    <row r="1800">
      <c r="A1800" s="653"/>
      <c r="B1800" s="654"/>
      <c r="C1800" s="691"/>
      <c r="D1800" s="661"/>
      <c r="E1800" s="705"/>
      <c r="F1800" s="659"/>
      <c r="G1800" s="661"/>
      <c r="H1800" s="660"/>
      <c r="I1800" s="691"/>
      <c r="J1800" s="661"/>
      <c r="K1800" s="706"/>
      <c r="L1800" s="665"/>
      <c r="M1800" s="663"/>
      <c r="N1800" s="665"/>
      <c r="O1800" s="665"/>
      <c r="P1800" s="665"/>
      <c r="Q1800" s="665"/>
      <c r="R1800" s="665"/>
      <c r="S1800" s="665"/>
      <c r="T1800" s="673"/>
      <c r="U1800" s="673"/>
      <c r="V1800" s="673"/>
      <c r="W1800" s="673"/>
      <c r="X1800" s="673"/>
      <c r="Y1800" s="673"/>
      <c r="Z1800" s="673"/>
      <c r="AA1800" s="673"/>
      <c r="AB1800" s="673"/>
      <c r="AC1800" s="673"/>
      <c r="AD1800" s="673"/>
      <c r="AE1800" s="673"/>
      <c r="AF1800" s="673"/>
      <c r="AG1800" s="673"/>
      <c r="AH1800" s="673"/>
    </row>
    <row r="1801">
      <c r="A1801" s="653"/>
      <c r="B1801" s="654"/>
      <c r="C1801" s="691"/>
      <c r="D1801" s="661"/>
      <c r="E1801" s="705"/>
      <c r="F1801" s="659"/>
      <c r="G1801" s="661"/>
      <c r="H1801" s="660"/>
      <c r="I1801" s="691"/>
      <c r="J1801" s="661"/>
      <c r="K1801" s="706"/>
      <c r="L1801" s="665"/>
      <c r="M1801" s="663"/>
      <c r="N1801" s="665"/>
      <c r="O1801" s="665"/>
      <c r="P1801" s="665"/>
      <c r="Q1801" s="665"/>
      <c r="R1801" s="665"/>
      <c r="S1801" s="665"/>
      <c r="T1801" s="673"/>
      <c r="U1801" s="673"/>
      <c r="V1801" s="673"/>
      <c r="W1801" s="673"/>
      <c r="X1801" s="673"/>
      <c r="Y1801" s="673"/>
      <c r="Z1801" s="673"/>
      <c r="AA1801" s="673"/>
      <c r="AB1801" s="673"/>
      <c r="AC1801" s="673"/>
      <c r="AD1801" s="673"/>
      <c r="AE1801" s="673"/>
      <c r="AF1801" s="673"/>
      <c r="AG1801" s="673"/>
      <c r="AH1801" s="673"/>
    </row>
    <row r="1802">
      <c r="A1802" s="653"/>
      <c r="B1802" s="654"/>
      <c r="C1802" s="691"/>
      <c r="D1802" s="661"/>
      <c r="E1802" s="705"/>
      <c r="F1802" s="659"/>
      <c r="G1802" s="661"/>
      <c r="H1802" s="660"/>
      <c r="I1802" s="691"/>
      <c r="J1802" s="661"/>
      <c r="K1802" s="706"/>
      <c r="L1802" s="665"/>
      <c r="M1802" s="663"/>
      <c r="N1802" s="665"/>
      <c r="O1802" s="665"/>
      <c r="P1802" s="665"/>
      <c r="Q1802" s="665"/>
      <c r="R1802" s="665"/>
      <c r="S1802" s="665"/>
      <c r="T1802" s="673"/>
      <c r="U1802" s="673"/>
      <c r="V1802" s="673"/>
      <c r="W1802" s="673"/>
      <c r="X1802" s="673"/>
      <c r="Y1802" s="673"/>
      <c r="Z1802" s="673"/>
      <c r="AA1802" s="673"/>
      <c r="AB1802" s="673"/>
      <c r="AC1802" s="673"/>
      <c r="AD1802" s="673"/>
      <c r="AE1802" s="673"/>
      <c r="AF1802" s="673"/>
      <c r="AG1802" s="673"/>
      <c r="AH1802" s="673"/>
    </row>
    <row r="1803">
      <c r="A1803" s="653"/>
      <c r="B1803" s="654"/>
      <c r="C1803" s="691"/>
      <c r="D1803" s="661"/>
      <c r="E1803" s="705"/>
      <c r="F1803" s="659"/>
      <c r="G1803" s="661"/>
      <c r="H1803" s="660"/>
      <c r="I1803" s="691"/>
      <c r="J1803" s="661"/>
      <c r="K1803" s="706"/>
      <c r="L1803" s="665"/>
      <c r="M1803" s="663"/>
      <c r="N1803" s="665"/>
      <c r="O1803" s="665"/>
      <c r="P1803" s="665"/>
      <c r="Q1803" s="665"/>
      <c r="R1803" s="665"/>
      <c r="S1803" s="665"/>
      <c r="T1803" s="673"/>
      <c r="U1803" s="673"/>
      <c r="V1803" s="673"/>
      <c r="W1803" s="673"/>
      <c r="X1803" s="673"/>
      <c r="Y1803" s="673"/>
      <c r="Z1803" s="673"/>
      <c r="AA1803" s="673"/>
      <c r="AB1803" s="673"/>
      <c r="AC1803" s="673"/>
      <c r="AD1803" s="673"/>
      <c r="AE1803" s="673"/>
      <c r="AF1803" s="673"/>
      <c r="AG1803" s="673"/>
      <c r="AH1803" s="673"/>
    </row>
    <row r="1804">
      <c r="A1804" s="653"/>
      <c r="B1804" s="654"/>
      <c r="C1804" s="691"/>
      <c r="D1804" s="661"/>
      <c r="E1804" s="705"/>
      <c r="F1804" s="659"/>
      <c r="G1804" s="661"/>
      <c r="H1804" s="660"/>
      <c r="I1804" s="691"/>
      <c r="J1804" s="661"/>
      <c r="K1804" s="706"/>
      <c r="L1804" s="665"/>
      <c r="M1804" s="663"/>
      <c r="N1804" s="665"/>
      <c r="O1804" s="665"/>
      <c r="P1804" s="665"/>
      <c r="Q1804" s="665"/>
      <c r="R1804" s="665"/>
      <c r="S1804" s="665"/>
      <c r="T1804" s="673"/>
      <c r="U1804" s="673"/>
      <c r="V1804" s="673"/>
      <c r="W1804" s="673"/>
      <c r="X1804" s="673"/>
      <c r="Y1804" s="673"/>
      <c r="Z1804" s="673"/>
      <c r="AA1804" s="673"/>
      <c r="AB1804" s="673"/>
      <c r="AC1804" s="673"/>
      <c r="AD1804" s="673"/>
      <c r="AE1804" s="673"/>
      <c r="AF1804" s="673"/>
      <c r="AG1804" s="673"/>
      <c r="AH1804" s="673"/>
    </row>
    <row r="1805">
      <c r="A1805" s="653"/>
      <c r="B1805" s="654"/>
      <c r="C1805" s="691"/>
      <c r="D1805" s="661"/>
      <c r="E1805" s="705"/>
      <c r="F1805" s="659"/>
      <c r="G1805" s="661"/>
      <c r="H1805" s="660"/>
      <c r="I1805" s="691"/>
      <c r="J1805" s="661"/>
      <c r="K1805" s="706"/>
      <c r="L1805" s="665"/>
      <c r="M1805" s="663"/>
      <c r="N1805" s="665"/>
      <c r="O1805" s="665"/>
      <c r="P1805" s="665"/>
      <c r="Q1805" s="665"/>
      <c r="R1805" s="665"/>
      <c r="S1805" s="665"/>
      <c r="T1805" s="673"/>
      <c r="U1805" s="673"/>
      <c r="V1805" s="673"/>
      <c r="W1805" s="673"/>
      <c r="X1805" s="673"/>
      <c r="Y1805" s="673"/>
      <c r="Z1805" s="673"/>
      <c r="AA1805" s="673"/>
      <c r="AB1805" s="673"/>
      <c r="AC1805" s="673"/>
      <c r="AD1805" s="673"/>
      <c r="AE1805" s="673"/>
      <c r="AF1805" s="673"/>
      <c r="AG1805" s="673"/>
      <c r="AH1805" s="673"/>
    </row>
    <row r="1806">
      <c r="A1806" s="653"/>
      <c r="B1806" s="654"/>
      <c r="C1806" s="691"/>
      <c r="D1806" s="661"/>
      <c r="E1806" s="705"/>
      <c r="F1806" s="659"/>
      <c r="G1806" s="661"/>
      <c r="H1806" s="660"/>
      <c r="I1806" s="691"/>
      <c r="J1806" s="661"/>
      <c r="K1806" s="706"/>
      <c r="L1806" s="665"/>
      <c r="M1806" s="663"/>
      <c r="N1806" s="665"/>
      <c r="O1806" s="665"/>
      <c r="P1806" s="665"/>
      <c r="Q1806" s="665"/>
      <c r="R1806" s="665"/>
      <c r="S1806" s="665"/>
      <c r="T1806" s="673"/>
      <c r="U1806" s="673"/>
      <c r="V1806" s="673"/>
      <c r="W1806" s="673"/>
      <c r="X1806" s="673"/>
      <c r="Y1806" s="673"/>
      <c r="Z1806" s="673"/>
      <c r="AA1806" s="673"/>
      <c r="AB1806" s="673"/>
      <c r="AC1806" s="673"/>
      <c r="AD1806" s="673"/>
      <c r="AE1806" s="673"/>
      <c r="AF1806" s="673"/>
      <c r="AG1806" s="673"/>
      <c r="AH1806" s="673"/>
    </row>
    <row r="1807">
      <c r="A1807" s="653"/>
      <c r="B1807" s="654"/>
      <c r="C1807" s="691"/>
      <c r="D1807" s="661"/>
      <c r="E1807" s="705"/>
      <c r="F1807" s="659"/>
      <c r="G1807" s="661"/>
      <c r="H1807" s="660"/>
      <c r="I1807" s="691"/>
      <c r="J1807" s="661"/>
      <c r="K1807" s="706"/>
      <c r="L1807" s="665"/>
      <c r="M1807" s="663"/>
      <c r="N1807" s="665"/>
      <c r="O1807" s="665"/>
      <c r="P1807" s="665"/>
      <c r="Q1807" s="665"/>
      <c r="R1807" s="665"/>
      <c r="S1807" s="665"/>
      <c r="T1807" s="673"/>
      <c r="U1807" s="673"/>
      <c r="V1807" s="673"/>
      <c r="W1807" s="673"/>
      <c r="X1807" s="673"/>
      <c r="Y1807" s="673"/>
      <c r="Z1807" s="673"/>
      <c r="AA1807" s="673"/>
      <c r="AB1807" s="673"/>
      <c r="AC1807" s="673"/>
      <c r="AD1807" s="673"/>
      <c r="AE1807" s="673"/>
      <c r="AF1807" s="673"/>
      <c r="AG1807" s="673"/>
      <c r="AH1807" s="673"/>
    </row>
    <row r="1808">
      <c r="A1808" s="653"/>
      <c r="B1808" s="654"/>
      <c r="C1808" s="691"/>
      <c r="D1808" s="661"/>
      <c r="E1808" s="705"/>
      <c r="F1808" s="659"/>
      <c r="G1808" s="661"/>
      <c r="H1808" s="660"/>
      <c r="I1808" s="691"/>
      <c r="J1808" s="661"/>
      <c r="K1808" s="706"/>
      <c r="L1808" s="665"/>
      <c r="M1808" s="663"/>
      <c r="N1808" s="665"/>
      <c r="O1808" s="665"/>
      <c r="P1808" s="665"/>
      <c r="Q1808" s="665"/>
      <c r="R1808" s="665"/>
      <c r="S1808" s="665"/>
      <c r="T1808" s="673"/>
      <c r="U1808" s="673"/>
      <c r="V1808" s="673"/>
      <c r="W1808" s="673"/>
      <c r="X1808" s="673"/>
      <c r="Y1808" s="673"/>
      <c r="Z1808" s="673"/>
      <c r="AA1808" s="673"/>
      <c r="AB1808" s="673"/>
      <c r="AC1808" s="673"/>
      <c r="AD1808" s="673"/>
      <c r="AE1808" s="673"/>
      <c r="AF1808" s="673"/>
      <c r="AG1808" s="673"/>
      <c r="AH1808" s="673"/>
    </row>
    <row r="1809">
      <c r="A1809" s="653"/>
      <c r="B1809" s="654"/>
      <c r="C1809" s="691"/>
      <c r="D1809" s="661"/>
      <c r="E1809" s="705"/>
      <c r="F1809" s="659"/>
      <c r="G1809" s="661"/>
      <c r="H1809" s="660"/>
      <c r="I1809" s="691"/>
      <c r="J1809" s="661"/>
      <c r="K1809" s="706"/>
      <c r="L1809" s="665"/>
      <c r="M1809" s="663"/>
      <c r="N1809" s="665"/>
      <c r="O1809" s="665"/>
      <c r="P1809" s="665"/>
      <c r="Q1809" s="665"/>
      <c r="R1809" s="665"/>
      <c r="S1809" s="665"/>
      <c r="T1809" s="673"/>
      <c r="U1809" s="673"/>
      <c r="V1809" s="673"/>
      <c r="W1809" s="673"/>
      <c r="X1809" s="673"/>
      <c r="Y1809" s="673"/>
      <c r="Z1809" s="673"/>
      <c r="AA1809" s="673"/>
      <c r="AB1809" s="673"/>
      <c r="AC1809" s="673"/>
      <c r="AD1809" s="673"/>
      <c r="AE1809" s="673"/>
      <c r="AF1809" s="673"/>
      <c r="AG1809" s="673"/>
      <c r="AH1809" s="673"/>
    </row>
    <row r="1810">
      <c r="A1810" s="653"/>
      <c r="B1810" s="654"/>
      <c r="C1810" s="691"/>
      <c r="D1810" s="661"/>
      <c r="E1810" s="705"/>
      <c r="F1810" s="659"/>
      <c r="G1810" s="661"/>
      <c r="H1810" s="660"/>
      <c r="I1810" s="691"/>
      <c r="J1810" s="661"/>
      <c r="K1810" s="706"/>
      <c r="L1810" s="665"/>
      <c r="M1810" s="663"/>
      <c r="N1810" s="665"/>
      <c r="O1810" s="665"/>
      <c r="P1810" s="665"/>
      <c r="Q1810" s="665"/>
      <c r="R1810" s="665"/>
      <c r="S1810" s="665"/>
      <c r="T1810" s="673"/>
      <c r="U1810" s="673"/>
      <c r="V1810" s="673"/>
      <c r="W1810" s="673"/>
      <c r="X1810" s="673"/>
      <c r="Y1810" s="673"/>
      <c r="Z1810" s="673"/>
      <c r="AA1810" s="673"/>
      <c r="AB1810" s="673"/>
      <c r="AC1810" s="673"/>
      <c r="AD1810" s="673"/>
      <c r="AE1810" s="673"/>
      <c r="AF1810" s="673"/>
      <c r="AG1810" s="673"/>
      <c r="AH1810" s="673"/>
    </row>
    <row r="1811">
      <c r="A1811" s="653"/>
      <c r="B1811" s="654"/>
      <c r="C1811" s="691"/>
      <c r="D1811" s="661"/>
      <c r="E1811" s="705"/>
      <c r="F1811" s="659"/>
      <c r="G1811" s="661"/>
      <c r="H1811" s="660"/>
      <c r="I1811" s="691"/>
      <c r="J1811" s="661"/>
      <c r="K1811" s="706"/>
      <c r="L1811" s="665"/>
      <c r="M1811" s="663"/>
      <c r="N1811" s="665"/>
      <c r="O1811" s="665"/>
      <c r="P1811" s="665"/>
      <c r="Q1811" s="665"/>
      <c r="R1811" s="665"/>
      <c r="S1811" s="665"/>
      <c r="T1811" s="673"/>
      <c r="U1811" s="673"/>
      <c r="V1811" s="673"/>
      <c r="W1811" s="673"/>
      <c r="X1811" s="673"/>
      <c r="Y1811" s="673"/>
      <c r="Z1811" s="673"/>
      <c r="AA1811" s="673"/>
      <c r="AB1811" s="673"/>
      <c r="AC1811" s="673"/>
      <c r="AD1811" s="673"/>
      <c r="AE1811" s="673"/>
      <c r="AF1811" s="673"/>
      <c r="AG1811" s="673"/>
      <c r="AH1811" s="673"/>
    </row>
    <row r="1812">
      <c r="A1812" s="653"/>
      <c r="B1812" s="654"/>
      <c r="C1812" s="691"/>
      <c r="D1812" s="661"/>
      <c r="E1812" s="705"/>
      <c r="F1812" s="659"/>
      <c r="G1812" s="661"/>
      <c r="H1812" s="660"/>
      <c r="I1812" s="691"/>
      <c r="J1812" s="661"/>
      <c r="K1812" s="706"/>
      <c r="L1812" s="665"/>
      <c r="M1812" s="663"/>
      <c r="N1812" s="665"/>
      <c r="O1812" s="665"/>
      <c r="P1812" s="665"/>
      <c r="Q1812" s="665"/>
      <c r="R1812" s="665"/>
      <c r="S1812" s="665"/>
      <c r="T1812" s="673"/>
      <c r="U1812" s="673"/>
      <c r="V1812" s="673"/>
      <c r="W1812" s="673"/>
      <c r="X1812" s="673"/>
      <c r="Y1812" s="673"/>
      <c r="Z1812" s="673"/>
      <c r="AA1812" s="673"/>
      <c r="AB1812" s="673"/>
      <c r="AC1812" s="673"/>
      <c r="AD1812" s="673"/>
      <c r="AE1812" s="673"/>
      <c r="AF1812" s="673"/>
      <c r="AG1812" s="673"/>
      <c r="AH1812" s="673"/>
    </row>
    <row r="1813">
      <c r="A1813" s="653"/>
      <c r="B1813" s="654"/>
      <c r="C1813" s="691"/>
      <c r="D1813" s="661"/>
      <c r="E1813" s="705"/>
      <c r="F1813" s="659"/>
      <c r="G1813" s="661"/>
      <c r="H1813" s="660"/>
      <c r="I1813" s="691"/>
      <c r="J1813" s="661"/>
      <c r="K1813" s="706"/>
      <c r="L1813" s="665"/>
      <c r="M1813" s="663"/>
      <c r="N1813" s="665"/>
      <c r="O1813" s="665"/>
      <c r="P1813" s="665"/>
      <c r="Q1813" s="665"/>
      <c r="R1813" s="665"/>
      <c r="S1813" s="665"/>
      <c r="T1813" s="673"/>
      <c r="U1813" s="673"/>
      <c r="V1813" s="673"/>
      <c r="W1813" s="673"/>
      <c r="X1813" s="673"/>
      <c r="Y1813" s="673"/>
      <c r="Z1813" s="673"/>
      <c r="AA1813" s="673"/>
      <c r="AB1813" s="673"/>
      <c r="AC1813" s="673"/>
      <c r="AD1813" s="673"/>
      <c r="AE1813" s="673"/>
      <c r="AF1813" s="673"/>
      <c r="AG1813" s="673"/>
      <c r="AH1813" s="673"/>
    </row>
    <row r="1814">
      <c r="A1814" s="653"/>
      <c r="B1814" s="654"/>
      <c r="C1814" s="691"/>
      <c r="D1814" s="661"/>
      <c r="E1814" s="705"/>
      <c r="F1814" s="659"/>
      <c r="G1814" s="661"/>
      <c r="H1814" s="660"/>
      <c r="I1814" s="691"/>
      <c r="J1814" s="661"/>
      <c r="K1814" s="706"/>
      <c r="L1814" s="665"/>
      <c r="M1814" s="663"/>
      <c r="N1814" s="665"/>
      <c r="O1814" s="665"/>
      <c r="P1814" s="665"/>
      <c r="Q1814" s="665"/>
      <c r="R1814" s="665"/>
      <c r="S1814" s="665"/>
      <c r="T1814" s="673"/>
      <c r="U1814" s="673"/>
      <c r="V1814" s="673"/>
      <c r="W1814" s="673"/>
      <c r="X1814" s="673"/>
      <c r="Y1814" s="673"/>
      <c r="Z1814" s="673"/>
      <c r="AA1814" s="673"/>
      <c r="AB1814" s="673"/>
      <c r="AC1814" s="673"/>
      <c r="AD1814" s="673"/>
      <c r="AE1814" s="673"/>
      <c r="AF1814" s="673"/>
      <c r="AG1814" s="673"/>
      <c r="AH1814" s="673"/>
    </row>
    <row r="1815">
      <c r="A1815" s="653"/>
      <c r="B1815" s="654"/>
      <c r="C1815" s="691"/>
      <c r="D1815" s="661"/>
      <c r="E1815" s="705"/>
      <c r="F1815" s="659"/>
      <c r="G1815" s="661"/>
      <c r="H1815" s="660"/>
      <c r="I1815" s="691"/>
      <c r="J1815" s="661"/>
      <c r="K1815" s="706"/>
      <c r="L1815" s="665"/>
      <c r="M1815" s="663"/>
      <c r="N1815" s="665"/>
      <c r="O1815" s="665"/>
      <c r="P1815" s="665"/>
      <c r="Q1815" s="665"/>
      <c r="R1815" s="665"/>
      <c r="S1815" s="665"/>
      <c r="T1815" s="673"/>
      <c r="U1815" s="673"/>
      <c r="V1815" s="673"/>
      <c r="W1815" s="673"/>
      <c r="X1815" s="673"/>
      <c r="Y1815" s="673"/>
      <c r="Z1815" s="673"/>
      <c r="AA1815" s="673"/>
      <c r="AB1815" s="673"/>
      <c r="AC1815" s="673"/>
      <c r="AD1815" s="673"/>
      <c r="AE1815" s="673"/>
      <c r="AF1815" s="673"/>
      <c r="AG1815" s="673"/>
      <c r="AH1815" s="673"/>
    </row>
    <row r="1816">
      <c r="A1816" s="653"/>
      <c r="B1816" s="654"/>
      <c r="C1816" s="691"/>
      <c r="D1816" s="661"/>
      <c r="E1816" s="705"/>
      <c r="F1816" s="659"/>
      <c r="G1816" s="661"/>
      <c r="H1816" s="660"/>
      <c r="I1816" s="691"/>
      <c r="J1816" s="661"/>
      <c r="K1816" s="706"/>
      <c r="L1816" s="665"/>
      <c r="M1816" s="663"/>
      <c r="N1816" s="665"/>
      <c r="O1816" s="665"/>
      <c r="P1816" s="665"/>
      <c r="Q1816" s="665"/>
      <c r="R1816" s="665"/>
      <c r="S1816" s="665"/>
      <c r="T1816" s="673"/>
      <c r="U1816" s="673"/>
      <c r="V1816" s="673"/>
      <c r="W1816" s="673"/>
      <c r="X1816" s="673"/>
      <c r="Y1816" s="673"/>
      <c r="Z1816" s="673"/>
      <c r="AA1816" s="673"/>
      <c r="AB1816" s="673"/>
      <c r="AC1816" s="673"/>
      <c r="AD1816" s="673"/>
      <c r="AE1816" s="673"/>
      <c r="AF1816" s="673"/>
      <c r="AG1816" s="673"/>
      <c r="AH1816" s="673"/>
    </row>
    <row r="1817">
      <c r="A1817" s="653"/>
      <c r="B1817" s="654"/>
      <c r="C1817" s="691"/>
      <c r="D1817" s="661"/>
      <c r="E1817" s="705"/>
      <c r="F1817" s="659"/>
      <c r="G1817" s="661"/>
      <c r="H1817" s="660"/>
      <c r="I1817" s="691"/>
      <c r="J1817" s="661"/>
      <c r="K1817" s="706"/>
      <c r="L1817" s="665"/>
      <c r="M1817" s="663"/>
      <c r="N1817" s="665"/>
      <c r="O1817" s="665"/>
      <c r="P1817" s="665"/>
      <c r="Q1817" s="665"/>
      <c r="R1817" s="665"/>
      <c r="S1817" s="665"/>
      <c r="T1817" s="673"/>
      <c r="U1817" s="673"/>
      <c r="V1817" s="673"/>
      <c r="W1817" s="673"/>
      <c r="X1817" s="673"/>
      <c r="Y1817" s="673"/>
      <c r="Z1817" s="673"/>
      <c r="AA1817" s="673"/>
      <c r="AB1817" s="673"/>
      <c r="AC1817" s="673"/>
      <c r="AD1817" s="673"/>
      <c r="AE1817" s="673"/>
      <c r="AF1817" s="673"/>
      <c r="AG1817" s="673"/>
      <c r="AH1817" s="673"/>
    </row>
    <row r="1818">
      <c r="A1818" s="653"/>
      <c r="B1818" s="654"/>
      <c r="C1818" s="691"/>
      <c r="D1818" s="661"/>
      <c r="E1818" s="705"/>
      <c r="F1818" s="659"/>
      <c r="G1818" s="661"/>
      <c r="H1818" s="660"/>
      <c r="I1818" s="691"/>
      <c r="J1818" s="661"/>
      <c r="K1818" s="706"/>
      <c r="L1818" s="665"/>
      <c r="M1818" s="663"/>
      <c r="N1818" s="665"/>
      <c r="O1818" s="665"/>
      <c r="P1818" s="665"/>
      <c r="Q1818" s="665"/>
      <c r="R1818" s="665"/>
      <c r="S1818" s="665"/>
      <c r="T1818" s="673"/>
      <c r="U1818" s="673"/>
      <c r="V1818" s="673"/>
      <c r="W1818" s="673"/>
      <c r="X1818" s="673"/>
      <c r="Y1818" s="673"/>
      <c r="Z1818" s="673"/>
      <c r="AA1818" s="673"/>
      <c r="AB1818" s="673"/>
      <c r="AC1818" s="673"/>
      <c r="AD1818" s="673"/>
      <c r="AE1818" s="673"/>
      <c r="AF1818" s="673"/>
      <c r="AG1818" s="673"/>
      <c r="AH1818" s="673"/>
    </row>
    <row r="1819">
      <c r="A1819" s="653"/>
      <c r="B1819" s="654"/>
      <c r="C1819" s="691"/>
      <c r="D1819" s="661"/>
      <c r="E1819" s="705"/>
      <c r="F1819" s="659"/>
      <c r="G1819" s="661"/>
      <c r="H1819" s="660"/>
      <c r="I1819" s="691"/>
      <c r="J1819" s="661"/>
      <c r="K1819" s="706"/>
      <c r="L1819" s="665"/>
      <c r="M1819" s="663"/>
      <c r="N1819" s="665"/>
      <c r="O1819" s="665"/>
      <c r="P1819" s="665"/>
      <c r="Q1819" s="665"/>
      <c r="R1819" s="665"/>
      <c r="S1819" s="665"/>
      <c r="T1819" s="673"/>
      <c r="U1819" s="673"/>
      <c r="V1819" s="673"/>
      <c r="W1819" s="673"/>
      <c r="X1819" s="673"/>
      <c r="Y1819" s="673"/>
      <c r="Z1819" s="673"/>
      <c r="AA1819" s="673"/>
      <c r="AB1819" s="673"/>
      <c r="AC1819" s="673"/>
      <c r="AD1819" s="673"/>
      <c r="AE1819" s="673"/>
      <c r="AF1819" s="673"/>
      <c r="AG1819" s="673"/>
      <c r="AH1819" s="673"/>
    </row>
    <row r="1820">
      <c r="A1820" s="653"/>
      <c r="B1820" s="654"/>
      <c r="C1820" s="691"/>
      <c r="D1820" s="661"/>
      <c r="E1820" s="705"/>
      <c r="F1820" s="659"/>
      <c r="G1820" s="661"/>
      <c r="H1820" s="660"/>
      <c r="I1820" s="691"/>
      <c r="J1820" s="661"/>
      <c r="K1820" s="706"/>
      <c r="L1820" s="665"/>
      <c r="M1820" s="663"/>
      <c r="N1820" s="665"/>
      <c r="O1820" s="665"/>
      <c r="P1820" s="665"/>
      <c r="Q1820" s="665"/>
      <c r="R1820" s="665"/>
      <c r="S1820" s="665"/>
      <c r="T1820" s="673"/>
      <c r="U1820" s="673"/>
      <c r="V1820" s="673"/>
      <c r="W1820" s="673"/>
      <c r="X1820" s="673"/>
      <c r="Y1820" s="673"/>
      <c r="Z1820" s="673"/>
      <c r="AA1820" s="673"/>
      <c r="AB1820" s="673"/>
      <c r="AC1820" s="673"/>
      <c r="AD1820" s="673"/>
      <c r="AE1820" s="673"/>
      <c r="AF1820" s="673"/>
      <c r="AG1820" s="673"/>
      <c r="AH1820" s="673"/>
    </row>
    <row r="1821">
      <c r="A1821" s="653"/>
      <c r="B1821" s="654"/>
      <c r="C1821" s="691"/>
      <c r="D1821" s="661"/>
      <c r="E1821" s="705"/>
      <c r="F1821" s="659"/>
      <c r="G1821" s="661"/>
      <c r="H1821" s="660"/>
      <c r="I1821" s="691"/>
      <c r="J1821" s="661"/>
      <c r="K1821" s="706"/>
      <c r="L1821" s="665"/>
      <c r="M1821" s="663"/>
      <c r="N1821" s="665"/>
      <c r="O1821" s="665"/>
      <c r="P1821" s="665"/>
      <c r="Q1821" s="665"/>
      <c r="R1821" s="665"/>
      <c r="S1821" s="665"/>
      <c r="T1821" s="673"/>
      <c r="U1821" s="673"/>
      <c r="V1821" s="673"/>
      <c r="W1821" s="673"/>
      <c r="X1821" s="673"/>
      <c r="Y1821" s="673"/>
      <c r="Z1821" s="673"/>
      <c r="AA1821" s="673"/>
      <c r="AB1821" s="673"/>
      <c r="AC1821" s="673"/>
      <c r="AD1821" s="673"/>
      <c r="AE1821" s="673"/>
      <c r="AF1821" s="673"/>
      <c r="AG1821" s="673"/>
      <c r="AH1821" s="673"/>
    </row>
    <row r="1822">
      <c r="A1822" s="653"/>
      <c r="B1822" s="654"/>
      <c r="C1822" s="691"/>
      <c r="D1822" s="661"/>
      <c r="E1822" s="705"/>
      <c r="F1822" s="659"/>
      <c r="G1822" s="661"/>
      <c r="H1822" s="660"/>
      <c r="I1822" s="691"/>
      <c r="J1822" s="661"/>
      <c r="K1822" s="706"/>
      <c r="L1822" s="665"/>
      <c r="M1822" s="663"/>
      <c r="N1822" s="665"/>
      <c r="O1822" s="665"/>
      <c r="P1822" s="665"/>
      <c r="Q1822" s="665"/>
      <c r="R1822" s="665"/>
      <c r="S1822" s="665"/>
      <c r="T1822" s="673"/>
      <c r="U1822" s="673"/>
      <c r="V1822" s="673"/>
      <c r="W1822" s="673"/>
      <c r="X1822" s="673"/>
      <c r="Y1822" s="673"/>
      <c r="Z1822" s="673"/>
      <c r="AA1822" s="673"/>
      <c r="AB1822" s="673"/>
      <c r="AC1822" s="673"/>
      <c r="AD1822" s="673"/>
      <c r="AE1822" s="673"/>
      <c r="AF1822" s="673"/>
      <c r="AG1822" s="673"/>
      <c r="AH1822" s="673"/>
    </row>
    <row r="1823">
      <c r="A1823" s="653"/>
      <c r="B1823" s="654"/>
      <c r="C1823" s="691"/>
      <c r="D1823" s="661"/>
      <c r="E1823" s="705"/>
      <c r="F1823" s="659"/>
      <c r="G1823" s="661"/>
      <c r="H1823" s="660"/>
      <c r="I1823" s="691"/>
      <c r="J1823" s="661"/>
      <c r="K1823" s="706"/>
      <c r="L1823" s="665"/>
      <c r="M1823" s="663"/>
      <c r="N1823" s="665"/>
      <c r="O1823" s="665"/>
      <c r="P1823" s="665"/>
      <c r="Q1823" s="665"/>
      <c r="R1823" s="665"/>
      <c r="S1823" s="665"/>
      <c r="T1823" s="673"/>
      <c r="U1823" s="673"/>
      <c r="V1823" s="673"/>
      <c r="W1823" s="673"/>
      <c r="X1823" s="673"/>
      <c r="Y1823" s="673"/>
      <c r="Z1823" s="673"/>
      <c r="AA1823" s="673"/>
      <c r="AB1823" s="673"/>
      <c r="AC1823" s="673"/>
      <c r="AD1823" s="673"/>
      <c r="AE1823" s="673"/>
      <c r="AF1823" s="673"/>
      <c r="AG1823" s="673"/>
      <c r="AH1823" s="673"/>
    </row>
    <row r="1824">
      <c r="A1824" s="653"/>
      <c r="B1824" s="654"/>
      <c r="C1824" s="691"/>
      <c r="D1824" s="661"/>
      <c r="E1824" s="705"/>
      <c r="F1824" s="659"/>
      <c r="G1824" s="661"/>
      <c r="H1824" s="660"/>
      <c r="I1824" s="691"/>
      <c r="J1824" s="661"/>
      <c r="K1824" s="706"/>
      <c r="L1824" s="665"/>
      <c r="M1824" s="663"/>
      <c r="N1824" s="665"/>
      <c r="O1824" s="665"/>
      <c r="P1824" s="665"/>
      <c r="Q1824" s="665"/>
      <c r="R1824" s="665"/>
      <c r="S1824" s="665"/>
      <c r="T1824" s="673"/>
      <c r="U1824" s="673"/>
      <c r="V1824" s="673"/>
      <c r="W1824" s="673"/>
      <c r="X1824" s="673"/>
      <c r="Y1824" s="673"/>
      <c r="Z1824" s="673"/>
      <c r="AA1824" s="673"/>
      <c r="AB1824" s="673"/>
      <c r="AC1824" s="673"/>
      <c r="AD1824" s="673"/>
      <c r="AE1824" s="673"/>
      <c r="AF1824" s="673"/>
      <c r="AG1824" s="673"/>
      <c r="AH1824" s="673"/>
    </row>
    <row r="1825">
      <c r="A1825" s="653"/>
      <c r="B1825" s="654"/>
      <c r="C1825" s="691"/>
      <c r="D1825" s="661"/>
      <c r="E1825" s="705"/>
      <c r="F1825" s="659"/>
      <c r="G1825" s="661"/>
      <c r="H1825" s="660"/>
      <c r="I1825" s="691"/>
      <c r="J1825" s="661"/>
      <c r="K1825" s="706"/>
      <c r="L1825" s="665"/>
      <c r="M1825" s="663"/>
      <c r="N1825" s="665"/>
      <c r="O1825" s="665"/>
      <c r="P1825" s="665"/>
      <c r="Q1825" s="665"/>
      <c r="R1825" s="665"/>
      <c r="S1825" s="665"/>
      <c r="T1825" s="673"/>
      <c r="U1825" s="673"/>
      <c r="V1825" s="673"/>
      <c r="W1825" s="673"/>
      <c r="X1825" s="673"/>
      <c r="Y1825" s="673"/>
      <c r="Z1825" s="673"/>
      <c r="AA1825" s="673"/>
      <c r="AB1825" s="673"/>
      <c r="AC1825" s="673"/>
      <c r="AD1825" s="673"/>
      <c r="AE1825" s="673"/>
      <c r="AF1825" s="673"/>
      <c r="AG1825" s="673"/>
      <c r="AH1825" s="673"/>
    </row>
    <row r="1826">
      <c r="A1826" s="653"/>
      <c r="B1826" s="654"/>
      <c r="C1826" s="691"/>
      <c r="D1826" s="661"/>
      <c r="E1826" s="705"/>
      <c r="F1826" s="659"/>
      <c r="G1826" s="661"/>
      <c r="H1826" s="660"/>
      <c r="I1826" s="691"/>
      <c r="J1826" s="661"/>
      <c r="K1826" s="706"/>
      <c r="L1826" s="665"/>
      <c r="M1826" s="663"/>
      <c r="N1826" s="665"/>
      <c r="O1826" s="665"/>
      <c r="P1826" s="665"/>
      <c r="Q1826" s="665"/>
      <c r="R1826" s="665"/>
      <c r="S1826" s="665"/>
      <c r="T1826" s="673"/>
      <c r="U1826" s="673"/>
      <c r="V1826" s="673"/>
      <c r="W1826" s="673"/>
      <c r="X1826" s="673"/>
      <c r="Y1826" s="673"/>
      <c r="Z1826" s="673"/>
      <c r="AA1826" s="673"/>
      <c r="AB1826" s="673"/>
      <c r="AC1826" s="673"/>
      <c r="AD1826" s="673"/>
      <c r="AE1826" s="673"/>
      <c r="AF1826" s="673"/>
      <c r="AG1826" s="673"/>
      <c r="AH1826" s="673"/>
    </row>
    <row r="1827">
      <c r="A1827" s="653"/>
      <c r="B1827" s="654"/>
      <c r="C1827" s="691"/>
      <c r="D1827" s="661"/>
      <c r="E1827" s="705"/>
      <c r="F1827" s="659"/>
      <c r="G1827" s="661"/>
      <c r="H1827" s="660"/>
      <c r="I1827" s="691"/>
      <c r="J1827" s="661"/>
      <c r="K1827" s="706"/>
      <c r="L1827" s="665"/>
      <c r="M1827" s="663"/>
      <c r="N1827" s="665"/>
      <c r="O1827" s="665"/>
      <c r="P1827" s="665"/>
      <c r="Q1827" s="665"/>
      <c r="R1827" s="665"/>
      <c r="S1827" s="665"/>
      <c r="T1827" s="673"/>
      <c r="U1827" s="673"/>
      <c r="V1827" s="673"/>
      <c r="W1827" s="673"/>
      <c r="X1827" s="673"/>
      <c r="Y1827" s="673"/>
      <c r="Z1827" s="673"/>
      <c r="AA1827" s="673"/>
      <c r="AB1827" s="673"/>
      <c r="AC1827" s="673"/>
      <c r="AD1827" s="673"/>
      <c r="AE1827" s="673"/>
      <c r="AF1827" s="673"/>
      <c r="AG1827" s="673"/>
      <c r="AH1827" s="673"/>
    </row>
    <row r="1828">
      <c r="A1828" s="653"/>
      <c r="B1828" s="654"/>
      <c r="C1828" s="691"/>
      <c r="D1828" s="661"/>
      <c r="E1828" s="705"/>
      <c r="F1828" s="659"/>
      <c r="G1828" s="661"/>
      <c r="H1828" s="660"/>
      <c r="I1828" s="691"/>
      <c r="J1828" s="661"/>
      <c r="K1828" s="706"/>
      <c r="L1828" s="665"/>
      <c r="M1828" s="663"/>
      <c r="N1828" s="665"/>
      <c r="O1828" s="665"/>
      <c r="P1828" s="665"/>
      <c r="Q1828" s="665"/>
      <c r="R1828" s="665"/>
      <c r="S1828" s="665"/>
      <c r="T1828" s="673"/>
      <c r="U1828" s="673"/>
      <c r="V1828" s="673"/>
      <c r="W1828" s="673"/>
      <c r="X1828" s="673"/>
      <c r="Y1828" s="673"/>
      <c r="Z1828" s="673"/>
      <c r="AA1828" s="673"/>
      <c r="AB1828" s="673"/>
      <c r="AC1828" s="673"/>
      <c r="AD1828" s="673"/>
      <c r="AE1828" s="673"/>
      <c r="AF1828" s="673"/>
      <c r="AG1828" s="673"/>
      <c r="AH1828" s="673"/>
    </row>
    <row r="1829">
      <c r="A1829" s="653"/>
      <c r="B1829" s="654"/>
      <c r="C1829" s="691"/>
      <c r="D1829" s="661"/>
      <c r="E1829" s="705"/>
      <c r="F1829" s="659"/>
      <c r="G1829" s="661"/>
      <c r="H1829" s="660"/>
      <c r="I1829" s="691"/>
      <c r="J1829" s="661"/>
      <c r="K1829" s="706"/>
      <c r="L1829" s="665"/>
      <c r="M1829" s="663"/>
      <c r="N1829" s="665"/>
      <c r="O1829" s="665"/>
      <c r="P1829" s="665"/>
      <c r="Q1829" s="665"/>
      <c r="R1829" s="665"/>
      <c r="S1829" s="665"/>
      <c r="T1829" s="673"/>
      <c r="U1829" s="673"/>
      <c r="V1829" s="673"/>
      <c r="W1829" s="673"/>
      <c r="X1829" s="673"/>
      <c r="Y1829" s="673"/>
      <c r="Z1829" s="673"/>
      <c r="AA1829" s="673"/>
      <c r="AB1829" s="673"/>
      <c r="AC1829" s="673"/>
      <c r="AD1829" s="673"/>
      <c r="AE1829" s="673"/>
      <c r="AF1829" s="673"/>
      <c r="AG1829" s="673"/>
      <c r="AH1829" s="673"/>
    </row>
    <row r="1830">
      <c r="A1830" s="653"/>
      <c r="B1830" s="654"/>
      <c r="C1830" s="691"/>
      <c r="D1830" s="661"/>
      <c r="E1830" s="705"/>
      <c r="F1830" s="659"/>
      <c r="G1830" s="661"/>
      <c r="H1830" s="660"/>
      <c r="I1830" s="691"/>
      <c r="J1830" s="661"/>
      <c r="K1830" s="706"/>
      <c r="L1830" s="665"/>
      <c r="M1830" s="663"/>
      <c r="N1830" s="665"/>
      <c r="O1830" s="665"/>
      <c r="P1830" s="665"/>
      <c r="Q1830" s="665"/>
      <c r="R1830" s="665"/>
      <c r="S1830" s="665"/>
      <c r="T1830" s="673"/>
      <c r="U1830" s="673"/>
      <c r="V1830" s="673"/>
      <c r="W1830" s="673"/>
      <c r="X1830" s="673"/>
      <c r="Y1830" s="673"/>
      <c r="Z1830" s="673"/>
      <c r="AA1830" s="673"/>
      <c r="AB1830" s="673"/>
      <c r="AC1830" s="673"/>
      <c r="AD1830" s="673"/>
      <c r="AE1830" s="673"/>
      <c r="AF1830" s="673"/>
      <c r="AG1830" s="673"/>
      <c r="AH1830" s="673"/>
    </row>
    <row r="1831">
      <c r="A1831" s="653"/>
      <c r="B1831" s="654"/>
      <c r="C1831" s="691"/>
      <c r="D1831" s="661"/>
      <c r="E1831" s="705"/>
      <c r="F1831" s="659"/>
      <c r="G1831" s="661"/>
      <c r="H1831" s="660"/>
      <c r="I1831" s="691"/>
      <c r="J1831" s="661"/>
      <c r="K1831" s="706"/>
      <c r="L1831" s="665"/>
      <c r="M1831" s="663"/>
      <c r="N1831" s="665"/>
      <c r="O1831" s="665"/>
      <c r="P1831" s="665"/>
      <c r="Q1831" s="665"/>
      <c r="R1831" s="665"/>
      <c r="S1831" s="665"/>
      <c r="T1831" s="673"/>
      <c r="U1831" s="673"/>
      <c r="V1831" s="673"/>
      <c r="W1831" s="673"/>
      <c r="X1831" s="673"/>
      <c r="Y1831" s="673"/>
      <c r="Z1831" s="673"/>
      <c r="AA1831" s="673"/>
      <c r="AB1831" s="673"/>
      <c r="AC1831" s="673"/>
      <c r="AD1831" s="673"/>
      <c r="AE1831" s="673"/>
      <c r="AF1831" s="673"/>
      <c r="AG1831" s="673"/>
      <c r="AH1831" s="673"/>
    </row>
    <row r="1832">
      <c r="A1832" s="653"/>
      <c r="B1832" s="654"/>
      <c r="C1832" s="691"/>
      <c r="D1832" s="661"/>
      <c r="E1832" s="705"/>
      <c r="F1832" s="659"/>
      <c r="G1832" s="661"/>
      <c r="H1832" s="660"/>
      <c r="I1832" s="691"/>
      <c r="J1832" s="661"/>
      <c r="K1832" s="706"/>
      <c r="L1832" s="665"/>
      <c r="M1832" s="663"/>
      <c r="N1832" s="665"/>
      <c r="O1832" s="665"/>
      <c r="P1832" s="665"/>
      <c r="Q1832" s="665"/>
      <c r="R1832" s="665"/>
      <c r="S1832" s="665"/>
      <c r="T1832" s="673"/>
      <c r="U1832" s="673"/>
      <c r="V1832" s="673"/>
      <c r="W1832" s="673"/>
      <c r="X1832" s="673"/>
      <c r="Y1832" s="673"/>
      <c r="Z1832" s="673"/>
      <c r="AA1832" s="673"/>
      <c r="AB1832" s="673"/>
      <c r="AC1832" s="673"/>
      <c r="AD1832" s="673"/>
      <c r="AE1832" s="673"/>
      <c r="AF1832" s="673"/>
      <c r="AG1832" s="673"/>
      <c r="AH1832" s="673"/>
    </row>
    <row r="1833">
      <c r="A1833" s="653"/>
      <c r="B1833" s="654"/>
      <c r="C1833" s="691"/>
      <c r="D1833" s="661"/>
      <c r="E1833" s="705"/>
      <c r="F1833" s="659"/>
      <c r="G1833" s="661"/>
      <c r="H1833" s="660"/>
      <c r="I1833" s="691"/>
      <c r="J1833" s="661"/>
      <c r="K1833" s="706"/>
      <c r="L1833" s="665"/>
      <c r="M1833" s="663"/>
      <c r="N1833" s="665"/>
      <c r="O1833" s="665"/>
      <c r="P1833" s="665"/>
      <c r="Q1833" s="665"/>
      <c r="R1833" s="665"/>
      <c r="S1833" s="665"/>
      <c r="T1833" s="673"/>
      <c r="U1833" s="673"/>
      <c r="V1833" s="673"/>
      <c r="W1833" s="673"/>
      <c r="X1833" s="673"/>
      <c r="Y1833" s="673"/>
      <c r="Z1833" s="673"/>
      <c r="AA1833" s="673"/>
      <c r="AB1833" s="673"/>
      <c r="AC1833" s="673"/>
      <c r="AD1833" s="673"/>
      <c r="AE1833" s="673"/>
      <c r="AF1833" s="673"/>
      <c r="AG1833" s="673"/>
      <c r="AH1833" s="673"/>
    </row>
    <row r="1834">
      <c r="A1834" s="653"/>
      <c r="B1834" s="654"/>
      <c r="C1834" s="691"/>
      <c r="D1834" s="661"/>
      <c r="E1834" s="705"/>
      <c r="F1834" s="659"/>
      <c r="G1834" s="661"/>
      <c r="H1834" s="660"/>
      <c r="I1834" s="691"/>
      <c r="J1834" s="661"/>
      <c r="K1834" s="706"/>
      <c r="L1834" s="665"/>
      <c r="M1834" s="663"/>
      <c r="N1834" s="665"/>
      <c r="O1834" s="665"/>
      <c r="P1834" s="665"/>
      <c r="Q1834" s="665"/>
      <c r="R1834" s="665"/>
      <c r="S1834" s="665"/>
      <c r="T1834" s="673"/>
      <c r="U1834" s="673"/>
      <c r="V1834" s="673"/>
      <c r="W1834" s="673"/>
      <c r="X1834" s="673"/>
      <c r="Y1834" s="673"/>
      <c r="Z1834" s="673"/>
      <c r="AA1834" s="673"/>
      <c r="AB1834" s="673"/>
      <c r="AC1834" s="673"/>
      <c r="AD1834" s="673"/>
      <c r="AE1834" s="673"/>
      <c r="AF1834" s="673"/>
      <c r="AG1834" s="673"/>
      <c r="AH1834" s="673"/>
    </row>
    <row r="1835">
      <c r="A1835" s="653"/>
      <c r="B1835" s="654"/>
      <c r="C1835" s="691"/>
      <c r="D1835" s="661"/>
      <c r="E1835" s="705"/>
      <c r="F1835" s="659"/>
      <c r="G1835" s="661"/>
      <c r="H1835" s="660"/>
      <c r="I1835" s="691"/>
      <c r="J1835" s="661"/>
      <c r="K1835" s="706"/>
      <c r="L1835" s="665"/>
      <c r="M1835" s="663"/>
      <c r="N1835" s="665"/>
      <c r="O1835" s="665"/>
      <c r="P1835" s="665"/>
      <c r="Q1835" s="665"/>
      <c r="R1835" s="665"/>
      <c r="S1835" s="665"/>
      <c r="T1835" s="673"/>
      <c r="U1835" s="673"/>
      <c r="V1835" s="673"/>
      <c r="W1835" s="673"/>
      <c r="X1835" s="673"/>
      <c r="Y1835" s="673"/>
      <c r="Z1835" s="673"/>
      <c r="AA1835" s="673"/>
      <c r="AB1835" s="673"/>
      <c r="AC1835" s="673"/>
      <c r="AD1835" s="673"/>
      <c r="AE1835" s="673"/>
      <c r="AF1835" s="673"/>
      <c r="AG1835" s="673"/>
      <c r="AH1835" s="673"/>
    </row>
    <row r="1836">
      <c r="A1836" s="653"/>
      <c r="B1836" s="654"/>
      <c r="C1836" s="691"/>
      <c r="D1836" s="661"/>
      <c r="E1836" s="705"/>
      <c r="F1836" s="659"/>
      <c r="G1836" s="661"/>
      <c r="H1836" s="660"/>
      <c r="I1836" s="691"/>
      <c r="J1836" s="661"/>
      <c r="K1836" s="706"/>
      <c r="L1836" s="665"/>
      <c r="M1836" s="663"/>
      <c r="N1836" s="665"/>
      <c r="O1836" s="665"/>
      <c r="P1836" s="665"/>
      <c r="Q1836" s="665"/>
      <c r="R1836" s="665"/>
      <c r="S1836" s="665"/>
      <c r="T1836" s="673"/>
      <c r="U1836" s="673"/>
      <c r="V1836" s="673"/>
      <c r="W1836" s="673"/>
      <c r="X1836" s="673"/>
      <c r="Y1836" s="673"/>
      <c r="Z1836" s="673"/>
      <c r="AA1836" s="673"/>
      <c r="AB1836" s="673"/>
      <c r="AC1836" s="673"/>
      <c r="AD1836" s="673"/>
      <c r="AE1836" s="673"/>
      <c r="AF1836" s="673"/>
      <c r="AG1836" s="673"/>
      <c r="AH1836" s="673"/>
    </row>
    <row r="1837">
      <c r="A1837" s="653"/>
      <c r="B1837" s="654"/>
      <c r="C1837" s="691"/>
      <c r="D1837" s="661"/>
      <c r="E1837" s="705"/>
      <c r="F1837" s="659"/>
      <c r="G1837" s="661"/>
      <c r="H1837" s="660"/>
      <c r="I1837" s="691"/>
      <c r="J1837" s="661"/>
      <c r="K1837" s="706"/>
      <c r="L1837" s="665"/>
      <c r="M1837" s="663"/>
      <c r="N1837" s="665"/>
      <c r="O1837" s="665"/>
      <c r="P1837" s="665"/>
      <c r="Q1837" s="665"/>
      <c r="R1837" s="665"/>
      <c r="S1837" s="665"/>
      <c r="T1837" s="673"/>
      <c r="U1837" s="673"/>
      <c r="V1837" s="673"/>
      <c r="W1837" s="673"/>
      <c r="X1837" s="673"/>
      <c r="Y1837" s="673"/>
      <c r="Z1837" s="673"/>
      <c r="AA1837" s="673"/>
      <c r="AB1837" s="673"/>
      <c r="AC1837" s="673"/>
      <c r="AD1837" s="673"/>
      <c r="AE1837" s="673"/>
      <c r="AF1837" s="673"/>
      <c r="AG1837" s="673"/>
      <c r="AH1837" s="673"/>
    </row>
    <row r="1838">
      <c r="A1838" s="653"/>
      <c r="B1838" s="654"/>
      <c r="C1838" s="691"/>
      <c r="D1838" s="661"/>
      <c r="E1838" s="705"/>
      <c r="F1838" s="659"/>
      <c r="G1838" s="661"/>
      <c r="H1838" s="660"/>
      <c r="I1838" s="691"/>
      <c r="J1838" s="661"/>
      <c r="K1838" s="706"/>
      <c r="L1838" s="665"/>
      <c r="M1838" s="663"/>
      <c r="N1838" s="665"/>
      <c r="O1838" s="665"/>
      <c r="P1838" s="665"/>
      <c r="Q1838" s="665"/>
      <c r="R1838" s="665"/>
      <c r="S1838" s="665"/>
      <c r="T1838" s="673"/>
      <c r="U1838" s="673"/>
      <c r="V1838" s="673"/>
      <c r="W1838" s="673"/>
      <c r="X1838" s="673"/>
      <c r="Y1838" s="673"/>
      <c r="Z1838" s="673"/>
      <c r="AA1838" s="673"/>
      <c r="AB1838" s="673"/>
      <c r="AC1838" s="673"/>
      <c r="AD1838" s="673"/>
      <c r="AE1838" s="673"/>
      <c r="AF1838" s="673"/>
      <c r="AG1838" s="673"/>
      <c r="AH1838" s="673"/>
    </row>
    <row r="1839">
      <c r="A1839" s="653"/>
      <c r="B1839" s="654"/>
      <c r="C1839" s="691"/>
      <c r="D1839" s="661"/>
      <c r="E1839" s="705"/>
      <c r="F1839" s="659"/>
      <c r="G1839" s="661"/>
      <c r="H1839" s="660"/>
      <c r="I1839" s="691"/>
      <c r="J1839" s="661"/>
      <c r="K1839" s="706"/>
      <c r="L1839" s="665"/>
      <c r="M1839" s="663"/>
      <c r="N1839" s="665"/>
      <c r="O1839" s="665"/>
      <c r="P1839" s="665"/>
      <c r="Q1839" s="665"/>
      <c r="R1839" s="665"/>
      <c r="S1839" s="665"/>
      <c r="T1839" s="673"/>
      <c r="U1839" s="673"/>
      <c r="V1839" s="673"/>
      <c r="W1839" s="673"/>
      <c r="X1839" s="673"/>
      <c r="Y1839" s="673"/>
      <c r="Z1839" s="673"/>
      <c r="AA1839" s="673"/>
      <c r="AB1839" s="673"/>
      <c r="AC1839" s="673"/>
      <c r="AD1839" s="673"/>
      <c r="AE1839" s="673"/>
      <c r="AF1839" s="673"/>
      <c r="AG1839" s="673"/>
      <c r="AH1839" s="673"/>
    </row>
    <row r="1840">
      <c r="A1840" s="653"/>
      <c r="B1840" s="654"/>
      <c r="C1840" s="691"/>
      <c r="D1840" s="661"/>
      <c r="E1840" s="705"/>
      <c r="F1840" s="659"/>
      <c r="G1840" s="661"/>
      <c r="H1840" s="660"/>
      <c r="I1840" s="691"/>
      <c r="J1840" s="661"/>
      <c r="K1840" s="706"/>
      <c r="L1840" s="665"/>
      <c r="M1840" s="663"/>
      <c r="N1840" s="665"/>
      <c r="O1840" s="665"/>
      <c r="P1840" s="665"/>
      <c r="Q1840" s="665"/>
      <c r="R1840" s="665"/>
      <c r="S1840" s="665"/>
      <c r="T1840" s="673"/>
      <c r="U1840" s="673"/>
      <c r="V1840" s="673"/>
      <c r="W1840" s="673"/>
      <c r="X1840" s="673"/>
      <c r="Y1840" s="673"/>
      <c r="Z1840" s="673"/>
      <c r="AA1840" s="673"/>
      <c r="AB1840" s="673"/>
      <c r="AC1840" s="673"/>
      <c r="AD1840" s="673"/>
      <c r="AE1840" s="673"/>
      <c r="AF1840" s="673"/>
      <c r="AG1840" s="673"/>
      <c r="AH1840" s="673"/>
    </row>
    <row r="1841">
      <c r="A1841" s="653"/>
      <c r="B1841" s="654"/>
      <c r="C1841" s="691"/>
      <c r="D1841" s="661"/>
      <c r="E1841" s="705"/>
      <c r="F1841" s="659"/>
      <c r="G1841" s="661"/>
      <c r="H1841" s="660"/>
      <c r="I1841" s="691"/>
      <c r="J1841" s="661"/>
      <c r="K1841" s="706"/>
      <c r="L1841" s="665"/>
      <c r="M1841" s="663"/>
      <c r="N1841" s="665"/>
      <c r="O1841" s="665"/>
      <c r="P1841" s="665"/>
      <c r="Q1841" s="665"/>
      <c r="R1841" s="665"/>
      <c r="S1841" s="665"/>
      <c r="T1841" s="673"/>
      <c r="U1841" s="673"/>
      <c r="V1841" s="673"/>
      <c r="W1841" s="673"/>
      <c r="X1841" s="673"/>
      <c r="Y1841" s="673"/>
      <c r="Z1841" s="673"/>
      <c r="AA1841" s="673"/>
      <c r="AB1841" s="673"/>
      <c r="AC1841" s="673"/>
      <c r="AD1841" s="673"/>
      <c r="AE1841" s="673"/>
      <c r="AF1841" s="673"/>
      <c r="AG1841" s="673"/>
      <c r="AH1841" s="673"/>
    </row>
    <row r="1842">
      <c r="A1842" s="653"/>
      <c r="B1842" s="654"/>
      <c r="C1842" s="691"/>
      <c r="D1842" s="661"/>
      <c r="E1842" s="705"/>
      <c r="F1842" s="659"/>
      <c r="G1842" s="661"/>
      <c r="H1842" s="660"/>
      <c r="I1842" s="691"/>
      <c r="J1842" s="661"/>
      <c r="K1842" s="706"/>
      <c r="L1842" s="665"/>
      <c r="M1842" s="663"/>
      <c r="N1842" s="665"/>
      <c r="O1842" s="665"/>
      <c r="P1842" s="665"/>
      <c r="Q1842" s="665"/>
      <c r="R1842" s="665"/>
      <c r="S1842" s="665"/>
      <c r="T1842" s="673"/>
      <c r="U1842" s="673"/>
      <c r="V1842" s="673"/>
      <c r="W1842" s="673"/>
      <c r="X1842" s="673"/>
      <c r="Y1842" s="673"/>
      <c r="Z1842" s="673"/>
      <c r="AA1842" s="673"/>
      <c r="AB1842" s="673"/>
      <c r="AC1842" s="673"/>
      <c r="AD1842" s="673"/>
      <c r="AE1842" s="673"/>
      <c r="AF1842" s="673"/>
      <c r="AG1842" s="673"/>
      <c r="AH1842" s="673"/>
    </row>
    <row r="1843">
      <c r="A1843" s="653"/>
      <c r="B1843" s="654"/>
      <c r="C1843" s="691"/>
      <c r="D1843" s="661"/>
      <c r="E1843" s="705"/>
      <c r="F1843" s="659"/>
      <c r="G1843" s="661"/>
      <c r="H1843" s="660"/>
      <c r="I1843" s="691"/>
      <c r="J1843" s="661"/>
      <c r="K1843" s="706"/>
      <c r="L1843" s="665"/>
      <c r="M1843" s="663"/>
      <c r="N1843" s="665"/>
      <c r="O1843" s="665"/>
      <c r="P1843" s="665"/>
      <c r="Q1843" s="665"/>
      <c r="R1843" s="665"/>
      <c r="S1843" s="665"/>
      <c r="T1843" s="673"/>
      <c r="U1843" s="673"/>
      <c r="V1843" s="673"/>
      <c r="W1843" s="673"/>
      <c r="X1843" s="673"/>
      <c r="Y1843" s="673"/>
      <c r="Z1843" s="673"/>
      <c r="AA1843" s="673"/>
      <c r="AB1843" s="673"/>
      <c r="AC1843" s="673"/>
      <c r="AD1843" s="673"/>
      <c r="AE1843" s="673"/>
      <c r="AF1843" s="673"/>
      <c r="AG1843" s="673"/>
      <c r="AH1843" s="673"/>
    </row>
    <row r="1844">
      <c r="A1844" s="653"/>
      <c r="B1844" s="654"/>
      <c r="C1844" s="691"/>
      <c r="D1844" s="661"/>
      <c r="E1844" s="705"/>
      <c r="F1844" s="659"/>
      <c r="G1844" s="661"/>
      <c r="H1844" s="660"/>
      <c r="I1844" s="691"/>
      <c r="J1844" s="661"/>
      <c r="K1844" s="706"/>
      <c r="L1844" s="665"/>
      <c r="M1844" s="663"/>
      <c r="N1844" s="665"/>
      <c r="O1844" s="665"/>
      <c r="P1844" s="665"/>
      <c r="Q1844" s="665"/>
      <c r="R1844" s="665"/>
      <c r="S1844" s="665"/>
      <c r="T1844" s="673"/>
      <c r="U1844" s="673"/>
      <c r="V1844" s="673"/>
      <c r="W1844" s="673"/>
      <c r="X1844" s="673"/>
      <c r="Y1844" s="673"/>
      <c r="Z1844" s="673"/>
      <c r="AA1844" s="673"/>
      <c r="AB1844" s="673"/>
      <c r="AC1844" s="673"/>
      <c r="AD1844" s="673"/>
      <c r="AE1844" s="673"/>
      <c r="AF1844" s="673"/>
      <c r="AG1844" s="673"/>
      <c r="AH1844" s="673"/>
    </row>
    <row r="1845">
      <c r="A1845" s="653"/>
      <c r="B1845" s="654"/>
      <c r="C1845" s="691"/>
      <c r="D1845" s="661"/>
      <c r="E1845" s="705"/>
      <c r="F1845" s="659"/>
      <c r="G1845" s="661"/>
      <c r="H1845" s="660"/>
      <c r="I1845" s="691"/>
      <c r="J1845" s="661"/>
      <c r="K1845" s="706"/>
      <c r="L1845" s="665"/>
      <c r="M1845" s="663"/>
      <c r="N1845" s="665"/>
      <c r="O1845" s="665"/>
      <c r="P1845" s="665"/>
      <c r="Q1845" s="665"/>
      <c r="R1845" s="665"/>
      <c r="S1845" s="665"/>
      <c r="T1845" s="673"/>
      <c r="U1845" s="673"/>
      <c r="V1845" s="673"/>
      <c r="W1845" s="673"/>
      <c r="X1845" s="673"/>
      <c r="Y1845" s="673"/>
      <c r="Z1845" s="673"/>
      <c r="AA1845" s="673"/>
      <c r="AB1845" s="673"/>
      <c r="AC1845" s="673"/>
      <c r="AD1845" s="673"/>
      <c r="AE1845" s="673"/>
      <c r="AF1845" s="673"/>
      <c r="AG1845" s="673"/>
      <c r="AH1845" s="673"/>
    </row>
    <row r="1846">
      <c r="A1846" s="653"/>
      <c r="B1846" s="654"/>
      <c r="C1846" s="691"/>
      <c r="D1846" s="661"/>
      <c r="E1846" s="705"/>
      <c r="F1846" s="659"/>
      <c r="G1846" s="661"/>
      <c r="H1846" s="660"/>
      <c r="I1846" s="691"/>
      <c r="J1846" s="661"/>
      <c r="K1846" s="706"/>
      <c r="L1846" s="665"/>
      <c r="M1846" s="663"/>
      <c r="N1846" s="665"/>
      <c r="O1846" s="665"/>
      <c r="P1846" s="665"/>
      <c r="Q1846" s="665"/>
      <c r="R1846" s="665"/>
      <c r="S1846" s="665"/>
      <c r="T1846" s="673"/>
      <c r="U1846" s="673"/>
      <c r="V1846" s="673"/>
      <c r="W1846" s="673"/>
      <c r="X1846" s="673"/>
      <c r="Y1846" s="673"/>
      <c r="Z1846" s="673"/>
      <c r="AA1846" s="673"/>
      <c r="AB1846" s="673"/>
      <c r="AC1846" s="673"/>
      <c r="AD1846" s="673"/>
      <c r="AE1846" s="673"/>
      <c r="AF1846" s="673"/>
      <c r="AG1846" s="673"/>
      <c r="AH1846" s="673"/>
    </row>
    <row r="1847">
      <c r="A1847" s="653"/>
      <c r="B1847" s="654"/>
      <c r="C1847" s="691"/>
      <c r="D1847" s="661"/>
      <c r="E1847" s="705"/>
      <c r="F1847" s="659"/>
      <c r="G1847" s="661"/>
      <c r="H1847" s="660"/>
      <c r="I1847" s="691"/>
      <c r="J1847" s="661"/>
      <c r="K1847" s="706"/>
      <c r="L1847" s="665"/>
      <c r="M1847" s="663"/>
      <c r="N1847" s="665"/>
      <c r="O1847" s="665"/>
      <c r="P1847" s="665"/>
      <c r="Q1847" s="665"/>
      <c r="R1847" s="665"/>
      <c r="S1847" s="665"/>
      <c r="T1847" s="673"/>
      <c r="U1847" s="673"/>
      <c r="V1847" s="673"/>
      <c r="W1847" s="673"/>
      <c r="X1847" s="673"/>
      <c r="Y1847" s="673"/>
      <c r="Z1847" s="673"/>
      <c r="AA1847" s="673"/>
      <c r="AB1847" s="673"/>
      <c r="AC1847" s="673"/>
      <c r="AD1847" s="673"/>
      <c r="AE1847" s="673"/>
      <c r="AF1847" s="673"/>
      <c r="AG1847" s="673"/>
      <c r="AH1847" s="673"/>
    </row>
    <row r="1848">
      <c r="A1848" s="653"/>
      <c r="B1848" s="654"/>
      <c r="C1848" s="691"/>
      <c r="D1848" s="661"/>
      <c r="E1848" s="705"/>
      <c r="F1848" s="659"/>
      <c r="G1848" s="661"/>
      <c r="H1848" s="660"/>
      <c r="I1848" s="691"/>
      <c r="J1848" s="661"/>
      <c r="K1848" s="706"/>
      <c r="L1848" s="665"/>
      <c r="M1848" s="663"/>
      <c r="N1848" s="665"/>
      <c r="O1848" s="665"/>
      <c r="P1848" s="665"/>
      <c r="Q1848" s="665"/>
      <c r="R1848" s="665"/>
      <c r="S1848" s="665"/>
      <c r="T1848" s="673"/>
      <c r="U1848" s="673"/>
      <c r="V1848" s="673"/>
      <c r="W1848" s="673"/>
      <c r="X1848" s="673"/>
      <c r="Y1848" s="673"/>
      <c r="Z1848" s="673"/>
      <c r="AA1848" s="673"/>
      <c r="AB1848" s="673"/>
      <c r="AC1848" s="673"/>
      <c r="AD1848" s="673"/>
      <c r="AE1848" s="673"/>
      <c r="AF1848" s="673"/>
      <c r="AG1848" s="673"/>
      <c r="AH1848" s="673"/>
    </row>
    <row r="1849">
      <c r="A1849" s="653"/>
      <c r="B1849" s="654"/>
      <c r="C1849" s="691"/>
      <c r="D1849" s="661"/>
      <c r="E1849" s="705"/>
      <c r="F1849" s="659"/>
      <c r="G1849" s="661"/>
      <c r="H1849" s="660"/>
      <c r="I1849" s="691"/>
      <c r="J1849" s="661"/>
      <c r="K1849" s="706"/>
      <c r="L1849" s="665"/>
      <c r="M1849" s="663"/>
      <c r="N1849" s="665"/>
      <c r="O1849" s="665"/>
      <c r="P1849" s="665"/>
      <c r="Q1849" s="665"/>
      <c r="R1849" s="665"/>
      <c r="S1849" s="665"/>
      <c r="T1849" s="673"/>
      <c r="U1849" s="673"/>
      <c r="V1849" s="673"/>
      <c r="W1849" s="673"/>
      <c r="X1849" s="673"/>
      <c r="Y1849" s="673"/>
      <c r="Z1849" s="673"/>
      <c r="AA1849" s="673"/>
      <c r="AB1849" s="673"/>
      <c r="AC1849" s="673"/>
      <c r="AD1849" s="673"/>
      <c r="AE1849" s="673"/>
      <c r="AF1849" s="673"/>
      <c r="AG1849" s="673"/>
      <c r="AH1849" s="673"/>
    </row>
    <row r="1850">
      <c r="A1850" s="653"/>
      <c r="B1850" s="654"/>
      <c r="C1850" s="691"/>
      <c r="D1850" s="661"/>
      <c r="E1850" s="705"/>
      <c r="F1850" s="659"/>
      <c r="G1850" s="661"/>
      <c r="H1850" s="660"/>
      <c r="I1850" s="691"/>
      <c r="J1850" s="661"/>
      <c r="K1850" s="706"/>
      <c r="L1850" s="665"/>
      <c r="M1850" s="663"/>
      <c r="N1850" s="665"/>
      <c r="O1850" s="665"/>
      <c r="P1850" s="665"/>
      <c r="Q1850" s="665"/>
      <c r="R1850" s="665"/>
      <c r="S1850" s="665"/>
      <c r="T1850" s="673"/>
      <c r="U1850" s="673"/>
      <c r="V1850" s="673"/>
      <c r="W1850" s="673"/>
      <c r="X1850" s="673"/>
      <c r="Y1850" s="673"/>
      <c r="Z1850" s="673"/>
      <c r="AA1850" s="673"/>
      <c r="AB1850" s="673"/>
      <c r="AC1850" s="673"/>
      <c r="AD1850" s="673"/>
      <c r="AE1850" s="673"/>
      <c r="AF1850" s="673"/>
      <c r="AG1850" s="673"/>
      <c r="AH1850" s="673"/>
    </row>
    <row r="1851">
      <c r="A1851" s="653"/>
      <c r="B1851" s="654"/>
      <c r="C1851" s="691"/>
      <c r="D1851" s="661"/>
      <c r="E1851" s="705"/>
      <c r="F1851" s="659"/>
      <c r="G1851" s="661"/>
      <c r="H1851" s="660"/>
      <c r="I1851" s="691"/>
      <c r="J1851" s="661"/>
      <c r="K1851" s="706"/>
      <c r="L1851" s="665"/>
      <c r="M1851" s="663"/>
      <c r="N1851" s="665"/>
      <c r="O1851" s="665"/>
      <c r="P1851" s="665"/>
      <c r="Q1851" s="665"/>
      <c r="R1851" s="665"/>
      <c r="S1851" s="665"/>
      <c r="T1851" s="673"/>
      <c r="U1851" s="673"/>
      <c r="V1851" s="673"/>
      <c r="W1851" s="673"/>
      <c r="X1851" s="673"/>
      <c r="Y1851" s="673"/>
      <c r="Z1851" s="673"/>
      <c r="AA1851" s="673"/>
      <c r="AB1851" s="673"/>
      <c r="AC1851" s="673"/>
      <c r="AD1851" s="673"/>
      <c r="AE1851" s="673"/>
      <c r="AF1851" s="673"/>
      <c r="AG1851" s="673"/>
      <c r="AH1851" s="673"/>
    </row>
    <row r="1852">
      <c r="A1852" s="653"/>
      <c r="B1852" s="654"/>
      <c r="C1852" s="691"/>
      <c r="D1852" s="661"/>
      <c r="E1852" s="705"/>
      <c r="F1852" s="659"/>
      <c r="G1852" s="661"/>
      <c r="H1852" s="660"/>
      <c r="I1852" s="691"/>
      <c r="J1852" s="661"/>
      <c r="K1852" s="706"/>
      <c r="L1852" s="665"/>
      <c r="M1852" s="663"/>
      <c r="N1852" s="665"/>
      <c r="O1852" s="665"/>
      <c r="P1852" s="665"/>
      <c r="Q1852" s="665"/>
      <c r="R1852" s="665"/>
      <c r="S1852" s="665"/>
      <c r="T1852" s="673"/>
      <c r="U1852" s="673"/>
      <c r="V1852" s="673"/>
      <c r="W1852" s="673"/>
      <c r="X1852" s="673"/>
      <c r="Y1852" s="673"/>
      <c r="Z1852" s="673"/>
      <c r="AA1852" s="673"/>
      <c r="AB1852" s="673"/>
      <c r="AC1852" s="673"/>
      <c r="AD1852" s="673"/>
      <c r="AE1852" s="673"/>
      <c r="AF1852" s="673"/>
      <c r="AG1852" s="673"/>
      <c r="AH1852" s="673"/>
    </row>
    <row r="1853">
      <c r="A1853" s="653"/>
      <c r="B1853" s="654"/>
      <c r="C1853" s="691"/>
      <c r="D1853" s="661"/>
      <c r="E1853" s="705"/>
      <c r="F1853" s="659"/>
      <c r="G1853" s="661"/>
      <c r="H1853" s="660"/>
      <c r="I1853" s="691"/>
      <c r="J1853" s="661"/>
      <c r="K1853" s="706"/>
      <c r="L1853" s="665"/>
      <c r="M1853" s="663"/>
      <c r="N1853" s="665"/>
      <c r="O1853" s="665"/>
      <c r="P1853" s="665"/>
      <c r="Q1853" s="665"/>
      <c r="R1853" s="665"/>
      <c r="S1853" s="665"/>
      <c r="T1853" s="673"/>
      <c r="U1853" s="673"/>
      <c r="V1853" s="673"/>
      <c r="W1853" s="673"/>
      <c r="X1853" s="673"/>
      <c r="Y1853" s="673"/>
      <c r="Z1853" s="673"/>
      <c r="AA1853" s="673"/>
      <c r="AB1853" s="673"/>
      <c r="AC1853" s="673"/>
      <c r="AD1853" s="673"/>
      <c r="AE1853" s="673"/>
      <c r="AF1853" s="673"/>
      <c r="AG1853" s="673"/>
      <c r="AH1853" s="673"/>
    </row>
    <row r="1854">
      <c r="A1854" s="653"/>
      <c r="B1854" s="654"/>
      <c r="C1854" s="691"/>
      <c r="D1854" s="661"/>
      <c r="E1854" s="705"/>
      <c r="F1854" s="659"/>
      <c r="G1854" s="661"/>
      <c r="H1854" s="660"/>
      <c r="I1854" s="691"/>
      <c r="J1854" s="661"/>
      <c r="K1854" s="706"/>
      <c r="L1854" s="665"/>
      <c r="M1854" s="663"/>
      <c r="N1854" s="665"/>
      <c r="O1854" s="665"/>
      <c r="P1854" s="665"/>
      <c r="Q1854" s="665"/>
      <c r="R1854" s="665"/>
      <c r="S1854" s="665"/>
      <c r="T1854" s="673"/>
      <c r="U1854" s="673"/>
      <c r="V1854" s="673"/>
      <c r="W1854" s="673"/>
      <c r="X1854" s="673"/>
      <c r="Y1854" s="673"/>
      <c r="Z1854" s="673"/>
      <c r="AA1854" s="673"/>
      <c r="AB1854" s="673"/>
      <c r="AC1854" s="673"/>
      <c r="AD1854" s="673"/>
      <c r="AE1854" s="673"/>
      <c r="AF1854" s="673"/>
      <c r="AG1854" s="673"/>
      <c r="AH1854" s="673"/>
    </row>
    <row r="1855">
      <c r="A1855" s="653"/>
      <c r="B1855" s="654"/>
      <c r="C1855" s="691"/>
      <c r="D1855" s="661"/>
      <c r="E1855" s="705"/>
      <c r="F1855" s="659"/>
      <c r="G1855" s="661"/>
      <c r="H1855" s="660"/>
      <c r="I1855" s="691"/>
      <c r="J1855" s="661"/>
      <c r="K1855" s="706"/>
      <c r="L1855" s="665"/>
      <c r="M1855" s="663"/>
      <c r="N1855" s="665"/>
      <c r="O1855" s="665"/>
      <c r="P1855" s="665"/>
      <c r="Q1855" s="665"/>
      <c r="R1855" s="665"/>
      <c r="S1855" s="665"/>
      <c r="T1855" s="673"/>
      <c r="U1855" s="673"/>
      <c r="V1855" s="673"/>
      <c r="W1855" s="673"/>
      <c r="X1855" s="673"/>
      <c r="Y1855" s="673"/>
      <c r="Z1855" s="673"/>
      <c r="AA1855" s="673"/>
      <c r="AB1855" s="673"/>
      <c r="AC1855" s="673"/>
      <c r="AD1855" s="673"/>
      <c r="AE1855" s="673"/>
      <c r="AF1855" s="673"/>
      <c r="AG1855" s="673"/>
      <c r="AH1855" s="673"/>
    </row>
    <row r="1856">
      <c r="A1856" s="653"/>
      <c r="B1856" s="654"/>
      <c r="C1856" s="691"/>
      <c r="D1856" s="661"/>
      <c r="E1856" s="705"/>
      <c r="F1856" s="659"/>
      <c r="G1856" s="661"/>
      <c r="H1856" s="660"/>
      <c r="I1856" s="691"/>
      <c r="J1856" s="661"/>
      <c r="K1856" s="706"/>
      <c r="L1856" s="665"/>
      <c r="M1856" s="663"/>
      <c r="N1856" s="665"/>
      <c r="O1856" s="665"/>
      <c r="P1856" s="665"/>
      <c r="Q1856" s="665"/>
      <c r="R1856" s="665"/>
      <c r="S1856" s="665"/>
      <c r="T1856" s="673"/>
      <c r="U1856" s="673"/>
      <c r="V1856" s="673"/>
      <c r="W1856" s="673"/>
      <c r="X1856" s="673"/>
      <c r="Y1856" s="673"/>
      <c r="Z1856" s="673"/>
      <c r="AA1856" s="673"/>
      <c r="AB1856" s="673"/>
      <c r="AC1856" s="673"/>
      <c r="AD1856" s="673"/>
      <c r="AE1856" s="673"/>
      <c r="AF1856" s="673"/>
      <c r="AG1856" s="673"/>
      <c r="AH1856" s="673"/>
    </row>
    <row r="1857">
      <c r="A1857" s="653"/>
      <c r="B1857" s="654"/>
      <c r="C1857" s="691"/>
      <c r="D1857" s="661"/>
      <c r="E1857" s="705"/>
      <c r="F1857" s="659"/>
      <c r="G1857" s="661"/>
      <c r="H1857" s="660"/>
      <c r="I1857" s="691"/>
      <c r="J1857" s="661"/>
      <c r="K1857" s="706"/>
      <c r="L1857" s="665"/>
      <c r="M1857" s="663"/>
      <c r="N1857" s="665"/>
      <c r="O1857" s="665"/>
      <c r="P1857" s="665"/>
      <c r="Q1857" s="665"/>
      <c r="R1857" s="665"/>
      <c r="S1857" s="665"/>
      <c r="T1857" s="673"/>
      <c r="U1857" s="673"/>
      <c r="V1857" s="673"/>
      <c r="W1857" s="673"/>
      <c r="X1857" s="673"/>
      <c r="Y1857" s="673"/>
      <c r="Z1857" s="673"/>
      <c r="AA1857" s="673"/>
      <c r="AB1857" s="673"/>
      <c r="AC1857" s="673"/>
      <c r="AD1857" s="673"/>
      <c r="AE1857" s="673"/>
      <c r="AF1857" s="673"/>
      <c r="AG1857" s="673"/>
      <c r="AH1857" s="673"/>
    </row>
    <row r="1858">
      <c r="A1858" s="653"/>
      <c r="B1858" s="654"/>
      <c r="C1858" s="691"/>
      <c r="D1858" s="661"/>
      <c r="E1858" s="705"/>
      <c r="F1858" s="659"/>
      <c r="G1858" s="661"/>
      <c r="H1858" s="660"/>
      <c r="I1858" s="691"/>
      <c r="J1858" s="661"/>
      <c r="K1858" s="706"/>
      <c r="L1858" s="665"/>
      <c r="M1858" s="663"/>
      <c r="N1858" s="665"/>
      <c r="O1858" s="665"/>
      <c r="P1858" s="665"/>
      <c r="Q1858" s="665"/>
      <c r="R1858" s="665"/>
      <c r="S1858" s="665"/>
      <c r="T1858" s="673"/>
      <c r="U1858" s="673"/>
      <c r="V1858" s="673"/>
      <c r="W1858" s="673"/>
      <c r="X1858" s="673"/>
      <c r="Y1858" s="673"/>
      <c r="Z1858" s="673"/>
      <c r="AA1858" s="673"/>
      <c r="AB1858" s="673"/>
      <c r="AC1858" s="673"/>
      <c r="AD1858" s="673"/>
      <c r="AE1858" s="673"/>
      <c r="AF1858" s="673"/>
      <c r="AG1858" s="673"/>
      <c r="AH1858" s="673"/>
    </row>
    <row r="1859">
      <c r="A1859" s="653"/>
      <c r="B1859" s="654"/>
      <c r="C1859" s="691"/>
      <c r="D1859" s="661"/>
      <c r="E1859" s="705"/>
      <c r="F1859" s="659"/>
      <c r="G1859" s="661"/>
      <c r="H1859" s="660"/>
      <c r="I1859" s="691"/>
      <c r="J1859" s="661"/>
      <c r="K1859" s="706"/>
      <c r="L1859" s="665"/>
      <c r="M1859" s="663"/>
      <c r="N1859" s="665"/>
      <c r="O1859" s="665"/>
      <c r="P1859" s="665"/>
      <c r="Q1859" s="665"/>
      <c r="R1859" s="665"/>
      <c r="S1859" s="665"/>
      <c r="T1859" s="673"/>
      <c r="U1859" s="673"/>
      <c r="V1859" s="673"/>
      <c r="W1859" s="673"/>
      <c r="X1859" s="673"/>
      <c r="Y1859" s="673"/>
      <c r="Z1859" s="673"/>
      <c r="AA1859" s="673"/>
      <c r="AB1859" s="673"/>
      <c r="AC1859" s="673"/>
      <c r="AD1859" s="673"/>
      <c r="AE1859" s="673"/>
      <c r="AF1859" s="673"/>
      <c r="AG1859" s="673"/>
      <c r="AH1859" s="673"/>
    </row>
    <row r="1860">
      <c r="A1860" s="653"/>
      <c r="B1860" s="654"/>
      <c r="C1860" s="691"/>
      <c r="D1860" s="661"/>
      <c r="E1860" s="705"/>
      <c r="F1860" s="659"/>
      <c r="G1860" s="661"/>
      <c r="H1860" s="660"/>
      <c r="I1860" s="691"/>
      <c r="J1860" s="661"/>
      <c r="K1860" s="706"/>
      <c r="L1860" s="665"/>
      <c r="M1860" s="663"/>
      <c r="N1860" s="665"/>
      <c r="O1860" s="665"/>
      <c r="P1860" s="665"/>
      <c r="Q1860" s="665"/>
      <c r="R1860" s="665"/>
      <c r="S1860" s="665"/>
      <c r="T1860" s="673"/>
      <c r="U1860" s="673"/>
      <c r="V1860" s="673"/>
      <c r="W1860" s="673"/>
      <c r="X1860" s="673"/>
      <c r="Y1860" s="673"/>
      <c r="Z1860" s="673"/>
      <c r="AA1860" s="673"/>
      <c r="AB1860" s="673"/>
      <c r="AC1860" s="673"/>
      <c r="AD1860" s="673"/>
      <c r="AE1860" s="673"/>
      <c r="AF1860" s="673"/>
      <c r="AG1860" s="673"/>
      <c r="AH1860" s="673"/>
    </row>
    <row r="1861">
      <c r="A1861" s="653"/>
      <c r="B1861" s="654"/>
      <c r="C1861" s="691"/>
      <c r="D1861" s="661"/>
      <c r="E1861" s="705"/>
      <c r="F1861" s="659"/>
      <c r="G1861" s="661"/>
      <c r="H1861" s="660"/>
      <c r="I1861" s="691"/>
      <c r="J1861" s="661"/>
      <c r="K1861" s="706"/>
      <c r="L1861" s="665"/>
      <c r="M1861" s="663"/>
      <c r="N1861" s="665"/>
      <c r="O1861" s="665"/>
      <c r="P1861" s="665"/>
      <c r="Q1861" s="665"/>
      <c r="R1861" s="665"/>
      <c r="S1861" s="665"/>
      <c r="T1861" s="673"/>
      <c r="U1861" s="673"/>
      <c r="V1861" s="673"/>
      <c r="W1861" s="673"/>
      <c r="X1861" s="673"/>
      <c r="Y1861" s="673"/>
      <c r="Z1861" s="673"/>
      <c r="AA1861" s="673"/>
      <c r="AB1861" s="673"/>
      <c r="AC1861" s="673"/>
      <c r="AD1861" s="673"/>
      <c r="AE1861" s="673"/>
      <c r="AF1861" s="673"/>
      <c r="AG1861" s="673"/>
      <c r="AH1861" s="673"/>
    </row>
    <row r="1862">
      <c r="A1862" s="653"/>
      <c r="B1862" s="654"/>
      <c r="C1862" s="691"/>
      <c r="D1862" s="661"/>
      <c r="E1862" s="705"/>
      <c r="F1862" s="659"/>
      <c r="G1862" s="661"/>
      <c r="H1862" s="660"/>
      <c r="I1862" s="691"/>
      <c r="J1862" s="661"/>
      <c r="K1862" s="706"/>
      <c r="L1862" s="665"/>
      <c r="M1862" s="663"/>
      <c r="N1862" s="665"/>
      <c r="O1862" s="665"/>
      <c r="P1862" s="665"/>
      <c r="Q1862" s="665"/>
      <c r="R1862" s="665"/>
      <c r="S1862" s="665"/>
      <c r="T1862" s="673"/>
      <c r="U1862" s="673"/>
      <c r="V1862" s="673"/>
      <c r="W1862" s="673"/>
      <c r="X1862" s="673"/>
      <c r="Y1862" s="673"/>
      <c r="Z1862" s="673"/>
      <c r="AA1862" s="673"/>
      <c r="AB1862" s="673"/>
      <c r="AC1862" s="673"/>
      <c r="AD1862" s="673"/>
      <c r="AE1862" s="673"/>
      <c r="AF1862" s="673"/>
      <c r="AG1862" s="673"/>
      <c r="AH1862" s="673"/>
    </row>
    <row r="1863">
      <c r="A1863" s="653"/>
      <c r="B1863" s="654"/>
      <c r="C1863" s="691"/>
      <c r="D1863" s="661"/>
      <c r="E1863" s="705"/>
      <c r="F1863" s="659"/>
      <c r="G1863" s="661"/>
      <c r="H1863" s="660"/>
      <c r="I1863" s="691"/>
      <c r="J1863" s="661"/>
      <c r="K1863" s="706"/>
      <c r="L1863" s="665"/>
      <c r="M1863" s="663"/>
      <c r="N1863" s="665"/>
      <c r="O1863" s="665"/>
      <c r="P1863" s="665"/>
      <c r="Q1863" s="665"/>
      <c r="R1863" s="665"/>
      <c r="S1863" s="665"/>
      <c r="T1863" s="673"/>
      <c r="U1863" s="673"/>
      <c r="V1863" s="673"/>
      <c r="W1863" s="673"/>
      <c r="X1863" s="673"/>
      <c r="Y1863" s="673"/>
      <c r="Z1863" s="673"/>
      <c r="AA1863" s="673"/>
      <c r="AB1863" s="673"/>
      <c r="AC1863" s="673"/>
      <c r="AD1863" s="673"/>
      <c r="AE1863" s="673"/>
      <c r="AF1863" s="673"/>
      <c r="AG1863" s="673"/>
      <c r="AH1863" s="673"/>
    </row>
    <row r="1864">
      <c r="A1864" s="653"/>
      <c r="B1864" s="654"/>
      <c r="C1864" s="691"/>
      <c r="D1864" s="661"/>
      <c r="E1864" s="705"/>
      <c r="F1864" s="659"/>
      <c r="G1864" s="661"/>
      <c r="H1864" s="660"/>
      <c r="I1864" s="691"/>
      <c r="J1864" s="661"/>
      <c r="K1864" s="706"/>
      <c r="L1864" s="665"/>
      <c r="M1864" s="663"/>
      <c r="N1864" s="665"/>
      <c r="O1864" s="665"/>
      <c r="P1864" s="665"/>
      <c r="Q1864" s="665"/>
      <c r="R1864" s="665"/>
      <c r="S1864" s="665"/>
      <c r="T1864" s="673"/>
      <c r="U1864" s="673"/>
      <c r="V1864" s="673"/>
      <c r="W1864" s="673"/>
      <c r="X1864" s="673"/>
      <c r="Y1864" s="673"/>
      <c r="Z1864" s="673"/>
      <c r="AA1864" s="673"/>
      <c r="AB1864" s="673"/>
      <c r="AC1864" s="673"/>
      <c r="AD1864" s="673"/>
      <c r="AE1864" s="673"/>
      <c r="AF1864" s="673"/>
      <c r="AG1864" s="673"/>
      <c r="AH1864" s="673"/>
    </row>
    <row r="1865">
      <c r="A1865" s="653"/>
      <c r="B1865" s="654"/>
      <c r="C1865" s="691"/>
      <c r="D1865" s="661"/>
      <c r="E1865" s="705"/>
      <c r="F1865" s="659"/>
      <c r="G1865" s="661"/>
      <c r="H1865" s="660"/>
      <c r="I1865" s="691"/>
      <c r="J1865" s="661"/>
      <c r="K1865" s="706"/>
      <c r="L1865" s="665"/>
      <c r="M1865" s="663"/>
      <c r="N1865" s="665"/>
      <c r="O1865" s="665"/>
      <c r="P1865" s="665"/>
      <c r="Q1865" s="665"/>
      <c r="R1865" s="665"/>
      <c r="S1865" s="665"/>
      <c r="T1865" s="673"/>
      <c r="U1865" s="673"/>
      <c r="V1865" s="673"/>
      <c r="W1865" s="673"/>
      <c r="X1865" s="673"/>
      <c r="Y1865" s="673"/>
      <c r="Z1865" s="673"/>
      <c r="AA1865" s="673"/>
      <c r="AB1865" s="673"/>
      <c r="AC1865" s="673"/>
      <c r="AD1865" s="673"/>
      <c r="AE1865" s="673"/>
      <c r="AF1865" s="673"/>
      <c r="AG1865" s="673"/>
      <c r="AH1865" s="673"/>
    </row>
    <row r="1866">
      <c r="A1866" s="653"/>
      <c r="B1866" s="654"/>
      <c r="C1866" s="691"/>
      <c r="D1866" s="661"/>
      <c r="E1866" s="705"/>
      <c r="F1866" s="659"/>
      <c r="G1866" s="661"/>
      <c r="H1866" s="660"/>
      <c r="I1866" s="691"/>
      <c r="J1866" s="661"/>
      <c r="K1866" s="706"/>
      <c r="L1866" s="665"/>
      <c r="M1866" s="663"/>
      <c r="N1866" s="665"/>
      <c r="O1866" s="665"/>
      <c r="P1866" s="665"/>
      <c r="Q1866" s="665"/>
      <c r="R1866" s="665"/>
      <c r="S1866" s="665"/>
      <c r="T1866" s="673"/>
      <c r="U1866" s="673"/>
      <c r="V1866" s="673"/>
      <c r="W1866" s="673"/>
      <c r="X1866" s="673"/>
      <c r="Y1866" s="673"/>
      <c r="Z1866" s="673"/>
      <c r="AA1866" s="673"/>
      <c r="AB1866" s="673"/>
      <c r="AC1866" s="673"/>
      <c r="AD1866" s="673"/>
      <c r="AE1866" s="673"/>
      <c r="AF1866" s="673"/>
      <c r="AG1866" s="673"/>
      <c r="AH1866" s="673"/>
    </row>
    <row r="1867">
      <c r="A1867" s="653"/>
      <c r="B1867" s="654"/>
      <c r="C1867" s="691"/>
      <c r="D1867" s="661"/>
      <c r="E1867" s="705"/>
      <c r="F1867" s="659"/>
      <c r="G1867" s="661"/>
      <c r="H1867" s="660"/>
      <c r="I1867" s="691"/>
      <c r="J1867" s="661"/>
      <c r="K1867" s="706"/>
      <c r="L1867" s="665"/>
      <c r="M1867" s="663"/>
      <c r="N1867" s="665"/>
      <c r="O1867" s="665"/>
      <c r="P1867" s="665"/>
      <c r="Q1867" s="665"/>
      <c r="R1867" s="665"/>
      <c r="S1867" s="665"/>
      <c r="T1867" s="673"/>
      <c r="U1867" s="673"/>
      <c r="V1867" s="673"/>
      <c r="W1867" s="673"/>
      <c r="X1867" s="673"/>
      <c r="Y1867" s="673"/>
      <c r="Z1867" s="673"/>
      <c r="AA1867" s="673"/>
      <c r="AB1867" s="673"/>
      <c r="AC1867" s="673"/>
      <c r="AD1867" s="673"/>
      <c r="AE1867" s="673"/>
      <c r="AF1867" s="673"/>
      <c r="AG1867" s="673"/>
      <c r="AH1867" s="673"/>
    </row>
    <row r="1868">
      <c r="A1868" s="653"/>
      <c r="B1868" s="654"/>
      <c r="C1868" s="691"/>
      <c r="D1868" s="661"/>
      <c r="E1868" s="705"/>
      <c r="F1868" s="659"/>
      <c r="G1868" s="661"/>
      <c r="H1868" s="660"/>
      <c r="I1868" s="691"/>
      <c r="J1868" s="661"/>
      <c r="K1868" s="706"/>
      <c r="L1868" s="665"/>
      <c r="M1868" s="663"/>
      <c r="N1868" s="665"/>
      <c r="O1868" s="665"/>
      <c r="P1868" s="665"/>
      <c r="Q1868" s="665"/>
      <c r="R1868" s="665"/>
      <c r="S1868" s="665"/>
      <c r="T1868" s="673"/>
      <c r="U1868" s="673"/>
      <c r="V1868" s="673"/>
      <c r="W1868" s="673"/>
      <c r="X1868" s="673"/>
      <c r="Y1868" s="673"/>
      <c r="Z1868" s="673"/>
      <c r="AA1868" s="673"/>
      <c r="AB1868" s="673"/>
      <c r="AC1868" s="673"/>
      <c r="AD1868" s="673"/>
      <c r="AE1868" s="673"/>
      <c r="AF1868" s="673"/>
      <c r="AG1868" s="673"/>
      <c r="AH1868" s="673"/>
    </row>
    <row r="1869">
      <c r="A1869" s="653"/>
      <c r="B1869" s="654"/>
      <c r="C1869" s="691"/>
      <c r="D1869" s="661"/>
      <c r="E1869" s="705"/>
      <c r="F1869" s="659"/>
      <c r="G1869" s="661"/>
      <c r="H1869" s="660"/>
      <c r="I1869" s="691"/>
      <c r="J1869" s="661"/>
      <c r="K1869" s="706"/>
      <c r="L1869" s="665"/>
      <c r="M1869" s="663"/>
      <c r="N1869" s="665"/>
      <c r="O1869" s="665"/>
      <c r="P1869" s="665"/>
      <c r="Q1869" s="665"/>
      <c r="R1869" s="665"/>
      <c r="S1869" s="665"/>
      <c r="T1869" s="673"/>
      <c r="U1869" s="673"/>
      <c r="V1869" s="673"/>
      <c r="W1869" s="673"/>
      <c r="X1869" s="673"/>
      <c r="Y1869" s="673"/>
      <c r="Z1869" s="673"/>
      <c r="AA1869" s="673"/>
      <c r="AB1869" s="673"/>
      <c r="AC1869" s="673"/>
      <c r="AD1869" s="673"/>
      <c r="AE1869" s="673"/>
      <c r="AF1869" s="673"/>
      <c r="AG1869" s="673"/>
      <c r="AH1869" s="673"/>
    </row>
    <row r="1870">
      <c r="A1870" s="653"/>
      <c r="B1870" s="654"/>
      <c r="C1870" s="691"/>
      <c r="D1870" s="661"/>
      <c r="E1870" s="705"/>
      <c r="F1870" s="659"/>
      <c r="G1870" s="661"/>
      <c r="H1870" s="660"/>
      <c r="I1870" s="691"/>
      <c r="J1870" s="661"/>
      <c r="K1870" s="706"/>
      <c r="L1870" s="665"/>
      <c r="M1870" s="663"/>
      <c r="N1870" s="665"/>
      <c r="O1870" s="665"/>
      <c r="P1870" s="665"/>
      <c r="Q1870" s="665"/>
      <c r="R1870" s="665"/>
      <c r="S1870" s="665"/>
      <c r="T1870" s="673"/>
      <c r="U1870" s="673"/>
      <c r="V1870" s="673"/>
      <c r="W1870" s="673"/>
      <c r="X1870" s="673"/>
      <c r="Y1870" s="673"/>
      <c r="Z1870" s="673"/>
      <c r="AA1870" s="673"/>
      <c r="AB1870" s="673"/>
      <c r="AC1870" s="673"/>
      <c r="AD1870" s="673"/>
      <c r="AE1870" s="673"/>
      <c r="AF1870" s="673"/>
      <c r="AG1870" s="673"/>
      <c r="AH1870" s="673"/>
    </row>
    <row r="1871">
      <c r="A1871" s="653"/>
      <c r="B1871" s="654"/>
      <c r="C1871" s="691"/>
      <c r="D1871" s="661"/>
      <c r="E1871" s="705"/>
      <c r="F1871" s="659"/>
      <c r="G1871" s="661"/>
      <c r="H1871" s="660"/>
      <c r="I1871" s="691"/>
      <c r="J1871" s="661"/>
      <c r="K1871" s="706"/>
      <c r="L1871" s="665"/>
      <c r="M1871" s="663"/>
      <c r="N1871" s="665"/>
      <c r="O1871" s="665"/>
      <c r="P1871" s="665"/>
      <c r="Q1871" s="665"/>
      <c r="R1871" s="665"/>
      <c r="S1871" s="665"/>
      <c r="T1871" s="673"/>
      <c r="U1871" s="673"/>
      <c r="V1871" s="673"/>
      <c r="W1871" s="673"/>
      <c r="X1871" s="673"/>
      <c r="Y1871" s="673"/>
      <c r="Z1871" s="673"/>
      <c r="AA1871" s="673"/>
      <c r="AB1871" s="673"/>
      <c r="AC1871" s="673"/>
      <c r="AD1871" s="673"/>
      <c r="AE1871" s="673"/>
      <c r="AF1871" s="673"/>
      <c r="AG1871" s="673"/>
      <c r="AH1871" s="673"/>
    </row>
    <row r="1872">
      <c r="A1872" s="653"/>
      <c r="B1872" s="654"/>
      <c r="C1872" s="691"/>
      <c r="D1872" s="661"/>
      <c r="E1872" s="705"/>
      <c r="F1872" s="659"/>
      <c r="G1872" s="661"/>
      <c r="H1872" s="660"/>
      <c r="I1872" s="691"/>
      <c r="J1872" s="661"/>
      <c r="K1872" s="706"/>
      <c r="L1872" s="665"/>
      <c r="M1872" s="663"/>
      <c r="N1872" s="665"/>
      <c r="O1872" s="665"/>
      <c r="P1872" s="665"/>
      <c r="Q1872" s="665"/>
      <c r="R1872" s="665"/>
      <c r="S1872" s="665"/>
      <c r="T1872" s="673"/>
      <c r="U1872" s="673"/>
      <c r="V1872" s="673"/>
      <c r="W1872" s="673"/>
      <c r="X1872" s="673"/>
      <c r="Y1872" s="673"/>
      <c r="Z1872" s="673"/>
      <c r="AA1872" s="673"/>
      <c r="AB1872" s="673"/>
      <c r="AC1872" s="673"/>
      <c r="AD1872" s="673"/>
      <c r="AE1872" s="673"/>
      <c r="AF1872" s="673"/>
      <c r="AG1872" s="673"/>
      <c r="AH1872" s="673"/>
    </row>
    <row r="1873">
      <c r="A1873" s="653"/>
      <c r="B1873" s="654"/>
      <c r="C1873" s="691"/>
      <c r="D1873" s="661"/>
      <c r="E1873" s="705"/>
      <c r="F1873" s="659"/>
      <c r="G1873" s="661"/>
      <c r="H1873" s="660"/>
      <c r="I1873" s="691"/>
      <c r="J1873" s="661"/>
      <c r="K1873" s="706"/>
      <c r="L1873" s="665"/>
      <c r="M1873" s="663"/>
      <c r="N1873" s="665"/>
      <c r="O1873" s="665"/>
      <c r="P1873" s="665"/>
      <c r="Q1873" s="665"/>
      <c r="R1873" s="665"/>
      <c r="S1873" s="665"/>
      <c r="T1873" s="673"/>
      <c r="U1873" s="673"/>
      <c r="V1873" s="673"/>
      <c r="W1873" s="673"/>
      <c r="X1873" s="673"/>
      <c r="Y1873" s="673"/>
      <c r="Z1873" s="673"/>
      <c r="AA1873" s="673"/>
      <c r="AB1873" s="673"/>
      <c r="AC1873" s="673"/>
      <c r="AD1873" s="673"/>
      <c r="AE1873" s="673"/>
      <c r="AF1873" s="673"/>
      <c r="AG1873" s="673"/>
      <c r="AH1873" s="673"/>
    </row>
    <row r="1874">
      <c r="A1874" s="653"/>
      <c r="B1874" s="654"/>
      <c r="C1874" s="691"/>
      <c r="D1874" s="661"/>
      <c r="E1874" s="705"/>
      <c r="F1874" s="659"/>
      <c r="G1874" s="661"/>
      <c r="H1874" s="660"/>
      <c r="I1874" s="691"/>
      <c r="J1874" s="661"/>
      <c r="K1874" s="706"/>
      <c r="L1874" s="665"/>
      <c r="M1874" s="663"/>
      <c r="N1874" s="665"/>
      <c r="O1874" s="665"/>
      <c r="P1874" s="665"/>
      <c r="Q1874" s="665"/>
      <c r="R1874" s="665"/>
      <c r="S1874" s="665"/>
      <c r="T1874" s="673"/>
      <c r="U1874" s="673"/>
      <c r="V1874" s="673"/>
      <c r="W1874" s="673"/>
      <c r="X1874" s="673"/>
      <c r="Y1874" s="673"/>
      <c r="Z1874" s="673"/>
      <c r="AA1874" s="673"/>
      <c r="AB1874" s="673"/>
      <c r="AC1874" s="673"/>
      <c r="AD1874" s="673"/>
      <c r="AE1874" s="673"/>
      <c r="AF1874" s="673"/>
      <c r="AG1874" s="673"/>
      <c r="AH1874" s="673"/>
    </row>
    <row r="1875">
      <c r="A1875" s="653"/>
      <c r="B1875" s="654"/>
      <c r="C1875" s="691"/>
      <c r="D1875" s="661"/>
      <c r="E1875" s="705"/>
      <c r="F1875" s="659"/>
      <c r="G1875" s="661"/>
      <c r="H1875" s="660"/>
      <c r="I1875" s="691"/>
      <c r="J1875" s="661"/>
      <c r="K1875" s="706"/>
      <c r="L1875" s="665"/>
      <c r="M1875" s="663"/>
      <c r="N1875" s="665"/>
      <c r="O1875" s="665"/>
      <c r="P1875" s="665"/>
      <c r="Q1875" s="665"/>
      <c r="R1875" s="665"/>
      <c r="S1875" s="665"/>
      <c r="T1875" s="673"/>
      <c r="U1875" s="673"/>
      <c r="V1875" s="673"/>
      <c r="W1875" s="673"/>
      <c r="X1875" s="673"/>
      <c r="Y1875" s="673"/>
      <c r="Z1875" s="673"/>
      <c r="AA1875" s="673"/>
      <c r="AB1875" s="673"/>
      <c r="AC1875" s="673"/>
      <c r="AD1875" s="673"/>
      <c r="AE1875" s="673"/>
      <c r="AF1875" s="673"/>
      <c r="AG1875" s="673"/>
      <c r="AH1875" s="673"/>
    </row>
    <row r="1876">
      <c r="A1876" s="653"/>
      <c r="B1876" s="654"/>
      <c r="C1876" s="691"/>
      <c r="D1876" s="661"/>
      <c r="E1876" s="705"/>
      <c r="F1876" s="659"/>
      <c r="G1876" s="661"/>
      <c r="H1876" s="660"/>
      <c r="I1876" s="691"/>
      <c r="J1876" s="661"/>
      <c r="K1876" s="706"/>
      <c r="L1876" s="665"/>
      <c r="M1876" s="663"/>
      <c r="N1876" s="665"/>
      <c r="O1876" s="665"/>
      <c r="P1876" s="665"/>
      <c r="Q1876" s="665"/>
      <c r="R1876" s="665"/>
      <c r="S1876" s="665"/>
      <c r="T1876" s="673"/>
      <c r="U1876" s="673"/>
      <c r="V1876" s="673"/>
      <c r="W1876" s="673"/>
      <c r="X1876" s="673"/>
      <c r="Y1876" s="673"/>
      <c r="Z1876" s="673"/>
      <c r="AA1876" s="673"/>
      <c r="AB1876" s="673"/>
      <c r="AC1876" s="673"/>
      <c r="AD1876" s="673"/>
      <c r="AE1876" s="673"/>
      <c r="AF1876" s="673"/>
      <c r="AG1876" s="673"/>
      <c r="AH1876" s="673"/>
    </row>
    <row r="1877">
      <c r="A1877" s="653"/>
      <c r="B1877" s="654"/>
      <c r="C1877" s="691"/>
      <c r="D1877" s="661"/>
      <c r="E1877" s="705"/>
      <c r="F1877" s="659"/>
      <c r="G1877" s="661"/>
      <c r="H1877" s="660"/>
      <c r="I1877" s="691"/>
      <c r="J1877" s="661"/>
      <c r="K1877" s="706"/>
      <c r="L1877" s="665"/>
      <c r="M1877" s="663"/>
      <c r="N1877" s="665"/>
      <c r="O1877" s="665"/>
      <c r="P1877" s="665"/>
      <c r="Q1877" s="665"/>
      <c r="R1877" s="665"/>
      <c r="S1877" s="665"/>
      <c r="T1877" s="673"/>
      <c r="U1877" s="673"/>
      <c r="V1877" s="673"/>
      <c r="W1877" s="673"/>
      <c r="X1877" s="673"/>
      <c r="Y1877" s="673"/>
      <c r="Z1877" s="673"/>
      <c r="AA1877" s="673"/>
      <c r="AB1877" s="673"/>
      <c r="AC1877" s="673"/>
      <c r="AD1877" s="673"/>
      <c r="AE1877" s="673"/>
      <c r="AF1877" s="673"/>
      <c r="AG1877" s="673"/>
      <c r="AH1877" s="673"/>
    </row>
    <row r="1878">
      <c r="A1878" s="653"/>
      <c r="B1878" s="654"/>
      <c r="C1878" s="691"/>
      <c r="D1878" s="661"/>
      <c r="E1878" s="705"/>
      <c r="F1878" s="659"/>
      <c r="G1878" s="661"/>
      <c r="H1878" s="660"/>
      <c r="I1878" s="691"/>
      <c r="J1878" s="661"/>
      <c r="K1878" s="706"/>
      <c r="L1878" s="665"/>
      <c r="M1878" s="663"/>
      <c r="N1878" s="665"/>
      <c r="O1878" s="665"/>
      <c r="P1878" s="665"/>
      <c r="Q1878" s="665"/>
      <c r="R1878" s="665"/>
      <c r="S1878" s="665"/>
      <c r="T1878" s="673"/>
      <c r="U1878" s="673"/>
      <c r="V1878" s="673"/>
      <c r="W1878" s="673"/>
      <c r="X1878" s="673"/>
      <c r="Y1878" s="673"/>
      <c r="Z1878" s="673"/>
      <c r="AA1878" s="673"/>
      <c r="AB1878" s="673"/>
      <c r="AC1878" s="673"/>
      <c r="AD1878" s="673"/>
      <c r="AE1878" s="673"/>
      <c r="AF1878" s="673"/>
      <c r="AG1878" s="673"/>
      <c r="AH1878" s="673"/>
    </row>
    <row r="1879">
      <c r="A1879" s="653"/>
      <c r="B1879" s="654"/>
      <c r="C1879" s="691"/>
      <c r="D1879" s="661"/>
      <c r="E1879" s="705"/>
      <c r="F1879" s="659"/>
      <c r="G1879" s="661"/>
      <c r="H1879" s="660"/>
      <c r="I1879" s="691"/>
      <c r="J1879" s="661"/>
      <c r="K1879" s="706"/>
      <c r="L1879" s="665"/>
      <c r="M1879" s="663"/>
      <c r="N1879" s="665"/>
      <c r="O1879" s="665"/>
      <c r="P1879" s="665"/>
      <c r="Q1879" s="665"/>
      <c r="R1879" s="665"/>
      <c r="S1879" s="665"/>
      <c r="T1879" s="673"/>
      <c r="U1879" s="673"/>
      <c r="V1879" s="673"/>
      <c r="W1879" s="673"/>
      <c r="X1879" s="673"/>
      <c r="Y1879" s="673"/>
      <c r="Z1879" s="673"/>
      <c r="AA1879" s="673"/>
      <c r="AB1879" s="673"/>
      <c r="AC1879" s="673"/>
      <c r="AD1879" s="673"/>
      <c r="AE1879" s="673"/>
      <c r="AF1879" s="673"/>
      <c r="AG1879" s="673"/>
      <c r="AH1879" s="673"/>
    </row>
    <row r="1880">
      <c r="A1880" s="653"/>
      <c r="B1880" s="654"/>
      <c r="C1880" s="691"/>
      <c r="D1880" s="661"/>
      <c r="E1880" s="705"/>
      <c r="F1880" s="659"/>
      <c r="G1880" s="661"/>
      <c r="H1880" s="660"/>
      <c r="I1880" s="691"/>
      <c r="J1880" s="661"/>
      <c r="K1880" s="706"/>
      <c r="L1880" s="665"/>
      <c r="M1880" s="663"/>
      <c r="N1880" s="665"/>
      <c r="O1880" s="665"/>
      <c r="P1880" s="665"/>
      <c r="Q1880" s="665"/>
      <c r="R1880" s="665"/>
      <c r="S1880" s="665"/>
      <c r="T1880" s="673"/>
      <c r="U1880" s="673"/>
      <c r="V1880" s="673"/>
      <c r="W1880" s="673"/>
      <c r="X1880" s="673"/>
      <c r="Y1880" s="673"/>
      <c r="Z1880" s="673"/>
      <c r="AA1880" s="673"/>
      <c r="AB1880" s="673"/>
      <c r="AC1880" s="673"/>
      <c r="AD1880" s="673"/>
      <c r="AE1880" s="673"/>
      <c r="AF1880" s="673"/>
      <c r="AG1880" s="673"/>
      <c r="AH1880" s="673"/>
    </row>
    <row r="1881">
      <c r="A1881" s="653"/>
      <c r="B1881" s="654"/>
      <c r="C1881" s="691"/>
      <c r="D1881" s="661"/>
      <c r="E1881" s="705"/>
      <c r="F1881" s="659"/>
      <c r="G1881" s="661"/>
      <c r="H1881" s="660"/>
      <c r="I1881" s="691"/>
      <c r="J1881" s="661"/>
      <c r="K1881" s="706"/>
      <c r="L1881" s="665"/>
      <c r="M1881" s="663"/>
      <c r="N1881" s="665"/>
      <c r="O1881" s="665"/>
      <c r="P1881" s="665"/>
      <c r="Q1881" s="665"/>
      <c r="R1881" s="665"/>
      <c r="S1881" s="665"/>
      <c r="T1881" s="673"/>
      <c r="U1881" s="673"/>
      <c r="V1881" s="673"/>
      <c r="W1881" s="673"/>
      <c r="X1881" s="673"/>
      <c r="Y1881" s="673"/>
      <c r="Z1881" s="673"/>
      <c r="AA1881" s="673"/>
      <c r="AB1881" s="673"/>
      <c r="AC1881" s="673"/>
      <c r="AD1881" s="673"/>
      <c r="AE1881" s="673"/>
      <c r="AF1881" s="673"/>
      <c r="AG1881" s="673"/>
      <c r="AH1881" s="673"/>
    </row>
    <row r="1882">
      <c r="A1882" s="653"/>
      <c r="B1882" s="654"/>
      <c r="C1882" s="691"/>
      <c r="D1882" s="661"/>
      <c r="E1882" s="705"/>
      <c r="F1882" s="659"/>
      <c r="G1882" s="661"/>
      <c r="H1882" s="660"/>
      <c r="I1882" s="691"/>
      <c r="J1882" s="661"/>
      <c r="K1882" s="706"/>
      <c r="L1882" s="665"/>
      <c r="M1882" s="663"/>
      <c r="N1882" s="665"/>
      <c r="O1882" s="665"/>
      <c r="P1882" s="665"/>
      <c r="Q1882" s="665"/>
      <c r="R1882" s="665"/>
      <c r="S1882" s="665"/>
      <c r="T1882" s="673"/>
      <c r="U1882" s="673"/>
      <c r="V1882" s="673"/>
      <c r="W1882" s="673"/>
      <c r="X1882" s="673"/>
      <c r="Y1882" s="673"/>
      <c r="Z1882" s="673"/>
      <c r="AA1882" s="673"/>
      <c r="AB1882" s="673"/>
      <c r="AC1882" s="673"/>
      <c r="AD1882" s="673"/>
      <c r="AE1882" s="673"/>
      <c r="AF1882" s="673"/>
      <c r="AG1882" s="673"/>
      <c r="AH1882" s="673"/>
    </row>
    <row r="1883">
      <c r="A1883" s="653"/>
      <c r="B1883" s="654"/>
      <c r="C1883" s="691"/>
      <c r="D1883" s="661"/>
      <c r="E1883" s="705"/>
      <c r="F1883" s="659"/>
      <c r="G1883" s="661"/>
      <c r="H1883" s="660"/>
      <c r="I1883" s="691"/>
      <c r="J1883" s="661"/>
      <c r="K1883" s="706"/>
      <c r="L1883" s="665"/>
      <c r="M1883" s="663"/>
      <c r="N1883" s="665"/>
      <c r="O1883" s="665"/>
      <c r="P1883" s="665"/>
      <c r="Q1883" s="665"/>
      <c r="R1883" s="665"/>
      <c r="S1883" s="665"/>
      <c r="T1883" s="673"/>
      <c r="U1883" s="673"/>
      <c r="V1883" s="673"/>
      <c r="W1883" s="673"/>
      <c r="X1883" s="673"/>
      <c r="Y1883" s="673"/>
      <c r="Z1883" s="673"/>
      <c r="AA1883" s="673"/>
      <c r="AB1883" s="673"/>
      <c r="AC1883" s="673"/>
      <c r="AD1883" s="673"/>
      <c r="AE1883" s="673"/>
      <c r="AF1883" s="673"/>
      <c r="AG1883" s="673"/>
      <c r="AH1883" s="673"/>
    </row>
    <row r="1884">
      <c r="A1884" s="653"/>
      <c r="B1884" s="654"/>
      <c r="C1884" s="691"/>
      <c r="D1884" s="661"/>
      <c r="E1884" s="705"/>
      <c r="F1884" s="659"/>
      <c r="G1884" s="661"/>
      <c r="H1884" s="660"/>
      <c r="I1884" s="691"/>
      <c r="J1884" s="661"/>
      <c r="K1884" s="706"/>
      <c r="L1884" s="665"/>
      <c r="M1884" s="663"/>
      <c r="N1884" s="665"/>
      <c r="O1884" s="665"/>
      <c r="P1884" s="665"/>
      <c r="Q1884" s="665"/>
      <c r="R1884" s="665"/>
      <c r="S1884" s="665"/>
      <c r="T1884" s="673"/>
      <c r="U1884" s="673"/>
      <c r="V1884" s="673"/>
      <c r="W1884" s="673"/>
      <c r="X1884" s="673"/>
      <c r="Y1884" s="673"/>
      <c r="Z1884" s="673"/>
      <c r="AA1884" s="673"/>
      <c r="AB1884" s="673"/>
      <c r="AC1884" s="673"/>
      <c r="AD1884" s="673"/>
      <c r="AE1884" s="673"/>
      <c r="AF1884" s="673"/>
      <c r="AG1884" s="673"/>
      <c r="AH1884" s="673"/>
    </row>
    <row r="1885">
      <c r="A1885" s="653"/>
      <c r="B1885" s="654"/>
      <c r="C1885" s="691"/>
      <c r="D1885" s="661"/>
      <c r="E1885" s="705"/>
      <c r="F1885" s="659"/>
      <c r="G1885" s="661"/>
      <c r="H1885" s="660"/>
      <c r="I1885" s="691"/>
      <c r="J1885" s="661"/>
      <c r="K1885" s="706"/>
      <c r="L1885" s="665"/>
      <c r="M1885" s="663"/>
      <c r="N1885" s="665"/>
      <c r="O1885" s="665"/>
      <c r="P1885" s="665"/>
      <c r="Q1885" s="665"/>
      <c r="R1885" s="665"/>
      <c r="S1885" s="665"/>
      <c r="T1885" s="673"/>
      <c r="U1885" s="673"/>
      <c r="V1885" s="673"/>
      <c r="W1885" s="673"/>
      <c r="X1885" s="673"/>
      <c r="Y1885" s="673"/>
      <c r="Z1885" s="673"/>
      <c r="AA1885" s="673"/>
      <c r="AB1885" s="673"/>
      <c r="AC1885" s="673"/>
      <c r="AD1885" s="673"/>
      <c r="AE1885" s="673"/>
      <c r="AF1885" s="673"/>
      <c r="AG1885" s="673"/>
      <c r="AH1885" s="673"/>
    </row>
    <row r="1886">
      <c r="A1886" s="653"/>
      <c r="B1886" s="654"/>
      <c r="C1886" s="691"/>
      <c r="D1886" s="661"/>
      <c r="E1886" s="705"/>
      <c r="F1886" s="659"/>
      <c r="G1886" s="661"/>
      <c r="H1886" s="660"/>
      <c r="I1886" s="691"/>
      <c r="J1886" s="661"/>
      <c r="K1886" s="706"/>
      <c r="L1886" s="665"/>
      <c r="M1886" s="663"/>
      <c r="N1886" s="665"/>
      <c r="O1886" s="665"/>
      <c r="P1886" s="665"/>
      <c r="Q1886" s="665"/>
      <c r="R1886" s="665"/>
      <c r="S1886" s="665"/>
      <c r="T1886" s="673"/>
      <c r="U1886" s="673"/>
      <c r="V1886" s="673"/>
      <c r="W1886" s="673"/>
      <c r="X1886" s="673"/>
      <c r="Y1886" s="673"/>
      <c r="Z1886" s="673"/>
      <c r="AA1886" s="673"/>
      <c r="AB1886" s="673"/>
      <c r="AC1886" s="673"/>
      <c r="AD1886" s="673"/>
      <c r="AE1886" s="673"/>
      <c r="AF1886" s="673"/>
      <c r="AG1886" s="673"/>
      <c r="AH1886" s="673"/>
    </row>
    <row r="1887">
      <c r="A1887" s="653"/>
      <c r="B1887" s="654"/>
      <c r="C1887" s="691"/>
      <c r="D1887" s="661"/>
      <c r="E1887" s="705"/>
      <c r="F1887" s="659"/>
      <c r="G1887" s="661"/>
      <c r="H1887" s="660"/>
      <c r="I1887" s="691"/>
      <c r="J1887" s="661"/>
      <c r="K1887" s="706"/>
      <c r="L1887" s="665"/>
      <c r="M1887" s="663"/>
      <c r="N1887" s="665"/>
      <c r="O1887" s="665"/>
      <c r="P1887" s="665"/>
      <c r="Q1887" s="665"/>
      <c r="R1887" s="665"/>
      <c r="S1887" s="665"/>
      <c r="T1887" s="673"/>
      <c r="U1887" s="673"/>
      <c r="V1887" s="673"/>
      <c r="W1887" s="673"/>
      <c r="X1887" s="673"/>
      <c r="Y1887" s="673"/>
      <c r="Z1887" s="673"/>
      <c r="AA1887" s="673"/>
      <c r="AB1887" s="673"/>
      <c r="AC1887" s="673"/>
      <c r="AD1887" s="673"/>
      <c r="AE1887" s="673"/>
      <c r="AF1887" s="673"/>
      <c r="AG1887" s="673"/>
      <c r="AH1887" s="673"/>
    </row>
    <row r="1888">
      <c r="A1888" s="653"/>
      <c r="B1888" s="654"/>
      <c r="C1888" s="691"/>
      <c r="D1888" s="661"/>
      <c r="E1888" s="705"/>
      <c r="F1888" s="659"/>
      <c r="G1888" s="661"/>
      <c r="H1888" s="660"/>
      <c r="I1888" s="691"/>
      <c r="J1888" s="661"/>
      <c r="K1888" s="706"/>
      <c r="L1888" s="665"/>
      <c r="M1888" s="663"/>
      <c r="N1888" s="665"/>
      <c r="O1888" s="665"/>
      <c r="P1888" s="665"/>
      <c r="Q1888" s="665"/>
      <c r="R1888" s="665"/>
      <c r="S1888" s="665"/>
      <c r="T1888" s="673"/>
      <c r="U1888" s="673"/>
      <c r="V1888" s="673"/>
      <c r="W1888" s="673"/>
      <c r="X1888" s="673"/>
      <c r="Y1888" s="673"/>
      <c r="Z1888" s="673"/>
      <c r="AA1888" s="673"/>
      <c r="AB1888" s="673"/>
      <c r="AC1888" s="673"/>
      <c r="AD1888" s="673"/>
      <c r="AE1888" s="673"/>
      <c r="AF1888" s="673"/>
      <c r="AG1888" s="673"/>
      <c r="AH1888" s="673"/>
    </row>
    <row r="1889">
      <c r="A1889" s="653"/>
      <c r="B1889" s="654"/>
      <c r="C1889" s="691"/>
      <c r="D1889" s="661"/>
      <c r="E1889" s="705"/>
      <c r="F1889" s="659"/>
      <c r="G1889" s="661"/>
      <c r="H1889" s="660"/>
      <c r="I1889" s="691"/>
      <c r="J1889" s="661"/>
      <c r="K1889" s="706"/>
      <c r="L1889" s="665"/>
      <c r="M1889" s="663"/>
      <c r="N1889" s="665"/>
      <c r="O1889" s="665"/>
      <c r="P1889" s="665"/>
      <c r="Q1889" s="665"/>
      <c r="R1889" s="665"/>
      <c r="S1889" s="665"/>
      <c r="T1889" s="673"/>
      <c r="U1889" s="673"/>
      <c r="V1889" s="673"/>
      <c r="W1889" s="673"/>
      <c r="X1889" s="673"/>
      <c r="Y1889" s="673"/>
      <c r="Z1889" s="673"/>
      <c r="AA1889" s="673"/>
      <c r="AB1889" s="673"/>
      <c r="AC1889" s="673"/>
      <c r="AD1889" s="673"/>
      <c r="AE1889" s="673"/>
      <c r="AF1889" s="673"/>
      <c r="AG1889" s="673"/>
      <c r="AH1889" s="673"/>
    </row>
    <row r="1890">
      <c r="A1890" s="653"/>
      <c r="B1890" s="654"/>
      <c r="C1890" s="691"/>
      <c r="D1890" s="661"/>
      <c r="E1890" s="705"/>
      <c r="F1890" s="659"/>
      <c r="G1890" s="661"/>
      <c r="H1890" s="660"/>
      <c r="I1890" s="691"/>
      <c r="J1890" s="661"/>
      <c r="K1890" s="706"/>
      <c r="L1890" s="665"/>
      <c r="M1890" s="663"/>
      <c r="N1890" s="665"/>
      <c r="O1890" s="665"/>
      <c r="P1890" s="665"/>
      <c r="Q1890" s="665"/>
      <c r="R1890" s="665"/>
      <c r="S1890" s="665"/>
      <c r="T1890" s="673"/>
      <c r="U1890" s="673"/>
      <c r="V1890" s="673"/>
      <c r="W1890" s="673"/>
      <c r="X1890" s="673"/>
      <c r="Y1890" s="673"/>
      <c r="Z1890" s="673"/>
      <c r="AA1890" s="673"/>
      <c r="AB1890" s="673"/>
      <c r="AC1890" s="673"/>
      <c r="AD1890" s="673"/>
      <c r="AE1890" s="673"/>
      <c r="AF1890" s="673"/>
      <c r="AG1890" s="673"/>
      <c r="AH1890" s="673"/>
    </row>
    <row r="1891">
      <c r="A1891" s="653"/>
      <c r="B1891" s="654"/>
      <c r="C1891" s="691"/>
      <c r="D1891" s="661"/>
      <c r="E1891" s="705"/>
      <c r="F1891" s="659"/>
      <c r="G1891" s="661"/>
      <c r="H1891" s="660"/>
      <c r="I1891" s="691"/>
      <c r="J1891" s="661"/>
      <c r="K1891" s="706"/>
      <c r="L1891" s="665"/>
      <c r="M1891" s="663"/>
      <c r="N1891" s="665"/>
      <c r="O1891" s="665"/>
      <c r="P1891" s="665"/>
      <c r="Q1891" s="665"/>
      <c r="R1891" s="665"/>
      <c r="S1891" s="665"/>
      <c r="T1891" s="673"/>
      <c r="U1891" s="673"/>
      <c r="V1891" s="673"/>
      <c r="W1891" s="673"/>
      <c r="X1891" s="673"/>
      <c r="Y1891" s="673"/>
      <c r="Z1891" s="673"/>
      <c r="AA1891" s="673"/>
      <c r="AB1891" s="673"/>
      <c r="AC1891" s="673"/>
      <c r="AD1891" s="673"/>
      <c r="AE1891" s="673"/>
      <c r="AF1891" s="673"/>
      <c r="AG1891" s="673"/>
      <c r="AH1891" s="673"/>
    </row>
    <row r="1892">
      <c r="A1892" s="653"/>
      <c r="B1892" s="654"/>
      <c r="C1892" s="691"/>
      <c r="D1892" s="661"/>
      <c r="E1892" s="705"/>
      <c r="F1892" s="659"/>
      <c r="G1892" s="661"/>
      <c r="H1892" s="660"/>
      <c r="I1892" s="691"/>
      <c r="J1892" s="661"/>
      <c r="K1892" s="706"/>
      <c r="L1892" s="665"/>
      <c r="M1892" s="663"/>
      <c r="N1892" s="665"/>
      <c r="O1892" s="665"/>
      <c r="P1892" s="665"/>
      <c r="Q1892" s="665"/>
      <c r="R1892" s="665"/>
      <c r="S1892" s="665"/>
      <c r="T1892" s="673"/>
      <c r="U1892" s="673"/>
      <c r="V1892" s="673"/>
      <c r="W1892" s="673"/>
      <c r="X1892" s="673"/>
      <c r="Y1892" s="673"/>
      <c r="Z1892" s="673"/>
      <c r="AA1892" s="673"/>
      <c r="AB1892" s="673"/>
      <c r="AC1892" s="673"/>
      <c r="AD1892" s="673"/>
      <c r="AE1892" s="673"/>
      <c r="AF1892" s="673"/>
      <c r="AG1892" s="673"/>
      <c r="AH1892" s="673"/>
    </row>
    <row r="1893">
      <c r="A1893" s="653"/>
      <c r="B1893" s="654"/>
      <c r="C1893" s="691"/>
      <c r="D1893" s="661"/>
      <c r="E1893" s="705"/>
      <c r="F1893" s="659"/>
      <c r="G1893" s="661"/>
      <c r="H1893" s="660"/>
      <c r="I1893" s="691"/>
      <c r="J1893" s="661"/>
      <c r="K1893" s="706"/>
      <c r="L1893" s="665"/>
      <c r="M1893" s="663"/>
      <c r="N1893" s="665"/>
      <c r="O1893" s="665"/>
      <c r="P1893" s="665"/>
      <c r="Q1893" s="665"/>
      <c r="R1893" s="665"/>
      <c r="S1893" s="665"/>
      <c r="T1893" s="673"/>
      <c r="U1893" s="673"/>
      <c r="V1893" s="673"/>
      <c r="W1893" s="673"/>
      <c r="X1893" s="673"/>
      <c r="Y1893" s="673"/>
      <c r="Z1893" s="673"/>
      <c r="AA1893" s="673"/>
      <c r="AB1893" s="673"/>
      <c r="AC1893" s="673"/>
      <c r="AD1893" s="673"/>
      <c r="AE1893" s="673"/>
      <c r="AF1893" s="673"/>
      <c r="AG1893" s="673"/>
      <c r="AH1893" s="673"/>
    </row>
    <row r="1894">
      <c r="A1894" s="653"/>
      <c r="B1894" s="654"/>
      <c r="C1894" s="691"/>
      <c r="D1894" s="661"/>
      <c r="E1894" s="705"/>
      <c r="F1894" s="659"/>
      <c r="G1894" s="661"/>
      <c r="H1894" s="660"/>
      <c r="I1894" s="691"/>
      <c r="J1894" s="661"/>
      <c r="K1894" s="706"/>
      <c r="L1894" s="665"/>
      <c r="M1894" s="663"/>
      <c r="N1894" s="665"/>
      <c r="O1894" s="665"/>
      <c r="P1894" s="665"/>
      <c r="Q1894" s="665"/>
      <c r="R1894" s="665"/>
      <c r="S1894" s="665"/>
      <c r="T1894" s="673"/>
      <c r="U1894" s="673"/>
      <c r="V1894" s="673"/>
      <c r="W1894" s="673"/>
      <c r="X1894" s="673"/>
      <c r="Y1894" s="673"/>
      <c r="Z1894" s="673"/>
      <c r="AA1894" s="673"/>
      <c r="AB1894" s="673"/>
      <c r="AC1894" s="673"/>
      <c r="AD1894" s="673"/>
      <c r="AE1894" s="673"/>
      <c r="AF1894" s="673"/>
      <c r="AG1894" s="673"/>
      <c r="AH1894" s="673"/>
    </row>
    <row r="1895">
      <c r="A1895" s="653"/>
      <c r="B1895" s="654"/>
      <c r="C1895" s="691"/>
      <c r="D1895" s="661"/>
      <c r="E1895" s="705"/>
      <c r="F1895" s="659"/>
      <c r="G1895" s="661"/>
      <c r="H1895" s="660"/>
      <c r="I1895" s="691"/>
      <c r="J1895" s="661"/>
      <c r="K1895" s="706"/>
      <c r="L1895" s="665"/>
      <c r="M1895" s="663"/>
      <c r="N1895" s="665"/>
      <c r="O1895" s="665"/>
      <c r="P1895" s="665"/>
      <c r="Q1895" s="665"/>
      <c r="R1895" s="665"/>
      <c r="S1895" s="665"/>
      <c r="T1895" s="673"/>
      <c r="U1895" s="673"/>
      <c r="V1895" s="673"/>
      <c r="W1895" s="673"/>
      <c r="X1895" s="673"/>
      <c r="Y1895" s="673"/>
      <c r="Z1895" s="673"/>
      <c r="AA1895" s="673"/>
      <c r="AB1895" s="673"/>
      <c r="AC1895" s="673"/>
      <c r="AD1895" s="673"/>
      <c r="AE1895" s="673"/>
      <c r="AF1895" s="673"/>
      <c r="AG1895" s="673"/>
      <c r="AH1895" s="673"/>
    </row>
    <row r="1896">
      <c r="A1896" s="653"/>
      <c r="B1896" s="654"/>
      <c r="C1896" s="691"/>
      <c r="D1896" s="661"/>
      <c r="E1896" s="705"/>
      <c r="F1896" s="659"/>
      <c r="G1896" s="661"/>
      <c r="H1896" s="660"/>
      <c r="I1896" s="691"/>
      <c r="J1896" s="661"/>
      <c r="K1896" s="706"/>
      <c r="L1896" s="665"/>
      <c r="M1896" s="663"/>
      <c r="N1896" s="665"/>
      <c r="O1896" s="665"/>
      <c r="P1896" s="665"/>
      <c r="Q1896" s="665"/>
      <c r="R1896" s="665"/>
      <c r="S1896" s="665"/>
      <c r="T1896" s="673"/>
      <c r="U1896" s="673"/>
      <c r="V1896" s="673"/>
      <c r="W1896" s="673"/>
      <c r="X1896" s="673"/>
      <c r="Y1896" s="673"/>
      <c r="Z1896" s="673"/>
      <c r="AA1896" s="673"/>
      <c r="AB1896" s="673"/>
      <c r="AC1896" s="673"/>
      <c r="AD1896" s="673"/>
      <c r="AE1896" s="673"/>
      <c r="AF1896" s="673"/>
      <c r="AG1896" s="673"/>
      <c r="AH1896" s="673"/>
    </row>
    <row r="1897">
      <c r="A1897" s="653"/>
      <c r="B1897" s="654"/>
      <c r="C1897" s="691"/>
      <c r="D1897" s="661"/>
      <c r="E1897" s="705"/>
      <c r="F1897" s="659"/>
      <c r="G1897" s="661"/>
      <c r="H1897" s="660"/>
      <c r="I1897" s="691"/>
      <c r="J1897" s="661"/>
      <c r="K1897" s="706"/>
      <c r="L1897" s="665"/>
      <c r="M1897" s="663"/>
      <c r="N1897" s="665"/>
      <c r="O1897" s="665"/>
      <c r="P1897" s="665"/>
      <c r="Q1897" s="665"/>
      <c r="R1897" s="665"/>
      <c r="S1897" s="665"/>
      <c r="T1897" s="673"/>
      <c r="U1897" s="673"/>
      <c r="V1897" s="673"/>
      <c r="W1897" s="673"/>
      <c r="X1897" s="673"/>
      <c r="Y1897" s="673"/>
      <c r="Z1897" s="673"/>
      <c r="AA1897" s="673"/>
      <c r="AB1897" s="673"/>
      <c r="AC1897" s="673"/>
      <c r="AD1897" s="673"/>
      <c r="AE1897" s="673"/>
      <c r="AF1897" s="673"/>
      <c r="AG1897" s="673"/>
      <c r="AH1897" s="673"/>
    </row>
    <row r="1898">
      <c r="A1898" s="653"/>
      <c r="B1898" s="654"/>
      <c r="C1898" s="691"/>
      <c r="D1898" s="661"/>
      <c r="E1898" s="705"/>
      <c r="F1898" s="659"/>
      <c r="G1898" s="661"/>
      <c r="H1898" s="660"/>
      <c r="I1898" s="691"/>
      <c r="J1898" s="661"/>
      <c r="K1898" s="706"/>
      <c r="L1898" s="665"/>
      <c r="M1898" s="663"/>
      <c r="N1898" s="665"/>
      <c r="O1898" s="665"/>
      <c r="P1898" s="665"/>
      <c r="Q1898" s="665"/>
      <c r="R1898" s="665"/>
      <c r="S1898" s="665"/>
      <c r="T1898" s="673"/>
      <c r="U1898" s="673"/>
      <c r="V1898" s="673"/>
      <c r="W1898" s="673"/>
      <c r="X1898" s="673"/>
      <c r="Y1898" s="673"/>
      <c r="Z1898" s="673"/>
      <c r="AA1898" s="673"/>
      <c r="AB1898" s="673"/>
      <c r="AC1898" s="673"/>
      <c r="AD1898" s="673"/>
      <c r="AE1898" s="673"/>
      <c r="AF1898" s="673"/>
      <c r="AG1898" s="673"/>
      <c r="AH1898" s="673"/>
    </row>
    <row r="1899">
      <c r="A1899" s="653"/>
      <c r="B1899" s="654"/>
      <c r="C1899" s="691"/>
      <c r="D1899" s="661"/>
      <c r="E1899" s="705"/>
      <c r="F1899" s="659"/>
      <c r="G1899" s="661"/>
      <c r="H1899" s="660"/>
      <c r="I1899" s="691"/>
      <c r="J1899" s="661"/>
      <c r="K1899" s="706"/>
      <c r="L1899" s="665"/>
      <c r="M1899" s="663"/>
      <c r="N1899" s="665"/>
      <c r="O1899" s="665"/>
      <c r="P1899" s="665"/>
      <c r="Q1899" s="665"/>
      <c r="R1899" s="665"/>
      <c r="S1899" s="665"/>
      <c r="T1899" s="673"/>
      <c r="U1899" s="673"/>
      <c r="V1899" s="673"/>
      <c r="W1899" s="673"/>
      <c r="X1899" s="673"/>
      <c r="Y1899" s="673"/>
      <c r="Z1899" s="673"/>
      <c r="AA1899" s="673"/>
      <c r="AB1899" s="673"/>
      <c r="AC1899" s="673"/>
      <c r="AD1899" s="673"/>
      <c r="AE1899" s="673"/>
      <c r="AF1899" s="673"/>
      <c r="AG1899" s="673"/>
      <c r="AH1899" s="673"/>
    </row>
    <row r="1900">
      <c r="A1900" s="653"/>
      <c r="B1900" s="654"/>
      <c r="C1900" s="691"/>
      <c r="D1900" s="661"/>
      <c r="E1900" s="705"/>
      <c r="F1900" s="659"/>
      <c r="G1900" s="661"/>
      <c r="H1900" s="660"/>
      <c r="I1900" s="691"/>
      <c r="J1900" s="661"/>
      <c r="K1900" s="706"/>
      <c r="L1900" s="665"/>
      <c r="M1900" s="663"/>
      <c r="N1900" s="665"/>
      <c r="O1900" s="665"/>
      <c r="P1900" s="665"/>
      <c r="Q1900" s="665"/>
      <c r="R1900" s="665"/>
      <c r="S1900" s="665"/>
      <c r="T1900" s="673"/>
      <c r="U1900" s="673"/>
      <c r="V1900" s="673"/>
      <c r="W1900" s="673"/>
      <c r="X1900" s="673"/>
      <c r="Y1900" s="673"/>
      <c r="Z1900" s="673"/>
      <c r="AA1900" s="673"/>
      <c r="AB1900" s="673"/>
      <c r="AC1900" s="673"/>
      <c r="AD1900" s="673"/>
      <c r="AE1900" s="673"/>
      <c r="AF1900" s="673"/>
      <c r="AG1900" s="673"/>
      <c r="AH1900" s="673"/>
    </row>
    <row r="1901">
      <c r="A1901" s="653"/>
      <c r="B1901" s="654"/>
      <c r="C1901" s="691"/>
      <c r="D1901" s="661"/>
      <c r="E1901" s="705"/>
      <c r="F1901" s="659"/>
      <c r="G1901" s="661"/>
      <c r="H1901" s="660"/>
      <c r="I1901" s="691"/>
      <c r="J1901" s="661"/>
      <c r="K1901" s="706"/>
      <c r="L1901" s="665"/>
      <c r="M1901" s="663"/>
      <c r="N1901" s="665"/>
      <c r="O1901" s="665"/>
      <c r="P1901" s="665"/>
      <c r="Q1901" s="665"/>
      <c r="R1901" s="665"/>
      <c r="S1901" s="665"/>
      <c r="T1901" s="673"/>
      <c r="U1901" s="673"/>
      <c r="V1901" s="673"/>
      <c r="W1901" s="673"/>
      <c r="X1901" s="673"/>
      <c r="Y1901" s="673"/>
      <c r="Z1901" s="673"/>
      <c r="AA1901" s="673"/>
      <c r="AB1901" s="673"/>
      <c r="AC1901" s="673"/>
      <c r="AD1901" s="673"/>
      <c r="AE1901" s="673"/>
      <c r="AF1901" s="673"/>
      <c r="AG1901" s="673"/>
      <c r="AH1901" s="673"/>
    </row>
    <row r="1902">
      <c r="A1902" s="653"/>
      <c r="B1902" s="654"/>
      <c r="C1902" s="691"/>
      <c r="D1902" s="661"/>
      <c r="E1902" s="705"/>
      <c r="F1902" s="659"/>
      <c r="G1902" s="661"/>
      <c r="H1902" s="660"/>
      <c r="I1902" s="691"/>
      <c r="J1902" s="661"/>
      <c r="K1902" s="706"/>
      <c r="L1902" s="665"/>
      <c r="M1902" s="663"/>
      <c r="N1902" s="665"/>
      <c r="O1902" s="665"/>
      <c r="P1902" s="665"/>
      <c r="Q1902" s="665"/>
      <c r="R1902" s="665"/>
      <c r="S1902" s="665"/>
      <c r="T1902" s="673"/>
      <c r="U1902" s="673"/>
      <c r="V1902" s="673"/>
      <c r="W1902" s="673"/>
      <c r="X1902" s="673"/>
      <c r="Y1902" s="673"/>
      <c r="Z1902" s="673"/>
      <c r="AA1902" s="673"/>
      <c r="AB1902" s="673"/>
      <c r="AC1902" s="673"/>
      <c r="AD1902" s="673"/>
      <c r="AE1902" s="673"/>
      <c r="AF1902" s="673"/>
      <c r="AG1902" s="673"/>
      <c r="AH1902" s="673"/>
    </row>
    <row r="1903">
      <c r="A1903" s="653"/>
      <c r="B1903" s="654"/>
      <c r="C1903" s="691"/>
      <c r="D1903" s="661"/>
      <c r="E1903" s="705"/>
      <c r="F1903" s="659"/>
      <c r="G1903" s="661"/>
      <c r="H1903" s="660"/>
      <c r="I1903" s="691"/>
      <c r="J1903" s="661"/>
      <c r="K1903" s="706"/>
      <c r="L1903" s="665"/>
      <c r="M1903" s="663"/>
      <c r="N1903" s="665"/>
      <c r="O1903" s="665"/>
      <c r="P1903" s="665"/>
      <c r="Q1903" s="665"/>
      <c r="R1903" s="665"/>
      <c r="S1903" s="665"/>
      <c r="T1903" s="673"/>
      <c r="U1903" s="673"/>
      <c r="V1903" s="673"/>
      <c r="W1903" s="673"/>
      <c r="X1903" s="673"/>
      <c r="Y1903" s="673"/>
      <c r="Z1903" s="673"/>
      <c r="AA1903" s="673"/>
      <c r="AB1903" s="673"/>
      <c r="AC1903" s="673"/>
      <c r="AD1903" s="673"/>
      <c r="AE1903" s="673"/>
      <c r="AF1903" s="673"/>
      <c r="AG1903" s="673"/>
      <c r="AH1903" s="673"/>
    </row>
    <row r="1904">
      <c r="A1904" s="653"/>
      <c r="B1904" s="654"/>
      <c r="C1904" s="691"/>
      <c r="D1904" s="661"/>
      <c r="E1904" s="705"/>
      <c r="F1904" s="659"/>
      <c r="G1904" s="661"/>
      <c r="H1904" s="660"/>
      <c r="I1904" s="691"/>
      <c r="J1904" s="661"/>
      <c r="K1904" s="706"/>
      <c r="L1904" s="665"/>
      <c r="M1904" s="663"/>
      <c r="N1904" s="665"/>
      <c r="O1904" s="665"/>
      <c r="P1904" s="665"/>
      <c r="Q1904" s="665"/>
      <c r="R1904" s="665"/>
      <c r="S1904" s="665"/>
      <c r="T1904" s="673"/>
      <c r="U1904" s="673"/>
      <c r="V1904" s="673"/>
      <c r="W1904" s="673"/>
      <c r="X1904" s="673"/>
      <c r="Y1904" s="673"/>
      <c r="Z1904" s="673"/>
      <c r="AA1904" s="673"/>
      <c r="AB1904" s="673"/>
      <c r="AC1904" s="673"/>
      <c r="AD1904" s="673"/>
      <c r="AE1904" s="673"/>
      <c r="AF1904" s="673"/>
      <c r="AG1904" s="673"/>
      <c r="AH1904" s="673"/>
    </row>
    <row r="1905">
      <c r="A1905" s="653"/>
      <c r="B1905" s="654"/>
      <c r="C1905" s="691"/>
      <c r="D1905" s="661"/>
      <c r="E1905" s="705"/>
      <c r="F1905" s="659"/>
      <c r="G1905" s="661"/>
      <c r="H1905" s="660"/>
      <c r="I1905" s="691"/>
      <c r="J1905" s="661"/>
      <c r="K1905" s="706"/>
      <c r="L1905" s="665"/>
      <c r="M1905" s="663"/>
      <c r="N1905" s="665"/>
      <c r="O1905" s="665"/>
      <c r="P1905" s="665"/>
      <c r="Q1905" s="665"/>
      <c r="R1905" s="665"/>
      <c r="S1905" s="665"/>
      <c r="T1905" s="673"/>
      <c r="U1905" s="673"/>
      <c r="V1905" s="673"/>
      <c r="W1905" s="673"/>
      <c r="X1905" s="673"/>
      <c r="Y1905" s="673"/>
      <c r="Z1905" s="673"/>
      <c r="AA1905" s="673"/>
      <c r="AB1905" s="673"/>
      <c r="AC1905" s="673"/>
      <c r="AD1905" s="673"/>
      <c r="AE1905" s="673"/>
      <c r="AF1905" s="673"/>
      <c r="AG1905" s="673"/>
      <c r="AH1905" s="673"/>
    </row>
    <row r="1906">
      <c r="A1906" s="653"/>
      <c r="B1906" s="654"/>
      <c r="C1906" s="691"/>
      <c r="D1906" s="661"/>
      <c r="E1906" s="705"/>
      <c r="F1906" s="659"/>
      <c r="G1906" s="661"/>
      <c r="H1906" s="660"/>
      <c r="I1906" s="691"/>
      <c r="J1906" s="661"/>
      <c r="K1906" s="706"/>
      <c r="L1906" s="665"/>
      <c r="M1906" s="663"/>
      <c r="N1906" s="665"/>
      <c r="O1906" s="665"/>
      <c r="P1906" s="665"/>
      <c r="Q1906" s="665"/>
      <c r="R1906" s="665"/>
      <c r="S1906" s="665"/>
      <c r="T1906" s="673"/>
      <c r="U1906" s="673"/>
      <c r="V1906" s="673"/>
      <c r="W1906" s="673"/>
      <c r="X1906" s="673"/>
      <c r="Y1906" s="673"/>
      <c r="Z1906" s="673"/>
      <c r="AA1906" s="673"/>
      <c r="AB1906" s="673"/>
      <c r="AC1906" s="673"/>
      <c r="AD1906" s="673"/>
      <c r="AE1906" s="673"/>
      <c r="AF1906" s="673"/>
      <c r="AG1906" s="673"/>
      <c r="AH1906" s="673"/>
    </row>
    <row r="1907">
      <c r="A1907" s="653"/>
      <c r="B1907" s="654"/>
      <c r="C1907" s="691"/>
      <c r="D1907" s="661"/>
      <c r="E1907" s="705"/>
      <c r="F1907" s="659"/>
      <c r="G1907" s="661"/>
      <c r="H1907" s="660"/>
      <c r="I1907" s="691"/>
      <c r="J1907" s="661"/>
      <c r="K1907" s="706"/>
      <c r="L1907" s="665"/>
      <c r="M1907" s="663"/>
      <c r="N1907" s="665"/>
      <c r="O1907" s="665"/>
      <c r="P1907" s="665"/>
      <c r="Q1907" s="665"/>
      <c r="R1907" s="665"/>
      <c r="S1907" s="665"/>
      <c r="T1907" s="673"/>
      <c r="U1907" s="673"/>
      <c r="V1907" s="673"/>
      <c r="W1907" s="673"/>
      <c r="X1907" s="673"/>
      <c r="Y1907" s="673"/>
      <c r="Z1907" s="673"/>
      <c r="AA1907" s="673"/>
      <c r="AB1907" s="673"/>
      <c r="AC1907" s="673"/>
      <c r="AD1907" s="673"/>
      <c r="AE1907" s="673"/>
      <c r="AF1907" s="673"/>
      <c r="AG1907" s="673"/>
      <c r="AH1907" s="673"/>
    </row>
    <row r="1908">
      <c r="A1908" s="653"/>
      <c r="B1908" s="654"/>
      <c r="C1908" s="691"/>
      <c r="D1908" s="661"/>
      <c r="E1908" s="705"/>
      <c r="F1908" s="659"/>
      <c r="G1908" s="661"/>
      <c r="H1908" s="660"/>
      <c r="I1908" s="691"/>
      <c r="J1908" s="661"/>
      <c r="K1908" s="706"/>
      <c r="L1908" s="665"/>
      <c r="M1908" s="663"/>
      <c r="N1908" s="665"/>
      <c r="O1908" s="665"/>
      <c r="P1908" s="665"/>
      <c r="Q1908" s="665"/>
      <c r="R1908" s="665"/>
      <c r="S1908" s="665"/>
      <c r="T1908" s="673"/>
      <c r="U1908" s="673"/>
      <c r="V1908" s="673"/>
      <c r="W1908" s="673"/>
      <c r="X1908" s="673"/>
      <c r="Y1908" s="673"/>
      <c r="Z1908" s="673"/>
      <c r="AA1908" s="673"/>
      <c r="AB1908" s="673"/>
      <c r="AC1908" s="673"/>
      <c r="AD1908" s="673"/>
      <c r="AE1908" s="673"/>
      <c r="AF1908" s="673"/>
      <c r="AG1908" s="673"/>
      <c r="AH1908" s="673"/>
    </row>
    <row r="1909">
      <c r="A1909" s="653"/>
      <c r="B1909" s="654"/>
      <c r="C1909" s="691"/>
      <c r="D1909" s="661"/>
      <c r="E1909" s="705"/>
      <c r="F1909" s="659"/>
      <c r="G1909" s="661"/>
      <c r="H1909" s="660"/>
      <c r="I1909" s="691"/>
      <c r="J1909" s="661"/>
      <c r="K1909" s="706"/>
      <c r="L1909" s="665"/>
      <c r="M1909" s="663"/>
      <c r="N1909" s="665"/>
      <c r="O1909" s="665"/>
      <c r="P1909" s="665"/>
      <c r="Q1909" s="665"/>
      <c r="R1909" s="665"/>
      <c r="S1909" s="665"/>
      <c r="T1909" s="673"/>
      <c r="U1909" s="673"/>
      <c r="V1909" s="673"/>
      <c r="W1909" s="673"/>
      <c r="X1909" s="673"/>
      <c r="Y1909" s="673"/>
      <c r="Z1909" s="673"/>
      <c r="AA1909" s="673"/>
      <c r="AB1909" s="673"/>
      <c r="AC1909" s="673"/>
      <c r="AD1909" s="673"/>
      <c r="AE1909" s="673"/>
      <c r="AF1909" s="673"/>
      <c r="AG1909" s="673"/>
      <c r="AH1909" s="673"/>
    </row>
    <row r="1910">
      <c r="A1910" s="653"/>
      <c r="B1910" s="654"/>
      <c r="C1910" s="691"/>
      <c r="D1910" s="661"/>
      <c r="E1910" s="705"/>
      <c r="F1910" s="659"/>
      <c r="G1910" s="661"/>
      <c r="H1910" s="660"/>
      <c r="I1910" s="691"/>
      <c r="J1910" s="661"/>
      <c r="K1910" s="706"/>
      <c r="L1910" s="665"/>
      <c r="M1910" s="663"/>
      <c r="N1910" s="665"/>
      <c r="O1910" s="665"/>
      <c r="P1910" s="665"/>
      <c r="Q1910" s="665"/>
      <c r="R1910" s="665"/>
      <c r="S1910" s="665"/>
      <c r="T1910" s="673"/>
      <c r="U1910" s="673"/>
      <c r="V1910" s="673"/>
      <c r="W1910" s="673"/>
      <c r="X1910" s="673"/>
      <c r="Y1910" s="673"/>
      <c r="Z1910" s="673"/>
      <c r="AA1910" s="673"/>
      <c r="AB1910" s="673"/>
      <c r="AC1910" s="673"/>
      <c r="AD1910" s="673"/>
      <c r="AE1910" s="673"/>
      <c r="AF1910" s="673"/>
      <c r="AG1910" s="673"/>
      <c r="AH1910" s="673"/>
    </row>
    <row r="1911">
      <c r="A1911" s="653"/>
      <c r="B1911" s="654"/>
      <c r="C1911" s="691"/>
      <c r="D1911" s="661"/>
      <c r="E1911" s="705"/>
      <c r="F1911" s="659"/>
      <c r="G1911" s="661"/>
      <c r="H1911" s="660"/>
      <c r="I1911" s="691"/>
      <c r="J1911" s="661"/>
      <c r="K1911" s="706"/>
      <c r="L1911" s="665"/>
      <c r="M1911" s="663"/>
      <c r="N1911" s="665"/>
      <c r="O1911" s="665"/>
      <c r="P1911" s="665"/>
      <c r="Q1911" s="665"/>
      <c r="R1911" s="665"/>
      <c r="S1911" s="665"/>
      <c r="T1911" s="673"/>
      <c r="U1911" s="673"/>
      <c r="V1911" s="673"/>
      <c r="W1911" s="673"/>
      <c r="X1911" s="673"/>
      <c r="Y1911" s="673"/>
      <c r="Z1911" s="673"/>
      <c r="AA1911" s="673"/>
      <c r="AB1911" s="673"/>
      <c r="AC1911" s="673"/>
      <c r="AD1911" s="673"/>
      <c r="AE1911" s="673"/>
      <c r="AF1911" s="673"/>
      <c r="AG1911" s="673"/>
      <c r="AH1911" s="673"/>
    </row>
    <row r="1912">
      <c r="A1912" s="653"/>
      <c r="B1912" s="654"/>
      <c r="C1912" s="691"/>
      <c r="D1912" s="661"/>
      <c r="E1912" s="705"/>
      <c r="F1912" s="659"/>
      <c r="G1912" s="661"/>
      <c r="H1912" s="660"/>
      <c r="I1912" s="691"/>
      <c r="J1912" s="661"/>
      <c r="K1912" s="706"/>
      <c r="L1912" s="665"/>
      <c r="M1912" s="663"/>
      <c r="N1912" s="665"/>
      <c r="O1912" s="665"/>
      <c r="P1912" s="665"/>
      <c r="Q1912" s="665"/>
      <c r="R1912" s="665"/>
      <c r="S1912" s="665"/>
      <c r="T1912" s="673"/>
      <c r="U1912" s="673"/>
      <c r="V1912" s="673"/>
      <c r="W1912" s="673"/>
      <c r="X1912" s="673"/>
      <c r="Y1912" s="673"/>
      <c r="Z1912" s="673"/>
      <c r="AA1912" s="673"/>
      <c r="AB1912" s="673"/>
      <c r="AC1912" s="673"/>
      <c r="AD1912" s="673"/>
      <c r="AE1912" s="673"/>
      <c r="AF1912" s="673"/>
      <c r="AG1912" s="673"/>
      <c r="AH1912" s="673"/>
    </row>
    <row r="1913">
      <c r="A1913" s="653"/>
      <c r="B1913" s="654"/>
      <c r="C1913" s="691"/>
      <c r="D1913" s="661"/>
      <c r="E1913" s="705"/>
      <c r="F1913" s="659"/>
      <c r="G1913" s="661"/>
      <c r="H1913" s="660"/>
      <c r="I1913" s="691"/>
      <c r="J1913" s="661"/>
      <c r="K1913" s="706"/>
      <c r="L1913" s="665"/>
      <c r="M1913" s="663"/>
      <c r="N1913" s="665"/>
      <c r="O1913" s="665"/>
      <c r="P1913" s="665"/>
      <c r="Q1913" s="665"/>
      <c r="R1913" s="665"/>
      <c r="S1913" s="665"/>
      <c r="T1913" s="673"/>
      <c r="U1913" s="673"/>
      <c r="V1913" s="673"/>
      <c r="W1913" s="673"/>
      <c r="X1913" s="673"/>
      <c r="Y1913" s="673"/>
      <c r="Z1913" s="673"/>
      <c r="AA1913" s="673"/>
      <c r="AB1913" s="673"/>
      <c r="AC1913" s="673"/>
      <c r="AD1913" s="673"/>
      <c r="AE1913" s="673"/>
      <c r="AF1913" s="673"/>
      <c r="AG1913" s="673"/>
      <c r="AH1913" s="673"/>
    </row>
    <row r="1914">
      <c r="A1914" s="653"/>
      <c r="B1914" s="654"/>
      <c r="C1914" s="691"/>
      <c r="D1914" s="661"/>
      <c r="E1914" s="705"/>
      <c r="F1914" s="659"/>
      <c r="G1914" s="661"/>
      <c r="H1914" s="660"/>
      <c r="I1914" s="691"/>
      <c r="J1914" s="661"/>
      <c r="K1914" s="706"/>
      <c r="L1914" s="665"/>
      <c r="M1914" s="663"/>
      <c r="N1914" s="665"/>
      <c r="O1914" s="665"/>
      <c r="P1914" s="665"/>
      <c r="Q1914" s="665"/>
      <c r="R1914" s="665"/>
      <c r="S1914" s="665"/>
      <c r="T1914" s="673"/>
      <c r="U1914" s="673"/>
      <c r="V1914" s="673"/>
      <c r="W1914" s="673"/>
      <c r="X1914" s="673"/>
      <c r="Y1914" s="673"/>
      <c r="Z1914" s="673"/>
      <c r="AA1914" s="673"/>
      <c r="AB1914" s="673"/>
      <c r="AC1914" s="673"/>
      <c r="AD1914" s="673"/>
      <c r="AE1914" s="673"/>
      <c r="AF1914" s="673"/>
      <c r="AG1914" s="673"/>
      <c r="AH1914" s="673"/>
    </row>
    <row r="1915">
      <c r="A1915" s="653"/>
      <c r="B1915" s="654"/>
      <c r="C1915" s="691"/>
      <c r="D1915" s="661"/>
      <c r="E1915" s="705"/>
      <c r="F1915" s="659"/>
      <c r="G1915" s="661"/>
      <c r="H1915" s="660"/>
      <c r="I1915" s="691"/>
      <c r="J1915" s="661"/>
      <c r="K1915" s="706"/>
      <c r="L1915" s="665"/>
      <c r="M1915" s="663"/>
      <c r="N1915" s="665"/>
      <c r="O1915" s="665"/>
      <c r="P1915" s="665"/>
      <c r="Q1915" s="665"/>
      <c r="R1915" s="665"/>
      <c r="S1915" s="665"/>
      <c r="T1915" s="673"/>
      <c r="U1915" s="673"/>
      <c r="V1915" s="673"/>
      <c r="W1915" s="673"/>
      <c r="X1915" s="673"/>
      <c r="Y1915" s="673"/>
      <c r="Z1915" s="673"/>
      <c r="AA1915" s="673"/>
      <c r="AB1915" s="673"/>
      <c r="AC1915" s="673"/>
      <c r="AD1915" s="673"/>
      <c r="AE1915" s="673"/>
      <c r="AF1915" s="673"/>
      <c r="AG1915" s="673"/>
      <c r="AH1915" s="673"/>
    </row>
    <row r="1916">
      <c r="A1916" s="653"/>
      <c r="B1916" s="654"/>
      <c r="C1916" s="691"/>
      <c r="D1916" s="661"/>
      <c r="E1916" s="705"/>
      <c r="F1916" s="659"/>
      <c r="G1916" s="661"/>
      <c r="H1916" s="660"/>
      <c r="I1916" s="691"/>
      <c r="J1916" s="661"/>
      <c r="K1916" s="706"/>
      <c r="L1916" s="665"/>
      <c r="M1916" s="663"/>
      <c r="N1916" s="665"/>
      <c r="O1916" s="665"/>
      <c r="P1916" s="665"/>
      <c r="Q1916" s="665"/>
      <c r="R1916" s="665"/>
      <c r="S1916" s="665"/>
      <c r="T1916" s="673"/>
      <c r="U1916" s="673"/>
      <c r="V1916" s="673"/>
      <c r="W1916" s="673"/>
      <c r="X1916" s="673"/>
      <c r="Y1916" s="673"/>
      <c r="Z1916" s="673"/>
      <c r="AA1916" s="673"/>
      <c r="AB1916" s="673"/>
      <c r="AC1916" s="673"/>
      <c r="AD1916" s="673"/>
      <c r="AE1916" s="673"/>
      <c r="AF1916" s="673"/>
      <c r="AG1916" s="673"/>
      <c r="AH1916" s="673"/>
    </row>
    <row r="1917">
      <c r="A1917" s="653"/>
      <c r="B1917" s="654"/>
      <c r="C1917" s="691"/>
      <c r="D1917" s="661"/>
      <c r="E1917" s="705"/>
      <c r="F1917" s="659"/>
      <c r="G1917" s="661"/>
      <c r="H1917" s="660"/>
      <c r="I1917" s="691"/>
      <c r="J1917" s="661"/>
      <c r="K1917" s="706"/>
      <c r="L1917" s="665"/>
      <c r="M1917" s="663"/>
      <c r="N1917" s="665"/>
      <c r="O1917" s="665"/>
      <c r="P1917" s="665"/>
      <c r="Q1917" s="665"/>
      <c r="R1917" s="665"/>
      <c r="S1917" s="665"/>
      <c r="T1917" s="673"/>
      <c r="U1917" s="673"/>
      <c r="V1917" s="673"/>
      <c r="W1917" s="673"/>
      <c r="X1917" s="673"/>
      <c r="Y1917" s="673"/>
      <c r="Z1917" s="673"/>
      <c r="AA1917" s="673"/>
      <c r="AB1917" s="673"/>
      <c r="AC1917" s="673"/>
      <c r="AD1917" s="673"/>
      <c r="AE1917" s="673"/>
      <c r="AF1917" s="673"/>
      <c r="AG1917" s="673"/>
      <c r="AH1917" s="673"/>
    </row>
    <row r="1918">
      <c r="A1918" s="653"/>
      <c r="B1918" s="654"/>
      <c r="C1918" s="691"/>
      <c r="D1918" s="661"/>
      <c r="E1918" s="705"/>
      <c r="F1918" s="659"/>
      <c r="G1918" s="661"/>
      <c r="H1918" s="660"/>
      <c r="I1918" s="691"/>
      <c r="J1918" s="661"/>
      <c r="K1918" s="706"/>
      <c r="L1918" s="665"/>
      <c r="M1918" s="663"/>
      <c r="N1918" s="665"/>
      <c r="O1918" s="665"/>
      <c r="P1918" s="665"/>
      <c r="Q1918" s="665"/>
      <c r="R1918" s="665"/>
      <c r="S1918" s="665"/>
      <c r="T1918" s="673"/>
      <c r="U1918" s="673"/>
      <c r="V1918" s="673"/>
      <c r="W1918" s="673"/>
      <c r="X1918" s="673"/>
      <c r="Y1918" s="673"/>
      <c r="Z1918" s="673"/>
      <c r="AA1918" s="673"/>
      <c r="AB1918" s="673"/>
      <c r="AC1918" s="673"/>
      <c r="AD1918" s="673"/>
      <c r="AE1918" s="673"/>
      <c r="AF1918" s="673"/>
      <c r="AG1918" s="673"/>
      <c r="AH1918" s="673"/>
    </row>
    <row r="1919">
      <c r="A1919" s="653"/>
      <c r="B1919" s="654"/>
      <c r="C1919" s="691"/>
      <c r="D1919" s="661"/>
      <c r="E1919" s="705"/>
      <c r="F1919" s="659"/>
      <c r="G1919" s="661"/>
      <c r="H1919" s="660"/>
      <c r="I1919" s="691"/>
      <c r="J1919" s="661"/>
      <c r="K1919" s="706"/>
      <c r="L1919" s="665"/>
      <c r="M1919" s="663"/>
      <c r="N1919" s="665"/>
      <c r="O1919" s="665"/>
      <c r="P1919" s="665"/>
      <c r="Q1919" s="665"/>
      <c r="R1919" s="665"/>
      <c r="S1919" s="665"/>
      <c r="T1919" s="673"/>
      <c r="U1919" s="673"/>
      <c r="V1919" s="673"/>
      <c r="W1919" s="673"/>
      <c r="X1919" s="673"/>
      <c r="Y1919" s="673"/>
      <c r="Z1919" s="673"/>
      <c r="AA1919" s="673"/>
      <c r="AB1919" s="673"/>
      <c r="AC1919" s="673"/>
      <c r="AD1919" s="673"/>
      <c r="AE1919" s="673"/>
      <c r="AF1919" s="673"/>
      <c r="AG1919" s="673"/>
      <c r="AH1919" s="673"/>
    </row>
    <row r="1920">
      <c r="A1920" s="653"/>
      <c r="B1920" s="654"/>
      <c r="C1920" s="691"/>
      <c r="D1920" s="661"/>
      <c r="E1920" s="705"/>
      <c r="F1920" s="659"/>
      <c r="G1920" s="661"/>
      <c r="H1920" s="660"/>
      <c r="I1920" s="691"/>
      <c r="J1920" s="661"/>
      <c r="K1920" s="706"/>
      <c r="L1920" s="665"/>
      <c r="M1920" s="663"/>
      <c r="N1920" s="665"/>
      <c r="O1920" s="665"/>
      <c r="P1920" s="665"/>
      <c r="Q1920" s="665"/>
      <c r="R1920" s="665"/>
      <c r="S1920" s="665"/>
      <c r="T1920" s="673"/>
      <c r="U1920" s="673"/>
      <c r="V1920" s="673"/>
      <c r="W1920" s="673"/>
      <c r="X1920" s="673"/>
      <c r="Y1920" s="673"/>
      <c r="Z1920" s="673"/>
      <c r="AA1920" s="673"/>
      <c r="AB1920" s="673"/>
      <c r="AC1920" s="673"/>
      <c r="AD1920" s="673"/>
      <c r="AE1920" s="673"/>
      <c r="AF1920" s="673"/>
      <c r="AG1920" s="673"/>
      <c r="AH1920" s="673"/>
    </row>
    <row r="1921">
      <c r="A1921" s="653"/>
      <c r="B1921" s="654"/>
      <c r="C1921" s="691"/>
      <c r="D1921" s="661"/>
      <c r="E1921" s="705"/>
      <c r="F1921" s="659"/>
      <c r="G1921" s="661"/>
      <c r="H1921" s="660"/>
      <c r="I1921" s="691"/>
      <c r="J1921" s="661"/>
      <c r="K1921" s="706"/>
      <c r="L1921" s="665"/>
      <c r="M1921" s="663"/>
      <c r="N1921" s="665"/>
      <c r="O1921" s="665"/>
      <c r="P1921" s="665"/>
      <c r="Q1921" s="665"/>
      <c r="R1921" s="665"/>
      <c r="S1921" s="665"/>
      <c r="T1921" s="673"/>
      <c r="U1921" s="673"/>
      <c r="V1921" s="673"/>
      <c r="W1921" s="673"/>
      <c r="X1921" s="673"/>
      <c r="Y1921" s="673"/>
      <c r="Z1921" s="673"/>
      <c r="AA1921" s="673"/>
      <c r="AB1921" s="673"/>
      <c r="AC1921" s="673"/>
      <c r="AD1921" s="673"/>
      <c r="AE1921" s="673"/>
      <c r="AF1921" s="673"/>
      <c r="AG1921" s="673"/>
      <c r="AH1921" s="673"/>
    </row>
    <row r="1922">
      <c r="A1922" s="653"/>
      <c r="B1922" s="654"/>
      <c r="C1922" s="691"/>
      <c r="D1922" s="661"/>
      <c r="E1922" s="705"/>
      <c r="F1922" s="659"/>
      <c r="G1922" s="661"/>
      <c r="H1922" s="660"/>
      <c r="I1922" s="691"/>
      <c r="J1922" s="661"/>
      <c r="K1922" s="706"/>
      <c r="L1922" s="665"/>
      <c r="M1922" s="663"/>
      <c r="N1922" s="665"/>
      <c r="O1922" s="665"/>
      <c r="P1922" s="665"/>
      <c r="Q1922" s="665"/>
      <c r="R1922" s="665"/>
      <c r="S1922" s="665"/>
      <c r="T1922" s="673"/>
      <c r="U1922" s="673"/>
      <c r="V1922" s="673"/>
      <c r="W1922" s="673"/>
      <c r="X1922" s="673"/>
      <c r="Y1922" s="673"/>
      <c r="Z1922" s="673"/>
      <c r="AA1922" s="673"/>
      <c r="AB1922" s="673"/>
      <c r="AC1922" s="673"/>
      <c r="AD1922" s="673"/>
      <c r="AE1922" s="673"/>
      <c r="AF1922" s="673"/>
      <c r="AG1922" s="673"/>
      <c r="AH1922" s="673"/>
    </row>
    <row r="1923">
      <c r="A1923" s="653"/>
      <c r="B1923" s="654"/>
      <c r="C1923" s="691"/>
      <c r="D1923" s="661"/>
      <c r="E1923" s="705"/>
      <c r="F1923" s="659"/>
      <c r="G1923" s="661"/>
      <c r="H1923" s="660"/>
      <c r="I1923" s="691"/>
      <c r="J1923" s="661"/>
      <c r="K1923" s="706"/>
      <c r="L1923" s="665"/>
      <c r="M1923" s="663"/>
      <c r="N1923" s="665"/>
      <c r="O1923" s="665"/>
      <c r="P1923" s="665"/>
      <c r="Q1923" s="665"/>
      <c r="R1923" s="665"/>
      <c r="S1923" s="665"/>
      <c r="T1923" s="673"/>
      <c r="U1923" s="673"/>
      <c r="V1923" s="673"/>
      <c r="W1923" s="673"/>
      <c r="X1923" s="673"/>
      <c r="Y1923" s="673"/>
      <c r="Z1923" s="673"/>
      <c r="AA1923" s="673"/>
      <c r="AB1923" s="673"/>
      <c r="AC1923" s="673"/>
      <c r="AD1923" s="673"/>
      <c r="AE1923" s="673"/>
      <c r="AF1923" s="673"/>
      <c r="AG1923" s="673"/>
      <c r="AH1923" s="673"/>
    </row>
    <row r="1924">
      <c r="A1924" s="653"/>
      <c r="B1924" s="654"/>
      <c r="C1924" s="691"/>
      <c r="D1924" s="661"/>
      <c r="E1924" s="705"/>
      <c r="F1924" s="659"/>
      <c r="G1924" s="661"/>
      <c r="H1924" s="660"/>
      <c r="I1924" s="691"/>
      <c r="J1924" s="661"/>
      <c r="K1924" s="706"/>
      <c r="L1924" s="665"/>
      <c r="M1924" s="663"/>
      <c r="N1924" s="665"/>
      <c r="O1924" s="665"/>
      <c r="P1924" s="665"/>
      <c r="Q1924" s="665"/>
      <c r="R1924" s="665"/>
      <c r="S1924" s="665"/>
      <c r="T1924" s="673"/>
      <c r="U1924" s="673"/>
      <c r="V1924" s="673"/>
      <c r="W1924" s="673"/>
      <c r="X1924" s="673"/>
      <c r="Y1924" s="673"/>
      <c r="Z1924" s="673"/>
      <c r="AA1924" s="673"/>
      <c r="AB1924" s="673"/>
      <c r="AC1924" s="673"/>
      <c r="AD1924" s="673"/>
      <c r="AE1924" s="673"/>
      <c r="AF1924" s="673"/>
      <c r="AG1924" s="673"/>
      <c r="AH1924" s="673"/>
    </row>
    <row r="1925">
      <c r="A1925" s="653"/>
      <c r="B1925" s="654"/>
      <c r="C1925" s="691"/>
      <c r="D1925" s="661"/>
      <c r="E1925" s="705"/>
      <c r="F1925" s="659"/>
      <c r="G1925" s="661"/>
      <c r="H1925" s="660"/>
      <c r="I1925" s="691"/>
      <c r="J1925" s="661"/>
      <c r="K1925" s="706"/>
      <c r="L1925" s="665"/>
      <c r="M1925" s="663"/>
      <c r="N1925" s="665"/>
      <c r="O1925" s="665"/>
      <c r="P1925" s="665"/>
      <c r="Q1925" s="665"/>
      <c r="R1925" s="665"/>
      <c r="S1925" s="665"/>
      <c r="T1925" s="673"/>
      <c r="U1925" s="673"/>
      <c r="V1925" s="673"/>
      <c r="W1925" s="673"/>
      <c r="X1925" s="673"/>
      <c r="Y1925" s="673"/>
      <c r="Z1925" s="673"/>
      <c r="AA1925" s="673"/>
      <c r="AB1925" s="673"/>
      <c r="AC1925" s="673"/>
      <c r="AD1925" s="673"/>
      <c r="AE1925" s="673"/>
      <c r="AF1925" s="673"/>
      <c r="AG1925" s="673"/>
      <c r="AH1925" s="673"/>
    </row>
    <row r="1926">
      <c r="A1926" s="653"/>
      <c r="B1926" s="654"/>
      <c r="C1926" s="691"/>
      <c r="D1926" s="661"/>
      <c r="E1926" s="705"/>
      <c r="F1926" s="659"/>
      <c r="G1926" s="661"/>
      <c r="H1926" s="660"/>
      <c r="I1926" s="691"/>
      <c r="J1926" s="661"/>
      <c r="K1926" s="706"/>
      <c r="L1926" s="665"/>
      <c r="M1926" s="663"/>
      <c r="N1926" s="665"/>
      <c r="O1926" s="665"/>
      <c r="P1926" s="665"/>
      <c r="Q1926" s="665"/>
      <c r="R1926" s="665"/>
      <c r="S1926" s="665"/>
      <c r="T1926" s="673"/>
      <c r="U1926" s="673"/>
      <c r="V1926" s="673"/>
      <c r="W1926" s="673"/>
      <c r="X1926" s="673"/>
      <c r="Y1926" s="673"/>
      <c r="Z1926" s="673"/>
      <c r="AA1926" s="673"/>
      <c r="AB1926" s="673"/>
      <c r="AC1926" s="673"/>
      <c r="AD1926" s="673"/>
      <c r="AE1926" s="673"/>
      <c r="AF1926" s="673"/>
      <c r="AG1926" s="673"/>
      <c r="AH1926" s="673"/>
    </row>
    <row r="1927">
      <c r="A1927" s="653"/>
      <c r="B1927" s="654"/>
      <c r="C1927" s="691"/>
      <c r="D1927" s="661"/>
      <c r="E1927" s="705"/>
      <c r="F1927" s="659"/>
      <c r="G1927" s="661"/>
      <c r="H1927" s="660"/>
      <c r="I1927" s="691"/>
      <c r="J1927" s="661"/>
      <c r="K1927" s="706"/>
      <c r="L1927" s="665"/>
      <c r="M1927" s="663"/>
      <c r="N1927" s="665"/>
      <c r="O1927" s="665"/>
      <c r="P1927" s="665"/>
      <c r="Q1927" s="665"/>
      <c r="R1927" s="665"/>
      <c r="S1927" s="665"/>
      <c r="T1927" s="673"/>
      <c r="U1927" s="673"/>
      <c r="V1927" s="673"/>
      <c r="W1927" s="673"/>
      <c r="X1927" s="673"/>
      <c r="Y1927" s="673"/>
      <c r="Z1927" s="673"/>
      <c r="AA1927" s="673"/>
      <c r="AB1927" s="673"/>
      <c r="AC1927" s="673"/>
      <c r="AD1927" s="673"/>
      <c r="AE1927" s="673"/>
      <c r="AF1927" s="673"/>
      <c r="AG1927" s="673"/>
      <c r="AH1927" s="673"/>
    </row>
    <row r="1928">
      <c r="A1928" s="653"/>
      <c r="B1928" s="654"/>
      <c r="C1928" s="691"/>
      <c r="D1928" s="661"/>
      <c r="E1928" s="705"/>
      <c r="F1928" s="659"/>
      <c r="G1928" s="661"/>
      <c r="H1928" s="660"/>
      <c r="I1928" s="691"/>
      <c r="J1928" s="661"/>
      <c r="K1928" s="706"/>
      <c r="L1928" s="665"/>
      <c r="M1928" s="663"/>
      <c r="N1928" s="665"/>
      <c r="O1928" s="665"/>
      <c r="P1928" s="665"/>
      <c r="Q1928" s="665"/>
      <c r="R1928" s="665"/>
      <c r="S1928" s="665"/>
      <c r="T1928" s="673"/>
      <c r="U1928" s="673"/>
      <c r="V1928" s="673"/>
      <c r="W1928" s="673"/>
      <c r="X1928" s="673"/>
      <c r="Y1928" s="673"/>
      <c r="Z1928" s="673"/>
      <c r="AA1928" s="673"/>
      <c r="AB1928" s="673"/>
      <c r="AC1928" s="673"/>
      <c r="AD1928" s="673"/>
      <c r="AE1928" s="673"/>
      <c r="AF1928" s="673"/>
      <c r="AG1928" s="673"/>
      <c r="AH1928" s="673"/>
    </row>
    <row r="1929">
      <c r="A1929" s="653"/>
      <c r="B1929" s="654"/>
      <c r="C1929" s="691"/>
      <c r="D1929" s="661"/>
      <c r="E1929" s="705"/>
      <c r="F1929" s="659"/>
      <c r="G1929" s="661"/>
      <c r="H1929" s="660"/>
      <c r="I1929" s="691"/>
      <c r="J1929" s="661"/>
      <c r="K1929" s="706"/>
      <c r="L1929" s="665"/>
      <c r="M1929" s="663"/>
      <c r="N1929" s="665"/>
      <c r="O1929" s="665"/>
      <c r="P1929" s="665"/>
      <c r="Q1929" s="665"/>
      <c r="R1929" s="665"/>
      <c r="S1929" s="665"/>
      <c r="T1929" s="673"/>
      <c r="U1929" s="673"/>
      <c r="V1929" s="673"/>
      <c r="W1929" s="673"/>
      <c r="X1929" s="673"/>
      <c r="Y1929" s="673"/>
      <c r="Z1929" s="673"/>
      <c r="AA1929" s="673"/>
      <c r="AB1929" s="673"/>
      <c r="AC1929" s="673"/>
      <c r="AD1929" s="673"/>
      <c r="AE1929" s="673"/>
      <c r="AF1929" s="673"/>
      <c r="AG1929" s="673"/>
      <c r="AH1929" s="673"/>
    </row>
    <row r="1930">
      <c r="A1930" s="653"/>
      <c r="B1930" s="654"/>
      <c r="C1930" s="691"/>
      <c r="D1930" s="661"/>
      <c r="E1930" s="705"/>
      <c r="F1930" s="659"/>
      <c r="G1930" s="661"/>
      <c r="H1930" s="660"/>
      <c r="I1930" s="691"/>
      <c r="J1930" s="661"/>
      <c r="K1930" s="706"/>
      <c r="L1930" s="665"/>
      <c r="M1930" s="663"/>
      <c r="N1930" s="665"/>
      <c r="O1930" s="665"/>
      <c r="P1930" s="665"/>
      <c r="Q1930" s="665"/>
      <c r="R1930" s="665"/>
      <c r="S1930" s="665"/>
      <c r="T1930" s="673"/>
      <c r="U1930" s="673"/>
      <c r="V1930" s="673"/>
      <c r="W1930" s="673"/>
      <c r="X1930" s="673"/>
      <c r="Y1930" s="673"/>
      <c r="Z1930" s="673"/>
      <c r="AA1930" s="673"/>
      <c r="AB1930" s="673"/>
      <c r="AC1930" s="673"/>
      <c r="AD1930" s="673"/>
      <c r="AE1930" s="673"/>
      <c r="AF1930" s="673"/>
      <c r="AG1930" s="673"/>
      <c r="AH1930" s="673"/>
    </row>
    <row r="1931">
      <c r="A1931" s="653"/>
      <c r="B1931" s="654"/>
      <c r="C1931" s="691"/>
      <c r="D1931" s="661"/>
      <c r="E1931" s="705"/>
      <c r="F1931" s="659"/>
      <c r="G1931" s="661"/>
      <c r="H1931" s="660"/>
      <c r="I1931" s="691"/>
      <c r="J1931" s="661"/>
      <c r="K1931" s="706"/>
      <c r="L1931" s="665"/>
      <c r="M1931" s="663"/>
      <c r="N1931" s="665"/>
      <c r="O1931" s="665"/>
      <c r="P1931" s="665"/>
      <c r="Q1931" s="665"/>
      <c r="R1931" s="665"/>
      <c r="S1931" s="665"/>
      <c r="T1931" s="673"/>
      <c r="U1931" s="673"/>
      <c r="V1931" s="673"/>
      <c r="W1931" s="673"/>
      <c r="X1931" s="673"/>
      <c r="Y1931" s="673"/>
      <c r="Z1931" s="673"/>
      <c r="AA1931" s="673"/>
      <c r="AB1931" s="673"/>
      <c r="AC1931" s="673"/>
      <c r="AD1931" s="673"/>
      <c r="AE1931" s="673"/>
      <c r="AF1931" s="673"/>
      <c r="AG1931" s="673"/>
      <c r="AH1931" s="673"/>
    </row>
    <row r="1932">
      <c r="A1932" s="653"/>
      <c r="B1932" s="654"/>
      <c r="C1932" s="691"/>
      <c r="D1932" s="661"/>
      <c r="E1932" s="705"/>
      <c r="F1932" s="659"/>
      <c r="G1932" s="661"/>
      <c r="H1932" s="660"/>
      <c r="I1932" s="691"/>
      <c r="J1932" s="661"/>
      <c r="K1932" s="706"/>
      <c r="L1932" s="665"/>
      <c r="M1932" s="663"/>
      <c r="N1932" s="665"/>
      <c r="O1932" s="665"/>
      <c r="P1932" s="665"/>
      <c r="Q1932" s="665"/>
      <c r="R1932" s="665"/>
      <c r="S1932" s="665"/>
      <c r="T1932" s="673"/>
      <c r="U1932" s="673"/>
      <c r="V1932" s="673"/>
      <c r="W1932" s="673"/>
      <c r="X1932" s="673"/>
      <c r="Y1932" s="673"/>
      <c r="Z1932" s="673"/>
      <c r="AA1932" s="673"/>
      <c r="AB1932" s="673"/>
      <c r="AC1932" s="673"/>
      <c r="AD1932" s="673"/>
      <c r="AE1932" s="673"/>
      <c r="AF1932" s="673"/>
      <c r="AG1932" s="673"/>
      <c r="AH1932" s="673"/>
    </row>
    <row r="1933">
      <c r="A1933" s="653"/>
      <c r="B1933" s="654"/>
      <c r="C1933" s="691"/>
      <c r="D1933" s="661"/>
      <c r="E1933" s="705"/>
      <c r="F1933" s="659"/>
      <c r="G1933" s="661"/>
      <c r="H1933" s="660"/>
      <c r="I1933" s="691"/>
      <c r="J1933" s="661"/>
      <c r="K1933" s="706"/>
      <c r="L1933" s="665"/>
      <c r="M1933" s="663"/>
      <c r="N1933" s="665"/>
      <c r="O1933" s="665"/>
      <c r="P1933" s="665"/>
      <c r="Q1933" s="665"/>
      <c r="R1933" s="665"/>
      <c r="S1933" s="665"/>
      <c r="T1933" s="673"/>
      <c r="U1933" s="673"/>
      <c r="V1933" s="673"/>
      <c r="W1933" s="673"/>
      <c r="X1933" s="673"/>
      <c r="Y1933" s="673"/>
      <c r="Z1933" s="673"/>
      <c r="AA1933" s="673"/>
      <c r="AB1933" s="673"/>
      <c r="AC1933" s="673"/>
      <c r="AD1933" s="673"/>
      <c r="AE1933" s="673"/>
      <c r="AF1933" s="673"/>
      <c r="AG1933" s="673"/>
      <c r="AH1933" s="673"/>
    </row>
    <row r="1934">
      <c r="A1934" s="653"/>
      <c r="B1934" s="654"/>
      <c r="C1934" s="691"/>
      <c r="D1934" s="661"/>
      <c r="E1934" s="705"/>
      <c r="F1934" s="659"/>
      <c r="G1934" s="661"/>
      <c r="H1934" s="660"/>
      <c r="I1934" s="691"/>
      <c r="J1934" s="661"/>
      <c r="K1934" s="706"/>
      <c r="L1934" s="665"/>
      <c r="M1934" s="663"/>
      <c r="N1934" s="665"/>
      <c r="O1934" s="665"/>
      <c r="P1934" s="665"/>
      <c r="Q1934" s="665"/>
      <c r="R1934" s="665"/>
      <c r="S1934" s="665"/>
      <c r="T1934" s="673"/>
      <c r="U1934" s="673"/>
      <c r="V1934" s="673"/>
      <c r="W1934" s="673"/>
      <c r="X1934" s="673"/>
      <c r="Y1934" s="673"/>
      <c r="Z1934" s="673"/>
      <c r="AA1934" s="673"/>
      <c r="AB1934" s="673"/>
      <c r="AC1934" s="673"/>
      <c r="AD1934" s="673"/>
      <c r="AE1934" s="673"/>
      <c r="AF1934" s="673"/>
      <c r="AG1934" s="673"/>
      <c r="AH1934" s="673"/>
    </row>
    <row r="1935">
      <c r="A1935" s="653"/>
      <c r="B1935" s="654"/>
      <c r="C1935" s="691"/>
      <c r="D1935" s="661"/>
      <c r="E1935" s="705"/>
      <c r="F1935" s="659"/>
      <c r="G1935" s="661"/>
      <c r="H1935" s="660"/>
      <c r="I1935" s="691"/>
      <c r="J1935" s="661"/>
      <c r="K1935" s="706"/>
      <c r="L1935" s="665"/>
      <c r="M1935" s="663"/>
      <c r="N1935" s="665"/>
      <c r="O1935" s="665"/>
      <c r="P1935" s="665"/>
      <c r="Q1935" s="665"/>
      <c r="R1935" s="665"/>
      <c r="S1935" s="665"/>
      <c r="T1935" s="673"/>
      <c r="U1935" s="673"/>
      <c r="V1935" s="673"/>
      <c r="W1935" s="673"/>
      <c r="X1935" s="673"/>
      <c r="Y1935" s="673"/>
      <c r="Z1935" s="673"/>
      <c r="AA1935" s="673"/>
      <c r="AB1935" s="673"/>
      <c r="AC1935" s="673"/>
      <c r="AD1935" s="673"/>
      <c r="AE1935" s="673"/>
      <c r="AF1935" s="673"/>
      <c r="AG1935" s="673"/>
      <c r="AH1935" s="673"/>
    </row>
    <row r="1936">
      <c r="A1936" s="653"/>
      <c r="B1936" s="654"/>
      <c r="C1936" s="691"/>
      <c r="D1936" s="661"/>
      <c r="E1936" s="705"/>
      <c r="F1936" s="659"/>
      <c r="G1936" s="661"/>
      <c r="H1936" s="660"/>
      <c r="I1936" s="691"/>
      <c r="J1936" s="661"/>
      <c r="K1936" s="706"/>
      <c r="L1936" s="665"/>
      <c r="M1936" s="663"/>
      <c r="N1936" s="665"/>
      <c r="O1936" s="665"/>
      <c r="P1936" s="665"/>
      <c r="Q1936" s="665"/>
      <c r="R1936" s="665"/>
      <c r="S1936" s="665"/>
      <c r="T1936" s="673"/>
      <c r="U1936" s="673"/>
      <c r="V1936" s="673"/>
      <c r="W1936" s="673"/>
      <c r="X1936" s="673"/>
      <c r="Y1936" s="673"/>
      <c r="Z1936" s="673"/>
      <c r="AA1936" s="673"/>
      <c r="AB1936" s="673"/>
      <c r="AC1936" s="673"/>
      <c r="AD1936" s="673"/>
      <c r="AE1936" s="673"/>
      <c r="AF1936" s="673"/>
      <c r="AG1936" s="673"/>
      <c r="AH1936" s="673"/>
    </row>
    <row r="1937">
      <c r="A1937" s="653"/>
      <c r="B1937" s="654"/>
      <c r="C1937" s="691"/>
      <c r="D1937" s="661"/>
      <c r="E1937" s="705"/>
      <c r="F1937" s="659"/>
      <c r="G1937" s="661"/>
      <c r="H1937" s="660"/>
      <c r="I1937" s="691"/>
      <c r="J1937" s="661"/>
      <c r="K1937" s="706"/>
      <c r="L1937" s="665"/>
      <c r="M1937" s="663"/>
      <c r="N1937" s="665"/>
      <c r="O1937" s="665"/>
      <c r="P1937" s="665"/>
      <c r="Q1937" s="665"/>
      <c r="R1937" s="665"/>
      <c r="S1937" s="665"/>
      <c r="T1937" s="673"/>
      <c r="U1937" s="673"/>
      <c r="V1937" s="673"/>
      <c r="W1937" s="673"/>
      <c r="X1937" s="673"/>
      <c r="Y1937" s="673"/>
      <c r="Z1937" s="673"/>
      <c r="AA1937" s="673"/>
      <c r="AB1937" s="673"/>
      <c r="AC1937" s="673"/>
      <c r="AD1937" s="673"/>
      <c r="AE1937" s="673"/>
      <c r="AF1937" s="673"/>
      <c r="AG1937" s="673"/>
      <c r="AH1937" s="673"/>
    </row>
    <row r="1938">
      <c r="A1938" s="653"/>
      <c r="B1938" s="654"/>
      <c r="C1938" s="691"/>
      <c r="D1938" s="661"/>
      <c r="E1938" s="705"/>
      <c r="F1938" s="659"/>
      <c r="G1938" s="661"/>
      <c r="H1938" s="660"/>
      <c r="I1938" s="691"/>
      <c r="J1938" s="661"/>
      <c r="K1938" s="706"/>
      <c r="L1938" s="665"/>
      <c r="M1938" s="663"/>
      <c r="N1938" s="665"/>
      <c r="O1938" s="665"/>
      <c r="P1938" s="665"/>
      <c r="Q1938" s="665"/>
      <c r="R1938" s="665"/>
      <c r="S1938" s="665"/>
      <c r="T1938" s="673"/>
      <c r="U1938" s="673"/>
      <c r="V1938" s="673"/>
      <c r="W1938" s="673"/>
      <c r="X1938" s="673"/>
      <c r="Y1938" s="673"/>
      <c r="Z1938" s="673"/>
      <c r="AA1938" s="673"/>
      <c r="AB1938" s="673"/>
      <c r="AC1938" s="673"/>
      <c r="AD1938" s="673"/>
      <c r="AE1938" s="673"/>
      <c r="AF1938" s="673"/>
      <c r="AG1938" s="673"/>
      <c r="AH1938" s="673"/>
    </row>
    <row r="1939">
      <c r="A1939" s="653"/>
      <c r="B1939" s="654"/>
      <c r="C1939" s="691"/>
      <c r="D1939" s="661"/>
      <c r="E1939" s="705"/>
      <c r="F1939" s="659"/>
      <c r="G1939" s="661"/>
      <c r="H1939" s="660"/>
      <c r="I1939" s="691"/>
      <c r="J1939" s="661"/>
      <c r="K1939" s="706"/>
      <c r="L1939" s="665"/>
      <c r="M1939" s="663"/>
      <c r="N1939" s="665"/>
      <c r="O1939" s="665"/>
      <c r="P1939" s="665"/>
      <c r="Q1939" s="665"/>
      <c r="R1939" s="665"/>
      <c r="S1939" s="665"/>
      <c r="T1939" s="673"/>
      <c r="U1939" s="673"/>
      <c r="V1939" s="673"/>
      <c r="W1939" s="673"/>
      <c r="X1939" s="673"/>
      <c r="Y1939" s="673"/>
      <c r="Z1939" s="673"/>
      <c r="AA1939" s="673"/>
      <c r="AB1939" s="673"/>
      <c r="AC1939" s="673"/>
      <c r="AD1939" s="673"/>
      <c r="AE1939" s="673"/>
      <c r="AF1939" s="673"/>
      <c r="AG1939" s="673"/>
      <c r="AH1939" s="673"/>
    </row>
    <row r="1940">
      <c r="A1940" s="653"/>
      <c r="B1940" s="654"/>
      <c r="C1940" s="691"/>
      <c r="D1940" s="661"/>
      <c r="E1940" s="705"/>
      <c r="F1940" s="659"/>
      <c r="G1940" s="661"/>
      <c r="H1940" s="660"/>
      <c r="I1940" s="691"/>
      <c r="J1940" s="661"/>
      <c r="K1940" s="706"/>
      <c r="L1940" s="665"/>
      <c r="M1940" s="663"/>
      <c r="N1940" s="665"/>
      <c r="O1940" s="665"/>
      <c r="P1940" s="665"/>
      <c r="Q1940" s="665"/>
      <c r="R1940" s="665"/>
      <c r="S1940" s="665"/>
      <c r="T1940" s="673"/>
      <c r="U1940" s="673"/>
      <c r="V1940" s="673"/>
      <c r="W1940" s="673"/>
      <c r="X1940" s="673"/>
      <c r="Y1940" s="673"/>
      <c r="Z1940" s="673"/>
      <c r="AA1940" s="673"/>
      <c r="AB1940" s="673"/>
      <c r="AC1940" s="673"/>
      <c r="AD1940" s="673"/>
      <c r="AE1940" s="673"/>
      <c r="AF1940" s="673"/>
      <c r="AG1940" s="673"/>
      <c r="AH1940" s="673"/>
    </row>
    <row r="1941">
      <c r="A1941" s="653"/>
      <c r="B1941" s="654"/>
      <c r="C1941" s="691"/>
      <c r="D1941" s="661"/>
      <c r="E1941" s="705"/>
      <c r="F1941" s="659"/>
      <c r="G1941" s="661"/>
      <c r="H1941" s="660"/>
      <c r="I1941" s="691"/>
      <c r="J1941" s="661"/>
      <c r="K1941" s="706"/>
      <c r="L1941" s="665"/>
      <c r="M1941" s="663"/>
      <c r="N1941" s="665"/>
      <c r="O1941" s="665"/>
      <c r="P1941" s="665"/>
      <c r="Q1941" s="665"/>
      <c r="R1941" s="665"/>
      <c r="S1941" s="665"/>
      <c r="T1941" s="673"/>
      <c r="U1941" s="673"/>
      <c r="V1941" s="673"/>
      <c r="W1941" s="673"/>
      <c r="X1941" s="673"/>
      <c r="Y1941" s="673"/>
      <c r="Z1941" s="673"/>
      <c r="AA1941" s="673"/>
      <c r="AB1941" s="673"/>
      <c r="AC1941" s="673"/>
      <c r="AD1941" s="673"/>
      <c r="AE1941" s="673"/>
      <c r="AF1941" s="673"/>
      <c r="AG1941" s="673"/>
      <c r="AH1941" s="673"/>
    </row>
    <row r="1942">
      <c r="A1942" s="653"/>
      <c r="B1942" s="654"/>
      <c r="C1942" s="691"/>
      <c r="D1942" s="661"/>
      <c r="E1942" s="705"/>
      <c r="F1942" s="659"/>
      <c r="G1942" s="661"/>
      <c r="H1942" s="660"/>
      <c r="I1942" s="691"/>
      <c r="J1942" s="661"/>
      <c r="K1942" s="706"/>
      <c r="L1942" s="665"/>
      <c r="M1942" s="663"/>
      <c r="N1942" s="665"/>
      <c r="O1942" s="665"/>
      <c r="P1942" s="665"/>
      <c r="Q1942" s="665"/>
      <c r="R1942" s="665"/>
      <c r="S1942" s="665"/>
      <c r="T1942" s="673"/>
      <c r="U1942" s="673"/>
      <c r="V1942" s="673"/>
      <c r="W1942" s="673"/>
      <c r="X1942" s="673"/>
      <c r="Y1942" s="673"/>
      <c r="Z1942" s="673"/>
      <c r="AA1942" s="673"/>
      <c r="AB1942" s="673"/>
      <c r="AC1942" s="673"/>
      <c r="AD1942" s="673"/>
      <c r="AE1942" s="673"/>
      <c r="AF1942" s="673"/>
      <c r="AG1942" s="673"/>
      <c r="AH1942" s="673"/>
    </row>
    <row r="1943">
      <c r="A1943" s="653"/>
      <c r="B1943" s="654"/>
      <c r="C1943" s="691"/>
      <c r="D1943" s="661"/>
      <c r="E1943" s="705"/>
      <c r="F1943" s="659"/>
      <c r="G1943" s="661"/>
      <c r="H1943" s="660"/>
      <c r="I1943" s="691"/>
      <c r="J1943" s="661"/>
      <c r="K1943" s="706"/>
      <c r="L1943" s="665"/>
      <c r="M1943" s="663"/>
      <c r="N1943" s="665"/>
      <c r="O1943" s="665"/>
      <c r="P1943" s="665"/>
      <c r="Q1943" s="665"/>
      <c r="R1943" s="665"/>
      <c r="S1943" s="665"/>
      <c r="T1943" s="673"/>
      <c r="U1943" s="673"/>
      <c r="V1943" s="673"/>
      <c r="W1943" s="673"/>
      <c r="X1943" s="673"/>
      <c r="Y1943" s="673"/>
      <c r="Z1943" s="673"/>
      <c r="AA1943" s="673"/>
      <c r="AB1943" s="673"/>
      <c r="AC1943" s="673"/>
      <c r="AD1943" s="673"/>
      <c r="AE1943" s="673"/>
      <c r="AF1943" s="673"/>
      <c r="AG1943" s="673"/>
      <c r="AH1943" s="673"/>
    </row>
    <row r="1944">
      <c r="A1944" s="653"/>
      <c r="B1944" s="654"/>
      <c r="C1944" s="691"/>
      <c r="D1944" s="661"/>
      <c r="E1944" s="705"/>
      <c r="F1944" s="659"/>
      <c r="G1944" s="661"/>
      <c r="H1944" s="660"/>
      <c r="I1944" s="691"/>
      <c r="J1944" s="661"/>
      <c r="K1944" s="706"/>
      <c r="L1944" s="665"/>
      <c r="M1944" s="663"/>
      <c r="N1944" s="665"/>
      <c r="O1944" s="665"/>
      <c r="P1944" s="665"/>
      <c r="Q1944" s="665"/>
      <c r="R1944" s="665"/>
      <c r="S1944" s="665"/>
      <c r="T1944" s="673"/>
      <c r="U1944" s="673"/>
      <c r="V1944" s="673"/>
      <c r="W1944" s="673"/>
      <c r="X1944" s="673"/>
      <c r="Y1944" s="673"/>
      <c r="Z1944" s="673"/>
      <c r="AA1944" s="673"/>
      <c r="AB1944" s="673"/>
      <c r="AC1944" s="673"/>
      <c r="AD1944" s="673"/>
      <c r="AE1944" s="673"/>
      <c r="AF1944" s="673"/>
      <c r="AG1944" s="673"/>
      <c r="AH1944" s="673"/>
    </row>
    <row r="1945">
      <c r="A1945" s="653"/>
      <c r="B1945" s="654"/>
      <c r="C1945" s="691"/>
      <c r="D1945" s="661"/>
      <c r="E1945" s="705"/>
      <c r="F1945" s="659"/>
      <c r="G1945" s="661"/>
      <c r="H1945" s="660"/>
      <c r="I1945" s="691"/>
      <c r="J1945" s="661"/>
      <c r="K1945" s="706"/>
      <c r="L1945" s="665"/>
      <c r="M1945" s="663"/>
      <c r="N1945" s="665"/>
      <c r="O1945" s="665"/>
      <c r="P1945" s="665"/>
      <c r="Q1945" s="665"/>
      <c r="R1945" s="665"/>
      <c r="S1945" s="665"/>
      <c r="T1945" s="673"/>
      <c r="U1945" s="673"/>
      <c r="V1945" s="673"/>
      <c r="W1945" s="673"/>
      <c r="X1945" s="673"/>
      <c r="Y1945" s="673"/>
      <c r="Z1945" s="673"/>
      <c r="AA1945" s="673"/>
      <c r="AB1945" s="673"/>
      <c r="AC1945" s="673"/>
      <c r="AD1945" s="673"/>
      <c r="AE1945" s="673"/>
      <c r="AF1945" s="673"/>
      <c r="AG1945" s="673"/>
      <c r="AH1945" s="673"/>
    </row>
    <row r="1946">
      <c r="A1946" s="653"/>
      <c r="B1946" s="654"/>
      <c r="C1946" s="691"/>
      <c r="D1946" s="661"/>
      <c r="E1946" s="705"/>
      <c r="F1946" s="659"/>
      <c r="G1946" s="661"/>
      <c r="H1946" s="660"/>
      <c r="I1946" s="691"/>
      <c r="J1946" s="661"/>
      <c r="K1946" s="706"/>
      <c r="L1946" s="665"/>
      <c r="M1946" s="663"/>
      <c r="N1946" s="665"/>
      <c r="O1946" s="665"/>
      <c r="P1946" s="665"/>
      <c r="Q1946" s="665"/>
      <c r="R1946" s="665"/>
      <c r="S1946" s="665"/>
      <c r="T1946" s="673"/>
      <c r="U1946" s="673"/>
      <c r="V1946" s="673"/>
      <c r="W1946" s="673"/>
      <c r="X1946" s="673"/>
      <c r="Y1946" s="673"/>
      <c r="Z1946" s="673"/>
      <c r="AA1946" s="673"/>
      <c r="AB1946" s="673"/>
      <c r="AC1946" s="673"/>
      <c r="AD1946" s="673"/>
      <c r="AE1946" s="673"/>
      <c r="AF1946" s="673"/>
      <c r="AG1946" s="673"/>
      <c r="AH1946" s="673"/>
    </row>
    <row r="1947">
      <c r="A1947" s="653"/>
      <c r="B1947" s="654"/>
      <c r="C1947" s="691"/>
      <c r="D1947" s="661"/>
      <c r="E1947" s="705"/>
      <c r="F1947" s="659"/>
      <c r="G1947" s="661"/>
      <c r="H1947" s="660"/>
      <c r="I1947" s="691"/>
      <c r="J1947" s="661"/>
      <c r="K1947" s="706"/>
      <c r="L1947" s="665"/>
      <c r="M1947" s="663"/>
      <c r="N1947" s="665"/>
      <c r="O1947" s="665"/>
      <c r="P1947" s="665"/>
      <c r="Q1947" s="665"/>
      <c r="R1947" s="665"/>
      <c r="S1947" s="665"/>
      <c r="T1947" s="673"/>
      <c r="U1947" s="673"/>
      <c r="V1947" s="673"/>
      <c r="W1947" s="673"/>
      <c r="X1947" s="673"/>
      <c r="Y1947" s="673"/>
      <c r="Z1947" s="673"/>
      <c r="AA1947" s="673"/>
      <c r="AB1947" s="673"/>
      <c r="AC1947" s="673"/>
      <c r="AD1947" s="673"/>
      <c r="AE1947" s="673"/>
      <c r="AF1947" s="673"/>
      <c r="AG1947" s="673"/>
      <c r="AH1947" s="673"/>
    </row>
    <row r="1948">
      <c r="A1948" s="653"/>
      <c r="B1948" s="654"/>
      <c r="C1948" s="691"/>
      <c r="D1948" s="661"/>
      <c r="E1948" s="705"/>
      <c r="F1948" s="659"/>
      <c r="G1948" s="661"/>
      <c r="H1948" s="660"/>
      <c r="I1948" s="691"/>
      <c r="J1948" s="661"/>
      <c r="K1948" s="706"/>
      <c r="L1948" s="665"/>
      <c r="M1948" s="663"/>
      <c r="N1948" s="665"/>
      <c r="O1948" s="665"/>
      <c r="P1948" s="665"/>
      <c r="Q1948" s="665"/>
      <c r="R1948" s="665"/>
      <c r="S1948" s="665"/>
      <c r="T1948" s="673"/>
      <c r="U1948" s="673"/>
      <c r="V1948" s="673"/>
      <c r="W1948" s="673"/>
      <c r="X1948" s="673"/>
      <c r="Y1948" s="673"/>
      <c r="Z1948" s="673"/>
      <c r="AA1948" s="673"/>
      <c r="AB1948" s="673"/>
      <c r="AC1948" s="673"/>
      <c r="AD1948" s="673"/>
      <c r="AE1948" s="673"/>
      <c r="AF1948" s="673"/>
      <c r="AG1948" s="673"/>
      <c r="AH1948" s="673"/>
    </row>
    <row r="1949">
      <c r="A1949" s="653"/>
      <c r="B1949" s="654"/>
      <c r="C1949" s="691"/>
      <c r="D1949" s="661"/>
      <c r="E1949" s="705"/>
      <c r="F1949" s="659"/>
      <c r="G1949" s="661"/>
      <c r="H1949" s="660"/>
      <c r="I1949" s="691"/>
      <c r="J1949" s="661"/>
      <c r="K1949" s="706"/>
      <c r="L1949" s="665"/>
      <c r="M1949" s="663"/>
      <c r="N1949" s="665"/>
      <c r="O1949" s="665"/>
      <c r="P1949" s="665"/>
      <c r="Q1949" s="665"/>
      <c r="R1949" s="665"/>
      <c r="S1949" s="665"/>
      <c r="T1949" s="673"/>
      <c r="U1949" s="673"/>
      <c r="V1949" s="673"/>
      <c r="W1949" s="673"/>
      <c r="X1949" s="673"/>
      <c r="Y1949" s="673"/>
      <c r="Z1949" s="673"/>
      <c r="AA1949" s="673"/>
      <c r="AB1949" s="673"/>
      <c r="AC1949" s="673"/>
      <c r="AD1949" s="673"/>
      <c r="AE1949" s="673"/>
      <c r="AF1949" s="673"/>
      <c r="AG1949" s="673"/>
      <c r="AH1949" s="673"/>
    </row>
    <row r="1950">
      <c r="A1950" s="653"/>
      <c r="B1950" s="654"/>
      <c r="C1950" s="691"/>
      <c r="D1950" s="661"/>
      <c r="E1950" s="705"/>
      <c r="F1950" s="659"/>
      <c r="G1950" s="661"/>
      <c r="H1950" s="660"/>
      <c r="I1950" s="691"/>
      <c r="J1950" s="661"/>
      <c r="K1950" s="706"/>
      <c r="L1950" s="665"/>
      <c r="M1950" s="663"/>
      <c r="N1950" s="665"/>
      <c r="O1950" s="665"/>
      <c r="P1950" s="665"/>
      <c r="Q1950" s="665"/>
      <c r="R1950" s="665"/>
      <c r="S1950" s="665"/>
      <c r="T1950" s="673"/>
      <c r="U1950" s="673"/>
      <c r="V1950" s="673"/>
      <c r="W1950" s="673"/>
      <c r="X1950" s="673"/>
      <c r="Y1950" s="673"/>
      <c r="Z1950" s="673"/>
      <c r="AA1950" s="673"/>
      <c r="AB1950" s="673"/>
      <c r="AC1950" s="673"/>
      <c r="AD1950" s="673"/>
      <c r="AE1950" s="673"/>
      <c r="AF1950" s="673"/>
      <c r="AG1950" s="673"/>
      <c r="AH1950" s="673"/>
    </row>
    <row r="1951">
      <c r="A1951" s="653"/>
      <c r="B1951" s="654"/>
      <c r="C1951" s="691"/>
      <c r="D1951" s="661"/>
      <c r="E1951" s="705"/>
      <c r="F1951" s="659"/>
      <c r="G1951" s="661"/>
      <c r="H1951" s="660"/>
      <c r="I1951" s="691"/>
      <c r="J1951" s="661"/>
      <c r="K1951" s="706"/>
      <c r="L1951" s="665"/>
      <c r="M1951" s="663"/>
      <c r="N1951" s="665"/>
      <c r="O1951" s="665"/>
      <c r="P1951" s="665"/>
      <c r="Q1951" s="665"/>
      <c r="R1951" s="665"/>
      <c r="S1951" s="665"/>
      <c r="T1951" s="673"/>
      <c r="U1951" s="673"/>
      <c r="V1951" s="673"/>
      <c r="W1951" s="673"/>
      <c r="X1951" s="673"/>
      <c r="Y1951" s="673"/>
      <c r="Z1951" s="673"/>
      <c r="AA1951" s="673"/>
      <c r="AB1951" s="673"/>
      <c r="AC1951" s="673"/>
      <c r="AD1951" s="673"/>
      <c r="AE1951" s="673"/>
      <c r="AF1951" s="673"/>
      <c r="AG1951" s="673"/>
      <c r="AH1951" s="673"/>
    </row>
    <row r="1952">
      <c r="A1952" s="653"/>
      <c r="B1952" s="654"/>
      <c r="C1952" s="691"/>
      <c r="D1952" s="661"/>
      <c r="E1952" s="705"/>
      <c r="F1952" s="659"/>
      <c r="G1952" s="661"/>
      <c r="H1952" s="660"/>
      <c r="I1952" s="691"/>
      <c r="J1952" s="661"/>
      <c r="K1952" s="706"/>
      <c r="L1952" s="665"/>
      <c r="M1952" s="663"/>
      <c r="N1952" s="665"/>
      <c r="O1952" s="665"/>
      <c r="P1952" s="665"/>
      <c r="Q1952" s="665"/>
      <c r="R1952" s="665"/>
      <c r="S1952" s="665"/>
      <c r="T1952" s="673"/>
      <c r="U1952" s="673"/>
      <c r="V1952" s="673"/>
      <c r="W1952" s="673"/>
      <c r="X1952" s="673"/>
      <c r="Y1952" s="673"/>
      <c r="Z1952" s="673"/>
      <c r="AA1952" s="673"/>
      <c r="AB1952" s="673"/>
      <c r="AC1952" s="673"/>
      <c r="AD1952" s="673"/>
      <c r="AE1952" s="673"/>
      <c r="AF1952" s="673"/>
      <c r="AG1952" s="673"/>
      <c r="AH1952" s="673"/>
    </row>
    <row r="1953">
      <c r="A1953" s="653"/>
      <c r="B1953" s="654"/>
      <c r="C1953" s="691"/>
      <c r="D1953" s="661"/>
      <c r="E1953" s="705"/>
      <c r="F1953" s="659"/>
      <c r="G1953" s="661"/>
      <c r="H1953" s="660"/>
      <c r="I1953" s="691"/>
      <c r="J1953" s="661"/>
      <c r="K1953" s="706"/>
      <c r="L1953" s="665"/>
      <c r="M1953" s="663"/>
      <c r="N1953" s="665"/>
      <c r="O1953" s="665"/>
      <c r="P1953" s="665"/>
      <c r="Q1953" s="665"/>
      <c r="R1953" s="665"/>
      <c r="S1953" s="665"/>
      <c r="T1953" s="673"/>
      <c r="U1953" s="673"/>
      <c r="V1953" s="673"/>
      <c r="W1953" s="673"/>
      <c r="X1953" s="673"/>
      <c r="Y1953" s="673"/>
      <c r="Z1953" s="673"/>
      <c r="AA1953" s="673"/>
      <c r="AB1953" s="673"/>
      <c r="AC1953" s="673"/>
      <c r="AD1953" s="673"/>
      <c r="AE1953" s="673"/>
      <c r="AF1953" s="673"/>
      <c r="AG1953" s="673"/>
      <c r="AH1953" s="673"/>
    </row>
    <row r="1954">
      <c r="A1954" s="653"/>
      <c r="B1954" s="654"/>
      <c r="C1954" s="691"/>
      <c r="D1954" s="661"/>
      <c r="E1954" s="705"/>
      <c r="F1954" s="659"/>
      <c r="G1954" s="661"/>
      <c r="H1954" s="660"/>
      <c r="I1954" s="691"/>
      <c r="J1954" s="661"/>
      <c r="K1954" s="706"/>
      <c r="L1954" s="665"/>
      <c r="M1954" s="663"/>
      <c r="N1954" s="665"/>
      <c r="O1954" s="665"/>
      <c r="P1954" s="665"/>
      <c r="Q1954" s="665"/>
      <c r="R1954" s="665"/>
      <c r="S1954" s="665"/>
      <c r="T1954" s="673"/>
      <c r="U1954" s="673"/>
      <c r="V1954" s="673"/>
      <c r="W1954" s="673"/>
      <c r="X1954" s="673"/>
      <c r="Y1954" s="673"/>
      <c r="Z1954" s="673"/>
      <c r="AA1954" s="673"/>
      <c r="AB1954" s="673"/>
      <c r="AC1954" s="673"/>
      <c r="AD1954" s="673"/>
      <c r="AE1954" s="673"/>
      <c r="AF1954" s="673"/>
      <c r="AG1954" s="673"/>
      <c r="AH1954" s="673"/>
    </row>
    <row r="1955">
      <c r="A1955" s="653"/>
      <c r="B1955" s="654"/>
      <c r="C1955" s="691"/>
      <c r="D1955" s="661"/>
      <c r="E1955" s="705"/>
      <c r="F1955" s="659"/>
      <c r="G1955" s="661"/>
      <c r="H1955" s="660"/>
      <c r="I1955" s="691"/>
      <c r="J1955" s="661"/>
      <c r="K1955" s="706"/>
      <c r="L1955" s="665"/>
      <c r="M1955" s="663"/>
      <c r="N1955" s="665"/>
      <c r="O1955" s="665"/>
      <c r="P1955" s="665"/>
      <c r="Q1955" s="665"/>
      <c r="R1955" s="665"/>
      <c r="S1955" s="665"/>
      <c r="T1955" s="673"/>
      <c r="U1955" s="673"/>
      <c r="V1955" s="673"/>
      <c r="W1955" s="673"/>
      <c r="X1955" s="673"/>
      <c r="Y1955" s="673"/>
      <c r="Z1955" s="673"/>
      <c r="AA1955" s="673"/>
      <c r="AB1955" s="673"/>
      <c r="AC1955" s="673"/>
      <c r="AD1955" s="673"/>
      <c r="AE1955" s="673"/>
      <c r="AF1955" s="673"/>
      <c r="AG1955" s="673"/>
      <c r="AH1955" s="673"/>
    </row>
    <row r="1956">
      <c r="A1956" s="653"/>
      <c r="B1956" s="654"/>
      <c r="C1956" s="691"/>
      <c r="D1956" s="661"/>
      <c r="E1956" s="705"/>
      <c r="F1956" s="659"/>
      <c r="G1956" s="661"/>
      <c r="H1956" s="660"/>
      <c r="I1956" s="691"/>
      <c r="J1956" s="661"/>
      <c r="K1956" s="706"/>
      <c r="L1956" s="665"/>
      <c r="M1956" s="663"/>
      <c r="N1956" s="665"/>
      <c r="O1956" s="665"/>
      <c r="P1956" s="665"/>
      <c r="Q1956" s="665"/>
      <c r="R1956" s="665"/>
      <c r="S1956" s="665"/>
      <c r="T1956" s="673"/>
      <c r="U1956" s="673"/>
      <c r="V1956" s="673"/>
      <c r="W1956" s="673"/>
      <c r="X1956" s="673"/>
      <c r="Y1956" s="673"/>
      <c r="Z1956" s="673"/>
      <c r="AA1956" s="673"/>
      <c r="AB1956" s="673"/>
      <c r="AC1956" s="673"/>
      <c r="AD1956" s="673"/>
      <c r="AE1956" s="673"/>
      <c r="AF1956" s="673"/>
      <c r="AG1956" s="673"/>
      <c r="AH1956" s="673"/>
    </row>
    <row r="1957">
      <c r="A1957" s="653"/>
      <c r="B1957" s="654"/>
      <c r="C1957" s="691"/>
      <c r="D1957" s="661"/>
      <c r="E1957" s="705"/>
      <c r="F1957" s="659"/>
      <c r="G1957" s="661"/>
      <c r="H1957" s="660"/>
      <c r="I1957" s="691"/>
      <c r="J1957" s="661"/>
      <c r="K1957" s="706"/>
      <c r="L1957" s="665"/>
      <c r="M1957" s="663"/>
      <c r="N1957" s="665"/>
      <c r="O1957" s="665"/>
      <c r="P1957" s="665"/>
      <c r="Q1957" s="665"/>
      <c r="R1957" s="665"/>
      <c r="S1957" s="665"/>
      <c r="T1957" s="673"/>
      <c r="U1957" s="673"/>
      <c r="V1957" s="673"/>
      <c r="W1957" s="673"/>
      <c r="X1957" s="673"/>
      <c r="Y1957" s="673"/>
      <c r="Z1957" s="673"/>
      <c r="AA1957" s="673"/>
      <c r="AB1957" s="673"/>
      <c r="AC1957" s="673"/>
      <c r="AD1957" s="673"/>
      <c r="AE1957" s="673"/>
      <c r="AF1957" s="673"/>
      <c r="AG1957" s="673"/>
      <c r="AH1957" s="673"/>
    </row>
    <row r="1958">
      <c r="A1958" s="653"/>
      <c r="B1958" s="654"/>
      <c r="C1958" s="691"/>
      <c r="D1958" s="661"/>
      <c r="E1958" s="705"/>
      <c r="F1958" s="659"/>
      <c r="G1958" s="661"/>
      <c r="H1958" s="660"/>
      <c r="I1958" s="691"/>
      <c r="J1958" s="661"/>
      <c r="K1958" s="706"/>
      <c r="L1958" s="665"/>
      <c r="M1958" s="663"/>
      <c r="N1958" s="665"/>
      <c r="O1958" s="665"/>
      <c r="P1958" s="665"/>
      <c r="Q1958" s="665"/>
      <c r="R1958" s="665"/>
      <c r="S1958" s="665"/>
      <c r="T1958" s="673"/>
      <c r="U1958" s="673"/>
      <c r="V1958" s="673"/>
      <c r="W1958" s="673"/>
      <c r="X1958" s="673"/>
      <c r="Y1958" s="673"/>
      <c r="Z1958" s="673"/>
      <c r="AA1958" s="673"/>
      <c r="AB1958" s="673"/>
      <c r="AC1958" s="673"/>
      <c r="AD1958" s="673"/>
      <c r="AE1958" s="673"/>
      <c r="AF1958" s="673"/>
      <c r="AG1958" s="673"/>
      <c r="AH1958" s="673"/>
    </row>
    <row r="1959">
      <c r="A1959" s="653"/>
      <c r="B1959" s="654"/>
      <c r="C1959" s="691"/>
      <c r="D1959" s="661"/>
      <c r="E1959" s="705"/>
      <c r="F1959" s="659"/>
      <c r="G1959" s="661"/>
      <c r="H1959" s="660"/>
      <c r="I1959" s="691"/>
      <c r="J1959" s="661"/>
      <c r="K1959" s="706"/>
      <c r="L1959" s="665"/>
      <c r="M1959" s="663"/>
      <c r="N1959" s="665"/>
      <c r="O1959" s="665"/>
      <c r="P1959" s="665"/>
      <c r="Q1959" s="665"/>
      <c r="R1959" s="665"/>
      <c r="S1959" s="665"/>
      <c r="T1959" s="673"/>
      <c r="U1959" s="673"/>
      <c r="V1959" s="673"/>
      <c r="W1959" s="673"/>
      <c r="X1959" s="673"/>
      <c r="Y1959" s="673"/>
      <c r="Z1959" s="673"/>
      <c r="AA1959" s="673"/>
      <c r="AB1959" s="673"/>
      <c r="AC1959" s="673"/>
      <c r="AD1959" s="673"/>
      <c r="AE1959" s="673"/>
      <c r="AF1959" s="673"/>
      <c r="AG1959" s="673"/>
      <c r="AH1959" s="673"/>
    </row>
    <row r="1960">
      <c r="A1960" s="653"/>
      <c r="B1960" s="654"/>
      <c r="C1960" s="691"/>
      <c r="D1960" s="661"/>
      <c r="E1960" s="705"/>
      <c r="F1960" s="659"/>
      <c r="G1960" s="661"/>
      <c r="H1960" s="660"/>
      <c r="I1960" s="691"/>
      <c r="J1960" s="661"/>
      <c r="K1960" s="706"/>
      <c r="L1960" s="665"/>
      <c r="M1960" s="663"/>
      <c r="N1960" s="665"/>
      <c r="O1960" s="665"/>
      <c r="P1960" s="665"/>
      <c r="Q1960" s="665"/>
      <c r="R1960" s="665"/>
      <c r="S1960" s="665"/>
      <c r="T1960" s="673"/>
      <c r="U1960" s="673"/>
      <c r="V1960" s="673"/>
      <c r="W1960" s="673"/>
      <c r="X1960" s="673"/>
      <c r="Y1960" s="673"/>
      <c r="Z1960" s="673"/>
      <c r="AA1960" s="673"/>
      <c r="AB1960" s="673"/>
      <c r="AC1960" s="673"/>
      <c r="AD1960" s="673"/>
      <c r="AE1960" s="673"/>
      <c r="AF1960" s="673"/>
      <c r="AG1960" s="673"/>
      <c r="AH1960" s="673"/>
    </row>
    <row r="1961">
      <c r="A1961" s="653"/>
      <c r="B1961" s="654"/>
      <c r="C1961" s="691"/>
      <c r="D1961" s="661"/>
      <c r="E1961" s="705"/>
      <c r="F1961" s="659"/>
      <c r="G1961" s="661"/>
      <c r="H1961" s="660"/>
      <c r="I1961" s="691"/>
      <c r="J1961" s="661"/>
      <c r="K1961" s="706"/>
      <c r="L1961" s="665"/>
      <c r="M1961" s="663"/>
      <c r="N1961" s="665"/>
      <c r="O1961" s="665"/>
      <c r="P1961" s="665"/>
      <c r="Q1961" s="665"/>
      <c r="R1961" s="665"/>
      <c r="S1961" s="665"/>
      <c r="T1961" s="673"/>
      <c r="U1961" s="673"/>
      <c r="V1961" s="673"/>
      <c r="W1961" s="673"/>
      <c r="X1961" s="673"/>
      <c r="Y1961" s="673"/>
      <c r="Z1961" s="673"/>
      <c r="AA1961" s="673"/>
      <c r="AB1961" s="673"/>
      <c r="AC1961" s="673"/>
      <c r="AD1961" s="673"/>
      <c r="AE1961" s="673"/>
      <c r="AF1961" s="673"/>
      <c r="AG1961" s="673"/>
      <c r="AH1961" s="673"/>
    </row>
    <row r="1962">
      <c r="A1962" s="653"/>
      <c r="B1962" s="654"/>
      <c r="C1962" s="691"/>
      <c r="D1962" s="661"/>
      <c r="E1962" s="705"/>
      <c r="F1962" s="659"/>
      <c r="G1962" s="661"/>
      <c r="H1962" s="660"/>
      <c r="I1962" s="691"/>
      <c r="J1962" s="661"/>
      <c r="K1962" s="706"/>
      <c r="L1962" s="665"/>
      <c r="M1962" s="663"/>
      <c r="N1962" s="665"/>
      <c r="O1962" s="665"/>
      <c r="P1962" s="665"/>
      <c r="Q1962" s="665"/>
      <c r="R1962" s="665"/>
      <c r="S1962" s="665"/>
      <c r="T1962" s="673"/>
      <c r="U1962" s="673"/>
      <c r="V1962" s="673"/>
      <c r="W1962" s="673"/>
      <c r="X1962" s="673"/>
      <c r="Y1962" s="673"/>
      <c r="Z1962" s="673"/>
      <c r="AA1962" s="673"/>
      <c r="AB1962" s="673"/>
      <c r="AC1962" s="673"/>
      <c r="AD1962" s="673"/>
      <c r="AE1962" s="673"/>
      <c r="AF1962" s="673"/>
      <c r="AG1962" s="673"/>
      <c r="AH1962" s="673"/>
    </row>
    <row r="1963">
      <c r="A1963" s="653"/>
      <c r="B1963" s="654"/>
      <c r="C1963" s="691"/>
      <c r="D1963" s="661"/>
      <c r="E1963" s="705"/>
      <c r="F1963" s="659"/>
      <c r="G1963" s="661"/>
      <c r="H1963" s="660"/>
      <c r="I1963" s="691"/>
      <c r="J1963" s="661"/>
      <c r="K1963" s="706"/>
      <c r="L1963" s="665"/>
      <c r="M1963" s="663"/>
      <c r="N1963" s="665"/>
      <c r="O1963" s="665"/>
      <c r="P1963" s="665"/>
      <c r="Q1963" s="665"/>
      <c r="R1963" s="665"/>
      <c r="S1963" s="665"/>
      <c r="T1963" s="673"/>
      <c r="U1963" s="673"/>
      <c r="V1963" s="673"/>
      <c r="W1963" s="673"/>
      <c r="X1963" s="673"/>
      <c r="Y1963" s="673"/>
      <c r="Z1963" s="673"/>
      <c r="AA1963" s="673"/>
      <c r="AB1963" s="673"/>
      <c r="AC1963" s="673"/>
      <c r="AD1963" s="673"/>
      <c r="AE1963" s="673"/>
      <c r="AF1963" s="673"/>
      <c r="AG1963" s="673"/>
      <c r="AH1963" s="673"/>
    </row>
    <row r="1964">
      <c r="A1964" s="653"/>
      <c r="B1964" s="654"/>
      <c r="C1964" s="691"/>
      <c r="D1964" s="661"/>
      <c r="E1964" s="705"/>
      <c r="F1964" s="659"/>
      <c r="G1964" s="661"/>
      <c r="H1964" s="660"/>
      <c r="I1964" s="691"/>
      <c r="J1964" s="661"/>
      <c r="K1964" s="706"/>
      <c r="L1964" s="665"/>
      <c r="M1964" s="663"/>
      <c r="N1964" s="665"/>
      <c r="O1964" s="665"/>
      <c r="P1964" s="665"/>
      <c r="Q1964" s="665"/>
      <c r="R1964" s="665"/>
      <c r="S1964" s="665"/>
      <c r="T1964" s="673"/>
      <c r="U1964" s="673"/>
      <c r="V1964" s="673"/>
      <c r="W1964" s="673"/>
      <c r="X1964" s="673"/>
      <c r="Y1964" s="673"/>
      <c r="Z1964" s="673"/>
      <c r="AA1964" s="673"/>
      <c r="AB1964" s="673"/>
      <c r="AC1964" s="673"/>
      <c r="AD1964" s="673"/>
      <c r="AE1964" s="673"/>
      <c r="AF1964" s="673"/>
      <c r="AG1964" s="673"/>
      <c r="AH1964" s="673"/>
    </row>
    <row r="1965">
      <c r="A1965" s="653"/>
      <c r="B1965" s="654"/>
      <c r="C1965" s="691"/>
      <c r="D1965" s="661"/>
      <c r="E1965" s="705"/>
      <c r="F1965" s="659"/>
      <c r="G1965" s="661"/>
      <c r="H1965" s="660"/>
      <c r="I1965" s="691"/>
      <c r="J1965" s="661"/>
      <c r="K1965" s="706"/>
      <c r="L1965" s="665"/>
      <c r="M1965" s="663"/>
      <c r="N1965" s="665"/>
      <c r="O1965" s="665"/>
      <c r="P1965" s="665"/>
      <c r="Q1965" s="665"/>
      <c r="R1965" s="665"/>
      <c r="S1965" s="665"/>
      <c r="T1965" s="673"/>
      <c r="U1965" s="673"/>
      <c r="V1965" s="673"/>
      <c r="W1965" s="673"/>
      <c r="X1965" s="673"/>
      <c r="Y1965" s="673"/>
      <c r="Z1965" s="673"/>
      <c r="AA1965" s="673"/>
      <c r="AB1965" s="673"/>
      <c r="AC1965" s="673"/>
      <c r="AD1965" s="673"/>
      <c r="AE1965" s="673"/>
      <c r="AF1965" s="673"/>
      <c r="AG1965" s="673"/>
      <c r="AH1965" s="673"/>
    </row>
    <row r="1966">
      <c r="A1966" s="653"/>
      <c r="B1966" s="654"/>
      <c r="C1966" s="691"/>
      <c r="D1966" s="661"/>
      <c r="E1966" s="705"/>
      <c r="F1966" s="659"/>
      <c r="G1966" s="661"/>
      <c r="H1966" s="660"/>
      <c r="I1966" s="691"/>
      <c r="J1966" s="661"/>
      <c r="K1966" s="706"/>
      <c r="L1966" s="665"/>
      <c r="M1966" s="663"/>
      <c r="N1966" s="665"/>
      <c r="O1966" s="665"/>
      <c r="P1966" s="665"/>
      <c r="Q1966" s="665"/>
      <c r="R1966" s="665"/>
      <c r="S1966" s="665"/>
      <c r="T1966" s="673"/>
      <c r="U1966" s="673"/>
      <c r="V1966" s="673"/>
      <c r="W1966" s="673"/>
      <c r="X1966" s="673"/>
      <c r="Y1966" s="673"/>
      <c r="Z1966" s="673"/>
      <c r="AA1966" s="673"/>
      <c r="AB1966" s="673"/>
      <c r="AC1966" s="673"/>
      <c r="AD1966" s="673"/>
      <c r="AE1966" s="673"/>
      <c r="AF1966" s="673"/>
      <c r="AG1966" s="673"/>
      <c r="AH1966" s="673"/>
    </row>
    <row r="1967">
      <c r="A1967" s="653"/>
      <c r="B1967" s="654"/>
      <c r="C1967" s="691"/>
      <c r="D1967" s="661"/>
      <c r="E1967" s="705"/>
      <c r="F1967" s="659"/>
      <c r="G1967" s="661"/>
      <c r="H1967" s="660"/>
      <c r="I1967" s="691"/>
      <c r="J1967" s="661"/>
      <c r="K1967" s="706"/>
      <c r="L1967" s="665"/>
      <c r="M1967" s="663"/>
      <c r="N1967" s="665"/>
      <c r="O1967" s="665"/>
      <c r="P1967" s="665"/>
      <c r="Q1967" s="665"/>
      <c r="R1967" s="665"/>
      <c r="S1967" s="665"/>
      <c r="T1967" s="673"/>
      <c r="U1967" s="673"/>
      <c r="V1967" s="673"/>
      <c r="W1967" s="673"/>
      <c r="X1967" s="673"/>
      <c r="Y1967" s="673"/>
      <c r="Z1967" s="673"/>
      <c r="AA1967" s="673"/>
      <c r="AB1967" s="673"/>
      <c r="AC1967" s="673"/>
      <c r="AD1967" s="673"/>
      <c r="AE1967" s="673"/>
      <c r="AF1967" s="673"/>
      <c r="AG1967" s="673"/>
      <c r="AH1967" s="673"/>
    </row>
    <row r="1968">
      <c r="A1968" s="653"/>
      <c r="B1968" s="654"/>
      <c r="C1968" s="691"/>
      <c r="D1968" s="661"/>
      <c r="E1968" s="705"/>
      <c r="F1968" s="659"/>
      <c r="G1968" s="661"/>
      <c r="H1968" s="660"/>
      <c r="I1968" s="691"/>
      <c r="J1968" s="661"/>
      <c r="K1968" s="706"/>
      <c r="L1968" s="665"/>
      <c r="M1968" s="663"/>
      <c r="N1968" s="665"/>
      <c r="O1968" s="665"/>
      <c r="P1968" s="665"/>
      <c r="Q1968" s="665"/>
      <c r="R1968" s="665"/>
      <c r="S1968" s="665"/>
      <c r="T1968" s="673"/>
      <c r="U1968" s="673"/>
      <c r="V1968" s="673"/>
      <c r="W1968" s="673"/>
      <c r="X1968" s="673"/>
      <c r="Y1968" s="673"/>
      <c r="Z1968" s="673"/>
      <c r="AA1968" s="673"/>
      <c r="AB1968" s="673"/>
      <c r="AC1968" s="673"/>
      <c r="AD1968" s="673"/>
      <c r="AE1968" s="673"/>
      <c r="AF1968" s="673"/>
      <c r="AG1968" s="673"/>
      <c r="AH1968" s="673"/>
    </row>
    <row r="1969">
      <c r="A1969" s="653"/>
      <c r="B1969" s="654"/>
      <c r="C1969" s="691"/>
      <c r="D1969" s="661"/>
      <c r="E1969" s="705"/>
      <c r="F1969" s="659"/>
      <c r="G1969" s="661"/>
      <c r="H1969" s="660"/>
      <c r="I1969" s="691"/>
      <c r="J1969" s="661"/>
      <c r="K1969" s="706"/>
      <c r="L1969" s="665"/>
      <c r="M1969" s="663"/>
      <c r="N1969" s="665"/>
      <c r="O1969" s="665"/>
      <c r="P1969" s="665"/>
      <c r="Q1969" s="665"/>
      <c r="R1969" s="665"/>
      <c r="S1969" s="665"/>
      <c r="T1969" s="673"/>
      <c r="U1969" s="673"/>
      <c r="V1969" s="673"/>
      <c r="W1969" s="673"/>
      <c r="X1969" s="673"/>
      <c r="Y1969" s="673"/>
      <c r="Z1969" s="673"/>
      <c r="AA1969" s="673"/>
      <c r="AB1969" s="673"/>
      <c r="AC1969" s="673"/>
      <c r="AD1969" s="673"/>
      <c r="AE1969" s="673"/>
      <c r="AF1969" s="673"/>
      <c r="AG1969" s="673"/>
      <c r="AH1969" s="673"/>
    </row>
    <row r="1970">
      <c r="A1970" s="653"/>
      <c r="B1970" s="654"/>
      <c r="C1970" s="691"/>
      <c r="D1970" s="661"/>
      <c r="E1970" s="705"/>
      <c r="F1970" s="659"/>
      <c r="G1970" s="661"/>
      <c r="H1970" s="660"/>
      <c r="I1970" s="691"/>
      <c r="J1970" s="661"/>
      <c r="K1970" s="706"/>
      <c r="L1970" s="665"/>
      <c r="M1970" s="663"/>
      <c r="N1970" s="665"/>
      <c r="O1970" s="665"/>
      <c r="P1970" s="665"/>
      <c r="Q1970" s="665"/>
      <c r="R1970" s="665"/>
      <c r="S1970" s="665"/>
      <c r="T1970" s="673"/>
      <c r="U1970" s="673"/>
      <c r="V1970" s="673"/>
      <c r="W1970" s="673"/>
      <c r="X1970" s="673"/>
      <c r="Y1970" s="673"/>
      <c r="Z1970" s="673"/>
      <c r="AA1970" s="673"/>
      <c r="AB1970" s="673"/>
      <c r="AC1970" s="673"/>
      <c r="AD1970" s="673"/>
      <c r="AE1970" s="673"/>
      <c r="AF1970" s="673"/>
      <c r="AG1970" s="673"/>
      <c r="AH1970" s="673"/>
    </row>
    <row r="1971">
      <c r="A1971" s="653"/>
      <c r="B1971" s="654"/>
      <c r="C1971" s="691"/>
      <c r="D1971" s="661"/>
      <c r="E1971" s="705"/>
      <c r="F1971" s="659"/>
      <c r="G1971" s="661"/>
      <c r="H1971" s="660"/>
      <c r="I1971" s="691"/>
      <c r="J1971" s="661"/>
      <c r="K1971" s="706"/>
      <c r="L1971" s="665"/>
      <c r="M1971" s="663"/>
      <c r="N1971" s="665"/>
      <c r="O1971" s="665"/>
      <c r="P1971" s="665"/>
      <c r="Q1971" s="665"/>
      <c r="R1971" s="665"/>
      <c r="S1971" s="665"/>
      <c r="T1971" s="673"/>
      <c r="U1971" s="673"/>
      <c r="V1971" s="673"/>
      <c r="W1971" s="673"/>
      <c r="X1971" s="673"/>
      <c r="Y1971" s="673"/>
      <c r="Z1971" s="673"/>
      <c r="AA1971" s="673"/>
      <c r="AB1971" s="673"/>
      <c r="AC1971" s="673"/>
      <c r="AD1971" s="673"/>
      <c r="AE1971" s="673"/>
      <c r="AF1971" s="673"/>
      <c r="AG1971" s="673"/>
      <c r="AH1971" s="673"/>
    </row>
    <row r="1972">
      <c r="A1972" s="653"/>
      <c r="B1972" s="654"/>
      <c r="C1972" s="691"/>
      <c r="D1972" s="661"/>
      <c r="E1972" s="705"/>
      <c r="F1972" s="659"/>
      <c r="G1972" s="661"/>
      <c r="H1972" s="660"/>
      <c r="I1972" s="691"/>
      <c r="J1972" s="661"/>
      <c r="K1972" s="706"/>
      <c r="L1972" s="665"/>
      <c r="M1972" s="663"/>
      <c r="N1972" s="665"/>
      <c r="O1972" s="665"/>
      <c r="P1972" s="665"/>
      <c r="Q1972" s="665"/>
      <c r="R1972" s="665"/>
      <c r="S1972" s="665"/>
      <c r="T1972" s="673"/>
      <c r="U1972" s="673"/>
      <c r="V1972" s="673"/>
      <c r="W1972" s="673"/>
      <c r="X1972" s="673"/>
      <c r="Y1972" s="673"/>
      <c r="Z1972" s="673"/>
      <c r="AA1972" s="673"/>
      <c r="AB1972" s="673"/>
      <c r="AC1972" s="673"/>
      <c r="AD1972" s="673"/>
      <c r="AE1972" s="673"/>
      <c r="AF1972" s="673"/>
      <c r="AG1972" s="673"/>
      <c r="AH1972" s="673"/>
    </row>
    <row r="1973">
      <c r="A1973" s="653"/>
      <c r="B1973" s="654"/>
      <c r="C1973" s="691"/>
      <c r="D1973" s="661"/>
      <c r="E1973" s="705"/>
      <c r="F1973" s="659"/>
      <c r="G1973" s="661"/>
      <c r="H1973" s="660"/>
      <c r="I1973" s="691"/>
      <c r="J1973" s="661"/>
      <c r="K1973" s="706"/>
      <c r="L1973" s="665"/>
      <c r="M1973" s="663"/>
      <c r="N1973" s="665"/>
      <c r="O1973" s="665"/>
      <c r="P1973" s="665"/>
      <c r="Q1973" s="665"/>
      <c r="R1973" s="665"/>
      <c r="S1973" s="665"/>
      <c r="T1973" s="673"/>
      <c r="U1973" s="673"/>
      <c r="V1973" s="673"/>
      <c r="W1973" s="673"/>
      <c r="X1973" s="673"/>
      <c r="Y1973" s="673"/>
      <c r="Z1973" s="673"/>
      <c r="AA1973" s="673"/>
      <c r="AB1973" s="673"/>
      <c r="AC1973" s="673"/>
      <c r="AD1973" s="673"/>
      <c r="AE1973" s="673"/>
      <c r="AF1973" s="673"/>
      <c r="AG1973" s="673"/>
      <c r="AH1973" s="673"/>
    </row>
    <row r="1974">
      <c r="A1974" s="653"/>
      <c r="B1974" s="654"/>
      <c r="C1974" s="691"/>
      <c r="D1974" s="661"/>
      <c r="E1974" s="705"/>
      <c r="F1974" s="659"/>
      <c r="G1974" s="661"/>
      <c r="H1974" s="660"/>
      <c r="I1974" s="691"/>
      <c r="J1974" s="661"/>
      <c r="K1974" s="706"/>
      <c r="L1974" s="665"/>
      <c r="M1974" s="663"/>
      <c r="N1974" s="665"/>
      <c r="O1974" s="665"/>
      <c r="P1974" s="665"/>
      <c r="Q1974" s="665"/>
      <c r="R1974" s="665"/>
      <c r="S1974" s="665"/>
      <c r="T1974" s="673"/>
      <c r="U1974" s="673"/>
      <c r="V1974" s="673"/>
      <c r="W1974" s="673"/>
      <c r="X1974" s="673"/>
      <c r="Y1974" s="673"/>
      <c r="Z1974" s="673"/>
      <c r="AA1974" s="673"/>
      <c r="AB1974" s="673"/>
      <c r="AC1974" s="673"/>
      <c r="AD1974" s="673"/>
      <c r="AE1974" s="673"/>
      <c r="AF1974" s="673"/>
      <c r="AG1974" s="673"/>
      <c r="AH1974" s="673"/>
    </row>
    <row r="1975">
      <c r="A1975" s="653"/>
      <c r="B1975" s="654"/>
      <c r="C1975" s="691"/>
      <c r="D1975" s="661"/>
      <c r="E1975" s="705"/>
      <c r="F1975" s="659"/>
      <c r="G1975" s="661"/>
      <c r="H1975" s="660"/>
      <c r="I1975" s="691"/>
      <c r="J1975" s="661"/>
      <c r="K1975" s="706"/>
      <c r="L1975" s="665"/>
      <c r="M1975" s="663"/>
      <c r="N1975" s="665"/>
      <c r="O1975" s="665"/>
      <c r="P1975" s="665"/>
      <c r="Q1975" s="665"/>
      <c r="R1975" s="665"/>
      <c r="S1975" s="665"/>
      <c r="T1975" s="673"/>
      <c r="U1975" s="673"/>
      <c r="V1975" s="673"/>
      <c r="W1975" s="673"/>
      <c r="X1975" s="673"/>
      <c r="Y1975" s="673"/>
      <c r="Z1975" s="673"/>
      <c r="AA1975" s="673"/>
      <c r="AB1975" s="673"/>
      <c r="AC1975" s="673"/>
      <c r="AD1975" s="673"/>
      <c r="AE1975" s="673"/>
      <c r="AF1975" s="673"/>
      <c r="AG1975" s="673"/>
      <c r="AH1975" s="673"/>
    </row>
    <row r="1976">
      <c r="A1976" s="653"/>
      <c r="B1976" s="654"/>
      <c r="C1976" s="691"/>
      <c r="D1976" s="661"/>
      <c r="E1976" s="705"/>
      <c r="F1976" s="659"/>
      <c r="G1976" s="661"/>
      <c r="H1976" s="660"/>
      <c r="I1976" s="691"/>
      <c r="J1976" s="661"/>
      <c r="K1976" s="706"/>
      <c r="L1976" s="665"/>
      <c r="M1976" s="663"/>
      <c r="N1976" s="665"/>
      <c r="O1976" s="665"/>
      <c r="P1976" s="665"/>
      <c r="Q1976" s="665"/>
      <c r="R1976" s="665"/>
      <c r="S1976" s="665"/>
      <c r="T1976" s="673"/>
      <c r="U1976" s="673"/>
      <c r="V1976" s="673"/>
      <c r="W1976" s="673"/>
      <c r="X1976" s="673"/>
      <c r="Y1976" s="673"/>
      <c r="Z1976" s="673"/>
      <c r="AA1976" s="673"/>
      <c r="AB1976" s="673"/>
      <c r="AC1976" s="673"/>
      <c r="AD1976" s="673"/>
      <c r="AE1976" s="673"/>
      <c r="AF1976" s="673"/>
      <c r="AG1976" s="673"/>
      <c r="AH1976" s="673"/>
    </row>
    <row r="1977">
      <c r="A1977" s="653"/>
      <c r="B1977" s="654"/>
      <c r="C1977" s="691"/>
      <c r="D1977" s="661"/>
      <c r="E1977" s="705"/>
      <c r="F1977" s="659"/>
      <c r="G1977" s="661"/>
      <c r="H1977" s="660"/>
      <c r="I1977" s="691"/>
      <c r="J1977" s="661"/>
      <c r="K1977" s="706"/>
      <c r="L1977" s="665"/>
      <c r="M1977" s="663"/>
      <c r="N1977" s="665"/>
      <c r="O1977" s="665"/>
      <c r="P1977" s="665"/>
      <c r="Q1977" s="665"/>
      <c r="R1977" s="665"/>
      <c r="S1977" s="665"/>
      <c r="T1977" s="673"/>
      <c r="U1977" s="673"/>
      <c r="V1977" s="673"/>
      <c r="W1977" s="673"/>
      <c r="X1977" s="673"/>
      <c r="Y1977" s="673"/>
      <c r="Z1977" s="673"/>
      <c r="AA1977" s="673"/>
      <c r="AB1977" s="673"/>
      <c r="AC1977" s="673"/>
      <c r="AD1977" s="673"/>
      <c r="AE1977" s="673"/>
      <c r="AF1977" s="673"/>
      <c r="AG1977" s="673"/>
      <c r="AH1977" s="673"/>
    </row>
    <row r="1978">
      <c r="A1978" s="653"/>
      <c r="B1978" s="654"/>
      <c r="C1978" s="691"/>
      <c r="D1978" s="661"/>
      <c r="E1978" s="705"/>
      <c r="F1978" s="659"/>
      <c r="G1978" s="661"/>
      <c r="H1978" s="660"/>
      <c r="I1978" s="691"/>
      <c r="J1978" s="661"/>
      <c r="K1978" s="706"/>
      <c r="L1978" s="665"/>
      <c r="M1978" s="663"/>
      <c r="N1978" s="665"/>
      <c r="O1978" s="665"/>
      <c r="P1978" s="665"/>
      <c r="Q1978" s="665"/>
      <c r="R1978" s="665"/>
      <c r="S1978" s="665"/>
      <c r="T1978" s="673"/>
      <c r="U1978" s="673"/>
      <c r="V1978" s="673"/>
      <c r="W1978" s="673"/>
      <c r="X1978" s="673"/>
      <c r="Y1978" s="673"/>
      <c r="Z1978" s="673"/>
      <c r="AA1978" s="673"/>
      <c r="AB1978" s="673"/>
      <c r="AC1978" s="673"/>
      <c r="AD1978" s="673"/>
      <c r="AE1978" s="673"/>
      <c r="AF1978" s="673"/>
      <c r="AG1978" s="673"/>
      <c r="AH1978" s="673"/>
    </row>
    <row r="1979">
      <c r="A1979" s="653"/>
      <c r="B1979" s="654"/>
      <c r="C1979" s="691"/>
      <c r="D1979" s="661"/>
      <c r="E1979" s="705"/>
      <c r="F1979" s="659"/>
      <c r="G1979" s="661"/>
      <c r="H1979" s="660"/>
      <c r="I1979" s="691"/>
      <c r="J1979" s="661"/>
      <c r="K1979" s="706"/>
      <c r="L1979" s="665"/>
      <c r="M1979" s="663"/>
      <c r="N1979" s="665"/>
      <c r="O1979" s="665"/>
      <c r="P1979" s="665"/>
      <c r="Q1979" s="665"/>
      <c r="R1979" s="665"/>
      <c r="S1979" s="665"/>
      <c r="T1979" s="673"/>
      <c r="U1979" s="673"/>
      <c r="V1979" s="673"/>
      <c r="W1979" s="673"/>
      <c r="X1979" s="673"/>
      <c r="Y1979" s="673"/>
      <c r="Z1979" s="673"/>
      <c r="AA1979" s="673"/>
      <c r="AB1979" s="673"/>
      <c r="AC1979" s="673"/>
      <c r="AD1979" s="673"/>
      <c r="AE1979" s="673"/>
      <c r="AF1979" s="673"/>
      <c r="AG1979" s="673"/>
      <c r="AH1979" s="673"/>
    </row>
    <row r="1980">
      <c r="A1980" s="653"/>
      <c r="B1980" s="654"/>
      <c r="C1980" s="691"/>
      <c r="D1980" s="661"/>
      <c r="E1980" s="705"/>
      <c r="F1980" s="659"/>
      <c r="G1980" s="661"/>
      <c r="H1980" s="660"/>
      <c r="I1980" s="691"/>
      <c r="J1980" s="661"/>
      <c r="K1980" s="706"/>
      <c r="L1980" s="665"/>
      <c r="M1980" s="663"/>
      <c r="N1980" s="665"/>
      <c r="O1980" s="665"/>
      <c r="P1980" s="665"/>
      <c r="Q1980" s="665"/>
      <c r="R1980" s="665"/>
      <c r="S1980" s="665"/>
      <c r="T1980" s="673"/>
      <c r="U1980" s="673"/>
      <c r="V1980" s="673"/>
      <c r="W1980" s="673"/>
      <c r="X1980" s="673"/>
      <c r="Y1980" s="673"/>
      <c r="Z1980" s="673"/>
      <c r="AA1980" s="673"/>
      <c r="AB1980" s="673"/>
      <c r="AC1980" s="673"/>
      <c r="AD1980" s="673"/>
      <c r="AE1980" s="673"/>
      <c r="AF1980" s="673"/>
      <c r="AG1980" s="673"/>
      <c r="AH1980" s="673"/>
    </row>
    <row r="1981">
      <c r="A1981" s="653"/>
      <c r="B1981" s="654"/>
      <c r="C1981" s="691"/>
      <c r="D1981" s="661"/>
      <c r="E1981" s="705"/>
      <c r="F1981" s="659"/>
      <c r="G1981" s="661"/>
      <c r="H1981" s="660"/>
      <c r="I1981" s="691"/>
      <c r="J1981" s="661"/>
      <c r="K1981" s="706"/>
      <c r="L1981" s="665"/>
      <c r="M1981" s="663"/>
      <c r="N1981" s="665"/>
      <c r="O1981" s="665"/>
      <c r="P1981" s="665"/>
      <c r="Q1981" s="665"/>
      <c r="R1981" s="665"/>
      <c r="S1981" s="665"/>
      <c r="T1981" s="673"/>
      <c r="U1981" s="673"/>
      <c r="V1981" s="673"/>
      <c r="W1981" s="673"/>
      <c r="X1981" s="673"/>
      <c r="Y1981" s="673"/>
      <c r="Z1981" s="673"/>
      <c r="AA1981" s="673"/>
      <c r="AB1981" s="673"/>
      <c r="AC1981" s="673"/>
      <c r="AD1981" s="673"/>
      <c r="AE1981" s="673"/>
      <c r="AF1981" s="673"/>
      <c r="AG1981" s="673"/>
      <c r="AH1981" s="673"/>
    </row>
    <row r="1982">
      <c r="A1982" s="653"/>
      <c r="B1982" s="654"/>
      <c r="C1982" s="691"/>
      <c r="D1982" s="661"/>
      <c r="E1982" s="705"/>
      <c r="F1982" s="659"/>
      <c r="G1982" s="661"/>
      <c r="H1982" s="660"/>
      <c r="I1982" s="691"/>
      <c r="J1982" s="661"/>
      <c r="K1982" s="706"/>
      <c r="L1982" s="665"/>
      <c r="M1982" s="663"/>
      <c r="N1982" s="665"/>
      <c r="O1982" s="665"/>
      <c r="P1982" s="665"/>
      <c r="Q1982" s="665"/>
      <c r="R1982" s="665"/>
      <c r="S1982" s="665"/>
      <c r="T1982" s="673"/>
      <c r="U1982" s="673"/>
      <c r="V1982" s="673"/>
      <c r="W1982" s="673"/>
      <c r="X1982" s="673"/>
      <c r="Y1982" s="673"/>
      <c r="Z1982" s="673"/>
      <c r="AA1982" s="673"/>
      <c r="AB1982" s="673"/>
      <c r="AC1982" s="673"/>
      <c r="AD1982" s="673"/>
      <c r="AE1982" s="673"/>
      <c r="AF1982" s="673"/>
      <c r="AG1982" s="673"/>
      <c r="AH1982" s="673"/>
    </row>
    <row r="1983">
      <c r="A1983" s="653"/>
      <c r="B1983" s="654"/>
      <c r="C1983" s="691"/>
      <c r="D1983" s="661"/>
      <c r="E1983" s="705"/>
      <c r="F1983" s="659"/>
      <c r="G1983" s="661"/>
      <c r="H1983" s="660"/>
      <c r="I1983" s="691"/>
      <c r="J1983" s="661"/>
      <c r="K1983" s="706"/>
      <c r="L1983" s="665"/>
      <c r="M1983" s="663"/>
      <c r="N1983" s="665"/>
      <c r="O1983" s="665"/>
      <c r="P1983" s="665"/>
      <c r="Q1983" s="665"/>
      <c r="R1983" s="665"/>
      <c r="S1983" s="665"/>
      <c r="T1983" s="673"/>
      <c r="U1983" s="673"/>
      <c r="V1983" s="673"/>
      <c r="W1983" s="673"/>
      <c r="X1983" s="673"/>
      <c r="Y1983" s="673"/>
      <c r="Z1983" s="673"/>
      <c r="AA1983" s="673"/>
      <c r="AB1983" s="673"/>
      <c r="AC1983" s="673"/>
      <c r="AD1983" s="673"/>
      <c r="AE1983" s="673"/>
      <c r="AF1983" s="673"/>
      <c r="AG1983" s="673"/>
      <c r="AH1983" s="673"/>
    </row>
    <row r="1984">
      <c r="A1984" s="653"/>
      <c r="B1984" s="654"/>
      <c r="C1984" s="691"/>
      <c r="D1984" s="661"/>
      <c r="E1984" s="705"/>
      <c r="F1984" s="659"/>
      <c r="G1984" s="661"/>
      <c r="H1984" s="660"/>
      <c r="I1984" s="691"/>
      <c r="J1984" s="661"/>
      <c r="K1984" s="706"/>
      <c r="L1984" s="665"/>
      <c r="M1984" s="663"/>
      <c r="N1984" s="665"/>
      <c r="O1984" s="665"/>
      <c r="P1984" s="665"/>
      <c r="Q1984" s="665"/>
      <c r="R1984" s="665"/>
      <c r="S1984" s="665"/>
      <c r="T1984" s="673"/>
      <c r="U1984" s="673"/>
      <c r="V1984" s="673"/>
      <c r="W1984" s="673"/>
      <c r="X1984" s="673"/>
      <c r="Y1984" s="673"/>
      <c r="Z1984" s="673"/>
      <c r="AA1984" s="673"/>
      <c r="AB1984" s="673"/>
      <c r="AC1984" s="673"/>
      <c r="AD1984" s="673"/>
      <c r="AE1984" s="673"/>
      <c r="AF1984" s="673"/>
      <c r="AG1984" s="673"/>
      <c r="AH1984" s="673"/>
    </row>
    <row r="1985">
      <c r="A1985" s="653"/>
      <c r="B1985" s="654"/>
      <c r="C1985" s="691"/>
      <c r="D1985" s="661"/>
      <c r="E1985" s="705"/>
      <c r="F1985" s="659"/>
      <c r="G1985" s="661"/>
      <c r="H1985" s="660"/>
      <c r="I1985" s="691"/>
      <c r="J1985" s="661"/>
      <c r="K1985" s="706"/>
      <c r="L1985" s="665"/>
      <c r="M1985" s="663"/>
      <c r="N1985" s="665"/>
      <c r="O1985" s="665"/>
      <c r="P1985" s="665"/>
      <c r="Q1985" s="665"/>
      <c r="R1985" s="665"/>
      <c r="S1985" s="665"/>
      <c r="T1985" s="673"/>
      <c r="U1985" s="673"/>
      <c r="V1985" s="673"/>
      <c r="W1985" s="673"/>
      <c r="X1985" s="673"/>
      <c r="Y1985" s="673"/>
      <c r="Z1985" s="673"/>
      <c r="AA1985" s="673"/>
      <c r="AB1985" s="673"/>
      <c r="AC1985" s="673"/>
      <c r="AD1985" s="673"/>
      <c r="AE1985" s="673"/>
      <c r="AF1985" s="673"/>
      <c r="AG1985" s="673"/>
      <c r="AH1985" s="673"/>
    </row>
    <row r="1986">
      <c r="A1986" s="653"/>
      <c r="B1986" s="654"/>
      <c r="C1986" s="691"/>
      <c r="D1986" s="661"/>
      <c r="E1986" s="705"/>
      <c r="F1986" s="659"/>
      <c r="G1986" s="661"/>
      <c r="H1986" s="660"/>
      <c r="I1986" s="691"/>
      <c r="J1986" s="661"/>
      <c r="K1986" s="706"/>
      <c r="L1986" s="665"/>
      <c r="M1986" s="663"/>
      <c r="N1986" s="665"/>
      <c r="O1986" s="665"/>
      <c r="P1986" s="665"/>
      <c r="Q1986" s="665"/>
      <c r="R1986" s="665"/>
      <c r="S1986" s="665"/>
      <c r="T1986" s="673"/>
      <c r="U1986" s="673"/>
      <c r="V1986" s="673"/>
      <c r="W1986" s="673"/>
      <c r="X1986" s="673"/>
      <c r="Y1986" s="673"/>
      <c r="Z1986" s="673"/>
      <c r="AA1986" s="673"/>
      <c r="AB1986" s="673"/>
      <c r="AC1986" s="673"/>
      <c r="AD1986" s="673"/>
      <c r="AE1986" s="673"/>
      <c r="AF1986" s="673"/>
      <c r="AG1986" s="673"/>
      <c r="AH1986" s="673"/>
    </row>
    <row r="1987">
      <c r="A1987" s="653"/>
      <c r="B1987" s="654"/>
      <c r="C1987" s="691"/>
      <c r="D1987" s="661"/>
      <c r="E1987" s="705"/>
      <c r="F1987" s="659"/>
      <c r="G1987" s="661"/>
      <c r="H1987" s="660"/>
      <c r="I1987" s="691"/>
      <c r="J1987" s="661"/>
      <c r="K1987" s="706"/>
      <c r="L1987" s="665"/>
      <c r="M1987" s="663"/>
      <c r="N1987" s="665"/>
      <c r="O1987" s="665"/>
      <c r="P1987" s="665"/>
      <c r="Q1987" s="665"/>
      <c r="R1987" s="665"/>
      <c r="S1987" s="665"/>
      <c r="T1987" s="673"/>
      <c r="U1987" s="673"/>
      <c r="V1987" s="673"/>
      <c r="W1987" s="673"/>
      <c r="X1987" s="673"/>
      <c r="Y1987" s="673"/>
      <c r="Z1987" s="673"/>
      <c r="AA1987" s="673"/>
      <c r="AB1987" s="673"/>
      <c r="AC1987" s="673"/>
      <c r="AD1987" s="673"/>
      <c r="AE1987" s="673"/>
      <c r="AF1987" s="673"/>
      <c r="AG1987" s="673"/>
      <c r="AH1987" s="673"/>
    </row>
    <row r="1988">
      <c r="A1988" s="653"/>
      <c r="B1988" s="654"/>
      <c r="C1988" s="691"/>
      <c r="D1988" s="661"/>
      <c r="E1988" s="705"/>
      <c r="F1988" s="659"/>
      <c r="G1988" s="661"/>
      <c r="H1988" s="660"/>
      <c r="I1988" s="691"/>
      <c r="J1988" s="661"/>
      <c r="K1988" s="706"/>
      <c r="L1988" s="665"/>
      <c r="M1988" s="663"/>
      <c r="N1988" s="665"/>
      <c r="O1988" s="665"/>
      <c r="P1988" s="665"/>
      <c r="Q1988" s="665"/>
      <c r="R1988" s="665"/>
      <c r="S1988" s="665"/>
      <c r="T1988" s="673"/>
      <c r="U1988" s="673"/>
      <c r="V1988" s="673"/>
      <c r="W1988" s="673"/>
      <c r="X1988" s="673"/>
      <c r="Y1988" s="673"/>
      <c r="Z1988" s="673"/>
      <c r="AA1988" s="673"/>
      <c r="AB1988" s="673"/>
      <c r="AC1988" s="673"/>
      <c r="AD1988" s="673"/>
      <c r="AE1988" s="673"/>
      <c r="AF1988" s="673"/>
      <c r="AG1988" s="673"/>
      <c r="AH1988" s="673"/>
    </row>
    <row r="1989">
      <c r="A1989" s="653"/>
      <c r="B1989" s="654"/>
      <c r="C1989" s="691"/>
      <c r="D1989" s="661"/>
      <c r="E1989" s="705"/>
      <c r="F1989" s="659"/>
      <c r="G1989" s="661"/>
      <c r="H1989" s="660"/>
      <c r="I1989" s="691"/>
      <c r="J1989" s="661"/>
      <c r="K1989" s="706"/>
      <c r="L1989" s="665"/>
      <c r="M1989" s="663"/>
      <c r="N1989" s="665"/>
      <c r="O1989" s="665"/>
      <c r="P1989" s="665"/>
      <c r="Q1989" s="665"/>
      <c r="R1989" s="665"/>
      <c r="S1989" s="665"/>
      <c r="T1989" s="673"/>
      <c r="U1989" s="673"/>
      <c r="V1989" s="673"/>
      <c r="W1989" s="673"/>
      <c r="X1989" s="673"/>
      <c r="Y1989" s="673"/>
      <c r="Z1989" s="673"/>
      <c r="AA1989" s="673"/>
      <c r="AB1989" s="673"/>
      <c r="AC1989" s="673"/>
      <c r="AD1989" s="673"/>
      <c r="AE1989" s="673"/>
      <c r="AF1989" s="673"/>
      <c r="AG1989" s="673"/>
      <c r="AH1989" s="673"/>
    </row>
    <row r="1990">
      <c r="A1990" s="653"/>
      <c r="B1990" s="654"/>
      <c r="C1990" s="691"/>
      <c r="D1990" s="661"/>
      <c r="E1990" s="705"/>
      <c r="F1990" s="659"/>
      <c r="G1990" s="661"/>
      <c r="H1990" s="660"/>
      <c r="I1990" s="691"/>
      <c r="J1990" s="661"/>
      <c r="K1990" s="706"/>
      <c r="L1990" s="665"/>
      <c r="M1990" s="663"/>
      <c r="N1990" s="665"/>
      <c r="O1990" s="665"/>
      <c r="P1990" s="665"/>
      <c r="Q1990" s="665"/>
      <c r="R1990" s="665"/>
      <c r="S1990" s="665"/>
      <c r="T1990" s="673"/>
      <c r="U1990" s="673"/>
      <c r="V1990" s="673"/>
      <c r="W1990" s="673"/>
      <c r="X1990" s="673"/>
      <c r="Y1990" s="673"/>
      <c r="Z1990" s="673"/>
      <c r="AA1990" s="673"/>
      <c r="AB1990" s="673"/>
      <c r="AC1990" s="673"/>
      <c r="AD1990" s="673"/>
      <c r="AE1990" s="673"/>
      <c r="AF1990" s="673"/>
      <c r="AG1990" s="673"/>
      <c r="AH1990" s="673"/>
    </row>
    <row r="1991">
      <c r="A1991" s="653"/>
      <c r="B1991" s="654"/>
      <c r="C1991" s="691"/>
      <c r="D1991" s="661"/>
      <c r="E1991" s="705"/>
      <c r="F1991" s="659"/>
      <c r="G1991" s="661"/>
      <c r="H1991" s="660"/>
      <c r="I1991" s="691"/>
      <c r="J1991" s="661"/>
      <c r="K1991" s="706"/>
      <c r="L1991" s="665"/>
      <c r="M1991" s="663"/>
      <c r="N1991" s="665"/>
      <c r="O1991" s="665"/>
      <c r="P1991" s="665"/>
      <c r="Q1991" s="665"/>
      <c r="R1991" s="665"/>
      <c r="S1991" s="665"/>
      <c r="T1991" s="673"/>
      <c r="U1991" s="673"/>
      <c r="V1991" s="673"/>
      <c r="W1991" s="673"/>
      <c r="X1991" s="673"/>
      <c r="Y1991" s="673"/>
      <c r="Z1991" s="673"/>
      <c r="AA1991" s="673"/>
      <c r="AB1991" s="673"/>
      <c r="AC1991" s="673"/>
      <c r="AD1991" s="673"/>
      <c r="AE1991" s="673"/>
      <c r="AF1991" s="673"/>
      <c r="AG1991" s="673"/>
      <c r="AH1991" s="673"/>
    </row>
    <row r="1992">
      <c r="A1992" s="653"/>
      <c r="B1992" s="654"/>
      <c r="C1992" s="691"/>
      <c r="D1992" s="661"/>
      <c r="E1992" s="705"/>
      <c r="F1992" s="659"/>
      <c r="G1992" s="661"/>
      <c r="H1992" s="660"/>
      <c r="I1992" s="691"/>
      <c r="J1992" s="661"/>
      <c r="K1992" s="706"/>
      <c r="L1992" s="665"/>
      <c r="M1992" s="663"/>
      <c r="N1992" s="665"/>
      <c r="O1992" s="665"/>
      <c r="P1992" s="665"/>
      <c r="Q1992" s="665"/>
      <c r="R1992" s="665"/>
      <c r="S1992" s="665"/>
      <c r="T1992" s="673"/>
      <c r="U1992" s="673"/>
      <c r="V1992" s="673"/>
      <c r="W1992" s="673"/>
      <c r="X1992" s="673"/>
      <c r="Y1992" s="673"/>
      <c r="Z1992" s="673"/>
      <c r="AA1992" s="673"/>
      <c r="AB1992" s="673"/>
      <c r="AC1992" s="673"/>
      <c r="AD1992" s="673"/>
      <c r="AE1992" s="673"/>
      <c r="AF1992" s="673"/>
      <c r="AG1992" s="673"/>
      <c r="AH1992" s="673"/>
    </row>
    <row r="1993">
      <c r="A1993" s="653"/>
      <c r="B1993" s="654"/>
      <c r="C1993" s="691"/>
      <c r="D1993" s="661"/>
      <c r="E1993" s="705"/>
      <c r="F1993" s="659"/>
      <c r="G1993" s="661"/>
      <c r="H1993" s="660"/>
      <c r="I1993" s="691"/>
      <c r="J1993" s="661"/>
      <c r="K1993" s="706"/>
      <c r="L1993" s="665"/>
      <c r="M1993" s="663"/>
      <c r="N1993" s="665"/>
      <c r="O1993" s="665"/>
      <c r="P1993" s="665"/>
      <c r="Q1993" s="665"/>
      <c r="R1993" s="665"/>
      <c r="S1993" s="665"/>
      <c r="T1993" s="673"/>
      <c r="U1993" s="673"/>
      <c r="V1993" s="673"/>
      <c r="W1993" s="673"/>
      <c r="X1993" s="673"/>
      <c r="Y1993" s="673"/>
      <c r="Z1993" s="673"/>
      <c r="AA1993" s="673"/>
      <c r="AB1993" s="673"/>
      <c r="AC1993" s="673"/>
      <c r="AD1993" s="673"/>
      <c r="AE1993" s="673"/>
      <c r="AF1993" s="673"/>
      <c r="AG1993" s="673"/>
      <c r="AH1993" s="673"/>
    </row>
    <row r="1994">
      <c r="A1994" s="653"/>
      <c r="B1994" s="654"/>
      <c r="C1994" s="691"/>
      <c r="D1994" s="661"/>
      <c r="E1994" s="705"/>
      <c r="F1994" s="659"/>
      <c r="G1994" s="661"/>
      <c r="H1994" s="660"/>
      <c r="I1994" s="691"/>
      <c r="J1994" s="661"/>
      <c r="K1994" s="706"/>
      <c r="L1994" s="665"/>
      <c r="M1994" s="663"/>
      <c r="N1994" s="665"/>
      <c r="O1994" s="665"/>
      <c r="P1994" s="665"/>
      <c r="Q1994" s="665"/>
      <c r="R1994" s="665"/>
      <c r="S1994" s="665"/>
      <c r="T1994" s="673"/>
      <c r="U1994" s="673"/>
      <c r="V1994" s="673"/>
      <c r="W1994" s="673"/>
      <c r="X1994" s="673"/>
      <c r="Y1994" s="673"/>
      <c r="Z1994" s="673"/>
      <c r="AA1994" s="673"/>
      <c r="AB1994" s="673"/>
      <c r="AC1994" s="673"/>
      <c r="AD1994" s="673"/>
      <c r="AE1994" s="673"/>
      <c r="AF1994" s="673"/>
      <c r="AG1994" s="673"/>
      <c r="AH1994" s="673"/>
    </row>
    <row r="1995">
      <c r="A1995" s="653"/>
      <c r="B1995" s="654"/>
      <c r="C1995" s="691"/>
      <c r="D1995" s="661"/>
      <c r="E1995" s="705"/>
      <c r="F1995" s="659"/>
      <c r="G1995" s="661"/>
      <c r="H1995" s="660"/>
      <c r="I1995" s="691"/>
      <c r="J1995" s="661"/>
      <c r="K1995" s="706"/>
      <c r="L1995" s="665"/>
      <c r="M1995" s="663"/>
      <c r="N1995" s="665"/>
      <c r="O1995" s="665"/>
      <c r="P1995" s="665"/>
      <c r="Q1995" s="665"/>
      <c r="R1995" s="665"/>
      <c r="S1995" s="665"/>
      <c r="T1995" s="673"/>
      <c r="U1995" s="673"/>
      <c r="V1995" s="673"/>
      <c r="W1995" s="673"/>
      <c r="X1995" s="673"/>
      <c r="Y1995" s="673"/>
      <c r="Z1995" s="673"/>
      <c r="AA1995" s="673"/>
      <c r="AB1995" s="673"/>
      <c r="AC1995" s="673"/>
      <c r="AD1995" s="673"/>
      <c r="AE1995" s="673"/>
      <c r="AF1995" s="673"/>
      <c r="AG1995" s="673"/>
      <c r="AH1995" s="673"/>
    </row>
    <row r="1996">
      <c r="A1996" s="653"/>
      <c r="B1996" s="654"/>
      <c r="C1996" s="691"/>
      <c r="D1996" s="661"/>
      <c r="E1996" s="705"/>
      <c r="F1996" s="659"/>
      <c r="G1996" s="661"/>
      <c r="H1996" s="660"/>
      <c r="I1996" s="691"/>
      <c r="J1996" s="661"/>
      <c r="K1996" s="706"/>
      <c r="L1996" s="665"/>
      <c r="M1996" s="663"/>
      <c r="N1996" s="665"/>
      <c r="O1996" s="665"/>
      <c r="P1996" s="665"/>
      <c r="Q1996" s="665"/>
      <c r="R1996" s="665"/>
      <c r="S1996" s="665"/>
      <c r="T1996" s="673"/>
      <c r="U1996" s="673"/>
      <c r="V1996" s="673"/>
      <c r="W1996" s="673"/>
      <c r="X1996" s="673"/>
      <c r="Y1996" s="673"/>
      <c r="Z1996" s="673"/>
      <c r="AA1996" s="673"/>
      <c r="AB1996" s="673"/>
      <c r="AC1996" s="673"/>
      <c r="AD1996" s="673"/>
      <c r="AE1996" s="673"/>
      <c r="AF1996" s="673"/>
      <c r="AG1996" s="673"/>
      <c r="AH1996" s="673"/>
    </row>
    <row r="1997">
      <c r="A1997" s="653"/>
      <c r="B1997" s="654"/>
      <c r="C1997" s="691"/>
      <c r="D1997" s="661"/>
      <c r="E1997" s="705"/>
      <c r="F1997" s="659"/>
      <c r="G1997" s="661"/>
      <c r="H1997" s="660"/>
      <c r="I1997" s="691"/>
      <c r="J1997" s="661"/>
      <c r="K1997" s="706"/>
      <c r="L1997" s="665"/>
      <c r="M1997" s="663"/>
      <c r="N1997" s="665"/>
      <c r="O1997" s="665"/>
      <c r="P1997" s="665"/>
      <c r="Q1997" s="665"/>
      <c r="R1997" s="665"/>
      <c r="S1997" s="665"/>
      <c r="T1997" s="673"/>
      <c r="U1997" s="673"/>
      <c r="V1997" s="673"/>
      <c r="W1997" s="673"/>
      <c r="X1997" s="673"/>
      <c r="Y1997" s="673"/>
      <c r="Z1997" s="673"/>
      <c r="AA1997" s="673"/>
      <c r="AB1997" s="673"/>
      <c r="AC1997" s="673"/>
      <c r="AD1997" s="673"/>
      <c r="AE1997" s="673"/>
      <c r="AF1997" s="673"/>
      <c r="AG1997" s="673"/>
      <c r="AH1997" s="673"/>
    </row>
    <row r="1998">
      <c r="A1998" s="653"/>
      <c r="B1998" s="654"/>
      <c r="C1998" s="691"/>
      <c r="D1998" s="661"/>
      <c r="E1998" s="705"/>
      <c r="F1998" s="659"/>
      <c r="G1998" s="661"/>
      <c r="H1998" s="660"/>
      <c r="I1998" s="691"/>
      <c r="J1998" s="661"/>
      <c r="K1998" s="706"/>
      <c r="L1998" s="665"/>
      <c r="M1998" s="663"/>
      <c r="N1998" s="665"/>
      <c r="O1998" s="665"/>
      <c r="P1998" s="665"/>
      <c r="Q1998" s="665"/>
      <c r="R1998" s="665"/>
      <c r="S1998" s="665"/>
      <c r="T1998" s="673"/>
      <c r="U1998" s="673"/>
      <c r="V1998" s="673"/>
      <c r="W1998" s="673"/>
      <c r="X1998" s="673"/>
      <c r="Y1998" s="673"/>
      <c r="Z1998" s="673"/>
      <c r="AA1998" s="673"/>
      <c r="AB1998" s="673"/>
      <c r="AC1998" s="673"/>
      <c r="AD1998" s="673"/>
      <c r="AE1998" s="673"/>
      <c r="AF1998" s="673"/>
      <c r="AG1998" s="673"/>
      <c r="AH1998" s="673"/>
    </row>
    <row r="1999">
      <c r="A1999" s="653"/>
      <c r="B1999" s="654"/>
      <c r="C1999" s="691"/>
      <c r="D1999" s="661"/>
      <c r="E1999" s="705"/>
      <c r="F1999" s="659"/>
      <c r="G1999" s="661"/>
      <c r="H1999" s="660"/>
      <c r="I1999" s="691"/>
      <c r="J1999" s="661"/>
      <c r="K1999" s="706"/>
      <c r="L1999" s="665"/>
      <c r="M1999" s="663"/>
      <c r="N1999" s="665"/>
      <c r="O1999" s="665"/>
      <c r="P1999" s="665"/>
      <c r="Q1999" s="665"/>
      <c r="R1999" s="665"/>
      <c r="S1999" s="665"/>
      <c r="T1999" s="673"/>
      <c r="U1999" s="673"/>
      <c r="V1999" s="673"/>
      <c r="W1999" s="673"/>
      <c r="X1999" s="673"/>
      <c r="Y1999" s="673"/>
      <c r="Z1999" s="673"/>
      <c r="AA1999" s="673"/>
      <c r="AB1999" s="673"/>
      <c r="AC1999" s="673"/>
      <c r="AD1999" s="673"/>
      <c r="AE1999" s="673"/>
      <c r="AF1999" s="673"/>
      <c r="AG1999" s="673"/>
      <c r="AH1999" s="673"/>
    </row>
    <row r="2000">
      <c r="A2000" s="653"/>
      <c r="B2000" s="654"/>
      <c r="C2000" s="691"/>
      <c r="D2000" s="661"/>
      <c r="E2000" s="705"/>
      <c r="F2000" s="659"/>
      <c r="G2000" s="661"/>
      <c r="H2000" s="660"/>
      <c r="I2000" s="691"/>
      <c r="J2000" s="661"/>
      <c r="K2000" s="706"/>
      <c r="L2000" s="665"/>
      <c r="M2000" s="663"/>
      <c r="N2000" s="665"/>
      <c r="O2000" s="665"/>
      <c r="P2000" s="665"/>
      <c r="Q2000" s="665"/>
      <c r="R2000" s="665"/>
      <c r="S2000" s="665"/>
      <c r="T2000" s="673"/>
      <c r="U2000" s="673"/>
      <c r="V2000" s="673"/>
      <c r="W2000" s="673"/>
      <c r="X2000" s="673"/>
      <c r="Y2000" s="673"/>
      <c r="Z2000" s="673"/>
      <c r="AA2000" s="673"/>
      <c r="AB2000" s="673"/>
      <c r="AC2000" s="673"/>
      <c r="AD2000" s="673"/>
      <c r="AE2000" s="673"/>
      <c r="AF2000" s="673"/>
      <c r="AG2000" s="673"/>
      <c r="AH2000" s="673"/>
    </row>
    <row r="2001">
      <c r="A2001" s="653"/>
      <c r="B2001" s="654"/>
      <c r="C2001" s="691"/>
      <c r="D2001" s="661"/>
      <c r="E2001" s="705"/>
      <c r="F2001" s="659"/>
      <c r="G2001" s="661"/>
      <c r="H2001" s="660"/>
      <c r="I2001" s="691"/>
      <c r="J2001" s="661"/>
      <c r="K2001" s="706"/>
      <c r="L2001" s="665"/>
      <c r="M2001" s="663"/>
      <c r="N2001" s="665"/>
      <c r="O2001" s="665"/>
      <c r="P2001" s="665"/>
      <c r="Q2001" s="665"/>
      <c r="R2001" s="665"/>
      <c r="S2001" s="665"/>
      <c r="T2001" s="673"/>
      <c r="U2001" s="673"/>
      <c r="V2001" s="673"/>
      <c r="W2001" s="673"/>
      <c r="X2001" s="673"/>
      <c r="Y2001" s="673"/>
      <c r="Z2001" s="673"/>
      <c r="AA2001" s="673"/>
      <c r="AB2001" s="673"/>
      <c r="AC2001" s="673"/>
      <c r="AD2001" s="673"/>
      <c r="AE2001" s="673"/>
      <c r="AF2001" s="673"/>
      <c r="AG2001" s="673"/>
      <c r="AH2001" s="673"/>
    </row>
    <row r="2002">
      <c r="A2002" s="653"/>
      <c r="B2002" s="654"/>
      <c r="C2002" s="691"/>
      <c r="D2002" s="661"/>
      <c r="E2002" s="705"/>
      <c r="F2002" s="659"/>
      <c r="G2002" s="661"/>
      <c r="H2002" s="660"/>
      <c r="I2002" s="691"/>
      <c r="J2002" s="661"/>
      <c r="K2002" s="706"/>
      <c r="L2002" s="665"/>
      <c r="M2002" s="663"/>
      <c r="N2002" s="665"/>
      <c r="O2002" s="665"/>
      <c r="P2002" s="665"/>
      <c r="Q2002" s="665"/>
      <c r="R2002" s="665"/>
      <c r="S2002" s="665"/>
      <c r="T2002" s="673"/>
      <c r="U2002" s="673"/>
      <c r="V2002" s="673"/>
      <c r="W2002" s="673"/>
      <c r="X2002" s="673"/>
      <c r="Y2002" s="673"/>
      <c r="Z2002" s="673"/>
      <c r="AA2002" s="673"/>
      <c r="AB2002" s="673"/>
      <c r="AC2002" s="673"/>
      <c r="AD2002" s="673"/>
      <c r="AE2002" s="673"/>
      <c r="AF2002" s="673"/>
      <c r="AG2002" s="673"/>
      <c r="AH2002" s="673"/>
    </row>
    <row r="2003">
      <c r="A2003" s="653"/>
      <c r="B2003" s="654"/>
      <c r="C2003" s="691"/>
      <c r="D2003" s="661"/>
      <c r="E2003" s="705"/>
      <c r="F2003" s="659"/>
      <c r="G2003" s="661"/>
      <c r="H2003" s="660"/>
      <c r="I2003" s="691"/>
      <c r="J2003" s="661"/>
      <c r="K2003" s="706"/>
      <c r="L2003" s="665"/>
      <c r="M2003" s="663"/>
      <c r="N2003" s="665"/>
      <c r="O2003" s="665"/>
      <c r="P2003" s="665"/>
      <c r="Q2003" s="665"/>
      <c r="R2003" s="665"/>
      <c r="S2003" s="665"/>
      <c r="T2003" s="673"/>
      <c r="U2003" s="673"/>
      <c r="V2003" s="673"/>
      <c r="W2003" s="673"/>
      <c r="X2003" s="673"/>
      <c r="Y2003" s="673"/>
      <c r="Z2003" s="673"/>
      <c r="AA2003" s="673"/>
      <c r="AB2003" s="673"/>
      <c r="AC2003" s="673"/>
      <c r="AD2003" s="673"/>
      <c r="AE2003" s="673"/>
      <c r="AF2003" s="673"/>
      <c r="AG2003" s="673"/>
      <c r="AH2003" s="673"/>
    </row>
    <row r="2004">
      <c r="A2004" s="653"/>
      <c r="B2004" s="654"/>
      <c r="C2004" s="691"/>
      <c r="D2004" s="661"/>
      <c r="E2004" s="705"/>
      <c r="F2004" s="659"/>
      <c r="G2004" s="661"/>
      <c r="H2004" s="660"/>
      <c r="I2004" s="691"/>
      <c r="J2004" s="661"/>
      <c r="K2004" s="706"/>
      <c r="L2004" s="665"/>
      <c r="M2004" s="663"/>
      <c r="N2004" s="665"/>
      <c r="O2004" s="665"/>
      <c r="P2004" s="665"/>
      <c r="Q2004" s="665"/>
      <c r="R2004" s="665"/>
      <c r="S2004" s="665"/>
      <c r="T2004" s="673"/>
      <c r="U2004" s="673"/>
      <c r="V2004" s="673"/>
      <c r="W2004" s="673"/>
      <c r="X2004" s="673"/>
      <c r="Y2004" s="673"/>
      <c r="Z2004" s="673"/>
      <c r="AA2004" s="673"/>
      <c r="AB2004" s="673"/>
      <c r="AC2004" s="673"/>
      <c r="AD2004" s="673"/>
      <c r="AE2004" s="673"/>
      <c r="AF2004" s="673"/>
      <c r="AG2004" s="673"/>
      <c r="AH2004" s="673"/>
    </row>
    <row r="2005">
      <c r="A2005" s="653"/>
      <c r="B2005" s="654"/>
      <c r="C2005" s="691"/>
      <c r="D2005" s="661"/>
      <c r="E2005" s="705"/>
      <c r="F2005" s="659"/>
      <c r="G2005" s="661"/>
      <c r="H2005" s="660"/>
      <c r="I2005" s="691"/>
      <c r="J2005" s="661"/>
      <c r="K2005" s="706"/>
      <c r="L2005" s="665"/>
      <c r="M2005" s="663"/>
      <c r="N2005" s="665"/>
      <c r="O2005" s="665"/>
      <c r="P2005" s="665"/>
      <c r="Q2005" s="665"/>
      <c r="R2005" s="665"/>
      <c r="S2005" s="665"/>
      <c r="T2005" s="673"/>
      <c r="U2005" s="673"/>
      <c r="V2005" s="673"/>
      <c r="W2005" s="673"/>
      <c r="X2005" s="673"/>
      <c r="Y2005" s="673"/>
      <c r="Z2005" s="673"/>
      <c r="AA2005" s="673"/>
      <c r="AB2005" s="673"/>
      <c r="AC2005" s="673"/>
      <c r="AD2005" s="673"/>
      <c r="AE2005" s="673"/>
      <c r="AF2005" s="673"/>
      <c r="AG2005" s="673"/>
      <c r="AH2005" s="673"/>
    </row>
    <row r="2006">
      <c r="A2006" s="653"/>
      <c r="B2006" s="654"/>
      <c r="C2006" s="691"/>
      <c r="D2006" s="661"/>
      <c r="E2006" s="705"/>
      <c r="F2006" s="659"/>
      <c r="G2006" s="661"/>
      <c r="H2006" s="660"/>
      <c r="I2006" s="691"/>
      <c r="J2006" s="661"/>
      <c r="K2006" s="706"/>
      <c r="L2006" s="665"/>
      <c r="M2006" s="663"/>
      <c r="N2006" s="665"/>
      <c r="O2006" s="665"/>
      <c r="P2006" s="665"/>
      <c r="Q2006" s="665"/>
      <c r="R2006" s="665"/>
      <c r="S2006" s="665"/>
      <c r="T2006" s="673"/>
      <c r="U2006" s="673"/>
      <c r="V2006" s="673"/>
      <c r="W2006" s="673"/>
      <c r="X2006" s="673"/>
      <c r="Y2006" s="673"/>
      <c r="Z2006" s="673"/>
      <c r="AA2006" s="673"/>
      <c r="AB2006" s="673"/>
      <c r="AC2006" s="673"/>
      <c r="AD2006" s="673"/>
      <c r="AE2006" s="673"/>
      <c r="AF2006" s="673"/>
      <c r="AG2006" s="673"/>
      <c r="AH2006" s="673"/>
    </row>
    <row r="2007">
      <c r="A2007" s="653"/>
      <c r="B2007" s="654"/>
      <c r="C2007" s="691"/>
      <c r="D2007" s="661"/>
      <c r="E2007" s="705"/>
      <c r="F2007" s="659"/>
      <c r="G2007" s="661"/>
      <c r="H2007" s="660"/>
      <c r="I2007" s="691"/>
      <c r="J2007" s="661"/>
      <c r="K2007" s="706"/>
      <c r="L2007" s="665"/>
      <c r="M2007" s="663"/>
      <c r="N2007" s="665"/>
      <c r="O2007" s="665"/>
      <c r="P2007" s="665"/>
      <c r="Q2007" s="665"/>
      <c r="R2007" s="665"/>
      <c r="S2007" s="665"/>
      <c r="T2007" s="673"/>
      <c r="U2007" s="673"/>
      <c r="V2007" s="673"/>
      <c r="W2007" s="673"/>
      <c r="X2007" s="673"/>
      <c r="Y2007" s="673"/>
      <c r="Z2007" s="673"/>
      <c r="AA2007" s="673"/>
      <c r="AB2007" s="673"/>
      <c r="AC2007" s="673"/>
      <c r="AD2007" s="673"/>
      <c r="AE2007" s="673"/>
      <c r="AF2007" s="673"/>
      <c r="AG2007" s="673"/>
      <c r="AH2007" s="673"/>
    </row>
    <row r="2008">
      <c r="A2008" s="653"/>
      <c r="B2008" s="654"/>
      <c r="C2008" s="691"/>
      <c r="D2008" s="661"/>
      <c r="E2008" s="705"/>
      <c r="F2008" s="659"/>
      <c r="G2008" s="661"/>
      <c r="H2008" s="660"/>
      <c r="I2008" s="691"/>
      <c r="J2008" s="661"/>
      <c r="K2008" s="706"/>
      <c r="L2008" s="665"/>
      <c r="M2008" s="663"/>
      <c r="N2008" s="665"/>
      <c r="O2008" s="665"/>
      <c r="P2008" s="665"/>
      <c r="Q2008" s="665"/>
      <c r="R2008" s="665"/>
      <c r="S2008" s="665"/>
      <c r="T2008" s="673"/>
      <c r="U2008" s="673"/>
      <c r="V2008" s="673"/>
      <c r="W2008" s="673"/>
      <c r="X2008" s="673"/>
      <c r="Y2008" s="673"/>
      <c r="Z2008" s="673"/>
      <c r="AA2008" s="673"/>
      <c r="AB2008" s="673"/>
      <c r="AC2008" s="673"/>
      <c r="AD2008" s="673"/>
      <c r="AE2008" s="673"/>
      <c r="AF2008" s="673"/>
      <c r="AG2008" s="673"/>
      <c r="AH2008" s="673"/>
    </row>
    <row r="2009">
      <c r="A2009" s="653"/>
      <c r="B2009" s="654"/>
      <c r="C2009" s="691"/>
      <c r="D2009" s="661"/>
      <c r="E2009" s="705"/>
      <c r="F2009" s="659"/>
      <c r="G2009" s="661"/>
      <c r="H2009" s="660"/>
      <c r="I2009" s="691"/>
      <c r="J2009" s="661"/>
      <c r="K2009" s="706"/>
      <c r="L2009" s="665"/>
      <c r="M2009" s="663"/>
      <c r="N2009" s="665"/>
      <c r="O2009" s="665"/>
      <c r="P2009" s="665"/>
      <c r="Q2009" s="665"/>
      <c r="R2009" s="665"/>
      <c r="S2009" s="665"/>
      <c r="T2009" s="673"/>
      <c r="U2009" s="673"/>
      <c r="V2009" s="673"/>
      <c r="W2009" s="673"/>
      <c r="X2009" s="673"/>
      <c r="Y2009" s="673"/>
      <c r="Z2009" s="673"/>
      <c r="AA2009" s="673"/>
      <c r="AB2009" s="673"/>
      <c r="AC2009" s="673"/>
      <c r="AD2009" s="673"/>
      <c r="AE2009" s="673"/>
      <c r="AF2009" s="673"/>
      <c r="AG2009" s="673"/>
      <c r="AH2009" s="673"/>
    </row>
    <row r="2010">
      <c r="A2010" s="653"/>
      <c r="B2010" s="654"/>
      <c r="C2010" s="691"/>
      <c r="D2010" s="661"/>
      <c r="E2010" s="705"/>
      <c r="F2010" s="659"/>
      <c r="G2010" s="661"/>
      <c r="H2010" s="660"/>
      <c r="I2010" s="691"/>
      <c r="J2010" s="661"/>
      <c r="K2010" s="706"/>
      <c r="L2010" s="665"/>
      <c r="M2010" s="663"/>
      <c r="N2010" s="665"/>
      <c r="O2010" s="665"/>
      <c r="P2010" s="665"/>
      <c r="Q2010" s="665"/>
      <c r="R2010" s="665"/>
      <c r="S2010" s="665"/>
      <c r="T2010" s="673"/>
      <c r="U2010" s="673"/>
      <c r="V2010" s="673"/>
      <c r="W2010" s="673"/>
      <c r="X2010" s="673"/>
      <c r="Y2010" s="673"/>
      <c r="Z2010" s="673"/>
      <c r="AA2010" s="673"/>
      <c r="AB2010" s="673"/>
      <c r="AC2010" s="673"/>
      <c r="AD2010" s="673"/>
      <c r="AE2010" s="673"/>
      <c r="AF2010" s="673"/>
      <c r="AG2010" s="673"/>
      <c r="AH2010" s="673"/>
    </row>
    <row r="2011">
      <c r="A2011" s="653"/>
      <c r="B2011" s="654"/>
      <c r="C2011" s="691"/>
      <c r="D2011" s="661"/>
      <c r="E2011" s="705"/>
      <c r="F2011" s="659"/>
      <c r="G2011" s="661"/>
      <c r="H2011" s="660"/>
      <c r="I2011" s="691"/>
      <c r="J2011" s="661"/>
      <c r="K2011" s="706"/>
      <c r="L2011" s="665"/>
      <c r="M2011" s="663"/>
      <c r="N2011" s="665"/>
      <c r="O2011" s="665"/>
      <c r="P2011" s="665"/>
      <c r="Q2011" s="665"/>
      <c r="R2011" s="665"/>
      <c r="S2011" s="665"/>
      <c r="T2011" s="673"/>
      <c r="U2011" s="673"/>
      <c r="V2011" s="673"/>
      <c r="W2011" s="673"/>
      <c r="X2011" s="673"/>
      <c r="Y2011" s="673"/>
      <c r="Z2011" s="673"/>
      <c r="AA2011" s="673"/>
      <c r="AB2011" s="673"/>
      <c r="AC2011" s="673"/>
      <c r="AD2011" s="673"/>
      <c r="AE2011" s="673"/>
      <c r="AF2011" s="673"/>
      <c r="AG2011" s="673"/>
      <c r="AH2011" s="673"/>
    </row>
    <row r="2012">
      <c r="A2012" s="653"/>
      <c r="B2012" s="654"/>
      <c r="C2012" s="691"/>
      <c r="D2012" s="661"/>
      <c r="E2012" s="705"/>
      <c r="F2012" s="659"/>
      <c r="G2012" s="661"/>
      <c r="H2012" s="660"/>
      <c r="I2012" s="691"/>
      <c r="J2012" s="661"/>
      <c r="K2012" s="706"/>
      <c r="L2012" s="665"/>
      <c r="M2012" s="663"/>
      <c r="N2012" s="665"/>
      <c r="O2012" s="665"/>
      <c r="P2012" s="665"/>
      <c r="Q2012" s="665"/>
      <c r="R2012" s="665"/>
      <c r="S2012" s="665"/>
      <c r="T2012" s="673"/>
      <c r="U2012" s="673"/>
      <c r="V2012" s="673"/>
      <c r="W2012" s="673"/>
      <c r="X2012" s="673"/>
      <c r="Y2012" s="673"/>
      <c r="Z2012" s="673"/>
      <c r="AA2012" s="673"/>
      <c r="AB2012" s="673"/>
      <c r="AC2012" s="673"/>
      <c r="AD2012" s="673"/>
      <c r="AE2012" s="673"/>
      <c r="AF2012" s="673"/>
      <c r="AG2012" s="673"/>
      <c r="AH2012" s="673"/>
    </row>
    <row r="2013">
      <c r="A2013" s="653"/>
      <c r="B2013" s="654"/>
      <c r="C2013" s="691"/>
      <c r="D2013" s="661"/>
      <c r="E2013" s="705"/>
      <c r="F2013" s="659"/>
      <c r="G2013" s="661"/>
      <c r="H2013" s="660"/>
      <c r="I2013" s="691"/>
      <c r="J2013" s="661"/>
      <c r="K2013" s="706"/>
      <c r="L2013" s="665"/>
      <c r="M2013" s="663"/>
      <c r="N2013" s="665"/>
      <c r="O2013" s="665"/>
      <c r="P2013" s="665"/>
      <c r="Q2013" s="665"/>
      <c r="R2013" s="665"/>
      <c r="S2013" s="665"/>
      <c r="T2013" s="673"/>
      <c r="U2013" s="673"/>
      <c r="V2013" s="673"/>
      <c r="W2013" s="673"/>
      <c r="X2013" s="673"/>
      <c r="Y2013" s="673"/>
      <c r="Z2013" s="673"/>
      <c r="AA2013" s="673"/>
      <c r="AB2013" s="673"/>
      <c r="AC2013" s="673"/>
      <c r="AD2013" s="673"/>
      <c r="AE2013" s="673"/>
      <c r="AF2013" s="673"/>
      <c r="AG2013" s="673"/>
      <c r="AH2013" s="673"/>
    </row>
    <row r="2014">
      <c r="A2014" s="653"/>
      <c r="B2014" s="654"/>
      <c r="C2014" s="691"/>
      <c r="D2014" s="661"/>
      <c r="E2014" s="705"/>
      <c r="F2014" s="659"/>
      <c r="G2014" s="661"/>
      <c r="H2014" s="660"/>
      <c r="I2014" s="691"/>
      <c r="J2014" s="661"/>
      <c r="K2014" s="706"/>
      <c r="L2014" s="665"/>
      <c r="M2014" s="663"/>
      <c r="N2014" s="665"/>
      <c r="O2014" s="665"/>
      <c r="P2014" s="665"/>
      <c r="Q2014" s="665"/>
      <c r="R2014" s="665"/>
      <c r="S2014" s="665"/>
      <c r="T2014" s="673"/>
      <c r="U2014" s="673"/>
      <c r="V2014" s="673"/>
      <c r="W2014" s="673"/>
      <c r="X2014" s="673"/>
      <c r="Y2014" s="673"/>
      <c r="Z2014" s="673"/>
      <c r="AA2014" s="673"/>
      <c r="AB2014" s="673"/>
      <c r="AC2014" s="673"/>
      <c r="AD2014" s="673"/>
      <c r="AE2014" s="673"/>
      <c r="AF2014" s="673"/>
      <c r="AG2014" s="673"/>
      <c r="AH2014" s="673"/>
    </row>
    <row r="2015">
      <c r="A2015" s="653"/>
      <c r="B2015" s="654"/>
      <c r="C2015" s="691"/>
      <c r="D2015" s="661"/>
      <c r="E2015" s="705"/>
      <c r="F2015" s="659"/>
      <c r="G2015" s="661"/>
      <c r="H2015" s="660"/>
      <c r="I2015" s="691"/>
      <c r="J2015" s="661"/>
      <c r="K2015" s="706"/>
      <c r="L2015" s="665"/>
      <c r="M2015" s="663"/>
      <c r="N2015" s="665"/>
      <c r="O2015" s="665"/>
      <c r="P2015" s="665"/>
      <c r="Q2015" s="665"/>
      <c r="R2015" s="665"/>
      <c r="S2015" s="665"/>
      <c r="T2015" s="673"/>
      <c r="U2015" s="673"/>
      <c r="V2015" s="673"/>
      <c r="W2015" s="673"/>
      <c r="X2015" s="673"/>
      <c r="Y2015" s="673"/>
      <c r="Z2015" s="673"/>
      <c r="AA2015" s="673"/>
      <c r="AB2015" s="673"/>
      <c r="AC2015" s="673"/>
      <c r="AD2015" s="673"/>
      <c r="AE2015" s="673"/>
      <c r="AF2015" s="673"/>
      <c r="AG2015" s="673"/>
      <c r="AH2015" s="673"/>
    </row>
    <row r="2016">
      <c r="A2016" s="653"/>
      <c r="B2016" s="654"/>
      <c r="C2016" s="691"/>
      <c r="D2016" s="661"/>
      <c r="E2016" s="705"/>
      <c r="F2016" s="659"/>
      <c r="G2016" s="661"/>
      <c r="H2016" s="660"/>
      <c r="I2016" s="691"/>
      <c r="J2016" s="661"/>
      <c r="K2016" s="706"/>
      <c r="L2016" s="665"/>
      <c r="M2016" s="663"/>
      <c r="N2016" s="665"/>
      <c r="O2016" s="665"/>
      <c r="P2016" s="665"/>
      <c r="Q2016" s="665"/>
      <c r="R2016" s="665"/>
      <c r="S2016" s="665"/>
      <c r="T2016" s="673"/>
      <c r="U2016" s="673"/>
      <c r="V2016" s="673"/>
      <c r="W2016" s="673"/>
      <c r="X2016" s="673"/>
      <c r="Y2016" s="673"/>
      <c r="Z2016" s="673"/>
      <c r="AA2016" s="673"/>
      <c r="AB2016" s="673"/>
      <c r="AC2016" s="673"/>
      <c r="AD2016" s="673"/>
      <c r="AE2016" s="673"/>
      <c r="AF2016" s="673"/>
      <c r="AG2016" s="673"/>
      <c r="AH2016" s="673"/>
    </row>
    <row r="2017">
      <c r="A2017" s="653"/>
      <c r="B2017" s="654"/>
      <c r="C2017" s="691"/>
      <c r="D2017" s="661"/>
      <c r="E2017" s="705"/>
      <c r="F2017" s="659"/>
      <c r="G2017" s="661"/>
      <c r="H2017" s="660"/>
      <c r="I2017" s="691"/>
      <c r="J2017" s="661"/>
      <c r="K2017" s="706"/>
      <c r="L2017" s="665"/>
      <c r="M2017" s="663"/>
      <c r="N2017" s="665"/>
      <c r="O2017" s="665"/>
      <c r="P2017" s="665"/>
      <c r="Q2017" s="665"/>
      <c r="R2017" s="665"/>
      <c r="S2017" s="665"/>
      <c r="T2017" s="673"/>
      <c r="U2017" s="673"/>
      <c r="V2017" s="673"/>
      <c r="W2017" s="673"/>
      <c r="X2017" s="673"/>
      <c r="Y2017" s="673"/>
      <c r="Z2017" s="673"/>
      <c r="AA2017" s="673"/>
      <c r="AB2017" s="673"/>
      <c r="AC2017" s="673"/>
      <c r="AD2017" s="673"/>
      <c r="AE2017" s="673"/>
      <c r="AF2017" s="673"/>
      <c r="AG2017" s="673"/>
      <c r="AH2017" s="673"/>
    </row>
    <row r="2018">
      <c r="A2018" s="653"/>
      <c r="B2018" s="654"/>
      <c r="C2018" s="691"/>
      <c r="D2018" s="661"/>
      <c r="E2018" s="705"/>
      <c r="F2018" s="659"/>
      <c r="G2018" s="661"/>
      <c r="H2018" s="660"/>
      <c r="I2018" s="691"/>
      <c r="J2018" s="661"/>
      <c r="K2018" s="706"/>
      <c r="L2018" s="665"/>
      <c r="M2018" s="663"/>
      <c r="N2018" s="665"/>
      <c r="O2018" s="665"/>
      <c r="P2018" s="665"/>
      <c r="Q2018" s="665"/>
      <c r="R2018" s="665"/>
      <c r="S2018" s="665"/>
      <c r="T2018" s="673"/>
      <c r="U2018" s="673"/>
      <c r="V2018" s="673"/>
      <c r="W2018" s="673"/>
      <c r="X2018" s="673"/>
      <c r="Y2018" s="673"/>
      <c r="Z2018" s="673"/>
      <c r="AA2018" s="673"/>
      <c r="AB2018" s="673"/>
      <c r="AC2018" s="673"/>
      <c r="AD2018" s="673"/>
      <c r="AE2018" s="673"/>
      <c r="AF2018" s="673"/>
      <c r="AG2018" s="673"/>
      <c r="AH2018" s="673"/>
    </row>
    <row r="2019">
      <c r="A2019" s="653"/>
      <c r="B2019" s="654"/>
      <c r="C2019" s="691"/>
      <c r="D2019" s="661"/>
      <c r="E2019" s="705"/>
      <c r="F2019" s="659"/>
      <c r="G2019" s="661"/>
      <c r="H2019" s="660"/>
      <c r="I2019" s="691"/>
      <c r="J2019" s="661"/>
      <c r="K2019" s="706"/>
      <c r="L2019" s="665"/>
      <c r="M2019" s="663"/>
      <c r="N2019" s="665"/>
      <c r="O2019" s="665"/>
      <c r="P2019" s="665"/>
      <c r="Q2019" s="665"/>
      <c r="R2019" s="665"/>
      <c r="S2019" s="665"/>
      <c r="T2019" s="673"/>
      <c r="U2019" s="673"/>
      <c r="V2019" s="673"/>
      <c r="W2019" s="673"/>
      <c r="X2019" s="673"/>
      <c r="Y2019" s="673"/>
      <c r="Z2019" s="673"/>
      <c r="AA2019" s="673"/>
      <c r="AB2019" s="673"/>
      <c r="AC2019" s="673"/>
      <c r="AD2019" s="673"/>
      <c r="AE2019" s="673"/>
      <c r="AF2019" s="673"/>
      <c r="AG2019" s="673"/>
      <c r="AH2019" s="673"/>
    </row>
    <row r="2020">
      <c r="A2020" s="653"/>
      <c r="B2020" s="654"/>
      <c r="C2020" s="691"/>
      <c r="D2020" s="661"/>
      <c r="E2020" s="705"/>
      <c r="F2020" s="659"/>
      <c r="G2020" s="661"/>
      <c r="H2020" s="660"/>
      <c r="I2020" s="691"/>
      <c r="J2020" s="661"/>
      <c r="K2020" s="706"/>
      <c r="L2020" s="665"/>
      <c r="M2020" s="663"/>
      <c r="N2020" s="665"/>
      <c r="O2020" s="665"/>
      <c r="P2020" s="665"/>
      <c r="Q2020" s="665"/>
      <c r="R2020" s="665"/>
      <c r="S2020" s="665"/>
      <c r="T2020" s="673"/>
      <c r="U2020" s="673"/>
      <c r="V2020" s="673"/>
      <c r="W2020" s="673"/>
      <c r="X2020" s="673"/>
      <c r="Y2020" s="673"/>
      <c r="Z2020" s="673"/>
      <c r="AA2020" s="673"/>
      <c r="AB2020" s="673"/>
      <c r="AC2020" s="673"/>
      <c r="AD2020" s="673"/>
      <c r="AE2020" s="673"/>
      <c r="AF2020" s="673"/>
      <c r="AG2020" s="673"/>
      <c r="AH2020" s="673"/>
    </row>
    <row r="2021">
      <c r="A2021" s="653"/>
      <c r="B2021" s="654"/>
      <c r="C2021" s="691"/>
      <c r="D2021" s="661"/>
      <c r="E2021" s="705"/>
      <c r="F2021" s="659"/>
      <c r="G2021" s="661"/>
      <c r="H2021" s="660"/>
      <c r="I2021" s="691"/>
      <c r="J2021" s="661"/>
      <c r="K2021" s="706"/>
      <c r="L2021" s="665"/>
      <c r="M2021" s="663"/>
      <c r="N2021" s="665"/>
      <c r="O2021" s="665"/>
      <c r="P2021" s="665"/>
      <c r="Q2021" s="665"/>
      <c r="R2021" s="665"/>
      <c r="S2021" s="665"/>
      <c r="T2021" s="673"/>
      <c r="U2021" s="673"/>
      <c r="V2021" s="673"/>
      <c r="W2021" s="673"/>
      <c r="X2021" s="673"/>
      <c r="Y2021" s="673"/>
      <c r="Z2021" s="673"/>
      <c r="AA2021" s="673"/>
      <c r="AB2021" s="673"/>
      <c r="AC2021" s="673"/>
      <c r="AD2021" s="673"/>
      <c r="AE2021" s="673"/>
      <c r="AF2021" s="673"/>
      <c r="AG2021" s="673"/>
      <c r="AH2021" s="673"/>
    </row>
    <row r="2022">
      <c r="A2022" s="653"/>
      <c r="B2022" s="654"/>
      <c r="C2022" s="691"/>
      <c r="D2022" s="661"/>
      <c r="E2022" s="705"/>
      <c r="F2022" s="659"/>
      <c r="G2022" s="661"/>
      <c r="H2022" s="660"/>
      <c r="I2022" s="691"/>
      <c r="J2022" s="661"/>
      <c r="K2022" s="706"/>
      <c r="L2022" s="665"/>
      <c r="M2022" s="663"/>
      <c r="N2022" s="665"/>
      <c r="O2022" s="665"/>
      <c r="P2022" s="665"/>
      <c r="Q2022" s="665"/>
      <c r="R2022" s="665"/>
      <c r="S2022" s="665"/>
      <c r="T2022" s="673"/>
      <c r="U2022" s="673"/>
      <c r="V2022" s="673"/>
      <c r="W2022" s="673"/>
      <c r="X2022" s="673"/>
      <c r="Y2022" s="673"/>
      <c r="Z2022" s="673"/>
      <c r="AA2022" s="673"/>
      <c r="AB2022" s="673"/>
      <c r="AC2022" s="673"/>
      <c r="AD2022" s="673"/>
      <c r="AE2022" s="673"/>
      <c r="AF2022" s="673"/>
      <c r="AG2022" s="673"/>
      <c r="AH2022" s="673"/>
    </row>
    <row r="2023">
      <c r="A2023" s="653"/>
      <c r="B2023" s="654"/>
      <c r="C2023" s="691"/>
      <c r="D2023" s="661"/>
      <c r="E2023" s="705"/>
      <c r="F2023" s="659"/>
      <c r="G2023" s="661"/>
      <c r="H2023" s="660"/>
      <c r="I2023" s="691"/>
      <c r="J2023" s="661"/>
      <c r="K2023" s="706"/>
      <c r="L2023" s="665"/>
      <c r="M2023" s="663"/>
      <c r="N2023" s="665"/>
      <c r="O2023" s="665"/>
      <c r="P2023" s="665"/>
      <c r="Q2023" s="665"/>
      <c r="R2023" s="665"/>
      <c r="S2023" s="665"/>
      <c r="T2023" s="673"/>
      <c r="U2023" s="673"/>
      <c r="V2023" s="673"/>
      <c r="W2023" s="673"/>
      <c r="X2023" s="673"/>
      <c r="Y2023" s="673"/>
      <c r="Z2023" s="673"/>
      <c r="AA2023" s="673"/>
      <c r="AB2023" s="673"/>
      <c r="AC2023" s="673"/>
      <c r="AD2023" s="673"/>
      <c r="AE2023" s="673"/>
      <c r="AF2023" s="673"/>
      <c r="AG2023" s="673"/>
      <c r="AH2023" s="673"/>
    </row>
    <row r="2024">
      <c r="A2024" s="653"/>
      <c r="B2024" s="654"/>
      <c r="C2024" s="691"/>
      <c r="D2024" s="661"/>
      <c r="E2024" s="705"/>
      <c r="F2024" s="659"/>
      <c r="G2024" s="661"/>
      <c r="H2024" s="660"/>
      <c r="I2024" s="691"/>
      <c r="J2024" s="661"/>
      <c r="K2024" s="706"/>
      <c r="L2024" s="665"/>
      <c r="M2024" s="663"/>
      <c r="N2024" s="665"/>
      <c r="O2024" s="665"/>
      <c r="P2024" s="665"/>
      <c r="Q2024" s="665"/>
      <c r="R2024" s="665"/>
      <c r="S2024" s="665"/>
      <c r="T2024" s="673"/>
      <c r="U2024" s="673"/>
      <c r="V2024" s="673"/>
      <c r="W2024" s="673"/>
      <c r="X2024" s="673"/>
      <c r="Y2024" s="673"/>
      <c r="Z2024" s="673"/>
      <c r="AA2024" s="673"/>
      <c r="AB2024" s="673"/>
      <c r="AC2024" s="673"/>
      <c r="AD2024" s="673"/>
      <c r="AE2024" s="673"/>
      <c r="AF2024" s="673"/>
      <c r="AG2024" s="673"/>
      <c r="AH2024" s="673"/>
    </row>
    <row r="2025">
      <c r="A2025" s="653"/>
      <c r="B2025" s="654"/>
      <c r="C2025" s="691"/>
      <c r="D2025" s="661"/>
      <c r="E2025" s="705"/>
      <c r="F2025" s="659"/>
      <c r="G2025" s="661"/>
      <c r="H2025" s="660"/>
      <c r="I2025" s="691"/>
      <c r="J2025" s="661"/>
      <c r="K2025" s="706"/>
      <c r="L2025" s="665"/>
      <c r="M2025" s="663"/>
      <c r="N2025" s="665"/>
      <c r="O2025" s="665"/>
      <c r="P2025" s="665"/>
      <c r="Q2025" s="665"/>
      <c r="R2025" s="665"/>
      <c r="S2025" s="665"/>
      <c r="T2025" s="673"/>
      <c r="U2025" s="673"/>
      <c r="V2025" s="673"/>
      <c r="W2025" s="673"/>
      <c r="X2025" s="673"/>
      <c r="Y2025" s="673"/>
      <c r="Z2025" s="673"/>
      <c r="AA2025" s="673"/>
      <c r="AB2025" s="673"/>
      <c r="AC2025" s="673"/>
      <c r="AD2025" s="673"/>
      <c r="AE2025" s="673"/>
      <c r="AF2025" s="673"/>
      <c r="AG2025" s="673"/>
      <c r="AH2025" s="673"/>
    </row>
    <row r="2026">
      <c r="A2026" s="653"/>
      <c r="B2026" s="654"/>
      <c r="C2026" s="691"/>
      <c r="D2026" s="661"/>
      <c r="E2026" s="705"/>
      <c r="F2026" s="659"/>
      <c r="G2026" s="661"/>
      <c r="H2026" s="660"/>
      <c r="I2026" s="691"/>
      <c r="J2026" s="661"/>
      <c r="K2026" s="706"/>
      <c r="L2026" s="665"/>
      <c r="M2026" s="663"/>
      <c r="N2026" s="665"/>
      <c r="O2026" s="665"/>
      <c r="P2026" s="665"/>
      <c r="Q2026" s="665"/>
      <c r="R2026" s="665"/>
      <c r="S2026" s="665"/>
      <c r="T2026" s="673"/>
      <c r="U2026" s="673"/>
      <c r="V2026" s="673"/>
      <c r="W2026" s="673"/>
      <c r="X2026" s="673"/>
      <c r="Y2026" s="673"/>
      <c r="Z2026" s="673"/>
      <c r="AA2026" s="673"/>
      <c r="AB2026" s="673"/>
      <c r="AC2026" s="673"/>
      <c r="AD2026" s="673"/>
      <c r="AE2026" s="673"/>
      <c r="AF2026" s="673"/>
      <c r="AG2026" s="673"/>
      <c r="AH2026" s="673"/>
    </row>
    <row r="2027">
      <c r="A2027" s="653"/>
      <c r="B2027" s="654"/>
      <c r="C2027" s="691"/>
      <c r="D2027" s="661"/>
      <c r="E2027" s="705"/>
      <c r="F2027" s="659"/>
      <c r="G2027" s="661"/>
      <c r="H2027" s="660"/>
      <c r="I2027" s="691"/>
      <c r="J2027" s="661"/>
      <c r="K2027" s="706"/>
      <c r="L2027" s="665"/>
      <c r="M2027" s="663"/>
      <c r="N2027" s="665"/>
      <c r="O2027" s="665"/>
      <c r="P2027" s="665"/>
      <c r="Q2027" s="665"/>
      <c r="R2027" s="665"/>
      <c r="S2027" s="665"/>
      <c r="T2027" s="673"/>
      <c r="U2027" s="673"/>
      <c r="V2027" s="673"/>
      <c r="W2027" s="673"/>
      <c r="X2027" s="673"/>
      <c r="Y2027" s="673"/>
      <c r="Z2027" s="673"/>
      <c r="AA2027" s="673"/>
      <c r="AB2027" s="673"/>
      <c r="AC2027" s="673"/>
      <c r="AD2027" s="673"/>
      <c r="AE2027" s="673"/>
      <c r="AF2027" s="673"/>
      <c r="AG2027" s="673"/>
      <c r="AH2027" s="673"/>
    </row>
    <row r="2028">
      <c r="A2028" s="653"/>
      <c r="B2028" s="654"/>
      <c r="C2028" s="691"/>
      <c r="D2028" s="661"/>
      <c r="E2028" s="705"/>
      <c r="F2028" s="659"/>
      <c r="G2028" s="661"/>
      <c r="H2028" s="660"/>
      <c r="I2028" s="691"/>
      <c r="J2028" s="661"/>
      <c r="K2028" s="706"/>
      <c r="L2028" s="665"/>
      <c r="M2028" s="663"/>
      <c r="N2028" s="665"/>
      <c r="O2028" s="665"/>
      <c r="P2028" s="665"/>
      <c r="Q2028" s="665"/>
      <c r="R2028" s="665"/>
      <c r="S2028" s="665"/>
      <c r="T2028" s="673"/>
      <c r="U2028" s="673"/>
      <c r="V2028" s="673"/>
      <c r="W2028" s="673"/>
      <c r="X2028" s="673"/>
      <c r="Y2028" s="673"/>
      <c r="Z2028" s="673"/>
      <c r="AA2028" s="673"/>
      <c r="AB2028" s="673"/>
      <c r="AC2028" s="673"/>
      <c r="AD2028" s="673"/>
      <c r="AE2028" s="673"/>
      <c r="AF2028" s="673"/>
      <c r="AG2028" s="673"/>
      <c r="AH2028" s="673"/>
    </row>
    <row r="2029">
      <c r="A2029" s="653"/>
      <c r="B2029" s="654"/>
      <c r="C2029" s="691"/>
      <c r="D2029" s="661"/>
      <c r="E2029" s="705"/>
      <c r="F2029" s="659"/>
      <c r="G2029" s="661"/>
      <c r="H2029" s="660"/>
      <c r="I2029" s="691"/>
      <c r="J2029" s="661"/>
      <c r="K2029" s="706"/>
      <c r="L2029" s="665"/>
      <c r="M2029" s="663"/>
      <c r="N2029" s="665"/>
      <c r="O2029" s="665"/>
      <c r="P2029" s="665"/>
      <c r="Q2029" s="665"/>
      <c r="R2029" s="665"/>
      <c r="S2029" s="665"/>
      <c r="T2029" s="673"/>
      <c r="U2029" s="673"/>
      <c r="V2029" s="673"/>
      <c r="W2029" s="673"/>
      <c r="X2029" s="673"/>
      <c r="Y2029" s="673"/>
      <c r="Z2029" s="673"/>
      <c r="AA2029" s="673"/>
      <c r="AB2029" s="673"/>
      <c r="AC2029" s="673"/>
      <c r="AD2029" s="673"/>
      <c r="AE2029" s="673"/>
      <c r="AF2029" s="673"/>
      <c r="AG2029" s="673"/>
      <c r="AH2029" s="673"/>
    </row>
    <row r="2030">
      <c r="A2030" s="653"/>
      <c r="B2030" s="654"/>
      <c r="C2030" s="691"/>
      <c r="D2030" s="661"/>
      <c r="E2030" s="705"/>
      <c r="F2030" s="659"/>
      <c r="G2030" s="661"/>
      <c r="H2030" s="660"/>
      <c r="I2030" s="691"/>
      <c r="J2030" s="661"/>
      <c r="K2030" s="706"/>
      <c r="L2030" s="665"/>
      <c r="M2030" s="663"/>
      <c r="N2030" s="665"/>
      <c r="O2030" s="665"/>
      <c r="P2030" s="665"/>
      <c r="Q2030" s="665"/>
      <c r="R2030" s="665"/>
      <c r="S2030" s="665"/>
      <c r="T2030" s="673"/>
      <c r="U2030" s="673"/>
      <c r="V2030" s="673"/>
      <c r="W2030" s="673"/>
      <c r="X2030" s="673"/>
      <c r="Y2030" s="673"/>
      <c r="Z2030" s="673"/>
      <c r="AA2030" s="673"/>
      <c r="AB2030" s="673"/>
      <c r="AC2030" s="673"/>
      <c r="AD2030" s="673"/>
      <c r="AE2030" s="673"/>
      <c r="AF2030" s="673"/>
      <c r="AG2030" s="673"/>
      <c r="AH2030" s="673"/>
    </row>
    <row r="2031">
      <c r="A2031" s="653"/>
      <c r="B2031" s="654"/>
      <c r="C2031" s="691"/>
      <c r="D2031" s="661"/>
      <c r="E2031" s="705"/>
      <c r="F2031" s="659"/>
      <c r="G2031" s="661"/>
      <c r="H2031" s="660"/>
      <c r="I2031" s="691"/>
      <c r="J2031" s="661"/>
      <c r="K2031" s="706"/>
      <c r="L2031" s="665"/>
      <c r="M2031" s="663"/>
      <c r="N2031" s="665"/>
      <c r="O2031" s="665"/>
      <c r="P2031" s="665"/>
      <c r="Q2031" s="665"/>
      <c r="R2031" s="665"/>
      <c r="S2031" s="665"/>
      <c r="T2031" s="673"/>
      <c r="U2031" s="673"/>
      <c r="V2031" s="673"/>
      <c r="W2031" s="673"/>
      <c r="X2031" s="673"/>
      <c r="Y2031" s="673"/>
      <c r="Z2031" s="673"/>
      <c r="AA2031" s="673"/>
      <c r="AB2031" s="673"/>
      <c r="AC2031" s="673"/>
      <c r="AD2031" s="673"/>
      <c r="AE2031" s="673"/>
      <c r="AF2031" s="673"/>
      <c r="AG2031" s="673"/>
      <c r="AH2031" s="673"/>
    </row>
    <row r="2032">
      <c r="A2032" s="653"/>
      <c r="B2032" s="654"/>
      <c r="C2032" s="691"/>
      <c r="D2032" s="661"/>
      <c r="E2032" s="705"/>
      <c r="F2032" s="659"/>
      <c r="G2032" s="661"/>
      <c r="H2032" s="660"/>
      <c r="I2032" s="691"/>
      <c r="J2032" s="661"/>
      <c r="K2032" s="706"/>
      <c r="L2032" s="665"/>
      <c r="M2032" s="663"/>
      <c r="N2032" s="665"/>
      <c r="O2032" s="665"/>
      <c r="P2032" s="665"/>
      <c r="Q2032" s="665"/>
      <c r="R2032" s="665"/>
      <c r="S2032" s="665"/>
      <c r="T2032" s="673"/>
      <c r="U2032" s="673"/>
      <c r="V2032" s="673"/>
      <c r="W2032" s="673"/>
      <c r="X2032" s="673"/>
      <c r="Y2032" s="673"/>
      <c r="Z2032" s="673"/>
      <c r="AA2032" s="673"/>
      <c r="AB2032" s="673"/>
      <c r="AC2032" s="673"/>
      <c r="AD2032" s="673"/>
      <c r="AE2032" s="673"/>
      <c r="AF2032" s="673"/>
      <c r="AG2032" s="673"/>
      <c r="AH2032" s="673"/>
    </row>
    <row r="2033">
      <c r="A2033" s="653"/>
      <c r="B2033" s="654"/>
      <c r="C2033" s="691"/>
      <c r="D2033" s="661"/>
      <c r="E2033" s="705"/>
      <c r="F2033" s="659"/>
      <c r="G2033" s="661"/>
      <c r="H2033" s="660"/>
      <c r="I2033" s="691"/>
      <c r="J2033" s="661"/>
      <c r="K2033" s="706"/>
      <c r="L2033" s="665"/>
      <c r="M2033" s="663"/>
      <c r="N2033" s="665"/>
      <c r="O2033" s="665"/>
      <c r="P2033" s="665"/>
      <c r="Q2033" s="665"/>
      <c r="R2033" s="665"/>
      <c r="S2033" s="665"/>
      <c r="T2033" s="673"/>
      <c r="U2033" s="673"/>
      <c r="V2033" s="673"/>
      <c r="W2033" s="673"/>
      <c r="X2033" s="673"/>
      <c r="Y2033" s="673"/>
      <c r="Z2033" s="673"/>
      <c r="AA2033" s="673"/>
      <c r="AB2033" s="673"/>
      <c r="AC2033" s="673"/>
      <c r="AD2033" s="673"/>
      <c r="AE2033" s="673"/>
      <c r="AF2033" s="673"/>
      <c r="AG2033" s="673"/>
      <c r="AH2033" s="673"/>
    </row>
    <row r="2034">
      <c r="A2034" s="653"/>
      <c r="B2034" s="654"/>
      <c r="C2034" s="691"/>
      <c r="D2034" s="661"/>
      <c r="E2034" s="705"/>
      <c r="F2034" s="659"/>
      <c r="G2034" s="661"/>
      <c r="H2034" s="660"/>
      <c r="I2034" s="691"/>
      <c r="J2034" s="661"/>
      <c r="K2034" s="706"/>
      <c r="L2034" s="665"/>
      <c r="M2034" s="663"/>
      <c r="N2034" s="665"/>
      <c r="O2034" s="665"/>
      <c r="P2034" s="665"/>
      <c r="Q2034" s="665"/>
      <c r="R2034" s="665"/>
      <c r="S2034" s="665"/>
      <c r="T2034" s="673"/>
      <c r="U2034" s="673"/>
      <c r="V2034" s="673"/>
      <c r="W2034" s="673"/>
      <c r="X2034" s="673"/>
      <c r="Y2034" s="673"/>
      <c r="Z2034" s="673"/>
      <c r="AA2034" s="673"/>
      <c r="AB2034" s="673"/>
      <c r="AC2034" s="673"/>
      <c r="AD2034" s="673"/>
      <c r="AE2034" s="673"/>
      <c r="AF2034" s="673"/>
      <c r="AG2034" s="673"/>
      <c r="AH2034" s="673"/>
    </row>
    <row r="2035">
      <c r="A2035" s="653"/>
      <c r="B2035" s="654"/>
      <c r="C2035" s="691"/>
      <c r="D2035" s="661"/>
      <c r="E2035" s="705"/>
      <c r="F2035" s="659"/>
      <c r="G2035" s="661"/>
      <c r="H2035" s="660"/>
      <c r="I2035" s="691"/>
      <c r="J2035" s="661"/>
      <c r="K2035" s="706"/>
      <c r="L2035" s="665"/>
      <c r="M2035" s="663"/>
      <c r="N2035" s="665"/>
      <c r="O2035" s="665"/>
      <c r="P2035" s="665"/>
      <c r="Q2035" s="665"/>
      <c r="R2035" s="665"/>
      <c r="S2035" s="665"/>
      <c r="T2035" s="673"/>
      <c r="U2035" s="673"/>
      <c r="V2035" s="673"/>
      <c r="W2035" s="673"/>
      <c r="X2035" s="673"/>
      <c r="Y2035" s="673"/>
      <c r="Z2035" s="673"/>
      <c r="AA2035" s="673"/>
      <c r="AB2035" s="673"/>
      <c r="AC2035" s="673"/>
      <c r="AD2035" s="673"/>
      <c r="AE2035" s="673"/>
      <c r="AF2035" s="673"/>
      <c r="AG2035" s="673"/>
      <c r="AH2035" s="673"/>
    </row>
    <row r="2036">
      <c r="A2036" s="653"/>
      <c r="B2036" s="654"/>
      <c r="C2036" s="691"/>
      <c r="D2036" s="661"/>
      <c r="E2036" s="705"/>
      <c r="F2036" s="659"/>
      <c r="G2036" s="661"/>
      <c r="H2036" s="660"/>
      <c r="I2036" s="691"/>
      <c r="J2036" s="661"/>
      <c r="K2036" s="706"/>
      <c r="L2036" s="665"/>
      <c r="M2036" s="663"/>
      <c r="N2036" s="665"/>
      <c r="O2036" s="665"/>
      <c r="P2036" s="665"/>
      <c r="Q2036" s="665"/>
      <c r="R2036" s="665"/>
      <c r="S2036" s="665"/>
      <c r="T2036" s="673"/>
      <c r="U2036" s="673"/>
      <c r="V2036" s="673"/>
      <c r="W2036" s="673"/>
      <c r="X2036" s="673"/>
      <c r="Y2036" s="673"/>
      <c r="Z2036" s="673"/>
      <c r="AA2036" s="673"/>
      <c r="AB2036" s="673"/>
      <c r="AC2036" s="673"/>
      <c r="AD2036" s="673"/>
      <c r="AE2036" s="673"/>
      <c r="AF2036" s="673"/>
      <c r="AG2036" s="673"/>
      <c r="AH2036" s="673"/>
    </row>
  </sheetData>
  <mergeCells count="2">
    <mergeCell ref="A1:K2"/>
    <mergeCell ref="L1:Q2"/>
  </mergeCells>
  <conditionalFormatting sqref="T5:AH2036">
    <cfRule type="cellIs" dxfId="2" priority="1" operator="lessThan">
      <formula>0</formula>
    </cfRule>
  </conditionalFormatting>
  <conditionalFormatting sqref="T5:AH2036">
    <cfRule type="cellIs" dxfId="47" priority="2" operator="equal">
      <formula>0</formula>
    </cfRule>
  </conditionalFormatting>
  <conditionalFormatting sqref="M5:M2036">
    <cfRule type="cellIs" dxfId="5" priority="3" operator="equal">
      <formula>"AÇÃO"</formula>
    </cfRule>
  </conditionalFormatting>
  <conditionalFormatting sqref="M5:M2036">
    <cfRule type="expression" dxfId="25" priority="4">
      <formula>IF(OR(M5="ETF",M5="FIA",M5="FIP",M5="FIP IE"),TRUE)</formula>
    </cfRule>
  </conditionalFormatting>
  <conditionalFormatting sqref="M5:M2036">
    <cfRule type="cellIs" dxfId="43" priority="5" operator="equal">
      <formula>"FII"</formula>
    </cfRule>
  </conditionalFormatting>
  <conditionalFormatting sqref="M5:M2036">
    <cfRule type="cellIs" dxfId="44" priority="6" operator="equal">
      <formula>"OPÇÃO"</formula>
    </cfRule>
  </conditionalFormatting>
  <conditionalFormatting sqref="M5:M2036">
    <cfRule type="cellIs" dxfId="45" priority="7" operator="equal">
      <formula>"BDR"</formula>
    </cfRule>
  </conditionalFormatting>
  <conditionalFormatting sqref="M5:M2036">
    <cfRule type="expression" dxfId="46" priority="8">
      <formula>IF(OR(M5="STOCK",M5="REIT"),TRUE)</formula>
    </cfRule>
  </conditionalFormatting>
  <conditionalFormatting sqref="M5:M2036">
    <cfRule type="expression" dxfId="1" priority="9">
      <formula>IF(OR(M5="CRIPTO",M5="TOKEN"),TRUE)</formula>
    </cfRule>
  </conditionalFormatting>
  <conditionalFormatting sqref="M5:M2036">
    <cfRule type="notContainsBlanks" dxfId="42" priority="10">
      <formula>LEN(TRIM(M5))&gt;0</formula>
    </cfRule>
  </conditionalFormatting>
  <dataValidations>
    <dataValidation type="list" allowBlank="1" sqref="D5:D2036">
      <formula1>"DIVIDENDO,JSCP,RENDIMENTO,BONIFICACAO,BTC,V.SOB(BN),REEMBOLSO(DIV),REEMBOLSO(JSCP),CRED.NAO.PAGO(JSCP),V.FRACAO"</formula1>
    </dataValidation>
    <dataValidation type="list" allowBlank="1" sqref="A5:A2036">
      <formula1>'config.parâmetros'!$B$17:$B$23</formula1>
    </dataValidation>
    <dataValidation type="list" allowBlank="1" sqref="G5:G2036">
      <formula1>"BRL,USD,AUD,CAD,CHF,EUR,GBP,GBX,HKD,JPY,SGD"</formula1>
    </dataValidation>
  </dataValidation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outlinePr summaryBelow="0" summaryRight="0"/>
  </sheetPr>
  <sheetViews>
    <sheetView showGridLines="0" workbookViewId="0"/>
  </sheetViews>
  <sheetFormatPr customHeight="1" defaultColWidth="15.13" defaultRowHeight="15.75"/>
  <cols>
    <col customWidth="1" min="1" max="1" width="11.38"/>
    <col customWidth="1" min="2" max="3" width="8.63"/>
    <col customWidth="1" min="4" max="4" width="8.88"/>
    <col customWidth="1" min="5" max="5" width="7.63"/>
    <col customWidth="1" min="6" max="6" width="11.38"/>
    <col customWidth="1" min="7" max="7" width="15.13"/>
    <col customWidth="1" min="8" max="8" width="1.13"/>
    <col customWidth="1" min="9" max="10" width="8.25"/>
    <col customWidth="1" min="11" max="11" width="2.63"/>
    <col customWidth="1" min="12" max="12" width="7.88"/>
    <col customWidth="1" min="13" max="15" width="11.38"/>
    <col customWidth="1" min="16" max="16" width="7.63"/>
    <col customWidth="1" min="17" max="17" width="1.13"/>
    <col customWidth="1" min="18" max="23" width="8.25"/>
    <col customWidth="1" min="24" max="24" width="1.13"/>
    <col customWidth="1" hidden="1" min="25" max="26" width="9.5"/>
    <col customWidth="1" hidden="1" min="27" max="27" width="3.0"/>
    <col customWidth="1" hidden="1" min="28" max="29" width="9.5"/>
    <col customWidth="1" hidden="1" min="30" max="37" width="9.75"/>
  </cols>
  <sheetData>
    <row r="1" ht="12.75" customHeight="1">
      <c r="A1" s="707" t="s">
        <v>436</v>
      </c>
      <c r="K1" s="708"/>
      <c r="L1" s="709" t="s">
        <v>437</v>
      </c>
      <c r="R1" s="676" t="str">
        <f>HYPERLINK("bit.ly/dlombelloplanilhas","dlombello®planilhas "&amp;leiame!B6)</f>
        <v>dlombello®planilhas v6.4.02</v>
      </c>
      <c r="AA1" s="579"/>
      <c r="AB1" s="710"/>
      <c r="AC1" s="711"/>
      <c r="AD1" s="711"/>
      <c r="AE1" s="711"/>
      <c r="AF1" s="711"/>
      <c r="AG1" s="711"/>
      <c r="AH1" s="711"/>
      <c r="AI1" s="711"/>
      <c r="AJ1" s="711"/>
      <c r="AK1" s="711"/>
    </row>
    <row r="2" ht="12.75" customHeight="1">
      <c r="A2" s="519"/>
      <c r="B2" s="519"/>
      <c r="C2" s="519"/>
      <c r="D2" s="519"/>
      <c r="E2" s="519"/>
      <c r="F2" s="519"/>
      <c r="G2" s="519"/>
      <c r="H2" s="519"/>
      <c r="I2" s="519"/>
      <c r="J2" s="519"/>
      <c r="K2" s="708"/>
      <c r="L2" s="230"/>
      <c r="M2" s="519"/>
      <c r="N2" s="519"/>
      <c r="O2" s="519"/>
      <c r="P2" s="519"/>
      <c r="Q2" s="519"/>
      <c r="R2" s="519"/>
      <c r="S2" s="519"/>
      <c r="T2" s="519"/>
      <c r="U2" s="519"/>
      <c r="V2" s="519"/>
      <c r="W2" s="519"/>
      <c r="AA2" s="579"/>
      <c r="AC2" s="711"/>
      <c r="AD2" s="711"/>
      <c r="AE2" s="711"/>
      <c r="AF2" s="711"/>
      <c r="AG2" s="711"/>
      <c r="AH2" s="711"/>
      <c r="AI2" s="711"/>
      <c r="AJ2" s="711"/>
      <c r="AK2" s="711"/>
    </row>
    <row r="3" ht="6.75" customHeight="1">
      <c r="H3" s="708"/>
      <c r="I3" s="708"/>
      <c r="J3" s="708"/>
      <c r="K3" s="708"/>
      <c r="Q3" s="712"/>
      <c r="AA3" s="579"/>
      <c r="AC3" s="711"/>
      <c r="AD3" s="711"/>
      <c r="AE3" s="711"/>
      <c r="AF3" s="711"/>
      <c r="AG3" s="711"/>
      <c r="AH3" s="711"/>
      <c r="AI3" s="711"/>
      <c r="AJ3" s="711"/>
      <c r="AK3" s="711"/>
    </row>
    <row r="4" ht="16.5" customHeight="1">
      <c r="A4" s="713" t="s">
        <v>390</v>
      </c>
      <c r="B4" s="713" t="s">
        <v>335</v>
      </c>
      <c r="C4" s="713" t="s">
        <v>392</v>
      </c>
      <c r="D4" s="713" t="s">
        <v>431</v>
      </c>
      <c r="E4" s="713" t="s">
        <v>397</v>
      </c>
      <c r="F4" s="713" t="s">
        <v>316</v>
      </c>
      <c r="G4" s="714" t="s">
        <v>398</v>
      </c>
      <c r="H4" s="715"/>
      <c r="I4" s="713" t="s">
        <v>438</v>
      </c>
      <c r="J4" s="713" t="s">
        <v>439</v>
      </c>
      <c r="K4" s="715"/>
      <c r="L4" s="713" t="s">
        <v>440</v>
      </c>
      <c r="M4" s="713" t="s">
        <v>390</v>
      </c>
      <c r="N4" s="713" t="s">
        <v>316</v>
      </c>
      <c r="O4" s="713" t="s">
        <v>441</v>
      </c>
      <c r="P4" s="713" t="s">
        <v>397</v>
      </c>
      <c r="Q4" s="716"/>
      <c r="R4" s="713" t="s">
        <v>442</v>
      </c>
      <c r="S4" s="713" t="s">
        <v>443</v>
      </c>
      <c r="T4" s="713" t="s">
        <v>444</v>
      </c>
      <c r="U4" s="713" t="s">
        <v>445</v>
      </c>
      <c r="V4" s="713" t="s">
        <v>446</v>
      </c>
      <c r="W4" s="713" t="s">
        <v>447</v>
      </c>
      <c r="X4" s="717"/>
      <c r="Y4" s="718" t="s">
        <v>448</v>
      </c>
      <c r="Z4" s="718" t="s">
        <v>449</v>
      </c>
      <c r="AA4" s="719"/>
      <c r="AB4" s="720" t="s">
        <v>450</v>
      </c>
      <c r="AC4" s="721"/>
      <c r="AD4" s="722" t="s">
        <v>451</v>
      </c>
      <c r="AE4" s="723" t="s">
        <v>452</v>
      </c>
      <c r="AF4" s="724" t="s">
        <v>453</v>
      </c>
      <c r="AG4" s="724" t="s">
        <v>454</v>
      </c>
      <c r="AH4" s="723" t="s">
        <v>455</v>
      </c>
      <c r="AI4" s="723" t="s">
        <v>136</v>
      </c>
      <c r="AJ4" s="724" t="s">
        <v>456</v>
      </c>
      <c r="AK4" s="723" t="s">
        <v>138</v>
      </c>
    </row>
    <row r="5" ht="15.75" customHeight="1">
      <c r="A5" s="725"/>
      <c r="B5" s="726"/>
      <c r="C5" s="727"/>
      <c r="D5" s="728"/>
      <c r="E5" s="727"/>
      <c r="F5" s="729"/>
      <c r="G5" s="730"/>
      <c r="H5" s="581"/>
      <c r="I5" s="665" t="str">
        <f t="array" ref="I5:I304">IF(NOT(D5:D304),"",IF(E5:E304="BRL",1,$AC$8))</f>
        <v/>
      </c>
      <c r="J5" s="665" t="str">
        <f t="array" ref="J5:J304">IF(NOT(D5:D304),"",D5:D304*I5:I304)</f>
        <v/>
      </c>
      <c r="K5" s="581">
        <v>1.0</v>
      </c>
      <c r="L5" s="730"/>
      <c r="M5" s="725"/>
      <c r="N5" s="731"/>
      <c r="O5" s="730"/>
      <c r="P5" s="727"/>
      <c r="Q5" s="712"/>
      <c r="R5" s="665" t="str">
        <f>IFERROR(__xludf.DUMMYFUNCTION("IF(OR(N5="""",NOT($AC$7)),"""",IFERROR(query({$A$5:$G304},""select sum(Col4) where Col1='""&amp;M5&amp;""' and (Col3 = 'Remessa' or Col3='Saque') and Col5='""&amp;P5&amp;""' and Col6='""&amp;N5&amp;""' group by Col1,Col6 label sum(Col4) ''""),0))"),"")</f>
        <v/>
      </c>
      <c r="S5" s="665" t="str">
        <f>IFERROR(__xludf.DUMMYFUNCTION("IF(OR(N5="""",NOT($AC$7)),"""",IFERROR(query({$A$5:$G304},""select sum(Col4) where Col1='""&amp;M5&amp;""' and (Col3 = 'Crédito' or Col3='Débito') and Col5='""&amp;P5&amp;""' and Col6='""&amp;N5&amp;""' group by Col1,Col6 label sum(Col4) ''""),0))"),"")</f>
        <v/>
      </c>
      <c r="T5" s="665" t="str">
        <f>IFERROR(__xludf.DUMMYFUNCTION("IF(OR(N5="""",NOT($AC$7)),"""",IFERROR(IF(AND(P5=""BRL"",'config.parâmetros'!$B$8=""BRL""),
query({op.daytrade!$A$5:$AC304},""select sum(""&amp;$Z$6&amp;"") where ""&amp;$Z$5&amp;""='""&amp;M5&amp;""' and ""&amp;$Z$9&amp;""='""&amp;N5&amp;""' label sum(""&amp;$Z$6&amp;"") ''"",0),
SUMPRODUCT(query({op."&amp;"daytrade!$A$5:$AC304},""select ""&amp;$Z$6&amp;"" where ""&amp;$Z$5&amp;""='""&amp;M5&amp;""' and ""&amp;$Z$9&amp;""='""&amp;N5&amp;""'"",0),
query({op.daytrade!$A$5:$AC304},""select 1/""&amp;$Z$7&amp;"" where ""&amp;$Z$5&amp;""='""&amp;M5&amp;""' and ""&amp;$Z$9&amp;""='""&amp;N5&amp;""' label 1/""&amp;$Z$7&amp;"" ''"",0))),0))"),"")</f>
        <v/>
      </c>
      <c r="U5" s="665" t="str">
        <f>IFERROR(__xludf.DUMMYFUNCTION("IF(OR(N5="""",NOT($AC$7)),"""",IFERROR(
SUMPRODUCT(query({proventos!$A$5:$R304},""select ""&amp;$Z$12&amp;"" where ""&amp;$Z$14&amp;""='""&amp;N5&amp;""' and ""&amp;$Z$11&amp;""='""&amp;M5&amp;""'"",0),
query({proventos!$A$5:$R304},""select 1/""&amp;$Z$13&amp;"" where ""&amp;$Z$14&amp;""='""&amp;N5&amp;""' and ""&amp;$Z$1"&amp;"1&amp;""='""&amp;M5&amp;""' label 1/""&amp;$Z$13&amp;"" ''"",0)),0))"),"")</f>
        <v/>
      </c>
      <c r="V5" s="665" t="str">
        <f>IFERROR(__xludf.DUMMYFUNCTION("IF(OR(N5="""",NOT($AC$7)),"""",IFERROR(IF(AND(P5=""BRL"",'config.parâmetros'!$B$8=""BRL""),
query({op.normal!$A$5:$AC304},""select sum(""&amp;$Z$6&amp;"") where ""&amp;$Z$5&amp;""='""&amp;M5&amp;""' and ""&amp;$Z$9&amp;""='""&amp;N5&amp;""' label sum(""&amp;$Z$6&amp;"") ''"",0),
SUMPRODUCT(query({op.no"&amp;"rmal!$A$5:$AC304},""select ""&amp;$Z$6&amp;"" where ""&amp;$Z$5&amp;""='""&amp;M5&amp;""' and ""&amp;$Z$9&amp;""='""&amp;N5&amp;""'"",0),
query({op.normal!$A$5:$AC304},""select 1/""&amp;$Z$7&amp;"" where ""&amp;$Z$5&amp;""='""&amp;M5&amp;""' and ""&amp;$Z$9&amp;""='""&amp;N5&amp;""' label 1/""&amp;$Z$7&amp;"" ''"",0))),0))"),"")</f>
        <v/>
      </c>
      <c r="W5" s="665" t="str">
        <f t="shared" ref="W5:W24" si="1">IF(OR(N5="",NOT($AC$7)),"",O5+SUM(R5:V5))</f>
        <v/>
      </c>
      <c r="Y5" s="732" t="s">
        <v>390</v>
      </c>
      <c r="Z5" s="733" t="str">
        <f>"Col"&amp;MATCH(Y5,op.normal!4:4,0)</f>
        <v>Col1</v>
      </c>
      <c r="AA5" s="734"/>
      <c r="AB5" s="735" t="s">
        <v>457</v>
      </c>
      <c r="AC5" s="736" t="b">
        <f>'portfólio'!$AN$20</f>
        <v>0</v>
      </c>
      <c r="AD5" s="737" t="s">
        <v>458</v>
      </c>
      <c r="AE5" s="738" t="str">
        <f t="shared" ref="AE5:AE6" si="2">IF(NOT($AC$7),"",SUMIFS($O$5:$O$24,$P$5:$P$24,$AD5,$AE$10:$AE$29,TRUE))</f>
        <v/>
      </c>
      <c r="AF5" s="738" t="str">
        <f t="shared" ref="AF5:AF6" si="3">IF(NOT($AC$7),"",SUMIFS($R$5:$R$24,$P$5:$P$24,$AD5,$AE$10:$AE$29,TRUE))</f>
        <v/>
      </c>
      <c r="AG5" s="738" t="str">
        <f t="shared" ref="AG5:AG6" si="4">IF(NOT($AC$7),"",SUMIFS($S$5:$S$24,$P$5:$P$24,$AD5,$AE$10:$AE$29,TRUE))</f>
        <v/>
      </c>
      <c r="AH5" s="738" t="str">
        <f t="shared" ref="AH5:AH6" si="5">IF(NOT($AC$7),"",SUMIFS($T$5:$T$24,$P$5:$P$24,$AD5,$AE$10:$AE$29,TRUE))</f>
        <v/>
      </c>
      <c r="AI5" s="738" t="str">
        <f t="shared" ref="AI5:AI6" si="6">IF(NOT($AC$7),"",SUMIFS($U$5:$U$24,$P$5:$P$24,$AD5,$AE$10:$AE$29,TRUE))</f>
        <v/>
      </c>
      <c r="AJ5" s="738" t="str">
        <f t="shared" ref="AJ5:AJ6" si="7">IF(NOT($AC$7),"",SUMIFS($V$5:$V$24,$P$5:$P$24,$AD5,$AE$10:$AE$29,TRUE))</f>
        <v/>
      </c>
      <c r="AK5" s="738" t="str">
        <f t="shared" ref="AK5:AK6" si="8">IF(NOT($AC$7),"",SUMIFS($W$5:$W$24,$P$5:$P$24,$AD5,$AE$10:$AE$29,TRUE))</f>
        <v/>
      </c>
    </row>
    <row r="6" ht="15.75" customHeight="1">
      <c r="A6" s="725"/>
      <c r="B6" s="726"/>
      <c r="C6" s="727"/>
      <c r="D6" s="730"/>
      <c r="E6" s="727"/>
      <c r="F6" s="729"/>
      <c r="G6" s="730"/>
      <c r="H6" s="581"/>
      <c r="I6" s="665" t="s">
        <v>123</v>
      </c>
      <c r="J6" s="665" t="s">
        <v>123</v>
      </c>
      <c r="K6" s="581">
        <v>2.0</v>
      </c>
      <c r="L6" s="730"/>
      <c r="M6" s="725"/>
      <c r="N6" s="731"/>
      <c r="O6" s="730"/>
      <c r="P6" s="727"/>
      <c r="Q6" s="712"/>
      <c r="R6" s="665" t="str">
        <f>IFERROR(__xludf.DUMMYFUNCTION("IF(OR(N6="""",NOT($AC$7)),"""",IFERROR(query({$A$5:$G304},""select sum(Col4) where Col1='""&amp;M6&amp;""' and (Col3 = 'Remessa' or Col3='Saque') and Col5='""&amp;P6&amp;""' and Col6='""&amp;N6&amp;""' group by Col1,Col6 label sum(Col4) ''""),0))"),"")</f>
        <v/>
      </c>
      <c r="S6" s="665" t="str">
        <f>IFERROR(__xludf.DUMMYFUNCTION("IF(OR(N6="""",NOT($AC$7)),"""",IFERROR(query({$A$5:$G304},""select sum(Col4) where Col1='""&amp;M6&amp;""' and (Col3 = 'Crédito' or Col3='Débito') and Col5='""&amp;P6&amp;""' and Col6='""&amp;N6&amp;""' group by Col1,Col6 label sum(Col4) ''""),0))"),"")</f>
        <v/>
      </c>
      <c r="T6" s="665" t="str">
        <f>IFERROR(__xludf.DUMMYFUNCTION("IF(OR(N6="""",NOT($AC$7)),"""",IFERROR(IF(AND(P6=""BRL"",'config.parâmetros'!$B$8=""BRL""),
query({op.daytrade!$A$5:$AC304},""select sum(""&amp;$Z$6&amp;"") where ""&amp;$Z$5&amp;""='""&amp;M6&amp;""' and ""&amp;$Z$9&amp;""='""&amp;N6&amp;""' label sum(""&amp;$Z$6&amp;"") ''"",0),
SUMPRODUCT(query({op."&amp;"daytrade!$A$5:$AC304},""select ""&amp;$Z$6&amp;"" where ""&amp;$Z$5&amp;""='""&amp;M6&amp;""' and ""&amp;$Z$9&amp;""='""&amp;N6&amp;""'"",0),
query({op.daytrade!$A$5:$AC304},""select 1/""&amp;$Z$7&amp;"" where ""&amp;$Z$5&amp;""='""&amp;M6&amp;""' and ""&amp;$Z$9&amp;""='""&amp;N6&amp;""' label 1/""&amp;$Z$7&amp;"" ''"",0))),0))"),"")</f>
        <v/>
      </c>
      <c r="U6" s="665" t="str">
        <f>IFERROR(__xludf.DUMMYFUNCTION("IF(OR(N6="""",NOT($AC$7)),"""",IFERROR(
SUMPRODUCT(query({proventos!$A$5:$R304},""select ""&amp;$Z$12&amp;"" where ""&amp;$Z$14&amp;""='""&amp;N6&amp;""' and ""&amp;$Z$11&amp;""='""&amp;M6&amp;""'"",0),
query({proventos!$A$5:$R304},""select 1/""&amp;$Z$13&amp;"" where ""&amp;$Z$14&amp;""='""&amp;N6&amp;""' and ""&amp;$Z$1"&amp;"1&amp;""='""&amp;M6&amp;""' label 1/""&amp;$Z$13&amp;"" ''"",0)),0))"),"")</f>
        <v/>
      </c>
      <c r="V6" s="665" t="str">
        <f>IFERROR(__xludf.DUMMYFUNCTION("IF(OR(N6="""",NOT($AC$7)),"""",IFERROR(IF(AND(P6=""BRL"",'config.parâmetros'!$B$8=""BRL""),
query({op.normal!$A$5:$AC304},""select sum(""&amp;$Z$6&amp;"") where ""&amp;$Z$5&amp;""='""&amp;M6&amp;""' and ""&amp;$Z$9&amp;""='""&amp;N6&amp;""' label sum(""&amp;$Z$6&amp;"") ''"",0),
SUMPRODUCT(query({op.no"&amp;"rmal!$A$5:$AC304},""select ""&amp;$Z$6&amp;"" where ""&amp;$Z$5&amp;""='""&amp;M6&amp;""' and ""&amp;$Z$9&amp;""='""&amp;N6&amp;""'"",0),
query({op.normal!$A$5:$AC304},""select 1/""&amp;$Z$7&amp;"" where ""&amp;$Z$5&amp;""='""&amp;M6&amp;""' and ""&amp;$Z$9&amp;""='""&amp;N6&amp;""' label 1/""&amp;$Z$7&amp;"" ''"",0))),0))"),"")</f>
        <v/>
      </c>
      <c r="W6" s="665" t="str">
        <f t="shared" si="1"/>
        <v/>
      </c>
      <c r="Y6" s="739" t="s">
        <v>402</v>
      </c>
      <c r="Z6" s="733" t="str">
        <f>"Col"&amp;MATCH(Y6,op.normal!4:4,0)</f>
        <v>Col18</v>
      </c>
      <c r="AA6" s="734"/>
      <c r="AB6" s="740" t="s">
        <v>459</v>
      </c>
      <c r="AC6" s="736" t="b">
        <f>ConfigOn</f>
        <v>1</v>
      </c>
      <c r="AD6" s="737" t="s">
        <v>460</v>
      </c>
      <c r="AE6" s="738" t="str">
        <f t="shared" si="2"/>
        <v/>
      </c>
      <c r="AF6" s="738" t="str">
        <f t="shared" si="3"/>
        <v/>
      </c>
      <c r="AG6" s="738" t="str">
        <f t="shared" si="4"/>
        <v/>
      </c>
      <c r="AH6" s="738" t="str">
        <f t="shared" si="5"/>
        <v/>
      </c>
      <c r="AI6" s="738" t="str">
        <f t="shared" si="6"/>
        <v/>
      </c>
      <c r="AJ6" s="738" t="str">
        <f t="shared" si="7"/>
        <v/>
      </c>
      <c r="AK6" s="738" t="str">
        <f t="shared" si="8"/>
        <v/>
      </c>
    </row>
    <row r="7" ht="15.75" customHeight="1">
      <c r="A7" s="725"/>
      <c r="B7" s="726"/>
      <c r="C7" s="727"/>
      <c r="D7" s="730"/>
      <c r="E7" s="727"/>
      <c r="F7" s="729"/>
      <c r="G7" s="730"/>
      <c r="H7" s="581"/>
      <c r="I7" s="665" t="s">
        <v>123</v>
      </c>
      <c r="J7" s="665" t="s">
        <v>123</v>
      </c>
      <c r="K7" s="581">
        <v>3.0</v>
      </c>
      <c r="L7" s="730"/>
      <c r="M7" s="725"/>
      <c r="N7" s="731"/>
      <c r="O7" s="730"/>
      <c r="P7" s="727"/>
      <c r="Q7" s="712"/>
      <c r="R7" s="665" t="str">
        <f>IFERROR(__xludf.DUMMYFUNCTION("IF(OR(N7="""",NOT($AC$7)),"""",IFERROR(query({$A$5:$G304},""select sum(Col4) where Col1='""&amp;M7&amp;""' and (Col3 = 'Remessa' or Col3='Saque') and Col5='""&amp;P7&amp;""' and Col6='""&amp;N7&amp;""' group by Col1,Col6 label sum(Col4) ''""),0))"),"")</f>
        <v/>
      </c>
      <c r="S7" s="665" t="str">
        <f>IFERROR(__xludf.DUMMYFUNCTION("IF(OR(N7="""",NOT($AC$7)),"""",IFERROR(query({$A$5:$G304},""select sum(Col4) where Col1='""&amp;M7&amp;""' and (Col3 = 'Crédito' or Col3='Débito') and Col5='""&amp;P7&amp;""' and Col6='""&amp;N7&amp;""' group by Col1,Col6 label sum(Col4) ''""),0))"),"")</f>
        <v/>
      </c>
      <c r="T7" s="665" t="str">
        <f>IFERROR(__xludf.DUMMYFUNCTION("IF(OR(N7="""",NOT($AC$7)),"""",IFERROR(IF(AND(P7=""BRL"",'config.parâmetros'!$B$8=""BRL""),
query({op.daytrade!$A$5:$AC304},""select sum(""&amp;$Z$6&amp;"") where ""&amp;$Z$5&amp;""='""&amp;M7&amp;""' and ""&amp;$Z$9&amp;""='""&amp;N7&amp;""' label sum(""&amp;$Z$6&amp;"") ''"",0),
SUMPRODUCT(query({op."&amp;"daytrade!$A$5:$AC304},""select ""&amp;$Z$6&amp;"" where ""&amp;$Z$5&amp;""='""&amp;M7&amp;""' and ""&amp;$Z$9&amp;""='""&amp;N7&amp;""'"",0),
query({op.daytrade!$A$5:$AC304},""select 1/""&amp;$Z$7&amp;"" where ""&amp;$Z$5&amp;""='""&amp;M7&amp;""' and ""&amp;$Z$9&amp;""='""&amp;N7&amp;""' label 1/""&amp;$Z$7&amp;"" ''"",0))),0))"),"")</f>
        <v/>
      </c>
      <c r="U7" s="665" t="str">
        <f>IFERROR(__xludf.DUMMYFUNCTION("IF(OR(N7="""",NOT($AC$7)),"""",IFERROR(
SUMPRODUCT(query({proventos!$A$5:$R304},""select ""&amp;$Z$12&amp;"" where ""&amp;$Z$14&amp;""='""&amp;N7&amp;""' and ""&amp;$Z$11&amp;""='""&amp;M7&amp;""'"",0),
query({proventos!$A$5:$R304},""select 1/""&amp;$Z$13&amp;"" where ""&amp;$Z$14&amp;""='""&amp;N7&amp;""' and ""&amp;$Z$1"&amp;"1&amp;""='""&amp;M7&amp;""' label 1/""&amp;$Z$13&amp;"" ''"",0)),0))"),"")</f>
        <v/>
      </c>
      <c r="V7" s="665" t="str">
        <f>IFERROR(__xludf.DUMMYFUNCTION("IF(OR(N7="""",NOT($AC$7)),"""",IFERROR(IF(AND(P7=""BRL"",'config.parâmetros'!$B$8=""BRL""),
query({op.normal!$A$5:$AC304},""select sum(""&amp;$Z$6&amp;"") where ""&amp;$Z$5&amp;""='""&amp;M7&amp;""' and ""&amp;$Z$9&amp;""='""&amp;N7&amp;""' label sum(""&amp;$Z$6&amp;"") ''"",0),
SUMPRODUCT(query({op.no"&amp;"rmal!$A$5:$AC304},""select ""&amp;$Z$6&amp;"" where ""&amp;$Z$5&amp;""='""&amp;M7&amp;""' and ""&amp;$Z$9&amp;""='""&amp;N7&amp;""'"",0),
query({op.normal!$A$5:$AC304},""select 1/""&amp;$Z$7&amp;"" where ""&amp;$Z$5&amp;""='""&amp;M7&amp;""' and ""&amp;$Z$9&amp;""='""&amp;N7&amp;""' label 1/""&amp;$Z$7&amp;"" ''"",0))),0))"),"")</f>
        <v/>
      </c>
      <c r="W7" s="665" t="str">
        <f t="shared" si="1"/>
        <v/>
      </c>
      <c r="Y7" s="739" t="s">
        <v>407</v>
      </c>
      <c r="Z7" s="733" t="str">
        <f>"Col"&amp;MATCH(Y7,op.normal!4:4,0)</f>
        <v>Col23</v>
      </c>
      <c r="AA7" s="734"/>
      <c r="AB7" s="735" t="s">
        <v>461</v>
      </c>
      <c r="AC7" s="736" t="b">
        <f>AND($AC$5,$AC$6)</f>
        <v>0</v>
      </c>
      <c r="AD7" s="737" t="s">
        <v>462</v>
      </c>
      <c r="AE7" s="738" t="str">
        <f>IF(NOT(AC7),"",AE6*$AC$8)</f>
        <v/>
      </c>
      <c r="AF7" s="738" t="str">
        <f>IF(NOT(AC7),"",AF6*$AC$8)</f>
        <v/>
      </c>
      <c r="AG7" s="738" t="str">
        <f>IF(NOT(AC7),"",AG6*$AC$8)</f>
        <v/>
      </c>
      <c r="AH7" s="738" t="str">
        <f>IF(NOT(AC7),"",AH6*$AC$8)</f>
        <v/>
      </c>
      <c r="AI7" s="738" t="str">
        <f>IF(NOT(AC7),"",AI6*$AC$8)</f>
        <v/>
      </c>
      <c r="AJ7" s="738" t="str">
        <f>IF(NOT(AC7),"",AJ6*$AC$8)</f>
        <v/>
      </c>
      <c r="AK7" s="738" t="str">
        <f>IF(NOT(AC7),"",AK6*$AC$8)</f>
        <v/>
      </c>
    </row>
    <row r="8" ht="15.75" customHeight="1">
      <c r="A8" s="725"/>
      <c r="B8" s="726"/>
      <c r="C8" s="727"/>
      <c r="D8" s="741"/>
      <c r="E8" s="727"/>
      <c r="F8" s="729"/>
      <c r="G8" s="730"/>
      <c r="H8" s="581"/>
      <c r="I8" s="665" t="s">
        <v>123</v>
      </c>
      <c r="J8" s="665" t="s">
        <v>123</v>
      </c>
      <c r="K8" s="581">
        <v>4.0</v>
      </c>
      <c r="L8" s="730"/>
      <c r="M8" s="725"/>
      <c r="N8" s="731"/>
      <c r="O8" s="730"/>
      <c r="P8" s="727"/>
      <c r="Q8" s="712"/>
      <c r="R8" s="665" t="str">
        <f>IFERROR(__xludf.DUMMYFUNCTION("IF(OR(N8="""",NOT($AC$7)),"""",IFERROR(query({$A$5:$G304},""select sum(Col4) where Col1='""&amp;M8&amp;""' and (Col3 = 'Remessa' or Col3='Saque') and Col5='""&amp;P8&amp;""' and Col6='""&amp;N8&amp;""' group by Col1,Col6 label sum(Col4) ''""),0))"),"")</f>
        <v/>
      </c>
      <c r="S8" s="665" t="str">
        <f>IFERROR(__xludf.DUMMYFUNCTION("IF(OR(N8="""",NOT($AC$7)),"""",IFERROR(query({$A$5:$G304},""select sum(Col4) where Col1='""&amp;M8&amp;""' and (Col3 = 'Crédito' or Col3='Débito') and Col5='""&amp;P8&amp;""' and Col6='""&amp;N8&amp;""' group by Col1,Col6 label sum(Col4) ''""),0))"),"")</f>
        <v/>
      </c>
      <c r="T8" s="665" t="str">
        <f>IFERROR(__xludf.DUMMYFUNCTION("IF(OR(N8="""",NOT($AC$7)),"""",IFERROR(IF(AND(P8=""BRL"",'config.parâmetros'!$B$8=""BRL""),
query({op.daytrade!$A$5:$AC304},""select sum(""&amp;$Z$6&amp;"") where ""&amp;$Z$5&amp;""='""&amp;M8&amp;""' and ""&amp;$Z$9&amp;""='""&amp;N8&amp;""' label sum(""&amp;$Z$6&amp;"") ''"",0),
SUMPRODUCT(query({op."&amp;"daytrade!$A$5:$AC304},""select ""&amp;$Z$6&amp;"" where ""&amp;$Z$5&amp;""='""&amp;M8&amp;""' and ""&amp;$Z$9&amp;""='""&amp;N8&amp;""'"",0),
query({op.daytrade!$A$5:$AC304},""select 1/""&amp;$Z$7&amp;"" where ""&amp;$Z$5&amp;""='""&amp;M8&amp;""' and ""&amp;$Z$9&amp;""='""&amp;N8&amp;""' label 1/""&amp;$Z$7&amp;"" ''"",0))),0))"),"")</f>
        <v/>
      </c>
      <c r="U8" s="665" t="str">
        <f>IFERROR(__xludf.DUMMYFUNCTION("IF(OR(N8="""",NOT($AC$7)),"""",IFERROR(
SUMPRODUCT(query({proventos!$A$5:$R304},""select ""&amp;$Z$12&amp;"" where ""&amp;$Z$14&amp;""='""&amp;N8&amp;""' and ""&amp;$Z$11&amp;""='""&amp;M8&amp;""'"",0),
query({proventos!$A$5:$R304},""select 1/""&amp;$Z$13&amp;"" where ""&amp;$Z$14&amp;""='""&amp;N8&amp;""' and ""&amp;$Z$1"&amp;"1&amp;""='""&amp;M8&amp;""' label 1/""&amp;$Z$13&amp;"" ''"",0)),0))"),"")</f>
        <v/>
      </c>
      <c r="V8" s="665" t="str">
        <f>IFERROR(__xludf.DUMMYFUNCTION("IF(OR(N8="""",NOT($AC$7)),"""",IFERROR(IF(AND(P8=""BRL"",'config.parâmetros'!$B$8=""BRL""),
query({op.normal!$A$5:$AC304},""select sum(""&amp;$Z$6&amp;"") where ""&amp;$Z$5&amp;""='""&amp;M8&amp;""' and ""&amp;$Z$9&amp;""='""&amp;N8&amp;""' label sum(""&amp;$Z$6&amp;"") ''"",0),
SUMPRODUCT(query({op.no"&amp;"rmal!$A$5:$AC304},""select ""&amp;$Z$6&amp;"" where ""&amp;$Z$5&amp;""='""&amp;M8&amp;""' and ""&amp;$Z$9&amp;""='""&amp;N8&amp;""'"",0),
query({op.normal!$A$5:$AC304},""select 1/""&amp;$Z$7&amp;"" where ""&amp;$Z$5&amp;""='""&amp;M8&amp;""' and ""&amp;$Z$9&amp;""='""&amp;N8&amp;""' label 1/""&amp;$Z$7&amp;"" ''"",0))),0))"),"")</f>
        <v/>
      </c>
      <c r="W8" s="665" t="str">
        <f t="shared" si="1"/>
        <v/>
      </c>
      <c r="Y8" s="739" t="s">
        <v>392</v>
      </c>
      <c r="Z8" s="733" t="str">
        <f>"Col"&amp;MATCH(Y8,op.normal!4:4,0)</f>
        <v>Col4</v>
      </c>
      <c r="AA8" s="734"/>
      <c r="AB8" s="742" t="s">
        <v>463</v>
      </c>
      <c r="AC8" s="743">
        <f>'portfólio'!AO8</f>
        <v>5.19280091</v>
      </c>
      <c r="AD8" s="737" t="s">
        <v>464</v>
      </c>
      <c r="AE8" s="738" t="str">
        <f>IF(NOT(AC7),"",AE7+AE5)</f>
        <v/>
      </c>
      <c r="AF8" s="738" t="str">
        <f>IF(NOT(AC7),"",AF7+AF5)</f>
        <v/>
      </c>
      <c r="AG8" s="738" t="str">
        <f>IF(NOT(AC7),"",AG7+AG5)</f>
        <v/>
      </c>
      <c r="AH8" s="738" t="str">
        <f>IF(NOT(AC7),"",AH7+AH5)</f>
        <v/>
      </c>
      <c r="AI8" s="738" t="str">
        <f>IF(NOT(AC7),"",AI7+AI5)</f>
        <v/>
      </c>
      <c r="AJ8" s="738" t="str">
        <f>IF(NOT(AC7),"",AJ7+AJ5)</f>
        <v/>
      </c>
      <c r="AK8" s="738" t="str">
        <f>IF(NOT(AC7),"",AK7+AK5)</f>
        <v/>
      </c>
    </row>
    <row r="9" ht="15.75" customHeight="1">
      <c r="A9" s="725"/>
      <c r="B9" s="726"/>
      <c r="C9" s="727"/>
      <c r="D9" s="730"/>
      <c r="E9" s="727"/>
      <c r="F9" s="729"/>
      <c r="G9" s="730"/>
      <c r="H9" s="581"/>
      <c r="I9" s="665" t="s">
        <v>123</v>
      </c>
      <c r="J9" s="665" t="s">
        <v>123</v>
      </c>
      <c r="K9" s="581">
        <v>5.0</v>
      </c>
      <c r="L9" s="730"/>
      <c r="M9" s="725"/>
      <c r="N9" s="731"/>
      <c r="O9" s="730"/>
      <c r="P9" s="727"/>
      <c r="Q9" s="712"/>
      <c r="R9" s="665" t="str">
        <f>IFERROR(__xludf.DUMMYFUNCTION("IF(OR(N9="""",NOT($AC$7)),"""",IFERROR(query({$A$5:$G304},""select sum(Col4) where Col1='""&amp;M9&amp;""' and (Col3 = 'Remessa' or Col3='Saque') and Col5='""&amp;P9&amp;""' and Col6='""&amp;N9&amp;""' group by Col1,Col6 label sum(Col4) ''""),0))"),"")</f>
        <v/>
      </c>
      <c r="S9" s="665" t="str">
        <f>IFERROR(__xludf.DUMMYFUNCTION("IF(OR(N9="""",NOT($AC$7)),"""",IFERROR(query({$A$5:$G304},""select sum(Col4) where Col1='""&amp;M9&amp;""' and (Col3 = 'Crédito' or Col3='Débito') and Col5='""&amp;P9&amp;""' and Col6='""&amp;N9&amp;""' group by Col1,Col6 label sum(Col4) ''""),0))"),"")</f>
        <v/>
      </c>
      <c r="T9" s="665" t="str">
        <f>IFERROR(__xludf.DUMMYFUNCTION("IF(OR(N9="""",NOT($AC$7)),"""",IFERROR(IF(AND(P9=""BRL"",'config.parâmetros'!$B$8=""BRL""),
query({op.daytrade!$A$5:$AC304},""select sum(""&amp;$Z$6&amp;"") where ""&amp;$Z$5&amp;""='""&amp;M9&amp;""' and ""&amp;$Z$9&amp;""='""&amp;N9&amp;""' label sum(""&amp;$Z$6&amp;"") ''"",0),
SUMPRODUCT(query({op."&amp;"daytrade!$A$5:$AC304},""select ""&amp;$Z$6&amp;"" where ""&amp;$Z$5&amp;""='""&amp;M9&amp;""' and ""&amp;$Z$9&amp;""='""&amp;N9&amp;""'"",0),
query({op.daytrade!$A$5:$AC304},""select 1/""&amp;$Z$7&amp;"" where ""&amp;$Z$5&amp;""='""&amp;M9&amp;""' and ""&amp;$Z$9&amp;""='""&amp;N9&amp;""' label 1/""&amp;$Z$7&amp;"" ''"",0))),0))"),"")</f>
        <v/>
      </c>
      <c r="U9" s="665" t="str">
        <f>IFERROR(__xludf.DUMMYFUNCTION("IF(OR(N9="""",NOT($AC$7)),"""",IFERROR(
SUMPRODUCT(query({proventos!$A$5:$R304},""select ""&amp;$Z$12&amp;"" where ""&amp;$Z$14&amp;""='""&amp;N9&amp;""' and ""&amp;$Z$11&amp;""='""&amp;M9&amp;""'"",0),
query({proventos!$A$5:$R304},""select 1/""&amp;$Z$13&amp;"" where ""&amp;$Z$14&amp;""='""&amp;N9&amp;""' and ""&amp;$Z$1"&amp;"1&amp;""='""&amp;M9&amp;""' label 1/""&amp;$Z$13&amp;"" ''"",0)),0))"),"")</f>
        <v/>
      </c>
      <c r="V9" s="665" t="str">
        <f>IFERROR(__xludf.DUMMYFUNCTION("IF(OR(N9="""",NOT($AC$7)),"""",IFERROR(IF(AND(P9=""BRL"",'config.parâmetros'!$B$8=""BRL""),
query({op.normal!$A$5:$AC304},""select sum(""&amp;$Z$6&amp;"") where ""&amp;$Z$5&amp;""='""&amp;M9&amp;""' and ""&amp;$Z$9&amp;""='""&amp;N9&amp;""' label sum(""&amp;$Z$6&amp;"") ''"",0),
SUMPRODUCT(query({op.no"&amp;"rmal!$A$5:$AC304},""select ""&amp;$Z$6&amp;"" where ""&amp;$Z$5&amp;""='""&amp;M9&amp;""' and ""&amp;$Z$9&amp;""='""&amp;N9&amp;""'"",0),
query({op.normal!$A$5:$AC304},""select 1/""&amp;$Z$7&amp;"" where ""&amp;$Z$5&amp;""='""&amp;M9&amp;""' and ""&amp;$Z$9&amp;""='""&amp;N9&amp;""' label 1/""&amp;$Z$7&amp;"" ''"",0))),0))"),"")</f>
        <v/>
      </c>
      <c r="W9" s="665" t="str">
        <f t="shared" si="1"/>
        <v/>
      </c>
      <c r="Y9" s="732" t="s">
        <v>316</v>
      </c>
      <c r="Z9" s="733" t="str">
        <f>"Col"&amp;MATCH(Y9,op.normal!4:4,0)</f>
        <v>Col8</v>
      </c>
      <c r="AA9" s="734"/>
      <c r="AB9" s="734"/>
      <c r="AC9" s="734"/>
      <c r="AD9" s="734"/>
      <c r="AE9" s="734"/>
      <c r="AF9" s="734"/>
      <c r="AG9" s="734"/>
      <c r="AH9" s="734"/>
      <c r="AI9" s="734"/>
      <c r="AJ9" s="734"/>
      <c r="AK9" s="734"/>
    </row>
    <row r="10" ht="15.75" customHeight="1">
      <c r="A10" s="725"/>
      <c r="B10" s="726"/>
      <c r="C10" s="727"/>
      <c r="D10" s="730"/>
      <c r="E10" s="727"/>
      <c r="F10" s="729"/>
      <c r="G10" s="730"/>
      <c r="H10" s="581"/>
      <c r="I10" s="665" t="s">
        <v>123</v>
      </c>
      <c r="J10" s="665" t="s">
        <v>123</v>
      </c>
      <c r="K10" s="581">
        <v>6.0</v>
      </c>
      <c r="L10" s="730"/>
      <c r="M10" s="725"/>
      <c r="N10" s="731"/>
      <c r="O10" s="730"/>
      <c r="P10" s="727"/>
      <c r="Q10" s="712" t="str">
        <f t="array" ref="Q10">SORT(UNIQUE({op.normal!AC5:AC304;op.daytrade!AC5:AC304}))</f>
        <v/>
      </c>
      <c r="R10" s="665" t="str">
        <f>IFERROR(__xludf.DUMMYFUNCTION("IF(OR(N10="""",NOT($AC$7)),"""",IFERROR(query({$A$5:$G304},""select sum(Col4) where Col1='""&amp;M10&amp;""' and (Col3 = 'Remessa' or Col3='Saque') and Col5='""&amp;P10&amp;""' and Col6='""&amp;N10&amp;""' group by Col1,Col6 label sum(Col4) ''""),0))"),"")</f>
        <v/>
      </c>
      <c r="S10" s="665" t="str">
        <f>IFERROR(__xludf.DUMMYFUNCTION("IF(OR(N10="""",NOT($AC$7)),"""",IFERROR(query({$A$5:$G304},""select sum(Col4) where Col1='""&amp;M10&amp;""' and (Col3 = 'Crédito' or Col3='Débito') and Col5='""&amp;P10&amp;""' and Col6='""&amp;N10&amp;""' group by Col1,Col6 label sum(Col4) ''""),0))"),"")</f>
        <v/>
      </c>
      <c r="T10" s="665" t="str">
        <f>IFERROR(__xludf.DUMMYFUNCTION("IF(OR(N10="""",NOT($AC$7)),"""",IFERROR(IF(AND(P10=""BRL"",'config.parâmetros'!$B$8=""BRL""),
query({op.daytrade!$A$5:$AC304},""select sum(""&amp;$Z$6&amp;"") where ""&amp;$Z$5&amp;""='""&amp;M10&amp;""' and ""&amp;$Z$9&amp;""='""&amp;N10&amp;""' label sum(""&amp;$Z$6&amp;"") ''"",0),
SUMPRODUCT(query("&amp;"{op.daytrade!$A$5:$AC304},""select ""&amp;$Z$6&amp;"" where ""&amp;$Z$5&amp;""='""&amp;M10&amp;""' and ""&amp;$Z$9&amp;""='""&amp;N10&amp;""'"",0),
query({op.daytrade!$A$5:$AC304},""select 1/""&amp;$Z$7&amp;"" where ""&amp;$Z$5&amp;""='""&amp;M10&amp;""' and ""&amp;$Z$9&amp;""='""&amp;N10&amp;""' label 1/""&amp;$Z$7&amp;"" ''"",0))),0))"),"")</f>
        <v/>
      </c>
      <c r="U10" s="665" t="str">
        <f>IFERROR(__xludf.DUMMYFUNCTION("IF(OR(N10="""",NOT($AC$7)),"""",IFERROR(
SUMPRODUCT(query({proventos!$A$5:$R304},""select ""&amp;$Z$12&amp;"" where ""&amp;$Z$14&amp;""='""&amp;N10&amp;""' and ""&amp;$Z$11&amp;""='""&amp;M10&amp;""'"",0),
query({proventos!$A$5:$R304},""select 1/""&amp;$Z$13&amp;"" where ""&amp;$Z$14&amp;""='""&amp;N10&amp;""' and ""&amp;"&amp;"$Z$11&amp;""='""&amp;M10&amp;""' label 1/""&amp;$Z$13&amp;"" ''"",0)),0))"),"")</f>
        <v/>
      </c>
      <c r="V10" s="665" t="str">
        <f>IFERROR(__xludf.DUMMYFUNCTION("IF(OR(N10="""",NOT($AC$7)),"""",IFERROR(IF(AND(P10=""BRL"",'config.parâmetros'!$B$8=""BRL""),
query({op.normal!$A$5:$AC304},""select sum(""&amp;$Z$6&amp;"") where ""&amp;$Z$5&amp;""='""&amp;M10&amp;""' and ""&amp;$Z$9&amp;""='""&amp;N10&amp;""' label sum(""&amp;$Z$6&amp;"") ''"",0),
SUMPRODUCT(query({o"&amp;"p.normal!$A$5:$AC304},""select ""&amp;$Z$6&amp;"" where ""&amp;$Z$5&amp;""='""&amp;M10&amp;""' and ""&amp;$Z$9&amp;""='""&amp;N10&amp;""'"",0),
query({op.normal!$A$5:$AC304},""select 1/""&amp;$Z$7&amp;"" where ""&amp;$Z$5&amp;""='""&amp;M10&amp;""' and ""&amp;$Z$9&amp;""='""&amp;N10&amp;""' label 1/""&amp;$Z$7&amp;"" ''"",0))),0))"),"")</f>
        <v/>
      </c>
      <c r="W10" s="665" t="str">
        <f t="shared" si="1"/>
        <v/>
      </c>
      <c r="Y10" s="737" t="s">
        <v>448</v>
      </c>
      <c r="Z10" s="737" t="s">
        <v>449</v>
      </c>
      <c r="AA10" s="744">
        <v>1.0</v>
      </c>
      <c r="AB10" s="745" t="str">
        <f>IFERROR(__xludf.DUMMYFUNCTION("IF(NOT(AG11),UNIQUE(N5:N24),IFERROR(FILTER(N5:N24&amp;""_""&amp;M5:M24,N5:N24&lt;&gt;"""")))"),"")</f>
        <v/>
      </c>
      <c r="AC10" s="746" t="str">
        <f>IFERROR(__xludf.DUMMYFUNCTION("IF(NOT(AG11),"""",IFERROR(FILTER(M5:M24,N5:N24&lt;&gt;"""")))"),"")</f>
        <v/>
      </c>
      <c r="AD10" s="745" t="str">
        <f>IFERROR(__xludf.DUMMYFUNCTION("IF(NOT(AG11),{AB10:AB29},IFERROR(FILTER(N5:N24,N5:N24&lt;&gt;"""")))"),"")</f>
        <v/>
      </c>
      <c r="AE10" s="747" t="b">
        <f>IF(NOT($AG$11),TRUE,IFERROR(MATCH(AC10,'portfólio'!$DP$67:$DP$73,0)&gt;0,FALSE))</f>
        <v>1</v>
      </c>
      <c r="AF10" s="734"/>
      <c r="AG10" s="747" t="s">
        <v>465</v>
      </c>
      <c r="AH10" s="734"/>
      <c r="AI10" s="734"/>
      <c r="AJ10" s="734"/>
      <c r="AK10" s="734"/>
    </row>
    <row r="11" ht="15.75" customHeight="1">
      <c r="A11" s="725"/>
      <c r="B11" s="726"/>
      <c r="C11" s="727"/>
      <c r="D11" s="730"/>
      <c r="E11" s="727"/>
      <c r="F11" s="729"/>
      <c r="G11" s="730"/>
      <c r="H11" s="581"/>
      <c r="I11" s="665" t="s">
        <v>123</v>
      </c>
      <c r="J11" s="665" t="s">
        <v>123</v>
      </c>
      <c r="K11" s="581">
        <v>7.0</v>
      </c>
      <c r="L11" s="730"/>
      <c r="M11" s="725"/>
      <c r="N11" s="731"/>
      <c r="O11" s="730"/>
      <c r="P11" s="727"/>
      <c r="Q11" s="712"/>
      <c r="R11" s="665" t="str">
        <f>IFERROR(__xludf.DUMMYFUNCTION("IF(OR(N11="""",NOT($AC$7)),"""",IFERROR(query({$A$5:$G304},""select sum(Col4) where Col1='""&amp;M11&amp;""' and (Col3 = 'Remessa' or Col3='Saque') and Col5='""&amp;P11&amp;""' and Col6='""&amp;N11&amp;""' group by Col1,Col6 label sum(Col4) ''""),0))"),"")</f>
        <v/>
      </c>
      <c r="S11" s="665" t="str">
        <f>IFERROR(__xludf.DUMMYFUNCTION("IF(OR(N11="""",NOT($AC$7)),"""",IFERROR(query({$A$5:$G304},""select sum(Col4) where Col1='""&amp;M11&amp;""' and (Col3 = 'Crédito' or Col3='Débito') and Col5='""&amp;P11&amp;""' and Col6='""&amp;N11&amp;""' group by Col1,Col6 label sum(Col4) ''""),0))"),"")</f>
        <v/>
      </c>
      <c r="T11" s="665" t="str">
        <f>IFERROR(__xludf.DUMMYFUNCTION("IF(OR(N11="""",NOT($AC$7)),"""",IFERROR(IF(AND(P11=""BRL"",'config.parâmetros'!$B$8=""BRL""),
query({op.daytrade!$A$5:$AC304},""select sum(""&amp;$Z$6&amp;"") where ""&amp;$Z$5&amp;""='""&amp;M11&amp;""' and ""&amp;$Z$9&amp;""='""&amp;N11&amp;""' label sum(""&amp;$Z$6&amp;"") ''"",0),
SUMPRODUCT(query("&amp;"{op.daytrade!$A$5:$AC304},""select ""&amp;$Z$6&amp;"" where ""&amp;$Z$5&amp;""='""&amp;M11&amp;""' and ""&amp;$Z$9&amp;""='""&amp;N11&amp;""'"",0),
query({op.daytrade!$A$5:$AC304},""select 1/""&amp;$Z$7&amp;"" where ""&amp;$Z$5&amp;""='""&amp;M11&amp;""' and ""&amp;$Z$9&amp;""='""&amp;N11&amp;""' label 1/""&amp;$Z$7&amp;"" ''"",0))),0))"),"")</f>
        <v/>
      </c>
      <c r="U11" s="665" t="str">
        <f>IFERROR(__xludf.DUMMYFUNCTION("IF(OR(N11="""",NOT($AC$7)),"""",IFERROR(
SUMPRODUCT(query({proventos!$A$5:$R304},""select ""&amp;$Z$12&amp;"" where ""&amp;$Z$14&amp;""='""&amp;N11&amp;""' and ""&amp;$Z$11&amp;""='""&amp;M11&amp;""'"",0),
query({proventos!$A$5:$R304},""select 1/""&amp;$Z$13&amp;"" where ""&amp;$Z$14&amp;""='""&amp;N11&amp;""' and ""&amp;"&amp;"$Z$11&amp;""='""&amp;M11&amp;""' label 1/""&amp;$Z$13&amp;"" ''"",0)),0))"),"")</f>
        <v/>
      </c>
      <c r="V11" s="665" t="str">
        <f>IFERROR(__xludf.DUMMYFUNCTION("IF(OR(N11="""",NOT($AC$7)),"""",IFERROR(IF(AND(P11=""BRL"",'config.parâmetros'!$B$8=""BRL""),
query({op.normal!$A$5:$AC304},""select sum(""&amp;$Z$6&amp;"") where ""&amp;$Z$5&amp;""='""&amp;M11&amp;""' and ""&amp;$Z$9&amp;""='""&amp;N11&amp;""' label sum(""&amp;$Z$6&amp;"") ''"",0),
SUMPRODUCT(query({o"&amp;"p.normal!$A$5:$AC304},""select ""&amp;$Z$6&amp;"" where ""&amp;$Z$5&amp;""='""&amp;M11&amp;""' and ""&amp;$Z$9&amp;""='""&amp;N11&amp;""'"",0),
query({op.normal!$A$5:$AC304},""select 1/""&amp;$Z$7&amp;"" where ""&amp;$Z$5&amp;""='""&amp;M11&amp;""' and ""&amp;$Z$9&amp;""='""&amp;N11&amp;""' label 1/""&amp;$Z$7&amp;"" ''"",0))),0))"),"")</f>
        <v/>
      </c>
      <c r="W11" s="665" t="str">
        <f t="shared" si="1"/>
        <v/>
      </c>
      <c r="Y11" s="748" t="s">
        <v>390</v>
      </c>
      <c r="Z11" s="733" t="str">
        <f>"Col"&amp;MATCH(Y11,proventos!4:4,0)</f>
        <v>Col1</v>
      </c>
      <c r="AA11" s="744">
        <v>2.0</v>
      </c>
      <c r="AB11" s="746"/>
      <c r="AC11" s="746"/>
      <c r="AD11" s="746"/>
      <c r="AE11" s="747" t="b">
        <f>IF(NOT($AG$11),TRUE,IFERROR(MATCH(AC11,'portfólio'!$DP$67:$DP$73,0)&gt;0,FALSE))</f>
        <v>1</v>
      </c>
      <c r="AF11" s="734"/>
      <c r="AG11" s="747" t="b">
        <f t="array" ref="AG11">COUNTA(UNIQUE('config.parâmetros'!$B$17:$B$23))&gt;0</f>
        <v>0</v>
      </c>
      <c r="AH11" s="734"/>
      <c r="AI11" s="734"/>
      <c r="AJ11" s="734"/>
      <c r="AK11" s="734"/>
    </row>
    <row r="12" ht="15.75" customHeight="1">
      <c r="A12" s="725"/>
      <c r="B12" s="726"/>
      <c r="C12" s="727"/>
      <c r="D12" s="730"/>
      <c r="E12" s="727"/>
      <c r="F12" s="729"/>
      <c r="G12" s="730"/>
      <c r="H12" s="581"/>
      <c r="I12" s="665" t="s">
        <v>123</v>
      </c>
      <c r="J12" s="665" t="s">
        <v>123</v>
      </c>
      <c r="K12" s="581">
        <v>8.0</v>
      </c>
      <c r="L12" s="730"/>
      <c r="M12" s="725"/>
      <c r="N12" s="731"/>
      <c r="O12" s="730"/>
      <c r="P12" s="727"/>
      <c r="Q12" s="712"/>
      <c r="R12" s="665" t="str">
        <f>IFERROR(__xludf.DUMMYFUNCTION("IF(OR(N12="""",NOT($AC$7)),"""",IFERROR(query({$A$5:$G304},""select sum(Col4) where Col1='""&amp;M12&amp;""' and (Col3 = 'Remessa' or Col3='Saque') and Col5='""&amp;P12&amp;""' and Col6='""&amp;N12&amp;""' group by Col1,Col6 label sum(Col4) ''""),0))"),"")</f>
        <v/>
      </c>
      <c r="S12" s="665" t="str">
        <f>IFERROR(__xludf.DUMMYFUNCTION("IF(OR(N12="""",NOT($AC$7)),"""",IFERROR(query({$A$5:$G304},""select sum(Col4) where Col1='""&amp;M12&amp;""' and (Col3 = 'Crédito' or Col3='Débito') and Col5='""&amp;P12&amp;""' and Col6='""&amp;N12&amp;""' group by Col1,Col6 label sum(Col4) ''""),0))"),"")</f>
        <v/>
      </c>
      <c r="T12" s="665" t="str">
        <f>IFERROR(__xludf.DUMMYFUNCTION("IF(OR(N12="""",NOT($AC$7)),"""",IFERROR(IF(AND(P12=""BRL"",'config.parâmetros'!$B$8=""BRL""),
query({op.daytrade!$A$5:$AC304},""select sum(""&amp;$Z$6&amp;"") where ""&amp;$Z$5&amp;""='""&amp;M12&amp;""' and ""&amp;$Z$9&amp;""='""&amp;N12&amp;""' label sum(""&amp;$Z$6&amp;"") ''"",0),
SUMPRODUCT(query("&amp;"{op.daytrade!$A$5:$AC304},""select ""&amp;$Z$6&amp;"" where ""&amp;$Z$5&amp;""='""&amp;M12&amp;""' and ""&amp;$Z$9&amp;""='""&amp;N12&amp;""'"",0),
query({op.daytrade!$A$5:$AC304},""select 1/""&amp;$Z$7&amp;"" where ""&amp;$Z$5&amp;""='""&amp;M12&amp;""' and ""&amp;$Z$9&amp;""='""&amp;N12&amp;""' label 1/""&amp;$Z$7&amp;"" ''"",0))),0))"),"")</f>
        <v/>
      </c>
      <c r="U12" s="665" t="str">
        <f>IFERROR(__xludf.DUMMYFUNCTION("IF(OR(N12="""",NOT($AC$7)),"""",IFERROR(
SUMPRODUCT(query({proventos!$A$5:$R304},""select ""&amp;$Z$12&amp;"" where ""&amp;$Z$14&amp;""='""&amp;N12&amp;""' and ""&amp;$Z$11&amp;""='""&amp;M12&amp;""'"",0),
query({proventos!$A$5:$R304},""select 1/""&amp;$Z$13&amp;"" where ""&amp;$Z$14&amp;""='""&amp;N12&amp;""' and ""&amp;"&amp;"$Z$11&amp;""='""&amp;M12&amp;""' label 1/""&amp;$Z$13&amp;"" ''"",0)),0))"),"")</f>
        <v/>
      </c>
      <c r="V12" s="665" t="str">
        <f>IFERROR(__xludf.DUMMYFUNCTION("IF(OR(N12="""",NOT($AC$7)),"""",IFERROR(IF(AND(P12=""BRL"",'config.parâmetros'!$B$8=""BRL""),
query({op.normal!$A$5:$AC304},""select sum(""&amp;$Z$6&amp;"") where ""&amp;$Z$5&amp;""='""&amp;M12&amp;""' and ""&amp;$Z$9&amp;""='""&amp;N12&amp;""' label sum(""&amp;$Z$6&amp;"") ''"",0),
SUMPRODUCT(query({o"&amp;"p.normal!$A$5:$AC304},""select ""&amp;$Z$6&amp;"" where ""&amp;$Z$5&amp;""='""&amp;M12&amp;""' and ""&amp;$Z$9&amp;""='""&amp;N12&amp;""'"",0),
query({op.normal!$A$5:$AC304},""select 1/""&amp;$Z$7&amp;"" where ""&amp;$Z$5&amp;""='""&amp;M12&amp;""' and ""&amp;$Z$9&amp;""='""&amp;N12&amp;""' label 1/""&amp;$Z$7&amp;"" ''"",0))),0))"),"")</f>
        <v/>
      </c>
      <c r="W12" s="665" t="str">
        <f t="shared" si="1"/>
        <v/>
      </c>
      <c r="Y12" s="749" t="s">
        <v>435</v>
      </c>
      <c r="Z12" s="733" t="str">
        <f>"Col"&amp;MATCH(Y12,proventos!4:4,0)</f>
        <v>Col17</v>
      </c>
      <c r="AA12" s="744">
        <v>3.0</v>
      </c>
      <c r="AB12" s="746"/>
      <c r="AC12" s="746"/>
      <c r="AD12" s="746"/>
      <c r="AE12" s="747" t="b">
        <f>IF(NOT($AG$11),TRUE,IFERROR(MATCH(AC12,'portfólio'!$DP$67:$DP$73,0)&gt;0,FALSE))</f>
        <v>1</v>
      </c>
      <c r="AF12" s="734"/>
      <c r="AG12" s="750" t="str">
        <f>IFERROR(__xludf.DUMMYFUNCTION("IFERROR(""(Col1='""&amp;join(""' or Col1='"",filter('portfólio'!DP67:DP73,'portfólio'!DP67:DP73&lt;&gt;""""))&amp;""')"")"),"")</f>
        <v/>
      </c>
      <c r="AH12" s="734"/>
      <c r="AI12" s="734"/>
      <c r="AJ12" s="734"/>
      <c r="AK12" s="734"/>
    </row>
    <row r="13" ht="15.75" customHeight="1">
      <c r="A13" s="725"/>
      <c r="B13" s="726"/>
      <c r="C13" s="727"/>
      <c r="D13" s="730"/>
      <c r="E13" s="727"/>
      <c r="F13" s="729"/>
      <c r="G13" s="730"/>
      <c r="H13" s="581"/>
      <c r="I13" s="665" t="s">
        <v>123</v>
      </c>
      <c r="J13" s="665" t="s">
        <v>123</v>
      </c>
      <c r="K13" s="581">
        <v>9.0</v>
      </c>
      <c r="L13" s="730"/>
      <c r="M13" s="725"/>
      <c r="N13" s="731"/>
      <c r="O13" s="730"/>
      <c r="P13" s="727"/>
      <c r="Q13" s="712"/>
      <c r="R13" s="665" t="str">
        <f>IFERROR(__xludf.DUMMYFUNCTION("IF(OR(N13="""",NOT($AC$7)),"""",IFERROR(query({$A$5:$G304},""select sum(Col4) where Col1='""&amp;M13&amp;""' and (Col3 = 'Remessa' or Col3='Saque') and Col5='""&amp;P13&amp;""' and Col6='""&amp;N13&amp;""' group by Col1,Col6 label sum(Col4) ''""),0))"),"")</f>
        <v/>
      </c>
      <c r="S13" s="665" t="str">
        <f>IFERROR(__xludf.DUMMYFUNCTION("IF(OR(N13="""",NOT($AC$7)),"""",IFERROR(query({$A$5:$G304},""select sum(Col4) where Col1='""&amp;M13&amp;""' and (Col3 = 'Crédito' or Col3='Débito') and Col5='""&amp;P13&amp;""' and Col6='""&amp;N13&amp;""' group by Col1,Col6 label sum(Col4) ''""),0))"),"")</f>
        <v/>
      </c>
      <c r="T13" s="665" t="str">
        <f>IFERROR(__xludf.DUMMYFUNCTION("IF(OR(N13="""",NOT($AC$7)),"""",IFERROR(IF(AND(P13=""BRL"",'config.parâmetros'!$B$8=""BRL""),
query({op.daytrade!$A$5:$AC304},""select sum(""&amp;$Z$6&amp;"") where ""&amp;$Z$5&amp;""='""&amp;M13&amp;""' and ""&amp;$Z$9&amp;""='""&amp;N13&amp;""' label sum(""&amp;$Z$6&amp;"") ''"",0),
SUMPRODUCT(query("&amp;"{op.daytrade!$A$5:$AC304},""select ""&amp;$Z$6&amp;"" where ""&amp;$Z$5&amp;""='""&amp;M13&amp;""' and ""&amp;$Z$9&amp;""='""&amp;N13&amp;""'"",0),
query({op.daytrade!$A$5:$AC304},""select 1/""&amp;$Z$7&amp;"" where ""&amp;$Z$5&amp;""='""&amp;M13&amp;""' and ""&amp;$Z$9&amp;""='""&amp;N13&amp;""' label 1/""&amp;$Z$7&amp;"" ''"",0))),0))"),"")</f>
        <v/>
      </c>
      <c r="U13" s="665" t="str">
        <f>IFERROR(__xludf.DUMMYFUNCTION("IF(OR(N13="""",NOT($AC$7)),"""",IFERROR(
SUMPRODUCT(query({proventos!$A$5:$R304},""select ""&amp;$Z$12&amp;"" where ""&amp;$Z$14&amp;""='""&amp;N13&amp;""' and ""&amp;$Z$11&amp;""='""&amp;M13&amp;""'"",0),
query({proventos!$A$5:$R304},""select 1/""&amp;$Z$13&amp;"" where ""&amp;$Z$14&amp;""='""&amp;N13&amp;""' and ""&amp;"&amp;"$Z$11&amp;""='""&amp;M13&amp;""' label 1/""&amp;$Z$13&amp;"" ''"",0)),0))"),"")</f>
        <v/>
      </c>
      <c r="V13" s="665" t="str">
        <f>IFERROR(__xludf.DUMMYFUNCTION("IF(OR(N13="""",NOT($AC$7)),"""",IFERROR(IF(AND(P13=""BRL"",'config.parâmetros'!$B$8=""BRL""),
query({op.normal!$A$5:$AC304},""select sum(""&amp;$Z$6&amp;"") where ""&amp;$Z$5&amp;""='""&amp;M13&amp;""' and ""&amp;$Z$9&amp;""='""&amp;N13&amp;""' label sum(""&amp;$Z$6&amp;"") ''"",0),
SUMPRODUCT(query({o"&amp;"p.normal!$A$5:$AC304},""select ""&amp;$Z$6&amp;"" where ""&amp;$Z$5&amp;""='""&amp;M13&amp;""' and ""&amp;$Z$9&amp;""='""&amp;N13&amp;""'"",0),
query({op.normal!$A$5:$AC304},""select 1/""&amp;$Z$7&amp;"" where ""&amp;$Z$5&amp;""='""&amp;M13&amp;""' and ""&amp;$Z$9&amp;""='""&amp;N13&amp;""' label 1/""&amp;$Z$7&amp;"" ''"",0))),0))"),"")</f>
        <v/>
      </c>
      <c r="W13" s="665" t="str">
        <f t="shared" si="1"/>
        <v/>
      </c>
      <c r="Y13" s="749" t="s">
        <v>407</v>
      </c>
      <c r="Z13" s="733" t="str">
        <f>"Col"&amp;MATCH(Y13,proventos!$4:$4,0)</f>
        <v>Col14</v>
      </c>
      <c r="AA13" s="744">
        <v>4.0</v>
      </c>
      <c r="AB13" s="746"/>
      <c r="AC13" s="746"/>
      <c r="AD13" s="746"/>
      <c r="AE13" s="747" t="b">
        <f>IF(NOT($AG$11),TRUE,IFERROR(MATCH(AC13,'portfólio'!$DP$67:$DP$73,0)&gt;0,FALSE))</f>
        <v>1</v>
      </c>
      <c r="AF13" s="734"/>
      <c r="AG13" s="750" t="str">
        <f>if(AG11," and "&amp;AG12,"")</f>
        <v/>
      </c>
      <c r="AH13" s="734"/>
      <c r="AI13" s="734"/>
      <c r="AJ13" s="734"/>
      <c r="AK13" s="734"/>
    </row>
    <row r="14" ht="15.75" customHeight="1">
      <c r="A14" s="725"/>
      <c r="B14" s="726"/>
      <c r="C14" s="727"/>
      <c r="D14" s="730"/>
      <c r="E14" s="727"/>
      <c r="F14" s="729"/>
      <c r="G14" s="730"/>
      <c r="H14" s="581"/>
      <c r="I14" s="665" t="s">
        <v>123</v>
      </c>
      <c r="J14" s="665" t="s">
        <v>123</v>
      </c>
      <c r="K14" s="581">
        <v>10.0</v>
      </c>
      <c r="L14" s="730"/>
      <c r="M14" s="725"/>
      <c r="N14" s="731"/>
      <c r="O14" s="730"/>
      <c r="P14" s="727"/>
      <c r="Q14" s="712"/>
      <c r="R14" s="665" t="str">
        <f>IFERROR(__xludf.DUMMYFUNCTION("IF(OR(N14="""",NOT($AC$7)),"""",IFERROR(query({$A$5:$G304},""select sum(Col4) where Col1='""&amp;M14&amp;""' and (Col3 = 'Remessa' or Col3='Saque') and Col5='""&amp;P14&amp;""' and Col6='""&amp;N14&amp;""' group by Col1,Col6 label sum(Col4) ''""),0))"),"")</f>
        <v/>
      </c>
      <c r="S14" s="665" t="str">
        <f>IFERROR(__xludf.DUMMYFUNCTION("IF(OR(N14="""",NOT($AC$7)),"""",IFERROR(query({$A$5:$G304},""select sum(Col4) where Col1='""&amp;M14&amp;""' and (Col3 = 'Crédito' or Col3='Débito') and Col5='""&amp;P14&amp;""' and Col6='""&amp;N14&amp;""' group by Col1,Col6 label sum(Col4) ''""),0))"),"")</f>
        <v/>
      </c>
      <c r="T14" s="665" t="str">
        <f>IFERROR(__xludf.DUMMYFUNCTION("IF(OR(N14="""",NOT($AC$7)),"""",IFERROR(IF(AND(P14=""BRL"",'config.parâmetros'!$B$8=""BRL""),
query({op.daytrade!$A$5:$AC304},""select sum(""&amp;$Z$6&amp;"") where ""&amp;$Z$5&amp;""='""&amp;M14&amp;""' and ""&amp;$Z$9&amp;""='""&amp;N14&amp;""' label sum(""&amp;$Z$6&amp;"") ''"",0),
SUMPRODUCT(query("&amp;"{op.daytrade!$A$5:$AC304},""select ""&amp;$Z$6&amp;"" where ""&amp;$Z$5&amp;""='""&amp;M14&amp;""' and ""&amp;$Z$9&amp;""='""&amp;N14&amp;""'"",0),
query({op.daytrade!$A$5:$AC304},""select 1/""&amp;$Z$7&amp;"" where ""&amp;$Z$5&amp;""='""&amp;M14&amp;""' and ""&amp;$Z$9&amp;""='""&amp;N14&amp;""' label 1/""&amp;$Z$7&amp;"" ''"",0))),0))"),"")</f>
        <v/>
      </c>
      <c r="U14" s="665" t="str">
        <f>IFERROR(__xludf.DUMMYFUNCTION("IF(OR(N14="""",NOT($AC$7)),"""",IFERROR(
SUMPRODUCT(query({proventos!$A$5:$R304},""select ""&amp;$Z$12&amp;"" where ""&amp;$Z$14&amp;""='""&amp;N14&amp;""' and ""&amp;$Z$11&amp;""='""&amp;M14&amp;""'"",0),
query({proventos!$A$5:$R304},""select 1/""&amp;$Z$13&amp;"" where ""&amp;$Z$14&amp;""='""&amp;N14&amp;""' and ""&amp;"&amp;"$Z$11&amp;""='""&amp;M14&amp;""' label 1/""&amp;$Z$13&amp;"" ''"",0)),0))"),"")</f>
        <v/>
      </c>
      <c r="V14" s="665" t="str">
        <f>IFERROR(__xludf.DUMMYFUNCTION("IF(OR(N14="""",NOT($AC$7)),"""",IFERROR(IF(AND(P14=""BRL"",'config.parâmetros'!$B$8=""BRL""),
query({op.normal!$A$5:$AC304},""select sum(""&amp;$Z$6&amp;"") where ""&amp;$Z$5&amp;""='""&amp;M14&amp;""' and ""&amp;$Z$9&amp;""='""&amp;N14&amp;""' label sum(""&amp;$Z$6&amp;"") ''"",0),
SUMPRODUCT(query({o"&amp;"p.normal!$A$5:$AC304},""select ""&amp;$Z$6&amp;"" where ""&amp;$Z$5&amp;""='""&amp;M14&amp;""' and ""&amp;$Z$9&amp;""='""&amp;N14&amp;""'"",0),
query({op.normal!$A$5:$AC304},""select 1/""&amp;$Z$7&amp;"" where ""&amp;$Z$5&amp;""='""&amp;M14&amp;""' and ""&amp;$Z$9&amp;""='""&amp;N14&amp;""' label 1/""&amp;$Z$7&amp;"" ''"",0))),0))"),"")</f>
        <v/>
      </c>
      <c r="W14" s="665" t="str">
        <f t="shared" si="1"/>
        <v/>
      </c>
      <c r="Y14" s="749" t="s">
        <v>316</v>
      </c>
      <c r="Z14" s="733" t="str">
        <f>"Col"&amp;MATCH(Y14,proventos!$4:$4,0)</f>
        <v>Col8</v>
      </c>
      <c r="AA14" s="744">
        <v>5.0</v>
      </c>
      <c r="AB14" s="746"/>
      <c r="AC14" s="746"/>
      <c r="AD14" s="746"/>
      <c r="AE14" s="747" t="b">
        <f>IF(NOT($AG$11),TRUE,IFERROR(MATCH(AC14,'portfólio'!$DP$67:$DP$73,0)&gt;0,FALSE))</f>
        <v>1</v>
      </c>
      <c r="AF14" s="734"/>
      <c r="AG14" s="734"/>
      <c r="AH14" s="734"/>
      <c r="AI14" s="734"/>
      <c r="AJ14" s="734"/>
      <c r="AK14" s="734"/>
    </row>
    <row r="15" ht="15.75" customHeight="1">
      <c r="A15" s="725"/>
      <c r="B15" s="726"/>
      <c r="C15" s="727"/>
      <c r="D15" s="730"/>
      <c r="E15" s="727"/>
      <c r="F15" s="729"/>
      <c r="G15" s="730"/>
      <c r="H15" s="581"/>
      <c r="I15" s="665" t="s">
        <v>123</v>
      </c>
      <c r="J15" s="665" t="s">
        <v>123</v>
      </c>
      <c r="K15" s="581">
        <v>11.0</v>
      </c>
      <c r="L15" s="730"/>
      <c r="M15" s="725"/>
      <c r="N15" s="731"/>
      <c r="O15" s="730"/>
      <c r="P15" s="727"/>
      <c r="Q15" s="712"/>
      <c r="R15" s="665" t="str">
        <f>IFERROR(__xludf.DUMMYFUNCTION("IF(OR(N15="""",NOT($AC$7)),"""",IFERROR(query({$A$5:$G304},""select sum(Col4) where Col1='""&amp;M15&amp;""' and (Col3 = 'Remessa' or Col3='Saque') and Col5='""&amp;P15&amp;""' and Col6='""&amp;N15&amp;""' group by Col1,Col6 label sum(Col4) ''""),0))"),"")</f>
        <v/>
      </c>
      <c r="S15" s="665" t="str">
        <f>IFERROR(__xludf.DUMMYFUNCTION("IF(OR(N15="""",NOT($AC$7)),"""",IFERROR(query({$A$5:$G304},""select sum(Col4) where Col1='""&amp;M15&amp;""' and (Col3 = 'Crédito' or Col3='Débito') and Col5='""&amp;P15&amp;""' and Col6='""&amp;N15&amp;""' group by Col1,Col6 label sum(Col4) ''""),0))"),"")</f>
        <v/>
      </c>
      <c r="T15" s="665" t="str">
        <f>IFERROR(__xludf.DUMMYFUNCTION("IF(OR(N15="""",NOT($AC$7)),"""",IFERROR(IF(AND(P15=""BRL"",'config.parâmetros'!$B$8=""BRL""),
query({op.daytrade!$A$5:$AC304},""select sum(""&amp;$Z$6&amp;"") where ""&amp;$Z$5&amp;""='""&amp;M15&amp;""' and ""&amp;$Z$9&amp;""='""&amp;N15&amp;""' label sum(""&amp;$Z$6&amp;"") ''"",0),
SUMPRODUCT(query("&amp;"{op.daytrade!$A$5:$AC304},""select ""&amp;$Z$6&amp;"" where ""&amp;$Z$5&amp;""='""&amp;M15&amp;""' and ""&amp;$Z$9&amp;""='""&amp;N15&amp;""'"",0),
query({op.daytrade!$A$5:$AC304},""select 1/""&amp;$Z$7&amp;"" where ""&amp;$Z$5&amp;""='""&amp;M15&amp;""' and ""&amp;$Z$9&amp;""='""&amp;N15&amp;""' label 1/""&amp;$Z$7&amp;"" ''"",0))),0))"),"")</f>
        <v/>
      </c>
      <c r="U15" s="665" t="str">
        <f>IFERROR(__xludf.DUMMYFUNCTION("IF(OR(N15="""",NOT($AC$7)),"""",IFERROR(
SUMPRODUCT(query({proventos!$A$5:$R304},""select ""&amp;$Z$12&amp;"" where ""&amp;$Z$14&amp;""='""&amp;N15&amp;""' and ""&amp;$Z$11&amp;""='""&amp;M15&amp;""'"",0),
query({proventos!$A$5:$R304},""select 1/""&amp;$Z$13&amp;"" where ""&amp;$Z$14&amp;""='""&amp;N15&amp;""' and ""&amp;"&amp;"$Z$11&amp;""='""&amp;M15&amp;""' label 1/""&amp;$Z$13&amp;"" ''"",0)),0))"),"")</f>
        <v/>
      </c>
      <c r="V15" s="665" t="str">
        <f>IFERROR(__xludf.DUMMYFUNCTION("IF(OR(N15="""",NOT($AC$7)),"""",IFERROR(IF(AND(P15=""BRL"",'config.parâmetros'!$B$8=""BRL""),
query({op.normal!$A$5:$AC304},""select sum(""&amp;$Z$6&amp;"") where ""&amp;$Z$5&amp;""='""&amp;M15&amp;""' and ""&amp;$Z$9&amp;""='""&amp;N15&amp;""' label sum(""&amp;$Z$6&amp;"") ''"",0),
SUMPRODUCT(query({o"&amp;"p.normal!$A$5:$AC304},""select ""&amp;$Z$6&amp;"" where ""&amp;$Z$5&amp;""='""&amp;M15&amp;""' and ""&amp;$Z$9&amp;""='""&amp;N15&amp;""'"",0),
query({op.normal!$A$5:$AC304},""select 1/""&amp;$Z$7&amp;"" where ""&amp;$Z$5&amp;""='""&amp;M15&amp;""' and ""&amp;$Z$9&amp;""='""&amp;N15&amp;""' label 1/""&amp;$Z$7&amp;"" ''"",0))),0))"),"")</f>
        <v/>
      </c>
      <c r="W15" s="665" t="str">
        <f t="shared" si="1"/>
        <v/>
      </c>
      <c r="Y15" s="576"/>
      <c r="Z15" s="576"/>
      <c r="AA15" s="744">
        <v>6.0</v>
      </c>
      <c r="AB15" s="746"/>
      <c r="AC15" s="746"/>
      <c r="AD15" s="746"/>
      <c r="AE15" s="747" t="b">
        <f>IF(NOT($AG$11),TRUE,IFERROR(MATCH(AC15,'portfólio'!$DP$67:$DP$73,0)&gt;0,FALSE))</f>
        <v>1</v>
      </c>
      <c r="AF15" s="734"/>
      <c r="AG15" s="734"/>
      <c r="AH15" s="734"/>
      <c r="AI15" s="734"/>
      <c r="AJ15" s="734"/>
      <c r="AK15" s="734"/>
    </row>
    <row r="16" ht="15.75" customHeight="1">
      <c r="A16" s="725"/>
      <c r="B16" s="726"/>
      <c r="C16" s="727"/>
      <c r="D16" s="730"/>
      <c r="E16" s="727"/>
      <c r="F16" s="729"/>
      <c r="G16" s="730"/>
      <c r="H16" s="581"/>
      <c r="I16" s="665" t="s">
        <v>123</v>
      </c>
      <c r="J16" s="665" t="s">
        <v>123</v>
      </c>
      <c r="K16" s="581">
        <v>12.0</v>
      </c>
      <c r="L16" s="730"/>
      <c r="M16" s="725"/>
      <c r="N16" s="731"/>
      <c r="O16" s="730"/>
      <c r="P16" s="727"/>
      <c r="Q16" s="712"/>
      <c r="R16" s="665" t="str">
        <f>IFERROR(__xludf.DUMMYFUNCTION("IF(OR(N16="""",NOT($AC$7)),"""",IFERROR(query({$A$5:$G304},""select sum(Col4) where Col1='""&amp;M16&amp;""' and (Col3 = 'Remessa' or Col3='Saque') and Col5='""&amp;P16&amp;""' and Col6='""&amp;N16&amp;""' group by Col1,Col6 label sum(Col4) ''""),0))"),"")</f>
        <v/>
      </c>
      <c r="S16" s="665" t="str">
        <f>IFERROR(__xludf.DUMMYFUNCTION("IF(OR(N16="""",NOT($AC$7)),"""",IFERROR(query({$A$5:$G304},""select sum(Col4) where Col1='""&amp;M16&amp;""' and (Col3 = 'Crédito' or Col3='Débito') and Col5='""&amp;P16&amp;""' and Col6='""&amp;N16&amp;""' group by Col1,Col6 label sum(Col4) ''""),0))"),"")</f>
        <v/>
      </c>
      <c r="T16" s="665" t="str">
        <f>IFERROR(__xludf.DUMMYFUNCTION("IF(OR(N16="""",NOT($AC$7)),"""",IFERROR(IF(AND(P16=""BRL"",'config.parâmetros'!$B$8=""BRL""),
query({op.daytrade!$A$5:$AC304},""select sum(""&amp;$Z$6&amp;"") where ""&amp;$Z$5&amp;""='""&amp;M16&amp;""' and ""&amp;$Z$9&amp;""='""&amp;N16&amp;""' label sum(""&amp;$Z$6&amp;"") ''"",0),
SUMPRODUCT(query("&amp;"{op.daytrade!$A$5:$AC304},""select ""&amp;$Z$6&amp;"" where ""&amp;$Z$5&amp;""='""&amp;M16&amp;""' and ""&amp;$Z$9&amp;""='""&amp;N16&amp;""'"",0),
query({op.daytrade!$A$5:$AC304},""select 1/""&amp;$Z$7&amp;"" where ""&amp;$Z$5&amp;""='""&amp;M16&amp;""' and ""&amp;$Z$9&amp;""='""&amp;N16&amp;""' label 1/""&amp;$Z$7&amp;"" ''"",0))),0))"),"")</f>
        <v/>
      </c>
      <c r="U16" s="665" t="str">
        <f>IFERROR(__xludf.DUMMYFUNCTION("IF(OR(N16="""",NOT($AC$7)),"""",IFERROR(
SUMPRODUCT(query({proventos!$A$5:$R304},""select ""&amp;$Z$12&amp;"" where ""&amp;$Z$14&amp;""='""&amp;N16&amp;""' and ""&amp;$Z$11&amp;""='""&amp;M16&amp;""'"",0),
query({proventos!$A$5:$R304},""select 1/""&amp;$Z$13&amp;"" where ""&amp;$Z$14&amp;""='""&amp;N16&amp;""' and ""&amp;"&amp;"$Z$11&amp;""='""&amp;M16&amp;""' label 1/""&amp;$Z$13&amp;"" ''"",0)),0))"),"")</f>
        <v/>
      </c>
      <c r="V16" s="665" t="str">
        <f>IFERROR(__xludf.DUMMYFUNCTION("IF(OR(N16="""",NOT($AC$7)),"""",IFERROR(IF(AND(P16=""BRL"",'config.parâmetros'!$B$8=""BRL""),
query({op.normal!$A$5:$AC304},""select sum(""&amp;$Z$6&amp;"") where ""&amp;$Z$5&amp;""='""&amp;M16&amp;""' and ""&amp;$Z$9&amp;""='""&amp;N16&amp;""' label sum(""&amp;$Z$6&amp;"") ''"",0),
SUMPRODUCT(query({o"&amp;"p.normal!$A$5:$AC304},""select ""&amp;$Z$6&amp;"" where ""&amp;$Z$5&amp;""='""&amp;M16&amp;""' and ""&amp;$Z$9&amp;""='""&amp;N16&amp;""'"",0),
query({op.normal!$A$5:$AC304},""select 1/""&amp;$Z$7&amp;"" where ""&amp;$Z$5&amp;""='""&amp;M16&amp;""' and ""&amp;$Z$9&amp;""='""&amp;N16&amp;""' label 1/""&amp;$Z$7&amp;"" ''"",0))),0))"),"")</f>
        <v/>
      </c>
      <c r="W16" s="665" t="str">
        <f t="shared" si="1"/>
        <v/>
      </c>
      <c r="Y16" s="747" t="s">
        <v>466</v>
      </c>
      <c r="Z16" s="751" t="str">
        <f>IFERROR(__xludf.DUMMYFUNCTION("IF(NOT(AC7),"""",IFERROR((IFERROR(SUM(filter($J$5:$J304,$C$5:$C304=""Remessa"",$A$5:$A304=IFERROR(VLOOKUP($A$5:$A304,'portfólio'!$DP$67:$DP$73,1,FALSE),""""))))+SUM(IFERROR(filter($J$5:$J304,$C$5:$C304=""Saque"",$A$5:$A304=IFERROR(VLOOKUP($A$5:$A304,'port"&amp;"fólio'!$DP$67:$DP$73,1,FALSE),"""")))))/Z17,0))"),"")</f>
        <v/>
      </c>
      <c r="AA16" s="744">
        <v>7.0</v>
      </c>
      <c r="AB16" s="746"/>
      <c r="AC16" s="746"/>
      <c r="AD16" s="746"/>
      <c r="AE16" s="747" t="b">
        <f>IF(NOT($AG$11),TRUE,IFERROR(MATCH(AC16,'portfólio'!$DP$67:$DP$73,0)&gt;0,FALSE))</f>
        <v>1</v>
      </c>
      <c r="AF16" s="734"/>
      <c r="AG16" s="734"/>
      <c r="AH16" s="734"/>
      <c r="AI16" s="734"/>
      <c r="AJ16" s="734"/>
      <c r="AK16" s="734"/>
    </row>
    <row r="17" ht="15.75" customHeight="1">
      <c r="A17" s="725"/>
      <c r="B17" s="726"/>
      <c r="C17" s="727"/>
      <c r="D17" s="730"/>
      <c r="E17" s="727"/>
      <c r="F17" s="729"/>
      <c r="G17" s="730"/>
      <c r="H17" s="581"/>
      <c r="I17" s="665" t="s">
        <v>123</v>
      </c>
      <c r="J17" s="665" t="s">
        <v>123</v>
      </c>
      <c r="K17" s="581">
        <v>13.0</v>
      </c>
      <c r="L17" s="730"/>
      <c r="M17" s="725"/>
      <c r="N17" s="731"/>
      <c r="O17" s="730"/>
      <c r="P17" s="727"/>
      <c r="Q17" s="712"/>
      <c r="R17" s="665" t="str">
        <f>IFERROR(__xludf.DUMMYFUNCTION("IF(OR(N17="""",NOT($AC$7)),"""",IFERROR(query({$A$5:$G304},""select sum(Col4) where Col1='""&amp;M17&amp;""' and (Col3 = 'Remessa' or Col3='Saque') and Col5='""&amp;P17&amp;""' and Col6='""&amp;N17&amp;""' group by Col1,Col6 label sum(Col4) ''""),0))"),"")</f>
        <v/>
      </c>
      <c r="S17" s="665" t="str">
        <f>IFERROR(__xludf.DUMMYFUNCTION("IF(OR(N17="""",NOT($AC$7)),"""",IFERROR(query({$A$5:$G304},""select sum(Col4) where Col1='""&amp;M17&amp;""' and (Col3 = 'Crédito' or Col3='Débito') and Col5='""&amp;P17&amp;""' and Col6='""&amp;N17&amp;""' group by Col1,Col6 label sum(Col4) ''""),0))"),"")</f>
        <v/>
      </c>
      <c r="T17" s="665" t="str">
        <f>IFERROR(__xludf.DUMMYFUNCTION("IF(OR(N17="""",NOT($AC$7)),"""",IFERROR(IF(AND(P17=""BRL"",'config.parâmetros'!$B$8=""BRL""),
query({op.daytrade!$A$5:$AC304},""select sum(""&amp;$Z$6&amp;"") where ""&amp;$Z$5&amp;""='""&amp;M17&amp;""' and ""&amp;$Z$9&amp;""='""&amp;N17&amp;""' label sum(""&amp;$Z$6&amp;"") ''"",0),
SUMPRODUCT(query("&amp;"{op.daytrade!$A$5:$AC304},""select ""&amp;$Z$6&amp;"" where ""&amp;$Z$5&amp;""='""&amp;M17&amp;""' and ""&amp;$Z$9&amp;""='""&amp;N17&amp;""'"",0),
query({op.daytrade!$A$5:$AC304},""select 1/""&amp;$Z$7&amp;"" where ""&amp;$Z$5&amp;""='""&amp;M17&amp;""' and ""&amp;$Z$9&amp;""='""&amp;N17&amp;""' label 1/""&amp;$Z$7&amp;"" ''"",0))),0))"),"")</f>
        <v/>
      </c>
      <c r="U17" s="665" t="str">
        <f>IFERROR(__xludf.DUMMYFUNCTION("IF(OR(N17="""",NOT($AC$7)),"""",IFERROR(
SUMPRODUCT(query({proventos!$A$5:$R304},""select ""&amp;$Z$12&amp;"" where ""&amp;$Z$14&amp;""='""&amp;N17&amp;""' and ""&amp;$Z$11&amp;""='""&amp;M17&amp;""'"",0),
query({proventos!$A$5:$R304},""select 1/""&amp;$Z$13&amp;"" where ""&amp;$Z$14&amp;""='""&amp;N17&amp;""' and ""&amp;"&amp;"$Z$11&amp;""='""&amp;M17&amp;""' label 1/""&amp;$Z$13&amp;"" ''"",0)),0))"),"")</f>
        <v/>
      </c>
      <c r="V17" s="665" t="str">
        <f>IFERROR(__xludf.DUMMYFUNCTION("IF(OR(N17="""",NOT($AC$7)),"""",IFERROR(IF(AND(P17=""BRL"",'config.parâmetros'!$B$8=""BRL""),
query({op.normal!$A$5:$AC304},""select sum(""&amp;$Z$6&amp;"") where ""&amp;$Z$5&amp;""='""&amp;M17&amp;""' and ""&amp;$Z$9&amp;""='""&amp;N17&amp;""' label sum(""&amp;$Z$6&amp;"") ''"",0),
SUMPRODUCT(query({o"&amp;"p.normal!$A$5:$AC304},""select ""&amp;$Z$6&amp;"" where ""&amp;$Z$5&amp;""='""&amp;M17&amp;""' and ""&amp;$Z$9&amp;""='""&amp;N17&amp;""'"",0),
query({op.normal!$A$5:$AC304},""select 1/""&amp;$Z$7&amp;"" where ""&amp;$Z$5&amp;""='""&amp;M17&amp;""' and ""&amp;$Z$9&amp;""='""&amp;N17&amp;""' label 1/""&amp;$Z$7&amp;"" ''"",0))),0))"),"")</f>
        <v/>
      </c>
      <c r="W17" s="665" t="str">
        <f t="shared" si="1"/>
        <v/>
      </c>
      <c r="Y17" s="747" t="s">
        <v>467</v>
      </c>
      <c r="Z17" s="752" t="str">
        <f>IFERROR(__xludf.DUMMYFUNCTION("IF(NOT(AC7),"""",IF(NOT(AG11),DATEDIF(MIN(B5:B304),TODAY(),""M"")+1,DATEDIF(MIN(query({A5:B304},""select Col2 where ""&amp;AG12)),TODAY(),""M"")+1))"),"")</f>
        <v/>
      </c>
      <c r="AA17" s="744">
        <v>8.0</v>
      </c>
      <c r="AB17" s="746"/>
      <c r="AC17" s="746"/>
      <c r="AD17" s="746"/>
      <c r="AE17" s="747" t="b">
        <f>IF(NOT($AG$11),TRUE,IFERROR(MATCH(AC17,'portfólio'!$DP$67:$DP$73,0)&gt;0,FALSE))</f>
        <v>1</v>
      </c>
      <c r="AF17" s="734"/>
      <c r="AG17" s="734"/>
      <c r="AH17" s="734"/>
      <c r="AI17" s="734"/>
      <c r="AJ17" s="734"/>
      <c r="AK17" s="734"/>
    </row>
    <row r="18" ht="15.75" customHeight="1">
      <c r="A18" s="725"/>
      <c r="B18" s="726"/>
      <c r="C18" s="727"/>
      <c r="D18" s="730"/>
      <c r="E18" s="727"/>
      <c r="F18" s="729"/>
      <c r="G18" s="730"/>
      <c r="H18" s="581"/>
      <c r="I18" s="665" t="s">
        <v>123</v>
      </c>
      <c r="J18" s="665" t="s">
        <v>123</v>
      </c>
      <c r="K18" s="581">
        <v>14.0</v>
      </c>
      <c r="L18" s="730"/>
      <c r="M18" s="725"/>
      <c r="N18" s="731"/>
      <c r="O18" s="730"/>
      <c r="P18" s="727"/>
      <c r="Q18" s="712"/>
      <c r="R18" s="665" t="str">
        <f>IFERROR(__xludf.DUMMYFUNCTION("IF(OR(N18="""",NOT($AC$7)),"""",IFERROR(query({$A$5:$G304},""select sum(Col4) where Col1='""&amp;M18&amp;""' and (Col3 = 'Remessa' or Col3='Saque') and Col5='""&amp;P18&amp;""' and Col6='""&amp;N18&amp;""' group by Col1,Col6 label sum(Col4) ''""),0))"),"")</f>
        <v/>
      </c>
      <c r="S18" s="665" t="str">
        <f>IFERROR(__xludf.DUMMYFUNCTION("IF(OR(N18="""",NOT($AC$7)),"""",IFERROR(query({$A$5:$G304},""select sum(Col4) where Col1='""&amp;M18&amp;""' and (Col3 = 'Crédito' or Col3='Débito') and Col5='""&amp;P18&amp;""' and Col6='""&amp;N18&amp;""' group by Col1,Col6 label sum(Col4) ''""),0))"),"")</f>
        <v/>
      </c>
      <c r="T18" s="665" t="str">
        <f>IFERROR(__xludf.DUMMYFUNCTION("IF(OR(N18="""",NOT($AC$7)),"""",IFERROR(IF(AND(P18=""BRL"",'config.parâmetros'!$B$8=""BRL""),
query({op.daytrade!$A$5:$AC304},""select sum(""&amp;$Z$6&amp;"") where ""&amp;$Z$5&amp;""='""&amp;M18&amp;""' and ""&amp;$Z$9&amp;""='""&amp;N18&amp;""' label sum(""&amp;$Z$6&amp;"") ''"",0),
SUMPRODUCT(query("&amp;"{op.daytrade!$A$5:$AC304},""select ""&amp;$Z$6&amp;"" where ""&amp;$Z$5&amp;""='""&amp;M18&amp;""' and ""&amp;$Z$9&amp;""='""&amp;N18&amp;""'"",0),
query({op.daytrade!$A$5:$AC304},""select 1/""&amp;$Z$7&amp;"" where ""&amp;$Z$5&amp;""='""&amp;M18&amp;""' and ""&amp;$Z$9&amp;""='""&amp;N18&amp;""' label 1/""&amp;$Z$7&amp;"" ''"",0))),0))"),"")</f>
        <v/>
      </c>
      <c r="U18" s="665" t="str">
        <f>IFERROR(__xludf.DUMMYFUNCTION("IF(OR(N18="""",NOT($AC$7)),"""",IFERROR(
SUMPRODUCT(query({proventos!$A$5:$R304},""select ""&amp;$Z$12&amp;"" where ""&amp;$Z$14&amp;""='""&amp;N18&amp;""' and ""&amp;$Z$11&amp;""='""&amp;M18&amp;""'"",0),
query({proventos!$A$5:$R304},""select 1/""&amp;$Z$13&amp;"" where ""&amp;$Z$14&amp;""='""&amp;N18&amp;""' and ""&amp;"&amp;"$Z$11&amp;""='""&amp;M18&amp;""' label 1/""&amp;$Z$13&amp;"" ''"",0)),0))"),"")</f>
        <v/>
      </c>
      <c r="V18" s="665" t="str">
        <f>IFERROR(__xludf.DUMMYFUNCTION("IF(OR(N18="""",NOT($AC$7)),"""",IFERROR(IF(AND(P18=""BRL"",'config.parâmetros'!$B$8=""BRL""),
query({op.normal!$A$5:$AC304},""select sum(""&amp;$Z$6&amp;"") where ""&amp;$Z$5&amp;""='""&amp;M18&amp;""' and ""&amp;$Z$9&amp;""='""&amp;N18&amp;""' label sum(""&amp;$Z$6&amp;"") ''"",0),
SUMPRODUCT(query({o"&amp;"p.normal!$A$5:$AC304},""select ""&amp;$Z$6&amp;"" where ""&amp;$Z$5&amp;""='""&amp;M18&amp;""' and ""&amp;$Z$9&amp;""='""&amp;N18&amp;""'"",0),
query({op.normal!$A$5:$AC304},""select 1/""&amp;$Z$7&amp;"" where ""&amp;$Z$5&amp;""='""&amp;M18&amp;""' and ""&amp;$Z$9&amp;""='""&amp;N18&amp;""' label 1/""&amp;$Z$7&amp;"" ''"",0))),0))"),"")</f>
        <v/>
      </c>
      <c r="W18" s="665" t="str">
        <f t="shared" si="1"/>
        <v/>
      </c>
      <c r="Y18" s="753">
        <f>EOMONTH(TODAY(),0)</f>
        <v>46112</v>
      </c>
      <c r="Z18" s="751" t="str">
        <f>IFERROR(__xludf.DUMMYFUNCTION("IF($AC$7,IFERROR(query({$A$5:$J304},""select sum(Col10) where Col2 &gt; date '""&amp;TEXT($Y19,""yyyy-mm-dd"")&amp;
""' and Col2 &lt;= date '""&amp;TEXT($Y18,""yyyy-mm-dd"")&amp;""' and (Col3='Remessa' or Col3='Saque') ""&amp;$AG$13&amp;"" label sum(Col10) ''""),0),"""")"),"")</f>
        <v/>
      </c>
      <c r="AA18" s="744">
        <v>9.0</v>
      </c>
      <c r="AB18" s="746"/>
      <c r="AC18" s="746"/>
      <c r="AD18" s="746"/>
      <c r="AE18" s="747" t="b">
        <f>IF(NOT($AG$11),TRUE,IFERROR(MATCH(AC18,'portfólio'!$DP$67:$DP$73,0)&gt;0,FALSE))</f>
        <v>1</v>
      </c>
      <c r="AF18" s="734"/>
      <c r="AG18" s="734"/>
      <c r="AH18" s="734"/>
      <c r="AI18" s="734"/>
      <c r="AJ18" s="734"/>
      <c r="AK18" s="734"/>
    </row>
    <row r="19" ht="15.75" customHeight="1">
      <c r="A19" s="725"/>
      <c r="B19" s="726"/>
      <c r="C19" s="727"/>
      <c r="D19" s="730"/>
      <c r="E19" s="727"/>
      <c r="F19" s="729"/>
      <c r="G19" s="730"/>
      <c r="H19" s="581"/>
      <c r="I19" s="665" t="s">
        <v>123</v>
      </c>
      <c r="J19" s="665" t="s">
        <v>123</v>
      </c>
      <c r="K19" s="581">
        <v>15.0</v>
      </c>
      <c r="L19" s="730"/>
      <c r="M19" s="725"/>
      <c r="N19" s="731"/>
      <c r="O19" s="730"/>
      <c r="P19" s="727"/>
      <c r="Q19" s="712"/>
      <c r="R19" s="665" t="str">
        <f>IFERROR(__xludf.DUMMYFUNCTION("IF(OR(N19="""",NOT($AC$7)),"""",IFERROR(query({$A$5:$G304},""select sum(Col4) where Col1='""&amp;M19&amp;""' and (Col3 = 'Remessa' or Col3='Saque') and Col5='""&amp;P19&amp;""' and Col6='""&amp;N19&amp;""' group by Col1,Col6 label sum(Col4) ''""),0))"),"")</f>
        <v/>
      </c>
      <c r="S19" s="665" t="str">
        <f>IFERROR(__xludf.DUMMYFUNCTION("IF(OR(N19="""",NOT($AC$7)),"""",IFERROR(query({$A$5:$G304},""select sum(Col4) where Col1='""&amp;M19&amp;""' and (Col3 = 'Crédito' or Col3='Débito') and Col5='""&amp;P19&amp;""' and Col6='""&amp;N19&amp;""' group by Col1,Col6 label sum(Col4) ''""),0))"),"")</f>
        <v/>
      </c>
      <c r="T19" s="665" t="str">
        <f>IFERROR(__xludf.DUMMYFUNCTION("IF(OR(N19="""",NOT($AC$7)),"""",IFERROR(IF(AND(P19=""BRL"",'config.parâmetros'!$B$8=""BRL""),
query({op.daytrade!$A$5:$AC304},""select sum(""&amp;$Z$6&amp;"") where ""&amp;$Z$5&amp;""='""&amp;M19&amp;""' and ""&amp;$Z$9&amp;""='""&amp;N19&amp;""' label sum(""&amp;$Z$6&amp;"") ''"",0),
SUMPRODUCT(query("&amp;"{op.daytrade!$A$5:$AC304},""select ""&amp;$Z$6&amp;"" where ""&amp;$Z$5&amp;""='""&amp;M19&amp;""' and ""&amp;$Z$9&amp;""='""&amp;N19&amp;""'"",0),
query({op.daytrade!$A$5:$AC304},""select 1/""&amp;$Z$7&amp;"" where ""&amp;$Z$5&amp;""='""&amp;M19&amp;""' and ""&amp;$Z$9&amp;""='""&amp;N19&amp;""' label 1/""&amp;$Z$7&amp;"" ''"",0))),0))"),"")</f>
        <v/>
      </c>
      <c r="U19" s="665" t="str">
        <f>IFERROR(__xludf.DUMMYFUNCTION("IF(OR(N19="""",NOT($AC$7)),"""",IFERROR(
SUMPRODUCT(query({proventos!$A$5:$R304},""select ""&amp;$Z$12&amp;"" where ""&amp;$Z$14&amp;""='""&amp;N19&amp;""' and ""&amp;$Z$11&amp;""='""&amp;M19&amp;""'"",0),
query({proventos!$A$5:$R304},""select 1/""&amp;$Z$13&amp;"" where ""&amp;$Z$14&amp;""='""&amp;N19&amp;""' and ""&amp;"&amp;"$Z$11&amp;""='""&amp;M19&amp;""' label 1/""&amp;$Z$13&amp;"" ''"",0)),0))"),"")</f>
        <v/>
      </c>
      <c r="V19" s="665" t="str">
        <f>IFERROR(__xludf.DUMMYFUNCTION("IF(OR(N19="""",NOT($AC$7)),"""",IFERROR(IF(AND(P19=""BRL"",'config.parâmetros'!$B$8=""BRL""),
query({op.normal!$A$5:$AC304},""select sum(""&amp;$Z$6&amp;"") where ""&amp;$Z$5&amp;""='""&amp;M19&amp;""' and ""&amp;$Z$9&amp;""='""&amp;N19&amp;""' label sum(""&amp;$Z$6&amp;"") ''"",0),
SUMPRODUCT(query({o"&amp;"p.normal!$A$5:$AC304},""select ""&amp;$Z$6&amp;"" where ""&amp;$Z$5&amp;""='""&amp;M19&amp;""' and ""&amp;$Z$9&amp;""='""&amp;N19&amp;""'"",0),
query({op.normal!$A$5:$AC304},""select 1/""&amp;$Z$7&amp;"" where ""&amp;$Z$5&amp;""='""&amp;M19&amp;""' and ""&amp;$Z$9&amp;""='""&amp;N19&amp;""' label 1/""&amp;$Z$7&amp;"" ''"",0))),0))"),"")</f>
        <v/>
      </c>
      <c r="W19" s="665" t="str">
        <f t="shared" si="1"/>
        <v/>
      </c>
      <c r="Y19" s="753">
        <f>EOMONTH(TODAY(),-1)</f>
        <v>46081</v>
      </c>
      <c r="Z19" s="751" t="str">
        <f>IFERROR(__xludf.DUMMYFUNCTION("IF($AC$7,IFERROR(query({$A$5:$J304},""select sum(Col10) where Col2 &gt; date '""&amp;TEXT($Y20,""yyyy-mm-dd"")&amp;
""' and Col2 &lt;= date '""&amp;TEXT($Y19,""yyyy-mm-dd"")&amp;""' and (Col3='Remessa' or Col3='Saque') ""&amp;$AG$13&amp;"" label sum(Col10) ''""),0),"""")"),"")</f>
        <v/>
      </c>
      <c r="AA19" s="744">
        <v>10.0</v>
      </c>
      <c r="AB19" s="746"/>
      <c r="AC19" s="746"/>
      <c r="AD19" s="746"/>
      <c r="AE19" s="747" t="b">
        <f>IF(NOT($AG$11),TRUE,IFERROR(MATCH(AC19,'portfólio'!$DP$67:$DP$73,0)&gt;0,FALSE))</f>
        <v>1</v>
      </c>
      <c r="AF19" s="734"/>
      <c r="AG19" s="734"/>
      <c r="AH19" s="734"/>
      <c r="AI19" s="734"/>
      <c r="AJ19" s="734"/>
      <c r="AK19" s="734"/>
    </row>
    <row r="20" ht="15.75" customHeight="1">
      <c r="A20" s="725"/>
      <c r="B20" s="726"/>
      <c r="C20" s="727"/>
      <c r="D20" s="730"/>
      <c r="E20" s="727"/>
      <c r="F20" s="729"/>
      <c r="G20" s="730"/>
      <c r="H20" s="581"/>
      <c r="I20" s="665" t="s">
        <v>123</v>
      </c>
      <c r="J20" s="665" t="s">
        <v>123</v>
      </c>
      <c r="K20" s="581">
        <v>16.0</v>
      </c>
      <c r="L20" s="730"/>
      <c r="M20" s="725"/>
      <c r="N20" s="731"/>
      <c r="O20" s="730"/>
      <c r="P20" s="727"/>
      <c r="Q20" s="712"/>
      <c r="R20" s="665" t="str">
        <f>IFERROR(__xludf.DUMMYFUNCTION("IF(OR(N20="""",NOT($AC$7)),"""",IFERROR(query({$A$5:$G304},""select sum(Col4) where Col1='""&amp;M20&amp;""' and (Col3 = 'Remessa' or Col3='Saque') and Col5='""&amp;P20&amp;""' and Col6='""&amp;N20&amp;""' group by Col1,Col6 label sum(Col4) ''""),0))"),"")</f>
        <v/>
      </c>
      <c r="S20" s="665" t="str">
        <f>IFERROR(__xludf.DUMMYFUNCTION("IF(OR(N20="""",NOT($AC$7)),"""",IFERROR(query({$A$5:$G304},""select sum(Col4) where Col1='""&amp;M20&amp;""' and (Col3 = 'Crédito' or Col3='Débito') and Col5='""&amp;P20&amp;""' and Col6='""&amp;N20&amp;""' group by Col1,Col6 label sum(Col4) ''""),0))"),"")</f>
        <v/>
      </c>
      <c r="T20" s="665" t="str">
        <f>IFERROR(__xludf.DUMMYFUNCTION("IF(OR(N20="""",NOT($AC$7)),"""",IFERROR(IF(AND(P20=""BRL"",'config.parâmetros'!$B$8=""BRL""),
query({op.daytrade!$A$5:$AC304},""select sum(""&amp;$Z$6&amp;"") where ""&amp;$Z$5&amp;""='""&amp;M20&amp;""' and ""&amp;$Z$9&amp;""='""&amp;N20&amp;""' label sum(""&amp;$Z$6&amp;"") ''"",0),
SUMPRODUCT(query("&amp;"{op.daytrade!$A$5:$AC304},""select ""&amp;$Z$6&amp;"" where ""&amp;$Z$5&amp;""='""&amp;M20&amp;""' and ""&amp;$Z$9&amp;""='""&amp;N20&amp;""'"",0),
query({op.daytrade!$A$5:$AC304},""select 1/""&amp;$Z$7&amp;"" where ""&amp;$Z$5&amp;""='""&amp;M20&amp;""' and ""&amp;$Z$9&amp;""='""&amp;N20&amp;""' label 1/""&amp;$Z$7&amp;"" ''"",0))),0))"),"")</f>
        <v/>
      </c>
      <c r="U20" s="665" t="str">
        <f>IFERROR(__xludf.DUMMYFUNCTION("IF(OR(N20="""",NOT($AC$7)),"""",IFERROR(
SUMPRODUCT(query({proventos!$A$5:$R304},""select ""&amp;$Z$12&amp;"" where ""&amp;$Z$14&amp;""='""&amp;N20&amp;""' and ""&amp;$Z$11&amp;""='""&amp;M20&amp;""'"",0),
query({proventos!$A$5:$R304},""select 1/""&amp;$Z$13&amp;"" where ""&amp;$Z$14&amp;""='""&amp;N20&amp;""' and ""&amp;"&amp;"$Z$11&amp;""='""&amp;M20&amp;""' label 1/""&amp;$Z$13&amp;"" ''"",0)),0))"),"")</f>
        <v/>
      </c>
      <c r="V20" s="665" t="str">
        <f>IFERROR(__xludf.DUMMYFUNCTION("IF(OR(N20="""",NOT($AC$7)),"""",IFERROR(IF(AND(P20=""BRL"",'config.parâmetros'!$B$8=""BRL""),
query({op.normal!$A$5:$AC304},""select sum(""&amp;$Z$6&amp;"") where ""&amp;$Z$5&amp;""='""&amp;M20&amp;""' and ""&amp;$Z$9&amp;""='""&amp;N20&amp;""' label sum(""&amp;$Z$6&amp;"") ''"",0),
SUMPRODUCT(query({o"&amp;"p.normal!$A$5:$AC304},""select ""&amp;$Z$6&amp;"" where ""&amp;$Z$5&amp;""='""&amp;M20&amp;""' and ""&amp;$Z$9&amp;""='""&amp;N20&amp;""'"",0),
query({op.normal!$A$5:$AC304},""select 1/""&amp;$Z$7&amp;"" where ""&amp;$Z$5&amp;""='""&amp;M20&amp;""' and ""&amp;$Z$9&amp;""='""&amp;N20&amp;""' label 1/""&amp;$Z$7&amp;"" ''"",0))),0))"),"")</f>
        <v/>
      </c>
      <c r="W20" s="665" t="str">
        <f t="shared" si="1"/>
        <v/>
      </c>
      <c r="Y20" s="753">
        <f>EOMONTH(TODAY(),-2)</f>
        <v>46053</v>
      </c>
      <c r="Z20" s="751" t="str">
        <f>IFERROR(__xludf.DUMMYFUNCTION("IF($AC$7,IFERROR(query({$A$5:$J304},""select sum(Col10) where Col2 &gt; date '""&amp;TEXT($Y21,""yyyy-mm-dd"")&amp;
""' and Col2 &lt;= date '""&amp;TEXT($Y20,""yyyy-mm-dd"")&amp;""' and (Col3='Remessa' or Col3='Saque') ""&amp;$AG$13&amp;"" label sum(Col10) ''""),0),"""")"),"")</f>
        <v/>
      </c>
      <c r="AA20" s="744">
        <v>11.0</v>
      </c>
      <c r="AB20" s="746"/>
      <c r="AC20" s="746"/>
      <c r="AD20" s="746"/>
      <c r="AE20" s="747" t="b">
        <f>IF(NOT($AG$11),TRUE,IFERROR(MATCH(AC20,'portfólio'!$DP$67:$DP$73,0)&gt;0,FALSE))</f>
        <v>1</v>
      </c>
      <c r="AF20" s="734"/>
      <c r="AG20" s="734"/>
      <c r="AH20" s="734"/>
      <c r="AI20" s="734"/>
      <c r="AJ20" s="734"/>
      <c r="AK20" s="734"/>
    </row>
    <row r="21" ht="15.75" customHeight="1">
      <c r="A21" s="725"/>
      <c r="B21" s="726"/>
      <c r="C21" s="727"/>
      <c r="D21" s="730"/>
      <c r="E21" s="727"/>
      <c r="F21" s="729"/>
      <c r="G21" s="730"/>
      <c r="H21" s="581"/>
      <c r="I21" s="665" t="s">
        <v>123</v>
      </c>
      <c r="J21" s="665" t="s">
        <v>123</v>
      </c>
      <c r="K21" s="581">
        <v>17.0</v>
      </c>
      <c r="L21" s="730"/>
      <c r="M21" s="725"/>
      <c r="N21" s="731"/>
      <c r="O21" s="730"/>
      <c r="P21" s="727"/>
      <c r="Q21" s="712"/>
      <c r="R21" s="665" t="str">
        <f>IFERROR(__xludf.DUMMYFUNCTION("IF(OR(N21="""",NOT($AC$7)),"""",IFERROR(query({$A$5:$G304},""select sum(Col4) where Col1='""&amp;M21&amp;""' and (Col3 = 'Remessa' or Col3='Saque') and Col5='""&amp;P21&amp;""' and Col6='""&amp;N21&amp;""' group by Col1,Col6 label sum(Col4) ''""),0))"),"")</f>
        <v/>
      </c>
      <c r="S21" s="665" t="str">
        <f>IFERROR(__xludf.DUMMYFUNCTION("IF(OR(N21="""",NOT($AC$7)),"""",IFERROR(query({$A$5:$G304},""select sum(Col4) where Col1='""&amp;M21&amp;""' and (Col3 = 'Crédito' or Col3='Débito') and Col5='""&amp;P21&amp;""' and Col6='""&amp;N21&amp;""' group by Col1,Col6 label sum(Col4) ''""),0))"),"")</f>
        <v/>
      </c>
      <c r="T21" s="665" t="str">
        <f>IFERROR(__xludf.DUMMYFUNCTION("IF(OR(N21="""",NOT($AC$7)),"""",IFERROR(IF(AND(P21=""BRL"",'config.parâmetros'!$B$8=""BRL""),
query({op.daytrade!$A$5:$AC304},""select sum(""&amp;$Z$6&amp;"") where ""&amp;$Z$5&amp;""='""&amp;M21&amp;""' and ""&amp;$Z$9&amp;""='""&amp;N21&amp;""' label sum(""&amp;$Z$6&amp;"") ''"",0),
SUMPRODUCT(query("&amp;"{op.daytrade!$A$5:$AC304},""select ""&amp;$Z$6&amp;"" where ""&amp;$Z$5&amp;""='""&amp;M21&amp;""' and ""&amp;$Z$9&amp;""='""&amp;N21&amp;""'"",0),
query({op.daytrade!$A$5:$AC304},""select 1/""&amp;$Z$7&amp;"" where ""&amp;$Z$5&amp;""='""&amp;M21&amp;""' and ""&amp;$Z$9&amp;""='""&amp;N21&amp;""' label 1/""&amp;$Z$7&amp;"" ''"",0))),0))"),"")</f>
        <v/>
      </c>
      <c r="U21" s="665" t="str">
        <f>IFERROR(__xludf.DUMMYFUNCTION("IF(OR(N21="""",NOT($AC$7)),"""",IFERROR(
SUMPRODUCT(query({proventos!$A$5:$R304},""select ""&amp;$Z$12&amp;"" where ""&amp;$Z$14&amp;""='""&amp;N21&amp;""' and ""&amp;$Z$11&amp;""='""&amp;M21&amp;""'"",0),
query({proventos!$A$5:$R304},""select 1/""&amp;$Z$13&amp;"" where ""&amp;$Z$14&amp;""='""&amp;N21&amp;""' and ""&amp;"&amp;"$Z$11&amp;""='""&amp;M21&amp;""' label 1/""&amp;$Z$13&amp;"" ''"",0)),0))"),"")</f>
        <v/>
      </c>
      <c r="V21" s="665" t="str">
        <f>IFERROR(__xludf.DUMMYFUNCTION("IF(OR(N21="""",NOT($AC$7)),"""",IFERROR(IF(AND(P21=""BRL"",'config.parâmetros'!$B$8=""BRL""),
query({op.normal!$A$5:$AC304},""select sum(""&amp;$Z$6&amp;"") where ""&amp;$Z$5&amp;""='""&amp;M21&amp;""' and ""&amp;$Z$9&amp;""='""&amp;N21&amp;""' label sum(""&amp;$Z$6&amp;"") ''"",0),
SUMPRODUCT(query({o"&amp;"p.normal!$A$5:$AC304},""select ""&amp;$Z$6&amp;"" where ""&amp;$Z$5&amp;""='""&amp;M21&amp;""' and ""&amp;$Z$9&amp;""='""&amp;N21&amp;""'"",0),
query({op.normal!$A$5:$AC304},""select 1/""&amp;$Z$7&amp;"" where ""&amp;$Z$5&amp;""='""&amp;M21&amp;""' and ""&amp;$Z$9&amp;""='""&amp;N21&amp;""' label 1/""&amp;$Z$7&amp;"" ''"",0))),0))"),"")</f>
        <v/>
      </c>
      <c r="W21" s="665" t="str">
        <f t="shared" si="1"/>
        <v/>
      </c>
      <c r="Y21" s="753">
        <f>EOMONTH(TODAY(),-3)</f>
        <v>46022</v>
      </c>
      <c r="Z21" s="751" t="str">
        <f>IFERROR(__xludf.DUMMYFUNCTION("IF($AC$7,IFERROR(query({$A$5:$J304},""select sum(Col10) where Col2 &gt; date '""&amp;TEXT($Y22,""yyyy-mm-dd"")&amp;
""' and Col2 &lt;= date '""&amp;TEXT($Y21,""yyyy-mm-dd"")&amp;""' and (Col3='Remessa' or Col3='Saque') ""&amp;$AG$13&amp;"" label sum(Col10) ''""),0),"""")"),"")</f>
        <v/>
      </c>
      <c r="AA21" s="744">
        <v>12.0</v>
      </c>
      <c r="AB21" s="746"/>
      <c r="AC21" s="746"/>
      <c r="AD21" s="746"/>
      <c r="AE21" s="747" t="b">
        <f>IF(NOT($AG$11),TRUE,IFERROR(MATCH(AC21,'portfólio'!$DP$67:$DP$73,0)&gt;0,FALSE))</f>
        <v>1</v>
      </c>
      <c r="AF21" s="734"/>
      <c r="AG21" s="734"/>
      <c r="AH21" s="734"/>
      <c r="AI21" s="734"/>
      <c r="AJ21" s="734"/>
      <c r="AK21" s="734"/>
    </row>
    <row r="22" ht="15.75" customHeight="1">
      <c r="A22" s="725"/>
      <c r="B22" s="726"/>
      <c r="C22" s="727"/>
      <c r="D22" s="730"/>
      <c r="E22" s="727"/>
      <c r="F22" s="729"/>
      <c r="G22" s="730"/>
      <c r="H22" s="581"/>
      <c r="I22" s="665" t="s">
        <v>123</v>
      </c>
      <c r="J22" s="665" t="s">
        <v>123</v>
      </c>
      <c r="K22" s="581">
        <v>18.0</v>
      </c>
      <c r="L22" s="730"/>
      <c r="M22" s="725"/>
      <c r="N22" s="731"/>
      <c r="O22" s="730"/>
      <c r="P22" s="727"/>
      <c r="Q22" s="712"/>
      <c r="R22" s="665" t="str">
        <f>IFERROR(__xludf.DUMMYFUNCTION("IF(OR(N22="""",NOT($AC$7)),"""",IFERROR(query({$A$5:$G304},""select sum(Col4) where Col1='""&amp;M22&amp;""' and (Col3 = 'Remessa' or Col3='Saque') and Col5='""&amp;P22&amp;""' and Col6='""&amp;N22&amp;""' group by Col1,Col6 label sum(Col4) ''""),0))"),"")</f>
        <v/>
      </c>
      <c r="S22" s="665" t="str">
        <f>IFERROR(__xludf.DUMMYFUNCTION("IF(OR(N22="""",NOT($AC$7)),"""",IFERROR(query({$A$5:$G304},""select sum(Col4) where Col1='""&amp;M22&amp;""' and (Col3 = 'Crédito' or Col3='Débito') and Col5='""&amp;P22&amp;""' and Col6='""&amp;N22&amp;""' group by Col1,Col6 label sum(Col4) ''""),0))"),"")</f>
        <v/>
      </c>
      <c r="T22" s="665" t="str">
        <f>IFERROR(__xludf.DUMMYFUNCTION("IF(OR(N22="""",NOT($AC$7)),"""",IFERROR(IF(AND(P22=""BRL"",'config.parâmetros'!$B$8=""BRL""),
query({op.daytrade!$A$5:$AC304},""select sum(""&amp;$Z$6&amp;"") where ""&amp;$Z$5&amp;""='""&amp;M22&amp;""' and ""&amp;$Z$9&amp;""='""&amp;N22&amp;""' label sum(""&amp;$Z$6&amp;"") ''"",0),
SUMPRODUCT(query("&amp;"{op.daytrade!$A$5:$AC304},""select ""&amp;$Z$6&amp;"" where ""&amp;$Z$5&amp;""='""&amp;M22&amp;""' and ""&amp;$Z$9&amp;""='""&amp;N22&amp;""'"",0),
query({op.daytrade!$A$5:$AC304},""select 1/""&amp;$Z$7&amp;"" where ""&amp;$Z$5&amp;""='""&amp;M22&amp;""' and ""&amp;$Z$9&amp;""='""&amp;N22&amp;""' label 1/""&amp;$Z$7&amp;"" ''"",0))),0))"),"")</f>
        <v/>
      </c>
      <c r="U22" s="665" t="str">
        <f>IFERROR(__xludf.DUMMYFUNCTION("IF(OR(N22="""",NOT($AC$7)),"""",IFERROR(
SUMPRODUCT(query({proventos!$A$5:$R304},""select ""&amp;$Z$12&amp;"" where ""&amp;$Z$14&amp;""='""&amp;N22&amp;""' and ""&amp;$Z$11&amp;""='""&amp;M22&amp;""'"",0),
query({proventos!$A$5:$R304},""select 1/""&amp;$Z$13&amp;"" where ""&amp;$Z$14&amp;""='""&amp;N22&amp;""' and ""&amp;"&amp;"$Z$11&amp;""='""&amp;M22&amp;""' label 1/""&amp;$Z$13&amp;"" ''"",0)),0))"),"")</f>
        <v/>
      </c>
      <c r="V22" s="665" t="str">
        <f>IFERROR(__xludf.DUMMYFUNCTION("IF(OR(N22="""",NOT($AC$7)),"""",IFERROR(IF(AND(P22=""BRL"",'config.parâmetros'!$B$8=""BRL""),
query({op.normal!$A$5:$AC304},""select sum(""&amp;$Z$6&amp;"") where ""&amp;$Z$5&amp;""='""&amp;M22&amp;""' and ""&amp;$Z$9&amp;""='""&amp;N22&amp;""' label sum(""&amp;$Z$6&amp;"") ''"",0),
SUMPRODUCT(query({o"&amp;"p.normal!$A$5:$AC304},""select ""&amp;$Z$6&amp;"" where ""&amp;$Z$5&amp;""='""&amp;M22&amp;""' and ""&amp;$Z$9&amp;""='""&amp;N22&amp;""'"",0),
query({op.normal!$A$5:$AC304},""select 1/""&amp;$Z$7&amp;"" where ""&amp;$Z$5&amp;""='""&amp;M22&amp;""' and ""&amp;$Z$9&amp;""='""&amp;N22&amp;""' label 1/""&amp;$Z$7&amp;"" ''"",0))),0))"),"")</f>
        <v/>
      </c>
      <c r="W22" s="665" t="str">
        <f t="shared" si="1"/>
        <v/>
      </c>
      <c r="Y22" s="753">
        <f>EOMONTH(TODAY(),-4)</f>
        <v>45991</v>
      </c>
      <c r="Z22" s="751" t="str">
        <f>IFERROR(__xludf.DUMMYFUNCTION("IF($AC$7,IFERROR(query({$A$5:$J304},""select sum(Col10) where Col2 &gt; date '""&amp;TEXT(EOMONTH(TODAY(),-5),""yyyy-mm-dd"")&amp;
""' and Col2 &lt;= date '""&amp;TEXT($Y22,""yyyy-mm-dd"")&amp;""' and (Col3='Remessa' or Col3='Saque') ""&amp;$AG$13&amp;"" label sum(Col10) ''""),0),"""""&amp;")"),"")</f>
        <v/>
      </c>
      <c r="AA22" s="744">
        <v>13.0</v>
      </c>
      <c r="AB22" s="746"/>
      <c r="AC22" s="746"/>
      <c r="AD22" s="746"/>
      <c r="AE22" s="747" t="b">
        <f>IF(NOT($AG$11),TRUE,IFERROR(MATCH(AC22,'portfólio'!$DP$67:$DP$73,0)&gt;0,FALSE))</f>
        <v>1</v>
      </c>
      <c r="AF22" s="734"/>
      <c r="AG22" s="734"/>
      <c r="AH22" s="734"/>
      <c r="AI22" s="734"/>
      <c r="AJ22" s="734"/>
      <c r="AK22" s="734"/>
    </row>
    <row r="23" ht="15.75" customHeight="1">
      <c r="A23" s="725"/>
      <c r="B23" s="726"/>
      <c r="C23" s="727"/>
      <c r="D23" s="730"/>
      <c r="E23" s="727"/>
      <c r="F23" s="729"/>
      <c r="G23" s="730"/>
      <c r="H23" s="581"/>
      <c r="I23" s="665" t="s">
        <v>123</v>
      </c>
      <c r="J23" s="665" t="s">
        <v>123</v>
      </c>
      <c r="K23" s="581">
        <v>19.0</v>
      </c>
      <c r="L23" s="730"/>
      <c r="M23" s="725"/>
      <c r="N23" s="731"/>
      <c r="O23" s="730"/>
      <c r="P23" s="727"/>
      <c r="Q23" s="712"/>
      <c r="R23" s="665" t="str">
        <f>IFERROR(__xludf.DUMMYFUNCTION("IF(OR(N23="""",NOT($AC$7)),"""",IFERROR(query({$A$5:$G304},""select sum(Col4) where Col1='""&amp;M23&amp;""' and (Col3 = 'Remessa' or Col3='Saque') and Col5='""&amp;P23&amp;""' and Col6='""&amp;N23&amp;""' group by Col1,Col6 label sum(Col4) ''""),0))"),"")</f>
        <v/>
      </c>
      <c r="S23" s="665" t="str">
        <f>IFERROR(__xludf.DUMMYFUNCTION("IF(OR(N23="""",NOT($AC$7)),"""",IFERROR(query({$A$5:$G304},""select sum(Col4) where Col1='""&amp;M23&amp;""' and (Col3 = 'Crédito' or Col3='Débito') and Col5='""&amp;P23&amp;""' and Col6='""&amp;N23&amp;""' group by Col1,Col6 label sum(Col4) ''""),0))"),"")</f>
        <v/>
      </c>
      <c r="T23" s="665" t="str">
        <f>IFERROR(__xludf.DUMMYFUNCTION("IF(OR(N23="""",NOT($AC$7)),"""",IFERROR(IF(AND(P23=""BRL"",'config.parâmetros'!$B$8=""BRL""),
query({op.daytrade!$A$5:$AC304},""select sum(""&amp;$Z$6&amp;"") where ""&amp;$Z$5&amp;""='""&amp;M23&amp;""' and ""&amp;$Z$9&amp;""='""&amp;N23&amp;""' label sum(""&amp;$Z$6&amp;"") ''"",0),
SUMPRODUCT(query("&amp;"{op.daytrade!$A$5:$AC304},""select ""&amp;$Z$6&amp;"" where ""&amp;$Z$5&amp;""='""&amp;M23&amp;""' and ""&amp;$Z$9&amp;""='""&amp;N23&amp;""'"",0),
query({op.daytrade!$A$5:$AC304},""select 1/""&amp;$Z$7&amp;"" where ""&amp;$Z$5&amp;""='""&amp;M23&amp;""' and ""&amp;$Z$9&amp;""='""&amp;N23&amp;""' label 1/""&amp;$Z$7&amp;"" ''"",0))),0))"),"")</f>
        <v/>
      </c>
      <c r="U23" s="665" t="str">
        <f>IFERROR(__xludf.DUMMYFUNCTION("IF(OR(N23="""",NOT($AC$7)),"""",IFERROR(
SUMPRODUCT(query({proventos!$A$5:$R304},""select ""&amp;$Z$12&amp;"" where ""&amp;$Z$14&amp;""='""&amp;N23&amp;""' and ""&amp;$Z$11&amp;""='""&amp;M23&amp;""'"",0),
query({proventos!$A$5:$R304},""select 1/""&amp;$Z$13&amp;"" where ""&amp;$Z$14&amp;""='""&amp;N23&amp;""' and ""&amp;"&amp;"$Z$11&amp;""='""&amp;M23&amp;""' label 1/""&amp;$Z$13&amp;"" ''"",0)),0))"),"")</f>
        <v/>
      </c>
      <c r="V23" s="665" t="str">
        <f>IFERROR(__xludf.DUMMYFUNCTION("IF(OR(N23="""",NOT($AC$7)),"""",IFERROR(IF(AND(P23=""BRL"",'config.parâmetros'!$B$8=""BRL""),
query({op.normal!$A$5:$AC304},""select sum(""&amp;$Z$6&amp;"") where ""&amp;$Z$5&amp;""='""&amp;M23&amp;""' and ""&amp;$Z$9&amp;""='""&amp;N23&amp;""' label sum(""&amp;$Z$6&amp;"") ''"",0),
SUMPRODUCT(query({o"&amp;"p.normal!$A$5:$AC304},""select ""&amp;$Z$6&amp;"" where ""&amp;$Z$5&amp;""='""&amp;M23&amp;""' and ""&amp;$Z$9&amp;""='""&amp;N23&amp;""'"",0),
query({op.normal!$A$5:$AC304},""select 1/""&amp;$Z$7&amp;"" where ""&amp;$Z$5&amp;""='""&amp;M23&amp;""' and ""&amp;$Z$9&amp;""='""&amp;N23&amp;""' label 1/""&amp;$Z$7&amp;"" ''"",0))),0))"),"")</f>
        <v/>
      </c>
      <c r="W23" s="665" t="str">
        <f t="shared" si="1"/>
        <v/>
      </c>
      <c r="Y23" s="576"/>
      <c r="Z23" s="576"/>
      <c r="AA23" s="744">
        <v>14.0</v>
      </c>
      <c r="AB23" s="746"/>
      <c r="AC23" s="746"/>
      <c r="AD23" s="746"/>
      <c r="AE23" s="747" t="b">
        <f>IF(NOT($AG$11),TRUE,IFERROR(MATCH(AC23,'portfólio'!$DP$67:$DP$73,0)&gt;0,FALSE))</f>
        <v>1</v>
      </c>
      <c r="AF23" s="734"/>
      <c r="AG23" s="734"/>
      <c r="AH23" s="734"/>
      <c r="AI23" s="734"/>
      <c r="AJ23" s="734"/>
      <c r="AK23" s="734"/>
    </row>
    <row r="24" ht="15.75" customHeight="1">
      <c r="A24" s="725"/>
      <c r="B24" s="726"/>
      <c r="C24" s="727"/>
      <c r="D24" s="730"/>
      <c r="E24" s="727"/>
      <c r="F24" s="729"/>
      <c r="G24" s="730"/>
      <c r="H24" s="581"/>
      <c r="I24" s="665" t="s">
        <v>123</v>
      </c>
      <c r="J24" s="665" t="s">
        <v>123</v>
      </c>
      <c r="K24" s="581">
        <v>20.0</v>
      </c>
      <c r="L24" s="730"/>
      <c r="M24" s="725"/>
      <c r="N24" s="731"/>
      <c r="O24" s="730"/>
      <c r="P24" s="727"/>
      <c r="Q24" s="712"/>
      <c r="R24" s="665" t="str">
        <f>IFERROR(__xludf.DUMMYFUNCTION("IF(OR(N24="""",NOT($AC$7)),"""",IFERROR(query({$A$5:$G304},""select sum(Col4) where Col1='""&amp;M24&amp;""' and (Col3 = 'Remessa' or Col3='Saque') and Col5='""&amp;P24&amp;""' and Col6='""&amp;N24&amp;""' group by Col1,Col6 label sum(Col4) ''""),0))"),"")</f>
        <v/>
      </c>
      <c r="S24" s="665" t="str">
        <f>IFERROR(__xludf.DUMMYFUNCTION("IF(OR(N24="""",NOT($AC$7)),"""",IFERROR(query({$A$5:$G304},""select sum(Col4) where Col1='""&amp;M24&amp;""' and (Col3 = 'Crédito' or Col3='Débito') and Col5='""&amp;P24&amp;""' and Col6='""&amp;N24&amp;""' group by Col1,Col6 label sum(Col4) ''""),0))"),"")</f>
        <v/>
      </c>
      <c r="T24" s="665" t="str">
        <f>IFERROR(__xludf.DUMMYFUNCTION("IF(OR(N24="""",NOT($AC$7)),"""",IFERROR(IF(AND(P24=""BRL"",'config.parâmetros'!$B$8=""BRL""),
query({op.daytrade!$A$5:$AC304},""select sum(""&amp;$Z$6&amp;"") where ""&amp;$Z$5&amp;""='""&amp;M24&amp;""' and ""&amp;$Z$9&amp;""='""&amp;N24&amp;""' label sum(""&amp;$Z$6&amp;"") ''"",0),
SUMPRODUCT(query("&amp;"{op.daytrade!$A$5:$AC304},""select ""&amp;$Z$6&amp;"" where ""&amp;$Z$5&amp;""='""&amp;M24&amp;""' and ""&amp;$Z$9&amp;""='""&amp;N24&amp;""'"",0),
query({op.daytrade!$A$5:$AC304},""select 1/""&amp;$Z$7&amp;"" where ""&amp;$Z$5&amp;""='""&amp;M24&amp;""' and ""&amp;$Z$9&amp;""='""&amp;N24&amp;""' label 1/""&amp;$Z$7&amp;"" ''"",0))),0))"),"")</f>
        <v/>
      </c>
      <c r="U24" s="665" t="str">
        <f>IFERROR(__xludf.DUMMYFUNCTION("IF(OR(N24="""",NOT($AC$7)),"""",IFERROR(
SUMPRODUCT(query({proventos!$A$5:$R304},""select ""&amp;$Z$12&amp;"" where ""&amp;$Z$14&amp;""='""&amp;N24&amp;""' and ""&amp;$Z$11&amp;""='""&amp;M24&amp;""'"",0),
query({proventos!$A$5:$R304},""select 1/""&amp;$Z$13&amp;"" where ""&amp;$Z$14&amp;""='""&amp;N24&amp;""' and ""&amp;"&amp;"$Z$11&amp;""='""&amp;M24&amp;""' label 1/""&amp;$Z$13&amp;"" ''"",0)),0))"),"")</f>
        <v/>
      </c>
      <c r="V24" s="665" t="str">
        <f>IFERROR(__xludf.DUMMYFUNCTION("IF(OR(N24="""",NOT($AC$7)),"""",IFERROR(IF(AND(P24=""BRL"",'config.parâmetros'!$B$8=""BRL""),
query({op.normal!$A$5:$AC304},""select sum(""&amp;$Z$6&amp;"") where ""&amp;$Z$5&amp;""='""&amp;M24&amp;""' and ""&amp;$Z$9&amp;""='""&amp;N24&amp;""' label sum(""&amp;$Z$6&amp;"") ''"",0),
SUMPRODUCT(query({o"&amp;"p.normal!$A$5:$AC304},""select ""&amp;$Z$6&amp;"" where ""&amp;$Z$5&amp;""='""&amp;M24&amp;""' and ""&amp;$Z$9&amp;""='""&amp;N24&amp;""'"",0),
query({op.normal!$A$5:$AC304},""select 1/""&amp;$Z$7&amp;"" where ""&amp;$Z$5&amp;""='""&amp;M24&amp;""' and ""&amp;$Z$9&amp;""='""&amp;N24&amp;""' label 1/""&amp;$Z$7&amp;"" ''"",0))),0))"),"")</f>
        <v/>
      </c>
      <c r="W24" s="665" t="str">
        <f t="shared" si="1"/>
        <v/>
      </c>
      <c r="Y24" s="747" t="s">
        <v>468</v>
      </c>
      <c r="Z24" s="751" t="str">
        <f>IFERROR(__xludf.DUMMYFUNCTION("IF($AC$7,IFERROR(query({$B$5:$J304},""select sum(Col9) where Col1 &gt; date '""&amp;TEXT(EOMONTH(TODAY(),-13),""yyyy-mm-dd"")&amp;
""' and Col1 &lt;= date '""&amp;TEXT(TODAY(),""yyyy-mm-dd"")&amp;""' and (Col2='Remessa' or Col2='Saque') label sum(Col9) ''""),0),"""")"),"")</f>
        <v/>
      </c>
      <c r="AA24" s="744">
        <v>15.0</v>
      </c>
      <c r="AB24" s="746"/>
      <c r="AC24" s="746"/>
      <c r="AD24" s="746"/>
      <c r="AE24" s="747" t="b">
        <f>IF(NOT($AG$11),TRUE,IFERROR(MATCH(AC24,'portfólio'!$DP$67:$DP$73,0)&gt;0,FALSE))</f>
        <v>1</v>
      </c>
      <c r="AF24" s="734"/>
      <c r="AG24" s="734"/>
      <c r="AH24" s="734"/>
      <c r="AI24" s="734"/>
      <c r="AJ24" s="734"/>
      <c r="AK24" s="734"/>
    </row>
    <row r="25" ht="15.75" customHeight="1">
      <c r="A25" s="725"/>
      <c r="B25" s="726"/>
      <c r="C25" s="727"/>
      <c r="D25" s="730"/>
      <c r="E25" s="727"/>
      <c r="F25" s="729"/>
      <c r="G25" s="730"/>
      <c r="I25" s="665" t="s">
        <v>123</v>
      </c>
      <c r="J25" s="665" t="s">
        <v>123</v>
      </c>
      <c r="M25" s="754"/>
      <c r="N25" s="754"/>
      <c r="O25" s="754"/>
      <c r="P25" s="754"/>
      <c r="Q25" s="712"/>
      <c r="Y25" s="755">
        <f>YEAR(TODAY())</f>
        <v>2026</v>
      </c>
      <c r="Z25" s="751" t="str">
        <f>IFERROR(__xludf.DUMMYFUNCTION("IF($AC$7,IFERROR(QUERY({B$5:J304},""select sum(Col9) where Col1 &gt;= date '""&amp;TEXT(Y25,""####"")&amp;""-01-01' and Col1 &lt;= date '""&amp;TEXT(Y25,""####"")&amp;""-12-31' and (Col2='Remessa' or Col2='Saque') label sum(Col9) ''""),0),"""")"),"")</f>
        <v/>
      </c>
      <c r="AA25" s="744">
        <v>16.0</v>
      </c>
      <c r="AB25" s="746"/>
      <c r="AC25" s="746"/>
      <c r="AD25" s="746"/>
      <c r="AE25" s="747" t="b">
        <f>IF(NOT($AG$11),TRUE,IFERROR(MATCH(AC25,'portfólio'!$DP$67:$DP$73,0)&gt;0,FALSE))</f>
        <v>1</v>
      </c>
      <c r="AF25" s="734"/>
      <c r="AG25" s="734"/>
      <c r="AH25" s="734"/>
      <c r="AI25" s="734"/>
      <c r="AJ25" s="734"/>
      <c r="AK25" s="734"/>
    </row>
    <row r="26" ht="15.75" customHeight="1">
      <c r="A26" s="725"/>
      <c r="B26" s="726"/>
      <c r="C26" s="727"/>
      <c r="D26" s="730"/>
      <c r="E26" s="727"/>
      <c r="F26" s="729"/>
      <c r="G26" s="730"/>
      <c r="I26" s="665" t="s">
        <v>123</v>
      </c>
      <c r="J26" s="665" t="s">
        <v>123</v>
      </c>
      <c r="M26" s="754"/>
      <c r="N26" s="754"/>
      <c r="O26" s="754"/>
      <c r="P26" s="754"/>
      <c r="Q26" s="712"/>
      <c r="Y26" s="756">
        <f t="shared" ref="Y26:Y28" si="9">Y25-1</f>
        <v>2025</v>
      </c>
      <c r="Z26" s="751" t="str">
        <f>IFERROR(__xludf.DUMMYFUNCTION("IF($AC$7,IFERROR(QUERY({B$5:J304},""select sum(Col9) where Col1 &gt;= date '""&amp;TEXT(Y26,""####"")&amp;""-01-01' and Col1 &lt;= date '""&amp;TEXT(Y26,""####"")&amp;""-12-31' and (Col2='Remessa' or Col2='Saque') label sum(Col9) ''""),0),"""")"),"")</f>
        <v/>
      </c>
      <c r="AA26" s="744">
        <v>17.0</v>
      </c>
      <c r="AB26" s="746"/>
      <c r="AC26" s="746"/>
      <c r="AD26" s="746"/>
      <c r="AE26" s="747" t="b">
        <f>IF(NOT($AG$11),TRUE,IFERROR(MATCH(AC26,'portfólio'!$DP$67:$DP$73,0)&gt;0,FALSE))</f>
        <v>1</v>
      </c>
      <c r="AF26" s="734"/>
      <c r="AG26" s="734"/>
      <c r="AH26" s="734"/>
      <c r="AI26" s="734"/>
      <c r="AJ26" s="734"/>
      <c r="AK26" s="734"/>
    </row>
    <row r="27" ht="15.75" customHeight="1">
      <c r="A27" s="725"/>
      <c r="B27" s="726"/>
      <c r="C27" s="727"/>
      <c r="D27" s="730"/>
      <c r="E27" s="727"/>
      <c r="F27" s="729"/>
      <c r="G27" s="730"/>
      <c r="I27" s="665" t="s">
        <v>123</v>
      </c>
      <c r="J27" s="665" t="s">
        <v>123</v>
      </c>
      <c r="M27" s="754"/>
      <c r="N27" s="754"/>
      <c r="O27" s="754"/>
      <c r="P27" s="754"/>
      <c r="Q27" s="712"/>
      <c r="Y27" s="756">
        <f t="shared" si="9"/>
        <v>2024</v>
      </c>
      <c r="Z27" s="751" t="str">
        <f>IFERROR(__xludf.DUMMYFUNCTION("IF($AC$7,IFERROR(QUERY({B$5:J304},""select sum(Col9) where Col1 &gt;= date '""&amp;TEXT(Y27,""####"")&amp;""-01-01' and Col1 &lt;= date '""&amp;TEXT(Y27,""####"")&amp;""-12-31' and (Col2='Remessa' or Col2='Saque') label sum(Col9) ''""),0),"""")"),"")</f>
        <v/>
      </c>
      <c r="AA27" s="744">
        <v>18.0</v>
      </c>
      <c r="AB27" s="746"/>
      <c r="AC27" s="746"/>
      <c r="AD27" s="746"/>
      <c r="AE27" s="747" t="b">
        <f>IF(NOT($AG$11),TRUE,IFERROR(MATCH(AC27,'portfólio'!$DP$67:$DP$73,0)&gt;0,FALSE))</f>
        <v>1</v>
      </c>
      <c r="AF27" s="734"/>
      <c r="AG27" s="734"/>
      <c r="AH27" s="734"/>
      <c r="AI27" s="734"/>
      <c r="AJ27" s="734"/>
      <c r="AK27" s="734"/>
    </row>
    <row r="28" ht="15.75" customHeight="1">
      <c r="A28" s="725"/>
      <c r="B28" s="726"/>
      <c r="C28" s="727"/>
      <c r="D28" s="730"/>
      <c r="E28" s="727"/>
      <c r="F28" s="729"/>
      <c r="G28" s="730"/>
      <c r="I28" s="665" t="s">
        <v>123</v>
      </c>
      <c r="J28" s="665" t="s">
        <v>123</v>
      </c>
      <c r="Y28" s="756">
        <f t="shared" si="9"/>
        <v>2023</v>
      </c>
      <c r="Z28" s="751" t="str">
        <f>IFERROR(__xludf.DUMMYFUNCTION("IF($AC$7,IFERROR(QUERY({B$5:J304},""select sum(Col9) where Col1 &gt;= date '""&amp;TEXT(Y28,""####"")&amp;""-01-01' and Col1 &lt;= date '""&amp;TEXT(Y28,""####"")&amp;""-12-31' and (Col2='Remessa' or Col2='Saque') label sum(Col9) ''""),0),"""")"),"")</f>
        <v/>
      </c>
      <c r="AA28" s="744">
        <v>19.0</v>
      </c>
      <c r="AB28" s="746"/>
      <c r="AC28" s="746"/>
      <c r="AD28" s="746"/>
      <c r="AE28" s="747" t="b">
        <f>IF(NOT($AG$11),TRUE,IFERROR(MATCH(AC28,'portfólio'!$DP$67:$DP$73,0)&gt;0,FALSE))</f>
        <v>1</v>
      </c>
      <c r="AF28" s="734"/>
      <c r="AG28" s="734"/>
      <c r="AH28" s="734"/>
      <c r="AI28" s="734"/>
      <c r="AJ28" s="734"/>
      <c r="AK28" s="734"/>
    </row>
    <row r="29" ht="15.75" customHeight="1">
      <c r="A29" s="725"/>
      <c r="B29" s="726"/>
      <c r="C29" s="727"/>
      <c r="D29" s="730"/>
      <c r="E29" s="727"/>
      <c r="F29" s="729"/>
      <c r="G29" s="730"/>
      <c r="I29" s="665" t="s">
        <v>123</v>
      </c>
      <c r="J29" s="665" t="s">
        <v>123</v>
      </c>
      <c r="Y29" s="576"/>
      <c r="Z29" s="576"/>
      <c r="AA29" s="744">
        <v>20.0</v>
      </c>
      <c r="AB29" s="746"/>
      <c r="AC29" s="746"/>
      <c r="AD29" s="746"/>
      <c r="AE29" s="747" t="b">
        <f>IF(NOT($AG$11),TRUE,IFERROR(MATCH(AC29,'portfólio'!$DP$67:$DP$73,0)&gt;0,FALSE))</f>
        <v>1</v>
      </c>
      <c r="AF29" s="734"/>
      <c r="AG29" s="734"/>
      <c r="AH29" s="734"/>
      <c r="AI29" s="734"/>
      <c r="AJ29" s="734"/>
      <c r="AK29" s="734"/>
    </row>
    <row r="30" ht="15.75" customHeight="1">
      <c r="A30" s="725"/>
      <c r="B30" s="726"/>
      <c r="C30" s="727"/>
      <c r="D30" s="730"/>
      <c r="E30" s="727"/>
      <c r="F30" s="729"/>
      <c r="G30" s="730"/>
      <c r="I30" s="665" t="s">
        <v>123</v>
      </c>
      <c r="J30" s="665" t="s">
        <v>123</v>
      </c>
      <c r="Y30" s="756" t="str">
        <f>IFERROR(__xludf.DUMMYFUNCTION("IF(NOT(AG11),IFERROR(FILTER(N5:N24,L5:L24)),IFERROR(FILTER(N5:N24&amp;""_""&amp;M5:M24,L5:L24)))"),"")</f>
        <v/>
      </c>
      <c r="Z30" s="757" t="str">
        <f>IFERROR(__xludf.DUMMYFUNCTION("IFERROR(FILTER(W5:W24,L5:L24))"),"")</f>
        <v/>
      </c>
      <c r="AA30" s="758"/>
      <c r="AB30" s="758"/>
      <c r="AC30" s="758"/>
      <c r="AD30" s="758"/>
      <c r="AE30" s="734"/>
      <c r="AF30" s="734"/>
      <c r="AG30" s="734"/>
      <c r="AH30" s="734"/>
      <c r="AI30" s="734"/>
      <c r="AJ30" s="734"/>
      <c r="AK30" s="734"/>
    </row>
    <row r="31" ht="15.75" customHeight="1">
      <c r="A31" s="725"/>
      <c r="B31" s="726"/>
      <c r="C31" s="727"/>
      <c r="D31" s="730"/>
      <c r="E31" s="727"/>
      <c r="F31" s="729"/>
      <c r="G31" s="730"/>
      <c r="I31" s="665" t="s">
        <v>123</v>
      </c>
      <c r="J31" s="665" t="s">
        <v>123</v>
      </c>
      <c r="Y31" s="756"/>
      <c r="Z31" s="757"/>
      <c r="AA31" s="758"/>
      <c r="AB31" s="759"/>
      <c r="AC31" s="758"/>
      <c r="AD31" s="758"/>
      <c r="AE31" s="734"/>
      <c r="AF31" s="734"/>
      <c r="AG31" s="734"/>
      <c r="AH31" s="734"/>
      <c r="AI31" s="734"/>
      <c r="AJ31" s="734"/>
      <c r="AK31" s="734"/>
    </row>
    <row r="32" ht="15.75" customHeight="1">
      <c r="A32" s="725"/>
      <c r="B32" s="726"/>
      <c r="C32" s="727"/>
      <c r="D32" s="730"/>
      <c r="E32" s="727"/>
      <c r="F32" s="729"/>
      <c r="G32" s="730"/>
      <c r="I32" s="665" t="s">
        <v>123</v>
      </c>
      <c r="J32" s="665" t="s">
        <v>123</v>
      </c>
      <c r="Y32" s="756"/>
      <c r="Z32" s="757"/>
      <c r="AA32" s="758"/>
      <c r="AB32" s="758"/>
      <c r="AC32" s="758"/>
      <c r="AD32" s="758"/>
      <c r="AE32" s="734"/>
      <c r="AF32" s="734"/>
      <c r="AG32" s="734"/>
      <c r="AH32" s="734"/>
      <c r="AI32" s="734"/>
      <c r="AJ32" s="734"/>
      <c r="AK32" s="734"/>
    </row>
    <row r="33" ht="15.75" customHeight="1">
      <c r="A33" s="725"/>
      <c r="B33" s="726"/>
      <c r="C33" s="727"/>
      <c r="D33" s="730"/>
      <c r="E33" s="727"/>
      <c r="F33" s="729"/>
      <c r="G33" s="730"/>
      <c r="I33" s="665" t="s">
        <v>123</v>
      </c>
      <c r="J33" s="665" t="s">
        <v>123</v>
      </c>
      <c r="Y33" s="756"/>
      <c r="Z33" s="757"/>
      <c r="AA33" s="758"/>
      <c r="AB33" s="758"/>
      <c r="AC33" s="758"/>
      <c r="AD33" s="758"/>
      <c r="AE33" s="734"/>
      <c r="AF33" s="734"/>
      <c r="AG33" s="734"/>
      <c r="AH33" s="734"/>
      <c r="AI33" s="734"/>
      <c r="AJ33" s="734"/>
      <c r="AK33" s="734"/>
    </row>
    <row r="34" ht="15.75" customHeight="1">
      <c r="A34" s="725"/>
      <c r="B34" s="726"/>
      <c r="C34" s="727"/>
      <c r="D34" s="730"/>
      <c r="E34" s="727"/>
      <c r="F34" s="729"/>
      <c r="G34" s="730"/>
      <c r="I34" s="665" t="s">
        <v>123</v>
      </c>
      <c r="J34" s="665" t="s">
        <v>123</v>
      </c>
      <c r="Y34" s="756"/>
      <c r="Z34" s="757"/>
      <c r="AA34" s="758"/>
      <c r="AB34" s="758"/>
      <c r="AC34" s="758"/>
      <c r="AD34" s="758"/>
      <c r="AE34" s="734"/>
      <c r="AF34" s="734"/>
      <c r="AG34" s="734"/>
      <c r="AH34" s="734"/>
      <c r="AI34" s="734"/>
      <c r="AJ34" s="734"/>
      <c r="AK34" s="734"/>
    </row>
    <row r="35" ht="15.75" customHeight="1">
      <c r="A35" s="725"/>
      <c r="B35" s="726"/>
      <c r="C35" s="727"/>
      <c r="D35" s="730"/>
      <c r="E35" s="727"/>
      <c r="F35" s="729"/>
      <c r="G35" s="730"/>
      <c r="I35" s="665" t="s">
        <v>123</v>
      </c>
      <c r="J35" s="665" t="s">
        <v>123</v>
      </c>
      <c r="AA35" s="734"/>
      <c r="AB35" s="734"/>
      <c r="AC35" s="734"/>
      <c r="AD35" s="734"/>
      <c r="AE35" s="734"/>
      <c r="AF35" s="734"/>
      <c r="AG35" s="734"/>
      <c r="AH35" s="734"/>
      <c r="AI35" s="734"/>
      <c r="AJ35" s="734"/>
      <c r="AK35" s="734"/>
    </row>
    <row r="36" ht="15.75" customHeight="1">
      <c r="A36" s="725"/>
      <c r="B36" s="726"/>
      <c r="C36" s="727"/>
      <c r="D36" s="730"/>
      <c r="E36" s="727"/>
      <c r="F36" s="729"/>
      <c r="G36" s="730"/>
      <c r="I36" s="665" t="s">
        <v>123</v>
      </c>
      <c r="J36" s="665" t="s">
        <v>123</v>
      </c>
      <c r="AA36" s="734"/>
      <c r="AB36" s="734"/>
      <c r="AC36" s="734"/>
      <c r="AD36" s="734"/>
      <c r="AE36" s="734"/>
      <c r="AF36" s="734"/>
      <c r="AG36" s="734"/>
      <c r="AH36" s="734"/>
      <c r="AI36" s="734"/>
      <c r="AJ36" s="734"/>
      <c r="AK36" s="734"/>
    </row>
    <row r="37" ht="15.75" customHeight="1">
      <c r="A37" s="725"/>
      <c r="B37" s="726"/>
      <c r="C37" s="727"/>
      <c r="D37" s="730"/>
      <c r="E37" s="727"/>
      <c r="F37" s="729"/>
      <c r="G37" s="730"/>
      <c r="I37" s="665" t="s">
        <v>123</v>
      </c>
      <c r="J37" s="665" t="s">
        <v>123</v>
      </c>
      <c r="AA37" s="734"/>
      <c r="AB37" s="734"/>
      <c r="AC37" s="734"/>
      <c r="AD37" s="734"/>
      <c r="AE37" s="734"/>
      <c r="AF37" s="734"/>
      <c r="AG37" s="734"/>
      <c r="AH37" s="734"/>
      <c r="AI37" s="734"/>
      <c r="AJ37" s="734"/>
      <c r="AK37" s="734"/>
    </row>
    <row r="38" ht="15.75" customHeight="1">
      <c r="A38" s="725"/>
      <c r="B38" s="726"/>
      <c r="C38" s="727"/>
      <c r="D38" s="730"/>
      <c r="E38" s="727"/>
      <c r="F38" s="729"/>
      <c r="G38" s="730"/>
      <c r="I38" s="665" t="s">
        <v>123</v>
      </c>
      <c r="J38" s="665" t="s">
        <v>123</v>
      </c>
      <c r="AA38" s="734"/>
      <c r="AB38" s="734"/>
      <c r="AC38" s="734"/>
      <c r="AD38" s="734"/>
      <c r="AE38" s="734"/>
      <c r="AF38" s="734"/>
      <c r="AG38" s="734"/>
      <c r="AH38" s="734"/>
      <c r="AI38" s="734"/>
      <c r="AJ38" s="734"/>
      <c r="AK38" s="734"/>
    </row>
    <row r="39" ht="15.75" customHeight="1">
      <c r="A39" s="725"/>
      <c r="B39" s="726"/>
      <c r="C39" s="727"/>
      <c r="D39" s="730"/>
      <c r="E39" s="727"/>
      <c r="F39" s="729"/>
      <c r="G39" s="730"/>
      <c r="I39" s="665" t="s">
        <v>123</v>
      </c>
      <c r="J39" s="665" t="s">
        <v>123</v>
      </c>
      <c r="AA39" s="734"/>
      <c r="AB39" s="734"/>
      <c r="AC39" s="734"/>
      <c r="AD39" s="734"/>
      <c r="AE39" s="734"/>
      <c r="AF39" s="734"/>
      <c r="AG39" s="734"/>
      <c r="AH39" s="734"/>
      <c r="AI39" s="734"/>
      <c r="AJ39" s="734"/>
      <c r="AK39" s="734"/>
    </row>
    <row r="40" ht="15.75" customHeight="1">
      <c r="A40" s="725"/>
      <c r="B40" s="726"/>
      <c r="C40" s="727"/>
      <c r="D40" s="730"/>
      <c r="E40" s="727"/>
      <c r="F40" s="729"/>
      <c r="G40" s="730"/>
      <c r="I40" s="665" t="s">
        <v>123</v>
      </c>
      <c r="J40" s="665" t="s">
        <v>123</v>
      </c>
      <c r="AA40" s="734"/>
      <c r="AB40" s="734"/>
      <c r="AC40" s="734"/>
      <c r="AD40" s="734"/>
      <c r="AE40" s="734"/>
      <c r="AF40" s="734"/>
      <c r="AG40" s="734"/>
      <c r="AH40" s="734"/>
      <c r="AI40" s="734"/>
      <c r="AJ40" s="734"/>
      <c r="AK40" s="734"/>
    </row>
    <row r="41" ht="15.75" customHeight="1">
      <c r="A41" s="725"/>
      <c r="B41" s="726"/>
      <c r="C41" s="727"/>
      <c r="D41" s="730"/>
      <c r="E41" s="727"/>
      <c r="F41" s="729"/>
      <c r="G41" s="730"/>
      <c r="I41" s="665" t="s">
        <v>123</v>
      </c>
      <c r="J41" s="665" t="s">
        <v>123</v>
      </c>
      <c r="AA41" s="734"/>
      <c r="AB41" s="734"/>
      <c r="AC41" s="734"/>
      <c r="AD41" s="734"/>
      <c r="AE41" s="734"/>
      <c r="AF41" s="734"/>
      <c r="AG41" s="734"/>
      <c r="AH41" s="734"/>
      <c r="AI41" s="734"/>
      <c r="AJ41" s="734"/>
      <c r="AK41" s="734"/>
    </row>
    <row r="42" ht="15.75" customHeight="1">
      <c r="A42" s="725"/>
      <c r="B42" s="726"/>
      <c r="C42" s="727"/>
      <c r="D42" s="730"/>
      <c r="E42" s="727"/>
      <c r="F42" s="729"/>
      <c r="G42" s="730"/>
      <c r="I42" s="665" t="s">
        <v>123</v>
      </c>
      <c r="J42" s="665" t="s">
        <v>123</v>
      </c>
      <c r="AA42" s="734"/>
      <c r="AB42" s="734"/>
      <c r="AC42" s="734"/>
      <c r="AD42" s="734"/>
      <c r="AE42" s="734"/>
      <c r="AF42" s="734"/>
      <c r="AG42" s="734"/>
      <c r="AH42" s="734"/>
      <c r="AI42" s="734"/>
      <c r="AJ42" s="734"/>
      <c r="AK42" s="734"/>
    </row>
    <row r="43" ht="15.75" customHeight="1">
      <c r="A43" s="725"/>
      <c r="B43" s="726"/>
      <c r="C43" s="727"/>
      <c r="D43" s="730"/>
      <c r="E43" s="727"/>
      <c r="F43" s="729"/>
      <c r="G43" s="730"/>
      <c r="I43" s="665" t="s">
        <v>123</v>
      </c>
      <c r="J43" s="665" t="s">
        <v>123</v>
      </c>
      <c r="AA43" s="734"/>
      <c r="AB43" s="734"/>
      <c r="AC43" s="734"/>
      <c r="AD43" s="734"/>
      <c r="AE43" s="734"/>
      <c r="AF43" s="734"/>
      <c r="AG43" s="734"/>
      <c r="AH43" s="734"/>
      <c r="AI43" s="734"/>
      <c r="AJ43" s="734"/>
      <c r="AK43" s="734"/>
    </row>
    <row r="44" ht="15.75" customHeight="1">
      <c r="A44" s="725"/>
      <c r="B44" s="726"/>
      <c r="C44" s="727"/>
      <c r="D44" s="730"/>
      <c r="E44" s="727"/>
      <c r="F44" s="729"/>
      <c r="G44" s="730"/>
      <c r="I44" s="665" t="s">
        <v>123</v>
      </c>
      <c r="J44" s="665" t="s">
        <v>123</v>
      </c>
      <c r="AA44" s="734"/>
      <c r="AB44" s="734"/>
      <c r="AC44" s="734"/>
      <c r="AD44" s="734"/>
      <c r="AE44" s="734"/>
      <c r="AF44" s="734"/>
      <c r="AG44" s="734"/>
      <c r="AH44" s="734"/>
      <c r="AI44" s="734"/>
      <c r="AJ44" s="734"/>
      <c r="AK44" s="734"/>
    </row>
    <row r="45" ht="15.75" customHeight="1">
      <c r="A45" s="725"/>
      <c r="B45" s="726"/>
      <c r="C45" s="727"/>
      <c r="D45" s="730"/>
      <c r="E45" s="727"/>
      <c r="F45" s="729"/>
      <c r="G45" s="730"/>
      <c r="I45" s="665" t="s">
        <v>123</v>
      </c>
      <c r="J45" s="665" t="s">
        <v>123</v>
      </c>
      <c r="AA45" s="734"/>
      <c r="AB45" s="734"/>
      <c r="AC45" s="734"/>
      <c r="AD45" s="734"/>
      <c r="AE45" s="734"/>
      <c r="AF45" s="734"/>
      <c r="AG45" s="734"/>
      <c r="AH45" s="734"/>
      <c r="AI45" s="734"/>
      <c r="AJ45" s="734"/>
      <c r="AK45" s="734"/>
    </row>
    <row r="46" ht="15.75" customHeight="1">
      <c r="A46" s="725"/>
      <c r="B46" s="726"/>
      <c r="C46" s="727"/>
      <c r="D46" s="730"/>
      <c r="E46" s="727"/>
      <c r="F46" s="729"/>
      <c r="G46" s="730"/>
      <c r="I46" s="665" t="s">
        <v>123</v>
      </c>
      <c r="J46" s="665" t="s">
        <v>123</v>
      </c>
      <c r="AA46" s="734"/>
      <c r="AB46" s="734"/>
      <c r="AC46" s="734"/>
      <c r="AD46" s="734"/>
      <c r="AE46" s="734"/>
      <c r="AF46" s="734"/>
      <c r="AG46" s="734"/>
      <c r="AH46" s="734"/>
      <c r="AI46" s="734"/>
      <c r="AJ46" s="734"/>
      <c r="AK46" s="734"/>
    </row>
    <row r="47" ht="15.75" customHeight="1">
      <c r="A47" s="725"/>
      <c r="B47" s="726"/>
      <c r="C47" s="727"/>
      <c r="D47" s="730"/>
      <c r="E47" s="727"/>
      <c r="F47" s="729"/>
      <c r="G47" s="730"/>
      <c r="I47" s="665" t="s">
        <v>123</v>
      </c>
      <c r="J47" s="665" t="s">
        <v>123</v>
      </c>
      <c r="AA47" s="734"/>
      <c r="AB47" s="734"/>
      <c r="AC47" s="734"/>
      <c r="AD47" s="734"/>
      <c r="AE47" s="734"/>
      <c r="AF47" s="734"/>
      <c r="AG47" s="734"/>
      <c r="AH47" s="734"/>
      <c r="AI47" s="734"/>
      <c r="AJ47" s="734"/>
      <c r="AK47" s="734"/>
    </row>
    <row r="48" ht="15.75" customHeight="1">
      <c r="A48" s="725"/>
      <c r="B48" s="726"/>
      <c r="C48" s="727"/>
      <c r="D48" s="730"/>
      <c r="E48" s="727"/>
      <c r="F48" s="729"/>
      <c r="G48" s="730"/>
      <c r="I48" s="665" t="s">
        <v>123</v>
      </c>
      <c r="J48" s="665" t="s">
        <v>123</v>
      </c>
      <c r="AA48" s="734"/>
      <c r="AB48" s="734"/>
      <c r="AC48" s="734"/>
      <c r="AD48" s="734"/>
      <c r="AE48" s="734"/>
      <c r="AF48" s="734"/>
      <c r="AG48" s="734"/>
      <c r="AH48" s="734"/>
      <c r="AI48" s="734"/>
      <c r="AJ48" s="734"/>
      <c r="AK48" s="734"/>
    </row>
    <row r="49" ht="15.75" customHeight="1">
      <c r="A49" s="725"/>
      <c r="B49" s="726"/>
      <c r="C49" s="727"/>
      <c r="D49" s="730"/>
      <c r="E49" s="727"/>
      <c r="F49" s="729"/>
      <c r="G49" s="730"/>
      <c r="I49" s="665" t="s">
        <v>123</v>
      </c>
      <c r="J49" s="665" t="s">
        <v>123</v>
      </c>
      <c r="AA49" s="734"/>
      <c r="AB49" s="734"/>
      <c r="AC49" s="734"/>
      <c r="AD49" s="734"/>
      <c r="AE49" s="734"/>
      <c r="AF49" s="734"/>
      <c r="AG49" s="734"/>
      <c r="AH49" s="734"/>
      <c r="AI49" s="734"/>
      <c r="AJ49" s="734"/>
      <c r="AK49" s="734"/>
    </row>
    <row r="50" ht="15.75" customHeight="1">
      <c r="A50" s="725"/>
      <c r="B50" s="726"/>
      <c r="C50" s="727"/>
      <c r="D50" s="730"/>
      <c r="E50" s="727"/>
      <c r="F50" s="729"/>
      <c r="G50" s="730"/>
      <c r="I50" s="665" t="s">
        <v>123</v>
      </c>
      <c r="J50" s="665" t="s">
        <v>123</v>
      </c>
      <c r="AA50" s="734"/>
      <c r="AB50" s="734"/>
      <c r="AC50" s="734"/>
      <c r="AD50" s="734"/>
      <c r="AE50" s="734"/>
      <c r="AF50" s="734"/>
      <c r="AG50" s="734"/>
      <c r="AH50" s="734"/>
      <c r="AI50" s="734"/>
      <c r="AJ50" s="734"/>
      <c r="AK50" s="734"/>
    </row>
    <row r="51" ht="15.75" customHeight="1">
      <c r="A51" s="725"/>
      <c r="B51" s="726"/>
      <c r="C51" s="727"/>
      <c r="D51" s="730"/>
      <c r="E51" s="727"/>
      <c r="F51" s="729"/>
      <c r="G51" s="730"/>
      <c r="I51" s="665" t="s">
        <v>123</v>
      </c>
      <c r="J51" s="665" t="s">
        <v>123</v>
      </c>
      <c r="AA51" s="734"/>
      <c r="AB51" s="734"/>
      <c r="AC51" s="734"/>
      <c r="AD51" s="734"/>
      <c r="AE51" s="734"/>
      <c r="AF51" s="734"/>
      <c r="AG51" s="734"/>
      <c r="AH51" s="734"/>
      <c r="AI51" s="734"/>
      <c r="AJ51" s="734"/>
      <c r="AK51" s="734"/>
    </row>
    <row r="52" ht="15.75" customHeight="1">
      <c r="A52" s="725"/>
      <c r="B52" s="726"/>
      <c r="C52" s="727"/>
      <c r="D52" s="730"/>
      <c r="E52" s="727"/>
      <c r="F52" s="729"/>
      <c r="G52" s="730"/>
      <c r="I52" s="665" t="s">
        <v>123</v>
      </c>
      <c r="J52" s="665" t="s">
        <v>123</v>
      </c>
      <c r="AA52" s="734"/>
      <c r="AB52" s="734"/>
      <c r="AC52" s="734"/>
      <c r="AD52" s="734"/>
      <c r="AE52" s="734"/>
      <c r="AF52" s="734"/>
      <c r="AG52" s="734"/>
      <c r="AH52" s="734"/>
      <c r="AI52" s="734"/>
      <c r="AJ52" s="734"/>
      <c r="AK52" s="734"/>
    </row>
    <row r="53" ht="15.75" customHeight="1">
      <c r="A53" s="725"/>
      <c r="B53" s="726"/>
      <c r="C53" s="727"/>
      <c r="D53" s="730"/>
      <c r="E53" s="727"/>
      <c r="F53" s="729"/>
      <c r="G53" s="730"/>
      <c r="I53" s="665" t="s">
        <v>123</v>
      </c>
      <c r="J53" s="665" t="s">
        <v>123</v>
      </c>
      <c r="AA53" s="734"/>
      <c r="AB53" s="734"/>
      <c r="AC53" s="734"/>
      <c r="AD53" s="734"/>
      <c r="AE53" s="734"/>
      <c r="AF53" s="734"/>
      <c r="AG53" s="734"/>
      <c r="AH53" s="734"/>
      <c r="AI53" s="734"/>
      <c r="AJ53" s="734"/>
      <c r="AK53" s="734"/>
    </row>
    <row r="54" ht="15.75" customHeight="1">
      <c r="A54" s="725"/>
      <c r="B54" s="726"/>
      <c r="C54" s="727"/>
      <c r="D54" s="730"/>
      <c r="E54" s="727"/>
      <c r="F54" s="729"/>
      <c r="G54" s="730"/>
      <c r="I54" s="665" t="s">
        <v>123</v>
      </c>
      <c r="J54" s="665" t="s">
        <v>123</v>
      </c>
      <c r="AA54" s="734"/>
      <c r="AB54" s="734"/>
      <c r="AC54" s="734"/>
      <c r="AD54" s="734"/>
      <c r="AE54" s="734"/>
      <c r="AF54" s="734"/>
      <c r="AG54" s="734"/>
      <c r="AH54" s="734"/>
      <c r="AI54" s="734"/>
      <c r="AJ54" s="734"/>
      <c r="AK54" s="734"/>
    </row>
    <row r="55" ht="15.75" customHeight="1">
      <c r="A55" s="725"/>
      <c r="B55" s="726"/>
      <c r="C55" s="727"/>
      <c r="D55" s="730"/>
      <c r="E55" s="727"/>
      <c r="F55" s="729"/>
      <c r="G55" s="730"/>
      <c r="I55" s="665" t="s">
        <v>123</v>
      </c>
      <c r="J55" s="665" t="s">
        <v>123</v>
      </c>
      <c r="AA55" s="734"/>
      <c r="AB55" s="734"/>
      <c r="AC55" s="734"/>
      <c r="AD55" s="734"/>
      <c r="AE55" s="734"/>
      <c r="AF55" s="734"/>
      <c r="AG55" s="734"/>
      <c r="AH55" s="734"/>
      <c r="AI55" s="734"/>
      <c r="AJ55" s="734"/>
      <c r="AK55" s="734"/>
    </row>
    <row r="56" ht="15.75" customHeight="1">
      <c r="A56" s="725"/>
      <c r="B56" s="726"/>
      <c r="C56" s="727"/>
      <c r="D56" s="730"/>
      <c r="E56" s="727"/>
      <c r="F56" s="729"/>
      <c r="G56" s="730"/>
      <c r="I56" s="665" t="s">
        <v>123</v>
      </c>
      <c r="J56" s="665" t="s">
        <v>123</v>
      </c>
      <c r="AA56" s="734"/>
      <c r="AB56" s="734"/>
      <c r="AC56" s="734"/>
      <c r="AD56" s="734"/>
      <c r="AE56" s="734"/>
      <c r="AF56" s="734"/>
      <c r="AG56" s="734"/>
      <c r="AH56" s="734"/>
      <c r="AI56" s="734"/>
      <c r="AJ56" s="734"/>
      <c r="AK56" s="734"/>
    </row>
    <row r="57" ht="15.75" customHeight="1">
      <c r="A57" s="725"/>
      <c r="B57" s="726"/>
      <c r="C57" s="727"/>
      <c r="D57" s="730"/>
      <c r="E57" s="727"/>
      <c r="F57" s="729"/>
      <c r="G57" s="730"/>
      <c r="I57" s="665" t="s">
        <v>123</v>
      </c>
      <c r="J57" s="665" t="s">
        <v>123</v>
      </c>
      <c r="AA57" s="734"/>
      <c r="AB57" s="734"/>
      <c r="AC57" s="734"/>
      <c r="AD57" s="734"/>
      <c r="AE57" s="734"/>
      <c r="AF57" s="734"/>
      <c r="AG57" s="734"/>
      <c r="AH57" s="734"/>
      <c r="AI57" s="734"/>
      <c r="AJ57" s="734"/>
      <c r="AK57" s="734"/>
    </row>
    <row r="58" ht="15.75" customHeight="1">
      <c r="A58" s="725"/>
      <c r="B58" s="726"/>
      <c r="C58" s="727"/>
      <c r="D58" s="730"/>
      <c r="E58" s="727"/>
      <c r="F58" s="729"/>
      <c r="G58" s="730"/>
      <c r="I58" s="665" t="s">
        <v>123</v>
      </c>
      <c r="J58" s="665" t="s">
        <v>123</v>
      </c>
      <c r="AA58" s="734"/>
      <c r="AB58" s="734"/>
      <c r="AC58" s="734"/>
      <c r="AD58" s="734"/>
      <c r="AE58" s="734"/>
      <c r="AF58" s="734"/>
      <c r="AG58" s="734"/>
      <c r="AH58" s="734"/>
      <c r="AI58" s="734"/>
      <c r="AJ58" s="734"/>
      <c r="AK58" s="734"/>
    </row>
    <row r="59" ht="15.75" customHeight="1">
      <c r="A59" s="725"/>
      <c r="B59" s="726"/>
      <c r="C59" s="727"/>
      <c r="D59" s="730"/>
      <c r="E59" s="727"/>
      <c r="F59" s="729"/>
      <c r="G59" s="730"/>
      <c r="I59" s="665" t="s">
        <v>123</v>
      </c>
      <c r="J59" s="665" t="s">
        <v>123</v>
      </c>
      <c r="AA59" s="734"/>
      <c r="AB59" s="734"/>
      <c r="AC59" s="734"/>
      <c r="AD59" s="734"/>
      <c r="AE59" s="734"/>
      <c r="AF59" s="734"/>
      <c r="AG59" s="734"/>
      <c r="AH59" s="734"/>
      <c r="AI59" s="734"/>
      <c r="AJ59" s="734"/>
      <c r="AK59" s="734"/>
    </row>
    <row r="60" ht="15.75" customHeight="1">
      <c r="A60" s="725"/>
      <c r="B60" s="726"/>
      <c r="C60" s="727"/>
      <c r="D60" s="730"/>
      <c r="E60" s="727"/>
      <c r="F60" s="729"/>
      <c r="G60" s="730"/>
      <c r="I60" s="665" t="s">
        <v>123</v>
      </c>
      <c r="J60" s="665" t="s">
        <v>123</v>
      </c>
      <c r="AA60" s="734"/>
      <c r="AB60" s="734"/>
      <c r="AC60" s="734"/>
      <c r="AD60" s="734"/>
      <c r="AE60" s="734"/>
      <c r="AF60" s="734"/>
      <c r="AG60" s="734"/>
      <c r="AH60" s="734"/>
      <c r="AI60" s="734"/>
      <c r="AJ60" s="734"/>
      <c r="AK60" s="734"/>
    </row>
    <row r="61" ht="15.75" customHeight="1">
      <c r="A61" s="725"/>
      <c r="B61" s="726"/>
      <c r="C61" s="727"/>
      <c r="D61" s="730"/>
      <c r="E61" s="727"/>
      <c r="F61" s="729"/>
      <c r="G61" s="730"/>
      <c r="I61" s="665" t="s">
        <v>123</v>
      </c>
      <c r="J61" s="665" t="s">
        <v>123</v>
      </c>
      <c r="AA61" s="734"/>
      <c r="AB61" s="734"/>
      <c r="AC61" s="734"/>
      <c r="AD61" s="734"/>
      <c r="AE61" s="734"/>
      <c r="AF61" s="734"/>
      <c r="AG61" s="734"/>
      <c r="AH61" s="734"/>
      <c r="AI61" s="734"/>
      <c r="AJ61" s="734"/>
      <c r="AK61" s="734"/>
    </row>
    <row r="62" ht="15.75" customHeight="1">
      <c r="A62" s="725"/>
      <c r="B62" s="726"/>
      <c r="C62" s="727"/>
      <c r="D62" s="730"/>
      <c r="E62" s="727"/>
      <c r="F62" s="729"/>
      <c r="G62" s="730"/>
      <c r="I62" s="665" t="s">
        <v>123</v>
      </c>
      <c r="J62" s="665" t="s">
        <v>123</v>
      </c>
      <c r="AA62" s="734"/>
      <c r="AB62" s="734"/>
      <c r="AC62" s="734"/>
      <c r="AD62" s="734"/>
      <c r="AE62" s="734"/>
      <c r="AF62" s="734"/>
      <c r="AG62" s="734"/>
      <c r="AH62" s="734"/>
      <c r="AI62" s="734"/>
      <c r="AJ62" s="734"/>
      <c r="AK62" s="734"/>
    </row>
    <row r="63" ht="15.75" customHeight="1">
      <c r="A63" s="725"/>
      <c r="B63" s="726"/>
      <c r="C63" s="727"/>
      <c r="D63" s="730"/>
      <c r="E63" s="727"/>
      <c r="F63" s="729"/>
      <c r="G63" s="730"/>
      <c r="I63" s="665" t="s">
        <v>123</v>
      </c>
      <c r="J63" s="665" t="s">
        <v>123</v>
      </c>
      <c r="AA63" s="734"/>
      <c r="AB63" s="734"/>
      <c r="AC63" s="734"/>
      <c r="AD63" s="734"/>
      <c r="AE63" s="734"/>
      <c r="AF63" s="734"/>
      <c r="AG63" s="734"/>
      <c r="AH63" s="734"/>
      <c r="AI63" s="734"/>
      <c r="AJ63" s="734"/>
      <c r="AK63" s="734"/>
    </row>
    <row r="64" ht="15.75" customHeight="1">
      <c r="A64" s="725"/>
      <c r="B64" s="726"/>
      <c r="C64" s="727"/>
      <c r="D64" s="730"/>
      <c r="E64" s="727"/>
      <c r="F64" s="729"/>
      <c r="G64" s="730"/>
      <c r="I64" s="665" t="s">
        <v>123</v>
      </c>
      <c r="J64" s="665" t="s">
        <v>123</v>
      </c>
      <c r="AA64" s="734"/>
      <c r="AB64" s="734"/>
      <c r="AC64" s="734"/>
      <c r="AD64" s="734"/>
      <c r="AE64" s="734"/>
      <c r="AF64" s="734"/>
      <c r="AG64" s="734"/>
      <c r="AH64" s="734"/>
      <c r="AI64" s="734"/>
      <c r="AJ64" s="734"/>
      <c r="AK64" s="734"/>
    </row>
    <row r="65" ht="15.75" customHeight="1">
      <c r="A65" s="725"/>
      <c r="B65" s="726"/>
      <c r="C65" s="727"/>
      <c r="D65" s="730"/>
      <c r="E65" s="727"/>
      <c r="F65" s="729"/>
      <c r="G65" s="730"/>
      <c r="I65" s="665" t="s">
        <v>123</v>
      </c>
      <c r="J65" s="665" t="s">
        <v>123</v>
      </c>
      <c r="AA65" s="734"/>
      <c r="AB65" s="734"/>
      <c r="AC65" s="734"/>
      <c r="AD65" s="734"/>
      <c r="AE65" s="734"/>
      <c r="AF65" s="734"/>
      <c r="AG65" s="734"/>
      <c r="AH65" s="734"/>
      <c r="AI65" s="734"/>
      <c r="AJ65" s="734"/>
      <c r="AK65" s="734"/>
    </row>
    <row r="66" ht="15.75" customHeight="1">
      <c r="A66" s="725"/>
      <c r="B66" s="726"/>
      <c r="C66" s="727"/>
      <c r="D66" s="730"/>
      <c r="E66" s="727"/>
      <c r="F66" s="729"/>
      <c r="G66" s="730"/>
      <c r="I66" s="665" t="s">
        <v>123</v>
      </c>
      <c r="J66" s="665" t="s">
        <v>123</v>
      </c>
      <c r="AA66" s="734"/>
      <c r="AB66" s="734"/>
      <c r="AC66" s="734"/>
      <c r="AD66" s="734"/>
      <c r="AE66" s="734"/>
      <c r="AF66" s="734"/>
      <c r="AG66" s="734"/>
      <c r="AH66" s="734"/>
      <c r="AI66" s="734"/>
      <c r="AJ66" s="734"/>
      <c r="AK66" s="734"/>
    </row>
    <row r="67" ht="15.75" customHeight="1">
      <c r="A67" s="725"/>
      <c r="B67" s="726"/>
      <c r="C67" s="727"/>
      <c r="D67" s="730"/>
      <c r="E67" s="727"/>
      <c r="F67" s="729"/>
      <c r="G67" s="730"/>
      <c r="I67" s="665" t="s">
        <v>123</v>
      </c>
      <c r="J67" s="665" t="s">
        <v>123</v>
      </c>
      <c r="AA67" s="734"/>
      <c r="AB67" s="734"/>
      <c r="AC67" s="734"/>
      <c r="AD67" s="734"/>
      <c r="AE67" s="734"/>
      <c r="AF67" s="734"/>
      <c r="AG67" s="734"/>
      <c r="AH67" s="734"/>
      <c r="AI67" s="734"/>
      <c r="AJ67" s="734"/>
      <c r="AK67" s="734"/>
    </row>
    <row r="68" ht="15.75" customHeight="1">
      <c r="A68" s="725"/>
      <c r="B68" s="726"/>
      <c r="C68" s="727"/>
      <c r="D68" s="730"/>
      <c r="E68" s="727"/>
      <c r="F68" s="729"/>
      <c r="G68" s="730"/>
      <c r="I68" s="665" t="s">
        <v>123</v>
      </c>
      <c r="J68" s="665" t="s">
        <v>123</v>
      </c>
      <c r="AA68" s="734"/>
      <c r="AB68" s="734"/>
      <c r="AC68" s="734"/>
      <c r="AD68" s="734"/>
      <c r="AE68" s="734"/>
      <c r="AF68" s="734"/>
      <c r="AG68" s="734"/>
      <c r="AH68" s="734"/>
      <c r="AI68" s="734"/>
      <c r="AJ68" s="734"/>
      <c r="AK68" s="734"/>
    </row>
    <row r="69" ht="15.75" customHeight="1">
      <c r="A69" s="725"/>
      <c r="B69" s="726"/>
      <c r="C69" s="727"/>
      <c r="D69" s="730"/>
      <c r="E69" s="727"/>
      <c r="F69" s="729"/>
      <c r="G69" s="730"/>
      <c r="I69" s="665" t="s">
        <v>123</v>
      </c>
      <c r="J69" s="665" t="s">
        <v>123</v>
      </c>
      <c r="AA69" s="734"/>
      <c r="AB69" s="734"/>
      <c r="AC69" s="734"/>
      <c r="AD69" s="734"/>
      <c r="AE69" s="734"/>
      <c r="AF69" s="734"/>
      <c r="AG69" s="734"/>
      <c r="AH69" s="734"/>
      <c r="AI69" s="734"/>
      <c r="AJ69" s="734"/>
      <c r="AK69" s="734"/>
    </row>
    <row r="70" ht="15.75" customHeight="1">
      <c r="A70" s="725"/>
      <c r="B70" s="726"/>
      <c r="C70" s="727"/>
      <c r="D70" s="730"/>
      <c r="E70" s="727"/>
      <c r="F70" s="729"/>
      <c r="G70" s="730"/>
      <c r="I70" s="665" t="s">
        <v>123</v>
      </c>
      <c r="J70" s="665" t="s">
        <v>123</v>
      </c>
      <c r="AA70" s="734"/>
      <c r="AB70" s="734"/>
      <c r="AC70" s="734"/>
      <c r="AD70" s="734"/>
      <c r="AE70" s="734"/>
      <c r="AF70" s="734"/>
      <c r="AG70" s="734"/>
      <c r="AH70" s="734"/>
      <c r="AI70" s="734"/>
      <c r="AJ70" s="734"/>
      <c r="AK70" s="734"/>
    </row>
    <row r="71" ht="15.75" customHeight="1">
      <c r="A71" s="725"/>
      <c r="B71" s="726"/>
      <c r="C71" s="727"/>
      <c r="D71" s="730"/>
      <c r="E71" s="727"/>
      <c r="F71" s="729"/>
      <c r="G71" s="730"/>
      <c r="I71" s="665" t="s">
        <v>123</v>
      </c>
      <c r="J71" s="665" t="s">
        <v>123</v>
      </c>
      <c r="AA71" s="734"/>
      <c r="AB71" s="734"/>
      <c r="AC71" s="734"/>
      <c r="AD71" s="734"/>
      <c r="AE71" s="734"/>
      <c r="AF71" s="734"/>
      <c r="AG71" s="734"/>
      <c r="AH71" s="734"/>
      <c r="AI71" s="734"/>
      <c r="AJ71" s="734"/>
      <c r="AK71" s="734"/>
    </row>
    <row r="72" ht="15.75" customHeight="1">
      <c r="A72" s="725"/>
      <c r="B72" s="726"/>
      <c r="C72" s="727"/>
      <c r="D72" s="730"/>
      <c r="E72" s="727"/>
      <c r="F72" s="729"/>
      <c r="G72" s="730"/>
      <c r="I72" s="665" t="s">
        <v>123</v>
      </c>
      <c r="J72" s="665" t="s">
        <v>123</v>
      </c>
      <c r="AA72" s="734"/>
      <c r="AB72" s="734"/>
      <c r="AC72" s="734"/>
      <c r="AD72" s="734"/>
      <c r="AE72" s="734"/>
      <c r="AF72" s="734"/>
      <c r="AG72" s="734"/>
      <c r="AH72" s="734"/>
      <c r="AI72" s="734"/>
      <c r="AJ72" s="734"/>
      <c r="AK72" s="734"/>
    </row>
    <row r="73" ht="15.75" customHeight="1">
      <c r="A73" s="725"/>
      <c r="B73" s="726"/>
      <c r="C73" s="727"/>
      <c r="D73" s="730"/>
      <c r="E73" s="727"/>
      <c r="F73" s="729"/>
      <c r="G73" s="730"/>
      <c r="I73" s="665" t="s">
        <v>123</v>
      </c>
      <c r="J73" s="665" t="s">
        <v>123</v>
      </c>
      <c r="AA73" s="734"/>
      <c r="AB73" s="734"/>
      <c r="AC73" s="734"/>
      <c r="AD73" s="734"/>
      <c r="AE73" s="734"/>
      <c r="AF73" s="734"/>
      <c r="AG73" s="734"/>
      <c r="AH73" s="734"/>
      <c r="AI73" s="734"/>
      <c r="AJ73" s="734"/>
      <c r="AK73" s="734"/>
    </row>
    <row r="74" ht="15.75" customHeight="1">
      <c r="A74" s="725"/>
      <c r="B74" s="726"/>
      <c r="C74" s="727"/>
      <c r="D74" s="730"/>
      <c r="E74" s="727"/>
      <c r="F74" s="729"/>
      <c r="G74" s="730"/>
      <c r="I74" s="665" t="s">
        <v>123</v>
      </c>
      <c r="J74" s="665" t="s">
        <v>123</v>
      </c>
      <c r="AA74" s="734"/>
      <c r="AB74" s="734"/>
      <c r="AC74" s="734"/>
      <c r="AD74" s="734"/>
      <c r="AE74" s="734"/>
      <c r="AF74" s="734"/>
      <c r="AG74" s="734"/>
      <c r="AH74" s="734"/>
      <c r="AI74" s="734"/>
      <c r="AJ74" s="734"/>
      <c r="AK74" s="734"/>
    </row>
    <row r="75" ht="15.75" customHeight="1">
      <c r="A75" s="725"/>
      <c r="B75" s="726"/>
      <c r="C75" s="727"/>
      <c r="D75" s="730"/>
      <c r="E75" s="727"/>
      <c r="F75" s="729"/>
      <c r="G75" s="730"/>
      <c r="I75" s="665" t="s">
        <v>123</v>
      </c>
      <c r="J75" s="665" t="s">
        <v>123</v>
      </c>
      <c r="AA75" s="734"/>
      <c r="AB75" s="734"/>
      <c r="AC75" s="734"/>
      <c r="AD75" s="734"/>
      <c r="AE75" s="734"/>
      <c r="AF75" s="734"/>
      <c r="AG75" s="734"/>
      <c r="AH75" s="734"/>
      <c r="AI75" s="734"/>
      <c r="AJ75" s="734"/>
      <c r="AK75" s="734"/>
    </row>
    <row r="76" ht="15.75" customHeight="1">
      <c r="A76" s="725"/>
      <c r="B76" s="726"/>
      <c r="C76" s="727"/>
      <c r="D76" s="730"/>
      <c r="E76" s="727"/>
      <c r="F76" s="729"/>
      <c r="G76" s="730"/>
      <c r="I76" s="665" t="s">
        <v>123</v>
      </c>
      <c r="J76" s="665" t="s">
        <v>123</v>
      </c>
      <c r="AA76" s="734"/>
      <c r="AB76" s="734"/>
      <c r="AC76" s="734"/>
      <c r="AD76" s="734"/>
      <c r="AE76" s="734"/>
      <c r="AF76" s="734"/>
      <c r="AG76" s="734"/>
      <c r="AH76" s="734"/>
      <c r="AI76" s="734"/>
      <c r="AJ76" s="734"/>
      <c r="AK76" s="734"/>
    </row>
    <row r="77" ht="15.75" customHeight="1">
      <c r="A77" s="725"/>
      <c r="B77" s="726"/>
      <c r="C77" s="727"/>
      <c r="D77" s="730"/>
      <c r="E77" s="727"/>
      <c r="F77" s="729"/>
      <c r="G77" s="730"/>
      <c r="I77" s="665" t="s">
        <v>123</v>
      </c>
      <c r="J77" s="665" t="s">
        <v>123</v>
      </c>
      <c r="AA77" s="734"/>
      <c r="AB77" s="734"/>
      <c r="AC77" s="734"/>
      <c r="AD77" s="734"/>
      <c r="AE77" s="734"/>
      <c r="AF77" s="734"/>
      <c r="AG77" s="734"/>
      <c r="AH77" s="734"/>
      <c r="AI77" s="734"/>
      <c r="AJ77" s="734"/>
      <c r="AK77" s="734"/>
    </row>
    <row r="78" ht="15.75" customHeight="1">
      <c r="A78" s="725"/>
      <c r="B78" s="726"/>
      <c r="C78" s="727"/>
      <c r="D78" s="730"/>
      <c r="E78" s="727"/>
      <c r="F78" s="729"/>
      <c r="G78" s="730"/>
      <c r="I78" s="665" t="s">
        <v>123</v>
      </c>
      <c r="J78" s="665" t="s">
        <v>123</v>
      </c>
      <c r="AA78" s="734"/>
      <c r="AB78" s="734"/>
      <c r="AC78" s="734"/>
      <c r="AD78" s="734"/>
      <c r="AE78" s="734"/>
      <c r="AF78" s="734"/>
      <c r="AG78" s="734"/>
      <c r="AH78" s="734"/>
      <c r="AI78" s="734"/>
      <c r="AJ78" s="734"/>
      <c r="AK78" s="734"/>
    </row>
    <row r="79" ht="15.75" customHeight="1">
      <c r="A79" s="725"/>
      <c r="B79" s="726"/>
      <c r="C79" s="727"/>
      <c r="D79" s="730"/>
      <c r="E79" s="727"/>
      <c r="F79" s="729"/>
      <c r="G79" s="730"/>
      <c r="I79" s="665" t="s">
        <v>123</v>
      </c>
      <c r="J79" s="665" t="s">
        <v>123</v>
      </c>
      <c r="AA79" s="734"/>
      <c r="AB79" s="734"/>
      <c r="AC79" s="734"/>
      <c r="AD79" s="734"/>
      <c r="AE79" s="734"/>
      <c r="AF79" s="734"/>
      <c r="AG79" s="734"/>
      <c r="AH79" s="734"/>
      <c r="AI79" s="734"/>
      <c r="AJ79" s="734"/>
      <c r="AK79" s="734"/>
    </row>
    <row r="80" ht="15.75" customHeight="1">
      <c r="A80" s="725"/>
      <c r="B80" s="726"/>
      <c r="C80" s="727"/>
      <c r="D80" s="730"/>
      <c r="E80" s="727"/>
      <c r="F80" s="729"/>
      <c r="G80" s="730"/>
      <c r="I80" s="665" t="s">
        <v>123</v>
      </c>
      <c r="J80" s="665" t="s">
        <v>123</v>
      </c>
      <c r="AA80" s="734"/>
      <c r="AB80" s="734"/>
      <c r="AC80" s="734"/>
      <c r="AD80" s="734"/>
      <c r="AE80" s="734"/>
      <c r="AF80" s="734"/>
      <c r="AG80" s="734"/>
      <c r="AH80" s="734"/>
      <c r="AI80" s="734"/>
      <c r="AJ80" s="734"/>
      <c r="AK80" s="734"/>
    </row>
    <row r="81" ht="15.75" customHeight="1">
      <c r="A81" s="725"/>
      <c r="B81" s="726"/>
      <c r="C81" s="727"/>
      <c r="D81" s="730"/>
      <c r="E81" s="727"/>
      <c r="F81" s="729"/>
      <c r="G81" s="730"/>
      <c r="I81" s="665" t="s">
        <v>123</v>
      </c>
      <c r="J81" s="665" t="s">
        <v>123</v>
      </c>
      <c r="AA81" s="734"/>
      <c r="AB81" s="734"/>
      <c r="AC81" s="734"/>
      <c r="AD81" s="734"/>
      <c r="AE81" s="734"/>
      <c r="AF81" s="734"/>
      <c r="AG81" s="734"/>
      <c r="AH81" s="734"/>
      <c r="AI81" s="734"/>
      <c r="AJ81" s="734"/>
      <c r="AK81" s="734"/>
    </row>
    <row r="82" ht="15.75" customHeight="1">
      <c r="A82" s="725"/>
      <c r="B82" s="726"/>
      <c r="C82" s="727"/>
      <c r="D82" s="730"/>
      <c r="E82" s="727"/>
      <c r="F82" s="729"/>
      <c r="G82" s="730"/>
      <c r="I82" s="665" t="s">
        <v>123</v>
      </c>
      <c r="J82" s="665" t="s">
        <v>123</v>
      </c>
      <c r="AA82" s="734"/>
      <c r="AB82" s="734"/>
      <c r="AC82" s="734"/>
      <c r="AD82" s="734"/>
      <c r="AE82" s="734"/>
      <c r="AF82" s="734"/>
      <c r="AG82" s="734"/>
      <c r="AH82" s="734"/>
      <c r="AI82" s="734"/>
      <c r="AJ82" s="734"/>
      <c r="AK82" s="734"/>
    </row>
    <row r="83" ht="15.75" customHeight="1">
      <c r="A83" s="725"/>
      <c r="B83" s="726"/>
      <c r="C83" s="727"/>
      <c r="D83" s="730"/>
      <c r="E83" s="727"/>
      <c r="F83" s="729"/>
      <c r="G83" s="730"/>
      <c r="I83" s="665" t="s">
        <v>123</v>
      </c>
      <c r="J83" s="665" t="s">
        <v>123</v>
      </c>
      <c r="AA83" s="734"/>
      <c r="AB83" s="734"/>
      <c r="AC83" s="734"/>
      <c r="AD83" s="734"/>
      <c r="AE83" s="734"/>
      <c r="AF83" s="734"/>
      <c r="AG83" s="734"/>
      <c r="AH83" s="734"/>
      <c r="AI83" s="734"/>
      <c r="AJ83" s="734"/>
      <c r="AK83" s="734"/>
    </row>
    <row r="84" ht="15.75" customHeight="1">
      <c r="A84" s="725"/>
      <c r="B84" s="726"/>
      <c r="C84" s="727"/>
      <c r="D84" s="730"/>
      <c r="E84" s="727"/>
      <c r="F84" s="729"/>
      <c r="G84" s="730"/>
      <c r="I84" s="665" t="s">
        <v>123</v>
      </c>
      <c r="J84" s="665" t="s">
        <v>123</v>
      </c>
      <c r="AA84" s="734"/>
      <c r="AB84" s="734"/>
      <c r="AC84" s="734"/>
      <c r="AD84" s="734"/>
      <c r="AE84" s="734"/>
      <c r="AF84" s="734"/>
      <c r="AG84" s="734"/>
      <c r="AH84" s="734"/>
      <c r="AI84" s="734"/>
      <c r="AJ84" s="734"/>
      <c r="AK84" s="734"/>
    </row>
    <row r="85" ht="15.75" customHeight="1">
      <c r="A85" s="725"/>
      <c r="B85" s="726"/>
      <c r="C85" s="727"/>
      <c r="D85" s="730"/>
      <c r="E85" s="727"/>
      <c r="F85" s="729"/>
      <c r="G85" s="730"/>
      <c r="I85" s="665" t="s">
        <v>123</v>
      </c>
      <c r="J85" s="665" t="s">
        <v>123</v>
      </c>
      <c r="AA85" s="734"/>
      <c r="AB85" s="734"/>
      <c r="AC85" s="734"/>
      <c r="AD85" s="734"/>
      <c r="AE85" s="734"/>
      <c r="AF85" s="734"/>
      <c r="AG85" s="734"/>
      <c r="AH85" s="734"/>
      <c r="AI85" s="734"/>
      <c r="AJ85" s="734"/>
      <c r="AK85" s="734"/>
    </row>
    <row r="86" ht="15.75" customHeight="1">
      <c r="A86" s="725"/>
      <c r="B86" s="726"/>
      <c r="C86" s="727"/>
      <c r="D86" s="730"/>
      <c r="E86" s="727"/>
      <c r="F86" s="729"/>
      <c r="G86" s="730"/>
      <c r="I86" s="665" t="s">
        <v>123</v>
      </c>
      <c r="J86" s="665" t="s">
        <v>123</v>
      </c>
      <c r="AA86" s="734"/>
      <c r="AB86" s="734"/>
      <c r="AC86" s="734"/>
      <c r="AD86" s="734"/>
      <c r="AE86" s="734"/>
      <c r="AF86" s="734"/>
      <c r="AG86" s="734"/>
      <c r="AH86" s="734"/>
      <c r="AI86" s="734"/>
      <c r="AJ86" s="734"/>
      <c r="AK86" s="734"/>
    </row>
    <row r="87" ht="15.75" customHeight="1">
      <c r="A87" s="725"/>
      <c r="B87" s="726"/>
      <c r="C87" s="727"/>
      <c r="D87" s="730"/>
      <c r="E87" s="727"/>
      <c r="F87" s="729"/>
      <c r="G87" s="730"/>
      <c r="I87" s="665" t="s">
        <v>123</v>
      </c>
      <c r="J87" s="665" t="s">
        <v>123</v>
      </c>
      <c r="AA87" s="734"/>
      <c r="AB87" s="734"/>
      <c r="AC87" s="734"/>
      <c r="AD87" s="734"/>
      <c r="AE87" s="734"/>
      <c r="AF87" s="734"/>
      <c r="AG87" s="734"/>
      <c r="AH87" s="734"/>
      <c r="AI87" s="734"/>
      <c r="AJ87" s="734"/>
      <c r="AK87" s="734"/>
    </row>
    <row r="88" ht="15.75" customHeight="1">
      <c r="A88" s="725"/>
      <c r="B88" s="726"/>
      <c r="C88" s="727"/>
      <c r="D88" s="730"/>
      <c r="E88" s="727"/>
      <c r="F88" s="729"/>
      <c r="G88" s="730"/>
      <c r="I88" s="665" t="s">
        <v>123</v>
      </c>
      <c r="J88" s="665" t="s">
        <v>123</v>
      </c>
      <c r="AA88" s="734"/>
      <c r="AB88" s="734"/>
      <c r="AC88" s="734"/>
      <c r="AD88" s="734"/>
      <c r="AE88" s="734"/>
      <c r="AF88" s="734"/>
      <c r="AG88" s="734"/>
      <c r="AH88" s="734"/>
      <c r="AI88" s="734"/>
      <c r="AJ88" s="734"/>
      <c r="AK88" s="734"/>
    </row>
    <row r="89" ht="15.75" customHeight="1">
      <c r="A89" s="725"/>
      <c r="B89" s="726"/>
      <c r="C89" s="727"/>
      <c r="D89" s="730"/>
      <c r="E89" s="727"/>
      <c r="F89" s="729"/>
      <c r="G89" s="730"/>
      <c r="I89" s="665" t="s">
        <v>123</v>
      </c>
      <c r="J89" s="665" t="s">
        <v>123</v>
      </c>
      <c r="AA89" s="734"/>
      <c r="AB89" s="734"/>
      <c r="AC89" s="734"/>
      <c r="AD89" s="734"/>
      <c r="AE89" s="734"/>
      <c r="AF89" s="734"/>
      <c r="AG89" s="734"/>
      <c r="AH89" s="734"/>
      <c r="AI89" s="734"/>
      <c r="AJ89" s="734"/>
      <c r="AK89" s="734"/>
    </row>
    <row r="90" ht="15.75" customHeight="1">
      <c r="A90" s="725"/>
      <c r="B90" s="726"/>
      <c r="C90" s="727"/>
      <c r="D90" s="730"/>
      <c r="E90" s="727"/>
      <c r="F90" s="729"/>
      <c r="G90" s="730"/>
      <c r="I90" s="665" t="s">
        <v>123</v>
      </c>
      <c r="J90" s="665" t="s">
        <v>123</v>
      </c>
      <c r="AA90" s="734"/>
      <c r="AB90" s="734"/>
      <c r="AC90" s="734"/>
      <c r="AD90" s="734"/>
      <c r="AE90" s="734"/>
      <c r="AF90" s="734"/>
      <c r="AG90" s="734"/>
      <c r="AH90" s="734"/>
      <c r="AI90" s="734"/>
      <c r="AJ90" s="734"/>
      <c r="AK90" s="734"/>
    </row>
    <row r="91" ht="15.75" customHeight="1">
      <c r="A91" s="725"/>
      <c r="B91" s="726"/>
      <c r="C91" s="727"/>
      <c r="D91" s="730"/>
      <c r="E91" s="727"/>
      <c r="F91" s="729"/>
      <c r="G91" s="730"/>
      <c r="I91" s="665" t="s">
        <v>123</v>
      </c>
      <c r="J91" s="665" t="s">
        <v>123</v>
      </c>
      <c r="AA91" s="734"/>
      <c r="AB91" s="734"/>
      <c r="AC91" s="734"/>
      <c r="AD91" s="734"/>
      <c r="AE91" s="734"/>
      <c r="AF91" s="734"/>
      <c r="AG91" s="734"/>
      <c r="AH91" s="734"/>
      <c r="AI91" s="734"/>
      <c r="AJ91" s="734"/>
      <c r="AK91" s="734"/>
    </row>
    <row r="92" ht="15.75" customHeight="1">
      <c r="A92" s="725"/>
      <c r="B92" s="726"/>
      <c r="C92" s="727"/>
      <c r="D92" s="730"/>
      <c r="E92" s="727"/>
      <c r="F92" s="729"/>
      <c r="G92" s="730"/>
      <c r="I92" s="665" t="s">
        <v>123</v>
      </c>
      <c r="J92" s="665" t="s">
        <v>123</v>
      </c>
      <c r="AA92" s="734"/>
      <c r="AB92" s="734"/>
      <c r="AC92" s="734"/>
      <c r="AD92" s="734"/>
      <c r="AE92" s="734"/>
      <c r="AF92" s="734"/>
      <c r="AG92" s="734"/>
      <c r="AH92" s="734"/>
      <c r="AI92" s="734"/>
      <c r="AJ92" s="734"/>
      <c r="AK92" s="734"/>
    </row>
    <row r="93" ht="15.75" customHeight="1">
      <c r="A93" s="725"/>
      <c r="B93" s="726"/>
      <c r="C93" s="727"/>
      <c r="D93" s="730"/>
      <c r="E93" s="727"/>
      <c r="F93" s="729"/>
      <c r="G93" s="730"/>
      <c r="I93" s="665" t="s">
        <v>123</v>
      </c>
      <c r="J93" s="665" t="s">
        <v>123</v>
      </c>
      <c r="AA93" s="734"/>
      <c r="AB93" s="734"/>
      <c r="AC93" s="734"/>
      <c r="AD93" s="734"/>
      <c r="AE93" s="734"/>
      <c r="AF93" s="734"/>
      <c r="AG93" s="734"/>
      <c r="AH93" s="734"/>
      <c r="AI93" s="734"/>
      <c r="AJ93" s="734"/>
      <c r="AK93" s="734"/>
    </row>
    <row r="94" ht="15.75" customHeight="1">
      <c r="A94" s="725"/>
      <c r="B94" s="726"/>
      <c r="C94" s="727"/>
      <c r="D94" s="730"/>
      <c r="E94" s="727"/>
      <c r="F94" s="729"/>
      <c r="G94" s="730"/>
      <c r="I94" s="665" t="s">
        <v>123</v>
      </c>
      <c r="J94" s="665" t="s">
        <v>123</v>
      </c>
      <c r="AA94" s="734"/>
      <c r="AB94" s="734"/>
      <c r="AC94" s="734"/>
      <c r="AD94" s="734"/>
      <c r="AE94" s="734"/>
      <c r="AF94" s="734"/>
      <c r="AG94" s="734"/>
      <c r="AH94" s="734"/>
      <c r="AI94" s="734"/>
      <c r="AJ94" s="734"/>
      <c r="AK94" s="734"/>
    </row>
    <row r="95" ht="15.75" customHeight="1">
      <c r="A95" s="725"/>
      <c r="B95" s="726"/>
      <c r="C95" s="727"/>
      <c r="D95" s="730"/>
      <c r="E95" s="727"/>
      <c r="F95" s="729"/>
      <c r="G95" s="730"/>
      <c r="I95" s="665" t="s">
        <v>123</v>
      </c>
      <c r="J95" s="665" t="s">
        <v>123</v>
      </c>
      <c r="AA95" s="734"/>
      <c r="AB95" s="734"/>
      <c r="AC95" s="734"/>
      <c r="AD95" s="734"/>
      <c r="AE95" s="734"/>
      <c r="AF95" s="734"/>
      <c r="AG95" s="734"/>
      <c r="AH95" s="734"/>
      <c r="AI95" s="734"/>
      <c r="AJ95" s="734"/>
      <c r="AK95" s="734"/>
    </row>
    <row r="96" ht="15.75" customHeight="1">
      <c r="A96" s="725"/>
      <c r="B96" s="726"/>
      <c r="C96" s="727"/>
      <c r="D96" s="730"/>
      <c r="E96" s="727"/>
      <c r="F96" s="729"/>
      <c r="G96" s="730"/>
      <c r="I96" s="665" t="s">
        <v>123</v>
      </c>
      <c r="J96" s="665" t="s">
        <v>123</v>
      </c>
      <c r="AA96" s="734"/>
      <c r="AB96" s="734"/>
      <c r="AC96" s="734"/>
      <c r="AD96" s="734"/>
      <c r="AE96" s="734"/>
      <c r="AF96" s="734"/>
      <c r="AG96" s="734"/>
      <c r="AH96" s="734"/>
      <c r="AI96" s="734"/>
      <c r="AJ96" s="734"/>
      <c r="AK96" s="734"/>
    </row>
    <row r="97" ht="15.75" customHeight="1">
      <c r="A97" s="725"/>
      <c r="B97" s="726"/>
      <c r="C97" s="727"/>
      <c r="D97" s="730"/>
      <c r="E97" s="727"/>
      <c r="F97" s="729"/>
      <c r="G97" s="730"/>
      <c r="I97" s="665" t="s">
        <v>123</v>
      </c>
      <c r="J97" s="665" t="s">
        <v>123</v>
      </c>
      <c r="AA97" s="734"/>
      <c r="AB97" s="734"/>
      <c r="AC97" s="734"/>
      <c r="AD97" s="734"/>
      <c r="AE97" s="734"/>
      <c r="AF97" s="734"/>
      <c r="AG97" s="734"/>
      <c r="AH97" s="734"/>
      <c r="AI97" s="734"/>
      <c r="AJ97" s="734"/>
      <c r="AK97" s="734"/>
    </row>
    <row r="98" ht="15.75" customHeight="1">
      <c r="A98" s="725"/>
      <c r="B98" s="726"/>
      <c r="C98" s="727"/>
      <c r="D98" s="730"/>
      <c r="E98" s="727"/>
      <c r="F98" s="729"/>
      <c r="G98" s="730"/>
      <c r="I98" s="665" t="s">
        <v>123</v>
      </c>
      <c r="J98" s="665" t="s">
        <v>123</v>
      </c>
      <c r="AA98" s="734"/>
      <c r="AB98" s="734"/>
      <c r="AC98" s="734"/>
      <c r="AD98" s="734"/>
      <c r="AE98" s="734"/>
      <c r="AF98" s="734"/>
      <c r="AG98" s="734"/>
      <c r="AH98" s="734"/>
      <c r="AI98" s="734"/>
      <c r="AJ98" s="734"/>
      <c r="AK98" s="734"/>
    </row>
    <row r="99" ht="15.75" customHeight="1">
      <c r="A99" s="725"/>
      <c r="B99" s="726"/>
      <c r="C99" s="727"/>
      <c r="D99" s="730"/>
      <c r="E99" s="727"/>
      <c r="F99" s="729"/>
      <c r="G99" s="730"/>
      <c r="I99" s="665" t="s">
        <v>123</v>
      </c>
      <c r="J99" s="665" t="s">
        <v>123</v>
      </c>
      <c r="AA99" s="734"/>
      <c r="AB99" s="734"/>
      <c r="AC99" s="734"/>
      <c r="AD99" s="734"/>
      <c r="AE99" s="734"/>
      <c r="AF99" s="734"/>
      <c r="AG99" s="734"/>
      <c r="AH99" s="734"/>
      <c r="AI99" s="734"/>
      <c r="AJ99" s="734"/>
      <c r="AK99" s="734"/>
    </row>
    <row r="100" ht="15.75" customHeight="1">
      <c r="A100" s="725"/>
      <c r="B100" s="726"/>
      <c r="C100" s="727"/>
      <c r="D100" s="730"/>
      <c r="E100" s="727"/>
      <c r="F100" s="729"/>
      <c r="G100" s="730"/>
      <c r="I100" s="665" t="s">
        <v>123</v>
      </c>
      <c r="J100" s="665" t="s">
        <v>123</v>
      </c>
      <c r="AA100" s="734"/>
      <c r="AB100" s="734"/>
      <c r="AC100" s="734"/>
      <c r="AD100" s="734"/>
      <c r="AE100" s="734"/>
      <c r="AF100" s="734"/>
      <c r="AG100" s="734"/>
      <c r="AH100" s="734"/>
      <c r="AI100" s="734"/>
      <c r="AJ100" s="734"/>
      <c r="AK100" s="734"/>
    </row>
    <row r="101" ht="15.75" customHeight="1">
      <c r="A101" s="725"/>
      <c r="B101" s="726"/>
      <c r="C101" s="727"/>
      <c r="D101" s="730"/>
      <c r="E101" s="727"/>
      <c r="F101" s="729"/>
      <c r="G101" s="730"/>
      <c r="I101" s="665" t="s">
        <v>123</v>
      </c>
      <c r="J101" s="665" t="s">
        <v>123</v>
      </c>
      <c r="AA101" s="734"/>
      <c r="AB101" s="734"/>
      <c r="AC101" s="734"/>
      <c r="AD101" s="734"/>
      <c r="AE101" s="734"/>
      <c r="AF101" s="734"/>
      <c r="AG101" s="734"/>
      <c r="AH101" s="734"/>
      <c r="AI101" s="734"/>
      <c r="AJ101" s="734"/>
      <c r="AK101" s="734"/>
    </row>
    <row r="102" ht="15.75" customHeight="1">
      <c r="A102" s="725"/>
      <c r="B102" s="726"/>
      <c r="C102" s="727"/>
      <c r="D102" s="730"/>
      <c r="E102" s="727"/>
      <c r="F102" s="729"/>
      <c r="G102" s="730"/>
      <c r="I102" s="665" t="s">
        <v>123</v>
      </c>
      <c r="J102" s="665" t="s">
        <v>123</v>
      </c>
      <c r="AA102" s="734"/>
      <c r="AB102" s="734"/>
      <c r="AC102" s="734"/>
      <c r="AD102" s="734"/>
      <c r="AE102" s="734"/>
      <c r="AF102" s="734"/>
      <c r="AG102" s="734"/>
      <c r="AH102" s="734"/>
      <c r="AI102" s="734"/>
      <c r="AJ102" s="734"/>
      <c r="AK102" s="734"/>
    </row>
    <row r="103" ht="15.75" customHeight="1">
      <c r="A103" s="725"/>
      <c r="B103" s="726"/>
      <c r="C103" s="727"/>
      <c r="D103" s="730"/>
      <c r="E103" s="727"/>
      <c r="F103" s="729"/>
      <c r="G103" s="730"/>
      <c r="I103" s="665" t="s">
        <v>123</v>
      </c>
      <c r="J103" s="665" t="s">
        <v>123</v>
      </c>
      <c r="AA103" s="579"/>
      <c r="AC103" s="711"/>
      <c r="AD103" s="711"/>
      <c r="AE103" s="711"/>
      <c r="AF103" s="711"/>
      <c r="AG103" s="711"/>
      <c r="AH103" s="711"/>
      <c r="AI103" s="711"/>
      <c r="AJ103" s="711"/>
      <c r="AK103" s="711"/>
    </row>
    <row r="104" ht="15.75" customHeight="1">
      <c r="A104" s="725"/>
      <c r="B104" s="726"/>
      <c r="C104" s="727"/>
      <c r="D104" s="730"/>
      <c r="E104" s="727"/>
      <c r="F104" s="729"/>
      <c r="G104" s="730"/>
      <c r="I104" s="665" t="s">
        <v>123</v>
      </c>
      <c r="J104" s="665" t="s">
        <v>123</v>
      </c>
      <c r="AA104" s="579"/>
      <c r="AC104" s="711"/>
      <c r="AD104" s="711"/>
      <c r="AE104" s="711"/>
      <c r="AF104" s="711"/>
      <c r="AG104" s="711"/>
      <c r="AH104" s="711"/>
      <c r="AI104" s="711"/>
      <c r="AJ104" s="711"/>
      <c r="AK104" s="711"/>
    </row>
    <row r="105" ht="15.75" customHeight="1">
      <c r="A105" s="725"/>
      <c r="B105" s="726"/>
      <c r="C105" s="727"/>
      <c r="D105" s="730"/>
      <c r="E105" s="727"/>
      <c r="F105" s="729"/>
      <c r="G105" s="730"/>
      <c r="I105" s="665" t="s">
        <v>123</v>
      </c>
      <c r="J105" s="665" t="s">
        <v>123</v>
      </c>
      <c r="AA105" s="579"/>
      <c r="AC105" s="711"/>
      <c r="AD105" s="711"/>
      <c r="AE105" s="711"/>
      <c r="AF105" s="711"/>
      <c r="AG105" s="711"/>
      <c r="AH105" s="711"/>
      <c r="AI105" s="711"/>
      <c r="AJ105" s="711"/>
      <c r="AK105" s="711"/>
    </row>
    <row r="106" ht="15.75" customHeight="1">
      <c r="A106" s="725"/>
      <c r="B106" s="726"/>
      <c r="C106" s="727"/>
      <c r="D106" s="730"/>
      <c r="E106" s="727"/>
      <c r="F106" s="729"/>
      <c r="G106" s="730"/>
      <c r="I106" s="665" t="s">
        <v>123</v>
      </c>
      <c r="J106" s="665" t="s">
        <v>123</v>
      </c>
      <c r="AA106" s="579"/>
      <c r="AC106" s="711"/>
      <c r="AD106" s="711"/>
      <c r="AE106" s="711"/>
      <c r="AF106" s="711"/>
      <c r="AG106" s="711"/>
      <c r="AH106" s="711"/>
      <c r="AI106" s="711"/>
      <c r="AJ106" s="711"/>
      <c r="AK106" s="711"/>
    </row>
    <row r="107" ht="15.75" customHeight="1">
      <c r="A107" s="725"/>
      <c r="B107" s="726"/>
      <c r="C107" s="727"/>
      <c r="D107" s="730"/>
      <c r="E107" s="727"/>
      <c r="F107" s="729"/>
      <c r="G107" s="730"/>
      <c r="I107" s="665" t="s">
        <v>123</v>
      </c>
      <c r="J107" s="665" t="s">
        <v>123</v>
      </c>
      <c r="AA107" s="579"/>
      <c r="AC107" s="711"/>
      <c r="AD107" s="711"/>
      <c r="AE107" s="711"/>
      <c r="AF107" s="711"/>
      <c r="AG107" s="711"/>
      <c r="AH107" s="711"/>
      <c r="AI107" s="711"/>
      <c r="AJ107" s="711"/>
      <c r="AK107" s="711"/>
    </row>
    <row r="108" ht="15.75" customHeight="1">
      <c r="A108" s="725"/>
      <c r="B108" s="726"/>
      <c r="C108" s="727"/>
      <c r="D108" s="730"/>
      <c r="E108" s="727"/>
      <c r="F108" s="729"/>
      <c r="G108" s="730"/>
      <c r="I108" s="665" t="s">
        <v>123</v>
      </c>
      <c r="J108" s="665" t="s">
        <v>123</v>
      </c>
      <c r="AA108" s="579"/>
      <c r="AC108" s="711"/>
      <c r="AD108" s="711"/>
      <c r="AE108" s="711"/>
      <c r="AF108" s="711"/>
      <c r="AG108" s="711"/>
      <c r="AH108" s="711"/>
      <c r="AI108" s="711"/>
      <c r="AJ108" s="711"/>
      <c r="AK108" s="711"/>
    </row>
    <row r="109" ht="15.75" customHeight="1">
      <c r="A109" s="725"/>
      <c r="B109" s="726"/>
      <c r="C109" s="727"/>
      <c r="D109" s="730"/>
      <c r="E109" s="727"/>
      <c r="F109" s="729"/>
      <c r="G109" s="730"/>
      <c r="I109" s="665" t="s">
        <v>123</v>
      </c>
      <c r="J109" s="665" t="s">
        <v>123</v>
      </c>
      <c r="AA109" s="579"/>
      <c r="AC109" s="711"/>
      <c r="AD109" s="711"/>
      <c r="AE109" s="711"/>
      <c r="AF109" s="711"/>
      <c r="AG109" s="711"/>
      <c r="AH109" s="711"/>
      <c r="AI109" s="711"/>
      <c r="AJ109" s="711"/>
      <c r="AK109" s="711"/>
    </row>
    <row r="110" ht="15.75" customHeight="1">
      <c r="A110" s="725"/>
      <c r="B110" s="726"/>
      <c r="C110" s="727"/>
      <c r="D110" s="730"/>
      <c r="E110" s="727"/>
      <c r="F110" s="729"/>
      <c r="G110" s="730"/>
      <c r="I110" s="665" t="s">
        <v>123</v>
      </c>
      <c r="J110" s="665" t="s">
        <v>123</v>
      </c>
      <c r="AA110" s="579"/>
      <c r="AC110" s="711"/>
      <c r="AD110" s="711"/>
      <c r="AE110" s="711"/>
      <c r="AF110" s="711"/>
      <c r="AG110" s="711"/>
      <c r="AH110" s="711"/>
      <c r="AI110" s="711"/>
      <c r="AJ110" s="711"/>
      <c r="AK110" s="711"/>
    </row>
    <row r="111" ht="15.75" customHeight="1">
      <c r="A111" s="725"/>
      <c r="B111" s="726"/>
      <c r="C111" s="727"/>
      <c r="D111" s="730"/>
      <c r="E111" s="727"/>
      <c r="F111" s="729"/>
      <c r="G111" s="730"/>
      <c r="I111" s="665" t="s">
        <v>123</v>
      </c>
      <c r="J111" s="665" t="s">
        <v>123</v>
      </c>
      <c r="AA111" s="579"/>
      <c r="AC111" s="711"/>
      <c r="AD111" s="711"/>
      <c r="AE111" s="711"/>
      <c r="AF111" s="711"/>
      <c r="AG111" s="711"/>
      <c r="AH111" s="711"/>
      <c r="AI111" s="711"/>
      <c r="AJ111" s="711"/>
      <c r="AK111" s="711"/>
    </row>
    <row r="112" ht="15.75" customHeight="1">
      <c r="A112" s="725"/>
      <c r="B112" s="726"/>
      <c r="C112" s="727"/>
      <c r="D112" s="730"/>
      <c r="E112" s="727"/>
      <c r="F112" s="729"/>
      <c r="G112" s="730"/>
      <c r="I112" s="665" t="s">
        <v>123</v>
      </c>
      <c r="J112" s="665" t="s">
        <v>123</v>
      </c>
      <c r="AA112" s="579"/>
      <c r="AC112" s="711"/>
      <c r="AD112" s="711"/>
      <c r="AE112" s="711"/>
      <c r="AF112" s="711"/>
      <c r="AG112" s="711"/>
      <c r="AH112" s="711"/>
      <c r="AI112" s="711"/>
      <c r="AJ112" s="711"/>
      <c r="AK112" s="711"/>
    </row>
    <row r="113" ht="15.75" customHeight="1">
      <c r="A113" s="725"/>
      <c r="B113" s="726"/>
      <c r="C113" s="727"/>
      <c r="D113" s="730"/>
      <c r="E113" s="727"/>
      <c r="F113" s="729"/>
      <c r="G113" s="730"/>
      <c r="I113" s="665" t="s">
        <v>123</v>
      </c>
      <c r="J113" s="665" t="s">
        <v>123</v>
      </c>
      <c r="AA113" s="579"/>
      <c r="AC113" s="711"/>
      <c r="AD113" s="711"/>
      <c r="AE113" s="711"/>
      <c r="AF113" s="711"/>
      <c r="AG113" s="711"/>
      <c r="AH113" s="711"/>
      <c r="AI113" s="711"/>
      <c r="AJ113" s="711"/>
      <c r="AK113" s="711"/>
    </row>
    <row r="114" ht="15.75" customHeight="1">
      <c r="A114" s="725"/>
      <c r="B114" s="726"/>
      <c r="C114" s="727"/>
      <c r="D114" s="730"/>
      <c r="E114" s="727"/>
      <c r="F114" s="729"/>
      <c r="G114" s="730"/>
      <c r="I114" s="665" t="s">
        <v>123</v>
      </c>
      <c r="J114" s="665" t="s">
        <v>123</v>
      </c>
      <c r="AA114" s="579"/>
      <c r="AC114" s="711"/>
      <c r="AD114" s="711"/>
      <c r="AE114" s="711"/>
      <c r="AF114" s="711"/>
      <c r="AG114" s="711"/>
      <c r="AH114" s="711"/>
      <c r="AI114" s="711"/>
      <c r="AJ114" s="711"/>
      <c r="AK114" s="711"/>
    </row>
    <row r="115" ht="15.75" customHeight="1">
      <c r="A115" s="725"/>
      <c r="B115" s="726"/>
      <c r="C115" s="727"/>
      <c r="D115" s="730"/>
      <c r="E115" s="727"/>
      <c r="F115" s="729"/>
      <c r="G115" s="730"/>
      <c r="I115" s="665" t="s">
        <v>123</v>
      </c>
      <c r="J115" s="665" t="s">
        <v>123</v>
      </c>
      <c r="AA115" s="579"/>
      <c r="AC115" s="711"/>
      <c r="AD115" s="711"/>
      <c r="AE115" s="711"/>
      <c r="AF115" s="711"/>
      <c r="AG115" s="711"/>
      <c r="AH115" s="711"/>
      <c r="AI115" s="711"/>
      <c r="AJ115" s="711"/>
      <c r="AK115" s="711"/>
    </row>
    <row r="116" ht="15.75" customHeight="1">
      <c r="A116" s="725"/>
      <c r="B116" s="726"/>
      <c r="C116" s="727"/>
      <c r="D116" s="730"/>
      <c r="E116" s="727"/>
      <c r="F116" s="729"/>
      <c r="G116" s="730"/>
      <c r="I116" s="665" t="s">
        <v>123</v>
      </c>
      <c r="J116" s="665" t="s">
        <v>123</v>
      </c>
      <c r="AA116" s="579"/>
      <c r="AC116" s="711"/>
      <c r="AD116" s="711"/>
      <c r="AE116" s="711"/>
      <c r="AF116" s="711"/>
      <c r="AG116" s="711"/>
      <c r="AH116" s="711"/>
      <c r="AI116" s="711"/>
      <c r="AJ116" s="711"/>
      <c r="AK116" s="711"/>
    </row>
    <row r="117" ht="15.75" customHeight="1">
      <c r="A117" s="725"/>
      <c r="B117" s="726"/>
      <c r="C117" s="727"/>
      <c r="D117" s="730"/>
      <c r="E117" s="727"/>
      <c r="F117" s="729"/>
      <c r="G117" s="730"/>
      <c r="I117" s="665" t="s">
        <v>123</v>
      </c>
      <c r="J117" s="665" t="s">
        <v>123</v>
      </c>
      <c r="AA117" s="579"/>
      <c r="AC117" s="711"/>
      <c r="AD117" s="711"/>
      <c r="AE117" s="711"/>
      <c r="AF117" s="711"/>
      <c r="AG117" s="711"/>
      <c r="AH117" s="711"/>
      <c r="AI117" s="711"/>
      <c r="AJ117" s="711"/>
      <c r="AK117" s="711"/>
    </row>
    <row r="118" ht="15.75" customHeight="1">
      <c r="A118" s="725"/>
      <c r="B118" s="726"/>
      <c r="C118" s="727"/>
      <c r="D118" s="730"/>
      <c r="E118" s="727"/>
      <c r="F118" s="729"/>
      <c r="G118" s="730"/>
      <c r="I118" s="665" t="s">
        <v>123</v>
      </c>
      <c r="J118" s="665" t="s">
        <v>123</v>
      </c>
      <c r="AA118" s="579"/>
      <c r="AC118" s="711"/>
      <c r="AD118" s="711"/>
      <c r="AE118" s="711"/>
      <c r="AF118" s="711"/>
      <c r="AG118" s="711"/>
      <c r="AH118" s="711"/>
      <c r="AI118" s="711"/>
      <c r="AJ118" s="711"/>
      <c r="AK118" s="711"/>
    </row>
    <row r="119" ht="15.75" customHeight="1">
      <c r="A119" s="725"/>
      <c r="B119" s="726"/>
      <c r="C119" s="727"/>
      <c r="D119" s="730"/>
      <c r="E119" s="727"/>
      <c r="F119" s="729"/>
      <c r="G119" s="730"/>
      <c r="I119" s="665" t="s">
        <v>123</v>
      </c>
      <c r="J119" s="665" t="s">
        <v>123</v>
      </c>
      <c r="AA119" s="579"/>
      <c r="AC119" s="711"/>
      <c r="AD119" s="711"/>
      <c r="AE119" s="711"/>
      <c r="AF119" s="711"/>
      <c r="AG119" s="711"/>
      <c r="AH119" s="711"/>
      <c r="AI119" s="711"/>
      <c r="AJ119" s="711"/>
      <c r="AK119" s="711"/>
    </row>
    <row r="120" ht="15.75" customHeight="1">
      <c r="A120" s="725"/>
      <c r="B120" s="726"/>
      <c r="C120" s="727"/>
      <c r="D120" s="730"/>
      <c r="E120" s="727"/>
      <c r="F120" s="729"/>
      <c r="G120" s="730"/>
      <c r="I120" s="665" t="s">
        <v>123</v>
      </c>
      <c r="J120" s="665" t="s">
        <v>123</v>
      </c>
      <c r="AA120" s="579"/>
      <c r="AC120" s="711"/>
      <c r="AD120" s="711"/>
      <c r="AE120" s="711"/>
      <c r="AF120" s="711"/>
      <c r="AG120" s="711"/>
      <c r="AH120" s="711"/>
      <c r="AI120" s="711"/>
      <c r="AJ120" s="711"/>
      <c r="AK120" s="711"/>
    </row>
    <row r="121" ht="15.75" customHeight="1">
      <c r="A121" s="725"/>
      <c r="B121" s="726"/>
      <c r="C121" s="727"/>
      <c r="D121" s="730"/>
      <c r="E121" s="727"/>
      <c r="F121" s="729"/>
      <c r="G121" s="730"/>
      <c r="I121" s="665" t="s">
        <v>123</v>
      </c>
      <c r="J121" s="665" t="s">
        <v>123</v>
      </c>
      <c r="AA121" s="579"/>
      <c r="AC121" s="711"/>
      <c r="AD121" s="711"/>
      <c r="AE121" s="711"/>
      <c r="AF121" s="711"/>
      <c r="AG121" s="711"/>
      <c r="AH121" s="711"/>
      <c r="AI121" s="711"/>
      <c r="AJ121" s="711"/>
      <c r="AK121" s="711"/>
    </row>
    <row r="122" ht="15.75" customHeight="1">
      <c r="A122" s="725"/>
      <c r="B122" s="726"/>
      <c r="C122" s="727"/>
      <c r="D122" s="730"/>
      <c r="E122" s="727"/>
      <c r="F122" s="729"/>
      <c r="G122" s="730"/>
      <c r="I122" s="665" t="s">
        <v>123</v>
      </c>
      <c r="J122" s="665" t="s">
        <v>123</v>
      </c>
      <c r="AA122" s="579"/>
      <c r="AC122" s="711"/>
      <c r="AD122" s="711"/>
      <c r="AE122" s="711"/>
      <c r="AF122" s="711"/>
      <c r="AG122" s="711"/>
      <c r="AH122" s="711"/>
      <c r="AI122" s="711"/>
      <c r="AJ122" s="711"/>
      <c r="AK122" s="711"/>
    </row>
    <row r="123" ht="15.75" customHeight="1">
      <c r="A123" s="725"/>
      <c r="B123" s="726"/>
      <c r="C123" s="727"/>
      <c r="D123" s="730"/>
      <c r="E123" s="727"/>
      <c r="F123" s="729"/>
      <c r="G123" s="730"/>
      <c r="I123" s="665" t="s">
        <v>123</v>
      </c>
      <c r="J123" s="665" t="s">
        <v>123</v>
      </c>
      <c r="AA123" s="579"/>
      <c r="AC123" s="711"/>
      <c r="AD123" s="711"/>
      <c r="AE123" s="711"/>
      <c r="AF123" s="711"/>
      <c r="AG123" s="711"/>
      <c r="AH123" s="711"/>
      <c r="AI123" s="711"/>
      <c r="AJ123" s="711"/>
      <c r="AK123" s="711"/>
    </row>
    <row r="124" ht="15.75" customHeight="1">
      <c r="A124" s="725"/>
      <c r="B124" s="726"/>
      <c r="C124" s="727"/>
      <c r="D124" s="730"/>
      <c r="E124" s="727"/>
      <c r="F124" s="729"/>
      <c r="G124" s="730"/>
      <c r="I124" s="665" t="s">
        <v>123</v>
      </c>
      <c r="J124" s="665" t="s">
        <v>123</v>
      </c>
      <c r="AA124" s="579"/>
      <c r="AC124" s="711"/>
      <c r="AD124" s="711"/>
      <c r="AE124" s="711"/>
      <c r="AF124" s="711"/>
      <c r="AG124" s="711"/>
      <c r="AH124" s="711"/>
      <c r="AI124" s="711"/>
      <c r="AJ124" s="711"/>
      <c r="AK124" s="711"/>
    </row>
    <row r="125" ht="15.75" customHeight="1">
      <c r="A125" s="725"/>
      <c r="B125" s="726"/>
      <c r="C125" s="727"/>
      <c r="D125" s="730"/>
      <c r="E125" s="727"/>
      <c r="F125" s="729"/>
      <c r="G125" s="730"/>
      <c r="I125" s="665" t="s">
        <v>123</v>
      </c>
      <c r="J125" s="665" t="s">
        <v>123</v>
      </c>
      <c r="AA125" s="579"/>
      <c r="AC125" s="711"/>
      <c r="AD125" s="711"/>
      <c r="AE125" s="711"/>
      <c r="AF125" s="711"/>
      <c r="AG125" s="711"/>
      <c r="AH125" s="711"/>
      <c r="AI125" s="711"/>
      <c r="AJ125" s="711"/>
      <c r="AK125" s="711"/>
    </row>
    <row r="126" ht="15.75" customHeight="1">
      <c r="A126" s="725"/>
      <c r="B126" s="726"/>
      <c r="C126" s="727"/>
      <c r="D126" s="730"/>
      <c r="E126" s="727"/>
      <c r="F126" s="729"/>
      <c r="G126" s="730"/>
      <c r="I126" s="665" t="s">
        <v>123</v>
      </c>
      <c r="J126" s="665" t="s">
        <v>123</v>
      </c>
      <c r="AA126" s="579"/>
      <c r="AC126" s="711"/>
      <c r="AD126" s="711"/>
      <c r="AE126" s="711"/>
      <c r="AF126" s="711"/>
      <c r="AG126" s="711"/>
      <c r="AH126" s="711"/>
      <c r="AI126" s="711"/>
      <c r="AJ126" s="711"/>
      <c r="AK126" s="711"/>
    </row>
    <row r="127" ht="15.75" customHeight="1">
      <c r="A127" s="725"/>
      <c r="B127" s="726"/>
      <c r="C127" s="727"/>
      <c r="D127" s="730"/>
      <c r="E127" s="727"/>
      <c r="F127" s="729"/>
      <c r="G127" s="730"/>
      <c r="I127" s="665" t="s">
        <v>123</v>
      </c>
      <c r="J127" s="665" t="s">
        <v>123</v>
      </c>
      <c r="AA127" s="579"/>
      <c r="AC127" s="711"/>
      <c r="AD127" s="711"/>
      <c r="AE127" s="711"/>
      <c r="AF127" s="711"/>
      <c r="AG127" s="711"/>
      <c r="AH127" s="711"/>
      <c r="AI127" s="711"/>
      <c r="AJ127" s="711"/>
      <c r="AK127" s="711"/>
    </row>
    <row r="128" ht="15.75" customHeight="1">
      <c r="A128" s="725"/>
      <c r="B128" s="726"/>
      <c r="C128" s="727"/>
      <c r="D128" s="730"/>
      <c r="E128" s="727"/>
      <c r="F128" s="729"/>
      <c r="G128" s="730"/>
      <c r="I128" s="665" t="s">
        <v>123</v>
      </c>
      <c r="J128" s="665" t="s">
        <v>123</v>
      </c>
      <c r="AA128" s="579"/>
      <c r="AC128" s="711"/>
      <c r="AD128" s="711"/>
      <c r="AE128" s="711"/>
      <c r="AF128" s="711"/>
      <c r="AG128" s="711"/>
      <c r="AH128" s="711"/>
      <c r="AI128" s="711"/>
      <c r="AJ128" s="711"/>
      <c r="AK128" s="711"/>
    </row>
    <row r="129" ht="15.75" customHeight="1">
      <c r="A129" s="725"/>
      <c r="B129" s="726"/>
      <c r="C129" s="727"/>
      <c r="D129" s="730"/>
      <c r="E129" s="727"/>
      <c r="F129" s="729"/>
      <c r="G129" s="730"/>
      <c r="I129" s="665" t="s">
        <v>123</v>
      </c>
      <c r="J129" s="665" t="s">
        <v>123</v>
      </c>
      <c r="AA129" s="579"/>
      <c r="AC129" s="711"/>
      <c r="AD129" s="711"/>
      <c r="AE129" s="711"/>
      <c r="AF129" s="711"/>
      <c r="AG129" s="711"/>
      <c r="AH129" s="711"/>
      <c r="AI129" s="711"/>
      <c r="AJ129" s="711"/>
      <c r="AK129" s="711"/>
    </row>
    <row r="130" ht="15.75" customHeight="1">
      <c r="A130" s="725"/>
      <c r="B130" s="726"/>
      <c r="C130" s="727"/>
      <c r="D130" s="730"/>
      <c r="E130" s="727"/>
      <c r="F130" s="729"/>
      <c r="G130" s="730"/>
      <c r="I130" s="665" t="s">
        <v>123</v>
      </c>
      <c r="J130" s="665" t="s">
        <v>123</v>
      </c>
      <c r="AA130" s="579"/>
      <c r="AC130" s="711"/>
      <c r="AD130" s="711"/>
      <c r="AE130" s="711"/>
      <c r="AF130" s="711"/>
      <c r="AG130" s="711"/>
      <c r="AH130" s="711"/>
      <c r="AI130" s="711"/>
      <c r="AJ130" s="711"/>
      <c r="AK130" s="711"/>
    </row>
    <row r="131" ht="15.75" customHeight="1">
      <c r="A131" s="725"/>
      <c r="B131" s="726"/>
      <c r="C131" s="727"/>
      <c r="D131" s="730"/>
      <c r="E131" s="727"/>
      <c r="F131" s="729"/>
      <c r="G131" s="730"/>
      <c r="I131" s="665" t="s">
        <v>123</v>
      </c>
      <c r="J131" s="665" t="s">
        <v>123</v>
      </c>
      <c r="AA131" s="579"/>
      <c r="AC131" s="711"/>
      <c r="AD131" s="711"/>
      <c r="AE131" s="711"/>
      <c r="AF131" s="711"/>
      <c r="AG131" s="711"/>
      <c r="AH131" s="711"/>
      <c r="AI131" s="711"/>
      <c r="AJ131" s="711"/>
      <c r="AK131" s="711"/>
    </row>
    <row r="132" ht="15.75" customHeight="1">
      <c r="A132" s="725"/>
      <c r="B132" s="726"/>
      <c r="C132" s="727"/>
      <c r="D132" s="730"/>
      <c r="E132" s="727"/>
      <c r="F132" s="729"/>
      <c r="G132" s="730"/>
      <c r="I132" s="665" t="s">
        <v>123</v>
      </c>
      <c r="J132" s="665" t="s">
        <v>123</v>
      </c>
      <c r="AA132" s="579"/>
      <c r="AC132" s="711"/>
      <c r="AD132" s="711"/>
      <c r="AE132" s="711"/>
      <c r="AF132" s="711"/>
      <c r="AG132" s="711"/>
      <c r="AH132" s="711"/>
      <c r="AI132" s="711"/>
      <c r="AJ132" s="711"/>
      <c r="AK132" s="711"/>
    </row>
    <row r="133" ht="15.75" customHeight="1">
      <c r="A133" s="725"/>
      <c r="B133" s="726"/>
      <c r="C133" s="727"/>
      <c r="D133" s="730"/>
      <c r="E133" s="727"/>
      <c r="F133" s="729"/>
      <c r="G133" s="730"/>
      <c r="I133" s="665" t="s">
        <v>123</v>
      </c>
      <c r="J133" s="665" t="s">
        <v>123</v>
      </c>
      <c r="AA133" s="579"/>
      <c r="AC133" s="711"/>
      <c r="AD133" s="711"/>
      <c r="AE133" s="711"/>
      <c r="AF133" s="711"/>
      <c r="AG133" s="711"/>
      <c r="AH133" s="711"/>
      <c r="AI133" s="711"/>
      <c r="AJ133" s="711"/>
      <c r="AK133" s="711"/>
    </row>
    <row r="134" ht="15.75" customHeight="1">
      <c r="A134" s="725"/>
      <c r="B134" s="726"/>
      <c r="C134" s="727"/>
      <c r="D134" s="730"/>
      <c r="E134" s="727"/>
      <c r="F134" s="729"/>
      <c r="G134" s="730"/>
      <c r="I134" s="665" t="s">
        <v>123</v>
      </c>
      <c r="J134" s="665" t="s">
        <v>123</v>
      </c>
      <c r="AA134" s="579"/>
      <c r="AC134" s="711"/>
      <c r="AD134" s="711"/>
      <c r="AE134" s="711"/>
      <c r="AF134" s="711"/>
      <c r="AG134" s="711"/>
      <c r="AH134" s="711"/>
      <c r="AI134" s="711"/>
      <c r="AJ134" s="711"/>
      <c r="AK134" s="711"/>
    </row>
    <row r="135" ht="15.75" customHeight="1">
      <c r="A135" s="725"/>
      <c r="B135" s="726"/>
      <c r="C135" s="727"/>
      <c r="D135" s="730"/>
      <c r="E135" s="727"/>
      <c r="F135" s="729"/>
      <c r="G135" s="730"/>
      <c r="I135" s="665" t="s">
        <v>123</v>
      </c>
      <c r="J135" s="665" t="s">
        <v>123</v>
      </c>
      <c r="AA135" s="579"/>
      <c r="AC135" s="711"/>
      <c r="AD135" s="711"/>
      <c r="AE135" s="711"/>
      <c r="AF135" s="711"/>
      <c r="AG135" s="711"/>
      <c r="AH135" s="711"/>
      <c r="AI135" s="711"/>
      <c r="AJ135" s="711"/>
      <c r="AK135" s="711"/>
    </row>
    <row r="136" ht="15.75" customHeight="1">
      <c r="A136" s="725"/>
      <c r="B136" s="726"/>
      <c r="C136" s="727"/>
      <c r="D136" s="730"/>
      <c r="E136" s="727"/>
      <c r="F136" s="729"/>
      <c r="G136" s="730"/>
      <c r="I136" s="665" t="s">
        <v>123</v>
      </c>
      <c r="J136" s="665" t="s">
        <v>123</v>
      </c>
      <c r="AA136" s="579"/>
      <c r="AC136" s="711"/>
      <c r="AD136" s="711"/>
      <c r="AE136" s="711"/>
      <c r="AF136" s="711"/>
      <c r="AG136" s="711"/>
      <c r="AH136" s="711"/>
      <c r="AI136" s="711"/>
      <c r="AJ136" s="711"/>
      <c r="AK136" s="711"/>
    </row>
    <row r="137" ht="15.75" customHeight="1">
      <c r="A137" s="725"/>
      <c r="B137" s="726"/>
      <c r="C137" s="727"/>
      <c r="D137" s="730"/>
      <c r="E137" s="727"/>
      <c r="F137" s="729"/>
      <c r="G137" s="730"/>
      <c r="I137" s="665" t="s">
        <v>123</v>
      </c>
      <c r="J137" s="665" t="s">
        <v>123</v>
      </c>
      <c r="AA137" s="579"/>
      <c r="AC137" s="711"/>
      <c r="AD137" s="711"/>
      <c r="AE137" s="711"/>
      <c r="AF137" s="711"/>
      <c r="AG137" s="711"/>
      <c r="AH137" s="711"/>
      <c r="AI137" s="711"/>
      <c r="AJ137" s="711"/>
      <c r="AK137" s="711"/>
    </row>
    <row r="138" ht="15.75" customHeight="1">
      <c r="A138" s="725"/>
      <c r="B138" s="726"/>
      <c r="C138" s="727"/>
      <c r="D138" s="730"/>
      <c r="E138" s="727"/>
      <c r="F138" s="729"/>
      <c r="G138" s="730"/>
      <c r="I138" s="665" t="s">
        <v>123</v>
      </c>
      <c r="J138" s="665" t="s">
        <v>123</v>
      </c>
      <c r="AA138" s="579"/>
      <c r="AC138" s="711"/>
      <c r="AD138" s="711"/>
      <c r="AE138" s="711"/>
      <c r="AF138" s="711"/>
      <c r="AG138" s="711"/>
      <c r="AH138" s="711"/>
      <c r="AI138" s="711"/>
      <c r="AJ138" s="711"/>
      <c r="AK138" s="711"/>
    </row>
    <row r="139" ht="15.75" customHeight="1">
      <c r="A139" s="725"/>
      <c r="B139" s="726"/>
      <c r="C139" s="727"/>
      <c r="D139" s="730"/>
      <c r="E139" s="727"/>
      <c r="F139" s="729"/>
      <c r="G139" s="730"/>
      <c r="I139" s="665" t="s">
        <v>123</v>
      </c>
      <c r="J139" s="665" t="s">
        <v>123</v>
      </c>
      <c r="AA139" s="579"/>
      <c r="AC139" s="711"/>
      <c r="AD139" s="711"/>
      <c r="AE139" s="711"/>
      <c r="AF139" s="711"/>
      <c r="AG139" s="711"/>
      <c r="AH139" s="711"/>
      <c r="AI139" s="711"/>
      <c r="AJ139" s="711"/>
      <c r="AK139" s="711"/>
    </row>
    <row r="140" ht="15.75" customHeight="1">
      <c r="A140" s="725"/>
      <c r="B140" s="726"/>
      <c r="C140" s="727"/>
      <c r="D140" s="730"/>
      <c r="E140" s="727"/>
      <c r="F140" s="729"/>
      <c r="G140" s="730"/>
      <c r="I140" s="665" t="s">
        <v>123</v>
      </c>
      <c r="J140" s="665" t="s">
        <v>123</v>
      </c>
      <c r="AA140" s="579"/>
      <c r="AC140" s="711"/>
      <c r="AD140" s="711"/>
      <c r="AE140" s="711"/>
      <c r="AF140" s="711"/>
      <c r="AG140" s="711"/>
      <c r="AH140" s="711"/>
      <c r="AI140" s="711"/>
      <c r="AJ140" s="711"/>
      <c r="AK140" s="711"/>
    </row>
    <row r="141" ht="15.75" customHeight="1">
      <c r="A141" s="725"/>
      <c r="B141" s="726"/>
      <c r="C141" s="727"/>
      <c r="D141" s="730"/>
      <c r="E141" s="727"/>
      <c r="F141" s="729"/>
      <c r="G141" s="730"/>
      <c r="I141" s="665" t="s">
        <v>123</v>
      </c>
      <c r="J141" s="665" t="s">
        <v>123</v>
      </c>
      <c r="AA141" s="579"/>
      <c r="AC141" s="711"/>
      <c r="AD141" s="711"/>
      <c r="AE141" s="711"/>
      <c r="AF141" s="711"/>
      <c r="AG141" s="711"/>
      <c r="AH141" s="711"/>
      <c r="AI141" s="711"/>
      <c r="AJ141" s="711"/>
      <c r="AK141" s="711"/>
    </row>
    <row r="142" ht="15.75" customHeight="1">
      <c r="A142" s="725"/>
      <c r="B142" s="726"/>
      <c r="C142" s="727"/>
      <c r="D142" s="730"/>
      <c r="E142" s="727"/>
      <c r="F142" s="729"/>
      <c r="G142" s="730"/>
      <c r="I142" s="665" t="s">
        <v>123</v>
      </c>
      <c r="J142" s="665" t="s">
        <v>123</v>
      </c>
      <c r="AA142" s="579"/>
      <c r="AC142" s="711"/>
      <c r="AD142" s="711"/>
      <c r="AE142" s="711"/>
      <c r="AF142" s="711"/>
      <c r="AG142" s="711"/>
      <c r="AH142" s="711"/>
      <c r="AI142" s="711"/>
      <c r="AJ142" s="711"/>
      <c r="AK142" s="711"/>
    </row>
    <row r="143" ht="15.75" customHeight="1">
      <c r="A143" s="725"/>
      <c r="B143" s="726"/>
      <c r="C143" s="727"/>
      <c r="D143" s="730"/>
      <c r="E143" s="727"/>
      <c r="F143" s="729"/>
      <c r="G143" s="730"/>
      <c r="I143" s="665" t="s">
        <v>123</v>
      </c>
      <c r="J143" s="665" t="s">
        <v>123</v>
      </c>
      <c r="AA143" s="579"/>
      <c r="AC143" s="711"/>
      <c r="AD143" s="711"/>
      <c r="AE143" s="711"/>
      <c r="AF143" s="711"/>
      <c r="AG143" s="711"/>
      <c r="AH143" s="711"/>
      <c r="AI143" s="711"/>
      <c r="AJ143" s="711"/>
      <c r="AK143" s="711"/>
    </row>
    <row r="144" ht="15.75" customHeight="1">
      <c r="A144" s="725"/>
      <c r="B144" s="726"/>
      <c r="C144" s="727"/>
      <c r="D144" s="730"/>
      <c r="E144" s="727"/>
      <c r="F144" s="729"/>
      <c r="G144" s="730"/>
      <c r="I144" s="665" t="s">
        <v>123</v>
      </c>
      <c r="J144" s="665" t="s">
        <v>123</v>
      </c>
      <c r="AA144" s="579"/>
      <c r="AC144" s="711"/>
      <c r="AD144" s="711"/>
      <c r="AE144" s="711"/>
      <c r="AF144" s="711"/>
      <c r="AG144" s="711"/>
      <c r="AH144" s="711"/>
      <c r="AI144" s="711"/>
      <c r="AJ144" s="711"/>
      <c r="AK144" s="711"/>
    </row>
    <row r="145" ht="15.75" customHeight="1">
      <c r="A145" s="725"/>
      <c r="B145" s="726"/>
      <c r="C145" s="727"/>
      <c r="D145" s="730"/>
      <c r="E145" s="727"/>
      <c r="F145" s="729"/>
      <c r="G145" s="730"/>
      <c r="I145" s="665" t="s">
        <v>123</v>
      </c>
      <c r="J145" s="665" t="s">
        <v>123</v>
      </c>
      <c r="AA145" s="579"/>
      <c r="AC145" s="711"/>
      <c r="AD145" s="711"/>
      <c r="AE145" s="711"/>
      <c r="AF145" s="711"/>
      <c r="AG145" s="711"/>
      <c r="AH145" s="711"/>
      <c r="AI145" s="711"/>
      <c r="AJ145" s="711"/>
      <c r="AK145" s="711"/>
    </row>
    <row r="146" ht="15.75" customHeight="1">
      <c r="A146" s="725"/>
      <c r="B146" s="726"/>
      <c r="C146" s="727"/>
      <c r="D146" s="730"/>
      <c r="E146" s="727"/>
      <c r="F146" s="729"/>
      <c r="G146" s="730"/>
      <c r="I146" s="665" t="s">
        <v>123</v>
      </c>
      <c r="J146" s="665" t="s">
        <v>123</v>
      </c>
      <c r="AA146" s="579"/>
      <c r="AC146" s="711"/>
      <c r="AD146" s="711"/>
      <c r="AE146" s="711"/>
      <c r="AF146" s="711"/>
      <c r="AG146" s="711"/>
      <c r="AH146" s="711"/>
      <c r="AI146" s="711"/>
      <c r="AJ146" s="711"/>
      <c r="AK146" s="711"/>
    </row>
    <row r="147" ht="15.75" customHeight="1">
      <c r="A147" s="725"/>
      <c r="B147" s="726"/>
      <c r="C147" s="727"/>
      <c r="D147" s="730"/>
      <c r="E147" s="727"/>
      <c r="F147" s="729"/>
      <c r="G147" s="730"/>
      <c r="I147" s="665" t="s">
        <v>123</v>
      </c>
      <c r="J147" s="665" t="s">
        <v>123</v>
      </c>
      <c r="AA147" s="579"/>
      <c r="AC147" s="711"/>
      <c r="AD147" s="711"/>
      <c r="AE147" s="711"/>
      <c r="AF147" s="711"/>
      <c r="AG147" s="711"/>
      <c r="AH147" s="711"/>
      <c r="AI147" s="711"/>
      <c r="AJ147" s="711"/>
      <c r="AK147" s="711"/>
    </row>
    <row r="148" ht="15.75" customHeight="1">
      <c r="A148" s="725"/>
      <c r="B148" s="726"/>
      <c r="C148" s="727"/>
      <c r="D148" s="730"/>
      <c r="E148" s="727"/>
      <c r="F148" s="729"/>
      <c r="G148" s="730"/>
      <c r="I148" s="665" t="s">
        <v>123</v>
      </c>
      <c r="J148" s="665" t="s">
        <v>123</v>
      </c>
      <c r="AA148" s="579"/>
      <c r="AC148" s="711"/>
      <c r="AD148" s="711"/>
      <c r="AE148" s="711"/>
      <c r="AF148" s="711"/>
      <c r="AG148" s="711"/>
      <c r="AH148" s="711"/>
      <c r="AI148" s="711"/>
      <c r="AJ148" s="711"/>
      <c r="AK148" s="711"/>
    </row>
    <row r="149" ht="15.75" customHeight="1">
      <c r="A149" s="725"/>
      <c r="B149" s="726"/>
      <c r="C149" s="727"/>
      <c r="D149" s="730"/>
      <c r="E149" s="727"/>
      <c r="F149" s="729"/>
      <c r="G149" s="730"/>
      <c r="I149" s="665" t="s">
        <v>123</v>
      </c>
      <c r="J149" s="665" t="s">
        <v>123</v>
      </c>
      <c r="AA149" s="579"/>
      <c r="AC149" s="711"/>
      <c r="AD149" s="711"/>
      <c r="AE149" s="711"/>
      <c r="AF149" s="711"/>
      <c r="AG149" s="711"/>
      <c r="AH149" s="711"/>
      <c r="AI149" s="711"/>
      <c r="AJ149" s="711"/>
      <c r="AK149" s="711"/>
    </row>
    <row r="150" ht="15.75" customHeight="1">
      <c r="A150" s="725"/>
      <c r="B150" s="726"/>
      <c r="C150" s="727"/>
      <c r="D150" s="730"/>
      <c r="E150" s="727"/>
      <c r="F150" s="729"/>
      <c r="G150" s="730"/>
      <c r="I150" s="665" t="s">
        <v>123</v>
      </c>
      <c r="J150" s="665" t="s">
        <v>123</v>
      </c>
      <c r="AA150" s="579"/>
      <c r="AC150" s="711"/>
      <c r="AD150" s="711"/>
      <c r="AE150" s="711"/>
      <c r="AF150" s="711"/>
      <c r="AG150" s="711"/>
      <c r="AH150" s="711"/>
      <c r="AI150" s="711"/>
      <c r="AJ150" s="711"/>
      <c r="AK150" s="711"/>
    </row>
    <row r="151" ht="15.75" customHeight="1">
      <c r="A151" s="725"/>
      <c r="B151" s="726"/>
      <c r="C151" s="727"/>
      <c r="D151" s="730"/>
      <c r="E151" s="727"/>
      <c r="F151" s="729"/>
      <c r="G151" s="730"/>
      <c r="I151" s="665" t="s">
        <v>123</v>
      </c>
      <c r="J151" s="665" t="s">
        <v>123</v>
      </c>
      <c r="AA151" s="579"/>
      <c r="AC151" s="711"/>
      <c r="AD151" s="711"/>
      <c r="AE151" s="711"/>
      <c r="AF151" s="711"/>
      <c r="AG151" s="711"/>
      <c r="AH151" s="711"/>
      <c r="AI151" s="711"/>
      <c r="AJ151" s="711"/>
      <c r="AK151" s="711"/>
    </row>
    <row r="152" ht="15.75" customHeight="1">
      <c r="A152" s="725"/>
      <c r="B152" s="726"/>
      <c r="C152" s="727"/>
      <c r="D152" s="730"/>
      <c r="E152" s="727"/>
      <c r="F152" s="729"/>
      <c r="G152" s="730"/>
      <c r="I152" s="665" t="s">
        <v>123</v>
      </c>
      <c r="J152" s="665" t="s">
        <v>123</v>
      </c>
      <c r="AA152" s="579"/>
      <c r="AC152" s="711"/>
      <c r="AD152" s="711"/>
      <c r="AE152" s="711"/>
      <c r="AF152" s="711"/>
      <c r="AG152" s="711"/>
      <c r="AH152" s="711"/>
      <c r="AI152" s="711"/>
      <c r="AJ152" s="711"/>
      <c r="AK152" s="711"/>
    </row>
    <row r="153" ht="15.75" customHeight="1">
      <c r="A153" s="725"/>
      <c r="B153" s="726"/>
      <c r="C153" s="727"/>
      <c r="D153" s="730"/>
      <c r="E153" s="727"/>
      <c r="F153" s="729"/>
      <c r="G153" s="730"/>
      <c r="I153" s="665" t="s">
        <v>123</v>
      </c>
      <c r="J153" s="665" t="s">
        <v>123</v>
      </c>
      <c r="AA153" s="579"/>
      <c r="AC153" s="711"/>
      <c r="AD153" s="711"/>
      <c r="AE153" s="711"/>
      <c r="AF153" s="711"/>
      <c r="AG153" s="711"/>
      <c r="AH153" s="711"/>
      <c r="AI153" s="711"/>
      <c r="AJ153" s="711"/>
      <c r="AK153" s="711"/>
    </row>
    <row r="154" ht="15.75" customHeight="1">
      <c r="A154" s="725"/>
      <c r="B154" s="726"/>
      <c r="C154" s="727"/>
      <c r="D154" s="730"/>
      <c r="E154" s="727"/>
      <c r="F154" s="729"/>
      <c r="G154" s="730"/>
      <c r="I154" s="665" t="s">
        <v>123</v>
      </c>
      <c r="J154" s="665" t="s">
        <v>123</v>
      </c>
      <c r="AA154" s="579"/>
      <c r="AC154" s="711"/>
      <c r="AD154" s="711"/>
      <c r="AE154" s="711"/>
      <c r="AF154" s="711"/>
      <c r="AG154" s="711"/>
      <c r="AH154" s="711"/>
      <c r="AI154" s="711"/>
      <c r="AJ154" s="711"/>
      <c r="AK154" s="711"/>
    </row>
    <row r="155" ht="15.75" customHeight="1">
      <c r="A155" s="725"/>
      <c r="B155" s="726"/>
      <c r="C155" s="727"/>
      <c r="D155" s="730"/>
      <c r="E155" s="727"/>
      <c r="F155" s="729"/>
      <c r="G155" s="730"/>
      <c r="I155" s="665" t="s">
        <v>123</v>
      </c>
      <c r="J155" s="665" t="s">
        <v>123</v>
      </c>
      <c r="AA155" s="579"/>
      <c r="AC155" s="711"/>
      <c r="AD155" s="711"/>
      <c r="AE155" s="711"/>
      <c r="AF155" s="711"/>
      <c r="AG155" s="711"/>
      <c r="AH155" s="711"/>
      <c r="AI155" s="711"/>
      <c r="AJ155" s="711"/>
      <c r="AK155" s="711"/>
    </row>
    <row r="156" ht="15.75" customHeight="1">
      <c r="A156" s="725"/>
      <c r="B156" s="726"/>
      <c r="C156" s="727"/>
      <c r="D156" s="730"/>
      <c r="E156" s="727"/>
      <c r="F156" s="729"/>
      <c r="G156" s="730"/>
      <c r="I156" s="665" t="s">
        <v>123</v>
      </c>
      <c r="J156" s="665" t="s">
        <v>123</v>
      </c>
      <c r="AA156" s="579"/>
      <c r="AC156" s="711"/>
      <c r="AD156" s="711"/>
      <c r="AE156" s="711"/>
      <c r="AF156" s="711"/>
      <c r="AG156" s="711"/>
      <c r="AH156" s="711"/>
      <c r="AI156" s="711"/>
      <c r="AJ156" s="711"/>
      <c r="AK156" s="711"/>
    </row>
    <row r="157" ht="15.75" customHeight="1">
      <c r="A157" s="725"/>
      <c r="B157" s="726"/>
      <c r="C157" s="727"/>
      <c r="D157" s="730"/>
      <c r="E157" s="727"/>
      <c r="F157" s="729"/>
      <c r="G157" s="730"/>
      <c r="I157" s="665" t="s">
        <v>123</v>
      </c>
      <c r="J157" s="665" t="s">
        <v>123</v>
      </c>
      <c r="AA157" s="579"/>
      <c r="AC157" s="711"/>
      <c r="AD157" s="711"/>
      <c r="AE157" s="711"/>
      <c r="AF157" s="711"/>
      <c r="AG157" s="711"/>
      <c r="AH157" s="711"/>
      <c r="AI157" s="711"/>
      <c r="AJ157" s="711"/>
      <c r="AK157" s="711"/>
    </row>
    <row r="158" ht="15.75" customHeight="1">
      <c r="A158" s="725"/>
      <c r="B158" s="726"/>
      <c r="C158" s="727"/>
      <c r="D158" s="730"/>
      <c r="E158" s="727"/>
      <c r="F158" s="729"/>
      <c r="G158" s="730"/>
      <c r="I158" s="665" t="s">
        <v>123</v>
      </c>
      <c r="J158" s="665" t="s">
        <v>123</v>
      </c>
      <c r="AA158" s="579"/>
      <c r="AC158" s="711"/>
      <c r="AD158" s="711"/>
      <c r="AE158" s="711"/>
      <c r="AF158" s="711"/>
      <c r="AG158" s="711"/>
      <c r="AH158" s="711"/>
      <c r="AI158" s="711"/>
      <c r="AJ158" s="711"/>
      <c r="AK158" s="711"/>
    </row>
    <row r="159" ht="15.75" customHeight="1">
      <c r="A159" s="725"/>
      <c r="B159" s="726"/>
      <c r="C159" s="727"/>
      <c r="D159" s="730"/>
      <c r="E159" s="727"/>
      <c r="F159" s="729"/>
      <c r="G159" s="730"/>
      <c r="I159" s="665" t="s">
        <v>123</v>
      </c>
      <c r="J159" s="665" t="s">
        <v>123</v>
      </c>
      <c r="AA159" s="579"/>
      <c r="AC159" s="711"/>
      <c r="AD159" s="711"/>
      <c r="AE159" s="711"/>
      <c r="AF159" s="711"/>
      <c r="AG159" s="711"/>
      <c r="AH159" s="711"/>
      <c r="AI159" s="711"/>
      <c r="AJ159" s="711"/>
      <c r="AK159" s="711"/>
    </row>
    <row r="160" ht="15.75" customHeight="1">
      <c r="A160" s="725"/>
      <c r="B160" s="726"/>
      <c r="C160" s="727"/>
      <c r="D160" s="730"/>
      <c r="E160" s="727"/>
      <c r="F160" s="729"/>
      <c r="G160" s="730"/>
      <c r="I160" s="665" t="s">
        <v>123</v>
      </c>
      <c r="J160" s="665" t="s">
        <v>123</v>
      </c>
      <c r="AA160" s="579"/>
      <c r="AC160" s="711"/>
      <c r="AD160" s="711"/>
      <c r="AE160" s="711"/>
      <c r="AF160" s="711"/>
      <c r="AG160" s="711"/>
      <c r="AH160" s="711"/>
      <c r="AI160" s="711"/>
      <c r="AJ160" s="711"/>
      <c r="AK160" s="711"/>
    </row>
    <row r="161" ht="15.75" customHeight="1">
      <c r="A161" s="725"/>
      <c r="B161" s="726"/>
      <c r="C161" s="727"/>
      <c r="D161" s="730"/>
      <c r="E161" s="727"/>
      <c r="F161" s="729"/>
      <c r="G161" s="730"/>
      <c r="I161" s="665" t="s">
        <v>123</v>
      </c>
      <c r="J161" s="665" t="s">
        <v>123</v>
      </c>
      <c r="AA161" s="579"/>
      <c r="AC161" s="711"/>
      <c r="AD161" s="711"/>
      <c r="AE161" s="711"/>
      <c r="AF161" s="711"/>
      <c r="AG161" s="711"/>
      <c r="AH161" s="711"/>
      <c r="AI161" s="711"/>
      <c r="AJ161" s="711"/>
      <c r="AK161" s="711"/>
    </row>
    <row r="162" ht="15.75" customHeight="1">
      <c r="A162" s="725"/>
      <c r="B162" s="726"/>
      <c r="C162" s="727"/>
      <c r="D162" s="730"/>
      <c r="E162" s="727"/>
      <c r="F162" s="729"/>
      <c r="G162" s="730"/>
      <c r="I162" s="665" t="s">
        <v>123</v>
      </c>
      <c r="J162" s="665" t="s">
        <v>123</v>
      </c>
      <c r="AA162" s="579"/>
      <c r="AC162" s="711"/>
      <c r="AD162" s="711"/>
      <c r="AE162" s="711"/>
      <c r="AF162" s="711"/>
      <c r="AG162" s="711"/>
      <c r="AH162" s="711"/>
      <c r="AI162" s="711"/>
      <c r="AJ162" s="711"/>
      <c r="AK162" s="711"/>
    </row>
    <row r="163" ht="15.75" customHeight="1">
      <c r="A163" s="725"/>
      <c r="B163" s="726"/>
      <c r="C163" s="727"/>
      <c r="D163" s="730"/>
      <c r="E163" s="727"/>
      <c r="F163" s="729"/>
      <c r="G163" s="730"/>
      <c r="I163" s="665" t="s">
        <v>123</v>
      </c>
      <c r="J163" s="665" t="s">
        <v>123</v>
      </c>
      <c r="AA163" s="579"/>
      <c r="AC163" s="711"/>
      <c r="AD163" s="711"/>
      <c r="AE163" s="711"/>
      <c r="AF163" s="711"/>
      <c r="AG163" s="711"/>
      <c r="AH163" s="711"/>
      <c r="AI163" s="711"/>
      <c r="AJ163" s="711"/>
      <c r="AK163" s="711"/>
    </row>
    <row r="164" ht="15.75" customHeight="1">
      <c r="A164" s="725"/>
      <c r="B164" s="726"/>
      <c r="C164" s="727"/>
      <c r="D164" s="730"/>
      <c r="E164" s="727"/>
      <c r="F164" s="729"/>
      <c r="G164" s="730"/>
      <c r="I164" s="665" t="s">
        <v>123</v>
      </c>
      <c r="J164" s="665" t="s">
        <v>123</v>
      </c>
      <c r="AA164" s="579"/>
      <c r="AC164" s="711"/>
      <c r="AD164" s="711"/>
      <c r="AE164" s="711"/>
      <c r="AF164" s="711"/>
      <c r="AG164" s="711"/>
      <c r="AH164" s="711"/>
      <c r="AI164" s="711"/>
      <c r="AJ164" s="711"/>
      <c r="AK164" s="711"/>
    </row>
    <row r="165" ht="15.75" customHeight="1">
      <c r="A165" s="725"/>
      <c r="B165" s="726"/>
      <c r="C165" s="727"/>
      <c r="D165" s="730"/>
      <c r="E165" s="727"/>
      <c r="F165" s="729"/>
      <c r="G165" s="730"/>
      <c r="I165" s="665" t="s">
        <v>123</v>
      </c>
      <c r="J165" s="665" t="s">
        <v>123</v>
      </c>
      <c r="AA165" s="579"/>
      <c r="AC165" s="711"/>
      <c r="AD165" s="711"/>
      <c r="AE165" s="711"/>
      <c r="AF165" s="711"/>
      <c r="AG165" s="711"/>
      <c r="AH165" s="711"/>
      <c r="AI165" s="711"/>
      <c r="AJ165" s="711"/>
      <c r="AK165" s="711"/>
    </row>
    <row r="166" ht="15.75" customHeight="1">
      <c r="A166" s="725"/>
      <c r="B166" s="726"/>
      <c r="C166" s="727"/>
      <c r="D166" s="730"/>
      <c r="E166" s="727"/>
      <c r="F166" s="729"/>
      <c r="G166" s="730"/>
      <c r="I166" s="665" t="s">
        <v>123</v>
      </c>
      <c r="J166" s="665" t="s">
        <v>123</v>
      </c>
      <c r="AA166" s="579"/>
      <c r="AC166" s="711"/>
      <c r="AD166" s="711"/>
      <c r="AE166" s="711"/>
      <c r="AF166" s="711"/>
      <c r="AG166" s="711"/>
      <c r="AH166" s="711"/>
      <c r="AI166" s="711"/>
      <c r="AJ166" s="711"/>
      <c r="AK166" s="711"/>
    </row>
    <row r="167" ht="15.75" customHeight="1">
      <c r="A167" s="725"/>
      <c r="B167" s="726"/>
      <c r="C167" s="727"/>
      <c r="D167" s="730"/>
      <c r="E167" s="727"/>
      <c r="F167" s="729"/>
      <c r="G167" s="730"/>
      <c r="I167" s="665" t="s">
        <v>123</v>
      </c>
      <c r="J167" s="665" t="s">
        <v>123</v>
      </c>
      <c r="AA167" s="579"/>
      <c r="AC167" s="711"/>
      <c r="AD167" s="711"/>
      <c r="AE167" s="711"/>
      <c r="AF167" s="711"/>
      <c r="AG167" s="711"/>
      <c r="AH167" s="711"/>
      <c r="AI167" s="711"/>
      <c r="AJ167" s="711"/>
      <c r="AK167" s="711"/>
    </row>
    <row r="168" ht="15.75" customHeight="1">
      <c r="A168" s="725"/>
      <c r="B168" s="726"/>
      <c r="C168" s="727"/>
      <c r="D168" s="730"/>
      <c r="E168" s="727"/>
      <c r="F168" s="729"/>
      <c r="G168" s="730"/>
      <c r="I168" s="665" t="s">
        <v>123</v>
      </c>
      <c r="J168" s="665" t="s">
        <v>123</v>
      </c>
      <c r="AA168" s="579"/>
      <c r="AC168" s="711"/>
      <c r="AD168" s="711"/>
      <c r="AE168" s="711"/>
      <c r="AF168" s="711"/>
      <c r="AG168" s="711"/>
      <c r="AH168" s="711"/>
      <c r="AI168" s="711"/>
      <c r="AJ168" s="711"/>
      <c r="AK168" s="711"/>
    </row>
    <row r="169" ht="15.75" customHeight="1">
      <c r="A169" s="725"/>
      <c r="B169" s="726"/>
      <c r="C169" s="727"/>
      <c r="D169" s="730"/>
      <c r="E169" s="727"/>
      <c r="F169" s="729"/>
      <c r="G169" s="730"/>
      <c r="I169" s="665" t="s">
        <v>123</v>
      </c>
      <c r="J169" s="665" t="s">
        <v>123</v>
      </c>
      <c r="AA169" s="579"/>
      <c r="AC169" s="711"/>
      <c r="AD169" s="711"/>
      <c r="AE169" s="711"/>
      <c r="AF169" s="711"/>
      <c r="AG169" s="711"/>
      <c r="AH169" s="711"/>
      <c r="AI169" s="711"/>
      <c r="AJ169" s="711"/>
      <c r="AK169" s="711"/>
    </row>
    <row r="170" ht="15.75" customHeight="1">
      <c r="A170" s="725"/>
      <c r="B170" s="726"/>
      <c r="C170" s="727"/>
      <c r="D170" s="730"/>
      <c r="E170" s="727"/>
      <c r="F170" s="729"/>
      <c r="G170" s="730"/>
      <c r="I170" s="665" t="s">
        <v>123</v>
      </c>
      <c r="J170" s="665" t="s">
        <v>123</v>
      </c>
      <c r="AA170" s="579"/>
      <c r="AC170" s="711"/>
      <c r="AD170" s="711"/>
      <c r="AE170" s="711"/>
      <c r="AF170" s="711"/>
      <c r="AG170" s="711"/>
      <c r="AH170" s="711"/>
      <c r="AI170" s="711"/>
      <c r="AJ170" s="711"/>
      <c r="AK170" s="711"/>
    </row>
    <row r="171" ht="15.75" customHeight="1">
      <c r="A171" s="725"/>
      <c r="B171" s="726"/>
      <c r="C171" s="727"/>
      <c r="D171" s="730"/>
      <c r="E171" s="727"/>
      <c r="F171" s="729"/>
      <c r="G171" s="730"/>
      <c r="I171" s="665" t="s">
        <v>123</v>
      </c>
      <c r="J171" s="665" t="s">
        <v>123</v>
      </c>
      <c r="AA171" s="579"/>
      <c r="AC171" s="711"/>
      <c r="AD171" s="711"/>
      <c r="AE171" s="711"/>
      <c r="AF171" s="711"/>
      <c r="AG171" s="711"/>
      <c r="AH171" s="711"/>
      <c r="AI171" s="711"/>
      <c r="AJ171" s="711"/>
      <c r="AK171" s="711"/>
    </row>
    <row r="172" ht="15.75" customHeight="1">
      <c r="A172" s="725"/>
      <c r="B172" s="726"/>
      <c r="C172" s="727"/>
      <c r="D172" s="730"/>
      <c r="E172" s="727"/>
      <c r="F172" s="729"/>
      <c r="G172" s="730"/>
      <c r="I172" s="665" t="s">
        <v>123</v>
      </c>
      <c r="J172" s="665" t="s">
        <v>123</v>
      </c>
      <c r="AA172" s="579"/>
      <c r="AC172" s="711"/>
      <c r="AD172" s="711"/>
      <c r="AE172" s="711"/>
      <c r="AF172" s="711"/>
      <c r="AG172" s="711"/>
      <c r="AH172" s="711"/>
      <c r="AI172" s="711"/>
      <c r="AJ172" s="711"/>
      <c r="AK172" s="711"/>
    </row>
    <row r="173" ht="15.75" customHeight="1">
      <c r="A173" s="725"/>
      <c r="B173" s="726"/>
      <c r="C173" s="727"/>
      <c r="D173" s="730"/>
      <c r="E173" s="727"/>
      <c r="F173" s="729"/>
      <c r="G173" s="730"/>
      <c r="I173" s="665" t="s">
        <v>123</v>
      </c>
      <c r="J173" s="665" t="s">
        <v>123</v>
      </c>
      <c r="AA173" s="579"/>
      <c r="AC173" s="711"/>
      <c r="AD173" s="711"/>
      <c r="AE173" s="711"/>
      <c r="AF173" s="711"/>
      <c r="AG173" s="711"/>
      <c r="AH173" s="711"/>
      <c r="AI173" s="711"/>
      <c r="AJ173" s="711"/>
      <c r="AK173" s="711"/>
    </row>
    <row r="174" ht="15.75" customHeight="1">
      <c r="A174" s="725"/>
      <c r="B174" s="726"/>
      <c r="C174" s="727"/>
      <c r="D174" s="730"/>
      <c r="E174" s="727"/>
      <c r="F174" s="729"/>
      <c r="G174" s="730"/>
      <c r="I174" s="665" t="s">
        <v>123</v>
      </c>
      <c r="J174" s="665" t="s">
        <v>123</v>
      </c>
      <c r="AA174" s="579"/>
      <c r="AC174" s="711"/>
      <c r="AD174" s="711"/>
      <c r="AE174" s="711"/>
      <c r="AF174" s="711"/>
      <c r="AG174" s="711"/>
      <c r="AH174" s="711"/>
      <c r="AI174" s="711"/>
      <c r="AJ174" s="711"/>
      <c r="AK174" s="711"/>
    </row>
    <row r="175" ht="15.75" customHeight="1">
      <c r="A175" s="725"/>
      <c r="B175" s="726"/>
      <c r="C175" s="727"/>
      <c r="D175" s="730"/>
      <c r="E175" s="727"/>
      <c r="F175" s="729"/>
      <c r="G175" s="730"/>
      <c r="I175" s="665" t="s">
        <v>123</v>
      </c>
      <c r="J175" s="665" t="s">
        <v>123</v>
      </c>
      <c r="AA175" s="579"/>
      <c r="AC175" s="711"/>
      <c r="AD175" s="711"/>
      <c r="AE175" s="711"/>
      <c r="AF175" s="711"/>
      <c r="AG175" s="711"/>
      <c r="AH175" s="711"/>
      <c r="AI175" s="711"/>
      <c r="AJ175" s="711"/>
      <c r="AK175" s="711"/>
    </row>
    <row r="176" ht="15.75" customHeight="1">
      <c r="A176" s="725"/>
      <c r="B176" s="726"/>
      <c r="C176" s="727"/>
      <c r="D176" s="730"/>
      <c r="E176" s="727"/>
      <c r="F176" s="729"/>
      <c r="G176" s="730"/>
      <c r="I176" s="665" t="s">
        <v>123</v>
      </c>
      <c r="J176" s="665" t="s">
        <v>123</v>
      </c>
      <c r="AA176" s="579"/>
      <c r="AC176" s="711"/>
      <c r="AD176" s="711"/>
      <c r="AE176" s="711"/>
      <c r="AF176" s="711"/>
      <c r="AG176" s="711"/>
      <c r="AH176" s="711"/>
      <c r="AI176" s="711"/>
      <c r="AJ176" s="711"/>
      <c r="AK176" s="711"/>
    </row>
    <row r="177" ht="15.75" customHeight="1">
      <c r="A177" s="725"/>
      <c r="B177" s="726"/>
      <c r="C177" s="727"/>
      <c r="D177" s="730"/>
      <c r="E177" s="727"/>
      <c r="F177" s="729"/>
      <c r="G177" s="730"/>
      <c r="I177" s="665" t="s">
        <v>123</v>
      </c>
      <c r="J177" s="665" t="s">
        <v>123</v>
      </c>
      <c r="AA177" s="579"/>
      <c r="AC177" s="711"/>
      <c r="AD177" s="711"/>
      <c r="AE177" s="711"/>
      <c r="AF177" s="711"/>
      <c r="AG177" s="711"/>
      <c r="AH177" s="711"/>
      <c r="AI177" s="711"/>
      <c r="AJ177" s="711"/>
      <c r="AK177" s="711"/>
    </row>
    <row r="178" ht="15.75" customHeight="1">
      <c r="A178" s="725"/>
      <c r="B178" s="726"/>
      <c r="C178" s="727"/>
      <c r="D178" s="730"/>
      <c r="E178" s="727"/>
      <c r="F178" s="729"/>
      <c r="G178" s="730"/>
      <c r="I178" s="665" t="s">
        <v>123</v>
      </c>
      <c r="J178" s="665" t="s">
        <v>123</v>
      </c>
      <c r="AA178" s="579"/>
      <c r="AC178" s="711"/>
      <c r="AD178" s="711"/>
      <c r="AE178" s="711"/>
      <c r="AF178" s="711"/>
      <c r="AG178" s="711"/>
      <c r="AH178" s="711"/>
      <c r="AI178" s="711"/>
      <c r="AJ178" s="711"/>
      <c r="AK178" s="711"/>
    </row>
    <row r="179" ht="15.75" customHeight="1">
      <c r="A179" s="725"/>
      <c r="B179" s="726"/>
      <c r="C179" s="727"/>
      <c r="D179" s="730"/>
      <c r="E179" s="727"/>
      <c r="F179" s="729"/>
      <c r="G179" s="730"/>
      <c r="I179" s="665" t="s">
        <v>123</v>
      </c>
      <c r="J179" s="665" t="s">
        <v>123</v>
      </c>
      <c r="AA179" s="579"/>
      <c r="AC179" s="711"/>
      <c r="AD179" s="711"/>
      <c r="AE179" s="711"/>
      <c r="AF179" s="711"/>
      <c r="AG179" s="711"/>
      <c r="AH179" s="711"/>
      <c r="AI179" s="711"/>
      <c r="AJ179" s="711"/>
      <c r="AK179" s="711"/>
    </row>
    <row r="180" ht="15.75" customHeight="1">
      <c r="A180" s="725"/>
      <c r="B180" s="726"/>
      <c r="C180" s="727"/>
      <c r="D180" s="730"/>
      <c r="E180" s="727"/>
      <c r="F180" s="729"/>
      <c r="G180" s="730"/>
      <c r="I180" s="665" t="s">
        <v>123</v>
      </c>
      <c r="J180" s="665" t="s">
        <v>123</v>
      </c>
      <c r="AA180" s="579"/>
      <c r="AC180" s="711"/>
      <c r="AD180" s="711"/>
      <c r="AE180" s="711"/>
      <c r="AF180" s="711"/>
      <c r="AG180" s="711"/>
      <c r="AH180" s="711"/>
      <c r="AI180" s="711"/>
      <c r="AJ180" s="711"/>
      <c r="AK180" s="711"/>
    </row>
    <row r="181" ht="15.75" customHeight="1">
      <c r="A181" s="725"/>
      <c r="B181" s="726"/>
      <c r="C181" s="727"/>
      <c r="D181" s="730"/>
      <c r="E181" s="727"/>
      <c r="F181" s="729"/>
      <c r="G181" s="730"/>
      <c r="I181" s="665" t="s">
        <v>123</v>
      </c>
      <c r="J181" s="665" t="s">
        <v>123</v>
      </c>
      <c r="AA181" s="579"/>
      <c r="AC181" s="711"/>
      <c r="AD181" s="711"/>
      <c r="AE181" s="711"/>
      <c r="AF181" s="711"/>
      <c r="AG181" s="711"/>
      <c r="AH181" s="711"/>
      <c r="AI181" s="711"/>
      <c r="AJ181" s="711"/>
      <c r="AK181" s="711"/>
    </row>
    <row r="182" ht="15.75" customHeight="1">
      <c r="A182" s="725"/>
      <c r="B182" s="726"/>
      <c r="C182" s="727"/>
      <c r="D182" s="730"/>
      <c r="E182" s="727"/>
      <c r="F182" s="729"/>
      <c r="G182" s="730"/>
      <c r="I182" s="665" t="s">
        <v>123</v>
      </c>
      <c r="J182" s="665" t="s">
        <v>123</v>
      </c>
      <c r="AA182" s="579"/>
      <c r="AC182" s="711"/>
      <c r="AD182" s="711"/>
      <c r="AE182" s="711"/>
      <c r="AF182" s="711"/>
      <c r="AG182" s="711"/>
      <c r="AH182" s="711"/>
      <c r="AI182" s="711"/>
      <c r="AJ182" s="711"/>
      <c r="AK182" s="711"/>
    </row>
    <row r="183" ht="15.75" customHeight="1">
      <c r="A183" s="725"/>
      <c r="B183" s="726"/>
      <c r="C183" s="727"/>
      <c r="D183" s="730"/>
      <c r="E183" s="727"/>
      <c r="F183" s="729"/>
      <c r="G183" s="730"/>
      <c r="I183" s="665" t="s">
        <v>123</v>
      </c>
      <c r="J183" s="665" t="s">
        <v>123</v>
      </c>
      <c r="AA183" s="579"/>
      <c r="AC183" s="711"/>
      <c r="AD183" s="711"/>
      <c r="AE183" s="711"/>
      <c r="AF183" s="711"/>
      <c r="AG183" s="711"/>
      <c r="AH183" s="711"/>
      <c r="AI183" s="711"/>
      <c r="AJ183" s="711"/>
      <c r="AK183" s="711"/>
    </row>
    <row r="184" ht="15.75" customHeight="1">
      <c r="A184" s="725"/>
      <c r="B184" s="726"/>
      <c r="C184" s="727"/>
      <c r="D184" s="730"/>
      <c r="E184" s="727"/>
      <c r="F184" s="729"/>
      <c r="G184" s="730"/>
      <c r="I184" s="665" t="s">
        <v>123</v>
      </c>
      <c r="J184" s="665" t="s">
        <v>123</v>
      </c>
      <c r="AA184" s="579"/>
      <c r="AC184" s="711"/>
      <c r="AD184" s="711"/>
      <c r="AE184" s="711"/>
      <c r="AF184" s="711"/>
      <c r="AG184" s="711"/>
      <c r="AH184" s="711"/>
      <c r="AI184" s="711"/>
      <c r="AJ184" s="711"/>
      <c r="AK184" s="711"/>
    </row>
    <row r="185" ht="15.75" customHeight="1">
      <c r="A185" s="725"/>
      <c r="B185" s="726"/>
      <c r="C185" s="727"/>
      <c r="D185" s="730"/>
      <c r="E185" s="727"/>
      <c r="F185" s="729"/>
      <c r="G185" s="730"/>
      <c r="I185" s="665" t="s">
        <v>123</v>
      </c>
      <c r="J185" s="665" t="s">
        <v>123</v>
      </c>
      <c r="AA185" s="579"/>
      <c r="AC185" s="711"/>
      <c r="AD185" s="711"/>
      <c r="AE185" s="711"/>
      <c r="AF185" s="711"/>
      <c r="AG185" s="711"/>
      <c r="AH185" s="711"/>
      <c r="AI185" s="711"/>
      <c r="AJ185" s="711"/>
      <c r="AK185" s="711"/>
    </row>
    <row r="186" ht="15.75" customHeight="1">
      <c r="A186" s="725"/>
      <c r="B186" s="726"/>
      <c r="C186" s="727"/>
      <c r="D186" s="730"/>
      <c r="E186" s="727"/>
      <c r="F186" s="729"/>
      <c r="G186" s="730"/>
      <c r="I186" s="665" t="s">
        <v>123</v>
      </c>
      <c r="J186" s="665" t="s">
        <v>123</v>
      </c>
      <c r="AA186" s="579"/>
      <c r="AC186" s="711"/>
      <c r="AD186" s="711"/>
      <c r="AE186" s="711"/>
      <c r="AF186" s="711"/>
      <c r="AG186" s="711"/>
      <c r="AH186" s="711"/>
      <c r="AI186" s="711"/>
      <c r="AJ186" s="711"/>
      <c r="AK186" s="711"/>
    </row>
    <row r="187" ht="15.75" customHeight="1">
      <c r="A187" s="725"/>
      <c r="B187" s="726"/>
      <c r="C187" s="727"/>
      <c r="D187" s="730"/>
      <c r="E187" s="727"/>
      <c r="F187" s="729"/>
      <c r="G187" s="730"/>
      <c r="I187" s="665" t="s">
        <v>123</v>
      </c>
      <c r="J187" s="665" t="s">
        <v>123</v>
      </c>
      <c r="AA187" s="579"/>
      <c r="AC187" s="711"/>
      <c r="AD187" s="711"/>
      <c r="AE187" s="711"/>
      <c r="AF187" s="711"/>
      <c r="AG187" s="711"/>
      <c r="AH187" s="711"/>
      <c r="AI187" s="711"/>
      <c r="AJ187" s="711"/>
      <c r="AK187" s="711"/>
    </row>
    <row r="188" ht="15.75" customHeight="1">
      <c r="A188" s="725"/>
      <c r="B188" s="726"/>
      <c r="C188" s="727"/>
      <c r="D188" s="730"/>
      <c r="E188" s="727"/>
      <c r="F188" s="729"/>
      <c r="G188" s="730"/>
      <c r="I188" s="665" t="s">
        <v>123</v>
      </c>
      <c r="J188" s="665" t="s">
        <v>123</v>
      </c>
      <c r="AA188" s="579"/>
      <c r="AC188" s="711"/>
      <c r="AD188" s="711"/>
      <c r="AE188" s="711"/>
      <c r="AF188" s="711"/>
      <c r="AG188" s="711"/>
      <c r="AH188" s="711"/>
      <c r="AI188" s="711"/>
      <c r="AJ188" s="711"/>
      <c r="AK188" s="711"/>
    </row>
    <row r="189" ht="15.75" customHeight="1">
      <c r="A189" s="725"/>
      <c r="B189" s="726"/>
      <c r="C189" s="727"/>
      <c r="D189" s="730"/>
      <c r="E189" s="727"/>
      <c r="F189" s="729"/>
      <c r="G189" s="730"/>
      <c r="I189" s="665" t="s">
        <v>123</v>
      </c>
      <c r="J189" s="665" t="s">
        <v>123</v>
      </c>
      <c r="AA189" s="579"/>
      <c r="AC189" s="711"/>
      <c r="AD189" s="711"/>
      <c r="AE189" s="711"/>
      <c r="AF189" s="711"/>
      <c r="AG189" s="711"/>
      <c r="AH189" s="711"/>
      <c r="AI189" s="711"/>
      <c r="AJ189" s="711"/>
      <c r="AK189" s="711"/>
    </row>
    <row r="190" ht="15.75" customHeight="1">
      <c r="A190" s="725"/>
      <c r="B190" s="726"/>
      <c r="C190" s="727"/>
      <c r="D190" s="730"/>
      <c r="E190" s="727"/>
      <c r="F190" s="729"/>
      <c r="G190" s="730"/>
      <c r="I190" s="665" t="s">
        <v>123</v>
      </c>
      <c r="J190" s="665" t="s">
        <v>123</v>
      </c>
      <c r="AA190" s="579"/>
      <c r="AC190" s="711"/>
      <c r="AD190" s="711"/>
      <c r="AE190" s="711"/>
      <c r="AF190" s="711"/>
      <c r="AG190" s="711"/>
      <c r="AH190" s="711"/>
      <c r="AI190" s="711"/>
      <c r="AJ190" s="711"/>
      <c r="AK190" s="711"/>
    </row>
    <row r="191" ht="15.75" customHeight="1">
      <c r="A191" s="725"/>
      <c r="B191" s="726"/>
      <c r="C191" s="727"/>
      <c r="D191" s="730"/>
      <c r="E191" s="727"/>
      <c r="F191" s="729"/>
      <c r="G191" s="730"/>
      <c r="I191" s="665" t="s">
        <v>123</v>
      </c>
      <c r="J191" s="665" t="s">
        <v>123</v>
      </c>
      <c r="AA191" s="579"/>
      <c r="AC191" s="711"/>
      <c r="AD191" s="711"/>
      <c r="AE191" s="711"/>
      <c r="AF191" s="711"/>
      <c r="AG191" s="711"/>
      <c r="AH191" s="711"/>
      <c r="AI191" s="711"/>
      <c r="AJ191" s="711"/>
      <c r="AK191" s="711"/>
    </row>
    <row r="192" ht="15.75" customHeight="1">
      <c r="A192" s="725"/>
      <c r="B192" s="726"/>
      <c r="C192" s="727"/>
      <c r="D192" s="730"/>
      <c r="E192" s="727"/>
      <c r="F192" s="729"/>
      <c r="G192" s="730"/>
      <c r="I192" s="665" t="s">
        <v>123</v>
      </c>
      <c r="J192" s="665" t="s">
        <v>123</v>
      </c>
      <c r="AA192" s="579"/>
      <c r="AC192" s="711"/>
      <c r="AD192" s="711"/>
      <c r="AE192" s="711"/>
      <c r="AF192" s="711"/>
      <c r="AG192" s="711"/>
      <c r="AH192" s="711"/>
      <c r="AI192" s="711"/>
      <c r="AJ192" s="711"/>
      <c r="AK192" s="711"/>
    </row>
    <row r="193" ht="15.75" customHeight="1">
      <c r="A193" s="725"/>
      <c r="B193" s="726"/>
      <c r="C193" s="727"/>
      <c r="D193" s="730"/>
      <c r="E193" s="727"/>
      <c r="F193" s="729"/>
      <c r="G193" s="730"/>
      <c r="I193" s="665" t="s">
        <v>123</v>
      </c>
      <c r="J193" s="665" t="s">
        <v>123</v>
      </c>
      <c r="AA193" s="579"/>
      <c r="AC193" s="711"/>
      <c r="AD193" s="711"/>
      <c r="AE193" s="711"/>
      <c r="AF193" s="711"/>
      <c r="AG193" s="711"/>
      <c r="AH193" s="711"/>
      <c r="AI193" s="711"/>
      <c r="AJ193" s="711"/>
      <c r="AK193" s="711"/>
    </row>
    <row r="194" ht="15.75" customHeight="1">
      <c r="A194" s="725"/>
      <c r="B194" s="726"/>
      <c r="C194" s="727"/>
      <c r="D194" s="730"/>
      <c r="E194" s="727"/>
      <c r="F194" s="729"/>
      <c r="G194" s="730"/>
      <c r="I194" s="665" t="s">
        <v>123</v>
      </c>
      <c r="J194" s="665" t="s">
        <v>123</v>
      </c>
      <c r="AA194" s="579"/>
      <c r="AC194" s="711"/>
      <c r="AD194" s="711"/>
      <c r="AE194" s="711"/>
      <c r="AF194" s="711"/>
      <c r="AG194" s="711"/>
      <c r="AH194" s="711"/>
      <c r="AI194" s="711"/>
      <c r="AJ194" s="711"/>
      <c r="AK194" s="711"/>
    </row>
    <row r="195" ht="15.75" customHeight="1">
      <c r="A195" s="725"/>
      <c r="B195" s="726"/>
      <c r="C195" s="727"/>
      <c r="D195" s="730"/>
      <c r="E195" s="727"/>
      <c r="F195" s="729"/>
      <c r="G195" s="730"/>
      <c r="I195" s="665" t="s">
        <v>123</v>
      </c>
      <c r="J195" s="665" t="s">
        <v>123</v>
      </c>
      <c r="AA195" s="579"/>
      <c r="AC195" s="711"/>
      <c r="AD195" s="711"/>
      <c r="AE195" s="711"/>
      <c r="AF195" s="711"/>
      <c r="AG195" s="711"/>
      <c r="AH195" s="711"/>
      <c r="AI195" s="711"/>
      <c r="AJ195" s="711"/>
      <c r="AK195" s="711"/>
    </row>
    <row r="196" ht="15.75" customHeight="1">
      <c r="A196" s="725"/>
      <c r="B196" s="726"/>
      <c r="C196" s="727"/>
      <c r="D196" s="730"/>
      <c r="E196" s="727"/>
      <c r="F196" s="729"/>
      <c r="G196" s="730"/>
      <c r="I196" s="665" t="s">
        <v>123</v>
      </c>
      <c r="J196" s="665" t="s">
        <v>123</v>
      </c>
      <c r="AA196" s="579"/>
      <c r="AC196" s="711"/>
      <c r="AD196" s="711"/>
      <c r="AE196" s="711"/>
      <c r="AF196" s="711"/>
      <c r="AG196" s="711"/>
      <c r="AH196" s="711"/>
      <c r="AI196" s="711"/>
      <c r="AJ196" s="711"/>
      <c r="AK196" s="711"/>
    </row>
    <row r="197" ht="15.75" customHeight="1">
      <c r="A197" s="725"/>
      <c r="B197" s="726"/>
      <c r="C197" s="727"/>
      <c r="D197" s="730"/>
      <c r="E197" s="727"/>
      <c r="F197" s="729"/>
      <c r="G197" s="730"/>
      <c r="I197" s="665" t="s">
        <v>123</v>
      </c>
      <c r="J197" s="665" t="s">
        <v>123</v>
      </c>
      <c r="AA197" s="579"/>
      <c r="AC197" s="711"/>
      <c r="AD197" s="711"/>
      <c r="AE197" s="711"/>
      <c r="AF197" s="711"/>
      <c r="AG197" s="711"/>
      <c r="AH197" s="711"/>
      <c r="AI197" s="711"/>
      <c r="AJ197" s="711"/>
      <c r="AK197" s="711"/>
    </row>
    <row r="198" ht="15.75" customHeight="1">
      <c r="A198" s="725"/>
      <c r="B198" s="726"/>
      <c r="C198" s="727"/>
      <c r="D198" s="730"/>
      <c r="E198" s="727"/>
      <c r="F198" s="729"/>
      <c r="G198" s="730"/>
      <c r="I198" s="665" t="s">
        <v>123</v>
      </c>
      <c r="J198" s="665" t="s">
        <v>123</v>
      </c>
      <c r="AA198" s="579"/>
      <c r="AC198" s="711"/>
      <c r="AD198" s="711"/>
      <c r="AE198" s="711"/>
      <c r="AF198" s="711"/>
      <c r="AG198" s="711"/>
      <c r="AH198" s="711"/>
      <c r="AI198" s="711"/>
      <c r="AJ198" s="711"/>
      <c r="AK198" s="711"/>
    </row>
    <row r="199" ht="15.75" customHeight="1">
      <c r="A199" s="725"/>
      <c r="B199" s="726"/>
      <c r="C199" s="727"/>
      <c r="D199" s="730"/>
      <c r="E199" s="727"/>
      <c r="F199" s="729"/>
      <c r="G199" s="730"/>
      <c r="I199" s="665" t="s">
        <v>123</v>
      </c>
      <c r="J199" s="665" t="s">
        <v>123</v>
      </c>
      <c r="AA199" s="579"/>
      <c r="AC199" s="711"/>
      <c r="AD199" s="711"/>
      <c r="AE199" s="711"/>
      <c r="AF199" s="711"/>
      <c r="AG199" s="711"/>
      <c r="AH199" s="711"/>
      <c r="AI199" s="711"/>
      <c r="AJ199" s="711"/>
      <c r="AK199" s="711"/>
    </row>
    <row r="200" ht="15.75" customHeight="1">
      <c r="A200" s="725"/>
      <c r="B200" s="726"/>
      <c r="C200" s="727"/>
      <c r="D200" s="730"/>
      <c r="E200" s="727"/>
      <c r="F200" s="729"/>
      <c r="G200" s="730"/>
      <c r="I200" s="665" t="s">
        <v>123</v>
      </c>
      <c r="J200" s="665" t="s">
        <v>123</v>
      </c>
      <c r="AA200" s="579"/>
      <c r="AC200" s="711"/>
      <c r="AD200" s="711"/>
      <c r="AE200" s="711"/>
      <c r="AF200" s="711"/>
      <c r="AG200" s="711"/>
      <c r="AH200" s="711"/>
      <c r="AI200" s="711"/>
      <c r="AJ200" s="711"/>
      <c r="AK200" s="711"/>
    </row>
    <row r="201" ht="15.75" customHeight="1">
      <c r="A201" s="725"/>
      <c r="B201" s="726"/>
      <c r="C201" s="727"/>
      <c r="D201" s="730"/>
      <c r="E201" s="727"/>
      <c r="F201" s="729"/>
      <c r="G201" s="730"/>
      <c r="I201" s="665" t="s">
        <v>123</v>
      </c>
      <c r="J201" s="665" t="s">
        <v>123</v>
      </c>
      <c r="AA201" s="579"/>
      <c r="AC201" s="711"/>
      <c r="AD201" s="711"/>
      <c r="AE201" s="711"/>
      <c r="AF201" s="711"/>
      <c r="AG201" s="711"/>
      <c r="AH201" s="711"/>
      <c r="AI201" s="711"/>
      <c r="AJ201" s="711"/>
      <c r="AK201" s="711"/>
    </row>
    <row r="202" ht="15.75" customHeight="1">
      <c r="A202" s="725"/>
      <c r="B202" s="726"/>
      <c r="C202" s="727"/>
      <c r="D202" s="730"/>
      <c r="E202" s="727"/>
      <c r="F202" s="729"/>
      <c r="G202" s="730"/>
      <c r="I202" s="665" t="s">
        <v>123</v>
      </c>
      <c r="J202" s="665" t="s">
        <v>123</v>
      </c>
      <c r="AA202" s="579"/>
      <c r="AC202" s="711"/>
      <c r="AD202" s="711"/>
      <c r="AE202" s="711"/>
      <c r="AF202" s="711"/>
      <c r="AG202" s="711"/>
      <c r="AH202" s="711"/>
      <c r="AI202" s="711"/>
      <c r="AJ202" s="711"/>
      <c r="AK202" s="711"/>
    </row>
    <row r="203" ht="15.75" customHeight="1">
      <c r="A203" s="725"/>
      <c r="B203" s="726"/>
      <c r="C203" s="727"/>
      <c r="D203" s="730"/>
      <c r="E203" s="727"/>
      <c r="F203" s="729"/>
      <c r="G203" s="730"/>
      <c r="I203" s="665" t="s">
        <v>123</v>
      </c>
      <c r="J203" s="665" t="s">
        <v>123</v>
      </c>
      <c r="AA203" s="579"/>
      <c r="AC203" s="711"/>
      <c r="AD203" s="711"/>
      <c r="AE203" s="711"/>
      <c r="AF203" s="711"/>
      <c r="AG203" s="711"/>
      <c r="AH203" s="711"/>
      <c r="AI203" s="711"/>
      <c r="AJ203" s="711"/>
      <c r="AK203" s="711"/>
    </row>
    <row r="204" ht="15.75" customHeight="1">
      <c r="A204" s="725"/>
      <c r="B204" s="726"/>
      <c r="C204" s="727"/>
      <c r="D204" s="730"/>
      <c r="E204" s="727"/>
      <c r="F204" s="729"/>
      <c r="G204" s="730"/>
      <c r="I204" s="665" t="s">
        <v>123</v>
      </c>
      <c r="J204" s="665" t="s">
        <v>123</v>
      </c>
      <c r="AA204" s="579"/>
      <c r="AC204" s="711"/>
      <c r="AD204" s="711"/>
      <c r="AE204" s="711"/>
      <c r="AF204" s="711"/>
      <c r="AG204" s="711"/>
      <c r="AH204" s="711"/>
      <c r="AI204" s="711"/>
      <c r="AJ204" s="711"/>
      <c r="AK204" s="711"/>
    </row>
    <row r="205" ht="15.75" customHeight="1">
      <c r="A205" s="725"/>
      <c r="B205" s="726"/>
      <c r="C205" s="727"/>
      <c r="D205" s="730"/>
      <c r="E205" s="727"/>
      <c r="F205" s="729"/>
      <c r="G205" s="730"/>
      <c r="I205" s="665" t="s">
        <v>123</v>
      </c>
      <c r="J205" s="665" t="s">
        <v>123</v>
      </c>
      <c r="AA205" s="579"/>
      <c r="AC205" s="711"/>
      <c r="AD205" s="711"/>
      <c r="AE205" s="711"/>
      <c r="AF205" s="711"/>
      <c r="AG205" s="711"/>
      <c r="AH205" s="711"/>
      <c r="AI205" s="711"/>
      <c r="AJ205" s="711"/>
      <c r="AK205" s="711"/>
    </row>
    <row r="206" ht="15.75" customHeight="1">
      <c r="A206" s="725"/>
      <c r="B206" s="726"/>
      <c r="C206" s="727"/>
      <c r="D206" s="730"/>
      <c r="E206" s="727"/>
      <c r="F206" s="729"/>
      <c r="G206" s="730"/>
      <c r="I206" s="665" t="s">
        <v>123</v>
      </c>
      <c r="J206" s="665" t="s">
        <v>123</v>
      </c>
      <c r="AA206" s="579"/>
      <c r="AC206" s="711"/>
      <c r="AD206" s="711"/>
      <c r="AE206" s="711"/>
      <c r="AF206" s="711"/>
      <c r="AG206" s="711"/>
      <c r="AH206" s="711"/>
      <c r="AI206" s="711"/>
      <c r="AJ206" s="711"/>
      <c r="AK206" s="711"/>
    </row>
    <row r="207" ht="15.75" customHeight="1">
      <c r="A207" s="725"/>
      <c r="B207" s="726"/>
      <c r="C207" s="727"/>
      <c r="D207" s="730"/>
      <c r="E207" s="727"/>
      <c r="F207" s="729"/>
      <c r="G207" s="730"/>
      <c r="I207" s="665" t="s">
        <v>123</v>
      </c>
      <c r="J207" s="665" t="s">
        <v>123</v>
      </c>
      <c r="AA207" s="579"/>
      <c r="AC207" s="711"/>
      <c r="AD207" s="711"/>
      <c r="AE207" s="711"/>
      <c r="AF207" s="711"/>
      <c r="AG207" s="711"/>
      <c r="AH207" s="711"/>
      <c r="AI207" s="711"/>
      <c r="AJ207" s="711"/>
      <c r="AK207" s="711"/>
    </row>
    <row r="208" ht="15.75" customHeight="1">
      <c r="A208" s="725"/>
      <c r="B208" s="726"/>
      <c r="C208" s="727"/>
      <c r="D208" s="730"/>
      <c r="E208" s="727"/>
      <c r="F208" s="729"/>
      <c r="G208" s="730"/>
      <c r="I208" s="665" t="s">
        <v>123</v>
      </c>
      <c r="J208" s="665" t="s">
        <v>123</v>
      </c>
      <c r="AA208" s="579"/>
      <c r="AC208" s="711"/>
      <c r="AD208" s="711"/>
      <c r="AE208" s="711"/>
      <c r="AF208" s="711"/>
      <c r="AG208" s="711"/>
      <c r="AH208" s="711"/>
      <c r="AI208" s="711"/>
      <c r="AJ208" s="711"/>
      <c r="AK208" s="711"/>
    </row>
    <row r="209" ht="15.75" customHeight="1">
      <c r="A209" s="725"/>
      <c r="B209" s="726"/>
      <c r="C209" s="727"/>
      <c r="D209" s="730"/>
      <c r="E209" s="727"/>
      <c r="F209" s="729"/>
      <c r="G209" s="730"/>
      <c r="I209" s="665" t="s">
        <v>123</v>
      </c>
      <c r="J209" s="665" t="s">
        <v>123</v>
      </c>
      <c r="AA209" s="579"/>
      <c r="AC209" s="711"/>
      <c r="AD209" s="711"/>
      <c r="AE209" s="711"/>
      <c r="AF209" s="711"/>
      <c r="AG209" s="711"/>
      <c r="AH209" s="711"/>
      <c r="AI209" s="711"/>
      <c r="AJ209" s="711"/>
      <c r="AK209" s="711"/>
    </row>
    <row r="210" ht="15.75" customHeight="1">
      <c r="A210" s="725"/>
      <c r="B210" s="726"/>
      <c r="C210" s="727"/>
      <c r="D210" s="730"/>
      <c r="E210" s="727"/>
      <c r="F210" s="729"/>
      <c r="G210" s="730"/>
      <c r="I210" s="665" t="s">
        <v>123</v>
      </c>
      <c r="J210" s="665" t="s">
        <v>123</v>
      </c>
      <c r="AA210" s="579"/>
      <c r="AC210" s="711"/>
      <c r="AD210" s="711"/>
      <c r="AE210" s="711"/>
      <c r="AF210" s="711"/>
      <c r="AG210" s="711"/>
      <c r="AH210" s="711"/>
      <c r="AI210" s="711"/>
      <c r="AJ210" s="711"/>
      <c r="AK210" s="711"/>
    </row>
    <row r="211" ht="15.75" customHeight="1">
      <c r="A211" s="725"/>
      <c r="B211" s="726"/>
      <c r="C211" s="727"/>
      <c r="D211" s="730"/>
      <c r="E211" s="727"/>
      <c r="F211" s="729"/>
      <c r="G211" s="730"/>
      <c r="I211" s="665" t="s">
        <v>123</v>
      </c>
      <c r="J211" s="665" t="s">
        <v>123</v>
      </c>
      <c r="AA211" s="579"/>
      <c r="AC211" s="711"/>
      <c r="AD211" s="711"/>
      <c r="AE211" s="711"/>
      <c r="AF211" s="711"/>
      <c r="AG211" s="711"/>
      <c r="AH211" s="711"/>
      <c r="AI211" s="711"/>
      <c r="AJ211" s="711"/>
      <c r="AK211" s="711"/>
    </row>
    <row r="212" ht="15.75" customHeight="1">
      <c r="A212" s="725"/>
      <c r="B212" s="726"/>
      <c r="C212" s="727"/>
      <c r="D212" s="730"/>
      <c r="E212" s="727"/>
      <c r="F212" s="729"/>
      <c r="G212" s="730"/>
      <c r="I212" s="665" t="s">
        <v>123</v>
      </c>
      <c r="J212" s="665" t="s">
        <v>123</v>
      </c>
      <c r="AA212" s="579"/>
      <c r="AC212" s="711"/>
      <c r="AD212" s="711"/>
      <c r="AE212" s="711"/>
      <c r="AF212" s="711"/>
      <c r="AG212" s="711"/>
      <c r="AH212" s="711"/>
      <c r="AI212" s="711"/>
      <c r="AJ212" s="711"/>
      <c r="AK212" s="711"/>
    </row>
    <row r="213" ht="15.75" customHeight="1">
      <c r="A213" s="725"/>
      <c r="B213" s="726"/>
      <c r="C213" s="727"/>
      <c r="D213" s="730"/>
      <c r="E213" s="727"/>
      <c r="F213" s="729"/>
      <c r="G213" s="730"/>
      <c r="I213" s="665" t="s">
        <v>123</v>
      </c>
      <c r="J213" s="665" t="s">
        <v>123</v>
      </c>
      <c r="AA213" s="579"/>
      <c r="AC213" s="711"/>
      <c r="AD213" s="711"/>
      <c r="AE213" s="711"/>
      <c r="AF213" s="711"/>
      <c r="AG213" s="711"/>
      <c r="AH213" s="711"/>
      <c r="AI213" s="711"/>
      <c r="AJ213" s="711"/>
      <c r="AK213" s="711"/>
    </row>
    <row r="214" ht="15.75" customHeight="1">
      <c r="A214" s="725"/>
      <c r="B214" s="726"/>
      <c r="C214" s="727"/>
      <c r="D214" s="730"/>
      <c r="E214" s="727"/>
      <c r="F214" s="729"/>
      <c r="G214" s="730"/>
      <c r="I214" s="665" t="s">
        <v>123</v>
      </c>
      <c r="J214" s="665" t="s">
        <v>123</v>
      </c>
      <c r="AA214" s="579"/>
      <c r="AC214" s="711"/>
      <c r="AD214" s="711"/>
      <c r="AE214" s="711"/>
      <c r="AF214" s="711"/>
      <c r="AG214" s="711"/>
      <c r="AH214" s="711"/>
      <c r="AI214" s="711"/>
      <c r="AJ214" s="711"/>
      <c r="AK214" s="711"/>
    </row>
    <row r="215" ht="15.75" customHeight="1">
      <c r="A215" s="725"/>
      <c r="B215" s="726"/>
      <c r="C215" s="727"/>
      <c r="D215" s="730"/>
      <c r="E215" s="727"/>
      <c r="F215" s="729"/>
      <c r="G215" s="730"/>
      <c r="I215" s="665" t="s">
        <v>123</v>
      </c>
      <c r="J215" s="665" t="s">
        <v>123</v>
      </c>
      <c r="AA215" s="579"/>
      <c r="AC215" s="711"/>
      <c r="AD215" s="711"/>
      <c r="AE215" s="711"/>
      <c r="AF215" s="711"/>
      <c r="AG215" s="711"/>
      <c r="AH215" s="711"/>
      <c r="AI215" s="711"/>
      <c r="AJ215" s="711"/>
      <c r="AK215" s="711"/>
    </row>
    <row r="216" ht="15.75" customHeight="1">
      <c r="A216" s="725"/>
      <c r="B216" s="726"/>
      <c r="C216" s="727"/>
      <c r="D216" s="730"/>
      <c r="E216" s="727"/>
      <c r="F216" s="729"/>
      <c r="G216" s="730"/>
      <c r="I216" s="665" t="s">
        <v>123</v>
      </c>
      <c r="J216" s="665" t="s">
        <v>123</v>
      </c>
      <c r="AA216" s="579"/>
      <c r="AC216" s="711"/>
      <c r="AD216" s="711"/>
      <c r="AE216" s="711"/>
      <c r="AF216" s="711"/>
      <c r="AG216" s="711"/>
      <c r="AH216" s="711"/>
      <c r="AI216" s="711"/>
      <c r="AJ216" s="711"/>
      <c r="AK216" s="711"/>
    </row>
    <row r="217" ht="15.75" customHeight="1">
      <c r="A217" s="725"/>
      <c r="B217" s="726"/>
      <c r="C217" s="727"/>
      <c r="D217" s="730"/>
      <c r="E217" s="727"/>
      <c r="F217" s="729"/>
      <c r="G217" s="730"/>
      <c r="I217" s="665" t="s">
        <v>123</v>
      </c>
      <c r="J217" s="665" t="s">
        <v>123</v>
      </c>
      <c r="AA217" s="579"/>
      <c r="AC217" s="711"/>
      <c r="AD217" s="711"/>
      <c r="AE217" s="711"/>
      <c r="AF217" s="711"/>
      <c r="AG217" s="711"/>
      <c r="AH217" s="711"/>
      <c r="AI217" s="711"/>
      <c r="AJ217" s="711"/>
      <c r="AK217" s="711"/>
    </row>
    <row r="218" ht="15.75" customHeight="1">
      <c r="A218" s="725"/>
      <c r="B218" s="726"/>
      <c r="C218" s="727"/>
      <c r="D218" s="730"/>
      <c r="E218" s="727"/>
      <c r="F218" s="729"/>
      <c r="G218" s="730"/>
      <c r="I218" s="665" t="s">
        <v>123</v>
      </c>
      <c r="J218" s="665" t="s">
        <v>123</v>
      </c>
      <c r="AA218" s="579"/>
      <c r="AC218" s="711"/>
      <c r="AD218" s="711"/>
      <c r="AE218" s="711"/>
      <c r="AF218" s="711"/>
      <c r="AG218" s="711"/>
      <c r="AH218" s="711"/>
      <c r="AI218" s="711"/>
      <c r="AJ218" s="711"/>
      <c r="AK218" s="711"/>
    </row>
    <row r="219" ht="15.75" customHeight="1">
      <c r="A219" s="725"/>
      <c r="B219" s="726"/>
      <c r="C219" s="727"/>
      <c r="D219" s="730"/>
      <c r="E219" s="727"/>
      <c r="F219" s="729"/>
      <c r="G219" s="730"/>
      <c r="I219" s="665" t="s">
        <v>123</v>
      </c>
      <c r="J219" s="665" t="s">
        <v>123</v>
      </c>
      <c r="AA219" s="579"/>
      <c r="AC219" s="711"/>
      <c r="AD219" s="711"/>
      <c r="AE219" s="711"/>
      <c r="AF219" s="711"/>
      <c r="AG219" s="711"/>
      <c r="AH219" s="711"/>
      <c r="AI219" s="711"/>
      <c r="AJ219" s="711"/>
      <c r="AK219" s="711"/>
    </row>
    <row r="220" ht="15.75" customHeight="1">
      <c r="A220" s="725"/>
      <c r="B220" s="726"/>
      <c r="C220" s="727"/>
      <c r="D220" s="730"/>
      <c r="E220" s="727"/>
      <c r="F220" s="729"/>
      <c r="G220" s="730"/>
      <c r="I220" s="665" t="s">
        <v>123</v>
      </c>
      <c r="J220" s="665" t="s">
        <v>123</v>
      </c>
      <c r="AA220" s="579"/>
      <c r="AC220" s="711"/>
      <c r="AD220" s="711"/>
      <c r="AE220" s="711"/>
      <c r="AF220" s="711"/>
      <c r="AG220" s="711"/>
      <c r="AH220" s="711"/>
      <c r="AI220" s="711"/>
      <c r="AJ220" s="711"/>
      <c r="AK220" s="711"/>
    </row>
    <row r="221" ht="15.75" customHeight="1">
      <c r="A221" s="725"/>
      <c r="B221" s="726"/>
      <c r="C221" s="727"/>
      <c r="D221" s="730"/>
      <c r="E221" s="727"/>
      <c r="F221" s="729"/>
      <c r="G221" s="730"/>
      <c r="I221" s="665" t="s">
        <v>123</v>
      </c>
      <c r="J221" s="665" t="s">
        <v>123</v>
      </c>
      <c r="AA221" s="579"/>
      <c r="AC221" s="711"/>
      <c r="AD221" s="711"/>
      <c r="AE221" s="711"/>
      <c r="AF221" s="711"/>
      <c r="AG221" s="711"/>
      <c r="AH221" s="711"/>
      <c r="AI221" s="711"/>
      <c r="AJ221" s="711"/>
      <c r="AK221" s="711"/>
    </row>
    <row r="222" ht="15.75" customHeight="1">
      <c r="A222" s="725"/>
      <c r="B222" s="726"/>
      <c r="C222" s="727"/>
      <c r="D222" s="730"/>
      <c r="E222" s="727"/>
      <c r="F222" s="729"/>
      <c r="G222" s="730"/>
      <c r="I222" s="665" t="s">
        <v>123</v>
      </c>
      <c r="J222" s="665" t="s">
        <v>123</v>
      </c>
      <c r="AA222" s="579"/>
      <c r="AC222" s="711"/>
      <c r="AD222" s="711"/>
      <c r="AE222" s="711"/>
      <c r="AF222" s="711"/>
      <c r="AG222" s="711"/>
      <c r="AH222" s="711"/>
      <c r="AI222" s="711"/>
      <c r="AJ222" s="711"/>
      <c r="AK222" s="711"/>
    </row>
    <row r="223" ht="15.75" customHeight="1">
      <c r="A223" s="725"/>
      <c r="B223" s="726"/>
      <c r="C223" s="727"/>
      <c r="D223" s="730"/>
      <c r="E223" s="727"/>
      <c r="F223" s="729"/>
      <c r="G223" s="730"/>
      <c r="I223" s="665" t="s">
        <v>123</v>
      </c>
      <c r="J223" s="665" t="s">
        <v>123</v>
      </c>
      <c r="AA223" s="579"/>
      <c r="AC223" s="711"/>
      <c r="AD223" s="711"/>
      <c r="AE223" s="711"/>
      <c r="AF223" s="711"/>
      <c r="AG223" s="711"/>
      <c r="AH223" s="711"/>
      <c r="AI223" s="711"/>
      <c r="AJ223" s="711"/>
      <c r="AK223" s="711"/>
    </row>
    <row r="224" ht="15.75" customHeight="1">
      <c r="A224" s="725"/>
      <c r="B224" s="726"/>
      <c r="C224" s="727"/>
      <c r="D224" s="730"/>
      <c r="E224" s="727"/>
      <c r="F224" s="729"/>
      <c r="G224" s="730"/>
      <c r="I224" s="665" t="s">
        <v>123</v>
      </c>
      <c r="J224" s="665" t="s">
        <v>123</v>
      </c>
      <c r="AA224" s="579"/>
      <c r="AC224" s="711"/>
      <c r="AD224" s="711"/>
      <c r="AE224" s="711"/>
      <c r="AF224" s="711"/>
      <c r="AG224" s="711"/>
      <c r="AH224" s="711"/>
      <c r="AI224" s="711"/>
      <c r="AJ224" s="711"/>
      <c r="AK224" s="711"/>
    </row>
    <row r="225" ht="15.75" customHeight="1">
      <c r="A225" s="725"/>
      <c r="B225" s="726"/>
      <c r="C225" s="727"/>
      <c r="D225" s="730"/>
      <c r="E225" s="727"/>
      <c r="F225" s="729"/>
      <c r="G225" s="730"/>
      <c r="I225" s="665" t="s">
        <v>123</v>
      </c>
      <c r="J225" s="665" t="s">
        <v>123</v>
      </c>
      <c r="AA225" s="579"/>
      <c r="AC225" s="711"/>
      <c r="AD225" s="711"/>
      <c r="AE225" s="711"/>
      <c r="AF225" s="711"/>
      <c r="AG225" s="711"/>
      <c r="AH225" s="711"/>
      <c r="AI225" s="711"/>
      <c r="AJ225" s="711"/>
      <c r="AK225" s="711"/>
    </row>
    <row r="226" ht="15.75" customHeight="1">
      <c r="A226" s="725"/>
      <c r="B226" s="726"/>
      <c r="C226" s="727"/>
      <c r="D226" s="730"/>
      <c r="E226" s="727"/>
      <c r="F226" s="729"/>
      <c r="G226" s="730"/>
      <c r="I226" s="665" t="s">
        <v>123</v>
      </c>
      <c r="J226" s="665" t="s">
        <v>123</v>
      </c>
      <c r="AA226" s="579"/>
      <c r="AC226" s="711"/>
      <c r="AD226" s="711"/>
      <c r="AE226" s="711"/>
      <c r="AF226" s="711"/>
      <c r="AG226" s="711"/>
      <c r="AH226" s="711"/>
      <c r="AI226" s="711"/>
      <c r="AJ226" s="711"/>
      <c r="AK226" s="711"/>
    </row>
    <row r="227" ht="15.75" customHeight="1">
      <c r="A227" s="725"/>
      <c r="B227" s="726"/>
      <c r="C227" s="727"/>
      <c r="D227" s="730"/>
      <c r="E227" s="727"/>
      <c r="F227" s="729"/>
      <c r="G227" s="730"/>
      <c r="I227" s="665" t="s">
        <v>123</v>
      </c>
      <c r="J227" s="665" t="s">
        <v>123</v>
      </c>
      <c r="AA227" s="579"/>
      <c r="AC227" s="711"/>
      <c r="AD227" s="711"/>
      <c r="AE227" s="711"/>
      <c r="AF227" s="711"/>
      <c r="AG227" s="711"/>
      <c r="AH227" s="711"/>
      <c r="AI227" s="711"/>
      <c r="AJ227" s="711"/>
      <c r="AK227" s="711"/>
    </row>
    <row r="228" ht="15.75" customHeight="1">
      <c r="A228" s="725"/>
      <c r="B228" s="726"/>
      <c r="C228" s="727"/>
      <c r="D228" s="730"/>
      <c r="E228" s="727"/>
      <c r="F228" s="729"/>
      <c r="G228" s="730"/>
      <c r="I228" s="665" t="s">
        <v>123</v>
      </c>
      <c r="J228" s="665" t="s">
        <v>123</v>
      </c>
      <c r="AA228" s="579"/>
      <c r="AC228" s="711"/>
      <c r="AD228" s="711"/>
      <c r="AE228" s="711"/>
      <c r="AF228" s="711"/>
      <c r="AG228" s="711"/>
      <c r="AH228" s="711"/>
      <c r="AI228" s="711"/>
      <c r="AJ228" s="711"/>
      <c r="AK228" s="711"/>
    </row>
    <row r="229" ht="15.75" customHeight="1">
      <c r="A229" s="725"/>
      <c r="B229" s="726"/>
      <c r="C229" s="727"/>
      <c r="D229" s="730"/>
      <c r="E229" s="727"/>
      <c r="F229" s="729"/>
      <c r="G229" s="730"/>
      <c r="I229" s="665" t="s">
        <v>123</v>
      </c>
      <c r="J229" s="665" t="s">
        <v>123</v>
      </c>
      <c r="AA229" s="579"/>
      <c r="AC229" s="711"/>
      <c r="AD229" s="711"/>
      <c r="AE229" s="711"/>
      <c r="AF229" s="711"/>
      <c r="AG229" s="711"/>
      <c r="AH229" s="711"/>
      <c r="AI229" s="711"/>
      <c r="AJ229" s="711"/>
      <c r="AK229" s="711"/>
    </row>
    <row r="230" ht="15.75" customHeight="1">
      <c r="A230" s="725"/>
      <c r="B230" s="726"/>
      <c r="C230" s="727"/>
      <c r="D230" s="730"/>
      <c r="E230" s="727"/>
      <c r="F230" s="729"/>
      <c r="G230" s="730"/>
      <c r="I230" s="665" t="s">
        <v>123</v>
      </c>
      <c r="J230" s="665" t="s">
        <v>123</v>
      </c>
      <c r="AA230" s="579"/>
      <c r="AC230" s="711"/>
      <c r="AD230" s="711"/>
      <c r="AE230" s="711"/>
      <c r="AF230" s="711"/>
      <c r="AG230" s="711"/>
      <c r="AH230" s="711"/>
      <c r="AI230" s="711"/>
      <c r="AJ230" s="711"/>
      <c r="AK230" s="711"/>
    </row>
    <row r="231" ht="15.75" customHeight="1">
      <c r="A231" s="725"/>
      <c r="B231" s="726"/>
      <c r="C231" s="727"/>
      <c r="D231" s="730"/>
      <c r="E231" s="727"/>
      <c r="F231" s="729"/>
      <c r="G231" s="730"/>
      <c r="I231" s="665" t="s">
        <v>123</v>
      </c>
      <c r="J231" s="665" t="s">
        <v>123</v>
      </c>
      <c r="AA231" s="579"/>
      <c r="AC231" s="711"/>
      <c r="AD231" s="711"/>
      <c r="AE231" s="711"/>
      <c r="AF231" s="711"/>
      <c r="AG231" s="711"/>
      <c r="AH231" s="711"/>
      <c r="AI231" s="711"/>
      <c r="AJ231" s="711"/>
      <c r="AK231" s="711"/>
    </row>
    <row r="232" ht="15.75" customHeight="1">
      <c r="A232" s="725"/>
      <c r="B232" s="726"/>
      <c r="C232" s="727"/>
      <c r="D232" s="730"/>
      <c r="E232" s="727"/>
      <c r="F232" s="729"/>
      <c r="G232" s="730"/>
      <c r="I232" s="665" t="s">
        <v>123</v>
      </c>
      <c r="J232" s="665" t="s">
        <v>123</v>
      </c>
      <c r="AA232" s="579"/>
      <c r="AC232" s="711"/>
      <c r="AD232" s="711"/>
      <c r="AE232" s="711"/>
      <c r="AF232" s="711"/>
      <c r="AG232" s="711"/>
      <c r="AH232" s="711"/>
      <c r="AI232" s="711"/>
      <c r="AJ232" s="711"/>
      <c r="AK232" s="711"/>
    </row>
    <row r="233" ht="15.75" customHeight="1">
      <c r="A233" s="725"/>
      <c r="B233" s="726"/>
      <c r="C233" s="727"/>
      <c r="D233" s="730"/>
      <c r="E233" s="727"/>
      <c r="F233" s="729"/>
      <c r="G233" s="730"/>
      <c r="I233" s="665" t="s">
        <v>123</v>
      </c>
      <c r="J233" s="665" t="s">
        <v>123</v>
      </c>
      <c r="AA233" s="579"/>
      <c r="AC233" s="711"/>
      <c r="AD233" s="711"/>
      <c r="AE233" s="711"/>
      <c r="AF233" s="711"/>
      <c r="AG233" s="711"/>
      <c r="AH233" s="711"/>
      <c r="AI233" s="711"/>
      <c r="AJ233" s="711"/>
      <c r="AK233" s="711"/>
    </row>
    <row r="234" ht="15.75" customHeight="1">
      <c r="A234" s="725"/>
      <c r="B234" s="726"/>
      <c r="C234" s="727"/>
      <c r="D234" s="730"/>
      <c r="E234" s="727"/>
      <c r="F234" s="729"/>
      <c r="G234" s="730"/>
      <c r="I234" s="665" t="s">
        <v>123</v>
      </c>
      <c r="J234" s="665" t="s">
        <v>123</v>
      </c>
      <c r="AA234" s="579"/>
      <c r="AC234" s="711"/>
      <c r="AD234" s="711"/>
      <c r="AE234" s="711"/>
      <c r="AF234" s="711"/>
      <c r="AG234" s="711"/>
      <c r="AH234" s="711"/>
      <c r="AI234" s="711"/>
      <c r="AJ234" s="711"/>
      <c r="AK234" s="711"/>
    </row>
    <row r="235" ht="15.75" customHeight="1">
      <c r="A235" s="725"/>
      <c r="B235" s="726"/>
      <c r="C235" s="727"/>
      <c r="D235" s="730"/>
      <c r="E235" s="727"/>
      <c r="F235" s="729"/>
      <c r="G235" s="730"/>
      <c r="I235" s="665" t="s">
        <v>123</v>
      </c>
      <c r="J235" s="665" t="s">
        <v>123</v>
      </c>
      <c r="AA235" s="579"/>
      <c r="AC235" s="711"/>
      <c r="AD235" s="711"/>
      <c r="AE235" s="711"/>
      <c r="AF235" s="711"/>
      <c r="AG235" s="711"/>
      <c r="AH235" s="711"/>
      <c r="AI235" s="711"/>
      <c r="AJ235" s="711"/>
      <c r="AK235" s="711"/>
    </row>
    <row r="236" ht="15.75" customHeight="1">
      <c r="A236" s="725"/>
      <c r="B236" s="726"/>
      <c r="C236" s="727"/>
      <c r="D236" s="730"/>
      <c r="E236" s="727"/>
      <c r="F236" s="729"/>
      <c r="G236" s="730"/>
      <c r="I236" s="665" t="s">
        <v>123</v>
      </c>
      <c r="J236" s="665" t="s">
        <v>123</v>
      </c>
      <c r="AA236" s="579"/>
      <c r="AC236" s="711"/>
      <c r="AD236" s="711"/>
      <c r="AE236" s="711"/>
      <c r="AF236" s="711"/>
      <c r="AG236" s="711"/>
      <c r="AH236" s="711"/>
      <c r="AI236" s="711"/>
      <c r="AJ236" s="711"/>
      <c r="AK236" s="711"/>
    </row>
    <row r="237" ht="15.75" customHeight="1">
      <c r="A237" s="725"/>
      <c r="B237" s="726"/>
      <c r="C237" s="727"/>
      <c r="D237" s="730"/>
      <c r="E237" s="727"/>
      <c r="F237" s="729"/>
      <c r="G237" s="730"/>
      <c r="I237" s="665" t="s">
        <v>123</v>
      </c>
      <c r="J237" s="665" t="s">
        <v>123</v>
      </c>
      <c r="AA237" s="579"/>
      <c r="AC237" s="711"/>
      <c r="AD237" s="711"/>
      <c r="AE237" s="711"/>
      <c r="AF237" s="711"/>
      <c r="AG237" s="711"/>
      <c r="AH237" s="711"/>
      <c r="AI237" s="711"/>
      <c r="AJ237" s="711"/>
      <c r="AK237" s="711"/>
    </row>
    <row r="238" ht="15.75" customHeight="1">
      <c r="A238" s="725"/>
      <c r="B238" s="726"/>
      <c r="C238" s="727"/>
      <c r="D238" s="730"/>
      <c r="E238" s="727"/>
      <c r="F238" s="729"/>
      <c r="G238" s="730"/>
      <c r="I238" s="665" t="s">
        <v>123</v>
      </c>
      <c r="J238" s="665" t="s">
        <v>123</v>
      </c>
      <c r="AA238" s="579"/>
      <c r="AC238" s="711"/>
      <c r="AD238" s="711"/>
      <c r="AE238" s="711"/>
      <c r="AF238" s="711"/>
      <c r="AG238" s="711"/>
      <c r="AH238" s="711"/>
      <c r="AI238" s="711"/>
      <c r="AJ238" s="711"/>
      <c r="AK238" s="711"/>
    </row>
    <row r="239" ht="15.75" customHeight="1">
      <c r="A239" s="725"/>
      <c r="B239" s="726"/>
      <c r="C239" s="727"/>
      <c r="D239" s="730"/>
      <c r="E239" s="727"/>
      <c r="F239" s="729"/>
      <c r="G239" s="730"/>
      <c r="I239" s="665" t="s">
        <v>123</v>
      </c>
      <c r="J239" s="665" t="s">
        <v>123</v>
      </c>
      <c r="AA239" s="579"/>
      <c r="AC239" s="711"/>
      <c r="AD239" s="711"/>
      <c r="AE239" s="711"/>
      <c r="AF239" s="711"/>
      <c r="AG239" s="711"/>
      <c r="AH239" s="711"/>
      <c r="AI239" s="711"/>
      <c r="AJ239" s="711"/>
      <c r="AK239" s="711"/>
    </row>
    <row r="240" ht="15.75" customHeight="1">
      <c r="A240" s="725"/>
      <c r="B240" s="726"/>
      <c r="C240" s="727"/>
      <c r="D240" s="730"/>
      <c r="E240" s="727"/>
      <c r="F240" s="729"/>
      <c r="G240" s="730"/>
      <c r="I240" s="665" t="s">
        <v>123</v>
      </c>
      <c r="J240" s="665" t="s">
        <v>123</v>
      </c>
      <c r="AA240" s="579"/>
      <c r="AC240" s="711"/>
      <c r="AD240" s="711"/>
      <c r="AE240" s="711"/>
      <c r="AF240" s="711"/>
      <c r="AG240" s="711"/>
      <c r="AH240" s="711"/>
      <c r="AI240" s="711"/>
      <c r="AJ240" s="711"/>
      <c r="AK240" s="711"/>
    </row>
    <row r="241" ht="15.75" customHeight="1">
      <c r="A241" s="725"/>
      <c r="B241" s="726"/>
      <c r="C241" s="727"/>
      <c r="D241" s="730"/>
      <c r="E241" s="727"/>
      <c r="F241" s="729"/>
      <c r="G241" s="730"/>
      <c r="I241" s="665" t="s">
        <v>123</v>
      </c>
      <c r="J241" s="665" t="s">
        <v>123</v>
      </c>
      <c r="AA241" s="579"/>
      <c r="AC241" s="711"/>
      <c r="AD241" s="711"/>
      <c r="AE241" s="711"/>
      <c r="AF241" s="711"/>
      <c r="AG241" s="711"/>
      <c r="AH241" s="711"/>
      <c r="AI241" s="711"/>
      <c r="AJ241" s="711"/>
      <c r="AK241" s="711"/>
    </row>
    <row r="242" ht="15.75" customHeight="1">
      <c r="A242" s="725"/>
      <c r="B242" s="726"/>
      <c r="C242" s="727"/>
      <c r="D242" s="730"/>
      <c r="E242" s="727"/>
      <c r="F242" s="729"/>
      <c r="G242" s="730"/>
      <c r="I242" s="665" t="s">
        <v>123</v>
      </c>
      <c r="J242" s="665" t="s">
        <v>123</v>
      </c>
      <c r="AA242" s="579"/>
      <c r="AC242" s="711"/>
      <c r="AD242" s="711"/>
      <c r="AE242" s="711"/>
      <c r="AF242" s="711"/>
      <c r="AG242" s="711"/>
      <c r="AH242" s="711"/>
      <c r="AI242" s="711"/>
      <c r="AJ242" s="711"/>
      <c r="AK242" s="711"/>
    </row>
    <row r="243" ht="15.75" customHeight="1">
      <c r="A243" s="725"/>
      <c r="B243" s="726"/>
      <c r="C243" s="727"/>
      <c r="D243" s="730"/>
      <c r="E243" s="727"/>
      <c r="F243" s="729"/>
      <c r="G243" s="730"/>
      <c r="I243" s="665" t="s">
        <v>123</v>
      </c>
      <c r="J243" s="665" t="s">
        <v>123</v>
      </c>
      <c r="AA243" s="579"/>
      <c r="AC243" s="711"/>
      <c r="AD243" s="711"/>
      <c r="AE243" s="711"/>
      <c r="AF243" s="711"/>
      <c r="AG243" s="711"/>
      <c r="AH243" s="711"/>
      <c r="AI243" s="711"/>
      <c r="AJ243" s="711"/>
      <c r="AK243" s="711"/>
    </row>
    <row r="244" ht="15.75" customHeight="1">
      <c r="A244" s="725"/>
      <c r="B244" s="726"/>
      <c r="C244" s="727"/>
      <c r="D244" s="730"/>
      <c r="E244" s="727"/>
      <c r="F244" s="729"/>
      <c r="G244" s="730"/>
      <c r="I244" s="665" t="s">
        <v>123</v>
      </c>
      <c r="J244" s="665" t="s">
        <v>123</v>
      </c>
      <c r="AA244" s="579"/>
      <c r="AC244" s="711"/>
      <c r="AD244" s="711"/>
      <c r="AE244" s="711"/>
      <c r="AF244" s="711"/>
      <c r="AG244" s="711"/>
      <c r="AH244" s="711"/>
      <c r="AI244" s="711"/>
      <c r="AJ244" s="711"/>
      <c r="AK244" s="711"/>
    </row>
    <row r="245" ht="15.75" customHeight="1">
      <c r="A245" s="725"/>
      <c r="B245" s="726"/>
      <c r="C245" s="727"/>
      <c r="D245" s="730"/>
      <c r="E245" s="727"/>
      <c r="F245" s="729"/>
      <c r="G245" s="730"/>
      <c r="I245" s="665" t="s">
        <v>123</v>
      </c>
      <c r="J245" s="665" t="s">
        <v>123</v>
      </c>
      <c r="AA245" s="579"/>
      <c r="AC245" s="711"/>
      <c r="AD245" s="711"/>
      <c r="AE245" s="711"/>
      <c r="AF245" s="711"/>
      <c r="AG245" s="711"/>
      <c r="AH245" s="711"/>
      <c r="AI245" s="711"/>
      <c r="AJ245" s="711"/>
      <c r="AK245" s="711"/>
    </row>
    <row r="246" ht="15.75" customHeight="1">
      <c r="A246" s="725"/>
      <c r="B246" s="726"/>
      <c r="C246" s="727"/>
      <c r="D246" s="730"/>
      <c r="E246" s="727"/>
      <c r="F246" s="729"/>
      <c r="G246" s="730"/>
      <c r="I246" s="665" t="s">
        <v>123</v>
      </c>
      <c r="J246" s="665" t="s">
        <v>123</v>
      </c>
      <c r="AA246" s="579"/>
      <c r="AC246" s="711"/>
      <c r="AD246" s="711"/>
      <c r="AE246" s="711"/>
      <c r="AF246" s="711"/>
      <c r="AG246" s="711"/>
      <c r="AH246" s="711"/>
      <c r="AI246" s="711"/>
      <c r="AJ246" s="711"/>
      <c r="AK246" s="711"/>
    </row>
    <row r="247" ht="15.75" customHeight="1">
      <c r="A247" s="725"/>
      <c r="B247" s="726"/>
      <c r="C247" s="727"/>
      <c r="D247" s="730"/>
      <c r="E247" s="727"/>
      <c r="F247" s="729"/>
      <c r="G247" s="730"/>
      <c r="I247" s="665" t="s">
        <v>123</v>
      </c>
      <c r="J247" s="665" t="s">
        <v>123</v>
      </c>
      <c r="AA247" s="579"/>
      <c r="AC247" s="711"/>
      <c r="AD247" s="711"/>
      <c r="AE247" s="711"/>
      <c r="AF247" s="711"/>
      <c r="AG247" s="711"/>
      <c r="AH247" s="711"/>
      <c r="AI247" s="711"/>
      <c r="AJ247" s="711"/>
      <c r="AK247" s="711"/>
    </row>
    <row r="248" ht="15.75" customHeight="1">
      <c r="A248" s="725"/>
      <c r="B248" s="726"/>
      <c r="C248" s="727"/>
      <c r="D248" s="730"/>
      <c r="E248" s="727"/>
      <c r="F248" s="729"/>
      <c r="G248" s="730"/>
      <c r="I248" s="665" t="s">
        <v>123</v>
      </c>
      <c r="J248" s="665" t="s">
        <v>123</v>
      </c>
      <c r="AA248" s="579"/>
      <c r="AC248" s="711"/>
      <c r="AD248" s="711"/>
      <c r="AE248" s="711"/>
      <c r="AF248" s="711"/>
      <c r="AG248" s="711"/>
      <c r="AH248" s="711"/>
      <c r="AI248" s="711"/>
      <c r="AJ248" s="711"/>
      <c r="AK248" s="711"/>
    </row>
    <row r="249" ht="15.75" customHeight="1">
      <c r="A249" s="725"/>
      <c r="B249" s="726"/>
      <c r="C249" s="727"/>
      <c r="D249" s="730"/>
      <c r="E249" s="727"/>
      <c r="F249" s="729"/>
      <c r="G249" s="730"/>
      <c r="I249" s="665" t="s">
        <v>123</v>
      </c>
      <c r="J249" s="665" t="s">
        <v>123</v>
      </c>
      <c r="AA249" s="579"/>
      <c r="AC249" s="711"/>
      <c r="AD249" s="711"/>
      <c r="AE249" s="711"/>
      <c r="AF249" s="711"/>
      <c r="AG249" s="711"/>
      <c r="AH249" s="711"/>
      <c r="AI249" s="711"/>
      <c r="AJ249" s="711"/>
      <c r="AK249" s="711"/>
    </row>
    <row r="250" ht="15.75" customHeight="1">
      <c r="A250" s="725"/>
      <c r="B250" s="726"/>
      <c r="C250" s="727"/>
      <c r="D250" s="730"/>
      <c r="E250" s="727"/>
      <c r="F250" s="729"/>
      <c r="G250" s="730"/>
      <c r="I250" s="665" t="s">
        <v>123</v>
      </c>
      <c r="J250" s="665" t="s">
        <v>123</v>
      </c>
      <c r="AA250" s="579"/>
      <c r="AC250" s="711"/>
      <c r="AD250" s="711"/>
      <c r="AE250" s="711"/>
      <c r="AF250" s="711"/>
      <c r="AG250" s="711"/>
      <c r="AH250" s="711"/>
      <c r="AI250" s="711"/>
      <c r="AJ250" s="711"/>
      <c r="AK250" s="711"/>
    </row>
    <row r="251" ht="15.75" customHeight="1">
      <c r="A251" s="725"/>
      <c r="B251" s="726"/>
      <c r="C251" s="727"/>
      <c r="D251" s="730"/>
      <c r="E251" s="727"/>
      <c r="F251" s="729"/>
      <c r="G251" s="730"/>
      <c r="I251" s="665" t="s">
        <v>123</v>
      </c>
      <c r="J251" s="665" t="s">
        <v>123</v>
      </c>
      <c r="AA251" s="579"/>
      <c r="AC251" s="711"/>
      <c r="AD251" s="711"/>
      <c r="AE251" s="711"/>
      <c r="AF251" s="711"/>
      <c r="AG251" s="711"/>
      <c r="AH251" s="711"/>
      <c r="AI251" s="711"/>
      <c r="AJ251" s="711"/>
      <c r="AK251" s="711"/>
    </row>
    <row r="252" ht="15.75" customHeight="1">
      <c r="A252" s="725"/>
      <c r="B252" s="726"/>
      <c r="C252" s="727"/>
      <c r="D252" s="730"/>
      <c r="E252" s="727"/>
      <c r="F252" s="729"/>
      <c r="G252" s="730"/>
      <c r="I252" s="665" t="s">
        <v>123</v>
      </c>
      <c r="J252" s="665" t="s">
        <v>123</v>
      </c>
      <c r="AA252" s="579"/>
      <c r="AC252" s="711"/>
      <c r="AD252" s="711"/>
      <c r="AE252" s="711"/>
      <c r="AF252" s="711"/>
      <c r="AG252" s="711"/>
      <c r="AH252" s="711"/>
      <c r="AI252" s="711"/>
      <c r="AJ252" s="711"/>
      <c r="AK252" s="711"/>
    </row>
    <row r="253" ht="15.75" customHeight="1">
      <c r="A253" s="725"/>
      <c r="B253" s="726"/>
      <c r="C253" s="727"/>
      <c r="D253" s="730"/>
      <c r="E253" s="727"/>
      <c r="F253" s="729"/>
      <c r="G253" s="730"/>
      <c r="I253" s="665" t="s">
        <v>123</v>
      </c>
      <c r="J253" s="665" t="s">
        <v>123</v>
      </c>
      <c r="AA253" s="579"/>
      <c r="AC253" s="711"/>
      <c r="AD253" s="711"/>
      <c r="AE253" s="711"/>
      <c r="AF253" s="711"/>
      <c r="AG253" s="711"/>
      <c r="AH253" s="711"/>
      <c r="AI253" s="711"/>
      <c r="AJ253" s="711"/>
      <c r="AK253" s="711"/>
    </row>
    <row r="254" ht="15.75" customHeight="1">
      <c r="A254" s="725"/>
      <c r="B254" s="726"/>
      <c r="C254" s="727"/>
      <c r="D254" s="730"/>
      <c r="E254" s="727"/>
      <c r="F254" s="729"/>
      <c r="G254" s="730"/>
      <c r="I254" s="665" t="s">
        <v>123</v>
      </c>
      <c r="J254" s="665" t="s">
        <v>123</v>
      </c>
      <c r="AA254" s="579"/>
      <c r="AC254" s="711"/>
      <c r="AD254" s="711"/>
      <c r="AE254" s="711"/>
      <c r="AF254" s="711"/>
      <c r="AG254" s="711"/>
      <c r="AH254" s="711"/>
      <c r="AI254" s="711"/>
      <c r="AJ254" s="711"/>
      <c r="AK254" s="711"/>
    </row>
    <row r="255" ht="15.75" customHeight="1">
      <c r="A255" s="725"/>
      <c r="B255" s="726"/>
      <c r="C255" s="727"/>
      <c r="D255" s="730"/>
      <c r="E255" s="727"/>
      <c r="F255" s="729"/>
      <c r="G255" s="730"/>
      <c r="I255" s="665" t="s">
        <v>123</v>
      </c>
      <c r="J255" s="665" t="s">
        <v>123</v>
      </c>
      <c r="AA255" s="579"/>
      <c r="AC255" s="711"/>
      <c r="AD255" s="711"/>
      <c r="AE255" s="711"/>
      <c r="AF255" s="711"/>
      <c r="AG255" s="711"/>
      <c r="AH255" s="711"/>
      <c r="AI255" s="711"/>
      <c r="AJ255" s="711"/>
      <c r="AK255" s="711"/>
    </row>
    <row r="256" ht="15.75" customHeight="1">
      <c r="A256" s="725"/>
      <c r="B256" s="726"/>
      <c r="C256" s="727"/>
      <c r="D256" s="730"/>
      <c r="E256" s="727"/>
      <c r="F256" s="729"/>
      <c r="G256" s="730"/>
      <c r="I256" s="665" t="s">
        <v>123</v>
      </c>
      <c r="J256" s="665" t="s">
        <v>123</v>
      </c>
      <c r="AA256" s="579"/>
      <c r="AC256" s="711"/>
      <c r="AD256" s="711"/>
      <c r="AE256" s="711"/>
      <c r="AF256" s="711"/>
      <c r="AG256" s="711"/>
      <c r="AH256" s="711"/>
      <c r="AI256" s="711"/>
      <c r="AJ256" s="711"/>
      <c r="AK256" s="711"/>
    </row>
    <row r="257" ht="15.75" customHeight="1">
      <c r="A257" s="725"/>
      <c r="B257" s="726"/>
      <c r="C257" s="727"/>
      <c r="D257" s="730"/>
      <c r="E257" s="727"/>
      <c r="F257" s="729"/>
      <c r="G257" s="730"/>
      <c r="I257" s="665" t="s">
        <v>123</v>
      </c>
      <c r="J257" s="665" t="s">
        <v>123</v>
      </c>
      <c r="AA257" s="579"/>
      <c r="AC257" s="711"/>
      <c r="AD257" s="711"/>
      <c r="AE257" s="711"/>
      <c r="AF257" s="711"/>
      <c r="AG257" s="711"/>
      <c r="AH257" s="711"/>
      <c r="AI257" s="711"/>
      <c r="AJ257" s="711"/>
      <c r="AK257" s="711"/>
    </row>
    <row r="258" ht="15.75" customHeight="1">
      <c r="A258" s="725"/>
      <c r="B258" s="726"/>
      <c r="C258" s="727"/>
      <c r="D258" s="730"/>
      <c r="E258" s="727"/>
      <c r="F258" s="729"/>
      <c r="G258" s="730"/>
      <c r="I258" s="665" t="s">
        <v>123</v>
      </c>
      <c r="J258" s="665" t="s">
        <v>123</v>
      </c>
      <c r="AA258" s="579"/>
      <c r="AC258" s="711"/>
      <c r="AD258" s="711"/>
      <c r="AE258" s="711"/>
      <c r="AF258" s="711"/>
      <c r="AG258" s="711"/>
      <c r="AH258" s="711"/>
      <c r="AI258" s="711"/>
      <c r="AJ258" s="711"/>
      <c r="AK258" s="711"/>
    </row>
    <row r="259" ht="15.75" customHeight="1">
      <c r="A259" s="725"/>
      <c r="B259" s="726"/>
      <c r="C259" s="727"/>
      <c r="D259" s="730"/>
      <c r="E259" s="727"/>
      <c r="F259" s="729"/>
      <c r="G259" s="730"/>
      <c r="I259" s="665" t="s">
        <v>123</v>
      </c>
      <c r="J259" s="665" t="s">
        <v>123</v>
      </c>
      <c r="AA259" s="579"/>
      <c r="AC259" s="711"/>
      <c r="AD259" s="711"/>
      <c r="AE259" s="711"/>
      <c r="AF259" s="711"/>
      <c r="AG259" s="711"/>
      <c r="AH259" s="711"/>
      <c r="AI259" s="711"/>
      <c r="AJ259" s="711"/>
      <c r="AK259" s="711"/>
    </row>
    <row r="260" ht="15.75" customHeight="1">
      <c r="A260" s="725"/>
      <c r="B260" s="726"/>
      <c r="C260" s="727"/>
      <c r="D260" s="730"/>
      <c r="E260" s="727"/>
      <c r="F260" s="729"/>
      <c r="G260" s="730"/>
      <c r="I260" s="665" t="s">
        <v>123</v>
      </c>
      <c r="J260" s="665" t="s">
        <v>123</v>
      </c>
      <c r="AA260" s="579"/>
      <c r="AC260" s="711"/>
      <c r="AD260" s="711"/>
      <c r="AE260" s="711"/>
      <c r="AF260" s="711"/>
      <c r="AG260" s="711"/>
      <c r="AH260" s="711"/>
      <c r="AI260" s="711"/>
      <c r="AJ260" s="711"/>
      <c r="AK260" s="711"/>
    </row>
    <row r="261" ht="15.75" customHeight="1">
      <c r="A261" s="725"/>
      <c r="B261" s="726"/>
      <c r="C261" s="727"/>
      <c r="D261" s="730"/>
      <c r="E261" s="727"/>
      <c r="F261" s="729"/>
      <c r="G261" s="730"/>
      <c r="I261" s="665" t="s">
        <v>123</v>
      </c>
      <c r="J261" s="665" t="s">
        <v>123</v>
      </c>
      <c r="AA261" s="579"/>
      <c r="AC261" s="711"/>
      <c r="AD261" s="711"/>
      <c r="AE261" s="711"/>
      <c r="AF261" s="711"/>
      <c r="AG261" s="711"/>
      <c r="AH261" s="711"/>
      <c r="AI261" s="711"/>
      <c r="AJ261" s="711"/>
      <c r="AK261" s="711"/>
    </row>
    <row r="262" ht="15.75" customHeight="1">
      <c r="A262" s="725"/>
      <c r="B262" s="726"/>
      <c r="C262" s="727"/>
      <c r="D262" s="730"/>
      <c r="E262" s="727"/>
      <c r="F262" s="729"/>
      <c r="G262" s="730"/>
      <c r="I262" s="665" t="s">
        <v>123</v>
      </c>
      <c r="J262" s="665" t="s">
        <v>123</v>
      </c>
      <c r="AA262" s="579"/>
      <c r="AC262" s="711"/>
      <c r="AD262" s="711"/>
      <c r="AE262" s="711"/>
      <c r="AF262" s="711"/>
      <c r="AG262" s="711"/>
      <c r="AH262" s="711"/>
      <c r="AI262" s="711"/>
      <c r="AJ262" s="711"/>
      <c r="AK262" s="711"/>
    </row>
    <row r="263" ht="15.75" customHeight="1">
      <c r="A263" s="725"/>
      <c r="B263" s="726"/>
      <c r="C263" s="727"/>
      <c r="D263" s="730"/>
      <c r="E263" s="727"/>
      <c r="F263" s="729"/>
      <c r="G263" s="730"/>
      <c r="I263" s="665" t="s">
        <v>123</v>
      </c>
      <c r="J263" s="665" t="s">
        <v>123</v>
      </c>
      <c r="AA263" s="579"/>
      <c r="AC263" s="711"/>
      <c r="AD263" s="711"/>
      <c r="AE263" s="711"/>
      <c r="AF263" s="711"/>
      <c r="AG263" s="711"/>
      <c r="AH263" s="711"/>
      <c r="AI263" s="711"/>
      <c r="AJ263" s="711"/>
      <c r="AK263" s="711"/>
    </row>
    <row r="264" ht="15.75" customHeight="1">
      <c r="A264" s="725"/>
      <c r="B264" s="726"/>
      <c r="C264" s="727"/>
      <c r="D264" s="730"/>
      <c r="E264" s="727"/>
      <c r="F264" s="729"/>
      <c r="G264" s="730"/>
      <c r="I264" s="665" t="s">
        <v>123</v>
      </c>
      <c r="J264" s="665" t="s">
        <v>123</v>
      </c>
      <c r="AA264" s="579"/>
      <c r="AC264" s="711"/>
      <c r="AD264" s="711"/>
      <c r="AE264" s="711"/>
      <c r="AF264" s="711"/>
      <c r="AG264" s="711"/>
      <c r="AH264" s="711"/>
      <c r="AI264" s="711"/>
      <c r="AJ264" s="711"/>
      <c r="AK264" s="711"/>
    </row>
    <row r="265" ht="15.75" customHeight="1">
      <c r="A265" s="725"/>
      <c r="B265" s="726"/>
      <c r="C265" s="727"/>
      <c r="D265" s="730"/>
      <c r="E265" s="727"/>
      <c r="F265" s="729"/>
      <c r="G265" s="730"/>
      <c r="I265" s="665" t="s">
        <v>123</v>
      </c>
      <c r="J265" s="665" t="s">
        <v>123</v>
      </c>
      <c r="AA265" s="579"/>
      <c r="AC265" s="711"/>
      <c r="AD265" s="711"/>
      <c r="AE265" s="711"/>
      <c r="AF265" s="711"/>
      <c r="AG265" s="711"/>
      <c r="AH265" s="711"/>
      <c r="AI265" s="711"/>
      <c r="AJ265" s="711"/>
      <c r="AK265" s="711"/>
    </row>
    <row r="266" ht="15.75" customHeight="1">
      <c r="A266" s="725"/>
      <c r="B266" s="726"/>
      <c r="C266" s="727"/>
      <c r="D266" s="730"/>
      <c r="E266" s="727"/>
      <c r="F266" s="729"/>
      <c r="G266" s="730"/>
      <c r="I266" s="665" t="s">
        <v>123</v>
      </c>
      <c r="J266" s="665" t="s">
        <v>123</v>
      </c>
      <c r="AA266" s="579"/>
      <c r="AC266" s="711"/>
      <c r="AD266" s="711"/>
      <c r="AE266" s="711"/>
      <c r="AF266" s="711"/>
      <c r="AG266" s="711"/>
      <c r="AH266" s="711"/>
      <c r="AI266" s="711"/>
      <c r="AJ266" s="711"/>
      <c r="AK266" s="711"/>
    </row>
    <row r="267" ht="15.75" customHeight="1">
      <c r="A267" s="725"/>
      <c r="B267" s="726"/>
      <c r="C267" s="727"/>
      <c r="D267" s="730"/>
      <c r="E267" s="727"/>
      <c r="F267" s="729"/>
      <c r="G267" s="730"/>
      <c r="I267" s="665" t="s">
        <v>123</v>
      </c>
      <c r="J267" s="665" t="s">
        <v>123</v>
      </c>
      <c r="AA267" s="579"/>
      <c r="AC267" s="711"/>
      <c r="AD267" s="711"/>
      <c r="AE267" s="711"/>
      <c r="AF267" s="711"/>
      <c r="AG267" s="711"/>
      <c r="AH267" s="711"/>
      <c r="AI267" s="711"/>
      <c r="AJ267" s="711"/>
      <c r="AK267" s="711"/>
    </row>
    <row r="268" ht="15.75" customHeight="1">
      <c r="A268" s="725"/>
      <c r="B268" s="726"/>
      <c r="C268" s="727"/>
      <c r="D268" s="730"/>
      <c r="E268" s="727"/>
      <c r="F268" s="729"/>
      <c r="G268" s="730"/>
      <c r="I268" s="665" t="s">
        <v>123</v>
      </c>
      <c r="J268" s="665" t="s">
        <v>123</v>
      </c>
      <c r="AA268" s="579"/>
      <c r="AC268" s="711"/>
      <c r="AD268" s="711"/>
      <c r="AE268" s="711"/>
      <c r="AF268" s="711"/>
      <c r="AG268" s="711"/>
      <c r="AH268" s="711"/>
      <c r="AI268" s="711"/>
      <c r="AJ268" s="711"/>
      <c r="AK268" s="711"/>
    </row>
    <row r="269" ht="15.75" customHeight="1">
      <c r="A269" s="725"/>
      <c r="B269" s="726"/>
      <c r="C269" s="727"/>
      <c r="D269" s="730"/>
      <c r="E269" s="727"/>
      <c r="F269" s="729"/>
      <c r="G269" s="730"/>
      <c r="I269" s="665" t="s">
        <v>123</v>
      </c>
      <c r="J269" s="665" t="s">
        <v>123</v>
      </c>
      <c r="AA269" s="579"/>
      <c r="AC269" s="711"/>
      <c r="AD269" s="711"/>
      <c r="AE269" s="711"/>
      <c r="AF269" s="711"/>
      <c r="AG269" s="711"/>
      <c r="AH269" s="711"/>
      <c r="AI269" s="711"/>
      <c r="AJ269" s="711"/>
      <c r="AK269" s="711"/>
    </row>
    <row r="270" ht="15.75" customHeight="1">
      <c r="A270" s="725"/>
      <c r="B270" s="726"/>
      <c r="C270" s="727"/>
      <c r="D270" s="730"/>
      <c r="E270" s="727"/>
      <c r="F270" s="729"/>
      <c r="G270" s="730"/>
      <c r="I270" s="665" t="s">
        <v>123</v>
      </c>
      <c r="J270" s="665" t="s">
        <v>123</v>
      </c>
      <c r="AA270" s="579"/>
      <c r="AC270" s="711"/>
      <c r="AD270" s="711"/>
      <c r="AE270" s="711"/>
      <c r="AF270" s="711"/>
      <c r="AG270" s="711"/>
      <c r="AH270" s="711"/>
      <c r="AI270" s="711"/>
      <c r="AJ270" s="711"/>
      <c r="AK270" s="711"/>
    </row>
    <row r="271" ht="15.75" customHeight="1">
      <c r="A271" s="725"/>
      <c r="B271" s="726"/>
      <c r="C271" s="727"/>
      <c r="D271" s="730"/>
      <c r="E271" s="727"/>
      <c r="F271" s="729"/>
      <c r="G271" s="730"/>
      <c r="I271" s="665" t="s">
        <v>123</v>
      </c>
      <c r="J271" s="665" t="s">
        <v>123</v>
      </c>
      <c r="AA271" s="579"/>
      <c r="AC271" s="711"/>
      <c r="AD271" s="711"/>
      <c r="AE271" s="711"/>
      <c r="AF271" s="711"/>
      <c r="AG271" s="711"/>
      <c r="AH271" s="711"/>
      <c r="AI271" s="711"/>
      <c r="AJ271" s="711"/>
      <c r="AK271" s="711"/>
    </row>
    <row r="272" ht="15.75" customHeight="1">
      <c r="A272" s="725"/>
      <c r="B272" s="726"/>
      <c r="C272" s="727"/>
      <c r="D272" s="730"/>
      <c r="E272" s="727"/>
      <c r="F272" s="729"/>
      <c r="G272" s="730"/>
      <c r="I272" s="665" t="s">
        <v>123</v>
      </c>
      <c r="J272" s="665" t="s">
        <v>123</v>
      </c>
      <c r="AA272" s="579"/>
      <c r="AC272" s="711"/>
      <c r="AD272" s="711"/>
      <c r="AE272" s="711"/>
      <c r="AF272" s="711"/>
      <c r="AG272" s="711"/>
      <c r="AH272" s="711"/>
      <c r="AI272" s="711"/>
      <c r="AJ272" s="711"/>
      <c r="AK272" s="711"/>
    </row>
    <row r="273" ht="15.75" customHeight="1">
      <c r="A273" s="725"/>
      <c r="B273" s="726"/>
      <c r="C273" s="727"/>
      <c r="D273" s="730"/>
      <c r="E273" s="727"/>
      <c r="F273" s="729"/>
      <c r="G273" s="730"/>
      <c r="I273" s="665" t="s">
        <v>123</v>
      </c>
      <c r="J273" s="665" t="s">
        <v>123</v>
      </c>
      <c r="AA273" s="579"/>
      <c r="AC273" s="711"/>
      <c r="AD273" s="711"/>
      <c r="AE273" s="711"/>
      <c r="AF273" s="711"/>
      <c r="AG273" s="711"/>
      <c r="AH273" s="711"/>
      <c r="AI273" s="711"/>
      <c r="AJ273" s="711"/>
      <c r="AK273" s="711"/>
    </row>
    <row r="274" ht="15.75" customHeight="1">
      <c r="A274" s="725"/>
      <c r="B274" s="726"/>
      <c r="C274" s="727"/>
      <c r="D274" s="730"/>
      <c r="E274" s="727"/>
      <c r="F274" s="729"/>
      <c r="G274" s="730"/>
      <c r="I274" s="665" t="s">
        <v>123</v>
      </c>
      <c r="J274" s="665" t="s">
        <v>123</v>
      </c>
      <c r="AA274" s="579"/>
      <c r="AC274" s="711"/>
      <c r="AD274" s="711"/>
      <c r="AE274" s="711"/>
      <c r="AF274" s="711"/>
      <c r="AG274" s="711"/>
      <c r="AH274" s="711"/>
      <c r="AI274" s="711"/>
      <c r="AJ274" s="711"/>
      <c r="AK274" s="711"/>
    </row>
    <row r="275" ht="15.75" customHeight="1">
      <c r="A275" s="725"/>
      <c r="B275" s="726"/>
      <c r="C275" s="727"/>
      <c r="D275" s="730"/>
      <c r="E275" s="727"/>
      <c r="F275" s="729"/>
      <c r="G275" s="730"/>
      <c r="I275" s="665" t="s">
        <v>123</v>
      </c>
      <c r="J275" s="665" t="s">
        <v>123</v>
      </c>
      <c r="AA275" s="579"/>
      <c r="AC275" s="711"/>
      <c r="AD275" s="711"/>
      <c r="AE275" s="711"/>
      <c r="AF275" s="711"/>
      <c r="AG275" s="711"/>
      <c r="AH275" s="711"/>
      <c r="AI275" s="711"/>
      <c r="AJ275" s="711"/>
      <c r="AK275" s="711"/>
    </row>
    <row r="276" ht="15.75" customHeight="1">
      <c r="A276" s="725"/>
      <c r="B276" s="726"/>
      <c r="C276" s="727"/>
      <c r="D276" s="730"/>
      <c r="E276" s="727"/>
      <c r="F276" s="729"/>
      <c r="G276" s="730"/>
      <c r="I276" s="665" t="s">
        <v>123</v>
      </c>
      <c r="J276" s="665" t="s">
        <v>123</v>
      </c>
      <c r="AA276" s="579"/>
      <c r="AC276" s="711"/>
      <c r="AD276" s="711"/>
      <c r="AE276" s="711"/>
      <c r="AF276" s="711"/>
      <c r="AG276" s="711"/>
      <c r="AH276" s="711"/>
      <c r="AI276" s="711"/>
      <c r="AJ276" s="711"/>
      <c r="AK276" s="711"/>
    </row>
    <row r="277" ht="15.75" customHeight="1">
      <c r="A277" s="725"/>
      <c r="B277" s="726"/>
      <c r="C277" s="727"/>
      <c r="D277" s="730"/>
      <c r="E277" s="727"/>
      <c r="F277" s="729"/>
      <c r="G277" s="730"/>
      <c r="I277" s="665" t="s">
        <v>123</v>
      </c>
      <c r="J277" s="665" t="s">
        <v>123</v>
      </c>
      <c r="AA277" s="579"/>
      <c r="AC277" s="711"/>
      <c r="AD277" s="711"/>
      <c r="AE277" s="711"/>
      <c r="AF277" s="711"/>
      <c r="AG277" s="711"/>
      <c r="AH277" s="711"/>
      <c r="AI277" s="711"/>
      <c r="AJ277" s="711"/>
      <c r="AK277" s="711"/>
    </row>
    <row r="278" ht="15.75" customHeight="1">
      <c r="A278" s="725"/>
      <c r="B278" s="726"/>
      <c r="C278" s="727"/>
      <c r="D278" s="730"/>
      <c r="E278" s="727"/>
      <c r="F278" s="729"/>
      <c r="G278" s="730"/>
      <c r="I278" s="665" t="s">
        <v>123</v>
      </c>
      <c r="J278" s="665" t="s">
        <v>123</v>
      </c>
      <c r="AA278" s="579"/>
      <c r="AC278" s="711"/>
      <c r="AD278" s="711"/>
      <c r="AE278" s="711"/>
      <c r="AF278" s="711"/>
      <c r="AG278" s="711"/>
      <c r="AH278" s="711"/>
      <c r="AI278" s="711"/>
      <c r="AJ278" s="711"/>
      <c r="AK278" s="711"/>
    </row>
    <row r="279" ht="15.75" customHeight="1">
      <c r="A279" s="725"/>
      <c r="B279" s="726"/>
      <c r="C279" s="727"/>
      <c r="D279" s="730"/>
      <c r="E279" s="727"/>
      <c r="F279" s="729"/>
      <c r="G279" s="730"/>
      <c r="I279" s="665" t="s">
        <v>123</v>
      </c>
      <c r="J279" s="665" t="s">
        <v>123</v>
      </c>
      <c r="AA279" s="579"/>
      <c r="AC279" s="711"/>
      <c r="AD279" s="711"/>
      <c r="AE279" s="711"/>
      <c r="AF279" s="711"/>
      <c r="AG279" s="711"/>
      <c r="AH279" s="711"/>
      <c r="AI279" s="711"/>
      <c r="AJ279" s="711"/>
      <c r="AK279" s="711"/>
    </row>
    <row r="280" ht="15.75" customHeight="1">
      <c r="A280" s="725"/>
      <c r="B280" s="726"/>
      <c r="C280" s="727"/>
      <c r="D280" s="730"/>
      <c r="E280" s="727"/>
      <c r="F280" s="729"/>
      <c r="G280" s="730"/>
      <c r="I280" s="665" t="s">
        <v>123</v>
      </c>
      <c r="J280" s="665" t="s">
        <v>123</v>
      </c>
      <c r="AA280" s="579"/>
      <c r="AC280" s="711"/>
      <c r="AD280" s="711"/>
      <c r="AE280" s="711"/>
      <c r="AF280" s="711"/>
      <c r="AG280" s="711"/>
      <c r="AH280" s="711"/>
      <c r="AI280" s="711"/>
      <c r="AJ280" s="711"/>
      <c r="AK280" s="711"/>
    </row>
    <row r="281" ht="15.75" customHeight="1">
      <c r="A281" s="725"/>
      <c r="B281" s="726"/>
      <c r="C281" s="727"/>
      <c r="D281" s="730"/>
      <c r="E281" s="727"/>
      <c r="F281" s="729"/>
      <c r="G281" s="730"/>
      <c r="I281" s="665" t="s">
        <v>123</v>
      </c>
      <c r="J281" s="665" t="s">
        <v>123</v>
      </c>
      <c r="AA281" s="579"/>
      <c r="AC281" s="711"/>
      <c r="AD281" s="711"/>
      <c r="AE281" s="711"/>
      <c r="AF281" s="711"/>
      <c r="AG281" s="711"/>
      <c r="AH281" s="711"/>
      <c r="AI281" s="711"/>
      <c r="AJ281" s="711"/>
      <c r="AK281" s="711"/>
    </row>
    <row r="282" ht="15.75" customHeight="1">
      <c r="A282" s="725"/>
      <c r="B282" s="726"/>
      <c r="C282" s="727"/>
      <c r="D282" s="730"/>
      <c r="E282" s="727"/>
      <c r="F282" s="729"/>
      <c r="G282" s="730"/>
      <c r="I282" s="665" t="s">
        <v>123</v>
      </c>
      <c r="J282" s="665" t="s">
        <v>123</v>
      </c>
      <c r="AA282" s="579"/>
      <c r="AC282" s="711"/>
      <c r="AD282" s="711"/>
      <c r="AE282" s="711"/>
      <c r="AF282" s="711"/>
      <c r="AG282" s="711"/>
      <c r="AH282" s="711"/>
      <c r="AI282" s="711"/>
      <c r="AJ282" s="711"/>
      <c r="AK282" s="711"/>
    </row>
    <row r="283" ht="15.75" customHeight="1">
      <c r="A283" s="725"/>
      <c r="B283" s="726"/>
      <c r="C283" s="727"/>
      <c r="D283" s="730"/>
      <c r="E283" s="727"/>
      <c r="F283" s="729"/>
      <c r="G283" s="730"/>
      <c r="I283" s="665" t="s">
        <v>123</v>
      </c>
      <c r="J283" s="665" t="s">
        <v>123</v>
      </c>
      <c r="AA283" s="579"/>
      <c r="AC283" s="711"/>
      <c r="AD283" s="711"/>
      <c r="AE283" s="711"/>
      <c r="AF283" s="711"/>
      <c r="AG283" s="711"/>
      <c r="AH283" s="711"/>
      <c r="AI283" s="711"/>
      <c r="AJ283" s="711"/>
      <c r="AK283" s="711"/>
    </row>
    <row r="284" ht="15.75" customHeight="1">
      <c r="A284" s="725"/>
      <c r="B284" s="726"/>
      <c r="C284" s="727"/>
      <c r="D284" s="730"/>
      <c r="E284" s="727"/>
      <c r="F284" s="729"/>
      <c r="G284" s="730"/>
      <c r="I284" s="665" t="s">
        <v>123</v>
      </c>
      <c r="J284" s="665" t="s">
        <v>123</v>
      </c>
      <c r="AA284" s="579"/>
      <c r="AC284" s="711"/>
      <c r="AD284" s="711"/>
      <c r="AE284" s="711"/>
      <c r="AF284" s="711"/>
      <c r="AG284" s="711"/>
      <c r="AH284" s="711"/>
      <c r="AI284" s="711"/>
      <c r="AJ284" s="711"/>
      <c r="AK284" s="711"/>
    </row>
    <row r="285" ht="15.75" customHeight="1">
      <c r="A285" s="725"/>
      <c r="B285" s="726"/>
      <c r="C285" s="727"/>
      <c r="D285" s="730"/>
      <c r="E285" s="727"/>
      <c r="F285" s="729"/>
      <c r="G285" s="730"/>
      <c r="I285" s="665" t="s">
        <v>123</v>
      </c>
      <c r="J285" s="665" t="s">
        <v>123</v>
      </c>
      <c r="AA285" s="579"/>
      <c r="AC285" s="711"/>
      <c r="AD285" s="711"/>
      <c r="AE285" s="711"/>
      <c r="AF285" s="711"/>
      <c r="AG285" s="711"/>
      <c r="AH285" s="711"/>
      <c r="AI285" s="711"/>
      <c r="AJ285" s="711"/>
      <c r="AK285" s="711"/>
    </row>
    <row r="286" ht="15.75" customHeight="1">
      <c r="A286" s="725"/>
      <c r="B286" s="726"/>
      <c r="C286" s="727"/>
      <c r="D286" s="730"/>
      <c r="E286" s="727"/>
      <c r="F286" s="729"/>
      <c r="G286" s="730"/>
      <c r="I286" s="665" t="s">
        <v>123</v>
      </c>
      <c r="J286" s="665" t="s">
        <v>123</v>
      </c>
      <c r="AA286" s="579"/>
      <c r="AC286" s="711"/>
      <c r="AD286" s="711"/>
      <c r="AE286" s="711"/>
      <c r="AF286" s="711"/>
      <c r="AG286" s="711"/>
      <c r="AH286" s="711"/>
      <c r="AI286" s="711"/>
      <c r="AJ286" s="711"/>
      <c r="AK286" s="711"/>
    </row>
    <row r="287" ht="15.75" customHeight="1">
      <c r="A287" s="725"/>
      <c r="B287" s="726"/>
      <c r="C287" s="727"/>
      <c r="D287" s="730"/>
      <c r="E287" s="727"/>
      <c r="F287" s="729"/>
      <c r="G287" s="730"/>
      <c r="I287" s="665" t="s">
        <v>123</v>
      </c>
      <c r="J287" s="665" t="s">
        <v>123</v>
      </c>
      <c r="AA287" s="579"/>
      <c r="AC287" s="711"/>
      <c r="AD287" s="711"/>
      <c r="AE287" s="711"/>
      <c r="AF287" s="711"/>
      <c r="AG287" s="711"/>
      <c r="AH287" s="711"/>
      <c r="AI287" s="711"/>
      <c r="AJ287" s="711"/>
      <c r="AK287" s="711"/>
    </row>
    <row r="288" ht="15.75" customHeight="1">
      <c r="A288" s="725"/>
      <c r="B288" s="726"/>
      <c r="C288" s="727"/>
      <c r="D288" s="730"/>
      <c r="E288" s="727"/>
      <c r="F288" s="729"/>
      <c r="G288" s="730"/>
      <c r="I288" s="665" t="s">
        <v>123</v>
      </c>
      <c r="J288" s="665" t="s">
        <v>123</v>
      </c>
      <c r="AA288" s="579"/>
      <c r="AC288" s="711"/>
      <c r="AD288" s="711"/>
      <c r="AE288" s="711"/>
      <c r="AF288" s="711"/>
      <c r="AG288" s="711"/>
      <c r="AH288" s="711"/>
      <c r="AI288" s="711"/>
      <c r="AJ288" s="711"/>
      <c r="AK288" s="711"/>
    </row>
    <row r="289" ht="15.75" customHeight="1">
      <c r="A289" s="725"/>
      <c r="B289" s="726"/>
      <c r="C289" s="727"/>
      <c r="D289" s="730"/>
      <c r="E289" s="727"/>
      <c r="F289" s="729"/>
      <c r="G289" s="730"/>
      <c r="I289" s="665" t="s">
        <v>123</v>
      </c>
      <c r="J289" s="665" t="s">
        <v>123</v>
      </c>
      <c r="AA289" s="579"/>
      <c r="AC289" s="711"/>
      <c r="AD289" s="711"/>
      <c r="AE289" s="711"/>
      <c r="AF289" s="711"/>
      <c r="AG289" s="711"/>
      <c r="AH289" s="711"/>
      <c r="AI289" s="711"/>
      <c r="AJ289" s="711"/>
      <c r="AK289" s="711"/>
    </row>
    <row r="290" ht="15.75" customHeight="1">
      <c r="A290" s="725"/>
      <c r="B290" s="726"/>
      <c r="C290" s="727"/>
      <c r="D290" s="730"/>
      <c r="E290" s="727"/>
      <c r="F290" s="729"/>
      <c r="G290" s="730"/>
      <c r="I290" s="665" t="s">
        <v>123</v>
      </c>
      <c r="J290" s="665" t="s">
        <v>123</v>
      </c>
      <c r="AA290" s="579"/>
      <c r="AC290" s="711"/>
      <c r="AD290" s="711"/>
      <c r="AE290" s="711"/>
      <c r="AF290" s="711"/>
      <c r="AG290" s="711"/>
      <c r="AH290" s="711"/>
      <c r="AI290" s="711"/>
      <c r="AJ290" s="711"/>
      <c r="AK290" s="711"/>
    </row>
    <row r="291" ht="15.75" customHeight="1">
      <c r="A291" s="725"/>
      <c r="B291" s="726"/>
      <c r="C291" s="727"/>
      <c r="D291" s="730"/>
      <c r="E291" s="727"/>
      <c r="F291" s="729"/>
      <c r="G291" s="730"/>
      <c r="I291" s="665" t="s">
        <v>123</v>
      </c>
      <c r="J291" s="665" t="s">
        <v>123</v>
      </c>
      <c r="AA291" s="579"/>
      <c r="AC291" s="711"/>
      <c r="AD291" s="711"/>
      <c r="AE291" s="711"/>
      <c r="AF291" s="711"/>
      <c r="AG291" s="711"/>
      <c r="AH291" s="711"/>
      <c r="AI291" s="711"/>
      <c r="AJ291" s="711"/>
      <c r="AK291" s="711"/>
    </row>
    <row r="292" ht="15.75" customHeight="1">
      <c r="A292" s="725"/>
      <c r="B292" s="726"/>
      <c r="C292" s="727"/>
      <c r="D292" s="730"/>
      <c r="E292" s="727"/>
      <c r="F292" s="729"/>
      <c r="G292" s="730"/>
      <c r="I292" s="665" t="s">
        <v>123</v>
      </c>
      <c r="J292" s="665" t="s">
        <v>123</v>
      </c>
      <c r="AA292" s="579"/>
      <c r="AC292" s="711"/>
      <c r="AD292" s="711"/>
      <c r="AE292" s="711"/>
      <c r="AF292" s="711"/>
      <c r="AG292" s="711"/>
      <c r="AH292" s="711"/>
      <c r="AI292" s="711"/>
      <c r="AJ292" s="711"/>
      <c r="AK292" s="711"/>
    </row>
    <row r="293" ht="15.75" customHeight="1">
      <c r="A293" s="725"/>
      <c r="B293" s="726"/>
      <c r="C293" s="727"/>
      <c r="D293" s="730"/>
      <c r="E293" s="727"/>
      <c r="F293" s="729"/>
      <c r="G293" s="730"/>
      <c r="I293" s="665" t="s">
        <v>123</v>
      </c>
      <c r="J293" s="665" t="s">
        <v>123</v>
      </c>
      <c r="AA293" s="579"/>
      <c r="AC293" s="711"/>
      <c r="AD293" s="711"/>
      <c r="AE293" s="711"/>
      <c r="AF293" s="711"/>
      <c r="AG293" s="711"/>
      <c r="AH293" s="711"/>
      <c r="AI293" s="711"/>
      <c r="AJ293" s="711"/>
      <c r="AK293" s="711"/>
    </row>
    <row r="294" ht="15.75" customHeight="1">
      <c r="A294" s="725"/>
      <c r="B294" s="726"/>
      <c r="C294" s="727"/>
      <c r="D294" s="730"/>
      <c r="E294" s="727"/>
      <c r="F294" s="729"/>
      <c r="G294" s="730"/>
      <c r="I294" s="665" t="s">
        <v>123</v>
      </c>
      <c r="J294" s="665" t="s">
        <v>123</v>
      </c>
      <c r="AA294" s="579"/>
      <c r="AC294" s="711"/>
      <c r="AD294" s="711"/>
      <c r="AE294" s="711"/>
      <c r="AF294" s="711"/>
      <c r="AG294" s="711"/>
      <c r="AH294" s="711"/>
      <c r="AI294" s="711"/>
      <c r="AJ294" s="711"/>
      <c r="AK294" s="711"/>
    </row>
    <row r="295" ht="15.75" customHeight="1">
      <c r="A295" s="725"/>
      <c r="B295" s="726"/>
      <c r="C295" s="727"/>
      <c r="D295" s="730"/>
      <c r="E295" s="727"/>
      <c r="F295" s="729"/>
      <c r="G295" s="730"/>
      <c r="I295" s="665" t="s">
        <v>123</v>
      </c>
      <c r="J295" s="665" t="s">
        <v>123</v>
      </c>
      <c r="AA295" s="579"/>
      <c r="AC295" s="711"/>
      <c r="AD295" s="711"/>
      <c r="AE295" s="711"/>
      <c r="AF295" s="711"/>
      <c r="AG295" s="711"/>
      <c r="AH295" s="711"/>
      <c r="AI295" s="711"/>
      <c r="AJ295" s="711"/>
      <c r="AK295" s="711"/>
    </row>
    <row r="296" ht="15.75" customHeight="1">
      <c r="A296" s="725"/>
      <c r="B296" s="726"/>
      <c r="C296" s="727"/>
      <c r="D296" s="730"/>
      <c r="E296" s="727"/>
      <c r="F296" s="729"/>
      <c r="G296" s="730"/>
      <c r="I296" s="665" t="s">
        <v>123</v>
      </c>
      <c r="J296" s="665" t="s">
        <v>123</v>
      </c>
      <c r="AA296" s="579"/>
      <c r="AC296" s="711"/>
      <c r="AD296" s="711"/>
      <c r="AE296" s="711"/>
      <c r="AF296" s="711"/>
      <c r="AG296" s="711"/>
      <c r="AH296" s="711"/>
      <c r="AI296" s="711"/>
      <c r="AJ296" s="711"/>
      <c r="AK296" s="711"/>
    </row>
    <row r="297" ht="15.75" customHeight="1">
      <c r="A297" s="725"/>
      <c r="B297" s="726"/>
      <c r="C297" s="727"/>
      <c r="D297" s="730"/>
      <c r="E297" s="727"/>
      <c r="F297" s="729"/>
      <c r="G297" s="730"/>
      <c r="I297" s="665" t="s">
        <v>123</v>
      </c>
      <c r="J297" s="665" t="s">
        <v>123</v>
      </c>
      <c r="AA297" s="579"/>
      <c r="AC297" s="711"/>
      <c r="AD297" s="711"/>
      <c r="AE297" s="711"/>
      <c r="AF297" s="711"/>
      <c r="AG297" s="711"/>
      <c r="AH297" s="711"/>
      <c r="AI297" s="711"/>
      <c r="AJ297" s="711"/>
      <c r="AK297" s="711"/>
    </row>
    <row r="298" ht="15.75" customHeight="1">
      <c r="A298" s="725"/>
      <c r="B298" s="726"/>
      <c r="C298" s="727"/>
      <c r="D298" s="730"/>
      <c r="E298" s="727"/>
      <c r="F298" s="729"/>
      <c r="G298" s="730"/>
      <c r="I298" s="665" t="s">
        <v>123</v>
      </c>
      <c r="J298" s="665" t="s">
        <v>123</v>
      </c>
      <c r="AA298" s="579"/>
      <c r="AC298" s="711"/>
      <c r="AD298" s="711"/>
      <c r="AE298" s="711"/>
      <c r="AF298" s="711"/>
      <c r="AG298" s="711"/>
      <c r="AH298" s="711"/>
      <c r="AI298" s="711"/>
      <c r="AJ298" s="711"/>
      <c r="AK298" s="711"/>
    </row>
    <row r="299" ht="15.75" customHeight="1">
      <c r="A299" s="725"/>
      <c r="B299" s="726"/>
      <c r="C299" s="727"/>
      <c r="D299" s="730"/>
      <c r="E299" s="727"/>
      <c r="F299" s="729"/>
      <c r="G299" s="730"/>
      <c r="I299" s="665" t="s">
        <v>123</v>
      </c>
      <c r="J299" s="665" t="s">
        <v>123</v>
      </c>
      <c r="AA299" s="579"/>
      <c r="AC299" s="711"/>
      <c r="AD299" s="711"/>
      <c r="AE299" s="711"/>
      <c r="AF299" s="711"/>
      <c r="AG299" s="711"/>
      <c r="AH299" s="711"/>
      <c r="AI299" s="711"/>
      <c r="AJ299" s="711"/>
      <c r="AK299" s="711"/>
    </row>
    <row r="300" ht="15.75" customHeight="1">
      <c r="A300" s="725"/>
      <c r="B300" s="726"/>
      <c r="C300" s="727"/>
      <c r="D300" s="730"/>
      <c r="E300" s="727"/>
      <c r="F300" s="729"/>
      <c r="G300" s="730"/>
      <c r="I300" s="665" t="s">
        <v>123</v>
      </c>
      <c r="J300" s="665" t="s">
        <v>123</v>
      </c>
      <c r="AA300" s="579"/>
      <c r="AC300" s="711"/>
      <c r="AD300" s="711"/>
      <c r="AE300" s="711"/>
      <c r="AF300" s="711"/>
      <c r="AG300" s="711"/>
      <c r="AH300" s="711"/>
      <c r="AI300" s="711"/>
      <c r="AJ300" s="711"/>
      <c r="AK300" s="711"/>
    </row>
    <row r="301" ht="15.75" customHeight="1">
      <c r="A301" s="725"/>
      <c r="B301" s="726"/>
      <c r="C301" s="727"/>
      <c r="D301" s="730"/>
      <c r="E301" s="727"/>
      <c r="F301" s="729"/>
      <c r="G301" s="730"/>
      <c r="I301" s="665" t="s">
        <v>123</v>
      </c>
      <c r="J301" s="665" t="s">
        <v>123</v>
      </c>
      <c r="AA301" s="579"/>
      <c r="AC301" s="711"/>
      <c r="AD301" s="711"/>
      <c r="AE301" s="711"/>
      <c r="AF301" s="711"/>
      <c r="AG301" s="711"/>
      <c r="AH301" s="711"/>
      <c r="AI301" s="711"/>
      <c r="AJ301" s="711"/>
      <c r="AK301" s="711"/>
    </row>
    <row r="302" ht="15.75" customHeight="1">
      <c r="A302" s="725"/>
      <c r="B302" s="726"/>
      <c r="C302" s="727"/>
      <c r="D302" s="730"/>
      <c r="E302" s="727"/>
      <c r="F302" s="729"/>
      <c r="G302" s="730"/>
      <c r="I302" s="665" t="s">
        <v>123</v>
      </c>
      <c r="J302" s="665" t="s">
        <v>123</v>
      </c>
      <c r="AA302" s="579"/>
      <c r="AC302" s="711"/>
      <c r="AD302" s="711"/>
      <c r="AE302" s="711"/>
      <c r="AF302" s="711"/>
      <c r="AG302" s="711"/>
      <c r="AH302" s="711"/>
      <c r="AI302" s="711"/>
      <c r="AJ302" s="711"/>
      <c r="AK302" s="711"/>
    </row>
    <row r="303" ht="15.75" customHeight="1">
      <c r="A303" s="725"/>
      <c r="B303" s="726"/>
      <c r="C303" s="727"/>
      <c r="D303" s="730"/>
      <c r="E303" s="727"/>
      <c r="F303" s="729"/>
      <c r="G303" s="730"/>
      <c r="I303" s="665" t="s">
        <v>123</v>
      </c>
      <c r="J303" s="665" t="s">
        <v>123</v>
      </c>
      <c r="AA303" s="579"/>
      <c r="AC303" s="711"/>
      <c r="AD303" s="711"/>
      <c r="AE303" s="711"/>
      <c r="AF303" s="711"/>
      <c r="AG303" s="711"/>
      <c r="AH303" s="711"/>
      <c r="AI303" s="711"/>
      <c r="AJ303" s="711"/>
      <c r="AK303" s="711"/>
    </row>
    <row r="304" ht="15.75" customHeight="1">
      <c r="A304" s="725"/>
      <c r="B304" s="726"/>
      <c r="C304" s="727"/>
      <c r="D304" s="730"/>
      <c r="E304" s="727"/>
      <c r="F304" s="729"/>
      <c r="G304" s="730"/>
      <c r="I304" s="665" t="s">
        <v>123</v>
      </c>
      <c r="J304" s="665" t="s">
        <v>123</v>
      </c>
      <c r="AA304" s="579"/>
      <c r="AC304" s="711"/>
      <c r="AD304" s="711"/>
      <c r="AE304" s="711"/>
      <c r="AF304" s="711"/>
      <c r="AG304" s="711"/>
      <c r="AH304" s="711"/>
      <c r="AI304" s="711"/>
      <c r="AJ304" s="711"/>
      <c r="AK304" s="711"/>
    </row>
  </sheetData>
  <mergeCells count="4">
    <mergeCell ref="A1:J2"/>
    <mergeCell ref="L1:Q2"/>
    <mergeCell ref="R1:W2"/>
    <mergeCell ref="AB4:AC4"/>
  </mergeCells>
  <conditionalFormatting sqref="J5:J304 R5:W24">
    <cfRule type="cellIs" dxfId="48" priority="1" operator="lessThan">
      <formula>0</formula>
    </cfRule>
  </conditionalFormatting>
  <conditionalFormatting sqref="D5:D304 O5:O24">
    <cfRule type="cellIs" dxfId="49" priority="2" operator="greaterThanOrEqual">
      <formula>0</formula>
    </cfRule>
  </conditionalFormatting>
  <conditionalFormatting sqref="D5:D304 O5:O24">
    <cfRule type="cellIs" dxfId="50" priority="3" operator="lessThan">
      <formula>0</formula>
    </cfRule>
  </conditionalFormatting>
  <conditionalFormatting sqref="J5:J304 R5:W24">
    <cfRule type="cellIs" dxfId="51" priority="4" operator="greaterThan">
      <formula>0</formula>
    </cfRule>
  </conditionalFormatting>
  <dataValidations>
    <dataValidation type="list" allowBlank="1" sqref="M5:M24 A5:A304">
      <formula1>'config.parâmetros'!$B$17:$B$23</formula1>
    </dataValidation>
    <dataValidation type="list" allowBlank="1" showErrorMessage="1" sqref="P5:P24 E5:E304">
      <formula1>"BRL,USD"</formula1>
    </dataValidation>
    <dataValidation type="list" allowBlank="1" showErrorMessage="1" sqref="C5:C304">
      <formula1>"Remessa,Saque,Crédito,Débito"</formula1>
    </dataValidation>
  </dataValidations>
  <drawing r:id="rId2"/>
  <legacyDrawing r:id="rId3"/>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9900"/>
    <outlinePr summaryBelow="0" summaryRight="0"/>
  </sheetPr>
  <sheetViews>
    <sheetView showGridLines="0" workbookViewId="0">
      <pane xSplit="6.0" ySplit="8.0" topLeftCell="G9" activePane="bottomRight" state="frozen"/>
      <selection activeCell="G1" sqref="G1" pane="topRight"/>
      <selection activeCell="A9" sqref="A9" pane="bottomLeft"/>
      <selection activeCell="G9" sqref="G9" pane="bottomRight"/>
    </sheetView>
  </sheetViews>
  <sheetFormatPr customHeight="1" defaultColWidth="15.13" defaultRowHeight="15.75" outlineLevelCol="1"/>
  <cols>
    <col customWidth="1" min="1" max="1" width="2.63"/>
    <col customWidth="1" min="2" max="2" width="15.13"/>
    <col collapsed="1" customWidth="1" min="3" max="3" width="7.63"/>
    <col customWidth="1" hidden="1" min="4" max="4" width="15.5" outlineLevel="1"/>
    <col customWidth="1" hidden="1" min="5" max="6" width="5.5" outlineLevel="1"/>
    <col customWidth="1" min="7" max="7" width="1.13"/>
    <col collapsed="1" customWidth="1" min="8" max="8" width="15.13"/>
    <col customWidth="1" hidden="1" min="9" max="24" width="7.88" outlineLevel="1"/>
    <col collapsed="1" customWidth="1" min="25" max="25" width="1.38"/>
    <col customWidth="1" hidden="1" min="26" max="26" width="6.0" outlineLevel="1"/>
    <col customWidth="1" hidden="1" min="27" max="27" width="7.38" outlineLevel="1"/>
    <col customWidth="1" hidden="1" min="28" max="28" width="6.0" outlineLevel="1"/>
    <col customWidth="1" hidden="1" min="29" max="29" width="8.13" outlineLevel="1"/>
    <col customWidth="1" min="30" max="31" width="7.88"/>
    <col customWidth="1" min="32" max="32" width="6.38"/>
    <col customWidth="1" min="33" max="33" width="1.38"/>
    <col customWidth="1" min="34" max="35" width="6.38"/>
    <col customWidth="1" min="36" max="36" width="7.88"/>
    <col customWidth="1" min="37" max="37" width="6.38"/>
    <col collapsed="1" customWidth="1" min="38" max="38" width="6.38"/>
    <col customWidth="1" hidden="1" min="39" max="43" width="6.63" outlineLevel="1"/>
    <col customWidth="1" min="44" max="44" width="1.38"/>
    <col collapsed="1" customWidth="1" min="45" max="45" width="6.38"/>
    <col customWidth="1" hidden="1" min="46" max="46" width="6.38" outlineLevel="1"/>
    <col customWidth="1" hidden="1" min="47" max="47" width="7.0" outlineLevel="1"/>
    <col customWidth="1" min="48" max="48" width="6.38"/>
    <col customWidth="1" min="49" max="49" width="1.38"/>
    <col customWidth="1" min="50" max="50" width="7.0"/>
    <col collapsed="1" customWidth="1" min="51" max="51" width="5.75"/>
    <col customWidth="1" hidden="1" min="52" max="53" width="7.0" outlineLevel="1"/>
    <col customWidth="1" hidden="1" min="54" max="54" width="5.75" outlineLevel="1"/>
    <col customWidth="1" hidden="1" min="55" max="56" width="7.0" outlineLevel="1"/>
    <col customWidth="1" hidden="1" min="57" max="57" width="5.75" outlineLevel="1"/>
    <col customWidth="1" hidden="1" min="58" max="58" width="7.0" outlineLevel="1"/>
    <col collapsed="1" customWidth="1" min="59" max="59" width="1.38"/>
    <col customWidth="1" hidden="1" min="60" max="60" width="7.88" outlineLevel="1"/>
    <col customWidth="1" hidden="1" min="61" max="61" width="6.38" outlineLevel="1"/>
    <col customWidth="1" min="62" max="64" width="7.88"/>
    <col collapsed="1" customWidth="1" min="65" max="65" width="1.38"/>
    <col customWidth="1" hidden="1" min="66" max="68" width="6.63" outlineLevel="1"/>
    <col customWidth="1" min="69" max="71" width="6.63"/>
    <col collapsed="1" customWidth="1" min="72" max="72" width="6.63"/>
    <col customWidth="1" hidden="1" min="73" max="73" width="1.38" outlineLevel="1"/>
    <col customWidth="1" hidden="1" min="74" max="74" width="8.25" outlineLevel="1"/>
    <col customWidth="1" hidden="1" min="75" max="86" width="6.63" outlineLevel="1"/>
    <col customWidth="1" min="87" max="87" width="1.75"/>
    <col customWidth="1" hidden="1" min="88" max="88" width="6.63"/>
    <col customWidth="1" hidden="1" min="89" max="89" width="3.13"/>
    <col customWidth="1" hidden="1" min="90" max="92" width="7.0"/>
    <col customWidth="1" hidden="1" min="93" max="93" width="8.75"/>
    <col customWidth="1" hidden="1" min="94" max="94" width="2.0"/>
    <col customWidth="1" hidden="1" min="95" max="96" width="5.88"/>
    <col customWidth="1" hidden="1" min="97" max="97" width="3.63"/>
    <col customWidth="1" hidden="1" min="98" max="99" width="8.25"/>
    <col customWidth="1" hidden="1" min="100" max="100" width="2.0"/>
    <col customWidth="1" hidden="1" min="101" max="103" width="14.5"/>
  </cols>
  <sheetData>
    <row r="1" ht="12.75" customHeight="1">
      <c r="A1" s="150"/>
      <c r="B1" s="760" t="str">
        <f>HYPERLINK("bit.ly/dlombelloplanilhas","dlombello®planilhas "&amp;leiame!B6)</f>
        <v>dlombello®planilhas v6.4.02</v>
      </c>
      <c r="H1" s="761" t="b">
        <v>0</v>
      </c>
      <c r="I1" s="516" t="s">
        <v>469</v>
      </c>
      <c r="J1" s="514"/>
      <c r="K1" s="514"/>
      <c r="L1" s="514"/>
      <c r="M1" s="514"/>
      <c r="N1" s="514"/>
      <c r="O1" s="514"/>
      <c r="P1" s="514"/>
      <c r="Q1" s="514"/>
      <c r="R1" s="514"/>
      <c r="S1" s="514"/>
      <c r="T1" s="514"/>
      <c r="U1" s="514"/>
      <c r="V1" s="514"/>
      <c r="W1" s="514"/>
      <c r="X1" s="514"/>
      <c r="Y1" s="762"/>
      <c r="Z1" s="762" t="s">
        <v>470</v>
      </c>
      <c r="AA1" s="514"/>
      <c r="AB1" s="514"/>
      <c r="AC1" s="514"/>
      <c r="AD1" s="514"/>
      <c r="AE1" s="514"/>
      <c r="AF1" s="514"/>
      <c r="AG1" s="514"/>
      <c r="AH1" s="514"/>
      <c r="AI1" s="514"/>
      <c r="AJ1" s="514"/>
      <c r="AK1" s="514"/>
      <c r="AL1" s="514"/>
      <c r="AM1" s="514"/>
      <c r="AN1" s="514"/>
      <c r="AO1" s="514"/>
      <c r="AP1" s="514"/>
      <c r="AQ1" s="514"/>
      <c r="AR1" s="514"/>
      <c r="AS1" s="514"/>
      <c r="AT1" s="514"/>
      <c r="AU1" s="514"/>
      <c r="AV1" s="514"/>
      <c r="AW1" s="514"/>
      <c r="AX1" s="514"/>
      <c r="AY1" s="514"/>
      <c r="AZ1" s="514"/>
      <c r="BA1" s="514"/>
      <c r="BB1" s="514"/>
      <c r="BC1" s="514"/>
      <c r="BD1" s="514"/>
      <c r="BE1" s="514"/>
      <c r="BF1" s="514"/>
      <c r="BG1" s="514"/>
      <c r="BH1" s="514"/>
      <c r="BI1" s="514"/>
      <c r="BJ1" s="514"/>
      <c r="BK1" s="514"/>
      <c r="BL1" s="514"/>
      <c r="BM1" s="762"/>
      <c r="BN1" s="762"/>
      <c r="BO1" s="762"/>
      <c r="BP1" s="762"/>
      <c r="BQ1" s="762"/>
      <c r="BR1" s="762"/>
      <c r="BS1" s="762"/>
      <c r="BT1" s="762"/>
      <c r="BU1" s="762"/>
      <c r="BV1" s="762"/>
      <c r="BW1" s="762"/>
      <c r="BX1" s="762"/>
      <c r="BY1" s="762"/>
      <c r="BZ1" s="762"/>
      <c r="CA1" s="762"/>
      <c r="CB1" s="762"/>
      <c r="CC1" s="762"/>
      <c r="CD1" s="762"/>
      <c r="CE1" s="762"/>
      <c r="CF1" s="762"/>
      <c r="CG1" s="762"/>
      <c r="CH1" s="762"/>
      <c r="CI1" s="56"/>
      <c r="CJ1" s="56"/>
      <c r="CL1" s="763" t="s">
        <v>471</v>
      </c>
      <c r="CM1" s="580"/>
      <c r="CN1" s="763" t="s">
        <v>60</v>
      </c>
      <c r="CO1" s="763" t="s">
        <v>472</v>
      </c>
      <c r="CP1" s="409"/>
      <c r="CQ1" s="409"/>
      <c r="CR1" s="409"/>
      <c r="CS1" s="409"/>
      <c r="CT1" s="409"/>
      <c r="CU1" s="409"/>
      <c r="CV1" s="409"/>
      <c r="CW1" s="409"/>
      <c r="CX1" s="409"/>
      <c r="CY1" s="409"/>
    </row>
    <row r="2" ht="12.75" customHeight="1">
      <c r="A2" s="150"/>
      <c r="H2" s="230"/>
      <c r="I2" s="230"/>
      <c r="J2" s="519"/>
      <c r="K2" s="519"/>
      <c r="L2" s="519"/>
      <c r="M2" s="519"/>
      <c r="N2" s="519"/>
      <c r="O2" s="519"/>
      <c r="P2" s="519"/>
      <c r="Q2" s="519"/>
      <c r="R2" s="519"/>
      <c r="S2" s="519"/>
      <c r="T2" s="519"/>
      <c r="U2" s="519"/>
      <c r="V2" s="519"/>
      <c r="W2" s="519"/>
      <c r="X2" s="519"/>
      <c r="Y2" s="764"/>
      <c r="Z2" s="519"/>
      <c r="AA2" s="519"/>
      <c r="AB2" s="519"/>
      <c r="AC2" s="519"/>
      <c r="AD2" s="519"/>
      <c r="AE2" s="519"/>
      <c r="AF2" s="519"/>
      <c r="AG2" s="519"/>
      <c r="AH2" s="519"/>
      <c r="AI2" s="519"/>
      <c r="AJ2" s="519"/>
      <c r="AK2" s="519"/>
      <c r="AL2" s="519"/>
      <c r="AM2" s="519"/>
      <c r="AN2" s="519"/>
      <c r="AO2" s="519"/>
      <c r="AP2" s="519"/>
      <c r="AQ2" s="519"/>
      <c r="AR2" s="519"/>
      <c r="AS2" s="519"/>
      <c r="AT2" s="519"/>
      <c r="AU2" s="519"/>
      <c r="AV2" s="519"/>
      <c r="AW2" s="519"/>
      <c r="AX2" s="519"/>
      <c r="AY2" s="519"/>
      <c r="AZ2" s="519"/>
      <c r="BA2" s="519"/>
      <c r="BB2" s="519"/>
      <c r="BC2" s="519"/>
      <c r="BD2" s="519"/>
      <c r="BE2" s="519"/>
      <c r="BF2" s="519"/>
      <c r="BG2" s="519"/>
      <c r="BH2" s="519"/>
      <c r="BI2" s="519"/>
      <c r="BJ2" s="519"/>
      <c r="BK2" s="519"/>
      <c r="BL2" s="519"/>
      <c r="BM2" s="764"/>
      <c r="BN2" s="764"/>
      <c r="BO2" s="764"/>
      <c r="BP2" s="764"/>
      <c r="BQ2" s="764"/>
      <c r="BR2" s="764"/>
      <c r="BS2" s="764"/>
      <c r="BT2" s="764"/>
      <c r="BU2" s="764"/>
      <c r="BV2" s="764"/>
      <c r="BW2" s="764"/>
      <c r="BX2" s="764"/>
      <c r="BY2" s="764"/>
      <c r="BZ2" s="764"/>
      <c r="CA2" s="764"/>
      <c r="CB2" s="764"/>
      <c r="CC2" s="764"/>
      <c r="CD2" s="764"/>
      <c r="CE2" s="764"/>
      <c r="CF2" s="764"/>
      <c r="CG2" s="764"/>
      <c r="CH2" s="764"/>
      <c r="CI2" s="56"/>
      <c r="CJ2" s="56"/>
      <c r="CM2" s="580"/>
      <c r="CN2" s="765">
        <f>'portfólio'!B5</f>
        <v>0.1275</v>
      </c>
      <c r="CO2" s="763" t="b">
        <f>AND($H$1,ConfigOn)</f>
        <v>0</v>
      </c>
      <c r="CP2" s="766"/>
      <c r="CQ2" s="766"/>
      <c r="CR2" s="766"/>
      <c r="CS2" s="409"/>
      <c r="CT2" s="766"/>
      <c r="CU2" s="766"/>
      <c r="CV2" s="409"/>
      <c r="CW2" s="409"/>
      <c r="CX2" s="409"/>
      <c r="CY2" s="409"/>
    </row>
    <row r="3" ht="6.0" customHeight="1">
      <c r="A3" s="624"/>
      <c r="B3" s="767"/>
      <c r="D3" s="624"/>
      <c r="E3" s="624"/>
      <c r="F3" s="767"/>
      <c r="G3" s="767"/>
      <c r="H3" s="624"/>
      <c r="I3" s="624"/>
      <c r="J3" s="767"/>
      <c r="K3" s="767"/>
      <c r="L3" s="624"/>
      <c r="M3" s="767"/>
      <c r="N3" s="767"/>
      <c r="O3" s="624"/>
      <c r="P3" s="767"/>
      <c r="Q3" s="767"/>
      <c r="R3" s="624"/>
      <c r="S3" s="767"/>
      <c r="T3" s="767"/>
      <c r="U3" s="624"/>
      <c r="V3" s="767"/>
      <c r="W3" s="767"/>
      <c r="X3" s="624"/>
      <c r="Y3" s="56"/>
      <c r="Z3" s="767"/>
      <c r="AA3" s="767"/>
      <c r="AB3" s="624"/>
      <c r="AC3" s="767"/>
      <c r="AD3" s="767"/>
      <c r="AE3" s="624"/>
      <c r="AF3" s="767"/>
      <c r="AG3" s="624"/>
      <c r="AH3" s="767"/>
      <c r="AI3" s="767"/>
      <c r="AJ3" s="768"/>
      <c r="AK3" s="624"/>
      <c r="AL3" s="767"/>
      <c r="AM3" s="767"/>
      <c r="AN3" s="624"/>
      <c r="AO3" s="767"/>
      <c r="AP3" s="767"/>
      <c r="AQ3" s="624"/>
      <c r="AR3" s="767"/>
      <c r="AS3" s="767"/>
      <c r="AT3" s="624"/>
      <c r="AU3" s="767"/>
      <c r="AV3" s="767"/>
      <c r="AW3" s="624"/>
      <c r="AX3" s="767"/>
      <c r="AY3" s="767"/>
      <c r="AZ3" s="767"/>
      <c r="BA3" s="767"/>
      <c r="BB3" s="624"/>
      <c r="BC3" s="767"/>
      <c r="BD3" s="624"/>
      <c r="BE3" s="767"/>
      <c r="BF3" s="767"/>
      <c r="BG3" s="624"/>
      <c r="BH3" s="767"/>
      <c r="BI3" s="767"/>
      <c r="BJ3" s="767"/>
      <c r="BK3" s="624"/>
      <c r="BL3" s="767"/>
      <c r="BM3" s="582"/>
      <c r="BN3" s="582"/>
      <c r="BO3" s="582"/>
      <c r="BP3" s="582"/>
      <c r="BQ3" s="582"/>
      <c r="BR3" s="582"/>
      <c r="BS3" s="582"/>
      <c r="BT3" s="582"/>
      <c r="BU3" s="582"/>
      <c r="BV3" s="582"/>
      <c r="BW3" s="582"/>
      <c r="BX3" s="582"/>
      <c r="BY3" s="582"/>
      <c r="BZ3" s="582"/>
      <c r="CA3" s="582"/>
      <c r="CB3" s="582"/>
      <c r="CC3" s="582"/>
      <c r="CD3" s="582"/>
      <c r="CE3" s="582"/>
      <c r="CF3" s="582"/>
      <c r="CG3" s="582"/>
      <c r="CH3" s="582"/>
      <c r="CK3" s="582"/>
      <c r="CL3" s="580"/>
      <c r="CM3" s="769"/>
      <c r="CN3" s="467"/>
      <c r="CO3" s="770"/>
      <c r="CP3" s="766"/>
      <c r="CQ3" s="766"/>
      <c r="CR3" s="766"/>
      <c r="CS3" s="409"/>
      <c r="CT3" s="766"/>
      <c r="CU3" s="766"/>
      <c r="CV3" s="409"/>
      <c r="CW3" s="409"/>
      <c r="CX3" s="409"/>
      <c r="CY3" s="409"/>
    </row>
    <row r="4" ht="18.0" customHeight="1">
      <c r="A4" s="771"/>
      <c r="B4" s="772" t="s">
        <v>473</v>
      </c>
      <c r="C4" s="773" t="s">
        <v>458</v>
      </c>
      <c r="D4" s="774" t="s">
        <v>469</v>
      </c>
      <c r="E4" s="50"/>
      <c r="F4" s="50"/>
      <c r="H4" s="775" t="b">
        <v>1</v>
      </c>
      <c r="I4" s="775" t="b">
        <v>0</v>
      </c>
      <c r="J4" s="776" t="b">
        <v>0</v>
      </c>
      <c r="K4" s="776" t="b">
        <v>0</v>
      </c>
      <c r="L4" s="776" t="b">
        <v>0</v>
      </c>
      <c r="M4" s="776" t="b">
        <v>0</v>
      </c>
      <c r="N4" s="776" t="b">
        <v>0</v>
      </c>
      <c r="O4" s="776" t="b">
        <v>0</v>
      </c>
      <c r="P4" s="776" t="b">
        <v>0</v>
      </c>
      <c r="Q4" s="776" t="b">
        <v>0</v>
      </c>
      <c r="R4" s="776" t="b">
        <v>0</v>
      </c>
      <c r="S4" s="776" t="b">
        <v>0</v>
      </c>
      <c r="T4" s="776" t="b">
        <v>0</v>
      </c>
      <c r="U4" s="776" t="b">
        <v>0</v>
      </c>
      <c r="V4" s="776" t="b">
        <v>0</v>
      </c>
      <c r="W4" s="776" t="b">
        <v>0</v>
      </c>
      <c r="X4" s="776" t="b">
        <v>0</v>
      </c>
      <c r="Z4" s="777" t="s">
        <v>474</v>
      </c>
      <c r="AA4" s="170"/>
      <c r="AB4" s="170"/>
      <c r="AC4" s="318"/>
      <c r="AD4" s="778" t="s">
        <v>64</v>
      </c>
      <c r="AE4" s="779" t="s">
        <v>176</v>
      </c>
      <c r="AF4" s="318"/>
      <c r="AG4" s="56"/>
      <c r="AH4" s="780" t="s">
        <v>475</v>
      </c>
      <c r="AI4" s="303"/>
      <c r="AJ4" s="303"/>
      <c r="AK4" s="303"/>
      <c r="AL4" s="303"/>
      <c r="AM4" s="303"/>
      <c r="AN4" s="303"/>
      <c r="AO4" s="303"/>
      <c r="AP4" s="303"/>
      <c r="AQ4" s="4"/>
      <c r="AR4" s="781"/>
      <c r="AS4" s="782" t="str">
        <f>IF('alocação'!S20=TRUE,"Alocação","Alocação")</f>
        <v>Alocação</v>
      </c>
      <c r="AT4" s="170"/>
      <c r="AU4" s="170"/>
      <c r="AV4" s="318"/>
      <c r="AW4" s="783"/>
      <c r="AX4" s="784" t="s">
        <v>476</v>
      </c>
      <c r="AY4" s="170"/>
      <c r="AZ4" s="170"/>
      <c r="BA4" s="170"/>
      <c r="BB4" s="170"/>
      <c r="BC4" s="170"/>
      <c r="BD4" s="170"/>
      <c r="BE4" s="170"/>
      <c r="BF4" s="318"/>
      <c r="BG4" s="785"/>
      <c r="BH4" s="786" t="s">
        <v>477</v>
      </c>
      <c r="BI4" s="50"/>
      <c r="BJ4" s="50"/>
      <c r="BK4" s="50"/>
      <c r="BL4" s="787" t="b">
        <v>1</v>
      </c>
      <c r="BM4" s="580"/>
      <c r="BN4" s="788" t="s">
        <v>478</v>
      </c>
      <c r="BO4" s="170"/>
      <c r="BP4" s="170"/>
      <c r="BQ4" s="170"/>
      <c r="BR4" s="170"/>
      <c r="BS4" s="170"/>
      <c r="BT4" s="318"/>
      <c r="BU4" s="580"/>
      <c r="BV4" s="789" t="s">
        <v>479</v>
      </c>
      <c r="BW4" s="248"/>
      <c r="BX4" s="248"/>
      <c r="BY4" s="248"/>
      <c r="BZ4" s="248"/>
      <c r="CA4" s="248"/>
      <c r="CB4" s="248"/>
      <c r="CC4" s="248"/>
      <c r="CD4" s="248"/>
      <c r="CE4" s="248"/>
      <c r="CF4" s="248"/>
      <c r="CG4" s="248"/>
      <c r="CH4" s="248"/>
      <c r="CI4" s="56"/>
      <c r="CJ4" s="56"/>
      <c r="CK4" s="580"/>
      <c r="CL4" s="580"/>
      <c r="CM4" s="580"/>
      <c r="CN4" s="545"/>
      <c r="CO4" s="580"/>
      <c r="CP4" s="766"/>
      <c r="CQ4" s="790" t="s">
        <v>480</v>
      </c>
      <c r="CR4" s="791" t="str">
        <f>IF(C5="Alfabética"," order by Col1","")</f>
        <v/>
      </c>
      <c r="CS4" s="409"/>
      <c r="CT4" s="766"/>
      <c r="CU4" s="790" t="s">
        <v>481</v>
      </c>
      <c r="CV4" s="409"/>
      <c r="CW4" s="409"/>
      <c r="CX4" s="409"/>
      <c r="CY4" s="409"/>
    </row>
    <row r="5" ht="18.0" customHeight="1">
      <c r="A5" s="576"/>
      <c r="B5" s="772" t="s">
        <v>379</v>
      </c>
      <c r="C5" s="792" t="s">
        <v>482</v>
      </c>
      <c r="D5" s="793" t="s">
        <v>483</v>
      </c>
      <c r="E5" s="794" t="s">
        <v>484</v>
      </c>
      <c r="F5" s="611"/>
      <c r="G5" s="56"/>
      <c r="H5" s="795" t="s">
        <v>485</v>
      </c>
      <c r="I5" s="796" t="str">
        <f t="array" ref="I5:X5">transpose(CarteirasListaComTotal)</f>
        <v>TODAS AS CARTEIRAS</v>
      </c>
      <c r="J5" s="797"/>
      <c r="K5" s="797"/>
      <c r="L5" s="797"/>
      <c r="M5" s="797"/>
      <c r="N5" s="797"/>
      <c r="O5" s="797"/>
      <c r="P5" s="797"/>
      <c r="Q5" s="797"/>
      <c r="R5" s="797"/>
      <c r="S5" s="797"/>
      <c r="T5" s="797"/>
      <c r="U5" s="797"/>
      <c r="V5" s="797"/>
      <c r="W5" s="797"/>
      <c r="X5" s="797"/>
      <c r="Z5" s="798" t="s">
        <v>486</v>
      </c>
      <c r="AA5" s="798" t="s">
        <v>487</v>
      </c>
      <c r="AB5" s="798" t="s">
        <v>488</v>
      </c>
      <c r="AC5" s="798" t="s">
        <v>489</v>
      </c>
      <c r="AD5" s="778">
        <f>IFERROR(__xludf.DUMMYFUNCTION("GOOGLEFINANCE(""USDBRL"")"),5.19280091)</f>
        <v>5.19280091</v>
      </c>
      <c r="AE5" s="799" t="s">
        <v>386</v>
      </c>
      <c r="AF5" s="799" t="s">
        <v>490</v>
      </c>
      <c r="AG5" s="56"/>
      <c r="AH5" s="800" t="s">
        <v>491</v>
      </c>
      <c r="AI5" s="800" t="s">
        <v>492</v>
      </c>
      <c r="AJ5" s="801">
        <f>TODAY()</f>
        <v>46092</v>
      </c>
      <c r="AK5" s="315" t="s">
        <v>493</v>
      </c>
      <c r="AL5" s="50"/>
      <c r="AM5" s="50"/>
      <c r="AN5" s="50"/>
      <c r="AO5" s="51"/>
      <c r="AP5" s="315" t="s">
        <v>494</v>
      </c>
      <c r="AQ5" s="802">
        <v>60.0</v>
      </c>
      <c r="AR5" s="781"/>
      <c r="AS5" s="803" t="s">
        <v>495</v>
      </c>
      <c r="AT5" s="51"/>
      <c r="AU5" s="804" t="s">
        <v>496</v>
      </c>
      <c r="AV5" s="804" t="s">
        <v>497</v>
      </c>
      <c r="AW5" s="56"/>
      <c r="AX5" s="805" t="str">
        <f>"Vlr. mercado total R$ "&amp;TEXT('portfólio'!$DG$63,"0,000.00")</f>
        <v>Vlr. mercado total R$ 0.000,00</v>
      </c>
      <c r="AY5" s="50"/>
      <c r="AZ5" s="50"/>
      <c r="BA5" s="50"/>
      <c r="BB5" s="50"/>
      <c r="BC5" s="51"/>
      <c r="BD5" s="806" t="s">
        <v>88</v>
      </c>
      <c r="BE5" s="50"/>
      <c r="BF5" s="51"/>
      <c r="BG5" s="56"/>
      <c r="BH5" s="807" t="s">
        <v>498</v>
      </c>
      <c r="BI5" s="808" t="b">
        <v>0</v>
      </c>
      <c r="BJ5" s="809" t="str">
        <f>"Cotação maxima em "&amp;AQ5&amp;" dias"</f>
        <v>Cotação maxima em 60 dias</v>
      </c>
      <c r="BK5" s="810" t="s">
        <v>117</v>
      </c>
      <c r="BL5" s="811" t="s">
        <v>499</v>
      </c>
      <c r="BM5" s="442"/>
      <c r="BN5" s="812" t="s">
        <v>500</v>
      </c>
      <c r="BO5" s="812" t="s">
        <v>501</v>
      </c>
      <c r="BP5" s="812" t="s">
        <v>502</v>
      </c>
      <c r="BQ5" s="812" t="s">
        <v>503</v>
      </c>
      <c r="BR5" s="812" t="s">
        <v>504</v>
      </c>
      <c r="BS5" s="812" t="s">
        <v>505</v>
      </c>
      <c r="BT5" s="812" t="s">
        <v>506</v>
      </c>
      <c r="BU5" s="442"/>
      <c r="BV5" s="813" t="s">
        <v>507</v>
      </c>
      <c r="BW5" s="813" t="s">
        <v>508</v>
      </c>
      <c r="BX5" s="813" t="s">
        <v>501</v>
      </c>
      <c r="BY5" s="813" t="s">
        <v>509</v>
      </c>
      <c r="BZ5" s="813" t="s">
        <v>510</v>
      </c>
      <c r="CA5" s="813" t="s">
        <v>511</v>
      </c>
      <c r="CB5" s="813" t="s">
        <v>500</v>
      </c>
      <c r="CC5" s="813" t="s">
        <v>512</v>
      </c>
      <c r="CD5" s="813" t="s">
        <v>513</v>
      </c>
      <c r="CE5" s="813" t="s">
        <v>514</v>
      </c>
      <c r="CF5" s="813" t="s">
        <v>502</v>
      </c>
      <c r="CG5" s="813" t="s">
        <v>515</v>
      </c>
      <c r="CH5" s="813" t="s">
        <v>516</v>
      </c>
      <c r="CI5" s="56"/>
      <c r="CJ5" s="814" t="s">
        <v>517</v>
      </c>
      <c r="CK5" s="442"/>
      <c r="CL5" s="772" t="s">
        <v>518</v>
      </c>
      <c r="CM5" s="51"/>
      <c r="CN5" s="814" t="s">
        <v>519</v>
      </c>
      <c r="CO5" s="815" t="s">
        <v>520</v>
      </c>
      <c r="CP5" s="766"/>
      <c r="CQ5" s="482" t="s">
        <v>387</v>
      </c>
      <c r="CR5" s="326" t="s">
        <v>388</v>
      </c>
      <c r="CS5" s="56"/>
      <c r="CT5" s="325" t="s">
        <v>521</v>
      </c>
      <c r="CU5" s="816">
        <f>IFERROR(__xludf.DUMMYFUNCTION("IF($C$4='config.parâmetros'!$B$8,1,GOOGLEFINANCE('config.parâmetros'!B8&amp;$C$4))"),1.0)</f>
        <v>1</v>
      </c>
      <c r="CV5" s="56"/>
      <c r="CX5" s="56"/>
      <c r="CY5" s="56"/>
    </row>
    <row r="6" ht="6.0" customHeight="1">
      <c r="A6" s="576"/>
      <c r="B6" s="56"/>
      <c r="C6" s="56"/>
      <c r="D6" s="56"/>
      <c r="E6" s="56"/>
      <c r="F6" s="56"/>
      <c r="G6" s="56"/>
      <c r="I6" s="817"/>
      <c r="J6" s="133"/>
      <c r="K6" s="133"/>
      <c r="L6" s="133"/>
      <c r="M6" s="133"/>
      <c r="N6" s="133"/>
      <c r="O6" s="133"/>
      <c r="P6" s="133"/>
      <c r="Q6" s="133"/>
      <c r="R6" s="133"/>
      <c r="S6" s="133"/>
      <c r="T6" s="133"/>
      <c r="U6" s="133"/>
      <c r="V6" s="133"/>
      <c r="W6" s="133"/>
      <c r="X6" s="133"/>
      <c r="Z6" s="133"/>
      <c r="AA6" s="133"/>
      <c r="AB6" s="133"/>
      <c r="AC6" s="133"/>
      <c r="AD6" s="798" t="s">
        <v>66</v>
      </c>
      <c r="AE6" s="133"/>
      <c r="AF6" s="133"/>
      <c r="AG6" s="56"/>
      <c r="AH6" s="345"/>
      <c r="AI6" s="345"/>
      <c r="AJ6" s="83"/>
      <c r="AK6" s="68"/>
      <c r="AL6" s="69"/>
      <c r="AM6" s="69"/>
      <c r="AN6" s="69"/>
      <c r="AO6" s="70"/>
      <c r="AP6" s="113"/>
      <c r="AQ6" s="818"/>
      <c r="AR6" s="781"/>
      <c r="AS6" s="113"/>
      <c r="AT6" s="83"/>
      <c r="AU6" s="133"/>
      <c r="AV6" s="133"/>
      <c r="AW6" s="56"/>
      <c r="AX6" s="68"/>
      <c r="AY6" s="69"/>
      <c r="AZ6" s="69"/>
      <c r="BA6" s="69"/>
      <c r="BB6" s="69"/>
      <c r="BC6" s="70"/>
      <c r="BD6" s="68"/>
      <c r="BE6" s="69"/>
      <c r="BF6" s="70"/>
      <c r="BG6" s="56"/>
      <c r="BH6" s="594"/>
      <c r="BJ6" s="133"/>
      <c r="BK6" s="819">
        <v>0.2</v>
      </c>
      <c r="BL6" s="819">
        <v>0.05</v>
      </c>
      <c r="BM6" s="442"/>
      <c r="BN6" s="594"/>
      <c r="BO6" s="594"/>
      <c r="BP6" s="594"/>
      <c r="BQ6" s="594"/>
      <c r="BR6" s="594"/>
      <c r="BS6" s="594"/>
      <c r="BT6" s="594"/>
      <c r="BU6" s="442"/>
      <c r="BV6" s="133"/>
      <c r="BW6" s="133"/>
      <c r="BX6" s="133"/>
      <c r="BY6" s="133"/>
      <c r="BZ6" s="133"/>
      <c r="CA6" s="133"/>
      <c r="CB6" s="133"/>
      <c r="CC6" s="133"/>
      <c r="CD6" s="133"/>
      <c r="CE6" s="133"/>
      <c r="CF6" s="133"/>
      <c r="CG6" s="133"/>
      <c r="CH6" s="133"/>
      <c r="CI6" s="56"/>
      <c r="CJ6" s="133"/>
      <c r="CK6" s="442"/>
      <c r="CL6" s="820" t="s">
        <v>522</v>
      </c>
      <c r="CM6" s="83"/>
      <c r="CN6" s="133"/>
      <c r="CO6" s="821"/>
      <c r="CP6" s="766"/>
      <c r="CQ6" s="133"/>
      <c r="CR6" s="133"/>
      <c r="CS6" s="56"/>
      <c r="CT6" s="133"/>
      <c r="CU6" s="818"/>
      <c r="CV6" s="56"/>
      <c r="CW6" s="56"/>
      <c r="CX6" s="56"/>
      <c r="CY6" s="56"/>
    </row>
    <row r="7" ht="9.75" customHeight="1">
      <c r="A7" s="576"/>
      <c r="B7" s="822" t="s">
        <v>206</v>
      </c>
      <c r="C7" s="83"/>
      <c r="D7" s="823" t="s">
        <v>523</v>
      </c>
      <c r="E7" s="823" t="s">
        <v>524</v>
      </c>
      <c r="F7" s="325" t="s">
        <v>525</v>
      </c>
      <c r="G7" s="56"/>
      <c r="I7" s="817"/>
      <c r="J7" s="133"/>
      <c r="K7" s="133"/>
      <c r="L7" s="133"/>
      <c r="M7" s="133"/>
      <c r="N7" s="133"/>
      <c r="O7" s="133"/>
      <c r="P7" s="133"/>
      <c r="Q7" s="133"/>
      <c r="R7" s="133"/>
      <c r="S7" s="133"/>
      <c r="T7" s="133"/>
      <c r="U7" s="133"/>
      <c r="V7" s="133"/>
      <c r="W7" s="133"/>
      <c r="X7" s="133"/>
      <c r="Z7" s="133"/>
      <c r="AA7" s="133"/>
      <c r="AB7" s="133"/>
      <c r="AC7" s="133"/>
      <c r="AD7" s="133"/>
      <c r="AE7" s="133"/>
      <c r="AF7" s="133"/>
      <c r="AG7" s="56"/>
      <c r="AH7" s="345"/>
      <c r="AI7" s="345"/>
      <c r="AJ7" s="306" t="s">
        <v>66</v>
      </c>
      <c r="AK7" s="352" t="s">
        <v>526</v>
      </c>
      <c r="AL7" s="306" t="s">
        <v>527</v>
      </c>
      <c r="AM7" s="306" t="s">
        <v>528</v>
      </c>
      <c r="AN7" s="306" t="s">
        <v>529</v>
      </c>
      <c r="AO7" s="352" t="s">
        <v>230</v>
      </c>
      <c r="AP7" s="824" t="s">
        <v>230</v>
      </c>
      <c r="AQ7" s="559"/>
      <c r="AR7" s="781"/>
      <c r="AS7" s="68"/>
      <c r="AT7" s="70"/>
      <c r="AU7" s="133"/>
      <c r="AV7" s="133"/>
      <c r="AW7" s="56"/>
      <c r="AX7" s="825" t="s">
        <v>530</v>
      </c>
      <c r="AY7" s="825" t="s">
        <v>531</v>
      </c>
      <c r="AZ7" s="825" t="s">
        <v>532</v>
      </c>
      <c r="BA7" s="825" t="s">
        <v>533</v>
      </c>
      <c r="BB7" s="804" t="s">
        <v>534</v>
      </c>
      <c r="BC7" s="804" t="s">
        <v>174</v>
      </c>
      <c r="BD7" s="804" t="s">
        <v>217</v>
      </c>
      <c r="BE7" s="804" t="s">
        <v>216</v>
      </c>
      <c r="BF7" s="804" t="s">
        <v>92</v>
      </c>
      <c r="BG7" s="56"/>
      <c r="BH7" s="826" t="str">
        <f>"Última compra em "&amp;$AQ$5&amp;" dias"</f>
        <v>Última compra em 60 dias</v>
      </c>
      <c r="BI7" s="51"/>
      <c r="BJ7" s="133"/>
      <c r="BK7" s="594"/>
      <c r="BL7" s="594"/>
      <c r="BM7" s="442"/>
      <c r="BN7" s="827" t="s">
        <v>511</v>
      </c>
      <c r="BO7" s="828" t="s">
        <v>502</v>
      </c>
      <c r="BP7" s="828" t="s">
        <v>535</v>
      </c>
      <c r="BQ7" s="828" t="s">
        <v>536</v>
      </c>
      <c r="BR7" s="828" t="s">
        <v>537</v>
      </c>
      <c r="BS7" s="828" t="s">
        <v>538</v>
      </c>
      <c r="BT7" s="828" t="s">
        <v>539</v>
      </c>
      <c r="BU7" s="442"/>
      <c r="BV7" s="594"/>
      <c r="BW7" s="594"/>
      <c r="BX7" s="594"/>
      <c r="BY7" s="594"/>
      <c r="BZ7" s="594"/>
      <c r="CA7" s="594"/>
      <c r="CB7" s="594"/>
      <c r="CC7" s="594"/>
      <c r="CD7" s="594"/>
      <c r="CE7" s="594"/>
      <c r="CF7" s="594"/>
      <c r="CG7" s="594"/>
      <c r="CH7" s="594"/>
      <c r="CI7" s="56"/>
      <c r="CJ7" s="133"/>
      <c r="CK7" s="442"/>
      <c r="CL7" s="113"/>
      <c r="CM7" s="83"/>
      <c r="CN7" s="133"/>
      <c r="CO7" s="821"/>
      <c r="CP7" s="766"/>
      <c r="CQ7" s="133"/>
      <c r="CR7" s="133"/>
      <c r="CS7" s="56"/>
      <c r="CT7" s="133"/>
      <c r="CU7" s="807" t="s">
        <v>540</v>
      </c>
      <c r="CV7" s="56"/>
      <c r="CW7" s="56"/>
      <c r="CX7" s="56"/>
      <c r="CY7" s="56"/>
    </row>
    <row r="8" ht="14.25" customHeight="1">
      <c r="A8" s="576"/>
      <c r="B8" s="113"/>
      <c r="C8" s="83"/>
      <c r="D8" s="133"/>
      <c r="E8" s="823" t="str">
        <f>IFERROR(__xludf.DUMMYFUNCTION("COUNTIF(E9:E308,""SIM"")&amp;""/""&amp;COUNTUNIQUE(B9:B308)"),"0/0")</f>
        <v>0/0</v>
      </c>
      <c r="F8" s="133"/>
      <c r="G8" s="56"/>
      <c r="I8" s="817"/>
      <c r="J8" s="661" t="s">
        <v>541</v>
      </c>
      <c r="K8" s="661" t="s">
        <v>541</v>
      </c>
      <c r="L8" s="661" t="s">
        <v>541</v>
      </c>
      <c r="M8" s="661" t="s">
        <v>541</v>
      </c>
      <c r="N8" s="661" t="s">
        <v>541</v>
      </c>
      <c r="O8" s="661" t="s">
        <v>541</v>
      </c>
      <c r="P8" s="661" t="s">
        <v>541</v>
      </c>
      <c r="Q8" s="661" t="s">
        <v>541</v>
      </c>
      <c r="R8" s="661" t="s">
        <v>541</v>
      </c>
      <c r="S8" s="661" t="s">
        <v>541</v>
      </c>
      <c r="T8" s="661" t="s">
        <v>541</v>
      </c>
      <c r="U8" s="661" t="s">
        <v>541</v>
      </c>
      <c r="V8" s="661" t="s">
        <v>542</v>
      </c>
      <c r="W8" s="661" t="s">
        <v>541</v>
      </c>
      <c r="X8" s="661" t="s">
        <v>541</v>
      </c>
      <c r="Z8" s="594"/>
      <c r="AA8" s="594"/>
      <c r="AB8" s="594"/>
      <c r="AC8" s="594"/>
      <c r="AD8" s="594"/>
      <c r="AE8" s="594"/>
      <c r="AF8" s="594"/>
      <c r="AG8" s="56"/>
      <c r="AH8" s="36"/>
      <c r="AI8" s="36"/>
      <c r="AJ8" s="70"/>
      <c r="AK8" s="594"/>
      <c r="AL8" s="70"/>
      <c r="AM8" s="70"/>
      <c r="AN8" s="70"/>
      <c r="AO8" s="594"/>
      <c r="AP8" s="829"/>
      <c r="AQ8" s="402"/>
      <c r="AR8" s="781"/>
      <c r="AS8" s="830" t="s">
        <v>216</v>
      </c>
      <c r="AT8" s="831" t="s">
        <v>212</v>
      </c>
      <c r="AU8" s="594"/>
      <c r="AV8" s="594"/>
      <c r="AW8" s="56"/>
      <c r="AX8" s="594"/>
      <c r="AY8" s="594"/>
      <c r="AZ8" s="594"/>
      <c r="BA8" s="594"/>
      <c r="BB8" s="594"/>
      <c r="BC8" s="594"/>
      <c r="BD8" s="594"/>
      <c r="BE8" s="594"/>
      <c r="BF8" s="594"/>
      <c r="BG8" s="56"/>
      <c r="BH8" s="68"/>
      <c r="BI8" s="70"/>
      <c r="BJ8" s="594"/>
      <c r="BK8" s="832" t="s">
        <v>543</v>
      </c>
      <c r="BL8" s="318"/>
      <c r="BM8" s="545"/>
      <c r="BN8" s="594"/>
      <c r="BO8" s="594"/>
      <c r="BP8" s="594"/>
      <c r="BQ8" s="594"/>
      <c r="BR8" s="594"/>
      <c r="BS8" s="594"/>
      <c r="BT8" s="594"/>
      <c r="BU8" s="545"/>
      <c r="BV8" s="833" t="s">
        <v>544</v>
      </c>
      <c r="BW8" s="833" t="s">
        <v>545</v>
      </c>
      <c r="BX8" s="833" t="s">
        <v>546</v>
      </c>
      <c r="BY8" s="833" t="s">
        <v>547</v>
      </c>
      <c r="BZ8" s="833" t="s">
        <v>548</v>
      </c>
      <c r="CA8" s="833" t="s">
        <v>549</v>
      </c>
      <c r="CB8" s="833" t="s">
        <v>550</v>
      </c>
      <c r="CC8" s="833" t="s">
        <v>551</v>
      </c>
      <c r="CD8" s="833" t="s">
        <v>552</v>
      </c>
      <c r="CE8" s="833" t="s">
        <v>553</v>
      </c>
      <c r="CF8" s="833" t="s">
        <v>554</v>
      </c>
      <c r="CG8" s="833" t="s">
        <v>555</v>
      </c>
      <c r="CH8" s="833" t="str">
        <f>IFERROR(__xludf.DUMMYFUNCTION("concat(""&gt; "",TO_TEXT(CN2))"),"&gt; 12,75%")</f>
        <v>&gt; 12,75%</v>
      </c>
      <c r="CI8" s="56"/>
      <c r="CJ8" s="133"/>
      <c r="CK8" s="545"/>
      <c r="CL8" s="823" t="s">
        <v>212</v>
      </c>
      <c r="CM8" s="834" t="s">
        <v>556</v>
      </c>
      <c r="CN8" s="133"/>
      <c r="CO8" s="25"/>
      <c r="CP8" s="766"/>
      <c r="CQ8" s="835" t="str">
        <f>IFERROR(__xludf.DUMMYFUNCTION("IFERROR("" (Col2 = '""&amp;join(""' or Col2 = '"",filter(carteiras.!AA6:AA20, CQ10:CQ24))&amp;""') "")"),"")</f>
        <v/>
      </c>
      <c r="CR8" s="836" t="str">
        <f>if(AND(CQ8="",CQ9=false),"Col2 = ''",CQ8)</f>
        <v/>
      </c>
      <c r="CS8" s="56"/>
      <c r="CT8" s="133"/>
      <c r="CU8" s="133"/>
      <c r="CV8" s="56"/>
      <c r="CW8" s="790" t="s">
        <v>557</v>
      </c>
    </row>
    <row r="9" ht="22.5" customHeight="1">
      <c r="A9" s="837">
        <v>1.0</v>
      </c>
      <c r="B9" s="838" t="str">
        <f t="array" ref="B9:B308">IF(CR9:CR308="","",IFERROR(VLOOKUP(CR9:CR308,AtivosDados,MATCH("nome_pregao_portfolio",portfolio.!$A$3:CY$3,0),FALSE),IFERROR(VLOOKUP(CR9:CR308,ativos.!$C$3:$S308,MATCH("ativo+nome_pregao",ativos.!$C$2:CY$2,0),FALSE),"")))</f>
        <v/>
      </c>
      <c r="C9" s="838" t="str">
        <f t="array" ref="C9:C308">IF(CR9:CR308="","",IFERROR(VLOOKUP(CR9:CR308,ativos.!$C$3:$S308,MATCH("classe",ativos.!$C$2:CY$2,0),FALSE),""))</f>
        <v/>
      </c>
      <c r="D9" s="839" t="str">
        <f t="array" ref="D9:D308">IF(CR9:CR308="","",IFERROR(VLOOKUP(CR9:CR308,ativos.!$C$3:$S308,MATCH("setor",ativos.!$C$2:CY$2,0),FALSE),""))</f>
        <v/>
      </c>
      <c r="E9" s="839" t="str">
        <f t="array" ref="E9:E308">IF($CR9:CR308="","",IFERROR(IF(MATCH($CR9:CR308,AtivosLista,0)&gt;0,"SIM",""
),""))</f>
        <v/>
      </c>
      <c r="F9" s="839" t="str">
        <f t="array" ref="F9:F308">IF(CR9:CR308="","",COUNTIF(CarteirasAtivos,CR9:CR308))</f>
        <v/>
      </c>
      <c r="G9" s="56"/>
      <c r="H9" s="840"/>
      <c r="I9" s="838"/>
      <c r="J9" s="838" t="str">
        <f t="array" ref="J9">IF(J$5="","",IF(J$8="Desligado","",IF($CR9:$CR308="","",IFERROR(VLOOKUP($CR9:$CR308,CarteirasMatrizAtivos1,1,FALSE),""))))</f>
        <v/>
      </c>
      <c r="K9" s="838" t="str">
        <f t="array" ref="K9">IF(K$5="","",IF(K$8="Desligado","",IF($CR9:$CR308="","",IFERROR(VLOOKUP($CR9:$CR308,CarteirasMatrizAtivos2,1,FALSE),""))))</f>
        <v/>
      </c>
      <c r="L9" s="838" t="str">
        <f t="array" ref="L9">IF(L$5="","",IF(L$8="Desligado","",IF($CR9:$CR308="","",IFERROR(VLOOKUP($CR9:$CR308,CarteirasMatrizAtivos3,1,FALSE),""))))</f>
        <v/>
      </c>
      <c r="M9" s="838" t="str">
        <f t="array" ref="M9">IF(M$5="","",IF(M$8="Desligado","",IF($CR9:$CR308="","",IFERROR(VLOOKUP($CR9:$CR308,CarteirasMatrizAtivos4,1,FALSE),""))))</f>
        <v/>
      </c>
      <c r="N9" s="838" t="str">
        <f t="array" ref="N9">IF(N$5="","",IF(N$8="Desligado","",IF($CR9:$CR308="","",IFERROR(VLOOKUP($CR9:$CR308,CarteirasMatrizAtivos5,1,FALSE),""))))</f>
        <v/>
      </c>
      <c r="O9" s="838" t="str">
        <f t="array" ref="O9">IF(O$5="","",IF(O$8="Desligado","",IF($CR9:$CR308="","",IFERROR(VLOOKUP($CR9:$CR308,CarteirasMatrizAtivos6,1,FALSE),""))))</f>
        <v/>
      </c>
      <c r="P9" s="838" t="str">
        <f t="array" ref="P9">IF(P$5="","",IF(P$8="Desligado","",IF($CR9:$CR308="","",IFERROR(VLOOKUP($CR9:$CR308,CarteirasMatrizAtivos7,1,FALSE),""))))</f>
        <v/>
      </c>
      <c r="Q9" s="838" t="str">
        <f t="array" ref="Q9">IF(Q$5="","",IF(Q$8="Desligado","",IF($CR9:$CR308="","",IFERROR(VLOOKUP($CR9:$CR308,CarteirasMatrizAtivos8,1,FALSE),""))))</f>
        <v/>
      </c>
      <c r="R9" s="838" t="str">
        <f t="array" ref="R9">IF(R$5="","",IF(R$8="Desligado","",IF($CR9:$CR308="","",IFERROR(VLOOKUP($CR9:$CR308,CarteirasMatrizAtivos9,1,FALSE),""))))</f>
        <v/>
      </c>
      <c r="S9" s="838" t="str">
        <f t="array" ref="S9">IF(S$5="","",IF(S$8="Desligado","",IF($CR9:$CR308="","",IFERROR(VLOOKUP($CR9:$CR308,CarteirasMatrizAtivos10,1,FALSE),""))))</f>
        <v/>
      </c>
      <c r="T9" s="838" t="str">
        <f t="array" ref="T9">IF(T$5="","",IF(T$8="Desligado","",IF($CR9:$CR308="","",IFERROR(VLOOKUP($CR9:$CR308,CarteirasMatrizAtivos11,1,FALSE),""))))</f>
        <v/>
      </c>
      <c r="U9" s="838" t="str">
        <f t="array" ref="U9">IF(U$5="","",IF(U$8="Desligado","",IF($CR9:$CR308="","",IFERROR(VLOOKUP($CR9:$CR308,CarteirasMatrizAtivos12,1,FALSE),""))))</f>
        <v/>
      </c>
      <c r="V9" s="838" t="str">
        <f t="array" ref="V9">IF(V$5="","",IF(V$8="Desligado","",IF($CR9:$CR308="","",IFERROR(VLOOKUP($CR9:$CR308,CarteirasMatrizAtivos13,1,FALSE),""))))</f>
        <v/>
      </c>
      <c r="W9" s="838" t="str">
        <f t="array" ref="W9">IF(W$5="","",IF(W$8="Desligado","",IF($CR9:$CR308="","",IFERROR(VLOOKUP($CR9:$CR308,CarteirasMatrizAtivos14,1,FALSE),""))))</f>
        <v/>
      </c>
      <c r="X9" s="838" t="str">
        <f t="array" ref="X9">IF(X$5="","",IF(X$8="Desligado","",IF($CR9:$CR308="","",IFERROR(VLOOKUP($CR9:$CR308,CarteirasMatrizAtivos15,1,FALSE),""))))</f>
        <v/>
      </c>
      <c r="Z9" s="841" t="str">
        <f>IFERROR(__xludf.DUMMYFUNCTION("IF($CR9="""","""",IFERROR(query({CarteirasAtivos},""select Col4 where Col4 is not null and Col1 = '""&amp;$CR9&amp;""' limit 1"")*CU9,""NC""))"),"")</f>
        <v/>
      </c>
      <c r="AA9" s="842" t="str">
        <f>IFERROR(__xludf.DUMMYFUNCTION("IF($CR9="""","""",IFERROR(query({CarteirasAtivos},""select Col6 where Col4 is not null and Col1 = '""&amp;$CR9&amp;""' limit 1""),""NC""))"),"")</f>
        <v/>
      </c>
      <c r="AB9" s="843" t="str">
        <f t="array" ref="AB9:AB308">IFERROR(IF(Z9:Z308="NC","-",AD9:AD308/Z9:Z308-1),"")</f>
        <v/>
      </c>
      <c r="AC9" s="844" t="str">
        <f t="array" ref="AC9:AC308">IF(CR9:CR308="","",IF(AA9:AA308="NC","-",DATEDIF(AA9:AA308,TODAY(),"M")&amp; " meses"&amp;"
"&amp;TEXT(IFERROR((AB9:AB308*100)/DATEDIF(AA9:AA308,TODAY(),"M"),(AB9:AB308*100)),"0.0")&amp;"% am"))</f>
        <v/>
      </c>
      <c r="AD9" s="845" t="str">
        <f>IF($CR9="","",IFERROR(VLOOKUP($CR9,ativos.!$C$3:$R308,MATCH("cotacao",ativos.!$C$2:CY$2,0),FALSE)*$CU$5,"atualizar"))</f>
        <v/>
      </c>
      <c r="AE9" s="846" t="str">
        <f>IFERROR(__xludf.DUMMYFUNCTION("IF($CR9="""","""",IFERROR(AVERAGE(query({CarteirasAtivos;CarteirasAtivosEncerrados},""select Col5 where Col5 is not null and Col1 = '""&amp;$CR9&amp;""' and Col10='SIM'""))*CU9,""NC""))"),"")</f>
        <v/>
      </c>
      <c r="AF9" s="847" t="str">
        <f t="shared" ref="AF9:AF308" si="1">IFERROR(IF(AE9="NC","-",AE9/AD9-1),"")</f>
        <v/>
      </c>
      <c r="AG9" s="442"/>
      <c r="AH9" s="848" t="str">
        <f>IFERROR(__xludf.DUMMYFUNCTION("IF($CR9="""","""",IFERROR(GOOGLEFINANCE($CR9,""low52"")*CU9,""-""))"),"")</f>
        <v/>
      </c>
      <c r="AI9" s="848" t="str">
        <f>IFERROR(__xludf.DUMMYFUNCTION("IF($CR9="""","""",IFERROR(GOOGLEFINANCE($CR9,""high52"")*CU9,""-""))"),"")</f>
        <v/>
      </c>
      <c r="AJ9" s="849" t="str">
        <f t="array" ref="AJ9:AJ308">AD9:AD308</f>
        <v/>
      </c>
      <c r="AK9" s="850" t="str">
        <f>IFERROR(__xludf.DUMMYFUNCTION("IF($CR9="""","""",IFERROR(GOOGLEFINANCE($CR9,""changepct"")/100,""-""))"),"")</f>
        <v/>
      </c>
      <c r="AL9" s="851" t="str">
        <f>IFERROR(__xludf.DUMMYFUNCTION("IF($CR9="""","""",IFERROR(($AD9/(QUERY(GOOGLEFINANCE($CR9,""price"",TODAY()-7),""SELECT Col2 label Col2 ''"")*$CU9)-1),""-""))"),"")</f>
        <v/>
      </c>
      <c r="AM9" s="851" t="str">
        <f>IFERROR(__xludf.DUMMYFUNCTION("IF($CR9="""","""",IFERROR(($AD9/(QUERY(GOOGLEFINANCE($CR9,""price"",TODAY()-14),""SELECT Col2 label Col2 ''"")*$CU9)-1),""-""))"),"")</f>
        <v/>
      </c>
      <c r="AN9" s="851" t="str">
        <f>IFERROR(__xludf.DUMMYFUNCTION("IF($CR9="""","""",IFERROR(($AD9/(QUERY(GOOGLEFINANCE($CR9,""price"",TODAY()-28),""SELECT Col2 label Col2 ''"")*$CU9)-1),""-""))"),"")</f>
        <v/>
      </c>
      <c r="AO9" s="851" t="str">
        <f>IFERROR(__xludf.DUMMYFUNCTION("IF($CR9="""","""",IFERROR(($AD9/(QUERY(GOOGLEFINANCE($CR9,""price"",TODAY()-$AQ$5),""SELECT Col2 label Col2 ''"")*$CU9)-1),""-""))"),"")</f>
        <v/>
      </c>
      <c r="AP9" s="852" t="str">
        <f>IFERROR(__xludf.DUMMYFUNCTION("IF($CR9="""","""",IFERROR(SPARKLINE(query(GOOGLEFINANCE($CR9,""price"",TODAY()-$AQ$5,TODAY(),1),""select Col2 label Col2 ''""),IF($AP$7=""Gráfico de barras"",{""charttype"",""column"";""highcolor"",""red""},{""chartype"",""line""}))))"),"")</f>
        <v/>
      </c>
      <c r="AQ9" s="144"/>
      <c r="AR9" s="853"/>
      <c r="AS9" s="854" t="str">
        <f>IF($CR9="","",IF(NOT('alocação'!$D$1),"off",IFERROR(VLOOKUP(CR9,BalanceAtivos,3,0),"NC")))</f>
        <v/>
      </c>
      <c r="AT9" s="855" t="str">
        <f>IF($CR9="","",IF(NOT('alocação'!$D$1),"off",IFERROR(VLOOKUP($CR9,BalanceAtivos,4,0)*$CU$5,"NC")))</f>
        <v/>
      </c>
      <c r="AU9" s="856" t="str">
        <f>IF($CR9="","",IF(NOT('alocação'!$D$1),"off",IFERROR(VLOOKUP($CR9,BalanceAtivos,5,0),"-")))</f>
        <v/>
      </c>
      <c r="AV9" s="856" t="str">
        <f>IF($CR9="","",IF(NOT('alocação'!$D$1),"off",IFERROR(VLOOKUP($CR9,BalanceAtivos,6,0),"-")))</f>
        <v/>
      </c>
      <c r="AW9" s="857"/>
      <c r="AX9" s="858" t="str">
        <f>IF($CR9="","",IF($E9="","SP",IFERROR(VLOOKUP($CR9,AtivosDados,MATCH("pm_atual",portfolio.!$A$3:CY$3,0),0)*$CU$5,0)))</f>
        <v/>
      </c>
      <c r="AY9" s="859" t="str">
        <f t="shared" ref="AY9:AY308" si="2">IF(AX9="SP","-",IFERROR(AX9/AD9-1,""))</f>
        <v/>
      </c>
      <c r="AZ9" s="858" t="str">
        <f>IF($CR9="","",IF($E9="","SP",SUMIF(portfolio.!$A$4:$A308,$CR9,portfolio.!$O$4:$O308)*$CU$5))</f>
        <v/>
      </c>
      <c r="BA9" s="858" t="str">
        <f>IF($CR9="","",IF($E9="","SP",SUMIF(portfolio.!$A$4:$A308,$CR9,portfolio.!$AN$4:$AN308)*$CU$5))</f>
        <v/>
      </c>
      <c r="BB9" s="860" t="str">
        <f>IF($CR9="","",IF($E9="","-",IFERROR($BA9/'portfólio'!$DG$63,"")))</f>
        <v/>
      </c>
      <c r="BC9" s="861" t="str">
        <f>IF($CR9="","",IF($E9="","-",SUMIF(portfolio.!$A$4:$A308,$CR9,portfolio.!$J$4:$J308)))</f>
        <v/>
      </c>
      <c r="BD9" s="862" t="str">
        <f>IF($CR9="","",IF($E9="","SP",SUMIF(portfolio.!$A$4:$A308,$CR9,portfolio.!$AQ$4:$AQ308)*$CU$5))</f>
        <v/>
      </c>
      <c r="BE9" s="850" t="str">
        <f t="shared" ref="BE9:BE308" si="3">IF($CR9:CR308="","",IF($E9:$E308="","-",BD9/AZ9))</f>
        <v/>
      </c>
      <c r="BF9" s="862" t="str">
        <f>IF($CR9="","",IF($E9="","-",SUMIF(portfolio.!$A$4:$A308,$CR9,portfolio.!$AX$4:$AX308)*$CU$5))</f>
        <v/>
      </c>
      <c r="BG9" s="545"/>
      <c r="BH9" s="863" t="str">
        <f t="array" ref="BH9:BH308">IF(NOT($BL$4),"",IF(CR9:CR308="","",IF(CL9:CL308="","SC",CL9:CL308*CU9:CU308)))</f>
        <v/>
      </c>
      <c r="BI9" s="864" t="str">
        <f t="array" ref="BI9:BI308">IF(NOT($BL$4),"",IF(CR9:CR308="","",IF(CM9:CM308="","-",CM9:CM308)))</f>
        <v/>
      </c>
      <c r="BJ9" s="863" t="str">
        <f>IFERROR(__xludf.DUMMYFUNCTION("IF(NOT($BL$4),"""",IF($CR9="""","""",IFERROR(query({GOOGLEFINANCE($CR9,""price"",IF($BI9=""-"",TODAY()-($AQ$5+5),$BI9),TODAY()-1)},""Select max(Col2) where Col1 is not null label max(Col2) ''"")*CU9,""-"")))"),"")</f>
        <v/>
      </c>
      <c r="BK9" s="865" t="str">
        <f t="array" ref="BK9:BK308">IF(NOT($BL$4),"",IF(CR9:CR308="","",IF(BJ9:BJ308="-","-",(1-CN9:CN308)*IF(BH9:BH308="SC",BJ9:BJ308,IF($BI$5,IF(BH9:BH308&lt;BJ9:BJ308,BH9:BH308,BJ9:BJ308),BJ9:BJ308)))))</f>
        <v/>
      </c>
      <c r="BL9" s="866" t="str">
        <f t="array" ref="BL9:BL308">IF(NOT($BL$4),"",IF(CR9:CR308="","",IF(BJ9:BJ308="-","-",IFERROR(1-AD9:AD308/IF(BH9:BH308="SC",BJ9:BJ308,IF($BI$5,IF(BH9:BH308&lt;BJ9:BJ308,BH9:BH308,BJ9:BJ308),BJ9:BJ308)),""))))</f>
        <v/>
      </c>
      <c r="BM9" s="442"/>
      <c r="BN9" s="867" t="str">
        <f>IFERROR(__xludf.DUMMYFUNCTION("IF(CR9="""","""",IF(OR(C9=""AÇÃO"",C9=""BDR""),IFERROR(QUERY({fundamentus.!$A$3:$U308},$CX$67&amp;"" where Col1='""&amp;CR9&amp;""' limit 1"",0)),IF(C9=""FII"",IFERROR(QUERY({fundsexplorer.!$A$2:$Z308},$CY$67&amp;"" where Col1='""&amp;CR9&amp;""' limit 1"",0)),"""")))"),"")</f>
        <v/>
      </c>
      <c r="BO9" s="867"/>
      <c r="BP9" s="867"/>
      <c r="BQ9" s="867"/>
      <c r="BR9" s="867"/>
      <c r="BS9" s="867"/>
      <c r="BT9" s="867"/>
      <c r="BU9" s="442"/>
      <c r="BV9" s="868" t="str">
        <f>IFERROR(__xludf.DUMMYFUNCTION("IF(OR(C9=""AÇÃO"",C9=""BDR""),IFERROR(GOOGLEFINANCE(CONCAT(""BVMF:"",CR9), ""marketcap"")/1000000,""NC""),"""")"),"")</f>
        <v/>
      </c>
      <c r="BW9" s="869" t="str">
        <f t="array" ref="BW9:BW308">IF($CR9:CR308="","",IFERROR(IF(VLOOKUP($CR9:CR308,fundamentus.!A3:U308,15,FALSE)=0,"NC",VLOOKUP($CR9:CR308,fundamentus.!A3:U308,15,FALSE)),""))</f>
        <v/>
      </c>
      <c r="BX9" s="870" t="str">
        <f t="array" ref="BX9:BX308">IF(CR9:CR308="","",IFERROR(IF(VLOOKUP($CR9:CR308,fundamentus.!A3:U308,17,FALSE)=0,"NC",VLOOKUP($CR9:CR308,fundamentus.!A3:U308,17,FALSE)),""))</f>
        <v/>
      </c>
      <c r="BY9" s="868" t="str">
        <f t="array" ref="BY9:BY308">IF(CR9:CR308="","",IFERROR(IF(VLOOKUP(CR9:CR308,fundamentus.!A3:U308,20,FALSE)=0,"NC",VLOOKUP(CR9:CR308,fundamentus.!A3:U308,20,FALSE)),""))</f>
        <v/>
      </c>
      <c r="BZ9" s="870" t="str">
        <f t="array" ref="BZ9:BZ308">IF(CR9:CR308="","",IFERROR(IF(VLOOKUP(CR9:CR308,fundamentus.!A3:U308,21,FALSE)=0,"NC",VLOOKUP(CR9:CR308,fundamentus.!A3:U308,21,FALSE)),""))</f>
        <v/>
      </c>
      <c r="CA9" s="868" t="str">
        <f t="array" ref="CA9:CA308">IF(CR9:CR308="","",IFERROR(IF(VLOOKUP(CR9:CR308,fundamentus.!A3:U308,4,FALSE)=0,"NC",VLOOKUP(CR9:CR308,fundamentus.!A3:U308,4,FALSE)),""))</f>
        <v/>
      </c>
      <c r="CB9" s="868" t="str">
        <f t="array" ref="CB9:CB308">IF(CR9:CR308="","",IFERROR(IF(VLOOKUP(CR9:CR308,fundamentus.!A3:U308,3,FALSE)=0,"NC",VLOOKUP(CR9:CR308,fundamentus.!A3:U308,3,FALSE)),""))</f>
        <v/>
      </c>
      <c r="CC9" s="868" t="str">
        <f t="array" ref="CC9:CC308">IF(CA9:CA308="","",IF(CB9:CB308="NC","NC",CA9:CA308*CB9:CB308))</f>
        <v/>
      </c>
      <c r="CD9" s="868" t="str">
        <f>IFERROR(__xludf.DUMMYFUNCTION("IF(OR(C9=""AÇÃO"",C9=""BDR""),IFERROR(GOOGLEFINANCE(CONCAT(""BVMF:"",CR9), ""volumeavg"")/1000000,""NC""),"""")"),"")</f>
        <v/>
      </c>
      <c r="CE9" s="870" t="str">
        <f t="array" ref="CE9:CE308">IF(BX9:BX308="","",IFERROR(BX9:BX308*(1-CG9:CG308),"NC"))</f>
        <v/>
      </c>
      <c r="CF9" s="870" t="str">
        <f t="array" ref="CF9:CF308">IF(CR9:CR308="","",IFERROR(VLOOKUP(CR9:CR308,fundamentus.!A3:U308,6,FALSE),""))</f>
        <v/>
      </c>
      <c r="CG9" s="870" t="str">
        <f>IFERROR(__xludf.DUMMYFUNCTION("IF(OR(C9=""AÇÃO"",C9=""BDR""),IF(CF9=0,""SEM DY"",IFERROR(ImportXML(CONCAT(""http://www.guiainvest.com.br/raiox/default.aspx?sigla="",$CR9),""//*[@id='lbPayoutAtual']""),""NC"")),"""")"),"")</f>
        <v/>
      </c>
      <c r="CH9" s="870" t="str">
        <f t="array" ref="CH9:CH308">IF(CJ9:CJ308="","",IF(CJ9:CJ308="NC","NC",CJ9:CJ308/(AD9:AD308/CU9:CU308)))</f>
        <v/>
      </c>
      <c r="CI9" s="545"/>
      <c r="CJ9" s="871" t="str">
        <f>IFERROR(__xludf.DUMMYFUNCTION("IF(OR(C9=""AÇÃO"",C9=""BDR""),IFERROR(GOOGLEFINANCE(CONCAT(""BVMF:"",CR9), ""eps""),""NC""),"""")"),"")</f>
        <v/>
      </c>
      <c r="CK9" s="442"/>
      <c r="CL9" s="871" t="str">
        <f>IFERROR(__xludf.DUMMYFUNCTION("IF(NOT($BL$4),"""",IF($CR9="""","""",IF($BC9="""","""",IFERROR(query({op.normal!$B$5:$F308},""select Col5, toDate(Col2) where Col1 =  '""&amp;$CR9&amp;""' and Col4 &gt; 0 and ((Col3 is null) or (Col3 = 'C')) and Col2 &gt;= date '""&amp;TEXT(TODAY()-$AQ$5,""yyyy-mm-dd"")&amp;"""&amp;"' order by Col2 desc limit 1 label toDate(Col2) ''"")))))"),"")</f>
        <v/>
      </c>
      <c r="CM9" s="872"/>
      <c r="CN9" s="873" t="str">
        <f t="array" ref="CN9:CN308">IF(BJ9:BJ308="","",IF($C9:C308="FII",$BL$6,$BK$6))</f>
        <v/>
      </c>
      <c r="CO9" s="874" t="str">
        <f t="array" ref="CO9:CO308">IF(CR9:CR308="","",IF(IFERROR(VLOOKUP(CR9:CR308,CarteirasAtivos,1,FALSE),"")=CR9:CR308,"",CR9:CR308))</f>
        <v/>
      </c>
      <c r="CP9" s="766"/>
      <c r="CQ9" s="791" t="str">
        <f t="array" ref="CQ9">IF(NOT($CO$2),"",TRANSPOSE(MatrizSelecao))</f>
        <v/>
      </c>
      <c r="CR9" s="791" t="str">
        <f>IFERROR(__xludf.DUMMYFUNCTION("if(NOT(CO2),"""",IFERROR(QUERY({unique({IFERROR(query(IF(MatrizTipoAtivos=""Abertos"",{CarteirasAtivos},IF(MatrizTipoAtivos=""Encerrados"",{CarteirasAtivosEncerrados},{CarteirasAtivos;CarteirasAtivosEncerrados})),""Select Col1 where Col1 is not null""&amp;IF("&amp;"CQ9,"""",IF(CR8="""","""","" and ""&amp;CR8))&amp;"" limit 300""));IF($H$4,{IFERROR(FILTER(H9:H308,H9:H308&lt;&gt;""""))},{""""})})},""select Col1 where Col1 is not null ""&amp;CR4)))"),"")</f>
        <v/>
      </c>
      <c r="CT9" s="791" t="str">
        <f t="array" ref="CT9:CT308">IF(CR9:CR308="","",IFERROR(VLOOKUP(CR9:CR308,ativos.!C3:R308,MATCH("moeda_price",ativos.!$C$2:CY$2,0),FALSE),"BRL"))</f>
        <v/>
      </c>
      <c r="CU9" s="791" t="str">
        <f>IFERROR(__xludf.DUMMYFUNCTION("IF(CR9="""","""",IF(CT9=$C$4,1,GOOGLEFINANCE(CT9&amp;$C$4)))"),"")</f>
        <v/>
      </c>
      <c r="CW9" s="791" t="str">
        <f t="array" ref="CW9:CW29">TRANSPOSE(fundamentus.!A2:U2)</f>
        <v>Papel</v>
      </c>
      <c r="CX9" s="791"/>
      <c r="CY9" s="791"/>
    </row>
    <row r="10" ht="22.5" customHeight="1">
      <c r="A10" s="837">
        <v>2.0</v>
      </c>
      <c r="B10" s="838" t="s">
        <v>123</v>
      </c>
      <c r="C10" s="838" t="s">
        <v>123</v>
      </c>
      <c r="D10" s="839" t="s">
        <v>123</v>
      </c>
      <c r="E10" s="839" t="s">
        <v>123</v>
      </c>
      <c r="F10" s="839" t="s">
        <v>123</v>
      </c>
      <c r="G10" s="56"/>
      <c r="H10" s="840"/>
      <c r="I10" s="838"/>
      <c r="J10" s="838"/>
      <c r="K10" s="838"/>
      <c r="L10" s="838"/>
      <c r="M10" s="838"/>
      <c r="N10" s="838"/>
      <c r="O10" s="838"/>
      <c r="P10" s="838"/>
      <c r="Q10" s="838"/>
      <c r="R10" s="838"/>
      <c r="S10" s="838"/>
      <c r="T10" s="838"/>
      <c r="U10" s="838"/>
      <c r="V10" s="838"/>
      <c r="W10" s="838"/>
      <c r="X10" s="838"/>
      <c r="Z10" s="875" t="str">
        <f>IFERROR(__xludf.DUMMYFUNCTION("IF($CR10="""","""",IFERROR(query({CarteirasAtivos},""select Col4 where Col4 is not null and Col1 = '""&amp;$CR10&amp;""' limit 1"")*CU10,""NC""))"),"")</f>
        <v/>
      </c>
      <c r="AA10" s="876" t="str">
        <f>IFERROR(__xludf.DUMMYFUNCTION("IF($CR10="""","""",IFERROR(query({CarteirasAtivos},""select Col6 where Col4 is not null and Col1 = '""&amp;$CR10&amp;""' limit 1""),""NC""))"),"")</f>
        <v/>
      </c>
      <c r="AB10" s="877"/>
      <c r="AC10" s="878" t="s">
        <v>123</v>
      </c>
      <c r="AD10" s="845" t="str">
        <f>IF($CR10="","",IFERROR(VLOOKUP($CR10,ativos.!$C$3:$R308,MATCH("cotacao",ativos.!$C$2:CY$2,0),FALSE)*$CU$5,"atualizar"))</f>
        <v/>
      </c>
      <c r="AE10" s="846" t="str">
        <f>IFERROR(__xludf.DUMMYFUNCTION("IF($CR10="""","""",IFERROR(AVERAGE(query({CarteirasAtivos;CarteirasAtivosEncerrados},""select Col5 where Col5 is not null and Col1 = '""&amp;$CR10&amp;""' and Col10='SIM'""))*CU10,""NC""))"),"")</f>
        <v/>
      </c>
      <c r="AF10" s="847" t="str">
        <f t="shared" si="1"/>
        <v/>
      </c>
      <c r="AG10" s="442"/>
      <c r="AH10" s="848" t="str">
        <f>IFERROR(__xludf.DUMMYFUNCTION("IF($CR10="""","""",IFERROR(GOOGLEFINANCE($CR10,""low52"")*CU10,""-""))"),"")</f>
        <v/>
      </c>
      <c r="AI10" s="848" t="str">
        <f>IFERROR(__xludf.DUMMYFUNCTION("IF($CR10="""","""",IFERROR(GOOGLEFINANCE($CR10,""high52"")*CU10,""-""))"),"")</f>
        <v/>
      </c>
      <c r="AJ10" s="849" t="s">
        <v>123</v>
      </c>
      <c r="AK10" s="850" t="str">
        <f>IFERROR(__xludf.DUMMYFUNCTION("IF($CR10="""","""",IFERROR(GOOGLEFINANCE($CR10,""changepct"")/100,""-""))"),"")</f>
        <v/>
      </c>
      <c r="AL10" s="851" t="str">
        <f>IFERROR(__xludf.DUMMYFUNCTION("IF($CR10="""","""",IFERROR(($AD10/(QUERY(GOOGLEFINANCE($CR10,""price"",TODAY()-7),""SELECT Col2 label Col2 ''"")*$CU10)-1),""-""))"),"")</f>
        <v/>
      </c>
      <c r="AM10" s="851" t="str">
        <f>IFERROR(__xludf.DUMMYFUNCTION("IF($CR10="""","""",IFERROR(($AD10/(QUERY(GOOGLEFINANCE($CR10,""price"",TODAY()-14),""SELECT Col2 label Col2 ''"")*$CU10)-1),""-""))"),"")</f>
        <v/>
      </c>
      <c r="AN10" s="851" t="str">
        <f>IFERROR(__xludf.DUMMYFUNCTION("IF($CR10="""","""",IFERROR(($AD10/(QUERY(GOOGLEFINANCE($CR10,""price"",TODAY()-28),""SELECT Col2 label Col2 ''"")*$CU10)-1),""-""))"),"")</f>
        <v/>
      </c>
      <c r="AO10" s="851" t="str">
        <f>IFERROR(__xludf.DUMMYFUNCTION("IF($CR10="""","""",IFERROR(($AD10/(QUERY(GOOGLEFINANCE($CR10,""price"",TODAY()-$AQ$5),""SELECT Col2 label Col2 ''"")*$CU10)-1),""-""))"),"")</f>
        <v/>
      </c>
      <c r="AP10" s="852" t="str">
        <f>IFERROR(__xludf.DUMMYFUNCTION("IF($CR10="""","""",IFERROR(SPARKLINE(query(GOOGLEFINANCE($CR10,""price"",TODAY()-$AQ$5,TODAY(),1),""select Col2 label Col2 ''""),IF($AP$7=""Gráfico de barras"",{""charttype"",""column"";""highcolor"",""red""},{""chartype"",""line""}))))"),"")</f>
        <v/>
      </c>
      <c r="AQ10" s="144"/>
      <c r="AR10" s="853"/>
      <c r="AS10" s="854" t="str">
        <f>IF($CR10="","",IF(NOT('alocação'!$D$1),"off",IFERROR(VLOOKUP(CR10,BalanceAtivos,3,0),"NC")))</f>
        <v/>
      </c>
      <c r="AT10" s="855" t="str">
        <f>IF($CR10="","",IF(NOT('alocação'!$D$1),"off",IFERROR(VLOOKUP($CR10,BalanceAtivos,4,0)*$CU$5,"NC")))</f>
        <v/>
      </c>
      <c r="AU10" s="856" t="str">
        <f>IF($CR10="","",IF(NOT('alocação'!$D$1),"off",IFERROR(VLOOKUP($CR10,BalanceAtivos,5,0),"-")))</f>
        <v/>
      </c>
      <c r="AV10" s="856" t="str">
        <f>IF($CR10="","",IF(NOT('alocação'!$D$1),"off",IFERROR(VLOOKUP($CR10,BalanceAtivos,6,0),"-")))</f>
        <v/>
      </c>
      <c r="AW10" s="857"/>
      <c r="AX10" s="858" t="str">
        <f>IF($CR10="","",IF($E10="","SP",IFERROR(VLOOKUP($CR10,AtivosDados,MATCH("pm_atual",portfolio.!$A$3:CY$3,0),0)*$CU$5,0)))</f>
        <v/>
      </c>
      <c r="AY10" s="859" t="str">
        <f t="shared" si="2"/>
        <v/>
      </c>
      <c r="AZ10" s="858" t="str">
        <f>IF($CR10="","",IF($E10="","SP",SUMIF(portfolio.!$A$4:$A308,$CR10,portfolio.!$O$4:$O308)*$CU$5))</f>
        <v/>
      </c>
      <c r="BA10" s="858" t="str">
        <f>IF($CR10="","",IF($E10="","SP",SUMIF(portfolio.!$A$4:$A308,$CR10,portfolio.!$AN$4:$AN308)*$CU$5))</f>
        <v/>
      </c>
      <c r="BB10" s="860" t="str">
        <f>IF($CR10="","",IF($E10="","-",IFERROR($BA10/'portfólio'!$DG$63,"")))</f>
        <v/>
      </c>
      <c r="BC10" s="861" t="str">
        <f>IF($CR10="","",IF($E10="","-",SUMIF(portfolio.!$A$4:$A308,$CR10,portfolio.!$J$4:$J308)))</f>
        <v/>
      </c>
      <c r="BD10" s="862" t="str">
        <f>IF($CR10="","",IF($E10="","SP",SUMIF(portfolio.!$A$4:$A308,$CR10,portfolio.!$AQ$4:$AQ308)*$CU$5))</f>
        <v/>
      </c>
      <c r="BE10" s="850" t="str">
        <f t="shared" si="3"/>
        <v/>
      </c>
      <c r="BF10" s="862" t="str">
        <f>IF($CR10="","",IF($E10="","-",SUMIF(portfolio.!$A$4:$A308,$CR10,portfolio.!$AX$4:$AX308)*$CU$5))</f>
        <v/>
      </c>
      <c r="BG10" s="545"/>
      <c r="BH10" s="879" t="s">
        <v>123</v>
      </c>
      <c r="BI10" s="880" t="s">
        <v>123</v>
      </c>
      <c r="BJ10" s="863" t="str">
        <f>IFERROR(__xludf.DUMMYFUNCTION("IF(NOT($BL$4),"""",IF($CR10="""","""",IFERROR(query({GOOGLEFINANCE($CR10,""price"",IF($BI10=""-"",TODAY()-($AQ$5+5),$BI10),TODAY()-1)},""Select max(Col2) where Col1 is not null label max(Col2) ''"")*CU10,""-"")))"),"")</f>
        <v/>
      </c>
      <c r="BK10" s="881" t="s">
        <v>123</v>
      </c>
      <c r="BL10" s="882" t="s">
        <v>123</v>
      </c>
      <c r="BM10" s="442"/>
      <c r="BN10" s="867" t="str">
        <f>IFERROR(__xludf.DUMMYFUNCTION("IF(CR10="""","""",IF(OR(C10=""AÇÃO"",C10=""BDR""),IFERROR(QUERY({fundamentus.!$A$3:$U308},$CX$67&amp;"" where Col1='""&amp;CR10&amp;""' limit 1"",0)),IF(C10=""FII"",IFERROR(QUERY({fundsexplorer.!$A$2:$Z308},$CY$67&amp;"" where Col1='""&amp;CR10&amp;""' limit 1"",0)),"""")))"),"")</f>
        <v/>
      </c>
      <c r="BO10" s="867"/>
      <c r="BP10" s="867"/>
      <c r="BQ10" s="867"/>
      <c r="BR10" s="867"/>
      <c r="BS10" s="867"/>
      <c r="BT10" s="867"/>
      <c r="BU10" s="442"/>
      <c r="BV10" s="868" t="str">
        <f>IFERROR(__xludf.DUMMYFUNCTION("IF(OR(C10=""AÇÃO"",C10=""BDR""),IFERROR(GOOGLEFINANCE(CONCAT(""BVMF:"",CR10), ""marketcap"")/1000000,""NC""),"""")"),"")</f>
        <v/>
      </c>
      <c r="BW10" s="869" t="s">
        <v>123</v>
      </c>
      <c r="BX10" s="870" t="s">
        <v>123</v>
      </c>
      <c r="BY10" s="868" t="s">
        <v>123</v>
      </c>
      <c r="BZ10" s="870" t="s">
        <v>123</v>
      </c>
      <c r="CA10" s="868" t="s">
        <v>123</v>
      </c>
      <c r="CB10" s="868" t="s">
        <v>123</v>
      </c>
      <c r="CC10" s="868" t="s">
        <v>123</v>
      </c>
      <c r="CD10" s="868" t="str">
        <f>IFERROR(__xludf.DUMMYFUNCTION("IF(OR(C10=""AÇÃO"",C10=""BDR""),IFERROR(GOOGLEFINANCE(CONCAT(""BVMF:"",CR10), ""volumeavg"")/1000000,""NC""),"""")"),"")</f>
        <v/>
      </c>
      <c r="CE10" s="870" t="s">
        <v>123</v>
      </c>
      <c r="CF10" s="870" t="s">
        <v>123</v>
      </c>
      <c r="CG10" s="870" t="str">
        <f>IFERROR(__xludf.DUMMYFUNCTION("IF(OR(C10=""AÇÃO"",C10=""BDR""),IF(CF10=0,""SEM DY"",IFERROR(ImportXML(CONCAT(""http://www.guiainvest.com.br/raiox/default.aspx?sigla="",$CR10),""//*[@id='lbPayoutAtual']""),""NC"")),"""")"),"")</f>
        <v/>
      </c>
      <c r="CH10" s="870" t="s">
        <v>123</v>
      </c>
      <c r="CI10" s="545"/>
      <c r="CJ10" s="871" t="str">
        <f>IFERROR(__xludf.DUMMYFUNCTION("IF(OR(C10=""AÇÃO"",C10=""BDR""),IFERROR(GOOGLEFINANCE(CONCAT(""BVMF:"",CR10), ""eps""),""NC""),"""")"),"")</f>
        <v/>
      </c>
      <c r="CK10" s="442"/>
      <c r="CL10" s="871" t="str">
        <f>IFERROR(__xludf.DUMMYFUNCTION("IF(NOT($BL$4),"""",IF($CR10="""","""",IF($BC10="""","""",IFERROR(query({op.normal!$B$5:$F308},""select Col5, toDate(Col2) where Col1 =  '""&amp;$CR10&amp;""' and Col4 &gt; 0 and ((Col3 is null) or (Col3 = 'C')) and Col2 &gt;= date '""&amp;TEXT(TODAY()-$AQ$5,""yyyy-mm-dd"")"&amp;"&amp;""' order by Col2 desc limit 1 label toDate(Col2) ''"")))))"),"")</f>
        <v/>
      </c>
      <c r="CM10" s="872"/>
      <c r="CN10" s="883" t="s">
        <v>123</v>
      </c>
      <c r="CO10" s="874" t="s">
        <v>123</v>
      </c>
      <c r="CP10" s="766"/>
      <c r="CQ10" s="791"/>
      <c r="CR10" s="791"/>
      <c r="CT10" s="836" t="s">
        <v>123</v>
      </c>
      <c r="CU10" s="791" t="str">
        <f>IFERROR(__xludf.DUMMYFUNCTION("IF(CR10="""","""",IF(CT10=$C$4,1,GOOGLEFINANCE(CT10&amp;$C$4)))"),"")</f>
        <v/>
      </c>
      <c r="CW10" s="791" t="s">
        <v>558</v>
      </c>
      <c r="CX10" s="791"/>
      <c r="CY10" s="791"/>
    </row>
    <row r="11" ht="22.5" customHeight="1">
      <c r="A11" s="837">
        <v>3.0</v>
      </c>
      <c r="B11" s="838" t="s">
        <v>123</v>
      </c>
      <c r="C11" s="838" t="s">
        <v>123</v>
      </c>
      <c r="D11" s="839" t="s">
        <v>123</v>
      </c>
      <c r="E11" s="839" t="s">
        <v>123</v>
      </c>
      <c r="F11" s="839" t="s">
        <v>123</v>
      </c>
      <c r="G11" s="56"/>
      <c r="H11" s="840"/>
      <c r="I11" s="838"/>
      <c r="J11" s="838"/>
      <c r="K11" s="838"/>
      <c r="L11" s="838"/>
      <c r="M11" s="838"/>
      <c r="N11" s="838"/>
      <c r="O11" s="838"/>
      <c r="P11" s="838"/>
      <c r="Q11" s="838"/>
      <c r="R11" s="838"/>
      <c r="S11" s="838"/>
      <c r="T11" s="838"/>
      <c r="U11" s="838"/>
      <c r="V11" s="838"/>
      <c r="W11" s="838"/>
      <c r="X11" s="838"/>
      <c r="Z11" s="875" t="str">
        <f>IFERROR(__xludf.DUMMYFUNCTION("IF($CR11="""","""",IFERROR(query({CarteirasAtivos},""select Col4 where Col4 is not null and Col1 = '""&amp;$CR11&amp;""' limit 1"")*CU11,""NC""))"),"")</f>
        <v/>
      </c>
      <c r="AA11" s="876" t="str">
        <f>IFERROR(__xludf.DUMMYFUNCTION("IF($CR11="""","""",IFERROR(query({CarteirasAtivos},""select Col6 where Col4 is not null and Col1 = '""&amp;$CR11&amp;""' limit 1""),""NC""))"),"")</f>
        <v/>
      </c>
      <c r="AB11" s="877"/>
      <c r="AC11" s="878" t="s">
        <v>123</v>
      </c>
      <c r="AD11" s="845" t="str">
        <f>IF($CR11="","",IFERROR(VLOOKUP($CR11,ativos.!$C$3:$R308,MATCH("cotacao",ativos.!$C$2:CY$2,0),FALSE)*$CU$5,"atualizar"))</f>
        <v/>
      </c>
      <c r="AE11" s="846" t="str">
        <f>IFERROR(__xludf.DUMMYFUNCTION("IF($CR11="""","""",IFERROR(AVERAGE(query({CarteirasAtivos;CarteirasAtivosEncerrados},""select Col5 where Col5 is not null and Col1 = '""&amp;$CR11&amp;""' and Col10='SIM'""))*CU11,""NC""))"),"")</f>
        <v/>
      </c>
      <c r="AF11" s="847" t="str">
        <f t="shared" si="1"/>
        <v/>
      </c>
      <c r="AG11" s="442"/>
      <c r="AH11" s="848" t="str">
        <f>IFERROR(__xludf.DUMMYFUNCTION("IF($CR11="""","""",IFERROR(GOOGLEFINANCE($CR11,""low52"")*CU11,""-""))"),"")</f>
        <v/>
      </c>
      <c r="AI11" s="848" t="str">
        <f>IFERROR(__xludf.DUMMYFUNCTION("IF($CR11="""","""",IFERROR(GOOGLEFINANCE($CR11,""high52"")*CU11,""-""))"),"")</f>
        <v/>
      </c>
      <c r="AJ11" s="849" t="s">
        <v>123</v>
      </c>
      <c r="AK11" s="850" t="str">
        <f>IFERROR(__xludf.DUMMYFUNCTION("IF($CR11="""","""",IFERROR(GOOGLEFINANCE($CR11,""changepct"")/100,""-""))"),"")</f>
        <v/>
      </c>
      <c r="AL11" s="851" t="str">
        <f>IFERROR(__xludf.DUMMYFUNCTION("IF($CR11="""","""",IFERROR(($AD11/(QUERY(GOOGLEFINANCE($CR11,""price"",TODAY()-7),""SELECT Col2 label Col2 ''"")*$CU11)-1),""-""))"),"")</f>
        <v/>
      </c>
      <c r="AM11" s="851" t="str">
        <f>IFERROR(__xludf.DUMMYFUNCTION("IF($CR11="""","""",IFERROR(($AD11/(QUERY(GOOGLEFINANCE($CR11,""price"",TODAY()-14),""SELECT Col2 label Col2 ''"")*$CU11)-1),""-""))"),"")</f>
        <v/>
      </c>
      <c r="AN11" s="851" t="str">
        <f>IFERROR(__xludf.DUMMYFUNCTION("IF($CR11="""","""",IFERROR(($AD11/(QUERY(GOOGLEFINANCE($CR11,""price"",TODAY()-28),""SELECT Col2 label Col2 ''"")*$CU11)-1),""-""))"),"")</f>
        <v/>
      </c>
      <c r="AO11" s="851" t="str">
        <f>IFERROR(__xludf.DUMMYFUNCTION("IF($CR11="""","""",IFERROR(($AD11/(QUERY(GOOGLEFINANCE($CR11,""price"",TODAY()-$AQ$5),""SELECT Col2 label Col2 ''"")*$CU11)-1),""-""))"),"")</f>
        <v/>
      </c>
      <c r="AP11" s="852" t="str">
        <f>IFERROR(__xludf.DUMMYFUNCTION("IF($CR11="""","""",IFERROR(SPARKLINE(query(GOOGLEFINANCE($CR11,""price"",TODAY()-$AQ$5,TODAY(),1),""select Col2 label Col2 ''""),IF($AP$7=""Gráfico de barras"",{""charttype"",""column"";""highcolor"",""red""},{""chartype"",""line""}))))"),"")</f>
        <v/>
      </c>
      <c r="AQ11" s="144"/>
      <c r="AR11" s="853"/>
      <c r="AS11" s="854" t="str">
        <f>IF($CR11="","",IF(NOT('alocação'!$D$1),"off",IFERROR(VLOOKUP(CR11,BalanceAtivos,3,0),"NC")))</f>
        <v/>
      </c>
      <c r="AT11" s="855" t="str">
        <f>IF($CR11="","",IF(NOT('alocação'!$D$1),"off",IFERROR(VLOOKUP($CR11,BalanceAtivos,4,0)*$CU$5,"NC")))</f>
        <v/>
      </c>
      <c r="AU11" s="856" t="str">
        <f>IF($CR11="","",IF(NOT('alocação'!$D$1),"off",IFERROR(VLOOKUP($CR11,BalanceAtivos,5,0),"-")))</f>
        <v/>
      </c>
      <c r="AV11" s="856" t="str">
        <f>IF($CR11="","",IF(NOT('alocação'!$D$1),"off",IFERROR(VLOOKUP($CR11,BalanceAtivos,6,0),"-")))</f>
        <v/>
      </c>
      <c r="AW11" s="857"/>
      <c r="AX11" s="858" t="str">
        <f>IF($CR11="","",IF($E11="","SP",IFERROR(VLOOKUP($CR11,AtivosDados,MATCH("pm_atual",portfolio.!$A$3:CY$3,0),0)*$CU$5,0)))</f>
        <v/>
      </c>
      <c r="AY11" s="859" t="str">
        <f t="shared" si="2"/>
        <v/>
      </c>
      <c r="AZ11" s="858" t="str">
        <f>IF($CR11="","",IF($E11="","SP",SUMIF(portfolio.!$A$4:$A308,$CR11,portfolio.!$O$4:$O308)*$CU$5))</f>
        <v/>
      </c>
      <c r="BA11" s="858" t="str">
        <f>IF($CR11="","",IF($E11="","SP",SUMIF(portfolio.!$A$4:$A308,$CR11,portfolio.!$AN$4:$AN308)*$CU$5))</f>
        <v/>
      </c>
      <c r="BB11" s="860" t="str">
        <f>IF($CR11="","",IF($E11="","-",IFERROR($BA11/'portfólio'!$DG$63,"")))</f>
        <v/>
      </c>
      <c r="BC11" s="861" t="str">
        <f>IF($CR11="","",IF($E11="","-",SUMIF(portfolio.!$A$4:$A308,$CR11,portfolio.!$J$4:$J308)))</f>
        <v/>
      </c>
      <c r="BD11" s="862" t="str">
        <f>IF($CR11="","",IF($E11="","SP",SUMIF(portfolio.!$A$4:$A308,$CR11,portfolio.!$AQ$4:$AQ308)*$CU$5))</f>
        <v/>
      </c>
      <c r="BE11" s="850" t="str">
        <f t="shared" si="3"/>
        <v/>
      </c>
      <c r="BF11" s="862" t="str">
        <f>IF($CR11="","",IF($E11="","-",SUMIF(portfolio.!$A$4:$A308,$CR11,portfolio.!$AX$4:$AX308)*$CU$5))</f>
        <v/>
      </c>
      <c r="BG11" s="545"/>
      <c r="BH11" s="879" t="s">
        <v>123</v>
      </c>
      <c r="BI11" s="880" t="s">
        <v>123</v>
      </c>
      <c r="BJ11" s="863" t="str">
        <f>IFERROR(__xludf.DUMMYFUNCTION("IF(NOT($BL$4),"""",IF($CR11="""","""",IFERROR(query({GOOGLEFINANCE($CR11,""price"",IF($BI11=""-"",TODAY()-($AQ$5+5),$BI11),TODAY()-1)},""Select max(Col2) where Col1 is not null label max(Col2) ''"")*CU11,""-"")))"),"")</f>
        <v/>
      </c>
      <c r="BK11" s="881" t="s">
        <v>123</v>
      </c>
      <c r="BL11" s="882" t="s">
        <v>123</v>
      </c>
      <c r="BM11" s="442"/>
      <c r="BN11" s="867" t="str">
        <f>IFERROR(__xludf.DUMMYFUNCTION("IF(CR11="""","""",IF(OR(C11=""AÇÃO"",C11=""BDR""),IFERROR(QUERY({fundamentus.!$A$3:$U308},$CX$67&amp;"" where Col1='""&amp;CR11&amp;""' limit 1"",0)),IF(C11=""FII"",IFERROR(QUERY({fundsexplorer.!$A$2:$Z308},$CY$67&amp;"" where Col1='""&amp;CR11&amp;""' limit 1"",0)),"""")))"),"")</f>
        <v/>
      </c>
      <c r="BO11" s="867"/>
      <c r="BP11" s="867"/>
      <c r="BQ11" s="867"/>
      <c r="BR11" s="867"/>
      <c r="BS11" s="867"/>
      <c r="BT11" s="867"/>
      <c r="BU11" s="442"/>
      <c r="BV11" s="868" t="str">
        <f>IFERROR(__xludf.DUMMYFUNCTION("IF(OR(C11=""AÇÃO"",C11=""BDR""),IFERROR(GOOGLEFINANCE(CONCAT(""BVMF:"",CR11), ""marketcap"")/1000000,""NC""),"""")"),"")</f>
        <v/>
      </c>
      <c r="BW11" s="869" t="s">
        <v>123</v>
      </c>
      <c r="BX11" s="870" t="s">
        <v>123</v>
      </c>
      <c r="BY11" s="868" t="s">
        <v>123</v>
      </c>
      <c r="BZ11" s="870" t="s">
        <v>123</v>
      </c>
      <c r="CA11" s="868" t="s">
        <v>123</v>
      </c>
      <c r="CB11" s="868" t="s">
        <v>123</v>
      </c>
      <c r="CC11" s="868" t="s">
        <v>123</v>
      </c>
      <c r="CD11" s="868" t="str">
        <f>IFERROR(__xludf.DUMMYFUNCTION("IF(OR(C11=""AÇÃO"",C11=""BDR""),IFERROR(GOOGLEFINANCE(CONCAT(""BVMF:"",CR11), ""volumeavg"")/1000000,""NC""),"""")"),"")</f>
        <v/>
      </c>
      <c r="CE11" s="870" t="s">
        <v>123</v>
      </c>
      <c r="CF11" s="870" t="s">
        <v>123</v>
      </c>
      <c r="CG11" s="870" t="str">
        <f>IFERROR(__xludf.DUMMYFUNCTION("IF(OR(C11=""AÇÃO"",C11=""BDR""),IF(CF11=0,""SEM DY"",IFERROR(ImportXML(CONCAT(""http://www.guiainvest.com.br/raiox/default.aspx?sigla="",$CR11),""//*[@id='lbPayoutAtual']""),""NC"")),"""")"),"")</f>
        <v/>
      </c>
      <c r="CH11" s="870" t="s">
        <v>123</v>
      </c>
      <c r="CI11" s="545"/>
      <c r="CJ11" s="871" t="str">
        <f>IFERROR(__xludf.DUMMYFUNCTION("IF(OR(C11=""AÇÃO"",C11=""BDR""),IFERROR(GOOGLEFINANCE(CONCAT(""BVMF:"",CR11), ""eps""),""NC""),"""")"),"")</f>
        <v/>
      </c>
      <c r="CK11" s="442"/>
      <c r="CL11" s="871" t="str">
        <f>IFERROR(__xludf.DUMMYFUNCTION("IF(NOT($BL$4),"""",IF($CR11="""","""",IF($BC11="""","""",IFERROR(query({op.normal!$B$5:$F308},""select Col5, toDate(Col2) where Col1 =  '""&amp;$CR11&amp;""' and Col4 &gt; 0 and ((Col3 is null) or (Col3 = 'C')) and Col2 &gt;= date '""&amp;TEXT(TODAY()-$AQ$5,""yyyy-mm-dd"")"&amp;"&amp;""' order by Col2 desc limit 1 label toDate(Col2) ''"")))))"),"")</f>
        <v/>
      </c>
      <c r="CM11" s="872"/>
      <c r="CN11" s="883" t="s">
        <v>123</v>
      </c>
      <c r="CO11" s="874" t="s">
        <v>123</v>
      </c>
      <c r="CP11" s="766"/>
      <c r="CQ11" s="791"/>
      <c r="CR11" s="791"/>
      <c r="CT11" s="791" t="s">
        <v>123</v>
      </c>
      <c r="CU11" s="791" t="str">
        <f>IFERROR(__xludf.DUMMYFUNCTION("IF(CR11="""","""",IF(CT11=$C$4,1,GOOGLEFINANCE(CT11&amp;$C$4)))"),"")</f>
        <v/>
      </c>
      <c r="CW11" s="791" t="s">
        <v>500</v>
      </c>
      <c r="CX11" s="791" t="s">
        <v>500</v>
      </c>
      <c r="CY11" s="791" t="str">
        <f>"Col"&amp;MATCH(CW11,fundamentus.!$A$2:$U$2,0)</f>
        <v>Col3</v>
      </c>
    </row>
    <row r="12" ht="22.5" customHeight="1">
      <c r="A12" s="837">
        <v>4.0</v>
      </c>
      <c r="B12" s="838" t="s">
        <v>123</v>
      </c>
      <c r="C12" s="838" t="s">
        <v>123</v>
      </c>
      <c r="D12" s="839" t="s">
        <v>123</v>
      </c>
      <c r="E12" s="839" t="s">
        <v>123</v>
      </c>
      <c r="F12" s="839" t="s">
        <v>123</v>
      </c>
      <c r="G12" s="56"/>
      <c r="H12" s="840"/>
      <c r="I12" s="838"/>
      <c r="J12" s="838"/>
      <c r="K12" s="838"/>
      <c r="L12" s="838"/>
      <c r="M12" s="838"/>
      <c r="N12" s="838"/>
      <c r="O12" s="838"/>
      <c r="P12" s="838"/>
      <c r="Q12" s="838"/>
      <c r="R12" s="838"/>
      <c r="S12" s="838"/>
      <c r="T12" s="838"/>
      <c r="U12" s="838"/>
      <c r="V12" s="838"/>
      <c r="W12" s="838"/>
      <c r="X12" s="838"/>
      <c r="Z12" s="875" t="str">
        <f>IFERROR(__xludf.DUMMYFUNCTION("IF($CR12="""","""",IFERROR(query({CarteirasAtivos},""select Col4 where Col4 is not null and Col1 = '""&amp;$CR12&amp;""' limit 1"")*CU12,""NC""))"),"")</f>
        <v/>
      </c>
      <c r="AA12" s="876" t="str">
        <f>IFERROR(__xludf.DUMMYFUNCTION("IF($CR12="""","""",IFERROR(query({CarteirasAtivos},""select Col6 where Col4 is not null and Col1 = '""&amp;$CR12&amp;""' limit 1""),""NC""))"),"")</f>
        <v/>
      </c>
      <c r="AB12" s="877"/>
      <c r="AC12" s="878" t="s">
        <v>123</v>
      </c>
      <c r="AD12" s="845" t="str">
        <f>IF($CR12="","",IFERROR(VLOOKUP($CR12,ativos.!$C$3:$R308,MATCH("cotacao",ativos.!$C$2:CY$2,0),FALSE)*$CU$5,"atualizar"))</f>
        <v/>
      </c>
      <c r="AE12" s="846" t="str">
        <f>IFERROR(__xludf.DUMMYFUNCTION("IF($CR12="""","""",IFERROR(AVERAGE(query({CarteirasAtivos;CarteirasAtivosEncerrados},""select Col5 where Col5 is not null and Col1 = '""&amp;$CR12&amp;""' and Col10='SIM'""))*CU12,""NC""))"),"")</f>
        <v/>
      </c>
      <c r="AF12" s="847" t="str">
        <f t="shared" si="1"/>
        <v/>
      </c>
      <c r="AG12" s="442"/>
      <c r="AH12" s="848" t="str">
        <f>IFERROR(__xludf.DUMMYFUNCTION("IF($CR12="""","""",IFERROR(GOOGLEFINANCE($CR12,""low52"")*CU12,""-""))"),"")</f>
        <v/>
      </c>
      <c r="AI12" s="848" t="str">
        <f>IFERROR(__xludf.DUMMYFUNCTION("IF($CR12="""","""",IFERROR(GOOGLEFINANCE($CR12,""high52"")*CU12,""-""))"),"")</f>
        <v/>
      </c>
      <c r="AJ12" s="849" t="s">
        <v>123</v>
      </c>
      <c r="AK12" s="850" t="str">
        <f>IFERROR(__xludf.DUMMYFUNCTION("IF($CR12="""","""",IFERROR(GOOGLEFINANCE($CR12,""changepct"")/100,""-""))"),"")</f>
        <v/>
      </c>
      <c r="AL12" s="851" t="str">
        <f>IFERROR(__xludf.DUMMYFUNCTION("IF($CR12="""","""",IFERROR(($AD12/(QUERY(GOOGLEFINANCE($CR12,""price"",TODAY()-7),""SELECT Col2 label Col2 ''"")*$CU12)-1),""-""))"),"")</f>
        <v/>
      </c>
      <c r="AM12" s="851" t="str">
        <f>IFERROR(__xludf.DUMMYFUNCTION("IF($CR12="""","""",IFERROR(($AD12/(QUERY(GOOGLEFINANCE($CR12,""price"",TODAY()-14),""SELECT Col2 label Col2 ''"")*$CU12)-1),""-""))"),"")</f>
        <v/>
      </c>
      <c r="AN12" s="851" t="str">
        <f>IFERROR(__xludf.DUMMYFUNCTION("IF($CR12="""","""",IFERROR(($AD12/(QUERY(GOOGLEFINANCE($CR12,""price"",TODAY()-28),""SELECT Col2 label Col2 ''"")*$CU12)-1),""-""))"),"")</f>
        <v/>
      </c>
      <c r="AO12" s="851" t="str">
        <f>IFERROR(__xludf.DUMMYFUNCTION("IF($CR12="""","""",IFERROR(($AD12/(QUERY(GOOGLEFINANCE($CR12,""price"",TODAY()-$AQ$5),""SELECT Col2 label Col2 ''"")*$CU12)-1),""-""))"),"")</f>
        <v/>
      </c>
      <c r="AP12" s="852" t="str">
        <f>IFERROR(__xludf.DUMMYFUNCTION("IF($CR12="""","""",IFERROR(SPARKLINE(query(GOOGLEFINANCE($CR12,""price"",TODAY()-$AQ$5,TODAY(),1),""select Col2 label Col2 ''""),IF($AP$7=""Gráfico de barras"",{""charttype"",""column"";""highcolor"",""red""},{""chartype"",""line""}))))"),"")</f>
        <v/>
      </c>
      <c r="AQ12" s="144"/>
      <c r="AR12" s="853"/>
      <c r="AS12" s="854" t="str">
        <f>IF($CR12="","",IF(NOT('alocação'!$D$1),"off",IFERROR(VLOOKUP(CR12,BalanceAtivos,3,0),"NC")))</f>
        <v/>
      </c>
      <c r="AT12" s="855" t="str">
        <f>IF($CR12="","",IF(NOT('alocação'!$D$1),"off",IFERROR(VLOOKUP($CR12,BalanceAtivos,4,0)*$CU$5,"NC")))</f>
        <v/>
      </c>
      <c r="AU12" s="856" t="str">
        <f>IF($CR12="","",IF(NOT('alocação'!$D$1),"off",IFERROR(VLOOKUP($CR12,BalanceAtivos,5,0),"-")))</f>
        <v/>
      </c>
      <c r="AV12" s="856" t="str">
        <f>IF($CR12="","",IF(NOT('alocação'!$D$1),"off",IFERROR(VLOOKUP($CR12,BalanceAtivos,6,0),"-")))</f>
        <v/>
      </c>
      <c r="AW12" s="857"/>
      <c r="AX12" s="858" t="str">
        <f>IF($CR12="","",IF($E12="","SP",IFERROR(VLOOKUP($CR12,AtivosDados,MATCH("pm_atual",portfolio.!$A$3:CY$3,0),0)*$CU$5,0)))</f>
        <v/>
      </c>
      <c r="AY12" s="859" t="str">
        <f t="shared" si="2"/>
        <v/>
      </c>
      <c r="AZ12" s="858" t="str">
        <f>IF($CR12="","",IF($E12="","SP",SUMIF(portfolio.!$A$4:$A308,$CR12,portfolio.!$O$4:$O308)*$CU$5))</f>
        <v/>
      </c>
      <c r="BA12" s="858" t="str">
        <f>IF($CR12="","",IF($E12="","SP",SUMIF(portfolio.!$A$4:$A308,$CR12,portfolio.!$AN$4:$AN308)*$CU$5))</f>
        <v/>
      </c>
      <c r="BB12" s="860" t="str">
        <f>IF($CR12="","",IF($E12="","-",IFERROR($BA12/'portfólio'!$DG$63,"")))</f>
        <v/>
      </c>
      <c r="BC12" s="861" t="str">
        <f>IF($CR12="","",IF($E12="","-",SUMIF(portfolio.!$A$4:$A308,$CR12,portfolio.!$J$4:$J308)))</f>
        <v/>
      </c>
      <c r="BD12" s="862" t="str">
        <f>IF($CR12="","",IF($E12="","SP",SUMIF(portfolio.!$A$4:$A308,$CR12,portfolio.!$AQ$4:$AQ308)*$CU$5))</f>
        <v/>
      </c>
      <c r="BE12" s="850" t="str">
        <f t="shared" si="3"/>
        <v/>
      </c>
      <c r="BF12" s="862" t="str">
        <f>IF($CR12="","",IF($E12="","-",SUMIF(portfolio.!$A$4:$A308,$CR12,portfolio.!$AX$4:$AX308)*$CU$5))</f>
        <v/>
      </c>
      <c r="BG12" s="545"/>
      <c r="BH12" s="879" t="s">
        <v>123</v>
      </c>
      <c r="BI12" s="880" t="s">
        <v>123</v>
      </c>
      <c r="BJ12" s="863" t="str">
        <f>IFERROR(__xludf.DUMMYFUNCTION("IF(NOT($BL$4),"""",IF($CR12="""","""",IFERROR(query({GOOGLEFINANCE($CR12,""price"",IF($BI12=""-"",TODAY()-($AQ$5+5),$BI12),TODAY()-1)},""Select max(Col2) where Col1 is not null label max(Col2) ''"")*CU12,""-"")))"),"")</f>
        <v/>
      </c>
      <c r="BK12" s="881" t="s">
        <v>123</v>
      </c>
      <c r="BL12" s="882" t="s">
        <v>123</v>
      </c>
      <c r="BM12" s="442"/>
      <c r="BN12" s="867" t="str">
        <f>IFERROR(__xludf.DUMMYFUNCTION("IF(CR12="""","""",IF(OR(C12=""AÇÃO"",C12=""BDR""),IFERROR(QUERY({fundamentus.!$A$3:$U308},$CX$67&amp;"" where Col1='""&amp;CR12&amp;""' limit 1"",0)),IF(C12=""FII"",IFERROR(QUERY({fundsexplorer.!$A$2:$Z308},$CY$67&amp;"" where Col1='""&amp;CR12&amp;""' limit 1"",0)),"""")))"),"")</f>
        <v/>
      </c>
      <c r="BO12" s="867"/>
      <c r="BP12" s="867"/>
      <c r="BQ12" s="867"/>
      <c r="BR12" s="867"/>
      <c r="BS12" s="867"/>
      <c r="BT12" s="867"/>
      <c r="BU12" s="442"/>
      <c r="BV12" s="868" t="str">
        <f>IFERROR(__xludf.DUMMYFUNCTION("IF(OR(C12=""AÇÃO"",C12=""BDR""),IFERROR(GOOGLEFINANCE(CONCAT(""BVMF:"",CR12), ""marketcap"")/1000000,""NC""),"""")"),"")</f>
        <v/>
      </c>
      <c r="BW12" s="869" t="s">
        <v>123</v>
      </c>
      <c r="BX12" s="870" t="s">
        <v>123</v>
      </c>
      <c r="BY12" s="868" t="s">
        <v>123</v>
      </c>
      <c r="BZ12" s="870" t="s">
        <v>123</v>
      </c>
      <c r="CA12" s="868" t="s">
        <v>123</v>
      </c>
      <c r="CB12" s="868" t="s">
        <v>123</v>
      </c>
      <c r="CC12" s="868" t="s">
        <v>123</v>
      </c>
      <c r="CD12" s="868" t="str">
        <f>IFERROR(__xludf.DUMMYFUNCTION("IF(OR(C12=""AÇÃO"",C12=""BDR""),IFERROR(GOOGLEFINANCE(CONCAT(""BVMF:"",CR12), ""volumeavg"")/1000000,""NC""),"""")"),"")</f>
        <v/>
      </c>
      <c r="CE12" s="870" t="s">
        <v>123</v>
      </c>
      <c r="CF12" s="870" t="s">
        <v>123</v>
      </c>
      <c r="CG12" s="870" t="str">
        <f>IFERROR(__xludf.DUMMYFUNCTION("IF(OR(C12=""AÇÃO"",C12=""BDR""),IF(CF12=0,""SEM DY"",IFERROR(ImportXML(CONCAT(""http://www.guiainvest.com.br/raiox/default.aspx?sigla="",$CR12),""//*[@id='lbPayoutAtual']""),""NC"")),"""")"),"")</f>
        <v/>
      </c>
      <c r="CH12" s="870" t="s">
        <v>123</v>
      </c>
      <c r="CI12" s="545"/>
      <c r="CJ12" s="871" t="str">
        <f>IFERROR(__xludf.DUMMYFUNCTION("IF(OR(C12=""AÇÃO"",C12=""BDR""),IFERROR(GOOGLEFINANCE(CONCAT(""BVMF:"",CR12), ""eps""),""NC""),"""")"),"")</f>
        <v/>
      </c>
      <c r="CK12" s="442"/>
      <c r="CL12" s="871" t="str">
        <f>IFERROR(__xludf.DUMMYFUNCTION("IF(NOT($BL$4),"""",IF($CR12="""","""",IF($BC12="""","""",IFERROR(query({op.normal!$B$5:$F308},""select Col5, toDate(Col2) where Col1 =  '""&amp;$CR12&amp;""' and Col4 &gt; 0 and ((Col3 is null) or (Col3 = 'C')) and Col2 &gt;= date '""&amp;TEXT(TODAY()-$AQ$5,""yyyy-mm-dd"")"&amp;"&amp;""' order by Col2 desc limit 1 label toDate(Col2) ''"")))))"),"")</f>
        <v/>
      </c>
      <c r="CM12" s="872"/>
      <c r="CN12" s="883" t="s">
        <v>123</v>
      </c>
      <c r="CO12" s="874" t="s">
        <v>123</v>
      </c>
      <c r="CP12" s="766"/>
      <c r="CQ12" s="791"/>
      <c r="CR12" s="791"/>
      <c r="CT12" s="791" t="s">
        <v>123</v>
      </c>
      <c r="CU12" s="791" t="str">
        <f>IFERROR(__xludf.DUMMYFUNCTION("IF(CR12="""","""",IF(CT12=$C$4,1,GOOGLEFINANCE(CT12&amp;$C$4)))"),"")</f>
        <v/>
      </c>
      <c r="CW12" s="791" t="s">
        <v>559</v>
      </c>
      <c r="CX12" s="791" t="s">
        <v>559</v>
      </c>
      <c r="CY12" s="791" t="str">
        <f>"Col"&amp;MATCH(CW12,fundamentus.!$A$2:$U$2,0)</f>
        <v>Col4</v>
      </c>
    </row>
    <row r="13" ht="22.5" customHeight="1">
      <c r="A13" s="837">
        <v>5.0</v>
      </c>
      <c r="B13" s="838" t="s">
        <v>123</v>
      </c>
      <c r="C13" s="838" t="s">
        <v>123</v>
      </c>
      <c r="D13" s="839" t="s">
        <v>123</v>
      </c>
      <c r="E13" s="839" t="s">
        <v>123</v>
      </c>
      <c r="F13" s="839" t="s">
        <v>123</v>
      </c>
      <c r="G13" s="56"/>
      <c r="H13" s="840"/>
      <c r="I13" s="838"/>
      <c r="J13" s="838"/>
      <c r="K13" s="838"/>
      <c r="L13" s="838"/>
      <c r="M13" s="838"/>
      <c r="N13" s="838"/>
      <c r="O13" s="838"/>
      <c r="P13" s="838"/>
      <c r="Q13" s="838"/>
      <c r="R13" s="838"/>
      <c r="S13" s="838"/>
      <c r="T13" s="838"/>
      <c r="U13" s="838"/>
      <c r="V13" s="838"/>
      <c r="W13" s="838"/>
      <c r="X13" s="838"/>
      <c r="Z13" s="875" t="str">
        <f>IFERROR(__xludf.DUMMYFUNCTION("IF($CR13="""","""",IFERROR(query({CarteirasAtivos},""select Col4 where Col4 is not null and Col1 = '""&amp;$CR13&amp;""' limit 1"")*CU13,""NC""))"),"")</f>
        <v/>
      </c>
      <c r="AA13" s="876" t="str">
        <f>IFERROR(__xludf.DUMMYFUNCTION("IF($CR13="""","""",IFERROR(query({CarteirasAtivos},""select Col6 where Col4 is not null and Col1 = '""&amp;$CR13&amp;""' limit 1""),""NC""))"),"")</f>
        <v/>
      </c>
      <c r="AB13" s="877"/>
      <c r="AC13" s="878" t="s">
        <v>123</v>
      </c>
      <c r="AD13" s="845" t="str">
        <f>IF($CR13="","",IFERROR(VLOOKUP($CR13,ativos.!$C$3:$R308,MATCH("cotacao",ativos.!$C$2:CY$2,0),FALSE)*$CU$5,"atualizar"))</f>
        <v/>
      </c>
      <c r="AE13" s="846" t="str">
        <f>IFERROR(__xludf.DUMMYFUNCTION("IF($CR13="""","""",IFERROR(AVERAGE(query({CarteirasAtivos;CarteirasAtivosEncerrados},""select Col5 where Col5 is not null and Col1 = '""&amp;$CR13&amp;""' and Col10='SIM'""))*CU13,""NC""))"),"")</f>
        <v/>
      </c>
      <c r="AF13" s="847" t="str">
        <f t="shared" si="1"/>
        <v/>
      </c>
      <c r="AG13" s="442"/>
      <c r="AH13" s="848" t="str">
        <f>IFERROR(__xludf.DUMMYFUNCTION("IF($CR13="""","""",IFERROR(GOOGLEFINANCE($CR13,""low52"")*CU13,""-""))"),"")</f>
        <v/>
      </c>
      <c r="AI13" s="848" t="str">
        <f>IFERROR(__xludf.DUMMYFUNCTION("IF($CR13="""","""",IFERROR(GOOGLEFINANCE($CR13,""high52"")*CU13,""-""))"),"")</f>
        <v/>
      </c>
      <c r="AJ13" s="849" t="s">
        <v>123</v>
      </c>
      <c r="AK13" s="850" t="str">
        <f>IFERROR(__xludf.DUMMYFUNCTION("IF($CR13="""","""",IFERROR(GOOGLEFINANCE($CR13,""changepct"")/100,""-""))"),"")</f>
        <v/>
      </c>
      <c r="AL13" s="851" t="str">
        <f>IFERROR(__xludf.DUMMYFUNCTION("IF($CR13="""","""",IFERROR(($AD13/(QUERY(GOOGLEFINANCE($CR13,""price"",TODAY()-7),""SELECT Col2 label Col2 ''"")*$CU13)-1),""-""))"),"")</f>
        <v/>
      </c>
      <c r="AM13" s="851" t="str">
        <f>IFERROR(__xludf.DUMMYFUNCTION("IF($CR13="""","""",IFERROR(($AD13/(QUERY(GOOGLEFINANCE($CR13,""price"",TODAY()-14),""SELECT Col2 label Col2 ''"")*$CU13)-1),""-""))"),"")</f>
        <v/>
      </c>
      <c r="AN13" s="851" t="str">
        <f>IFERROR(__xludf.DUMMYFUNCTION("IF($CR13="""","""",IFERROR(($AD13/(QUERY(GOOGLEFINANCE($CR13,""price"",TODAY()-28),""SELECT Col2 label Col2 ''"")*$CU13)-1),""-""))"),"")</f>
        <v/>
      </c>
      <c r="AO13" s="851" t="str">
        <f>IFERROR(__xludf.DUMMYFUNCTION("IF($CR13="""","""",IFERROR(($AD13/(QUERY(GOOGLEFINANCE($CR13,""price"",TODAY()-$AQ$5),""SELECT Col2 label Col2 ''"")*$CU13)-1),""-""))"),"")</f>
        <v/>
      </c>
      <c r="AP13" s="852" t="str">
        <f>IFERROR(__xludf.DUMMYFUNCTION("IF($CR13="""","""",IFERROR(SPARKLINE(query(GOOGLEFINANCE($CR13,""price"",TODAY()-$AQ$5,TODAY(),1),""select Col2 label Col2 ''""),IF($AP$7=""Gráfico de barras"",{""charttype"",""column"";""highcolor"",""red""},{""chartype"",""line""}))))"),"")</f>
        <v/>
      </c>
      <c r="AQ13" s="144"/>
      <c r="AR13" s="853"/>
      <c r="AS13" s="854" t="str">
        <f>IF($CR13="","",IF(NOT('alocação'!$D$1),"off",IFERROR(VLOOKUP(CR13,BalanceAtivos,3,0),"NC")))</f>
        <v/>
      </c>
      <c r="AT13" s="855" t="str">
        <f>IF($CR13="","",IF(NOT('alocação'!$D$1),"off",IFERROR(VLOOKUP($CR13,BalanceAtivos,4,0)*$CU$5,"NC")))</f>
        <v/>
      </c>
      <c r="AU13" s="856" t="str">
        <f>IF($CR13="","",IF(NOT('alocação'!$D$1),"off",IFERROR(VLOOKUP($CR13,BalanceAtivos,5,0),"-")))</f>
        <v/>
      </c>
      <c r="AV13" s="856" t="str">
        <f>IF($CR13="","",IF(NOT('alocação'!$D$1),"off",IFERROR(VLOOKUP($CR13,BalanceAtivos,6,0),"-")))</f>
        <v/>
      </c>
      <c r="AW13" s="857"/>
      <c r="AX13" s="858" t="str">
        <f>IF($CR13="","",IF($E13="","SP",IFERROR(VLOOKUP($CR13,AtivosDados,MATCH("pm_atual",portfolio.!$A$3:CY$3,0),0)*$CU$5,0)))</f>
        <v/>
      </c>
      <c r="AY13" s="859" t="str">
        <f t="shared" si="2"/>
        <v/>
      </c>
      <c r="AZ13" s="858" t="str">
        <f>IF($CR13="","",IF($E13="","SP",SUMIF(portfolio.!$A$4:$A308,$CR13,portfolio.!$O$4:$O308)*$CU$5))</f>
        <v/>
      </c>
      <c r="BA13" s="858" t="str">
        <f>IF($CR13="","",IF($E13="","SP",SUMIF(portfolio.!$A$4:$A308,$CR13,portfolio.!$AN$4:$AN308)*$CU$5))</f>
        <v/>
      </c>
      <c r="BB13" s="860" t="str">
        <f>IF($CR13="","",IF($E13="","-",IFERROR($BA13/'portfólio'!$DG$63,"")))</f>
        <v/>
      </c>
      <c r="BC13" s="861" t="str">
        <f>IF($CR13="","",IF($E13="","-",SUMIF(portfolio.!$A$4:$A308,$CR13,portfolio.!$J$4:$J308)))</f>
        <v/>
      </c>
      <c r="BD13" s="862" t="str">
        <f>IF($CR13="","",IF($E13="","SP",SUMIF(portfolio.!$A$4:$A308,$CR13,portfolio.!$AQ$4:$AQ308)*$CU$5))</f>
        <v/>
      </c>
      <c r="BE13" s="850" t="str">
        <f t="shared" si="3"/>
        <v/>
      </c>
      <c r="BF13" s="862" t="str">
        <f>IF($CR13="","",IF($E13="","-",SUMIF(portfolio.!$A$4:$A308,$CR13,portfolio.!$AX$4:$AX308)*$CU$5))</f>
        <v/>
      </c>
      <c r="BG13" s="545"/>
      <c r="BH13" s="879" t="s">
        <v>123</v>
      </c>
      <c r="BI13" s="880" t="s">
        <v>123</v>
      </c>
      <c r="BJ13" s="863" t="str">
        <f>IFERROR(__xludf.DUMMYFUNCTION("IF(NOT($BL$4),"""",IF($CR13="""","""",IFERROR(query({GOOGLEFINANCE($CR13,""price"",IF($BI13=""-"",TODAY()-($AQ$5+5),$BI13),TODAY()-1)},""Select max(Col2) where Col1 is not null label max(Col2) ''"")*CU13,""-"")))"),"")</f>
        <v/>
      </c>
      <c r="BK13" s="881" t="s">
        <v>123</v>
      </c>
      <c r="BL13" s="882" t="s">
        <v>123</v>
      </c>
      <c r="BM13" s="442"/>
      <c r="BN13" s="867" t="str">
        <f>IFERROR(__xludf.DUMMYFUNCTION("IF(CR13="""","""",IF(OR(C13=""AÇÃO"",C13=""BDR""),IFERROR(QUERY({fundamentus.!$A$3:$U308},$CX$67&amp;"" where Col1='""&amp;CR13&amp;""' limit 1"",0)),IF(C13=""FII"",IFERROR(QUERY({fundsexplorer.!$A$2:$Z308},$CY$67&amp;"" where Col1='""&amp;CR13&amp;""' limit 1"",0)),"""")))"),"")</f>
        <v/>
      </c>
      <c r="BO13" s="867"/>
      <c r="BP13" s="867"/>
      <c r="BQ13" s="867"/>
      <c r="BR13" s="867"/>
      <c r="BS13" s="867"/>
      <c r="BT13" s="867"/>
      <c r="BU13" s="442"/>
      <c r="BV13" s="868" t="str">
        <f>IFERROR(__xludf.DUMMYFUNCTION("IF(OR(C13=""AÇÃO"",C13=""BDR""),IFERROR(GOOGLEFINANCE(CONCAT(""BVMF:"",CR13), ""marketcap"")/1000000,""NC""),"""")"),"")</f>
        <v/>
      </c>
      <c r="BW13" s="869" t="s">
        <v>123</v>
      </c>
      <c r="BX13" s="870" t="s">
        <v>123</v>
      </c>
      <c r="BY13" s="868" t="s">
        <v>123</v>
      </c>
      <c r="BZ13" s="870" t="s">
        <v>123</v>
      </c>
      <c r="CA13" s="868" t="s">
        <v>123</v>
      </c>
      <c r="CB13" s="868" t="s">
        <v>123</v>
      </c>
      <c r="CC13" s="868" t="s">
        <v>123</v>
      </c>
      <c r="CD13" s="868" t="str">
        <f>IFERROR(__xludf.DUMMYFUNCTION("IF(OR(C13=""AÇÃO"",C13=""BDR""),IFERROR(GOOGLEFINANCE(CONCAT(""BVMF:"",CR13), ""volumeavg"")/1000000,""NC""),"""")"),"")</f>
        <v/>
      </c>
      <c r="CE13" s="870" t="s">
        <v>123</v>
      </c>
      <c r="CF13" s="870" t="s">
        <v>123</v>
      </c>
      <c r="CG13" s="870" t="str">
        <f>IFERROR(__xludf.DUMMYFUNCTION("IF(OR(C13=""AÇÃO"",C13=""BDR""),IF(CF13=0,""SEM DY"",IFERROR(ImportXML(CONCAT(""http://www.guiainvest.com.br/raiox/default.aspx?sigla="",$CR13),""//*[@id='lbPayoutAtual']""),""NC"")),"""")"),"")</f>
        <v/>
      </c>
      <c r="CH13" s="870" t="s">
        <v>123</v>
      </c>
      <c r="CI13" s="545"/>
      <c r="CJ13" s="871" t="str">
        <f>IFERROR(__xludf.DUMMYFUNCTION("IF(OR(C13=""AÇÃO"",C13=""BDR""),IFERROR(GOOGLEFINANCE(CONCAT(""BVMF:"",CR13), ""eps""),""NC""),"""")"),"")</f>
        <v/>
      </c>
      <c r="CK13" s="442"/>
      <c r="CL13" s="871" t="str">
        <f>IFERROR(__xludf.DUMMYFUNCTION("IF(NOT($BL$4),"""",IF($CR13="""","""",IF($BC13="""","""",IFERROR(query({op.normal!$B$5:$F308},""select Col5, toDate(Col2) where Col1 =  '""&amp;$CR13&amp;""' and Col4 &gt; 0 and ((Col3 is null) or (Col3 = 'C')) and Col2 &gt;= date '""&amp;TEXT(TODAY()-$AQ$5,""yyyy-mm-dd"")"&amp;"&amp;""' order by Col2 desc limit 1 label toDate(Col2) ''"")))))"),"")</f>
        <v/>
      </c>
      <c r="CM13" s="872"/>
      <c r="CN13" s="883" t="s">
        <v>123</v>
      </c>
      <c r="CO13" s="874" t="s">
        <v>123</v>
      </c>
      <c r="CP13" s="766"/>
      <c r="CQ13" s="791"/>
      <c r="CR13" s="791"/>
      <c r="CT13" s="791" t="s">
        <v>123</v>
      </c>
      <c r="CU13" s="791" t="str">
        <f>IFERROR(__xludf.DUMMYFUNCTION("IF(CR13="""","""",IF(CT13=$C$4,1,GOOGLEFINANCE(CT13&amp;$C$4)))"),"")</f>
        <v/>
      </c>
      <c r="CW13" s="791" t="s">
        <v>560</v>
      </c>
      <c r="CX13" s="791" t="s">
        <v>560</v>
      </c>
      <c r="CY13" s="791" t="str">
        <f>"Col"&amp;MATCH(CW13,fundamentus.!$A$2:$U$2,0)</f>
        <v>Col5</v>
      </c>
    </row>
    <row r="14" ht="22.5" customHeight="1">
      <c r="A14" s="837">
        <v>6.0</v>
      </c>
      <c r="B14" s="838" t="s">
        <v>123</v>
      </c>
      <c r="C14" s="838" t="s">
        <v>123</v>
      </c>
      <c r="D14" s="839" t="s">
        <v>123</v>
      </c>
      <c r="E14" s="839" t="s">
        <v>123</v>
      </c>
      <c r="F14" s="839" t="s">
        <v>123</v>
      </c>
      <c r="G14" s="56"/>
      <c r="H14" s="840"/>
      <c r="I14" s="838"/>
      <c r="J14" s="838"/>
      <c r="K14" s="838"/>
      <c r="L14" s="838"/>
      <c r="M14" s="838"/>
      <c r="N14" s="838"/>
      <c r="O14" s="838"/>
      <c r="P14" s="838"/>
      <c r="Q14" s="838"/>
      <c r="R14" s="838"/>
      <c r="S14" s="838"/>
      <c r="T14" s="838"/>
      <c r="U14" s="838"/>
      <c r="V14" s="838"/>
      <c r="W14" s="838"/>
      <c r="X14" s="838"/>
      <c r="Z14" s="875" t="str">
        <f>IFERROR(__xludf.DUMMYFUNCTION("IF($CR14="""","""",IFERROR(query({CarteirasAtivos},""select Col4 where Col4 is not null and Col1 = '""&amp;$CR14&amp;""' limit 1"")*CU14,""NC""))"),"")</f>
        <v/>
      </c>
      <c r="AA14" s="876" t="str">
        <f>IFERROR(__xludf.DUMMYFUNCTION("IF($CR14="""","""",IFERROR(query({CarteirasAtivos},""select Col6 where Col4 is not null and Col1 = '""&amp;$CR14&amp;""' limit 1""),""NC""))"),"")</f>
        <v/>
      </c>
      <c r="AB14" s="877"/>
      <c r="AC14" s="878" t="s">
        <v>123</v>
      </c>
      <c r="AD14" s="845" t="str">
        <f>IF($CR14="","",IFERROR(VLOOKUP($CR14,ativos.!$C$3:$R308,MATCH("cotacao",ativos.!$C$2:CY$2,0),FALSE)*$CU$5,"atualizar"))</f>
        <v/>
      </c>
      <c r="AE14" s="846" t="str">
        <f>IFERROR(__xludf.DUMMYFUNCTION("IF($CR14="""","""",IFERROR(AVERAGE(query({CarteirasAtivos;CarteirasAtivosEncerrados},""select Col5 where Col5 is not null and Col1 = '""&amp;$CR14&amp;""' and Col10='SIM'""))*CU14,""NC""))"),"")</f>
        <v/>
      </c>
      <c r="AF14" s="847" t="str">
        <f t="shared" si="1"/>
        <v/>
      </c>
      <c r="AG14" s="442"/>
      <c r="AH14" s="848" t="str">
        <f>IFERROR(__xludf.DUMMYFUNCTION("IF($CR14="""","""",IFERROR(GOOGLEFINANCE($CR14,""low52"")*CU14,""-""))"),"")</f>
        <v/>
      </c>
      <c r="AI14" s="848" t="str">
        <f>IFERROR(__xludf.DUMMYFUNCTION("IF($CR14="""","""",IFERROR(GOOGLEFINANCE($CR14,""high52"")*CU14,""-""))"),"")</f>
        <v/>
      </c>
      <c r="AJ14" s="849" t="s">
        <v>123</v>
      </c>
      <c r="AK14" s="850" t="str">
        <f>IFERROR(__xludf.DUMMYFUNCTION("IF($CR14="""","""",IFERROR(GOOGLEFINANCE($CR14,""changepct"")/100,""-""))"),"")</f>
        <v/>
      </c>
      <c r="AL14" s="851" t="str">
        <f>IFERROR(__xludf.DUMMYFUNCTION("IF($CR14="""","""",IFERROR(($AD14/(QUERY(GOOGLEFINANCE($CR14,""price"",TODAY()-7),""SELECT Col2 label Col2 ''"")*$CU14)-1),""-""))"),"")</f>
        <v/>
      </c>
      <c r="AM14" s="851" t="str">
        <f>IFERROR(__xludf.DUMMYFUNCTION("IF($CR14="""","""",IFERROR(($AD14/(QUERY(GOOGLEFINANCE($CR14,""price"",TODAY()-14),""SELECT Col2 label Col2 ''"")*$CU14)-1),""-""))"),"")</f>
        <v/>
      </c>
      <c r="AN14" s="851" t="str">
        <f>IFERROR(__xludf.DUMMYFUNCTION("IF($CR14="""","""",IFERROR(($AD14/(QUERY(GOOGLEFINANCE($CR14,""price"",TODAY()-28),""SELECT Col2 label Col2 ''"")*$CU14)-1),""-""))"),"")</f>
        <v/>
      </c>
      <c r="AO14" s="851" t="str">
        <f>IFERROR(__xludf.DUMMYFUNCTION("IF($CR14="""","""",IFERROR(($AD14/(QUERY(GOOGLEFINANCE($CR14,""price"",TODAY()-$AQ$5),""SELECT Col2 label Col2 ''"")*$CU14)-1),""-""))"),"")</f>
        <v/>
      </c>
      <c r="AP14" s="852" t="str">
        <f>IFERROR(__xludf.DUMMYFUNCTION("IF($CR14="""","""",IFERROR(SPARKLINE(query(GOOGLEFINANCE($CR14,""price"",TODAY()-$AQ$5,TODAY(),1),""select Col2 label Col2 ''""),IF($AP$7=""Gráfico de barras"",{""charttype"",""column"";""highcolor"",""red""},{""chartype"",""line""}))))"),"")</f>
        <v/>
      </c>
      <c r="AQ14" s="144"/>
      <c r="AR14" s="853"/>
      <c r="AS14" s="854" t="str">
        <f>IF($CR14="","",IF(NOT('alocação'!$D$1),"off",IFERROR(VLOOKUP(CR14,BalanceAtivos,3,0),"NC")))</f>
        <v/>
      </c>
      <c r="AT14" s="855" t="str">
        <f>IF($CR14="","",IF(NOT('alocação'!$D$1),"off",IFERROR(VLOOKUP($CR14,BalanceAtivos,4,0)*$CU$5,"NC")))</f>
        <v/>
      </c>
      <c r="AU14" s="856" t="str">
        <f>IF($CR14="","",IF(NOT('alocação'!$D$1),"off",IFERROR(VLOOKUP($CR14,BalanceAtivos,5,0),"-")))</f>
        <v/>
      </c>
      <c r="AV14" s="856" t="str">
        <f>IF($CR14="","",IF(NOT('alocação'!$D$1),"off",IFERROR(VLOOKUP($CR14,BalanceAtivos,6,0),"-")))</f>
        <v/>
      </c>
      <c r="AW14" s="857"/>
      <c r="AX14" s="858" t="str">
        <f>IF($CR14="","",IF($E14="","SP",IFERROR(VLOOKUP($CR14,AtivosDados,MATCH("pm_atual",portfolio.!$A$3:CY$3,0),0)*$CU$5,0)))</f>
        <v/>
      </c>
      <c r="AY14" s="859" t="str">
        <f t="shared" si="2"/>
        <v/>
      </c>
      <c r="AZ14" s="858" t="str">
        <f>IF($CR14="","",IF($E14="","SP",SUMIF(portfolio.!$A$4:$A308,$CR14,portfolio.!$O$4:$O308)*$CU$5))</f>
        <v/>
      </c>
      <c r="BA14" s="858" t="str">
        <f>IF($CR14="","",IF($E14="","SP",SUMIF(portfolio.!$A$4:$A308,$CR14,portfolio.!$AN$4:$AN308)*$CU$5))</f>
        <v/>
      </c>
      <c r="BB14" s="860" t="str">
        <f>IF($CR14="","",IF($E14="","-",IFERROR($BA14/'portfólio'!$DG$63,"")))</f>
        <v/>
      </c>
      <c r="BC14" s="861" t="str">
        <f>IF($CR14="","",IF($E14="","-",SUMIF(portfolio.!$A$4:$A308,$CR14,portfolio.!$J$4:$J308)))</f>
        <v/>
      </c>
      <c r="BD14" s="862" t="str">
        <f>IF($CR14="","",IF($E14="","SP",SUMIF(portfolio.!$A$4:$A308,$CR14,portfolio.!$AQ$4:$AQ308)*$CU$5))</f>
        <v/>
      </c>
      <c r="BE14" s="850" t="str">
        <f t="shared" si="3"/>
        <v/>
      </c>
      <c r="BF14" s="862" t="str">
        <f>IF($CR14="","",IF($E14="","-",SUMIF(portfolio.!$A$4:$A308,$CR14,portfolio.!$AX$4:$AX308)*$CU$5))</f>
        <v/>
      </c>
      <c r="BG14" s="545"/>
      <c r="BH14" s="879" t="s">
        <v>123</v>
      </c>
      <c r="BI14" s="880" t="s">
        <v>123</v>
      </c>
      <c r="BJ14" s="863" t="str">
        <f>IFERROR(__xludf.DUMMYFUNCTION("IF(NOT($BL$4),"""",IF($CR14="""","""",IFERROR(query({GOOGLEFINANCE($CR14,""price"",IF($BI14=""-"",TODAY()-($AQ$5+5),$BI14),TODAY()-1)},""Select max(Col2) where Col1 is not null label max(Col2) ''"")*CU14,""-"")))"),"")</f>
        <v/>
      </c>
      <c r="BK14" s="881" t="s">
        <v>123</v>
      </c>
      <c r="BL14" s="882" t="s">
        <v>123</v>
      </c>
      <c r="BM14" s="442"/>
      <c r="BN14" s="867" t="str">
        <f>IFERROR(__xludf.DUMMYFUNCTION("IF(CR14="""","""",IF(OR(C14=""AÇÃO"",C14=""BDR""),IFERROR(QUERY({fundamentus.!$A$3:$U308},$CX$67&amp;"" where Col1='""&amp;CR14&amp;""' limit 1"",0)),IF(C14=""FII"",IFERROR(QUERY({fundsexplorer.!$A$2:$Z308},$CY$67&amp;"" where Col1='""&amp;CR14&amp;""' limit 1"",0)),"""")))"),"")</f>
        <v/>
      </c>
      <c r="BO14" s="867"/>
      <c r="BP14" s="867"/>
      <c r="BQ14" s="867"/>
      <c r="BR14" s="867"/>
      <c r="BS14" s="867"/>
      <c r="BT14" s="867"/>
      <c r="BU14" s="442"/>
      <c r="BV14" s="868" t="str">
        <f>IFERROR(__xludf.DUMMYFUNCTION("IF(OR(C14=""AÇÃO"",C14=""BDR""),IFERROR(GOOGLEFINANCE(CONCAT(""BVMF:"",CR14), ""marketcap"")/1000000,""NC""),"""")"),"")</f>
        <v/>
      </c>
      <c r="BW14" s="869" t="s">
        <v>123</v>
      </c>
      <c r="BX14" s="870" t="s">
        <v>123</v>
      </c>
      <c r="BY14" s="868" t="s">
        <v>123</v>
      </c>
      <c r="BZ14" s="870" t="s">
        <v>123</v>
      </c>
      <c r="CA14" s="868" t="s">
        <v>123</v>
      </c>
      <c r="CB14" s="868" t="s">
        <v>123</v>
      </c>
      <c r="CC14" s="868" t="s">
        <v>123</v>
      </c>
      <c r="CD14" s="868" t="str">
        <f>IFERROR(__xludf.DUMMYFUNCTION("IF(OR(C14=""AÇÃO"",C14=""BDR""),IFERROR(GOOGLEFINANCE(CONCAT(""BVMF:"",CR14), ""volumeavg"")/1000000,""NC""),"""")"),"")</f>
        <v/>
      </c>
      <c r="CE14" s="870" t="s">
        <v>123</v>
      </c>
      <c r="CF14" s="870" t="s">
        <v>123</v>
      </c>
      <c r="CG14" s="870" t="str">
        <f>IFERROR(__xludf.DUMMYFUNCTION("IF(OR(C14=""AÇÃO"",C14=""BDR""),IF(CF14=0,""SEM DY"",IFERROR(ImportXML(CONCAT(""http://www.guiainvest.com.br/raiox/default.aspx?sigla="",$CR14),""//*[@id='lbPayoutAtual']""),""NC"")),"""")"),"")</f>
        <v/>
      </c>
      <c r="CH14" s="870" t="s">
        <v>123</v>
      </c>
      <c r="CI14" s="545"/>
      <c r="CJ14" s="871" t="str">
        <f>IFERROR(__xludf.DUMMYFUNCTION("IF(OR(C14=""AÇÃO"",C14=""BDR""),IFERROR(GOOGLEFINANCE(CONCAT(""BVMF:"",CR14), ""eps""),""NC""),"""")"),"")</f>
        <v/>
      </c>
      <c r="CK14" s="442"/>
      <c r="CL14" s="871" t="str">
        <f>IFERROR(__xludf.DUMMYFUNCTION("IF(NOT($BL$4),"""",IF($CR14="""","""",IF($BC14="""","""",IFERROR(query({op.normal!$B$5:$F308},""select Col5, toDate(Col2) where Col1 =  '""&amp;$CR14&amp;""' and Col4 &gt; 0 and ((Col3 is null) or (Col3 = 'C')) and Col2 &gt;= date '""&amp;TEXT(TODAY()-$AQ$5,""yyyy-mm-dd"")"&amp;"&amp;""' order by Col2 desc limit 1 label toDate(Col2) ''"")))))"),"")</f>
        <v/>
      </c>
      <c r="CM14" s="872"/>
      <c r="CN14" s="883" t="s">
        <v>123</v>
      </c>
      <c r="CO14" s="874" t="s">
        <v>123</v>
      </c>
      <c r="CP14" s="766"/>
      <c r="CQ14" s="791"/>
      <c r="CR14" s="791"/>
      <c r="CT14" s="791" t="s">
        <v>123</v>
      </c>
      <c r="CU14" s="791" t="str">
        <f>IFERROR(__xludf.DUMMYFUNCTION("IF(CR14="""","""",IF(CT14=$C$4,1,GOOGLEFINANCE(CT14&amp;$C$4)))"),"")</f>
        <v/>
      </c>
      <c r="CW14" s="791" t="s">
        <v>561</v>
      </c>
      <c r="CX14" s="836" t="s">
        <v>502</v>
      </c>
      <c r="CY14" s="791" t="str">
        <f>"Col"&amp;MATCH(CW14,fundamentus.!$A$2:$U$2,0)</f>
        <v>Col6</v>
      </c>
    </row>
    <row r="15" ht="22.5" customHeight="1">
      <c r="A15" s="837">
        <v>7.0</v>
      </c>
      <c r="B15" s="838" t="s">
        <v>123</v>
      </c>
      <c r="C15" s="838" t="s">
        <v>123</v>
      </c>
      <c r="D15" s="839" t="s">
        <v>123</v>
      </c>
      <c r="E15" s="839" t="s">
        <v>123</v>
      </c>
      <c r="F15" s="839" t="s">
        <v>123</v>
      </c>
      <c r="G15" s="56"/>
      <c r="H15" s="840"/>
      <c r="I15" s="838"/>
      <c r="J15" s="838"/>
      <c r="K15" s="838"/>
      <c r="L15" s="838"/>
      <c r="M15" s="838"/>
      <c r="N15" s="838"/>
      <c r="O15" s="838"/>
      <c r="P15" s="838"/>
      <c r="Q15" s="838"/>
      <c r="R15" s="838"/>
      <c r="S15" s="838"/>
      <c r="T15" s="838"/>
      <c r="U15" s="838"/>
      <c r="V15" s="838"/>
      <c r="W15" s="838"/>
      <c r="X15" s="838"/>
      <c r="Z15" s="875" t="str">
        <f>IFERROR(__xludf.DUMMYFUNCTION("IF($CR15="""","""",IFERROR(query({CarteirasAtivos},""select Col4 where Col4 is not null and Col1 = '""&amp;$CR15&amp;""' limit 1"")*CU15,""NC""))"),"")</f>
        <v/>
      </c>
      <c r="AA15" s="876" t="str">
        <f>IFERROR(__xludf.DUMMYFUNCTION("IF($CR15="""","""",IFERROR(query({CarteirasAtivos},""select Col6 where Col4 is not null and Col1 = '""&amp;$CR15&amp;""' limit 1""),""NC""))"),"")</f>
        <v/>
      </c>
      <c r="AB15" s="877"/>
      <c r="AC15" s="878" t="s">
        <v>123</v>
      </c>
      <c r="AD15" s="845" t="str">
        <f>IF($CR15="","",IFERROR(VLOOKUP($CR15,ativos.!$C$3:$R308,MATCH("cotacao",ativos.!$C$2:CY$2,0),FALSE)*$CU$5,"atualizar"))</f>
        <v/>
      </c>
      <c r="AE15" s="846" t="str">
        <f>IFERROR(__xludf.DUMMYFUNCTION("IF($CR15="""","""",IFERROR(AVERAGE(query({CarteirasAtivos;CarteirasAtivosEncerrados},""select Col5 where Col5 is not null and Col1 = '""&amp;$CR15&amp;""' and Col10='SIM'""))*CU15,""NC""))"),"")</f>
        <v/>
      </c>
      <c r="AF15" s="847" t="str">
        <f t="shared" si="1"/>
        <v/>
      </c>
      <c r="AG15" s="442"/>
      <c r="AH15" s="848" t="str">
        <f>IFERROR(__xludf.DUMMYFUNCTION("IF($CR15="""","""",IFERROR(GOOGLEFINANCE($CR15,""low52"")*CU15,""-""))"),"")</f>
        <v/>
      </c>
      <c r="AI15" s="848" t="str">
        <f>IFERROR(__xludf.DUMMYFUNCTION("IF($CR15="""","""",IFERROR(GOOGLEFINANCE($CR15,""high52"")*CU15,""-""))"),"")</f>
        <v/>
      </c>
      <c r="AJ15" s="849" t="s">
        <v>123</v>
      </c>
      <c r="AK15" s="850" t="str">
        <f>IFERROR(__xludf.DUMMYFUNCTION("IF($CR15="""","""",IFERROR(GOOGLEFINANCE($CR15,""changepct"")/100,""-""))"),"")</f>
        <v/>
      </c>
      <c r="AL15" s="851" t="str">
        <f>IFERROR(__xludf.DUMMYFUNCTION("IF($CR15="""","""",IFERROR(($AD15/(QUERY(GOOGLEFINANCE($CR15,""price"",TODAY()-7),""SELECT Col2 label Col2 ''"")*$CU15)-1),""-""))"),"")</f>
        <v/>
      </c>
      <c r="AM15" s="851" t="str">
        <f>IFERROR(__xludf.DUMMYFUNCTION("IF($CR15="""","""",IFERROR(($AD15/(QUERY(GOOGLEFINANCE($CR15,""price"",TODAY()-14),""SELECT Col2 label Col2 ''"")*$CU15)-1),""-""))"),"")</f>
        <v/>
      </c>
      <c r="AN15" s="851" t="str">
        <f>IFERROR(__xludf.DUMMYFUNCTION("IF($CR15="""","""",IFERROR(($AD15/(QUERY(GOOGLEFINANCE($CR15,""price"",TODAY()-28),""SELECT Col2 label Col2 ''"")*$CU15)-1),""-""))"),"")</f>
        <v/>
      </c>
      <c r="AO15" s="851" t="str">
        <f>IFERROR(__xludf.DUMMYFUNCTION("IF($CR15="""","""",IFERROR(($AD15/(QUERY(GOOGLEFINANCE($CR15,""price"",TODAY()-$AQ$5),""SELECT Col2 label Col2 ''"")*$CU15)-1),""-""))"),"")</f>
        <v/>
      </c>
      <c r="AP15" s="852" t="str">
        <f>IFERROR(__xludf.DUMMYFUNCTION("IF($CR15="""","""",IFERROR(SPARKLINE(query(GOOGLEFINANCE($CR15,""price"",TODAY()-$AQ$5,TODAY(),1),""select Col2 label Col2 ''""),IF($AP$7=""Gráfico de barras"",{""charttype"",""column"";""highcolor"",""red""},{""chartype"",""line""}))))"),"")</f>
        <v/>
      </c>
      <c r="AQ15" s="144"/>
      <c r="AR15" s="853"/>
      <c r="AS15" s="854" t="str">
        <f>IF($CR15="","",IF(NOT('alocação'!$D$1),"off",IFERROR(VLOOKUP(CR15,BalanceAtivos,3,0),"NC")))</f>
        <v/>
      </c>
      <c r="AT15" s="855" t="str">
        <f>IF($CR15="","",IF(NOT('alocação'!$D$1),"off",IFERROR(VLOOKUP($CR15,BalanceAtivos,4,0)*$CU$5,"NC")))</f>
        <v/>
      </c>
      <c r="AU15" s="856" t="str">
        <f>IF($CR15="","",IF(NOT('alocação'!$D$1),"off",IFERROR(VLOOKUP($CR15,BalanceAtivos,5,0),"-")))</f>
        <v/>
      </c>
      <c r="AV15" s="856" t="str">
        <f>IF($CR15="","",IF(NOT('alocação'!$D$1),"off",IFERROR(VLOOKUP($CR15,BalanceAtivos,6,0),"-")))</f>
        <v/>
      </c>
      <c r="AW15" s="857"/>
      <c r="AX15" s="858" t="str">
        <f>IF($CR15="","",IF($E15="","SP",IFERROR(VLOOKUP($CR15,AtivosDados,MATCH("pm_atual",portfolio.!$A$3:CY$3,0),0)*$CU$5,0)))</f>
        <v/>
      </c>
      <c r="AY15" s="859" t="str">
        <f t="shared" si="2"/>
        <v/>
      </c>
      <c r="AZ15" s="858" t="str">
        <f>IF($CR15="","",IF($E15="","SP",SUMIF(portfolio.!$A$4:$A308,$CR15,portfolio.!$O$4:$O308)*$CU$5))</f>
        <v/>
      </c>
      <c r="BA15" s="858" t="str">
        <f>IF($CR15="","",IF($E15="","SP",SUMIF(portfolio.!$A$4:$A308,$CR15,portfolio.!$AN$4:$AN308)*$CU$5))</f>
        <v/>
      </c>
      <c r="BB15" s="860" t="str">
        <f>IF($CR15="","",IF($E15="","-",IFERROR($BA15/'portfólio'!$DG$63,"")))</f>
        <v/>
      </c>
      <c r="BC15" s="861" t="str">
        <f>IF($CR15="","",IF($E15="","-",SUMIF(portfolio.!$A$4:$A308,$CR15,portfolio.!$J$4:$J308)))</f>
        <v/>
      </c>
      <c r="BD15" s="862" t="str">
        <f>IF($CR15="","",IF($E15="","SP",SUMIF(portfolio.!$A$4:$A308,$CR15,portfolio.!$AQ$4:$AQ308)*$CU$5))</f>
        <v/>
      </c>
      <c r="BE15" s="850" t="str">
        <f t="shared" si="3"/>
        <v/>
      </c>
      <c r="BF15" s="862" t="str">
        <f>IF($CR15="","",IF($E15="","-",SUMIF(portfolio.!$A$4:$A308,$CR15,portfolio.!$AX$4:$AX308)*$CU$5))</f>
        <v/>
      </c>
      <c r="BG15" s="545"/>
      <c r="BH15" s="879" t="s">
        <v>123</v>
      </c>
      <c r="BI15" s="880" t="s">
        <v>123</v>
      </c>
      <c r="BJ15" s="863" t="str">
        <f>IFERROR(__xludf.DUMMYFUNCTION("IF(NOT($BL$4),"""",IF($CR15="""","""",IFERROR(query({GOOGLEFINANCE($CR15,""price"",IF($BI15=""-"",TODAY()-($AQ$5+5),$BI15),TODAY()-1)},""Select max(Col2) where Col1 is not null label max(Col2) ''"")*CU15,""-"")))"),"")</f>
        <v/>
      </c>
      <c r="BK15" s="881" t="s">
        <v>123</v>
      </c>
      <c r="BL15" s="882" t="s">
        <v>123</v>
      </c>
      <c r="BM15" s="442"/>
      <c r="BN15" s="867" t="str">
        <f>IFERROR(__xludf.DUMMYFUNCTION("IF(CR15="""","""",IF(OR(C15=""AÇÃO"",C15=""BDR""),IFERROR(QUERY({fundamentus.!$A$3:$U308},$CX$67&amp;"" where Col1='""&amp;CR15&amp;""' limit 1"",0)),IF(C15=""FII"",IFERROR(QUERY({fundsexplorer.!$A$2:$Z308},$CY$67&amp;"" where Col1='""&amp;CR15&amp;""' limit 1"",0)),"""")))"),"")</f>
        <v/>
      </c>
      <c r="BO15" s="867"/>
      <c r="BP15" s="867"/>
      <c r="BQ15" s="867"/>
      <c r="BR15" s="867"/>
      <c r="BS15" s="867"/>
      <c r="BT15" s="867"/>
      <c r="BU15" s="442"/>
      <c r="BV15" s="868" t="str">
        <f>IFERROR(__xludf.DUMMYFUNCTION("IF(OR(C15=""AÇÃO"",C15=""BDR""),IFERROR(GOOGLEFINANCE(CONCAT(""BVMF:"",CR15), ""marketcap"")/1000000,""NC""),"""")"),"")</f>
        <v/>
      </c>
      <c r="BW15" s="869" t="s">
        <v>123</v>
      </c>
      <c r="BX15" s="870" t="s">
        <v>123</v>
      </c>
      <c r="BY15" s="868" t="s">
        <v>123</v>
      </c>
      <c r="BZ15" s="870" t="s">
        <v>123</v>
      </c>
      <c r="CA15" s="868" t="s">
        <v>123</v>
      </c>
      <c r="CB15" s="868" t="s">
        <v>123</v>
      </c>
      <c r="CC15" s="868" t="s">
        <v>123</v>
      </c>
      <c r="CD15" s="868" t="str">
        <f>IFERROR(__xludf.DUMMYFUNCTION("IF(OR(C15=""AÇÃO"",C15=""BDR""),IFERROR(GOOGLEFINANCE(CONCAT(""BVMF:"",CR15), ""volumeavg"")/1000000,""NC""),"""")"),"")</f>
        <v/>
      </c>
      <c r="CE15" s="870" t="s">
        <v>123</v>
      </c>
      <c r="CF15" s="870" t="s">
        <v>123</v>
      </c>
      <c r="CG15" s="870" t="str">
        <f>IFERROR(__xludf.DUMMYFUNCTION("IF(OR(C15=""AÇÃO"",C15=""BDR""),IF(CF15=0,""SEM DY"",IFERROR(ImportXML(CONCAT(""http://www.guiainvest.com.br/raiox/default.aspx?sigla="",$CR15),""//*[@id='lbPayoutAtual']""),""NC"")),"""")"),"")</f>
        <v/>
      </c>
      <c r="CH15" s="870" t="s">
        <v>123</v>
      </c>
      <c r="CI15" s="545"/>
      <c r="CJ15" s="871" t="str">
        <f>IFERROR(__xludf.DUMMYFUNCTION("IF(OR(C15=""AÇÃO"",C15=""BDR""),IFERROR(GOOGLEFINANCE(CONCAT(""BVMF:"",CR15), ""eps""),""NC""),"""")"),"")</f>
        <v/>
      </c>
      <c r="CK15" s="442"/>
      <c r="CL15" s="871" t="str">
        <f>IFERROR(__xludf.DUMMYFUNCTION("IF(NOT($BL$4),"""",IF($CR15="""","""",IF($BC15="""","""",IFERROR(query({op.normal!$B$5:$F308},""select Col5, toDate(Col2) where Col1 =  '""&amp;$CR15&amp;""' and Col4 &gt; 0 and ((Col3 is null) or (Col3 = 'C')) and Col2 &gt;= date '""&amp;TEXT(TODAY()-$AQ$5,""yyyy-mm-dd"")"&amp;"&amp;""' order by Col2 desc limit 1 label toDate(Col2) ''"")))))"),"")</f>
        <v/>
      </c>
      <c r="CM15" s="872"/>
      <c r="CN15" s="883" t="s">
        <v>123</v>
      </c>
      <c r="CO15" s="874" t="s">
        <v>123</v>
      </c>
      <c r="CP15" s="766"/>
      <c r="CQ15" s="791"/>
      <c r="CR15" s="791"/>
      <c r="CT15" s="791" t="s">
        <v>123</v>
      </c>
      <c r="CU15" s="791" t="str">
        <f>IFERROR(__xludf.DUMMYFUNCTION("IF(CR15="""","""",IF(CT15=$C$4,1,GOOGLEFINANCE(CT15&amp;$C$4)))"),"")</f>
        <v/>
      </c>
      <c r="CW15" s="791" t="s">
        <v>562</v>
      </c>
      <c r="CX15" s="791" t="s">
        <v>562</v>
      </c>
      <c r="CY15" s="791" t="str">
        <f>"Col"&amp;MATCH(CW15,fundamentus.!$A$2:$U$2,0)</f>
        <v>Col7</v>
      </c>
    </row>
    <row r="16" ht="22.5" customHeight="1">
      <c r="A16" s="837">
        <v>8.0</v>
      </c>
      <c r="B16" s="838" t="s">
        <v>123</v>
      </c>
      <c r="C16" s="838" t="s">
        <v>123</v>
      </c>
      <c r="D16" s="839" t="s">
        <v>123</v>
      </c>
      <c r="E16" s="839" t="s">
        <v>123</v>
      </c>
      <c r="F16" s="839" t="s">
        <v>123</v>
      </c>
      <c r="G16" s="56"/>
      <c r="H16" s="840"/>
      <c r="I16" s="838"/>
      <c r="J16" s="838"/>
      <c r="K16" s="838"/>
      <c r="L16" s="838"/>
      <c r="M16" s="838"/>
      <c r="N16" s="838"/>
      <c r="O16" s="838"/>
      <c r="P16" s="838"/>
      <c r="Q16" s="838"/>
      <c r="R16" s="838"/>
      <c r="S16" s="838"/>
      <c r="T16" s="838"/>
      <c r="U16" s="838"/>
      <c r="V16" s="838"/>
      <c r="W16" s="838"/>
      <c r="X16" s="838"/>
      <c r="Z16" s="875" t="str">
        <f>IFERROR(__xludf.DUMMYFUNCTION("IF($CR16="""","""",IFERROR(query({CarteirasAtivos},""select Col4 where Col4 is not null and Col1 = '""&amp;$CR16&amp;""' limit 1"")*CU16,""NC""))"),"")</f>
        <v/>
      </c>
      <c r="AA16" s="876" t="str">
        <f>IFERROR(__xludf.DUMMYFUNCTION("IF($CR16="""","""",IFERROR(query({CarteirasAtivos},""select Col6 where Col4 is not null and Col1 = '""&amp;$CR16&amp;""' limit 1""),""NC""))"),"")</f>
        <v/>
      </c>
      <c r="AB16" s="877"/>
      <c r="AC16" s="878" t="s">
        <v>123</v>
      </c>
      <c r="AD16" s="845" t="str">
        <f>IF($CR16="","",IFERROR(VLOOKUP($CR16,ativos.!$C$3:$R308,MATCH("cotacao",ativos.!$C$2:CY$2,0),FALSE)*$CU$5,"atualizar"))</f>
        <v/>
      </c>
      <c r="AE16" s="846" t="str">
        <f>IFERROR(__xludf.DUMMYFUNCTION("IF($CR16="""","""",IFERROR(AVERAGE(query({CarteirasAtivos;CarteirasAtivosEncerrados},""select Col5 where Col5 is not null and Col1 = '""&amp;$CR16&amp;""' and Col10='SIM'""))*CU16,""NC""))"),"")</f>
        <v/>
      </c>
      <c r="AF16" s="847" t="str">
        <f t="shared" si="1"/>
        <v/>
      </c>
      <c r="AG16" s="442"/>
      <c r="AH16" s="848" t="str">
        <f>IFERROR(__xludf.DUMMYFUNCTION("IF($CR16="""","""",IFERROR(GOOGLEFINANCE($CR16,""low52"")*CU16,""-""))"),"")</f>
        <v/>
      </c>
      <c r="AI16" s="848" t="str">
        <f>IFERROR(__xludf.DUMMYFUNCTION("IF($CR16="""","""",IFERROR(GOOGLEFINANCE($CR16,""high52"")*CU16,""-""))"),"")</f>
        <v/>
      </c>
      <c r="AJ16" s="849" t="s">
        <v>123</v>
      </c>
      <c r="AK16" s="850" t="str">
        <f>IFERROR(__xludf.DUMMYFUNCTION("IF($CR16="""","""",IFERROR(GOOGLEFINANCE($CR16,""changepct"")/100,""-""))"),"")</f>
        <v/>
      </c>
      <c r="AL16" s="851" t="str">
        <f>IFERROR(__xludf.DUMMYFUNCTION("IF($CR16="""","""",IFERROR(($AD16/(QUERY(GOOGLEFINANCE($CR16,""price"",TODAY()-7),""SELECT Col2 label Col2 ''"")*$CU16)-1),""-""))"),"")</f>
        <v/>
      </c>
      <c r="AM16" s="851" t="str">
        <f>IFERROR(__xludf.DUMMYFUNCTION("IF($CR16="""","""",IFERROR(($AD16/(QUERY(GOOGLEFINANCE($CR16,""price"",TODAY()-14),""SELECT Col2 label Col2 ''"")*$CU16)-1),""-""))"),"")</f>
        <v/>
      </c>
      <c r="AN16" s="851" t="str">
        <f>IFERROR(__xludf.DUMMYFUNCTION("IF($CR16="""","""",IFERROR(($AD16/(QUERY(GOOGLEFINANCE($CR16,""price"",TODAY()-28),""SELECT Col2 label Col2 ''"")*$CU16)-1),""-""))"),"")</f>
        <v/>
      </c>
      <c r="AO16" s="851" t="str">
        <f>IFERROR(__xludf.DUMMYFUNCTION("IF($CR16="""","""",IFERROR(($AD16/(QUERY(GOOGLEFINANCE($CR16,""price"",TODAY()-$AQ$5),""SELECT Col2 label Col2 ''"")*$CU16)-1),""-""))"),"")</f>
        <v/>
      </c>
      <c r="AP16" s="852" t="str">
        <f>IFERROR(__xludf.DUMMYFUNCTION("IF($CR16="""","""",IFERROR(SPARKLINE(query(GOOGLEFINANCE($CR16,""price"",TODAY()-$AQ$5,TODAY(),1),""select Col2 label Col2 ''""),IF($AP$7=""Gráfico de barras"",{""charttype"",""column"";""highcolor"",""red""},{""chartype"",""line""}))))"),"")</f>
        <v/>
      </c>
      <c r="AQ16" s="144"/>
      <c r="AR16" s="853"/>
      <c r="AS16" s="854" t="str">
        <f>IF($CR16="","",IF(NOT('alocação'!$D$1),"off",IFERROR(VLOOKUP(CR16,BalanceAtivos,3,0),"NC")))</f>
        <v/>
      </c>
      <c r="AT16" s="855" t="str">
        <f>IF($CR16="","",IF(NOT('alocação'!$D$1),"off",IFERROR(VLOOKUP($CR16,BalanceAtivos,4,0)*$CU$5,"NC")))</f>
        <v/>
      </c>
      <c r="AU16" s="856" t="str">
        <f>IF($CR16="","",IF(NOT('alocação'!$D$1),"off",IFERROR(VLOOKUP($CR16,BalanceAtivos,5,0),"-")))</f>
        <v/>
      </c>
      <c r="AV16" s="856" t="str">
        <f>IF($CR16="","",IF(NOT('alocação'!$D$1),"off",IFERROR(VLOOKUP($CR16,BalanceAtivos,6,0),"-")))</f>
        <v/>
      </c>
      <c r="AW16" s="857"/>
      <c r="AX16" s="858" t="str">
        <f>IF($CR16="","",IF($E16="","SP",IFERROR(VLOOKUP($CR16,AtivosDados,MATCH("pm_atual",portfolio.!$A$3:CY$3,0),0)*$CU$5,0)))</f>
        <v/>
      </c>
      <c r="AY16" s="859" t="str">
        <f t="shared" si="2"/>
        <v/>
      </c>
      <c r="AZ16" s="858" t="str">
        <f>IF($CR16="","",IF($E16="","SP",SUMIF(portfolio.!$A$4:$A308,$CR16,portfolio.!$O$4:$O308)*$CU$5))</f>
        <v/>
      </c>
      <c r="BA16" s="858" t="str">
        <f>IF($CR16="","",IF($E16="","SP",SUMIF(portfolio.!$A$4:$A308,$CR16,portfolio.!$AN$4:$AN308)*$CU$5))</f>
        <v/>
      </c>
      <c r="BB16" s="860" t="str">
        <f>IF($CR16="","",IF($E16="","-",IFERROR($BA16/'portfólio'!$DG$63,"")))</f>
        <v/>
      </c>
      <c r="BC16" s="861" t="str">
        <f>IF($CR16="","",IF($E16="","-",SUMIF(portfolio.!$A$4:$A308,$CR16,portfolio.!$J$4:$J308)))</f>
        <v/>
      </c>
      <c r="BD16" s="862" t="str">
        <f>IF($CR16="","",IF($E16="","SP",SUMIF(portfolio.!$A$4:$A308,$CR16,portfolio.!$AQ$4:$AQ308)*$CU$5))</f>
        <v/>
      </c>
      <c r="BE16" s="850" t="str">
        <f t="shared" si="3"/>
        <v/>
      </c>
      <c r="BF16" s="862" t="str">
        <f>IF($CR16="","",IF($E16="","-",SUMIF(portfolio.!$A$4:$A308,$CR16,portfolio.!$AX$4:$AX308)*$CU$5))</f>
        <v/>
      </c>
      <c r="BG16" s="545"/>
      <c r="BH16" s="879" t="s">
        <v>123</v>
      </c>
      <c r="BI16" s="880" t="s">
        <v>123</v>
      </c>
      <c r="BJ16" s="863" t="str">
        <f>IFERROR(__xludf.DUMMYFUNCTION("IF(NOT($BL$4),"""",IF($CR16="""","""",IFERROR(query({GOOGLEFINANCE($CR16,""price"",IF($BI16=""-"",TODAY()-($AQ$5+5),$BI16),TODAY()-1)},""Select max(Col2) where Col1 is not null label max(Col2) ''"")*CU16,""-"")))"),"")</f>
        <v/>
      </c>
      <c r="BK16" s="881" t="s">
        <v>123</v>
      </c>
      <c r="BL16" s="882" t="s">
        <v>123</v>
      </c>
      <c r="BM16" s="442"/>
      <c r="BN16" s="867" t="str">
        <f>IFERROR(__xludf.DUMMYFUNCTION("IF(CR16="""","""",IF(OR(C16=""AÇÃO"",C16=""BDR""),IFERROR(QUERY({fundamentus.!$A$3:$U308},$CX$67&amp;"" where Col1='""&amp;CR16&amp;""' limit 1"",0)),IF(C16=""FII"",IFERROR(QUERY({fundsexplorer.!$A$2:$Z308},$CY$67&amp;"" where Col1='""&amp;CR16&amp;""' limit 1"",0)),"""")))"),"")</f>
        <v/>
      </c>
      <c r="BO16" s="867"/>
      <c r="BP16" s="867"/>
      <c r="BQ16" s="867"/>
      <c r="BR16" s="867"/>
      <c r="BS16" s="867"/>
      <c r="BT16" s="867"/>
      <c r="BU16" s="442"/>
      <c r="BV16" s="868" t="str">
        <f>IFERROR(__xludf.DUMMYFUNCTION("IF(OR(C16=""AÇÃO"",C16=""BDR""),IFERROR(GOOGLEFINANCE(CONCAT(""BVMF:"",CR16), ""marketcap"")/1000000,""NC""),"""")"),"")</f>
        <v/>
      </c>
      <c r="BW16" s="869" t="s">
        <v>123</v>
      </c>
      <c r="BX16" s="870" t="s">
        <v>123</v>
      </c>
      <c r="BY16" s="868" t="s">
        <v>123</v>
      </c>
      <c r="BZ16" s="870" t="s">
        <v>123</v>
      </c>
      <c r="CA16" s="868" t="s">
        <v>123</v>
      </c>
      <c r="CB16" s="868" t="s">
        <v>123</v>
      </c>
      <c r="CC16" s="868" t="s">
        <v>123</v>
      </c>
      <c r="CD16" s="868" t="str">
        <f>IFERROR(__xludf.DUMMYFUNCTION("IF(OR(C16=""AÇÃO"",C16=""BDR""),IFERROR(GOOGLEFINANCE(CONCAT(""BVMF:"",CR16), ""volumeavg"")/1000000,""NC""),"""")"),"")</f>
        <v/>
      </c>
      <c r="CE16" s="870" t="s">
        <v>123</v>
      </c>
      <c r="CF16" s="870" t="s">
        <v>123</v>
      </c>
      <c r="CG16" s="870" t="str">
        <f>IFERROR(__xludf.DUMMYFUNCTION("IF(OR(C16=""AÇÃO"",C16=""BDR""),IF(CF16=0,""SEM DY"",IFERROR(ImportXML(CONCAT(""http://www.guiainvest.com.br/raiox/default.aspx?sigla="",$CR16),""//*[@id='lbPayoutAtual']""),""NC"")),"""")"),"")</f>
        <v/>
      </c>
      <c r="CH16" s="870" t="s">
        <v>123</v>
      </c>
      <c r="CI16" s="545"/>
      <c r="CJ16" s="871" t="str">
        <f>IFERROR(__xludf.DUMMYFUNCTION("IF(OR(C16=""AÇÃO"",C16=""BDR""),IFERROR(GOOGLEFINANCE(CONCAT(""BVMF:"",CR16), ""eps""),""NC""),"""")"),"")</f>
        <v/>
      </c>
      <c r="CK16" s="442"/>
      <c r="CL16" s="871" t="str">
        <f>IFERROR(__xludf.DUMMYFUNCTION("IF(NOT($BL$4),"""",IF($CR16="""","""",IF($BC16="""","""",IFERROR(query({op.normal!$B$5:$F308},""select Col5, toDate(Col2) where Col1 =  '""&amp;$CR16&amp;""' and Col4 &gt; 0 and ((Col3 is null) or (Col3 = 'C')) and Col2 &gt;= date '""&amp;TEXT(TODAY()-$AQ$5,""yyyy-mm-dd"")"&amp;"&amp;""' order by Col2 desc limit 1 label toDate(Col2) ''"")))))"),"")</f>
        <v/>
      </c>
      <c r="CM16" s="872"/>
      <c r="CN16" s="883" t="s">
        <v>123</v>
      </c>
      <c r="CO16" s="874" t="s">
        <v>123</v>
      </c>
      <c r="CP16" s="766"/>
      <c r="CQ16" s="791"/>
      <c r="CR16" s="791"/>
      <c r="CT16" s="791" t="s">
        <v>123</v>
      </c>
      <c r="CU16" s="791" t="str">
        <f>IFERROR(__xludf.DUMMYFUNCTION("IF(CR16="""","""",IF(CT16=$C$4,1,GOOGLEFINANCE(CT16&amp;$C$4)))"),"")</f>
        <v/>
      </c>
      <c r="CW16" s="791" t="s">
        <v>563</v>
      </c>
      <c r="CX16" s="836" t="s">
        <v>564</v>
      </c>
      <c r="CY16" s="791" t="str">
        <f>"Col"&amp;MATCH(CW16,fundamentus.!$A$2:$U$2,0)</f>
        <v>Col8</v>
      </c>
    </row>
    <row r="17" ht="22.5" customHeight="1">
      <c r="A17" s="837">
        <v>9.0</v>
      </c>
      <c r="B17" s="838" t="s">
        <v>123</v>
      </c>
      <c r="C17" s="838" t="s">
        <v>123</v>
      </c>
      <c r="D17" s="839" t="s">
        <v>123</v>
      </c>
      <c r="E17" s="839" t="s">
        <v>123</v>
      </c>
      <c r="F17" s="839" t="s">
        <v>123</v>
      </c>
      <c r="G17" s="56"/>
      <c r="H17" s="840"/>
      <c r="I17" s="838"/>
      <c r="J17" s="838"/>
      <c r="K17" s="838"/>
      <c r="L17" s="838"/>
      <c r="M17" s="838"/>
      <c r="N17" s="838"/>
      <c r="O17" s="838"/>
      <c r="P17" s="838"/>
      <c r="Q17" s="838"/>
      <c r="R17" s="838"/>
      <c r="S17" s="838"/>
      <c r="T17" s="838"/>
      <c r="U17" s="838"/>
      <c r="V17" s="838"/>
      <c r="W17" s="838"/>
      <c r="X17" s="838"/>
      <c r="Z17" s="875" t="str">
        <f>IFERROR(__xludf.DUMMYFUNCTION("IF($CR17="""","""",IFERROR(query({CarteirasAtivos},""select Col4 where Col4 is not null and Col1 = '""&amp;$CR17&amp;""' limit 1"")*CU17,""NC""))"),"")</f>
        <v/>
      </c>
      <c r="AA17" s="876" t="str">
        <f>IFERROR(__xludf.DUMMYFUNCTION("IF($CR17="""","""",IFERROR(query({CarteirasAtivos},""select Col6 where Col4 is not null and Col1 = '""&amp;$CR17&amp;""' limit 1""),""NC""))"),"")</f>
        <v/>
      </c>
      <c r="AB17" s="877"/>
      <c r="AC17" s="878" t="s">
        <v>123</v>
      </c>
      <c r="AD17" s="845" t="str">
        <f>IF($CR17="","",IFERROR(VLOOKUP($CR17,ativos.!$C$3:$R308,MATCH("cotacao",ativos.!$C$2:CY$2,0),FALSE)*$CU$5,"atualizar"))</f>
        <v/>
      </c>
      <c r="AE17" s="846" t="str">
        <f>IFERROR(__xludf.DUMMYFUNCTION("IF($CR17="""","""",IFERROR(AVERAGE(query({CarteirasAtivos;CarteirasAtivosEncerrados},""select Col5 where Col5 is not null and Col1 = '""&amp;$CR17&amp;""' and Col10='SIM'""))*CU17,""NC""))"),"")</f>
        <v/>
      </c>
      <c r="AF17" s="847" t="str">
        <f t="shared" si="1"/>
        <v/>
      </c>
      <c r="AG17" s="442"/>
      <c r="AH17" s="848" t="str">
        <f>IFERROR(__xludf.DUMMYFUNCTION("IF($CR17="""","""",IFERROR(GOOGLEFINANCE($CR17,""low52"")*CU17,""-""))"),"")</f>
        <v/>
      </c>
      <c r="AI17" s="848" t="str">
        <f>IFERROR(__xludf.DUMMYFUNCTION("IF($CR17="""","""",IFERROR(GOOGLEFINANCE($CR17,""high52"")*CU17,""-""))"),"")</f>
        <v/>
      </c>
      <c r="AJ17" s="849" t="s">
        <v>123</v>
      </c>
      <c r="AK17" s="850" t="str">
        <f>IFERROR(__xludf.DUMMYFUNCTION("IF($CR17="""","""",IFERROR(GOOGLEFINANCE($CR17,""changepct"")/100,""-""))"),"")</f>
        <v/>
      </c>
      <c r="AL17" s="851" t="str">
        <f>IFERROR(__xludf.DUMMYFUNCTION("IF($CR17="""","""",IFERROR(($AD17/(QUERY(GOOGLEFINANCE($CR17,""price"",TODAY()-7),""SELECT Col2 label Col2 ''"")*$CU17)-1),""-""))"),"")</f>
        <v/>
      </c>
      <c r="AM17" s="851" t="str">
        <f>IFERROR(__xludf.DUMMYFUNCTION("IF($CR17="""","""",IFERROR(($AD17/(QUERY(GOOGLEFINANCE($CR17,""price"",TODAY()-14),""SELECT Col2 label Col2 ''"")*$CU17)-1),""-""))"),"")</f>
        <v/>
      </c>
      <c r="AN17" s="851" t="str">
        <f>IFERROR(__xludf.DUMMYFUNCTION("IF($CR17="""","""",IFERROR(($AD17/(QUERY(GOOGLEFINANCE($CR17,""price"",TODAY()-28),""SELECT Col2 label Col2 ''"")*$CU17)-1),""-""))"),"")</f>
        <v/>
      </c>
      <c r="AO17" s="851" t="str">
        <f>IFERROR(__xludf.DUMMYFUNCTION("IF($CR17="""","""",IFERROR(($AD17/(QUERY(GOOGLEFINANCE($CR17,""price"",TODAY()-$AQ$5),""SELECT Col2 label Col2 ''"")*$CU17)-1),""-""))"),"")</f>
        <v/>
      </c>
      <c r="AP17" s="852" t="str">
        <f>IFERROR(__xludf.DUMMYFUNCTION("IF($CR17="""","""",IFERROR(SPARKLINE(query(GOOGLEFINANCE($CR17,""price"",TODAY()-$AQ$5,TODAY(),1),""select Col2 label Col2 ''""),IF($AP$7=""Gráfico de barras"",{""charttype"",""column"";""highcolor"",""red""},{""chartype"",""line""}))))"),"")</f>
        <v/>
      </c>
      <c r="AQ17" s="144"/>
      <c r="AR17" s="853"/>
      <c r="AS17" s="854" t="str">
        <f>IF($CR17="","",IF(NOT('alocação'!$D$1),"off",IFERROR(VLOOKUP(CR17,BalanceAtivos,3,0),"NC")))</f>
        <v/>
      </c>
      <c r="AT17" s="855" t="str">
        <f>IF($CR17="","",IF(NOT('alocação'!$D$1),"off",IFERROR(VLOOKUP($CR17,BalanceAtivos,4,0)*$CU$5,"NC")))</f>
        <v/>
      </c>
      <c r="AU17" s="856" t="str">
        <f>IF($CR17="","",IF(NOT('alocação'!$D$1),"off",IFERROR(VLOOKUP($CR17,BalanceAtivos,5,0),"-")))</f>
        <v/>
      </c>
      <c r="AV17" s="856" t="str">
        <f>IF($CR17="","",IF(NOT('alocação'!$D$1),"off",IFERROR(VLOOKUP($CR17,BalanceAtivos,6,0),"-")))</f>
        <v/>
      </c>
      <c r="AW17" s="857"/>
      <c r="AX17" s="858" t="str">
        <f>IF($CR17="","",IF($E17="","SP",IFERROR(VLOOKUP($CR17,AtivosDados,MATCH("pm_atual",portfolio.!$A$3:CY$3,0),0)*$CU$5,0)))</f>
        <v/>
      </c>
      <c r="AY17" s="859" t="str">
        <f t="shared" si="2"/>
        <v/>
      </c>
      <c r="AZ17" s="858" t="str">
        <f>IF($CR17="","",IF($E17="","SP",SUMIF(portfolio.!$A$4:$A308,$CR17,portfolio.!$O$4:$O308)*$CU$5))</f>
        <v/>
      </c>
      <c r="BA17" s="858" t="str">
        <f>IF($CR17="","",IF($E17="","SP",SUMIF(portfolio.!$A$4:$A308,$CR17,portfolio.!$AN$4:$AN308)*$CU$5))</f>
        <v/>
      </c>
      <c r="BB17" s="860" t="str">
        <f>IF($CR17="","",IF($E17="","-",IFERROR($BA17/'portfólio'!$DG$63,"")))</f>
        <v/>
      </c>
      <c r="BC17" s="861" t="str">
        <f>IF($CR17="","",IF($E17="","-",SUMIF(portfolio.!$A$4:$A308,$CR17,portfolio.!$J$4:$J308)))</f>
        <v/>
      </c>
      <c r="BD17" s="862" t="str">
        <f>IF($CR17="","",IF($E17="","SP",SUMIF(portfolio.!$A$4:$A308,$CR17,portfolio.!$AQ$4:$AQ308)*$CU$5))</f>
        <v/>
      </c>
      <c r="BE17" s="850" t="str">
        <f t="shared" si="3"/>
        <v/>
      </c>
      <c r="BF17" s="862" t="str">
        <f>IF($CR17="","",IF($E17="","-",SUMIF(portfolio.!$A$4:$A308,$CR17,portfolio.!$AX$4:$AX308)*$CU$5))</f>
        <v/>
      </c>
      <c r="BG17" s="545"/>
      <c r="BH17" s="879" t="s">
        <v>123</v>
      </c>
      <c r="BI17" s="880" t="s">
        <v>123</v>
      </c>
      <c r="BJ17" s="863" t="str">
        <f>IFERROR(__xludf.DUMMYFUNCTION("IF(NOT($BL$4),"""",IF($CR17="""","""",IFERROR(query({GOOGLEFINANCE($CR17,""price"",IF($BI17=""-"",TODAY()-($AQ$5+5),$BI17),TODAY()-1)},""Select max(Col2) where Col1 is not null label max(Col2) ''"")*CU17,""-"")))"),"")</f>
        <v/>
      </c>
      <c r="BK17" s="881" t="s">
        <v>123</v>
      </c>
      <c r="BL17" s="882" t="s">
        <v>123</v>
      </c>
      <c r="BM17" s="442"/>
      <c r="BN17" s="867" t="str">
        <f>IFERROR(__xludf.DUMMYFUNCTION("IF(CR17="""","""",IF(OR(C17=""AÇÃO"",C17=""BDR""),IFERROR(QUERY({fundamentus.!$A$3:$U308},$CX$67&amp;"" where Col1='""&amp;CR17&amp;""' limit 1"",0)),IF(C17=""FII"",IFERROR(QUERY({fundsexplorer.!$A$2:$Z308},$CY$67&amp;"" where Col1='""&amp;CR17&amp;""' limit 1"",0)),"""")))"),"")</f>
        <v/>
      </c>
      <c r="BO17" s="867"/>
      <c r="BP17" s="867"/>
      <c r="BQ17" s="867"/>
      <c r="BR17" s="867"/>
      <c r="BS17" s="867"/>
      <c r="BT17" s="867"/>
      <c r="BU17" s="442"/>
      <c r="BV17" s="868" t="str">
        <f>IFERROR(__xludf.DUMMYFUNCTION("IF(OR(C17=""AÇÃO"",C17=""BDR""),IFERROR(GOOGLEFINANCE(CONCAT(""BVMF:"",CR17), ""marketcap"")/1000000,""NC""),"""")"),"")</f>
        <v/>
      </c>
      <c r="BW17" s="869" t="s">
        <v>123</v>
      </c>
      <c r="BX17" s="870" t="s">
        <v>123</v>
      </c>
      <c r="BY17" s="868" t="s">
        <v>123</v>
      </c>
      <c r="BZ17" s="870" t="s">
        <v>123</v>
      </c>
      <c r="CA17" s="868" t="s">
        <v>123</v>
      </c>
      <c r="CB17" s="868" t="s">
        <v>123</v>
      </c>
      <c r="CC17" s="868" t="s">
        <v>123</v>
      </c>
      <c r="CD17" s="868" t="str">
        <f>IFERROR(__xludf.DUMMYFUNCTION("IF(OR(C17=""AÇÃO"",C17=""BDR""),IFERROR(GOOGLEFINANCE(CONCAT(""BVMF:"",CR17), ""volumeavg"")/1000000,""NC""),"""")"),"")</f>
        <v/>
      </c>
      <c r="CE17" s="870" t="s">
        <v>123</v>
      </c>
      <c r="CF17" s="870" t="s">
        <v>123</v>
      </c>
      <c r="CG17" s="870" t="str">
        <f>IFERROR(__xludf.DUMMYFUNCTION("IF(OR(C17=""AÇÃO"",C17=""BDR""),IF(CF17=0,""SEM DY"",IFERROR(ImportXML(CONCAT(""http://www.guiainvest.com.br/raiox/default.aspx?sigla="",$CR17),""//*[@id='lbPayoutAtual']""),""NC"")),"""")"),"")</f>
        <v/>
      </c>
      <c r="CH17" s="870" t="s">
        <v>123</v>
      </c>
      <c r="CI17" s="545"/>
      <c r="CJ17" s="871" t="str">
        <f>IFERROR(__xludf.DUMMYFUNCTION("IF(OR(C17=""AÇÃO"",C17=""BDR""),IFERROR(GOOGLEFINANCE(CONCAT(""BVMF:"",CR17), ""eps""),""NC""),"""")"),"")</f>
        <v/>
      </c>
      <c r="CK17" s="442"/>
      <c r="CL17" s="871" t="str">
        <f>IFERROR(__xludf.DUMMYFUNCTION("IF(NOT($BL$4),"""",IF($CR17="""","""",IF($BC17="""","""",IFERROR(query({op.normal!$B$5:$F308},""select Col5, toDate(Col2) where Col1 =  '""&amp;$CR17&amp;""' and Col4 &gt; 0 and ((Col3 is null) or (Col3 = 'C')) and Col2 &gt;= date '""&amp;TEXT(TODAY()-$AQ$5,""yyyy-mm-dd"")"&amp;"&amp;""' order by Col2 desc limit 1 label toDate(Col2) ''"")))))"),"")</f>
        <v/>
      </c>
      <c r="CM17" s="872"/>
      <c r="CN17" s="883" t="s">
        <v>123</v>
      </c>
      <c r="CO17" s="874" t="s">
        <v>123</v>
      </c>
      <c r="CP17" s="766"/>
      <c r="CQ17" s="791"/>
      <c r="CR17" s="791"/>
      <c r="CT17" s="791" t="s">
        <v>123</v>
      </c>
      <c r="CU17" s="791" t="str">
        <f>IFERROR(__xludf.DUMMYFUNCTION("IF(CR17="""","""",IF(CT17=$C$4,1,GOOGLEFINANCE(CT17&amp;$C$4)))"),"")</f>
        <v/>
      </c>
      <c r="CW17" s="791" t="s">
        <v>565</v>
      </c>
      <c r="CX17" s="791" t="s">
        <v>565</v>
      </c>
      <c r="CY17" s="791" t="str">
        <f>"Col"&amp;MATCH(CW17,fundamentus.!$A$2:$U$2,0)</f>
        <v>Col9</v>
      </c>
    </row>
    <row r="18" ht="22.5" customHeight="1">
      <c r="A18" s="837">
        <v>10.0</v>
      </c>
      <c r="B18" s="838" t="s">
        <v>123</v>
      </c>
      <c r="C18" s="838" t="s">
        <v>123</v>
      </c>
      <c r="D18" s="839" t="s">
        <v>123</v>
      </c>
      <c r="E18" s="839" t="s">
        <v>123</v>
      </c>
      <c r="F18" s="839" t="s">
        <v>123</v>
      </c>
      <c r="G18" s="56"/>
      <c r="H18" s="840"/>
      <c r="I18" s="838"/>
      <c r="J18" s="838"/>
      <c r="K18" s="838"/>
      <c r="L18" s="838"/>
      <c r="M18" s="838"/>
      <c r="N18" s="838"/>
      <c r="O18" s="838"/>
      <c r="P18" s="838"/>
      <c r="Q18" s="838"/>
      <c r="R18" s="838"/>
      <c r="S18" s="838"/>
      <c r="T18" s="838"/>
      <c r="U18" s="838"/>
      <c r="V18" s="838"/>
      <c r="W18" s="838"/>
      <c r="X18" s="838"/>
      <c r="Z18" s="875" t="str">
        <f>IFERROR(__xludf.DUMMYFUNCTION("IF($CR18="""","""",IFERROR(query({CarteirasAtivos},""select Col4 where Col4 is not null and Col1 = '""&amp;$CR18&amp;""' limit 1"")*CU18,""NC""))"),"")</f>
        <v/>
      </c>
      <c r="AA18" s="876" t="str">
        <f>IFERROR(__xludf.DUMMYFUNCTION("IF($CR18="""","""",IFERROR(query({CarteirasAtivos},""select Col6 where Col4 is not null and Col1 = '""&amp;$CR18&amp;""' limit 1""),""NC""))"),"")</f>
        <v/>
      </c>
      <c r="AB18" s="877"/>
      <c r="AC18" s="878" t="s">
        <v>123</v>
      </c>
      <c r="AD18" s="845" t="str">
        <f>IF($CR18="","",IFERROR(VLOOKUP($CR18,ativos.!$C$3:$R308,MATCH("cotacao",ativos.!$C$2:CY$2,0),FALSE)*$CU$5,"atualizar"))</f>
        <v/>
      </c>
      <c r="AE18" s="846" t="str">
        <f>IFERROR(__xludf.DUMMYFUNCTION("IF($CR18="""","""",IFERROR(AVERAGE(query({CarteirasAtivos;CarteirasAtivosEncerrados},""select Col5 where Col5 is not null and Col1 = '""&amp;$CR18&amp;""' and Col10='SIM'""))*CU18,""NC""))"),"")</f>
        <v/>
      </c>
      <c r="AF18" s="847" t="str">
        <f t="shared" si="1"/>
        <v/>
      </c>
      <c r="AG18" s="442"/>
      <c r="AH18" s="848" t="str">
        <f>IFERROR(__xludf.DUMMYFUNCTION("IF($CR18="""","""",IFERROR(GOOGLEFINANCE($CR18,""low52"")*CU18,""-""))"),"")</f>
        <v/>
      </c>
      <c r="AI18" s="848" t="str">
        <f>IFERROR(__xludf.DUMMYFUNCTION("IF($CR18="""","""",IFERROR(GOOGLEFINANCE($CR18,""high52"")*CU18,""-""))"),"")</f>
        <v/>
      </c>
      <c r="AJ18" s="849" t="s">
        <v>123</v>
      </c>
      <c r="AK18" s="850" t="str">
        <f>IFERROR(__xludf.DUMMYFUNCTION("IF($CR18="""","""",IFERROR(GOOGLEFINANCE($CR18,""changepct"")/100,""-""))"),"")</f>
        <v/>
      </c>
      <c r="AL18" s="851" t="str">
        <f>IFERROR(__xludf.DUMMYFUNCTION("IF($CR18="""","""",IFERROR(($AD18/(QUERY(GOOGLEFINANCE($CR18,""price"",TODAY()-7),""SELECT Col2 label Col2 ''"")*$CU18)-1),""-""))"),"")</f>
        <v/>
      </c>
      <c r="AM18" s="851" t="str">
        <f>IFERROR(__xludf.DUMMYFUNCTION("IF($CR18="""","""",IFERROR(($AD18/(QUERY(GOOGLEFINANCE($CR18,""price"",TODAY()-14),""SELECT Col2 label Col2 ''"")*$CU18)-1),""-""))"),"")</f>
        <v/>
      </c>
      <c r="AN18" s="851" t="str">
        <f>IFERROR(__xludf.DUMMYFUNCTION("IF($CR18="""","""",IFERROR(($AD18/(QUERY(GOOGLEFINANCE($CR18,""price"",TODAY()-28),""SELECT Col2 label Col2 ''"")*$CU18)-1),""-""))"),"")</f>
        <v/>
      </c>
      <c r="AO18" s="851" t="str">
        <f>IFERROR(__xludf.DUMMYFUNCTION("IF($CR18="""","""",IFERROR(($AD18/(QUERY(GOOGLEFINANCE($CR18,""price"",TODAY()-$AQ$5),""SELECT Col2 label Col2 ''"")*$CU18)-1),""-""))"),"")</f>
        <v/>
      </c>
      <c r="AP18" s="852" t="str">
        <f>IFERROR(__xludf.DUMMYFUNCTION("IF($CR18="""","""",IFERROR(SPARKLINE(query(GOOGLEFINANCE($CR18,""price"",TODAY()-$AQ$5,TODAY(),1),""select Col2 label Col2 ''""),IF($AP$7=""Gráfico de barras"",{""charttype"",""column"";""highcolor"",""red""},{""chartype"",""line""}))))"),"")</f>
        <v/>
      </c>
      <c r="AQ18" s="144"/>
      <c r="AR18" s="853"/>
      <c r="AS18" s="854" t="str">
        <f>IF($CR18="","",IF(NOT('alocação'!$D$1),"off",IFERROR(VLOOKUP(CR18,BalanceAtivos,3,0),"NC")))</f>
        <v/>
      </c>
      <c r="AT18" s="855" t="str">
        <f>IF($CR18="","",IF(NOT('alocação'!$D$1),"off",IFERROR(VLOOKUP($CR18,BalanceAtivos,4,0)*$CU$5,"NC")))</f>
        <v/>
      </c>
      <c r="AU18" s="856" t="str">
        <f>IF($CR18="","",IF(NOT('alocação'!$D$1),"off",IFERROR(VLOOKUP($CR18,BalanceAtivos,5,0),"-")))</f>
        <v/>
      </c>
      <c r="AV18" s="856" t="str">
        <f>IF($CR18="","",IF(NOT('alocação'!$D$1),"off",IFERROR(VLOOKUP($CR18,BalanceAtivos,6,0),"-")))</f>
        <v/>
      </c>
      <c r="AW18" s="857"/>
      <c r="AX18" s="858" t="str">
        <f>IF($CR18="","",IF($E18="","SP",IFERROR(VLOOKUP($CR18,AtivosDados,MATCH("pm_atual",portfolio.!$A$3:CY$3,0),0)*$CU$5,0)))</f>
        <v/>
      </c>
      <c r="AY18" s="859" t="str">
        <f t="shared" si="2"/>
        <v/>
      </c>
      <c r="AZ18" s="858" t="str">
        <f>IF($CR18="","",IF($E18="","SP",SUMIF(portfolio.!$A$4:$A308,$CR18,portfolio.!$O$4:$O308)*$CU$5))</f>
        <v/>
      </c>
      <c r="BA18" s="858" t="str">
        <f>IF($CR18="","",IF($E18="","SP",SUMIF(portfolio.!$A$4:$A308,$CR18,portfolio.!$AN$4:$AN308)*$CU$5))</f>
        <v/>
      </c>
      <c r="BB18" s="860" t="str">
        <f>IF($CR18="","",IF($E18="","-",IFERROR($BA18/'portfólio'!$DG$63,"")))</f>
        <v/>
      </c>
      <c r="BC18" s="861" t="str">
        <f>IF($CR18="","",IF($E18="","-",SUMIF(portfolio.!$A$4:$A308,$CR18,portfolio.!$J$4:$J308)))</f>
        <v/>
      </c>
      <c r="BD18" s="862" t="str">
        <f>IF($CR18="","",IF($E18="","SP",SUMIF(portfolio.!$A$4:$A308,$CR18,portfolio.!$AQ$4:$AQ308)*$CU$5))</f>
        <v/>
      </c>
      <c r="BE18" s="850" t="str">
        <f t="shared" si="3"/>
        <v/>
      </c>
      <c r="BF18" s="862" t="str">
        <f>IF($CR18="","",IF($E18="","-",SUMIF(portfolio.!$A$4:$A308,$CR18,portfolio.!$AX$4:$AX308)*$CU$5))</f>
        <v/>
      </c>
      <c r="BG18" s="545"/>
      <c r="BH18" s="879" t="s">
        <v>123</v>
      </c>
      <c r="BI18" s="880" t="s">
        <v>123</v>
      </c>
      <c r="BJ18" s="863" t="str">
        <f>IFERROR(__xludf.DUMMYFUNCTION("IF(NOT($BL$4),"""",IF($CR18="""","""",IFERROR(query({GOOGLEFINANCE($CR18,""price"",IF($BI18=""-"",TODAY()-($AQ$5+5),$BI18),TODAY()-1)},""Select max(Col2) where Col1 is not null label max(Col2) ''"")*CU18,""-"")))"),"")</f>
        <v/>
      </c>
      <c r="BK18" s="881" t="s">
        <v>123</v>
      </c>
      <c r="BL18" s="882" t="s">
        <v>123</v>
      </c>
      <c r="BM18" s="442"/>
      <c r="BN18" s="867" t="str">
        <f>IFERROR(__xludf.DUMMYFUNCTION("IF(CR18="""","""",IF(OR(C18=""AÇÃO"",C18=""BDR""),IFERROR(QUERY({fundamentus.!$A$3:$U308},$CX$67&amp;"" where Col1='""&amp;CR18&amp;""' limit 1"",0)),IF(C18=""FII"",IFERROR(QUERY({fundsexplorer.!$A$2:$Z308},$CY$67&amp;"" where Col1='""&amp;CR18&amp;""' limit 1"",0)),"""")))"),"")</f>
        <v/>
      </c>
      <c r="BO18" s="867"/>
      <c r="BP18" s="867"/>
      <c r="BQ18" s="867"/>
      <c r="BR18" s="867"/>
      <c r="BS18" s="867"/>
      <c r="BT18" s="867"/>
      <c r="BU18" s="442"/>
      <c r="BV18" s="868" t="str">
        <f>IFERROR(__xludf.DUMMYFUNCTION("IF(OR(C18=""AÇÃO"",C18=""BDR""),IFERROR(GOOGLEFINANCE(CONCAT(""BVMF:"",CR18), ""marketcap"")/1000000,""NC""),"""")"),"")</f>
        <v/>
      </c>
      <c r="BW18" s="869" t="s">
        <v>123</v>
      </c>
      <c r="BX18" s="870" t="s">
        <v>123</v>
      </c>
      <c r="BY18" s="868" t="s">
        <v>123</v>
      </c>
      <c r="BZ18" s="870" t="s">
        <v>123</v>
      </c>
      <c r="CA18" s="868" t="s">
        <v>123</v>
      </c>
      <c r="CB18" s="868" t="s">
        <v>123</v>
      </c>
      <c r="CC18" s="868" t="s">
        <v>123</v>
      </c>
      <c r="CD18" s="868" t="str">
        <f>IFERROR(__xludf.DUMMYFUNCTION("IF(OR(C18=""AÇÃO"",C18=""BDR""),IFERROR(GOOGLEFINANCE(CONCAT(""BVMF:"",CR18), ""volumeavg"")/1000000,""NC""),"""")"),"")</f>
        <v/>
      </c>
      <c r="CE18" s="870" t="s">
        <v>123</v>
      </c>
      <c r="CF18" s="870" t="s">
        <v>123</v>
      </c>
      <c r="CG18" s="870" t="str">
        <f>IFERROR(__xludf.DUMMYFUNCTION("IF(OR(C18=""AÇÃO"",C18=""BDR""),IF(CF18=0,""SEM DY"",IFERROR(ImportXML(CONCAT(""http://www.guiainvest.com.br/raiox/default.aspx?sigla="",$CR18),""//*[@id='lbPayoutAtual']""),""NC"")),"""")"),"")</f>
        <v/>
      </c>
      <c r="CH18" s="870" t="s">
        <v>123</v>
      </c>
      <c r="CI18" s="545"/>
      <c r="CJ18" s="871" t="str">
        <f>IFERROR(__xludf.DUMMYFUNCTION("IF(OR(C18=""AÇÃO"",C18=""BDR""),IFERROR(GOOGLEFINANCE(CONCAT(""BVMF:"",CR18), ""eps""),""NC""),"""")"),"")</f>
        <v/>
      </c>
      <c r="CK18" s="442"/>
      <c r="CL18" s="871" t="str">
        <f>IFERROR(__xludf.DUMMYFUNCTION("IF(NOT($BL$4),"""",IF($CR18="""","""",IF($BC18="""","""",IFERROR(query({op.normal!$B$5:$F308},""select Col5, toDate(Col2) where Col1 =  '""&amp;$CR18&amp;""' and Col4 &gt; 0 and ((Col3 is null) or (Col3 = 'C')) and Col2 &gt;= date '""&amp;TEXT(TODAY()-$AQ$5,""yyyy-mm-dd"")"&amp;"&amp;""' order by Col2 desc limit 1 label toDate(Col2) ''"")))))"),"")</f>
        <v/>
      </c>
      <c r="CM18" s="872"/>
      <c r="CN18" s="883" t="s">
        <v>123</v>
      </c>
      <c r="CO18" s="874" t="s">
        <v>123</v>
      </c>
      <c r="CP18" s="766"/>
      <c r="CQ18" s="791"/>
      <c r="CR18" s="791"/>
      <c r="CT18" s="791" t="s">
        <v>123</v>
      </c>
      <c r="CU18" s="791" t="str">
        <f>IFERROR(__xludf.DUMMYFUNCTION("IF(CR18="""","""",IF(CT18=$C$4,1,GOOGLEFINANCE(CT18&amp;$C$4)))"),"")</f>
        <v/>
      </c>
      <c r="CW18" s="791" t="s">
        <v>566</v>
      </c>
      <c r="CX18" s="836" t="s">
        <v>567</v>
      </c>
      <c r="CY18" s="791" t="str">
        <f>"Col"&amp;MATCH(CW18,fundamentus.!$A$2:$U$2,0)</f>
        <v>Col10</v>
      </c>
    </row>
    <row r="19" ht="22.5" customHeight="1">
      <c r="A19" s="837">
        <v>11.0</v>
      </c>
      <c r="B19" s="838" t="s">
        <v>123</v>
      </c>
      <c r="C19" s="838" t="s">
        <v>123</v>
      </c>
      <c r="D19" s="839" t="s">
        <v>123</v>
      </c>
      <c r="E19" s="839" t="s">
        <v>123</v>
      </c>
      <c r="F19" s="839" t="s">
        <v>123</v>
      </c>
      <c r="G19" s="56"/>
      <c r="H19" s="840"/>
      <c r="I19" s="838"/>
      <c r="J19" s="838"/>
      <c r="K19" s="838"/>
      <c r="L19" s="838"/>
      <c r="M19" s="838"/>
      <c r="N19" s="838"/>
      <c r="O19" s="838"/>
      <c r="P19" s="838"/>
      <c r="Q19" s="838"/>
      <c r="R19" s="838"/>
      <c r="S19" s="838"/>
      <c r="T19" s="838"/>
      <c r="U19" s="838"/>
      <c r="V19" s="838"/>
      <c r="W19" s="838"/>
      <c r="X19" s="838"/>
      <c r="Z19" s="875" t="str">
        <f>IFERROR(__xludf.DUMMYFUNCTION("IF($CR19="""","""",IFERROR(query({CarteirasAtivos},""select Col4 where Col4 is not null and Col1 = '""&amp;$CR19&amp;""' limit 1"")*CU19,""NC""))"),"")</f>
        <v/>
      </c>
      <c r="AA19" s="876" t="str">
        <f>IFERROR(__xludf.DUMMYFUNCTION("IF($CR19="""","""",IFERROR(query({CarteirasAtivos},""select Col6 where Col4 is not null and Col1 = '""&amp;$CR19&amp;""' limit 1""),""NC""))"),"")</f>
        <v/>
      </c>
      <c r="AB19" s="877"/>
      <c r="AC19" s="878" t="s">
        <v>123</v>
      </c>
      <c r="AD19" s="845" t="str">
        <f>IF($CR19="","",IFERROR(VLOOKUP($CR19,ativos.!$C$3:$R308,MATCH("cotacao",ativos.!$C$2:CY$2,0),FALSE)*$CU$5,"atualizar"))</f>
        <v/>
      </c>
      <c r="AE19" s="846" t="str">
        <f>IFERROR(__xludf.DUMMYFUNCTION("IF($CR19="""","""",IFERROR(AVERAGE(query({CarteirasAtivos;CarteirasAtivosEncerrados},""select Col5 where Col5 is not null and Col1 = '""&amp;$CR19&amp;""' and Col10='SIM'""))*CU19,""NC""))"),"")</f>
        <v/>
      </c>
      <c r="AF19" s="847" t="str">
        <f t="shared" si="1"/>
        <v/>
      </c>
      <c r="AG19" s="442"/>
      <c r="AH19" s="848" t="str">
        <f>IFERROR(__xludf.DUMMYFUNCTION("IF($CR19="""","""",IFERROR(GOOGLEFINANCE($CR19,""low52"")*CU19,""-""))"),"")</f>
        <v/>
      </c>
      <c r="AI19" s="848" t="str">
        <f>IFERROR(__xludf.DUMMYFUNCTION("IF($CR19="""","""",IFERROR(GOOGLEFINANCE($CR19,""high52"")*CU19,""-""))"),"")</f>
        <v/>
      </c>
      <c r="AJ19" s="849" t="s">
        <v>123</v>
      </c>
      <c r="AK19" s="850" t="str">
        <f>IFERROR(__xludf.DUMMYFUNCTION("IF($CR19="""","""",IFERROR(GOOGLEFINANCE($CR19,""changepct"")/100,""-""))"),"")</f>
        <v/>
      </c>
      <c r="AL19" s="851" t="str">
        <f>IFERROR(__xludf.DUMMYFUNCTION("IF($CR19="""","""",IFERROR(($AD19/(QUERY(GOOGLEFINANCE($CR19,""price"",TODAY()-7),""SELECT Col2 label Col2 ''"")*$CU19)-1),""-""))"),"")</f>
        <v/>
      </c>
      <c r="AM19" s="851" t="str">
        <f>IFERROR(__xludf.DUMMYFUNCTION("IF($CR19="""","""",IFERROR(($AD19/(QUERY(GOOGLEFINANCE($CR19,""price"",TODAY()-14),""SELECT Col2 label Col2 ''"")*$CU19)-1),""-""))"),"")</f>
        <v/>
      </c>
      <c r="AN19" s="851" t="str">
        <f>IFERROR(__xludf.DUMMYFUNCTION("IF($CR19="""","""",IFERROR(($AD19/(QUERY(GOOGLEFINANCE($CR19,""price"",TODAY()-28),""SELECT Col2 label Col2 ''"")*$CU19)-1),""-""))"),"")</f>
        <v/>
      </c>
      <c r="AO19" s="851" t="str">
        <f>IFERROR(__xludf.DUMMYFUNCTION("IF($CR19="""","""",IFERROR(($AD19/(QUERY(GOOGLEFINANCE($CR19,""price"",TODAY()-$AQ$5),""SELECT Col2 label Col2 ''"")*$CU19)-1),""-""))"),"")</f>
        <v/>
      </c>
      <c r="AP19" s="852" t="str">
        <f>IFERROR(__xludf.DUMMYFUNCTION("IF($CR19="""","""",IFERROR(SPARKLINE(query(GOOGLEFINANCE($CR19,""price"",TODAY()-$AQ$5,TODAY(),1),""select Col2 label Col2 ''""),IF($AP$7=""Gráfico de barras"",{""charttype"",""column"";""highcolor"",""red""},{""chartype"",""line""}))))"),"")</f>
        <v/>
      </c>
      <c r="AQ19" s="144"/>
      <c r="AR19" s="853"/>
      <c r="AS19" s="854" t="str">
        <f>IF($CR19="","",IF(NOT('alocação'!$D$1),"off",IFERROR(VLOOKUP(CR19,BalanceAtivos,3,0),"NC")))</f>
        <v/>
      </c>
      <c r="AT19" s="855" t="str">
        <f>IF($CR19="","",IF(NOT('alocação'!$D$1),"off",IFERROR(VLOOKUP($CR19,BalanceAtivos,4,0)*$CU$5,"NC")))</f>
        <v/>
      </c>
      <c r="AU19" s="856" t="str">
        <f>IF($CR19="","",IF(NOT('alocação'!$D$1),"off",IFERROR(VLOOKUP($CR19,BalanceAtivos,5,0),"-")))</f>
        <v/>
      </c>
      <c r="AV19" s="856" t="str">
        <f>IF($CR19="","",IF(NOT('alocação'!$D$1),"off",IFERROR(VLOOKUP($CR19,BalanceAtivos,6,0),"-")))</f>
        <v/>
      </c>
      <c r="AW19" s="857"/>
      <c r="AX19" s="858" t="str">
        <f>IF($CR19="","",IF($E19="","SP",IFERROR(VLOOKUP($CR19,AtivosDados,MATCH("pm_atual",portfolio.!$A$3:CY$3,0),0)*$CU$5,0)))</f>
        <v/>
      </c>
      <c r="AY19" s="859" t="str">
        <f t="shared" si="2"/>
        <v/>
      </c>
      <c r="AZ19" s="858" t="str">
        <f>IF($CR19="","",IF($E19="","SP",SUMIF(portfolio.!$A$4:$A308,$CR19,portfolio.!$O$4:$O308)*$CU$5))</f>
        <v/>
      </c>
      <c r="BA19" s="858" t="str">
        <f>IF($CR19="","",IF($E19="","SP",SUMIF(portfolio.!$A$4:$A308,$CR19,portfolio.!$AN$4:$AN308)*$CU$5))</f>
        <v/>
      </c>
      <c r="BB19" s="860" t="str">
        <f>IF($CR19="","",IF($E19="","-",IFERROR($BA19/'portfólio'!$DG$63,"")))</f>
        <v/>
      </c>
      <c r="BC19" s="861" t="str">
        <f>IF($CR19="","",IF($E19="","-",SUMIF(portfolio.!$A$4:$A308,$CR19,portfolio.!$J$4:$J308)))</f>
        <v/>
      </c>
      <c r="BD19" s="862" t="str">
        <f>IF($CR19="","",IF($E19="","SP",SUMIF(portfolio.!$A$4:$A308,$CR19,portfolio.!$AQ$4:$AQ308)*$CU$5))</f>
        <v/>
      </c>
      <c r="BE19" s="850" t="str">
        <f t="shared" si="3"/>
        <v/>
      </c>
      <c r="BF19" s="862" t="str">
        <f>IF($CR19="","",IF($E19="","-",SUMIF(portfolio.!$A$4:$A308,$CR19,portfolio.!$AX$4:$AX308)*$CU$5))</f>
        <v/>
      </c>
      <c r="BG19" s="545"/>
      <c r="BH19" s="879" t="s">
        <v>123</v>
      </c>
      <c r="BI19" s="880" t="s">
        <v>123</v>
      </c>
      <c r="BJ19" s="863" t="str">
        <f>IFERROR(__xludf.DUMMYFUNCTION("IF(NOT($BL$4),"""",IF($CR19="""","""",IFERROR(query({GOOGLEFINANCE($CR19,""price"",IF($BI19=""-"",TODAY()-($AQ$5+5),$BI19),TODAY()-1)},""Select max(Col2) where Col1 is not null label max(Col2) ''"")*CU19,""-"")))"),"")</f>
        <v/>
      </c>
      <c r="BK19" s="881" t="s">
        <v>123</v>
      </c>
      <c r="BL19" s="882" t="s">
        <v>123</v>
      </c>
      <c r="BM19" s="442"/>
      <c r="BN19" s="867" t="str">
        <f>IFERROR(__xludf.DUMMYFUNCTION("IF(CR19="""","""",IF(OR(C19=""AÇÃO"",C19=""BDR""),IFERROR(QUERY({fundamentus.!$A$3:$U308},$CX$67&amp;"" where Col1='""&amp;CR19&amp;""' limit 1"",0)),IF(C19=""FII"",IFERROR(QUERY({fundsexplorer.!$A$2:$Z308},$CY$67&amp;"" where Col1='""&amp;CR19&amp;""' limit 1"",0)),"""")))"),"")</f>
        <v/>
      </c>
      <c r="BO19" s="867"/>
      <c r="BP19" s="867"/>
      <c r="BQ19" s="867"/>
      <c r="BR19" s="867"/>
      <c r="BS19" s="867"/>
      <c r="BT19" s="867"/>
      <c r="BU19" s="442"/>
      <c r="BV19" s="868" t="str">
        <f>IFERROR(__xludf.DUMMYFUNCTION("IF(OR(C19=""AÇÃO"",C19=""BDR""),IFERROR(GOOGLEFINANCE(CONCAT(""BVMF:"",CR19), ""marketcap"")/1000000,""NC""),"""")"),"")</f>
        <v/>
      </c>
      <c r="BW19" s="869" t="s">
        <v>123</v>
      </c>
      <c r="BX19" s="870" t="s">
        <v>123</v>
      </c>
      <c r="BY19" s="868" t="s">
        <v>123</v>
      </c>
      <c r="BZ19" s="870" t="s">
        <v>123</v>
      </c>
      <c r="CA19" s="868" t="s">
        <v>123</v>
      </c>
      <c r="CB19" s="868" t="s">
        <v>123</v>
      </c>
      <c r="CC19" s="868" t="s">
        <v>123</v>
      </c>
      <c r="CD19" s="868" t="str">
        <f>IFERROR(__xludf.DUMMYFUNCTION("IF(OR(C19=""AÇÃO"",C19=""BDR""),IFERROR(GOOGLEFINANCE(CONCAT(""BVMF:"",CR19), ""volumeavg"")/1000000,""NC""),"""")"),"")</f>
        <v/>
      </c>
      <c r="CE19" s="870" t="s">
        <v>123</v>
      </c>
      <c r="CF19" s="870" t="s">
        <v>123</v>
      </c>
      <c r="CG19" s="870" t="str">
        <f>IFERROR(__xludf.DUMMYFUNCTION("IF(OR(C19=""AÇÃO"",C19=""BDR""),IF(CF19=0,""SEM DY"",IFERROR(ImportXML(CONCAT(""http://www.guiainvest.com.br/raiox/default.aspx?sigla="",$CR19),""//*[@id='lbPayoutAtual']""),""NC"")),"""")"),"")</f>
        <v/>
      </c>
      <c r="CH19" s="870" t="s">
        <v>123</v>
      </c>
      <c r="CI19" s="545"/>
      <c r="CJ19" s="871" t="str">
        <f>IFERROR(__xludf.DUMMYFUNCTION("IF(OR(C19=""AÇÃO"",C19=""BDR""),IFERROR(GOOGLEFINANCE(CONCAT(""BVMF:"",CR19), ""eps""),""NC""),"""")"),"")</f>
        <v/>
      </c>
      <c r="CK19" s="442"/>
      <c r="CL19" s="871" t="str">
        <f>IFERROR(__xludf.DUMMYFUNCTION("IF(NOT($BL$4),"""",IF($CR19="""","""",IF($BC19="""","""",IFERROR(query({op.normal!$B$5:$F308},""select Col5, toDate(Col2) where Col1 =  '""&amp;$CR19&amp;""' and Col4 &gt; 0 and ((Col3 is null) or (Col3 = 'C')) and Col2 &gt;= date '""&amp;TEXT(TODAY()-$AQ$5,""yyyy-mm-dd"")"&amp;"&amp;""' order by Col2 desc limit 1 label toDate(Col2) ''"")))))"),"")</f>
        <v/>
      </c>
      <c r="CM19" s="872"/>
      <c r="CN19" s="883" t="s">
        <v>123</v>
      </c>
      <c r="CO19" s="874" t="s">
        <v>123</v>
      </c>
      <c r="CP19" s="766"/>
      <c r="CQ19" s="791"/>
      <c r="CR19" s="791"/>
      <c r="CT19" s="791" t="s">
        <v>123</v>
      </c>
      <c r="CU19" s="791" t="str">
        <f>IFERROR(__xludf.DUMMYFUNCTION("IF(CR19="""","""",IF(CT19=$C$4,1,GOOGLEFINANCE(CT19&amp;$C$4)))"),"")</f>
        <v/>
      </c>
      <c r="CW19" s="791" t="s">
        <v>568</v>
      </c>
      <c r="CX19" s="791" t="s">
        <v>568</v>
      </c>
      <c r="CY19" s="791" t="str">
        <f>"Col"&amp;MATCH(CW19,fundamentus.!$A$2:$U$2,0)</f>
        <v>Col11</v>
      </c>
    </row>
    <row r="20" ht="22.5" customHeight="1">
      <c r="A20" s="837">
        <v>12.0</v>
      </c>
      <c r="B20" s="838" t="s">
        <v>123</v>
      </c>
      <c r="C20" s="838" t="s">
        <v>123</v>
      </c>
      <c r="D20" s="839" t="s">
        <v>123</v>
      </c>
      <c r="E20" s="839" t="s">
        <v>123</v>
      </c>
      <c r="F20" s="839" t="s">
        <v>123</v>
      </c>
      <c r="G20" s="56"/>
      <c r="H20" s="884"/>
      <c r="I20" s="838"/>
      <c r="J20" s="838"/>
      <c r="K20" s="838"/>
      <c r="L20" s="838"/>
      <c r="M20" s="838"/>
      <c r="N20" s="838"/>
      <c r="O20" s="838"/>
      <c r="P20" s="838"/>
      <c r="Q20" s="838"/>
      <c r="R20" s="838"/>
      <c r="S20" s="838"/>
      <c r="T20" s="838"/>
      <c r="U20" s="838"/>
      <c r="V20" s="838"/>
      <c r="W20" s="838"/>
      <c r="X20" s="838"/>
      <c r="Z20" s="875" t="str">
        <f>IFERROR(__xludf.DUMMYFUNCTION("IF($CR20="""","""",IFERROR(query({CarteirasAtivos},""select Col4 where Col4 is not null and Col1 = '""&amp;$CR20&amp;""' limit 1"")*CU20,""NC""))"),"")</f>
        <v/>
      </c>
      <c r="AA20" s="876" t="str">
        <f>IFERROR(__xludf.DUMMYFUNCTION("IF($CR20="""","""",IFERROR(query({CarteirasAtivos},""select Col6 where Col4 is not null and Col1 = '""&amp;$CR20&amp;""' limit 1""),""NC""))"),"")</f>
        <v/>
      </c>
      <c r="AB20" s="877"/>
      <c r="AC20" s="878" t="s">
        <v>123</v>
      </c>
      <c r="AD20" s="845" t="str">
        <f>IF($CR20="","",IFERROR(VLOOKUP($CR20,ativos.!$C$3:$R308,MATCH("cotacao",ativos.!$C$2:CY$2,0),FALSE)*$CU$5,"atualizar"))</f>
        <v/>
      </c>
      <c r="AE20" s="846" t="str">
        <f>IFERROR(__xludf.DUMMYFUNCTION("IF($CR20="""","""",IFERROR(AVERAGE(query({CarteirasAtivos;CarteirasAtivosEncerrados},""select Col5 where Col5 is not null and Col1 = '""&amp;$CR20&amp;""' and Col10='SIM'""))*CU20,""NC""))"),"")</f>
        <v/>
      </c>
      <c r="AF20" s="847" t="str">
        <f t="shared" si="1"/>
        <v/>
      </c>
      <c r="AG20" s="442"/>
      <c r="AH20" s="848" t="str">
        <f>IFERROR(__xludf.DUMMYFUNCTION("IF($CR20="""","""",IFERROR(GOOGLEFINANCE($CR20,""low52"")*CU20,""-""))"),"")</f>
        <v/>
      </c>
      <c r="AI20" s="848" t="str">
        <f>IFERROR(__xludf.DUMMYFUNCTION("IF($CR20="""","""",IFERROR(GOOGLEFINANCE($CR20,""high52"")*CU20,""-""))"),"")</f>
        <v/>
      </c>
      <c r="AJ20" s="849" t="s">
        <v>123</v>
      </c>
      <c r="AK20" s="850" t="str">
        <f>IFERROR(__xludf.DUMMYFUNCTION("IF($CR20="""","""",IFERROR(GOOGLEFINANCE($CR20,""changepct"")/100,""-""))"),"")</f>
        <v/>
      </c>
      <c r="AL20" s="851" t="str">
        <f>IFERROR(__xludf.DUMMYFUNCTION("IF($CR20="""","""",IFERROR(($AD20/(QUERY(GOOGLEFINANCE($CR20,""price"",TODAY()-7),""SELECT Col2 label Col2 ''"")*$CU20)-1),""-""))"),"")</f>
        <v/>
      </c>
      <c r="AM20" s="851" t="str">
        <f>IFERROR(__xludf.DUMMYFUNCTION("IF($CR20="""","""",IFERROR(($AD20/(QUERY(GOOGLEFINANCE($CR20,""price"",TODAY()-14),""SELECT Col2 label Col2 ''"")*$CU20)-1),""-""))"),"")</f>
        <v/>
      </c>
      <c r="AN20" s="851" t="str">
        <f>IFERROR(__xludf.DUMMYFUNCTION("IF($CR20="""","""",IFERROR(($AD20/(QUERY(GOOGLEFINANCE($CR20,""price"",TODAY()-28),""SELECT Col2 label Col2 ''"")*$CU20)-1),""-""))"),"")</f>
        <v/>
      </c>
      <c r="AO20" s="851" t="str">
        <f>IFERROR(__xludf.DUMMYFUNCTION("IF($CR20="""","""",IFERROR(($AD20/(QUERY(GOOGLEFINANCE($CR20,""price"",TODAY()-$AQ$5),""SELECT Col2 label Col2 ''"")*$CU20)-1),""-""))"),"")</f>
        <v/>
      </c>
      <c r="AP20" s="852" t="str">
        <f>IFERROR(__xludf.DUMMYFUNCTION("IF($CR20="""","""",IFERROR(SPARKLINE(query(GOOGLEFINANCE($CR20,""price"",TODAY()-$AQ$5,TODAY(),1),""select Col2 label Col2 ''""),IF($AP$7=""Gráfico de barras"",{""charttype"",""column"";""highcolor"",""red""},{""chartype"",""line""}))))"),"")</f>
        <v/>
      </c>
      <c r="AQ20" s="144"/>
      <c r="AR20" s="853"/>
      <c r="AS20" s="854" t="str">
        <f>IF($CR20="","",IF(NOT('alocação'!$D$1),"off",IFERROR(VLOOKUP(CR20,BalanceAtivos,3,0),"NC")))</f>
        <v/>
      </c>
      <c r="AT20" s="855" t="str">
        <f>IF($CR20="","",IF(NOT('alocação'!$D$1),"off",IFERROR(VLOOKUP($CR20,BalanceAtivos,4,0)*$CU$5,"NC")))</f>
        <v/>
      </c>
      <c r="AU20" s="856" t="str">
        <f>IF($CR20="","",IF(NOT('alocação'!$D$1),"off",IFERROR(VLOOKUP($CR20,BalanceAtivos,5,0),"-")))</f>
        <v/>
      </c>
      <c r="AV20" s="856" t="str">
        <f>IF($CR20="","",IF(NOT('alocação'!$D$1),"off",IFERROR(VLOOKUP($CR20,BalanceAtivos,6,0),"-")))</f>
        <v/>
      </c>
      <c r="AW20" s="857"/>
      <c r="AX20" s="858" t="str">
        <f>IF($CR20="","",IF($E20="","SP",IFERROR(VLOOKUP($CR20,AtivosDados,MATCH("pm_atual",portfolio.!$A$3:CY$3,0),0)*$CU$5,0)))</f>
        <v/>
      </c>
      <c r="AY20" s="859" t="str">
        <f t="shared" si="2"/>
        <v/>
      </c>
      <c r="AZ20" s="858" t="str">
        <f>IF($CR20="","",IF($E20="","SP",SUMIF(portfolio.!$A$4:$A308,$CR20,portfolio.!$O$4:$O308)*$CU$5))</f>
        <v/>
      </c>
      <c r="BA20" s="858" t="str">
        <f>IF($CR20="","",IF($E20="","SP",SUMIF(portfolio.!$A$4:$A308,$CR20,portfolio.!$AN$4:$AN308)*$CU$5))</f>
        <v/>
      </c>
      <c r="BB20" s="860" t="str">
        <f>IF($CR20="","",IF($E20="","-",IFERROR($BA20/'portfólio'!$DG$63,"")))</f>
        <v/>
      </c>
      <c r="BC20" s="861" t="str">
        <f>IF($CR20="","",IF($E20="","-",SUMIF(portfolio.!$A$4:$A308,$CR20,portfolio.!$J$4:$J308)))</f>
        <v/>
      </c>
      <c r="BD20" s="862" t="str">
        <f>IF($CR20="","",IF($E20="","SP",SUMIF(portfolio.!$A$4:$A308,$CR20,portfolio.!$AQ$4:$AQ308)*$CU$5))</f>
        <v/>
      </c>
      <c r="BE20" s="850" t="str">
        <f t="shared" si="3"/>
        <v/>
      </c>
      <c r="BF20" s="862" t="str">
        <f>IF($CR20="","",IF($E20="","-",SUMIF(portfolio.!$A$4:$A308,$CR20,portfolio.!$AX$4:$AX308)*$CU$5))</f>
        <v/>
      </c>
      <c r="BG20" s="545"/>
      <c r="BH20" s="879" t="s">
        <v>123</v>
      </c>
      <c r="BI20" s="880" t="s">
        <v>123</v>
      </c>
      <c r="BJ20" s="863" t="str">
        <f>IFERROR(__xludf.DUMMYFUNCTION("IF(NOT($BL$4),"""",IF($CR20="""","""",IFERROR(query({GOOGLEFINANCE($CR20,""price"",IF($BI20=""-"",TODAY()-($AQ$5+5),$BI20),TODAY()-1)},""Select max(Col2) where Col1 is not null label max(Col2) ''"")*CU20,""-"")))"),"")</f>
        <v/>
      </c>
      <c r="BK20" s="881" t="s">
        <v>123</v>
      </c>
      <c r="BL20" s="882" t="s">
        <v>123</v>
      </c>
      <c r="BM20" s="442"/>
      <c r="BN20" s="867" t="str">
        <f>IFERROR(__xludf.DUMMYFUNCTION("IF(CR20="""","""",IF(OR(C20=""AÇÃO"",C20=""BDR""),IFERROR(QUERY({fundamentus.!$A$3:$U308},$CX$67&amp;"" where Col1='""&amp;CR20&amp;""' limit 1"",0)),IF(C20=""FII"",IFERROR(QUERY({fundsexplorer.!$A$2:$Z308},$CY$67&amp;"" where Col1='""&amp;CR20&amp;""' limit 1"",0)),"""")))"),"")</f>
        <v/>
      </c>
      <c r="BO20" s="867"/>
      <c r="BP20" s="867"/>
      <c r="BQ20" s="867"/>
      <c r="BR20" s="867"/>
      <c r="BS20" s="867"/>
      <c r="BT20" s="867"/>
      <c r="BU20" s="442"/>
      <c r="BV20" s="868" t="str">
        <f>IFERROR(__xludf.DUMMYFUNCTION("IF(OR(C20=""AÇÃO"",C20=""BDR""),IFERROR(GOOGLEFINANCE(CONCAT(""BVMF:"",CR20), ""marketcap"")/1000000,""NC""),"""")"),"")</f>
        <v/>
      </c>
      <c r="BW20" s="869" t="s">
        <v>123</v>
      </c>
      <c r="BX20" s="870" t="s">
        <v>123</v>
      </c>
      <c r="BY20" s="868" t="s">
        <v>123</v>
      </c>
      <c r="BZ20" s="870" t="s">
        <v>123</v>
      </c>
      <c r="CA20" s="868" t="s">
        <v>123</v>
      </c>
      <c r="CB20" s="868" t="s">
        <v>123</v>
      </c>
      <c r="CC20" s="868" t="s">
        <v>123</v>
      </c>
      <c r="CD20" s="868" t="str">
        <f>IFERROR(__xludf.DUMMYFUNCTION("IF(OR(C20=""AÇÃO"",C20=""BDR""),IFERROR(GOOGLEFINANCE(CONCAT(""BVMF:"",CR20), ""volumeavg"")/1000000,""NC""),"""")"),"")</f>
        <v/>
      </c>
      <c r="CE20" s="870" t="s">
        <v>123</v>
      </c>
      <c r="CF20" s="870" t="s">
        <v>123</v>
      </c>
      <c r="CG20" s="870" t="str">
        <f>IFERROR(__xludf.DUMMYFUNCTION("IF(OR(C20=""AÇÃO"",C20=""BDR""),IF(CF20=0,""SEM DY"",IFERROR(ImportXML(CONCAT(""http://www.guiainvest.com.br/raiox/default.aspx?sigla="",$CR20),""//*[@id='lbPayoutAtual']""),""NC"")),"""")"),"")</f>
        <v/>
      </c>
      <c r="CH20" s="870" t="s">
        <v>123</v>
      </c>
      <c r="CI20" s="545"/>
      <c r="CJ20" s="871" t="str">
        <f>IFERROR(__xludf.DUMMYFUNCTION("IF(OR(C20=""AÇÃO"",C20=""BDR""),IFERROR(GOOGLEFINANCE(CONCAT(""BVMF:"",CR20), ""eps""),""NC""),"""")"),"")</f>
        <v/>
      </c>
      <c r="CK20" s="442"/>
      <c r="CL20" s="871" t="str">
        <f>IFERROR(__xludf.DUMMYFUNCTION("IF(NOT($BL$4),"""",IF($CR20="""","""",IF($BC20="""","""",IFERROR(query({op.normal!$B$5:$F308},""select Col5, toDate(Col2) where Col1 =  '""&amp;$CR20&amp;""' and Col4 &gt; 0 and ((Col3 is null) or (Col3 = 'C')) and Col2 &gt;= date '""&amp;TEXT(TODAY()-$AQ$5,""yyyy-mm-dd"")"&amp;"&amp;""' order by Col2 desc limit 1 label toDate(Col2) ''"")))))"),"")</f>
        <v/>
      </c>
      <c r="CM20" s="872"/>
      <c r="CN20" s="883" t="s">
        <v>123</v>
      </c>
      <c r="CO20" s="874" t="s">
        <v>123</v>
      </c>
      <c r="CP20" s="766"/>
      <c r="CQ20" s="791"/>
      <c r="CR20" s="791"/>
      <c r="CT20" s="791" t="s">
        <v>123</v>
      </c>
      <c r="CU20" s="791" t="str">
        <f>IFERROR(__xludf.DUMMYFUNCTION("IF(CR20="""","""",IF(CT20=$C$4,1,GOOGLEFINANCE(CT20&amp;$C$4)))"),"")</f>
        <v/>
      </c>
      <c r="CW20" s="791" t="s">
        <v>569</v>
      </c>
      <c r="CX20" s="791" t="s">
        <v>569</v>
      </c>
      <c r="CY20" s="791" t="str">
        <f>"Col"&amp;MATCH(CW20,fundamentus.!$A$2:$U$2,0)</f>
        <v>Col12</v>
      </c>
    </row>
    <row r="21" ht="22.5" customHeight="1">
      <c r="A21" s="837">
        <v>13.0</v>
      </c>
      <c r="B21" s="838" t="s">
        <v>123</v>
      </c>
      <c r="C21" s="838" t="s">
        <v>123</v>
      </c>
      <c r="D21" s="839" t="s">
        <v>123</v>
      </c>
      <c r="E21" s="839" t="s">
        <v>123</v>
      </c>
      <c r="F21" s="839" t="s">
        <v>123</v>
      </c>
      <c r="G21" s="56"/>
      <c r="H21" s="884"/>
      <c r="I21" s="838"/>
      <c r="J21" s="838"/>
      <c r="K21" s="838"/>
      <c r="L21" s="838"/>
      <c r="M21" s="838"/>
      <c r="N21" s="838"/>
      <c r="O21" s="838"/>
      <c r="P21" s="838"/>
      <c r="Q21" s="838"/>
      <c r="R21" s="838"/>
      <c r="S21" s="838"/>
      <c r="T21" s="838"/>
      <c r="U21" s="838"/>
      <c r="V21" s="838"/>
      <c r="W21" s="838"/>
      <c r="X21" s="838"/>
      <c r="Z21" s="875" t="str">
        <f>IFERROR(__xludf.DUMMYFUNCTION("IF($CR21="""","""",IFERROR(query({CarteirasAtivos},""select Col4 where Col4 is not null and Col1 = '""&amp;$CR21&amp;""' limit 1"")*CU21,""NC""))"),"")</f>
        <v/>
      </c>
      <c r="AA21" s="876" t="str">
        <f>IFERROR(__xludf.DUMMYFUNCTION("IF($CR21="""","""",IFERROR(query({CarteirasAtivos},""select Col6 where Col4 is not null and Col1 = '""&amp;$CR21&amp;""' limit 1""),""NC""))"),"")</f>
        <v/>
      </c>
      <c r="AB21" s="877"/>
      <c r="AC21" s="878" t="s">
        <v>123</v>
      </c>
      <c r="AD21" s="845" t="str">
        <f>IF($CR21="","",IFERROR(VLOOKUP($CR21,ativos.!$C$3:$R308,MATCH("cotacao",ativos.!$C$2:CY$2,0),FALSE)*$CU$5,"atualizar"))</f>
        <v/>
      </c>
      <c r="AE21" s="846" t="str">
        <f>IFERROR(__xludf.DUMMYFUNCTION("IF($CR21="""","""",IFERROR(AVERAGE(query({CarteirasAtivos;CarteirasAtivosEncerrados},""select Col5 where Col5 is not null and Col1 = '""&amp;$CR21&amp;""' and Col10='SIM'""))*CU21,""NC""))"),"")</f>
        <v/>
      </c>
      <c r="AF21" s="847" t="str">
        <f t="shared" si="1"/>
        <v/>
      </c>
      <c r="AG21" s="442"/>
      <c r="AH21" s="848" t="str">
        <f>IFERROR(__xludf.DUMMYFUNCTION("IF($CR21="""","""",IFERROR(GOOGLEFINANCE($CR21,""low52"")*CU21,""-""))"),"")</f>
        <v/>
      </c>
      <c r="AI21" s="848" t="str">
        <f>IFERROR(__xludf.DUMMYFUNCTION("IF($CR21="""","""",IFERROR(GOOGLEFINANCE($CR21,""high52"")*CU21,""-""))"),"")</f>
        <v/>
      </c>
      <c r="AJ21" s="849" t="s">
        <v>123</v>
      </c>
      <c r="AK21" s="850" t="str">
        <f>IFERROR(__xludf.DUMMYFUNCTION("IF($CR21="""","""",IFERROR(GOOGLEFINANCE($CR21,""changepct"")/100,""-""))"),"")</f>
        <v/>
      </c>
      <c r="AL21" s="851" t="str">
        <f>IFERROR(__xludf.DUMMYFUNCTION("IF($CR21="""","""",IFERROR(($AD21/(QUERY(GOOGLEFINANCE($CR21,""price"",TODAY()-7),""SELECT Col2 label Col2 ''"")*$CU21)-1),""-""))"),"")</f>
        <v/>
      </c>
      <c r="AM21" s="851" t="str">
        <f>IFERROR(__xludf.DUMMYFUNCTION("IF($CR21="""","""",IFERROR(($AD21/(QUERY(GOOGLEFINANCE($CR21,""price"",TODAY()-14),""SELECT Col2 label Col2 ''"")*$CU21)-1),""-""))"),"")</f>
        <v/>
      </c>
      <c r="AN21" s="851" t="str">
        <f>IFERROR(__xludf.DUMMYFUNCTION("IF($CR21="""","""",IFERROR(($AD21/(QUERY(GOOGLEFINANCE($CR21,""price"",TODAY()-28),""SELECT Col2 label Col2 ''"")*$CU21)-1),""-""))"),"")</f>
        <v/>
      </c>
      <c r="AO21" s="851" t="str">
        <f>IFERROR(__xludf.DUMMYFUNCTION("IF($CR21="""","""",IFERROR(($AD21/(QUERY(GOOGLEFINANCE($CR21,""price"",TODAY()-$AQ$5),""SELECT Col2 label Col2 ''"")*$CU21)-1),""-""))"),"")</f>
        <v/>
      </c>
      <c r="AP21" s="852" t="str">
        <f>IFERROR(__xludf.DUMMYFUNCTION("IF($CR21="""","""",IFERROR(SPARKLINE(query(GOOGLEFINANCE($CR21,""price"",TODAY()-$AQ$5,TODAY(),1),""select Col2 label Col2 ''""),IF($AP$7=""Gráfico de barras"",{""charttype"",""column"";""highcolor"",""red""},{""chartype"",""line""}))))"),"")</f>
        <v/>
      </c>
      <c r="AQ21" s="144"/>
      <c r="AR21" s="853"/>
      <c r="AS21" s="854" t="str">
        <f>IF($CR21="","",IF(NOT('alocação'!$D$1),"off",IFERROR(VLOOKUP(CR21,BalanceAtivos,3,0),"NC")))</f>
        <v/>
      </c>
      <c r="AT21" s="855" t="str">
        <f>IF($CR21="","",IF(NOT('alocação'!$D$1),"off",IFERROR(VLOOKUP($CR21,BalanceAtivos,4,0)*$CU$5,"NC")))</f>
        <v/>
      </c>
      <c r="AU21" s="856" t="str">
        <f>IF($CR21="","",IF(NOT('alocação'!$D$1),"off",IFERROR(VLOOKUP($CR21,BalanceAtivos,5,0),"-")))</f>
        <v/>
      </c>
      <c r="AV21" s="856" t="str">
        <f>IF($CR21="","",IF(NOT('alocação'!$D$1),"off",IFERROR(VLOOKUP($CR21,BalanceAtivos,6,0),"-")))</f>
        <v/>
      </c>
      <c r="AW21" s="857"/>
      <c r="AX21" s="858" t="str">
        <f>IF($CR21="","",IF($E21="","SP",IFERROR(VLOOKUP($CR21,AtivosDados,MATCH("pm_atual",portfolio.!$A$3:CY$3,0),0)*$CU$5,0)))</f>
        <v/>
      </c>
      <c r="AY21" s="859" t="str">
        <f t="shared" si="2"/>
        <v/>
      </c>
      <c r="AZ21" s="858" t="str">
        <f>IF($CR21="","",IF($E21="","SP",SUMIF(portfolio.!$A$4:$A308,$CR21,portfolio.!$O$4:$O308)*$CU$5))</f>
        <v/>
      </c>
      <c r="BA21" s="858" t="str">
        <f>IF($CR21="","",IF($E21="","SP",SUMIF(portfolio.!$A$4:$A308,$CR21,portfolio.!$AN$4:$AN308)*$CU$5))</f>
        <v/>
      </c>
      <c r="BB21" s="860" t="str">
        <f>IF($CR21="","",IF($E21="","-",IFERROR($BA21/'portfólio'!$DG$63,"")))</f>
        <v/>
      </c>
      <c r="BC21" s="861" t="str">
        <f>IF($CR21="","",IF($E21="","-",SUMIF(portfolio.!$A$4:$A308,$CR21,portfolio.!$J$4:$J308)))</f>
        <v/>
      </c>
      <c r="BD21" s="862" t="str">
        <f>IF($CR21="","",IF($E21="","SP",SUMIF(portfolio.!$A$4:$A308,$CR21,portfolio.!$AQ$4:$AQ308)*$CU$5))</f>
        <v/>
      </c>
      <c r="BE21" s="850" t="str">
        <f t="shared" si="3"/>
        <v/>
      </c>
      <c r="BF21" s="862" t="str">
        <f>IF($CR21="","",IF($E21="","-",SUMIF(portfolio.!$A$4:$A308,$CR21,portfolio.!$AX$4:$AX308)*$CU$5))</f>
        <v/>
      </c>
      <c r="BG21" s="545"/>
      <c r="BH21" s="879" t="s">
        <v>123</v>
      </c>
      <c r="BI21" s="880" t="s">
        <v>123</v>
      </c>
      <c r="BJ21" s="863" t="str">
        <f>IFERROR(__xludf.DUMMYFUNCTION("IF(NOT($BL$4),"""",IF($CR21="""","""",IFERROR(query({GOOGLEFINANCE($CR21,""price"",IF($BI21=""-"",TODAY()-($AQ$5+5),$BI21),TODAY()-1)},""Select max(Col2) where Col1 is not null label max(Col2) ''"")*CU21,""-"")))"),"")</f>
        <v/>
      </c>
      <c r="BK21" s="881" t="s">
        <v>123</v>
      </c>
      <c r="BL21" s="882" t="s">
        <v>123</v>
      </c>
      <c r="BM21" s="442"/>
      <c r="BN21" s="867" t="str">
        <f>IFERROR(__xludf.DUMMYFUNCTION("IF(CR21="""","""",IF(OR(C21=""AÇÃO"",C21=""BDR""),IFERROR(QUERY({fundamentus.!$A$3:$U308},$CX$67&amp;"" where Col1='""&amp;CR21&amp;""' limit 1"",0)),IF(C21=""FII"",IFERROR(QUERY({fundsexplorer.!$A$2:$Z308},$CY$67&amp;"" where Col1='""&amp;CR21&amp;""' limit 1"",0)),"""")))"),"")</f>
        <v/>
      </c>
      <c r="BO21" s="867"/>
      <c r="BP21" s="867"/>
      <c r="BQ21" s="867"/>
      <c r="BR21" s="867"/>
      <c r="BS21" s="867"/>
      <c r="BT21" s="867"/>
      <c r="BU21" s="442"/>
      <c r="BV21" s="868" t="str">
        <f>IFERROR(__xludf.DUMMYFUNCTION("IF(OR(C21=""AÇÃO"",C21=""BDR""),IFERROR(GOOGLEFINANCE(CONCAT(""BVMF:"",CR21), ""marketcap"")/1000000,""NC""),"""")"),"")</f>
        <v/>
      </c>
      <c r="BW21" s="869" t="s">
        <v>123</v>
      </c>
      <c r="BX21" s="870" t="s">
        <v>123</v>
      </c>
      <c r="BY21" s="868" t="s">
        <v>123</v>
      </c>
      <c r="BZ21" s="870" t="s">
        <v>123</v>
      </c>
      <c r="CA21" s="868" t="s">
        <v>123</v>
      </c>
      <c r="CB21" s="868" t="s">
        <v>123</v>
      </c>
      <c r="CC21" s="868" t="s">
        <v>123</v>
      </c>
      <c r="CD21" s="868" t="str">
        <f>IFERROR(__xludf.DUMMYFUNCTION("IF(OR(C21=""AÇÃO"",C21=""BDR""),IFERROR(GOOGLEFINANCE(CONCAT(""BVMF:"",CR21), ""volumeavg"")/1000000,""NC""),"""")"),"")</f>
        <v/>
      </c>
      <c r="CE21" s="870" t="s">
        <v>123</v>
      </c>
      <c r="CF21" s="870" t="s">
        <v>123</v>
      </c>
      <c r="CG21" s="870" t="str">
        <f>IFERROR(__xludf.DUMMYFUNCTION("IF(OR(C21=""AÇÃO"",C21=""BDR""),IF(CF21=0,""SEM DY"",IFERROR(ImportXML(CONCAT(""http://www.guiainvest.com.br/raiox/default.aspx?sigla="",$CR21),""//*[@id='lbPayoutAtual']""),""NC"")),"""")"),"")</f>
        <v/>
      </c>
      <c r="CH21" s="870" t="s">
        <v>123</v>
      </c>
      <c r="CI21" s="545"/>
      <c r="CJ21" s="871" t="str">
        <f>IFERROR(__xludf.DUMMYFUNCTION("IF(OR(C21=""AÇÃO"",C21=""BDR""),IFERROR(GOOGLEFINANCE(CONCAT(""BVMF:"",CR21), ""eps""),""NC""),"""")"),"")</f>
        <v/>
      </c>
      <c r="CK21" s="442"/>
      <c r="CL21" s="871" t="str">
        <f>IFERROR(__xludf.DUMMYFUNCTION("IF(NOT($BL$4),"""",IF($CR21="""","""",IF($BC21="""","""",IFERROR(query({op.normal!$B$5:$F308},""select Col5, toDate(Col2) where Col1 =  '""&amp;$CR21&amp;""' and Col4 &gt; 0 and ((Col3 is null) or (Col3 = 'C')) and Col2 &gt;= date '""&amp;TEXT(TODAY()-$AQ$5,""yyyy-mm-dd"")"&amp;"&amp;""' order by Col2 desc limit 1 label toDate(Col2) ''"")))))"),"")</f>
        <v/>
      </c>
      <c r="CM21" s="872"/>
      <c r="CN21" s="883" t="s">
        <v>123</v>
      </c>
      <c r="CO21" s="874" t="s">
        <v>123</v>
      </c>
      <c r="CP21" s="766"/>
      <c r="CQ21" s="791"/>
      <c r="CR21" s="791"/>
      <c r="CT21" s="791" t="s">
        <v>123</v>
      </c>
      <c r="CU21" s="791" t="str">
        <f>IFERROR(__xludf.DUMMYFUNCTION("IF(CR21="""","""",IF(CT21=$C$4,1,GOOGLEFINANCE(CT21&amp;$C$4)))"),"")</f>
        <v/>
      </c>
      <c r="CW21" s="791" t="s">
        <v>570</v>
      </c>
      <c r="CX21" s="836" t="s">
        <v>504</v>
      </c>
      <c r="CY21" s="791" t="str">
        <f>"Col"&amp;MATCH(CW21,fundamentus.!$A$2:$U$2,0)</f>
        <v>Col13</v>
      </c>
    </row>
    <row r="22" ht="22.5" customHeight="1">
      <c r="A22" s="837">
        <v>14.0</v>
      </c>
      <c r="B22" s="838" t="s">
        <v>123</v>
      </c>
      <c r="C22" s="838" t="s">
        <v>123</v>
      </c>
      <c r="D22" s="839" t="s">
        <v>123</v>
      </c>
      <c r="E22" s="839" t="s">
        <v>123</v>
      </c>
      <c r="F22" s="839" t="s">
        <v>123</v>
      </c>
      <c r="G22" s="56"/>
      <c r="H22" s="884"/>
      <c r="I22" s="838"/>
      <c r="J22" s="838"/>
      <c r="K22" s="838"/>
      <c r="L22" s="838"/>
      <c r="M22" s="838"/>
      <c r="N22" s="838"/>
      <c r="O22" s="838"/>
      <c r="P22" s="838"/>
      <c r="Q22" s="838"/>
      <c r="R22" s="838"/>
      <c r="S22" s="838"/>
      <c r="T22" s="838"/>
      <c r="U22" s="838"/>
      <c r="V22" s="838"/>
      <c r="W22" s="838"/>
      <c r="X22" s="838"/>
      <c r="Z22" s="875" t="str">
        <f>IFERROR(__xludf.DUMMYFUNCTION("IF($CR22="""","""",IFERROR(query({CarteirasAtivos},""select Col4 where Col4 is not null and Col1 = '""&amp;$CR22&amp;""' limit 1"")*CU22,""NC""))"),"")</f>
        <v/>
      </c>
      <c r="AA22" s="876" t="str">
        <f>IFERROR(__xludf.DUMMYFUNCTION("IF($CR22="""","""",IFERROR(query({CarteirasAtivos},""select Col6 where Col4 is not null and Col1 = '""&amp;$CR22&amp;""' limit 1""),""NC""))"),"")</f>
        <v/>
      </c>
      <c r="AB22" s="877"/>
      <c r="AC22" s="878" t="s">
        <v>123</v>
      </c>
      <c r="AD22" s="845" t="str">
        <f>IF($CR22="","",IFERROR(VLOOKUP($CR22,ativos.!$C$3:$R308,MATCH("cotacao",ativos.!$C$2:CY$2,0),FALSE)*$CU$5,"atualizar"))</f>
        <v/>
      </c>
      <c r="AE22" s="846" t="str">
        <f>IFERROR(__xludf.DUMMYFUNCTION("IF($CR22="""","""",IFERROR(AVERAGE(query({CarteirasAtivos;CarteirasAtivosEncerrados},""select Col5 where Col5 is not null and Col1 = '""&amp;$CR22&amp;""' and Col10='SIM'""))*CU22,""NC""))"),"")</f>
        <v/>
      </c>
      <c r="AF22" s="847" t="str">
        <f t="shared" si="1"/>
        <v/>
      </c>
      <c r="AG22" s="442"/>
      <c r="AH22" s="848" t="str">
        <f>IFERROR(__xludf.DUMMYFUNCTION("IF($CR22="""","""",IFERROR(GOOGLEFINANCE($CR22,""low52"")*CU22,""-""))"),"")</f>
        <v/>
      </c>
      <c r="AI22" s="848" t="str">
        <f>IFERROR(__xludf.DUMMYFUNCTION("IF($CR22="""","""",IFERROR(GOOGLEFINANCE($CR22,""high52"")*CU22,""-""))"),"")</f>
        <v/>
      </c>
      <c r="AJ22" s="849" t="s">
        <v>123</v>
      </c>
      <c r="AK22" s="850" t="str">
        <f>IFERROR(__xludf.DUMMYFUNCTION("IF($CR22="""","""",IFERROR(GOOGLEFINANCE($CR22,""changepct"")/100,""-""))"),"")</f>
        <v/>
      </c>
      <c r="AL22" s="851" t="str">
        <f>IFERROR(__xludf.DUMMYFUNCTION("IF($CR22="""","""",IFERROR(($AD22/(QUERY(GOOGLEFINANCE($CR22,""price"",TODAY()-7),""SELECT Col2 label Col2 ''"")*$CU22)-1),""-""))"),"")</f>
        <v/>
      </c>
      <c r="AM22" s="851" t="str">
        <f>IFERROR(__xludf.DUMMYFUNCTION("IF($CR22="""","""",IFERROR(($AD22/(QUERY(GOOGLEFINANCE($CR22,""price"",TODAY()-14),""SELECT Col2 label Col2 ''"")*$CU22)-1),""-""))"),"")</f>
        <v/>
      </c>
      <c r="AN22" s="851" t="str">
        <f>IFERROR(__xludf.DUMMYFUNCTION("IF($CR22="""","""",IFERROR(($AD22/(QUERY(GOOGLEFINANCE($CR22,""price"",TODAY()-28),""SELECT Col2 label Col2 ''"")*$CU22)-1),""-""))"),"")</f>
        <v/>
      </c>
      <c r="AO22" s="851" t="str">
        <f>IFERROR(__xludf.DUMMYFUNCTION("IF($CR22="""","""",IFERROR(($AD22/(QUERY(GOOGLEFINANCE($CR22,""price"",TODAY()-$AQ$5),""SELECT Col2 label Col2 ''"")*$CU22)-1),""-""))"),"")</f>
        <v/>
      </c>
      <c r="AP22" s="852" t="str">
        <f>IFERROR(__xludf.DUMMYFUNCTION("IF($CR22="""","""",IFERROR(SPARKLINE(query(GOOGLEFINANCE($CR22,""price"",TODAY()-$AQ$5,TODAY(),1),""select Col2 label Col2 ''""),IF($AP$7=""Gráfico de barras"",{""charttype"",""column"";""highcolor"",""red""},{""chartype"",""line""}))))"),"")</f>
        <v/>
      </c>
      <c r="AQ22" s="144"/>
      <c r="AR22" s="853"/>
      <c r="AS22" s="854" t="str">
        <f>IF($CR22="","",IF(NOT('alocação'!$D$1),"off",IFERROR(VLOOKUP(CR22,BalanceAtivos,3,0),"NC")))</f>
        <v/>
      </c>
      <c r="AT22" s="855" t="str">
        <f>IF($CR22="","",IF(NOT('alocação'!$D$1),"off",IFERROR(VLOOKUP($CR22,BalanceAtivos,4,0)*$CU$5,"NC")))</f>
        <v/>
      </c>
      <c r="AU22" s="856" t="str">
        <f>IF($CR22="","",IF(NOT('alocação'!$D$1),"off",IFERROR(VLOOKUP($CR22,BalanceAtivos,5,0),"-")))</f>
        <v/>
      </c>
      <c r="AV22" s="856" t="str">
        <f>IF($CR22="","",IF(NOT('alocação'!$D$1),"off",IFERROR(VLOOKUP($CR22,BalanceAtivos,6,0),"-")))</f>
        <v/>
      </c>
      <c r="AW22" s="857"/>
      <c r="AX22" s="858" t="str">
        <f>IF($CR22="","",IF($E22="","SP",IFERROR(VLOOKUP($CR22,AtivosDados,MATCH("pm_atual",portfolio.!$A$3:CY$3,0),0)*$CU$5,0)))</f>
        <v/>
      </c>
      <c r="AY22" s="859" t="str">
        <f t="shared" si="2"/>
        <v/>
      </c>
      <c r="AZ22" s="858" t="str">
        <f>IF($CR22="","",IF($E22="","SP",SUMIF(portfolio.!$A$4:$A308,$CR22,portfolio.!$O$4:$O308)*$CU$5))</f>
        <v/>
      </c>
      <c r="BA22" s="858" t="str">
        <f>IF($CR22="","",IF($E22="","SP",SUMIF(portfolio.!$A$4:$A308,$CR22,portfolio.!$AN$4:$AN308)*$CU$5))</f>
        <v/>
      </c>
      <c r="BB22" s="860" t="str">
        <f>IF($CR22="","",IF($E22="","-",IFERROR($BA22/'portfólio'!$DG$63,"")))</f>
        <v/>
      </c>
      <c r="BC22" s="861" t="str">
        <f>IF($CR22="","",IF($E22="","-",SUMIF(portfolio.!$A$4:$A308,$CR22,portfolio.!$J$4:$J308)))</f>
        <v/>
      </c>
      <c r="BD22" s="862" t="str">
        <f>IF($CR22="","",IF($E22="","SP",SUMIF(portfolio.!$A$4:$A308,$CR22,portfolio.!$AQ$4:$AQ308)*$CU$5))</f>
        <v/>
      </c>
      <c r="BE22" s="850" t="str">
        <f t="shared" si="3"/>
        <v/>
      </c>
      <c r="BF22" s="862" t="str">
        <f>IF($CR22="","",IF($E22="","-",SUMIF(portfolio.!$A$4:$A308,$CR22,portfolio.!$AX$4:$AX308)*$CU$5))</f>
        <v/>
      </c>
      <c r="BG22" s="545"/>
      <c r="BH22" s="879" t="s">
        <v>123</v>
      </c>
      <c r="BI22" s="880" t="s">
        <v>123</v>
      </c>
      <c r="BJ22" s="863" t="str">
        <f>IFERROR(__xludf.DUMMYFUNCTION("IF(NOT($BL$4),"""",IF($CR22="""","""",IFERROR(query({GOOGLEFINANCE($CR22,""price"",IF($BI22=""-"",TODAY()-($AQ$5+5),$BI22),TODAY()-1)},""Select max(Col2) where Col1 is not null label max(Col2) ''"")*CU22,""-"")))"),"")</f>
        <v/>
      </c>
      <c r="BK22" s="881" t="s">
        <v>123</v>
      </c>
      <c r="BL22" s="882" t="s">
        <v>123</v>
      </c>
      <c r="BM22" s="442"/>
      <c r="BN22" s="867" t="str">
        <f>IFERROR(__xludf.DUMMYFUNCTION("IF(CR22="""","""",IF(OR(C22=""AÇÃO"",C22=""BDR""),IFERROR(QUERY({fundamentus.!$A$3:$U308},$CX$67&amp;"" where Col1='""&amp;CR22&amp;""' limit 1"",0)),IF(C22=""FII"",IFERROR(QUERY({fundsexplorer.!$A$2:$Z308},$CY$67&amp;"" where Col1='""&amp;CR22&amp;""' limit 1"",0)),"""")))"),"")</f>
        <v/>
      </c>
      <c r="BO22" s="867"/>
      <c r="BP22" s="867"/>
      <c r="BQ22" s="867"/>
      <c r="BR22" s="867"/>
      <c r="BS22" s="867"/>
      <c r="BT22" s="867"/>
      <c r="BU22" s="442"/>
      <c r="BV22" s="868" t="str">
        <f>IFERROR(__xludf.DUMMYFUNCTION("IF(OR(C22=""AÇÃO"",C22=""BDR""),IFERROR(GOOGLEFINANCE(CONCAT(""BVMF:"",CR22), ""marketcap"")/1000000,""NC""),"""")"),"")</f>
        <v/>
      </c>
      <c r="BW22" s="869" t="s">
        <v>123</v>
      </c>
      <c r="BX22" s="870" t="s">
        <v>123</v>
      </c>
      <c r="BY22" s="868" t="s">
        <v>123</v>
      </c>
      <c r="BZ22" s="870" t="s">
        <v>123</v>
      </c>
      <c r="CA22" s="868" t="s">
        <v>123</v>
      </c>
      <c r="CB22" s="868" t="s">
        <v>123</v>
      </c>
      <c r="CC22" s="868" t="s">
        <v>123</v>
      </c>
      <c r="CD22" s="868" t="str">
        <f>IFERROR(__xludf.DUMMYFUNCTION("IF(OR(C22=""AÇÃO"",C22=""BDR""),IFERROR(GOOGLEFINANCE(CONCAT(""BVMF:"",CR22), ""volumeavg"")/1000000,""NC""),"""")"),"")</f>
        <v/>
      </c>
      <c r="CE22" s="870" t="s">
        <v>123</v>
      </c>
      <c r="CF22" s="870" t="s">
        <v>123</v>
      </c>
      <c r="CG22" s="870" t="str">
        <f>IFERROR(__xludf.DUMMYFUNCTION("IF(OR(C22=""AÇÃO"",C22=""BDR""),IF(CF22=0,""SEM DY"",IFERROR(ImportXML(CONCAT(""http://www.guiainvest.com.br/raiox/default.aspx?sigla="",$CR22),""//*[@id='lbPayoutAtual']""),""NC"")),"""")"),"")</f>
        <v/>
      </c>
      <c r="CH22" s="870" t="s">
        <v>123</v>
      </c>
      <c r="CI22" s="545"/>
      <c r="CJ22" s="871" t="str">
        <f>IFERROR(__xludf.DUMMYFUNCTION("IF(OR(C22=""AÇÃO"",C22=""BDR""),IFERROR(GOOGLEFINANCE(CONCAT(""BVMF:"",CR22), ""eps""),""NC""),"""")"),"")</f>
        <v/>
      </c>
      <c r="CK22" s="442"/>
      <c r="CL22" s="871" t="str">
        <f>IFERROR(__xludf.DUMMYFUNCTION("IF(NOT($BL$4),"""",IF($CR22="""","""",IF($BC22="""","""",IFERROR(query({op.normal!$B$5:$F308},""select Col5, toDate(Col2) where Col1 =  '""&amp;$CR22&amp;""' and Col4 &gt; 0 and ((Col3 is null) or (Col3 = 'C')) and Col2 &gt;= date '""&amp;TEXT(TODAY()-$AQ$5,""yyyy-mm-dd"")"&amp;"&amp;""' order by Col2 desc limit 1 label toDate(Col2) ''"")))))"),"")</f>
        <v/>
      </c>
      <c r="CM22" s="872"/>
      <c r="CN22" s="883" t="s">
        <v>123</v>
      </c>
      <c r="CO22" s="874" t="s">
        <v>123</v>
      </c>
      <c r="CP22" s="766"/>
      <c r="CQ22" s="791"/>
      <c r="CR22" s="791"/>
      <c r="CT22" s="791" t="s">
        <v>123</v>
      </c>
      <c r="CU22" s="791" t="str">
        <f>IFERROR(__xludf.DUMMYFUNCTION("IF(CR22="""","""",IF(CT22=$C$4,1,GOOGLEFINANCE(CT22&amp;$C$4)))"),"")</f>
        <v/>
      </c>
      <c r="CW22" s="791" t="s">
        <v>571</v>
      </c>
      <c r="CX22" s="836" t="s">
        <v>503</v>
      </c>
      <c r="CY22" s="791" t="str">
        <f>"Col"&amp;MATCH(CW22,fundamentus.!$A$2:$U$2,0)</f>
        <v>Col14</v>
      </c>
    </row>
    <row r="23" ht="22.5" customHeight="1">
      <c r="A23" s="837">
        <v>15.0</v>
      </c>
      <c r="B23" s="838" t="s">
        <v>123</v>
      </c>
      <c r="C23" s="838" t="s">
        <v>123</v>
      </c>
      <c r="D23" s="839" t="s">
        <v>123</v>
      </c>
      <c r="E23" s="839" t="s">
        <v>123</v>
      </c>
      <c r="F23" s="839" t="s">
        <v>123</v>
      </c>
      <c r="G23" s="56"/>
      <c r="H23" s="884"/>
      <c r="I23" s="838"/>
      <c r="J23" s="838"/>
      <c r="K23" s="838"/>
      <c r="L23" s="838"/>
      <c r="M23" s="838"/>
      <c r="N23" s="838"/>
      <c r="O23" s="838"/>
      <c r="P23" s="838"/>
      <c r="Q23" s="838"/>
      <c r="R23" s="838"/>
      <c r="S23" s="838"/>
      <c r="T23" s="838"/>
      <c r="U23" s="838"/>
      <c r="V23" s="838"/>
      <c r="W23" s="838"/>
      <c r="X23" s="838"/>
      <c r="Z23" s="875" t="str">
        <f>IFERROR(__xludf.DUMMYFUNCTION("IF($CR23="""","""",IFERROR(query({CarteirasAtivos},""select Col4 where Col4 is not null and Col1 = '""&amp;$CR23&amp;""' limit 1"")*CU23,""NC""))"),"")</f>
        <v/>
      </c>
      <c r="AA23" s="876" t="str">
        <f>IFERROR(__xludf.DUMMYFUNCTION("IF($CR23="""","""",IFERROR(query({CarteirasAtivos},""select Col6 where Col4 is not null and Col1 = '""&amp;$CR23&amp;""' limit 1""),""NC""))"),"")</f>
        <v/>
      </c>
      <c r="AB23" s="877"/>
      <c r="AC23" s="878" t="s">
        <v>123</v>
      </c>
      <c r="AD23" s="845" t="str">
        <f>IF($CR23="","",IFERROR(VLOOKUP($CR23,ativos.!$C$3:$R308,MATCH("cotacao",ativos.!$C$2:CY$2,0),FALSE)*$CU$5,"atualizar"))</f>
        <v/>
      </c>
      <c r="AE23" s="846" t="str">
        <f>IFERROR(__xludf.DUMMYFUNCTION("IF($CR23="""","""",IFERROR(AVERAGE(query({CarteirasAtivos;CarteirasAtivosEncerrados},""select Col5 where Col5 is not null and Col1 = '""&amp;$CR23&amp;""' and Col10='SIM'""))*CU23,""NC""))"),"")</f>
        <v/>
      </c>
      <c r="AF23" s="847" t="str">
        <f t="shared" si="1"/>
        <v/>
      </c>
      <c r="AG23" s="442"/>
      <c r="AH23" s="848" t="str">
        <f>IFERROR(__xludf.DUMMYFUNCTION("IF($CR23="""","""",IFERROR(GOOGLEFINANCE($CR23,""low52"")*CU23,""-""))"),"")</f>
        <v/>
      </c>
      <c r="AI23" s="848" t="str">
        <f>IFERROR(__xludf.DUMMYFUNCTION("IF($CR23="""","""",IFERROR(GOOGLEFINANCE($CR23,""high52"")*CU23,""-""))"),"")</f>
        <v/>
      </c>
      <c r="AJ23" s="849" t="s">
        <v>123</v>
      </c>
      <c r="AK23" s="850" t="str">
        <f>IFERROR(__xludf.DUMMYFUNCTION("IF($CR23="""","""",IFERROR(GOOGLEFINANCE($CR23,""changepct"")/100,""-""))"),"")</f>
        <v/>
      </c>
      <c r="AL23" s="851" t="str">
        <f>IFERROR(__xludf.DUMMYFUNCTION("IF($CR23="""","""",IFERROR(($AD23/(QUERY(GOOGLEFINANCE($CR23,""price"",TODAY()-7),""SELECT Col2 label Col2 ''"")*$CU23)-1),""-""))"),"")</f>
        <v/>
      </c>
      <c r="AM23" s="851" t="str">
        <f>IFERROR(__xludf.DUMMYFUNCTION("IF($CR23="""","""",IFERROR(($AD23/(QUERY(GOOGLEFINANCE($CR23,""price"",TODAY()-14),""SELECT Col2 label Col2 ''"")*$CU23)-1),""-""))"),"")</f>
        <v/>
      </c>
      <c r="AN23" s="851" t="str">
        <f>IFERROR(__xludf.DUMMYFUNCTION("IF($CR23="""","""",IFERROR(($AD23/(QUERY(GOOGLEFINANCE($CR23,""price"",TODAY()-28),""SELECT Col2 label Col2 ''"")*$CU23)-1),""-""))"),"")</f>
        <v/>
      </c>
      <c r="AO23" s="851" t="str">
        <f>IFERROR(__xludf.DUMMYFUNCTION("IF($CR23="""","""",IFERROR(($AD23/(QUERY(GOOGLEFINANCE($CR23,""price"",TODAY()-$AQ$5),""SELECT Col2 label Col2 ''"")*$CU23)-1),""-""))"),"")</f>
        <v/>
      </c>
      <c r="AP23" s="852" t="str">
        <f>IFERROR(__xludf.DUMMYFUNCTION("IF($CR23="""","""",IFERROR(SPARKLINE(query(GOOGLEFINANCE($CR23,""price"",TODAY()-$AQ$5,TODAY(),1),""select Col2 label Col2 ''""),IF($AP$7=""Gráfico de barras"",{""charttype"",""column"";""highcolor"",""red""},{""chartype"",""line""}))))"),"")</f>
        <v/>
      </c>
      <c r="AQ23" s="144"/>
      <c r="AR23" s="853"/>
      <c r="AS23" s="854" t="str">
        <f>IF($CR23="","",IF(NOT('alocação'!$D$1),"off",IFERROR(VLOOKUP(CR23,BalanceAtivos,3,0),"NC")))</f>
        <v/>
      </c>
      <c r="AT23" s="855" t="str">
        <f>IF($CR23="","",IF(NOT('alocação'!$D$1),"off",IFERROR(VLOOKUP($CR23,BalanceAtivos,4,0)*$CU$5,"NC")))</f>
        <v/>
      </c>
      <c r="AU23" s="856" t="str">
        <f>IF($CR23="","",IF(NOT('alocação'!$D$1),"off",IFERROR(VLOOKUP($CR23,BalanceAtivos,5,0),"-")))</f>
        <v/>
      </c>
      <c r="AV23" s="856" t="str">
        <f>IF($CR23="","",IF(NOT('alocação'!$D$1),"off",IFERROR(VLOOKUP($CR23,BalanceAtivos,6,0),"-")))</f>
        <v/>
      </c>
      <c r="AW23" s="857"/>
      <c r="AX23" s="858" t="str">
        <f>IF($CR23="","",IF($E23="","SP",IFERROR(VLOOKUP($CR23,AtivosDados,MATCH("pm_atual",portfolio.!$A$3:CY$3,0),0)*$CU$5,0)))</f>
        <v/>
      </c>
      <c r="AY23" s="859" t="str">
        <f t="shared" si="2"/>
        <v/>
      </c>
      <c r="AZ23" s="858" t="str">
        <f>IF($CR23="","",IF($E23="","SP",SUMIF(portfolio.!$A$4:$A308,$CR23,portfolio.!$O$4:$O308)*$CU$5))</f>
        <v/>
      </c>
      <c r="BA23" s="858" t="str">
        <f>IF($CR23="","",IF($E23="","SP",SUMIF(portfolio.!$A$4:$A308,$CR23,portfolio.!$AN$4:$AN308)*$CU$5))</f>
        <v/>
      </c>
      <c r="BB23" s="860" t="str">
        <f>IF($CR23="","",IF($E23="","-",IFERROR($BA23/'portfólio'!$DG$63,"")))</f>
        <v/>
      </c>
      <c r="BC23" s="861" t="str">
        <f>IF($CR23="","",IF($E23="","-",SUMIF(portfolio.!$A$4:$A308,$CR23,portfolio.!$J$4:$J308)))</f>
        <v/>
      </c>
      <c r="BD23" s="862" t="str">
        <f>IF($CR23="","",IF($E23="","SP",SUMIF(portfolio.!$A$4:$A308,$CR23,portfolio.!$AQ$4:$AQ308)*$CU$5))</f>
        <v/>
      </c>
      <c r="BE23" s="850" t="str">
        <f t="shared" si="3"/>
        <v/>
      </c>
      <c r="BF23" s="862" t="str">
        <f>IF($CR23="","",IF($E23="","-",SUMIF(portfolio.!$A$4:$A308,$CR23,portfolio.!$AX$4:$AX308)*$CU$5))</f>
        <v/>
      </c>
      <c r="BG23" s="545"/>
      <c r="BH23" s="879" t="s">
        <v>123</v>
      </c>
      <c r="BI23" s="880" t="s">
        <v>123</v>
      </c>
      <c r="BJ23" s="863" t="str">
        <f>IFERROR(__xludf.DUMMYFUNCTION("IF(NOT($BL$4),"""",IF($CR23="""","""",IFERROR(query({GOOGLEFINANCE($CR23,""price"",IF($BI23=""-"",TODAY()-($AQ$5+5),$BI23),TODAY()-1)},""Select max(Col2) where Col1 is not null label max(Col2) ''"")*CU23,""-"")))"),"")</f>
        <v/>
      </c>
      <c r="BK23" s="881" t="s">
        <v>123</v>
      </c>
      <c r="BL23" s="882" t="s">
        <v>123</v>
      </c>
      <c r="BM23" s="442"/>
      <c r="BN23" s="867" t="str">
        <f>IFERROR(__xludf.DUMMYFUNCTION("IF(CR23="""","""",IF(OR(C23=""AÇÃO"",C23=""BDR""),IFERROR(QUERY({fundamentus.!$A$3:$U308},$CX$67&amp;"" where Col1='""&amp;CR23&amp;""' limit 1"",0)),IF(C23=""FII"",IFERROR(QUERY({fundsexplorer.!$A$2:$Z308},$CY$67&amp;"" where Col1='""&amp;CR23&amp;""' limit 1"",0)),"""")))"),"")</f>
        <v/>
      </c>
      <c r="BO23" s="867"/>
      <c r="BP23" s="867"/>
      <c r="BQ23" s="867"/>
      <c r="BR23" s="867"/>
      <c r="BS23" s="867"/>
      <c r="BT23" s="867"/>
      <c r="BU23" s="442"/>
      <c r="BV23" s="868" t="str">
        <f>IFERROR(__xludf.DUMMYFUNCTION("IF(OR(C23=""AÇÃO"",C23=""BDR""),IFERROR(GOOGLEFINANCE(CONCAT(""BVMF:"",CR23), ""marketcap"")/1000000,""NC""),"""")"),"")</f>
        <v/>
      </c>
      <c r="BW23" s="869" t="s">
        <v>123</v>
      </c>
      <c r="BX23" s="870" t="s">
        <v>123</v>
      </c>
      <c r="BY23" s="868" t="s">
        <v>123</v>
      </c>
      <c r="BZ23" s="870" t="s">
        <v>123</v>
      </c>
      <c r="CA23" s="868" t="s">
        <v>123</v>
      </c>
      <c r="CB23" s="868" t="s">
        <v>123</v>
      </c>
      <c r="CC23" s="868" t="s">
        <v>123</v>
      </c>
      <c r="CD23" s="868" t="str">
        <f>IFERROR(__xludf.DUMMYFUNCTION("IF(OR(C23=""AÇÃO"",C23=""BDR""),IFERROR(GOOGLEFINANCE(CONCAT(""BVMF:"",CR23), ""volumeavg"")/1000000,""NC""),"""")"),"")</f>
        <v/>
      </c>
      <c r="CE23" s="870" t="s">
        <v>123</v>
      </c>
      <c r="CF23" s="870" t="s">
        <v>123</v>
      </c>
      <c r="CG23" s="870" t="str">
        <f>IFERROR(__xludf.DUMMYFUNCTION("IF(OR(C23=""AÇÃO"",C23=""BDR""),IF(CF23=0,""SEM DY"",IFERROR(ImportXML(CONCAT(""http://www.guiainvest.com.br/raiox/default.aspx?sigla="",$CR23),""//*[@id='lbPayoutAtual']""),""NC"")),"""")"),"")</f>
        <v/>
      </c>
      <c r="CH23" s="870" t="s">
        <v>123</v>
      </c>
      <c r="CI23" s="545"/>
      <c r="CJ23" s="871" t="str">
        <f>IFERROR(__xludf.DUMMYFUNCTION("IF(OR(C23=""AÇÃO"",C23=""BDR""),IFERROR(GOOGLEFINANCE(CONCAT(""BVMF:"",CR23), ""eps""),""NC""),"""")"),"")</f>
        <v/>
      </c>
      <c r="CK23" s="442"/>
      <c r="CL23" s="871" t="str">
        <f>IFERROR(__xludf.DUMMYFUNCTION("IF(NOT($BL$4),"""",IF($CR23="""","""",IF($BC23="""","""",IFERROR(query({op.normal!$B$5:$F308},""select Col5, toDate(Col2) where Col1 =  '""&amp;$CR23&amp;""' and Col4 &gt; 0 and ((Col3 is null) or (Col3 = 'C')) and Col2 &gt;= date '""&amp;TEXT(TODAY()-$AQ$5,""yyyy-mm-dd"")"&amp;"&amp;""' order by Col2 desc limit 1 label toDate(Col2) ''"")))))"),"")</f>
        <v/>
      </c>
      <c r="CM23" s="872"/>
      <c r="CN23" s="883" t="s">
        <v>123</v>
      </c>
      <c r="CO23" s="874" t="s">
        <v>123</v>
      </c>
      <c r="CP23" s="766"/>
      <c r="CQ23" s="791"/>
      <c r="CR23" s="791"/>
      <c r="CT23" s="791" t="s">
        <v>123</v>
      </c>
      <c r="CU23" s="791" t="str">
        <f>IFERROR(__xludf.DUMMYFUNCTION("IF(CR23="""","""",IF(CT23=$C$4,1,GOOGLEFINANCE(CT23&amp;$C$4)))"),"")</f>
        <v/>
      </c>
      <c r="CW23" s="791" t="s">
        <v>572</v>
      </c>
      <c r="CX23" s="791" t="s">
        <v>572</v>
      </c>
      <c r="CY23" s="791" t="str">
        <f>"Col"&amp;MATCH(CW23,fundamentus.!$A$2:$U$2,0)</f>
        <v>Col15</v>
      </c>
    </row>
    <row r="24" ht="22.5" customHeight="1">
      <c r="A24" s="837">
        <v>16.0</v>
      </c>
      <c r="B24" s="838" t="s">
        <v>123</v>
      </c>
      <c r="C24" s="838" t="s">
        <v>123</v>
      </c>
      <c r="D24" s="839" t="s">
        <v>123</v>
      </c>
      <c r="E24" s="839" t="s">
        <v>123</v>
      </c>
      <c r="F24" s="839" t="s">
        <v>123</v>
      </c>
      <c r="G24" s="56"/>
      <c r="H24" s="884"/>
      <c r="I24" s="838"/>
      <c r="J24" s="838"/>
      <c r="K24" s="838"/>
      <c r="L24" s="838"/>
      <c r="M24" s="838"/>
      <c r="N24" s="838"/>
      <c r="O24" s="838"/>
      <c r="P24" s="838"/>
      <c r="Q24" s="838"/>
      <c r="R24" s="838"/>
      <c r="S24" s="838"/>
      <c r="T24" s="838"/>
      <c r="U24" s="838"/>
      <c r="V24" s="838"/>
      <c r="W24" s="838"/>
      <c r="X24" s="838"/>
      <c r="Z24" s="875" t="str">
        <f>IFERROR(__xludf.DUMMYFUNCTION("IF($CR24="""","""",IFERROR(query({CarteirasAtivos},""select Col4 where Col4 is not null and Col1 = '""&amp;$CR24&amp;""' limit 1"")*CU24,""NC""))"),"")</f>
        <v/>
      </c>
      <c r="AA24" s="876" t="str">
        <f>IFERROR(__xludf.DUMMYFUNCTION("IF($CR24="""","""",IFERROR(query({CarteirasAtivos},""select Col6 where Col4 is not null and Col1 = '""&amp;$CR24&amp;""' limit 1""),""NC""))"),"")</f>
        <v/>
      </c>
      <c r="AB24" s="877"/>
      <c r="AC24" s="878" t="s">
        <v>123</v>
      </c>
      <c r="AD24" s="845" t="str">
        <f>IF($CR24="","",IFERROR(VLOOKUP($CR24,ativos.!$C$3:$R308,MATCH("cotacao",ativos.!$C$2:CY$2,0),FALSE)*$CU$5,"atualizar"))</f>
        <v/>
      </c>
      <c r="AE24" s="846" t="str">
        <f>IFERROR(__xludf.DUMMYFUNCTION("IF($CR24="""","""",IFERROR(AVERAGE(query({CarteirasAtivos;CarteirasAtivosEncerrados},""select Col5 where Col5 is not null and Col1 = '""&amp;$CR24&amp;""' and Col10='SIM'""))*CU24,""NC""))"),"")</f>
        <v/>
      </c>
      <c r="AF24" s="847" t="str">
        <f t="shared" si="1"/>
        <v/>
      </c>
      <c r="AG24" s="442"/>
      <c r="AH24" s="848" t="str">
        <f>IFERROR(__xludf.DUMMYFUNCTION("IF($CR24="""","""",IFERROR(GOOGLEFINANCE($CR24,""low52"")*CU24,""-""))"),"")</f>
        <v/>
      </c>
      <c r="AI24" s="848" t="str">
        <f>IFERROR(__xludf.DUMMYFUNCTION("IF($CR24="""","""",IFERROR(GOOGLEFINANCE($CR24,""high52"")*CU24,""-""))"),"")</f>
        <v/>
      </c>
      <c r="AJ24" s="849" t="s">
        <v>123</v>
      </c>
      <c r="AK24" s="850" t="str">
        <f>IFERROR(__xludf.DUMMYFUNCTION("IF($CR24="""","""",IFERROR(GOOGLEFINANCE($CR24,""changepct"")/100,""-""))"),"")</f>
        <v/>
      </c>
      <c r="AL24" s="851" t="str">
        <f>IFERROR(__xludf.DUMMYFUNCTION("IF($CR24="""","""",IFERROR(($AD24/(QUERY(GOOGLEFINANCE($CR24,""price"",TODAY()-7),""SELECT Col2 label Col2 ''"")*$CU24)-1),""-""))"),"")</f>
        <v/>
      </c>
      <c r="AM24" s="851" t="str">
        <f>IFERROR(__xludf.DUMMYFUNCTION("IF($CR24="""","""",IFERROR(($AD24/(QUERY(GOOGLEFINANCE($CR24,""price"",TODAY()-14),""SELECT Col2 label Col2 ''"")*$CU24)-1),""-""))"),"")</f>
        <v/>
      </c>
      <c r="AN24" s="851" t="str">
        <f>IFERROR(__xludf.DUMMYFUNCTION("IF($CR24="""","""",IFERROR(($AD24/(QUERY(GOOGLEFINANCE($CR24,""price"",TODAY()-28),""SELECT Col2 label Col2 ''"")*$CU24)-1),""-""))"),"")</f>
        <v/>
      </c>
      <c r="AO24" s="851" t="str">
        <f>IFERROR(__xludf.DUMMYFUNCTION("IF($CR24="""","""",IFERROR(($AD24/(QUERY(GOOGLEFINANCE($CR24,""price"",TODAY()-$AQ$5),""SELECT Col2 label Col2 ''"")*$CU24)-1),""-""))"),"")</f>
        <v/>
      </c>
      <c r="AP24" s="852" t="str">
        <f>IFERROR(__xludf.DUMMYFUNCTION("IF($CR24="""","""",IFERROR(SPARKLINE(query(GOOGLEFINANCE($CR24,""price"",TODAY()-$AQ$5,TODAY(),1),""select Col2 label Col2 ''""),IF($AP$7=""Gráfico de barras"",{""charttype"",""column"";""highcolor"",""red""},{""chartype"",""line""}))))"),"")</f>
        <v/>
      </c>
      <c r="AQ24" s="144"/>
      <c r="AR24" s="853"/>
      <c r="AS24" s="854" t="str">
        <f>IF($CR24="","",IF(NOT('alocação'!$D$1),"off",IFERROR(VLOOKUP(CR24,BalanceAtivos,3,0),"NC")))</f>
        <v/>
      </c>
      <c r="AT24" s="855" t="str">
        <f>IF($CR24="","",IF(NOT('alocação'!$D$1),"off",IFERROR(VLOOKUP($CR24,BalanceAtivos,4,0)*$CU$5,"NC")))</f>
        <v/>
      </c>
      <c r="AU24" s="856" t="str">
        <f>IF($CR24="","",IF(NOT('alocação'!$D$1),"off",IFERROR(VLOOKUP($CR24,BalanceAtivos,5,0),"-")))</f>
        <v/>
      </c>
      <c r="AV24" s="856" t="str">
        <f>IF($CR24="","",IF(NOT('alocação'!$D$1),"off",IFERROR(VLOOKUP($CR24,BalanceAtivos,6,0),"-")))</f>
        <v/>
      </c>
      <c r="AW24" s="857"/>
      <c r="AX24" s="858" t="str">
        <f>IF($CR24="","",IF($E24="","SP",IFERROR(VLOOKUP($CR24,AtivosDados,MATCH("pm_atual",portfolio.!$A$3:CY$3,0),0)*$CU$5,0)))</f>
        <v/>
      </c>
      <c r="AY24" s="859" t="str">
        <f t="shared" si="2"/>
        <v/>
      </c>
      <c r="AZ24" s="858" t="str">
        <f>IF($CR24="","",IF($E24="","SP",SUMIF(portfolio.!$A$4:$A308,$CR24,portfolio.!$O$4:$O308)*$CU$5))</f>
        <v/>
      </c>
      <c r="BA24" s="858" t="str">
        <f>IF($CR24="","",IF($E24="","SP",SUMIF(portfolio.!$A$4:$A308,$CR24,portfolio.!$AN$4:$AN308)*$CU$5))</f>
        <v/>
      </c>
      <c r="BB24" s="860" t="str">
        <f>IF($CR24="","",IF($E24="","-",IFERROR($BA24/'portfólio'!$DG$63,"")))</f>
        <v/>
      </c>
      <c r="BC24" s="861" t="str">
        <f>IF($CR24="","",IF($E24="","-",SUMIF(portfolio.!$A$4:$A308,$CR24,portfolio.!$J$4:$J308)))</f>
        <v/>
      </c>
      <c r="BD24" s="862" t="str">
        <f>IF($CR24="","",IF($E24="","SP",SUMIF(portfolio.!$A$4:$A308,$CR24,portfolio.!$AQ$4:$AQ308)*$CU$5))</f>
        <v/>
      </c>
      <c r="BE24" s="850" t="str">
        <f t="shared" si="3"/>
        <v/>
      </c>
      <c r="BF24" s="862" t="str">
        <f>IF($CR24="","",IF($E24="","-",SUMIF(portfolio.!$A$4:$A308,$CR24,portfolio.!$AX$4:$AX308)*$CU$5))</f>
        <v/>
      </c>
      <c r="BG24" s="545"/>
      <c r="BH24" s="879" t="s">
        <v>123</v>
      </c>
      <c r="BI24" s="880" t="s">
        <v>123</v>
      </c>
      <c r="BJ24" s="863" t="str">
        <f>IFERROR(__xludf.DUMMYFUNCTION("IF(NOT($BL$4),"""",IF($CR24="""","""",IFERROR(query({GOOGLEFINANCE($CR24,""price"",IF($BI24=""-"",TODAY()-($AQ$5+5),$BI24),TODAY()-1)},""Select max(Col2) where Col1 is not null label max(Col2) ''"")*CU24,""-"")))"),"")</f>
        <v/>
      </c>
      <c r="BK24" s="881" t="s">
        <v>123</v>
      </c>
      <c r="BL24" s="882" t="s">
        <v>123</v>
      </c>
      <c r="BM24" s="442"/>
      <c r="BN24" s="867" t="str">
        <f>IFERROR(__xludf.DUMMYFUNCTION("IF(CR24="""","""",IF(OR(C24=""AÇÃO"",C24=""BDR""),IFERROR(QUERY({fundamentus.!$A$3:$U308},$CX$67&amp;"" where Col1='""&amp;CR24&amp;""' limit 1"",0)),IF(C24=""FII"",IFERROR(QUERY({fundsexplorer.!$A$2:$Z308},$CY$67&amp;"" where Col1='""&amp;CR24&amp;""' limit 1"",0)),"""")))"),"")</f>
        <v/>
      </c>
      <c r="BO24" s="867"/>
      <c r="BP24" s="867"/>
      <c r="BQ24" s="867"/>
      <c r="BR24" s="867"/>
      <c r="BS24" s="867"/>
      <c r="BT24" s="867"/>
      <c r="BU24" s="442"/>
      <c r="BV24" s="868" t="str">
        <f>IFERROR(__xludf.DUMMYFUNCTION("IF(OR(C24=""AÇÃO"",C24=""BDR""),IFERROR(GOOGLEFINANCE(CONCAT(""BVMF:"",CR24), ""marketcap"")/1000000,""NC""),"""")"),"")</f>
        <v/>
      </c>
      <c r="BW24" s="869" t="s">
        <v>123</v>
      </c>
      <c r="BX24" s="870" t="s">
        <v>123</v>
      </c>
      <c r="BY24" s="868" t="s">
        <v>123</v>
      </c>
      <c r="BZ24" s="870" t="s">
        <v>123</v>
      </c>
      <c r="CA24" s="868" t="s">
        <v>123</v>
      </c>
      <c r="CB24" s="868" t="s">
        <v>123</v>
      </c>
      <c r="CC24" s="868" t="s">
        <v>123</v>
      </c>
      <c r="CD24" s="868" t="str">
        <f>IFERROR(__xludf.DUMMYFUNCTION("IF(OR(C24=""AÇÃO"",C24=""BDR""),IFERROR(GOOGLEFINANCE(CONCAT(""BVMF:"",CR24), ""volumeavg"")/1000000,""NC""),"""")"),"")</f>
        <v/>
      </c>
      <c r="CE24" s="870" t="s">
        <v>123</v>
      </c>
      <c r="CF24" s="870" t="s">
        <v>123</v>
      </c>
      <c r="CG24" s="870" t="str">
        <f>IFERROR(__xludf.DUMMYFUNCTION("IF(OR(C24=""AÇÃO"",C24=""BDR""),IF(CF24=0,""SEM DY"",IFERROR(ImportXML(CONCAT(""http://www.guiainvest.com.br/raiox/default.aspx?sigla="",$CR24),""//*[@id='lbPayoutAtual']""),""NC"")),"""")"),"")</f>
        <v/>
      </c>
      <c r="CH24" s="870" t="s">
        <v>123</v>
      </c>
      <c r="CI24" s="545"/>
      <c r="CJ24" s="871" t="str">
        <f>IFERROR(__xludf.DUMMYFUNCTION("IF(OR(C24=""AÇÃO"",C24=""BDR""),IFERROR(GOOGLEFINANCE(CONCAT(""BVMF:"",CR24), ""eps""),""NC""),"""")"),"")</f>
        <v/>
      </c>
      <c r="CK24" s="442"/>
      <c r="CL24" s="871" t="str">
        <f>IFERROR(__xludf.DUMMYFUNCTION("IF(NOT($BL$4),"""",IF($CR24="""","""",IF($BC24="""","""",IFERROR(query({op.normal!$B$5:$F308},""select Col5, toDate(Col2) where Col1 =  '""&amp;$CR24&amp;""' and Col4 &gt; 0 and ((Col3 is null) or (Col3 = 'C')) and Col2 &gt;= date '""&amp;TEXT(TODAY()-$AQ$5,""yyyy-mm-dd"")"&amp;"&amp;""' order by Col2 desc limit 1 label toDate(Col2) ''"")))))"),"")</f>
        <v/>
      </c>
      <c r="CM24" s="872"/>
      <c r="CN24" s="883" t="s">
        <v>123</v>
      </c>
      <c r="CO24" s="874" t="s">
        <v>123</v>
      </c>
      <c r="CP24" s="766"/>
      <c r="CQ24" s="791"/>
      <c r="CR24" s="791"/>
      <c r="CT24" s="791" t="s">
        <v>123</v>
      </c>
      <c r="CU24" s="791" t="str">
        <f>IFERROR(__xludf.DUMMYFUNCTION("IF(CR24="""","""",IF(CT24=$C$4,1,GOOGLEFINANCE(CT24&amp;$C$4)))"),"")</f>
        <v/>
      </c>
      <c r="CW24" s="791" t="s">
        <v>573</v>
      </c>
      <c r="CX24" s="836" t="s">
        <v>574</v>
      </c>
      <c r="CY24" s="791" t="str">
        <f>"Col"&amp;MATCH(CW24,fundamentus.!$A$2:$U$2,0)</f>
        <v>Col16</v>
      </c>
    </row>
    <row r="25" ht="22.5" customHeight="1">
      <c r="A25" s="837">
        <v>17.0</v>
      </c>
      <c r="B25" s="838" t="s">
        <v>123</v>
      </c>
      <c r="C25" s="838" t="s">
        <v>123</v>
      </c>
      <c r="D25" s="839" t="s">
        <v>123</v>
      </c>
      <c r="E25" s="839" t="s">
        <v>123</v>
      </c>
      <c r="F25" s="839" t="s">
        <v>123</v>
      </c>
      <c r="G25" s="56"/>
      <c r="H25" s="884"/>
      <c r="I25" s="838"/>
      <c r="J25" s="838"/>
      <c r="K25" s="838"/>
      <c r="L25" s="838"/>
      <c r="M25" s="838"/>
      <c r="N25" s="838"/>
      <c r="O25" s="838"/>
      <c r="P25" s="838"/>
      <c r="Q25" s="838"/>
      <c r="R25" s="838"/>
      <c r="S25" s="838"/>
      <c r="T25" s="838"/>
      <c r="U25" s="838"/>
      <c r="V25" s="838"/>
      <c r="W25" s="838"/>
      <c r="X25" s="838"/>
      <c r="Z25" s="875" t="str">
        <f>IFERROR(__xludf.DUMMYFUNCTION("IF($CR25="""","""",IFERROR(query({CarteirasAtivos},""select Col4 where Col4 is not null and Col1 = '""&amp;$CR25&amp;""' limit 1"")*CU25,""NC""))"),"")</f>
        <v/>
      </c>
      <c r="AA25" s="876" t="str">
        <f>IFERROR(__xludf.DUMMYFUNCTION("IF($CR25="""","""",IFERROR(query({CarteirasAtivos},""select Col6 where Col4 is not null and Col1 = '""&amp;$CR25&amp;""' limit 1""),""NC""))"),"")</f>
        <v/>
      </c>
      <c r="AB25" s="877"/>
      <c r="AC25" s="878" t="s">
        <v>123</v>
      </c>
      <c r="AD25" s="845" t="str">
        <f>IF($CR25="","",IFERROR(VLOOKUP($CR25,ativos.!$C$3:$R308,MATCH("cotacao",ativos.!$C$2:CY$2,0),FALSE)*$CU$5,"atualizar"))</f>
        <v/>
      </c>
      <c r="AE25" s="846" t="str">
        <f>IFERROR(__xludf.DUMMYFUNCTION("IF($CR25="""","""",IFERROR(AVERAGE(query({CarteirasAtivos;CarteirasAtivosEncerrados},""select Col5 where Col5 is not null and Col1 = '""&amp;$CR25&amp;""' and Col10='SIM'""))*CU25,""NC""))"),"")</f>
        <v/>
      </c>
      <c r="AF25" s="847" t="str">
        <f t="shared" si="1"/>
        <v/>
      </c>
      <c r="AG25" s="442"/>
      <c r="AH25" s="848" t="str">
        <f>IFERROR(__xludf.DUMMYFUNCTION("IF($CR25="""","""",IFERROR(GOOGLEFINANCE($CR25,""low52"")*CU25,""-""))"),"")</f>
        <v/>
      </c>
      <c r="AI25" s="848" t="str">
        <f>IFERROR(__xludf.DUMMYFUNCTION("IF($CR25="""","""",IFERROR(GOOGLEFINANCE($CR25,""high52"")*CU25,""-""))"),"")</f>
        <v/>
      </c>
      <c r="AJ25" s="849" t="s">
        <v>123</v>
      </c>
      <c r="AK25" s="850" t="str">
        <f>IFERROR(__xludf.DUMMYFUNCTION("IF($CR25="""","""",IFERROR(GOOGLEFINANCE($CR25,""changepct"")/100,""-""))"),"")</f>
        <v/>
      </c>
      <c r="AL25" s="851" t="str">
        <f>IFERROR(__xludf.DUMMYFUNCTION("IF($CR25="""","""",IFERROR(($AD25/(QUERY(GOOGLEFINANCE($CR25,""price"",TODAY()-7),""SELECT Col2 label Col2 ''"")*$CU25)-1),""-""))"),"")</f>
        <v/>
      </c>
      <c r="AM25" s="851" t="str">
        <f>IFERROR(__xludf.DUMMYFUNCTION("IF($CR25="""","""",IFERROR(($AD25/(QUERY(GOOGLEFINANCE($CR25,""price"",TODAY()-14),""SELECT Col2 label Col2 ''"")*$CU25)-1),""-""))"),"")</f>
        <v/>
      </c>
      <c r="AN25" s="851" t="str">
        <f>IFERROR(__xludf.DUMMYFUNCTION("IF($CR25="""","""",IFERROR(($AD25/(QUERY(GOOGLEFINANCE($CR25,""price"",TODAY()-28),""SELECT Col2 label Col2 ''"")*$CU25)-1),""-""))"),"")</f>
        <v/>
      </c>
      <c r="AO25" s="851" t="str">
        <f>IFERROR(__xludf.DUMMYFUNCTION("IF($CR25="""","""",IFERROR(($AD25/(QUERY(GOOGLEFINANCE($CR25,""price"",TODAY()-$AQ$5),""SELECT Col2 label Col2 ''"")*$CU25)-1),""-""))"),"")</f>
        <v/>
      </c>
      <c r="AP25" s="852" t="str">
        <f>IFERROR(__xludf.DUMMYFUNCTION("IF($CR25="""","""",IFERROR(SPARKLINE(query(GOOGLEFINANCE($CR25,""price"",TODAY()-$AQ$5,TODAY(),1),""select Col2 label Col2 ''""),IF($AP$7=""Gráfico de barras"",{""charttype"",""column"";""highcolor"",""red""},{""chartype"",""line""}))))"),"")</f>
        <v/>
      </c>
      <c r="AQ25" s="144"/>
      <c r="AR25" s="853"/>
      <c r="AS25" s="854" t="str">
        <f>IF($CR25="","",IF(NOT('alocação'!$D$1),"off",IFERROR(VLOOKUP(CR25,BalanceAtivos,3,0),"NC")))</f>
        <v/>
      </c>
      <c r="AT25" s="855" t="str">
        <f>IF($CR25="","",IF(NOT('alocação'!$D$1),"off",IFERROR(VLOOKUP($CR25,BalanceAtivos,4,0)*$CU$5,"NC")))</f>
        <v/>
      </c>
      <c r="AU25" s="856" t="str">
        <f>IF($CR25="","",IF(NOT('alocação'!$D$1),"off",IFERROR(VLOOKUP($CR25,BalanceAtivos,5,0),"-")))</f>
        <v/>
      </c>
      <c r="AV25" s="856" t="str">
        <f>IF($CR25="","",IF(NOT('alocação'!$D$1),"off",IFERROR(VLOOKUP($CR25,BalanceAtivos,6,0),"-")))</f>
        <v/>
      </c>
      <c r="AW25" s="857"/>
      <c r="AX25" s="858" t="str">
        <f>IF($CR25="","",IF($E25="","SP",IFERROR(VLOOKUP($CR25,AtivosDados,MATCH("pm_atual",portfolio.!$A$3:CY$3,0),0)*$CU$5,0)))</f>
        <v/>
      </c>
      <c r="AY25" s="859" t="str">
        <f t="shared" si="2"/>
        <v/>
      </c>
      <c r="AZ25" s="858" t="str">
        <f>IF($CR25="","",IF($E25="","SP",SUMIF(portfolio.!$A$4:$A308,$CR25,portfolio.!$O$4:$O308)*$CU$5))</f>
        <v/>
      </c>
      <c r="BA25" s="858" t="str">
        <f>IF($CR25="","",IF($E25="","SP",SUMIF(portfolio.!$A$4:$A308,$CR25,portfolio.!$AN$4:$AN308)*$CU$5))</f>
        <v/>
      </c>
      <c r="BB25" s="860" t="str">
        <f>IF($CR25="","",IF($E25="","-",IFERROR($BA25/'portfólio'!$DG$63,"")))</f>
        <v/>
      </c>
      <c r="BC25" s="861" t="str">
        <f>IF($CR25="","",IF($E25="","-",SUMIF(portfolio.!$A$4:$A308,$CR25,portfolio.!$J$4:$J308)))</f>
        <v/>
      </c>
      <c r="BD25" s="862" t="str">
        <f>IF($CR25="","",IF($E25="","SP",SUMIF(portfolio.!$A$4:$A308,$CR25,portfolio.!$AQ$4:$AQ308)*$CU$5))</f>
        <v/>
      </c>
      <c r="BE25" s="850" t="str">
        <f t="shared" si="3"/>
        <v/>
      </c>
      <c r="BF25" s="862" t="str">
        <f>IF($CR25="","",IF($E25="","-",SUMIF(portfolio.!$A$4:$A308,$CR25,portfolio.!$AX$4:$AX308)*$CU$5))</f>
        <v/>
      </c>
      <c r="BG25" s="545"/>
      <c r="BH25" s="879" t="s">
        <v>123</v>
      </c>
      <c r="BI25" s="880" t="s">
        <v>123</v>
      </c>
      <c r="BJ25" s="863" t="str">
        <f>IFERROR(__xludf.DUMMYFUNCTION("IF(NOT($BL$4),"""",IF($CR25="""","""",IFERROR(query({GOOGLEFINANCE($CR25,""price"",IF($BI25=""-"",TODAY()-($AQ$5+5),$BI25),TODAY()-1)},""Select max(Col2) where Col1 is not null label max(Col2) ''"")*CU25,""-"")))"),"")</f>
        <v/>
      </c>
      <c r="BK25" s="881" t="s">
        <v>123</v>
      </c>
      <c r="BL25" s="882" t="s">
        <v>123</v>
      </c>
      <c r="BM25" s="442"/>
      <c r="BN25" s="867" t="str">
        <f>IFERROR(__xludf.DUMMYFUNCTION("IF(CR25="""","""",IF(OR(C25=""AÇÃO"",C25=""BDR""),IFERROR(QUERY({fundamentus.!$A$3:$U308},$CX$67&amp;"" where Col1='""&amp;CR25&amp;""' limit 1"",0)),IF(C25=""FII"",IFERROR(QUERY({fundsexplorer.!$A$2:$Z308},$CY$67&amp;"" where Col1='""&amp;CR25&amp;""' limit 1"",0)),"""")))"),"")</f>
        <v/>
      </c>
      <c r="BO25" s="867"/>
      <c r="BP25" s="867"/>
      <c r="BQ25" s="867"/>
      <c r="BR25" s="867"/>
      <c r="BS25" s="867"/>
      <c r="BT25" s="867"/>
      <c r="BU25" s="442"/>
      <c r="BV25" s="868" t="str">
        <f>IFERROR(__xludf.DUMMYFUNCTION("IF(OR(C25=""AÇÃO"",C25=""BDR""),IFERROR(GOOGLEFINANCE(CONCAT(""BVMF:"",CR25), ""marketcap"")/1000000,""NC""),"""")"),"")</f>
        <v/>
      </c>
      <c r="BW25" s="869" t="s">
        <v>123</v>
      </c>
      <c r="BX25" s="870" t="s">
        <v>123</v>
      </c>
      <c r="BY25" s="868" t="s">
        <v>123</v>
      </c>
      <c r="BZ25" s="870" t="s">
        <v>123</v>
      </c>
      <c r="CA25" s="868" t="s">
        <v>123</v>
      </c>
      <c r="CB25" s="868" t="s">
        <v>123</v>
      </c>
      <c r="CC25" s="868" t="s">
        <v>123</v>
      </c>
      <c r="CD25" s="868" t="str">
        <f>IFERROR(__xludf.DUMMYFUNCTION("IF(OR(C25=""AÇÃO"",C25=""BDR""),IFERROR(GOOGLEFINANCE(CONCAT(""BVMF:"",CR25), ""volumeavg"")/1000000,""NC""),"""")"),"")</f>
        <v/>
      </c>
      <c r="CE25" s="870" t="s">
        <v>123</v>
      </c>
      <c r="CF25" s="870" t="s">
        <v>123</v>
      </c>
      <c r="CG25" s="870" t="str">
        <f>IFERROR(__xludf.DUMMYFUNCTION("IF(OR(C25=""AÇÃO"",C25=""BDR""),IF(CF25=0,""SEM DY"",IFERROR(ImportXML(CONCAT(""http://www.guiainvest.com.br/raiox/default.aspx?sigla="",$CR25),""//*[@id='lbPayoutAtual']""),""NC"")),"""")"),"")</f>
        <v/>
      </c>
      <c r="CH25" s="870" t="s">
        <v>123</v>
      </c>
      <c r="CI25" s="545"/>
      <c r="CJ25" s="871" t="str">
        <f>IFERROR(__xludf.DUMMYFUNCTION("IF(OR(C25=""AÇÃO"",C25=""BDR""),IFERROR(GOOGLEFINANCE(CONCAT(""BVMF:"",CR25), ""eps""),""NC""),"""")"),"")</f>
        <v/>
      </c>
      <c r="CK25" s="442"/>
      <c r="CL25" s="871" t="str">
        <f>IFERROR(__xludf.DUMMYFUNCTION("IF(NOT($BL$4),"""",IF($CR25="""","""",IF($BC25="""","""",IFERROR(query({op.normal!$B$5:$F308},""select Col5, toDate(Col2) where Col1 =  '""&amp;$CR25&amp;""' and Col4 &gt; 0 and ((Col3 is null) or (Col3 = 'C')) and Col2 &gt;= date '""&amp;TEXT(TODAY()-$AQ$5,""yyyy-mm-dd"")"&amp;"&amp;""' order by Col2 desc limit 1 label toDate(Col2) ''"")))))"),"")</f>
        <v/>
      </c>
      <c r="CM25" s="872"/>
      <c r="CN25" s="883" t="s">
        <v>123</v>
      </c>
      <c r="CO25" s="874" t="s">
        <v>123</v>
      </c>
      <c r="CP25" s="766"/>
      <c r="CQ25" s="791"/>
      <c r="CR25" s="791"/>
      <c r="CT25" s="791" t="s">
        <v>123</v>
      </c>
      <c r="CU25" s="791" t="str">
        <f>IFERROR(__xludf.DUMMYFUNCTION("IF(CR25="""","""",IF(CT25=$C$4,1,GOOGLEFINANCE(CT25&amp;$C$4)))"),"")</f>
        <v/>
      </c>
      <c r="CW25" s="791" t="s">
        <v>575</v>
      </c>
      <c r="CX25" s="836" t="s">
        <v>501</v>
      </c>
      <c r="CY25" s="791" t="str">
        <f>"Col"&amp;MATCH(CW25,fundamentus.!$A$2:$U$2,0)</f>
        <v>Col17</v>
      </c>
    </row>
    <row r="26" ht="22.5" customHeight="1">
      <c r="A26" s="837">
        <v>18.0</v>
      </c>
      <c r="B26" s="838" t="s">
        <v>123</v>
      </c>
      <c r="C26" s="838" t="s">
        <v>123</v>
      </c>
      <c r="D26" s="839" t="s">
        <v>123</v>
      </c>
      <c r="E26" s="839" t="s">
        <v>123</v>
      </c>
      <c r="F26" s="839" t="s">
        <v>123</v>
      </c>
      <c r="G26" s="56"/>
      <c r="H26" s="884"/>
      <c r="I26" s="838"/>
      <c r="J26" s="838"/>
      <c r="K26" s="838"/>
      <c r="L26" s="838"/>
      <c r="M26" s="838"/>
      <c r="N26" s="838"/>
      <c r="O26" s="838"/>
      <c r="P26" s="838"/>
      <c r="Q26" s="838"/>
      <c r="R26" s="838"/>
      <c r="S26" s="838"/>
      <c r="T26" s="838"/>
      <c r="U26" s="838"/>
      <c r="V26" s="838"/>
      <c r="W26" s="838"/>
      <c r="X26" s="838"/>
      <c r="Z26" s="875" t="str">
        <f>IFERROR(__xludf.DUMMYFUNCTION("IF($CR26="""","""",IFERROR(query({CarteirasAtivos},""select Col4 where Col4 is not null and Col1 = '""&amp;$CR26&amp;""' limit 1"")*CU26,""NC""))"),"")</f>
        <v/>
      </c>
      <c r="AA26" s="876" t="str">
        <f>IFERROR(__xludf.DUMMYFUNCTION("IF($CR26="""","""",IFERROR(query({CarteirasAtivos},""select Col6 where Col4 is not null and Col1 = '""&amp;$CR26&amp;""' limit 1""),""NC""))"),"")</f>
        <v/>
      </c>
      <c r="AB26" s="877"/>
      <c r="AC26" s="878" t="s">
        <v>123</v>
      </c>
      <c r="AD26" s="845" t="str">
        <f>IF($CR26="","",IFERROR(VLOOKUP($CR26,ativos.!$C$3:$R308,MATCH("cotacao",ativos.!$C$2:CY$2,0),FALSE)*$CU$5,"atualizar"))</f>
        <v/>
      </c>
      <c r="AE26" s="846" t="str">
        <f>IFERROR(__xludf.DUMMYFUNCTION("IF($CR26="""","""",IFERROR(AVERAGE(query({CarteirasAtivos;CarteirasAtivosEncerrados},""select Col5 where Col5 is not null and Col1 = '""&amp;$CR26&amp;""' and Col10='SIM'""))*CU26,""NC""))"),"")</f>
        <v/>
      </c>
      <c r="AF26" s="847" t="str">
        <f t="shared" si="1"/>
        <v/>
      </c>
      <c r="AG26" s="442"/>
      <c r="AH26" s="848" t="str">
        <f>IFERROR(__xludf.DUMMYFUNCTION("IF($CR26="""","""",IFERROR(GOOGLEFINANCE($CR26,""low52"")*CU26,""-""))"),"")</f>
        <v/>
      </c>
      <c r="AI26" s="848" t="str">
        <f>IFERROR(__xludf.DUMMYFUNCTION("IF($CR26="""","""",IFERROR(GOOGLEFINANCE($CR26,""high52"")*CU26,""-""))"),"")</f>
        <v/>
      </c>
      <c r="AJ26" s="849" t="s">
        <v>123</v>
      </c>
      <c r="AK26" s="850" t="str">
        <f>IFERROR(__xludf.DUMMYFUNCTION("IF($CR26="""","""",IFERROR(GOOGLEFINANCE($CR26,""changepct"")/100,""-""))"),"")</f>
        <v/>
      </c>
      <c r="AL26" s="851" t="str">
        <f>IFERROR(__xludf.DUMMYFUNCTION("IF($CR26="""","""",IFERROR(($AD26/(QUERY(GOOGLEFINANCE($CR26,""price"",TODAY()-7),""SELECT Col2 label Col2 ''"")*$CU26)-1),""-""))"),"")</f>
        <v/>
      </c>
      <c r="AM26" s="851" t="str">
        <f>IFERROR(__xludf.DUMMYFUNCTION("IF($CR26="""","""",IFERROR(($AD26/(QUERY(GOOGLEFINANCE($CR26,""price"",TODAY()-14),""SELECT Col2 label Col2 ''"")*$CU26)-1),""-""))"),"")</f>
        <v/>
      </c>
      <c r="AN26" s="851" t="str">
        <f>IFERROR(__xludf.DUMMYFUNCTION("IF($CR26="""","""",IFERROR(($AD26/(QUERY(GOOGLEFINANCE($CR26,""price"",TODAY()-28),""SELECT Col2 label Col2 ''"")*$CU26)-1),""-""))"),"")</f>
        <v/>
      </c>
      <c r="AO26" s="851" t="str">
        <f>IFERROR(__xludf.DUMMYFUNCTION("IF($CR26="""","""",IFERROR(($AD26/(QUERY(GOOGLEFINANCE($CR26,""price"",TODAY()-$AQ$5),""SELECT Col2 label Col2 ''"")*$CU26)-1),""-""))"),"")</f>
        <v/>
      </c>
      <c r="AP26" s="852" t="str">
        <f>IFERROR(__xludf.DUMMYFUNCTION("IF($CR26="""","""",IFERROR(SPARKLINE(query(GOOGLEFINANCE($CR26,""price"",TODAY()-$AQ$5,TODAY(),1),""select Col2 label Col2 ''""),IF($AP$7=""Gráfico de barras"",{""charttype"",""column"";""highcolor"",""red""},{""chartype"",""line""}))))"),"")</f>
        <v/>
      </c>
      <c r="AQ26" s="144"/>
      <c r="AR26" s="853"/>
      <c r="AS26" s="854" t="str">
        <f>IF($CR26="","",IF(NOT('alocação'!$D$1),"off",IFERROR(VLOOKUP(CR26,BalanceAtivos,3,0),"NC")))</f>
        <v/>
      </c>
      <c r="AT26" s="855" t="str">
        <f>IF($CR26="","",IF(NOT('alocação'!$D$1),"off",IFERROR(VLOOKUP($CR26,BalanceAtivos,4,0)*$CU$5,"NC")))</f>
        <v/>
      </c>
      <c r="AU26" s="856" t="str">
        <f>IF($CR26="","",IF(NOT('alocação'!$D$1),"off",IFERROR(VLOOKUP($CR26,BalanceAtivos,5,0),"-")))</f>
        <v/>
      </c>
      <c r="AV26" s="856" t="str">
        <f>IF($CR26="","",IF(NOT('alocação'!$D$1),"off",IFERROR(VLOOKUP($CR26,BalanceAtivos,6,0),"-")))</f>
        <v/>
      </c>
      <c r="AW26" s="857"/>
      <c r="AX26" s="858" t="str">
        <f>IF($CR26="","",IF($E26="","SP",IFERROR(VLOOKUP($CR26,AtivosDados,MATCH("pm_atual",portfolio.!$A$3:CY$3,0),0)*$CU$5,0)))</f>
        <v/>
      </c>
      <c r="AY26" s="859" t="str">
        <f t="shared" si="2"/>
        <v/>
      </c>
      <c r="AZ26" s="858" t="str">
        <f>IF($CR26="","",IF($E26="","SP",SUMIF(portfolio.!$A$4:$A308,$CR26,portfolio.!$O$4:$O308)*$CU$5))</f>
        <v/>
      </c>
      <c r="BA26" s="858" t="str">
        <f>IF($CR26="","",IF($E26="","SP",SUMIF(portfolio.!$A$4:$A308,$CR26,portfolio.!$AN$4:$AN308)*$CU$5))</f>
        <v/>
      </c>
      <c r="BB26" s="860" t="str">
        <f>IF($CR26="","",IF($E26="","-",IFERROR($BA26/'portfólio'!$DG$63,"")))</f>
        <v/>
      </c>
      <c r="BC26" s="861" t="str">
        <f>IF($CR26="","",IF($E26="","-",SUMIF(portfolio.!$A$4:$A308,$CR26,portfolio.!$J$4:$J308)))</f>
        <v/>
      </c>
      <c r="BD26" s="862" t="str">
        <f>IF($CR26="","",IF($E26="","SP",SUMIF(portfolio.!$A$4:$A308,$CR26,portfolio.!$AQ$4:$AQ308)*$CU$5))</f>
        <v/>
      </c>
      <c r="BE26" s="850" t="str">
        <f t="shared" si="3"/>
        <v/>
      </c>
      <c r="BF26" s="862" t="str">
        <f>IF($CR26="","",IF($E26="","-",SUMIF(portfolio.!$A$4:$A308,$CR26,portfolio.!$AX$4:$AX308)*$CU$5))</f>
        <v/>
      </c>
      <c r="BG26" s="545"/>
      <c r="BH26" s="879" t="s">
        <v>123</v>
      </c>
      <c r="BI26" s="880" t="s">
        <v>123</v>
      </c>
      <c r="BJ26" s="863" t="str">
        <f>IFERROR(__xludf.DUMMYFUNCTION("IF(NOT($BL$4),"""",IF($CR26="""","""",IFERROR(query({GOOGLEFINANCE($CR26,""price"",IF($BI26=""-"",TODAY()-($AQ$5+5),$BI26),TODAY()-1)},""Select max(Col2) where Col1 is not null label max(Col2) ''"")*CU26,""-"")))"),"")</f>
        <v/>
      </c>
      <c r="BK26" s="881" t="s">
        <v>123</v>
      </c>
      <c r="BL26" s="882" t="s">
        <v>123</v>
      </c>
      <c r="BM26" s="442"/>
      <c r="BN26" s="867" t="str">
        <f>IFERROR(__xludf.DUMMYFUNCTION("IF(CR26="""","""",IF(OR(C26=""AÇÃO"",C26=""BDR""),IFERROR(QUERY({fundamentus.!$A$3:$U308},$CX$67&amp;"" where Col1='""&amp;CR26&amp;""' limit 1"",0)),IF(C26=""FII"",IFERROR(QUERY({fundsexplorer.!$A$2:$Z308},$CY$67&amp;"" where Col1='""&amp;CR26&amp;""' limit 1"",0)),"""")))"),"")</f>
        <v/>
      </c>
      <c r="BO26" s="867"/>
      <c r="BP26" s="867"/>
      <c r="BQ26" s="867"/>
      <c r="BR26" s="867"/>
      <c r="BS26" s="867"/>
      <c r="BT26" s="867"/>
      <c r="BU26" s="442"/>
      <c r="BV26" s="868" t="str">
        <f>IFERROR(__xludf.DUMMYFUNCTION("IF(OR(C26=""AÇÃO"",C26=""BDR""),IFERROR(GOOGLEFINANCE(CONCAT(""BVMF:"",CR26), ""marketcap"")/1000000,""NC""),"""")"),"")</f>
        <v/>
      </c>
      <c r="BW26" s="869" t="s">
        <v>123</v>
      </c>
      <c r="BX26" s="870" t="s">
        <v>123</v>
      </c>
      <c r="BY26" s="868" t="s">
        <v>123</v>
      </c>
      <c r="BZ26" s="870" t="s">
        <v>123</v>
      </c>
      <c r="CA26" s="868" t="s">
        <v>123</v>
      </c>
      <c r="CB26" s="868" t="s">
        <v>123</v>
      </c>
      <c r="CC26" s="868" t="s">
        <v>123</v>
      </c>
      <c r="CD26" s="868" t="str">
        <f>IFERROR(__xludf.DUMMYFUNCTION("IF(OR(C26=""AÇÃO"",C26=""BDR""),IFERROR(GOOGLEFINANCE(CONCAT(""BVMF:"",CR26), ""volumeavg"")/1000000,""NC""),"""")"),"")</f>
        <v/>
      </c>
      <c r="CE26" s="870" t="s">
        <v>123</v>
      </c>
      <c r="CF26" s="870" t="s">
        <v>123</v>
      </c>
      <c r="CG26" s="870" t="str">
        <f>IFERROR(__xludf.DUMMYFUNCTION("IF(OR(C26=""AÇÃO"",C26=""BDR""),IF(CF26=0,""SEM DY"",IFERROR(ImportXML(CONCAT(""http://www.guiainvest.com.br/raiox/default.aspx?sigla="",$CR26),""//*[@id='lbPayoutAtual']""),""NC"")),"""")"),"")</f>
        <v/>
      </c>
      <c r="CH26" s="870" t="s">
        <v>123</v>
      </c>
      <c r="CI26" s="545"/>
      <c r="CJ26" s="871" t="str">
        <f>IFERROR(__xludf.DUMMYFUNCTION("IF(OR(C26=""AÇÃO"",C26=""BDR""),IFERROR(GOOGLEFINANCE(CONCAT(""BVMF:"",CR26), ""eps""),""NC""),"""")"),"")</f>
        <v/>
      </c>
      <c r="CK26" s="442"/>
      <c r="CL26" s="871" t="str">
        <f>IFERROR(__xludf.DUMMYFUNCTION("IF(NOT($BL$4),"""",IF($CR26="""","""",IF($BC26="""","""",IFERROR(query({op.normal!$B$5:$F308},""select Col5, toDate(Col2) where Col1 =  '""&amp;$CR26&amp;""' and Col4 &gt; 0 and ((Col3 is null) or (Col3 = 'C')) and Col2 &gt;= date '""&amp;TEXT(TODAY()-$AQ$5,""yyyy-mm-dd"")"&amp;"&amp;""' order by Col2 desc limit 1 label toDate(Col2) ''"")))))"),"")</f>
        <v/>
      </c>
      <c r="CM26" s="872"/>
      <c r="CN26" s="883" t="s">
        <v>123</v>
      </c>
      <c r="CO26" s="874" t="s">
        <v>123</v>
      </c>
      <c r="CP26" s="766"/>
      <c r="CQ26" s="791"/>
      <c r="CR26" s="791"/>
      <c r="CT26" s="791" t="s">
        <v>123</v>
      </c>
      <c r="CU26" s="791" t="str">
        <f>IFERROR(__xludf.DUMMYFUNCTION("IF(CR26="""","""",IF(CT26=$C$4,1,GOOGLEFINANCE(CT26&amp;$C$4)))"),"")</f>
        <v/>
      </c>
      <c r="CW26" s="791" t="s">
        <v>576</v>
      </c>
      <c r="CX26" s="836" t="s">
        <v>577</v>
      </c>
      <c r="CY26" s="791" t="str">
        <f>"Col"&amp;MATCH(CW26,fundamentus.!$A$2:$U$2,0)</f>
        <v>Col18</v>
      </c>
    </row>
    <row r="27" ht="22.5" customHeight="1">
      <c r="A27" s="837">
        <v>19.0</v>
      </c>
      <c r="B27" s="838" t="s">
        <v>123</v>
      </c>
      <c r="C27" s="838" t="s">
        <v>123</v>
      </c>
      <c r="D27" s="839" t="s">
        <v>123</v>
      </c>
      <c r="E27" s="839" t="s">
        <v>123</v>
      </c>
      <c r="F27" s="839" t="s">
        <v>123</v>
      </c>
      <c r="G27" s="56"/>
      <c r="H27" s="884"/>
      <c r="I27" s="838"/>
      <c r="J27" s="838"/>
      <c r="K27" s="838"/>
      <c r="L27" s="838"/>
      <c r="M27" s="838"/>
      <c r="N27" s="838"/>
      <c r="O27" s="838"/>
      <c r="P27" s="838"/>
      <c r="Q27" s="838"/>
      <c r="R27" s="838"/>
      <c r="S27" s="838"/>
      <c r="T27" s="838"/>
      <c r="U27" s="838"/>
      <c r="V27" s="838"/>
      <c r="W27" s="838"/>
      <c r="X27" s="838"/>
      <c r="Z27" s="875" t="str">
        <f>IFERROR(__xludf.DUMMYFUNCTION("IF($CR27="""","""",IFERROR(query({CarteirasAtivos},""select Col4 where Col4 is not null and Col1 = '""&amp;$CR27&amp;""' limit 1"")*CU27,""NC""))"),"")</f>
        <v/>
      </c>
      <c r="AA27" s="876" t="str">
        <f>IFERROR(__xludf.DUMMYFUNCTION("IF($CR27="""","""",IFERROR(query({CarteirasAtivos},""select Col6 where Col4 is not null and Col1 = '""&amp;$CR27&amp;""' limit 1""),""NC""))"),"")</f>
        <v/>
      </c>
      <c r="AB27" s="877"/>
      <c r="AC27" s="878" t="s">
        <v>123</v>
      </c>
      <c r="AD27" s="845" t="str">
        <f>IF($CR27="","",IFERROR(VLOOKUP($CR27,ativos.!$C$3:$R308,MATCH("cotacao",ativos.!$C$2:CY$2,0),FALSE)*$CU$5,"atualizar"))</f>
        <v/>
      </c>
      <c r="AE27" s="846" t="str">
        <f>IFERROR(__xludf.DUMMYFUNCTION("IF($CR27="""","""",IFERROR(AVERAGE(query({CarteirasAtivos;CarteirasAtivosEncerrados},""select Col5 where Col5 is not null and Col1 = '""&amp;$CR27&amp;""' and Col10='SIM'""))*CU27,""NC""))"),"")</f>
        <v/>
      </c>
      <c r="AF27" s="847" t="str">
        <f t="shared" si="1"/>
        <v/>
      </c>
      <c r="AG27" s="442"/>
      <c r="AH27" s="848" t="str">
        <f>IFERROR(__xludf.DUMMYFUNCTION("IF($CR27="""","""",IFERROR(GOOGLEFINANCE($CR27,""low52"")*CU27,""-""))"),"")</f>
        <v/>
      </c>
      <c r="AI27" s="848" t="str">
        <f>IFERROR(__xludf.DUMMYFUNCTION("IF($CR27="""","""",IFERROR(GOOGLEFINANCE($CR27,""high52"")*CU27,""-""))"),"")</f>
        <v/>
      </c>
      <c r="AJ27" s="849" t="s">
        <v>123</v>
      </c>
      <c r="AK27" s="850" t="str">
        <f>IFERROR(__xludf.DUMMYFUNCTION("IF($CR27="""","""",IFERROR(GOOGLEFINANCE($CR27,""changepct"")/100,""-""))"),"")</f>
        <v/>
      </c>
      <c r="AL27" s="851" t="str">
        <f>IFERROR(__xludf.DUMMYFUNCTION("IF($CR27="""","""",IFERROR(($AD27/(QUERY(GOOGLEFINANCE($CR27,""price"",TODAY()-7),""SELECT Col2 label Col2 ''"")*$CU27)-1),""-""))"),"")</f>
        <v/>
      </c>
      <c r="AM27" s="851" t="str">
        <f>IFERROR(__xludf.DUMMYFUNCTION("IF($CR27="""","""",IFERROR(($AD27/(QUERY(GOOGLEFINANCE($CR27,""price"",TODAY()-14),""SELECT Col2 label Col2 ''"")*$CU27)-1),""-""))"),"")</f>
        <v/>
      </c>
      <c r="AN27" s="851" t="str">
        <f>IFERROR(__xludf.DUMMYFUNCTION("IF($CR27="""","""",IFERROR(($AD27/(QUERY(GOOGLEFINANCE($CR27,""price"",TODAY()-28),""SELECT Col2 label Col2 ''"")*$CU27)-1),""-""))"),"")</f>
        <v/>
      </c>
      <c r="AO27" s="851" t="str">
        <f>IFERROR(__xludf.DUMMYFUNCTION("IF($CR27="""","""",IFERROR(($AD27/(QUERY(GOOGLEFINANCE($CR27,""price"",TODAY()-$AQ$5),""SELECT Col2 label Col2 ''"")*$CU27)-1),""-""))"),"")</f>
        <v/>
      </c>
      <c r="AP27" s="852" t="str">
        <f>IFERROR(__xludf.DUMMYFUNCTION("IF($CR27="""","""",IFERROR(SPARKLINE(query(GOOGLEFINANCE($CR27,""price"",TODAY()-$AQ$5,TODAY(),1),""select Col2 label Col2 ''""),IF($AP$7=""Gráfico de barras"",{""charttype"",""column"";""highcolor"",""red""},{""chartype"",""line""}))))"),"")</f>
        <v/>
      </c>
      <c r="AQ27" s="144"/>
      <c r="AR27" s="853"/>
      <c r="AS27" s="854" t="str">
        <f>IF($CR27="","",IF(NOT('alocação'!$D$1),"off",IFERROR(VLOOKUP(CR27,BalanceAtivos,3,0),"NC")))</f>
        <v/>
      </c>
      <c r="AT27" s="855" t="str">
        <f>IF($CR27="","",IF(NOT('alocação'!$D$1),"off",IFERROR(VLOOKUP($CR27,BalanceAtivos,4,0)*$CU$5,"NC")))</f>
        <v/>
      </c>
      <c r="AU27" s="856" t="str">
        <f>IF($CR27="","",IF(NOT('alocação'!$D$1),"off",IFERROR(VLOOKUP($CR27,BalanceAtivos,5,0),"-")))</f>
        <v/>
      </c>
      <c r="AV27" s="856" t="str">
        <f>IF($CR27="","",IF(NOT('alocação'!$D$1),"off",IFERROR(VLOOKUP($CR27,BalanceAtivos,6,0),"-")))</f>
        <v/>
      </c>
      <c r="AW27" s="857"/>
      <c r="AX27" s="858" t="str">
        <f>IF($CR27="","",IF($E27="","SP",IFERROR(VLOOKUP($CR27,AtivosDados,MATCH("pm_atual",portfolio.!$A$3:CY$3,0),0)*$CU$5,0)))</f>
        <v/>
      </c>
      <c r="AY27" s="859" t="str">
        <f t="shared" si="2"/>
        <v/>
      </c>
      <c r="AZ27" s="858" t="str">
        <f>IF($CR27="","",IF($E27="","SP",SUMIF(portfolio.!$A$4:$A308,$CR27,portfolio.!$O$4:$O308)*$CU$5))</f>
        <v/>
      </c>
      <c r="BA27" s="858" t="str">
        <f>IF($CR27="","",IF($E27="","SP",SUMIF(portfolio.!$A$4:$A308,$CR27,portfolio.!$AN$4:$AN308)*$CU$5))</f>
        <v/>
      </c>
      <c r="BB27" s="860" t="str">
        <f>IF($CR27="","",IF($E27="","-",IFERROR($BA27/'portfólio'!$DG$63,"")))</f>
        <v/>
      </c>
      <c r="BC27" s="861" t="str">
        <f>IF($CR27="","",IF($E27="","-",SUMIF(portfolio.!$A$4:$A308,$CR27,portfolio.!$J$4:$J308)))</f>
        <v/>
      </c>
      <c r="BD27" s="862" t="str">
        <f>IF($CR27="","",IF($E27="","SP",SUMIF(portfolio.!$A$4:$A308,$CR27,portfolio.!$AQ$4:$AQ308)*$CU$5))</f>
        <v/>
      </c>
      <c r="BE27" s="850" t="str">
        <f t="shared" si="3"/>
        <v/>
      </c>
      <c r="BF27" s="862" t="str">
        <f>IF($CR27="","",IF($E27="","-",SUMIF(portfolio.!$A$4:$A308,$CR27,portfolio.!$AX$4:$AX308)*$CU$5))</f>
        <v/>
      </c>
      <c r="BG27" s="545"/>
      <c r="BH27" s="879" t="s">
        <v>123</v>
      </c>
      <c r="BI27" s="880" t="s">
        <v>123</v>
      </c>
      <c r="BJ27" s="863" t="str">
        <f>IFERROR(__xludf.DUMMYFUNCTION("IF(NOT($BL$4),"""",IF($CR27="""","""",IFERROR(query({GOOGLEFINANCE($CR27,""price"",IF($BI27=""-"",TODAY()-($AQ$5+5),$BI27),TODAY()-1)},""Select max(Col2) where Col1 is not null label max(Col2) ''"")*CU27,""-"")))"),"")</f>
        <v/>
      </c>
      <c r="BK27" s="881" t="s">
        <v>123</v>
      </c>
      <c r="BL27" s="882" t="s">
        <v>123</v>
      </c>
      <c r="BM27" s="442"/>
      <c r="BN27" s="867" t="str">
        <f>IFERROR(__xludf.DUMMYFUNCTION("IF(CR27="""","""",IF(OR(C27=""AÇÃO"",C27=""BDR""),IFERROR(QUERY({fundamentus.!$A$3:$U308},$CX$67&amp;"" where Col1='""&amp;CR27&amp;""' limit 1"",0)),IF(C27=""FII"",IFERROR(QUERY({fundsexplorer.!$A$2:$Z308},$CY$67&amp;"" where Col1='""&amp;CR27&amp;""' limit 1"",0)),"""")))"),"")</f>
        <v/>
      </c>
      <c r="BO27" s="867"/>
      <c r="BP27" s="867"/>
      <c r="BQ27" s="867"/>
      <c r="BR27" s="867"/>
      <c r="BS27" s="867"/>
      <c r="BT27" s="867"/>
      <c r="BU27" s="442"/>
      <c r="BV27" s="868" t="str">
        <f>IFERROR(__xludf.DUMMYFUNCTION("IF(OR(C27=""AÇÃO"",C27=""BDR""),IFERROR(GOOGLEFINANCE(CONCAT(""BVMF:"",CR27), ""marketcap"")/1000000,""NC""),"""")"),"")</f>
        <v/>
      </c>
      <c r="BW27" s="869" t="s">
        <v>123</v>
      </c>
      <c r="BX27" s="870" t="s">
        <v>123</v>
      </c>
      <c r="BY27" s="868" t="s">
        <v>123</v>
      </c>
      <c r="BZ27" s="870" t="s">
        <v>123</v>
      </c>
      <c r="CA27" s="868" t="s">
        <v>123</v>
      </c>
      <c r="CB27" s="868" t="s">
        <v>123</v>
      </c>
      <c r="CC27" s="868" t="s">
        <v>123</v>
      </c>
      <c r="CD27" s="868" t="str">
        <f>IFERROR(__xludf.DUMMYFUNCTION("IF(OR(C27=""AÇÃO"",C27=""BDR""),IFERROR(GOOGLEFINANCE(CONCAT(""BVMF:"",CR27), ""volumeavg"")/1000000,""NC""),"""")"),"")</f>
        <v/>
      </c>
      <c r="CE27" s="870" t="s">
        <v>123</v>
      </c>
      <c r="CF27" s="870" t="s">
        <v>123</v>
      </c>
      <c r="CG27" s="870" t="str">
        <f>IFERROR(__xludf.DUMMYFUNCTION("IF(OR(C27=""AÇÃO"",C27=""BDR""),IF(CF27=0,""SEM DY"",IFERROR(ImportXML(CONCAT(""http://www.guiainvest.com.br/raiox/default.aspx?sigla="",$CR27),""//*[@id='lbPayoutAtual']""),""NC"")),"""")"),"")</f>
        <v/>
      </c>
      <c r="CH27" s="870" t="s">
        <v>123</v>
      </c>
      <c r="CI27" s="545"/>
      <c r="CJ27" s="871" t="str">
        <f>IFERROR(__xludf.DUMMYFUNCTION("IF(OR(C27=""AÇÃO"",C27=""BDR""),IFERROR(GOOGLEFINANCE(CONCAT(""BVMF:"",CR27), ""eps""),""NC""),"""")"),"")</f>
        <v/>
      </c>
      <c r="CK27" s="442"/>
      <c r="CL27" s="871" t="str">
        <f>IFERROR(__xludf.DUMMYFUNCTION("IF(NOT($BL$4),"""",IF($CR27="""","""",IF($BC27="""","""",IFERROR(query({op.normal!$B$5:$F308},""select Col5, toDate(Col2) where Col1 =  '""&amp;$CR27&amp;""' and Col4 &gt; 0 and ((Col3 is null) or (Col3 = 'C')) and Col2 &gt;= date '""&amp;TEXT(TODAY()-$AQ$5,""yyyy-mm-dd"")"&amp;"&amp;""' order by Col2 desc limit 1 label toDate(Col2) ''"")))))"),"")</f>
        <v/>
      </c>
      <c r="CM27" s="872"/>
      <c r="CN27" s="883" t="s">
        <v>123</v>
      </c>
      <c r="CO27" s="874" t="s">
        <v>123</v>
      </c>
      <c r="CP27" s="766"/>
      <c r="CQ27" s="791"/>
      <c r="CR27" s="791"/>
      <c r="CT27" s="791" t="s">
        <v>123</v>
      </c>
      <c r="CU27" s="791" t="str">
        <f>IFERROR(__xludf.DUMMYFUNCTION("IF(CR27="""","""",IF(CT27=$C$4,1,GOOGLEFINANCE(CT27&amp;$C$4)))"),"")</f>
        <v/>
      </c>
      <c r="CW27" s="791" t="s">
        <v>578</v>
      </c>
      <c r="CX27" s="791" t="s">
        <v>578</v>
      </c>
      <c r="CY27" s="791" t="str">
        <f>"Col"&amp;MATCH(CW27,fundamentus.!$A$2:$U$2,0)</f>
        <v>Col19</v>
      </c>
    </row>
    <row r="28" ht="22.5" customHeight="1">
      <c r="A28" s="837">
        <v>20.0</v>
      </c>
      <c r="B28" s="838" t="s">
        <v>123</v>
      </c>
      <c r="C28" s="838" t="s">
        <v>123</v>
      </c>
      <c r="D28" s="839" t="s">
        <v>123</v>
      </c>
      <c r="E28" s="839" t="s">
        <v>123</v>
      </c>
      <c r="F28" s="839" t="s">
        <v>123</v>
      </c>
      <c r="G28" s="56"/>
      <c r="H28" s="884"/>
      <c r="I28" s="838"/>
      <c r="J28" s="838"/>
      <c r="K28" s="838"/>
      <c r="L28" s="838"/>
      <c r="M28" s="838"/>
      <c r="N28" s="838"/>
      <c r="O28" s="838"/>
      <c r="P28" s="838"/>
      <c r="Q28" s="838"/>
      <c r="R28" s="838"/>
      <c r="S28" s="838"/>
      <c r="T28" s="838"/>
      <c r="U28" s="838"/>
      <c r="V28" s="838"/>
      <c r="W28" s="838"/>
      <c r="X28" s="838"/>
      <c r="Z28" s="875" t="str">
        <f>IFERROR(__xludf.DUMMYFUNCTION("IF($CR28="""","""",IFERROR(query({CarteirasAtivos},""select Col4 where Col4 is not null and Col1 = '""&amp;$CR28&amp;""' limit 1"")*CU28,""NC""))"),"")</f>
        <v/>
      </c>
      <c r="AA28" s="876" t="str">
        <f>IFERROR(__xludf.DUMMYFUNCTION("IF($CR28="""","""",IFERROR(query({CarteirasAtivos},""select Col6 where Col4 is not null and Col1 = '""&amp;$CR28&amp;""' limit 1""),""NC""))"),"")</f>
        <v/>
      </c>
      <c r="AB28" s="877"/>
      <c r="AC28" s="878" t="s">
        <v>123</v>
      </c>
      <c r="AD28" s="845" t="str">
        <f>IF($CR28="","",IFERROR(VLOOKUP($CR28,ativos.!$C$3:$R308,MATCH("cotacao",ativos.!$C$2:CY$2,0),FALSE)*$CU$5,"atualizar"))</f>
        <v/>
      </c>
      <c r="AE28" s="846" t="str">
        <f>IFERROR(__xludf.DUMMYFUNCTION("IF($CR28="""","""",IFERROR(AVERAGE(query({CarteirasAtivos;CarteirasAtivosEncerrados},""select Col5 where Col5 is not null and Col1 = '""&amp;$CR28&amp;""' and Col10='SIM'""))*CU28,""NC""))"),"")</f>
        <v/>
      </c>
      <c r="AF28" s="847" t="str">
        <f t="shared" si="1"/>
        <v/>
      </c>
      <c r="AG28" s="442"/>
      <c r="AH28" s="848" t="str">
        <f>IFERROR(__xludf.DUMMYFUNCTION("IF($CR28="""","""",IFERROR(GOOGLEFINANCE($CR28,""low52"")*CU28,""-""))"),"")</f>
        <v/>
      </c>
      <c r="AI28" s="848" t="str">
        <f>IFERROR(__xludf.DUMMYFUNCTION("IF($CR28="""","""",IFERROR(GOOGLEFINANCE($CR28,""high52"")*CU28,""-""))"),"")</f>
        <v/>
      </c>
      <c r="AJ28" s="849" t="s">
        <v>123</v>
      </c>
      <c r="AK28" s="850" t="str">
        <f>IFERROR(__xludf.DUMMYFUNCTION("IF($CR28="""","""",IFERROR(GOOGLEFINANCE($CR28,""changepct"")/100,""-""))"),"")</f>
        <v/>
      </c>
      <c r="AL28" s="851" t="str">
        <f>IFERROR(__xludf.DUMMYFUNCTION("IF($CR28="""","""",IFERROR(($AD28/(QUERY(GOOGLEFINANCE($CR28,""price"",TODAY()-7),""SELECT Col2 label Col2 ''"")*$CU28)-1),""-""))"),"")</f>
        <v/>
      </c>
      <c r="AM28" s="851" t="str">
        <f>IFERROR(__xludf.DUMMYFUNCTION("IF($CR28="""","""",IFERROR(($AD28/(QUERY(GOOGLEFINANCE($CR28,""price"",TODAY()-14),""SELECT Col2 label Col2 ''"")*$CU28)-1),""-""))"),"")</f>
        <v/>
      </c>
      <c r="AN28" s="851" t="str">
        <f>IFERROR(__xludf.DUMMYFUNCTION("IF($CR28="""","""",IFERROR(($AD28/(QUERY(GOOGLEFINANCE($CR28,""price"",TODAY()-28),""SELECT Col2 label Col2 ''"")*$CU28)-1),""-""))"),"")</f>
        <v/>
      </c>
      <c r="AO28" s="851" t="str">
        <f>IFERROR(__xludf.DUMMYFUNCTION("IF($CR28="""","""",IFERROR(($AD28/(QUERY(GOOGLEFINANCE($CR28,""price"",TODAY()-$AQ$5),""SELECT Col2 label Col2 ''"")*$CU28)-1),""-""))"),"")</f>
        <v/>
      </c>
      <c r="AP28" s="852" t="str">
        <f>IFERROR(__xludf.DUMMYFUNCTION("IF($CR28="""","""",IFERROR(SPARKLINE(query(GOOGLEFINANCE($CR28,""price"",TODAY()-$AQ$5,TODAY(),1),""select Col2 label Col2 ''""),IF($AP$7=""Gráfico de barras"",{""charttype"",""column"";""highcolor"",""red""},{""chartype"",""line""}))))"),"")</f>
        <v/>
      </c>
      <c r="AQ28" s="144"/>
      <c r="AR28" s="853"/>
      <c r="AS28" s="854" t="str">
        <f>IF($CR28="","",IF(NOT('alocação'!$D$1),"off",IFERROR(VLOOKUP(CR28,BalanceAtivos,3,0),"NC")))</f>
        <v/>
      </c>
      <c r="AT28" s="855" t="str">
        <f>IF($CR28="","",IF(NOT('alocação'!$D$1),"off",IFERROR(VLOOKUP($CR28,BalanceAtivos,4,0)*$CU$5,"NC")))</f>
        <v/>
      </c>
      <c r="AU28" s="856" t="str">
        <f>IF($CR28="","",IF(NOT('alocação'!$D$1),"off",IFERROR(VLOOKUP($CR28,BalanceAtivos,5,0),"-")))</f>
        <v/>
      </c>
      <c r="AV28" s="856" t="str">
        <f>IF($CR28="","",IF(NOT('alocação'!$D$1),"off",IFERROR(VLOOKUP($CR28,BalanceAtivos,6,0),"-")))</f>
        <v/>
      </c>
      <c r="AW28" s="857"/>
      <c r="AX28" s="858" t="str">
        <f>IF($CR28="","",IF($E28="","SP",IFERROR(VLOOKUP($CR28,AtivosDados,MATCH("pm_atual",portfolio.!$A$3:CY$3,0),0)*$CU$5,0)))</f>
        <v/>
      </c>
      <c r="AY28" s="859" t="str">
        <f t="shared" si="2"/>
        <v/>
      </c>
      <c r="AZ28" s="858" t="str">
        <f>IF($CR28="","",IF($E28="","SP",SUMIF(portfolio.!$A$4:$A308,$CR28,portfolio.!$O$4:$O308)*$CU$5))</f>
        <v/>
      </c>
      <c r="BA28" s="858" t="str">
        <f>IF($CR28="","",IF($E28="","SP",SUMIF(portfolio.!$A$4:$A308,$CR28,portfolio.!$AN$4:$AN308)*$CU$5))</f>
        <v/>
      </c>
      <c r="BB28" s="860" t="str">
        <f>IF($CR28="","",IF($E28="","-",IFERROR($BA28/'portfólio'!$DG$63,"")))</f>
        <v/>
      </c>
      <c r="BC28" s="861" t="str">
        <f>IF($CR28="","",IF($E28="","-",SUMIF(portfolio.!$A$4:$A308,$CR28,portfolio.!$J$4:$J308)))</f>
        <v/>
      </c>
      <c r="BD28" s="862" t="str">
        <f>IF($CR28="","",IF($E28="","SP",SUMIF(portfolio.!$A$4:$A308,$CR28,portfolio.!$AQ$4:$AQ308)*$CU$5))</f>
        <v/>
      </c>
      <c r="BE28" s="850" t="str">
        <f t="shared" si="3"/>
        <v/>
      </c>
      <c r="BF28" s="862" t="str">
        <f>IF($CR28="","",IF($E28="","-",SUMIF(portfolio.!$A$4:$A308,$CR28,portfolio.!$AX$4:$AX308)*$CU$5))</f>
        <v/>
      </c>
      <c r="BG28" s="545"/>
      <c r="BH28" s="879" t="s">
        <v>123</v>
      </c>
      <c r="BI28" s="880" t="s">
        <v>123</v>
      </c>
      <c r="BJ28" s="863" t="str">
        <f>IFERROR(__xludf.DUMMYFUNCTION("IF(NOT($BL$4),"""",IF($CR28="""","""",IFERROR(query({GOOGLEFINANCE($CR28,""price"",IF($BI28=""-"",TODAY()-($AQ$5+5),$BI28),TODAY()-1)},""Select max(Col2) where Col1 is not null label max(Col2) ''"")*CU28,""-"")))"),"")</f>
        <v/>
      </c>
      <c r="BK28" s="881" t="s">
        <v>123</v>
      </c>
      <c r="BL28" s="882" t="s">
        <v>123</v>
      </c>
      <c r="BM28" s="442"/>
      <c r="BN28" s="867" t="str">
        <f>IFERROR(__xludf.DUMMYFUNCTION("IF(CR28="""","""",IF(OR(C28=""AÇÃO"",C28=""BDR""),IFERROR(QUERY({fundamentus.!$A$3:$U308},$CX$67&amp;"" where Col1='""&amp;CR28&amp;""' limit 1"",0)),IF(C28=""FII"",IFERROR(QUERY({fundsexplorer.!$A$2:$Z308},$CY$67&amp;"" where Col1='""&amp;CR28&amp;""' limit 1"",0)),"""")))"),"")</f>
        <v/>
      </c>
      <c r="BO28" s="867"/>
      <c r="BP28" s="867"/>
      <c r="BQ28" s="867"/>
      <c r="BR28" s="867"/>
      <c r="BS28" s="867"/>
      <c r="BT28" s="867"/>
      <c r="BU28" s="442"/>
      <c r="BV28" s="868" t="str">
        <f>IFERROR(__xludf.DUMMYFUNCTION("IF(OR(C28=""AÇÃO"",C28=""BDR""),IFERROR(GOOGLEFINANCE(CONCAT(""BVMF:"",CR28), ""marketcap"")/1000000,""NC""),"""")"),"")</f>
        <v/>
      </c>
      <c r="BW28" s="869" t="s">
        <v>123</v>
      </c>
      <c r="BX28" s="870" t="s">
        <v>123</v>
      </c>
      <c r="BY28" s="868" t="s">
        <v>123</v>
      </c>
      <c r="BZ28" s="870" t="s">
        <v>123</v>
      </c>
      <c r="CA28" s="868" t="s">
        <v>123</v>
      </c>
      <c r="CB28" s="868" t="s">
        <v>123</v>
      </c>
      <c r="CC28" s="868" t="s">
        <v>123</v>
      </c>
      <c r="CD28" s="868" t="str">
        <f>IFERROR(__xludf.DUMMYFUNCTION("IF(OR(C28=""AÇÃO"",C28=""BDR""),IFERROR(GOOGLEFINANCE(CONCAT(""BVMF:"",CR28), ""volumeavg"")/1000000,""NC""),"""")"),"")</f>
        <v/>
      </c>
      <c r="CE28" s="870" t="s">
        <v>123</v>
      </c>
      <c r="CF28" s="870" t="s">
        <v>123</v>
      </c>
      <c r="CG28" s="870" t="str">
        <f>IFERROR(__xludf.DUMMYFUNCTION("IF(OR(C28=""AÇÃO"",C28=""BDR""),IF(CF28=0,""SEM DY"",IFERROR(ImportXML(CONCAT(""http://www.guiainvest.com.br/raiox/default.aspx?sigla="",$CR28),""//*[@id='lbPayoutAtual']""),""NC"")),"""")"),"")</f>
        <v/>
      </c>
      <c r="CH28" s="870" t="s">
        <v>123</v>
      </c>
      <c r="CI28" s="545"/>
      <c r="CJ28" s="871" t="str">
        <f>IFERROR(__xludf.DUMMYFUNCTION("IF(OR(C28=""AÇÃO"",C28=""BDR""),IFERROR(GOOGLEFINANCE(CONCAT(""BVMF:"",CR28), ""eps""),""NC""),"""")"),"")</f>
        <v/>
      </c>
      <c r="CK28" s="442"/>
      <c r="CL28" s="871" t="str">
        <f>IFERROR(__xludf.DUMMYFUNCTION("IF(NOT($BL$4),"""",IF($CR28="""","""",IF($BC28="""","""",IFERROR(query({op.normal!$B$5:$F308},""select Col5, toDate(Col2) where Col1 =  '""&amp;$CR28&amp;""' and Col4 &gt; 0 and ((Col3 is null) or (Col3 = 'C')) and Col2 &gt;= date '""&amp;TEXT(TODAY()-$AQ$5,""yyyy-mm-dd"")"&amp;"&amp;""' order by Col2 desc limit 1 label toDate(Col2) ''"")))))"),"")</f>
        <v/>
      </c>
      <c r="CM28" s="872"/>
      <c r="CN28" s="883" t="s">
        <v>123</v>
      </c>
      <c r="CO28" s="874" t="s">
        <v>123</v>
      </c>
      <c r="CP28" s="766"/>
      <c r="CQ28" s="791"/>
      <c r="CR28" s="791"/>
      <c r="CT28" s="791" t="s">
        <v>123</v>
      </c>
      <c r="CU28" s="791" t="str">
        <f>IFERROR(__xludf.DUMMYFUNCTION("IF(CR28="""","""",IF(CT28=$C$4,1,GOOGLEFINANCE(CT28&amp;$C$4)))"),"")</f>
        <v/>
      </c>
      <c r="CW28" s="791" t="s">
        <v>505</v>
      </c>
      <c r="CX28" s="836" t="s">
        <v>505</v>
      </c>
      <c r="CY28" s="791" t="str">
        <f>"Col"&amp;MATCH(CW28,fundamentus.!$A$2:$U$2,0)</f>
        <v>Col20</v>
      </c>
    </row>
    <row r="29" ht="22.5" customHeight="1">
      <c r="A29" s="837">
        <v>21.0</v>
      </c>
      <c r="B29" s="838" t="s">
        <v>123</v>
      </c>
      <c r="C29" s="838" t="s">
        <v>123</v>
      </c>
      <c r="D29" s="839" t="s">
        <v>123</v>
      </c>
      <c r="E29" s="839" t="s">
        <v>123</v>
      </c>
      <c r="F29" s="839" t="s">
        <v>123</v>
      </c>
      <c r="G29" s="56"/>
      <c r="H29" s="884"/>
      <c r="I29" s="838"/>
      <c r="J29" s="838"/>
      <c r="K29" s="838"/>
      <c r="L29" s="838"/>
      <c r="M29" s="838"/>
      <c r="N29" s="838"/>
      <c r="O29" s="838"/>
      <c r="P29" s="838"/>
      <c r="Q29" s="838"/>
      <c r="R29" s="838"/>
      <c r="S29" s="838"/>
      <c r="T29" s="838"/>
      <c r="U29" s="838"/>
      <c r="V29" s="838"/>
      <c r="W29" s="838"/>
      <c r="X29" s="838"/>
      <c r="Z29" s="875" t="str">
        <f>IFERROR(__xludf.DUMMYFUNCTION("IF($CR29="""","""",IFERROR(query({CarteirasAtivos},""select Col4 where Col4 is not null and Col1 = '""&amp;$CR29&amp;""' limit 1"")*CU29,""NC""))"),"")</f>
        <v/>
      </c>
      <c r="AA29" s="876" t="str">
        <f>IFERROR(__xludf.DUMMYFUNCTION("IF($CR29="""","""",IFERROR(query({CarteirasAtivos},""select Col6 where Col4 is not null and Col1 = '""&amp;$CR29&amp;""' limit 1""),""NC""))"),"")</f>
        <v/>
      </c>
      <c r="AB29" s="877"/>
      <c r="AC29" s="878" t="s">
        <v>123</v>
      </c>
      <c r="AD29" s="845" t="str">
        <f>IF($CR29="","",IFERROR(VLOOKUP($CR29,ativos.!$C$3:$R308,MATCH("cotacao",ativos.!$C$2:CY$2,0),FALSE)*$CU$5,"atualizar"))</f>
        <v/>
      </c>
      <c r="AE29" s="846" t="str">
        <f>IFERROR(__xludf.DUMMYFUNCTION("IF($CR29="""","""",IFERROR(AVERAGE(query({CarteirasAtivos;CarteirasAtivosEncerrados},""select Col5 where Col5 is not null and Col1 = '""&amp;$CR29&amp;""' and Col10='SIM'""))*CU29,""NC""))"),"")</f>
        <v/>
      </c>
      <c r="AF29" s="847" t="str">
        <f t="shared" si="1"/>
        <v/>
      </c>
      <c r="AG29" s="442"/>
      <c r="AH29" s="848" t="str">
        <f>IFERROR(__xludf.DUMMYFUNCTION("IF($CR29="""","""",IFERROR(GOOGLEFINANCE($CR29,""low52"")*CU29,""-""))"),"")</f>
        <v/>
      </c>
      <c r="AI29" s="848" t="str">
        <f>IFERROR(__xludf.DUMMYFUNCTION("IF($CR29="""","""",IFERROR(GOOGLEFINANCE($CR29,""high52"")*CU29,""-""))"),"")</f>
        <v/>
      </c>
      <c r="AJ29" s="849" t="s">
        <v>123</v>
      </c>
      <c r="AK29" s="850" t="str">
        <f>IFERROR(__xludf.DUMMYFUNCTION("IF($CR29="""","""",IFERROR(GOOGLEFINANCE($CR29,""changepct"")/100,""-""))"),"")</f>
        <v/>
      </c>
      <c r="AL29" s="851" t="str">
        <f>IFERROR(__xludf.DUMMYFUNCTION("IF($CR29="""","""",IFERROR(($AD29/(QUERY(GOOGLEFINANCE($CR29,""price"",TODAY()-7),""SELECT Col2 label Col2 ''"")*$CU29)-1),""-""))"),"")</f>
        <v/>
      </c>
      <c r="AM29" s="851" t="str">
        <f>IFERROR(__xludf.DUMMYFUNCTION("IF($CR29="""","""",IFERROR(($AD29/(QUERY(GOOGLEFINANCE($CR29,""price"",TODAY()-14),""SELECT Col2 label Col2 ''"")*$CU29)-1),""-""))"),"")</f>
        <v/>
      </c>
      <c r="AN29" s="851" t="str">
        <f>IFERROR(__xludf.DUMMYFUNCTION("IF($CR29="""","""",IFERROR(($AD29/(QUERY(GOOGLEFINANCE($CR29,""price"",TODAY()-28),""SELECT Col2 label Col2 ''"")*$CU29)-1),""-""))"),"")</f>
        <v/>
      </c>
      <c r="AO29" s="851" t="str">
        <f>IFERROR(__xludf.DUMMYFUNCTION("IF($CR29="""","""",IFERROR(($AD29/(QUERY(GOOGLEFINANCE($CR29,""price"",TODAY()-$AQ$5),""SELECT Col2 label Col2 ''"")*$CU29)-1),""-""))"),"")</f>
        <v/>
      </c>
      <c r="AP29" s="852" t="str">
        <f>IFERROR(__xludf.DUMMYFUNCTION("IF($CR29="""","""",IFERROR(SPARKLINE(query(GOOGLEFINANCE($CR29,""price"",TODAY()-$AQ$5,TODAY(),1),""select Col2 label Col2 ''""),IF($AP$7=""Gráfico de barras"",{""charttype"",""column"";""highcolor"",""red""},{""chartype"",""line""}))))"),"")</f>
        <v/>
      </c>
      <c r="AQ29" s="144"/>
      <c r="AR29" s="853"/>
      <c r="AS29" s="854" t="str">
        <f>IF($CR29="","",IF(NOT('alocação'!$D$1),"off",IFERROR(VLOOKUP(CR29,BalanceAtivos,3,0),"NC")))</f>
        <v/>
      </c>
      <c r="AT29" s="855" t="str">
        <f>IF($CR29="","",IF(NOT('alocação'!$D$1),"off",IFERROR(VLOOKUP($CR29,BalanceAtivos,4,0)*$CU$5,"NC")))</f>
        <v/>
      </c>
      <c r="AU29" s="856" t="str">
        <f>IF($CR29="","",IF(NOT('alocação'!$D$1),"off",IFERROR(VLOOKUP($CR29,BalanceAtivos,5,0),"-")))</f>
        <v/>
      </c>
      <c r="AV29" s="856" t="str">
        <f>IF($CR29="","",IF(NOT('alocação'!$D$1),"off",IFERROR(VLOOKUP($CR29,BalanceAtivos,6,0),"-")))</f>
        <v/>
      </c>
      <c r="AW29" s="857"/>
      <c r="AX29" s="858" t="str">
        <f>IF($CR29="","",IF($E29="","SP",IFERROR(VLOOKUP($CR29,AtivosDados,MATCH("pm_atual",portfolio.!$A$3:CY$3,0),0)*$CU$5,0)))</f>
        <v/>
      </c>
      <c r="AY29" s="859" t="str">
        <f t="shared" si="2"/>
        <v/>
      </c>
      <c r="AZ29" s="858" t="str">
        <f>IF($CR29="","",IF($E29="","SP",SUMIF(portfolio.!$A$4:$A308,$CR29,portfolio.!$O$4:$O308)*$CU$5))</f>
        <v/>
      </c>
      <c r="BA29" s="858" t="str">
        <f>IF($CR29="","",IF($E29="","SP",SUMIF(portfolio.!$A$4:$A308,$CR29,portfolio.!$AN$4:$AN308)*$CU$5))</f>
        <v/>
      </c>
      <c r="BB29" s="860" t="str">
        <f>IF($CR29="","",IF($E29="","-",IFERROR($BA29/'portfólio'!$DG$63,"")))</f>
        <v/>
      </c>
      <c r="BC29" s="861" t="str">
        <f>IF($CR29="","",IF($E29="","-",SUMIF(portfolio.!$A$4:$A308,$CR29,portfolio.!$J$4:$J308)))</f>
        <v/>
      </c>
      <c r="BD29" s="862" t="str">
        <f>IF($CR29="","",IF($E29="","SP",SUMIF(portfolio.!$A$4:$A308,$CR29,portfolio.!$AQ$4:$AQ308)*$CU$5))</f>
        <v/>
      </c>
      <c r="BE29" s="850" t="str">
        <f t="shared" si="3"/>
        <v/>
      </c>
      <c r="BF29" s="862" t="str">
        <f>IF($CR29="","",IF($E29="","-",SUMIF(portfolio.!$A$4:$A308,$CR29,portfolio.!$AX$4:$AX308)*$CU$5))</f>
        <v/>
      </c>
      <c r="BG29" s="545"/>
      <c r="BH29" s="879" t="s">
        <v>123</v>
      </c>
      <c r="BI29" s="880" t="s">
        <v>123</v>
      </c>
      <c r="BJ29" s="863" t="str">
        <f>IFERROR(__xludf.DUMMYFUNCTION("IF(NOT($BL$4),"""",IF($CR29="""","""",IFERROR(query({GOOGLEFINANCE($CR29,""price"",IF($BI29=""-"",TODAY()-($AQ$5+5),$BI29),TODAY()-1)},""Select max(Col2) where Col1 is not null label max(Col2) ''"")*CU29,""-"")))"),"")</f>
        <v/>
      </c>
      <c r="BK29" s="881" t="s">
        <v>123</v>
      </c>
      <c r="BL29" s="882" t="s">
        <v>123</v>
      </c>
      <c r="BM29" s="442"/>
      <c r="BN29" s="867" t="str">
        <f>IFERROR(__xludf.DUMMYFUNCTION("IF(CR29="""","""",IF(OR(C29=""AÇÃO"",C29=""BDR""),IFERROR(QUERY({fundamentus.!$A$3:$U308},$CX$67&amp;"" where Col1='""&amp;CR29&amp;""' limit 1"",0)),IF(C29=""FII"",IFERROR(QUERY({fundsexplorer.!$A$2:$Z308},$CY$67&amp;"" where Col1='""&amp;CR29&amp;""' limit 1"",0)),"""")))"),"")</f>
        <v/>
      </c>
      <c r="BO29" s="867"/>
      <c r="BP29" s="867"/>
      <c r="BQ29" s="867"/>
      <c r="BR29" s="867"/>
      <c r="BS29" s="867"/>
      <c r="BT29" s="867"/>
      <c r="BU29" s="442"/>
      <c r="BV29" s="868" t="str">
        <f>IFERROR(__xludf.DUMMYFUNCTION("IF(OR(C29=""AÇÃO"",C29=""BDR""),IFERROR(GOOGLEFINANCE(CONCAT(""BVMF:"",CR29), ""marketcap"")/1000000,""NC""),"""")"),"")</f>
        <v/>
      </c>
      <c r="BW29" s="869" t="s">
        <v>123</v>
      </c>
      <c r="BX29" s="870" t="s">
        <v>123</v>
      </c>
      <c r="BY29" s="868" t="s">
        <v>123</v>
      </c>
      <c r="BZ29" s="870" t="s">
        <v>123</v>
      </c>
      <c r="CA29" s="868" t="s">
        <v>123</v>
      </c>
      <c r="CB29" s="868" t="s">
        <v>123</v>
      </c>
      <c r="CC29" s="868" t="s">
        <v>123</v>
      </c>
      <c r="CD29" s="868" t="str">
        <f>IFERROR(__xludf.DUMMYFUNCTION("IF(OR(C29=""AÇÃO"",C29=""BDR""),IFERROR(GOOGLEFINANCE(CONCAT(""BVMF:"",CR29), ""volumeavg"")/1000000,""NC""),"""")"),"")</f>
        <v/>
      </c>
      <c r="CE29" s="870" t="s">
        <v>123</v>
      </c>
      <c r="CF29" s="870" t="s">
        <v>123</v>
      </c>
      <c r="CG29" s="870" t="str">
        <f>IFERROR(__xludf.DUMMYFUNCTION("IF(OR(C29=""AÇÃO"",C29=""BDR""),IF(CF29=0,""SEM DY"",IFERROR(ImportXML(CONCAT(""http://www.guiainvest.com.br/raiox/default.aspx?sigla="",$CR29),""//*[@id='lbPayoutAtual']""),""NC"")),"""")"),"")</f>
        <v/>
      </c>
      <c r="CH29" s="870" t="s">
        <v>123</v>
      </c>
      <c r="CI29" s="545"/>
      <c r="CJ29" s="871" t="str">
        <f>IFERROR(__xludf.DUMMYFUNCTION("IF(OR(C29=""AÇÃO"",C29=""BDR""),IFERROR(GOOGLEFINANCE(CONCAT(""BVMF:"",CR29), ""eps""),""NC""),"""")"),"")</f>
        <v/>
      </c>
      <c r="CK29" s="442"/>
      <c r="CL29" s="871" t="str">
        <f>IFERROR(__xludf.DUMMYFUNCTION("IF(NOT($BL$4),"""",IF($CR29="""","""",IF($BC29="""","""",IFERROR(query({op.normal!$B$5:$F308},""select Col5, toDate(Col2) where Col1 =  '""&amp;$CR29&amp;""' and Col4 &gt; 0 and ((Col3 is null) or (Col3 = 'C')) and Col2 &gt;= date '""&amp;TEXT(TODAY()-$AQ$5,""yyyy-mm-dd"")"&amp;"&amp;""' order by Col2 desc limit 1 label toDate(Col2) ''"")))))"),"")</f>
        <v/>
      </c>
      <c r="CM29" s="872"/>
      <c r="CN29" s="883" t="s">
        <v>123</v>
      </c>
      <c r="CO29" s="874" t="s">
        <v>123</v>
      </c>
      <c r="CP29" s="766"/>
      <c r="CQ29" s="791"/>
      <c r="CR29" s="791"/>
      <c r="CT29" s="791" t="s">
        <v>123</v>
      </c>
      <c r="CU29" s="791" t="str">
        <f>IFERROR(__xludf.DUMMYFUNCTION("IF(CR29="""","""",IF(CT29=$C$4,1,GOOGLEFINANCE(CT29&amp;$C$4)))"),"")</f>
        <v/>
      </c>
      <c r="CW29" s="791" t="s">
        <v>579</v>
      </c>
      <c r="CX29" s="836" t="s">
        <v>506</v>
      </c>
      <c r="CY29" s="791" t="str">
        <f>"Col"&amp;MATCH(CW29,fundamentus.!$A$2:$U$2,0)</f>
        <v>Col21</v>
      </c>
    </row>
    <row r="30" ht="22.5" customHeight="1">
      <c r="A30" s="837">
        <v>22.0</v>
      </c>
      <c r="B30" s="838" t="s">
        <v>123</v>
      </c>
      <c r="C30" s="838" t="s">
        <v>123</v>
      </c>
      <c r="D30" s="839" t="s">
        <v>123</v>
      </c>
      <c r="E30" s="839" t="s">
        <v>123</v>
      </c>
      <c r="F30" s="839" t="s">
        <v>123</v>
      </c>
      <c r="G30" s="56"/>
      <c r="H30" s="884"/>
      <c r="I30" s="838"/>
      <c r="J30" s="838"/>
      <c r="K30" s="838"/>
      <c r="L30" s="838"/>
      <c r="M30" s="838"/>
      <c r="N30" s="838"/>
      <c r="O30" s="838"/>
      <c r="P30" s="838"/>
      <c r="Q30" s="838"/>
      <c r="R30" s="838"/>
      <c r="S30" s="838"/>
      <c r="T30" s="838"/>
      <c r="U30" s="838"/>
      <c r="V30" s="838"/>
      <c r="W30" s="838"/>
      <c r="X30" s="838"/>
      <c r="Z30" s="875" t="str">
        <f>IFERROR(__xludf.DUMMYFUNCTION("IF($CR30="""","""",IFERROR(query({CarteirasAtivos},""select Col4 where Col4 is not null and Col1 = '""&amp;$CR30&amp;""' limit 1"")*CU30,""NC""))"),"")</f>
        <v/>
      </c>
      <c r="AA30" s="876" t="str">
        <f>IFERROR(__xludf.DUMMYFUNCTION("IF($CR30="""","""",IFERROR(query({CarteirasAtivos},""select Col6 where Col4 is not null and Col1 = '""&amp;$CR30&amp;""' limit 1""),""NC""))"),"")</f>
        <v/>
      </c>
      <c r="AB30" s="877"/>
      <c r="AC30" s="878" t="s">
        <v>123</v>
      </c>
      <c r="AD30" s="845" t="str">
        <f>IF($CR30="","",IFERROR(VLOOKUP($CR30,ativos.!$C$3:$R308,MATCH("cotacao",ativos.!$C$2:CY$2,0),FALSE)*$CU$5,"atualizar"))</f>
        <v/>
      </c>
      <c r="AE30" s="846" t="str">
        <f>IFERROR(__xludf.DUMMYFUNCTION("IF($CR30="""","""",IFERROR(AVERAGE(query({CarteirasAtivos;CarteirasAtivosEncerrados},""select Col5 where Col5 is not null and Col1 = '""&amp;$CR30&amp;""' and Col10='SIM'""))*CU30,""NC""))"),"")</f>
        <v/>
      </c>
      <c r="AF30" s="847" t="str">
        <f t="shared" si="1"/>
        <v/>
      </c>
      <c r="AG30" s="442"/>
      <c r="AH30" s="848" t="str">
        <f>IFERROR(__xludf.DUMMYFUNCTION("IF($CR30="""","""",IFERROR(GOOGLEFINANCE($CR30,""low52"")*CU30,""-""))"),"")</f>
        <v/>
      </c>
      <c r="AI30" s="848" t="str">
        <f>IFERROR(__xludf.DUMMYFUNCTION("IF($CR30="""","""",IFERROR(GOOGLEFINANCE($CR30,""high52"")*CU30,""-""))"),"")</f>
        <v/>
      </c>
      <c r="AJ30" s="849" t="s">
        <v>123</v>
      </c>
      <c r="AK30" s="850" t="str">
        <f>IFERROR(__xludf.DUMMYFUNCTION("IF($CR30="""","""",IFERROR(GOOGLEFINANCE($CR30,""changepct"")/100,""-""))"),"")</f>
        <v/>
      </c>
      <c r="AL30" s="851" t="str">
        <f>IFERROR(__xludf.DUMMYFUNCTION("IF($CR30="""","""",IFERROR(($AD30/(QUERY(GOOGLEFINANCE($CR30,""price"",TODAY()-7),""SELECT Col2 label Col2 ''"")*$CU30)-1),""-""))"),"")</f>
        <v/>
      </c>
      <c r="AM30" s="851" t="str">
        <f>IFERROR(__xludf.DUMMYFUNCTION("IF($CR30="""","""",IFERROR(($AD30/(QUERY(GOOGLEFINANCE($CR30,""price"",TODAY()-14),""SELECT Col2 label Col2 ''"")*$CU30)-1),""-""))"),"")</f>
        <v/>
      </c>
      <c r="AN30" s="851" t="str">
        <f>IFERROR(__xludf.DUMMYFUNCTION("IF($CR30="""","""",IFERROR(($AD30/(QUERY(GOOGLEFINANCE($CR30,""price"",TODAY()-28),""SELECT Col2 label Col2 ''"")*$CU30)-1),""-""))"),"")</f>
        <v/>
      </c>
      <c r="AO30" s="851" t="str">
        <f>IFERROR(__xludf.DUMMYFUNCTION("IF($CR30="""","""",IFERROR(($AD30/(QUERY(GOOGLEFINANCE($CR30,""price"",TODAY()-$AQ$5),""SELECT Col2 label Col2 ''"")*$CU30)-1),""-""))"),"")</f>
        <v/>
      </c>
      <c r="AP30" s="852" t="str">
        <f>IFERROR(__xludf.DUMMYFUNCTION("IF($CR30="""","""",IFERROR(SPARKLINE(query(GOOGLEFINANCE($CR30,""price"",TODAY()-$AQ$5,TODAY(),1),""select Col2 label Col2 ''""),IF($AP$7=""Gráfico de barras"",{""charttype"",""column"";""highcolor"",""red""},{""chartype"",""line""}))))"),"")</f>
        <v/>
      </c>
      <c r="AQ30" s="144"/>
      <c r="AR30" s="853"/>
      <c r="AS30" s="854" t="str">
        <f>IF($CR30="","",IF(NOT('alocação'!$D$1),"off",IFERROR(VLOOKUP(CR30,BalanceAtivos,3,0),"NC")))</f>
        <v/>
      </c>
      <c r="AT30" s="855" t="str">
        <f>IF($CR30="","",IF(NOT('alocação'!$D$1),"off",IFERROR(VLOOKUP($CR30,BalanceAtivos,4,0)*$CU$5,"NC")))</f>
        <v/>
      </c>
      <c r="AU30" s="856" t="str">
        <f>IF($CR30="","",IF(NOT('alocação'!$D$1),"off",IFERROR(VLOOKUP($CR30,BalanceAtivos,5,0),"-")))</f>
        <v/>
      </c>
      <c r="AV30" s="856" t="str">
        <f>IF($CR30="","",IF(NOT('alocação'!$D$1),"off",IFERROR(VLOOKUP($CR30,BalanceAtivos,6,0),"-")))</f>
        <v/>
      </c>
      <c r="AW30" s="857"/>
      <c r="AX30" s="858" t="str">
        <f>IF($CR30="","",IF($E30="","SP",IFERROR(VLOOKUP($CR30,AtivosDados,MATCH("pm_atual",portfolio.!$A$3:CY$3,0),0)*$CU$5,0)))</f>
        <v/>
      </c>
      <c r="AY30" s="859" t="str">
        <f t="shared" si="2"/>
        <v/>
      </c>
      <c r="AZ30" s="858" t="str">
        <f>IF($CR30="","",IF($E30="","SP",SUMIF(portfolio.!$A$4:$A308,$CR30,portfolio.!$O$4:$O308)*$CU$5))</f>
        <v/>
      </c>
      <c r="BA30" s="858" t="str">
        <f>IF($CR30="","",IF($E30="","SP",SUMIF(portfolio.!$A$4:$A308,$CR30,portfolio.!$AN$4:$AN308)*$CU$5))</f>
        <v/>
      </c>
      <c r="BB30" s="860" t="str">
        <f>IF($CR30="","",IF($E30="","-",IFERROR($BA30/'portfólio'!$DG$63,"")))</f>
        <v/>
      </c>
      <c r="BC30" s="861" t="str">
        <f>IF($CR30="","",IF($E30="","-",SUMIF(portfolio.!$A$4:$A308,$CR30,portfolio.!$J$4:$J308)))</f>
        <v/>
      </c>
      <c r="BD30" s="862" t="str">
        <f>IF($CR30="","",IF($E30="","SP",SUMIF(portfolio.!$A$4:$A308,$CR30,portfolio.!$AQ$4:$AQ308)*$CU$5))</f>
        <v/>
      </c>
      <c r="BE30" s="850" t="str">
        <f t="shared" si="3"/>
        <v/>
      </c>
      <c r="BF30" s="862" t="str">
        <f>IF($CR30="","",IF($E30="","-",SUMIF(portfolio.!$A$4:$A308,$CR30,portfolio.!$AX$4:$AX308)*$CU$5))</f>
        <v/>
      </c>
      <c r="BG30" s="545"/>
      <c r="BH30" s="879" t="s">
        <v>123</v>
      </c>
      <c r="BI30" s="880" t="s">
        <v>123</v>
      </c>
      <c r="BJ30" s="863" t="str">
        <f>IFERROR(__xludf.DUMMYFUNCTION("IF(NOT($BL$4),"""",IF($CR30="""","""",IFERROR(query({GOOGLEFINANCE($CR30,""price"",IF($BI30=""-"",TODAY()-($AQ$5+5),$BI30),TODAY()-1)},""Select max(Col2) where Col1 is not null label max(Col2) ''"")*CU30,""-"")))"),"")</f>
        <v/>
      </c>
      <c r="BK30" s="881" t="s">
        <v>123</v>
      </c>
      <c r="BL30" s="882" t="s">
        <v>123</v>
      </c>
      <c r="BM30" s="442"/>
      <c r="BN30" s="867" t="str">
        <f>IFERROR(__xludf.DUMMYFUNCTION("IF(CR30="""","""",IF(OR(C30=""AÇÃO"",C30=""BDR""),IFERROR(QUERY({fundamentus.!$A$3:$U308},$CX$67&amp;"" where Col1='""&amp;CR30&amp;""' limit 1"",0)),IF(C30=""FII"",IFERROR(QUERY({fundsexplorer.!$A$2:$Z308},$CY$67&amp;"" where Col1='""&amp;CR30&amp;""' limit 1"",0)),"""")))"),"")</f>
        <v/>
      </c>
      <c r="BO30" s="867"/>
      <c r="BP30" s="867"/>
      <c r="BQ30" s="867"/>
      <c r="BR30" s="867"/>
      <c r="BS30" s="867"/>
      <c r="BT30" s="867"/>
      <c r="BU30" s="442"/>
      <c r="BV30" s="868" t="str">
        <f>IFERROR(__xludf.DUMMYFUNCTION("IF(OR(C30=""AÇÃO"",C30=""BDR""),IFERROR(GOOGLEFINANCE(CONCAT(""BVMF:"",CR30), ""marketcap"")/1000000,""NC""),"""")"),"")</f>
        <v/>
      </c>
      <c r="BW30" s="869" t="s">
        <v>123</v>
      </c>
      <c r="BX30" s="870" t="s">
        <v>123</v>
      </c>
      <c r="BY30" s="868" t="s">
        <v>123</v>
      </c>
      <c r="BZ30" s="870" t="s">
        <v>123</v>
      </c>
      <c r="CA30" s="868" t="s">
        <v>123</v>
      </c>
      <c r="CB30" s="868" t="s">
        <v>123</v>
      </c>
      <c r="CC30" s="868" t="s">
        <v>123</v>
      </c>
      <c r="CD30" s="868" t="str">
        <f>IFERROR(__xludf.DUMMYFUNCTION("IF(OR(C30=""AÇÃO"",C30=""BDR""),IFERROR(GOOGLEFINANCE(CONCAT(""BVMF:"",CR30), ""volumeavg"")/1000000,""NC""),"""")"),"")</f>
        <v/>
      </c>
      <c r="CE30" s="870" t="s">
        <v>123</v>
      </c>
      <c r="CF30" s="870" t="s">
        <v>123</v>
      </c>
      <c r="CG30" s="870" t="str">
        <f>IFERROR(__xludf.DUMMYFUNCTION("IF(OR(C30=""AÇÃO"",C30=""BDR""),IF(CF30=0,""SEM DY"",IFERROR(ImportXML(CONCAT(""http://www.guiainvest.com.br/raiox/default.aspx?sigla="",$CR30),""//*[@id='lbPayoutAtual']""),""NC"")),"""")"),"")</f>
        <v/>
      </c>
      <c r="CH30" s="870" t="s">
        <v>123</v>
      </c>
      <c r="CI30" s="545"/>
      <c r="CJ30" s="871" t="str">
        <f>IFERROR(__xludf.DUMMYFUNCTION("IF(OR(C30=""AÇÃO"",C30=""BDR""),IFERROR(GOOGLEFINANCE(CONCAT(""BVMF:"",CR30), ""eps""),""NC""),"""")"),"")</f>
        <v/>
      </c>
      <c r="CK30" s="442"/>
      <c r="CL30" s="871" t="str">
        <f>IFERROR(__xludf.DUMMYFUNCTION("IF(NOT($BL$4),"""",IF($CR30="""","""",IF($BC30="""","""",IFERROR(query({op.normal!$B$5:$F308},""select Col5, toDate(Col2) where Col1 =  '""&amp;$CR30&amp;""' and Col4 &gt; 0 and ((Col3 is null) or (Col3 = 'C')) and Col2 &gt;= date '""&amp;TEXT(TODAY()-$AQ$5,""yyyy-mm-dd"")"&amp;"&amp;""' order by Col2 desc limit 1 label toDate(Col2) ''"")))))"),"")</f>
        <v/>
      </c>
      <c r="CM30" s="872"/>
      <c r="CN30" s="883" t="s">
        <v>123</v>
      </c>
      <c r="CO30" s="874" t="s">
        <v>123</v>
      </c>
      <c r="CP30" s="766"/>
      <c r="CQ30" s="791"/>
      <c r="CR30" s="791"/>
      <c r="CT30" s="791" t="s">
        <v>123</v>
      </c>
      <c r="CU30" s="791" t="str">
        <f>IFERROR(__xludf.DUMMYFUNCTION("IF(CR30="""","""",IF(CT30=$C$4,1,GOOGLEFINANCE(CT30&amp;$C$4)))"),"")</f>
        <v/>
      </c>
    </row>
    <row r="31" ht="22.5" customHeight="1">
      <c r="A31" s="837">
        <v>23.0</v>
      </c>
      <c r="B31" s="838" t="s">
        <v>123</v>
      </c>
      <c r="C31" s="838" t="s">
        <v>123</v>
      </c>
      <c r="D31" s="839" t="s">
        <v>123</v>
      </c>
      <c r="E31" s="839" t="s">
        <v>123</v>
      </c>
      <c r="F31" s="839" t="s">
        <v>123</v>
      </c>
      <c r="G31" s="56"/>
      <c r="H31" s="884"/>
      <c r="I31" s="838"/>
      <c r="J31" s="838"/>
      <c r="K31" s="838"/>
      <c r="L31" s="838"/>
      <c r="M31" s="838"/>
      <c r="N31" s="838"/>
      <c r="O31" s="838"/>
      <c r="P31" s="838"/>
      <c r="Q31" s="838"/>
      <c r="R31" s="838"/>
      <c r="S31" s="838"/>
      <c r="T31" s="838"/>
      <c r="U31" s="838"/>
      <c r="V31" s="838"/>
      <c r="W31" s="838"/>
      <c r="X31" s="838"/>
      <c r="Z31" s="875" t="str">
        <f>IFERROR(__xludf.DUMMYFUNCTION("IF($CR31="""","""",IFERROR(query({CarteirasAtivos},""select Col4 where Col4 is not null and Col1 = '""&amp;$CR31&amp;""' limit 1"")*CU31,""NC""))"),"")</f>
        <v/>
      </c>
      <c r="AA31" s="876" t="str">
        <f>IFERROR(__xludf.DUMMYFUNCTION("IF($CR31="""","""",IFERROR(query({CarteirasAtivos},""select Col6 where Col4 is not null and Col1 = '""&amp;$CR31&amp;""' limit 1""),""NC""))"),"")</f>
        <v/>
      </c>
      <c r="AB31" s="877"/>
      <c r="AC31" s="878" t="s">
        <v>123</v>
      </c>
      <c r="AD31" s="845" t="str">
        <f>IF($CR31="","",IFERROR(VLOOKUP($CR31,ativos.!$C$3:$R308,MATCH("cotacao",ativos.!$C$2:CY$2,0),FALSE)*$CU$5,"atualizar"))</f>
        <v/>
      </c>
      <c r="AE31" s="846" t="str">
        <f>IFERROR(__xludf.DUMMYFUNCTION("IF($CR31="""","""",IFERROR(AVERAGE(query({CarteirasAtivos;CarteirasAtivosEncerrados},""select Col5 where Col5 is not null and Col1 = '""&amp;$CR31&amp;""' and Col10='SIM'""))*CU31,""NC""))"),"")</f>
        <v/>
      </c>
      <c r="AF31" s="847" t="str">
        <f t="shared" si="1"/>
        <v/>
      </c>
      <c r="AG31" s="442"/>
      <c r="AH31" s="848" t="str">
        <f>IFERROR(__xludf.DUMMYFUNCTION("IF($CR31="""","""",IFERROR(GOOGLEFINANCE($CR31,""low52"")*CU31,""-""))"),"")</f>
        <v/>
      </c>
      <c r="AI31" s="848" t="str">
        <f>IFERROR(__xludf.DUMMYFUNCTION("IF($CR31="""","""",IFERROR(GOOGLEFINANCE($CR31,""high52"")*CU31,""-""))"),"")</f>
        <v/>
      </c>
      <c r="AJ31" s="849" t="s">
        <v>123</v>
      </c>
      <c r="AK31" s="850" t="str">
        <f>IFERROR(__xludf.DUMMYFUNCTION("IF($CR31="""","""",IFERROR(GOOGLEFINANCE($CR31,""changepct"")/100,""-""))"),"")</f>
        <v/>
      </c>
      <c r="AL31" s="851" t="str">
        <f>IFERROR(__xludf.DUMMYFUNCTION("IF($CR31="""","""",IFERROR(($AD31/(QUERY(GOOGLEFINANCE($CR31,""price"",TODAY()-7),""SELECT Col2 label Col2 ''"")*$CU31)-1),""-""))"),"")</f>
        <v/>
      </c>
      <c r="AM31" s="851" t="str">
        <f>IFERROR(__xludf.DUMMYFUNCTION("IF($CR31="""","""",IFERROR(($AD31/(QUERY(GOOGLEFINANCE($CR31,""price"",TODAY()-14),""SELECT Col2 label Col2 ''"")*$CU31)-1),""-""))"),"")</f>
        <v/>
      </c>
      <c r="AN31" s="851" t="str">
        <f>IFERROR(__xludf.DUMMYFUNCTION("IF($CR31="""","""",IFERROR(($AD31/(QUERY(GOOGLEFINANCE($CR31,""price"",TODAY()-28),""SELECT Col2 label Col2 ''"")*$CU31)-1),""-""))"),"")</f>
        <v/>
      </c>
      <c r="AO31" s="851" t="str">
        <f>IFERROR(__xludf.DUMMYFUNCTION("IF($CR31="""","""",IFERROR(($AD31/(QUERY(GOOGLEFINANCE($CR31,""price"",TODAY()-$AQ$5),""SELECT Col2 label Col2 ''"")*$CU31)-1),""-""))"),"")</f>
        <v/>
      </c>
      <c r="AP31" s="852" t="str">
        <f>IFERROR(__xludf.DUMMYFUNCTION("IF($CR31="""","""",IFERROR(SPARKLINE(query(GOOGLEFINANCE($CR31,""price"",TODAY()-$AQ$5,TODAY(),1),""select Col2 label Col2 ''""),IF($AP$7=""Gráfico de barras"",{""charttype"",""column"";""highcolor"",""red""},{""chartype"",""line""}))))"),"")</f>
        <v/>
      </c>
      <c r="AQ31" s="144"/>
      <c r="AR31" s="853"/>
      <c r="AS31" s="854" t="str">
        <f>IF($CR31="","",IF(NOT('alocação'!$D$1),"off",IFERROR(VLOOKUP(CR31,BalanceAtivos,3,0),"NC")))</f>
        <v/>
      </c>
      <c r="AT31" s="855" t="str">
        <f>IF($CR31="","",IF(NOT('alocação'!$D$1),"off",IFERROR(VLOOKUP($CR31,BalanceAtivos,4,0)*$CU$5,"NC")))</f>
        <v/>
      </c>
      <c r="AU31" s="856" t="str">
        <f>IF($CR31="","",IF(NOT('alocação'!$D$1),"off",IFERROR(VLOOKUP($CR31,BalanceAtivos,5,0),"-")))</f>
        <v/>
      </c>
      <c r="AV31" s="856" t="str">
        <f>IF($CR31="","",IF(NOT('alocação'!$D$1),"off",IFERROR(VLOOKUP($CR31,BalanceAtivos,6,0),"-")))</f>
        <v/>
      </c>
      <c r="AW31" s="857"/>
      <c r="AX31" s="858" t="str">
        <f>IF($CR31="","",IF($E31="","SP",IFERROR(VLOOKUP($CR31,AtivosDados,MATCH("pm_atual",portfolio.!$A$3:CY$3,0),0)*$CU$5,0)))</f>
        <v/>
      </c>
      <c r="AY31" s="859" t="str">
        <f t="shared" si="2"/>
        <v/>
      </c>
      <c r="AZ31" s="858" t="str">
        <f>IF($CR31="","",IF($E31="","SP",SUMIF(portfolio.!$A$4:$A308,$CR31,portfolio.!$O$4:$O308)*$CU$5))</f>
        <v/>
      </c>
      <c r="BA31" s="858" t="str">
        <f>IF($CR31="","",IF($E31="","SP",SUMIF(portfolio.!$A$4:$A308,$CR31,portfolio.!$AN$4:$AN308)*$CU$5))</f>
        <v/>
      </c>
      <c r="BB31" s="860" t="str">
        <f>IF($CR31="","",IF($E31="","-",IFERROR($BA31/'portfólio'!$DG$63,"")))</f>
        <v/>
      </c>
      <c r="BC31" s="861" t="str">
        <f>IF($CR31="","",IF($E31="","-",SUMIF(portfolio.!$A$4:$A308,$CR31,portfolio.!$J$4:$J308)))</f>
        <v/>
      </c>
      <c r="BD31" s="862" t="str">
        <f>IF($CR31="","",IF($E31="","SP",SUMIF(portfolio.!$A$4:$A308,$CR31,portfolio.!$AQ$4:$AQ308)*$CU$5))</f>
        <v/>
      </c>
      <c r="BE31" s="850" t="str">
        <f t="shared" si="3"/>
        <v/>
      </c>
      <c r="BF31" s="862" t="str">
        <f>IF($CR31="","",IF($E31="","-",SUMIF(portfolio.!$A$4:$A308,$CR31,portfolio.!$AX$4:$AX308)*$CU$5))</f>
        <v/>
      </c>
      <c r="BG31" s="545"/>
      <c r="BH31" s="879" t="s">
        <v>123</v>
      </c>
      <c r="BI31" s="880" t="s">
        <v>123</v>
      </c>
      <c r="BJ31" s="863" t="str">
        <f>IFERROR(__xludf.DUMMYFUNCTION("IF(NOT($BL$4),"""",IF($CR31="""","""",IFERROR(query({GOOGLEFINANCE($CR31,""price"",IF($BI31=""-"",TODAY()-($AQ$5+5),$BI31),TODAY()-1)},""Select max(Col2) where Col1 is not null label max(Col2) ''"")*CU31,""-"")))"),"")</f>
        <v/>
      </c>
      <c r="BK31" s="881" t="s">
        <v>123</v>
      </c>
      <c r="BL31" s="882" t="s">
        <v>123</v>
      </c>
      <c r="BM31" s="442"/>
      <c r="BN31" s="867" t="str">
        <f>IFERROR(__xludf.DUMMYFUNCTION("IF(CR31="""","""",IF(OR(C31=""AÇÃO"",C31=""BDR""),IFERROR(QUERY({fundamentus.!$A$3:$U308},$CX$67&amp;"" where Col1='""&amp;CR31&amp;""' limit 1"",0)),IF(C31=""FII"",IFERROR(QUERY({fundsexplorer.!$A$2:$Z308},$CY$67&amp;"" where Col1='""&amp;CR31&amp;""' limit 1"",0)),"""")))"),"")</f>
        <v/>
      </c>
      <c r="BO31" s="867"/>
      <c r="BP31" s="867"/>
      <c r="BQ31" s="867"/>
      <c r="BR31" s="867"/>
      <c r="BS31" s="867"/>
      <c r="BT31" s="867"/>
      <c r="BU31" s="442"/>
      <c r="BV31" s="868" t="str">
        <f>IFERROR(__xludf.DUMMYFUNCTION("IF(OR(C31=""AÇÃO"",C31=""BDR""),IFERROR(GOOGLEFINANCE(CONCAT(""BVMF:"",CR31), ""marketcap"")/1000000,""NC""),"""")"),"")</f>
        <v/>
      </c>
      <c r="BW31" s="869" t="s">
        <v>123</v>
      </c>
      <c r="BX31" s="870" t="s">
        <v>123</v>
      </c>
      <c r="BY31" s="868" t="s">
        <v>123</v>
      </c>
      <c r="BZ31" s="870" t="s">
        <v>123</v>
      </c>
      <c r="CA31" s="868" t="s">
        <v>123</v>
      </c>
      <c r="CB31" s="868" t="s">
        <v>123</v>
      </c>
      <c r="CC31" s="868" t="s">
        <v>123</v>
      </c>
      <c r="CD31" s="868" t="str">
        <f>IFERROR(__xludf.DUMMYFUNCTION("IF(OR(C31=""AÇÃO"",C31=""BDR""),IFERROR(GOOGLEFINANCE(CONCAT(""BVMF:"",CR31), ""volumeavg"")/1000000,""NC""),"""")"),"")</f>
        <v/>
      </c>
      <c r="CE31" s="870" t="s">
        <v>123</v>
      </c>
      <c r="CF31" s="870" t="s">
        <v>123</v>
      </c>
      <c r="CG31" s="870" t="str">
        <f>IFERROR(__xludf.DUMMYFUNCTION("IF(OR(C31=""AÇÃO"",C31=""BDR""),IF(CF31=0,""SEM DY"",IFERROR(ImportXML(CONCAT(""http://www.guiainvest.com.br/raiox/default.aspx?sigla="",$CR31),""//*[@id='lbPayoutAtual']""),""NC"")),"""")"),"")</f>
        <v/>
      </c>
      <c r="CH31" s="870" t="s">
        <v>123</v>
      </c>
      <c r="CI31" s="545"/>
      <c r="CJ31" s="871" t="str">
        <f>IFERROR(__xludf.DUMMYFUNCTION("IF(OR(C31=""AÇÃO"",C31=""BDR""),IFERROR(GOOGLEFINANCE(CONCAT(""BVMF:"",CR31), ""eps""),""NC""),"""")"),"")</f>
        <v/>
      </c>
      <c r="CK31" s="442"/>
      <c r="CL31" s="871" t="str">
        <f>IFERROR(__xludf.DUMMYFUNCTION("IF(NOT($BL$4),"""",IF($CR31="""","""",IF($BC31="""","""",IFERROR(query({op.normal!$B$5:$F308},""select Col5, toDate(Col2) where Col1 =  '""&amp;$CR31&amp;""' and Col4 &gt; 0 and ((Col3 is null) or (Col3 = 'C')) and Col2 &gt;= date '""&amp;TEXT(TODAY()-$AQ$5,""yyyy-mm-dd"")"&amp;"&amp;""' order by Col2 desc limit 1 label toDate(Col2) ''"")))))"),"")</f>
        <v/>
      </c>
      <c r="CM31" s="872"/>
      <c r="CN31" s="883" t="s">
        <v>123</v>
      </c>
      <c r="CO31" s="874" t="s">
        <v>123</v>
      </c>
      <c r="CP31" s="766"/>
      <c r="CQ31" s="791"/>
      <c r="CR31" s="791"/>
      <c r="CT31" s="791" t="s">
        <v>123</v>
      </c>
      <c r="CU31" s="791" t="str">
        <f>IFERROR(__xludf.DUMMYFUNCTION("IF(CR31="""","""",IF(CT31=$C$4,1,GOOGLEFINANCE(CT31&amp;$C$4)))"),"")</f>
        <v/>
      </c>
      <c r="CW31" s="791" t="str">
        <f t="array" ref="CW31:CW56">TRANSPOSE(fundsexplorer.!A2:Z2)</f>
        <v>Código do fundo</v>
      </c>
      <c r="CX31" s="791"/>
      <c r="CY31" s="791"/>
    </row>
    <row r="32" ht="22.5" customHeight="1">
      <c r="A32" s="837">
        <v>24.0</v>
      </c>
      <c r="B32" s="838" t="s">
        <v>123</v>
      </c>
      <c r="C32" s="838" t="s">
        <v>123</v>
      </c>
      <c r="D32" s="839" t="s">
        <v>123</v>
      </c>
      <c r="E32" s="839" t="s">
        <v>123</v>
      </c>
      <c r="F32" s="839" t="s">
        <v>123</v>
      </c>
      <c r="G32" s="56"/>
      <c r="H32" s="884"/>
      <c r="I32" s="838"/>
      <c r="J32" s="838"/>
      <c r="K32" s="838"/>
      <c r="L32" s="838"/>
      <c r="M32" s="838"/>
      <c r="N32" s="838"/>
      <c r="O32" s="838"/>
      <c r="P32" s="838"/>
      <c r="Q32" s="838"/>
      <c r="R32" s="838"/>
      <c r="S32" s="838"/>
      <c r="T32" s="838"/>
      <c r="U32" s="838"/>
      <c r="V32" s="838"/>
      <c r="W32" s="838"/>
      <c r="X32" s="838"/>
      <c r="Z32" s="875" t="str">
        <f>IFERROR(__xludf.DUMMYFUNCTION("IF($CR32="""","""",IFERROR(query({CarteirasAtivos},""select Col4 where Col4 is not null and Col1 = '""&amp;$CR32&amp;""' limit 1"")*CU32,""NC""))"),"")</f>
        <v/>
      </c>
      <c r="AA32" s="876" t="str">
        <f>IFERROR(__xludf.DUMMYFUNCTION("IF($CR32="""","""",IFERROR(query({CarteirasAtivos},""select Col6 where Col4 is not null and Col1 = '""&amp;$CR32&amp;""' limit 1""),""NC""))"),"")</f>
        <v/>
      </c>
      <c r="AB32" s="877"/>
      <c r="AC32" s="878" t="s">
        <v>123</v>
      </c>
      <c r="AD32" s="845" t="str">
        <f>IF($CR32="","",IFERROR(VLOOKUP($CR32,ativos.!$C$3:$R308,MATCH("cotacao",ativos.!$C$2:CY$2,0),FALSE)*$CU$5,"atualizar"))</f>
        <v/>
      </c>
      <c r="AE32" s="846" t="str">
        <f>IFERROR(__xludf.DUMMYFUNCTION("IF($CR32="""","""",IFERROR(AVERAGE(query({CarteirasAtivos;CarteirasAtivosEncerrados},""select Col5 where Col5 is not null and Col1 = '""&amp;$CR32&amp;""' and Col10='SIM'""))*CU32,""NC""))"),"")</f>
        <v/>
      </c>
      <c r="AF32" s="847" t="str">
        <f t="shared" si="1"/>
        <v/>
      </c>
      <c r="AG32" s="442"/>
      <c r="AH32" s="848" t="str">
        <f>IFERROR(__xludf.DUMMYFUNCTION("IF($CR32="""","""",IFERROR(GOOGLEFINANCE($CR32,""low52"")*CU32,""-""))"),"")</f>
        <v/>
      </c>
      <c r="AI32" s="848" t="str">
        <f>IFERROR(__xludf.DUMMYFUNCTION("IF($CR32="""","""",IFERROR(GOOGLEFINANCE($CR32,""high52"")*CU32,""-""))"),"")</f>
        <v/>
      </c>
      <c r="AJ32" s="849" t="s">
        <v>123</v>
      </c>
      <c r="AK32" s="850" t="str">
        <f>IFERROR(__xludf.DUMMYFUNCTION("IF($CR32="""","""",IFERROR(GOOGLEFINANCE($CR32,""changepct"")/100,""-""))"),"")</f>
        <v/>
      </c>
      <c r="AL32" s="851" t="str">
        <f>IFERROR(__xludf.DUMMYFUNCTION("IF($CR32="""","""",IFERROR(($AD32/(QUERY(GOOGLEFINANCE($CR32,""price"",TODAY()-7),""SELECT Col2 label Col2 ''"")*$CU32)-1),""-""))"),"")</f>
        <v/>
      </c>
      <c r="AM32" s="851" t="str">
        <f>IFERROR(__xludf.DUMMYFUNCTION("IF($CR32="""","""",IFERROR(($AD32/(QUERY(GOOGLEFINANCE($CR32,""price"",TODAY()-14),""SELECT Col2 label Col2 ''"")*$CU32)-1),""-""))"),"")</f>
        <v/>
      </c>
      <c r="AN32" s="851" t="str">
        <f>IFERROR(__xludf.DUMMYFUNCTION("IF($CR32="""","""",IFERROR(($AD32/(QUERY(GOOGLEFINANCE($CR32,""price"",TODAY()-28),""SELECT Col2 label Col2 ''"")*$CU32)-1),""-""))"),"")</f>
        <v/>
      </c>
      <c r="AO32" s="851" t="str">
        <f>IFERROR(__xludf.DUMMYFUNCTION("IF($CR32="""","""",IFERROR(($AD32/(QUERY(GOOGLEFINANCE($CR32,""price"",TODAY()-$AQ$5),""SELECT Col2 label Col2 ''"")*$CU32)-1),""-""))"),"")</f>
        <v/>
      </c>
      <c r="AP32" s="852" t="str">
        <f>IFERROR(__xludf.DUMMYFUNCTION("IF($CR32="""","""",IFERROR(SPARKLINE(query(GOOGLEFINANCE($CR32,""price"",TODAY()-$AQ$5,TODAY(),1),""select Col2 label Col2 ''""),IF($AP$7=""Gráfico de barras"",{""charttype"",""column"";""highcolor"",""red""},{""chartype"",""line""}))))"),"")</f>
        <v/>
      </c>
      <c r="AQ32" s="144"/>
      <c r="AR32" s="853"/>
      <c r="AS32" s="854" t="str">
        <f>IF($CR32="","",IF(NOT('alocação'!$D$1),"off",IFERROR(VLOOKUP(CR32,BalanceAtivos,3,0),"NC")))</f>
        <v/>
      </c>
      <c r="AT32" s="855" t="str">
        <f>IF($CR32="","",IF(NOT('alocação'!$D$1),"off",IFERROR(VLOOKUP($CR32,BalanceAtivos,4,0)*$CU$5,"NC")))</f>
        <v/>
      </c>
      <c r="AU32" s="856" t="str">
        <f>IF($CR32="","",IF(NOT('alocação'!$D$1),"off",IFERROR(VLOOKUP($CR32,BalanceAtivos,5,0),"-")))</f>
        <v/>
      </c>
      <c r="AV32" s="856" t="str">
        <f>IF($CR32="","",IF(NOT('alocação'!$D$1),"off",IFERROR(VLOOKUP($CR32,BalanceAtivos,6,0),"-")))</f>
        <v/>
      </c>
      <c r="AW32" s="857"/>
      <c r="AX32" s="858" t="str">
        <f>IF($CR32="","",IF($E32="","SP",IFERROR(VLOOKUP($CR32,AtivosDados,MATCH("pm_atual",portfolio.!$A$3:CY$3,0),0)*$CU$5,0)))</f>
        <v/>
      </c>
      <c r="AY32" s="859" t="str">
        <f t="shared" si="2"/>
        <v/>
      </c>
      <c r="AZ32" s="858" t="str">
        <f>IF($CR32="","",IF($E32="","SP",SUMIF(portfolio.!$A$4:$A308,$CR32,portfolio.!$O$4:$O308)*$CU$5))</f>
        <v/>
      </c>
      <c r="BA32" s="858" t="str">
        <f>IF($CR32="","",IF($E32="","SP",SUMIF(portfolio.!$A$4:$A308,$CR32,portfolio.!$AN$4:$AN308)*$CU$5))</f>
        <v/>
      </c>
      <c r="BB32" s="860" t="str">
        <f>IF($CR32="","",IF($E32="","-",IFERROR($BA32/'portfólio'!$DG$63,"")))</f>
        <v/>
      </c>
      <c r="BC32" s="861" t="str">
        <f>IF($CR32="","",IF($E32="","-",SUMIF(portfolio.!$A$4:$A308,$CR32,portfolio.!$J$4:$J308)))</f>
        <v/>
      </c>
      <c r="BD32" s="862" t="str">
        <f>IF($CR32="","",IF($E32="","SP",SUMIF(portfolio.!$A$4:$A308,$CR32,portfolio.!$AQ$4:$AQ308)*$CU$5))</f>
        <v/>
      </c>
      <c r="BE32" s="850" t="str">
        <f t="shared" si="3"/>
        <v/>
      </c>
      <c r="BF32" s="862" t="str">
        <f>IF($CR32="","",IF($E32="","-",SUMIF(portfolio.!$A$4:$A308,$CR32,portfolio.!$AX$4:$AX308)*$CU$5))</f>
        <v/>
      </c>
      <c r="BG32" s="545"/>
      <c r="BH32" s="879" t="s">
        <v>123</v>
      </c>
      <c r="BI32" s="880" t="s">
        <v>123</v>
      </c>
      <c r="BJ32" s="863" t="str">
        <f>IFERROR(__xludf.DUMMYFUNCTION("IF(NOT($BL$4),"""",IF($CR32="""","""",IFERROR(query({GOOGLEFINANCE($CR32,""price"",IF($BI32=""-"",TODAY()-($AQ$5+5),$BI32),TODAY()-1)},""Select max(Col2) where Col1 is not null label max(Col2) ''"")*CU32,""-"")))"),"")</f>
        <v/>
      </c>
      <c r="BK32" s="881" t="s">
        <v>123</v>
      </c>
      <c r="BL32" s="882" t="s">
        <v>123</v>
      </c>
      <c r="BM32" s="442"/>
      <c r="BN32" s="867" t="str">
        <f>IFERROR(__xludf.DUMMYFUNCTION("IF(CR32="""","""",IF(OR(C32=""AÇÃO"",C32=""BDR""),IFERROR(QUERY({fundamentus.!$A$3:$U308},$CX$67&amp;"" where Col1='""&amp;CR32&amp;""' limit 1"",0)),IF(C32=""FII"",IFERROR(QUERY({fundsexplorer.!$A$2:$Z308},$CY$67&amp;"" where Col1='""&amp;CR32&amp;""' limit 1"",0)),"""")))"),"")</f>
        <v/>
      </c>
      <c r="BO32" s="867"/>
      <c r="BP32" s="867"/>
      <c r="BQ32" s="867"/>
      <c r="BR32" s="867"/>
      <c r="BS32" s="867"/>
      <c r="BT32" s="867"/>
      <c r="BU32" s="442"/>
      <c r="BV32" s="868" t="str">
        <f>IFERROR(__xludf.DUMMYFUNCTION("IF(OR(C32=""AÇÃO"",C32=""BDR""),IFERROR(GOOGLEFINANCE(CONCAT(""BVMF:"",CR32), ""marketcap"")/1000000,""NC""),"""")"),"")</f>
        <v/>
      </c>
      <c r="BW32" s="869" t="s">
        <v>123</v>
      </c>
      <c r="BX32" s="870" t="s">
        <v>123</v>
      </c>
      <c r="BY32" s="868" t="s">
        <v>123</v>
      </c>
      <c r="BZ32" s="870" t="s">
        <v>123</v>
      </c>
      <c r="CA32" s="868" t="s">
        <v>123</v>
      </c>
      <c r="CB32" s="868" t="s">
        <v>123</v>
      </c>
      <c r="CC32" s="868" t="s">
        <v>123</v>
      </c>
      <c r="CD32" s="868" t="str">
        <f>IFERROR(__xludf.DUMMYFUNCTION("IF(OR(C32=""AÇÃO"",C32=""BDR""),IFERROR(GOOGLEFINANCE(CONCAT(""BVMF:"",CR32), ""volumeavg"")/1000000,""NC""),"""")"),"")</f>
        <v/>
      </c>
      <c r="CE32" s="870" t="s">
        <v>123</v>
      </c>
      <c r="CF32" s="870" t="s">
        <v>123</v>
      </c>
      <c r="CG32" s="870" t="str">
        <f>IFERROR(__xludf.DUMMYFUNCTION("IF(OR(C32=""AÇÃO"",C32=""BDR""),IF(CF32=0,""SEM DY"",IFERROR(ImportXML(CONCAT(""http://www.guiainvest.com.br/raiox/default.aspx?sigla="",$CR32),""//*[@id='lbPayoutAtual']""),""NC"")),"""")"),"")</f>
        <v/>
      </c>
      <c r="CH32" s="870" t="s">
        <v>123</v>
      </c>
      <c r="CI32" s="545"/>
      <c r="CJ32" s="871" t="str">
        <f>IFERROR(__xludf.DUMMYFUNCTION("IF(OR(C32=""AÇÃO"",C32=""BDR""),IFERROR(GOOGLEFINANCE(CONCAT(""BVMF:"",CR32), ""eps""),""NC""),"""")"),"")</f>
        <v/>
      </c>
      <c r="CK32" s="442"/>
      <c r="CL32" s="871" t="str">
        <f>IFERROR(__xludf.DUMMYFUNCTION("IF(NOT($BL$4),"""",IF($CR32="""","""",IF($BC32="""","""",IFERROR(query({op.normal!$B$5:$F308},""select Col5, toDate(Col2) where Col1 =  '""&amp;$CR32&amp;""' and Col4 &gt; 0 and ((Col3 is null) or (Col3 = 'C')) and Col2 &gt;= date '""&amp;TEXT(TODAY()-$AQ$5,""yyyy-mm-dd"")"&amp;"&amp;""' order by Col2 desc limit 1 label toDate(Col2) ''"")))))"),"")</f>
        <v/>
      </c>
      <c r="CM32" s="872"/>
      <c r="CN32" s="883" t="s">
        <v>123</v>
      </c>
      <c r="CO32" s="874" t="s">
        <v>123</v>
      </c>
      <c r="CP32" s="766"/>
      <c r="CQ32" s="791"/>
      <c r="CR32" s="791"/>
      <c r="CT32" s="791" t="s">
        <v>123</v>
      </c>
      <c r="CU32" s="791" t="str">
        <f>IFERROR(__xludf.DUMMYFUNCTION("IF(CR32="""","""",IF(CT32=$C$4,1,GOOGLEFINANCE(CT32&amp;$C$4)))"),"")</f>
        <v/>
      </c>
      <c r="CW32" s="791" t="s">
        <v>181</v>
      </c>
      <c r="CX32" s="791"/>
      <c r="CY32" s="791"/>
    </row>
    <row r="33" ht="22.5" customHeight="1">
      <c r="A33" s="837">
        <v>25.0</v>
      </c>
      <c r="B33" s="838" t="s">
        <v>123</v>
      </c>
      <c r="C33" s="838" t="s">
        <v>123</v>
      </c>
      <c r="D33" s="839" t="s">
        <v>123</v>
      </c>
      <c r="E33" s="839" t="s">
        <v>123</v>
      </c>
      <c r="F33" s="839" t="s">
        <v>123</v>
      </c>
      <c r="G33" s="56"/>
      <c r="H33" s="884"/>
      <c r="I33" s="838"/>
      <c r="J33" s="838"/>
      <c r="K33" s="838"/>
      <c r="L33" s="838"/>
      <c r="M33" s="838"/>
      <c r="N33" s="838"/>
      <c r="O33" s="838"/>
      <c r="P33" s="838"/>
      <c r="Q33" s="838"/>
      <c r="R33" s="838"/>
      <c r="S33" s="838"/>
      <c r="T33" s="838"/>
      <c r="U33" s="838"/>
      <c r="V33" s="838"/>
      <c r="W33" s="838"/>
      <c r="X33" s="838"/>
      <c r="Z33" s="875" t="str">
        <f>IFERROR(__xludf.DUMMYFUNCTION("IF($CR33="""","""",IFERROR(query({CarteirasAtivos},""select Col4 where Col4 is not null and Col1 = '""&amp;$CR33&amp;""' limit 1"")*CU33,""NC""))"),"")</f>
        <v/>
      </c>
      <c r="AA33" s="876" t="str">
        <f>IFERROR(__xludf.DUMMYFUNCTION("IF($CR33="""","""",IFERROR(query({CarteirasAtivos},""select Col6 where Col4 is not null and Col1 = '""&amp;$CR33&amp;""' limit 1""),""NC""))"),"")</f>
        <v/>
      </c>
      <c r="AB33" s="877"/>
      <c r="AC33" s="878" t="s">
        <v>123</v>
      </c>
      <c r="AD33" s="845" t="str">
        <f>IF($CR33="","",IFERROR(VLOOKUP($CR33,ativos.!$C$3:$R308,MATCH("cotacao",ativos.!$C$2:CY$2,0),FALSE)*$CU$5,"atualizar"))</f>
        <v/>
      </c>
      <c r="AE33" s="846" t="str">
        <f>IFERROR(__xludf.DUMMYFUNCTION("IF($CR33="""","""",IFERROR(AVERAGE(query({CarteirasAtivos;CarteirasAtivosEncerrados},""select Col5 where Col5 is not null and Col1 = '""&amp;$CR33&amp;""' and Col10='SIM'""))*CU33,""NC""))"),"")</f>
        <v/>
      </c>
      <c r="AF33" s="847" t="str">
        <f t="shared" si="1"/>
        <v/>
      </c>
      <c r="AG33" s="442"/>
      <c r="AH33" s="848" t="str">
        <f>IFERROR(__xludf.DUMMYFUNCTION("IF($CR33="""","""",IFERROR(GOOGLEFINANCE($CR33,""low52"")*CU33,""-""))"),"")</f>
        <v/>
      </c>
      <c r="AI33" s="848" t="str">
        <f>IFERROR(__xludf.DUMMYFUNCTION("IF($CR33="""","""",IFERROR(GOOGLEFINANCE($CR33,""high52"")*CU33,""-""))"),"")</f>
        <v/>
      </c>
      <c r="AJ33" s="849" t="s">
        <v>123</v>
      </c>
      <c r="AK33" s="850" t="str">
        <f>IFERROR(__xludf.DUMMYFUNCTION("IF($CR33="""","""",IFERROR(GOOGLEFINANCE($CR33,""changepct"")/100,""-""))"),"")</f>
        <v/>
      </c>
      <c r="AL33" s="851" t="str">
        <f>IFERROR(__xludf.DUMMYFUNCTION("IF($CR33="""","""",IFERROR(($AD33/(QUERY(GOOGLEFINANCE($CR33,""price"",TODAY()-7),""SELECT Col2 label Col2 ''"")*$CU33)-1),""-""))"),"")</f>
        <v/>
      </c>
      <c r="AM33" s="851" t="str">
        <f>IFERROR(__xludf.DUMMYFUNCTION("IF($CR33="""","""",IFERROR(($AD33/(QUERY(GOOGLEFINANCE($CR33,""price"",TODAY()-14),""SELECT Col2 label Col2 ''"")*$CU33)-1),""-""))"),"")</f>
        <v/>
      </c>
      <c r="AN33" s="851" t="str">
        <f>IFERROR(__xludf.DUMMYFUNCTION("IF($CR33="""","""",IFERROR(($AD33/(QUERY(GOOGLEFINANCE($CR33,""price"",TODAY()-28),""SELECT Col2 label Col2 ''"")*$CU33)-1),""-""))"),"")</f>
        <v/>
      </c>
      <c r="AO33" s="851" t="str">
        <f>IFERROR(__xludf.DUMMYFUNCTION("IF($CR33="""","""",IFERROR(($AD33/(QUERY(GOOGLEFINANCE($CR33,""price"",TODAY()-$AQ$5),""SELECT Col2 label Col2 ''"")*$CU33)-1),""-""))"),"")</f>
        <v/>
      </c>
      <c r="AP33" s="852" t="str">
        <f>IFERROR(__xludf.DUMMYFUNCTION("IF($CR33="""","""",IFERROR(SPARKLINE(query(GOOGLEFINANCE($CR33,""price"",TODAY()-$AQ$5,TODAY(),1),""select Col2 label Col2 ''""),IF($AP$7=""Gráfico de barras"",{""charttype"",""column"";""highcolor"",""red""},{""chartype"",""line""}))))"),"")</f>
        <v/>
      </c>
      <c r="AQ33" s="144"/>
      <c r="AR33" s="853"/>
      <c r="AS33" s="854" t="str">
        <f>IF($CR33="","",IF(NOT('alocação'!$D$1),"off",IFERROR(VLOOKUP(CR33,BalanceAtivos,3,0),"NC")))</f>
        <v/>
      </c>
      <c r="AT33" s="855" t="str">
        <f>IF($CR33="","",IF(NOT('alocação'!$D$1),"off",IFERROR(VLOOKUP($CR33,BalanceAtivos,4,0)*$CU$5,"NC")))</f>
        <v/>
      </c>
      <c r="AU33" s="856" t="str">
        <f>IF($CR33="","",IF(NOT('alocação'!$D$1),"off",IFERROR(VLOOKUP($CR33,BalanceAtivos,5,0),"-")))</f>
        <v/>
      </c>
      <c r="AV33" s="856" t="str">
        <f>IF($CR33="","",IF(NOT('alocação'!$D$1),"off",IFERROR(VLOOKUP($CR33,BalanceAtivos,6,0),"-")))</f>
        <v/>
      </c>
      <c r="AW33" s="857"/>
      <c r="AX33" s="858" t="str">
        <f>IF($CR33="","",IF($E33="","SP",IFERROR(VLOOKUP($CR33,AtivosDados,MATCH("pm_atual",portfolio.!$A$3:CY$3,0),0)*$CU$5,0)))</f>
        <v/>
      </c>
      <c r="AY33" s="859" t="str">
        <f t="shared" si="2"/>
        <v/>
      </c>
      <c r="AZ33" s="858" t="str">
        <f>IF($CR33="","",IF($E33="","SP",SUMIF(portfolio.!$A$4:$A308,$CR33,portfolio.!$O$4:$O308)*$CU$5))</f>
        <v/>
      </c>
      <c r="BA33" s="858" t="str">
        <f>IF($CR33="","",IF($E33="","SP",SUMIF(portfolio.!$A$4:$A308,$CR33,portfolio.!$AN$4:$AN308)*$CU$5))</f>
        <v/>
      </c>
      <c r="BB33" s="860" t="str">
        <f>IF($CR33="","",IF($E33="","-",IFERROR($BA33/'portfólio'!$DG$63,"")))</f>
        <v/>
      </c>
      <c r="BC33" s="861" t="str">
        <f>IF($CR33="","",IF($E33="","-",SUMIF(portfolio.!$A$4:$A308,$CR33,portfolio.!$J$4:$J308)))</f>
        <v/>
      </c>
      <c r="BD33" s="862" t="str">
        <f>IF($CR33="","",IF($E33="","SP",SUMIF(portfolio.!$A$4:$A308,$CR33,portfolio.!$AQ$4:$AQ308)*$CU$5))</f>
        <v/>
      </c>
      <c r="BE33" s="850" t="str">
        <f t="shared" si="3"/>
        <v/>
      </c>
      <c r="BF33" s="862" t="str">
        <f>IF($CR33="","",IF($E33="","-",SUMIF(portfolio.!$A$4:$A308,$CR33,portfolio.!$AX$4:$AX308)*$CU$5))</f>
        <v/>
      </c>
      <c r="BG33" s="545"/>
      <c r="BH33" s="879" t="s">
        <v>123</v>
      </c>
      <c r="BI33" s="880" t="s">
        <v>123</v>
      </c>
      <c r="BJ33" s="863" t="str">
        <f>IFERROR(__xludf.DUMMYFUNCTION("IF(NOT($BL$4),"""",IF($CR33="""","""",IFERROR(query({GOOGLEFINANCE($CR33,""price"",IF($BI33=""-"",TODAY()-($AQ$5+5),$BI33),TODAY()-1)},""Select max(Col2) where Col1 is not null label max(Col2) ''"")*CU33,""-"")))"),"")</f>
        <v/>
      </c>
      <c r="BK33" s="881" t="s">
        <v>123</v>
      </c>
      <c r="BL33" s="882" t="s">
        <v>123</v>
      </c>
      <c r="BM33" s="442"/>
      <c r="BN33" s="867" t="str">
        <f>IFERROR(__xludf.DUMMYFUNCTION("IF(CR33="""","""",IF(OR(C33=""AÇÃO"",C33=""BDR""),IFERROR(QUERY({fundamentus.!$A$3:$U308},$CX$67&amp;"" where Col1='""&amp;CR33&amp;""' limit 1"",0)),IF(C33=""FII"",IFERROR(QUERY({fundsexplorer.!$A$2:$Z308},$CY$67&amp;"" where Col1='""&amp;CR33&amp;""' limit 1"",0)),"""")))"),"")</f>
        <v/>
      </c>
      <c r="BO33" s="867"/>
      <c r="BP33" s="867"/>
      <c r="BQ33" s="867"/>
      <c r="BR33" s="867"/>
      <c r="BS33" s="867"/>
      <c r="BT33" s="867"/>
      <c r="BU33" s="442"/>
      <c r="BV33" s="868" t="str">
        <f>IFERROR(__xludf.DUMMYFUNCTION("IF(OR(C33=""AÇÃO"",C33=""BDR""),IFERROR(GOOGLEFINANCE(CONCAT(""BVMF:"",CR33), ""marketcap"")/1000000,""NC""),"""")"),"")</f>
        <v/>
      </c>
      <c r="BW33" s="869" t="s">
        <v>123</v>
      </c>
      <c r="BX33" s="870" t="s">
        <v>123</v>
      </c>
      <c r="BY33" s="868" t="s">
        <v>123</v>
      </c>
      <c r="BZ33" s="870" t="s">
        <v>123</v>
      </c>
      <c r="CA33" s="868" t="s">
        <v>123</v>
      </c>
      <c r="CB33" s="868" t="s">
        <v>123</v>
      </c>
      <c r="CC33" s="868" t="s">
        <v>123</v>
      </c>
      <c r="CD33" s="868" t="str">
        <f>IFERROR(__xludf.DUMMYFUNCTION("IF(OR(C33=""AÇÃO"",C33=""BDR""),IFERROR(GOOGLEFINANCE(CONCAT(""BVMF:"",CR33), ""volumeavg"")/1000000,""NC""),"""")"),"")</f>
        <v/>
      </c>
      <c r="CE33" s="870" t="s">
        <v>123</v>
      </c>
      <c r="CF33" s="870" t="s">
        <v>123</v>
      </c>
      <c r="CG33" s="870" t="str">
        <f>IFERROR(__xludf.DUMMYFUNCTION("IF(OR(C33=""AÇÃO"",C33=""BDR""),IF(CF33=0,""SEM DY"",IFERROR(ImportXML(CONCAT(""http://www.guiainvest.com.br/raiox/default.aspx?sigla="",$CR33),""//*[@id='lbPayoutAtual']""),""NC"")),"""")"),"")</f>
        <v/>
      </c>
      <c r="CH33" s="870" t="s">
        <v>123</v>
      </c>
      <c r="CI33" s="545"/>
      <c r="CJ33" s="871" t="str">
        <f>IFERROR(__xludf.DUMMYFUNCTION("IF(OR(C33=""AÇÃO"",C33=""BDR""),IFERROR(GOOGLEFINANCE(CONCAT(""BVMF:"",CR33), ""eps""),""NC""),"""")"),"")</f>
        <v/>
      </c>
      <c r="CK33" s="442"/>
      <c r="CL33" s="871" t="str">
        <f>IFERROR(__xludf.DUMMYFUNCTION("IF(NOT($BL$4),"""",IF($CR33="""","""",IF($BC33="""","""",IFERROR(query({op.normal!$B$5:$F308},""select Col5, toDate(Col2) where Col1 =  '""&amp;$CR33&amp;""' and Col4 &gt; 0 and ((Col3 is null) or (Col3 = 'C')) and Col2 &gt;= date '""&amp;TEXT(TODAY()-$AQ$5,""yyyy-mm-dd"")"&amp;"&amp;""' order by Col2 desc limit 1 label toDate(Col2) ''"")))))"),"")</f>
        <v/>
      </c>
      <c r="CM33" s="872"/>
      <c r="CN33" s="883" t="s">
        <v>123</v>
      </c>
      <c r="CO33" s="874" t="s">
        <v>123</v>
      </c>
      <c r="CP33" s="766"/>
      <c r="CQ33" s="791"/>
      <c r="CR33" s="791"/>
      <c r="CT33" s="791" t="s">
        <v>123</v>
      </c>
      <c r="CU33" s="791" t="str">
        <f>IFERROR(__xludf.DUMMYFUNCTION("IF(CR33="""","""",IF(CT33=$C$4,1,GOOGLEFINANCE(CT33&amp;$C$4)))"),"")</f>
        <v/>
      </c>
      <c r="CW33" s="791" t="s">
        <v>580</v>
      </c>
      <c r="CX33" s="791"/>
      <c r="CY33" s="791"/>
    </row>
    <row r="34" ht="22.5" customHeight="1">
      <c r="A34" s="837">
        <v>26.0</v>
      </c>
      <c r="B34" s="838" t="s">
        <v>123</v>
      </c>
      <c r="C34" s="838" t="s">
        <v>123</v>
      </c>
      <c r="D34" s="839" t="s">
        <v>123</v>
      </c>
      <c r="E34" s="839" t="s">
        <v>123</v>
      </c>
      <c r="F34" s="839" t="s">
        <v>123</v>
      </c>
      <c r="G34" s="56"/>
      <c r="H34" s="884"/>
      <c r="I34" s="838"/>
      <c r="J34" s="838"/>
      <c r="K34" s="838"/>
      <c r="L34" s="838"/>
      <c r="M34" s="838"/>
      <c r="N34" s="838"/>
      <c r="O34" s="838"/>
      <c r="P34" s="838"/>
      <c r="Q34" s="838"/>
      <c r="R34" s="838"/>
      <c r="S34" s="838"/>
      <c r="T34" s="838"/>
      <c r="U34" s="838"/>
      <c r="V34" s="838"/>
      <c r="W34" s="838"/>
      <c r="X34" s="838"/>
      <c r="Z34" s="875" t="str">
        <f>IFERROR(__xludf.DUMMYFUNCTION("IF($CR34="""","""",IFERROR(query({CarteirasAtivos},""select Col4 where Col4 is not null and Col1 = '""&amp;$CR34&amp;""' limit 1"")*CU34,""NC""))"),"")</f>
        <v/>
      </c>
      <c r="AA34" s="876" t="str">
        <f>IFERROR(__xludf.DUMMYFUNCTION("IF($CR34="""","""",IFERROR(query({CarteirasAtivos},""select Col6 where Col4 is not null and Col1 = '""&amp;$CR34&amp;""' limit 1""),""NC""))"),"")</f>
        <v/>
      </c>
      <c r="AB34" s="877"/>
      <c r="AC34" s="878" t="s">
        <v>123</v>
      </c>
      <c r="AD34" s="845" t="str">
        <f>IF($CR34="","",IFERROR(VLOOKUP($CR34,ativos.!$C$3:$R308,MATCH("cotacao",ativos.!$C$2:CY$2,0),FALSE)*$CU$5,"atualizar"))</f>
        <v/>
      </c>
      <c r="AE34" s="846" t="str">
        <f>IFERROR(__xludf.DUMMYFUNCTION("IF($CR34="""","""",IFERROR(AVERAGE(query({CarteirasAtivos;CarteirasAtivosEncerrados},""select Col5 where Col5 is not null and Col1 = '""&amp;$CR34&amp;""' and Col10='SIM'""))*CU34,""NC""))"),"")</f>
        <v/>
      </c>
      <c r="AF34" s="847" t="str">
        <f t="shared" si="1"/>
        <v/>
      </c>
      <c r="AG34" s="442"/>
      <c r="AH34" s="848" t="str">
        <f>IFERROR(__xludf.DUMMYFUNCTION("IF($CR34="""","""",IFERROR(GOOGLEFINANCE($CR34,""low52"")*CU34,""-""))"),"")</f>
        <v/>
      </c>
      <c r="AI34" s="848" t="str">
        <f>IFERROR(__xludf.DUMMYFUNCTION("IF($CR34="""","""",IFERROR(GOOGLEFINANCE($CR34,""high52"")*CU34,""-""))"),"")</f>
        <v/>
      </c>
      <c r="AJ34" s="849" t="s">
        <v>123</v>
      </c>
      <c r="AK34" s="850" t="str">
        <f>IFERROR(__xludf.DUMMYFUNCTION("IF($CR34="""","""",IFERROR(GOOGLEFINANCE($CR34,""changepct"")/100,""-""))"),"")</f>
        <v/>
      </c>
      <c r="AL34" s="851" t="str">
        <f>IFERROR(__xludf.DUMMYFUNCTION("IF($CR34="""","""",IFERROR(($AD34/(QUERY(GOOGLEFINANCE($CR34,""price"",TODAY()-7),""SELECT Col2 label Col2 ''"")*$CU34)-1),""-""))"),"")</f>
        <v/>
      </c>
      <c r="AM34" s="851" t="str">
        <f>IFERROR(__xludf.DUMMYFUNCTION("IF($CR34="""","""",IFERROR(($AD34/(QUERY(GOOGLEFINANCE($CR34,""price"",TODAY()-14),""SELECT Col2 label Col2 ''"")*$CU34)-1),""-""))"),"")</f>
        <v/>
      </c>
      <c r="AN34" s="851" t="str">
        <f>IFERROR(__xludf.DUMMYFUNCTION("IF($CR34="""","""",IFERROR(($AD34/(QUERY(GOOGLEFINANCE($CR34,""price"",TODAY()-28),""SELECT Col2 label Col2 ''"")*$CU34)-1),""-""))"),"")</f>
        <v/>
      </c>
      <c r="AO34" s="851" t="str">
        <f>IFERROR(__xludf.DUMMYFUNCTION("IF($CR34="""","""",IFERROR(($AD34/(QUERY(GOOGLEFINANCE($CR34,""price"",TODAY()-$AQ$5),""SELECT Col2 label Col2 ''"")*$CU34)-1),""-""))"),"")</f>
        <v/>
      </c>
      <c r="AP34" s="852" t="str">
        <f>IFERROR(__xludf.DUMMYFUNCTION("IF($CR34="""","""",IFERROR(SPARKLINE(query(GOOGLEFINANCE($CR34,""price"",TODAY()-$AQ$5,TODAY(),1),""select Col2 label Col2 ''""),IF($AP$7=""Gráfico de barras"",{""charttype"",""column"";""highcolor"",""red""},{""chartype"",""line""}))))"),"")</f>
        <v/>
      </c>
      <c r="AQ34" s="144"/>
      <c r="AR34" s="853"/>
      <c r="AS34" s="854" t="str">
        <f>IF($CR34="","",IF(NOT('alocação'!$D$1),"off",IFERROR(VLOOKUP(CR34,BalanceAtivos,3,0),"NC")))</f>
        <v/>
      </c>
      <c r="AT34" s="855" t="str">
        <f>IF($CR34="","",IF(NOT('alocação'!$D$1),"off",IFERROR(VLOOKUP($CR34,BalanceAtivos,4,0)*$CU$5,"NC")))</f>
        <v/>
      </c>
      <c r="AU34" s="856" t="str">
        <f>IF($CR34="","",IF(NOT('alocação'!$D$1),"off",IFERROR(VLOOKUP($CR34,BalanceAtivos,5,0),"-")))</f>
        <v/>
      </c>
      <c r="AV34" s="856" t="str">
        <f>IF($CR34="","",IF(NOT('alocação'!$D$1),"off",IFERROR(VLOOKUP($CR34,BalanceAtivos,6,0),"-")))</f>
        <v/>
      </c>
      <c r="AW34" s="857"/>
      <c r="AX34" s="858" t="str">
        <f>IF($CR34="","",IF($E34="","SP",IFERROR(VLOOKUP($CR34,AtivosDados,MATCH("pm_atual",portfolio.!$A$3:CY$3,0),0)*$CU$5,0)))</f>
        <v/>
      </c>
      <c r="AY34" s="859" t="str">
        <f t="shared" si="2"/>
        <v/>
      </c>
      <c r="AZ34" s="858" t="str">
        <f>IF($CR34="","",IF($E34="","SP",SUMIF(portfolio.!$A$4:$A308,$CR34,portfolio.!$O$4:$O308)*$CU$5))</f>
        <v/>
      </c>
      <c r="BA34" s="858" t="str">
        <f>IF($CR34="","",IF($E34="","SP",SUMIF(portfolio.!$A$4:$A308,$CR34,portfolio.!$AN$4:$AN308)*$CU$5))</f>
        <v/>
      </c>
      <c r="BB34" s="860" t="str">
        <f>IF($CR34="","",IF($E34="","-",IFERROR($BA34/'portfólio'!$DG$63,"")))</f>
        <v/>
      </c>
      <c r="BC34" s="861" t="str">
        <f>IF($CR34="","",IF($E34="","-",SUMIF(portfolio.!$A$4:$A308,$CR34,portfolio.!$J$4:$J308)))</f>
        <v/>
      </c>
      <c r="BD34" s="862" t="str">
        <f>IF($CR34="","",IF($E34="","SP",SUMIF(portfolio.!$A$4:$A308,$CR34,portfolio.!$AQ$4:$AQ308)*$CU$5))</f>
        <v/>
      </c>
      <c r="BE34" s="850" t="str">
        <f t="shared" si="3"/>
        <v/>
      </c>
      <c r="BF34" s="862" t="str">
        <f>IF($CR34="","",IF($E34="","-",SUMIF(portfolio.!$A$4:$A308,$CR34,portfolio.!$AX$4:$AX308)*$CU$5))</f>
        <v/>
      </c>
      <c r="BG34" s="545"/>
      <c r="BH34" s="879" t="s">
        <v>123</v>
      </c>
      <c r="BI34" s="880" t="s">
        <v>123</v>
      </c>
      <c r="BJ34" s="863" t="str">
        <f>IFERROR(__xludf.DUMMYFUNCTION("IF(NOT($BL$4),"""",IF($CR34="""","""",IFERROR(query({GOOGLEFINANCE($CR34,""price"",IF($BI34=""-"",TODAY()-($AQ$5+5),$BI34),TODAY()-1)},""Select max(Col2) where Col1 is not null label max(Col2) ''"")*CU34,""-"")))"),"")</f>
        <v/>
      </c>
      <c r="BK34" s="881" t="s">
        <v>123</v>
      </c>
      <c r="BL34" s="882" t="s">
        <v>123</v>
      </c>
      <c r="BM34" s="442"/>
      <c r="BN34" s="867" t="str">
        <f>IFERROR(__xludf.DUMMYFUNCTION("IF(CR34="""","""",IF(OR(C34=""AÇÃO"",C34=""BDR""),IFERROR(QUERY({fundamentus.!$A$3:$U308},$CX$67&amp;"" where Col1='""&amp;CR34&amp;""' limit 1"",0)),IF(C34=""FII"",IFERROR(QUERY({fundsexplorer.!$A$2:$Z308},$CY$67&amp;"" where Col1='""&amp;CR34&amp;""' limit 1"",0)),"""")))"),"")</f>
        <v/>
      </c>
      <c r="BO34" s="867"/>
      <c r="BP34" s="867"/>
      <c r="BQ34" s="867"/>
      <c r="BR34" s="867"/>
      <c r="BS34" s="867"/>
      <c r="BT34" s="867"/>
      <c r="BU34" s="442"/>
      <c r="BV34" s="868" t="str">
        <f>IFERROR(__xludf.DUMMYFUNCTION("IF(OR(C34=""AÇÃO"",C34=""BDR""),IFERROR(GOOGLEFINANCE(CONCAT(""BVMF:"",CR34), ""marketcap"")/1000000,""NC""),"""")"),"")</f>
        <v/>
      </c>
      <c r="BW34" s="869" t="s">
        <v>123</v>
      </c>
      <c r="BX34" s="870" t="s">
        <v>123</v>
      </c>
      <c r="BY34" s="868" t="s">
        <v>123</v>
      </c>
      <c r="BZ34" s="870" t="s">
        <v>123</v>
      </c>
      <c r="CA34" s="868" t="s">
        <v>123</v>
      </c>
      <c r="CB34" s="868" t="s">
        <v>123</v>
      </c>
      <c r="CC34" s="868" t="s">
        <v>123</v>
      </c>
      <c r="CD34" s="868" t="str">
        <f>IFERROR(__xludf.DUMMYFUNCTION("IF(OR(C34=""AÇÃO"",C34=""BDR""),IFERROR(GOOGLEFINANCE(CONCAT(""BVMF:"",CR34), ""volumeavg"")/1000000,""NC""),"""")"),"")</f>
        <v/>
      </c>
      <c r="CE34" s="870" t="s">
        <v>123</v>
      </c>
      <c r="CF34" s="870" t="s">
        <v>123</v>
      </c>
      <c r="CG34" s="870" t="str">
        <f>IFERROR(__xludf.DUMMYFUNCTION("IF(OR(C34=""AÇÃO"",C34=""BDR""),IF(CF34=0,""SEM DY"",IFERROR(ImportXML(CONCAT(""http://www.guiainvest.com.br/raiox/default.aspx?sigla="",$CR34),""//*[@id='lbPayoutAtual']""),""NC"")),"""")"),"")</f>
        <v/>
      </c>
      <c r="CH34" s="870" t="s">
        <v>123</v>
      </c>
      <c r="CI34" s="545"/>
      <c r="CJ34" s="871" t="str">
        <f>IFERROR(__xludf.DUMMYFUNCTION("IF(OR(C34=""AÇÃO"",C34=""BDR""),IFERROR(GOOGLEFINANCE(CONCAT(""BVMF:"",CR34), ""eps""),""NC""),"""")"),"")</f>
        <v/>
      </c>
      <c r="CK34" s="442"/>
      <c r="CL34" s="871" t="str">
        <f>IFERROR(__xludf.DUMMYFUNCTION("IF(NOT($BL$4),"""",IF($CR34="""","""",IF($BC34="""","""",IFERROR(query({op.normal!$B$5:$F308},""select Col5, toDate(Col2) where Col1 =  '""&amp;$CR34&amp;""' and Col4 &gt; 0 and ((Col3 is null) or (Col3 = 'C')) and Col2 &gt;= date '""&amp;TEXT(TODAY()-$AQ$5,""yyyy-mm-dd"")"&amp;"&amp;""' order by Col2 desc limit 1 label toDate(Col2) ''"")))))"),"")</f>
        <v/>
      </c>
      <c r="CM34" s="872"/>
      <c r="CN34" s="883" t="s">
        <v>123</v>
      </c>
      <c r="CO34" s="874" t="s">
        <v>123</v>
      </c>
      <c r="CP34" s="766"/>
      <c r="CQ34" s="791"/>
      <c r="CR34" s="791"/>
      <c r="CT34" s="791" t="s">
        <v>123</v>
      </c>
      <c r="CU34" s="791" t="str">
        <f>IFERROR(__xludf.DUMMYFUNCTION("IF(CR34="""","""",IF(CT34=$C$4,1,GOOGLEFINANCE(CT34&amp;$C$4)))"),"")</f>
        <v/>
      </c>
      <c r="CW34" s="791" t="s">
        <v>581</v>
      </c>
      <c r="CX34" s="791" t="s">
        <v>581</v>
      </c>
      <c r="CY34" s="791" t="str">
        <f>"Col"&amp;MATCH(CW34,fundsexplorer.!$A$2:$Z$2,0)</f>
        <v>Col4</v>
      </c>
    </row>
    <row r="35" ht="22.5" customHeight="1">
      <c r="A35" s="837">
        <v>27.0</v>
      </c>
      <c r="B35" s="838" t="s">
        <v>123</v>
      </c>
      <c r="C35" s="838" t="s">
        <v>123</v>
      </c>
      <c r="D35" s="839" t="s">
        <v>123</v>
      </c>
      <c r="E35" s="839" t="s">
        <v>123</v>
      </c>
      <c r="F35" s="839" t="s">
        <v>123</v>
      </c>
      <c r="G35" s="56"/>
      <c r="H35" s="884"/>
      <c r="I35" s="838"/>
      <c r="J35" s="838"/>
      <c r="K35" s="838"/>
      <c r="L35" s="838"/>
      <c r="M35" s="838"/>
      <c r="N35" s="838"/>
      <c r="O35" s="838"/>
      <c r="P35" s="838"/>
      <c r="Q35" s="838"/>
      <c r="R35" s="838"/>
      <c r="S35" s="838"/>
      <c r="T35" s="838"/>
      <c r="U35" s="838"/>
      <c r="V35" s="838"/>
      <c r="W35" s="838"/>
      <c r="X35" s="838"/>
      <c r="Z35" s="875" t="str">
        <f>IFERROR(__xludf.DUMMYFUNCTION("IF($CR35="""","""",IFERROR(query({CarteirasAtivos},""select Col4 where Col4 is not null and Col1 = '""&amp;$CR35&amp;""' limit 1"")*CU35,""NC""))"),"")</f>
        <v/>
      </c>
      <c r="AA35" s="876" t="str">
        <f>IFERROR(__xludf.DUMMYFUNCTION("IF($CR35="""","""",IFERROR(query({CarteirasAtivos},""select Col6 where Col4 is not null and Col1 = '""&amp;$CR35&amp;""' limit 1""),""NC""))"),"")</f>
        <v/>
      </c>
      <c r="AB35" s="877"/>
      <c r="AC35" s="878" t="s">
        <v>123</v>
      </c>
      <c r="AD35" s="845" t="str">
        <f>IF($CR35="","",IFERROR(VLOOKUP($CR35,ativos.!$C$3:$R308,MATCH("cotacao",ativos.!$C$2:CY$2,0),FALSE)*$CU$5,"atualizar"))</f>
        <v/>
      </c>
      <c r="AE35" s="846" t="str">
        <f>IFERROR(__xludf.DUMMYFUNCTION("IF($CR35="""","""",IFERROR(AVERAGE(query({CarteirasAtivos;CarteirasAtivosEncerrados},""select Col5 where Col5 is not null and Col1 = '""&amp;$CR35&amp;""' and Col10='SIM'""))*CU35,""NC""))"),"")</f>
        <v/>
      </c>
      <c r="AF35" s="847" t="str">
        <f t="shared" si="1"/>
        <v/>
      </c>
      <c r="AG35" s="442"/>
      <c r="AH35" s="848" t="str">
        <f>IFERROR(__xludf.DUMMYFUNCTION("IF($CR35="""","""",IFERROR(GOOGLEFINANCE($CR35,""low52"")*CU35,""-""))"),"")</f>
        <v/>
      </c>
      <c r="AI35" s="848" t="str">
        <f>IFERROR(__xludf.DUMMYFUNCTION("IF($CR35="""","""",IFERROR(GOOGLEFINANCE($CR35,""high52"")*CU35,""-""))"),"")</f>
        <v/>
      </c>
      <c r="AJ35" s="849" t="s">
        <v>123</v>
      </c>
      <c r="AK35" s="850" t="str">
        <f>IFERROR(__xludf.DUMMYFUNCTION("IF($CR35="""","""",IFERROR(GOOGLEFINANCE($CR35,""changepct"")/100,""-""))"),"")</f>
        <v/>
      </c>
      <c r="AL35" s="851" t="str">
        <f>IFERROR(__xludf.DUMMYFUNCTION("IF($CR35="""","""",IFERROR(($AD35/(QUERY(GOOGLEFINANCE($CR35,""price"",TODAY()-7),""SELECT Col2 label Col2 ''"")*$CU35)-1),""-""))"),"")</f>
        <v/>
      </c>
      <c r="AM35" s="851" t="str">
        <f>IFERROR(__xludf.DUMMYFUNCTION("IF($CR35="""","""",IFERROR(($AD35/(QUERY(GOOGLEFINANCE($CR35,""price"",TODAY()-14),""SELECT Col2 label Col2 ''"")*$CU35)-1),""-""))"),"")</f>
        <v/>
      </c>
      <c r="AN35" s="851" t="str">
        <f>IFERROR(__xludf.DUMMYFUNCTION("IF($CR35="""","""",IFERROR(($AD35/(QUERY(GOOGLEFINANCE($CR35,""price"",TODAY()-28),""SELECT Col2 label Col2 ''"")*$CU35)-1),""-""))"),"")</f>
        <v/>
      </c>
      <c r="AO35" s="851" t="str">
        <f>IFERROR(__xludf.DUMMYFUNCTION("IF($CR35="""","""",IFERROR(($AD35/(QUERY(GOOGLEFINANCE($CR35,""price"",TODAY()-$AQ$5),""SELECT Col2 label Col2 ''"")*$CU35)-1),""-""))"),"")</f>
        <v/>
      </c>
      <c r="AP35" s="852" t="str">
        <f>IFERROR(__xludf.DUMMYFUNCTION("IF($CR35="""","""",IFERROR(SPARKLINE(query(GOOGLEFINANCE($CR35,""price"",TODAY()-$AQ$5,TODAY(),1),""select Col2 label Col2 ''""),IF($AP$7=""Gráfico de barras"",{""charttype"",""column"";""highcolor"",""red""},{""chartype"",""line""}))))"),"")</f>
        <v/>
      </c>
      <c r="AQ35" s="144"/>
      <c r="AR35" s="853"/>
      <c r="AS35" s="854" t="str">
        <f>IF($CR35="","",IF(NOT('alocação'!$D$1),"off",IFERROR(VLOOKUP(CR35,BalanceAtivos,3,0),"NC")))</f>
        <v/>
      </c>
      <c r="AT35" s="855" t="str">
        <f>IF($CR35="","",IF(NOT('alocação'!$D$1),"off",IFERROR(VLOOKUP($CR35,BalanceAtivos,4,0)*$CU$5,"NC")))</f>
        <v/>
      </c>
      <c r="AU35" s="856" t="str">
        <f>IF($CR35="","",IF(NOT('alocação'!$D$1),"off",IFERROR(VLOOKUP($CR35,BalanceAtivos,5,0),"-")))</f>
        <v/>
      </c>
      <c r="AV35" s="856" t="str">
        <f>IF($CR35="","",IF(NOT('alocação'!$D$1),"off",IFERROR(VLOOKUP($CR35,BalanceAtivos,6,0),"-")))</f>
        <v/>
      </c>
      <c r="AW35" s="857"/>
      <c r="AX35" s="858" t="str">
        <f>IF($CR35="","",IF($E35="","SP",IFERROR(VLOOKUP($CR35,AtivosDados,MATCH("pm_atual",portfolio.!$A$3:CY$3,0),0)*$CU$5,0)))</f>
        <v/>
      </c>
      <c r="AY35" s="859" t="str">
        <f t="shared" si="2"/>
        <v/>
      </c>
      <c r="AZ35" s="858" t="str">
        <f>IF($CR35="","",IF($E35="","SP",SUMIF(portfolio.!$A$4:$A308,$CR35,portfolio.!$O$4:$O308)*$CU$5))</f>
        <v/>
      </c>
      <c r="BA35" s="858" t="str">
        <f>IF($CR35="","",IF($E35="","SP",SUMIF(portfolio.!$A$4:$A308,$CR35,portfolio.!$AN$4:$AN308)*$CU$5))</f>
        <v/>
      </c>
      <c r="BB35" s="860" t="str">
        <f>IF($CR35="","",IF($E35="","-",IFERROR($BA35/'portfólio'!$DG$63,"")))</f>
        <v/>
      </c>
      <c r="BC35" s="861" t="str">
        <f>IF($CR35="","",IF($E35="","-",SUMIF(portfolio.!$A$4:$A308,$CR35,portfolio.!$J$4:$J308)))</f>
        <v/>
      </c>
      <c r="BD35" s="862" t="str">
        <f>IF($CR35="","",IF($E35="","SP",SUMIF(portfolio.!$A$4:$A308,$CR35,portfolio.!$AQ$4:$AQ308)*$CU$5))</f>
        <v/>
      </c>
      <c r="BE35" s="850" t="str">
        <f t="shared" si="3"/>
        <v/>
      </c>
      <c r="BF35" s="862" t="str">
        <f>IF($CR35="","",IF($E35="","-",SUMIF(portfolio.!$A$4:$A308,$CR35,portfolio.!$AX$4:$AX308)*$CU$5))</f>
        <v/>
      </c>
      <c r="BG35" s="545"/>
      <c r="BH35" s="879" t="s">
        <v>123</v>
      </c>
      <c r="BI35" s="880" t="s">
        <v>123</v>
      </c>
      <c r="BJ35" s="863" t="str">
        <f>IFERROR(__xludf.DUMMYFUNCTION("IF(NOT($BL$4),"""",IF($CR35="""","""",IFERROR(query({GOOGLEFINANCE($CR35,""price"",IF($BI35=""-"",TODAY()-($AQ$5+5),$BI35),TODAY()-1)},""Select max(Col2) where Col1 is not null label max(Col2) ''"")*CU35,""-"")))"),"")</f>
        <v/>
      </c>
      <c r="BK35" s="881" t="s">
        <v>123</v>
      </c>
      <c r="BL35" s="882" t="s">
        <v>123</v>
      </c>
      <c r="BM35" s="442"/>
      <c r="BN35" s="867" t="str">
        <f>IFERROR(__xludf.DUMMYFUNCTION("IF(CR35="""","""",IF(OR(C35=""AÇÃO"",C35=""BDR""),IFERROR(QUERY({fundamentus.!$A$3:$U308},$CX$67&amp;"" where Col1='""&amp;CR35&amp;""' limit 1"",0)),IF(C35=""FII"",IFERROR(QUERY({fundsexplorer.!$A$2:$Z308},$CY$67&amp;"" where Col1='""&amp;CR35&amp;""' limit 1"",0)),"""")))"),"")</f>
        <v/>
      </c>
      <c r="BO35" s="867"/>
      <c r="BP35" s="867"/>
      <c r="BQ35" s="867"/>
      <c r="BR35" s="867"/>
      <c r="BS35" s="867"/>
      <c r="BT35" s="867"/>
      <c r="BU35" s="442"/>
      <c r="BV35" s="868" t="str">
        <f>IFERROR(__xludf.DUMMYFUNCTION("IF(OR(C35=""AÇÃO"",C35=""BDR""),IFERROR(GOOGLEFINANCE(CONCAT(""BVMF:"",CR35), ""marketcap"")/1000000,""NC""),"""")"),"")</f>
        <v/>
      </c>
      <c r="BW35" s="869" t="s">
        <v>123</v>
      </c>
      <c r="BX35" s="870" t="s">
        <v>123</v>
      </c>
      <c r="BY35" s="868" t="s">
        <v>123</v>
      </c>
      <c r="BZ35" s="870" t="s">
        <v>123</v>
      </c>
      <c r="CA35" s="868" t="s">
        <v>123</v>
      </c>
      <c r="CB35" s="868" t="s">
        <v>123</v>
      </c>
      <c r="CC35" s="868" t="s">
        <v>123</v>
      </c>
      <c r="CD35" s="868" t="str">
        <f>IFERROR(__xludf.DUMMYFUNCTION("IF(OR(C35=""AÇÃO"",C35=""BDR""),IFERROR(GOOGLEFINANCE(CONCAT(""BVMF:"",CR35), ""volumeavg"")/1000000,""NC""),"""")"),"")</f>
        <v/>
      </c>
      <c r="CE35" s="870" t="s">
        <v>123</v>
      </c>
      <c r="CF35" s="870" t="s">
        <v>123</v>
      </c>
      <c r="CG35" s="870" t="str">
        <f>IFERROR(__xludf.DUMMYFUNCTION("IF(OR(C35=""AÇÃO"",C35=""BDR""),IF(CF35=0,""SEM DY"",IFERROR(ImportXML(CONCAT(""http://www.guiainvest.com.br/raiox/default.aspx?sigla="",$CR35),""//*[@id='lbPayoutAtual']""),""NC"")),"""")"),"")</f>
        <v/>
      </c>
      <c r="CH35" s="870" t="s">
        <v>123</v>
      </c>
      <c r="CI35" s="545"/>
      <c r="CJ35" s="871" t="str">
        <f>IFERROR(__xludf.DUMMYFUNCTION("IF(OR(C35=""AÇÃO"",C35=""BDR""),IFERROR(GOOGLEFINANCE(CONCAT(""BVMF:"",CR35), ""eps""),""NC""),"""")"),"")</f>
        <v/>
      </c>
      <c r="CK35" s="442"/>
      <c r="CL35" s="871" t="str">
        <f>IFERROR(__xludf.DUMMYFUNCTION("IF(NOT($BL$4),"""",IF($CR35="""","""",IF($BC35="""","""",IFERROR(query({op.normal!$B$5:$F308},""select Col5, toDate(Col2) where Col1 =  '""&amp;$CR35&amp;""' and Col4 &gt; 0 and ((Col3 is null) or (Col3 = 'C')) and Col2 &gt;= date '""&amp;TEXT(TODAY()-$AQ$5,""yyyy-mm-dd"")"&amp;"&amp;""' order by Col2 desc limit 1 label toDate(Col2) ''"")))))"),"")</f>
        <v/>
      </c>
      <c r="CM35" s="872"/>
      <c r="CN35" s="883" t="s">
        <v>123</v>
      </c>
      <c r="CO35" s="874" t="s">
        <v>123</v>
      </c>
      <c r="CP35" s="766"/>
      <c r="CQ35" s="791"/>
      <c r="CR35" s="791"/>
      <c r="CT35" s="791" t="s">
        <v>123</v>
      </c>
      <c r="CU35" s="791" t="str">
        <f>IFERROR(__xludf.DUMMYFUNCTION("IF(CR35="""","""",IF(CT35=$C$4,1,GOOGLEFINANCE(CT35&amp;$C$4)))"),"")</f>
        <v/>
      </c>
      <c r="CW35" s="791" t="s">
        <v>582</v>
      </c>
      <c r="CX35" s="791" t="s">
        <v>582</v>
      </c>
      <c r="CY35" s="791" t="str">
        <f>"Col"&amp;MATCH(CW35,fundsexplorer.!$A$2:$Z$2,0)</f>
        <v>Col5</v>
      </c>
    </row>
    <row r="36" ht="22.5" customHeight="1">
      <c r="A36" s="837">
        <v>28.0</v>
      </c>
      <c r="B36" s="838" t="s">
        <v>123</v>
      </c>
      <c r="C36" s="838" t="s">
        <v>123</v>
      </c>
      <c r="D36" s="839" t="s">
        <v>123</v>
      </c>
      <c r="E36" s="839" t="s">
        <v>123</v>
      </c>
      <c r="F36" s="839" t="s">
        <v>123</v>
      </c>
      <c r="G36" s="56"/>
      <c r="H36" s="884"/>
      <c r="I36" s="838"/>
      <c r="J36" s="838"/>
      <c r="K36" s="838"/>
      <c r="L36" s="838"/>
      <c r="M36" s="838"/>
      <c r="N36" s="838"/>
      <c r="O36" s="838"/>
      <c r="P36" s="838"/>
      <c r="Q36" s="838"/>
      <c r="R36" s="838"/>
      <c r="S36" s="838"/>
      <c r="T36" s="838"/>
      <c r="U36" s="838"/>
      <c r="V36" s="838"/>
      <c r="W36" s="838"/>
      <c r="X36" s="838"/>
      <c r="Z36" s="875" t="str">
        <f>IFERROR(__xludf.DUMMYFUNCTION("IF($CR36="""","""",IFERROR(query({CarteirasAtivos},""select Col4 where Col4 is not null and Col1 = '""&amp;$CR36&amp;""' limit 1"")*CU36,""NC""))"),"")</f>
        <v/>
      </c>
      <c r="AA36" s="876" t="str">
        <f>IFERROR(__xludf.DUMMYFUNCTION("IF($CR36="""","""",IFERROR(query({CarteirasAtivos},""select Col6 where Col4 is not null and Col1 = '""&amp;$CR36&amp;""' limit 1""),""NC""))"),"")</f>
        <v/>
      </c>
      <c r="AB36" s="877"/>
      <c r="AC36" s="878" t="s">
        <v>123</v>
      </c>
      <c r="AD36" s="845" t="str">
        <f>IF($CR36="","",IFERROR(VLOOKUP($CR36,ativos.!$C$3:$R308,MATCH("cotacao",ativos.!$C$2:CY$2,0),FALSE)*$CU$5,"atualizar"))</f>
        <v/>
      </c>
      <c r="AE36" s="846" t="str">
        <f>IFERROR(__xludf.DUMMYFUNCTION("IF($CR36="""","""",IFERROR(AVERAGE(query({CarteirasAtivos;CarteirasAtivosEncerrados},""select Col5 where Col5 is not null and Col1 = '""&amp;$CR36&amp;""' and Col10='SIM'""))*CU36,""NC""))"),"")</f>
        <v/>
      </c>
      <c r="AF36" s="847" t="str">
        <f t="shared" si="1"/>
        <v/>
      </c>
      <c r="AG36" s="442"/>
      <c r="AH36" s="848" t="str">
        <f>IFERROR(__xludf.DUMMYFUNCTION("IF($CR36="""","""",IFERROR(GOOGLEFINANCE($CR36,""low52"")*CU36,""-""))"),"")</f>
        <v/>
      </c>
      <c r="AI36" s="848" t="str">
        <f>IFERROR(__xludf.DUMMYFUNCTION("IF($CR36="""","""",IFERROR(GOOGLEFINANCE($CR36,""high52"")*CU36,""-""))"),"")</f>
        <v/>
      </c>
      <c r="AJ36" s="849" t="s">
        <v>123</v>
      </c>
      <c r="AK36" s="850" t="str">
        <f>IFERROR(__xludf.DUMMYFUNCTION("IF($CR36="""","""",IFERROR(GOOGLEFINANCE($CR36,""changepct"")/100,""-""))"),"")</f>
        <v/>
      </c>
      <c r="AL36" s="851" t="str">
        <f>IFERROR(__xludf.DUMMYFUNCTION("IF($CR36="""","""",IFERROR(($AD36/(QUERY(GOOGLEFINANCE($CR36,""price"",TODAY()-7),""SELECT Col2 label Col2 ''"")*$CU36)-1),""-""))"),"")</f>
        <v/>
      </c>
      <c r="AM36" s="851" t="str">
        <f>IFERROR(__xludf.DUMMYFUNCTION("IF($CR36="""","""",IFERROR(($AD36/(QUERY(GOOGLEFINANCE($CR36,""price"",TODAY()-14),""SELECT Col2 label Col2 ''"")*$CU36)-1),""-""))"),"")</f>
        <v/>
      </c>
      <c r="AN36" s="851" t="str">
        <f>IFERROR(__xludf.DUMMYFUNCTION("IF($CR36="""","""",IFERROR(($AD36/(QUERY(GOOGLEFINANCE($CR36,""price"",TODAY()-28),""SELECT Col2 label Col2 ''"")*$CU36)-1),""-""))"),"")</f>
        <v/>
      </c>
      <c r="AO36" s="851" t="str">
        <f>IFERROR(__xludf.DUMMYFUNCTION("IF($CR36="""","""",IFERROR(($AD36/(QUERY(GOOGLEFINANCE($CR36,""price"",TODAY()-$AQ$5),""SELECT Col2 label Col2 ''"")*$CU36)-1),""-""))"),"")</f>
        <v/>
      </c>
      <c r="AP36" s="852" t="str">
        <f>IFERROR(__xludf.DUMMYFUNCTION("IF($CR36="""","""",IFERROR(SPARKLINE(query(GOOGLEFINANCE($CR36,""price"",TODAY()-$AQ$5,TODAY(),1),""select Col2 label Col2 ''""),IF($AP$7=""Gráfico de barras"",{""charttype"",""column"";""highcolor"",""red""},{""chartype"",""line""}))))"),"")</f>
        <v/>
      </c>
      <c r="AQ36" s="144"/>
      <c r="AR36" s="853"/>
      <c r="AS36" s="854" t="str">
        <f>IF($CR36="","",IF(NOT('alocação'!$D$1),"off",IFERROR(VLOOKUP(CR36,BalanceAtivos,3,0),"NC")))</f>
        <v/>
      </c>
      <c r="AT36" s="855" t="str">
        <f>IF($CR36="","",IF(NOT('alocação'!$D$1),"off",IFERROR(VLOOKUP($CR36,BalanceAtivos,4,0)*$CU$5,"NC")))</f>
        <v/>
      </c>
      <c r="AU36" s="856" t="str">
        <f>IF($CR36="","",IF(NOT('alocação'!$D$1),"off",IFERROR(VLOOKUP($CR36,BalanceAtivos,5,0),"-")))</f>
        <v/>
      </c>
      <c r="AV36" s="856" t="str">
        <f>IF($CR36="","",IF(NOT('alocação'!$D$1),"off",IFERROR(VLOOKUP($CR36,BalanceAtivos,6,0),"-")))</f>
        <v/>
      </c>
      <c r="AW36" s="857"/>
      <c r="AX36" s="858" t="str">
        <f>IF($CR36="","",IF($E36="","SP",IFERROR(VLOOKUP($CR36,AtivosDados,MATCH("pm_atual",portfolio.!$A$3:CY$3,0),0)*$CU$5,0)))</f>
        <v/>
      </c>
      <c r="AY36" s="859" t="str">
        <f t="shared" si="2"/>
        <v/>
      </c>
      <c r="AZ36" s="858" t="str">
        <f>IF($CR36="","",IF($E36="","SP",SUMIF(portfolio.!$A$4:$A308,$CR36,portfolio.!$O$4:$O308)*$CU$5))</f>
        <v/>
      </c>
      <c r="BA36" s="858" t="str">
        <f>IF($CR36="","",IF($E36="","SP",SUMIF(portfolio.!$A$4:$A308,$CR36,portfolio.!$AN$4:$AN308)*$CU$5))</f>
        <v/>
      </c>
      <c r="BB36" s="860" t="str">
        <f>IF($CR36="","",IF($E36="","-",IFERROR($BA36/'portfólio'!$DG$63,"")))</f>
        <v/>
      </c>
      <c r="BC36" s="861" t="str">
        <f>IF($CR36="","",IF($E36="","-",SUMIF(portfolio.!$A$4:$A308,$CR36,portfolio.!$J$4:$J308)))</f>
        <v/>
      </c>
      <c r="BD36" s="862" t="str">
        <f>IF($CR36="","",IF($E36="","SP",SUMIF(portfolio.!$A$4:$A308,$CR36,portfolio.!$AQ$4:$AQ308)*$CU$5))</f>
        <v/>
      </c>
      <c r="BE36" s="850" t="str">
        <f t="shared" si="3"/>
        <v/>
      </c>
      <c r="BF36" s="862" t="str">
        <f>IF($CR36="","",IF($E36="","-",SUMIF(portfolio.!$A$4:$A308,$CR36,portfolio.!$AX$4:$AX308)*$CU$5))</f>
        <v/>
      </c>
      <c r="BG36" s="545"/>
      <c r="BH36" s="879" t="s">
        <v>123</v>
      </c>
      <c r="BI36" s="880" t="s">
        <v>123</v>
      </c>
      <c r="BJ36" s="863" t="str">
        <f>IFERROR(__xludf.DUMMYFUNCTION("IF(NOT($BL$4),"""",IF($CR36="""","""",IFERROR(query({GOOGLEFINANCE($CR36,""price"",IF($BI36=""-"",TODAY()-($AQ$5+5),$BI36),TODAY()-1)},""Select max(Col2) where Col1 is not null label max(Col2) ''"")*CU36,""-"")))"),"")</f>
        <v/>
      </c>
      <c r="BK36" s="881" t="s">
        <v>123</v>
      </c>
      <c r="BL36" s="882" t="s">
        <v>123</v>
      </c>
      <c r="BM36" s="442"/>
      <c r="BN36" s="867" t="str">
        <f>IFERROR(__xludf.DUMMYFUNCTION("IF(CR36="""","""",IF(OR(C36=""AÇÃO"",C36=""BDR""),IFERROR(QUERY({fundamentus.!$A$3:$U308},$CX$67&amp;"" where Col1='""&amp;CR36&amp;""' limit 1"",0)),IF(C36=""FII"",IFERROR(QUERY({fundsexplorer.!$A$2:$Z308},$CY$67&amp;"" where Col1='""&amp;CR36&amp;""' limit 1"",0)),"""")))"),"")</f>
        <v/>
      </c>
      <c r="BO36" s="867"/>
      <c r="BP36" s="867"/>
      <c r="BQ36" s="867"/>
      <c r="BR36" s="867"/>
      <c r="BS36" s="867"/>
      <c r="BT36" s="867"/>
      <c r="BU36" s="442"/>
      <c r="BV36" s="868" t="str">
        <f>IFERROR(__xludf.DUMMYFUNCTION("IF(OR(C36=""AÇÃO"",C36=""BDR""),IFERROR(GOOGLEFINANCE(CONCAT(""BVMF:"",CR36), ""marketcap"")/1000000,""NC""),"""")"),"")</f>
        <v/>
      </c>
      <c r="BW36" s="869" t="s">
        <v>123</v>
      </c>
      <c r="BX36" s="870" t="s">
        <v>123</v>
      </c>
      <c r="BY36" s="868" t="s">
        <v>123</v>
      </c>
      <c r="BZ36" s="870" t="s">
        <v>123</v>
      </c>
      <c r="CA36" s="868" t="s">
        <v>123</v>
      </c>
      <c r="CB36" s="868" t="s">
        <v>123</v>
      </c>
      <c r="CC36" s="868" t="s">
        <v>123</v>
      </c>
      <c r="CD36" s="868" t="str">
        <f>IFERROR(__xludf.DUMMYFUNCTION("IF(OR(C36=""AÇÃO"",C36=""BDR""),IFERROR(GOOGLEFINANCE(CONCAT(""BVMF:"",CR36), ""volumeavg"")/1000000,""NC""),"""")"),"")</f>
        <v/>
      </c>
      <c r="CE36" s="870" t="s">
        <v>123</v>
      </c>
      <c r="CF36" s="870" t="s">
        <v>123</v>
      </c>
      <c r="CG36" s="870" t="str">
        <f>IFERROR(__xludf.DUMMYFUNCTION("IF(OR(C36=""AÇÃO"",C36=""BDR""),IF(CF36=0,""SEM DY"",IFERROR(ImportXML(CONCAT(""http://www.guiainvest.com.br/raiox/default.aspx?sigla="",$CR36),""//*[@id='lbPayoutAtual']""),""NC"")),"""")"),"")</f>
        <v/>
      </c>
      <c r="CH36" s="870" t="s">
        <v>123</v>
      </c>
      <c r="CI36" s="545"/>
      <c r="CJ36" s="871" t="str">
        <f>IFERROR(__xludf.DUMMYFUNCTION("IF(OR(C36=""AÇÃO"",C36=""BDR""),IFERROR(GOOGLEFINANCE(CONCAT(""BVMF:"",CR36), ""eps""),""NC""),"""")"),"")</f>
        <v/>
      </c>
      <c r="CK36" s="442"/>
      <c r="CL36" s="871" t="str">
        <f>IFERROR(__xludf.DUMMYFUNCTION("IF(NOT($BL$4),"""",IF($CR36="""","""",IF($BC36="""","""",IFERROR(query({op.normal!$B$5:$F308},""select Col5, toDate(Col2) where Col1 =  '""&amp;$CR36&amp;""' and Col4 &gt; 0 and ((Col3 is null) or (Col3 = 'C')) and Col2 &gt;= date '""&amp;TEXT(TODAY()-$AQ$5,""yyyy-mm-dd"")"&amp;"&amp;""' order by Col2 desc limit 1 label toDate(Col2) ''"")))))"),"")</f>
        <v/>
      </c>
      <c r="CM36" s="872"/>
      <c r="CN36" s="883" t="s">
        <v>123</v>
      </c>
      <c r="CO36" s="874" t="s">
        <v>123</v>
      </c>
      <c r="CP36" s="766"/>
      <c r="CQ36" s="791"/>
      <c r="CR36" s="791"/>
      <c r="CT36" s="791" t="s">
        <v>123</v>
      </c>
      <c r="CU36" s="791" t="str">
        <f>IFERROR(__xludf.DUMMYFUNCTION("IF(CR36="""","""",IF(CT36=$C$4,1,GOOGLEFINANCE(CT36&amp;$C$4)))"),"")</f>
        <v/>
      </c>
      <c r="CW36" s="791" t="s">
        <v>583</v>
      </c>
      <c r="CX36" s="836" t="s">
        <v>502</v>
      </c>
      <c r="CY36" s="791" t="str">
        <f>"Col"&amp;MATCH(CW36,fundsexplorer.!$A$2:$Z$2,0)</f>
        <v>Col6</v>
      </c>
    </row>
    <row r="37" ht="22.5" customHeight="1">
      <c r="A37" s="837">
        <v>29.0</v>
      </c>
      <c r="B37" s="838" t="s">
        <v>123</v>
      </c>
      <c r="C37" s="838" t="s">
        <v>123</v>
      </c>
      <c r="D37" s="839" t="s">
        <v>123</v>
      </c>
      <c r="E37" s="839" t="s">
        <v>123</v>
      </c>
      <c r="F37" s="839" t="s">
        <v>123</v>
      </c>
      <c r="G37" s="56"/>
      <c r="H37" s="884"/>
      <c r="I37" s="838"/>
      <c r="J37" s="838"/>
      <c r="K37" s="838"/>
      <c r="L37" s="838"/>
      <c r="M37" s="838"/>
      <c r="N37" s="838"/>
      <c r="O37" s="838"/>
      <c r="P37" s="838"/>
      <c r="Q37" s="838"/>
      <c r="R37" s="838"/>
      <c r="S37" s="838"/>
      <c r="T37" s="838"/>
      <c r="U37" s="838"/>
      <c r="V37" s="838"/>
      <c r="W37" s="838"/>
      <c r="X37" s="838"/>
      <c r="Z37" s="875" t="str">
        <f>IFERROR(__xludf.DUMMYFUNCTION("IF($CR37="""","""",IFERROR(query({CarteirasAtivos},""select Col4 where Col4 is not null and Col1 = '""&amp;$CR37&amp;""' limit 1"")*CU37,""NC""))"),"")</f>
        <v/>
      </c>
      <c r="AA37" s="876" t="str">
        <f>IFERROR(__xludf.DUMMYFUNCTION("IF($CR37="""","""",IFERROR(query({CarteirasAtivos},""select Col6 where Col4 is not null and Col1 = '""&amp;$CR37&amp;""' limit 1""),""NC""))"),"")</f>
        <v/>
      </c>
      <c r="AB37" s="877"/>
      <c r="AC37" s="878" t="s">
        <v>123</v>
      </c>
      <c r="AD37" s="845" t="str">
        <f>IF($CR37="","",IFERROR(VLOOKUP($CR37,ativos.!$C$3:$R308,MATCH("cotacao",ativos.!$C$2:CY$2,0),FALSE)*$CU$5,"atualizar"))</f>
        <v/>
      </c>
      <c r="AE37" s="846" t="str">
        <f>IFERROR(__xludf.DUMMYFUNCTION("IF($CR37="""","""",IFERROR(AVERAGE(query({CarteirasAtivos;CarteirasAtivosEncerrados},""select Col5 where Col5 is not null and Col1 = '""&amp;$CR37&amp;""' and Col10='SIM'""))*CU37,""NC""))"),"")</f>
        <v/>
      </c>
      <c r="AF37" s="847" t="str">
        <f t="shared" si="1"/>
        <v/>
      </c>
      <c r="AG37" s="442"/>
      <c r="AH37" s="848" t="str">
        <f>IFERROR(__xludf.DUMMYFUNCTION("IF($CR37="""","""",IFERROR(GOOGLEFINANCE($CR37,""low52"")*CU37,""-""))"),"")</f>
        <v/>
      </c>
      <c r="AI37" s="848" t="str">
        <f>IFERROR(__xludf.DUMMYFUNCTION("IF($CR37="""","""",IFERROR(GOOGLEFINANCE($CR37,""high52"")*CU37,""-""))"),"")</f>
        <v/>
      </c>
      <c r="AJ37" s="849" t="s">
        <v>123</v>
      </c>
      <c r="AK37" s="850" t="str">
        <f>IFERROR(__xludf.DUMMYFUNCTION("IF($CR37="""","""",IFERROR(GOOGLEFINANCE($CR37,""changepct"")/100,""-""))"),"")</f>
        <v/>
      </c>
      <c r="AL37" s="851" t="str">
        <f>IFERROR(__xludf.DUMMYFUNCTION("IF($CR37="""","""",IFERROR(($AD37/(QUERY(GOOGLEFINANCE($CR37,""price"",TODAY()-7),""SELECT Col2 label Col2 ''"")*$CU37)-1),""-""))"),"")</f>
        <v/>
      </c>
      <c r="AM37" s="851" t="str">
        <f>IFERROR(__xludf.DUMMYFUNCTION("IF($CR37="""","""",IFERROR(($AD37/(QUERY(GOOGLEFINANCE($CR37,""price"",TODAY()-14),""SELECT Col2 label Col2 ''"")*$CU37)-1),""-""))"),"")</f>
        <v/>
      </c>
      <c r="AN37" s="851" t="str">
        <f>IFERROR(__xludf.DUMMYFUNCTION("IF($CR37="""","""",IFERROR(($AD37/(QUERY(GOOGLEFINANCE($CR37,""price"",TODAY()-28),""SELECT Col2 label Col2 ''"")*$CU37)-1),""-""))"),"")</f>
        <v/>
      </c>
      <c r="AO37" s="851" t="str">
        <f>IFERROR(__xludf.DUMMYFUNCTION("IF($CR37="""","""",IFERROR(($AD37/(QUERY(GOOGLEFINANCE($CR37,""price"",TODAY()-$AQ$5),""SELECT Col2 label Col2 ''"")*$CU37)-1),""-""))"),"")</f>
        <v/>
      </c>
      <c r="AP37" s="852" t="str">
        <f>IFERROR(__xludf.DUMMYFUNCTION("IF($CR37="""","""",IFERROR(SPARKLINE(query(GOOGLEFINANCE($CR37,""price"",TODAY()-$AQ$5,TODAY(),1),""select Col2 label Col2 ''""),IF($AP$7=""Gráfico de barras"",{""charttype"",""column"";""highcolor"",""red""},{""chartype"",""line""}))))"),"")</f>
        <v/>
      </c>
      <c r="AQ37" s="144"/>
      <c r="AR37" s="853"/>
      <c r="AS37" s="854" t="str">
        <f>IF($CR37="","",IF(NOT('alocação'!$D$1),"off",IFERROR(VLOOKUP(CR37,BalanceAtivos,3,0),"NC")))</f>
        <v/>
      </c>
      <c r="AT37" s="855" t="str">
        <f>IF($CR37="","",IF(NOT('alocação'!$D$1),"off",IFERROR(VLOOKUP($CR37,BalanceAtivos,4,0)*$CU$5,"NC")))</f>
        <v/>
      </c>
      <c r="AU37" s="856" t="str">
        <f>IF($CR37="","",IF(NOT('alocação'!$D$1),"off",IFERROR(VLOOKUP($CR37,BalanceAtivos,5,0),"-")))</f>
        <v/>
      </c>
      <c r="AV37" s="856" t="str">
        <f>IF($CR37="","",IF(NOT('alocação'!$D$1),"off",IFERROR(VLOOKUP($CR37,BalanceAtivos,6,0),"-")))</f>
        <v/>
      </c>
      <c r="AW37" s="857"/>
      <c r="AX37" s="858" t="str">
        <f>IF($CR37="","",IF($E37="","SP",IFERROR(VLOOKUP($CR37,AtivosDados,MATCH("pm_atual",portfolio.!$A$3:CY$3,0),0)*$CU$5,0)))</f>
        <v/>
      </c>
      <c r="AY37" s="859" t="str">
        <f t="shared" si="2"/>
        <v/>
      </c>
      <c r="AZ37" s="858" t="str">
        <f>IF($CR37="","",IF($E37="","SP",SUMIF(portfolio.!$A$4:$A308,$CR37,portfolio.!$O$4:$O308)*$CU$5))</f>
        <v/>
      </c>
      <c r="BA37" s="858" t="str">
        <f>IF($CR37="","",IF($E37="","SP",SUMIF(portfolio.!$A$4:$A308,$CR37,portfolio.!$AN$4:$AN308)*$CU$5))</f>
        <v/>
      </c>
      <c r="BB37" s="860" t="str">
        <f>IF($CR37="","",IF($E37="","-",IFERROR($BA37/'portfólio'!$DG$63,"")))</f>
        <v/>
      </c>
      <c r="BC37" s="861" t="str">
        <f>IF($CR37="","",IF($E37="","-",SUMIF(portfolio.!$A$4:$A308,$CR37,portfolio.!$J$4:$J308)))</f>
        <v/>
      </c>
      <c r="BD37" s="862" t="str">
        <f>IF($CR37="","",IF($E37="","SP",SUMIF(portfolio.!$A$4:$A308,$CR37,portfolio.!$AQ$4:$AQ308)*$CU$5))</f>
        <v/>
      </c>
      <c r="BE37" s="850" t="str">
        <f t="shared" si="3"/>
        <v/>
      </c>
      <c r="BF37" s="862" t="str">
        <f>IF($CR37="","",IF($E37="","-",SUMIF(portfolio.!$A$4:$A308,$CR37,portfolio.!$AX$4:$AX308)*$CU$5))</f>
        <v/>
      </c>
      <c r="BG37" s="545"/>
      <c r="BH37" s="879" t="s">
        <v>123</v>
      </c>
      <c r="BI37" s="880" t="s">
        <v>123</v>
      </c>
      <c r="BJ37" s="863" t="str">
        <f>IFERROR(__xludf.DUMMYFUNCTION("IF(NOT($BL$4),"""",IF($CR37="""","""",IFERROR(query({GOOGLEFINANCE($CR37,""price"",IF($BI37=""-"",TODAY()-($AQ$5+5),$BI37),TODAY()-1)},""Select max(Col2) where Col1 is not null label max(Col2) ''"")*CU37,""-"")))"),"")</f>
        <v/>
      </c>
      <c r="BK37" s="881" t="s">
        <v>123</v>
      </c>
      <c r="BL37" s="882" t="s">
        <v>123</v>
      </c>
      <c r="BM37" s="442"/>
      <c r="BN37" s="867" t="str">
        <f>IFERROR(__xludf.DUMMYFUNCTION("IF(CR37="""","""",IF(OR(C37=""AÇÃO"",C37=""BDR""),IFERROR(QUERY({fundamentus.!$A$3:$U308},$CX$67&amp;"" where Col1='""&amp;CR37&amp;""' limit 1"",0)),IF(C37=""FII"",IFERROR(QUERY({fundsexplorer.!$A$2:$Z308},$CY$67&amp;"" where Col1='""&amp;CR37&amp;""' limit 1"",0)),"""")))"),"")</f>
        <v/>
      </c>
      <c r="BO37" s="867"/>
      <c r="BP37" s="867"/>
      <c r="BQ37" s="867"/>
      <c r="BR37" s="867"/>
      <c r="BS37" s="867"/>
      <c r="BT37" s="867"/>
      <c r="BU37" s="442"/>
      <c r="BV37" s="868" t="str">
        <f>IFERROR(__xludf.DUMMYFUNCTION("IF(OR(C37=""AÇÃO"",C37=""BDR""),IFERROR(GOOGLEFINANCE(CONCAT(""BVMF:"",CR37), ""marketcap"")/1000000,""NC""),"""")"),"")</f>
        <v/>
      </c>
      <c r="BW37" s="869" t="s">
        <v>123</v>
      </c>
      <c r="BX37" s="870" t="s">
        <v>123</v>
      </c>
      <c r="BY37" s="868" t="s">
        <v>123</v>
      </c>
      <c r="BZ37" s="870" t="s">
        <v>123</v>
      </c>
      <c r="CA37" s="868" t="s">
        <v>123</v>
      </c>
      <c r="CB37" s="868" t="s">
        <v>123</v>
      </c>
      <c r="CC37" s="868" t="s">
        <v>123</v>
      </c>
      <c r="CD37" s="868" t="str">
        <f>IFERROR(__xludf.DUMMYFUNCTION("IF(OR(C37=""AÇÃO"",C37=""BDR""),IFERROR(GOOGLEFINANCE(CONCAT(""BVMF:"",CR37), ""volumeavg"")/1000000,""NC""),"""")"),"")</f>
        <v/>
      </c>
      <c r="CE37" s="870" t="s">
        <v>123</v>
      </c>
      <c r="CF37" s="870" t="s">
        <v>123</v>
      </c>
      <c r="CG37" s="870" t="str">
        <f>IFERROR(__xludf.DUMMYFUNCTION("IF(OR(C37=""AÇÃO"",C37=""BDR""),IF(CF37=0,""SEM DY"",IFERROR(ImportXML(CONCAT(""http://www.guiainvest.com.br/raiox/default.aspx?sigla="",$CR37),""//*[@id='lbPayoutAtual']""),""NC"")),"""")"),"")</f>
        <v/>
      </c>
      <c r="CH37" s="870" t="s">
        <v>123</v>
      </c>
      <c r="CI37" s="545"/>
      <c r="CJ37" s="871" t="str">
        <f>IFERROR(__xludf.DUMMYFUNCTION("IF(OR(C37=""AÇÃO"",C37=""BDR""),IFERROR(GOOGLEFINANCE(CONCAT(""BVMF:"",CR37), ""eps""),""NC""),"""")"),"")</f>
        <v/>
      </c>
      <c r="CK37" s="442"/>
      <c r="CL37" s="871" t="str">
        <f>IFERROR(__xludf.DUMMYFUNCTION("IF(NOT($BL$4),"""",IF($CR37="""","""",IF($BC37="""","""",IFERROR(query({op.normal!$B$5:$F308},""select Col5, toDate(Col2) where Col1 =  '""&amp;$CR37&amp;""' and Col4 &gt; 0 and ((Col3 is null) or (Col3 = 'C')) and Col2 &gt;= date '""&amp;TEXT(TODAY()-$AQ$5,""yyyy-mm-dd"")"&amp;"&amp;""' order by Col2 desc limit 1 label toDate(Col2) ''"")))))"),"")</f>
        <v/>
      </c>
      <c r="CM37" s="872"/>
      <c r="CN37" s="883" t="s">
        <v>123</v>
      </c>
      <c r="CO37" s="874" t="s">
        <v>123</v>
      </c>
      <c r="CP37" s="766"/>
      <c r="CQ37" s="791"/>
      <c r="CR37" s="791"/>
      <c r="CT37" s="791" t="s">
        <v>123</v>
      </c>
      <c r="CU37" s="791" t="str">
        <f>IFERROR(__xludf.DUMMYFUNCTION("IF(CR37="""","""",IF(CT37=$C$4,1,GOOGLEFINANCE(CT37&amp;$C$4)))"),"")</f>
        <v/>
      </c>
      <c r="CW37" s="791" t="s">
        <v>584</v>
      </c>
      <c r="CX37" s="836" t="s">
        <v>585</v>
      </c>
      <c r="CY37" s="791" t="str">
        <f>"Col"&amp;MATCH(CW37,fundsexplorer.!$A$2:$Z$2,0)</f>
        <v>Col7</v>
      </c>
    </row>
    <row r="38" ht="22.5" customHeight="1">
      <c r="A38" s="837">
        <v>30.0</v>
      </c>
      <c r="B38" s="838" t="s">
        <v>123</v>
      </c>
      <c r="C38" s="838" t="s">
        <v>123</v>
      </c>
      <c r="D38" s="839" t="s">
        <v>123</v>
      </c>
      <c r="E38" s="839" t="s">
        <v>123</v>
      </c>
      <c r="F38" s="839" t="s">
        <v>123</v>
      </c>
      <c r="G38" s="56"/>
      <c r="H38" s="884"/>
      <c r="I38" s="838"/>
      <c r="J38" s="838"/>
      <c r="K38" s="838"/>
      <c r="L38" s="838"/>
      <c r="M38" s="838"/>
      <c r="N38" s="838"/>
      <c r="O38" s="838"/>
      <c r="P38" s="838"/>
      <c r="Q38" s="838"/>
      <c r="R38" s="838"/>
      <c r="S38" s="838"/>
      <c r="T38" s="838"/>
      <c r="U38" s="838"/>
      <c r="V38" s="838"/>
      <c r="W38" s="838"/>
      <c r="X38" s="838"/>
      <c r="Z38" s="875" t="str">
        <f>IFERROR(__xludf.DUMMYFUNCTION("IF($CR38="""","""",IFERROR(query({CarteirasAtivos},""select Col4 where Col4 is not null and Col1 = '""&amp;$CR38&amp;""' limit 1"")*CU38,""NC""))"),"")</f>
        <v/>
      </c>
      <c r="AA38" s="876" t="str">
        <f>IFERROR(__xludf.DUMMYFUNCTION("IF($CR38="""","""",IFERROR(query({CarteirasAtivos},""select Col6 where Col4 is not null and Col1 = '""&amp;$CR38&amp;""' limit 1""),""NC""))"),"")</f>
        <v/>
      </c>
      <c r="AB38" s="877"/>
      <c r="AC38" s="878" t="s">
        <v>123</v>
      </c>
      <c r="AD38" s="845" t="str">
        <f>IF($CR38="","",IFERROR(VLOOKUP($CR38,ativos.!$C$3:$R308,MATCH("cotacao",ativos.!$C$2:CY$2,0),FALSE)*$CU$5,"atualizar"))</f>
        <v/>
      </c>
      <c r="AE38" s="846" t="str">
        <f>IFERROR(__xludf.DUMMYFUNCTION("IF($CR38="""","""",IFERROR(AVERAGE(query({CarteirasAtivos;CarteirasAtivosEncerrados},""select Col5 where Col5 is not null and Col1 = '""&amp;$CR38&amp;""' and Col10='SIM'""))*CU38,""NC""))"),"")</f>
        <v/>
      </c>
      <c r="AF38" s="847" t="str">
        <f t="shared" si="1"/>
        <v/>
      </c>
      <c r="AG38" s="442"/>
      <c r="AH38" s="848" t="str">
        <f>IFERROR(__xludf.DUMMYFUNCTION("IF($CR38="""","""",IFERROR(GOOGLEFINANCE($CR38,""low52"")*CU38,""-""))"),"")</f>
        <v/>
      </c>
      <c r="AI38" s="848" t="str">
        <f>IFERROR(__xludf.DUMMYFUNCTION("IF($CR38="""","""",IFERROR(GOOGLEFINANCE($CR38,""high52"")*CU38,""-""))"),"")</f>
        <v/>
      </c>
      <c r="AJ38" s="849" t="s">
        <v>123</v>
      </c>
      <c r="AK38" s="850" t="str">
        <f>IFERROR(__xludf.DUMMYFUNCTION("IF($CR38="""","""",IFERROR(GOOGLEFINANCE($CR38,""changepct"")/100,""-""))"),"")</f>
        <v/>
      </c>
      <c r="AL38" s="851" t="str">
        <f>IFERROR(__xludf.DUMMYFUNCTION("IF($CR38="""","""",IFERROR(($AD38/(QUERY(GOOGLEFINANCE($CR38,""price"",TODAY()-7),""SELECT Col2 label Col2 ''"")*$CU38)-1),""-""))"),"")</f>
        <v/>
      </c>
      <c r="AM38" s="851" t="str">
        <f>IFERROR(__xludf.DUMMYFUNCTION("IF($CR38="""","""",IFERROR(($AD38/(QUERY(GOOGLEFINANCE($CR38,""price"",TODAY()-14),""SELECT Col2 label Col2 ''"")*$CU38)-1),""-""))"),"")</f>
        <v/>
      </c>
      <c r="AN38" s="851" t="str">
        <f>IFERROR(__xludf.DUMMYFUNCTION("IF($CR38="""","""",IFERROR(($AD38/(QUERY(GOOGLEFINANCE($CR38,""price"",TODAY()-28),""SELECT Col2 label Col2 ''"")*$CU38)-1),""-""))"),"")</f>
        <v/>
      </c>
      <c r="AO38" s="851" t="str">
        <f>IFERROR(__xludf.DUMMYFUNCTION("IF($CR38="""","""",IFERROR(($AD38/(QUERY(GOOGLEFINANCE($CR38,""price"",TODAY()-$AQ$5),""SELECT Col2 label Col2 ''"")*$CU38)-1),""-""))"),"")</f>
        <v/>
      </c>
      <c r="AP38" s="852" t="str">
        <f>IFERROR(__xludf.DUMMYFUNCTION("IF($CR38="""","""",IFERROR(SPARKLINE(query(GOOGLEFINANCE($CR38,""price"",TODAY()-$AQ$5,TODAY(),1),""select Col2 label Col2 ''""),IF($AP$7=""Gráfico de barras"",{""charttype"",""column"";""highcolor"",""red""},{""chartype"",""line""}))))"),"")</f>
        <v/>
      </c>
      <c r="AQ38" s="144"/>
      <c r="AR38" s="853"/>
      <c r="AS38" s="854" t="str">
        <f>IF($CR38="","",IF(NOT('alocação'!$D$1),"off",IFERROR(VLOOKUP(CR38,BalanceAtivos,3,0),"NC")))</f>
        <v/>
      </c>
      <c r="AT38" s="855" t="str">
        <f>IF($CR38="","",IF(NOT('alocação'!$D$1),"off",IFERROR(VLOOKUP($CR38,BalanceAtivos,4,0)*$CU$5,"NC")))</f>
        <v/>
      </c>
      <c r="AU38" s="856" t="str">
        <f>IF($CR38="","",IF(NOT('alocação'!$D$1),"off",IFERROR(VLOOKUP($CR38,BalanceAtivos,5,0),"-")))</f>
        <v/>
      </c>
      <c r="AV38" s="856" t="str">
        <f>IF($CR38="","",IF(NOT('alocação'!$D$1),"off",IFERROR(VLOOKUP($CR38,BalanceAtivos,6,0),"-")))</f>
        <v/>
      </c>
      <c r="AW38" s="857"/>
      <c r="AX38" s="858" t="str">
        <f>IF($CR38="","",IF($E38="","SP",IFERROR(VLOOKUP($CR38,AtivosDados,MATCH("pm_atual",portfolio.!$A$3:CY$3,0),0)*$CU$5,0)))</f>
        <v/>
      </c>
      <c r="AY38" s="859" t="str">
        <f t="shared" si="2"/>
        <v/>
      </c>
      <c r="AZ38" s="858" t="str">
        <f>IF($CR38="","",IF($E38="","SP",SUMIF(portfolio.!$A$4:$A308,$CR38,portfolio.!$O$4:$O308)*$CU$5))</f>
        <v/>
      </c>
      <c r="BA38" s="858" t="str">
        <f>IF($CR38="","",IF($E38="","SP",SUMIF(portfolio.!$A$4:$A308,$CR38,portfolio.!$AN$4:$AN308)*$CU$5))</f>
        <v/>
      </c>
      <c r="BB38" s="860" t="str">
        <f>IF($CR38="","",IF($E38="","-",IFERROR($BA38/'portfólio'!$DG$63,"")))</f>
        <v/>
      </c>
      <c r="BC38" s="861" t="str">
        <f>IF($CR38="","",IF($E38="","-",SUMIF(portfolio.!$A$4:$A308,$CR38,portfolio.!$J$4:$J308)))</f>
        <v/>
      </c>
      <c r="BD38" s="862" t="str">
        <f>IF($CR38="","",IF($E38="","SP",SUMIF(portfolio.!$A$4:$A308,$CR38,portfolio.!$AQ$4:$AQ308)*$CU$5))</f>
        <v/>
      </c>
      <c r="BE38" s="850" t="str">
        <f t="shared" si="3"/>
        <v/>
      </c>
      <c r="BF38" s="862" t="str">
        <f>IF($CR38="","",IF($E38="","-",SUMIF(portfolio.!$A$4:$A308,$CR38,portfolio.!$AX$4:$AX308)*$CU$5))</f>
        <v/>
      </c>
      <c r="BG38" s="545"/>
      <c r="BH38" s="879" t="s">
        <v>123</v>
      </c>
      <c r="BI38" s="880" t="s">
        <v>123</v>
      </c>
      <c r="BJ38" s="863" t="str">
        <f>IFERROR(__xludf.DUMMYFUNCTION("IF(NOT($BL$4),"""",IF($CR38="""","""",IFERROR(query({GOOGLEFINANCE($CR38,""price"",IF($BI38=""-"",TODAY()-($AQ$5+5),$BI38),TODAY()-1)},""Select max(Col2) where Col1 is not null label max(Col2) ''"")*CU38,""-"")))"),"")</f>
        <v/>
      </c>
      <c r="BK38" s="881" t="s">
        <v>123</v>
      </c>
      <c r="BL38" s="882" t="s">
        <v>123</v>
      </c>
      <c r="BM38" s="442"/>
      <c r="BN38" s="867" t="str">
        <f>IFERROR(__xludf.DUMMYFUNCTION("IF(CR38="""","""",IF(OR(C38=""AÇÃO"",C38=""BDR""),IFERROR(QUERY({fundamentus.!$A$3:$U308},$CX$67&amp;"" where Col1='""&amp;CR38&amp;""' limit 1"",0)),IF(C38=""FII"",IFERROR(QUERY({fundsexplorer.!$A$2:$Z308},$CY$67&amp;"" where Col1='""&amp;CR38&amp;""' limit 1"",0)),"""")))"),"")</f>
        <v/>
      </c>
      <c r="BO38" s="867"/>
      <c r="BP38" s="867"/>
      <c r="BQ38" s="867"/>
      <c r="BR38" s="867"/>
      <c r="BS38" s="867"/>
      <c r="BT38" s="867"/>
      <c r="BU38" s="442"/>
      <c r="BV38" s="868" t="str">
        <f>IFERROR(__xludf.DUMMYFUNCTION("IF(OR(C38=""AÇÃO"",C38=""BDR""),IFERROR(GOOGLEFINANCE(CONCAT(""BVMF:"",CR38), ""marketcap"")/1000000,""NC""),"""")"),"")</f>
        <v/>
      </c>
      <c r="BW38" s="869" t="s">
        <v>123</v>
      </c>
      <c r="BX38" s="870" t="s">
        <v>123</v>
      </c>
      <c r="BY38" s="868" t="s">
        <v>123</v>
      </c>
      <c r="BZ38" s="870" t="s">
        <v>123</v>
      </c>
      <c r="CA38" s="868" t="s">
        <v>123</v>
      </c>
      <c r="CB38" s="868" t="s">
        <v>123</v>
      </c>
      <c r="CC38" s="868" t="s">
        <v>123</v>
      </c>
      <c r="CD38" s="868" t="str">
        <f>IFERROR(__xludf.DUMMYFUNCTION("IF(OR(C38=""AÇÃO"",C38=""BDR""),IFERROR(GOOGLEFINANCE(CONCAT(""BVMF:"",CR38), ""volumeavg"")/1000000,""NC""),"""")"),"")</f>
        <v/>
      </c>
      <c r="CE38" s="870" t="s">
        <v>123</v>
      </c>
      <c r="CF38" s="870" t="s">
        <v>123</v>
      </c>
      <c r="CG38" s="870" t="str">
        <f>IFERROR(__xludf.DUMMYFUNCTION("IF(OR(C38=""AÇÃO"",C38=""BDR""),IF(CF38=0,""SEM DY"",IFERROR(ImportXML(CONCAT(""http://www.guiainvest.com.br/raiox/default.aspx?sigla="",$CR38),""//*[@id='lbPayoutAtual']""),""NC"")),"""")"),"")</f>
        <v/>
      </c>
      <c r="CH38" s="870" t="s">
        <v>123</v>
      </c>
      <c r="CI38" s="545"/>
      <c r="CJ38" s="871" t="str">
        <f>IFERROR(__xludf.DUMMYFUNCTION("IF(OR(C38=""AÇÃO"",C38=""BDR""),IFERROR(GOOGLEFINANCE(CONCAT(""BVMF:"",CR38), ""eps""),""NC""),"""")"),"")</f>
        <v/>
      </c>
      <c r="CK38" s="442"/>
      <c r="CL38" s="871" t="str">
        <f>IFERROR(__xludf.DUMMYFUNCTION("IF(NOT($BL$4),"""",IF($CR38="""","""",IF($BC38="""","""",IFERROR(query({op.normal!$B$5:$F308},""select Col5, toDate(Col2) where Col1 =  '""&amp;$CR38&amp;""' and Col4 &gt; 0 and ((Col3 is null) or (Col3 = 'C')) and Col2 &gt;= date '""&amp;TEXT(TODAY()-$AQ$5,""yyyy-mm-dd"")"&amp;"&amp;""' order by Col2 desc limit 1 label toDate(Col2) ''"")))))"),"")</f>
        <v/>
      </c>
      <c r="CM38" s="872"/>
      <c r="CN38" s="883" t="s">
        <v>123</v>
      </c>
      <c r="CO38" s="874" t="s">
        <v>123</v>
      </c>
      <c r="CP38" s="766"/>
      <c r="CQ38" s="791"/>
      <c r="CR38" s="791"/>
      <c r="CT38" s="791" t="s">
        <v>123</v>
      </c>
      <c r="CU38" s="791" t="str">
        <f>IFERROR(__xludf.DUMMYFUNCTION("IF(CR38="""","""",IF(CT38=$C$4,1,GOOGLEFINANCE(CT38&amp;$C$4)))"),"")</f>
        <v/>
      </c>
      <c r="CW38" s="791" t="s">
        <v>586</v>
      </c>
      <c r="CX38" s="836" t="s">
        <v>587</v>
      </c>
      <c r="CY38" s="791" t="str">
        <f>"Col"&amp;MATCH(CW38,fundsexplorer.!$A$2:$Z$2,0)</f>
        <v>Col8</v>
      </c>
    </row>
    <row r="39" ht="22.5" customHeight="1">
      <c r="A39" s="837">
        <v>31.0</v>
      </c>
      <c r="B39" s="838" t="s">
        <v>123</v>
      </c>
      <c r="C39" s="838" t="s">
        <v>123</v>
      </c>
      <c r="D39" s="839" t="s">
        <v>123</v>
      </c>
      <c r="E39" s="839" t="s">
        <v>123</v>
      </c>
      <c r="F39" s="839" t="s">
        <v>123</v>
      </c>
      <c r="G39" s="56"/>
      <c r="H39" s="884"/>
      <c r="I39" s="838"/>
      <c r="J39" s="838"/>
      <c r="K39" s="838"/>
      <c r="L39" s="838"/>
      <c r="M39" s="838"/>
      <c r="N39" s="838"/>
      <c r="O39" s="838"/>
      <c r="P39" s="838"/>
      <c r="Q39" s="838"/>
      <c r="R39" s="838"/>
      <c r="S39" s="838"/>
      <c r="T39" s="838"/>
      <c r="U39" s="838"/>
      <c r="V39" s="838"/>
      <c r="W39" s="838"/>
      <c r="X39" s="838"/>
      <c r="Z39" s="875" t="str">
        <f>IFERROR(__xludf.DUMMYFUNCTION("IF($CR39="""","""",IFERROR(query({CarteirasAtivos},""select Col4 where Col4 is not null and Col1 = '""&amp;$CR39&amp;""' limit 1"")*CU39,""NC""))"),"")</f>
        <v/>
      </c>
      <c r="AA39" s="876" t="str">
        <f>IFERROR(__xludf.DUMMYFUNCTION("IF($CR39="""","""",IFERROR(query({CarteirasAtivos},""select Col6 where Col4 is not null and Col1 = '""&amp;$CR39&amp;""' limit 1""),""NC""))"),"")</f>
        <v/>
      </c>
      <c r="AB39" s="877"/>
      <c r="AC39" s="878" t="s">
        <v>123</v>
      </c>
      <c r="AD39" s="845" t="str">
        <f>IF($CR39="","",IFERROR(VLOOKUP($CR39,ativos.!$C$3:$R308,MATCH("cotacao",ativos.!$C$2:CY$2,0),FALSE)*$CU$5,"atualizar"))</f>
        <v/>
      </c>
      <c r="AE39" s="846" t="str">
        <f>IFERROR(__xludf.DUMMYFUNCTION("IF($CR39="""","""",IFERROR(AVERAGE(query({CarteirasAtivos;CarteirasAtivosEncerrados},""select Col5 where Col5 is not null and Col1 = '""&amp;$CR39&amp;""' and Col10='SIM'""))*CU39,""NC""))"),"")</f>
        <v/>
      </c>
      <c r="AF39" s="847" t="str">
        <f t="shared" si="1"/>
        <v/>
      </c>
      <c r="AG39" s="442"/>
      <c r="AH39" s="848" t="str">
        <f>IFERROR(__xludf.DUMMYFUNCTION("IF($CR39="""","""",IFERROR(GOOGLEFINANCE($CR39,""low52"")*CU39,""-""))"),"")</f>
        <v/>
      </c>
      <c r="AI39" s="848" t="str">
        <f>IFERROR(__xludf.DUMMYFUNCTION("IF($CR39="""","""",IFERROR(GOOGLEFINANCE($CR39,""high52"")*CU39,""-""))"),"")</f>
        <v/>
      </c>
      <c r="AJ39" s="849" t="s">
        <v>123</v>
      </c>
      <c r="AK39" s="850" t="str">
        <f>IFERROR(__xludf.DUMMYFUNCTION("IF($CR39="""","""",IFERROR(GOOGLEFINANCE($CR39,""changepct"")/100,""-""))"),"")</f>
        <v/>
      </c>
      <c r="AL39" s="851" t="str">
        <f>IFERROR(__xludf.DUMMYFUNCTION("IF($CR39="""","""",IFERROR(($AD39/(QUERY(GOOGLEFINANCE($CR39,""price"",TODAY()-7),""SELECT Col2 label Col2 ''"")*$CU39)-1),""-""))"),"")</f>
        <v/>
      </c>
      <c r="AM39" s="851" t="str">
        <f>IFERROR(__xludf.DUMMYFUNCTION("IF($CR39="""","""",IFERROR(($AD39/(QUERY(GOOGLEFINANCE($CR39,""price"",TODAY()-14),""SELECT Col2 label Col2 ''"")*$CU39)-1),""-""))"),"")</f>
        <v/>
      </c>
      <c r="AN39" s="851" t="str">
        <f>IFERROR(__xludf.DUMMYFUNCTION("IF($CR39="""","""",IFERROR(($AD39/(QUERY(GOOGLEFINANCE($CR39,""price"",TODAY()-28),""SELECT Col2 label Col2 ''"")*$CU39)-1),""-""))"),"")</f>
        <v/>
      </c>
      <c r="AO39" s="851" t="str">
        <f>IFERROR(__xludf.DUMMYFUNCTION("IF($CR39="""","""",IFERROR(($AD39/(QUERY(GOOGLEFINANCE($CR39,""price"",TODAY()-$AQ$5),""SELECT Col2 label Col2 ''"")*$CU39)-1),""-""))"),"")</f>
        <v/>
      </c>
      <c r="AP39" s="852" t="str">
        <f>IFERROR(__xludf.DUMMYFUNCTION("IF($CR39="""","""",IFERROR(SPARKLINE(query(GOOGLEFINANCE($CR39,""price"",TODAY()-$AQ$5,TODAY(),1),""select Col2 label Col2 ''""),IF($AP$7=""Gráfico de barras"",{""charttype"",""column"";""highcolor"",""red""},{""chartype"",""line""}))))"),"")</f>
        <v/>
      </c>
      <c r="AQ39" s="144"/>
      <c r="AR39" s="853"/>
      <c r="AS39" s="854" t="str">
        <f>IF($CR39="","",IF(NOT('alocação'!$D$1),"off",IFERROR(VLOOKUP(CR39,BalanceAtivos,3,0),"NC")))</f>
        <v/>
      </c>
      <c r="AT39" s="855" t="str">
        <f>IF($CR39="","",IF(NOT('alocação'!$D$1),"off",IFERROR(VLOOKUP($CR39,BalanceAtivos,4,0)*$CU$5,"NC")))</f>
        <v/>
      </c>
      <c r="AU39" s="856" t="str">
        <f>IF($CR39="","",IF(NOT('alocação'!$D$1),"off",IFERROR(VLOOKUP($CR39,BalanceAtivos,5,0),"-")))</f>
        <v/>
      </c>
      <c r="AV39" s="856" t="str">
        <f>IF($CR39="","",IF(NOT('alocação'!$D$1),"off",IFERROR(VLOOKUP($CR39,BalanceAtivos,6,0),"-")))</f>
        <v/>
      </c>
      <c r="AW39" s="857"/>
      <c r="AX39" s="858" t="str">
        <f>IF($CR39="","",IF($E39="","SP",IFERROR(VLOOKUP($CR39,AtivosDados,MATCH("pm_atual",portfolio.!$A$3:CY$3,0),0)*$CU$5,0)))</f>
        <v/>
      </c>
      <c r="AY39" s="859" t="str">
        <f t="shared" si="2"/>
        <v/>
      </c>
      <c r="AZ39" s="858" t="str">
        <f>IF($CR39="","",IF($E39="","SP",SUMIF(portfolio.!$A$4:$A308,$CR39,portfolio.!$O$4:$O308)*$CU$5))</f>
        <v/>
      </c>
      <c r="BA39" s="858" t="str">
        <f>IF($CR39="","",IF($E39="","SP",SUMIF(portfolio.!$A$4:$A308,$CR39,portfolio.!$AN$4:$AN308)*$CU$5))</f>
        <v/>
      </c>
      <c r="BB39" s="860" t="str">
        <f>IF($CR39="","",IF($E39="","-",IFERROR($BA39/'portfólio'!$DG$63,"")))</f>
        <v/>
      </c>
      <c r="BC39" s="861" t="str">
        <f>IF($CR39="","",IF($E39="","-",SUMIF(portfolio.!$A$4:$A308,$CR39,portfolio.!$J$4:$J308)))</f>
        <v/>
      </c>
      <c r="BD39" s="862" t="str">
        <f>IF($CR39="","",IF($E39="","SP",SUMIF(portfolio.!$A$4:$A308,$CR39,portfolio.!$AQ$4:$AQ308)*$CU$5))</f>
        <v/>
      </c>
      <c r="BE39" s="850" t="str">
        <f t="shared" si="3"/>
        <v/>
      </c>
      <c r="BF39" s="862" t="str">
        <f>IF($CR39="","",IF($E39="","-",SUMIF(portfolio.!$A$4:$A308,$CR39,portfolio.!$AX$4:$AX308)*$CU$5))</f>
        <v/>
      </c>
      <c r="BG39" s="545"/>
      <c r="BH39" s="879" t="s">
        <v>123</v>
      </c>
      <c r="BI39" s="880" t="s">
        <v>123</v>
      </c>
      <c r="BJ39" s="863" t="str">
        <f>IFERROR(__xludf.DUMMYFUNCTION("IF(NOT($BL$4),"""",IF($CR39="""","""",IFERROR(query({GOOGLEFINANCE($CR39,""price"",IF($BI39=""-"",TODAY()-($AQ$5+5),$BI39),TODAY()-1)},""Select max(Col2) where Col1 is not null label max(Col2) ''"")*CU39,""-"")))"),"")</f>
        <v/>
      </c>
      <c r="BK39" s="881" t="s">
        <v>123</v>
      </c>
      <c r="BL39" s="882" t="s">
        <v>123</v>
      </c>
      <c r="BM39" s="442"/>
      <c r="BN39" s="867" t="str">
        <f>IFERROR(__xludf.DUMMYFUNCTION("IF(CR39="""","""",IF(OR(C39=""AÇÃO"",C39=""BDR""),IFERROR(QUERY({fundamentus.!$A$3:$U308},$CX$67&amp;"" where Col1='""&amp;CR39&amp;""' limit 1"",0)),IF(C39=""FII"",IFERROR(QUERY({fundsexplorer.!$A$2:$Z308},$CY$67&amp;"" where Col1='""&amp;CR39&amp;""' limit 1"",0)),"""")))"),"")</f>
        <v/>
      </c>
      <c r="BO39" s="867"/>
      <c r="BP39" s="867"/>
      <c r="BQ39" s="867"/>
      <c r="BR39" s="867"/>
      <c r="BS39" s="867"/>
      <c r="BT39" s="867"/>
      <c r="BU39" s="442"/>
      <c r="BV39" s="868" t="str">
        <f>IFERROR(__xludf.DUMMYFUNCTION("IF(OR(C39=""AÇÃO"",C39=""BDR""),IFERROR(GOOGLEFINANCE(CONCAT(""BVMF:"",CR39), ""marketcap"")/1000000,""NC""),"""")"),"")</f>
        <v/>
      </c>
      <c r="BW39" s="869" t="s">
        <v>123</v>
      </c>
      <c r="BX39" s="870" t="s">
        <v>123</v>
      </c>
      <c r="BY39" s="868" t="s">
        <v>123</v>
      </c>
      <c r="BZ39" s="870" t="s">
        <v>123</v>
      </c>
      <c r="CA39" s="868" t="s">
        <v>123</v>
      </c>
      <c r="CB39" s="868" t="s">
        <v>123</v>
      </c>
      <c r="CC39" s="868" t="s">
        <v>123</v>
      </c>
      <c r="CD39" s="868" t="str">
        <f>IFERROR(__xludf.DUMMYFUNCTION("IF(OR(C39=""AÇÃO"",C39=""BDR""),IFERROR(GOOGLEFINANCE(CONCAT(""BVMF:"",CR39), ""volumeavg"")/1000000,""NC""),"""")"),"")</f>
        <v/>
      </c>
      <c r="CE39" s="870" t="s">
        <v>123</v>
      </c>
      <c r="CF39" s="870" t="s">
        <v>123</v>
      </c>
      <c r="CG39" s="870" t="str">
        <f>IFERROR(__xludf.DUMMYFUNCTION("IF(OR(C39=""AÇÃO"",C39=""BDR""),IF(CF39=0,""SEM DY"",IFERROR(ImportXML(CONCAT(""http://www.guiainvest.com.br/raiox/default.aspx?sigla="",$CR39),""//*[@id='lbPayoutAtual']""),""NC"")),"""")"),"")</f>
        <v/>
      </c>
      <c r="CH39" s="870" t="s">
        <v>123</v>
      </c>
      <c r="CI39" s="545"/>
      <c r="CJ39" s="871" t="str">
        <f>IFERROR(__xludf.DUMMYFUNCTION("IF(OR(C39=""AÇÃO"",C39=""BDR""),IFERROR(GOOGLEFINANCE(CONCAT(""BVMF:"",CR39), ""eps""),""NC""),"""")"),"")</f>
        <v/>
      </c>
      <c r="CK39" s="442"/>
      <c r="CL39" s="871" t="str">
        <f>IFERROR(__xludf.DUMMYFUNCTION("IF(NOT($BL$4),"""",IF($CR39="""","""",IF($BC39="""","""",IFERROR(query({op.normal!$B$5:$F308},""select Col5, toDate(Col2) where Col1 =  '""&amp;$CR39&amp;""' and Col4 &gt; 0 and ((Col3 is null) or (Col3 = 'C')) and Col2 &gt;= date '""&amp;TEXT(TODAY()-$AQ$5,""yyyy-mm-dd"")"&amp;"&amp;""' order by Col2 desc limit 1 label toDate(Col2) ''"")))))"),"")</f>
        <v/>
      </c>
      <c r="CM39" s="872"/>
      <c r="CN39" s="883" t="s">
        <v>123</v>
      </c>
      <c r="CO39" s="874" t="s">
        <v>123</v>
      </c>
      <c r="CP39" s="766"/>
      <c r="CQ39" s="791"/>
      <c r="CR39" s="791"/>
      <c r="CT39" s="791" t="s">
        <v>123</v>
      </c>
      <c r="CU39" s="791" t="str">
        <f>IFERROR(__xludf.DUMMYFUNCTION("IF(CR39="""","""",IF(CT39=$C$4,1,GOOGLEFINANCE(CT39&amp;$C$4)))"),"")</f>
        <v/>
      </c>
      <c r="CW39" s="791" t="s">
        <v>588</v>
      </c>
      <c r="CX39" s="836" t="s">
        <v>589</v>
      </c>
      <c r="CY39" s="791" t="str">
        <f>"Col"&amp;MATCH(CW39,fundsexplorer.!$A$2:$Z$2,0)</f>
        <v>Col9</v>
      </c>
    </row>
    <row r="40" ht="22.5" customHeight="1">
      <c r="A40" s="837">
        <v>32.0</v>
      </c>
      <c r="B40" s="838" t="s">
        <v>123</v>
      </c>
      <c r="C40" s="838" t="s">
        <v>123</v>
      </c>
      <c r="D40" s="839" t="s">
        <v>123</v>
      </c>
      <c r="E40" s="839" t="s">
        <v>123</v>
      </c>
      <c r="F40" s="839" t="s">
        <v>123</v>
      </c>
      <c r="G40" s="56"/>
      <c r="H40" s="884"/>
      <c r="I40" s="838"/>
      <c r="J40" s="838"/>
      <c r="K40" s="838"/>
      <c r="L40" s="838"/>
      <c r="M40" s="838"/>
      <c r="N40" s="838"/>
      <c r="O40" s="838"/>
      <c r="P40" s="838"/>
      <c r="Q40" s="838"/>
      <c r="R40" s="838"/>
      <c r="S40" s="838"/>
      <c r="T40" s="838"/>
      <c r="U40" s="838"/>
      <c r="V40" s="838"/>
      <c r="W40" s="838"/>
      <c r="X40" s="838"/>
      <c r="Z40" s="875" t="str">
        <f>IFERROR(__xludf.DUMMYFUNCTION("IF($CR40="""","""",IFERROR(query({CarteirasAtivos},""select Col4 where Col4 is not null and Col1 = '""&amp;$CR40&amp;""' limit 1"")*CU40,""NC""))"),"")</f>
        <v/>
      </c>
      <c r="AA40" s="876" t="str">
        <f>IFERROR(__xludf.DUMMYFUNCTION("IF($CR40="""","""",IFERROR(query({CarteirasAtivos},""select Col6 where Col4 is not null and Col1 = '""&amp;$CR40&amp;""' limit 1""),""NC""))"),"")</f>
        <v/>
      </c>
      <c r="AB40" s="877"/>
      <c r="AC40" s="878" t="s">
        <v>123</v>
      </c>
      <c r="AD40" s="845" t="str">
        <f>IF($CR40="","",IFERROR(VLOOKUP($CR40,ativos.!$C$3:$R308,MATCH("cotacao",ativos.!$C$2:CY$2,0),FALSE)*$CU$5,"atualizar"))</f>
        <v/>
      </c>
      <c r="AE40" s="846" t="str">
        <f>IFERROR(__xludf.DUMMYFUNCTION("IF($CR40="""","""",IFERROR(AVERAGE(query({CarteirasAtivos;CarteirasAtivosEncerrados},""select Col5 where Col5 is not null and Col1 = '""&amp;$CR40&amp;""' and Col10='SIM'""))*CU40,""NC""))"),"")</f>
        <v/>
      </c>
      <c r="AF40" s="847" t="str">
        <f t="shared" si="1"/>
        <v/>
      </c>
      <c r="AG40" s="442"/>
      <c r="AH40" s="848" t="str">
        <f>IFERROR(__xludf.DUMMYFUNCTION("IF($CR40="""","""",IFERROR(GOOGLEFINANCE($CR40,""low52"")*CU40,""-""))"),"")</f>
        <v/>
      </c>
      <c r="AI40" s="848" t="str">
        <f>IFERROR(__xludf.DUMMYFUNCTION("IF($CR40="""","""",IFERROR(GOOGLEFINANCE($CR40,""high52"")*CU40,""-""))"),"")</f>
        <v/>
      </c>
      <c r="AJ40" s="849" t="s">
        <v>123</v>
      </c>
      <c r="AK40" s="850" t="str">
        <f>IFERROR(__xludf.DUMMYFUNCTION("IF($CR40="""","""",IFERROR(GOOGLEFINANCE($CR40,""changepct"")/100,""-""))"),"")</f>
        <v/>
      </c>
      <c r="AL40" s="851" t="str">
        <f>IFERROR(__xludf.DUMMYFUNCTION("IF($CR40="""","""",IFERROR(($AD40/(QUERY(GOOGLEFINANCE($CR40,""price"",TODAY()-7),""SELECT Col2 label Col2 ''"")*$CU40)-1),""-""))"),"")</f>
        <v/>
      </c>
      <c r="AM40" s="851" t="str">
        <f>IFERROR(__xludf.DUMMYFUNCTION("IF($CR40="""","""",IFERROR(($AD40/(QUERY(GOOGLEFINANCE($CR40,""price"",TODAY()-14),""SELECT Col2 label Col2 ''"")*$CU40)-1),""-""))"),"")</f>
        <v/>
      </c>
      <c r="AN40" s="851" t="str">
        <f>IFERROR(__xludf.DUMMYFUNCTION("IF($CR40="""","""",IFERROR(($AD40/(QUERY(GOOGLEFINANCE($CR40,""price"",TODAY()-28),""SELECT Col2 label Col2 ''"")*$CU40)-1),""-""))"),"")</f>
        <v/>
      </c>
      <c r="AO40" s="851" t="str">
        <f>IFERROR(__xludf.DUMMYFUNCTION("IF($CR40="""","""",IFERROR(($AD40/(QUERY(GOOGLEFINANCE($CR40,""price"",TODAY()-$AQ$5),""SELECT Col2 label Col2 ''"")*$CU40)-1),""-""))"),"")</f>
        <v/>
      </c>
      <c r="AP40" s="852" t="str">
        <f>IFERROR(__xludf.DUMMYFUNCTION("IF($CR40="""","""",IFERROR(SPARKLINE(query(GOOGLEFINANCE($CR40,""price"",TODAY()-$AQ$5,TODAY(),1),""select Col2 label Col2 ''""),IF($AP$7=""Gráfico de barras"",{""charttype"",""column"";""highcolor"",""red""},{""chartype"",""line""}))))"),"")</f>
        <v/>
      </c>
      <c r="AQ40" s="144"/>
      <c r="AR40" s="853"/>
      <c r="AS40" s="854" t="str">
        <f>IF($CR40="","",IF(NOT('alocação'!$D$1),"off",IFERROR(VLOOKUP(CR40,BalanceAtivos,3,0),"NC")))</f>
        <v/>
      </c>
      <c r="AT40" s="855" t="str">
        <f>IF($CR40="","",IF(NOT('alocação'!$D$1),"off",IFERROR(VLOOKUP($CR40,BalanceAtivos,4,0)*$CU$5,"NC")))</f>
        <v/>
      </c>
      <c r="AU40" s="856" t="str">
        <f>IF($CR40="","",IF(NOT('alocação'!$D$1),"off",IFERROR(VLOOKUP($CR40,BalanceAtivos,5,0),"-")))</f>
        <v/>
      </c>
      <c r="AV40" s="856" t="str">
        <f>IF($CR40="","",IF(NOT('alocação'!$D$1),"off",IFERROR(VLOOKUP($CR40,BalanceAtivos,6,0),"-")))</f>
        <v/>
      </c>
      <c r="AW40" s="857"/>
      <c r="AX40" s="858" t="str">
        <f>IF($CR40="","",IF($E40="","SP",IFERROR(VLOOKUP($CR40,AtivosDados,MATCH("pm_atual",portfolio.!$A$3:CY$3,0),0)*$CU$5,0)))</f>
        <v/>
      </c>
      <c r="AY40" s="859" t="str">
        <f t="shared" si="2"/>
        <v/>
      </c>
      <c r="AZ40" s="858" t="str">
        <f>IF($CR40="","",IF($E40="","SP",SUMIF(portfolio.!$A$4:$A308,$CR40,portfolio.!$O$4:$O308)*$CU$5))</f>
        <v/>
      </c>
      <c r="BA40" s="858" t="str">
        <f>IF($CR40="","",IF($E40="","SP",SUMIF(portfolio.!$A$4:$A308,$CR40,portfolio.!$AN$4:$AN308)*$CU$5))</f>
        <v/>
      </c>
      <c r="BB40" s="860" t="str">
        <f>IF($CR40="","",IF($E40="","-",IFERROR($BA40/'portfólio'!$DG$63,"")))</f>
        <v/>
      </c>
      <c r="BC40" s="861" t="str">
        <f>IF($CR40="","",IF($E40="","-",SUMIF(portfolio.!$A$4:$A308,$CR40,portfolio.!$J$4:$J308)))</f>
        <v/>
      </c>
      <c r="BD40" s="862" t="str">
        <f>IF($CR40="","",IF($E40="","SP",SUMIF(portfolio.!$A$4:$A308,$CR40,portfolio.!$AQ$4:$AQ308)*$CU$5))</f>
        <v/>
      </c>
      <c r="BE40" s="850" t="str">
        <f t="shared" si="3"/>
        <v/>
      </c>
      <c r="BF40" s="862" t="str">
        <f>IF($CR40="","",IF($E40="","-",SUMIF(portfolio.!$A$4:$A308,$CR40,portfolio.!$AX$4:$AX308)*$CU$5))</f>
        <v/>
      </c>
      <c r="BG40" s="545"/>
      <c r="BH40" s="879" t="s">
        <v>123</v>
      </c>
      <c r="BI40" s="880" t="s">
        <v>123</v>
      </c>
      <c r="BJ40" s="863" t="str">
        <f>IFERROR(__xludf.DUMMYFUNCTION("IF(NOT($BL$4),"""",IF($CR40="""","""",IFERROR(query({GOOGLEFINANCE($CR40,""price"",IF($BI40=""-"",TODAY()-($AQ$5+5),$BI40),TODAY()-1)},""Select max(Col2) where Col1 is not null label max(Col2) ''"")*CU40,""-"")))"),"")</f>
        <v/>
      </c>
      <c r="BK40" s="881" t="s">
        <v>123</v>
      </c>
      <c r="BL40" s="882" t="s">
        <v>123</v>
      </c>
      <c r="BM40" s="442"/>
      <c r="BN40" s="867" t="str">
        <f>IFERROR(__xludf.DUMMYFUNCTION("IF(CR40="""","""",IF(OR(C40=""AÇÃO"",C40=""BDR""),IFERROR(QUERY({fundamentus.!$A$3:$U308},$CX$67&amp;"" where Col1='""&amp;CR40&amp;""' limit 1"",0)),IF(C40=""FII"",IFERROR(QUERY({fundsexplorer.!$A$2:$Z308},$CY$67&amp;"" where Col1='""&amp;CR40&amp;""' limit 1"",0)),"""")))"),"")</f>
        <v/>
      </c>
      <c r="BO40" s="867"/>
      <c r="BP40" s="867"/>
      <c r="BQ40" s="867"/>
      <c r="BR40" s="867"/>
      <c r="BS40" s="867"/>
      <c r="BT40" s="867"/>
      <c r="BU40" s="442"/>
      <c r="BV40" s="868" t="str">
        <f>IFERROR(__xludf.DUMMYFUNCTION("IF(OR(C40=""AÇÃO"",C40=""BDR""),IFERROR(GOOGLEFINANCE(CONCAT(""BVMF:"",CR40), ""marketcap"")/1000000,""NC""),"""")"),"")</f>
        <v/>
      </c>
      <c r="BW40" s="869" t="s">
        <v>123</v>
      </c>
      <c r="BX40" s="870" t="s">
        <v>123</v>
      </c>
      <c r="BY40" s="868" t="s">
        <v>123</v>
      </c>
      <c r="BZ40" s="870" t="s">
        <v>123</v>
      </c>
      <c r="CA40" s="868" t="s">
        <v>123</v>
      </c>
      <c r="CB40" s="868" t="s">
        <v>123</v>
      </c>
      <c r="CC40" s="868" t="s">
        <v>123</v>
      </c>
      <c r="CD40" s="868" t="str">
        <f>IFERROR(__xludf.DUMMYFUNCTION("IF(OR(C40=""AÇÃO"",C40=""BDR""),IFERROR(GOOGLEFINANCE(CONCAT(""BVMF:"",CR40), ""volumeavg"")/1000000,""NC""),"""")"),"")</f>
        <v/>
      </c>
      <c r="CE40" s="870" t="s">
        <v>123</v>
      </c>
      <c r="CF40" s="870" t="s">
        <v>123</v>
      </c>
      <c r="CG40" s="870" t="str">
        <f>IFERROR(__xludf.DUMMYFUNCTION("IF(OR(C40=""AÇÃO"",C40=""BDR""),IF(CF40=0,""SEM DY"",IFERROR(ImportXML(CONCAT(""http://www.guiainvest.com.br/raiox/default.aspx?sigla="",$CR40),""//*[@id='lbPayoutAtual']""),""NC"")),"""")"),"")</f>
        <v/>
      </c>
      <c r="CH40" s="870" t="s">
        <v>123</v>
      </c>
      <c r="CI40" s="545"/>
      <c r="CJ40" s="871" t="str">
        <f>IFERROR(__xludf.DUMMYFUNCTION("IF(OR(C40=""AÇÃO"",C40=""BDR""),IFERROR(GOOGLEFINANCE(CONCAT(""BVMF:"",CR40), ""eps""),""NC""),"""")"),"")</f>
        <v/>
      </c>
      <c r="CK40" s="442"/>
      <c r="CL40" s="871" t="str">
        <f>IFERROR(__xludf.DUMMYFUNCTION("IF(NOT($BL$4),"""",IF($CR40="""","""",IF($BC40="""","""",IFERROR(query({op.normal!$B$5:$F308},""select Col5, toDate(Col2) where Col1 =  '""&amp;$CR40&amp;""' and Col4 &gt; 0 and ((Col3 is null) or (Col3 = 'C')) and Col2 &gt;= date '""&amp;TEXT(TODAY()-$AQ$5,""yyyy-mm-dd"")"&amp;"&amp;""' order by Col2 desc limit 1 label toDate(Col2) ''"")))))"),"")</f>
        <v/>
      </c>
      <c r="CM40" s="872"/>
      <c r="CN40" s="883" t="s">
        <v>123</v>
      </c>
      <c r="CO40" s="874" t="s">
        <v>123</v>
      </c>
      <c r="CP40" s="766"/>
      <c r="CQ40" s="791"/>
      <c r="CR40" s="791"/>
      <c r="CT40" s="791" t="s">
        <v>123</v>
      </c>
      <c r="CU40" s="791" t="str">
        <f>IFERROR(__xludf.DUMMYFUNCTION("IF(CR40="""","""",IF(CT40=$C$4,1,GOOGLEFINANCE(CT40&amp;$C$4)))"),"")</f>
        <v/>
      </c>
      <c r="CW40" s="791" t="s">
        <v>535</v>
      </c>
      <c r="CX40" s="791" t="s">
        <v>535</v>
      </c>
      <c r="CY40" s="791" t="str">
        <f>"Col"&amp;MATCH(CW40,fundsexplorer.!$A$2:$Z$2,0)</f>
        <v>Col10</v>
      </c>
    </row>
    <row r="41" ht="22.5" customHeight="1">
      <c r="A41" s="837">
        <v>33.0</v>
      </c>
      <c r="B41" s="838" t="s">
        <v>123</v>
      </c>
      <c r="C41" s="838" t="s">
        <v>123</v>
      </c>
      <c r="D41" s="839" t="s">
        <v>123</v>
      </c>
      <c r="E41" s="839" t="s">
        <v>123</v>
      </c>
      <c r="F41" s="839" t="s">
        <v>123</v>
      </c>
      <c r="G41" s="56"/>
      <c r="H41" s="884"/>
      <c r="I41" s="838"/>
      <c r="J41" s="838"/>
      <c r="K41" s="838"/>
      <c r="L41" s="838"/>
      <c r="M41" s="838"/>
      <c r="N41" s="838"/>
      <c r="O41" s="838"/>
      <c r="P41" s="838"/>
      <c r="Q41" s="838"/>
      <c r="R41" s="838"/>
      <c r="S41" s="838"/>
      <c r="T41" s="838"/>
      <c r="U41" s="838"/>
      <c r="V41" s="838"/>
      <c r="W41" s="838"/>
      <c r="X41" s="838"/>
      <c r="Z41" s="875" t="str">
        <f>IFERROR(__xludf.DUMMYFUNCTION("IF($CR41="""","""",IFERROR(query({CarteirasAtivos},""select Col4 where Col4 is not null and Col1 = '""&amp;$CR41&amp;""' limit 1"")*CU41,""NC""))"),"")</f>
        <v/>
      </c>
      <c r="AA41" s="876" t="str">
        <f>IFERROR(__xludf.DUMMYFUNCTION("IF($CR41="""","""",IFERROR(query({CarteirasAtivos},""select Col6 where Col4 is not null and Col1 = '""&amp;$CR41&amp;""' limit 1""),""NC""))"),"")</f>
        <v/>
      </c>
      <c r="AB41" s="877"/>
      <c r="AC41" s="878" t="s">
        <v>123</v>
      </c>
      <c r="AD41" s="845" t="str">
        <f>IF($CR41="","",IFERROR(VLOOKUP($CR41,ativos.!$C$3:$R308,MATCH("cotacao",ativos.!$C$2:CY$2,0),FALSE)*$CU$5,"atualizar"))</f>
        <v/>
      </c>
      <c r="AE41" s="846" t="str">
        <f>IFERROR(__xludf.DUMMYFUNCTION("IF($CR41="""","""",IFERROR(AVERAGE(query({CarteirasAtivos;CarteirasAtivosEncerrados},""select Col5 where Col5 is not null and Col1 = '""&amp;$CR41&amp;""' and Col10='SIM'""))*CU41,""NC""))"),"")</f>
        <v/>
      </c>
      <c r="AF41" s="847" t="str">
        <f t="shared" si="1"/>
        <v/>
      </c>
      <c r="AG41" s="442"/>
      <c r="AH41" s="848" t="str">
        <f>IFERROR(__xludf.DUMMYFUNCTION("IF($CR41="""","""",IFERROR(GOOGLEFINANCE($CR41,""low52"")*CU41,""-""))"),"")</f>
        <v/>
      </c>
      <c r="AI41" s="848" t="str">
        <f>IFERROR(__xludf.DUMMYFUNCTION("IF($CR41="""","""",IFERROR(GOOGLEFINANCE($CR41,""high52"")*CU41,""-""))"),"")</f>
        <v/>
      </c>
      <c r="AJ41" s="849" t="s">
        <v>123</v>
      </c>
      <c r="AK41" s="850" t="str">
        <f>IFERROR(__xludf.DUMMYFUNCTION("IF($CR41="""","""",IFERROR(GOOGLEFINANCE($CR41,""changepct"")/100,""-""))"),"")</f>
        <v/>
      </c>
      <c r="AL41" s="851" t="str">
        <f>IFERROR(__xludf.DUMMYFUNCTION("IF($CR41="""","""",IFERROR(($AD41/(QUERY(GOOGLEFINANCE($CR41,""price"",TODAY()-7),""SELECT Col2 label Col2 ''"")*$CU41)-1),""-""))"),"")</f>
        <v/>
      </c>
      <c r="AM41" s="851" t="str">
        <f>IFERROR(__xludf.DUMMYFUNCTION("IF($CR41="""","""",IFERROR(($AD41/(QUERY(GOOGLEFINANCE($CR41,""price"",TODAY()-14),""SELECT Col2 label Col2 ''"")*$CU41)-1),""-""))"),"")</f>
        <v/>
      </c>
      <c r="AN41" s="851" t="str">
        <f>IFERROR(__xludf.DUMMYFUNCTION("IF($CR41="""","""",IFERROR(($AD41/(QUERY(GOOGLEFINANCE($CR41,""price"",TODAY()-28),""SELECT Col2 label Col2 ''"")*$CU41)-1),""-""))"),"")</f>
        <v/>
      </c>
      <c r="AO41" s="851" t="str">
        <f>IFERROR(__xludf.DUMMYFUNCTION("IF($CR41="""","""",IFERROR(($AD41/(QUERY(GOOGLEFINANCE($CR41,""price"",TODAY()-$AQ$5),""SELECT Col2 label Col2 ''"")*$CU41)-1),""-""))"),"")</f>
        <v/>
      </c>
      <c r="AP41" s="852" t="str">
        <f>IFERROR(__xludf.DUMMYFUNCTION("IF($CR41="""","""",IFERROR(SPARKLINE(query(GOOGLEFINANCE($CR41,""price"",TODAY()-$AQ$5,TODAY(),1),""select Col2 label Col2 ''""),IF($AP$7=""Gráfico de barras"",{""charttype"",""column"";""highcolor"",""red""},{""chartype"",""line""}))))"),"")</f>
        <v/>
      </c>
      <c r="AQ41" s="144"/>
      <c r="AR41" s="853"/>
      <c r="AS41" s="854" t="str">
        <f>IF($CR41="","",IF(NOT('alocação'!$D$1),"off",IFERROR(VLOOKUP(CR41,BalanceAtivos,3,0),"NC")))</f>
        <v/>
      </c>
      <c r="AT41" s="855" t="str">
        <f>IF($CR41="","",IF(NOT('alocação'!$D$1),"off",IFERROR(VLOOKUP($CR41,BalanceAtivos,4,0)*$CU$5,"NC")))</f>
        <v/>
      </c>
      <c r="AU41" s="856" t="str">
        <f>IF($CR41="","",IF(NOT('alocação'!$D$1),"off",IFERROR(VLOOKUP($CR41,BalanceAtivos,5,0),"-")))</f>
        <v/>
      </c>
      <c r="AV41" s="856" t="str">
        <f>IF($CR41="","",IF(NOT('alocação'!$D$1),"off",IFERROR(VLOOKUP($CR41,BalanceAtivos,6,0),"-")))</f>
        <v/>
      </c>
      <c r="AW41" s="857"/>
      <c r="AX41" s="858" t="str">
        <f>IF($CR41="","",IF($E41="","SP",IFERROR(VLOOKUP($CR41,AtivosDados,MATCH("pm_atual",portfolio.!$A$3:CY$3,0),0)*$CU$5,0)))</f>
        <v/>
      </c>
      <c r="AY41" s="859" t="str">
        <f t="shared" si="2"/>
        <v/>
      </c>
      <c r="AZ41" s="858" t="str">
        <f>IF($CR41="","",IF($E41="","SP",SUMIF(portfolio.!$A$4:$A308,$CR41,portfolio.!$O$4:$O308)*$CU$5))</f>
        <v/>
      </c>
      <c r="BA41" s="858" t="str">
        <f>IF($CR41="","",IF($E41="","SP",SUMIF(portfolio.!$A$4:$A308,$CR41,portfolio.!$AN$4:$AN308)*$CU$5))</f>
        <v/>
      </c>
      <c r="BB41" s="860" t="str">
        <f>IF($CR41="","",IF($E41="","-",IFERROR($BA41/'portfólio'!$DG$63,"")))</f>
        <v/>
      </c>
      <c r="BC41" s="861" t="str">
        <f>IF($CR41="","",IF($E41="","-",SUMIF(portfolio.!$A$4:$A308,$CR41,portfolio.!$J$4:$J308)))</f>
        <v/>
      </c>
      <c r="BD41" s="862" t="str">
        <f>IF($CR41="","",IF($E41="","SP",SUMIF(portfolio.!$A$4:$A308,$CR41,portfolio.!$AQ$4:$AQ308)*$CU$5))</f>
        <v/>
      </c>
      <c r="BE41" s="850" t="str">
        <f t="shared" si="3"/>
        <v/>
      </c>
      <c r="BF41" s="862" t="str">
        <f>IF($CR41="","",IF($E41="","-",SUMIF(portfolio.!$A$4:$A308,$CR41,portfolio.!$AX$4:$AX308)*$CU$5))</f>
        <v/>
      </c>
      <c r="BG41" s="545"/>
      <c r="BH41" s="879" t="s">
        <v>123</v>
      </c>
      <c r="BI41" s="880" t="s">
        <v>123</v>
      </c>
      <c r="BJ41" s="863" t="str">
        <f>IFERROR(__xludf.DUMMYFUNCTION("IF(NOT($BL$4),"""",IF($CR41="""","""",IFERROR(query({GOOGLEFINANCE($CR41,""price"",IF($BI41=""-"",TODAY()-($AQ$5+5),$BI41),TODAY()-1)},""Select max(Col2) where Col1 is not null label max(Col2) ''"")*CU41,""-"")))"),"")</f>
        <v/>
      </c>
      <c r="BK41" s="881" t="s">
        <v>123</v>
      </c>
      <c r="BL41" s="882" t="s">
        <v>123</v>
      </c>
      <c r="BM41" s="442"/>
      <c r="BN41" s="867" t="str">
        <f>IFERROR(__xludf.DUMMYFUNCTION("IF(CR41="""","""",IF(OR(C41=""AÇÃO"",C41=""BDR""),IFERROR(QUERY({fundamentus.!$A$3:$U308},$CX$67&amp;"" where Col1='""&amp;CR41&amp;""' limit 1"",0)),IF(C41=""FII"",IFERROR(QUERY({fundsexplorer.!$A$2:$Z308},$CY$67&amp;"" where Col1='""&amp;CR41&amp;""' limit 1"",0)),"""")))"),"")</f>
        <v/>
      </c>
      <c r="BO41" s="867"/>
      <c r="BP41" s="867"/>
      <c r="BQ41" s="867"/>
      <c r="BR41" s="867"/>
      <c r="BS41" s="867"/>
      <c r="BT41" s="867"/>
      <c r="BU41" s="442"/>
      <c r="BV41" s="868" t="str">
        <f>IFERROR(__xludf.DUMMYFUNCTION("IF(OR(C41=""AÇÃO"",C41=""BDR""),IFERROR(GOOGLEFINANCE(CONCAT(""BVMF:"",CR41), ""marketcap"")/1000000,""NC""),"""")"),"")</f>
        <v/>
      </c>
      <c r="BW41" s="869" t="s">
        <v>123</v>
      </c>
      <c r="BX41" s="870" t="s">
        <v>123</v>
      </c>
      <c r="BY41" s="868" t="s">
        <v>123</v>
      </c>
      <c r="BZ41" s="870" t="s">
        <v>123</v>
      </c>
      <c r="CA41" s="868" t="s">
        <v>123</v>
      </c>
      <c r="CB41" s="868" t="s">
        <v>123</v>
      </c>
      <c r="CC41" s="868" t="s">
        <v>123</v>
      </c>
      <c r="CD41" s="868" t="str">
        <f>IFERROR(__xludf.DUMMYFUNCTION("IF(OR(C41=""AÇÃO"",C41=""BDR""),IFERROR(GOOGLEFINANCE(CONCAT(""BVMF:"",CR41), ""volumeavg"")/1000000,""NC""),"""")"),"")</f>
        <v/>
      </c>
      <c r="CE41" s="870" t="s">
        <v>123</v>
      </c>
      <c r="CF41" s="870" t="s">
        <v>123</v>
      </c>
      <c r="CG41" s="870" t="str">
        <f>IFERROR(__xludf.DUMMYFUNCTION("IF(OR(C41=""AÇÃO"",C41=""BDR""),IF(CF41=0,""SEM DY"",IFERROR(ImportXML(CONCAT(""http://www.guiainvest.com.br/raiox/default.aspx?sigla="",$CR41),""//*[@id='lbPayoutAtual']""),""NC"")),"""")"),"")</f>
        <v/>
      </c>
      <c r="CH41" s="870" t="s">
        <v>123</v>
      </c>
      <c r="CI41" s="545"/>
      <c r="CJ41" s="871" t="str">
        <f>IFERROR(__xludf.DUMMYFUNCTION("IF(OR(C41=""AÇÃO"",C41=""BDR""),IFERROR(GOOGLEFINANCE(CONCAT(""BVMF:"",CR41), ""eps""),""NC""),"""")"),"")</f>
        <v/>
      </c>
      <c r="CK41" s="442"/>
      <c r="CL41" s="871" t="str">
        <f>IFERROR(__xludf.DUMMYFUNCTION("IF(NOT($BL$4),"""",IF($CR41="""","""",IF($BC41="""","""",IFERROR(query({op.normal!$B$5:$F308},""select Col5, toDate(Col2) where Col1 =  '""&amp;$CR41&amp;""' and Col4 &gt; 0 and ((Col3 is null) or (Col3 = 'C')) and Col2 &gt;= date '""&amp;TEXT(TODAY()-$AQ$5,""yyyy-mm-dd"")"&amp;"&amp;""' order by Col2 desc limit 1 label toDate(Col2) ''"")))))"),"")</f>
        <v/>
      </c>
      <c r="CM41" s="872"/>
      <c r="CN41" s="883" t="s">
        <v>123</v>
      </c>
      <c r="CO41" s="874" t="s">
        <v>123</v>
      </c>
      <c r="CP41" s="766"/>
      <c r="CQ41" s="791"/>
      <c r="CR41" s="791"/>
      <c r="CT41" s="791" t="s">
        <v>123</v>
      </c>
      <c r="CU41" s="791" t="str">
        <f>IFERROR(__xludf.DUMMYFUNCTION("IF(CR41="""","""",IF(CT41=$C$4,1,GOOGLEFINANCE(CT41&amp;$C$4)))"),"")</f>
        <v/>
      </c>
      <c r="CW41" s="791" t="s">
        <v>536</v>
      </c>
      <c r="CX41" s="791" t="s">
        <v>536</v>
      </c>
      <c r="CY41" s="791" t="str">
        <f>"Col"&amp;MATCH(CW41,fundsexplorer.!$A$2:$Z$2,0)</f>
        <v>Col11</v>
      </c>
    </row>
    <row r="42" ht="22.5" customHeight="1">
      <c r="A42" s="837">
        <v>34.0</v>
      </c>
      <c r="B42" s="838" t="s">
        <v>123</v>
      </c>
      <c r="C42" s="838" t="s">
        <v>123</v>
      </c>
      <c r="D42" s="839" t="s">
        <v>123</v>
      </c>
      <c r="E42" s="839" t="s">
        <v>123</v>
      </c>
      <c r="F42" s="839" t="s">
        <v>123</v>
      </c>
      <c r="G42" s="56"/>
      <c r="H42" s="884"/>
      <c r="I42" s="838"/>
      <c r="J42" s="838"/>
      <c r="K42" s="838"/>
      <c r="L42" s="838"/>
      <c r="M42" s="838"/>
      <c r="N42" s="838"/>
      <c r="O42" s="838"/>
      <c r="P42" s="838"/>
      <c r="Q42" s="838"/>
      <c r="R42" s="838"/>
      <c r="S42" s="838"/>
      <c r="T42" s="838"/>
      <c r="U42" s="838"/>
      <c r="V42" s="838"/>
      <c r="W42" s="838"/>
      <c r="X42" s="838"/>
      <c r="Z42" s="875" t="str">
        <f>IFERROR(__xludf.DUMMYFUNCTION("IF($CR42="""","""",IFERROR(query({CarteirasAtivos},""select Col4 where Col4 is not null and Col1 = '""&amp;$CR42&amp;""' limit 1"")*CU42,""NC""))"),"")</f>
        <v/>
      </c>
      <c r="AA42" s="876" t="str">
        <f>IFERROR(__xludf.DUMMYFUNCTION("IF($CR42="""","""",IFERROR(query({CarteirasAtivos},""select Col6 where Col4 is not null and Col1 = '""&amp;$CR42&amp;""' limit 1""),""NC""))"),"")</f>
        <v/>
      </c>
      <c r="AB42" s="877"/>
      <c r="AC42" s="878" t="s">
        <v>123</v>
      </c>
      <c r="AD42" s="845" t="str">
        <f>IF($CR42="","",IFERROR(VLOOKUP($CR42,ativos.!$C$3:$R308,MATCH("cotacao",ativos.!$C$2:CY$2,0),FALSE)*$CU$5,"atualizar"))</f>
        <v/>
      </c>
      <c r="AE42" s="846" t="str">
        <f>IFERROR(__xludf.DUMMYFUNCTION("IF($CR42="""","""",IFERROR(AVERAGE(query({CarteirasAtivos;CarteirasAtivosEncerrados},""select Col5 where Col5 is not null and Col1 = '""&amp;$CR42&amp;""' and Col10='SIM'""))*CU42,""NC""))"),"")</f>
        <v/>
      </c>
      <c r="AF42" s="847" t="str">
        <f t="shared" si="1"/>
        <v/>
      </c>
      <c r="AG42" s="442"/>
      <c r="AH42" s="848" t="str">
        <f>IFERROR(__xludf.DUMMYFUNCTION("IF($CR42="""","""",IFERROR(GOOGLEFINANCE($CR42,""low52"")*CU42,""-""))"),"")</f>
        <v/>
      </c>
      <c r="AI42" s="848" t="str">
        <f>IFERROR(__xludf.DUMMYFUNCTION("IF($CR42="""","""",IFERROR(GOOGLEFINANCE($CR42,""high52"")*CU42,""-""))"),"")</f>
        <v/>
      </c>
      <c r="AJ42" s="849" t="s">
        <v>123</v>
      </c>
      <c r="AK42" s="850" t="str">
        <f>IFERROR(__xludf.DUMMYFUNCTION("IF($CR42="""","""",IFERROR(GOOGLEFINANCE($CR42,""changepct"")/100,""-""))"),"")</f>
        <v/>
      </c>
      <c r="AL42" s="851" t="str">
        <f>IFERROR(__xludf.DUMMYFUNCTION("IF($CR42="""","""",IFERROR(($AD42/(QUERY(GOOGLEFINANCE($CR42,""price"",TODAY()-7),""SELECT Col2 label Col2 ''"")*$CU42)-1),""-""))"),"")</f>
        <v/>
      </c>
      <c r="AM42" s="851" t="str">
        <f>IFERROR(__xludf.DUMMYFUNCTION("IF($CR42="""","""",IFERROR(($AD42/(QUERY(GOOGLEFINANCE($CR42,""price"",TODAY()-14),""SELECT Col2 label Col2 ''"")*$CU42)-1),""-""))"),"")</f>
        <v/>
      </c>
      <c r="AN42" s="851" t="str">
        <f>IFERROR(__xludf.DUMMYFUNCTION("IF($CR42="""","""",IFERROR(($AD42/(QUERY(GOOGLEFINANCE($CR42,""price"",TODAY()-28),""SELECT Col2 label Col2 ''"")*$CU42)-1),""-""))"),"")</f>
        <v/>
      </c>
      <c r="AO42" s="851" t="str">
        <f>IFERROR(__xludf.DUMMYFUNCTION("IF($CR42="""","""",IFERROR(($AD42/(QUERY(GOOGLEFINANCE($CR42,""price"",TODAY()-$AQ$5),""SELECT Col2 label Col2 ''"")*$CU42)-1),""-""))"),"")</f>
        <v/>
      </c>
      <c r="AP42" s="852" t="str">
        <f>IFERROR(__xludf.DUMMYFUNCTION("IF($CR42="""","""",IFERROR(SPARKLINE(query(GOOGLEFINANCE($CR42,""price"",TODAY()-$AQ$5,TODAY(),1),""select Col2 label Col2 ''""),IF($AP$7=""Gráfico de barras"",{""charttype"",""column"";""highcolor"",""red""},{""chartype"",""line""}))))"),"")</f>
        <v/>
      </c>
      <c r="AQ42" s="144"/>
      <c r="AR42" s="853"/>
      <c r="AS42" s="854" t="str">
        <f>IF($CR42="","",IF(NOT('alocação'!$D$1),"off",IFERROR(VLOOKUP(CR42,BalanceAtivos,3,0),"NC")))</f>
        <v/>
      </c>
      <c r="AT42" s="855" t="str">
        <f>IF($CR42="","",IF(NOT('alocação'!$D$1),"off",IFERROR(VLOOKUP($CR42,BalanceAtivos,4,0)*$CU$5,"NC")))</f>
        <v/>
      </c>
      <c r="AU42" s="856" t="str">
        <f>IF($CR42="","",IF(NOT('alocação'!$D$1),"off",IFERROR(VLOOKUP($CR42,BalanceAtivos,5,0),"-")))</f>
        <v/>
      </c>
      <c r="AV42" s="856" t="str">
        <f>IF($CR42="","",IF(NOT('alocação'!$D$1),"off",IFERROR(VLOOKUP($CR42,BalanceAtivos,6,0),"-")))</f>
        <v/>
      </c>
      <c r="AW42" s="857"/>
      <c r="AX42" s="858" t="str">
        <f>IF($CR42="","",IF($E42="","SP",IFERROR(VLOOKUP($CR42,AtivosDados,MATCH("pm_atual",portfolio.!$A$3:CY$3,0),0)*$CU$5,0)))</f>
        <v/>
      </c>
      <c r="AY42" s="859" t="str">
        <f t="shared" si="2"/>
        <v/>
      </c>
      <c r="AZ42" s="858" t="str">
        <f>IF($CR42="","",IF($E42="","SP",SUMIF(portfolio.!$A$4:$A308,$CR42,portfolio.!$O$4:$O308)*$CU$5))</f>
        <v/>
      </c>
      <c r="BA42" s="858" t="str">
        <f>IF($CR42="","",IF($E42="","SP",SUMIF(portfolio.!$A$4:$A308,$CR42,portfolio.!$AN$4:$AN308)*$CU$5))</f>
        <v/>
      </c>
      <c r="BB42" s="860" t="str">
        <f>IF($CR42="","",IF($E42="","-",IFERROR($BA42/'portfólio'!$DG$63,"")))</f>
        <v/>
      </c>
      <c r="BC42" s="861" t="str">
        <f>IF($CR42="","",IF($E42="","-",SUMIF(portfolio.!$A$4:$A308,$CR42,portfolio.!$J$4:$J308)))</f>
        <v/>
      </c>
      <c r="BD42" s="862" t="str">
        <f>IF($CR42="","",IF($E42="","SP",SUMIF(portfolio.!$A$4:$A308,$CR42,portfolio.!$AQ$4:$AQ308)*$CU$5))</f>
        <v/>
      </c>
      <c r="BE42" s="850" t="str">
        <f t="shared" si="3"/>
        <v/>
      </c>
      <c r="BF42" s="862" t="str">
        <f>IF($CR42="","",IF($E42="","-",SUMIF(portfolio.!$A$4:$A308,$CR42,portfolio.!$AX$4:$AX308)*$CU$5))</f>
        <v/>
      </c>
      <c r="BG42" s="545"/>
      <c r="BH42" s="879" t="s">
        <v>123</v>
      </c>
      <c r="BI42" s="880" t="s">
        <v>123</v>
      </c>
      <c r="BJ42" s="863" t="str">
        <f>IFERROR(__xludf.DUMMYFUNCTION("IF(NOT($BL$4),"""",IF($CR42="""","""",IFERROR(query({GOOGLEFINANCE($CR42,""price"",IF($BI42=""-"",TODAY()-($AQ$5+5),$BI42),TODAY()-1)},""Select max(Col2) where Col1 is not null label max(Col2) ''"")*CU42,""-"")))"),"")</f>
        <v/>
      </c>
      <c r="BK42" s="881" t="s">
        <v>123</v>
      </c>
      <c r="BL42" s="882" t="s">
        <v>123</v>
      </c>
      <c r="BM42" s="442"/>
      <c r="BN42" s="867" t="str">
        <f>IFERROR(__xludf.DUMMYFUNCTION("IF(CR42="""","""",IF(OR(C42=""AÇÃO"",C42=""BDR""),IFERROR(QUERY({fundamentus.!$A$3:$U308},$CX$67&amp;"" where Col1='""&amp;CR42&amp;""' limit 1"",0)),IF(C42=""FII"",IFERROR(QUERY({fundsexplorer.!$A$2:$Z308},$CY$67&amp;"" where Col1='""&amp;CR42&amp;""' limit 1"",0)),"""")))"),"")</f>
        <v/>
      </c>
      <c r="BO42" s="867"/>
      <c r="BP42" s="867"/>
      <c r="BQ42" s="867"/>
      <c r="BR42" s="867"/>
      <c r="BS42" s="867"/>
      <c r="BT42" s="867"/>
      <c r="BU42" s="442"/>
      <c r="BV42" s="868" t="str">
        <f>IFERROR(__xludf.DUMMYFUNCTION("IF(OR(C42=""AÇÃO"",C42=""BDR""),IFERROR(GOOGLEFINANCE(CONCAT(""BVMF:"",CR42), ""marketcap"")/1000000,""NC""),"""")"),"")</f>
        <v/>
      </c>
      <c r="BW42" s="869" t="s">
        <v>123</v>
      </c>
      <c r="BX42" s="870" t="s">
        <v>123</v>
      </c>
      <c r="BY42" s="868" t="s">
        <v>123</v>
      </c>
      <c r="BZ42" s="870" t="s">
        <v>123</v>
      </c>
      <c r="CA42" s="868" t="s">
        <v>123</v>
      </c>
      <c r="CB42" s="868" t="s">
        <v>123</v>
      </c>
      <c r="CC42" s="868" t="s">
        <v>123</v>
      </c>
      <c r="CD42" s="868" t="str">
        <f>IFERROR(__xludf.DUMMYFUNCTION("IF(OR(C42=""AÇÃO"",C42=""BDR""),IFERROR(GOOGLEFINANCE(CONCAT(""BVMF:"",CR42), ""volumeavg"")/1000000,""NC""),"""")"),"")</f>
        <v/>
      </c>
      <c r="CE42" s="870" t="s">
        <v>123</v>
      </c>
      <c r="CF42" s="870" t="s">
        <v>123</v>
      </c>
      <c r="CG42" s="870" t="str">
        <f>IFERROR(__xludf.DUMMYFUNCTION("IF(OR(C42=""AÇÃO"",C42=""BDR""),IF(CF42=0,""SEM DY"",IFERROR(ImportXML(CONCAT(""http://www.guiainvest.com.br/raiox/default.aspx?sigla="",$CR42),""//*[@id='lbPayoutAtual']""),""NC"")),"""")"),"")</f>
        <v/>
      </c>
      <c r="CH42" s="870" t="s">
        <v>123</v>
      </c>
      <c r="CI42" s="545"/>
      <c r="CJ42" s="871" t="str">
        <f>IFERROR(__xludf.DUMMYFUNCTION("IF(OR(C42=""AÇÃO"",C42=""BDR""),IFERROR(GOOGLEFINANCE(CONCAT(""BVMF:"",CR42), ""eps""),""NC""),"""")"),"")</f>
        <v/>
      </c>
      <c r="CK42" s="442"/>
      <c r="CL42" s="871" t="str">
        <f>IFERROR(__xludf.DUMMYFUNCTION("IF(NOT($BL$4),"""",IF($CR42="""","""",IF($BC42="""","""",IFERROR(query({op.normal!$B$5:$F308},""select Col5, toDate(Col2) where Col1 =  '""&amp;$CR42&amp;""' and Col4 &gt; 0 and ((Col3 is null) or (Col3 = 'C')) and Col2 &gt;= date '""&amp;TEXT(TODAY()-$AQ$5,""yyyy-mm-dd"")"&amp;"&amp;""' order by Col2 desc limit 1 label toDate(Col2) ''"")))))"),"")</f>
        <v/>
      </c>
      <c r="CM42" s="872"/>
      <c r="CN42" s="883" t="s">
        <v>123</v>
      </c>
      <c r="CO42" s="874" t="s">
        <v>123</v>
      </c>
      <c r="CP42" s="766"/>
      <c r="CQ42" s="791"/>
      <c r="CR42" s="791"/>
      <c r="CT42" s="791" t="s">
        <v>123</v>
      </c>
      <c r="CU42" s="791" t="str">
        <f>IFERROR(__xludf.DUMMYFUNCTION("IF(CR42="""","""",IF(CT42=$C$4,1,GOOGLEFINANCE(CT42&amp;$C$4)))"),"")</f>
        <v/>
      </c>
      <c r="CW42" s="791" t="s">
        <v>537</v>
      </c>
      <c r="CX42" s="791" t="s">
        <v>537</v>
      </c>
      <c r="CY42" s="791" t="str">
        <f>"Col"&amp;MATCH(CW42,fundsexplorer.!$A$2:$Z$2,0)</f>
        <v>Col12</v>
      </c>
    </row>
    <row r="43" ht="22.5" customHeight="1">
      <c r="A43" s="837">
        <v>35.0</v>
      </c>
      <c r="B43" s="838" t="s">
        <v>123</v>
      </c>
      <c r="C43" s="838" t="s">
        <v>123</v>
      </c>
      <c r="D43" s="839" t="s">
        <v>123</v>
      </c>
      <c r="E43" s="839" t="s">
        <v>123</v>
      </c>
      <c r="F43" s="839" t="s">
        <v>123</v>
      </c>
      <c r="G43" s="56"/>
      <c r="H43" s="884"/>
      <c r="I43" s="838"/>
      <c r="J43" s="838"/>
      <c r="K43" s="838"/>
      <c r="L43" s="838"/>
      <c r="M43" s="838"/>
      <c r="N43" s="838"/>
      <c r="O43" s="838"/>
      <c r="P43" s="838"/>
      <c r="Q43" s="838"/>
      <c r="R43" s="838"/>
      <c r="S43" s="838"/>
      <c r="T43" s="838"/>
      <c r="U43" s="838"/>
      <c r="V43" s="838"/>
      <c r="W43" s="838"/>
      <c r="X43" s="838"/>
      <c r="Z43" s="875" t="str">
        <f>IFERROR(__xludf.DUMMYFUNCTION("IF($CR43="""","""",IFERROR(query({CarteirasAtivos},""select Col4 where Col4 is not null and Col1 = '""&amp;$CR43&amp;""' limit 1"")*CU43,""NC""))"),"")</f>
        <v/>
      </c>
      <c r="AA43" s="876" t="str">
        <f>IFERROR(__xludf.DUMMYFUNCTION("IF($CR43="""","""",IFERROR(query({CarteirasAtivos},""select Col6 where Col4 is not null and Col1 = '""&amp;$CR43&amp;""' limit 1""),""NC""))"),"")</f>
        <v/>
      </c>
      <c r="AB43" s="877"/>
      <c r="AC43" s="878" t="s">
        <v>123</v>
      </c>
      <c r="AD43" s="845" t="str">
        <f>IF($CR43="","",IFERROR(VLOOKUP($CR43,ativos.!$C$3:$R308,MATCH("cotacao",ativos.!$C$2:CY$2,0),FALSE)*$CU$5,"atualizar"))</f>
        <v/>
      </c>
      <c r="AE43" s="846" t="str">
        <f>IFERROR(__xludf.DUMMYFUNCTION("IF($CR43="""","""",IFERROR(AVERAGE(query({CarteirasAtivos;CarteirasAtivosEncerrados},""select Col5 where Col5 is not null and Col1 = '""&amp;$CR43&amp;""' and Col10='SIM'""))*CU43,""NC""))"),"")</f>
        <v/>
      </c>
      <c r="AF43" s="847" t="str">
        <f t="shared" si="1"/>
        <v/>
      </c>
      <c r="AG43" s="442"/>
      <c r="AH43" s="848" t="str">
        <f>IFERROR(__xludf.DUMMYFUNCTION("IF($CR43="""","""",IFERROR(GOOGLEFINANCE($CR43,""low52"")*CU43,""-""))"),"")</f>
        <v/>
      </c>
      <c r="AI43" s="848" t="str">
        <f>IFERROR(__xludf.DUMMYFUNCTION("IF($CR43="""","""",IFERROR(GOOGLEFINANCE($CR43,""high52"")*CU43,""-""))"),"")</f>
        <v/>
      </c>
      <c r="AJ43" s="849" t="s">
        <v>123</v>
      </c>
      <c r="AK43" s="850" t="str">
        <f>IFERROR(__xludf.DUMMYFUNCTION("IF($CR43="""","""",IFERROR(GOOGLEFINANCE($CR43,""changepct"")/100,""-""))"),"")</f>
        <v/>
      </c>
      <c r="AL43" s="851" t="str">
        <f>IFERROR(__xludf.DUMMYFUNCTION("IF($CR43="""","""",IFERROR(($AD43/(QUERY(GOOGLEFINANCE($CR43,""price"",TODAY()-7),""SELECT Col2 label Col2 ''"")*$CU43)-1),""-""))"),"")</f>
        <v/>
      </c>
      <c r="AM43" s="851" t="str">
        <f>IFERROR(__xludf.DUMMYFUNCTION("IF($CR43="""","""",IFERROR(($AD43/(QUERY(GOOGLEFINANCE($CR43,""price"",TODAY()-14),""SELECT Col2 label Col2 ''"")*$CU43)-1),""-""))"),"")</f>
        <v/>
      </c>
      <c r="AN43" s="851" t="str">
        <f>IFERROR(__xludf.DUMMYFUNCTION("IF($CR43="""","""",IFERROR(($AD43/(QUERY(GOOGLEFINANCE($CR43,""price"",TODAY()-28),""SELECT Col2 label Col2 ''"")*$CU43)-1),""-""))"),"")</f>
        <v/>
      </c>
      <c r="AO43" s="851" t="str">
        <f>IFERROR(__xludf.DUMMYFUNCTION("IF($CR43="""","""",IFERROR(($AD43/(QUERY(GOOGLEFINANCE($CR43,""price"",TODAY()-$AQ$5),""SELECT Col2 label Col2 ''"")*$CU43)-1),""-""))"),"")</f>
        <v/>
      </c>
      <c r="AP43" s="852" t="str">
        <f>IFERROR(__xludf.DUMMYFUNCTION("IF($CR43="""","""",IFERROR(SPARKLINE(query(GOOGLEFINANCE($CR43,""price"",TODAY()-$AQ$5,TODAY(),1),""select Col2 label Col2 ''""),IF($AP$7=""Gráfico de barras"",{""charttype"",""column"";""highcolor"",""red""},{""chartype"",""line""}))))"),"")</f>
        <v/>
      </c>
      <c r="AQ43" s="144"/>
      <c r="AR43" s="853"/>
      <c r="AS43" s="854" t="str">
        <f>IF($CR43="","",IF(NOT('alocação'!$D$1),"off",IFERROR(VLOOKUP(CR43,BalanceAtivos,3,0),"NC")))</f>
        <v/>
      </c>
      <c r="AT43" s="855" t="str">
        <f>IF($CR43="","",IF(NOT('alocação'!$D$1),"off",IFERROR(VLOOKUP($CR43,BalanceAtivos,4,0)*$CU$5,"NC")))</f>
        <v/>
      </c>
      <c r="AU43" s="856" t="str">
        <f>IF($CR43="","",IF(NOT('alocação'!$D$1),"off",IFERROR(VLOOKUP($CR43,BalanceAtivos,5,0),"-")))</f>
        <v/>
      </c>
      <c r="AV43" s="856" t="str">
        <f>IF($CR43="","",IF(NOT('alocação'!$D$1),"off",IFERROR(VLOOKUP($CR43,BalanceAtivos,6,0),"-")))</f>
        <v/>
      </c>
      <c r="AW43" s="857"/>
      <c r="AX43" s="858" t="str">
        <f>IF($CR43="","",IF($E43="","SP",IFERROR(VLOOKUP($CR43,AtivosDados,MATCH("pm_atual",portfolio.!$A$3:CY$3,0),0)*$CU$5,0)))</f>
        <v/>
      </c>
      <c r="AY43" s="859" t="str">
        <f t="shared" si="2"/>
        <v/>
      </c>
      <c r="AZ43" s="858" t="str">
        <f>IF($CR43="","",IF($E43="","SP",SUMIF(portfolio.!$A$4:$A308,$CR43,portfolio.!$O$4:$O308)*$CU$5))</f>
        <v/>
      </c>
      <c r="BA43" s="858" t="str">
        <f>IF($CR43="","",IF($E43="","SP",SUMIF(portfolio.!$A$4:$A308,$CR43,portfolio.!$AN$4:$AN308)*$CU$5))</f>
        <v/>
      </c>
      <c r="BB43" s="860" t="str">
        <f>IF($CR43="","",IF($E43="","-",IFERROR($BA43/'portfólio'!$DG$63,"")))</f>
        <v/>
      </c>
      <c r="BC43" s="861" t="str">
        <f>IF($CR43="","",IF($E43="","-",SUMIF(portfolio.!$A$4:$A308,$CR43,portfolio.!$J$4:$J308)))</f>
        <v/>
      </c>
      <c r="BD43" s="862" t="str">
        <f>IF($CR43="","",IF($E43="","SP",SUMIF(portfolio.!$A$4:$A308,$CR43,portfolio.!$AQ$4:$AQ308)*$CU$5))</f>
        <v/>
      </c>
      <c r="BE43" s="850" t="str">
        <f t="shared" si="3"/>
        <v/>
      </c>
      <c r="BF43" s="862" t="str">
        <f>IF($CR43="","",IF($E43="","-",SUMIF(portfolio.!$A$4:$A308,$CR43,portfolio.!$AX$4:$AX308)*$CU$5))</f>
        <v/>
      </c>
      <c r="BG43" s="545"/>
      <c r="BH43" s="879" t="s">
        <v>123</v>
      </c>
      <c r="BI43" s="880" t="s">
        <v>123</v>
      </c>
      <c r="BJ43" s="863" t="str">
        <f>IFERROR(__xludf.DUMMYFUNCTION("IF(NOT($BL$4),"""",IF($CR43="""","""",IFERROR(query({GOOGLEFINANCE($CR43,""price"",IF($BI43=""-"",TODAY()-($AQ$5+5),$BI43),TODAY()-1)},""Select max(Col2) where Col1 is not null label max(Col2) ''"")*CU43,""-"")))"),"")</f>
        <v/>
      </c>
      <c r="BK43" s="881" t="s">
        <v>123</v>
      </c>
      <c r="BL43" s="882" t="s">
        <v>123</v>
      </c>
      <c r="BM43" s="442"/>
      <c r="BN43" s="867" t="str">
        <f>IFERROR(__xludf.DUMMYFUNCTION("IF(CR43="""","""",IF(OR(C43=""AÇÃO"",C43=""BDR""),IFERROR(QUERY({fundamentus.!$A$3:$U308},$CX$67&amp;"" where Col1='""&amp;CR43&amp;""' limit 1"",0)),IF(C43=""FII"",IFERROR(QUERY({fundsexplorer.!$A$2:$Z308},$CY$67&amp;"" where Col1='""&amp;CR43&amp;""' limit 1"",0)),"""")))"),"")</f>
        <v/>
      </c>
      <c r="BO43" s="867"/>
      <c r="BP43" s="867"/>
      <c r="BQ43" s="867"/>
      <c r="BR43" s="867"/>
      <c r="BS43" s="867"/>
      <c r="BT43" s="867"/>
      <c r="BU43" s="442"/>
      <c r="BV43" s="868" t="str">
        <f>IFERROR(__xludf.DUMMYFUNCTION("IF(OR(C43=""AÇÃO"",C43=""BDR""),IFERROR(GOOGLEFINANCE(CONCAT(""BVMF:"",CR43), ""marketcap"")/1000000,""NC""),"""")"),"")</f>
        <v/>
      </c>
      <c r="BW43" s="869" t="s">
        <v>123</v>
      </c>
      <c r="BX43" s="870" t="s">
        <v>123</v>
      </c>
      <c r="BY43" s="868" t="s">
        <v>123</v>
      </c>
      <c r="BZ43" s="870" t="s">
        <v>123</v>
      </c>
      <c r="CA43" s="868" t="s">
        <v>123</v>
      </c>
      <c r="CB43" s="868" t="s">
        <v>123</v>
      </c>
      <c r="CC43" s="868" t="s">
        <v>123</v>
      </c>
      <c r="CD43" s="868" t="str">
        <f>IFERROR(__xludf.DUMMYFUNCTION("IF(OR(C43=""AÇÃO"",C43=""BDR""),IFERROR(GOOGLEFINANCE(CONCAT(""BVMF:"",CR43), ""volumeavg"")/1000000,""NC""),"""")"),"")</f>
        <v/>
      </c>
      <c r="CE43" s="870" t="s">
        <v>123</v>
      </c>
      <c r="CF43" s="870" t="s">
        <v>123</v>
      </c>
      <c r="CG43" s="870" t="str">
        <f>IFERROR(__xludf.DUMMYFUNCTION("IF(OR(C43=""AÇÃO"",C43=""BDR""),IF(CF43=0,""SEM DY"",IFERROR(ImportXML(CONCAT(""http://www.guiainvest.com.br/raiox/default.aspx?sigla="",$CR43),""//*[@id='lbPayoutAtual']""),""NC"")),"""")"),"")</f>
        <v/>
      </c>
      <c r="CH43" s="870" t="s">
        <v>123</v>
      </c>
      <c r="CI43" s="545"/>
      <c r="CJ43" s="871" t="str">
        <f>IFERROR(__xludf.DUMMYFUNCTION("IF(OR(C43=""AÇÃO"",C43=""BDR""),IFERROR(GOOGLEFINANCE(CONCAT(""BVMF:"",CR43), ""eps""),""NC""),"""")"),"")</f>
        <v/>
      </c>
      <c r="CK43" s="442"/>
      <c r="CL43" s="871" t="str">
        <f>IFERROR(__xludf.DUMMYFUNCTION("IF(NOT($BL$4),"""",IF($CR43="""","""",IF($BC43="""","""",IFERROR(query({op.normal!$B$5:$F308},""select Col5, toDate(Col2) where Col1 =  '""&amp;$CR43&amp;""' and Col4 &gt; 0 and ((Col3 is null) or (Col3 = 'C')) and Col2 &gt;= date '""&amp;TEXT(TODAY()-$AQ$5,""yyyy-mm-dd"")"&amp;"&amp;""' order by Col2 desc limit 1 label toDate(Col2) ''"")))))"),"")</f>
        <v/>
      </c>
      <c r="CM43" s="872"/>
      <c r="CN43" s="883" t="s">
        <v>123</v>
      </c>
      <c r="CO43" s="874" t="s">
        <v>123</v>
      </c>
      <c r="CP43" s="766"/>
      <c r="CQ43" s="791"/>
      <c r="CR43" s="791"/>
      <c r="CT43" s="791" t="s">
        <v>123</v>
      </c>
      <c r="CU43" s="791" t="str">
        <f>IFERROR(__xludf.DUMMYFUNCTION("IF(CR43="""","""",IF(CT43=$C$4,1,GOOGLEFINANCE(CT43&amp;$C$4)))"),"")</f>
        <v/>
      </c>
      <c r="CW43" s="791" t="s">
        <v>590</v>
      </c>
      <c r="CX43" s="791" t="s">
        <v>590</v>
      </c>
      <c r="CY43" s="791" t="str">
        <f>"Col"&amp;MATCH(CW43,fundsexplorer.!$A$2:$Z$2,0)</f>
        <v>Col13</v>
      </c>
    </row>
    <row r="44" ht="22.5" customHeight="1">
      <c r="A44" s="837">
        <v>36.0</v>
      </c>
      <c r="B44" s="838" t="s">
        <v>123</v>
      </c>
      <c r="C44" s="838" t="s">
        <v>123</v>
      </c>
      <c r="D44" s="839" t="s">
        <v>123</v>
      </c>
      <c r="E44" s="839" t="s">
        <v>123</v>
      </c>
      <c r="F44" s="839" t="s">
        <v>123</v>
      </c>
      <c r="G44" s="56"/>
      <c r="H44" s="884"/>
      <c r="I44" s="838"/>
      <c r="J44" s="838"/>
      <c r="K44" s="838"/>
      <c r="L44" s="838"/>
      <c r="M44" s="838"/>
      <c r="N44" s="838"/>
      <c r="O44" s="838"/>
      <c r="P44" s="838"/>
      <c r="Q44" s="838"/>
      <c r="R44" s="838"/>
      <c r="S44" s="838"/>
      <c r="T44" s="838"/>
      <c r="U44" s="838"/>
      <c r="V44" s="838"/>
      <c r="W44" s="838"/>
      <c r="X44" s="838"/>
      <c r="Z44" s="875" t="str">
        <f>IFERROR(__xludf.DUMMYFUNCTION("IF($CR44="""","""",IFERROR(query({CarteirasAtivos},""select Col4 where Col4 is not null and Col1 = '""&amp;$CR44&amp;""' limit 1"")*CU44,""NC""))"),"")</f>
        <v/>
      </c>
      <c r="AA44" s="876" t="str">
        <f>IFERROR(__xludf.DUMMYFUNCTION("IF($CR44="""","""",IFERROR(query({CarteirasAtivos},""select Col6 where Col4 is not null and Col1 = '""&amp;$CR44&amp;""' limit 1""),""NC""))"),"")</f>
        <v/>
      </c>
      <c r="AB44" s="877"/>
      <c r="AC44" s="878" t="s">
        <v>123</v>
      </c>
      <c r="AD44" s="845" t="str">
        <f>IF($CR44="","",IFERROR(VLOOKUP($CR44,ativos.!$C$3:$R308,MATCH("cotacao",ativos.!$C$2:CY$2,0),FALSE)*$CU$5,"atualizar"))</f>
        <v/>
      </c>
      <c r="AE44" s="846" t="str">
        <f>IFERROR(__xludf.DUMMYFUNCTION("IF($CR44="""","""",IFERROR(AVERAGE(query({CarteirasAtivos;CarteirasAtivosEncerrados},""select Col5 where Col5 is not null and Col1 = '""&amp;$CR44&amp;""' and Col10='SIM'""))*CU44,""NC""))"),"")</f>
        <v/>
      </c>
      <c r="AF44" s="847" t="str">
        <f t="shared" si="1"/>
        <v/>
      </c>
      <c r="AG44" s="442"/>
      <c r="AH44" s="848" t="str">
        <f>IFERROR(__xludf.DUMMYFUNCTION("IF($CR44="""","""",IFERROR(GOOGLEFINANCE($CR44,""low52"")*CU44,""-""))"),"")</f>
        <v/>
      </c>
      <c r="AI44" s="848" t="str">
        <f>IFERROR(__xludf.DUMMYFUNCTION("IF($CR44="""","""",IFERROR(GOOGLEFINANCE($CR44,""high52"")*CU44,""-""))"),"")</f>
        <v/>
      </c>
      <c r="AJ44" s="849" t="s">
        <v>123</v>
      </c>
      <c r="AK44" s="850" t="str">
        <f>IFERROR(__xludf.DUMMYFUNCTION("IF($CR44="""","""",IFERROR(GOOGLEFINANCE($CR44,""changepct"")/100,""-""))"),"")</f>
        <v/>
      </c>
      <c r="AL44" s="851" t="str">
        <f>IFERROR(__xludf.DUMMYFUNCTION("IF($CR44="""","""",IFERROR(($AD44/(QUERY(GOOGLEFINANCE($CR44,""price"",TODAY()-7),""SELECT Col2 label Col2 ''"")*$CU44)-1),""-""))"),"")</f>
        <v/>
      </c>
      <c r="AM44" s="851" t="str">
        <f>IFERROR(__xludf.DUMMYFUNCTION("IF($CR44="""","""",IFERROR(($AD44/(QUERY(GOOGLEFINANCE($CR44,""price"",TODAY()-14),""SELECT Col2 label Col2 ''"")*$CU44)-1),""-""))"),"")</f>
        <v/>
      </c>
      <c r="AN44" s="851" t="str">
        <f>IFERROR(__xludf.DUMMYFUNCTION("IF($CR44="""","""",IFERROR(($AD44/(QUERY(GOOGLEFINANCE($CR44,""price"",TODAY()-28),""SELECT Col2 label Col2 ''"")*$CU44)-1),""-""))"),"")</f>
        <v/>
      </c>
      <c r="AO44" s="851" t="str">
        <f>IFERROR(__xludf.DUMMYFUNCTION("IF($CR44="""","""",IFERROR(($AD44/(QUERY(GOOGLEFINANCE($CR44,""price"",TODAY()-$AQ$5),""SELECT Col2 label Col2 ''"")*$CU44)-1),""-""))"),"")</f>
        <v/>
      </c>
      <c r="AP44" s="852" t="str">
        <f>IFERROR(__xludf.DUMMYFUNCTION("IF($CR44="""","""",IFERROR(SPARKLINE(query(GOOGLEFINANCE($CR44,""price"",TODAY()-$AQ$5,TODAY(),1),""select Col2 label Col2 ''""),IF($AP$7=""Gráfico de barras"",{""charttype"",""column"";""highcolor"",""red""},{""chartype"",""line""}))))"),"")</f>
        <v/>
      </c>
      <c r="AQ44" s="144"/>
      <c r="AR44" s="853"/>
      <c r="AS44" s="854" t="str">
        <f>IF($CR44="","",IF(NOT('alocação'!$D$1),"off",IFERROR(VLOOKUP(CR44,BalanceAtivos,3,0),"NC")))</f>
        <v/>
      </c>
      <c r="AT44" s="855" t="str">
        <f>IF($CR44="","",IF(NOT('alocação'!$D$1),"off",IFERROR(VLOOKUP($CR44,BalanceAtivos,4,0)*$CU$5,"NC")))</f>
        <v/>
      </c>
      <c r="AU44" s="856" t="str">
        <f>IF($CR44="","",IF(NOT('alocação'!$D$1),"off",IFERROR(VLOOKUP($CR44,BalanceAtivos,5,0),"-")))</f>
        <v/>
      </c>
      <c r="AV44" s="856" t="str">
        <f>IF($CR44="","",IF(NOT('alocação'!$D$1),"off",IFERROR(VLOOKUP($CR44,BalanceAtivos,6,0),"-")))</f>
        <v/>
      </c>
      <c r="AW44" s="857"/>
      <c r="AX44" s="858" t="str">
        <f>IF($CR44="","",IF($E44="","SP",IFERROR(VLOOKUP($CR44,AtivosDados,MATCH("pm_atual",portfolio.!$A$3:CY$3,0),0)*$CU$5,0)))</f>
        <v/>
      </c>
      <c r="AY44" s="859" t="str">
        <f t="shared" si="2"/>
        <v/>
      </c>
      <c r="AZ44" s="858" t="str">
        <f>IF($CR44="","",IF($E44="","SP",SUMIF(portfolio.!$A$4:$A308,$CR44,portfolio.!$O$4:$O308)*$CU$5))</f>
        <v/>
      </c>
      <c r="BA44" s="858" t="str">
        <f>IF($CR44="","",IF($E44="","SP",SUMIF(portfolio.!$A$4:$A308,$CR44,portfolio.!$AN$4:$AN308)*$CU$5))</f>
        <v/>
      </c>
      <c r="BB44" s="860" t="str">
        <f>IF($CR44="","",IF($E44="","-",IFERROR($BA44/'portfólio'!$DG$63,"")))</f>
        <v/>
      </c>
      <c r="BC44" s="861" t="str">
        <f>IF($CR44="","",IF($E44="","-",SUMIF(portfolio.!$A$4:$A308,$CR44,portfolio.!$J$4:$J308)))</f>
        <v/>
      </c>
      <c r="BD44" s="862" t="str">
        <f>IF($CR44="","",IF($E44="","SP",SUMIF(portfolio.!$A$4:$A308,$CR44,portfolio.!$AQ$4:$AQ308)*$CU$5))</f>
        <v/>
      </c>
      <c r="BE44" s="850" t="str">
        <f t="shared" si="3"/>
        <v/>
      </c>
      <c r="BF44" s="862" t="str">
        <f>IF($CR44="","",IF($E44="","-",SUMIF(portfolio.!$A$4:$A308,$CR44,portfolio.!$AX$4:$AX308)*$CU$5))</f>
        <v/>
      </c>
      <c r="BG44" s="545"/>
      <c r="BH44" s="879" t="s">
        <v>123</v>
      </c>
      <c r="BI44" s="880" t="s">
        <v>123</v>
      </c>
      <c r="BJ44" s="863" t="str">
        <f>IFERROR(__xludf.DUMMYFUNCTION("IF(NOT($BL$4),"""",IF($CR44="""","""",IFERROR(query({GOOGLEFINANCE($CR44,""price"",IF($BI44=""-"",TODAY()-($AQ$5+5),$BI44),TODAY()-1)},""Select max(Col2) where Col1 is not null label max(Col2) ''"")*CU44,""-"")))"),"")</f>
        <v/>
      </c>
      <c r="BK44" s="881" t="s">
        <v>123</v>
      </c>
      <c r="BL44" s="882" t="s">
        <v>123</v>
      </c>
      <c r="BM44" s="442"/>
      <c r="BN44" s="867" t="str">
        <f>IFERROR(__xludf.DUMMYFUNCTION("IF(CR44="""","""",IF(OR(C44=""AÇÃO"",C44=""BDR""),IFERROR(QUERY({fundamentus.!$A$3:$U308},$CX$67&amp;"" where Col1='""&amp;CR44&amp;""' limit 1"",0)),IF(C44=""FII"",IFERROR(QUERY({fundsexplorer.!$A$2:$Z308},$CY$67&amp;"" where Col1='""&amp;CR44&amp;""' limit 1"",0)),"""")))"),"")</f>
        <v/>
      </c>
      <c r="BO44" s="867"/>
      <c r="BP44" s="867"/>
      <c r="BQ44" s="867"/>
      <c r="BR44" s="867"/>
      <c r="BS44" s="867"/>
      <c r="BT44" s="867"/>
      <c r="BU44" s="442"/>
      <c r="BV44" s="868" t="str">
        <f>IFERROR(__xludf.DUMMYFUNCTION("IF(OR(C44=""AÇÃO"",C44=""BDR""),IFERROR(GOOGLEFINANCE(CONCAT(""BVMF:"",CR44), ""marketcap"")/1000000,""NC""),"""")"),"")</f>
        <v/>
      </c>
      <c r="BW44" s="869" t="s">
        <v>123</v>
      </c>
      <c r="BX44" s="870" t="s">
        <v>123</v>
      </c>
      <c r="BY44" s="868" t="s">
        <v>123</v>
      </c>
      <c r="BZ44" s="870" t="s">
        <v>123</v>
      </c>
      <c r="CA44" s="868" t="s">
        <v>123</v>
      </c>
      <c r="CB44" s="868" t="s">
        <v>123</v>
      </c>
      <c r="CC44" s="868" t="s">
        <v>123</v>
      </c>
      <c r="CD44" s="868" t="str">
        <f>IFERROR(__xludf.DUMMYFUNCTION("IF(OR(C44=""AÇÃO"",C44=""BDR""),IFERROR(GOOGLEFINANCE(CONCAT(""BVMF:"",CR44), ""volumeavg"")/1000000,""NC""),"""")"),"")</f>
        <v/>
      </c>
      <c r="CE44" s="870" t="s">
        <v>123</v>
      </c>
      <c r="CF44" s="870" t="s">
        <v>123</v>
      </c>
      <c r="CG44" s="870" t="str">
        <f>IFERROR(__xludf.DUMMYFUNCTION("IF(OR(C44=""AÇÃO"",C44=""BDR""),IF(CF44=0,""SEM DY"",IFERROR(ImportXML(CONCAT(""http://www.guiainvest.com.br/raiox/default.aspx?sigla="",$CR44),""//*[@id='lbPayoutAtual']""),""NC"")),"""")"),"")</f>
        <v/>
      </c>
      <c r="CH44" s="870" t="s">
        <v>123</v>
      </c>
      <c r="CI44" s="545"/>
      <c r="CJ44" s="871" t="str">
        <f>IFERROR(__xludf.DUMMYFUNCTION("IF(OR(C44=""AÇÃO"",C44=""BDR""),IFERROR(GOOGLEFINANCE(CONCAT(""BVMF:"",CR44), ""eps""),""NC""),"""")"),"")</f>
        <v/>
      </c>
      <c r="CK44" s="442"/>
      <c r="CL44" s="871" t="str">
        <f>IFERROR(__xludf.DUMMYFUNCTION("IF(NOT($BL$4),"""",IF($CR44="""","""",IF($BC44="""","""",IFERROR(query({op.normal!$B$5:$F308},""select Col5, toDate(Col2) where Col1 =  '""&amp;$CR44&amp;""' and Col4 &gt; 0 and ((Col3 is null) or (Col3 = 'C')) and Col2 &gt;= date '""&amp;TEXT(TODAY()-$AQ$5,""yyyy-mm-dd"")"&amp;"&amp;""' order by Col2 desc limit 1 label toDate(Col2) ''"")))))"),"")</f>
        <v/>
      </c>
      <c r="CM44" s="872"/>
      <c r="CN44" s="883" t="s">
        <v>123</v>
      </c>
      <c r="CO44" s="874" t="s">
        <v>123</v>
      </c>
      <c r="CP44" s="766"/>
      <c r="CQ44" s="791"/>
      <c r="CR44" s="791"/>
      <c r="CT44" s="791" t="s">
        <v>123</v>
      </c>
      <c r="CU44" s="791" t="str">
        <f>IFERROR(__xludf.DUMMYFUNCTION("IF(CR44="""","""",IF(CT44=$C$4,1,GOOGLEFINANCE(CT44&amp;$C$4)))"),"")</f>
        <v/>
      </c>
      <c r="CW44" s="791" t="s">
        <v>591</v>
      </c>
      <c r="CX44" s="791" t="s">
        <v>591</v>
      </c>
      <c r="CY44" s="791" t="str">
        <f>"Col"&amp;MATCH(CW44,fundsexplorer.!$A$2:$Z$2,0)</f>
        <v>Col14</v>
      </c>
    </row>
    <row r="45" ht="22.5" customHeight="1">
      <c r="A45" s="837">
        <v>37.0</v>
      </c>
      <c r="B45" s="838" t="s">
        <v>123</v>
      </c>
      <c r="C45" s="838" t="s">
        <v>123</v>
      </c>
      <c r="D45" s="839" t="s">
        <v>123</v>
      </c>
      <c r="E45" s="839" t="s">
        <v>123</v>
      </c>
      <c r="F45" s="839" t="s">
        <v>123</v>
      </c>
      <c r="G45" s="56"/>
      <c r="H45" s="884"/>
      <c r="I45" s="838"/>
      <c r="J45" s="838"/>
      <c r="K45" s="838"/>
      <c r="L45" s="838"/>
      <c r="M45" s="838"/>
      <c r="N45" s="838"/>
      <c r="O45" s="838"/>
      <c r="P45" s="838"/>
      <c r="Q45" s="838"/>
      <c r="R45" s="838"/>
      <c r="S45" s="838"/>
      <c r="T45" s="838"/>
      <c r="U45" s="838"/>
      <c r="V45" s="838"/>
      <c r="W45" s="838"/>
      <c r="X45" s="838"/>
      <c r="Z45" s="875" t="str">
        <f>IFERROR(__xludf.DUMMYFUNCTION("IF($CR45="""","""",IFERROR(query({CarteirasAtivos},""select Col4 where Col4 is not null and Col1 = '""&amp;$CR45&amp;""' limit 1"")*CU45,""NC""))"),"")</f>
        <v/>
      </c>
      <c r="AA45" s="876" t="str">
        <f>IFERROR(__xludf.DUMMYFUNCTION("IF($CR45="""","""",IFERROR(query({CarteirasAtivos},""select Col6 where Col4 is not null and Col1 = '""&amp;$CR45&amp;""' limit 1""),""NC""))"),"")</f>
        <v/>
      </c>
      <c r="AB45" s="877"/>
      <c r="AC45" s="878" t="s">
        <v>123</v>
      </c>
      <c r="AD45" s="845" t="str">
        <f>IF($CR45="","",IFERROR(VLOOKUP($CR45,ativos.!$C$3:$R308,MATCH("cotacao",ativos.!$C$2:CY$2,0),FALSE)*$CU$5,"atualizar"))</f>
        <v/>
      </c>
      <c r="AE45" s="846" t="str">
        <f>IFERROR(__xludf.DUMMYFUNCTION("IF($CR45="""","""",IFERROR(AVERAGE(query({CarteirasAtivos;CarteirasAtivosEncerrados},""select Col5 where Col5 is not null and Col1 = '""&amp;$CR45&amp;""' and Col10='SIM'""))*CU45,""NC""))"),"")</f>
        <v/>
      </c>
      <c r="AF45" s="847" t="str">
        <f t="shared" si="1"/>
        <v/>
      </c>
      <c r="AG45" s="442"/>
      <c r="AH45" s="848" t="str">
        <f>IFERROR(__xludf.DUMMYFUNCTION("IF($CR45="""","""",IFERROR(GOOGLEFINANCE($CR45,""low52"")*CU45,""-""))"),"")</f>
        <v/>
      </c>
      <c r="AI45" s="848" t="str">
        <f>IFERROR(__xludf.DUMMYFUNCTION("IF($CR45="""","""",IFERROR(GOOGLEFINANCE($CR45,""high52"")*CU45,""-""))"),"")</f>
        <v/>
      </c>
      <c r="AJ45" s="849" t="s">
        <v>123</v>
      </c>
      <c r="AK45" s="850" t="str">
        <f>IFERROR(__xludf.DUMMYFUNCTION("IF($CR45="""","""",IFERROR(GOOGLEFINANCE($CR45,""changepct"")/100,""-""))"),"")</f>
        <v/>
      </c>
      <c r="AL45" s="851" t="str">
        <f>IFERROR(__xludf.DUMMYFUNCTION("IF($CR45="""","""",IFERROR(($AD45/(QUERY(GOOGLEFINANCE($CR45,""price"",TODAY()-7),""SELECT Col2 label Col2 ''"")*$CU45)-1),""-""))"),"")</f>
        <v/>
      </c>
      <c r="AM45" s="851" t="str">
        <f>IFERROR(__xludf.DUMMYFUNCTION("IF($CR45="""","""",IFERROR(($AD45/(QUERY(GOOGLEFINANCE($CR45,""price"",TODAY()-14),""SELECT Col2 label Col2 ''"")*$CU45)-1),""-""))"),"")</f>
        <v/>
      </c>
      <c r="AN45" s="851" t="str">
        <f>IFERROR(__xludf.DUMMYFUNCTION("IF($CR45="""","""",IFERROR(($AD45/(QUERY(GOOGLEFINANCE($CR45,""price"",TODAY()-28),""SELECT Col2 label Col2 ''"")*$CU45)-1),""-""))"),"")</f>
        <v/>
      </c>
      <c r="AO45" s="851" t="str">
        <f>IFERROR(__xludf.DUMMYFUNCTION("IF($CR45="""","""",IFERROR(($AD45/(QUERY(GOOGLEFINANCE($CR45,""price"",TODAY()-$AQ$5),""SELECT Col2 label Col2 ''"")*$CU45)-1),""-""))"),"")</f>
        <v/>
      </c>
      <c r="AP45" s="852" t="str">
        <f>IFERROR(__xludf.DUMMYFUNCTION("IF($CR45="""","""",IFERROR(SPARKLINE(query(GOOGLEFINANCE($CR45,""price"",TODAY()-$AQ$5,TODAY(),1),""select Col2 label Col2 ''""),IF($AP$7=""Gráfico de barras"",{""charttype"",""column"";""highcolor"",""red""},{""chartype"",""line""}))))"),"")</f>
        <v/>
      </c>
      <c r="AQ45" s="144"/>
      <c r="AR45" s="853"/>
      <c r="AS45" s="854" t="str">
        <f>IF($CR45="","",IF(NOT('alocação'!$D$1),"off",IFERROR(VLOOKUP(CR45,BalanceAtivos,3,0),"NC")))</f>
        <v/>
      </c>
      <c r="AT45" s="855" t="str">
        <f>IF($CR45="","",IF(NOT('alocação'!$D$1),"off",IFERROR(VLOOKUP($CR45,BalanceAtivos,4,0)*$CU$5,"NC")))</f>
        <v/>
      </c>
      <c r="AU45" s="856" t="str">
        <f>IF($CR45="","",IF(NOT('alocação'!$D$1),"off",IFERROR(VLOOKUP($CR45,BalanceAtivos,5,0),"-")))</f>
        <v/>
      </c>
      <c r="AV45" s="856" t="str">
        <f>IF($CR45="","",IF(NOT('alocação'!$D$1),"off",IFERROR(VLOOKUP($CR45,BalanceAtivos,6,0),"-")))</f>
        <v/>
      </c>
      <c r="AW45" s="857"/>
      <c r="AX45" s="858" t="str">
        <f>IF($CR45="","",IF($E45="","SP",IFERROR(VLOOKUP($CR45,AtivosDados,MATCH("pm_atual",portfolio.!$A$3:CY$3,0),0)*$CU$5,0)))</f>
        <v/>
      </c>
      <c r="AY45" s="859" t="str">
        <f t="shared" si="2"/>
        <v/>
      </c>
      <c r="AZ45" s="858" t="str">
        <f>IF($CR45="","",IF($E45="","SP",SUMIF(portfolio.!$A$4:$A308,$CR45,portfolio.!$O$4:$O308)*$CU$5))</f>
        <v/>
      </c>
      <c r="BA45" s="858" t="str">
        <f>IF($CR45="","",IF($E45="","SP",SUMIF(portfolio.!$A$4:$A308,$CR45,portfolio.!$AN$4:$AN308)*$CU$5))</f>
        <v/>
      </c>
      <c r="BB45" s="860" t="str">
        <f>IF($CR45="","",IF($E45="","-",IFERROR($BA45/'portfólio'!$DG$63,"")))</f>
        <v/>
      </c>
      <c r="BC45" s="861" t="str">
        <f>IF($CR45="","",IF($E45="","-",SUMIF(portfolio.!$A$4:$A308,$CR45,portfolio.!$J$4:$J308)))</f>
        <v/>
      </c>
      <c r="BD45" s="862" t="str">
        <f>IF($CR45="","",IF($E45="","SP",SUMIF(portfolio.!$A$4:$A308,$CR45,portfolio.!$AQ$4:$AQ308)*$CU$5))</f>
        <v/>
      </c>
      <c r="BE45" s="850" t="str">
        <f t="shared" si="3"/>
        <v/>
      </c>
      <c r="BF45" s="862" t="str">
        <f>IF($CR45="","",IF($E45="","-",SUMIF(portfolio.!$A$4:$A308,$CR45,portfolio.!$AX$4:$AX308)*$CU$5))</f>
        <v/>
      </c>
      <c r="BG45" s="545"/>
      <c r="BH45" s="879" t="s">
        <v>123</v>
      </c>
      <c r="BI45" s="880" t="s">
        <v>123</v>
      </c>
      <c r="BJ45" s="863" t="str">
        <f>IFERROR(__xludf.DUMMYFUNCTION("IF(NOT($BL$4),"""",IF($CR45="""","""",IFERROR(query({GOOGLEFINANCE($CR45,""price"",IF($BI45=""-"",TODAY()-($AQ$5+5),$BI45),TODAY()-1)},""Select max(Col2) where Col1 is not null label max(Col2) ''"")*CU45,""-"")))"),"")</f>
        <v/>
      </c>
      <c r="BK45" s="881" t="s">
        <v>123</v>
      </c>
      <c r="BL45" s="882" t="s">
        <v>123</v>
      </c>
      <c r="BM45" s="442"/>
      <c r="BN45" s="867" t="str">
        <f>IFERROR(__xludf.DUMMYFUNCTION("IF(CR45="""","""",IF(OR(C45=""AÇÃO"",C45=""BDR""),IFERROR(QUERY({fundamentus.!$A$3:$U308},$CX$67&amp;"" where Col1='""&amp;CR45&amp;""' limit 1"",0)),IF(C45=""FII"",IFERROR(QUERY({fundsexplorer.!$A$2:$Z308},$CY$67&amp;"" where Col1='""&amp;CR45&amp;""' limit 1"",0)),"""")))"),"")</f>
        <v/>
      </c>
      <c r="BO45" s="867"/>
      <c r="BP45" s="867"/>
      <c r="BQ45" s="867"/>
      <c r="BR45" s="867"/>
      <c r="BS45" s="867"/>
      <c r="BT45" s="867"/>
      <c r="BU45" s="442"/>
      <c r="BV45" s="868" t="str">
        <f>IFERROR(__xludf.DUMMYFUNCTION("IF(OR(C45=""AÇÃO"",C45=""BDR""),IFERROR(GOOGLEFINANCE(CONCAT(""BVMF:"",CR45), ""marketcap"")/1000000,""NC""),"""")"),"")</f>
        <v/>
      </c>
      <c r="BW45" s="869" t="s">
        <v>123</v>
      </c>
      <c r="BX45" s="870" t="s">
        <v>123</v>
      </c>
      <c r="BY45" s="868" t="s">
        <v>123</v>
      </c>
      <c r="BZ45" s="870" t="s">
        <v>123</v>
      </c>
      <c r="CA45" s="868" t="s">
        <v>123</v>
      </c>
      <c r="CB45" s="868" t="s">
        <v>123</v>
      </c>
      <c r="CC45" s="868" t="s">
        <v>123</v>
      </c>
      <c r="CD45" s="868" t="str">
        <f>IFERROR(__xludf.DUMMYFUNCTION("IF(OR(C45=""AÇÃO"",C45=""BDR""),IFERROR(GOOGLEFINANCE(CONCAT(""BVMF:"",CR45), ""volumeavg"")/1000000,""NC""),"""")"),"")</f>
        <v/>
      </c>
      <c r="CE45" s="870" t="s">
        <v>123</v>
      </c>
      <c r="CF45" s="870" t="s">
        <v>123</v>
      </c>
      <c r="CG45" s="870" t="str">
        <f>IFERROR(__xludf.DUMMYFUNCTION("IF(OR(C45=""AÇÃO"",C45=""BDR""),IF(CF45=0,""SEM DY"",IFERROR(ImportXML(CONCAT(""http://www.guiainvest.com.br/raiox/default.aspx?sigla="",$CR45),""//*[@id='lbPayoutAtual']""),""NC"")),"""")"),"")</f>
        <v/>
      </c>
      <c r="CH45" s="870" t="s">
        <v>123</v>
      </c>
      <c r="CI45" s="545"/>
      <c r="CJ45" s="871" t="str">
        <f>IFERROR(__xludf.DUMMYFUNCTION("IF(OR(C45=""AÇÃO"",C45=""BDR""),IFERROR(GOOGLEFINANCE(CONCAT(""BVMF:"",CR45), ""eps""),""NC""),"""")"),"")</f>
        <v/>
      </c>
      <c r="CK45" s="442"/>
      <c r="CL45" s="871" t="str">
        <f>IFERROR(__xludf.DUMMYFUNCTION("IF(NOT($BL$4),"""",IF($CR45="""","""",IF($BC45="""","""",IFERROR(query({op.normal!$B$5:$F308},""select Col5, toDate(Col2) where Col1 =  '""&amp;$CR45&amp;""' and Col4 &gt; 0 and ((Col3 is null) or (Col3 = 'C')) and Col2 &gt;= date '""&amp;TEXT(TODAY()-$AQ$5,""yyyy-mm-dd"")"&amp;"&amp;""' order by Col2 desc limit 1 label toDate(Col2) ''"")))))"),"")</f>
        <v/>
      </c>
      <c r="CM45" s="872"/>
      <c r="CN45" s="883" t="s">
        <v>123</v>
      </c>
      <c r="CO45" s="874" t="s">
        <v>123</v>
      </c>
      <c r="CP45" s="766"/>
      <c r="CQ45" s="791"/>
      <c r="CR45" s="791"/>
      <c r="CT45" s="791" t="s">
        <v>123</v>
      </c>
      <c r="CU45" s="791" t="str">
        <f>IFERROR(__xludf.DUMMYFUNCTION("IF(CR45="""","""",IF(CT45=$C$4,1,GOOGLEFINANCE(CT45&amp;$C$4)))"),"")</f>
        <v/>
      </c>
      <c r="CW45" s="791" t="s">
        <v>592</v>
      </c>
      <c r="CX45" s="791" t="s">
        <v>592</v>
      </c>
      <c r="CY45" s="791" t="str">
        <f>"Col"&amp;MATCH(CW45,fundsexplorer.!$A$2:$Z$2,0)</f>
        <v>Col15</v>
      </c>
    </row>
    <row r="46" ht="22.5" customHeight="1">
      <c r="A46" s="837">
        <v>38.0</v>
      </c>
      <c r="B46" s="838" t="s">
        <v>123</v>
      </c>
      <c r="C46" s="838" t="s">
        <v>123</v>
      </c>
      <c r="D46" s="839" t="s">
        <v>123</v>
      </c>
      <c r="E46" s="839" t="s">
        <v>123</v>
      </c>
      <c r="F46" s="839" t="s">
        <v>123</v>
      </c>
      <c r="G46" s="56"/>
      <c r="H46" s="884"/>
      <c r="I46" s="838"/>
      <c r="J46" s="838"/>
      <c r="K46" s="838"/>
      <c r="L46" s="838"/>
      <c r="M46" s="838"/>
      <c r="N46" s="838"/>
      <c r="O46" s="838"/>
      <c r="P46" s="838"/>
      <c r="Q46" s="838"/>
      <c r="R46" s="838"/>
      <c r="S46" s="838"/>
      <c r="T46" s="838"/>
      <c r="U46" s="838"/>
      <c r="V46" s="838"/>
      <c r="W46" s="838"/>
      <c r="X46" s="838"/>
      <c r="Z46" s="875" t="str">
        <f>IFERROR(__xludf.DUMMYFUNCTION("IF($CR46="""","""",IFERROR(query({CarteirasAtivos},""select Col4 where Col4 is not null and Col1 = '""&amp;$CR46&amp;""' limit 1"")*CU46,""NC""))"),"")</f>
        <v/>
      </c>
      <c r="AA46" s="876" t="str">
        <f>IFERROR(__xludf.DUMMYFUNCTION("IF($CR46="""","""",IFERROR(query({CarteirasAtivos},""select Col6 where Col4 is not null and Col1 = '""&amp;$CR46&amp;""' limit 1""),""NC""))"),"")</f>
        <v/>
      </c>
      <c r="AB46" s="877"/>
      <c r="AC46" s="878" t="s">
        <v>123</v>
      </c>
      <c r="AD46" s="845" t="str">
        <f>IF($CR46="","",IFERROR(VLOOKUP($CR46,ativos.!$C$3:$R308,MATCH("cotacao",ativos.!$C$2:CY$2,0),FALSE)*$CU$5,"atualizar"))</f>
        <v/>
      </c>
      <c r="AE46" s="846" t="str">
        <f>IFERROR(__xludf.DUMMYFUNCTION("IF($CR46="""","""",IFERROR(AVERAGE(query({CarteirasAtivos;CarteirasAtivosEncerrados},""select Col5 where Col5 is not null and Col1 = '""&amp;$CR46&amp;""' and Col10='SIM'""))*CU46,""NC""))"),"")</f>
        <v/>
      </c>
      <c r="AF46" s="847" t="str">
        <f t="shared" si="1"/>
        <v/>
      </c>
      <c r="AG46" s="442"/>
      <c r="AH46" s="848" t="str">
        <f>IFERROR(__xludf.DUMMYFUNCTION("IF($CR46="""","""",IFERROR(GOOGLEFINANCE($CR46,""low52"")*CU46,""-""))"),"")</f>
        <v/>
      </c>
      <c r="AI46" s="848" t="str">
        <f>IFERROR(__xludf.DUMMYFUNCTION("IF($CR46="""","""",IFERROR(GOOGLEFINANCE($CR46,""high52"")*CU46,""-""))"),"")</f>
        <v/>
      </c>
      <c r="AJ46" s="849" t="s">
        <v>123</v>
      </c>
      <c r="AK46" s="850" t="str">
        <f>IFERROR(__xludf.DUMMYFUNCTION("IF($CR46="""","""",IFERROR(GOOGLEFINANCE($CR46,""changepct"")/100,""-""))"),"")</f>
        <v/>
      </c>
      <c r="AL46" s="851" t="str">
        <f>IFERROR(__xludf.DUMMYFUNCTION("IF($CR46="""","""",IFERROR(($AD46/(QUERY(GOOGLEFINANCE($CR46,""price"",TODAY()-7),""SELECT Col2 label Col2 ''"")*$CU46)-1),""-""))"),"")</f>
        <v/>
      </c>
      <c r="AM46" s="851" t="str">
        <f>IFERROR(__xludf.DUMMYFUNCTION("IF($CR46="""","""",IFERROR(($AD46/(QUERY(GOOGLEFINANCE($CR46,""price"",TODAY()-14),""SELECT Col2 label Col2 ''"")*$CU46)-1),""-""))"),"")</f>
        <v/>
      </c>
      <c r="AN46" s="851" t="str">
        <f>IFERROR(__xludf.DUMMYFUNCTION("IF($CR46="""","""",IFERROR(($AD46/(QUERY(GOOGLEFINANCE($CR46,""price"",TODAY()-28),""SELECT Col2 label Col2 ''"")*$CU46)-1),""-""))"),"")</f>
        <v/>
      </c>
      <c r="AO46" s="851" t="str">
        <f>IFERROR(__xludf.DUMMYFUNCTION("IF($CR46="""","""",IFERROR(($AD46/(QUERY(GOOGLEFINANCE($CR46,""price"",TODAY()-$AQ$5),""SELECT Col2 label Col2 ''"")*$CU46)-1),""-""))"),"")</f>
        <v/>
      </c>
      <c r="AP46" s="852" t="str">
        <f>IFERROR(__xludf.DUMMYFUNCTION("IF($CR46="""","""",IFERROR(SPARKLINE(query(GOOGLEFINANCE($CR46,""price"",TODAY()-$AQ$5,TODAY(),1),""select Col2 label Col2 ''""),IF($AP$7=""Gráfico de barras"",{""charttype"",""column"";""highcolor"",""red""},{""chartype"",""line""}))))"),"")</f>
        <v/>
      </c>
      <c r="AQ46" s="144"/>
      <c r="AR46" s="853"/>
      <c r="AS46" s="854" t="str">
        <f>IF($CR46="","",IF(NOT('alocação'!$D$1),"off",IFERROR(VLOOKUP(CR46,BalanceAtivos,3,0),"NC")))</f>
        <v/>
      </c>
      <c r="AT46" s="855" t="str">
        <f>IF($CR46="","",IF(NOT('alocação'!$D$1),"off",IFERROR(VLOOKUP($CR46,BalanceAtivos,4,0)*$CU$5,"NC")))</f>
        <v/>
      </c>
      <c r="AU46" s="856" t="str">
        <f>IF($CR46="","",IF(NOT('alocação'!$D$1),"off",IFERROR(VLOOKUP($CR46,BalanceAtivos,5,0),"-")))</f>
        <v/>
      </c>
      <c r="AV46" s="856" t="str">
        <f>IF($CR46="","",IF(NOT('alocação'!$D$1),"off",IFERROR(VLOOKUP($CR46,BalanceAtivos,6,0),"-")))</f>
        <v/>
      </c>
      <c r="AW46" s="857"/>
      <c r="AX46" s="858" t="str">
        <f>IF($CR46="","",IF($E46="","SP",IFERROR(VLOOKUP($CR46,AtivosDados,MATCH("pm_atual",portfolio.!$A$3:CY$3,0),0)*$CU$5,0)))</f>
        <v/>
      </c>
      <c r="AY46" s="859" t="str">
        <f t="shared" si="2"/>
        <v/>
      </c>
      <c r="AZ46" s="858" t="str">
        <f>IF($CR46="","",IF($E46="","SP",SUMIF(portfolio.!$A$4:$A308,$CR46,portfolio.!$O$4:$O308)*$CU$5))</f>
        <v/>
      </c>
      <c r="BA46" s="858" t="str">
        <f>IF($CR46="","",IF($E46="","SP",SUMIF(portfolio.!$A$4:$A308,$CR46,portfolio.!$AN$4:$AN308)*$CU$5))</f>
        <v/>
      </c>
      <c r="BB46" s="860" t="str">
        <f>IF($CR46="","",IF($E46="","-",IFERROR($BA46/'portfólio'!$DG$63,"")))</f>
        <v/>
      </c>
      <c r="BC46" s="861" t="str">
        <f>IF($CR46="","",IF($E46="","-",SUMIF(portfolio.!$A$4:$A308,$CR46,portfolio.!$J$4:$J308)))</f>
        <v/>
      </c>
      <c r="BD46" s="862" t="str">
        <f>IF($CR46="","",IF($E46="","SP",SUMIF(portfolio.!$A$4:$A308,$CR46,portfolio.!$AQ$4:$AQ308)*$CU$5))</f>
        <v/>
      </c>
      <c r="BE46" s="850" t="str">
        <f t="shared" si="3"/>
        <v/>
      </c>
      <c r="BF46" s="862" t="str">
        <f>IF($CR46="","",IF($E46="","-",SUMIF(portfolio.!$A$4:$A308,$CR46,portfolio.!$AX$4:$AX308)*$CU$5))</f>
        <v/>
      </c>
      <c r="BG46" s="545"/>
      <c r="BH46" s="879" t="s">
        <v>123</v>
      </c>
      <c r="BI46" s="880" t="s">
        <v>123</v>
      </c>
      <c r="BJ46" s="863" t="str">
        <f>IFERROR(__xludf.DUMMYFUNCTION("IF(NOT($BL$4),"""",IF($CR46="""","""",IFERROR(query({GOOGLEFINANCE($CR46,""price"",IF($BI46=""-"",TODAY()-($AQ$5+5),$BI46),TODAY()-1)},""Select max(Col2) where Col1 is not null label max(Col2) ''"")*CU46,""-"")))"),"")</f>
        <v/>
      </c>
      <c r="BK46" s="881" t="s">
        <v>123</v>
      </c>
      <c r="BL46" s="882" t="s">
        <v>123</v>
      </c>
      <c r="BM46" s="442"/>
      <c r="BN46" s="867" t="str">
        <f>IFERROR(__xludf.DUMMYFUNCTION("IF(CR46="""","""",IF(OR(C46=""AÇÃO"",C46=""BDR""),IFERROR(QUERY({fundamentus.!$A$3:$U308},$CX$67&amp;"" where Col1='""&amp;CR46&amp;""' limit 1"",0)),IF(C46=""FII"",IFERROR(QUERY({fundsexplorer.!$A$2:$Z308},$CY$67&amp;"" where Col1='""&amp;CR46&amp;""' limit 1"",0)),"""")))"),"")</f>
        <v/>
      </c>
      <c r="BO46" s="867"/>
      <c r="BP46" s="867"/>
      <c r="BQ46" s="867"/>
      <c r="BR46" s="867"/>
      <c r="BS46" s="867"/>
      <c r="BT46" s="867"/>
      <c r="BU46" s="442"/>
      <c r="BV46" s="868" t="str">
        <f>IFERROR(__xludf.DUMMYFUNCTION("IF(OR(C46=""AÇÃO"",C46=""BDR""),IFERROR(GOOGLEFINANCE(CONCAT(""BVMF:"",CR46), ""marketcap"")/1000000,""NC""),"""")"),"")</f>
        <v/>
      </c>
      <c r="BW46" s="869" t="s">
        <v>123</v>
      </c>
      <c r="BX46" s="870" t="s">
        <v>123</v>
      </c>
      <c r="BY46" s="868" t="s">
        <v>123</v>
      </c>
      <c r="BZ46" s="870" t="s">
        <v>123</v>
      </c>
      <c r="CA46" s="868" t="s">
        <v>123</v>
      </c>
      <c r="CB46" s="868" t="s">
        <v>123</v>
      </c>
      <c r="CC46" s="868" t="s">
        <v>123</v>
      </c>
      <c r="CD46" s="868" t="str">
        <f>IFERROR(__xludf.DUMMYFUNCTION("IF(OR(C46=""AÇÃO"",C46=""BDR""),IFERROR(GOOGLEFINANCE(CONCAT(""BVMF:"",CR46), ""volumeavg"")/1000000,""NC""),"""")"),"")</f>
        <v/>
      </c>
      <c r="CE46" s="870" t="s">
        <v>123</v>
      </c>
      <c r="CF46" s="870" t="s">
        <v>123</v>
      </c>
      <c r="CG46" s="870" t="str">
        <f>IFERROR(__xludf.DUMMYFUNCTION("IF(OR(C46=""AÇÃO"",C46=""BDR""),IF(CF46=0,""SEM DY"",IFERROR(ImportXML(CONCAT(""http://www.guiainvest.com.br/raiox/default.aspx?sigla="",$CR46),""//*[@id='lbPayoutAtual']""),""NC"")),"""")"),"")</f>
        <v/>
      </c>
      <c r="CH46" s="870" t="s">
        <v>123</v>
      </c>
      <c r="CI46" s="545"/>
      <c r="CJ46" s="871" t="str">
        <f>IFERROR(__xludf.DUMMYFUNCTION("IF(OR(C46=""AÇÃO"",C46=""BDR""),IFERROR(GOOGLEFINANCE(CONCAT(""BVMF:"",CR46), ""eps""),""NC""),"""")"),"")</f>
        <v/>
      </c>
      <c r="CK46" s="442"/>
      <c r="CL46" s="871" t="str">
        <f>IFERROR(__xludf.DUMMYFUNCTION("IF(NOT($BL$4),"""",IF($CR46="""","""",IF($BC46="""","""",IFERROR(query({op.normal!$B$5:$F308},""select Col5, toDate(Col2) where Col1 =  '""&amp;$CR46&amp;""' and Col4 &gt; 0 and ((Col3 is null) or (Col3 = 'C')) and Col2 &gt;= date '""&amp;TEXT(TODAY()-$AQ$5,""yyyy-mm-dd"")"&amp;"&amp;""' order by Col2 desc limit 1 label toDate(Col2) ''"")))))"),"")</f>
        <v/>
      </c>
      <c r="CM46" s="872"/>
      <c r="CN46" s="883" t="s">
        <v>123</v>
      </c>
      <c r="CO46" s="874" t="s">
        <v>123</v>
      </c>
      <c r="CP46" s="766"/>
      <c r="CQ46" s="791"/>
      <c r="CR46" s="791"/>
      <c r="CT46" s="791" t="s">
        <v>123</v>
      </c>
      <c r="CU46" s="791" t="str">
        <f>IFERROR(__xludf.DUMMYFUNCTION("IF(CR46="""","""",IF(CT46=$C$4,1,GOOGLEFINANCE(CT46&amp;$C$4)))"),"")</f>
        <v/>
      </c>
      <c r="CW46" s="791" t="s">
        <v>593</v>
      </c>
      <c r="CX46" s="836" t="s">
        <v>594</v>
      </c>
      <c r="CY46" s="791" t="str">
        <f>"Col"&amp;MATCH(CW46,fundsexplorer.!$A$2:$Z$2,0)</f>
        <v>Col16</v>
      </c>
    </row>
    <row r="47" ht="22.5" customHeight="1">
      <c r="A47" s="837">
        <v>39.0</v>
      </c>
      <c r="B47" s="838" t="s">
        <v>123</v>
      </c>
      <c r="C47" s="838" t="s">
        <v>123</v>
      </c>
      <c r="D47" s="839" t="s">
        <v>123</v>
      </c>
      <c r="E47" s="839" t="s">
        <v>123</v>
      </c>
      <c r="F47" s="839" t="s">
        <v>123</v>
      </c>
      <c r="G47" s="56"/>
      <c r="H47" s="884"/>
      <c r="I47" s="838"/>
      <c r="J47" s="838"/>
      <c r="K47" s="838"/>
      <c r="L47" s="838"/>
      <c r="M47" s="838"/>
      <c r="N47" s="838"/>
      <c r="O47" s="838"/>
      <c r="P47" s="838"/>
      <c r="Q47" s="838"/>
      <c r="R47" s="838"/>
      <c r="S47" s="838"/>
      <c r="T47" s="838"/>
      <c r="U47" s="838"/>
      <c r="V47" s="838"/>
      <c r="W47" s="838"/>
      <c r="X47" s="838"/>
      <c r="Z47" s="875" t="str">
        <f>IFERROR(__xludf.DUMMYFUNCTION("IF($CR47="""","""",IFERROR(query({CarteirasAtivos},""select Col4 where Col4 is not null and Col1 = '""&amp;$CR47&amp;""' limit 1"")*CU47,""NC""))"),"")</f>
        <v/>
      </c>
      <c r="AA47" s="876" t="str">
        <f>IFERROR(__xludf.DUMMYFUNCTION("IF($CR47="""","""",IFERROR(query({CarteirasAtivos},""select Col6 where Col4 is not null and Col1 = '""&amp;$CR47&amp;""' limit 1""),""NC""))"),"")</f>
        <v/>
      </c>
      <c r="AB47" s="877"/>
      <c r="AC47" s="878" t="s">
        <v>123</v>
      </c>
      <c r="AD47" s="845" t="str">
        <f>IF($CR47="","",IFERROR(VLOOKUP($CR47,ativos.!$C$3:$R308,MATCH("cotacao",ativos.!$C$2:CY$2,0),FALSE)*$CU$5,"atualizar"))</f>
        <v/>
      </c>
      <c r="AE47" s="846" t="str">
        <f>IFERROR(__xludf.DUMMYFUNCTION("IF($CR47="""","""",IFERROR(AVERAGE(query({CarteirasAtivos;CarteirasAtivosEncerrados},""select Col5 where Col5 is not null and Col1 = '""&amp;$CR47&amp;""' and Col10='SIM'""))*CU47,""NC""))"),"")</f>
        <v/>
      </c>
      <c r="AF47" s="847" t="str">
        <f t="shared" si="1"/>
        <v/>
      </c>
      <c r="AG47" s="442"/>
      <c r="AH47" s="848" t="str">
        <f>IFERROR(__xludf.DUMMYFUNCTION("IF($CR47="""","""",IFERROR(GOOGLEFINANCE($CR47,""low52"")*CU47,""-""))"),"")</f>
        <v/>
      </c>
      <c r="AI47" s="848" t="str">
        <f>IFERROR(__xludf.DUMMYFUNCTION("IF($CR47="""","""",IFERROR(GOOGLEFINANCE($CR47,""high52"")*CU47,""-""))"),"")</f>
        <v/>
      </c>
      <c r="AJ47" s="849" t="s">
        <v>123</v>
      </c>
      <c r="AK47" s="850" t="str">
        <f>IFERROR(__xludf.DUMMYFUNCTION("IF($CR47="""","""",IFERROR(GOOGLEFINANCE($CR47,""changepct"")/100,""-""))"),"")</f>
        <v/>
      </c>
      <c r="AL47" s="851" t="str">
        <f>IFERROR(__xludf.DUMMYFUNCTION("IF($CR47="""","""",IFERROR(($AD47/(QUERY(GOOGLEFINANCE($CR47,""price"",TODAY()-7),""SELECT Col2 label Col2 ''"")*$CU47)-1),""-""))"),"")</f>
        <v/>
      </c>
      <c r="AM47" s="851" t="str">
        <f>IFERROR(__xludf.DUMMYFUNCTION("IF($CR47="""","""",IFERROR(($AD47/(QUERY(GOOGLEFINANCE($CR47,""price"",TODAY()-14),""SELECT Col2 label Col2 ''"")*$CU47)-1),""-""))"),"")</f>
        <v/>
      </c>
      <c r="AN47" s="851" t="str">
        <f>IFERROR(__xludf.DUMMYFUNCTION("IF($CR47="""","""",IFERROR(($AD47/(QUERY(GOOGLEFINANCE($CR47,""price"",TODAY()-28),""SELECT Col2 label Col2 ''"")*$CU47)-1),""-""))"),"")</f>
        <v/>
      </c>
      <c r="AO47" s="851" t="str">
        <f>IFERROR(__xludf.DUMMYFUNCTION("IF($CR47="""","""",IFERROR(($AD47/(QUERY(GOOGLEFINANCE($CR47,""price"",TODAY()-$AQ$5),""SELECT Col2 label Col2 ''"")*$CU47)-1),""-""))"),"")</f>
        <v/>
      </c>
      <c r="AP47" s="852" t="str">
        <f>IFERROR(__xludf.DUMMYFUNCTION("IF($CR47="""","""",IFERROR(SPARKLINE(query(GOOGLEFINANCE($CR47,""price"",TODAY()-$AQ$5,TODAY(),1),""select Col2 label Col2 ''""),IF($AP$7=""Gráfico de barras"",{""charttype"",""column"";""highcolor"",""red""},{""chartype"",""line""}))))"),"")</f>
        <v/>
      </c>
      <c r="AQ47" s="144"/>
      <c r="AR47" s="853"/>
      <c r="AS47" s="854" t="str">
        <f>IF($CR47="","",IF(NOT('alocação'!$D$1),"off",IFERROR(VLOOKUP(CR47,BalanceAtivos,3,0),"NC")))</f>
        <v/>
      </c>
      <c r="AT47" s="855" t="str">
        <f>IF($CR47="","",IF(NOT('alocação'!$D$1),"off",IFERROR(VLOOKUP($CR47,BalanceAtivos,4,0)*$CU$5,"NC")))</f>
        <v/>
      </c>
      <c r="AU47" s="856" t="str">
        <f>IF($CR47="","",IF(NOT('alocação'!$D$1),"off",IFERROR(VLOOKUP($CR47,BalanceAtivos,5,0),"-")))</f>
        <v/>
      </c>
      <c r="AV47" s="856" t="str">
        <f>IF($CR47="","",IF(NOT('alocação'!$D$1),"off",IFERROR(VLOOKUP($CR47,BalanceAtivos,6,0),"-")))</f>
        <v/>
      </c>
      <c r="AW47" s="857"/>
      <c r="AX47" s="858" t="str">
        <f>IF($CR47="","",IF($E47="","SP",IFERROR(VLOOKUP($CR47,AtivosDados,MATCH("pm_atual",portfolio.!$A$3:CY$3,0),0)*$CU$5,0)))</f>
        <v/>
      </c>
      <c r="AY47" s="859" t="str">
        <f t="shared" si="2"/>
        <v/>
      </c>
      <c r="AZ47" s="858" t="str">
        <f>IF($CR47="","",IF($E47="","SP",SUMIF(portfolio.!$A$4:$A308,$CR47,portfolio.!$O$4:$O308)*$CU$5))</f>
        <v/>
      </c>
      <c r="BA47" s="858" t="str">
        <f>IF($CR47="","",IF($E47="","SP",SUMIF(portfolio.!$A$4:$A308,$CR47,portfolio.!$AN$4:$AN308)*$CU$5))</f>
        <v/>
      </c>
      <c r="BB47" s="860" t="str">
        <f>IF($CR47="","",IF($E47="","-",IFERROR($BA47/'portfólio'!$DG$63,"")))</f>
        <v/>
      </c>
      <c r="BC47" s="861" t="str">
        <f>IF($CR47="","",IF($E47="","-",SUMIF(portfolio.!$A$4:$A308,$CR47,portfolio.!$J$4:$J308)))</f>
        <v/>
      </c>
      <c r="BD47" s="862" t="str">
        <f>IF($CR47="","",IF($E47="","SP",SUMIF(portfolio.!$A$4:$A308,$CR47,portfolio.!$AQ$4:$AQ308)*$CU$5))</f>
        <v/>
      </c>
      <c r="BE47" s="850" t="str">
        <f t="shared" si="3"/>
        <v/>
      </c>
      <c r="BF47" s="862" t="str">
        <f>IF($CR47="","",IF($E47="","-",SUMIF(portfolio.!$A$4:$A308,$CR47,portfolio.!$AX$4:$AX308)*$CU$5))</f>
        <v/>
      </c>
      <c r="BG47" s="545"/>
      <c r="BH47" s="879" t="s">
        <v>123</v>
      </c>
      <c r="BI47" s="880" t="s">
        <v>123</v>
      </c>
      <c r="BJ47" s="863" t="str">
        <f>IFERROR(__xludf.DUMMYFUNCTION("IF(NOT($BL$4),"""",IF($CR47="""","""",IFERROR(query({GOOGLEFINANCE($CR47,""price"",IF($BI47=""-"",TODAY()-($AQ$5+5),$BI47),TODAY()-1)},""Select max(Col2) where Col1 is not null label max(Col2) ''"")*CU47,""-"")))"),"")</f>
        <v/>
      </c>
      <c r="BK47" s="881" t="s">
        <v>123</v>
      </c>
      <c r="BL47" s="882" t="s">
        <v>123</v>
      </c>
      <c r="BM47" s="442"/>
      <c r="BN47" s="867" t="str">
        <f>IFERROR(__xludf.DUMMYFUNCTION("IF(CR47="""","""",IF(OR(C47=""AÇÃO"",C47=""BDR""),IFERROR(QUERY({fundamentus.!$A$3:$U308},$CX$67&amp;"" where Col1='""&amp;CR47&amp;""' limit 1"",0)),IF(C47=""FII"",IFERROR(QUERY({fundsexplorer.!$A$2:$Z308},$CY$67&amp;"" where Col1='""&amp;CR47&amp;""' limit 1"",0)),"""")))"),"")</f>
        <v/>
      </c>
      <c r="BO47" s="867"/>
      <c r="BP47" s="867"/>
      <c r="BQ47" s="867"/>
      <c r="BR47" s="867"/>
      <c r="BS47" s="867"/>
      <c r="BT47" s="867"/>
      <c r="BU47" s="442"/>
      <c r="BV47" s="868" t="str">
        <f>IFERROR(__xludf.DUMMYFUNCTION("IF(OR(C47=""AÇÃO"",C47=""BDR""),IFERROR(GOOGLEFINANCE(CONCAT(""BVMF:"",CR47), ""marketcap"")/1000000,""NC""),"""")"),"")</f>
        <v/>
      </c>
      <c r="BW47" s="869" t="s">
        <v>123</v>
      </c>
      <c r="BX47" s="870" t="s">
        <v>123</v>
      </c>
      <c r="BY47" s="868" t="s">
        <v>123</v>
      </c>
      <c r="BZ47" s="870" t="s">
        <v>123</v>
      </c>
      <c r="CA47" s="868" t="s">
        <v>123</v>
      </c>
      <c r="CB47" s="868" t="s">
        <v>123</v>
      </c>
      <c r="CC47" s="868" t="s">
        <v>123</v>
      </c>
      <c r="CD47" s="868" t="str">
        <f>IFERROR(__xludf.DUMMYFUNCTION("IF(OR(C47=""AÇÃO"",C47=""BDR""),IFERROR(GOOGLEFINANCE(CONCAT(""BVMF:"",CR47), ""volumeavg"")/1000000,""NC""),"""")"),"")</f>
        <v/>
      </c>
      <c r="CE47" s="870" t="s">
        <v>123</v>
      </c>
      <c r="CF47" s="870" t="s">
        <v>123</v>
      </c>
      <c r="CG47" s="870" t="str">
        <f>IFERROR(__xludf.DUMMYFUNCTION("IF(OR(C47=""AÇÃO"",C47=""BDR""),IF(CF47=0,""SEM DY"",IFERROR(ImportXML(CONCAT(""http://www.guiainvest.com.br/raiox/default.aspx?sigla="",$CR47),""//*[@id='lbPayoutAtual']""),""NC"")),"""")"),"")</f>
        <v/>
      </c>
      <c r="CH47" s="870" t="s">
        <v>123</v>
      </c>
      <c r="CI47" s="545"/>
      <c r="CJ47" s="871" t="str">
        <f>IFERROR(__xludf.DUMMYFUNCTION("IF(OR(C47=""AÇÃO"",C47=""BDR""),IFERROR(GOOGLEFINANCE(CONCAT(""BVMF:"",CR47), ""eps""),""NC""),"""")"),"")</f>
        <v/>
      </c>
      <c r="CK47" s="442"/>
      <c r="CL47" s="871" t="str">
        <f>IFERROR(__xludf.DUMMYFUNCTION("IF(NOT($BL$4),"""",IF($CR47="""","""",IF($BC47="""","""",IFERROR(query({op.normal!$B$5:$F308},""select Col5, toDate(Col2) where Col1 =  '""&amp;$CR47&amp;""' and Col4 &gt; 0 and ((Col3 is null) or (Col3 = 'C')) and Col2 &gt;= date '""&amp;TEXT(TODAY()-$AQ$5,""yyyy-mm-dd"")"&amp;"&amp;""' order by Col2 desc limit 1 label toDate(Col2) ''"")))))"),"")</f>
        <v/>
      </c>
      <c r="CM47" s="872"/>
      <c r="CN47" s="883" t="s">
        <v>123</v>
      </c>
      <c r="CO47" s="874" t="s">
        <v>123</v>
      </c>
      <c r="CP47" s="766"/>
      <c r="CQ47" s="791"/>
      <c r="CR47" s="791"/>
      <c r="CT47" s="791" t="s">
        <v>123</v>
      </c>
      <c r="CU47" s="791" t="str">
        <f>IFERROR(__xludf.DUMMYFUNCTION("IF(CR47="""","""",IF(CT47=$C$4,1,GOOGLEFINANCE(CT47&amp;$C$4)))"),"")</f>
        <v/>
      </c>
      <c r="CW47" s="791" t="s">
        <v>595</v>
      </c>
      <c r="CX47" s="836" t="s">
        <v>596</v>
      </c>
      <c r="CY47" s="791" t="str">
        <f>"Col"&amp;MATCH(CW47,fundsexplorer.!$A$2:$Z$2,0)</f>
        <v>Col17</v>
      </c>
    </row>
    <row r="48" ht="22.5" customHeight="1">
      <c r="A48" s="837">
        <v>40.0</v>
      </c>
      <c r="B48" s="838" t="s">
        <v>123</v>
      </c>
      <c r="C48" s="838" t="s">
        <v>123</v>
      </c>
      <c r="D48" s="839" t="s">
        <v>123</v>
      </c>
      <c r="E48" s="839" t="s">
        <v>123</v>
      </c>
      <c r="F48" s="839" t="s">
        <v>123</v>
      </c>
      <c r="G48" s="56"/>
      <c r="H48" s="884"/>
      <c r="I48" s="838"/>
      <c r="J48" s="838"/>
      <c r="K48" s="838"/>
      <c r="L48" s="838"/>
      <c r="M48" s="838"/>
      <c r="N48" s="838"/>
      <c r="O48" s="838"/>
      <c r="P48" s="838"/>
      <c r="Q48" s="838"/>
      <c r="R48" s="838"/>
      <c r="S48" s="838"/>
      <c r="T48" s="838"/>
      <c r="U48" s="838"/>
      <c r="V48" s="838"/>
      <c r="W48" s="838"/>
      <c r="X48" s="838"/>
      <c r="Z48" s="875" t="str">
        <f>IFERROR(__xludf.DUMMYFUNCTION("IF($CR48="""","""",IFERROR(query({CarteirasAtivos},""select Col4 where Col4 is not null and Col1 = '""&amp;$CR48&amp;""' limit 1"")*CU48,""NC""))"),"")</f>
        <v/>
      </c>
      <c r="AA48" s="876" t="str">
        <f>IFERROR(__xludf.DUMMYFUNCTION("IF($CR48="""","""",IFERROR(query({CarteirasAtivos},""select Col6 where Col4 is not null and Col1 = '""&amp;$CR48&amp;""' limit 1""),""NC""))"),"")</f>
        <v/>
      </c>
      <c r="AB48" s="877"/>
      <c r="AC48" s="878" t="s">
        <v>123</v>
      </c>
      <c r="AD48" s="845" t="str">
        <f>IF($CR48="","",IFERROR(VLOOKUP($CR48,ativos.!$C$3:$R308,MATCH("cotacao",ativos.!$C$2:CY$2,0),FALSE)*$CU$5,"atualizar"))</f>
        <v/>
      </c>
      <c r="AE48" s="846" t="str">
        <f>IFERROR(__xludf.DUMMYFUNCTION("IF($CR48="""","""",IFERROR(AVERAGE(query({CarteirasAtivos;CarteirasAtivosEncerrados},""select Col5 where Col5 is not null and Col1 = '""&amp;$CR48&amp;""' and Col10='SIM'""))*CU48,""NC""))"),"")</f>
        <v/>
      </c>
      <c r="AF48" s="847" t="str">
        <f t="shared" si="1"/>
        <v/>
      </c>
      <c r="AG48" s="442"/>
      <c r="AH48" s="848" t="str">
        <f>IFERROR(__xludf.DUMMYFUNCTION("IF($CR48="""","""",IFERROR(GOOGLEFINANCE($CR48,""low52"")*CU48,""-""))"),"")</f>
        <v/>
      </c>
      <c r="AI48" s="848" t="str">
        <f>IFERROR(__xludf.DUMMYFUNCTION("IF($CR48="""","""",IFERROR(GOOGLEFINANCE($CR48,""high52"")*CU48,""-""))"),"")</f>
        <v/>
      </c>
      <c r="AJ48" s="849" t="s">
        <v>123</v>
      </c>
      <c r="AK48" s="850" t="str">
        <f>IFERROR(__xludf.DUMMYFUNCTION("IF($CR48="""","""",IFERROR(GOOGLEFINANCE($CR48,""changepct"")/100,""-""))"),"")</f>
        <v/>
      </c>
      <c r="AL48" s="851" t="str">
        <f>IFERROR(__xludf.DUMMYFUNCTION("IF($CR48="""","""",IFERROR(($AD48/(QUERY(GOOGLEFINANCE($CR48,""price"",TODAY()-7),""SELECT Col2 label Col2 ''"")*$CU48)-1),""-""))"),"")</f>
        <v/>
      </c>
      <c r="AM48" s="851" t="str">
        <f>IFERROR(__xludf.DUMMYFUNCTION("IF($CR48="""","""",IFERROR(($AD48/(QUERY(GOOGLEFINANCE($CR48,""price"",TODAY()-14),""SELECT Col2 label Col2 ''"")*$CU48)-1),""-""))"),"")</f>
        <v/>
      </c>
      <c r="AN48" s="851" t="str">
        <f>IFERROR(__xludf.DUMMYFUNCTION("IF($CR48="""","""",IFERROR(($AD48/(QUERY(GOOGLEFINANCE($CR48,""price"",TODAY()-28),""SELECT Col2 label Col2 ''"")*$CU48)-1),""-""))"),"")</f>
        <v/>
      </c>
      <c r="AO48" s="851" t="str">
        <f>IFERROR(__xludf.DUMMYFUNCTION("IF($CR48="""","""",IFERROR(($AD48/(QUERY(GOOGLEFINANCE($CR48,""price"",TODAY()-$AQ$5),""SELECT Col2 label Col2 ''"")*$CU48)-1),""-""))"),"")</f>
        <v/>
      </c>
      <c r="AP48" s="852" t="str">
        <f>IFERROR(__xludf.DUMMYFUNCTION("IF($CR48="""","""",IFERROR(SPARKLINE(query(GOOGLEFINANCE($CR48,""price"",TODAY()-$AQ$5,TODAY(),1),""select Col2 label Col2 ''""),IF($AP$7=""Gráfico de barras"",{""charttype"",""column"";""highcolor"",""red""},{""chartype"",""line""}))))"),"")</f>
        <v/>
      </c>
      <c r="AQ48" s="144"/>
      <c r="AR48" s="853"/>
      <c r="AS48" s="854" t="str">
        <f>IF($CR48="","",IF(NOT('alocação'!$D$1),"off",IFERROR(VLOOKUP(CR48,BalanceAtivos,3,0),"NC")))</f>
        <v/>
      </c>
      <c r="AT48" s="855" t="str">
        <f>IF($CR48="","",IF(NOT('alocação'!$D$1),"off",IFERROR(VLOOKUP($CR48,BalanceAtivos,4,0)*$CU$5,"NC")))</f>
        <v/>
      </c>
      <c r="AU48" s="856" t="str">
        <f>IF($CR48="","",IF(NOT('alocação'!$D$1),"off",IFERROR(VLOOKUP($CR48,BalanceAtivos,5,0),"-")))</f>
        <v/>
      </c>
      <c r="AV48" s="856" t="str">
        <f>IF($CR48="","",IF(NOT('alocação'!$D$1),"off",IFERROR(VLOOKUP($CR48,BalanceAtivos,6,0),"-")))</f>
        <v/>
      </c>
      <c r="AW48" s="857"/>
      <c r="AX48" s="858" t="str">
        <f>IF($CR48="","",IF($E48="","SP",IFERROR(VLOOKUP($CR48,AtivosDados,MATCH("pm_atual",portfolio.!$A$3:CY$3,0),0)*$CU$5,0)))</f>
        <v/>
      </c>
      <c r="AY48" s="859" t="str">
        <f t="shared" si="2"/>
        <v/>
      </c>
      <c r="AZ48" s="858" t="str">
        <f>IF($CR48="","",IF($E48="","SP",SUMIF(portfolio.!$A$4:$A308,$CR48,portfolio.!$O$4:$O308)*$CU$5))</f>
        <v/>
      </c>
      <c r="BA48" s="858" t="str">
        <f>IF($CR48="","",IF($E48="","SP",SUMIF(portfolio.!$A$4:$A308,$CR48,portfolio.!$AN$4:$AN308)*$CU$5))</f>
        <v/>
      </c>
      <c r="BB48" s="860" t="str">
        <f>IF($CR48="","",IF($E48="","-",IFERROR($BA48/'portfólio'!$DG$63,"")))</f>
        <v/>
      </c>
      <c r="BC48" s="861" t="str">
        <f>IF($CR48="","",IF($E48="","-",SUMIF(portfolio.!$A$4:$A308,$CR48,portfolio.!$J$4:$J308)))</f>
        <v/>
      </c>
      <c r="BD48" s="862" t="str">
        <f>IF($CR48="","",IF($E48="","SP",SUMIF(portfolio.!$A$4:$A308,$CR48,portfolio.!$AQ$4:$AQ308)*$CU$5))</f>
        <v/>
      </c>
      <c r="BE48" s="850" t="str">
        <f t="shared" si="3"/>
        <v/>
      </c>
      <c r="BF48" s="862" t="str">
        <f>IF($CR48="","",IF($E48="","-",SUMIF(portfolio.!$A$4:$A308,$CR48,portfolio.!$AX$4:$AX308)*$CU$5))</f>
        <v/>
      </c>
      <c r="BG48" s="545"/>
      <c r="BH48" s="879" t="s">
        <v>123</v>
      </c>
      <c r="BI48" s="880" t="s">
        <v>123</v>
      </c>
      <c r="BJ48" s="863" t="str">
        <f>IFERROR(__xludf.DUMMYFUNCTION("IF(NOT($BL$4),"""",IF($CR48="""","""",IFERROR(query({GOOGLEFINANCE($CR48,""price"",IF($BI48=""-"",TODAY()-($AQ$5+5),$BI48),TODAY()-1)},""Select max(Col2) where Col1 is not null label max(Col2) ''"")*CU48,""-"")))"),"")</f>
        <v/>
      </c>
      <c r="BK48" s="881" t="s">
        <v>123</v>
      </c>
      <c r="BL48" s="882" t="s">
        <v>123</v>
      </c>
      <c r="BM48" s="442"/>
      <c r="BN48" s="867" t="str">
        <f>IFERROR(__xludf.DUMMYFUNCTION("IF(CR48="""","""",IF(OR(C48=""AÇÃO"",C48=""BDR""),IFERROR(QUERY({fundamentus.!$A$3:$U308},$CX$67&amp;"" where Col1='""&amp;CR48&amp;""' limit 1"",0)),IF(C48=""FII"",IFERROR(QUERY({fundsexplorer.!$A$2:$Z308},$CY$67&amp;"" where Col1='""&amp;CR48&amp;""' limit 1"",0)),"""")))"),"")</f>
        <v/>
      </c>
      <c r="BO48" s="867"/>
      <c r="BP48" s="867"/>
      <c r="BQ48" s="867"/>
      <c r="BR48" s="867"/>
      <c r="BS48" s="867"/>
      <c r="BT48" s="867"/>
      <c r="BU48" s="442"/>
      <c r="BV48" s="868" t="str">
        <f>IFERROR(__xludf.DUMMYFUNCTION("IF(OR(C48=""AÇÃO"",C48=""BDR""),IFERROR(GOOGLEFINANCE(CONCAT(""BVMF:"",CR48), ""marketcap"")/1000000,""NC""),"""")"),"")</f>
        <v/>
      </c>
      <c r="BW48" s="869" t="s">
        <v>123</v>
      </c>
      <c r="BX48" s="870" t="s">
        <v>123</v>
      </c>
      <c r="BY48" s="868" t="s">
        <v>123</v>
      </c>
      <c r="BZ48" s="870" t="s">
        <v>123</v>
      </c>
      <c r="CA48" s="868" t="s">
        <v>123</v>
      </c>
      <c r="CB48" s="868" t="s">
        <v>123</v>
      </c>
      <c r="CC48" s="868" t="s">
        <v>123</v>
      </c>
      <c r="CD48" s="868" t="str">
        <f>IFERROR(__xludf.DUMMYFUNCTION("IF(OR(C48=""AÇÃO"",C48=""BDR""),IFERROR(GOOGLEFINANCE(CONCAT(""BVMF:"",CR48), ""volumeavg"")/1000000,""NC""),"""")"),"")</f>
        <v/>
      </c>
      <c r="CE48" s="870" t="s">
        <v>123</v>
      </c>
      <c r="CF48" s="870" t="s">
        <v>123</v>
      </c>
      <c r="CG48" s="870" t="str">
        <f>IFERROR(__xludf.DUMMYFUNCTION("IF(OR(C48=""AÇÃO"",C48=""BDR""),IF(CF48=0,""SEM DY"",IFERROR(ImportXML(CONCAT(""http://www.guiainvest.com.br/raiox/default.aspx?sigla="",$CR48),""//*[@id='lbPayoutAtual']""),""NC"")),"""")"),"")</f>
        <v/>
      </c>
      <c r="CH48" s="870" t="s">
        <v>123</v>
      </c>
      <c r="CI48" s="545"/>
      <c r="CJ48" s="871" t="str">
        <f>IFERROR(__xludf.DUMMYFUNCTION("IF(OR(C48=""AÇÃO"",C48=""BDR""),IFERROR(GOOGLEFINANCE(CONCAT(""BVMF:"",CR48), ""eps""),""NC""),"""")"),"")</f>
        <v/>
      </c>
      <c r="CK48" s="442"/>
      <c r="CL48" s="871" t="str">
        <f>IFERROR(__xludf.DUMMYFUNCTION("IF(NOT($BL$4),"""",IF($CR48="""","""",IF($BC48="""","""",IFERROR(query({op.normal!$B$5:$F308},""select Col5, toDate(Col2) where Col1 =  '""&amp;$CR48&amp;""' and Col4 &gt; 0 and ((Col3 is null) or (Col3 = 'C')) and Col2 &gt;= date '""&amp;TEXT(TODAY()-$AQ$5,""yyyy-mm-dd"")"&amp;"&amp;""' order by Col2 desc limit 1 label toDate(Col2) ''"")))))"),"")</f>
        <v/>
      </c>
      <c r="CM48" s="872"/>
      <c r="CN48" s="883" t="s">
        <v>123</v>
      </c>
      <c r="CO48" s="874" t="s">
        <v>123</v>
      </c>
      <c r="CP48" s="766"/>
      <c r="CQ48" s="791"/>
      <c r="CR48" s="791"/>
      <c r="CT48" s="791" t="s">
        <v>123</v>
      </c>
      <c r="CU48" s="791" t="str">
        <f>IFERROR(__xludf.DUMMYFUNCTION("IF(CR48="""","""",IF(CT48=$C$4,1,GOOGLEFINANCE(CT48&amp;$C$4)))"),"")</f>
        <v/>
      </c>
      <c r="CW48" s="791" t="s">
        <v>597</v>
      </c>
      <c r="CX48" s="791" t="s">
        <v>597</v>
      </c>
      <c r="CY48" s="791" t="str">
        <f>"Col"&amp;MATCH(CW48,fundsexplorer.!$A$2:$Z$2,0)</f>
        <v>Col18</v>
      </c>
    </row>
    <row r="49" ht="22.5" customHeight="1">
      <c r="A49" s="837">
        <v>41.0</v>
      </c>
      <c r="B49" s="838" t="s">
        <v>123</v>
      </c>
      <c r="C49" s="838" t="s">
        <v>123</v>
      </c>
      <c r="D49" s="839" t="s">
        <v>123</v>
      </c>
      <c r="E49" s="839" t="s">
        <v>123</v>
      </c>
      <c r="F49" s="839" t="s">
        <v>123</v>
      </c>
      <c r="G49" s="56"/>
      <c r="H49" s="884"/>
      <c r="I49" s="838"/>
      <c r="J49" s="838"/>
      <c r="K49" s="838"/>
      <c r="L49" s="838"/>
      <c r="M49" s="838"/>
      <c r="N49" s="838"/>
      <c r="O49" s="838"/>
      <c r="P49" s="838"/>
      <c r="Q49" s="838"/>
      <c r="R49" s="838"/>
      <c r="S49" s="838"/>
      <c r="T49" s="838"/>
      <c r="U49" s="838"/>
      <c r="V49" s="838"/>
      <c r="W49" s="838"/>
      <c r="X49" s="838"/>
      <c r="Z49" s="875" t="str">
        <f>IFERROR(__xludf.DUMMYFUNCTION("IF($CR49="""","""",IFERROR(query({CarteirasAtivos},""select Col4 where Col4 is not null and Col1 = '""&amp;$CR49&amp;""' limit 1"")*CU49,""NC""))"),"")</f>
        <v/>
      </c>
      <c r="AA49" s="876" t="str">
        <f>IFERROR(__xludf.DUMMYFUNCTION("IF($CR49="""","""",IFERROR(query({CarteirasAtivos},""select Col6 where Col4 is not null and Col1 = '""&amp;$CR49&amp;""' limit 1""),""NC""))"),"")</f>
        <v/>
      </c>
      <c r="AB49" s="877"/>
      <c r="AC49" s="878" t="s">
        <v>123</v>
      </c>
      <c r="AD49" s="845" t="str">
        <f>IF($CR49="","",IFERROR(VLOOKUP($CR49,ativos.!$C$3:$R308,MATCH("cotacao",ativos.!$C$2:CY$2,0),FALSE)*$CU$5,"atualizar"))</f>
        <v/>
      </c>
      <c r="AE49" s="846" t="str">
        <f>IFERROR(__xludf.DUMMYFUNCTION("IF($CR49="""","""",IFERROR(AVERAGE(query({CarteirasAtivos;CarteirasAtivosEncerrados},""select Col5 where Col5 is not null and Col1 = '""&amp;$CR49&amp;""' and Col10='SIM'""))*CU49,""NC""))"),"")</f>
        <v/>
      </c>
      <c r="AF49" s="847" t="str">
        <f t="shared" si="1"/>
        <v/>
      </c>
      <c r="AG49" s="442"/>
      <c r="AH49" s="848" t="str">
        <f>IFERROR(__xludf.DUMMYFUNCTION("IF($CR49="""","""",IFERROR(GOOGLEFINANCE($CR49,""low52"")*CU49,""-""))"),"")</f>
        <v/>
      </c>
      <c r="AI49" s="848" t="str">
        <f>IFERROR(__xludf.DUMMYFUNCTION("IF($CR49="""","""",IFERROR(GOOGLEFINANCE($CR49,""high52"")*CU49,""-""))"),"")</f>
        <v/>
      </c>
      <c r="AJ49" s="849" t="s">
        <v>123</v>
      </c>
      <c r="AK49" s="850" t="str">
        <f>IFERROR(__xludf.DUMMYFUNCTION("IF($CR49="""","""",IFERROR(GOOGLEFINANCE($CR49,""changepct"")/100,""-""))"),"")</f>
        <v/>
      </c>
      <c r="AL49" s="851" t="str">
        <f>IFERROR(__xludf.DUMMYFUNCTION("IF($CR49="""","""",IFERROR(($AD49/(QUERY(GOOGLEFINANCE($CR49,""price"",TODAY()-7),""SELECT Col2 label Col2 ''"")*$CU49)-1),""-""))"),"")</f>
        <v/>
      </c>
      <c r="AM49" s="851" t="str">
        <f>IFERROR(__xludf.DUMMYFUNCTION("IF($CR49="""","""",IFERROR(($AD49/(QUERY(GOOGLEFINANCE($CR49,""price"",TODAY()-14),""SELECT Col2 label Col2 ''"")*$CU49)-1),""-""))"),"")</f>
        <v/>
      </c>
      <c r="AN49" s="851" t="str">
        <f>IFERROR(__xludf.DUMMYFUNCTION("IF($CR49="""","""",IFERROR(($AD49/(QUERY(GOOGLEFINANCE($CR49,""price"",TODAY()-28),""SELECT Col2 label Col2 ''"")*$CU49)-1),""-""))"),"")</f>
        <v/>
      </c>
      <c r="AO49" s="851" t="str">
        <f>IFERROR(__xludf.DUMMYFUNCTION("IF($CR49="""","""",IFERROR(($AD49/(QUERY(GOOGLEFINANCE($CR49,""price"",TODAY()-$AQ$5),""SELECT Col2 label Col2 ''"")*$CU49)-1),""-""))"),"")</f>
        <v/>
      </c>
      <c r="AP49" s="852" t="str">
        <f>IFERROR(__xludf.DUMMYFUNCTION("IF($CR49="""","""",IFERROR(SPARKLINE(query(GOOGLEFINANCE($CR49,""price"",TODAY()-$AQ$5,TODAY(),1),""select Col2 label Col2 ''""),IF($AP$7=""Gráfico de barras"",{""charttype"",""column"";""highcolor"",""red""},{""chartype"",""line""}))))"),"")</f>
        <v/>
      </c>
      <c r="AQ49" s="144"/>
      <c r="AR49" s="853"/>
      <c r="AS49" s="854" t="str">
        <f>IF($CR49="","",IF(NOT('alocação'!$D$1),"off",IFERROR(VLOOKUP(CR49,BalanceAtivos,3,0),"NC")))</f>
        <v/>
      </c>
      <c r="AT49" s="855" t="str">
        <f>IF($CR49="","",IF(NOT('alocação'!$D$1),"off",IFERROR(VLOOKUP($CR49,BalanceAtivos,4,0)*$CU$5,"NC")))</f>
        <v/>
      </c>
      <c r="AU49" s="856" t="str">
        <f>IF($CR49="","",IF(NOT('alocação'!$D$1),"off",IFERROR(VLOOKUP($CR49,BalanceAtivos,5,0),"-")))</f>
        <v/>
      </c>
      <c r="AV49" s="856" t="str">
        <f>IF($CR49="","",IF(NOT('alocação'!$D$1),"off",IFERROR(VLOOKUP($CR49,BalanceAtivos,6,0),"-")))</f>
        <v/>
      </c>
      <c r="AW49" s="857"/>
      <c r="AX49" s="858" t="str">
        <f>IF($CR49="","",IF($E49="","SP",IFERROR(VLOOKUP($CR49,AtivosDados,MATCH("pm_atual",portfolio.!$A$3:CY$3,0),0)*$CU$5,0)))</f>
        <v/>
      </c>
      <c r="AY49" s="859" t="str">
        <f t="shared" si="2"/>
        <v/>
      </c>
      <c r="AZ49" s="858" t="str">
        <f>IF($CR49="","",IF($E49="","SP",SUMIF(portfolio.!$A$4:$A308,$CR49,portfolio.!$O$4:$O308)*$CU$5))</f>
        <v/>
      </c>
      <c r="BA49" s="858" t="str">
        <f>IF($CR49="","",IF($E49="","SP",SUMIF(portfolio.!$A$4:$A308,$CR49,portfolio.!$AN$4:$AN308)*$CU$5))</f>
        <v/>
      </c>
      <c r="BB49" s="860" t="str">
        <f>IF($CR49="","",IF($E49="","-",IFERROR($BA49/'portfólio'!$DG$63,"")))</f>
        <v/>
      </c>
      <c r="BC49" s="861" t="str">
        <f>IF($CR49="","",IF($E49="","-",SUMIF(portfolio.!$A$4:$A308,$CR49,portfolio.!$J$4:$J308)))</f>
        <v/>
      </c>
      <c r="BD49" s="862" t="str">
        <f>IF($CR49="","",IF($E49="","SP",SUMIF(portfolio.!$A$4:$A308,$CR49,portfolio.!$AQ$4:$AQ308)*$CU$5))</f>
        <v/>
      </c>
      <c r="BE49" s="850" t="str">
        <f t="shared" si="3"/>
        <v/>
      </c>
      <c r="BF49" s="862" t="str">
        <f>IF($CR49="","",IF($E49="","-",SUMIF(portfolio.!$A$4:$A308,$CR49,portfolio.!$AX$4:$AX308)*$CU$5))</f>
        <v/>
      </c>
      <c r="BG49" s="545"/>
      <c r="BH49" s="879" t="s">
        <v>123</v>
      </c>
      <c r="BI49" s="880" t="s">
        <v>123</v>
      </c>
      <c r="BJ49" s="863" t="str">
        <f>IFERROR(__xludf.DUMMYFUNCTION("IF(NOT($BL$4),"""",IF($CR49="""","""",IFERROR(query({GOOGLEFINANCE($CR49,""price"",IF($BI49=""-"",TODAY()-($AQ$5+5),$BI49),TODAY()-1)},""Select max(Col2) where Col1 is not null label max(Col2) ''"")*CU49,""-"")))"),"")</f>
        <v/>
      </c>
      <c r="BK49" s="881" t="s">
        <v>123</v>
      </c>
      <c r="BL49" s="882" t="s">
        <v>123</v>
      </c>
      <c r="BM49" s="442"/>
      <c r="BN49" s="867" t="str">
        <f>IFERROR(__xludf.DUMMYFUNCTION("IF(CR49="""","""",IF(OR(C49=""AÇÃO"",C49=""BDR""),IFERROR(QUERY({fundamentus.!$A$3:$U308},$CX$67&amp;"" where Col1='""&amp;CR49&amp;""' limit 1"",0)),IF(C49=""FII"",IFERROR(QUERY({fundsexplorer.!$A$2:$Z308},$CY$67&amp;"" where Col1='""&amp;CR49&amp;""' limit 1"",0)),"""")))"),"")</f>
        <v/>
      </c>
      <c r="BO49" s="867"/>
      <c r="BP49" s="867"/>
      <c r="BQ49" s="867"/>
      <c r="BR49" s="867"/>
      <c r="BS49" s="867"/>
      <c r="BT49" s="867"/>
      <c r="BU49" s="442"/>
      <c r="BV49" s="868" t="str">
        <f>IFERROR(__xludf.DUMMYFUNCTION("IF(OR(C49=""AÇÃO"",C49=""BDR""),IFERROR(GOOGLEFINANCE(CONCAT(""BVMF:"",CR49), ""marketcap"")/1000000,""NC""),"""")"),"")</f>
        <v/>
      </c>
      <c r="BW49" s="869" t="s">
        <v>123</v>
      </c>
      <c r="BX49" s="870" t="s">
        <v>123</v>
      </c>
      <c r="BY49" s="868" t="s">
        <v>123</v>
      </c>
      <c r="BZ49" s="870" t="s">
        <v>123</v>
      </c>
      <c r="CA49" s="868" t="s">
        <v>123</v>
      </c>
      <c r="CB49" s="868" t="s">
        <v>123</v>
      </c>
      <c r="CC49" s="868" t="s">
        <v>123</v>
      </c>
      <c r="CD49" s="868" t="str">
        <f>IFERROR(__xludf.DUMMYFUNCTION("IF(OR(C49=""AÇÃO"",C49=""BDR""),IFERROR(GOOGLEFINANCE(CONCAT(""BVMF:"",CR49), ""volumeavg"")/1000000,""NC""),"""")"),"")</f>
        <v/>
      </c>
      <c r="CE49" s="870" t="s">
        <v>123</v>
      </c>
      <c r="CF49" s="870" t="s">
        <v>123</v>
      </c>
      <c r="CG49" s="870" t="str">
        <f>IFERROR(__xludf.DUMMYFUNCTION("IF(OR(C49=""AÇÃO"",C49=""BDR""),IF(CF49=0,""SEM DY"",IFERROR(ImportXML(CONCAT(""http://www.guiainvest.com.br/raiox/default.aspx?sigla="",$CR49),""//*[@id='lbPayoutAtual']""),""NC"")),"""")"),"")</f>
        <v/>
      </c>
      <c r="CH49" s="870" t="s">
        <v>123</v>
      </c>
      <c r="CI49" s="545"/>
      <c r="CJ49" s="871" t="str">
        <f>IFERROR(__xludf.DUMMYFUNCTION("IF(OR(C49=""AÇÃO"",C49=""BDR""),IFERROR(GOOGLEFINANCE(CONCAT(""BVMF:"",CR49), ""eps""),""NC""),"""")"),"")</f>
        <v/>
      </c>
      <c r="CK49" s="442"/>
      <c r="CL49" s="871" t="str">
        <f>IFERROR(__xludf.DUMMYFUNCTION("IF(NOT($BL$4),"""",IF($CR49="""","""",IF($BC49="""","""",IFERROR(query({op.normal!$B$5:$F308},""select Col5, toDate(Col2) where Col1 =  '""&amp;$CR49&amp;""' and Col4 &gt; 0 and ((Col3 is null) or (Col3 = 'C')) and Col2 &gt;= date '""&amp;TEXT(TODAY()-$AQ$5,""yyyy-mm-dd"")"&amp;"&amp;""' order by Col2 desc limit 1 label toDate(Col2) ''"")))))"),"")</f>
        <v/>
      </c>
      <c r="CM49" s="872"/>
      <c r="CN49" s="883" t="s">
        <v>123</v>
      </c>
      <c r="CO49" s="874" t="s">
        <v>123</v>
      </c>
      <c r="CP49" s="766"/>
      <c r="CQ49" s="791"/>
      <c r="CR49" s="791"/>
      <c r="CT49" s="791" t="s">
        <v>123</v>
      </c>
      <c r="CU49" s="791" t="str">
        <f>IFERROR(__xludf.DUMMYFUNCTION("IF(CR49="""","""",IF(CT49=$C$4,1,GOOGLEFINANCE(CT49&amp;$C$4)))"),"")</f>
        <v/>
      </c>
      <c r="CW49" s="791" t="s">
        <v>511</v>
      </c>
      <c r="CX49" s="791" t="s">
        <v>511</v>
      </c>
      <c r="CY49" s="791" t="str">
        <f>"Col"&amp;MATCH(CW49,fundsexplorer.!$A$2:$Z$2,0)</f>
        <v>Col19</v>
      </c>
    </row>
    <row r="50" ht="22.5" customHeight="1">
      <c r="A50" s="837">
        <v>42.0</v>
      </c>
      <c r="B50" s="838" t="s">
        <v>123</v>
      </c>
      <c r="C50" s="838" t="s">
        <v>123</v>
      </c>
      <c r="D50" s="839" t="s">
        <v>123</v>
      </c>
      <c r="E50" s="839" t="s">
        <v>123</v>
      </c>
      <c r="F50" s="839" t="s">
        <v>123</v>
      </c>
      <c r="G50" s="56"/>
      <c r="H50" s="884"/>
      <c r="I50" s="838"/>
      <c r="J50" s="838"/>
      <c r="K50" s="838"/>
      <c r="L50" s="838"/>
      <c r="M50" s="838"/>
      <c r="N50" s="838"/>
      <c r="O50" s="838"/>
      <c r="P50" s="838"/>
      <c r="Q50" s="838"/>
      <c r="R50" s="838"/>
      <c r="S50" s="838"/>
      <c r="T50" s="838"/>
      <c r="U50" s="838"/>
      <c r="V50" s="838"/>
      <c r="W50" s="838"/>
      <c r="X50" s="838"/>
      <c r="Z50" s="875" t="str">
        <f>IFERROR(__xludf.DUMMYFUNCTION("IF($CR50="""","""",IFERROR(query({CarteirasAtivos},""select Col4 where Col4 is not null and Col1 = '""&amp;$CR50&amp;""' limit 1"")*CU50,""NC""))"),"")</f>
        <v/>
      </c>
      <c r="AA50" s="876" t="str">
        <f>IFERROR(__xludf.DUMMYFUNCTION("IF($CR50="""","""",IFERROR(query({CarteirasAtivos},""select Col6 where Col4 is not null and Col1 = '""&amp;$CR50&amp;""' limit 1""),""NC""))"),"")</f>
        <v/>
      </c>
      <c r="AB50" s="877"/>
      <c r="AC50" s="878" t="s">
        <v>123</v>
      </c>
      <c r="AD50" s="845" t="str">
        <f>IF($CR50="","",IFERROR(VLOOKUP($CR50,ativos.!$C$3:$R308,MATCH("cotacao",ativos.!$C$2:CY$2,0),FALSE)*$CU$5,"atualizar"))</f>
        <v/>
      </c>
      <c r="AE50" s="846" t="str">
        <f>IFERROR(__xludf.DUMMYFUNCTION("IF($CR50="""","""",IFERROR(AVERAGE(query({CarteirasAtivos;CarteirasAtivosEncerrados},""select Col5 where Col5 is not null and Col1 = '""&amp;$CR50&amp;""' and Col10='SIM'""))*CU50,""NC""))"),"")</f>
        <v/>
      </c>
      <c r="AF50" s="847" t="str">
        <f t="shared" si="1"/>
        <v/>
      </c>
      <c r="AG50" s="442"/>
      <c r="AH50" s="848" t="str">
        <f>IFERROR(__xludf.DUMMYFUNCTION("IF($CR50="""","""",IFERROR(GOOGLEFINANCE($CR50,""low52"")*CU50,""-""))"),"")</f>
        <v/>
      </c>
      <c r="AI50" s="848" t="str">
        <f>IFERROR(__xludf.DUMMYFUNCTION("IF($CR50="""","""",IFERROR(GOOGLEFINANCE($CR50,""high52"")*CU50,""-""))"),"")</f>
        <v/>
      </c>
      <c r="AJ50" s="849" t="s">
        <v>123</v>
      </c>
      <c r="AK50" s="850" t="str">
        <f>IFERROR(__xludf.DUMMYFUNCTION("IF($CR50="""","""",IFERROR(GOOGLEFINANCE($CR50,""changepct"")/100,""-""))"),"")</f>
        <v/>
      </c>
      <c r="AL50" s="851" t="str">
        <f>IFERROR(__xludf.DUMMYFUNCTION("IF($CR50="""","""",IFERROR(($AD50/(QUERY(GOOGLEFINANCE($CR50,""price"",TODAY()-7),""SELECT Col2 label Col2 ''"")*$CU50)-1),""-""))"),"")</f>
        <v/>
      </c>
      <c r="AM50" s="851" t="str">
        <f>IFERROR(__xludf.DUMMYFUNCTION("IF($CR50="""","""",IFERROR(($AD50/(QUERY(GOOGLEFINANCE($CR50,""price"",TODAY()-14),""SELECT Col2 label Col2 ''"")*$CU50)-1),""-""))"),"")</f>
        <v/>
      </c>
      <c r="AN50" s="851" t="str">
        <f>IFERROR(__xludf.DUMMYFUNCTION("IF($CR50="""","""",IFERROR(($AD50/(QUERY(GOOGLEFINANCE($CR50,""price"",TODAY()-28),""SELECT Col2 label Col2 ''"")*$CU50)-1),""-""))"),"")</f>
        <v/>
      </c>
      <c r="AO50" s="851" t="str">
        <f>IFERROR(__xludf.DUMMYFUNCTION("IF($CR50="""","""",IFERROR(($AD50/(QUERY(GOOGLEFINANCE($CR50,""price"",TODAY()-$AQ$5),""SELECT Col2 label Col2 ''"")*$CU50)-1),""-""))"),"")</f>
        <v/>
      </c>
      <c r="AP50" s="852" t="str">
        <f>IFERROR(__xludf.DUMMYFUNCTION("IF($CR50="""","""",IFERROR(SPARKLINE(query(GOOGLEFINANCE($CR50,""price"",TODAY()-$AQ$5,TODAY(),1),""select Col2 label Col2 ''""),IF($AP$7=""Gráfico de barras"",{""charttype"",""column"";""highcolor"",""red""},{""chartype"",""line""}))))"),"")</f>
        <v/>
      </c>
      <c r="AQ50" s="144"/>
      <c r="AR50" s="853"/>
      <c r="AS50" s="854" t="str">
        <f>IF($CR50="","",IF(NOT('alocação'!$D$1),"off",IFERROR(VLOOKUP(CR50,BalanceAtivos,3,0),"NC")))</f>
        <v/>
      </c>
      <c r="AT50" s="855" t="str">
        <f>IF($CR50="","",IF(NOT('alocação'!$D$1),"off",IFERROR(VLOOKUP($CR50,BalanceAtivos,4,0)*$CU$5,"NC")))</f>
        <v/>
      </c>
      <c r="AU50" s="856" t="str">
        <f>IF($CR50="","",IF(NOT('alocação'!$D$1),"off",IFERROR(VLOOKUP($CR50,BalanceAtivos,5,0),"-")))</f>
        <v/>
      </c>
      <c r="AV50" s="856" t="str">
        <f>IF($CR50="","",IF(NOT('alocação'!$D$1),"off",IFERROR(VLOOKUP($CR50,BalanceAtivos,6,0),"-")))</f>
        <v/>
      </c>
      <c r="AW50" s="857"/>
      <c r="AX50" s="858" t="str">
        <f>IF($CR50="","",IF($E50="","SP",IFERROR(VLOOKUP($CR50,AtivosDados,MATCH("pm_atual",portfolio.!$A$3:CY$3,0),0)*$CU$5,0)))</f>
        <v/>
      </c>
      <c r="AY50" s="859" t="str">
        <f t="shared" si="2"/>
        <v/>
      </c>
      <c r="AZ50" s="858" t="str">
        <f>IF($CR50="","",IF($E50="","SP",SUMIF(portfolio.!$A$4:$A308,$CR50,portfolio.!$O$4:$O308)*$CU$5))</f>
        <v/>
      </c>
      <c r="BA50" s="858" t="str">
        <f>IF($CR50="","",IF($E50="","SP",SUMIF(portfolio.!$A$4:$A308,$CR50,portfolio.!$AN$4:$AN308)*$CU$5))</f>
        <v/>
      </c>
      <c r="BB50" s="860" t="str">
        <f>IF($CR50="","",IF($E50="","-",IFERROR($BA50/'portfólio'!$DG$63,"")))</f>
        <v/>
      </c>
      <c r="BC50" s="861" t="str">
        <f>IF($CR50="","",IF($E50="","-",SUMIF(portfolio.!$A$4:$A308,$CR50,portfolio.!$J$4:$J308)))</f>
        <v/>
      </c>
      <c r="BD50" s="862" t="str">
        <f>IF($CR50="","",IF($E50="","SP",SUMIF(portfolio.!$A$4:$A308,$CR50,portfolio.!$AQ$4:$AQ308)*$CU$5))</f>
        <v/>
      </c>
      <c r="BE50" s="850" t="str">
        <f t="shared" si="3"/>
        <v/>
      </c>
      <c r="BF50" s="862" t="str">
        <f>IF($CR50="","",IF($E50="","-",SUMIF(portfolio.!$A$4:$A308,$CR50,portfolio.!$AX$4:$AX308)*$CU$5))</f>
        <v/>
      </c>
      <c r="BG50" s="545"/>
      <c r="BH50" s="879" t="s">
        <v>123</v>
      </c>
      <c r="BI50" s="880" t="s">
        <v>123</v>
      </c>
      <c r="BJ50" s="863" t="str">
        <f>IFERROR(__xludf.DUMMYFUNCTION("IF(NOT($BL$4),"""",IF($CR50="""","""",IFERROR(query({GOOGLEFINANCE($CR50,""price"",IF($BI50=""-"",TODAY()-($AQ$5+5),$BI50),TODAY()-1)},""Select max(Col2) where Col1 is not null label max(Col2) ''"")*CU50,""-"")))"),"")</f>
        <v/>
      </c>
      <c r="BK50" s="881" t="s">
        <v>123</v>
      </c>
      <c r="BL50" s="882" t="s">
        <v>123</v>
      </c>
      <c r="BM50" s="442"/>
      <c r="BN50" s="867" t="str">
        <f>IFERROR(__xludf.DUMMYFUNCTION("IF(CR50="""","""",IF(OR(C50=""AÇÃO"",C50=""BDR""),IFERROR(QUERY({fundamentus.!$A$3:$U308},$CX$67&amp;"" where Col1='""&amp;CR50&amp;""' limit 1"",0)),IF(C50=""FII"",IFERROR(QUERY({fundsexplorer.!$A$2:$Z308},$CY$67&amp;"" where Col1='""&amp;CR50&amp;""' limit 1"",0)),"""")))"),"")</f>
        <v/>
      </c>
      <c r="BO50" s="867"/>
      <c r="BP50" s="867"/>
      <c r="BQ50" s="867"/>
      <c r="BR50" s="867"/>
      <c r="BS50" s="867"/>
      <c r="BT50" s="867"/>
      <c r="BU50" s="442"/>
      <c r="BV50" s="868" t="str">
        <f>IFERROR(__xludf.DUMMYFUNCTION("IF(OR(C50=""AÇÃO"",C50=""BDR""),IFERROR(GOOGLEFINANCE(CONCAT(""BVMF:"",CR50), ""marketcap"")/1000000,""NC""),"""")"),"")</f>
        <v/>
      </c>
      <c r="BW50" s="869" t="s">
        <v>123</v>
      </c>
      <c r="BX50" s="870" t="s">
        <v>123</v>
      </c>
      <c r="BY50" s="868" t="s">
        <v>123</v>
      </c>
      <c r="BZ50" s="870" t="s">
        <v>123</v>
      </c>
      <c r="CA50" s="868" t="s">
        <v>123</v>
      </c>
      <c r="CB50" s="868" t="s">
        <v>123</v>
      </c>
      <c r="CC50" s="868" t="s">
        <v>123</v>
      </c>
      <c r="CD50" s="868" t="str">
        <f>IFERROR(__xludf.DUMMYFUNCTION("IF(OR(C50=""AÇÃO"",C50=""BDR""),IFERROR(GOOGLEFINANCE(CONCAT(""BVMF:"",CR50), ""volumeavg"")/1000000,""NC""),"""")"),"")</f>
        <v/>
      </c>
      <c r="CE50" s="870" t="s">
        <v>123</v>
      </c>
      <c r="CF50" s="870" t="s">
        <v>123</v>
      </c>
      <c r="CG50" s="870" t="str">
        <f>IFERROR(__xludf.DUMMYFUNCTION("IF(OR(C50=""AÇÃO"",C50=""BDR""),IF(CF50=0,""SEM DY"",IFERROR(ImportXML(CONCAT(""http://www.guiainvest.com.br/raiox/default.aspx?sigla="",$CR50),""//*[@id='lbPayoutAtual']""),""NC"")),"""")"),"")</f>
        <v/>
      </c>
      <c r="CH50" s="870" t="s">
        <v>123</v>
      </c>
      <c r="CI50" s="545"/>
      <c r="CJ50" s="871" t="str">
        <f>IFERROR(__xludf.DUMMYFUNCTION("IF(OR(C50=""AÇÃO"",C50=""BDR""),IFERROR(GOOGLEFINANCE(CONCAT(""BVMF:"",CR50), ""eps""),""NC""),"""")"),"")</f>
        <v/>
      </c>
      <c r="CK50" s="442"/>
      <c r="CL50" s="871" t="str">
        <f>IFERROR(__xludf.DUMMYFUNCTION("IF(NOT($BL$4),"""",IF($CR50="""","""",IF($BC50="""","""",IFERROR(query({op.normal!$B$5:$F308},""select Col5, toDate(Col2) where Col1 =  '""&amp;$CR50&amp;""' and Col4 &gt; 0 and ((Col3 is null) or (Col3 = 'C')) and Col2 &gt;= date '""&amp;TEXT(TODAY()-$AQ$5,""yyyy-mm-dd"")"&amp;"&amp;""' order by Col2 desc limit 1 label toDate(Col2) ''"")))))"),"")</f>
        <v/>
      </c>
      <c r="CM50" s="872"/>
      <c r="CN50" s="883" t="s">
        <v>123</v>
      </c>
      <c r="CO50" s="874" t="s">
        <v>123</v>
      </c>
      <c r="CP50" s="766"/>
      <c r="CQ50" s="791"/>
      <c r="CR50" s="791"/>
      <c r="CT50" s="791" t="s">
        <v>123</v>
      </c>
      <c r="CU50" s="791" t="str">
        <f>IFERROR(__xludf.DUMMYFUNCTION("IF(CR50="""","""",IF(CT50=$C$4,1,GOOGLEFINANCE(CT50&amp;$C$4)))"),"")</f>
        <v/>
      </c>
      <c r="CW50" s="791" t="s">
        <v>598</v>
      </c>
      <c r="CX50" s="791" t="s">
        <v>598</v>
      </c>
      <c r="CY50" s="791" t="str">
        <f>"Col"&amp;MATCH(CW50,fundsexplorer.!$A$2:$Z$2,0)</f>
        <v>Col20</v>
      </c>
    </row>
    <row r="51" ht="22.5" customHeight="1">
      <c r="A51" s="837">
        <v>43.0</v>
      </c>
      <c r="B51" s="838" t="s">
        <v>123</v>
      </c>
      <c r="C51" s="838" t="s">
        <v>123</v>
      </c>
      <c r="D51" s="839" t="s">
        <v>123</v>
      </c>
      <c r="E51" s="839" t="s">
        <v>123</v>
      </c>
      <c r="F51" s="839" t="s">
        <v>123</v>
      </c>
      <c r="G51" s="56"/>
      <c r="H51" s="884"/>
      <c r="I51" s="838"/>
      <c r="J51" s="838"/>
      <c r="K51" s="838"/>
      <c r="L51" s="838"/>
      <c r="M51" s="838"/>
      <c r="N51" s="838"/>
      <c r="O51" s="838"/>
      <c r="P51" s="838"/>
      <c r="Q51" s="838"/>
      <c r="R51" s="838"/>
      <c r="S51" s="838"/>
      <c r="T51" s="838"/>
      <c r="U51" s="838"/>
      <c r="V51" s="838"/>
      <c r="W51" s="838"/>
      <c r="X51" s="838"/>
      <c r="Z51" s="875" t="str">
        <f>IFERROR(__xludf.DUMMYFUNCTION("IF($CR51="""","""",IFERROR(query({CarteirasAtivos},""select Col4 where Col4 is not null and Col1 = '""&amp;$CR51&amp;""' limit 1"")*CU51,""NC""))"),"")</f>
        <v/>
      </c>
      <c r="AA51" s="876" t="str">
        <f>IFERROR(__xludf.DUMMYFUNCTION("IF($CR51="""","""",IFERROR(query({CarteirasAtivos},""select Col6 where Col4 is not null and Col1 = '""&amp;$CR51&amp;""' limit 1""),""NC""))"),"")</f>
        <v/>
      </c>
      <c r="AB51" s="877"/>
      <c r="AC51" s="878" t="s">
        <v>123</v>
      </c>
      <c r="AD51" s="845" t="str">
        <f>IF($CR51="","",IFERROR(VLOOKUP($CR51,ativos.!$C$3:$R308,MATCH("cotacao",ativos.!$C$2:CY$2,0),FALSE)*$CU$5,"atualizar"))</f>
        <v/>
      </c>
      <c r="AE51" s="846" t="str">
        <f>IFERROR(__xludf.DUMMYFUNCTION("IF($CR51="""","""",IFERROR(AVERAGE(query({CarteirasAtivos;CarteirasAtivosEncerrados},""select Col5 where Col5 is not null and Col1 = '""&amp;$CR51&amp;""' and Col10='SIM'""))*CU51,""NC""))"),"")</f>
        <v/>
      </c>
      <c r="AF51" s="847" t="str">
        <f t="shared" si="1"/>
        <v/>
      </c>
      <c r="AG51" s="442"/>
      <c r="AH51" s="848" t="str">
        <f>IFERROR(__xludf.DUMMYFUNCTION("IF($CR51="""","""",IFERROR(GOOGLEFINANCE($CR51,""low52"")*CU51,""-""))"),"")</f>
        <v/>
      </c>
      <c r="AI51" s="848" t="str">
        <f>IFERROR(__xludf.DUMMYFUNCTION("IF($CR51="""","""",IFERROR(GOOGLEFINANCE($CR51,""high52"")*CU51,""-""))"),"")</f>
        <v/>
      </c>
      <c r="AJ51" s="849" t="s">
        <v>123</v>
      </c>
      <c r="AK51" s="850" t="str">
        <f>IFERROR(__xludf.DUMMYFUNCTION("IF($CR51="""","""",IFERROR(GOOGLEFINANCE($CR51,""changepct"")/100,""-""))"),"")</f>
        <v/>
      </c>
      <c r="AL51" s="851" t="str">
        <f>IFERROR(__xludf.DUMMYFUNCTION("IF($CR51="""","""",IFERROR(($AD51/(QUERY(GOOGLEFINANCE($CR51,""price"",TODAY()-7),""SELECT Col2 label Col2 ''"")*$CU51)-1),""-""))"),"")</f>
        <v/>
      </c>
      <c r="AM51" s="851" t="str">
        <f>IFERROR(__xludf.DUMMYFUNCTION("IF($CR51="""","""",IFERROR(($AD51/(QUERY(GOOGLEFINANCE($CR51,""price"",TODAY()-14),""SELECT Col2 label Col2 ''"")*$CU51)-1),""-""))"),"")</f>
        <v/>
      </c>
      <c r="AN51" s="851" t="str">
        <f>IFERROR(__xludf.DUMMYFUNCTION("IF($CR51="""","""",IFERROR(($AD51/(QUERY(GOOGLEFINANCE($CR51,""price"",TODAY()-28),""SELECT Col2 label Col2 ''"")*$CU51)-1),""-""))"),"")</f>
        <v/>
      </c>
      <c r="AO51" s="851" t="str">
        <f>IFERROR(__xludf.DUMMYFUNCTION("IF($CR51="""","""",IFERROR(($AD51/(QUERY(GOOGLEFINANCE($CR51,""price"",TODAY()-$AQ$5),""SELECT Col2 label Col2 ''"")*$CU51)-1),""-""))"),"")</f>
        <v/>
      </c>
      <c r="AP51" s="852" t="str">
        <f>IFERROR(__xludf.DUMMYFUNCTION("IF($CR51="""","""",IFERROR(SPARKLINE(query(GOOGLEFINANCE($CR51,""price"",TODAY()-$AQ$5,TODAY(),1),""select Col2 label Col2 ''""),IF($AP$7=""Gráfico de barras"",{""charttype"",""column"";""highcolor"",""red""},{""chartype"",""line""}))))"),"")</f>
        <v/>
      </c>
      <c r="AQ51" s="144"/>
      <c r="AR51" s="853"/>
      <c r="AS51" s="854" t="str">
        <f>IF($CR51="","",IF(NOT('alocação'!$D$1),"off",IFERROR(VLOOKUP(CR51,BalanceAtivos,3,0),"NC")))</f>
        <v/>
      </c>
      <c r="AT51" s="855" t="str">
        <f>IF($CR51="","",IF(NOT('alocação'!$D$1),"off",IFERROR(VLOOKUP($CR51,BalanceAtivos,4,0)*$CU$5,"NC")))</f>
        <v/>
      </c>
      <c r="AU51" s="856" t="str">
        <f>IF($CR51="","",IF(NOT('alocação'!$D$1),"off",IFERROR(VLOOKUP($CR51,BalanceAtivos,5,0),"-")))</f>
        <v/>
      </c>
      <c r="AV51" s="856" t="str">
        <f>IF($CR51="","",IF(NOT('alocação'!$D$1),"off",IFERROR(VLOOKUP($CR51,BalanceAtivos,6,0),"-")))</f>
        <v/>
      </c>
      <c r="AW51" s="857"/>
      <c r="AX51" s="858" t="str">
        <f>IF($CR51="","",IF($E51="","SP",IFERROR(VLOOKUP($CR51,AtivosDados,MATCH("pm_atual",portfolio.!$A$3:CY$3,0),0)*$CU$5,0)))</f>
        <v/>
      </c>
      <c r="AY51" s="859" t="str">
        <f t="shared" si="2"/>
        <v/>
      </c>
      <c r="AZ51" s="858" t="str">
        <f>IF($CR51="","",IF($E51="","SP",SUMIF(portfolio.!$A$4:$A308,$CR51,portfolio.!$O$4:$O308)*$CU$5))</f>
        <v/>
      </c>
      <c r="BA51" s="858" t="str">
        <f>IF($CR51="","",IF($E51="","SP",SUMIF(portfolio.!$A$4:$A308,$CR51,portfolio.!$AN$4:$AN308)*$CU$5))</f>
        <v/>
      </c>
      <c r="BB51" s="860" t="str">
        <f>IF($CR51="","",IF($E51="","-",IFERROR($BA51/'portfólio'!$DG$63,"")))</f>
        <v/>
      </c>
      <c r="BC51" s="861" t="str">
        <f>IF($CR51="","",IF($E51="","-",SUMIF(portfolio.!$A$4:$A308,$CR51,portfolio.!$J$4:$J308)))</f>
        <v/>
      </c>
      <c r="BD51" s="862" t="str">
        <f>IF($CR51="","",IF($E51="","SP",SUMIF(portfolio.!$A$4:$A308,$CR51,portfolio.!$AQ$4:$AQ308)*$CU$5))</f>
        <v/>
      </c>
      <c r="BE51" s="850" t="str">
        <f t="shared" si="3"/>
        <v/>
      </c>
      <c r="BF51" s="862" t="str">
        <f>IF($CR51="","",IF($E51="","-",SUMIF(portfolio.!$A$4:$A308,$CR51,portfolio.!$AX$4:$AX308)*$CU$5))</f>
        <v/>
      </c>
      <c r="BG51" s="545"/>
      <c r="BH51" s="879" t="s">
        <v>123</v>
      </c>
      <c r="BI51" s="880" t="s">
        <v>123</v>
      </c>
      <c r="BJ51" s="863" t="str">
        <f>IFERROR(__xludf.DUMMYFUNCTION("IF(NOT($BL$4),"""",IF($CR51="""","""",IFERROR(query({GOOGLEFINANCE($CR51,""price"",IF($BI51=""-"",TODAY()-($AQ$5+5),$BI51),TODAY()-1)},""Select max(Col2) where Col1 is not null label max(Col2) ''"")*CU51,""-"")))"),"")</f>
        <v/>
      </c>
      <c r="BK51" s="881" t="s">
        <v>123</v>
      </c>
      <c r="BL51" s="882" t="s">
        <v>123</v>
      </c>
      <c r="BM51" s="442"/>
      <c r="BN51" s="867" t="str">
        <f>IFERROR(__xludf.DUMMYFUNCTION("IF(CR51="""","""",IF(OR(C51=""AÇÃO"",C51=""BDR""),IFERROR(QUERY({fundamentus.!$A$3:$U308},$CX$67&amp;"" where Col1='""&amp;CR51&amp;""' limit 1"",0)),IF(C51=""FII"",IFERROR(QUERY({fundsexplorer.!$A$2:$Z308},$CY$67&amp;"" where Col1='""&amp;CR51&amp;""' limit 1"",0)),"""")))"),"")</f>
        <v/>
      </c>
      <c r="BO51" s="867"/>
      <c r="BP51" s="867"/>
      <c r="BQ51" s="867"/>
      <c r="BR51" s="867"/>
      <c r="BS51" s="867"/>
      <c r="BT51" s="867"/>
      <c r="BU51" s="442"/>
      <c r="BV51" s="868" t="str">
        <f>IFERROR(__xludf.DUMMYFUNCTION("IF(OR(C51=""AÇÃO"",C51=""BDR""),IFERROR(GOOGLEFINANCE(CONCAT(""BVMF:"",CR51), ""marketcap"")/1000000,""NC""),"""")"),"")</f>
        <v/>
      </c>
      <c r="BW51" s="869" t="s">
        <v>123</v>
      </c>
      <c r="BX51" s="870" t="s">
        <v>123</v>
      </c>
      <c r="BY51" s="868" t="s">
        <v>123</v>
      </c>
      <c r="BZ51" s="870" t="s">
        <v>123</v>
      </c>
      <c r="CA51" s="868" t="s">
        <v>123</v>
      </c>
      <c r="CB51" s="868" t="s">
        <v>123</v>
      </c>
      <c r="CC51" s="868" t="s">
        <v>123</v>
      </c>
      <c r="CD51" s="868" t="str">
        <f>IFERROR(__xludf.DUMMYFUNCTION("IF(OR(C51=""AÇÃO"",C51=""BDR""),IFERROR(GOOGLEFINANCE(CONCAT(""BVMF:"",CR51), ""volumeavg"")/1000000,""NC""),"""")"),"")</f>
        <v/>
      </c>
      <c r="CE51" s="870" t="s">
        <v>123</v>
      </c>
      <c r="CF51" s="870" t="s">
        <v>123</v>
      </c>
      <c r="CG51" s="870" t="str">
        <f>IFERROR(__xludf.DUMMYFUNCTION("IF(OR(C51=""AÇÃO"",C51=""BDR""),IF(CF51=0,""SEM DY"",IFERROR(ImportXML(CONCAT(""http://www.guiainvest.com.br/raiox/default.aspx?sigla="",$CR51),""//*[@id='lbPayoutAtual']""),""NC"")),"""")"),"")</f>
        <v/>
      </c>
      <c r="CH51" s="870" t="s">
        <v>123</v>
      </c>
      <c r="CI51" s="545"/>
      <c r="CJ51" s="871" t="str">
        <f>IFERROR(__xludf.DUMMYFUNCTION("IF(OR(C51=""AÇÃO"",C51=""BDR""),IFERROR(GOOGLEFINANCE(CONCAT(""BVMF:"",CR51), ""eps""),""NC""),"""")"),"")</f>
        <v/>
      </c>
      <c r="CK51" s="442"/>
      <c r="CL51" s="871" t="str">
        <f>IFERROR(__xludf.DUMMYFUNCTION("IF(NOT($BL$4),"""",IF($CR51="""","""",IF($BC51="""","""",IFERROR(query({op.normal!$B$5:$F308},""select Col5, toDate(Col2) where Col1 =  '""&amp;$CR51&amp;""' and Col4 &gt; 0 and ((Col3 is null) or (Col3 = 'C')) and Col2 &gt;= date '""&amp;TEXT(TODAY()-$AQ$5,""yyyy-mm-dd"")"&amp;"&amp;""' order by Col2 desc limit 1 label toDate(Col2) ''"")))))"),"")</f>
        <v/>
      </c>
      <c r="CM51" s="872"/>
      <c r="CN51" s="883" t="s">
        <v>123</v>
      </c>
      <c r="CO51" s="874" t="s">
        <v>123</v>
      </c>
      <c r="CP51" s="766"/>
      <c r="CQ51" s="791"/>
      <c r="CR51" s="791"/>
      <c r="CT51" s="791" t="s">
        <v>123</v>
      </c>
      <c r="CU51" s="791" t="str">
        <f>IFERROR(__xludf.DUMMYFUNCTION("IF(CR51="""","""",IF(CT51=$C$4,1,GOOGLEFINANCE(CT51&amp;$C$4)))"),"")</f>
        <v/>
      </c>
      <c r="CW51" s="791" t="s">
        <v>599</v>
      </c>
      <c r="CX51" s="836" t="s">
        <v>600</v>
      </c>
      <c r="CY51" s="791" t="str">
        <f>"Col"&amp;MATCH(CW51,fundsexplorer.!$A$2:$Z$2,0)</f>
        <v>Col21</v>
      </c>
    </row>
    <row r="52" ht="22.5" customHeight="1">
      <c r="A52" s="837">
        <v>44.0</v>
      </c>
      <c r="B52" s="838" t="s">
        <v>123</v>
      </c>
      <c r="C52" s="838" t="s">
        <v>123</v>
      </c>
      <c r="D52" s="839" t="s">
        <v>123</v>
      </c>
      <c r="E52" s="839" t="s">
        <v>123</v>
      </c>
      <c r="F52" s="839" t="s">
        <v>123</v>
      </c>
      <c r="G52" s="56"/>
      <c r="H52" s="884"/>
      <c r="I52" s="838"/>
      <c r="J52" s="838"/>
      <c r="K52" s="838"/>
      <c r="L52" s="838"/>
      <c r="M52" s="838"/>
      <c r="N52" s="838"/>
      <c r="O52" s="838"/>
      <c r="P52" s="838"/>
      <c r="Q52" s="838"/>
      <c r="R52" s="838"/>
      <c r="S52" s="838"/>
      <c r="T52" s="838"/>
      <c r="U52" s="838"/>
      <c r="V52" s="838"/>
      <c r="W52" s="838"/>
      <c r="X52" s="838"/>
      <c r="Z52" s="875" t="str">
        <f>IFERROR(__xludf.DUMMYFUNCTION("IF($CR52="""","""",IFERROR(query({CarteirasAtivos},""select Col4 where Col4 is not null and Col1 = '""&amp;$CR52&amp;""' limit 1"")*CU52,""NC""))"),"")</f>
        <v/>
      </c>
      <c r="AA52" s="876" t="str">
        <f>IFERROR(__xludf.DUMMYFUNCTION("IF($CR52="""","""",IFERROR(query({CarteirasAtivos},""select Col6 where Col4 is not null and Col1 = '""&amp;$CR52&amp;""' limit 1""),""NC""))"),"")</f>
        <v/>
      </c>
      <c r="AB52" s="877"/>
      <c r="AC52" s="878" t="s">
        <v>123</v>
      </c>
      <c r="AD52" s="845" t="str">
        <f>IF($CR52="","",IFERROR(VLOOKUP($CR52,ativos.!$C$3:$R308,MATCH("cotacao",ativos.!$C$2:CY$2,0),FALSE)*$CU$5,"atualizar"))</f>
        <v/>
      </c>
      <c r="AE52" s="846" t="str">
        <f>IFERROR(__xludf.DUMMYFUNCTION("IF($CR52="""","""",IFERROR(AVERAGE(query({CarteirasAtivos;CarteirasAtivosEncerrados},""select Col5 where Col5 is not null and Col1 = '""&amp;$CR52&amp;""' and Col10='SIM'""))*CU52,""NC""))"),"")</f>
        <v/>
      </c>
      <c r="AF52" s="847" t="str">
        <f t="shared" si="1"/>
        <v/>
      </c>
      <c r="AG52" s="442"/>
      <c r="AH52" s="848" t="str">
        <f>IFERROR(__xludf.DUMMYFUNCTION("IF($CR52="""","""",IFERROR(GOOGLEFINANCE($CR52,""low52"")*CU52,""-""))"),"")</f>
        <v/>
      </c>
      <c r="AI52" s="848" t="str">
        <f>IFERROR(__xludf.DUMMYFUNCTION("IF($CR52="""","""",IFERROR(GOOGLEFINANCE($CR52,""high52"")*CU52,""-""))"),"")</f>
        <v/>
      </c>
      <c r="AJ52" s="849" t="s">
        <v>123</v>
      </c>
      <c r="AK52" s="850" t="str">
        <f>IFERROR(__xludf.DUMMYFUNCTION("IF($CR52="""","""",IFERROR(GOOGLEFINANCE($CR52,""changepct"")/100,""-""))"),"")</f>
        <v/>
      </c>
      <c r="AL52" s="851" t="str">
        <f>IFERROR(__xludf.DUMMYFUNCTION("IF($CR52="""","""",IFERROR(($AD52/(QUERY(GOOGLEFINANCE($CR52,""price"",TODAY()-7),""SELECT Col2 label Col2 ''"")*$CU52)-1),""-""))"),"")</f>
        <v/>
      </c>
      <c r="AM52" s="851" t="str">
        <f>IFERROR(__xludf.DUMMYFUNCTION("IF($CR52="""","""",IFERROR(($AD52/(QUERY(GOOGLEFINANCE($CR52,""price"",TODAY()-14),""SELECT Col2 label Col2 ''"")*$CU52)-1),""-""))"),"")</f>
        <v/>
      </c>
      <c r="AN52" s="851" t="str">
        <f>IFERROR(__xludf.DUMMYFUNCTION("IF($CR52="""","""",IFERROR(($AD52/(QUERY(GOOGLEFINANCE($CR52,""price"",TODAY()-28),""SELECT Col2 label Col2 ''"")*$CU52)-1),""-""))"),"")</f>
        <v/>
      </c>
      <c r="AO52" s="851" t="str">
        <f>IFERROR(__xludf.DUMMYFUNCTION("IF($CR52="""","""",IFERROR(($AD52/(QUERY(GOOGLEFINANCE($CR52,""price"",TODAY()-$AQ$5),""SELECT Col2 label Col2 ''"")*$CU52)-1),""-""))"),"")</f>
        <v/>
      </c>
      <c r="AP52" s="852" t="str">
        <f>IFERROR(__xludf.DUMMYFUNCTION("IF($CR52="""","""",IFERROR(SPARKLINE(query(GOOGLEFINANCE($CR52,""price"",TODAY()-$AQ$5,TODAY(),1),""select Col2 label Col2 ''""),IF($AP$7=""Gráfico de barras"",{""charttype"",""column"";""highcolor"",""red""},{""chartype"",""line""}))))"),"")</f>
        <v/>
      </c>
      <c r="AQ52" s="144"/>
      <c r="AR52" s="853"/>
      <c r="AS52" s="854" t="str">
        <f>IF($CR52="","",IF(NOT('alocação'!$D$1),"off",IFERROR(VLOOKUP(CR52,BalanceAtivos,3,0),"NC")))</f>
        <v/>
      </c>
      <c r="AT52" s="855" t="str">
        <f>IF($CR52="","",IF(NOT('alocação'!$D$1),"off",IFERROR(VLOOKUP($CR52,BalanceAtivos,4,0)*$CU$5,"NC")))</f>
        <v/>
      </c>
      <c r="AU52" s="856" t="str">
        <f>IF($CR52="","",IF(NOT('alocação'!$D$1),"off",IFERROR(VLOOKUP($CR52,BalanceAtivos,5,0),"-")))</f>
        <v/>
      </c>
      <c r="AV52" s="856" t="str">
        <f>IF($CR52="","",IF(NOT('alocação'!$D$1),"off",IFERROR(VLOOKUP($CR52,BalanceAtivos,6,0),"-")))</f>
        <v/>
      </c>
      <c r="AW52" s="857"/>
      <c r="AX52" s="858" t="str">
        <f>IF($CR52="","",IF($E52="","SP",IFERROR(VLOOKUP($CR52,AtivosDados,MATCH("pm_atual",portfolio.!$A$3:CY$3,0),0)*$CU$5,0)))</f>
        <v/>
      </c>
      <c r="AY52" s="859" t="str">
        <f t="shared" si="2"/>
        <v/>
      </c>
      <c r="AZ52" s="858" t="str">
        <f>IF($CR52="","",IF($E52="","SP",SUMIF(portfolio.!$A$4:$A308,$CR52,portfolio.!$O$4:$O308)*$CU$5))</f>
        <v/>
      </c>
      <c r="BA52" s="858" t="str">
        <f>IF($CR52="","",IF($E52="","SP",SUMIF(portfolio.!$A$4:$A308,$CR52,portfolio.!$AN$4:$AN308)*$CU$5))</f>
        <v/>
      </c>
      <c r="BB52" s="860" t="str">
        <f>IF($CR52="","",IF($E52="","-",IFERROR($BA52/'portfólio'!$DG$63,"")))</f>
        <v/>
      </c>
      <c r="BC52" s="861" t="str">
        <f>IF($CR52="","",IF($E52="","-",SUMIF(portfolio.!$A$4:$A308,$CR52,portfolio.!$J$4:$J308)))</f>
        <v/>
      </c>
      <c r="BD52" s="862" t="str">
        <f>IF($CR52="","",IF($E52="","SP",SUMIF(portfolio.!$A$4:$A308,$CR52,portfolio.!$AQ$4:$AQ308)*$CU$5))</f>
        <v/>
      </c>
      <c r="BE52" s="850" t="str">
        <f t="shared" si="3"/>
        <v/>
      </c>
      <c r="BF52" s="862" t="str">
        <f>IF($CR52="","",IF($E52="","-",SUMIF(portfolio.!$A$4:$A308,$CR52,portfolio.!$AX$4:$AX308)*$CU$5))</f>
        <v/>
      </c>
      <c r="BG52" s="545"/>
      <c r="BH52" s="879" t="s">
        <v>123</v>
      </c>
      <c r="BI52" s="880" t="s">
        <v>123</v>
      </c>
      <c r="BJ52" s="863" t="str">
        <f>IFERROR(__xludf.DUMMYFUNCTION("IF(NOT($BL$4),"""",IF($CR52="""","""",IFERROR(query({GOOGLEFINANCE($CR52,""price"",IF($BI52=""-"",TODAY()-($AQ$5+5),$BI52),TODAY()-1)},""Select max(Col2) where Col1 is not null label max(Col2) ''"")*CU52,""-"")))"),"")</f>
        <v/>
      </c>
      <c r="BK52" s="881" t="s">
        <v>123</v>
      </c>
      <c r="BL52" s="882" t="s">
        <v>123</v>
      </c>
      <c r="BM52" s="442"/>
      <c r="BN52" s="867" t="str">
        <f>IFERROR(__xludf.DUMMYFUNCTION("IF(CR52="""","""",IF(OR(C52=""AÇÃO"",C52=""BDR""),IFERROR(QUERY({fundamentus.!$A$3:$U308},$CX$67&amp;"" where Col1='""&amp;CR52&amp;""' limit 1"",0)),IF(C52=""FII"",IFERROR(QUERY({fundsexplorer.!$A$2:$Z308},$CY$67&amp;"" where Col1='""&amp;CR52&amp;""' limit 1"",0)),"""")))"),"")</f>
        <v/>
      </c>
      <c r="BO52" s="867"/>
      <c r="BP52" s="867"/>
      <c r="BQ52" s="867"/>
      <c r="BR52" s="867"/>
      <c r="BS52" s="867"/>
      <c r="BT52" s="867"/>
      <c r="BU52" s="442"/>
      <c r="BV52" s="868" t="str">
        <f>IFERROR(__xludf.DUMMYFUNCTION("IF(OR(C52=""AÇÃO"",C52=""BDR""),IFERROR(GOOGLEFINANCE(CONCAT(""BVMF:"",CR52), ""marketcap"")/1000000,""NC""),"""")"),"")</f>
        <v/>
      </c>
      <c r="BW52" s="869" t="s">
        <v>123</v>
      </c>
      <c r="BX52" s="870" t="s">
        <v>123</v>
      </c>
      <c r="BY52" s="868" t="s">
        <v>123</v>
      </c>
      <c r="BZ52" s="870" t="s">
        <v>123</v>
      </c>
      <c r="CA52" s="868" t="s">
        <v>123</v>
      </c>
      <c r="CB52" s="868" t="s">
        <v>123</v>
      </c>
      <c r="CC52" s="868" t="s">
        <v>123</v>
      </c>
      <c r="CD52" s="868" t="str">
        <f>IFERROR(__xludf.DUMMYFUNCTION("IF(OR(C52=""AÇÃO"",C52=""BDR""),IFERROR(GOOGLEFINANCE(CONCAT(""BVMF:"",CR52), ""volumeavg"")/1000000,""NC""),"""")"),"")</f>
        <v/>
      </c>
      <c r="CE52" s="870" t="s">
        <v>123</v>
      </c>
      <c r="CF52" s="870" t="s">
        <v>123</v>
      </c>
      <c r="CG52" s="870" t="str">
        <f>IFERROR(__xludf.DUMMYFUNCTION("IF(OR(C52=""AÇÃO"",C52=""BDR""),IF(CF52=0,""SEM DY"",IFERROR(ImportXML(CONCAT(""http://www.guiainvest.com.br/raiox/default.aspx?sigla="",$CR52),""//*[@id='lbPayoutAtual']""),""NC"")),"""")"),"")</f>
        <v/>
      </c>
      <c r="CH52" s="870" t="s">
        <v>123</v>
      </c>
      <c r="CI52" s="545"/>
      <c r="CJ52" s="871" t="str">
        <f>IFERROR(__xludf.DUMMYFUNCTION("IF(OR(C52=""AÇÃO"",C52=""BDR""),IFERROR(GOOGLEFINANCE(CONCAT(""BVMF:"",CR52), ""eps""),""NC""),"""")"),"")</f>
        <v/>
      </c>
      <c r="CK52" s="442"/>
      <c r="CL52" s="871" t="str">
        <f>IFERROR(__xludf.DUMMYFUNCTION("IF(NOT($BL$4),"""",IF($CR52="""","""",IF($BC52="""","""",IFERROR(query({op.normal!$B$5:$F308},""select Col5, toDate(Col2) where Col1 =  '""&amp;$CR52&amp;""' and Col4 &gt; 0 and ((Col3 is null) or (Col3 = 'C')) and Col2 &gt;= date '""&amp;TEXT(TODAY()-$AQ$5,""yyyy-mm-dd"")"&amp;"&amp;""' order by Col2 desc limit 1 label toDate(Col2) ''"")))))"),"")</f>
        <v/>
      </c>
      <c r="CM52" s="872"/>
      <c r="CN52" s="883" t="s">
        <v>123</v>
      </c>
      <c r="CO52" s="874" t="s">
        <v>123</v>
      </c>
      <c r="CP52" s="766"/>
      <c r="CQ52" s="791"/>
      <c r="CR52" s="791"/>
      <c r="CT52" s="791" t="s">
        <v>123</v>
      </c>
      <c r="CU52" s="791" t="str">
        <f>IFERROR(__xludf.DUMMYFUNCTION("IF(CR52="""","""",IF(CT52=$C$4,1,GOOGLEFINANCE(CT52&amp;$C$4)))"),"")</f>
        <v/>
      </c>
      <c r="CW52" s="791" t="s">
        <v>601</v>
      </c>
      <c r="CX52" s="836" t="s">
        <v>602</v>
      </c>
      <c r="CY52" s="791" t="str">
        <f>"Col"&amp;MATCH(CW52,fundsexplorer.!$A$2:$Z$2,0)</f>
        <v>Col22</v>
      </c>
    </row>
    <row r="53" ht="22.5" customHeight="1">
      <c r="A53" s="837">
        <v>45.0</v>
      </c>
      <c r="B53" s="838" t="s">
        <v>123</v>
      </c>
      <c r="C53" s="838" t="s">
        <v>123</v>
      </c>
      <c r="D53" s="839" t="s">
        <v>123</v>
      </c>
      <c r="E53" s="839" t="s">
        <v>123</v>
      </c>
      <c r="F53" s="839" t="s">
        <v>123</v>
      </c>
      <c r="G53" s="56"/>
      <c r="H53" s="884"/>
      <c r="I53" s="838"/>
      <c r="J53" s="838"/>
      <c r="K53" s="838"/>
      <c r="L53" s="838"/>
      <c r="M53" s="838"/>
      <c r="N53" s="838"/>
      <c r="O53" s="838"/>
      <c r="P53" s="838"/>
      <c r="Q53" s="838"/>
      <c r="R53" s="838"/>
      <c r="S53" s="838"/>
      <c r="T53" s="838"/>
      <c r="U53" s="838"/>
      <c r="V53" s="838"/>
      <c r="W53" s="838"/>
      <c r="X53" s="838"/>
      <c r="Z53" s="875" t="str">
        <f>IFERROR(__xludf.DUMMYFUNCTION("IF($CR53="""","""",IFERROR(query({CarteirasAtivos},""select Col4 where Col4 is not null and Col1 = '""&amp;$CR53&amp;""' limit 1"")*CU53,""NC""))"),"")</f>
        <v/>
      </c>
      <c r="AA53" s="876" t="str">
        <f>IFERROR(__xludf.DUMMYFUNCTION("IF($CR53="""","""",IFERROR(query({CarteirasAtivos},""select Col6 where Col4 is not null and Col1 = '""&amp;$CR53&amp;""' limit 1""),""NC""))"),"")</f>
        <v/>
      </c>
      <c r="AB53" s="877"/>
      <c r="AC53" s="878" t="s">
        <v>123</v>
      </c>
      <c r="AD53" s="845" t="str">
        <f>IF($CR53="","",IFERROR(VLOOKUP($CR53,ativos.!$C$3:$R308,MATCH("cotacao",ativos.!$C$2:CY$2,0),FALSE)*$CU$5,"atualizar"))</f>
        <v/>
      </c>
      <c r="AE53" s="846" t="str">
        <f>IFERROR(__xludf.DUMMYFUNCTION("IF($CR53="""","""",IFERROR(AVERAGE(query({CarteirasAtivos;CarteirasAtivosEncerrados},""select Col5 where Col5 is not null and Col1 = '""&amp;$CR53&amp;""' and Col10='SIM'""))*CU53,""NC""))"),"")</f>
        <v/>
      </c>
      <c r="AF53" s="847" t="str">
        <f t="shared" si="1"/>
        <v/>
      </c>
      <c r="AG53" s="442"/>
      <c r="AH53" s="848" t="str">
        <f>IFERROR(__xludf.DUMMYFUNCTION("IF($CR53="""","""",IFERROR(GOOGLEFINANCE($CR53,""low52"")*CU53,""-""))"),"")</f>
        <v/>
      </c>
      <c r="AI53" s="848" t="str">
        <f>IFERROR(__xludf.DUMMYFUNCTION("IF($CR53="""","""",IFERROR(GOOGLEFINANCE($CR53,""high52"")*CU53,""-""))"),"")</f>
        <v/>
      </c>
      <c r="AJ53" s="849" t="s">
        <v>123</v>
      </c>
      <c r="AK53" s="850" t="str">
        <f>IFERROR(__xludf.DUMMYFUNCTION("IF($CR53="""","""",IFERROR(GOOGLEFINANCE($CR53,""changepct"")/100,""-""))"),"")</f>
        <v/>
      </c>
      <c r="AL53" s="851" t="str">
        <f>IFERROR(__xludf.DUMMYFUNCTION("IF($CR53="""","""",IFERROR(($AD53/(QUERY(GOOGLEFINANCE($CR53,""price"",TODAY()-7),""SELECT Col2 label Col2 ''"")*$CU53)-1),""-""))"),"")</f>
        <v/>
      </c>
      <c r="AM53" s="851" t="str">
        <f>IFERROR(__xludf.DUMMYFUNCTION("IF($CR53="""","""",IFERROR(($AD53/(QUERY(GOOGLEFINANCE($CR53,""price"",TODAY()-14),""SELECT Col2 label Col2 ''"")*$CU53)-1),""-""))"),"")</f>
        <v/>
      </c>
      <c r="AN53" s="851" t="str">
        <f>IFERROR(__xludf.DUMMYFUNCTION("IF($CR53="""","""",IFERROR(($AD53/(QUERY(GOOGLEFINANCE($CR53,""price"",TODAY()-28),""SELECT Col2 label Col2 ''"")*$CU53)-1),""-""))"),"")</f>
        <v/>
      </c>
      <c r="AO53" s="851" t="str">
        <f>IFERROR(__xludf.DUMMYFUNCTION("IF($CR53="""","""",IFERROR(($AD53/(QUERY(GOOGLEFINANCE($CR53,""price"",TODAY()-$AQ$5),""SELECT Col2 label Col2 ''"")*$CU53)-1),""-""))"),"")</f>
        <v/>
      </c>
      <c r="AP53" s="852" t="str">
        <f>IFERROR(__xludf.DUMMYFUNCTION("IF($CR53="""","""",IFERROR(SPARKLINE(query(GOOGLEFINANCE($CR53,""price"",TODAY()-$AQ$5,TODAY(),1),""select Col2 label Col2 ''""),IF($AP$7=""Gráfico de barras"",{""charttype"",""column"";""highcolor"",""red""},{""chartype"",""line""}))))"),"")</f>
        <v/>
      </c>
      <c r="AQ53" s="144"/>
      <c r="AR53" s="853"/>
      <c r="AS53" s="854" t="str">
        <f>IF($CR53="","",IF(NOT('alocação'!$D$1),"off",IFERROR(VLOOKUP(CR53,BalanceAtivos,3,0),"NC")))</f>
        <v/>
      </c>
      <c r="AT53" s="855" t="str">
        <f>IF($CR53="","",IF(NOT('alocação'!$D$1),"off",IFERROR(VLOOKUP($CR53,BalanceAtivos,4,0)*$CU$5,"NC")))</f>
        <v/>
      </c>
      <c r="AU53" s="856" t="str">
        <f>IF($CR53="","",IF(NOT('alocação'!$D$1),"off",IFERROR(VLOOKUP($CR53,BalanceAtivos,5,0),"-")))</f>
        <v/>
      </c>
      <c r="AV53" s="856" t="str">
        <f>IF($CR53="","",IF(NOT('alocação'!$D$1),"off",IFERROR(VLOOKUP($CR53,BalanceAtivos,6,0),"-")))</f>
        <v/>
      </c>
      <c r="AW53" s="857"/>
      <c r="AX53" s="858" t="str">
        <f>IF($CR53="","",IF($E53="","SP",IFERROR(VLOOKUP($CR53,AtivosDados,MATCH("pm_atual",portfolio.!$A$3:CY$3,0),0)*$CU$5,0)))</f>
        <v/>
      </c>
      <c r="AY53" s="859" t="str">
        <f t="shared" si="2"/>
        <v/>
      </c>
      <c r="AZ53" s="858" t="str">
        <f>IF($CR53="","",IF($E53="","SP",SUMIF(portfolio.!$A$4:$A308,$CR53,portfolio.!$O$4:$O308)*$CU$5))</f>
        <v/>
      </c>
      <c r="BA53" s="858" t="str">
        <f>IF($CR53="","",IF($E53="","SP",SUMIF(portfolio.!$A$4:$A308,$CR53,portfolio.!$AN$4:$AN308)*$CU$5))</f>
        <v/>
      </c>
      <c r="BB53" s="860" t="str">
        <f>IF($CR53="","",IF($E53="","-",IFERROR($BA53/'portfólio'!$DG$63,"")))</f>
        <v/>
      </c>
      <c r="BC53" s="861" t="str">
        <f>IF($CR53="","",IF($E53="","-",SUMIF(portfolio.!$A$4:$A308,$CR53,portfolio.!$J$4:$J308)))</f>
        <v/>
      </c>
      <c r="BD53" s="862" t="str">
        <f>IF($CR53="","",IF($E53="","SP",SUMIF(portfolio.!$A$4:$A308,$CR53,portfolio.!$AQ$4:$AQ308)*$CU$5))</f>
        <v/>
      </c>
      <c r="BE53" s="850" t="str">
        <f t="shared" si="3"/>
        <v/>
      </c>
      <c r="BF53" s="862" t="str">
        <f>IF($CR53="","",IF($E53="","-",SUMIF(portfolio.!$A$4:$A308,$CR53,portfolio.!$AX$4:$AX308)*$CU$5))</f>
        <v/>
      </c>
      <c r="BG53" s="545"/>
      <c r="BH53" s="879" t="s">
        <v>123</v>
      </c>
      <c r="BI53" s="880" t="s">
        <v>123</v>
      </c>
      <c r="BJ53" s="863" t="str">
        <f>IFERROR(__xludf.DUMMYFUNCTION("IF(NOT($BL$4),"""",IF($CR53="""","""",IFERROR(query({GOOGLEFINANCE($CR53,""price"",IF($BI53=""-"",TODAY()-($AQ$5+5),$BI53),TODAY()-1)},""Select max(Col2) where Col1 is not null label max(Col2) ''"")*CU53,""-"")))"),"")</f>
        <v/>
      </c>
      <c r="BK53" s="881" t="s">
        <v>123</v>
      </c>
      <c r="BL53" s="882" t="s">
        <v>123</v>
      </c>
      <c r="BM53" s="442"/>
      <c r="BN53" s="867" t="str">
        <f>IFERROR(__xludf.DUMMYFUNCTION("IF(CR53="""","""",IF(OR(C53=""AÇÃO"",C53=""BDR""),IFERROR(QUERY({fundamentus.!$A$3:$U308},$CX$67&amp;"" where Col1='""&amp;CR53&amp;""' limit 1"",0)),IF(C53=""FII"",IFERROR(QUERY({fundsexplorer.!$A$2:$Z308},$CY$67&amp;"" where Col1='""&amp;CR53&amp;""' limit 1"",0)),"""")))"),"")</f>
        <v/>
      </c>
      <c r="BO53" s="867"/>
      <c r="BP53" s="867"/>
      <c r="BQ53" s="867"/>
      <c r="BR53" s="867"/>
      <c r="BS53" s="867"/>
      <c r="BT53" s="867"/>
      <c r="BU53" s="442"/>
      <c r="BV53" s="868" t="str">
        <f>IFERROR(__xludf.DUMMYFUNCTION("IF(OR(C53=""AÇÃO"",C53=""BDR""),IFERROR(GOOGLEFINANCE(CONCAT(""BVMF:"",CR53), ""marketcap"")/1000000,""NC""),"""")"),"")</f>
        <v/>
      </c>
      <c r="BW53" s="869" t="s">
        <v>123</v>
      </c>
      <c r="BX53" s="870" t="s">
        <v>123</v>
      </c>
      <c r="BY53" s="868" t="s">
        <v>123</v>
      </c>
      <c r="BZ53" s="870" t="s">
        <v>123</v>
      </c>
      <c r="CA53" s="868" t="s">
        <v>123</v>
      </c>
      <c r="CB53" s="868" t="s">
        <v>123</v>
      </c>
      <c r="CC53" s="868" t="s">
        <v>123</v>
      </c>
      <c r="CD53" s="868" t="str">
        <f>IFERROR(__xludf.DUMMYFUNCTION("IF(OR(C53=""AÇÃO"",C53=""BDR""),IFERROR(GOOGLEFINANCE(CONCAT(""BVMF:"",CR53), ""volumeavg"")/1000000,""NC""),"""")"),"")</f>
        <v/>
      </c>
      <c r="CE53" s="870" t="s">
        <v>123</v>
      </c>
      <c r="CF53" s="870" t="s">
        <v>123</v>
      </c>
      <c r="CG53" s="870" t="str">
        <f>IFERROR(__xludf.DUMMYFUNCTION("IF(OR(C53=""AÇÃO"",C53=""BDR""),IF(CF53=0,""SEM DY"",IFERROR(ImportXML(CONCAT(""http://www.guiainvest.com.br/raiox/default.aspx?sigla="",$CR53),""//*[@id='lbPayoutAtual']""),""NC"")),"""")"),"")</f>
        <v/>
      </c>
      <c r="CH53" s="870" t="s">
        <v>123</v>
      </c>
      <c r="CI53" s="545"/>
      <c r="CJ53" s="871" t="str">
        <f>IFERROR(__xludf.DUMMYFUNCTION("IF(OR(C53=""AÇÃO"",C53=""BDR""),IFERROR(GOOGLEFINANCE(CONCAT(""BVMF:"",CR53), ""eps""),""NC""),"""")"),"")</f>
        <v/>
      </c>
      <c r="CK53" s="442"/>
      <c r="CL53" s="871" t="str">
        <f>IFERROR(__xludf.DUMMYFUNCTION("IF(NOT($BL$4),"""",IF($CR53="""","""",IF($BC53="""","""",IFERROR(query({op.normal!$B$5:$F308},""select Col5, toDate(Col2) where Col1 =  '""&amp;$CR53&amp;""' and Col4 &gt; 0 and ((Col3 is null) or (Col3 = 'C')) and Col2 &gt;= date '""&amp;TEXT(TODAY()-$AQ$5,""yyyy-mm-dd"")"&amp;"&amp;""' order by Col2 desc limit 1 label toDate(Col2) ''"")))))"),"")</f>
        <v/>
      </c>
      <c r="CM53" s="872"/>
      <c r="CN53" s="883" t="s">
        <v>123</v>
      </c>
      <c r="CO53" s="874" t="s">
        <v>123</v>
      </c>
      <c r="CP53" s="766"/>
      <c r="CQ53" s="791"/>
      <c r="CR53" s="791"/>
      <c r="CT53" s="791" t="s">
        <v>123</v>
      </c>
      <c r="CU53" s="791" t="str">
        <f>IFERROR(__xludf.DUMMYFUNCTION("IF(CR53="""","""",IF(CT53=$C$4,1,GOOGLEFINANCE(CT53&amp;$C$4)))"),"")</f>
        <v/>
      </c>
      <c r="CW53" s="791" t="s">
        <v>603</v>
      </c>
      <c r="CX53" s="791" t="s">
        <v>603</v>
      </c>
      <c r="CY53" s="791" t="str">
        <f>"Col"&amp;MATCH(CW53,fundsexplorer.!$A$2:$Z$2,0)</f>
        <v>Col23</v>
      </c>
    </row>
    <row r="54" ht="22.5" customHeight="1">
      <c r="A54" s="837">
        <v>46.0</v>
      </c>
      <c r="B54" s="838" t="s">
        <v>123</v>
      </c>
      <c r="C54" s="838" t="s">
        <v>123</v>
      </c>
      <c r="D54" s="839" t="s">
        <v>123</v>
      </c>
      <c r="E54" s="839" t="s">
        <v>123</v>
      </c>
      <c r="F54" s="839" t="s">
        <v>123</v>
      </c>
      <c r="G54" s="56"/>
      <c r="H54" s="884"/>
      <c r="I54" s="838"/>
      <c r="J54" s="838"/>
      <c r="K54" s="838"/>
      <c r="L54" s="838"/>
      <c r="M54" s="838"/>
      <c r="N54" s="838"/>
      <c r="O54" s="838"/>
      <c r="P54" s="838"/>
      <c r="Q54" s="838"/>
      <c r="R54" s="838"/>
      <c r="S54" s="838"/>
      <c r="T54" s="838"/>
      <c r="U54" s="838"/>
      <c r="V54" s="838"/>
      <c r="W54" s="838"/>
      <c r="X54" s="838"/>
      <c r="Z54" s="875" t="str">
        <f>IFERROR(__xludf.DUMMYFUNCTION("IF($CR54="""","""",IFERROR(query({CarteirasAtivos},""select Col4 where Col4 is not null and Col1 = '""&amp;$CR54&amp;""' limit 1"")*CU54,""NC""))"),"")</f>
        <v/>
      </c>
      <c r="AA54" s="876" t="str">
        <f>IFERROR(__xludf.DUMMYFUNCTION("IF($CR54="""","""",IFERROR(query({CarteirasAtivos},""select Col6 where Col4 is not null and Col1 = '""&amp;$CR54&amp;""' limit 1""),""NC""))"),"")</f>
        <v/>
      </c>
      <c r="AB54" s="877"/>
      <c r="AC54" s="878" t="s">
        <v>123</v>
      </c>
      <c r="AD54" s="845" t="str">
        <f>IF($CR54="","",IFERROR(VLOOKUP($CR54,ativos.!$C$3:$R308,MATCH("cotacao",ativos.!$C$2:CY$2,0),FALSE)*$CU$5,"atualizar"))</f>
        <v/>
      </c>
      <c r="AE54" s="846" t="str">
        <f>IFERROR(__xludf.DUMMYFUNCTION("IF($CR54="""","""",IFERROR(AVERAGE(query({CarteirasAtivos;CarteirasAtivosEncerrados},""select Col5 where Col5 is not null and Col1 = '""&amp;$CR54&amp;""' and Col10='SIM'""))*CU54,""NC""))"),"")</f>
        <v/>
      </c>
      <c r="AF54" s="847" t="str">
        <f t="shared" si="1"/>
        <v/>
      </c>
      <c r="AG54" s="442"/>
      <c r="AH54" s="848" t="str">
        <f>IFERROR(__xludf.DUMMYFUNCTION("IF($CR54="""","""",IFERROR(GOOGLEFINANCE($CR54,""low52"")*CU54,""-""))"),"")</f>
        <v/>
      </c>
      <c r="AI54" s="848" t="str">
        <f>IFERROR(__xludf.DUMMYFUNCTION("IF($CR54="""","""",IFERROR(GOOGLEFINANCE($CR54,""high52"")*CU54,""-""))"),"")</f>
        <v/>
      </c>
      <c r="AJ54" s="849" t="s">
        <v>123</v>
      </c>
      <c r="AK54" s="850" t="str">
        <f>IFERROR(__xludf.DUMMYFUNCTION("IF($CR54="""","""",IFERROR(GOOGLEFINANCE($CR54,""changepct"")/100,""-""))"),"")</f>
        <v/>
      </c>
      <c r="AL54" s="851" t="str">
        <f>IFERROR(__xludf.DUMMYFUNCTION("IF($CR54="""","""",IFERROR(($AD54/(QUERY(GOOGLEFINANCE($CR54,""price"",TODAY()-7),""SELECT Col2 label Col2 ''"")*$CU54)-1),""-""))"),"")</f>
        <v/>
      </c>
      <c r="AM54" s="851" t="str">
        <f>IFERROR(__xludf.DUMMYFUNCTION("IF($CR54="""","""",IFERROR(($AD54/(QUERY(GOOGLEFINANCE($CR54,""price"",TODAY()-14),""SELECT Col2 label Col2 ''"")*$CU54)-1),""-""))"),"")</f>
        <v/>
      </c>
      <c r="AN54" s="851" t="str">
        <f>IFERROR(__xludf.DUMMYFUNCTION("IF($CR54="""","""",IFERROR(($AD54/(QUERY(GOOGLEFINANCE($CR54,""price"",TODAY()-28),""SELECT Col2 label Col2 ''"")*$CU54)-1),""-""))"),"")</f>
        <v/>
      </c>
      <c r="AO54" s="851" t="str">
        <f>IFERROR(__xludf.DUMMYFUNCTION("IF($CR54="""","""",IFERROR(($AD54/(QUERY(GOOGLEFINANCE($CR54,""price"",TODAY()-$AQ$5),""SELECT Col2 label Col2 ''"")*$CU54)-1),""-""))"),"")</f>
        <v/>
      </c>
      <c r="AP54" s="852" t="str">
        <f>IFERROR(__xludf.DUMMYFUNCTION("IF($CR54="""","""",IFERROR(SPARKLINE(query(GOOGLEFINANCE($CR54,""price"",TODAY()-$AQ$5,TODAY(),1),""select Col2 label Col2 ''""),IF($AP$7=""Gráfico de barras"",{""charttype"",""column"";""highcolor"",""red""},{""chartype"",""line""}))))"),"")</f>
        <v/>
      </c>
      <c r="AQ54" s="144"/>
      <c r="AR54" s="853"/>
      <c r="AS54" s="854" t="str">
        <f>IF($CR54="","",IF(NOT('alocação'!$D$1),"off",IFERROR(VLOOKUP(CR54,BalanceAtivos,3,0),"NC")))</f>
        <v/>
      </c>
      <c r="AT54" s="855" t="str">
        <f>IF($CR54="","",IF(NOT('alocação'!$D$1),"off",IFERROR(VLOOKUP($CR54,BalanceAtivos,4,0)*$CU$5,"NC")))</f>
        <v/>
      </c>
      <c r="AU54" s="856" t="str">
        <f>IF($CR54="","",IF(NOT('alocação'!$D$1),"off",IFERROR(VLOOKUP($CR54,BalanceAtivos,5,0),"-")))</f>
        <v/>
      </c>
      <c r="AV54" s="856" t="str">
        <f>IF($CR54="","",IF(NOT('alocação'!$D$1),"off",IFERROR(VLOOKUP($CR54,BalanceAtivos,6,0),"-")))</f>
        <v/>
      </c>
      <c r="AW54" s="857"/>
      <c r="AX54" s="858" t="str">
        <f>IF($CR54="","",IF($E54="","SP",IFERROR(VLOOKUP($CR54,AtivosDados,MATCH("pm_atual",portfolio.!$A$3:CY$3,0),0)*$CU$5,0)))</f>
        <v/>
      </c>
      <c r="AY54" s="859" t="str">
        <f t="shared" si="2"/>
        <v/>
      </c>
      <c r="AZ54" s="858" t="str">
        <f>IF($CR54="","",IF($E54="","SP",SUMIF(portfolio.!$A$4:$A308,$CR54,portfolio.!$O$4:$O308)*$CU$5))</f>
        <v/>
      </c>
      <c r="BA54" s="858" t="str">
        <f>IF($CR54="","",IF($E54="","SP",SUMIF(portfolio.!$A$4:$A308,$CR54,portfolio.!$AN$4:$AN308)*$CU$5))</f>
        <v/>
      </c>
      <c r="BB54" s="860" t="str">
        <f>IF($CR54="","",IF($E54="","-",IFERROR($BA54/'portfólio'!$DG$63,"")))</f>
        <v/>
      </c>
      <c r="BC54" s="861" t="str">
        <f>IF($CR54="","",IF($E54="","-",SUMIF(portfolio.!$A$4:$A308,$CR54,portfolio.!$J$4:$J308)))</f>
        <v/>
      </c>
      <c r="BD54" s="862" t="str">
        <f>IF($CR54="","",IF($E54="","SP",SUMIF(portfolio.!$A$4:$A308,$CR54,portfolio.!$AQ$4:$AQ308)*$CU$5))</f>
        <v/>
      </c>
      <c r="BE54" s="850" t="str">
        <f t="shared" si="3"/>
        <v/>
      </c>
      <c r="BF54" s="862" t="str">
        <f>IF($CR54="","",IF($E54="","-",SUMIF(portfolio.!$A$4:$A308,$CR54,portfolio.!$AX$4:$AX308)*$CU$5))</f>
        <v/>
      </c>
      <c r="BG54" s="545"/>
      <c r="BH54" s="879" t="s">
        <v>123</v>
      </c>
      <c r="BI54" s="880" t="s">
        <v>123</v>
      </c>
      <c r="BJ54" s="863" t="str">
        <f>IFERROR(__xludf.DUMMYFUNCTION("IF(NOT($BL$4),"""",IF($CR54="""","""",IFERROR(query({GOOGLEFINANCE($CR54,""price"",IF($BI54=""-"",TODAY()-($AQ$5+5),$BI54),TODAY()-1)},""Select max(Col2) where Col1 is not null label max(Col2) ''"")*CU54,""-"")))"),"")</f>
        <v/>
      </c>
      <c r="BK54" s="881" t="s">
        <v>123</v>
      </c>
      <c r="BL54" s="882" t="s">
        <v>123</v>
      </c>
      <c r="BM54" s="442"/>
      <c r="BN54" s="867" t="str">
        <f>IFERROR(__xludf.DUMMYFUNCTION("IF(CR54="""","""",IF(OR(C54=""AÇÃO"",C54=""BDR""),IFERROR(QUERY({fundamentus.!$A$3:$U308},$CX$67&amp;"" where Col1='""&amp;CR54&amp;""' limit 1"",0)),IF(C54=""FII"",IFERROR(QUERY({fundsexplorer.!$A$2:$Z308},$CY$67&amp;"" where Col1='""&amp;CR54&amp;""' limit 1"",0)),"""")))"),"")</f>
        <v/>
      </c>
      <c r="BO54" s="867"/>
      <c r="BP54" s="867"/>
      <c r="BQ54" s="867"/>
      <c r="BR54" s="867"/>
      <c r="BS54" s="867"/>
      <c r="BT54" s="867"/>
      <c r="BU54" s="442"/>
      <c r="BV54" s="868" t="str">
        <f>IFERROR(__xludf.DUMMYFUNCTION("IF(OR(C54=""AÇÃO"",C54=""BDR""),IFERROR(GOOGLEFINANCE(CONCAT(""BVMF:"",CR54), ""marketcap"")/1000000,""NC""),"""")"),"")</f>
        <v/>
      </c>
      <c r="BW54" s="869" t="s">
        <v>123</v>
      </c>
      <c r="BX54" s="870" t="s">
        <v>123</v>
      </c>
      <c r="BY54" s="868" t="s">
        <v>123</v>
      </c>
      <c r="BZ54" s="870" t="s">
        <v>123</v>
      </c>
      <c r="CA54" s="868" t="s">
        <v>123</v>
      </c>
      <c r="CB54" s="868" t="s">
        <v>123</v>
      </c>
      <c r="CC54" s="868" t="s">
        <v>123</v>
      </c>
      <c r="CD54" s="868" t="str">
        <f>IFERROR(__xludf.DUMMYFUNCTION("IF(OR(C54=""AÇÃO"",C54=""BDR""),IFERROR(GOOGLEFINANCE(CONCAT(""BVMF:"",CR54), ""volumeavg"")/1000000,""NC""),"""")"),"")</f>
        <v/>
      </c>
      <c r="CE54" s="870" t="s">
        <v>123</v>
      </c>
      <c r="CF54" s="870" t="s">
        <v>123</v>
      </c>
      <c r="CG54" s="870" t="str">
        <f>IFERROR(__xludf.DUMMYFUNCTION("IF(OR(C54=""AÇÃO"",C54=""BDR""),IF(CF54=0,""SEM DY"",IFERROR(ImportXML(CONCAT(""http://www.guiainvest.com.br/raiox/default.aspx?sigla="",$CR54),""//*[@id='lbPayoutAtual']""),""NC"")),"""")"),"")</f>
        <v/>
      </c>
      <c r="CH54" s="870" t="s">
        <v>123</v>
      </c>
      <c r="CI54" s="545"/>
      <c r="CJ54" s="871" t="str">
        <f>IFERROR(__xludf.DUMMYFUNCTION("IF(OR(C54=""AÇÃO"",C54=""BDR""),IFERROR(GOOGLEFINANCE(CONCAT(""BVMF:"",CR54), ""eps""),""NC""),"""")"),"")</f>
        <v/>
      </c>
      <c r="CK54" s="442"/>
      <c r="CL54" s="871" t="str">
        <f>IFERROR(__xludf.DUMMYFUNCTION("IF(NOT($BL$4),"""",IF($CR54="""","""",IF($BC54="""","""",IFERROR(query({op.normal!$B$5:$F308},""select Col5, toDate(Col2) where Col1 =  '""&amp;$CR54&amp;""' and Col4 &gt; 0 and ((Col3 is null) or (Col3 = 'C')) and Col2 &gt;= date '""&amp;TEXT(TODAY()-$AQ$5,""yyyy-mm-dd"")"&amp;"&amp;""' order by Col2 desc limit 1 label toDate(Col2) ''"")))))"),"")</f>
        <v/>
      </c>
      <c r="CM54" s="872"/>
      <c r="CN54" s="883" t="s">
        <v>123</v>
      </c>
      <c r="CO54" s="874" t="s">
        <v>123</v>
      </c>
      <c r="CP54" s="766"/>
      <c r="CQ54" s="791"/>
      <c r="CR54" s="791"/>
      <c r="CT54" s="791" t="s">
        <v>123</v>
      </c>
      <c r="CU54" s="791" t="str">
        <f>IFERROR(__xludf.DUMMYFUNCTION("IF(CR54="""","""",IF(CT54=$C$4,1,GOOGLEFINANCE(CT54&amp;$C$4)))"),"")</f>
        <v/>
      </c>
      <c r="CW54" s="791" t="s">
        <v>538</v>
      </c>
      <c r="CX54" s="791" t="s">
        <v>538</v>
      </c>
      <c r="CY54" s="791" t="str">
        <f>"Col"&amp;MATCH(CW54,fundsexplorer.!$A$2:$Z$2,0)</f>
        <v>Col24</v>
      </c>
    </row>
    <row r="55" ht="22.5" customHeight="1">
      <c r="A55" s="837">
        <v>47.0</v>
      </c>
      <c r="B55" s="838" t="s">
        <v>123</v>
      </c>
      <c r="C55" s="838" t="s">
        <v>123</v>
      </c>
      <c r="D55" s="839" t="s">
        <v>123</v>
      </c>
      <c r="E55" s="839" t="s">
        <v>123</v>
      </c>
      <c r="F55" s="839" t="s">
        <v>123</v>
      </c>
      <c r="G55" s="56"/>
      <c r="H55" s="884"/>
      <c r="I55" s="838"/>
      <c r="J55" s="838"/>
      <c r="K55" s="838"/>
      <c r="L55" s="838"/>
      <c r="M55" s="838"/>
      <c r="N55" s="838"/>
      <c r="O55" s="838"/>
      <c r="P55" s="838"/>
      <c r="Q55" s="838"/>
      <c r="R55" s="838"/>
      <c r="S55" s="838"/>
      <c r="T55" s="838"/>
      <c r="U55" s="838"/>
      <c r="V55" s="838"/>
      <c r="W55" s="838"/>
      <c r="X55" s="838"/>
      <c r="Z55" s="875" t="str">
        <f>IFERROR(__xludf.DUMMYFUNCTION("IF($CR55="""","""",IFERROR(query({CarteirasAtivos},""select Col4 where Col4 is not null and Col1 = '""&amp;$CR55&amp;""' limit 1"")*CU55,""NC""))"),"")</f>
        <v/>
      </c>
      <c r="AA55" s="876" t="str">
        <f>IFERROR(__xludf.DUMMYFUNCTION("IF($CR55="""","""",IFERROR(query({CarteirasAtivos},""select Col6 where Col4 is not null and Col1 = '""&amp;$CR55&amp;""' limit 1""),""NC""))"),"")</f>
        <v/>
      </c>
      <c r="AB55" s="877"/>
      <c r="AC55" s="878" t="s">
        <v>123</v>
      </c>
      <c r="AD55" s="845" t="str">
        <f>IF($CR55="","",IFERROR(VLOOKUP($CR55,ativos.!$C$3:$R308,MATCH("cotacao",ativos.!$C$2:CY$2,0),FALSE)*$CU$5,"atualizar"))</f>
        <v/>
      </c>
      <c r="AE55" s="846" t="str">
        <f>IFERROR(__xludf.DUMMYFUNCTION("IF($CR55="""","""",IFERROR(AVERAGE(query({CarteirasAtivos;CarteirasAtivosEncerrados},""select Col5 where Col5 is not null and Col1 = '""&amp;$CR55&amp;""' and Col10='SIM'""))*CU55,""NC""))"),"")</f>
        <v/>
      </c>
      <c r="AF55" s="847" t="str">
        <f t="shared" si="1"/>
        <v/>
      </c>
      <c r="AG55" s="442"/>
      <c r="AH55" s="848" t="str">
        <f>IFERROR(__xludf.DUMMYFUNCTION("IF($CR55="""","""",IFERROR(GOOGLEFINANCE($CR55,""low52"")*CU55,""-""))"),"")</f>
        <v/>
      </c>
      <c r="AI55" s="848" t="str">
        <f>IFERROR(__xludf.DUMMYFUNCTION("IF($CR55="""","""",IFERROR(GOOGLEFINANCE($CR55,""high52"")*CU55,""-""))"),"")</f>
        <v/>
      </c>
      <c r="AJ55" s="849" t="s">
        <v>123</v>
      </c>
      <c r="AK55" s="850" t="str">
        <f>IFERROR(__xludf.DUMMYFUNCTION("IF($CR55="""","""",IFERROR(GOOGLEFINANCE($CR55,""changepct"")/100,""-""))"),"")</f>
        <v/>
      </c>
      <c r="AL55" s="851" t="str">
        <f>IFERROR(__xludf.DUMMYFUNCTION("IF($CR55="""","""",IFERROR(($AD55/(QUERY(GOOGLEFINANCE($CR55,""price"",TODAY()-7),""SELECT Col2 label Col2 ''"")*$CU55)-1),""-""))"),"")</f>
        <v/>
      </c>
      <c r="AM55" s="851" t="str">
        <f>IFERROR(__xludf.DUMMYFUNCTION("IF($CR55="""","""",IFERROR(($AD55/(QUERY(GOOGLEFINANCE($CR55,""price"",TODAY()-14),""SELECT Col2 label Col2 ''"")*$CU55)-1),""-""))"),"")</f>
        <v/>
      </c>
      <c r="AN55" s="851" t="str">
        <f>IFERROR(__xludf.DUMMYFUNCTION("IF($CR55="""","""",IFERROR(($AD55/(QUERY(GOOGLEFINANCE($CR55,""price"",TODAY()-28),""SELECT Col2 label Col2 ''"")*$CU55)-1),""-""))"),"")</f>
        <v/>
      </c>
      <c r="AO55" s="851" t="str">
        <f>IFERROR(__xludf.DUMMYFUNCTION("IF($CR55="""","""",IFERROR(($AD55/(QUERY(GOOGLEFINANCE($CR55,""price"",TODAY()-$AQ$5),""SELECT Col2 label Col2 ''"")*$CU55)-1),""-""))"),"")</f>
        <v/>
      </c>
      <c r="AP55" s="852" t="str">
        <f>IFERROR(__xludf.DUMMYFUNCTION("IF($CR55="""","""",IFERROR(SPARKLINE(query(GOOGLEFINANCE($CR55,""price"",TODAY()-$AQ$5,TODAY(),1),""select Col2 label Col2 ''""),IF($AP$7=""Gráfico de barras"",{""charttype"",""column"";""highcolor"",""red""},{""chartype"",""line""}))))"),"")</f>
        <v/>
      </c>
      <c r="AQ55" s="144"/>
      <c r="AR55" s="853"/>
      <c r="AS55" s="854" t="str">
        <f>IF($CR55="","",IF(NOT('alocação'!$D$1),"off",IFERROR(VLOOKUP(CR55,BalanceAtivos,3,0),"NC")))</f>
        <v/>
      </c>
      <c r="AT55" s="855" t="str">
        <f>IF($CR55="","",IF(NOT('alocação'!$D$1),"off",IFERROR(VLOOKUP($CR55,BalanceAtivos,4,0)*$CU$5,"NC")))</f>
        <v/>
      </c>
      <c r="AU55" s="856" t="str">
        <f>IF($CR55="","",IF(NOT('alocação'!$D$1),"off",IFERROR(VLOOKUP($CR55,BalanceAtivos,5,0),"-")))</f>
        <v/>
      </c>
      <c r="AV55" s="856" t="str">
        <f>IF($CR55="","",IF(NOT('alocação'!$D$1),"off",IFERROR(VLOOKUP($CR55,BalanceAtivos,6,0),"-")))</f>
        <v/>
      </c>
      <c r="AW55" s="857"/>
      <c r="AX55" s="858" t="str">
        <f>IF($CR55="","",IF($E55="","SP",IFERROR(VLOOKUP($CR55,AtivosDados,MATCH("pm_atual",portfolio.!$A$3:CY$3,0),0)*$CU$5,0)))</f>
        <v/>
      </c>
      <c r="AY55" s="859" t="str">
        <f t="shared" si="2"/>
        <v/>
      </c>
      <c r="AZ55" s="858" t="str">
        <f>IF($CR55="","",IF($E55="","SP",SUMIF(portfolio.!$A$4:$A308,$CR55,portfolio.!$O$4:$O308)*$CU$5))</f>
        <v/>
      </c>
      <c r="BA55" s="858" t="str">
        <f>IF($CR55="","",IF($E55="","SP",SUMIF(portfolio.!$A$4:$A308,$CR55,portfolio.!$AN$4:$AN308)*$CU$5))</f>
        <v/>
      </c>
      <c r="BB55" s="860" t="str">
        <f>IF($CR55="","",IF($E55="","-",IFERROR($BA55/'portfólio'!$DG$63,"")))</f>
        <v/>
      </c>
      <c r="BC55" s="861" t="str">
        <f>IF($CR55="","",IF($E55="","-",SUMIF(portfolio.!$A$4:$A308,$CR55,portfolio.!$J$4:$J308)))</f>
        <v/>
      </c>
      <c r="BD55" s="862" t="str">
        <f>IF($CR55="","",IF($E55="","SP",SUMIF(portfolio.!$A$4:$A308,$CR55,portfolio.!$AQ$4:$AQ308)*$CU$5))</f>
        <v/>
      </c>
      <c r="BE55" s="850" t="str">
        <f t="shared" si="3"/>
        <v/>
      </c>
      <c r="BF55" s="862" t="str">
        <f>IF($CR55="","",IF($E55="","-",SUMIF(portfolio.!$A$4:$A308,$CR55,portfolio.!$AX$4:$AX308)*$CU$5))</f>
        <v/>
      </c>
      <c r="BG55" s="545"/>
      <c r="BH55" s="879" t="s">
        <v>123</v>
      </c>
      <c r="BI55" s="880" t="s">
        <v>123</v>
      </c>
      <c r="BJ55" s="863" t="str">
        <f>IFERROR(__xludf.DUMMYFUNCTION("IF(NOT($BL$4),"""",IF($CR55="""","""",IFERROR(query({GOOGLEFINANCE($CR55,""price"",IF($BI55=""-"",TODAY()-($AQ$5+5),$BI55),TODAY()-1)},""Select max(Col2) where Col1 is not null label max(Col2) ''"")*CU55,""-"")))"),"")</f>
        <v/>
      </c>
      <c r="BK55" s="881" t="s">
        <v>123</v>
      </c>
      <c r="BL55" s="882" t="s">
        <v>123</v>
      </c>
      <c r="BM55" s="442"/>
      <c r="BN55" s="867" t="str">
        <f>IFERROR(__xludf.DUMMYFUNCTION("IF(CR55="""","""",IF(OR(C55=""AÇÃO"",C55=""BDR""),IFERROR(QUERY({fundamentus.!$A$3:$U308},$CX$67&amp;"" where Col1='""&amp;CR55&amp;""' limit 1"",0)),IF(C55=""FII"",IFERROR(QUERY({fundsexplorer.!$A$2:$Z308},$CY$67&amp;"" where Col1='""&amp;CR55&amp;""' limit 1"",0)),"""")))"),"")</f>
        <v/>
      </c>
      <c r="BO55" s="867"/>
      <c r="BP55" s="867"/>
      <c r="BQ55" s="867"/>
      <c r="BR55" s="867"/>
      <c r="BS55" s="867"/>
      <c r="BT55" s="867"/>
      <c r="BU55" s="442"/>
      <c r="BV55" s="868" t="str">
        <f>IFERROR(__xludf.DUMMYFUNCTION("IF(OR(C55=""AÇÃO"",C55=""BDR""),IFERROR(GOOGLEFINANCE(CONCAT(""BVMF:"",CR55), ""marketcap"")/1000000,""NC""),"""")"),"")</f>
        <v/>
      </c>
      <c r="BW55" s="869" t="s">
        <v>123</v>
      </c>
      <c r="BX55" s="870" t="s">
        <v>123</v>
      </c>
      <c r="BY55" s="868" t="s">
        <v>123</v>
      </c>
      <c r="BZ55" s="870" t="s">
        <v>123</v>
      </c>
      <c r="CA55" s="868" t="s">
        <v>123</v>
      </c>
      <c r="CB55" s="868" t="s">
        <v>123</v>
      </c>
      <c r="CC55" s="868" t="s">
        <v>123</v>
      </c>
      <c r="CD55" s="868" t="str">
        <f>IFERROR(__xludf.DUMMYFUNCTION("IF(OR(C55=""AÇÃO"",C55=""BDR""),IFERROR(GOOGLEFINANCE(CONCAT(""BVMF:"",CR55), ""volumeavg"")/1000000,""NC""),"""")"),"")</f>
        <v/>
      </c>
      <c r="CE55" s="870" t="s">
        <v>123</v>
      </c>
      <c r="CF55" s="870" t="s">
        <v>123</v>
      </c>
      <c r="CG55" s="870" t="str">
        <f>IFERROR(__xludf.DUMMYFUNCTION("IF(OR(C55=""AÇÃO"",C55=""BDR""),IF(CF55=0,""SEM DY"",IFERROR(ImportXML(CONCAT(""http://www.guiainvest.com.br/raiox/default.aspx?sigla="",$CR55),""//*[@id='lbPayoutAtual']""),""NC"")),"""")"),"")</f>
        <v/>
      </c>
      <c r="CH55" s="870" t="s">
        <v>123</v>
      </c>
      <c r="CI55" s="545"/>
      <c r="CJ55" s="871" t="str">
        <f>IFERROR(__xludf.DUMMYFUNCTION("IF(OR(C55=""AÇÃO"",C55=""BDR""),IFERROR(GOOGLEFINANCE(CONCAT(""BVMF:"",CR55), ""eps""),""NC""),"""")"),"")</f>
        <v/>
      </c>
      <c r="CK55" s="442"/>
      <c r="CL55" s="871" t="str">
        <f>IFERROR(__xludf.DUMMYFUNCTION("IF(NOT($BL$4),"""",IF($CR55="""","""",IF($BC55="""","""",IFERROR(query({op.normal!$B$5:$F308},""select Col5, toDate(Col2) where Col1 =  '""&amp;$CR55&amp;""' and Col4 &gt; 0 and ((Col3 is null) or (Col3 = 'C')) and Col2 &gt;= date '""&amp;TEXT(TODAY()-$AQ$5,""yyyy-mm-dd"")"&amp;"&amp;""' order by Col2 desc limit 1 label toDate(Col2) ''"")))))"),"")</f>
        <v/>
      </c>
      <c r="CM55" s="872"/>
      <c r="CN55" s="883" t="s">
        <v>123</v>
      </c>
      <c r="CO55" s="874" t="s">
        <v>123</v>
      </c>
      <c r="CP55" s="766"/>
      <c r="CQ55" s="791"/>
      <c r="CR55" s="791"/>
      <c r="CT55" s="791" t="s">
        <v>123</v>
      </c>
      <c r="CU55" s="791" t="str">
        <f>IFERROR(__xludf.DUMMYFUNCTION("IF(CR55="""","""",IF(CT55=$C$4,1,GOOGLEFINANCE(CT55&amp;$C$4)))"),"")</f>
        <v/>
      </c>
      <c r="CW55" s="791" t="s">
        <v>604</v>
      </c>
      <c r="CX55" s="836" t="s">
        <v>539</v>
      </c>
      <c r="CY55" s="791" t="str">
        <f>"Col"&amp;MATCH(CW55,fundsexplorer.!$A$2:$Z$2,0)</f>
        <v>Col25</v>
      </c>
    </row>
    <row r="56" ht="22.5" customHeight="1">
      <c r="A56" s="837">
        <v>48.0</v>
      </c>
      <c r="B56" s="838" t="s">
        <v>123</v>
      </c>
      <c r="C56" s="838" t="s">
        <v>123</v>
      </c>
      <c r="D56" s="839" t="s">
        <v>123</v>
      </c>
      <c r="E56" s="839" t="s">
        <v>123</v>
      </c>
      <c r="F56" s="839" t="s">
        <v>123</v>
      </c>
      <c r="G56" s="56"/>
      <c r="H56" s="884"/>
      <c r="I56" s="838"/>
      <c r="J56" s="838"/>
      <c r="K56" s="838"/>
      <c r="L56" s="838"/>
      <c r="M56" s="838"/>
      <c r="N56" s="838"/>
      <c r="O56" s="838"/>
      <c r="P56" s="838"/>
      <c r="Q56" s="838"/>
      <c r="R56" s="838"/>
      <c r="S56" s="838"/>
      <c r="T56" s="838"/>
      <c r="U56" s="838"/>
      <c r="V56" s="838"/>
      <c r="W56" s="838"/>
      <c r="X56" s="838"/>
      <c r="Z56" s="875" t="str">
        <f>IFERROR(__xludf.DUMMYFUNCTION("IF($CR56="""","""",IFERROR(query({CarteirasAtivos},""select Col4 where Col4 is not null and Col1 = '""&amp;$CR56&amp;""' limit 1"")*CU56,""NC""))"),"")</f>
        <v/>
      </c>
      <c r="AA56" s="876" t="str">
        <f>IFERROR(__xludf.DUMMYFUNCTION("IF($CR56="""","""",IFERROR(query({CarteirasAtivos},""select Col6 where Col4 is not null and Col1 = '""&amp;$CR56&amp;""' limit 1""),""NC""))"),"")</f>
        <v/>
      </c>
      <c r="AB56" s="877"/>
      <c r="AC56" s="878" t="s">
        <v>123</v>
      </c>
      <c r="AD56" s="845" t="str">
        <f>IF($CR56="","",IFERROR(VLOOKUP($CR56,ativos.!$C$3:$R308,MATCH("cotacao",ativos.!$C$2:CY$2,0),FALSE)*$CU$5,"atualizar"))</f>
        <v/>
      </c>
      <c r="AE56" s="846" t="str">
        <f>IFERROR(__xludf.DUMMYFUNCTION("IF($CR56="""","""",IFERROR(AVERAGE(query({CarteirasAtivos;CarteirasAtivosEncerrados},""select Col5 where Col5 is not null and Col1 = '""&amp;$CR56&amp;""' and Col10='SIM'""))*CU56,""NC""))"),"")</f>
        <v/>
      </c>
      <c r="AF56" s="847" t="str">
        <f t="shared" si="1"/>
        <v/>
      </c>
      <c r="AG56" s="442"/>
      <c r="AH56" s="848" t="str">
        <f>IFERROR(__xludf.DUMMYFUNCTION("IF($CR56="""","""",IFERROR(GOOGLEFINANCE($CR56,""low52"")*CU56,""-""))"),"")</f>
        <v/>
      </c>
      <c r="AI56" s="848" t="str">
        <f>IFERROR(__xludf.DUMMYFUNCTION("IF($CR56="""","""",IFERROR(GOOGLEFINANCE($CR56,""high52"")*CU56,""-""))"),"")</f>
        <v/>
      </c>
      <c r="AJ56" s="849" t="s">
        <v>123</v>
      </c>
      <c r="AK56" s="850" t="str">
        <f>IFERROR(__xludf.DUMMYFUNCTION("IF($CR56="""","""",IFERROR(GOOGLEFINANCE($CR56,""changepct"")/100,""-""))"),"")</f>
        <v/>
      </c>
      <c r="AL56" s="851" t="str">
        <f>IFERROR(__xludf.DUMMYFUNCTION("IF($CR56="""","""",IFERROR(($AD56/(QUERY(GOOGLEFINANCE($CR56,""price"",TODAY()-7),""SELECT Col2 label Col2 ''"")*$CU56)-1),""-""))"),"")</f>
        <v/>
      </c>
      <c r="AM56" s="851" t="str">
        <f>IFERROR(__xludf.DUMMYFUNCTION("IF($CR56="""","""",IFERROR(($AD56/(QUERY(GOOGLEFINANCE($CR56,""price"",TODAY()-14),""SELECT Col2 label Col2 ''"")*$CU56)-1),""-""))"),"")</f>
        <v/>
      </c>
      <c r="AN56" s="851" t="str">
        <f>IFERROR(__xludf.DUMMYFUNCTION("IF($CR56="""","""",IFERROR(($AD56/(QUERY(GOOGLEFINANCE($CR56,""price"",TODAY()-28),""SELECT Col2 label Col2 ''"")*$CU56)-1),""-""))"),"")</f>
        <v/>
      </c>
      <c r="AO56" s="851" t="str">
        <f>IFERROR(__xludf.DUMMYFUNCTION("IF($CR56="""","""",IFERROR(($AD56/(QUERY(GOOGLEFINANCE($CR56,""price"",TODAY()-$AQ$5),""SELECT Col2 label Col2 ''"")*$CU56)-1),""-""))"),"")</f>
        <v/>
      </c>
      <c r="AP56" s="852" t="str">
        <f>IFERROR(__xludf.DUMMYFUNCTION("IF($CR56="""","""",IFERROR(SPARKLINE(query(GOOGLEFINANCE($CR56,""price"",TODAY()-$AQ$5,TODAY(),1),""select Col2 label Col2 ''""),IF($AP$7=""Gráfico de barras"",{""charttype"",""column"";""highcolor"",""red""},{""chartype"",""line""}))))"),"")</f>
        <v/>
      </c>
      <c r="AQ56" s="144"/>
      <c r="AR56" s="853"/>
      <c r="AS56" s="854" t="str">
        <f>IF($CR56="","",IF(NOT('alocação'!$D$1),"off",IFERROR(VLOOKUP(CR56,BalanceAtivos,3,0),"NC")))</f>
        <v/>
      </c>
      <c r="AT56" s="855" t="str">
        <f>IF($CR56="","",IF(NOT('alocação'!$D$1),"off",IFERROR(VLOOKUP($CR56,BalanceAtivos,4,0)*$CU$5,"NC")))</f>
        <v/>
      </c>
      <c r="AU56" s="856" t="str">
        <f>IF($CR56="","",IF(NOT('alocação'!$D$1),"off",IFERROR(VLOOKUP($CR56,BalanceAtivos,5,0),"-")))</f>
        <v/>
      </c>
      <c r="AV56" s="856" t="str">
        <f>IF($CR56="","",IF(NOT('alocação'!$D$1),"off",IFERROR(VLOOKUP($CR56,BalanceAtivos,6,0),"-")))</f>
        <v/>
      </c>
      <c r="AW56" s="857"/>
      <c r="AX56" s="858" t="str">
        <f>IF($CR56="","",IF($E56="","SP",IFERROR(VLOOKUP($CR56,AtivosDados,MATCH("pm_atual",portfolio.!$A$3:CY$3,0),0)*$CU$5,0)))</f>
        <v/>
      </c>
      <c r="AY56" s="859" t="str">
        <f t="shared" si="2"/>
        <v/>
      </c>
      <c r="AZ56" s="858" t="str">
        <f>IF($CR56="","",IF($E56="","SP",SUMIF(portfolio.!$A$4:$A308,$CR56,portfolio.!$O$4:$O308)*$CU$5))</f>
        <v/>
      </c>
      <c r="BA56" s="858" t="str">
        <f>IF($CR56="","",IF($E56="","SP",SUMIF(portfolio.!$A$4:$A308,$CR56,portfolio.!$AN$4:$AN308)*$CU$5))</f>
        <v/>
      </c>
      <c r="BB56" s="860" t="str">
        <f>IF($CR56="","",IF($E56="","-",IFERROR($BA56/'portfólio'!$DG$63,"")))</f>
        <v/>
      </c>
      <c r="BC56" s="861" t="str">
        <f>IF($CR56="","",IF($E56="","-",SUMIF(portfolio.!$A$4:$A308,$CR56,portfolio.!$J$4:$J308)))</f>
        <v/>
      </c>
      <c r="BD56" s="862" t="str">
        <f>IF($CR56="","",IF($E56="","SP",SUMIF(portfolio.!$A$4:$A308,$CR56,portfolio.!$AQ$4:$AQ308)*$CU$5))</f>
        <v/>
      </c>
      <c r="BE56" s="850" t="str">
        <f t="shared" si="3"/>
        <v/>
      </c>
      <c r="BF56" s="862" t="str">
        <f>IF($CR56="","",IF($E56="","-",SUMIF(portfolio.!$A$4:$A308,$CR56,portfolio.!$AX$4:$AX308)*$CU$5))</f>
        <v/>
      </c>
      <c r="BG56" s="545"/>
      <c r="BH56" s="879" t="s">
        <v>123</v>
      </c>
      <c r="BI56" s="880" t="s">
        <v>123</v>
      </c>
      <c r="BJ56" s="863" t="str">
        <f>IFERROR(__xludf.DUMMYFUNCTION("IF(NOT($BL$4),"""",IF($CR56="""","""",IFERROR(query({GOOGLEFINANCE($CR56,""price"",IF($BI56=""-"",TODAY()-($AQ$5+5),$BI56),TODAY()-1)},""Select max(Col2) where Col1 is not null label max(Col2) ''"")*CU56,""-"")))"),"")</f>
        <v/>
      </c>
      <c r="BK56" s="881" t="s">
        <v>123</v>
      </c>
      <c r="BL56" s="882" t="s">
        <v>123</v>
      </c>
      <c r="BM56" s="442"/>
      <c r="BN56" s="867" t="str">
        <f>IFERROR(__xludf.DUMMYFUNCTION("IF(CR56="""","""",IF(OR(C56=""AÇÃO"",C56=""BDR""),IFERROR(QUERY({fundamentus.!$A$3:$U308},$CX$67&amp;"" where Col1='""&amp;CR56&amp;""' limit 1"",0)),IF(C56=""FII"",IFERROR(QUERY({fundsexplorer.!$A$2:$Z308},$CY$67&amp;"" where Col1='""&amp;CR56&amp;""' limit 1"",0)),"""")))"),"")</f>
        <v/>
      </c>
      <c r="BO56" s="867"/>
      <c r="BP56" s="867"/>
      <c r="BQ56" s="867"/>
      <c r="BR56" s="867"/>
      <c r="BS56" s="867"/>
      <c r="BT56" s="867"/>
      <c r="BU56" s="442"/>
      <c r="BV56" s="868" t="str">
        <f>IFERROR(__xludf.DUMMYFUNCTION("IF(OR(C56=""AÇÃO"",C56=""BDR""),IFERROR(GOOGLEFINANCE(CONCAT(""BVMF:"",CR56), ""marketcap"")/1000000,""NC""),"""")"),"")</f>
        <v/>
      </c>
      <c r="BW56" s="869" t="s">
        <v>123</v>
      </c>
      <c r="BX56" s="870" t="s">
        <v>123</v>
      </c>
      <c r="BY56" s="868" t="s">
        <v>123</v>
      </c>
      <c r="BZ56" s="870" t="s">
        <v>123</v>
      </c>
      <c r="CA56" s="868" t="s">
        <v>123</v>
      </c>
      <c r="CB56" s="868" t="s">
        <v>123</v>
      </c>
      <c r="CC56" s="868" t="s">
        <v>123</v>
      </c>
      <c r="CD56" s="868" t="str">
        <f>IFERROR(__xludf.DUMMYFUNCTION("IF(OR(C56=""AÇÃO"",C56=""BDR""),IFERROR(GOOGLEFINANCE(CONCAT(""BVMF:"",CR56), ""volumeavg"")/1000000,""NC""),"""")"),"")</f>
        <v/>
      </c>
      <c r="CE56" s="870" t="s">
        <v>123</v>
      </c>
      <c r="CF56" s="870" t="s">
        <v>123</v>
      </c>
      <c r="CG56" s="870" t="str">
        <f>IFERROR(__xludf.DUMMYFUNCTION("IF(OR(C56=""AÇÃO"",C56=""BDR""),IF(CF56=0,""SEM DY"",IFERROR(ImportXML(CONCAT(""http://www.guiainvest.com.br/raiox/default.aspx?sigla="",$CR56),""//*[@id='lbPayoutAtual']""),""NC"")),"""")"),"")</f>
        <v/>
      </c>
      <c r="CH56" s="870" t="s">
        <v>123</v>
      </c>
      <c r="CI56" s="545"/>
      <c r="CJ56" s="871" t="str">
        <f>IFERROR(__xludf.DUMMYFUNCTION("IF(OR(C56=""AÇÃO"",C56=""BDR""),IFERROR(GOOGLEFINANCE(CONCAT(""BVMF:"",CR56), ""eps""),""NC""),"""")"),"")</f>
        <v/>
      </c>
      <c r="CK56" s="442"/>
      <c r="CL56" s="871" t="str">
        <f>IFERROR(__xludf.DUMMYFUNCTION("IF(NOT($BL$4),"""",IF($CR56="""","""",IF($BC56="""","""",IFERROR(query({op.normal!$B$5:$F308},""select Col5, toDate(Col2) where Col1 =  '""&amp;$CR56&amp;""' and Col4 &gt; 0 and ((Col3 is null) or (Col3 = 'C')) and Col2 &gt;= date '""&amp;TEXT(TODAY()-$AQ$5,""yyyy-mm-dd"")"&amp;"&amp;""' order by Col2 desc limit 1 label toDate(Col2) ''"")))))"),"")</f>
        <v/>
      </c>
      <c r="CM56" s="872"/>
      <c r="CN56" s="883" t="s">
        <v>123</v>
      </c>
      <c r="CO56" s="874" t="s">
        <v>123</v>
      </c>
      <c r="CP56" s="766"/>
      <c r="CQ56" s="791"/>
      <c r="CR56" s="791"/>
      <c r="CT56" s="791" t="s">
        <v>123</v>
      </c>
      <c r="CU56" s="791" t="str">
        <f>IFERROR(__xludf.DUMMYFUNCTION("IF(CR56="""","""",IF(CT56=$C$4,1,GOOGLEFINANCE(CT56&amp;$C$4)))"),"")</f>
        <v/>
      </c>
      <c r="CW56" s="791" t="s">
        <v>605</v>
      </c>
      <c r="CX56" s="836" t="s">
        <v>606</v>
      </c>
      <c r="CY56" s="791" t="str">
        <f>"Col"&amp;MATCH(CW56,fundsexplorer.!$A$2:$Z$2,0)</f>
        <v>Col26</v>
      </c>
    </row>
    <row r="57" ht="22.5" customHeight="1">
      <c r="A57" s="837">
        <v>49.0</v>
      </c>
      <c r="B57" s="838" t="s">
        <v>123</v>
      </c>
      <c r="C57" s="838" t="s">
        <v>123</v>
      </c>
      <c r="D57" s="839" t="s">
        <v>123</v>
      </c>
      <c r="E57" s="839" t="s">
        <v>123</v>
      </c>
      <c r="F57" s="839" t="s">
        <v>123</v>
      </c>
      <c r="G57" s="56"/>
      <c r="H57" s="840"/>
      <c r="I57" s="838"/>
      <c r="J57" s="838"/>
      <c r="K57" s="838"/>
      <c r="L57" s="838"/>
      <c r="M57" s="838"/>
      <c r="N57" s="838"/>
      <c r="O57" s="838"/>
      <c r="P57" s="838"/>
      <c r="Q57" s="838"/>
      <c r="R57" s="838"/>
      <c r="S57" s="838"/>
      <c r="T57" s="838"/>
      <c r="U57" s="838"/>
      <c r="V57" s="838"/>
      <c r="W57" s="838"/>
      <c r="X57" s="838"/>
      <c r="Z57" s="875" t="str">
        <f>IFERROR(__xludf.DUMMYFUNCTION("IF($CR57="""","""",IFERROR(query({CarteirasAtivos},""select Col4 where Col4 is not null and Col1 = '""&amp;$CR57&amp;""' limit 1"")*CU57,""NC""))"),"")</f>
        <v/>
      </c>
      <c r="AA57" s="876" t="str">
        <f>IFERROR(__xludf.DUMMYFUNCTION("IF($CR57="""","""",IFERROR(query({CarteirasAtivos},""select Col6 where Col4 is not null and Col1 = '""&amp;$CR57&amp;""' limit 1""),""NC""))"),"")</f>
        <v/>
      </c>
      <c r="AB57" s="877"/>
      <c r="AC57" s="878" t="s">
        <v>123</v>
      </c>
      <c r="AD57" s="845" t="str">
        <f>IF($CR57="","",IFERROR(VLOOKUP($CR57,ativos.!$C$3:$R308,MATCH("cotacao",ativos.!$C$2:CY$2,0),FALSE)*$CU$5,"atualizar"))</f>
        <v/>
      </c>
      <c r="AE57" s="846" t="str">
        <f>IFERROR(__xludf.DUMMYFUNCTION("IF($CR57="""","""",IFERROR(AVERAGE(query({CarteirasAtivos;CarteirasAtivosEncerrados},""select Col5 where Col5 is not null and Col1 = '""&amp;$CR57&amp;""' and Col10='SIM'""))*CU57,""NC""))"),"")</f>
        <v/>
      </c>
      <c r="AF57" s="847" t="str">
        <f t="shared" si="1"/>
        <v/>
      </c>
      <c r="AG57" s="442"/>
      <c r="AH57" s="848" t="str">
        <f>IFERROR(__xludf.DUMMYFUNCTION("IF($CR57="""","""",IFERROR(GOOGLEFINANCE($CR57,""low52"")*CU57,""-""))"),"")</f>
        <v/>
      </c>
      <c r="AI57" s="848" t="str">
        <f>IFERROR(__xludf.DUMMYFUNCTION("IF($CR57="""","""",IFERROR(GOOGLEFINANCE($CR57,""high52"")*CU57,""-""))"),"")</f>
        <v/>
      </c>
      <c r="AJ57" s="849" t="s">
        <v>123</v>
      </c>
      <c r="AK57" s="850" t="str">
        <f>IFERROR(__xludf.DUMMYFUNCTION("IF($CR57="""","""",IFERROR(GOOGLEFINANCE($CR57,""changepct"")/100,""-""))"),"")</f>
        <v/>
      </c>
      <c r="AL57" s="851" t="str">
        <f>IFERROR(__xludf.DUMMYFUNCTION("IF($CR57="""","""",IFERROR(($AD57/(QUERY(GOOGLEFINANCE($CR57,""price"",TODAY()-7),""SELECT Col2 label Col2 ''"")*$CU57)-1),""-""))"),"")</f>
        <v/>
      </c>
      <c r="AM57" s="851" t="str">
        <f>IFERROR(__xludf.DUMMYFUNCTION("IF($CR57="""","""",IFERROR(($AD57/(QUERY(GOOGLEFINANCE($CR57,""price"",TODAY()-14),""SELECT Col2 label Col2 ''"")*$CU57)-1),""-""))"),"")</f>
        <v/>
      </c>
      <c r="AN57" s="851" t="str">
        <f>IFERROR(__xludf.DUMMYFUNCTION("IF($CR57="""","""",IFERROR(($AD57/(QUERY(GOOGLEFINANCE($CR57,""price"",TODAY()-28),""SELECT Col2 label Col2 ''"")*$CU57)-1),""-""))"),"")</f>
        <v/>
      </c>
      <c r="AO57" s="851" t="str">
        <f>IFERROR(__xludf.DUMMYFUNCTION("IF($CR57="""","""",IFERROR(($AD57/(QUERY(GOOGLEFINANCE($CR57,""price"",TODAY()-$AQ$5),""SELECT Col2 label Col2 ''"")*$CU57)-1),""-""))"),"")</f>
        <v/>
      </c>
      <c r="AP57" s="852" t="str">
        <f>IFERROR(__xludf.DUMMYFUNCTION("IF($CR57="""","""",IFERROR(SPARKLINE(query(GOOGLEFINANCE($CR57,""price"",TODAY()-$AQ$5,TODAY(),1),""select Col2 label Col2 ''""),IF($AP$7=""Gráfico de barras"",{""charttype"",""column"";""highcolor"",""red""},{""chartype"",""line""}))))"),"")</f>
        <v/>
      </c>
      <c r="AQ57" s="144"/>
      <c r="AR57" s="853"/>
      <c r="AS57" s="854" t="str">
        <f>IF($CR57="","",IF(NOT('alocação'!$D$1),"off",IFERROR(VLOOKUP(CR57,BalanceAtivos,3,0),"NC")))</f>
        <v/>
      </c>
      <c r="AT57" s="855" t="str">
        <f>IF($CR57="","",IF(NOT('alocação'!$D$1),"off",IFERROR(VLOOKUP($CR57,BalanceAtivos,4,0)*$CU$5,"NC")))</f>
        <v/>
      </c>
      <c r="AU57" s="856" t="str">
        <f>IF($CR57="","",IF(NOT('alocação'!$D$1),"off",IFERROR(VLOOKUP($CR57,BalanceAtivos,5,0),"-")))</f>
        <v/>
      </c>
      <c r="AV57" s="856" t="str">
        <f>IF($CR57="","",IF(NOT('alocação'!$D$1),"off",IFERROR(VLOOKUP($CR57,BalanceAtivos,6,0),"-")))</f>
        <v/>
      </c>
      <c r="AW57" s="857"/>
      <c r="AX57" s="858" t="str">
        <f>IF($CR57="","",IF($E57="","SP",IFERROR(VLOOKUP($CR57,AtivosDados,MATCH("pm_atual",portfolio.!$A$3:CY$3,0),0)*$CU$5,0)))</f>
        <v/>
      </c>
      <c r="AY57" s="859" t="str">
        <f t="shared" si="2"/>
        <v/>
      </c>
      <c r="AZ57" s="858" t="str">
        <f>IF($CR57="","",IF($E57="","SP",SUMIF(portfolio.!$A$4:$A308,$CR57,portfolio.!$O$4:$O308)*$CU$5))</f>
        <v/>
      </c>
      <c r="BA57" s="858" t="str">
        <f>IF($CR57="","",IF($E57="","SP",SUMIF(portfolio.!$A$4:$A308,$CR57,portfolio.!$AN$4:$AN308)*$CU$5))</f>
        <v/>
      </c>
      <c r="BB57" s="860" t="str">
        <f>IF($CR57="","",IF($E57="","-",IFERROR($BA57/'portfólio'!$DG$63,"")))</f>
        <v/>
      </c>
      <c r="BC57" s="861" t="str">
        <f>IF($CR57="","",IF($E57="","-",SUMIF(portfolio.!$A$4:$A308,$CR57,portfolio.!$J$4:$J308)))</f>
        <v/>
      </c>
      <c r="BD57" s="862" t="str">
        <f>IF($CR57="","",IF($E57="","SP",SUMIF(portfolio.!$A$4:$A308,$CR57,portfolio.!$AQ$4:$AQ308)*$CU$5))</f>
        <v/>
      </c>
      <c r="BE57" s="850" t="str">
        <f t="shared" si="3"/>
        <v/>
      </c>
      <c r="BF57" s="862" t="str">
        <f>IF($CR57="","",IF($E57="","-",SUMIF(portfolio.!$A$4:$A308,$CR57,portfolio.!$AX$4:$AX308)*$CU$5))</f>
        <v/>
      </c>
      <c r="BG57" s="545"/>
      <c r="BH57" s="879" t="s">
        <v>123</v>
      </c>
      <c r="BI57" s="880" t="s">
        <v>123</v>
      </c>
      <c r="BJ57" s="863" t="str">
        <f>IFERROR(__xludf.DUMMYFUNCTION("IF(NOT($BL$4),"""",IF($CR57="""","""",IFERROR(query({GOOGLEFINANCE($CR57,""price"",IF($BI57=""-"",TODAY()-($AQ$5+5),$BI57),TODAY()-1)},""Select max(Col2) where Col1 is not null label max(Col2) ''"")*CU57,""-"")))"),"")</f>
        <v/>
      </c>
      <c r="BK57" s="881" t="s">
        <v>123</v>
      </c>
      <c r="BL57" s="882" t="s">
        <v>123</v>
      </c>
      <c r="BM57" s="442"/>
      <c r="BN57" s="867" t="str">
        <f>IFERROR(__xludf.DUMMYFUNCTION("IF(CR57="""","""",IF(OR(C57=""AÇÃO"",C57=""BDR""),IFERROR(QUERY({fundamentus.!$A$3:$U308},$CX$67&amp;"" where Col1='""&amp;CR57&amp;""' limit 1"",0)),IF(C57=""FII"",IFERROR(QUERY({fundsexplorer.!$A$2:$Z308},$CY$67&amp;"" where Col1='""&amp;CR57&amp;""' limit 1"",0)),"""")))"),"")</f>
        <v/>
      </c>
      <c r="BO57" s="867"/>
      <c r="BP57" s="867"/>
      <c r="BQ57" s="867"/>
      <c r="BR57" s="867"/>
      <c r="BS57" s="867"/>
      <c r="BT57" s="867"/>
      <c r="BU57" s="442"/>
      <c r="BV57" s="868" t="str">
        <f>IFERROR(__xludf.DUMMYFUNCTION("IF(OR(C57=""AÇÃO"",C57=""BDR""),IFERROR(GOOGLEFINANCE(CONCAT(""BVMF:"",CR57), ""marketcap"")/1000000,""NC""),"""")"),"")</f>
        <v/>
      </c>
      <c r="BW57" s="869" t="s">
        <v>123</v>
      </c>
      <c r="BX57" s="870" t="s">
        <v>123</v>
      </c>
      <c r="BY57" s="868" t="s">
        <v>123</v>
      </c>
      <c r="BZ57" s="870" t="s">
        <v>123</v>
      </c>
      <c r="CA57" s="868" t="s">
        <v>123</v>
      </c>
      <c r="CB57" s="868" t="s">
        <v>123</v>
      </c>
      <c r="CC57" s="868" t="s">
        <v>123</v>
      </c>
      <c r="CD57" s="868" t="str">
        <f>IFERROR(__xludf.DUMMYFUNCTION("IF(OR(C57=""AÇÃO"",C57=""BDR""),IFERROR(GOOGLEFINANCE(CONCAT(""BVMF:"",CR57), ""volumeavg"")/1000000,""NC""),"""")"),"")</f>
        <v/>
      </c>
      <c r="CE57" s="870" t="s">
        <v>123</v>
      </c>
      <c r="CF57" s="870" t="s">
        <v>123</v>
      </c>
      <c r="CG57" s="870" t="str">
        <f>IFERROR(__xludf.DUMMYFUNCTION("IF(OR(C57=""AÇÃO"",C57=""BDR""),IF(CF57=0,""SEM DY"",IFERROR(ImportXML(CONCAT(""http://www.guiainvest.com.br/raiox/default.aspx?sigla="",$CR57),""//*[@id='lbPayoutAtual']""),""NC"")),"""")"),"")</f>
        <v/>
      </c>
      <c r="CH57" s="870" t="s">
        <v>123</v>
      </c>
      <c r="CI57" s="545"/>
      <c r="CJ57" s="871" t="str">
        <f>IFERROR(__xludf.DUMMYFUNCTION("IF(OR(C57=""AÇÃO"",C57=""BDR""),IFERROR(GOOGLEFINANCE(CONCAT(""BVMF:"",CR57), ""eps""),""NC""),"""")"),"")</f>
        <v/>
      </c>
      <c r="CK57" s="442"/>
      <c r="CL57" s="871" t="str">
        <f>IFERROR(__xludf.DUMMYFUNCTION("IF(NOT($BL$4),"""",IF($CR57="""","""",IF($BC57="""","""",IFERROR(query({op.normal!$B$5:$F308},""select Col5, toDate(Col2) where Col1 =  '""&amp;$CR57&amp;""' and Col4 &gt; 0 and ((Col3 is null) or (Col3 = 'C')) and Col2 &gt;= date '""&amp;TEXT(TODAY()-$AQ$5,""yyyy-mm-dd"")"&amp;"&amp;""' order by Col2 desc limit 1 label toDate(Col2) ''"")))))"),"")</f>
        <v/>
      </c>
      <c r="CM57" s="872"/>
      <c r="CN57" s="883" t="s">
        <v>123</v>
      </c>
      <c r="CO57" s="874" t="s">
        <v>123</v>
      </c>
      <c r="CP57" s="766"/>
      <c r="CQ57" s="791"/>
      <c r="CR57" s="791"/>
      <c r="CT57" s="791" t="s">
        <v>123</v>
      </c>
      <c r="CU57" s="791" t="str">
        <f>IFERROR(__xludf.DUMMYFUNCTION("IF(CR57="""","""",IF(CT57=$C$4,1,GOOGLEFINANCE(CT57&amp;$C$4)))"),"")</f>
        <v/>
      </c>
    </row>
    <row r="58" ht="22.5" customHeight="1">
      <c r="A58" s="837">
        <v>50.0</v>
      </c>
      <c r="B58" s="838" t="s">
        <v>123</v>
      </c>
      <c r="C58" s="838" t="s">
        <v>123</v>
      </c>
      <c r="D58" s="839" t="s">
        <v>123</v>
      </c>
      <c r="E58" s="839" t="s">
        <v>123</v>
      </c>
      <c r="F58" s="839" t="s">
        <v>123</v>
      </c>
      <c r="G58" s="56"/>
      <c r="H58" s="884"/>
      <c r="I58" s="838"/>
      <c r="J58" s="838"/>
      <c r="K58" s="838"/>
      <c r="L58" s="838"/>
      <c r="M58" s="838"/>
      <c r="N58" s="838"/>
      <c r="O58" s="838"/>
      <c r="P58" s="838"/>
      <c r="Q58" s="838"/>
      <c r="R58" s="838"/>
      <c r="S58" s="838"/>
      <c r="T58" s="838"/>
      <c r="U58" s="838"/>
      <c r="V58" s="838"/>
      <c r="W58" s="838"/>
      <c r="X58" s="838"/>
      <c r="Z58" s="875" t="str">
        <f>IFERROR(__xludf.DUMMYFUNCTION("IF($CR58="""","""",IFERROR(query({CarteirasAtivos},""select Col4 where Col4 is not null and Col1 = '""&amp;$CR58&amp;""' limit 1"")*CU58,""NC""))"),"")</f>
        <v/>
      </c>
      <c r="AA58" s="876" t="str">
        <f>IFERROR(__xludf.DUMMYFUNCTION("IF($CR58="""","""",IFERROR(query({CarteirasAtivos},""select Col6 where Col4 is not null and Col1 = '""&amp;$CR58&amp;""' limit 1""),""NC""))"),"")</f>
        <v/>
      </c>
      <c r="AB58" s="877"/>
      <c r="AC58" s="878" t="s">
        <v>123</v>
      </c>
      <c r="AD58" s="845" t="str">
        <f>IF($CR58="","",IFERROR(VLOOKUP($CR58,ativos.!$C$3:$R308,MATCH("cotacao",ativos.!$C$2:CY$2,0),FALSE)*$CU$5,"atualizar"))</f>
        <v/>
      </c>
      <c r="AE58" s="846" t="str">
        <f>IFERROR(__xludf.DUMMYFUNCTION("IF($CR58="""","""",IFERROR(AVERAGE(query({CarteirasAtivos;CarteirasAtivosEncerrados},""select Col5 where Col5 is not null and Col1 = '""&amp;$CR58&amp;""' and Col10='SIM'""))*CU58,""NC""))"),"")</f>
        <v/>
      </c>
      <c r="AF58" s="847" t="str">
        <f t="shared" si="1"/>
        <v/>
      </c>
      <c r="AG58" s="442"/>
      <c r="AH58" s="848" t="str">
        <f>IFERROR(__xludf.DUMMYFUNCTION("IF($CR58="""","""",IFERROR(GOOGLEFINANCE($CR58,""low52"")*CU58,""-""))"),"")</f>
        <v/>
      </c>
      <c r="AI58" s="848" t="str">
        <f>IFERROR(__xludf.DUMMYFUNCTION("IF($CR58="""","""",IFERROR(GOOGLEFINANCE($CR58,""high52"")*CU58,""-""))"),"")</f>
        <v/>
      </c>
      <c r="AJ58" s="849" t="s">
        <v>123</v>
      </c>
      <c r="AK58" s="850" t="str">
        <f>IFERROR(__xludf.DUMMYFUNCTION("IF($CR58="""","""",IFERROR(GOOGLEFINANCE($CR58,""changepct"")/100,""-""))"),"")</f>
        <v/>
      </c>
      <c r="AL58" s="851" t="str">
        <f>IFERROR(__xludf.DUMMYFUNCTION("IF($CR58="""","""",IFERROR(($AD58/(QUERY(GOOGLEFINANCE($CR58,""price"",TODAY()-7),""SELECT Col2 label Col2 ''"")*$CU58)-1),""-""))"),"")</f>
        <v/>
      </c>
      <c r="AM58" s="851" t="str">
        <f>IFERROR(__xludf.DUMMYFUNCTION("IF($CR58="""","""",IFERROR(($AD58/(QUERY(GOOGLEFINANCE($CR58,""price"",TODAY()-14),""SELECT Col2 label Col2 ''"")*$CU58)-1),""-""))"),"")</f>
        <v/>
      </c>
      <c r="AN58" s="851" t="str">
        <f>IFERROR(__xludf.DUMMYFUNCTION("IF($CR58="""","""",IFERROR(($AD58/(QUERY(GOOGLEFINANCE($CR58,""price"",TODAY()-28),""SELECT Col2 label Col2 ''"")*$CU58)-1),""-""))"),"")</f>
        <v/>
      </c>
      <c r="AO58" s="851" t="str">
        <f>IFERROR(__xludf.DUMMYFUNCTION("IF($CR58="""","""",IFERROR(($AD58/(QUERY(GOOGLEFINANCE($CR58,""price"",TODAY()-$AQ$5),""SELECT Col2 label Col2 ''"")*$CU58)-1),""-""))"),"")</f>
        <v/>
      </c>
      <c r="AP58" s="852" t="str">
        <f>IFERROR(__xludf.DUMMYFUNCTION("IF($CR58="""","""",IFERROR(SPARKLINE(query(GOOGLEFINANCE($CR58,""price"",TODAY()-$AQ$5,TODAY(),1),""select Col2 label Col2 ''""),IF($AP$7=""Gráfico de barras"",{""charttype"",""column"";""highcolor"",""red""},{""chartype"",""line""}))))"),"")</f>
        <v/>
      </c>
      <c r="AQ58" s="144"/>
      <c r="AR58" s="853"/>
      <c r="AS58" s="854" t="str">
        <f>IF($CR58="","",IF(NOT('alocação'!$D$1),"off",IFERROR(VLOOKUP(CR58,BalanceAtivos,3,0),"NC")))</f>
        <v/>
      </c>
      <c r="AT58" s="855" t="str">
        <f>IF($CR58="","",IF(NOT('alocação'!$D$1),"off",IFERROR(VLOOKUP($CR58,BalanceAtivos,4,0)*$CU$5,"NC")))</f>
        <v/>
      </c>
      <c r="AU58" s="856" t="str">
        <f>IF($CR58="","",IF(NOT('alocação'!$D$1),"off",IFERROR(VLOOKUP($CR58,BalanceAtivos,5,0),"-")))</f>
        <v/>
      </c>
      <c r="AV58" s="856" t="str">
        <f>IF($CR58="","",IF(NOT('alocação'!$D$1),"off",IFERROR(VLOOKUP($CR58,BalanceAtivos,6,0),"-")))</f>
        <v/>
      </c>
      <c r="AW58" s="857"/>
      <c r="AX58" s="858" t="str">
        <f>IF($CR58="","",IF($E58="","SP",IFERROR(VLOOKUP($CR58,AtivosDados,MATCH("pm_atual",portfolio.!$A$3:CY$3,0),0)*$CU$5,0)))</f>
        <v/>
      </c>
      <c r="AY58" s="859" t="str">
        <f t="shared" si="2"/>
        <v/>
      </c>
      <c r="AZ58" s="858" t="str">
        <f>IF($CR58="","",IF($E58="","SP",SUMIF(portfolio.!$A$4:$A308,$CR58,portfolio.!$O$4:$O308)*$CU$5))</f>
        <v/>
      </c>
      <c r="BA58" s="858" t="str">
        <f>IF($CR58="","",IF($E58="","SP",SUMIF(portfolio.!$A$4:$A308,$CR58,portfolio.!$AN$4:$AN308)*$CU$5))</f>
        <v/>
      </c>
      <c r="BB58" s="860" t="str">
        <f>IF($CR58="","",IF($E58="","-",IFERROR($BA58/'portfólio'!$DG$63,"")))</f>
        <v/>
      </c>
      <c r="BC58" s="861" t="str">
        <f>IF($CR58="","",IF($E58="","-",SUMIF(portfolio.!$A$4:$A308,$CR58,portfolio.!$J$4:$J308)))</f>
        <v/>
      </c>
      <c r="BD58" s="862" t="str">
        <f>IF($CR58="","",IF($E58="","SP",SUMIF(portfolio.!$A$4:$A308,$CR58,portfolio.!$AQ$4:$AQ308)*$CU$5))</f>
        <v/>
      </c>
      <c r="BE58" s="850" t="str">
        <f t="shared" si="3"/>
        <v/>
      </c>
      <c r="BF58" s="862" t="str">
        <f>IF($CR58="","",IF($E58="","-",SUMIF(portfolio.!$A$4:$A308,$CR58,portfolio.!$AX$4:$AX308)*$CU$5))</f>
        <v/>
      </c>
      <c r="BG58" s="545"/>
      <c r="BH58" s="879" t="s">
        <v>123</v>
      </c>
      <c r="BI58" s="880" t="s">
        <v>123</v>
      </c>
      <c r="BJ58" s="863" t="str">
        <f>IFERROR(__xludf.DUMMYFUNCTION("IF(NOT($BL$4),"""",IF($CR58="""","""",IFERROR(query({GOOGLEFINANCE($CR58,""price"",IF($BI58=""-"",TODAY()-($AQ$5+5),$BI58),TODAY()-1)},""Select max(Col2) where Col1 is not null label max(Col2) ''"")*CU58,""-"")))"),"")</f>
        <v/>
      </c>
      <c r="BK58" s="881" t="s">
        <v>123</v>
      </c>
      <c r="BL58" s="882" t="s">
        <v>123</v>
      </c>
      <c r="BM58" s="442"/>
      <c r="BN58" s="867" t="str">
        <f>IFERROR(__xludf.DUMMYFUNCTION("IF(CR58="""","""",IF(OR(C58=""AÇÃO"",C58=""BDR""),IFERROR(QUERY({fundamentus.!$A$3:$U308},$CX$67&amp;"" where Col1='""&amp;CR58&amp;""' limit 1"",0)),IF(C58=""FII"",IFERROR(QUERY({fundsexplorer.!$A$2:$Z308},$CY$67&amp;"" where Col1='""&amp;CR58&amp;""' limit 1"",0)),"""")))"),"")</f>
        <v/>
      </c>
      <c r="BO58" s="867"/>
      <c r="BP58" s="867"/>
      <c r="BQ58" s="867"/>
      <c r="BR58" s="867"/>
      <c r="BS58" s="867"/>
      <c r="BT58" s="867"/>
      <c r="BU58" s="442"/>
      <c r="BV58" s="868" t="str">
        <f>IFERROR(__xludf.DUMMYFUNCTION("IF(OR(C58=""AÇÃO"",C58=""BDR""),IFERROR(GOOGLEFINANCE(CONCAT(""BVMF:"",CR58), ""marketcap"")/1000000,""NC""),"""")"),"")</f>
        <v/>
      </c>
      <c r="BW58" s="869" t="s">
        <v>123</v>
      </c>
      <c r="BX58" s="870" t="s">
        <v>123</v>
      </c>
      <c r="BY58" s="868" t="s">
        <v>123</v>
      </c>
      <c r="BZ58" s="870" t="s">
        <v>123</v>
      </c>
      <c r="CA58" s="868" t="s">
        <v>123</v>
      </c>
      <c r="CB58" s="868" t="s">
        <v>123</v>
      </c>
      <c r="CC58" s="868" t="s">
        <v>123</v>
      </c>
      <c r="CD58" s="868" t="str">
        <f>IFERROR(__xludf.DUMMYFUNCTION("IF(OR(C58=""AÇÃO"",C58=""BDR""),IFERROR(GOOGLEFINANCE(CONCAT(""BVMF:"",CR58), ""volumeavg"")/1000000,""NC""),"""")"),"")</f>
        <v/>
      </c>
      <c r="CE58" s="870" t="s">
        <v>123</v>
      </c>
      <c r="CF58" s="870" t="s">
        <v>123</v>
      </c>
      <c r="CG58" s="870" t="str">
        <f>IFERROR(__xludf.DUMMYFUNCTION("IF(OR(C58=""AÇÃO"",C58=""BDR""),IF(CF58=0,""SEM DY"",IFERROR(ImportXML(CONCAT(""http://www.guiainvest.com.br/raiox/default.aspx?sigla="",$CR58),""//*[@id='lbPayoutAtual']""),""NC"")),"""")"),"")</f>
        <v/>
      </c>
      <c r="CH58" s="870" t="s">
        <v>123</v>
      </c>
      <c r="CI58" s="545"/>
      <c r="CJ58" s="871" t="str">
        <f>IFERROR(__xludf.DUMMYFUNCTION("IF(OR(C58=""AÇÃO"",C58=""BDR""),IFERROR(GOOGLEFINANCE(CONCAT(""BVMF:"",CR58), ""eps""),""NC""),"""")"),"")</f>
        <v/>
      </c>
      <c r="CK58" s="442"/>
      <c r="CL58" s="871" t="str">
        <f>IFERROR(__xludf.DUMMYFUNCTION("IF(NOT($BL$4),"""",IF($CR58="""","""",IF($BC58="""","""",IFERROR(query({op.normal!$B$5:$F308},""select Col5, toDate(Col2) where Col1 =  '""&amp;$CR58&amp;""' and Col4 &gt; 0 and ((Col3 is null) or (Col3 = 'C')) and Col2 &gt;= date '""&amp;TEXT(TODAY()-$AQ$5,""yyyy-mm-dd"")"&amp;"&amp;""' order by Col2 desc limit 1 label toDate(Col2) ''"")))))"),"")</f>
        <v/>
      </c>
      <c r="CM58" s="872"/>
      <c r="CN58" s="883" t="s">
        <v>123</v>
      </c>
      <c r="CO58" s="874" t="s">
        <v>123</v>
      </c>
      <c r="CP58" s="766"/>
      <c r="CQ58" s="791"/>
      <c r="CR58" s="791"/>
      <c r="CT58" s="791" t="s">
        <v>123</v>
      </c>
      <c r="CU58" s="791" t="str">
        <f>IFERROR(__xludf.DUMMYFUNCTION("IF(CR58="""","""",IF(CT58=$C$4,1,GOOGLEFINANCE(CT58&amp;$C$4)))"),"")</f>
        <v/>
      </c>
      <c r="CX58" s="836" t="s">
        <v>607</v>
      </c>
      <c r="CY58" s="836" t="s">
        <v>608</v>
      </c>
    </row>
    <row r="59" ht="22.5" customHeight="1">
      <c r="A59" s="837">
        <v>51.0</v>
      </c>
      <c r="B59" s="838" t="s">
        <v>123</v>
      </c>
      <c r="C59" s="838" t="s">
        <v>123</v>
      </c>
      <c r="D59" s="839" t="s">
        <v>123</v>
      </c>
      <c r="E59" s="839" t="s">
        <v>123</v>
      </c>
      <c r="F59" s="839" t="s">
        <v>123</v>
      </c>
      <c r="G59" s="56"/>
      <c r="H59" s="884"/>
      <c r="I59" s="838"/>
      <c r="J59" s="838"/>
      <c r="K59" s="838"/>
      <c r="L59" s="838"/>
      <c r="M59" s="838"/>
      <c r="N59" s="838"/>
      <c r="O59" s="838"/>
      <c r="P59" s="838"/>
      <c r="Q59" s="838"/>
      <c r="R59" s="838"/>
      <c r="S59" s="838"/>
      <c r="T59" s="838"/>
      <c r="U59" s="838"/>
      <c r="V59" s="838"/>
      <c r="W59" s="838"/>
      <c r="X59" s="838"/>
      <c r="Z59" s="875" t="str">
        <f>IFERROR(__xludf.DUMMYFUNCTION("IF($CR59="""","""",IFERROR(query({CarteirasAtivos},""select Col4 where Col4 is not null and Col1 = '""&amp;$CR59&amp;""' limit 1"")*CU59,""NC""))"),"")</f>
        <v/>
      </c>
      <c r="AA59" s="876" t="str">
        <f>IFERROR(__xludf.DUMMYFUNCTION("IF($CR59="""","""",IFERROR(query({CarteirasAtivos},""select Col6 where Col4 is not null and Col1 = '""&amp;$CR59&amp;""' limit 1""),""NC""))"),"")</f>
        <v/>
      </c>
      <c r="AB59" s="877"/>
      <c r="AC59" s="878" t="s">
        <v>123</v>
      </c>
      <c r="AD59" s="845" t="str">
        <f>IF($CR59="","",IFERROR(VLOOKUP($CR59,ativos.!$C$3:$R308,MATCH("cotacao",ativos.!$C$2:CY$2,0),FALSE)*$CU$5,"atualizar"))</f>
        <v/>
      </c>
      <c r="AE59" s="846" t="str">
        <f>IFERROR(__xludf.DUMMYFUNCTION("IF($CR59="""","""",IFERROR(AVERAGE(query({CarteirasAtivos;CarteirasAtivosEncerrados},""select Col5 where Col5 is not null and Col1 = '""&amp;$CR59&amp;""' and Col10='SIM'""))*CU59,""NC""))"),"")</f>
        <v/>
      </c>
      <c r="AF59" s="847" t="str">
        <f t="shared" si="1"/>
        <v/>
      </c>
      <c r="AG59" s="442"/>
      <c r="AH59" s="848" t="str">
        <f>IFERROR(__xludf.DUMMYFUNCTION("IF($CR59="""","""",IFERROR(GOOGLEFINANCE($CR59,""low52"")*CU59,""-""))"),"")</f>
        <v/>
      </c>
      <c r="AI59" s="848" t="str">
        <f>IFERROR(__xludf.DUMMYFUNCTION("IF($CR59="""","""",IFERROR(GOOGLEFINANCE($CR59,""high52"")*CU59,""-""))"),"")</f>
        <v/>
      </c>
      <c r="AJ59" s="849" t="s">
        <v>123</v>
      </c>
      <c r="AK59" s="850" t="str">
        <f>IFERROR(__xludf.DUMMYFUNCTION("IF($CR59="""","""",IFERROR(GOOGLEFINANCE($CR59,""changepct"")/100,""-""))"),"")</f>
        <v/>
      </c>
      <c r="AL59" s="851" t="str">
        <f>IFERROR(__xludf.DUMMYFUNCTION("IF($CR59="""","""",IFERROR(($AD59/(QUERY(GOOGLEFINANCE($CR59,""price"",TODAY()-7),""SELECT Col2 label Col2 ''"")*$CU59)-1),""-""))"),"")</f>
        <v/>
      </c>
      <c r="AM59" s="851" t="str">
        <f>IFERROR(__xludf.DUMMYFUNCTION("IF($CR59="""","""",IFERROR(($AD59/(QUERY(GOOGLEFINANCE($CR59,""price"",TODAY()-14),""SELECT Col2 label Col2 ''"")*$CU59)-1),""-""))"),"")</f>
        <v/>
      </c>
      <c r="AN59" s="851" t="str">
        <f>IFERROR(__xludf.DUMMYFUNCTION("IF($CR59="""","""",IFERROR(($AD59/(QUERY(GOOGLEFINANCE($CR59,""price"",TODAY()-28),""SELECT Col2 label Col2 ''"")*$CU59)-1),""-""))"),"")</f>
        <v/>
      </c>
      <c r="AO59" s="851" t="str">
        <f>IFERROR(__xludf.DUMMYFUNCTION("IF($CR59="""","""",IFERROR(($AD59/(QUERY(GOOGLEFINANCE($CR59,""price"",TODAY()-$AQ$5),""SELECT Col2 label Col2 ''"")*$CU59)-1),""-""))"),"")</f>
        <v/>
      </c>
      <c r="AP59" s="852" t="str">
        <f>IFERROR(__xludf.DUMMYFUNCTION("IF($CR59="""","""",IFERROR(SPARKLINE(query(GOOGLEFINANCE($CR59,""price"",TODAY()-$AQ$5,TODAY(),1),""select Col2 label Col2 ''""),IF($AP$7=""Gráfico de barras"",{""charttype"",""column"";""highcolor"",""red""},{""chartype"",""line""}))))"),"")</f>
        <v/>
      </c>
      <c r="AQ59" s="144"/>
      <c r="AR59" s="853"/>
      <c r="AS59" s="854" t="str">
        <f>IF($CR59="","",IF(NOT('alocação'!$D$1),"off",IFERROR(VLOOKUP(CR59,BalanceAtivos,3,0),"NC")))</f>
        <v/>
      </c>
      <c r="AT59" s="855" t="str">
        <f>IF($CR59="","",IF(NOT('alocação'!$D$1),"off",IFERROR(VLOOKUP($CR59,BalanceAtivos,4,0)*$CU$5,"NC")))</f>
        <v/>
      </c>
      <c r="AU59" s="856" t="str">
        <f>IF($CR59="","",IF(NOT('alocação'!$D$1),"off",IFERROR(VLOOKUP($CR59,BalanceAtivos,5,0),"-")))</f>
        <v/>
      </c>
      <c r="AV59" s="856" t="str">
        <f>IF($CR59="","",IF(NOT('alocação'!$D$1),"off",IFERROR(VLOOKUP($CR59,BalanceAtivos,6,0),"-")))</f>
        <v/>
      </c>
      <c r="AW59" s="857"/>
      <c r="AX59" s="858" t="str">
        <f>IF($CR59="","",IF($E59="","SP",IFERROR(VLOOKUP($CR59,AtivosDados,MATCH("pm_atual",portfolio.!$A$3:CY$3,0),0)*$CU$5,0)))</f>
        <v/>
      </c>
      <c r="AY59" s="859" t="str">
        <f t="shared" si="2"/>
        <v/>
      </c>
      <c r="AZ59" s="858" t="str">
        <f>IF($CR59="","",IF($E59="","SP",SUMIF(portfolio.!$A$4:$A308,$CR59,portfolio.!$O$4:$O308)*$CU$5))</f>
        <v/>
      </c>
      <c r="BA59" s="858" t="str">
        <f>IF($CR59="","",IF($E59="","SP",SUMIF(portfolio.!$A$4:$A308,$CR59,portfolio.!$AN$4:$AN308)*$CU$5))</f>
        <v/>
      </c>
      <c r="BB59" s="860" t="str">
        <f>IF($CR59="","",IF($E59="","-",IFERROR($BA59/'portfólio'!$DG$63,"")))</f>
        <v/>
      </c>
      <c r="BC59" s="861" t="str">
        <f>IF($CR59="","",IF($E59="","-",SUMIF(portfolio.!$A$4:$A308,$CR59,portfolio.!$J$4:$J308)))</f>
        <v/>
      </c>
      <c r="BD59" s="862" t="str">
        <f>IF($CR59="","",IF($E59="","SP",SUMIF(portfolio.!$A$4:$A308,$CR59,portfolio.!$AQ$4:$AQ308)*$CU$5))</f>
        <v/>
      </c>
      <c r="BE59" s="850" t="str">
        <f t="shared" si="3"/>
        <v/>
      </c>
      <c r="BF59" s="862" t="str">
        <f>IF($CR59="","",IF($E59="","-",SUMIF(portfolio.!$A$4:$A308,$CR59,portfolio.!$AX$4:$AX308)*$CU$5))</f>
        <v/>
      </c>
      <c r="BG59" s="545"/>
      <c r="BH59" s="879" t="s">
        <v>123</v>
      </c>
      <c r="BI59" s="880" t="s">
        <v>123</v>
      </c>
      <c r="BJ59" s="863" t="str">
        <f>IFERROR(__xludf.DUMMYFUNCTION("IF(NOT($BL$4),"""",IF($CR59="""","""",IFERROR(query({GOOGLEFINANCE($CR59,""price"",IF($BI59=""-"",TODAY()-($AQ$5+5),$BI59),TODAY()-1)},""Select max(Col2) where Col1 is not null label max(Col2) ''"")*CU59,""-"")))"),"")</f>
        <v/>
      </c>
      <c r="BK59" s="881" t="s">
        <v>123</v>
      </c>
      <c r="BL59" s="882" t="s">
        <v>123</v>
      </c>
      <c r="BM59" s="442"/>
      <c r="BN59" s="867" t="str">
        <f>IFERROR(__xludf.DUMMYFUNCTION("IF(CR59="""","""",IF(OR(C59=""AÇÃO"",C59=""BDR""),IFERROR(QUERY({fundamentus.!$A$3:$U308},$CX$67&amp;"" where Col1='""&amp;CR59&amp;""' limit 1"",0)),IF(C59=""FII"",IFERROR(QUERY({fundsexplorer.!$A$2:$Z308},$CY$67&amp;"" where Col1='""&amp;CR59&amp;""' limit 1"",0)),"""")))"),"")</f>
        <v/>
      </c>
      <c r="BO59" s="867"/>
      <c r="BP59" s="867"/>
      <c r="BQ59" s="867"/>
      <c r="BR59" s="867"/>
      <c r="BS59" s="867"/>
      <c r="BT59" s="867"/>
      <c r="BU59" s="442"/>
      <c r="BV59" s="868" t="str">
        <f>IFERROR(__xludf.DUMMYFUNCTION("IF(OR(C59=""AÇÃO"",C59=""BDR""),IFERROR(GOOGLEFINANCE(CONCAT(""BVMF:"",CR59), ""marketcap"")/1000000,""NC""),"""")"),"")</f>
        <v/>
      </c>
      <c r="BW59" s="869" t="s">
        <v>123</v>
      </c>
      <c r="BX59" s="870" t="s">
        <v>123</v>
      </c>
      <c r="BY59" s="868" t="s">
        <v>123</v>
      </c>
      <c r="BZ59" s="870" t="s">
        <v>123</v>
      </c>
      <c r="CA59" s="868" t="s">
        <v>123</v>
      </c>
      <c r="CB59" s="868" t="s">
        <v>123</v>
      </c>
      <c r="CC59" s="868" t="s">
        <v>123</v>
      </c>
      <c r="CD59" s="868" t="str">
        <f>IFERROR(__xludf.DUMMYFUNCTION("IF(OR(C59=""AÇÃO"",C59=""BDR""),IFERROR(GOOGLEFINANCE(CONCAT(""BVMF:"",CR59), ""volumeavg"")/1000000,""NC""),"""")"),"")</f>
        <v/>
      </c>
      <c r="CE59" s="870" t="s">
        <v>123</v>
      </c>
      <c r="CF59" s="870" t="s">
        <v>123</v>
      </c>
      <c r="CG59" s="870" t="str">
        <f>IFERROR(__xludf.DUMMYFUNCTION("IF(OR(C59=""AÇÃO"",C59=""BDR""),IF(CF59=0,""SEM DY"",IFERROR(ImportXML(CONCAT(""http://www.guiainvest.com.br/raiox/default.aspx?sigla="",$CR59),""//*[@id='lbPayoutAtual']""),""NC"")),"""")"),"")</f>
        <v/>
      </c>
      <c r="CH59" s="870" t="s">
        <v>123</v>
      </c>
      <c r="CI59" s="545"/>
      <c r="CJ59" s="871" t="str">
        <f>IFERROR(__xludf.DUMMYFUNCTION("IF(OR(C59=""AÇÃO"",C59=""BDR""),IFERROR(GOOGLEFINANCE(CONCAT(""BVMF:"",CR59), ""eps""),""NC""),"""")"),"")</f>
        <v/>
      </c>
      <c r="CK59" s="442"/>
      <c r="CL59" s="871" t="str">
        <f>IFERROR(__xludf.DUMMYFUNCTION("IF(NOT($BL$4),"""",IF($CR59="""","""",IF($BC59="""","""",IFERROR(query({op.normal!$B$5:$F308},""select Col5, toDate(Col2) where Col1 =  '""&amp;$CR59&amp;""' and Col4 &gt; 0 and ((Col3 is null) or (Col3 = 'C')) and Col2 &gt;= date '""&amp;TEXT(TODAY()-$AQ$5,""yyyy-mm-dd"")"&amp;"&amp;""' order by Col2 desc limit 1 label toDate(Col2) ''"")))))"),"")</f>
        <v/>
      </c>
      <c r="CM59" s="872"/>
      <c r="CN59" s="883" t="s">
        <v>123</v>
      </c>
      <c r="CO59" s="874" t="s">
        <v>123</v>
      </c>
      <c r="CP59" s="766"/>
      <c r="CQ59" s="791"/>
      <c r="CR59" s="791"/>
      <c r="CT59" s="791" t="s">
        <v>123</v>
      </c>
      <c r="CU59" s="791" t="str">
        <f>IFERROR(__xludf.DUMMYFUNCTION("IF(CR59="""","""",IF(CT59=$C$4,1,GOOGLEFINANCE(CT59&amp;$C$4)))"),"")</f>
        <v/>
      </c>
      <c r="CX59" s="836" t="str">
        <f>VLOOKUP(BN5,$CX$11:$CY$29,2,FALSE)</f>
        <v>Col3</v>
      </c>
      <c r="CY59" s="791" t="str">
        <f>VLOOKUP(BN7,$CX$34:$CY$56,2,FALSE)</f>
        <v>Col19</v>
      </c>
    </row>
    <row r="60" ht="22.5" customHeight="1">
      <c r="A60" s="837">
        <v>52.0</v>
      </c>
      <c r="B60" s="838" t="s">
        <v>123</v>
      </c>
      <c r="C60" s="838" t="s">
        <v>123</v>
      </c>
      <c r="D60" s="839" t="s">
        <v>123</v>
      </c>
      <c r="E60" s="839" t="s">
        <v>123</v>
      </c>
      <c r="F60" s="839" t="s">
        <v>123</v>
      </c>
      <c r="G60" s="56"/>
      <c r="H60" s="884"/>
      <c r="I60" s="838"/>
      <c r="J60" s="838"/>
      <c r="K60" s="838"/>
      <c r="L60" s="838"/>
      <c r="M60" s="838"/>
      <c r="N60" s="838"/>
      <c r="O60" s="838"/>
      <c r="P60" s="838"/>
      <c r="Q60" s="838"/>
      <c r="R60" s="838"/>
      <c r="S60" s="838"/>
      <c r="T60" s="838"/>
      <c r="U60" s="838"/>
      <c r="V60" s="838"/>
      <c r="W60" s="838"/>
      <c r="X60" s="838"/>
      <c r="Z60" s="875" t="str">
        <f>IFERROR(__xludf.DUMMYFUNCTION("IF($CR60="""","""",IFERROR(query({CarteirasAtivos},""select Col4 where Col4 is not null and Col1 = '""&amp;$CR60&amp;""' limit 1"")*CU60,""NC""))"),"")</f>
        <v/>
      </c>
      <c r="AA60" s="876" t="str">
        <f>IFERROR(__xludf.DUMMYFUNCTION("IF($CR60="""","""",IFERROR(query({CarteirasAtivos},""select Col6 where Col4 is not null and Col1 = '""&amp;$CR60&amp;""' limit 1""),""NC""))"),"")</f>
        <v/>
      </c>
      <c r="AB60" s="877"/>
      <c r="AC60" s="878" t="s">
        <v>123</v>
      </c>
      <c r="AD60" s="845" t="str">
        <f>IF($CR60="","",IFERROR(VLOOKUP($CR60,ativos.!$C$3:$R308,MATCH("cotacao",ativos.!$C$2:CY$2,0),FALSE)*$CU$5,"atualizar"))</f>
        <v/>
      </c>
      <c r="AE60" s="846" t="str">
        <f>IFERROR(__xludf.DUMMYFUNCTION("IF($CR60="""","""",IFERROR(AVERAGE(query({CarteirasAtivos;CarteirasAtivosEncerrados},""select Col5 where Col5 is not null and Col1 = '""&amp;$CR60&amp;""' and Col10='SIM'""))*CU60,""NC""))"),"")</f>
        <v/>
      </c>
      <c r="AF60" s="847" t="str">
        <f t="shared" si="1"/>
        <v/>
      </c>
      <c r="AG60" s="442"/>
      <c r="AH60" s="848" t="str">
        <f>IFERROR(__xludf.DUMMYFUNCTION("IF($CR60="""","""",IFERROR(GOOGLEFINANCE($CR60,""low52"")*CU60,""-""))"),"")</f>
        <v/>
      </c>
      <c r="AI60" s="848" t="str">
        <f>IFERROR(__xludf.DUMMYFUNCTION("IF($CR60="""","""",IFERROR(GOOGLEFINANCE($CR60,""high52"")*CU60,""-""))"),"")</f>
        <v/>
      </c>
      <c r="AJ60" s="849" t="s">
        <v>123</v>
      </c>
      <c r="AK60" s="850" t="str">
        <f>IFERROR(__xludf.DUMMYFUNCTION("IF($CR60="""","""",IFERROR(GOOGLEFINANCE($CR60,""changepct"")/100,""-""))"),"")</f>
        <v/>
      </c>
      <c r="AL60" s="851" t="str">
        <f>IFERROR(__xludf.DUMMYFUNCTION("IF($CR60="""","""",IFERROR(($AD60/(QUERY(GOOGLEFINANCE($CR60,""price"",TODAY()-7),""SELECT Col2 label Col2 ''"")*$CU60)-1),""-""))"),"")</f>
        <v/>
      </c>
      <c r="AM60" s="851" t="str">
        <f>IFERROR(__xludf.DUMMYFUNCTION("IF($CR60="""","""",IFERROR(($AD60/(QUERY(GOOGLEFINANCE($CR60,""price"",TODAY()-14),""SELECT Col2 label Col2 ''"")*$CU60)-1),""-""))"),"")</f>
        <v/>
      </c>
      <c r="AN60" s="851" t="str">
        <f>IFERROR(__xludf.DUMMYFUNCTION("IF($CR60="""","""",IFERROR(($AD60/(QUERY(GOOGLEFINANCE($CR60,""price"",TODAY()-28),""SELECT Col2 label Col2 ''"")*$CU60)-1),""-""))"),"")</f>
        <v/>
      </c>
      <c r="AO60" s="851" t="str">
        <f>IFERROR(__xludf.DUMMYFUNCTION("IF($CR60="""","""",IFERROR(($AD60/(QUERY(GOOGLEFINANCE($CR60,""price"",TODAY()-$AQ$5),""SELECT Col2 label Col2 ''"")*$CU60)-1),""-""))"),"")</f>
        <v/>
      </c>
      <c r="AP60" s="852" t="str">
        <f>IFERROR(__xludf.DUMMYFUNCTION("IF($CR60="""","""",IFERROR(SPARKLINE(query(GOOGLEFINANCE($CR60,""price"",TODAY()-$AQ$5,TODAY(),1),""select Col2 label Col2 ''""),IF($AP$7=""Gráfico de barras"",{""charttype"",""column"";""highcolor"",""red""},{""chartype"",""line""}))))"),"")</f>
        <v/>
      </c>
      <c r="AQ60" s="144"/>
      <c r="AR60" s="853"/>
      <c r="AS60" s="854" t="str">
        <f>IF($CR60="","",IF(NOT('alocação'!$D$1),"off",IFERROR(VLOOKUP(CR60,BalanceAtivos,3,0),"NC")))</f>
        <v/>
      </c>
      <c r="AT60" s="855" t="str">
        <f>IF($CR60="","",IF(NOT('alocação'!$D$1),"off",IFERROR(VLOOKUP($CR60,BalanceAtivos,4,0)*$CU$5,"NC")))</f>
        <v/>
      </c>
      <c r="AU60" s="856" t="str">
        <f>IF($CR60="","",IF(NOT('alocação'!$D$1),"off",IFERROR(VLOOKUP($CR60,BalanceAtivos,5,0),"-")))</f>
        <v/>
      </c>
      <c r="AV60" s="856" t="str">
        <f>IF($CR60="","",IF(NOT('alocação'!$D$1),"off",IFERROR(VLOOKUP($CR60,BalanceAtivos,6,0),"-")))</f>
        <v/>
      </c>
      <c r="AW60" s="857"/>
      <c r="AX60" s="858" t="str">
        <f>IF($CR60="","",IF($E60="","SP",IFERROR(VLOOKUP($CR60,AtivosDados,MATCH("pm_atual",portfolio.!$A$3:CY$3,0),0)*$CU$5,0)))</f>
        <v/>
      </c>
      <c r="AY60" s="859" t="str">
        <f t="shared" si="2"/>
        <v/>
      </c>
      <c r="AZ60" s="858" t="str">
        <f>IF($CR60="","",IF($E60="","SP",SUMIF(portfolio.!$A$4:$A308,$CR60,portfolio.!$O$4:$O308)*$CU$5))</f>
        <v/>
      </c>
      <c r="BA60" s="858" t="str">
        <f>IF($CR60="","",IF($E60="","SP",SUMIF(portfolio.!$A$4:$A308,$CR60,portfolio.!$AN$4:$AN308)*$CU$5))</f>
        <v/>
      </c>
      <c r="BB60" s="860" t="str">
        <f>IF($CR60="","",IF($E60="","-",IFERROR($BA60/'portfólio'!$DG$63,"")))</f>
        <v/>
      </c>
      <c r="BC60" s="861" t="str">
        <f>IF($CR60="","",IF($E60="","-",SUMIF(portfolio.!$A$4:$A308,$CR60,portfolio.!$J$4:$J308)))</f>
        <v/>
      </c>
      <c r="BD60" s="862" t="str">
        <f>IF($CR60="","",IF($E60="","SP",SUMIF(portfolio.!$A$4:$A308,$CR60,portfolio.!$AQ$4:$AQ308)*$CU$5))</f>
        <v/>
      </c>
      <c r="BE60" s="850" t="str">
        <f t="shared" si="3"/>
        <v/>
      </c>
      <c r="BF60" s="862" t="str">
        <f>IF($CR60="","",IF($E60="","-",SUMIF(portfolio.!$A$4:$A308,$CR60,portfolio.!$AX$4:$AX308)*$CU$5))</f>
        <v/>
      </c>
      <c r="BG60" s="545"/>
      <c r="BH60" s="879" t="s">
        <v>123</v>
      </c>
      <c r="BI60" s="880" t="s">
        <v>123</v>
      </c>
      <c r="BJ60" s="863" t="str">
        <f>IFERROR(__xludf.DUMMYFUNCTION("IF(NOT($BL$4),"""",IF($CR60="""","""",IFERROR(query({GOOGLEFINANCE($CR60,""price"",IF($BI60=""-"",TODAY()-($AQ$5+5),$BI60),TODAY()-1)},""Select max(Col2) where Col1 is not null label max(Col2) ''"")*CU60,""-"")))"),"")</f>
        <v/>
      </c>
      <c r="BK60" s="881" t="s">
        <v>123</v>
      </c>
      <c r="BL60" s="882" t="s">
        <v>123</v>
      </c>
      <c r="BM60" s="442"/>
      <c r="BN60" s="867" t="str">
        <f>IFERROR(__xludf.DUMMYFUNCTION("IF(CR60="""","""",IF(OR(C60=""AÇÃO"",C60=""BDR""),IFERROR(QUERY({fundamentus.!$A$3:$U308},$CX$67&amp;"" where Col1='""&amp;CR60&amp;""' limit 1"",0)),IF(C60=""FII"",IFERROR(QUERY({fundsexplorer.!$A$2:$Z308},$CY$67&amp;"" where Col1='""&amp;CR60&amp;""' limit 1"",0)),"""")))"),"")</f>
        <v/>
      </c>
      <c r="BO60" s="867"/>
      <c r="BP60" s="867"/>
      <c r="BQ60" s="867"/>
      <c r="BR60" s="867"/>
      <c r="BS60" s="867"/>
      <c r="BT60" s="867"/>
      <c r="BU60" s="442"/>
      <c r="BV60" s="868" t="str">
        <f>IFERROR(__xludf.DUMMYFUNCTION("IF(OR(C60=""AÇÃO"",C60=""BDR""),IFERROR(GOOGLEFINANCE(CONCAT(""BVMF:"",CR60), ""marketcap"")/1000000,""NC""),"""")"),"")</f>
        <v/>
      </c>
      <c r="BW60" s="869" t="s">
        <v>123</v>
      </c>
      <c r="BX60" s="870" t="s">
        <v>123</v>
      </c>
      <c r="BY60" s="868" t="s">
        <v>123</v>
      </c>
      <c r="BZ60" s="870" t="s">
        <v>123</v>
      </c>
      <c r="CA60" s="868" t="s">
        <v>123</v>
      </c>
      <c r="CB60" s="868" t="s">
        <v>123</v>
      </c>
      <c r="CC60" s="868" t="s">
        <v>123</v>
      </c>
      <c r="CD60" s="868" t="str">
        <f>IFERROR(__xludf.DUMMYFUNCTION("IF(OR(C60=""AÇÃO"",C60=""BDR""),IFERROR(GOOGLEFINANCE(CONCAT(""BVMF:"",CR60), ""volumeavg"")/1000000,""NC""),"""")"),"")</f>
        <v/>
      </c>
      <c r="CE60" s="870" t="s">
        <v>123</v>
      </c>
      <c r="CF60" s="870" t="s">
        <v>123</v>
      </c>
      <c r="CG60" s="870" t="str">
        <f>IFERROR(__xludf.DUMMYFUNCTION("IF(OR(C60=""AÇÃO"",C60=""BDR""),IF(CF60=0,""SEM DY"",IFERROR(ImportXML(CONCAT(""http://www.guiainvest.com.br/raiox/default.aspx?sigla="",$CR60),""//*[@id='lbPayoutAtual']""),""NC"")),"""")"),"")</f>
        <v/>
      </c>
      <c r="CH60" s="870" t="s">
        <v>123</v>
      </c>
      <c r="CI60" s="545"/>
      <c r="CJ60" s="871" t="str">
        <f>IFERROR(__xludf.DUMMYFUNCTION("IF(OR(C60=""AÇÃO"",C60=""BDR""),IFERROR(GOOGLEFINANCE(CONCAT(""BVMF:"",CR60), ""eps""),""NC""),"""")"),"")</f>
        <v/>
      </c>
      <c r="CK60" s="442"/>
      <c r="CL60" s="871" t="str">
        <f>IFERROR(__xludf.DUMMYFUNCTION("IF(NOT($BL$4),"""",IF($CR60="""","""",IF($BC60="""","""",IFERROR(query({op.normal!$B$5:$F308},""select Col5, toDate(Col2) where Col1 =  '""&amp;$CR60&amp;""' and Col4 &gt; 0 and ((Col3 is null) or (Col3 = 'C')) and Col2 &gt;= date '""&amp;TEXT(TODAY()-$AQ$5,""yyyy-mm-dd"")"&amp;"&amp;""' order by Col2 desc limit 1 label toDate(Col2) ''"")))))"),"")</f>
        <v/>
      </c>
      <c r="CM60" s="872"/>
      <c r="CN60" s="883" t="s">
        <v>123</v>
      </c>
      <c r="CO60" s="874" t="s">
        <v>123</v>
      </c>
      <c r="CP60" s="766"/>
      <c r="CQ60" s="791"/>
      <c r="CR60" s="791"/>
      <c r="CT60" s="791" t="s">
        <v>123</v>
      </c>
      <c r="CU60" s="791" t="str">
        <f>IFERROR(__xludf.DUMMYFUNCTION("IF(CR60="""","""",IF(CT60=$C$4,1,GOOGLEFINANCE(CT60&amp;$C$4)))"),"")</f>
        <v/>
      </c>
      <c r="CX60" s="836" t="str">
        <f>VLOOKUP(BO5,$CX$11:$CY$29,2,FALSE)</f>
        <v>Col17</v>
      </c>
      <c r="CY60" s="791" t="str">
        <f>VLOOKUP(BO7,$CX$34:$CY$56,2,FALSE)</f>
        <v>Col6</v>
      </c>
    </row>
    <row r="61" ht="22.5" customHeight="1">
      <c r="A61" s="837">
        <v>53.0</v>
      </c>
      <c r="B61" s="838" t="s">
        <v>123</v>
      </c>
      <c r="C61" s="838" t="s">
        <v>123</v>
      </c>
      <c r="D61" s="839" t="s">
        <v>123</v>
      </c>
      <c r="E61" s="839" t="s">
        <v>123</v>
      </c>
      <c r="F61" s="839" t="s">
        <v>123</v>
      </c>
      <c r="G61" s="56"/>
      <c r="H61" s="884"/>
      <c r="I61" s="838"/>
      <c r="J61" s="838"/>
      <c r="K61" s="838"/>
      <c r="L61" s="838"/>
      <c r="M61" s="838"/>
      <c r="N61" s="838"/>
      <c r="O61" s="838"/>
      <c r="P61" s="838"/>
      <c r="Q61" s="838"/>
      <c r="R61" s="838"/>
      <c r="S61" s="838"/>
      <c r="T61" s="838"/>
      <c r="U61" s="838"/>
      <c r="V61" s="838"/>
      <c r="W61" s="838"/>
      <c r="X61" s="838"/>
      <c r="Z61" s="875" t="str">
        <f>IFERROR(__xludf.DUMMYFUNCTION("IF($CR61="""","""",IFERROR(query({CarteirasAtivos},""select Col4 where Col4 is not null and Col1 = '""&amp;$CR61&amp;""' limit 1"")*CU61,""NC""))"),"")</f>
        <v/>
      </c>
      <c r="AA61" s="876" t="str">
        <f>IFERROR(__xludf.DUMMYFUNCTION("IF($CR61="""","""",IFERROR(query({CarteirasAtivos},""select Col6 where Col4 is not null and Col1 = '""&amp;$CR61&amp;""' limit 1""),""NC""))"),"")</f>
        <v/>
      </c>
      <c r="AB61" s="877"/>
      <c r="AC61" s="878" t="s">
        <v>123</v>
      </c>
      <c r="AD61" s="845" t="str">
        <f>IF($CR61="","",IFERROR(VLOOKUP($CR61,ativos.!$C$3:$R308,MATCH("cotacao",ativos.!$C$2:CY$2,0),FALSE)*$CU$5,"atualizar"))</f>
        <v/>
      </c>
      <c r="AE61" s="846" t="str">
        <f>IFERROR(__xludf.DUMMYFUNCTION("IF($CR61="""","""",IFERROR(AVERAGE(query({CarteirasAtivos;CarteirasAtivosEncerrados},""select Col5 where Col5 is not null and Col1 = '""&amp;$CR61&amp;""' and Col10='SIM'""))*CU61,""NC""))"),"")</f>
        <v/>
      </c>
      <c r="AF61" s="847" t="str">
        <f t="shared" si="1"/>
        <v/>
      </c>
      <c r="AG61" s="442"/>
      <c r="AH61" s="848" t="str">
        <f>IFERROR(__xludf.DUMMYFUNCTION("IF($CR61="""","""",IFERROR(GOOGLEFINANCE($CR61,""low52"")*CU61,""-""))"),"")</f>
        <v/>
      </c>
      <c r="AI61" s="848" t="str">
        <f>IFERROR(__xludf.DUMMYFUNCTION("IF($CR61="""","""",IFERROR(GOOGLEFINANCE($CR61,""high52"")*CU61,""-""))"),"")</f>
        <v/>
      </c>
      <c r="AJ61" s="849" t="s">
        <v>123</v>
      </c>
      <c r="AK61" s="850" t="str">
        <f>IFERROR(__xludf.DUMMYFUNCTION("IF($CR61="""","""",IFERROR(GOOGLEFINANCE($CR61,""changepct"")/100,""-""))"),"")</f>
        <v/>
      </c>
      <c r="AL61" s="851" t="str">
        <f>IFERROR(__xludf.DUMMYFUNCTION("IF($CR61="""","""",IFERROR(($AD61/(QUERY(GOOGLEFINANCE($CR61,""price"",TODAY()-7),""SELECT Col2 label Col2 ''"")*$CU61)-1),""-""))"),"")</f>
        <v/>
      </c>
      <c r="AM61" s="851" t="str">
        <f>IFERROR(__xludf.DUMMYFUNCTION("IF($CR61="""","""",IFERROR(($AD61/(QUERY(GOOGLEFINANCE($CR61,""price"",TODAY()-14),""SELECT Col2 label Col2 ''"")*$CU61)-1),""-""))"),"")</f>
        <v/>
      </c>
      <c r="AN61" s="851" t="str">
        <f>IFERROR(__xludf.DUMMYFUNCTION("IF($CR61="""","""",IFERROR(($AD61/(QUERY(GOOGLEFINANCE($CR61,""price"",TODAY()-28),""SELECT Col2 label Col2 ''"")*$CU61)-1),""-""))"),"")</f>
        <v/>
      </c>
      <c r="AO61" s="851" t="str">
        <f>IFERROR(__xludf.DUMMYFUNCTION("IF($CR61="""","""",IFERROR(($AD61/(QUERY(GOOGLEFINANCE($CR61,""price"",TODAY()-$AQ$5),""SELECT Col2 label Col2 ''"")*$CU61)-1),""-""))"),"")</f>
        <v/>
      </c>
      <c r="AP61" s="852" t="str">
        <f>IFERROR(__xludf.DUMMYFUNCTION("IF($CR61="""","""",IFERROR(SPARKLINE(query(GOOGLEFINANCE($CR61,""price"",TODAY()-$AQ$5,TODAY(),1),""select Col2 label Col2 ''""),IF($AP$7=""Gráfico de barras"",{""charttype"",""column"";""highcolor"",""red""},{""chartype"",""line""}))))"),"")</f>
        <v/>
      </c>
      <c r="AQ61" s="144"/>
      <c r="AR61" s="853"/>
      <c r="AS61" s="854" t="str">
        <f>IF($CR61="","",IF(NOT('alocação'!$D$1),"off",IFERROR(VLOOKUP(CR61,BalanceAtivos,3,0),"NC")))</f>
        <v/>
      </c>
      <c r="AT61" s="855" t="str">
        <f>IF($CR61="","",IF(NOT('alocação'!$D$1),"off",IFERROR(VLOOKUP($CR61,BalanceAtivos,4,0)*$CU$5,"NC")))</f>
        <v/>
      </c>
      <c r="AU61" s="856" t="str">
        <f>IF($CR61="","",IF(NOT('alocação'!$D$1),"off",IFERROR(VLOOKUP($CR61,BalanceAtivos,5,0),"-")))</f>
        <v/>
      </c>
      <c r="AV61" s="856" t="str">
        <f>IF($CR61="","",IF(NOT('alocação'!$D$1),"off",IFERROR(VLOOKUP($CR61,BalanceAtivos,6,0),"-")))</f>
        <v/>
      </c>
      <c r="AW61" s="857"/>
      <c r="AX61" s="858" t="str">
        <f>IF($CR61="","",IF($E61="","SP",IFERROR(VLOOKUP($CR61,AtivosDados,MATCH("pm_atual",portfolio.!$A$3:CY$3,0),0)*$CU$5,0)))</f>
        <v/>
      </c>
      <c r="AY61" s="859" t="str">
        <f t="shared" si="2"/>
        <v/>
      </c>
      <c r="AZ61" s="858" t="str">
        <f>IF($CR61="","",IF($E61="","SP",SUMIF(portfolio.!$A$4:$A308,$CR61,portfolio.!$O$4:$O308)*$CU$5))</f>
        <v/>
      </c>
      <c r="BA61" s="858" t="str">
        <f>IF($CR61="","",IF($E61="","SP",SUMIF(portfolio.!$A$4:$A308,$CR61,portfolio.!$AN$4:$AN308)*$CU$5))</f>
        <v/>
      </c>
      <c r="BB61" s="860" t="str">
        <f>IF($CR61="","",IF($E61="","-",IFERROR($BA61/'portfólio'!$DG$63,"")))</f>
        <v/>
      </c>
      <c r="BC61" s="861" t="str">
        <f>IF($CR61="","",IF($E61="","-",SUMIF(portfolio.!$A$4:$A308,$CR61,portfolio.!$J$4:$J308)))</f>
        <v/>
      </c>
      <c r="BD61" s="862" t="str">
        <f>IF($CR61="","",IF($E61="","SP",SUMIF(portfolio.!$A$4:$A308,$CR61,portfolio.!$AQ$4:$AQ308)*$CU$5))</f>
        <v/>
      </c>
      <c r="BE61" s="850" t="str">
        <f t="shared" si="3"/>
        <v/>
      </c>
      <c r="BF61" s="862" t="str">
        <f>IF($CR61="","",IF($E61="","-",SUMIF(portfolio.!$A$4:$A308,$CR61,portfolio.!$AX$4:$AX308)*$CU$5))</f>
        <v/>
      </c>
      <c r="BG61" s="545"/>
      <c r="BH61" s="879" t="s">
        <v>123</v>
      </c>
      <c r="BI61" s="880" t="s">
        <v>123</v>
      </c>
      <c r="BJ61" s="863" t="str">
        <f>IFERROR(__xludf.DUMMYFUNCTION("IF(NOT($BL$4),"""",IF($CR61="""","""",IFERROR(query({GOOGLEFINANCE($CR61,""price"",IF($BI61=""-"",TODAY()-($AQ$5+5),$BI61),TODAY()-1)},""Select max(Col2) where Col1 is not null label max(Col2) ''"")*CU61,""-"")))"),"")</f>
        <v/>
      </c>
      <c r="BK61" s="881" t="s">
        <v>123</v>
      </c>
      <c r="BL61" s="882" t="s">
        <v>123</v>
      </c>
      <c r="BM61" s="442"/>
      <c r="BN61" s="867" t="str">
        <f>IFERROR(__xludf.DUMMYFUNCTION("IF(CR61="""","""",IF(OR(C61=""AÇÃO"",C61=""BDR""),IFERROR(QUERY({fundamentus.!$A$3:$U308},$CX$67&amp;"" where Col1='""&amp;CR61&amp;""' limit 1"",0)),IF(C61=""FII"",IFERROR(QUERY({fundsexplorer.!$A$2:$Z308},$CY$67&amp;"" where Col1='""&amp;CR61&amp;""' limit 1"",0)),"""")))"),"")</f>
        <v/>
      </c>
      <c r="BO61" s="867"/>
      <c r="BP61" s="867"/>
      <c r="BQ61" s="867"/>
      <c r="BR61" s="867"/>
      <c r="BS61" s="867"/>
      <c r="BT61" s="867"/>
      <c r="BU61" s="442"/>
      <c r="BV61" s="868" t="str">
        <f>IFERROR(__xludf.DUMMYFUNCTION("IF(OR(C61=""AÇÃO"",C61=""BDR""),IFERROR(GOOGLEFINANCE(CONCAT(""BVMF:"",CR61), ""marketcap"")/1000000,""NC""),"""")"),"")</f>
        <v/>
      </c>
      <c r="BW61" s="869" t="s">
        <v>123</v>
      </c>
      <c r="BX61" s="870" t="s">
        <v>123</v>
      </c>
      <c r="BY61" s="868" t="s">
        <v>123</v>
      </c>
      <c r="BZ61" s="870" t="s">
        <v>123</v>
      </c>
      <c r="CA61" s="868" t="s">
        <v>123</v>
      </c>
      <c r="CB61" s="868" t="s">
        <v>123</v>
      </c>
      <c r="CC61" s="868" t="s">
        <v>123</v>
      </c>
      <c r="CD61" s="868" t="str">
        <f>IFERROR(__xludf.DUMMYFUNCTION("IF(OR(C61=""AÇÃO"",C61=""BDR""),IFERROR(GOOGLEFINANCE(CONCAT(""BVMF:"",CR61), ""volumeavg"")/1000000,""NC""),"""")"),"")</f>
        <v/>
      </c>
      <c r="CE61" s="870" t="s">
        <v>123</v>
      </c>
      <c r="CF61" s="870" t="s">
        <v>123</v>
      </c>
      <c r="CG61" s="870" t="str">
        <f>IFERROR(__xludf.DUMMYFUNCTION("IF(OR(C61=""AÇÃO"",C61=""BDR""),IF(CF61=0,""SEM DY"",IFERROR(ImportXML(CONCAT(""http://www.guiainvest.com.br/raiox/default.aspx?sigla="",$CR61),""//*[@id='lbPayoutAtual']""),""NC"")),"""")"),"")</f>
        <v/>
      </c>
      <c r="CH61" s="870" t="s">
        <v>123</v>
      </c>
      <c r="CI61" s="545"/>
      <c r="CJ61" s="871" t="str">
        <f>IFERROR(__xludf.DUMMYFUNCTION("IF(OR(C61=""AÇÃO"",C61=""BDR""),IFERROR(GOOGLEFINANCE(CONCAT(""BVMF:"",CR61), ""eps""),""NC""),"""")"),"")</f>
        <v/>
      </c>
      <c r="CK61" s="442"/>
      <c r="CL61" s="871" t="str">
        <f>IFERROR(__xludf.DUMMYFUNCTION("IF(NOT($BL$4),"""",IF($CR61="""","""",IF($BC61="""","""",IFERROR(query({op.normal!$B$5:$F308},""select Col5, toDate(Col2) where Col1 =  '""&amp;$CR61&amp;""' and Col4 &gt; 0 and ((Col3 is null) or (Col3 = 'C')) and Col2 &gt;= date '""&amp;TEXT(TODAY()-$AQ$5,""yyyy-mm-dd"")"&amp;"&amp;""' order by Col2 desc limit 1 label toDate(Col2) ''"")))))"),"")</f>
        <v/>
      </c>
      <c r="CM61" s="872"/>
      <c r="CN61" s="883" t="s">
        <v>123</v>
      </c>
      <c r="CO61" s="874" t="s">
        <v>123</v>
      </c>
      <c r="CP61" s="766"/>
      <c r="CQ61" s="791"/>
      <c r="CR61" s="791"/>
      <c r="CT61" s="791" t="s">
        <v>123</v>
      </c>
      <c r="CU61" s="791" t="str">
        <f>IFERROR(__xludf.DUMMYFUNCTION("IF(CR61="""","""",IF(CT61=$C$4,1,GOOGLEFINANCE(CT61&amp;$C$4)))"),"")</f>
        <v/>
      </c>
      <c r="CX61" s="836" t="str">
        <f>VLOOKUP(BP5,$CX$11:$CY$29,2,FALSE)</f>
        <v>Col6</v>
      </c>
      <c r="CY61" s="791" t="str">
        <f>VLOOKUP(BP7,$CX$34:$CY$56,2,FALSE)</f>
        <v>Col10</v>
      </c>
    </row>
    <row r="62" ht="22.5" customHeight="1">
      <c r="A62" s="837">
        <v>54.0</v>
      </c>
      <c r="B62" s="838" t="s">
        <v>123</v>
      </c>
      <c r="C62" s="838" t="s">
        <v>123</v>
      </c>
      <c r="D62" s="839" t="s">
        <v>123</v>
      </c>
      <c r="E62" s="839" t="s">
        <v>123</v>
      </c>
      <c r="F62" s="839" t="s">
        <v>123</v>
      </c>
      <c r="G62" s="56"/>
      <c r="H62" s="884"/>
      <c r="I62" s="838"/>
      <c r="J62" s="838"/>
      <c r="K62" s="838"/>
      <c r="L62" s="838"/>
      <c r="M62" s="838"/>
      <c r="N62" s="838"/>
      <c r="O62" s="838"/>
      <c r="P62" s="838"/>
      <c r="Q62" s="838"/>
      <c r="R62" s="838"/>
      <c r="S62" s="838"/>
      <c r="T62" s="838"/>
      <c r="U62" s="838"/>
      <c r="V62" s="838"/>
      <c r="W62" s="838"/>
      <c r="X62" s="838"/>
      <c r="Z62" s="875" t="str">
        <f>IFERROR(__xludf.DUMMYFUNCTION("IF($CR62="""","""",IFERROR(query({CarteirasAtivos},""select Col4 where Col4 is not null and Col1 = '""&amp;$CR62&amp;""' limit 1"")*CU62,""NC""))"),"")</f>
        <v/>
      </c>
      <c r="AA62" s="876" t="str">
        <f>IFERROR(__xludf.DUMMYFUNCTION("IF($CR62="""","""",IFERROR(query({CarteirasAtivos},""select Col6 where Col4 is not null and Col1 = '""&amp;$CR62&amp;""' limit 1""),""NC""))"),"")</f>
        <v/>
      </c>
      <c r="AB62" s="877"/>
      <c r="AC62" s="878" t="s">
        <v>123</v>
      </c>
      <c r="AD62" s="845" t="str">
        <f>IF($CR62="","",IFERROR(VLOOKUP($CR62,ativos.!$C$3:$R308,MATCH("cotacao",ativos.!$C$2:CY$2,0),FALSE)*$CU$5,"atualizar"))</f>
        <v/>
      </c>
      <c r="AE62" s="846" t="str">
        <f>IFERROR(__xludf.DUMMYFUNCTION("IF($CR62="""","""",IFERROR(AVERAGE(query({CarteirasAtivos;CarteirasAtivosEncerrados},""select Col5 where Col5 is not null and Col1 = '""&amp;$CR62&amp;""' and Col10='SIM'""))*CU62,""NC""))"),"")</f>
        <v/>
      </c>
      <c r="AF62" s="847" t="str">
        <f t="shared" si="1"/>
        <v/>
      </c>
      <c r="AG62" s="442"/>
      <c r="AH62" s="848" t="str">
        <f>IFERROR(__xludf.DUMMYFUNCTION("IF($CR62="""","""",IFERROR(GOOGLEFINANCE($CR62,""low52"")*CU62,""-""))"),"")</f>
        <v/>
      </c>
      <c r="AI62" s="848" t="str">
        <f>IFERROR(__xludf.DUMMYFUNCTION("IF($CR62="""","""",IFERROR(GOOGLEFINANCE($CR62,""high52"")*CU62,""-""))"),"")</f>
        <v/>
      </c>
      <c r="AJ62" s="849" t="s">
        <v>123</v>
      </c>
      <c r="AK62" s="850" t="str">
        <f>IFERROR(__xludf.DUMMYFUNCTION("IF($CR62="""","""",IFERROR(GOOGLEFINANCE($CR62,""changepct"")/100,""-""))"),"")</f>
        <v/>
      </c>
      <c r="AL62" s="851" t="str">
        <f>IFERROR(__xludf.DUMMYFUNCTION("IF($CR62="""","""",IFERROR(($AD62/(QUERY(GOOGLEFINANCE($CR62,""price"",TODAY()-7),""SELECT Col2 label Col2 ''"")*$CU62)-1),""-""))"),"")</f>
        <v/>
      </c>
      <c r="AM62" s="851" t="str">
        <f>IFERROR(__xludf.DUMMYFUNCTION("IF($CR62="""","""",IFERROR(($AD62/(QUERY(GOOGLEFINANCE($CR62,""price"",TODAY()-14),""SELECT Col2 label Col2 ''"")*$CU62)-1),""-""))"),"")</f>
        <v/>
      </c>
      <c r="AN62" s="851" t="str">
        <f>IFERROR(__xludf.DUMMYFUNCTION("IF($CR62="""","""",IFERROR(($AD62/(QUERY(GOOGLEFINANCE($CR62,""price"",TODAY()-28),""SELECT Col2 label Col2 ''"")*$CU62)-1),""-""))"),"")</f>
        <v/>
      </c>
      <c r="AO62" s="851" t="str">
        <f>IFERROR(__xludf.DUMMYFUNCTION("IF($CR62="""","""",IFERROR(($AD62/(QUERY(GOOGLEFINANCE($CR62,""price"",TODAY()-$AQ$5),""SELECT Col2 label Col2 ''"")*$CU62)-1),""-""))"),"")</f>
        <v/>
      </c>
      <c r="AP62" s="852" t="str">
        <f>IFERROR(__xludf.DUMMYFUNCTION("IF($CR62="""","""",IFERROR(SPARKLINE(query(GOOGLEFINANCE($CR62,""price"",TODAY()-$AQ$5,TODAY(),1),""select Col2 label Col2 ''""),IF($AP$7=""Gráfico de barras"",{""charttype"",""column"";""highcolor"",""red""},{""chartype"",""line""}))))"),"")</f>
        <v/>
      </c>
      <c r="AQ62" s="144"/>
      <c r="AR62" s="853"/>
      <c r="AS62" s="854" t="str">
        <f>IF($CR62="","",IF(NOT('alocação'!$D$1),"off",IFERROR(VLOOKUP(CR62,BalanceAtivos,3,0),"NC")))</f>
        <v/>
      </c>
      <c r="AT62" s="855" t="str">
        <f>IF($CR62="","",IF(NOT('alocação'!$D$1),"off",IFERROR(VLOOKUP($CR62,BalanceAtivos,4,0)*$CU$5,"NC")))</f>
        <v/>
      </c>
      <c r="AU62" s="856" t="str">
        <f>IF($CR62="","",IF(NOT('alocação'!$D$1),"off",IFERROR(VLOOKUP($CR62,BalanceAtivos,5,0),"-")))</f>
        <v/>
      </c>
      <c r="AV62" s="856" t="str">
        <f>IF($CR62="","",IF(NOT('alocação'!$D$1),"off",IFERROR(VLOOKUP($CR62,BalanceAtivos,6,0),"-")))</f>
        <v/>
      </c>
      <c r="AW62" s="857"/>
      <c r="AX62" s="858" t="str">
        <f>IF($CR62="","",IF($E62="","SP",IFERROR(VLOOKUP($CR62,AtivosDados,MATCH("pm_atual",portfolio.!$A$3:CY$3,0),0)*$CU$5,0)))</f>
        <v/>
      </c>
      <c r="AY62" s="859" t="str">
        <f t="shared" si="2"/>
        <v/>
      </c>
      <c r="AZ62" s="858" t="str">
        <f>IF($CR62="","",IF($E62="","SP",SUMIF(portfolio.!$A$4:$A308,$CR62,portfolio.!$O$4:$O308)*$CU$5))</f>
        <v/>
      </c>
      <c r="BA62" s="858" t="str">
        <f>IF($CR62="","",IF($E62="","SP",SUMIF(portfolio.!$A$4:$A308,$CR62,portfolio.!$AN$4:$AN308)*$CU$5))</f>
        <v/>
      </c>
      <c r="BB62" s="860" t="str">
        <f>IF($CR62="","",IF($E62="","-",IFERROR($BA62/'portfólio'!$DG$63,"")))</f>
        <v/>
      </c>
      <c r="BC62" s="861" t="str">
        <f>IF($CR62="","",IF($E62="","-",SUMIF(portfolio.!$A$4:$A308,$CR62,portfolio.!$J$4:$J308)))</f>
        <v/>
      </c>
      <c r="BD62" s="862" t="str">
        <f>IF($CR62="","",IF($E62="","SP",SUMIF(portfolio.!$A$4:$A308,$CR62,portfolio.!$AQ$4:$AQ308)*$CU$5))</f>
        <v/>
      </c>
      <c r="BE62" s="850" t="str">
        <f t="shared" si="3"/>
        <v/>
      </c>
      <c r="BF62" s="862" t="str">
        <f>IF($CR62="","",IF($E62="","-",SUMIF(portfolio.!$A$4:$A308,$CR62,portfolio.!$AX$4:$AX308)*$CU$5))</f>
        <v/>
      </c>
      <c r="BG62" s="545"/>
      <c r="BH62" s="879" t="s">
        <v>123</v>
      </c>
      <c r="BI62" s="880" t="s">
        <v>123</v>
      </c>
      <c r="BJ62" s="863" t="str">
        <f>IFERROR(__xludf.DUMMYFUNCTION("IF(NOT($BL$4),"""",IF($CR62="""","""",IFERROR(query({GOOGLEFINANCE($CR62,""price"",IF($BI62=""-"",TODAY()-($AQ$5+5),$BI62),TODAY()-1)},""Select max(Col2) where Col1 is not null label max(Col2) ''"")*CU62,""-"")))"),"")</f>
        <v/>
      </c>
      <c r="BK62" s="881" t="s">
        <v>123</v>
      </c>
      <c r="BL62" s="882" t="s">
        <v>123</v>
      </c>
      <c r="BM62" s="442"/>
      <c r="BN62" s="867" t="str">
        <f>IFERROR(__xludf.DUMMYFUNCTION("IF(CR62="""","""",IF(OR(C62=""AÇÃO"",C62=""BDR""),IFERROR(QUERY({fundamentus.!$A$3:$U308},$CX$67&amp;"" where Col1='""&amp;CR62&amp;""' limit 1"",0)),IF(C62=""FII"",IFERROR(QUERY({fundsexplorer.!$A$2:$Z308},$CY$67&amp;"" where Col1='""&amp;CR62&amp;""' limit 1"",0)),"""")))"),"")</f>
        <v/>
      </c>
      <c r="BO62" s="867"/>
      <c r="BP62" s="867"/>
      <c r="BQ62" s="867"/>
      <c r="BR62" s="867"/>
      <c r="BS62" s="867"/>
      <c r="BT62" s="867"/>
      <c r="BU62" s="442"/>
      <c r="BV62" s="868" t="str">
        <f>IFERROR(__xludf.DUMMYFUNCTION("IF(OR(C62=""AÇÃO"",C62=""BDR""),IFERROR(GOOGLEFINANCE(CONCAT(""BVMF:"",CR62), ""marketcap"")/1000000,""NC""),"""")"),"")</f>
        <v/>
      </c>
      <c r="BW62" s="869" t="s">
        <v>123</v>
      </c>
      <c r="BX62" s="870" t="s">
        <v>123</v>
      </c>
      <c r="BY62" s="868" t="s">
        <v>123</v>
      </c>
      <c r="BZ62" s="870" t="s">
        <v>123</v>
      </c>
      <c r="CA62" s="868" t="s">
        <v>123</v>
      </c>
      <c r="CB62" s="868" t="s">
        <v>123</v>
      </c>
      <c r="CC62" s="868" t="s">
        <v>123</v>
      </c>
      <c r="CD62" s="868" t="str">
        <f>IFERROR(__xludf.DUMMYFUNCTION("IF(OR(C62=""AÇÃO"",C62=""BDR""),IFERROR(GOOGLEFINANCE(CONCAT(""BVMF:"",CR62), ""volumeavg"")/1000000,""NC""),"""")"),"")</f>
        <v/>
      </c>
      <c r="CE62" s="870" t="s">
        <v>123</v>
      </c>
      <c r="CF62" s="870" t="s">
        <v>123</v>
      </c>
      <c r="CG62" s="870" t="str">
        <f>IFERROR(__xludf.DUMMYFUNCTION("IF(OR(C62=""AÇÃO"",C62=""BDR""),IF(CF62=0,""SEM DY"",IFERROR(ImportXML(CONCAT(""http://www.guiainvest.com.br/raiox/default.aspx?sigla="",$CR62),""//*[@id='lbPayoutAtual']""),""NC"")),"""")"),"")</f>
        <v/>
      </c>
      <c r="CH62" s="870" t="s">
        <v>123</v>
      </c>
      <c r="CI62" s="545"/>
      <c r="CJ62" s="871" t="str">
        <f>IFERROR(__xludf.DUMMYFUNCTION("IF(OR(C62=""AÇÃO"",C62=""BDR""),IFERROR(GOOGLEFINANCE(CONCAT(""BVMF:"",CR62), ""eps""),""NC""),"""")"),"")</f>
        <v/>
      </c>
      <c r="CK62" s="442"/>
      <c r="CL62" s="871" t="str">
        <f>IFERROR(__xludf.DUMMYFUNCTION("IF(NOT($BL$4),"""",IF($CR62="""","""",IF($BC62="""","""",IFERROR(query({op.normal!$B$5:$F308},""select Col5, toDate(Col2) where Col1 =  '""&amp;$CR62&amp;""' and Col4 &gt; 0 and ((Col3 is null) or (Col3 = 'C')) and Col2 &gt;= date '""&amp;TEXT(TODAY()-$AQ$5,""yyyy-mm-dd"")"&amp;"&amp;""' order by Col2 desc limit 1 label toDate(Col2) ''"")))))"),"")</f>
        <v/>
      </c>
      <c r="CM62" s="872"/>
      <c r="CN62" s="883" t="s">
        <v>123</v>
      </c>
      <c r="CO62" s="874" t="s">
        <v>123</v>
      </c>
      <c r="CP62" s="766"/>
      <c r="CQ62" s="791"/>
      <c r="CR62" s="791"/>
      <c r="CT62" s="791" t="s">
        <v>123</v>
      </c>
      <c r="CU62" s="791" t="str">
        <f>IFERROR(__xludf.DUMMYFUNCTION("IF(CR62="""","""",IF(CT62=$C$4,1,GOOGLEFINANCE(CT62&amp;$C$4)))"),"")</f>
        <v/>
      </c>
      <c r="CX62" s="836" t="str">
        <f>VLOOKUP(BQ5,$CX$11:$CY$29,2,FALSE)</f>
        <v>Col14</v>
      </c>
      <c r="CY62" s="791" t="str">
        <f>VLOOKUP(BQ7,$CX$34:$CY$56,2,FALSE)</f>
        <v>Col11</v>
      </c>
    </row>
    <row r="63" ht="22.5" customHeight="1">
      <c r="A63" s="837">
        <v>55.0</v>
      </c>
      <c r="B63" s="838" t="s">
        <v>123</v>
      </c>
      <c r="C63" s="838" t="s">
        <v>123</v>
      </c>
      <c r="D63" s="839" t="s">
        <v>123</v>
      </c>
      <c r="E63" s="839" t="s">
        <v>123</v>
      </c>
      <c r="F63" s="839" t="s">
        <v>123</v>
      </c>
      <c r="G63" s="56"/>
      <c r="H63" s="884"/>
      <c r="I63" s="838"/>
      <c r="J63" s="838"/>
      <c r="K63" s="838"/>
      <c r="L63" s="838"/>
      <c r="M63" s="838"/>
      <c r="N63" s="838"/>
      <c r="O63" s="838"/>
      <c r="P63" s="838"/>
      <c r="Q63" s="838"/>
      <c r="R63" s="838"/>
      <c r="S63" s="838"/>
      <c r="T63" s="838"/>
      <c r="U63" s="838"/>
      <c r="V63" s="838"/>
      <c r="W63" s="838"/>
      <c r="X63" s="838"/>
      <c r="Z63" s="875" t="str">
        <f>IFERROR(__xludf.DUMMYFUNCTION("IF($CR63="""","""",IFERROR(query({CarteirasAtivos},""select Col4 where Col4 is not null and Col1 = '""&amp;$CR63&amp;""' limit 1"")*CU63,""NC""))"),"")</f>
        <v/>
      </c>
      <c r="AA63" s="876" t="str">
        <f>IFERROR(__xludf.DUMMYFUNCTION("IF($CR63="""","""",IFERROR(query({CarteirasAtivos},""select Col6 where Col4 is not null and Col1 = '""&amp;$CR63&amp;""' limit 1""),""NC""))"),"")</f>
        <v/>
      </c>
      <c r="AB63" s="877"/>
      <c r="AC63" s="878" t="s">
        <v>123</v>
      </c>
      <c r="AD63" s="845" t="str">
        <f>IF($CR63="","",IFERROR(VLOOKUP($CR63,ativos.!$C$3:$R308,MATCH("cotacao",ativos.!$C$2:CY$2,0),FALSE)*$CU$5,"atualizar"))</f>
        <v/>
      </c>
      <c r="AE63" s="846" t="str">
        <f>IFERROR(__xludf.DUMMYFUNCTION("IF($CR63="""","""",IFERROR(AVERAGE(query({CarteirasAtivos;CarteirasAtivosEncerrados},""select Col5 where Col5 is not null and Col1 = '""&amp;$CR63&amp;""' and Col10='SIM'""))*CU63,""NC""))"),"")</f>
        <v/>
      </c>
      <c r="AF63" s="847" t="str">
        <f t="shared" si="1"/>
        <v/>
      </c>
      <c r="AG63" s="442"/>
      <c r="AH63" s="848" t="str">
        <f>IFERROR(__xludf.DUMMYFUNCTION("IF($CR63="""","""",IFERROR(GOOGLEFINANCE($CR63,""low52"")*CU63,""-""))"),"")</f>
        <v/>
      </c>
      <c r="AI63" s="848" t="str">
        <f>IFERROR(__xludf.DUMMYFUNCTION("IF($CR63="""","""",IFERROR(GOOGLEFINANCE($CR63,""high52"")*CU63,""-""))"),"")</f>
        <v/>
      </c>
      <c r="AJ63" s="849" t="s">
        <v>123</v>
      </c>
      <c r="AK63" s="850" t="str">
        <f>IFERROR(__xludf.DUMMYFUNCTION("IF($CR63="""","""",IFERROR(GOOGLEFINANCE($CR63,""changepct"")/100,""-""))"),"")</f>
        <v/>
      </c>
      <c r="AL63" s="851" t="str">
        <f>IFERROR(__xludf.DUMMYFUNCTION("IF($CR63="""","""",IFERROR(($AD63/(QUERY(GOOGLEFINANCE($CR63,""price"",TODAY()-7),""SELECT Col2 label Col2 ''"")*$CU63)-1),""-""))"),"")</f>
        <v/>
      </c>
      <c r="AM63" s="851" t="str">
        <f>IFERROR(__xludf.DUMMYFUNCTION("IF($CR63="""","""",IFERROR(($AD63/(QUERY(GOOGLEFINANCE($CR63,""price"",TODAY()-14),""SELECT Col2 label Col2 ''"")*$CU63)-1),""-""))"),"")</f>
        <v/>
      </c>
      <c r="AN63" s="851" t="str">
        <f>IFERROR(__xludf.DUMMYFUNCTION("IF($CR63="""","""",IFERROR(($AD63/(QUERY(GOOGLEFINANCE($CR63,""price"",TODAY()-28),""SELECT Col2 label Col2 ''"")*$CU63)-1),""-""))"),"")</f>
        <v/>
      </c>
      <c r="AO63" s="851" t="str">
        <f>IFERROR(__xludf.DUMMYFUNCTION("IF($CR63="""","""",IFERROR(($AD63/(QUERY(GOOGLEFINANCE($CR63,""price"",TODAY()-$AQ$5),""SELECT Col2 label Col2 ''"")*$CU63)-1),""-""))"),"")</f>
        <v/>
      </c>
      <c r="AP63" s="852" t="str">
        <f>IFERROR(__xludf.DUMMYFUNCTION("IF($CR63="""","""",IFERROR(SPARKLINE(query(GOOGLEFINANCE($CR63,""price"",TODAY()-$AQ$5,TODAY(),1),""select Col2 label Col2 ''""),IF($AP$7=""Gráfico de barras"",{""charttype"",""column"";""highcolor"",""red""},{""chartype"",""line""}))))"),"")</f>
        <v/>
      </c>
      <c r="AQ63" s="144"/>
      <c r="AR63" s="853"/>
      <c r="AS63" s="854" t="str">
        <f>IF($CR63="","",IF(NOT('alocação'!$D$1),"off",IFERROR(VLOOKUP(CR63,BalanceAtivos,3,0),"NC")))</f>
        <v/>
      </c>
      <c r="AT63" s="855" t="str">
        <f>IF($CR63="","",IF(NOT('alocação'!$D$1),"off",IFERROR(VLOOKUP($CR63,BalanceAtivos,4,0)*$CU$5,"NC")))</f>
        <v/>
      </c>
      <c r="AU63" s="856" t="str">
        <f>IF($CR63="","",IF(NOT('alocação'!$D$1),"off",IFERROR(VLOOKUP($CR63,BalanceAtivos,5,0),"-")))</f>
        <v/>
      </c>
      <c r="AV63" s="856" t="str">
        <f>IF($CR63="","",IF(NOT('alocação'!$D$1),"off",IFERROR(VLOOKUP($CR63,BalanceAtivos,6,0),"-")))</f>
        <v/>
      </c>
      <c r="AW63" s="857"/>
      <c r="AX63" s="858" t="str">
        <f>IF($CR63="","",IF($E63="","SP",IFERROR(VLOOKUP($CR63,AtivosDados,MATCH("pm_atual",portfolio.!$A$3:CY$3,0),0)*$CU$5,0)))</f>
        <v/>
      </c>
      <c r="AY63" s="859" t="str">
        <f t="shared" si="2"/>
        <v/>
      </c>
      <c r="AZ63" s="858" t="str">
        <f>IF($CR63="","",IF($E63="","SP",SUMIF(portfolio.!$A$4:$A308,$CR63,portfolio.!$O$4:$O308)*$CU$5))</f>
        <v/>
      </c>
      <c r="BA63" s="858" t="str">
        <f>IF($CR63="","",IF($E63="","SP",SUMIF(portfolio.!$A$4:$A308,$CR63,portfolio.!$AN$4:$AN308)*$CU$5))</f>
        <v/>
      </c>
      <c r="BB63" s="860" t="str">
        <f>IF($CR63="","",IF($E63="","-",IFERROR($BA63/'portfólio'!$DG$63,"")))</f>
        <v/>
      </c>
      <c r="BC63" s="861" t="str">
        <f>IF($CR63="","",IF($E63="","-",SUMIF(portfolio.!$A$4:$A308,$CR63,portfolio.!$J$4:$J308)))</f>
        <v/>
      </c>
      <c r="BD63" s="862" t="str">
        <f>IF($CR63="","",IF($E63="","SP",SUMIF(portfolio.!$A$4:$A308,$CR63,portfolio.!$AQ$4:$AQ308)*$CU$5))</f>
        <v/>
      </c>
      <c r="BE63" s="850" t="str">
        <f t="shared" si="3"/>
        <v/>
      </c>
      <c r="BF63" s="862" t="str">
        <f>IF($CR63="","",IF($E63="","-",SUMIF(portfolio.!$A$4:$A308,$CR63,portfolio.!$AX$4:$AX308)*$CU$5))</f>
        <v/>
      </c>
      <c r="BG63" s="545"/>
      <c r="BH63" s="879" t="s">
        <v>123</v>
      </c>
      <c r="BI63" s="880" t="s">
        <v>123</v>
      </c>
      <c r="BJ63" s="863" t="str">
        <f>IFERROR(__xludf.DUMMYFUNCTION("IF(NOT($BL$4),"""",IF($CR63="""","""",IFERROR(query({GOOGLEFINANCE($CR63,""price"",IF($BI63=""-"",TODAY()-($AQ$5+5),$BI63),TODAY()-1)},""Select max(Col2) where Col1 is not null label max(Col2) ''"")*CU63,""-"")))"),"")</f>
        <v/>
      </c>
      <c r="BK63" s="881" t="s">
        <v>123</v>
      </c>
      <c r="BL63" s="882" t="s">
        <v>123</v>
      </c>
      <c r="BM63" s="442"/>
      <c r="BN63" s="867" t="str">
        <f>IFERROR(__xludf.DUMMYFUNCTION("IF(CR63="""","""",IF(OR(C63=""AÇÃO"",C63=""BDR""),IFERROR(QUERY({fundamentus.!$A$3:$U308},$CX$67&amp;"" where Col1='""&amp;CR63&amp;""' limit 1"",0)),IF(C63=""FII"",IFERROR(QUERY({fundsexplorer.!$A$2:$Z308},$CY$67&amp;"" where Col1='""&amp;CR63&amp;""' limit 1"",0)),"""")))"),"")</f>
        <v/>
      </c>
      <c r="BO63" s="867"/>
      <c r="BP63" s="867"/>
      <c r="BQ63" s="867"/>
      <c r="BR63" s="867"/>
      <c r="BS63" s="867"/>
      <c r="BT63" s="867"/>
      <c r="BU63" s="442"/>
      <c r="BV63" s="868" t="str">
        <f>IFERROR(__xludf.DUMMYFUNCTION("IF(OR(C63=""AÇÃO"",C63=""BDR""),IFERROR(GOOGLEFINANCE(CONCAT(""BVMF:"",CR63), ""marketcap"")/1000000,""NC""),"""")"),"")</f>
        <v/>
      </c>
      <c r="BW63" s="869" t="s">
        <v>123</v>
      </c>
      <c r="BX63" s="870" t="s">
        <v>123</v>
      </c>
      <c r="BY63" s="868" t="s">
        <v>123</v>
      </c>
      <c r="BZ63" s="870" t="s">
        <v>123</v>
      </c>
      <c r="CA63" s="868" t="s">
        <v>123</v>
      </c>
      <c r="CB63" s="868" t="s">
        <v>123</v>
      </c>
      <c r="CC63" s="868" t="s">
        <v>123</v>
      </c>
      <c r="CD63" s="868" t="str">
        <f>IFERROR(__xludf.DUMMYFUNCTION("IF(OR(C63=""AÇÃO"",C63=""BDR""),IFERROR(GOOGLEFINANCE(CONCAT(""BVMF:"",CR63), ""volumeavg"")/1000000,""NC""),"""")"),"")</f>
        <v/>
      </c>
      <c r="CE63" s="870" t="s">
        <v>123</v>
      </c>
      <c r="CF63" s="870" t="s">
        <v>123</v>
      </c>
      <c r="CG63" s="870" t="str">
        <f>IFERROR(__xludf.DUMMYFUNCTION("IF(OR(C63=""AÇÃO"",C63=""BDR""),IF(CF63=0,""SEM DY"",IFERROR(ImportXML(CONCAT(""http://www.guiainvest.com.br/raiox/default.aspx?sigla="",$CR63),""//*[@id='lbPayoutAtual']""),""NC"")),"""")"),"")</f>
        <v/>
      </c>
      <c r="CH63" s="870" t="s">
        <v>123</v>
      </c>
      <c r="CI63" s="545"/>
      <c r="CJ63" s="871" t="str">
        <f>IFERROR(__xludf.DUMMYFUNCTION("IF(OR(C63=""AÇÃO"",C63=""BDR""),IFERROR(GOOGLEFINANCE(CONCAT(""BVMF:"",CR63), ""eps""),""NC""),"""")"),"")</f>
        <v/>
      </c>
      <c r="CK63" s="442"/>
      <c r="CL63" s="871" t="str">
        <f>IFERROR(__xludf.DUMMYFUNCTION("IF(NOT($BL$4),"""",IF($CR63="""","""",IF($BC63="""","""",IFERROR(query({op.normal!$B$5:$F308},""select Col5, toDate(Col2) where Col1 =  '""&amp;$CR63&amp;""' and Col4 &gt; 0 and ((Col3 is null) or (Col3 = 'C')) and Col2 &gt;= date '""&amp;TEXT(TODAY()-$AQ$5,""yyyy-mm-dd"")"&amp;"&amp;""' order by Col2 desc limit 1 label toDate(Col2) ''"")))))"),"")</f>
        <v/>
      </c>
      <c r="CM63" s="872"/>
      <c r="CN63" s="883" t="s">
        <v>123</v>
      </c>
      <c r="CO63" s="874" t="s">
        <v>123</v>
      </c>
      <c r="CP63" s="766"/>
      <c r="CQ63" s="791"/>
      <c r="CR63" s="791"/>
      <c r="CT63" s="791" t="s">
        <v>123</v>
      </c>
      <c r="CU63" s="791" t="str">
        <f>IFERROR(__xludf.DUMMYFUNCTION("IF(CR63="""","""",IF(CT63=$C$4,1,GOOGLEFINANCE(CT63&amp;$C$4)))"),"")</f>
        <v/>
      </c>
      <c r="CX63" s="836" t="str">
        <f>VLOOKUP(BR5,$CX$11:$CY$29,2,FALSE)</f>
        <v>Col13</v>
      </c>
      <c r="CY63" s="791" t="str">
        <f>VLOOKUP(BR7,$CX$34:$CY$56,2,FALSE)</f>
        <v>Col12</v>
      </c>
    </row>
    <row r="64" ht="22.5" customHeight="1">
      <c r="A64" s="837">
        <v>56.0</v>
      </c>
      <c r="B64" s="838" t="s">
        <v>123</v>
      </c>
      <c r="C64" s="838" t="s">
        <v>123</v>
      </c>
      <c r="D64" s="839" t="s">
        <v>123</v>
      </c>
      <c r="E64" s="839" t="s">
        <v>123</v>
      </c>
      <c r="F64" s="839" t="s">
        <v>123</v>
      </c>
      <c r="G64" s="56"/>
      <c r="H64" s="884"/>
      <c r="I64" s="838"/>
      <c r="J64" s="838"/>
      <c r="K64" s="838"/>
      <c r="L64" s="838"/>
      <c r="M64" s="838"/>
      <c r="N64" s="838"/>
      <c r="O64" s="838"/>
      <c r="P64" s="838"/>
      <c r="Q64" s="838"/>
      <c r="R64" s="838"/>
      <c r="S64" s="838"/>
      <c r="T64" s="838"/>
      <c r="U64" s="838"/>
      <c r="V64" s="838"/>
      <c r="W64" s="838"/>
      <c r="X64" s="838"/>
      <c r="Z64" s="875" t="str">
        <f>IFERROR(__xludf.DUMMYFUNCTION("IF($CR64="""","""",IFERROR(query({CarteirasAtivos},""select Col4 where Col4 is not null and Col1 = '""&amp;$CR64&amp;""' limit 1"")*CU64,""NC""))"),"")</f>
        <v/>
      </c>
      <c r="AA64" s="876" t="str">
        <f>IFERROR(__xludf.DUMMYFUNCTION("IF($CR64="""","""",IFERROR(query({CarteirasAtivos},""select Col6 where Col4 is not null and Col1 = '""&amp;$CR64&amp;""' limit 1""),""NC""))"),"")</f>
        <v/>
      </c>
      <c r="AB64" s="877"/>
      <c r="AC64" s="878" t="s">
        <v>123</v>
      </c>
      <c r="AD64" s="845" t="str">
        <f>IF($CR64="","",IFERROR(VLOOKUP($CR64,ativos.!$C$3:$R308,MATCH("cotacao",ativos.!$C$2:CY$2,0),FALSE)*$CU$5,"atualizar"))</f>
        <v/>
      </c>
      <c r="AE64" s="846" t="str">
        <f>IFERROR(__xludf.DUMMYFUNCTION("IF($CR64="""","""",IFERROR(AVERAGE(query({CarteirasAtivos;CarteirasAtivosEncerrados},""select Col5 where Col5 is not null and Col1 = '""&amp;$CR64&amp;""' and Col10='SIM'""))*CU64,""NC""))"),"")</f>
        <v/>
      </c>
      <c r="AF64" s="847" t="str">
        <f t="shared" si="1"/>
        <v/>
      </c>
      <c r="AG64" s="442"/>
      <c r="AH64" s="848" t="str">
        <f>IFERROR(__xludf.DUMMYFUNCTION("IF($CR64="""","""",IFERROR(GOOGLEFINANCE($CR64,""low52"")*CU64,""-""))"),"")</f>
        <v/>
      </c>
      <c r="AI64" s="848" t="str">
        <f>IFERROR(__xludf.DUMMYFUNCTION("IF($CR64="""","""",IFERROR(GOOGLEFINANCE($CR64,""high52"")*CU64,""-""))"),"")</f>
        <v/>
      </c>
      <c r="AJ64" s="849" t="s">
        <v>123</v>
      </c>
      <c r="AK64" s="850" t="str">
        <f>IFERROR(__xludf.DUMMYFUNCTION("IF($CR64="""","""",IFERROR(GOOGLEFINANCE($CR64,""changepct"")/100,""-""))"),"")</f>
        <v/>
      </c>
      <c r="AL64" s="851" t="str">
        <f>IFERROR(__xludf.DUMMYFUNCTION("IF($CR64="""","""",IFERROR(($AD64/(QUERY(GOOGLEFINANCE($CR64,""price"",TODAY()-7),""SELECT Col2 label Col2 ''"")*$CU64)-1),""-""))"),"")</f>
        <v/>
      </c>
      <c r="AM64" s="851" t="str">
        <f>IFERROR(__xludf.DUMMYFUNCTION("IF($CR64="""","""",IFERROR(($AD64/(QUERY(GOOGLEFINANCE($CR64,""price"",TODAY()-14),""SELECT Col2 label Col2 ''"")*$CU64)-1),""-""))"),"")</f>
        <v/>
      </c>
      <c r="AN64" s="851" t="str">
        <f>IFERROR(__xludf.DUMMYFUNCTION("IF($CR64="""","""",IFERROR(($AD64/(QUERY(GOOGLEFINANCE($CR64,""price"",TODAY()-28),""SELECT Col2 label Col2 ''"")*$CU64)-1),""-""))"),"")</f>
        <v/>
      </c>
      <c r="AO64" s="851" t="str">
        <f>IFERROR(__xludf.DUMMYFUNCTION("IF($CR64="""","""",IFERROR(($AD64/(QUERY(GOOGLEFINANCE($CR64,""price"",TODAY()-$AQ$5),""SELECT Col2 label Col2 ''"")*$CU64)-1),""-""))"),"")</f>
        <v/>
      </c>
      <c r="AP64" s="852" t="str">
        <f>IFERROR(__xludf.DUMMYFUNCTION("IF($CR64="""","""",IFERROR(SPARKLINE(query(GOOGLEFINANCE($CR64,""price"",TODAY()-$AQ$5,TODAY(),1),""select Col2 label Col2 ''""),IF($AP$7=""Gráfico de barras"",{""charttype"",""column"";""highcolor"",""red""},{""chartype"",""line""}))))"),"")</f>
        <v/>
      </c>
      <c r="AQ64" s="144"/>
      <c r="AR64" s="853"/>
      <c r="AS64" s="854" t="str">
        <f>IF($CR64="","",IF(NOT('alocação'!$D$1),"off",IFERROR(VLOOKUP(CR64,BalanceAtivos,3,0),"NC")))</f>
        <v/>
      </c>
      <c r="AT64" s="855" t="str">
        <f>IF($CR64="","",IF(NOT('alocação'!$D$1),"off",IFERROR(VLOOKUP($CR64,BalanceAtivos,4,0)*$CU$5,"NC")))</f>
        <v/>
      </c>
      <c r="AU64" s="856" t="str">
        <f>IF($CR64="","",IF(NOT('alocação'!$D$1),"off",IFERROR(VLOOKUP($CR64,BalanceAtivos,5,0),"-")))</f>
        <v/>
      </c>
      <c r="AV64" s="856" t="str">
        <f>IF($CR64="","",IF(NOT('alocação'!$D$1),"off",IFERROR(VLOOKUP($CR64,BalanceAtivos,6,0),"-")))</f>
        <v/>
      </c>
      <c r="AW64" s="857"/>
      <c r="AX64" s="858" t="str">
        <f>IF($CR64="","",IF($E64="","SP",IFERROR(VLOOKUP($CR64,AtivosDados,MATCH("pm_atual",portfolio.!$A$3:CY$3,0),0)*$CU$5,0)))</f>
        <v/>
      </c>
      <c r="AY64" s="859" t="str">
        <f t="shared" si="2"/>
        <v/>
      </c>
      <c r="AZ64" s="858" t="str">
        <f>IF($CR64="","",IF($E64="","SP",SUMIF(portfolio.!$A$4:$A308,$CR64,portfolio.!$O$4:$O308)*$CU$5))</f>
        <v/>
      </c>
      <c r="BA64" s="858" t="str">
        <f>IF($CR64="","",IF($E64="","SP",SUMIF(portfolio.!$A$4:$A308,$CR64,portfolio.!$AN$4:$AN308)*$CU$5))</f>
        <v/>
      </c>
      <c r="BB64" s="860" t="str">
        <f>IF($CR64="","",IF($E64="","-",IFERROR($BA64/'portfólio'!$DG$63,"")))</f>
        <v/>
      </c>
      <c r="BC64" s="861" t="str">
        <f>IF($CR64="","",IF($E64="","-",SUMIF(portfolio.!$A$4:$A308,$CR64,portfolio.!$J$4:$J308)))</f>
        <v/>
      </c>
      <c r="BD64" s="862" t="str">
        <f>IF($CR64="","",IF($E64="","SP",SUMIF(portfolio.!$A$4:$A308,$CR64,portfolio.!$AQ$4:$AQ308)*$CU$5))</f>
        <v/>
      </c>
      <c r="BE64" s="850" t="str">
        <f t="shared" si="3"/>
        <v/>
      </c>
      <c r="BF64" s="862" t="str">
        <f>IF($CR64="","",IF($E64="","-",SUMIF(portfolio.!$A$4:$A308,$CR64,portfolio.!$AX$4:$AX308)*$CU$5))</f>
        <v/>
      </c>
      <c r="BG64" s="545"/>
      <c r="BH64" s="879" t="s">
        <v>123</v>
      </c>
      <c r="BI64" s="880" t="s">
        <v>123</v>
      </c>
      <c r="BJ64" s="863" t="str">
        <f>IFERROR(__xludf.DUMMYFUNCTION("IF(NOT($BL$4),"""",IF($CR64="""","""",IFERROR(query({GOOGLEFINANCE($CR64,""price"",IF($BI64=""-"",TODAY()-($AQ$5+5),$BI64),TODAY()-1)},""Select max(Col2) where Col1 is not null label max(Col2) ''"")*CU64,""-"")))"),"")</f>
        <v/>
      </c>
      <c r="BK64" s="881" t="s">
        <v>123</v>
      </c>
      <c r="BL64" s="882" t="s">
        <v>123</v>
      </c>
      <c r="BM64" s="442"/>
      <c r="BN64" s="867" t="str">
        <f>IFERROR(__xludf.DUMMYFUNCTION("IF(CR64="""","""",IF(OR(C64=""AÇÃO"",C64=""BDR""),IFERROR(QUERY({fundamentus.!$A$3:$U308},$CX$67&amp;"" where Col1='""&amp;CR64&amp;""' limit 1"",0)),IF(C64=""FII"",IFERROR(QUERY({fundsexplorer.!$A$2:$Z308},$CY$67&amp;"" where Col1='""&amp;CR64&amp;""' limit 1"",0)),"""")))"),"")</f>
        <v/>
      </c>
      <c r="BO64" s="867"/>
      <c r="BP64" s="867"/>
      <c r="BQ64" s="867"/>
      <c r="BR64" s="867"/>
      <c r="BS64" s="867"/>
      <c r="BT64" s="867"/>
      <c r="BU64" s="442"/>
      <c r="BV64" s="868" t="str">
        <f>IFERROR(__xludf.DUMMYFUNCTION("IF(OR(C64=""AÇÃO"",C64=""BDR""),IFERROR(GOOGLEFINANCE(CONCAT(""BVMF:"",CR64), ""marketcap"")/1000000,""NC""),"""")"),"")</f>
        <v/>
      </c>
      <c r="BW64" s="869" t="s">
        <v>123</v>
      </c>
      <c r="BX64" s="870" t="s">
        <v>123</v>
      </c>
      <c r="BY64" s="868" t="s">
        <v>123</v>
      </c>
      <c r="BZ64" s="870" t="s">
        <v>123</v>
      </c>
      <c r="CA64" s="868" t="s">
        <v>123</v>
      </c>
      <c r="CB64" s="868" t="s">
        <v>123</v>
      </c>
      <c r="CC64" s="868" t="s">
        <v>123</v>
      </c>
      <c r="CD64" s="868" t="str">
        <f>IFERROR(__xludf.DUMMYFUNCTION("IF(OR(C64=""AÇÃO"",C64=""BDR""),IFERROR(GOOGLEFINANCE(CONCAT(""BVMF:"",CR64), ""volumeavg"")/1000000,""NC""),"""")"),"")</f>
        <v/>
      </c>
      <c r="CE64" s="870" t="s">
        <v>123</v>
      </c>
      <c r="CF64" s="870" t="s">
        <v>123</v>
      </c>
      <c r="CG64" s="870" t="str">
        <f>IFERROR(__xludf.DUMMYFUNCTION("IF(OR(C64=""AÇÃO"",C64=""BDR""),IF(CF64=0,""SEM DY"",IFERROR(ImportXML(CONCAT(""http://www.guiainvest.com.br/raiox/default.aspx?sigla="",$CR64),""//*[@id='lbPayoutAtual']""),""NC"")),"""")"),"")</f>
        <v/>
      </c>
      <c r="CH64" s="870" t="s">
        <v>123</v>
      </c>
      <c r="CI64" s="545"/>
      <c r="CJ64" s="871" t="str">
        <f>IFERROR(__xludf.DUMMYFUNCTION("IF(OR(C64=""AÇÃO"",C64=""BDR""),IFERROR(GOOGLEFINANCE(CONCAT(""BVMF:"",CR64), ""eps""),""NC""),"""")"),"")</f>
        <v/>
      </c>
      <c r="CK64" s="442"/>
      <c r="CL64" s="871" t="str">
        <f>IFERROR(__xludf.DUMMYFUNCTION("IF(NOT($BL$4),"""",IF($CR64="""","""",IF($BC64="""","""",IFERROR(query({op.normal!$B$5:$F308},""select Col5, toDate(Col2) where Col1 =  '""&amp;$CR64&amp;""' and Col4 &gt; 0 and ((Col3 is null) or (Col3 = 'C')) and Col2 &gt;= date '""&amp;TEXT(TODAY()-$AQ$5,""yyyy-mm-dd"")"&amp;"&amp;""' order by Col2 desc limit 1 label toDate(Col2) ''"")))))"),"")</f>
        <v/>
      </c>
      <c r="CM64" s="872"/>
      <c r="CN64" s="883" t="s">
        <v>123</v>
      </c>
      <c r="CO64" s="874" t="s">
        <v>123</v>
      </c>
      <c r="CP64" s="766"/>
      <c r="CQ64" s="791"/>
      <c r="CR64" s="791"/>
      <c r="CT64" s="791" t="s">
        <v>123</v>
      </c>
      <c r="CU64" s="791" t="str">
        <f>IFERROR(__xludf.DUMMYFUNCTION("IF(CR64="""","""",IF(CT64=$C$4,1,GOOGLEFINANCE(CT64&amp;$C$4)))"),"")</f>
        <v/>
      </c>
      <c r="CX64" s="836" t="str">
        <f>VLOOKUP(BS5,$CX$11:$CY$29,2,FALSE)</f>
        <v>Col20</v>
      </c>
      <c r="CY64" s="791" t="str">
        <f>VLOOKUP(BS7,$CX$34:$CY$56,2,FALSE)</f>
        <v>Col24</v>
      </c>
    </row>
    <row r="65" ht="22.5" customHeight="1">
      <c r="A65" s="837">
        <v>57.0</v>
      </c>
      <c r="B65" s="838" t="s">
        <v>123</v>
      </c>
      <c r="C65" s="838" t="s">
        <v>123</v>
      </c>
      <c r="D65" s="839" t="s">
        <v>123</v>
      </c>
      <c r="E65" s="839" t="s">
        <v>123</v>
      </c>
      <c r="F65" s="839" t="s">
        <v>123</v>
      </c>
      <c r="G65" s="56"/>
      <c r="H65" s="884"/>
      <c r="I65" s="838"/>
      <c r="J65" s="838"/>
      <c r="K65" s="838"/>
      <c r="L65" s="838"/>
      <c r="M65" s="838"/>
      <c r="N65" s="838"/>
      <c r="O65" s="838"/>
      <c r="P65" s="838"/>
      <c r="Q65" s="838"/>
      <c r="R65" s="838"/>
      <c r="S65" s="838"/>
      <c r="T65" s="838"/>
      <c r="U65" s="838"/>
      <c r="V65" s="838"/>
      <c r="W65" s="838"/>
      <c r="X65" s="838"/>
      <c r="Z65" s="875" t="str">
        <f>IFERROR(__xludf.DUMMYFUNCTION("IF($CR65="""","""",IFERROR(query({CarteirasAtivos},""select Col4 where Col4 is not null and Col1 = '""&amp;$CR65&amp;""' limit 1"")*CU65,""NC""))"),"")</f>
        <v/>
      </c>
      <c r="AA65" s="876" t="str">
        <f>IFERROR(__xludf.DUMMYFUNCTION("IF($CR65="""","""",IFERROR(query({CarteirasAtivos},""select Col6 where Col4 is not null and Col1 = '""&amp;$CR65&amp;""' limit 1""),""NC""))"),"")</f>
        <v/>
      </c>
      <c r="AB65" s="877"/>
      <c r="AC65" s="878" t="s">
        <v>123</v>
      </c>
      <c r="AD65" s="845" t="str">
        <f>IF($CR65="","",IFERROR(VLOOKUP($CR65,ativos.!$C$3:$R308,MATCH("cotacao",ativos.!$C$2:CY$2,0),FALSE)*$CU$5,"atualizar"))</f>
        <v/>
      </c>
      <c r="AE65" s="846" t="str">
        <f>IFERROR(__xludf.DUMMYFUNCTION("IF($CR65="""","""",IFERROR(AVERAGE(query({CarteirasAtivos;CarteirasAtivosEncerrados},""select Col5 where Col5 is not null and Col1 = '""&amp;$CR65&amp;""' and Col10='SIM'""))*CU65,""NC""))"),"")</f>
        <v/>
      </c>
      <c r="AF65" s="847" t="str">
        <f t="shared" si="1"/>
        <v/>
      </c>
      <c r="AG65" s="442"/>
      <c r="AH65" s="848" t="str">
        <f>IFERROR(__xludf.DUMMYFUNCTION("IF($CR65="""","""",IFERROR(GOOGLEFINANCE($CR65,""low52"")*CU65,""-""))"),"")</f>
        <v/>
      </c>
      <c r="AI65" s="848" t="str">
        <f>IFERROR(__xludf.DUMMYFUNCTION("IF($CR65="""","""",IFERROR(GOOGLEFINANCE($CR65,""high52"")*CU65,""-""))"),"")</f>
        <v/>
      </c>
      <c r="AJ65" s="849" t="s">
        <v>123</v>
      </c>
      <c r="AK65" s="850" t="str">
        <f>IFERROR(__xludf.DUMMYFUNCTION("IF($CR65="""","""",IFERROR(GOOGLEFINANCE($CR65,""changepct"")/100,""-""))"),"")</f>
        <v/>
      </c>
      <c r="AL65" s="851" t="str">
        <f>IFERROR(__xludf.DUMMYFUNCTION("IF($CR65="""","""",IFERROR(($AD65/(QUERY(GOOGLEFINANCE($CR65,""price"",TODAY()-7),""SELECT Col2 label Col2 ''"")*$CU65)-1),""-""))"),"")</f>
        <v/>
      </c>
      <c r="AM65" s="851" t="str">
        <f>IFERROR(__xludf.DUMMYFUNCTION("IF($CR65="""","""",IFERROR(($AD65/(QUERY(GOOGLEFINANCE($CR65,""price"",TODAY()-14),""SELECT Col2 label Col2 ''"")*$CU65)-1),""-""))"),"")</f>
        <v/>
      </c>
      <c r="AN65" s="851" t="str">
        <f>IFERROR(__xludf.DUMMYFUNCTION("IF($CR65="""","""",IFERROR(($AD65/(QUERY(GOOGLEFINANCE($CR65,""price"",TODAY()-28),""SELECT Col2 label Col2 ''"")*$CU65)-1),""-""))"),"")</f>
        <v/>
      </c>
      <c r="AO65" s="851" t="str">
        <f>IFERROR(__xludf.DUMMYFUNCTION("IF($CR65="""","""",IFERROR(($AD65/(QUERY(GOOGLEFINANCE($CR65,""price"",TODAY()-$AQ$5),""SELECT Col2 label Col2 ''"")*$CU65)-1),""-""))"),"")</f>
        <v/>
      </c>
      <c r="AP65" s="852" t="str">
        <f>IFERROR(__xludf.DUMMYFUNCTION("IF($CR65="""","""",IFERROR(SPARKLINE(query(GOOGLEFINANCE($CR65,""price"",TODAY()-$AQ$5,TODAY(),1),""select Col2 label Col2 ''""),IF($AP$7=""Gráfico de barras"",{""charttype"",""column"";""highcolor"",""red""},{""chartype"",""line""}))))"),"")</f>
        <v/>
      </c>
      <c r="AQ65" s="144"/>
      <c r="AR65" s="853"/>
      <c r="AS65" s="854" t="str">
        <f>IF($CR65="","",IF(NOT('alocação'!$D$1),"off",IFERROR(VLOOKUP(CR65,BalanceAtivos,3,0),"NC")))</f>
        <v/>
      </c>
      <c r="AT65" s="855" t="str">
        <f>IF($CR65="","",IF(NOT('alocação'!$D$1),"off",IFERROR(VLOOKUP($CR65,BalanceAtivos,4,0)*$CU$5,"NC")))</f>
        <v/>
      </c>
      <c r="AU65" s="856" t="str">
        <f>IF($CR65="","",IF(NOT('alocação'!$D$1),"off",IFERROR(VLOOKUP($CR65,BalanceAtivos,5,0),"-")))</f>
        <v/>
      </c>
      <c r="AV65" s="856" t="str">
        <f>IF($CR65="","",IF(NOT('alocação'!$D$1),"off",IFERROR(VLOOKUP($CR65,BalanceAtivos,6,0),"-")))</f>
        <v/>
      </c>
      <c r="AW65" s="857"/>
      <c r="AX65" s="858" t="str">
        <f>IF($CR65="","",IF($E65="","SP",IFERROR(VLOOKUP($CR65,AtivosDados,MATCH("pm_atual",portfolio.!$A$3:CY$3,0),0)*$CU$5,0)))</f>
        <v/>
      </c>
      <c r="AY65" s="859" t="str">
        <f t="shared" si="2"/>
        <v/>
      </c>
      <c r="AZ65" s="858" t="str">
        <f>IF($CR65="","",IF($E65="","SP",SUMIF(portfolio.!$A$4:$A308,$CR65,portfolio.!$O$4:$O308)*$CU$5))</f>
        <v/>
      </c>
      <c r="BA65" s="858" t="str">
        <f>IF($CR65="","",IF($E65="","SP",SUMIF(portfolio.!$A$4:$A308,$CR65,portfolio.!$AN$4:$AN308)*$CU$5))</f>
        <v/>
      </c>
      <c r="BB65" s="860" t="str">
        <f>IF($CR65="","",IF($E65="","-",IFERROR($BA65/'portfólio'!$DG$63,"")))</f>
        <v/>
      </c>
      <c r="BC65" s="861" t="str">
        <f>IF($CR65="","",IF($E65="","-",SUMIF(portfolio.!$A$4:$A308,$CR65,portfolio.!$J$4:$J308)))</f>
        <v/>
      </c>
      <c r="BD65" s="862" t="str">
        <f>IF($CR65="","",IF($E65="","SP",SUMIF(portfolio.!$A$4:$A308,$CR65,portfolio.!$AQ$4:$AQ308)*$CU$5))</f>
        <v/>
      </c>
      <c r="BE65" s="850" t="str">
        <f t="shared" si="3"/>
        <v/>
      </c>
      <c r="BF65" s="862" t="str">
        <f>IF($CR65="","",IF($E65="","-",SUMIF(portfolio.!$A$4:$A308,$CR65,portfolio.!$AX$4:$AX308)*$CU$5))</f>
        <v/>
      </c>
      <c r="BG65" s="545"/>
      <c r="BH65" s="879" t="s">
        <v>123</v>
      </c>
      <c r="BI65" s="880" t="s">
        <v>123</v>
      </c>
      <c r="BJ65" s="863" t="str">
        <f>IFERROR(__xludf.DUMMYFUNCTION("IF(NOT($BL$4),"""",IF($CR65="""","""",IFERROR(query({GOOGLEFINANCE($CR65,""price"",IF($BI65=""-"",TODAY()-($AQ$5+5),$BI65),TODAY()-1)},""Select max(Col2) where Col1 is not null label max(Col2) ''"")*CU65,""-"")))"),"")</f>
        <v/>
      </c>
      <c r="BK65" s="881" t="s">
        <v>123</v>
      </c>
      <c r="BL65" s="882" t="s">
        <v>123</v>
      </c>
      <c r="BM65" s="442"/>
      <c r="BN65" s="867" t="str">
        <f>IFERROR(__xludf.DUMMYFUNCTION("IF(CR65="""","""",IF(OR(C65=""AÇÃO"",C65=""BDR""),IFERROR(QUERY({fundamentus.!$A$3:$U308},$CX$67&amp;"" where Col1='""&amp;CR65&amp;""' limit 1"",0)),IF(C65=""FII"",IFERROR(QUERY({fundsexplorer.!$A$2:$Z308},$CY$67&amp;"" where Col1='""&amp;CR65&amp;""' limit 1"",0)),"""")))"),"")</f>
        <v/>
      </c>
      <c r="BO65" s="867"/>
      <c r="BP65" s="867"/>
      <c r="BQ65" s="867"/>
      <c r="BR65" s="867"/>
      <c r="BS65" s="867"/>
      <c r="BT65" s="867"/>
      <c r="BU65" s="442"/>
      <c r="BV65" s="868" t="str">
        <f>IFERROR(__xludf.DUMMYFUNCTION("IF(OR(C65=""AÇÃO"",C65=""BDR""),IFERROR(GOOGLEFINANCE(CONCAT(""BVMF:"",CR65), ""marketcap"")/1000000,""NC""),"""")"),"")</f>
        <v/>
      </c>
      <c r="BW65" s="869" t="s">
        <v>123</v>
      </c>
      <c r="BX65" s="870" t="s">
        <v>123</v>
      </c>
      <c r="BY65" s="868" t="s">
        <v>123</v>
      </c>
      <c r="BZ65" s="870" t="s">
        <v>123</v>
      </c>
      <c r="CA65" s="868" t="s">
        <v>123</v>
      </c>
      <c r="CB65" s="868" t="s">
        <v>123</v>
      </c>
      <c r="CC65" s="868" t="s">
        <v>123</v>
      </c>
      <c r="CD65" s="868" t="str">
        <f>IFERROR(__xludf.DUMMYFUNCTION("IF(OR(C65=""AÇÃO"",C65=""BDR""),IFERROR(GOOGLEFINANCE(CONCAT(""BVMF:"",CR65), ""volumeavg"")/1000000,""NC""),"""")"),"")</f>
        <v/>
      </c>
      <c r="CE65" s="870" t="s">
        <v>123</v>
      </c>
      <c r="CF65" s="870" t="s">
        <v>123</v>
      </c>
      <c r="CG65" s="870" t="str">
        <f>IFERROR(__xludf.DUMMYFUNCTION("IF(OR(C65=""AÇÃO"",C65=""BDR""),IF(CF65=0,""SEM DY"",IFERROR(ImportXML(CONCAT(""http://www.guiainvest.com.br/raiox/default.aspx?sigla="",$CR65),""//*[@id='lbPayoutAtual']""),""NC"")),"""")"),"")</f>
        <v/>
      </c>
      <c r="CH65" s="870" t="s">
        <v>123</v>
      </c>
      <c r="CI65" s="545"/>
      <c r="CJ65" s="871" t="str">
        <f>IFERROR(__xludf.DUMMYFUNCTION("IF(OR(C65=""AÇÃO"",C65=""BDR""),IFERROR(GOOGLEFINANCE(CONCAT(""BVMF:"",CR65), ""eps""),""NC""),"""")"),"")</f>
        <v/>
      </c>
      <c r="CK65" s="442"/>
      <c r="CL65" s="871" t="str">
        <f>IFERROR(__xludf.DUMMYFUNCTION("IF(NOT($BL$4),"""",IF($CR65="""","""",IF($BC65="""","""",IFERROR(query({op.normal!$B$5:$F308},""select Col5, toDate(Col2) where Col1 =  '""&amp;$CR65&amp;""' and Col4 &gt; 0 and ((Col3 is null) or (Col3 = 'C')) and Col2 &gt;= date '""&amp;TEXT(TODAY()-$AQ$5,""yyyy-mm-dd"")"&amp;"&amp;""' order by Col2 desc limit 1 label toDate(Col2) ''"")))))"),"")</f>
        <v/>
      </c>
      <c r="CM65" s="872"/>
      <c r="CN65" s="883" t="s">
        <v>123</v>
      </c>
      <c r="CO65" s="874" t="s">
        <v>123</v>
      </c>
      <c r="CP65" s="766"/>
      <c r="CQ65" s="791"/>
      <c r="CR65" s="791"/>
      <c r="CT65" s="791" t="s">
        <v>123</v>
      </c>
      <c r="CU65" s="791" t="str">
        <f>IFERROR(__xludf.DUMMYFUNCTION("IF(CR65="""","""",IF(CT65=$C$4,1,GOOGLEFINANCE(CT65&amp;$C$4)))"),"")</f>
        <v/>
      </c>
      <c r="CX65" s="836" t="str">
        <f>VLOOKUP(BT5,$CX$11:$CY$29,2,FALSE)</f>
        <v>Col21</v>
      </c>
      <c r="CY65" s="791" t="str">
        <f>VLOOKUP(BT7,$CX$34:$CY$56,2,FALSE)</f>
        <v>Col25</v>
      </c>
    </row>
    <row r="66" ht="22.5" customHeight="1">
      <c r="A66" s="837">
        <v>58.0</v>
      </c>
      <c r="B66" s="838" t="s">
        <v>123</v>
      </c>
      <c r="C66" s="838" t="s">
        <v>123</v>
      </c>
      <c r="D66" s="839" t="s">
        <v>123</v>
      </c>
      <c r="E66" s="839" t="s">
        <v>123</v>
      </c>
      <c r="F66" s="839" t="s">
        <v>123</v>
      </c>
      <c r="G66" s="56"/>
      <c r="H66" s="884"/>
      <c r="I66" s="838"/>
      <c r="J66" s="838"/>
      <c r="K66" s="838"/>
      <c r="L66" s="838"/>
      <c r="M66" s="838"/>
      <c r="N66" s="838"/>
      <c r="O66" s="838"/>
      <c r="P66" s="838"/>
      <c r="Q66" s="838"/>
      <c r="R66" s="838"/>
      <c r="S66" s="838"/>
      <c r="T66" s="838"/>
      <c r="U66" s="838"/>
      <c r="V66" s="838"/>
      <c r="W66" s="838"/>
      <c r="X66" s="838"/>
      <c r="Z66" s="875" t="str">
        <f>IFERROR(__xludf.DUMMYFUNCTION("IF($CR66="""","""",IFERROR(query({CarteirasAtivos},""select Col4 where Col4 is not null and Col1 = '""&amp;$CR66&amp;""' limit 1"")*CU66,""NC""))"),"")</f>
        <v/>
      </c>
      <c r="AA66" s="876" t="str">
        <f>IFERROR(__xludf.DUMMYFUNCTION("IF($CR66="""","""",IFERROR(query({CarteirasAtivos},""select Col6 where Col4 is not null and Col1 = '""&amp;$CR66&amp;""' limit 1""),""NC""))"),"")</f>
        <v/>
      </c>
      <c r="AB66" s="877"/>
      <c r="AC66" s="878" t="s">
        <v>123</v>
      </c>
      <c r="AD66" s="845" t="str">
        <f>IF($CR66="","",IFERROR(VLOOKUP($CR66,ativos.!$C$3:$R308,MATCH("cotacao",ativos.!$C$2:CY$2,0),FALSE)*$CU$5,"atualizar"))</f>
        <v/>
      </c>
      <c r="AE66" s="846" t="str">
        <f>IFERROR(__xludf.DUMMYFUNCTION("IF($CR66="""","""",IFERROR(AVERAGE(query({CarteirasAtivos;CarteirasAtivosEncerrados},""select Col5 where Col5 is not null and Col1 = '""&amp;$CR66&amp;""' and Col10='SIM'""))*CU66,""NC""))"),"")</f>
        <v/>
      </c>
      <c r="AF66" s="847" t="str">
        <f t="shared" si="1"/>
        <v/>
      </c>
      <c r="AG66" s="442"/>
      <c r="AH66" s="848" t="str">
        <f>IFERROR(__xludf.DUMMYFUNCTION("IF($CR66="""","""",IFERROR(GOOGLEFINANCE($CR66,""low52"")*CU66,""-""))"),"")</f>
        <v/>
      </c>
      <c r="AI66" s="848" t="str">
        <f>IFERROR(__xludf.DUMMYFUNCTION("IF($CR66="""","""",IFERROR(GOOGLEFINANCE($CR66,""high52"")*CU66,""-""))"),"")</f>
        <v/>
      </c>
      <c r="AJ66" s="849" t="s">
        <v>123</v>
      </c>
      <c r="AK66" s="850" t="str">
        <f>IFERROR(__xludf.DUMMYFUNCTION("IF($CR66="""","""",IFERROR(GOOGLEFINANCE($CR66,""changepct"")/100,""-""))"),"")</f>
        <v/>
      </c>
      <c r="AL66" s="851" t="str">
        <f>IFERROR(__xludf.DUMMYFUNCTION("IF($CR66="""","""",IFERROR(($AD66/(QUERY(GOOGLEFINANCE($CR66,""price"",TODAY()-7),""SELECT Col2 label Col2 ''"")*$CU66)-1),""-""))"),"")</f>
        <v/>
      </c>
      <c r="AM66" s="851" t="str">
        <f>IFERROR(__xludf.DUMMYFUNCTION("IF($CR66="""","""",IFERROR(($AD66/(QUERY(GOOGLEFINANCE($CR66,""price"",TODAY()-14),""SELECT Col2 label Col2 ''"")*$CU66)-1),""-""))"),"")</f>
        <v/>
      </c>
      <c r="AN66" s="851" t="str">
        <f>IFERROR(__xludf.DUMMYFUNCTION("IF($CR66="""","""",IFERROR(($AD66/(QUERY(GOOGLEFINANCE($CR66,""price"",TODAY()-28),""SELECT Col2 label Col2 ''"")*$CU66)-1),""-""))"),"")</f>
        <v/>
      </c>
      <c r="AO66" s="851" t="str">
        <f>IFERROR(__xludf.DUMMYFUNCTION("IF($CR66="""","""",IFERROR(($AD66/(QUERY(GOOGLEFINANCE($CR66,""price"",TODAY()-$AQ$5),""SELECT Col2 label Col2 ''"")*$CU66)-1),""-""))"),"")</f>
        <v/>
      </c>
      <c r="AP66" s="852" t="str">
        <f>IFERROR(__xludf.DUMMYFUNCTION("IF($CR66="""","""",IFERROR(SPARKLINE(query(GOOGLEFINANCE($CR66,""price"",TODAY()-$AQ$5,TODAY(),1),""select Col2 label Col2 ''""),IF($AP$7=""Gráfico de barras"",{""charttype"",""column"";""highcolor"",""red""},{""chartype"",""line""}))))"),"")</f>
        <v/>
      </c>
      <c r="AQ66" s="144"/>
      <c r="AR66" s="853"/>
      <c r="AS66" s="854" t="str">
        <f>IF($CR66="","",IF(NOT('alocação'!$D$1),"off",IFERROR(VLOOKUP(CR66,BalanceAtivos,3,0),"NC")))</f>
        <v/>
      </c>
      <c r="AT66" s="855" t="str">
        <f>IF($CR66="","",IF(NOT('alocação'!$D$1),"off",IFERROR(VLOOKUP($CR66,BalanceAtivos,4,0)*$CU$5,"NC")))</f>
        <v/>
      </c>
      <c r="AU66" s="856" t="str">
        <f>IF($CR66="","",IF(NOT('alocação'!$D$1),"off",IFERROR(VLOOKUP($CR66,BalanceAtivos,5,0),"-")))</f>
        <v/>
      </c>
      <c r="AV66" s="856" t="str">
        <f>IF($CR66="","",IF(NOT('alocação'!$D$1),"off",IFERROR(VLOOKUP($CR66,BalanceAtivos,6,0),"-")))</f>
        <v/>
      </c>
      <c r="AW66" s="857"/>
      <c r="AX66" s="858" t="str">
        <f>IF($CR66="","",IF($E66="","SP",IFERROR(VLOOKUP($CR66,AtivosDados,MATCH("pm_atual",portfolio.!$A$3:CY$3,0),0)*$CU$5,0)))</f>
        <v/>
      </c>
      <c r="AY66" s="859" t="str">
        <f t="shared" si="2"/>
        <v/>
      </c>
      <c r="AZ66" s="858" t="str">
        <f>IF($CR66="","",IF($E66="","SP",SUMIF(portfolio.!$A$4:$A308,$CR66,portfolio.!$O$4:$O308)*$CU$5))</f>
        <v/>
      </c>
      <c r="BA66" s="858" t="str">
        <f>IF($CR66="","",IF($E66="","SP",SUMIF(portfolio.!$A$4:$A308,$CR66,portfolio.!$AN$4:$AN308)*$CU$5))</f>
        <v/>
      </c>
      <c r="BB66" s="860" t="str">
        <f>IF($CR66="","",IF($E66="","-",IFERROR($BA66/'portfólio'!$DG$63,"")))</f>
        <v/>
      </c>
      <c r="BC66" s="861" t="str">
        <f>IF($CR66="","",IF($E66="","-",SUMIF(portfolio.!$A$4:$A308,$CR66,portfolio.!$J$4:$J308)))</f>
        <v/>
      </c>
      <c r="BD66" s="862" t="str">
        <f>IF($CR66="","",IF($E66="","SP",SUMIF(portfolio.!$A$4:$A308,$CR66,portfolio.!$AQ$4:$AQ308)*$CU$5))</f>
        <v/>
      </c>
      <c r="BE66" s="850" t="str">
        <f t="shared" si="3"/>
        <v/>
      </c>
      <c r="BF66" s="862" t="str">
        <f>IF($CR66="","",IF($E66="","-",SUMIF(portfolio.!$A$4:$A308,$CR66,portfolio.!$AX$4:$AX308)*$CU$5))</f>
        <v/>
      </c>
      <c r="BG66" s="545"/>
      <c r="BH66" s="879" t="s">
        <v>123</v>
      </c>
      <c r="BI66" s="880" t="s">
        <v>123</v>
      </c>
      <c r="BJ66" s="863" t="str">
        <f>IFERROR(__xludf.DUMMYFUNCTION("IF(NOT($BL$4),"""",IF($CR66="""","""",IFERROR(query({GOOGLEFINANCE($CR66,""price"",IF($BI66=""-"",TODAY()-($AQ$5+5),$BI66),TODAY()-1)},""Select max(Col2) where Col1 is not null label max(Col2) ''"")*CU66,""-"")))"),"")</f>
        <v/>
      </c>
      <c r="BK66" s="881" t="s">
        <v>123</v>
      </c>
      <c r="BL66" s="882" t="s">
        <v>123</v>
      </c>
      <c r="BM66" s="442"/>
      <c r="BN66" s="867" t="str">
        <f>IFERROR(__xludf.DUMMYFUNCTION("IF(CR66="""","""",IF(OR(C66=""AÇÃO"",C66=""BDR""),IFERROR(QUERY({fundamentus.!$A$3:$U308},$CX$67&amp;"" where Col1='""&amp;CR66&amp;""' limit 1"",0)),IF(C66=""FII"",IFERROR(QUERY({fundsexplorer.!$A$2:$Z308},$CY$67&amp;"" where Col1='""&amp;CR66&amp;""' limit 1"",0)),"""")))"),"")</f>
        <v/>
      </c>
      <c r="BO66" s="867"/>
      <c r="BP66" s="867"/>
      <c r="BQ66" s="867"/>
      <c r="BR66" s="867"/>
      <c r="BS66" s="867"/>
      <c r="BT66" s="867"/>
      <c r="BU66" s="442"/>
      <c r="BV66" s="868" t="str">
        <f>IFERROR(__xludf.DUMMYFUNCTION("IF(OR(C66=""AÇÃO"",C66=""BDR""),IFERROR(GOOGLEFINANCE(CONCAT(""BVMF:"",CR66), ""marketcap"")/1000000,""NC""),"""")"),"")</f>
        <v/>
      </c>
      <c r="BW66" s="869" t="s">
        <v>123</v>
      </c>
      <c r="BX66" s="870" t="s">
        <v>123</v>
      </c>
      <c r="BY66" s="868" t="s">
        <v>123</v>
      </c>
      <c r="BZ66" s="870" t="s">
        <v>123</v>
      </c>
      <c r="CA66" s="868" t="s">
        <v>123</v>
      </c>
      <c r="CB66" s="868" t="s">
        <v>123</v>
      </c>
      <c r="CC66" s="868" t="s">
        <v>123</v>
      </c>
      <c r="CD66" s="868" t="str">
        <f>IFERROR(__xludf.DUMMYFUNCTION("IF(OR(C66=""AÇÃO"",C66=""BDR""),IFERROR(GOOGLEFINANCE(CONCAT(""BVMF:"",CR66), ""volumeavg"")/1000000,""NC""),"""")"),"")</f>
        <v/>
      </c>
      <c r="CE66" s="870" t="s">
        <v>123</v>
      </c>
      <c r="CF66" s="870" t="s">
        <v>123</v>
      </c>
      <c r="CG66" s="870" t="str">
        <f>IFERROR(__xludf.DUMMYFUNCTION("IF(OR(C66=""AÇÃO"",C66=""BDR""),IF(CF66=0,""SEM DY"",IFERROR(ImportXML(CONCAT(""http://www.guiainvest.com.br/raiox/default.aspx?sigla="",$CR66),""//*[@id='lbPayoutAtual']""),""NC"")),"""")"),"")</f>
        <v/>
      </c>
      <c r="CH66" s="870" t="s">
        <v>123</v>
      </c>
      <c r="CI66" s="545"/>
      <c r="CJ66" s="871" t="str">
        <f>IFERROR(__xludf.DUMMYFUNCTION("IF(OR(C66=""AÇÃO"",C66=""BDR""),IFERROR(GOOGLEFINANCE(CONCAT(""BVMF:"",CR66), ""eps""),""NC""),"""")"),"")</f>
        <v/>
      </c>
      <c r="CK66" s="442"/>
      <c r="CL66" s="871" t="str">
        <f>IFERROR(__xludf.DUMMYFUNCTION("IF(NOT($BL$4),"""",IF($CR66="""","""",IF($BC66="""","""",IFERROR(query({op.normal!$B$5:$F308},""select Col5, toDate(Col2) where Col1 =  '""&amp;$CR66&amp;""' and Col4 &gt; 0 and ((Col3 is null) or (Col3 = 'C')) and Col2 &gt;= date '""&amp;TEXT(TODAY()-$AQ$5,""yyyy-mm-dd"")"&amp;"&amp;""' order by Col2 desc limit 1 label toDate(Col2) ''"")))))"),"")</f>
        <v/>
      </c>
      <c r="CM66" s="872"/>
      <c r="CN66" s="883" t="s">
        <v>123</v>
      </c>
      <c r="CO66" s="874" t="s">
        <v>123</v>
      </c>
      <c r="CP66" s="766"/>
      <c r="CQ66" s="791"/>
      <c r="CR66" s="791"/>
      <c r="CT66" s="791" t="s">
        <v>123</v>
      </c>
      <c r="CU66" s="791" t="str">
        <f>IFERROR(__xludf.DUMMYFUNCTION("IF(CR66="""","""",IF(CT66=$C$4,1,GOOGLEFINANCE(CT66&amp;$C$4)))"),"")</f>
        <v/>
      </c>
      <c r="CX66" s="836" t="s">
        <v>607</v>
      </c>
      <c r="CY66" s="836" t="s">
        <v>608</v>
      </c>
    </row>
    <row r="67" ht="22.5" customHeight="1">
      <c r="A67" s="837">
        <v>59.0</v>
      </c>
      <c r="B67" s="838" t="s">
        <v>123</v>
      </c>
      <c r="C67" s="838" t="s">
        <v>123</v>
      </c>
      <c r="D67" s="839" t="s">
        <v>123</v>
      </c>
      <c r="E67" s="839" t="s">
        <v>123</v>
      </c>
      <c r="F67" s="839" t="s">
        <v>123</v>
      </c>
      <c r="G67" s="56"/>
      <c r="H67" s="884"/>
      <c r="I67" s="838"/>
      <c r="J67" s="838"/>
      <c r="K67" s="838"/>
      <c r="L67" s="838"/>
      <c r="M67" s="838"/>
      <c r="N67" s="838"/>
      <c r="O67" s="838"/>
      <c r="P67" s="838"/>
      <c r="Q67" s="838"/>
      <c r="R67" s="838"/>
      <c r="S67" s="838"/>
      <c r="T67" s="838"/>
      <c r="U67" s="838"/>
      <c r="V67" s="838"/>
      <c r="W67" s="838"/>
      <c r="X67" s="838"/>
      <c r="Z67" s="875" t="str">
        <f>IFERROR(__xludf.DUMMYFUNCTION("IF($CR67="""","""",IFERROR(query({CarteirasAtivos},""select Col4 where Col4 is not null and Col1 = '""&amp;$CR67&amp;""' limit 1"")*CU67,""NC""))"),"")</f>
        <v/>
      </c>
      <c r="AA67" s="876" t="str">
        <f>IFERROR(__xludf.DUMMYFUNCTION("IF($CR67="""","""",IFERROR(query({CarteirasAtivos},""select Col6 where Col4 is not null and Col1 = '""&amp;$CR67&amp;""' limit 1""),""NC""))"),"")</f>
        <v/>
      </c>
      <c r="AB67" s="877"/>
      <c r="AC67" s="878" t="s">
        <v>123</v>
      </c>
      <c r="AD67" s="845" t="str">
        <f>IF($CR67="","",IFERROR(VLOOKUP($CR67,ativos.!$C$3:$R308,MATCH("cotacao",ativos.!$C$2:CY$2,0),FALSE)*$CU$5,"atualizar"))</f>
        <v/>
      </c>
      <c r="AE67" s="846" t="str">
        <f>IFERROR(__xludf.DUMMYFUNCTION("IF($CR67="""","""",IFERROR(AVERAGE(query({CarteirasAtivos;CarteirasAtivosEncerrados},""select Col5 where Col5 is not null and Col1 = '""&amp;$CR67&amp;""' and Col10='SIM'""))*CU67,""NC""))"),"")</f>
        <v/>
      </c>
      <c r="AF67" s="847" t="str">
        <f t="shared" si="1"/>
        <v/>
      </c>
      <c r="AG67" s="442"/>
      <c r="AH67" s="848" t="str">
        <f>IFERROR(__xludf.DUMMYFUNCTION("IF($CR67="""","""",IFERROR(GOOGLEFINANCE($CR67,""low52"")*CU67,""-""))"),"")</f>
        <v/>
      </c>
      <c r="AI67" s="848" t="str">
        <f>IFERROR(__xludf.DUMMYFUNCTION("IF($CR67="""","""",IFERROR(GOOGLEFINANCE($CR67,""high52"")*CU67,""-""))"),"")</f>
        <v/>
      </c>
      <c r="AJ67" s="849" t="s">
        <v>123</v>
      </c>
      <c r="AK67" s="850" t="str">
        <f>IFERROR(__xludf.DUMMYFUNCTION("IF($CR67="""","""",IFERROR(GOOGLEFINANCE($CR67,""changepct"")/100,""-""))"),"")</f>
        <v/>
      </c>
      <c r="AL67" s="851" t="str">
        <f>IFERROR(__xludf.DUMMYFUNCTION("IF($CR67="""","""",IFERROR(($AD67/(QUERY(GOOGLEFINANCE($CR67,""price"",TODAY()-7),""SELECT Col2 label Col2 ''"")*$CU67)-1),""-""))"),"")</f>
        <v/>
      </c>
      <c r="AM67" s="851" t="str">
        <f>IFERROR(__xludf.DUMMYFUNCTION("IF($CR67="""","""",IFERROR(($AD67/(QUERY(GOOGLEFINANCE($CR67,""price"",TODAY()-14),""SELECT Col2 label Col2 ''"")*$CU67)-1),""-""))"),"")</f>
        <v/>
      </c>
      <c r="AN67" s="851" t="str">
        <f>IFERROR(__xludf.DUMMYFUNCTION("IF($CR67="""","""",IFERROR(($AD67/(QUERY(GOOGLEFINANCE($CR67,""price"",TODAY()-28),""SELECT Col2 label Col2 ''"")*$CU67)-1),""-""))"),"")</f>
        <v/>
      </c>
      <c r="AO67" s="851" t="str">
        <f>IFERROR(__xludf.DUMMYFUNCTION("IF($CR67="""","""",IFERROR(($AD67/(QUERY(GOOGLEFINANCE($CR67,""price"",TODAY()-$AQ$5),""SELECT Col2 label Col2 ''"")*$CU67)-1),""-""))"),"")</f>
        <v/>
      </c>
      <c r="AP67" s="852" t="str">
        <f>IFERROR(__xludf.DUMMYFUNCTION("IF($CR67="""","""",IFERROR(SPARKLINE(query(GOOGLEFINANCE($CR67,""price"",TODAY()-$AQ$5,TODAY(),1),""select Col2 label Col2 ''""),IF($AP$7=""Gráfico de barras"",{""charttype"",""column"";""highcolor"",""red""},{""chartype"",""line""}))))"),"")</f>
        <v/>
      </c>
      <c r="AQ67" s="144"/>
      <c r="AR67" s="853"/>
      <c r="AS67" s="854" t="str">
        <f>IF($CR67="","",IF(NOT('alocação'!$D$1),"off",IFERROR(VLOOKUP(CR67,BalanceAtivos,3,0),"NC")))</f>
        <v/>
      </c>
      <c r="AT67" s="855" t="str">
        <f>IF($CR67="","",IF(NOT('alocação'!$D$1),"off",IFERROR(VLOOKUP($CR67,BalanceAtivos,4,0)*$CU$5,"NC")))</f>
        <v/>
      </c>
      <c r="AU67" s="856" t="str">
        <f>IF($CR67="","",IF(NOT('alocação'!$D$1),"off",IFERROR(VLOOKUP($CR67,BalanceAtivos,5,0),"-")))</f>
        <v/>
      </c>
      <c r="AV67" s="856" t="str">
        <f>IF($CR67="","",IF(NOT('alocação'!$D$1),"off",IFERROR(VLOOKUP($CR67,BalanceAtivos,6,0),"-")))</f>
        <v/>
      </c>
      <c r="AW67" s="857"/>
      <c r="AX67" s="858" t="str">
        <f>IF($CR67="","",IF($E67="","SP",IFERROR(VLOOKUP($CR67,AtivosDados,MATCH("pm_atual",portfolio.!$A$3:CY$3,0),0)*$CU$5,0)))</f>
        <v/>
      </c>
      <c r="AY67" s="859" t="str">
        <f t="shared" si="2"/>
        <v/>
      </c>
      <c r="AZ67" s="858" t="str">
        <f>IF($CR67="","",IF($E67="","SP",SUMIF(portfolio.!$A$4:$A308,$CR67,portfolio.!$O$4:$O308)*$CU$5))</f>
        <v/>
      </c>
      <c r="BA67" s="858" t="str">
        <f>IF($CR67="","",IF($E67="","SP",SUMIF(portfolio.!$A$4:$A308,$CR67,portfolio.!$AN$4:$AN308)*$CU$5))</f>
        <v/>
      </c>
      <c r="BB67" s="860" t="str">
        <f>IF($CR67="","",IF($E67="","-",IFERROR($BA67/'portfólio'!$DG$63,"")))</f>
        <v/>
      </c>
      <c r="BC67" s="861" t="str">
        <f>IF($CR67="","",IF($E67="","-",SUMIF(portfolio.!$A$4:$A308,$CR67,portfolio.!$J$4:$J308)))</f>
        <v/>
      </c>
      <c r="BD67" s="862" t="str">
        <f>IF($CR67="","",IF($E67="","SP",SUMIF(portfolio.!$A$4:$A308,$CR67,portfolio.!$AQ$4:$AQ308)*$CU$5))</f>
        <v/>
      </c>
      <c r="BE67" s="850" t="str">
        <f t="shared" si="3"/>
        <v/>
      </c>
      <c r="BF67" s="862" t="str">
        <f>IF($CR67="","",IF($E67="","-",SUMIF(portfolio.!$A$4:$A308,$CR67,portfolio.!$AX$4:$AX308)*$CU$5))</f>
        <v/>
      </c>
      <c r="BG67" s="545"/>
      <c r="BH67" s="879" t="s">
        <v>123</v>
      </c>
      <c r="BI67" s="880" t="s">
        <v>123</v>
      </c>
      <c r="BJ67" s="863" t="str">
        <f>IFERROR(__xludf.DUMMYFUNCTION("IF(NOT($BL$4),"""",IF($CR67="""","""",IFERROR(query({GOOGLEFINANCE($CR67,""price"",IF($BI67=""-"",TODAY()-($AQ$5+5),$BI67),TODAY()-1)},""Select max(Col2) where Col1 is not null label max(Col2) ''"")*CU67,""-"")))"),"")</f>
        <v/>
      </c>
      <c r="BK67" s="881" t="s">
        <v>123</v>
      </c>
      <c r="BL67" s="882" t="s">
        <v>123</v>
      </c>
      <c r="BM67" s="442"/>
      <c r="BN67" s="867" t="str">
        <f>IFERROR(__xludf.DUMMYFUNCTION("IF(CR67="""","""",IF(OR(C67=""AÇÃO"",C67=""BDR""),IFERROR(QUERY({fundamentus.!$A$3:$U308},$CX$67&amp;"" where Col1='""&amp;CR67&amp;""' limit 1"",0)),IF(C67=""FII"",IFERROR(QUERY({fundsexplorer.!$A$2:$Z308},$CY$67&amp;"" where Col1='""&amp;CR67&amp;""' limit 1"",0)),"""")))"),"")</f>
        <v/>
      </c>
      <c r="BO67" s="867"/>
      <c r="BP67" s="867"/>
      <c r="BQ67" s="867"/>
      <c r="BR67" s="867"/>
      <c r="BS67" s="867"/>
      <c r="BT67" s="867"/>
      <c r="BU67" s="442"/>
      <c r="BV67" s="868" t="str">
        <f>IFERROR(__xludf.DUMMYFUNCTION("IF(OR(C67=""AÇÃO"",C67=""BDR""),IFERROR(GOOGLEFINANCE(CONCAT(""BVMF:"",CR67), ""marketcap"")/1000000,""NC""),"""")"),"")</f>
        <v/>
      </c>
      <c r="BW67" s="869" t="s">
        <v>123</v>
      </c>
      <c r="BX67" s="870" t="s">
        <v>123</v>
      </c>
      <c r="BY67" s="868" t="s">
        <v>123</v>
      </c>
      <c r="BZ67" s="870" t="s">
        <v>123</v>
      </c>
      <c r="CA67" s="868" t="s">
        <v>123</v>
      </c>
      <c r="CB67" s="868" t="s">
        <v>123</v>
      </c>
      <c r="CC67" s="868" t="s">
        <v>123</v>
      </c>
      <c r="CD67" s="868" t="str">
        <f>IFERROR(__xludf.DUMMYFUNCTION("IF(OR(C67=""AÇÃO"",C67=""BDR""),IFERROR(GOOGLEFINANCE(CONCAT(""BVMF:"",CR67), ""volumeavg"")/1000000,""NC""),"""")"),"")</f>
        <v/>
      </c>
      <c r="CE67" s="870" t="s">
        <v>123</v>
      </c>
      <c r="CF67" s="870" t="s">
        <v>123</v>
      </c>
      <c r="CG67" s="870" t="str">
        <f>IFERROR(__xludf.DUMMYFUNCTION("IF(OR(C67=""AÇÃO"",C67=""BDR""),IF(CF67=0,""SEM DY"",IFERROR(ImportXML(CONCAT(""http://www.guiainvest.com.br/raiox/default.aspx?sigla="",$CR67),""//*[@id='lbPayoutAtual']""),""NC"")),"""")"),"")</f>
        <v/>
      </c>
      <c r="CH67" s="870" t="s">
        <v>123</v>
      </c>
      <c r="CI67" s="545"/>
      <c r="CJ67" s="871" t="str">
        <f>IFERROR(__xludf.DUMMYFUNCTION("IF(OR(C67=""AÇÃO"",C67=""BDR""),IFERROR(GOOGLEFINANCE(CONCAT(""BVMF:"",CR67), ""eps""),""NC""),"""")"),"")</f>
        <v/>
      </c>
      <c r="CK67" s="442"/>
      <c r="CL67" s="871" t="str">
        <f>IFERROR(__xludf.DUMMYFUNCTION("IF(NOT($BL$4),"""",IF($CR67="""","""",IF($BC67="""","""",IFERROR(query({op.normal!$B$5:$F308},""select Col5, toDate(Col2) where Col1 =  '""&amp;$CR67&amp;""' and Col4 &gt; 0 and ((Col3 is null) or (Col3 = 'C')) and Col2 &gt;= date '""&amp;TEXT(TODAY()-$AQ$5,""yyyy-mm-dd"")"&amp;"&amp;""' order by Col2 desc limit 1 label toDate(Col2) ''"")))))"),"")</f>
        <v/>
      </c>
      <c r="CM67" s="872"/>
      <c r="CN67" s="883" t="s">
        <v>123</v>
      </c>
      <c r="CO67" s="874" t="s">
        <v>123</v>
      </c>
      <c r="CP67" s="766"/>
      <c r="CQ67" s="791"/>
      <c r="CR67" s="791"/>
      <c r="CT67" s="791" t="s">
        <v>123</v>
      </c>
      <c r="CU67" s="791" t="str">
        <f>IFERROR(__xludf.DUMMYFUNCTION("IF(CR67="""","""",IF(CT67=$C$4,1,GOOGLEFINANCE(CT67&amp;$C$4)))"),"")</f>
        <v/>
      </c>
      <c r="CX67" s="885" t="str">
        <f>IFERROR(__xludf.DUMMYFUNCTION("""select ""&amp;join("", "",CX59:CX65)"),"select Col3, Col17, Col6, Col14, Col13, Col20, Col21")</f>
        <v>select Col3, Col17, Col6, Col14, Col13, Col20, Col21</v>
      </c>
      <c r="CY67" s="885" t="str">
        <f>IFERROR(__xludf.DUMMYFUNCTION("""select ""&amp;join("", "",CY59:CY65)"),"select Col19, Col6, Col10, Col11, Col12, Col24, Col25")</f>
        <v>select Col19, Col6, Col10, Col11, Col12, Col24, Col25</v>
      </c>
    </row>
    <row r="68" ht="22.5" customHeight="1">
      <c r="A68" s="837">
        <v>60.0</v>
      </c>
      <c r="B68" s="838" t="s">
        <v>123</v>
      </c>
      <c r="C68" s="838" t="s">
        <v>123</v>
      </c>
      <c r="D68" s="839" t="s">
        <v>123</v>
      </c>
      <c r="E68" s="839" t="s">
        <v>123</v>
      </c>
      <c r="F68" s="839" t="s">
        <v>123</v>
      </c>
      <c r="G68" s="56"/>
      <c r="H68" s="884"/>
      <c r="I68" s="838"/>
      <c r="J68" s="838"/>
      <c r="K68" s="838"/>
      <c r="L68" s="838"/>
      <c r="M68" s="838"/>
      <c r="N68" s="838"/>
      <c r="O68" s="838"/>
      <c r="P68" s="838"/>
      <c r="Q68" s="838"/>
      <c r="R68" s="838"/>
      <c r="S68" s="838"/>
      <c r="T68" s="838"/>
      <c r="U68" s="838"/>
      <c r="V68" s="838"/>
      <c r="W68" s="838"/>
      <c r="X68" s="838"/>
      <c r="Z68" s="875" t="str">
        <f>IFERROR(__xludf.DUMMYFUNCTION("IF($CR68="""","""",IFERROR(query({CarteirasAtivos},""select Col4 where Col4 is not null and Col1 = '""&amp;$CR68&amp;""' limit 1"")*CU68,""NC""))"),"")</f>
        <v/>
      </c>
      <c r="AA68" s="876" t="str">
        <f>IFERROR(__xludf.DUMMYFUNCTION("IF($CR68="""","""",IFERROR(query({CarteirasAtivos},""select Col6 where Col4 is not null and Col1 = '""&amp;$CR68&amp;""' limit 1""),""NC""))"),"")</f>
        <v/>
      </c>
      <c r="AB68" s="877"/>
      <c r="AC68" s="878" t="s">
        <v>123</v>
      </c>
      <c r="AD68" s="845" t="str">
        <f>IF($CR68="","",IFERROR(VLOOKUP($CR68,ativos.!$C$3:$R308,MATCH("cotacao",ativos.!$C$2:CY$2,0),FALSE)*$CU$5,"atualizar"))</f>
        <v/>
      </c>
      <c r="AE68" s="846" t="str">
        <f>IFERROR(__xludf.DUMMYFUNCTION("IF($CR68="""","""",IFERROR(AVERAGE(query({CarteirasAtivos;CarteirasAtivosEncerrados},""select Col5 where Col5 is not null and Col1 = '""&amp;$CR68&amp;""' and Col10='SIM'""))*CU68,""NC""))"),"")</f>
        <v/>
      </c>
      <c r="AF68" s="847" t="str">
        <f t="shared" si="1"/>
        <v/>
      </c>
      <c r="AG68" s="442"/>
      <c r="AH68" s="848" t="str">
        <f>IFERROR(__xludf.DUMMYFUNCTION("IF($CR68="""","""",IFERROR(GOOGLEFINANCE($CR68,""low52"")*CU68,""-""))"),"")</f>
        <v/>
      </c>
      <c r="AI68" s="848" t="str">
        <f>IFERROR(__xludf.DUMMYFUNCTION("IF($CR68="""","""",IFERROR(GOOGLEFINANCE($CR68,""high52"")*CU68,""-""))"),"")</f>
        <v/>
      </c>
      <c r="AJ68" s="849" t="s">
        <v>123</v>
      </c>
      <c r="AK68" s="850" t="str">
        <f>IFERROR(__xludf.DUMMYFUNCTION("IF($CR68="""","""",IFERROR(GOOGLEFINANCE($CR68,""changepct"")/100,""-""))"),"")</f>
        <v/>
      </c>
      <c r="AL68" s="851" t="str">
        <f>IFERROR(__xludf.DUMMYFUNCTION("IF($CR68="""","""",IFERROR(($AD68/(QUERY(GOOGLEFINANCE($CR68,""price"",TODAY()-7),""SELECT Col2 label Col2 ''"")*$CU68)-1),""-""))"),"")</f>
        <v/>
      </c>
      <c r="AM68" s="851" t="str">
        <f>IFERROR(__xludf.DUMMYFUNCTION("IF($CR68="""","""",IFERROR(($AD68/(QUERY(GOOGLEFINANCE($CR68,""price"",TODAY()-14),""SELECT Col2 label Col2 ''"")*$CU68)-1),""-""))"),"")</f>
        <v/>
      </c>
      <c r="AN68" s="851" t="str">
        <f>IFERROR(__xludf.DUMMYFUNCTION("IF($CR68="""","""",IFERROR(($AD68/(QUERY(GOOGLEFINANCE($CR68,""price"",TODAY()-28),""SELECT Col2 label Col2 ''"")*$CU68)-1),""-""))"),"")</f>
        <v/>
      </c>
      <c r="AO68" s="851" t="str">
        <f>IFERROR(__xludf.DUMMYFUNCTION("IF($CR68="""","""",IFERROR(($AD68/(QUERY(GOOGLEFINANCE($CR68,""price"",TODAY()-$AQ$5),""SELECT Col2 label Col2 ''"")*$CU68)-1),""-""))"),"")</f>
        <v/>
      </c>
      <c r="AP68" s="852" t="str">
        <f>IFERROR(__xludf.DUMMYFUNCTION("IF($CR68="""","""",IFERROR(SPARKLINE(query(GOOGLEFINANCE($CR68,""price"",TODAY()-$AQ$5,TODAY(),1),""select Col2 label Col2 ''""),IF($AP$7=""Gráfico de barras"",{""charttype"",""column"";""highcolor"",""red""},{""chartype"",""line""}))))"),"")</f>
        <v/>
      </c>
      <c r="AQ68" s="144"/>
      <c r="AR68" s="853"/>
      <c r="AS68" s="854" t="str">
        <f>IF($CR68="","",IF(NOT('alocação'!$D$1),"off",IFERROR(VLOOKUP(CR68,BalanceAtivos,3,0),"NC")))</f>
        <v/>
      </c>
      <c r="AT68" s="855" t="str">
        <f>IF($CR68="","",IF(NOT('alocação'!$D$1),"off",IFERROR(VLOOKUP($CR68,BalanceAtivos,4,0)*$CU$5,"NC")))</f>
        <v/>
      </c>
      <c r="AU68" s="856" t="str">
        <f>IF($CR68="","",IF(NOT('alocação'!$D$1),"off",IFERROR(VLOOKUP($CR68,BalanceAtivos,5,0),"-")))</f>
        <v/>
      </c>
      <c r="AV68" s="856" t="str">
        <f>IF($CR68="","",IF(NOT('alocação'!$D$1),"off",IFERROR(VLOOKUP($CR68,BalanceAtivos,6,0),"-")))</f>
        <v/>
      </c>
      <c r="AW68" s="857"/>
      <c r="AX68" s="858" t="str">
        <f>IF($CR68="","",IF($E68="","SP",IFERROR(VLOOKUP($CR68,AtivosDados,MATCH("pm_atual",portfolio.!$A$3:CY$3,0),0)*$CU$5,0)))</f>
        <v/>
      </c>
      <c r="AY68" s="859" t="str">
        <f t="shared" si="2"/>
        <v/>
      </c>
      <c r="AZ68" s="858" t="str">
        <f>IF($CR68="","",IF($E68="","SP",SUMIF(portfolio.!$A$4:$A308,$CR68,portfolio.!$O$4:$O308)*$CU$5))</f>
        <v/>
      </c>
      <c r="BA68" s="858" t="str">
        <f>IF($CR68="","",IF($E68="","SP",SUMIF(portfolio.!$A$4:$A308,$CR68,portfolio.!$AN$4:$AN308)*$CU$5))</f>
        <v/>
      </c>
      <c r="BB68" s="860" t="str">
        <f>IF($CR68="","",IF($E68="","-",IFERROR($BA68/'portfólio'!$DG$63,"")))</f>
        <v/>
      </c>
      <c r="BC68" s="861" t="str">
        <f>IF($CR68="","",IF($E68="","-",SUMIF(portfolio.!$A$4:$A308,$CR68,portfolio.!$J$4:$J308)))</f>
        <v/>
      </c>
      <c r="BD68" s="862" t="str">
        <f>IF($CR68="","",IF($E68="","SP",SUMIF(portfolio.!$A$4:$A308,$CR68,portfolio.!$AQ$4:$AQ308)*$CU$5))</f>
        <v/>
      </c>
      <c r="BE68" s="850" t="str">
        <f t="shared" si="3"/>
        <v/>
      </c>
      <c r="BF68" s="862" t="str">
        <f>IF($CR68="","",IF($E68="","-",SUMIF(portfolio.!$A$4:$A308,$CR68,portfolio.!$AX$4:$AX308)*$CU$5))</f>
        <v/>
      </c>
      <c r="BG68" s="545"/>
      <c r="BH68" s="879" t="s">
        <v>123</v>
      </c>
      <c r="BI68" s="880" t="s">
        <v>123</v>
      </c>
      <c r="BJ68" s="863" t="str">
        <f>IFERROR(__xludf.DUMMYFUNCTION("IF(NOT($BL$4),"""",IF($CR68="""","""",IFERROR(query({GOOGLEFINANCE($CR68,""price"",IF($BI68=""-"",TODAY()-($AQ$5+5),$BI68),TODAY()-1)},""Select max(Col2) where Col1 is not null label max(Col2) ''"")*CU68,""-"")))"),"")</f>
        <v/>
      </c>
      <c r="BK68" s="881" t="s">
        <v>123</v>
      </c>
      <c r="BL68" s="882" t="s">
        <v>123</v>
      </c>
      <c r="BM68" s="442"/>
      <c r="BN68" s="867" t="str">
        <f>IFERROR(__xludf.DUMMYFUNCTION("IF(CR68="""","""",IF(OR(C68=""AÇÃO"",C68=""BDR""),IFERROR(QUERY({fundamentus.!$A$3:$U308},$CX$67&amp;"" where Col1='""&amp;CR68&amp;""' limit 1"",0)),IF(C68=""FII"",IFERROR(QUERY({fundsexplorer.!$A$2:$Z308},$CY$67&amp;"" where Col1='""&amp;CR68&amp;""' limit 1"",0)),"""")))"),"")</f>
        <v/>
      </c>
      <c r="BO68" s="867"/>
      <c r="BP68" s="867"/>
      <c r="BQ68" s="867"/>
      <c r="BR68" s="867"/>
      <c r="BS68" s="867"/>
      <c r="BT68" s="867"/>
      <c r="BU68" s="442"/>
      <c r="BV68" s="868" t="str">
        <f>IFERROR(__xludf.DUMMYFUNCTION("IF(OR(C68=""AÇÃO"",C68=""BDR""),IFERROR(GOOGLEFINANCE(CONCAT(""BVMF:"",CR68), ""marketcap"")/1000000,""NC""),"""")"),"")</f>
        <v/>
      </c>
      <c r="BW68" s="869" t="s">
        <v>123</v>
      </c>
      <c r="BX68" s="870" t="s">
        <v>123</v>
      </c>
      <c r="BY68" s="868" t="s">
        <v>123</v>
      </c>
      <c r="BZ68" s="870" t="s">
        <v>123</v>
      </c>
      <c r="CA68" s="868" t="s">
        <v>123</v>
      </c>
      <c r="CB68" s="868" t="s">
        <v>123</v>
      </c>
      <c r="CC68" s="868" t="s">
        <v>123</v>
      </c>
      <c r="CD68" s="868" t="str">
        <f>IFERROR(__xludf.DUMMYFUNCTION("IF(OR(C68=""AÇÃO"",C68=""BDR""),IFERROR(GOOGLEFINANCE(CONCAT(""BVMF:"",CR68), ""volumeavg"")/1000000,""NC""),"""")"),"")</f>
        <v/>
      </c>
      <c r="CE68" s="870" t="s">
        <v>123</v>
      </c>
      <c r="CF68" s="870" t="s">
        <v>123</v>
      </c>
      <c r="CG68" s="870" t="str">
        <f>IFERROR(__xludf.DUMMYFUNCTION("IF(OR(C68=""AÇÃO"",C68=""BDR""),IF(CF68=0,""SEM DY"",IFERROR(ImportXML(CONCAT(""http://www.guiainvest.com.br/raiox/default.aspx?sigla="",$CR68),""//*[@id='lbPayoutAtual']""),""NC"")),"""")"),"")</f>
        <v/>
      </c>
      <c r="CH68" s="870" t="s">
        <v>123</v>
      </c>
      <c r="CI68" s="545"/>
      <c r="CJ68" s="871" t="str">
        <f>IFERROR(__xludf.DUMMYFUNCTION("IF(OR(C68=""AÇÃO"",C68=""BDR""),IFERROR(GOOGLEFINANCE(CONCAT(""BVMF:"",CR68), ""eps""),""NC""),"""")"),"")</f>
        <v/>
      </c>
      <c r="CK68" s="442"/>
      <c r="CL68" s="871" t="str">
        <f>IFERROR(__xludf.DUMMYFUNCTION("IF(NOT($BL$4),"""",IF($CR68="""","""",IF($BC68="""","""",IFERROR(query({op.normal!$B$5:$F308},""select Col5, toDate(Col2) where Col1 =  '""&amp;$CR68&amp;""' and Col4 &gt; 0 and ((Col3 is null) or (Col3 = 'C')) and Col2 &gt;= date '""&amp;TEXT(TODAY()-$AQ$5,""yyyy-mm-dd"")"&amp;"&amp;""' order by Col2 desc limit 1 label toDate(Col2) ''"")))))"),"")</f>
        <v/>
      </c>
      <c r="CM68" s="872"/>
      <c r="CN68" s="883" t="s">
        <v>123</v>
      </c>
      <c r="CO68" s="874" t="s">
        <v>123</v>
      </c>
      <c r="CP68" s="766"/>
      <c r="CQ68" s="791"/>
      <c r="CR68" s="791"/>
      <c r="CT68" s="791" t="s">
        <v>123</v>
      </c>
      <c r="CU68" s="791" t="str">
        <f>IFERROR(__xludf.DUMMYFUNCTION("IF(CR68="""","""",IF(CT68=$C$4,1,GOOGLEFINANCE(CT68&amp;$C$4)))"),"")</f>
        <v/>
      </c>
    </row>
    <row r="69" ht="22.5" customHeight="1">
      <c r="A69" s="837">
        <v>61.0</v>
      </c>
      <c r="B69" s="838" t="s">
        <v>123</v>
      </c>
      <c r="C69" s="838" t="s">
        <v>123</v>
      </c>
      <c r="D69" s="839" t="s">
        <v>123</v>
      </c>
      <c r="E69" s="839" t="s">
        <v>123</v>
      </c>
      <c r="F69" s="839" t="s">
        <v>123</v>
      </c>
      <c r="G69" s="56"/>
      <c r="H69" s="884"/>
      <c r="I69" s="838"/>
      <c r="J69" s="838"/>
      <c r="K69" s="838"/>
      <c r="L69" s="838"/>
      <c r="M69" s="838"/>
      <c r="N69" s="838"/>
      <c r="O69" s="838"/>
      <c r="P69" s="838"/>
      <c r="Q69" s="838"/>
      <c r="R69" s="838"/>
      <c r="S69" s="838"/>
      <c r="T69" s="838"/>
      <c r="U69" s="838"/>
      <c r="V69" s="838"/>
      <c r="W69" s="838"/>
      <c r="X69" s="838"/>
      <c r="Z69" s="875" t="str">
        <f>IFERROR(__xludf.DUMMYFUNCTION("IF($CR69="""","""",IFERROR(query({CarteirasAtivos},""select Col4 where Col4 is not null and Col1 = '""&amp;$CR69&amp;""' limit 1"")*CU69,""NC""))"),"")</f>
        <v/>
      </c>
      <c r="AA69" s="876" t="str">
        <f>IFERROR(__xludf.DUMMYFUNCTION("IF($CR69="""","""",IFERROR(query({CarteirasAtivos},""select Col6 where Col4 is not null and Col1 = '""&amp;$CR69&amp;""' limit 1""),""NC""))"),"")</f>
        <v/>
      </c>
      <c r="AB69" s="877"/>
      <c r="AC69" s="878" t="s">
        <v>123</v>
      </c>
      <c r="AD69" s="845" t="str">
        <f>IF($CR69="","",IFERROR(VLOOKUP($CR69,ativos.!$C$3:$R308,MATCH("cotacao",ativos.!$C$2:CY$2,0),FALSE)*$CU$5,"atualizar"))</f>
        <v/>
      </c>
      <c r="AE69" s="846" t="str">
        <f>IFERROR(__xludf.DUMMYFUNCTION("IF($CR69="""","""",IFERROR(AVERAGE(query({CarteirasAtivos;CarteirasAtivosEncerrados},""select Col5 where Col5 is not null and Col1 = '""&amp;$CR69&amp;""' and Col10='SIM'""))*CU69,""NC""))"),"")</f>
        <v/>
      </c>
      <c r="AF69" s="847" t="str">
        <f t="shared" si="1"/>
        <v/>
      </c>
      <c r="AG69" s="442"/>
      <c r="AH69" s="848" t="str">
        <f>IFERROR(__xludf.DUMMYFUNCTION("IF($CR69="""","""",IFERROR(GOOGLEFINANCE($CR69,""low52"")*CU69,""-""))"),"")</f>
        <v/>
      </c>
      <c r="AI69" s="848" t="str">
        <f>IFERROR(__xludf.DUMMYFUNCTION("IF($CR69="""","""",IFERROR(GOOGLEFINANCE($CR69,""high52"")*CU69,""-""))"),"")</f>
        <v/>
      </c>
      <c r="AJ69" s="849" t="s">
        <v>123</v>
      </c>
      <c r="AK69" s="850" t="str">
        <f>IFERROR(__xludf.DUMMYFUNCTION("IF($CR69="""","""",IFERROR(GOOGLEFINANCE($CR69,""changepct"")/100,""-""))"),"")</f>
        <v/>
      </c>
      <c r="AL69" s="851" t="str">
        <f>IFERROR(__xludf.DUMMYFUNCTION("IF($CR69="""","""",IFERROR(($AD69/(QUERY(GOOGLEFINANCE($CR69,""price"",TODAY()-7),""SELECT Col2 label Col2 ''"")*$CU69)-1),""-""))"),"")</f>
        <v/>
      </c>
      <c r="AM69" s="851" t="str">
        <f>IFERROR(__xludf.DUMMYFUNCTION("IF($CR69="""","""",IFERROR(($AD69/(QUERY(GOOGLEFINANCE($CR69,""price"",TODAY()-14),""SELECT Col2 label Col2 ''"")*$CU69)-1),""-""))"),"")</f>
        <v/>
      </c>
      <c r="AN69" s="851" t="str">
        <f>IFERROR(__xludf.DUMMYFUNCTION("IF($CR69="""","""",IFERROR(($AD69/(QUERY(GOOGLEFINANCE($CR69,""price"",TODAY()-28),""SELECT Col2 label Col2 ''"")*$CU69)-1),""-""))"),"")</f>
        <v/>
      </c>
      <c r="AO69" s="851" t="str">
        <f>IFERROR(__xludf.DUMMYFUNCTION("IF($CR69="""","""",IFERROR(($AD69/(QUERY(GOOGLEFINANCE($CR69,""price"",TODAY()-$AQ$5),""SELECT Col2 label Col2 ''"")*$CU69)-1),""-""))"),"")</f>
        <v/>
      </c>
      <c r="AP69" s="852" t="str">
        <f>IFERROR(__xludf.DUMMYFUNCTION("IF($CR69="""","""",IFERROR(SPARKLINE(query(GOOGLEFINANCE($CR69,""price"",TODAY()-$AQ$5,TODAY(),1),""select Col2 label Col2 ''""),IF($AP$7=""Gráfico de barras"",{""charttype"",""column"";""highcolor"",""red""},{""chartype"",""line""}))))"),"")</f>
        <v/>
      </c>
      <c r="AQ69" s="144"/>
      <c r="AR69" s="853"/>
      <c r="AS69" s="854" t="str">
        <f>IF($CR69="","",IF(NOT('alocação'!$D$1),"off",IFERROR(VLOOKUP(CR69,BalanceAtivos,3,0),"NC")))</f>
        <v/>
      </c>
      <c r="AT69" s="855" t="str">
        <f>IF($CR69="","",IF(NOT('alocação'!$D$1),"off",IFERROR(VLOOKUP($CR69,BalanceAtivos,4,0)*$CU$5,"NC")))</f>
        <v/>
      </c>
      <c r="AU69" s="856" t="str">
        <f>IF($CR69="","",IF(NOT('alocação'!$D$1),"off",IFERROR(VLOOKUP($CR69,BalanceAtivos,5,0),"-")))</f>
        <v/>
      </c>
      <c r="AV69" s="856" t="str">
        <f>IF($CR69="","",IF(NOT('alocação'!$D$1),"off",IFERROR(VLOOKUP($CR69,BalanceAtivos,6,0),"-")))</f>
        <v/>
      </c>
      <c r="AW69" s="857"/>
      <c r="AX69" s="858" t="str">
        <f>IF($CR69="","",IF($E69="","SP",IFERROR(VLOOKUP($CR69,AtivosDados,MATCH("pm_atual",portfolio.!$A$3:CY$3,0),0)*$CU$5,0)))</f>
        <v/>
      </c>
      <c r="AY69" s="859" t="str">
        <f t="shared" si="2"/>
        <v/>
      </c>
      <c r="AZ69" s="858" t="str">
        <f>IF($CR69="","",IF($E69="","SP",SUMIF(portfolio.!$A$4:$A308,$CR69,portfolio.!$O$4:$O308)*$CU$5))</f>
        <v/>
      </c>
      <c r="BA69" s="858" t="str">
        <f>IF($CR69="","",IF($E69="","SP",SUMIF(portfolio.!$A$4:$A308,$CR69,portfolio.!$AN$4:$AN308)*$CU$5))</f>
        <v/>
      </c>
      <c r="BB69" s="860" t="str">
        <f>IF($CR69="","",IF($E69="","-",IFERROR($BA69/'portfólio'!$DG$63,"")))</f>
        <v/>
      </c>
      <c r="BC69" s="861" t="str">
        <f>IF($CR69="","",IF($E69="","-",SUMIF(portfolio.!$A$4:$A308,$CR69,portfolio.!$J$4:$J308)))</f>
        <v/>
      </c>
      <c r="BD69" s="862" t="str">
        <f>IF($CR69="","",IF($E69="","SP",SUMIF(portfolio.!$A$4:$A308,$CR69,portfolio.!$AQ$4:$AQ308)*$CU$5))</f>
        <v/>
      </c>
      <c r="BE69" s="850" t="str">
        <f t="shared" si="3"/>
        <v/>
      </c>
      <c r="BF69" s="862" t="str">
        <f>IF($CR69="","",IF($E69="","-",SUMIF(portfolio.!$A$4:$A308,$CR69,portfolio.!$AX$4:$AX308)*$CU$5))</f>
        <v/>
      </c>
      <c r="BG69" s="545"/>
      <c r="BH69" s="879" t="s">
        <v>123</v>
      </c>
      <c r="BI69" s="880" t="s">
        <v>123</v>
      </c>
      <c r="BJ69" s="863" t="str">
        <f>IFERROR(__xludf.DUMMYFUNCTION("IF(NOT($BL$4),"""",IF($CR69="""","""",IFERROR(query({GOOGLEFINANCE($CR69,""price"",IF($BI69=""-"",TODAY()-($AQ$5+5),$BI69),TODAY()-1)},""Select max(Col2) where Col1 is not null label max(Col2) ''"")*CU69,""-"")))"),"")</f>
        <v/>
      </c>
      <c r="BK69" s="881" t="s">
        <v>123</v>
      </c>
      <c r="BL69" s="882" t="s">
        <v>123</v>
      </c>
      <c r="BM69" s="442"/>
      <c r="BN69" s="867" t="str">
        <f>IFERROR(__xludf.DUMMYFUNCTION("IF(CR69="""","""",IF(OR(C69=""AÇÃO"",C69=""BDR""),IFERROR(QUERY({fundamentus.!$A$3:$U308},$CX$67&amp;"" where Col1='""&amp;CR69&amp;""' limit 1"",0)),IF(C69=""FII"",IFERROR(QUERY({fundsexplorer.!$A$2:$Z308},$CY$67&amp;"" where Col1='""&amp;CR69&amp;""' limit 1"",0)),"""")))"),"")</f>
        <v/>
      </c>
      <c r="BO69" s="867"/>
      <c r="BP69" s="867"/>
      <c r="BQ69" s="867"/>
      <c r="BR69" s="867"/>
      <c r="BS69" s="867"/>
      <c r="BT69" s="867"/>
      <c r="BU69" s="442"/>
      <c r="BV69" s="868" t="str">
        <f>IFERROR(__xludf.DUMMYFUNCTION("IF(OR(C69=""AÇÃO"",C69=""BDR""),IFERROR(GOOGLEFINANCE(CONCAT(""BVMF:"",CR69), ""marketcap"")/1000000,""NC""),"""")"),"")</f>
        <v/>
      </c>
      <c r="BW69" s="869" t="s">
        <v>123</v>
      </c>
      <c r="BX69" s="870" t="s">
        <v>123</v>
      </c>
      <c r="BY69" s="868" t="s">
        <v>123</v>
      </c>
      <c r="BZ69" s="870" t="s">
        <v>123</v>
      </c>
      <c r="CA69" s="868" t="s">
        <v>123</v>
      </c>
      <c r="CB69" s="868" t="s">
        <v>123</v>
      </c>
      <c r="CC69" s="868" t="s">
        <v>123</v>
      </c>
      <c r="CD69" s="868" t="str">
        <f>IFERROR(__xludf.DUMMYFUNCTION("IF(OR(C69=""AÇÃO"",C69=""BDR""),IFERROR(GOOGLEFINANCE(CONCAT(""BVMF:"",CR69), ""volumeavg"")/1000000,""NC""),"""")"),"")</f>
        <v/>
      </c>
      <c r="CE69" s="870" t="s">
        <v>123</v>
      </c>
      <c r="CF69" s="870" t="s">
        <v>123</v>
      </c>
      <c r="CG69" s="870" t="str">
        <f>IFERROR(__xludf.DUMMYFUNCTION("IF(OR(C69=""AÇÃO"",C69=""BDR""),IF(CF69=0,""SEM DY"",IFERROR(ImportXML(CONCAT(""http://www.guiainvest.com.br/raiox/default.aspx?sigla="",$CR69),""//*[@id='lbPayoutAtual']""),""NC"")),"""")"),"")</f>
        <v/>
      </c>
      <c r="CH69" s="870" t="s">
        <v>123</v>
      </c>
      <c r="CI69" s="545"/>
      <c r="CJ69" s="871" t="str">
        <f>IFERROR(__xludf.DUMMYFUNCTION("IF(OR(C69=""AÇÃO"",C69=""BDR""),IFERROR(GOOGLEFINANCE(CONCAT(""BVMF:"",CR69), ""eps""),""NC""),"""")"),"")</f>
        <v/>
      </c>
      <c r="CK69" s="442"/>
      <c r="CL69" s="871" t="str">
        <f>IFERROR(__xludf.DUMMYFUNCTION("IF(NOT($BL$4),"""",IF($CR69="""","""",IF($BC69="""","""",IFERROR(query({op.normal!$B$5:$F308},""select Col5, toDate(Col2) where Col1 =  '""&amp;$CR69&amp;""' and Col4 &gt; 0 and ((Col3 is null) or (Col3 = 'C')) and Col2 &gt;= date '""&amp;TEXT(TODAY()-$AQ$5,""yyyy-mm-dd"")"&amp;"&amp;""' order by Col2 desc limit 1 label toDate(Col2) ''"")))))"),"")</f>
        <v/>
      </c>
      <c r="CM69" s="872"/>
      <c r="CN69" s="883" t="s">
        <v>123</v>
      </c>
      <c r="CO69" s="874" t="s">
        <v>123</v>
      </c>
      <c r="CP69" s="766"/>
      <c r="CQ69" s="791"/>
      <c r="CR69" s="791"/>
      <c r="CT69" s="791" t="s">
        <v>123</v>
      </c>
      <c r="CU69" s="791" t="str">
        <f>IFERROR(__xludf.DUMMYFUNCTION("IF(CR69="""","""",IF(CT69=$C$4,1,GOOGLEFINANCE(CT69&amp;$C$4)))"),"")</f>
        <v/>
      </c>
    </row>
    <row r="70" ht="22.5" customHeight="1">
      <c r="A70" s="837">
        <v>62.0</v>
      </c>
      <c r="B70" s="838" t="s">
        <v>123</v>
      </c>
      <c r="C70" s="838" t="s">
        <v>123</v>
      </c>
      <c r="D70" s="839" t="s">
        <v>123</v>
      </c>
      <c r="E70" s="839" t="s">
        <v>123</v>
      </c>
      <c r="F70" s="839" t="s">
        <v>123</v>
      </c>
      <c r="G70" s="56"/>
      <c r="H70" s="884"/>
      <c r="I70" s="838"/>
      <c r="J70" s="838"/>
      <c r="K70" s="838"/>
      <c r="L70" s="838"/>
      <c r="M70" s="838"/>
      <c r="N70" s="838"/>
      <c r="O70" s="838"/>
      <c r="P70" s="838"/>
      <c r="Q70" s="838"/>
      <c r="R70" s="838"/>
      <c r="S70" s="838"/>
      <c r="T70" s="838"/>
      <c r="U70" s="838"/>
      <c r="V70" s="838"/>
      <c r="W70" s="838"/>
      <c r="X70" s="838"/>
      <c r="Z70" s="875" t="str">
        <f>IFERROR(__xludf.DUMMYFUNCTION("IF($CR70="""","""",IFERROR(query({CarteirasAtivos},""select Col4 where Col4 is not null and Col1 = '""&amp;$CR70&amp;""' limit 1"")*CU70,""NC""))"),"")</f>
        <v/>
      </c>
      <c r="AA70" s="876" t="str">
        <f>IFERROR(__xludf.DUMMYFUNCTION("IF($CR70="""","""",IFERROR(query({CarteirasAtivos},""select Col6 where Col4 is not null and Col1 = '""&amp;$CR70&amp;""' limit 1""),""NC""))"),"")</f>
        <v/>
      </c>
      <c r="AB70" s="877"/>
      <c r="AC70" s="878" t="s">
        <v>123</v>
      </c>
      <c r="AD70" s="845" t="str">
        <f>IF($CR70="","",IFERROR(VLOOKUP($CR70,ativos.!$C$3:$R308,MATCH("cotacao",ativos.!$C$2:CY$2,0),FALSE)*$CU$5,"atualizar"))</f>
        <v/>
      </c>
      <c r="AE70" s="846" t="str">
        <f>IFERROR(__xludf.DUMMYFUNCTION("IF($CR70="""","""",IFERROR(AVERAGE(query({CarteirasAtivos;CarteirasAtivosEncerrados},""select Col5 where Col5 is not null and Col1 = '""&amp;$CR70&amp;""' and Col10='SIM'""))*CU70,""NC""))"),"")</f>
        <v/>
      </c>
      <c r="AF70" s="847" t="str">
        <f t="shared" si="1"/>
        <v/>
      </c>
      <c r="AG70" s="442"/>
      <c r="AH70" s="848" t="str">
        <f>IFERROR(__xludf.DUMMYFUNCTION("IF($CR70="""","""",IFERROR(GOOGLEFINANCE($CR70,""low52"")*CU70,""-""))"),"")</f>
        <v/>
      </c>
      <c r="AI70" s="848" t="str">
        <f>IFERROR(__xludf.DUMMYFUNCTION("IF($CR70="""","""",IFERROR(GOOGLEFINANCE($CR70,""high52"")*CU70,""-""))"),"")</f>
        <v/>
      </c>
      <c r="AJ70" s="849" t="s">
        <v>123</v>
      </c>
      <c r="AK70" s="850" t="str">
        <f>IFERROR(__xludf.DUMMYFUNCTION("IF($CR70="""","""",IFERROR(GOOGLEFINANCE($CR70,""changepct"")/100,""-""))"),"")</f>
        <v/>
      </c>
      <c r="AL70" s="851" t="str">
        <f>IFERROR(__xludf.DUMMYFUNCTION("IF($CR70="""","""",IFERROR(($AD70/(QUERY(GOOGLEFINANCE($CR70,""price"",TODAY()-7),""SELECT Col2 label Col2 ''"")*$CU70)-1),""-""))"),"")</f>
        <v/>
      </c>
      <c r="AM70" s="851" t="str">
        <f>IFERROR(__xludf.DUMMYFUNCTION("IF($CR70="""","""",IFERROR(($AD70/(QUERY(GOOGLEFINANCE($CR70,""price"",TODAY()-14),""SELECT Col2 label Col2 ''"")*$CU70)-1),""-""))"),"")</f>
        <v/>
      </c>
      <c r="AN70" s="851" t="str">
        <f>IFERROR(__xludf.DUMMYFUNCTION("IF($CR70="""","""",IFERROR(($AD70/(QUERY(GOOGLEFINANCE($CR70,""price"",TODAY()-28),""SELECT Col2 label Col2 ''"")*$CU70)-1),""-""))"),"")</f>
        <v/>
      </c>
      <c r="AO70" s="851" t="str">
        <f>IFERROR(__xludf.DUMMYFUNCTION("IF($CR70="""","""",IFERROR(($AD70/(QUERY(GOOGLEFINANCE($CR70,""price"",TODAY()-$AQ$5),""SELECT Col2 label Col2 ''"")*$CU70)-1),""-""))"),"")</f>
        <v/>
      </c>
      <c r="AP70" s="852" t="str">
        <f>IFERROR(__xludf.DUMMYFUNCTION("IF($CR70="""","""",IFERROR(SPARKLINE(query(GOOGLEFINANCE($CR70,""price"",TODAY()-$AQ$5,TODAY(),1),""select Col2 label Col2 ''""),IF($AP$7=""Gráfico de barras"",{""charttype"",""column"";""highcolor"",""red""},{""chartype"",""line""}))))"),"")</f>
        <v/>
      </c>
      <c r="AQ70" s="144"/>
      <c r="AR70" s="853"/>
      <c r="AS70" s="854" t="str">
        <f>IF($CR70="","",IF(NOT('alocação'!$D$1),"off",IFERROR(VLOOKUP(CR70,BalanceAtivos,3,0),"NC")))</f>
        <v/>
      </c>
      <c r="AT70" s="855" t="str">
        <f>IF($CR70="","",IF(NOT('alocação'!$D$1),"off",IFERROR(VLOOKUP($CR70,BalanceAtivos,4,0)*$CU$5,"NC")))</f>
        <v/>
      </c>
      <c r="AU70" s="856" t="str">
        <f>IF($CR70="","",IF(NOT('alocação'!$D$1),"off",IFERROR(VLOOKUP($CR70,BalanceAtivos,5,0),"-")))</f>
        <v/>
      </c>
      <c r="AV70" s="856" t="str">
        <f>IF($CR70="","",IF(NOT('alocação'!$D$1),"off",IFERROR(VLOOKUP($CR70,BalanceAtivos,6,0),"-")))</f>
        <v/>
      </c>
      <c r="AW70" s="857"/>
      <c r="AX70" s="858" t="str">
        <f>IF($CR70="","",IF($E70="","SP",IFERROR(VLOOKUP($CR70,AtivosDados,MATCH("pm_atual",portfolio.!$A$3:CY$3,0),0)*$CU$5,0)))</f>
        <v/>
      </c>
      <c r="AY70" s="859" t="str">
        <f t="shared" si="2"/>
        <v/>
      </c>
      <c r="AZ70" s="858" t="str">
        <f>IF($CR70="","",IF($E70="","SP",SUMIF(portfolio.!$A$4:$A308,$CR70,portfolio.!$O$4:$O308)*$CU$5))</f>
        <v/>
      </c>
      <c r="BA70" s="858" t="str">
        <f>IF($CR70="","",IF($E70="","SP",SUMIF(portfolio.!$A$4:$A308,$CR70,portfolio.!$AN$4:$AN308)*$CU$5))</f>
        <v/>
      </c>
      <c r="BB70" s="860" t="str">
        <f>IF($CR70="","",IF($E70="","-",IFERROR($BA70/'portfólio'!$DG$63,"")))</f>
        <v/>
      </c>
      <c r="BC70" s="861" t="str">
        <f>IF($CR70="","",IF($E70="","-",SUMIF(portfolio.!$A$4:$A308,$CR70,portfolio.!$J$4:$J308)))</f>
        <v/>
      </c>
      <c r="BD70" s="862" t="str">
        <f>IF($CR70="","",IF($E70="","SP",SUMIF(portfolio.!$A$4:$A308,$CR70,portfolio.!$AQ$4:$AQ308)*$CU$5))</f>
        <v/>
      </c>
      <c r="BE70" s="850" t="str">
        <f t="shared" si="3"/>
        <v/>
      </c>
      <c r="BF70" s="862" t="str">
        <f>IF($CR70="","",IF($E70="","-",SUMIF(portfolio.!$A$4:$A308,$CR70,portfolio.!$AX$4:$AX308)*$CU$5))</f>
        <v/>
      </c>
      <c r="BG70" s="545"/>
      <c r="BH70" s="879" t="s">
        <v>123</v>
      </c>
      <c r="BI70" s="880" t="s">
        <v>123</v>
      </c>
      <c r="BJ70" s="863" t="str">
        <f>IFERROR(__xludf.DUMMYFUNCTION("IF(NOT($BL$4),"""",IF($CR70="""","""",IFERROR(query({GOOGLEFINANCE($CR70,""price"",IF($BI70=""-"",TODAY()-($AQ$5+5),$BI70),TODAY()-1)},""Select max(Col2) where Col1 is not null label max(Col2) ''"")*CU70,""-"")))"),"")</f>
        <v/>
      </c>
      <c r="BK70" s="881" t="s">
        <v>123</v>
      </c>
      <c r="BL70" s="882" t="s">
        <v>123</v>
      </c>
      <c r="BM70" s="442"/>
      <c r="BN70" s="867" t="str">
        <f>IFERROR(__xludf.DUMMYFUNCTION("IF(CR70="""","""",IF(OR(C70=""AÇÃO"",C70=""BDR""),IFERROR(QUERY({fundamentus.!$A$3:$U308},$CX$67&amp;"" where Col1='""&amp;CR70&amp;""' limit 1"",0)),IF(C70=""FII"",IFERROR(QUERY({fundsexplorer.!$A$2:$Z308},$CY$67&amp;"" where Col1='""&amp;CR70&amp;""' limit 1"",0)),"""")))"),"")</f>
        <v/>
      </c>
      <c r="BO70" s="867"/>
      <c r="BP70" s="867"/>
      <c r="BQ70" s="867"/>
      <c r="BR70" s="867"/>
      <c r="BS70" s="867"/>
      <c r="BT70" s="867"/>
      <c r="BU70" s="442"/>
      <c r="BV70" s="868" t="str">
        <f>IFERROR(__xludf.DUMMYFUNCTION("IF(OR(C70=""AÇÃO"",C70=""BDR""),IFERROR(GOOGLEFINANCE(CONCAT(""BVMF:"",CR70), ""marketcap"")/1000000,""NC""),"""")"),"")</f>
        <v/>
      </c>
      <c r="BW70" s="869" t="s">
        <v>123</v>
      </c>
      <c r="BX70" s="870" t="s">
        <v>123</v>
      </c>
      <c r="BY70" s="868" t="s">
        <v>123</v>
      </c>
      <c r="BZ70" s="870" t="s">
        <v>123</v>
      </c>
      <c r="CA70" s="868" t="s">
        <v>123</v>
      </c>
      <c r="CB70" s="868" t="s">
        <v>123</v>
      </c>
      <c r="CC70" s="868" t="s">
        <v>123</v>
      </c>
      <c r="CD70" s="868" t="str">
        <f>IFERROR(__xludf.DUMMYFUNCTION("IF(OR(C70=""AÇÃO"",C70=""BDR""),IFERROR(GOOGLEFINANCE(CONCAT(""BVMF:"",CR70), ""volumeavg"")/1000000,""NC""),"""")"),"")</f>
        <v/>
      </c>
      <c r="CE70" s="870" t="s">
        <v>123</v>
      </c>
      <c r="CF70" s="870" t="s">
        <v>123</v>
      </c>
      <c r="CG70" s="870" t="str">
        <f>IFERROR(__xludf.DUMMYFUNCTION("IF(OR(C70=""AÇÃO"",C70=""BDR""),IF(CF70=0,""SEM DY"",IFERROR(ImportXML(CONCAT(""http://www.guiainvest.com.br/raiox/default.aspx?sigla="",$CR70),""//*[@id='lbPayoutAtual']""),""NC"")),"""")"),"")</f>
        <v/>
      </c>
      <c r="CH70" s="870" t="s">
        <v>123</v>
      </c>
      <c r="CI70" s="545"/>
      <c r="CJ70" s="871" t="str">
        <f>IFERROR(__xludf.DUMMYFUNCTION("IF(OR(C70=""AÇÃO"",C70=""BDR""),IFERROR(GOOGLEFINANCE(CONCAT(""BVMF:"",CR70), ""eps""),""NC""),"""")"),"")</f>
        <v/>
      </c>
      <c r="CK70" s="442"/>
      <c r="CL70" s="871" t="str">
        <f>IFERROR(__xludf.DUMMYFUNCTION("IF(NOT($BL$4),"""",IF($CR70="""","""",IF($BC70="""","""",IFERROR(query({op.normal!$B$5:$F308},""select Col5, toDate(Col2) where Col1 =  '""&amp;$CR70&amp;""' and Col4 &gt; 0 and ((Col3 is null) or (Col3 = 'C')) and Col2 &gt;= date '""&amp;TEXT(TODAY()-$AQ$5,""yyyy-mm-dd"")"&amp;"&amp;""' order by Col2 desc limit 1 label toDate(Col2) ''"")))))"),"")</f>
        <v/>
      </c>
      <c r="CM70" s="872"/>
      <c r="CN70" s="883" t="s">
        <v>123</v>
      </c>
      <c r="CO70" s="874" t="s">
        <v>123</v>
      </c>
      <c r="CP70" s="766"/>
      <c r="CQ70" s="791"/>
      <c r="CR70" s="791"/>
      <c r="CT70" s="791" t="s">
        <v>123</v>
      </c>
      <c r="CU70" s="791" t="str">
        <f>IFERROR(__xludf.DUMMYFUNCTION("IF(CR70="""","""",IF(CT70=$C$4,1,GOOGLEFINANCE(CT70&amp;$C$4)))"),"")</f>
        <v/>
      </c>
    </row>
    <row r="71" ht="22.5" customHeight="1">
      <c r="A71" s="837">
        <v>63.0</v>
      </c>
      <c r="B71" s="838" t="s">
        <v>123</v>
      </c>
      <c r="C71" s="838" t="s">
        <v>123</v>
      </c>
      <c r="D71" s="839" t="s">
        <v>123</v>
      </c>
      <c r="E71" s="839" t="s">
        <v>123</v>
      </c>
      <c r="F71" s="839" t="s">
        <v>123</v>
      </c>
      <c r="G71" s="56"/>
      <c r="H71" s="884"/>
      <c r="I71" s="838"/>
      <c r="J71" s="838"/>
      <c r="K71" s="838"/>
      <c r="L71" s="838"/>
      <c r="M71" s="838"/>
      <c r="N71" s="838"/>
      <c r="O71" s="838"/>
      <c r="P71" s="838"/>
      <c r="Q71" s="838"/>
      <c r="R71" s="838"/>
      <c r="S71" s="838"/>
      <c r="T71" s="838"/>
      <c r="U71" s="838"/>
      <c r="V71" s="838"/>
      <c r="W71" s="838"/>
      <c r="X71" s="838"/>
      <c r="Z71" s="875" t="str">
        <f>IFERROR(__xludf.DUMMYFUNCTION("IF($CR71="""","""",IFERROR(query({CarteirasAtivos},""select Col4 where Col4 is not null and Col1 = '""&amp;$CR71&amp;""' limit 1"")*CU71,""NC""))"),"")</f>
        <v/>
      </c>
      <c r="AA71" s="876" t="str">
        <f>IFERROR(__xludf.DUMMYFUNCTION("IF($CR71="""","""",IFERROR(query({CarteirasAtivos},""select Col6 where Col4 is not null and Col1 = '""&amp;$CR71&amp;""' limit 1""),""NC""))"),"")</f>
        <v/>
      </c>
      <c r="AB71" s="877"/>
      <c r="AC71" s="878" t="s">
        <v>123</v>
      </c>
      <c r="AD71" s="845" t="str">
        <f>IF($CR71="","",IFERROR(VLOOKUP($CR71,ativos.!$C$3:$R308,MATCH("cotacao",ativos.!$C$2:CY$2,0),FALSE)*$CU$5,"atualizar"))</f>
        <v/>
      </c>
      <c r="AE71" s="846" t="str">
        <f>IFERROR(__xludf.DUMMYFUNCTION("IF($CR71="""","""",IFERROR(AVERAGE(query({CarteirasAtivos;CarteirasAtivosEncerrados},""select Col5 where Col5 is not null and Col1 = '""&amp;$CR71&amp;""' and Col10='SIM'""))*CU71,""NC""))"),"")</f>
        <v/>
      </c>
      <c r="AF71" s="847" t="str">
        <f t="shared" si="1"/>
        <v/>
      </c>
      <c r="AG71" s="442"/>
      <c r="AH71" s="848" t="str">
        <f>IFERROR(__xludf.DUMMYFUNCTION("IF($CR71="""","""",IFERROR(GOOGLEFINANCE($CR71,""low52"")*CU71,""-""))"),"")</f>
        <v/>
      </c>
      <c r="AI71" s="848" t="str">
        <f>IFERROR(__xludf.DUMMYFUNCTION("IF($CR71="""","""",IFERROR(GOOGLEFINANCE($CR71,""high52"")*CU71,""-""))"),"")</f>
        <v/>
      </c>
      <c r="AJ71" s="849" t="s">
        <v>123</v>
      </c>
      <c r="AK71" s="850" t="str">
        <f>IFERROR(__xludf.DUMMYFUNCTION("IF($CR71="""","""",IFERROR(GOOGLEFINANCE($CR71,""changepct"")/100,""-""))"),"")</f>
        <v/>
      </c>
      <c r="AL71" s="851" t="str">
        <f>IFERROR(__xludf.DUMMYFUNCTION("IF($CR71="""","""",IFERROR(($AD71/(QUERY(GOOGLEFINANCE($CR71,""price"",TODAY()-7),""SELECT Col2 label Col2 ''"")*$CU71)-1),""-""))"),"")</f>
        <v/>
      </c>
      <c r="AM71" s="851" t="str">
        <f>IFERROR(__xludf.DUMMYFUNCTION("IF($CR71="""","""",IFERROR(($AD71/(QUERY(GOOGLEFINANCE($CR71,""price"",TODAY()-14),""SELECT Col2 label Col2 ''"")*$CU71)-1),""-""))"),"")</f>
        <v/>
      </c>
      <c r="AN71" s="851" t="str">
        <f>IFERROR(__xludf.DUMMYFUNCTION("IF($CR71="""","""",IFERROR(($AD71/(QUERY(GOOGLEFINANCE($CR71,""price"",TODAY()-28),""SELECT Col2 label Col2 ''"")*$CU71)-1),""-""))"),"")</f>
        <v/>
      </c>
      <c r="AO71" s="851" t="str">
        <f>IFERROR(__xludf.DUMMYFUNCTION("IF($CR71="""","""",IFERROR(($AD71/(QUERY(GOOGLEFINANCE($CR71,""price"",TODAY()-$AQ$5),""SELECT Col2 label Col2 ''"")*$CU71)-1),""-""))"),"")</f>
        <v/>
      </c>
      <c r="AP71" s="852" t="str">
        <f>IFERROR(__xludf.DUMMYFUNCTION("IF($CR71="""","""",IFERROR(SPARKLINE(query(GOOGLEFINANCE($CR71,""price"",TODAY()-$AQ$5,TODAY(),1),""select Col2 label Col2 ''""),IF($AP$7=""Gráfico de barras"",{""charttype"",""column"";""highcolor"",""red""},{""chartype"",""line""}))))"),"")</f>
        <v/>
      </c>
      <c r="AQ71" s="144"/>
      <c r="AR71" s="853"/>
      <c r="AS71" s="854" t="str">
        <f>IF($CR71="","",IF(NOT('alocação'!$D$1),"off",IFERROR(VLOOKUP(CR71,BalanceAtivos,3,0),"NC")))</f>
        <v/>
      </c>
      <c r="AT71" s="855" t="str">
        <f>IF($CR71="","",IF(NOT('alocação'!$D$1),"off",IFERROR(VLOOKUP($CR71,BalanceAtivos,4,0)*$CU$5,"NC")))</f>
        <v/>
      </c>
      <c r="AU71" s="856" t="str">
        <f>IF($CR71="","",IF(NOT('alocação'!$D$1),"off",IFERROR(VLOOKUP($CR71,BalanceAtivos,5,0),"-")))</f>
        <v/>
      </c>
      <c r="AV71" s="856" t="str">
        <f>IF($CR71="","",IF(NOT('alocação'!$D$1),"off",IFERROR(VLOOKUP($CR71,BalanceAtivos,6,0),"-")))</f>
        <v/>
      </c>
      <c r="AW71" s="857"/>
      <c r="AX71" s="858" t="str">
        <f>IF($CR71="","",IF($E71="","SP",IFERROR(VLOOKUP($CR71,AtivosDados,MATCH("pm_atual",portfolio.!$A$3:CY$3,0),0)*$CU$5,0)))</f>
        <v/>
      </c>
      <c r="AY71" s="859" t="str">
        <f t="shared" si="2"/>
        <v/>
      </c>
      <c r="AZ71" s="858" t="str">
        <f>IF($CR71="","",IF($E71="","SP",SUMIF(portfolio.!$A$4:$A308,$CR71,portfolio.!$O$4:$O308)*$CU$5))</f>
        <v/>
      </c>
      <c r="BA71" s="858" t="str">
        <f>IF($CR71="","",IF($E71="","SP",SUMIF(portfolio.!$A$4:$A308,$CR71,portfolio.!$AN$4:$AN308)*$CU$5))</f>
        <v/>
      </c>
      <c r="BB71" s="860" t="str">
        <f>IF($CR71="","",IF($E71="","-",IFERROR($BA71/'portfólio'!$DG$63,"")))</f>
        <v/>
      </c>
      <c r="BC71" s="861" t="str">
        <f>IF($CR71="","",IF($E71="","-",SUMIF(portfolio.!$A$4:$A308,$CR71,portfolio.!$J$4:$J308)))</f>
        <v/>
      </c>
      <c r="BD71" s="862" t="str">
        <f>IF($CR71="","",IF($E71="","SP",SUMIF(portfolio.!$A$4:$A308,$CR71,portfolio.!$AQ$4:$AQ308)*$CU$5))</f>
        <v/>
      </c>
      <c r="BE71" s="850" t="str">
        <f t="shared" si="3"/>
        <v/>
      </c>
      <c r="BF71" s="862" t="str">
        <f>IF($CR71="","",IF($E71="","-",SUMIF(portfolio.!$A$4:$A308,$CR71,portfolio.!$AX$4:$AX308)*$CU$5))</f>
        <v/>
      </c>
      <c r="BG71" s="545"/>
      <c r="BH71" s="879" t="s">
        <v>123</v>
      </c>
      <c r="BI71" s="880" t="s">
        <v>123</v>
      </c>
      <c r="BJ71" s="863" t="str">
        <f>IFERROR(__xludf.DUMMYFUNCTION("IF(NOT($BL$4),"""",IF($CR71="""","""",IFERROR(query({GOOGLEFINANCE($CR71,""price"",IF($BI71=""-"",TODAY()-($AQ$5+5),$BI71),TODAY()-1)},""Select max(Col2) where Col1 is not null label max(Col2) ''"")*CU71,""-"")))"),"")</f>
        <v/>
      </c>
      <c r="BK71" s="881" t="s">
        <v>123</v>
      </c>
      <c r="BL71" s="882" t="s">
        <v>123</v>
      </c>
      <c r="BM71" s="442"/>
      <c r="BN71" s="867" t="str">
        <f>IFERROR(__xludf.DUMMYFUNCTION("IF(CR71="""","""",IF(OR(C71=""AÇÃO"",C71=""BDR""),IFERROR(QUERY({fundamentus.!$A$3:$U308},$CX$67&amp;"" where Col1='""&amp;CR71&amp;""' limit 1"",0)),IF(C71=""FII"",IFERROR(QUERY({fundsexplorer.!$A$2:$Z308},$CY$67&amp;"" where Col1='""&amp;CR71&amp;""' limit 1"",0)),"""")))"),"")</f>
        <v/>
      </c>
      <c r="BO71" s="867"/>
      <c r="BP71" s="867"/>
      <c r="BQ71" s="867"/>
      <c r="BR71" s="867"/>
      <c r="BS71" s="867"/>
      <c r="BT71" s="867"/>
      <c r="BU71" s="442"/>
      <c r="BV71" s="868" t="str">
        <f>IFERROR(__xludf.DUMMYFUNCTION("IF(OR(C71=""AÇÃO"",C71=""BDR""),IFERROR(GOOGLEFINANCE(CONCAT(""BVMF:"",CR71), ""marketcap"")/1000000,""NC""),"""")"),"")</f>
        <v/>
      </c>
      <c r="BW71" s="869" t="s">
        <v>123</v>
      </c>
      <c r="BX71" s="870" t="s">
        <v>123</v>
      </c>
      <c r="BY71" s="868" t="s">
        <v>123</v>
      </c>
      <c r="BZ71" s="870" t="s">
        <v>123</v>
      </c>
      <c r="CA71" s="868" t="s">
        <v>123</v>
      </c>
      <c r="CB71" s="868" t="s">
        <v>123</v>
      </c>
      <c r="CC71" s="868" t="s">
        <v>123</v>
      </c>
      <c r="CD71" s="868" t="str">
        <f>IFERROR(__xludf.DUMMYFUNCTION("IF(OR(C71=""AÇÃO"",C71=""BDR""),IFERROR(GOOGLEFINANCE(CONCAT(""BVMF:"",CR71), ""volumeavg"")/1000000,""NC""),"""")"),"")</f>
        <v/>
      </c>
      <c r="CE71" s="870" t="s">
        <v>123</v>
      </c>
      <c r="CF71" s="870" t="s">
        <v>123</v>
      </c>
      <c r="CG71" s="870" t="str">
        <f>IFERROR(__xludf.DUMMYFUNCTION("IF(OR(C71=""AÇÃO"",C71=""BDR""),IF(CF71=0,""SEM DY"",IFERROR(ImportXML(CONCAT(""http://www.guiainvest.com.br/raiox/default.aspx?sigla="",$CR71),""//*[@id='lbPayoutAtual']""),""NC"")),"""")"),"")</f>
        <v/>
      </c>
      <c r="CH71" s="870" t="s">
        <v>123</v>
      </c>
      <c r="CI71" s="545"/>
      <c r="CJ71" s="871" t="str">
        <f>IFERROR(__xludf.DUMMYFUNCTION("IF(OR(C71=""AÇÃO"",C71=""BDR""),IFERROR(GOOGLEFINANCE(CONCAT(""BVMF:"",CR71), ""eps""),""NC""),"""")"),"")</f>
        <v/>
      </c>
      <c r="CK71" s="442"/>
      <c r="CL71" s="871" t="str">
        <f>IFERROR(__xludf.DUMMYFUNCTION("IF(NOT($BL$4),"""",IF($CR71="""","""",IF($BC71="""","""",IFERROR(query({op.normal!$B$5:$F308},""select Col5, toDate(Col2) where Col1 =  '""&amp;$CR71&amp;""' and Col4 &gt; 0 and ((Col3 is null) or (Col3 = 'C')) and Col2 &gt;= date '""&amp;TEXT(TODAY()-$AQ$5,""yyyy-mm-dd"")"&amp;"&amp;""' order by Col2 desc limit 1 label toDate(Col2) ''"")))))"),"")</f>
        <v/>
      </c>
      <c r="CM71" s="872"/>
      <c r="CN71" s="883" t="s">
        <v>123</v>
      </c>
      <c r="CO71" s="874" t="s">
        <v>123</v>
      </c>
      <c r="CP71" s="766"/>
      <c r="CQ71" s="791"/>
      <c r="CR71" s="791"/>
      <c r="CT71" s="791" t="s">
        <v>123</v>
      </c>
      <c r="CU71" s="791" t="str">
        <f>IFERROR(__xludf.DUMMYFUNCTION("IF(CR71="""","""",IF(CT71=$C$4,1,GOOGLEFINANCE(CT71&amp;$C$4)))"),"")</f>
        <v/>
      </c>
    </row>
    <row r="72" ht="22.5" customHeight="1">
      <c r="A72" s="837">
        <v>64.0</v>
      </c>
      <c r="B72" s="838" t="s">
        <v>123</v>
      </c>
      <c r="C72" s="838" t="s">
        <v>123</v>
      </c>
      <c r="D72" s="839" t="s">
        <v>123</v>
      </c>
      <c r="E72" s="839" t="s">
        <v>123</v>
      </c>
      <c r="F72" s="839" t="s">
        <v>123</v>
      </c>
      <c r="G72" s="56"/>
      <c r="H72" s="884"/>
      <c r="I72" s="838"/>
      <c r="J72" s="838"/>
      <c r="K72" s="838"/>
      <c r="L72" s="838"/>
      <c r="M72" s="838"/>
      <c r="N72" s="838"/>
      <c r="O72" s="838"/>
      <c r="P72" s="838"/>
      <c r="Q72" s="838"/>
      <c r="R72" s="838"/>
      <c r="S72" s="838"/>
      <c r="T72" s="838"/>
      <c r="U72" s="838"/>
      <c r="V72" s="838"/>
      <c r="W72" s="838"/>
      <c r="X72" s="838"/>
      <c r="Z72" s="875" t="str">
        <f>IFERROR(__xludf.DUMMYFUNCTION("IF($CR72="""","""",IFERROR(query({CarteirasAtivos},""select Col4 where Col4 is not null and Col1 = '""&amp;$CR72&amp;""' limit 1"")*CU72,""NC""))"),"")</f>
        <v/>
      </c>
      <c r="AA72" s="876" t="str">
        <f>IFERROR(__xludf.DUMMYFUNCTION("IF($CR72="""","""",IFERROR(query({CarteirasAtivos},""select Col6 where Col4 is not null and Col1 = '""&amp;$CR72&amp;""' limit 1""),""NC""))"),"")</f>
        <v/>
      </c>
      <c r="AB72" s="877"/>
      <c r="AC72" s="878" t="s">
        <v>123</v>
      </c>
      <c r="AD72" s="845" t="str">
        <f>IF($CR72="","",IFERROR(VLOOKUP($CR72,ativos.!$C$3:$R308,MATCH("cotacao",ativos.!$C$2:CY$2,0),FALSE)*$CU$5,"atualizar"))</f>
        <v/>
      </c>
      <c r="AE72" s="846" t="str">
        <f>IFERROR(__xludf.DUMMYFUNCTION("IF($CR72="""","""",IFERROR(AVERAGE(query({CarteirasAtivos;CarteirasAtivosEncerrados},""select Col5 where Col5 is not null and Col1 = '""&amp;$CR72&amp;""' and Col10='SIM'""))*CU72,""NC""))"),"")</f>
        <v/>
      </c>
      <c r="AF72" s="847" t="str">
        <f t="shared" si="1"/>
        <v/>
      </c>
      <c r="AG72" s="442"/>
      <c r="AH72" s="848" t="str">
        <f>IFERROR(__xludf.DUMMYFUNCTION("IF($CR72="""","""",IFERROR(GOOGLEFINANCE($CR72,""low52"")*CU72,""-""))"),"")</f>
        <v/>
      </c>
      <c r="AI72" s="848" t="str">
        <f>IFERROR(__xludf.DUMMYFUNCTION("IF($CR72="""","""",IFERROR(GOOGLEFINANCE($CR72,""high52"")*CU72,""-""))"),"")</f>
        <v/>
      </c>
      <c r="AJ72" s="849" t="s">
        <v>123</v>
      </c>
      <c r="AK72" s="850" t="str">
        <f>IFERROR(__xludf.DUMMYFUNCTION("IF($CR72="""","""",IFERROR(GOOGLEFINANCE($CR72,""changepct"")/100,""-""))"),"")</f>
        <v/>
      </c>
      <c r="AL72" s="851" t="str">
        <f>IFERROR(__xludf.DUMMYFUNCTION("IF($CR72="""","""",IFERROR(($AD72/(QUERY(GOOGLEFINANCE($CR72,""price"",TODAY()-7),""SELECT Col2 label Col2 ''"")*$CU72)-1),""-""))"),"")</f>
        <v/>
      </c>
      <c r="AM72" s="851" t="str">
        <f>IFERROR(__xludf.DUMMYFUNCTION("IF($CR72="""","""",IFERROR(($AD72/(QUERY(GOOGLEFINANCE($CR72,""price"",TODAY()-14),""SELECT Col2 label Col2 ''"")*$CU72)-1),""-""))"),"")</f>
        <v/>
      </c>
      <c r="AN72" s="851" t="str">
        <f>IFERROR(__xludf.DUMMYFUNCTION("IF($CR72="""","""",IFERROR(($AD72/(QUERY(GOOGLEFINANCE($CR72,""price"",TODAY()-28),""SELECT Col2 label Col2 ''"")*$CU72)-1),""-""))"),"")</f>
        <v/>
      </c>
      <c r="AO72" s="851" t="str">
        <f>IFERROR(__xludf.DUMMYFUNCTION("IF($CR72="""","""",IFERROR(($AD72/(QUERY(GOOGLEFINANCE($CR72,""price"",TODAY()-$AQ$5),""SELECT Col2 label Col2 ''"")*$CU72)-1),""-""))"),"")</f>
        <v/>
      </c>
      <c r="AP72" s="852" t="str">
        <f>IFERROR(__xludf.DUMMYFUNCTION("IF($CR72="""","""",IFERROR(SPARKLINE(query(GOOGLEFINANCE($CR72,""price"",TODAY()-$AQ$5,TODAY(),1),""select Col2 label Col2 ''""),IF($AP$7=""Gráfico de barras"",{""charttype"",""column"";""highcolor"",""red""},{""chartype"",""line""}))))"),"")</f>
        <v/>
      </c>
      <c r="AQ72" s="144"/>
      <c r="AR72" s="853"/>
      <c r="AS72" s="854" t="str">
        <f>IF($CR72="","",IF(NOT('alocação'!$D$1),"off",IFERROR(VLOOKUP(CR72,BalanceAtivos,3,0),"NC")))</f>
        <v/>
      </c>
      <c r="AT72" s="855" t="str">
        <f>IF($CR72="","",IF(NOT('alocação'!$D$1),"off",IFERROR(VLOOKUP($CR72,BalanceAtivos,4,0)*$CU$5,"NC")))</f>
        <v/>
      </c>
      <c r="AU72" s="856" t="str">
        <f>IF($CR72="","",IF(NOT('alocação'!$D$1),"off",IFERROR(VLOOKUP($CR72,BalanceAtivos,5,0),"-")))</f>
        <v/>
      </c>
      <c r="AV72" s="856" t="str">
        <f>IF($CR72="","",IF(NOT('alocação'!$D$1),"off",IFERROR(VLOOKUP($CR72,BalanceAtivos,6,0),"-")))</f>
        <v/>
      </c>
      <c r="AW72" s="857"/>
      <c r="AX72" s="858" t="str">
        <f>IF($CR72="","",IF($E72="","SP",IFERROR(VLOOKUP($CR72,AtivosDados,MATCH("pm_atual",portfolio.!$A$3:CY$3,0),0)*$CU$5,0)))</f>
        <v/>
      </c>
      <c r="AY72" s="859" t="str">
        <f t="shared" si="2"/>
        <v/>
      </c>
      <c r="AZ72" s="858" t="str">
        <f>IF($CR72="","",IF($E72="","SP",SUMIF(portfolio.!$A$4:$A308,$CR72,portfolio.!$O$4:$O308)*$CU$5))</f>
        <v/>
      </c>
      <c r="BA72" s="858" t="str">
        <f>IF($CR72="","",IF($E72="","SP",SUMIF(portfolio.!$A$4:$A308,$CR72,portfolio.!$AN$4:$AN308)*$CU$5))</f>
        <v/>
      </c>
      <c r="BB72" s="860" t="str">
        <f>IF($CR72="","",IF($E72="","-",IFERROR($BA72/'portfólio'!$DG$63,"")))</f>
        <v/>
      </c>
      <c r="BC72" s="861" t="str">
        <f>IF($CR72="","",IF($E72="","-",SUMIF(portfolio.!$A$4:$A308,$CR72,portfolio.!$J$4:$J308)))</f>
        <v/>
      </c>
      <c r="BD72" s="862" t="str">
        <f>IF($CR72="","",IF($E72="","SP",SUMIF(portfolio.!$A$4:$A308,$CR72,portfolio.!$AQ$4:$AQ308)*$CU$5))</f>
        <v/>
      </c>
      <c r="BE72" s="850" t="str">
        <f t="shared" si="3"/>
        <v/>
      </c>
      <c r="BF72" s="862" t="str">
        <f>IF($CR72="","",IF($E72="","-",SUMIF(portfolio.!$A$4:$A308,$CR72,portfolio.!$AX$4:$AX308)*$CU$5))</f>
        <v/>
      </c>
      <c r="BG72" s="545"/>
      <c r="BH72" s="879" t="s">
        <v>123</v>
      </c>
      <c r="BI72" s="880" t="s">
        <v>123</v>
      </c>
      <c r="BJ72" s="863" t="str">
        <f>IFERROR(__xludf.DUMMYFUNCTION("IF(NOT($BL$4),"""",IF($CR72="""","""",IFERROR(query({GOOGLEFINANCE($CR72,""price"",IF($BI72=""-"",TODAY()-($AQ$5+5),$BI72),TODAY()-1)},""Select max(Col2) where Col1 is not null label max(Col2) ''"")*CU72,""-"")))"),"")</f>
        <v/>
      </c>
      <c r="BK72" s="881" t="s">
        <v>123</v>
      </c>
      <c r="BL72" s="882" t="s">
        <v>123</v>
      </c>
      <c r="BM72" s="442"/>
      <c r="BN72" s="867" t="str">
        <f>IFERROR(__xludf.DUMMYFUNCTION("IF(CR72="""","""",IF(OR(C72=""AÇÃO"",C72=""BDR""),IFERROR(QUERY({fundamentus.!$A$3:$U308},$CX$67&amp;"" where Col1='""&amp;CR72&amp;""' limit 1"",0)),IF(C72=""FII"",IFERROR(QUERY({fundsexplorer.!$A$2:$Z308},$CY$67&amp;"" where Col1='""&amp;CR72&amp;""' limit 1"",0)),"""")))"),"")</f>
        <v/>
      </c>
      <c r="BO72" s="867"/>
      <c r="BP72" s="867"/>
      <c r="BQ72" s="867"/>
      <c r="BR72" s="867"/>
      <c r="BS72" s="867"/>
      <c r="BT72" s="867"/>
      <c r="BU72" s="442"/>
      <c r="BV72" s="868" t="str">
        <f>IFERROR(__xludf.DUMMYFUNCTION("IF(OR(C72=""AÇÃO"",C72=""BDR""),IFERROR(GOOGLEFINANCE(CONCAT(""BVMF:"",CR72), ""marketcap"")/1000000,""NC""),"""")"),"")</f>
        <v/>
      </c>
      <c r="BW72" s="869" t="s">
        <v>123</v>
      </c>
      <c r="BX72" s="870" t="s">
        <v>123</v>
      </c>
      <c r="BY72" s="868" t="s">
        <v>123</v>
      </c>
      <c r="BZ72" s="870" t="s">
        <v>123</v>
      </c>
      <c r="CA72" s="868" t="s">
        <v>123</v>
      </c>
      <c r="CB72" s="868" t="s">
        <v>123</v>
      </c>
      <c r="CC72" s="868" t="s">
        <v>123</v>
      </c>
      <c r="CD72" s="868" t="str">
        <f>IFERROR(__xludf.DUMMYFUNCTION("IF(OR(C72=""AÇÃO"",C72=""BDR""),IFERROR(GOOGLEFINANCE(CONCAT(""BVMF:"",CR72), ""volumeavg"")/1000000,""NC""),"""")"),"")</f>
        <v/>
      </c>
      <c r="CE72" s="870" t="s">
        <v>123</v>
      </c>
      <c r="CF72" s="870" t="s">
        <v>123</v>
      </c>
      <c r="CG72" s="870" t="str">
        <f>IFERROR(__xludf.DUMMYFUNCTION("IF(OR(C72=""AÇÃO"",C72=""BDR""),IF(CF72=0,""SEM DY"",IFERROR(ImportXML(CONCAT(""http://www.guiainvest.com.br/raiox/default.aspx?sigla="",$CR72),""//*[@id='lbPayoutAtual']""),""NC"")),"""")"),"")</f>
        <v/>
      </c>
      <c r="CH72" s="870" t="s">
        <v>123</v>
      </c>
      <c r="CI72" s="545"/>
      <c r="CJ72" s="871" t="str">
        <f>IFERROR(__xludf.DUMMYFUNCTION("IF(OR(C72=""AÇÃO"",C72=""BDR""),IFERROR(GOOGLEFINANCE(CONCAT(""BVMF:"",CR72), ""eps""),""NC""),"""")"),"")</f>
        <v/>
      </c>
      <c r="CK72" s="442"/>
      <c r="CL72" s="871" t="str">
        <f>IFERROR(__xludf.DUMMYFUNCTION("IF(NOT($BL$4),"""",IF($CR72="""","""",IF($BC72="""","""",IFERROR(query({op.normal!$B$5:$F308},""select Col5, toDate(Col2) where Col1 =  '""&amp;$CR72&amp;""' and Col4 &gt; 0 and ((Col3 is null) or (Col3 = 'C')) and Col2 &gt;= date '""&amp;TEXT(TODAY()-$AQ$5,""yyyy-mm-dd"")"&amp;"&amp;""' order by Col2 desc limit 1 label toDate(Col2) ''"")))))"),"")</f>
        <v/>
      </c>
      <c r="CM72" s="872"/>
      <c r="CN72" s="883" t="s">
        <v>123</v>
      </c>
      <c r="CO72" s="874" t="s">
        <v>123</v>
      </c>
      <c r="CP72" s="766"/>
      <c r="CQ72" s="791"/>
      <c r="CR72" s="791"/>
      <c r="CT72" s="791" t="s">
        <v>123</v>
      </c>
      <c r="CU72" s="791" t="str">
        <f>IFERROR(__xludf.DUMMYFUNCTION("IF(CR72="""","""",IF(CT72=$C$4,1,GOOGLEFINANCE(CT72&amp;$C$4)))"),"")</f>
        <v/>
      </c>
    </row>
    <row r="73" ht="22.5" customHeight="1">
      <c r="A73" s="837">
        <v>65.0</v>
      </c>
      <c r="B73" s="838" t="s">
        <v>123</v>
      </c>
      <c r="C73" s="838" t="s">
        <v>123</v>
      </c>
      <c r="D73" s="839" t="s">
        <v>123</v>
      </c>
      <c r="E73" s="839" t="s">
        <v>123</v>
      </c>
      <c r="F73" s="839" t="s">
        <v>123</v>
      </c>
      <c r="G73" s="56"/>
      <c r="H73" s="884"/>
      <c r="I73" s="838"/>
      <c r="J73" s="838"/>
      <c r="K73" s="838"/>
      <c r="L73" s="838"/>
      <c r="M73" s="838"/>
      <c r="N73" s="838"/>
      <c r="O73" s="838"/>
      <c r="P73" s="838"/>
      <c r="Q73" s="838"/>
      <c r="R73" s="838"/>
      <c r="S73" s="838"/>
      <c r="T73" s="838"/>
      <c r="U73" s="838"/>
      <c r="V73" s="838"/>
      <c r="W73" s="838"/>
      <c r="X73" s="838"/>
      <c r="Z73" s="875" t="str">
        <f>IFERROR(__xludf.DUMMYFUNCTION("IF($CR73="""","""",IFERROR(query({CarteirasAtivos},""select Col4 where Col4 is not null and Col1 = '""&amp;$CR73&amp;""' limit 1"")*CU73,""NC""))"),"")</f>
        <v/>
      </c>
      <c r="AA73" s="876" t="str">
        <f>IFERROR(__xludf.DUMMYFUNCTION("IF($CR73="""","""",IFERROR(query({CarteirasAtivos},""select Col6 where Col4 is not null and Col1 = '""&amp;$CR73&amp;""' limit 1""),""NC""))"),"")</f>
        <v/>
      </c>
      <c r="AB73" s="877"/>
      <c r="AC73" s="878" t="s">
        <v>123</v>
      </c>
      <c r="AD73" s="845" t="str">
        <f>IF($CR73="","",IFERROR(VLOOKUP($CR73,ativos.!$C$3:$R308,MATCH("cotacao",ativos.!$C$2:CY$2,0),FALSE)*$CU$5,"atualizar"))</f>
        <v/>
      </c>
      <c r="AE73" s="846" t="str">
        <f>IFERROR(__xludf.DUMMYFUNCTION("IF($CR73="""","""",IFERROR(AVERAGE(query({CarteirasAtivos;CarteirasAtivosEncerrados},""select Col5 where Col5 is not null and Col1 = '""&amp;$CR73&amp;""' and Col10='SIM'""))*CU73,""NC""))"),"")</f>
        <v/>
      </c>
      <c r="AF73" s="847" t="str">
        <f t="shared" si="1"/>
        <v/>
      </c>
      <c r="AG73" s="442"/>
      <c r="AH73" s="848" t="str">
        <f>IFERROR(__xludf.DUMMYFUNCTION("IF($CR73="""","""",IFERROR(GOOGLEFINANCE($CR73,""low52"")*CU73,""-""))"),"")</f>
        <v/>
      </c>
      <c r="AI73" s="848" t="str">
        <f>IFERROR(__xludf.DUMMYFUNCTION("IF($CR73="""","""",IFERROR(GOOGLEFINANCE($CR73,""high52"")*CU73,""-""))"),"")</f>
        <v/>
      </c>
      <c r="AJ73" s="849" t="s">
        <v>123</v>
      </c>
      <c r="AK73" s="850" t="str">
        <f>IFERROR(__xludf.DUMMYFUNCTION("IF($CR73="""","""",IFERROR(GOOGLEFINANCE($CR73,""changepct"")/100,""-""))"),"")</f>
        <v/>
      </c>
      <c r="AL73" s="851" t="str">
        <f>IFERROR(__xludf.DUMMYFUNCTION("IF($CR73="""","""",IFERROR(($AD73/(QUERY(GOOGLEFINANCE($CR73,""price"",TODAY()-7),""SELECT Col2 label Col2 ''"")*$CU73)-1),""-""))"),"")</f>
        <v/>
      </c>
      <c r="AM73" s="851" t="str">
        <f>IFERROR(__xludf.DUMMYFUNCTION("IF($CR73="""","""",IFERROR(($AD73/(QUERY(GOOGLEFINANCE($CR73,""price"",TODAY()-14),""SELECT Col2 label Col2 ''"")*$CU73)-1),""-""))"),"")</f>
        <v/>
      </c>
      <c r="AN73" s="851" t="str">
        <f>IFERROR(__xludf.DUMMYFUNCTION("IF($CR73="""","""",IFERROR(($AD73/(QUERY(GOOGLEFINANCE($CR73,""price"",TODAY()-28),""SELECT Col2 label Col2 ''"")*$CU73)-1),""-""))"),"")</f>
        <v/>
      </c>
      <c r="AO73" s="851" t="str">
        <f>IFERROR(__xludf.DUMMYFUNCTION("IF($CR73="""","""",IFERROR(($AD73/(QUERY(GOOGLEFINANCE($CR73,""price"",TODAY()-$AQ$5),""SELECT Col2 label Col2 ''"")*$CU73)-1),""-""))"),"")</f>
        <v/>
      </c>
      <c r="AP73" s="852" t="str">
        <f>IFERROR(__xludf.DUMMYFUNCTION("IF($CR73="""","""",IFERROR(SPARKLINE(query(GOOGLEFINANCE($CR73,""price"",TODAY()-$AQ$5,TODAY(),1),""select Col2 label Col2 ''""),IF($AP$7=""Gráfico de barras"",{""charttype"",""column"";""highcolor"",""red""},{""chartype"",""line""}))))"),"")</f>
        <v/>
      </c>
      <c r="AQ73" s="144"/>
      <c r="AR73" s="853"/>
      <c r="AS73" s="854" t="str">
        <f>IF($CR73="","",IF(NOT('alocação'!$D$1),"off",IFERROR(VLOOKUP(CR73,BalanceAtivos,3,0),"NC")))</f>
        <v/>
      </c>
      <c r="AT73" s="855" t="str">
        <f>IF($CR73="","",IF(NOT('alocação'!$D$1),"off",IFERROR(VLOOKUP($CR73,BalanceAtivos,4,0)*$CU$5,"NC")))</f>
        <v/>
      </c>
      <c r="AU73" s="856" t="str">
        <f>IF($CR73="","",IF(NOT('alocação'!$D$1),"off",IFERROR(VLOOKUP($CR73,BalanceAtivos,5,0),"-")))</f>
        <v/>
      </c>
      <c r="AV73" s="856" t="str">
        <f>IF($CR73="","",IF(NOT('alocação'!$D$1),"off",IFERROR(VLOOKUP($CR73,BalanceAtivos,6,0),"-")))</f>
        <v/>
      </c>
      <c r="AW73" s="857"/>
      <c r="AX73" s="858" t="str">
        <f>IF($CR73="","",IF($E73="","SP",IFERROR(VLOOKUP($CR73,AtivosDados,MATCH("pm_atual",portfolio.!$A$3:CY$3,0),0)*$CU$5,0)))</f>
        <v/>
      </c>
      <c r="AY73" s="859" t="str">
        <f t="shared" si="2"/>
        <v/>
      </c>
      <c r="AZ73" s="858" t="str">
        <f>IF($CR73="","",IF($E73="","SP",SUMIF(portfolio.!$A$4:$A308,$CR73,portfolio.!$O$4:$O308)*$CU$5))</f>
        <v/>
      </c>
      <c r="BA73" s="858" t="str">
        <f>IF($CR73="","",IF($E73="","SP",SUMIF(portfolio.!$A$4:$A308,$CR73,portfolio.!$AN$4:$AN308)*$CU$5))</f>
        <v/>
      </c>
      <c r="BB73" s="860" t="str">
        <f>IF($CR73="","",IF($E73="","-",IFERROR($BA73/'portfólio'!$DG$63,"")))</f>
        <v/>
      </c>
      <c r="BC73" s="861" t="str">
        <f>IF($CR73="","",IF($E73="","-",SUMIF(portfolio.!$A$4:$A308,$CR73,portfolio.!$J$4:$J308)))</f>
        <v/>
      </c>
      <c r="BD73" s="862" t="str">
        <f>IF($CR73="","",IF($E73="","SP",SUMIF(portfolio.!$A$4:$A308,$CR73,portfolio.!$AQ$4:$AQ308)*$CU$5))</f>
        <v/>
      </c>
      <c r="BE73" s="850" t="str">
        <f t="shared" si="3"/>
        <v/>
      </c>
      <c r="BF73" s="862" t="str">
        <f>IF($CR73="","",IF($E73="","-",SUMIF(portfolio.!$A$4:$A308,$CR73,portfolio.!$AX$4:$AX308)*$CU$5))</f>
        <v/>
      </c>
      <c r="BG73" s="545"/>
      <c r="BH73" s="879" t="s">
        <v>123</v>
      </c>
      <c r="BI73" s="880" t="s">
        <v>123</v>
      </c>
      <c r="BJ73" s="863" t="str">
        <f>IFERROR(__xludf.DUMMYFUNCTION("IF(NOT($BL$4),"""",IF($CR73="""","""",IFERROR(query({GOOGLEFINANCE($CR73,""price"",IF($BI73=""-"",TODAY()-($AQ$5+5),$BI73),TODAY()-1)},""Select max(Col2) where Col1 is not null label max(Col2) ''"")*CU73,""-"")))"),"")</f>
        <v/>
      </c>
      <c r="BK73" s="881" t="s">
        <v>123</v>
      </c>
      <c r="BL73" s="882" t="s">
        <v>123</v>
      </c>
      <c r="BM73" s="442"/>
      <c r="BN73" s="867" t="str">
        <f>IFERROR(__xludf.DUMMYFUNCTION("IF(CR73="""","""",IF(OR(C73=""AÇÃO"",C73=""BDR""),IFERROR(QUERY({fundamentus.!$A$3:$U308},$CX$67&amp;"" where Col1='""&amp;CR73&amp;""' limit 1"",0)),IF(C73=""FII"",IFERROR(QUERY({fundsexplorer.!$A$2:$Z308},$CY$67&amp;"" where Col1='""&amp;CR73&amp;""' limit 1"",0)),"""")))"),"")</f>
        <v/>
      </c>
      <c r="BO73" s="867"/>
      <c r="BP73" s="867"/>
      <c r="BQ73" s="867"/>
      <c r="BR73" s="867"/>
      <c r="BS73" s="867"/>
      <c r="BT73" s="867"/>
      <c r="BU73" s="442"/>
      <c r="BV73" s="868" t="str">
        <f>IFERROR(__xludf.DUMMYFUNCTION("IF(OR(C73=""AÇÃO"",C73=""BDR""),IFERROR(GOOGLEFINANCE(CONCAT(""BVMF:"",CR73), ""marketcap"")/1000000,""NC""),"""")"),"")</f>
        <v/>
      </c>
      <c r="BW73" s="869" t="s">
        <v>123</v>
      </c>
      <c r="BX73" s="870" t="s">
        <v>123</v>
      </c>
      <c r="BY73" s="868" t="s">
        <v>123</v>
      </c>
      <c r="BZ73" s="870" t="s">
        <v>123</v>
      </c>
      <c r="CA73" s="868" t="s">
        <v>123</v>
      </c>
      <c r="CB73" s="868" t="s">
        <v>123</v>
      </c>
      <c r="CC73" s="868" t="s">
        <v>123</v>
      </c>
      <c r="CD73" s="868" t="str">
        <f>IFERROR(__xludf.DUMMYFUNCTION("IF(OR(C73=""AÇÃO"",C73=""BDR""),IFERROR(GOOGLEFINANCE(CONCAT(""BVMF:"",CR73), ""volumeavg"")/1000000,""NC""),"""")"),"")</f>
        <v/>
      </c>
      <c r="CE73" s="870" t="s">
        <v>123</v>
      </c>
      <c r="CF73" s="870" t="s">
        <v>123</v>
      </c>
      <c r="CG73" s="870" t="str">
        <f>IFERROR(__xludf.DUMMYFUNCTION("IF(OR(C73=""AÇÃO"",C73=""BDR""),IF(CF73=0,""SEM DY"",IFERROR(ImportXML(CONCAT(""http://www.guiainvest.com.br/raiox/default.aspx?sigla="",$CR73),""//*[@id='lbPayoutAtual']""),""NC"")),"""")"),"")</f>
        <v/>
      </c>
      <c r="CH73" s="870" t="s">
        <v>123</v>
      </c>
      <c r="CI73" s="545"/>
      <c r="CJ73" s="871" t="str">
        <f>IFERROR(__xludf.DUMMYFUNCTION("IF(OR(C73=""AÇÃO"",C73=""BDR""),IFERROR(GOOGLEFINANCE(CONCAT(""BVMF:"",CR73), ""eps""),""NC""),"""")"),"")</f>
        <v/>
      </c>
      <c r="CK73" s="442"/>
      <c r="CL73" s="871" t="str">
        <f>IFERROR(__xludf.DUMMYFUNCTION("IF(NOT($BL$4),"""",IF($CR73="""","""",IF($BC73="""","""",IFERROR(query({op.normal!$B$5:$F308},""select Col5, toDate(Col2) where Col1 =  '""&amp;$CR73&amp;""' and Col4 &gt; 0 and ((Col3 is null) or (Col3 = 'C')) and Col2 &gt;= date '""&amp;TEXT(TODAY()-$AQ$5,""yyyy-mm-dd"")"&amp;"&amp;""' order by Col2 desc limit 1 label toDate(Col2) ''"")))))"),"")</f>
        <v/>
      </c>
      <c r="CM73" s="872"/>
      <c r="CN73" s="883" t="s">
        <v>123</v>
      </c>
      <c r="CO73" s="874" t="s">
        <v>123</v>
      </c>
      <c r="CP73" s="766"/>
      <c r="CQ73" s="791"/>
      <c r="CR73" s="791"/>
      <c r="CT73" s="791" t="s">
        <v>123</v>
      </c>
      <c r="CU73" s="791" t="str">
        <f>IFERROR(__xludf.DUMMYFUNCTION("IF(CR73="""","""",IF(CT73=$C$4,1,GOOGLEFINANCE(CT73&amp;$C$4)))"),"")</f>
        <v/>
      </c>
    </row>
    <row r="74" ht="22.5" customHeight="1">
      <c r="A74" s="837">
        <v>66.0</v>
      </c>
      <c r="B74" s="838" t="s">
        <v>123</v>
      </c>
      <c r="C74" s="838" t="s">
        <v>123</v>
      </c>
      <c r="D74" s="839" t="s">
        <v>123</v>
      </c>
      <c r="E74" s="839" t="s">
        <v>123</v>
      </c>
      <c r="F74" s="839" t="s">
        <v>123</v>
      </c>
      <c r="G74" s="56"/>
      <c r="H74" s="884"/>
      <c r="I74" s="838"/>
      <c r="J74" s="838"/>
      <c r="K74" s="838"/>
      <c r="L74" s="838"/>
      <c r="M74" s="838"/>
      <c r="N74" s="838"/>
      <c r="O74" s="838"/>
      <c r="P74" s="838"/>
      <c r="Q74" s="838"/>
      <c r="R74" s="838"/>
      <c r="S74" s="838"/>
      <c r="T74" s="838"/>
      <c r="U74" s="838"/>
      <c r="V74" s="838"/>
      <c r="W74" s="838"/>
      <c r="X74" s="838"/>
      <c r="Z74" s="875" t="str">
        <f>IFERROR(__xludf.DUMMYFUNCTION("IF($CR74="""","""",IFERROR(query({CarteirasAtivos},""select Col4 where Col4 is not null and Col1 = '""&amp;$CR74&amp;""' limit 1"")*CU74,""NC""))"),"")</f>
        <v/>
      </c>
      <c r="AA74" s="876" t="str">
        <f>IFERROR(__xludf.DUMMYFUNCTION("IF($CR74="""","""",IFERROR(query({CarteirasAtivos},""select Col6 where Col4 is not null and Col1 = '""&amp;$CR74&amp;""' limit 1""),""NC""))"),"")</f>
        <v/>
      </c>
      <c r="AB74" s="877"/>
      <c r="AC74" s="878" t="s">
        <v>123</v>
      </c>
      <c r="AD74" s="845" t="str">
        <f>IF($CR74="","",IFERROR(VLOOKUP($CR74,ativos.!$C$3:$R308,MATCH("cotacao",ativos.!$C$2:CY$2,0),FALSE)*$CU$5,"atualizar"))</f>
        <v/>
      </c>
      <c r="AE74" s="846" t="str">
        <f>IFERROR(__xludf.DUMMYFUNCTION("IF($CR74="""","""",IFERROR(AVERAGE(query({CarteirasAtivos;CarteirasAtivosEncerrados},""select Col5 where Col5 is not null and Col1 = '""&amp;$CR74&amp;""' and Col10='SIM'""))*CU74,""NC""))"),"")</f>
        <v/>
      </c>
      <c r="AF74" s="847" t="str">
        <f t="shared" si="1"/>
        <v/>
      </c>
      <c r="AG74" s="442"/>
      <c r="AH74" s="848" t="str">
        <f>IFERROR(__xludf.DUMMYFUNCTION("IF($CR74="""","""",IFERROR(GOOGLEFINANCE($CR74,""low52"")*CU74,""-""))"),"")</f>
        <v/>
      </c>
      <c r="AI74" s="848" t="str">
        <f>IFERROR(__xludf.DUMMYFUNCTION("IF($CR74="""","""",IFERROR(GOOGLEFINANCE($CR74,""high52"")*CU74,""-""))"),"")</f>
        <v/>
      </c>
      <c r="AJ74" s="849" t="s">
        <v>123</v>
      </c>
      <c r="AK74" s="850" t="str">
        <f>IFERROR(__xludf.DUMMYFUNCTION("IF($CR74="""","""",IFERROR(GOOGLEFINANCE($CR74,""changepct"")/100,""-""))"),"")</f>
        <v/>
      </c>
      <c r="AL74" s="851" t="str">
        <f>IFERROR(__xludf.DUMMYFUNCTION("IF($CR74="""","""",IFERROR(($AD74/(QUERY(GOOGLEFINANCE($CR74,""price"",TODAY()-7),""SELECT Col2 label Col2 ''"")*$CU74)-1),""-""))"),"")</f>
        <v/>
      </c>
      <c r="AM74" s="851" t="str">
        <f>IFERROR(__xludf.DUMMYFUNCTION("IF($CR74="""","""",IFERROR(($AD74/(QUERY(GOOGLEFINANCE($CR74,""price"",TODAY()-14),""SELECT Col2 label Col2 ''"")*$CU74)-1),""-""))"),"")</f>
        <v/>
      </c>
      <c r="AN74" s="851" t="str">
        <f>IFERROR(__xludf.DUMMYFUNCTION("IF($CR74="""","""",IFERROR(($AD74/(QUERY(GOOGLEFINANCE($CR74,""price"",TODAY()-28),""SELECT Col2 label Col2 ''"")*$CU74)-1),""-""))"),"")</f>
        <v/>
      </c>
      <c r="AO74" s="851" t="str">
        <f>IFERROR(__xludf.DUMMYFUNCTION("IF($CR74="""","""",IFERROR(($AD74/(QUERY(GOOGLEFINANCE($CR74,""price"",TODAY()-$AQ$5),""SELECT Col2 label Col2 ''"")*$CU74)-1),""-""))"),"")</f>
        <v/>
      </c>
      <c r="AP74" s="852" t="str">
        <f>IFERROR(__xludf.DUMMYFUNCTION("IF($CR74="""","""",IFERROR(SPARKLINE(query(GOOGLEFINANCE($CR74,""price"",TODAY()-$AQ$5,TODAY(),1),""select Col2 label Col2 ''""),IF($AP$7=""Gráfico de barras"",{""charttype"",""column"";""highcolor"",""red""},{""chartype"",""line""}))))"),"")</f>
        <v/>
      </c>
      <c r="AQ74" s="144"/>
      <c r="AR74" s="853"/>
      <c r="AS74" s="854" t="str">
        <f>IF($CR74="","",IF(NOT('alocação'!$D$1),"off",IFERROR(VLOOKUP(CR74,BalanceAtivos,3,0),"NC")))</f>
        <v/>
      </c>
      <c r="AT74" s="855" t="str">
        <f>IF($CR74="","",IF(NOT('alocação'!$D$1),"off",IFERROR(VLOOKUP($CR74,BalanceAtivos,4,0)*$CU$5,"NC")))</f>
        <v/>
      </c>
      <c r="AU74" s="856" t="str">
        <f>IF($CR74="","",IF(NOT('alocação'!$D$1),"off",IFERROR(VLOOKUP($CR74,BalanceAtivos,5,0),"-")))</f>
        <v/>
      </c>
      <c r="AV74" s="856" t="str">
        <f>IF($CR74="","",IF(NOT('alocação'!$D$1),"off",IFERROR(VLOOKUP($CR74,BalanceAtivos,6,0),"-")))</f>
        <v/>
      </c>
      <c r="AW74" s="857"/>
      <c r="AX74" s="858" t="str">
        <f>IF($CR74="","",IF($E74="","SP",IFERROR(VLOOKUP($CR74,AtivosDados,MATCH("pm_atual",portfolio.!$A$3:CY$3,0),0)*$CU$5,0)))</f>
        <v/>
      </c>
      <c r="AY74" s="859" t="str">
        <f t="shared" si="2"/>
        <v/>
      </c>
      <c r="AZ74" s="858" t="str">
        <f>IF($CR74="","",IF($E74="","SP",SUMIF(portfolio.!$A$4:$A308,$CR74,portfolio.!$O$4:$O308)*$CU$5))</f>
        <v/>
      </c>
      <c r="BA74" s="858" t="str">
        <f>IF($CR74="","",IF($E74="","SP",SUMIF(portfolio.!$A$4:$A308,$CR74,portfolio.!$AN$4:$AN308)*$CU$5))</f>
        <v/>
      </c>
      <c r="BB74" s="860" t="str">
        <f>IF($CR74="","",IF($E74="","-",IFERROR($BA74/'portfólio'!$DG$63,"")))</f>
        <v/>
      </c>
      <c r="BC74" s="861" t="str">
        <f>IF($CR74="","",IF($E74="","-",SUMIF(portfolio.!$A$4:$A308,$CR74,portfolio.!$J$4:$J308)))</f>
        <v/>
      </c>
      <c r="BD74" s="862" t="str">
        <f>IF($CR74="","",IF($E74="","SP",SUMIF(portfolio.!$A$4:$A308,$CR74,portfolio.!$AQ$4:$AQ308)*$CU$5))</f>
        <v/>
      </c>
      <c r="BE74" s="850" t="str">
        <f t="shared" si="3"/>
        <v/>
      </c>
      <c r="BF74" s="862" t="str">
        <f>IF($CR74="","",IF($E74="","-",SUMIF(portfolio.!$A$4:$A308,$CR74,portfolio.!$AX$4:$AX308)*$CU$5))</f>
        <v/>
      </c>
      <c r="BG74" s="545"/>
      <c r="BH74" s="879" t="s">
        <v>123</v>
      </c>
      <c r="BI74" s="880" t="s">
        <v>123</v>
      </c>
      <c r="BJ74" s="863" t="str">
        <f>IFERROR(__xludf.DUMMYFUNCTION("IF(NOT($BL$4),"""",IF($CR74="""","""",IFERROR(query({GOOGLEFINANCE($CR74,""price"",IF($BI74=""-"",TODAY()-($AQ$5+5),$BI74),TODAY()-1)},""Select max(Col2) where Col1 is not null label max(Col2) ''"")*CU74,""-"")))"),"")</f>
        <v/>
      </c>
      <c r="BK74" s="881" t="s">
        <v>123</v>
      </c>
      <c r="BL74" s="882" t="s">
        <v>123</v>
      </c>
      <c r="BM74" s="442"/>
      <c r="BN74" s="867" t="str">
        <f>IFERROR(__xludf.DUMMYFUNCTION("IF(CR74="""","""",IF(OR(C74=""AÇÃO"",C74=""BDR""),IFERROR(QUERY({fundamentus.!$A$3:$U308},$CX$67&amp;"" where Col1='""&amp;CR74&amp;""' limit 1"",0)),IF(C74=""FII"",IFERROR(QUERY({fundsexplorer.!$A$2:$Z308},$CY$67&amp;"" where Col1='""&amp;CR74&amp;""' limit 1"",0)),"""")))"),"")</f>
        <v/>
      </c>
      <c r="BO74" s="867"/>
      <c r="BP74" s="867"/>
      <c r="BQ74" s="867"/>
      <c r="BR74" s="867"/>
      <c r="BS74" s="867"/>
      <c r="BT74" s="867"/>
      <c r="BU74" s="442"/>
      <c r="BV74" s="868" t="str">
        <f>IFERROR(__xludf.DUMMYFUNCTION("IF(OR(C74=""AÇÃO"",C74=""BDR""),IFERROR(GOOGLEFINANCE(CONCAT(""BVMF:"",CR74), ""marketcap"")/1000000,""NC""),"""")"),"")</f>
        <v/>
      </c>
      <c r="BW74" s="869" t="s">
        <v>123</v>
      </c>
      <c r="BX74" s="870" t="s">
        <v>123</v>
      </c>
      <c r="BY74" s="868" t="s">
        <v>123</v>
      </c>
      <c r="BZ74" s="870" t="s">
        <v>123</v>
      </c>
      <c r="CA74" s="868" t="s">
        <v>123</v>
      </c>
      <c r="CB74" s="868" t="s">
        <v>123</v>
      </c>
      <c r="CC74" s="868" t="s">
        <v>123</v>
      </c>
      <c r="CD74" s="868" t="str">
        <f>IFERROR(__xludf.DUMMYFUNCTION("IF(OR(C74=""AÇÃO"",C74=""BDR""),IFERROR(GOOGLEFINANCE(CONCAT(""BVMF:"",CR74), ""volumeavg"")/1000000,""NC""),"""")"),"")</f>
        <v/>
      </c>
      <c r="CE74" s="870" t="s">
        <v>123</v>
      </c>
      <c r="CF74" s="870" t="s">
        <v>123</v>
      </c>
      <c r="CG74" s="870" t="str">
        <f>IFERROR(__xludf.DUMMYFUNCTION("IF(OR(C74=""AÇÃO"",C74=""BDR""),IF(CF74=0,""SEM DY"",IFERROR(ImportXML(CONCAT(""http://www.guiainvest.com.br/raiox/default.aspx?sigla="",$CR74),""//*[@id='lbPayoutAtual']""),""NC"")),"""")"),"")</f>
        <v/>
      </c>
      <c r="CH74" s="870" t="s">
        <v>123</v>
      </c>
      <c r="CI74" s="545"/>
      <c r="CJ74" s="871" t="str">
        <f>IFERROR(__xludf.DUMMYFUNCTION("IF(OR(C74=""AÇÃO"",C74=""BDR""),IFERROR(GOOGLEFINANCE(CONCAT(""BVMF:"",CR74), ""eps""),""NC""),"""")"),"")</f>
        <v/>
      </c>
      <c r="CK74" s="442"/>
      <c r="CL74" s="871" t="str">
        <f>IFERROR(__xludf.DUMMYFUNCTION("IF(NOT($BL$4),"""",IF($CR74="""","""",IF($BC74="""","""",IFERROR(query({op.normal!$B$5:$F308},""select Col5, toDate(Col2) where Col1 =  '""&amp;$CR74&amp;""' and Col4 &gt; 0 and ((Col3 is null) or (Col3 = 'C')) and Col2 &gt;= date '""&amp;TEXT(TODAY()-$AQ$5,""yyyy-mm-dd"")"&amp;"&amp;""' order by Col2 desc limit 1 label toDate(Col2) ''"")))))"),"")</f>
        <v/>
      </c>
      <c r="CM74" s="872"/>
      <c r="CN74" s="883" t="s">
        <v>123</v>
      </c>
      <c r="CO74" s="874" t="s">
        <v>123</v>
      </c>
      <c r="CP74" s="766"/>
      <c r="CQ74" s="791"/>
      <c r="CR74" s="791"/>
      <c r="CT74" s="791" t="s">
        <v>123</v>
      </c>
      <c r="CU74" s="791" t="str">
        <f>IFERROR(__xludf.DUMMYFUNCTION("IF(CR74="""","""",IF(CT74=$C$4,1,GOOGLEFINANCE(CT74&amp;$C$4)))"),"")</f>
        <v/>
      </c>
    </row>
    <row r="75" ht="22.5" customHeight="1">
      <c r="A75" s="837">
        <v>67.0</v>
      </c>
      <c r="B75" s="838" t="s">
        <v>123</v>
      </c>
      <c r="C75" s="838" t="s">
        <v>123</v>
      </c>
      <c r="D75" s="839" t="s">
        <v>123</v>
      </c>
      <c r="E75" s="839" t="s">
        <v>123</v>
      </c>
      <c r="F75" s="839" t="s">
        <v>123</v>
      </c>
      <c r="G75" s="56"/>
      <c r="H75" s="884"/>
      <c r="I75" s="838"/>
      <c r="J75" s="838"/>
      <c r="K75" s="838"/>
      <c r="L75" s="838"/>
      <c r="M75" s="838"/>
      <c r="N75" s="838"/>
      <c r="O75" s="838"/>
      <c r="P75" s="838"/>
      <c r="Q75" s="838"/>
      <c r="R75" s="838"/>
      <c r="S75" s="838"/>
      <c r="T75" s="838"/>
      <c r="U75" s="838"/>
      <c r="V75" s="838"/>
      <c r="W75" s="838"/>
      <c r="X75" s="838"/>
      <c r="Z75" s="875" t="str">
        <f>IFERROR(__xludf.DUMMYFUNCTION("IF($CR75="""","""",IFERROR(query({CarteirasAtivos},""select Col4 where Col4 is not null and Col1 = '""&amp;$CR75&amp;""' limit 1"")*CU75,""NC""))"),"")</f>
        <v/>
      </c>
      <c r="AA75" s="876" t="str">
        <f>IFERROR(__xludf.DUMMYFUNCTION("IF($CR75="""","""",IFERROR(query({CarteirasAtivos},""select Col6 where Col4 is not null and Col1 = '""&amp;$CR75&amp;""' limit 1""),""NC""))"),"")</f>
        <v/>
      </c>
      <c r="AB75" s="877"/>
      <c r="AC75" s="878" t="s">
        <v>123</v>
      </c>
      <c r="AD75" s="845" t="str">
        <f>IF($CR75="","",IFERROR(VLOOKUP($CR75,ativos.!$C$3:$R308,MATCH("cotacao",ativos.!$C$2:CY$2,0),FALSE)*$CU$5,"atualizar"))</f>
        <v/>
      </c>
      <c r="AE75" s="846" t="str">
        <f>IFERROR(__xludf.DUMMYFUNCTION("IF($CR75="""","""",IFERROR(AVERAGE(query({CarteirasAtivos;CarteirasAtivosEncerrados},""select Col5 where Col5 is not null and Col1 = '""&amp;$CR75&amp;""' and Col10='SIM'""))*CU75,""NC""))"),"")</f>
        <v/>
      </c>
      <c r="AF75" s="847" t="str">
        <f t="shared" si="1"/>
        <v/>
      </c>
      <c r="AG75" s="442"/>
      <c r="AH75" s="848" t="str">
        <f>IFERROR(__xludf.DUMMYFUNCTION("IF($CR75="""","""",IFERROR(GOOGLEFINANCE($CR75,""low52"")*CU75,""-""))"),"")</f>
        <v/>
      </c>
      <c r="AI75" s="848" t="str">
        <f>IFERROR(__xludf.DUMMYFUNCTION("IF($CR75="""","""",IFERROR(GOOGLEFINANCE($CR75,""high52"")*CU75,""-""))"),"")</f>
        <v/>
      </c>
      <c r="AJ75" s="849" t="s">
        <v>123</v>
      </c>
      <c r="AK75" s="850" t="str">
        <f>IFERROR(__xludf.DUMMYFUNCTION("IF($CR75="""","""",IFERROR(GOOGLEFINANCE($CR75,""changepct"")/100,""-""))"),"")</f>
        <v/>
      </c>
      <c r="AL75" s="851" t="str">
        <f>IFERROR(__xludf.DUMMYFUNCTION("IF($CR75="""","""",IFERROR(($AD75/(QUERY(GOOGLEFINANCE($CR75,""price"",TODAY()-7),""SELECT Col2 label Col2 ''"")*$CU75)-1),""-""))"),"")</f>
        <v/>
      </c>
      <c r="AM75" s="851" t="str">
        <f>IFERROR(__xludf.DUMMYFUNCTION("IF($CR75="""","""",IFERROR(($AD75/(QUERY(GOOGLEFINANCE($CR75,""price"",TODAY()-14),""SELECT Col2 label Col2 ''"")*$CU75)-1),""-""))"),"")</f>
        <v/>
      </c>
      <c r="AN75" s="851" t="str">
        <f>IFERROR(__xludf.DUMMYFUNCTION("IF($CR75="""","""",IFERROR(($AD75/(QUERY(GOOGLEFINANCE($CR75,""price"",TODAY()-28),""SELECT Col2 label Col2 ''"")*$CU75)-1),""-""))"),"")</f>
        <v/>
      </c>
      <c r="AO75" s="851" t="str">
        <f>IFERROR(__xludf.DUMMYFUNCTION("IF($CR75="""","""",IFERROR(($AD75/(QUERY(GOOGLEFINANCE($CR75,""price"",TODAY()-$AQ$5),""SELECT Col2 label Col2 ''"")*$CU75)-1),""-""))"),"")</f>
        <v/>
      </c>
      <c r="AP75" s="852" t="str">
        <f>IFERROR(__xludf.DUMMYFUNCTION("IF($CR75="""","""",IFERROR(SPARKLINE(query(GOOGLEFINANCE($CR75,""price"",TODAY()-$AQ$5,TODAY(),1),""select Col2 label Col2 ''""),IF($AP$7=""Gráfico de barras"",{""charttype"",""column"";""highcolor"",""red""},{""chartype"",""line""}))))"),"")</f>
        <v/>
      </c>
      <c r="AQ75" s="144"/>
      <c r="AR75" s="853"/>
      <c r="AS75" s="854" t="str">
        <f>IF($CR75="","",IF(NOT('alocação'!$D$1),"off",IFERROR(VLOOKUP(CR75,BalanceAtivos,3,0),"NC")))</f>
        <v/>
      </c>
      <c r="AT75" s="855" t="str">
        <f>IF($CR75="","",IF(NOT('alocação'!$D$1),"off",IFERROR(VLOOKUP($CR75,BalanceAtivos,4,0)*$CU$5,"NC")))</f>
        <v/>
      </c>
      <c r="AU75" s="856" t="str">
        <f>IF($CR75="","",IF(NOT('alocação'!$D$1),"off",IFERROR(VLOOKUP($CR75,BalanceAtivos,5,0),"-")))</f>
        <v/>
      </c>
      <c r="AV75" s="856" t="str">
        <f>IF($CR75="","",IF(NOT('alocação'!$D$1),"off",IFERROR(VLOOKUP($CR75,BalanceAtivos,6,0),"-")))</f>
        <v/>
      </c>
      <c r="AW75" s="857"/>
      <c r="AX75" s="858" t="str">
        <f>IF($CR75="","",IF($E75="","SP",IFERROR(VLOOKUP($CR75,AtivosDados,MATCH("pm_atual",portfolio.!$A$3:CY$3,0),0)*$CU$5,0)))</f>
        <v/>
      </c>
      <c r="AY75" s="859" t="str">
        <f t="shared" si="2"/>
        <v/>
      </c>
      <c r="AZ75" s="858" t="str">
        <f>IF($CR75="","",IF($E75="","SP",SUMIF(portfolio.!$A$4:$A308,$CR75,portfolio.!$O$4:$O308)*$CU$5))</f>
        <v/>
      </c>
      <c r="BA75" s="858" t="str">
        <f>IF($CR75="","",IF($E75="","SP",SUMIF(portfolio.!$A$4:$A308,$CR75,portfolio.!$AN$4:$AN308)*$CU$5))</f>
        <v/>
      </c>
      <c r="BB75" s="860" t="str">
        <f>IF($CR75="","",IF($E75="","-",IFERROR($BA75/'portfólio'!$DG$63,"")))</f>
        <v/>
      </c>
      <c r="BC75" s="861" t="str">
        <f>IF($CR75="","",IF($E75="","-",SUMIF(portfolio.!$A$4:$A308,$CR75,portfolio.!$J$4:$J308)))</f>
        <v/>
      </c>
      <c r="BD75" s="862" t="str">
        <f>IF($CR75="","",IF($E75="","SP",SUMIF(portfolio.!$A$4:$A308,$CR75,portfolio.!$AQ$4:$AQ308)*$CU$5))</f>
        <v/>
      </c>
      <c r="BE75" s="850" t="str">
        <f t="shared" si="3"/>
        <v/>
      </c>
      <c r="BF75" s="862" t="str">
        <f>IF($CR75="","",IF($E75="","-",SUMIF(portfolio.!$A$4:$A308,$CR75,portfolio.!$AX$4:$AX308)*$CU$5))</f>
        <v/>
      </c>
      <c r="BG75" s="545"/>
      <c r="BH75" s="879" t="s">
        <v>123</v>
      </c>
      <c r="BI75" s="880" t="s">
        <v>123</v>
      </c>
      <c r="BJ75" s="863" t="str">
        <f>IFERROR(__xludf.DUMMYFUNCTION("IF(NOT($BL$4),"""",IF($CR75="""","""",IFERROR(query({GOOGLEFINANCE($CR75,""price"",IF($BI75=""-"",TODAY()-($AQ$5+5),$BI75),TODAY()-1)},""Select max(Col2) where Col1 is not null label max(Col2) ''"")*CU75,""-"")))"),"")</f>
        <v/>
      </c>
      <c r="BK75" s="881" t="s">
        <v>123</v>
      </c>
      <c r="BL75" s="882" t="s">
        <v>123</v>
      </c>
      <c r="BM75" s="442"/>
      <c r="BN75" s="867" t="str">
        <f>IFERROR(__xludf.DUMMYFUNCTION("IF(CR75="""","""",IF(OR(C75=""AÇÃO"",C75=""BDR""),IFERROR(QUERY({fundamentus.!$A$3:$U308},$CX$67&amp;"" where Col1='""&amp;CR75&amp;""' limit 1"",0)),IF(C75=""FII"",IFERROR(QUERY({fundsexplorer.!$A$2:$Z308},$CY$67&amp;"" where Col1='""&amp;CR75&amp;""' limit 1"",0)),"""")))"),"")</f>
        <v/>
      </c>
      <c r="BO75" s="867"/>
      <c r="BP75" s="867"/>
      <c r="BQ75" s="867"/>
      <c r="BR75" s="867"/>
      <c r="BS75" s="867"/>
      <c r="BT75" s="867"/>
      <c r="BU75" s="442"/>
      <c r="BV75" s="868" t="str">
        <f>IFERROR(__xludf.DUMMYFUNCTION("IF(OR(C75=""AÇÃO"",C75=""BDR""),IFERROR(GOOGLEFINANCE(CONCAT(""BVMF:"",CR75), ""marketcap"")/1000000,""NC""),"""")"),"")</f>
        <v/>
      </c>
      <c r="BW75" s="869" t="s">
        <v>123</v>
      </c>
      <c r="BX75" s="870" t="s">
        <v>123</v>
      </c>
      <c r="BY75" s="868" t="s">
        <v>123</v>
      </c>
      <c r="BZ75" s="870" t="s">
        <v>123</v>
      </c>
      <c r="CA75" s="868" t="s">
        <v>123</v>
      </c>
      <c r="CB75" s="868" t="s">
        <v>123</v>
      </c>
      <c r="CC75" s="868" t="s">
        <v>123</v>
      </c>
      <c r="CD75" s="868" t="str">
        <f>IFERROR(__xludf.DUMMYFUNCTION("IF(OR(C75=""AÇÃO"",C75=""BDR""),IFERROR(GOOGLEFINANCE(CONCAT(""BVMF:"",CR75), ""volumeavg"")/1000000,""NC""),"""")"),"")</f>
        <v/>
      </c>
      <c r="CE75" s="870" t="s">
        <v>123</v>
      </c>
      <c r="CF75" s="870" t="s">
        <v>123</v>
      </c>
      <c r="CG75" s="870" t="str">
        <f>IFERROR(__xludf.DUMMYFUNCTION("IF(OR(C75=""AÇÃO"",C75=""BDR""),IF(CF75=0,""SEM DY"",IFERROR(ImportXML(CONCAT(""http://www.guiainvest.com.br/raiox/default.aspx?sigla="",$CR75),""//*[@id='lbPayoutAtual']""),""NC"")),"""")"),"")</f>
        <v/>
      </c>
      <c r="CH75" s="870" t="s">
        <v>123</v>
      </c>
      <c r="CI75" s="545"/>
      <c r="CJ75" s="871" t="str">
        <f>IFERROR(__xludf.DUMMYFUNCTION("IF(OR(C75=""AÇÃO"",C75=""BDR""),IFERROR(GOOGLEFINANCE(CONCAT(""BVMF:"",CR75), ""eps""),""NC""),"""")"),"")</f>
        <v/>
      </c>
      <c r="CK75" s="442"/>
      <c r="CL75" s="871" t="str">
        <f>IFERROR(__xludf.DUMMYFUNCTION("IF(NOT($BL$4),"""",IF($CR75="""","""",IF($BC75="""","""",IFERROR(query({op.normal!$B$5:$F308},""select Col5, toDate(Col2) where Col1 =  '""&amp;$CR75&amp;""' and Col4 &gt; 0 and ((Col3 is null) or (Col3 = 'C')) and Col2 &gt;= date '""&amp;TEXT(TODAY()-$AQ$5,""yyyy-mm-dd"")"&amp;"&amp;""' order by Col2 desc limit 1 label toDate(Col2) ''"")))))"),"")</f>
        <v/>
      </c>
      <c r="CM75" s="872"/>
      <c r="CN75" s="883" t="s">
        <v>123</v>
      </c>
      <c r="CO75" s="874" t="s">
        <v>123</v>
      </c>
      <c r="CP75" s="766"/>
      <c r="CQ75" s="791"/>
      <c r="CR75" s="791"/>
      <c r="CT75" s="791" t="s">
        <v>123</v>
      </c>
      <c r="CU75" s="791" t="str">
        <f>IFERROR(__xludf.DUMMYFUNCTION("IF(CR75="""","""",IF(CT75=$C$4,1,GOOGLEFINANCE(CT75&amp;$C$4)))"),"")</f>
        <v/>
      </c>
    </row>
    <row r="76" ht="22.5" customHeight="1">
      <c r="A76" s="837">
        <v>68.0</v>
      </c>
      <c r="B76" s="838" t="s">
        <v>123</v>
      </c>
      <c r="C76" s="838" t="s">
        <v>123</v>
      </c>
      <c r="D76" s="839" t="s">
        <v>123</v>
      </c>
      <c r="E76" s="839" t="s">
        <v>123</v>
      </c>
      <c r="F76" s="839" t="s">
        <v>123</v>
      </c>
      <c r="G76" s="56"/>
      <c r="H76" s="884"/>
      <c r="I76" s="838"/>
      <c r="J76" s="838"/>
      <c r="K76" s="838"/>
      <c r="L76" s="838"/>
      <c r="M76" s="838"/>
      <c r="N76" s="838"/>
      <c r="O76" s="838"/>
      <c r="P76" s="838"/>
      <c r="Q76" s="838"/>
      <c r="R76" s="838"/>
      <c r="S76" s="838"/>
      <c r="T76" s="838"/>
      <c r="U76" s="838"/>
      <c r="V76" s="838"/>
      <c r="W76" s="838"/>
      <c r="X76" s="838"/>
      <c r="Z76" s="875" t="str">
        <f>IFERROR(__xludf.DUMMYFUNCTION("IF($CR76="""","""",IFERROR(query({CarteirasAtivos},""select Col4 where Col4 is not null and Col1 = '""&amp;$CR76&amp;""' limit 1"")*CU76,""NC""))"),"")</f>
        <v/>
      </c>
      <c r="AA76" s="876" t="str">
        <f>IFERROR(__xludf.DUMMYFUNCTION("IF($CR76="""","""",IFERROR(query({CarteirasAtivos},""select Col6 where Col4 is not null and Col1 = '""&amp;$CR76&amp;""' limit 1""),""NC""))"),"")</f>
        <v/>
      </c>
      <c r="AB76" s="877"/>
      <c r="AC76" s="878" t="s">
        <v>123</v>
      </c>
      <c r="AD76" s="845" t="str">
        <f>IF($CR76="","",IFERROR(VLOOKUP($CR76,ativos.!$C$3:$R308,MATCH("cotacao",ativos.!$C$2:CY$2,0),FALSE)*$CU$5,"atualizar"))</f>
        <v/>
      </c>
      <c r="AE76" s="846" t="str">
        <f>IFERROR(__xludf.DUMMYFUNCTION("IF($CR76="""","""",IFERROR(AVERAGE(query({CarteirasAtivos;CarteirasAtivosEncerrados},""select Col5 where Col5 is not null and Col1 = '""&amp;$CR76&amp;""' and Col10='SIM'""))*CU76,""NC""))"),"")</f>
        <v/>
      </c>
      <c r="AF76" s="847" t="str">
        <f t="shared" si="1"/>
        <v/>
      </c>
      <c r="AG76" s="442"/>
      <c r="AH76" s="848" t="str">
        <f>IFERROR(__xludf.DUMMYFUNCTION("IF($CR76="""","""",IFERROR(GOOGLEFINANCE($CR76,""low52"")*CU76,""-""))"),"")</f>
        <v/>
      </c>
      <c r="AI76" s="848" t="str">
        <f>IFERROR(__xludf.DUMMYFUNCTION("IF($CR76="""","""",IFERROR(GOOGLEFINANCE($CR76,""high52"")*CU76,""-""))"),"")</f>
        <v/>
      </c>
      <c r="AJ76" s="849" t="s">
        <v>123</v>
      </c>
      <c r="AK76" s="850" t="str">
        <f>IFERROR(__xludf.DUMMYFUNCTION("IF($CR76="""","""",IFERROR(GOOGLEFINANCE($CR76,""changepct"")/100,""-""))"),"")</f>
        <v/>
      </c>
      <c r="AL76" s="851" t="str">
        <f>IFERROR(__xludf.DUMMYFUNCTION("IF($CR76="""","""",IFERROR(($AD76/(QUERY(GOOGLEFINANCE($CR76,""price"",TODAY()-7),""SELECT Col2 label Col2 ''"")*$CU76)-1),""-""))"),"")</f>
        <v/>
      </c>
      <c r="AM76" s="851" t="str">
        <f>IFERROR(__xludf.DUMMYFUNCTION("IF($CR76="""","""",IFERROR(($AD76/(QUERY(GOOGLEFINANCE($CR76,""price"",TODAY()-14),""SELECT Col2 label Col2 ''"")*$CU76)-1),""-""))"),"")</f>
        <v/>
      </c>
      <c r="AN76" s="851" t="str">
        <f>IFERROR(__xludf.DUMMYFUNCTION("IF($CR76="""","""",IFERROR(($AD76/(QUERY(GOOGLEFINANCE($CR76,""price"",TODAY()-28),""SELECT Col2 label Col2 ''"")*$CU76)-1),""-""))"),"")</f>
        <v/>
      </c>
      <c r="AO76" s="851" t="str">
        <f>IFERROR(__xludf.DUMMYFUNCTION("IF($CR76="""","""",IFERROR(($AD76/(QUERY(GOOGLEFINANCE($CR76,""price"",TODAY()-$AQ$5),""SELECT Col2 label Col2 ''"")*$CU76)-1),""-""))"),"")</f>
        <v/>
      </c>
      <c r="AP76" s="852" t="str">
        <f>IFERROR(__xludf.DUMMYFUNCTION("IF($CR76="""","""",IFERROR(SPARKLINE(query(GOOGLEFINANCE($CR76,""price"",TODAY()-$AQ$5,TODAY(),1),""select Col2 label Col2 ''""),IF($AP$7=""Gráfico de barras"",{""charttype"",""column"";""highcolor"",""red""},{""chartype"",""line""}))))"),"")</f>
        <v/>
      </c>
      <c r="AQ76" s="144"/>
      <c r="AR76" s="853"/>
      <c r="AS76" s="854" t="str">
        <f>IF($CR76="","",IF(NOT('alocação'!$D$1),"off",IFERROR(VLOOKUP(CR76,BalanceAtivos,3,0),"NC")))</f>
        <v/>
      </c>
      <c r="AT76" s="855" t="str">
        <f>IF($CR76="","",IF(NOT('alocação'!$D$1),"off",IFERROR(VLOOKUP($CR76,BalanceAtivos,4,0)*$CU$5,"NC")))</f>
        <v/>
      </c>
      <c r="AU76" s="856" t="str">
        <f>IF($CR76="","",IF(NOT('alocação'!$D$1),"off",IFERROR(VLOOKUP($CR76,BalanceAtivos,5,0),"-")))</f>
        <v/>
      </c>
      <c r="AV76" s="856" t="str">
        <f>IF($CR76="","",IF(NOT('alocação'!$D$1),"off",IFERROR(VLOOKUP($CR76,BalanceAtivos,6,0),"-")))</f>
        <v/>
      </c>
      <c r="AW76" s="857"/>
      <c r="AX76" s="858" t="str">
        <f>IF($CR76="","",IF($E76="","SP",IFERROR(VLOOKUP($CR76,AtivosDados,MATCH("pm_atual",portfolio.!$A$3:CY$3,0),0)*$CU$5,0)))</f>
        <v/>
      </c>
      <c r="AY76" s="859" t="str">
        <f t="shared" si="2"/>
        <v/>
      </c>
      <c r="AZ76" s="858" t="str">
        <f>IF($CR76="","",IF($E76="","SP",SUMIF(portfolio.!$A$4:$A308,$CR76,portfolio.!$O$4:$O308)*$CU$5))</f>
        <v/>
      </c>
      <c r="BA76" s="858" t="str">
        <f>IF($CR76="","",IF($E76="","SP",SUMIF(portfolio.!$A$4:$A308,$CR76,portfolio.!$AN$4:$AN308)*$CU$5))</f>
        <v/>
      </c>
      <c r="BB76" s="860" t="str">
        <f>IF($CR76="","",IF($E76="","-",IFERROR($BA76/'portfólio'!$DG$63,"")))</f>
        <v/>
      </c>
      <c r="BC76" s="861" t="str">
        <f>IF($CR76="","",IF($E76="","-",SUMIF(portfolio.!$A$4:$A308,$CR76,portfolio.!$J$4:$J308)))</f>
        <v/>
      </c>
      <c r="BD76" s="862" t="str">
        <f>IF($CR76="","",IF($E76="","SP",SUMIF(portfolio.!$A$4:$A308,$CR76,portfolio.!$AQ$4:$AQ308)*$CU$5))</f>
        <v/>
      </c>
      <c r="BE76" s="850" t="str">
        <f t="shared" si="3"/>
        <v/>
      </c>
      <c r="BF76" s="862" t="str">
        <f>IF($CR76="","",IF($E76="","-",SUMIF(portfolio.!$A$4:$A308,$CR76,portfolio.!$AX$4:$AX308)*$CU$5))</f>
        <v/>
      </c>
      <c r="BG76" s="545"/>
      <c r="BH76" s="879" t="s">
        <v>123</v>
      </c>
      <c r="BI76" s="880" t="s">
        <v>123</v>
      </c>
      <c r="BJ76" s="863" t="str">
        <f>IFERROR(__xludf.DUMMYFUNCTION("IF(NOT($BL$4),"""",IF($CR76="""","""",IFERROR(query({GOOGLEFINANCE($CR76,""price"",IF($BI76=""-"",TODAY()-($AQ$5+5),$BI76),TODAY()-1)},""Select max(Col2) where Col1 is not null label max(Col2) ''"")*CU76,""-"")))"),"")</f>
        <v/>
      </c>
      <c r="BK76" s="881" t="s">
        <v>123</v>
      </c>
      <c r="BL76" s="882" t="s">
        <v>123</v>
      </c>
      <c r="BM76" s="442"/>
      <c r="BN76" s="867" t="str">
        <f>IFERROR(__xludf.DUMMYFUNCTION("IF(CR76="""","""",IF(OR(C76=""AÇÃO"",C76=""BDR""),IFERROR(QUERY({fundamentus.!$A$3:$U308},$CX$67&amp;"" where Col1='""&amp;CR76&amp;""' limit 1"",0)),IF(C76=""FII"",IFERROR(QUERY({fundsexplorer.!$A$2:$Z308},$CY$67&amp;"" where Col1='""&amp;CR76&amp;""' limit 1"",0)),"""")))"),"")</f>
        <v/>
      </c>
      <c r="BO76" s="867"/>
      <c r="BP76" s="867"/>
      <c r="BQ76" s="867"/>
      <c r="BR76" s="867"/>
      <c r="BS76" s="867"/>
      <c r="BT76" s="867"/>
      <c r="BU76" s="442"/>
      <c r="BV76" s="868" t="str">
        <f>IFERROR(__xludf.DUMMYFUNCTION("IF(OR(C76=""AÇÃO"",C76=""BDR""),IFERROR(GOOGLEFINANCE(CONCAT(""BVMF:"",CR76), ""marketcap"")/1000000,""NC""),"""")"),"")</f>
        <v/>
      </c>
      <c r="BW76" s="869" t="s">
        <v>123</v>
      </c>
      <c r="BX76" s="870" t="s">
        <v>123</v>
      </c>
      <c r="BY76" s="868" t="s">
        <v>123</v>
      </c>
      <c r="BZ76" s="870" t="s">
        <v>123</v>
      </c>
      <c r="CA76" s="868" t="s">
        <v>123</v>
      </c>
      <c r="CB76" s="868" t="s">
        <v>123</v>
      </c>
      <c r="CC76" s="868" t="s">
        <v>123</v>
      </c>
      <c r="CD76" s="868" t="str">
        <f>IFERROR(__xludf.DUMMYFUNCTION("IF(OR(C76=""AÇÃO"",C76=""BDR""),IFERROR(GOOGLEFINANCE(CONCAT(""BVMF:"",CR76), ""volumeavg"")/1000000,""NC""),"""")"),"")</f>
        <v/>
      </c>
      <c r="CE76" s="870" t="s">
        <v>123</v>
      </c>
      <c r="CF76" s="870" t="s">
        <v>123</v>
      </c>
      <c r="CG76" s="870" t="str">
        <f>IFERROR(__xludf.DUMMYFUNCTION("IF(OR(C76=""AÇÃO"",C76=""BDR""),IF(CF76=0,""SEM DY"",IFERROR(ImportXML(CONCAT(""http://www.guiainvest.com.br/raiox/default.aspx?sigla="",$CR76),""//*[@id='lbPayoutAtual']""),""NC"")),"""")"),"")</f>
        <v/>
      </c>
      <c r="CH76" s="870" t="s">
        <v>123</v>
      </c>
      <c r="CI76" s="545"/>
      <c r="CJ76" s="871" t="str">
        <f>IFERROR(__xludf.DUMMYFUNCTION("IF(OR(C76=""AÇÃO"",C76=""BDR""),IFERROR(GOOGLEFINANCE(CONCAT(""BVMF:"",CR76), ""eps""),""NC""),"""")"),"")</f>
        <v/>
      </c>
      <c r="CK76" s="442"/>
      <c r="CL76" s="871" t="str">
        <f>IFERROR(__xludf.DUMMYFUNCTION("IF(NOT($BL$4),"""",IF($CR76="""","""",IF($BC76="""","""",IFERROR(query({op.normal!$B$5:$F308},""select Col5, toDate(Col2) where Col1 =  '""&amp;$CR76&amp;""' and Col4 &gt; 0 and ((Col3 is null) or (Col3 = 'C')) and Col2 &gt;= date '""&amp;TEXT(TODAY()-$AQ$5,""yyyy-mm-dd"")"&amp;"&amp;""' order by Col2 desc limit 1 label toDate(Col2) ''"")))))"),"")</f>
        <v/>
      </c>
      <c r="CM76" s="872"/>
      <c r="CN76" s="883" t="s">
        <v>123</v>
      </c>
      <c r="CO76" s="874" t="s">
        <v>123</v>
      </c>
      <c r="CP76" s="766"/>
      <c r="CQ76" s="791"/>
      <c r="CR76" s="791"/>
      <c r="CT76" s="791" t="s">
        <v>123</v>
      </c>
      <c r="CU76" s="791" t="str">
        <f>IFERROR(__xludf.DUMMYFUNCTION("IF(CR76="""","""",IF(CT76=$C$4,1,GOOGLEFINANCE(CT76&amp;$C$4)))"),"")</f>
        <v/>
      </c>
    </row>
    <row r="77" ht="22.5" customHeight="1">
      <c r="A77" s="837">
        <v>69.0</v>
      </c>
      <c r="B77" s="838" t="s">
        <v>123</v>
      </c>
      <c r="C77" s="838" t="s">
        <v>123</v>
      </c>
      <c r="D77" s="839" t="s">
        <v>123</v>
      </c>
      <c r="E77" s="839" t="s">
        <v>123</v>
      </c>
      <c r="F77" s="839" t="s">
        <v>123</v>
      </c>
      <c r="G77" s="56"/>
      <c r="H77" s="884"/>
      <c r="I77" s="838"/>
      <c r="J77" s="838"/>
      <c r="K77" s="838"/>
      <c r="L77" s="838"/>
      <c r="M77" s="838"/>
      <c r="N77" s="838"/>
      <c r="O77" s="838"/>
      <c r="P77" s="838"/>
      <c r="Q77" s="838"/>
      <c r="R77" s="838"/>
      <c r="S77" s="838"/>
      <c r="T77" s="838"/>
      <c r="U77" s="838"/>
      <c r="V77" s="838"/>
      <c r="W77" s="838"/>
      <c r="X77" s="838"/>
      <c r="Z77" s="875" t="str">
        <f>IFERROR(__xludf.DUMMYFUNCTION("IF($CR77="""","""",IFERROR(query({CarteirasAtivos},""select Col4 where Col4 is not null and Col1 = '""&amp;$CR77&amp;""' limit 1"")*CU77,""NC""))"),"")</f>
        <v/>
      </c>
      <c r="AA77" s="876" t="str">
        <f>IFERROR(__xludf.DUMMYFUNCTION("IF($CR77="""","""",IFERROR(query({CarteirasAtivos},""select Col6 where Col4 is not null and Col1 = '""&amp;$CR77&amp;""' limit 1""),""NC""))"),"")</f>
        <v/>
      </c>
      <c r="AB77" s="877"/>
      <c r="AC77" s="878" t="s">
        <v>123</v>
      </c>
      <c r="AD77" s="845" t="str">
        <f>IF($CR77="","",IFERROR(VLOOKUP($CR77,ativos.!$C$3:$R308,MATCH("cotacao",ativos.!$C$2:CY$2,0),FALSE)*$CU$5,"atualizar"))</f>
        <v/>
      </c>
      <c r="AE77" s="846" t="str">
        <f>IFERROR(__xludf.DUMMYFUNCTION("IF($CR77="""","""",IFERROR(AVERAGE(query({CarteirasAtivos;CarteirasAtivosEncerrados},""select Col5 where Col5 is not null and Col1 = '""&amp;$CR77&amp;""' and Col10='SIM'""))*CU77,""NC""))"),"")</f>
        <v/>
      </c>
      <c r="AF77" s="847" t="str">
        <f t="shared" si="1"/>
        <v/>
      </c>
      <c r="AG77" s="442"/>
      <c r="AH77" s="848" t="str">
        <f>IFERROR(__xludf.DUMMYFUNCTION("IF($CR77="""","""",IFERROR(GOOGLEFINANCE($CR77,""low52"")*CU77,""-""))"),"")</f>
        <v/>
      </c>
      <c r="AI77" s="848" t="str">
        <f>IFERROR(__xludf.DUMMYFUNCTION("IF($CR77="""","""",IFERROR(GOOGLEFINANCE($CR77,""high52"")*CU77,""-""))"),"")</f>
        <v/>
      </c>
      <c r="AJ77" s="849" t="s">
        <v>123</v>
      </c>
      <c r="AK77" s="850" t="str">
        <f>IFERROR(__xludf.DUMMYFUNCTION("IF($CR77="""","""",IFERROR(GOOGLEFINANCE($CR77,""changepct"")/100,""-""))"),"")</f>
        <v/>
      </c>
      <c r="AL77" s="851" t="str">
        <f>IFERROR(__xludf.DUMMYFUNCTION("IF($CR77="""","""",IFERROR(($AD77/(QUERY(GOOGLEFINANCE($CR77,""price"",TODAY()-7),""SELECT Col2 label Col2 ''"")*$CU77)-1),""-""))"),"")</f>
        <v/>
      </c>
      <c r="AM77" s="851" t="str">
        <f>IFERROR(__xludf.DUMMYFUNCTION("IF($CR77="""","""",IFERROR(($AD77/(QUERY(GOOGLEFINANCE($CR77,""price"",TODAY()-14),""SELECT Col2 label Col2 ''"")*$CU77)-1),""-""))"),"")</f>
        <v/>
      </c>
      <c r="AN77" s="851" t="str">
        <f>IFERROR(__xludf.DUMMYFUNCTION("IF($CR77="""","""",IFERROR(($AD77/(QUERY(GOOGLEFINANCE($CR77,""price"",TODAY()-28),""SELECT Col2 label Col2 ''"")*$CU77)-1),""-""))"),"")</f>
        <v/>
      </c>
      <c r="AO77" s="851" t="str">
        <f>IFERROR(__xludf.DUMMYFUNCTION("IF($CR77="""","""",IFERROR(($AD77/(QUERY(GOOGLEFINANCE($CR77,""price"",TODAY()-$AQ$5),""SELECT Col2 label Col2 ''"")*$CU77)-1),""-""))"),"")</f>
        <v/>
      </c>
      <c r="AP77" s="852" t="str">
        <f>IFERROR(__xludf.DUMMYFUNCTION("IF($CR77="""","""",IFERROR(SPARKLINE(query(GOOGLEFINANCE($CR77,""price"",TODAY()-$AQ$5,TODAY(),1),""select Col2 label Col2 ''""),IF($AP$7=""Gráfico de barras"",{""charttype"",""column"";""highcolor"",""red""},{""chartype"",""line""}))))"),"")</f>
        <v/>
      </c>
      <c r="AQ77" s="144"/>
      <c r="AR77" s="853"/>
      <c r="AS77" s="854" t="str">
        <f>IF($CR77="","",IF(NOT('alocação'!$D$1),"off",IFERROR(VLOOKUP(CR77,BalanceAtivos,3,0),"NC")))</f>
        <v/>
      </c>
      <c r="AT77" s="855" t="str">
        <f>IF($CR77="","",IF(NOT('alocação'!$D$1),"off",IFERROR(VLOOKUP($CR77,BalanceAtivos,4,0)*$CU$5,"NC")))</f>
        <v/>
      </c>
      <c r="AU77" s="856" t="str">
        <f>IF($CR77="","",IF(NOT('alocação'!$D$1),"off",IFERROR(VLOOKUP($CR77,BalanceAtivos,5,0),"-")))</f>
        <v/>
      </c>
      <c r="AV77" s="856" t="str">
        <f>IF($CR77="","",IF(NOT('alocação'!$D$1),"off",IFERROR(VLOOKUP($CR77,BalanceAtivos,6,0),"-")))</f>
        <v/>
      </c>
      <c r="AW77" s="857"/>
      <c r="AX77" s="858" t="str">
        <f>IF($CR77="","",IF($E77="","SP",IFERROR(VLOOKUP($CR77,AtivosDados,MATCH("pm_atual",portfolio.!$A$3:CY$3,0),0)*$CU$5,0)))</f>
        <v/>
      </c>
      <c r="AY77" s="859" t="str">
        <f t="shared" si="2"/>
        <v/>
      </c>
      <c r="AZ77" s="858" t="str">
        <f>IF($CR77="","",IF($E77="","SP",SUMIF(portfolio.!$A$4:$A308,$CR77,portfolio.!$O$4:$O308)*$CU$5))</f>
        <v/>
      </c>
      <c r="BA77" s="858" t="str">
        <f>IF($CR77="","",IF($E77="","SP",SUMIF(portfolio.!$A$4:$A308,$CR77,portfolio.!$AN$4:$AN308)*$CU$5))</f>
        <v/>
      </c>
      <c r="BB77" s="860" t="str">
        <f>IF($CR77="","",IF($E77="","-",IFERROR($BA77/'portfólio'!$DG$63,"")))</f>
        <v/>
      </c>
      <c r="BC77" s="861" t="str">
        <f>IF($CR77="","",IF($E77="","-",SUMIF(portfolio.!$A$4:$A308,$CR77,portfolio.!$J$4:$J308)))</f>
        <v/>
      </c>
      <c r="BD77" s="862" t="str">
        <f>IF($CR77="","",IF($E77="","SP",SUMIF(portfolio.!$A$4:$A308,$CR77,portfolio.!$AQ$4:$AQ308)*$CU$5))</f>
        <v/>
      </c>
      <c r="BE77" s="850" t="str">
        <f t="shared" si="3"/>
        <v/>
      </c>
      <c r="BF77" s="862" t="str">
        <f>IF($CR77="","",IF($E77="","-",SUMIF(portfolio.!$A$4:$A308,$CR77,portfolio.!$AX$4:$AX308)*$CU$5))</f>
        <v/>
      </c>
      <c r="BG77" s="545"/>
      <c r="BH77" s="879" t="s">
        <v>123</v>
      </c>
      <c r="BI77" s="880" t="s">
        <v>123</v>
      </c>
      <c r="BJ77" s="863" t="str">
        <f>IFERROR(__xludf.DUMMYFUNCTION("IF(NOT($BL$4),"""",IF($CR77="""","""",IFERROR(query({GOOGLEFINANCE($CR77,""price"",IF($BI77=""-"",TODAY()-($AQ$5+5),$BI77),TODAY()-1)},""Select max(Col2) where Col1 is not null label max(Col2) ''"")*CU77,""-"")))"),"")</f>
        <v/>
      </c>
      <c r="BK77" s="881" t="s">
        <v>123</v>
      </c>
      <c r="BL77" s="882" t="s">
        <v>123</v>
      </c>
      <c r="BM77" s="442"/>
      <c r="BN77" s="867" t="str">
        <f>IFERROR(__xludf.DUMMYFUNCTION("IF(CR77="""","""",IF(OR(C77=""AÇÃO"",C77=""BDR""),IFERROR(QUERY({fundamentus.!$A$3:$U308},$CX$67&amp;"" where Col1='""&amp;CR77&amp;""' limit 1"",0)),IF(C77=""FII"",IFERROR(QUERY({fundsexplorer.!$A$2:$Z308},$CY$67&amp;"" where Col1='""&amp;CR77&amp;""' limit 1"",0)),"""")))"),"")</f>
        <v/>
      </c>
      <c r="BO77" s="867"/>
      <c r="BP77" s="867"/>
      <c r="BQ77" s="867"/>
      <c r="BR77" s="867"/>
      <c r="BS77" s="867"/>
      <c r="BT77" s="867"/>
      <c r="BU77" s="442"/>
      <c r="BV77" s="868" t="str">
        <f>IFERROR(__xludf.DUMMYFUNCTION("IF(OR(C77=""AÇÃO"",C77=""BDR""),IFERROR(GOOGLEFINANCE(CONCAT(""BVMF:"",CR77), ""marketcap"")/1000000,""NC""),"""")"),"")</f>
        <v/>
      </c>
      <c r="BW77" s="869" t="s">
        <v>123</v>
      </c>
      <c r="BX77" s="870" t="s">
        <v>123</v>
      </c>
      <c r="BY77" s="868" t="s">
        <v>123</v>
      </c>
      <c r="BZ77" s="870" t="s">
        <v>123</v>
      </c>
      <c r="CA77" s="868" t="s">
        <v>123</v>
      </c>
      <c r="CB77" s="868" t="s">
        <v>123</v>
      </c>
      <c r="CC77" s="868" t="s">
        <v>123</v>
      </c>
      <c r="CD77" s="868" t="str">
        <f>IFERROR(__xludf.DUMMYFUNCTION("IF(OR(C77=""AÇÃO"",C77=""BDR""),IFERROR(GOOGLEFINANCE(CONCAT(""BVMF:"",CR77), ""volumeavg"")/1000000,""NC""),"""")"),"")</f>
        <v/>
      </c>
      <c r="CE77" s="870" t="s">
        <v>123</v>
      </c>
      <c r="CF77" s="870" t="s">
        <v>123</v>
      </c>
      <c r="CG77" s="870" t="str">
        <f>IFERROR(__xludf.DUMMYFUNCTION("IF(OR(C77=""AÇÃO"",C77=""BDR""),IF(CF77=0,""SEM DY"",IFERROR(ImportXML(CONCAT(""http://www.guiainvest.com.br/raiox/default.aspx?sigla="",$CR77),""//*[@id='lbPayoutAtual']""),""NC"")),"""")"),"")</f>
        <v/>
      </c>
      <c r="CH77" s="870" t="s">
        <v>123</v>
      </c>
      <c r="CI77" s="545"/>
      <c r="CJ77" s="871" t="str">
        <f>IFERROR(__xludf.DUMMYFUNCTION("IF(OR(C77=""AÇÃO"",C77=""BDR""),IFERROR(GOOGLEFINANCE(CONCAT(""BVMF:"",CR77), ""eps""),""NC""),"""")"),"")</f>
        <v/>
      </c>
      <c r="CK77" s="442"/>
      <c r="CL77" s="871" t="str">
        <f>IFERROR(__xludf.DUMMYFUNCTION("IF(NOT($BL$4),"""",IF($CR77="""","""",IF($BC77="""","""",IFERROR(query({op.normal!$B$5:$F308},""select Col5, toDate(Col2) where Col1 =  '""&amp;$CR77&amp;""' and Col4 &gt; 0 and ((Col3 is null) or (Col3 = 'C')) and Col2 &gt;= date '""&amp;TEXT(TODAY()-$AQ$5,""yyyy-mm-dd"")"&amp;"&amp;""' order by Col2 desc limit 1 label toDate(Col2) ''"")))))"),"")</f>
        <v/>
      </c>
      <c r="CM77" s="872"/>
      <c r="CN77" s="883" t="s">
        <v>123</v>
      </c>
      <c r="CO77" s="874" t="s">
        <v>123</v>
      </c>
      <c r="CP77" s="766"/>
      <c r="CQ77" s="791"/>
      <c r="CR77" s="791"/>
      <c r="CT77" s="791" t="s">
        <v>123</v>
      </c>
      <c r="CU77" s="791" t="str">
        <f>IFERROR(__xludf.DUMMYFUNCTION("IF(CR77="""","""",IF(CT77=$C$4,1,GOOGLEFINANCE(CT77&amp;$C$4)))"),"")</f>
        <v/>
      </c>
    </row>
    <row r="78" ht="22.5" customHeight="1">
      <c r="A78" s="837">
        <v>70.0</v>
      </c>
      <c r="B78" s="838" t="s">
        <v>123</v>
      </c>
      <c r="C78" s="838" t="s">
        <v>123</v>
      </c>
      <c r="D78" s="839" t="s">
        <v>123</v>
      </c>
      <c r="E78" s="839" t="s">
        <v>123</v>
      </c>
      <c r="F78" s="839" t="s">
        <v>123</v>
      </c>
      <c r="G78" s="56"/>
      <c r="H78" s="884"/>
      <c r="I78" s="838"/>
      <c r="J78" s="838"/>
      <c r="K78" s="838"/>
      <c r="L78" s="838"/>
      <c r="M78" s="838"/>
      <c r="N78" s="838"/>
      <c r="O78" s="838"/>
      <c r="P78" s="838"/>
      <c r="Q78" s="838"/>
      <c r="R78" s="838"/>
      <c r="S78" s="838"/>
      <c r="T78" s="838"/>
      <c r="U78" s="838"/>
      <c r="V78" s="838"/>
      <c r="W78" s="838"/>
      <c r="X78" s="838"/>
      <c r="Z78" s="875" t="str">
        <f>IFERROR(__xludf.DUMMYFUNCTION("IF($CR78="""","""",IFERROR(query({CarteirasAtivos},""select Col4 where Col4 is not null and Col1 = '""&amp;$CR78&amp;""' limit 1"")*CU78,""NC""))"),"")</f>
        <v/>
      </c>
      <c r="AA78" s="876" t="str">
        <f>IFERROR(__xludf.DUMMYFUNCTION("IF($CR78="""","""",IFERROR(query({CarteirasAtivos},""select Col6 where Col4 is not null and Col1 = '""&amp;$CR78&amp;""' limit 1""),""NC""))"),"")</f>
        <v/>
      </c>
      <c r="AB78" s="877"/>
      <c r="AC78" s="878" t="s">
        <v>123</v>
      </c>
      <c r="AD78" s="845" t="str">
        <f>IF($CR78="","",IFERROR(VLOOKUP($CR78,ativos.!$C$3:$R308,MATCH("cotacao",ativos.!$C$2:CY$2,0),FALSE)*$CU$5,"atualizar"))</f>
        <v/>
      </c>
      <c r="AE78" s="846" t="str">
        <f>IFERROR(__xludf.DUMMYFUNCTION("IF($CR78="""","""",IFERROR(AVERAGE(query({CarteirasAtivos;CarteirasAtivosEncerrados},""select Col5 where Col5 is not null and Col1 = '""&amp;$CR78&amp;""' and Col10='SIM'""))*CU78,""NC""))"),"")</f>
        <v/>
      </c>
      <c r="AF78" s="847" t="str">
        <f t="shared" si="1"/>
        <v/>
      </c>
      <c r="AG78" s="442"/>
      <c r="AH78" s="848" t="str">
        <f>IFERROR(__xludf.DUMMYFUNCTION("IF($CR78="""","""",IFERROR(GOOGLEFINANCE($CR78,""low52"")*CU78,""-""))"),"")</f>
        <v/>
      </c>
      <c r="AI78" s="848" t="str">
        <f>IFERROR(__xludf.DUMMYFUNCTION("IF($CR78="""","""",IFERROR(GOOGLEFINANCE($CR78,""high52"")*CU78,""-""))"),"")</f>
        <v/>
      </c>
      <c r="AJ78" s="849" t="s">
        <v>123</v>
      </c>
      <c r="AK78" s="850" t="str">
        <f>IFERROR(__xludf.DUMMYFUNCTION("IF($CR78="""","""",IFERROR(GOOGLEFINANCE($CR78,""changepct"")/100,""-""))"),"")</f>
        <v/>
      </c>
      <c r="AL78" s="851" t="str">
        <f>IFERROR(__xludf.DUMMYFUNCTION("IF($CR78="""","""",IFERROR(($AD78/(QUERY(GOOGLEFINANCE($CR78,""price"",TODAY()-7),""SELECT Col2 label Col2 ''"")*$CU78)-1),""-""))"),"")</f>
        <v/>
      </c>
      <c r="AM78" s="851" t="str">
        <f>IFERROR(__xludf.DUMMYFUNCTION("IF($CR78="""","""",IFERROR(($AD78/(QUERY(GOOGLEFINANCE($CR78,""price"",TODAY()-14),""SELECT Col2 label Col2 ''"")*$CU78)-1),""-""))"),"")</f>
        <v/>
      </c>
      <c r="AN78" s="851" t="str">
        <f>IFERROR(__xludf.DUMMYFUNCTION("IF($CR78="""","""",IFERROR(($AD78/(QUERY(GOOGLEFINANCE($CR78,""price"",TODAY()-28),""SELECT Col2 label Col2 ''"")*$CU78)-1),""-""))"),"")</f>
        <v/>
      </c>
      <c r="AO78" s="851" t="str">
        <f>IFERROR(__xludf.DUMMYFUNCTION("IF($CR78="""","""",IFERROR(($AD78/(QUERY(GOOGLEFINANCE($CR78,""price"",TODAY()-$AQ$5),""SELECT Col2 label Col2 ''"")*$CU78)-1),""-""))"),"")</f>
        <v/>
      </c>
      <c r="AP78" s="852" t="str">
        <f>IFERROR(__xludf.DUMMYFUNCTION("IF($CR78="""","""",IFERROR(SPARKLINE(query(GOOGLEFINANCE($CR78,""price"",TODAY()-$AQ$5,TODAY(),1),""select Col2 label Col2 ''""),IF($AP$7=""Gráfico de barras"",{""charttype"",""column"";""highcolor"",""red""},{""chartype"",""line""}))))"),"")</f>
        <v/>
      </c>
      <c r="AQ78" s="144"/>
      <c r="AR78" s="853"/>
      <c r="AS78" s="854" t="str">
        <f>IF($CR78="","",IF(NOT('alocação'!$D$1),"off",IFERROR(VLOOKUP(CR78,BalanceAtivos,3,0),"NC")))</f>
        <v/>
      </c>
      <c r="AT78" s="855" t="str">
        <f>IF($CR78="","",IF(NOT('alocação'!$D$1),"off",IFERROR(VLOOKUP($CR78,BalanceAtivos,4,0)*$CU$5,"NC")))</f>
        <v/>
      </c>
      <c r="AU78" s="856" t="str">
        <f>IF($CR78="","",IF(NOT('alocação'!$D$1),"off",IFERROR(VLOOKUP($CR78,BalanceAtivos,5,0),"-")))</f>
        <v/>
      </c>
      <c r="AV78" s="856" t="str">
        <f>IF($CR78="","",IF(NOT('alocação'!$D$1),"off",IFERROR(VLOOKUP($CR78,BalanceAtivos,6,0),"-")))</f>
        <v/>
      </c>
      <c r="AW78" s="857"/>
      <c r="AX78" s="858" t="str">
        <f>IF($CR78="","",IF($E78="","SP",IFERROR(VLOOKUP($CR78,AtivosDados,MATCH("pm_atual",portfolio.!$A$3:CY$3,0),0)*$CU$5,0)))</f>
        <v/>
      </c>
      <c r="AY78" s="859" t="str">
        <f t="shared" si="2"/>
        <v/>
      </c>
      <c r="AZ78" s="858" t="str">
        <f>IF($CR78="","",IF($E78="","SP",SUMIF(portfolio.!$A$4:$A308,$CR78,portfolio.!$O$4:$O308)*$CU$5))</f>
        <v/>
      </c>
      <c r="BA78" s="858" t="str">
        <f>IF($CR78="","",IF($E78="","SP",SUMIF(portfolio.!$A$4:$A308,$CR78,portfolio.!$AN$4:$AN308)*$CU$5))</f>
        <v/>
      </c>
      <c r="BB78" s="860" t="str">
        <f>IF($CR78="","",IF($E78="","-",IFERROR($BA78/'portfólio'!$DG$63,"")))</f>
        <v/>
      </c>
      <c r="BC78" s="861" t="str">
        <f>IF($CR78="","",IF($E78="","-",SUMIF(portfolio.!$A$4:$A308,$CR78,portfolio.!$J$4:$J308)))</f>
        <v/>
      </c>
      <c r="BD78" s="862" t="str">
        <f>IF($CR78="","",IF($E78="","SP",SUMIF(portfolio.!$A$4:$A308,$CR78,portfolio.!$AQ$4:$AQ308)*$CU$5))</f>
        <v/>
      </c>
      <c r="BE78" s="850" t="str">
        <f t="shared" si="3"/>
        <v/>
      </c>
      <c r="BF78" s="862" t="str">
        <f>IF($CR78="","",IF($E78="","-",SUMIF(portfolio.!$A$4:$A308,$CR78,portfolio.!$AX$4:$AX308)*$CU$5))</f>
        <v/>
      </c>
      <c r="BG78" s="545"/>
      <c r="BH78" s="879" t="s">
        <v>123</v>
      </c>
      <c r="BI78" s="880" t="s">
        <v>123</v>
      </c>
      <c r="BJ78" s="863" t="str">
        <f>IFERROR(__xludf.DUMMYFUNCTION("IF(NOT($BL$4),"""",IF($CR78="""","""",IFERROR(query({GOOGLEFINANCE($CR78,""price"",IF($BI78=""-"",TODAY()-($AQ$5+5),$BI78),TODAY()-1)},""Select max(Col2) where Col1 is not null label max(Col2) ''"")*CU78,""-"")))"),"")</f>
        <v/>
      </c>
      <c r="BK78" s="881" t="s">
        <v>123</v>
      </c>
      <c r="BL78" s="882" t="s">
        <v>123</v>
      </c>
      <c r="BM78" s="442"/>
      <c r="BN78" s="867" t="str">
        <f>IFERROR(__xludf.DUMMYFUNCTION("IF(CR78="""","""",IF(OR(C78=""AÇÃO"",C78=""BDR""),IFERROR(QUERY({fundamentus.!$A$3:$U308},$CX$67&amp;"" where Col1='""&amp;CR78&amp;""' limit 1"",0)),IF(C78=""FII"",IFERROR(QUERY({fundsexplorer.!$A$2:$Z308},$CY$67&amp;"" where Col1='""&amp;CR78&amp;""' limit 1"",0)),"""")))"),"")</f>
        <v/>
      </c>
      <c r="BO78" s="867"/>
      <c r="BP78" s="867"/>
      <c r="BQ78" s="867"/>
      <c r="BR78" s="867"/>
      <c r="BS78" s="867"/>
      <c r="BT78" s="867"/>
      <c r="BU78" s="442"/>
      <c r="BV78" s="868" t="str">
        <f>IFERROR(__xludf.DUMMYFUNCTION("IF(OR(C78=""AÇÃO"",C78=""BDR""),IFERROR(GOOGLEFINANCE(CONCAT(""BVMF:"",CR78), ""marketcap"")/1000000,""NC""),"""")"),"")</f>
        <v/>
      </c>
      <c r="BW78" s="869" t="s">
        <v>123</v>
      </c>
      <c r="BX78" s="870" t="s">
        <v>123</v>
      </c>
      <c r="BY78" s="868" t="s">
        <v>123</v>
      </c>
      <c r="BZ78" s="870" t="s">
        <v>123</v>
      </c>
      <c r="CA78" s="868" t="s">
        <v>123</v>
      </c>
      <c r="CB78" s="868" t="s">
        <v>123</v>
      </c>
      <c r="CC78" s="868" t="s">
        <v>123</v>
      </c>
      <c r="CD78" s="868" t="str">
        <f>IFERROR(__xludf.DUMMYFUNCTION("IF(OR(C78=""AÇÃO"",C78=""BDR""),IFERROR(GOOGLEFINANCE(CONCAT(""BVMF:"",CR78), ""volumeavg"")/1000000,""NC""),"""")"),"")</f>
        <v/>
      </c>
      <c r="CE78" s="870" t="s">
        <v>123</v>
      </c>
      <c r="CF78" s="870" t="s">
        <v>123</v>
      </c>
      <c r="CG78" s="870" t="str">
        <f>IFERROR(__xludf.DUMMYFUNCTION("IF(OR(C78=""AÇÃO"",C78=""BDR""),IF(CF78=0,""SEM DY"",IFERROR(ImportXML(CONCAT(""http://www.guiainvest.com.br/raiox/default.aspx?sigla="",$CR78),""//*[@id='lbPayoutAtual']""),""NC"")),"""")"),"")</f>
        <v/>
      </c>
      <c r="CH78" s="870" t="s">
        <v>123</v>
      </c>
      <c r="CI78" s="545"/>
      <c r="CJ78" s="871" t="str">
        <f>IFERROR(__xludf.DUMMYFUNCTION("IF(OR(C78=""AÇÃO"",C78=""BDR""),IFERROR(GOOGLEFINANCE(CONCAT(""BVMF:"",CR78), ""eps""),""NC""),"""")"),"")</f>
        <v/>
      </c>
      <c r="CK78" s="442"/>
      <c r="CL78" s="871" t="str">
        <f>IFERROR(__xludf.DUMMYFUNCTION("IF(NOT($BL$4),"""",IF($CR78="""","""",IF($BC78="""","""",IFERROR(query({op.normal!$B$5:$F308},""select Col5, toDate(Col2) where Col1 =  '""&amp;$CR78&amp;""' and Col4 &gt; 0 and ((Col3 is null) or (Col3 = 'C')) and Col2 &gt;= date '""&amp;TEXT(TODAY()-$AQ$5,""yyyy-mm-dd"")"&amp;"&amp;""' order by Col2 desc limit 1 label toDate(Col2) ''"")))))"),"")</f>
        <v/>
      </c>
      <c r="CM78" s="872"/>
      <c r="CN78" s="883" t="s">
        <v>123</v>
      </c>
      <c r="CO78" s="874" t="s">
        <v>123</v>
      </c>
      <c r="CP78" s="766"/>
      <c r="CQ78" s="791"/>
      <c r="CR78" s="791"/>
      <c r="CT78" s="791" t="s">
        <v>123</v>
      </c>
      <c r="CU78" s="791" t="str">
        <f>IFERROR(__xludf.DUMMYFUNCTION("IF(CR78="""","""",IF(CT78=$C$4,1,GOOGLEFINANCE(CT78&amp;$C$4)))"),"")</f>
        <v/>
      </c>
    </row>
    <row r="79" ht="22.5" customHeight="1">
      <c r="A79" s="837">
        <v>71.0</v>
      </c>
      <c r="B79" s="838" t="s">
        <v>123</v>
      </c>
      <c r="C79" s="838" t="s">
        <v>123</v>
      </c>
      <c r="D79" s="839" t="s">
        <v>123</v>
      </c>
      <c r="E79" s="839" t="s">
        <v>123</v>
      </c>
      <c r="F79" s="839" t="s">
        <v>123</v>
      </c>
      <c r="G79" s="56"/>
      <c r="H79" s="884"/>
      <c r="I79" s="838"/>
      <c r="J79" s="838"/>
      <c r="K79" s="838"/>
      <c r="L79" s="838"/>
      <c r="M79" s="838"/>
      <c r="N79" s="838"/>
      <c r="O79" s="838"/>
      <c r="P79" s="838"/>
      <c r="Q79" s="838"/>
      <c r="R79" s="838"/>
      <c r="S79" s="838"/>
      <c r="T79" s="838"/>
      <c r="U79" s="838"/>
      <c r="V79" s="838"/>
      <c r="W79" s="838"/>
      <c r="X79" s="838"/>
      <c r="Z79" s="875" t="str">
        <f>IFERROR(__xludf.DUMMYFUNCTION("IF($CR79="""","""",IFERROR(query({CarteirasAtivos},""select Col4 where Col4 is not null and Col1 = '""&amp;$CR79&amp;""' limit 1"")*CU79,""NC""))"),"")</f>
        <v/>
      </c>
      <c r="AA79" s="876" t="str">
        <f>IFERROR(__xludf.DUMMYFUNCTION("IF($CR79="""","""",IFERROR(query({CarteirasAtivos},""select Col6 where Col4 is not null and Col1 = '""&amp;$CR79&amp;""' limit 1""),""NC""))"),"")</f>
        <v/>
      </c>
      <c r="AB79" s="877"/>
      <c r="AC79" s="878" t="s">
        <v>123</v>
      </c>
      <c r="AD79" s="845" t="str">
        <f>IF($CR79="","",IFERROR(VLOOKUP($CR79,ativos.!$C$3:$R308,MATCH("cotacao",ativos.!$C$2:CY$2,0),FALSE)*$CU$5,"atualizar"))</f>
        <v/>
      </c>
      <c r="AE79" s="846" t="str">
        <f>IFERROR(__xludf.DUMMYFUNCTION("IF($CR79="""","""",IFERROR(AVERAGE(query({CarteirasAtivos;CarteirasAtivosEncerrados},""select Col5 where Col5 is not null and Col1 = '""&amp;$CR79&amp;""' and Col10='SIM'""))*CU79,""NC""))"),"")</f>
        <v/>
      </c>
      <c r="AF79" s="847" t="str">
        <f t="shared" si="1"/>
        <v/>
      </c>
      <c r="AG79" s="442"/>
      <c r="AH79" s="848" t="str">
        <f>IFERROR(__xludf.DUMMYFUNCTION("IF($CR79="""","""",IFERROR(GOOGLEFINANCE($CR79,""low52"")*CU79,""-""))"),"")</f>
        <v/>
      </c>
      <c r="AI79" s="848" t="str">
        <f>IFERROR(__xludf.DUMMYFUNCTION("IF($CR79="""","""",IFERROR(GOOGLEFINANCE($CR79,""high52"")*CU79,""-""))"),"")</f>
        <v/>
      </c>
      <c r="AJ79" s="849" t="s">
        <v>123</v>
      </c>
      <c r="AK79" s="850" t="str">
        <f>IFERROR(__xludf.DUMMYFUNCTION("IF($CR79="""","""",IFERROR(GOOGLEFINANCE($CR79,""changepct"")/100,""-""))"),"")</f>
        <v/>
      </c>
      <c r="AL79" s="851" t="str">
        <f>IFERROR(__xludf.DUMMYFUNCTION("IF($CR79="""","""",IFERROR(($AD79/(QUERY(GOOGLEFINANCE($CR79,""price"",TODAY()-7),""SELECT Col2 label Col2 ''"")*$CU79)-1),""-""))"),"")</f>
        <v/>
      </c>
      <c r="AM79" s="851" t="str">
        <f>IFERROR(__xludf.DUMMYFUNCTION("IF($CR79="""","""",IFERROR(($AD79/(QUERY(GOOGLEFINANCE($CR79,""price"",TODAY()-14),""SELECT Col2 label Col2 ''"")*$CU79)-1),""-""))"),"")</f>
        <v/>
      </c>
      <c r="AN79" s="851" t="str">
        <f>IFERROR(__xludf.DUMMYFUNCTION("IF($CR79="""","""",IFERROR(($AD79/(QUERY(GOOGLEFINANCE($CR79,""price"",TODAY()-28),""SELECT Col2 label Col2 ''"")*$CU79)-1),""-""))"),"")</f>
        <v/>
      </c>
      <c r="AO79" s="851" t="str">
        <f>IFERROR(__xludf.DUMMYFUNCTION("IF($CR79="""","""",IFERROR(($AD79/(QUERY(GOOGLEFINANCE($CR79,""price"",TODAY()-$AQ$5),""SELECT Col2 label Col2 ''"")*$CU79)-1),""-""))"),"")</f>
        <v/>
      </c>
      <c r="AP79" s="852" t="str">
        <f>IFERROR(__xludf.DUMMYFUNCTION("IF($CR79="""","""",IFERROR(SPARKLINE(query(GOOGLEFINANCE($CR79,""price"",TODAY()-$AQ$5,TODAY(),1),""select Col2 label Col2 ''""),IF($AP$7=""Gráfico de barras"",{""charttype"",""column"";""highcolor"",""red""},{""chartype"",""line""}))))"),"")</f>
        <v/>
      </c>
      <c r="AQ79" s="144"/>
      <c r="AR79" s="853"/>
      <c r="AS79" s="854" t="str">
        <f>IF($CR79="","",IF(NOT('alocação'!$D$1),"off",IFERROR(VLOOKUP(CR79,BalanceAtivos,3,0),"NC")))</f>
        <v/>
      </c>
      <c r="AT79" s="855" t="str">
        <f>IF($CR79="","",IF(NOT('alocação'!$D$1),"off",IFERROR(VLOOKUP($CR79,BalanceAtivos,4,0)*$CU$5,"NC")))</f>
        <v/>
      </c>
      <c r="AU79" s="856" t="str">
        <f>IF($CR79="","",IF(NOT('alocação'!$D$1),"off",IFERROR(VLOOKUP($CR79,BalanceAtivos,5,0),"-")))</f>
        <v/>
      </c>
      <c r="AV79" s="856" t="str">
        <f>IF($CR79="","",IF(NOT('alocação'!$D$1),"off",IFERROR(VLOOKUP($CR79,BalanceAtivos,6,0),"-")))</f>
        <v/>
      </c>
      <c r="AW79" s="857"/>
      <c r="AX79" s="858" t="str">
        <f>IF($CR79="","",IF($E79="","SP",IFERROR(VLOOKUP($CR79,AtivosDados,MATCH("pm_atual",portfolio.!$A$3:CY$3,0),0)*$CU$5,0)))</f>
        <v/>
      </c>
      <c r="AY79" s="859" t="str">
        <f t="shared" si="2"/>
        <v/>
      </c>
      <c r="AZ79" s="858" t="str">
        <f>IF($CR79="","",IF($E79="","SP",SUMIF(portfolio.!$A$4:$A308,$CR79,portfolio.!$O$4:$O308)*$CU$5))</f>
        <v/>
      </c>
      <c r="BA79" s="858" t="str">
        <f>IF($CR79="","",IF($E79="","SP",SUMIF(portfolio.!$A$4:$A308,$CR79,portfolio.!$AN$4:$AN308)*$CU$5))</f>
        <v/>
      </c>
      <c r="BB79" s="860" t="str">
        <f>IF($CR79="","",IF($E79="","-",IFERROR($BA79/'portfólio'!$DG$63,"")))</f>
        <v/>
      </c>
      <c r="BC79" s="861" t="str">
        <f>IF($CR79="","",IF($E79="","-",SUMIF(portfolio.!$A$4:$A308,$CR79,portfolio.!$J$4:$J308)))</f>
        <v/>
      </c>
      <c r="BD79" s="862" t="str">
        <f>IF($CR79="","",IF($E79="","SP",SUMIF(portfolio.!$A$4:$A308,$CR79,portfolio.!$AQ$4:$AQ308)*$CU$5))</f>
        <v/>
      </c>
      <c r="BE79" s="850" t="str">
        <f t="shared" si="3"/>
        <v/>
      </c>
      <c r="BF79" s="862" t="str">
        <f>IF($CR79="","",IF($E79="","-",SUMIF(portfolio.!$A$4:$A308,$CR79,portfolio.!$AX$4:$AX308)*$CU$5))</f>
        <v/>
      </c>
      <c r="BG79" s="545"/>
      <c r="BH79" s="879" t="s">
        <v>123</v>
      </c>
      <c r="BI79" s="880" t="s">
        <v>123</v>
      </c>
      <c r="BJ79" s="863" t="str">
        <f>IFERROR(__xludf.DUMMYFUNCTION("IF(NOT($BL$4),"""",IF($CR79="""","""",IFERROR(query({GOOGLEFINANCE($CR79,""price"",IF($BI79=""-"",TODAY()-($AQ$5+5),$BI79),TODAY()-1)},""Select max(Col2) where Col1 is not null label max(Col2) ''"")*CU79,""-"")))"),"")</f>
        <v/>
      </c>
      <c r="BK79" s="881" t="s">
        <v>123</v>
      </c>
      <c r="BL79" s="882" t="s">
        <v>123</v>
      </c>
      <c r="BM79" s="442"/>
      <c r="BN79" s="867" t="str">
        <f>IFERROR(__xludf.DUMMYFUNCTION("IF(CR79="""","""",IF(OR(C79=""AÇÃO"",C79=""BDR""),IFERROR(QUERY({fundamentus.!$A$3:$U308},$CX$67&amp;"" where Col1='""&amp;CR79&amp;""' limit 1"",0)),IF(C79=""FII"",IFERROR(QUERY({fundsexplorer.!$A$2:$Z308},$CY$67&amp;"" where Col1='""&amp;CR79&amp;""' limit 1"",0)),"""")))"),"")</f>
        <v/>
      </c>
      <c r="BO79" s="867"/>
      <c r="BP79" s="867"/>
      <c r="BQ79" s="867"/>
      <c r="BR79" s="867"/>
      <c r="BS79" s="867"/>
      <c r="BT79" s="867"/>
      <c r="BU79" s="442"/>
      <c r="BV79" s="868" t="str">
        <f>IFERROR(__xludf.DUMMYFUNCTION("IF(OR(C79=""AÇÃO"",C79=""BDR""),IFERROR(GOOGLEFINANCE(CONCAT(""BVMF:"",CR79), ""marketcap"")/1000000,""NC""),"""")"),"")</f>
        <v/>
      </c>
      <c r="BW79" s="869" t="s">
        <v>123</v>
      </c>
      <c r="BX79" s="870" t="s">
        <v>123</v>
      </c>
      <c r="BY79" s="868" t="s">
        <v>123</v>
      </c>
      <c r="BZ79" s="870" t="s">
        <v>123</v>
      </c>
      <c r="CA79" s="868" t="s">
        <v>123</v>
      </c>
      <c r="CB79" s="868" t="s">
        <v>123</v>
      </c>
      <c r="CC79" s="868" t="s">
        <v>123</v>
      </c>
      <c r="CD79" s="868" t="str">
        <f>IFERROR(__xludf.DUMMYFUNCTION("IF(OR(C79=""AÇÃO"",C79=""BDR""),IFERROR(GOOGLEFINANCE(CONCAT(""BVMF:"",CR79), ""volumeavg"")/1000000,""NC""),"""")"),"")</f>
        <v/>
      </c>
      <c r="CE79" s="870" t="s">
        <v>123</v>
      </c>
      <c r="CF79" s="870" t="s">
        <v>123</v>
      </c>
      <c r="CG79" s="870" t="str">
        <f>IFERROR(__xludf.DUMMYFUNCTION("IF(OR(C79=""AÇÃO"",C79=""BDR""),IF(CF79=0,""SEM DY"",IFERROR(ImportXML(CONCAT(""http://www.guiainvest.com.br/raiox/default.aspx?sigla="",$CR79),""//*[@id='lbPayoutAtual']""),""NC"")),"""")"),"")</f>
        <v/>
      </c>
      <c r="CH79" s="870" t="s">
        <v>123</v>
      </c>
      <c r="CI79" s="545"/>
      <c r="CJ79" s="871" t="str">
        <f>IFERROR(__xludf.DUMMYFUNCTION("IF(OR(C79=""AÇÃO"",C79=""BDR""),IFERROR(GOOGLEFINANCE(CONCAT(""BVMF:"",CR79), ""eps""),""NC""),"""")"),"")</f>
        <v/>
      </c>
      <c r="CK79" s="442"/>
      <c r="CL79" s="871" t="str">
        <f>IFERROR(__xludf.DUMMYFUNCTION("IF(NOT($BL$4),"""",IF($CR79="""","""",IF($BC79="""","""",IFERROR(query({op.normal!$B$5:$F308},""select Col5, toDate(Col2) where Col1 =  '""&amp;$CR79&amp;""' and Col4 &gt; 0 and ((Col3 is null) or (Col3 = 'C')) and Col2 &gt;= date '""&amp;TEXT(TODAY()-$AQ$5,""yyyy-mm-dd"")"&amp;"&amp;""' order by Col2 desc limit 1 label toDate(Col2) ''"")))))"),"")</f>
        <v/>
      </c>
      <c r="CM79" s="872"/>
      <c r="CN79" s="883" t="s">
        <v>123</v>
      </c>
      <c r="CO79" s="874" t="s">
        <v>123</v>
      </c>
      <c r="CP79" s="766"/>
      <c r="CQ79" s="791"/>
      <c r="CR79" s="791"/>
      <c r="CT79" s="791" t="s">
        <v>123</v>
      </c>
      <c r="CU79" s="791" t="str">
        <f>IFERROR(__xludf.DUMMYFUNCTION("IF(CR79="""","""",IF(CT79=$C$4,1,GOOGLEFINANCE(CT79&amp;$C$4)))"),"")</f>
        <v/>
      </c>
    </row>
    <row r="80" ht="22.5" customHeight="1">
      <c r="A80" s="837">
        <v>72.0</v>
      </c>
      <c r="B80" s="838" t="s">
        <v>123</v>
      </c>
      <c r="C80" s="838" t="s">
        <v>123</v>
      </c>
      <c r="D80" s="839" t="s">
        <v>123</v>
      </c>
      <c r="E80" s="839" t="s">
        <v>123</v>
      </c>
      <c r="F80" s="839" t="s">
        <v>123</v>
      </c>
      <c r="G80" s="56"/>
      <c r="H80" s="884"/>
      <c r="I80" s="838"/>
      <c r="J80" s="838"/>
      <c r="K80" s="838"/>
      <c r="L80" s="838"/>
      <c r="M80" s="838"/>
      <c r="N80" s="838"/>
      <c r="O80" s="838"/>
      <c r="P80" s="838"/>
      <c r="Q80" s="838"/>
      <c r="R80" s="838"/>
      <c r="S80" s="838"/>
      <c r="T80" s="838"/>
      <c r="U80" s="838"/>
      <c r="V80" s="838"/>
      <c r="W80" s="838"/>
      <c r="X80" s="838"/>
      <c r="Z80" s="875" t="str">
        <f>IFERROR(__xludf.DUMMYFUNCTION("IF($CR80="""","""",IFERROR(query({CarteirasAtivos},""select Col4 where Col4 is not null and Col1 = '""&amp;$CR80&amp;""' limit 1"")*CU80,""NC""))"),"")</f>
        <v/>
      </c>
      <c r="AA80" s="876" t="str">
        <f>IFERROR(__xludf.DUMMYFUNCTION("IF($CR80="""","""",IFERROR(query({CarteirasAtivos},""select Col6 where Col4 is not null and Col1 = '""&amp;$CR80&amp;""' limit 1""),""NC""))"),"")</f>
        <v/>
      </c>
      <c r="AB80" s="877"/>
      <c r="AC80" s="878" t="s">
        <v>123</v>
      </c>
      <c r="AD80" s="845" t="str">
        <f>IF($CR80="","",IFERROR(VLOOKUP($CR80,ativos.!$C$3:$R308,MATCH("cotacao",ativos.!$C$2:CY$2,0),FALSE)*$CU$5,"atualizar"))</f>
        <v/>
      </c>
      <c r="AE80" s="846" t="str">
        <f>IFERROR(__xludf.DUMMYFUNCTION("IF($CR80="""","""",IFERROR(AVERAGE(query({CarteirasAtivos;CarteirasAtivosEncerrados},""select Col5 where Col5 is not null and Col1 = '""&amp;$CR80&amp;""' and Col10='SIM'""))*CU80,""NC""))"),"")</f>
        <v/>
      </c>
      <c r="AF80" s="847" t="str">
        <f t="shared" si="1"/>
        <v/>
      </c>
      <c r="AG80" s="442"/>
      <c r="AH80" s="848" t="str">
        <f>IFERROR(__xludf.DUMMYFUNCTION("IF($CR80="""","""",IFERROR(GOOGLEFINANCE($CR80,""low52"")*CU80,""-""))"),"")</f>
        <v/>
      </c>
      <c r="AI80" s="848" t="str">
        <f>IFERROR(__xludf.DUMMYFUNCTION("IF($CR80="""","""",IFERROR(GOOGLEFINANCE($CR80,""high52"")*CU80,""-""))"),"")</f>
        <v/>
      </c>
      <c r="AJ80" s="849" t="s">
        <v>123</v>
      </c>
      <c r="AK80" s="850" t="str">
        <f>IFERROR(__xludf.DUMMYFUNCTION("IF($CR80="""","""",IFERROR(GOOGLEFINANCE($CR80,""changepct"")/100,""-""))"),"")</f>
        <v/>
      </c>
      <c r="AL80" s="851" t="str">
        <f>IFERROR(__xludf.DUMMYFUNCTION("IF($CR80="""","""",IFERROR(($AD80/(QUERY(GOOGLEFINANCE($CR80,""price"",TODAY()-7),""SELECT Col2 label Col2 ''"")*$CU80)-1),""-""))"),"")</f>
        <v/>
      </c>
      <c r="AM80" s="851" t="str">
        <f>IFERROR(__xludf.DUMMYFUNCTION("IF($CR80="""","""",IFERROR(($AD80/(QUERY(GOOGLEFINANCE($CR80,""price"",TODAY()-14),""SELECT Col2 label Col2 ''"")*$CU80)-1),""-""))"),"")</f>
        <v/>
      </c>
      <c r="AN80" s="851" t="str">
        <f>IFERROR(__xludf.DUMMYFUNCTION("IF($CR80="""","""",IFERROR(($AD80/(QUERY(GOOGLEFINANCE($CR80,""price"",TODAY()-28),""SELECT Col2 label Col2 ''"")*$CU80)-1),""-""))"),"")</f>
        <v/>
      </c>
      <c r="AO80" s="851" t="str">
        <f>IFERROR(__xludf.DUMMYFUNCTION("IF($CR80="""","""",IFERROR(($AD80/(QUERY(GOOGLEFINANCE($CR80,""price"",TODAY()-$AQ$5),""SELECT Col2 label Col2 ''"")*$CU80)-1),""-""))"),"")</f>
        <v/>
      </c>
      <c r="AP80" s="852" t="str">
        <f>IFERROR(__xludf.DUMMYFUNCTION("IF($CR80="""","""",IFERROR(SPARKLINE(query(GOOGLEFINANCE($CR80,""price"",TODAY()-$AQ$5,TODAY(),1),""select Col2 label Col2 ''""),IF($AP$7=""Gráfico de barras"",{""charttype"",""column"";""highcolor"",""red""},{""chartype"",""line""}))))"),"")</f>
        <v/>
      </c>
      <c r="AQ80" s="144"/>
      <c r="AR80" s="853"/>
      <c r="AS80" s="854" t="str">
        <f>IF($CR80="","",IF(NOT('alocação'!$D$1),"off",IFERROR(VLOOKUP(CR80,BalanceAtivos,3,0),"NC")))</f>
        <v/>
      </c>
      <c r="AT80" s="855" t="str">
        <f>IF($CR80="","",IF(NOT('alocação'!$D$1),"off",IFERROR(VLOOKUP($CR80,BalanceAtivos,4,0)*$CU$5,"NC")))</f>
        <v/>
      </c>
      <c r="AU80" s="856" t="str">
        <f>IF($CR80="","",IF(NOT('alocação'!$D$1),"off",IFERROR(VLOOKUP($CR80,BalanceAtivos,5,0),"-")))</f>
        <v/>
      </c>
      <c r="AV80" s="856" t="str">
        <f>IF($CR80="","",IF(NOT('alocação'!$D$1),"off",IFERROR(VLOOKUP($CR80,BalanceAtivos,6,0),"-")))</f>
        <v/>
      </c>
      <c r="AW80" s="857"/>
      <c r="AX80" s="858" t="str">
        <f>IF($CR80="","",IF($E80="","SP",IFERROR(VLOOKUP($CR80,AtivosDados,MATCH("pm_atual",portfolio.!$A$3:CY$3,0),0)*$CU$5,0)))</f>
        <v/>
      </c>
      <c r="AY80" s="859" t="str">
        <f t="shared" si="2"/>
        <v/>
      </c>
      <c r="AZ80" s="858" t="str">
        <f>IF($CR80="","",IF($E80="","SP",SUMIF(portfolio.!$A$4:$A308,$CR80,portfolio.!$O$4:$O308)*$CU$5))</f>
        <v/>
      </c>
      <c r="BA80" s="858" t="str">
        <f>IF($CR80="","",IF($E80="","SP",SUMIF(portfolio.!$A$4:$A308,$CR80,portfolio.!$AN$4:$AN308)*$CU$5))</f>
        <v/>
      </c>
      <c r="BB80" s="860" t="str">
        <f>IF($CR80="","",IF($E80="","-",IFERROR($BA80/'portfólio'!$DG$63,"")))</f>
        <v/>
      </c>
      <c r="BC80" s="861" t="str">
        <f>IF($CR80="","",IF($E80="","-",SUMIF(portfolio.!$A$4:$A308,$CR80,portfolio.!$J$4:$J308)))</f>
        <v/>
      </c>
      <c r="BD80" s="862" t="str">
        <f>IF($CR80="","",IF($E80="","SP",SUMIF(portfolio.!$A$4:$A308,$CR80,portfolio.!$AQ$4:$AQ308)*$CU$5))</f>
        <v/>
      </c>
      <c r="BE80" s="850" t="str">
        <f t="shared" si="3"/>
        <v/>
      </c>
      <c r="BF80" s="862" t="str">
        <f>IF($CR80="","",IF($E80="","-",SUMIF(portfolio.!$A$4:$A308,$CR80,portfolio.!$AX$4:$AX308)*$CU$5))</f>
        <v/>
      </c>
      <c r="BG80" s="545"/>
      <c r="BH80" s="879" t="s">
        <v>123</v>
      </c>
      <c r="BI80" s="880" t="s">
        <v>123</v>
      </c>
      <c r="BJ80" s="863" t="str">
        <f>IFERROR(__xludf.DUMMYFUNCTION("IF(NOT($BL$4),"""",IF($CR80="""","""",IFERROR(query({GOOGLEFINANCE($CR80,""price"",IF($BI80=""-"",TODAY()-($AQ$5+5),$BI80),TODAY()-1)},""Select max(Col2) where Col1 is not null label max(Col2) ''"")*CU80,""-"")))"),"")</f>
        <v/>
      </c>
      <c r="BK80" s="881" t="s">
        <v>123</v>
      </c>
      <c r="BL80" s="882" t="s">
        <v>123</v>
      </c>
      <c r="BM80" s="442"/>
      <c r="BN80" s="867" t="str">
        <f>IFERROR(__xludf.DUMMYFUNCTION("IF(CR80="""","""",IF(OR(C80=""AÇÃO"",C80=""BDR""),IFERROR(QUERY({fundamentus.!$A$3:$U308},$CX$67&amp;"" where Col1='""&amp;CR80&amp;""' limit 1"",0)),IF(C80=""FII"",IFERROR(QUERY({fundsexplorer.!$A$2:$Z308},$CY$67&amp;"" where Col1='""&amp;CR80&amp;""' limit 1"",0)),"""")))"),"")</f>
        <v/>
      </c>
      <c r="BO80" s="867"/>
      <c r="BP80" s="867"/>
      <c r="BQ80" s="867"/>
      <c r="BR80" s="867"/>
      <c r="BS80" s="867"/>
      <c r="BT80" s="867"/>
      <c r="BU80" s="442"/>
      <c r="BV80" s="868" t="str">
        <f>IFERROR(__xludf.DUMMYFUNCTION("IF(OR(C80=""AÇÃO"",C80=""BDR""),IFERROR(GOOGLEFINANCE(CONCAT(""BVMF:"",CR80), ""marketcap"")/1000000,""NC""),"""")"),"")</f>
        <v/>
      </c>
      <c r="BW80" s="869" t="s">
        <v>123</v>
      </c>
      <c r="BX80" s="870" t="s">
        <v>123</v>
      </c>
      <c r="BY80" s="868" t="s">
        <v>123</v>
      </c>
      <c r="BZ80" s="870" t="s">
        <v>123</v>
      </c>
      <c r="CA80" s="868" t="s">
        <v>123</v>
      </c>
      <c r="CB80" s="868" t="s">
        <v>123</v>
      </c>
      <c r="CC80" s="868" t="s">
        <v>123</v>
      </c>
      <c r="CD80" s="868" t="str">
        <f>IFERROR(__xludf.DUMMYFUNCTION("IF(OR(C80=""AÇÃO"",C80=""BDR""),IFERROR(GOOGLEFINANCE(CONCAT(""BVMF:"",CR80), ""volumeavg"")/1000000,""NC""),"""")"),"")</f>
        <v/>
      </c>
      <c r="CE80" s="870" t="s">
        <v>123</v>
      </c>
      <c r="CF80" s="870" t="s">
        <v>123</v>
      </c>
      <c r="CG80" s="870" t="str">
        <f>IFERROR(__xludf.DUMMYFUNCTION("IF(OR(C80=""AÇÃO"",C80=""BDR""),IF(CF80=0,""SEM DY"",IFERROR(ImportXML(CONCAT(""http://www.guiainvest.com.br/raiox/default.aspx?sigla="",$CR80),""//*[@id='lbPayoutAtual']""),""NC"")),"""")"),"")</f>
        <v/>
      </c>
      <c r="CH80" s="870" t="s">
        <v>123</v>
      </c>
      <c r="CI80" s="545"/>
      <c r="CJ80" s="871" t="str">
        <f>IFERROR(__xludf.DUMMYFUNCTION("IF(OR(C80=""AÇÃO"",C80=""BDR""),IFERROR(GOOGLEFINANCE(CONCAT(""BVMF:"",CR80), ""eps""),""NC""),"""")"),"")</f>
        <v/>
      </c>
      <c r="CK80" s="442"/>
      <c r="CL80" s="871" t="str">
        <f>IFERROR(__xludf.DUMMYFUNCTION("IF(NOT($BL$4),"""",IF($CR80="""","""",IF($BC80="""","""",IFERROR(query({op.normal!$B$5:$F308},""select Col5, toDate(Col2) where Col1 =  '""&amp;$CR80&amp;""' and Col4 &gt; 0 and ((Col3 is null) or (Col3 = 'C')) and Col2 &gt;= date '""&amp;TEXT(TODAY()-$AQ$5,""yyyy-mm-dd"")"&amp;"&amp;""' order by Col2 desc limit 1 label toDate(Col2) ''"")))))"),"")</f>
        <v/>
      </c>
      <c r="CM80" s="872"/>
      <c r="CN80" s="883" t="s">
        <v>123</v>
      </c>
      <c r="CO80" s="874" t="s">
        <v>123</v>
      </c>
      <c r="CP80" s="766"/>
      <c r="CQ80" s="791"/>
      <c r="CR80" s="791"/>
      <c r="CT80" s="791" t="s">
        <v>123</v>
      </c>
      <c r="CU80" s="791" t="str">
        <f>IFERROR(__xludf.DUMMYFUNCTION("IF(CR80="""","""",IF(CT80=$C$4,1,GOOGLEFINANCE(CT80&amp;$C$4)))"),"")</f>
        <v/>
      </c>
    </row>
    <row r="81" ht="22.5" customHeight="1">
      <c r="A81" s="837">
        <v>73.0</v>
      </c>
      <c r="B81" s="838" t="s">
        <v>123</v>
      </c>
      <c r="C81" s="838" t="s">
        <v>123</v>
      </c>
      <c r="D81" s="839" t="s">
        <v>123</v>
      </c>
      <c r="E81" s="839" t="s">
        <v>123</v>
      </c>
      <c r="F81" s="839" t="s">
        <v>123</v>
      </c>
      <c r="G81" s="56"/>
      <c r="H81" s="884"/>
      <c r="I81" s="838"/>
      <c r="J81" s="838"/>
      <c r="K81" s="838"/>
      <c r="L81" s="838"/>
      <c r="M81" s="838"/>
      <c r="N81" s="838"/>
      <c r="O81" s="838"/>
      <c r="P81" s="838"/>
      <c r="Q81" s="838"/>
      <c r="R81" s="838"/>
      <c r="S81" s="838"/>
      <c r="T81" s="838"/>
      <c r="U81" s="838"/>
      <c r="V81" s="838"/>
      <c r="W81" s="838"/>
      <c r="X81" s="838"/>
      <c r="Z81" s="875" t="str">
        <f>IFERROR(__xludf.DUMMYFUNCTION("IF($CR81="""","""",IFERROR(query({CarteirasAtivos},""select Col4 where Col4 is not null and Col1 = '""&amp;$CR81&amp;""' limit 1"")*CU81,""NC""))"),"")</f>
        <v/>
      </c>
      <c r="AA81" s="876" t="str">
        <f>IFERROR(__xludf.DUMMYFUNCTION("IF($CR81="""","""",IFERROR(query({CarteirasAtivos},""select Col6 where Col4 is not null and Col1 = '""&amp;$CR81&amp;""' limit 1""),""NC""))"),"")</f>
        <v/>
      </c>
      <c r="AB81" s="877"/>
      <c r="AC81" s="878" t="s">
        <v>123</v>
      </c>
      <c r="AD81" s="845" t="str">
        <f>IF($CR81="","",IFERROR(VLOOKUP($CR81,ativos.!$C$3:$R308,MATCH("cotacao",ativos.!$C$2:CY$2,0),FALSE)*$CU$5,"atualizar"))</f>
        <v/>
      </c>
      <c r="AE81" s="846" t="str">
        <f>IFERROR(__xludf.DUMMYFUNCTION("IF($CR81="""","""",IFERROR(AVERAGE(query({CarteirasAtivos;CarteirasAtivosEncerrados},""select Col5 where Col5 is not null and Col1 = '""&amp;$CR81&amp;""' and Col10='SIM'""))*CU81,""NC""))"),"")</f>
        <v/>
      </c>
      <c r="AF81" s="847" t="str">
        <f t="shared" si="1"/>
        <v/>
      </c>
      <c r="AG81" s="442"/>
      <c r="AH81" s="848" t="str">
        <f>IFERROR(__xludf.DUMMYFUNCTION("IF($CR81="""","""",IFERROR(GOOGLEFINANCE($CR81,""low52"")*CU81,""-""))"),"")</f>
        <v/>
      </c>
      <c r="AI81" s="848" t="str">
        <f>IFERROR(__xludf.DUMMYFUNCTION("IF($CR81="""","""",IFERROR(GOOGLEFINANCE($CR81,""high52"")*CU81,""-""))"),"")</f>
        <v/>
      </c>
      <c r="AJ81" s="849" t="s">
        <v>123</v>
      </c>
      <c r="AK81" s="850" t="str">
        <f>IFERROR(__xludf.DUMMYFUNCTION("IF($CR81="""","""",IFERROR(GOOGLEFINANCE($CR81,""changepct"")/100,""-""))"),"")</f>
        <v/>
      </c>
      <c r="AL81" s="851" t="str">
        <f>IFERROR(__xludf.DUMMYFUNCTION("IF($CR81="""","""",IFERROR(($AD81/(QUERY(GOOGLEFINANCE($CR81,""price"",TODAY()-7),""SELECT Col2 label Col2 ''"")*$CU81)-1),""-""))"),"")</f>
        <v/>
      </c>
      <c r="AM81" s="851" t="str">
        <f>IFERROR(__xludf.DUMMYFUNCTION("IF($CR81="""","""",IFERROR(($AD81/(QUERY(GOOGLEFINANCE($CR81,""price"",TODAY()-14),""SELECT Col2 label Col2 ''"")*$CU81)-1),""-""))"),"")</f>
        <v/>
      </c>
      <c r="AN81" s="851" t="str">
        <f>IFERROR(__xludf.DUMMYFUNCTION("IF($CR81="""","""",IFERROR(($AD81/(QUERY(GOOGLEFINANCE($CR81,""price"",TODAY()-28),""SELECT Col2 label Col2 ''"")*$CU81)-1),""-""))"),"")</f>
        <v/>
      </c>
      <c r="AO81" s="851" t="str">
        <f>IFERROR(__xludf.DUMMYFUNCTION("IF($CR81="""","""",IFERROR(($AD81/(QUERY(GOOGLEFINANCE($CR81,""price"",TODAY()-$AQ$5),""SELECT Col2 label Col2 ''"")*$CU81)-1),""-""))"),"")</f>
        <v/>
      </c>
      <c r="AP81" s="852" t="str">
        <f>IFERROR(__xludf.DUMMYFUNCTION("IF($CR81="""","""",IFERROR(SPARKLINE(query(GOOGLEFINANCE($CR81,""price"",TODAY()-$AQ$5,TODAY(),1),""select Col2 label Col2 ''""),IF($AP$7=""Gráfico de barras"",{""charttype"",""column"";""highcolor"",""red""},{""chartype"",""line""}))))"),"")</f>
        <v/>
      </c>
      <c r="AQ81" s="144"/>
      <c r="AR81" s="853"/>
      <c r="AS81" s="854" t="str">
        <f>IF($CR81="","",IF(NOT('alocação'!$D$1),"off",IFERROR(VLOOKUP(CR81,BalanceAtivos,3,0),"NC")))</f>
        <v/>
      </c>
      <c r="AT81" s="855" t="str">
        <f>IF($CR81="","",IF(NOT('alocação'!$D$1),"off",IFERROR(VLOOKUP($CR81,BalanceAtivos,4,0)*$CU$5,"NC")))</f>
        <v/>
      </c>
      <c r="AU81" s="856" t="str">
        <f>IF($CR81="","",IF(NOT('alocação'!$D$1),"off",IFERROR(VLOOKUP($CR81,BalanceAtivos,5,0),"-")))</f>
        <v/>
      </c>
      <c r="AV81" s="856" t="str">
        <f>IF($CR81="","",IF(NOT('alocação'!$D$1),"off",IFERROR(VLOOKUP($CR81,BalanceAtivos,6,0),"-")))</f>
        <v/>
      </c>
      <c r="AW81" s="857"/>
      <c r="AX81" s="858" t="str">
        <f>IF($CR81="","",IF($E81="","SP",IFERROR(VLOOKUP($CR81,AtivosDados,MATCH("pm_atual",portfolio.!$A$3:CY$3,0),0)*$CU$5,0)))</f>
        <v/>
      </c>
      <c r="AY81" s="859" t="str">
        <f t="shared" si="2"/>
        <v/>
      </c>
      <c r="AZ81" s="858" t="str">
        <f>IF($CR81="","",IF($E81="","SP",SUMIF(portfolio.!$A$4:$A308,$CR81,portfolio.!$O$4:$O308)*$CU$5))</f>
        <v/>
      </c>
      <c r="BA81" s="858" t="str">
        <f>IF($CR81="","",IF($E81="","SP",SUMIF(portfolio.!$A$4:$A308,$CR81,portfolio.!$AN$4:$AN308)*$CU$5))</f>
        <v/>
      </c>
      <c r="BB81" s="860" t="str">
        <f>IF($CR81="","",IF($E81="","-",IFERROR($BA81/'portfólio'!$DG$63,"")))</f>
        <v/>
      </c>
      <c r="BC81" s="861" t="str">
        <f>IF($CR81="","",IF($E81="","-",SUMIF(portfolio.!$A$4:$A308,$CR81,portfolio.!$J$4:$J308)))</f>
        <v/>
      </c>
      <c r="BD81" s="862" t="str">
        <f>IF($CR81="","",IF($E81="","SP",SUMIF(portfolio.!$A$4:$A308,$CR81,portfolio.!$AQ$4:$AQ308)*$CU$5))</f>
        <v/>
      </c>
      <c r="BE81" s="850" t="str">
        <f t="shared" si="3"/>
        <v/>
      </c>
      <c r="BF81" s="862" t="str">
        <f>IF($CR81="","",IF($E81="","-",SUMIF(portfolio.!$A$4:$A308,$CR81,portfolio.!$AX$4:$AX308)*$CU$5))</f>
        <v/>
      </c>
      <c r="BG81" s="545"/>
      <c r="BH81" s="879" t="s">
        <v>123</v>
      </c>
      <c r="BI81" s="880" t="s">
        <v>123</v>
      </c>
      <c r="BJ81" s="863" t="str">
        <f>IFERROR(__xludf.DUMMYFUNCTION("IF(NOT($BL$4),"""",IF($CR81="""","""",IFERROR(query({GOOGLEFINANCE($CR81,""price"",IF($BI81=""-"",TODAY()-($AQ$5+5),$BI81),TODAY()-1)},""Select max(Col2) where Col1 is not null label max(Col2) ''"")*CU81,""-"")))"),"")</f>
        <v/>
      </c>
      <c r="BK81" s="881" t="s">
        <v>123</v>
      </c>
      <c r="BL81" s="882" t="s">
        <v>123</v>
      </c>
      <c r="BM81" s="442"/>
      <c r="BN81" s="867" t="str">
        <f>IFERROR(__xludf.DUMMYFUNCTION("IF(CR81="""","""",IF(OR(C81=""AÇÃO"",C81=""BDR""),IFERROR(QUERY({fundamentus.!$A$3:$U308},$CX$67&amp;"" where Col1='""&amp;CR81&amp;""' limit 1"",0)),IF(C81=""FII"",IFERROR(QUERY({fundsexplorer.!$A$2:$Z308},$CY$67&amp;"" where Col1='""&amp;CR81&amp;""' limit 1"",0)),"""")))"),"")</f>
        <v/>
      </c>
      <c r="BO81" s="867"/>
      <c r="BP81" s="867"/>
      <c r="BQ81" s="867"/>
      <c r="BR81" s="867"/>
      <c r="BS81" s="867"/>
      <c r="BT81" s="867"/>
      <c r="BU81" s="442"/>
      <c r="BV81" s="868" t="str">
        <f>IFERROR(__xludf.DUMMYFUNCTION("IF(OR(C81=""AÇÃO"",C81=""BDR""),IFERROR(GOOGLEFINANCE(CONCAT(""BVMF:"",CR81), ""marketcap"")/1000000,""NC""),"""")"),"")</f>
        <v/>
      </c>
      <c r="BW81" s="869" t="s">
        <v>123</v>
      </c>
      <c r="BX81" s="870" t="s">
        <v>123</v>
      </c>
      <c r="BY81" s="868" t="s">
        <v>123</v>
      </c>
      <c r="BZ81" s="870" t="s">
        <v>123</v>
      </c>
      <c r="CA81" s="868" t="s">
        <v>123</v>
      </c>
      <c r="CB81" s="868" t="s">
        <v>123</v>
      </c>
      <c r="CC81" s="868" t="s">
        <v>123</v>
      </c>
      <c r="CD81" s="868" t="str">
        <f>IFERROR(__xludf.DUMMYFUNCTION("IF(OR(C81=""AÇÃO"",C81=""BDR""),IFERROR(GOOGLEFINANCE(CONCAT(""BVMF:"",CR81), ""volumeavg"")/1000000,""NC""),"""")"),"")</f>
        <v/>
      </c>
      <c r="CE81" s="870" t="s">
        <v>123</v>
      </c>
      <c r="CF81" s="870" t="s">
        <v>123</v>
      </c>
      <c r="CG81" s="870" t="str">
        <f>IFERROR(__xludf.DUMMYFUNCTION("IF(OR(C81=""AÇÃO"",C81=""BDR""),IF(CF81=0,""SEM DY"",IFERROR(ImportXML(CONCAT(""http://www.guiainvest.com.br/raiox/default.aspx?sigla="",$CR81),""//*[@id='lbPayoutAtual']""),""NC"")),"""")"),"")</f>
        <v/>
      </c>
      <c r="CH81" s="870" t="s">
        <v>123</v>
      </c>
      <c r="CI81" s="545"/>
      <c r="CJ81" s="871" t="str">
        <f>IFERROR(__xludf.DUMMYFUNCTION("IF(OR(C81=""AÇÃO"",C81=""BDR""),IFERROR(GOOGLEFINANCE(CONCAT(""BVMF:"",CR81), ""eps""),""NC""),"""")"),"")</f>
        <v/>
      </c>
      <c r="CK81" s="442"/>
      <c r="CL81" s="871" t="str">
        <f>IFERROR(__xludf.DUMMYFUNCTION("IF(NOT($BL$4),"""",IF($CR81="""","""",IF($BC81="""","""",IFERROR(query({op.normal!$B$5:$F308},""select Col5, toDate(Col2) where Col1 =  '""&amp;$CR81&amp;""' and Col4 &gt; 0 and ((Col3 is null) or (Col3 = 'C')) and Col2 &gt;= date '""&amp;TEXT(TODAY()-$AQ$5,""yyyy-mm-dd"")"&amp;"&amp;""' order by Col2 desc limit 1 label toDate(Col2) ''"")))))"),"")</f>
        <v/>
      </c>
      <c r="CM81" s="872"/>
      <c r="CN81" s="883" t="s">
        <v>123</v>
      </c>
      <c r="CO81" s="874" t="s">
        <v>123</v>
      </c>
      <c r="CP81" s="766"/>
      <c r="CQ81" s="791"/>
      <c r="CR81" s="791"/>
      <c r="CT81" s="791" t="s">
        <v>123</v>
      </c>
      <c r="CU81" s="791" t="str">
        <f>IFERROR(__xludf.DUMMYFUNCTION("IF(CR81="""","""",IF(CT81=$C$4,1,GOOGLEFINANCE(CT81&amp;$C$4)))"),"")</f>
        <v/>
      </c>
    </row>
    <row r="82" ht="22.5" customHeight="1">
      <c r="A82" s="837">
        <v>74.0</v>
      </c>
      <c r="B82" s="838" t="s">
        <v>123</v>
      </c>
      <c r="C82" s="838" t="s">
        <v>123</v>
      </c>
      <c r="D82" s="839" t="s">
        <v>123</v>
      </c>
      <c r="E82" s="839" t="s">
        <v>123</v>
      </c>
      <c r="F82" s="839" t="s">
        <v>123</v>
      </c>
      <c r="G82" s="56"/>
      <c r="H82" s="884"/>
      <c r="I82" s="838"/>
      <c r="J82" s="838"/>
      <c r="K82" s="838"/>
      <c r="L82" s="838"/>
      <c r="M82" s="838"/>
      <c r="N82" s="838"/>
      <c r="O82" s="838"/>
      <c r="P82" s="838"/>
      <c r="Q82" s="838"/>
      <c r="R82" s="838"/>
      <c r="S82" s="838"/>
      <c r="T82" s="838"/>
      <c r="U82" s="838"/>
      <c r="V82" s="838"/>
      <c r="W82" s="838"/>
      <c r="X82" s="838"/>
      <c r="Z82" s="875" t="str">
        <f>IFERROR(__xludf.DUMMYFUNCTION("IF($CR82="""","""",IFERROR(query({CarteirasAtivos},""select Col4 where Col4 is not null and Col1 = '""&amp;$CR82&amp;""' limit 1"")*CU82,""NC""))"),"")</f>
        <v/>
      </c>
      <c r="AA82" s="876" t="str">
        <f>IFERROR(__xludf.DUMMYFUNCTION("IF($CR82="""","""",IFERROR(query({CarteirasAtivos},""select Col6 where Col4 is not null and Col1 = '""&amp;$CR82&amp;""' limit 1""),""NC""))"),"")</f>
        <v/>
      </c>
      <c r="AB82" s="877"/>
      <c r="AC82" s="878" t="s">
        <v>123</v>
      </c>
      <c r="AD82" s="845" t="str">
        <f>IF($CR82="","",IFERROR(VLOOKUP($CR82,ativos.!$C$3:$R308,MATCH("cotacao",ativos.!$C$2:CY$2,0),FALSE)*$CU$5,"atualizar"))</f>
        <v/>
      </c>
      <c r="AE82" s="846" t="str">
        <f>IFERROR(__xludf.DUMMYFUNCTION("IF($CR82="""","""",IFERROR(AVERAGE(query({CarteirasAtivos;CarteirasAtivosEncerrados},""select Col5 where Col5 is not null and Col1 = '""&amp;$CR82&amp;""' and Col10='SIM'""))*CU82,""NC""))"),"")</f>
        <v/>
      </c>
      <c r="AF82" s="847" t="str">
        <f t="shared" si="1"/>
        <v/>
      </c>
      <c r="AG82" s="442"/>
      <c r="AH82" s="848" t="str">
        <f>IFERROR(__xludf.DUMMYFUNCTION("IF($CR82="""","""",IFERROR(GOOGLEFINANCE($CR82,""low52"")*CU82,""-""))"),"")</f>
        <v/>
      </c>
      <c r="AI82" s="848" t="str">
        <f>IFERROR(__xludf.DUMMYFUNCTION("IF($CR82="""","""",IFERROR(GOOGLEFINANCE($CR82,""high52"")*CU82,""-""))"),"")</f>
        <v/>
      </c>
      <c r="AJ82" s="849" t="s">
        <v>123</v>
      </c>
      <c r="AK82" s="850" t="str">
        <f>IFERROR(__xludf.DUMMYFUNCTION("IF($CR82="""","""",IFERROR(GOOGLEFINANCE($CR82,""changepct"")/100,""-""))"),"")</f>
        <v/>
      </c>
      <c r="AL82" s="851" t="str">
        <f>IFERROR(__xludf.DUMMYFUNCTION("IF($CR82="""","""",IFERROR(($AD82/(QUERY(GOOGLEFINANCE($CR82,""price"",TODAY()-7),""SELECT Col2 label Col2 ''"")*$CU82)-1),""-""))"),"")</f>
        <v/>
      </c>
      <c r="AM82" s="851" t="str">
        <f>IFERROR(__xludf.DUMMYFUNCTION("IF($CR82="""","""",IFERROR(($AD82/(QUERY(GOOGLEFINANCE($CR82,""price"",TODAY()-14),""SELECT Col2 label Col2 ''"")*$CU82)-1),""-""))"),"")</f>
        <v/>
      </c>
      <c r="AN82" s="851" t="str">
        <f>IFERROR(__xludf.DUMMYFUNCTION("IF($CR82="""","""",IFERROR(($AD82/(QUERY(GOOGLEFINANCE($CR82,""price"",TODAY()-28),""SELECT Col2 label Col2 ''"")*$CU82)-1),""-""))"),"")</f>
        <v/>
      </c>
      <c r="AO82" s="851" t="str">
        <f>IFERROR(__xludf.DUMMYFUNCTION("IF($CR82="""","""",IFERROR(($AD82/(QUERY(GOOGLEFINANCE($CR82,""price"",TODAY()-$AQ$5),""SELECT Col2 label Col2 ''"")*$CU82)-1),""-""))"),"")</f>
        <v/>
      </c>
      <c r="AP82" s="852" t="str">
        <f>IFERROR(__xludf.DUMMYFUNCTION("IF($CR82="""","""",IFERROR(SPARKLINE(query(GOOGLEFINANCE($CR82,""price"",TODAY()-$AQ$5,TODAY(),1),""select Col2 label Col2 ''""),IF($AP$7=""Gráfico de barras"",{""charttype"",""column"";""highcolor"",""red""},{""chartype"",""line""}))))"),"")</f>
        <v/>
      </c>
      <c r="AQ82" s="144"/>
      <c r="AR82" s="853"/>
      <c r="AS82" s="854" t="str">
        <f>IF($CR82="","",IF(NOT('alocação'!$D$1),"off",IFERROR(VLOOKUP(CR82,BalanceAtivos,3,0),"NC")))</f>
        <v/>
      </c>
      <c r="AT82" s="855" t="str">
        <f>IF($CR82="","",IF(NOT('alocação'!$D$1),"off",IFERROR(VLOOKUP($CR82,BalanceAtivos,4,0)*$CU$5,"NC")))</f>
        <v/>
      </c>
      <c r="AU82" s="856" t="str">
        <f>IF($CR82="","",IF(NOT('alocação'!$D$1),"off",IFERROR(VLOOKUP($CR82,BalanceAtivos,5,0),"-")))</f>
        <v/>
      </c>
      <c r="AV82" s="856" t="str">
        <f>IF($CR82="","",IF(NOT('alocação'!$D$1),"off",IFERROR(VLOOKUP($CR82,BalanceAtivos,6,0),"-")))</f>
        <v/>
      </c>
      <c r="AW82" s="857"/>
      <c r="AX82" s="858" t="str">
        <f>IF($CR82="","",IF($E82="","SP",IFERROR(VLOOKUP($CR82,AtivosDados,MATCH("pm_atual",portfolio.!$A$3:CY$3,0),0)*$CU$5,0)))</f>
        <v/>
      </c>
      <c r="AY82" s="859" t="str">
        <f t="shared" si="2"/>
        <v/>
      </c>
      <c r="AZ82" s="858" t="str">
        <f>IF($CR82="","",IF($E82="","SP",SUMIF(portfolio.!$A$4:$A308,$CR82,portfolio.!$O$4:$O308)*$CU$5))</f>
        <v/>
      </c>
      <c r="BA82" s="858" t="str">
        <f>IF($CR82="","",IF($E82="","SP",SUMIF(portfolio.!$A$4:$A308,$CR82,portfolio.!$AN$4:$AN308)*$CU$5))</f>
        <v/>
      </c>
      <c r="BB82" s="860" t="str">
        <f>IF($CR82="","",IF($E82="","-",IFERROR($BA82/'portfólio'!$DG$63,"")))</f>
        <v/>
      </c>
      <c r="BC82" s="861" t="str">
        <f>IF($CR82="","",IF($E82="","-",SUMIF(portfolio.!$A$4:$A308,$CR82,portfolio.!$J$4:$J308)))</f>
        <v/>
      </c>
      <c r="BD82" s="862" t="str">
        <f>IF($CR82="","",IF($E82="","SP",SUMIF(portfolio.!$A$4:$A308,$CR82,portfolio.!$AQ$4:$AQ308)*$CU$5))</f>
        <v/>
      </c>
      <c r="BE82" s="850" t="str">
        <f t="shared" si="3"/>
        <v/>
      </c>
      <c r="BF82" s="862" t="str">
        <f>IF($CR82="","",IF($E82="","-",SUMIF(portfolio.!$A$4:$A308,$CR82,portfolio.!$AX$4:$AX308)*$CU$5))</f>
        <v/>
      </c>
      <c r="BG82" s="545"/>
      <c r="BH82" s="879" t="s">
        <v>123</v>
      </c>
      <c r="BI82" s="880" t="s">
        <v>123</v>
      </c>
      <c r="BJ82" s="863" t="str">
        <f>IFERROR(__xludf.DUMMYFUNCTION("IF(NOT($BL$4),"""",IF($CR82="""","""",IFERROR(query({GOOGLEFINANCE($CR82,""price"",IF($BI82=""-"",TODAY()-($AQ$5+5),$BI82),TODAY()-1)},""Select max(Col2) where Col1 is not null label max(Col2) ''"")*CU82,""-"")))"),"")</f>
        <v/>
      </c>
      <c r="BK82" s="881" t="s">
        <v>123</v>
      </c>
      <c r="BL82" s="882" t="s">
        <v>123</v>
      </c>
      <c r="BM82" s="442"/>
      <c r="BN82" s="867" t="str">
        <f>IFERROR(__xludf.DUMMYFUNCTION("IF(CR82="""","""",IF(OR(C82=""AÇÃO"",C82=""BDR""),IFERROR(QUERY({fundamentus.!$A$3:$U308},$CX$67&amp;"" where Col1='""&amp;CR82&amp;""' limit 1"",0)),IF(C82=""FII"",IFERROR(QUERY({fundsexplorer.!$A$2:$Z308},$CY$67&amp;"" where Col1='""&amp;CR82&amp;""' limit 1"",0)),"""")))"),"")</f>
        <v/>
      </c>
      <c r="BO82" s="867"/>
      <c r="BP82" s="867"/>
      <c r="BQ82" s="867"/>
      <c r="BR82" s="867"/>
      <c r="BS82" s="867"/>
      <c r="BT82" s="867"/>
      <c r="BU82" s="442"/>
      <c r="BV82" s="868" t="str">
        <f>IFERROR(__xludf.DUMMYFUNCTION("IF(OR(C82=""AÇÃO"",C82=""BDR""),IFERROR(GOOGLEFINANCE(CONCAT(""BVMF:"",CR82), ""marketcap"")/1000000,""NC""),"""")"),"")</f>
        <v/>
      </c>
      <c r="BW82" s="869" t="s">
        <v>123</v>
      </c>
      <c r="BX82" s="870" t="s">
        <v>123</v>
      </c>
      <c r="BY82" s="868" t="s">
        <v>123</v>
      </c>
      <c r="BZ82" s="870" t="s">
        <v>123</v>
      </c>
      <c r="CA82" s="868" t="s">
        <v>123</v>
      </c>
      <c r="CB82" s="868" t="s">
        <v>123</v>
      </c>
      <c r="CC82" s="868" t="s">
        <v>123</v>
      </c>
      <c r="CD82" s="868" t="str">
        <f>IFERROR(__xludf.DUMMYFUNCTION("IF(OR(C82=""AÇÃO"",C82=""BDR""),IFERROR(GOOGLEFINANCE(CONCAT(""BVMF:"",CR82), ""volumeavg"")/1000000,""NC""),"""")"),"")</f>
        <v/>
      </c>
      <c r="CE82" s="870" t="s">
        <v>123</v>
      </c>
      <c r="CF82" s="870" t="s">
        <v>123</v>
      </c>
      <c r="CG82" s="870" t="str">
        <f>IFERROR(__xludf.DUMMYFUNCTION("IF(OR(C82=""AÇÃO"",C82=""BDR""),IF(CF82=0,""SEM DY"",IFERROR(ImportXML(CONCAT(""http://www.guiainvest.com.br/raiox/default.aspx?sigla="",$CR82),""//*[@id='lbPayoutAtual']""),""NC"")),"""")"),"")</f>
        <v/>
      </c>
      <c r="CH82" s="870" t="s">
        <v>123</v>
      </c>
      <c r="CI82" s="545"/>
      <c r="CJ82" s="871" t="str">
        <f>IFERROR(__xludf.DUMMYFUNCTION("IF(OR(C82=""AÇÃO"",C82=""BDR""),IFERROR(GOOGLEFINANCE(CONCAT(""BVMF:"",CR82), ""eps""),""NC""),"""")"),"")</f>
        <v/>
      </c>
      <c r="CK82" s="442"/>
      <c r="CL82" s="871" t="str">
        <f>IFERROR(__xludf.DUMMYFUNCTION("IF(NOT($BL$4),"""",IF($CR82="""","""",IF($BC82="""","""",IFERROR(query({op.normal!$B$5:$F308},""select Col5, toDate(Col2) where Col1 =  '""&amp;$CR82&amp;""' and Col4 &gt; 0 and ((Col3 is null) or (Col3 = 'C')) and Col2 &gt;= date '""&amp;TEXT(TODAY()-$AQ$5,""yyyy-mm-dd"")"&amp;"&amp;""' order by Col2 desc limit 1 label toDate(Col2) ''"")))))"),"")</f>
        <v/>
      </c>
      <c r="CM82" s="872"/>
      <c r="CN82" s="883" t="s">
        <v>123</v>
      </c>
      <c r="CO82" s="874" t="s">
        <v>123</v>
      </c>
      <c r="CP82" s="766"/>
      <c r="CQ82" s="791"/>
      <c r="CR82" s="791"/>
      <c r="CT82" s="791" t="s">
        <v>123</v>
      </c>
      <c r="CU82" s="791" t="str">
        <f>IFERROR(__xludf.DUMMYFUNCTION("IF(CR82="""","""",IF(CT82=$C$4,1,GOOGLEFINANCE(CT82&amp;$C$4)))"),"")</f>
        <v/>
      </c>
    </row>
    <row r="83" ht="22.5" customHeight="1">
      <c r="A83" s="837">
        <v>75.0</v>
      </c>
      <c r="B83" s="838" t="s">
        <v>123</v>
      </c>
      <c r="C83" s="838" t="s">
        <v>123</v>
      </c>
      <c r="D83" s="839" t="s">
        <v>123</v>
      </c>
      <c r="E83" s="839" t="s">
        <v>123</v>
      </c>
      <c r="F83" s="839" t="s">
        <v>123</v>
      </c>
      <c r="G83" s="56"/>
      <c r="H83" s="884"/>
      <c r="I83" s="838"/>
      <c r="J83" s="838"/>
      <c r="K83" s="838"/>
      <c r="L83" s="838"/>
      <c r="M83" s="838"/>
      <c r="N83" s="838"/>
      <c r="O83" s="838"/>
      <c r="P83" s="838"/>
      <c r="Q83" s="838"/>
      <c r="R83" s="838"/>
      <c r="S83" s="838"/>
      <c r="T83" s="838"/>
      <c r="U83" s="838"/>
      <c r="V83" s="838"/>
      <c r="W83" s="838"/>
      <c r="X83" s="838"/>
      <c r="Z83" s="875" t="str">
        <f>IFERROR(__xludf.DUMMYFUNCTION("IF($CR83="""","""",IFERROR(query({CarteirasAtivos},""select Col4 where Col4 is not null and Col1 = '""&amp;$CR83&amp;""' limit 1"")*CU83,""NC""))"),"")</f>
        <v/>
      </c>
      <c r="AA83" s="876" t="str">
        <f>IFERROR(__xludf.DUMMYFUNCTION("IF($CR83="""","""",IFERROR(query({CarteirasAtivos},""select Col6 where Col4 is not null and Col1 = '""&amp;$CR83&amp;""' limit 1""),""NC""))"),"")</f>
        <v/>
      </c>
      <c r="AB83" s="877"/>
      <c r="AC83" s="878" t="s">
        <v>123</v>
      </c>
      <c r="AD83" s="845" t="str">
        <f>IF($CR83="","",IFERROR(VLOOKUP($CR83,ativos.!$C$3:$R308,MATCH("cotacao",ativos.!$C$2:CY$2,0),FALSE)*$CU$5,"atualizar"))</f>
        <v/>
      </c>
      <c r="AE83" s="846" t="str">
        <f>IFERROR(__xludf.DUMMYFUNCTION("IF($CR83="""","""",IFERROR(AVERAGE(query({CarteirasAtivos;CarteirasAtivosEncerrados},""select Col5 where Col5 is not null and Col1 = '""&amp;$CR83&amp;""' and Col10='SIM'""))*CU83,""NC""))"),"")</f>
        <v/>
      </c>
      <c r="AF83" s="847" t="str">
        <f t="shared" si="1"/>
        <v/>
      </c>
      <c r="AG83" s="442"/>
      <c r="AH83" s="848" t="str">
        <f>IFERROR(__xludf.DUMMYFUNCTION("IF($CR83="""","""",IFERROR(GOOGLEFINANCE($CR83,""low52"")*CU83,""-""))"),"")</f>
        <v/>
      </c>
      <c r="AI83" s="848" t="str">
        <f>IFERROR(__xludf.DUMMYFUNCTION("IF($CR83="""","""",IFERROR(GOOGLEFINANCE($CR83,""high52"")*CU83,""-""))"),"")</f>
        <v/>
      </c>
      <c r="AJ83" s="849" t="s">
        <v>123</v>
      </c>
      <c r="AK83" s="850" t="str">
        <f>IFERROR(__xludf.DUMMYFUNCTION("IF($CR83="""","""",IFERROR(GOOGLEFINANCE($CR83,""changepct"")/100,""-""))"),"")</f>
        <v/>
      </c>
      <c r="AL83" s="851" t="str">
        <f>IFERROR(__xludf.DUMMYFUNCTION("IF($CR83="""","""",IFERROR(($AD83/(QUERY(GOOGLEFINANCE($CR83,""price"",TODAY()-7),""SELECT Col2 label Col2 ''"")*$CU83)-1),""-""))"),"")</f>
        <v/>
      </c>
      <c r="AM83" s="851" t="str">
        <f>IFERROR(__xludf.DUMMYFUNCTION("IF($CR83="""","""",IFERROR(($AD83/(QUERY(GOOGLEFINANCE($CR83,""price"",TODAY()-14),""SELECT Col2 label Col2 ''"")*$CU83)-1),""-""))"),"")</f>
        <v/>
      </c>
      <c r="AN83" s="851" t="str">
        <f>IFERROR(__xludf.DUMMYFUNCTION("IF($CR83="""","""",IFERROR(($AD83/(QUERY(GOOGLEFINANCE($CR83,""price"",TODAY()-28),""SELECT Col2 label Col2 ''"")*$CU83)-1),""-""))"),"")</f>
        <v/>
      </c>
      <c r="AO83" s="851" t="str">
        <f>IFERROR(__xludf.DUMMYFUNCTION("IF($CR83="""","""",IFERROR(($AD83/(QUERY(GOOGLEFINANCE($CR83,""price"",TODAY()-$AQ$5),""SELECT Col2 label Col2 ''"")*$CU83)-1),""-""))"),"")</f>
        <v/>
      </c>
      <c r="AP83" s="852" t="str">
        <f>IFERROR(__xludf.DUMMYFUNCTION("IF($CR83="""","""",IFERROR(SPARKLINE(query(GOOGLEFINANCE($CR83,""price"",TODAY()-$AQ$5,TODAY(),1),""select Col2 label Col2 ''""),IF($AP$7=""Gráfico de barras"",{""charttype"",""column"";""highcolor"",""red""},{""chartype"",""line""}))))"),"")</f>
        <v/>
      </c>
      <c r="AQ83" s="144"/>
      <c r="AR83" s="853"/>
      <c r="AS83" s="854" t="str">
        <f>IF($CR83="","",IF(NOT('alocação'!$D$1),"off",IFERROR(VLOOKUP(CR83,BalanceAtivos,3,0),"NC")))</f>
        <v/>
      </c>
      <c r="AT83" s="855" t="str">
        <f>IF($CR83="","",IF(NOT('alocação'!$D$1),"off",IFERROR(VLOOKUP($CR83,BalanceAtivos,4,0)*$CU$5,"NC")))</f>
        <v/>
      </c>
      <c r="AU83" s="856" t="str">
        <f>IF($CR83="","",IF(NOT('alocação'!$D$1),"off",IFERROR(VLOOKUP($CR83,BalanceAtivos,5,0),"-")))</f>
        <v/>
      </c>
      <c r="AV83" s="856" t="str">
        <f>IF($CR83="","",IF(NOT('alocação'!$D$1),"off",IFERROR(VLOOKUP($CR83,BalanceAtivos,6,0),"-")))</f>
        <v/>
      </c>
      <c r="AW83" s="857"/>
      <c r="AX83" s="858" t="str">
        <f>IF($CR83="","",IF($E83="","SP",IFERROR(VLOOKUP($CR83,AtivosDados,MATCH("pm_atual",portfolio.!$A$3:CY$3,0),0)*$CU$5,0)))</f>
        <v/>
      </c>
      <c r="AY83" s="859" t="str">
        <f t="shared" si="2"/>
        <v/>
      </c>
      <c r="AZ83" s="858" t="str">
        <f>IF($CR83="","",IF($E83="","SP",SUMIF(portfolio.!$A$4:$A308,$CR83,portfolio.!$O$4:$O308)*$CU$5))</f>
        <v/>
      </c>
      <c r="BA83" s="858" t="str">
        <f>IF($CR83="","",IF($E83="","SP",SUMIF(portfolio.!$A$4:$A308,$CR83,portfolio.!$AN$4:$AN308)*$CU$5))</f>
        <v/>
      </c>
      <c r="BB83" s="860" t="str">
        <f>IF($CR83="","",IF($E83="","-",IFERROR($BA83/'portfólio'!$DG$63,"")))</f>
        <v/>
      </c>
      <c r="BC83" s="861" t="str">
        <f>IF($CR83="","",IF($E83="","-",SUMIF(portfolio.!$A$4:$A308,$CR83,portfolio.!$J$4:$J308)))</f>
        <v/>
      </c>
      <c r="BD83" s="862" t="str">
        <f>IF($CR83="","",IF($E83="","SP",SUMIF(portfolio.!$A$4:$A308,$CR83,portfolio.!$AQ$4:$AQ308)*$CU$5))</f>
        <v/>
      </c>
      <c r="BE83" s="850" t="str">
        <f t="shared" si="3"/>
        <v/>
      </c>
      <c r="BF83" s="862" t="str">
        <f>IF($CR83="","",IF($E83="","-",SUMIF(portfolio.!$A$4:$A308,$CR83,portfolio.!$AX$4:$AX308)*$CU$5))</f>
        <v/>
      </c>
      <c r="BG83" s="545"/>
      <c r="BH83" s="879" t="s">
        <v>123</v>
      </c>
      <c r="BI83" s="880" t="s">
        <v>123</v>
      </c>
      <c r="BJ83" s="863" t="str">
        <f>IFERROR(__xludf.DUMMYFUNCTION("IF(NOT($BL$4),"""",IF($CR83="""","""",IFERROR(query({GOOGLEFINANCE($CR83,""price"",IF($BI83=""-"",TODAY()-($AQ$5+5),$BI83),TODAY()-1)},""Select max(Col2) where Col1 is not null label max(Col2) ''"")*CU83,""-"")))"),"")</f>
        <v/>
      </c>
      <c r="BK83" s="881" t="s">
        <v>123</v>
      </c>
      <c r="BL83" s="882" t="s">
        <v>123</v>
      </c>
      <c r="BM83" s="442"/>
      <c r="BN83" s="867" t="str">
        <f>IFERROR(__xludf.DUMMYFUNCTION("IF(CR83="""","""",IF(OR(C83=""AÇÃO"",C83=""BDR""),IFERROR(QUERY({fundamentus.!$A$3:$U308},$CX$67&amp;"" where Col1='""&amp;CR83&amp;""' limit 1"",0)),IF(C83=""FII"",IFERROR(QUERY({fundsexplorer.!$A$2:$Z308},$CY$67&amp;"" where Col1='""&amp;CR83&amp;""' limit 1"",0)),"""")))"),"")</f>
        <v/>
      </c>
      <c r="BO83" s="867"/>
      <c r="BP83" s="867"/>
      <c r="BQ83" s="867"/>
      <c r="BR83" s="867"/>
      <c r="BS83" s="867"/>
      <c r="BT83" s="867"/>
      <c r="BU83" s="442"/>
      <c r="BV83" s="868" t="str">
        <f>IFERROR(__xludf.DUMMYFUNCTION("IF(OR(C83=""AÇÃO"",C83=""BDR""),IFERROR(GOOGLEFINANCE(CONCAT(""BVMF:"",CR83), ""marketcap"")/1000000,""NC""),"""")"),"")</f>
        <v/>
      </c>
      <c r="BW83" s="869" t="s">
        <v>123</v>
      </c>
      <c r="BX83" s="870" t="s">
        <v>123</v>
      </c>
      <c r="BY83" s="868" t="s">
        <v>123</v>
      </c>
      <c r="BZ83" s="870" t="s">
        <v>123</v>
      </c>
      <c r="CA83" s="868" t="s">
        <v>123</v>
      </c>
      <c r="CB83" s="868" t="s">
        <v>123</v>
      </c>
      <c r="CC83" s="868" t="s">
        <v>123</v>
      </c>
      <c r="CD83" s="868" t="str">
        <f>IFERROR(__xludf.DUMMYFUNCTION("IF(OR(C83=""AÇÃO"",C83=""BDR""),IFERROR(GOOGLEFINANCE(CONCAT(""BVMF:"",CR83), ""volumeavg"")/1000000,""NC""),"""")"),"")</f>
        <v/>
      </c>
      <c r="CE83" s="870" t="s">
        <v>123</v>
      </c>
      <c r="CF83" s="870" t="s">
        <v>123</v>
      </c>
      <c r="CG83" s="870" t="str">
        <f>IFERROR(__xludf.DUMMYFUNCTION("IF(OR(C83=""AÇÃO"",C83=""BDR""),IF(CF83=0,""SEM DY"",IFERROR(ImportXML(CONCAT(""http://www.guiainvest.com.br/raiox/default.aspx?sigla="",$CR83),""//*[@id='lbPayoutAtual']""),""NC"")),"""")"),"")</f>
        <v/>
      </c>
      <c r="CH83" s="870" t="s">
        <v>123</v>
      </c>
      <c r="CI83" s="545"/>
      <c r="CJ83" s="871" t="str">
        <f>IFERROR(__xludf.DUMMYFUNCTION("IF(OR(C83=""AÇÃO"",C83=""BDR""),IFERROR(GOOGLEFINANCE(CONCAT(""BVMF:"",CR83), ""eps""),""NC""),"""")"),"")</f>
        <v/>
      </c>
      <c r="CK83" s="442"/>
      <c r="CL83" s="871" t="str">
        <f>IFERROR(__xludf.DUMMYFUNCTION("IF(NOT($BL$4),"""",IF($CR83="""","""",IF($BC83="""","""",IFERROR(query({op.normal!$B$5:$F308},""select Col5, toDate(Col2) where Col1 =  '""&amp;$CR83&amp;""' and Col4 &gt; 0 and ((Col3 is null) or (Col3 = 'C')) and Col2 &gt;= date '""&amp;TEXT(TODAY()-$AQ$5,""yyyy-mm-dd"")"&amp;"&amp;""' order by Col2 desc limit 1 label toDate(Col2) ''"")))))"),"")</f>
        <v/>
      </c>
      <c r="CM83" s="872"/>
      <c r="CN83" s="883" t="s">
        <v>123</v>
      </c>
      <c r="CO83" s="874" t="s">
        <v>123</v>
      </c>
      <c r="CP83" s="766"/>
      <c r="CQ83" s="791"/>
      <c r="CR83" s="791"/>
      <c r="CT83" s="791" t="s">
        <v>123</v>
      </c>
      <c r="CU83" s="791" t="str">
        <f>IFERROR(__xludf.DUMMYFUNCTION("IF(CR83="""","""",IF(CT83=$C$4,1,GOOGLEFINANCE(CT83&amp;$C$4)))"),"")</f>
        <v/>
      </c>
    </row>
    <row r="84" ht="22.5" customHeight="1">
      <c r="A84" s="837">
        <v>76.0</v>
      </c>
      <c r="B84" s="838" t="s">
        <v>123</v>
      </c>
      <c r="C84" s="838" t="s">
        <v>123</v>
      </c>
      <c r="D84" s="839" t="s">
        <v>123</v>
      </c>
      <c r="E84" s="839" t="s">
        <v>123</v>
      </c>
      <c r="F84" s="839" t="s">
        <v>123</v>
      </c>
      <c r="G84" s="56"/>
      <c r="H84" s="884"/>
      <c r="I84" s="838"/>
      <c r="J84" s="838"/>
      <c r="K84" s="838"/>
      <c r="L84" s="838"/>
      <c r="M84" s="838"/>
      <c r="N84" s="838"/>
      <c r="O84" s="838"/>
      <c r="P84" s="838"/>
      <c r="Q84" s="838"/>
      <c r="R84" s="838"/>
      <c r="S84" s="838"/>
      <c r="T84" s="838"/>
      <c r="U84" s="838"/>
      <c r="V84" s="838"/>
      <c r="W84" s="838"/>
      <c r="X84" s="838"/>
      <c r="Z84" s="875" t="str">
        <f>IFERROR(__xludf.DUMMYFUNCTION("IF($CR84="""","""",IFERROR(query({CarteirasAtivos},""select Col4 where Col4 is not null and Col1 = '""&amp;$CR84&amp;""' limit 1"")*CU84,""NC""))"),"")</f>
        <v/>
      </c>
      <c r="AA84" s="876" t="str">
        <f>IFERROR(__xludf.DUMMYFUNCTION("IF($CR84="""","""",IFERROR(query({CarteirasAtivos},""select Col6 where Col4 is not null and Col1 = '""&amp;$CR84&amp;""' limit 1""),""NC""))"),"")</f>
        <v/>
      </c>
      <c r="AB84" s="877"/>
      <c r="AC84" s="878" t="s">
        <v>123</v>
      </c>
      <c r="AD84" s="845" t="str">
        <f>IF($CR84="","",IFERROR(VLOOKUP($CR84,ativos.!$C$3:$R308,MATCH("cotacao",ativos.!$C$2:CY$2,0),FALSE)*$CU$5,"atualizar"))</f>
        <v/>
      </c>
      <c r="AE84" s="846" t="str">
        <f>IFERROR(__xludf.DUMMYFUNCTION("IF($CR84="""","""",IFERROR(AVERAGE(query({CarteirasAtivos;CarteirasAtivosEncerrados},""select Col5 where Col5 is not null and Col1 = '""&amp;$CR84&amp;""' and Col10='SIM'""))*CU84,""NC""))"),"")</f>
        <v/>
      </c>
      <c r="AF84" s="847" t="str">
        <f t="shared" si="1"/>
        <v/>
      </c>
      <c r="AG84" s="442"/>
      <c r="AH84" s="848" t="str">
        <f>IFERROR(__xludf.DUMMYFUNCTION("IF($CR84="""","""",IFERROR(GOOGLEFINANCE($CR84,""low52"")*CU84,""-""))"),"")</f>
        <v/>
      </c>
      <c r="AI84" s="848" t="str">
        <f>IFERROR(__xludf.DUMMYFUNCTION("IF($CR84="""","""",IFERROR(GOOGLEFINANCE($CR84,""high52"")*CU84,""-""))"),"")</f>
        <v/>
      </c>
      <c r="AJ84" s="849" t="s">
        <v>123</v>
      </c>
      <c r="AK84" s="850" t="str">
        <f>IFERROR(__xludf.DUMMYFUNCTION("IF($CR84="""","""",IFERROR(GOOGLEFINANCE($CR84,""changepct"")/100,""-""))"),"")</f>
        <v/>
      </c>
      <c r="AL84" s="851" t="str">
        <f>IFERROR(__xludf.DUMMYFUNCTION("IF($CR84="""","""",IFERROR(($AD84/(QUERY(GOOGLEFINANCE($CR84,""price"",TODAY()-7),""SELECT Col2 label Col2 ''"")*$CU84)-1),""-""))"),"")</f>
        <v/>
      </c>
      <c r="AM84" s="851" t="str">
        <f>IFERROR(__xludf.DUMMYFUNCTION("IF($CR84="""","""",IFERROR(($AD84/(QUERY(GOOGLEFINANCE($CR84,""price"",TODAY()-14),""SELECT Col2 label Col2 ''"")*$CU84)-1),""-""))"),"")</f>
        <v/>
      </c>
      <c r="AN84" s="851" t="str">
        <f>IFERROR(__xludf.DUMMYFUNCTION("IF($CR84="""","""",IFERROR(($AD84/(QUERY(GOOGLEFINANCE($CR84,""price"",TODAY()-28),""SELECT Col2 label Col2 ''"")*$CU84)-1),""-""))"),"")</f>
        <v/>
      </c>
      <c r="AO84" s="851" t="str">
        <f>IFERROR(__xludf.DUMMYFUNCTION("IF($CR84="""","""",IFERROR(($AD84/(QUERY(GOOGLEFINANCE($CR84,""price"",TODAY()-$AQ$5),""SELECT Col2 label Col2 ''"")*$CU84)-1),""-""))"),"")</f>
        <v/>
      </c>
      <c r="AP84" s="852" t="str">
        <f>IFERROR(__xludf.DUMMYFUNCTION("IF($CR84="""","""",IFERROR(SPARKLINE(query(GOOGLEFINANCE($CR84,""price"",TODAY()-$AQ$5,TODAY(),1),""select Col2 label Col2 ''""),IF($AP$7=""Gráfico de barras"",{""charttype"",""column"";""highcolor"",""red""},{""chartype"",""line""}))))"),"")</f>
        <v/>
      </c>
      <c r="AQ84" s="144"/>
      <c r="AR84" s="853"/>
      <c r="AS84" s="854" t="str">
        <f>IF($CR84="","",IF(NOT('alocação'!$D$1),"off",IFERROR(VLOOKUP(CR84,BalanceAtivos,3,0),"NC")))</f>
        <v/>
      </c>
      <c r="AT84" s="855" t="str">
        <f>IF($CR84="","",IF(NOT('alocação'!$D$1),"off",IFERROR(VLOOKUP($CR84,BalanceAtivos,4,0)*$CU$5,"NC")))</f>
        <v/>
      </c>
      <c r="AU84" s="856" t="str">
        <f>IF($CR84="","",IF(NOT('alocação'!$D$1),"off",IFERROR(VLOOKUP($CR84,BalanceAtivos,5,0),"-")))</f>
        <v/>
      </c>
      <c r="AV84" s="856" t="str">
        <f>IF($CR84="","",IF(NOT('alocação'!$D$1),"off",IFERROR(VLOOKUP($CR84,BalanceAtivos,6,0),"-")))</f>
        <v/>
      </c>
      <c r="AW84" s="857"/>
      <c r="AX84" s="858" t="str">
        <f>IF($CR84="","",IF($E84="","SP",IFERROR(VLOOKUP($CR84,AtivosDados,MATCH("pm_atual",portfolio.!$A$3:CY$3,0),0)*$CU$5,0)))</f>
        <v/>
      </c>
      <c r="AY84" s="859" t="str">
        <f t="shared" si="2"/>
        <v/>
      </c>
      <c r="AZ84" s="858" t="str">
        <f>IF($CR84="","",IF($E84="","SP",SUMIF(portfolio.!$A$4:$A308,$CR84,portfolio.!$O$4:$O308)*$CU$5))</f>
        <v/>
      </c>
      <c r="BA84" s="858" t="str">
        <f>IF($CR84="","",IF($E84="","SP",SUMIF(portfolio.!$A$4:$A308,$CR84,portfolio.!$AN$4:$AN308)*$CU$5))</f>
        <v/>
      </c>
      <c r="BB84" s="860" t="str">
        <f>IF($CR84="","",IF($E84="","-",IFERROR($BA84/'portfólio'!$DG$63,"")))</f>
        <v/>
      </c>
      <c r="BC84" s="861" t="str">
        <f>IF($CR84="","",IF($E84="","-",SUMIF(portfolio.!$A$4:$A308,$CR84,portfolio.!$J$4:$J308)))</f>
        <v/>
      </c>
      <c r="BD84" s="862" t="str">
        <f>IF($CR84="","",IF($E84="","SP",SUMIF(portfolio.!$A$4:$A308,$CR84,portfolio.!$AQ$4:$AQ308)*$CU$5))</f>
        <v/>
      </c>
      <c r="BE84" s="850" t="str">
        <f t="shared" si="3"/>
        <v/>
      </c>
      <c r="BF84" s="862" t="str">
        <f>IF($CR84="","",IF($E84="","-",SUMIF(portfolio.!$A$4:$A308,$CR84,portfolio.!$AX$4:$AX308)*$CU$5))</f>
        <v/>
      </c>
      <c r="BG84" s="545"/>
      <c r="BH84" s="879" t="s">
        <v>123</v>
      </c>
      <c r="BI84" s="880" t="s">
        <v>123</v>
      </c>
      <c r="BJ84" s="863" t="str">
        <f>IFERROR(__xludf.DUMMYFUNCTION("IF(NOT($BL$4),"""",IF($CR84="""","""",IFERROR(query({GOOGLEFINANCE($CR84,""price"",IF($BI84=""-"",TODAY()-($AQ$5+5),$BI84),TODAY()-1)},""Select max(Col2) where Col1 is not null label max(Col2) ''"")*CU84,""-"")))"),"")</f>
        <v/>
      </c>
      <c r="BK84" s="881" t="s">
        <v>123</v>
      </c>
      <c r="BL84" s="882" t="s">
        <v>123</v>
      </c>
      <c r="BM84" s="442"/>
      <c r="BN84" s="867" t="str">
        <f>IFERROR(__xludf.DUMMYFUNCTION("IF(CR84="""","""",IF(OR(C84=""AÇÃO"",C84=""BDR""),IFERROR(QUERY({fundamentus.!$A$3:$U308},$CX$67&amp;"" where Col1='""&amp;CR84&amp;""' limit 1"",0)),IF(C84=""FII"",IFERROR(QUERY({fundsexplorer.!$A$2:$Z308},$CY$67&amp;"" where Col1='""&amp;CR84&amp;""' limit 1"",0)),"""")))"),"")</f>
        <v/>
      </c>
      <c r="BO84" s="867"/>
      <c r="BP84" s="867"/>
      <c r="BQ84" s="867"/>
      <c r="BR84" s="867"/>
      <c r="BS84" s="867"/>
      <c r="BT84" s="867"/>
      <c r="BU84" s="442"/>
      <c r="BV84" s="868" t="str">
        <f>IFERROR(__xludf.DUMMYFUNCTION("IF(OR(C84=""AÇÃO"",C84=""BDR""),IFERROR(GOOGLEFINANCE(CONCAT(""BVMF:"",CR84), ""marketcap"")/1000000,""NC""),"""")"),"")</f>
        <v/>
      </c>
      <c r="BW84" s="869" t="s">
        <v>123</v>
      </c>
      <c r="BX84" s="870" t="s">
        <v>123</v>
      </c>
      <c r="BY84" s="868" t="s">
        <v>123</v>
      </c>
      <c r="BZ84" s="870" t="s">
        <v>123</v>
      </c>
      <c r="CA84" s="868" t="s">
        <v>123</v>
      </c>
      <c r="CB84" s="868" t="s">
        <v>123</v>
      </c>
      <c r="CC84" s="868" t="s">
        <v>123</v>
      </c>
      <c r="CD84" s="868" t="str">
        <f>IFERROR(__xludf.DUMMYFUNCTION("IF(OR(C84=""AÇÃO"",C84=""BDR""),IFERROR(GOOGLEFINANCE(CONCAT(""BVMF:"",CR84), ""volumeavg"")/1000000,""NC""),"""")"),"")</f>
        <v/>
      </c>
      <c r="CE84" s="870" t="s">
        <v>123</v>
      </c>
      <c r="CF84" s="870" t="s">
        <v>123</v>
      </c>
      <c r="CG84" s="870" t="str">
        <f>IFERROR(__xludf.DUMMYFUNCTION("IF(OR(C84=""AÇÃO"",C84=""BDR""),IF(CF84=0,""SEM DY"",IFERROR(ImportXML(CONCAT(""http://www.guiainvest.com.br/raiox/default.aspx?sigla="",$CR84),""//*[@id='lbPayoutAtual']""),""NC"")),"""")"),"")</f>
        <v/>
      </c>
      <c r="CH84" s="870" t="s">
        <v>123</v>
      </c>
      <c r="CI84" s="545"/>
      <c r="CJ84" s="871" t="str">
        <f>IFERROR(__xludf.DUMMYFUNCTION("IF(OR(C84=""AÇÃO"",C84=""BDR""),IFERROR(GOOGLEFINANCE(CONCAT(""BVMF:"",CR84), ""eps""),""NC""),"""")"),"")</f>
        <v/>
      </c>
      <c r="CK84" s="442"/>
      <c r="CL84" s="871" t="str">
        <f>IFERROR(__xludf.DUMMYFUNCTION("IF(NOT($BL$4),"""",IF($CR84="""","""",IF($BC84="""","""",IFERROR(query({op.normal!$B$5:$F308},""select Col5, toDate(Col2) where Col1 =  '""&amp;$CR84&amp;""' and Col4 &gt; 0 and ((Col3 is null) or (Col3 = 'C')) and Col2 &gt;= date '""&amp;TEXT(TODAY()-$AQ$5,""yyyy-mm-dd"")"&amp;"&amp;""' order by Col2 desc limit 1 label toDate(Col2) ''"")))))"),"")</f>
        <v/>
      </c>
      <c r="CM84" s="872"/>
      <c r="CN84" s="883" t="s">
        <v>123</v>
      </c>
      <c r="CO84" s="874" t="s">
        <v>123</v>
      </c>
      <c r="CP84" s="766"/>
      <c r="CQ84" s="791"/>
      <c r="CR84" s="791"/>
      <c r="CT84" s="791" t="s">
        <v>123</v>
      </c>
      <c r="CU84" s="791" t="str">
        <f>IFERROR(__xludf.DUMMYFUNCTION("IF(CR84="""","""",IF(CT84=$C$4,1,GOOGLEFINANCE(CT84&amp;$C$4)))"),"")</f>
        <v/>
      </c>
    </row>
    <row r="85" ht="22.5" customHeight="1">
      <c r="A85" s="837">
        <v>77.0</v>
      </c>
      <c r="B85" s="838" t="s">
        <v>123</v>
      </c>
      <c r="C85" s="838" t="s">
        <v>123</v>
      </c>
      <c r="D85" s="839" t="s">
        <v>123</v>
      </c>
      <c r="E85" s="839" t="s">
        <v>123</v>
      </c>
      <c r="F85" s="839" t="s">
        <v>123</v>
      </c>
      <c r="G85" s="56"/>
      <c r="H85" s="884"/>
      <c r="I85" s="838"/>
      <c r="J85" s="838"/>
      <c r="K85" s="838"/>
      <c r="L85" s="838"/>
      <c r="M85" s="838"/>
      <c r="N85" s="838"/>
      <c r="O85" s="838"/>
      <c r="P85" s="838"/>
      <c r="Q85" s="838"/>
      <c r="R85" s="838"/>
      <c r="S85" s="838"/>
      <c r="T85" s="838"/>
      <c r="U85" s="838"/>
      <c r="V85" s="838"/>
      <c r="W85" s="838"/>
      <c r="X85" s="838"/>
      <c r="Z85" s="875" t="str">
        <f>IFERROR(__xludf.DUMMYFUNCTION("IF($CR85="""","""",IFERROR(query({CarteirasAtivos},""select Col4 where Col4 is not null and Col1 = '""&amp;$CR85&amp;""' limit 1"")*CU85,""NC""))"),"")</f>
        <v/>
      </c>
      <c r="AA85" s="876" t="str">
        <f>IFERROR(__xludf.DUMMYFUNCTION("IF($CR85="""","""",IFERROR(query({CarteirasAtivos},""select Col6 where Col4 is not null and Col1 = '""&amp;$CR85&amp;""' limit 1""),""NC""))"),"")</f>
        <v/>
      </c>
      <c r="AB85" s="877"/>
      <c r="AC85" s="878" t="s">
        <v>123</v>
      </c>
      <c r="AD85" s="845" t="str">
        <f>IF($CR85="","",IFERROR(VLOOKUP($CR85,ativos.!$C$3:$R308,MATCH("cotacao",ativos.!$C$2:CY$2,0),FALSE)*$CU$5,"atualizar"))</f>
        <v/>
      </c>
      <c r="AE85" s="846" t="str">
        <f>IFERROR(__xludf.DUMMYFUNCTION("IF($CR85="""","""",IFERROR(AVERAGE(query({CarteirasAtivos;CarteirasAtivosEncerrados},""select Col5 where Col5 is not null and Col1 = '""&amp;$CR85&amp;""' and Col10='SIM'""))*CU85,""NC""))"),"")</f>
        <v/>
      </c>
      <c r="AF85" s="847" t="str">
        <f t="shared" si="1"/>
        <v/>
      </c>
      <c r="AG85" s="442"/>
      <c r="AH85" s="848" t="str">
        <f>IFERROR(__xludf.DUMMYFUNCTION("IF($CR85="""","""",IFERROR(GOOGLEFINANCE($CR85,""low52"")*CU85,""-""))"),"")</f>
        <v/>
      </c>
      <c r="AI85" s="848" t="str">
        <f>IFERROR(__xludf.DUMMYFUNCTION("IF($CR85="""","""",IFERROR(GOOGLEFINANCE($CR85,""high52"")*CU85,""-""))"),"")</f>
        <v/>
      </c>
      <c r="AJ85" s="849" t="s">
        <v>123</v>
      </c>
      <c r="AK85" s="850" t="str">
        <f>IFERROR(__xludf.DUMMYFUNCTION("IF($CR85="""","""",IFERROR(GOOGLEFINANCE($CR85,""changepct"")/100,""-""))"),"")</f>
        <v/>
      </c>
      <c r="AL85" s="851" t="str">
        <f>IFERROR(__xludf.DUMMYFUNCTION("IF($CR85="""","""",IFERROR(($AD85/(QUERY(GOOGLEFINANCE($CR85,""price"",TODAY()-7),""SELECT Col2 label Col2 ''"")*$CU85)-1),""-""))"),"")</f>
        <v/>
      </c>
      <c r="AM85" s="851" t="str">
        <f>IFERROR(__xludf.DUMMYFUNCTION("IF($CR85="""","""",IFERROR(($AD85/(QUERY(GOOGLEFINANCE($CR85,""price"",TODAY()-14),""SELECT Col2 label Col2 ''"")*$CU85)-1),""-""))"),"")</f>
        <v/>
      </c>
      <c r="AN85" s="851" t="str">
        <f>IFERROR(__xludf.DUMMYFUNCTION("IF($CR85="""","""",IFERROR(($AD85/(QUERY(GOOGLEFINANCE($CR85,""price"",TODAY()-28),""SELECT Col2 label Col2 ''"")*$CU85)-1),""-""))"),"")</f>
        <v/>
      </c>
      <c r="AO85" s="851" t="str">
        <f>IFERROR(__xludf.DUMMYFUNCTION("IF($CR85="""","""",IFERROR(($AD85/(QUERY(GOOGLEFINANCE($CR85,""price"",TODAY()-$AQ$5),""SELECT Col2 label Col2 ''"")*$CU85)-1),""-""))"),"")</f>
        <v/>
      </c>
      <c r="AP85" s="852" t="str">
        <f>IFERROR(__xludf.DUMMYFUNCTION("IF($CR85="""","""",IFERROR(SPARKLINE(query(GOOGLEFINANCE($CR85,""price"",TODAY()-$AQ$5,TODAY(),1),""select Col2 label Col2 ''""),IF($AP$7=""Gráfico de barras"",{""charttype"",""column"";""highcolor"",""red""},{""chartype"",""line""}))))"),"")</f>
        <v/>
      </c>
      <c r="AQ85" s="144"/>
      <c r="AR85" s="853"/>
      <c r="AS85" s="854" t="str">
        <f>IF($CR85="","",IF(NOT('alocação'!$D$1),"off",IFERROR(VLOOKUP(CR85,BalanceAtivos,3,0),"NC")))</f>
        <v/>
      </c>
      <c r="AT85" s="855" t="str">
        <f>IF($CR85="","",IF(NOT('alocação'!$D$1),"off",IFERROR(VLOOKUP($CR85,BalanceAtivos,4,0)*$CU$5,"NC")))</f>
        <v/>
      </c>
      <c r="AU85" s="856" t="str">
        <f>IF($CR85="","",IF(NOT('alocação'!$D$1),"off",IFERROR(VLOOKUP($CR85,BalanceAtivos,5,0),"-")))</f>
        <v/>
      </c>
      <c r="AV85" s="856" t="str">
        <f>IF($CR85="","",IF(NOT('alocação'!$D$1),"off",IFERROR(VLOOKUP($CR85,BalanceAtivos,6,0),"-")))</f>
        <v/>
      </c>
      <c r="AW85" s="857"/>
      <c r="AX85" s="858" t="str">
        <f>IF($CR85="","",IF($E85="","SP",IFERROR(VLOOKUP($CR85,AtivosDados,MATCH("pm_atual",portfolio.!$A$3:CY$3,0),0)*$CU$5,0)))</f>
        <v/>
      </c>
      <c r="AY85" s="859" t="str">
        <f t="shared" si="2"/>
        <v/>
      </c>
      <c r="AZ85" s="858" t="str">
        <f>IF($CR85="","",IF($E85="","SP",SUMIF(portfolio.!$A$4:$A308,$CR85,portfolio.!$O$4:$O308)*$CU$5))</f>
        <v/>
      </c>
      <c r="BA85" s="858" t="str">
        <f>IF($CR85="","",IF($E85="","SP",SUMIF(portfolio.!$A$4:$A308,$CR85,portfolio.!$AN$4:$AN308)*$CU$5))</f>
        <v/>
      </c>
      <c r="BB85" s="860" t="str">
        <f>IF($CR85="","",IF($E85="","-",IFERROR($BA85/'portfólio'!$DG$63,"")))</f>
        <v/>
      </c>
      <c r="BC85" s="861" t="str">
        <f>IF($CR85="","",IF($E85="","-",SUMIF(portfolio.!$A$4:$A308,$CR85,portfolio.!$J$4:$J308)))</f>
        <v/>
      </c>
      <c r="BD85" s="862" t="str">
        <f>IF($CR85="","",IF($E85="","SP",SUMIF(portfolio.!$A$4:$A308,$CR85,portfolio.!$AQ$4:$AQ308)*$CU$5))</f>
        <v/>
      </c>
      <c r="BE85" s="850" t="str">
        <f t="shared" si="3"/>
        <v/>
      </c>
      <c r="BF85" s="862" t="str">
        <f>IF($CR85="","",IF($E85="","-",SUMIF(portfolio.!$A$4:$A308,$CR85,portfolio.!$AX$4:$AX308)*$CU$5))</f>
        <v/>
      </c>
      <c r="BG85" s="545"/>
      <c r="BH85" s="879" t="s">
        <v>123</v>
      </c>
      <c r="BI85" s="880" t="s">
        <v>123</v>
      </c>
      <c r="BJ85" s="863" t="str">
        <f>IFERROR(__xludf.DUMMYFUNCTION("IF(NOT($BL$4),"""",IF($CR85="""","""",IFERROR(query({GOOGLEFINANCE($CR85,""price"",IF($BI85=""-"",TODAY()-($AQ$5+5),$BI85),TODAY()-1)},""Select max(Col2) where Col1 is not null label max(Col2) ''"")*CU85,""-"")))"),"")</f>
        <v/>
      </c>
      <c r="BK85" s="881" t="s">
        <v>123</v>
      </c>
      <c r="BL85" s="882" t="s">
        <v>123</v>
      </c>
      <c r="BM85" s="442"/>
      <c r="BN85" s="867" t="str">
        <f>IFERROR(__xludf.DUMMYFUNCTION("IF(CR85="""","""",IF(OR(C85=""AÇÃO"",C85=""BDR""),IFERROR(QUERY({fundamentus.!$A$3:$U308},$CX$67&amp;"" where Col1='""&amp;CR85&amp;""' limit 1"",0)),IF(C85=""FII"",IFERROR(QUERY({fundsexplorer.!$A$2:$Z308},$CY$67&amp;"" where Col1='""&amp;CR85&amp;""' limit 1"",0)),"""")))"),"")</f>
        <v/>
      </c>
      <c r="BO85" s="867"/>
      <c r="BP85" s="867"/>
      <c r="BQ85" s="867"/>
      <c r="BR85" s="867"/>
      <c r="BS85" s="867"/>
      <c r="BT85" s="867"/>
      <c r="BU85" s="442"/>
      <c r="BV85" s="868" t="str">
        <f>IFERROR(__xludf.DUMMYFUNCTION("IF(OR(C85=""AÇÃO"",C85=""BDR""),IFERROR(GOOGLEFINANCE(CONCAT(""BVMF:"",CR85), ""marketcap"")/1000000,""NC""),"""")"),"")</f>
        <v/>
      </c>
      <c r="BW85" s="869" t="s">
        <v>123</v>
      </c>
      <c r="BX85" s="870" t="s">
        <v>123</v>
      </c>
      <c r="BY85" s="868" t="s">
        <v>123</v>
      </c>
      <c r="BZ85" s="870" t="s">
        <v>123</v>
      </c>
      <c r="CA85" s="868" t="s">
        <v>123</v>
      </c>
      <c r="CB85" s="868" t="s">
        <v>123</v>
      </c>
      <c r="CC85" s="868" t="s">
        <v>123</v>
      </c>
      <c r="CD85" s="868" t="str">
        <f>IFERROR(__xludf.DUMMYFUNCTION("IF(OR(C85=""AÇÃO"",C85=""BDR""),IFERROR(GOOGLEFINANCE(CONCAT(""BVMF:"",CR85), ""volumeavg"")/1000000,""NC""),"""")"),"")</f>
        <v/>
      </c>
      <c r="CE85" s="870" t="s">
        <v>123</v>
      </c>
      <c r="CF85" s="870" t="s">
        <v>123</v>
      </c>
      <c r="CG85" s="870" t="str">
        <f>IFERROR(__xludf.DUMMYFUNCTION("IF(OR(C85=""AÇÃO"",C85=""BDR""),IF(CF85=0,""SEM DY"",IFERROR(ImportXML(CONCAT(""http://www.guiainvest.com.br/raiox/default.aspx?sigla="",$CR85),""//*[@id='lbPayoutAtual']""),""NC"")),"""")"),"")</f>
        <v/>
      </c>
      <c r="CH85" s="870" t="s">
        <v>123</v>
      </c>
      <c r="CI85" s="545"/>
      <c r="CJ85" s="871" t="str">
        <f>IFERROR(__xludf.DUMMYFUNCTION("IF(OR(C85=""AÇÃO"",C85=""BDR""),IFERROR(GOOGLEFINANCE(CONCAT(""BVMF:"",CR85), ""eps""),""NC""),"""")"),"")</f>
        <v/>
      </c>
      <c r="CK85" s="442"/>
      <c r="CL85" s="871" t="str">
        <f>IFERROR(__xludf.DUMMYFUNCTION("IF(NOT($BL$4),"""",IF($CR85="""","""",IF($BC85="""","""",IFERROR(query({op.normal!$B$5:$F308},""select Col5, toDate(Col2) where Col1 =  '""&amp;$CR85&amp;""' and Col4 &gt; 0 and ((Col3 is null) or (Col3 = 'C')) and Col2 &gt;= date '""&amp;TEXT(TODAY()-$AQ$5,""yyyy-mm-dd"")"&amp;"&amp;""' order by Col2 desc limit 1 label toDate(Col2) ''"")))))"),"")</f>
        <v/>
      </c>
      <c r="CM85" s="872"/>
      <c r="CN85" s="883" t="s">
        <v>123</v>
      </c>
      <c r="CO85" s="874" t="s">
        <v>123</v>
      </c>
      <c r="CP85" s="766"/>
      <c r="CQ85" s="791"/>
      <c r="CR85" s="791"/>
      <c r="CT85" s="791" t="s">
        <v>123</v>
      </c>
      <c r="CU85" s="791" t="str">
        <f>IFERROR(__xludf.DUMMYFUNCTION("IF(CR85="""","""",IF(CT85=$C$4,1,GOOGLEFINANCE(CT85&amp;$C$4)))"),"")</f>
        <v/>
      </c>
    </row>
    <row r="86" ht="22.5" customHeight="1">
      <c r="A86" s="837">
        <v>78.0</v>
      </c>
      <c r="B86" s="838" t="s">
        <v>123</v>
      </c>
      <c r="C86" s="838" t="s">
        <v>123</v>
      </c>
      <c r="D86" s="839" t="s">
        <v>123</v>
      </c>
      <c r="E86" s="839" t="s">
        <v>123</v>
      </c>
      <c r="F86" s="839" t="s">
        <v>123</v>
      </c>
      <c r="G86" s="56"/>
      <c r="H86" s="884"/>
      <c r="I86" s="838"/>
      <c r="J86" s="838"/>
      <c r="K86" s="838"/>
      <c r="L86" s="838"/>
      <c r="M86" s="838"/>
      <c r="N86" s="838"/>
      <c r="O86" s="838"/>
      <c r="P86" s="838"/>
      <c r="Q86" s="838"/>
      <c r="R86" s="838"/>
      <c r="S86" s="838"/>
      <c r="T86" s="838"/>
      <c r="U86" s="838"/>
      <c r="V86" s="838"/>
      <c r="W86" s="838"/>
      <c r="X86" s="838"/>
      <c r="Z86" s="875" t="str">
        <f>IFERROR(__xludf.DUMMYFUNCTION("IF($CR86="""","""",IFERROR(query({CarteirasAtivos},""select Col4 where Col4 is not null and Col1 = '""&amp;$CR86&amp;""' limit 1"")*CU86,""NC""))"),"")</f>
        <v/>
      </c>
      <c r="AA86" s="876" t="str">
        <f>IFERROR(__xludf.DUMMYFUNCTION("IF($CR86="""","""",IFERROR(query({CarteirasAtivos},""select Col6 where Col4 is not null and Col1 = '""&amp;$CR86&amp;""' limit 1""),""NC""))"),"")</f>
        <v/>
      </c>
      <c r="AB86" s="877"/>
      <c r="AC86" s="878" t="s">
        <v>123</v>
      </c>
      <c r="AD86" s="845" t="str">
        <f>IF($CR86="","",IFERROR(VLOOKUP($CR86,ativos.!$C$3:$R308,MATCH("cotacao",ativos.!$C$2:CY$2,0),FALSE)*$CU$5,"atualizar"))</f>
        <v/>
      </c>
      <c r="AE86" s="846" t="str">
        <f>IFERROR(__xludf.DUMMYFUNCTION("IF($CR86="""","""",IFERROR(AVERAGE(query({CarteirasAtivos;CarteirasAtivosEncerrados},""select Col5 where Col5 is not null and Col1 = '""&amp;$CR86&amp;""' and Col10='SIM'""))*CU86,""NC""))"),"")</f>
        <v/>
      </c>
      <c r="AF86" s="847" t="str">
        <f t="shared" si="1"/>
        <v/>
      </c>
      <c r="AG86" s="442"/>
      <c r="AH86" s="848" t="str">
        <f>IFERROR(__xludf.DUMMYFUNCTION("IF($CR86="""","""",IFERROR(GOOGLEFINANCE($CR86,""low52"")*CU86,""-""))"),"")</f>
        <v/>
      </c>
      <c r="AI86" s="848" t="str">
        <f>IFERROR(__xludf.DUMMYFUNCTION("IF($CR86="""","""",IFERROR(GOOGLEFINANCE($CR86,""high52"")*CU86,""-""))"),"")</f>
        <v/>
      </c>
      <c r="AJ86" s="849" t="s">
        <v>123</v>
      </c>
      <c r="AK86" s="850" t="str">
        <f>IFERROR(__xludf.DUMMYFUNCTION("IF($CR86="""","""",IFERROR(GOOGLEFINANCE($CR86,""changepct"")/100,""-""))"),"")</f>
        <v/>
      </c>
      <c r="AL86" s="851" t="str">
        <f>IFERROR(__xludf.DUMMYFUNCTION("IF($CR86="""","""",IFERROR(($AD86/(QUERY(GOOGLEFINANCE($CR86,""price"",TODAY()-7),""SELECT Col2 label Col2 ''"")*$CU86)-1),""-""))"),"")</f>
        <v/>
      </c>
      <c r="AM86" s="851" t="str">
        <f>IFERROR(__xludf.DUMMYFUNCTION("IF($CR86="""","""",IFERROR(($AD86/(QUERY(GOOGLEFINANCE($CR86,""price"",TODAY()-14),""SELECT Col2 label Col2 ''"")*$CU86)-1),""-""))"),"")</f>
        <v/>
      </c>
      <c r="AN86" s="851" t="str">
        <f>IFERROR(__xludf.DUMMYFUNCTION("IF($CR86="""","""",IFERROR(($AD86/(QUERY(GOOGLEFINANCE($CR86,""price"",TODAY()-28),""SELECT Col2 label Col2 ''"")*$CU86)-1),""-""))"),"")</f>
        <v/>
      </c>
      <c r="AO86" s="851" t="str">
        <f>IFERROR(__xludf.DUMMYFUNCTION("IF($CR86="""","""",IFERROR(($AD86/(QUERY(GOOGLEFINANCE($CR86,""price"",TODAY()-$AQ$5),""SELECT Col2 label Col2 ''"")*$CU86)-1),""-""))"),"")</f>
        <v/>
      </c>
      <c r="AP86" s="852" t="str">
        <f>IFERROR(__xludf.DUMMYFUNCTION("IF($CR86="""","""",IFERROR(SPARKLINE(query(GOOGLEFINANCE($CR86,""price"",TODAY()-$AQ$5,TODAY(),1),""select Col2 label Col2 ''""),IF($AP$7=""Gráfico de barras"",{""charttype"",""column"";""highcolor"",""red""},{""chartype"",""line""}))))"),"")</f>
        <v/>
      </c>
      <c r="AQ86" s="144"/>
      <c r="AR86" s="853"/>
      <c r="AS86" s="854" t="str">
        <f>IF($CR86="","",IF(NOT('alocação'!$D$1),"off",IFERROR(VLOOKUP(CR86,BalanceAtivos,3,0),"NC")))</f>
        <v/>
      </c>
      <c r="AT86" s="855" t="str">
        <f>IF($CR86="","",IF(NOT('alocação'!$D$1),"off",IFERROR(VLOOKUP($CR86,BalanceAtivos,4,0)*$CU$5,"NC")))</f>
        <v/>
      </c>
      <c r="AU86" s="856" t="str">
        <f>IF($CR86="","",IF(NOT('alocação'!$D$1),"off",IFERROR(VLOOKUP($CR86,BalanceAtivos,5,0),"-")))</f>
        <v/>
      </c>
      <c r="AV86" s="856" t="str">
        <f>IF($CR86="","",IF(NOT('alocação'!$D$1),"off",IFERROR(VLOOKUP($CR86,BalanceAtivos,6,0),"-")))</f>
        <v/>
      </c>
      <c r="AW86" s="857"/>
      <c r="AX86" s="858" t="str">
        <f>IF($CR86="","",IF($E86="","SP",IFERROR(VLOOKUP($CR86,AtivosDados,MATCH("pm_atual",portfolio.!$A$3:CY$3,0),0)*$CU$5,0)))</f>
        <v/>
      </c>
      <c r="AY86" s="859" t="str">
        <f t="shared" si="2"/>
        <v/>
      </c>
      <c r="AZ86" s="858" t="str">
        <f>IF($CR86="","",IF($E86="","SP",SUMIF(portfolio.!$A$4:$A308,$CR86,portfolio.!$O$4:$O308)*$CU$5))</f>
        <v/>
      </c>
      <c r="BA86" s="858" t="str">
        <f>IF($CR86="","",IF($E86="","SP",SUMIF(portfolio.!$A$4:$A308,$CR86,portfolio.!$AN$4:$AN308)*$CU$5))</f>
        <v/>
      </c>
      <c r="BB86" s="860" t="str">
        <f>IF($CR86="","",IF($E86="","-",IFERROR($BA86/'portfólio'!$DG$63,"")))</f>
        <v/>
      </c>
      <c r="BC86" s="861" t="str">
        <f>IF($CR86="","",IF($E86="","-",SUMIF(portfolio.!$A$4:$A308,$CR86,portfolio.!$J$4:$J308)))</f>
        <v/>
      </c>
      <c r="BD86" s="862" t="str">
        <f>IF($CR86="","",IF($E86="","SP",SUMIF(portfolio.!$A$4:$A308,$CR86,portfolio.!$AQ$4:$AQ308)*$CU$5))</f>
        <v/>
      </c>
      <c r="BE86" s="850" t="str">
        <f t="shared" si="3"/>
        <v/>
      </c>
      <c r="BF86" s="862" t="str">
        <f>IF($CR86="","",IF($E86="","-",SUMIF(portfolio.!$A$4:$A308,$CR86,portfolio.!$AX$4:$AX308)*$CU$5))</f>
        <v/>
      </c>
      <c r="BG86" s="545"/>
      <c r="BH86" s="879" t="s">
        <v>123</v>
      </c>
      <c r="BI86" s="880" t="s">
        <v>123</v>
      </c>
      <c r="BJ86" s="863" t="str">
        <f>IFERROR(__xludf.DUMMYFUNCTION("IF(NOT($BL$4),"""",IF($CR86="""","""",IFERROR(query({GOOGLEFINANCE($CR86,""price"",IF($BI86=""-"",TODAY()-($AQ$5+5),$BI86),TODAY()-1)},""Select max(Col2) where Col1 is not null label max(Col2) ''"")*CU86,""-"")))"),"")</f>
        <v/>
      </c>
      <c r="BK86" s="881" t="s">
        <v>123</v>
      </c>
      <c r="BL86" s="882" t="s">
        <v>123</v>
      </c>
      <c r="BM86" s="442"/>
      <c r="BN86" s="867" t="str">
        <f>IFERROR(__xludf.DUMMYFUNCTION("IF(CR86="""","""",IF(OR(C86=""AÇÃO"",C86=""BDR""),IFERROR(QUERY({fundamentus.!$A$3:$U308},$CX$67&amp;"" where Col1='""&amp;CR86&amp;""' limit 1"",0)),IF(C86=""FII"",IFERROR(QUERY({fundsexplorer.!$A$2:$Z308},$CY$67&amp;"" where Col1='""&amp;CR86&amp;""' limit 1"",0)),"""")))"),"")</f>
        <v/>
      </c>
      <c r="BO86" s="867"/>
      <c r="BP86" s="867"/>
      <c r="BQ86" s="867"/>
      <c r="BR86" s="867"/>
      <c r="BS86" s="867"/>
      <c r="BT86" s="867"/>
      <c r="BU86" s="442"/>
      <c r="BV86" s="868" t="str">
        <f>IFERROR(__xludf.DUMMYFUNCTION("IF(OR(C86=""AÇÃO"",C86=""BDR""),IFERROR(GOOGLEFINANCE(CONCAT(""BVMF:"",CR86), ""marketcap"")/1000000,""NC""),"""")"),"")</f>
        <v/>
      </c>
      <c r="BW86" s="869" t="s">
        <v>123</v>
      </c>
      <c r="BX86" s="870" t="s">
        <v>123</v>
      </c>
      <c r="BY86" s="868" t="s">
        <v>123</v>
      </c>
      <c r="BZ86" s="870" t="s">
        <v>123</v>
      </c>
      <c r="CA86" s="868" t="s">
        <v>123</v>
      </c>
      <c r="CB86" s="868" t="s">
        <v>123</v>
      </c>
      <c r="CC86" s="868" t="s">
        <v>123</v>
      </c>
      <c r="CD86" s="868" t="str">
        <f>IFERROR(__xludf.DUMMYFUNCTION("IF(OR(C86=""AÇÃO"",C86=""BDR""),IFERROR(GOOGLEFINANCE(CONCAT(""BVMF:"",CR86), ""volumeavg"")/1000000,""NC""),"""")"),"")</f>
        <v/>
      </c>
      <c r="CE86" s="870" t="s">
        <v>123</v>
      </c>
      <c r="CF86" s="870" t="s">
        <v>123</v>
      </c>
      <c r="CG86" s="870" t="str">
        <f>IFERROR(__xludf.DUMMYFUNCTION("IF(OR(C86=""AÇÃO"",C86=""BDR""),IF(CF86=0,""SEM DY"",IFERROR(ImportXML(CONCAT(""http://www.guiainvest.com.br/raiox/default.aspx?sigla="",$CR86),""//*[@id='lbPayoutAtual']""),""NC"")),"""")"),"")</f>
        <v/>
      </c>
      <c r="CH86" s="870" t="s">
        <v>123</v>
      </c>
      <c r="CI86" s="545"/>
      <c r="CJ86" s="871" t="str">
        <f>IFERROR(__xludf.DUMMYFUNCTION("IF(OR(C86=""AÇÃO"",C86=""BDR""),IFERROR(GOOGLEFINANCE(CONCAT(""BVMF:"",CR86), ""eps""),""NC""),"""")"),"")</f>
        <v/>
      </c>
      <c r="CK86" s="442"/>
      <c r="CL86" s="871" t="str">
        <f>IFERROR(__xludf.DUMMYFUNCTION("IF(NOT($BL$4),"""",IF($CR86="""","""",IF($BC86="""","""",IFERROR(query({op.normal!$B$5:$F308},""select Col5, toDate(Col2) where Col1 =  '""&amp;$CR86&amp;""' and Col4 &gt; 0 and ((Col3 is null) or (Col3 = 'C')) and Col2 &gt;= date '""&amp;TEXT(TODAY()-$AQ$5,""yyyy-mm-dd"")"&amp;"&amp;""' order by Col2 desc limit 1 label toDate(Col2) ''"")))))"),"")</f>
        <v/>
      </c>
      <c r="CM86" s="872"/>
      <c r="CN86" s="883" t="s">
        <v>123</v>
      </c>
      <c r="CO86" s="874" t="s">
        <v>123</v>
      </c>
      <c r="CP86" s="766"/>
      <c r="CQ86" s="791"/>
      <c r="CR86" s="791"/>
      <c r="CT86" s="791" t="s">
        <v>123</v>
      </c>
      <c r="CU86" s="791" t="str">
        <f>IFERROR(__xludf.DUMMYFUNCTION("IF(CR86="""","""",IF(CT86=$C$4,1,GOOGLEFINANCE(CT86&amp;$C$4)))"),"")</f>
        <v/>
      </c>
    </row>
    <row r="87" ht="22.5" customHeight="1">
      <c r="A87" s="837">
        <v>79.0</v>
      </c>
      <c r="B87" s="838" t="s">
        <v>123</v>
      </c>
      <c r="C87" s="838" t="s">
        <v>123</v>
      </c>
      <c r="D87" s="839" t="s">
        <v>123</v>
      </c>
      <c r="E87" s="839" t="s">
        <v>123</v>
      </c>
      <c r="F87" s="839" t="s">
        <v>123</v>
      </c>
      <c r="G87" s="56"/>
      <c r="H87" s="884"/>
      <c r="I87" s="838"/>
      <c r="J87" s="838"/>
      <c r="K87" s="838"/>
      <c r="L87" s="838"/>
      <c r="M87" s="838"/>
      <c r="N87" s="838"/>
      <c r="O87" s="838"/>
      <c r="P87" s="838"/>
      <c r="Q87" s="838"/>
      <c r="R87" s="838"/>
      <c r="S87" s="838"/>
      <c r="T87" s="838"/>
      <c r="U87" s="838"/>
      <c r="V87" s="838"/>
      <c r="W87" s="838"/>
      <c r="X87" s="838"/>
      <c r="Z87" s="875" t="str">
        <f>IFERROR(__xludf.DUMMYFUNCTION("IF($CR87="""","""",IFERROR(query({CarteirasAtivos},""select Col4 where Col4 is not null and Col1 = '""&amp;$CR87&amp;""' limit 1"")*CU87,""NC""))"),"")</f>
        <v/>
      </c>
      <c r="AA87" s="876" t="str">
        <f>IFERROR(__xludf.DUMMYFUNCTION("IF($CR87="""","""",IFERROR(query({CarteirasAtivos},""select Col6 where Col4 is not null and Col1 = '""&amp;$CR87&amp;""' limit 1""),""NC""))"),"")</f>
        <v/>
      </c>
      <c r="AB87" s="877"/>
      <c r="AC87" s="878" t="s">
        <v>123</v>
      </c>
      <c r="AD87" s="845" t="str">
        <f>IF($CR87="","",IFERROR(VLOOKUP($CR87,ativos.!$C$3:$R308,MATCH("cotacao",ativos.!$C$2:CY$2,0),FALSE)*$CU$5,"atualizar"))</f>
        <v/>
      </c>
      <c r="AE87" s="846" t="str">
        <f>IFERROR(__xludf.DUMMYFUNCTION("IF($CR87="""","""",IFERROR(AVERAGE(query({CarteirasAtivos;CarteirasAtivosEncerrados},""select Col5 where Col5 is not null and Col1 = '""&amp;$CR87&amp;""' and Col10='SIM'""))*CU87,""NC""))"),"")</f>
        <v/>
      </c>
      <c r="AF87" s="847" t="str">
        <f t="shared" si="1"/>
        <v/>
      </c>
      <c r="AG87" s="442"/>
      <c r="AH87" s="848" t="str">
        <f>IFERROR(__xludf.DUMMYFUNCTION("IF($CR87="""","""",IFERROR(GOOGLEFINANCE($CR87,""low52"")*CU87,""-""))"),"")</f>
        <v/>
      </c>
      <c r="AI87" s="848" t="str">
        <f>IFERROR(__xludf.DUMMYFUNCTION("IF($CR87="""","""",IFERROR(GOOGLEFINANCE($CR87,""high52"")*CU87,""-""))"),"")</f>
        <v/>
      </c>
      <c r="AJ87" s="849" t="s">
        <v>123</v>
      </c>
      <c r="AK87" s="850" t="str">
        <f>IFERROR(__xludf.DUMMYFUNCTION("IF($CR87="""","""",IFERROR(GOOGLEFINANCE($CR87,""changepct"")/100,""-""))"),"")</f>
        <v/>
      </c>
      <c r="AL87" s="851" t="str">
        <f>IFERROR(__xludf.DUMMYFUNCTION("IF($CR87="""","""",IFERROR(($AD87/(QUERY(GOOGLEFINANCE($CR87,""price"",TODAY()-7),""SELECT Col2 label Col2 ''"")*$CU87)-1),""-""))"),"")</f>
        <v/>
      </c>
      <c r="AM87" s="851" t="str">
        <f>IFERROR(__xludf.DUMMYFUNCTION("IF($CR87="""","""",IFERROR(($AD87/(QUERY(GOOGLEFINANCE($CR87,""price"",TODAY()-14),""SELECT Col2 label Col2 ''"")*$CU87)-1),""-""))"),"")</f>
        <v/>
      </c>
      <c r="AN87" s="851" t="str">
        <f>IFERROR(__xludf.DUMMYFUNCTION("IF($CR87="""","""",IFERROR(($AD87/(QUERY(GOOGLEFINANCE($CR87,""price"",TODAY()-28),""SELECT Col2 label Col2 ''"")*$CU87)-1),""-""))"),"")</f>
        <v/>
      </c>
      <c r="AO87" s="851" t="str">
        <f>IFERROR(__xludf.DUMMYFUNCTION("IF($CR87="""","""",IFERROR(($AD87/(QUERY(GOOGLEFINANCE($CR87,""price"",TODAY()-$AQ$5),""SELECT Col2 label Col2 ''"")*$CU87)-1),""-""))"),"")</f>
        <v/>
      </c>
      <c r="AP87" s="852" t="str">
        <f>IFERROR(__xludf.DUMMYFUNCTION("IF($CR87="""","""",IFERROR(SPARKLINE(query(GOOGLEFINANCE($CR87,""price"",TODAY()-$AQ$5,TODAY(),1),""select Col2 label Col2 ''""),IF($AP$7=""Gráfico de barras"",{""charttype"",""column"";""highcolor"",""red""},{""chartype"",""line""}))))"),"")</f>
        <v/>
      </c>
      <c r="AQ87" s="144"/>
      <c r="AR87" s="853"/>
      <c r="AS87" s="854" t="str">
        <f>IF($CR87="","",IF(NOT('alocação'!$D$1),"off",IFERROR(VLOOKUP(CR87,BalanceAtivos,3,0),"NC")))</f>
        <v/>
      </c>
      <c r="AT87" s="855" t="str">
        <f>IF($CR87="","",IF(NOT('alocação'!$D$1),"off",IFERROR(VLOOKUP($CR87,BalanceAtivos,4,0)*$CU$5,"NC")))</f>
        <v/>
      </c>
      <c r="AU87" s="856" t="str">
        <f>IF($CR87="","",IF(NOT('alocação'!$D$1),"off",IFERROR(VLOOKUP($CR87,BalanceAtivos,5,0),"-")))</f>
        <v/>
      </c>
      <c r="AV87" s="856" t="str">
        <f>IF($CR87="","",IF(NOT('alocação'!$D$1),"off",IFERROR(VLOOKUP($CR87,BalanceAtivos,6,0),"-")))</f>
        <v/>
      </c>
      <c r="AW87" s="857"/>
      <c r="AX87" s="858" t="str">
        <f>IF($CR87="","",IF($E87="","SP",IFERROR(VLOOKUP($CR87,AtivosDados,MATCH("pm_atual",portfolio.!$A$3:CY$3,0),0)*$CU$5,0)))</f>
        <v/>
      </c>
      <c r="AY87" s="859" t="str">
        <f t="shared" si="2"/>
        <v/>
      </c>
      <c r="AZ87" s="858" t="str">
        <f>IF($CR87="","",IF($E87="","SP",SUMIF(portfolio.!$A$4:$A308,$CR87,portfolio.!$O$4:$O308)*$CU$5))</f>
        <v/>
      </c>
      <c r="BA87" s="858" t="str">
        <f>IF($CR87="","",IF($E87="","SP",SUMIF(portfolio.!$A$4:$A308,$CR87,portfolio.!$AN$4:$AN308)*$CU$5))</f>
        <v/>
      </c>
      <c r="BB87" s="860" t="str">
        <f>IF($CR87="","",IF($E87="","-",IFERROR($BA87/'portfólio'!$DG$63,"")))</f>
        <v/>
      </c>
      <c r="BC87" s="861" t="str">
        <f>IF($CR87="","",IF($E87="","-",SUMIF(portfolio.!$A$4:$A308,$CR87,portfolio.!$J$4:$J308)))</f>
        <v/>
      </c>
      <c r="BD87" s="862" t="str">
        <f>IF($CR87="","",IF($E87="","SP",SUMIF(portfolio.!$A$4:$A308,$CR87,portfolio.!$AQ$4:$AQ308)*$CU$5))</f>
        <v/>
      </c>
      <c r="BE87" s="850" t="str">
        <f t="shared" si="3"/>
        <v/>
      </c>
      <c r="BF87" s="862" t="str">
        <f>IF($CR87="","",IF($E87="","-",SUMIF(portfolio.!$A$4:$A308,$CR87,portfolio.!$AX$4:$AX308)*$CU$5))</f>
        <v/>
      </c>
      <c r="BG87" s="545"/>
      <c r="BH87" s="879" t="s">
        <v>123</v>
      </c>
      <c r="BI87" s="880" t="s">
        <v>123</v>
      </c>
      <c r="BJ87" s="863" t="str">
        <f>IFERROR(__xludf.DUMMYFUNCTION("IF(NOT($BL$4),"""",IF($CR87="""","""",IFERROR(query({GOOGLEFINANCE($CR87,""price"",IF($BI87=""-"",TODAY()-($AQ$5+5),$BI87),TODAY()-1)},""Select max(Col2) where Col1 is not null label max(Col2) ''"")*CU87,""-"")))"),"")</f>
        <v/>
      </c>
      <c r="BK87" s="881" t="s">
        <v>123</v>
      </c>
      <c r="BL87" s="882" t="s">
        <v>123</v>
      </c>
      <c r="BM87" s="442"/>
      <c r="BN87" s="867" t="str">
        <f>IFERROR(__xludf.DUMMYFUNCTION("IF(CR87="""","""",IF(OR(C87=""AÇÃO"",C87=""BDR""),IFERROR(QUERY({fundamentus.!$A$3:$U308},$CX$67&amp;"" where Col1='""&amp;CR87&amp;""' limit 1"",0)),IF(C87=""FII"",IFERROR(QUERY({fundsexplorer.!$A$2:$Z308},$CY$67&amp;"" where Col1='""&amp;CR87&amp;""' limit 1"",0)),"""")))"),"")</f>
        <v/>
      </c>
      <c r="BO87" s="867"/>
      <c r="BP87" s="867"/>
      <c r="BQ87" s="867"/>
      <c r="BR87" s="867"/>
      <c r="BS87" s="867"/>
      <c r="BT87" s="867"/>
      <c r="BU87" s="442"/>
      <c r="BV87" s="868" t="str">
        <f>IFERROR(__xludf.DUMMYFUNCTION("IF(OR(C87=""AÇÃO"",C87=""BDR""),IFERROR(GOOGLEFINANCE(CONCAT(""BVMF:"",CR87), ""marketcap"")/1000000,""NC""),"""")"),"")</f>
        <v/>
      </c>
      <c r="BW87" s="869" t="s">
        <v>123</v>
      </c>
      <c r="BX87" s="870" t="s">
        <v>123</v>
      </c>
      <c r="BY87" s="868" t="s">
        <v>123</v>
      </c>
      <c r="BZ87" s="870" t="s">
        <v>123</v>
      </c>
      <c r="CA87" s="868" t="s">
        <v>123</v>
      </c>
      <c r="CB87" s="868" t="s">
        <v>123</v>
      </c>
      <c r="CC87" s="868" t="s">
        <v>123</v>
      </c>
      <c r="CD87" s="868" t="str">
        <f>IFERROR(__xludf.DUMMYFUNCTION("IF(OR(C87=""AÇÃO"",C87=""BDR""),IFERROR(GOOGLEFINANCE(CONCAT(""BVMF:"",CR87), ""volumeavg"")/1000000,""NC""),"""")"),"")</f>
        <v/>
      </c>
      <c r="CE87" s="870" t="s">
        <v>123</v>
      </c>
      <c r="CF87" s="870" t="s">
        <v>123</v>
      </c>
      <c r="CG87" s="870" t="str">
        <f>IFERROR(__xludf.DUMMYFUNCTION("IF(OR(C87=""AÇÃO"",C87=""BDR""),IF(CF87=0,""SEM DY"",IFERROR(ImportXML(CONCAT(""http://www.guiainvest.com.br/raiox/default.aspx?sigla="",$CR87),""//*[@id='lbPayoutAtual']""),""NC"")),"""")"),"")</f>
        <v/>
      </c>
      <c r="CH87" s="870" t="s">
        <v>123</v>
      </c>
      <c r="CI87" s="545"/>
      <c r="CJ87" s="871" t="str">
        <f>IFERROR(__xludf.DUMMYFUNCTION("IF(OR(C87=""AÇÃO"",C87=""BDR""),IFERROR(GOOGLEFINANCE(CONCAT(""BVMF:"",CR87), ""eps""),""NC""),"""")"),"")</f>
        <v/>
      </c>
      <c r="CK87" s="442"/>
      <c r="CL87" s="871" t="str">
        <f>IFERROR(__xludf.DUMMYFUNCTION("IF(NOT($BL$4),"""",IF($CR87="""","""",IF($BC87="""","""",IFERROR(query({op.normal!$B$5:$F308},""select Col5, toDate(Col2) where Col1 =  '""&amp;$CR87&amp;""' and Col4 &gt; 0 and ((Col3 is null) or (Col3 = 'C')) and Col2 &gt;= date '""&amp;TEXT(TODAY()-$AQ$5,""yyyy-mm-dd"")"&amp;"&amp;""' order by Col2 desc limit 1 label toDate(Col2) ''"")))))"),"")</f>
        <v/>
      </c>
      <c r="CM87" s="872"/>
      <c r="CN87" s="883" t="s">
        <v>123</v>
      </c>
      <c r="CO87" s="874" t="s">
        <v>123</v>
      </c>
      <c r="CP87" s="766"/>
      <c r="CQ87" s="791"/>
      <c r="CR87" s="791"/>
      <c r="CT87" s="791" t="s">
        <v>123</v>
      </c>
      <c r="CU87" s="791" t="str">
        <f>IFERROR(__xludf.DUMMYFUNCTION("IF(CR87="""","""",IF(CT87=$C$4,1,GOOGLEFINANCE(CT87&amp;$C$4)))"),"")</f>
        <v/>
      </c>
    </row>
    <row r="88" ht="22.5" customHeight="1">
      <c r="A88" s="837">
        <v>80.0</v>
      </c>
      <c r="B88" s="838" t="s">
        <v>123</v>
      </c>
      <c r="C88" s="838" t="s">
        <v>123</v>
      </c>
      <c r="D88" s="839" t="s">
        <v>123</v>
      </c>
      <c r="E88" s="839" t="s">
        <v>123</v>
      </c>
      <c r="F88" s="839" t="s">
        <v>123</v>
      </c>
      <c r="G88" s="56"/>
      <c r="H88" s="884"/>
      <c r="I88" s="838"/>
      <c r="J88" s="838"/>
      <c r="K88" s="838"/>
      <c r="L88" s="838"/>
      <c r="M88" s="838"/>
      <c r="N88" s="838"/>
      <c r="O88" s="838"/>
      <c r="P88" s="838"/>
      <c r="Q88" s="838"/>
      <c r="R88" s="838"/>
      <c r="S88" s="838"/>
      <c r="T88" s="838"/>
      <c r="U88" s="838"/>
      <c r="V88" s="838"/>
      <c r="W88" s="838"/>
      <c r="X88" s="838"/>
      <c r="Z88" s="875" t="str">
        <f>IFERROR(__xludf.DUMMYFUNCTION("IF($CR88="""","""",IFERROR(query({CarteirasAtivos},""select Col4 where Col4 is not null and Col1 = '""&amp;$CR88&amp;""' limit 1"")*CU88,""NC""))"),"")</f>
        <v/>
      </c>
      <c r="AA88" s="876" t="str">
        <f>IFERROR(__xludf.DUMMYFUNCTION("IF($CR88="""","""",IFERROR(query({CarteirasAtivos},""select Col6 where Col4 is not null and Col1 = '""&amp;$CR88&amp;""' limit 1""),""NC""))"),"")</f>
        <v/>
      </c>
      <c r="AB88" s="877"/>
      <c r="AC88" s="878" t="s">
        <v>123</v>
      </c>
      <c r="AD88" s="845" t="str">
        <f>IF($CR88="","",IFERROR(VLOOKUP($CR88,ativos.!$C$3:$R308,MATCH("cotacao",ativos.!$C$2:CY$2,0),FALSE)*$CU$5,"atualizar"))</f>
        <v/>
      </c>
      <c r="AE88" s="846" t="str">
        <f>IFERROR(__xludf.DUMMYFUNCTION("IF($CR88="""","""",IFERROR(AVERAGE(query({CarteirasAtivos;CarteirasAtivosEncerrados},""select Col5 where Col5 is not null and Col1 = '""&amp;$CR88&amp;""' and Col10='SIM'""))*CU88,""NC""))"),"")</f>
        <v/>
      </c>
      <c r="AF88" s="847" t="str">
        <f t="shared" si="1"/>
        <v/>
      </c>
      <c r="AG88" s="442"/>
      <c r="AH88" s="848" t="str">
        <f>IFERROR(__xludf.DUMMYFUNCTION("IF($CR88="""","""",IFERROR(GOOGLEFINANCE($CR88,""low52"")*CU88,""-""))"),"")</f>
        <v/>
      </c>
      <c r="AI88" s="848" t="str">
        <f>IFERROR(__xludf.DUMMYFUNCTION("IF($CR88="""","""",IFERROR(GOOGLEFINANCE($CR88,""high52"")*CU88,""-""))"),"")</f>
        <v/>
      </c>
      <c r="AJ88" s="849" t="s">
        <v>123</v>
      </c>
      <c r="AK88" s="850" t="str">
        <f>IFERROR(__xludf.DUMMYFUNCTION("IF($CR88="""","""",IFERROR(GOOGLEFINANCE($CR88,""changepct"")/100,""-""))"),"")</f>
        <v/>
      </c>
      <c r="AL88" s="851" t="str">
        <f>IFERROR(__xludf.DUMMYFUNCTION("IF($CR88="""","""",IFERROR(($AD88/(QUERY(GOOGLEFINANCE($CR88,""price"",TODAY()-7),""SELECT Col2 label Col2 ''"")*$CU88)-1),""-""))"),"")</f>
        <v/>
      </c>
      <c r="AM88" s="851" t="str">
        <f>IFERROR(__xludf.DUMMYFUNCTION("IF($CR88="""","""",IFERROR(($AD88/(QUERY(GOOGLEFINANCE($CR88,""price"",TODAY()-14),""SELECT Col2 label Col2 ''"")*$CU88)-1),""-""))"),"")</f>
        <v/>
      </c>
      <c r="AN88" s="851" t="str">
        <f>IFERROR(__xludf.DUMMYFUNCTION("IF($CR88="""","""",IFERROR(($AD88/(QUERY(GOOGLEFINANCE($CR88,""price"",TODAY()-28),""SELECT Col2 label Col2 ''"")*$CU88)-1),""-""))"),"")</f>
        <v/>
      </c>
      <c r="AO88" s="851" t="str">
        <f>IFERROR(__xludf.DUMMYFUNCTION("IF($CR88="""","""",IFERROR(($AD88/(QUERY(GOOGLEFINANCE($CR88,""price"",TODAY()-$AQ$5),""SELECT Col2 label Col2 ''"")*$CU88)-1),""-""))"),"")</f>
        <v/>
      </c>
      <c r="AP88" s="852" t="str">
        <f>IFERROR(__xludf.DUMMYFUNCTION("IF($CR88="""","""",IFERROR(SPARKLINE(query(GOOGLEFINANCE($CR88,""price"",TODAY()-$AQ$5,TODAY(),1),""select Col2 label Col2 ''""),IF($AP$7=""Gráfico de barras"",{""charttype"",""column"";""highcolor"",""red""},{""chartype"",""line""}))))"),"")</f>
        <v/>
      </c>
      <c r="AQ88" s="144"/>
      <c r="AR88" s="853"/>
      <c r="AS88" s="854" t="str">
        <f>IF($CR88="","",IF(NOT('alocação'!$D$1),"off",IFERROR(VLOOKUP(CR88,BalanceAtivos,3,0),"NC")))</f>
        <v/>
      </c>
      <c r="AT88" s="855" t="str">
        <f>IF($CR88="","",IF(NOT('alocação'!$D$1),"off",IFERROR(VLOOKUP($CR88,BalanceAtivos,4,0)*$CU$5,"NC")))</f>
        <v/>
      </c>
      <c r="AU88" s="856" t="str">
        <f>IF($CR88="","",IF(NOT('alocação'!$D$1),"off",IFERROR(VLOOKUP($CR88,BalanceAtivos,5,0),"-")))</f>
        <v/>
      </c>
      <c r="AV88" s="856" t="str">
        <f>IF($CR88="","",IF(NOT('alocação'!$D$1),"off",IFERROR(VLOOKUP($CR88,BalanceAtivos,6,0),"-")))</f>
        <v/>
      </c>
      <c r="AW88" s="857"/>
      <c r="AX88" s="858" t="str">
        <f>IF($CR88="","",IF($E88="","SP",IFERROR(VLOOKUP($CR88,AtivosDados,MATCH("pm_atual",portfolio.!$A$3:CY$3,0),0)*$CU$5,0)))</f>
        <v/>
      </c>
      <c r="AY88" s="859" t="str">
        <f t="shared" si="2"/>
        <v/>
      </c>
      <c r="AZ88" s="858" t="str">
        <f>IF($CR88="","",IF($E88="","SP",SUMIF(portfolio.!$A$4:$A308,$CR88,portfolio.!$O$4:$O308)*$CU$5))</f>
        <v/>
      </c>
      <c r="BA88" s="858" t="str">
        <f>IF($CR88="","",IF($E88="","SP",SUMIF(portfolio.!$A$4:$A308,$CR88,portfolio.!$AN$4:$AN308)*$CU$5))</f>
        <v/>
      </c>
      <c r="BB88" s="860" t="str">
        <f>IF($CR88="","",IF($E88="","-",IFERROR($BA88/'portfólio'!$DG$63,"")))</f>
        <v/>
      </c>
      <c r="BC88" s="861" t="str">
        <f>IF($CR88="","",IF($E88="","-",SUMIF(portfolio.!$A$4:$A308,$CR88,portfolio.!$J$4:$J308)))</f>
        <v/>
      </c>
      <c r="BD88" s="862" t="str">
        <f>IF($CR88="","",IF($E88="","SP",SUMIF(portfolio.!$A$4:$A308,$CR88,portfolio.!$AQ$4:$AQ308)*$CU$5))</f>
        <v/>
      </c>
      <c r="BE88" s="850" t="str">
        <f t="shared" si="3"/>
        <v/>
      </c>
      <c r="BF88" s="862" t="str">
        <f>IF($CR88="","",IF($E88="","-",SUMIF(portfolio.!$A$4:$A308,$CR88,portfolio.!$AX$4:$AX308)*$CU$5))</f>
        <v/>
      </c>
      <c r="BG88" s="545"/>
      <c r="BH88" s="879" t="s">
        <v>123</v>
      </c>
      <c r="BI88" s="880" t="s">
        <v>123</v>
      </c>
      <c r="BJ88" s="863" t="str">
        <f>IFERROR(__xludf.DUMMYFUNCTION("IF(NOT($BL$4),"""",IF($CR88="""","""",IFERROR(query({GOOGLEFINANCE($CR88,""price"",IF($BI88=""-"",TODAY()-($AQ$5+5),$BI88),TODAY()-1)},""Select max(Col2) where Col1 is not null label max(Col2) ''"")*CU88,""-"")))"),"")</f>
        <v/>
      </c>
      <c r="BK88" s="881" t="s">
        <v>123</v>
      </c>
      <c r="BL88" s="882" t="s">
        <v>123</v>
      </c>
      <c r="BM88" s="442"/>
      <c r="BN88" s="867" t="str">
        <f>IFERROR(__xludf.DUMMYFUNCTION("IF(CR88="""","""",IF(OR(C88=""AÇÃO"",C88=""BDR""),IFERROR(QUERY({fundamentus.!$A$3:$U308},$CX$67&amp;"" where Col1='""&amp;CR88&amp;""' limit 1"",0)),IF(C88=""FII"",IFERROR(QUERY({fundsexplorer.!$A$2:$Z308},$CY$67&amp;"" where Col1='""&amp;CR88&amp;""' limit 1"",0)),"""")))"),"")</f>
        <v/>
      </c>
      <c r="BO88" s="867"/>
      <c r="BP88" s="867"/>
      <c r="BQ88" s="867"/>
      <c r="BR88" s="867"/>
      <c r="BS88" s="867"/>
      <c r="BT88" s="867"/>
      <c r="BU88" s="442"/>
      <c r="BV88" s="868" t="str">
        <f>IFERROR(__xludf.DUMMYFUNCTION("IF(OR(C88=""AÇÃO"",C88=""BDR""),IFERROR(GOOGLEFINANCE(CONCAT(""BVMF:"",CR88), ""marketcap"")/1000000,""NC""),"""")"),"")</f>
        <v/>
      </c>
      <c r="BW88" s="869" t="s">
        <v>123</v>
      </c>
      <c r="BX88" s="870" t="s">
        <v>123</v>
      </c>
      <c r="BY88" s="868" t="s">
        <v>123</v>
      </c>
      <c r="BZ88" s="870" t="s">
        <v>123</v>
      </c>
      <c r="CA88" s="868" t="s">
        <v>123</v>
      </c>
      <c r="CB88" s="868" t="s">
        <v>123</v>
      </c>
      <c r="CC88" s="868" t="s">
        <v>123</v>
      </c>
      <c r="CD88" s="868" t="str">
        <f>IFERROR(__xludf.DUMMYFUNCTION("IF(OR(C88=""AÇÃO"",C88=""BDR""),IFERROR(GOOGLEFINANCE(CONCAT(""BVMF:"",CR88), ""volumeavg"")/1000000,""NC""),"""")"),"")</f>
        <v/>
      </c>
      <c r="CE88" s="870" t="s">
        <v>123</v>
      </c>
      <c r="CF88" s="870" t="s">
        <v>123</v>
      </c>
      <c r="CG88" s="870" t="str">
        <f>IFERROR(__xludf.DUMMYFUNCTION("IF(OR(C88=""AÇÃO"",C88=""BDR""),IF(CF88=0,""SEM DY"",IFERROR(ImportXML(CONCAT(""http://www.guiainvest.com.br/raiox/default.aspx?sigla="",$CR88),""//*[@id='lbPayoutAtual']""),""NC"")),"""")"),"")</f>
        <v/>
      </c>
      <c r="CH88" s="870" t="s">
        <v>123</v>
      </c>
      <c r="CI88" s="545"/>
      <c r="CJ88" s="871" t="str">
        <f>IFERROR(__xludf.DUMMYFUNCTION("IF(OR(C88=""AÇÃO"",C88=""BDR""),IFERROR(GOOGLEFINANCE(CONCAT(""BVMF:"",CR88), ""eps""),""NC""),"""")"),"")</f>
        <v/>
      </c>
      <c r="CK88" s="442"/>
      <c r="CL88" s="871" t="str">
        <f>IFERROR(__xludf.DUMMYFUNCTION("IF(NOT($BL$4),"""",IF($CR88="""","""",IF($BC88="""","""",IFERROR(query({op.normal!$B$5:$F308},""select Col5, toDate(Col2) where Col1 =  '""&amp;$CR88&amp;""' and Col4 &gt; 0 and ((Col3 is null) or (Col3 = 'C')) and Col2 &gt;= date '""&amp;TEXT(TODAY()-$AQ$5,""yyyy-mm-dd"")"&amp;"&amp;""' order by Col2 desc limit 1 label toDate(Col2) ''"")))))"),"")</f>
        <v/>
      </c>
      <c r="CM88" s="872"/>
      <c r="CN88" s="883" t="s">
        <v>123</v>
      </c>
      <c r="CO88" s="874" t="s">
        <v>123</v>
      </c>
      <c r="CP88" s="766"/>
      <c r="CQ88" s="791"/>
      <c r="CR88" s="791"/>
      <c r="CT88" s="791" t="s">
        <v>123</v>
      </c>
      <c r="CU88" s="791" t="str">
        <f>IFERROR(__xludf.DUMMYFUNCTION("IF(CR88="""","""",IF(CT88=$C$4,1,GOOGLEFINANCE(CT88&amp;$C$4)))"),"")</f>
        <v/>
      </c>
    </row>
    <row r="89" ht="22.5" customHeight="1">
      <c r="A89" s="837">
        <v>81.0</v>
      </c>
      <c r="B89" s="838" t="s">
        <v>123</v>
      </c>
      <c r="C89" s="838" t="s">
        <v>123</v>
      </c>
      <c r="D89" s="839" t="s">
        <v>123</v>
      </c>
      <c r="E89" s="839" t="s">
        <v>123</v>
      </c>
      <c r="F89" s="839" t="s">
        <v>123</v>
      </c>
      <c r="G89" s="56"/>
      <c r="H89" s="884"/>
      <c r="I89" s="838"/>
      <c r="J89" s="838"/>
      <c r="K89" s="838"/>
      <c r="L89" s="838"/>
      <c r="M89" s="838"/>
      <c r="N89" s="838"/>
      <c r="O89" s="838"/>
      <c r="P89" s="838"/>
      <c r="Q89" s="838"/>
      <c r="R89" s="838"/>
      <c r="S89" s="838"/>
      <c r="T89" s="838"/>
      <c r="U89" s="838"/>
      <c r="V89" s="838"/>
      <c r="W89" s="838"/>
      <c r="X89" s="838"/>
      <c r="Z89" s="875" t="str">
        <f>IFERROR(__xludf.DUMMYFUNCTION("IF($CR89="""","""",IFERROR(query({CarteirasAtivos},""select Col4 where Col4 is not null and Col1 = '""&amp;$CR89&amp;""' limit 1"")*CU89,""NC""))"),"")</f>
        <v/>
      </c>
      <c r="AA89" s="876" t="str">
        <f>IFERROR(__xludf.DUMMYFUNCTION("IF($CR89="""","""",IFERROR(query({CarteirasAtivos},""select Col6 where Col4 is not null and Col1 = '""&amp;$CR89&amp;""' limit 1""),""NC""))"),"")</f>
        <v/>
      </c>
      <c r="AB89" s="877"/>
      <c r="AC89" s="878" t="s">
        <v>123</v>
      </c>
      <c r="AD89" s="845" t="str">
        <f>IF($CR89="","",IFERROR(VLOOKUP($CR89,ativos.!$C$3:$R308,MATCH("cotacao",ativos.!$C$2:CY$2,0),FALSE)*$CU$5,"atualizar"))</f>
        <v/>
      </c>
      <c r="AE89" s="846" t="str">
        <f>IFERROR(__xludf.DUMMYFUNCTION("IF($CR89="""","""",IFERROR(AVERAGE(query({CarteirasAtivos;CarteirasAtivosEncerrados},""select Col5 where Col5 is not null and Col1 = '""&amp;$CR89&amp;""' and Col10='SIM'""))*CU89,""NC""))"),"")</f>
        <v/>
      </c>
      <c r="AF89" s="847" t="str">
        <f t="shared" si="1"/>
        <v/>
      </c>
      <c r="AG89" s="442"/>
      <c r="AH89" s="848" t="str">
        <f>IFERROR(__xludf.DUMMYFUNCTION("IF($CR89="""","""",IFERROR(GOOGLEFINANCE($CR89,""low52"")*CU89,""-""))"),"")</f>
        <v/>
      </c>
      <c r="AI89" s="848" t="str">
        <f>IFERROR(__xludf.DUMMYFUNCTION("IF($CR89="""","""",IFERROR(GOOGLEFINANCE($CR89,""high52"")*CU89,""-""))"),"")</f>
        <v/>
      </c>
      <c r="AJ89" s="849" t="s">
        <v>123</v>
      </c>
      <c r="AK89" s="850" t="str">
        <f>IFERROR(__xludf.DUMMYFUNCTION("IF($CR89="""","""",IFERROR(GOOGLEFINANCE($CR89,""changepct"")/100,""-""))"),"")</f>
        <v/>
      </c>
      <c r="AL89" s="851" t="str">
        <f>IFERROR(__xludf.DUMMYFUNCTION("IF($CR89="""","""",IFERROR(($AD89/(QUERY(GOOGLEFINANCE($CR89,""price"",TODAY()-7),""SELECT Col2 label Col2 ''"")*$CU89)-1),""-""))"),"")</f>
        <v/>
      </c>
      <c r="AM89" s="851" t="str">
        <f>IFERROR(__xludf.DUMMYFUNCTION("IF($CR89="""","""",IFERROR(($AD89/(QUERY(GOOGLEFINANCE($CR89,""price"",TODAY()-14),""SELECT Col2 label Col2 ''"")*$CU89)-1),""-""))"),"")</f>
        <v/>
      </c>
      <c r="AN89" s="851" t="str">
        <f>IFERROR(__xludf.DUMMYFUNCTION("IF($CR89="""","""",IFERROR(($AD89/(QUERY(GOOGLEFINANCE($CR89,""price"",TODAY()-28),""SELECT Col2 label Col2 ''"")*$CU89)-1),""-""))"),"")</f>
        <v/>
      </c>
      <c r="AO89" s="851" t="str">
        <f>IFERROR(__xludf.DUMMYFUNCTION("IF($CR89="""","""",IFERROR(($AD89/(QUERY(GOOGLEFINANCE($CR89,""price"",TODAY()-$AQ$5),""SELECT Col2 label Col2 ''"")*$CU89)-1),""-""))"),"")</f>
        <v/>
      </c>
      <c r="AP89" s="852" t="str">
        <f>IFERROR(__xludf.DUMMYFUNCTION("IF($CR89="""","""",IFERROR(SPARKLINE(query(GOOGLEFINANCE($CR89,""price"",TODAY()-$AQ$5,TODAY(),1),""select Col2 label Col2 ''""),IF($AP$7=""Gráfico de barras"",{""charttype"",""column"";""highcolor"",""red""},{""chartype"",""line""}))))"),"")</f>
        <v/>
      </c>
      <c r="AQ89" s="144"/>
      <c r="AR89" s="853"/>
      <c r="AS89" s="854" t="str">
        <f>IF($CR89="","",IF(NOT('alocação'!$D$1),"off",IFERROR(VLOOKUP(CR89,BalanceAtivos,3,0),"NC")))</f>
        <v/>
      </c>
      <c r="AT89" s="855" t="str">
        <f>IF($CR89="","",IF(NOT('alocação'!$D$1),"off",IFERROR(VLOOKUP($CR89,BalanceAtivos,4,0)*$CU$5,"NC")))</f>
        <v/>
      </c>
      <c r="AU89" s="856" t="str">
        <f>IF($CR89="","",IF(NOT('alocação'!$D$1),"off",IFERROR(VLOOKUP($CR89,BalanceAtivos,5,0),"-")))</f>
        <v/>
      </c>
      <c r="AV89" s="856" t="str">
        <f>IF($CR89="","",IF(NOT('alocação'!$D$1),"off",IFERROR(VLOOKUP($CR89,BalanceAtivos,6,0),"-")))</f>
        <v/>
      </c>
      <c r="AW89" s="857"/>
      <c r="AX89" s="858" t="str">
        <f>IF($CR89="","",IF($E89="","SP",IFERROR(VLOOKUP($CR89,AtivosDados,MATCH("pm_atual",portfolio.!$A$3:CY$3,0),0)*$CU$5,0)))</f>
        <v/>
      </c>
      <c r="AY89" s="859" t="str">
        <f t="shared" si="2"/>
        <v/>
      </c>
      <c r="AZ89" s="858" t="str">
        <f>IF($CR89="","",IF($E89="","SP",SUMIF(portfolio.!$A$4:$A308,$CR89,portfolio.!$O$4:$O308)*$CU$5))</f>
        <v/>
      </c>
      <c r="BA89" s="858" t="str">
        <f>IF($CR89="","",IF($E89="","SP",SUMIF(portfolio.!$A$4:$A308,$CR89,portfolio.!$AN$4:$AN308)*$CU$5))</f>
        <v/>
      </c>
      <c r="BB89" s="860" t="str">
        <f>IF($CR89="","",IF($E89="","-",IFERROR($BA89/'portfólio'!$DG$63,"")))</f>
        <v/>
      </c>
      <c r="BC89" s="861" t="str">
        <f>IF($CR89="","",IF($E89="","-",SUMIF(portfolio.!$A$4:$A308,$CR89,portfolio.!$J$4:$J308)))</f>
        <v/>
      </c>
      <c r="BD89" s="862" t="str">
        <f>IF($CR89="","",IF($E89="","SP",SUMIF(portfolio.!$A$4:$A308,$CR89,portfolio.!$AQ$4:$AQ308)*$CU$5))</f>
        <v/>
      </c>
      <c r="BE89" s="850" t="str">
        <f t="shared" si="3"/>
        <v/>
      </c>
      <c r="BF89" s="862" t="str">
        <f>IF($CR89="","",IF($E89="","-",SUMIF(portfolio.!$A$4:$A308,$CR89,portfolio.!$AX$4:$AX308)*$CU$5))</f>
        <v/>
      </c>
      <c r="BG89" s="545"/>
      <c r="BH89" s="879" t="s">
        <v>123</v>
      </c>
      <c r="BI89" s="880" t="s">
        <v>123</v>
      </c>
      <c r="BJ89" s="863" t="str">
        <f>IFERROR(__xludf.DUMMYFUNCTION("IF(NOT($BL$4),"""",IF($CR89="""","""",IFERROR(query({GOOGLEFINANCE($CR89,""price"",IF($BI89=""-"",TODAY()-($AQ$5+5),$BI89),TODAY()-1)},""Select max(Col2) where Col1 is not null label max(Col2) ''"")*CU89,""-"")))"),"")</f>
        <v/>
      </c>
      <c r="BK89" s="881" t="s">
        <v>123</v>
      </c>
      <c r="BL89" s="882" t="s">
        <v>123</v>
      </c>
      <c r="BM89" s="442"/>
      <c r="BN89" s="867" t="str">
        <f>IFERROR(__xludf.DUMMYFUNCTION("IF(CR89="""","""",IF(OR(C89=""AÇÃO"",C89=""BDR""),IFERROR(QUERY({fundamentus.!$A$3:$U308},$CX$67&amp;"" where Col1='""&amp;CR89&amp;""' limit 1"",0)),IF(C89=""FII"",IFERROR(QUERY({fundsexplorer.!$A$2:$Z308},$CY$67&amp;"" where Col1='""&amp;CR89&amp;""' limit 1"",0)),"""")))"),"")</f>
        <v/>
      </c>
      <c r="BO89" s="867"/>
      <c r="BP89" s="867"/>
      <c r="BQ89" s="867"/>
      <c r="BR89" s="867"/>
      <c r="BS89" s="867"/>
      <c r="BT89" s="867"/>
      <c r="BU89" s="442"/>
      <c r="BV89" s="868" t="str">
        <f>IFERROR(__xludf.DUMMYFUNCTION("IF(OR(C89=""AÇÃO"",C89=""BDR""),IFERROR(GOOGLEFINANCE(CONCAT(""BVMF:"",CR89), ""marketcap"")/1000000,""NC""),"""")"),"")</f>
        <v/>
      </c>
      <c r="BW89" s="869" t="s">
        <v>123</v>
      </c>
      <c r="BX89" s="870" t="s">
        <v>123</v>
      </c>
      <c r="BY89" s="868" t="s">
        <v>123</v>
      </c>
      <c r="BZ89" s="870" t="s">
        <v>123</v>
      </c>
      <c r="CA89" s="868" t="s">
        <v>123</v>
      </c>
      <c r="CB89" s="868" t="s">
        <v>123</v>
      </c>
      <c r="CC89" s="868" t="s">
        <v>123</v>
      </c>
      <c r="CD89" s="868" t="str">
        <f>IFERROR(__xludf.DUMMYFUNCTION("IF(OR(C89=""AÇÃO"",C89=""BDR""),IFERROR(GOOGLEFINANCE(CONCAT(""BVMF:"",CR89), ""volumeavg"")/1000000,""NC""),"""")"),"")</f>
        <v/>
      </c>
      <c r="CE89" s="870" t="s">
        <v>123</v>
      </c>
      <c r="CF89" s="870" t="s">
        <v>123</v>
      </c>
      <c r="CG89" s="870" t="str">
        <f>IFERROR(__xludf.DUMMYFUNCTION("IF(OR(C89=""AÇÃO"",C89=""BDR""),IF(CF89=0,""SEM DY"",IFERROR(ImportXML(CONCAT(""http://www.guiainvest.com.br/raiox/default.aspx?sigla="",$CR89),""//*[@id='lbPayoutAtual']""),""NC"")),"""")"),"")</f>
        <v/>
      </c>
      <c r="CH89" s="870" t="s">
        <v>123</v>
      </c>
      <c r="CI89" s="545"/>
      <c r="CJ89" s="871" t="str">
        <f>IFERROR(__xludf.DUMMYFUNCTION("IF(OR(C89=""AÇÃO"",C89=""BDR""),IFERROR(GOOGLEFINANCE(CONCAT(""BVMF:"",CR89), ""eps""),""NC""),"""")"),"")</f>
        <v/>
      </c>
      <c r="CK89" s="442"/>
      <c r="CL89" s="871" t="str">
        <f>IFERROR(__xludf.DUMMYFUNCTION("IF(NOT($BL$4),"""",IF($CR89="""","""",IF($BC89="""","""",IFERROR(query({op.normal!$B$5:$F308},""select Col5, toDate(Col2) where Col1 =  '""&amp;$CR89&amp;""' and Col4 &gt; 0 and ((Col3 is null) or (Col3 = 'C')) and Col2 &gt;= date '""&amp;TEXT(TODAY()-$AQ$5,""yyyy-mm-dd"")"&amp;"&amp;""' order by Col2 desc limit 1 label toDate(Col2) ''"")))))"),"")</f>
        <v/>
      </c>
      <c r="CM89" s="872"/>
      <c r="CN89" s="883" t="s">
        <v>123</v>
      </c>
      <c r="CO89" s="874" t="s">
        <v>123</v>
      </c>
      <c r="CP89" s="766"/>
      <c r="CQ89" s="791"/>
      <c r="CR89" s="791"/>
      <c r="CT89" s="791" t="s">
        <v>123</v>
      </c>
      <c r="CU89" s="791" t="str">
        <f>IFERROR(__xludf.DUMMYFUNCTION("IF(CR89="""","""",IF(CT89=$C$4,1,GOOGLEFINANCE(CT89&amp;$C$4)))"),"")</f>
        <v/>
      </c>
    </row>
    <row r="90" ht="22.5" customHeight="1">
      <c r="A90" s="837">
        <v>82.0</v>
      </c>
      <c r="B90" s="838" t="s">
        <v>123</v>
      </c>
      <c r="C90" s="838" t="s">
        <v>123</v>
      </c>
      <c r="D90" s="839" t="s">
        <v>123</v>
      </c>
      <c r="E90" s="839" t="s">
        <v>123</v>
      </c>
      <c r="F90" s="839" t="s">
        <v>123</v>
      </c>
      <c r="G90" s="56"/>
      <c r="H90" s="884"/>
      <c r="I90" s="838"/>
      <c r="J90" s="838"/>
      <c r="K90" s="838"/>
      <c r="L90" s="838"/>
      <c r="M90" s="838"/>
      <c r="N90" s="838"/>
      <c r="O90" s="838"/>
      <c r="P90" s="838"/>
      <c r="Q90" s="838"/>
      <c r="R90" s="838"/>
      <c r="S90" s="838"/>
      <c r="T90" s="838"/>
      <c r="U90" s="838"/>
      <c r="V90" s="838"/>
      <c r="W90" s="838"/>
      <c r="X90" s="838"/>
      <c r="Z90" s="875" t="str">
        <f>IFERROR(__xludf.DUMMYFUNCTION("IF($CR90="""","""",IFERROR(query({CarteirasAtivos},""select Col4 where Col4 is not null and Col1 = '""&amp;$CR90&amp;""' limit 1"")*CU90,""NC""))"),"")</f>
        <v/>
      </c>
      <c r="AA90" s="876" t="str">
        <f>IFERROR(__xludf.DUMMYFUNCTION("IF($CR90="""","""",IFERROR(query({CarteirasAtivos},""select Col6 where Col4 is not null and Col1 = '""&amp;$CR90&amp;""' limit 1""),""NC""))"),"")</f>
        <v/>
      </c>
      <c r="AB90" s="877"/>
      <c r="AC90" s="878" t="s">
        <v>123</v>
      </c>
      <c r="AD90" s="845" t="str">
        <f>IF($CR90="","",IFERROR(VLOOKUP($CR90,ativos.!$C$3:$R308,MATCH("cotacao",ativos.!$C$2:CY$2,0),FALSE)*$CU$5,"atualizar"))</f>
        <v/>
      </c>
      <c r="AE90" s="846" t="str">
        <f>IFERROR(__xludf.DUMMYFUNCTION("IF($CR90="""","""",IFERROR(AVERAGE(query({CarteirasAtivos;CarteirasAtivosEncerrados},""select Col5 where Col5 is not null and Col1 = '""&amp;$CR90&amp;""' and Col10='SIM'""))*CU90,""NC""))"),"")</f>
        <v/>
      </c>
      <c r="AF90" s="847" t="str">
        <f t="shared" si="1"/>
        <v/>
      </c>
      <c r="AG90" s="442"/>
      <c r="AH90" s="848" t="str">
        <f>IFERROR(__xludf.DUMMYFUNCTION("IF($CR90="""","""",IFERROR(GOOGLEFINANCE($CR90,""low52"")*CU90,""-""))"),"")</f>
        <v/>
      </c>
      <c r="AI90" s="848" t="str">
        <f>IFERROR(__xludf.DUMMYFUNCTION("IF($CR90="""","""",IFERROR(GOOGLEFINANCE($CR90,""high52"")*CU90,""-""))"),"")</f>
        <v/>
      </c>
      <c r="AJ90" s="849" t="s">
        <v>123</v>
      </c>
      <c r="AK90" s="850" t="str">
        <f>IFERROR(__xludf.DUMMYFUNCTION("IF($CR90="""","""",IFERROR(GOOGLEFINANCE($CR90,""changepct"")/100,""-""))"),"")</f>
        <v/>
      </c>
      <c r="AL90" s="851" t="str">
        <f>IFERROR(__xludf.DUMMYFUNCTION("IF($CR90="""","""",IFERROR(($AD90/(QUERY(GOOGLEFINANCE($CR90,""price"",TODAY()-7),""SELECT Col2 label Col2 ''"")*$CU90)-1),""-""))"),"")</f>
        <v/>
      </c>
      <c r="AM90" s="851" t="str">
        <f>IFERROR(__xludf.DUMMYFUNCTION("IF($CR90="""","""",IFERROR(($AD90/(QUERY(GOOGLEFINANCE($CR90,""price"",TODAY()-14),""SELECT Col2 label Col2 ''"")*$CU90)-1),""-""))"),"")</f>
        <v/>
      </c>
      <c r="AN90" s="851" t="str">
        <f>IFERROR(__xludf.DUMMYFUNCTION("IF($CR90="""","""",IFERROR(($AD90/(QUERY(GOOGLEFINANCE($CR90,""price"",TODAY()-28),""SELECT Col2 label Col2 ''"")*$CU90)-1),""-""))"),"")</f>
        <v/>
      </c>
      <c r="AO90" s="851" t="str">
        <f>IFERROR(__xludf.DUMMYFUNCTION("IF($CR90="""","""",IFERROR(($AD90/(QUERY(GOOGLEFINANCE($CR90,""price"",TODAY()-$AQ$5),""SELECT Col2 label Col2 ''"")*$CU90)-1),""-""))"),"")</f>
        <v/>
      </c>
      <c r="AP90" s="852" t="str">
        <f>IFERROR(__xludf.DUMMYFUNCTION("IF($CR90="""","""",IFERROR(SPARKLINE(query(GOOGLEFINANCE($CR90,""price"",TODAY()-$AQ$5,TODAY(),1),""select Col2 label Col2 ''""),IF($AP$7=""Gráfico de barras"",{""charttype"",""column"";""highcolor"",""red""},{""chartype"",""line""}))))"),"")</f>
        <v/>
      </c>
      <c r="AQ90" s="144"/>
      <c r="AR90" s="853"/>
      <c r="AS90" s="854" t="str">
        <f>IF($CR90="","",IF(NOT('alocação'!$D$1),"off",IFERROR(VLOOKUP(CR90,BalanceAtivos,3,0),"NC")))</f>
        <v/>
      </c>
      <c r="AT90" s="855" t="str">
        <f>IF($CR90="","",IF(NOT('alocação'!$D$1),"off",IFERROR(VLOOKUP($CR90,BalanceAtivos,4,0)*$CU$5,"NC")))</f>
        <v/>
      </c>
      <c r="AU90" s="856" t="str">
        <f>IF($CR90="","",IF(NOT('alocação'!$D$1),"off",IFERROR(VLOOKUP($CR90,BalanceAtivos,5,0),"-")))</f>
        <v/>
      </c>
      <c r="AV90" s="856" t="str">
        <f>IF($CR90="","",IF(NOT('alocação'!$D$1),"off",IFERROR(VLOOKUP($CR90,BalanceAtivos,6,0),"-")))</f>
        <v/>
      </c>
      <c r="AW90" s="857"/>
      <c r="AX90" s="858" t="str">
        <f>IF($CR90="","",IF($E90="","SP",IFERROR(VLOOKUP($CR90,AtivosDados,MATCH("pm_atual",portfolio.!$A$3:CY$3,0),0)*$CU$5,0)))</f>
        <v/>
      </c>
      <c r="AY90" s="859" t="str">
        <f t="shared" si="2"/>
        <v/>
      </c>
      <c r="AZ90" s="858" t="str">
        <f>IF($CR90="","",IF($E90="","SP",SUMIF(portfolio.!$A$4:$A308,$CR90,portfolio.!$O$4:$O308)*$CU$5))</f>
        <v/>
      </c>
      <c r="BA90" s="858" t="str">
        <f>IF($CR90="","",IF($E90="","SP",SUMIF(portfolio.!$A$4:$A308,$CR90,portfolio.!$AN$4:$AN308)*$CU$5))</f>
        <v/>
      </c>
      <c r="BB90" s="860" t="str">
        <f>IF($CR90="","",IF($E90="","-",IFERROR($BA90/'portfólio'!$DG$63,"")))</f>
        <v/>
      </c>
      <c r="BC90" s="861" t="str">
        <f>IF($CR90="","",IF($E90="","-",SUMIF(portfolio.!$A$4:$A308,$CR90,portfolio.!$J$4:$J308)))</f>
        <v/>
      </c>
      <c r="BD90" s="862" t="str">
        <f>IF($CR90="","",IF($E90="","SP",SUMIF(portfolio.!$A$4:$A308,$CR90,portfolio.!$AQ$4:$AQ308)*$CU$5))</f>
        <v/>
      </c>
      <c r="BE90" s="850" t="str">
        <f t="shared" si="3"/>
        <v/>
      </c>
      <c r="BF90" s="862" t="str">
        <f>IF($CR90="","",IF($E90="","-",SUMIF(portfolio.!$A$4:$A308,$CR90,portfolio.!$AX$4:$AX308)*$CU$5))</f>
        <v/>
      </c>
      <c r="BG90" s="545"/>
      <c r="BH90" s="879" t="s">
        <v>123</v>
      </c>
      <c r="BI90" s="880" t="s">
        <v>123</v>
      </c>
      <c r="BJ90" s="863" t="str">
        <f>IFERROR(__xludf.DUMMYFUNCTION("IF(NOT($BL$4),"""",IF($CR90="""","""",IFERROR(query({GOOGLEFINANCE($CR90,""price"",IF($BI90=""-"",TODAY()-($AQ$5+5),$BI90),TODAY()-1)},""Select max(Col2) where Col1 is not null label max(Col2) ''"")*CU90,""-"")))"),"")</f>
        <v/>
      </c>
      <c r="BK90" s="881" t="s">
        <v>123</v>
      </c>
      <c r="BL90" s="882" t="s">
        <v>123</v>
      </c>
      <c r="BM90" s="442"/>
      <c r="BN90" s="867" t="str">
        <f>IFERROR(__xludf.DUMMYFUNCTION("IF(CR90="""","""",IF(OR(C90=""AÇÃO"",C90=""BDR""),IFERROR(QUERY({fundamentus.!$A$3:$U308},$CX$67&amp;"" where Col1='""&amp;CR90&amp;""' limit 1"",0)),IF(C90=""FII"",IFERROR(QUERY({fundsexplorer.!$A$2:$Z308},$CY$67&amp;"" where Col1='""&amp;CR90&amp;""' limit 1"",0)),"""")))"),"")</f>
        <v/>
      </c>
      <c r="BO90" s="867"/>
      <c r="BP90" s="867"/>
      <c r="BQ90" s="867"/>
      <c r="BR90" s="867"/>
      <c r="BS90" s="867"/>
      <c r="BT90" s="867"/>
      <c r="BU90" s="442"/>
      <c r="BV90" s="868" t="str">
        <f>IFERROR(__xludf.DUMMYFUNCTION("IF(OR(C90=""AÇÃO"",C90=""BDR""),IFERROR(GOOGLEFINANCE(CONCAT(""BVMF:"",CR90), ""marketcap"")/1000000,""NC""),"""")"),"")</f>
        <v/>
      </c>
      <c r="BW90" s="869" t="s">
        <v>123</v>
      </c>
      <c r="BX90" s="870" t="s">
        <v>123</v>
      </c>
      <c r="BY90" s="868" t="s">
        <v>123</v>
      </c>
      <c r="BZ90" s="870" t="s">
        <v>123</v>
      </c>
      <c r="CA90" s="868" t="s">
        <v>123</v>
      </c>
      <c r="CB90" s="868" t="s">
        <v>123</v>
      </c>
      <c r="CC90" s="868" t="s">
        <v>123</v>
      </c>
      <c r="CD90" s="868" t="str">
        <f>IFERROR(__xludf.DUMMYFUNCTION("IF(OR(C90=""AÇÃO"",C90=""BDR""),IFERROR(GOOGLEFINANCE(CONCAT(""BVMF:"",CR90), ""volumeavg"")/1000000,""NC""),"""")"),"")</f>
        <v/>
      </c>
      <c r="CE90" s="870" t="s">
        <v>123</v>
      </c>
      <c r="CF90" s="870" t="s">
        <v>123</v>
      </c>
      <c r="CG90" s="870" t="str">
        <f>IFERROR(__xludf.DUMMYFUNCTION("IF(OR(C90=""AÇÃO"",C90=""BDR""),IF(CF90=0,""SEM DY"",IFERROR(ImportXML(CONCAT(""http://www.guiainvest.com.br/raiox/default.aspx?sigla="",$CR90),""//*[@id='lbPayoutAtual']""),""NC"")),"""")"),"")</f>
        <v/>
      </c>
      <c r="CH90" s="870" t="s">
        <v>123</v>
      </c>
      <c r="CI90" s="545"/>
      <c r="CJ90" s="871" t="str">
        <f>IFERROR(__xludf.DUMMYFUNCTION("IF(OR(C90=""AÇÃO"",C90=""BDR""),IFERROR(GOOGLEFINANCE(CONCAT(""BVMF:"",CR90), ""eps""),""NC""),"""")"),"")</f>
        <v/>
      </c>
      <c r="CK90" s="442"/>
      <c r="CL90" s="871" t="str">
        <f>IFERROR(__xludf.DUMMYFUNCTION("IF(NOT($BL$4),"""",IF($CR90="""","""",IF($BC90="""","""",IFERROR(query({op.normal!$B$5:$F308},""select Col5, toDate(Col2) where Col1 =  '""&amp;$CR90&amp;""' and Col4 &gt; 0 and ((Col3 is null) or (Col3 = 'C')) and Col2 &gt;= date '""&amp;TEXT(TODAY()-$AQ$5,""yyyy-mm-dd"")"&amp;"&amp;""' order by Col2 desc limit 1 label toDate(Col2) ''"")))))"),"")</f>
        <v/>
      </c>
      <c r="CM90" s="872"/>
      <c r="CN90" s="883" t="s">
        <v>123</v>
      </c>
      <c r="CO90" s="874" t="s">
        <v>123</v>
      </c>
      <c r="CP90" s="766"/>
      <c r="CQ90" s="791"/>
      <c r="CR90" s="791"/>
      <c r="CT90" s="791" t="s">
        <v>123</v>
      </c>
      <c r="CU90" s="791" t="str">
        <f>IFERROR(__xludf.DUMMYFUNCTION("IF(CR90="""","""",IF(CT90=$C$4,1,GOOGLEFINANCE(CT90&amp;$C$4)))"),"")</f>
        <v/>
      </c>
    </row>
    <row r="91" ht="22.5" customHeight="1">
      <c r="A91" s="837">
        <v>83.0</v>
      </c>
      <c r="B91" s="838" t="s">
        <v>123</v>
      </c>
      <c r="C91" s="838" t="s">
        <v>123</v>
      </c>
      <c r="D91" s="839" t="s">
        <v>123</v>
      </c>
      <c r="E91" s="839" t="s">
        <v>123</v>
      </c>
      <c r="F91" s="839" t="s">
        <v>123</v>
      </c>
      <c r="G91" s="56"/>
      <c r="H91" s="884"/>
      <c r="I91" s="838"/>
      <c r="J91" s="838"/>
      <c r="K91" s="838"/>
      <c r="L91" s="838"/>
      <c r="M91" s="838"/>
      <c r="N91" s="838"/>
      <c r="O91" s="838"/>
      <c r="P91" s="838"/>
      <c r="Q91" s="838"/>
      <c r="R91" s="838"/>
      <c r="S91" s="838"/>
      <c r="T91" s="838"/>
      <c r="U91" s="838"/>
      <c r="V91" s="838"/>
      <c r="W91" s="838"/>
      <c r="X91" s="838"/>
      <c r="Z91" s="875" t="str">
        <f>IFERROR(__xludf.DUMMYFUNCTION("IF($CR91="""","""",IFERROR(query({CarteirasAtivos},""select Col4 where Col4 is not null and Col1 = '""&amp;$CR91&amp;""' limit 1"")*CU91,""NC""))"),"")</f>
        <v/>
      </c>
      <c r="AA91" s="876" t="str">
        <f>IFERROR(__xludf.DUMMYFUNCTION("IF($CR91="""","""",IFERROR(query({CarteirasAtivos},""select Col6 where Col4 is not null and Col1 = '""&amp;$CR91&amp;""' limit 1""),""NC""))"),"")</f>
        <v/>
      </c>
      <c r="AB91" s="877"/>
      <c r="AC91" s="878" t="s">
        <v>123</v>
      </c>
      <c r="AD91" s="845" t="str">
        <f>IF($CR91="","",IFERROR(VLOOKUP($CR91,ativos.!$C$3:$R308,MATCH("cotacao",ativos.!$C$2:CY$2,0),FALSE)*$CU$5,"atualizar"))</f>
        <v/>
      </c>
      <c r="AE91" s="846" t="str">
        <f>IFERROR(__xludf.DUMMYFUNCTION("IF($CR91="""","""",IFERROR(AVERAGE(query({CarteirasAtivos;CarteirasAtivosEncerrados},""select Col5 where Col5 is not null and Col1 = '""&amp;$CR91&amp;""' and Col10='SIM'""))*CU91,""NC""))"),"")</f>
        <v/>
      </c>
      <c r="AF91" s="847" t="str">
        <f t="shared" si="1"/>
        <v/>
      </c>
      <c r="AG91" s="442"/>
      <c r="AH91" s="848" t="str">
        <f>IFERROR(__xludf.DUMMYFUNCTION("IF($CR91="""","""",IFERROR(GOOGLEFINANCE($CR91,""low52"")*CU91,""-""))"),"")</f>
        <v/>
      </c>
      <c r="AI91" s="848" t="str">
        <f>IFERROR(__xludf.DUMMYFUNCTION("IF($CR91="""","""",IFERROR(GOOGLEFINANCE($CR91,""high52"")*CU91,""-""))"),"")</f>
        <v/>
      </c>
      <c r="AJ91" s="849" t="s">
        <v>123</v>
      </c>
      <c r="AK91" s="850" t="str">
        <f>IFERROR(__xludf.DUMMYFUNCTION("IF($CR91="""","""",IFERROR(GOOGLEFINANCE($CR91,""changepct"")/100,""-""))"),"")</f>
        <v/>
      </c>
      <c r="AL91" s="851" t="str">
        <f>IFERROR(__xludf.DUMMYFUNCTION("IF($CR91="""","""",IFERROR(($AD91/(QUERY(GOOGLEFINANCE($CR91,""price"",TODAY()-7),""SELECT Col2 label Col2 ''"")*$CU91)-1),""-""))"),"")</f>
        <v/>
      </c>
      <c r="AM91" s="851" t="str">
        <f>IFERROR(__xludf.DUMMYFUNCTION("IF($CR91="""","""",IFERROR(($AD91/(QUERY(GOOGLEFINANCE($CR91,""price"",TODAY()-14),""SELECT Col2 label Col2 ''"")*$CU91)-1),""-""))"),"")</f>
        <v/>
      </c>
      <c r="AN91" s="851" t="str">
        <f>IFERROR(__xludf.DUMMYFUNCTION("IF($CR91="""","""",IFERROR(($AD91/(QUERY(GOOGLEFINANCE($CR91,""price"",TODAY()-28),""SELECT Col2 label Col2 ''"")*$CU91)-1),""-""))"),"")</f>
        <v/>
      </c>
      <c r="AO91" s="851" t="str">
        <f>IFERROR(__xludf.DUMMYFUNCTION("IF($CR91="""","""",IFERROR(($AD91/(QUERY(GOOGLEFINANCE($CR91,""price"",TODAY()-$AQ$5),""SELECT Col2 label Col2 ''"")*$CU91)-1),""-""))"),"")</f>
        <v/>
      </c>
      <c r="AP91" s="852" t="str">
        <f>IFERROR(__xludf.DUMMYFUNCTION("IF($CR91="""","""",IFERROR(SPARKLINE(query(GOOGLEFINANCE($CR91,""price"",TODAY()-$AQ$5,TODAY(),1),""select Col2 label Col2 ''""),IF($AP$7=""Gráfico de barras"",{""charttype"",""column"";""highcolor"",""red""},{""chartype"",""line""}))))"),"")</f>
        <v/>
      </c>
      <c r="AQ91" s="144"/>
      <c r="AR91" s="853"/>
      <c r="AS91" s="854" t="str">
        <f>IF($CR91="","",IF(NOT('alocação'!$D$1),"off",IFERROR(VLOOKUP(CR91,BalanceAtivos,3,0),"NC")))</f>
        <v/>
      </c>
      <c r="AT91" s="855" t="str">
        <f>IF($CR91="","",IF(NOT('alocação'!$D$1),"off",IFERROR(VLOOKUP($CR91,BalanceAtivos,4,0)*$CU$5,"NC")))</f>
        <v/>
      </c>
      <c r="AU91" s="856" t="str">
        <f>IF($CR91="","",IF(NOT('alocação'!$D$1),"off",IFERROR(VLOOKUP($CR91,BalanceAtivos,5,0),"-")))</f>
        <v/>
      </c>
      <c r="AV91" s="856" t="str">
        <f>IF($CR91="","",IF(NOT('alocação'!$D$1),"off",IFERROR(VLOOKUP($CR91,BalanceAtivos,6,0),"-")))</f>
        <v/>
      </c>
      <c r="AW91" s="857"/>
      <c r="AX91" s="858" t="str">
        <f>IF($CR91="","",IF($E91="","SP",IFERROR(VLOOKUP($CR91,AtivosDados,MATCH("pm_atual",portfolio.!$A$3:CY$3,0),0)*$CU$5,0)))</f>
        <v/>
      </c>
      <c r="AY91" s="859" t="str">
        <f t="shared" si="2"/>
        <v/>
      </c>
      <c r="AZ91" s="858" t="str">
        <f>IF($CR91="","",IF($E91="","SP",SUMIF(portfolio.!$A$4:$A308,$CR91,portfolio.!$O$4:$O308)*$CU$5))</f>
        <v/>
      </c>
      <c r="BA91" s="858" t="str">
        <f>IF($CR91="","",IF($E91="","SP",SUMIF(portfolio.!$A$4:$A308,$CR91,portfolio.!$AN$4:$AN308)*$CU$5))</f>
        <v/>
      </c>
      <c r="BB91" s="860" t="str">
        <f>IF($CR91="","",IF($E91="","-",IFERROR($BA91/'portfólio'!$DG$63,"")))</f>
        <v/>
      </c>
      <c r="BC91" s="861" t="str">
        <f>IF($CR91="","",IF($E91="","-",SUMIF(portfolio.!$A$4:$A308,$CR91,portfolio.!$J$4:$J308)))</f>
        <v/>
      </c>
      <c r="BD91" s="862" t="str">
        <f>IF($CR91="","",IF($E91="","SP",SUMIF(portfolio.!$A$4:$A308,$CR91,portfolio.!$AQ$4:$AQ308)*$CU$5))</f>
        <v/>
      </c>
      <c r="BE91" s="850" t="str">
        <f t="shared" si="3"/>
        <v/>
      </c>
      <c r="BF91" s="862" t="str">
        <f>IF($CR91="","",IF($E91="","-",SUMIF(portfolio.!$A$4:$A308,$CR91,portfolio.!$AX$4:$AX308)*$CU$5))</f>
        <v/>
      </c>
      <c r="BG91" s="545"/>
      <c r="BH91" s="879" t="s">
        <v>123</v>
      </c>
      <c r="BI91" s="880" t="s">
        <v>123</v>
      </c>
      <c r="BJ91" s="863" t="str">
        <f>IFERROR(__xludf.DUMMYFUNCTION("IF(NOT($BL$4),"""",IF($CR91="""","""",IFERROR(query({GOOGLEFINANCE($CR91,""price"",IF($BI91=""-"",TODAY()-($AQ$5+5),$BI91),TODAY()-1)},""Select max(Col2) where Col1 is not null label max(Col2) ''"")*CU91,""-"")))"),"")</f>
        <v/>
      </c>
      <c r="BK91" s="881" t="s">
        <v>123</v>
      </c>
      <c r="BL91" s="882" t="s">
        <v>123</v>
      </c>
      <c r="BM91" s="442"/>
      <c r="BN91" s="867" t="str">
        <f>IFERROR(__xludf.DUMMYFUNCTION("IF(CR91="""","""",IF(OR(C91=""AÇÃO"",C91=""BDR""),IFERROR(QUERY({fundamentus.!$A$3:$U308},$CX$67&amp;"" where Col1='""&amp;CR91&amp;""' limit 1"",0)),IF(C91=""FII"",IFERROR(QUERY({fundsexplorer.!$A$2:$Z308},$CY$67&amp;"" where Col1='""&amp;CR91&amp;""' limit 1"",0)),"""")))"),"")</f>
        <v/>
      </c>
      <c r="BO91" s="867"/>
      <c r="BP91" s="867"/>
      <c r="BQ91" s="867"/>
      <c r="BR91" s="867"/>
      <c r="BS91" s="867"/>
      <c r="BT91" s="867"/>
      <c r="BU91" s="442"/>
      <c r="BV91" s="868" t="str">
        <f>IFERROR(__xludf.DUMMYFUNCTION("IF(OR(C91=""AÇÃO"",C91=""BDR""),IFERROR(GOOGLEFINANCE(CONCAT(""BVMF:"",CR91), ""marketcap"")/1000000,""NC""),"""")"),"")</f>
        <v/>
      </c>
      <c r="BW91" s="869" t="s">
        <v>123</v>
      </c>
      <c r="BX91" s="870" t="s">
        <v>123</v>
      </c>
      <c r="BY91" s="868" t="s">
        <v>123</v>
      </c>
      <c r="BZ91" s="870" t="s">
        <v>123</v>
      </c>
      <c r="CA91" s="868" t="s">
        <v>123</v>
      </c>
      <c r="CB91" s="868" t="s">
        <v>123</v>
      </c>
      <c r="CC91" s="868" t="s">
        <v>123</v>
      </c>
      <c r="CD91" s="868" t="str">
        <f>IFERROR(__xludf.DUMMYFUNCTION("IF(OR(C91=""AÇÃO"",C91=""BDR""),IFERROR(GOOGLEFINANCE(CONCAT(""BVMF:"",CR91), ""volumeavg"")/1000000,""NC""),"""")"),"")</f>
        <v/>
      </c>
      <c r="CE91" s="870" t="s">
        <v>123</v>
      </c>
      <c r="CF91" s="870" t="s">
        <v>123</v>
      </c>
      <c r="CG91" s="870" t="str">
        <f>IFERROR(__xludf.DUMMYFUNCTION("IF(OR(C91=""AÇÃO"",C91=""BDR""),IF(CF91=0,""SEM DY"",IFERROR(ImportXML(CONCAT(""http://www.guiainvest.com.br/raiox/default.aspx?sigla="",$CR91),""//*[@id='lbPayoutAtual']""),""NC"")),"""")"),"")</f>
        <v/>
      </c>
      <c r="CH91" s="870" t="s">
        <v>123</v>
      </c>
      <c r="CI91" s="545"/>
      <c r="CJ91" s="871" t="str">
        <f>IFERROR(__xludf.DUMMYFUNCTION("IF(OR(C91=""AÇÃO"",C91=""BDR""),IFERROR(GOOGLEFINANCE(CONCAT(""BVMF:"",CR91), ""eps""),""NC""),"""")"),"")</f>
        <v/>
      </c>
      <c r="CK91" s="442"/>
      <c r="CL91" s="871" t="str">
        <f>IFERROR(__xludf.DUMMYFUNCTION("IF(NOT($BL$4),"""",IF($CR91="""","""",IF($BC91="""","""",IFERROR(query({op.normal!$B$5:$F308},""select Col5, toDate(Col2) where Col1 =  '""&amp;$CR91&amp;""' and Col4 &gt; 0 and ((Col3 is null) or (Col3 = 'C')) and Col2 &gt;= date '""&amp;TEXT(TODAY()-$AQ$5,""yyyy-mm-dd"")"&amp;"&amp;""' order by Col2 desc limit 1 label toDate(Col2) ''"")))))"),"")</f>
        <v/>
      </c>
      <c r="CM91" s="872"/>
      <c r="CN91" s="883" t="s">
        <v>123</v>
      </c>
      <c r="CO91" s="874" t="s">
        <v>123</v>
      </c>
      <c r="CP91" s="766"/>
      <c r="CQ91" s="791"/>
      <c r="CR91" s="791"/>
      <c r="CT91" s="791" t="s">
        <v>123</v>
      </c>
      <c r="CU91" s="791" t="str">
        <f>IFERROR(__xludf.DUMMYFUNCTION("IF(CR91="""","""",IF(CT91=$C$4,1,GOOGLEFINANCE(CT91&amp;$C$4)))"),"")</f>
        <v/>
      </c>
    </row>
    <row r="92" ht="22.5" customHeight="1">
      <c r="A92" s="837">
        <v>84.0</v>
      </c>
      <c r="B92" s="838" t="s">
        <v>123</v>
      </c>
      <c r="C92" s="838" t="s">
        <v>123</v>
      </c>
      <c r="D92" s="839" t="s">
        <v>123</v>
      </c>
      <c r="E92" s="839" t="s">
        <v>123</v>
      </c>
      <c r="F92" s="839" t="s">
        <v>123</v>
      </c>
      <c r="G92" s="56"/>
      <c r="H92" s="884"/>
      <c r="I92" s="838"/>
      <c r="J92" s="838"/>
      <c r="K92" s="838"/>
      <c r="L92" s="838"/>
      <c r="M92" s="838"/>
      <c r="N92" s="838"/>
      <c r="O92" s="838"/>
      <c r="P92" s="838"/>
      <c r="Q92" s="838"/>
      <c r="R92" s="838"/>
      <c r="S92" s="838"/>
      <c r="T92" s="838"/>
      <c r="U92" s="838"/>
      <c r="V92" s="838"/>
      <c r="W92" s="838"/>
      <c r="X92" s="838"/>
      <c r="Z92" s="875" t="str">
        <f>IFERROR(__xludf.DUMMYFUNCTION("IF($CR92="""","""",IFERROR(query({CarteirasAtivos},""select Col4 where Col4 is not null and Col1 = '""&amp;$CR92&amp;""' limit 1"")*CU92,""NC""))"),"")</f>
        <v/>
      </c>
      <c r="AA92" s="876" t="str">
        <f>IFERROR(__xludf.DUMMYFUNCTION("IF($CR92="""","""",IFERROR(query({CarteirasAtivos},""select Col6 where Col4 is not null and Col1 = '""&amp;$CR92&amp;""' limit 1""),""NC""))"),"")</f>
        <v/>
      </c>
      <c r="AB92" s="877"/>
      <c r="AC92" s="878" t="s">
        <v>123</v>
      </c>
      <c r="AD92" s="845" t="str">
        <f>IF($CR92="","",IFERROR(VLOOKUP($CR92,ativos.!$C$3:$R308,MATCH("cotacao",ativos.!$C$2:CY$2,0),FALSE)*$CU$5,"atualizar"))</f>
        <v/>
      </c>
      <c r="AE92" s="846" t="str">
        <f>IFERROR(__xludf.DUMMYFUNCTION("IF($CR92="""","""",IFERROR(AVERAGE(query({CarteirasAtivos;CarteirasAtivosEncerrados},""select Col5 where Col5 is not null and Col1 = '""&amp;$CR92&amp;""' and Col10='SIM'""))*CU92,""NC""))"),"")</f>
        <v/>
      </c>
      <c r="AF92" s="847" t="str">
        <f t="shared" si="1"/>
        <v/>
      </c>
      <c r="AG92" s="442"/>
      <c r="AH92" s="848" t="str">
        <f>IFERROR(__xludf.DUMMYFUNCTION("IF($CR92="""","""",IFERROR(GOOGLEFINANCE($CR92,""low52"")*CU92,""-""))"),"")</f>
        <v/>
      </c>
      <c r="AI92" s="848" t="str">
        <f>IFERROR(__xludf.DUMMYFUNCTION("IF($CR92="""","""",IFERROR(GOOGLEFINANCE($CR92,""high52"")*CU92,""-""))"),"")</f>
        <v/>
      </c>
      <c r="AJ92" s="849" t="s">
        <v>123</v>
      </c>
      <c r="AK92" s="850" t="str">
        <f>IFERROR(__xludf.DUMMYFUNCTION("IF($CR92="""","""",IFERROR(GOOGLEFINANCE($CR92,""changepct"")/100,""-""))"),"")</f>
        <v/>
      </c>
      <c r="AL92" s="851" t="str">
        <f>IFERROR(__xludf.DUMMYFUNCTION("IF($CR92="""","""",IFERROR(($AD92/(QUERY(GOOGLEFINANCE($CR92,""price"",TODAY()-7),""SELECT Col2 label Col2 ''"")*$CU92)-1),""-""))"),"")</f>
        <v/>
      </c>
      <c r="AM92" s="851" t="str">
        <f>IFERROR(__xludf.DUMMYFUNCTION("IF($CR92="""","""",IFERROR(($AD92/(QUERY(GOOGLEFINANCE($CR92,""price"",TODAY()-14),""SELECT Col2 label Col2 ''"")*$CU92)-1),""-""))"),"")</f>
        <v/>
      </c>
      <c r="AN92" s="851" t="str">
        <f>IFERROR(__xludf.DUMMYFUNCTION("IF($CR92="""","""",IFERROR(($AD92/(QUERY(GOOGLEFINANCE($CR92,""price"",TODAY()-28),""SELECT Col2 label Col2 ''"")*$CU92)-1),""-""))"),"")</f>
        <v/>
      </c>
      <c r="AO92" s="851" t="str">
        <f>IFERROR(__xludf.DUMMYFUNCTION("IF($CR92="""","""",IFERROR(($AD92/(QUERY(GOOGLEFINANCE($CR92,""price"",TODAY()-$AQ$5),""SELECT Col2 label Col2 ''"")*$CU92)-1),""-""))"),"")</f>
        <v/>
      </c>
      <c r="AP92" s="852" t="str">
        <f>IFERROR(__xludf.DUMMYFUNCTION("IF($CR92="""","""",IFERROR(SPARKLINE(query(GOOGLEFINANCE($CR92,""price"",TODAY()-$AQ$5,TODAY(),1),""select Col2 label Col2 ''""),IF($AP$7=""Gráfico de barras"",{""charttype"",""column"";""highcolor"",""red""},{""chartype"",""line""}))))"),"")</f>
        <v/>
      </c>
      <c r="AQ92" s="144"/>
      <c r="AR92" s="853"/>
      <c r="AS92" s="854" t="str">
        <f>IF($CR92="","",IF(NOT('alocação'!$D$1),"off",IFERROR(VLOOKUP(CR92,BalanceAtivos,3,0),"NC")))</f>
        <v/>
      </c>
      <c r="AT92" s="855" t="str">
        <f>IF($CR92="","",IF(NOT('alocação'!$D$1),"off",IFERROR(VLOOKUP($CR92,BalanceAtivos,4,0)*$CU$5,"NC")))</f>
        <v/>
      </c>
      <c r="AU92" s="856" t="str">
        <f>IF($CR92="","",IF(NOT('alocação'!$D$1),"off",IFERROR(VLOOKUP($CR92,BalanceAtivos,5,0),"-")))</f>
        <v/>
      </c>
      <c r="AV92" s="856" t="str">
        <f>IF($CR92="","",IF(NOT('alocação'!$D$1),"off",IFERROR(VLOOKUP($CR92,BalanceAtivos,6,0),"-")))</f>
        <v/>
      </c>
      <c r="AW92" s="857"/>
      <c r="AX92" s="858" t="str">
        <f>IF($CR92="","",IF($E92="","SP",IFERROR(VLOOKUP($CR92,AtivosDados,MATCH("pm_atual",portfolio.!$A$3:CY$3,0),0)*$CU$5,0)))</f>
        <v/>
      </c>
      <c r="AY92" s="859" t="str">
        <f t="shared" si="2"/>
        <v/>
      </c>
      <c r="AZ92" s="858" t="str">
        <f>IF($CR92="","",IF($E92="","SP",SUMIF(portfolio.!$A$4:$A308,$CR92,portfolio.!$O$4:$O308)*$CU$5))</f>
        <v/>
      </c>
      <c r="BA92" s="858" t="str">
        <f>IF($CR92="","",IF($E92="","SP",SUMIF(portfolio.!$A$4:$A308,$CR92,portfolio.!$AN$4:$AN308)*$CU$5))</f>
        <v/>
      </c>
      <c r="BB92" s="860" t="str">
        <f>IF($CR92="","",IF($E92="","-",IFERROR($BA92/'portfólio'!$DG$63,"")))</f>
        <v/>
      </c>
      <c r="BC92" s="861" t="str">
        <f>IF($CR92="","",IF($E92="","-",SUMIF(portfolio.!$A$4:$A308,$CR92,portfolio.!$J$4:$J308)))</f>
        <v/>
      </c>
      <c r="BD92" s="862" t="str">
        <f>IF($CR92="","",IF($E92="","SP",SUMIF(portfolio.!$A$4:$A308,$CR92,portfolio.!$AQ$4:$AQ308)*$CU$5))</f>
        <v/>
      </c>
      <c r="BE92" s="850" t="str">
        <f t="shared" si="3"/>
        <v/>
      </c>
      <c r="BF92" s="862" t="str">
        <f>IF($CR92="","",IF($E92="","-",SUMIF(portfolio.!$A$4:$A308,$CR92,portfolio.!$AX$4:$AX308)*$CU$5))</f>
        <v/>
      </c>
      <c r="BG92" s="545"/>
      <c r="BH92" s="879" t="s">
        <v>123</v>
      </c>
      <c r="BI92" s="880" t="s">
        <v>123</v>
      </c>
      <c r="BJ92" s="863" t="str">
        <f>IFERROR(__xludf.DUMMYFUNCTION("IF(NOT($BL$4),"""",IF($CR92="""","""",IFERROR(query({GOOGLEFINANCE($CR92,""price"",IF($BI92=""-"",TODAY()-($AQ$5+5),$BI92),TODAY()-1)},""Select max(Col2) where Col1 is not null label max(Col2) ''"")*CU92,""-"")))"),"")</f>
        <v/>
      </c>
      <c r="BK92" s="881" t="s">
        <v>123</v>
      </c>
      <c r="BL92" s="882" t="s">
        <v>123</v>
      </c>
      <c r="BM92" s="442"/>
      <c r="BN92" s="867" t="str">
        <f>IFERROR(__xludf.DUMMYFUNCTION("IF(CR92="""","""",IF(OR(C92=""AÇÃO"",C92=""BDR""),IFERROR(QUERY({fundamentus.!$A$3:$U308},$CX$67&amp;"" where Col1='""&amp;CR92&amp;""' limit 1"",0)),IF(C92=""FII"",IFERROR(QUERY({fundsexplorer.!$A$2:$Z308},$CY$67&amp;"" where Col1='""&amp;CR92&amp;""' limit 1"",0)),"""")))"),"")</f>
        <v/>
      </c>
      <c r="BO92" s="867"/>
      <c r="BP92" s="867"/>
      <c r="BQ92" s="867"/>
      <c r="BR92" s="867"/>
      <c r="BS92" s="867"/>
      <c r="BT92" s="867"/>
      <c r="BU92" s="442"/>
      <c r="BV92" s="868" t="str">
        <f>IFERROR(__xludf.DUMMYFUNCTION("IF(OR(C92=""AÇÃO"",C92=""BDR""),IFERROR(GOOGLEFINANCE(CONCAT(""BVMF:"",CR92), ""marketcap"")/1000000,""NC""),"""")"),"")</f>
        <v/>
      </c>
      <c r="BW92" s="869" t="s">
        <v>123</v>
      </c>
      <c r="BX92" s="870" t="s">
        <v>123</v>
      </c>
      <c r="BY92" s="868" t="s">
        <v>123</v>
      </c>
      <c r="BZ92" s="870" t="s">
        <v>123</v>
      </c>
      <c r="CA92" s="868" t="s">
        <v>123</v>
      </c>
      <c r="CB92" s="868" t="s">
        <v>123</v>
      </c>
      <c r="CC92" s="868" t="s">
        <v>123</v>
      </c>
      <c r="CD92" s="868" t="str">
        <f>IFERROR(__xludf.DUMMYFUNCTION("IF(OR(C92=""AÇÃO"",C92=""BDR""),IFERROR(GOOGLEFINANCE(CONCAT(""BVMF:"",CR92), ""volumeavg"")/1000000,""NC""),"""")"),"")</f>
        <v/>
      </c>
      <c r="CE92" s="870" t="s">
        <v>123</v>
      </c>
      <c r="CF92" s="870" t="s">
        <v>123</v>
      </c>
      <c r="CG92" s="870" t="str">
        <f>IFERROR(__xludf.DUMMYFUNCTION("IF(OR(C92=""AÇÃO"",C92=""BDR""),IF(CF92=0,""SEM DY"",IFERROR(ImportXML(CONCAT(""http://www.guiainvest.com.br/raiox/default.aspx?sigla="",$CR92),""//*[@id='lbPayoutAtual']""),""NC"")),"""")"),"")</f>
        <v/>
      </c>
      <c r="CH92" s="870" t="s">
        <v>123</v>
      </c>
      <c r="CI92" s="545"/>
      <c r="CJ92" s="871" t="str">
        <f>IFERROR(__xludf.DUMMYFUNCTION("IF(OR(C92=""AÇÃO"",C92=""BDR""),IFERROR(GOOGLEFINANCE(CONCAT(""BVMF:"",CR92), ""eps""),""NC""),"""")"),"")</f>
        <v/>
      </c>
      <c r="CK92" s="442"/>
      <c r="CL92" s="871" t="str">
        <f>IFERROR(__xludf.DUMMYFUNCTION("IF(NOT($BL$4),"""",IF($CR92="""","""",IF($BC92="""","""",IFERROR(query({op.normal!$B$5:$F308},""select Col5, toDate(Col2) where Col1 =  '""&amp;$CR92&amp;""' and Col4 &gt; 0 and ((Col3 is null) or (Col3 = 'C')) and Col2 &gt;= date '""&amp;TEXT(TODAY()-$AQ$5,""yyyy-mm-dd"")"&amp;"&amp;""' order by Col2 desc limit 1 label toDate(Col2) ''"")))))"),"")</f>
        <v/>
      </c>
      <c r="CM92" s="872"/>
      <c r="CN92" s="883" t="s">
        <v>123</v>
      </c>
      <c r="CO92" s="874" t="s">
        <v>123</v>
      </c>
      <c r="CP92" s="766"/>
      <c r="CQ92" s="791"/>
      <c r="CR92" s="791"/>
      <c r="CT92" s="791" t="s">
        <v>123</v>
      </c>
      <c r="CU92" s="791" t="str">
        <f>IFERROR(__xludf.DUMMYFUNCTION("IF(CR92="""","""",IF(CT92=$C$4,1,GOOGLEFINANCE(CT92&amp;$C$4)))"),"")</f>
        <v/>
      </c>
    </row>
    <row r="93" ht="22.5" customHeight="1">
      <c r="A93" s="837">
        <v>85.0</v>
      </c>
      <c r="B93" s="838" t="s">
        <v>123</v>
      </c>
      <c r="C93" s="838" t="s">
        <v>123</v>
      </c>
      <c r="D93" s="839" t="s">
        <v>123</v>
      </c>
      <c r="E93" s="839" t="s">
        <v>123</v>
      </c>
      <c r="F93" s="839" t="s">
        <v>123</v>
      </c>
      <c r="G93" s="56"/>
      <c r="H93" s="884"/>
      <c r="I93" s="838"/>
      <c r="J93" s="838"/>
      <c r="K93" s="838"/>
      <c r="L93" s="838"/>
      <c r="M93" s="838"/>
      <c r="N93" s="838"/>
      <c r="O93" s="838"/>
      <c r="P93" s="838"/>
      <c r="Q93" s="838"/>
      <c r="R93" s="838"/>
      <c r="S93" s="838"/>
      <c r="T93" s="838"/>
      <c r="U93" s="838"/>
      <c r="V93" s="838"/>
      <c r="W93" s="838"/>
      <c r="X93" s="838"/>
      <c r="Z93" s="875" t="str">
        <f>IFERROR(__xludf.DUMMYFUNCTION("IF($CR93="""","""",IFERROR(query({CarteirasAtivos},""select Col4 where Col4 is not null and Col1 = '""&amp;$CR93&amp;""' limit 1"")*CU93,""NC""))"),"")</f>
        <v/>
      </c>
      <c r="AA93" s="876" t="str">
        <f>IFERROR(__xludf.DUMMYFUNCTION("IF($CR93="""","""",IFERROR(query({CarteirasAtivos},""select Col6 where Col4 is not null and Col1 = '""&amp;$CR93&amp;""' limit 1""),""NC""))"),"")</f>
        <v/>
      </c>
      <c r="AB93" s="877"/>
      <c r="AC93" s="878" t="s">
        <v>123</v>
      </c>
      <c r="AD93" s="845" t="str">
        <f>IF($CR93="","",IFERROR(VLOOKUP($CR93,ativos.!$C$3:$R308,MATCH("cotacao",ativos.!$C$2:CY$2,0),FALSE)*$CU$5,"atualizar"))</f>
        <v/>
      </c>
      <c r="AE93" s="846" t="str">
        <f>IFERROR(__xludf.DUMMYFUNCTION("IF($CR93="""","""",IFERROR(AVERAGE(query({CarteirasAtivos;CarteirasAtivosEncerrados},""select Col5 where Col5 is not null and Col1 = '""&amp;$CR93&amp;""' and Col10='SIM'""))*CU93,""NC""))"),"")</f>
        <v/>
      </c>
      <c r="AF93" s="847" t="str">
        <f t="shared" si="1"/>
        <v/>
      </c>
      <c r="AG93" s="442"/>
      <c r="AH93" s="848" t="str">
        <f>IFERROR(__xludf.DUMMYFUNCTION("IF($CR93="""","""",IFERROR(GOOGLEFINANCE($CR93,""low52"")*CU93,""-""))"),"")</f>
        <v/>
      </c>
      <c r="AI93" s="848" t="str">
        <f>IFERROR(__xludf.DUMMYFUNCTION("IF($CR93="""","""",IFERROR(GOOGLEFINANCE($CR93,""high52"")*CU93,""-""))"),"")</f>
        <v/>
      </c>
      <c r="AJ93" s="849" t="s">
        <v>123</v>
      </c>
      <c r="AK93" s="850" t="str">
        <f>IFERROR(__xludf.DUMMYFUNCTION("IF($CR93="""","""",IFERROR(GOOGLEFINANCE($CR93,""changepct"")/100,""-""))"),"")</f>
        <v/>
      </c>
      <c r="AL93" s="851" t="str">
        <f>IFERROR(__xludf.DUMMYFUNCTION("IF($CR93="""","""",IFERROR(($AD93/(QUERY(GOOGLEFINANCE($CR93,""price"",TODAY()-7),""SELECT Col2 label Col2 ''"")*$CU93)-1),""-""))"),"")</f>
        <v/>
      </c>
      <c r="AM93" s="851" t="str">
        <f>IFERROR(__xludf.DUMMYFUNCTION("IF($CR93="""","""",IFERROR(($AD93/(QUERY(GOOGLEFINANCE($CR93,""price"",TODAY()-14),""SELECT Col2 label Col2 ''"")*$CU93)-1),""-""))"),"")</f>
        <v/>
      </c>
      <c r="AN93" s="851" t="str">
        <f>IFERROR(__xludf.DUMMYFUNCTION("IF($CR93="""","""",IFERROR(($AD93/(QUERY(GOOGLEFINANCE($CR93,""price"",TODAY()-28),""SELECT Col2 label Col2 ''"")*$CU93)-1),""-""))"),"")</f>
        <v/>
      </c>
      <c r="AO93" s="851" t="str">
        <f>IFERROR(__xludf.DUMMYFUNCTION("IF($CR93="""","""",IFERROR(($AD93/(QUERY(GOOGLEFINANCE($CR93,""price"",TODAY()-$AQ$5),""SELECT Col2 label Col2 ''"")*$CU93)-1),""-""))"),"")</f>
        <v/>
      </c>
      <c r="AP93" s="852" t="str">
        <f>IFERROR(__xludf.DUMMYFUNCTION("IF($CR93="""","""",IFERROR(SPARKLINE(query(GOOGLEFINANCE($CR93,""price"",TODAY()-$AQ$5,TODAY(),1),""select Col2 label Col2 ''""),IF($AP$7=""Gráfico de barras"",{""charttype"",""column"";""highcolor"",""red""},{""chartype"",""line""}))))"),"")</f>
        <v/>
      </c>
      <c r="AQ93" s="144"/>
      <c r="AR93" s="853"/>
      <c r="AS93" s="854" t="str">
        <f>IF($CR93="","",IF(NOT('alocação'!$D$1),"off",IFERROR(VLOOKUP(CR93,BalanceAtivos,3,0),"NC")))</f>
        <v/>
      </c>
      <c r="AT93" s="855" t="str">
        <f>IF($CR93="","",IF(NOT('alocação'!$D$1),"off",IFERROR(VLOOKUP($CR93,BalanceAtivos,4,0)*$CU$5,"NC")))</f>
        <v/>
      </c>
      <c r="AU93" s="856" t="str">
        <f>IF($CR93="","",IF(NOT('alocação'!$D$1),"off",IFERROR(VLOOKUP($CR93,BalanceAtivos,5,0),"-")))</f>
        <v/>
      </c>
      <c r="AV93" s="856" t="str">
        <f>IF($CR93="","",IF(NOT('alocação'!$D$1),"off",IFERROR(VLOOKUP($CR93,BalanceAtivos,6,0),"-")))</f>
        <v/>
      </c>
      <c r="AW93" s="857"/>
      <c r="AX93" s="858" t="str">
        <f>IF($CR93="","",IF($E93="","SP",IFERROR(VLOOKUP($CR93,AtivosDados,MATCH("pm_atual",portfolio.!$A$3:CY$3,0),0)*$CU$5,0)))</f>
        <v/>
      </c>
      <c r="AY93" s="859" t="str">
        <f t="shared" si="2"/>
        <v/>
      </c>
      <c r="AZ93" s="858" t="str">
        <f>IF($CR93="","",IF($E93="","SP",SUMIF(portfolio.!$A$4:$A308,$CR93,portfolio.!$O$4:$O308)*$CU$5))</f>
        <v/>
      </c>
      <c r="BA93" s="858" t="str">
        <f>IF($CR93="","",IF($E93="","SP",SUMIF(portfolio.!$A$4:$A308,$CR93,portfolio.!$AN$4:$AN308)*$CU$5))</f>
        <v/>
      </c>
      <c r="BB93" s="860" t="str">
        <f>IF($CR93="","",IF($E93="","-",IFERROR($BA93/'portfólio'!$DG$63,"")))</f>
        <v/>
      </c>
      <c r="BC93" s="861" t="str">
        <f>IF($CR93="","",IF($E93="","-",SUMIF(portfolio.!$A$4:$A308,$CR93,portfolio.!$J$4:$J308)))</f>
        <v/>
      </c>
      <c r="BD93" s="862" t="str">
        <f>IF($CR93="","",IF($E93="","SP",SUMIF(portfolio.!$A$4:$A308,$CR93,portfolio.!$AQ$4:$AQ308)*$CU$5))</f>
        <v/>
      </c>
      <c r="BE93" s="850" t="str">
        <f t="shared" si="3"/>
        <v/>
      </c>
      <c r="BF93" s="862" t="str">
        <f>IF($CR93="","",IF($E93="","-",SUMIF(portfolio.!$A$4:$A308,$CR93,portfolio.!$AX$4:$AX308)*$CU$5))</f>
        <v/>
      </c>
      <c r="BG93" s="545"/>
      <c r="BH93" s="879" t="s">
        <v>123</v>
      </c>
      <c r="BI93" s="880" t="s">
        <v>123</v>
      </c>
      <c r="BJ93" s="863" t="str">
        <f>IFERROR(__xludf.DUMMYFUNCTION("IF(NOT($BL$4),"""",IF($CR93="""","""",IFERROR(query({GOOGLEFINANCE($CR93,""price"",IF($BI93=""-"",TODAY()-($AQ$5+5),$BI93),TODAY()-1)},""Select max(Col2) where Col1 is not null label max(Col2) ''"")*CU93,""-"")))"),"")</f>
        <v/>
      </c>
      <c r="BK93" s="881" t="s">
        <v>123</v>
      </c>
      <c r="BL93" s="882" t="s">
        <v>123</v>
      </c>
      <c r="BM93" s="442"/>
      <c r="BN93" s="867" t="str">
        <f>IFERROR(__xludf.DUMMYFUNCTION("IF(CR93="""","""",IF(OR(C93=""AÇÃO"",C93=""BDR""),IFERROR(QUERY({fundamentus.!$A$3:$U308},$CX$67&amp;"" where Col1='""&amp;CR93&amp;""' limit 1"",0)),IF(C93=""FII"",IFERROR(QUERY({fundsexplorer.!$A$2:$Z308},$CY$67&amp;"" where Col1='""&amp;CR93&amp;""' limit 1"",0)),"""")))"),"")</f>
        <v/>
      </c>
      <c r="BO93" s="867"/>
      <c r="BP93" s="867"/>
      <c r="BQ93" s="867"/>
      <c r="BR93" s="867"/>
      <c r="BS93" s="867"/>
      <c r="BT93" s="867"/>
      <c r="BU93" s="442"/>
      <c r="BV93" s="868" t="str">
        <f>IFERROR(__xludf.DUMMYFUNCTION("IF(OR(C93=""AÇÃO"",C93=""BDR""),IFERROR(GOOGLEFINANCE(CONCAT(""BVMF:"",CR93), ""marketcap"")/1000000,""NC""),"""")"),"")</f>
        <v/>
      </c>
      <c r="BW93" s="869" t="s">
        <v>123</v>
      </c>
      <c r="BX93" s="870" t="s">
        <v>123</v>
      </c>
      <c r="BY93" s="868" t="s">
        <v>123</v>
      </c>
      <c r="BZ93" s="870" t="s">
        <v>123</v>
      </c>
      <c r="CA93" s="868" t="s">
        <v>123</v>
      </c>
      <c r="CB93" s="868" t="s">
        <v>123</v>
      </c>
      <c r="CC93" s="868" t="s">
        <v>123</v>
      </c>
      <c r="CD93" s="868" t="str">
        <f>IFERROR(__xludf.DUMMYFUNCTION("IF(OR(C93=""AÇÃO"",C93=""BDR""),IFERROR(GOOGLEFINANCE(CONCAT(""BVMF:"",CR93), ""volumeavg"")/1000000,""NC""),"""")"),"")</f>
        <v/>
      </c>
      <c r="CE93" s="870" t="s">
        <v>123</v>
      </c>
      <c r="CF93" s="870" t="s">
        <v>123</v>
      </c>
      <c r="CG93" s="870" t="str">
        <f>IFERROR(__xludf.DUMMYFUNCTION("IF(OR(C93=""AÇÃO"",C93=""BDR""),IF(CF93=0,""SEM DY"",IFERROR(ImportXML(CONCAT(""http://www.guiainvest.com.br/raiox/default.aspx?sigla="",$CR93),""//*[@id='lbPayoutAtual']""),""NC"")),"""")"),"")</f>
        <v/>
      </c>
      <c r="CH93" s="870" t="s">
        <v>123</v>
      </c>
      <c r="CI93" s="545"/>
      <c r="CJ93" s="871" t="str">
        <f>IFERROR(__xludf.DUMMYFUNCTION("IF(OR(C93=""AÇÃO"",C93=""BDR""),IFERROR(GOOGLEFINANCE(CONCAT(""BVMF:"",CR93), ""eps""),""NC""),"""")"),"")</f>
        <v/>
      </c>
      <c r="CK93" s="442"/>
      <c r="CL93" s="871" t="str">
        <f>IFERROR(__xludf.DUMMYFUNCTION("IF(NOT($BL$4),"""",IF($CR93="""","""",IF($BC93="""","""",IFERROR(query({op.normal!$B$5:$F308},""select Col5, toDate(Col2) where Col1 =  '""&amp;$CR93&amp;""' and Col4 &gt; 0 and ((Col3 is null) or (Col3 = 'C')) and Col2 &gt;= date '""&amp;TEXT(TODAY()-$AQ$5,""yyyy-mm-dd"")"&amp;"&amp;""' order by Col2 desc limit 1 label toDate(Col2) ''"")))))"),"")</f>
        <v/>
      </c>
      <c r="CM93" s="872"/>
      <c r="CN93" s="883" t="s">
        <v>123</v>
      </c>
      <c r="CO93" s="874" t="s">
        <v>123</v>
      </c>
      <c r="CP93" s="766"/>
      <c r="CQ93" s="791"/>
      <c r="CR93" s="791"/>
      <c r="CT93" s="791" t="s">
        <v>123</v>
      </c>
      <c r="CU93" s="791" t="str">
        <f>IFERROR(__xludf.DUMMYFUNCTION("IF(CR93="""","""",IF(CT93=$C$4,1,GOOGLEFINANCE(CT93&amp;$C$4)))"),"")</f>
        <v/>
      </c>
    </row>
    <row r="94" ht="22.5" customHeight="1">
      <c r="A94" s="837">
        <v>86.0</v>
      </c>
      <c r="B94" s="838" t="s">
        <v>123</v>
      </c>
      <c r="C94" s="838" t="s">
        <v>123</v>
      </c>
      <c r="D94" s="839" t="s">
        <v>123</v>
      </c>
      <c r="E94" s="839" t="s">
        <v>123</v>
      </c>
      <c r="F94" s="839" t="s">
        <v>123</v>
      </c>
      <c r="G94" s="56"/>
      <c r="H94" s="884"/>
      <c r="I94" s="838"/>
      <c r="J94" s="838"/>
      <c r="K94" s="838"/>
      <c r="L94" s="838"/>
      <c r="M94" s="838"/>
      <c r="N94" s="838"/>
      <c r="O94" s="838"/>
      <c r="P94" s="838"/>
      <c r="Q94" s="838"/>
      <c r="R94" s="838"/>
      <c r="S94" s="838"/>
      <c r="T94" s="838"/>
      <c r="U94" s="838"/>
      <c r="V94" s="838"/>
      <c r="W94" s="838"/>
      <c r="X94" s="838"/>
      <c r="Z94" s="875" t="str">
        <f>IFERROR(__xludf.DUMMYFUNCTION("IF($CR94="""","""",IFERROR(query({CarteirasAtivos},""select Col4 where Col4 is not null and Col1 = '""&amp;$CR94&amp;""' limit 1"")*CU94,""NC""))"),"")</f>
        <v/>
      </c>
      <c r="AA94" s="876" t="str">
        <f>IFERROR(__xludf.DUMMYFUNCTION("IF($CR94="""","""",IFERROR(query({CarteirasAtivos},""select Col6 where Col4 is not null and Col1 = '""&amp;$CR94&amp;""' limit 1""),""NC""))"),"")</f>
        <v/>
      </c>
      <c r="AB94" s="877"/>
      <c r="AC94" s="878" t="s">
        <v>123</v>
      </c>
      <c r="AD94" s="845" t="str">
        <f>IF($CR94="","",IFERROR(VLOOKUP($CR94,ativos.!$C$3:$R308,MATCH("cotacao",ativos.!$C$2:CY$2,0),FALSE)*$CU$5,"atualizar"))</f>
        <v/>
      </c>
      <c r="AE94" s="846" t="str">
        <f>IFERROR(__xludf.DUMMYFUNCTION("IF($CR94="""","""",IFERROR(AVERAGE(query({CarteirasAtivos;CarteirasAtivosEncerrados},""select Col5 where Col5 is not null and Col1 = '""&amp;$CR94&amp;""' and Col10='SIM'""))*CU94,""NC""))"),"")</f>
        <v/>
      </c>
      <c r="AF94" s="847" t="str">
        <f t="shared" si="1"/>
        <v/>
      </c>
      <c r="AG94" s="442"/>
      <c r="AH94" s="848" t="str">
        <f>IFERROR(__xludf.DUMMYFUNCTION("IF($CR94="""","""",IFERROR(GOOGLEFINANCE($CR94,""low52"")*CU94,""-""))"),"")</f>
        <v/>
      </c>
      <c r="AI94" s="848" t="str">
        <f>IFERROR(__xludf.DUMMYFUNCTION("IF($CR94="""","""",IFERROR(GOOGLEFINANCE($CR94,""high52"")*CU94,""-""))"),"")</f>
        <v/>
      </c>
      <c r="AJ94" s="849" t="s">
        <v>123</v>
      </c>
      <c r="AK94" s="850" t="str">
        <f>IFERROR(__xludf.DUMMYFUNCTION("IF($CR94="""","""",IFERROR(GOOGLEFINANCE($CR94,""changepct"")/100,""-""))"),"")</f>
        <v/>
      </c>
      <c r="AL94" s="851" t="str">
        <f>IFERROR(__xludf.DUMMYFUNCTION("IF($CR94="""","""",IFERROR(($AD94/(QUERY(GOOGLEFINANCE($CR94,""price"",TODAY()-7),""SELECT Col2 label Col2 ''"")*$CU94)-1),""-""))"),"")</f>
        <v/>
      </c>
      <c r="AM94" s="851" t="str">
        <f>IFERROR(__xludf.DUMMYFUNCTION("IF($CR94="""","""",IFERROR(($AD94/(QUERY(GOOGLEFINANCE($CR94,""price"",TODAY()-14),""SELECT Col2 label Col2 ''"")*$CU94)-1),""-""))"),"")</f>
        <v/>
      </c>
      <c r="AN94" s="851" t="str">
        <f>IFERROR(__xludf.DUMMYFUNCTION("IF($CR94="""","""",IFERROR(($AD94/(QUERY(GOOGLEFINANCE($CR94,""price"",TODAY()-28),""SELECT Col2 label Col2 ''"")*$CU94)-1),""-""))"),"")</f>
        <v/>
      </c>
      <c r="AO94" s="851" t="str">
        <f>IFERROR(__xludf.DUMMYFUNCTION("IF($CR94="""","""",IFERROR(($AD94/(QUERY(GOOGLEFINANCE($CR94,""price"",TODAY()-$AQ$5),""SELECT Col2 label Col2 ''"")*$CU94)-1),""-""))"),"")</f>
        <v/>
      </c>
      <c r="AP94" s="852" t="str">
        <f>IFERROR(__xludf.DUMMYFUNCTION("IF($CR94="""","""",IFERROR(SPARKLINE(query(GOOGLEFINANCE($CR94,""price"",TODAY()-$AQ$5,TODAY(),1),""select Col2 label Col2 ''""),IF($AP$7=""Gráfico de barras"",{""charttype"",""column"";""highcolor"",""red""},{""chartype"",""line""}))))"),"")</f>
        <v/>
      </c>
      <c r="AQ94" s="144"/>
      <c r="AR94" s="853"/>
      <c r="AS94" s="854" t="str">
        <f>IF($CR94="","",IF(NOT('alocação'!$D$1),"off",IFERROR(VLOOKUP(CR94,BalanceAtivos,3,0),"NC")))</f>
        <v/>
      </c>
      <c r="AT94" s="855" t="str">
        <f>IF($CR94="","",IF(NOT('alocação'!$D$1),"off",IFERROR(VLOOKUP($CR94,BalanceAtivos,4,0)*$CU$5,"NC")))</f>
        <v/>
      </c>
      <c r="AU94" s="856" t="str">
        <f>IF($CR94="","",IF(NOT('alocação'!$D$1),"off",IFERROR(VLOOKUP($CR94,BalanceAtivos,5,0),"-")))</f>
        <v/>
      </c>
      <c r="AV94" s="856" t="str">
        <f>IF($CR94="","",IF(NOT('alocação'!$D$1),"off",IFERROR(VLOOKUP($CR94,BalanceAtivos,6,0),"-")))</f>
        <v/>
      </c>
      <c r="AW94" s="857"/>
      <c r="AX94" s="858" t="str">
        <f>IF($CR94="","",IF($E94="","SP",IFERROR(VLOOKUP($CR94,AtivosDados,MATCH("pm_atual",portfolio.!$A$3:CY$3,0),0)*$CU$5,0)))</f>
        <v/>
      </c>
      <c r="AY94" s="859" t="str">
        <f t="shared" si="2"/>
        <v/>
      </c>
      <c r="AZ94" s="858" t="str">
        <f>IF($CR94="","",IF($E94="","SP",SUMIF(portfolio.!$A$4:$A308,$CR94,portfolio.!$O$4:$O308)*$CU$5))</f>
        <v/>
      </c>
      <c r="BA94" s="858" t="str">
        <f>IF($CR94="","",IF($E94="","SP",SUMIF(portfolio.!$A$4:$A308,$CR94,portfolio.!$AN$4:$AN308)*$CU$5))</f>
        <v/>
      </c>
      <c r="BB94" s="860" t="str">
        <f>IF($CR94="","",IF($E94="","-",IFERROR($BA94/'portfólio'!$DG$63,"")))</f>
        <v/>
      </c>
      <c r="BC94" s="861" t="str">
        <f>IF($CR94="","",IF($E94="","-",SUMIF(portfolio.!$A$4:$A308,$CR94,portfolio.!$J$4:$J308)))</f>
        <v/>
      </c>
      <c r="BD94" s="862" t="str">
        <f>IF($CR94="","",IF($E94="","SP",SUMIF(portfolio.!$A$4:$A308,$CR94,portfolio.!$AQ$4:$AQ308)*$CU$5))</f>
        <v/>
      </c>
      <c r="BE94" s="850" t="str">
        <f t="shared" si="3"/>
        <v/>
      </c>
      <c r="BF94" s="862" t="str">
        <f>IF($CR94="","",IF($E94="","-",SUMIF(portfolio.!$A$4:$A308,$CR94,portfolio.!$AX$4:$AX308)*$CU$5))</f>
        <v/>
      </c>
      <c r="BG94" s="545"/>
      <c r="BH94" s="879" t="s">
        <v>123</v>
      </c>
      <c r="BI94" s="880" t="s">
        <v>123</v>
      </c>
      <c r="BJ94" s="863" t="str">
        <f>IFERROR(__xludf.DUMMYFUNCTION("IF(NOT($BL$4),"""",IF($CR94="""","""",IFERROR(query({GOOGLEFINANCE($CR94,""price"",IF($BI94=""-"",TODAY()-($AQ$5+5),$BI94),TODAY()-1)},""Select max(Col2) where Col1 is not null label max(Col2) ''"")*CU94,""-"")))"),"")</f>
        <v/>
      </c>
      <c r="BK94" s="881" t="s">
        <v>123</v>
      </c>
      <c r="BL94" s="882" t="s">
        <v>123</v>
      </c>
      <c r="BM94" s="442"/>
      <c r="BN94" s="867" t="str">
        <f>IFERROR(__xludf.DUMMYFUNCTION("IF(CR94="""","""",IF(OR(C94=""AÇÃO"",C94=""BDR""),IFERROR(QUERY({fundamentus.!$A$3:$U308},$CX$67&amp;"" where Col1='""&amp;CR94&amp;""' limit 1"",0)),IF(C94=""FII"",IFERROR(QUERY({fundsexplorer.!$A$2:$Z308},$CY$67&amp;"" where Col1='""&amp;CR94&amp;""' limit 1"",0)),"""")))"),"")</f>
        <v/>
      </c>
      <c r="BO94" s="867"/>
      <c r="BP94" s="867"/>
      <c r="BQ94" s="867"/>
      <c r="BR94" s="867"/>
      <c r="BS94" s="867"/>
      <c r="BT94" s="867"/>
      <c r="BU94" s="442"/>
      <c r="BV94" s="868" t="str">
        <f>IFERROR(__xludf.DUMMYFUNCTION("IF(OR(C94=""AÇÃO"",C94=""BDR""),IFERROR(GOOGLEFINANCE(CONCAT(""BVMF:"",CR94), ""marketcap"")/1000000,""NC""),"""")"),"")</f>
        <v/>
      </c>
      <c r="BW94" s="869" t="s">
        <v>123</v>
      </c>
      <c r="BX94" s="870" t="s">
        <v>123</v>
      </c>
      <c r="BY94" s="868" t="s">
        <v>123</v>
      </c>
      <c r="BZ94" s="870" t="s">
        <v>123</v>
      </c>
      <c r="CA94" s="868" t="s">
        <v>123</v>
      </c>
      <c r="CB94" s="868" t="s">
        <v>123</v>
      </c>
      <c r="CC94" s="868" t="s">
        <v>123</v>
      </c>
      <c r="CD94" s="868" t="str">
        <f>IFERROR(__xludf.DUMMYFUNCTION("IF(OR(C94=""AÇÃO"",C94=""BDR""),IFERROR(GOOGLEFINANCE(CONCAT(""BVMF:"",CR94), ""volumeavg"")/1000000,""NC""),"""")"),"")</f>
        <v/>
      </c>
      <c r="CE94" s="870" t="s">
        <v>123</v>
      </c>
      <c r="CF94" s="870" t="s">
        <v>123</v>
      </c>
      <c r="CG94" s="870" t="str">
        <f>IFERROR(__xludf.DUMMYFUNCTION("IF(OR(C94=""AÇÃO"",C94=""BDR""),IF(CF94=0,""SEM DY"",IFERROR(ImportXML(CONCAT(""http://www.guiainvest.com.br/raiox/default.aspx?sigla="",$CR94),""//*[@id='lbPayoutAtual']""),""NC"")),"""")"),"")</f>
        <v/>
      </c>
      <c r="CH94" s="870" t="s">
        <v>123</v>
      </c>
      <c r="CI94" s="545"/>
      <c r="CJ94" s="871" t="str">
        <f>IFERROR(__xludf.DUMMYFUNCTION("IF(OR(C94=""AÇÃO"",C94=""BDR""),IFERROR(GOOGLEFINANCE(CONCAT(""BVMF:"",CR94), ""eps""),""NC""),"""")"),"")</f>
        <v/>
      </c>
      <c r="CK94" s="442"/>
      <c r="CL94" s="871" t="str">
        <f>IFERROR(__xludf.DUMMYFUNCTION("IF(NOT($BL$4),"""",IF($CR94="""","""",IF($BC94="""","""",IFERROR(query({op.normal!$B$5:$F308},""select Col5, toDate(Col2) where Col1 =  '""&amp;$CR94&amp;""' and Col4 &gt; 0 and ((Col3 is null) or (Col3 = 'C')) and Col2 &gt;= date '""&amp;TEXT(TODAY()-$AQ$5,""yyyy-mm-dd"")"&amp;"&amp;""' order by Col2 desc limit 1 label toDate(Col2) ''"")))))"),"")</f>
        <v/>
      </c>
      <c r="CM94" s="872"/>
      <c r="CN94" s="883" t="s">
        <v>123</v>
      </c>
      <c r="CO94" s="874" t="s">
        <v>123</v>
      </c>
      <c r="CP94" s="766"/>
      <c r="CQ94" s="791"/>
      <c r="CR94" s="791"/>
      <c r="CT94" s="791" t="s">
        <v>123</v>
      </c>
      <c r="CU94" s="791" t="str">
        <f>IFERROR(__xludf.DUMMYFUNCTION("IF(CR94="""","""",IF(CT94=$C$4,1,GOOGLEFINANCE(CT94&amp;$C$4)))"),"")</f>
        <v/>
      </c>
    </row>
    <row r="95" ht="22.5" customHeight="1">
      <c r="A95" s="837">
        <v>87.0</v>
      </c>
      <c r="B95" s="838" t="s">
        <v>123</v>
      </c>
      <c r="C95" s="838" t="s">
        <v>123</v>
      </c>
      <c r="D95" s="839" t="s">
        <v>123</v>
      </c>
      <c r="E95" s="839" t="s">
        <v>123</v>
      </c>
      <c r="F95" s="839" t="s">
        <v>123</v>
      </c>
      <c r="G95" s="56"/>
      <c r="H95" s="884"/>
      <c r="I95" s="838"/>
      <c r="J95" s="838"/>
      <c r="K95" s="838"/>
      <c r="L95" s="838"/>
      <c r="M95" s="838"/>
      <c r="N95" s="838"/>
      <c r="O95" s="838"/>
      <c r="P95" s="838"/>
      <c r="Q95" s="838"/>
      <c r="R95" s="838"/>
      <c r="S95" s="838"/>
      <c r="T95" s="838"/>
      <c r="U95" s="838"/>
      <c r="V95" s="838"/>
      <c r="W95" s="838"/>
      <c r="X95" s="838"/>
      <c r="Z95" s="875" t="str">
        <f>IFERROR(__xludf.DUMMYFUNCTION("IF($CR95="""","""",IFERROR(query({CarteirasAtivos},""select Col4 where Col4 is not null and Col1 = '""&amp;$CR95&amp;""' limit 1"")*CU95,""NC""))"),"")</f>
        <v/>
      </c>
      <c r="AA95" s="876" t="str">
        <f>IFERROR(__xludf.DUMMYFUNCTION("IF($CR95="""","""",IFERROR(query({CarteirasAtivos},""select Col6 where Col4 is not null and Col1 = '""&amp;$CR95&amp;""' limit 1""),""NC""))"),"")</f>
        <v/>
      </c>
      <c r="AB95" s="877"/>
      <c r="AC95" s="878" t="s">
        <v>123</v>
      </c>
      <c r="AD95" s="845" t="str">
        <f>IF($CR95="","",IFERROR(VLOOKUP($CR95,ativos.!$C$3:$R308,MATCH("cotacao",ativos.!$C$2:CY$2,0),FALSE)*$CU$5,"atualizar"))</f>
        <v/>
      </c>
      <c r="AE95" s="846" t="str">
        <f>IFERROR(__xludf.DUMMYFUNCTION("IF($CR95="""","""",IFERROR(AVERAGE(query({CarteirasAtivos;CarteirasAtivosEncerrados},""select Col5 where Col5 is not null and Col1 = '""&amp;$CR95&amp;""' and Col10='SIM'""))*CU95,""NC""))"),"")</f>
        <v/>
      </c>
      <c r="AF95" s="847" t="str">
        <f t="shared" si="1"/>
        <v/>
      </c>
      <c r="AG95" s="442"/>
      <c r="AH95" s="848" t="str">
        <f>IFERROR(__xludf.DUMMYFUNCTION("IF($CR95="""","""",IFERROR(GOOGLEFINANCE($CR95,""low52"")*CU95,""-""))"),"")</f>
        <v/>
      </c>
      <c r="AI95" s="848" t="str">
        <f>IFERROR(__xludf.DUMMYFUNCTION("IF($CR95="""","""",IFERROR(GOOGLEFINANCE($CR95,""high52"")*CU95,""-""))"),"")</f>
        <v/>
      </c>
      <c r="AJ95" s="849" t="s">
        <v>123</v>
      </c>
      <c r="AK95" s="850" t="str">
        <f>IFERROR(__xludf.DUMMYFUNCTION("IF($CR95="""","""",IFERROR(GOOGLEFINANCE($CR95,""changepct"")/100,""-""))"),"")</f>
        <v/>
      </c>
      <c r="AL95" s="851" t="str">
        <f>IFERROR(__xludf.DUMMYFUNCTION("IF($CR95="""","""",IFERROR(($AD95/(QUERY(GOOGLEFINANCE($CR95,""price"",TODAY()-7),""SELECT Col2 label Col2 ''"")*$CU95)-1),""-""))"),"")</f>
        <v/>
      </c>
      <c r="AM95" s="851" t="str">
        <f>IFERROR(__xludf.DUMMYFUNCTION("IF($CR95="""","""",IFERROR(($AD95/(QUERY(GOOGLEFINANCE($CR95,""price"",TODAY()-14),""SELECT Col2 label Col2 ''"")*$CU95)-1),""-""))"),"")</f>
        <v/>
      </c>
      <c r="AN95" s="851" t="str">
        <f>IFERROR(__xludf.DUMMYFUNCTION("IF($CR95="""","""",IFERROR(($AD95/(QUERY(GOOGLEFINANCE($CR95,""price"",TODAY()-28),""SELECT Col2 label Col2 ''"")*$CU95)-1),""-""))"),"")</f>
        <v/>
      </c>
      <c r="AO95" s="851" t="str">
        <f>IFERROR(__xludf.DUMMYFUNCTION("IF($CR95="""","""",IFERROR(($AD95/(QUERY(GOOGLEFINANCE($CR95,""price"",TODAY()-$AQ$5),""SELECT Col2 label Col2 ''"")*$CU95)-1),""-""))"),"")</f>
        <v/>
      </c>
      <c r="AP95" s="852" t="str">
        <f>IFERROR(__xludf.DUMMYFUNCTION("IF($CR95="""","""",IFERROR(SPARKLINE(query(GOOGLEFINANCE($CR95,""price"",TODAY()-$AQ$5,TODAY(),1),""select Col2 label Col2 ''""),IF($AP$7=""Gráfico de barras"",{""charttype"",""column"";""highcolor"",""red""},{""chartype"",""line""}))))"),"")</f>
        <v/>
      </c>
      <c r="AQ95" s="144"/>
      <c r="AR95" s="853"/>
      <c r="AS95" s="854" t="str">
        <f>IF($CR95="","",IF(NOT('alocação'!$D$1),"off",IFERROR(VLOOKUP(CR95,BalanceAtivos,3,0),"NC")))</f>
        <v/>
      </c>
      <c r="AT95" s="855" t="str">
        <f>IF($CR95="","",IF(NOT('alocação'!$D$1),"off",IFERROR(VLOOKUP($CR95,BalanceAtivos,4,0)*$CU$5,"NC")))</f>
        <v/>
      </c>
      <c r="AU95" s="856" t="str">
        <f>IF($CR95="","",IF(NOT('alocação'!$D$1),"off",IFERROR(VLOOKUP($CR95,BalanceAtivos,5,0),"-")))</f>
        <v/>
      </c>
      <c r="AV95" s="856" t="str">
        <f>IF($CR95="","",IF(NOT('alocação'!$D$1),"off",IFERROR(VLOOKUP($CR95,BalanceAtivos,6,0),"-")))</f>
        <v/>
      </c>
      <c r="AW95" s="857"/>
      <c r="AX95" s="858" t="str">
        <f>IF($CR95="","",IF($E95="","SP",IFERROR(VLOOKUP($CR95,AtivosDados,MATCH("pm_atual",portfolio.!$A$3:CY$3,0),0)*$CU$5,0)))</f>
        <v/>
      </c>
      <c r="AY95" s="859" t="str">
        <f t="shared" si="2"/>
        <v/>
      </c>
      <c r="AZ95" s="858" t="str">
        <f>IF($CR95="","",IF($E95="","SP",SUMIF(portfolio.!$A$4:$A308,$CR95,portfolio.!$O$4:$O308)*$CU$5))</f>
        <v/>
      </c>
      <c r="BA95" s="858" t="str">
        <f>IF($CR95="","",IF($E95="","SP",SUMIF(portfolio.!$A$4:$A308,$CR95,portfolio.!$AN$4:$AN308)*$CU$5))</f>
        <v/>
      </c>
      <c r="BB95" s="860" t="str">
        <f>IF($CR95="","",IF($E95="","-",IFERROR($BA95/'portfólio'!$DG$63,"")))</f>
        <v/>
      </c>
      <c r="BC95" s="861" t="str">
        <f>IF($CR95="","",IF($E95="","-",SUMIF(portfolio.!$A$4:$A308,$CR95,portfolio.!$J$4:$J308)))</f>
        <v/>
      </c>
      <c r="BD95" s="862" t="str">
        <f>IF($CR95="","",IF($E95="","SP",SUMIF(portfolio.!$A$4:$A308,$CR95,portfolio.!$AQ$4:$AQ308)*$CU$5))</f>
        <v/>
      </c>
      <c r="BE95" s="850" t="str">
        <f t="shared" si="3"/>
        <v/>
      </c>
      <c r="BF95" s="862" t="str">
        <f>IF($CR95="","",IF($E95="","-",SUMIF(portfolio.!$A$4:$A308,$CR95,portfolio.!$AX$4:$AX308)*$CU$5))</f>
        <v/>
      </c>
      <c r="BG95" s="545"/>
      <c r="BH95" s="879" t="s">
        <v>123</v>
      </c>
      <c r="BI95" s="880" t="s">
        <v>123</v>
      </c>
      <c r="BJ95" s="863" t="str">
        <f>IFERROR(__xludf.DUMMYFUNCTION("IF(NOT($BL$4),"""",IF($CR95="""","""",IFERROR(query({GOOGLEFINANCE($CR95,""price"",IF($BI95=""-"",TODAY()-($AQ$5+5),$BI95),TODAY()-1)},""Select max(Col2) where Col1 is not null label max(Col2) ''"")*CU95,""-"")))"),"")</f>
        <v/>
      </c>
      <c r="BK95" s="881" t="s">
        <v>123</v>
      </c>
      <c r="BL95" s="882" t="s">
        <v>123</v>
      </c>
      <c r="BM95" s="442"/>
      <c r="BN95" s="867" t="str">
        <f>IFERROR(__xludf.DUMMYFUNCTION("IF(CR95="""","""",IF(OR(C95=""AÇÃO"",C95=""BDR""),IFERROR(QUERY({fundamentus.!$A$3:$U308},$CX$67&amp;"" where Col1='""&amp;CR95&amp;""' limit 1"",0)),IF(C95=""FII"",IFERROR(QUERY({fundsexplorer.!$A$2:$Z308},$CY$67&amp;"" where Col1='""&amp;CR95&amp;""' limit 1"",0)),"""")))"),"")</f>
        <v/>
      </c>
      <c r="BO95" s="867"/>
      <c r="BP95" s="867"/>
      <c r="BQ95" s="867"/>
      <c r="BR95" s="867"/>
      <c r="BS95" s="867"/>
      <c r="BT95" s="867"/>
      <c r="BU95" s="442"/>
      <c r="BV95" s="868" t="str">
        <f>IFERROR(__xludf.DUMMYFUNCTION("IF(OR(C95=""AÇÃO"",C95=""BDR""),IFERROR(GOOGLEFINANCE(CONCAT(""BVMF:"",CR95), ""marketcap"")/1000000,""NC""),"""")"),"")</f>
        <v/>
      </c>
      <c r="BW95" s="869" t="s">
        <v>123</v>
      </c>
      <c r="BX95" s="870" t="s">
        <v>123</v>
      </c>
      <c r="BY95" s="868" t="s">
        <v>123</v>
      </c>
      <c r="BZ95" s="870" t="s">
        <v>123</v>
      </c>
      <c r="CA95" s="868" t="s">
        <v>123</v>
      </c>
      <c r="CB95" s="868" t="s">
        <v>123</v>
      </c>
      <c r="CC95" s="868" t="s">
        <v>123</v>
      </c>
      <c r="CD95" s="868" t="str">
        <f>IFERROR(__xludf.DUMMYFUNCTION("IF(OR(C95=""AÇÃO"",C95=""BDR""),IFERROR(GOOGLEFINANCE(CONCAT(""BVMF:"",CR95), ""volumeavg"")/1000000,""NC""),"""")"),"")</f>
        <v/>
      </c>
      <c r="CE95" s="870" t="s">
        <v>123</v>
      </c>
      <c r="CF95" s="870" t="s">
        <v>123</v>
      </c>
      <c r="CG95" s="870" t="str">
        <f>IFERROR(__xludf.DUMMYFUNCTION("IF(OR(C95=""AÇÃO"",C95=""BDR""),IF(CF95=0,""SEM DY"",IFERROR(ImportXML(CONCAT(""http://www.guiainvest.com.br/raiox/default.aspx?sigla="",$CR95),""//*[@id='lbPayoutAtual']""),""NC"")),"""")"),"")</f>
        <v/>
      </c>
      <c r="CH95" s="870" t="s">
        <v>123</v>
      </c>
      <c r="CI95" s="545"/>
      <c r="CJ95" s="871" t="str">
        <f>IFERROR(__xludf.DUMMYFUNCTION("IF(OR(C95=""AÇÃO"",C95=""BDR""),IFERROR(GOOGLEFINANCE(CONCAT(""BVMF:"",CR95), ""eps""),""NC""),"""")"),"")</f>
        <v/>
      </c>
      <c r="CK95" s="442"/>
      <c r="CL95" s="871" t="str">
        <f>IFERROR(__xludf.DUMMYFUNCTION("IF(NOT($BL$4),"""",IF($CR95="""","""",IF($BC95="""","""",IFERROR(query({op.normal!$B$5:$F308},""select Col5, toDate(Col2) where Col1 =  '""&amp;$CR95&amp;""' and Col4 &gt; 0 and ((Col3 is null) or (Col3 = 'C')) and Col2 &gt;= date '""&amp;TEXT(TODAY()-$AQ$5,""yyyy-mm-dd"")"&amp;"&amp;""' order by Col2 desc limit 1 label toDate(Col2) ''"")))))"),"")</f>
        <v/>
      </c>
      <c r="CM95" s="872"/>
      <c r="CN95" s="883" t="s">
        <v>123</v>
      </c>
      <c r="CO95" s="874" t="s">
        <v>123</v>
      </c>
      <c r="CP95" s="766"/>
      <c r="CQ95" s="791"/>
      <c r="CR95" s="791"/>
      <c r="CT95" s="791" t="s">
        <v>123</v>
      </c>
      <c r="CU95" s="791" t="str">
        <f>IFERROR(__xludf.DUMMYFUNCTION("IF(CR95="""","""",IF(CT95=$C$4,1,GOOGLEFINANCE(CT95&amp;$C$4)))"),"")</f>
        <v/>
      </c>
    </row>
    <row r="96" ht="22.5" customHeight="1">
      <c r="A96" s="837">
        <v>88.0</v>
      </c>
      <c r="B96" s="838" t="s">
        <v>123</v>
      </c>
      <c r="C96" s="838" t="s">
        <v>123</v>
      </c>
      <c r="D96" s="839" t="s">
        <v>123</v>
      </c>
      <c r="E96" s="839" t="s">
        <v>123</v>
      </c>
      <c r="F96" s="839" t="s">
        <v>123</v>
      </c>
      <c r="G96" s="56"/>
      <c r="H96" s="884"/>
      <c r="I96" s="838"/>
      <c r="J96" s="838"/>
      <c r="K96" s="838"/>
      <c r="L96" s="838"/>
      <c r="M96" s="838"/>
      <c r="N96" s="838"/>
      <c r="O96" s="838"/>
      <c r="P96" s="838"/>
      <c r="Q96" s="838"/>
      <c r="R96" s="838"/>
      <c r="S96" s="838"/>
      <c r="T96" s="838"/>
      <c r="U96" s="838"/>
      <c r="V96" s="838"/>
      <c r="W96" s="838"/>
      <c r="X96" s="838"/>
      <c r="Z96" s="875" t="str">
        <f>IFERROR(__xludf.DUMMYFUNCTION("IF($CR96="""","""",IFERROR(query({CarteirasAtivos},""select Col4 where Col4 is not null and Col1 = '""&amp;$CR96&amp;""' limit 1"")*CU96,""NC""))"),"")</f>
        <v/>
      </c>
      <c r="AA96" s="876" t="str">
        <f>IFERROR(__xludf.DUMMYFUNCTION("IF($CR96="""","""",IFERROR(query({CarteirasAtivos},""select Col6 where Col4 is not null and Col1 = '""&amp;$CR96&amp;""' limit 1""),""NC""))"),"")</f>
        <v/>
      </c>
      <c r="AB96" s="877"/>
      <c r="AC96" s="878" t="s">
        <v>123</v>
      </c>
      <c r="AD96" s="845" t="str">
        <f>IF($CR96="","",IFERROR(VLOOKUP($CR96,ativos.!$C$3:$R308,MATCH("cotacao",ativos.!$C$2:CY$2,0),FALSE)*$CU$5,"atualizar"))</f>
        <v/>
      </c>
      <c r="AE96" s="846" t="str">
        <f>IFERROR(__xludf.DUMMYFUNCTION("IF($CR96="""","""",IFERROR(AVERAGE(query({CarteirasAtivos;CarteirasAtivosEncerrados},""select Col5 where Col5 is not null and Col1 = '""&amp;$CR96&amp;""' and Col10='SIM'""))*CU96,""NC""))"),"")</f>
        <v/>
      </c>
      <c r="AF96" s="847" t="str">
        <f t="shared" si="1"/>
        <v/>
      </c>
      <c r="AG96" s="442"/>
      <c r="AH96" s="848" t="str">
        <f>IFERROR(__xludf.DUMMYFUNCTION("IF($CR96="""","""",IFERROR(GOOGLEFINANCE($CR96,""low52"")*CU96,""-""))"),"")</f>
        <v/>
      </c>
      <c r="AI96" s="848" t="str">
        <f>IFERROR(__xludf.DUMMYFUNCTION("IF($CR96="""","""",IFERROR(GOOGLEFINANCE($CR96,""high52"")*CU96,""-""))"),"")</f>
        <v/>
      </c>
      <c r="AJ96" s="849" t="s">
        <v>123</v>
      </c>
      <c r="AK96" s="850" t="str">
        <f>IFERROR(__xludf.DUMMYFUNCTION("IF($CR96="""","""",IFERROR(GOOGLEFINANCE($CR96,""changepct"")/100,""-""))"),"")</f>
        <v/>
      </c>
      <c r="AL96" s="851" t="str">
        <f>IFERROR(__xludf.DUMMYFUNCTION("IF($CR96="""","""",IFERROR(($AD96/(QUERY(GOOGLEFINANCE($CR96,""price"",TODAY()-7),""SELECT Col2 label Col2 ''"")*$CU96)-1),""-""))"),"")</f>
        <v/>
      </c>
      <c r="AM96" s="851" t="str">
        <f>IFERROR(__xludf.DUMMYFUNCTION("IF($CR96="""","""",IFERROR(($AD96/(QUERY(GOOGLEFINANCE($CR96,""price"",TODAY()-14),""SELECT Col2 label Col2 ''"")*$CU96)-1),""-""))"),"")</f>
        <v/>
      </c>
      <c r="AN96" s="851" t="str">
        <f>IFERROR(__xludf.DUMMYFUNCTION("IF($CR96="""","""",IFERROR(($AD96/(QUERY(GOOGLEFINANCE($CR96,""price"",TODAY()-28),""SELECT Col2 label Col2 ''"")*$CU96)-1),""-""))"),"")</f>
        <v/>
      </c>
      <c r="AO96" s="851" t="str">
        <f>IFERROR(__xludf.DUMMYFUNCTION("IF($CR96="""","""",IFERROR(($AD96/(QUERY(GOOGLEFINANCE($CR96,""price"",TODAY()-$AQ$5),""SELECT Col2 label Col2 ''"")*$CU96)-1),""-""))"),"")</f>
        <v/>
      </c>
      <c r="AP96" s="852" t="str">
        <f>IFERROR(__xludf.DUMMYFUNCTION("IF($CR96="""","""",IFERROR(SPARKLINE(query(GOOGLEFINANCE($CR96,""price"",TODAY()-$AQ$5,TODAY(),1),""select Col2 label Col2 ''""),IF($AP$7=""Gráfico de barras"",{""charttype"",""column"";""highcolor"",""red""},{""chartype"",""line""}))))"),"")</f>
        <v/>
      </c>
      <c r="AQ96" s="144"/>
      <c r="AR96" s="853"/>
      <c r="AS96" s="854" t="str">
        <f>IF($CR96="","",IF(NOT('alocação'!$D$1),"off",IFERROR(VLOOKUP(CR96,BalanceAtivos,3,0),"NC")))</f>
        <v/>
      </c>
      <c r="AT96" s="855" t="str">
        <f>IF($CR96="","",IF(NOT('alocação'!$D$1),"off",IFERROR(VLOOKUP($CR96,BalanceAtivos,4,0)*$CU$5,"NC")))</f>
        <v/>
      </c>
      <c r="AU96" s="856" t="str">
        <f>IF($CR96="","",IF(NOT('alocação'!$D$1),"off",IFERROR(VLOOKUP($CR96,BalanceAtivos,5,0),"-")))</f>
        <v/>
      </c>
      <c r="AV96" s="856" t="str">
        <f>IF($CR96="","",IF(NOT('alocação'!$D$1),"off",IFERROR(VLOOKUP($CR96,BalanceAtivos,6,0),"-")))</f>
        <v/>
      </c>
      <c r="AW96" s="857"/>
      <c r="AX96" s="858" t="str">
        <f>IF($CR96="","",IF($E96="","SP",IFERROR(VLOOKUP($CR96,AtivosDados,MATCH("pm_atual",portfolio.!$A$3:CY$3,0),0)*$CU$5,0)))</f>
        <v/>
      </c>
      <c r="AY96" s="859" t="str">
        <f t="shared" si="2"/>
        <v/>
      </c>
      <c r="AZ96" s="858" t="str">
        <f>IF($CR96="","",IF($E96="","SP",SUMIF(portfolio.!$A$4:$A308,$CR96,portfolio.!$O$4:$O308)*$CU$5))</f>
        <v/>
      </c>
      <c r="BA96" s="858" t="str">
        <f>IF($CR96="","",IF($E96="","SP",SUMIF(portfolio.!$A$4:$A308,$CR96,portfolio.!$AN$4:$AN308)*$CU$5))</f>
        <v/>
      </c>
      <c r="BB96" s="860" t="str">
        <f>IF($CR96="","",IF($E96="","-",IFERROR($BA96/'portfólio'!$DG$63,"")))</f>
        <v/>
      </c>
      <c r="BC96" s="861" t="str">
        <f>IF($CR96="","",IF($E96="","-",SUMIF(portfolio.!$A$4:$A308,$CR96,portfolio.!$J$4:$J308)))</f>
        <v/>
      </c>
      <c r="BD96" s="862" t="str">
        <f>IF($CR96="","",IF($E96="","SP",SUMIF(portfolio.!$A$4:$A308,$CR96,portfolio.!$AQ$4:$AQ308)*$CU$5))</f>
        <v/>
      </c>
      <c r="BE96" s="850" t="str">
        <f t="shared" si="3"/>
        <v/>
      </c>
      <c r="BF96" s="862" t="str">
        <f>IF($CR96="","",IF($E96="","-",SUMIF(portfolio.!$A$4:$A308,$CR96,portfolio.!$AX$4:$AX308)*$CU$5))</f>
        <v/>
      </c>
      <c r="BG96" s="545"/>
      <c r="BH96" s="879" t="s">
        <v>123</v>
      </c>
      <c r="BI96" s="880" t="s">
        <v>123</v>
      </c>
      <c r="BJ96" s="863" t="str">
        <f>IFERROR(__xludf.DUMMYFUNCTION("IF(NOT($BL$4),"""",IF($CR96="""","""",IFERROR(query({GOOGLEFINANCE($CR96,""price"",IF($BI96=""-"",TODAY()-($AQ$5+5),$BI96),TODAY()-1)},""Select max(Col2) where Col1 is not null label max(Col2) ''"")*CU96,""-"")))"),"")</f>
        <v/>
      </c>
      <c r="BK96" s="881" t="s">
        <v>123</v>
      </c>
      <c r="BL96" s="882" t="s">
        <v>123</v>
      </c>
      <c r="BM96" s="442"/>
      <c r="BN96" s="867" t="str">
        <f>IFERROR(__xludf.DUMMYFUNCTION("IF(CR96="""","""",IF(OR(C96=""AÇÃO"",C96=""BDR""),IFERROR(QUERY({fundamentus.!$A$3:$U308},$CX$67&amp;"" where Col1='""&amp;CR96&amp;""' limit 1"",0)),IF(C96=""FII"",IFERROR(QUERY({fundsexplorer.!$A$2:$Z308},$CY$67&amp;"" where Col1='""&amp;CR96&amp;""' limit 1"",0)),"""")))"),"")</f>
        <v/>
      </c>
      <c r="BO96" s="867"/>
      <c r="BP96" s="867"/>
      <c r="BQ96" s="867"/>
      <c r="BR96" s="867"/>
      <c r="BS96" s="867"/>
      <c r="BT96" s="867"/>
      <c r="BU96" s="442"/>
      <c r="BV96" s="868" t="str">
        <f>IFERROR(__xludf.DUMMYFUNCTION("IF(OR(C96=""AÇÃO"",C96=""BDR""),IFERROR(GOOGLEFINANCE(CONCAT(""BVMF:"",CR96), ""marketcap"")/1000000,""NC""),"""")"),"")</f>
        <v/>
      </c>
      <c r="BW96" s="869" t="s">
        <v>123</v>
      </c>
      <c r="BX96" s="870" t="s">
        <v>123</v>
      </c>
      <c r="BY96" s="868" t="s">
        <v>123</v>
      </c>
      <c r="BZ96" s="870" t="s">
        <v>123</v>
      </c>
      <c r="CA96" s="868" t="s">
        <v>123</v>
      </c>
      <c r="CB96" s="868" t="s">
        <v>123</v>
      </c>
      <c r="CC96" s="868" t="s">
        <v>123</v>
      </c>
      <c r="CD96" s="868" t="str">
        <f>IFERROR(__xludf.DUMMYFUNCTION("IF(OR(C96=""AÇÃO"",C96=""BDR""),IFERROR(GOOGLEFINANCE(CONCAT(""BVMF:"",CR96), ""volumeavg"")/1000000,""NC""),"""")"),"")</f>
        <v/>
      </c>
      <c r="CE96" s="870" t="s">
        <v>123</v>
      </c>
      <c r="CF96" s="870" t="s">
        <v>123</v>
      </c>
      <c r="CG96" s="870" t="str">
        <f>IFERROR(__xludf.DUMMYFUNCTION("IF(OR(C96=""AÇÃO"",C96=""BDR""),IF(CF96=0,""SEM DY"",IFERROR(ImportXML(CONCAT(""http://www.guiainvest.com.br/raiox/default.aspx?sigla="",$CR96),""//*[@id='lbPayoutAtual']""),""NC"")),"""")"),"")</f>
        <v/>
      </c>
      <c r="CH96" s="870" t="s">
        <v>123</v>
      </c>
      <c r="CI96" s="545"/>
      <c r="CJ96" s="871" t="str">
        <f>IFERROR(__xludf.DUMMYFUNCTION("IF(OR(C96=""AÇÃO"",C96=""BDR""),IFERROR(GOOGLEFINANCE(CONCAT(""BVMF:"",CR96), ""eps""),""NC""),"""")"),"")</f>
        <v/>
      </c>
      <c r="CK96" s="442"/>
      <c r="CL96" s="871" t="str">
        <f>IFERROR(__xludf.DUMMYFUNCTION("IF(NOT($BL$4),"""",IF($CR96="""","""",IF($BC96="""","""",IFERROR(query({op.normal!$B$5:$F308},""select Col5, toDate(Col2) where Col1 =  '""&amp;$CR96&amp;""' and Col4 &gt; 0 and ((Col3 is null) or (Col3 = 'C')) and Col2 &gt;= date '""&amp;TEXT(TODAY()-$AQ$5,""yyyy-mm-dd"")"&amp;"&amp;""' order by Col2 desc limit 1 label toDate(Col2) ''"")))))"),"")</f>
        <v/>
      </c>
      <c r="CM96" s="872"/>
      <c r="CN96" s="883" t="s">
        <v>123</v>
      </c>
      <c r="CO96" s="874" t="s">
        <v>123</v>
      </c>
      <c r="CP96" s="766"/>
      <c r="CQ96" s="791"/>
      <c r="CR96" s="791"/>
      <c r="CT96" s="791" t="s">
        <v>123</v>
      </c>
      <c r="CU96" s="791" t="str">
        <f>IFERROR(__xludf.DUMMYFUNCTION("IF(CR96="""","""",IF(CT96=$C$4,1,GOOGLEFINANCE(CT96&amp;$C$4)))"),"")</f>
        <v/>
      </c>
    </row>
    <row r="97" ht="22.5" customHeight="1">
      <c r="A97" s="837">
        <v>89.0</v>
      </c>
      <c r="B97" s="838" t="s">
        <v>123</v>
      </c>
      <c r="C97" s="838" t="s">
        <v>123</v>
      </c>
      <c r="D97" s="839" t="s">
        <v>123</v>
      </c>
      <c r="E97" s="839" t="s">
        <v>123</v>
      </c>
      <c r="F97" s="839" t="s">
        <v>123</v>
      </c>
      <c r="G97" s="56"/>
      <c r="H97" s="884"/>
      <c r="I97" s="838"/>
      <c r="J97" s="838"/>
      <c r="K97" s="838"/>
      <c r="L97" s="838"/>
      <c r="M97" s="838"/>
      <c r="N97" s="838"/>
      <c r="O97" s="838"/>
      <c r="P97" s="838"/>
      <c r="Q97" s="838"/>
      <c r="R97" s="838"/>
      <c r="S97" s="838"/>
      <c r="T97" s="838"/>
      <c r="U97" s="838"/>
      <c r="V97" s="838"/>
      <c r="W97" s="838"/>
      <c r="X97" s="838"/>
      <c r="Z97" s="875" t="str">
        <f>IFERROR(__xludf.DUMMYFUNCTION("IF($CR97="""","""",IFERROR(query({CarteirasAtivos},""select Col4 where Col4 is not null and Col1 = '""&amp;$CR97&amp;""' limit 1"")*CU97,""NC""))"),"")</f>
        <v/>
      </c>
      <c r="AA97" s="876" t="str">
        <f>IFERROR(__xludf.DUMMYFUNCTION("IF($CR97="""","""",IFERROR(query({CarteirasAtivos},""select Col6 where Col4 is not null and Col1 = '""&amp;$CR97&amp;""' limit 1""),""NC""))"),"")</f>
        <v/>
      </c>
      <c r="AB97" s="877"/>
      <c r="AC97" s="878" t="s">
        <v>123</v>
      </c>
      <c r="AD97" s="845" t="str">
        <f>IF($CR97="","",IFERROR(VLOOKUP($CR97,ativos.!$C$3:$R308,MATCH("cotacao",ativos.!$C$2:CY$2,0),FALSE)*$CU$5,"atualizar"))</f>
        <v/>
      </c>
      <c r="AE97" s="846" t="str">
        <f>IFERROR(__xludf.DUMMYFUNCTION("IF($CR97="""","""",IFERROR(AVERAGE(query({CarteirasAtivos;CarteirasAtivosEncerrados},""select Col5 where Col5 is not null and Col1 = '""&amp;$CR97&amp;""' and Col10='SIM'""))*CU97,""NC""))"),"")</f>
        <v/>
      </c>
      <c r="AF97" s="847" t="str">
        <f t="shared" si="1"/>
        <v/>
      </c>
      <c r="AG97" s="442"/>
      <c r="AH97" s="848" t="str">
        <f>IFERROR(__xludf.DUMMYFUNCTION("IF($CR97="""","""",IFERROR(GOOGLEFINANCE($CR97,""low52"")*CU97,""-""))"),"")</f>
        <v/>
      </c>
      <c r="AI97" s="848" t="str">
        <f>IFERROR(__xludf.DUMMYFUNCTION("IF($CR97="""","""",IFERROR(GOOGLEFINANCE($CR97,""high52"")*CU97,""-""))"),"")</f>
        <v/>
      </c>
      <c r="AJ97" s="849" t="s">
        <v>123</v>
      </c>
      <c r="AK97" s="850" t="str">
        <f>IFERROR(__xludf.DUMMYFUNCTION("IF($CR97="""","""",IFERROR(GOOGLEFINANCE($CR97,""changepct"")/100,""-""))"),"")</f>
        <v/>
      </c>
      <c r="AL97" s="851" t="str">
        <f>IFERROR(__xludf.DUMMYFUNCTION("IF($CR97="""","""",IFERROR(($AD97/(QUERY(GOOGLEFINANCE($CR97,""price"",TODAY()-7),""SELECT Col2 label Col2 ''"")*$CU97)-1),""-""))"),"")</f>
        <v/>
      </c>
      <c r="AM97" s="851" t="str">
        <f>IFERROR(__xludf.DUMMYFUNCTION("IF($CR97="""","""",IFERROR(($AD97/(QUERY(GOOGLEFINANCE($CR97,""price"",TODAY()-14),""SELECT Col2 label Col2 ''"")*$CU97)-1),""-""))"),"")</f>
        <v/>
      </c>
      <c r="AN97" s="851" t="str">
        <f>IFERROR(__xludf.DUMMYFUNCTION("IF($CR97="""","""",IFERROR(($AD97/(QUERY(GOOGLEFINANCE($CR97,""price"",TODAY()-28),""SELECT Col2 label Col2 ''"")*$CU97)-1),""-""))"),"")</f>
        <v/>
      </c>
      <c r="AO97" s="851" t="str">
        <f>IFERROR(__xludf.DUMMYFUNCTION("IF($CR97="""","""",IFERROR(($AD97/(QUERY(GOOGLEFINANCE($CR97,""price"",TODAY()-$AQ$5),""SELECT Col2 label Col2 ''"")*$CU97)-1),""-""))"),"")</f>
        <v/>
      </c>
      <c r="AP97" s="852" t="str">
        <f>IFERROR(__xludf.DUMMYFUNCTION("IF($CR97="""","""",IFERROR(SPARKLINE(query(GOOGLEFINANCE($CR97,""price"",TODAY()-$AQ$5,TODAY(),1),""select Col2 label Col2 ''""),IF($AP$7=""Gráfico de barras"",{""charttype"",""column"";""highcolor"",""red""},{""chartype"",""line""}))))"),"")</f>
        <v/>
      </c>
      <c r="AQ97" s="144"/>
      <c r="AR97" s="853"/>
      <c r="AS97" s="854" t="str">
        <f>IF($CR97="","",IF(NOT('alocação'!$D$1),"off",IFERROR(VLOOKUP(CR97,BalanceAtivos,3,0),"NC")))</f>
        <v/>
      </c>
      <c r="AT97" s="855" t="str">
        <f>IF($CR97="","",IF(NOT('alocação'!$D$1),"off",IFERROR(VLOOKUP($CR97,BalanceAtivos,4,0)*$CU$5,"NC")))</f>
        <v/>
      </c>
      <c r="AU97" s="856" t="str">
        <f>IF($CR97="","",IF(NOT('alocação'!$D$1),"off",IFERROR(VLOOKUP($CR97,BalanceAtivos,5,0),"-")))</f>
        <v/>
      </c>
      <c r="AV97" s="856" t="str">
        <f>IF($CR97="","",IF(NOT('alocação'!$D$1),"off",IFERROR(VLOOKUP($CR97,BalanceAtivos,6,0),"-")))</f>
        <v/>
      </c>
      <c r="AW97" s="857"/>
      <c r="AX97" s="858" t="str">
        <f>IF($CR97="","",IF($E97="","SP",IFERROR(VLOOKUP($CR97,AtivosDados,MATCH("pm_atual",portfolio.!$A$3:CY$3,0),0)*$CU$5,0)))</f>
        <v/>
      </c>
      <c r="AY97" s="859" t="str">
        <f t="shared" si="2"/>
        <v/>
      </c>
      <c r="AZ97" s="858" t="str">
        <f>IF($CR97="","",IF($E97="","SP",SUMIF(portfolio.!$A$4:$A308,$CR97,portfolio.!$O$4:$O308)*$CU$5))</f>
        <v/>
      </c>
      <c r="BA97" s="858" t="str">
        <f>IF($CR97="","",IF($E97="","SP",SUMIF(portfolio.!$A$4:$A308,$CR97,portfolio.!$AN$4:$AN308)*$CU$5))</f>
        <v/>
      </c>
      <c r="BB97" s="860" t="str">
        <f>IF($CR97="","",IF($E97="","-",IFERROR($BA97/'portfólio'!$DG$63,"")))</f>
        <v/>
      </c>
      <c r="BC97" s="861" t="str">
        <f>IF($CR97="","",IF($E97="","-",SUMIF(portfolio.!$A$4:$A308,$CR97,portfolio.!$J$4:$J308)))</f>
        <v/>
      </c>
      <c r="BD97" s="862" t="str">
        <f>IF($CR97="","",IF($E97="","SP",SUMIF(portfolio.!$A$4:$A308,$CR97,portfolio.!$AQ$4:$AQ308)*$CU$5))</f>
        <v/>
      </c>
      <c r="BE97" s="850" t="str">
        <f t="shared" si="3"/>
        <v/>
      </c>
      <c r="BF97" s="862" t="str">
        <f>IF($CR97="","",IF($E97="","-",SUMIF(portfolio.!$A$4:$A308,$CR97,portfolio.!$AX$4:$AX308)*$CU$5))</f>
        <v/>
      </c>
      <c r="BG97" s="545"/>
      <c r="BH97" s="879" t="s">
        <v>123</v>
      </c>
      <c r="BI97" s="880" t="s">
        <v>123</v>
      </c>
      <c r="BJ97" s="863" t="str">
        <f>IFERROR(__xludf.DUMMYFUNCTION("IF(NOT($BL$4),"""",IF($CR97="""","""",IFERROR(query({GOOGLEFINANCE($CR97,""price"",IF($BI97=""-"",TODAY()-($AQ$5+5),$BI97),TODAY()-1)},""Select max(Col2) where Col1 is not null label max(Col2) ''"")*CU97,""-"")))"),"")</f>
        <v/>
      </c>
      <c r="BK97" s="881" t="s">
        <v>123</v>
      </c>
      <c r="BL97" s="882" t="s">
        <v>123</v>
      </c>
      <c r="BM97" s="442"/>
      <c r="BN97" s="867" t="str">
        <f>IFERROR(__xludf.DUMMYFUNCTION("IF(CR97="""","""",IF(OR(C97=""AÇÃO"",C97=""BDR""),IFERROR(QUERY({fundamentus.!$A$3:$U308},$CX$67&amp;"" where Col1='""&amp;CR97&amp;""' limit 1"",0)),IF(C97=""FII"",IFERROR(QUERY({fundsexplorer.!$A$2:$Z308},$CY$67&amp;"" where Col1='""&amp;CR97&amp;""' limit 1"",0)),"""")))"),"")</f>
        <v/>
      </c>
      <c r="BO97" s="867"/>
      <c r="BP97" s="867"/>
      <c r="BQ97" s="867"/>
      <c r="BR97" s="867"/>
      <c r="BS97" s="867"/>
      <c r="BT97" s="867"/>
      <c r="BU97" s="442"/>
      <c r="BV97" s="868" t="str">
        <f>IFERROR(__xludf.DUMMYFUNCTION("IF(OR(C97=""AÇÃO"",C97=""BDR""),IFERROR(GOOGLEFINANCE(CONCAT(""BVMF:"",CR97), ""marketcap"")/1000000,""NC""),"""")"),"")</f>
        <v/>
      </c>
      <c r="BW97" s="869" t="s">
        <v>123</v>
      </c>
      <c r="BX97" s="870" t="s">
        <v>123</v>
      </c>
      <c r="BY97" s="868" t="s">
        <v>123</v>
      </c>
      <c r="BZ97" s="870" t="s">
        <v>123</v>
      </c>
      <c r="CA97" s="868" t="s">
        <v>123</v>
      </c>
      <c r="CB97" s="868" t="s">
        <v>123</v>
      </c>
      <c r="CC97" s="868" t="s">
        <v>123</v>
      </c>
      <c r="CD97" s="868" t="str">
        <f>IFERROR(__xludf.DUMMYFUNCTION("IF(OR(C97=""AÇÃO"",C97=""BDR""),IFERROR(GOOGLEFINANCE(CONCAT(""BVMF:"",CR97), ""volumeavg"")/1000000,""NC""),"""")"),"")</f>
        <v/>
      </c>
      <c r="CE97" s="870" t="s">
        <v>123</v>
      </c>
      <c r="CF97" s="870" t="s">
        <v>123</v>
      </c>
      <c r="CG97" s="870" t="str">
        <f>IFERROR(__xludf.DUMMYFUNCTION("IF(OR(C97=""AÇÃO"",C97=""BDR""),IF(CF97=0,""SEM DY"",IFERROR(ImportXML(CONCAT(""http://www.guiainvest.com.br/raiox/default.aspx?sigla="",$CR97),""//*[@id='lbPayoutAtual']""),""NC"")),"""")"),"")</f>
        <v/>
      </c>
      <c r="CH97" s="870" t="s">
        <v>123</v>
      </c>
      <c r="CI97" s="545"/>
      <c r="CJ97" s="871" t="str">
        <f>IFERROR(__xludf.DUMMYFUNCTION("IF(OR(C97=""AÇÃO"",C97=""BDR""),IFERROR(GOOGLEFINANCE(CONCAT(""BVMF:"",CR97), ""eps""),""NC""),"""")"),"")</f>
        <v/>
      </c>
      <c r="CK97" s="442"/>
      <c r="CL97" s="871" t="str">
        <f>IFERROR(__xludf.DUMMYFUNCTION("IF(NOT($BL$4),"""",IF($CR97="""","""",IF($BC97="""","""",IFERROR(query({op.normal!$B$5:$F308},""select Col5, toDate(Col2) where Col1 =  '""&amp;$CR97&amp;""' and Col4 &gt; 0 and ((Col3 is null) or (Col3 = 'C')) and Col2 &gt;= date '""&amp;TEXT(TODAY()-$AQ$5,""yyyy-mm-dd"")"&amp;"&amp;""' order by Col2 desc limit 1 label toDate(Col2) ''"")))))"),"")</f>
        <v/>
      </c>
      <c r="CM97" s="872"/>
      <c r="CN97" s="883" t="s">
        <v>123</v>
      </c>
      <c r="CO97" s="874" t="s">
        <v>123</v>
      </c>
      <c r="CP97" s="766"/>
      <c r="CQ97" s="791"/>
      <c r="CR97" s="791"/>
      <c r="CT97" s="791" t="s">
        <v>123</v>
      </c>
      <c r="CU97" s="791" t="str">
        <f>IFERROR(__xludf.DUMMYFUNCTION("IF(CR97="""","""",IF(CT97=$C$4,1,GOOGLEFINANCE(CT97&amp;$C$4)))"),"")</f>
        <v/>
      </c>
    </row>
    <row r="98" ht="22.5" customHeight="1">
      <c r="A98" s="837">
        <v>90.0</v>
      </c>
      <c r="B98" s="838" t="s">
        <v>123</v>
      </c>
      <c r="C98" s="838" t="s">
        <v>123</v>
      </c>
      <c r="D98" s="839" t="s">
        <v>123</v>
      </c>
      <c r="E98" s="839" t="s">
        <v>123</v>
      </c>
      <c r="F98" s="839" t="s">
        <v>123</v>
      </c>
      <c r="G98" s="56"/>
      <c r="H98" s="884"/>
      <c r="I98" s="838"/>
      <c r="J98" s="838"/>
      <c r="K98" s="838"/>
      <c r="L98" s="838"/>
      <c r="M98" s="838"/>
      <c r="N98" s="838"/>
      <c r="O98" s="838"/>
      <c r="P98" s="838"/>
      <c r="Q98" s="838"/>
      <c r="R98" s="838"/>
      <c r="S98" s="838"/>
      <c r="T98" s="838"/>
      <c r="U98" s="838"/>
      <c r="V98" s="838"/>
      <c r="W98" s="838"/>
      <c r="X98" s="838"/>
      <c r="Z98" s="875" t="str">
        <f>IFERROR(__xludf.DUMMYFUNCTION("IF($CR98="""","""",IFERROR(query({CarteirasAtivos},""select Col4 where Col4 is not null and Col1 = '""&amp;$CR98&amp;""' limit 1"")*CU98,""NC""))"),"")</f>
        <v/>
      </c>
      <c r="AA98" s="876" t="str">
        <f>IFERROR(__xludf.DUMMYFUNCTION("IF($CR98="""","""",IFERROR(query({CarteirasAtivos},""select Col6 where Col4 is not null and Col1 = '""&amp;$CR98&amp;""' limit 1""),""NC""))"),"")</f>
        <v/>
      </c>
      <c r="AB98" s="877"/>
      <c r="AC98" s="878" t="s">
        <v>123</v>
      </c>
      <c r="AD98" s="845" t="str">
        <f>IF($CR98="","",IFERROR(VLOOKUP($CR98,ativos.!$C$3:$R308,MATCH("cotacao",ativos.!$C$2:CY$2,0),FALSE)*$CU$5,"atualizar"))</f>
        <v/>
      </c>
      <c r="AE98" s="846" t="str">
        <f>IFERROR(__xludf.DUMMYFUNCTION("IF($CR98="""","""",IFERROR(AVERAGE(query({CarteirasAtivos;CarteirasAtivosEncerrados},""select Col5 where Col5 is not null and Col1 = '""&amp;$CR98&amp;""' and Col10='SIM'""))*CU98,""NC""))"),"")</f>
        <v/>
      </c>
      <c r="AF98" s="847" t="str">
        <f t="shared" si="1"/>
        <v/>
      </c>
      <c r="AG98" s="442"/>
      <c r="AH98" s="848" t="str">
        <f>IFERROR(__xludf.DUMMYFUNCTION("IF($CR98="""","""",IFERROR(GOOGLEFINANCE($CR98,""low52"")*CU98,""-""))"),"")</f>
        <v/>
      </c>
      <c r="AI98" s="848" t="str">
        <f>IFERROR(__xludf.DUMMYFUNCTION("IF($CR98="""","""",IFERROR(GOOGLEFINANCE($CR98,""high52"")*CU98,""-""))"),"")</f>
        <v/>
      </c>
      <c r="AJ98" s="849" t="s">
        <v>123</v>
      </c>
      <c r="AK98" s="850" t="str">
        <f>IFERROR(__xludf.DUMMYFUNCTION("IF($CR98="""","""",IFERROR(GOOGLEFINANCE($CR98,""changepct"")/100,""-""))"),"")</f>
        <v/>
      </c>
      <c r="AL98" s="851" t="str">
        <f>IFERROR(__xludf.DUMMYFUNCTION("IF($CR98="""","""",IFERROR(($AD98/(QUERY(GOOGLEFINANCE($CR98,""price"",TODAY()-7),""SELECT Col2 label Col2 ''"")*$CU98)-1),""-""))"),"")</f>
        <v/>
      </c>
      <c r="AM98" s="851" t="str">
        <f>IFERROR(__xludf.DUMMYFUNCTION("IF($CR98="""","""",IFERROR(($AD98/(QUERY(GOOGLEFINANCE($CR98,""price"",TODAY()-14),""SELECT Col2 label Col2 ''"")*$CU98)-1),""-""))"),"")</f>
        <v/>
      </c>
      <c r="AN98" s="851" t="str">
        <f>IFERROR(__xludf.DUMMYFUNCTION("IF($CR98="""","""",IFERROR(($AD98/(QUERY(GOOGLEFINANCE($CR98,""price"",TODAY()-28),""SELECT Col2 label Col2 ''"")*$CU98)-1),""-""))"),"")</f>
        <v/>
      </c>
      <c r="AO98" s="851" t="str">
        <f>IFERROR(__xludf.DUMMYFUNCTION("IF($CR98="""","""",IFERROR(($AD98/(QUERY(GOOGLEFINANCE($CR98,""price"",TODAY()-$AQ$5),""SELECT Col2 label Col2 ''"")*$CU98)-1),""-""))"),"")</f>
        <v/>
      </c>
      <c r="AP98" s="852" t="str">
        <f>IFERROR(__xludf.DUMMYFUNCTION("IF($CR98="""","""",IFERROR(SPARKLINE(query(GOOGLEFINANCE($CR98,""price"",TODAY()-$AQ$5,TODAY(),1),""select Col2 label Col2 ''""),IF($AP$7=""Gráfico de barras"",{""charttype"",""column"";""highcolor"",""red""},{""chartype"",""line""}))))"),"")</f>
        <v/>
      </c>
      <c r="AQ98" s="144"/>
      <c r="AR98" s="853"/>
      <c r="AS98" s="854" t="str">
        <f>IF($CR98="","",IF(NOT('alocação'!$D$1),"off",IFERROR(VLOOKUP(CR98,BalanceAtivos,3,0),"NC")))</f>
        <v/>
      </c>
      <c r="AT98" s="855" t="str">
        <f>IF($CR98="","",IF(NOT('alocação'!$D$1),"off",IFERROR(VLOOKUP($CR98,BalanceAtivos,4,0)*$CU$5,"NC")))</f>
        <v/>
      </c>
      <c r="AU98" s="856" t="str">
        <f>IF($CR98="","",IF(NOT('alocação'!$D$1),"off",IFERROR(VLOOKUP($CR98,BalanceAtivos,5,0),"-")))</f>
        <v/>
      </c>
      <c r="AV98" s="856" t="str">
        <f>IF($CR98="","",IF(NOT('alocação'!$D$1),"off",IFERROR(VLOOKUP($CR98,BalanceAtivos,6,0),"-")))</f>
        <v/>
      </c>
      <c r="AW98" s="857"/>
      <c r="AX98" s="858" t="str">
        <f>IF($CR98="","",IF($E98="","SP",IFERROR(VLOOKUP($CR98,AtivosDados,MATCH("pm_atual",portfolio.!$A$3:CY$3,0),0)*$CU$5,0)))</f>
        <v/>
      </c>
      <c r="AY98" s="859" t="str">
        <f t="shared" si="2"/>
        <v/>
      </c>
      <c r="AZ98" s="858" t="str">
        <f>IF($CR98="","",IF($E98="","SP",SUMIF(portfolio.!$A$4:$A308,$CR98,portfolio.!$O$4:$O308)*$CU$5))</f>
        <v/>
      </c>
      <c r="BA98" s="858" t="str">
        <f>IF($CR98="","",IF($E98="","SP",SUMIF(portfolio.!$A$4:$A308,$CR98,portfolio.!$AN$4:$AN308)*$CU$5))</f>
        <v/>
      </c>
      <c r="BB98" s="860" t="str">
        <f>IF($CR98="","",IF($E98="","-",IFERROR($BA98/'portfólio'!$DG$63,"")))</f>
        <v/>
      </c>
      <c r="BC98" s="861" t="str">
        <f>IF($CR98="","",IF($E98="","-",SUMIF(portfolio.!$A$4:$A308,$CR98,portfolio.!$J$4:$J308)))</f>
        <v/>
      </c>
      <c r="BD98" s="862" t="str">
        <f>IF($CR98="","",IF($E98="","SP",SUMIF(portfolio.!$A$4:$A308,$CR98,portfolio.!$AQ$4:$AQ308)*$CU$5))</f>
        <v/>
      </c>
      <c r="BE98" s="850" t="str">
        <f t="shared" si="3"/>
        <v/>
      </c>
      <c r="BF98" s="862" t="str">
        <f>IF($CR98="","",IF($E98="","-",SUMIF(portfolio.!$A$4:$A308,$CR98,portfolio.!$AX$4:$AX308)*$CU$5))</f>
        <v/>
      </c>
      <c r="BG98" s="545"/>
      <c r="BH98" s="879" t="s">
        <v>123</v>
      </c>
      <c r="BI98" s="880" t="s">
        <v>123</v>
      </c>
      <c r="BJ98" s="863" t="str">
        <f>IFERROR(__xludf.DUMMYFUNCTION("IF(NOT($BL$4),"""",IF($CR98="""","""",IFERROR(query({GOOGLEFINANCE($CR98,""price"",IF($BI98=""-"",TODAY()-($AQ$5+5),$BI98),TODAY()-1)},""Select max(Col2) where Col1 is not null label max(Col2) ''"")*CU98,""-"")))"),"")</f>
        <v/>
      </c>
      <c r="BK98" s="881" t="s">
        <v>123</v>
      </c>
      <c r="BL98" s="882" t="s">
        <v>123</v>
      </c>
      <c r="BM98" s="442"/>
      <c r="BN98" s="867" t="str">
        <f>IFERROR(__xludf.DUMMYFUNCTION("IF(CR98="""","""",IF(OR(C98=""AÇÃO"",C98=""BDR""),IFERROR(QUERY({fundamentus.!$A$3:$U308},$CX$67&amp;"" where Col1='""&amp;CR98&amp;""' limit 1"",0)),IF(C98=""FII"",IFERROR(QUERY({fundsexplorer.!$A$2:$Z308},$CY$67&amp;"" where Col1='""&amp;CR98&amp;""' limit 1"",0)),"""")))"),"")</f>
        <v/>
      </c>
      <c r="BO98" s="867"/>
      <c r="BP98" s="867"/>
      <c r="BQ98" s="867"/>
      <c r="BR98" s="867"/>
      <c r="BS98" s="867"/>
      <c r="BT98" s="867"/>
      <c r="BU98" s="442"/>
      <c r="BV98" s="868" t="str">
        <f>IFERROR(__xludf.DUMMYFUNCTION("IF(OR(C98=""AÇÃO"",C98=""BDR""),IFERROR(GOOGLEFINANCE(CONCAT(""BVMF:"",CR98), ""marketcap"")/1000000,""NC""),"""")"),"")</f>
        <v/>
      </c>
      <c r="BW98" s="869" t="s">
        <v>123</v>
      </c>
      <c r="BX98" s="870" t="s">
        <v>123</v>
      </c>
      <c r="BY98" s="868" t="s">
        <v>123</v>
      </c>
      <c r="BZ98" s="870" t="s">
        <v>123</v>
      </c>
      <c r="CA98" s="868" t="s">
        <v>123</v>
      </c>
      <c r="CB98" s="868" t="s">
        <v>123</v>
      </c>
      <c r="CC98" s="868" t="s">
        <v>123</v>
      </c>
      <c r="CD98" s="868" t="str">
        <f>IFERROR(__xludf.DUMMYFUNCTION("IF(OR(C98=""AÇÃO"",C98=""BDR""),IFERROR(GOOGLEFINANCE(CONCAT(""BVMF:"",CR98), ""volumeavg"")/1000000,""NC""),"""")"),"")</f>
        <v/>
      </c>
      <c r="CE98" s="870" t="s">
        <v>123</v>
      </c>
      <c r="CF98" s="870" t="s">
        <v>123</v>
      </c>
      <c r="CG98" s="870" t="str">
        <f>IFERROR(__xludf.DUMMYFUNCTION("IF(OR(C98=""AÇÃO"",C98=""BDR""),IF(CF98=0,""SEM DY"",IFERROR(ImportXML(CONCAT(""http://www.guiainvest.com.br/raiox/default.aspx?sigla="",$CR98),""//*[@id='lbPayoutAtual']""),""NC"")),"""")"),"")</f>
        <v/>
      </c>
      <c r="CH98" s="870" t="s">
        <v>123</v>
      </c>
      <c r="CI98" s="545"/>
      <c r="CJ98" s="871" t="str">
        <f>IFERROR(__xludf.DUMMYFUNCTION("IF(OR(C98=""AÇÃO"",C98=""BDR""),IFERROR(GOOGLEFINANCE(CONCAT(""BVMF:"",CR98), ""eps""),""NC""),"""")"),"")</f>
        <v/>
      </c>
      <c r="CK98" s="442"/>
      <c r="CL98" s="871" t="str">
        <f>IFERROR(__xludf.DUMMYFUNCTION("IF(NOT($BL$4),"""",IF($CR98="""","""",IF($BC98="""","""",IFERROR(query({op.normal!$B$5:$F308},""select Col5, toDate(Col2) where Col1 =  '""&amp;$CR98&amp;""' and Col4 &gt; 0 and ((Col3 is null) or (Col3 = 'C')) and Col2 &gt;= date '""&amp;TEXT(TODAY()-$AQ$5,""yyyy-mm-dd"")"&amp;"&amp;""' order by Col2 desc limit 1 label toDate(Col2) ''"")))))"),"")</f>
        <v/>
      </c>
      <c r="CM98" s="872"/>
      <c r="CN98" s="883" t="s">
        <v>123</v>
      </c>
      <c r="CO98" s="874" t="s">
        <v>123</v>
      </c>
      <c r="CP98" s="766"/>
      <c r="CQ98" s="791"/>
      <c r="CR98" s="791"/>
      <c r="CT98" s="791" t="s">
        <v>123</v>
      </c>
      <c r="CU98" s="791" t="str">
        <f>IFERROR(__xludf.DUMMYFUNCTION("IF(CR98="""","""",IF(CT98=$C$4,1,GOOGLEFINANCE(CT98&amp;$C$4)))"),"")</f>
        <v/>
      </c>
    </row>
    <row r="99" ht="22.5" customHeight="1">
      <c r="A99" s="837">
        <v>91.0</v>
      </c>
      <c r="B99" s="838" t="s">
        <v>123</v>
      </c>
      <c r="C99" s="838" t="s">
        <v>123</v>
      </c>
      <c r="D99" s="839" t="s">
        <v>123</v>
      </c>
      <c r="E99" s="839" t="s">
        <v>123</v>
      </c>
      <c r="F99" s="839" t="s">
        <v>123</v>
      </c>
      <c r="G99" s="56"/>
      <c r="H99" s="884"/>
      <c r="I99" s="838"/>
      <c r="J99" s="838"/>
      <c r="K99" s="838"/>
      <c r="L99" s="838"/>
      <c r="M99" s="838"/>
      <c r="N99" s="838"/>
      <c r="O99" s="838"/>
      <c r="P99" s="838"/>
      <c r="Q99" s="838"/>
      <c r="R99" s="838"/>
      <c r="S99" s="838"/>
      <c r="T99" s="838"/>
      <c r="U99" s="838"/>
      <c r="V99" s="838"/>
      <c r="W99" s="838"/>
      <c r="X99" s="838"/>
      <c r="Z99" s="875" t="str">
        <f>IFERROR(__xludf.DUMMYFUNCTION("IF($CR99="""","""",IFERROR(query({CarteirasAtivos},""select Col4 where Col4 is not null and Col1 = '""&amp;$CR99&amp;""' limit 1"")*CU99,""NC""))"),"")</f>
        <v/>
      </c>
      <c r="AA99" s="876" t="str">
        <f>IFERROR(__xludf.DUMMYFUNCTION("IF($CR99="""","""",IFERROR(query({CarteirasAtivos},""select Col6 where Col4 is not null and Col1 = '""&amp;$CR99&amp;""' limit 1""),""NC""))"),"")</f>
        <v/>
      </c>
      <c r="AB99" s="877"/>
      <c r="AC99" s="878" t="s">
        <v>123</v>
      </c>
      <c r="AD99" s="845" t="str">
        <f>IF($CR99="","",IFERROR(VLOOKUP($CR99,ativos.!$C$3:$R308,MATCH("cotacao",ativos.!$C$2:CY$2,0),FALSE)*$CU$5,"atualizar"))</f>
        <v/>
      </c>
      <c r="AE99" s="846" t="str">
        <f>IFERROR(__xludf.DUMMYFUNCTION("IF($CR99="""","""",IFERROR(AVERAGE(query({CarteirasAtivos;CarteirasAtivosEncerrados},""select Col5 where Col5 is not null and Col1 = '""&amp;$CR99&amp;""' and Col10='SIM'""))*CU99,""NC""))"),"")</f>
        <v/>
      </c>
      <c r="AF99" s="847" t="str">
        <f t="shared" si="1"/>
        <v/>
      </c>
      <c r="AG99" s="442"/>
      <c r="AH99" s="848" t="str">
        <f>IFERROR(__xludf.DUMMYFUNCTION("IF($CR99="""","""",IFERROR(GOOGLEFINANCE($CR99,""low52"")*CU99,""-""))"),"")</f>
        <v/>
      </c>
      <c r="AI99" s="848" t="str">
        <f>IFERROR(__xludf.DUMMYFUNCTION("IF($CR99="""","""",IFERROR(GOOGLEFINANCE($CR99,""high52"")*CU99,""-""))"),"")</f>
        <v/>
      </c>
      <c r="AJ99" s="849" t="s">
        <v>123</v>
      </c>
      <c r="AK99" s="850" t="str">
        <f>IFERROR(__xludf.DUMMYFUNCTION("IF($CR99="""","""",IFERROR(GOOGLEFINANCE($CR99,""changepct"")/100,""-""))"),"")</f>
        <v/>
      </c>
      <c r="AL99" s="851" t="str">
        <f>IFERROR(__xludf.DUMMYFUNCTION("IF($CR99="""","""",IFERROR(($AD99/(QUERY(GOOGLEFINANCE($CR99,""price"",TODAY()-7),""SELECT Col2 label Col2 ''"")*$CU99)-1),""-""))"),"")</f>
        <v/>
      </c>
      <c r="AM99" s="851" t="str">
        <f>IFERROR(__xludf.DUMMYFUNCTION("IF($CR99="""","""",IFERROR(($AD99/(QUERY(GOOGLEFINANCE($CR99,""price"",TODAY()-14),""SELECT Col2 label Col2 ''"")*$CU99)-1),""-""))"),"")</f>
        <v/>
      </c>
      <c r="AN99" s="851" t="str">
        <f>IFERROR(__xludf.DUMMYFUNCTION("IF($CR99="""","""",IFERROR(($AD99/(QUERY(GOOGLEFINANCE($CR99,""price"",TODAY()-28),""SELECT Col2 label Col2 ''"")*$CU99)-1),""-""))"),"")</f>
        <v/>
      </c>
      <c r="AO99" s="851" t="str">
        <f>IFERROR(__xludf.DUMMYFUNCTION("IF($CR99="""","""",IFERROR(($AD99/(QUERY(GOOGLEFINANCE($CR99,""price"",TODAY()-$AQ$5),""SELECT Col2 label Col2 ''"")*$CU99)-1),""-""))"),"")</f>
        <v/>
      </c>
      <c r="AP99" s="852" t="str">
        <f>IFERROR(__xludf.DUMMYFUNCTION("IF($CR99="""","""",IFERROR(SPARKLINE(query(GOOGLEFINANCE($CR99,""price"",TODAY()-$AQ$5,TODAY(),1),""select Col2 label Col2 ''""),IF($AP$7=""Gráfico de barras"",{""charttype"",""column"";""highcolor"",""red""},{""chartype"",""line""}))))"),"")</f>
        <v/>
      </c>
      <c r="AQ99" s="144"/>
      <c r="AR99" s="853"/>
      <c r="AS99" s="854" t="str">
        <f>IF($CR99="","",IF(NOT('alocação'!$D$1),"off",IFERROR(VLOOKUP(CR99,BalanceAtivos,3,0),"NC")))</f>
        <v/>
      </c>
      <c r="AT99" s="855" t="str">
        <f>IF($CR99="","",IF(NOT('alocação'!$D$1),"off",IFERROR(VLOOKUP($CR99,BalanceAtivos,4,0)*$CU$5,"NC")))</f>
        <v/>
      </c>
      <c r="AU99" s="856" t="str">
        <f>IF($CR99="","",IF(NOT('alocação'!$D$1),"off",IFERROR(VLOOKUP($CR99,BalanceAtivos,5,0),"-")))</f>
        <v/>
      </c>
      <c r="AV99" s="856" t="str">
        <f>IF($CR99="","",IF(NOT('alocação'!$D$1),"off",IFERROR(VLOOKUP($CR99,BalanceAtivos,6,0),"-")))</f>
        <v/>
      </c>
      <c r="AW99" s="857"/>
      <c r="AX99" s="858" t="str">
        <f>IF($CR99="","",IF($E99="","SP",IFERROR(VLOOKUP($CR99,AtivosDados,MATCH("pm_atual",portfolio.!$A$3:CY$3,0),0)*$CU$5,0)))</f>
        <v/>
      </c>
      <c r="AY99" s="859" t="str">
        <f t="shared" si="2"/>
        <v/>
      </c>
      <c r="AZ99" s="858" t="str">
        <f>IF($CR99="","",IF($E99="","SP",SUMIF(portfolio.!$A$4:$A308,$CR99,portfolio.!$O$4:$O308)*$CU$5))</f>
        <v/>
      </c>
      <c r="BA99" s="858" t="str">
        <f>IF($CR99="","",IF($E99="","SP",SUMIF(portfolio.!$A$4:$A308,$CR99,portfolio.!$AN$4:$AN308)*$CU$5))</f>
        <v/>
      </c>
      <c r="BB99" s="860" t="str">
        <f>IF($CR99="","",IF($E99="","-",IFERROR($BA99/'portfólio'!$DG$63,"")))</f>
        <v/>
      </c>
      <c r="BC99" s="861" t="str">
        <f>IF($CR99="","",IF($E99="","-",SUMIF(portfolio.!$A$4:$A308,$CR99,portfolio.!$J$4:$J308)))</f>
        <v/>
      </c>
      <c r="BD99" s="862" t="str">
        <f>IF($CR99="","",IF($E99="","SP",SUMIF(portfolio.!$A$4:$A308,$CR99,portfolio.!$AQ$4:$AQ308)*$CU$5))</f>
        <v/>
      </c>
      <c r="BE99" s="850" t="str">
        <f t="shared" si="3"/>
        <v/>
      </c>
      <c r="BF99" s="862" t="str">
        <f>IF($CR99="","",IF($E99="","-",SUMIF(portfolio.!$A$4:$A308,$CR99,portfolio.!$AX$4:$AX308)*$CU$5))</f>
        <v/>
      </c>
      <c r="BG99" s="545"/>
      <c r="BH99" s="879" t="s">
        <v>123</v>
      </c>
      <c r="BI99" s="880" t="s">
        <v>123</v>
      </c>
      <c r="BJ99" s="863" t="str">
        <f>IFERROR(__xludf.DUMMYFUNCTION("IF(NOT($BL$4),"""",IF($CR99="""","""",IFERROR(query({GOOGLEFINANCE($CR99,""price"",IF($BI99=""-"",TODAY()-($AQ$5+5),$BI99),TODAY()-1)},""Select max(Col2) where Col1 is not null label max(Col2) ''"")*CU99,""-"")))"),"")</f>
        <v/>
      </c>
      <c r="BK99" s="881" t="s">
        <v>123</v>
      </c>
      <c r="BL99" s="882" t="s">
        <v>123</v>
      </c>
      <c r="BM99" s="442"/>
      <c r="BN99" s="867" t="str">
        <f>IFERROR(__xludf.DUMMYFUNCTION("IF(CR99="""","""",IF(OR(C99=""AÇÃO"",C99=""BDR""),IFERROR(QUERY({fundamentus.!$A$3:$U308},$CX$67&amp;"" where Col1='""&amp;CR99&amp;""' limit 1"",0)),IF(C99=""FII"",IFERROR(QUERY({fundsexplorer.!$A$2:$Z308},$CY$67&amp;"" where Col1='""&amp;CR99&amp;""' limit 1"",0)),"""")))"),"")</f>
        <v/>
      </c>
      <c r="BO99" s="867"/>
      <c r="BP99" s="867"/>
      <c r="BQ99" s="867"/>
      <c r="BR99" s="867"/>
      <c r="BS99" s="867"/>
      <c r="BT99" s="867"/>
      <c r="BU99" s="442"/>
      <c r="BV99" s="868" t="str">
        <f>IFERROR(__xludf.DUMMYFUNCTION("IF(OR(C99=""AÇÃO"",C99=""BDR""),IFERROR(GOOGLEFINANCE(CONCAT(""BVMF:"",CR99), ""marketcap"")/1000000,""NC""),"""")"),"")</f>
        <v/>
      </c>
      <c r="BW99" s="869" t="s">
        <v>123</v>
      </c>
      <c r="BX99" s="870" t="s">
        <v>123</v>
      </c>
      <c r="BY99" s="868" t="s">
        <v>123</v>
      </c>
      <c r="BZ99" s="870" t="s">
        <v>123</v>
      </c>
      <c r="CA99" s="868" t="s">
        <v>123</v>
      </c>
      <c r="CB99" s="868" t="s">
        <v>123</v>
      </c>
      <c r="CC99" s="868" t="s">
        <v>123</v>
      </c>
      <c r="CD99" s="868" t="str">
        <f>IFERROR(__xludf.DUMMYFUNCTION("IF(OR(C99=""AÇÃO"",C99=""BDR""),IFERROR(GOOGLEFINANCE(CONCAT(""BVMF:"",CR99), ""volumeavg"")/1000000,""NC""),"""")"),"")</f>
        <v/>
      </c>
      <c r="CE99" s="870" t="s">
        <v>123</v>
      </c>
      <c r="CF99" s="870" t="s">
        <v>123</v>
      </c>
      <c r="CG99" s="870" t="str">
        <f>IFERROR(__xludf.DUMMYFUNCTION("IF(OR(C99=""AÇÃO"",C99=""BDR""),IF(CF99=0,""SEM DY"",IFERROR(ImportXML(CONCAT(""http://www.guiainvest.com.br/raiox/default.aspx?sigla="",$CR99),""//*[@id='lbPayoutAtual']""),""NC"")),"""")"),"")</f>
        <v/>
      </c>
      <c r="CH99" s="870" t="s">
        <v>123</v>
      </c>
      <c r="CI99" s="545"/>
      <c r="CJ99" s="871" t="str">
        <f>IFERROR(__xludf.DUMMYFUNCTION("IF(OR(C99=""AÇÃO"",C99=""BDR""),IFERROR(GOOGLEFINANCE(CONCAT(""BVMF:"",CR99), ""eps""),""NC""),"""")"),"")</f>
        <v/>
      </c>
      <c r="CK99" s="442"/>
      <c r="CL99" s="871" t="str">
        <f>IFERROR(__xludf.DUMMYFUNCTION("IF(NOT($BL$4),"""",IF($CR99="""","""",IF($BC99="""","""",IFERROR(query({op.normal!$B$5:$F308},""select Col5, toDate(Col2) where Col1 =  '""&amp;$CR99&amp;""' and Col4 &gt; 0 and ((Col3 is null) or (Col3 = 'C')) and Col2 &gt;= date '""&amp;TEXT(TODAY()-$AQ$5,""yyyy-mm-dd"")"&amp;"&amp;""' order by Col2 desc limit 1 label toDate(Col2) ''"")))))"),"")</f>
        <v/>
      </c>
      <c r="CM99" s="872"/>
      <c r="CN99" s="883" t="s">
        <v>123</v>
      </c>
      <c r="CO99" s="874" t="s">
        <v>123</v>
      </c>
      <c r="CP99" s="766"/>
      <c r="CQ99" s="791"/>
      <c r="CR99" s="791"/>
      <c r="CT99" s="791" t="s">
        <v>123</v>
      </c>
      <c r="CU99" s="791" t="str">
        <f>IFERROR(__xludf.DUMMYFUNCTION("IF(CR99="""","""",IF(CT99=$C$4,1,GOOGLEFINANCE(CT99&amp;$C$4)))"),"")</f>
        <v/>
      </c>
    </row>
    <row r="100" ht="22.5" customHeight="1">
      <c r="A100" s="837">
        <v>92.0</v>
      </c>
      <c r="B100" s="838" t="s">
        <v>123</v>
      </c>
      <c r="C100" s="838" t="s">
        <v>123</v>
      </c>
      <c r="D100" s="839" t="s">
        <v>123</v>
      </c>
      <c r="E100" s="839" t="s">
        <v>123</v>
      </c>
      <c r="F100" s="839" t="s">
        <v>123</v>
      </c>
      <c r="G100" s="56"/>
      <c r="H100" s="884"/>
      <c r="I100" s="838"/>
      <c r="J100" s="838"/>
      <c r="K100" s="838"/>
      <c r="L100" s="838"/>
      <c r="M100" s="838"/>
      <c r="N100" s="838"/>
      <c r="O100" s="838"/>
      <c r="P100" s="838"/>
      <c r="Q100" s="838"/>
      <c r="R100" s="838"/>
      <c r="S100" s="838"/>
      <c r="T100" s="838"/>
      <c r="U100" s="838"/>
      <c r="V100" s="838"/>
      <c r="W100" s="838"/>
      <c r="X100" s="838"/>
      <c r="Z100" s="875" t="str">
        <f>IFERROR(__xludf.DUMMYFUNCTION("IF($CR100="""","""",IFERROR(query({CarteirasAtivos},""select Col4 where Col4 is not null and Col1 = '""&amp;$CR100&amp;""' limit 1"")*CU100,""NC""))"),"")</f>
        <v/>
      </c>
      <c r="AA100" s="876" t="str">
        <f>IFERROR(__xludf.DUMMYFUNCTION("IF($CR100="""","""",IFERROR(query({CarteirasAtivos},""select Col6 where Col4 is not null and Col1 = '""&amp;$CR100&amp;""' limit 1""),""NC""))"),"")</f>
        <v/>
      </c>
      <c r="AB100" s="877"/>
      <c r="AC100" s="878" t="s">
        <v>123</v>
      </c>
      <c r="AD100" s="845" t="str">
        <f>IF($CR100="","",IFERROR(VLOOKUP($CR100,ativos.!$C$3:$R308,MATCH("cotacao",ativos.!$C$2:CY$2,0),FALSE)*$CU$5,"atualizar"))</f>
        <v/>
      </c>
      <c r="AE100" s="846" t="str">
        <f>IFERROR(__xludf.DUMMYFUNCTION("IF($CR100="""","""",IFERROR(AVERAGE(query({CarteirasAtivos;CarteirasAtivosEncerrados},""select Col5 where Col5 is not null and Col1 = '""&amp;$CR100&amp;""' and Col10='SIM'""))*CU100,""NC""))"),"")</f>
        <v/>
      </c>
      <c r="AF100" s="847" t="str">
        <f t="shared" si="1"/>
        <v/>
      </c>
      <c r="AG100" s="442"/>
      <c r="AH100" s="848" t="str">
        <f>IFERROR(__xludf.DUMMYFUNCTION("IF($CR100="""","""",IFERROR(GOOGLEFINANCE($CR100,""low52"")*CU100,""-""))"),"")</f>
        <v/>
      </c>
      <c r="AI100" s="848" t="str">
        <f>IFERROR(__xludf.DUMMYFUNCTION("IF($CR100="""","""",IFERROR(GOOGLEFINANCE($CR100,""high52"")*CU100,""-""))"),"")</f>
        <v/>
      </c>
      <c r="AJ100" s="849" t="s">
        <v>123</v>
      </c>
      <c r="AK100" s="850" t="str">
        <f>IFERROR(__xludf.DUMMYFUNCTION("IF($CR100="""","""",IFERROR(GOOGLEFINANCE($CR100,""changepct"")/100,""-""))"),"")</f>
        <v/>
      </c>
      <c r="AL100" s="851" t="str">
        <f>IFERROR(__xludf.DUMMYFUNCTION("IF($CR100="""","""",IFERROR(($AD100/(QUERY(GOOGLEFINANCE($CR100,""price"",TODAY()-7),""SELECT Col2 label Col2 ''"")*$CU100)-1),""-""))"),"")</f>
        <v/>
      </c>
      <c r="AM100" s="851" t="str">
        <f>IFERROR(__xludf.DUMMYFUNCTION("IF($CR100="""","""",IFERROR(($AD100/(QUERY(GOOGLEFINANCE($CR100,""price"",TODAY()-14),""SELECT Col2 label Col2 ''"")*$CU100)-1),""-""))"),"")</f>
        <v/>
      </c>
      <c r="AN100" s="851" t="str">
        <f>IFERROR(__xludf.DUMMYFUNCTION("IF($CR100="""","""",IFERROR(($AD100/(QUERY(GOOGLEFINANCE($CR100,""price"",TODAY()-28),""SELECT Col2 label Col2 ''"")*$CU100)-1),""-""))"),"")</f>
        <v/>
      </c>
      <c r="AO100" s="851" t="str">
        <f>IFERROR(__xludf.DUMMYFUNCTION("IF($CR100="""","""",IFERROR(($AD100/(QUERY(GOOGLEFINANCE($CR100,""price"",TODAY()-$AQ$5),""SELECT Col2 label Col2 ''"")*$CU100)-1),""-""))"),"")</f>
        <v/>
      </c>
      <c r="AP100" s="852" t="str">
        <f>IFERROR(__xludf.DUMMYFUNCTION("IF($CR100="""","""",IFERROR(SPARKLINE(query(GOOGLEFINANCE($CR100,""price"",TODAY()-$AQ$5,TODAY(),1),""select Col2 label Col2 ''""),IF($AP$7=""Gráfico de barras"",{""charttype"",""column"";""highcolor"",""red""},{""chartype"",""line""}))))"),"")</f>
        <v/>
      </c>
      <c r="AQ100" s="144"/>
      <c r="AR100" s="853"/>
      <c r="AS100" s="854" t="str">
        <f>IF($CR100="","",IF(NOT('alocação'!$D$1),"off",IFERROR(VLOOKUP(CR100,BalanceAtivos,3,0),"NC")))</f>
        <v/>
      </c>
      <c r="AT100" s="855" t="str">
        <f>IF($CR100="","",IF(NOT('alocação'!$D$1),"off",IFERROR(VLOOKUP($CR100,BalanceAtivos,4,0)*$CU$5,"NC")))</f>
        <v/>
      </c>
      <c r="AU100" s="856" t="str">
        <f>IF($CR100="","",IF(NOT('alocação'!$D$1),"off",IFERROR(VLOOKUP($CR100,BalanceAtivos,5,0),"-")))</f>
        <v/>
      </c>
      <c r="AV100" s="856" t="str">
        <f>IF($CR100="","",IF(NOT('alocação'!$D$1),"off",IFERROR(VLOOKUP($CR100,BalanceAtivos,6,0),"-")))</f>
        <v/>
      </c>
      <c r="AW100" s="857"/>
      <c r="AX100" s="858" t="str">
        <f>IF($CR100="","",IF($E100="","SP",IFERROR(VLOOKUP($CR100,AtivosDados,MATCH("pm_atual",portfolio.!$A$3:CY$3,0),0)*$CU$5,0)))</f>
        <v/>
      </c>
      <c r="AY100" s="859" t="str">
        <f t="shared" si="2"/>
        <v/>
      </c>
      <c r="AZ100" s="858" t="str">
        <f>IF($CR100="","",IF($E100="","SP",SUMIF(portfolio.!$A$4:$A308,$CR100,portfolio.!$O$4:$O308)*$CU$5))</f>
        <v/>
      </c>
      <c r="BA100" s="858" t="str">
        <f>IF($CR100="","",IF($E100="","SP",SUMIF(portfolio.!$A$4:$A308,$CR100,portfolio.!$AN$4:$AN308)*$CU$5))</f>
        <v/>
      </c>
      <c r="BB100" s="860" t="str">
        <f>IF($CR100="","",IF($E100="","-",IFERROR($BA100/'portfólio'!$DG$63,"")))</f>
        <v/>
      </c>
      <c r="BC100" s="861" t="str">
        <f>IF($CR100="","",IF($E100="","-",SUMIF(portfolio.!$A$4:$A308,$CR100,portfolio.!$J$4:$J308)))</f>
        <v/>
      </c>
      <c r="BD100" s="862" t="str">
        <f>IF($CR100="","",IF($E100="","SP",SUMIF(portfolio.!$A$4:$A308,$CR100,portfolio.!$AQ$4:$AQ308)*$CU$5))</f>
        <v/>
      </c>
      <c r="BE100" s="850" t="str">
        <f t="shared" si="3"/>
        <v/>
      </c>
      <c r="BF100" s="862" t="str">
        <f>IF($CR100="","",IF($E100="","-",SUMIF(portfolio.!$A$4:$A308,$CR100,portfolio.!$AX$4:$AX308)*$CU$5))</f>
        <v/>
      </c>
      <c r="BG100" s="545"/>
      <c r="BH100" s="879" t="s">
        <v>123</v>
      </c>
      <c r="BI100" s="880" t="s">
        <v>123</v>
      </c>
      <c r="BJ100" s="863" t="str">
        <f>IFERROR(__xludf.DUMMYFUNCTION("IF(NOT($BL$4),"""",IF($CR100="""","""",IFERROR(query({GOOGLEFINANCE($CR100,""price"",IF($BI100=""-"",TODAY()-($AQ$5+5),$BI100),TODAY()-1)},""Select max(Col2) where Col1 is not null label max(Col2) ''"")*CU100,""-"")))"),"")</f>
        <v/>
      </c>
      <c r="BK100" s="881" t="s">
        <v>123</v>
      </c>
      <c r="BL100" s="882" t="s">
        <v>123</v>
      </c>
      <c r="BM100" s="442"/>
      <c r="BN100" s="867" t="str">
        <f>IFERROR(__xludf.DUMMYFUNCTION("IF(CR100="""","""",IF(OR(C100=""AÇÃO"",C100=""BDR""),IFERROR(QUERY({fundamentus.!$A$3:$U308},$CX$67&amp;"" where Col1='""&amp;CR100&amp;""' limit 1"",0)),IF(C100=""FII"",IFERROR(QUERY({fundsexplorer.!$A$2:$Z308},$CY$67&amp;"" where Col1='""&amp;CR100&amp;""' limit 1"",0)),""""))"&amp;")"),"")</f>
        <v/>
      </c>
      <c r="BO100" s="867"/>
      <c r="BP100" s="867"/>
      <c r="BQ100" s="867"/>
      <c r="BR100" s="867"/>
      <c r="BS100" s="867"/>
      <c r="BT100" s="867"/>
      <c r="BU100" s="442"/>
      <c r="BV100" s="868" t="str">
        <f>IFERROR(__xludf.DUMMYFUNCTION("IF(OR(C100=""AÇÃO"",C100=""BDR""),IFERROR(GOOGLEFINANCE(CONCAT(""BVMF:"",CR100), ""marketcap"")/1000000,""NC""),"""")"),"")</f>
        <v/>
      </c>
      <c r="BW100" s="869" t="s">
        <v>123</v>
      </c>
      <c r="BX100" s="870" t="s">
        <v>123</v>
      </c>
      <c r="BY100" s="868" t="s">
        <v>123</v>
      </c>
      <c r="BZ100" s="870" t="s">
        <v>123</v>
      </c>
      <c r="CA100" s="868" t="s">
        <v>123</v>
      </c>
      <c r="CB100" s="868" t="s">
        <v>123</v>
      </c>
      <c r="CC100" s="868" t="s">
        <v>123</v>
      </c>
      <c r="CD100" s="868" t="str">
        <f>IFERROR(__xludf.DUMMYFUNCTION("IF(OR(C100=""AÇÃO"",C100=""BDR""),IFERROR(GOOGLEFINANCE(CONCAT(""BVMF:"",CR100), ""volumeavg"")/1000000,""NC""),"""")"),"")</f>
        <v/>
      </c>
      <c r="CE100" s="870" t="s">
        <v>123</v>
      </c>
      <c r="CF100" s="870" t="s">
        <v>123</v>
      </c>
      <c r="CG100" s="870" t="str">
        <f>IFERROR(__xludf.DUMMYFUNCTION("IF(OR(C100=""AÇÃO"",C100=""BDR""),IF(CF100=0,""SEM DY"",IFERROR(ImportXML(CONCAT(""http://www.guiainvest.com.br/raiox/default.aspx?sigla="",$CR100),""//*[@id='lbPayoutAtual']""),""NC"")),"""")"),"")</f>
        <v/>
      </c>
      <c r="CH100" s="870" t="s">
        <v>123</v>
      </c>
      <c r="CI100" s="545"/>
      <c r="CJ100" s="871" t="str">
        <f>IFERROR(__xludf.DUMMYFUNCTION("IF(OR(C100=""AÇÃO"",C100=""BDR""),IFERROR(GOOGLEFINANCE(CONCAT(""BVMF:"",CR100), ""eps""),""NC""),"""")"),"")</f>
        <v/>
      </c>
      <c r="CK100" s="442"/>
      <c r="CL100" s="871" t="str">
        <f>IFERROR(__xludf.DUMMYFUNCTION("IF(NOT($BL$4),"""",IF($CR100="""","""",IF($BC100="""","""",IFERROR(query({op.normal!$B$5:$F308},""select Col5, toDate(Col2) where Col1 =  '""&amp;$CR100&amp;""' and Col4 &gt; 0 and ((Col3 is null) or (Col3 = 'C')) and Col2 &gt;= date '""&amp;TEXT(TODAY()-$AQ$5,""yyyy-mm-dd"&amp;""")&amp;""' order by Col2 desc limit 1 label toDate(Col2) ''"")))))"),"")</f>
        <v/>
      </c>
      <c r="CM100" s="872"/>
      <c r="CN100" s="883" t="s">
        <v>123</v>
      </c>
      <c r="CO100" s="874" t="s">
        <v>123</v>
      </c>
      <c r="CP100" s="766"/>
      <c r="CQ100" s="791"/>
      <c r="CR100" s="791"/>
      <c r="CT100" s="791" t="s">
        <v>123</v>
      </c>
      <c r="CU100" s="791" t="str">
        <f>IFERROR(__xludf.DUMMYFUNCTION("IF(CR100="""","""",IF(CT100=$C$4,1,GOOGLEFINANCE(CT100&amp;$C$4)))"),"")</f>
        <v/>
      </c>
    </row>
    <row r="101" ht="22.5" customHeight="1">
      <c r="A101" s="837">
        <v>93.0</v>
      </c>
      <c r="B101" s="838" t="s">
        <v>123</v>
      </c>
      <c r="C101" s="838" t="s">
        <v>123</v>
      </c>
      <c r="D101" s="839" t="s">
        <v>123</v>
      </c>
      <c r="E101" s="839" t="s">
        <v>123</v>
      </c>
      <c r="F101" s="839" t="s">
        <v>123</v>
      </c>
      <c r="G101" s="56"/>
      <c r="H101" s="884"/>
      <c r="I101" s="838"/>
      <c r="J101" s="838"/>
      <c r="K101" s="838"/>
      <c r="L101" s="838"/>
      <c r="M101" s="838"/>
      <c r="N101" s="838"/>
      <c r="O101" s="838"/>
      <c r="P101" s="838"/>
      <c r="Q101" s="838"/>
      <c r="R101" s="838"/>
      <c r="S101" s="838"/>
      <c r="T101" s="838"/>
      <c r="U101" s="838"/>
      <c r="V101" s="838"/>
      <c r="W101" s="838"/>
      <c r="X101" s="838"/>
      <c r="Z101" s="875" t="str">
        <f>IFERROR(__xludf.DUMMYFUNCTION("IF($CR101="""","""",IFERROR(query({CarteirasAtivos},""select Col4 where Col4 is not null and Col1 = '""&amp;$CR101&amp;""' limit 1"")*CU101,""NC""))"),"")</f>
        <v/>
      </c>
      <c r="AA101" s="876" t="str">
        <f>IFERROR(__xludf.DUMMYFUNCTION("IF($CR101="""","""",IFERROR(query({CarteirasAtivos},""select Col6 where Col4 is not null and Col1 = '""&amp;$CR101&amp;""' limit 1""),""NC""))"),"")</f>
        <v/>
      </c>
      <c r="AB101" s="877"/>
      <c r="AC101" s="878" t="s">
        <v>123</v>
      </c>
      <c r="AD101" s="845" t="str">
        <f>IF($CR101="","",IFERROR(VLOOKUP($CR101,ativos.!$C$3:$R308,MATCH("cotacao",ativos.!$C$2:CY$2,0),FALSE)*$CU$5,"atualizar"))</f>
        <v/>
      </c>
      <c r="AE101" s="846" t="str">
        <f>IFERROR(__xludf.DUMMYFUNCTION("IF($CR101="""","""",IFERROR(AVERAGE(query({CarteirasAtivos;CarteirasAtivosEncerrados},""select Col5 where Col5 is not null and Col1 = '""&amp;$CR101&amp;""' and Col10='SIM'""))*CU101,""NC""))"),"")</f>
        <v/>
      </c>
      <c r="AF101" s="847" t="str">
        <f t="shared" si="1"/>
        <v/>
      </c>
      <c r="AG101" s="442"/>
      <c r="AH101" s="848" t="str">
        <f>IFERROR(__xludf.DUMMYFUNCTION("IF($CR101="""","""",IFERROR(GOOGLEFINANCE($CR101,""low52"")*CU101,""-""))"),"")</f>
        <v/>
      </c>
      <c r="AI101" s="848" t="str">
        <f>IFERROR(__xludf.DUMMYFUNCTION("IF($CR101="""","""",IFERROR(GOOGLEFINANCE($CR101,""high52"")*CU101,""-""))"),"")</f>
        <v/>
      </c>
      <c r="AJ101" s="849" t="s">
        <v>123</v>
      </c>
      <c r="AK101" s="850" t="str">
        <f>IFERROR(__xludf.DUMMYFUNCTION("IF($CR101="""","""",IFERROR(GOOGLEFINANCE($CR101,""changepct"")/100,""-""))"),"")</f>
        <v/>
      </c>
      <c r="AL101" s="851" t="str">
        <f>IFERROR(__xludf.DUMMYFUNCTION("IF($CR101="""","""",IFERROR(($AD101/(QUERY(GOOGLEFINANCE($CR101,""price"",TODAY()-7),""SELECT Col2 label Col2 ''"")*$CU101)-1),""-""))"),"")</f>
        <v/>
      </c>
      <c r="AM101" s="851" t="str">
        <f>IFERROR(__xludf.DUMMYFUNCTION("IF($CR101="""","""",IFERROR(($AD101/(QUERY(GOOGLEFINANCE($CR101,""price"",TODAY()-14),""SELECT Col2 label Col2 ''"")*$CU101)-1),""-""))"),"")</f>
        <v/>
      </c>
      <c r="AN101" s="851" t="str">
        <f>IFERROR(__xludf.DUMMYFUNCTION("IF($CR101="""","""",IFERROR(($AD101/(QUERY(GOOGLEFINANCE($CR101,""price"",TODAY()-28),""SELECT Col2 label Col2 ''"")*$CU101)-1),""-""))"),"")</f>
        <v/>
      </c>
      <c r="AO101" s="851" t="str">
        <f>IFERROR(__xludf.DUMMYFUNCTION("IF($CR101="""","""",IFERROR(($AD101/(QUERY(GOOGLEFINANCE($CR101,""price"",TODAY()-$AQ$5),""SELECT Col2 label Col2 ''"")*$CU101)-1),""-""))"),"")</f>
        <v/>
      </c>
      <c r="AP101" s="852" t="str">
        <f>IFERROR(__xludf.DUMMYFUNCTION("IF($CR101="""","""",IFERROR(SPARKLINE(query(GOOGLEFINANCE($CR101,""price"",TODAY()-$AQ$5,TODAY(),1),""select Col2 label Col2 ''""),IF($AP$7=""Gráfico de barras"",{""charttype"",""column"";""highcolor"",""red""},{""chartype"",""line""}))))"),"")</f>
        <v/>
      </c>
      <c r="AQ101" s="144"/>
      <c r="AR101" s="853"/>
      <c r="AS101" s="854" t="str">
        <f>IF($CR101="","",IF(NOT('alocação'!$D$1),"off",IFERROR(VLOOKUP(CR101,BalanceAtivos,3,0),"NC")))</f>
        <v/>
      </c>
      <c r="AT101" s="855" t="str">
        <f>IF($CR101="","",IF(NOT('alocação'!$D$1),"off",IFERROR(VLOOKUP($CR101,BalanceAtivos,4,0)*$CU$5,"NC")))</f>
        <v/>
      </c>
      <c r="AU101" s="856" t="str">
        <f>IF($CR101="","",IF(NOT('alocação'!$D$1),"off",IFERROR(VLOOKUP($CR101,BalanceAtivos,5,0),"-")))</f>
        <v/>
      </c>
      <c r="AV101" s="856" t="str">
        <f>IF($CR101="","",IF(NOT('alocação'!$D$1),"off",IFERROR(VLOOKUP($CR101,BalanceAtivos,6,0),"-")))</f>
        <v/>
      </c>
      <c r="AW101" s="857"/>
      <c r="AX101" s="858" t="str">
        <f>IF($CR101="","",IF($E101="","SP",IFERROR(VLOOKUP($CR101,AtivosDados,MATCH("pm_atual",portfolio.!$A$3:CY$3,0),0)*$CU$5,0)))</f>
        <v/>
      </c>
      <c r="AY101" s="859" t="str">
        <f t="shared" si="2"/>
        <v/>
      </c>
      <c r="AZ101" s="858" t="str">
        <f>IF($CR101="","",IF($E101="","SP",SUMIF(portfolio.!$A$4:$A308,$CR101,portfolio.!$O$4:$O308)*$CU$5))</f>
        <v/>
      </c>
      <c r="BA101" s="858" t="str">
        <f>IF($CR101="","",IF($E101="","SP",SUMIF(portfolio.!$A$4:$A308,$CR101,portfolio.!$AN$4:$AN308)*$CU$5))</f>
        <v/>
      </c>
      <c r="BB101" s="860" t="str">
        <f>IF($CR101="","",IF($E101="","-",IFERROR($BA101/'portfólio'!$DG$63,"")))</f>
        <v/>
      </c>
      <c r="BC101" s="861" t="str">
        <f>IF($CR101="","",IF($E101="","-",SUMIF(portfolio.!$A$4:$A308,$CR101,portfolio.!$J$4:$J308)))</f>
        <v/>
      </c>
      <c r="BD101" s="862" t="str">
        <f>IF($CR101="","",IF($E101="","SP",SUMIF(portfolio.!$A$4:$A308,$CR101,portfolio.!$AQ$4:$AQ308)*$CU$5))</f>
        <v/>
      </c>
      <c r="BE101" s="850" t="str">
        <f t="shared" si="3"/>
        <v/>
      </c>
      <c r="BF101" s="862" t="str">
        <f>IF($CR101="","",IF($E101="","-",SUMIF(portfolio.!$A$4:$A308,$CR101,portfolio.!$AX$4:$AX308)*$CU$5))</f>
        <v/>
      </c>
      <c r="BG101" s="545"/>
      <c r="BH101" s="879" t="s">
        <v>123</v>
      </c>
      <c r="BI101" s="880" t="s">
        <v>123</v>
      </c>
      <c r="BJ101" s="863" t="str">
        <f>IFERROR(__xludf.DUMMYFUNCTION("IF(NOT($BL$4),"""",IF($CR101="""","""",IFERROR(query({GOOGLEFINANCE($CR101,""price"",IF($BI101=""-"",TODAY()-($AQ$5+5),$BI101),TODAY()-1)},""Select max(Col2) where Col1 is not null label max(Col2) ''"")*CU101,""-"")))"),"")</f>
        <v/>
      </c>
      <c r="BK101" s="881" t="s">
        <v>123</v>
      </c>
      <c r="BL101" s="882" t="s">
        <v>123</v>
      </c>
      <c r="BM101" s="442"/>
      <c r="BN101" s="867" t="str">
        <f>IFERROR(__xludf.DUMMYFUNCTION("IF(CR101="""","""",IF(OR(C101=""AÇÃO"",C101=""BDR""),IFERROR(QUERY({fundamentus.!$A$3:$U308},$CX$67&amp;"" where Col1='""&amp;CR101&amp;""' limit 1"",0)),IF(C101=""FII"",IFERROR(QUERY({fundsexplorer.!$A$2:$Z308},$CY$67&amp;"" where Col1='""&amp;CR101&amp;""' limit 1"",0)),""""))"&amp;")"),"")</f>
        <v/>
      </c>
      <c r="BO101" s="867"/>
      <c r="BP101" s="867"/>
      <c r="BQ101" s="867"/>
      <c r="BR101" s="867"/>
      <c r="BS101" s="867"/>
      <c r="BT101" s="867"/>
      <c r="BU101" s="442"/>
      <c r="BV101" s="868" t="str">
        <f>IFERROR(__xludf.DUMMYFUNCTION("IF(OR(C101=""AÇÃO"",C101=""BDR""),IFERROR(GOOGLEFINANCE(CONCAT(""BVMF:"",CR101), ""marketcap"")/1000000,""NC""),"""")"),"")</f>
        <v/>
      </c>
      <c r="BW101" s="869" t="s">
        <v>123</v>
      </c>
      <c r="BX101" s="870" t="s">
        <v>123</v>
      </c>
      <c r="BY101" s="868" t="s">
        <v>123</v>
      </c>
      <c r="BZ101" s="870" t="s">
        <v>123</v>
      </c>
      <c r="CA101" s="868" t="s">
        <v>123</v>
      </c>
      <c r="CB101" s="868" t="s">
        <v>123</v>
      </c>
      <c r="CC101" s="868" t="s">
        <v>123</v>
      </c>
      <c r="CD101" s="868" t="str">
        <f>IFERROR(__xludf.DUMMYFUNCTION("IF(OR(C101=""AÇÃO"",C101=""BDR""),IFERROR(GOOGLEFINANCE(CONCAT(""BVMF:"",CR101), ""volumeavg"")/1000000,""NC""),"""")"),"")</f>
        <v/>
      </c>
      <c r="CE101" s="870" t="s">
        <v>123</v>
      </c>
      <c r="CF101" s="870" t="s">
        <v>123</v>
      </c>
      <c r="CG101" s="870" t="str">
        <f>IFERROR(__xludf.DUMMYFUNCTION("IF(OR(C101=""AÇÃO"",C101=""BDR""),IF(CF101=0,""SEM DY"",IFERROR(ImportXML(CONCAT(""http://www.guiainvest.com.br/raiox/default.aspx?sigla="",$CR101),""//*[@id='lbPayoutAtual']""),""NC"")),"""")"),"")</f>
        <v/>
      </c>
      <c r="CH101" s="870" t="s">
        <v>123</v>
      </c>
      <c r="CI101" s="545"/>
      <c r="CJ101" s="871" t="str">
        <f>IFERROR(__xludf.DUMMYFUNCTION("IF(OR(C101=""AÇÃO"",C101=""BDR""),IFERROR(GOOGLEFINANCE(CONCAT(""BVMF:"",CR101), ""eps""),""NC""),"""")"),"")</f>
        <v/>
      </c>
      <c r="CK101" s="442"/>
      <c r="CL101" s="871" t="str">
        <f>IFERROR(__xludf.DUMMYFUNCTION("IF(NOT($BL$4),"""",IF($CR101="""","""",IF($BC101="""","""",IFERROR(query({op.normal!$B$5:$F308},""select Col5, toDate(Col2) where Col1 =  '""&amp;$CR101&amp;""' and Col4 &gt; 0 and ((Col3 is null) or (Col3 = 'C')) and Col2 &gt;= date '""&amp;TEXT(TODAY()-$AQ$5,""yyyy-mm-dd"&amp;""")&amp;""' order by Col2 desc limit 1 label toDate(Col2) ''"")))))"),"")</f>
        <v/>
      </c>
      <c r="CM101" s="872"/>
      <c r="CN101" s="883" t="s">
        <v>123</v>
      </c>
      <c r="CO101" s="874" t="s">
        <v>123</v>
      </c>
      <c r="CP101" s="766"/>
      <c r="CQ101" s="791"/>
      <c r="CR101" s="791"/>
      <c r="CT101" s="791" t="s">
        <v>123</v>
      </c>
      <c r="CU101" s="791" t="str">
        <f>IFERROR(__xludf.DUMMYFUNCTION("IF(CR101="""","""",IF(CT101=$C$4,1,GOOGLEFINANCE(CT101&amp;$C$4)))"),"")</f>
        <v/>
      </c>
    </row>
    <row r="102" ht="22.5" customHeight="1">
      <c r="A102" s="837">
        <v>94.0</v>
      </c>
      <c r="B102" s="838" t="s">
        <v>123</v>
      </c>
      <c r="C102" s="838" t="s">
        <v>123</v>
      </c>
      <c r="D102" s="839" t="s">
        <v>123</v>
      </c>
      <c r="E102" s="839" t="s">
        <v>123</v>
      </c>
      <c r="F102" s="839" t="s">
        <v>123</v>
      </c>
      <c r="G102" s="56"/>
      <c r="H102" s="884"/>
      <c r="I102" s="838"/>
      <c r="J102" s="838"/>
      <c r="K102" s="838"/>
      <c r="L102" s="838"/>
      <c r="M102" s="838"/>
      <c r="N102" s="838"/>
      <c r="O102" s="838"/>
      <c r="P102" s="838"/>
      <c r="Q102" s="838"/>
      <c r="R102" s="838"/>
      <c r="S102" s="838"/>
      <c r="T102" s="838"/>
      <c r="U102" s="838"/>
      <c r="V102" s="838"/>
      <c r="W102" s="838"/>
      <c r="X102" s="838"/>
      <c r="Z102" s="875" t="str">
        <f>IFERROR(__xludf.DUMMYFUNCTION("IF($CR102="""","""",IFERROR(query({CarteirasAtivos},""select Col4 where Col4 is not null and Col1 = '""&amp;$CR102&amp;""' limit 1"")*CU102,""NC""))"),"")</f>
        <v/>
      </c>
      <c r="AA102" s="876" t="str">
        <f>IFERROR(__xludf.DUMMYFUNCTION("IF($CR102="""","""",IFERROR(query({CarteirasAtivos},""select Col6 where Col4 is not null and Col1 = '""&amp;$CR102&amp;""' limit 1""),""NC""))"),"")</f>
        <v/>
      </c>
      <c r="AB102" s="877"/>
      <c r="AC102" s="878" t="s">
        <v>123</v>
      </c>
      <c r="AD102" s="845" t="str">
        <f>IF($CR102="","",IFERROR(VLOOKUP($CR102,ativos.!$C$3:$R308,MATCH("cotacao",ativos.!$C$2:CY$2,0),FALSE)*$CU$5,"atualizar"))</f>
        <v/>
      </c>
      <c r="AE102" s="846" t="str">
        <f>IFERROR(__xludf.DUMMYFUNCTION("IF($CR102="""","""",IFERROR(AVERAGE(query({CarteirasAtivos;CarteirasAtivosEncerrados},""select Col5 where Col5 is not null and Col1 = '""&amp;$CR102&amp;""' and Col10='SIM'""))*CU102,""NC""))"),"")</f>
        <v/>
      </c>
      <c r="AF102" s="847" t="str">
        <f t="shared" si="1"/>
        <v/>
      </c>
      <c r="AG102" s="442"/>
      <c r="AH102" s="848" t="str">
        <f>IFERROR(__xludf.DUMMYFUNCTION("IF($CR102="""","""",IFERROR(GOOGLEFINANCE($CR102,""low52"")*CU102,""-""))"),"")</f>
        <v/>
      </c>
      <c r="AI102" s="848" t="str">
        <f>IFERROR(__xludf.DUMMYFUNCTION("IF($CR102="""","""",IFERROR(GOOGLEFINANCE($CR102,""high52"")*CU102,""-""))"),"")</f>
        <v/>
      </c>
      <c r="AJ102" s="849" t="s">
        <v>123</v>
      </c>
      <c r="AK102" s="850" t="str">
        <f>IFERROR(__xludf.DUMMYFUNCTION("IF($CR102="""","""",IFERROR(GOOGLEFINANCE($CR102,""changepct"")/100,""-""))"),"")</f>
        <v/>
      </c>
      <c r="AL102" s="851" t="str">
        <f>IFERROR(__xludf.DUMMYFUNCTION("IF($CR102="""","""",IFERROR(($AD102/(QUERY(GOOGLEFINANCE($CR102,""price"",TODAY()-7),""SELECT Col2 label Col2 ''"")*$CU102)-1),""-""))"),"")</f>
        <v/>
      </c>
      <c r="AM102" s="851" t="str">
        <f>IFERROR(__xludf.DUMMYFUNCTION("IF($CR102="""","""",IFERROR(($AD102/(QUERY(GOOGLEFINANCE($CR102,""price"",TODAY()-14),""SELECT Col2 label Col2 ''"")*$CU102)-1),""-""))"),"")</f>
        <v/>
      </c>
      <c r="AN102" s="851" t="str">
        <f>IFERROR(__xludf.DUMMYFUNCTION("IF($CR102="""","""",IFERROR(($AD102/(QUERY(GOOGLEFINANCE($CR102,""price"",TODAY()-28),""SELECT Col2 label Col2 ''"")*$CU102)-1),""-""))"),"")</f>
        <v/>
      </c>
      <c r="AO102" s="851" t="str">
        <f>IFERROR(__xludf.DUMMYFUNCTION("IF($CR102="""","""",IFERROR(($AD102/(QUERY(GOOGLEFINANCE($CR102,""price"",TODAY()-$AQ$5),""SELECT Col2 label Col2 ''"")*$CU102)-1),""-""))"),"")</f>
        <v/>
      </c>
      <c r="AP102" s="852" t="str">
        <f>IFERROR(__xludf.DUMMYFUNCTION("IF($CR102="""","""",IFERROR(SPARKLINE(query(GOOGLEFINANCE($CR102,""price"",TODAY()-$AQ$5,TODAY(),1),""select Col2 label Col2 ''""),IF($AP$7=""Gráfico de barras"",{""charttype"",""column"";""highcolor"",""red""},{""chartype"",""line""}))))"),"")</f>
        <v/>
      </c>
      <c r="AQ102" s="144"/>
      <c r="AR102" s="853"/>
      <c r="AS102" s="854" t="str">
        <f>IF($CR102="","",IF(NOT('alocação'!$D$1),"off",IFERROR(VLOOKUP(CR102,BalanceAtivos,3,0),"NC")))</f>
        <v/>
      </c>
      <c r="AT102" s="855" t="str">
        <f>IF($CR102="","",IF(NOT('alocação'!$D$1),"off",IFERROR(VLOOKUP($CR102,BalanceAtivos,4,0)*$CU$5,"NC")))</f>
        <v/>
      </c>
      <c r="AU102" s="856" t="str">
        <f>IF($CR102="","",IF(NOT('alocação'!$D$1),"off",IFERROR(VLOOKUP($CR102,BalanceAtivos,5,0),"-")))</f>
        <v/>
      </c>
      <c r="AV102" s="856" t="str">
        <f>IF($CR102="","",IF(NOT('alocação'!$D$1),"off",IFERROR(VLOOKUP($CR102,BalanceAtivos,6,0),"-")))</f>
        <v/>
      </c>
      <c r="AW102" s="857"/>
      <c r="AX102" s="858" t="str">
        <f>IF($CR102="","",IF($E102="","SP",IFERROR(VLOOKUP($CR102,AtivosDados,MATCH("pm_atual",portfolio.!$A$3:CY$3,0),0)*$CU$5,0)))</f>
        <v/>
      </c>
      <c r="AY102" s="859" t="str">
        <f t="shared" si="2"/>
        <v/>
      </c>
      <c r="AZ102" s="858" t="str">
        <f>IF($CR102="","",IF($E102="","SP",SUMIF(portfolio.!$A$4:$A308,$CR102,portfolio.!$O$4:$O308)*$CU$5))</f>
        <v/>
      </c>
      <c r="BA102" s="858" t="str">
        <f>IF($CR102="","",IF($E102="","SP",SUMIF(portfolio.!$A$4:$A308,$CR102,portfolio.!$AN$4:$AN308)*$CU$5))</f>
        <v/>
      </c>
      <c r="BB102" s="860" t="str">
        <f>IF($CR102="","",IF($E102="","-",IFERROR($BA102/'portfólio'!$DG$63,"")))</f>
        <v/>
      </c>
      <c r="BC102" s="861" t="str">
        <f>IF($CR102="","",IF($E102="","-",SUMIF(portfolio.!$A$4:$A308,$CR102,portfolio.!$J$4:$J308)))</f>
        <v/>
      </c>
      <c r="BD102" s="862" t="str">
        <f>IF($CR102="","",IF($E102="","SP",SUMIF(portfolio.!$A$4:$A308,$CR102,portfolio.!$AQ$4:$AQ308)*$CU$5))</f>
        <v/>
      </c>
      <c r="BE102" s="850" t="str">
        <f t="shared" si="3"/>
        <v/>
      </c>
      <c r="BF102" s="862" t="str">
        <f>IF($CR102="","",IF($E102="","-",SUMIF(portfolio.!$A$4:$A308,$CR102,portfolio.!$AX$4:$AX308)*$CU$5))</f>
        <v/>
      </c>
      <c r="BG102" s="545"/>
      <c r="BH102" s="879" t="s">
        <v>123</v>
      </c>
      <c r="BI102" s="880" t="s">
        <v>123</v>
      </c>
      <c r="BJ102" s="863" t="str">
        <f>IFERROR(__xludf.DUMMYFUNCTION("IF(NOT($BL$4),"""",IF($CR102="""","""",IFERROR(query({GOOGLEFINANCE($CR102,""price"",IF($BI102=""-"",TODAY()-($AQ$5+5),$BI102),TODAY()-1)},""Select max(Col2) where Col1 is not null label max(Col2) ''"")*CU102,""-"")))"),"")</f>
        <v/>
      </c>
      <c r="BK102" s="881" t="s">
        <v>123</v>
      </c>
      <c r="BL102" s="882" t="s">
        <v>123</v>
      </c>
      <c r="BM102" s="442"/>
      <c r="BN102" s="867" t="str">
        <f>IFERROR(__xludf.DUMMYFUNCTION("IF(CR102="""","""",IF(OR(C102=""AÇÃO"",C102=""BDR""),IFERROR(QUERY({fundamentus.!$A$3:$U308},$CX$67&amp;"" where Col1='""&amp;CR102&amp;""' limit 1"",0)),IF(C102=""FII"",IFERROR(QUERY({fundsexplorer.!$A$2:$Z308},$CY$67&amp;"" where Col1='""&amp;CR102&amp;""' limit 1"",0)),""""))"&amp;")"),"")</f>
        <v/>
      </c>
      <c r="BO102" s="867"/>
      <c r="BP102" s="867"/>
      <c r="BQ102" s="867"/>
      <c r="BR102" s="867"/>
      <c r="BS102" s="867"/>
      <c r="BT102" s="867"/>
      <c r="BU102" s="442"/>
      <c r="BV102" s="868" t="str">
        <f>IFERROR(__xludf.DUMMYFUNCTION("IF(OR(C102=""AÇÃO"",C102=""BDR""),IFERROR(GOOGLEFINANCE(CONCAT(""BVMF:"",CR102), ""marketcap"")/1000000,""NC""),"""")"),"")</f>
        <v/>
      </c>
      <c r="BW102" s="869" t="s">
        <v>123</v>
      </c>
      <c r="BX102" s="870" t="s">
        <v>123</v>
      </c>
      <c r="BY102" s="868" t="s">
        <v>123</v>
      </c>
      <c r="BZ102" s="870" t="s">
        <v>123</v>
      </c>
      <c r="CA102" s="868" t="s">
        <v>123</v>
      </c>
      <c r="CB102" s="868" t="s">
        <v>123</v>
      </c>
      <c r="CC102" s="868" t="s">
        <v>123</v>
      </c>
      <c r="CD102" s="868" t="str">
        <f>IFERROR(__xludf.DUMMYFUNCTION("IF(OR(C102=""AÇÃO"",C102=""BDR""),IFERROR(GOOGLEFINANCE(CONCAT(""BVMF:"",CR102), ""volumeavg"")/1000000,""NC""),"""")"),"")</f>
        <v/>
      </c>
      <c r="CE102" s="870" t="s">
        <v>123</v>
      </c>
      <c r="CF102" s="870" t="s">
        <v>123</v>
      </c>
      <c r="CG102" s="870" t="str">
        <f>IFERROR(__xludf.DUMMYFUNCTION("IF(OR(C102=""AÇÃO"",C102=""BDR""),IF(CF102=0,""SEM DY"",IFERROR(ImportXML(CONCAT(""http://www.guiainvest.com.br/raiox/default.aspx?sigla="",$CR102),""//*[@id='lbPayoutAtual']""),""NC"")),"""")"),"")</f>
        <v/>
      </c>
      <c r="CH102" s="870" t="s">
        <v>123</v>
      </c>
      <c r="CI102" s="545"/>
      <c r="CJ102" s="871" t="str">
        <f>IFERROR(__xludf.DUMMYFUNCTION("IF(OR(C102=""AÇÃO"",C102=""BDR""),IFERROR(GOOGLEFINANCE(CONCAT(""BVMF:"",CR102), ""eps""),""NC""),"""")"),"")</f>
        <v/>
      </c>
      <c r="CK102" s="442"/>
      <c r="CL102" s="871" t="str">
        <f>IFERROR(__xludf.DUMMYFUNCTION("IF(NOT($BL$4),"""",IF($CR102="""","""",IF($BC102="""","""",IFERROR(query({op.normal!$B$5:$F308},""select Col5, toDate(Col2) where Col1 =  '""&amp;$CR102&amp;""' and Col4 &gt; 0 and ((Col3 is null) or (Col3 = 'C')) and Col2 &gt;= date '""&amp;TEXT(TODAY()-$AQ$5,""yyyy-mm-dd"&amp;""")&amp;""' order by Col2 desc limit 1 label toDate(Col2) ''"")))))"),"")</f>
        <v/>
      </c>
      <c r="CM102" s="872"/>
      <c r="CN102" s="883" t="s">
        <v>123</v>
      </c>
      <c r="CO102" s="874" t="s">
        <v>123</v>
      </c>
      <c r="CP102" s="766"/>
      <c r="CQ102" s="791"/>
      <c r="CR102" s="791"/>
      <c r="CT102" s="791" t="s">
        <v>123</v>
      </c>
      <c r="CU102" s="791" t="str">
        <f>IFERROR(__xludf.DUMMYFUNCTION("IF(CR102="""","""",IF(CT102=$C$4,1,GOOGLEFINANCE(CT102&amp;$C$4)))"),"")</f>
        <v/>
      </c>
    </row>
    <row r="103" ht="22.5" customHeight="1">
      <c r="A103" s="837">
        <v>95.0</v>
      </c>
      <c r="B103" s="838" t="s">
        <v>123</v>
      </c>
      <c r="C103" s="838" t="s">
        <v>123</v>
      </c>
      <c r="D103" s="839" t="s">
        <v>123</v>
      </c>
      <c r="E103" s="839" t="s">
        <v>123</v>
      </c>
      <c r="F103" s="839" t="s">
        <v>123</v>
      </c>
      <c r="G103" s="56"/>
      <c r="H103" s="884"/>
      <c r="I103" s="838"/>
      <c r="J103" s="838"/>
      <c r="K103" s="838"/>
      <c r="L103" s="838"/>
      <c r="M103" s="838"/>
      <c r="N103" s="838"/>
      <c r="O103" s="838"/>
      <c r="P103" s="838"/>
      <c r="Q103" s="838"/>
      <c r="R103" s="838"/>
      <c r="S103" s="838"/>
      <c r="T103" s="838"/>
      <c r="U103" s="838"/>
      <c r="V103" s="838"/>
      <c r="W103" s="838"/>
      <c r="X103" s="838"/>
      <c r="Z103" s="875" t="str">
        <f>IFERROR(__xludf.DUMMYFUNCTION("IF($CR103="""","""",IFERROR(query({CarteirasAtivos},""select Col4 where Col4 is not null and Col1 = '""&amp;$CR103&amp;""' limit 1"")*CU103,""NC""))"),"")</f>
        <v/>
      </c>
      <c r="AA103" s="876" t="str">
        <f>IFERROR(__xludf.DUMMYFUNCTION("IF($CR103="""","""",IFERROR(query({CarteirasAtivos},""select Col6 where Col4 is not null and Col1 = '""&amp;$CR103&amp;""' limit 1""),""NC""))"),"")</f>
        <v/>
      </c>
      <c r="AB103" s="877"/>
      <c r="AC103" s="878" t="s">
        <v>123</v>
      </c>
      <c r="AD103" s="845" t="str">
        <f>IF($CR103="","",IFERROR(VLOOKUP($CR103,ativos.!$C$3:$R308,MATCH("cotacao",ativos.!$C$2:CY$2,0),FALSE)*$CU$5,"atualizar"))</f>
        <v/>
      </c>
      <c r="AE103" s="846" t="str">
        <f>IFERROR(__xludf.DUMMYFUNCTION("IF($CR103="""","""",IFERROR(AVERAGE(query({CarteirasAtivos;CarteirasAtivosEncerrados},""select Col5 where Col5 is not null and Col1 = '""&amp;$CR103&amp;""' and Col10='SIM'""))*CU103,""NC""))"),"")</f>
        <v/>
      </c>
      <c r="AF103" s="847" t="str">
        <f t="shared" si="1"/>
        <v/>
      </c>
      <c r="AG103" s="442"/>
      <c r="AH103" s="848" t="str">
        <f>IFERROR(__xludf.DUMMYFUNCTION("IF($CR103="""","""",IFERROR(GOOGLEFINANCE($CR103,""low52"")*CU103,""-""))"),"")</f>
        <v/>
      </c>
      <c r="AI103" s="848" t="str">
        <f>IFERROR(__xludf.DUMMYFUNCTION("IF($CR103="""","""",IFERROR(GOOGLEFINANCE($CR103,""high52"")*CU103,""-""))"),"")</f>
        <v/>
      </c>
      <c r="AJ103" s="849" t="s">
        <v>123</v>
      </c>
      <c r="AK103" s="850" t="str">
        <f>IFERROR(__xludf.DUMMYFUNCTION("IF($CR103="""","""",IFERROR(GOOGLEFINANCE($CR103,""changepct"")/100,""-""))"),"")</f>
        <v/>
      </c>
      <c r="AL103" s="851" t="str">
        <f>IFERROR(__xludf.DUMMYFUNCTION("IF($CR103="""","""",IFERROR(($AD103/(QUERY(GOOGLEFINANCE($CR103,""price"",TODAY()-7),""SELECT Col2 label Col2 ''"")*$CU103)-1),""-""))"),"")</f>
        <v/>
      </c>
      <c r="AM103" s="851" t="str">
        <f>IFERROR(__xludf.DUMMYFUNCTION("IF($CR103="""","""",IFERROR(($AD103/(QUERY(GOOGLEFINANCE($CR103,""price"",TODAY()-14),""SELECT Col2 label Col2 ''"")*$CU103)-1),""-""))"),"")</f>
        <v/>
      </c>
      <c r="AN103" s="851" t="str">
        <f>IFERROR(__xludf.DUMMYFUNCTION("IF($CR103="""","""",IFERROR(($AD103/(QUERY(GOOGLEFINANCE($CR103,""price"",TODAY()-28),""SELECT Col2 label Col2 ''"")*$CU103)-1),""-""))"),"")</f>
        <v/>
      </c>
      <c r="AO103" s="851" t="str">
        <f>IFERROR(__xludf.DUMMYFUNCTION("IF($CR103="""","""",IFERROR(($AD103/(QUERY(GOOGLEFINANCE($CR103,""price"",TODAY()-$AQ$5),""SELECT Col2 label Col2 ''"")*$CU103)-1),""-""))"),"")</f>
        <v/>
      </c>
      <c r="AP103" s="852" t="str">
        <f>IFERROR(__xludf.DUMMYFUNCTION("IF($CR103="""","""",IFERROR(SPARKLINE(query(GOOGLEFINANCE($CR103,""price"",TODAY()-$AQ$5,TODAY(),1),""select Col2 label Col2 ''""),IF($AP$7=""Gráfico de barras"",{""charttype"",""column"";""highcolor"",""red""},{""chartype"",""line""}))))"),"")</f>
        <v/>
      </c>
      <c r="AQ103" s="144"/>
      <c r="AR103" s="853"/>
      <c r="AS103" s="854" t="str">
        <f>IF($CR103="","",IF(NOT('alocação'!$D$1),"off",IFERROR(VLOOKUP(CR103,BalanceAtivos,3,0),"NC")))</f>
        <v/>
      </c>
      <c r="AT103" s="855" t="str">
        <f>IF($CR103="","",IF(NOT('alocação'!$D$1),"off",IFERROR(VLOOKUP($CR103,BalanceAtivos,4,0)*$CU$5,"NC")))</f>
        <v/>
      </c>
      <c r="AU103" s="856" t="str">
        <f>IF($CR103="","",IF(NOT('alocação'!$D$1),"off",IFERROR(VLOOKUP($CR103,BalanceAtivos,5,0),"-")))</f>
        <v/>
      </c>
      <c r="AV103" s="856" t="str">
        <f>IF($CR103="","",IF(NOT('alocação'!$D$1),"off",IFERROR(VLOOKUP($CR103,BalanceAtivos,6,0),"-")))</f>
        <v/>
      </c>
      <c r="AW103" s="857"/>
      <c r="AX103" s="858" t="str">
        <f>IF($CR103="","",IF($E103="","SP",IFERROR(VLOOKUP($CR103,AtivosDados,MATCH("pm_atual",portfolio.!$A$3:CY$3,0),0)*$CU$5,0)))</f>
        <v/>
      </c>
      <c r="AY103" s="859" t="str">
        <f t="shared" si="2"/>
        <v/>
      </c>
      <c r="AZ103" s="858" t="str">
        <f>IF($CR103="","",IF($E103="","SP",SUMIF(portfolio.!$A$4:$A308,$CR103,portfolio.!$O$4:$O308)*$CU$5))</f>
        <v/>
      </c>
      <c r="BA103" s="858" t="str">
        <f>IF($CR103="","",IF($E103="","SP",SUMIF(portfolio.!$A$4:$A308,$CR103,portfolio.!$AN$4:$AN308)*$CU$5))</f>
        <v/>
      </c>
      <c r="BB103" s="860" t="str">
        <f>IF($CR103="","",IF($E103="","-",IFERROR($BA103/'portfólio'!$DG$63,"")))</f>
        <v/>
      </c>
      <c r="BC103" s="861" t="str">
        <f>IF($CR103="","",IF($E103="","-",SUMIF(portfolio.!$A$4:$A308,$CR103,portfolio.!$J$4:$J308)))</f>
        <v/>
      </c>
      <c r="BD103" s="862" t="str">
        <f>IF($CR103="","",IF($E103="","SP",SUMIF(portfolio.!$A$4:$A308,$CR103,portfolio.!$AQ$4:$AQ308)*$CU$5))</f>
        <v/>
      </c>
      <c r="BE103" s="850" t="str">
        <f t="shared" si="3"/>
        <v/>
      </c>
      <c r="BF103" s="862" t="str">
        <f>IF($CR103="","",IF($E103="","-",SUMIF(portfolio.!$A$4:$A308,$CR103,portfolio.!$AX$4:$AX308)*$CU$5))</f>
        <v/>
      </c>
      <c r="BG103" s="545"/>
      <c r="BH103" s="879" t="s">
        <v>123</v>
      </c>
      <c r="BI103" s="880" t="s">
        <v>123</v>
      </c>
      <c r="BJ103" s="863" t="str">
        <f>IFERROR(__xludf.DUMMYFUNCTION("IF(NOT($BL$4),"""",IF($CR103="""","""",IFERROR(query({GOOGLEFINANCE($CR103,""price"",IF($BI103=""-"",TODAY()-($AQ$5+5),$BI103),TODAY()-1)},""Select max(Col2) where Col1 is not null label max(Col2) ''"")*CU103,""-"")))"),"")</f>
        <v/>
      </c>
      <c r="BK103" s="881" t="s">
        <v>123</v>
      </c>
      <c r="BL103" s="882" t="s">
        <v>123</v>
      </c>
      <c r="BM103" s="442"/>
      <c r="BN103" s="867" t="str">
        <f>IFERROR(__xludf.DUMMYFUNCTION("IF(CR103="""","""",IF(OR(C103=""AÇÃO"",C103=""BDR""),IFERROR(QUERY({fundamentus.!$A$3:$U308},$CX$67&amp;"" where Col1='""&amp;CR103&amp;""' limit 1"",0)),IF(C103=""FII"",IFERROR(QUERY({fundsexplorer.!$A$2:$Z308},$CY$67&amp;"" where Col1='""&amp;CR103&amp;""' limit 1"",0)),""""))"&amp;")"),"")</f>
        <v/>
      </c>
      <c r="BO103" s="867"/>
      <c r="BP103" s="867"/>
      <c r="BQ103" s="867"/>
      <c r="BR103" s="867"/>
      <c r="BS103" s="867"/>
      <c r="BT103" s="867"/>
      <c r="BU103" s="442"/>
      <c r="BV103" s="868" t="str">
        <f>IFERROR(__xludf.DUMMYFUNCTION("IF(OR(C103=""AÇÃO"",C103=""BDR""),IFERROR(GOOGLEFINANCE(CONCAT(""BVMF:"",CR103), ""marketcap"")/1000000,""NC""),"""")"),"")</f>
        <v/>
      </c>
      <c r="BW103" s="869" t="s">
        <v>123</v>
      </c>
      <c r="BX103" s="870" t="s">
        <v>123</v>
      </c>
      <c r="BY103" s="868" t="s">
        <v>123</v>
      </c>
      <c r="BZ103" s="870" t="s">
        <v>123</v>
      </c>
      <c r="CA103" s="868" t="s">
        <v>123</v>
      </c>
      <c r="CB103" s="868" t="s">
        <v>123</v>
      </c>
      <c r="CC103" s="868" t="s">
        <v>123</v>
      </c>
      <c r="CD103" s="868" t="str">
        <f>IFERROR(__xludf.DUMMYFUNCTION("IF(OR(C103=""AÇÃO"",C103=""BDR""),IFERROR(GOOGLEFINANCE(CONCAT(""BVMF:"",CR103), ""volumeavg"")/1000000,""NC""),"""")"),"")</f>
        <v/>
      </c>
      <c r="CE103" s="870" t="s">
        <v>123</v>
      </c>
      <c r="CF103" s="870" t="s">
        <v>123</v>
      </c>
      <c r="CG103" s="870" t="str">
        <f>IFERROR(__xludf.DUMMYFUNCTION("IF(OR(C103=""AÇÃO"",C103=""BDR""),IF(CF103=0,""SEM DY"",IFERROR(ImportXML(CONCAT(""http://www.guiainvest.com.br/raiox/default.aspx?sigla="",$CR103),""//*[@id='lbPayoutAtual']""),""NC"")),"""")"),"")</f>
        <v/>
      </c>
      <c r="CH103" s="870" t="s">
        <v>123</v>
      </c>
      <c r="CI103" s="545"/>
      <c r="CJ103" s="871" t="str">
        <f>IFERROR(__xludf.DUMMYFUNCTION("IF(OR(C103=""AÇÃO"",C103=""BDR""),IFERROR(GOOGLEFINANCE(CONCAT(""BVMF:"",CR103), ""eps""),""NC""),"""")"),"")</f>
        <v/>
      </c>
      <c r="CK103" s="442"/>
      <c r="CL103" s="871" t="str">
        <f>IFERROR(__xludf.DUMMYFUNCTION("IF(NOT($BL$4),"""",IF($CR103="""","""",IF($BC103="""","""",IFERROR(query({op.normal!$B$5:$F308},""select Col5, toDate(Col2) where Col1 =  '""&amp;$CR103&amp;""' and Col4 &gt; 0 and ((Col3 is null) or (Col3 = 'C')) and Col2 &gt;= date '""&amp;TEXT(TODAY()-$AQ$5,""yyyy-mm-dd"&amp;""")&amp;""' order by Col2 desc limit 1 label toDate(Col2) ''"")))))"),"")</f>
        <v/>
      </c>
      <c r="CM103" s="872"/>
      <c r="CN103" s="883" t="s">
        <v>123</v>
      </c>
      <c r="CO103" s="874" t="s">
        <v>123</v>
      </c>
      <c r="CP103" s="766"/>
      <c r="CQ103" s="791"/>
      <c r="CR103" s="791"/>
      <c r="CT103" s="791" t="s">
        <v>123</v>
      </c>
      <c r="CU103" s="791" t="str">
        <f>IFERROR(__xludf.DUMMYFUNCTION("IF(CR103="""","""",IF(CT103=$C$4,1,GOOGLEFINANCE(CT103&amp;$C$4)))"),"")</f>
        <v/>
      </c>
    </row>
    <row r="104" ht="22.5" customHeight="1">
      <c r="A104" s="837">
        <v>96.0</v>
      </c>
      <c r="B104" s="838" t="s">
        <v>123</v>
      </c>
      <c r="C104" s="838" t="s">
        <v>123</v>
      </c>
      <c r="D104" s="839" t="s">
        <v>123</v>
      </c>
      <c r="E104" s="839" t="s">
        <v>123</v>
      </c>
      <c r="F104" s="839" t="s">
        <v>123</v>
      </c>
      <c r="G104" s="56"/>
      <c r="H104" s="884"/>
      <c r="I104" s="838"/>
      <c r="J104" s="838"/>
      <c r="K104" s="838"/>
      <c r="L104" s="838"/>
      <c r="M104" s="838"/>
      <c r="N104" s="838"/>
      <c r="O104" s="838"/>
      <c r="P104" s="838"/>
      <c r="Q104" s="838"/>
      <c r="R104" s="838"/>
      <c r="S104" s="838"/>
      <c r="T104" s="838"/>
      <c r="U104" s="838"/>
      <c r="V104" s="838"/>
      <c r="W104" s="838"/>
      <c r="X104" s="838"/>
      <c r="Z104" s="875" t="str">
        <f>IFERROR(__xludf.DUMMYFUNCTION("IF($CR104="""","""",IFERROR(query({CarteirasAtivos},""select Col4 where Col4 is not null and Col1 = '""&amp;$CR104&amp;""' limit 1"")*CU104,""NC""))"),"")</f>
        <v/>
      </c>
      <c r="AA104" s="876" t="str">
        <f>IFERROR(__xludf.DUMMYFUNCTION("IF($CR104="""","""",IFERROR(query({CarteirasAtivos},""select Col6 where Col4 is not null and Col1 = '""&amp;$CR104&amp;""' limit 1""),""NC""))"),"")</f>
        <v/>
      </c>
      <c r="AB104" s="877"/>
      <c r="AC104" s="878" t="s">
        <v>123</v>
      </c>
      <c r="AD104" s="845" t="str">
        <f>IF($CR104="","",IFERROR(VLOOKUP($CR104,ativos.!$C$3:$R308,MATCH("cotacao",ativos.!$C$2:CY$2,0),FALSE)*$CU$5,"atualizar"))</f>
        <v/>
      </c>
      <c r="AE104" s="846" t="str">
        <f>IFERROR(__xludf.DUMMYFUNCTION("IF($CR104="""","""",IFERROR(AVERAGE(query({CarteirasAtivos;CarteirasAtivosEncerrados},""select Col5 where Col5 is not null and Col1 = '""&amp;$CR104&amp;""' and Col10='SIM'""))*CU104,""NC""))"),"")</f>
        <v/>
      </c>
      <c r="AF104" s="847" t="str">
        <f t="shared" si="1"/>
        <v/>
      </c>
      <c r="AG104" s="442"/>
      <c r="AH104" s="848" t="str">
        <f>IFERROR(__xludf.DUMMYFUNCTION("IF($CR104="""","""",IFERROR(GOOGLEFINANCE($CR104,""low52"")*CU104,""-""))"),"")</f>
        <v/>
      </c>
      <c r="AI104" s="848" t="str">
        <f>IFERROR(__xludf.DUMMYFUNCTION("IF($CR104="""","""",IFERROR(GOOGLEFINANCE($CR104,""high52"")*CU104,""-""))"),"")</f>
        <v/>
      </c>
      <c r="AJ104" s="849" t="s">
        <v>123</v>
      </c>
      <c r="AK104" s="850" t="str">
        <f>IFERROR(__xludf.DUMMYFUNCTION("IF($CR104="""","""",IFERROR(GOOGLEFINANCE($CR104,""changepct"")/100,""-""))"),"")</f>
        <v/>
      </c>
      <c r="AL104" s="851" t="str">
        <f>IFERROR(__xludf.DUMMYFUNCTION("IF($CR104="""","""",IFERROR(($AD104/(QUERY(GOOGLEFINANCE($CR104,""price"",TODAY()-7),""SELECT Col2 label Col2 ''"")*$CU104)-1),""-""))"),"")</f>
        <v/>
      </c>
      <c r="AM104" s="851" t="str">
        <f>IFERROR(__xludf.DUMMYFUNCTION("IF($CR104="""","""",IFERROR(($AD104/(QUERY(GOOGLEFINANCE($CR104,""price"",TODAY()-14),""SELECT Col2 label Col2 ''"")*$CU104)-1),""-""))"),"")</f>
        <v/>
      </c>
      <c r="AN104" s="851" t="str">
        <f>IFERROR(__xludf.DUMMYFUNCTION("IF($CR104="""","""",IFERROR(($AD104/(QUERY(GOOGLEFINANCE($CR104,""price"",TODAY()-28),""SELECT Col2 label Col2 ''"")*$CU104)-1),""-""))"),"")</f>
        <v/>
      </c>
      <c r="AO104" s="851" t="str">
        <f>IFERROR(__xludf.DUMMYFUNCTION("IF($CR104="""","""",IFERROR(($AD104/(QUERY(GOOGLEFINANCE($CR104,""price"",TODAY()-$AQ$5),""SELECT Col2 label Col2 ''"")*$CU104)-1),""-""))"),"")</f>
        <v/>
      </c>
      <c r="AP104" s="852" t="str">
        <f>IFERROR(__xludf.DUMMYFUNCTION("IF($CR104="""","""",IFERROR(SPARKLINE(query(GOOGLEFINANCE($CR104,""price"",TODAY()-$AQ$5,TODAY(),1),""select Col2 label Col2 ''""),IF($AP$7=""Gráfico de barras"",{""charttype"",""column"";""highcolor"",""red""},{""chartype"",""line""}))))"),"")</f>
        <v/>
      </c>
      <c r="AQ104" s="144"/>
      <c r="AR104" s="853"/>
      <c r="AS104" s="854" t="str">
        <f>IF($CR104="","",IF(NOT('alocação'!$D$1),"off",IFERROR(VLOOKUP(CR104,BalanceAtivos,3,0),"NC")))</f>
        <v/>
      </c>
      <c r="AT104" s="855" t="str">
        <f>IF($CR104="","",IF(NOT('alocação'!$D$1),"off",IFERROR(VLOOKUP($CR104,BalanceAtivos,4,0)*$CU$5,"NC")))</f>
        <v/>
      </c>
      <c r="AU104" s="856" t="str">
        <f>IF($CR104="","",IF(NOT('alocação'!$D$1),"off",IFERROR(VLOOKUP($CR104,BalanceAtivos,5,0),"-")))</f>
        <v/>
      </c>
      <c r="AV104" s="856" t="str">
        <f>IF($CR104="","",IF(NOT('alocação'!$D$1),"off",IFERROR(VLOOKUP($CR104,BalanceAtivos,6,0),"-")))</f>
        <v/>
      </c>
      <c r="AW104" s="857"/>
      <c r="AX104" s="858" t="str">
        <f>IF($CR104="","",IF($E104="","SP",IFERROR(VLOOKUP($CR104,AtivosDados,MATCH("pm_atual",portfolio.!$A$3:CY$3,0),0)*$CU$5,0)))</f>
        <v/>
      </c>
      <c r="AY104" s="859" t="str">
        <f t="shared" si="2"/>
        <v/>
      </c>
      <c r="AZ104" s="858" t="str">
        <f>IF($CR104="","",IF($E104="","SP",SUMIF(portfolio.!$A$4:$A308,$CR104,portfolio.!$O$4:$O308)*$CU$5))</f>
        <v/>
      </c>
      <c r="BA104" s="858" t="str">
        <f>IF($CR104="","",IF($E104="","SP",SUMIF(portfolio.!$A$4:$A308,$CR104,portfolio.!$AN$4:$AN308)*$CU$5))</f>
        <v/>
      </c>
      <c r="BB104" s="860" t="str">
        <f>IF($CR104="","",IF($E104="","-",IFERROR($BA104/'portfólio'!$DG$63,"")))</f>
        <v/>
      </c>
      <c r="BC104" s="861" t="str">
        <f>IF($CR104="","",IF($E104="","-",SUMIF(portfolio.!$A$4:$A308,$CR104,portfolio.!$J$4:$J308)))</f>
        <v/>
      </c>
      <c r="BD104" s="862" t="str">
        <f>IF($CR104="","",IF($E104="","SP",SUMIF(portfolio.!$A$4:$A308,$CR104,portfolio.!$AQ$4:$AQ308)*$CU$5))</f>
        <v/>
      </c>
      <c r="BE104" s="850" t="str">
        <f t="shared" si="3"/>
        <v/>
      </c>
      <c r="BF104" s="862" t="str">
        <f>IF($CR104="","",IF($E104="","-",SUMIF(portfolio.!$A$4:$A308,$CR104,portfolio.!$AX$4:$AX308)*$CU$5))</f>
        <v/>
      </c>
      <c r="BG104" s="545"/>
      <c r="BH104" s="879" t="s">
        <v>123</v>
      </c>
      <c r="BI104" s="880" t="s">
        <v>123</v>
      </c>
      <c r="BJ104" s="863" t="str">
        <f>IFERROR(__xludf.DUMMYFUNCTION("IF(NOT($BL$4),"""",IF($CR104="""","""",IFERROR(query({GOOGLEFINANCE($CR104,""price"",IF($BI104=""-"",TODAY()-($AQ$5+5),$BI104),TODAY()-1)},""Select max(Col2) where Col1 is not null label max(Col2) ''"")*CU104,""-"")))"),"")</f>
        <v/>
      </c>
      <c r="BK104" s="881" t="s">
        <v>123</v>
      </c>
      <c r="BL104" s="882" t="s">
        <v>123</v>
      </c>
      <c r="BM104" s="442"/>
      <c r="BN104" s="867" t="str">
        <f>IFERROR(__xludf.DUMMYFUNCTION("IF(CR104="""","""",IF(OR(C104=""AÇÃO"",C104=""BDR""),IFERROR(QUERY({fundamentus.!$A$3:$U308},$CX$67&amp;"" where Col1='""&amp;CR104&amp;""' limit 1"",0)),IF(C104=""FII"",IFERROR(QUERY({fundsexplorer.!$A$2:$Z308},$CY$67&amp;"" where Col1='""&amp;CR104&amp;""' limit 1"",0)),""""))"&amp;")"),"")</f>
        <v/>
      </c>
      <c r="BO104" s="867"/>
      <c r="BP104" s="867"/>
      <c r="BQ104" s="867"/>
      <c r="BR104" s="867"/>
      <c r="BS104" s="867"/>
      <c r="BT104" s="867"/>
      <c r="BU104" s="442"/>
      <c r="BV104" s="868" t="str">
        <f>IFERROR(__xludf.DUMMYFUNCTION("IF(OR(C104=""AÇÃO"",C104=""BDR""),IFERROR(GOOGLEFINANCE(CONCAT(""BVMF:"",CR104), ""marketcap"")/1000000,""NC""),"""")"),"")</f>
        <v/>
      </c>
      <c r="BW104" s="869" t="s">
        <v>123</v>
      </c>
      <c r="BX104" s="870" t="s">
        <v>123</v>
      </c>
      <c r="BY104" s="868" t="s">
        <v>123</v>
      </c>
      <c r="BZ104" s="870" t="s">
        <v>123</v>
      </c>
      <c r="CA104" s="868" t="s">
        <v>123</v>
      </c>
      <c r="CB104" s="868" t="s">
        <v>123</v>
      </c>
      <c r="CC104" s="868" t="s">
        <v>123</v>
      </c>
      <c r="CD104" s="868" t="str">
        <f>IFERROR(__xludf.DUMMYFUNCTION("IF(OR(C104=""AÇÃO"",C104=""BDR""),IFERROR(GOOGLEFINANCE(CONCAT(""BVMF:"",CR104), ""volumeavg"")/1000000,""NC""),"""")"),"")</f>
        <v/>
      </c>
      <c r="CE104" s="870" t="s">
        <v>123</v>
      </c>
      <c r="CF104" s="870" t="s">
        <v>123</v>
      </c>
      <c r="CG104" s="870" t="str">
        <f>IFERROR(__xludf.DUMMYFUNCTION("IF(OR(C104=""AÇÃO"",C104=""BDR""),IF(CF104=0,""SEM DY"",IFERROR(ImportXML(CONCAT(""http://www.guiainvest.com.br/raiox/default.aspx?sigla="",$CR104),""//*[@id='lbPayoutAtual']""),""NC"")),"""")"),"")</f>
        <v/>
      </c>
      <c r="CH104" s="870" t="s">
        <v>123</v>
      </c>
      <c r="CI104" s="545"/>
      <c r="CJ104" s="871" t="str">
        <f>IFERROR(__xludf.DUMMYFUNCTION("IF(OR(C104=""AÇÃO"",C104=""BDR""),IFERROR(GOOGLEFINANCE(CONCAT(""BVMF:"",CR104), ""eps""),""NC""),"""")"),"")</f>
        <v/>
      </c>
      <c r="CK104" s="442"/>
      <c r="CL104" s="871" t="str">
        <f>IFERROR(__xludf.DUMMYFUNCTION("IF(NOT($BL$4),"""",IF($CR104="""","""",IF($BC104="""","""",IFERROR(query({op.normal!$B$5:$F308},""select Col5, toDate(Col2) where Col1 =  '""&amp;$CR104&amp;""' and Col4 &gt; 0 and ((Col3 is null) or (Col3 = 'C')) and Col2 &gt;= date '""&amp;TEXT(TODAY()-$AQ$5,""yyyy-mm-dd"&amp;""")&amp;""' order by Col2 desc limit 1 label toDate(Col2) ''"")))))"),"")</f>
        <v/>
      </c>
      <c r="CM104" s="872"/>
      <c r="CN104" s="883" t="s">
        <v>123</v>
      </c>
      <c r="CO104" s="874" t="s">
        <v>123</v>
      </c>
      <c r="CP104" s="766"/>
      <c r="CQ104" s="791"/>
      <c r="CR104" s="791"/>
      <c r="CT104" s="791" t="s">
        <v>123</v>
      </c>
      <c r="CU104" s="791" t="str">
        <f>IFERROR(__xludf.DUMMYFUNCTION("IF(CR104="""","""",IF(CT104=$C$4,1,GOOGLEFINANCE(CT104&amp;$C$4)))"),"")</f>
        <v/>
      </c>
    </row>
    <row r="105" ht="22.5" customHeight="1">
      <c r="A105" s="837">
        <v>97.0</v>
      </c>
      <c r="B105" s="838" t="s">
        <v>123</v>
      </c>
      <c r="C105" s="838" t="s">
        <v>123</v>
      </c>
      <c r="D105" s="839" t="s">
        <v>123</v>
      </c>
      <c r="E105" s="839" t="s">
        <v>123</v>
      </c>
      <c r="F105" s="839" t="s">
        <v>123</v>
      </c>
      <c r="G105" s="56"/>
      <c r="H105" s="884"/>
      <c r="I105" s="838"/>
      <c r="J105" s="838"/>
      <c r="K105" s="838"/>
      <c r="L105" s="838"/>
      <c r="M105" s="838"/>
      <c r="N105" s="838"/>
      <c r="O105" s="838"/>
      <c r="P105" s="838"/>
      <c r="Q105" s="838"/>
      <c r="R105" s="838"/>
      <c r="S105" s="838"/>
      <c r="T105" s="838"/>
      <c r="U105" s="838"/>
      <c r="V105" s="838"/>
      <c r="W105" s="838"/>
      <c r="X105" s="838"/>
      <c r="Z105" s="875" t="str">
        <f>IFERROR(__xludf.DUMMYFUNCTION("IF($CR105="""","""",IFERROR(query({CarteirasAtivos},""select Col4 where Col4 is not null and Col1 = '""&amp;$CR105&amp;""' limit 1"")*CU105,""NC""))"),"")</f>
        <v/>
      </c>
      <c r="AA105" s="876" t="str">
        <f>IFERROR(__xludf.DUMMYFUNCTION("IF($CR105="""","""",IFERROR(query({CarteirasAtivos},""select Col6 where Col4 is not null and Col1 = '""&amp;$CR105&amp;""' limit 1""),""NC""))"),"")</f>
        <v/>
      </c>
      <c r="AB105" s="877"/>
      <c r="AC105" s="878" t="s">
        <v>123</v>
      </c>
      <c r="AD105" s="845" t="str">
        <f>IF($CR105="","",IFERROR(VLOOKUP($CR105,ativos.!$C$3:$R308,MATCH("cotacao",ativos.!$C$2:CY$2,0),FALSE)*$CU$5,"atualizar"))</f>
        <v/>
      </c>
      <c r="AE105" s="846" t="str">
        <f>IFERROR(__xludf.DUMMYFUNCTION("IF($CR105="""","""",IFERROR(AVERAGE(query({CarteirasAtivos;CarteirasAtivosEncerrados},""select Col5 where Col5 is not null and Col1 = '""&amp;$CR105&amp;""' and Col10='SIM'""))*CU105,""NC""))"),"")</f>
        <v/>
      </c>
      <c r="AF105" s="847" t="str">
        <f t="shared" si="1"/>
        <v/>
      </c>
      <c r="AG105" s="442"/>
      <c r="AH105" s="848" t="str">
        <f>IFERROR(__xludf.DUMMYFUNCTION("IF($CR105="""","""",IFERROR(GOOGLEFINANCE($CR105,""low52"")*CU105,""-""))"),"")</f>
        <v/>
      </c>
      <c r="AI105" s="848" t="str">
        <f>IFERROR(__xludf.DUMMYFUNCTION("IF($CR105="""","""",IFERROR(GOOGLEFINANCE($CR105,""high52"")*CU105,""-""))"),"")</f>
        <v/>
      </c>
      <c r="AJ105" s="849" t="s">
        <v>123</v>
      </c>
      <c r="AK105" s="850" t="str">
        <f>IFERROR(__xludf.DUMMYFUNCTION("IF($CR105="""","""",IFERROR(GOOGLEFINANCE($CR105,""changepct"")/100,""-""))"),"")</f>
        <v/>
      </c>
      <c r="AL105" s="851" t="str">
        <f>IFERROR(__xludf.DUMMYFUNCTION("IF($CR105="""","""",IFERROR(($AD105/(QUERY(GOOGLEFINANCE($CR105,""price"",TODAY()-7),""SELECT Col2 label Col2 ''"")*$CU105)-1),""-""))"),"")</f>
        <v/>
      </c>
      <c r="AM105" s="851" t="str">
        <f>IFERROR(__xludf.DUMMYFUNCTION("IF($CR105="""","""",IFERROR(($AD105/(QUERY(GOOGLEFINANCE($CR105,""price"",TODAY()-14),""SELECT Col2 label Col2 ''"")*$CU105)-1),""-""))"),"")</f>
        <v/>
      </c>
      <c r="AN105" s="851" t="str">
        <f>IFERROR(__xludf.DUMMYFUNCTION("IF($CR105="""","""",IFERROR(($AD105/(QUERY(GOOGLEFINANCE($CR105,""price"",TODAY()-28),""SELECT Col2 label Col2 ''"")*$CU105)-1),""-""))"),"")</f>
        <v/>
      </c>
      <c r="AO105" s="851" t="str">
        <f>IFERROR(__xludf.DUMMYFUNCTION("IF($CR105="""","""",IFERROR(($AD105/(QUERY(GOOGLEFINANCE($CR105,""price"",TODAY()-$AQ$5),""SELECT Col2 label Col2 ''"")*$CU105)-1),""-""))"),"")</f>
        <v/>
      </c>
      <c r="AP105" s="852" t="str">
        <f>IFERROR(__xludf.DUMMYFUNCTION("IF($CR105="""","""",IFERROR(SPARKLINE(query(GOOGLEFINANCE($CR105,""price"",TODAY()-$AQ$5,TODAY(),1),""select Col2 label Col2 ''""),IF($AP$7=""Gráfico de barras"",{""charttype"",""column"";""highcolor"",""red""},{""chartype"",""line""}))))"),"")</f>
        <v/>
      </c>
      <c r="AQ105" s="144"/>
      <c r="AR105" s="853"/>
      <c r="AS105" s="854" t="str">
        <f>IF($CR105="","",IF(NOT('alocação'!$D$1),"off",IFERROR(VLOOKUP(CR105,BalanceAtivos,3,0),"NC")))</f>
        <v/>
      </c>
      <c r="AT105" s="855" t="str">
        <f>IF($CR105="","",IF(NOT('alocação'!$D$1),"off",IFERROR(VLOOKUP($CR105,BalanceAtivos,4,0)*$CU$5,"NC")))</f>
        <v/>
      </c>
      <c r="AU105" s="856" t="str">
        <f>IF($CR105="","",IF(NOT('alocação'!$D$1),"off",IFERROR(VLOOKUP($CR105,BalanceAtivos,5,0),"-")))</f>
        <v/>
      </c>
      <c r="AV105" s="856" t="str">
        <f>IF($CR105="","",IF(NOT('alocação'!$D$1),"off",IFERROR(VLOOKUP($CR105,BalanceAtivos,6,0),"-")))</f>
        <v/>
      </c>
      <c r="AW105" s="857"/>
      <c r="AX105" s="858" t="str">
        <f>IF($CR105="","",IF($E105="","SP",IFERROR(VLOOKUP($CR105,AtivosDados,MATCH("pm_atual",portfolio.!$A$3:CY$3,0),0)*$CU$5,0)))</f>
        <v/>
      </c>
      <c r="AY105" s="859" t="str">
        <f t="shared" si="2"/>
        <v/>
      </c>
      <c r="AZ105" s="858" t="str">
        <f>IF($CR105="","",IF($E105="","SP",SUMIF(portfolio.!$A$4:$A308,$CR105,portfolio.!$O$4:$O308)*$CU$5))</f>
        <v/>
      </c>
      <c r="BA105" s="858" t="str">
        <f>IF($CR105="","",IF($E105="","SP",SUMIF(portfolio.!$A$4:$A308,$CR105,portfolio.!$AN$4:$AN308)*$CU$5))</f>
        <v/>
      </c>
      <c r="BB105" s="860" t="str">
        <f>IF($CR105="","",IF($E105="","-",IFERROR($BA105/'portfólio'!$DG$63,"")))</f>
        <v/>
      </c>
      <c r="BC105" s="861" t="str">
        <f>IF($CR105="","",IF($E105="","-",SUMIF(portfolio.!$A$4:$A308,$CR105,portfolio.!$J$4:$J308)))</f>
        <v/>
      </c>
      <c r="BD105" s="862" t="str">
        <f>IF($CR105="","",IF($E105="","SP",SUMIF(portfolio.!$A$4:$A308,$CR105,portfolio.!$AQ$4:$AQ308)*$CU$5))</f>
        <v/>
      </c>
      <c r="BE105" s="850" t="str">
        <f t="shared" si="3"/>
        <v/>
      </c>
      <c r="BF105" s="862" t="str">
        <f>IF($CR105="","",IF($E105="","-",SUMIF(portfolio.!$A$4:$A308,$CR105,portfolio.!$AX$4:$AX308)*$CU$5))</f>
        <v/>
      </c>
      <c r="BG105" s="545"/>
      <c r="BH105" s="879" t="s">
        <v>123</v>
      </c>
      <c r="BI105" s="880" t="s">
        <v>123</v>
      </c>
      <c r="BJ105" s="863" t="str">
        <f>IFERROR(__xludf.DUMMYFUNCTION("IF(NOT($BL$4),"""",IF($CR105="""","""",IFERROR(query({GOOGLEFINANCE($CR105,""price"",IF($BI105=""-"",TODAY()-($AQ$5+5),$BI105),TODAY()-1)},""Select max(Col2) where Col1 is not null label max(Col2) ''"")*CU105,""-"")))"),"")</f>
        <v/>
      </c>
      <c r="BK105" s="881" t="s">
        <v>123</v>
      </c>
      <c r="BL105" s="882" t="s">
        <v>123</v>
      </c>
      <c r="BM105" s="442"/>
      <c r="BN105" s="867" t="str">
        <f>IFERROR(__xludf.DUMMYFUNCTION("IF(CR105="""","""",IF(OR(C105=""AÇÃO"",C105=""BDR""),IFERROR(QUERY({fundamentus.!$A$3:$U308},$CX$67&amp;"" where Col1='""&amp;CR105&amp;""' limit 1"",0)),IF(C105=""FII"",IFERROR(QUERY({fundsexplorer.!$A$2:$Z308},$CY$67&amp;"" where Col1='""&amp;CR105&amp;""' limit 1"",0)),""""))"&amp;")"),"")</f>
        <v/>
      </c>
      <c r="BO105" s="867"/>
      <c r="BP105" s="867"/>
      <c r="BQ105" s="867"/>
      <c r="BR105" s="867"/>
      <c r="BS105" s="867"/>
      <c r="BT105" s="867"/>
      <c r="BU105" s="442"/>
      <c r="BV105" s="868" t="str">
        <f>IFERROR(__xludf.DUMMYFUNCTION("IF(OR(C105=""AÇÃO"",C105=""BDR""),IFERROR(GOOGLEFINANCE(CONCAT(""BVMF:"",CR105), ""marketcap"")/1000000,""NC""),"""")"),"")</f>
        <v/>
      </c>
      <c r="BW105" s="869" t="s">
        <v>123</v>
      </c>
      <c r="BX105" s="870" t="s">
        <v>123</v>
      </c>
      <c r="BY105" s="868" t="s">
        <v>123</v>
      </c>
      <c r="BZ105" s="870" t="s">
        <v>123</v>
      </c>
      <c r="CA105" s="868" t="s">
        <v>123</v>
      </c>
      <c r="CB105" s="868" t="s">
        <v>123</v>
      </c>
      <c r="CC105" s="868" t="s">
        <v>123</v>
      </c>
      <c r="CD105" s="868" t="str">
        <f>IFERROR(__xludf.DUMMYFUNCTION("IF(OR(C105=""AÇÃO"",C105=""BDR""),IFERROR(GOOGLEFINANCE(CONCAT(""BVMF:"",CR105), ""volumeavg"")/1000000,""NC""),"""")"),"")</f>
        <v/>
      </c>
      <c r="CE105" s="870" t="s">
        <v>123</v>
      </c>
      <c r="CF105" s="870" t="s">
        <v>123</v>
      </c>
      <c r="CG105" s="870" t="str">
        <f>IFERROR(__xludf.DUMMYFUNCTION("IF(OR(C105=""AÇÃO"",C105=""BDR""),IF(CF105=0,""SEM DY"",IFERROR(ImportXML(CONCAT(""http://www.guiainvest.com.br/raiox/default.aspx?sigla="",$CR105),""//*[@id='lbPayoutAtual']""),""NC"")),"""")"),"")</f>
        <v/>
      </c>
      <c r="CH105" s="870" t="s">
        <v>123</v>
      </c>
      <c r="CI105" s="545"/>
      <c r="CJ105" s="871" t="str">
        <f>IFERROR(__xludf.DUMMYFUNCTION("IF(OR(C105=""AÇÃO"",C105=""BDR""),IFERROR(GOOGLEFINANCE(CONCAT(""BVMF:"",CR105), ""eps""),""NC""),"""")"),"")</f>
        <v/>
      </c>
      <c r="CK105" s="442"/>
      <c r="CL105" s="871" t="str">
        <f>IFERROR(__xludf.DUMMYFUNCTION("IF(NOT($BL$4),"""",IF($CR105="""","""",IF($BC105="""","""",IFERROR(query({op.normal!$B$5:$F308},""select Col5, toDate(Col2) where Col1 =  '""&amp;$CR105&amp;""' and Col4 &gt; 0 and ((Col3 is null) or (Col3 = 'C')) and Col2 &gt;= date '""&amp;TEXT(TODAY()-$AQ$5,""yyyy-mm-dd"&amp;""")&amp;""' order by Col2 desc limit 1 label toDate(Col2) ''"")))))"),"")</f>
        <v/>
      </c>
      <c r="CM105" s="872"/>
      <c r="CN105" s="883" t="s">
        <v>123</v>
      </c>
      <c r="CO105" s="874" t="s">
        <v>123</v>
      </c>
      <c r="CP105" s="766"/>
      <c r="CQ105" s="791"/>
      <c r="CR105" s="791"/>
      <c r="CT105" s="791" t="s">
        <v>123</v>
      </c>
      <c r="CU105" s="791" t="str">
        <f>IFERROR(__xludf.DUMMYFUNCTION("IF(CR105="""","""",IF(CT105=$C$4,1,GOOGLEFINANCE(CT105&amp;$C$4)))"),"")</f>
        <v/>
      </c>
    </row>
    <row r="106" ht="22.5" customHeight="1">
      <c r="A106" s="837">
        <v>98.0</v>
      </c>
      <c r="B106" s="838" t="s">
        <v>123</v>
      </c>
      <c r="C106" s="838" t="s">
        <v>123</v>
      </c>
      <c r="D106" s="839" t="s">
        <v>123</v>
      </c>
      <c r="E106" s="839" t="s">
        <v>123</v>
      </c>
      <c r="F106" s="839" t="s">
        <v>123</v>
      </c>
      <c r="H106" s="884"/>
      <c r="I106" s="838"/>
      <c r="J106" s="838"/>
      <c r="K106" s="838"/>
      <c r="L106" s="838"/>
      <c r="M106" s="838"/>
      <c r="N106" s="838"/>
      <c r="O106" s="838"/>
      <c r="P106" s="838"/>
      <c r="Q106" s="838"/>
      <c r="R106" s="838"/>
      <c r="S106" s="838"/>
      <c r="T106" s="838"/>
      <c r="U106" s="838"/>
      <c r="V106" s="838"/>
      <c r="W106" s="838"/>
      <c r="X106" s="838"/>
      <c r="Z106" s="875" t="str">
        <f>IFERROR(__xludf.DUMMYFUNCTION("IF($CR106="""","""",IFERROR(query({CarteirasAtivos},""select Col4 where Col4 is not null and Col1 = '""&amp;$CR106&amp;""' limit 1"")*CU106,""NC""))"),"")</f>
        <v/>
      </c>
      <c r="AA106" s="876" t="str">
        <f>IFERROR(__xludf.DUMMYFUNCTION("IF($CR106="""","""",IFERROR(query({CarteirasAtivos},""select Col6 where Col4 is not null and Col1 = '""&amp;$CR106&amp;""' limit 1""),""NC""))"),"")</f>
        <v/>
      </c>
      <c r="AB106" s="877"/>
      <c r="AC106" s="878" t="s">
        <v>123</v>
      </c>
      <c r="AD106" s="845" t="str">
        <f>IF($CR106="","",IFERROR(VLOOKUP($CR106,ativos.!$C$3:$R308,MATCH("cotacao",ativos.!$C$2:CY$2,0),FALSE)*$CU$5,"atualizar"))</f>
        <v/>
      </c>
      <c r="AE106" s="846" t="str">
        <f>IFERROR(__xludf.DUMMYFUNCTION("IF($CR106="""","""",IFERROR(AVERAGE(query({CarteirasAtivos;CarteirasAtivosEncerrados},""select Col5 where Col5 is not null and Col1 = '""&amp;$CR106&amp;""' and Col10='SIM'""))*CU106,""NC""))"),"")</f>
        <v/>
      </c>
      <c r="AF106" s="847" t="str">
        <f t="shared" si="1"/>
        <v/>
      </c>
      <c r="AG106" s="442"/>
      <c r="AH106" s="848" t="str">
        <f>IFERROR(__xludf.DUMMYFUNCTION("IF($CR106="""","""",IFERROR(GOOGLEFINANCE($CR106,""low52"")*CU106,""-""))"),"")</f>
        <v/>
      </c>
      <c r="AI106" s="848" t="str">
        <f>IFERROR(__xludf.DUMMYFUNCTION("IF($CR106="""","""",IFERROR(GOOGLEFINANCE($CR106,""high52"")*CU106,""-""))"),"")</f>
        <v/>
      </c>
      <c r="AJ106" s="849" t="s">
        <v>123</v>
      </c>
      <c r="AK106" s="850" t="str">
        <f>IFERROR(__xludf.DUMMYFUNCTION("IF($CR106="""","""",IFERROR(GOOGLEFINANCE($CR106,""changepct"")/100,""-""))"),"")</f>
        <v/>
      </c>
      <c r="AL106" s="851" t="str">
        <f>IFERROR(__xludf.DUMMYFUNCTION("IF($CR106="""","""",IFERROR(($AD106/(QUERY(GOOGLEFINANCE($CR106,""price"",TODAY()-7),""SELECT Col2 label Col2 ''"")*$CU106)-1),""-""))"),"")</f>
        <v/>
      </c>
      <c r="AM106" s="851" t="str">
        <f>IFERROR(__xludf.DUMMYFUNCTION("IF($CR106="""","""",IFERROR(($AD106/(QUERY(GOOGLEFINANCE($CR106,""price"",TODAY()-14),""SELECT Col2 label Col2 ''"")*$CU106)-1),""-""))"),"")</f>
        <v/>
      </c>
      <c r="AN106" s="851" t="str">
        <f>IFERROR(__xludf.DUMMYFUNCTION("IF($CR106="""","""",IFERROR(($AD106/(QUERY(GOOGLEFINANCE($CR106,""price"",TODAY()-28),""SELECT Col2 label Col2 ''"")*$CU106)-1),""-""))"),"")</f>
        <v/>
      </c>
      <c r="AO106" s="851" t="str">
        <f>IFERROR(__xludf.DUMMYFUNCTION("IF($CR106="""","""",IFERROR(($AD106/(QUERY(GOOGLEFINANCE($CR106,""price"",TODAY()-$AQ$5),""SELECT Col2 label Col2 ''"")*$CU106)-1),""-""))"),"")</f>
        <v/>
      </c>
      <c r="AP106" s="852" t="str">
        <f>IFERROR(__xludf.DUMMYFUNCTION("IF($CR106="""","""",IFERROR(SPARKLINE(query(GOOGLEFINANCE($CR106,""price"",TODAY()-$AQ$5,TODAY(),1),""select Col2 label Col2 ''""),IF($AP$7=""Gráfico de barras"",{""charttype"",""column"";""highcolor"",""red""},{""chartype"",""line""}))))"),"")</f>
        <v/>
      </c>
      <c r="AQ106" s="144"/>
      <c r="AR106" s="853"/>
      <c r="AS106" s="854" t="str">
        <f>IF($CR106="","",IF(NOT('alocação'!$D$1),"off",IFERROR(VLOOKUP(CR106,BalanceAtivos,3,0),"NC")))</f>
        <v/>
      </c>
      <c r="AT106" s="855" t="str">
        <f>IF($CR106="","",IF(NOT('alocação'!$D$1),"off",IFERROR(VLOOKUP($CR106,BalanceAtivos,4,0)*$CU$5,"NC")))</f>
        <v/>
      </c>
      <c r="AU106" s="856" t="str">
        <f>IF($CR106="","",IF(NOT('alocação'!$D$1),"off",IFERROR(VLOOKUP($CR106,BalanceAtivos,5,0),"-")))</f>
        <v/>
      </c>
      <c r="AV106" s="856" t="str">
        <f>IF($CR106="","",IF(NOT('alocação'!$D$1),"off",IFERROR(VLOOKUP($CR106,BalanceAtivos,6,0),"-")))</f>
        <v/>
      </c>
      <c r="AW106" s="857"/>
      <c r="AX106" s="858" t="str">
        <f>IF($CR106="","",IF($E106="","SP",IFERROR(VLOOKUP($CR106,AtivosDados,MATCH("pm_atual",portfolio.!$A$3:CY$3,0),0)*$CU$5,0)))</f>
        <v/>
      </c>
      <c r="AY106" s="859" t="str">
        <f t="shared" si="2"/>
        <v/>
      </c>
      <c r="AZ106" s="858" t="str">
        <f>IF($CR106="","",IF($E106="","SP",SUMIF(portfolio.!$A$4:$A308,$CR106,portfolio.!$O$4:$O308)*$CU$5))</f>
        <v/>
      </c>
      <c r="BA106" s="858" t="str">
        <f>IF($CR106="","",IF($E106="","SP",SUMIF(portfolio.!$A$4:$A308,$CR106,portfolio.!$AN$4:$AN308)*$CU$5))</f>
        <v/>
      </c>
      <c r="BB106" s="860" t="str">
        <f>IF($CR106="","",IF($E106="","-",IFERROR($BA106/'portfólio'!$DG$63,"")))</f>
        <v/>
      </c>
      <c r="BC106" s="861" t="str">
        <f>IF($CR106="","",IF($E106="","-",SUMIF(portfolio.!$A$4:$A308,$CR106,portfolio.!$J$4:$J308)))</f>
        <v/>
      </c>
      <c r="BD106" s="862" t="str">
        <f>IF($CR106="","",IF($E106="","SP",SUMIF(portfolio.!$A$4:$A308,$CR106,portfolio.!$AQ$4:$AQ308)*$CU$5))</f>
        <v/>
      </c>
      <c r="BE106" s="850" t="str">
        <f t="shared" si="3"/>
        <v/>
      </c>
      <c r="BF106" s="862" t="str">
        <f>IF($CR106="","",IF($E106="","-",SUMIF(portfolio.!$A$4:$A308,$CR106,portfolio.!$AX$4:$AX308)*$CU$5))</f>
        <v/>
      </c>
      <c r="BG106" s="545"/>
      <c r="BH106" s="879" t="s">
        <v>123</v>
      </c>
      <c r="BI106" s="880" t="s">
        <v>123</v>
      </c>
      <c r="BJ106" s="863" t="str">
        <f>IFERROR(__xludf.DUMMYFUNCTION("IF(NOT($BL$4),"""",IF($CR106="""","""",IFERROR(query({GOOGLEFINANCE($CR106,""price"",IF($BI106=""-"",TODAY()-($AQ$5+5),$BI106),TODAY()-1)},""Select max(Col2) where Col1 is not null label max(Col2) ''"")*CU106,""-"")))"),"")</f>
        <v/>
      </c>
      <c r="BK106" s="881" t="s">
        <v>123</v>
      </c>
      <c r="BL106" s="882" t="s">
        <v>123</v>
      </c>
      <c r="BM106" s="442"/>
      <c r="BN106" s="867" t="str">
        <f>IFERROR(__xludf.DUMMYFUNCTION("IF(CR106="""","""",IF(OR(C106=""AÇÃO"",C106=""BDR""),IFERROR(QUERY({fundamentus.!$A$3:$U308},$CX$67&amp;"" where Col1='""&amp;CR106&amp;""' limit 1"",0)),IF(C106=""FII"",IFERROR(QUERY({fundsexplorer.!$A$2:$Z308},$CY$67&amp;"" where Col1='""&amp;CR106&amp;""' limit 1"",0)),""""))"&amp;")"),"")</f>
        <v/>
      </c>
      <c r="BO106" s="867"/>
      <c r="BP106" s="867"/>
      <c r="BQ106" s="867"/>
      <c r="BR106" s="867"/>
      <c r="BS106" s="867"/>
      <c r="BT106" s="867"/>
      <c r="BU106" s="442"/>
      <c r="BV106" s="868" t="str">
        <f>IFERROR(__xludf.DUMMYFUNCTION("IF(OR(C106=""AÇÃO"",C106=""BDR""),IFERROR(GOOGLEFINANCE(CONCAT(""BVMF:"",CR106), ""marketcap"")/1000000,""NC""),"""")"),"")</f>
        <v/>
      </c>
      <c r="BW106" s="869" t="s">
        <v>123</v>
      </c>
      <c r="BX106" s="870" t="s">
        <v>123</v>
      </c>
      <c r="BY106" s="868" t="s">
        <v>123</v>
      </c>
      <c r="BZ106" s="870" t="s">
        <v>123</v>
      </c>
      <c r="CA106" s="868" t="s">
        <v>123</v>
      </c>
      <c r="CB106" s="868" t="s">
        <v>123</v>
      </c>
      <c r="CC106" s="868" t="s">
        <v>123</v>
      </c>
      <c r="CD106" s="868" t="str">
        <f>IFERROR(__xludf.DUMMYFUNCTION("IF(OR(C106=""AÇÃO"",C106=""BDR""),IFERROR(GOOGLEFINANCE(CONCAT(""BVMF:"",CR106), ""volumeavg"")/1000000,""NC""),"""")"),"")</f>
        <v/>
      </c>
      <c r="CE106" s="870" t="s">
        <v>123</v>
      </c>
      <c r="CF106" s="870" t="s">
        <v>123</v>
      </c>
      <c r="CG106" s="870" t="str">
        <f>IFERROR(__xludf.DUMMYFUNCTION("IF(OR(C106=""AÇÃO"",C106=""BDR""),IF(CF106=0,""SEM DY"",IFERROR(ImportXML(CONCAT(""http://www.guiainvest.com.br/raiox/default.aspx?sigla="",$CR106),""//*[@id='lbPayoutAtual']""),""NC"")),"""")"),"")</f>
        <v/>
      </c>
      <c r="CH106" s="870" t="s">
        <v>123</v>
      </c>
      <c r="CI106" s="545"/>
      <c r="CJ106" s="871" t="str">
        <f>IFERROR(__xludf.DUMMYFUNCTION("IF(OR(C106=""AÇÃO"",C106=""BDR""),IFERROR(GOOGLEFINANCE(CONCAT(""BVMF:"",CR106), ""eps""),""NC""),"""")"),"")</f>
        <v/>
      </c>
      <c r="CK106" s="442"/>
      <c r="CL106" s="871" t="str">
        <f>IFERROR(__xludf.DUMMYFUNCTION("IF(NOT($BL$4),"""",IF($CR106="""","""",IF($BC106="""","""",IFERROR(query({op.normal!$B$5:$F308},""select Col5, toDate(Col2) where Col1 =  '""&amp;$CR106&amp;""' and Col4 &gt; 0 and ((Col3 is null) or (Col3 = 'C')) and Col2 &gt;= date '""&amp;TEXT(TODAY()-$AQ$5,""yyyy-mm-dd"&amp;""")&amp;""' order by Col2 desc limit 1 label toDate(Col2) ''"")))))"),"")</f>
        <v/>
      </c>
      <c r="CM106" s="872"/>
      <c r="CN106" s="883" t="s">
        <v>123</v>
      </c>
      <c r="CO106" s="874" t="s">
        <v>123</v>
      </c>
      <c r="CP106" s="766"/>
      <c r="CQ106" s="791"/>
      <c r="CR106" s="791"/>
      <c r="CT106" s="791" t="s">
        <v>123</v>
      </c>
      <c r="CU106" s="791" t="str">
        <f>IFERROR(__xludf.DUMMYFUNCTION("IF(CR106="""","""",IF(CT106=$C$4,1,GOOGLEFINANCE(CT106&amp;$C$4)))"),"")</f>
        <v/>
      </c>
    </row>
    <row r="107" ht="22.5" customHeight="1">
      <c r="A107" s="837">
        <v>99.0</v>
      </c>
      <c r="B107" s="838" t="s">
        <v>123</v>
      </c>
      <c r="C107" s="838" t="s">
        <v>123</v>
      </c>
      <c r="D107" s="839" t="s">
        <v>123</v>
      </c>
      <c r="E107" s="839" t="s">
        <v>123</v>
      </c>
      <c r="F107" s="839" t="s">
        <v>123</v>
      </c>
      <c r="H107" s="884"/>
      <c r="I107" s="838"/>
      <c r="J107" s="838"/>
      <c r="K107" s="838"/>
      <c r="L107" s="838"/>
      <c r="M107" s="838"/>
      <c r="N107" s="838"/>
      <c r="O107" s="838"/>
      <c r="P107" s="838"/>
      <c r="Q107" s="838"/>
      <c r="R107" s="838"/>
      <c r="S107" s="838"/>
      <c r="T107" s="838"/>
      <c r="U107" s="838"/>
      <c r="V107" s="838"/>
      <c r="W107" s="838"/>
      <c r="X107" s="838"/>
      <c r="Z107" s="875" t="str">
        <f>IFERROR(__xludf.DUMMYFUNCTION("IF($CR107="""","""",IFERROR(query({CarteirasAtivos},""select Col4 where Col4 is not null and Col1 = '""&amp;$CR107&amp;""' limit 1"")*CU107,""NC""))"),"")</f>
        <v/>
      </c>
      <c r="AA107" s="876" t="str">
        <f>IFERROR(__xludf.DUMMYFUNCTION("IF($CR107="""","""",IFERROR(query({CarteirasAtivos},""select Col6 where Col4 is not null and Col1 = '""&amp;$CR107&amp;""' limit 1""),""NC""))"),"")</f>
        <v/>
      </c>
      <c r="AB107" s="877"/>
      <c r="AC107" s="878" t="s">
        <v>123</v>
      </c>
      <c r="AD107" s="845" t="str">
        <f>IF($CR107="","",IFERROR(VLOOKUP($CR107,ativos.!$C$3:$R308,MATCH("cotacao",ativos.!$C$2:CY$2,0),FALSE)*$CU$5,"atualizar"))</f>
        <v/>
      </c>
      <c r="AE107" s="846" t="str">
        <f>IFERROR(__xludf.DUMMYFUNCTION("IF($CR107="""","""",IFERROR(AVERAGE(query({CarteirasAtivos;CarteirasAtivosEncerrados},""select Col5 where Col5 is not null and Col1 = '""&amp;$CR107&amp;""' and Col10='SIM'""))*CU107,""NC""))"),"")</f>
        <v/>
      </c>
      <c r="AF107" s="847" t="str">
        <f t="shared" si="1"/>
        <v/>
      </c>
      <c r="AG107" s="442"/>
      <c r="AH107" s="848" t="str">
        <f>IFERROR(__xludf.DUMMYFUNCTION("IF($CR107="""","""",IFERROR(GOOGLEFINANCE($CR107,""low52"")*CU107,""-""))"),"")</f>
        <v/>
      </c>
      <c r="AI107" s="848" t="str">
        <f>IFERROR(__xludf.DUMMYFUNCTION("IF($CR107="""","""",IFERROR(GOOGLEFINANCE($CR107,""high52"")*CU107,""-""))"),"")</f>
        <v/>
      </c>
      <c r="AJ107" s="849" t="s">
        <v>123</v>
      </c>
      <c r="AK107" s="850" t="str">
        <f>IFERROR(__xludf.DUMMYFUNCTION("IF($CR107="""","""",IFERROR(GOOGLEFINANCE($CR107,""changepct"")/100,""-""))"),"")</f>
        <v/>
      </c>
      <c r="AL107" s="851" t="str">
        <f>IFERROR(__xludf.DUMMYFUNCTION("IF($CR107="""","""",IFERROR(($AD107/(QUERY(GOOGLEFINANCE($CR107,""price"",TODAY()-7),""SELECT Col2 label Col2 ''"")*$CU107)-1),""-""))"),"")</f>
        <v/>
      </c>
      <c r="AM107" s="851" t="str">
        <f>IFERROR(__xludf.DUMMYFUNCTION("IF($CR107="""","""",IFERROR(($AD107/(QUERY(GOOGLEFINANCE($CR107,""price"",TODAY()-14),""SELECT Col2 label Col2 ''"")*$CU107)-1),""-""))"),"")</f>
        <v/>
      </c>
      <c r="AN107" s="851" t="str">
        <f>IFERROR(__xludf.DUMMYFUNCTION("IF($CR107="""","""",IFERROR(($AD107/(QUERY(GOOGLEFINANCE($CR107,""price"",TODAY()-28),""SELECT Col2 label Col2 ''"")*$CU107)-1),""-""))"),"")</f>
        <v/>
      </c>
      <c r="AO107" s="851" t="str">
        <f>IFERROR(__xludf.DUMMYFUNCTION("IF($CR107="""","""",IFERROR(($AD107/(QUERY(GOOGLEFINANCE($CR107,""price"",TODAY()-$AQ$5),""SELECT Col2 label Col2 ''"")*$CU107)-1),""-""))"),"")</f>
        <v/>
      </c>
      <c r="AP107" s="852" t="str">
        <f>IFERROR(__xludf.DUMMYFUNCTION("IF($CR107="""","""",IFERROR(SPARKLINE(query(GOOGLEFINANCE($CR107,""price"",TODAY()-$AQ$5,TODAY(),1),""select Col2 label Col2 ''""),IF($AP$7=""Gráfico de barras"",{""charttype"",""column"";""highcolor"",""red""},{""chartype"",""line""}))))"),"")</f>
        <v/>
      </c>
      <c r="AQ107" s="144"/>
      <c r="AR107" s="853"/>
      <c r="AS107" s="854" t="str">
        <f>IF($CR107="","",IF(NOT('alocação'!$D$1),"off",IFERROR(VLOOKUP(CR107,BalanceAtivos,3,0),"NC")))</f>
        <v/>
      </c>
      <c r="AT107" s="855" t="str">
        <f>IF($CR107="","",IF(NOT('alocação'!$D$1),"off",IFERROR(VLOOKUP($CR107,BalanceAtivos,4,0)*$CU$5,"NC")))</f>
        <v/>
      </c>
      <c r="AU107" s="856" t="str">
        <f>IF($CR107="","",IF(NOT('alocação'!$D$1),"off",IFERROR(VLOOKUP($CR107,BalanceAtivos,5,0),"-")))</f>
        <v/>
      </c>
      <c r="AV107" s="856" t="str">
        <f>IF($CR107="","",IF(NOT('alocação'!$D$1),"off",IFERROR(VLOOKUP($CR107,BalanceAtivos,6,0),"-")))</f>
        <v/>
      </c>
      <c r="AW107" s="857"/>
      <c r="AX107" s="858" t="str">
        <f>IF($CR107="","",IF($E107="","SP",IFERROR(VLOOKUP($CR107,AtivosDados,MATCH("pm_atual",portfolio.!$A$3:CY$3,0),0)*$CU$5,0)))</f>
        <v/>
      </c>
      <c r="AY107" s="859" t="str">
        <f t="shared" si="2"/>
        <v/>
      </c>
      <c r="AZ107" s="858" t="str">
        <f>IF($CR107="","",IF($E107="","SP",SUMIF(portfolio.!$A$4:$A308,$CR107,portfolio.!$O$4:$O308)*$CU$5))</f>
        <v/>
      </c>
      <c r="BA107" s="858" t="str">
        <f>IF($CR107="","",IF($E107="","SP",SUMIF(portfolio.!$A$4:$A308,$CR107,portfolio.!$AN$4:$AN308)*$CU$5))</f>
        <v/>
      </c>
      <c r="BB107" s="860" t="str">
        <f>IF($CR107="","",IF($E107="","-",IFERROR($BA107/'portfólio'!$DG$63,"")))</f>
        <v/>
      </c>
      <c r="BC107" s="861" t="str">
        <f>IF($CR107="","",IF($E107="","-",SUMIF(portfolio.!$A$4:$A308,$CR107,portfolio.!$J$4:$J308)))</f>
        <v/>
      </c>
      <c r="BD107" s="862" t="str">
        <f>IF($CR107="","",IF($E107="","SP",SUMIF(portfolio.!$A$4:$A308,$CR107,portfolio.!$AQ$4:$AQ308)*$CU$5))</f>
        <v/>
      </c>
      <c r="BE107" s="850" t="str">
        <f t="shared" si="3"/>
        <v/>
      </c>
      <c r="BF107" s="862" t="str">
        <f>IF($CR107="","",IF($E107="","-",SUMIF(portfolio.!$A$4:$A308,$CR107,portfolio.!$AX$4:$AX308)*$CU$5))</f>
        <v/>
      </c>
      <c r="BG107" s="545"/>
      <c r="BH107" s="879" t="s">
        <v>123</v>
      </c>
      <c r="BI107" s="880" t="s">
        <v>123</v>
      </c>
      <c r="BJ107" s="863" t="str">
        <f>IFERROR(__xludf.DUMMYFUNCTION("IF(NOT($BL$4),"""",IF($CR107="""","""",IFERROR(query({GOOGLEFINANCE($CR107,""price"",IF($BI107=""-"",TODAY()-($AQ$5+5),$BI107),TODAY()-1)},""Select max(Col2) where Col1 is not null label max(Col2) ''"")*CU107,""-"")))"),"")</f>
        <v/>
      </c>
      <c r="BK107" s="881" t="s">
        <v>123</v>
      </c>
      <c r="BL107" s="882" t="s">
        <v>123</v>
      </c>
      <c r="BM107" s="442"/>
      <c r="BN107" s="867" t="str">
        <f>IFERROR(__xludf.DUMMYFUNCTION("IF(CR107="""","""",IF(OR(C107=""AÇÃO"",C107=""BDR""),IFERROR(QUERY({fundamentus.!$A$3:$U308},$CX$67&amp;"" where Col1='""&amp;CR107&amp;""' limit 1"",0)),IF(C107=""FII"",IFERROR(QUERY({fundsexplorer.!$A$2:$Z308},$CY$67&amp;"" where Col1='""&amp;CR107&amp;""' limit 1"",0)),""""))"&amp;")"),"")</f>
        <v/>
      </c>
      <c r="BO107" s="867"/>
      <c r="BP107" s="867"/>
      <c r="BQ107" s="867"/>
      <c r="BR107" s="867"/>
      <c r="BS107" s="867"/>
      <c r="BT107" s="867"/>
      <c r="BU107" s="442"/>
      <c r="BV107" s="868" t="str">
        <f>IFERROR(__xludf.DUMMYFUNCTION("IF(OR(C107=""AÇÃO"",C107=""BDR""),IFERROR(GOOGLEFINANCE(CONCAT(""BVMF:"",CR107), ""marketcap"")/1000000,""NC""),"""")"),"")</f>
        <v/>
      </c>
      <c r="BW107" s="869" t="s">
        <v>123</v>
      </c>
      <c r="BX107" s="870" t="s">
        <v>123</v>
      </c>
      <c r="BY107" s="868" t="s">
        <v>123</v>
      </c>
      <c r="BZ107" s="870" t="s">
        <v>123</v>
      </c>
      <c r="CA107" s="868" t="s">
        <v>123</v>
      </c>
      <c r="CB107" s="868" t="s">
        <v>123</v>
      </c>
      <c r="CC107" s="868" t="s">
        <v>123</v>
      </c>
      <c r="CD107" s="868" t="str">
        <f>IFERROR(__xludf.DUMMYFUNCTION("IF(OR(C107=""AÇÃO"",C107=""BDR""),IFERROR(GOOGLEFINANCE(CONCAT(""BVMF:"",CR107), ""volumeavg"")/1000000,""NC""),"""")"),"")</f>
        <v/>
      </c>
      <c r="CE107" s="870" t="s">
        <v>123</v>
      </c>
      <c r="CF107" s="870" t="s">
        <v>123</v>
      </c>
      <c r="CG107" s="870" t="str">
        <f>IFERROR(__xludf.DUMMYFUNCTION("IF(OR(C107=""AÇÃO"",C107=""BDR""),IF(CF107=0,""SEM DY"",IFERROR(ImportXML(CONCAT(""http://www.guiainvest.com.br/raiox/default.aspx?sigla="",$CR107),""//*[@id='lbPayoutAtual']""),""NC"")),"""")"),"")</f>
        <v/>
      </c>
      <c r="CH107" s="870" t="s">
        <v>123</v>
      </c>
      <c r="CI107" s="545"/>
      <c r="CJ107" s="871" t="str">
        <f>IFERROR(__xludf.DUMMYFUNCTION("IF(OR(C107=""AÇÃO"",C107=""BDR""),IFERROR(GOOGLEFINANCE(CONCAT(""BVMF:"",CR107), ""eps""),""NC""),"""")"),"")</f>
        <v/>
      </c>
      <c r="CK107" s="442"/>
      <c r="CL107" s="871" t="str">
        <f>IFERROR(__xludf.DUMMYFUNCTION("IF(NOT($BL$4),"""",IF($CR107="""","""",IF($BC107="""","""",IFERROR(query({op.normal!$B$5:$F308},""select Col5, toDate(Col2) where Col1 =  '""&amp;$CR107&amp;""' and Col4 &gt; 0 and ((Col3 is null) or (Col3 = 'C')) and Col2 &gt;= date '""&amp;TEXT(TODAY()-$AQ$5,""yyyy-mm-dd"&amp;""")&amp;""' order by Col2 desc limit 1 label toDate(Col2) ''"")))))"),"")</f>
        <v/>
      </c>
      <c r="CM107" s="872"/>
      <c r="CN107" s="883" t="s">
        <v>123</v>
      </c>
      <c r="CO107" s="874" t="s">
        <v>123</v>
      </c>
      <c r="CP107" s="766"/>
      <c r="CQ107" s="791"/>
      <c r="CR107" s="791"/>
      <c r="CT107" s="791" t="s">
        <v>123</v>
      </c>
      <c r="CU107" s="791" t="str">
        <f>IFERROR(__xludf.DUMMYFUNCTION("IF(CR107="""","""",IF(CT107=$C$4,1,GOOGLEFINANCE(CT107&amp;$C$4)))"),"")</f>
        <v/>
      </c>
    </row>
    <row r="108" ht="22.5" customHeight="1">
      <c r="A108" s="837">
        <v>100.0</v>
      </c>
      <c r="B108" s="838" t="s">
        <v>123</v>
      </c>
      <c r="C108" s="838" t="s">
        <v>123</v>
      </c>
      <c r="D108" s="839" t="s">
        <v>123</v>
      </c>
      <c r="E108" s="839" t="s">
        <v>123</v>
      </c>
      <c r="F108" s="839" t="s">
        <v>123</v>
      </c>
      <c r="H108" s="884"/>
      <c r="I108" s="838"/>
      <c r="J108" s="838"/>
      <c r="K108" s="838"/>
      <c r="L108" s="838"/>
      <c r="M108" s="838"/>
      <c r="N108" s="838"/>
      <c r="O108" s="838"/>
      <c r="P108" s="838"/>
      <c r="Q108" s="838"/>
      <c r="R108" s="838"/>
      <c r="S108" s="838"/>
      <c r="T108" s="838"/>
      <c r="U108" s="838"/>
      <c r="V108" s="838"/>
      <c r="W108" s="838"/>
      <c r="X108" s="838"/>
      <c r="Z108" s="875" t="str">
        <f>IFERROR(__xludf.DUMMYFUNCTION("IF($CR108="""","""",IFERROR(query({CarteirasAtivos},""select Col4 where Col4 is not null and Col1 = '""&amp;$CR108&amp;""' limit 1"")*CU108,""NC""))"),"")</f>
        <v/>
      </c>
      <c r="AA108" s="876" t="str">
        <f>IFERROR(__xludf.DUMMYFUNCTION("IF($CR108="""","""",IFERROR(query({CarteirasAtivos},""select Col6 where Col4 is not null and Col1 = '""&amp;$CR108&amp;""' limit 1""),""NC""))"),"")</f>
        <v/>
      </c>
      <c r="AB108" s="877"/>
      <c r="AC108" s="878" t="s">
        <v>123</v>
      </c>
      <c r="AD108" s="845" t="str">
        <f>IF($CR108="","",IFERROR(VLOOKUP($CR108,ativos.!$C$3:$R308,MATCH("cotacao",ativos.!$C$2:CY$2,0),FALSE)*$CU$5,"atualizar"))</f>
        <v/>
      </c>
      <c r="AE108" s="846" t="str">
        <f>IFERROR(__xludf.DUMMYFUNCTION("IF($CR108="""","""",IFERROR(AVERAGE(query({CarteirasAtivos;CarteirasAtivosEncerrados},""select Col5 where Col5 is not null and Col1 = '""&amp;$CR108&amp;""' and Col10='SIM'""))*CU108,""NC""))"),"")</f>
        <v/>
      </c>
      <c r="AF108" s="847" t="str">
        <f t="shared" si="1"/>
        <v/>
      </c>
      <c r="AG108" s="442"/>
      <c r="AH108" s="848" t="str">
        <f>IFERROR(__xludf.DUMMYFUNCTION("IF($CR108="""","""",IFERROR(GOOGLEFINANCE($CR108,""low52"")*CU108,""-""))"),"")</f>
        <v/>
      </c>
      <c r="AI108" s="848" t="str">
        <f>IFERROR(__xludf.DUMMYFUNCTION("IF($CR108="""","""",IFERROR(GOOGLEFINANCE($CR108,""high52"")*CU108,""-""))"),"")</f>
        <v/>
      </c>
      <c r="AJ108" s="849" t="s">
        <v>123</v>
      </c>
      <c r="AK108" s="850" t="str">
        <f>IFERROR(__xludf.DUMMYFUNCTION("IF($CR108="""","""",IFERROR(GOOGLEFINANCE($CR108,""changepct"")/100,""-""))"),"")</f>
        <v/>
      </c>
      <c r="AL108" s="851" t="str">
        <f>IFERROR(__xludf.DUMMYFUNCTION("IF($CR108="""","""",IFERROR(($AD108/(QUERY(GOOGLEFINANCE($CR108,""price"",TODAY()-7),""SELECT Col2 label Col2 ''"")*$CU108)-1),""-""))"),"")</f>
        <v/>
      </c>
      <c r="AM108" s="851" t="str">
        <f>IFERROR(__xludf.DUMMYFUNCTION("IF($CR108="""","""",IFERROR(($AD108/(QUERY(GOOGLEFINANCE($CR108,""price"",TODAY()-14),""SELECT Col2 label Col2 ''"")*$CU108)-1),""-""))"),"")</f>
        <v/>
      </c>
      <c r="AN108" s="851" t="str">
        <f>IFERROR(__xludf.DUMMYFUNCTION("IF($CR108="""","""",IFERROR(($AD108/(QUERY(GOOGLEFINANCE($CR108,""price"",TODAY()-28),""SELECT Col2 label Col2 ''"")*$CU108)-1),""-""))"),"")</f>
        <v/>
      </c>
      <c r="AO108" s="851" t="str">
        <f>IFERROR(__xludf.DUMMYFUNCTION("IF($CR108="""","""",IFERROR(($AD108/(QUERY(GOOGLEFINANCE($CR108,""price"",TODAY()-$AQ$5),""SELECT Col2 label Col2 ''"")*$CU108)-1),""-""))"),"")</f>
        <v/>
      </c>
      <c r="AP108" s="852" t="str">
        <f>IFERROR(__xludf.DUMMYFUNCTION("IF($CR108="""","""",IFERROR(SPARKLINE(query(GOOGLEFINANCE($CR108,""price"",TODAY()-$AQ$5,TODAY(),1),""select Col2 label Col2 ''""),IF($AP$7=""Gráfico de barras"",{""charttype"",""column"";""highcolor"",""red""},{""chartype"",""line""}))))"),"")</f>
        <v/>
      </c>
      <c r="AQ108" s="144"/>
      <c r="AR108" s="853"/>
      <c r="AS108" s="854" t="str">
        <f>IF($CR108="","",IF(NOT('alocação'!$D$1),"off",IFERROR(VLOOKUP(CR108,BalanceAtivos,3,0),"NC")))</f>
        <v/>
      </c>
      <c r="AT108" s="855" t="str">
        <f>IF($CR108="","",IF(NOT('alocação'!$D$1),"off",IFERROR(VLOOKUP($CR108,BalanceAtivos,4,0)*$CU$5,"NC")))</f>
        <v/>
      </c>
      <c r="AU108" s="856" t="str">
        <f>IF($CR108="","",IF(NOT('alocação'!$D$1),"off",IFERROR(VLOOKUP($CR108,BalanceAtivos,5,0),"-")))</f>
        <v/>
      </c>
      <c r="AV108" s="856" t="str">
        <f>IF($CR108="","",IF(NOT('alocação'!$D$1),"off",IFERROR(VLOOKUP($CR108,BalanceAtivos,6,0),"-")))</f>
        <v/>
      </c>
      <c r="AW108" s="857"/>
      <c r="AX108" s="858" t="str">
        <f>IF($CR108="","",IF($E108="","SP",IFERROR(VLOOKUP($CR108,AtivosDados,MATCH("pm_atual",portfolio.!$A$3:CY$3,0),0)*$CU$5,0)))</f>
        <v/>
      </c>
      <c r="AY108" s="859" t="str">
        <f t="shared" si="2"/>
        <v/>
      </c>
      <c r="AZ108" s="858" t="str">
        <f>IF($CR108="","",IF($E108="","SP",SUMIF(portfolio.!$A$4:$A308,$CR108,portfolio.!$O$4:$O308)*$CU$5))</f>
        <v/>
      </c>
      <c r="BA108" s="858" t="str">
        <f>IF($CR108="","",IF($E108="","SP",SUMIF(portfolio.!$A$4:$A308,$CR108,portfolio.!$AN$4:$AN308)*$CU$5))</f>
        <v/>
      </c>
      <c r="BB108" s="860" t="str">
        <f>IF($CR108="","",IF($E108="","-",IFERROR($BA108/'portfólio'!$DG$63,"")))</f>
        <v/>
      </c>
      <c r="BC108" s="861" t="str">
        <f>IF($CR108="","",IF($E108="","-",SUMIF(portfolio.!$A$4:$A308,$CR108,portfolio.!$J$4:$J308)))</f>
        <v/>
      </c>
      <c r="BD108" s="862" t="str">
        <f>IF($CR108="","",IF($E108="","SP",SUMIF(portfolio.!$A$4:$A308,$CR108,portfolio.!$AQ$4:$AQ308)*$CU$5))</f>
        <v/>
      </c>
      <c r="BE108" s="850" t="str">
        <f t="shared" si="3"/>
        <v/>
      </c>
      <c r="BF108" s="862" t="str">
        <f>IF($CR108="","",IF($E108="","-",SUMIF(portfolio.!$A$4:$A308,$CR108,portfolio.!$AX$4:$AX308)*$CU$5))</f>
        <v/>
      </c>
      <c r="BG108" s="545"/>
      <c r="BH108" s="879" t="s">
        <v>123</v>
      </c>
      <c r="BI108" s="880" t="s">
        <v>123</v>
      </c>
      <c r="BJ108" s="863" t="str">
        <f>IFERROR(__xludf.DUMMYFUNCTION("IF(NOT($BL$4),"""",IF($CR108="""","""",IFERROR(query({GOOGLEFINANCE($CR108,""price"",IF($BI108=""-"",TODAY()-($AQ$5+5),$BI108),TODAY()-1)},""Select max(Col2) where Col1 is not null label max(Col2) ''"")*CU108,""-"")))"),"")</f>
        <v/>
      </c>
      <c r="BK108" s="881" t="s">
        <v>123</v>
      </c>
      <c r="BL108" s="882" t="s">
        <v>123</v>
      </c>
      <c r="BM108" s="442"/>
      <c r="BN108" s="867" t="str">
        <f>IFERROR(__xludf.DUMMYFUNCTION("IF(CR108="""","""",IF(OR(C108=""AÇÃO"",C108=""BDR""),IFERROR(QUERY({fundamentus.!$A$3:$U308},$CX$67&amp;"" where Col1='""&amp;CR108&amp;""' limit 1"",0)),IF(C108=""FII"",IFERROR(QUERY({fundsexplorer.!$A$2:$Z308},$CY$67&amp;"" where Col1='""&amp;CR108&amp;""' limit 1"",0)),""""))"&amp;")"),"")</f>
        <v/>
      </c>
      <c r="BO108" s="867"/>
      <c r="BP108" s="867"/>
      <c r="BQ108" s="867"/>
      <c r="BR108" s="867"/>
      <c r="BS108" s="867"/>
      <c r="BT108" s="867"/>
      <c r="BU108" s="442"/>
      <c r="BV108" s="868" t="str">
        <f>IFERROR(__xludf.DUMMYFUNCTION("IF(OR(C108=""AÇÃO"",C108=""BDR""),IFERROR(GOOGLEFINANCE(CONCAT(""BVMF:"",CR108), ""marketcap"")/1000000,""NC""),"""")"),"")</f>
        <v/>
      </c>
      <c r="BW108" s="869" t="s">
        <v>123</v>
      </c>
      <c r="BX108" s="870" t="s">
        <v>123</v>
      </c>
      <c r="BY108" s="868" t="s">
        <v>123</v>
      </c>
      <c r="BZ108" s="870" t="s">
        <v>123</v>
      </c>
      <c r="CA108" s="868" t="s">
        <v>123</v>
      </c>
      <c r="CB108" s="868" t="s">
        <v>123</v>
      </c>
      <c r="CC108" s="868" t="s">
        <v>123</v>
      </c>
      <c r="CD108" s="868" t="str">
        <f>IFERROR(__xludf.DUMMYFUNCTION("IF(OR(C108=""AÇÃO"",C108=""BDR""),IFERROR(GOOGLEFINANCE(CONCAT(""BVMF:"",CR108), ""volumeavg"")/1000000,""NC""),"""")"),"")</f>
        <v/>
      </c>
      <c r="CE108" s="870" t="s">
        <v>123</v>
      </c>
      <c r="CF108" s="870" t="s">
        <v>123</v>
      </c>
      <c r="CG108" s="870" t="str">
        <f>IFERROR(__xludf.DUMMYFUNCTION("IF(OR(C108=""AÇÃO"",C108=""BDR""),IF(CF108=0,""SEM DY"",IFERROR(ImportXML(CONCAT(""http://www.guiainvest.com.br/raiox/default.aspx?sigla="",$CR108),""//*[@id='lbPayoutAtual']""),""NC"")),"""")"),"")</f>
        <v/>
      </c>
      <c r="CH108" s="870" t="s">
        <v>123</v>
      </c>
      <c r="CI108" s="545"/>
      <c r="CJ108" s="871" t="str">
        <f>IFERROR(__xludf.DUMMYFUNCTION("IF(OR(C108=""AÇÃO"",C108=""BDR""),IFERROR(GOOGLEFINANCE(CONCAT(""BVMF:"",CR108), ""eps""),""NC""),"""")"),"")</f>
        <v/>
      </c>
      <c r="CK108" s="442"/>
      <c r="CL108" s="871" t="str">
        <f>IFERROR(__xludf.DUMMYFUNCTION("IF(NOT($BL$4),"""",IF($CR108="""","""",IF($BC108="""","""",IFERROR(query({op.normal!$B$5:$F308},""select Col5, toDate(Col2) where Col1 =  '""&amp;$CR108&amp;""' and Col4 &gt; 0 and ((Col3 is null) or (Col3 = 'C')) and Col2 &gt;= date '""&amp;TEXT(TODAY()-$AQ$5,""yyyy-mm-dd"&amp;""")&amp;""' order by Col2 desc limit 1 label toDate(Col2) ''"")))))"),"")</f>
        <v/>
      </c>
      <c r="CM108" s="872"/>
      <c r="CN108" s="883" t="s">
        <v>123</v>
      </c>
      <c r="CO108" s="874" t="s">
        <v>123</v>
      </c>
      <c r="CP108" s="766"/>
      <c r="CQ108" s="791"/>
      <c r="CR108" s="791"/>
      <c r="CT108" s="791" t="s">
        <v>123</v>
      </c>
      <c r="CU108" s="791" t="str">
        <f>IFERROR(__xludf.DUMMYFUNCTION("IF(CR108="""","""",IF(CT108=$C$4,1,GOOGLEFINANCE(CT108&amp;$C$4)))"),"")</f>
        <v/>
      </c>
    </row>
    <row r="109" ht="22.5" customHeight="1">
      <c r="A109" s="837">
        <v>101.0</v>
      </c>
      <c r="B109" s="838" t="s">
        <v>123</v>
      </c>
      <c r="C109" s="838" t="s">
        <v>123</v>
      </c>
      <c r="D109" s="839" t="s">
        <v>123</v>
      </c>
      <c r="E109" s="839" t="s">
        <v>123</v>
      </c>
      <c r="F109" s="839" t="s">
        <v>123</v>
      </c>
      <c r="H109" s="884"/>
      <c r="I109" s="838"/>
      <c r="J109" s="838"/>
      <c r="K109" s="838"/>
      <c r="L109" s="838"/>
      <c r="M109" s="838"/>
      <c r="N109" s="838"/>
      <c r="O109" s="838"/>
      <c r="P109" s="838"/>
      <c r="Q109" s="838"/>
      <c r="R109" s="838"/>
      <c r="S109" s="838"/>
      <c r="T109" s="838"/>
      <c r="U109" s="838"/>
      <c r="V109" s="838"/>
      <c r="W109" s="838"/>
      <c r="X109" s="838"/>
      <c r="Z109" s="875" t="str">
        <f>IFERROR(__xludf.DUMMYFUNCTION("IF($CR109="""","""",IFERROR(query({CarteirasAtivos},""select Col4 where Col4 is not null and Col1 = '""&amp;$CR109&amp;""' limit 1"")*CU109,""NC""))"),"")</f>
        <v/>
      </c>
      <c r="AA109" s="876" t="str">
        <f>IFERROR(__xludf.DUMMYFUNCTION("IF($CR109="""","""",IFERROR(query({CarteirasAtivos},""select Col6 where Col4 is not null and Col1 = '""&amp;$CR109&amp;""' limit 1""),""NC""))"),"")</f>
        <v/>
      </c>
      <c r="AB109" s="877"/>
      <c r="AC109" s="878" t="s">
        <v>123</v>
      </c>
      <c r="AD109" s="845" t="str">
        <f>IF($CR109="","",IFERROR(VLOOKUP($CR109,ativos.!$C$3:$R308,MATCH("cotacao",ativos.!$C$2:CY$2,0),FALSE)*$CU$5,"atualizar"))</f>
        <v/>
      </c>
      <c r="AE109" s="846" t="str">
        <f>IFERROR(__xludf.DUMMYFUNCTION("IF($CR109="""","""",IFERROR(AVERAGE(query({CarteirasAtivos;CarteirasAtivosEncerrados},""select Col5 where Col5 is not null and Col1 = '""&amp;$CR109&amp;""' and Col10='SIM'""))*CU109,""NC""))"),"")</f>
        <v/>
      </c>
      <c r="AF109" s="847" t="str">
        <f t="shared" si="1"/>
        <v/>
      </c>
      <c r="AG109" s="442"/>
      <c r="AH109" s="848" t="str">
        <f>IFERROR(__xludf.DUMMYFUNCTION("IF($CR109="""","""",IFERROR(GOOGLEFINANCE($CR109,""low52"")*CU109,""-""))"),"")</f>
        <v/>
      </c>
      <c r="AI109" s="848" t="str">
        <f>IFERROR(__xludf.DUMMYFUNCTION("IF($CR109="""","""",IFERROR(GOOGLEFINANCE($CR109,""high52"")*CU109,""-""))"),"")</f>
        <v/>
      </c>
      <c r="AJ109" s="849" t="s">
        <v>123</v>
      </c>
      <c r="AK109" s="850" t="str">
        <f>IFERROR(__xludf.DUMMYFUNCTION("IF($CR109="""","""",IFERROR(GOOGLEFINANCE($CR109,""changepct"")/100,""-""))"),"")</f>
        <v/>
      </c>
      <c r="AL109" s="851" t="str">
        <f>IFERROR(__xludf.DUMMYFUNCTION("IF($CR109="""","""",IFERROR(($AD109/(QUERY(GOOGLEFINANCE($CR109,""price"",TODAY()-7),""SELECT Col2 label Col2 ''"")*$CU109)-1),""-""))"),"")</f>
        <v/>
      </c>
      <c r="AM109" s="851" t="str">
        <f>IFERROR(__xludf.DUMMYFUNCTION("IF($CR109="""","""",IFERROR(($AD109/(QUERY(GOOGLEFINANCE($CR109,""price"",TODAY()-14),""SELECT Col2 label Col2 ''"")*$CU109)-1),""-""))"),"")</f>
        <v/>
      </c>
      <c r="AN109" s="851" t="str">
        <f>IFERROR(__xludf.DUMMYFUNCTION("IF($CR109="""","""",IFERROR(($AD109/(QUERY(GOOGLEFINANCE($CR109,""price"",TODAY()-28),""SELECT Col2 label Col2 ''"")*$CU109)-1),""-""))"),"")</f>
        <v/>
      </c>
      <c r="AO109" s="851" t="str">
        <f>IFERROR(__xludf.DUMMYFUNCTION("IF($CR109="""","""",IFERROR(($AD109/(QUERY(GOOGLEFINANCE($CR109,""price"",TODAY()-$AQ$5),""SELECT Col2 label Col2 ''"")*$CU109)-1),""-""))"),"")</f>
        <v/>
      </c>
      <c r="AP109" s="852" t="str">
        <f>IFERROR(__xludf.DUMMYFUNCTION("IF($CR109="""","""",IFERROR(SPARKLINE(query(GOOGLEFINANCE($CR109,""price"",TODAY()-$AQ$5,TODAY(),1),""select Col2 label Col2 ''""),IF($AP$7=""Gráfico de barras"",{""charttype"",""column"";""highcolor"",""red""},{""chartype"",""line""}))))"),"")</f>
        <v/>
      </c>
      <c r="AQ109" s="144"/>
      <c r="AR109" s="853"/>
      <c r="AS109" s="854" t="str">
        <f>IF($CR109="","",IF(NOT('alocação'!$D$1),"off",IFERROR(VLOOKUP(CR109,BalanceAtivos,3,0),"NC")))</f>
        <v/>
      </c>
      <c r="AT109" s="855" t="str">
        <f>IF($CR109="","",IF(NOT('alocação'!$D$1),"off",IFERROR(VLOOKUP($CR109,BalanceAtivos,4,0)*$CU$5,"NC")))</f>
        <v/>
      </c>
      <c r="AU109" s="856" t="str">
        <f>IF($CR109="","",IF(NOT('alocação'!$D$1),"off",IFERROR(VLOOKUP($CR109,BalanceAtivos,5,0),"-")))</f>
        <v/>
      </c>
      <c r="AV109" s="856" t="str">
        <f>IF($CR109="","",IF(NOT('alocação'!$D$1),"off",IFERROR(VLOOKUP($CR109,BalanceAtivos,6,0),"-")))</f>
        <v/>
      </c>
      <c r="AW109" s="857"/>
      <c r="AX109" s="858" t="str">
        <f>IF($CR109="","",IF($E109="","SP",IFERROR(VLOOKUP($CR109,AtivosDados,MATCH("pm_atual",portfolio.!$A$3:CY$3,0),0)*$CU$5,0)))</f>
        <v/>
      </c>
      <c r="AY109" s="859" t="str">
        <f t="shared" si="2"/>
        <v/>
      </c>
      <c r="AZ109" s="858" t="str">
        <f>IF($CR109="","",IF($E109="","SP",SUMIF(portfolio.!$A$4:$A308,$CR109,portfolio.!$O$4:$O308)*$CU$5))</f>
        <v/>
      </c>
      <c r="BA109" s="858" t="str">
        <f>IF($CR109="","",IF($E109="","SP",SUMIF(portfolio.!$A$4:$A308,$CR109,portfolio.!$AN$4:$AN308)*$CU$5))</f>
        <v/>
      </c>
      <c r="BB109" s="860" t="str">
        <f>IF($CR109="","",IF($E109="","-",IFERROR($BA109/'portfólio'!$DG$63,"")))</f>
        <v/>
      </c>
      <c r="BC109" s="861" t="str">
        <f>IF($CR109="","",IF($E109="","-",SUMIF(portfolio.!$A$4:$A308,$CR109,portfolio.!$J$4:$J308)))</f>
        <v/>
      </c>
      <c r="BD109" s="862" t="str">
        <f>IF($CR109="","",IF($E109="","SP",SUMIF(portfolio.!$A$4:$A308,$CR109,portfolio.!$AQ$4:$AQ308)*$CU$5))</f>
        <v/>
      </c>
      <c r="BE109" s="850" t="str">
        <f t="shared" si="3"/>
        <v/>
      </c>
      <c r="BF109" s="862" t="str">
        <f>IF($CR109="","",IF($E109="","-",SUMIF(portfolio.!$A$4:$A308,$CR109,portfolio.!$AX$4:$AX308)*$CU$5))</f>
        <v/>
      </c>
      <c r="BG109" s="545"/>
      <c r="BH109" s="879" t="s">
        <v>123</v>
      </c>
      <c r="BI109" s="880" t="s">
        <v>123</v>
      </c>
      <c r="BJ109" s="863" t="str">
        <f>IFERROR(__xludf.DUMMYFUNCTION("IF(NOT($BL$4),"""",IF($CR109="""","""",IFERROR(query({GOOGLEFINANCE($CR109,""price"",IF($BI109=""-"",TODAY()-($AQ$5+5),$BI109),TODAY()-1)},""Select max(Col2) where Col1 is not null label max(Col2) ''"")*CU109,""-"")))"),"")</f>
        <v/>
      </c>
      <c r="BK109" s="881" t="s">
        <v>123</v>
      </c>
      <c r="BL109" s="882" t="s">
        <v>123</v>
      </c>
      <c r="BM109" s="442"/>
      <c r="BN109" s="867" t="str">
        <f>IFERROR(__xludf.DUMMYFUNCTION("IF(CR109="""","""",IF(OR(C109=""AÇÃO"",C109=""BDR""),IFERROR(QUERY({fundamentus.!$A$3:$U308},$CX$67&amp;"" where Col1='""&amp;CR109&amp;""' limit 1"",0)),IF(C109=""FII"",IFERROR(QUERY({fundsexplorer.!$A$2:$Z308},$CY$67&amp;"" where Col1='""&amp;CR109&amp;""' limit 1"",0)),""""))"&amp;")"),"")</f>
        <v/>
      </c>
      <c r="BO109" s="867"/>
      <c r="BP109" s="867"/>
      <c r="BQ109" s="867"/>
      <c r="BR109" s="867"/>
      <c r="BS109" s="867"/>
      <c r="BT109" s="867"/>
      <c r="BU109" s="442"/>
      <c r="BV109" s="868" t="str">
        <f>IFERROR(__xludf.DUMMYFUNCTION("IF(OR(C109=""AÇÃO"",C109=""BDR""),IFERROR(GOOGLEFINANCE(CONCAT(""BVMF:"",CR109), ""marketcap"")/1000000,""NC""),"""")"),"")</f>
        <v/>
      </c>
      <c r="BW109" s="869" t="s">
        <v>123</v>
      </c>
      <c r="BX109" s="870" t="s">
        <v>123</v>
      </c>
      <c r="BY109" s="868" t="s">
        <v>123</v>
      </c>
      <c r="BZ109" s="870" t="s">
        <v>123</v>
      </c>
      <c r="CA109" s="868" t="s">
        <v>123</v>
      </c>
      <c r="CB109" s="868" t="s">
        <v>123</v>
      </c>
      <c r="CC109" s="868" t="s">
        <v>123</v>
      </c>
      <c r="CD109" s="868" t="str">
        <f>IFERROR(__xludf.DUMMYFUNCTION("IF(OR(C109=""AÇÃO"",C109=""BDR""),IFERROR(GOOGLEFINANCE(CONCAT(""BVMF:"",CR109), ""volumeavg"")/1000000,""NC""),"""")"),"")</f>
        <v/>
      </c>
      <c r="CE109" s="870" t="s">
        <v>123</v>
      </c>
      <c r="CF109" s="870" t="s">
        <v>123</v>
      </c>
      <c r="CG109" s="870" t="str">
        <f>IFERROR(__xludf.DUMMYFUNCTION("IF(OR(C109=""AÇÃO"",C109=""BDR""),IF(CF109=0,""SEM DY"",IFERROR(ImportXML(CONCAT(""http://www.guiainvest.com.br/raiox/default.aspx?sigla="",$CR109),""//*[@id='lbPayoutAtual']""),""NC"")),"""")"),"")</f>
        <v/>
      </c>
      <c r="CH109" s="870" t="s">
        <v>123</v>
      </c>
      <c r="CI109" s="545"/>
      <c r="CJ109" s="871" t="str">
        <f>IFERROR(__xludf.DUMMYFUNCTION("IF(OR(C109=""AÇÃO"",C109=""BDR""),IFERROR(GOOGLEFINANCE(CONCAT(""BVMF:"",CR109), ""eps""),""NC""),"""")"),"")</f>
        <v/>
      </c>
      <c r="CK109" s="442"/>
      <c r="CL109" s="871" t="str">
        <f>IFERROR(__xludf.DUMMYFUNCTION("IF(NOT($BL$4),"""",IF($CR109="""","""",IF($BC109="""","""",IFERROR(query({op.normal!$B$5:$F308},""select Col5, toDate(Col2) where Col1 =  '""&amp;$CR109&amp;""' and Col4 &gt; 0 and ((Col3 is null) or (Col3 = 'C')) and Col2 &gt;= date '""&amp;TEXT(TODAY()-$AQ$5,""yyyy-mm-dd"&amp;""")&amp;""' order by Col2 desc limit 1 label toDate(Col2) ''"")))))"),"")</f>
        <v/>
      </c>
      <c r="CM109" s="872"/>
      <c r="CN109" s="883" t="s">
        <v>123</v>
      </c>
      <c r="CO109" s="874" t="s">
        <v>123</v>
      </c>
      <c r="CP109" s="766"/>
      <c r="CQ109" s="791"/>
      <c r="CR109" s="791"/>
      <c r="CT109" s="791" t="s">
        <v>123</v>
      </c>
      <c r="CU109" s="791" t="str">
        <f>IFERROR(__xludf.DUMMYFUNCTION("IF(CR109="""","""",IF(CT109=$C$4,1,GOOGLEFINANCE(CT109&amp;$C$4)))"),"")</f>
        <v/>
      </c>
    </row>
    <row r="110" ht="22.5" customHeight="1">
      <c r="A110" s="837">
        <v>102.0</v>
      </c>
      <c r="B110" s="838" t="s">
        <v>123</v>
      </c>
      <c r="C110" s="838" t="s">
        <v>123</v>
      </c>
      <c r="D110" s="839" t="s">
        <v>123</v>
      </c>
      <c r="E110" s="839" t="s">
        <v>123</v>
      </c>
      <c r="F110" s="839" t="s">
        <v>123</v>
      </c>
      <c r="H110" s="884"/>
      <c r="I110" s="838"/>
      <c r="J110" s="838"/>
      <c r="K110" s="838"/>
      <c r="L110" s="838"/>
      <c r="M110" s="838"/>
      <c r="N110" s="838"/>
      <c r="O110" s="838"/>
      <c r="P110" s="838"/>
      <c r="Q110" s="838"/>
      <c r="R110" s="838"/>
      <c r="S110" s="838"/>
      <c r="T110" s="838"/>
      <c r="U110" s="838"/>
      <c r="V110" s="838"/>
      <c r="W110" s="838"/>
      <c r="X110" s="838"/>
      <c r="Z110" s="875" t="str">
        <f>IFERROR(__xludf.DUMMYFUNCTION("IF($CR110="""","""",IFERROR(query({CarteirasAtivos},""select Col4 where Col4 is not null and Col1 = '""&amp;$CR110&amp;""' limit 1"")*CU110,""NC""))"),"")</f>
        <v/>
      </c>
      <c r="AA110" s="876" t="str">
        <f>IFERROR(__xludf.DUMMYFUNCTION("IF($CR110="""","""",IFERROR(query({CarteirasAtivos},""select Col6 where Col4 is not null and Col1 = '""&amp;$CR110&amp;""' limit 1""),""NC""))"),"")</f>
        <v/>
      </c>
      <c r="AB110" s="877"/>
      <c r="AC110" s="878" t="s">
        <v>123</v>
      </c>
      <c r="AD110" s="845" t="str">
        <f>IF($CR110="","",IFERROR(VLOOKUP($CR110,ativos.!$C$3:$R308,MATCH("cotacao",ativos.!$C$2:CY$2,0),FALSE)*$CU$5,"atualizar"))</f>
        <v/>
      </c>
      <c r="AE110" s="846" t="str">
        <f>IFERROR(__xludf.DUMMYFUNCTION("IF($CR110="""","""",IFERROR(AVERAGE(query({CarteirasAtivos;CarteirasAtivosEncerrados},""select Col5 where Col5 is not null and Col1 = '""&amp;$CR110&amp;""' and Col10='SIM'""))*CU110,""NC""))"),"")</f>
        <v/>
      </c>
      <c r="AF110" s="847" t="str">
        <f t="shared" si="1"/>
        <v/>
      </c>
      <c r="AG110" s="442"/>
      <c r="AH110" s="848" t="str">
        <f>IFERROR(__xludf.DUMMYFUNCTION("IF($CR110="""","""",IFERROR(GOOGLEFINANCE($CR110,""low52"")*CU110,""-""))"),"")</f>
        <v/>
      </c>
      <c r="AI110" s="848" t="str">
        <f>IFERROR(__xludf.DUMMYFUNCTION("IF($CR110="""","""",IFERROR(GOOGLEFINANCE($CR110,""high52"")*CU110,""-""))"),"")</f>
        <v/>
      </c>
      <c r="AJ110" s="849" t="s">
        <v>123</v>
      </c>
      <c r="AK110" s="850" t="str">
        <f>IFERROR(__xludf.DUMMYFUNCTION("IF($CR110="""","""",IFERROR(GOOGLEFINANCE($CR110,""changepct"")/100,""-""))"),"")</f>
        <v/>
      </c>
      <c r="AL110" s="851" t="str">
        <f>IFERROR(__xludf.DUMMYFUNCTION("IF($CR110="""","""",IFERROR(($AD110/(QUERY(GOOGLEFINANCE($CR110,""price"",TODAY()-7),""SELECT Col2 label Col2 ''"")*$CU110)-1),""-""))"),"")</f>
        <v/>
      </c>
      <c r="AM110" s="851" t="str">
        <f>IFERROR(__xludf.DUMMYFUNCTION("IF($CR110="""","""",IFERROR(($AD110/(QUERY(GOOGLEFINANCE($CR110,""price"",TODAY()-14),""SELECT Col2 label Col2 ''"")*$CU110)-1),""-""))"),"")</f>
        <v/>
      </c>
      <c r="AN110" s="851" t="str">
        <f>IFERROR(__xludf.DUMMYFUNCTION("IF($CR110="""","""",IFERROR(($AD110/(QUERY(GOOGLEFINANCE($CR110,""price"",TODAY()-28),""SELECT Col2 label Col2 ''"")*$CU110)-1),""-""))"),"")</f>
        <v/>
      </c>
      <c r="AO110" s="851" t="str">
        <f>IFERROR(__xludf.DUMMYFUNCTION("IF($CR110="""","""",IFERROR(($AD110/(QUERY(GOOGLEFINANCE($CR110,""price"",TODAY()-$AQ$5),""SELECT Col2 label Col2 ''"")*$CU110)-1),""-""))"),"")</f>
        <v/>
      </c>
      <c r="AP110" s="852" t="str">
        <f>IFERROR(__xludf.DUMMYFUNCTION("IF($CR110="""","""",IFERROR(SPARKLINE(query(GOOGLEFINANCE($CR110,""price"",TODAY()-$AQ$5,TODAY(),1),""select Col2 label Col2 ''""),IF($AP$7=""Gráfico de barras"",{""charttype"",""column"";""highcolor"",""red""},{""chartype"",""line""}))))"),"")</f>
        <v/>
      </c>
      <c r="AQ110" s="144"/>
      <c r="AR110" s="853"/>
      <c r="AS110" s="854" t="str">
        <f>IF($CR110="","",IF(NOT('alocação'!$D$1),"off",IFERROR(VLOOKUP(CR110,BalanceAtivos,3,0),"NC")))</f>
        <v/>
      </c>
      <c r="AT110" s="855" t="str">
        <f>IF($CR110="","",IF(NOT('alocação'!$D$1),"off",IFERROR(VLOOKUP($CR110,BalanceAtivos,4,0)*$CU$5,"NC")))</f>
        <v/>
      </c>
      <c r="AU110" s="856" t="str">
        <f>IF($CR110="","",IF(NOT('alocação'!$D$1),"off",IFERROR(VLOOKUP($CR110,BalanceAtivos,5,0),"-")))</f>
        <v/>
      </c>
      <c r="AV110" s="856" t="str">
        <f>IF($CR110="","",IF(NOT('alocação'!$D$1),"off",IFERROR(VLOOKUP($CR110,BalanceAtivos,6,0),"-")))</f>
        <v/>
      </c>
      <c r="AW110" s="857"/>
      <c r="AX110" s="858" t="str">
        <f>IF($CR110="","",IF($E110="","SP",IFERROR(VLOOKUP($CR110,AtivosDados,MATCH("pm_atual",portfolio.!$A$3:CY$3,0),0)*$CU$5,0)))</f>
        <v/>
      </c>
      <c r="AY110" s="859" t="str">
        <f t="shared" si="2"/>
        <v/>
      </c>
      <c r="AZ110" s="858" t="str">
        <f>IF($CR110="","",IF($E110="","SP",SUMIF(portfolio.!$A$4:$A308,$CR110,portfolio.!$O$4:$O308)*$CU$5))</f>
        <v/>
      </c>
      <c r="BA110" s="858" t="str">
        <f>IF($CR110="","",IF($E110="","SP",SUMIF(portfolio.!$A$4:$A308,$CR110,portfolio.!$AN$4:$AN308)*$CU$5))</f>
        <v/>
      </c>
      <c r="BB110" s="860" t="str">
        <f>IF($CR110="","",IF($E110="","-",IFERROR($BA110/'portfólio'!$DG$63,"")))</f>
        <v/>
      </c>
      <c r="BC110" s="861" t="str">
        <f>IF($CR110="","",IF($E110="","-",SUMIF(portfolio.!$A$4:$A308,$CR110,portfolio.!$J$4:$J308)))</f>
        <v/>
      </c>
      <c r="BD110" s="862" t="str">
        <f>IF($CR110="","",IF($E110="","SP",SUMIF(portfolio.!$A$4:$A308,$CR110,portfolio.!$AQ$4:$AQ308)*$CU$5))</f>
        <v/>
      </c>
      <c r="BE110" s="850" t="str">
        <f t="shared" si="3"/>
        <v/>
      </c>
      <c r="BF110" s="862" t="str">
        <f>IF($CR110="","",IF($E110="","-",SUMIF(portfolio.!$A$4:$A308,$CR110,portfolio.!$AX$4:$AX308)*$CU$5))</f>
        <v/>
      </c>
      <c r="BG110" s="545"/>
      <c r="BH110" s="879" t="s">
        <v>123</v>
      </c>
      <c r="BI110" s="880" t="s">
        <v>123</v>
      </c>
      <c r="BJ110" s="863" t="str">
        <f>IFERROR(__xludf.DUMMYFUNCTION("IF(NOT($BL$4),"""",IF($CR110="""","""",IFERROR(query({GOOGLEFINANCE($CR110,""price"",IF($BI110=""-"",TODAY()-($AQ$5+5),$BI110),TODAY()-1)},""Select max(Col2) where Col1 is not null label max(Col2) ''"")*CU110,""-"")))"),"")</f>
        <v/>
      </c>
      <c r="BK110" s="881" t="s">
        <v>123</v>
      </c>
      <c r="BL110" s="882" t="s">
        <v>123</v>
      </c>
      <c r="BM110" s="442"/>
      <c r="BN110" s="867" t="str">
        <f>IFERROR(__xludf.DUMMYFUNCTION("IF(CR110="""","""",IF(OR(C110=""AÇÃO"",C110=""BDR""),IFERROR(QUERY({fundamentus.!$A$3:$U308},$CX$67&amp;"" where Col1='""&amp;CR110&amp;""' limit 1"",0)),IF(C110=""FII"",IFERROR(QUERY({fundsexplorer.!$A$2:$Z308},$CY$67&amp;"" where Col1='""&amp;CR110&amp;""' limit 1"",0)),""""))"&amp;")"),"")</f>
        <v/>
      </c>
      <c r="BO110" s="867"/>
      <c r="BP110" s="867"/>
      <c r="BQ110" s="867"/>
      <c r="BR110" s="867"/>
      <c r="BS110" s="867"/>
      <c r="BT110" s="867"/>
      <c r="BU110" s="442"/>
      <c r="BV110" s="868" t="str">
        <f>IFERROR(__xludf.DUMMYFUNCTION("IF(OR(C110=""AÇÃO"",C110=""BDR""),IFERROR(GOOGLEFINANCE(CONCAT(""BVMF:"",CR110), ""marketcap"")/1000000,""NC""),"""")"),"")</f>
        <v/>
      </c>
      <c r="BW110" s="869" t="s">
        <v>123</v>
      </c>
      <c r="BX110" s="870" t="s">
        <v>123</v>
      </c>
      <c r="BY110" s="868" t="s">
        <v>123</v>
      </c>
      <c r="BZ110" s="870" t="s">
        <v>123</v>
      </c>
      <c r="CA110" s="868" t="s">
        <v>123</v>
      </c>
      <c r="CB110" s="868" t="s">
        <v>123</v>
      </c>
      <c r="CC110" s="868" t="s">
        <v>123</v>
      </c>
      <c r="CD110" s="868" t="str">
        <f>IFERROR(__xludf.DUMMYFUNCTION("IF(OR(C110=""AÇÃO"",C110=""BDR""),IFERROR(GOOGLEFINANCE(CONCAT(""BVMF:"",CR110), ""volumeavg"")/1000000,""NC""),"""")"),"")</f>
        <v/>
      </c>
      <c r="CE110" s="870" t="s">
        <v>123</v>
      </c>
      <c r="CF110" s="870" t="s">
        <v>123</v>
      </c>
      <c r="CG110" s="870" t="str">
        <f>IFERROR(__xludf.DUMMYFUNCTION("IF(OR(C110=""AÇÃO"",C110=""BDR""),IF(CF110=0,""SEM DY"",IFERROR(ImportXML(CONCAT(""http://www.guiainvest.com.br/raiox/default.aspx?sigla="",$CR110),""//*[@id='lbPayoutAtual']""),""NC"")),"""")"),"")</f>
        <v/>
      </c>
      <c r="CH110" s="870" t="s">
        <v>123</v>
      </c>
      <c r="CI110" s="545"/>
      <c r="CJ110" s="871" t="str">
        <f>IFERROR(__xludf.DUMMYFUNCTION("IF(OR(C110=""AÇÃO"",C110=""BDR""),IFERROR(GOOGLEFINANCE(CONCAT(""BVMF:"",CR110), ""eps""),""NC""),"""")"),"")</f>
        <v/>
      </c>
      <c r="CK110" s="442"/>
      <c r="CL110" s="871" t="str">
        <f>IFERROR(__xludf.DUMMYFUNCTION("IF(NOT($BL$4),"""",IF($CR110="""","""",IF($BC110="""","""",IFERROR(query({op.normal!$B$5:$F308},""select Col5, toDate(Col2) where Col1 =  '""&amp;$CR110&amp;""' and Col4 &gt; 0 and ((Col3 is null) or (Col3 = 'C')) and Col2 &gt;= date '""&amp;TEXT(TODAY()-$AQ$5,""yyyy-mm-dd"&amp;""")&amp;""' order by Col2 desc limit 1 label toDate(Col2) ''"")))))"),"")</f>
        <v/>
      </c>
      <c r="CM110" s="872"/>
      <c r="CN110" s="883" t="s">
        <v>123</v>
      </c>
      <c r="CO110" s="874" t="s">
        <v>123</v>
      </c>
      <c r="CP110" s="766"/>
      <c r="CQ110" s="791"/>
      <c r="CR110" s="791"/>
      <c r="CT110" s="791" t="s">
        <v>123</v>
      </c>
      <c r="CU110" s="791" t="str">
        <f>IFERROR(__xludf.DUMMYFUNCTION("IF(CR110="""","""",IF(CT110=$C$4,1,GOOGLEFINANCE(CT110&amp;$C$4)))"),"")</f>
        <v/>
      </c>
    </row>
    <row r="111" ht="22.5" customHeight="1">
      <c r="A111" s="837">
        <v>103.0</v>
      </c>
      <c r="B111" s="838" t="s">
        <v>123</v>
      </c>
      <c r="C111" s="838" t="s">
        <v>123</v>
      </c>
      <c r="D111" s="839" t="s">
        <v>123</v>
      </c>
      <c r="E111" s="839" t="s">
        <v>123</v>
      </c>
      <c r="F111" s="839" t="s">
        <v>123</v>
      </c>
      <c r="H111" s="884"/>
      <c r="I111" s="838"/>
      <c r="J111" s="838"/>
      <c r="K111" s="838"/>
      <c r="L111" s="838"/>
      <c r="M111" s="838"/>
      <c r="N111" s="838"/>
      <c r="O111" s="838"/>
      <c r="P111" s="838"/>
      <c r="Q111" s="838"/>
      <c r="R111" s="838"/>
      <c r="S111" s="838"/>
      <c r="T111" s="838"/>
      <c r="U111" s="838"/>
      <c r="V111" s="838"/>
      <c r="W111" s="838"/>
      <c r="X111" s="838"/>
      <c r="Z111" s="875" t="str">
        <f>IFERROR(__xludf.DUMMYFUNCTION("IF($CR111="""","""",IFERROR(query({CarteirasAtivos},""select Col4 where Col4 is not null and Col1 = '""&amp;$CR111&amp;""' limit 1"")*CU111,""NC""))"),"")</f>
        <v/>
      </c>
      <c r="AA111" s="876" t="str">
        <f>IFERROR(__xludf.DUMMYFUNCTION("IF($CR111="""","""",IFERROR(query({CarteirasAtivos},""select Col6 where Col4 is not null and Col1 = '""&amp;$CR111&amp;""' limit 1""),""NC""))"),"")</f>
        <v/>
      </c>
      <c r="AB111" s="877"/>
      <c r="AC111" s="878" t="s">
        <v>123</v>
      </c>
      <c r="AD111" s="845" t="str">
        <f>IF($CR111="","",IFERROR(VLOOKUP($CR111,ativos.!$C$3:$R308,MATCH("cotacao",ativos.!$C$2:CY$2,0),FALSE)*$CU$5,"atualizar"))</f>
        <v/>
      </c>
      <c r="AE111" s="846" t="str">
        <f>IFERROR(__xludf.DUMMYFUNCTION("IF($CR111="""","""",IFERROR(AVERAGE(query({CarteirasAtivos;CarteirasAtivosEncerrados},""select Col5 where Col5 is not null and Col1 = '""&amp;$CR111&amp;""' and Col10='SIM'""))*CU111,""NC""))"),"")</f>
        <v/>
      </c>
      <c r="AF111" s="847" t="str">
        <f t="shared" si="1"/>
        <v/>
      </c>
      <c r="AG111" s="442"/>
      <c r="AH111" s="848" t="str">
        <f>IFERROR(__xludf.DUMMYFUNCTION("IF($CR111="""","""",IFERROR(GOOGLEFINANCE($CR111,""low52"")*CU111,""-""))"),"")</f>
        <v/>
      </c>
      <c r="AI111" s="848" t="str">
        <f>IFERROR(__xludf.DUMMYFUNCTION("IF($CR111="""","""",IFERROR(GOOGLEFINANCE($CR111,""high52"")*CU111,""-""))"),"")</f>
        <v/>
      </c>
      <c r="AJ111" s="849" t="s">
        <v>123</v>
      </c>
      <c r="AK111" s="850" t="str">
        <f>IFERROR(__xludf.DUMMYFUNCTION("IF($CR111="""","""",IFERROR(GOOGLEFINANCE($CR111,""changepct"")/100,""-""))"),"")</f>
        <v/>
      </c>
      <c r="AL111" s="851" t="str">
        <f>IFERROR(__xludf.DUMMYFUNCTION("IF($CR111="""","""",IFERROR(($AD111/(QUERY(GOOGLEFINANCE($CR111,""price"",TODAY()-7),""SELECT Col2 label Col2 ''"")*$CU111)-1),""-""))"),"")</f>
        <v/>
      </c>
      <c r="AM111" s="851" t="str">
        <f>IFERROR(__xludf.DUMMYFUNCTION("IF($CR111="""","""",IFERROR(($AD111/(QUERY(GOOGLEFINANCE($CR111,""price"",TODAY()-14),""SELECT Col2 label Col2 ''"")*$CU111)-1),""-""))"),"")</f>
        <v/>
      </c>
      <c r="AN111" s="851" t="str">
        <f>IFERROR(__xludf.DUMMYFUNCTION("IF($CR111="""","""",IFERROR(($AD111/(QUERY(GOOGLEFINANCE($CR111,""price"",TODAY()-28),""SELECT Col2 label Col2 ''"")*$CU111)-1),""-""))"),"")</f>
        <v/>
      </c>
      <c r="AO111" s="851" t="str">
        <f>IFERROR(__xludf.DUMMYFUNCTION("IF($CR111="""","""",IFERROR(($AD111/(QUERY(GOOGLEFINANCE($CR111,""price"",TODAY()-$AQ$5),""SELECT Col2 label Col2 ''"")*$CU111)-1),""-""))"),"")</f>
        <v/>
      </c>
      <c r="AP111" s="852" t="str">
        <f>IFERROR(__xludf.DUMMYFUNCTION("IF($CR111="""","""",IFERROR(SPARKLINE(query(GOOGLEFINANCE($CR111,""price"",TODAY()-$AQ$5,TODAY(),1),""select Col2 label Col2 ''""),IF($AP$7=""Gráfico de barras"",{""charttype"",""column"";""highcolor"",""red""},{""chartype"",""line""}))))"),"")</f>
        <v/>
      </c>
      <c r="AQ111" s="144"/>
      <c r="AR111" s="853"/>
      <c r="AS111" s="854" t="str">
        <f>IF($CR111="","",IF(NOT('alocação'!$D$1),"off",IFERROR(VLOOKUP(CR111,BalanceAtivos,3,0),"NC")))</f>
        <v/>
      </c>
      <c r="AT111" s="855" t="str">
        <f>IF($CR111="","",IF(NOT('alocação'!$D$1),"off",IFERROR(VLOOKUP($CR111,BalanceAtivos,4,0)*$CU$5,"NC")))</f>
        <v/>
      </c>
      <c r="AU111" s="856" t="str">
        <f>IF($CR111="","",IF(NOT('alocação'!$D$1),"off",IFERROR(VLOOKUP($CR111,BalanceAtivos,5,0),"-")))</f>
        <v/>
      </c>
      <c r="AV111" s="856" t="str">
        <f>IF($CR111="","",IF(NOT('alocação'!$D$1),"off",IFERROR(VLOOKUP($CR111,BalanceAtivos,6,0),"-")))</f>
        <v/>
      </c>
      <c r="AW111" s="857"/>
      <c r="AX111" s="858" t="str">
        <f>IF($CR111="","",IF($E111="","SP",IFERROR(VLOOKUP($CR111,AtivosDados,MATCH("pm_atual",portfolio.!$A$3:CY$3,0),0)*$CU$5,0)))</f>
        <v/>
      </c>
      <c r="AY111" s="859" t="str">
        <f t="shared" si="2"/>
        <v/>
      </c>
      <c r="AZ111" s="858" t="str">
        <f>IF($CR111="","",IF($E111="","SP",SUMIF(portfolio.!$A$4:$A308,$CR111,portfolio.!$O$4:$O308)*$CU$5))</f>
        <v/>
      </c>
      <c r="BA111" s="858" t="str">
        <f>IF($CR111="","",IF($E111="","SP",SUMIF(portfolio.!$A$4:$A308,$CR111,portfolio.!$AN$4:$AN308)*$CU$5))</f>
        <v/>
      </c>
      <c r="BB111" s="860" t="str">
        <f>IF($CR111="","",IF($E111="","-",IFERROR($BA111/'portfólio'!$DG$63,"")))</f>
        <v/>
      </c>
      <c r="BC111" s="861" t="str">
        <f>IF($CR111="","",IF($E111="","-",SUMIF(portfolio.!$A$4:$A308,$CR111,portfolio.!$J$4:$J308)))</f>
        <v/>
      </c>
      <c r="BD111" s="862" t="str">
        <f>IF($CR111="","",IF($E111="","SP",SUMIF(portfolio.!$A$4:$A308,$CR111,portfolio.!$AQ$4:$AQ308)*$CU$5))</f>
        <v/>
      </c>
      <c r="BE111" s="850" t="str">
        <f t="shared" si="3"/>
        <v/>
      </c>
      <c r="BF111" s="862" t="str">
        <f>IF($CR111="","",IF($E111="","-",SUMIF(portfolio.!$A$4:$A308,$CR111,portfolio.!$AX$4:$AX308)*$CU$5))</f>
        <v/>
      </c>
      <c r="BG111" s="545"/>
      <c r="BH111" s="879" t="s">
        <v>123</v>
      </c>
      <c r="BI111" s="880" t="s">
        <v>123</v>
      </c>
      <c r="BJ111" s="863" t="str">
        <f>IFERROR(__xludf.DUMMYFUNCTION("IF(NOT($BL$4),"""",IF($CR111="""","""",IFERROR(query({GOOGLEFINANCE($CR111,""price"",IF($BI111=""-"",TODAY()-($AQ$5+5),$BI111),TODAY()-1)},""Select max(Col2) where Col1 is not null label max(Col2) ''"")*CU111,""-"")))"),"")</f>
        <v/>
      </c>
      <c r="BK111" s="881" t="s">
        <v>123</v>
      </c>
      <c r="BL111" s="882" t="s">
        <v>123</v>
      </c>
      <c r="BM111" s="442"/>
      <c r="BN111" s="867" t="str">
        <f>IFERROR(__xludf.DUMMYFUNCTION("IF(CR111="""","""",IF(OR(C111=""AÇÃO"",C111=""BDR""),IFERROR(QUERY({fundamentus.!$A$3:$U308},$CX$67&amp;"" where Col1='""&amp;CR111&amp;""' limit 1"",0)),IF(C111=""FII"",IFERROR(QUERY({fundsexplorer.!$A$2:$Z308},$CY$67&amp;"" where Col1='""&amp;CR111&amp;""' limit 1"",0)),""""))"&amp;")"),"")</f>
        <v/>
      </c>
      <c r="BO111" s="867"/>
      <c r="BP111" s="867"/>
      <c r="BQ111" s="867"/>
      <c r="BR111" s="867"/>
      <c r="BS111" s="867"/>
      <c r="BT111" s="867"/>
      <c r="BU111" s="442"/>
      <c r="BV111" s="868" t="str">
        <f>IFERROR(__xludf.DUMMYFUNCTION("IF(OR(C111=""AÇÃO"",C111=""BDR""),IFERROR(GOOGLEFINANCE(CONCAT(""BVMF:"",CR111), ""marketcap"")/1000000,""NC""),"""")"),"")</f>
        <v/>
      </c>
      <c r="BW111" s="869" t="s">
        <v>123</v>
      </c>
      <c r="BX111" s="870" t="s">
        <v>123</v>
      </c>
      <c r="BY111" s="868" t="s">
        <v>123</v>
      </c>
      <c r="BZ111" s="870" t="s">
        <v>123</v>
      </c>
      <c r="CA111" s="868" t="s">
        <v>123</v>
      </c>
      <c r="CB111" s="868" t="s">
        <v>123</v>
      </c>
      <c r="CC111" s="868" t="s">
        <v>123</v>
      </c>
      <c r="CD111" s="868" t="str">
        <f>IFERROR(__xludf.DUMMYFUNCTION("IF(OR(C111=""AÇÃO"",C111=""BDR""),IFERROR(GOOGLEFINANCE(CONCAT(""BVMF:"",CR111), ""volumeavg"")/1000000,""NC""),"""")"),"")</f>
        <v/>
      </c>
      <c r="CE111" s="870" t="s">
        <v>123</v>
      </c>
      <c r="CF111" s="870" t="s">
        <v>123</v>
      </c>
      <c r="CG111" s="870" t="str">
        <f>IFERROR(__xludf.DUMMYFUNCTION("IF(OR(C111=""AÇÃO"",C111=""BDR""),IF(CF111=0,""SEM DY"",IFERROR(ImportXML(CONCAT(""http://www.guiainvest.com.br/raiox/default.aspx?sigla="",$CR111),""//*[@id='lbPayoutAtual']""),""NC"")),"""")"),"")</f>
        <v/>
      </c>
      <c r="CH111" s="870" t="s">
        <v>123</v>
      </c>
      <c r="CI111" s="545"/>
      <c r="CJ111" s="871" t="str">
        <f>IFERROR(__xludf.DUMMYFUNCTION("IF(OR(C111=""AÇÃO"",C111=""BDR""),IFERROR(GOOGLEFINANCE(CONCAT(""BVMF:"",CR111), ""eps""),""NC""),"""")"),"")</f>
        <v/>
      </c>
      <c r="CK111" s="442"/>
      <c r="CL111" s="871" t="str">
        <f>IFERROR(__xludf.DUMMYFUNCTION("IF(NOT($BL$4),"""",IF($CR111="""","""",IF($BC111="""","""",IFERROR(query({op.normal!$B$5:$F308},""select Col5, toDate(Col2) where Col1 =  '""&amp;$CR111&amp;""' and Col4 &gt; 0 and ((Col3 is null) or (Col3 = 'C')) and Col2 &gt;= date '""&amp;TEXT(TODAY()-$AQ$5,""yyyy-mm-dd"&amp;""")&amp;""' order by Col2 desc limit 1 label toDate(Col2) ''"")))))"),"")</f>
        <v/>
      </c>
      <c r="CM111" s="872"/>
      <c r="CN111" s="883" t="s">
        <v>123</v>
      </c>
      <c r="CO111" s="874" t="s">
        <v>123</v>
      </c>
      <c r="CP111" s="766"/>
      <c r="CQ111" s="791"/>
      <c r="CR111" s="791"/>
      <c r="CT111" s="791" t="s">
        <v>123</v>
      </c>
      <c r="CU111" s="791" t="str">
        <f>IFERROR(__xludf.DUMMYFUNCTION("IF(CR111="""","""",IF(CT111=$C$4,1,GOOGLEFINANCE(CT111&amp;$C$4)))"),"")</f>
        <v/>
      </c>
    </row>
    <row r="112" ht="22.5" customHeight="1">
      <c r="A112" s="837">
        <v>104.0</v>
      </c>
      <c r="B112" s="838" t="s">
        <v>123</v>
      </c>
      <c r="C112" s="838" t="s">
        <v>123</v>
      </c>
      <c r="D112" s="839" t="s">
        <v>123</v>
      </c>
      <c r="E112" s="839" t="s">
        <v>123</v>
      </c>
      <c r="F112" s="839" t="s">
        <v>123</v>
      </c>
      <c r="H112" s="884"/>
      <c r="I112" s="838"/>
      <c r="J112" s="838"/>
      <c r="K112" s="838"/>
      <c r="L112" s="838"/>
      <c r="M112" s="838"/>
      <c r="N112" s="838"/>
      <c r="O112" s="838"/>
      <c r="P112" s="838"/>
      <c r="Q112" s="838"/>
      <c r="R112" s="838"/>
      <c r="S112" s="838"/>
      <c r="T112" s="838"/>
      <c r="U112" s="838"/>
      <c r="V112" s="838"/>
      <c r="W112" s="838"/>
      <c r="X112" s="838"/>
      <c r="Z112" s="875" t="str">
        <f>IFERROR(__xludf.DUMMYFUNCTION("IF($CR112="""","""",IFERROR(query({CarteirasAtivos},""select Col4 where Col4 is not null and Col1 = '""&amp;$CR112&amp;""' limit 1"")*CU112,""NC""))"),"")</f>
        <v/>
      </c>
      <c r="AA112" s="876" t="str">
        <f>IFERROR(__xludf.DUMMYFUNCTION("IF($CR112="""","""",IFERROR(query({CarteirasAtivos},""select Col6 where Col4 is not null and Col1 = '""&amp;$CR112&amp;""' limit 1""),""NC""))"),"")</f>
        <v/>
      </c>
      <c r="AB112" s="877"/>
      <c r="AC112" s="878" t="s">
        <v>123</v>
      </c>
      <c r="AD112" s="845" t="str">
        <f>IF($CR112="","",IFERROR(VLOOKUP($CR112,ativos.!$C$3:$R308,MATCH("cotacao",ativos.!$C$2:CY$2,0),FALSE)*$CU$5,"atualizar"))</f>
        <v/>
      </c>
      <c r="AE112" s="846" t="str">
        <f>IFERROR(__xludf.DUMMYFUNCTION("IF($CR112="""","""",IFERROR(AVERAGE(query({CarteirasAtivos;CarteirasAtivosEncerrados},""select Col5 where Col5 is not null and Col1 = '""&amp;$CR112&amp;""' and Col10='SIM'""))*CU112,""NC""))"),"")</f>
        <v/>
      </c>
      <c r="AF112" s="847" t="str">
        <f t="shared" si="1"/>
        <v/>
      </c>
      <c r="AG112" s="442"/>
      <c r="AH112" s="848" t="str">
        <f>IFERROR(__xludf.DUMMYFUNCTION("IF($CR112="""","""",IFERROR(GOOGLEFINANCE($CR112,""low52"")*CU112,""-""))"),"")</f>
        <v/>
      </c>
      <c r="AI112" s="848" t="str">
        <f>IFERROR(__xludf.DUMMYFUNCTION("IF($CR112="""","""",IFERROR(GOOGLEFINANCE($CR112,""high52"")*CU112,""-""))"),"")</f>
        <v/>
      </c>
      <c r="AJ112" s="849" t="s">
        <v>123</v>
      </c>
      <c r="AK112" s="850" t="str">
        <f>IFERROR(__xludf.DUMMYFUNCTION("IF($CR112="""","""",IFERROR(GOOGLEFINANCE($CR112,""changepct"")/100,""-""))"),"")</f>
        <v/>
      </c>
      <c r="AL112" s="851" t="str">
        <f>IFERROR(__xludf.DUMMYFUNCTION("IF($CR112="""","""",IFERROR(($AD112/(QUERY(GOOGLEFINANCE($CR112,""price"",TODAY()-7),""SELECT Col2 label Col2 ''"")*$CU112)-1),""-""))"),"")</f>
        <v/>
      </c>
      <c r="AM112" s="851" t="str">
        <f>IFERROR(__xludf.DUMMYFUNCTION("IF($CR112="""","""",IFERROR(($AD112/(QUERY(GOOGLEFINANCE($CR112,""price"",TODAY()-14),""SELECT Col2 label Col2 ''"")*$CU112)-1),""-""))"),"")</f>
        <v/>
      </c>
      <c r="AN112" s="851" t="str">
        <f>IFERROR(__xludf.DUMMYFUNCTION("IF($CR112="""","""",IFERROR(($AD112/(QUERY(GOOGLEFINANCE($CR112,""price"",TODAY()-28),""SELECT Col2 label Col2 ''"")*$CU112)-1),""-""))"),"")</f>
        <v/>
      </c>
      <c r="AO112" s="851" t="str">
        <f>IFERROR(__xludf.DUMMYFUNCTION("IF($CR112="""","""",IFERROR(($AD112/(QUERY(GOOGLEFINANCE($CR112,""price"",TODAY()-$AQ$5),""SELECT Col2 label Col2 ''"")*$CU112)-1),""-""))"),"")</f>
        <v/>
      </c>
      <c r="AP112" s="852" t="str">
        <f>IFERROR(__xludf.DUMMYFUNCTION("IF($CR112="""","""",IFERROR(SPARKLINE(query(GOOGLEFINANCE($CR112,""price"",TODAY()-$AQ$5,TODAY(),1),""select Col2 label Col2 ''""),IF($AP$7=""Gráfico de barras"",{""charttype"",""column"";""highcolor"",""red""},{""chartype"",""line""}))))"),"")</f>
        <v/>
      </c>
      <c r="AQ112" s="144"/>
      <c r="AR112" s="853"/>
      <c r="AS112" s="854" t="str">
        <f>IF($CR112="","",IF(NOT('alocação'!$D$1),"off",IFERROR(VLOOKUP(CR112,BalanceAtivos,3,0),"NC")))</f>
        <v/>
      </c>
      <c r="AT112" s="855" t="str">
        <f>IF($CR112="","",IF(NOT('alocação'!$D$1),"off",IFERROR(VLOOKUP($CR112,BalanceAtivos,4,0)*$CU$5,"NC")))</f>
        <v/>
      </c>
      <c r="AU112" s="856" t="str">
        <f>IF($CR112="","",IF(NOT('alocação'!$D$1),"off",IFERROR(VLOOKUP($CR112,BalanceAtivos,5,0),"-")))</f>
        <v/>
      </c>
      <c r="AV112" s="856" t="str">
        <f>IF($CR112="","",IF(NOT('alocação'!$D$1),"off",IFERROR(VLOOKUP($CR112,BalanceAtivos,6,0),"-")))</f>
        <v/>
      </c>
      <c r="AW112" s="857"/>
      <c r="AX112" s="858" t="str">
        <f>IF($CR112="","",IF($E112="","SP",IFERROR(VLOOKUP($CR112,AtivosDados,MATCH("pm_atual",portfolio.!$A$3:CY$3,0),0)*$CU$5,0)))</f>
        <v/>
      </c>
      <c r="AY112" s="859" t="str">
        <f t="shared" si="2"/>
        <v/>
      </c>
      <c r="AZ112" s="858" t="str">
        <f>IF($CR112="","",IF($E112="","SP",SUMIF(portfolio.!$A$4:$A308,$CR112,portfolio.!$O$4:$O308)*$CU$5))</f>
        <v/>
      </c>
      <c r="BA112" s="858" t="str">
        <f>IF($CR112="","",IF($E112="","SP",SUMIF(portfolio.!$A$4:$A308,$CR112,portfolio.!$AN$4:$AN308)*$CU$5))</f>
        <v/>
      </c>
      <c r="BB112" s="860" t="str">
        <f>IF($CR112="","",IF($E112="","-",IFERROR($BA112/'portfólio'!$DG$63,"")))</f>
        <v/>
      </c>
      <c r="BC112" s="861" t="str">
        <f>IF($CR112="","",IF($E112="","-",SUMIF(portfolio.!$A$4:$A308,$CR112,portfolio.!$J$4:$J308)))</f>
        <v/>
      </c>
      <c r="BD112" s="862" t="str">
        <f>IF($CR112="","",IF($E112="","SP",SUMIF(portfolio.!$A$4:$A308,$CR112,portfolio.!$AQ$4:$AQ308)*$CU$5))</f>
        <v/>
      </c>
      <c r="BE112" s="850" t="str">
        <f t="shared" si="3"/>
        <v/>
      </c>
      <c r="BF112" s="862" t="str">
        <f>IF($CR112="","",IF($E112="","-",SUMIF(portfolio.!$A$4:$A308,$CR112,portfolio.!$AX$4:$AX308)*$CU$5))</f>
        <v/>
      </c>
      <c r="BG112" s="545"/>
      <c r="BH112" s="879" t="s">
        <v>123</v>
      </c>
      <c r="BI112" s="880" t="s">
        <v>123</v>
      </c>
      <c r="BJ112" s="863" t="str">
        <f>IFERROR(__xludf.DUMMYFUNCTION("IF(NOT($BL$4),"""",IF($CR112="""","""",IFERROR(query({GOOGLEFINANCE($CR112,""price"",IF($BI112=""-"",TODAY()-($AQ$5+5),$BI112),TODAY()-1)},""Select max(Col2) where Col1 is not null label max(Col2) ''"")*CU112,""-"")))"),"")</f>
        <v/>
      </c>
      <c r="BK112" s="881" t="s">
        <v>123</v>
      </c>
      <c r="BL112" s="882" t="s">
        <v>123</v>
      </c>
      <c r="BM112" s="442"/>
      <c r="BN112" s="867" t="str">
        <f>IFERROR(__xludf.DUMMYFUNCTION("IF(CR112="""","""",IF(OR(C112=""AÇÃO"",C112=""BDR""),IFERROR(QUERY({fundamentus.!$A$3:$U308},$CX$67&amp;"" where Col1='""&amp;CR112&amp;""' limit 1"",0)),IF(C112=""FII"",IFERROR(QUERY({fundsexplorer.!$A$2:$Z308},$CY$67&amp;"" where Col1='""&amp;CR112&amp;""' limit 1"",0)),""""))"&amp;")"),"")</f>
        <v/>
      </c>
      <c r="BO112" s="867"/>
      <c r="BP112" s="867"/>
      <c r="BQ112" s="867"/>
      <c r="BR112" s="867"/>
      <c r="BS112" s="867"/>
      <c r="BT112" s="867"/>
      <c r="BU112" s="442"/>
      <c r="BV112" s="868" t="str">
        <f>IFERROR(__xludf.DUMMYFUNCTION("IF(OR(C112=""AÇÃO"",C112=""BDR""),IFERROR(GOOGLEFINANCE(CONCAT(""BVMF:"",CR112), ""marketcap"")/1000000,""NC""),"""")"),"")</f>
        <v/>
      </c>
      <c r="BW112" s="869" t="s">
        <v>123</v>
      </c>
      <c r="BX112" s="870" t="s">
        <v>123</v>
      </c>
      <c r="BY112" s="868" t="s">
        <v>123</v>
      </c>
      <c r="BZ112" s="870" t="s">
        <v>123</v>
      </c>
      <c r="CA112" s="868" t="s">
        <v>123</v>
      </c>
      <c r="CB112" s="868" t="s">
        <v>123</v>
      </c>
      <c r="CC112" s="868" t="s">
        <v>123</v>
      </c>
      <c r="CD112" s="868" t="str">
        <f>IFERROR(__xludf.DUMMYFUNCTION("IF(OR(C112=""AÇÃO"",C112=""BDR""),IFERROR(GOOGLEFINANCE(CONCAT(""BVMF:"",CR112), ""volumeavg"")/1000000,""NC""),"""")"),"")</f>
        <v/>
      </c>
      <c r="CE112" s="870" t="s">
        <v>123</v>
      </c>
      <c r="CF112" s="870" t="s">
        <v>123</v>
      </c>
      <c r="CG112" s="870" t="str">
        <f>IFERROR(__xludf.DUMMYFUNCTION("IF(OR(C112=""AÇÃO"",C112=""BDR""),IF(CF112=0,""SEM DY"",IFERROR(ImportXML(CONCAT(""http://www.guiainvest.com.br/raiox/default.aspx?sigla="",$CR112),""//*[@id='lbPayoutAtual']""),""NC"")),"""")"),"")</f>
        <v/>
      </c>
      <c r="CH112" s="870" t="s">
        <v>123</v>
      </c>
      <c r="CI112" s="545"/>
      <c r="CJ112" s="871" t="str">
        <f>IFERROR(__xludf.DUMMYFUNCTION("IF(OR(C112=""AÇÃO"",C112=""BDR""),IFERROR(GOOGLEFINANCE(CONCAT(""BVMF:"",CR112), ""eps""),""NC""),"""")"),"")</f>
        <v/>
      </c>
      <c r="CK112" s="442"/>
      <c r="CL112" s="871" t="str">
        <f>IFERROR(__xludf.DUMMYFUNCTION("IF(NOT($BL$4),"""",IF($CR112="""","""",IF($BC112="""","""",IFERROR(query({op.normal!$B$5:$F308},""select Col5, toDate(Col2) where Col1 =  '""&amp;$CR112&amp;""' and Col4 &gt; 0 and ((Col3 is null) or (Col3 = 'C')) and Col2 &gt;= date '""&amp;TEXT(TODAY()-$AQ$5,""yyyy-mm-dd"&amp;""")&amp;""' order by Col2 desc limit 1 label toDate(Col2) ''"")))))"),"")</f>
        <v/>
      </c>
      <c r="CM112" s="872"/>
      <c r="CN112" s="883" t="s">
        <v>123</v>
      </c>
      <c r="CO112" s="874" t="s">
        <v>123</v>
      </c>
      <c r="CP112" s="766"/>
      <c r="CQ112" s="791"/>
      <c r="CR112" s="791"/>
      <c r="CT112" s="791" t="s">
        <v>123</v>
      </c>
      <c r="CU112" s="791" t="str">
        <f>IFERROR(__xludf.DUMMYFUNCTION("IF(CR112="""","""",IF(CT112=$C$4,1,GOOGLEFINANCE(CT112&amp;$C$4)))"),"")</f>
        <v/>
      </c>
    </row>
    <row r="113" ht="22.5" customHeight="1">
      <c r="A113" s="837">
        <v>105.0</v>
      </c>
      <c r="B113" s="838" t="s">
        <v>123</v>
      </c>
      <c r="C113" s="838" t="s">
        <v>123</v>
      </c>
      <c r="D113" s="839" t="s">
        <v>123</v>
      </c>
      <c r="E113" s="839" t="s">
        <v>123</v>
      </c>
      <c r="F113" s="839" t="s">
        <v>123</v>
      </c>
      <c r="H113" s="884"/>
      <c r="I113" s="838"/>
      <c r="J113" s="838"/>
      <c r="K113" s="838"/>
      <c r="L113" s="838"/>
      <c r="M113" s="838"/>
      <c r="N113" s="838"/>
      <c r="O113" s="838"/>
      <c r="P113" s="838"/>
      <c r="Q113" s="838"/>
      <c r="R113" s="838"/>
      <c r="S113" s="838"/>
      <c r="T113" s="838"/>
      <c r="U113" s="838"/>
      <c r="V113" s="838"/>
      <c r="W113" s="838"/>
      <c r="X113" s="838"/>
      <c r="Z113" s="875" t="str">
        <f>IFERROR(__xludf.DUMMYFUNCTION("IF($CR113="""","""",IFERROR(query({CarteirasAtivos},""select Col4 where Col4 is not null and Col1 = '""&amp;$CR113&amp;""' limit 1"")*CU113,""NC""))"),"")</f>
        <v/>
      </c>
      <c r="AA113" s="876" t="str">
        <f>IFERROR(__xludf.DUMMYFUNCTION("IF($CR113="""","""",IFERROR(query({CarteirasAtivos},""select Col6 where Col4 is not null and Col1 = '""&amp;$CR113&amp;""' limit 1""),""NC""))"),"")</f>
        <v/>
      </c>
      <c r="AB113" s="877"/>
      <c r="AC113" s="878" t="s">
        <v>123</v>
      </c>
      <c r="AD113" s="845" t="str">
        <f>IF($CR113="","",IFERROR(VLOOKUP($CR113,ativos.!$C$3:$R308,MATCH("cotacao",ativos.!$C$2:CY$2,0),FALSE)*$CU$5,"atualizar"))</f>
        <v/>
      </c>
      <c r="AE113" s="846" t="str">
        <f>IFERROR(__xludf.DUMMYFUNCTION("IF($CR113="""","""",IFERROR(AVERAGE(query({CarteirasAtivos;CarteirasAtivosEncerrados},""select Col5 where Col5 is not null and Col1 = '""&amp;$CR113&amp;""' and Col10='SIM'""))*CU113,""NC""))"),"")</f>
        <v/>
      </c>
      <c r="AF113" s="847" t="str">
        <f t="shared" si="1"/>
        <v/>
      </c>
      <c r="AG113" s="442"/>
      <c r="AH113" s="848" t="str">
        <f>IFERROR(__xludf.DUMMYFUNCTION("IF($CR113="""","""",IFERROR(GOOGLEFINANCE($CR113,""low52"")*CU113,""-""))"),"")</f>
        <v/>
      </c>
      <c r="AI113" s="848" t="str">
        <f>IFERROR(__xludf.DUMMYFUNCTION("IF($CR113="""","""",IFERROR(GOOGLEFINANCE($CR113,""high52"")*CU113,""-""))"),"")</f>
        <v/>
      </c>
      <c r="AJ113" s="849" t="s">
        <v>123</v>
      </c>
      <c r="AK113" s="850" t="str">
        <f>IFERROR(__xludf.DUMMYFUNCTION("IF($CR113="""","""",IFERROR(GOOGLEFINANCE($CR113,""changepct"")/100,""-""))"),"")</f>
        <v/>
      </c>
      <c r="AL113" s="851" t="str">
        <f>IFERROR(__xludf.DUMMYFUNCTION("IF($CR113="""","""",IFERROR(($AD113/(QUERY(GOOGLEFINANCE($CR113,""price"",TODAY()-7),""SELECT Col2 label Col2 ''"")*$CU113)-1),""-""))"),"")</f>
        <v/>
      </c>
      <c r="AM113" s="851" t="str">
        <f>IFERROR(__xludf.DUMMYFUNCTION("IF($CR113="""","""",IFERROR(($AD113/(QUERY(GOOGLEFINANCE($CR113,""price"",TODAY()-14),""SELECT Col2 label Col2 ''"")*$CU113)-1),""-""))"),"")</f>
        <v/>
      </c>
      <c r="AN113" s="851" t="str">
        <f>IFERROR(__xludf.DUMMYFUNCTION("IF($CR113="""","""",IFERROR(($AD113/(QUERY(GOOGLEFINANCE($CR113,""price"",TODAY()-28),""SELECT Col2 label Col2 ''"")*$CU113)-1),""-""))"),"")</f>
        <v/>
      </c>
      <c r="AO113" s="851" t="str">
        <f>IFERROR(__xludf.DUMMYFUNCTION("IF($CR113="""","""",IFERROR(($AD113/(QUERY(GOOGLEFINANCE($CR113,""price"",TODAY()-$AQ$5),""SELECT Col2 label Col2 ''"")*$CU113)-1),""-""))"),"")</f>
        <v/>
      </c>
      <c r="AP113" s="852" t="str">
        <f>IFERROR(__xludf.DUMMYFUNCTION("IF($CR113="""","""",IFERROR(SPARKLINE(query(GOOGLEFINANCE($CR113,""price"",TODAY()-$AQ$5,TODAY(),1),""select Col2 label Col2 ''""),IF($AP$7=""Gráfico de barras"",{""charttype"",""column"";""highcolor"",""red""},{""chartype"",""line""}))))"),"")</f>
        <v/>
      </c>
      <c r="AQ113" s="144"/>
      <c r="AR113" s="853"/>
      <c r="AS113" s="854" t="str">
        <f>IF($CR113="","",IF(NOT('alocação'!$D$1),"off",IFERROR(VLOOKUP(CR113,BalanceAtivos,3,0),"NC")))</f>
        <v/>
      </c>
      <c r="AT113" s="855" t="str">
        <f>IF($CR113="","",IF(NOT('alocação'!$D$1),"off",IFERROR(VLOOKUP($CR113,BalanceAtivos,4,0)*$CU$5,"NC")))</f>
        <v/>
      </c>
      <c r="AU113" s="856" t="str">
        <f>IF($CR113="","",IF(NOT('alocação'!$D$1),"off",IFERROR(VLOOKUP($CR113,BalanceAtivos,5,0),"-")))</f>
        <v/>
      </c>
      <c r="AV113" s="856" t="str">
        <f>IF($CR113="","",IF(NOT('alocação'!$D$1),"off",IFERROR(VLOOKUP($CR113,BalanceAtivos,6,0),"-")))</f>
        <v/>
      </c>
      <c r="AW113" s="857"/>
      <c r="AX113" s="858" t="str">
        <f>IF($CR113="","",IF($E113="","SP",IFERROR(VLOOKUP($CR113,AtivosDados,MATCH("pm_atual",portfolio.!$A$3:CY$3,0),0)*$CU$5,0)))</f>
        <v/>
      </c>
      <c r="AY113" s="859" t="str">
        <f t="shared" si="2"/>
        <v/>
      </c>
      <c r="AZ113" s="858" t="str">
        <f>IF($CR113="","",IF($E113="","SP",SUMIF(portfolio.!$A$4:$A308,$CR113,portfolio.!$O$4:$O308)*$CU$5))</f>
        <v/>
      </c>
      <c r="BA113" s="858" t="str">
        <f>IF($CR113="","",IF($E113="","SP",SUMIF(portfolio.!$A$4:$A308,$CR113,portfolio.!$AN$4:$AN308)*$CU$5))</f>
        <v/>
      </c>
      <c r="BB113" s="860" t="str">
        <f>IF($CR113="","",IF($E113="","-",IFERROR($BA113/'portfólio'!$DG$63,"")))</f>
        <v/>
      </c>
      <c r="BC113" s="861" t="str">
        <f>IF($CR113="","",IF($E113="","-",SUMIF(portfolio.!$A$4:$A308,$CR113,portfolio.!$J$4:$J308)))</f>
        <v/>
      </c>
      <c r="BD113" s="862" t="str">
        <f>IF($CR113="","",IF($E113="","SP",SUMIF(portfolio.!$A$4:$A308,$CR113,portfolio.!$AQ$4:$AQ308)*$CU$5))</f>
        <v/>
      </c>
      <c r="BE113" s="850" t="str">
        <f t="shared" si="3"/>
        <v/>
      </c>
      <c r="BF113" s="862" t="str">
        <f>IF($CR113="","",IF($E113="","-",SUMIF(portfolio.!$A$4:$A308,$CR113,portfolio.!$AX$4:$AX308)*$CU$5))</f>
        <v/>
      </c>
      <c r="BG113" s="545"/>
      <c r="BH113" s="879" t="s">
        <v>123</v>
      </c>
      <c r="BI113" s="880" t="s">
        <v>123</v>
      </c>
      <c r="BJ113" s="863" t="str">
        <f>IFERROR(__xludf.DUMMYFUNCTION("IF(NOT($BL$4),"""",IF($CR113="""","""",IFERROR(query({GOOGLEFINANCE($CR113,""price"",IF($BI113=""-"",TODAY()-($AQ$5+5),$BI113),TODAY()-1)},""Select max(Col2) where Col1 is not null label max(Col2) ''"")*CU113,""-"")))"),"")</f>
        <v/>
      </c>
      <c r="BK113" s="881" t="s">
        <v>123</v>
      </c>
      <c r="BL113" s="882" t="s">
        <v>123</v>
      </c>
      <c r="BM113" s="442"/>
      <c r="BN113" s="867" t="str">
        <f>IFERROR(__xludf.DUMMYFUNCTION("IF(CR113="""","""",IF(OR(C113=""AÇÃO"",C113=""BDR""),IFERROR(QUERY({fundamentus.!$A$3:$U308},$CX$67&amp;"" where Col1='""&amp;CR113&amp;""' limit 1"",0)),IF(C113=""FII"",IFERROR(QUERY({fundsexplorer.!$A$2:$Z308},$CY$67&amp;"" where Col1='""&amp;CR113&amp;""' limit 1"",0)),""""))"&amp;")"),"")</f>
        <v/>
      </c>
      <c r="BO113" s="867"/>
      <c r="BP113" s="867"/>
      <c r="BQ113" s="867"/>
      <c r="BR113" s="867"/>
      <c r="BS113" s="867"/>
      <c r="BT113" s="867"/>
      <c r="BU113" s="442"/>
      <c r="BV113" s="868" t="str">
        <f>IFERROR(__xludf.DUMMYFUNCTION("IF(OR(C113=""AÇÃO"",C113=""BDR""),IFERROR(GOOGLEFINANCE(CONCAT(""BVMF:"",CR113), ""marketcap"")/1000000,""NC""),"""")"),"")</f>
        <v/>
      </c>
      <c r="BW113" s="869" t="s">
        <v>123</v>
      </c>
      <c r="BX113" s="870" t="s">
        <v>123</v>
      </c>
      <c r="BY113" s="868" t="s">
        <v>123</v>
      </c>
      <c r="BZ113" s="870" t="s">
        <v>123</v>
      </c>
      <c r="CA113" s="868" t="s">
        <v>123</v>
      </c>
      <c r="CB113" s="868" t="s">
        <v>123</v>
      </c>
      <c r="CC113" s="868" t="s">
        <v>123</v>
      </c>
      <c r="CD113" s="868" t="str">
        <f>IFERROR(__xludf.DUMMYFUNCTION("IF(OR(C113=""AÇÃO"",C113=""BDR""),IFERROR(GOOGLEFINANCE(CONCAT(""BVMF:"",CR113), ""volumeavg"")/1000000,""NC""),"""")"),"")</f>
        <v/>
      </c>
      <c r="CE113" s="870" t="s">
        <v>123</v>
      </c>
      <c r="CF113" s="870" t="s">
        <v>123</v>
      </c>
      <c r="CG113" s="870" t="str">
        <f>IFERROR(__xludf.DUMMYFUNCTION("IF(OR(C113=""AÇÃO"",C113=""BDR""),IF(CF113=0,""SEM DY"",IFERROR(ImportXML(CONCAT(""http://www.guiainvest.com.br/raiox/default.aspx?sigla="",$CR113),""//*[@id='lbPayoutAtual']""),""NC"")),"""")"),"")</f>
        <v/>
      </c>
      <c r="CH113" s="870" t="s">
        <v>123</v>
      </c>
      <c r="CI113" s="545"/>
      <c r="CJ113" s="871" t="str">
        <f>IFERROR(__xludf.DUMMYFUNCTION("IF(OR(C113=""AÇÃO"",C113=""BDR""),IFERROR(GOOGLEFINANCE(CONCAT(""BVMF:"",CR113), ""eps""),""NC""),"""")"),"")</f>
        <v/>
      </c>
      <c r="CK113" s="442"/>
      <c r="CL113" s="871" t="str">
        <f>IFERROR(__xludf.DUMMYFUNCTION("IF(NOT($BL$4),"""",IF($CR113="""","""",IF($BC113="""","""",IFERROR(query({op.normal!$B$5:$F308},""select Col5, toDate(Col2) where Col1 =  '""&amp;$CR113&amp;""' and Col4 &gt; 0 and ((Col3 is null) or (Col3 = 'C')) and Col2 &gt;= date '""&amp;TEXT(TODAY()-$AQ$5,""yyyy-mm-dd"&amp;""")&amp;""' order by Col2 desc limit 1 label toDate(Col2) ''"")))))"),"")</f>
        <v/>
      </c>
      <c r="CM113" s="872"/>
      <c r="CN113" s="883" t="s">
        <v>123</v>
      </c>
      <c r="CO113" s="874" t="s">
        <v>123</v>
      </c>
      <c r="CP113" s="766"/>
      <c r="CQ113" s="791"/>
      <c r="CR113" s="791"/>
      <c r="CT113" s="791" t="s">
        <v>123</v>
      </c>
      <c r="CU113" s="791" t="str">
        <f>IFERROR(__xludf.DUMMYFUNCTION("IF(CR113="""","""",IF(CT113=$C$4,1,GOOGLEFINANCE(CT113&amp;$C$4)))"),"")</f>
        <v/>
      </c>
    </row>
    <row r="114" ht="22.5" customHeight="1">
      <c r="A114" s="837">
        <v>106.0</v>
      </c>
      <c r="B114" s="838" t="s">
        <v>123</v>
      </c>
      <c r="C114" s="838" t="s">
        <v>123</v>
      </c>
      <c r="D114" s="839" t="s">
        <v>123</v>
      </c>
      <c r="E114" s="839" t="s">
        <v>123</v>
      </c>
      <c r="F114" s="839" t="s">
        <v>123</v>
      </c>
      <c r="H114" s="884"/>
      <c r="I114" s="838"/>
      <c r="J114" s="838"/>
      <c r="K114" s="838"/>
      <c r="L114" s="838"/>
      <c r="M114" s="838"/>
      <c r="N114" s="838"/>
      <c r="O114" s="838"/>
      <c r="P114" s="838"/>
      <c r="Q114" s="838"/>
      <c r="R114" s="838"/>
      <c r="S114" s="838"/>
      <c r="T114" s="838"/>
      <c r="U114" s="838"/>
      <c r="V114" s="838"/>
      <c r="W114" s="838"/>
      <c r="X114" s="838"/>
      <c r="Z114" s="875" t="str">
        <f>IFERROR(__xludf.DUMMYFUNCTION("IF($CR114="""","""",IFERROR(query({CarteirasAtivos},""select Col4 where Col4 is not null and Col1 = '""&amp;$CR114&amp;""' limit 1"")*CU114,""NC""))"),"")</f>
        <v/>
      </c>
      <c r="AA114" s="876" t="str">
        <f>IFERROR(__xludf.DUMMYFUNCTION("IF($CR114="""","""",IFERROR(query({CarteirasAtivos},""select Col6 where Col4 is not null and Col1 = '""&amp;$CR114&amp;""' limit 1""),""NC""))"),"")</f>
        <v/>
      </c>
      <c r="AB114" s="877"/>
      <c r="AC114" s="878" t="s">
        <v>123</v>
      </c>
      <c r="AD114" s="845" t="str">
        <f>IF($CR114="","",IFERROR(VLOOKUP($CR114,ativos.!$C$3:$R308,MATCH("cotacao",ativos.!$C$2:CY$2,0),FALSE)*$CU$5,"atualizar"))</f>
        <v/>
      </c>
      <c r="AE114" s="846" t="str">
        <f>IFERROR(__xludf.DUMMYFUNCTION("IF($CR114="""","""",IFERROR(AVERAGE(query({CarteirasAtivos;CarteirasAtivosEncerrados},""select Col5 where Col5 is not null and Col1 = '""&amp;$CR114&amp;""' and Col10='SIM'""))*CU114,""NC""))"),"")</f>
        <v/>
      </c>
      <c r="AF114" s="847" t="str">
        <f t="shared" si="1"/>
        <v/>
      </c>
      <c r="AG114" s="442"/>
      <c r="AH114" s="848" t="str">
        <f>IFERROR(__xludf.DUMMYFUNCTION("IF($CR114="""","""",IFERROR(GOOGLEFINANCE($CR114,""low52"")*CU114,""-""))"),"")</f>
        <v/>
      </c>
      <c r="AI114" s="848" t="str">
        <f>IFERROR(__xludf.DUMMYFUNCTION("IF($CR114="""","""",IFERROR(GOOGLEFINANCE($CR114,""high52"")*CU114,""-""))"),"")</f>
        <v/>
      </c>
      <c r="AJ114" s="849" t="s">
        <v>123</v>
      </c>
      <c r="AK114" s="850" t="str">
        <f>IFERROR(__xludf.DUMMYFUNCTION("IF($CR114="""","""",IFERROR(GOOGLEFINANCE($CR114,""changepct"")/100,""-""))"),"")</f>
        <v/>
      </c>
      <c r="AL114" s="851" t="str">
        <f>IFERROR(__xludf.DUMMYFUNCTION("IF($CR114="""","""",IFERROR(($AD114/(QUERY(GOOGLEFINANCE($CR114,""price"",TODAY()-7),""SELECT Col2 label Col2 ''"")*$CU114)-1),""-""))"),"")</f>
        <v/>
      </c>
      <c r="AM114" s="851" t="str">
        <f>IFERROR(__xludf.DUMMYFUNCTION("IF($CR114="""","""",IFERROR(($AD114/(QUERY(GOOGLEFINANCE($CR114,""price"",TODAY()-14),""SELECT Col2 label Col2 ''"")*$CU114)-1),""-""))"),"")</f>
        <v/>
      </c>
      <c r="AN114" s="851" t="str">
        <f>IFERROR(__xludf.DUMMYFUNCTION("IF($CR114="""","""",IFERROR(($AD114/(QUERY(GOOGLEFINANCE($CR114,""price"",TODAY()-28),""SELECT Col2 label Col2 ''"")*$CU114)-1),""-""))"),"")</f>
        <v/>
      </c>
      <c r="AO114" s="851" t="str">
        <f>IFERROR(__xludf.DUMMYFUNCTION("IF($CR114="""","""",IFERROR(($AD114/(QUERY(GOOGLEFINANCE($CR114,""price"",TODAY()-$AQ$5),""SELECT Col2 label Col2 ''"")*$CU114)-1),""-""))"),"")</f>
        <v/>
      </c>
      <c r="AP114" s="852" t="str">
        <f>IFERROR(__xludf.DUMMYFUNCTION("IF($CR114="""","""",IFERROR(SPARKLINE(query(GOOGLEFINANCE($CR114,""price"",TODAY()-$AQ$5,TODAY(),1),""select Col2 label Col2 ''""),IF($AP$7=""Gráfico de barras"",{""charttype"",""column"";""highcolor"",""red""},{""chartype"",""line""}))))"),"")</f>
        <v/>
      </c>
      <c r="AQ114" s="144"/>
      <c r="AR114" s="853"/>
      <c r="AS114" s="854" t="str">
        <f>IF($CR114="","",IF(NOT('alocação'!$D$1),"off",IFERROR(VLOOKUP(CR114,BalanceAtivos,3,0),"NC")))</f>
        <v/>
      </c>
      <c r="AT114" s="855" t="str">
        <f>IF($CR114="","",IF(NOT('alocação'!$D$1),"off",IFERROR(VLOOKUP($CR114,BalanceAtivos,4,0)*$CU$5,"NC")))</f>
        <v/>
      </c>
      <c r="AU114" s="856" t="str">
        <f>IF($CR114="","",IF(NOT('alocação'!$D$1),"off",IFERROR(VLOOKUP($CR114,BalanceAtivos,5,0),"-")))</f>
        <v/>
      </c>
      <c r="AV114" s="856" t="str">
        <f>IF($CR114="","",IF(NOT('alocação'!$D$1),"off",IFERROR(VLOOKUP($CR114,BalanceAtivos,6,0),"-")))</f>
        <v/>
      </c>
      <c r="AW114" s="857"/>
      <c r="AX114" s="858" t="str">
        <f>IF($CR114="","",IF($E114="","SP",IFERROR(VLOOKUP($CR114,AtivosDados,MATCH("pm_atual",portfolio.!$A$3:CY$3,0),0)*$CU$5,0)))</f>
        <v/>
      </c>
      <c r="AY114" s="859" t="str">
        <f t="shared" si="2"/>
        <v/>
      </c>
      <c r="AZ114" s="858" t="str">
        <f>IF($CR114="","",IF($E114="","SP",SUMIF(portfolio.!$A$4:$A308,$CR114,portfolio.!$O$4:$O308)*$CU$5))</f>
        <v/>
      </c>
      <c r="BA114" s="858" t="str">
        <f>IF($CR114="","",IF($E114="","SP",SUMIF(portfolio.!$A$4:$A308,$CR114,portfolio.!$AN$4:$AN308)*$CU$5))</f>
        <v/>
      </c>
      <c r="BB114" s="860" t="str">
        <f>IF($CR114="","",IF($E114="","-",IFERROR($BA114/'portfólio'!$DG$63,"")))</f>
        <v/>
      </c>
      <c r="BC114" s="861" t="str">
        <f>IF($CR114="","",IF($E114="","-",SUMIF(portfolio.!$A$4:$A308,$CR114,portfolio.!$J$4:$J308)))</f>
        <v/>
      </c>
      <c r="BD114" s="862" t="str">
        <f>IF($CR114="","",IF($E114="","SP",SUMIF(portfolio.!$A$4:$A308,$CR114,portfolio.!$AQ$4:$AQ308)*$CU$5))</f>
        <v/>
      </c>
      <c r="BE114" s="850" t="str">
        <f t="shared" si="3"/>
        <v/>
      </c>
      <c r="BF114" s="862" t="str">
        <f>IF($CR114="","",IF($E114="","-",SUMIF(portfolio.!$A$4:$A308,$CR114,portfolio.!$AX$4:$AX308)*$CU$5))</f>
        <v/>
      </c>
      <c r="BG114" s="545"/>
      <c r="BH114" s="879" t="s">
        <v>123</v>
      </c>
      <c r="BI114" s="880" t="s">
        <v>123</v>
      </c>
      <c r="BJ114" s="863" t="str">
        <f>IFERROR(__xludf.DUMMYFUNCTION("IF(NOT($BL$4),"""",IF($CR114="""","""",IFERROR(query({GOOGLEFINANCE($CR114,""price"",IF($BI114=""-"",TODAY()-($AQ$5+5),$BI114),TODAY()-1)},""Select max(Col2) where Col1 is not null label max(Col2) ''"")*CU114,""-"")))"),"")</f>
        <v/>
      </c>
      <c r="BK114" s="881" t="s">
        <v>123</v>
      </c>
      <c r="BL114" s="882" t="s">
        <v>123</v>
      </c>
      <c r="BM114" s="442"/>
      <c r="BN114" s="867" t="str">
        <f>IFERROR(__xludf.DUMMYFUNCTION("IF(CR114="""","""",IF(OR(C114=""AÇÃO"",C114=""BDR""),IFERROR(QUERY({fundamentus.!$A$3:$U308},$CX$67&amp;"" where Col1='""&amp;CR114&amp;""' limit 1"",0)),IF(C114=""FII"",IFERROR(QUERY({fundsexplorer.!$A$2:$Z308},$CY$67&amp;"" where Col1='""&amp;CR114&amp;""' limit 1"",0)),""""))"&amp;")"),"")</f>
        <v/>
      </c>
      <c r="BO114" s="867"/>
      <c r="BP114" s="867"/>
      <c r="BQ114" s="867"/>
      <c r="BR114" s="867"/>
      <c r="BS114" s="867"/>
      <c r="BT114" s="867"/>
      <c r="BU114" s="442"/>
      <c r="BV114" s="868" t="str">
        <f>IFERROR(__xludf.DUMMYFUNCTION("IF(OR(C114=""AÇÃO"",C114=""BDR""),IFERROR(GOOGLEFINANCE(CONCAT(""BVMF:"",CR114), ""marketcap"")/1000000,""NC""),"""")"),"")</f>
        <v/>
      </c>
      <c r="BW114" s="869" t="s">
        <v>123</v>
      </c>
      <c r="BX114" s="870" t="s">
        <v>123</v>
      </c>
      <c r="BY114" s="868" t="s">
        <v>123</v>
      </c>
      <c r="BZ114" s="870" t="s">
        <v>123</v>
      </c>
      <c r="CA114" s="868" t="s">
        <v>123</v>
      </c>
      <c r="CB114" s="868" t="s">
        <v>123</v>
      </c>
      <c r="CC114" s="868" t="s">
        <v>123</v>
      </c>
      <c r="CD114" s="868" t="str">
        <f>IFERROR(__xludf.DUMMYFUNCTION("IF(OR(C114=""AÇÃO"",C114=""BDR""),IFERROR(GOOGLEFINANCE(CONCAT(""BVMF:"",CR114), ""volumeavg"")/1000000,""NC""),"""")"),"")</f>
        <v/>
      </c>
      <c r="CE114" s="870" t="s">
        <v>123</v>
      </c>
      <c r="CF114" s="870" t="s">
        <v>123</v>
      </c>
      <c r="CG114" s="870" t="str">
        <f>IFERROR(__xludf.DUMMYFUNCTION("IF(OR(C114=""AÇÃO"",C114=""BDR""),IF(CF114=0,""SEM DY"",IFERROR(ImportXML(CONCAT(""http://www.guiainvest.com.br/raiox/default.aspx?sigla="",$CR114),""//*[@id='lbPayoutAtual']""),""NC"")),"""")"),"")</f>
        <v/>
      </c>
      <c r="CH114" s="870" t="s">
        <v>123</v>
      </c>
      <c r="CI114" s="545"/>
      <c r="CJ114" s="871" t="str">
        <f>IFERROR(__xludf.DUMMYFUNCTION("IF(OR(C114=""AÇÃO"",C114=""BDR""),IFERROR(GOOGLEFINANCE(CONCAT(""BVMF:"",CR114), ""eps""),""NC""),"""")"),"")</f>
        <v/>
      </c>
      <c r="CK114" s="442"/>
      <c r="CL114" s="871" t="str">
        <f>IFERROR(__xludf.DUMMYFUNCTION("IF(NOT($BL$4),"""",IF($CR114="""","""",IF($BC114="""","""",IFERROR(query({op.normal!$B$5:$F308},""select Col5, toDate(Col2) where Col1 =  '""&amp;$CR114&amp;""' and Col4 &gt; 0 and ((Col3 is null) or (Col3 = 'C')) and Col2 &gt;= date '""&amp;TEXT(TODAY()-$AQ$5,""yyyy-mm-dd"&amp;""")&amp;""' order by Col2 desc limit 1 label toDate(Col2) ''"")))))"),"")</f>
        <v/>
      </c>
      <c r="CM114" s="872"/>
      <c r="CN114" s="883" t="s">
        <v>123</v>
      </c>
      <c r="CO114" s="874" t="s">
        <v>123</v>
      </c>
      <c r="CP114" s="766"/>
      <c r="CQ114" s="791"/>
      <c r="CR114" s="791"/>
      <c r="CT114" s="791" t="s">
        <v>123</v>
      </c>
      <c r="CU114" s="791" t="str">
        <f>IFERROR(__xludf.DUMMYFUNCTION("IF(CR114="""","""",IF(CT114=$C$4,1,GOOGLEFINANCE(CT114&amp;$C$4)))"),"")</f>
        <v/>
      </c>
    </row>
    <row r="115" ht="22.5" customHeight="1">
      <c r="A115" s="837">
        <v>107.0</v>
      </c>
      <c r="B115" s="838" t="s">
        <v>123</v>
      </c>
      <c r="C115" s="838" t="s">
        <v>123</v>
      </c>
      <c r="D115" s="839" t="s">
        <v>123</v>
      </c>
      <c r="E115" s="839" t="s">
        <v>123</v>
      </c>
      <c r="F115" s="839" t="s">
        <v>123</v>
      </c>
      <c r="H115" s="884"/>
      <c r="I115" s="838"/>
      <c r="J115" s="838"/>
      <c r="K115" s="838"/>
      <c r="L115" s="838"/>
      <c r="M115" s="838"/>
      <c r="N115" s="838"/>
      <c r="O115" s="838"/>
      <c r="P115" s="838"/>
      <c r="Q115" s="838"/>
      <c r="R115" s="838"/>
      <c r="S115" s="838"/>
      <c r="T115" s="838"/>
      <c r="U115" s="838"/>
      <c r="V115" s="838"/>
      <c r="W115" s="838"/>
      <c r="X115" s="838"/>
      <c r="Z115" s="875" t="str">
        <f>IFERROR(__xludf.DUMMYFUNCTION("IF($CR115="""","""",IFERROR(query({CarteirasAtivos},""select Col4 where Col4 is not null and Col1 = '""&amp;$CR115&amp;""' limit 1"")*CU115,""NC""))"),"")</f>
        <v/>
      </c>
      <c r="AA115" s="876" t="str">
        <f>IFERROR(__xludf.DUMMYFUNCTION("IF($CR115="""","""",IFERROR(query({CarteirasAtivos},""select Col6 where Col4 is not null and Col1 = '""&amp;$CR115&amp;""' limit 1""),""NC""))"),"")</f>
        <v/>
      </c>
      <c r="AB115" s="877"/>
      <c r="AC115" s="878" t="s">
        <v>123</v>
      </c>
      <c r="AD115" s="845" t="str">
        <f>IF($CR115="","",IFERROR(VLOOKUP($CR115,ativos.!$C$3:$R308,MATCH("cotacao",ativos.!$C$2:CY$2,0),FALSE)*$CU$5,"atualizar"))</f>
        <v/>
      </c>
      <c r="AE115" s="846" t="str">
        <f>IFERROR(__xludf.DUMMYFUNCTION("IF($CR115="""","""",IFERROR(AVERAGE(query({CarteirasAtivos;CarteirasAtivosEncerrados},""select Col5 where Col5 is not null and Col1 = '""&amp;$CR115&amp;""' and Col10='SIM'""))*CU115,""NC""))"),"")</f>
        <v/>
      </c>
      <c r="AF115" s="847" t="str">
        <f t="shared" si="1"/>
        <v/>
      </c>
      <c r="AG115" s="442"/>
      <c r="AH115" s="848" t="str">
        <f>IFERROR(__xludf.DUMMYFUNCTION("IF($CR115="""","""",IFERROR(GOOGLEFINANCE($CR115,""low52"")*CU115,""-""))"),"")</f>
        <v/>
      </c>
      <c r="AI115" s="848" t="str">
        <f>IFERROR(__xludf.DUMMYFUNCTION("IF($CR115="""","""",IFERROR(GOOGLEFINANCE($CR115,""high52"")*CU115,""-""))"),"")</f>
        <v/>
      </c>
      <c r="AJ115" s="849" t="s">
        <v>123</v>
      </c>
      <c r="AK115" s="850" t="str">
        <f>IFERROR(__xludf.DUMMYFUNCTION("IF($CR115="""","""",IFERROR(GOOGLEFINANCE($CR115,""changepct"")/100,""-""))"),"")</f>
        <v/>
      </c>
      <c r="AL115" s="851" t="str">
        <f>IFERROR(__xludf.DUMMYFUNCTION("IF($CR115="""","""",IFERROR(($AD115/(QUERY(GOOGLEFINANCE($CR115,""price"",TODAY()-7),""SELECT Col2 label Col2 ''"")*$CU115)-1),""-""))"),"")</f>
        <v/>
      </c>
      <c r="AM115" s="851" t="str">
        <f>IFERROR(__xludf.DUMMYFUNCTION("IF($CR115="""","""",IFERROR(($AD115/(QUERY(GOOGLEFINANCE($CR115,""price"",TODAY()-14),""SELECT Col2 label Col2 ''"")*$CU115)-1),""-""))"),"")</f>
        <v/>
      </c>
      <c r="AN115" s="851" t="str">
        <f>IFERROR(__xludf.DUMMYFUNCTION("IF($CR115="""","""",IFERROR(($AD115/(QUERY(GOOGLEFINANCE($CR115,""price"",TODAY()-28),""SELECT Col2 label Col2 ''"")*$CU115)-1),""-""))"),"")</f>
        <v/>
      </c>
      <c r="AO115" s="851" t="str">
        <f>IFERROR(__xludf.DUMMYFUNCTION("IF($CR115="""","""",IFERROR(($AD115/(QUERY(GOOGLEFINANCE($CR115,""price"",TODAY()-$AQ$5),""SELECT Col2 label Col2 ''"")*$CU115)-1),""-""))"),"")</f>
        <v/>
      </c>
      <c r="AP115" s="852" t="str">
        <f>IFERROR(__xludf.DUMMYFUNCTION("IF($CR115="""","""",IFERROR(SPARKLINE(query(GOOGLEFINANCE($CR115,""price"",TODAY()-$AQ$5,TODAY(),1),""select Col2 label Col2 ''""),IF($AP$7=""Gráfico de barras"",{""charttype"",""column"";""highcolor"",""red""},{""chartype"",""line""}))))"),"")</f>
        <v/>
      </c>
      <c r="AQ115" s="144"/>
      <c r="AR115" s="853"/>
      <c r="AS115" s="854" t="str">
        <f>IF($CR115="","",IF(NOT('alocação'!$D$1),"off",IFERROR(VLOOKUP(CR115,BalanceAtivos,3,0),"NC")))</f>
        <v/>
      </c>
      <c r="AT115" s="855" t="str">
        <f>IF($CR115="","",IF(NOT('alocação'!$D$1),"off",IFERROR(VLOOKUP($CR115,BalanceAtivos,4,0)*$CU$5,"NC")))</f>
        <v/>
      </c>
      <c r="AU115" s="856" t="str">
        <f>IF($CR115="","",IF(NOT('alocação'!$D$1),"off",IFERROR(VLOOKUP($CR115,BalanceAtivos,5,0),"-")))</f>
        <v/>
      </c>
      <c r="AV115" s="856" t="str">
        <f>IF($CR115="","",IF(NOT('alocação'!$D$1),"off",IFERROR(VLOOKUP($CR115,BalanceAtivos,6,0),"-")))</f>
        <v/>
      </c>
      <c r="AW115" s="857"/>
      <c r="AX115" s="858" t="str">
        <f>IF($CR115="","",IF($E115="","SP",IFERROR(VLOOKUP($CR115,AtivosDados,MATCH("pm_atual",portfolio.!$A$3:CY$3,0),0)*$CU$5,0)))</f>
        <v/>
      </c>
      <c r="AY115" s="859" t="str">
        <f t="shared" si="2"/>
        <v/>
      </c>
      <c r="AZ115" s="858" t="str">
        <f>IF($CR115="","",IF($E115="","SP",SUMIF(portfolio.!$A$4:$A308,$CR115,portfolio.!$O$4:$O308)*$CU$5))</f>
        <v/>
      </c>
      <c r="BA115" s="858" t="str">
        <f>IF($CR115="","",IF($E115="","SP",SUMIF(portfolio.!$A$4:$A308,$CR115,portfolio.!$AN$4:$AN308)*$CU$5))</f>
        <v/>
      </c>
      <c r="BB115" s="860" t="str">
        <f>IF($CR115="","",IF($E115="","-",IFERROR($BA115/'portfólio'!$DG$63,"")))</f>
        <v/>
      </c>
      <c r="BC115" s="861" t="str">
        <f>IF($CR115="","",IF($E115="","-",SUMIF(portfolio.!$A$4:$A308,$CR115,portfolio.!$J$4:$J308)))</f>
        <v/>
      </c>
      <c r="BD115" s="862" t="str">
        <f>IF($CR115="","",IF($E115="","SP",SUMIF(portfolio.!$A$4:$A308,$CR115,portfolio.!$AQ$4:$AQ308)*$CU$5))</f>
        <v/>
      </c>
      <c r="BE115" s="850" t="str">
        <f t="shared" si="3"/>
        <v/>
      </c>
      <c r="BF115" s="862" t="str">
        <f>IF($CR115="","",IF($E115="","-",SUMIF(portfolio.!$A$4:$A308,$CR115,portfolio.!$AX$4:$AX308)*$CU$5))</f>
        <v/>
      </c>
      <c r="BG115" s="545"/>
      <c r="BH115" s="879" t="s">
        <v>123</v>
      </c>
      <c r="BI115" s="880" t="s">
        <v>123</v>
      </c>
      <c r="BJ115" s="863" t="str">
        <f>IFERROR(__xludf.DUMMYFUNCTION("IF(NOT($BL$4),"""",IF($CR115="""","""",IFERROR(query({GOOGLEFINANCE($CR115,""price"",IF($BI115=""-"",TODAY()-($AQ$5+5),$BI115),TODAY()-1)},""Select max(Col2) where Col1 is not null label max(Col2) ''"")*CU115,""-"")))"),"")</f>
        <v/>
      </c>
      <c r="BK115" s="881" t="s">
        <v>123</v>
      </c>
      <c r="BL115" s="882" t="s">
        <v>123</v>
      </c>
      <c r="BM115" s="442"/>
      <c r="BN115" s="867" t="str">
        <f>IFERROR(__xludf.DUMMYFUNCTION("IF(CR115="""","""",IF(OR(C115=""AÇÃO"",C115=""BDR""),IFERROR(QUERY({fundamentus.!$A$3:$U308},$CX$67&amp;"" where Col1='""&amp;CR115&amp;""' limit 1"",0)),IF(C115=""FII"",IFERROR(QUERY({fundsexplorer.!$A$2:$Z308},$CY$67&amp;"" where Col1='""&amp;CR115&amp;""' limit 1"",0)),""""))"&amp;")"),"")</f>
        <v/>
      </c>
      <c r="BO115" s="867"/>
      <c r="BP115" s="867"/>
      <c r="BQ115" s="867"/>
      <c r="BR115" s="867"/>
      <c r="BS115" s="867"/>
      <c r="BT115" s="867"/>
      <c r="BU115" s="442"/>
      <c r="BV115" s="868" t="str">
        <f>IFERROR(__xludf.DUMMYFUNCTION("IF(OR(C115=""AÇÃO"",C115=""BDR""),IFERROR(GOOGLEFINANCE(CONCAT(""BVMF:"",CR115), ""marketcap"")/1000000,""NC""),"""")"),"")</f>
        <v/>
      </c>
      <c r="BW115" s="869" t="s">
        <v>123</v>
      </c>
      <c r="BX115" s="870" t="s">
        <v>123</v>
      </c>
      <c r="BY115" s="868" t="s">
        <v>123</v>
      </c>
      <c r="BZ115" s="870" t="s">
        <v>123</v>
      </c>
      <c r="CA115" s="868" t="s">
        <v>123</v>
      </c>
      <c r="CB115" s="868" t="s">
        <v>123</v>
      </c>
      <c r="CC115" s="868" t="s">
        <v>123</v>
      </c>
      <c r="CD115" s="868" t="str">
        <f>IFERROR(__xludf.DUMMYFUNCTION("IF(OR(C115=""AÇÃO"",C115=""BDR""),IFERROR(GOOGLEFINANCE(CONCAT(""BVMF:"",CR115), ""volumeavg"")/1000000,""NC""),"""")"),"")</f>
        <v/>
      </c>
      <c r="CE115" s="870" t="s">
        <v>123</v>
      </c>
      <c r="CF115" s="870" t="s">
        <v>123</v>
      </c>
      <c r="CG115" s="870" t="str">
        <f>IFERROR(__xludf.DUMMYFUNCTION("IF(OR(C115=""AÇÃO"",C115=""BDR""),IF(CF115=0,""SEM DY"",IFERROR(ImportXML(CONCAT(""http://www.guiainvest.com.br/raiox/default.aspx?sigla="",$CR115),""//*[@id='lbPayoutAtual']""),""NC"")),"""")"),"")</f>
        <v/>
      </c>
      <c r="CH115" s="870" t="s">
        <v>123</v>
      </c>
      <c r="CI115" s="545"/>
      <c r="CJ115" s="871" t="str">
        <f>IFERROR(__xludf.DUMMYFUNCTION("IF(OR(C115=""AÇÃO"",C115=""BDR""),IFERROR(GOOGLEFINANCE(CONCAT(""BVMF:"",CR115), ""eps""),""NC""),"""")"),"")</f>
        <v/>
      </c>
      <c r="CK115" s="442"/>
      <c r="CL115" s="871" t="str">
        <f>IFERROR(__xludf.DUMMYFUNCTION("IF(NOT($BL$4),"""",IF($CR115="""","""",IF($BC115="""","""",IFERROR(query({op.normal!$B$5:$F308},""select Col5, toDate(Col2) where Col1 =  '""&amp;$CR115&amp;""' and Col4 &gt; 0 and ((Col3 is null) or (Col3 = 'C')) and Col2 &gt;= date '""&amp;TEXT(TODAY()-$AQ$5,""yyyy-mm-dd"&amp;""")&amp;""' order by Col2 desc limit 1 label toDate(Col2) ''"")))))"),"")</f>
        <v/>
      </c>
      <c r="CM115" s="872"/>
      <c r="CN115" s="883" t="s">
        <v>123</v>
      </c>
      <c r="CO115" s="874" t="s">
        <v>123</v>
      </c>
      <c r="CP115" s="766"/>
      <c r="CQ115" s="791"/>
      <c r="CR115" s="791"/>
      <c r="CT115" s="791" t="s">
        <v>123</v>
      </c>
      <c r="CU115" s="791" t="str">
        <f>IFERROR(__xludf.DUMMYFUNCTION("IF(CR115="""","""",IF(CT115=$C$4,1,GOOGLEFINANCE(CT115&amp;$C$4)))"),"")</f>
        <v/>
      </c>
    </row>
    <row r="116" ht="22.5" customHeight="1">
      <c r="A116" s="837">
        <v>108.0</v>
      </c>
      <c r="B116" s="838" t="s">
        <v>123</v>
      </c>
      <c r="C116" s="838" t="s">
        <v>123</v>
      </c>
      <c r="D116" s="839" t="s">
        <v>123</v>
      </c>
      <c r="E116" s="839" t="s">
        <v>123</v>
      </c>
      <c r="F116" s="839" t="s">
        <v>123</v>
      </c>
      <c r="H116" s="884"/>
      <c r="I116" s="838"/>
      <c r="J116" s="838"/>
      <c r="K116" s="838"/>
      <c r="L116" s="838"/>
      <c r="M116" s="838"/>
      <c r="N116" s="838"/>
      <c r="O116" s="838"/>
      <c r="P116" s="838"/>
      <c r="Q116" s="838"/>
      <c r="R116" s="838"/>
      <c r="S116" s="838"/>
      <c r="T116" s="838"/>
      <c r="U116" s="838"/>
      <c r="V116" s="838"/>
      <c r="W116" s="838"/>
      <c r="X116" s="838"/>
      <c r="Z116" s="875" t="str">
        <f>IFERROR(__xludf.DUMMYFUNCTION("IF($CR116="""","""",IFERROR(query({CarteirasAtivos},""select Col4 where Col4 is not null and Col1 = '""&amp;$CR116&amp;""' limit 1"")*CU116,""NC""))"),"")</f>
        <v/>
      </c>
      <c r="AA116" s="876" t="str">
        <f>IFERROR(__xludf.DUMMYFUNCTION("IF($CR116="""","""",IFERROR(query({CarteirasAtivos},""select Col6 where Col4 is not null and Col1 = '""&amp;$CR116&amp;""' limit 1""),""NC""))"),"")</f>
        <v/>
      </c>
      <c r="AB116" s="877"/>
      <c r="AC116" s="878" t="s">
        <v>123</v>
      </c>
      <c r="AD116" s="845" t="str">
        <f>IF($CR116="","",IFERROR(VLOOKUP($CR116,ativos.!$C$3:$R308,MATCH("cotacao",ativos.!$C$2:CY$2,0),FALSE)*$CU$5,"atualizar"))</f>
        <v/>
      </c>
      <c r="AE116" s="846" t="str">
        <f>IFERROR(__xludf.DUMMYFUNCTION("IF($CR116="""","""",IFERROR(AVERAGE(query({CarteirasAtivos;CarteirasAtivosEncerrados},""select Col5 where Col5 is not null and Col1 = '""&amp;$CR116&amp;""' and Col10='SIM'""))*CU116,""NC""))"),"")</f>
        <v/>
      </c>
      <c r="AF116" s="847" t="str">
        <f t="shared" si="1"/>
        <v/>
      </c>
      <c r="AG116" s="442"/>
      <c r="AH116" s="848" t="str">
        <f>IFERROR(__xludf.DUMMYFUNCTION("IF($CR116="""","""",IFERROR(GOOGLEFINANCE($CR116,""low52"")*CU116,""-""))"),"")</f>
        <v/>
      </c>
      <c r="AI116" s="848" t="str">
        <f>IFERROR(__xludf.DUMMYFUNCTION("IF($CR116="""","""",IFERROR(GOOGLEFINANCE($CR116,""high52"")*CU116,""-""))"),"")</f>
        <v/>
      </c>
      <c r="AJ116" s="849" t="s">
        <v>123</v>
      </c>
      <c r="AK116" s="850" t="str">
        <f>IFERROR(__xludf.DUMMYFUNCTION("IF($CR116="""","""",IFERROR(GOOGLEFINANCE($CR116,""changepct"")/100,""-""))"),"")</f>
        <v/>
      </c>
      <c r="AL116" s="851" t="str">
        <f>IFERROR(__xludf.DUMMYFUNCTION("IF($CR116="""","""",IFERROR(($AD116/(QUERY(GOOGLEFINANCE($CR116,""price"",TODAY()-7),""SELECT Col2 label Col2 ''"")*$CU116)-1),""-""))"),"")</f>
        <v/>
      </c>
      <c r="AM116" s="851" t="str">
        <f>IFERROR(__xludf.DUMMYFUNCTION("IF($CR116="""","""",IFERROR(($AD116/(QUERY(GOOGLEFINANCE($CR116,""price"",TODAY()-14),""SELECT Col2 label Col2 ''"")*$CU116)-1),""-""))"),"")</f>
        <v/>
      </c>
      <c r="AN116" s="851" t="str">
        <f>IFERROR(__xludf.DUMMYFUNCTION("IF($CR116="""","""",IFERROR(($AD116/(QUERY(GOOGLEFINANCE($CR116,""price"",TODAY()-28),""SELECT Col2 label Col2 ''"")*$CU116)-1),""-""))"),"")</f>
        <v/>
      </c>
      <c r="AO116" s="851" t="str">
        <f>IFERROR(__xludf.DUMMYFUNCTION("IF($CR116="""","""",IFERROR(($AD116/(QUERY(GOOGLEFINANCE($CR116,""price"",TODAY()-$AQ$5),""SELECT Col2 label Col2 ''"")*$CU116)-1),""-""))"),"")</f>
        <v/>
      </c>
      <c r="AP116" s="852" t="str">
        <f>IFERROR(__xludf.DUMMYFUNCTION("IF($CR116="""","""",IFERROR(SPARKLINE(query(GOOGLEFINANCE($CR116,""price"",TODAY()-$AQ$5,TODAY(),1),""select Col2 label Col2 ''""),IF($AP$7=""Gráfico de barras"",{""charttype"",""column"";""highcolor"",""red""},{""chartype"",""line""}))))"),"")</f>
        <v/>
      </c>
      <c r="AQ116" s="144"/>
      <c r="AR116" s="853"/>
      <c r="AS116" s="854" t="str">
        <f>IF($CR116="","",IF(NOT('alocação'!$D$1),"off",IFERROR(VLOOKUP(CR116,BalanceAtivos,3,0),"NC")))</f>
        <v/>
      </c>
      <c r="AT116" s="855" t="str">
        <f>IF($CR116="","",IF(NOT('alocação'!$D$1),"off",IFERROR(VLOOKUP($CR116,BalanceAtivos,4,0)*$CU$5,"NC")))</f>
        <v/>
      </c>
      <c r="AU116" s="856" t="str">
        <f>IF($CR116="","",IF(NOT('alocação'!$D$1),"off",IFERROR(VLOOKUP($CR116,BalanceAtivos,5,0),"-")))</f>
        <v/>
      </c>
      <c r="AV116" s="856" t="str">
        <f>IF($CR116="","",IF(NOT('alocação'!$D$1),"off",IFERROR(VLOOKUP($CR116,BalanceAtivos,6,0),"-")))</f>
        <v/>
      </c>
      <c r="AW116" s="857"/>
      <c r="AX116" s="858" t="str">
        <f>IF($CR116="","",IF($E116="","SP",IFERROR(VLOOKUP($CR116,AtivosDados,MATCH("pm_atual",portfolio.!$A$3:CY$3,0),0)*$CU$5,0)))</f>
        <v/>
      </c>
      <c r="AY116" s="859" t="str">
        <f t="shared" si="2"/>
        <v/>
      </c>
      <c r="AZ116" s="858" t="str">
        <f>IF($CR116="","",IF($E116="","SP",SUMIF(portfolio.!$A$4:$A308,$CR116,portfolio.!$O$4:$O308)*$CU$5))</f>
        <v/>
      </c>
      <c r="BA116" s="858" t="str">
        <f>IF($CR116="","",IF($E116="","SP",SUMIF(portfolio.!$A$4:$A308,$CR116,portfolio.!$AN$4:$AN308)*$CU$5))</f>
        <v/>
      </c>
      <c r="BB116" s="860" t="str">
        <f>IF($CR116="","",IF($E116="","-",IFERROR($BA116/'portfólio'!$DG$63,"")))</f>
        <v/>
      </c>
      <c r="BC116" s="861" t="str">
        <f>IF($CR116="","",IF($E116="","-",SUMIF(portfolio.!$A$4:$A308,$CR116,portfolio.!$J$4:$J308)))</f>
        <v/>
      </c>
      <c r="BD116" s="862" t="str">
        <f>IF($CR116="","",IF($E116="","SP",SUMIF(portfolio.!$A$4:$A308,$CR116,portfolio.!$AQ$4:$AQ308)*$CU$5))</f>
        <v/>
      </c>
      <c r="BE116" s="850" t="str">
        <f t="shared" si="3"/>
        <v/>
      </c>
      <c r="BF116" s="862" t="str">
        <f>IF($CR116="","",IF($E116="","-",SUMIF(portfolio.!$A$4:$A308,$CR116,portfolio.!$AX$4:$AX308)*$CU$5))</f>
        <v/>
      </c>
      <c r="BG116" s="545"/>
      <c r="BH116" s="879" t="s">
        <v>123</v>
      </c>
      <c r="BI116" s="880" t="s">
        <v>123</v>
      </c>
      <c r="BJ116" s="863" t="str">
        <f>IFERROR(__xludf.DUMMYFUNCTION("IF(NOT($BL$4),"""",IF($CR116="""","""",IFERROR(query({GOOGLEFINANCE($CR116,""price"",IF($BI116=""-"",TODAY()-($AQ$5+5),$BI116),TODAY()-1)},""Select max(Col2) where Col1 is not null label max(Col2) ''"")*CU116,""-"")))"),"")</f>
        <v/>
      </c>
      <c r="BK116" s="881" t="s">
        <v>123</v>
      </c>
      <c r="BL116" s="882" t="s">
        <v>123</v>
      </c>
      <c r="BM116" s="442"/>
      <c r="BN116" s="867" t="str">
        <f>IFERROR(__xludf.DUMMYFUNCTION("IF(CR116="""","""",IF(OR(C116=""AÇÃO"",C116=""BDR""),IFERROR(QUERY({fundamentus.!$A$3:$U308},$CX$67&amp;"" where Col1='""&amp;CR116&amp;""' limit 1"",0)),IF(C116=""FII"",IFERROR(QUERY({fundsexplorer.!$A$2:$Z308},$CY$67&amp;"" where Col1='""&amp;CR116&amp;""' limit 1"",0)),""""))"&amp;")"),"")</f>
        <v/>
      </c>
      <c r="BO116" s="867"/>
      <c r="BP116" s="867"/>
      <c r="BQ116" s="867"/>
      <c r="BR116" s="867"/>
      <c r="BS116" s="867"/>
      <c r="BT116" s="867"/>
      <c r="BU116" s="442"/>
      <c r="BV116" s="868" t="str">
        <f>IFERROR(__xludf.DUMMYFUNCTION("IF(OR(C116=""AÇÃO"",C116=""BDR""),IFERROR(GOOGLEFINANCE(CONCAT(""BVMF:"",CR116), ""marketcap"")/1000000,""NC""),"""")"),"")</f>
        <v/>
      </c>
      <c r="BW116" s="869" t="s">
        <v>123</v>
      </c>
      <c r="BX116" s="870" t="s">
        <v>123</v>
      </c>
      <c r="BY116" s="868" t="s">
        <v>123</v>
      </c>
      <c r="BZ116" s="870" t="s">
        <v>123</v>
      </c>
      <c r="CA116" s="868" t="s">
        <v>123</v>
      </c>
      <c r="CB116" s="868" t="s">
        <v>123</v>
      </c>
      <c r="CC116" s="868" t="s">
        <v>123</v>
      </c>
      <c r="CD116" s="868" t="str">
        <f>IFERROR(__xludf.DUMMYFUNCTION("IF(OR(C116=""AÇÃO"",C116=""BDR""),IFERROR(GOOGLEFINANCE(CONCAT(""BVMF:"",CR116), ""volumeavg"")/1000000,""NC""),"""")"),"")</f>
        <v/>
      </c>
      <c r="CE116" s="870" t="s">
        <v>123</v>
      </c>
      <c r="CF116" s="870" t="s">
        <v>123</v>
      </c>
      <c r="CG116" s="870" t="str">
        <f>IFERROR(__xludf.DUMMYFUNCTION("IF(OR(C116=""AÇÃO"",C116=""BDR""),IF(CF116=0,""SEM DY"",IFERROR(ImportXML(CONCAT(""http://www.guiainvest.com.br/raiox/default.aspx?sigla="",$CR116),""//*[@id='lbPayoutAtual']""),""NC"")),"""")"),"")</f>
        <v/>
      </c>
      <c r="CH116" s="870" t="s">
        <v>123</v>
      </c>
      <c r="CI116" s="545"/>
      <c r="CJ116" s="871" t="str">
        <f>IFERROR(__xludf.DUMMYFUNCTION("IF(OR(C116=""AÇÃO"",C116=""BDR""),IFERROR(GOOGLEFINANCE(CONCAT(""BVMF:"",CR116), ""eps""),""NC""),"""")"),"")</f>
        <v/>
      </c>
      <c r="CK116" s="442"/>
      <c r="CL116" s="871" t="str">
        <f>IFERROR(__xludf.DUMMYFUNCTION("IF(NOT($BL$4),"""",IF($CR116="""","""",IF($BC116="""","""",IFERROR(query({op.normal!$B$5:$F308},""select Col5, toDate(Col2) where Col1 =  '""&amp;$CR116&amp;""' and Col4 &gt; 0 and ((Col3 is null) or (Col3 = 'C')) and Col2 &gt;= date '""&amp;TEXT(TODAY()-$AQ$5,""yyyy-mm-dd"&amp;""")&amp;""' order by Col2 desc limit 1 label toDate(Col2) ''"")))))"),"")</f>
        <v/>
      </c>
      <c r="CM116" s="872"/>
      <c r="CN116" s="883" t="s">
        <v>123</v>
      </c>
      <c r="CO116" s="874" t="s">
        <v>123</v>
      </c>
      <c r="CP116" s="766"/>
      <c r="CQ116" s="791"/>
      <c r="CR116" s="791"/>
      <c r="CT116" s="791" t="s">
        <v>123</v>
      </c>
      <c r="CU116" s="791" t="str">
        <f>IFERROR(__xludf.DUMMYFUNCTION("IF(CR116="""","""",IF(CT116=$C$4,1,GOOGLEFINANCE(CT116&amp;$C$4)))"),"")</f>
        <v/>
      </c>
    </row>
    <row r="117" ht="22.5" customHeight="1">
      <c r="A117" s="837">
        <v>109.0</v>
      </c>
      <c r="B117" s="838" t="s">
        <v>123</v>
      </c>
      <c r="C117" s="838" t="s">
        <v>123</v>
      </c>
      <c r="D117" s="839" t="s">
        <v>123</v>
      </c>
      <c r="E117" s="839" t="s">
        <v>123</v>
      </c>
      <c r="F117" s="839" t="s">
        <v>123</v>
      </c>
      <c r="H117" s="884"/>
      <c r="I117" s="838"/>
      <c r="J117" s="838"/>
      <c r="K117" s="838"/>
      <c r="L117" s="838"/>
      <c r="M117" s="838"/>
      <c r="N117" s="838"/>
      <c r="O117" s="838"/>
      <c r="P117" s="838"/>
      <c r="Q117" s="838"/>
      <c r="R117" s="838"/>
      <c r="S117" s="838"/>
      <c r="T117" s="838"/>
      <c r="U117" s="838"/>
      <c r="V117" s="838"/>
      <c r="W117" s="838"/>
      <c r="X117" s="838"/>
      <c r="Z117" s="875" t="str">
        <f>IFERROR(__xludf.DUMMYFUNCTION("IF($CR117="""","""",IFERROR(query({CarteirasAtivos},""select Col4 where Col4 is not null and Col1 = '""&amp;$CR117&amp;""' limit 1"")*CU117,""NC""))"),"")</f>
        <v/>
      </c>
      <c r="AA117" s="876" t="str">
        <f>IFERROR(__xludf.DUMMYFUNCTION("IF($CR117="""","""",IFERROR(query({CarteirasAtivos},""select Col6 where Col4 is not null and Col1 = '""&amp;$CR117&amp;""' limit 1""),""NC""))"),"")</f>
        <v/>
      </c>
      <c r="AB117" s="877"/>
      <c r="AC117" s="878" t="s">
        <v>123</v>
      </c>
      <c r="AD117" s="845" t="str">
        <f>IF($CR117="","",IFERROR(VLOOKUP($CR117,ativos.!$C$3:$R308,MATCH("cotacao",ativos.!$C$2:CY$2,0),FALSE)*$CU$5,"atualizar"))</f>
        <v/>
      </c>
      <c r="AE117" s="846" t="str">
        <f>IFERROR(__xludf.DUMMYFUNCTION("IF($CR117="""","""",IFERROR(AVERAGE(query({CarteirasAtivos;CarteirasAtivosEncerrados},""select Col5 where Col5 is not null and Col1 = '""&amp;$CR117&amp;""' and Col10='SIM'""))*CU117,""NC""))"),"")</f>
        <v/>
      </c>
      <c r="AF117" s="847" t="str">
        <f t="shared" si="1"/>
        <v/>
      </c>
      <c r="AG117" s="442"/>
      <c r="AH117" s="848" t="str">
        <f>IFERROR(__xludf.DUMMYFUNCTION("IF($CR117="""","""",IFERROR(GOOGLEFINANCE($CR117,""low52"")*CU117,""-""))"),"")</f>
        <v/>
      </c>
      <c r="AI117" s="848" t="str">
        <f>IFERROR(__xludf.DUMMYFUNCTION("IF($CR117="""","""",IFERROR(GOOGLEFINANCE($CR117,""high52"")*CU117,""-""))"),"")</f>
        <v/>
      </c>
      <c r="AJ117" s="849" t="s">
        <v>123</v>
      </c>
      <c r="AK117" s="850" t="str">
        <f>IFERROR(__xludf.DUMMYFUNCTION("IF($CR117="""","""",IFERROR(GOOGLEFINANCE($CR117,""changepct"")/100,""-""))"),"")</f>
        <v/>
      </c>
      <c r="AL117" s="851" t="str">
        <f>IFERROR(__xludf.DUMMYFUNCTION("IF($CR117="""","""",IFERROR(($AD117/(QUERY(GOOGLEFINANCE($CR117,""price"",TODAY()-7),""SELECT Col2 label Col2 ''"")*$CU117)-1),""-""))"),"")</f>
        <v/>
      </c>
      <c r="AM117" s="851" t="str">
        <f>IFERROR(__xludf.DUMMYFUNCTION("IF($CR117="""","""",IFERROR(($AD117/(QUERY(GOOGLEFINANCE($CR117,""price"",TODAY()-14),""SELECT Col2 label Col2 ''"")*$CU117)-1),""-""))"),"")</f>
        <v/>
      </c>
      <c r="AN117" s="851" t="str">
        <f>IFERROR(__xludf.DUMMYFUNCTION("IF($CR117="""","""",IFERROR(($AD117/(QUERY(GOOGLEFINANCE($CR117,""price"",TODAY()-28),""SELECT Col2 label Col2 ''"")*$CU117)-1),""-""))"),"")</f>
        <v/>
      </c>
      <c r="AO117" s="851" t="str">
        <f>IFERROR(__xludf.DUMMYFUNCTION("IF($CR117="""","""",IFERROR(($AD117/(QUERY(GOOGLEFINANCE($CR117,""price"",TODAY()-$AQ$5),""SELECT Col2 label Col2 ''"")*$CU117)-1),""-""))"),"")</f>
        <v/>
      </c>
      <c r="AP117" s="852" t="str">
        <f>IFERROR(__xludf.DUMMYFUNCTION("IF($CR117="""","""",IFERROR(SPARKLINE(query(GOOGLEFINANCE($CR117,""price"",TODAY()-$AQ$5,TODAY(),1),""select Col2 label Col2 ''""),IF($AP$7=""Gráfico de barras"",{""charttype"",""column"";""highcolor"",""red""},{""chartype"",""line""}))))"),"")</f>
        <v/>
      </c>
      <c r="AQ117" s="144"/>
      <c r="AR117" s="853"/>
      <c r="AS117" s="854" t="str">
        <f>IF($CR117="","",IF(NOT('alocação'!$D$1),"off",IFERROR(VLOOKUP(CR117,BalanceAtivos,3,0),"NC")))</f>
        <v/>
      </c>
      <c r="AT117" s="855" t="str">
        <f>IF($CR117="","",IF(NOT('alocação'!$D$1),"off",IFERROR(VLOOKUP($CR117,BalanceAtivos,4,0)*$CU$5,"NC")))</f>
        <v/>
      </c>
      <c r="AU117" s="856" t="str">
        <f>IF($CR117="","",IF(NOT('alocação'!$D$1),"off",IFERROR(VLOOKUP($CR117,BalanceAtivos,5,0),"-")))</f>
        <v/>
      </c>
      <c r="AV117" s="856" t="str">
        <f>IF($CR117="","",IF(NOT('alocação'!$D$1),"off",IFERROR(VLOOKUP($CR117,BalanceAtivos,6,0),"-")))</f>
        <v/>
      </c>
      <c r="AW117" s="857"/>
      <c r="AX117" s="858" t="str">
        <f>IF($CR117="","",IF($E117="","SP",IFERROR(VLOOKUP($CR117,AtivosDados,MATCH("pm_atual",portfolio.!$A$3:CY$3,0),0)*$CU$5,0)))</f>
        <v/>
      </c>
      <c r="AY117" s="859" t="str">
        <f t="shared" si="2"/>
        <v/>
      </c>
      <c r="AZ117" s="858" t="str">
        <f>IF($CR117="","",IF($E117="","SP",SUMIF(portfolio.!$A$4:$A308,$CR117,portfolio.!$O$4:$O308)*$CU$5))</f>
        <v/>
      </c>
      <c r="BA117" s="858" t="str">
        <f>IF($CR117="","",IF($E117="","SP",SUMIF(portfolio.!$A$4:$A308,$CR117,portfolio.!$AN$4:$AN308)*$CU$5))</f>
        <v/>
      </c>
      <c r="BB117" s="860" t="str">
        <f>IF($CR117="","",IF($E117="","-",IFERROR($BA117/'portfólio'!$DG$63,"")))</f>
        <v/>
      </c>
      <c r="BC117" s="861" t="str">
        <f>IF($CR117="","",IF($E117="","-",SUMIF(portfolio.!$A$4:$A308,$CR117,portfolio.!$J$4:$J308)))</f>
        <v/>
      </c>
      <c r="BD117" s="862" t="str">
        <f>IF($CR117="","",IF($E117="","SP",SUMIF(portfolio.!$A$4:$A308,$CR117,portfolio.!$AQ$4:$AQ308)*$CU$5))</f>
        <v/>
      </c>
      <c r="BE117" s="850" t="str">
        <f t="shared" si="3"/>
        <v/>
      </c>
      <c r="BF117" s="862" t="str">
        <f>IF($CR117="","",IF($E117="","-",SUMIF(portfolio.!$A$4:$A308,$CR117,portfolio.!$AX$4:$AX308)*$CU$5))</f>
        <v/>
      </c>
      <c r="BG117" s="545"/>
      <c r="BH117" s="879" t="s">
        <v>123</v>
      </c>
      <c r="BI117" s="880" t="s">
        <v>123</v>
      </c>
      <c r="BJ117" s="863" t="str">
        <f>IFERROR(__xludf.DUMMYFUNCTION("IF(NOT($BL$4),"""",IF($CR117="""","""",IFERROR(query({GOOGLEFINANCE($CR117,""price"",IF($BI117=""-"",TODAY()-($AQ$5+5),$BI117),TODAY()-1)},""Select max(Col2) where Col1 is not null label max(Col2) ''"")*CU117,""-"")))"),"")</f>
        <v/>
      </c>
      <c r="BK117" s="881" t="s">
        <v>123</v>
      </c>
      <c r="BL117" s="882" t="s">
        <v>123</v>
      </c>
      <c r="BM117" s="442"/>
      <c r="BN117" s="867" t="str">
        <f>IFERROR(__xludf.DUMMYFUNCTION("IF(CR117="""","""",IF(OR(C117=""AÇÃO"",C117=""BDR""),IFERROR(QUERY({fundamentus.!$A$3:$U308},$CX$67&amp;"" where Col1='""&amp;CR117&amp;""' limit 1"",0)),IF(C117=""FII"",IFERROR(QUERY({fundsexplorer.!$A$2:$Z308},$CY$67&amp;"" where Col1='""&amp;CR117&amp;""' limit 1"",0)),""""))"&amp;")"),"")</f>
        <v/>
      </c>
      <c r="BO117" s="867"/>
      <c r="BP117" s="867"/>
      <c r="BQ117" s="867"/>
      <c r="BR117" s="867"/>
      <c r="BS117" s="867"/>
      <c r="BT117" s="867"/>
      <c r="BU117" s="442"/>
      <c r="BV117" s="868" t="str">
        <f>IFERROR(__xludf.DUMMYFUNCTION("IF(OR(C117=""AÇÃO"",C117=""BDR""),IFERROR(GOOGLEFINANCE(CONCAT(""BVMF:"",CR117), ""marketcap"")/1000000,""NC""),"""")"),"")</f>
        <v/>
      </c>
      <c r="BW117" s="869" t="s">
        <v>123</v>
      </c>
      <c r="BX117" s="870" t="s">
        <v>123</v>
      </c>
      <c r="BY117" s="868" t="s">
        <v>123</v>
      </c>
      <c r="BZ117" s="870" t="s">
        <v>123</v>
      </c>
      <c r="CA117" s="868" t="s">
        <v>123</v>
      </c>
      <c r="CB117" s="868" t="s">
        <v>123</v>
      </c>
      <c r="CC117" s="868" t="s">
        <v>123</v>
      </c>
      <c r="CD117" s="868" t="str">
        <f>IFERROR(__xludf.DUMMYFUNCTION("IF(OR(C117=""AÇÃO"",C117=""BDR""),IFERROR(GOOGLEFINANCE(CONCAT(""BVMF:"",CR117), ""volumeavg"")/1000000,""NC""),"""")"),"")</f>
        <v/>
      </c>
      <c r="CE117" s="870" t="s">
        <v>123</v>
      </c>
      <c r="CF117" s="870" t="s">
        <v>123</v>
      </c>
      <c r="CG117" s="870" t="str">
        <f>IFERROR(__xludf.DUMMYFUNCTION("IF(OR(C117=""AÇÃO"",C117=""BDR""),IF(CF117=0,""SEM DY"",IFERROR(ImportXML(CONCAT(""http://www.guiainvest.com.br/raiox/default.aspx?sigla="",$CR117),""//*[@id='lbPayoutAtual']""),""NC"")),"""")"),"")</f>
        <v/>
      </c>
      <c r="CH117" s="870" t="s">
        <v>123</v>
      </c>
      <c r="CI117" s="545"/>
      <c r="CJ117" s="871" t="str">
        <f>IFERROR(__xludf.DUMMYFUNCTION("IF(OR(C117=""AÇÃO"",C117=""BDR""),IFERROR(GOOGLEFINANCE(CONCAT(""BVMF:"",CR117), ""eps""),""NC""),"""")"),"")</f>
        <v/>
      </c>
      <c r="CK117" s="442"/>
      <c r="CL117" s="871" t="str">
        <f>IFERROR(__xludf.DUMMYFUNCTION("IF(NOT($BL$4),"""",IF($CR117="""","""",IF($BC117="""","""",IFERROR(query({op.normal!$B$5:$F308},""select Col5, toDate(Col2) where Col1 =  '""&amp;$CR117&amp;""' and Col4 &gt; 0 and ((Col3 is null) or (Col3 = 'C')) and Col2 &gt;= date '""&amp;TEXT(TODAY()-$AQ$5,""yyyy-mm-dd"&amp;""")&amp;""' order by Col2 desc limit 1 label toDate(Col2) ''"")))))"),"")</f>
        <v/>
      </c>
      <c r="CM117" s="872"/>
      <c r="CN117" s="883" t="s">
        <v>123</v>
      </c>
      <c r="CO117" s="874" t="s">
        <v>123</v>
      </c>
      <c r="CP117" s="766"/>
      <c r="CQ117" s="791"/>
      <c r="CR117" s="791"/>
      <c r="CT117" s="791" t="s">
        <v>123</v>
      </c>
      <c r="CU117" s="791" t="str">
        <f>IFERROR(__xludf.DUMMYFUNCTION("IF(CR117="""","""",IF(CT117=$C$4,1,GOOGLEFINANCE(CT117&amp;$C$4)))"),"")</f>
        <v/>
      </c>
    </row>
    <row r="118" ht="22.5" customHeight="1">
      <c r="A118" s="837">
        <v>110.0</v>
      </c>
      <c r="B118" s="838" t="s">
        <v>123</v>
      </c>
      <c r="C118" s="838" t="s">
        <v>123</v>
      </c>
      <c r="D118" s="839" t="s">
        <v>123</v>
      </c>
      <c r="E118" s="839" t="s">
        <v>123</v>
      </c>
      <c r="F118" s="839" t="s">
        <v>123</v>
      </c>
      <c r="H118" s="884"/>
      <c r="I118" s="838"/>
      <c r="J118" s="838"/>
      <c r="K118" s="838"/>
      <c r="L118" s="838"/>
      <c r="M118" s="838"/>
      <c r="N118" s="838"/>
      <c r="O118" s="838"/>
      <c r="P118" s="838"/>
      <c r="Q118" s="838"/>
      <c r="R118" s="838"/>
      <c r="S118" s="838"/>
      <c r="T118" s="838"/>
      <c r="U118" s="838"/>
      <c r="V118" s="838"/>
      <c r="W118" s="838"/>
      <c r="X118" s="838"/>
      <c r="Z118" s="875" t="str">
        <f>IFERROR(__xludf.DUMMYFUNCTION("IF($CR118="""","""",IFERROR(query({CarteirasAtivos},""select Col4 where Col4 is not null and Col1 = '""&amp;$CR118&amp;""' limit 1"")*CU118,""NC""))"),"")</f>
        <v/>
      </c>
      <c r="AA118" s="876" t="str">
        <f>IFERROR(__xludf.DUMMYFUNCTION("IF($CR118="""","""",IFERROR(query({CarteirasAtivos},""select Col6 where Col4 is not null and Col1 = '""&amp;$CR118&amp;""' limit 1""),""NC""))"),"")</f>
        <v/>
      </c>
      <c r="AB118" s="877"/>
      <c r="AC118" s="878" t="s">
        <v>123</v>
      </c>
      <c r="AD118" s="845" t="str">
        <f>IF($CR118="","",IFERROR(VLOOKUP($CR118,ativos.!$C$3:$R308,MATCH("cotacao",ativos.!$C$2:CY$2,0),FALSE)*$CU$5,"atualizar"))</f>
        <v/>
      </c>
      <c r="AE118" s="846" t="str">
        <f>IFERROR(__xludf.DUMMYFUNCTION("IF($CR118="""","""",IFERROR(AVERAGE(query({CarteirasAtivos;CarteirasAtivosEncerrados},""select Col5 where Col5 is not null and Col1 = '""&amp;$CR118&amp;""' and Col10='SIM'""))*CU118,""NC""))"),"")</f>
        <v/>
      </c>
      <c r="AF118" s="847" t="str">
        <f t="shared" si="1"/>
        <v/>
      </c>
      <c r="AG118" s="442"/>
      <c r="AH118" s="848" t="str">
        <f>IFERROR(__xludf.DUMMYFUNCTION("IF($CR118="""","""",IFERROR(GOOGLEFINANCE($CR118,""low52"")*CU118,""-""))"),"")</f>
        <v/>
      </c>
      <c r="AI118" s="848" t="str">
        <f>IFERROR(__xludf.DUMMYFUNCTION("IF($CR118="""","""",IFERROR(GOOGLEFINANCE($CR118,""high52"")*CU118,""-""))"),"")</f>
        <v/>
      </c>
      <c r="AJ118" s="849" t="s">
        <v>123</v>
      </c>
      <c r="AK118" s="850" t="str">
        <f>IFERROR(__xludf.DUMMYFUNCTION("IF($CR118="""","""",IFERROR(GOOGLEFINANCE($CR118,""changepct"")/100,""-""))"),"")</f>
        <v/>
      </c>
      <c r="AL118" s="851" t="str">
        <f>IFERROR(__xludf.DUMMYFUNCTION("IF($CR118="""","""",IFERROR(($AD118/(QUERY(GOOGLEFINANCE($CR118,""price"",TODAY()-7),""SELECT Col2 label Col2 ''"")*$CU118)-1),""-""))"),"")</f>
        <v/>
      </c>
      <c r="AM118" s="851" t="str">
        <f>IFERROR(__xludf.DUMMYFUNCTION("IF($CR118="""","""",IFERROR(($AD118/(QUERY(GOOGLEFINANCE($CR118,""price"",TODAY()-14),""SELECT Col2 label Col2 ''"")*$CU118)-1),""-""))"),"")</f>
        <v/>
      </c>
      <c r="AN118" s="851" t="str">
        <f>IFERROR(__xludf.DUMMYFUNCTION("IF($CR118="""","""",IFERROR(($AD118/(QUERY(GOOGLEFINANCE($CR118,""price"",TODAY()-28),""SELECT Col2 label Col2 ''"")*$CU118)-1),""-""))"),"")</f>
        <v/>
      </c>
      <c r="AO118" s="851" t="str">
        <f>IFERROR(__xludf.DUMMYFUNCTION("IF($CR118="""","""",IFERROR(($AD118/(QUERY(GOOGLEFINANCE($CR118,""price"",TODAY()-$AQ$5),""SELECT Col2 label Col2 ''"")*$CU118)-1),""-""))"),"")</f>
        <v/>
      </c>
      <c r="AP118" s="852" t="str">
        <f>IFERROR(__xludf.DUMMYFUNCTION("IF($CR118="""","""",IFERROR(SPARKLINE(query(GOOGLEFINANCE($CR118,""price"",TODAY()-$AQ$5,TODAY(),1),""select Col2 label Col2 ''""),IF($AP$7=""Gráfico de barras"",{""charttype"",""column"";""highcolor"",""red""},{""chartype"",""line""}))))"),"")</f>
        <v/>
      </c>
      <c r="AQ118" s="144"/>
      <c r="AR118" s="853"/>
      <c r="AS118" s="854" t="str">
        <f>IF($CR118="","",IF(NOT('alocação'!$D$1),"off",IFERROR(VLOOKUP(CR118,BalanceAtivos,3,0),"NC")))</f>
        <v/>
      </c>
      <c r="AT118" s="855" t="str">
        <f>IF($CR118="","",IF(NOT('alocação'!$D$1),"off",IFERROR(VLOOKUP($CR118,BalanceAtivos,4,0)*$CU$5,"NC")))</f>
        <v/>
      </c>
      <c r="AU118" s="856" t="str">
        <f>IF($CR118="","",IF(NOT('alocação'!$D$1),"off",IFERROR(VLOOKUP($CR118,BalanceAtivos,5,0),"-")))</f>
        <v/>
      </c>
      <c r="AV118" s="856" t="str">
        <f>IF($CR118="","",IF(NOT('alocação'!$D$1),"off",IFERROR(VLOOKUP($CR118,BalanceAtivos,6,0),"-")))</f>
        <v/>
      </c>
      <c r="AW118" s="857"/>
      <c r="AX118" s="858" t="str">
        <f>IF($CR118="","",IF($E118="","SP",IFERROR(VLOOKUP($CR118,AtivosDados,MATCH("pm_atual",portfolio.!$A$3:CY$3,0),0)*$CU$5,0)))</f>
        <v/>
      </c>
      <c r="AY118" s="859" t="str">
        <f t="shared" si="2"/>
        <v/>
      </c>
      <c r="AZ118" s="858" t="str">
        <f>IF($CR118="","",IF($E118="","SP",SUMIF(portfolio.!$A$4:$A308,$CR118,portfolio.!$O$4:$O308)*$CU$5))</f>
        <v/>
      </c>
      <c r="BA118" s="858" t="str">
        <f>IF($CR118="","",IF($E118="","SP",SUMIF(portfolio.!$A$4:$A308,$CR118,portfolio.!$AN$4:$AN308)*$CU$5))</f>
        <v/>
      </c>
      <c r="BB118" s="860" t="str">
        <f>IF($CR118="","",IF($E118="","-",IFERROR($BA118/'portfólio'!$DG$63,"")))</f>
        <v/>
      </c>
      <c r="BC118" s="861" t="str">
        <f>IF($CR118="","",IF($E118="","-",SUMIF(portfolio.!$A$4:$A308,$CR118,portfolio.!$J$4:$J308)))</f>
        <v/>
      </c>
      <c r="BD118" s="862" t="str">
        <f>IF($CR118="","",IF($E118="","SP",SUMIF(portfolio.!$A$4:$A308,$CR118,portfolio.!$AQ$4:$AQ308)*$CU$5))</f>
        <v/>
      </c>
      <c r="BE118" s="850" t="str">
        <f t="shared" si="3"/>
        <v/>
      </c>
      <c r="BF118" s="862" t="str">
        <f>IF($CR118="","",IF($E118="","-",SUMIF(portfolio.!$A$4:$A308,$CR118,portfolio.!$AX$4:$AX308)*$CU$5))</f>
        <v/>
      </c>
      <c r="BG118" s="545"/>
      <c r="BH118" s="879" t="s">
        <v>123</v>
      </c>
      <c r="BI118" s="880" t="s">
        <v>123</v>
      </c>
      <c r="BJ118" s="863" t="str">
        <f>IFERROR(__xludf.DUMMYFUNCTION("IF(NOT($BL$4),"""",IF($CR118="""","""",IFERROR(query({GOOGLEFINANCE($CR118,""price"",IF($BI118=""-"",TODAY()-($AQ$5+5),$BI118),TODAY()-1)},""Select max(Col2) where Col1 is not null label max(Col2) ''"")*CU118,""-"")))"),"")</f>
        <v/>
      </c>
      <c r="BK118" s="881" t="s">
        <v>123</v>
      </c>
      <c r="BL118" s="882" t="s">
        <v>123</v>
      </c>
      <c r="BM118" s="442"/>
      <c r="BN118" s="867" t="str">
        <f>IFERROR(__xludf.DUMMYFUNCTION("IF(CR118="""","""",IF(OR(C118=""AÇÃO"",C118=""BDR""),IFERROR(QUERY({fundamentus.!$A$3:$U308},$CX$67&amp;"" where Col1='""&amp;CR118&amp;""' limit 1"",0)),IF(C118=""FII"",IFERROR(QUERY({fundsexplorer.!$A$2:$Z308},$CY$67&amp;"" where Col1='""&amp;CR118&amp;""' limit 1"",0)),""""))"&amp;")"),"")</f>
        <v/>
      </c>
      <c r="BO118" s="867"/>
      <c r="BP118" s="867"/>
      <c r="BQ118" s="867"/>
      <c r="BR118" s="867"/>
      <c r="BS118" s="867"/>
      <c r="BT118" s="867"/>
      <c r="BU118" s="442"/>
      <c r="BV118" s="868" t="str">
        <f>IFERROR(__xludf.DUMMYFUNCTION("IF(OR(C118=""AÇÃO"",C118=""BDR""),IFERROR(GOOGLEFINANCE(CONCAT(""BVMF:"",CR118), ""marketcap"")/1000000,""NC""),"""")"),"")</f>
        <v/>
      </c>
      <c r="BW118" s="869" t="s">
        <v>123</v>
      </c>
      <c r="BX118" s="870" t="s">
        <v>123</v>
      </c>
      <c r="BY118" s="868" t="s">
        <v>123</v>
      </c>
      <c r="BZ118" s="870" t="s">
        <v>123</v>
      </c>
      <c r="CA118" s="868" t="s">
        <v>123</v>
      </c>
      <c r="CB118" s="868" t="s">
        <v>123</v>
      </c>
      <c r="CC118" s="868" t="s">
        <v>123</v>
      </c>
      <c r="CD118" s="868" t="str">
        <f>IFERROR(__xludf.DUMMYFUNCTION("IF(OR(C118=""AÇÃO"",C118=""BDR""),IFERROR(GOOGLEFINANCE(CONCAT(""BVMF:"",CR118), ""volumeavg"")/1000000,""NC""),"""")"),"")</f>
        <v/>
      </c>
      <c r="CE118" s="870" t="s">
        <v>123</v>
      </c>
      <c r="CF118" s="870" t="s">
        <v>123</v>
      </c>
      <c r="CG118" s="870" t="str">
        <f>IFERROR(__xludf.DUMMYFUNCTION("IF(OR(C118=""AÇÃO"",C118=""BDR""),IF(CF118=0,""SEM DY"",IFERROR(ImportXML(CONCAT(""http://www.guiainvest.com.br/raiox/default.aspx?sigla="",$CR118),""//*[@id='lbPayoutAtual']""),""NC"")),"""")"),"")</f>
        <v/>
      </c>
      <c r="CH118" s="870" t="s">
        <v>123</v>
      </c>
      <c r="CI118" s="545"/>
      <c r="CJ118" s="871" t="str">
        <f>IFERROR(__xludf.DUMMYFUNCTION("IF(OR(C118=""AÇÃO"",C118=""BDR""),IFERROR(GOOGLEFINANCE(CONCAT(""BVMF:"",CR118), ""eps""),""NC""),"""")"),"")</f>
        <v/>
      </c>
      <c r="CK118" s="442"/>
      <c r="CL118" s="871" t="str">
        <f>IFERROR(__xludf.DUMMYFUNCTION("IF(NOT($BL$4),"""",IF($CR118="""","""",IF($BC118="""","""",IFERROR(query({op.normal!$B$5:$F308},""select Col5, toDate(Col2) where Col1 =  '""&amp;$CR118&amp;""' and Col4 &gt; 0 and ((Col3 is null) or (Col3 = 'C')) and Col2 &gt;= date '""&amp;TEXT(TODAY()-$AQ$5,""yyyy-mm-dd"&amp;""")&amp;""' order by Col2 desc limit 1 label toDate(Col2) ''"")))))"),"")</f>
        <v/>
      </c>
      <c r="CM118" s="872"/>
      <c r="CN118" s="883" t="s">
        <v>123</v>
      </c>
      <c r="CO118" s="874" t="s">
        <v>123</v>
      </c>
      <c r="CP118" s="766"/>
      <c r="CQ118" s="791"/>
      <c r="CR118" s="791"/>
      <c r="CT118" s="791" t="s">
        <v>123</v>
      </c>
      <c r="CU118" s="791" t="str">
        <f>IFERROR(__xludf.DUMMYFUNCTION("IF(CR118="""","""",IF(CT118=$C$4,1,GOOGLEFINANCE(CT118&amp;$C$4)))"),"")</f>
        <v/>
      </c>
    </row>
    <row r="119" ht="22.5" customHeight="1">
      <c r="A119" s="837">
        <v>111.0</v>
      </c>
      <c r="B119" s="838" t="s">
        <v>123</v>
      </c>
      <c r="C119" s="838" t="s">
        <v>123</v>
      </c>
      <c r="D119" s="839" t="s">
        <v>123</v>
      </c>
      <c r="E119" s="839" t="s">
        <v>123</v>
      </c>
      <c r="F119" s="839" t="s">
        <v>123</v>
      </c>
      <c r="H119" s="884"/>
      <c r="I119" s="838"/>
      <c r="J119" s="838"/>
      <c r="K119" s="838"/>
      <c r="L119" s="838"/>
      <c r="M119" s="838"/>
      <c r="N119" s="838"/>
      <c r="O119" s="838"/>
      <c r="P119" s="838"/>
      <c r="Q119" s="838"/>
      <c r="R119" s="838"/>
      <c r="S119" s="838"/>
      <c r="T119" s="838"/>
      <c r="U119" s="838"/>
      <c r="V119" s="838"/>
      <c r="W119" s="838"/>
      <c r="X119" s="838"/>
      <c r="Z119" s="875" t="str">
        <f>IFERROR(__xludf.DUMMYFUNCTION("IF($CR119="""","""",IFERROR(query({CarteirasAtivos},""select Col4 where Col4 is not null and Col1 = '""&amp;$CR119&amp;""' limit 1"")*CU119,""NC""))"),"")</f>
        <v/>
      </c>
      <c r="AA119" s="876" t="str">
        <f>IFERROR(__xludf.DUMMYFUNCTION("IF($CR119="""","""",IFERROR(query({CarteirasAtivos},""select Col6 where Col4 is not null and Col1 = '""&amp;$CR119&amp;""' limit 1""),""NC""))"),"")</f>
        <v/>
      </c>
      <c r="AB119" s="877"/>
      <c r="AC119" s="878" t="s">
        <v>123</v>
      </c>
      <c r="AD119" s="845" t="str">
        <f>IF($CR119="","",IFERROR(VLOOKUP($CR119,ativos.!$C$3:$R308,MATCH("cotacao",ativos.!$C$2:CY$2,0),FALSE)*$CU$5,"atualizar"))</f>
        <v/>
      </c>
      <c r="AE119" s="846" t="str">
        <f>IFERROR(__xludf.DUMMYFUNCTION("IF($CR119="""","""",IFERROR(AVERAGE(query({CarteirasAtivos;CarteirasAtivosEncerrados},""select Col5 where Col5 is not null and Col1 = '""&amp;$CR119&amp;""' and Col10='SIM'""))*CU119,""NC""))"),"")</f>
        <v/>
      </c>
      <c r="AF119" s="847" t="str">
        <f t="shared" si="1"/>
        <v/>
      </c>
      <c r="AG119" s="442"/>
      <c r="AH119" s="848" t="str">
        <f>IFERROR(__xludf.DUMMYFUNCTION("IF($CR119="""","""",IFERROR(GOOGLEFINANCE($CR119,""low52"")*CU119,""-""))"),"")</f>
        <v/>
      </c>
      <c r="AI119" s="848" t="str">
        <f>IFERROR(__xludf.DUMMYFUNCTION("IF($CR119="""","""",IFERROR(GOOGLEFINANCE($CR119,""high52"")*CU119,""-""))"),"")</f>
        <v/>
      </c>
      <c r="AJ119" s="849" t="s">
        <v>123</v>
      </c>
      <c r="AK119" s="850" t="str">
        <f>IFERROR(__xludf.DUMMYFUNCTION("IF($CR119="""","""",IFERROR(GOOGLEFINANCE($CR119,""changepct"")/100,""-""))"),"")</f>
        <v/>
      </c>
      <c r="AL119" s="851" t="str">
        <f>IFERROR(__xludf.DUMMYFUNCTION("IF($CR119="""","""",IFERROR(($AD119/(QUERY(GOOGLEFINANCE($CR119,""price"",TODAY()-7),""SELECT Col2 label Col2 ''"")*$CU119)-1),""-""))"),"")</f>
        <v/>
      </c>
      <c r="AM119" s="851" t="str">
        <f>IFERROR(__xludf.DUMMYFUNCTION("IF($CR119="""","""",IFERROR(($AD119/(QUERY(GOOGLEFINANCE($CR119,""price"",TODAY()-14),""SELECT Col2 label Col2 ''"")*$CU119)-1),""-""))"),"")</f>
        <v/>
      </c>
      <c r="AN119" s="851" t="str">
        <f>IFERROR(__xludf.DUMMYFUNCTION("IF($CR119="""","""",IFERROR(($AD119/(QUERY(GOOGLEFINANCE($CR119,""price"",TODAY()-28),""SELECT Col2 label Col2 ''"")*$CU119)-1),""-""))"),"")</f>
        <v/>
      </c>
      <c r="AO119" s="851" t="str">
        <f>IFERROR(__xludf.DUMMYFUNCTION("IF($CR119="""","""",IFERROR(($AD119/(QUERY(GOOGLEFINANCE($CR119,""price"",TODAY()-$AQ$5),""SELECT Col2 label Col2 ''"")*$CU119)-1),""-""))"),"")</f>
        <v/>
      </c>
      <c r="AP119" s="852" t="str">
        <f>IFERROR(__xludf.DUMMYFUNCTION("IF($CR119="""","""",IFERROR(SPARKLINE(query(GOOGLEFINANCE($CR119,""price"",TODAY()-$AQ$5,TODAY(),1),""select Col2 label Col2 ''""),IF($AP$7=""Gráfico de barras"",{""charttype"",""column"";""highcolor"",""red""},{""chartype"",""line""}))))"),"")</f>
        <v/>
      </c>
      <c r="AQ119" s="144"/>
      <c r="AR119" s="853"/>
      <c r="AS119" s="854" t="str">
        <f>IF($CR119="","",IF(NOT('alocação'!$D$1),"off",IFERROR(VLOOKUP(CR119,BalanceAtivos,3,0),"NC")))</f>
        <v/>
      </c>
      <c r="AT119" s="855" t="str">
        <f>IF($CR119="","",IF(NOT('alocação'!$D$1),"off",IFERROR(VLOOKUP($CR119,BalanceAtivos,4,0)*$CU$5,"NC")))</f>
        <v/>
      </c>
      <c r="AU119" s="856" t="str">
        <f>IF($CR119="","",IF(NOT('alocação'!$D$1),"off",IFERROR(VLOOKUP($CR119,BalanceAtivos,5,0),"-")))</f>
        <v/>
      </c>
      <c r="AV119" s="856" t="str">
        <f>IF($CR119="","",IF(NOT('alocação'!$D$1),"off",IFERROR(VLOOKUP($CR119,BalanceAtivos,6,0),"-")))</f>
        <v/>
      </c>
      <c r="AW119" s="857"/>
      <c r="AX119" s="858" t="str">
        <f>IF($CR119="","",IF($E119="","SP",IFERROR(VLOOKUP($CR119,AtivosDados,MATCH("pm_atual",portfolio.!$A$3:CY$3,0),0)*$CU$5,0)))</f>
        <v/>
      </c>
      <c r="AY119" s="859" t="str">
        <f t="shared" si="2"/>
        <v/>
      </c>
      <c r="AZ119" s="858" t="str">
        <f>IF($CR119="","",IF($E119="","SP",SUMIF(portfolio.!$A$4:$A308,$CR119,portfolio.!$O$4:$O308)*$CU$5))</f>
        <v/>
      </c>
      <c r="BA119" s="858" t="str">
        <f>IF($CR119="","",IF($E119="","SP",SUMIF(portfolio.!$A$4:$A308,$CR119,portfolio.!$AN$4:$AN308)*$CU$5))</f>
        <v/>
      </c>
      <c r="BB119" s="860" t="str">
        <f>IF($CR119="","",IF($E119="","-",IFERROR($BA119/'portfólio'!$DG$63,"")))</f>
        <v/>
      </c>
      <c r="BC119" s="861" t="str">
        <f>IF($CR119="","",IF($E119="","-",SUMIF(portfolio.!$A$4:$A308,$CR119,portfolio.!$J$4:$J308)))</f>
        <v/>
      </c>
      <c r="BD119" s="862" t="str">
        <f>IF($CR119="","",IF($E119="","SP",SUMIF(portfolio.!$A$4:$A308,$CR119,portfolio.!$AQ$4:$AQ308)*$CU$5))</f>
        <v/>
      </c>
      <c r="BE119" s="850" t="str">
        <f t="shared" si="3"/>
        <v/>
      </c>
      <c r="BF119" s="862" t="str">
        <f>IF($CR119="","",IF($E119="","-",SUMIF(portfolio.!$A$4:$A308,$CR119,portfolio.!$AX$4:$AX308)*$CU$5))</f>
        <v/>
      </c>
      <c r="BG119" s="545"/>
      <c r="BH119" s="879" t="s">
        <v>123</v>
      </c>
      <c r="BI119" s="880" t="s">
        <v>123</v>
      </c>
      <c r="BJ119" s="863" t="str">
        <f>IFERROR(__xludf.DUMMYFUNCTION("IF(NOT($BL$4),"""",IF($CR119="""","""",IFERROR(query({GOOGLEFINANCE($CR119,""price"",IF($BI119=""-"",TODAY()-($AQ$5+5),$BI119),TODAY()-1)},""Select max(Col2) where Col1 is not null label max(Col2) ''"")*CU119,""-"")))"),"")</f>
        <v/>
      </c>
      <c r="BK119" s="881" t="s">
        <v>123</v>
      </c>
      <c r="BL119" s="882" t="s">
        <v>123</v>
      </c>
      <c r="BM119" s="442"/>
      <c r="BN119" s="867" t="str">
        <f>IFERROR(__xludf.DUMMYFUNCTION("IF(CR119="""","""",IF(OR(C119=""AÇÃO"",C119=""BDR""),IFERROR(QUERY({fundamentus.!$A$3:$U308},$CX$67&amp;"" where Col1='""&amp;CR119&amp;""' limit 1"",0)),IF(C119=""FII"",IFERROR(QUERY({fundsexplorer.!$A$2:$Z308},$CY$67&amp;"" where Col1='""&amp;CR119&amp;""' limit 1"",0)),""""))"&amp;")"),"")</f>
        <v/>
      </c>
      <c r="BO119" s="867"/>
      <c r="BP119" s="867"/>
      <c r="BQ119" s="867"/>
      <c r="BR119" s="867"/>
      <c r="BS119" s="867"/>
      <c r="BT119" s="867"/>
      <c r="BU119" s="442"/>
      <c r="BV119" s="868" t="str">
        <f>IFERROR(__xludf.DUMMYFUNCTION("IF(OR(C119=""AÇÃO"",C119=""BDR""),IFERROR(GOOGLEFINANCE(CONCAT(""BVMF:"",CR119), ""marketcap"")/1000000,""NC""),"""")"),"")</f>
        <v/>
      </c>
      <c r="BW119" s="869" t="s">
        <v>123</v>
      </c>
      <c r="BX119" s="870" t="s">
        <v>123</v>
      </c>
      <c r="BY119" s="868" t="s">
        <v>123</v>
      </c>
      <c r="BZ119" s="870" t="s">
        <v>123</v>
      </c>
      <c r="CA119" s="868" t="s">
        <v>123</v>
      </c>
      <c r="CB119" s="868" t="s">
        <v>123</v>
      </c>
      <c r="CC119" s="868" t="s">
        <v>123</v>
      </c>
      <c r="CD119" s="868" t="str">
        <f>IFERROR(__xludf.DUMMYFUNCTION("IF(OR(C119=""AÇÃO"",C119=""BDR""),IFERROR(GOOGLEFINANCE(CONCAT(""BVMF:"",CR119), ""volumeavg"")/1000000,""NC""),"""")"),"")</f>
        <v/>
      </c>
      <c r="CE119" s="870" t="s">
        <v>123</v>
      </c>
      <c r="CF119" s="870" t="s">
        <v>123</v>
      </c>
      <c r="CG119" s="870" t="str">
        <f>IFERROR(__xludf.DUMMYFUNCTION("IF(OR(C119=""AÇÃO"",C119=""BDR""),IF(CF119=0,""SEM DY"",IFERROR(ImportXML(CONCAT(""http://www.guiainvest.com.br/raiox/default.aspx?sigla="",$CR119),""//*[@id='lbPayoutAtual']""),""NC"")),"""")"),"")</f>
        <v/>
      </c>
      <c r="CH119" s="870" t="s">
        <v>123</v>
      </c>
      <c r="CI119" s="545"/>
      <c r="CJ119" s="871" t="str">
        <f>IFERROR(__xludf.DUMMYFUNCTION("IF(OR(C119=""AÇÃO"",C119=""BDR""),IFERROR(GOOGLEFINANCE(CONCAT(""BVMF:"",CR119), ""eps""),""NC""),"""")"),"")</f>
        <v/>
      </c>
      <c r="CK119" s="442"/>
      <c r="CL119" s="871" t="str">
        <f>IFERROR(__xludf.DUMMYFUNCTION("IF(NOT($BL$4),"""",IF($CR119="""","""",IF($BC119="""","""",IFERROR(query({op.normal!$B$5:$F308},""select Col5, toDate(Col2) where Col1 =  '""&amp;$CR119&amp;""' and Col4 &gt; 0 and ((Col3 is null) or (Col3 = 'C')) and Col2 &gt;= date '""&amp;TEXT(TODAY()-$AQ$5,""yyyy-mm-dd"&amp;""")&amp;""' order by Col2 desc limit 1 label toDate(Col2) ''"")))))"),"")</f>
        <v/>
      </c>
      <c r="CM119" s="872"/>
      <c r="CN119" s="883" t="s">
        <v>123</v>
      </c>
      <c r="CO119" s="874" t="s">
        <v>123</v>
      </c>
      <c r="CP119" s="766"/>
      <c r="CQ119" s="791"/>
      <c r="CR119" s="791"/>
      <c r="CT119" s="791" t="s">
        <v>123</v>
      </c>
      <c r="CU119" s="791" t="str">
        <f>IFERROR(__xludf.DUMMYFUNCTION("IF(CR119="""","""",IF(CT119=$C$4,1,GOOGLEFINANCE(CT119&amp;$C$4)))"),"")</f>
        <v/>
      </c>
    </row>
    <row r="120" ht="22.5" customHeight="1">
      <c r="A120" s="837">
        <v>112.0</v>
      </c>
      <c r="B120" s="838" t="s">
        <v>123</v>
      </c>
      <c r="C120" s="838" t="s">
        <v>123</v>
      </c>
      <c r="D120" s="839" t="s">
        <v>123</v>
      </c>
      <c r="E120" s="839" t="s">
        <v>123</v>
      </c>
      <c r="F120" s="839" t="s">
        <v>123</v>
      </c>
      <c r="H120" s="884"/>
      <c r="I120" s="838"/>
      <c r="J120" s="838"/>
      <c r="K120" s="838"/>
      <c r="L120" s="838"/>
      <c r="M120" s="838"/>
      <c r="N120" s="838"/>
      <c r="O120" s="838"/>
      <c r="P120" s="838"/>
      <c r="Q120" s="838"/>
      <c r="R120" s="838"/>
      <c r="S120" s="838"/>
      <c r="T120" s="838"/>
      <c r="U120" s="838"/>
      <c r="V120" s="838"/>
      <c r="W120" s="838"/>
      <c r="X120" s="838"/>
      <c r="Z120" s="875" t="str">
        <f>IFERROR(__xludf.DUMMYFUNCTION("IF($CR120="""","""",IFERROR(query({CarteirasAtivos},""select Col4 where Col4 is not null and Col1 = '""&amp;$CR120&amp;""' limit 1"")*CU120,""NC""))"),"")</f>
        <v/>
      </c>
      <c r="AA120" s="876" t="str">
        <f>IFERROR(__xludf.DUMMYFUNCTION("IF($CR120="""","""",IFERROR(query({CarteirasAtivos},""select Col6 where Col4 is not null and Col1 = '""&amp;$CR120&amp;""' limit 1""),""NC""))"),"")</f>
        <v/>
      </c>
      <c r="AB120" s="877"/>
      <c r="AC120" s="878" t="s">
        <v>123</v>
      </c>
      <c r="AD120" s="845" t="str">
        <f>IF($CR120="","",IFERROR(VLOOKUP($CR120,ativos.!$C$3:$R308,MATCH("cotacao",ativos.!$C$2:CY$2,0),FALSE)*$CU$5,"atualizar"))</f>
        <v/>
      </c>
      <c r="AE120" s="846" t="str">
        <f>IFERROR(__xludf.DUMMYFUNCTION("IF($CR120="""","""",IFERROR(AVERAGE(query({CarteirasAtivos;CarteirasAtivosEncerrados},""select Col5 where Col5 is not null and Col1 = '""&amp;$CR120&amp;""' and Col10='SIM'""))*CU120,""NC""))"),"")</f>
        <v/>
      </c>
      <c r="AF120" s="847" t="str">
        <f t="shared" si="1"/>
        <v/>
      </c>
      <c r="AG120" s="442"/>
      <c r="AH120" s="848" t="str">
        <f>IFERROR(__xludf.DUMMYFUNCTION("IF($CR120="""","""",IFERROR(GOOGLEFINANCE($CR120,""low52"")*CU120,""-""))"),"")</f>
        <v/>
      </c>
      <c r="AI120" s="848" t="str">
        <f>IFERROR(__xludf.DUMMYFUNCTION("IF($CR120="""","""",IFERROR(GOOGLEFINANCE($CR120,""high52"")*CU120,""-""))"),"")</f>
        <v/>
      </c>
      <c r="AJ120" s="849" t="s">
        <v>123</v>
      </c>
      <c r="AK120" s="850" t="str">
        <f>IFERROR(__xludf.DUMMYFUNCTION("IF($CR120="""","""",IFERROR(GOOGLEFINANCE($CR120,""changepct"")/100,""-""))"),"")</f>
        <v/>
      </c>
      <c r="AL120" s="851" t="str">
        <f>IFERROR(__xludf.DUMMYFUNCTION("IF($CR120="""","""",IFERROR(($AD120/(QUERY(GOOGLEFINANCE($CR120,""price"",TODAY()-7),""SELECT Col2 label Col2 ''"")*$CU120)-1),""-""))"),"")</f>
        <v/>
      </c>
      <c r="AM120" s="851" t="str">
        <f>IFERROR(__xludf.DUMMYFUNCTION("IF($CR120="""","""",IFERROR(($AD120/(QUERY(GOOGLEFINANCE($CR120,""price"",TODAY()-14),""SELECT Col2 label Col2 ''"")*$CU120)-1),""-""))"),"")</f>
        <v/>
      </c>
      <c r="AN120" s="851" t="str">
        <f>IFERROR(__xludf.DUMMYFUNCTION("IF($CR120="""","""",IFERROR(($AD120/(QUERY(GOOGLEFINANCE($CR120,""price"",TODAY()-28),""SELECT Col2 label Col2 ''"")*$CU120)-1),""-""))"),"")</f>
        <v/>
      </c>
      <c r="AO120" s="851" t="str">
        <f>IFERROR(__xludf.DUMMYFUNCTION("IF($CR120="""","""",IFERROR(($AD120/(QUERY(GOOGLEFINANCE($CR120,""price"",TODAY()-$AQ$5),""SELECT Col2 label Col2 ''"")*$CU120)-1),""-""))"),"")</f>
        <v/>
      </c>
      <c r="AP120" s="852" t="str">
        <f>IFERROR(__xludf.DUMMYFUNCTION("IF($CR120="""","""",IFERROR(SPARKLINE(query(GOOGLEFINANCE($CR120,""price"",TODAY()-$AQ$5,TODAY(),1),""select Col2 label Col2 ''""),IF($AP$7=""Gráfico de barras"",{""charttype"",""column"";""highcolor"",""red""},{""chartype"",""line""}))))"),"")</f>
        <v/>
      </c>
      <c r="AQ120" s="144"/>
      <c r="AR120" s="853"/>
      <c r="AS120" s="854" t="str">
        <f>IF($CR120="","",IF(NOT('alocação'!$D$1),"off",IFERROR(VLOOKUP(CR120,BalanceAtivos,3,0),"NC")))</f>
        <v/>
      </c>
      <c r="AT120" s="855" t="str">
        <f>IF($CR120="","",IF(NOT('alocação'!$D$1),"off",IFERROR(VLOOKUP($CR120,BalanceAtivos,4,0)*$CU$5,"NC")))</f>
        <v/>
      </c>
      <c r="AU120" s="856" t="str">
        <f>IF($CR120="","",IF(NOT('alocação'!$D$1),"off",IFERROR(VLOOKUP($CR120,BalanceAtivos,5,0),"-")))</f>
        <v/>
      </c>
      <c r="AV120" s="856" t="str">
        <f>IF($CR120="","",IF(NOT('alocação'!$D$1),"off",IFERROR(VLOOKUP($CR120,BalanceAtivos,6,0),"-")))</f>
        <v/>
      </c>
      <c r="AW120" s="857"/>
      <c r="AX120" s="858" t="str">
        <f>IF($CR120="","",IF($E120="","SP",IFERROR(VLOOKUP($CR120,AtivosDados,MATCH("pm_atual",portfolio.!$A$3:CY$3,0),0)*$CU$5,0)))</f>
        <v/>
      </c>
      <c r="AY120" s="859" t="str">
        <f t="shared" si="2"/>
        <v/>
      </c>
      <c r="AZ120" s="858" t="str">
        <f>IF($CR120="","",IF($E120="","SP",SUMIF(portfolio.!$A$4:$A308,$CR120,portfolio.!$O$4:$O308)*$CU$5))</f>
        <v/>
      </c>
      <c r="BA120" s="858" t="str">
        <f>IF($CR120="","",IF($E120="","SP",SUMIF(portfolio.!$A$4:$A308,$CR120,portfolio.!$AN$4:$AN308)*$CU$5))</f>
        <v/>
      </c>
      <c r="BB120" s="860" t="str">
        <f>IF($CR120="","",IF($E120="","-",IFERROR($BA120/'portfólio'!$DG$63,"")))</f>
        <v/>
      </c>
      <c r="BC120" s="861" t="str">
        <f>IF($CR120="","",IF($E120="","-",SUMIF(portfolio.!$A$4:$A308,$CR120,portfolio.!$J$4:$J308)))</f>
        <v/>
      </c>
      <c r="BD120" s="862" t="str">
        <f>IF($CR120="","",IF($E120="","SP",SUMIF(portfolio.!$A$4:$A308,$CR120,portfolio.!$AQ$4:$AQ308)*$CU$5))</f>
        <v/>
      </c>
      <c r="BE120" s="850" t="str">
        <f t="shared" si="3"/>
        <v/>
      </c>
      <c r="BF120" s="862" t="str">
        <f>IF($CR120="","",IF($E120="","-",SUMIF(portfolio.!$A$4:$A308,$CR120,portfolio.!$AX$4:$AX308)*$CU$5))</f>
        <v/>
      </c>
      <c r="BG120" s="545"/>
      <c r="BH120" s="879" t="s">
        <v>123</v>
      </c>
      <c r="BI120" s="880" t="s">
        <v>123</v>
      </c>
      <c r="BJ120" s="863" t="str">
        <f>IFERROR(__xludf.DUMMYFUNCTION("IF(NOT($BL$4),"""",IF($CR120="""","""",IFERROR(query({GOOGLEFINANCE($CR120,""price"",IF($BI120=""-"",TODAY()-($AQ$5+5),$BI120),TODAY()-1)},""Select max(Col2) where Col1 is not null label max(Col2) ''"")*CU120,""-"")))"),"")</f>
        <v/>
      </c>
      <c r="BK120" s="881" t="s">
        <v>123</v>
      </c>
      <c r="BL120" s="882" t="s">
        <v>123</v>
      </c>
      <c r="BM120" s="442"/>
      <c r="BN120" s="867" t="str">
        <f>IFERROR(__xludf.DUMMYFUNCTION("IF(CR120="""","""",IF(OR(C120=""AÇÃO"",C120=""BDR""),IFERROR(QUERY({fundamentus.!$A$3:$U308},$CX$67&amp;"" where Col1='""&amp;CR120&amp;""' limit 1"",0)),IF(C120=""FII"",IFERROR(QUERY({fundsexplorer.!$A$2:$Z308},$CY$67&amp;"" where Col1='""&amp;CR120&amp;""' limit 1"",0)),""""))"&amp;")"),"")</f>
        <v/>
      </c>
      <c r="BO120" s="867"/>
      <c r="BP120" s="867"/>
      <c r="BQ120" s="867"/>
      <c r="BR120" s="867"/>
      <c r="BS120" s="867"/>
      <c r="BT120" s="867"/>
      <c r="BU120" s="442"/>
      <c r="BV120" s="868" t="str">
        <f>IFERROR(__xludf.DUMMYFUNCTION("IF(OR(C120=""AÇÃO"",C120=""BDR""),IFERROR(GOOGLEFINANCE(CONCAT(""BVMF:"",CR120), ""marketcap"")/1000000,""NC""),"""")"),"")</f>
        <v/>
      </c>
      <c r="BW120" s="869" t="s">
        <v>123</v>
      </c>
      <c r="BX120" s="870" t="s">
        <v>123</v>
      </c>
      <c r="BY120" s="868" t="s">
        <v>123</v>
      </c>
      <c r="BZ120" s="870" t="s">
        <v>123</v>
      </c>
      <c r="CA120" s="868" t="s">
        <v>123</v>
      </c>
      <c r="CB120" s="868" t="s">
        <v>123</v>
      </c>
      <c r="CC120" s="868" t="s">
        <v>123</v>
      </c>
      <c r="CD120" s="868" t="str">
        <f>IFERROR(__xludf.DUMMYFUNCTION("IF(OR(C120=""AÇÃO"",C120=""BDR""),IFERROR(GOOGLEFINANCE(CONCAT(""BVMF:"",CR120), ""volumeavg"")/1000000,""NC""),"""")"),"")</f>
        <v/>
      </c>
      <c r="CE120" s="870" t="s">
        <v>123</v>
      </c>
      <c r="CF120" s="870" t="s">
        <v>123</v>
      </c>
      <c r="CG120" s="870" t="str">
        <f>IFERROR(__xludf.DUMMYFUNCTION("IF(OR(C120=""AÇÃO"",C120=""BDR""),IF(CF120=0,""SEM DY"",IFERROR(ImportXML(CONCAT(""http://www.guiainvest.com.br/raiox/default.aspx?sigla="",$CR120),""//*[@id='lbPayoutAtual']""),""NC"")),"""")"),"")</f>
        <v/>
      </c>
      <c r="CH120" s="870" t="s">
        <v>123</v>
      </c>
      <c r="CI120" s="545"/>
      <c r="CJ120" s="871" t="str">
        <f>IFERROR(__xludf.DUMMYFUNCTION("IF(OR(C120=""AÇÃO"",C120=""BDR""),IFERROR(GOOGLEFINANCE(CONCAT(""BVMF:"",CR120), ""eps""),""NC""),"""")"),"")</f>
        <v/>
      </c>
      <c r="CK120" s="442"/>
      <c r="CL120" s="871" t="str">
        <f>IFERROR(__xludf.DUMMYFUNCTION("IF(NOT($BL$4),"""",IF($CR120="""","""",IF($BC120="""","""",IFERROR(query({op.normal!$B$5:$F308},""select Col5, toDate(Col2) where Col1 =  '""&amp;$CR120&amp;""' and Col4 &gt; 0 and ((Col3 is null) or (Col3 = 'C')) and Col2 &gt;= date '""&amp;TEXT(TODAY()-$AQ$5,""yyyy-mm-dd"&amp;""")&amp;""' order by Col2 desc limit 1 label toDate(Col2) ''"")))))"),"")</f>
        <v/>
      </c>
      <c r="CM120" s="872"/>
      <c r="CN120" s="883" t="s">
        <v>123</v>
      </c>
      <c r="CO120" s="874" t="s">
        <v>123</v>
      </c>
      <c r="CP120" s="766"/>
      <c r="CQ120" s="791"/>
      <c r="CR120" s="791"/>
      <c r="CT120" s="791" t="s">
        <v>123</v>
      </c>
      <c r="CU120" s="791" t="str">
        <f>IFERROR(__xludf.DUMMYFUNCTION("IF(CR120="""","""",IF(CT120=$C$4,1,GOOGLEFINANCE(CT120&amp;$C$4)))"),"")</f>
        <v/>
      </c>
    </row>
    <row r="121" ht="22.5" customHeight="1">
      <c r="A121" s="837">
        <v>113.0</v>
      </c>
      <c r="B121" s="838" t="s">
        <v>123</v>
      </c>
      <c r="C121" s="838" t="s">
        <v>123</v>
      </c>
      <c r="D121" s="839" t="s">
        <v>123</v>
      </c>
      <c r="E121" s="839" t="s">
        <v>123</v>
      </c>
      <c r="F121" s="839" t="s">
        <v>123</v>
      </c>
      <c r="H121" s="884"/>
      <c r="I121" s="838"/>
      <c r="J121" s="838"/>
      <c r="K121" s="838"/>
      <c r="L121" s="838"/>
      <c r="M121" s="838"/>
      <c r="N121" s="838"/>
      <c r="O121" s="838"/>
      <c r="P121" s="838"/>
      <c r="Q121" s="838"/>
      <c r="R121" s="838"/>
      <c r="S121" s="838"/>
      <c r="T121" s="838"/>
      <c r="U121" s="838"/>
      <c r="V121" s="838"/>
      <c r="W121" s="838"/>
      <c r="X121" s="838"/>
      <c r="Z121" s="875" t="str">
        <f>IFERROR(__xludf.DUMMYFUNCTION("IF($CR121="""","""",IFERROR(query({CarteirasAtivos},""select Col4 where Col4 is not null and Col1 = '""&amp;$CR121&amp;""' limit 1"")*CU121,""NC""))"),"")</f>
        <v/>
      </c>
      <c r="AA121" s="876" t="str">
        <f>IFERROR(__xludf.DUMMYFUNCTION("IF($CR121="""","""",IFERROR(query({CarteirasAtivos},""select Col6 where Col4 is not null and Col1 = '""&amp;$CR121&amp;""' limit 1""),""NC""))"),"")</f>
        <v/>
      </c>
      <c r="AB121" s="877"/>
      <c r="AC121" s="878" t="s">
        <v>123</v>
      </c>
      <c r="AD121" s="845" t="str">
        <f>IF($CR121="","",IFERROR(VLOOKUP($CR121,ativos.!$C$3:$R308,MATCH("cotacao",ativos.!$C$2:CY$2,0),FALSE)*$CU$5,"atualizar"))</f>
        <v/>
      </c>
      <c r="AE121" s="846" t="str">
        <f>IFERROR(__xludf.DUMMYFUNCTION("IF($CR121="""","""",IFERROR(AVERAGE(query({CarteirasAtivos;CarteirasAtivosEncerrados},""select Col5 where Col5 is not null and Col1 = '""&amp;$CR121&amp;""' and Col10='SIM'""))*CU121,""NC""))"),"")</f>
        <v/>
      </c>
      <c r="AF121" s="847" t="str">
        <f t="shared" si="1"/>
        <v/>
      </c>
      <c r="AG121" s="442"/>
      <c r="AH121" s="848" t="str">
        <f>IFERROR(__xludf.DUMMYFUNCTION("IF($CR121="""","""",IFERROR(GOOGLEFINANCE($CR121,""low52"")*CU121,""-""))"),"")</f>
        <v/>
      </c>
      <c r="AI121" s="848" t="str">
        <f>IFERROR(__xludf.DUMMYFUNCTION("IF($CR121="""","""",IFERROR(GOOGLEFINANCE($CR121,""high52"")*CU121,""-""))"),"")</f>
        <v/>
      </c>
      <c r="AJ121" s="849" t="s">
        <v>123</v>
      </c>
      <c r="AK121" s="850" t="str">
        <f>IFERROR(__xludf.DUMMYFUNCTION("IF($CR121="""","""",IFERROR(GOOGLEFINANCE($CR121,""changepct"")/100,""-""))"),"")</f>
        <v/>
      </c>
      <c r="AL121" s="851" t="str">
        <f>IFERROR(__xludf.DUMMYFUNCTION("IF($CR121="""","""",IFERROR(($AD121/(QUERY(GOOGLEFINANCE($CR121,""price"",TODAY()-7),""SELECT Col2 label Col2 ''"")*$CU121)-1),""-""))"),"")</f>
        <v/>
      </c>
      <c r="AM121" s="851" t="str">
        <f>IFERROR(__xludf.DUMMYFUNCTION("IF($CR121="""","""",IFERROR(($AD121/(QUERY(GOOGLEFINANCE($CR121,""price"",TODAY()-14),""SELECT Col2 label Col2 ''"")*$CU121)-1),""-""))"),"")</f>
        <v/>
      </c>
      <c r="AN121" s="851" t="str">
        <f>IFERROR(__xludf.DUMMYFUNCTION("IF($CR121="""","""",IFERROR(($AD121/(QUERY(GOOGLEFINANCE($CR121,""price"",TODAY()-28),""SELECT Col2 label Col2 ''"")*$CU121)-1),""-""))"),"")</f>
        <v/>
      </c>
      <c r="AO121" s="851" t="str">
        <f>IFERROR(__xludf.DUMMYFUNCTION("IF($CR121="""","""",IFERROR(($AD121/(QUERY(GOOGLEFINANCE($CR121,""price"",TODAY()-$AQ$5),""SELECT Col2 label Col2 ''"")*$CU121)-1),""-""))"),"")</f>
        <v/>
      </c>
      <c r="AP121" s="852" t="str">
        <f>IFERROR(__xludf.DUMMYFUNCTION("IF($CR121="""","""",IFERROR(SPARKLINE(query(GOOGLEFINANCE($CR121,""price"",TODAY()-$AQ$5,TODAY(),1),""select Col2 label Col2 ''""),IF($AP$7=""Gráfico de barras"",{""charttype"",""column"";""highcolor"",""red""},{""chartype"",""line""}))))"),"")</f>
        <v/>
      </c>
      <c r="AQ121" s="144"/>
      <c r="AR121" s="853"/>
      <c r="AS121" s="854" t="str">
        <f>IF($CR121="","",IF(NOT('alocação'!$D$1),"off",IFERROR(VLOOKUP(CR121,BalanceAtivos,3,0),"NC")))</f>
        <v/>
      </c>
      <c r="AT121" s="855" t="str">
        <f>IF($CR121="","",IF(NOT('alocação'!$D$1),"off",IFERROR(VLOOKUP($CR121,BalanceAtivos,4,0)*$CU$5,"NC")))</f>
        <v/>
      </c>
      <c r="AU121" s="856" t="str">
        <f>IF($CR121="","",IF(NOT('alocação'!$D$1),"off",IFERROR(VLOOKUP($CR121,BalanceAtivos,5,0),"-")))</f>
        <v/>
      </c>
      <c r="AV121" s="856" t="str">
        <f>IF($CR121="","",IF(NOT('alocação'!$D$1),"off",IFERROR(VLOOKUP($CR121,BalanceAtivos,6,0),"-")))</f>
        <v/>
      </c>
      <c r="AW121" s="857"/>
      <c r="AX121" s="858" t="str">
        <f>IF($CR121="","",IF($E121="","SP",IFERROR(VLOOKUP($CR121,AtivosDados,MATCH("pm_atual",portfolio.!$A$3:CY$3,0),0)*$CU$5,0)))</f>
        <v/>
      </c>
      <c r="AY121" s="859" t="str">
        <f t="shared" si="2"/>
        <v/>
      </c>
      <c r="AZ121" s="858" t="str">
        <f>IF($CR121="","",IF($E121="","SP",SUMIF(portfolio.!$A$4:$A308,$CR121,portfolio.!$O$4:$O308)*$CU$5))</f>
        <v/>
      </c>
      <c r="BA121" s="858" t="str">
        <f>IF($CR121="","",IF($E121="","SP",SUMIF(portfolio.!$A$4:$A308,$CR121,portfolio.!$AN$4:$AN308)*$CU$5))</f>
        <v/>
      </c>
      <c r="BB121" s="860" t="str">
        <f>IF($CR121="","",IF($E121="","-",IFERROR($BA121/'portfólio'!$DG$63,"")))</f>
        <v/>
      </c>
      <c r="BC121" s="861" t="str">
        <f>IF($CR121="","",IF($E121="","-",SUMIF(portfolio.!$A$4:$A308,$CR121,portfolio.!$J$4:$J308)))</f>
        <v/>
      </c>
      <c r="BD121" s="862" t="str">
        <f>IF($CR121="","",IF($E121="","SP",SUMIF(portfolio.!$A$4:$A308,$CR121,portfolio.!$AQ$4:$AQ308)*$CU$5))</f>
        <v/>
      </c>
      <c r="BE121" s="850" t="str">
        <f t="shared" si="3"/>
        <v/>
      </c>
      <c r="BF121" s="862" t="str">
        <f>IF($CR121="","",IF($E121="","-",SUMIF(portfolio.!$A$4:$A308,$CR121,portfolio.!$AX$4:$AX308)*$CU$5))</f>
        <v/>
      </c>
      <c r="BG121" s="545"/>
      <c r="BH121" s="879" t="s">
        <v>123</v>
      </c>
      <c r="BI121" s="880" t="s">
        <v>123</v>
      </c>
      <c r="BJ121" s="863" t="str">
        <f>IFERROR(__xludf.DUMMYFUNCTION("IF(NOT($BL$4),"""",IF($CR121="""","""",IFERROR(query({GOOGLEFINANCE($CR121,""price"",IF($BI121=""-"",TODAY()-($AQ$5+5),$BI121),TODAY()-1)},""Select max(Col2) where Col1 is not null label max(Col2) ''"")*CU121,""-"")))"),"")</f>
        <v/>
      </c>
      <c r="BK121" s="881" t="s">
        <v>123</v>
      </c>
      <c r="BL121" s="882" t="s">
        <v>123</v>
      </c>
      <c r="BM121" s="442"/>
      <c r="BN121" s="867" t="str">
        <f>IFERROR(__xludf.DUMMYFUNCTION("IF(CR121="""","""",IF(OR(C121=""AÇÃO"",C121=""BDR""),IFERROR(QUERY({fundamentus.!$A$3:$U308},$CX$67&amp;"" where Col1='""&amp;CR121&amp;""' limit 1"",0)),IF(C121=""FII"",IFERROR(QUERY({fundsexplorer.!$A$2:$Z308},$CY$67&amp;"" where Col1='""&amp;CR121&amp;""' limit 1"",0)),""""))"&amp;")"),"")</f>
        <v/>
      </c>
      <c r="BO121" s="867"/>
      <c r="BP121" s="867"/>
      <c r="BQ121" s="867"/>
      <c r="BR121" s="867"/>
      <c r="BS121" s="867"/>
      <c r="BT121" s="867"/>
      <c r="BU121" s="442"/>
      <c r="BV121" s="868" t="str">
        <f>IFERROR(__xludf.DUMMYFUNCTION("IF(OR(C121=""AÇÃO"",C121=""BDR""),IFERROR(GOOGLEFINANCE(CONCAT(""BVMF:"",CR121), ""marketcap"")/1000000,""NC""),"""")"),"")</f>
        <v/>
      </c>
      <c r="BW121" s="869" t="s">
        <v>123</v>
      </c>
      <c r="BX121" s="870" t="s">
        <v>123</v>
      </c>
      <c r="BY121" s="868" t="s">
        <v>123</v>
      </c>
      <c r="BZ121" s="870" t="s">
        <v>123</v>
      </c>
      <c r="CA121" s="868" t="s">
        <v>123</v>
      </c>
      <c r="CB121" s="868" t="s">
        <v>123</v>
      </c>
      <c r="CC121" s="868" t="s">
        <v>123</v>
      </c>
      <c r="CD121" s="868" t="str">
        <f>IFERROR(__xludf.DUMMYFUNCTION("IF(OR(C121=""AÇÃO"",C121=""BDR""),IFERROR(GOOGLEFINANCE(CONCAT(""BVMF:"",CR121), ""volumeavg"")/1000000,""NC""),"""")"),"")</f>
        <v/>
      </c>
      <c r="CE121" s="870" t="s">
        <v>123</v>
      </c>
      <c r="CF121" s="870" t="s">
        <v>123</v>
      </c>
      <c r="CG121" s="870" t="str">
        <f>IFERROR(__xludf.DUMMYFUNCTION("IF(OR(C121=""AÇÃO"",C121=""BDR""),IF(CF121=0,""SEM DY"",IFERROR(ImportXML(CONCAT(""http://www.guiainvest.com.br/raiox/default.aspx?sigla="",$CR121),""//*[@id='lbPayoutAtual']""),""NC"")),"""")"),"")</f>
        <v/>
      </c>
      <c r="CH121" s="870" t="s">
        <v>123</v>
      </c>
      <c r="CI121" s="545"/>
      <c r="CJ121" s="871" t="str">
        <f>IFERROR(__xludf.DUMMYFUNCTION("IF(OR(C121=""AÇÃO"",C121=""BDR""),IFERROR(GOOGLEFINANCE(CONCAT(""BVMF:"",CR121), ""eps""),""NC""),"""")"),"")</f>
        <v/>
      </c>
      <c r="CK121" s="442"/>
      <c r="CL121" s="871" t="str">
        <f>IFERROR(__xludf.DUMMYFUNCTION("IF(NOT($BL$4),"""",IF($CR121="""","""",IF($BC121="""","""",IFERROR(query({op.normal!$B$5:$F308},""select Col5, toDate(Col2) where Col1 =  '""&amp;$CR121&amp;""' and Col4 &gt; 0 and ((Col3 is null) or (Col3 = 'C')) and Col2 &gt;= date '""&amp;TEXT(TODAY()-$AQ$5,""yyyy-mm-dd"&amp;""")&amp;""' order by Col2 desc limit 1 label toDate(Col2) ''"")))))"),"")</f>
        <v/>
      </c>
      <c r="CM121" s="872"/>
      <c r="CN121" s="883" t="s">
        <v>123</v>
      </c>
      <c r="CO121" s="874" t="s">
        <v>123</v>
      </c>
      <c r="CP121" s="766"/>
      <c r="CQ121" s="791"/>
      <c r="CR121" s="791"/>
      <c r="CT121" s="791" t="s">
        <v>123</v>
      </c>
      <c r="CU121" s="791" t="str">
        <f>IFERROR(__xludf.DUMMYFUNCTION("IF(CR121="""","""",IF(CT121=$C$4,1,GOOGLEFINANCE(CT121&amp;$C$4)))"),"")</f>
        <v/>
      </c>
    </row>
    <row r="122" ht="22.5" customHeight="1">
      <c r="A122" s="837">
        <v>114.0</v>
      </c>
      <c r="B122" s="838" t="s">
        <v>123</v>
      </c>
      <c r="C122" s="838" t="s">
        <v>123</v>
      </c>
      <c r="D122" s="839" t="s">
        <v>123</v>
      </c>
      <c r="E122" s="839" t="s">
        <v>123</v>
      </c>
      <c r="F122" s="839" t="s">
        <v>123</v>
      </c>
      <c r="H122" s="884"/>
      <c r="I122" s="838"/>
      <c r="J122" s="838"/>
      <c r="K122" s="838"/>
      <c r="L122" s="838"/>
      <c r="M122" s="838"/>
      <c r="N122" s="838"/>
      <c r="O122" s="838"/>
      <c r="P122" s="838"/>
      <c r="Q122" s="838"/>
      <c r="R122" s="838"/>
      <c r="S122" s="838"/>
      <c r="T122" s="838"/>
      <c r="U122" s="838"/>
      <c r="V122" s="838"/>
      <c r="W122" s="838"/>
      <c r="X122" s="838"/>
      <c r="Z122" s="875" t="str">
        <f>IFERROR(__xludf.DUMMYFUNCTION("IF($CR122="""","""",IFERROR(query({CarteirasAtivos},""select Col4 where Col4 is not null and Col1 = '""&amp;$CR122&amp;""' limit 1"")*CU122,""NC""))"),"")</f>
        <v/>
      </c>
      <c r="AA122" s="876" t="str">
        <f>IFERROR(__xludf.DUMMYFUNCTION("IF($CR122="""","""",IFERROR(query({CarteirasAtivos},""select Col6 where Col4 is not null and Col1 = '""&amp;$CR122&amp;""' limit 1""),""NC""))"),"")</f>
        <v/>
      </c>
      <c r="AB122" s="877"/>
      <c r="AC122" s="878" t="s">
        <v>123</v>
      </c>
      <c r="AD122" s="845" t="str">
        <f>IF($CR122="","",IFERROR(VLOOKUP($CR122,ativos.!$C$3:$R308,MATCH("cotacao",ativos.!$C$2:CY$2,0),FALSE)*$CU$5,"atualizar"))</f>
        <v/>
      </c>
      <c r="AE122" s="846" t="str">
        <f>IFERROR(__xludf.DUMMYFUNCTION("IF($CR122="""","""",IFERROR(AVERAGE(query({CarteirasAtivos;CarteirasAtivosEncerrados},""select Col5 where Col5 is not null and Col1 = '""&amp;$CR122&amp;""' and Col10='SIM'""))*CU122,""NC""))"),"")</f>
        <v/>
      </c>
      <c r="AF122" s="847" t="str">
        <f t="shared" si="1"/>
        <v/>
      </c>
      <c r="AG122" s="442"/>
      <c r="AH122" s="848" t="str">
        <f>IFERROR(__xludf.DUMMYFUNCTION("IF($CR122="""","""",IFERROR(GOOGLEFINANCE($CR122,""low52"")*CU122,""-""))"),"")</f>
        <v/>
      </c>
      <c r="AI122" s="848" t="str">
        <f>IFERROR(__xludf.DUMMYFUNCTION("IF($CR122="""","""",IFERROR(GOOGLEFINANCE($CR122,""high52"")*CU122,""-""))"),"")</f>
        <v/>
      </c>
      <c r="AJ122" s="849" t="s">
        <v>123</v>
      </c>
      <c r="AK122" s="850" t="str">
        <f>IFERROR(__xludf.DUMMYFUNCTION("IF($CR122="""","""",IFERROR(GOOGLEFINANCE($CR122,""changepct"")/100,""-""))"),"")</f>
        <v/>
      </c>
      <c r="AL122" s="851" t="str">
        <f>IFERROR(__xludf.DUMMYFUNCTION("IF($CR122="""","""",IFERROR(($AD122/(QUERY(GOOGLEFINANCE($CR122,""price"",TODAY()-7),""SELECT Col2 label Col2 ''"")*$CU122)-1),""-""))"),"")</f>
        <v/>
      </c>
      <c r="AM122" s="851" t="str">
        <f>IFERROR(__xludf.DUMMYFUNCTION("IF($CR122="""","""",IFERROR(($AD122/(QUERY(GOOGLEFINANCE($CR122,""price"",TODAY()-14),""SELECT Col2 label Col2 ''"")*$CU122)-1),""-""))"),"")</f>
        <v/>
      </c>
      <c r="AN122" s="851" t="str">
        <f>IFERROR(__xludf.DUMMYFUNCTION("IF($CR122="""","""",IFERROR(($AD122/(QUERY(GOOGLEFINANCE($CR122,""price"",TODAY()-28),""SELECT Col2 label Col2 ''"")*$CU122)-1),""-""))"),"")</f>
        <v/>
      </c>
      <c r="AO122" s="851" t="str">
        <f>IFERROR(__xludf.DUMMYFUNCTION("IF($CR122="""","""",IFERROR(($AD122/(QUERY(GOOGLEFINANCE($CR122,""price"",TODAY()-$AQ$5),""SELECT Col2 label Col2 ''"")*$CU122)-1),""-""))"),"")</f>
        <v/>
      </c>
      <c r="AP122" s="852" t="str">
        <f>IFERROR(__xludf.DUMMYFUNCTION("IF($CR122="""","""",IFERROR(SPARKLINE(query(GOOGLEFINANCE($CR122,""price"",TODAY()-$AQ$5,TODAY(),1),""select Col2 label Col2 ''""),IF($AP$7=""Gráfico de barras"",{""charttype"",""column"";""highcolor"",""red""},{""chartype"",""line""}))))"),"")</f>
        <v/>
      </c>
      <c r="AQ122" s="144"/>
      <c r="AR122" s="853"/>
      <c r="AS122" s="854" t="str">
        <f>IF($CR122="","",IF(NOT('alocação'!$D$1),"off",IFERROR(VLOOKUP(CR122,BalanceAtivos,3,0),"NC")))</f>
        <v/>
      </c>
      <c r="AT122" s="855" t="str">
        <f>IF($CR122="","",IF(NOT('alocação'!$D$1),"off",IFERROR(VLOOKUP($CR122,BalanceAtivos,4,0)*$CU$5,"NC")))</f>
        <v/>
      </c>
      <c r="AU122" s="856" t="str">
        <f>IF($CR122="","",IF(NOT('alocação'!$D$1),"off",IFERROR(VLOOKUP($CR122,BalanceAtivos,5,0),"-")))</f>
        <v/>
      </c>
      <c r="AV122" s="856" t="str">
        <f>IF($CR122="","",IF(NOT('alocação'!$D$1),"off",IFERROR(VLOOKUP($CR122,BalanceAtivos,6,0),"-")))</f>
        <v/>
      </c>
      <c r="AW122" s="857"/>
      <c r="AX122" s="858" t="str">
        <f>IF($CR122="","",IF($E122="","SP",IFERROR(VLOOKUP($CR122,AtivosDados,MATCH("pm_atual",portfolio.!$A$3:CY$3,0),0)*$CU$5,0)))</f>
        <v/>
      </c>
      <c r="AY122" s="859" t="str">
        <f t="shared" si="2"/>
        <v/>
      </c>
      <c r="AZ122" s="858" t="str">
        <f>IF($CR122="","",IF($E122="","SP",SUMIF(portfolio.!$A$4:$A308,$CR122,portfolio.!$O$4:$O308)*$CU$5))</f>
        <v/>
      </c>
      <c r="BA122" s="858" t="str">
        <f>IF($CR122="","",IF($E122="","SP",SUMIF(portfolio.!$A$4:$A308,$CR122,portfolio.!$AN$4:$AN308)*$CU$5))</f>
        <v/>
      </c>
      <c r="BB122" s="860" t="str">
        <f>IF($CR122="","",IF($E122="","-",IFERROR($BA122/'portfólio'!$DG$63,"")))</f>
        <v/>
      </c>
      <c r="BC122" s="861" t="str">
        <f>IF($CR122="","",IF($E122="","-",SUMIF(portfolio.!$A$4:$A308,$CR122,portfolio.!$J$4:$J308)))</f>
        <v/>
      </c>
      <c r="BD122" s="862" t="str">
        <f>IF($CR122="","",IF($E122="","SP",SUMIF(portfolio.!$A$4:$A308,$CR122,portfolio.!$AQ$4:$AQ308)*$CU$5))</f>
        <v/>
      </c>
      <c r="BE122" s="850" t="str">
        <f t="shared" si="3"/>
        <v/>
      </c>
      <c r="BF122" s="862" t="str">
        <f>IF($CR122="","",IF($E122="","-",SUMIF(portfolio.!$A$4:$A308,$CR122,portfolio.!$AX$4:$AX308)*$CU$5))</f>
        <v/>
      </c>
      <c r="BG122" s="545"/>
      <c r="BH122" s="879" t="s">
        <v>123</v>
      </c>
      <c r="BI122" s="880" t="s">
        <v>123</v>
      </c>
      <c r="BJ122" s="863" t="str">
        <f>IFERROR(__xludf.DUMMYFUNCTION("IF(NOT($BL$4),"""",IF($CR122="""","""",IFERROR(query({GOOGLEFINANCE($CR122,""price"",IF($BI122=""-"",TODAY()-($AQ$5+5),$BI122),TODAY()-1)},""Select max(Col2) where Col1 is not null label max(Col2) ''"")*CU122,""-"")))"),"")</f>
        <v/>
      </c>
      <c r="BK122" s="881" t="s">
        <v>123</v>
      </c>
      <c r="BL122" s="882" t="s">
        <v>123</v>
      </c>
      <c r="BM122" s="442"/>
      <c r="BN122" s="867" t="str">
        <f>IFERROR(__xludf.DUMMYFUNCTION("IF(CR122="""","""",IF(OR(C122=""AÇÃO"",C122=""BDR""),IFERROR(QUERY({fundamentus.!$A$3:$U308},$CX$67&amp;"" where Col1='""&amp;CR122&amp;""' limit 1"",0)),IF(C122=""FII"",IFERROR(QUERY({fundsexplorer.!$A$2:$Z308},$CY$67&amp;"" where Col1='""&amp;CR122&amp;""' limit 1"",0)),""""))"&amp;")"),"")</f>
        <v/>
      </c>
      <c r="BO122" s="867"/>
      <c r="BP122" s="867"/>
      <c r="BQ122" s="867"/>
      <c r="BR122" s="867"/>
      <c r="BS122" s="867"/>
      <c r="BT122" s="867"/>
      <c r="BU122" s="442"/>
      <c r="BV122" s="868" t="str">
        <f>IFERROR(__xludf.DUMMYFUNCTION("IF(OR(C122=""AÇÃO"",C122=""BDR""),IFERROR(GOOGLEFINANCE(CONCAT(""BVMF:"",CR122), ""marketcap"")/1000000,""NC""),"""")"),"")</f>
        <v/>
      </c>
      <c r="BW122" s="869" t="s">
        <v>123</v>
      </c>
      <c r="BX122" s="870" t="s">
        <v>123</v>
      </c>
      <c r="BY122" s="868" t="s">
        <v>123</v>
      </c>
      <c r="BZ122" s="870" t="s">
        <v>123</v>
      </c>
      <c r="CA122" s="868" t="s">
        <v>123</v>
      </c>
      <c r="CB122" s="868" t="s">
        <v>123</v>
      </c>
      <c r="CC122" s="868" t="s">
        <v>123</v>
      </c>
      <c r="CD122" s="868" t="str">
        <f>IFERROR(__xludf.DUMMYFUNCTION("IF(OR(C122=""AÇÃO"",C122=""BDR""),IFERROR(GOOGLEFINANCE(CONCAT(""BVMF:"",CR122), ""volumeavg"")/1000000,""NC""),"""")"),"")</f>
        <v/>
      </c>
      <c r="CE122" s="870" t="s">
        <v>123</v>
      </c>
      <c r="CF122" s="870" t="s">
        <v>123</v>
      </c>
      <c r="CG122" s="870" t="str">
        <f>IFERROR(__xludf.DUMMYFUNCTION("IF(OR(C122=""AÇÃO"",C122=""BDR""),IF(CF122=0,""SEM DY"",IFERROR(ImportXML(CONCAT(""http://www.guiainvest.com.br/raiox/default.aspx?sigla="",$CR122),""//*[@id='lbPayoutAtual']""),""NC"")),"""")"),"")</f>
        <v/>
      </c>
      <c r="CH122" s="870" t="s">
        <v>123</v>
      </c>
      <c r="CI122" s="545"/>
      <c r="CJ122" s="871" t="str">
        <f>IFERROR(__xludf.DUMMYFUNCTION("IF(OR(C122=""AÇÃO"",C122=""BDR""),IFERROR(GOOGLEFINANCE(CONCAT(""BVMF:"",CR122), ""eps""),""NC""),"""")"),"")</f>
        <v/>
      </c>
      <c r="CK122" s="442"/>
      <c r="CL122" s="871" t="str">
        <f>IFERROR(__xludf.DUMMYFUNCTION("IF(NOT($BL$4),"""",IF($CR122="""","""",IF($BC122="""","""",IFERROR(query({op.normal!$B$5:$F308},""select Col5, toDate(Col2) where Col1 =  '""&amp;$CR122&amp;""' and Col4 &gt; 0 and ((Col3 is null) or (Col3 = 'C')) and Col2 &gt;= date '""&amp;TEXT(TODAY()-$AQ$5,""yyyy-mm-dd"&amp;""")&amp;""' order by Col2 desc limit 1 label toDate(Col2) ''"")))))"),"")</f>
        <v/>
      </c>
      <c r="CM122" s="872"/>
      <c r="CN122" s="883" t="s">
        <v>123</v>
      </c>
      <c r="CO122" s="874" t="s">
        <v>123</v>
      </c>
      <c r="CP122" s="766"/>
      <c r="CQ122" s="791"/>
      <c r="CR122" s="791"/>
      <c r="CT122" s="791" t="s">
        <v>123</v>
      </c>
      <c r="CU122" s="791" t="str">
        <f>IFERROR(__xludf.DUMMYFUNCTION("IF(CR122="""","""",IF(CT122=$C$4,1,GOOGLEFINANCE(CT122&amp;$C$4)))"),"")</f>
        <v/>
      </c>
    </row>
    <row r="123" ht="22.5" customHeight="1">
      <c r="A123" s="837">
        <v>115.0</v>
      </c>
      <c r="B123" s="838" t="s">
        <v>123</v>
      </c>
      <c r="C123" s="838" t="s">
        <v>123</v>
      </c>
      <c r="D123" s="839" t="s">
        <v>123</v>
      </c>
      <c r="E123" s="839" t="s">
        <v>123</v>
      </c>
      <c r="F123" s="839" t="s">
        <v>123</v>
      </c>
      <c r="H123" s="884"/>
      <c r="I123" s="838"/>
      <c r="J123" s="838"/>
      <c r="K123" s="838"/>
      <c r="L123" s="838"/>
      <c r="M123" s="838"/>
      <c r="N123" s="838"/>
      <c r="O123" s="838"/>
      <c r="P123" s="838"/>
      <c r="Q123" s="838"/>
      <c r="R123" s="838"/>
      <c r="S123" s="838"/>
      <c r="T123" s="838"/>
      <c r="U123" s="838"/>
      <c r="V123" s="838"/>
      <c r="W123" s="838"/>
      <c r="X123" s="838"/>
      <c r="Z123" s="875" t="str">
        <f>IFERROR(__xludf.DUMMYFUNCTION("IF($CR123="""","""",IFERROR(query({CarteirasAtivos},""select Col4 where Col4 is not null and Col1 = '""&amp;$CR123&amp;""' limit 1"")*CU123,""NC""))"),"")</f>
        <v/>
      </c>
      <c r="AA123" s="876" t="str">
        <f>IFERROR(__xludf.DUMMYFUNCTION("IF($CR123="""","""",IFERROR(query({CarteirasAtivos},""select Col6 where Col4 is not null and Col1 = '""&amp;$CR123&amp;""' limit 1""),""NC""))"),"")</f>
        <v/>
      </c>
      <c r="AB123" s="877"/>
      <c r="AC123" s="878" t="s">
        <v>123</v>
      </c>
      <c r="AD123" s="845" t="str">
        <f>IF($CR123="","",IFERROR(VLOOKUP($CR123,ativos.!$C$3:$R308,MATCH("cotacao",ativos.!$C$2:CY$2,0),FALSE)*$CU$5,"atualizar"))</f>
        <v/>
      </c>
      <c r="AE123" s="846" t="str">
        <f>IFERROR(__xludf.DUMMYFUNCTION("IF($CR123="""","""",IFERROR(AVERAGE(query({CarteirasAtivos;CarteirasAtivosEncerrados},""select Col5 where Col5 is not null and Col1 = '""&amp;$CR123&amp;""' and Col10='SIM'""))*CU123,""NC""))"),"")</f>
        <v/>
      </c>
      <c r="AF123" s="847" t="str">
        <f t="shared" si="1"/>
        <v/>
      </c>
      <c r="AG123" s="442"/>
      <c r="AH123" s="848" t="str">
        <f>IFERROR(__xludf.DUMMYFUNCTION("IF($CR123="""","""",IFERROR(GOOGLEFINANCE($CR123,""low52"")*CU123,""-""))"),"")</f>
        <v/>
      </c>
      <c r="AI123" s="848" t="str">
        <f>IFERROR(__xludf.DUMMYFUNCTION("IF($CR123="""","""",IFERROR(GOOGLEFINANCE($CR123,""high52"")*CU123,""-""))"),"")</f>
        <v/>
      </c>
      <c r="AJ123" s="849" t="s">
        <v>123</v>
      </c>
      <c r="AK123" s="850" t="str">
        <f>IFERROR(__xludf.DUMMYFUNCTION("IF($CR123="""","""",IFERROR(GOOGLEFINANCE($CR123,""changepct"")/100,""-""))"),"")</f>
        <v/>
      </c>
      <c r="AL123" s="851" t="str">
        <f>IFERROR(__xludf.DUMMYFUNCTION("IF($CR123="""","""",IFERROR(($AD123/(QUERY(GOOGLEFINANCE($CR123,""price"",TODAY()-7),""SELECT Col2 label Col2 ''"")*$CU123)-1),""-""))"),"")</f>
        <v/>
      </c>
      <c r="AM123" s="851" t="str">
        <f>IFERROR(__xludf.DUMMYFUNCTION("IF($CR123="""","""",IFERROR(($AD123/(QUERY(GOOGLEFINANCE($CR123,""price"",TODAY()-14),""SELECT Col2 label Col2 ''"")*$CU123)-1),""-""))"),"")</f>
        <v/>
      </c>
      <c r="AN123" s="851" t="str">
        <f>IFERROR(__xludf.DUMMYFUNCTION("IF($CR123="""","""",IFERROR(($AD123/(QUERY(GOOGLEFINANCE($CR123,""price"",TODAY()-28),""SELECT Col2 label Col2 ''"")*$CU123)-1),""-""))"),"")</f>
        <v/>
      </c>
      <c r="AO123" s="851" t="str">
        <f>IFERROR(__xludf.DUMMYFUNCTION("IF($CR123="""","""",IFERROR(($AD123/(QUERY(GOOGLEFINANCE($CR123,""price"",TODAY()-$AQ$5),""SELECT Col2 label Col2 ''"")*$CU123)-1),""-""))"),"")</f>
        <v/>
      </c>
      <c r="AP123" s="852" t="str">
        <f>IFERROR(__xludf.DUMMYFUNCTION("IF($CR123="""","""",IFERROR(SPARKLINE(query(GOOGLEFINANCE($CR123,""price"",TODAY()-$AQ$5,TODAY(),1),""select Col2 label Col2 ''""),IF($AP$7=""Gráfico de barras"",{""charttype"",""column"";""highcolor"",""red""},{""chartype"",""line""}))))"),"")</f>
        <v/>
      </c>
      <c r="AQ123" s="144"/>
      <c r="AR123" s="853"/>
      <c r="AS123" s="854" t="str">
        <f>IF($CR123="","",IF(NOT('alocação'!$D$1),"off",IFERROR(VLOOKUP(CR123,BalanceAtivos,3,0),"NC")))</f>
        <v/>
      </c>
      <c r="AT123" s="855" t="str">
        <f>IF($CR123="","",IF(NOT('alocação'!$D$1),"off",IFERROR(VLOOKUP($CR123,BalanceAtivos,4,0)*$CU$5,"NC")))</f>
        <v/>
      </c>
      <c r="AU123" s="856" t="str">
        <f>IF($CR123="","",IF(NOT('alocação'!$D$1),"off",IFERROR(VLOOKUP($CR123,BalanceAtivos,5,0),"-")))</f>
        <v/>
      </c>
      <c r="AV123" s="856" t="str">
        <f>IF($CR123="","",IF(NOT('alocação'!$D$1),"off",IFERROR(VLOOKUP($CR123,BalanceAtivos,6,0),"-")))</f>
        <v/>
      </c>
      <c r="AW123" s="857"/>
      <c r="AX123" s="858" t="str">
        <f>IF($CR123="","",IF($E123="","SP",IFERROR(VLOOKUP($CR123,AtivosDados,MATCH("pm_atual",portfolio.!$A$3:CY$3,0),0)*$CU$5,0)))</f>
        <v/>
      </c>
      <c r="AY123" s="859" t="str">
        <f t="shared" si="2"/>
        <v/>
      </c>
      <c r="AZ123" s="858" t="str">
        <f>IF($CR123="","",IF($E123="","SP",SUMIF(portfolio.!$A$4:$A308,$CR123,portfolio.!$O$4:$O308)*$CU$5))</f>
        <v/>
      </c>
      <c r="BA123" s="858" t="str">
        <f>IF($CR123="","",IF($E123="","SP",SUMIF(portfolio.!$A$4:$A308,$CR123,portfolio.!$AN$4:$AN308)*$CU$5))</f>
        <v/>
      </c>
      <c r="BB123" s="860" t="str">
        <f>IF($CR123="","",IF($E123="","-",IFERROR($BA123/'portfólio'!$DG$63,"")))</f>
        <v/>
      </c>
      <c r="BC123" s="861" t="str">
        <f>IF($CR123="","",IF($E123="","-",SUMIF(portfolio.!$A$4:$A308,$CR123,portfolio.!$J$4:$J308)))</f>
        <v/>
      </c>
      <c r="BD123" s="862" t="str">
        <f>IF($CR123="","",IF($E123="","SP",SUMIF(portfolio.!$A$4:$A308,$CR123,portfolio.!$AQ$4:$AQ308)*$CU$5))</f>
        <v/>
      </c>
      <c r="BE123" s="850" t="str">
        <f t="shared" si="3"/>
        <v/>
      </c>
      <c r="BF123" s="862" t="str">
        <f>IF($CR123="","",IF($E123="","-",SUMIF(portfolio.!$A$4:$A308,$CR123,portfolio.!$AX$4:$AX308)*$CU$5))</f>
        <v/>
      </c>
      <c r="BG123" s="545"/>
      <c r="BH123" s="879" t="s">
        <v>123</v>
      </c>
      <c r="BI123" s="880" t="s">
        <v>123</v>
      </c>
      <c r="BJ123" s="863" t="str">
        <f>IFERROR(__xludf.DUMMYFUNCTION("IF(NOT($BL$4),"""",IF($CR123="""","""",IFERROR(query({GOOGLEFINANCE($CR123,""price"",IF($BI123=""-"",TODAY()-($AQ$5+5),$BI123),TODAY()-1)},""Select max(Col2) where Col1 is not null label max(Col2) ''"")*CU123,""-"")))"),"")</f>
        <v/>
      </c>
      <c r="BK123" s="881" t="s">
        <v>123</v>
      </c>
      <c r="BL123" s="882" t="s">
        <v>123</v>
      </c>
      <c r="BM123" s="442"/>
      <c r="BN123" s="867" t="str">
        <f>IFERROR(__xludf.DUMMYFUNCTION("IF(CR123="""","""",IF(OR(C123=""AÇÃO"",C123=""BDR""),IFERROR(QUERY({fundamentus.!$A$3:$U308},$CX$67&amp;"" where Col1='""&amp;CR123&amp;""' limit 1"",0)),IF(C123=""FII"",IFERROR(QUERY({fundsexplorer.!$A$2:$Z308},$CY$67&amp;"" where Col1='""&amp;CR123&amp;""' limit 1"",0)),""""))"&amp;")"),"")</f>
        <v/>
      </c>
      <c r="BO123" s="867"/>
      <c r="BP123" s="867"/>
      <c r="BQ123" s="867"/>
      <c r="BR123" s="867"/>
      <c r="BS123" s="867"/>
      <c r="BT123" s="867"/>
      <c r="BU123" s="442"/>
      <c r="BV123" s="868" t="str">
        <f>IFERROR(__xludf.DUMMYFUNCTION("IF(OR(C123=""AÇÃO"",C123=""BDR""),IFERROR(GOOGLEFINANCE(CONCAT(""BVMF:"",CR123), ""marketcap"")/1000000,""NC""),"""")"),"")</f>
        <v/>
      </c>
      <c r="BW123" s="869" t="s">
        <v>123</v>
      </c>
      <c r="BX123" s="870" t="s">
        <v>123</v>
      </c>
      <c r="BY123" s="868" t="s">
        <v>123</v>
      </c>
      <c r="BZ123" s="870" t="s">
        <v>123</v>
      </c>
      <c r="CA123" s="868" t="s">
        <v>123</v>
      </c>
      <c r="CB123" s="868" t="s">
        <v>123</v>
      </c>
      <c r="CC123" s="868" t="s">
        <v>123</v>
      </c>
      <c r="CD123" s="868" t="str">
        <f>IFERROR(__xludf.DUMMYFUNCTION("IF(OR(C123=""AÇÃO"",C123=""BDR""),IFERROR(GOOGLEFINANCE(CONCAT(""BVMF:"",CR123), ""volumeavg"")/1000000,""NC""),"""")"),"")</f>
        <v/>
      </c>
      <c r="CE123" s="870" t="s">
        <v>123</v>
      </c>
      <c r="CF123" s="870" t="s">
        <v>123</v>
      </c>
      <c r="CG123" s="870" t="str">
        <f>IFERROR(__xludf.DUMMYFUNCTION("IF(OR(C123=""AÇÃO"",C123=""BDR""),IF(CF123=0,""SEM DY"",IFERROR(ImportXML(CONCAT(""http://www.guiainvest.com.br/raiox/default.aspx?sigla="",$CR123),""//*[@id='lbPayoutAtual']""),""NC"")),"""")"),"")</f>
        <v/>
      </c>
      <c r="CH123" s="870" t="s">
        <v>123</v>
      </c>
      <c r="CI123" s="545"/>
      <c r="CJ123" s="871" t="str">
        <f>IFERROR(__xludf.DUMMYFUNCTION("IF(OR(C123=""AÇÃO"",C123=""BDR""),IFERROR(GOOGLEFINANCE(CONCAT(""BVMF:"",CR123), ""eps""),""NC""),"""")"),"")</f>
        <v/>
      </c>
      <c r="CK123" s="442"/>
      <c r="CL123" s="871" t="str">
        <f>IFERROR(__xludf.DUMMYFUNCTION("IF(NOT($BL$4),"""",IF($CR123="""","""",IF($BC123="""","""",IFERROR(query({op.normal!$B$5:$F308},""select Col5, toDate(Col2) where Col1 =  '""&amp;$CR123&amp;""' and Col4 &gt; 0 and ((Col3 is null) or (Col3 = 'C')) and Col2 &gt;= date '""&amp;TEXT(TODAY()-$AQ$5,""yyyy-mm-dd"&amp;""")&amp;""' order by Col2 desc limit 1 label toDate(Col2) ''"")))))"),"")</f>
        <v/>
      </c>
      <c r="CM123" s="872"/>
      <c r="CN123" s="883" t="s">
        <v>123</v>
      </c>
      <c r="CO123" s="874" t="s">
        <v>123</v>
      </c>
      <c r="CP123" s="766"/>
      <c r="CQ123" s="791"/>
      <c r="CR123" s="791"/>
      <c r="CT123" s="791" t="s">
        <v>123</v>
      </c>
      <c r="CU123" s="791" t="str">
        <f>IFERROR(__xludf.DUMMYFUNCTION("IF(CR123="""","""",IF(CT123=$C$4,1,GOOGLEFINANCE(CT123&amp;$C$4)))"),"")</f>
        <v/>
      </c>
    </row>
    <row r="124" ht="22.5" customHeight="1">
      <c r="A124" s="837">
        <v>116.0</v>
      </c>
      <c r="B124" s="838" t="s">
        <v>123</v>
      </c>
      <c r="C124" s="838" t="s">
        <v>123</v>
      </c>
      <c r="D124" s="839" t="s">
        <v>123</v>
      </c>
      <c r="E124" s="839" t="s">
        <v>123</v>
      </c>
      <c r="F124" s="839" t="s">
        <v>123</v>
      </c>
      <c r="H124" s="884"/>
      <c r="I124" s="838"/>
      <c r="J124" s="838"/>
      <c r="K124" s="838"/>
      <c r="L124" s="838"/>
      <c r="M124" s="838"/>
      <c r="N124" s="838"/>
      <c r="O124" s="838"/>
      <c r="P124" s="838"/>
      <c r="Q124" s="838"/>
      <c r="R124" s="838"/>
      <c r="S124" s="838"/>
      <c r="T124" s="838"/>
      <c r="U124" s="838"/>
      <c r="V124" s="838"/>
      <c r="W124" s="838"/>
      <c r="X124" s="838"/>
      <c r="Z124" s="875" t="str">
        <f>IFERROR(__xludf.DUMMYFUNCTION("IF($CR124="""","""",IFERROR(query({CarteirasAtivos},""select Col4 where Col4 is not null and Col1 = '""&amp;$CR124&amp;""' limit 1"")*CU124,""NC""))"),"")</f>
        <v/>
      </c>
      <c r="AA124" s="876" t="str">
        <f>IFERROR(__xludf.DUMMYFUNCTION("IF($CR124="""","""",IFERROR(query({CarteirasAtivos},""select Col6 where Col4 is not null and Col1 = '""&amp;$CR124&amp;""' limit 1""),""NC""))"),"")</f>
        <v/>
      </c>
      <c r="AB124" s="877"/>
      <c r="AC124" s="878" t="s">
        <v>123</v>
      </c>
      <c r="AD124" s="845" t="str">
        <f>IF($CR124="","",IFERROR(VLOOKUP($CR124,ativos.!$C$3:$R308,MATCH("cotacao",ativos.!$C$2:CY$2,0),FALSE)*$CU$5,"atualizar"))</f>
        <v/>
      </c>
      <c r="AE124" s="846" t="str">
        <f>IFERROR(__xludf.DUMMYFUNCTION("IF($CR124="""","""",IFERROR(AVERAGE(query({CarteirasAtivos;CarteirasAtivosEncerrados},""select Col5 where Col5 is not null and Col1 = '""&amp;$CR124&amp;""' and Col10='SIM'""))*CU124,""NC""))"),"")</f>
        <v/>
      </c>
      <c r="AF124" s="847" t="str">
        <f t="shared" si="1"/>
        <v/>
      </c>
      <c r="AG124" s="442"/>
      <c r="AH124" s="848" t="str">
        <f>IFERROR(__xludf.DUMMYFUNCTION("IF($CR124="""","""",IFERROR(GOOGLEFINANCE($CR124,""low52"")*CU124,""-""))"),"")</f>
        <v/>
      </c>
      <c r="AI124" s="848" t="str">
        <f>IFERROR(__xludf.DUMMYFUNCTION("IF($CR124="""","""",IFERROR(GOOGLEFINANCE($CR124,""high52"")*CU124,""-""))"),"")</f>
        <v/>
      </c>
      <c r="AJ124" s="849" t="s">
        <v>123</v>
      </c>
      <c r="AK124" s="850" t="str">
        <f>IFERROR(__xludf.DUMMYFUNCTION("IF($CR124="""","""",IFERROR(GOOGLEFINANCE($CR124,""changepct"")/100,""-""))"),"")</f>
        <v/>
      </c>
      <c r="AL124" s="851" t="str">
        <f>IFERROR(__xludf.DUMMYFUNCTION("IF($CR124="""","""",IFERROR(($AD124/(QUERY(GOOGLEFINANCE($CR124,""price"",TODAY()-7),""SELECT Col2 label Col2 ''"")*$CU124)-1),""-""))"),"")</f>
        <v/>
      </c>
      <c r="AM124" s="851" t="str">
        <f>IFERROR(__xludf.DUMMYFUNCTION("IF($CR124="""","""",IFERROR(($AD124/(QUERY(GOOGLEFINANCE($CR124,""price"",TODAY()-14),""SELECT Col2 label Col2 ''"")*$CU124)-1),""-""))"),"")</f>
        <v/>
      </c>
      <c r="AN124" s="851" t="str">
        <f>IFERROR(__xludf.DUMMYFUNCTION("IF($CR124="""","""",IFERROR(($AD124/(QUERY(GOOGLEFINANCE($CR124,""price"",TODAY()-28),""SELECT Col2 label Col2 ''"")*$CU124)-1),""-""))"),"")</f>
        <v/>
      </c>
      <c r="AO124" s="851" t="str">
        <f>IFERROR(__xludf.DUMMYFUNCTION("IF($CR124="""","""",IFERROR(($AD124/(QUERY(GOOGLEFINANCE($CR124,""price"",TODAY()-$AQ$5),""SELECT Col2 label Col2 ''"")*$CU124)-1),""-""))"),"")</f>
        <v/>
      </c>
      <c r="AP124" s="852" t="str">
        <f>IFERROR(__xludf.DUMMYFUNCTION("IF($CR124="""","""",IFERROR(SPARKLINE(query(GOOGLEFINANCE($CR124,""price"",TODAY()-$AQ$5,TODAY(),1),""select Col2 label Col2 ''""),IF($AP$7=""Gráfico de barras"",{""charttype"",""column"";""highcolor"",""red""},{""chartype"",""line""}))))"),"")</f>
        <v/>
      </c>
      <c r="AQ124" s="144"/>
      <c r="AR124" s="853"/>
      <c r="AS124" s="854" t="str">
        <f>IF($CR124="","",IF(NOT('alocação'!$D$1),"off",IFERROR(VLOOKUP(CR124,BalanceAtivos,3,0),"NC")))</f>
        <v/>
      </c>
      <c r="AT124" s="855" t="str">
        <f>IF($CR124="","",IF(NOT('alocação'!$D$1),"off",IFERROR(VLOOKUP($CR124,BalanceAtivos,4,0)*$CU$5,"NC")))</f>
        <v/>
      </c>
      <c r="AU124" s="856" t="str">
        <f>IF($CR124="","",IF(NOT('alocação'!$D$1),"off",IFERROR(VLOOKUP($CR124,BalanceAtivos,5,0),"-")))</f>
        <v/>
      </c>
      <c r="AV124" s="856" t="str">
        <f>IF($CR124="","",IF(NOT('alocação'!$D$1),"off",IFERROR(VLOOKUP($CR124,BalanceAtivos,6,0),"-")))</f>
        <v/>
      </c>
      <c r="AW124" s="857"/>
      <c r="AX124" s="858" t="str">
        <f>IF($CR124="","",IF($E124="","SP",IFERROR(VLOOKUP($CR124,AtivosDados,MATCH("pm_atual",portfolio.!$A$3:CY$3,0),0)*$CU$5,0)))</f>
        <v/>
      </c>
      <c r="AY124" s="859" t="str">
        <f t="shared" si="2"/>
        <v/>
      </c>
      <c r="AZ124" s="858" t="str">
        <f>IF($CR124="","",IF($E124="","SP",SUMIF(portfolio.!$A$4:$A308,$CR124,portfolio.!$O$4:$O308)*$CU$5))</f>
        <v/>
      </c>
      <c r="BA124" s="858" t="str">
        <f>IF($CR124="","",IF($E124="","SP",SUMIF(portfolio.!$A$4:$A308,$CR124,portfolio.!$AN$4:$AN308)*$CU$5))</f>
        <v/>
      </c>
      <c r="BB124" s="860" t="str">
        <f>IF($CR124="","",IF($E124="","-",IFERROR($BA124/'portfólio'!$DG$63,"")))</f>
        <v/>
      </c>
      <c r="BC124" s="861" t="str">
        <f>IF($CR124="","",IF($E124="","-",SUMIF(portfolio.!$A$4:$A308,$CR124,portfolio.!$J$4:$J308)))</f>
        <v/>
      </c>
      <c r="BD124" s="862" t="str">
        <f>IF($CR124="","",IF($E124="","SP",SUMIF(portfolio.!$A$4:$A308,$CR124,portfolio.!$AQ$4:$AQ308)*$CU$5))</f>
        <v/>
      </c>
      <c r="BE124" s="850" t="str">
        <f t="shared" si="3"/>
        <v/>
      </c>
      <c r="BF124" s="862" t="str">
        <f>IF($CR124="","",IF($E124="","-",SUMIF(portfolio.!$A$4:$A308,$CR124,portfolio.!$AX$4:$AX308)*$CU$5))</f>
        <v/>
      </c>
      <c r="BG124" s="545"/>
      <c r="BH124" s="879" t="s">
        <v>123</v>
      </c>
      <c r="BI124" s="880" t="s">
        <v>123</v>
      </c>
      <c r="BJ124" s="863" t="str">
        <f>IFERROR(__xludf.DUMMYFUNCTION("IF(NOT($BL$4),"""",IF($CR124="""","""",IFERROR(query({GOOGLEFINANCE($CR124,""price"",IF($BI124=""-"",TODAY()-($AQ$5+5),$BI124),TODAY()-1)},""Select max(Col2) where Col1 is not null label max(Col2) ''"")*CU124,""-"")))"),"")</f>
        <v/>
      </c>
      <c r="BK124" s="881" t="s">
        <v>123</v>
      </c>
      <c r="BL124" s="882" t="s">
        <v>123</v>
      </c>
      <c r="BM124" s="442"/>
      <c r="BN124" s="867" t="str">
        <f>IFERROR(__xludf.DUMMYFUNCTION("IF(CR124="""","""",IF(OR(C124=""AÇÃO"",C124=""BDR""),IFERROR(QUERY({fundamentus.!$A$3:$U308},$CX$67&amp;"" where Col1='""&amp;CR124&amp;""' limit 1"",0)),IF(C124=""FII"",IFERROR(QUERY({fundsexplorer.!$A$2:$Z308},$CY$67&amp;"" where Col1='""&amp;CR124&amp;""' limit 1"",0)),""""))"&amp;")"),"")</f>
        <v/>
      </c>
      <c r="BO124" s="867"/>
      <c r="BP124" s="867"/>
      <c r="BQ124" s="867"/>
      <c r="BR124" s="867"/>
      <c r="BS124" s="867"/>
      <c r="BT124" s="867"/>
      <c r="BU124" s="442"/>
      <c r="BV124" s="868" t="str">
        <f>IFERROR(__xludf.DUMMYFUNCTION("IF(OR(C124=""AÇÃO"",C124=""BDR""),IFERROR(GOOGLEFINANCE(CONCAT(""BVMF:"",CR124), ""marketcap"")/1000000,""NC""),"""")"),"")</f>
        <v/>
      </c>
      <c r="BW124" s="869" t="s">
        <v>123</v>
      </c>
      <c r="BX124" s="870" t="s">
        <v>123</v>
      </c>
      <c r="BY124" s="868" t="s">
        <v>123</v>
      </c>
      <c r="BZ124" s="870" t="s">
        <v>123</v>
      </c>
      <c r="CA124" s="868" t="s">
        <v>123</v>
      </c>
      <c r="CB124" s="868" t="s">
        <v>123</v>
      </c>
      <c r="CC124" s="868" t="s">
        <v>123</v>
      </c>
      <c r="CD124" s="868" t="str">
        <f>IFERROR(__xludf.DUMMYFUNCTION("IF(OR(C124=""AÇÃO"",C124=""BDR""),IFERROR(GOOGLEFINANCE(CONCAT(""BVMF:"",CR124), ""volumeavg"")/1000000,""NC""),"""")"),"")</f>
        <v/>
      </c>
      <c r="CE124" s="870" t="s">
        <v>123</v>
      </c>
      <c r="CF124" s="870" t="s">
        <v>123</v>
      </c>
      <c r="CG124" s="870" t="str">
        <f>IFERROR(__xludf.DUMMYFUNCTION("IF(OR(C124=""AÇÃO"",C124=""BDR""),IF(CF124=0,""SEM DY"",IFERROR(ImportXML(CONCAT(""http://www.guiainvest.com.br/raiox/default.aspx?sigla="",$CR124),""//*[@id='lbPayoutAtual']""),""NC"")),"""")"),"")</f>
        <v/>
      </c>
      <c r="CH124" s="870" t="s">
        <v>123</v>
      </c>
      <c r="CI124" s="545"/>
      <c r="CJ124" s="871" t="str">
        <f>IFERROR(__xludf.DUMMYFUNCTION("IF(OR(C124=""AÇÃO"",C124=""BDR""),IFERROR(GOOGLEFINANCE(CONCAT(""BVMF:"",CR124), ""eps""),""NC""),"""")"),"")</f>
        <v/>
      </c>
      <c r="CK124" s="442"/>
      <c r="CL124" s="871" t="str">
        <f>IFERROR(__xludf.DUMMYFUNCTION("IF(NOT($BL$4),"""",IF($CR124="""","""",IF($BC124="""","""",IFERROR(query({op.normal!$B$5:$F308},""select Col5, toDate(Col2) where Col1 =  '""&amp;$CR124&amp;""' and Col4 &gt; 0 and ((Col3 is null) or (Col3 = 'C')) and Col2 &gt;= date '""&amp;TEXT(TODAY()-$AQ$5,""yyyy-mm-dd"&amp;""")&amp;""' order by Col2 desc limit 1 label toDate(Col2) ''"")))))"),"")</f>
        <v/>
      </c>
      <c r="CM124" s="872"/>
      <c r="CN124" s="883" t="s">
        <v>123</v>
      </c>
      <c r="CO124" s="874" t="s">
        <v>123</v>
      </c>
      <c r="CP124" s="766"/>
      <c r="CQ124" s="791"/>
      <c r="CR124" s="791"/>
      <c r="CT124" s="791" t="s">
        <v>123</v>
      </c>
      <c r="CU124" s="791" t="str">
        <f>IFERROR(__xludf.DUMMYFUNCTION("IF(CR124="""","""",IF(CT124=$C$4,1,GOOGLEFINANCE(CT124&amp;$C$4)))"),"")</f>
        <v/>
      </c>
    </row>
    <row r="125" ht="22.5" customHeight="1">
      <c r="A125" s="837">
        <v>117.0</v>
      </c>
      <c r="B125" s="838" t="s">
        <v>123</v>
      </c>
      <c r="C125" s="838" t="s">
        <v>123</v>
      </c>
      <c r="D125" s="839" t="s">
        <v>123</v>
      </c>
      <c r="E125" s="839" t="s">
        <v>123</v>
      </c>
      <c r="F125" s="839" t="s">
        <v>123</v>
      </c>
      <c r="H125" s="884"/>
      <c r="I125" s="838"/>
      <c r="J125" s="838"/>
      <c r="K125" s="838"/>
      <c r="L125" s="838"/>
      <c r="M125" s="838"/>
      <c r="N125" s="838"/>
      <c r="O125" s="838"/>
      <c r="P125" s="838"/>
      <c r="Q125" s="838"/>
      <c r="R125" s="838"/>
      <c r="S125" s="838"/>
      <c r="T125" s="838"/>
      <c r="U125" s="838"/>
      <c r="V125" s="838"/>
      <c r="W125" s="838"/>
      <c r="X125" s="838"/>
      <c r="Z125" s="875" t="str">
        <f>IFERROR(__xludf.DUMMYFUNCTION("IF($CR125="""","""",IFERROR(query({CarteirasAtivos},""select Col4 where Col4 is not null and Col1 = '""&amp;$CR125&amp;""' limit 1"")*CU125,""NC""))"),"")</f>
        <v/>
      </c>
      <c r="AA125" s="876" t="str">
        <f>IFERROR(__xludf.DUMMYFUNCTION("IF($CR125="""","""",IFERROR(query({CarteirasAtivos},""select Col6 where Col4 is not null and Col1 = '""&amp;$CR125&amp;""' limit 1""),""NC""))"),"")</f>
        <v/>
      </c>
      <c r="AB125" s="877"/>
      <c r="AC125" s="878" t="s">
        <v>123</v>
      </c>
      <c r="AD125" s="845" t="str">
        <f>IF($CR125="","",IFERROR(VLOOKUP($CR125,ativos.!$C$3:$R308,MATCH("cotacao",ativos.!$C$2:CY$2,0),FALSE)*$CU$5,"atualizar"))</f>
        <v/>
      </c>
      <c r="AE125" s="846" t="str">
        <f>IFERROR(__xludf.DUMMYFUNCTION("IF($CR125="""","""",IFERROR(AVERAGE(query({CarteirasAtivos;CarteirasAtivosEncerrados},""select Col5 where Col5 is not null and Col1 = '""&amp;$CR125&amp;""' and Col10='SIM'""))*CU125,""NC""))"),"")</f>
        <v/>
      </c>
      <c r="AF125" s="847" t="str">
        <f t="shared" si="1"/>
        <v/>
      </c>
      <c r="AG125" s="442"/>
      <c r="AH125" s="848" t="str">
        <f>IFERROR(__xludf.DUMMYFUNCTION("IF($CR125="""","""",IFERROR(GOOGLEFINANCE($CR125,""low52"")*CU125,""-""))"),"")</f>
        <v/>
      </c>
      <c r="AI125" s="848" t="str">
        <f>IFERROR(__xludf.DUMMYFUNCTION("IF($CR125="""","""",IFERROR(GOOGLEFINANCE($CR125,""high52"")*CU125,""-""))"),"")</f>
        <v/>
      </c>
      <c r="AJ125" s="849" t="s">
        <v>123</v>
      </c>
      <c r="AK125" s="850" t="str">
        <f>IFERROR(__xludf.DUMMYFUNCTION("IF($CR125="""","""",IFERROR(GOOGLEFINANCE($CR125,""changepct"")/100,""-""))"),"")</f>
        <v/>
      </c>
      <c r="AL125" s="851" t="str">
        <f>IFERROR(__xludf.DUMMYFUNCTION("IF($CR125="""","""",IFERROR(($AD125/(QUERY(GOOGLEFINANCE($CR125,""price"",TODAY()-7),""SELECT Col2 label Col2 ''"")*$CU125)-1),""-""))"),"")</f>
        <v/>
      </c>
      <c r="AM125" s="851" t="str">
        <f>IFERROR(__xludf.DUMMYFUNCTION("IF($CR125="""","""",IFERROR(($AD125/(QUERY(GOOGLEFINANCE($CR125,""price"",TODAY()-14),""SELECT Col2 label Col2 ''"")*$CU125)-1),""-""))"),"")</f>
        <v/>
      </c>
      <c r="AN125" s="851" t="str">
        <f>IFERROR(__xludf.DUMMYFUNCTION("IF($CR125="""","""",IFERROR(($AD125/(QUERY(GOOGLEFINANCE($CR125,""price"",TODAY()-28),""SELECT Col2 label Col2 ''"")*$CU125)-1),""-""))"),"")</f>
        <v/>
      </c>
      <c r="AO125" s="851" t="str">
        <f>IFERROR(__xludf.DUMMYFUNCTION("IF($CR125="""","""",IFERROR(($AD125/(QUERY(GOOGLEFINANCE($CR125,""price"",TODAY()-$AQ$5),""SELECT Col2 label Col2 ''"")*$CU125)-1),""-""))"),"")</f>
        <v/>
      </c>
      <c r="AP125" s="852" t="str">
        <f>IFERROR(__xludf.DUMMYFUNCTION("IF($CR125="""","""",IFERROR(SPARKLINE(query(GOOGLEFINANCE($CR125,""price"",TODAY()-$AQ$5,TODAY(),1),""select Col2 label Col2 ''""),IF($AP$7=""Gráfico de barras"",{""charttype"",""column"";""highcolor"",""red""},{""chartype"",""line""}))))"),"")</f>
        <v/>
      </c>
      <c r="AQ125" s="144"/>
      <c r="AR125" s="853"/>
      <c r="AS125" s="854" t="str">
        <f>IF($CR125="","",IF(NOT('alocação'!$D$1),"off",IFERROR(VLOOKUP(CR125,BalanceAtivos,3,0),"NC")))</f>
        <v/>
      </c>
      <c r="AT125" s="855" t="str">
        <f>IF($CR125="","",IF(NOT('alocação'!$D$1),"off",IFERROR(VLOOKUP($CR125,BalanceAtivos,4,0)*$CU$5,"NC")))</f>
        <v/>
      </c>
      <c r="AU125" s="856" t="str">
        <f>IF($CR125="","",IF(NOT('alocação'!$D$1),"off",IFERROR(VLOOKUP($CR125,BalanceAtivos,5,0),"-")))</f>
        <v/>
      </c>
      <c r="AV125" s="856" t="str">
        <f>IF($CR125="","",IF(NOT('alocação'!$D$1),"off",IFERROR(VLOOKUP($CR125,BalanceAtivos,6,0),"-")))</f>
        <v/>
      </c>
      <c r="AW125" s="857"/>
      <c r="AX125" s="858" t="str">
        <f>IF($CR125="","",IF($E125="","SP",IFERROR(VLOOKUP($CR125,AtivosDados,MATCH("pm_atual",portfolio.!$A$3:CY$3,0),0)*$CU$5,0)))</f>
        <v/>
      </c>
      <c r="AY125" s="859" t="str">
        <f t="shared" si="2"/>
        <v/>
      </c>
      <c r="AZ125" s="858" t="str">
        <f>IF($CR125="","",IF($E125="","SP",SUMIF(portfolio.!$A$4:$A308,$CR125,portfolio.!$O$4:$O308)*$CU$5))</f>
        <v/>
      </c>
      <c r="BA125" s="858" t="str">
        <f>IF($CR125="","",IF($E125="","SP",SUMIF(portfolio.!$A$4:$A308,$CR125,portfolio.!$AN$4:$AN308)*$CU$5))</f>
        <v/>
      </c>
      <c r="BB125" s="860" t="str">
        <f>IF($CR125="","",IF($E125="","-",IFERROR($BA125/'portfólio'!$DG$63,"")))</f>
        <v/>
      </c>
      <c r="BC125" s="861" t="str">
        <f>IF($CR125="","",IF($E125="","-",SUMIF(portfolio.!$A$4:$A308,$CR125,portfolio.!$J$4:$J308)))</f>
        <v/>
      </c>
      <c r="BD125" s="862" t="str">
        <f>IF($CR125="","",IF($E125="","SP",SUMIF(portfolio.!$A$4:$A308,$CR125,portfolio.!$AQ$4:$AQ308)*$CU$5))</f>
        <v/>
      </c>
      <c r="BE125" s="850" t="str">
        <f t="shared" si="3"/>
        <v/>
      </c>
      <c r="BF125" s="862" t="str">
        <f>IF($CR125="","",IF($E125="","-",SUMIF(portfolio.!$A$4:$A308,$CR125,portfolio.!$AX$4:$AX308)*$CU$5))</f>
        <v/>
      </c>
      <c r="BG125" s="545"/>
      <c r="BH125" s="879" t="s">
        <v>123</v>
      </c>
      <c r="BI125" s="880" t="s">
        <v>123</v>
      </c>
      <c r="BJ125" s="863" t="str">
        <f>IFERROR(__xludf.DUMMYFUNCTION("IF(NOT($BL$4),"""",IF($CR125="""","""",IFERROR(query({GOOGLEFINANCE($CR125,""price"",IF($BI125=""-"",TODAY()-($AQ$5+5),$BI125),TODAY()-1)},""Select max(Col2) where Col1 is not null label max(Col2) ''"")*CU125,""-"")))"),"")</f>
        <v/>
      </c>
      <c r="BK125" s="881" t="s">
        <v>123</v>
      </c>
      <c r="BL125" s="882" t="s">
        <v>123</v>
      </c>
      <c r="BM125" s="442"/>
      <c r="BN125" s="867" t="str">
        <f>IFERROR(__xludf.DUMMYFUNCTION("IF(CR125="""","""",IF(OR(C125=""AÇÃO"",C125=""BDR""),IFERROR(QUERY({fundamentus.!$A$3:$U308},$CX$67&amp;"" where Col1='""&amp;CR125&amp;""' limit 1"",0)),IF(C125=""FII"",IFERROR(QUERY({fundsexplorer.!$A$2:$Z308},$CY$67&amp;"" where Col1='""&amp;CR125&amp;""' limit 1"",0)),""""))"&amp;")"),"")</f>
        <v/>
      </c>
      <c r="BO125" s="867"/>
      <c r="BP125" s="867"/>
      <c r="BQ125" s="867"/>
      <c r="BR125" s="867"/>
      <c r="BS125" s="867"/>
      <c r="BT125" s="867"/>
      <c r="BU125" s="442"/>
      <c r="BV125" s="868" t="str">
        <f>IFERROR(__xludf.DUMMYFUNCTION("IF(OR(C125=""AÇÃO"",C125=""BDR""),IFERROR(GOOGLEFINANCE(CONCAT(""BVMF:"",CR125), ""marketcap"")/1000000,""NC""),"""")"),"")</f>
        <v/>
      </c>
      <c r="BW125" s="869" t="s">
        <v>123</v>
      </c>
      <c r="BX125" s="870" t="s">
        <v>123</v>
      </c>
      <c r="BY125" s="868" t="s">
        <v>123</v>
      </c>
      <c r="BZ125" s="870" t="s">
        <v>123</v>
      </c>
      <c r="CA125" s="868" t="s">
        <v>123</v>
      </c>
      <c r="CB125" s="868" t="s">
        <v>123</v>
      </c>
      <c r="CC125" s="868" t="s">
        <v>123</v>
      </c>
      <c r="CD125" s="868" t="str">
        <f>IFERROR(__xludf.DUMMYFUNCTION("IF(OR(C125=""AÇÃO"",C125=""BDR""),IFERROR(GOOGLEFINANCE(CONCAT(""BVMF:"",CR125), ""volumeavg"")/1000000,""NC""),"""")"),"")</f>
        <v/>
      </c>
      <c r="CE125" s="870" t="s">
        <v>123</v>
      </c>
      <c r="CF125" s="870" t="s">
        <v>123</v>
      </c>
      <c r="CG125" s="870" t="str">
        <f>IFERROR(__xludf.DUMMYFUNCTION("IF(OR(C125=""AÇÃO"",C125=""BDR""),IF(CF125=0,""SEM DY"",IFERROR(ImportXML(CONCAT(""http://www.guiainvest.com.br/raiox/default.aspx?sigla="",$CR125),""//*[@id='lbPayoutAtual']""),""NC"")),"""")"),"")</f>
        <v/>
      </c>
      <c r="CH125" s="870" t="s">
        <v>123</v>
      </c>
      <c r="CI125" s="545"/>
      <c r="CJ125" s="871" t="str">
        <f>IFERROR(__xludf.DUMMYFUNCTION("IF(OR(C125=""AÇÃO"",C125=""BDR""),IFERROR(GOOGLEFINANCE(CONCAT(""BVMF:"",CR125), ""eps""),""NC""),"""")"),"")</f>
        <v/>
      </c>
      <c r="CK125" s="442"/>
      <c r="CL125" s="871" t="str">
        <f>IFERROR(__xludf.DUMMYFUNCTION("IF(NOT($BL$4),"""",IF($CR125="""","""",IF($BC125="""","""",IFERROR(query({op.normal!$B$5:$F308},""select Col5, toDate(Col2) where Col1 =  '""&amp;$CR125&amp;""' and Col4 &gt; 0 and ((Col3 is null) or (Col3 = 'C')) and Col2 &gt;= date '""&amp;TEXT(TODAY()-$AQ$5,""yyyy-mm-dd"&amp;""")&amp;""' order by Col2 desc limit 1 label toDate(Col2) ''"")))))"),"")</f>
        <v/>
      </c>
      <c r="CM125" s="872"/>
      <c r="CN125" s="883" t="s">
        <v>123</v>
      </c>
      <c r="CO125" s="874" t="s">
        <v>123</v>
      </c>
      <c r="CP125" s="766"/>
      <c r="CQ125" s="791"/>
      <c r="CR125" s="791"/>
      <c r="CT125" s="791" t="s">
        <v>123</v>
      </c>
      <c r="CU125" s="791" t="str">
        <f>IFERROR(__xludf.DUMMYFUNCTION("IF(CR125="""","""",IF(CT125=$C$4,1,GOOGLEFINANCE(CT125&amp;$C$4)))"),"")</f>
        <v/>
      </c>
    </row>
    <row r="126" ht="22.5" customHeight="1">
      <c r="A126" s="837">
        <v>118.0</v>
      </c>
      <c r="B126" s="838" t="s">
        <v>123</v>
      </c>
      <c r="C126" s="838" t="s">
        <v>123</v>
      </c>
      <c r="D126" s="839" t="s">
        <v>123</v>
      </c>
      <c r="E126" s="839" t="s">
        <v>123</v>
      </c>
      <c r="F126" s="839" t="s">
        <v>123</v>
      </c>
      <c r="H126" s="884"/>
      <c r="I126" s="838"/>
      <c r="J126" s="838"/>
      <c r="K126" s="838"/>
      <c r="L126" s="838"/>
      <c r="M126" s="838"/>
      <c r="N126" s="838"/>
      <c r="O126" s="838"/>
      <c r="P126" s="838"/>
      <c r="Q126" s="838"/>
      <c r="R126" s="838"/>
      <c r="S126" s="838"/>
      <c r="T126" s="838"/>
      <c r="U126" s="838"/>
      <c r="V126" s="838"/>
      <c r="W126" s="838"/>
      <c r="X126" s="838"/>
      <c r="Z126" s="875" t="str">
        <f>IFERROR(__xludf.DUMMYFUNCTION("IF($CR126="""","""",IFERROR(query({CarteirasAtivos},""select Col4 where Col4 is not null and Col1 = '""&amp;$CR126&amp;""' limit 1"")*CU126,""NC""))"),"")</f>
        <v/>
      </c>
      <c r="AA126" s="876" t="str">
        <f>IFERROR(__xludf.DUMMYFUNCTION("IF($CR126="""","""",IFERROR(query({CarteirasAtivos},""select Col6 where Col4 is not null and Col1 = '""&amp;$CR126&amp;""' limit 1""),""NC""))"),"")</f>
        <v/>
      </c>
      <c r="AB126" s="877"/>
      <c r="AC126" s="878" t="s">
        <v>123</v>
      </c>
      <c r="AD126" s="845" t="str">
        <f>IF($CR126="","",IFERROR(VLOOKUP($CR126,ativos.!$C$3:$R308,MATCH("cotacao",ativos.!$C$2:CY$2,0),FALSE)*$CU$5,"atualizar"))</f>
        <v/>
      </c>
      <c r="AE126" s="846" t="str">
        <f>IFERROR(__xludf.DUMMYFUNCTION("IF($CR126="""","""",IFERROR(AVERAGE(query({CarteirasAtivos;CarteirasAtivosEncerrados},""select Col5 where Col5 is not null and Col1 = '""&amp;$CR126&amp;""' and Col10='SIM'""))*CU126,""NC""))"),"")</f>
        <v/>
      </c>
      <c r="AF126" s="847" t="str">
        <f t="shared" si="1"/>
        <v/>
      </c>
      <c r="AG126" s="442"/>
      <c r="AH126" s="848" t="str">
        <f>IFERROR(__xludf.DUMMYFUNCTION("IF($CR126="""","""",IFERROR(GOOGLEFINANCE($CR126,""low52"")*CU126,""-""))"),"")</f>
        <v/>
      </c>
      <c r="AI126" s="848" t="str">
        <f>IFERROR(__xludf.DUMMYFUNCTION("IF($CR126="""","""",IFERROR(GOOGLEFINANCE($CR126,""high52"")*CU126,""-""))"),"")</f>
        <v/>
      </c>
      <c r="AJ126" s="849" t="s">
        <v>123</v>
      </c>
      <c r="AK126" s="850" t="str">
        <f>IFERROR(__xludf.DUMMYFUNCTION("IF($CR126="""","""",IFERROR(GOOGLEFINANCE($CR126,""changepct"")/100,""-""))"),"")</f>
        <v/>
      </c>
      <c r="AL126" s="851" t="str">
        <f>IFERROR(__xludf.DUMMYFUNCTION("IF($CR126="""","""",IFERROR(($AD126/(QUERY(GOOGLEFINANCE($CR126,""price"",TODAY()-7),""SELECT Col2 label Col2 ''"")*$CU126)-1),""-""))"),"")</f>
        <v/>
      </c>
      <c r="AM126" s="851" t="str">
        <f>IFERROR(__xludf.DUMMYFUNCTION("IF($CR126="""","""",IFERROR(($AD126/(QUERY(GOOGLEFINANCE($CR126,""price"",TODAY()-14),""SELECT Col2 label Col2 ''"")*$CU126)-1),""-""))"),"")</f>
        <v/>
      </c>
      <c r="AN126" s="851" t="str">
        <f>IFERROR(__xludf.DUMMYFUNCTION("IF($CR126="""","""",IFERROR(($AD126/(QUERY(GOOGLEFINANCE($CR126,""price"",TODAY()-28),""SELECT Col2 label Col2 ''"")*$CU126)-1),""-""))"),"")</f>
        <v/>
      </c>
      <c r="AO126" s="851" t="str">
        <f>IFERROR(__xludf.DUMMYFUNCTION("IF($CR126="""","""",IFERROR(($AD126/(QUERY(GOOGLEFINANCE($CR126,""price"",TODAY()-$AQ$5),""SELECT Col2 label Col2 ''"")*$CU126)-1),""-""))"),"")</f>
        <v/>
      </c>
      <c r="AP126" s="852" t="str">
        <f>IFERROR(__xludf.DUMMYFUNCTION("IF($CR126="""","""",IFERROR(SPARKLINE(query(GOOGLEFINANCE($CR126,""price"",TODAY()-$AQ$5,TODAY(),1),""select Col2 label Col2 ''""),IF($AP$7=""Gráfico de barras"",{""charttype"",""column"";""highcolor"",""red""},{""chartype"",""line""}))))"),"")</f>
        <v/>
      </c>
      <c r="AQ126" s="144"/>
      <c r="AR126" s="853"/>
      <c r="AS126" s="854" t="str">
        <f>IF($CR126="","",IF(NOT('alocação'!$D$1),"off",IFERROR(VLOOKUP(CR126,BalanceAtivos,3,0),"NC")))</f>
        <v/>
      </c>
      <c r="AT126" s="855" t="str">
        <f>IF($CR126="","",IF(NOT('alocação'!$D$1),"off",IFERROR(VLOOKUP($CR126,BalanceAtivos,4,0)*$CU$5,"NC")))</f>
        <v/>
      </c>
      <c r="AU126" s="856" t="str">
        <f>IF($CR126="","",IF(NOT('alocação'!$D$1),"off",IFERROR(VLOOKUP($CR126,BalanceAtivos,5,0),"-")))</f>
        <v/>
      </c>
      <c r="AV126" s="856" t="str">
        <f>IF($CR126="","",IF(NOT('alocação'!$D$1),"off",IFERROR(VLOOKUP($CR126,BalanceAtivos,6,0),"-")))</f>
        <v/>
      </c>
      <c r="AW126" s="857"/>
      <c r="AX126" s="858" t="str">
        <f>IF($CR126="","",IF($E126="","SP",IFERROR(VLOOKUP($CR126,AtivosDados,MATCH("pm_atual",portfolio.!$A$3:CY$3,0),0)*$CU$5,0)))</f>
        <v/>
      </c>
      <c r="AY126" s="859" t="str">
        <f t="shared" si="2"/>
        <v/>
      </c>
      <c r="AZ126" s="858" t="str">
        <f>IF($CR126="","",IF($E126="","SP",SUMIF(portfolio.!$A$4:$A308,$CR126,portfolio.!$O$4:$O308)*$CU$5))</f>
        <v/>
      </c>
      <c r="BA126" s="858" t="str">
        <f>IF($CR126="","",IF($E126="","SP",SUMIF(portfolio.!$A$4:$A308,$CR126,portfolio.!$AN$4:$AN308)*$CU$5))</f>
        <v/>
      </c>
      <c r="BB126" s="860" t="str">
        <f>IF($CR126="","",IF($E126="","-",IFERROR($BA126/'portfólio'!$DG$63,"")))</f>
        <v/>
      </c>
      <c r="BC126" s="861" t="str">
        <f>IF($CR126="","",IF($E126="","-",SUMIF(portfolio.!$A$4:$A308,$CR126,portfolio.!$J$4:$J308)))</f>
        <v/>
      </c>
      <c r="BD126" s="862" t="str">
        <f>IF($CR126="","",IF($E126="","SP",SUMIF(portfolio.!$A$4:$A308,$CR126,portfolio.!$AQ$4:$AQ308)*$CU$5))</f>
        <v/>
      </c>
      <c r="BE126" s="850" t="str">
        <f t="shared" si="3"/>
        <v/>
      </c>
      <c r="BF126" s="862" t="str">
        <f>IF($CR126="","",IF($E126="","-",SUMIF(portfolio.!$A$4:$A308,$CR126,portfolio.!$AX$4:$AX308)*$CU$5))</f>
        <v/>
      </c>
      <c r="BG126" s="545"/>
      <c r="BH126" s="879" t="s">
        <v>123</v>
      </c>
      <c r="BI126" s="880" t="s">
        <v>123</v>
      </c>
      <c r="BJ126" s="863" t="str">
        <f>IFERROR(__xludf.DUMMYFUNCTION("IF(NOT($BL$4),"""",IF($CR126="""","""",IFERROR(query({GOOGLEFINANCE($CR126,""price"",IF($BI126=""-"",TODAY()-($AQ$5+5),$BI126),TODAY()-1)},""Select max(Col2) where Col1 is not null label max(Col2) ''"")*CU126,""-"")))"),"")</f>
        <v/>
      </c>
      <c r="BK126" s="881" t="s">
        <v>123</v>
      </c>
      <c r="BL126" s="882" t="s">
        <v>123</v>
      </c>
      <c r="BM126" s="442"/>
      <c r="BN126" s="867" t="str">
        <f>IFERROR(__xludf.DUMMYFUNCTION("IF(CR126="""","""",IF(OR(C126=""AÇÃO"",C126=""BDR""),IFERROR(QUERY({fundamentus.!$A$3:$U308},$CX$67&amp;"" where Col1='""&amp;CR126&amp;""' limit 1"",0)),IF(C126=""FII"",IFERROR(QUERY({fundsexplorer.!$A$2:$Z308},$CY$67&amp;"" where Col1='""&amp;CR126&amp;""' limit 1"",0)),""""))"&amp;")"),"")</f>
        <v/>
      </c>
      <c r="BO126" s="867"/>
      <c r="BP126" s="867"/>
      <c r="BQ126" s="867"/>
      <c r="BR126" s="867"/>
      <c r="BS126" s="867"/>
      <c r="BT126" s="867"/>
      <c r="BU126" s="442"/>
      <c r="BV126" s="868" t="str">
        <f>IFERROR(__xludf.DUMMYFUNCTION("IF(OR(C126=""AÇÃO"",C126=""BDR""),IFERROR(GOOGLEFINANCE(CONCAT(""BVMF:"",CR126), ""marketcap"")/1000000,""NC""),"""")"),"")</f>
        <v/>
      </c>
      <c r="BW126" s="869" t="s">
        <v>123</v>
      </c>
      <c r="BX126" s="870" t="s">
        <v>123</v>
      </c>
      <c r="BY126" s="868" t="s">
        <v>123</v>
      </c>
      <c r="BZ126" s="870" t="s">
        <v>123</v>
      </c>
      <c r="CA126" s="868" t="s">
        <v>123</v>
      </c>
      <c r="CB126" s="868" t="s">
        <v>123</v>
      </c>
      <c r="CC126" s="868" t="s">
        <v>123</v>
      </c>
      <c r="CD126" s="868" t="str">
        <f>IFERROR(__xludf.DUMMYFUNCTION("IF(OR(C126=""AÇÃO"",C126=""BDR""),IFERROR(GOOGLEFINANCE(CONCAT(""BVMF:"",CR126), ""volumeavg"")/1000000,""NC""),"""")"),"")</f>
        <v/>
      </c>
      <c r="CE126" s="870" t="s">
        <v>123</v>
      </c>
      <c r="CF126" s="870" t="s">
        <v>123</v>
      </c>
      <c r="CG126" s="870" t="str">
        <f>IFERROR(__xludf.DUMMYFUNCTION("IF(OR(C126=""AÇÃO"",C126=""BDR""),IF(CF126=0,""SEM DY"",IFERROR(ImportXML(CONCAT(""http://www.guiainvest.com.br/raiox/default.aspx?sigla="",$CR126),""//*[@id='lbPayoutAtual']""),""NC"")),"""")"),"")</f>
        <v/>
      </c>
      <c r="CH126" s="870" t="s">
        <v>123</v>
      </c>
      <c r="CI126" s="545"/>
      <c r="CJ126" s="871" t="str">
        <f>IFERROR(__xludf.DUMMYFUNCTION("IF(OR(C126=""AÇÃO"",C126=""BDR""),IFERROR(GOOGLEFINANCE(CONCAT(""BVMF:"",CR126), ""eps""),""NC""),"""")"),"")</f>
        <v/>
      </c>
      <c r="CK126" s="442"/>
      <c r="CL126" s="871" t="str">
        <f>IFERROR(__xludf.DUMMYFUNCTION("IF(NOT($BL$4),"""",IF($CR126="""","""",IF($BC126="""","""",IFERROR(query({op.normal!$B$5:$F308},""select Col5, toDate(Col2) where Col1 =  '""&amp;$CR126&amp;""' and Col4 &gt; 0 and ((Col3 is null) or (Col3 = 'C')) and Col2 &gt;= date '""&amp;TEXT(TODAY()-$AQ$5,""yyyy-mm-dd"&amp;""")&amp;""' order by Col2 desc limit 1 label toDate(Col2) ''"")))))"),"")</f>
        <v/>
      </c>
      <c r="CM126" s="872"/>
      <c r="CN126" s="883" t="s">
        <v>123</v>
      </c>
      <c r="CO126" s="874" t="s">
        <v>123</v>
      </c>
      <c r="CP126" s="766"/>
      <c r="CQ126" s="791"/>
      <c r="CR126" s="791"/>
      <c r="CT126" s="791" t="s">
        <v>123</v>
      </c>
      <c r="CU126" s="791" t="str">
        <f>IFERROR(__xludf.DUMMYFUNCTION("IF(CR126="""","""",IF(CT126=$C$4,1,GOOGLEFINANCE(CT126&amp;$C$4)))"),"")</f>
        <v/>
      </c>
    </row>
    <row r="127" ht="22.5" customHeight="1">
      <c r="A127" s="837">
        <v>119.0</v>
      </c>
      <c r="B127" s="838" t="s">
        <v>123</v>
      </c>
      <c r="C127" s="838" t="s">
        <v>123</v>
      </c>
      <c r="D127" s="839" t="s">
        <v>123</v>
      </c>
      <c r="E127" s="839" t="s">
        <v>123</v>
      </c>
      <c r="F127" s="839" t="s">
        <v>123</v>
      </c>
      <c r="H127" s="884"/>
      <c r="I127" s="838"/>
      <c r="J127" s="838"/>
      <c r="K127" s="838"/>
      <c r="L127" s="838"/>
      <c r="M127" s="838"/>
      <c r="N127" s="838"/>
      <c r="O127" s="838"/>
      <c r="P127" s="838"/>
      <c r="Q127" s="838"/>
      <c r="R127" s="838"/>
      <c r="S127" s="838"/>
      <c r="T127" s="838"/>
      <c r="U127" s="838"/>
      <c r="V127" s="838"/>
      <c r="W127" s="838"/>
      <c r="X127" s="838"/>
      <c r="Z127" s="875" t="str">
        <f>IFERROR(__xludf.DUMMYFUNCTION("IF($CR127="""","""",IFERROR(query({CarteirasAtivos},""select Col4 where Col4 is not null and Col1 = '""&amp;$CR127&amp;""' limit 1"")*CU127,""NC""))"),"")</f>
        <v/>
      </c>
      <c r="AA127" s="876" t="str">
        <f>IFERROR(__xludf.DUMMYFUNCTION("IF($CR127="""","""",IFERROR(query({CarteirasAtivos},""select Col6 where Col4 is not null and Col1 = '""&amp;$CR127&amp;""' limit 1""),""NC""))"),"")</f>
        <v/>
      </c>
      <c r="AB127" s="877"/>
      <c r="AC127" s="878" t="s">
        <v>123</v>
      </c>
      <c r="AD127" s="845" t="str">
        <f>IF($CR127="","",IFERROR(VLOOKUP($CR127,ativos.!$C$3:$R308,MATCH("cotacao",ativos.!$C$2:CY$2,0),FALSE)*$CU$5,"atualizar"))</f>
        <v/>
      </c>
      <c r="AE127" s="846" t="str">
        <f>IFERROR(__xludf.DUMMYFUNCTION("IF($CR127="""","""",IFERROR(AVERAGE(query({CarteirasAtivos;CarteirasAtivosEncerrados},""select Col5 where Col5 is not null and Col1 = '""&amp;$CR127&amp;""' and Col10='SIM'""))*CU127,""NC""))"),"")</f>
        <v/>
      </c>
      <c r="AF127" s="847" t="str">
        <f t="shared" si="1"/>
        <v/>
      </c>
      <c r="AG127" s="442"/>
      <c r="AH127" s="848" t="str">
        <f>IFERROR(__xludf.DUMMYFUNCTION("IF($CR127="""","""",IFERROR(GOOGLEFINANCE($CR127,""low52"")*CU127,""-""))"),"")</f>
        <v/>
      </c>
      <c r="AI127" s="848" t="str">
        <f>IFERROR(__xludf.DUMMYFUNCTION("IF($CR127="""","""",IFERROR(GOOGLEFINANCE($CR127,""high52"")*CU127,""-""))"),"")</f>
        <v/>
      </c>
      <c r="AJ127" s="849" t="s">
        <v>123</v>
      </c>
      <c r="AK127" s="850" t="str">
        <f>IFERROR(__xludf.DUMMYFUNCTION("IF($CR127="""","""",IFERROR(GOOGLEFINANCE($CR127,""changepct"")/100,""-""))"),"")</f>
        <v/>
      </c>
      <c r="AL127" s="851" t="str">
        <f>IFERROR(__xludf.DUMMYFUNCTION("IF($CR127="""","""",IFERROR(($AD127/(QUERY(GOOGLEFINANCE($CR127,""price"",TODAY()-7),""SELECT Col2 label Col2 ''"")*$CU127)-1),""-""))"),"")</f>
        <v/>
      </c>
      <c r="AM127" s="851" t="str">
        <f>IFERROR(__xludf.DUMMYFUNCTION("IF($CR127="""","""",IFERROR(($AD127/(QUERY(GOOGLEFINANCE($CR127,""price"",TODAY()-14),""SELECT Col2 label Col2 ''"")*$CU127)-1),""-""))"),"")</f>
        <v/>
      </c>
      <c r="AN127" s="851" t="str">
        <f>IFERROR(__xludf.DUMMYFUNCTION("IF($CR127="""","""",IFERROR(($AD127/(QUERY(GOOGLEFINANCE($CR127,""price"",TODAY()-28),""SELECT Col2 label Col2 ''"")*$CU127)-1),""-""))"),"")</f>
        <v/>
      </c>
      <c r="AO127" s="851" t="str">
        <f>IFERROR(__xludf.DUMMYFUNCTION("IF($CR127="""","""",IFERROR(($AD127/(QUERY(GOOGLEFINANCE($CR127,""price"",TODAY()-$AQ$5),""SELECT Col2 label Col2 ''"")*$CU127)-1),""-""))"),"")</f>
        <v/>
      </c>
      <c r="AP127" s="852" t="str">
        <f>IFERROR(__xludf.DUMMYFUNCTION("IF($CR127="""","""",IFERROR(SPARKLINE(query(GOOGLEFINANCE($CR127,""price"",TODAY()-$AQ$5,TODAY(),1),""select Col2 label Col2 ''""),IF($AP$7=""Gráfico de barras"",{""charttype"",""column"";""highcolor"",""red""},{""chartype"",""line""}))))"),"")</f>
        <v/>
      </c>
      <c r="AQ127" s="144"/>
      <c r="AR127" s="853"/>
      <c r="AS127" s="854" t="str">
        <f>IF($CR127="","",IF(NOT('alocação'!$D$1),"off",IFERROR(VLOOKUP(CR127,BalanceAtivos,3,0),"NC")))</f>
        <v/>
      </c>
      <c r="AT127" s="855" t="str">
        <f>IF($CR127="","",IF(NOT('alocação'!$D$1),"off",IFERROR(VLOOKUP($CR127,BalanceAtivos,4,0)*$CU$5,"NC")))</f>
        <v/>
      </c>
      <c r="AU127" s="856" t="str">
        <f>IF($CR127="","",IF(NOT('alocação'!$D$1),"off",IFERROR(VLOOKUP($CR127,BalanceAtivos,5,0),"-")))</f>
        <v/>
      </c>
      <c r="AV127" s="856" t="str">
        <f>IF($CR127="","",IF(NOT('alocação'!$D$1),"off",IFERROR(VLOOKUP($CR127,BalanceAtivos,6,0),"-")))</f>
        <v/>
      </c>
      <c r="AW127" s="857"/>
      <c r="AX127" s="858" t="str">
        <f>IF($CR127="","",IF($E127="","SP",IFERROR(VLOOKUP($CR127,AtivosDados,MATCH("pm_atual",portfolio.!$A$3:CY$3,0),0)*$CU$5,0)))</f>
        <v/>
      </c>
      <c r="AY127" s="859" t="str">
        <f t="shared" si="2"/>
        <v/>
      </c>
      <c r="AZ127" s="858" t="str">
        <f>IF($CR127="","",IF($E127="","SP",SUMIF(portfolio.!$A$4:$A308,$CR127,portfolio.!$O$4:$O308)*$CU$5))</f>
        <v/>
      </c>
      <c r="BA127" s="858" t="str">
        <f>IF($CR127="","",IF($E127="","SP",SUMIF(portfolio.!$A$4:$A308,$CR127,portfolio.!$AN$4:$AN308)*$CU$5))</f>
        <v/>
      </c>
      <c r="BB127" s="860" t="str">
        <f>IF($CR127="","",IF($E127="","-",IFERROR($BA127/'portfólio'!$DG$63,"")))</f>
        <v/>
      </c>
      <c r="BC127" s="861" t="str">
        <f>IF($CR127="","",IF($E127="","-",SUMIF(portfolio.!$A$4:$A308,$CR127,portfolio.!$J$4:$J308)))</f>
        <v/>
      </c>
      <c r="BD127" s="862" t="str">
        <f>IF($CR127="","",IF($E127="","SP",SUMIF(portfolio.!$A$4:$A308,$CR127,portfolio.!$AQ$4:$AQ308)*$CU$5))</f>
        <v/>
      </c>
      <c r="BE127" s="850" t="str">
        <f t="shared" si="3"/>
        <v/>
      </c>
      <c r="BF127" s="862" t="str">
        <f>IF($CR127="","",IF($E127="","-",SUMIF(portfolio.!$A$4:$A308,$CR127,portfolio.!$AX$4:$AX308)*$CU$5))</f>
        <v/>
      </c>
      <c r="BG127" s="545"/>
      <c r="BH127" s="879" t="s">
        <v>123</v>
      </c>
      <c r="BI127" s="880" t="s">
        <v>123</v>
      </c>
      <c r="BJ127" s="863" t="str">
        <f>IFERROR(__xludf.DUMMYFUNCTION("IF(NOT($BL$4),"""",IF($CR127="""","""",IFERROR(query({GOOGLEFINANCE($CR127,""price"",IF($BI127=""-"",TODAY()-($AQ$5+5),$BI127),TODAY()-1)},""Select max(Col2) where Col1 is not null label max(Col2) ''"")*CU127,""-"")))"),"")</f>
        <v/>
      </c>
      <c r="BK127" s="881" t="s">
        <v>123</v>
      </c>
      <c r="BL127" s="882" t="s">
        <v>123</v>
      </c>
      <c r="BM127" s="442"/>
      <c r="BN127" s="867" t="str">
        <f>IFERROR(__xludf.DUMMYFUNCTION("IF(CR127="""","""",IF(OR(C127=""AÇÃO"",C127=""BDR""),IFERROR(QUERY({fundamentus.!$A$3:$U308},$CX$67&amp;"" where Col1='""&amp;CR127&amp;""' limit 1"",0)),IF(C127=""FII"",IFERROR(QUERY({fundsexplorer.!$A$2:$Z308},$CY$67&amp;"" where Col1='""&amp;CR127&amp;""' limit 1"",0)),""""))"&amp;")"),"")</f>
        <v/>
      </c>
      <c r="BO127" s="867"/>
      <c r="BP127" s="867"/>
      <c r="BQ127" s="867"/>
      <c r="BR127" s="867"/>
      <c r="BS127" s="867"/>
      <c r="BT127" s="867"/>
      <c r="BU127" s="442"/>
      <c r="BV127" s="868" t="str">
        <f>IFERROR(__xludf.DUMMYFUNCTION("IF(OR(C127=""AÇÃO"",C127=""BDR""),IFERROR(GOOGLEFINANCE(CONCAT(""BVMF:"",CR127), ""marketcap"")/1000000,""NC""),"""")"),"")</f>
        <v/>
      </c>
      <c r="BW127" s="869" t="s">
        <v>123</v>
      </c>
      <c r="BX127" s="870" t="s">
        <v>123</v>
      </c>
      <c r="BY127" s="868" t="s">
        <v>123</v>
      </c>
      <c r="BZ127" s="870" t="s">
        <v>123</v>
      </c>
      <c r="CA127" s="868" t="s">
        <v>123</v>
      </c>
      <c r="CB127" s="868" t="s">
        <v>123</v>
      </c>
      <c r="CC127" s="868" t="s">
        <v>123</v>
      </c>
      <c r="CD127" s="868" t="str">
        <f>IFERROR(__xludf.DUMMYFUNCTION("IF(OR(C127=""AÇÃO"",C127=""BDR""),IFERROR(GOOGLEFINANCE(CONCAT(""BVMF:"",CR127), ""volumeavg"")/1000000,""NC""),"""")"),"")</f>
        <v/>
      </c>
      <c r="CE127" s="870" t="s">
        <v>123</v>
      </c>
      <c r="CF127" s="870" t="s">
        <v>123</v>
      </c>
      <c r="CG127" s="870" t="str">
        <f>IFERROR(__xludf.DUMMYFUNCTION("IF(OR(C127=""AÇÃO"",C127=""BDR""),IF(CF127=0,""SEM DY"",IFERROR(ImportXML(CONCAT(""http://www.guiainvest.com.br/raiox/default.aspx?sigla="",$CR127),""//*[@id='lbPayoutAtual']""),""NC"")),"""")"),"")</f>
        <v/>
      </c>
      <c r="CH127" s="870" t="s">
        <v>123</v>
      </c>
      <c r="CI127" s="545"/>
      <c r="CJ127" s="871" t="str">
        <f>IFERROR(__xludf.DUMMYFUNCTION("IF(OR(C127=""AÇÃO"",C127=""BDR""),IFERROR(GOOGLEFINANCE(CONCAT(""BVMF:"",CR127), ""eps""),""NC""),"""")"),"")</f>
        <v/>
      </c>
      <c r="CK127" s="442"/>
      <c r="CL127" s="871" t="str">
        <f>IFERROR(__xludf.DUMMYFUNCTION("IF(NOT($BL$4),"""",IF($CR127="""","""",IF($BC127="""","""",IFERROR(query({op.normal!$B$5:$F308},""select Col5, toDate(Col2) where Col1 =  '""&amp;$CR127&amp;""' and Col4 &gt; 0 and ((Col3 is null) or (Col3 = 'C')) and Col2 &gt;= date '""&amp;TEXT(TODAY()-$AQ$5,""yyyy-mm-dd"&amp;""")&amp;""' order by Col2 desc limit 1 label toDate(Col2) ''"")))))"),"")</f>
        <v/>
      </c>
      <c r="CM127" s="872"/>
      <c r="CN127" s="883" t="s">
        <v>123</v>
      </c>
      <c r="CO127" s="874" t="s">
        <v>123</v>
      </c>
      <c r="CP127" s="766"/>
      <c r="CQ127" s="791"/>
      <c r="CR127" s="791"/>
      <c r="CT127" s="791" t="s">
        <v>123</v>
      </c>
      <c r="CU127" s="791" t="str">
        <f>IFERROR(__xludf.DUMMYFUNCTION("IF(CR127="""","""",IF(CT127=$C$4,1,GOOGLEFINANCE(CT127&amp;$C$4)))"),"")</f>
        <v/>
      </c>
    </row>
    <row r="128" ht="22.5" customHeight="1">
      <c r="A128" s="837">
        <v>120.0</v>
      </c>
      <c r="B128" s="838" t="s">
        <v>123</v>
      </c>
      <c r="C128" s="838" t="s">
        <v>123</v>
      </c>
      <c r="D128" s="839" t="s">
        <v>123</v>
      </c>
      <c r="E128" s="839" t="s">
        <v>123</v>
      </c>
      <c r="F128" s="839" t="s">
        <v>123</v>
      </c>
      <c r="H128" s="884"/>
      <c r="I128" s="838"/>
      <c r="J128" s="838"/>
      <c r="K128" s="838"/>
      <c r="L128" s="838"/>
      <c r="M128" s="838"/>
      <c r="N128" s="838"/>
      <c r="O128" s="838"/>
      <c r="P128" s="838"/>
      <c r="Q128" s="838"/>
      <c r="R128" s="838"/>
      <c r="S128" s="838"/>
      <c r="T128" s="838"/>
      <c r="U128" s="838"/>
      <c r="V128" s="838"/>
      <c r="W128" s="838"/>
      <c r="X128" s="838"/>
      <c r="Z128" s="875" t="str">
        <f>IFERROR(__xludf.DUMMYFUNCTION("IF($CR128="""","""",IFERROR(query({CarteirasAtivos},""select Col4 where Col4 is not null and Col1 = '""&amp;$CR128&amp;""' limit 1"")*CU128,""NC""))"),"")</f>
        <v/>
      </c>
      <c r="AA128" s="876" t="str">
        <f>IFERROR(__xludf.DUMMYFUNCTION("IF($CR128="""","""",IFERROR(query({CarteirasAtivos},""select Col6 where Col4 is not null and Col1 = '""&amp;$CR128&amp;""' limit 1""),""NC""))"),"")</f>
        <v/>
      </c>
      <c r="AB128" s="877"/>
      <c r="AC128" s="878" t="s">
        <v>123</v>
      </c>
      <c r="AD128" s="845" t="str">
        <f>IF($CR128="","",IFERROR(VLOOKUP($CR128,ativos.!$C$3:$R308,MATCH("cotacao",ativos.!$C$2:CY$2,0),FALSE)*$CU$5,"atualizar"))</f>
        <v/>
      </c>
      <c r="AE128" s="846" t="str">
        <f>IFERROR(__xludf.DUMMYFUNCTION("IF($CR128="""","""",IFERROR(AVERAGE(query({CarteirasAtivos;CarteirasAtivosEncerrados},""select Col5 where Col5 is not null and Col1 = '""&amp;$CR128&amp;""' and Col10='SIM'""))*CU128,""NC""))"),"")</f>
        <v/>
      </c>
      <c r="AF128" s="847" t="str">
        <f t="shared" si="1"/>
        <v/>
      </c>
      <c r="AG128" s="442"/>
      <c r="AH128" s="848" t="str">
        <f>IFERROR(__xludf.DUMMYFUNCTION("IF($CR128="""","""",IFERROR(GOOGLEFINANCE($CR128,""low52"")*CU128,""-""))"),"")</f>
        <v/>
      </c>
      <c r="AI128" s="848" t="str">
        <f>IFERROR(__xludf.DUMMYFUNCTION("IF($CR128="""","""",IFERROR(GOOGLEFINANCE($CR128,""high52"")*CU128,""-""))"),"")</f>
        <v/>
      </c>
      <c r="AJ128" s="849" t="s">
        <v>123</v>
      </c>
      <c r="AK128" s="850" t="str">
        <f>IFERROR(__xludf.DUMMYFUNCTION("IF($CR128="""","""",IFERROR(GOOGLEFINANCE($CR128,""changepct"")/100,""-""))"),"")</f>
        <v/>
      </c>
      <c r="AL128" s="851" t="str">
        <f>IFERROR(__xludf.DUMMYFUNCTION("IF($CR128="""","""",IFERROR(($AD128/(QUERY(GOOGLEFINANCE($CR128,""price"",TODAY()-7),""SELECT Col2 label Col2 ''"")*$CU128)-1),""-""))"),"")</f>
        <v/>
      </c>
      <c r="AM128" s="851" t="str">
        <f>IFERROR(__xludf.DUMMYFUNCTION("IF($CR128="""","""",IFERROR(($AD128/(QUERY(GOOGLEFINANCE($CR128,""price"",TODAY()-14),""SELECT Col2 label Col2 ''"")*$CU128)-1),""-""))"),"")</f>
        <v/>
      </c>
      <c r="AN128" s="851" t="str">
        <f>IFERROR(__xludf.DUMMYFUNCTION("IF($CR128="""","""",IFERROR(($AD128/(QUERY(GOOGLEFINANCE($CR128,""price"",TODAY()-28),""SELECT Col2 label Col2 ''"")*$CU128)-1),""-""))"),"")</f>
        <v/>
      </c>
      <c r="AO128" s="851" t="str">
        <f>IFERROR(__xludf.DUMMYFUNCTION("IF($CR128="""","""",IFERROR(($AD128/(QUERY(GOOGLEFINANCE($CR128,""price"",TODAY()-$AQ$5),""SELECT Col2 label Col2 ''"")*$CU128)-1),""-""))"),"")</f>
        <v/>
      </c>
      <c r="AP128" s="852" t="str">
        <f>IFERROR(__xludf.DUMMYFUNCTION("IF($CR128="""","""",IFERROR(SPARKLINE(query(GOOGLEFINANCE($CR128,""price"",TODAY()-$AQ$5,TODAY(),1),""select Col2 label Col2 ''""),IF($AP$7=""Gráfico de barras"",{""charttype"",""column"";""highcolor"",""red""},{""chartype"",""line""}))))"),"")</f>
        <v/>
      </c>
      <c r="AQ128" s="144"/>
      <c r="AR128" s="853"/>
      <c r="AS128" s="854" t="str">
        <f>IF($CR128="","",IF(NOT('alocação'!$D$1),"off",IFERROR(VLOOKUP(CR128,BalanceAtivos,3,0),"NC")))</f>
        <v/>
      </c>
      <c r="AT128" s="855" t="str">
        <f>IF($CR128="","",IF(NOT('alocação'!$D$1),"off",IFERROR(VLOOKUP($CR128,BalanceAtivos,4,0)*$CU$5,"NC")))</f>
        <v/>
      </c>
      <c r="AU128" s="856" t="str">
        <f>IF($CR128="","",IF(NOT('alocação'!$D$1),"off",IFERROR(VLOOKUP($CR128,BalanceAtivos,5,0),"-")))</f>
        <v/>
      </c>
      <c r="AV128" s="856" t="str">
        <f>IF($CR128="","",IF(NOT('alocação'!$D$1),"off",IFERROR(VLOOKUP($CR128,BalanceAtivos,6,0),"-")))</f>
        <v/>
      </c>
      <c r="AW128" s="857"/>
      <c r="AX128" s="858" t="str">
        <f>IF($CR128="","",IF($E128="","SP",IFERROR(VLOOKUP($CR128,AtivosDados,MATCH("pm_atual",portfolio.!$A$3:CY$3,0),0)*$CU$5,0)))</f>
        <v/>
      </c>
      <c r="AY128" s="859" t="str">
        <f t="shared" si="2"/>
        <v/>
      </c>
      <c r="AZ128" s="858" t="str">
        <f>IF($CR128="","",IF($E128="","SP",SUMIF(portfolio.!$A$4:$A308,$CR128,portfolio.!$O$4:$O308)*$CU$5))</f>
        <v/>
      </c>
      <c r="BA128" s="858" t="str">
        <f>IF($CR128="","",IF($E128="","SP",SUMIF(portfolio.!$A$4:$A308,$CR128,portfolio.!$AN$4:$AN308)*$CU$5))</f>
        <v/>
      </c>
      <c r="BB128" s="860" t="str">
        <f>IF($CR128="","",IF($E128="","-",IFERROR($BA128/'portfólio'!$DG$63,"")))</f>
        <v/>
      </c>
      <c r="BC128" s="861" t="str">
        <f>IF($CR128="","",IF($E128="","-",SUMIF(portfolio.!$A$4:$A308,$CR128,portfolio.!$J$4:$J308)))</f>
        <v/>
      </c>
      <c r="BD128" s="862" t="str">
        <f>IF($CR128="","",IF($E128="","SP",SUMIF(portfolio.!$A$4:$A308,$CR128,portfolio.!$AQ$4:$AQ308)*$CU$5))</f>
        <v/>
      </c>
      <c r="BE128" s="850" t="str">
        <f t="shared" si="3"/>
        <v/>
      </c>
      <c r="BF128" s="862" t="str">
        <f>IF($CR128="","",IF($E128="","-",SUMIF(portfolio.!$A$4:$A308,$CR128,portfolio.!$AX$4:$AX308)*$CU$5))</f>
        <v/>
      </c>
      <c r="BG128" s="545"/>
      <c r="BH128" s="879" t="s">
        <v>123</v>
      </c>
      <c r="BI128" s="880" t="s">
        <v>123</v>
      </c>
      <c r="BJ128" s="863" t="str">
        <f>IFERROR(__xludf.DUMMYFUNCTION("IF(NOT($BL$4),"""",IF($CR128="""","""",IFERROR(query({GOOGLEFINANCE($CR128,""price"",IF($BI128=""-"",TODAY()-($AQ$5+5),$BI128),TODAY()-1)},""Select max(Col2) where Col1 is not null label max(Col2) ''"")*CU128,""-"")))"),"")</f>
        <v/>
      </c>
      <c r="BK128" s="881" t="s">
        <v>123</v>
      </c>
      <c r="BL128" s="882" t="s">
        <v>123</v>
      </c>
      <c r="BM128" s="442"/>
      <c r="BN128" s="867" t="str">
        <f>IFERROR(__xludf.DUMMYFUNCTION("IF(CR128="""","""",IF(OR(C128=""AÇÃO"",C128=""BDR""),IFERROR(QUERY({fundamentus.!$A$3:$U308},$CX$67&amp;"" where Col1='""&amp;CR128&amp;""' limit 1"",0)),IF(C128=""FII"",IFERROR(QUERY({fundsexplorer.!$A$2:$Z308},$CY$67&amp;"" where Col1='""&amp;CR128&amp;""' limit 1"",0)),""""))"&amp;")"),"")</f>
        <v/>
      </c>
      <c r="BO128" s="867"/>
      <c r="BP128" s="867"/>
      <c r="BQ128" s="867"/>
      <c r="BR128" s="867"/>
      <c r="BS128" s="867"/>
      <c r="BT128" s="867"/>
      <c r="BU128" s="442"/>
      <c r="BV128" s="868" t="str">
        <f>IFERROR(__xludf.DUMMYFUNCTION("IF(OR(C128=""AÇÃO"",C128=""BDR""),IFERROR(GOOGLEFINANCE(CONCAT(""BVMF:"",CR128), ""marketcap"")/1000000,""NC""),"""")"),"")</f>
        <v/>
      </c>
      <c r="BW128" s="869" t="s">
        <v>123</v>
      </c>
      <c r="BX128" s="870" t="s">
        <v>123</v>
      </c>
      <c r="BY128" s="868" t="s">
        <v>123</v>
      </c>
      <c r="BZ128" s="870" t="s">
        <v>123</v>
      </c>
      <c r="CA128" s="868" t="s">
        <v>123</v>
      </c>
      <c r="CB128" s="868" t="s">
        <v>123</v>
      </c>
      <c r="CC128" s="868" t="s">
        <v>123</v>
      </c>
      <c r="CD128" s="868" t="str">
        <f>IFERROR(__xludf.DUMMYFUNCTION("IF(OR(C128=""AÇÃO"",C128=""BDR""),IFERROR(GOOGLEFINANCE(CONCAT(""BVMF:"",CR128), ""volumeavg"")/1000000,""NC""),"""")"),"")</f>
        <v/>
      </c>
      <c r="CE128" s="870" t="s">
        <v>123</v>
      </c>
      <c r="CF128" s="870" t="s">
        <v>123</v>
      </c>
      <c r="CG128" s="870" t="str">
        <f>IFERROR(__xludf.DUMMYFUNCTION("IF(OR(C128=""AÇÃO"",C128=""BDR""),IF(CF128=0,""SEM DY"",IFERROR(ImportXML(CONCAT(""http://www.guiainvest.com.br/raiox/default.aspx?sigla="",$CR128),""//*[@id='lbPayoutAtual']""),""NC"")),"""")"),"")</f>
        <v/>
      </c>
      <c r="CH128" s="870" t="s">
        <v>123</v>
      </c>
      <c r="CI128" s="545"/>
      <c r="CJ128" s="871" t="str">
        <f>IFERROR(__xludf.DUMMYFUNCTION("IF(OR(C128=""AÇÃO"",C128=""BDR""),IFERROR(GOOGLEFINANCE(CONCAT(""BVMF:"",CR128), ""eps""),""NC""),"""")"),"")</f>
        <v/>
      </c>
      <c r="CK128" s="442"/>
      <c r="CL128" s="871" t="str">
        <f>IFERROR(__xludf.DUMMYFUNCTION("IF(NOT($BL$4),"""",IF($CR128="""","""",IF($BC128="""","""",IFERROR(query({op.normal!$B$5:$F308},""select Col5, toDate(Col2) where Col1 =  '""&amp;$CR128&amp;""' and Col4 &gt; 0 and ((Col3 is null) or (Col3 = 'C')) and Col2 &gt;= date '""&amp;TEXT(TODAY()-$AQ$5,""yyyy-mm-dd"&amp;""")&amp;""' order by Col2 desc limit 1 label toDate(Col2) ''"")))))"),"")</f>
        <v/>
      </c>
      <c r="CM128" s="872"/>
      <c r="CN128" s="883" t="s">
        <v>123</v>
      </c>
      <c r="CO128" s="874" t="s">
        <v>123</v>
      </c>
      <c r="CP128" s="766"/>
      <c r="CQ128" s="791"/>
      <c r="CR128" s="791"/>
      <c r="CT128" s="791" t="s">
        <v>123</v>
      </c>
      <c r="CU128" s="791" t="str">
        <f>IFERROR(__xludf.DUMMYFUNCTION("IF(CR128="""","""",IF(CT128=$C$4,1,GOOGLEFINANCE(CT128&amp;$C$4)))"),"")</f>
        <v/>
      </c>
    </row>
    <row r="129" ht="22.5" customHeight="1">
      <c r="A129" s="837">
        <v>121.0</v>
      </c>
      <c r="B129" s="838" t="s">
        <v>123</v>
      </c>
      <c r="C129" s="838" t="s">
        <v>123</v>
      </c>
      <c r="D129" s="839" t="s">
        <v>123</v>
      </c>
      <c r="E129" s="839" t="s">
        <v>123</v>
      </c>
      <c r="F129" s="839" t="s">
        <v>123</v>
      </c>
      <c r="H129" s="884"/>
      <c r="I129" s="838"/>
      <c r="J129" s="838"/>
      <c r="K129" s="838"/>
      <c r="L129" s="838"/>
      <c r="M129" s="838"/>
      <c r="N129" s="838"/>
      <c r="O129" s="838"/>
      <c r="P129" s="838"/>
      <c r="Q129" s="838"/>
      <c r="R129" s="838"/>
      <c r="S129" s="838"/>
      <c r="T129" s="838"/>
      <c r="U129" s="838"/>
      <c r="V129" s="838"/>
      <c r="W129" s="838"/>
      <c r="X129" s="838"/>
      <c r="Z129" s="875" t="str">
        <f>IFERROR(__xludf.DUMMYFUNCTION("IF($CR129="""","""",IFERROR(query({CarteirasAtivos},""select Col4 where Col4 is not null and Col1 = '""&amp;$CR129&amp;""' limit 1"")*CU129,""NC""))"),"")</f>
        <v/>
      </c>
      <c r="AA129" s="876" t="str">
        <f>IFERROR(__xludf.DUMMYFUNCTION("IF($CR129="""","""",IFERROR(query({CarteirasAtivos},""select Col6 where Col4 is not null and Col1 = '""&amp;$CR129&amp;""' limit 1""),""NC""))"),"")</f>
        <v/>
      </c>
      <c r="AB129" s="877"/>
      <c r="AC129" s="878" t="s">
        <v>123</v>
      </c>
      <c r="AD129" s="845" t="str">
        <f>IF($CR129="","",IFERROR(VLOOKUP($CR129,ativos.!$C$3:$R308,MATCH("cotacao",ativos.!$C$2:CY$2,0),FALSE)*$CU$5,"atualizar"))</f>
        <v/>
      </c>
      <c r="AE129" s="846" t="str">
        <f>IFERROR(__xludf.DUMMYFUNCTION("IF($CR129="""","""",IFERROR(AVERAGE(query({CarteirasAtivos;CarteirasAtivosEncerrados},""select Col5 where Col5 is not null and Col1 = '""&amp;$CR129&amp;""' and Col10='SIM'""))*CU129,""NC""))"),"")</f>
        <v/>
      </c>
      <c r="AF129" s="847" t="str">
        <f t="shared" si="1"/>
        <v/>
      </c>
      <c r="AG129" s="442"/>
      <c r="AH129" s="848" t="str">
        <f>IFERROR(__xludf.DUMMYFUNCTION("IF($CR129="""","""",IFERROR(GOOGLEFINANCE($CR129,""low52"")*CU129,""-""))"),"")</f>
        <v/>
      </c>
      <c r="AI129" s="848" t="str">
        <f>IFERROR(__xludf.DUMMYFUNCTION("IF($CR129="""","""",IFERROR(GOOGLEFINANCE($CR129,""high52"")*CU129,""-""))"),"")</f>
        <v/>
      </c>
      <c r="AJ129" s="849" t="s">
        <v>123</v>
      </c>
      <c r="AK129" s="850" t="str">
        <f>IFERROR(__xludf.DUMMYFUNCTION("IF($CR129="""","""",IFERROR(GOOGLEFINANCE($CR129,""changepct"")/100,""-""))"),"")</f>
        <v/>
      </c>
      <c r="AL129" s="851" t="str">
        <f>IFERROR(__xludf.DUMMYFUNCTION("IF($CR129="""","""",IFERROR(($AD129/(QUERY(GOOGLEFINANCE($CR129,""price"",TODAY()-7),""SELECT Col2 label Col2 ''"")*$CU129)-1),""-""))"),"")</f>
        <v/>
      </c>
      <c r="AM129" s="851" t="str">
        <f>IFERROR(__xludf.DUMMYFUNCTION("IF($CR129="""","""",IFERROR(($AD129/(QUERY(GOOGLEFINANCE($CR129,""price"",TODAY()-14),""SELECT Col2 label Col2 ''"")*$CU129)-1),""-""))"),"")</f>
        <v/>
      </c>
      <c r="AN129" s="851" t="str">
        <f>IFERROR(__xludf.DUMMYFUNCTION("IF($CR129="""","""",IFERROR(($AD129/(QUERY(GOOGLEFINANCE($CR129,""price"",TODAY()-28),""SELECT Col2 label Col2 ''"")*$CU129)-1),""-""))"),"")</f>
        <v/>
      </c>
      <c r="AO129" s="851" t="str">
        <f>IFERROR(__xludf.DUMMYFUNCTION("IF($CR129="""","""",IFERROR(($AD129/(QUERY(GOOGLEFINANCE($CR129,""price"",TODAY()-$AQ$5),""SELECT Col2 label Col2 ''"")*$CU129)-1),""-""))"),"")</f>
        <v/>
      </c>
      <c r="AP129" s="852" t="str">
        <f>IFERROR(__xludf.DUMMYFUNCTION("IF($CR129="""","""",IFERROR(SPARKLINE(query(GOOGLEFINANCE($CR129,""price"",TODAY()-$AQ$5,TODAY(),1),""select Col2 label Col2 ''""),IF($AP$7=""Gráfico de barras"",{""charttype"",""column"";""highcolor"",""red""},{""chartype"",""line""}))))"),"")</f>
        <v/>
      </c>
      <c r="AQ129" s="144"/>
      <c r="AR129" s="853"/>
      <c r="AS129" s="854" t="str">
        <f>IF($CR129="","",IF(NOT('alocação'!$D$1),"off",IFERROR(VLOOKUP(CR129,BalanceAtivos,3,0),"NC")))</f>
        <v/>
      </c>
      <c r="AT129" s="855" t="str">
        <f>IF($CR129="","",IF(NOT('alocação'!$D$1),"off",IFERROR(VLOOKUP($CR129,BalanceAtivos,4,0)*$CU$5,"NC")))</f>
        <v/>
      </c>
      <c r="AU129" s="856" t="str">
        <f>IF($CR129="","",IF(NOT('alocação'!$D$1),"off",IFERROR(VLOOKUP($CR129,BalanceAtivos,5,0),"-")))</f>
        <v/>
      </c>
      <c r="AV129" s="856" t="str">
        <f>IF($CR129="","",IF(NOT('alocação'!$D$1),"off",IFERROR(VLOOKUP($CR129,BalanceAtivos,6,0),"-")))</f>
        <v/>
      </c>
      <c r="AW129" s="857"/>
      <c r="AX129" s="858" t="str">
        <f>IF($CR129="","",IF($E129="","SP",IFERROR(VLOOKUP($CR129,AtivosDados,MATCH("pm_atual",portfolio.!$A$3:CY$3,0),0)*$CU$5,0)))</f>
        <v/>
      </c>
      <c r="AY129" s="859" t="str">
        <f t="shared" si="2"/>
        <v/>
      </c>
      <c r="AZ129" s="858" t="str">
        <f>IF($CR129="","",IF($E129="","SP",SUMIF(portfolio.!$A$4:$A308,$CR129,portfolio.!$O$4:$O308)*$CU$5))</f>
        <v/>
      </c>
      <c r="BA129" s="858" t="str">
        <f>IF($CR129="","",IF($E129="","SP",SUMIF(portfolio.!$A$4:$A308,$CR129,portfolio.!$AN$4:$AN308)*$CU$5))</f>
        <v/>
      </c>
      <c r="BB129" s="860" t="str">
        <f>IF($CR129="","",IF($E129="","-",IFERROR($BA129/'portfólio'!$DG$63,"")))</f>
        <v/>
      </c>
      <c r="BC129" s="861" t="str">
        <f>IF($CR129="","",IF($E129="","-",SUMIF(portfolio.!$A$4:$A308,$CR129,portfolio.!$J$4:$J308)))</f>
        <v/>
      </c>
      <c r="BD129" s="862" t="str">
        <f>IF($CR129="","",IF($E129="","SP",SUMIF(portfolio.!$A$4:$A308,$CR129,portfolio.!$AQ$4:$AQ308)*$CU$5))</f>
        <v/>
      </c>
      <c r="BE129" s="850" t="str">
        <f t="shared" si="3"/>
        <v/>
      </c>
      <c r="BF129" s="862" t="str">
        <f>IF($CR129="","",IF($E129="","-",SUMIF(portfolio.!$A$4:$A308,$CR129,portfolio.!$AX$4:$AX308)*$CU$5))</f>
        <v/>
      </c>
      <c r="BG129" s="545"/>
      <c r="BH129" s="879" t="s">
        <v>123</v>
      </c>
      <c r="BI129" s="880" t="s">
        <v>123</v>
      </c>
      <c r="BJ129" s="863" t="str">
        <f>IFERROR(__xludf.DUMMYFUNCTION("IF(NOT($BL$4),"""",IF($CR129="""","""",IFERROR(query({GOOGLEFINANCE($CR129,""price"",IF($BI129=""-"",TODAY()-($AQ$5+5),$BI129),TODAY()-1)},""Select max(Col2) where Col1 is not null label max(Col2) ''"")*CU129,""-"")))"),"")</f>
        <v/>
      </c>
      <c r="BK129" s="881" t="s">
        <v>123</v>
      </c>
      <c r="BL129" s="882" t="s">
        <v>123</v>
      </c>
      <c r="BM129" s="442"/>
      <c r="BN129" s="867" t="str">
        <f>IFERROR(__xludf.DUMMYFUNCTION("IF(CR129="""","""",IF(OR(C129=""AÇÃO"",C129=""BDR""),IFERROR(QUERY({fundamentus.!$A$3:$U308},$CX$67&amp;"" where Col1='""&amp;CR129&amp;""' limit 1"",0)),IF(C129=""FII"",IFERROR(QUERY({fundsexplorer.!$A$2:$Z308},$CY$67&amp;"" where Col1='""&amp;CR129&amp;""' limit 1"",0)),""""))"&amp;")"),"")</f>
        <v/>
      </c>
      <c r="BO129" s="867"/>
      <c r="BP129" s="867"/>
      <c r="BQ129" s="867"/>
      <c r="BR129" s="867"/>
      <c r="BS129" s="867"/>
      <c r="BT129" s="867"/>
      <c r="BU129" s="442"/>
      <c r="BV129" s="868" t="str">
        <f>IFERROR(__xludf.DUMMYFUNCTION("IF(OR(C129=""AÇÃO"",C129=""BDR""),IFERROR(GOOGLEFINANCE(CONCAT(""BVMF:"",CR129), ""marketcap"")/1000000,""NC""),"""")"),"")</f>
        <v/>
      </c>
      <c r="BW129" s="869" t="s">
        <v>123</v>
      </c>
      <c r="BX129" s="870" t="s">
        <v>123</v>
      </c>
      <c r="BY129" s="868" t="s">
        <v>123</v>
      </c>
      <c r="BZ129" s="870" t="s">
        <v>123</v>
      </c>
      <c r="CA129" s="868" t="s">
        <v>123</v>
      </c>
      <c r="CB129" s="868" t="s">
        <v>123</v>
      </c>
      <c r="CC129" s="868" t="s">
        <v>123</v>
      </c>
      <c r="CD129" s="868" t="str">
        <f>IFERROR(__xludf.DUMMYFUNCTION("IF(OR(C129=""AÇÃO"",C129=""BDR""),IFERROR(GOOGLEFINANCE(CONCAT(""BVMF:"",CR129), ""volumeavg"")/1000000,""NC""),"""")"),"")</f>
        <v/>
      </c>
      <c r="CE129" s="870" t="s">
        <v>123</v>
      </c>
      <c r="CF129" s="870" t="s">
        <v>123</v>
      </c>
      <c r="CG129" s="870" t="str">
        <f>IFERROR(__xludf.DUMMYFUNCTION("IF(OR(C129=""AÇÃO"",C129=""BDR""),IF(CF129=0,""SEM DY"",IFERROR(ImportXML(CONCAT(""http://www.guiainvest.com.br/raiox/default.aspx?sigla="",$CR129),""//*[@id='lbPayoutAtual']""),""NC"")),"""")"),"")</f>
        <v/>
      </c>
      <c r="CH129" s="870" t="s">
        <v>123</v>
      </c>
      <c r="CI129" s="545"/>
      <c r="CJ129" s="871" t="str">
        <f>IFERROR(__xludf.DUMMYFUNCTION("IF(OR(C129=""AÇÃO"",C129=""BDR""),IFERROR(GOOGLEFINANCE(CONCAT(""BVMF:"",CR129), ""eps""),""NC""),"""")"),"")</f>
        <v/>
      </c>
      <c r="CK129" s="442"/>
      <c r="CL129" s="871" t="str">
        <f>IFERROR(__xludf.DUMMYFUNCTION("IF(NOT($BL$4),"""",IF($CR129="""","""",IF($BC129="""","""",IFERROR(query({op.normal!$B$5:$F308},""select Col5, toDate(Col2) where Col1 =  '""&amp;$CR129&amp;""' and Col4 &gt; 0 and ((Col3 is null) or (Col3 = 'C')) and Col2 &gt;= date '""&amp;TEXT(TODAY()-$AQ$5,""yyyy-mm-dd"&amp;""")&amp;""' order by Col2 desc limit 1 label toDate(Col2) ''"")))))"),"")</f>
        <v/>
      </c>
      <c r="CM129" s="872"/>
      <c r="CN129" s="883" t="s">
        <v>123</v>
      </c>
      <c r="CO129" s="874" t="s">
        <v>123</v>
      </c>
      <c r="CP129" s="766"/>
      <c r="CQ129" s="791"/>
      <c r="CR129" s="791"/>
      <c r="CT129" s="791" t="s">
        <v>123</v>
      </c>
      <c r="CU129" s="791" t="str">
        <f>IFERROR(__xludf.DUMMYFUNCTION("IF(CR129="""","""",IF(CT129=$C$4,1,GOOGLEFINANCE(CT129&amp;$C$4)))"),"")</f>
        <v/>
      </c>
    </row>
    <row r="130" ht="22.5" customHeight="1">
      <c r="A130" s="837">
        <v>122.0</v>
      </c>
      <c r="B130" s="838" t="s">
        <v>123</v>
      </c>
      <c r="C130" s="838" t="s">
        <v>123</v>
      </c>
      <c r="D130" s="839" t="s">
        <v>123</v>
      </c>
      <c r="E130" s="839" t="s">
        <v>123</v>
      </c>
      <c r="F130" s="839" t="s">
        <v>123</v>
      </c>
      <c r="H130" s="884"/>
      <c r="I130" s="838"/>
      <c r="J130" s="838"/>
      <c r="K130" s="838"/>
      <c r="L130" s="838"/>
      <c r="M130" s="838"/>
      <c r="N130" s="838"/>
      <c r="O130" s="838"/>
      <c r="P130" s="838"/>
      <c r="Q130" s="838"/>
      <c r="R130" s="838"/>
      <c r="S130" s="838"/>
      <c r="T130" s="838"/>
      <c r="U130" s="838"/>
      <c r="V130" s="838"/>
      <c r="W130" s="838"/>
      <c r="X130" s="838"/>
      <c r="Z130" s="875" t="str">
        <f>IFERROR(__xludf.DUMMYFUNCTION("IF($CR130="""","""",IFERROR(query({CarteirasAtivos},""select Col4 where Col4 is not null and Col1 = '""&amp;$CR130&amp;""' limit 1"")*CU130,""NC""))"),"")</f>
        <v/>
      </c>
      <c r="AA130" s="876" t="str">
        <f>IFERROR(__xludf.DUMMYFUNCTION("IF($CR130="""","""",IFERROR(query({CarteirasAtivos},""select Col6 where Col4 is not null and Col1 = '""&amp;$CR130&amp;""' limit 1""),""NC""))"),"")</f>
        <v/>
      </c>
      <c r="AB130" s="877"/>
      <c r="AC130" s="878" t="s">
        <v>123</v>
      </c>
      <c r="AD130" s="845" t="str">
        <f>IF($CR130="","",IFERROR(VLOOKUP($CR130,ativos.!$C$3:$R308,MATCH("cotacao",ativos.!$C$2:CY$2,0),FALSE)*$CU$5,"atualizar"))</f>
        <v/>
      </c>
      <c r="AE130" s="846" t="str">
        <f>IFERROR(__xludf.DUMMYFUNCTION("IF($CR130="""","""",IFERROR(AVERAGE(query({CarteirasAtivos;CarteirasAtivosEncerrados},""select Col5 where Col5 is not null and Col1 = '""&amp;$CR130&amp;""' and Col10='SIM'""))*CU130,""NC""))"),"")</f>
        <v/>
      </c>
      <c r="AF130" s="847" t="str">
        <f t="shared" si="1"/>
        <v/>
      </c>
      <c r="AG130" s="442"/>
      <c r="AH130" s="848" t="str">
        <f>IFERROR(__xludf.DUMMYFUNCTION("IF($CR130="""","""",IFERROR(GOOGLEFINANCE($CR130,""low52"")*CU130,""-""))"),"")</f>
        <v/>
      </c>
      <c r="AI130" s="848" t="str">
        <f>IFERROR(__xludf.DUMMYFUNCTION("IF($CR130="""","""",IFERROR(GOOGLEFINANCE($CR130,""high52"")*CU130,""-""))"),"")</f>
        <v/>
      </c>
      <c r="AJ130" s="849" t="s">
        <v>123</v>
      </c>
      <c r="AK130" s="850" t="str">
        <f>IFERROR(__xludf.DUMMYFUNCTION("IF($CR130="""","""",IFERROR(GOOGLEFINANCE($CR130,""changepct"")/100,""-""))"),"")</f>
        <v/>
      </c>
      <c r="AL130" s="851" t="str">
        <f>IFERROR(__xludf.DUMMYFUNCTION("IF($CR130="""","""",IFERROR(($AD130/(QUERY(GOOGLEFINANCE($CR130,""price"",TODAY()-7),""SELECT Col2 label Col2 ''"")*$CU130)-1),""-""))"),"")</f>
        <v/>
      </c>
      <c r="AM130" s="851" t="str">
        <f>IFERROR(__xludf.DUMMYFUNCTION("IF($CR130="""","""",IFERROR(($AD130/(QUERY(GOOGLEFINANCE($CR130,""price"",TODAY()-14),""SELECT Col2 label Col2 ''"")*$CU130)-1),""-""))"),"")</f>
        <v/>
      </c>
      <c r="AN130" s="851" t="str">
        <f>IFERROR(__xludf.DUMMYFUNCTION("IF($CR130="""","""",IFERROR(($AD130/(QUERY(GOOGLEFINANCE($CR130,""price"",TODAY()-28),""SELECT Col2 label Col2 ''"")*$CU130)-1),""-""))"),"")</f>
        <v/>
      </c>
      <c r="AO130" s="851" t="str">
        <f>IFERROR(__xludf.DUMMYFUNCTION("IF($CR130="""","""",IFERROR(($AD130/(QUERY(GOOGLEFINANCE($CR130,""price"",TODAY()-$AQ$5),""SELECT Col2 label Col2 ''"")*$CU130)-1),""-""))"),"")</f>
        <v/>
      </c>
      <c r="AP130" s="852" t="str">
        <f>IFERROR(__xludf.DUMMYFUNCTION("IF($CR130="""","""",IFERROR(SPARKLINE(query(GOOGLEFINANCE($CR130,""price"",TODAY()-$AQ$5,TODAY(),1),""select Col2 label Col2 ''""),IF($AP$7=""Gráfico de barras"",{""charttype"",""column"";""highcolor"",""red""},{""chartype"",""line""}))))"),"")</f>
        <v/>
      </c>
      <c r="AQ130" s="144"/>
      <c r="AR130" s="853"/>
      <c r="AS130" s="854" t="str">
        <f>IF($CR130="","",IF(NOT('alocação'!$D$1),"off",IFERROR(VLOOKUP(CR130,BalanceAtivos,3,0),"NC")))</f>
        <v/>
      </c>
      <c r="AT130" s="855" t="str">
        <f>IF($CR130="","",IF(NOT('alocação'!$D$1),"off",IFERROR(VLOOKUP($CR130,BalanceAtivos,4,0)*$CU$5,"NC")))</f>
        <v/>
      </c>
      <c r="AU130" s="856" t="str">
        <f>IF($CR130="","",IF(NOT('alocação'!$D$1),"off",IFERROR(VLOOKUP($CR130,BalanceAtivos,5,0),"-")))</f>
        <v/>
      </c>
      <c r="AV130" s="856" t="str">
        <f>IF($CR130="","",IF(NOT('alocação'!$D$1),"off",IFERROR(VLOOKUP($CR130,BalanceAtivos,6,0),"-")))</f>
        <v/>
      </c>
      <c r="AW130" s="857"/>
      <c r="AX130" s="858" t="str">
        <f>IF($CR130="","",IF($E130="","SP",IFERROR(VLOOKUP($CR130,AtivosDados,MATCH("pm_atual",portfolio.!$A$3:CY$3,0),0)*$CU$5,0)))</f>
        <v/>
      </c>
      <c r="AY130" s="859" t="str">
        <f t="shared" si="2"/>
        <v/>
      </c>
      <c r="AZ130" s="858" t="str">
        <f>IF($CR130="","",IF($E130="","SP",SUMIF(portfolio.!$A$4:$A308,$CR130,portfolio.!$O$4:$O308)*$CU$5))</f>
        <v/>
      </c>
      <c r="BA130" s="858" t="str">
        <f>IF($CR130="","",IF($E130="","SP",SUMIF(portfolio.!$A$4:$A308,$CR130,portfolio.!$AN$4:$AN308)*$CU$5))</f>
        <v/>
      </c>
      <c r="BB130" s="860" t="str">
        <f>IF($CR130="","",IF($E130="","-",IFERROR($BA130/'portfólio'!$DG$63,"")))</f>
        <v/>
      </c>
      <c r="BC130" s="861" t="str">
        <f>IF($CR130="","",IF($E130="","-",SUMIF(portfolio.!$A$4:$A308,$CR130,portfolio.!$J$4:$J308)))</f>
        <v/>
      </c>
      <c r="BD130" s="862" t="str">
        <f>IF($CR130="","",IF($E130="","SP",SUMIF(portfolio.!$A$4:$A308,$CR130,portfolio.!$AQ$4:$AQ308)*$CU$5))</f>
        <v/>
      </c>
      <c r="BE130" s="850" t="str">
        <f t="shared" si="3"/>
        <v/>
      </c>
      <c r="BF130" s="862" t="str">
        <f>IF($CR130="","",IF($E130="","-",SUMIF(portfolio.!$A$4:$A308,$CR130,portfolio.!$AX$4:$AX308)*$CU$5))</f>
        <v/>
      </c>
      <c r="BG130" s="545"/>
      <c r="BH130" s="879" t="s">
        <v>123</v>
      </c>
      <c r="BI130" s="880" t="s">
        <v>123</v>
      </c>
      <c r="BJ130" s="863" t="str">
        <f>IFERROR(__xludf.DUMMYFUNCTION("IF(NOT($BL$4),"""",IF($CR130="""","""",IFERROR(query({GOOGLEFINANCE($CR130,""price"",IF($BI130=""-"",TODAY()-($AQ$5+5),$BI130),TODAY()-1)},""Select max(Col2) where Col1 is not null label max(Col2) ''"")*CU130,""-"")))"),"")</f>
        <v/>
      </c>
      <c r="BK130" s="881" t="s">
        <v>123</v>
      </c>
      <c r="BL130" s="882" t="s">
        <v>123</v>
      </c>
      <c r="BM130" s="442"/>
      <c r="BN130" s="867" t="str">
        <f>IFERROR(__xludf.DUMMYFUNCTION("IF(CR130="""","""",IF(OR(C130=""AÇÃO"",C130=""BDR""),IFERROR(QUERY({fundamentus.!$A$3:$U308},$CX$67&amp;"" where Col1='""&amp;CR130&amp;""' limit 1"",0)),IF(C130=""FII"",IFERROR(QUERY({fundsexplorer.!$A$2:$Z308},$CY$67&amp;"" where Col1='""&amp;CR130&amp;""' limit 1"",0)),""""))"&amp;")"),"")</f>
        <v/>
      </c>
      <c r="BO130" s="867"/>
      <c r="BP130" s="867"/>
      <c r="BQ130" s="867"/>
      <c r="BR130" s="867"/>
      <c r="BS130" s="867"/>
      <c r="BT130" s="867"/>
      <c r="BU130" s="442"/>
      <c r="BV130" s="868" t="str">
        <f>IFERROR(__xludf.DUMMYFUNCTION("IF(OR(C130=""AÇÃO"",C130=""BDR""),IFERROR(GOOGLEFINANCE(CONCAT(""BVMF:"",CR130), ""marketcap"")/1000000,""NC""),"""")"),"")</f>
        <v/>
      </c>
      <c r="BW130" s="869" t="s">
        <v>123</v>
      </c>
      <c r="BX130" s="870" t="s">
        <v>123</v>
      </c>
      <c r="BY130" s="868" t="s">
        <v>123</v>
      </c>
      <c r="BZ130" s="870" t="s">
        <v>123</v>
      </c>
      <c r="CA130" s="868" t="s">
        <v>123</v>
      </c>
      <c r="CB130" s="868" t="s">
        <v>123</v>
      </c>
      <c r="CC130" s="868" t="s">
        <v>123</v>
      </c>
      <c r="CD130" s="868" t="str">
        <f>IFERROR(__xludf.DUMMYFUNCTION("IF(OR(C130=""AÇÃO"",C130=""BDR""),IFERROR(GOOGLEFINANCE(CONCAT(""BVMF:"",CR130), ""volumeavg"")/1000000,""NC""),"""")"),"")</f>
        <v/>
      </c>
      <c r="CE130" s="870" t="s">
        <v>123</v>
      </c>
      <c r="CF130" s="870" t="s">
        <v>123</v>
      </c>
      <c r="CG130" s="870" t="str">
        <f>IFERROR(__xludf.DUMMYFUNCTION("IF(OR(C130=""AÇÃO"",C130=""BDR""),IF(CF130=0,""SEM DY"",IFERROR(ImportXML(CONCAT(""http://www.guiainvest.com.br/raiox/default.aspx?sigla="",$CR130),""//*[@id='lbPayoutAtual']""),""NC"")),"""")"),"")</f>
        <v/>
      </c>
      <c r="CH130" s="870" t="s">
        <v>123</v>
      </c>
      <c r="CI130" s="545"/>
      <c r="CJ130" s="871" t="str">
        <f>IFERROR(__xludf.DUMMYFUNCTION("IF(OR(C130=""AÇÃO"",C130=""BDR""),IFERROR(GOOGLEFINANCE(CONCAT(""BVMF:"",CR130), ""eps""),""NC""),"""")"),"")</f>
        <v/>
      </c>
      <c r="CK130" s="442"/>
      <c r="CL130" s="871" t="str">
        <f>IFERROR(__xludf.DUMMYFUNCTION("IF(NOT($BL$4),"""",IF($CR130="""","""",IF($BC130="""","""",IFERROR(query({op.normal!$B$5:$F308},""select Col5, toDate(Col2) where Col1 =  '""&amp;$CR130&amp;""' and Col4 &gt; 0 and ((Col3 is null) or (Col3 = 'C')) and Col2 &gt;= date '""&amp;TEXT(TODAY()-$AQ$5,""yyyy-mm-dd"&amp;""")&amp;""' order by Col2 desc limit 1 label toDate(Col2) ''"")))))"),"")</f>
        <v/>
      </c>
      <c r="CM130" s="872"/>
      <c r="CN130" s="883" t="s">
        <v>123</v>
      </c>
      <c r="CO130" s="874" t="s">
        <v>123</v>
      </c>
      <c r="CP130" s="766"/>
      <c r="CQ130" s="791"/>
      <c r="CR130" s="791"/>
      <c r="CT130" s="791" t="s">
        <v>123</v>
      </c>
      <c r="CU130" s="791" t="str">
        <f>IFERROR(__xludf.DUMMYFUNCTION("IF(CR130="""","""",IF(CT130=$C$4,1,GOOGLEFINANCE(CT130&amp;$C$4)))"),"")</f>
        <v/>
      </c>
    </row>
    <row r="131" ht="22.5" customHeight="1">
      <c r="A131" s="837">
        <v>123.0</v>
      </c>
      <c r="B131" s="838" t="s">
        <v>123</v>
      </c>
      <c r="C131" s="838" t="s">
        <v>123</v>
      </c>
      <c r="D131" s="839" t="s">
        <v>123</v>
      </c>
      <c r="E131" s="839" t="s">
        <v>123</v>
      </c>
      <c r="F131" s="839" t="s">
        <v>123</v>
      </c>
      <c r="H131" s="884"/>
      <c r="I131" s="838"/>
      <c r="J131" s="838"/>
      <c r="K131" s="838"/>
      <c r="L131" s="838"/>
      <c r="M131" s="838"/>
      <c r="N131" s="838"/>
      <c r="O131" s="838"/>
      <c r="P131" s="838"/>
      <c r="Q131" s="838"/>
      <c r="R131" s="838"/>
      <c r="S131" s="838"/>
      <c r="T131" s="838"/>
      <c r="U131" s="838"/>
      <c r="V131" s="838"/>
      <c r="W131" s="838"/>
      <c r="X131" s="838"/>
      <c r="Z131" s="875" t="str">
        <f>IFERROR(__xludf.DUMMYFUNCTION("IF($CR131="""","""",IFERROR(query({CarteirasAtivos},""select Col4 where Col4 is not null and Col1 = '""&amp;$CR131&amp;""' limit 1"")*CU131,""NC""))"),"")</f>
        <v/>
      </c>
      <c r="AA131" s="876" t="str">
        <f>IFERROR(__xludf.DUMMYFUNCTION("IF($CR131="""","""",IFERROR(query({CarteirasAtivos},""select Col6 where Col4 is not null and Col1 = '""&amp;$CR131&amp;""' limit 1""),""NC""))"),"")</f>
        <v/>
      </c>
      <c r="AB131" s="877"/>
      <c r="AC131" s="878" t="s">
        <v>123</v>
      </c>
      <c r="AD131" s="845" t="str">
        <f>IF($CR131="","",IFERROR(VLOOKUP($CR131,ativos.!$C$3:$R308,MATCH("cotacao",ativos.!$C$2:CY$2,0),FALSE)*$CU$5,"atualizar"))</f>
        <v/>
      </c>
      <c r="AE131" s="846" t="str">
        <f>IFERROR(__xludf.DUMMYFUNCTION("IF($CR131="""","""",IFERROR(AVERAGE(query({CarteirasAtivos;CarteirasAtivosEncerrados},""select Col5 where Col5 is not null and Col1 = '""&amp;$CR131&amp;""' and Col10='SIM'""))*CU131,""NC""))"),"")</f>
        <v/>
      </c>
      <c r="AF131" s="847" t="str">
        <f t="shared" si="1"/>
        <v/>
      </c>
      <c r="AG131" s="442"/>
      <c r="AH131" s="848" t="str">
        <f>IFERROR(__xludf.DUMMYFUNCTION("IF($CR131="""","""",IFERROR(GOOGLEFINANCE($CR131,""low52"")*CU131,""-""))"),"")</f>
        <v/>
      </c>
      <c r="AI131" s="848" t="str">
        <f>IFERROR(__xludf.DUMMYFUNCTION("IF($CR131="""","""",IFERROR(GOOGLEFINANCE($CR131,""high52"")*CU131,""-""))"),"")</f>
        <v/>
      </c>
      <c r="AJ131" s="849" t="s">
        <v>123</v>
      </c>
      <c r="AK131" s="850" t="str">
        <f>IFERROR(__xludf.DUMMYFUNCTION("IF($CR131="""","""",IFERROR(GOOGLEFINANCE($CR131,""changepct"")/100,""-""))"),"")</f>
        <v/>
      </c>
      <c r="AL131" s="851" t="str">
        <f>IFERROR(__xludf.DUMMYFUNCTION("IF($CR131="""","""",IFERROR(($AD131/(QUERY(GOOGLEFINANCE($CR131,""price"",TODAY()-7),""SELECT Col2 label Col2 ''"")*$CU131)-1),""-""))"),"")</f>
        <v/>
      </c>
      <c r="AM131" s="851" t="str">
        <f>IFERROR(__xludf.DUMMYFUNCTION("IF($CR131="""","""",IFERROR(($AD131/(QUERY(GOOGLEFINANCE($CR131,""price"",TODAY()-14),""SELECT Col2 label Col2 ''"")*$CU131)-1),""-""))"),"")</f>
        <v/>
      </c>
      <c r="AN131" s="851" t="str">
        <f>IFERROR(__xludf.DUMMYFUNCTION("IF($CR131="""","""",IFERROR(($AD131/(QUERY(GOOGLEFINANCE($CR131,""price"",TODAY()-28),""SELECT Col2 label Col2 ''"")*$CU131)-1),""-""))"),"")</f>
        <v/>
      </c>
      <c r="AO131" s="851" t="str">
        <f>IFERROR(__xludf.DUMMYFUNCTION("IF($CR131="""","""",IFERROR(($AD131/(QUERY(GOOGLEFINANCE($CR131,""price"",TODAY()-$AQ$5),""SELECT Col2 label Col2 ''"")*$CU131)-1),""-""))"),"")</f>
        <v/>
      </c>
      <c r="AP131" s="852" t="str">
        <f>IFERROR(__xludf.DUMMYFUNCTION("IF($CR131="""","""",IFERROR(SPARKLINE(query(GOOGLEFINANCE($CR131,""price"",TODAY()-$AQ$5,TODAY(),1),""select Col2 label Col2 ''""),IF($AP$7=""Gráfico de barras"",{""charttype"",""column"";""highcolor"",""red""},{""chartype"",""line""}))))"),"")</f>
        <v/>
      </c>
      <c r="AQ131" s="144"/>
      <c r="AR131" s="853"/>
      <c r="AS131" s="854" t="str">
        <f>IF($CR131="","",IF(NOT('alocação'!$D$1),"off",IFERROR(VLOOKUP(CR131,BalanceAtivos,3,0),"NC")))</f>
        <v/>
      </c>
      <c r="AT131" s="855" t="str">
        <f>IF($CR131="","",IF(NOT('alocação'!$D$1),"off",IFERROR(VLOOKUP($CR131,BalanceAtivos,4,0)*$CU$5,"NC")))</f>
        <v/>
      </c>
      <c r="AU131" s="856" t="str">
        <f>IF($CR131="","",IF(NOT('alocação'!$D$1),"off",IFERROR(VLOOKUP($CR131,BalanceAtivos,5,0),"-")))</f>
        <v/>
      </c>
      <c r="AV131" s="856" t="str">
        <f>IF($CR131="","",IF(NOT('alocação'!$D$1),"off",IFERROR(VLOOKUP($CR131,BalanceAtivos,6,0),"-")))</f>
        <v/>
      </c>
      <c r="AW131" s="857"/>
      <c r="AX131" s="858" t="str">
        <f>IF($CR131="","",IF($E131="","SP",IFERROR(VLOOKUP($CR131,AtivosDados,MATCH("pm_atual",portfolio.!$A$3:CY$3,0),0)*$CU$5,0)))</f>
        <v/>
      </c>
      <c r="AY131" s="859" t="str">
        <f t="shared" si="2"/>
        <v/>
      </c>
      <c r="AZ131" s="858" t="str">
        <f>IF($CR131="","",IF($E131="","SP",SUMIF(portfolio.!$A$4:$A308,$CR131,portfolio.!$O$4:$O308)*$CU$5))</f>
        <v/>
      </c>
      <c r="BA131" s="858" t="str">
        <f>IF($CR131="","",IF($E131="","SP",SUMIF(portfolio.!$A$4:$A308,$CR131,portfolio.!$AN$4:$AN308)*$CU$5))</f>
        <v/>
      </c>
      <c r="BB131" s="860" t="str">
        <f>IF($CR131="","",IF($E131="","-",IFERROR($BA131/'portfólio'!$DG$63,"")))</f>
        <v/>
      </c>
      <c r="BC131" s="861" t="str">
        <f>IF($CR131="","",IF($E131="","-",SUMIF(portfolio.!$A$4:$A308,$CR131,portfolio.!$J$4:$J308)))</f>
        <v/>
      </c>
      <c r="BD131" s="862" t="str">
        <f>IF($CR131="","",IF($E131="","SP",SUMIF(portfolio.!$A$4:$A308,$CR131,portfolio.!$AQ$4:$AQ308)*$CU$5))</f>
        <v/>
      </c>
      <c r="BE131" s="850" t="str">
        <f t="shared" si="3"/>
        <v/>
      </c>
      <c r="BF131" s="862" t="str">
        <f>IF($CR131="","",IF($E131="","-",SUMIF(portfolio.!$A$4:$A308,$CR131,portfolio.!$AX$4:$AX308)*$CU$5))</f>
        <v/>
      </c>
      <c r="BG131" s="545"/>
      <c r="BH131" s="879" t="s">
        <v>123</v>
      </c>
      <c r="BI131" s="880" t="s">
        <v>123</v>
      </c>
      <c r="BJ131" s="863" t="str">
        <f>IFERROR(__xludf.DUMMYFUNCTION("IF(NOT($BL$4),"""",IF($CR131="""","""",IFERROR(query({GOOGLEFINANCE($CR131,""price"",IF($BI131=""-"",TODAY()-($AQ$5+5),$BI131),TODAY()-1)},""Select max(Col2) where Col1 is not null label max(Col2) ''"")*CU131,""-"")))"),"")</f>
        <v/>
      </c>
      <c r="BK131" s="881" t="s">
        <v>123</v>
      </c>
      <c r="BL131" s="882" t="s">
        <v>123</v>
      </c>
      <c r="BM131" s="442"/>
      <c r="BN131" s="867" t="str">
        <f>IFERROR(__xludf.DUMMYFUNCTION("IF(CR131="""","""",IF(OR(C131=""AÇÃO"",C131=""BDR""),IFERROR(QUERY({fundamentus.!$A$3:$U308},$CX$67&amp;"" where Col1='""&amp;CR131&amp;""' limit 1"",0)),IF(C131=""FII"",IFERROR(QUERY({fundsexplorer.!$A$2:$Z308},$CY$67&amp;"" where Col1='""&amp;CR131&amp;""' limit 1"",0)),""""))"&amp;")"),"")</f>
        <v/>
      </c>
      <c r="BO131" s="867"/>
      <c r="BP131" s="867"/>
      <c r="BQ131" s="867"/>
      <c r="BR131" s="867"/>
      <c r="BS131" s="867"/>
      <c r="BT131" s="867"/>
      <c r="BU131" s="442"/>
      <c r="BV131" s="868" t="str">
        <f>IFERROR(__xludf.DUMMYFUNCTION("IF(OR(C131=""AÇÃO"",C131=""BDR""),IFERROR(GOOGLEFINANCE(CONCAT(""BVMF:"",CR131), ""marketcap"")/1000000,""NC""),"""")"),"")</f>
        <v/>
      </c>
      <c r="BW131" s="869" t="s">
        <v>123</v>
      </c>
      <c r="BX131" s="870" t="s">
        <v>123</v>
      </c>
      <c r="BY131" s="868" t="s">
        <v>123</v>
      </c>
      <c r="BZ131" s="870" t="s">
        <v>123</v>
      </c>
      <c r="CA131" s="868" t="s">
        <v>123</v>
      </c>
      <c r="CB131" s="868" t="s">
        <v>123</v>
      </c>
      <c r="CC131" s="868" t="s">
        <v>123</v>
      </c>
      <c r="CD131" s="868" t="str">
        <f>IFERROR(__xludf.DUMMYFUNCTION("IF(OR(C131=""AÇÃO"",C131=""BDR""),IFERROR(GOOGLEFINANCE(CONCAT(""BVMF:"",CR131), ""volumeavg"")/1000000,""NC""),"""")"),"")</f>
        <v/>
      </c>
      <c r="CE131" s="870" t="s">
        <v>123</v>
      </c>
      <c r="CF131" s="870" t="s">
        <v>123</v>
      </c>
      <c r="CG131" s="870" t="str">
        <f>IFERROR(__xludf.DUMMYFUNCTION("IF(OR(C131=""AÇÃO"",C131=""BDR""),IF(CF131=0,""SEM DY"",IFERROR(ImportXML(CONCAT(""http://www.guiainvest.com.br/raiox/default.aspx?sigla="",$CR131),""//*[@id='lbPayoutAtual']""),""NC"")),"""")"),"")</f>
        <v/>
      </c>
      <c r="CH131" s="870" t="s">
        <v>123</v>
      </c>
      <c r="CI131" s="545"/>
      <c r="CJ131" s="871" t="str">
        <f>IFERROR(__xludf.DUMMYFUNCTION("IF(OR(C131=""AÇÃO"",C131=""BDR""),IFERROR(GOOGLEFINANCE(CONCAT(""BVMF:"",CR131), ""eps""),""NC""),"""")"),"")</f>
        <v/>
      </c>
      <c r="CK131" s="442"/>
      <c r="CL131" s="871" t="str">
        <f>IFERROR(__xludf.DUMMYFUNCTION("IF(NOT($BL$4),"""",IF($CR131="""","""",IF($BC131="""","""",IFERROR(query({op.normal!$B$5:$F308},""select Col5, toDate(Col2) where Col1 =  '""&amp;$CR131&amp;""' and Col4 &gt; 0 and ((Col3 is null) or (Col3 = 'C')) and Col2 &gt;= date '""&amp;TEXT(TODAY()-$AQ$5,""yyyy-mm-dd"&amp;""")&amp;""' order by Col2 desc limit 1 label toDate(Col2) ''"")))))"),"")</f>
        <v/>
      </c>
      <c r="CM131" s="872"/>
      <c r="CN131" s="883" t="s">
        <v>123</v>
      </c>
      <c r="CO131" s="874" t="s">
        <v>123</v>
      </c>
      <c r="CP131" s="766"/>
      <c r="CQ131" s="791"/>
      <c r="CR131" s="791"/>
      <c r="CT131" s="791" t="s">
        <v>123</v>
      </c>
      <c r="CU131" s="791" t="str">
        <f>IFERROR(__xludf.DUMMYFUNCTION("IF(CR131="""","""",IF(CT131=$C$4,1,GOOGLEFINANCE(CT131&amp;$C$4)))"),"")</f>
        <v/>
      </c>
    </row>
    <row r="132" ht="22.5" customHeight="1">
      <c r="A132" s="837">
        <v>124.0</v>
      </c>
      <c r="B132" s="838" t="s">
        <v>123</v>
      </c>
      <c r="C132" s="838" t="s">
        <v>123</v>
      </c>
      <c r="D132" s="839" t="s">
        <v>123</v>
      </c>
      <c r="E132" s="839" t="s">
        <v>123</v>
      </c>
      <c r="F132" s="839" t="s">
        <v>123</v>
      </c>
      <c r="H132" s="884"/>
      <c r="I132" s="838"/>
      <c r="J132" s="838"/>
      <c r="K132" s="838"/>
      <c r="L132" s="838"/>
      <c r="M132" s="838"/>
      <c r="N132" s="838"/>
      <c r="O132" s="838"/>
      <c r="P132" s="838"/>
      <c r="Q132" s="838"/>
      <c r="R132" s="838"/>
      <c r="S132" s="838"/>
      <c r="T132" s="838"/>
      <c r="U132" s="838"/>
      <c r="V132" s="838"/>
      <c r="W132" s="838"/>
      <c r="X132" s="838"/>
      <c r="Z132" s="875" t="str">
        <f>IFERROR(__xludf.DUMMYFUNCTION("IF($CR132="""","""",IFERROR(query({CarteirasAtivos},""select Col4 where Col4 is not null and Col1 = '""&amp;$CR132&amp;""' limit 1"")*CU132,""NC""))"),"")</f>
        <v/>
      </c>
      <c r="AA132" s="876" t="str">
        <f>IFERROR(__xludf.DUMMYFUNCTION("IF($CR132="""","""",IFERROR(query({CarteirasAtivos},""select Col6 where Col4 is not null and Col1 = '""&amp;$CR132&amp;""' limit 1""),""NC""))"),"")</f>
        <v/>
      </c>
      <c r="AB132" s="877"/>
      <c r="AC132" s="878" t="s">
        <v>123</v>
      </c>
      <c r="AD132" s="845" t="str">
        <f>IF($CR132="","",IFERROR(VLOOKUP($CR132,ativos.!$C$3:$R308,MATCH("cotacao",ativos.!$C$2:CY$2,0),FALSE)*$CU$5,"atualizar"))</f>
        <v/>
      </c>
      <c r="AE132" s="846" t="str">
        <f>IFERROR(__xludf.DUMMYFUNCTION("IF($CR132="""","""",IFERROR(AVERAGE(query({CarteirasAtivos;CarteirasAtivosEncerrados},""select Col5 where Col5 is not null and Col1 = '""&amp;$CR132&amp;""' and Col10='SIM'""))*CU132,""NC""))"),"")</f>
        <v/>
      </c>
      <c r="AF132" s="847" t="str">
        <f t="shared" si="1"/>
        <v/>
      </c>
      <c r="AG132" s="442"/>
      <c r="AH132" s="848" t="str">
        <f>IFERROR(__xludf.DUMMYFUNCTION("IF($CR132="""","""",IFERROR(GOOGLEFINANCE($CR132,""low52"")*CU132,""-""))"),"")</f>
        <v/>
      </c>
      <c r="AI132" s="848" t="str">
        <f>IFERROR(__xludf.DUMMYFUNCTION("IF($CR132="""","""",IFERROR(GOOGLEFINANCE($CR132,""high52"")*CU132,""-""))"),"")</f>
        <v/>
      </c>
      <c r="AJ132" s="849" t="s">
        <v>123</v>
      </c>
      <c r="AK132" s="850" t="str">
        <f>IFERROR(__xludf.DUMMYFUNCTION("IF($CR132="""","""",IFERROR(GOOGLEFINANCE($CR132,""changepct"")/100,""-""))"),"")</f>
        <v/>
      </c>
      <c r="AL132" s="851" t="str">
        <f>IFERROR(__xludf.DUMMYFUNCTION("IF($CR132="""","""",IFERROR(($AD132/(QUERY(GOOGLEFINANCE($CR132,""price"",TODAY()-7),""SELECT Col2 label Col2 ''"")*$CU132)-1),""-""))"),"")</f>
        <v/>
      </c>
      <c r="AM132" s="851" t="str">
        <f>IFERROR(__xludf.DUMMYFUNCTION("IF($CR132="""","""",IFERROR(($AD132/(QUERY(GOOGLEFINANCE($CR132,""price"",TODAY()-14),""SELECT Col2 label Col2 ''"")*$CU132)-1),""-""))"),"")</f>
        <v/>
      </c>
      <c r="AN132" s="851" t="str">
        <f>IFERROR(__xludf.DUMMYFUNCTION("IF($CR132="""","""",IFERROR(($AD132/(QUERY(GOOGLEFINANCE($CR132,""price"",TODAY()-28),""SELECT Col2 label Col2 ''"")*$CU132)-1),""-""))"),"")</f>
        <v/>
      </c>
      <c r="AO132" s="851" t="str">
        <f>IFERROR(__xludf.DUMMYFUNCTION("IF($CR132="""","""",IFERROR(($AD132/(QUERY(GOOGLEFINANCE($CR132,""price"",TODAY()-$AQ$5),""SELECT Col2 label Col2 ''"")*$CU132)-1),""-""))"),"")</f>
        <v/>
      </c>
      <c r="AP132" s="852" t="str">
        <f>IFERROR(__xludf.DUMMYFUNCTION("IF($CR132="""","""",IFERROR(SPARKLINE(query(GOOGLEFINANCE($CR132,""price"",TODAY()-$AQ$5,TODAY(),1),""select Col2 label Col2 ''""),IF($AP$7=""Gráfico de barras"",{""charttype"",""column"";""highcolor"",""red""},{""chartype"",""line""}))))"),"")</f>
        <v/>
      </c>
      <c r="AQ132" s="144"/>
      <c r="AR132" s="853"/>
      <c r="AS132" s="854" t="str">
        <f>IF($CR132="","",IF(NOT('alocação'!$D$1),"off",IFERROR(VLOOKUP(CR132,BalanceAtivos,3,0),"NC")))</f>
        <v/>
      </c>
      <c r="AT132" s="855" t="str">
        <f>IF($CR132="","",IF(NOT('alocação'!$D$1),"off",IFERROR(VLOOKUP($CR132,BalanceAtivos,4,0)*$CU$5,"NC")))</f>
        <v/>
      </c>
      <c r="AU132" s="856" t="str">
        <f>IF($CR132="","",IF(NOT('alocação'!$D$1),"off",IFERROR(VLOOKUP($CR132,BalanceAtivos,5,0),"-")))</f>
        <v/>
      </c>
      <c r="AV132" s="856" t="str">
        <f>IF($CR132="","",IF(NOT('alocação'!$D$1),"off",IFERROR(VLOOKUP($CR132,BalanceAtivos,6,0),"-")))</f>
        <v/>
      </c>
      <c r="AW132" s="857"/>
      <c r="AX132" s="858" t="str">
        <f>IF($CR132="","",IF($E132="","SP",IFERROR(VLOOKUP($CR132,AtivosDados,MATCH("pm_atual",portfolio.!$A$3:CY$3,0),0)*$CU$5,0)))</f>
        <v/>
      </c>
      <c r="AY132" s="859" t="str">
        <f t="shared" si="2"/>
        <v/>
      </c>
      <c r="AZ132" s="858" t="str">
        <f>IF($CR132="","",IF($E132="","SP",SUMIF(portfolio.!$A$4:$A308,$CR132,portfolio.!$O$4:$O308)*$CU$5))</f>
        <v/>
      </c>
      <c r="BA132" s="858" t="str">
        <f>IF($CR132="","",IF($E132="","SP",SUMIF(portfolio.!$A$4:$A308,$CR132,portfolio.!$AN$4:$AN308)*$CU$5))</f>
        <v/>
      </c>
      <c r="BB132" s="860" t="str">
        <f>IF($CR132="","",IF($E132="","-",IFERROR($BA132/'portfólio'!$DG$63,"")))</f>
        <v/>
      </c>
      <c r="BC132" s="861" t="str">
        <f>IF($CR132="","",IF($E132="","-",SUMIF(portfolio.!$A$4:$A308,$CR132,portfolio.!$J$4:$J308)))</f>
        <v/>
      </c>
      <c r="BD132" s="862" t="str">
        <f>IF($CR132="","",IF($E132="","SP",SUMIF(portfolio.!$A$4:$A308,$CR132,portfolio.!$AQ$4:$AQ308)*$CU$5))</f>
        <v/>
      </c>
      <c r="BE132" s="850" t="str">
        <f t="shared" si="3"/>
        <v/>
      </c>
      <c r="BF132" s="862" t="str">
        <f>IF($CR132="","",IF($E132="","-",SUMIF(portfolio.!$A$4:$A308,$CR132,portfolio.!$AX$4:$AX308)*$CU$5))</f>
        <v/>
      </c>
      <c r="BG132" s="545"/>
      <c r="BH132" s="879" t="s">
        <v>123</v>
      </c>
      <c r="BI132" s="880" t="s">
        <v>123</v>
      </c>
      <c r="BJ132" s="863" t="str">
        <f>IFERROR(__xludf.DUMMYFUNCTION("IF(NOT($BL$4),"""",IF($CR132="""","""",IFERROR(query({GOOGLEFINANCE($CR132,""price"",IF($BI132=""-"",TODAY()-($AQ$5+5),$BI132),TODAY()-1)},""Select max(Col2) where Col1 is not null label max(Col2) ''"")*CU132,""-"")))"),"")</f>
        <v/>
      </c>
      <c r="BK132" s="881" t="s">
        <v>123</v>
      </c>
      <c r="BL132" s="882" t="s">
        <v>123</v>
      </c>
      <c r="BM132" s="442"/>
      <c r="BN132" s="867" t="str">
        <f>IFERROR(__xludf.DUMMYFUNCTION("IF(CR132="""","""",IF(OR(C132=""AÇÃO"",C132=""BDR""),IFERROR(QUERY({fundamentus.!$A$3:$U308},$CX$67&amp;"" where Col1='""&amp;CR132&amp;""' limit 1"",0)),IF(C132=""FII"",IFERROR(QUERY({fundsexplorer.!$A$2:$Z308},$CY$67&amp;"" where Col1='""&amp;CR132&amp;""' limit 1"",0)),""""))"&amp;")"),"")</f>
        <v/>
      </c>
      <c r="BO132" s="867"/>
      <c r="BP132" s="867"/>
      <c r="BQ132" s="867"/>
      <c r="BR132" s="867"/>
      <c r="BS132" s="867"/>
      <c r="BT132" s="867"/>
      <c r="BU132" s="442"/>
      <c r="BV132" s="868" t="str">
        <f>IFERROR(__xludf.DUMMYFUNCTION("IF(OR(C132=""AÇÃO"",C132=""BDR""),IFERROR(GOOGLEFINANCE(CONCAT(""BVMF:"",CR132), ""marketcap"")/1000000,""NC""),"""")"),"")</f>
        <v/>
      </c>
      <c r="BW132" s="869" t="s">
        <v>123</v>
      </c>
      <c r="BX132" s="870" t="s">
        <v>123</v>
      </c>
      <c r="BY132" s="868" t="s">
        <v>123</v>
      </c>
      <c r="BZ132" s="870" t="s">
        <v>123</v>
      </c>
      <c r="CA132" s="868" t="s">
        <v>123</v>
      </c>
      <c r="CB132" s="868" t="s">
        <v>123</v>
      </c>
      <c r="CC132" s="868" t="s">
        <v>123</v>
      </c>
      <c r="CD132" s="868" t="str">
        <f>IFERROR(__xludf.DUMMYFUNCTION("IF(OR(C132=""AÇÃO"",C132=""BDR""),IFERROR(GOOGLEFINANCE(CONCAT(""BVMF:"",CR132), ""volumeavg"")/1000000,""NC""),"""")"),"")</f>
        <v/>
      </c>
      <c r="CE132" s="870" t="s">
        <v>123</v>
      </c>
      <c r="CF132" s="870" t="s">
        <v>123</v>
      </c>
      <c r="CG132" s="870" t="str">
        <f>IFERROR(__xludf.DUMMYFUNCTION("IF(OR(C132=""AÇÃO"",C132=""BDR""),IF(CF132=0,""SEM DY"",IFERROR(ImportXML(CONCAT(""http://www.guiainvest.com.br/raiox/default.aspx?sigla="",$CR132),""//*[@id='lbPayoutAtual']""),""NC"")),"""")"),"")</f>
        <v/>
      </c>
      <c r="CH132" s="870" t="s">
        <v>123</v>
      </c>
      <c r="CI132" s="545"/>
      <c r="CJ132" s="871" t="str">
        <f>IFERROR(__xludf.DUMMYFUNCTION("IF(OR(C132=""AÇÃO"",C132=""BDR""),IFERROR(GOOGLEFINANCE(CONCAT(""BVMF:"",CR132), ""eps""),""NC""),"""")"),"")</f>
        <v/>
      </c>
      <c r="CK132" s="442"/>
      <c r="CL132" s="871" t="str">
        <f>IFERROR(__xludf.DUMMYFUNCTION("IF(NOT($BL$4),"""",IF($CR132="""","""",IF($BC132="""","""",IFERROR(query({op.normal!$B$5:$F308},""select Col5, toDate(Col2) where Col1 =  '""&amp;$CR132&amp;""' and Col4 &gt; 0 and ((Col3 is null) or (Col3 = 'C')) and Col2 &gt;= date '""&amp;TEXT(TODAY()-$AQ$5,""yyyy-mm-dd"&amp;""")&amp;""' order by Col2 desc limit 1 label toDate(Col2) ''"")))))"),"")</f>
        <v/>
      </c>
      <c r="CM132" s="872"/>
      <c r="CN132" s="883" t="s">
        <v>123</v>
      </c>
      <c r="CO132" s="874" t="s">
        <v>123</v>
      </c>
      <c r="CP132" s="766"/>
      <c r="CQ132" s="791"/>
      <c r="CR132" s="791"/>
      <c r="CT132" s="791" t="s">
        <v>123</v>
      </c>
      <c r="CU132" s="791" t="str">
        <f>IFERROR(__xludf.DUMMYFUNCTION("IF(CR132="""","""",IF(CT132=$C$4,1,GOOGLEFINANCE(CT132&amp;$C$4)))"),"")</f>
        <v/>
      </c>
    </row>
    <row r="133" ht="22.5" customHeight="1">
      <c r="A133" s="837">
        <v>125.0</v>
      </c>
      <c r="B133" s="838" t="s">
        <v>123</v>
      </c>
      <c r="C133" s="838" t="s">
        <v>123</v>
      </c>
      <c r="D133" s="839" t="s">
        <v>123</v>
      </c>
      <c r="E133" s="839" t="s">
        <v>123</v>
      </c>
      <c r="F133" s="839" t="s">
        <v>123</v>
      </c>
      <c r="H133" s="884"/>
      <c r="I133" s="838"/>
      <c r="J133" s="838"/>
      <c r="K133" s="838"/>
      <c r="L133" s="838"/>
      <c r="M133" s="838"/>
      <c r="N133" s="838"/>
      <c r="O133" s="838"/>
      <c r="P133" s="838"/>
      <c r="Q133" s="838"/>
      <c r="R133" s="838"/>
      <c r="S133" s="838"/>
      <c r="T133" s="838"/>
      <c r="U133" s="838"/>
      <c r="V133" s="838"/>
      <c r="W133" s="838"/>
      <c r="X133" s="838"/>
      <c r="Z133" s="875" t="str">
        <f>IFERROR(__xludf.DUMMYFUNCTION("IF($CR133="""","""",IFERROR(query({CarteirasAtivos},""select Col4 where Col4 is not null and Col1 = '""&amp;$CR133&amp;""' limit 1"")*CU133,""NC""))"),"")</f>
        <v/>
      </c>
      <c r="AA133" s="876" t="str">
        <f>IFERROR(__xludf.DUMMYFUNCTION("IF($CR133="""","""",IFERROR(query({CarteirasAtivos},""select Col6 where Col4 is not null and Col1 = '""&amp;$CR133&amp;""' limit 1""),""NC""))"),"")</f>
        <v/>
      </c>
      <c r="AB133" s="877"/>
      <c r="AC133" s="878" t="s">
        <v>123</v>
      </c>
      <c r="AD133" s="845" t="str">
        <f>IF($CR133="","",IFERROR(VLOOKUP($CR133,ativos.!$C$3:$R308,MATCH("cotacao",ativos.!$C$2:CY$2,0),FALSE)*$CU$5,"atualizar"))</f>
        <v/>
      </c>
      <c r="AE133" s="846" t="str">
        <f>IFERROR(__xludf.DUMMYFUNCTION("IF($CR133="""","""",IFERROR(AVERAGE(query({CarteirasAtivos;CarteirasAtivosEncerrados},""select Col5 where Col5 is not null and Col1 = '""&amp;$CR133&amp;""' and Col10='SIM'""))*CU133,""NC""))"),"")</f>
        <v/>
      </c>
      <c r="AF133" s="847" t="str">
        <f t="shared" si="1"/>
        <v/>
      </c>
      <c r="AG133" s="442"/>
      <c r="AH133" s="848" t="str">
        <f>IFERROR(__xludf.DUMMYFUNCTION("IF($CR133="""","""",IFERROR(GOOGLEFINANCE($CR133,""low52"")*CU133,""-""))"),"")</f>
        <v/>
      </c>
      <c r="AI133" s="848" t="str">
        <f>IFERROR(__xludf.DUMMYFUNCTION("IF($CR133="""","""",IFERROR(GOOGLEFINANCE($CR133,""high52"")*CU133,""-""))"),"")</f>
        <v/>
      </c>
      <c r="AJ133" s="849" t="s">
        <v>123</v>
      </c>
      <c r="AK133" s="850" t="str">
        <f>IFERROR(__xludf.DUMMYFUNCTION("IF($CR133="""","""",IFERROR(GOOGLEFINANCE($CR133,""changepct"")/100,""-""))"),"")</f>
        <v/>
      </c>
      <c r="AL133" s="851" t="str">
        <f>IFERROR(__xludf.DUMMYFUNCTION("IF($CR133="""","""",IFERROR(($AD133/(QUERY(GOOGLEFINANCE($CR133,""price"",TODAY()-7),""SELECT Col2 label Col2 ''"")*$CU133)-1),""-""))"),"")</f>
        <v/>
      </c>
      <c r="AM133" s="851" t="str">
        <f>IFERROR(__xludf.DUMMYFUNCTION("IF($CR133="""","""",IFERROR(($AD133/(QUERY(GOOGLEFINANCE($CR133,""price"",TODAY()-14),""SELECT Col2 label Col2 ''"")*$CU133)-1),""-""))"),"")</f>
        <v/>
      </c>
      <c r="AN133" s="851" t="str">
        <f>IFERROR(__xludf.DUMMYFUNCTION("IF($CR133="""","""",IFERROR(($AD133/(QUERY(GOOGLEFINANCE($CR133,""price"",TODAY()-28),""SELECT Col2 label Col2 ''"")*$CU133)-1),""-""))"),"")</f>
        <v/>
      </c>
      <c r="AO133" s="851" t="str">
        <f>IFERROR(__xludf.DUMMYFUNCTION("IF($CR133="""","""",IFERROR(($AD133/(QUERY(GOOGLEFINANCE($CR133,""price"",TODAY()-$AQ$5),""SELECT Col2 label Col2 ''"")*$CU133)-1),""-""))"),"")</f>
        <v/>
      </c>
      <c r="AP133" s="852" t="str">
        <f>IFERROR(__xludf.DUMMYFUNCTION("IF($CR133="""","""",IFERROR(SPARKLINE(query(GOOGLEFINANCE($CR133,""price"",TODAY()-$AQ$5,TODAY(),1),""select Col2 label Col2 ''""),IF($AP$7=""Gráfico de barras"",{""charttype"",""column"";""highcolor"",""red""},{""chartype"",""line""}))))"),"")</f>
        <v/>
      </c>
      <c r="AQ133" s="144"/>
      <c r="AR133" s="853"/>
      <c r="AS133" s="854" t="str">
        <f>IF($CR133="","",IF(NOT('alocação'!$D$1),"off",IFERROR(VLOOKUP(CR133,BalanceAtivos,3,0),"NC")))</f>
        <v/>
      </c>
      <c r="AT133" s="855" t="str">
        <f>IF($CR133="","",IF(NOT('alocação'!$D$1),"off",IFERROR(VLOOKUP($CR133,BalanceAtivos,4,0)*$CU$5,"NC")))</f>
        <v/>
      </c>
      <c r="AU133" s="856" t="str">
        <f>IF($CR133="","",IF(NOT('alocação'!$D$1),"off",IFERROR(VLOOKUP($CR133,BalanceAtivos,5,0),"-")))</f>
        <v/>
      </c>
      <c r="AV133" s="856" t="str">
        <f>IF($CR133="","",IF(NOT('alocação'!$D$1),"off",IFERROR(VLOOKUP($CR133,BalanceAtivos,6,0),"-")))</f>
        <v/>
      </c>
      <c r="AW133" s="857"/>
      <c r="AX133" s="858" t="str">
        <f>IF($CR133="","",IF($E133="","SP",IFERROR(VLOOKUP($CR133,AtivosDados,MATCH("pm_atual",portfolio.!$A$3:CY$3,0),0)*$CU$5,0)))</f>
        <v/>
      </c>
      <c r="AY133" s="859" t="str">
        <f t="shared" si="2"/>
        <v/>
      </c>
      <c r="AZ133" s="858" t="str">
        <f>IF($CR133="","",IF($E133="","SP",SUMIF(portfolio.!$A$4:$A308,$CR133,portfolio.!$O$4:$O308)*$CU$5))</f>
        <v/>
      </c>
      <c r="BA133" s="858" t="str">
        <f>IF($CR133="","",IF($E133="","SP",SUMIF(portfolio.!$A$4:$A308,$CR133,portfolio.!$AN$4:$AN308)*$CU$5))</f>
        <v/>
      </c>
      <c r="BB133" s="860" t="str">
        <f>IF($CR133="","",IF($E133="","-",IFERROR($BA133/'portfólio'!$DG$63,"")))</f>
        <v/>
      </c>
      <c r="BC133" s="861" t="str">
        <f>IF($CR133="","",IF($E133="","-",SUMIF(portfolio.!$A$4:$A308,$CR133,portfolio.!$J$4:$J308)))</f>
        <v/>
      </c>
      <c r="BD133" s="862" t="str">
        <f>IF($CR133="","",IF($E133="","SP",SUMIF(portfolio.!$A$4:$A308,$CR133,portfolio.!$AQ$4:$AQ308)*$CU$5))</f>
        <v/>
      </c>
      <c r="BE133" s="850" t="str">
        <f t="shared" si="3"/>
        <v/>
      </c>
      <c r="BF133" s="862" t="str">
        <f>IF($CR133="","",IF($E133="","-",SUMIF(portfolio.!$A$4:$A308,$CR133,portfolio.!$AX$4:$AX308)*$CU$5))</f>
        <v/>
      </c>
      <c r="BG133" s="545"/>
      <c r="BH133" s="879" t="s">
        <v>123</v>
      </c>
      <c r="BI133" s="880" t="s">
        <v>123</v>
      </c>
      <c r="BJ133" s="863" t="str">
        <f>IFERROR(__xludf.DUMMYFUNCTION("IF(NOT($BL$4),"""",IF($CR133="""","""",IFERROR(query({GOOGLEFINANCE($CR133,""price"",IF($BI133=""-"",TODAY()-($AQ$5+5),$BI133),TODAY()-1)},""Select max(Col2) where Col1 is not null label max(Col2) ''"")*CU133,""-"")))"),"")</f>
        <v/>
      </c>
      <c r="BK133" s="881" t="s">
        <v>123</v>
      </c>
      <c r="BL133" s="882" t="s">
        <v>123</v>
      </c>
      <c r="BM133" s="442"/>
      <c r="BN133" s="867" t="str">
        <f>IFERROR(__xludf.DUMMYFUNCTION("IF(CR133="""","""",IF(OR(C133=""AÇÃO"",C133=""BDR""),IFERROR(QUERY({fundamentus.!$A$3:$U308},$CX$67&amp;"" where Col1='""&amp;CR133&amp;""' limit 1"",0)),IF(C133=""FII"",IFERROR(QUERY({fundsexplorer.!$A$2:$Z308},$CY$67&amp;"" where Col1='""&amp;CR133&amp;""' limit 1"",0)),""""))"&amp;")"),"")</f>
        <v/>
      </c>
      <c r="BO133" s="867"/>
      <c r="BP133" s="867"/>
      <c r="BQ133" s="867"/>
      <c r="BR133" s="867"/>
      <c r="BS133" s="867"/>
      <c r="BT133" s="867"/>
      <c r="BU133" s="442"/>
      <c r="BV133" s="868" t="str">
        <f>IFERROR(__xludf.DUMMYFUNCTION("IF(OR(C133=""AÇÃO"",C133=""BDR""),IFERROR(GOOGLEFINANCE(CONCAT(""BVMF:"",CR133), ""marketcap"")/1000000,""NC""),"""")"),"")</f>
        <v/>
      </c>
      <c r="BW133" s="869" t="s">
        <v>123</v>
      </c>
      <c r="BX133" s="870" t="s">
        <v>123</v>
      </c>
      <c r="BY133" s="868" t="s">
        <v>123</v>
      </c>
      <c r="BZ133" s="870" t="s">
        <v>123</v>
      </c>
      <c r="CA133" s="868" t="s">
        <v>123</v>
      </c>
      <c r="CB133" s="868" t="s">
        <v>123</v>
      </c>
      <c r="CC133" s="868" t="s">
        <v>123</v>
      </c>
      <c r="CD133" s="868" t="str">
        <f>IFERROR(__xludf.DUMMYFUNCTION("IF(OR(C133=""AÇÃO"",C133=""BDR""),IFERROR(GOOGLEFINANCE(CONCAT(""BVMF:"",CR133), ""volumeavg"")/1000000,""NC""),"""")"),"")</f>
        <v/>
      </c>
      <c r="CE133" s="870" t="s">
        <v>123</v>
      </c>
      <c r="CF133" s="870" t="s">
        <v>123</v>
      </c>
      <c r="CG133" s="870" t="str">
        <f>IFERROR(__xludf.DUMMYFUNCTION("IF(OR(C133=""AÇÃO"",C133=""BDR""),IF(CF133=0,""SEM DY"",IFERROR(ImportXML(CONCAT(""http://www.guiainvest.com.br/raiox/default.aspx?sigla="",$CR133),""//*[@id='lbPayoutAtual']""),""NC"")),"""")"),"")</f>
        <v/>
      </c>
      <c r="CH133" s="870" t="s">
        <v>123</v>
      </c>
      <c r="CI133" s="545"/>
      <c r="CJ133" s="871" t="str">
        <f>IFERROR(__xludf.DUMMYFUNCTION("IF(OR(C133=""AÇÃO"",C133=""BDR""),IFERROR(GOOGLEFINANCE(CONCAT(""BVMF:"",CR133), ""eps""),""NC""),"""")"),"")</f>
        <v/>
      </c>
      <c r="CK133" s="442"/>
      <c r="CL133" s="871" t="str">
        <f>IFERROR(__xludf.DUMMYFUNCTION("IF(NOT($BL$4),"""",IF($CR133="""","""",IF($BC133="""","""",IFERROR(query({op.normal!$B$5:$F308},""select Col5, toDate(Col2) where Col1 =  '""&amp;$CR133&amp;""' and Col4 &gt; 0 and ((Col3 is null) or (Col3 = 'C')) and Col2 &gt;= date '""&amp;TEXT(TODAY()-$AQ$5,""yyyy-mm-dd"&amp;""")&amp;""' order by Col2 desc limit 1 label toDate(Col2) ''"")))))"),"")</f>
        <v/>
      </c>
      <c r="CM133" s="872"/>
      <c r="CN133" s="883" t="s">
        <v>123</v>
      </c>
      <c r="CO133" s="874" t="s">
        <v>123</v>
      </c>
      <c r="CP133" s="766"/>
      <c r="CQ133" s="791"/>
      <c r="CR133" s="791"/>
      <c r="CT133" s="791" t="s">
        <v>123</v>
      </c>
      <c r="CU133" s="791" t="str">
        <f>IFERROR(__xludf.DUMMYFUNCTION("IF(CR133="""","""",IF(CT133=$C$4,1,GOOGLEFINANCE(CT133&amp;$C$4)))"),"")</f>
        <v/>
      </c>
    </row>
    <row r="134" ht="22.5" customHeight="1">
      <c r="A134" s="837">
        <v>126.0</v>
      </c>
      <c r="B134" s="838" t="s">
        <v>123</v>
      </c>
      <c r="C134" s="838" t="s">
        <v>123</v>
      </c>
      <c r="D134" s="839" t="s">
        <v>123</v>
      </c>
      <c r="E134" s="839" t="s">
        <v>123</v>
      </c>
      <c r="F134" s="839" t="s">
        <v>123</v>
      </c>
      <c r="H134" s="884"/>
      <c r="I134" s="838"/>
      <c r="J134" s="838"/>
      <c r="K134" s="838"/>
      <c r="L134" s="838"/>
      <c r="M134" s="838"/>
      <c r="N134" s="838"/>
      <c r="O134" s="838"/>
      <c r="P134" s="838"/>
      <c r="Q134" s="838"/>
      <c r="R134" s="838"/>
      <c r="S134" s="838"/>
      <c r="T134" s="838"/>
      <c r="U134" s="838"/>
      <c r="V134" s="838"/>
      <c r="W134" s="838"/>
      <c r="X134" s="838"/>
      <c r="Z134" s="875" t="str">
        <f>IFERROR(__xludf.DUMMYFUNCTION("IF($CR134="""","""",IFERROR(query({CarteirasAtivos},""select Col4 where Col4 is not null and Col1 = '""&amp;$CR134&amp;""' limit 1"")*CU134,""NC""))"),"")</f>
        <v/>
      </c>
      <c r="AA134" s="876" t="str">
        <f>IFERROR(__xludf.DUMMYFUNCTION("IF($CR134="""","""",IFERROR(query({CarteirasAtivos},""select Col6 where Col4 is not null and Col1 = '""&amp;$CR134&amp;""' limit 1""),""NC""))"),"")</f>
        <v/>
      </c>
      <c r="AB134" s="877"/>
      <c r="AC134" s="878" t="s">
        <v>123</v>
      </c>
      <c r="AD134" s="845" t="str">
        <f>IF($CR134="","",IFERROR(VLOOKUP($CR134,ativos.!$C$3:$R308,MATCH("cotacao",ativos.!$C$2:CY$2,0),FALSE)*$CU$5,"atualizar"))</f>
        <v/>
      </c>
      <c r="AE134" s="846" t="str">
        <f>IFERROR(__xludf.DUMMYFUNCTION("IF($CR134="""","""",IFERROR(AVERAGE(query({CarteirasAtivos;CarteirasAtivosEncerrados},""select Col5 where Col5 is not null and Col1 = '""&amp;$CR134&amp;""' and Col10='SIM'""))*CU134,""NC""))"),"")</f>
        <v/>
      </c>
      <c r="AF134" s="847" t="str">
        <f t="shared" si="1"/>
        <v/>
      </c>
      <c r="AG134" s="442"/>
      <c r="AH134" s="848" t="str">
        <f>IFERROR(__xludf.DUMMYFUNCTION("IF($CR134="""","""",IFERROR(GOOGLEFINANCE($CR134,""low52"")*CU134,""-""))"),"")</f>
        <v/>
      </c>
      <c r="AI134" s="848" t="str">
        <f>IFERROR(__xludf.DUMMYFUNCTION("IF($CR134="""","""",IFERROR(GOOGLEFINANCE($CR134,""high52"")*CU134,""-""))"),"")</f>
        <v/>
      </c>
      <c r="AJ134" s="849" t="s">
        <v>123</v>
      </c>
      <c r="AK134" s="850" t="str">
        <f>IFERROR(__xludf.DUMMYFUNCTION("IF($CR134="""","""",IFERROR(GOOGLEFINANCE($CR134,""changepct"")/100,""-""))"),"")</f>
        <v/>
      </c>
      <c r="AL134" s="851" t="str">
        <f>IFERROR(__xludf.DUMMYFUNCTION("IF($CR134="""","""",IFERROR(($AD134/(QUERY(GOOGLEFINANCE($CR134,""price"",TODAY()-7),""SELECT Col2 label Col2 ''"")*$CU134)-1),""-""))"),"")</f>
        <v/>
      </c>
      <c r="AM134" s="851" t="str">
        <f>IFERROR(__xludf.DUMMYFUNCTION("IF($CR134="""","""",IFERROR(($AD134/(QUERY(GOOGLEFINANCE($CR134,""price"",TODAY()-14),""SELECT Col2 label Col2 ''"")*$CU134)-1),""-""))"),"")</f>
        <v/>
      </c>
      <c r="AN134" s="851" t="str">
        <f>IFERROR(__xludf.DUMMYFUNCTION("IF($CR134="""","""",IFERROR(($AD134/(QUERY(GOOGLEFINANCE($CR134,""price"",TODAY()-28),""SELECT Col2 label Col2 ''"")*$CU134)-1),""-""))"),"")</f>
        <v/>
      </c>
      <c r="AO134" s="851" t="str">
        <f>IFERROR(__xludf.DUMMYFUNCTION("IF($CR134="""","""",IFERROR(($AD134/(QUERY(GOOGLEFINANCE($CR134,""price"",TODAY()-$AQ$5),""SELECT Col2 label Col2 ''"")*$CU134)-1),""-""))"),"")</f>
        <v/>
      </c>
      <c r="AP134" s="852" t="str">
        <f>IFERROR(__xludf.DUMMYFUNCTION("IF($CR134="""","""",IFERROR(SPARKLINE(query(GOOGLEFINANCE($CR134,""price"",TODAY()-$AQ$5,TODAY(),1),""select Col2 label Col2 ''""),IF($AP$7=""Gráfico de barras"",{""charttype"",""column"";""highcolor"",""red""},{""chartype"",""line""}))))"),"")</f>
        <v/>
      </c>
      <c r="AQ134" s="144"/>
      <c r="AR134" s="853"/>
      <c r="AS134" s="854" t="str">
        <f>IF($CR134="","",IF(NOT('alocação'!$D$1),"off",IFERROR(VLOOKUP(CR134,BalanceAtivos,3,0),"NC")))</f>
        <v/>
      </c>
      <c r="AT134" s="855" t="str">
        <f>IF($CR134="","",IF(NOT('alocação'!$D$1),"off",IFERROR(VLOOKUP($CR134,BalanceAtivos,4,0)*$CU$5,"NC")))</f>
        <v/>
      </c>
      <c r="AU134" s="856" t="str">
        <f>IF($CR134="","",IF(NOT('alocação'!$D$1),"off",IFERROR(VLOOKUP($CR134,BalanceAtivos,5,0),"-")))</f>
        <v/>
      </c>
      <c r="AV134" s="856" t="str">
        <f>IF($CR134="","",IF(NOT('alocação'!$D$1),"off",IFERROR(VLOOKUP($CR134,BalanceAtivos,6,0),"-")))</f>
        <v/>
      </c>
      <c r="AW134" s="857"/>
      <c r="AX134" s="858" t="str">
        <f>IF($CR134="","",IF($E134="","SP",IFERROR(VLOOKUP($CR134,AtivosDados,MATCH("pm_atual",portfolio.!$A$3:CY$3,0),0)*$CU$5,0)))</f>
        <v/>
      </c>
      <c r="AY134" s="859" t="str">
        <f t="shared" si="2"/>
        <v/>
      </c>
      <c r="AZ134" s="858" t="str">
        <f>IF($CR134="","",IF($E134="","SP",SUMIF(portfolio.!$A$4:$A308,$CR134,portfolio.!$O$4:$O308)*$CU$5))</f>
        <v/>
      </c>
      <c r="BA134" s="858" t="str">
        <f>IF($CR134="","",IF($E134="","SP",SUMIF(portfolio.!$A$4:$A308,$CR134,portfolio.!$AN$4:$AN308)*$CU$5))</f>
        <v/>
      </c>
      <c r="BB134" s="860" t="str">
        <f>IF($CR134="","",IF($E134="","-",IFERROR($BA134/'portfólio'!$DG$63,"")))</f>
        <v/>
      </c>
      <c r="BC134" s="861" t="str">
        <f>IF($CR134="","",IF($E134="","-",SUMIF(portfolio.!$A$4:$A308,$CR134,portfolio.!$J$4:$J308)))</f>
        <v/>
      </c>
      <c r="BD134" s="862" t="str">
        <f>IF($CR134="","",IF($E134="","SP",SUMIF(portfolio.!$A$4:$A308,$CR134,portfolio.!$AQ$4:$AQ308)*$CU$5))</f>
        <v/>
      </c>
      <c r="BE134" s="850" t="str">
        <f t="shared" si="3"/>
        <v/>
      </c>
      <c r="BF134" s="862" t="str">
        <f>IF($CR134="","",IF($E134="","-",SUMIF(portfolio.!$A$4:$A308,$CR134,portfolio.!$AX$4:$AX308)*$CU$5))</f>
        <v/>
      </c>
      <c r="BG134" s="545"/>
      <c r="BH134" s="879" t="s">
        <v>123</v>
      </c>
      <c r="BI134" s="880" t="s">
        <v>123</v>
      </c>
      <c r="BJ134" s="863" t="str">
        <f>IFERROR(__xludf.DUMMYFUNCTION("IF(NOT($BL$4),"""",IF($CR134="""","""",IFERROR(query({GOOGLEFINANCE($CR134,""price"",IF($BI134=""-"",TODAY()-($AQ$5+5),$BI134),TODAY()-1)},""Select max(Col2) where Col1 is not null label max(Col2) ''"")*CU134,""-"")))"),"")</f>
        <v/>
      </c>
      <c r="BK134" s="881" t="s">
        <v>123</v>
      </c>
      <c r="BL134" s="882" t="s">
        <v>123</v>
      </c>
      <c r="BM134" s="442"/>
      <c r="BN134" s="867" t="str">
        <f>IFERROR(__xludf.DUMMYFUNCTION("IF(CR134="""","""",IF(OR(C134=""AÇÃO"",C134=""BDR""),IFERROR(QUERY({fundamentus.!$A$3:$U308},$CX$67&amp;"" where Col1='""&amp;CR134&amp;""' limit 1"",0)),IF(C134=""FII"",IFERROR(QUERY({fundsexplorer.!$A$2:$Z308},$CY$67&amp;"" where Col1='""&amp;CR134&amp;""' limit 1"",0)),""""))"&amp;")"),"")</f>
        <v/>
      </c>
      <c r="BO134" s="867"/>
      <c r="BP134" s="867"/>
      <c r="BQ134" s="867"/>
      <c r="BR134" s="867"/>
      <c r="BS134" s="867"/>
      <c r="BT134" s="867"/>
      <c r="BU134" s="442"/>
      <c r="BV134" s="868" t="str">
        <f>IFERROR(__xludf.DUMMYFUNCTION("IF(OR(C134=""AÇÃO"",C134=""BDR""),IFERROR(GOOGLEFINANCE(CONCAT(""BVMF:"",CR134), ""marketcap"")/1000000,""NC""),"""")"),"")</f>
        <v/>
      </c>
      <c r="BW134" s="869" t="s">
        <v>123</v>
      </c>
      <c r="BX134" s="870" t="s">
        <v>123</v>
      </c>
      <c r="BY134" s="868" t="s">
        <v>123</v>
      </c>
      <c r="BZ134" s="870" t="s">
        <v>123</v>
      </c>
      <c r="CA134" s="868" t="s">
        <v>123</v>
      </c>
      <c r="CB134" s="868" t="s">
        <v>123</v>
      </c>
      <c r="CC134" s="868" t="s">
        <v>123</v>
      </c>
      <c r="CD134" s="868" t="str">
        <f>IFERROR(__xludf.DUMMYFUNCTION("IF(OR(C134=""AÇÃO"",C134=""BDR""),IFERROR(GOOGLEFINANCE(CONCAT(""BVMF:"",CR134), ""volumeavg"")/1000000,""NC""),"""")"),"")</f>
        <v/>
      </c>
      <c r="CE134" s="870" t="s">
        <v>123</v>
      </c>
      <c r="CF134" s="870" t="s">
        <v>123</v>
      </c>
      <c r="CG134" s="870" t="str">
        <f>IFERROR(__xludf.DUMMYFUNCTION("IF(OR(C134=""AÇÃO"",C134=""BDR""),IF(CF134=0,""SEM DY"",IFERROR(ImportXML(CONCAT(""http://www.guiainvest.com.br/raiox/default.aspx?sigla="",$CR134),""//*[@id='lbPayoutAtual']""),""NC"")),"""")"),"")</f>
        <v/>
      </c>
      <c r="CH134" s="870" t="s">
        <v>123</v>
      </c>
      <c r="CI134" s="545"/>
      <c r="CJ134" s="871" t="str">
        <f>IFERROR(__xludf.DUMMYFUNCTION("IF(OR(C134=""AÇÃO"",C134=""BDR""),IFERROR(GOOGLEFINANCE(CONCAT(""BVMF:"",CR134), ""eps""),""NC""),"""")"),"")</f>
        <v/>
      </c>
      <c r="CK134" s="442"/>
      <c r="CL134" s="871" t="str">
        <f>IFERROR(__xludf.DUMMYFUNCTION("IF(NOT($BL$4),"""",IF($CR134="""","""",IF($BC134="""","""",IFERROR(query({op.normal!$B$5:$F308},""select Col5, toDate(Col2) where Col1 =  '""&amp;$CR134&amp;""' and Col4 &gt; 0 and ((Col3 is null) or (Col3 = 'C')) and Col2 &gt;= date '""&amp;TEXT(TODAY()-$AQ$5,""yyyy-mm-dd"&amp;""")&amp;""' order by Col2 desc limit 1 label toDate(Col2) ''"")))))"),"")</f>
        <v/>
      </c>
      <c r="CM134" s="872"/>
      <c r="CN134" s="883" t="s">
        <v>123</v>
      </c>
      <c r="CO134" s="874" t="s">
        <v>123</v>
      </c>
      <c r="CP134" s="766"/>
      <c r="CQ134" s="791"/>
      <c r="CR134" s="791"/>
      <c r="CT134" s="791" t="s">
        <v>123</v>
      </c>
      <c r="CU134" s="791" t="str">
        <f>IFERROR(__xludf.DUMMYFUNCTION("IF(CR134="""","""",IF(CT134=$C$4,1,GOOGLEFINANCE(CT134&amp;$C$4)))"),"")</f>
        <v/>
      </c>
    </row>
    <row r="135" ht="22.5" customHeight="1">
      <c r="A135" s="837">
        <v>127.0</v>
      </c>
      <c r="B135" s="838" t="s">
        <v>123</v>
      </c>
      <c r="C135" s="838" t="s">
        <v>123</v>
      </c>
      <c r="D135" s="839" t="s">
        <v>123</v>
      </c>
      <c r="E135" s="839" t="s">
        <v>123</v>
      </c>
      <c r="F135" s="839" t="s">
        <v>123</v>
      </c>
      <c r="H135" s="884"/>
      <c r="I135" s="838"/>
      <c r="J135" s="838"/>
      <c r="K135" s="838"/>
      <c r="L135" s="838"/>
      <c r="M135" s="838"/>
      <c r="N135" s="838"/>
      <c r="O135" s="838"/>
      <c r="P135" s="838"/>
      <c r="Q135" s="838"/>
      <c r="R135" s="838"/>
      <c r="S135" s="838"/>
      <c r="T135" s="838"/>
      <c r="U135" s="838"/>
      <c r="V135" s="838"/>
      <c r="W135" s="838"/>
      <c r="X135" s="838"/>
      <c r="Z135" s="875" t="str">
        <f>IFERROR(__xludf.DUMMYFUNCTION("IF($CR135="""","""",IFERROR(query({CarteirasAtivos},""select Col4 where Col4 is not null and Col1 = '""&amp;$CR135&amp;""' limit 1"")*CU135,""NC""))"),"")</f>
        <v/>
      </c>
      <c r="AA135" s="876" t="str">
        <f>IFERROR(__xludf.DUMMYFUNCTION("IF($CR135="""","""",IFERROR(query({CarteirasAtivos},""select Col6 where Col4 is not null and Col1 = '""&amp;$CR135&amp;""' limit 1""),""NC""))"),"")</f>
        <v/>
      </c>
      <c r="AB135" s="877"/>
      <c r="AC135" s="878" t="s">
        <v>123</v>
      </c>
      <c r="AD135" s="845" t="str">
        <f>IF($CR135="","",IFERROR(VLOOKUP($CR135,ativos.!$C$3:$R308,MATCH("cotacao",ativos.!$C$2:CY$2,0),FALSE)*$CU$5,"atualizar"))</f>
        <v/>
      </c>
      <c r="AE135" s="846" t="str">
        <f>IFERROR(__xludf.DUMMYFUNCTION("IF($CR135="""","""",IFERROR(AVERAGE(query({CarteirasAtivos;CarteirasAtivosEncerrados},""select Col5 where Col5 is not null and Col1 = '""&amp;$CR135&amp;""' and Col10='SIM'""))*CU135,""NC""))"),"")</f>
        <v/>
      </c>
      <c r="AF135" s="847" t="str">
        <f t="shared" si="1"/>
        <v/>
      </c>
      <c r="AG135" s="442"/>
      <c r="AH135" s="848" t="str">
        <f>IFERROR(__xludf.DUMMYFUNCTION("IF($CR135="""","""",IFERROR(GOOGLEFINANCE($CR135,""low52"")*CU135,""-""))"),"")</f>
        <v/>
      </c>
      <c r="AI135" s="848" t="str">
        <f>IFERROR(__xludf.DUMMYFUNCTION("IF($CR135="""","""",IFERROR(GOOGLEFINANCE($CR135,""high52"")*CU135,""-""))"),"")</f>
        <v/>
      </c>
      <c r="AJ135" s="849" t="s">
        <v>123</v>
      </c>
      <c r="AK135" s="850" t="str">
        <f>IFERROR(__xludf.DUMMYFUNCTION("IF($CR135="""","""",IFERROR(GOOGLEFINANCE($CR135,""changepct"")/100,""-""))"),"")</f>
        <v/>
      </c>
      <c r="AL135" s="851" t="str">
        <f>IFERROR(__xludf.DUMMYFUNCTION("IF($CR135="""","""",IFERROR(($AD135/(QUERY(GOOGLEFINANCE($CR135,""price"",TODAY()-7),""SELECT Col2 label Col2 ''"")*$CU135)-1),""-""))"),"")</f>
        <v/>
      </c>
      <c r="AM135" s="851" t="str">
        <f>IFERROR(__xludf.DUMMYFUNCTION("IF($CR135="""","""",IFERROR(($AD135/(QUERY(GOOGLEFINANCE($CR135,""price"",TODAY()-14),""SELECT Col2 label Col2 ''"")*$CU135)-1),""-""))"),"")</f>
        <v/>
      </c>
      <c r="AN135" s="851" t="str">
        <f>IFERROR(__xludf.DUMMYFUNCTION("IF($CR135="""","""",IFERROR(($AD135/(QUERY(GOOGLEFINANCE($CR135,""price"",TODAY()-28),""SELECT Col2 label Col2 ''"")*$CU135)-1),""-""))"),"")</f>
        <v/>
      </c>
      <c r="AO135" s="851" t="str">
        <f>IFERROR(__xludf.DUMMYFUNCTION("IF($CR135="""","""",IFERROR(($AD135/(QUERY(GOOGLEFINANCE($CR135,""price"",TODAY()-$AQ$5),""SELECT Col2 label Col2 ''"")*$CU135)-1),""-""))"),"")</f>
        <v/>
      </c>
      <c r="AP135" s="852" t="str">
        <f>IFERROR(__xludf.DUMMYFUNCTION("IF($CR135="""","""",IFERROR(SPARKLINE(query(GOOGLEFINANCE($CR135,""price"",TODAY()-$AQ$5,TODAY(),1),""select Col2 label Col2 ''""),IF($AP$7=""Gráfico de barras"",{""charttype"",""column"";""highcolor"",""red""},{""chartype"",""line""}))))"),"")</f>
        <v/>
      </c>
      <c r="AQ135" s="144"/>
      <c r="AR135" s="853"/>
      <c r="AS135" s="854" t="str">
        <f>IF($CR135="","",IF(NOT('alocação'!$D$1),"off",IFERROR(VLOOKUP(CR135,BalanceAtivos,3,0),"NC")))</f>
        <v/>
      </c>
      <c r="AT135" s="855" t="str">
        <f>IF($CR135="","",IF(NOT('alocação'!$D$1),"off",IFERROR(VLOOKUP($CR135,BalanceAtivos,4,0)*$CU$5,"NC")))</f>
        <v/>
      </c>
      <c r="AU135" s="856" t="str">
        <f>IF($CR135="","",IF(NOT('alocação'!$D$1),"off",IFERROR(VLOOKUP($CR135,BalanceAtivos,5,0),"-")))</f>
        <v/>
      </c>
      <c r="AV135" s="856" t="str">
        <f>IF($CR135="","",IF(NOT('alocação'!$D$1),"off",IFERROR(VLOOKUP($CR135,BalanceAtivos,6,0),"-")))</f>
        <v/>
      </c>
      <c r="AW135" s="857"/>
      <c r="AX135" s="858" t="str">
        <f>IF($CR135="","",IF($E135="","SP",IFERROR(VLOOKUP($CR135,AtivosDados,MATCH("pm_atual",portfolio.!$A$3:CY$3,0),0)*$CU$5,0)))</f>
        <v/>
      </c>
      <c r="AY135" s="859" t="str">
        <f t="shared" si="2"/>
        <v/>
      </c>
      <c r="AZ135" s="858" t="str">
        <f>IF($CR135="","",IF($E135="","SP",SUMIF(portfolio.!$A$4:$A308,$CR135,portfolio.!$O$4:$O308)*$CU$5))</f>
        <v/>
      </c>
      <c r="BA135" s="858" t="str">
        <f>IF($CR135="","",IF($E135="","SP",SUMIF(portfolio.!$A$4:$A308,$CR135,portfolio.!$AN$4:$AN308)*$CU$5))</f>
        <v/>
      </c>
      <c r="BB135" s="860" t="str">
        <f>IF($CR135="","",IF($E135="","-",IFERROR($BA135/'portfólio'!$DG$63,"")))</f>
        <v/>
      </c>
      <c r="BC135" s="861" t="str">
        <f>IF($CR135="","",IF($E135="","-",SUMIF(portfolio.!$A$4:$A308,$CR135,portfolio.!$J$4:$J308)))</f>
        <v/>
      </c>
      <c r="BD135" s="862" t="str">
        <f>IF($CR135="","",IF($E135="","SP",SUMIF(portfolio.!$A$4:$A308,$CR135,portfolio.!$AQ$4:$AQ308)*$CU$5))</f>
        <v/>
      </c>
      <c r="BE135" s="850" t="str">
        <f t="shared" si="3"/>
        <v/>
      </c>
      <c r="BF135" s="862" t="str">
        <f>IF($CR135="","",IF($E135="","-",SUMIF(portfolio.!$A$4:$A308,$CR135,portfolio.!$AX$4:$AX308)*$CU$5))</f>
        <v/>
      </c>
      <c r="BG135" s="545"/>
      <c r="BH135" s="879" t="s">
        <v>123</v>
      </c>
      <c r="BI135" s="880" t="s">
        <v>123</v>
      </c>
      <c r="BJ135" s="863" t="str">
        <f>IFERROR(__xludf.DUMMYFUNCTION("IF(NOT($BL$4),"""",IF($CR135="""","""",IFERROR(query({GOOGLEFINANCE($CR135,""price"",IF($BI135=""-"",TODAY()-($AQ$5+5),$BI135),TODAY()-1)},""Select max(Col2) where Col1 is not null label max(Col2) ''"")*CU135,""-"")))"),"")</f>
        <v/>
      </c>
      <c r="BK135" s="881" t="s">
        <v>123</v>
      </c>
      <c r="BL135" s="882" t="s">
        <v>123</v>
      </c>
      <c r="BM135" s="442"/>
      <c r="BN135" s="867" t="str">
        <f>IFERROR(__xludf.DUMMYFUNCTION("IF(CR135="""","""",IF(OR(C135=""AÇÃO"",C135=""BDR""),IFERROR(QUERY({fundamentus.!$A$3:$U308},$CX$67&amp;"" where Col1='""&amp;CR135&amp;""' limit 1"",0)),IF(C135=""FII"",IFERROR(QUERY({fundsexplorer.!$A$2:$Z308},$CY$67&amp;"" where Col1='""&amp;CR135&amp;""' limit 1"",0)),""""))"&amp;")"),"")</f>
        <v/>
      </c>
      <c r="BO135" s="867"/>
      <c r="BP135" s="867"/>
      <c r="BQ135" s="867"/>
      <c r="BR135" s="867"/>
      <c r="BS135" s="867"/>
      <c r="BT135" s="867"/>
      <c r="BU135" s="442"/>
      <c r="BV135" s="868" t="str">
        <f>IFERROR(__xludf.DUMMYFUNCTION("IF(OR(C135=""AÇÃO"",C135=""BDR""),IFERROR(GOOGLEFINANCE(CONCAT(""BVMF:"",CR135), ""marketcap"")/1000000,""NC""),"""")"),"")</f>
        <v/>
      </c>
      <c r="BW135" s="869" t="s">
        <v>123</v>
      </c>
      <c r="BX135" s="870" t="s">
        <v>123</v>
      </c>
      <c r="BY135" s="868" t="s">
        <v>123</v>
      </c>
      <c r="BZ135" s="870" t="s">
        <v>123</v>
      </c>
      <c r="CA135" s="868" t="s">
        <v>123</v>
      </c>
      <c r="CB135" s="868" t="s">
        <v>123</v>
      </c>
      <c r="CC135" s="868" t="s">
        <v>123</v>
      </c>
      <c r="CD135" s="868" t="str">
        <f>IFERROR(__xludf.DUMMYFUNCTION("IF(OR(C135=""AÇÃO"",C135=""BDR""),IFERROR(GOOGLEFINANCE(CONCAT(""BVMF:"",CR135), ""volumeavg"")/1000000,""NC""),"""")"),"")</f>
        <v/>
      </c>
      <c r="CE135" s="870" t="s">
        <v>123</v>
      </c>
      <c r="CF135" s="870" t="s">
        <v>123</v>
      </c>
      <c r="CG135" s="870" t="str">
        <f>IFERROR(__xludf.DUMMYFUNCTION("IF(OR(C135=""AÇÃO"",C135=""BDR""),IF(CF135=0,""SEM DY"",IFERROR(ImportXML(CONCAT(""http://www.guiainvest.com.br/raiox/default.aspx?sigla="",$CR135),""//*[@id='lbPayoutAtual']""),""NC"")),"""")"),"")</f>
        <v/>
      </c>
      <c r="CH135" s="870" t="s">
        <v>123</v>
      </c>
      <c r="CI135" s="545"/>
      <c r="CJ135" s="871" t="str">
        <f>IFERROR(__xludf.DUMMYFUNCTION("IF(OR(C135=""AÇÃO"",C135=""BDR""),IFERROR(GOOGLEFINANCE(CONCAT(""BVMF:"",CR135), ""eps""),""NC""),"""")"),"")</f>
        <v/>
      </c>
      <c r="CK135" s="442"/>
      <c r="CL135" s="871" t="str">
        <f>IFERROR(__xludf.DUMMYFUNCTION("IF(NOT($BL$4),"""",IF($CR135="""","""",IF($BC135="""","""",IFERROR(query({op.normal!$B$5:$F308},""select Col5, toDate(Col2) where Col1 =  '""&amp;$CR135&amp;""' and Col4 &gt; 0 and ((Col3 is null) or (Col3 = 'C')) and Col2 &gt;= date '""&amp;TEXT(TODAY()-$AQ$5,""yyyy-mm-dd"&amp;""")&amp;""' order by Col2 desc limit 1 label toDate(Col2) ''"")))))"),"")</f>
        <v/>
      </c>
      <c r="CM135" s="872"/>
      <c r="CN135" s="883" t="s">
        <v>123</v>
      </c>
      <c r="CO135" s="874" t="s">
        <v>123</v>
      </c>
      <c r="CP135" s="766"/>
      <c r="CQ135" s="791"/>
      <c r="CR135" s="791"/>
      <c r="CT135" s="791" t="s">
        <v>123</v>
      </c>
      <c r="CU135" s="791" t="str">
        <f>IFERROR(__xludf.DUMMYFUNCTION("IF(CR135="""","""",IF(CT135=$C$4,1,GOOGLEFINANCE(CT135&amp;$C$4)))"),"")</f>
        <v/>
      </c>
    </row>
    <row r="136" ht="22.5" customHeight="1">
      <c r="A136" s="837">
        <v>128.0</v>
      </c>
      <c r="B136" s="838" t="s">
        <v>123</v>
      </c>
      <c r="C136" s="838" t="s">
        <v>123</v>
      </c>
      <c r="D136" s="839" t="s">
        <v>123</v>
      </c>
      <c r="E136" s="839" t="s">
        <v>123</v>
      </c>
      <c r="F136" s="839" t="s">
        <v>123</v>
      </c>
      <c r="H136" s="884"/>
      <c r="I136" s="838"/>
      <c r="J136" s="838"/>
      <c r="K136" s="838"/>
      <c r="L136" s="838"/>
      <c r="M136" s="838"/>
      <c r="N136" s="838"/>
      <c r="O136" s="838"/>
      <c r="P136" s="838"/>
      <c r="Q136" s="838"/>
      <c r="R136" s="838"/>
      <c r="S136" s="838"/>
      <c r="T136" s="838"/>
      <c r="U136" s="838"/>
      <c r="V136" s="838"/>
      <c r="W136" s="838"/>
      <c r="X136" s="838"/>
      <c r="Z136" s="875" t="str">
        <f>IFERROR(__xludf.DUMMYFUNCTION("IF($CR136="""","""",IFERROR(query({CarteirasAtivos},""select Col4 where Col4 is not null and Col1 = '""&amp;$CR136&amp;""' limit 1"")*CU136,""NC""))"),"")</f>
        <v/>
      </c>
      <c r="AA136" s="876" t="str">
        <f>IFERROR(__xludf.DUMMYFUNCTION("IF($CR136="""","""",IFERROR(query({CarteirasAtivos},""select Col6 where Col4 is not null and Col1 = '""&amp;$CR136&amp;""' limit 1""),""NC""))"),"")</f>
        <v/>
      </c>
      <c r="AB136" s="877"/>
      <c r="AC136" s="878" t="s">
        <v>123</v>
      </c>
      <c r="AD136" s="845" t="str">
        <f>IF($CR136="","",IFERROR(VLOOKUP($CR136,ativos.!$C$3:$R308,MATCH("cotacao",ativos.!$C$2:CY$2,0),FALSE)*$CU$5,"atualizar"))</f>
        <v/>
      </c>
      <c r="AE136" s="846" t="str">
        <f>IFERROR(__xludf.DUMMYFUNCTION("IF($CR136="""","""",IFERROR(AVERAGE(query({CarteirasAtivos;CarteirasAtivosEncerrados},""select Col5 where Col5 is not null and Col1 = '""&amp;$CR136&amp;""' and Col10='SIM'""))*CU136,""NC""))"),"")</f>
        <v/>
      </c>
      <c r="AF136" s="847" t="str">
        <f t="shared" si="1"/>
        <v/>
      </c>
      <c r="AG136" s="442"/>
      <c r="AH136" s="848" t="str">
        <f>IFERROR(__xludf.DUMMYFUNCTION("IF($CR136="""","""",IFERROR(GOOGLEFINANCE($CR136,""low52"")*CU136,""-""))"),"")</f>
        <v/>
      </c>
      <c r="AI136" s="848" t="str">
        <f>IFERROR(__xludf.DUMMYFUNCTION("IF($CR136="""","""",IFERROR(GOOGLEFINANCE($CR136,""high52"")*CU136,""-""))"),"")</f>
        <v/>
      </c>
      <c r="AJ136" s="849" t="s">
        <v>123</v>
      </c>
      <c r="AK136" s="850" t="str">
        <f>IFERROR(__xludf.DUMMYFUNCTION("IF($CR136="""","""",IFERROR(GOOGLEFINANCE($CR136,""changepct"")/100,""-""))"),"")</f>
        <v/>
      </c>
      <c r="AL136" s="851" t="str">
        <f>IFERROR(__xludf.DUMMYFUNCTION("IF($CR136="""","""",IFERROR(($AD136/(QUERY(GOOGLEFINANCE($CR136,""price"",TODAY()-7),""SELECT Col2 label Col2 ''"")*$CU136)-1),""-""))"),"")</f>
        <v/>
      </c>
      <c r="AM136" s="851" t="str">
        <f>IFERROR(__xludf.DUMMYFUNCTION("IF($CR136="""","""",IFERROR(($AD136/(QUERY(GOOGLEFINANCE($CR136,""price"",TODAY()-14),""SELECT Col2 label Col2 ''"")*$CU136)-1),""-""))"),"")</f>
        <v/>
      </c>
      <c r="AN136" s="851" t="str">
        <f>IFERROR(__xludf.DUMMYFUNCTION("IF($CR136="""","""",IFERROR(($AD136/(QUERY(GOOGLEFINANCE($CR136,""price"",TODAY()-28),""SELECT Col2 label Col2 ''"")*$CU136)-1),""-""))"),"")</f>
        <v/>
      </c>
      <c r="AO136" s="851" t="str">
        <f>IFERROR(__xludf.DUMMYFUNCTION("IF($CR136="""","""",IFERROR(($AD136/(QUERY(GOOGLEFINANCE($CR136,""price"",TODAY()-$AQ$5),""SELECT Col2 label Col2 ''"")*$CU136)-1),""-""))"),"")</f>
        <v/>
      </c>
      <c r="AP136" s="852" t="str">
        <f>IFERROR(__xludf.DUMMYFUNCTION("IF($CR136="""","""",IFERROR(SPARKLINE(query(GOOGLEFINANCE($CR136,""price"",TODAY()-$AQ$5,TODAY(),1),""select Col2 label Col2 ''""),IF($AP$7=""Gráfico de barras"",{""charttype"",""column"";""highcolor"",""red""},{""chartype"",""line""}))))"),"")</f>
        <v/>
      </c>
      <c r="AQ136" s="144"/>
      <c r="AR136" s="853"/>
      <c r="AS136" s="854" t="str">
        <f>IF($CR136="","",IF(NOT('alocação'!$D$1),"off",IFERROR(VLOOKUP(CR136,BalanceAtivos,3,0),"NC")))</f>
        <v/>
      </c>
      <c r="AT136" s="855" t="str">
        <f>IF($CR136="","",IF(NOT('alocação'!$D$1),"off",IFERROR(VLOOKUP($CR136,BalanceAtivos,4,0)*$CU$5,"NC")))</f>
        <v/>
      </c>
      <c r="AU136" s="856" t="str">
        <f>IF($CR136="","",IF(NOT('alocação'!$D$1),"off",IFERROR(VLOOKUP($CR136,BalanceAtivos,5,0),"-")))</f>
        <v/>
      </c>
      <c r="AV136" s="856" t="str">
        <f>IF($CR136="","",IF(NOT('alocação'!$D$1),"off",IFERROR(VLOOKUP($CR136,BalanceAtivos,6,0),"-")))</f>
        <v/>
      </c>
      <c r="AW136" s="857"/>
      <c r="AX136" s="858" t="str">
        <f>IF($CR136="","",IF($E136="","SP",IFERROR(VLOOKUP($CR136,AtivosDados,MATCH("pm_atual",portfolio.!$A$3:CY$3,0),0)*$CU$5,0)))</f>
        <v/>
      </c>
      <c r="AY136" s="859" t="str">
        <f t="shared" si="2"/>
        <v/>
      </c>
      <c r="AZ136" s="858" t="str">
        <f>IF($CR136="","",IF($E136="","SP",SUMIF(portfolio.!$A$4:$A308,$CR136,portfolio.!$O$4:$O308)*$CU$5))</f>
        <v/>
      </c>
      <c r="BA136" s="858" t="str">
        <f>IF($CR136="","",IF($E136="","SP",SUMIF(portfolio.!$A$4:$A308,$CR136,portfolio.!$AN$4:$AN308)*$CU$5))</f>
        <v/>
      </c>
      <c r="BB136" s="860" t="str">
        <f>IF($CR136="","",IF($E136="","-",IFERROR($BA136/'portfólio'!$DG$63,"")))</f>
        <v/>
      </c>
      <c r="BC136" s="861" t="str">
        <f>IF($CR136="","",IF($E136="","-",SUMIF(portfolio.!$A$4:$A308,$CR136,portfolio.!$J$4:$J308)))</f>
        <v/>
      </c>
      <c r="BD136" s="862" t="str">
        <f>IF($CR136="","",IF($E136="","SP",SUMIF(portfolio.!$A$4:$A308,$CR136,portfolio.!$AQ$4:$AQ308)*$CU$5))</f>
        <v/>
      </c>
      <c r="BE136" s="850" t="str">
        <f t="shared" si="3"/>
        <v/>
      </c>
      <c r="BF136" s="862" t="str">
        <f>IF($CR136="","",IF($E136="","-",SUMIF(portfolio.!$A$4:$A308,$CR136,portfolio.!$AX$4:$AX308)*$CU$5))</f>
        <v/>
      </c>
      <c r="BG136" s="545"/>
      <c r="BH136" s="879" t="s">
        <v>123</v>
      </c>
      <c r="BI136" s="880" t="s">
        <v>123</v>
      </c>
      <c r="BJ136" s="863" t="str">
        <f>IFERROR(__xludf.DUMMYFUNCTION("IF(NOT($BL$4),"""",IF($CR136="""","""",IFERROR(query({GOOGLEFINANCE($CR136,""price"",IF($BI136=""-"",TODAY()-($AQ$5+5),$BI136),TODAY()-1)},""Select max(Col2) where Col1 is not null label max(Col2) ''"")*CU136,""-"")))"),"")</f>
        <v/>
      </c>
      <c r="BK136" s="881" t="s">
        <v>123</v>
      </c>
      <c r="BL136" s="882" t="s">
        <v>123</v>
      </c>
      <c r="BM136" s="442"/>
      <c r="BN136" s="867" t="str">
        <f>IFERROR(__xludf.DUMMYFUNCTION("IF(CR136="""","""",IF(OR(C136=""AÇÃO"",C136=""BDR""),IFERROR(QUERY({fundamentus.!$A$3:$U308},$CX$67&amp;"" where Col1='""&amp;CR136&amp;""' limit 1"",0)),IF(C136=""FII"",IFERROR(QUERY({fundsexplorer.!$A$2:$Z308},$CY$67&amp;"" where Col1='""&amp;CR136&amp;""' limit 1"",0)),""""))"&amp;")"),"")</f>
        <v/>
      </c>
      <c r="BO136" s="867"/>
      <c r="BP136" s="867"/>
      <c r="BQ136" s="867"/>
      <c r="BR136" s="867"/>
      <c r="BS136" s="867"/>
      <c r="BT136" s="867"/>
      <c r="BU136" s="442"/>
      <c r="BV136" s="868" t="str">
        <f>IFERROR(__xludf.DUMMYFUNCTION("IF(OR(C136=""AÇÃO"",C136=""BDR""),IFERROR(GOOGLEFINANCE(CONCAT(""BVMF:"",CR136), ""marketcap"")/1000000,""NC""),"""")"),"")</f>
        <v/>
      </c>
      <c r="BW136" s="869" t="s">
        <v>123</v>
      </c>
      <c r="BX136" s="870" t="s">
        <v>123</v>
      </c>
      <c r="BY136" s="868" t="s">
        <v>123</v>
      </c>
      <c r="BZ136" s="870" t="s">
        <v>123</v>
      </c>
      <c r="CA136" s="868" t="s">
        <v>123</v>
      </c>
      <c r="CB136" s="868" t="s">
        <v>123</v>
      </c>
      <c r="CC136" s="868" t="s">
        <v>123</v>
      </c>
      <c r="CD136" s="868" t="str">
        <f>IFERROR(__xludf.DUMMYFUNCTION("IF(OR(C136=""AÇÃO"",C136=""BDR""),IFERROR(GOOGLEFINANCE(CONCAT(""BVMF:"",CR136), ""volumeavg"")/1000000,""NC""),"""")"),"")</f>
        <v/>
      </c>
      <c r="CE136" s="870" t="s">
        <v>123</v>
      </c>
      <c r="CF136" s="870" t="s">
        <v>123</v>
      </c>
      <c r="CG136" s="870" t="str">
        <f>IFERROR(__xludf.DUMMYFUNCTION("IF(OR(C136=""AÇÃO"",C136=""BDR""),IF(CF136=0,""SEM DY"",IFERROR(ImportXML(CONCAT(""http://www.guiainvest.com.br/raiox/default.aspx?sigla="",$CR136),""//*[@id='lbPayoutAtual']""),""NC"")),"""")"),"")</f>
        <v/>
      </c>
      <c r="CH136" s="870" t="s">
        <v>123</v>
      </c>
      <c r="CI136" s="545"/>
      <c r="CJ136" s="871" t="str">
        <f>IFERROR(__xludf.DUMMYFUNCTION("IF(OR(C136=""AÇÃO"",C136=""BDR""),IFERROR(GOOGLEFINANCE(CONCAT(""BVMF:"",CR136), ""eps""),""NC""),"""")"),"")</f>
        <v/>
      </c>
      <c r="CK136" s="442"/>
      <c r="CL136" s="871" t="str">
        <f>IFERROR(__xludf.DUMMYFUNCTION("IF(NOT($BL$4),"""",IF($CR136="""","""",IF($BC136="""","""",IFERROR(query({op.normal!$B$5:$F308},""select Col5, toDate(Col2) where Col1 =  '""&amp;$CR136&amp;""' and Col4 &gt; 0 and ((Col3 is null) or (Col3 = 'C')) and Col2 &gt;= date '""&amp;TEXT(TODAY()-$AQ$5,""yyyy-mm-dd"&amp;""")&amp;""' order by Col2 desc limit 1 label toDate(Col2) ''"")))))"),"")</f>
        <v/>
      </c>
      <c r="CM136" s="872"/>
      <c r="CN136" s="883" t="s">
        <v>123</v>
      </c>
      <c r="CO136" s="874" t="s">
        <v>123</v>
      </c>
      <c r="CP136" s="766"/>
      <c r="CQ136" s="791"/>
      <c r="CR136" s="791"/>
      <c r="CT136" s="791" t="s">
        <v>123</v>
      </c>
      <c r="CU136" s="791" t="str">
        <f>IFERROR(__xludf.DUMMYFUNCTION("IF(CR136="""","""",IF(CT136=$C$4,1,GOOGLEFINANCE(CT136&amp;$C$4)))"),"")</f>
        <v/>
      </c>
    </row>
    <row r="137" ht="22.5" customHeight="1">
      <c r="A137" s="837">
        <v>129.0</v>
      </c>
      <c r="B137" s="838" t="s">
        <v>123</v>
      </c>
      <c r="C137" s="838" t="s">
        <v>123</v>
      </c>
      <c r="D137" s="839" t="s">
        <v>123</v>
      </c>
      <c r="E137" s="839" t="s">
        <v>123</v>
      </c>
      <c r="F137" s="839" t="s">
        <v>123</v>
      </c>
      <c r="H137" s="884"/>
      <c r="I137" s="838"/>
      <c r="J137" s="838"/>
      <c r="K137" s="838"/>
      <c r="L137" s="838"/>
      <c r="M137" s="838"/>
      <c r="N137" s="838"/>
      <c r="O137" s="838"/>
      <c r="P137" s="838"/>
      <c r="Q137" s="838"/>
      <c r="R137" s="838"/>
      <c r="S137" s="838"/>
      <c r="T137" s="838"/>
      <c r="U137" s="838"/>
      <c r="V137" s="838"/>
      <c r="W137" s="838"/>
      <c r="X137" s="838"/>
      <c r="Z137" s="875" t="str">
        <f>IFERROR(__xludf.DUMMYFUNCTION("IF($CR137="""","""",IFERROR(query({CarteirasAtivos},""select Col4 where Col4 is not null and Col1 = '""&amp;$CR137&amp;""' limit 1"")*CU137,""NC""))"),"")</f>
        <v/>
      </c>
      <c r="AA137" s="876" t="str">
        <f>IFERROR(__xludf.DUMMYFUNCTION("IF($CR137="""","""",IFERROR(query({CarteirasAtivos},""select Col6 where Col4 is not null and Col1 = '""&amp;$CR137&amp;""' limit 1""),""NC""))"),"")</f>
        <v/>
      </c>
      <c r="AB137" s="877"/>
      <c r="AC137" s="878" t="s">
        <v>123</v>
      </c>
      <c r="AD137" s="845" t="str">
        <f>IF($CR137="","",IFERROR(VLOOKUP($CR137,ativos.!$C$3:$R308,MATCH("cotacao",ativos.!$C$2:CY$2,0),FALSE)*$CU$5,"atualizar"))</f>
        <v/>
      </c>
      <c r="AE137" s="846" t="str">
        <f>IFERROR(__xludf.DUMMYFUNCTION("IF($CR137="""","""",IFERROR(AVERAGE(query({CarteirasAtivos;CarteirasAtivosEncerrados},""select Col5 where Col5 is not null and Col1 = '""&amp;$CR137&amp;""' and Col10='SIM'""))*CU137,""NC""))"),"")</f>
        <v/>
      </c>
      <c r="AF137" s="847" t="str">
        <f t="shared" si="1"/>
        <v/>
      </c>
      <c r="AG137" s="442"/>
      <c r="AH137" s="848" t="str">
        <f>IFERROR(__xludf.DUMMYFUNCTION("IF($CR137="""","""",IFERROR(GOOGLEFINANCE($CR137,""low52"")*CU137,""-""))"),"")</f>
        <v/>
      </c>
      <c r="AI137" s="848" t="str">
        <f>IFERROR(__xludf.DUMMYFUNCTION("IF($CR137="""","""",IFERROR(GOOGLEFINANCE($CR137,""high52"")*CU137,""-""))"),"")</f>
        <v/>
      </c>
      <c r="AJ137" s="849" t="s">
        <v>123</v>
      </c>
      <c r="AK137" s="850" t="str">
        <f>IFERROR(__xludf.DUMMYFUNCTION("IF($CR137="""","""",IFERROR(GOOGLEFINANCE($CR137,""changepct"")/100,""-""))"),"")</f>
        <v/>
      </c>
      <c r="AL137" s="851" t="str">
        <f>IFERROR(__xludf.DUMMYFUNCTION("IF($CR137="""","""",IFERROR(($AD137/(QUERY(GOOGLEFINANCE($CR137,""price"",TODAY()-7),""SELECT Col2 label Col2 ''"")*$CU137)-1),""-""))"),"")</f>
        <v/>
      </c>
      <c r="AM137" s="851" t="str">
        <f>IFERROR(__xludf.DUMMYFUNCTION("IF($CR137="""","""",IFERROR(($AD137/(QUERY(GOOGLEFINANCE($CR137,""price"",TODAY()-14),""SELECT Col2 label Col2 ''"")*$CU137)-1),""-""))"),"")</f>
        <v/>
      </c>
      <c r="AN137" s="851" t="str">
        <f>IFERROR(__xludf.DUMMYFUNCTION("IF($CR137="""","""",IFERROR(($AD137/(QUERY(GOOGLEFINANCE($CR137,""price"",TODAY()-28),""SELECT Col2 label Col2 ''"")*$CU137)-1),""-""))"),"")</f>
        <v/>
      </c>
      <c r="AO137" s="851" t="str">
        <f>IFERROR(__xludf.DUMMYFUNCTION("IF($CR137="""","""",IFERROR(($AD137/(QUERY(GOOGLEFINANCE($CR137,""price"",TODAY()-$AQ$5),""SELECT Col2 label Col2 ''"")*$CU137)-1),""-""))"),"")</f>
        <v/>
      </c>
      <c r="AP137" s="852" t="str">
        <f>IFERROR(__xludf.DUMMYFUNCTION("IF($CR137="""","""",IFERROR(SPARKLINE(query(GOOGLEFINANCE($CR137,""price"",TODAY()-$AQ$5,TODAY(),1),""select Col2 label Col2 ''""),IF($AP$7=""Gráfico de barras"",{""charttype"",""column"";""highcolor"",""red""},{""chartype"",""line""}))))"),"")</f>
        <v/>
      </c>
      <c r="AQ137" s="144"/>
      <c r="AR137" s="853"/>
      <c r="AS137" s="854" t="str">
        <f>IF($CR137="","",IF(NOT('alocação'!$D$1),"off",IFERROR(VLOOKUP(CR137,BalanceAtivos,3,0),"NC")))</f>
        <v/>
      </c>
      <c r="AT137" s="855" t="str">
        <f>IF($CR137="","",IF(NOT('alocação'!$D$1),"off",IFERROR(VLOOKUP($CR137,BalanceAtivos,4,0)*$CU$5,"NC")))</f>
        <v/>
      </c>
      <c r="AU137" s="856" t="str">
        <f>IF($CR137="","",IF(NOT('alocação'!$D$1),"off",IFERROR(VLOOKUP($CR137,BalanceAtivos,5,0),"-")))</f>
        <v/>
      </c>
      <c r="AV137" s="856" t="str">
        <f>IF($CR137="","",IF(NOT('alocação'!$D$1),"off",IFERROR(VLOOKUP($CR137,BalanceAtivos,6,0),"-")))</f>
        <v/>
      </c>
      <c r="AW137" s="857"/>
      <c r="AX137" s="858" t="str">
        <f>IF($CR137="","",IF($E137="","SP",IFERROR(VLOOKUP($CR137,AtivosDados,MATCH("pm_atual",portfolio.!$A$3:CY$3,0),0)*$CU$5,0)))</f>
        <v/>
      </c>
      <c r="AY137" s="859" t="str">
        <f t="shared" si="2"/>
        <v/>
      </c>
      <c r="AZ137" s="858" t="str">
        <f>IF($CR137="","",IF($E137="","SP",SUMIF(portfolio.!$A$4:$A308,$CR137,portfolio.!$O$4:$O308)*$CU$5))</f>
        <v/>
      </c>
      <c r="BA137" s="858" t="str">
        <f>IF($CR137="","",IF($E137="","SP",SUMIF(portfolio.!$A$4:$A308,$CR137,portfolio.!$AN$4:$AN308)*$CU$5))</f>
        <v/>
      </c>
      <c r="BB137" s="860" t="str">
        <f>IF($CR137="","",IF($E137="","-",IFERROR($BA137/'portfólio'!$DG$63,"")))</f>
        <v/>
      </c>
      <c r="BC137" s="861" t="str">
        <f>IF($CR137="","",IF($E137="","-",SUMIF(portfolio.!$A$4:$A308,$CR137,portfolio.!$J$4:$J308)))</f>
        <v/>
      </c>
      <c r="BD137" s="862" t="str">
        <f>IF($CR137="","",IF($E137="","SP",SUMIF(portfolio.!$A$4:$A308,$CR137,portfolio.!$AQ$4:$AQ308)*$CU$5))</f>
        <v/>
      </c>
      <c r="BE137" s="850" t="str">
        <f t="shared" si="3"/>
        <v/>
      </c>
      <c r="BF137" s="862" t="str">
        <f>IF($CR137="","",IF($E137="","-",SUMIF(portfolio.!$A$4:$A308,$CR137,portfolio.!$AX$4:$AX308)*$CU$5))</f>
        <v/>
      </c>
      <c r="BG137" s="545"/>
      <c r="BH137" s="879" t="s">
        <v>123</v>
      </c>
      <c r="BI137" s="880" t="s">
        <v>123</v>
      </c>
      <c r="BJ137" s="863" t="str">
        <f>IFERROR(__xludf.DUMMYFUNCTION("IF(NOT($BL$4),"""",IF($CR137="""","""",IFERROR(query({GOOGLEFINANCE($CR137,""price"",IF($BI137=""-"",TODAY()-($AQ$5+5),$BI137),TODAY()-1)},""Select max(Col2) where Col1 is not null label max(Col2) ''"")*CU137,""-"")))"),"")</f>
        <v/>
      </c>
      <c r="BK137" s="881" t="s">
        <v>123</v>
      </c>
      <c r="BL137" s="882" t="s">
        <v>123</v>
      </c>
      <c r="BM137" s="442"/>
      <c r="BN137" s="867" t="str">
        <f>IFERROR(__xludf.DUMMYFUNCTION("IF(CR137="""","""",IF(OR(C137=""AÇÃO"",C137=""BDR""),IFERROR(QUERY({fundamentus.!$A$3:$U308},$CX$67&amp;"" where Col1='""&amp;CR137&amp;""' limit 1"",0)),IF(C137=""FII"",IFERROR(QUERY({fundsexplorer.!$A$2:$Z308},$CY$67&amp;"" where Col1='""&amp;CR137&amp;""' limit 1"",0)),""""))"&amp;")"),"")</f>
        <v/>
      </c>
      <c r="BO137" s="867"/>
      <c r="BP137" s="867"/>
      <c r="BQ137" s="867"/>
      <c r="BR137" s="867"/>
      <c r="BS137" s="867"/>
      <c r="BT137" s="867"/>
      <c r="BU137" s="442"/>
      <c r="BV137" s="868" t="str">
        <f>IFERROR(__xludf.DUMMYFUNCTION("IF(OR(C137=""AÇÃO"",C137=""BDR""),IFERROR(GOOGLEFINANCE(CONCAT(""BVMF:"",CR137), ""marketcap"")/1000000,""NC""),"""")"),"")</f>
        <v/>
      </c>
      <c r="BW137" s="869" t="s">
        <v>123</v>
      </c>
      <c r="BX137" s="870" t="s">
        <v>123</v>
      </c>
      <c r="BY137" s="868" t="s">
        <v>123</v>
      </c>
      <c r="BZ137" s="870" t="s">
        <v>123</v>
      </c>
      <c r="CA137" s="868" t="s">
        <v>123</v>
      </c>
      <c r="CB137" s="868" t="s">
        <v>123</v>
      </c>
      <c r="CC137" s="868" t="s">
        <v>123</v>
      </c>
      <c r="CD137" s="868" t="str">
        <f>IFERROR(__xludf.DUMMYFUNCTION("IF(OR(C137=""AÇÃO"",C137=""BDR""),IFERROR(GOOGLEFINANCE(CONCAT(""BVMF:"",CR137), ""volumeavg"")/1000000,""NC""),"""")"),"")</f>
        <v/>
      </c>
      <c r="CE137" s="870" t="s">
        <v>123</v>
      </c>
      <c r="CF137" s="870" t="s">
        <v>123</v>
      </c>
      <c r="CG137" s="870" t="str">
        <f>IFERROR(__xludf.DUMMYFUNCTION("IF(OR(C137=""AÇÃO"",C137=""BDR""),IF(CF137=0,""SEM DY"",IFERROR(ImportXML(CONCAT(""http://www.guiainvest.com.br/raiox/default.aspx?sigla="",$CR137),""//*[@id='lbPayoutAtual']""),""NC"")),"""")"),"")</f>
        <v/>
      </c>
      <c r="CH137" s="870" t="s">
        <v>123</v>
      </c>
      <c r="CI137" s="545"/>
      <c r="CJ137" s="871" t="str">
        <f>IFERROR(__xludf.DUMMYFUNCTION("IF(OR(C137=""AÇÃO"",C137=""BDR""),IFERROR(GOOGLEFINANCE(CONCAT(""BVMF:"",CR137), ""eps""),""NC""),"""")"),"")</f>
        <v/>
      </c>
      <c r="CK137" s="442"/>
      <c r="CL137" s="871" t="str">
        <f>IFERROR(__xludf.DUMMYFUNCTION("IF(NOT($BL$4),"""",IF($CR137="""","""",IF($BC137="""","""",IFERROR(query({op.normal!$B$5:$F308},""select Col5, toDate(Col2) where Col1 =  '""&amp;$CR137&amp;""' and Col4 &gt; 0 and ((Col3 is null) or (Col3 = 'C')) and Col2 &gt;= date '""&amp;TEXT(TODAY()-$AQ$5,""yyyy-mm-dd"&amp;""")&amp;""' order by Col2 desc limit 1 label toDate(Col2) ''"")))))"),"")</f>
        <v/>
      </c>
      <c r="CM137" s="872"/>
      <c r="CN137" s="883" t="s">
        <v>123</v>
      </c>
      <c r="CO137" s="874" t="s">
        <v>123</v>
      </c>
      <c r="CP137" s="766"/>
      <c r="CQ137" s="791"/>
      <c r="CR137" s="791"/>
      <c r="CT137" s="791" t="s">
        <v>123</v>
      </c>
      <c r="CU137" s="791" t="str">
        <f>IFERROR(__xludf.DUMMYFUNCTION("IF(CR137="""","""",IF(CT137=$C$4,1,GOOGLEFINANCE(CT137&amp;$C$4)))"),"")</f>
        <v/>
      </c>
    </row>
    <row r="138" ht="22.5" customHeight="1">
      <c r="A138" s="837">
        <v>130.0</v>
      </c>
      <c r="B138" s="838" t="s">
        <v>123</v>
      </c>
      <c r="C138" s="838" t="s">
        <v>123</v>
      </c>
      <c r="D138" s="839" t="s">
        <v>123</v>
      </c>
      <c r="E138" s="839" t="s">
        <v>123</v>
      </c>
      <c r="F138" s="839" t="s">
        <v>123</v>
      </c>
      <c r="H138" s="884"/>
      <c r="I138" s="838"/>
      <c r="J138" s="838"/>
      <c r="K138" s="838"/>
      <c r="L138" s="838"/>
      <c r="M138" s="838"/>
      <c r="N138" s="838"/>
      <c r="O138" s="838"/>
      <c r="P138" s="838"/>
      <c r="Q138" s="838"/>
      <c r="R138" s="838"/>
      <c r="S138" s="838"/>
      <c r="T138" s="838"/>
      <c r="U138" s="838"/>
      <c r="V138" s="838"/>
      <c r="W138" s="838"/>
      <c r="X138" s="838"/>
      <c r="Z138" s="875" t="str">
        <f>IFERROR(__xludf.DUMMYFUNCTION("IF($CR138="""","""",IFERROR(query({CarteirasAtivos},""select Col4 where Col4 is not null and Col1 = '""&amp;$CR138&amp;""' limit 1"")*CU138,""NC""))"),"")</f>
        <v/>
      </c>
      <c r="AA138" s="876" t="str">
        <f>IFERROR(__xludf.DUMMYFUNCTION("IF($CR138="""","""",IFERROR(query({CarteirasAtivos},""select Col6 where Col4 is not null and Col1 = '""&amp;$CR138&amp;""' limit 1""),""NC""))"),"")</f>
        <v/>
      </c>
      <c r="AB138" s="877"/>
      <c r="AC138" s="878" t="s">
        <v>123</v>
      </c>
      <c r="AD138" s="845" t="str">
        <f>IF($CR138="","",IFERROR(VLOOKUP($CR138,ativos.!$C$3:$R308,MATCH("cotacao",ativos.!$C$2:CY$2,0),FALSE)*$CU$5,"atualizar"))</f>
        <v/>
      </c>
      <c r="AE138" s="846" t="str">
        <f>IFERROR(__xludf.DUMMYFUNCTION("IF($CR138="""","""",IFERROR(AVERAGE(query({CarteirasAtivos;CarteirasAtivosEncerrados},""select Col5 where Col5 is not null and Col1 = '""&amp;$CR138&amp;""' and Col10='SIM'""))*CU138,""NC""))"),"")</f>
        <v/>
      </c>
      <c r="AF138" s="847" t="str">
        <f t="shared" si="1"/>
        <v/>
      </c>
      <c r="AG138" s="442"/>
      <c r="AH138" s="848" t="str">
        <f>IFERROR(__xludf.DUMMYFUNCTION("IF($CR138="""","""",IFERROR(GOOGLEFINANCE($CR138,""low52"")*CU138,""-""))"),"")</f>
        <v/>
      </c>
      <c r="AI138" s="848" t="str">
        <f>IFERROR(__xludf.DUMMYFUNCTION("IF($CR138="""","""",IFERROR(GOOGLEFINANCE($CR138,""high52"")*CU138,""-""))"),"")</f>
        <v/>
      </c>
      <c r="AJ138" s="849" t="s">
        <v>123</v>
      </c>
      <c r="AK138" s="850" t="str">
        <f>IFERROR(__xludf.DUMMYFUNCTION("IF($CR138="""","""",IFERROR(GOOGLEFINANCE($CR138,""changepct"")/100,""-""))"),"")</f>
        <v/>
      </c>
      <c r="AL138" s="851" t="str">
        <f>IFERROR(__xludf.DUMMYFUNCTION("IF($CR138="""","""",IFERROR(($AD138/(QUERY(GOOGLEFINANCE($CR138,""price"",TODAY()-7),""SELECT Col2 label Col2 ''"")*$CU138)-1),""-""))"),"")</f>
        <v/>
      </c>
      <c r="AM138" s="851" t="str">
        <f>IFERROR(__xludf.DUMMYFUNCTION("IF($CR138="""","""",IFERROR(($AD138/(QUERY(GOOGLEFINANCE($CR138,""price"",TODAY()-14),""SELECT Col2 label Col2 ''"")*$CU138)-1),""-""))"),"")</f>
        <v/>
      </c>
      <c r="AN138" s="851" t="str">
        <f>IFERROR(__xludf.DUMMYFUNCTION("IF($CR138="""","""",IFERROR(($AD138/(QUERY(GOOGLEFINANCE($CR138,""price"",TODAY()-28),""SELECT Col2 label Col2 ''"")*$CU138)-1),""-""))"),"")</f>
        <v/>
      </c>
      <c r="AO138" s="851" t="str">
        <f>IFERROR(__xludf.DUMMYFUNCTION("IF($CR138="""","""",IFERROR(($AD138/(QUERY(GOOGLEFINANCE($CR138,""price"",TODAY()-$AQ$5),""SELECT Col2 label Col2 ''"")*$CU138)-1),""-""))"),"")</f>
        <v/>
      </c>
      <c r="AP138" s="852" t="str">
        <f>IFERROR(__xludf.DUMMYFUNCTION("IF($CR138="""","""",IFERROR(SPARKLINE(query(GOOGLEFINANCE($CR138,""price"",TODAY()-$AQ$5,TODAY(),1),""select Col2 label Col2 ''""),IF($AP$7=""Gráfico de barras"",{""charttype"",""column"";""highcolor"",""red""},{""chartype"",""line""}))))"),"")</f>
        <v/>
      </c>
      <c r="AQ138" s="144"/>
      <c r="AR138" s="853"/>
      <c r="AS138" s="854" t="str">
        <f>IF($CR138="","",IF(NOT('alocação'!$D$1),"off",IFERROR(VLOOKUP(CR138,BalanceAtivos,3,0),"NC")))</f>
        <v/>
      </c>
      <c r="AT138" s="855" t="str">
        <f>IF($CR138="","",IF(NOT('alocação'!$D$1),"off",IFERROR(VLOOKUP($CR138,BalanceAtivos,4,0)*$CU$5,"NC")))</f>
        <v/>
      </c>
      <c r="AU138" s="856" t="str">
        <f>IF($CR138="","",IF(NOT('alocação'!$D$1),"off",IFERROR(VLOOKUP($CR138,BalanceAtivos,5,0),"-")))</f>
        <v/>
      </c>
      <c r="AV138" s="856" t="str">
        <f>IF($CR138="","",IF(NOT('alocação'!$D$1),"off",IFERROR(VLOOKUP($CR138,BalanceAtivos,6,0),"-")))</f>
        <v/>
      </c>
      <c r="AW138" s="857"/>
      <c r="AX138" s="858" t="str">
        <f>IF($CR138="","",IF($E138="","SP",IFERROR(VLOOKUP($CR138,AtivosDados,MATCH("pm_atual",portfolio.!$A$3:CY$3,0),0)*$CU$5,0)))</f>
        <v/>
      </c>
      <c r="AY138" s="859" t="str">
        <f t="shared" si="2"/>
        <v/>
      </c>
      <c r="AZ138" s="858" t="str">
        <f>IF($CR138="","",IF($E138="","SP",SUMIF(portfolio.!$A$4:$A308,$CR138,portfolio.!$O$4:$O308)*$CU$5))</f>
        <v/>
      </c>
      <c r="BA138" s="858" t="str">
        <f>IF($CR138="","",IF($E138="","SP",SUMIF(portfolio.!$A$4:$A308,$CR138,portfolio.!$AN$4:$AN308)*$CU$5))</f>
        <v/>
      </c>
      <c r="BB138" s="860" t="str">
        <f>IF($CR138="","",IF($E138="","-",IFERROR($BA138/'portfólio'!$DG$63,"")))</f>
        <v/>
      </c>
      <c r="BC138" s="861" t="str">
        <f>IF($CR138="","",IF($E138="","-",SUMIF(portfolio.!$A$4:$A308,$CR138,portfolio.!$J$4:$J308)))</f>
        <v/>
      </c>
      <c r="BD138" s="862" t="str">
        <f>IF($CR138="","",IF($E138="","SP",SUMIF(portfolio.!$A$4:$A308,$CR138,portfolio.!$AQ$4:$AQ308)*$CU$5))</f>
        <v/>
      </c>
      <c r="BE138" s="850" t="str">
        <f t="shared" si="3"/>
        <v/>
      </c>
      <c r="BF138" s="862" t="str">
        <f>IF($CR138="","",IF($E138="","-",SUMIF(portfolio.!$A$4:$A308,$CR138,portfolio.!$AX$4:$AX308)*$CU$5))</f>
        <v/>
      </c>
      <c r="BG138" s="545"/>
      <c r="BH138" s="879" t="s">
        <v>123</v>
      </c>
      <c r="BI138" s="880" t="s">
        <v>123</v>
      </c>
      <c r="BJ138" s="863" t="str">
        <f>IFERROR(__xludf.DUMMYFUNCTION("IF(NOT($BL$4),"""",IF($CR138="""","""",IFERROR(query({GOOGLEFINANCE($CR138,""price"",IF($BI138=""-"",TODAY()-($AQ$5+5),$BI138),TODAY()-1)},""Select max(Col2) where Col1 is not null label max(Col2) ''"")*CU138,""-"")))"),"")</f>
        <v/>
      </c>
      <c r="BK138" s="881" t="s">
        <v>123</v>
      </c>
      <c r="BL138" s="882" t="s">
        <v>123</v>
      </c>
      <c r="BM138" s="442"/>
      <c r="BN138" s="867" t="str">
        <f>IFERROR(__xludf.DUMMYFUNCTION("IF(CR138="""","""",IF(OR(C138=""AÇÃO"",C138=""BDR""),IFERROR(QUERY({fundamentus.!$A$3:$U308},$CX$67&amp;"" where Col1='""&amp;CR138&amp;""' limit 1"",0)),IF(C138=""FII"",IFERROR(QUERY({fundsexplorer.!$A$2:$Z308},$CY$67&amp;"" where Col1='""&amp;CR138&amp;""' limit 1"",0)),""""))"&amp;")"),"")</f>
        <v/>
      </c>
      <c r="BO138" s="867"/>
      <c r="BP138" s="867"/>
      <c r="BQ138" s="867"/>
      <c r="BR138" s="867"/>
      <c r="BS138" s="867"/>
      <c r="BT138" s="867"/>
      <c r="BU138" s="442"/>
      <c r="BV138" s="868" t="str">
        <f>IFERROR(__xludf.DUMMYFUNCTION("IF(OR(C138=""AÇÃO"",C138=""BDR""),IFERROR(GOOGLEFINANCE(CONCAT(""BVMF:"",CR138), ""marketcap"")/1000000,""NC""),"""")"),"")</f>
        <v/>
      </c>
      <c r="BW138" s="869" t="s">
        <v>123</v>
      </c>
      <c r="BX138" s="870" t="s">
        <v>123</v>
      </c>
      <c r="BY138" s="868" t="s">
        <v>123</v>
      </c>
      <c r="BZ138" s="870" t="s">
        <v>123</v>
      </c>
      <c r="CA138" s="868" t="s">
        <v>123</v>
      </c>
      <c r="CB138" s="868" t="s">
        <v>123</v>
      </c>
      <c r="CC138" s="868" t="s">
        <v>123</v>
      </c>
      <c r="CD138" s="868" t="str">
        <f>IFERROR(__xludf.DUMMYFUNCTION("IF(OR(C138=""AÇÃO"",C138=""BDR""),IFERROR(GOOGLEFINANCE(CONCAT(""BVMF:"",CR138), ""volumeavg"")/1000000,""NC""),"""")"),"")</f>
        <v/>
      </c>
      <c r="CE138" s="870" t="s">
        <v>123</v>
      </c>
      <c r="CF138" s="870" t="s">
        <v>123</v>
      </c>
      <c r="CG138" s="870" t="str">
        <f>IFERROR(__xludf.DUMMYFUNCTION("IF(OR(C138=""AÇÃO"",C138=""BDR""),IF(CF138=0,""SEM DY"",IFERROR(ImportXML(CONCAT(""http://www.guiainvest.com.br/raiox/default.aspx?sigla="",$CR138),""//*[@id='lbPayoutAtual']""),""NC"")),"""")"),"")</f>
        <v/>
      </c>
      <c r="CH138" s="870" t="s">
        <v>123</v>
      </c>
      <c r="CI138" s="545"/>
      <c r="CJ138" s="871" t="str">
        <f>IFERROR(__xludf.DUMMYFUNCTION("IF(OR(C138=""AÇÃO"",C138=""BDR""),IFERROR(GOOGLEFINANCE(CONCAT(""BVMF:"",CR138), ""eps""),""NC""),"""")"),"")</f>
        <v/>
      </c>
      <c r="CK138" s="442"/>
      <c r="CL138" s="871" t="str">
        <f>IFERROR(__xludf.DUMMYFUNCTION("IF(NOT($BL$4),"""",IF($CR138="""","""",IF($BC138="""","""",IFERROR(query({op.normal!$B$5:$F308},""select Col5, toDate(Col2) where Col1 =  '""&amp;$CR138&amp;""' and Col4 &gt; 0 and ((Col3 is null) or (Col3 = 'C')) and Col2 &gt;= date '""&amp;TEXT(TODAY()-$AQ$5,""yyyy-mm-dd"&amp;""")&amp;""' order by Col2 desc limit 1 label toDate(Col2) ''"")))))"),"")</f>
        <v/>
      </c>
      <c r="CM138" s="872"/>
      <c r="CN138" s="883" t="s">
        <v>123</v>
      </c>
      <c r="CO138" s="874" t="s">
        <v>123</v>
      </c>
      <c r="CP138" s="766"/>
      <c r="CQ138" s="791"/>
      <c r="CR138" s="791"/>
      <c r="CT138" s="791" t="s">
        <v>123</v>
      </c>
      <c r="CU138" s="791" t="str">
        <f>IFERROR(__xludf.DUMMYFUNCTION("IF(CR138="""","""",IF(CT138=$C$4,1,GOOGLEFINANCE(CT138&amp;$C$4)))"),"")</f>
        <v/>
      </c>
    </row>
    <row r="139" ht="22.5" customHeight="1">
      <c r="A139" s="837">
        <v>131.0</v>
      </c>
      <c r="B139" s="838" t="s">
        <v>123</v>
      </c>
      <c r="C139" s="838" t="s">
        <v>123</v>
      </c>
      <c r="D139" s="839" t="s">
        <v>123</v>
      </c>
      <c r="E139" s="839" t="s">
        <v>123</v>
      </c>
      <c r="F139" s="839" t="s">
        <v>123</v>
      </c>
      <c r="H139" s="884"/>
      <c r="I139" s="838"/>
      <c r="J139" s="838"/>
      <c r="K139" s="838"/>
      <c r="L139" s="838"/>
      <c r="M139" s="838"/>
      <c r="N139" s="838"/>
      <c r="O139" s="838"/>
      <c r="P139" s="838"/>
      <c r="Q139" s="838"/>
      <c r="R139" s="838"/>
      <c r="S139" s="838"/>
      <c r="T139" s="838"/>
      <c r="U139" s="838"/>
      <c r="V139" s="838"/>
      <c r="W139" s="838"/>
      <c r="X139" s="838"/>
      <c r="Z139" s="875" t="str">
        <f>IFERROR(__xludf.DUMMYFUNCTION("IF($CR139="""","""",IFERROR(query({CarteirasAtivos},""select Col4 where Col4 is not null and Col1 = '""&amp;$CR139&amp;""' limit 1"")*CU139,""NC""))"),"")</f>
        <v/>
      </c>
      <c r="AA139" s="876" t="str">
        <f>IFERROR(__xludf.DUMMYFUNCTION("IF($CR139="""","""",IFERROR(query({CarteirasAtivos},""select Col6 where Col4 is not null and Col1 = '""&amp;$CR139&amp;""' limit 1""),""NC""))"),"")</f>
        <v/>
      </c>
      <c r="AB139" s="877"/>
      <c r="AC139" s="878" t="s">
        <v>123</v>
      </c>
      <c r="AD139" s="845" t="str">
        <f>IF($CR139="","",IFERROR(VLOOKUP($CR139,ativos.!$C$3:$R308,MATCH("cotacao",ativos.!$C$2:CY$2,0),FALSE)*$CU$5,"atualizar"))</f>
        <v/>
      </c>
      <c r="AE139" s="846" t="str">
        <f>IFERROR(__xludf.DUMMYFUNCTION("IF($CR139="""","""",IFERROR(AVERAGE(query({CarteirasAtivos;CarteirasAtivosEncerrados},""select Col5 where Col5 is not null and Col1 = '""&amp;$CR139&amp;""' and Col10='SIM'""))*CU139,""NC""))"),"")</f>
        <v/>
      </c>
      <c r="AF139" s="847" t="str">
        <f t="shared" si="1"/>
        <v/>
      </c>
      <c r="AG139" s="442"/>
      <c r="AH139" s="848" t="str">
        <f>IFERROR(__xludf.DUMMYFUNCTION("IF($CR139="""","""",IFERROR(GOOGLEFINANCE($CR139,""low52"")*CU139,""-""))"),"")</f>
        <v/>
      </c>
      <c r="AI139" s="848" t="str">
        <f>IFERROR(__xludf.DUMMYFUNCTION("IF($CR139="""","""",IFERROR(GOOGLEFINANCE($CR139,""high52"")*CU139,""-""))"),"")</f>
        <v/>
      </c>
      <c r="AJ139" s="849" t="s">
        <v>123</v>
      </c>
      <c r="AK139" s="850" t="str">
        <f>IFERROR(__xludf.DUMMYFUNCTION("IF($CR139="""","""",IFERROR(GOOGLEFINANCE($CR139,""changepct"")/100,""-""))"),"")</f>
        <v/>
      </c>
      <c r="AL139" s="851" t="str">
        <f>IFERROR(__xludf.DUMMYFUNCTION("IF($CR139="""","""",IFERROR(($AD139/(QUERY(GOOGLEFINANCE($CR139,""price"",TODAY()-7),""SELECT Col2 label Col2 ''"")*$CU139)-1),""-""))"),"")</f>
        <v/>
      </c>
      <c r="AM139" s="851" t="str">
        <f>IFERROR(__xludf.DUMMYFUNCTION("IF($CR139="""","""",IFERROR(($AD139/(QUERY(GOOGLEFINANCE($CR139,""price"",TODAY()-14),""SELECT Col2 label Col2 ''"")*$CU139)-1),""-""))"),"")</f>
        <v/>
      </c>
      <c r="AN139" s="851" t="str">
        <f>IFERROR(__xludf.DUMMYFUNCTION("IF($CR139="""","""",IFERROR(($AD139/(QUERY(GOOGLEFINANCE($CR139,""price"",TODAY()-28),""SELECT Col2 label Col2 ''"")*$CU139)-1),""-""))"),"")</f>
        <v/>
      </c>
      <c r="AO139" s="851" t="str">
        <f>IFERROR(__xludf.DUMMYFUNCTION("IF($CR139="""","""",IFERROR(($AD139/(QUERY(GOOGLEFINANCE($CR139,""price"",TODAY()-$AQ$5),""SELECT Col2 label Col2 ''"")*$CU139)-1),""-""))"),"")</f>
        <v/>
      </c>
      <c r="AP139" s="852" t="str">
        <f>IFERROR(__xludf.DUMMYFUNCTION("IF($CR139="""","""",IFERROR(SPARKLINE(query(GOOGLEFINANCE($CR139,""price"",TODAY()-$AQ$5,TODAY(),1),""select Col2 label Col2 ''""),IF($AP$7=""Gráfico de barras"",{""charttype"",""column"";""highcolor"",""red""},{""chartype"",""line""}))))"),"")</f>
        <v/>
      </c>
      <c r="AQ139" s="144"/>
      <c r="AR139" s="853"/>
      <c r="AS139" s="854" t="str">
        <f>IF($CR139="","",IF(NOT('alocação'!$D$1),"off",IFERROR(VLOOKUP(CR139,BalanceAtivos,3,0),"NC")))</f>
        <v/>
      </c>
      <c r="AT139" s="855" t="str">
        <f>IF($CR139="","",IF(NOT('alocação'!$D$1),"off",IFERROR(VLOOKUP($CR139,BalanceAtivos,4,0)*$CU$5,"NC")))</f>
        <v/>
      </c>
      <c r="AU139" s="856" t="str">
        <f>IF($CR139="","",IF(NOT('alocação'!$D$1),"off",IFERROR(VLOOKUP($CR139,BalanceAtivos,5,0),"-")))</f>
        <v/>
      </c>
      <c r="AV139" s="856" t="str">
        <f>IF($CR139="","",IF(NOT('alocação'!$D$1),"off",IFERROR(VLOOKUP($CR139,BalanceAtivos,6,0),"-")))</f>
        <v/>
      </c>
      <c r="AW139" s="857"/>
      <c r="AX139" s="858" t="str">
        <f>IF($CR139="","",IF($E139="","SP",IFERROR(VLOOKUP($CR139,AtivosDados,MATCH("pm_atual",portfolio.!$A$3:CY$3,0),0)*$CU$5,0)))</f>
        <v/>
      </c>
      <c r="AY139" s="859" t="str">
        <f t="shared" si="2"/>
        <v/>
      </c>
      <c r="AZ139" s="858" t="str">
        <f>IF($CR139="","",IF($E139="","SP",SUMIF(portfolio.!$A$4:$A308,$CR139,portfolio.!$O$4:$O308)*$CU$5))</f>
        <v/>
      </c>
      <c r="BA139" s="858" t="str">
        <f>IF($CR139="","",IF($E139="","SP",SUMIF(portfolio.!$A$4:$A308,$CR139,portfolio.!$AN$4:$AN308)*$CU$5))</f>
        <v/>
      </c>
      <c r="BB139" s="860" t="str">
        <f>IF($CR139="","",IF($E139="","-",IFERROR($BA139/'portfólio'!$DG$63,"")))</f>
        <v/>
      </c>
      <c r="BC139" s="861" t="str">
        <f>IF($CR139="","",IF($E139="","-",SUMIF(portfolio.!$A$4:$A308,$CR139,portfolio.!$J$4:$J308)))</f>
        <v/>
      </c>
      <c r="BD139" s="862" t="str">
        <f>IF($CR139="","",IF($E139="","SP",SUMIF(portfolio.!$A$4:$A308,$CR139,portfolio.!$AQ$4:$AQ308)*$CU$5))</f>
        <v/>
      </c>
      <c r="BE139" s="850" t="str">
        <f t="shared" si="3"/>
        <v/>
      </c>
      <c r="BF139" s="862" t="str">
        <f>IF($CR139="","",IF($E139="","-",SUMIF(portfolio.!$A$4:$A308,$CR139,portfolio.!$AX$4:$AX308)*$CU$5))</f>
        <v/>
      </c>
      <c r="BG139" s="545"/>
      <c r="BH139" s="879" t="s">
        <v>123</v>
      </c>
      <c r="BI139" s="880" t="s">
        <v>123</v>
      </c>
      <c r="BJ139" s="863" t="str">
        <f>IFERROR(__xludf.DUMMYFUNCTION("IF(NOT($BL$4),"""",IF($CR139="""","""",IFERROR(query({GOOGLEFINANCE($CR139,""price"",IF($BI139=""-"",TODAY()-($AQ$5+5),$BI139),TODAY()-1)},""Select max(Col2) where Col1 is not null label max(Col2) ''"")*CU139,""-"")))"),"")</f>
        <v/>
      </c>
      <c r="BK139" s="881" t="s">
        <v>123</v>
      </c>
      <c r="BL139" s="882" t="s">
        <v>123</v>
      </c>
      <c r="BM139" s="442"/>
      <c r="BN139" s="867" t="str">
        <f>IFERROR(__xludf.DUMMYFUNCTION("IF(CR139="""","""",IF(OR(C139=""AÇÃO"",C139=""BDR""),IFERROR(QUERY({fundamentus.!$A$3:$U308},$CX$67&amp;"" where Col1='""&amp;CR139&amp;""' limit 1"",0)),IF(C139=""FII"",IFERROR(QUERY({fundsexplorer.!$A$2:$Z308},$CY$67&amp;"" where Col1='""&amp;CR139&amp;""' limit 1"",0)),""""))"&amp;")"),"")</f>
        <v/>
      </c>
      <c r="BO139" s="867"/>
      <c r="BP139" s="867"/>
      <c r="BQ139" s="867"/>
      <c r="BR139" s="867"/>
      <c r="BS139" s="867"/>
      <c r="BT139" s="867"/>
      <c r="BU139" s="442"/>
      <c r="BV139" s="868" t="str">
        <f>IFERROR(__xludf.DUMMYFUNCTION("IF(OR(C139=""AÇÃO"",C139=""BDR""),IFERROR(GOOGLEFINANCE(CONCAT(""BVMF:"",CR139), ""marketcap"")/1000000,""NC""),"""")"),"")</f>
        <v/>
      </c>
      <c r="BW139" s="869" t="s">
        <v>123</v>
      </c>
      <c r="BX139" s="870" t="s">
        <v>123</v>
      </c>
      <c r="BY139" s="868" t="s">
        <v>123</v>
      </c>
      <c r="BZ139" s="870" t="s">
        <v>123</v>
      </c>
      <c r="CA139" s="868" t="s">
        <v>123</v>
      </c>
      <c r="CB139" s="868" t="s">
        <v>123</v>
      </c>
      <c r="CC139" s="868" t="s">
        <v>123</v>
      </c>
      <c r="CD139" s="868" t="str">
        <f>IFERROR(__xludf.DUMMYFUNCTION("IF(OR(C139=""AÇÃO"",C139=""BDR""),IFERROR(GOOGLEFINANCE(CONCAT(""BVMF:"",CR139), ""volumeavg"")/1000000,""NC""),"""")"),"")</f>
        <v/>
      </c>
      <c r="CE139" s="870" t="s">
        <v>123</v>
      </c>
      <c r="CF139" s="870" t="s">
        <v>123</v>
      </c>
      <c r="CG139" s="870" t="str">
        <f>IFERROR(__xludf.DUMMYFUNCTION("IF(OR(C139=""AÇÃO"",C139=""BDR""),IF(CF139=0,""SEM DY"",IFERROR(ImportXML(CONCAT(""http://www.guiainvest.com.br/raiox/default.aspx?sigla="",$CR139),""//*[@id='lbPayoutAtual']""),""NC"")),"""")"),"")</f>
        <v/>
      </c>
      <c r="CH139" s="870" t="s">
        <v>123</v>
      </c>
      <c r="CI139" s="545"/>
      <c r="CJ139" s="871" t="str">
        <f>IFERROR(__xludf.DUMMYFUNCTION("IF(OR(C139=""AÇÃO"",C139=""BDR""),IFERROR(GOOGLEFINANCE(CONCAT(""BVMF:"",CR139), ""eps""),""NC""),"""")"),"")</f>
        <v/>
      </c>
      <c r="CK139" s="442"/>
      <c r="CL139" s="871" t="str">
        <f>IFERROR(__xludf.DUMMYFUNCTION("IF(NOT($BL$4),"""",IF($CR139="""","""",IF($BC139="""","""",IFERROR(query({op.normal!$B$5:$F308},""select Col5, toDate(Col2) where Col1 =  '""&amp;$CR139&amp;""' and Col4 &gt; 0 and ((Col3 is null) or (Col3 = 'C')) and Col2 &gt;= date '""&amp;TEXT(TODAY()-$AQ$5,""yyyy-mm-dd"&amp;""")&amp;""' order by Col2 desc limit 1 label toDate(Col2) ''"")))))"),"")</f>
        <v/>
      </c>
      <c r="CM139" s="872"/>
      <c r="CN139" s="883" t="s">
        <v>123</v>
      </c>
      <c r="CO139" s="874" t="s">
        <v>123</v>
      </c>
      <c r="CP139" s="766"/>
      <c r="CQ139" s="791"/>
      <c r="CR139" s="791"/>
      <c r="CT139" s="791" t="s">
        <v>123</v>
      </c>
      <c r="CU139" s="791" t="str">
        <f>IFERROR(__xludf.DUMMYFUNCTION("IF(CR139="""","""",IF(CT139=$C$4,1,GOOGLEFINANCE(CT139&amp;$C$4)))"),"")</f>
        <v/>
      </c>
    </row>
    <row r="140" ht="22.5" customHeight="1">
      <c r="A140" s="837">
        <v>132.0</v>
      </c>
      <c r="B140" s="838" t="s">
        <v>123</v>
      </c>
      <c r="C140" s="838" t="s">
        <v>123</v>
      </c>
      <c r="D140" s="839" t="s">
        <v>123</v>
      </c>
      <c r="E140" s="839" t="s">
        <v>123</v>
      </c>
      <c r="F140" s="839" t="s">
        <v>123</v>
      </c>
      <c r="H140" s="884"/>
      <c r="I140" s="838"/>
      <c r="J140" s="838"/>
      <c r="K140" s="838"/>
      <c r="L140" s="838"/>
      <c r="M140" s="838"/>
      <c r="N140" s="838"/>
      <c r="O140" s="838"/>
      <c r="P140" s="838"/>
      <c r="Q140" s="838"/>
      <c r="R140" s="838"/>
      <c r="S140" s="838"/>
      <c r="T140" s="838"/>
      <c r="U140" s="838"/>
      <c r="V140" s="838"/>
      <c r="W140" s="838"/>
      <c r="X140" s="838"/>
      <c r="Z140" s="875" t="str">
        <f>IFERROR(__xludf.DUMMYFUNCTION("IF($CR140="""","""",IFERROR(query({CarteirasAtivos},""select Col4 where Col4 is not null and Col1 = '""&amp;$CR140&amp;""' limit 1"")*CU140,""NC""))"),"")</f>
        <v/>
      </c>
      <c r="AA140" s="876" t="str">
        <f>IFERROR(__xludf.DUMMYFUNCTION("IF($CR140="""","""",IFERROR(query({CarteirasAtivos},""select Col6 where Col4 is not null and Col1 = '""&amp;$CR140&amp;""' limit 1""),""NC""))"),"")</f>
        <v/>
      </c>
      <c r="AB140" s="877"/>
      <c r="AC140" s="878" t="s">
        <v>123</v>
      </c>
      <c r="AD140" s="845" t="str">
        <f>IF($CR140="","",IFERROR(VLOOKUP($CR140,ativos.!$C$3:$R308,MATCH("cotacao",ativos.!$C$2:CY$2,0),FALSE)*$CU$5,"atualizar"))</f>
        <v/>
      </c>
      <c r="AE140" s="846" t="str">
        <f>IFERROR(__xludf.DUMMYFUNCTION("IF($CR140="""","""",IFERROR(AVERAGE(query({CarteirasAtivos;CarteirasAtivosEncerrados},""select Col5 where Col5 is not null and Col1 = '""&amp;$CR140&amp;""' and Col10='SIM'""))*CU140,""NC""))"),"")</f>
        <v/>
      </c>
      <c r="AF140" s="847" t="str">
        <f t="shared" si="1"/>
        <v/>
      </c>
      <c r="AG140" s="442"/>
      <c r="AH140" s="848" t="str">
        <f>IFERROR(__xludf.DUMMYFUNCTION("IF($CR140="""","""",IFERROR(GOOGLEFINANCE($CR140,""low52"")*CU140,""-""))"),"")</f>
        <v/>
      </c>
      <c r="AI140" s="848" t="str">
        <f>IFERROR(__xludf.DUMMYFUNCTION("IF($CR140="""","""",IFERROR(GOOGLEFINANCE($CR140,""high52"")*CU140,""-""))"),"")</f>
        <v/>
      </c>
      <c r="AJ140" s="849" t="s">
        <v>123</v>
      </c>
      <c r="AK140" s="850" t="str">
        <f>IFERROR(__xludf.DUMMYFUNCTION("IF($CR140="""","""",IFERROR(GOOGLEFINANCE($CR140,""changepct"")/100,""-""))"),"")</f>
        <v/>
      </c>
      <c r="AL140" s="851" t="str">
        <f>IFERROR(__xludf.DUMMYFUNCTION("IF($CR140="""","""",IFERROR(($AD140/(QUERY(GOOGLEFINANCE($CR140,""price"",TODAY()-7),""SELECT Col2 label Col2 ''"")*$CU140)-1),""-""))"),"")</f>
        <v/>
      </c>
      <c r="AM140" s="851" t="str">
        <f>IFERROR(__xludf.DUMMYFUNCTION("IF($CR140="""","""",IFERROR(($AD140/(QUERY(GOOGLEFINANCE($CR140,""price"",TODAY()-14),""SELECT Col2 label Col2 ''"")*$CU140)-1),""-""))"),"")</f>
        <v/>
      </c>
      <c r="AN140" s="851" t="str">
        <f>IFERROR(__xludf.DUMMYFUNCTION("IF($CR140="""","""",IFERROR(($AD140/(QUERY(GOOGLEFINANCE($CR140,""price"",TODAY()-28),""SELECT Col2 label Col2 ''"")*$CU140)-1),""-""))"),"")</f>
        <v/>
      </c>
      <c r="AO140" s="851" t="str">
        <f>IFERROR(__xludf.DUMMYFUNCTION("IF($CR140="""","""",IFERROR(($AD140/(QUERY(GOOGLEFINANCE($CR140,""price"",TODAY()-$AQ$5),""SELECT Col2 label Col2 ''"")*$CU140)-1),""-""))"),"")</f>
        <v/>
      </c>
      <c r="AP140" s="852" t="str">
        <f>IFERROR(__xludf.DUMMYFUNCTION("IF($CR140="""","""",IFERROR(SPARKLINE(query(GOOGLEFINANCE($CR140,""price"",TODAY()-$AQ$5,TODAY(),1),""select Col2 label Col2 ''""),IF($AP$7=""Gráfico de barras"",{""charttype"",""column"";""highcolor"",""red""},{""chartype"",""line""}))))"),"")</f>
        <v/>
      </c>
      <c r="AQ140" s="144"/>
      <c r="AR140" s="853"/>
      <c r="AS140" s="854" t="str">
        <f>IF($CR140="","",IF(NOT('alocação'!$D$1),"off",IFERROR(VLOOKUP(CR140,BalanceAtivos,3,0),"NC")))</f>
        <v/>
      </c>
      <c r="AT140" s="855" t="str">
        <f>IF($CR140="","",IF(NOT('alocação'!$D$1),"off",IFERROR(VLOOKUP($CR140,BalanceAtivos,4,0)*$CU$5,"NC")))</f>
        <v/>
      </c>
      <c r="AU140" s="856" t="str">
        <f>IF($CR140="","",IF(NOT('alocação'!$D$1),"off",IFERROR(VLOOKUP($CR140,BalanceAtivos,5,0),"-")))</f>
        <v/>
      </c>
      <c r="AV140" s="856" t="str">
        <f>IF($CR140="","",IF(NOT('alocação'!$D$1),"off",IFERROR(VLOOKUP($CR140,BalanceAtivos,6,0),"-")))</f>
        <v/>
      </c>
      <c r="AW140" s="857"/>
      <c r="AX140" s="858" t="str">
        <f>IF($CR140="","",IF($E140="","SP",IFERROR(VLOOKUP($CR140,AtivosDados,MATCH("pm_atual",portfolio.!$A$3:CY$3,0),0)*$CU$5,0)))</f>
        <v/>
      </c>
      <c r="AY140" s="859" t="str">
        <f t="shared" si="2"/>
        <v/>
      </c>
      <c r="AZ140" s="858" t="str">
        <f>IF($CR140="","",IF($E140="","SP",SUMIF(portfolio.!$A$4:$A308,$CR140,portfolio.!$O$4:$O308)*$CU$5))</f>
        <v/>
      </c>
      <c r="BA140" s="858" t="str">
        <f>IF($CR140="","",IF($E140="","SP",SUMIF(portfolio.!$A$4:$A308,$CR140,portfolio.!$AN$4:$AN308)*$CU$5))</f>
        <v/>
      </c>
      <c r="BB140" s="860" t="str">
        <f>IF($CR140="","",IF($E140="","-",IFERROR($BA140/'portfólio'!$DG$63,"")))</f>
        <v/>
      </c>
      <c r="BC140" s="861" t="str">
        <f>IF($CR140="","",IF($E140="","-",SUMIF(portfolio.!$A$4:$A308,$CR140,portfolio.!$J$4:$J308)))</f>
        <v/>
      </c>
      <c r="BD140" s="862" t="str">
        <f>IF($CR140="","",IF($E140="","SP",SUMIF(portfolio.!$A$4:$A308,$CR140,portfolio.!$AQ$4:$AQ308)*$CU$5))</f>
        <v/>
      </c>
      <c r="BE140" s="850" t="str">
        <f t="shared" si="3"/>
        <v/>
      </c>
      <c r="BF140" s="862" t="str">
        <f>IF($CR140="","",IF($E140="","-",SUMIF(portfolio.!$A$4:$A308,$CR140,portfolio.!$AX$4:$AX308)*$CU$5))</f>
        <v/>
      </c>
      <c r="BG140" s="545"/>
      <c r="BH140" s="879" t="s">
        <v>123</v>
      </c>
      <c r="BI140" s="880" t="s">
        <v>123</v>
      </c>
      <c r="BJ140" s="863" t="str">
        <f>IFERROR(__xludf.DUMMYFUNCTION("IF(NOT($BL$4),"""",IF($CR140="""","""",IFERROR(query({GOOGLEFINANCE($CR140,""price"",IF($BI140=""-"",TODAY()-($AQ$5+5),$BI140),TODAY()-1)},""Select max(Col2) where Col1 is not null label max(Col2) ''"")*CU140,""-"")))"),"")</f>
        <v/>
      </c>
      <c r="BK140" s="881" t="s">
        <v>123</v>
      </c>
      <c r="BL140" s="882" t="s">
        <v>123</v>
      </c>
      <c r="BM140" s="442"/>
      <c r="BN140" s="867" t="str">
        <f>IFERROR(__xludf.DUMMYFUNCTION("IF(CR140="""","""",IF(OR(C140=""AÇÃO"",C140=""BDR""),IFERROR(QUERY({fundamentus.!$A$3:$U308},$CX$67&amp;"" where Col1='""&amp;CR140&amp;""' limit 1"",0)),IF(C140=""FII"",IFERROR(QUERY({fundsexplorer.!$A$2:$Z308},$CY$67&amp;"" where Col1='""&amp;CR140&amp;""' limit 1"",0)),""""))"&amp;")"),"")</f>
        <v/>
      </c>
      <c r="BO140" s="867"/>
      <c r="BP140" s="867"/>
      <c r="BQ140" s="867"/>
      <c r="BR140" s="867"/>
      <c r="BS140" s="867"/>
      <c r="BT140" s="867"/>
      <c r="BU140" s="442"/>
      <c r="BV140" s="868" t="str">
        <f>IFERROR(__xludf.DUMMYFUNCTION("IF(OR(C140=""AÇÃO"",C140=""BDR""),IFERROR(GOOGLEFINANCE(CONCAT(""BVMF:"",CR140), ""marketcap"")/1000000,""NC""),"""")"),"")</f>
        <v/>
      </c>
      <c r="BW140" s="869" t="s">
        <v>123</v>
      </c>
      <c r="BX140" s="870" t="s">
        <v>123</v>
      </c>
      <c r="BY140" s="868" t="s">
        <v>123</v>
      </c>
      <c r="BZ140" s="870" t="s">
        <v>123</v>
      </c>
      <c r="CA140" s="868" t="s">
        <v>123</v>
      </c>
      <c r="CB140" s="868" t="s">
        <v>123</v>
      </c>
      <c r="CC140" s="868" t="s">
        <v>123</v>
      </c>
      <c r="CD140" s="868" t="str">
        <f>IFERROR(__xludf.DUMMYFUNCTION("IF(OR(C140=""AÇÃO"",C140=""BDR""),IFERROR(GOOGLEFINANCE(CONCAT(""BVMF:"",CR140), ""volumeavg"")/1000000,""NC""),"""")"),"")</f>
        <v/>
      </c>
      <c r="CE140" s="870" t="s">
        <v>123</v>
      </c>
      <c r="CF140" s="870" t="s">
        <v>123</v>
      </c>
      <c r="CG140" s="870" t="str">
        <f>IFERROR(__xludf.DUMMYFUNCTION("IF(OR(C140=""AÇÃO"",C140=""BDR""),IF(CF140=0,""SEM DY"",IFERROR(ImportXML(CONCAT(""http://www.guiainvest.com.br/raiox/default.aspx?sigla="",$CR140),""//*[@id='lbPayoutAtual']""),""NC"")),"""")"),"")</f>
        <v/>
      </c>
      <c r="CH140" s="870" t="s">
        <v>123</v>
      </c>
      <c r="CI140" s="545"/>
      <c r="CJ140" s="871" t="str">
        <f>IFERROR(__xludf.DUMMYFUNCTION("IF(OR(C140=""AÇÃO"",C140=""BDR""),IFERROR(GOOGLEFINANCE(CONCAT(""BVMF:"",CR140), ""eps""),""NC""),"""")"),"")</f>
        <v/>
      </c>
      <c r="CK140" s="442"/>
      <c r="CL140" s="871" t="str">
        <f>IFERROR(__xludf.DUMMYFUNCTION("IF(NOT($BL$4),"""",IF($CR140="""","""",IF($BC140="""","""",IFERROR(query({op.normal!$B$5:$F308},""select Col5, toDate(Col2) where Col1 =  '""&amp;$CR140&amp;""' and Col4 &gt; 0 and ((Col3 is null) or (Col3 = 'C')) and Col2 &gt;= date '""&amp;TEXT(TODAY()-$AQ$5,""yyyy-mm-dd"&amp;""")&amp;""' order by Col2 desc limit 1 label toDate(Col2) ''"")))))"),"")</f>
        <v/>
      </c>
      <c r="CM140" s="872"/>
      <c r="CN140" s="883" t="s">
        <v>123</v>
      </c>
      <c r="CO140" s="874" t="s">
        <v>123</v>
      </c>
      <c r="CP140" s="766"/>
      <c r="CQ140" s="791"/>
      <c r="CR140" s="791"/>
      <c r="CT140" s="791" t="s">
        <v>123</v>
      </c>
      <c r="CU140" s="791" t="str">
        <f>IFERROR(__xludf.DUMMYFUNCTION("IF(CR140="""","""",IF(CT140=$C$4,1,GOOGLEFINANCE(CT140&amp;$C$4)))"),"")</f>
        <v/>
      </c>
    </row>
    <row r="141" ht="22.5" customHeight="1">
      <c r="A141" s="837">
        <v>133.0</v>
      </c>
      <c r="B141" s="838" t="s">
        <v>123</v>
      </c>
      <c r="C141" s="838" t="s">
        <v>123</v>
      </c>
      <c r="D141" s="839" t="s">
        <v>123</v>
      </c>
      <c r="E141" s="839" t="s">
        <v>123</v>
      </c>
      <c r="F141" s="839" t="s">
        <v>123</v>
      </c>
      <c r="H141" s="884"/>
      <c r="I141" s="838"/>
      <c r="J141" s="838"/>
      <c r="K141" s="838"/>
      <c r="L141" s="838"/>
      <c r="M141" s="838"/>
      <c r="N141" s="838"/>
      <c r="O141" s="838"/>
      <c r="P141" s="838"/>
      <c r="Q141" s="838"/>
      <c r="R141" s="838"/>
      <c r="S141" s="838"/>
      <c r="T141" s="838"/>
      <c r="U141" s="838"/>
      <c r="V141" s="838"/>
      <c r="W141" s="838"/>
      <c r="X141" s="838"/>
      <c r="Z141" s="875" t="str">
        <f>IFERROR(__xludf.DUMMYFUNCTION("IF($CR141="""","""",IFERROR(query({CarteirasAtivos},""select Col4 where Col4 is not null and Col1 = '""&amp;$CR141&amp;""' limit 1"")*CU141,""NC""))"),"")</f>
        <v/>
      </c>
      <c r="AA141" s="876" t="str">
        <f>IFERROR(__xludf.DUMMYFUNCTION("IF($CR141="""","""",IFERROR(query({CarteirasAtivos},""select Col6 where Col4 is not null and Col1 = '""&amp;$CR141&amp;""' limit 1""),""NC""))"),"")</f>
        <v/>
      </c>
      <c r="AB141" s="877"/>
      <c r="AC141" s="878" t="s">
        <v>123</v>
      </c>
      <c r="AD141" s="845" t="str">
        <f>IF($CR141="","",IFERROR(VLOOKUP($CR141,ativos.!$C$3:$R308,MATCH("cotacao",ativos.!$C$2:CY$2,0),FALSE)*$CU$5,"atualizar"))</f>
        <v/>
      </c>
      <c r="AE141" s="846" t="str">
        <f>IFERROR(__xludf.DUMMYFUNCTION("IF($CR141="""","""",IFERROR(AVERAGE(query({CarteirasAtivos;CarteirasAtivosEncerrados},""select Col5 where Col5 is not null and Col1 = '""&amp;$CR141&amp;""' and Col10='SIM'""))*CU141,""NC""))"),"")</f>
        <v/>
      </c>
      <c r="AF141" s="847" t="str">
        <f t="shared" si="1"/>
        <v/>
      </c>
      <c r="AG141" s="442"/>
      <c r="AH141" s="848" t="str">
        <f>IFERROR(__xludf.DUMMYFUNCTION("IF($CR141="""","""",IFERROR(GOOGLEFINANCE($CR141,""low52"")*CU141,""-""))"),"")</f>
        <v/>
      </c>
      <c r="AI141" s="848" t="str">
        <f>IFERROR(__xludf.DUMMYFUNCTION("IF($CR141="""","""",IFERROR(GOOGLEFINANCE($CR141,""high52"")*CU141,""-""))"),"")</f>
        <v/>
      </c>
      <c r="AJ141" s="849" t="s">
        <v>123</v>
      </c>
      <c r="AK141" s="850" t="str">
        <f>IFERROR(__xludf.DUMMYFUNCTION("IF($CR141="""","""",IFERROR(GOOGLEFINANCE($CR141,""changepct"")/100,""-""))"),"")</f>
        <v/>
      </c>
      <c r="AL141" s="851" t="str">
        <f>IFERROR(__xludf.DUMMYFUNCTION("IF($CR141="""","""",IFERROR(($AD141/(QUERY(GOOGLEFINANCE($CR141,""price"",TODAY()-7),""SELECT Col2 label Col2 ''"")*$CU141)-1),""-""))"),"")</f>
        <v/>
      </c>
      <c r="AM141" s="851" t="str">
        <f>IFERROR(__xludf.DUMMYFUNCTION("IF($CR141="""","""",IFERROR(($AD141/(QUERY(GOOGLEFINANCE($CR141,""price"",TODAY()-14),""SELECT Col2 label Col2 ''"")*$CU141)-1),""-""))"),"")</f>
        <v/>
      </c>
      <c r="AN141" s="851" t="str">
        <f>IFERROR(__xludf.DUMMYFUNCTION("IF($CR141="""","""",IFERROR(($AD141/(QUERY(GOOGLEFINANCE($CR141,""price"",TODAY()-28),""SELECT Col2 label Col2 ''"")*$CU141)-1),""-""))"),"")</f>
        <v/>
      </c>
      <c r="AO141" s="851" t="str">
        <f>IFERROR(__xludf.DUMMYFUNCTION("IF($CR141="""","""",IFERROR(($AD141/(QUERY(GOOGLEFINANCE($CR141,""price"",TODAY()-$AQ$5),""SELECT Col2 label Col2 ''"")*$CU141)-1),""-""))"),"")</f>
        <v/>
      </c>
      <c r="AP141" s="852" t="str">
        <f>IFERROR(__xludf.DUMMYFUNCTION("IF($CR141="""","""",IFERROR(SPARKLINE(query(GOOGLEFINANCE($CR141,""price"",TODAY()-$AQ$5,TODAY(),1),""select Col2 label Col2 ''""),IF($AP$7=""Gráfico de barras"",{""charttype"",""column"";""highcolor"",""red""},{""chartype"",""line""}))))"),"")</f>
        <v/>
      </c>
      <c r="AQ141" s="144"/>
      <c r="AR141" s="853"/>
      <c r="AS141" s="854" t="str">
        <f>IF($CR141="","",IF(NOT('alocação'!$D$1),"off",IFERROR(VLOOKUP(CR141,BalanceAtivos,3,0),"NC")))</f>
        <v/>
      </c>
      <c r="AT141" s="855" t="str">
        <f>IF($CR141="","",IF(NOT('alocação'!$D$1),"off",IFERROR(VLOOKUP($CR141,BalanceAtivos,4,0)*$CU$5,"NC")))</f>
        <v/>
      </c>
      <c r="AU141" s="856" t="str">
        <f>IF($CR141="","",IF(NOT('alocação'!$D$1),"off",IFERROR(VLOOKUP($CR141,BalanceAtivos,5,0),"-")))</f>
        <v/>
      </c>
      <c r="AV141" s="856" t="str">
        <f>IF($CR141="","",IF(NOT('alocação'!$D$1),"off",IFERROR(VLOOKUP($CR141,BalanceAtivos,6,0),"-")))</f>
        <v/>
      </c>
      <c r="AW141" s="857"/>
      <c r="AX141" s="858" t="str">
        <f>IF($CR141="","",IF($E141="","SP",IFERROR(VLOOKUP($CR141,AtivosDados,MATCH("pm_atual",portfolio.!$A$3:CY$3,0),0)*$CU$5,0)))</f>
        <v/>
      </c>
      <c r="AY141" s="859" t="str">
        <f t="shared" si="2"/>
        <v/>
      </c>
      <c r="AZ141" s="858" t="str">
        <f>IF($CR141="","",IF($E141="","SP",SUMIF(portfolio.!$A$4:$A308,$CR141,portfolio.!$O$4:$O308)*$CU$5))</f>
        <v/>
      </c>
      <c r="BA141" s="858" t="str">
        <f>IF($CR141="","",IF($E141="","SP",SUMIF(portfolio.!$A$4:$A308,$CR141,portfolio.!$AN$4:$AN308)*$CU$5))</f>
        <v/>
      </c>
      <c r="BB141" s="860" t="str">
        <f>IF($CR141="","",IF($E141="","-",IFERROR($BA141/'portfólio'!$DG$63,"")))</f>
        <v/>
      </c>
      <c r="BC141" s="861" t="str">
        <f>IF($CR141="","",IF($E141="","-",SUMIF(portfolio.!$A$4:$A308,$CR141,portfolio.!$J$4:$J308)))</f>
        <v/>
      </c>
      <c r="BD141" s="862" t="str">
        <f>IF($CR141="","",IF($E141="","SP",SUMIF(portfolio.!$A$4:$A308,$CR141,portfolio.!$AQ$4:$AQ308)*$CU$5))</f>
        <v/>
      </c>
      <c r="BE141" s="850" t="str">
        <f t="shared" si="3"/>
        <v/>
      </c>
      <c r="BF141" s="862" t="str">
        <f>IF($CR141="","",IF($E141="","-",SUMIF(portfolio.!$A$4:$A308,$CR141,portfolio.!$AX$4:$AX308)*$CU$5))</f>
        <v/>
      </c>
      <c r="BG141" s="545"/>
      <c r="BH141" s="879" t="s">
        <v>123</v>
      </c>
      <c r="BI141" s="880" t="s">
        <v>123</v>
      </c>
      <c r="BJ141" s="863" t="str">
        <f>IFERROR(__xludf.DUMMYFUNCTION("IF(NOT($BL$4),"""",IF($CR141="""","""",IFERROR(query({GOOGLEFINANCE($CR141,""price"",IF($BI141=""-"",TODAY()-($AQ$5+5),$BI141),TODAY()-1)},""Select max(Col2) where Col1 is not null label max(Col2) ''"")*CU141,""-"")))"),"")</f>
        <v/>
      </c>
      <c r="BK141" s="881" t="s">
        <v>123</v>
      </c>
      <c r="BL141" s="882" t="s">
        <v>123</v>
      </c>
      <c r="BM141" s="442"/>
      <c r="BN141" s="867" t="str">
        <f>IFERROR(__xludf.DUMMYFUNCTION("IF(CR141="""","""",IF(OR(C141=""AÇÃO"",C141=""BDR""),IFERROR(QUERY({fundamentus.!$A$3:$U308},$CX$67&amp;"" where Col1='""&amp;CR141&amp;""' limit 1"",0)),IF(C141=""FII"",IFERROR(QUERY({fundsexplorer.!$A$2:$Z308},$CY$67&amp;"" where Col1='""&amp;CR141&amp;""' limit 1"",0)),""""))"&amp;")"),"")</f>
        <v/>
      </c>
      <c r="BO141" s="867"/>
      <c r="BP141" s="867"/>
      <c r="BQ141" s="867"/>
      <c r="BR141" s="867"/>
      <c r="BS141" s="867"/>
      <c r="BT141" s="867"/>
      <c r="BU141" s="442"/>
      <c r="BV141" s="868" t="str">
        <f>IFERROR(__xludf.DUMMYFUNCTION("IF(OR(C141=""AÇÃO"",C141=""BDR""),IFERROR(GOOGLEFINANCE(CONCAT(""BVMF:"",CR141), ""marketcap"")/1000000,""NC""),"""")"),"")</f>
        <v/>
      </c>
      <c r="BW141" s="869" t="s">
        <v>123</v>
      </c>
      <c r="BX141" s="870" t="s">
        <v>123</v>
      </c>
      <c r="BY141" s="868" t="s">
        <v>123</v>
      </c>
      <c r="BZ141" s="870" t="s">
        <v>123</v>
      </c>
      <c r="CA141" s="868" t="s">
        <v>123</v>
      </c>
      <c r="CB141" s="868" t="s">
        <v>123</v>
      </c>
      <c r="CC141" s="868" t="s">
        <v>123</v>
      </c>
      <c r="CD141" s="868" t="str">
        <f>IFERROR(__xludf.DUMMYFUNCTION("IF(OR(C141=""AÇÃO"",C141=""BDR""),IFERROR(GOOGLEFINANCE(CONCAT(""BVMF:"",CR141), ""volumeavg"")/1000000,""NC""),"""")"),"")</f>
        <v/>
      </c>
      <c r="CE141" s="870" t="s">
        <v>123</v>
      </c>
      <c r="CF141" s="870" t="s">
        <v>123</v>
      </c>
      <c r="CG141" s="870" t="str">
        <f>IFERROR(__xludf.DUMMYFUNCTION("IF(OR(C141=""AÇÃO"",C141=""BDR""),IF(CF141=0,""SEM DY"",IFERROR(ImportXML(CONCAT(""http://www.guiainvest.com.br/raiox/default.aspx?sigla="",$CR141),""//*[@id='lbPayoutAtual']""),""NC"")),"""")"),"")</f>
        <v/>
      </c>
      <c r="CH141" s="870" t="s">
        <v>123</v>
      </c>
      <c r="CI141" s="545"/>
      <c r="CJ141" s="871" t="str">
        <f>IFERROR(__xludf.DUMMYFUNCTION("IF(OR(C141=""AÇÃO"",C141=""BDR""),IFERROR(GOOGLEFINANCE(CONCAT(""BVMF:"",CR141), ""eps""),""NC""),"""")"),"")</f>
        <v/>
      </c>
      <c r="CK141" s="442"/>
      <c r="CL141" s="871" t="str">
        <f>IFERROR(__xludf.DUMMYFUNCTION("IF(NOT($BL$4),"""",IF($CR141="""","""",IF($BC141="""","""",IFERROR(query({op.normal!$B$5:$F308},""select Col5, toDate(Col2) where Col1 =  '""&amp;$CR141&amp;""' and Col4 &gt; 0 and ((Col3 is null) or (Col3 = 'C')) and Col2 &gt;= date '""&amp;TEXT(TODAY()-$AQ$5,""yyyy-mm-dd"&amp;""")&amp;""' order by Col2 desc limit 1 label toDate(Col2) ''"")))))"),"")</f>
        <v/>
      </c>
      <c r="CM141" s="872"/>
      <c r="CN141" s="883" t="s">
        <v>123</v>
      </c>
      <c r="CO141" s="874" t="s">
        <v>123</v>
      </c>
      <c r="CP141" s="766"/>
      <c r="CQ141" s="791"/>
      <c r="CR141" s="791"/>
      <c r="CT141" s="791" t="s">
        <v>123</v>
      </c>
      <c r="CU141" s="791" t="str">
        <f>IFERROR(__xludf.DUMMYFUNCTION("IF(CR141="""","""",IF(CT141=$C$4,1,GOOGLEFINANCE(CT141&amp;$C$4)))"),"")</f>
        <v/>
      </c>
    </row>
    <row r="142" ht="22.5" customHeight="1">
      <c r="A142" s="837">
        <v>134.0</v>
      </c>
      <c r="B142" s="838" t="s">
        <v>123</v>
      </c>
      <c r="C142" s="838" t="s">
        <v>123</v>
      </c>
      <c r="D142" s="839" t="s">
        <v>123</v>
      </c>
      <c r="E142" s="839" t="s">
        <v>123</v>
      </c>
      <c r="F142" s="839" t="s">
        <v>123</v>
      </c>
      <c r="H142" s="884"/>
      <c r="I142" s="838"/>
      <c r="J142" s="838"/>
      <c r="K142" s="838"/>
      <c r="L142" s="838"/>
      <c r="M142" s="838"/>
      <c r="N142" s="838"/>
      <c r="O142" s="838"/>
      <c r="P142" s="838"/>
      <c r="Q142" s="838"/>
      <c r="R142" s="838"/>
      <c r="S142" s="838"/>
      <c r="T142" s="838"/>
      <c r="U142" s="838"/>
      <c r="V142" s="838"/>
      <c r="W142" s="838"/>
      <c r="X142" s="838"/>
      <c r="Z142" s="875" t="str">
        <f>IFERROR(__xludf.DUMMYFUNCTION("IF($CR142="""","""",IFERROR(query({CarteirasAtivos},""select Col4 where Col4 is not null and Col1 = '""&amp;$CR142&amp;""' limit 1"")*CU142,""NC""))"),"")</f>
        <v/>
      </c>
      <c r="AA142" s="876" t="str">
        <f>IFERROR(__xludf.DUMMYFUNCTION("IF($CR142="""","""",IFERROR(query({CarteirasAtivos},""select Col6 where Col4 is not null and Col1 = '""&amp;$CR142&amp;""' limit 1""),""NC""))"),"")</f>
        <v/>
      </c>
      <c r="AB142" s="877"/>
      <c r="AC142" s="878" t="s">
        <v>123</v>
      </c>
      <c r="AD142" s="845" t="str">
        <f>IF($CR142="","",IFERROR(VLOOKUP($CR142,ativos.!$C$3:$R308,MATCH("cotacao",ativos.!$C$2:CY$2,0),FALSE)*$CU$5,"atualizar"))</f>
        <v/>
      </c>
      <c r="AE142" s="846" t="str">
        <f>IFERROR(__xludf.DUMMYFUNCTION("IF($CR142="""","""",IFERROR(AVERAGE(query({CarteirasAtivos;CarteirasAtivosEncerrados},""select Col5 where Col5 is not null and Col1 = '""&amp;$CR142&amp;""' and Col10='SIM'""))*CU142,""NC""))"),"")</f>
        <v/>
      </c>
      <c r="AF142" s="847" t="str">
        <f t="shared" si="1"/>
        <v/>
      </c>
      <c r="AG142" s="442"/>
      <c r="AH142" s="848" t="str">
        <f>IFERROR(__xludf.DUMMYFUNCTION("IF($CR142="""","""",IFERROR(GOOGLEFINANCE($CR142,""low52"")*CU142,""-""))"),"")</f>
        <v/>
      </c>
      <c r="AI142" s="848" t="str">
        <f>IFERROR(__xludf.DUMMYFUNCTION("IF($CR142="""","""",IFERROR(GOOGLEFINANCE($CR142,""high52"")*CU142,""-""))"),"")</f>
        <v/>
      </c>
      <c r="AJ142" s="849" t="s">
        <v>123</v>
      </c>
      <c r="AK142" s="850" t="str">
        <f>IFERROR(__xludf.DUMMYFUNCTION("IF($CR142="""","""",IFERROR(GOOGLEFINANCE($CR142,""changepct"")/100,""-""))"),"")</f>
        <v/>
      </c>
      <c r="AL142" s="851" t="str">
        <f>IFERROR(__xludf.DUMMYFUNCTION("IF($CR142="""","""",IFERROR(($AD142/(QUERY(GOOGLEFINANCE($CR142,""price"",TODAY()-7),""SELECT Col2 label Col2 ''"")*$CU142)-1),""-""))"),"")</f>
        <v/>
      </c>
      <c r="AM142" s="851" t="str">
        <f>IFERROR(__xludf.DUMMYFUNCTION("IF($CR142="""","""",IFERROR(($AD142/(QUERY(GOOGLEFINANCE($CR142,""price"",TODAY()-14),""SELECT Col2 label Col2 ''"")*$CU142)-1),""-""))"),"")</f>
        <v/>
      </c>
      <c r="AN142" s="851" t="str">
        <f>IFERROR(__xludf.DUMMYFUNCTION("IF($CR142="""","""",IFERROR(($AD142/(QUERY(GOOGLEFINANCE($CR142,""price"",TODAY()-28),""SELECT Col2 label Col2 ''"")*$CU142)-1),""-""))"),"")</f>
        <v/>
      </c>
      <c r="AO142" s="851" t="str">
        <f>IFERROR(__xludf.DUMMYFUNCTION("IF($CR142="""","""",IFERROR(($AD142/(QUERY(GOOGLEFINANCE($CR142,""price"",TODAY()-$AQ$5),""SELECT Col2 label Col2 ''"")*$CU142)-1),""-""))"),"")</f>
        <v/>
      </c>
      <c r="AP142" s="852" t="str">
        <f>IFERROR(__xludf.DUMMYFUNCTION("IF($CR142="""","""",IFERROR(SPARKLINE(query(GOOGLEFINANCE($CR142,""price"",TODAY()-$AQ$5,TODAY(),1),""select Col2 label Col2 ''""),IF($AP$7=""Gráfico de barras"",{""charttype"",""column"";""highcolor"",""red""},{""chartype"",""line""}))))"),"")</f>
        <v/>
      </c>
      <c r="AQ142" s="144"/>
      <c r="AR142" s="853"/>
      <c r="AS142" s="854" t="str">
        <f>IF($CR142="","",IF(NOT('alocação'!$D$1),"off",IFERROR(VLOOKUP(CR142,BalanceAtivos,3,0),"NC")))</f>
        <v/>
      </c>
      <c r="AT142" s="855" t="str">
        <f>IF($CR142="","",IF(NOT('alocação'!$D$1),"off",IFERROR(VLOOKUP($CR142,BalanceAtivos,4,0)*$CU$5,"NC")))</f>
        <v/>
      </c>
      <c r="AU142" s="856" t="str">
        <f>IF($CR142="","",IF(NOT('alocação'!$D$1),"off",IFERROR(VLOOKUP($CR142,BalanceAtivos,5,0),"-")))</f>
        <v/>
      </c>
      <c r="AV142" s="856" t="str">
        <f>IF($CR142="","",IF(NOT('alocação'!$D$1),"off",IFERROR(VLOOKUP($CR142,BalanceAtivos,6,0),"-")))</f>
        <v/>
      </c>
      <c r="AW142" s="857"/>
      <c r="AX142" s="858" t="str">
        <f>IF($CR142="","",IF($E142="","SP",IFERROR(VLOOKUP($CR142,AtivosDados,MATCH("pm_atual",portfolio.!$A$3:CY$3,0),0)*$CU$5,0)))</f>
        <v/>
      </c>
      <c r="AY142" s="859" t="str">
        <f t="shared" si="2"/>
        <v/>
      </c>
      <c r="AZ142" s="858" t="str">
        <f>IF($CR142="","",IF($E142="","SP",SUMIF(portfolio.!$A$4:$A308,$CR142,portfolio.!$O$4:$O308)*$CU$5))</f>
        <v/>
      </c>
      <c r="BA142" s="858" t="str">
        <f>IF($CR142="","",IF($E142="","SP",SUMIF(portfolio.!$A$4:$A308,$CR142,portfolio.!$AN$4:$AN308)*$CU$5))</f>
        <v/>
      </c>
      <c r="BB142" s="860" t="str">
        <f>IF($CR142="","",IF($E142="","-",IFERROR($BA142/'portfólio'!$DG$63,"")))</f>
        <v/>
      </c>
      <c r="BC142" s="861" t="str">
        <f>IF($CR142="","",IF($E142="","-",SUMIF(portfolio.!$A$4:$A308,$CR142,portfolio.!$J$4:$J308)))</f>
        <v/>
      </c>
      <c r="BD142" s="862" t="str">
        <f>IF($CR142="","",IF($E142="","SP",SUMIF(portfolio.!$A$4:$A308,$CR142,portfolio.!$AQ$4:$AQ308)*$CU$5))</f>
        <v/>
      </c>
      <c r="BE142" s="850" t="str">
        <f t="shared" si="3"/>
        <v/>
      </c>
      <c r="BF142" s="862" t="str">
        <f>IF($CR142="","",IF($E142="","-",SUMIF(portfolio.!$A$4:$A308,$CR142,portfolio.!$AX$4:$AX308)*$CU$5))</f>
        <v/>
      </c>
      <c r="BG142" s="545"/>
      <c r="BH142" s="879" t="s">
        <v>123</v>
      </c>
      <c r="BI142" s="880" t="s">
        <v>123</v>
      </c>
      <c r="BJ142" s="863" t="str">
        <f>IFERROR(__xludf.DUMMYFUNCTION("IF(NOT($BL$4),"""",IF($CR142="""","""",IFERROR(query({GOOGLEFINANCE($CR142,""price"",IF($BI142=""-"",TODAY()-($AQ$5+5),$BI142),TODAY()-1)},""Select max(Col2) where Col1 is not null label max(Col2) ''"")*CU142,""-"")))"),"")</f>
        <v/>
      </c>
      <c r="BK142" s="881" t="s">
        <v>123</v>
      </c>
      <c r="BL142" s="882" t="s">
        <v>123</v>
      </c>
      <c r="BM142" s="442"/>
      <c r="BN142" s="867" t="str">
        <f>IFERROR(__xludf.DUMMYFUNCTION("IF(CR142="""","""",IF(OR(C142=""AÇÃO"",C142=""BDR""),IFERROR(QUERY({fundamentus.!$A$3:$U308},$CX$67&amp;"" where Col1='""&amp;CR142&amp;""' limit 1"",0)),IF(C142=""FII"",IFERROR(QUERY({fundsexplorer.!$A$2:$Z308},$CY$67&amp;"" where Col1='""&amp;CR142&amp;""' limit 1"",0)),""""))"&amp;")"),"")</f>
        <v/>
      </c>
      <c r="BO142" s="867"/>
      <c r="BP142" s="867"/>
      <c r="BQ142" s="867"/>
      <c r="BR142" s="867"/>
      <c r="BS142" s="867"/>
      <c r="BT142" s="867"/>
      <c r="BU142" s="442"/>
      <c r="BV142" s="868" t="str">
        <f>IFERROR(__xludf.DUMMYFUNCTION("IF(OR(C142=""AÇÃO"",C142=""BDR""),IFERROR(GOOGLEFINANCE(CONCAT(""BVMF:"",CR142), ""marketcap"")/1000000,""NC""),"""")"),"")</f>
        <v/>
      </c>
      <c r="BW142" s="869" t="s">
        <v>123</v>
      </c>
      <c r="BX142" s="870" t="s">
        <v>123</v>
      </c>
      <c r="BY142" s="868" t="s">
        <v>123</v>
      </c>
      <c r="BZ142" s="870" t="s">
        <v>123</v>
      </c>
      <c r="CA142" s="868" t="s">
        <v>123</v>
      </c>
      <c r="CB142" s="868" t="s">
        <v>123</v>
      </c>
      <c r="CC142" s="868" t="s">
        <v>123</v>
      </c>
      <c r="CD142" s="868" t="str">
        <f>IFERROR(__xludf.DUMMYFUNCTION("IF(OR(C142=""AÇÃO"",C142=""BDR""),IFERROR(GOOGLEFINANCE(CONCAT(""BVMF:"",CR142), ""volumeavg"")/1000000,""NC""),"""")"),"")</f>
        <v/>
      </c>
      <c r="CE142" s="870" t="s">
        <v>123</v>
      </c>
      <c r="CF142" s="870" t="s">
        <v>123</v>
      </c>
      <c r="CG142" s="870" t="str">
        <f>IFERROR(__xludf.DUMMYFUNCTION("IF(OR(C142=""AÇÃO"",C142=""BDR""),IF(CF142=0,""SEM DY"",IFERROR(ImportXML(CONCAT(""http://www.guiainvest.com.br/raiox/default.aspx?sigla="",$CR142),""//*[@id='lbPayoutAtual']""),""NC"")),"""")"),"")</f>
        <v/>
      </c>
      <c r="CH142" s="870" t="s">
        <v>123</v>
      </c>
      <c r="CI142" s="545"/>
      <c r="CJ142" s="871" t="str">
        <f>IFERROR(__xludf.DUMMYFUNCTION("IF(OR(C142=""AÇÃO"",C142=""BDR""),IFERROR(GOOGLEFINANCE(CONCAT(""BVMF:"",CR142), ""eps""),""NC""),"""")"),"")</f>
        <v/>
      </c>
      <c r="CK142" s="442"/>
      <c r="CL142" s="871" t="str">
        <f>IFERROR(__xludf.DUMMYFUNCTION("IF(NOT($BL$4),"""",IF($CR142="""","""",IF($BC142="""","""",IFERROR(query({op.normal!$B$5:$F308},""select Col5, toDate(Col2) where Col1 =  '""&amp;$CR142&amp;""' and Col4 &gt; 0 and ((Col3 is null) or (Col3 = 'C')) and Col2 &gt;= date '""&amp;TEXT(TODAY()-$AQ$5,""yyyy-mm-dd"&amp;""")&amp;""' order by Col2 desc limit 1 label toDate(Col2) ''"")))))"),"")</f>
        <v/>
      </c>
      <c r="CM142" s="872"/>
      <c r="CN142" s="883" t="s">
        <v>123</v>
      </c>
      <c r="CO142" s="874" t="s">
        <v>123</v>
      </c>
      <c r="CP142" s="766"/>
      <c r="CQ142" s="791"/>
      <c r="CR142" s="791"/>
      <c r="CT142" s="791" t="s">
        <v>123</v>
      </c>
      <c r="CU142" s="791" t="str">
        <f>IFERROR(__xludf.DUMMYFUNCTION("IF(CR142="""","""",IF(CT142=$C$4,1,GOOGLEFINANCE(CT142&amp;$C$4)))"),"")</f>
        <v/>
      </c>
    </row>
    <row r="143" ht="22.5" customHeight="1">
      <c r="A143" s="837">
        <v>135.0</v>
      </c>
      <c r="B143" s="838" t="s">
        <v>123</v>
      </c>
      <c r="C143" s="838" t="s">
        <v>123</v>
      </c>
      <c r="D143" s="839" t="s">
        <v>123</v>
      </c>
      <c r="E143" s="839" t="s">
        <v>123</v>
      </c>
      <c r="F143" s="839" t="s">
        <v>123</v>
      </c>
      <c r="H143" s="884"/>
      <c r="I143" s="838"/>
      <c r="J143" s="838"/>
      <c r="K143" s="838"/>
      <c r="L143" s="838"/>
      <c r="M143" s="838"/>
      <c r="N143" s="838"/>
      <c r="O143" s="838"/>
      <c r="P143" s="838"/>
      <c r="Q143" s="838"/>
      <c r="R143" s="838"/>
      <c r="S143" s="838"/>
      <c r="T143" s="838"/>
      <c r="U143" s="838"/>
      <c r="V143" s="838"/>
      <c r="W143" s="838"/>
      <c r="X143" s="838"/>
      <c r="Z143" s="875" t="str">
        <f>IFERROR(__xludf.DUMMYFUNCTION("IF($CR143="""","""",IFERROR(query({CarteirasAtivos},""select Col4 where Col4 is not null and Col1 = '""&amp;$CR143&amp;""' limit 1"")*CU143,""NC""))"),"")</f>
        <v/>
      </c>
      <c r="AA143" s="876" t="str">
        <f>IFERROR(__xludf.DUMMYFUNCTION("IF($CR143="""","""",IFERROR(query({CarteirasAtivos},""select Col6 where Col4 is not null and Col1 = '""&amp;$CR143&amp;""' limit 1""),""NC""))"),"")</f>
        <v/>
      </c>
      <c r="AB143" s="877"/>
      <c r="AC143" s="878" t="s">
        <v>123</v>
      </c>
      <c r="AD143" s="845" t="str">
        <f>IF($CR143="","",IFERROR(VLOOKUP($CR143,ativos.!$C$3:$R308,MATCH("cotacao",ativos.!$C$2:CY$2,0),FALSE)*$CU$5,"atualizar"))</f>
        <v/>
      </c>
      <c r="AE143" s="846" t="str">
        <f>IFERROR(__xludf.DUMMYFUNCTION("IF($CR143="""","""",IFERROR(AVERAGE(query({CarteirasAtivos;CarteirasAtivosEncerrados},""select Col5 where Col5 is not null and Col1 = '""&amp;$CR143&amp;""' and Col10='SIM'""))*CU143,""NC""))"),"")</f>
        <v/>
      </c>
      <c r="AF143" s="847" t="str">
        <f t="shared" si="1"/>
        <v/>
      </c>
      <c r="AG143" s="442"/>
      <c r="AH143" s="848" t="str">
        <f>IFERROR(__xludf.DUMMYFUNCTION("IF($CR143="""","""",IFERROR(GOOGLEFINANCE($CR143,""low52"")*CU143,""-""))"),"")</f>
        <v/>
      </c>
      <c r="AI143" s="848" t="str">
        <f>IFERROR(__xludf.DUMMYFUNCTION("IF($CR143="""","""",IFERROR(GOOGLEFINANCE($CR143,""high52"")*CU143,""-""))"),"")</f>
        <v/>
      </c>
      <c r="AJ143" s="849" t="s">
        <v>123</v>
      </c>
      <c r="AK143" s="850" t="str">
        <f>IFERROR(__xludf.DUMMYFUNCTION("IF($CR143="""","""",IFERROR(GOOGLEFINANCE($CR143,""changepct"")/100,""-""))"),"")</f>
        <v/>
      </c>
      <c r="AL143" s="851" t="str">
        <f>IFERROR(__xludf.DUMMYFUNCTION("IF($CR143="""","""",IFERROR(($AD143/(QUERY(GOOGLEFINANCE($CR143,""price"",TODAY()-7),""SELECT Col2 label Col2 ''"")*$CU143)-1),""-""))"),"")</f>
        <v/>
      </c>
      <c r="AM143" s="851" t="str">
        <f>IFERROR(__xludf.DUMMYFUNCTION("IF($CR143="""","""",IFERROR(($AD143/(QUERY(GOOGLEFINANCE($CR143,""price"",TODAY()-14),""SELECT Col2 label Col2 ''"")*$CU143)-1),""-""))"),"")</f>
        <v/>
      </c>
      <c r="AN143" s="851" t="str">
        <f>IFERROR(__xludf.DUMMYFUNCTION("IF($CR143="""","""",IFERROR(($AD143/(QUERY(GOOGLEFINANCE($CR143,""price"",TODAY()-28),""SELECT Col2 label Col2 ''"")*$CU143)-1),""-""))"),"")</f>
        <v/>
      </c>
      <c r="AO143" s="851" t="str">
        <f>IFERROR(__xludf.DUMMYFUNCTION("IF($CR143="""","""",IFERROR(($AD143/(QUERY(GOOGLEFINANCE($CR143,""price"",TODAY()-$AQ$5),""SELECT Col2 label Col2 ''"")*$CU143)-1),""-""))"),"")</f>
        <v/>
      </c>
      <c r="AP143" s="852" t="str">
        <f>IFERROR(__xludf.DUMMYFUNCTION("IF($CR143="""","""",IFERROR(SPARKLINE(query(GOOGLEFINANCE($CR143,""price"",TODAY()-$AQ$5,TODAY(),1),""select Col2 label Col2 ''""),IF($AP$7=""Gráfico de barras"",{""charttype"",""column"";""highcolor"",""red""},{""chartype"",""line""}))))"),"")</f>
        <v/>
      </c>
      <c r="AQ143" s="144"/>
      <c r="AR143" s="853"/>
      <c r="AS143" s="854" t="str">
        <f>IF($CR143="","",IF(NOT('alocação'!$D$1),"off",IFERROR(VLOOKUP(CR143,BalanceAtivos,3,0),"NC")))</f>
        <v/>
      </c>
      <c r="AT143" s="855" t="str">
        <f>IF($CR143="","",IF(NOT('alocação'!$D$1),"off",IFERROR(VLOOKUP($CR143,BalanceAtivos,4,0)*$CU$5,"NC")))</f>
        <v/>
      </c>
      <c r="AU143" s="856" t="str">
        <f>IF($CR143="","",IF(NOT('alocação'!$D$1),"off",IFERROR(VLOOKUP($CR143,BalanceAtivos,5,0),"-")))</f>
        <v/>
      </c>
      <c r="AV143" s="856" t="str">
        <f>IF($CR143="","",IF(NOT('alocação'!$D$1),"off",IFERROR(VLOOKUP($CR143,BalanceAtivos,6,0),"-")))</f>
        <v/>
      </c>
      <c r="AW143" s="857"/>
      <c r="AX143" s="858" t="str">
        <f>IF($CR143="","",IF($E143="","SP",IFERROR(VLOOKUP($CR143,AtivosDados,MATCH("pm_atual",portfolio.!$A$3:CY$3,0),0)*$CU$5,0)))</f>
        <v/>
      </c>
      <c r="AY143" s="859" t="str">
        <f t="shared" si="2"/>
        <v/>
      </c>
      <c r="AZ143" s="858" t="str">
        <f>IF($CR143="","",IF($E143="","SP",SUMIF(portfolio.!$A$4:$A308,$CR143,portfolio.!$O$4:$O308)*$CU$5))</f>
        <v/>
      </c>
      <c r="BA143" s="858" t="str">
        <f>IF($CR143="","",IF($E143="","SP",SUMIF(portfolio.!$A$4:$A308,$CR143,portfolio.!$AN$4:$AN308)*$CU$5))</f>
        <v/>
      </c>
      <c r="BB143" s="860" t="str">
        <f>IF($CR143="","",IF($E143="","-",IFERROR($BA143/'portfólio'!$DG$63,"")))</f>
        <v/>
      </c>
      <c r="BC143" s="861" t="str">
        <f>IF($CR143="","",IF($E143="","-",SUMIF(portfolio.!$A$4:$A308,$CR143,portfolio.!$J$4:$J308)))</f>
        <v/>
      </c>
      <c r="BD143" s="862" t="str">
        <f>IF($CR143="","",IF($E143="","SP",SUMIF(portfolio.!$A$4:$A308,$CR143,portfolio.!$AQ$4:$AQ308)*$CU$5))</f>
        <v/>
      </c>
      <c r="BE143" s="850" t="str">
        <f t="shared" si="3"/>
        <v/>
      </c>
      <c r="BF143" s="862" t="str">
        <f>IF($CR143="","",IF($E143="","-",SUMIF(portfolio.!$A$4:$A308,$CR143,portfolio.!$AX$4:$AX308)*$CU$5))</f>
        <v/>
      </c>
      <c r="BG143" s="545"/>
      <c r="BH143" s="879" t="s">
        <v>123</v>
      </c>
      <c r="BI143" s="880" t="s">
        <v>123</v>
      </c>
      <c r="BJ143" s="863" t="str">
        <f>IFERROR(__xludf.DUMMYFUNCTION("IF(NOT($BL$4),"""",IF($CR143="""","""",IFERROR(query({GOOGLEFINANCE($CR143,""price"",IF($BI143=""-"",TODAY()-($AQ$5+5),$BI143),TODAY()-1)},""Select max(Col2) where Col1 is not null label max(Col2) ''"")*CU143,""-"")))"),"")</f>
        <v/>
      </c>
      <c r="BK143" s="881" t="s">
        <v>123</v>
      </c>
      <c r="BL143" s="882" t="s">
        <v>123</v>
      </c>
      <c r="BM143" s="442"/>
      <c r="BN143" s="867" t="str">
        <f>IFERROR(__xludf.DUMMYFUNCTION("IF(CR143="""","""",IF(OR(C143=""AÇÃO"",C143=""BDR""),IFERROR(QUERY({fundamentus.!$A$3:$U308},$CX$67&amp;"" where Col1='""&amp;CR143&amp;""' limit 1"",0)),IF(C143=""FII"",IFERROR(QUERY({fundsexplorer.!$A$2:$Z308},$CY$67&amp;"" where Col1='""&amp;CR143&amp;""' limit 1"",0)),""""))"&amp;")"),"")</f>
        <v/>
      </c>
      <c r="BO143" s="867"/>
      <c r="BP143" s="867"/>
      <c r="BQ143" s="867"/>
      <c r="BR143" s="867"/>
      <c r="BS143" s="867"/>
      <c r="BT143" s="867"/>
      <c r="BU143" s="442"/>
      <c r="BV143" s="868" t="str">
        <f>IFERROR(__xludf.DUMMYFUNCTION("IF(OR(C143=""AÇÃO"",C143=""BDR""),IFERROR(GOOGLEFINANCE(CONCAT(""BVMF:"",CR143), ""marketcap"")/1000000,""NC""),"""")"),"")</f>
        <v/>
      </c>
      <c r="BW143" s="869" t="s">
        <v>123</v>
      </c>
      <c r="BX143" s="870" t="s">
        <v>123</v>
      </c>
      <c r="BY143" s="868" t="s">
        <v>123</v>
      </c>
      <c r="BZ143" s="870" t="s">
        <v>123</v>
      </c>
      <c r="CA143" s="868" t="s">
        <v>123</v>
      </c>
      <c r="CB143" s="868" t="s">
        <v>123</v>
      </c>
      <c r="CC143" s="868" t="s">
        <v>123</v>
      </c>
      <c r="CD143" s="868" t="str">
        <f>IFERROR(__xludf.DUMMYFUNCTION("IF(OR(C143=""AÇÃO"",C143=""BDR""),IFERROR(GOOGLEFINANCE(CONCAT(""BVMF:"",CR143), ""volumeavg"")/1000000,""NC""),"""")"),"")</f>
        <v/>
      </c>
      <c r="CE143" s="870" t="s">
        <v>123</v>
      </c>
      <c r="CF143" s="870" t="s">
        <v>123</v>
      </c>
      <c r="CG143" s="870" t="str">
        <f>IFERROR(__xludf.DUMMYFUNCTION("IF(OR(C143=""AÇÃO"",C143=""BDR""),IF(CF143=0,""SEM DY"",IFERROR(ImportXML(CONCAT(""http://www.guiainvest.com.br/raiox/default.aspx?sigla="",$CR143),""//*[@id='lbPayoutAtual']""),""NC"")),"""")"),"")</f>
        <v/>
      </c>
      <c r="CH143" s="870" t="s">
        <v>123</v>
      </c>
      <c r="CI143" s="545"/>
      <c r="CJ143" s="871" t="str">
        <f>IFERROR(__xludf.DUMMYFUNCTION("IF(OR(C143=""AÇÃO"",C143=""BDR""),IFERROR(GOOGLEFINANCE(CONCAT(""BVMF:"",CR143), ""eps""),""NC""),"""")"),"")</f>
        <v/>
      </c>
      <c r="CK143" s="442"/>
      <c r="CL143" s="871" t="str">
        <f>IFERROR(__xludf.DUMMYFUNCTION("IF(NOT($BL$4),"""",IF($CR143="""","""",IF($BC143="""","""",IFERROR(query({op.normal!$B$5:$F308},""select Col5, toDate(Col2) where Col1 =  '""&amp;$CR143&amp;""' and Col4 &gt; 0 and ((Col3 is null) or (Col3 = 'C')) and Col2 &gt;= date '""&amp;TEXT(TODAY()-$AQ$5,""yyyy-mm-dd"&amp;""")&amp;""' order by Col2 desc limit 1 label toDate(Col2) ''"")))))"),"")</f>
        <v/>
      </c>
      <c r="CM143" s="872"/>
      <c r="CN143" s="883" t="s">
        <v>123</v>
      </c>
      <c r="CO143" s="874" t="s">
        <v>123</v>
      </c>
      <c r="CP143" s="766"/>
      <c r="CQ143" s="791"/>
      <c r="CR143" s="791"/>
      <c r="CT143" s="791" t="s">
        <v>123</v>
      </c>
      <c r="CU143" s="791" t="str">
        <f>IFERROR(__xludf.DUMMYFUNCTION("IF(CR143="""","""",IF(CT143=$C$4,1,GOOGLEFINANCE(CT143&amp;$C$4)))"),"")</f>
        <v/>
      </c>
    </row>
    <row r="144" ht="22.5" customHeight="1">
      <c r="A144" s="837">
        <v>136.0</v>
      </c>
      <c r="B144" s="838" t="s">
        <v>123</v>
      </c>
      <c r="C144" s="838" t="s">
        <v>123</v>
      </c>
      <c r="D144" s="839" t="s">
        <v>123</v>
      </c>
      <c r="E144" s="839" t="s">
        <v>123</v>
      </c>
      <c r="F144" s="839" t="s">
        <v>123</v>
      </c>
      <c r="H144" s="884"/>
      <c r="I144" s="838"/>
      <c r="J144" s="838"/>
      <c r="K144" s="838"/>
      <c r="L144" s="838"/>
      <c r="M144" s="838"/>
      <c r="N144" s="838"/>
      <c r="O144" s="838"/>
      <c r="P144" s="838"/>
      <c r="Q144" s="838"/>
      <c r="R144" s="838"/>
      <c r="S144" s="838"/>
      <c r="T144" s="838"/>
      <c r="U144" s="838"/>
      <c r="V144" s="838"/>
      <c r="W144" s="838"/>
      <c r="X144" s="838"/>
      <c r="Z144" s="875" t="str">
        <f>IFERROR(__xludf.DUMMYFUNCTION("IF($CR144="""","""",IFERROR(query({CarteirasAtivos},""select Col4 where Col4 is not null and Col1 = '""&amp;$CR144&amp;""' limit 1"")*CU144,""NC""))"),"")</f>
        <v/>
      </c>
      <c r="AA144" s="876" t="str">
        <f>IFERROR(__xludf.DUMMYFUNCTION("IF($CR144="""","""",IFERROR(query({CarteirasAtivos},""select Col6 where Col4 is not null and Col1 = '""&amp;$CR144&amp;""' limit 1""),""NC""))"),"")</f>
        <v/>
      </c>
      <c r="AB144" s="877"/>
      <c r="AC144" s="878" t="s">
        <v>123</v>
      </c>
      <c r="AD144" s="845" t="str">
        <f>IF($CR144="","",IFERROR(VLOOKUP($CR144,ativos.!$C$3:$R308,MATCH("cotacao",ativos.!$C$2:CY$2,0),FALSE)*$CU$5,"atualizar"))</f>
        <v/>
      </c>
      <c r="AE144" s="846" t="str">
        <f>IFERROR(__xludf.DUMMYFUNCTION("IF($CR144="""","""",IFERROR(AVERAGE(query({CarteirasAtivos;CarteirasAtivosEncerrados},""select Col5 where Col5 is not null and Col1 = '""&amp;$CR144&amp;""' and Col10='SIM'""))*CU144,""NC""))"),"")</f>
        <v/>
      </c>
      <c r="AF144" s="847" t="str">
        <f t="shared" si="1"/>
        <v/>
      </c>
      <c r="AG144" s="442"/>
      <c r="AH144" s="848" t="str">
        <f>IFERROR(__xludf.DUMMYFUNCTION("IF($CR144="""","""",IFERROR(GOOGLEFINANCE($CR144,""low52"")*CU144,""-""))"),"")</f>
        <v/>
      </c>
      <c r="AI144" s="848" t="str">
        <f>IFERROR(__xludf.DUMMYFUNCTION("IF($CR144="""","""",IFERROR(GOOGLEFINANCE($CR144,""high52"")*CU144,""-""))"),"")</f>
        <v/>
      </c>
      <c r="AJ144" s="849" t="s">
        <v>123</v>
      </c>
      <c r="AK144" s="850" t="str">
        <f>IFERROR(__xludf.DUMMYFUNCTION("IF($CR144="""","""",IFERROR(GOOGLEFINANCE($CR144,""changepct"")/100,""-""))"),"")</f>
        <v/>
      </c>
      <c r="AL144" s="851" t="str">
        <f>IFERROR(__xludf.DUMMYFUNCTION("IF($CR144="""","""",IFERROR(($AD144/(QUERY(GOOGLEFINANCE($CR144,""price"",TODAY()-7),""SELECT Col2 label Col2 ''"")*$CU144)-1),""-""))"),"")</f>
        <v/>
      </c>
      <c r="AM144" s="851" t="str">
        <f>IFERROR(__xludf.DUMMYFUNCTION("IF($CR144="""","""",IFERROR(($AD144/(QUERY(GOOGLEFINANCE($CR144,""price"",TODAY()-14),""SELECT Col2 label Col2 ''"")*$CU144)-1),""-""))"),"")</f>
        <v/>
      </c>
      <c r="AN144" s="851" t="str">
        <f>IFERROR(__xludf.DUMMYFUNCTION("IF($CR144="""","""",IFERROR(($AD144/(QUERY(GOOGLEFINANCE($CR144,""price"",TODAY()-28),""SELECT Col2 label Col2 ''"")*$CU144)-1),""-""))"),"")</f>
        <v/>
      </c>
      <c r="AO144" s="851" t="str">
        <f>IFERROR(__xludf.DUMMYFUNCTION("IF($CR144="""","""",IFERROR(($AD144/(QUERY(GOOGLEFINANCE($CR144,""price"",TODAY()-$AQ$5),""SELECT Col2 label Col2 ''"")*$CU144)-1),""-""))"),"")</f>
        <v/>
      </c>
      <c r="AP144" s="852" t="str">
        <f>IFERROR(__xludf.DUMMYFUNCTION("IF($CR144="""","""",IFERROR(SPARKLINE(query(GOOGLEFINANCE($CR144,""price"",TODAY()-$AQ$5,TODAY(),1),""select Col2 label Col2 ''""),IF($AP$7=""Gráfico de barras"",{""charttype"",""column"";""highcolor"",""red""},{""chartype"",""line""}))))"),"")</f>
        <v/>
      </c>
      <c r="AQ144" s="144"/>
      <c r="AR144" s="853"/>
      <c r="AS144" s="854" t="str">
        <f>IF($CR144="","",IF(NOT('alocação'!$D$1),"off",IFERROR(VLOOKUP(CR144,BalanceAtivos,3,0),"NC")))</f>
        <v/>
      </c>
      <c r="AT144" s="855" t="str">
        <f>IF($CR144="","",IF(NOT('alocação'!$D$1),"off",IFERROR(VLOOKUP($CR144,BalanceAtivos,4,0)*$CU$5,"NC")))</f>
        <v/>
      </c>
      <c r="AU144" s="856" t="str">
        <f>IF($CR144="","",IF(NOT('alocação'!$D$1),"off",IFERROR(VLOOKUP($CR144,BalanceAtivos,5,0),"-")))</f>
        <v/>
      </c>
      <c r="AV144" s="856" t="str">
        <f>IF($CR144="","",IF(NOT('alocação'!$D$1),"off",IFERROR(VLOOKUP($CR144,BalanceAtivos,6,0),"-")))</f>
        <v/>
      </c>
      <c r="AW144" s="857"/>
      <c r="AX144" s="858" t="str">
        <f>IF($CR144="","",IF($E144="","SP",IFERROR(VLOOKUP($CR144,AtivosDados,MATCH("pm_atual",portfolio.!$A$3:CY$3,0),0)*$CU$5,0)))</f>
        <v/>
      </c>
      <c r="AY144" s="859" t="str">
        <f t="shared" si="2"/>
        <v/>
      </c>
      <c r="AZ144" s="858" t="str">
        <f>IF($CR144="","",IF($E144="","SP",SUMIF(portfolio.!$A$4:$A308,$CR144,portfolio.!$O$4:$O308)*$CU$5))</f>
        <v/>
      </c>
      <c r="BA144" s="858" t="str">
        <f>IF($CR144="","",IF($E144="","SP",SUMIF(portfolio.!$A$4:$A308,$CR144,portfolio.!$AN$4:$AN308)*$CU$5))</f>
        <v/>
      </c>
      <c r="BB144" s="860" t="str">
        <f>IF($CR144="","",IF($E144="","-",IFERROR($BA144/'portfólio'!$DG$63,"")))</f>
        <v/>
      </c>
      <c r="BC144" s="861" t="str">
        <f>IF($CR144="","",IF($E144="","-",SUMIF(portfolio.!$A$4:$A308,$CR144,portfolio.!$J$4:$J308)))</f>
        <v/>
      </c>
      <c r="BD144" s="862" t="str">
        <f>IF($CR144="","",IF($E144="","SP",SUMIF(portfolio.!$A$4:$A308,$CR144,portfolio.!$AQ$4:$AQ308)*$CU$5))</f>
        <v/>
      </c>
      <c r="BE144" s="850" t="str">
        <f t="shared" si="3"/>
        <v/>
      </c>
      <c r="BF144" s="862" t="str">
        <f>IF($CR144="","",IF($E144="","-",SUMIF(portfolio.!$A$4:$A308,$CR144,portfolio.!$AX$4:$AX308)*$CU$5))</f>
        <v/>
      </c>
      <c r="BG144" s="545"/>
      <c r="BH144" s="879" t="s">
        <v>123</v>
      </c>
      <c r="BI144" s="880" t="s">
        <v>123</v>
      </c>
      <c r="BJ144" s="863" t="str">
        <f>IFERROR(__xludf.DUMMYFUNCTION("IF(NOT($BL$4),"""",IF($CR144="""","""",IFERROR(query({GOOGLEFINANCE($CR144,""price"",IF($BI144=""-"",TODAY()-($AQ$5+5),$BI144),TODAY()-1)},""Select max(Col2) where Col1 is not null label max(Col2) ''"")*CU144,""-"")))"),"")</f>
        <v/>
      </c>
      <c r="BK144" s="881" t="s">
        <v>123</v>
      </c>
      <c r="BL144" s="882" t="s">
        <v>123</v>
      </c>
      <c r="BM144" s="442"/>
      <c r="BN144" s="867" t="str">
        <f>IFERROR(__xludf.DUMMYFUNCTION("IF(CR144="""","""",IF(OR(C144=""AÇÃO"",C144=""BDR""),IFERROR(QUERY({fundamentus.!$A$3:$U308},$CX$67&amp;"" where Col1='""&amp;CR144&amp;""' limit 1"",0)),IF(C144=""FII"",IFERROR(QUERY({fundsexplorer.!$A$2:$Z308},$CY$67&amp;"" where Col1='""&amp;CR144&amp;""' limit 1"",0)),""""))"&amp;")"),"")</f>
        <v/>
      </c>
      <c r="BO144" s="867"/>
      <c r="BP144" s="867"/>
      <c r="BQ144" s="867"/>
      <c r="BR144" s="867"/>
      <c r="BS144" s="867"/>
      <c r="BT144" s="867"/>
      <c r="BU144" s="442"/>
      <c r="BV144" s="868" t="str">
        <f>IFERROR(__xludf.DUMMYFUNCTION("IF(OR(C144=""AÇÃO"",C144=""BDR""),IFERROR(GOOGLEFINANCE(CONCAT(""BVMF:"",CR144), ""marketcap"")/1000000,""NC""),"""")"),"")</f>
        <v/>
      </c>
      <c r="BW144" s="869" t="s">
        <v>123</v>
      </c>
      <c r="BX144" s="870" t="s">
        <v>123</v>
      </c>
      <c r="BY144" s="868" t="s">
        <v>123</v>
      </c>
      <c r="BZ144" s="870" t="s">
        <v>123</v>
      </c>
      <c r="CA144" s="868" t="s">
        <v>123</v>
      </c>
      <c r="CB144" s="868" t="s">
        <v>123</v>
      </c>
      <c r="CC144" s="868" t="s">
        <v>123</v>
      </c>
      <c r="CD144" s="868" t="str">
        <f>IFERROR(__xludf.DUMMYFUNCTION("IF(OR(C144=""AÇÃO"",C144=""BDR""),IFERROR(GOOGLEFINANCE(CONCAT(""BVMF:"",CR144), ""volumeavg"")/1000000,""NC""),"""")"),"")</f>
        <v/>
      </c>
      <c r="CE144" s="870" t="s">
        <v>123</v>
      </c>
      <c r="CF144" s="870" t="s">
        <v>123</v>
      </c>
      <c r="CG144" s="870" t="str">
        <f>IFERROR(__xludf.DUMMYFUNCTION("IF(OR(C144=""AÇÃO"",C144=""BDR""),IF(CF144=0,""SEM DY"",IFERROR(ImportXML(CONCAT(""http://www.guiainvest.com.br/raiox/default.aspx?sigla="",$CR144),""//*[@id='lbPayoutAtual']""),""NC"")),"""")"),"")</f>
        <v/>
      </c>
      <c r="CH144" s="870" t="s">
        <v>123</v>
      </c>
      <c r="CI144" s="545"/>
      <c r="CJ144" s="871" t="str">
        <f>IFERROR(__xludf.DUMMYFUNCTION("IF(OR(C144=""AÇÃO"",C144=""BDR""),IFERROR(GOOGLEFINANCE(CONCAT(""BVMF:"",CR144), ""eps""),""NC""),"""")"),"")</f>
        <v/>
      </c>
      <c r="CK144" s="442"/>
      <c r="CL144" s="871" t="str">
        <f>IFERROR(__xludf.DUMMYFUNCTION("IF(NOT($BL$4),"""",IF($CR144="""","""",IF($BC144="""","""",IFERROR(query({op.normal!$B$5:$F308},""select Col5, toDate(Col2) where Col1 =  '""&amp;$CR144&amp;""' and Col4 &gt; 0 and ((Col3 is null) or (Col3 = 'C')) and Col2 &gt;= date '""&amp;TEXT(TODAY()-$AQ$5,""yyyy-mm-dd"&amp;""")&amp;""' order by Col2 desc limit 1 label toDate(Col2) ''"")))))"),"")</f>
        <v/>
      </c>
      <c r="CM144" s="872"/>
      <c r="CN144" s="883" t="s">
        <v>123</v>
      </c>
      <c r="CO144" s="874" t="s">
        <v>123</v>
      </c>
      <c r="CP144" s="766"/>
      <c r="CQ144" s="791"/>
      <c r="CR144" s="791"/>
      <c r="CT144" s="791" t="s">
        <v>123</v>
      </c>
      <c r="CU144" s="791" t="str">
        <f>IFERROR(__xludf.DUMMYFUNCTION("IF(CR144="""","""",IF(CT144=$C$4,1,GOOGLEFINANCE(CT144&amp;$C$4)))"),"")</f>
        <v/>
      </c>
    </row>
    <row r="145" ht="22.5" customHeight="1">
      <c r="A145" s="837">
        <v>137.0</v>
      </c>
      <c r="B145" s="838" t="s">
        <v>123</v>
      </c>
      <c r="C145" s="838" t="s">
        <v>123</v>
      </c>
      <c r="D145" s="839" t="s">
        <v>123</v>
      </c>
      <c r="E145" s="839" t="s">
        <v>123</v>
      </c>
      <c r="F145" s="839" t="s">
        <v>123</v>
      </c>
      <c r="H145" s="884"/>
      <c r="I145" s="838"/>
      <c r="J145" s="838"/>
      <c r="K145" s="838"/>
      <c r="L145" s="838"/>
      <c r="M145" s="838"/>
      <c r="N145" s="838"/>
      <c r="O145" s="838"/>
      <c r="P145" s="838"/>
      <c r="Q145" s="838"/>
      <c r="R145" s="838"/>
      <c r="S145" s="838"/>
      <c r="T145" s="838"/>
      <c r="U145" s="838"/>
      <c r="V145" s="838"/>
      <c r="W145" s="838"/>
      <c r="X145" s="838"/>
      <c r="Z145" s="875" t="str">
        <f>IFERROR(__xludf.DUMMYFUNCTION("IF($CR145="""","""",IFERROR(query({CarteirasAtivos},""select Col4 where Col4 is not null and Col1 = '""&amp;$CR145&amp;""' limit 1"")*CU145,""NC""))"),"")</f>
        <v/>
      </c>
      <c r="AA145" s="876" t="str">
        <f>IFERROR(__xludf.DUMMYFUNCTION("IF($CR145="""","""",IFERROR(query({CarteirasAtivos},""select Col6 where Col4 is not null and Col1 = '""&amp;$CR145&amp;""' limit 1""),""NC""))"),"")</f>
        <v/>
      </c>
      <c r="AB145" s="877"/>
      <c r="AC145" s="878" t="s">
        <v>123</v>
      </c>
      <c r="AD145" s="845" t="str">
        <f>IF($CR145="","",IFERROR(VLOOKUP($CR145,ativos.!$C$3:$R308,MATCH("cotacao",ativos.!$C$2:CY$2,0),FALSE)*$CU$5,"atualizar"))</f>
        <v/>
      </c>
      <c r="AE145" s="846" t="str">
        <f>IFERROR(__xludf.DUMMYFUNCTION("IF($CR145="""","""",IFERROR(AVERAGE(query({CarteirasAtivos;CarteirasAtivosEncerrados},""select Col5 where Col5 is not null and Col1 = '""&amp;$CR145&amp;""' and Col10='SIM'""))*CU145,""NC""))"),"")</f>
        <v/>
      </c>
      <c r="AF145" s="847" t="str">
        <f t="shared" si="1"/>
        <v/>
      </c>
      <c r="AG145" s="442"/>
      <c r="AH145" s="848" t="str">
        <f>IFERROR(__xludf.DUMMYFUNCTION("IF($CR145="""","""",IFERROR(GOOGLEFINANCE($CR145,""low52"")*CU145,""-""))"),"")</f>
        <v/>
      </c>
      <c r="AI145" s="848" t="str">
        <f>IFERROR(__xludf.DUMMYFUNCTION("IF($CR145="""","""",IFERROR(GOOGLEFINANCE($CR145,""high52"")*CU145,""-""))"),"")</f>
        <v/>
      </c>
      <c r="AJ145" s="849" t="s">
        <v>123</v>
      </c>
      <c r="AK145" s="850" t="str">
        <f>IFERROR(__xludf.DUMMYFUNCTION("IF($CR145="""","""",IFERROR(GOOGLEFINANCE($CR145,""changepct"")/100,""-""))"),"")</f>
        <v/>
      </c>
      <c r="AL145" s="851" t="str">
        <f>IFERROR(__xludf.DUMMYFUNCTION("IF($CR145="""","""",IFERROR(($AD145/(QUERY(GOOGLEFINANCE($CR145,""price"",TODAY()-7),""SELECT Col2 label Col2 ''"")*$CU145)-1),""-""))"),"")</f>
        <v/>
      </c>
      <c r="AM145" s="851" t="str">
        <f>IFERROR(__xludf.DUMMYFUNCTION("IF($CR145="""","""",IFERROR(($AD145/(QUERY(GOOGLEFINANCE($CR145,""price"",TODAY()-14),""SELECT Col2 label Col2 ''"")*$CU145)-1),""-""))"),"")</f>
        <v/>
      </c>
      <c r="AN145" s="851" t="str">
        <f>IFERROR(__xludf.DUMMYFUNCTION("IF($CR145="""","""",IFERROR(($AD145/(QUERY(GOOGLEFINANCE($CR145,""price"",TODAY()-28),""SELECT Col2 label Col2 ''"")*$CU145)-1),""-""))"),"")</f>
        <v/>
      </c>
      <c r="AO145" s="851" t="str">
        <f>IFERROR(__xludf.DUMMYFUNCTION("IF($CR145="""","""",IFERROR(($AD145/(QUERY(GOOGLEFINANCE($CR145,""price"",TODAY()-$AQ$5),""SELECT Col2 label Col2 ''"")*$CU145)-1),""-""))"),"")</f>
        <v/>
      </c>
      <c r="AP145" s="852" t="str">
        <f>IFERROR(__xludf.DUMMYFUNCTION("IF($CR145="""","""",IFERROR(SPARKLINE(query(GOOGLEFINANCE($CR145,""price"",TODAY()-$AQ$5,TODAY(),1),""select Col2 label Col2 ''""),IF($AP$7=""Gráfico de barras"",{""charttype"",""column"";""highcolor"",""red""},{""chartype"",""line""}))))"),"")</f>
        <v/>
      </c>
      <c r="AQ145" s="144"/>
      <c r="AR145" s="853"/>
      <c r="AS145" s="854" t="str">
        <f>IF($CR145="","",IF(NOT('alocação'!$D$1),"off",IFERROR(VLOOKUP(CR145,BalanceAtivos,3,0),"NC")))</f>
        <v/>
      </c>
      <c r="AT145" s="855" t="str">
        <f>IF($CR145="","",IF(NOT('alocação'!$D$1),"off",IFERROR(VLOOKUP($CR145,BalanceAtivos,4,0)*$CU$5,"NC")))</f>
        <v/>
      </c>
      <c r="AU145" s="856" t="str">
        <f>IF($CR145="","",IF(NOT('alocação'!$D$1),"off",IFERROR(VLOOKUP($CR145,BalanceAtivos,5,0),"-")))</f>
        <v/>
      </c>
      <c r="AV145" s="856" t="str">
        <f>IF($CR145="","",IF(NOT('alocação'!$D$1),"off",IFERROR(VLOOKUP($CR145,BalanceAtivos,6,0),"-")))</f>
        <v/>
      </c>
      <c r="AW145" s="857"/>
      <c r="AX145" s="858" t="str">
        <f>IF($CR145="","",IF($E145="","SP",IFERROR(VLOOKUP($CR145,AtivosDados,MATCH("pm_atual",portfolio.!$A$3:CY$3,0),0)*$CU$5,0)))</f>
        <v/>
      </c>
      <c r="AY145" s="859" t="str">
        <f t="shared" si="2"/>
        <v/>
      </c>
      <c r="AZ145" s="858" t="str">
        <f>IF($CR145="","",IF($E145="","SP",SUMIF(portfolio.!$A$4:$A308,$CR145,portfolio.!$O$4:$O308)*$CU$5))</f>
        <v/>
      </c>
      <c r="BA145" s="858" t="str">
        <f>IF($CR145="","",IF($E145="","SP",SUMIF(portfolio.!$A$4:$A308,$CR145,portfolio.!$AN$4:$AN308)*$CU$5))</f>
        <v/>
      </c>
      <c r="BB145" s="860" t="str">
        <f>IF($CR145="","",IF($E145="","-",IFERROR($BA145/'portfólio'!$DG$63,"")))</f>
        <v/>
      </c>
      <c r="BC145" s="861" t="str">
        <f>IF($CR145="","",IF($E145="","-",SUMIF(portfolio.!$A$4:$A308,$CR145,portfolio.!$J$4:$J308)))</f>
        <v/>
      </c>
      <c r="BD145" s="862" t="str">
        <f>IF($CR145="","",IF($E145="","SP",SUMIF(portfolio.!$A$4:$A308,$CR145,portfolio.!$AQ$4:$AQ308)*$CU$5))</f>
        <v/>
      </c>
      <c r="BE145" s="850" t="str">
        <f t="shared" si="3"/>
        <v/>
      </c>
      <c r="BF145" s="862" t="str">
        <f>IF($CR145="","",IF($E145="","-",SUMIF(portfolio.!$A$4:$A308,$CR145,portfolio.!$AX$4:$AX308)*$CU$5))</f>
        <v/>
      </c>
      <c r="BG145" s="545"/>
      <c r="BH145" s="879" t="s">
        <v>123</v>
      </c>
      <c r="BI145" s="880" t="s">
        <v>123</v>
      </c>
      <c r="BJ145" s="863" t="str">
        <f>IFERROR(__xludf.DUMMYFUNCTION("IF(NOT($BL$4),"""",IF($CR145="""","""",IFERROR(query({GOOGLEFINANCE($CR145,""price"",IF($BI145=""-"",TODAY()-($AQ$5+5),$BI145),TODAY()-1)},""Select max(Col2) where Col1 is not null label max(Col2) ''"")*CU145,""-"")))"),"")</f>
        <v/>
      </c>
      <c r="BK145" s="881" t="s">
        <v>123</v>
      </c>
      <c r="BL145" s="882" t="s">
        <v>123</v>
      </c>
      <c r="BM145" s="442"/>
      <c r="BN145" s="867" t="str">
        <f>IFERROR(__xludf.DUMMYFUNCTION("IF(CR145="""","""",IF(OR(C145=""AÇÃO"",C145=""BDR""),IFERROR(QUERY({fundamentus.!$A$3:$U308},$CX$67&amp;"" where Col1='""&amp;CR145&amp;""' limit 1"",0)),IF(C145=""FII"",IFERROR(QUERY({fundsexplorer.!$A$2:$Z308},$CY$67&amp;"" where Col1='""&amp;CR145&amp;""' limit 1"",0)),""""))"&amp;")"),"")</f>
        <v/>
      </c>
      <c r="BO145" s="867"/>
      <c r="BP145" s="867"/>
      <c r="BQ145" s="867"/>
      <c r="BR145" s="867"/>
      <c r="BS145" s="867"/>
      <c r="BT145" s="867"/>
      <c r="BU145" s="442"/>
      <c r="BV145" s="868" t="str">
        <f>IFERROR(__xludf.DUMMYFUNCTION("IF(OR(C145=""AÇÃO"",C145=""BDR""),IFERROR(GOOGLEFINANCE(CONCAT(""BVMF:"",CR145), ""marketcap"")/1000000,""NC""),"""")"),"")</f>
        <v/>
      </c>
      <c r="BW145" s="869" t="s">
        <v>123</v>
      </c>
      <c r="BX145" s="870" t="s">
        <v>123</v>
      </c>
      <c r="BY145" s="868" t="s">
        <v>123</v>
      </c>
      <c r="BZ145" s="870" t="s">
        <v>123</v>
      </c>
      <c r="CA145" s="868" t="s">
        <v>123</v>
      </c>
      <c r="CB145" s="868" t="s">
        <v>123</v>
      </c>
      <c r="CC145" s="868" t="s">
        <v>123</v>
      </c>
      <c r="CD145" s="868" t="str">
        <f>IFERROR(__xludf.DUMMYFUNCTION("IF(OR(C145=""AÇÃO"",C145=""BDR""),IFERROR(GOOGLEFINANCE(CONCAT(""BVMF:"",CR145), ""volumeavg"")/1000000,""NC""),"""")"),"")</f>
        <v/>
      </c>
      <c r="CE145" s="870" t="s">
        <v>123</v>
      </c>
      <c r="CF145" s="870" t="s">
        <v>123</v>
      </c>
      <c r="CG145" s="870" t="str">
        <f>IFERROR(__xludf.DUMMYFUNCTION("IF(OR(C145=""AÇÃO"",C145=""BDR""),IF(CF145=0,""SEM DY"",IFERROR(ImportXML(CONCAT(""http://www.guiainvest.com.br/raiox/default.aspx?sigla="",$CR145),""//*[@id='lbPayoutAtual']""),""NC"")),"""")"),"")</f>
        <v/>
      </c>
      <c r="CH145" s="870" t="s">
        <v>123</v>
      </c>
      <c r="CI145" s="545"/>
      <c r="CJ145" s="871" t="str">
        <f>IFERROR(__xludf.DUMMYFUNCTION("IF(OR(C145=""AÇÃO"",C145=""BDR""),IFERROR(GOOGLEFINANCE(CONCAT(""BVMF:"",CR145), ""eps""),""NC""),"""")"),"")</f>
        <v/>
      </c>
      <c r="CK145" s="442"/>
      <c r="CL145" s="871" t="str">
        <f>IFERROR(__xludf.DUMMYFUNCTION("IF(NOT($BL$4),"""",IF($CR145="""","""",IF($BC145="""","""",IFERROR(query({op.normal!$B$5:$F308},""select Col5, toDate(Col2) where Col1 =  '""&amp;$CR145&amp;""' and Col4 &gt; 0 and ((Col3 is null) or (Col3 = 'C')) and Col2 &gt;= date '""&amp;TEXT(TODAY()-$AQ$5,""yyyy-mm-dd"&amp;""")&amp;""' order by Col2 desc limit 1 label toDate(Col2) ''"")))))"),"")</f>
        <v/>
      </c>
      <c r="CM145" s="872"/>
      <c r="CN145" s="883" t="s">
        <v>123</v>
      </c>
      <c r="CO145" s="874" t="s">
        <v>123</v>
      </c>
      <c r="CP145" s="766"/>
      <c r="CQ145" s="791"/>
      <c r="CR145" s="791"/>
      <c r="CT145" s="791" t="s">
        <v>123</v>
      </c>
      <c r="CU145" s="791" t="str">
        <f>IFERROR(__xludf.DUMMYFUNCTION("IF(CR145="""","""",IF(CT145=$C$4,1,GOOGLEFINANCE(CT145&amp;$C$4)))"),"")</f>
        <v/>
      </c>
    </row>
    <row r="146" ht="22.5" customHeight="1">
      <c r="A146" s="837">
        <v>138.0</v>
      </c>
      <c r="B146" s="838" t="s">
        <v>123</v>
      </c>
      <c r="C146" s="838" t="s">
        <v>123</v>
      </c>
      <c r="D146" s="839" t="s">
        <v>123</v>
      </c>
      <c r="E146" s="839" t="s">
        <v>123</v>
      </c>
      <c r="F146" s="839" t="s">
        <v>123</v>
      </c>
      <c r="H146" s="884"/>
      <c r="I146" s="838"/>
      <c r="J146" s="838"/>
      <c r="K146" s="838"/>
      <c r="L146" s="838"/>
      <c r="M146" s="838"/>
      <c r="N146" s="838"/>
      <c r="O146" s="838"/>
      <c r="P146" s="838"/>
      <c r="Q146" s="838"/>
      <c r="R146" s="838"/>
      <c r="S146" s="838"/>
      <c r="T146" s="838"/>
      <c r="U146" s="838"/>
      <c r="V146" s="838"/>
      <c r="W146" s="838"/>
      <c r="X146" s="838"/>
      <c r="Z146" s="875" t="str">
        <f>IFERROR(__xludf.DUMMYFUNCTION("IF($CR146="""","""",IFERROR(query({CarteirasAtivos},""select Col4 where Col4 is not null and Col1 = '""&amp;$CR146&amp;""' limit 1"")*CU146,""NC""))"),"")</f>
        <v/>
      </c>
      <c r="AA146" s="876" t="str">
        <f>IFERROR(__xludf.DUMMYFUNCTION("IF($CR146="""","""",IFERROR(query({CarteirasAtivos},""select Col6 where Col4 is not null and Col1 = '""&amp;$CR146&amp;""' limit 1""),""NC""))"),"")</f>
        <v/>
      </c>
      <c r="AB146" s="877"/>
      <c r="AC146" s="878" t="s">
        <v>123</v>
      </c>
      <c r="AD146" s="845" t="str">
        <f>IF($CR146="","",IFERROR(VLOOKUP($CR146,ativos.!$C$3:$R308,MATCH("cotacao",ativos.!$C$2:CY$2,0),FALSE)*$CU$5,"atualizar"))</f>
        <v/>
      </c>
      <c r="AE146" s="846" t="str">
        <f>IFERROR(__xludf.DUMMYFUNCTION("IF($CR146="""","""",IFERROR(AVERAGE(query({CarteirasAtivos;CarteirasAtivosEncerrados},""select Col5 where Col5 is not null and Col1 = '""&amp;$CR146&amp;""' and Col10='SIM'""))*CU146,""NC""))"),"")</f>
        <v/>
      </c>
      <c r="AF146" s="847" t="str">
        <f t="shared" si="1"/>
        <v/>
      </c>
      <c r="AG146" s="442"/>
      <c r="AH146" s="848" t="str">
        <f>IFERROR(__xludf.DUMMYFUNCTION("IF($CR146="""","""",IFERROR(GOOGLEFINANCE($CR146,""low52"")*CU146,""-""))"),"")</f>
        <v/>
      </c>
      <c r="AI146" s="848" t="str">
        <f>IFERROR(__xludf.DUMMYFUNCTION("IF($CR146="""","""",IFERROR(GOOGLEFINANCE($CR146,""high52"")*CU146,""-""))"),"")</f>
        <v/>
      </c>
      <c r="AJ146" s="849" t="s">
        <v>123</v>
      </c>
      <c r="AK146" s="850" t="str">
        <f>IFERROR(__xludf.DUMMYFUNCTION("IF($CR146="""","""",IFERROR(GOOGLEFINANCE($CR146,""changepct"")/100,""-""))"),"")</f>
        <v/>
      </c>
      <c r="AL146" s="851" t="str">
        <f>IFERROR(__xludf.DUMMYFUNCTION("IF($CR146="""","""",IFERROR(($AD146/(QUERY(GOOGLEFINANCE($CR146,""price"",TODAY()-7),""SELECT Col2 label Col2 ''"")*$CU146)-1),""-""))"),"")</f>
        <v/>
      </c>
      <c r="AM146" s="851" t="str">
        <f>IFERROR(__xludf.DUMMYFUNCTION("IF($CR146="""","""",IFERROR(($AD146/(QUERY(GOOGLEFINANCE($CR146,""price"",TODAY()-14),""SELECT Col2 label Col2 ''"")*$CU146)-1),""-""))"),"")</f>
        <v/>
      </c>
      <c r="AN146" s="851" t="str">
        <f>IFERROR(__xludf.DUMMYFUNCTION("IF($CR146="""","""",IFERROR(($AD146/(QUERY(GOOGLEFINANCE($CR146,""price"",TODAY()-28),""SELECT Col2 label Col2 ''"")*$CU146)-1),""-""))"),"")</f>
        <v/>
      </c>
      <c r="AO146" s="851" t="str">
        <f>IFERROR(__xludf.DUMMYFUNCTION("IF($CR146="""","""",IFERROR(($AD146/(QUERY(GOOGLEFINANCE($CR146,""price"",TODAY()-$AQ$5),""SELECT Col2 label Col2 ''"")*$CU146)-1),""-""))"),"")</f>
        <v/>
      </c>
      <c r="AP146" s="852" t="str">
        <f>IFERROR(__xludf.DUMMYFUNCTION("IF($CR146="""","""",IFERROR(SPARKLINE(query(GOOGLEFINANCE($CR146,""price"",TODAY()-$AQ$5,TODAY(),1),""select Col2 label Col2 ''""),IF($AP$7=""Gráfico de barras"",{""charttype"",""column"";""highcolor"",""red""},{""chartype"",""line""}))))"),"")</f>
        <v/>
      </c>
      <c r="AQ146" s="144"/>
      <c r="AR146" s="853"/>
      <c r="AS146" s="854" t="str">
        <f>IF($CR146="","",IF(NOT('alocação'!$D$1),"off",IFERROR(VLOOKUP(CR146,BalanceAtivos,3,0),"NC")))</f>
        <v/>
      </c>
      <c r="AT146" s="855" t="str">
        <f>IF($CR146="","",IF(NOT('alocação'!$D$1),"off",IFERROR(VLOOKUP($CR146,BalanceAtivos,4,0)*$CU$5,"NC")))</f>
        <v/>
      </c>
      <c r="AU146" s="856" t="str">
        <f>IF($CR146="","",IF(NOT('alocação'!$D$1),"off",IFERROR(VLOOKUP($CR146,BalanceAtivos,5,0),"-")))</f>
        <v/>
      </c>
      <c r="AV146" s="856" t="str">
        <f>IF($CR146="","",IF(NOT('alocação'!$D$1),"off",IFERROR(VLOOKUP($CR146,BalanceAtivos,6,0),"-")))</f>
        <v/>
      </c>
      <c r="AW146" s="857"/>
      <c r="AX146" s="858" t="str">
        <f>IF($CR146="","",IF($E146="","SP",IFERROR(VLOOKUP($CR146,AtivosDados,MATCH("pm_atual",portfolio.!$A$3:CY$3,0),0)*$CU$5,0)))</f>
        <v/>
      </c>
      <c r="AY146" s="859" t="str">
        <f t="shared" si="2"/>
        <v/>
      </c>
      <c r="AZ146" s="858" t="str">
        <f>IF($CR146="","",IF($E146="","SP",SUMIF(portfolio.!$A$4:$A308,$CR146,portfolio.!$O$4:$O308)*$CU$5))</f>
        <v/>
      </c>
      <c r="BA146" s="858" t="str">
        <f>IF($CR146="","",IF($E146="","SP",SUMIF(portfolio.!$A$4:$A308,$CR146,portfolio.!$AN$4:$AN308)*$CU$5))</f>
        <v/>
      </c>
      <c r="BB146" s="860" t="str">
        <f>IF($CR146="","",IF($E146="","-",IFERROR($BA146/'portfólio'!$DG$63,"")))</f>
        <v/>
      </c>
      <c r="BC146" s="861" t="str">
        <f>IF($CR146="","",IF($E146="","-",SUMIF(portfolio.!$A$4:$A308,$CR146,portfolio.!$J$4:$J308)))</f>
        <v/>
      </c>
      <c r="BD146" s="862" t="str">
        <f>IF($CR146="","",IF($E146="","SP",SUMIF(portfolio.!$A$4:$A308,$CR146,portfolio.!$AQ$4:$AQ308)*$CU$5))</f>
        <v/>
      </c>
      <c r="BE146" s="850" t="str">
        <f t="shared" si="3"/>
        <v/>
      </c>
      <c r="BF146" s="862" t="str">
        <f>IF($CR146="","",IF($E146="","-",SUMIF(portfolio.!$A$4:$A308,$CR146,portfolio.!$AX$4:$AX308)*$CU$5))</f>
        <v/>
      </c>
      <c r="BG146" s="545"/>
      <c r="BH146" s="879" t="s">
        <v>123</v>
      </c>
      <c r="BI146" s="880" t="s">
        <v>123</v>
      </c>
      <c r="BJ146" s="863" t="str">
        <f>IFERROR(__xludf.DUMMYFUNCTION("IF(NOT($BL$4),"""",IF($CR146="""","""",IFERROR(query({GOOGLEFINANCE($CR146,""price"",IF($BI146=""-"",TODAY()-($AQ$5+5),$BI146),TODAY()-1)},""Select max(Col2) where Col1 is not null label max(Col2) ''"")*CU146,""-"")))"),"")</f>
        <v/>
      </c>
      <c r="BK146" s="881" t="s">
        <v>123</v>
      </c>
      <c r="BL146" s="882" t="s">
        <v>123</v>
      </c>
      <c r="BM146" s="442"/>
      <c r="BN146" s="867" t="str">
        <f>IFERROR(__xludf.DUMMYFUNCTION("IF(CR146="""","""",IF(OR(C146=""AÇÃO"",C146=""BDR""),IFERROR(QUERY({fundamentus.!$A$3:$U308},$CX$67&amp;"" where Col1='""&amp;CR146&amp;""' limit 1"",0)),IF(C146=""FII"",IFERROR(QUERY({fundsexplorer.!$A$2:$Z308},$CY$67&amp;"" where Col1='""&amp;CR146&amp;""' limit 1"",0)),""""))"&amp;")"),"")</f>
        <v/>
      </c>
      <c r="BO146" s="867"/>
      <c r="BP146" s="867"/>
      <c r="BQ146" s="867"/>
      <c r="BR146" s="867"/>
      <c r="BS146" s="867"/>
      <c r="BT146" s="867"/>
      <c r="BU146" s="442"/>
      <c r="BV146" s="868" t="str">
        <f>IFERROR(__xludf.DUMMYFUNCTION("IF(OR(C146=""AÇÃO"",C146=""BDR""),IFERROR(GOOGLEFINANCE(CONCAT(""BVMF:"",CR146), ""marketcap"")/1000000,""NC""),"""")"),"")</f>
        <v/>
      </c>
      <c r="BW146" s="869" t="s">
        <v>123</v>
      </c>
      <c r="BX146" s="870" t="s">
        <v>123</v>
      </c>
      <c r="BY146" s="868" t="s">
        <v>123</v>
      </c>
      <c r="BZ146" s="870" t="s">
        <v>123</v>
      </c>
      <c r="CA146" s="868" t="s">
        <v>123</v>
      </c>
      <c r="CB146" s="868" t="s">
        <v>123</v>
      </c>
      <c r="CC146" s="868" t="s">
        <v>123</v>
      </c>
      <c r="CD146" s="868" t="str">
        <f>IFERROR(__xludf.DUMMYFUNCTION("IF(OR(C146=""AÇÃO"",C146=""BDR""),IFERROR(GOOGLEFINANCE(CONCAT(""BVMF:"",CR146), ""volumeavg"")/1000000,""NC""),"""")"),"")</f>
        <v/>
      </c>
      <c r="CE146" s="870" t="s">
        <v>123</v>
      </c>
      <c r="CF146" s="870" t="s">
        <v>123</v>
      </c>
      <c r="CG146" s="870" t="str">
        <f>IFERROR(__xludf.DUMMYFUNCTION("IF(OR(C146=""AÇÃO"",C146=""BDR""),IF(CF146=0,""SEM DY"",IFERROR(ImportXML(CONCAT(""http://www.guiainvest.com.br/raiox/default.aspx?sigla="",$CR146),""//*[@id='lbPayoutAtual']""),""NC"")),"""")"),"")</f>
        <v/>
      </c>
      <c r="CH146" s="870" t="s">
        <v>123</v>
      </c>
      <c r="CI146" s="545"/>
      <c r="CJ146" s="871" t="str">
        <f>IFERROR(__xludf.DUMMYFUNCTION("IF(OR(C146=""AÇÃO"",C146=""BDR""),IFERROR(GOOGLEFINANCE(CONCAT(""BVMF:"",CR146), ""eps""),""NC""),"""")"),"")</f>
        <v/>
      </c>
      <c r="CK146" s="442"/>
      <c r="CL146" s="871" t="str">
        <f>IFERROR(__xludf.DUMMYFUNCTION("IF(NOT($BL$4),"""",IF($CR146="""","""",IF($BC146="""","""",IFERROR(query({op.normal!$B$5:$F308},""select Col5, toDate(Col2) where Col1 =  '""&amp;$CR146&amp;""' and Col4 &gt; 0 and ((Col3 is null) or (Col3 = 'C')) and Col2 &gt;= date '""&amp;TEXT(TODAY()-$AQ$5,""yyyy-mm-dd"&amp;""")&amp;""' order by Col2 desc limit 1 label toDate(Col2) ''"")))))"),"")</f>
        <v/>
      </c>
      <c r="CM146" s="872"/>
      <c r="CN146" s="883" t="s">
        <v>123</v>
      </c>
      <c r="CO146" s="874" t="s">
        <v>123</v>
      </c>
      <c r="CP146" s="766"/>
      <c r="CQ146" s="791"/>
      <c r="CR146" s="791"/>
      <c r="CT146" s="791" t="s">
        <v>123</v>
      </c>
      <c r="CU146" s="791" t="str">
        <f>IFERROR(__xludf.DUMMYFUNCTION("IF(CR146="""","""",IF(CT146=$C$4,1,GOOGLEFINANCE(CT146&amp;$C$4)))"),"")</f>
        <v/>
      </c>
    </row>
    <row r="147" ht="22.5" customHeight="1">
      <c r="A147" s="837">
        <v>139.0</v>
      </c>
      <c r="B147" s="838" t="s">
        <v>123</v>
      </c>
      <c r="C147" s="838" t="s">
        <v>123</v>
      </c>
      <c r="D147" s="839" t="s">
        <v>123</v>
      </c>
      <c r="E147" s="839" t="s">
        <v>123</v>
      </c>
      <c r="F147" s="839" t="s">
        <v>123</v>
      </c>
      <c r="H147" s="884"/>
      <c r="I147" s="838"/>
      <c r="J147" s="838"/>
      <c r="K147" s="838"/>
      <c r="L147" s="838"/>
      <c r="M147" s="838"/>
      <c r="N147" s="838"/>
      <c r="O147" s="838"/>
      <c r="P147" s="838"/>
      <c r="Q147" s="838"/>
      <c r="R147" s="838"/>
      <c r="S147" s="838"/>
      <c r="T147" s="838"/>
      <c r="U147" s="838"/>
      <c r="V147" s="838"/>
      <c r="W147" s="838"/>
      <c r="X147" s="838"/>
      <c r="Z147" s="875" t="str">
        <f>IFERROR(__xludf.DUMMYFUNCTION("IF($CR147="""","""",IFERROR(query({CarteirasAtivos},""select Col4 where Col4 is not null and Col1 = '""&amp;$CR147&amp;""' limit 1"")*CU147,""NC""))"),"")</f>
        <v/>
      </c>
      <c r="AA147" s="876" t="str">
        <f>IFERROR(__xludf.DUMMYFUNCTION("IF($CR147="""","""",IFERROR(query({CarteirasAtivos},""select Col6 where Col4 is not null and Col1 = '""&amp;$CR147&amp;""' limit 1""),""NC""))"),"")</f>
        <v/>
      </c>
      <c r="AB147" s="877"/>
      <c r="AC147" s="878" t="s">
        <v>123</v>
      </c>
      <c r="AD147" s="845" t="str">
        <f>IF($CR147="","",IFERROR(VLOOKUP($CR147,ativos.!$C$3:$R308,MATCH("cotacao",ativos.!$C$2:CY$2,0),FALSE)*$CU$5,"atualizar"))</f>
        <v/>
      </c>
      <c r="AE147" s="846" t="str">
        <f>IFERROR(__xludf.DUMMYFUNCTION("IF($CR147="""","""",IFERROR(AVERAGE(query({CarteirasAtivos;CarteirasAtivosEncerrados},""select Col5 where Col5 is not null and Col1 = '""&amp;$CR147&amp;""' and Col10='SIM'""))*CU147,""NC""))"),"")</f>
        <v/>
      </c>
      <c r="AF147" s="847" t="str">
        <f t="shared" si="1"/>
        <v/>
      </c>
      <c r="AG147" s="442"/>
      <c r="AH147" s="848" t="str">
        <f>IFERROR(__xludf.DUMMYFUNCTION("IF($CR147="""","""",IFERROR(GOOGLEFINANCE($CR147,""low52"")*CU147,""-""))"),"")</f>
        <v/>
      </c>
      <c r="AI147" s="848" t="str">
        <f>IFERROR(__xludf.DUMMYFUNCTION("IF($CR147="""","""",IFERROR(GOOGLEFINANCE($CR147,""high52"")*CU147,""-""))"),"")</f>
        <v/>
      </c>
      <c r="AJ147" s="849" t="s">
        <v>123</v>
      </c>
      <c r="AK147" s="850" t="str">
        <f>IFERROR(__xludf.DUMMYFUNCTION("IF($CR147="""","""",IFERROR(GOOGLEFINANCE($CR147,""changepct"")/100,""-""))"),"")</f>
        <v/>
      </c>
      <c r="AL147" s="851" t="str">
        <f>IFERROR(__xludf.DUMMYFUNCTION("IF($CR147="""","""",IFERROR(($AD147/(QUERY(GOOGLEFINANCE($CR147,""price"",TODAY()-7),""SELECT Col2 label Col2 ''"")*$CU147)-1),""-""))"),"")</f>
        <v/>
      </c>
      <c r="AM147" s="851" t="str">
        <f>IFERROR(__xludf.DUMMYFUNCTION("IF($CR147="""","""",IFERROR(($AD147/(QUERY(GOOGLEFINANCE($CR147,""price"",TODAY()-14),""SELECT Col2 label Col2 ''"")*$CU147)-1),""-""))"),"")</f>
        <v/>
      </c>
      <c r="AN147" s="851" t="str">
        <f>IFERROR(__xludf.DUMMYFUNCTION("IF($CR147="""","""",IFERROR(($AD147/(QUERY(GOOGLEFINANCE($CR147,""price"",TODAY()-28),""SELECT Col2 label Col2 ''"")*$CU147)-1),""-""))"),"")</f>
        <v/>
      </c>
      <c r="AO147" s="851" t="str">
        <f>IFERROR(__xludf.DUMMYFUNCTION("IF($CR147="""","""",IFERROR(($AD147/(QUERY(GOOGLEFINANCE($CR147,""price"",TODAY()-$AQ$5),""SELECT Col2 label Col2 ''"")*$CU147)-1),""-""))"),"")</f>
        <v/>
      </c>
      <c r="AP147" s="852" t="str">
        <f>IFERROR(__xludf.DUMMYFUNCTION("IF($CR147="""","""",IFERROR(SPARKLINE(query(GOOGLEFINANCE($CR147,""price"",TODAY()-$AQ$5,TODAY(),1),""select Col2 label Col2 ''""),IF($AP$7=""Gráfico de barras"",{""charttype"",""column"";""highcolor"",""red""},{""chartype"",""line""}))))"),"")</f>
        <v/>
      </c>
      <c r="AQ147" s="144"/>
      <c r="AR147" s="853"/>
      <c r="AS147" s="854" t="str">
        <f>IF($CR147="","",IF(NOT('alocação'!$D$1),"off",IFERROR(VLOOKUP(CR147,BalanceAtivos,3,0),"NC")))</f>
        <v/>
      </c>
      <c r="AT147" s="855" t="str">
        <f>IF($CR147="","",IF(NOT('alocação'!$D$1),"off",IFERROR(VLOOKUP($CR147,BalanceAtivos,4,0)*$CU$5,"NC")))</f>
        <v/>
      </c>
      <c r="AU147" s="856" t="str">
        <f>IF($CR147="","",IF(NOT('alocação'!$D$1),"off",IFERROR(VLOOKUP($CR147,BalanceAtivos,5,0),"-")))</f>
        <v/>
      </c>
      <c r="AV147" s="856" t="str">
        <f>IF($CR147="","",IF(NOT('alocação'!$D$1),"off",IFERROR(VLOOKUP($CR147,BalanceAtivos,6,0),"-")))</f>
        <v/>
      </c>
      <c r="AW147" s="857"/>
      <c r="AX147" s="858" t="str">
        <f>IF($CR147="","",IF($E147="","SP",IFERROR(VLOOKUP($CR147,AtivosDados,MATCH("pm_atual",portfolio.!$A$3:CY$3,0),0)*$CU$5,0)))</f>
        <v/>
      </c>
      <c r="AY147" s="859" t="str">
        <f t="shared" si="2"/>
        <v/>
      </c>
      <c r="AZ147" s="858" t="str">
        <f>IF($CR147="","",IF($E147="","SP",SUMIF(portfolio.!$A$4:$A308,$CR147,portfolio.!$O$4:$O308)*$CU$5))</f>
        <v/>
      </c>
      <c r="BA147" s="858" t="str">
        <f>IF($CR147="","",IF($E147="","SP",SUMIF(portfolio.!$A$4:$A308,$CR147,portfolio.!$AN$4:$AN308)*$CU$5))</f>
        <v/>
      </c>
      <c r="BB147" s="860" t="str">
        <f>IF($CR147="","",IF($E147="","-",IFERROR($BA147/'portfólio'!$DG$63,"")))</f>
        <v/>
      </c>
      <c r="BC147" s="861" t="str">
        <f>IF($CR147="","",IF($E147="","-",SUMIF(portfolio.!$A$4:$A308,$CR147,portfolio.!$J$4:$J308)))</f>
        <v/>
      </c>
      <c r="BD147" s="862" t="str">
        <f>IF($CR147="","",IF($E147="","SP",SUMIF(portfolio.!$A$4:$A308,$CR147,portfolio.!$AQ$4:$AQ308)*$CU$5))</f>
        <v/>
      </c>
      <c r="BE147" s="850" t="str">
        <f t="shared" si="3"/>
        <v/>
      </c>
      <c r="BF147" s="862" t="str">
        <f>IF($CR147="","",IF($E147="","-",SUMIF(portfolio.!$A$4:$A308,$CR147,portfolio.!$AX$4:$AX308)*$CU$5))</f>
        <v/>
      </c>
      <c r="BG147" s="545"/>
      <c r="BH147" s="879" t="s">
        <v>123</v>
      </c>
      <c r="BI147" s="880" t="s">
        <v>123</v>
      </c>
      <c r="BJ147" s="863" t="str">
        <f>IFERROR(__xludf.DUMMYFUNCTION("IF(NOT($BL$4),"""",IF($CR147="""","""",IFERROR(query({GOOGLEFINANCE($CR147,""price"",IF($BI147=""-"",TODAY()-($AQ$5+5),$BI147),TODAY()-1)},""Select max(Col2) where Col1 is not null label max(Col2) ''"")*CU147,""-"")))"),"")</f>
        <v/>
      </c>
      <c r="BK147" s="881" t="s">
        <v>123</v>
      </c>
      <c r="BL147" s="882" t="s">
        <v>123</v>
      </c>
      <c r="BM147" s="442"/>
      <c r="BN147" s="867" t="str">
        <f>IFERROR(__xludf.DUMMYFUNCTION("IF(CR147="""","""",IF(OR(C147=""AÇÃO"",C147=""BDR""),IFERROR(QUERY({fundamentus.!$A$3:$U308},$CX$67&amp;"" where Col1='""&amp;CR147&amp;""' limit 1"",0)),IF(C147=""FII"",IFERROR(QUERY({fundsexplorer.!$A$2:$Z308},$CY$67&amp;"" where Col1='""&amp;CR147&amp;""' limit 1"",0)),""""))"&amp;")"),"")</f>
        <v/>
      </c>
      <c r="BO147" s="867"/>
      <c r="BP147" s="867"/>
      <c r="BQ147" s="867"/>
      <c r="BR147" s="867"/>
      <c r="BS147" s="867"/>
      <c r="BT147" s="867"/>
      <c r="BU147" s="442"/>
      <c r="BV147" s="868" t="str">
        <f>IFERROR(__xludf.DUMMYFUNCTION("IF(OR(C147=""AÇÃO"",C147=""BDR""),IFERROR(GOOGLEFINANCE(CONCAT(""BVMF:"",CR147), ""marketcap"")/1000000,""NC""),"""")"),"")</f>
        <v/>
      </c>
      <c r="BW147" s="869" t="s">
        <v>123</v>
      </c>
      <c r="BX147" s="870" t="s">
        <v>123</v>
      </c>
      <c r="BY147" s="868" t="s">
        <v>123</v>
      </c>
      <c r="BZ147" s="870" t="s">
        <v>123</v>
      </c>
      <c r="CA147" s="868" t="s">
        <v>123</v>
      </c>
      <c r="CB147" s="868" t="s">
        <v>123</v>
      </c>
      <c r="CC147" s="868" t="s">
        <v>123</v>
      </c>
      <c r="CD147" s="868" t="str">
        <f>IFERROR(__xludf.DUMMYFUNCTION("IF(OR(C147=""AÇÃO"",C147=""BDR""),IFERROR(GOOGLEFINANCE(CONCAT(""BVMF:"",CR147), ""volumeavg"")/1000000,""NC""),"""")"),"")</f>
        <v/>
      </c>
      <c r="CE147" s="870" t="s">
        <v>123</v>
      </c>
      <c r="CF147" s="870" t="s">
        <v>123</v>
      </c>
      <c r="CG147" s="870" t="str">
        <f>IFERROR(__xludf.DUMMYFUNCTION("IF(OR(C147=""AÇÃO"",C147=""BDR""),IF(CF147=0,""SEM DY"",IFERROR(ImportXML(CONCAT(""http://www.guiainvest.com.br/raiox/default.aspx?sigla="",$CR147),""//*[@id='lbPayoutAtual']""),""NC"")),"""")"),"")</f>
        <v/>
      </c>
      <c r="CH147" s="870" t="s">
        <v>123</v>
      </c>
      <c r="CI147" s="545"/>
      <c r="CJ147" s="871" t="str">
        <f>IFERROR(__xludf.DUMMYFUNCTION("IF(OR(C147=""AÇÃO"",C147=""BDR""),IFERROR(GOOGLEFINANCE(CONCAT(""BVMF:"",CR147), ""eps""),""NC""),"""")"),"")</f>
        <v/>
      </c>
      <c r="CK147" s="442"/>
      <c r="CL147" s="871" t="str">
        <f>IFERROR(__xludf.DUMMYFUNCTION("IF(NOT($BL$4),"""",IF($CR147="""","""",IF($BC147="""","""",IFERROR(query({op.normal!$B$5:$F308},""select Col5, toDate(Col2) where Col1 =  '""&amp;$CR147&amp;""' and Col4 &gt; 0 and ((Col3 is null) or (Col3 = 'C')) and Col2 &gt;= date '""&amp;TEXT(TODAY()-$AQ$5,""yyyy-mm-dd"&amp;""")&amp;""' order by Col2 desc limit 1 label toDate(Col2) ''"")))))"),"")</f>
        <v/>
      </c>
      <c r="CM147" s="872"/>
      <c r="CN147" s="883" t="s">
        <v>123</v>
      </c>
      <c r="CO147" s="874" t="s">
        <v>123</v>
      </c>
      <c r="CP147" s="766"/>
      <c r="CQ147" s="791"/>
      <c r="CR147" s="791"/>
      <c r="CT147" s="791" t="s">
        <v>123</v>
      </c>
      <c r="CU147" s="791" t="str">
        <f>IFERROR(__xludf.DUMMYFUNCTION("IF(CR147="""","""",IF(CT147=$C$4,1,GOOGLEFINANCE(CT147&amp;$C$4)))"),"")</f>
        <v/>
      </c>
    </row>
    <row r="148" ht="22.5" customHeight="1">
      <c r="A148" s="837">
        <v>140.0</v>
      </c>
      <c r="B148" s="838" t="s">
        <v>123</v>
      </c>
      <c r="C148" s="838" t="s">
        <v>123</v>
      </c>
      <c r="D148" s="839" t="s">
        <v>123</v>
      </c>
      <c r="E148" s="839" t="s">
        <v>123</v>
      </c>
      <c r="F148" s="839" t="s">
        <v>123</v>
      </c>
      <c r="H148" s="884"/>
      <c r="I148" s="838"/>
      <c r="J148" s="838"/>
      <c r="K148" s="838"/>
      <c r="L148" s="838"/>
      <c r="M148" s="838"/>
      <c r="N148" s="838"/>
      <c r="O148" s="838"/>
      <c r="P148" s="838"/>
      <c r="Q148" s="838"/>
      <c r="R148" s="838"/>
      <c r="S148" s="838"/>
      <c r="T148" s="838"/>
      <c r="U148" s="838"/>
      <c r="V148" s="838"/>
      <c r="W148" s="838"/>
      <c r="X148" s="838"/>
      <c r="Z148" s="875" t="str">
        <f>IFERROR(__xludf.DUMMYFUNCTION("IF($CR148="""","""",IFERROR(query({CarteirasAtivos},""select Col4 where Col4 is not null and Col1 = '""&amp;$CR148&amp;""' limit 1"")*CU148,""NC""))"),"")</f>
        <v/>
      </c>
      <c r="AA148" s="876" t="str">
        <f>IFERROR(__xludf.DUMMYFUNCTION("IF($CR148="""","""",IFERROR(query({CarteirasAtivos},""select Col6 where Col4 is not null and Col1 = '""&amp;$CR148&amp;""' limit 1""),""NC""))"),"")</f>
        <v/>
      </c>
      <c r="AB148" s="877"/>
      <c r="AC148" s="878" t="s">
        <v>123</v>
      </c>
      <c r="AD148" s="845" t="str">
        <f>IF($CR148="","",IFERROR(VLOOKUP($CR148,ativos.!$C$3:$R308,MATCH("cotacao",ativos.!$C$2:CY$2,0),FALSE)*$CU$5,"atualizar"))</f>
        <v/>
      </c>
      <c r="AE148" s="846" t="str">
        <f>IFERROR(__xludf.DUMMYFUNCTION("IF($CR148="""","""",IFERROR(AVERAGE(query({CarteirasAtivos;CarteirasAtivosEncerrados},""select Col5 where Col5 is not null and Col1 = '""&amp;$CR148&amp;""' and Col10='SIM'""))*CU148,""NC""))"),"")</f>
        <v/>
      </c>
      <c r="AF148" s="847" t="str">
        <f t="shared" si="1"/>
        <v/>
      </c>
      <c r="AG148" s="442"/>
      <c r="AH148" s="848" t="str">
        <f>IFERROR(__xludf.DUMMYFUNCTION("IF($CR148="""","""",IFERROR(GOOGLEFINANCE($CR148,""low52"")*CU148,""-""))"),"")</f>
        <v/>
      </c>
      <c r="AI148" s="848" t="str">
        <f>IFERROR(__xludf.DUMMYFUNCTION("IF($CR148="""","""",IFERROR(GOOGLEFINANCE($CR148,""high52"")*CU148,""-""))"),"")</f>
        <v/>
      </c>
      <c r="AJ148" s="849" t="s">
        <v>123</v>
      </c>
      <c r="AK148" s="850" t="str">
        <f>IFERROR(__xludf.DUMMYFUNCTION("IF($CR148="""","""",IFERROR(GOOGLEFINANCE($CR148,""changepct"")/100,""-""))"),"")</f>
        <v/>
      </c>
      <c r="AL148" s="851" t="str">
        <f>IFERROR(__xludf.DUMMYFUNCTION("IF($CR148="""","""",IFERROR(($AD148/(QUERY(GOOGLEFINANCE($CR148,""price"",TODAY()-7),""SELECT Col2 label Col2 ''"")*$CU148)-1),""-""))"),"")</f>
        <v/>
      </c>
      <c r="AM148" s="851" t="str">
        <f>IFERROR(__xludf.DUMMYFUNCTION("IF($CR148="""","""",IFERROR(($AD148/(QUERY(GOOGLEFINANCE($CR148,""price"",TODAY()-14),""SELECT Col2 label Col2 ''"")*$CU148)-1),""-""))"),"")</f>
        <v/>
      </c>
      <c r="AN148" s="851" t="str">
        <f>IFERROR(__xludf.DUMMYFUNCTION("IF($CR148="""","""",IFERROR(($AD148/(QUERY(GOOGLEFINANCE($CR148,""price"",TODAY()-28),""SELECT Col2 label Col2 ''"")*$CU148)-1),""-""))"),"")</f>
        <v/>
      </c>
      <c r="AO148" s="851" t="str">
        <f>IFERROR(__xludf.DUMMYFUNCTION("IF($CR148="""","""",IFERROR(($AD148/(QUERY(GOOGLEFINANCE($CR148,""price"",TODAY()-$AQ$5),""SELECT Col2 label Col2 ''"")*$CU148)-1),""-""))"),"")</f>
        <v/>
      </c>
      <c r="AP148" s="852" t="str">
        <f>IFERROR(__xludf.DUMMYFUNCTION("IF($CR148="""","""",IFERROR(SPARKLINE(query(GOOGLEFINANCE($CR148,""price"",TODAY()-$AQ$5,TODAY(),1),""select Col2 label Col2 ''""),IF($AP$7=""Gráfico de barras"",{""charttype"",""column"";""highcolor"",""red""},{""chartype"",""line""}))))"),"")</f>
        <v/>
      </c>
      <c r="AQ148" s="144"/>
      <c r="AR148" s="853"/>
      <c r="AS148" s="854" t="str">
        <f>IF($CR148="","",IF(NOT('alocação'!$D$1),"off",IFERROR(VLOOKUP(CR148,BalanceAtivos,3,0),"NC")))</f>
        <v/>
      </c>
      <c r="AT148" s="855" t="str">
        <f>IF($CR148="","",IF(NOT('alocação'!$D$1),"off",IFERROR(VLOOKUP($CR148,BalanceAtivos,4,0)*$CU$5,"NC")))</f>
        <v/>
      </c>
      <c r="AU148" s="856" t="str">
        <f>IF($CR148="","",IF(NOT('alocação'!$D$1),"off",IFERROR(VLOOKUP($CR148,BalanceAtivos,5,0),"-")))</f>
        <v/>
      </c>
      <c r="AV148" s="856" t="str">
        <f>IF($CR148="","",IF(NOT('alocação'!$D$1),"off",IFERROR(VLOOKUP($CR148,BalanceAtivos,6,0),"-")))</f>
        <v/>
      </c>
      <c r="AW148" s="857"/>
      <c r="AX148" s="858" t="str">
        <f>IF($CR148="","",IF($E148="","SP",IFERROR(VLOOKUP($CR148,AtivosDados,MATCH("pm_atual",portfolio.!$A$3:CY$3,0),0)*$CU$5,0)))</f>
        <v/>
      </c>
      <c r="AY148" s="859" t="str">
        <f t="shared" si="2"/>
        <v/>
      </c>
      <c r="AZ148" s="858" t="str">
        <f>IF($CR148="","",IF($E148="","SP",SUMIF(portfolio.!$A$4:$A308,$CR148,portfolio.!$O$4:$O308)*$CU$5))</f>
        <v/>
      </c>
      <c r="BA148" s="858" t="str">
        <f>IF($CR148="","",IF($E148="","SP",SUMIF(portfolio.!$A$4:$A308,$CR148,portfolio.!$AN$4:$AN308)*$CU$5))</f>
        <v/>
      </c>
      <c r="BB148" s="860" t="str">
        <f>IF($CR148="","",IF($E148="","-",IFERROR($BA148/'portfólio'!$DG$63,"")))</f>
        <v/>
      </c>
      <c r="BC148" s="861" t="str">
        <f>IF($CR148="","",IF($E148="","-",SUMIF(portfolio.!$A$4:$A308,$CR148,portfolio.!$J$4:$J308)))</f>
        <v/>
      </c>
      <c r="BD148" s="862" t="str">
        <f>IF($CR148="","",IF($E148="","SP",SUMIF(portfolio.!$A$4:$A308,$CR148,portfolio.!$AQ$4:$AQ308)*$CU$5))</f>
        <v/>
      </c>
      <c r="BE148" s="850" t="str">
        <f t="shared" si="3"/>
        <v/>
      </c>
      <c r="BF148" s="862" t="str">
        <f>IF($CR148="","",IF($E148="","-",SUMIF(portfolio.!$A$4:$A308,$CR148,portfolio.!$AX$4:$AX308)*$CU$5))</f>
        <v/>
      </c>
      <c r="BG148" s="545"/>
      <c r="BH148" s="879" t="s">
        <v>123</v>
      </c>
      <c r="BI148" s="880" t="s">
        <v>123</v>
      </c>
      <c r="BJ148" s="863" t="str">
        <f>IFERROR(__xludf.DUMMYFUNCTION("IF(NOT($BL$4),"""",IF($CR148="""","""",IFERROR(query({GOOGLEFINANCE($CR148,""price"",IF($BI148=""-"",TODAY()-($AQ$5+5),$BI148),TODAY()-1)},""Select max(Col2) where Col1 is not null label max(Col2) ''"")*CU148,""-"")))"),"")</f>
        <v/>
      </c>
      <c r="BK148" s="881" t="s">
        <v>123</v>
      </c>
      <c r="BL148" s="882" t="s">
        <v>123</v>
      </c>
      <c r="BM148" s="442"/>
      <c r="BN148" s="867" t="str">
        <f>IFERROR(__xludf.DUMMYFUNCTION("IF(CR148="""","""",IF(OR(C148=""AÇÃO"",C148=""BDR""),IFERROR(QUERY({fundamentus.!$A$3:$U308},$CX$67&amp;"" where Col1='""&amp;CR148&amp;""' limit 1"",0)),IF(C148=""FII"",IFERROR(QUERY({fundsexplorer.!$A$2:$Z308},$CY$67&amp;"" where Col1='""&amp;CR148&amp;""' limit 1"",0)),""""))"&amp;")"),"")</f>
        <v/>
      </c>
      <c r="BO148" s="867"/>
      <c r="BP148" s="867"/>
      <c r="BQ148" s="867"/>
      <c r="BR148" s="867"/>
      <c r="BS148" s="867"/>
      <c r="BT148" s="867"/>
      <c r="BU148" s="442"/>
      <c r="BV148" s="868" t="str">
        <f>IFERROR(__xludf.DUMMYFUNCTION("IF(OR(C148=""AÇÃO"",C148=""BDR""),IFERROR(GOOGLEFINANCE(CONCAT(""BVMF:"",CR148), ""marketcap"")/1000000,""NC""),"""")"),"")</f>
        <v/>
      </c>
      <c r="BW148" s="869" t="s">
        <v>123</v>
      </c>
      <c r="BX148" s="870" t="s">
        <v>123</v>
      </c>
      <c r="BY148" s="868" t="s">
        <v>123</v>
      </c>
      <c r="BZ148" s="870" t="s">
        <v>123</v>
      </c>
      <c r="CA148" s="868" t="s">
        <v>123</v>
      </c>
      <c r="CB148" s="868" t="s">
        <v>123</v>
      </c>
      <c r="CC148" s="868" t="s">
        <v>123</v>
      </c>
      <c r="CD148" s="868" t="str">
        <f>IFERROR(__xludf.DUMMYFUNCTION("IF(OR(C148=""AÇÃO"",C148=""BDR""),IFERROR(GOOGLEFINANCE(CONCAT(""BVMF:"",CR148), ""volumeavg"")/1000000,""NC""),"""")"),"")</f>
        <v/>
      </c>
      <c r="CE148" s="870" t="s">
        <v>123</v>
      </c>
      <c r="CF148" s="870" t="s">
        <v>123</v>
      </c>
      <c r="CG148" s="870" t="str">
        <f>IFERROR(__xludf.DUMMYFUNCTION("IF(OR(C148=""AÇÃO"",C148=""BDR""),IF(CF148=0,""SEM DY"",IFERROR(ImportXML(CONCAT(""http://www.guiainvest.com.br/raiox/default.aspx?sigla="",$CR148),""//*[@id='lbPayoutAtual']""),""NC"")),"""")"),"")</f>
        <v/>
      </c>
      <c r="CH148" s="870" t="s">
        <v>123</v>
      </c>
      <c r="CI148" s="545"/>
      <c r="CJ148" s="871" t="str">
        <f>IFERROR(__xludf.DUMMYFUNCTION("IF(OR(C148=""AÇÃO"",C148=""BDR""),IFERROR(GOOGLEFINANCE(CONCAT(""BVMF:"",CR148), ""eps""),""NC""),"""")"),"")</f>
        <v/>
      </c>
      <c r="CK148" s="442"/>
      <c r="CL148" s="871" t="str">
        <f>IFERROR(__xludf.DUMMYFUNCTION("IF(NOT($BL$4),"""",IF($CR148="""","""",IF($BC148="""","""",IFERROR(query({op.normal!$B$5:$F308},""select Col5, toDate(Col2) where Col1 =  '""&amp;$CR148&amp;""' and Col4 &gt; 0 and ((Col3 is null) or (Col3 = 'C')) and Col2 &gt;= date '""&amp;TEXT(TODAY()-$AQ$5,""yyyy-mm-dd"&amp;""")&amp;""' order by Col2 desc limit 1 label toDate(Col2) ''"")))))"),"")</f>
        <v/>
      </c>
      <c r="CM148" s="872"/>
      <c r="CN148" s="883" t="s">
        <v>123</v>
      </c>
      <c r="CO148" s="874" t="s">
        <v>123</v>
      </c>
      <c r="CP148" s="766"/>
      <c r="CQ148" s="791"/>
      <c r="CR148" s="791"/>
      <c r="CT148" s="791" t="s">
        <v>123</v>
      </c>
      <c r="CU148" s="791" t="str">
        <f>IFERROR(__xludf.DUMMYFUNCTION("IF(CR148="""","""",IF(CT148=$C$4,1,GOOGLEFINANCE(CT148&amp;$C$4)))"),"")</f>
        <v/>
      </c>
    </row>
    <row r="149" ht="22.5" customHeight="1">
      <c r="A149" s="837">
        <v>141.0</v>
      </c>
      <c r="B149" s="838" t="s">
        <v>123</v>
      </c>
      <c r="C149" s="838" t="s">
        <v>123</v>
      </c>
      <c r="D149" s="839" t="s">
        <v>123</v>
      </c>
      <c r="E149" s="839" t="s">
        <v>123</v>
      </c>
      <c r="F149" s="839" t="s">
        <v>123</v>
      </c>
      <c r="H149" s="884"/>
      <c r="I149" s="838"/>
      <c r="J149" s="838"/>
      <c r="K149" s="838"/>
      <c r="L149" s="838"/>
      <c r="M149" s="838"/>
      <c r="N149" s="838"/>
      <c r="O149" s="838"/>
      <c r="P149" s="838"/>
      <c r="Q149" s="838"/>
      <c r="R149" s="838"/>
      <c r="S149" s="838"/>
      <c r="T149" s="838"/>
      <c r="U149" s="838"/>
      <c r="V149" s="838"/>
      <c r="W149" s="838"/>
      <c r="X149" s="838"/>
      <c r="Z149" s="875" t="str">
        <f>IFERROR(__xludf.DUMMYFUNCTION("IF($CR149="""","""",IFERROR(query({CarteirasAtivos},""select Col4 where Col4 is not null and Col1 = '""&amp;$CR149&amp;""' limit 1"")*CU149,""NC""))"),"")</f>
        <v/>
      </c>
      <c r="AA149" s="876" t="str">
        <f>IFERROR(__xludf.DUMMYFUNCTION("IF($CR149="""","""",IFERROR(query({CarteirasAtivos},""select Col6 where Col4 is not null and Col1 = '""&amp;$CR149&amp;""' limit 1""),""NC""))"),"")</f>
        <v/>
      </c>
      <c r="AB149" s="877"/>
      <c r="AC149" s="878" t="s">
        <v>123</v>
      </c>
      <c r="AD149" s="845" t="str">
        <f>IF($CR149="","",IFERROR(VLOOKUP($CR149,ativos.!$C$3:$R308,MATCH("cotacao",ativos.!$C$2:CY$2,0),FALSE)*$CU$5,"atualizar"))</f>
        <v/>
      </c>
      <c r="AE149" s="846" t="str">
        <f>IFERROR(__xludf.DUMMYFUNCTION("IF($CR149="""","""",IFERROR(AVERAGE(query({CarteirasAtivos;CarteirasAtivosEncerrados},""select Col5 where Col5 is not null and Col1 = '""&amp;$CR149&amp;""' and Col10='SIM'""))*CU149,""NC""))"),"")</f>
        <v/>
      </c>
      <c r="AF149" s="847" t="str">
        <f t="shared" si="1"/>
        <v/>
      </c>
      <c r="AG149" s="442"/>
      <c r="AH149" s="848" t="str">
        <f>IFERROR(__xludf.DUMMYFUNCTION("IF($CR149="""","""",IFERROR(GOOGLEFINANCE($CR149,""low52"")*CU149,""-""))"),"")</f>
        <v/>
      </c>
      <c r="AI149" s="848" t="str">
        <f>IFERROR(__xludf.DUMMYFUNCTION("IF($CR149="""","""",IFERROR(GOOGLEFINANCE($CR149,""high52"")*CU149,""-""))"),"")</f>
        <v/>
      </c>
      <c r="AJ149" s="849" t="s">
        <v>123</v>
      </c>
      <c r="AK149" s="850" t="str">
        <f>IFERROR(__xludf.DUMMYFUNCTION("IF($CR149="""","""",IFERROR(GOOGLEFINANCE($CR149,""changepct"")/100,""-""))"),"")</f>
        <v/>
      </c>
      <c r="AL149" s="851" t="str">
        <f>IFERROR(__xludf.DUMMYFUNCTION("IF($CR149="""","""",IFERROR(($AD149/(QUERY(GOOGLEFINANCE($CR149,""price"",TODAY()-7),""SELECT Col2 label Col2 ''"")*$CU149)-1),""-""))"),"")</f>
        <v/>
      </c>
      <c r="AM149" s="851" t="str">
        <f>IFERROR(__xludf.DUMMYFUNCTION("IF($CR149="""","""",IFERROR(($AD149/(QUERY(GOOGLEFINANCE($CR149,""price"",TODAY()-14),""SELECT Col2 label Col2 ''"")*$CU149)-1),""-""))"),"")</f>
        <v/>
      </c>
      <c r="AN149" s="851" t="str">
        <f>IFERROR(__xludf.DUMMYFUNCTION("IF($CR149="""","""",IFERROR(($AD149/(QUERY(GOOGLEFINANCE($CR149,""price"",TODAY()-28),""SELECT Col2 label Col2 ''"")*$CU149)-1),""-""))"),"")</f>
        <v/>
      </c>
      <c r="AO149" s="851" t="str">
        <f>IFERROR(__xludf.DUMMYFUNCTION("IF($CR149="""","""",IFERROR(($AD149/(QUERY(GOOGLEFINANCE($CR149,""price"",TODAY()-$AQ$5),""SELECT Col2 label Col2 ''"")*$CU149)-1),""-""))"),"")</f>
        <v/>
      </c>
      <c r="AP149" s="852" t="str">
        <f>IFERROR(__xludf.DUMMYFUNCTION("IF($CR149="""","""",IFERROR(SPARKLINE(query(GOOGLEFINANCE($CR149,""price"",TODAY()-$AQ$5,TODAY(),1),""select Col2 label Col2 ''""),IF($AP$7=""Gráfico de barras"",{""charttype"",""column"";""highcolor"",""red""},{""chartype"",""line""}))))"),"")</f>
        <v/>
      </c>
      <c r="AQ149" s="144"/>
      <c r="AR149" s="853"/>
      <c r="AS149" s="854" t="str">
        <f>IF($CR149="","",IF(NOT('alocação'!$D$1),"off",IFERROR(VLOOKUP(CR149,BalanceAtivos,3,0),"NC")))</f>
        <v/>
      </c>
      <c r="AT149" s="855" t="str">
        <f>IF($CR149="","",IF(NOT('alocação'!$D$1),"off",IFERROR(VLOOKUP($CR149,BalanceAtivos,4,0)*$CU$5,"NC")))</f>
        <v/>
      </c>
      <c r="AU149" s="856" t="str">
        <f>IF($CR149="","",IF(NOT('alocação'!$D$1),"off",IFERROR(VLOOKUP($CR149,BalanceAtivos,5,0),"-")))</f>
        <v/>
      </c>
      <c r="AV149" s="856" t="str">
        <f>IF($CR149="","",IF(NOT('alocação'!$D$1),"off",IFERROR(VLOOKUP($CR149,BalanceAtivos,6,0),"-")))</f>
        <v/>
      </c>
      <c r="AW149" s="857"/>
      <c r="AX149" s="858" t="str">
        <f>IF($CR149="","",IF($E149="","SP",IFERROR(VLOOKUP($CR149,AtivosDados,MATCH("pm_atual",portfolio.!$A$3:CY$3,0),0)*$CU$5,0)))</f>
        <v/>
      </c>
      <c r="AY149" s="859" t="str">
        <f t="shared" si="2"/>
        <v/>
      </c>
      <c r="AZ149" s="858" t="str">
        <f>IF($CR149="","",IF($E149="","SP",SUMIF(portfolio.!$A$4:$A308,$CR149,portfolio.!$O$4:$O308)*$CU$5))</f>
        <v/>
      </c>
      <c r="BA149" s="858" t="str">
        <f>IF($CR149="","",IF($E149="","SP",SUMIF(portfolio.!$A$4:$A308,$CR149,portfolio.!$AN$4:$AN308)*$CU$5))</f>
        <v/>
      </c>
      <c r="BB149" s="860" t="str">
        <f>IF($CR149="","",IF($E149="","-",IFERROR($BA149/'portfólio'!$DG$63,"")))</f>
        <v/>
      </c>
      <c r="BC149" s="861" t="str">
        <f>IF($CR149="","",IF($E149="","-",SUMIF(portfolio.!$A$4:$A308,$CR149,portfolio.!$J$4:$J308)))</f>
        <v/>
      </c>
      <c r="BD149" s="862" t="str">
        <f>IF($CR149="","",IF($E149="","SP",SUMIF(portfolio.!$A$4:$A308,$CR149,portfolio.!$AQ$4:$AQ308)*$CU$5))</f>
        <v/>
      </c>
      <c r="BE149" s="850" t="str">
        <f t="shared" si="3"/>
        <v/>
      </c>
      <c r="BF149" s="862" t="str">
        <f>IF($CR149="","",IF($E149="","-",SUMIF(portfolio.!$A$4:$A308,$CR149,portfolio.!$AX$4:$AX308)*$CU$5))</f>
        <v/>
      </c>
      <c r="BG149" s="545"/>
      <c r="BH149" s="879" t="s">
        <v>123</v>
      </c>
      <c r="BI149" s="880" t="s">
        <v>123</v>
      </c>
      <c r="BJ149" s="863" t="str">
        <f>IFERROR(__xludf.DUMMYFUNCTION("IF(NOT($BL$4),"""",IF($CR149="""","""",IFERROR(query({GOOGLEFINANCE($CR149,""price"",IF($BI149=""-"",TODAY()-($AQ$5+5),$BI149),TODAY()-1)},""Select max(Col2) where Col1 is not null label max(Col2) ''"")*CU149,""-"")))"),"")</f>
        <v/>
      </c>
      <c r="BK149" s="881" t="s">
        <v>123</v>
      </c>
      <c r="BL149" s="882" t="s">
        <v>123</v>
      </c>
      <c r="BM149" s="442"/>
      <c r="BN149" s="867" t="str">
        <f>IFERROR(__xludf.DUMMYFUNCTION("IF(CR149="""","""",IF(OR(C149=""AÇÃO"",C149=""BDR""),IFERROR(QUERY({fundamentus.!$A$3:$U308},$CX$67&amp;"" where Col1='""&amp;CR149&amp;""' limit 1"",0)),IF(C149=""FII"",IFERROR(QUERY({fundsexplorer.!$A$2:$Z308},$CY$67&amp;"" where Col1='""&amp;CR149&amp;""' limit 1"",0)),""""))"&amp;")"),"")</f>
        <v/>
      </c>
      <c r="BO149" s="867"/>
      <c r="BP149" s="867"/>
      <c r="BQ149" s="867"/>
      <c r="BR149" s="867"/>
      <c r="BS149" s="867"/>
      <c r="BT149" s="867"/>
      <c r="BU149" s="442"/>
      <c r="BV149" s="868" t="str">
        <f>IFERROR(__xludf.DUMMYFUNCTION("IF(OR(C149=""AÇÃO"",C149=""BDR""),IFERROR(GOOGLEFINANCE(CONCAT(""BVMF:"",CR149), ""marketcap"")/1000000,""NC""),"""")"),"")</f>
        <v/>
      </c>
      <c r="BW149" s="869" t="s">
        <v>123</v>
      </c>
      <c r="BX149" s="870" t="s">
        <v>123</v>
      </c>
      <c r="BY149" s="868" t="s">
        <v>123</v>
      </c>
      <c r="BZ149" s="870" t="s">
        <v>123</v>
      </c>
      <c r="CA149" s="868" t="s">
        <v>123</v>
      </c>
      <c r="CB149" s="868" t="s">
        <v>123</v>
      </c>
      <c r="CC149" s="868" t="s">
        <v>123</v>
      </c>
      <c r="CD149" s="868" t="str">
        <f>IFERROR(__xludf.DUMMYFUNCTION("IF(OR(C149=""AÇÃO"",C149=""BDR""),IFERROR(GOOGLEFINANCE(CONCAT(""BVMF:"",CR149), ""volumeavg"")/1000000,""NC""),"""")"),"")</f>
        <v/>
      </c>
      <c r="CE149" s="870" t="s">
        <v>123</v>
      </c>
      <c r="CF149" s="870" t="s">
        <v>123</v>
      </c>
      <c r="CG149" s="870" t="str">
        <f>IFERROR(__xludf.DUMMYFUNCTION("IF(OR(C149=""AÇÃO"",C149=""BDR""),IF(CF149=0,""SEM DY"",IFERROR(ImportXML(CONCAT(""http://www.guiainvest.com.br/raiox/default.aspx?sigla="",$CR149),""//*[@id='lbPayoutAtual']""),""NC"")),"""")"),"")</f>
        <v/>
      </c>
      <c r="CH149" s="870" t="s">
        <v>123</v>
      </c>
      <c r="CI149" s="545"/>
      <c r="CJ149" s="871" t="str">
        <f>IFERROR(__xludf.DUMMYFUNCTION("IF(OR(C149=""AÇÃO"",C149=""BDR""),IFERROR(GOOGLEFINANCE(CONCAT(""BVMF:"",CR149), ""eps""),""NC""),"""")"),"")</f>
        <v/>
      </c>
      <c r="CK149" s="442"/>
      <c r="CL149" s="871" t="str">
        <f>IFERROR(__xludf.DUMMYFUNCTION("IF(NOT($BL$4),"""",IF($CR149="""","""",IF($BC149="""","""",IFERROR(query({op.normal!$B$5:$F308},""select Col5, toDate(Col2) where Col1 =  '""&amp;$CR149&amp;""' and Col4 &gt; 0 and ((Col3 is null) or (Col3 = 'C')) and Col2 &gt;= date '""&amp;TEXT(TODAY()-$AQ$5,""yyyy-mm-dd"&amp;""")&amp;""' order by Col2 desc limit 1 label toDate(Col2) ''"")))))"),"")</f>
        <v/>
      </c>
      <c r="CM149" s="872"/>
      <c r="CN149" s="883" t="s">
        <v>123</v>
      </c>
      <c r="CO149" s="874" t="s">
        <v>123</v>
      </c>
      <c r="CP149" s="766"/>
      <c r="CQ149" s="791"/>
      <c r="CR149" s="791"/>
      <c r="CT149" s="791" t="s">
        <v>123</v>
      </c>
      <c r="CU149" s="791" t="str">
        <f>IFERROR(__xludf.DUMMYFUNCTION("IF(CR149="""","""",IF(CT149=$C$4,1,GOOGLEFINANCE(CT149&amp;$C$4)))"),"")</f>
        <v/>
      </c>
    </row>
    <row r="150" ht="22.5" customHeight="1">
      <c r="A150" s="837">
        <v>142.0</v>
      </c>
      <c r="B150" s="838" t="s">
        <v>123</v>
      </c>
      <c r="C150" s="838" t="s">
        <v>123</v>
      </c>
      <c r="D150" s="839" t="s">
        <v>123</v>
      </c>
      <c r="E150" s="839" t="s">
        <v>123</v>
      </c>
      <c r="F150" s="839" t="s">
        <v>123</v>
      </c>
      <c r="H150" s="884"/>
      <c r="I150" s="838"/>
      <c r="J150" s="838"/>
      <c r="K150" s="838"/>
      <c r="L150" s="838"/>
      <c r="M150" s="838"/>
      <c r="N150" s="838"/>
      <c r="O150" s="838"/>
      <c r="P150" s="838"/>
      <c r="Q150" s="838"/>
      <c r="R150" s="838"/>
      <c r="S150" s="838"/>
      <c r="T150" s="838"/>
      <c r="U150" s="838"/>
      <c r="V150" s="838"/>
      <c r="W150" s="838"/>
      <c r="X150" s="838"/>
      <c r="Z150" s="875" t="str">
        <f>IFERROR(__xludf.DUMMYFUNCTION("IF($CR150="""","""",IFERROR(query({CarteirasAtivos},""select Col4 where Col4 is not null and Col1 = '""&amp;$CR150&amp;""' limit 1"")*CU150,""NC""))"),"")</f>
        <v/>
      </c>
      <c r="AA150" s="876" t="str">
        <f>IFERROR(__xludf.DUMMYFUNCTION("IF($CR150="""","""",IFERROR(query({CarteirasAtivos},""select Col6 where Col4 is not null and Col1 = '""&amp;$CR150&amp;""' limit 1""),""NC""))"),"")</f>
        <v/>
      </c>
      <c r="AB150" s="877"/>
      <c r="AC150" s="878" t="s">
        <v>123</v>
      </c>
      <c r="AD150" s="845" t="str">
        <f>IF($CR150="","",IFERROR(VLOOKUP($CR150,ativos.!$C$3:$R308,MATCH("cotacao",ativos.!$C$2:CY$2,0),FALSE)*$CU$5,"atualizar"))</f>
        <v/>
      </c>
      <c r="AE150" s="846" t="str">
        <f>IFERROR(__xludf.DUMMYFUNCTION("IF($CR150="""","""",IFERROR(AVERAGE(query({CarteirasAtivos;CarteirasAtivosEncerrados},""select Col5 where Col5 is not null and Col1 = '""&amp;$CR150&amp;""' and Col10='SIM'""))*CU150,""NC""))"),"")</f>
        <v/>
      </c>
      <c r="AF150" s="847" t="str">
        <f t="shared" si="1"/>
        <v/>
      </c>
      <c r="AG150" s="442"/>
      <c r="AH150" s="848" t="str">
        <f>IFERROR(__xludf.DUMMYFUNCTION("IF($CR150="""","""",IFERROR(GOOGLEFINANCE($CR150,""low52"")*CU150,""-""))"),"")</f>
        <v/>
      </c>
      <c r="AI150" s="848" t="str">
        <f>IFERROR(__xludf.DUMMYFUNCTION("IF($CR150="""","""",IFERROR(GOOGLEFINANCE($CR150,""high52"")*CU150,""-""))"),"")</f>
        <v/>
      </c>
      <c r="AJ150" s="849" t="s">
        <v>123</v>
      </c>
      <c r="AK150" s="850" t="str">
        <f>IFERROR(__xludf.DUMMYFUNCTION("IF($CR150="""","""",IFERROR(GOOGLEFINANCE($CR150,""changepct"")/100,""-""))"),"")</f>
        <v/>
      </c>
      <c r="AL150" s="851" t="str">
        <f>IFERROR(__xludf.DUMMYFUNCTION("IF($CR150="""","""",IFERROR(($AD150/(QUERY(GOOGLEFINANCE($CR150,""price"",TODAY()-7),""SELECT Col2 label Col2 ''"")*$CU150)-1),""-""))"),"")</f>
        <v/>
      </c>
      <c r="AM150" s="851" t="str">
        <f>IFERROR(__xludf.DUMMYFUNCTION("IF($CR150="""","""",IFERROR(($AD150/(QUERY(GOOGLEFINANCE($CR150,""price"",TODAY()-14),""SELECT Col2 label Col2 ''"")*$CU150)-1),""-""))"),"")</f>
        <v/>
      </c>
      <c r="AN150" s="851" t="str">
        <f>IFERROR(__xludf.DUMMYFUNCTION("IF($CR150="""","""",IFERROR(($AD150/(QUERY(GOOGLEFINANCE($CR150,""price"",TODAY()-28),""SELECT Col2 label Col2 ''"")*$CU150)-1),""-""))"),"")</f>
        <v/>
      </c>
      <c r="AO150" s="851" t="str">
        <f>IFERROR(__xludf.DUMMYFUNCTION("IF($CR150="""","""",IFERROR(($AD150/(QUERY(GOOGLEFINANCE($CR150,""price"",TODAY()-$AQ$5),""SELECT Col2 label Col2 ''"")*$CU150)-1),""-""))"),"")</f>
        <v/>
      </c>
      <c r="AP150" s="852" t="str">
        <f>IFERROR(__xludf.DUMMYFUNCTION("IF($CR150="""","""",IFERROR(SPARKLINE(query(GOOGLEFINANCE($CR150,""price"",TODAY()-$AQ$5,TODAY(),1),""select Col2 label Col2 ''""),IF($AP$7=""Gráfico de barras"",{""charttype"",""column"";""highcolor"",""red""},{""chartype"",""line""}))))"),"")</f>
        <v/>
      </c>
      <c r="AQ150" s="144"/>
      <c r="AR150" s="853"/>
      <c r="AS150" s="854" t="str">
        <f>IF($CR150="","",IF(NOT('alocação'!$D$1),"off",IFERROR(VLOOKUP(CR150,BalanceAtivos,3,0),"NC")))</f>
        <v/>
      </c>
      <c r="AT150" s="855" t="str">
        <f>IF($CR150="","",IF(NOT('alocação'!$D$1),"off",IFERROR(VLOOKUP($CR150,BalanceAtivos,4,0)*$CU$5,"NC")))</f>
        <v/>
      </c>
      <c r="AU150" s="856" t="str">
        <f>IF($CR150="","",IF(NOT('alocação'!$D$1),"off",IFERROR(VLOOKUP($CR150,BalanceAtivos,5,0),"-")))</f>
        <v/>
      </c>
      <c r="AV150" s="856" t="str">
        <f>IF($CR150="","",IF(NOT('alocação'!$D$1),"off",IFERROR(VLOOKUP($CR150,BalanceAtivos,6,0),"-")))</f>
        <v/>
      </c>
      <c r="AW150" s="857"/>
      <c r="AX150" s="858" t="str">
        <f>IF($CR150="","",IF($E150="","SP",IFERROR(VLOOKUP($CR150,AtivosDados,MATCH("pm_atual",portfolio.!$A$3:CY$3,0),0)*$CU$5,0)))</f>
        <v/>
      </c>
      <c r="AY150" s="859" t="str">
        <f t="shared" si="2"/>
        <v/>
      </c>
      <c r="AZ150" s="858" t="str">
        <f>IF($CR150="","",IF($E150="","SP",SUMIF(portfolio.!$A$4:$A308,$CR150,portfolio.!$O$4:$O308)*$CU$5))</f>
        <v/>
      </c>
      <c r="BA150" s="858" t="str">
        <f>IF($CR150="","",IF($E150="","SP",SUMIF(portfolio.!$A$4:$A308,$CR150,portfolio.!$AN$4:$AN308)*$CU$5))</f>
        <v/>
      </c>
      <c r="BB150" s="860" t="str">
        <f>IF($CR150="","",IF($E150="","-",IFERROR($BA150/'portfólio'!$DG$63,"")))</f>
        <v/>
      </c>
      <c r="BC150" s="861" t="str">
        <f>IF($CR150="","",IF($E150="","-",SUMIF(portfolio.!$A$4:$A308,$CR150,portfolio.!$J$4:$J308)))</f>
        <v/>
      </c>
      <c r="BD150" s="862" t="str">
        <f>IF($CR150="","",IF($E150="","SP",SUMIF(portfolio.!$A$4:$A308,$CR150,portfolio.!$AQ$4:$AQ308)*$CU$5))</f>
        <v/>
      </c>
      <c r="BE150" s="850" t="str">
        <f t="shared" si="3"/>
        <v/>
      </c>
      <c r="BF150" s="862" t="str">
        <f>IF($CR150="","",IF($E150="","-",SUMIF(portfolio.!$A$4:$A308,$CR150,portfolio.!$AX$4:$AX308)*$CU$5))</f>
        <v/>
      </c>
      <c r="BG150" s="545"/>
      <c r="BH150" s="879" t="s">
        <v>123</v>
      </c>
      <c r="BI150" s="880" t="s">
        <v>123</v>
      </c>
      <c r="BJ150" s="863" t="str">
        <f>IFERROR(__xludf.DUMMYFUNCTION("IF(NOT($BL$4),"""",IF($CR150="""","""",IFERROR(query({GOOGLEFINANCE($CR150,""price"",IF($BI150=""-"",TODAY()-($AQ$5+5),$BI150),TODAY()-1)},""Select max(Col2) where Col1 is not null label max(Col2) ''"")*CU150,""-"")))"),"")</f>
        <v/>
      </c>
      <c r="BK150" s="881" t="s">
        <v>123</v>
      </c>
      <c r="BL150" s="882" t="s">
        <v>123</v>
      </c>
      <c r="BM150" s="442"/>
      <c r="BN150" s="867" t="str">
        <f>IFERROR(__xludf.DUMMYFUNCTION("IF(CR150="""","""",IF(OR(C150=""AÇÃO"",C150=""BDR""),IFERROR(QUERY({fundamentus.!$A$3:$U308},$CX$67&amp;"" where Col1='""&amp;CR150&amp;""' limit 1"",0)),IF(C150=""FII"",IFERROR(QUERY({fundsexplorer.!$A$2:$Z308},$CY$67&amp;"" where Col1='""&amp;CR150&amp;""' limit 1"",0)),""""))"&amp;")"),"")</f>
        <v/>
      </c>
      <c r="BO150" s="867"/>
      <c r="BP150" s="867"/>
      <c r="BQ150" s="867"/>
      <c r="BR150" s="867"/>
      <c r="BS150" s="867"/>
      <c r="BT150" s="867"/>
      <c r="BU150" s="442"/>
      <c r="BV150" s="868" t="str">
        <f>IFERROR(__xludf.DUMMYFUNCTION("IF(OR(C150=""AÇÃO"",C150=""BDR""),IFERROR(GOOGLEFINANCE(CONCAT(""BVMF:"",CR150), ""marketcap"")/1000000,""NC""),"""")"),"")</f>
        <v/>
      </c>
      <c r="BW150" s="869" t="s">
        <v>123</v>
      </c>
      <c r="BX150" s="870" t="s">
        <v>123</v>
      </c>
      <c r="BY150" s="868" t="s">
        <v>123</v>
      </c>
      <c r="BZ150" s="870" t="s">
        <v>123</v>
      </c>
      <c r="CA150" s="868" t="s">
        <v>123</v>
      </c>
      <c r="CB150" s="868" t="s">
        <v>123</v>
      </c>
      <c r="CC150" s="868" t="s">
        <v>123</v>
      </c>
      <c r="CD150" s="868" t="str">
        <f>IFERROR(__xludf.DUMMYFUNCTION("IF(OR(C150=""AÇÃO"",C150=""BDR""),IFERROR(GOOGLEFINANCE(CONCAT(""BVMF:"",CR150), ""volumeavg"")/1000000,""NC""),"""")"),"")</f>
        <v/>
      </c>
      <c r="CE150" s="870" t="s">
        <v>123</v>
      </c>
      <c r="CF150" s="870" t="s">
        <v>123</v>
      </c>
      <c r="CG150" s="870" t="str">
        <f>IFERROR(__xludf.DUMMYFUNCTION("IF(OR(C150=""AÇÃO"",C150=""BDR""),IF(CF150=0,""SEM DY"",IFERROR(ImportXML(CONCAT(""http://www.guiainvest.com.br/raiox/default.aspx?sigla="",$CR150),""//*[@id='lbPayoutAtual']""),""NC"")),"""")"),"")</f>
        <v/>
      </c>
      <c r="CH150" s="870" t="s">
        <v>123</v>
      </c>
      <c r="CI150" s="545"/>
      <c r="CJ150" s="871" t="str">
        <f>IFERROR(__xludf.DUMMYFUNCTION("IF(OR(C150=""AÇÃO"",C150=""BDR""),IFERROR(GOOGLEFINANCE(CONCAT(""BVMF:"",CR150), ""eps""),""NC""),"""")"),"")</f>
        <v/>
      </c>
      <c r="CK150" s="442"/>
      <c r="CL150" s="871" t="str">
        <f>IFERROR(__xludf.DUMMYFUNCTION("IF(NOT($BL$4),"""",IF($CR150="""","""",IF($BC150="""","""",IFERROR(query({op.normal!$B$5:$F308},""select Col5, toDate(Col2) where Col1 =  '""&amp;$CR150&amp;""' and Col4 &gt; 0 and ((Col3 is null) or (Col3 = 'C')) and Col2 &gt;= date '""&amp;TEXT(TODAY()-$AQ$5,""yyyy-mm-dd"&amp;""")&amp;""' order by Col2 desc limit 1 label toDate(Col2) ''"")))))"),"")</f>
        <v/>
      </c>
      <c r="CM150" s="872"/>
      <c r="CN150" s="883" t="s">
        <v>123</v>
      </c>
      <c r="CO150" s="874" t="s">
        <v>123</v>
      </c>
      <c r="CP150" s="766"/>
      <c r="CQ150" s="791"/>
      <c r="CR150" s="791"/>
      <c r="CT150" s="791" t="s">
        <v>123</v>
      </c>
      <c r="CU150" s="791" t="str">
        <f>IFERROR(__xludf.DUMMYFUNCTION("IF(CR150="""","""",IF(CT150=$C$4,1,GOOGLEFINANCE(CT150&amp;$C$4)))"),"")</f>
        <v/>
      </c>
    </row>
    <row r="151" ht="22.5" customHeight="1">
      <c r="A151" s="837">
        <v>143.0</v>
      </c>
      <c r="B151" s="838" t="s">
        <v>123</v>
      </c>
      <c r="C151" s="838" t="s">
        <v>123</v>
      </c>
      <c r="D151" s="839" t="s">
        <v>123</v>
      </c>
      <c r="E151" s="839" t="s">
        <v>123</v>
      </c>
      <c r="F151" s="839" t="s">
        <v>123</v>
      </c>
      <c r="H151" s="884"/>
      <c r="I151" s="838"/>
      <c r="J151" s="838"/>
      <c r="K151" s="838"/>
      <c r="L151" s="838"/>
      <c r="M151" s="838"/>
      <c r="N151" s="838"/>
      <c r="O151" s="838"/>
      <c r="P151" s="838"/>
      <c r="Q151" s="838"/>
      <c r="R151" s="838"/>
      <c r="S151" s="838"/>
      <c r="T151" s="838"/>
      <c r="U151" s="838"/>
      <c r="V151" s="838"/>
      <c r="W151" s="838"/>
      <c r="X151" s="838"/>
      <c r="Z151" s="875" t="str">
        <f>IFERROR(__xludf.DUMMYFUNCTION("IF($CR151="""","""",IFERROR(query({CarteirasAtivos},""select Col4 where Col4 is not null and Col1 = '""&amp;$CR151&amp;""' limit 1"")*CU151,""NC""))"),"")</f>
        <v/>
      </c>
      <c r="AA151" s="876" t="str">
        <f>IFERROR(__xludf.DUMMYFUNCTION("IF($CR151="""","""",IFERROR(query({CarteirasAtivos},""select Col6 where Col4 is not null and Col1 = '""&amp;$CR151&amp;""' limit 1""),""NC""))"),"")</f>
        <v/>
      </c>
      <c r="AB151" s="877"/>
      <c r="AC151" s="878" t="s">
        <v>123</v>
      </c>
      <c r="AD151" s="845" t="str">
        <f>IF($CR151="","",IFERROR(VLOOKUP($CR151,ativos.!$C$3:$R308,MATCH("cotacao",ativos.!$C$2:CY$2,0),FALSE)*$CU$5,"atualizar"))</f>
        <v/>
      </c>
      <c r="AE151" s="846" t="str">
        <f>IFERROR(__xludf.DUMMYFUNCTION("IF($CR151="""","""",IFERROR(AVERAGE(query({CarteirasAtivos;CarteirasAtivosEncerrados},""select Col5 where Col5 is not null and Col1 = '""&amp;$CR151&amp;""' and Col10='SIM'""))*CU151,""NC""))"),"")</f>
        <v/>
      </c>
      <c r="AF151" s="847" t="str">
        <f t="shared" si="1"/>
        <v/>
      </c>
      <c r="AG151" s="442"/>
      <c r="AH151" s="848" t="str">
        <f>IFERROR(__xludf.DUMMYFUNCTION("IF($CR151="""","""",IFERROR(GOOGLEFINANCE($CR151,""low52"")*CU151,""-""))"),"")</f>
        <v/>
      </c>
      <c r="AI151" s="848" t="str">
        <f>IFERROR(__xludf.DUMMYFUNCTION("IF($CR151="""","""",IFERROR(GOOGLEFINANCE($CR151,""high52"")*CU151,""-""))"),"")</f>
        <v/>
      </c>
      <c r="AJ151" s="849" t="s">
        <v>123</v>
      </c>
      <c r="AK151" s="850" t="str">
        <f>IFERROR(__xludf.DUMMYFUNCTION("IF($CR151="""","""",IFERROR(GOOGLEFINANCE($CR151,""changepct"")/100,""-""))"),"")</f>
        <v/>
      </c>
      <c r="AL151" s="851" t="str">
        <f>IFERROR(__xludf.DUMMYFUNCTION("IF($CR151="""","""",IFERROR(($AD151/(QUERY(GOOGLEFINANCE($CR151,""price"",TODAY()-7),""SELECT Col2 label Col2 ''"")*$CU151)-1),""-""))"),"")</f>
        <v/>
      </c>
      <c r="AM151" s="851" t="str">
        <f>IFERROR(__xludf.DUMMYFUNCTION("IF($CR151="""","""",IFERROR(($AD151/(QUERY(GOOGLEFINANCE($CR151,""price"",TODAY()-14),""SELECT Col2 label Col2 ''"")*$CU151)-1),""-""))"),"")</f>
        <v/>
      </c>
      <c r="AN151" s="851" t="str">
        <f>IFERROR(__xludf.DUMMYFUNCTION("IF($CR151="""","""",IFERROR(($AD151/(QUERY(GOOGLEFINANCE($CR151,""price"",TODAY()-28),""SELECT Col2 label Col2 ''"")*$CU151)-1),""-""))"),"")</f>
        <v/>
      </c>
      <c r="AO151" s="851" t="str">
        <f>IFERROR(__xludf.DUMMYFUNCTION("IF($CR151="""","""",IFERROR(($AD151/(QUERY(GOOGLEFINANCE($CR151,""price"",TODAY()-$AQ$5),""SELECT Col2 label Col2 ''"")*$CU151)-1),""-""))"),"")</f>
        <v/>
      </c>
      <c r="AP151" s="852" t="str">
        <f>IFERROR(__xludf.DUMMYFUNCTION("IF($CR151="""","""",IFERROR(SPARKLINE(query(GOOGLEFINANCE($CR151,""price"",TODAY()-$AQ$5,TODAY(),1),""select Col2 label Col2 ''""),IF($AP$7=""Gráfico de barras"",{""charttype"",""column"";""highcolor"",""red""},{""chartype"",""line""}))))"),"")</f>
        <v/>
      </c>
      <c r="AQ151" s="144"/>
      <c r="AR151" s="853"/>
      <c r="AS151" s="854" t="str">
        <f>IF($CR151="","",IF(NOT('alocação'!$D$1),"off",IFERROR(VLOOKUP(CR151,BalanceAtivos,3,0),"NC")))</f>
        <v/>
      </c>
      <c r="AT151" s="855" t="str">
        <f>IF($CR151="","",IF(NOT('alocação'!$D$1),"off",IFERROR(VLOOKUP($CR151,BalanceAtivos,4,0)*$CU$5,"NC")))</f>
        <v/>
      </c>
      <c r="AU151" s="856" t="str">
        <f>IF($CR151="","",IF(NOT('alocação'!$D$1),"off",IFERROR(VLOOKUP($CR151,BalanceAtivos,5,0),"-")))</f>
        <v/>
      </c>
      <c r="AV151" s="856" t="str">
        <f>IF($CR151="","",IF(NOT('alocação'!$D$1),"off",IFERROR(VLOOKUP($CR151,BalanceAtivos,6,0),"-")))</f>
        <v/>
      </c>
      <c r="AW151" s="857"/>
      <c r="AX151" s="858" t="str">
        <f>IF($CR151="","",IF($E151="","SP",IFERROR(VLOOKUP($CR151,AtivosDados,MATCH("pm_atual",portfolio.!$A$3:CY$3,0),0)*$CU$5,0)))</f>
        <v/>
      </c>
      <c r="AY151" s="859" t="str">
        <f t="shared" si="2"/>
        <v/>
      </c>
      <c r="AZ151" s="858" t="str">
        <f>IF($CR151="","",IF($E151="","SP",SUMIF(portfolio.!$A$4:$A308,$CR151,portfolio.!$O$4:$O308)*$CU$5))</f>
        <v/>
      </c>
      <c r="BA151" s="858" t="str">
        <f>IF($CR151="","",IF($E151="","SP",SUMIF(portfolio.!$A$4:$A308,$CR151,portfolio.!$AN$4:$AN308)*$CU$5))</f>
        <v/>
      </c>
      <c r="BB151" s="860" t="str">
        <f>IF($CR151="","",IF($E151="","-",IFERROR($BA151/'portfólio'!$DG$63,"")))</f>
        <v/>
      </c>
      <c r="BC151" s="861" t="str">
        <f>IF($CR151="","",IF($E151="","-",SUMIF(portfolio.!$A$4:$A308,$CR151,portfolio.!$J$4:$J308)))</f>
        <v/>
      </c>
      <c r="BD151" s="862" t="str">
        <f>IF($CR151="","",IF($E151="","SP",SUMIF(portfolio.!$A$4:$A308,$CR151,portfolio.!$AQ$4:$AQ308)*$CU$5))</f>
        <v/>
      </c>
      <c r="BE151" s="850" t="str">
        <f t="shared" si="3"/>
        <v/>
      </c>
      <c r="BF151" s="862" t="str">
        <f>IF($CR151="","",IF($E151="","-",SUMIF(portfolio.!$A$4:$A308,$CR151,portfolio.!$AX$4:$AX308)*$CU$5))</f>
        <v/>
      </c>
      <c r="BG151" s="545"/>
      <c r="BH151" s="879" t="s">
        <v>123</v>
      </c>
      <c r="BI151" s="880" t="s">
        <v>123</v>
      </c>
      <c r="BJ151" s="863" t="str">
        <f>IFERROR(__xludf.DUMMYFUNCTION("IF(NOT($BL$4),"""",IF($CR151="""","""",IFERROR(query({GOOGLEFINANCE($CR151,""price"",IF($BI151=""-"",TODAY()-($AQ$5+5),$BI151),TODAY()-1)},""Select max(Col2) where Col1 is not null label max(Col2) ''"")*CU151,""-"")))"),"")</f>
        <v/>
      </c>
      <c r="BK151" s="881" t="s">
        <v>123</v>
      </c>
      <c r="BL151" s="882" t="s">
        <v>123</v>
      </c>
      <c r="BM151" s="442"/>
      <c r="BN151" s="867" t="str">
        <f>IFERROR(__xludf.DUMMYFUNCTION("IF(CR151="""","""",IF(OR(C151=""AÇÃO"",C151=""BDR""),IFERROR(QUERY({fundamentus.!$A$3:$U308},$CX$67&amp;"" where Col1='""&amp;CR151&amp;""' limit 1"",0)),IF(C151=""FII"",IFERROR(QUERY({fundsexplorer.!$A$2:$Z308},$CY$67&amp;"" where Col1='""&amp;CR151&amp;""' limit 1"",0)),""""))"&amp;")"),"")</f>
        <v/>
      </c>
      <c r="BO151" s="867"/>
      <c r="BP151" s="867"/>
      <c r="BQ151" s="867"/>
      <c r="BR151" s="867"/>
      <c r="BS151" s="867"/>
      <c r="BT151" s="867"/>
      <c r="BU151" s="442"/>
      <c r="BV151" s="868" t="str">
        <f>IFERROR(__xludf.DUMMYFUNCTION("IF(OR(C151=""AÇÃO"",C151=""BDR""),IFERROR(GOOGLEFINANCE(CONCAT(""BVMF:"",CR151), ""marketcap"")/1000000,""NC""),"""")"),"")</f>
        <v/>
      </c>
      <c r="BW151" s="869" t="s">
        <v>123</v>
      </c>
      <c r="BX151" s="870" t="s">
        <v>123</v>
      </c>
      <c r="BY151" s="868" t="s">
        <v>123</v>
      </c>
      <c r="BZ151" s="870" t="s">
        <v>123</v>
      </c>
      <c r="CA151" s="868" t="s">
        <v>123</v>
      </c>
      <c r="CB151" s="868" t="s">
        <v>123</v>
      </c>
      <c r="CC151" s="868" t="s">
        <v>123</v>
      </c>
      <c r="CD151" s="868" t="str">
        <f>IFERROR(__xludf.DUMMYFUNCTION("IF(OR(C151=""AÇÃO"",C151=""BDR""),IFERROR(GOOGLEFINANCE(CONCAT(""BVMF:"",CR151), ""volumeavg"")/1000000,""NC""),"""")"),"")</f>
        <v/>
      </c>
      <c r="CE151" s="870" t="s">
        <v>123</v>
      </c>
      <c r="CF151" s="870" t="s">
        <v>123</v>
      </c>
      <c r="CG151" s="870" t="str">
        <f>IFERROR(__xludf.DUMMYFUNCTION("IF(OR(C151=""AÇÃO"",C151=""BDR""),IF(CF151=0,""SEM DY"",IFERROR(ImportXML(CONCAT(""http://www.guiainvest.com.br/raiox/default.aspx?sigla="",$CR151),""//*[@id='lbPayoutAtual']""),""NC"")),"""")"),"")</f>
        <v/>
      </c>
      <c r="CH151" s="870" t="s">
        <v>123</v>
      </c>
      <c r="CI151" s="545"/>
      <c r="CJ151" s="871" t="str">
        <f>IFERROR(__xludf.DUMMYFUNCTION("IF(OR(C151=""AÇÃO"",C151=""BDR""),IFERROR(GOOGLEFINANCE(CONCAT(""BVMF:"",CR151), ""eps""),""NC""),"""")"),"")</f>
        <v/>
      </c>
      <c r="CK151" s="442"/>
      <c r="CL151" s="871" t="str">
        <f>IFERROR(__xludf.DUMMYFUNCTION("IF(NOT($BL$4),"""",IF($CR151="""","""",IF($BC151="""","""",IFERROR(query({op.normal!$B$5:$F308},""select Col5, toDate(Col2) where Col1 =  '""&amp;$CR151&amp;""' and Col4 &gt; 0 and ((Col3 is null) or (Col3 = 'C')) and Col2 &gt;= date '""&amp;TEXT(TODAY()-$AQ$5,""yyyy-mm-dd"&amp;""")&amp;""' order by Col2 desc limit 1 label toDate(Col2) ''"")))))"),"")</f>
        <v/>
      </c>
      <c r="CM151" s="872"/>
      <c r="CN151" s="883" t="s">
        <v>123</v>
      </c>
      <c r="CO151" s="874" t="s">
        <v>123</v>
      </c>
      <c r="CP151" s="766"/>
      <c r="CQ151" s="791"/>
      <c r="CR151" s="791"/>
      <c r="CT151" s="791" t="s">
        <v>123</v>
      </c>
      <c r="CU151" s="791" t="str">
        <f>IFERROR(__xludf.DUMMYFUNCTION("IF(CR151="""","""",IF(CT151=$C$4,1,GOOGLEFINANCE(CT151&amp;$C$4)))"),"")</f>
        <v/>
      </c>
    </row>
    <row r="152" ht="22.5" customHeight="1">
      <c r="A152" s="837">
        <v>144.0</v>
      </c>
      <c r="B152" s="838" t="s">
        <v>123</v>
      </c>
      <c r="C152" s="838" t="s">
        <v>123</v>
      </c>
      <c r="D152" s="839" t="s">
        <v>123</v>
      </c>
      <c r="E152" s="839" t="s">
        <v>123</v>
      </c>
      <c r="F152" s="839" t="s">
        <v>123</v>
      </c>
      <c r="H152" s="884"/>
      <c r="I152" s="838"/>
      <c r="J152" s="838"/>
      <c r="K152" s="838"/>
      <c r="L152" s="838"/>
      <c r="M152" s="838"/>
      <c r="N152" s="838"/>
      <c r="O152" s="838"/>
      <c r="P152" s="838"/>
      <c r="Q152" s="838"/>
      <c r="R152" s="838"/>
      <c r="S152" s="838"/>
      <c r="T152" s="838"/>
      <c r="U152" s="838"/>
      <c r="V152" s="838"/>
      <c r="W152" s="838"/>
      <c r="X152" s="838"/>
      <c r="Z152" s="875" t="str">
        <f>IFERROR(__xludf.DUMMYFUNCTION("IF($CR152="""","""",IFERROR(query({CarteirasAtivos},""select Col4 where Col4 is not null and Col1 = '""&amp;$CR152&amp;""' limit 1"")*CU152,""NC""))"),"")</f>
        <v/>
      </c>
      <c r="AA152" s="876" t="str">
        <f>IFERROR(__xludf.DUMMYFUNCTION("IF($CR152="""","""",IFERROR(query({CarteirasAtivos},""select Col6 where Col4 is not null and Col1 = '""&amp;$CR152&amp;""' limit 1""),""NC""))"),"")</f>
        <v/>
      </c>
      <c r="AB152" s="877"/>
      <c r="AC152" s="878" t="s">
        <v>123</v>
      </c>
      <c r="AD152" s="845" t="str">
        <f>IF($CR152="","",IFERROR(VLOOKUP($CR152,ativos.!$C$3:$R308,MATCH("cotacao",ativos.!$C$2:CY$2,0),FALSE)*$CU$5,"atualizar"))</f>
        <v/>
      </c>
      <c r="AE152" s="846" t="str">
        <f>IFERROR(__xludf.DUMMYFUNCTION("IF($CR152="""","""",IFERROR(AVERAGE(query({CarteirasAtivos;CarteirasAtivosEncerrados},""select Col5 where Col5 is not null and Col1 = '""&amp;$CR152&amp;""' and Col10='SIM'""))*CU152,""NC""))"),"")</f>
        <v/>
      </c>
      <c r="AF152" s="847" t="str">
        <f t="shared" si="1"/>
        <v/>
      </c>
      <c r="AG152" s="442"/>
      <c r="AH152" s="848" t="str">
        <f>IFERROR(__xludf.DUMMYFUNCTION("IF($CR152="""","""",IFERROR(GOOGLEFINANCE($CR152,""low52"")*CU152,""-""))"),"")</f>
        <v/>
      </c>
      <c r="AI152" s="848" t="str">
        <f>IFERROR(__xludf.DUMMYFUNCTION("IF($CR152="""","""",IFERROR(GOOGLEFINANCE($CR152,""high52"")*CU152,""-""))"),"")</f>
        <v/>
      </c>
      <c r="AJ152" s="849" t="s">
        <v>123</v>
      </c>
      <c r="AK152" s="850" t="str">
        <f>IFERROR(__xludf.DUMMYFUNCTION("IF($CR152="""","""",IFERROR(GOOGLEFINANCE($CR152,""changepct"")/100,""-""))"),"")</f>
        <v/>
      </c>
      <c r="AL152" s="851" t="str">
        <f>IFERROR(__xludf.DUMMYFUNCTION("IF($CR152="""","""",IFERROR(($AD152/(QUERY(GOOGLEFINANCE($CR152,""price"",TODAY()-7),""SELECT Col2 label Col2 ''"")*$CU152)-1),""-""))"),"")</f>
        <v/>
      </c>
      <c r="AM152" s="851" t="str">
        <f>IFERROR(__xludf.DUMMYFUNCTION("IF($CR152="""","""",IFERROR(($AD152/(QUERY(GOOGLEFINANCE($CR152,""price"",TODAY()-14),""SELECT Col2 label Col2 ''"")*$CU152)-1),""-""))"),"")</f>
        <v/>
      </c>
      <c r="AN152" s="851" t="str">
        <f>IFERROR(__xludf.DUMMYFUNCTION("IF($CR152="""","""",IFERROR(($AD152/(QUERY(GOOGLEFINANCE($CR152,""price"",TODAY()-28),""SELECT Col2 label Col2 ''"")*$CU152)-1),""-""))"),"")</f>
        <v/>
      </c>
      <c r="AO152" s="851" t="str">
        <f>IFERROR(__xludf.DUMMYFUNCTION("IF($CR152="""","""",IFERROR(($AD152/(QUERY(GOOGLEFINANCE($CR152,""price"",TODAY()-$AQ$5),""SELECT Col2 label Col2 ''"")*$CU152)-1),""-""))"),"")</f>
        <v/>
      </c>
      <c r="AP152" s="852" t="str">
        <f>IFERROR(__xludf.DUMMYFUNCTION("IF($CR152="""","""",IFERROR(SPARKLINE(query(GOOGLEFINANCE($CR152,""price"",TODAY()-$AQ$5,TODAY(),1),""select Col2 label Col2 ''""),IF($AP$7=""Gráfico de barras"",{""charttype"",""column"";""highcolor"",""red""},{""chartype"",""line""}))))"),"")</f>
        <v/>
      </c>
      <c r="AQ152" s="144"/>
      <c r="AR152" s="853"/>
      <c r="AS152" s="854" t="str">
        <f>IF($CR152="","",IF(NOT('alocação'!$D$1),"off",IFERROR(VLOOKUP(CR152,BalanceAtivos,3,0),"NC")))</f>
        <v/>
      </c>
      <c r="AT152" s="855" t="str">
        <f>IF($CR152="","",IF(NOT('alocação'!$D$1),"off",IFERROR(VLOOKUP($CR152,BalanceAtivos,4,0)*$CU$5,"NC")))</f>
        <v/>
      </c>
      <c r="AU152" s="856" t="str">
        <f>IF($CR152="","",IF(NOT('alocação'!$D$1),"off",IFERROR(VLOOKUP($CR152,BalanceAtivos,5,0),"-")))</f>
        <v/>
      </c>
      <c r="AV152" s="856" t="str">
        <f>IF($CR152="","",IF(NOT('alocação'!$D$1),"off",IFERROR(VLOOKUP($CR152,BalanceAtivos,6,0),"-")))</f>
        <v/>
      </c>
      <c r="AW152" s="857"/>
      <c r="AX152" s="858" t="str">
        <f>IF($CR152="","",IF($E152="","SP",IFERROR(VLOOKUP($CR152,AtivosDados,MATCH("pm_atual",portfolio.!$A$3:CY$3,0),0)*$CU$5,0)))</f>
        <v/>
      </c>
      <c r="AY152" s="859" t="str">
        <f t="shared" si="2"/>
        <v/>
      </c>
      <c r="AZ152" s="858" t="str">
        <f>IF($CR152="","",IF($E152="","SP",SUMIF(portfolio.!$A$4:$A308,$CR152,portfolio.!$O$4:$O308)*$CU$5))</f>
        <v/>
      </c>
      <c r="BA152" s="858" t="str">
        <f>IF($CR152="","",IF($E152="","SP",SUMIF(portfolio.!$A$4:$A308,$CR152,portfolio.!$AN$4:$AN308)*$CU$5))</f>
        <v/>
      </c>
      <c r="BB152" s="860" t="str">
        <f>IF($CR152="","",IF($E152="","-",IFERROR($BA152/'portfólio'!$DG$63,"")))</f>
        <v/>
      </c>
      <c r="BC152" s="861" t="str">
        <f>IF($CR152="","",IF($E152="","-",SUMIF(portfolio.!$A$4:$A308,$CR152,portfolio.!$J$4:$J308)))</f>
        <v/>
      </c>
      <c r="BD152" s="862" t="str">
        <f>IF($CR152="","",IF($E152="","SP",SUMIF(portfolio.!$A$4:$A308,$CR152,portfolio.!$AQ$4:$AQ308)*$CU$5))</f>
        <v/>
      </c>
      <c r="BE152" s="850" t="str">
        <f t="shared" si="3"/>
        <v/>
      </c>
      <c r="BF152" s="862" t="str">
        <f>IF($CR152="","",IF($E152="","-",SUMIF(portfolio.!$A$4:$A308,$CR152,portfolio.!$AX$4:$AX308)*$CU$5))</f>
        <v/>
      </c>
      <c r="BG152" s="545"/>
      <c r="BH152" s="879" t="s">
        <v>123</v>
      </c>
      <c r="BI152" s="880" t="s">
        <v>123</v>
      </c>
      <c r="BJ152" s="863" t="str">
        <f>IFERROR(__xludf.DUMMYFUNCTION("IF(NOT($BL$4),"""",IF($CR152="""","""",IFERROR(query({GOOGLEFINANCE($CR152,""price"",IF($BI152=""-"",TODAY()-($AQ$5+5),$BI152),TODAY()-1)},""Select max(Col2) where Col1 is not null label max(Col2) ''"")*CU152,""-"")))"),"")</f>
        <v/>
      </c>
      <c r="BK152" s="881" t="s">
        <v>123</v>
      </c>
      <c r="BL152" s="882" t="s">
        <v>123</v>
      </c>
      <c r="BM152" s="442"/>
      <c r="BN152" s="867" t="str">
        <f>IFERROR(__xludf.DUMMYFUNCTION("IF(CR152="""","""",IF(OR(C152=""AÇÃO"",C152=""BDR""),IFERROR(QUERY({fundamentus.!$A$3:$U308},$CX$67&amp;"" where Col1='""&amp;CR152&amp;""' limit 1"",0)),IF(C152=""FII"",IFERROR(QUERY({fundsexplorer.!$A$2:$Z308},$CY$67&amp;"" where Col1='""&amp;CR152&amp;""' limit 1"",0)),""""))"&amp;")"),"")</f>
        <v/>
      </c>
      <c r="BO152" s="867"/>
      <c r="BP152" s="867"/>
      <c r="BQ152" s="867"/>
      <c r="BR152" s="867"/>
      <c r="BS152" s="867"/>
      <c r="BT152" s="867"/>
      <c r="BU152" s="442"/>
      <c r="BV152" s="868" t="str">
        <f>IFERROR(__xludf.DUMMYFUNCTION("IF(OR(C152=""AÇÃO"",C152=""BDR""),IFERROR(GOOGLEFINANCE(CONCAT(""BVMF:"",CR152), ""marketcap"")/1000000,""NC""),"""")"),"")</f>
        <v/>
      </c>
      <c r="BW152" s="869" t="s">
        <v>123</v>
      </c>
      <c r="BX152" s="870" t="s">
        <v>123</v>
      </c>
      <c r="BY152" s="868" t="s">
        <v>123</v>
      </c>
      <c r="BZ152" s="870" t="s">
        <v>123</v>
      </c>
      <c r="CA152" s="868" t="s">
        <v>123</v>
      </c>
      <c r="CB152" s="868" t="s">
        <v>123</v>
      </c>
      <c r="CC152" s="868" t="s">
        <v>123</v>
      </c>
      <c r="CD152" s="868" t="str">
        <f>IFERROR(__xludf.DUMMYFUNCTION("IF(OR(C152=""AÇÃO"",C152=""BDR""),IFERROR(GOOGLEFINANCE(CONCAT(""BVMF:"",CR152), ""volumeavg"")/1000000,""NC""),"""")"),"")</f>
        <v/>
      </c>
      <c r="CE152" s="870" t="s">
        <v>123</v>
      </c>
      <c r="CF152" s="870" t="s">
        <v>123</v>
      </c>
      <c r="CG152" s="870" t="str">
        <f>IFERROR(__xludf.DUMMYFUNCTION("IF(OR(C152=""AÇÃO"",C152=""BDR""),IF(CF152=0,""SEM DY"",IFERROR(ImportXML(CONCAT(""http://www.guiainvest.com.br/raiox/default.aspx?sigla="",$CR152),""//*[@id='lbPayoutAtual']""),""NC"")),"""")"),"")</f>
        <v/>
      </c>
      <c r="CH152" s="870" t="s">
        <v>123</v>
      </c>
      <c r="CI152" s="545"/>
      <c r="CJ152" s="871" t="str">
        <f>IFERROR(__xludf.DUMMYFUNCTION("IF(OR(C152=""AÇÃO"",C152=""BDR""),IFERROR(GOOGLEFINANCE(CONCAT(""BVMF:"",CR152), ""eps""),""NC""),"""")"),"")</f>
        <v/>
      </c>
      <c r="CK152" s="442"/>
      <c r="CL152" s="871" t="str">
        <f>IFERROR(__xludf.DUMMYFUNCTION("IF(NOT($BL$4),"""",IF($CR152="""","""",IF($BC152="""","""",IFERROR(query({op.normal!$B$5:$F308},""select Col5, toDate(Col2) where Col1 =  '""&amp;$CR152&amp;""' and Col4 &gt; 0 and ((Col3 is null) or (Col3 = 'C')) and Col2 &gt;= date '""&amp;TEXT(TODAY()-$AQ$5,""yyyy-mm-dd"&amp;""")&amp;""' order by Col2 desc limit 1 label toDate(Col2) ''"")))))"),"")</f>
        <v/>
      </c>
      <c r="CM152" s="872"/>
      <c r="CN152" s="883" t="s">
        <v>123</v>
      </c>
      <c r="CO152" s="874" t="s">
        <v>123</v>
      </c>
      <c r="CP152" s="766"/>
      <c r="CQ152" s="791"/>
      <c r="CR152" s="791"/>
      <c r="CT152" s="791" t="s">
        <v>123</v>
      </c>
      <c r="CU152" s="791" t="str">
        <f>IFERROR(__xludf.DUMMYFUNCTION("IF(CR152="""","""",IF(CT152=$C$4,1,GOOGLEFINANCE(CT152&amp;$C$4)))"),"")</f>
        <v/>
      </c>
    </row>
    <row r="153" ht="22.5" customHeight="1">
      <c r="A153" s="837">
        <v>145.0</v>
      </c>
      <c r="B153" s="838" t="s">
        <v>123</v>
      </c>
      <c r="C153" s="838" t="s">
        <v>123</v>
      </c>
      <c r="D153" s="839" t="s">
        <v>123</v>
      </c>
      <c r="E153" s="839" t="s">
        <v>123</v>
      </c>
      <c r="F153" s="839" t="s">
        <v>123</v>
      </c>
      <c r="H153" s="884"/>
      <c r="I153" s="838"/>
      <c r="J153" s="838"/>
      <c r="K153" s="838"/>
      <c r="L153" s="838"/>
      <c r="M153" s="838"/>
      <c r="N153" s="838"/>
      <c r="O153" s="838"/>
      <c r="P153" s="838"/>
      <c r="Q153" s="838"/>
      <c r="R153" s="838"/>
      <c r="S153" s="838"/>
      <c r="T153" s="838"/>
      <c r="U153" s="838"/>
      <c r="V153" s="838"/>
      <c r="W153" s="838"/>
      <c r="X153" s="838"/>
      <c r="Z153" s="875" t="str">
        <f>IFERROR(__xludf.DUMMYFUNCTION("IF($CR153="""","""",IFERROR(query({CarteirasAtivos},""select Col4 where Col4 is not null and Col1 = '""&amp;$CR153&amp;""' limit 1"")*CU153,""NC""))"),"")</f>
        <v/>
      </c>
      <c r="AA153" s="876" t="str">
        <f>IFERROR(__xludf.DUMMYFUNCTION("IF($CR153="""","""",IFERROR(query({CarteirasAtivos},""select Col6 where Col4 is not null and Col1 = '""&amp;$CR153&amp;""' limit 1""),""NC""))"),"")</f>
        <v/>
      </c>
      <c r="AB153" s="877"/>
      <c r="AC153" s="878" t="s">
        <v>123</v>
      </c>
      <c r="AD153" s="845" t="str">
        <f>IF($CR153="","",IFERROR(VLOOKUP($CR153,ativos.!$C$3:$R308,MATCH("cotacao",ativos.!$C$2:CY$2,0),FALSE)*$CU$5,"atualizar"))</f>
        <v/>
      </c>
      <c r="AE153" s="846" t="str">
        <f>IFERROR(__xludf.DUMMYFUNCTION("IF($CR153="""","""",IFERROR(AVERAGE(query({CarteirasAtivos;CarteirasAtivosEncerrados},""select Col5 where Col5 is not null and Col1 = '""&amp;$CR153&amp;""' and Col10='SIM'""))*CU153,""NC""))"),"")</f>
        <v/>
      </c>
      <c r="AF153" s="847" t="str">
        <f t="shared" si="1"/>
        <v/>
      </c>
      <c r="AG153" s="442"/>
      <c r="AH153" s="848" t="str">
        <f>IFERROR(__xludf.DUMMYFUNCTION("IF($CR153="""","""",IFERROR(GOOGLEFINANCE($CR153,""low52"")*CU153,""-""))"),"")</f>
        <v/>
      </c>
      <c r="AI153" s="848" t="str">
        <f>IFERROR(__xludf.DUMMYFUNCTION("IF($CR153="""","""",IFERROR(GOOGLEFINANCE($CR153,""high52"")*CU153,""-""))"),"")</f>
        <v/>
      </c>
      <c r="AJ153" s="849" t="s">
        <v>123</v>
      </c>
      <c r="AK153" s="850" t="str">
        <f>IFERROR(__xludf.DUMMYFUNCTION("IF($CR153="""","""",IFERROR(GOOGLEFINANCE($CR153,""changepct"")/100,""-""))"),"")</f>
        <v/>
      </c>
      <c r="AL153" s="851" t="str">
        <f>IFERROR(__xludf.DUMMYFUNCTION("IF($CR153="""","""",IFERROR(($AD153/(QUERY(GOOGLEFINANCE($CR153,""price"",TODAY()-7),""SELECT Col2 label Col2 ''"")*$CU153)-1),""-""))"),"")</f>
        <v/>
      </c>
      <c r="AM153" s="851" t="str">
        <f>IFERROR(__xludf.DUMMYFUNCTION("IF($CR153="""","""",IFERROR(($AD153/(QUERY(GOOGLEFINANCE($CR153,""price"",TODAY()-14),""SELECT Col2 label Col2 ''"")*$CU153)-1),""-""))"),"")</f>
        <v/>
      </c>
      <c r="AN153" s="851" t="str">
        <f>IFERROR(__xludf.DUMMYFUNCTION("IF($CR153="""","""",IFERROR(($AD153/(QUERY(GOOGLEFINANCE($CR153,""price"",TODAY()-28),""SELECT Col2 label Col2 ''"")*$CU153)-1),""-""))"),"")</f>
        <v/>
      </c>
      <c r="AO153" s="851" t="str">
        <f>IFERROR(__xludf.DUMMYFUNCTION("IF($CR153="""","""",IFERROR(($AD153/(QUERY(GOOGLEFINANCE($CR153,""price"",TODAY()-$AQ$5),""SELECT Col2 label Col2 ''"")*$CU153)-1),""-""))"),"")</f>
        <v/>
      </c>
      <c r="AP153" s="852" t="str">
        <f>IFERROR(__xludf.DUMMYFUNCTION("IF($CR153="""","""",IFERROR(SPARKLINE(query(GOOGLEFINANCE($CR153,""price"",TODAY()-$AQ$5,TODAY(),1),""select Col2 label Col2 ''""),IF($AP$7=""Gráfico de barras"",{""charttype"",""column"";""highcolor"",""red""},{""chartype"",""line""}))))"),"")</f>
        <v/>
      </c>
      <c r="AQ153" s="144"/>
      <c r="AR153" s="853"/>
      <c r="AS153" s="854" t="str">
        <f>IF($CR153="","",IF(NOT('alocação'!$D$1),"off",IFERROR(VLOOKUP(CR153,BalanceAtivos,3,0),"NC")))</f>
        <v/>
      </c>
      <c r="AT153" s="855" t="str">
        <f>IF($CR153="","",IF(NOT('alocação'!$D$1),"off",IFERROR(VLOOKUP($CR153,BalanceAtivos,4,0)*$CU$5,"NC")))</f>
        <v/>
      </c>
      <c r="AU153" s="856" t="str">
        <f>IF($CR153="","",IF(NOT('alocação'!$D$1),"off",IFERROR(VLOOKUP($CR153,BalanceAtivos,5,0),"-")))</f>
        <v/>
      </c>
      <c r="AV153" s="856" t="str">
        <f>IF($CR153="","",IF(NOT('alocação'!$D$1),"off",IFERROR(VLOOKUP($CR153,BalanceAtivos,6,0),"-")))</f>
        <v/>
      </c>
      <c r="AW153" s="857"/>
      <c r="AX153" s="858" t="str">
        <f>IF($CR153="","",IF($E153="","SP",IFERROR(VLOOKUP($CR153,AtivosDados,MATCH("pm_atual",portfolio.!$A$3:CY$3,0),0)*$CU$5,0)))</f>
        <v/>
      </c>
      <c r="AY153" s="859" t="str">
        <f t="shared" si="2"/>
        <v/>
      </c>
      <c r="AZ153" s="858" t="str">
        <f>IF($CR153="","",IF($E153="","SP",SUMIF(portfolio.!$A$4:$A308,$CR153,portfolio.!$O$4:$O308)*$CU$5))</f>
        <v/>
      </c>
      <c r="BA153" s="858" t="str">
        <f>IF($CR153="","",IF($E153="","SP",SUMIF(portfolio.!$A$4:$A308,$CR153,portfolio.!$AN$4:$AN308)*$CU$5))</f>
        <v/>
      </c>
      <c r="BB153" s="860" t="str">
        <f>IF($CR153="","",IF($E153="","-",IFERROR($BA153/'portfólio'!$DG$63,"")))</f>
        <v/>
      </c>
      <c r="BC153" s="861" t="str">
        <f>IF($CR153="","",IF($E153="","-",SUMIF(portfolio.!$A$4:$A308,$CR153,portfolio.!$J$4:$J308)))</f>
        <v/>
      </c>
      <c r="BD153" s="862" t="str">
        <f>IF($CR153="","",IF($E153="","SP",SUMIF(portfolio.!$A$4:$A308,$CR153,portfolio.!$AQ$4:$AQ308)*$CU$5))</f>
        <v/>
      </c>
      <c r="BE153" s="850" t="str">
        <f t="shared" si="3"/>
        <v/>
      </c>
      <c r="BF153" s="862" t="str">
        <f>IF($CR153="","",IF($E153="","-",SUMIF(portfolio.!$A$4:$A308,$CR153,portfolio.!$AX$4:$AX308)*$CU$5))</f>
        <v/>
      </c>
      <c r="BG153" s="545"/>
      <c r="BH153" s="879" t="s">
        <v>123</v>
      </c>
      <c r="BI153" s="880" t="s">
        <v>123</v>
      </c>
      <c r="BJ153" s="863" t="str">
        <f>IFERROR(__xludf.DUMMYFUNCTION("IF(NOT($BL$4),"""",IF($CR153="""","""",IFERROR(query({GOOGLEFINANCE($CR153,""price"",IF($BI153=""-"",TODAY()-($AQ$5+5),$BI153),TODAY()-1)},""Select max(Col2) where Col1 is not null label max(Col2) ''"")*CU153,""-"")))"),"")</f>
        <v/>
      </c>
      <c r="BK153" s="881" t="s">
        <v>123</v>
      </c>
      <c r="BL153" s="882" t="s">
        <v>123</v>
      </c>
      <c r="BM153" s="442"/>
      <c r="BN153" s="867" t="str">
        <f>IFERROR(__xludf.DUMMYFUNCTION("IF(CR153="""","""",IF(OR(C153=""AÇÃO"",C153=""BDR""),IFERROR(QUERY({fundamentus.!$A$3:$U308},$CX$67&amp;"" where Col1='""&amp;CR153&amp;""' limit 1"",0)),IF(C153=""FII"",IFERROR(QUERY({fundsexplorer.!$A$2:$Z308},$CY$67&amp;"" where Col1='""&amp;CR153&amp;""' limit 1"",0)),""""))"&amp;")"),"")</f>
        <v/>
      </c>
      <c r="BO153" s="867"/>
      <c r="BP153" s="867"/>
      <c r="BQ153" s="867"/>
      <c r="BR153" s="867"/>
      <c r="BS153" s="867"/>
      <c r="BT153" s="867"/>
      <c r="BU153" s="442"/>
      <c r="BV153" s="868" t="str">
        <f>IFERROR(__xludf.DUMMYFUNCTION("IF(OR(C153=""AÇÃO"",C153=""BDR""),IFERROR(GOOGLEFINANCE(CONCAT(""BVMF:"",CR153), ""marketcap"")/1000000,""NC""),"""")"),"")</f>
        <v/>
      </c>
      <c r="BW153" s="869" t="s">
        <v>123</v>
      </c>
      <c r="BX153" s="870" t="s">
        <v>123</v>
      </c>
      <c r="BY153" s="868" t="s">
        <v>123</v>
      </c>
      <c r="BZ153" s="870" t="s">
        <v>123</v>
      </c>
      <c r="CA153" s="868" t="s">
        <v>123</v>
      </c>
      <c r="CB153" s="868" t="s">
        <v>123</v>
      </c>
      <c r="CC153" s="868" t="s">
        <v>123</v>
      </c>
      <c r="CD153" s="868" t="str">
        <f>IFERROR(__xludf.DUMMYFUNCTION("IF(OR(C153=""AÇÃO"",C153=""BDR""),IFERROR(GOOGLEFINANCE(CONCAT(""BVMF:"",CR153), ""volumeavg"")/1000000,""NC""),"""")"),"")</f>
        <v/>
      </c>
      <c r="CE153" s="870" t="s">
        <v>123</v>
      </c>
      <c r="CF153" s="870" t="s">
        <v>123</v>
      </c>
      <c r="CG153" s="870" t="str">
        <f>IFERROR(__xludf.DUMMYFUNCTION("IF(OR(C153=""AÇÃO"",C153=""BDR""),IF(CF153=0,""SEM DY"",IFERROR(ImportXML(CONCAT(""http://www.guiainvest.com.br/raiox/default.aspx?sigla="",$CR153),""//*[@id='lbPayoutAtual']""),""NC"")),"""")"),"")</f>
        <v/>
      </c>
      <c r="CH153" s="870" t="s">
        <v>123</v>
      </c>
      <c r="CI153" s="545"/>
      <c r="CJ153" s="871" t="str">
        <f>IFERROR(__xludf.DUMMYFUNCTION("IF(OR(C153=""AÇÃO"",C153=""BDR""),IFERROR(GOOGLEFINANCE(CONCAT(""BVMF:"",CR153), ""eps""),""NC""),"""")"),"")</f>
        <v/>
      </c>
      <c r="CK153" s="442"/>
      <c r="CL153" s="871" t="str">
        <f>IFERROR(__xludf.DUMMYFUNCTION("IF(NOT($BL$4),"""",IF($CR153="""","""",IF($BC153="""","""",IFERROR(query({op.normal!$B$5:$F308},""select Col5, toDate(Col2) where Col1 =  '""&amp;$CR153&amp;""' and Col4 &gt; 0 and ((Col3 is null) or (Col3 = 'C')) and Col2 &gt;= date '""&amp;TEXT(TODAY()-$AQ$5,""yyyy-mm-dd"&amp;""")&amp;""' order by Col2 desc limit 1 label toDate(Col2) ''"")))))"),"")</f>
        <v/>
      </c>
      <c r="CM153" s="872"/>
      <c r="CN153" s="883" t="s">
        <v>123</v>
      </c>
      <c r="CO153" s="874" t="s">
        <v>123</v>
      </c>
      <c r="CP153" s="766"/>
      <c r="CQ153" s="791"/>
      <c r="CR153" s="791"/>
      <c r="CT153" s="791" t="s">
        <v>123</v>
      </c>
      <c r="CU153" s="791" t="str">
        <f>IFERROR(__xludf.DUMMYFUNCTION("IF(CR153="""","""",IF(CT153=$C$4,1,GOOGLEFINANCE(CT153&amp;$C$4)))"),"")</f>
        <v/>
      </c>
    </row>
    <row r="154" ht="22.5" customHeight="1">
      <c r="A154" s="837">
        <v>146.0</v>
      </c>
      <c r="B154" s="838" t="s">
        <v>123</v>
      </c>
      <c r="C154" s="838" t="s">
        <v>123</v>
      </c>
      <c r="D154" s="839" t="s">
        <v>123</v>
      </c>
      <c r="E154" s="839" t="s">
        <v>123</v>
      </c>
      <c r="F154" s="839" t="s">
        <v>123</v>
      </c>
      <c r="H154" s="884"/>
      <c r="I154" s="838"/>
      <c r="J154" s="838"/>
      <c r="K154" s="838"/>
      <c r="L154" s="838"/>
      <c r="M154" s="838"/>
      <c r="N154" s="838"/>
      <c r="O154" s="838"/>
      <c r="P154" s="838"/>
      <c r="Q154" s="838"/>
      <c r="R154" s="838"/>
      <c r="S154" s="838"/>
      <c r="T154" s="838"/>
      <c r="U154" s="838"/>
      <c r="V154" s="838"/>
      <c r="W154" s="838"/>
      <c r="X154" s="838"/>
      <c r="Z154" s="875" t="str">
        <f>IFERROR(__xludf.DUMMYFUNCTION("IF($CR154="""","""",IFERROR(query({CarteirasAtivos},""select Col4 where Col4 is not null and Col1 = '""&amp;$CR154&amp;""' limit 1"")*CU154,""NC""))"),"")</f>
        <v/>
      </c>
      <c r="AA154" s="876" t="str">
        <f>IFERROR(__xludf.DUMMYFUNCTION("IF($CR154="""","""",IFERROR(query({CarteirasAtivos},""select Col6 where Col4 is not null and Col1 = '""&amp;$CR154&amp;""' limit 1""),""NC""))"),"")</f>
        <v/>
      </c>
      <c r="AB154" s="877"/>
      <c r="AC154" s="878" t="s">
        <v>123</v>
      </c>
      <c r="AD154" s="845" t="str">
        <f>IF($CR154="","",IFERROR(VLOOKUP($CR154,ativos.!$C$3:$R308,MATCH("cotacao",ativos.!$C$2:CY$2,0),FALSE)*$CU$5,"atualizar"))</f>
        <v/>
      </c>
      <c r="AE154" s="846" t="str">
        <f>IFERROR(__xludf.DUMMYFUNCTION("IF($CR154="""","""",IFERROR(AVERAGE(query({CarteirasAtivos;CarteirasAtivosEncerrados},""select Col5 where Col5 is not null and Col1 = '""&amp;$CR154&amp;""' and Col10='SIM'""))*CU154,""NC""))"),"")</f>
        <v/>
      </c>
      <c r="AF154" s="847" t="str">
        <f t="shared" si="1"/>
        <v/>
      </c>
      <c r="AG154" s="442"/>
      <c r="AH154" s="848" t="str">
        <f>IFERROR(__xludf.DUMMYFUNCTION("IF($CR154="""","""",IFERROR(GOOGLEFINANCE($CR154,""low52"")*CU154,""-""))"),"")</f>
        <v/>
      </c>
      <c r="AI154" s="848" t="str">
        <f>IFERROR(__xludf.DUMMYFUNCTION("IF($CR154="""","""",IFERROR(GOOGLEFINANCE($CR154,""high52"")*CU154,""-""))"),"")</f>
        <v/>
      </c>
      <c r="AJ154" s="849" t="s">
        <v>123</v>
      </c>
      <c r="AK154" s="850" t="str">
        <f>IFERROR(__xludf.DUMMYFUNCTION("IF($CR154="""","""",IFERROR(GOOGLEFINANCE($CR154,""changepct"")/100,""-""))"),"")</f>
        <v/>
      </c>
      <c r="AL154" s="851" t="str">
        <f>IFERROR(__xludf.DUMMYFUNCTION("IF($CR154="""","""",IFERROR(($AD154/(QUERY(GOOGLEFINANCE($CR154,""price"",TODAY()-7),""SELECT Col2 label Col2 ''"")*$CU154)-1),""-""))"),"")</f>
        <v/>
      </c>
      <c r="AM154" s="851" t="str">
        <f>IFERROR(__xludf.DUMMYFUNCTION("IF($CR154="""","""",IFERROR(($AD154/(QUERY(GOOGLEFINANCE($CR154,""price"",TODAY()-14),""SELECT Col2 label Col2 ''"")*$CU154)-1),""-""))"),"")</f>
        <v/>
      </c>
      <c r="AN154" s="851" t="str">
        <f>IFERROR(__xludf.DUMMYFUNCTION("IF($CR154="""","""",IFERROR(($AD154/(QUERY(GOOGLEFINANCE($CR154,""price"",TODAY()-28),""SELECT Col2 label Col2 ''"")*$CU154)-1),""-""))"),"")</f>
        <v/>
      </c>
      <c r="AO154" s="851" t="str">
        <f>IFERROR(__xludf.DUMMYFUNCTION("IF($CR154="""","""",IFERROR(($AD154/(QUERY(GOOGLEFINANCE($CR154,""price"",TODAY()-$AQ$5),""SELECT Col2 label Col2 ''"")*$CU154)-1),""-""))"),"")</f>
        <v/>
      </c>
      <c r="AP154" s="852" t="str">
        <f>IFERROR(__xludf.DUMMYFUNCTION("IF($CR154="""","""",IFERROR(SPARKLINE(query(GOOGLEFINANCE($CR154,""price"",TODAY()-$AQ$5,TODAY(),1),""select Col2 label Col2 ''""),IF($AP$7=""Gráfico de barras"",{""charttype"",""column"";""highcolor"",""red""},{""chartype"",""line""}))))"),"")</f>
        <v/>
      </c>
      <c r="AQ154" s="144"/>
      <c r="AR154" s="853"/>
      <c r="AS154" s="854" t="str">
        <f>IF($CR154="","",IF(NOT('alocação'!$D$1),"off",IFERROR(VLOOKUP(CR154,BalanceAtivos,3,0),"NC")))</f>
        <v/>
      </c>
      <c r="AT154" s="855" t="str">
        <f>IF($CR154="","",IF(NOT('alocação'!$D$1),"off",IFERROR(VLOOKUP($CR154,BalanceAtivos,4,0)*$CU$5,"NC")))</f>
        <v/>
      </c>
      <c r="AU154" s="856" t="str">
        <f>IF($CR154="","",IF(NOT('alocação'!$D$1),"off",IFERROR(VLOOKUP($CR154,BalanceAtivos,5,0),"-")))</f>
        <v/>
      </c>
      <c r="AV154" s="856" t="str">
        <f>IF($CR154="","",IF(NOT('alocação'!$D$1),"off",IFERROR(VLOOKUP($CR154,BalanceAtivos,6,0),"-")))</f>
        <v/>
      </c>
      <c r="AW154" s="857"/>
      <c r="AX154" s="858" t="str">
        <f>IF($CR154="","",IF($E154="","SP",IFERROR(VLOOKUP($CR154,AtivosDados,MATCH("pm_atual",portfolio.!$A$3:CY$3,0),0)*$CU$5,0)))</f>
        <v/>
      </c>
      <c r="AY154" s="859" t="str">
        <f t="shared" si="2"/>
        <v/>
      </c>
      <c r="AZ154" s="858" t="str">
        <f>IF($CR154="","",IF($E154="","SP",SUMIF(portfolio.!$A$4:$A308,$CR154,portfolio.!$O$4:$O308)*$CU$5))</f>
        <v/>
      </c>
      <c r="BA154" s="858" t="str">
        <f>IF($CR154="","",IF($E154="","SP",SUMIF(portfolio.!$A$4:$A308,$CR154,portfolio.!$AN$4:$AN308)*$CU$5))</f>
        <v/>
      </c>
      <c r="BB154" s="860" t="str">
        <f>IF($CR154="","",IF($E154="","-",IFERROR($BA154/'portfólio'!$DG$63,"")))</f>
        <v/>
      </c>
      <c r="BC154" s="861" t="str">
        <f>IF($CR154="","",IF($E154="","-",SUMIF(portfolio.!$A$4:$A308,$CR154,portfolio.!$J$4:$J308)))</f>
        <v/>
      </c>
      <c r="BD154" s="862" t="str">
        <f>IF($CR154="","",IF($E154="","SP",SUMIF(portfolio.!$A$4:$A308,$CR154,portfolio.!$AQ$4:$AQ308)*$CU$5))</f>
        <v/>
      </c>
      <c r="BE154" s="850" t="str">
        <f t="shared" si="3"/>
        <v/>
      </c>
      <c r="BF154" s="862" t="str">
        <f>IF($CR154="","",IF($E154="","-",SUMIF(portfolio.!$A$4:$A308,$CR154,portfolio.!$AX$4:$AX308)*$CU$5))</f>
        <v/>
      </c>
      <c r="BG154" s="545"/>
      <c r="BH154" s="879" t="s">
        <v>123</v>
      </c>
      <c r="BI154" s="880" t="s">
        <v>123</v>
      </c>
      <c r="BJ154" s="863" t="str">
        <f>IFERROR(__xludf.DUMMYFUNCTION("IF(NOT($BL$4),"""",IF($CR154="""","""",IFERROR(query({GOOGLEFINANCE($CR154,""price"",IF($BI154=""-"",TODAY()-($AQ$5+5),$BI154),TODAY()-1)},""Select max(Col2) where Col1 is not null label max(Col2) ''"")*CU154,""-"")))"),"")</f>
        <v/>
      </c>
      <c r="BK154" s="881" t="s">
        <v>123</v>
      </c>
      <c r="BL154" s="882" t="s">
        <v>123</v>
      </c>
      <c r="BM154" s="442"/>
      <c r="BN154" s="867" t="str">
        <f>IFERROR(__xludf.DUMMYFUNCTION("IF(CR154="""","""",IF(OR(C154=""AÇÃO"",C154=""BDR""),IFERROR(QUERY({fundamentus.!$A$3:$U308},$CX$67&amp;"" where Col1='""&amp;CR154&amp;""' limit 1"",0)),IF(C154=""FII"",IFERROR(QUERY({fundsexplorer.!$A$2:$Z308},$CY$67&amp;"" where Col1='""&amp;CR154&amp;""' limit 1"",0)),""""))"&amp;")"),"")</f>
        <v/>
      </c>
      <c r="BO154" s="867"/>
      <c r="BP154" s="867"/>
      <c r="BQ154" s="867"/>
      <c r="BR154" s="867"/>
      <c r="BS154" s="867"/>
      <c r="BT154" s="867"/>
      <c r="BU154" s="442"/>
      <c r="BV154" s="868" t="str">
        <f>IFERROR(__xludf.DUMMYFUNCTION("IF(OR(C154=""AÇÃO"",C154=""BDR""),IFERROR(GOOGLEFINANCE(CONCAT(""BVMF:"",CR154), ""marketcap"")/1000000,""NC""),"""")"),"")</f>
        <v/>
      </c>
      <c r="BW154" s="869" t="s">
        <v>123</v>
      </c>
      <c r="BX154" s="870" t="s">
        <v>123</v>
      </c>
      <c r="BY154" s="868" t="s">
        <v>123</v>
      </c>
      <c r="BZ154" s="870" t="s">
        <v>123</v>
      </c>
      <c r="CA154" s="868" t="s">
        <v>123</v>
      </c>
      <c r="CB154" s="868" t="s">
        <v>123</v>
      </c>
      <c r="CC154" s="868" t="s">
        <v>123</v>
      </c>
      <c r="CD154" s="868" t="str">
        <f>IFERROR(__xludf.DUMMYFUNCTION("IF(OR(C154=""AÇÃO"",C154=""BDR""),IFERROR(GOOGLEFINANCE(CONCAT(""BVMF:"",CR154), ""volumeavg"")/1000000,""NC""),"""")"),"")</f>
        <v/>
      </c>
      <c r="CE154" s="870" t="s">
        <v>123</v>
      </c>
      <c r="CF154" s="870" t="s">
        <v>123</v>
      </c>
      <c r="CG154" s="870" t="str">
        <f>IFERROR(__xludf.DUMMYFUNCTION("IF(OR(C154=""AÇÃO"",C154=""BDR""),IF(CF154=0,""SEM DY"",IFERROR(ImportXML(CONCAT(""http://www.guiainvest.com.br/raiox/default.aspx?sigla="",$CR154),""//*[@id='lbPayoutAtual']""),""NC"")),"""")"),"")</f>
        <v/>
      </c>
      <c r="CH154" s="870" t="s">
        <v>123</v>
      </c>
      <c r="CI154" s="545"/>
      <c r="CJ154" s="871" t="str">
        <f>IFERROR(__xludf.DUMMYFUNCTION("IF(OR(C154=""AÇÃO"",C154=""BDR""),IFERROR(GOOGLEFINANCE(CONCAT(""BVMF:"",CR154), ""eps""),""NC""),"""")"),"")</f>
        <v/>
      </c>
      <c r="CK154" s="442"/>
      <c r="CL154" s="871" t="str">
        <f>IFERROR(__xludf.DUMMYFUNCTION("IF(NOT($BL$4),"""",IF($CR154="""","""",IF($BC154="""","""",IFERROR(query({op.normal!$B$5:$F308},""select Col5, toDate(Col2) where Col1 =  '""&amp;$CR154&amp;""' and Col4 &gt; 0 and ((Col3 is null) or (Col3 = 'C')) and Col2 &gt;= date '""&amp;TEXT(TODAY()-$AQ$5,""yyyy-mm-dd"&amp;""")&amp;""' order by Col2 desc limit 1 label toDate(Col2) ''"")))))"),"")</f>
        <v/>
      </c>
      <c r="CM154" s="872"/>
      <c r="CN154" s="883" t="s">
        <v>123</v>
      </c>
      <c r="CO154" s="874" t="s">
        <v>123</v>
      </c>
      <c r="CP154" s="766"/>
      <c r="CQ154" s="791"/>
      <c r="CR154" s="791"/>
      <c r="CT154" s="791" t="s">
        <v>123</v>
      </c>
      <c r="CU154" s="791" t="str">
        <f>IFERROR(__xludf.DUMMYFUNCTION("IF(CR154="""","""",IF(CT154=$C$4,1,GOOGLEFINANCE(CT154&amp;$C$4)))"),"")</f>
        <v/>
      </c>
    </row>
    <row r="155" ht="22.5" customHeight="1">
      <c r="A155" s="837">
        <v>147.0</v>
      </c>
      <c r="B155" s="838" t="s">
        <v>123</v>
      </c>
      <c r="C155" s="838" t="s">
        <v>123</v>
      </c>
      <c r="D155" s="839" t="s">
        <v>123</v>
      </c>
      <c r="E155" s="839" t="s">
        <v>123</v>
      </c>
      <c r="F155" s="839" t="s">
        <v>123</v>
      </c>
      <c r="H155" s="884"/>
      <c r="I155" s="838"/>
      <c r="J155" s="838"/>
      <c r="K155" s="838"/>
      <c r="L155" s="838"/>
      <c r="M155" s="838"/>
      <c r="N155" s="838"/>
      <c r="O155" s="838"/>
      <c r="P155" s="838"/>
      <c r="Q155" s="838"/>
      <c r="R155" s="838"/>
      <c r="S155" s="838"/>
      <c r="T155" s="838"/>
      <c r="U155" s="838"/>
      <c r="V155" s="838"/>
      <c r="W155" s="838"/>
      <c r="X155" s="838"/>
      <c r="Z155" s="875" t="str">
        <f>IFERROR(__xludf.DUMMYFUNCTION("IF($CR155="""","""",IFERROR(query({CarteirasAtivos},""select Col4 where Col4 is not null and Col1 = '""&amp;$CR155&amp;""' limit 1"")*CU155,""NC""))"),"")</f>
        <v/>
      </c>
      <c r="AA155" s="876" t="str">
        <f>IFERROR(__xludf.DUMMYFUNCTION("IF($CR155="""","""",IFERROR(query({CarteirasAtivos},""select Col6 where Col4 is not null and Col1 = '""&amp;$CR155&amp;""' limit 1""),""NC""))"),"")</f>
        <v/>
      </c>
      <c r="AB155" s="877"/>
      <c r="AC155" s="878" t="s">
        <v>123</v>
      </c>
      <c r="AD155" s="845" t="str">
        <f>IF($CR155="","",IFERROR(VLOOKUP($CR155,ativos.!$C$3:$R308,MATCH("cotacao",ativos.!$C$2:CY$2,0),FALSE)*$CU$5,"atualizar"))</f>
        <v/>
      </c>
      <c r="AE155" s="846" t="str">
        <f>IFERROR(__xludf.DUMMYFUNCTION("IF($CR155="""","""",IFERROR(AVERAGE(query({CarteirasAtivos;CarteirasAtivosEncerrados},""select Col5 where Col5 is not null and Col1 = '""&amp;$CR155&amp;""' and Col10='SIM'""))*CU155,""NC""))"),"")</f>
        <v/>
      </c>
      <c r="AF155" s="847" t="str">
        <f t="shared" si="1"/>
        <v/>
      </c>
      <c r="AG155" s="442"/>
      <c r="AH155" s="848" t="str">
        <f>IFERROR(__xludf.DUMMYFUNCTION("IF($CR155="""","""",IFERROR(GOOGLEFINANCE($CR155,""low52"")*CU155,""-""))"),"")</f>
        <v/>
      </c>
      <c r="AI155" s="848" t="str">
        <f>IFERROR(__xludf.DUMMYFUNCTION("IF($CR155="""","""",IFERROR(GOOGLEFINANCE($CR155,""high52"")*CU155,""-""))"),"")</f>
        <v/>
      </c>
      <c r="AJ155" s="849" t="s">
        <v>123</v>
      </c>
      <c r="AK155" s="850" t="str">
        <f>IFERROR(__xludf.DUMMYFUNCTION("IF($CR155="""","""",IFERROR(GOOGLEFINANCE($CR155,""changepct"")/100,""-""))"),"")</f>
        <v/>
      </c>
      <c r="AL155" s="851" t="str">
        <f>IFERROR(__xludf.DUMMYFUNCTION("IF($CR155="""","""",IFERROR(($AD155/(QUERY(GOOGLEFINANCE($CR155,""price"",TODAY()-7),""SELECT Col2 label Col2 ''"")*$CU155)-1),""-""))"),"")</f>
        <v/>
      </c>
      <c r="AM155" s="851" t="str">
        <f>IFERROR(__xludf.DUMMYFUNCTION("IF($CR155="""","""",IFERROR(($AD155/(QUERY(GOOGLEFINANCE($CR155,""price"",TODAY()-14),""SELECT Col2 label Col2 ''"")*$CU155)-1),""-""))"),"")</f>
        <v/>
      </c>
      <c r="AN155" s="851" t="str">
        <f>IFERROR(__xludf.DUMMYFUNCTION("IF($CR155="""","""",IFERROR(($AD155/(QUERY(GOOGLEFINANCE($CR155,""price"",TODAY()-28),""SELECT Col2 label Col2 ''"")*$CU155)-1),""-""))"),"")</f>
        <v/>
      </c>
      <c r="AO155" s="851" t="str">
        <f>IFERROR(__xludf.DUMMYFUNCTION("IF($CR155="""","""",IFERROR(($AD155/(QUERY(GOOGLEFINANCE($CR155,""price"",TODAY()-$AQ$5),""SELECT Col2 label Col2 ''"")*$CU155)-1),""-""))"),"")</f>
        <v/>
      </c>
      <c r="AP155" s="852" t="str">
        <f>IFERROR(__xludf.DUMMYFUNCTION("IF($CR155="""","""",IFERROR(SPARKLINE(query(GOOGLEFINANCE($CR155,""price"",TODAY()-$AQ$5,TODAY(),1),""select Col2 label Col2 ''""),IF($AP$7=""Gráfico de barras"",{""charttype"",""column"";""highcolor"",""red""},{""chartype"",""line""}))))"),"")</f>
        <v/>
      </c>
      <c r="AQ155" s="144"/>
      <c r="AR155" s="853"/>
      <c r="AS155" s="854" t="str">
        <f>IF($CR155="","",IF(NOT('alocação'!$D$1),"off",IFERROR(VLOOKUP(CR155,BalanceAtivos,3,0),"NC")))</f>
        <v/>
      </c>
      <c r="AT155" s="855" t="str">
        <f>IF($CR155="","",IF(NOT('alocação'!$D$1),"off",IFERROR(VLOOKUP($CR155,BalanceAtivos,4,0)*$CU$5,"NC")))</f>
        <v/>
      </c>
      <c r="AU155" s="856" t="str">
        <f>IF($CR155="","",IF(NOT('alocação'!$D$1),"off",IFERROR(VLOOKUP($CR155,BalanceAtivos,5,0),"-")))</f>
        <v/>
      </c>
      <c r="AV155" s="856" t="str">
        <f>IF($CR155="","",IF(NOT('alocação'!$D$1),"off",IFERROR(VLOOKUP($CR155,BalanceAtivos,6,0),"-")))</f>
        <v/>
      </c>
      <c r="AW155" s="857"/>
      <c r="AX155" s="858" t="str">
        <f>IF($CR155="","",IF($E155="","SP",IFERROR(VLOOKUP($CR155,AtivosDados,MATCH("pm_atual",portfolio.!$A$3:CY$3,0),0)*$CU$5,0)))</f>
        <v/>
      </c>
      <c r="AY155" s="859" t="str">
        <f t="shared" si="2"/>
        <v/>
      </c>
      <c r="AZ155" s="858" t="str">
        <f>IF($CR155="","",IF($E155="","SP",SUMIF(portfolio.!$A$4:$A308,$CR155,portfolio.!$O$4:$O308)*$CU$5))</f>
        <v/>
      </c>
      <c r="BA155" s="858" t="str">
        <f>IF($CR155="","",IF($E155="","SP",SUMIF(portfolio.!$A$4:$A308,$CR155,portfolio.!$AN$4:$AN308)*$CU$5))</f>
        <v/>
      </c>
      <c r="BB155" s="860" t="str">
        <f>IF($CR155="","",IF($E155="","-",IFERROR($BA155/'portfólio'!$DG$63,"")))</f>
        <v/>
      </c>
      <c r="BC155" s="861" t="str">
        <f>IF($CR155="","",IF($E155="","-",SUMIF(portfolio.!$A$4:$A308,$CR155,portfolio.!$J$4:$J308)))</f>
        <v/>
      </c>
      <c r="BD155" s="862" t="str">
        <f>IF($CR155="","",IF($E155="","SP",SUMIF(portfolio.!$A$4:$A308,$CR155,portfolio.!$AQ$4:$AQ308)*$CU$5))</f>
        <v/>
      </c>
      <c r="BE155" s="850" t="str">
        <f t="shared" si="3"/>
        <v/>
      </c>
      <c r="BF155" s="862" t="str">
        <f>IF($CR155="","",IF($E155="","-",SUMIF(portfolio.!$A$4:$A308,$CR155,portfolio.!$AX$4:$AX308)*$CU$5))</f>
        <v/>
      </c>
      <c r="BG155" s="545"/>
      <c r="BH155" s="879" t="s">
        <v>123</v>
      </c>
      <c r="BI155" s="880" t="s">
        <v>123</v>
      </c>
      <c r="BJ155" s="863" t="str">
        <f>IFERROR(__xludf.DUMMYFUNCTION("IF(NOT($BL$4),"""",IF($CR155="""","""",IFERROR(query({GOOGLEFINANCE($CR155,""price"",IF($BI155=""-"",TODAY()-($AQ$5+5),$BI155),TODAY()-1)},""Select max(Col2) where Col1 is not null label max(Col2) ''"")*CU155,""-"")))"),"")</f>
        <v/>
      </c>
      <c r="BK155" s="881" t="s">
        <v>123</v>
      </c>
      <c r="BL155" s="882" t="s">
        <v>123</v>
      </c>
      <c r="BM155" s="442"/>
      <c r="BN155" s="867" t="str">
        <f>IFERROR(__xludf.DUMMYFUNCTION("IF(CR155="""","""",IF(OR(C155=""AÇÃO"",C155=""BDR""),IFERROR(QUERY({fundamentus.!$A$3:$U308},$CX$67&amp;"" where Col1='""&amp;CR155&amp;""' limit 1"",0)),IF(C155=""FII"",IFERROR(QUERY({fundsexplorer.!$A$2:$Z308},$CY$67&amp;"" where Col1='""&amp;CR155&amp;""' limit 1"",0)),""""))"&amp;")"),"")</f>
        <v/>
      </c>
      <c r="BO155" s="867"/>
      <c r="BP155" s="867"/>
      <c r="BQ155" s="867"/>
      <c r="BR155" s="867"/>
      <c r="BS155" s="867"/>
      <c r="BT155" s="867"/>
      <c r="BU155" s="442"/>
      <c r="BV155" s="868" t="str">
        <f>IFERROR(__xludf.DUMMYFUNCTION("IF(OR(C155=""AÇÃO"",C155=""BDR""),IFERROR(GOOGLEFINANCE(CONCAT(""BVMF:"",CR155), ""marketcap"")/1000000,""NC""),"""")"),"")</f>
        <v/>
      </c>
      <c r="BW155" s="869" t="s">
        <v>123</v>
      </c>
      <c r="BX155" s="870" t="s">
        <v>123</v>
      </c>
      <c r="BY155" s="868" t="s">
        <v>123</v>
      </c>
      <c r="BZ155" s="870" t="s">
        <v>123</v>
      </c>
      <c r="CA155" s="868" t="s">
        <v>123</v>
      </c>
      <c r="CB155" s="868" t="s">
        <v>123</v>
      </c>
      <c r="CC155" s="868" t="s">
        <v>123</v>
      </c>
      <c r="CD155" s="868" t="str">
        <f>IFERROR(__xludf.DUMMYFUNCTION("IF(OR(C155=""AÇÃO"",C155=""BDR""),IFERROR(GOOGLEFINANCE(CONCAT(""BVMF:"",CR155), ""volumeavg"")/1000000,""NC""),"""")"),"")</f>
        <v/>
      </c>
      <c r="CE155" s="870" t="s">
        <v>123</v>
      </c>
      <c r="CF155" s="870" t="s">
        <v>123</v>
      </c>
      <c r="CG155" s="870" t="str">
        <f>IFERROR(__xludf.DUMMYFUNCTION("IF(OR(C155=""AÇÃO"",C155=""BDR""),IF(CF155=0,""SEM DY"",IFERROR(ImportXML(CONCAT(""http://www.guiainvest.com.br/raiox/default.aspx?sigla="",$CR155),""//*[@id='lbPayoutAtual']""),""NC"")),"""")"),"")</f>
        <v/>
      </c>
      <c r="CH155" s="870" t="s">
        <v>123</v>
      </c>
      <c r="CI155" s="545"/>
      <c r="CJ155" s="871" t="str">
        <f>IFERROR(__xludf.DUMMYFUNCTION("IF(OR(C155=""AÇÃO"",C155=""BDR""),IFERROR(GOOGLEFINANCE(CONCAT(""BVMF:"",CR155), ""eps""),""NC""),"""")"),"")</f>
        <v/>
      </c>
      <c r="CK155" s="442"/>
      <c r="CL155" s="871" t="str">
        <f>IFERROR(__xludf.DUMMYFUNCTION("IF(NOT($BL$4),"""",IF($CR155="""","""",IF($BC155="""","""",IFERROR(query({op.normal!$B$5:$F308},""select Col5, toDate(Col2) where Col1 =  '""&amp;$CR155&amp;""' and Col4 &gt; 0 and ((Col3 is null) or (Col3 = 'C')) and Col2 &gt;= date '""&amp;TEXT(TODAY()-$AQ$5,""yyyy-mm-dd"&amp;""")&amp;""' order by Col2 desc limit 1 label toDate(Col2) ''"")))))"),"")</f>
        <v/>
      </c>
      <c r="CM155" s="872"/>
      <c r="CN155" s="883" t="s">
        <v>123</v>
      </c>
      <c r="CO155" s="874" t="s">
        <v>123</v>
      </c>
      <c r="CP155" s="766"/>
      <c r="CQ155" s="791"/>
      <c r="CR155" s="791"/>
      <c r="CT155" s="791" t="s">
        <v>123</v>
      </c>
      <c r="CU155" s="791" t="str">
        <f>IFERROR(__xludf.DUMMYFUNCTION("IF(CR155="""","""",IF(CT155=$C$4,1,GOOGLEFINANCE(CT155&amp;$C$4)))"),"")</f>
        <v/>
      </c>
    </row>
    <row r="156" ht="22.5" customHeight="1">
      <c r="A156" s="837">
        <v>148.0</v>
      </c>
      <c r="B156" s="838" t="s">
        <v>123</v>
      </c>
      <c r="C156" s="838" t="s">
        <v>123</v>
      </c>
      <c r="D156" s="839" t="s">
        <v>123</v>
      </c>
      <c r="E156" s="839" t="s">
        <v>123</v>
      </c>
      <c r="F156" s="839" t="s">
        <v>123</v>
      </c>
      <c r="H156" s="884"/>
      <c r="I156" s="838"/>
      <c r="J156" s="838"/>
      <c r="K156" s="838"/>
      <c r="L156" s="838"/>
      <c r="M156" s="838"/>
      <c r="N156" s="838"/>
      <c r="O156" s="838"/>
      <c r="P156" s="838"/>
      <c r="Q156" s="838"/>
      <c r="R156" s="838"/>
      <c r="S156" s="838"/>
      <c r="T156" s="838"/>
      <c r="U156" s="838"/>
      <c r="V156" s="838"/>
      <c r="W156" s="838"/>
      <c r="X156" s="838"/>
      <c r="Z156" s="875" t="str">
        <f>IFERROR(__xludf.DUMMYFUNCTION("IF($CR156="""","""",IFERROR(query({CarteirasAtivos},""select Col4 where Col4 is not null and Col1 = '""&amp;$CR156&amp;""' limit 1"")*CU156,""NC""))"),"")</f>
        <v/>
      </c>
      <c r="AA156" s="876" t="str">
        <f>IFERROR(__xludf.DUMMYFUNCTION("IF($CR156="""","""",IFERROR(query({CarteirasAtivos},""select Col6 where Col4 is not null and Col1 = '""&amp;$CR156&amp;""' limit 1""),""NC""))"),"")</f>
        <v/>
      </c>
      <c r="AB156" s="877"/>
      <c r="AC156" s="878" t="s">
        <v>123</v>
      </c>
      <c r="AD156" s="845" t="str">
        <f>IF($CR156="","",IFERROR(VLOOKUP($CR156,ativos.!$C$3:$R308,MATCH("cotacao",ativos.!$C$2:CY$2,0),FALSE)*$CU$5,"atualizar"))</f>
        <v/>
      </c>
      <c r="AE156" s="846" t="str">
        <f>IFERROR(__xludf.DUMMYFUNCTION("IF($CR156="""","""",IFERROR(AVERAGE(query({CarteirasAtivos;CarteirasAtivosEncerrados},""select Col5 where Col5 is not null and Col1 = '""&amp;$CR156&amp;""' and Col10='SIM'""))*CU156,""NC""))"),"")</f>
        <v/>
      </c>
      <c r="AF156" s="847" t="str">
        <f t="shared" si="1"/>
        <v/>
      </c>
      <c r="AG156" s="442"/>
      <c r="AH156" s="848" t="str">
        <f>IFERROR(__xludf.DUMMYFUNCTION("IF($CR156="""","""",IFERROR(GOOGLEFINANCE($CR156,""low52"")*CU156,""-""))"),"")</f>
        <v/>
      </c>
      <c r="AI156" s="848" t="str">
        <f>IFERROR(__xludf.DUMMYFUNCTION("IF($CR156="""","""",IFERROR(GOOGLEFINANCE($CR156,""high52"")*CU156,""-""))"),"")</f>
        <v/>
      </c>
      <c r="AJ156" s="849" t="s">
        <v>123</v>
      </c>
      <c r="AK156" s="850" t="str">
        <f>IFERROR(__xludf.DUMMYFUNCTION("IF($CR156="""","""",IFERROR(GOOGLEFINANCE($CR156,""changepct"")/100,""-""))"),"")</f>
        <v/>
      </c>
      <c r="AL156" s="851" t="str">
        <f>IFERROR(__xludf.DUMMYFUNCTION("IF($CR156="""","""",IFERROR(($AD156/(QUERY(GOOGLEFINANCE($CR156,""price"",TODAY()-7),""SELECT Col2 label Col2 ''"")*$CU156)-1),""-""))"),"")</f>
        <v/>
      </c>
      <c r="AM156" s="851" t="str">
        <f>IFERROR(__xludf.DUMMYFUNCTION("IF($CR156="""","""",IFERROR(($AD156/(QUERY(GOOGLEFINANCE($CR156,""price"",TODAY()-14),""SELECT Col2 label Col2 ''"")*$CU156)-1),""-""))"),"")</f>
        <v/>
      </c>
      <c r="AN156" s="851" t="str">
        <f>IFERROR(__xludf.DUMMYFUNCTION("IF($CR156="""","""",IFERROR(($AD156/(QUERY(GOOGLEFINANCE($CR156,""price"",TODAY()-28),""SELECT Col2 label Col2 ''"")*$CU156)-1),""-""))"),"")</f>
        <v/>
      </c>
      <c r="AO156" s="851" t="str">
        <f>IFERROR(__xludf.DUMMYFUNCTION("IF($CR156="""","""",IFERROR(($AD156/(QUERY(GOOGLEFINANCE($CR156,""price"",TODAY()-$AQ$5),""SELECT Col2 label Col2 ''"")*$CU156)-1),""-""))"),"")</f>
        <v/>
      </c>
      <c r="AP156" s="852" t="str">
        <f>IFERROR(__xludf.DUMMYFUNCTION("IF($CR156="""","""",IFERROR(SPARKLINE(query(GOOGLEFINANCE($CR156,""price"",TODAY()-$AQ$5,TODAY(),1),""select Col2 label Col2 ''""),IF($AP$7=""Gráfico de barras"",{""charttype"",""column"";""highcolor"",""red""},{""chartype"",""line""}))))"),"")</f>
        <v/>
      </c>
      <c r="AQ156" s="144"/>
      <c r="AR156" s="853"/>
      <c r="AS156" s="854" t="str">
        <f>IF($CR156="","",IF(NOT('alocação'!$D$1),"off",IFERROR(VLOOKUP(CR156,BalanceAtivos,3,0),"NC")))</f>
        <v/>
      </c>
      <c r="AT156" s="855" t="str">
        <f>IF($CR156="","",IF(NOT('alocação'!$D$1),"off",IFERROR(VLOOKUP($CR156,BalanceAtivos,4,0)*$CU$5,"NC")))</f>
        <v/>
      </c>
      <c r="AU156" s="856" t="str">
        <f>IF($CR156="","",IF(NOT('alocação'!$D$1),"off",IFERROR(VLOOKUP($CR156,BalanceAtivos,5,0),"-")))</f>
        <v/>
      </c>
      <c r="AV156" s="856" t="str">
        <f>IF($CR156="","",IF(NOT('alocação'!$D$1),"off",IFERROR(VLOOKUP($CR156,BalanceAtivos,6,0),"-")))</f>
        <v/>
      </c>
      <c r="AW156" s="857"/>
      <c r="AX156" s="858" t="str">
        <f>IF($CR156="","",IF($E156="","SP",IFERROR(VLOOKUP($CR156,AtivosDados,MATCH("pm_atual",portfolio.!$A$3:CY$3,0),0)*$CU$5,0)))</f>
        <v/>
      </c>
      <c r="AY156" s="859" t="str">
        <f t="shared" si="2"/>
        <v/>
      </c>
      <c r="AZ156" s="858" t="str">
        <f>IF($CR156="","",IF($E156="","SP",SUMIF(portfolio.!$A$4:$A308,$CR156,portfolio.!$O$4:$O308)*$CU$5))</f>
        <v/>
      </c>
      <c r="BA156" s="858" t="str">
        <f>IF($CR156="","",IF($E156="","SP",SUMIF(portfolio.!$A$4:$A308,$CR156,portfolio.!$AN$4:$AN308)*$CU$5))</f>
        <v/>
      </c>
      <c r="BB156" s="860" t="str">
        <f>IF($CR156="","",IF($E156="","-",IFERROR($BA156/'portfólio'!$DG$63,"")))</f>
        <v/>
      </c>
      <c r="BC156" s="861" t="str">
        <f>IF($CR156="","",IF($E156="","-",SUMIF(portfolio.!$A$4:$A308,$CR156,portfolio.!$J$4:$J308)))</f>
        <v/>
      </c>
      <c r="BD156" s="862" t="str">
        <f>IF($CR156="","",IF($E156="","SP",SUMIF(portfolio.!$A$4:$A308,$CR156,portfolio.!$AQ$4:$AQ308)*$CU$5))</f>
        <v/>
      </c>
      <c r="BE156" s="850" t="str">
        <f t="shared" si="3"/>
        <v/>
      </c>
      <c r="BF156" s="862" t="str">
        <f>IF($CR156="","",IF($E156="","-",SUMIF(portfolio.!$A$4:$A308,$CR156,portfolio.!$AX$4:$AX308)*$CU$5))</f>
        <v/>
      </c>
      <c r="BG156" s="545"/>
      <c r="BH156" s="879" t="s">
        <v>123</v>
      </c>
      <c r="BI156" s="880" t="s">
        <v>123</v>
      </c>
      <c r="BJ156" s="863" t="str">
        <f>IFERROR(__xludf.DUMMYFUNCTION("IF(NOT($BL$4),"""",IF($CR156="""","""",IFERROR(query({GOOGLEFINANCE($CR156,""price"",IF($BI156=""-"",TODAY()-($AQ$5+5),$BI156),TODAY()-1)},""Select max(Col2) where Col1 is not null label max(Col2) ''"")*CU156,""-"")))"),"")</f>
        <v/>
      </c>
      <c r="BK156" s="881" t="s">
        <v>123</v>
      </c>
      <c r="BL156" s="882" t="s">
        <v>123</v>
      </c>
      <c r="BM156" s="442"/>
      <c r="BN156" s="867" t="str">
        <f>IFERROR(__xludf.DUMMYFUNCTION("IF(CR156="""","""",IF(OR(C156=""AÇÃO"",C156=""BDR""),IFERROR(QUERY({fundamentus.!$A$3:$U308},$CX$67&amp;"" where Col1='""&amp;CR156&amp;""' limit 1"",0)),IF(C156=""FII"",IFERROR(QUERY({fundsexplorer.!$A$2:$Z308},$CY$67&amp;"" where Col1='""&amp;CR156&amp;""' limit 1"",0)),""""))"&amp;")"),"")</f>
        <v/>
      </c>
      <c r="BO156" s="867"/>
      <c r="BP156" s="867"/>
      <c r="BQ156" s="867"/>
      <c r="BR156" s="867"/>
      <c r="BS156" s="867"/>
      <c r="BT156" s="867"/>
      <c r="BU156" s="442"/>
      <c r="BV156" s="868" t="str">
        <f>IFERROR(__xludf.DUMMYFUNCTION("IF(OR(C156=""AÇÃO"",C156=""BDR""),IFERROR(GOOGLEFINANCE(CONCAT(""BVMF:"",CR156), ""marketcap"")/1000000,""NC""),"""")"),"")</f>
        <v/>
      </c>
      <c r="BW156" s="869" t="s">
        <v>123</v>
      </c>
      <c r="BX156" s="870" t="s">
        <v>123</v>
      </c>
      <c r="BY156" s="868" t="s">
        <v>123</v>
      </c>
      <c r="BZ156" s="870" t="s">
        <v>123</v>
      </c>
      <c r="CA156" s="868" t="s">
        <v>123</v>
      </c>
      <c r="CB156" s="868" t="s">
        <v>123</v>
      </c>
      <c r="CC156" s="868" t="s">
        <v>123</v>
      </c>
      <c r="CD156" s="868" t="str">
        <f>IFERROR(__xludf.DUMMYFUNCTION("IF(OR(C156=""AÇÃO"",C156=""BDR""),IFERROR(GOOGLEFINANCE(CONCAT(""BVMF:"",CR156), ""volumeavg"")/1000000,""NC""),"""")"),"")</f>
        <v/>
      </c>
      <c r="CE156" s="870" t="s">
        <v>123</v>
      </c>
      <c r="CF156" s="870" t="s">
        <v>123</v>
      </c>
      <c r="CG156" s="870" t="str">
        <f>IFERROR(__xludf.DUMMYFUNCTION("IF(OR(C156=""AÇÃO"",C156=""BDR""),IF(CF156=0,""SEM DY"",IFERROR(ImportXML(CONCAT(""http://www.guiainvest.com.br/raiox/default.aspx?sigla="",$CR156),""//*[@id='lbPayoutAtual']""),""NC"")),"""")"),"")</f>
        <v/>
      </c>
      <c r="CH156" s="870" t="s">
        <v>123</v>
      </c>
      <c r="CI156" s="545"/>
      <c r="CJ156" s="871" t="str">
        <f>IFERROR(__xludf.DUMMYFUNCTION("IF(OR(C156=""AÇÃO"",C156=""BDR""),IFERROR(GOOGLEFINANCE(CONCAT(""BVMF:"",CR156), ""eps""),""NC""),"""")"),"")</f>
        <v/>
      </c>
      <c r="CK156" s="442"/>
      <c r="CL156" s="871" t="str">
        <f>IFERROR(__xludf.DUMMYFUNCTION("IF(NOT($BL$4),"""",IF($CR156="""","""",IF($BC156="""","""",IFERROR(query({op.normal!$B$5:$F308},""select Col5, toDate(Col2) where Col1 =  '""&amp;$CR156&amp;""' and Col4 &gt; 0 and ((Col3 is null) or (Col3 = 'C')) and Col2 &gt;= date '""&amp;TEXT(TODAY()-$AQ$5,""yyyy-mm-dd"&amp;""")&amp;""' order by Col2 desc limit 1 label toDate(Col2) ''"")))))"),"")</f>
        <v/>
      </c>
      <c r="CM156" s="872"/>
      <c r="CN156" s="883" t="s">
        <v>123</v>
      </c>
      <c r="CO156" s="874" t="s">
        <v>123</v>
      </c>
      <c r="CP156" s="766"/>
      <c r="CQ156" s="791"/>
      <c r="CR156" s="791"/>
      <c r="CT156" s="791" t="s">
        <v>123</v>
      </c>
      <c r="CU156" s="791" t="str">
        <f>IFERROR(__xludf.DUMMYFUNCTION("IF(CR156="""","""",IF(CT156=$C$4,1,GOOGLEFINANCE(CT156&amp;$C$4)))"),"")</f>
        <v/>
      </c>
    </row>
    <row r="157" ht="22.5" customHeight="1">
      <c r="A157" s="837">
        <v>149.0</v>
      </c>
      <c r="B157" s="838" t="s">
        <v>123</v>
      </c>
      <c r="C157" s="838" t="s">
        <v>123</v>
      </c>
      <c r="D157" s="839" t="s">
        <v>123</v>
      </c>
      <c r="E157" s="839" t="s">
        <v>123</v>
      </c>
      <c r="F157" s="839" t="s">
        <v>123</v>
      </c>
      <c r="H157" s="884"/>
      <c r="I157" s="838"/>
      <c r="J157" s="838"/>
      <c r="K157" s="838"/>
      <c r="L157" s="838"/>
      <c r="M157" s="838"/>
      <c r="N157" s="838"/>
      <c r="O157" s="838"/>
      <c r="P157" s="838"/>
      <c r="Q157" s="838"/>
      <c r="R157" s="838"/>
      <c r="S157" s="838"/>
      <c r="T157" s="838"/>
      <c r="U157" s="838"/>
      <c r="V157" s="838"/>
      <c r="W157" s="838"/>
      <c r="X157" s="838"/>
      <c r="Z157" s="875" t="str">
        <f>IFERROR(__xludf.DUMMYFUNCTION("IF($CR157="""","""",IFERROR(query({CarteirasAtivos},""select Col4 where Col4 is not null and Col1 = '""&amp;$CR157&amp;""' limit 1"")*CU157,""NC""))"),"")</f>
        <v/>
      </c>
      <c r="AA157" s="876" t="str">
        <f>IFERROR(__xludf.DUMMYFUNCTION("IF($CR157="""","""",IFERROR(query({CarteirasAtivos},""select Col6 where Col4 is not null and Col1 = '""&amp;$CR157&amp;""' limit 1""),""NC""))"),"")</f>
        <v/>
      </c>
      <c r="AB157" s="877"/>
      <c r="AC157" s="878" t="s">
        <v>123</v>
      </c>
      <c r="AD157" s="845" t="str">
        <f>IF($CR157="","",IFERROR(VLOOKUP($CR157,ativos.!$C$3:$R308,MATCH("cotacao",ativos.!$C$2:CY$2,0),FALSE)*$CU$5,"atualizar"))</f>
        <v/>
      </c>
      <c r="AE157" s="846" t="str">
        <f>IFERROR(__xludf.DUMMYFUNCTION("IF($CR157="""","""",IFERROR(AVERAGE(query({CarteirasAtivos;CarteirasAtivosEncerrados},""select Col5 where Col5 is not null and Col1 = '""&amp;$CR157&amp;""' and Col10='SIM'""))*CU157,""NC""))"),"")</f>
        <v/>
      </c>
      <c r="AF157" s="847" t="str">
        <f t="shared" si="1"/>
        <v/>
      </c>
      <c r="AG157" s="442"/>
      <c r="AH157" s="848" t="str">
        <f>IFERROR(__xludf.DUMMYFUNCTION("IF($CR157="""","""",IFERROR(GOOGLEFINANCE($CR157,""low52"")*CU157,""-""))"),"")</f>
        <v/>
      </c>
      <c r="AI157" s="848" t="str">
        <f>IFERROR(__xludf.DUMMYFUNCTION("IF($CR157="""","""",IFERROR(GOOGLEFINANCE($CR157,""high52"")*CU157,""-""))"),"")</f>
        <v/>
      </c>
      <c r="AJ157" s="849" t="s">
        <v>123</v>
      </c>
      <c r="AK157" s="850" t="str">
        <f>IFERROR(__xludf.DUMMYFUNCTION("IF($CR157="""","""",IFERROR(GOOGLEFINANCE($CR157,""changepct"")/100,""-""))"),"")</f>
        <v/>
      </c>
      <c r="AL157" s="851" t="str">
        <f>IFERROR(__xludf.DUMMYFUNCTION("IF($CR157="""","""",IFERROR(($AD157/(QUERY(GOOGLEFINANCE($CR157,""price"",TODAY()-7),""SELECT Col2 label Col2 ''"")*$CU157)-1),""-""))"),"")</f>
        <v/>
      </c>
      <c r="AM157" s="851" t="str">
        <f>IFERROR(__xludf.DUMMYFUNCTION("IF($CR157="""","""",IFERROR(($AD157/(QUERY(GOOGLEFINANCE($CR157,""price"",TODAY()-14),""SELECT Col2 label Col2 ''"")*$CU157)-1),""-""))"),"")</f>
        <v/>
      </c>
      <c r="AN157" s="851" t="str">
        <f>IFERROR(__xludf.DUMMYFUNCTION("IF($CR157="""","""",IFERROR(($AD157/(QUERY(GOOGLEFINANCE($CR157,""price"",TODAY()-28),""SELECT Col2 label Col2 ''"")*$CU157)-1),""-""))"),"")</f>
        <v/>
      </c>
      <c r="AO157" s="851" t="str">
        <f>IFERROR(__xludf.DUMMYFUNCTION("IF($CR157="""","""",IFERROR(($AD157/(QUERY(GOOGLEFINANCE($CR157,""price"",TODAY()-$AQ$5),""SELECT Col2 label Col2 ''"")*$CU157)-1),""-""))"),"")</f>
        <v/>
      </c>
      <c r="AP157" s="852" t="str">
        <f>IFERROR(__xludf.DUMMYFUNCTION("IF($CR157="""","""",IFERROR(SPARKLINE(query(GOOGLEFINANCE($CR157,""price"",TODAY()-$AQ$5,TODAY(),1),""select Col2 label Col2 ''""),IF($AP$7=""Gráfico de barras"",{""charttype"",""column"";""highcolor"",""red""},{""chartype"",""line""}))))"),"")</f>
        <v/>
      </c>
      <c r="AQ157" s="144"/>
      <c r="AR157" s="853"/>
      <c r="AS157" s="854" t="str">
        <f>IF($CR157="","",IF(NOT('alocação'!$D$1),"off",IFERROR(VLOOKUP(CR157,BalanceAtivos,3,0),"NC")))</f>
        <v/>
      </c>
      <c r="AT157" s="855" t="str">
        <f>IF($CR157="","",IF(NOT('alocação'!$D$1),"off",IFERROR(VLOOKUP($CR157,BalanceAtivos,4,0)*$CU$5,"NC")))</f>
        <v/>
      </c>
      <c r="AU157" s="856" t="str">
        <f>IF($CR157="","",IF(NOT('alocação'!$D$1),"off",IFERROR(VLOOKUP($CR157,BalanceAtivos,5,0),"-")))</f>
        <v/>
      </c>
      <c r="AV157" s="856" t="str">
        <f>IF($CR157="","",IF(NOT('alocação'!$D$1),"off",IFERROR(VLOOKUP($CR157,BalanceAtivos,6,0),"-")))</f>
        <v/>
      </c>
      <c r="AW157" s="857"/>
      <c r="AX157" s="858" t="str">
        <f>IF($CR157="","",IF($E157="","SP",IFERROR(VLOOKUP($CR157,AtivosDados,MATCH("pm_atual",portfolio.!$A$3:CY$3,0),0)*$CU$5,0)))</f>
        <v/>
      </c>
      <c r="AY157" s="859" t="str">
        <f t="shared" si="2"/>
        <v/>
      </c>
      <c r="AZ157" s="858" t="str">
        <f>IF($CR157="","",IF($E157="","SP",SUMIF(portfolio.!$A$4:$A308,$CR157,portfolio.!$O$4:$O308)*$CU$5))</f>
        <v/>
      </c>
      <c r="BA157" s="858" t="str">
        <f>IF($CR157="","",IF($E157="","SP",SUMIF(portfolio.!$A$4:$A308,$CR157,portfolio.!$AN$4:$AN308)*$CU$5))</f>
        <v/>
      </c>
      <c r="BB157" s="860" t="str">
        <f>IF($CR157="","",IF($E157="","-",IFERROR($BA157/'portfólio'!$DG$63,"")))</f>
        <v/>
      </c>
      <c r="BC157" s="861" t="str">
        <f>IF($CR157="","",IF($E157="","-",SUMIF(portfolio.!$A$4:$A308,$CR157,portfolio.!$J$4:$J308)))</f>
        <v/>
      </c>
      <c r="BD157" s="862" t="str">
        <f>IF($CR157="","",IF($E157="","SP",SUMIF(portfolio.!$A$4:$A308,$CR157,portfolio.!$AQ$4:$AQ308)*$CU$5))</f>
        <v/>
      </c>
      <c r="BE157" s="850" t="str">
        <f t="shared" si="3"/>
        <v/>
      </c>
      <c r="BF157" s="862" t="str">
        <f>IF($CR157="","",IF($E157="","-",SUMIF(portfolio.!$A$4:$A308,$CR157,portfolio.!$AX$4:$AX308)*$CU$5))</f>
        <v/>
      </c>
      <c r="BG157" s="545"/>
      <c r="BH157" s="879" t="s">
        <v>123</v>
      </c>
      <c r="BI157" s="880" t="s">
        <v>123</v>
      </c>
      <c r="BJ157" s="863" t="str">
        <f>IFERROR(__xludf.DUMMYFUNCTION("IF(NOT($BL$4),"""",IF($CR157="""","""",IFERROR(query({GOOGLEFINANCE($CR157,""price"",IF($BI157=""-"",TODAY()-($AQ$5+5),$BI157),TODAY()-1)},""Select max(Col2) where Col1 is not null label max(Col2) ''"")*CU157,""-"")))"),"")</f>
        <v/>
      </c>
      <c r="BK157" s="881" t="s">
        <v>123</v>
      </c>
      <c r="BL157" s="882" t="s">
        <v>123</v>
      </c>
      <c r="BM157" s="442"/>
      <c r="BN157" s="867" t="str">
        <f>IFERROR(__xludf.DUMMYFUNCTION("IF(CR157="""","""",IF(OR(C157=""AÇÃO"",C157=""BDR""),IFERROR(QUERY({fundamentus.!$A$3:$U308},$CX$67&amp;"" where Col1='""&amp;CR157&amp;""' limit 1"",0)),IF(C157=""FII"",IFERROR(QUERY({fundsexplorer.!$A$2:$Z308},$CY$67&amp;"" where Col1='""&amp;CR157&amp;""' limit 1"",0)),""""))"&amp;")"),"")</f>
        <v/>
      </c>
      <c r="BO157" s="867"/>
      <c r="BP157" s="867"/>
      <c r="BQ157" s="867"/>
      <c r="BR157" s="867"/>
      <c r="BS157" s="867"/>
      <c r="BT157" s="867"/>
      <c r="BU157" s="442"/>
      <c r="BV157" s="868" t="str">
        <f>IFERROR(__xludf.DUMMYFUNCTION("IF(OR(C157=""AÇÃO"",C157=""BDR""),IFERROR(GOOGLEFINANCE(CONCAT(""BVMF:"",CR157), ""marketcap"")/1000000,""NC""),"""")"),"")</f>
        <v/>
      </c>
      <c r="BW157" s="869" t="s">
        <v>123</v>
      </c>
      <c r="BX157" s="870" t="s">
        <v>123</v>
      </c>
      <c r="BY157" s="868" t="s">
        <v>123</v>
      </c>
      <c r="BZ157" s="870" t="s">
        <v>123</v>
      </c>
      <c r="CA157" s="868" t="s">
        <v>123</v>
      </c>
      <c r="CB157" s="868" t="s">
        <v>123</v>
      </c>
      <c r="CC157" s="868" t="s">
        <v>123</v>
      </c>
      <c r="CD157" s="868" t="str">
        <f>IFERROR(__xludf.DUMMYFUNCTION("IF(OR(C157=""AÇÃO"",C157=""BDR""),IFERROR(GOOGLEFINANCE(CONCAT(""BVMF:"",CR157), ""volumeavg"")/1000000,""NC""),"""")"),"")</f>
        <v/>
      </c>
      <c r="CE157" s="870" t="s">
        <v>123</v>
      </c>
      <c r="CF157" s="870" t="s">
        <v>123</v>
      </c>
      <c r="CG157" s="870" t="str">
        <f>IFERROR(__xludf.DUMMYFUNCTION("IF(OR(C157=""AÇÃO"",C157=""BDR""),IF(CF157=0,""SEM DY"",IFERROR(ImportXML(CONCAT(""http://www.guiainvest.com.br/raiox/default.aspx?sigla="",$CR157),""//*[@id='lbPayoutAtual']""),""NC"")),"""")"),"")</f>
        <v/>
      </c>
      <c r="CH157" s="870" t="s">
        <v>123</v>
      </c>
      <c r="CI157" s="545"/>
      <c r="CJ157" s="871" t="str">
        <f>IFERROR(__xludf.DUMMYFUNCTION("IF(OR(C157=""AÇÃO"",C157=""BDR""),IFERROR(GOOGLEFINANCE(CONCAT(""BVMF:"",CR157), ""eps""),""NC""),"""")"),"")</f>
        <v/>
      </c>
      <c r="CK157" s="442"/>
      <c r="CL157" s="871" t="str">
        <f>IFERROR(__xludf.DUMMYFUNCTION("IF(NOT($BL$4),"""",IF($CR157="""","""",IF($BC157="""","""",IFERROR(query({op.normal!$B$5:$F308},""select Col5, toDate(Col2) where Col1 =  '""&amp;$CR157&amp;""' and Col4 &gt; 0 and ((Col3 is null) or (Col3 = 'C')) and Col2 &gt;= date '""&amp;TEXT(TODAY()-$AQ$5,""yyyy-mm-dd"&amp;""")&amp;""' order by Col2 desc limit 1 label toDate(Col2) ''"")))))"),"")</f>
        <v/>
      </c>
      <c r="CM157" s="872"/>
      <c r="CN157" s="883" t="s">
        <v>123</v>
      </c>
      <c r="CO157" s="874" t="s">
        <v>123</v>
      </c>
      <c r="CP157" s="766"/>
      <c r="CQ157" s="791"/>
      <c r="CR157" s="791"/>
      <c r="CT157" s="791" t="s">
        <v>123</v>
      </c>
      <c r="CU157" s="791" t="str">
        <f>IFERROR(__xludf.DUMMYFUNCTION("IF(CR157="""","""",IF(CT157=$C$4,1,GOOGLEFINANCE(CT157&amp;$C$4)))"),"")</f>
        <v/>
      </c>
    </row>
    <row r="158" ht="22.5" customHeight="1">
      <c r="A158" s="837">
        <v>150.0</v>
      </c>
      <c r="B158" s="838" t="s">
        <v>123</v>
      </c>
      <c r="C158" s="838" t="s">
        <v>123</v>
      </c>
      <c r="D158" s="839" t="s">
        <v>123</v>
      </c>
      <c r="E158" s="839" t="s">
        <v>123</v>
      </c>
      <c r="F158" s="839" t="s">
        <v>123</v>
      </c>
      <c r="H158" s="884"/>
      <c r="I158" s="838"/>
      <c r="J158" s="838"/>
      <c r="K158" s="838"/>
      <c r="L158" s="838"/>
      <c r="M158" s="838"/>
      <c r="N158" s="838"/>
      <c r="O158" s="838"/>
      <c r="P158" s="838"/>
      <c r="Q158" s="838"/>
      <c r="R158" s="838"/>
      <c r="S158" s="838"/>
      <c r="T158" s="838"/>
      <c r="U158" s="838"/>
      <c r="V158" s="838"/>
      <c r="W158" s="838"/>
      <c r="X158" s="838"/>
      <c r="Z158" s="875" t="str">
        <f>IFERROR(__xludf.DUMMYFUNCTION("IF($CR158="""","""",IFERROR(query({CarteirasAtivos},""select Col4 where Col4 is not null and Col1 = '""&amp;$CR158&amp;""' limit 1"")*CU158,""NC""))"),"")</f>
        <v/>
      </c>
      <c r="AA158" s="876" t="str">
        <f>IFERROR(__xludf.DUMMYFUNCTION("IF($CR158="""","""",IFERROR(query({CarteirasAtivos},""select Col6 where Col4 is not null and Col1 = '""&amp;$CR158&amp;""' limit 1""),""NC""))"),"")</f>
        <v/>
      </c>
      <c r="AB158" s="877"/>
      <c r="AC158" s="878" t="s">
        <v>123</v>
      </c>
      <c r="AD158" s="845" t="str">
        <f>IF($CR158="","",IFERROR(VLOOKUP($CR158,ativos.!$C$3:$R308,MATCH("cotacao",ativos.!$C$2:CY$2,0),FALSE)*$CU$5,"atualizar"))</f>
        <v/>
      </c>
      <c r="AE158" s="846" t="str">
        <f>IFERROR(__xludf.DUMMYFUNCTION("IF($CR158="""","""",IFERROR(AVERAGE(query({CarteirasAtivos;CarteirasAtivosEncerrados},""select Col5 where Col5 is not null and Col1 = '""&amp;$CR158&amp;""' and Col10='SIM'""))*CU158,""NC""))"),"")</f>
        <v/>
      </c>
      <c r="AF158" s="847" t="str">
        <f t="shared" si="1"/>
        <v/>
      </c>
      <c r="AG158" s="442"/>
      <c r="AH158" s="848" t="str">
        <f>IFERROR(__xludf.DUMMYFUNCTION("IF($CR158="""","""",IFERROR(GOOGLEFINANCE($CR158,""low52"")*CU158,""-""))"),"")</f>
        <v/>
      </c>
      <c r="AI158" s="848" t="str">
        <f>IFERROR(__xludf.DUMMYFUNCTION("IF($CR158="""","""",IFERROR(GOOGLEFINANCE($CR158,""high52"")*CU158,""-""))"),"")</f>
        <v/>
      </c>
      <c r="AJ158" s="849" t="s">
        <v>123</v>
      </c>
      <c r="AK158" s="850" t="str">
        <f>IFERROR(__xludf.DUMMYFUNCTION("IF($CR158="""","""",IFERROR(GOOGLEFINANCE($CR158,""changepct"")/100,""-""))"),"")</f>
        <v/>
      </c>
      <c r="AL158" s="851" t="str">
        <f>IFERROR(__xludf.DUMMYFUNCTION("IF($CR158="""","""",IFERROR(($AD158/(QUERY(GOOGLEFINANCE($CR158,""price"",TODAY()-7),""SELECT Col2 label Col2 ''"")*$CU158)-1),""-""))"),"")</f>
        <v/>
      </c>
      <c r="AM158" s="851" t="str">
        <f>IFERROR(__xludf.DUMMYFUNCTION("IF($CR158="""","""",IFERROR(($AD158/(QUERY(GOOGLEFINANCE($CR158,""price"",TODAY()-14),""SELECT Col2 label Col2 ''"")*$CU158)-1),""-""))"),"")</f>
        <v/>
      </c>
      <c r="AN158" s="851" t="str">
        <f>IFERROR(__xludf.DUMMYFUNCTION("IF($CR158="""","""",IFERROR(($AD158/(QUERY(GOOGLEFINANCE($CR158,""price"",TODAY()-28),""SELECT Col2 label Col2 ''"")*$CU158)-1),""-""))"),"")</f>
        <v/>
      </c>
      <c r="AO158" s="851" t="str">
        <f>IFERROR(__xludf.DUMMYFUNCTION("IF($CR158="""","""",IFERROR(($AD158/(QUERY(GOOGLEFINANCE($CR158,""price"",TODAY()-$AQ$5),""SELECT Col2 label Col2 ''"")*$CU158)-1),""-""))"),"")</f>
        <v/>
      </c>
      <c r="AP158" s="852" t="str">
        <f>IFERROR(__xludf.DUMMYFUNCTION("IF($CR158="""","""",IFERROR(SPARKLINE(query(GOOGLEFINANCE($CR158,""price"",TODAY()-$AQ$5,TODAY(),1),""select Col2 label Col2 ''""),IF($AP$7=""Gráfico de barras"",{""charttype"",""column"";""highcolor"",""red""},{""chartype"",""line""}))))"),"")</f>
        <v/>
      </c>
      <c r="AQ158" s="144"/>
      <c r="AR158" s="853"/>
      <c r="AS158" s="854" t="str">
        <f>IF($CR158="","",IF(NOT('alocação'!$D$1),"off",IFERROR(VLOOKUP(CR158,BalanceAtivos,3,0),"NC")))</f>
        <v/>
      </c>
      <c r="AT158" s="855" t="str">
        <f>IF($CR158="","",IF(NOT('alocação'!$D$1),"off",IFERROR(VLOOKUP($CR158,BalanceAtivos,4,0)*$CU$5,"NC")))</f>
        <v/>
      </c>
      <c r="AU158" s="856" t="str">
        <f>IF($CR158="","",IF(NOT('alocação'!$D$1),"off",IFERROR(VLOOKUP($CR158,BalanceAtivos,5,0),"-")))</f>
        <v/>
      </c>
      <c r="AV158" s="856" t="str">
        <f>IF($CR158="","",IF(NOT('alocação'!$D$1),"off",IFERROR(VLOOKUP($CR158,BalanceAtivos,6,0),"-")))</f>
        <v/>
      </c>
      <c r="AW158" s="857"/>
      <c r="AX158" s="858" t="str">
        <f>IF($CR158="","",IF($E158="","SP",IFERROR(VLOOKUP($CR158,AtivosDados,MATCH("pm_atual",portfolio.!$A$3:CY$3,0),0)*$CU$5,0)))</f>
        <v/>
      </c>
      <c r="AY158" s="859" t="str">
        <f t="shared" si="2"/>
        <v/>
      </c>
      <c r="AZ158" s="858" t="str">
        <f>IF($CR158="","",IF($E158="","SP",SUMIF(portfolio.!$A$4:$A308,$CR158,portfolio.!$O$4:$O308)*$CU$5))</f>
        <v/>
      </c>
      <c r="BA158" s="858" t="str">
        <f>IF($CR158="","",IF($E158="","SP",SUMIF(portfolio.!$A$4:$A308,$CR158,portfolio.!$AN$4:$AN308)*$CU$5))</f>
        <v/>
      </c>
      <c r="BB158" s="860" t="str">
        <f>IF($CR158="","",IF($E158="","-",IFERROR($BA158/'portfólio'!$DG$63,"")))</f>
        <v/>
      </c>
      <c r="BC158" s="861" t="str">
        <f>IF($CR158="","",IF($E158="","-",SUMIF(portfolio.!$A$4:$A308,$CR158,portfolio.!$J$4:$J308)))</f>
        <v/>
      </c>
      <c r="BD158" s="862" t="str">
        <f>IF($CR158="","",IF($E158="","SP",SUMIF(portfolio.!$A$4:$A308,$CR158,portfolio.!$AQ$4:$AQ308)*$CU$5))</f>
        <v/>
      </c>
      <c r="BE158" s="850" t="str">
        <f t="shared" si="3"/>
        <v/>
      </c>
      <c r="BF158" s="862" t="str">
        <f>IF($CR158="","",IF($E158="","-",SUMIF(portfolio.!$A$4:$A308,$CR158,portfolio.!$AX$4:$AX308)*$CU$5))</f>
        <v/>
      </c>
      <c r="BG158" s="545"/>
      <c r="BH158" s="879" t="s">
        <v>123</v>
      </c>
      <c r="BI158" s="880" t="s">
        <v>123</v>
      </c>
      <c r="BJ158" s="863" t="str">
        <f>IFERROR(__xludf.DUMMYFUNCTION("IF(NOT($BL$4),"""",IF($CR158="""","""",IFERROR(query({GOOGLEFINANCE($CR158,""price"",IF($BI158=""-"",TODAY()-($AQ$5+5),$BI158),TODAY()-1)},""Select max(Col2) where Col1 is not null label max(Col2) ''"")*CU158,""-"")))"),"")</f>
        <v/>
      </c>
      <c r="BK158" s="881" t="s">
        <v>123</v>
      </c>
      <c r="BL158" s="882" t="s">
        <v>123</v>
      </c>
      <c r="BM158" s="442"/>
      <c r="BN158" s="867" t="str">
        <f>IFERROR(__xludf.DUMMYFUNCTION("IF(CR158="""","""",IF(OR(C158=""AÇÃO"",C158=""BDR""),IFERROR(QUERY({fundamentus.!$A$3:$U308},$CX$67&amp;"" where Col1='""&amp;CR158&amp;""' limit 1"",0)),IF(C158=""FII"",IFERROR(QUERY({fundsexplorer.!$A$2:$Z308},$CY$67&amp;"" where Col1='""&amp;CR158&amp;""' limit 1"",0)),""""))"&amp;")"),"")</f>
        <v/>
      </c>
      <c r="BO158" s="867"/>
      <c r="BP158" s="867"/>
      <c r="BQ158" s="867"/>
      <c r="BR158" s="867"/>
      <c r="BS158" s="867"/>
      <c r="BT158" s="867"/>
      <c r="BU158" s="442"/>
      <c r="BV158" s="868" t="str">
        <f>IFERROR(__xludf.DUMMYFUNCTION("IF(OR(C158=""AÇÃO"",C158=""BDR""),IFERROR(GOOGLEFINANCE(CONCAT(""BVMF:"",CR158), ""marketcap"")/1000000,""NC""),"""")"),"")</f>
        <v/>
      </c>
      <c r="BW158" s="869" t="s">
        <v>123</v>
      </c>
      <c r="BX158" s="870" t="s">
        <v>123</v>
      </c>
      <c r="BY158" s="868" t="s">
        <v>123</v>
      </c>
      <c r="BZ158" s="870" t="s">
        <v>123</v>
      </c>
      <c r="CA158" s="868" t="s">
        <v>123</v>
      </c>
      <c r="CB158" s="868" t="s">
        <v>123</v>
      </c>
      <c r="CC158" s="868" t="s">
        <v>123</v>
      </c>
      <c r="CD158" s="868" t="str">
        <f>IFERROR(__xludf.DUMMYFUNCTION("IF(OR(C158=""AÇÃO"",C158=""BDR""),IFERROR(GOOGLEFINANCE(CONCAT(""BVMF:"",CR158), ""volumeavg"")/1000000,""NC""),"""")"),"")</f>
        <v/>
      </c>
      <c r="CE158" s="870" t="s">
        <v>123</v>
      </c>
      <c r="CF158" s="870" t="s">
        <v>123</v>
      </c>
      <c r="CG158" s="870" t="str">
        <f>IFERROR(__xludf.DUMMYFUNCTION("IF(OR(C158=""AÇÃO"",C158=""BDR""),IF(CF158=0,""SEM DY"",IFERROR(ImportXML(CONCAT(""http://www.guiainvest.com.br/raiox/default.aspx?sigla="",$CR158),""//*[@id='lbPayoutAtual']""),""NC"")),"""")"),"")</f>
        <v/>
      </c>
      <c r="CH158" s="870" t="s">
        <v>123</v>
      </c>
      <c r="CI158" s="545"/>
      <c r="CJ158" s="871" t="str">
        <f>IFERROR(__xludf.DUMMYFUNCTION("IF(OR(C158=""AÇÃO"",C158=""BDR""),IFERROR(GOOGLEFINANCE(CONCAT(""BVMF:"",CR158), ""eps""),""NC""),"""")"),"")</f>
        <v/>
      </c>
      <c r="CK158" s="442"/>
      <c r="CL158" s="871" t="str">
        <f>IFERROR(__xludf.DUMMYFUNCTION("IF(NOT($BL$4),"""",IF($CR158="""","""",IF($BC158="""","""",IFERROR(query({op.normal!$B$5:$F308},""select Col5, toDate(Col2) where Col1 =  '""&amp;$CR158&amp;""' and Col4 &gt; 0 and ((Col3 is null) or (Col3 = 'C')) and Col2 &gt;= date '""&amp;TEXT(TODAY()-$AQ$5,""yyyy-mm-dd"&amp;""")&amp;""' order by Col2 desc limit 1 label toDate(Col2) ''"")))))"),"")</f>
        <v/>
      </c>
      <c r="CM158" s="872"/>
      <c r="CN158" s="883" t="s">
        <v>123</v>
      </c>
      <c r="CO158" s="874" t="s">
        <v>123</v>
      </c>
      <c r="CP158" s="766"/>
      <c r="CQ158" s="791"/>
      <c r="CR158" s="791"/>
      <c r="CT158" s="791" t="s">
        <v>123</v>
      </c>
      <c r="CU158" s="791" t="str">
        <f>IFERROR(__xludf.DUMMYFUNCTION("IF(CR158="""","""",IF(CT158=$C$4,1,GOOGLEFINANCE(CT158&amp;$C$4)))"),"")</f>
        <v/>
      </c>
    </row>
    <row r="159" ht="22.5" customHeight="1">
      <c r="A159" s="837">
        <v>151.0</v>
      </c>
      <c r="B159" s="838" t="s">
        <v>123</v>
      </c>
      <c r="C159" s="838" t="s">
        <v>123</v>
      </c>
      <c r="D159" s="839" t="s">
        <v>123</v>
      </c>
      <c r="E159" s="839" t="s">
        <v>123</v>
      </c>
      <c r="F159" s="839" t="s">
        <v>123</v>
      </c>
      <c r="H159" s="884"/>
      <c r="I159" s="838"/>
      <c r="J159" s="838"/>
      <c r="K159" s="838"/>
      <c r="L159" s="838"/>
      <c r="M159" s="838"/>
      <c r="N159" s="838"/>
      <c r="O159" s="838"/>
      <c r="P159" s="838"/>
      <c r="Q159" s="838"/>
      <c r="R159" s="838"/>
      <c r="S159" s="838"/>
      <c r="T159" s="838"/>
      <c r="U159" s="838"/>
      <c r="V159" s="838"/>
      <c r="W159" s="838"/>
      <c r="X159" s="838"/>
      <c r="Z159" s="875" t="str">
        <f>IFERROR(__xludf.DUMMYFUNCTION("IF($CR159="""","""",IFERROR(query({CarteirasAtivos},""select Col4 where Col4 is not null and Col1 = '""&amp;$CR159&amp;""' limit 1"")*CU159,""NC""))"),"")</f>
        <v/>
      </c>
      <c r="AA159" s="876" t="str">
        <f>IFERROR(__xludf.DUMMYFUNCTION("IF($CR159="""","""",IFERROR(query({CarteirasAtivos},""select Col6 where Col4 is not null and Col1 = '""&amp;$CR159&amp;""' limit 1""),""NC""))"),"")</f>
        <v/>
      </c>
      <c r="AB159" s="877"/>
      <c r="AC159" s="878" t="s">
        <v>123</v>
      </c>
      <c r="AD159" s="845" t="str">
        <f>IF($CR159="","",IFERROR(VLOOKUP($CR159,ativos.!$C$3:$R308,MATCH("cotacao",ativos.!$C$2:CY$2,0),FALSE)*$CU$5,"atualizar"))</f>
        <v/>
      </c>
      <c r="AE159" s="846" t="str">
        <f>IFERROR(__xludf.DUMMYFUNCTION("IF($CR159="""","""",IFERROR(AVERAGE(query({CarteirasAtivos;CarteirasAtivosEncerrados},""select Col5 where Col5 is not null and Col1 = '""&amp;$CR159&amp;""' and Col10='SIM'""))*CU159,""NC""))"),"")</f>
        <v/>
      </c>
      <c r="AF159" s="847" t="str">
        <f t="shared" si="1"/>
        <v/>
      </c>
      <c r="AG159" s="442"/>
      <c r="AH159" s="848" t="str">
        <f>IFERROR(__xludf.DUMMYFUNCTION("IF($CR159="""","""",IFERROR(GOOGLEFINANCE($CR159,""low52"")*CU159,""-""))"),"")</f>
        <v/>
      </c>
      <c r="AI159" s="848" t="str">
        <f>IFERROR(__xludf.DUMMYFUNCTION("IF($CR159="""","""",IFERROR(GOOGLEFINANCE($CR159,""high52"")*CU159,""-""))"),"")</f>
        <v/>
      </c>
      <c r="AJ159" s="849" t="s">
        <v>123</v>
      </c>
      <c r="AK159" s="850" t="str">
        <f>IFERROR(__xludf.DUMMYFUNCTION("IF($CR159="""","""",IFERROR(GOOGLEFINANCE($CR159,""changepct"")/100,""-""))"),"")</f>
        <v/>
      </c>
      <c r="AL159" s="851" t="str">
        <f>IFERROR(__xludf.DUMMYFUNCTION("IF($CR159="""","""",IFERROR(($AD159/(QUERY(GOOGLEFINANCE($CR159,""price"",TODAY()-7),""SELECT Col2 label Col2 ''"")*$CU159)-1),""-""))"),"")</f>
        <v/>
      </c>
      <c r="AM159" s="851" t="str">
        <f>IFERROR(__xludf.DUMMYFUNCTION("IF($CR159="""","""",IFERROR(($AD159/(QUERY(GOOGLEFINANCE($CR159,""price"",TODAY()-14),""SELECT Col2 label Col2 ''"")*$CU159)-1),""-""))"),"")</f>
        <v/>
      </c>
      <c r="AN159" s="851" t="str">
        <f>IFERROR(__xludf.DUMMYFUNCTION("IF($CR159="""","""",IFERROR(($AD159/(QUERY(GOOGLEFINANCE($CR159,""price"",TODAY()-28),""SELECT Col2 label Col2 ''"")*$CU159)-1),""-""))"),"")</f>
        <v/>
      </c>
      <c r="AO159" s="851" t="str">
        <f>IFERROR(__xludf.DUMMYFUNCTION("IF($CR159="""","""",IFERROR(($AD159/(QUERY(GOOGLEFINANCE($CR159,""price"",TODAY()-$AQ$5),""SELECT Col2 label Col2 ''"")*$CU159)-1),""-""))"),"")</f>
        <v/>
      </c>
      <c r="AP159" s="852" t="str">
        <f>IFERROR(__xludf.DUMMYFUNCTION("IF($CR159="""","""",IFERROR(SPARKLINE(query(GOOGLEFINANCE($CR159,""price"",TODAY()-$AQ$5,TODAY(),1),""select Col2 label Col2 ''""),IF($AP$7=""Gráfico de barras"",{""charttype"",""column"";""highcolor"",""red""},{""chartype"",""line""}))))"),"")</f>
        <v/>
      </c>
      <c r="AQ159" s="144"/>
      <c r="AR159" s="853"/>
      <c r="AS159" s="854" t="str">
        <f>IF($CR159="","",IF(NOT('alocação'!$D$1),"off",IFERROR(VLOOKUP(CR159,BalanceAtivos,3,0),"NC")))</f>
        <v/>
      </c>
      <c r="AT159" s="855" t="str">
        <f>IF($CR159="","",IF(NOT('alocação'!$D$1),"off",IFERROR(VLOOKUP($CR159,BalanceAtivos,4,0)*$CU$5,"NC")))</f>
        <v/>
      </c>
      <c r="AU159" s="856" t="str">
        <f>IF($CR159="","",IF(NOT('alocação'!$D$1),"off",IFERROR(VLOOKUP($CR159,BalanceAtivos,5,0),"-")))</f>
        <v/>
      </c>
      <c r="AV159" s="856" t="str">
        <f>IF($CR159="","",IF(NOT('alocação'!$D$1),"off",IFERROR(VLOOKUP($CR159,BalanceAtivos,6,0),"-")))</f>
        <v/>
      </c>
      <c r="AW159" s="857"/>
      <c r="AX159" s="858" t="str">
        <f>IF($CR159="","",IF($E159="","SP",IFERROR(VLOOKUP($CR159,AtivosDados,MATCH("pm_atual",portfolio.!$A$3:CY$3,0),0)*$CU$5,0)))</f>
        <v/>
      </c>
      <c r="AY159" s="859" t="str">
        <f t="shared" si="2"/>
        <v/>
      </c>
      <c r="AZ159" s="858" t="str">
        <f>IF($CR159="","",IF($E159="","SP",SUMIF(portfolio.!$A$4:$A308,$CR159,portfolio.!$O$4:$O308)*$CU$5))</f>
        <v/>
      </c>
      <c r="BA159" s="858" t="str">
        <f>IF($CR159="","",IF($E159="","SP",SUMIF(portfolio.!$A$4:$A308,$CR159,portfolio.!$AN$4:$AN308)*$CU$5))</f>
        <v/>
      </c>
      <c r="BB159" s="860" t="str">
        <f>IF($CR159="","",IF($E159="","-",IFERROR($BA159/'portfólio'!$DG$63,"")))</f>
        <v/>
      </c>
      <c r="BC159" s="861" t="str">
        <f>IF($CR159="","",IF($E159="","-",SUMIF(portfolio.!$A$4:$A308,$CR159,portfolio.!$J$4:$J308)))</f>
        <v/>
      </c>
      <c r="BD159" s="862" t="str">
        <f>IF($CR159="","",IF($E159="","SP",SUMIF(portfolio.!$A$4:$A308,$CR159,portfolio.!$AQ$4:$AQ308)*$CU$5))</f>
        <v/>
      </c>
      <c r="BE159" s="850" t="str">
        <f t="shared" si="3"/>
        <v/>
      </c>
      <c r="BF159" s="862" t="str">
        <f>IF($CR159="","",IF($E159="","-",SUMIF(portfolio.!$A$4:$A308,$CR159,portfolio.!$AX$4:$AX308)*$CU$5))</f>
        <v/>
      </c>
      <c r="BG159" s="545"/>
      <c r="BH159" s="879" t="s">
        <v>123</v>
      </c>
      <c r="BI159" s="880" t="s">
        <v>123</v>
      </c>
      <c r="BJ159" s="863" t="str">
        <f>IFERROR(__xludf.DUMMYFUNCTION("IF(NOT($BL$4),"""",IF($CR159="""","""",IFERROR(query({GOOGLEFINANCE($CR159,""price"",IF($BI159=""-"",TODAY()-($AQ$5+5),$BI159),TODAY()-1)},""Select max(Col2) where Col1 is not null label max(Col2) ''"")*CU159,""-"")))"),"")</f>
        <v/>
      </c>
      <c r="BK159" s="881" t="s">
        <v>123</v>
      </c>
      <c r="BL159" s="882" t="s">
        <v>123</v>
      </c>
      <c r="BM159" s="442"/>
      <c r="BN159" s="867" t="str">
        <f>IFERROR(__xludf.DUMMYFUNCTION("IF(CR159="""","""",IF(OR(C159=""AÇÃO"",C159=""BDR""),IFERROR(QUERY({fundamentus.!$A$3:$U308},$CX$67&amp;"" where Col1='""&amp;CR159&amp;""' limit 1"",0)),IF(C159=""FII"",IFERROR(QUERY({fundsexplorer.!$A$2:$Z308},$CY$67&amp;"" where Col1='""&amp;CR159&amp;""' limit 1"",0)),""""))"&amp;")"),"")</f>
        <v/>
      </c>
      <c r="BO159" s="867"/>
      <c r="BP159" s="867"/>
      <c r="BQ159" s="867"/>
      <c r="BR159" s="867"/>
      <c r="BS159" s="867"/>
      <c r="BT159" s="867"/>
      <c r="BU159" s="442"/>
      <c r="BV159" s="868" t="str">
        <f>IFERROR(__xludf.DUMMYFUNCTION("IF(OR(C159=""AÇÃO"",C159=""BDR""),IFERROR(GOOGLEFINANCE(CONCAT(""BVMF:"",CR159), ""marketcap"")/1000000,""NC""),"""")"),"")</f>
        <v/>
      </c>
      <c r="BW159" s="869" t="s">
        <v>123</v>
      </c>
      <c r="BX159" s="870" t="s">
        <v>123</v>
      </c>
      <c r="BY159" s="868" t="s">
        <v>123</v>
      </c>
      <c r="BZ159" s="870" t="s">
        <v>123</v>
      </c>
      <c r="CA159" s="868" t="s">
        <v>123</v>
      </c>
      <c r="CB159" s="868" t="s">
        <v>123</v>
      </c>
      <c r="CC159" s="868" t="s">
        <v>123</v>
      </c>
      <c r="CD159" s="868" t="str">
        <f>IFERROR(__xludf.DUMMYFUNCTION("IF(OR(C159=""AÇÃO"",C159=""BDR""),IFERROR(GOOGLEFINANCE(CONCAT(""BVMF:"",CR159), ""volumeavg"")/1000000,""NC""),"""")"),"")</f>
        <v/>
      </c>
      <c r="CE159" s="870" t="s">
        <v>123</v>
      </c>
      <c r="CF159" s="870" t="s">
        <v>123</v>
      </c>
      <c r="CG159" s="870" t="str">
        <f>IFERROR(__xludf.DUMMYFUNCTION("IF(OR(C159=""AÇÃO"",C159=""BDR""),IF(CF159=0,""SEM DY"",IFERROR(ImportXML(CONCAT(""http://www.guiainvest.com.br/raiox/default.aspx?sigla="",$CR159),""//*[@id='lbPayoutAtual']""),""NC"")),"""")"),"")</f>
        <v/>
      </c>
      <c r="CH159" s="870" t="s">
        <v>123</v>
      </c>
      <c r="CI159" s="545"/>
      <c r="CJ159" s="871" t="str">
        <f>IFERROR(__xludf.DUMMYFUNCTION("IF(OR(C159=""AÇÃO"",C159=""BDR""),IFERROR(GOOGLEFINANCE(CONCAT(""BVMF:"",CR159), ""eps""),""NC""),"""")"),"")</f>
        <v/>
      </c>
      <c r="CK159" s="442"/>
      <c r="CL159" s="871" t="str">
        <f>IFERROR(__xludf.DUMMYFUNCTION("IF(NOT($BL$4),"""",IF($CR159="""","""",IF($BC159="""","""",IFERROR(query({op.normal!$B$5:$F308},""select Col5, toDate(Col2) where Col1 =  '""&amp;$CR159&amp;""' and Col4 &gt; 0 and ((Col3 is null) or (Col3 = 'C')) and Col2 &gt;= date '""&amp;TEXT(TODAY()-$AQ$5,""yyyy-mm-dd"&amp;""")&amp;""' order by Col2 desc limit 1 label toDate(Col2) ''"")))))"),"")</f>
        <v/>
      </c>
      <c r="CM159" s="872"/>
      <c r="CN159" s="883" t="s">
        <v>123</v>
      </c>
      <c r="CO159" s="874" t="s">
        <v>123</v>
      </c>
      <c r="CP159" s="766"/>
      <c r="CQ159" s="791"/>
      <c r="CR159" s="791"/>
      <c r="CT159" s="791" t="s">
        <v>123</v>
      </c>
      <c r="CU159" s="791" t="str">
        <f>IFERROR(__xludf.DUMMYFUNCTION("IF(CR159="""","""",IF(CT159=$C$4,1,GOOGLEFINANCE(CT159&amp;$C$4)))"),"")</f>
        <v/>
      </c>
    </row>
    <row r="160" ht="22.5" customHeight="1">
      <c r="A160" s="837">
        <v>152.0</v>
      </c>
      <c r="B160" s="838" t="s">
        <v>123</v>
      </c>
      <c r="C160" s="838" t="s">
        <v>123</v>
      </c>
      <c r="D160" s="839" t="s">
        <v>123</v>
      </c>
      <c r="E160" s="839" t="s">
        <v>123</v>
      </c>
      <c r="F160" s="839" t="s">
        <v>123</v>
      </c>
      <c r="H160" s="884"/>
      <c r="I160" s="838"/>
      <c r="J160" s="838"/>
      <c r="K160" s="838"/>
      <c r="L160" s="838"/>
      <c r="M160" s="838"/>
      <c r="N160" s="838"/>
      <c r="O160" s="838"/>
      <c r="P160" s="838"/>
      <c r="Q160" s="838"/>
      <c r="R160" s="838"/>
      <c r="S160" s="838"/>
      <c r="T160" s="838"/>
      <c r="U160" s="838"/>
      <c r="V160" s="838"/>
      <c r="W160" s="838"/>
      <c r="X160" s="838"/>
      <c r="Z160" s="875" t="str">
        <f>IFERROR(__xludf.DUMMYFUNCTION("IF($CR160="""","""",IFERROR(query({CarteirasAtivos},""select Col4 where Col4 is not null and Col1 = '""&amp;$CR160&amp;""' limit 1"")*CU160,""NC""))"),"")</f>
        <v/>
      </c>
      <c r="AA160" s="876" t="str">
        <f>IFERROR(__xludf.DUMMYFUNCTION("IF($CR160="""","""",IFERROR(query({CarteirasAtivos},""select Col6 where Col4 is not null and Col1 = '""&amp;$CR160&amp;""' limit 1""),""NC""))"),"")</f>
        <v/>
      </c>
      <c r="AB160" s="877"/>
      <c r="AC160" s="878" t="s">
        <v>123</v>
      </c>
      <c r="AD160" s="845" t="str">
        <f>IF($CR160="","",IFERROR(VLOOKUP($CR160,ativos.!$C$3:$R308,MATCH("cotacao",ativos.!$C$2:CY$2,0),FALSE)*$CU$5,"atualizar"))</f>
        <v/>
      </c>
      <c r="AE160" s="846" t="str">
        <f>IFERROR(__xludf.DUMMYFUNCTION("IF($CR160="""","""",IFERROR(AVERAGE(query({CarteirasAtivos;CarteirasAtivosEncerrados},""select Col5 where Col5 is not null and Col1 = '""&amp;$CR160&amp;""' and Col10='SIM'""))*CU160,""NC""))"),"")</f>
        <v/>
      </c>
      <c r="AF160" s="847" t="str">
        <f t="shared" si="1"/>
        <v/>
      </c>
      <c r="AG160" s="442"/>
      <c r="AH160" s="848" t="str">
        <f>IFERROR(__xludf.DUMMYFUNCTION("IF($CR160="""","""",IFERROR(GOOGLEFINANCE($CR160,""low52"")*CU160,""-""))"),"")</f>
        <v/>
      </c>
      <c r="AI160" s="848" t="str">
        <f>IFERROR(__xludf.DUMMYFUNCTION("IF($CR160="""","""",IFERROR(GOOGLEFINANCE($CR160,""high52"")*CU160,""-""))"),"")</f>
        <v/>
      </c>
      <c r="AJ160" s="849" t="s">
        <v>123</v>
      </c>
      <c r="AK160" s="850" t="str">
        <f>IFERROR(__xludf.DUMMYFUNCTION("IF($CR160="""","""",IFERROR(GOOGLEFINANCE($CR160,""changepct"")/100,""-""))"),"")</f>
        <v/>
      </c>
      <c r="AL160" s="851" t="str">
        <f>IFERROR(__xludf.DUMMYFUNCTION("IF($CR160="""","""",IFERROR(($AD160/(QUERY(GOOGLEFINANCE($CR160,""price"",TODAY()-7),""SELECT Col2 label Col2 ''"")*$CU160)-1),""-""))"),"")</f>
        <v/>
      </c>
      <c r="AM160" s="851" t="str">
        <f>IFERROR(__xludf.DUMMYFUNCTION("IF($CR160="""","""",IFERROR(($AD160/(QUERY(GOOGLEFINANCE($CR160,""price"",TODAY()-14),""SELECT Col2 label Col2 ''"")*$CU160)-1),""-""))"),"")</f>
        <v/>
      </c>
      <c r="AN160" s="851" t="str">
        <f>IFERROR(__xludf.DUMMYFUNCTION("IF($CR160="""","""",IFERROR(($AD160/(QUERY(GOOGLEFINANCE($CR160,""price"",TODAY()-28),""SELECT Col2 label Col2 ''"")*$CU160)-1),""-""))"),"")</f>
        <v/>
      </c>
      <c r="AO160" s="851" t="str">
        <f>IFERROR(__xludf.DUMMYFUNCTION("IF($CR160="""","""",IFERROR(($AD160/(QUERY(GOOGLEFINANCE($CR160,""price"",TODAY()-$AQ$5),""SELECT Col2 label Col2 ''"")*$CU160)-1),""-""))"),"")</f>
        <v/>
      </c>
      <c r="AP160" s="852" t="str">
        <f>IFERROR(__xludf.DUMMYFUNCTION("IF($CR160="""","""",IFERROR(SPARKLINE(query(GOOGLEFINANCE($CR160,""price"",TODAY()-$AQ$5,TODAY(),1),""select Col2 label Col2 ''""),IF($AP$7=""Gráfico de barras"",{""charttype"",""column"";""highcolor"",""red""},{""chartype"",""line""}))))"),"")</f>
        <v/>
      </c>
      <c r="AQ160" s="144"/>
      <c r="AR160" s="853"/>
      <c r="AS160" s="854" t="str">
        <f>IF($CR160="","",IF(NOT('alocação'!$D$1),"off",IFERROR(VLOOKUP(CR160,BalanceAtivos,3,0),"NC")))</f>
        <v/>
      </c>
      <c r="AT160" s="855" t="str">
        <f>IF($CR160="","",IF(NOT('alocação'!$D$1),"off",IFERROR(VLOOKUP($CR160,BalanceAtivos,4,0)*$CU$5,"NC")))</f>
        <v/>
      </c>
      <c r="AU160" s="856" t="str">
        <f>IF($CR160="","",IF(NOT('alocação'!$D$1),"off",IFERROR(VLOOKUP($CR160,BalanceAtivos,5,0),"-")))</f>
        <v/>
      </c>
      <c r="AV160" s="856" t="str">
        <f>IF($CR160="","",IF(NOT('alocação'!$D$1),"off",IFERROR(VLOOKUP($CR160,BalanceAtivos,6,0),"-")))</f>
        <v/>
      </c>
      <c r="AW160" s="857"/>
      <c r="AX160" s="858" t="str">
        <f>IF($CR160="","",IF($E160="","SP",IFERROR(VLOOKUP($CR160,AtivosDados,MATCH("pm_atual",portfolio.!$A$3:CY$3,0),0)*$CU$5,0)))</f>
        <v/>
      </c>
      <c r="AY160" s="859" t="str">
        <f t="shared" si="2"/>
        <v/>
      </c>
      <c r="AZ160" s="858" t="str">
        <f>IF($CR160="","",IF($E160="","SP",SUMIF(portfolio.!$A$4:$A308,$CR160,portfolio.!$O$4:$O308)*$CU$5))</f>
        <v/>
      </c>
      <c r="BA160" s="858" t="str">
        <f>IF($CR160="","",IF($E160="","SP",SUMIF(portfolio.!$A$4:$A308,$CR160,portfolio.!$AN$4:$AN308)*$CU$5))</f>
        <v/>
      </c>
      <c r="BB160" s="860" t="str">
        <f>IF($CR160="","",IF($E160="","-",IFERROR($BA160/'portfólio'!$DG$63,"")))</f>
        <v/>
      </c>
      <c r="BC160" s="861" t="str">
        <f>IF($CR160="","",IF($E160="","-",SUMIF(portfolio.!$A$4:$A308,$CR160,portfolio.!$J$4:$J308)))</f>
        <v/>
      </c>
      <c r="BD160" s="862" t="str">
        <f>IF($CR160="","",IF($E160="","SP",SUMIF(portfolio.!$A$4:$A308,$CR160,portfolio.!$AQ$4:$AQ308)*$CU$5))</f>
        <v/>
      </c>
      <c r="BE160" s="850" t="str">
        <f t="shared" si="3"/>
        <v/>
      </c>
      <c r="BF160" s="862" t="str">
        <f>IF($CR160="","",IF($E160="","-",SUMIF(portfolio.!$A$4:$A308,$CR160,portfolio.!$AX$4:$AX308)*$CU$5))</f>
        <v/>
      </c>
      <c r="BG160" s="545"/>
      <c r="BH160" s="879" t="s">
        <v>123</v>
      </c>
      <c r="BI160" s="880" t="s">
        <v>123</v>
      </c>
      <c r="BJ160" s="863" t="str">
        <f>IFERROR(__xludf.DUMMYFUNCTION("IF(NOT($BL$4),"""",IF($CR160="""","""",IFERROR(query({GOOGLEFINANCE($CR160,""price"",IF($BI160=""-"",TODAY()-($AQ$5+5),$BI160),TODAY()-1)},""Select max(Col2) where Col1 is not null label max(Col2) ''"")*CU160,""-"")))"),"")</f>
        <v/>
      </c>
      <c r="BK160" s="881" t="s">
        <v>123</v>
      </c>
      <c r="BL160" s="882" t="s">
        <v>123</v>
      </c>
      <c r="BM160" s="442"/>
      <c r="BN160" s="867" t="str">
        <f>IFERROR(__xludf.DUMMYFUNCTION("IF(CR160="""","""",IF(OR(C160=""AÇÃO"",C160=""BDR""),IFERROR(QUERY({fundamentus.!$A$3:$U308},$CX$67&amp;"" where Col1='""&amp;CR160&amp;""' limit 1"",0)),IF(C160=""FII"",IFERROR(QUERY({fundsexplorer.!$A$2:$Z308},$CY$67&amp;"" where Col1='""&amp;CR160&amp;""' limit 1"",0)),""""))"&amp;")"),"")</f>
        <v/>
      </c>
      <c r="BO160" s="867"/>
      <c r="BP160" s="867"/>
      <c r="BQ160" s="867"/>
      <c r="BR160" s="867"/>
      <c r="BS160" s="867"/>
      <c r="BT160" s="867"/>
      <c r="BU160" s="442"/>
      <c r="BV160" s="868" t="str">
        <f>IFERROR(__xludf.DUMMYFUNCTION("IF(OR(C160=""AÇÃO"",C160=""BDR""),IFERROR(GOOGLEFINANCE(CONCAT(""BVMF:"",CR160), ""marketcap"")/1000000,""NC""),"""")"),"")</f>
        <v/>
      </c>
      <c r="BW160" s="869" t="s">
        <v>123</v>
      </c>
      <c r="BX160" s="870" t="s">
        <v>123</v>
      </c>
      <c r="BY160" s="868" t="s">
        <v>123</v>
      </c>
      <c r="BZ160" s="870" t="s">
        <v>123</v>
      </c>
      <c r="CA160" s="868" t="s">
        <v>123</v>
      </c>
      <c r="CB160" s="868" t="s">
        <v>123</v>
      </c>
      <c r="CC160" s="868" t="s">
        <v>123</v>
      </c>
      <c r="CD160" s="868" t="str">
        <f>IFERROR(__xludf.DUMMYFUNCTION("IF(OR(C160=""AÇÃO"",C160=""BDR""),IFERROR(GOOGLEFINANCE(CONCAT(""BVMF:"",CR160), ""volumeavg"")/1000000,""NC""),"""")"),"")</f>
        <v/>
      </c>
      <c r="CE160" s="870" t="s">
        <v>123</v>
      </c>
      <c r="CF160" s="870" t="s">
        <v>123</v>
      </c>
      <c r="CG160" s="870" t="str">
        <f>IFERROR(__xludf.DUMMYFUNCTION("IF(OR(C160=""AÇÃO"",C160=""BDR""),IF(CF160=0,""SEM DY"",IFERROR(ImportXML(CONCAT(""http://www.guiainvest.com.br/raiox/default.aspx?sigla="",$CR160),""//*[@id='lbPayoutAtual']""),""NC"")),"""")"),"")</f>
        <v/>
      </c>
      <c r="CH160" s="870" t="s">
        <v>123</v>
      </c>
      <c r="CI160" s="545"/>
      <c r="CJ160" s="871" t="str">
        <f>IFERROR(__xludf.DUMMYFUNCTION("IF(OR(C160=""AÇÃO"",C160=""BDR""),IFERROR(GOOGLEFINANCE(CONCAT(""BVMF:"",CR160), ""eps""),""NC""),"""")"),"")</f>
        <v/>
      </c>
      <c r="CK160" s="442"/>
      <c r="CL160" s="871" t="str">
        <f>IFERROR(__xludf.DUMMYFUNCTION("IF(NOT($BL$4),"""",IF($CR160="""","""",IF($BC160="""","""",IFERROR(query({op.normal!$B$5:$F308},""select Col5, toDate(Col2) where Col1 =  '""&amp;$CR160&amp;""' and Col4 &gt; 0 and ((Col3 is null) or (Col3 = 'C')) and Col2 &gt;= date '""&amp;TEXT(TODAY()-$AQ$5,""yyyy-mm-dd"&amp;""")&amp;""' order by Col2 desc limit 1 label toDate(Col2) ''"")))))"),"")</f>
        <v/>
      </c>
      <c r="CM160" s="872"/>
      <c r="CN160" s="883" t="s">
        <v>123</v>
      </c>
      <c r="CO160" s="874" t="s">
        <v>123</v>
      </c>
      <c r="CP160" s="766"/>
      <c r="CQ160" s="791"/>
      <c r="CR160" s="791"/>
      <c r="CT160" s="791" t="s">
        <v>123</v>
      </c>
      <c r="CU160" s="791" t="str">
        <f>IFERROR(__xludf.DUMMYFUNCTION("IF(CR160="""","""",IF(CT160=$C$4,1,GOOGLEFINANCE(CT160&amp;$C$4)))"),"")</f>
        <v/>
      </c>
    </row>
    <row r="161" ht="22.5" customHeight="1">
      <c r="A161" s="837">
        <v>153.0</v>
      </c>
      <c r="B161" s="838" t="s">
        <v>123</v>
      </c>
      <c r="C161" s="838" t="s">
        <v>123</v>
      </c>
      <c r="D161" s="839" t="s">
        <v>123</v>
      </c>
      <c r="E161" s="839" t="s">
        <v>123</v>
      </c>
      <c r="F161" s="839" t="s">
        <v>123</v>
      </c>
      <c r="H161" s="884"/>
      <c r="I161" s="838"/>
      <c r="J161" s="838"/>
      <c r="K161" s="838"/>
      <c r="L161" s="838"/>
      <c r="M161" s="838"/>
      <c r="N161" s="838"/>
      <c r="O161" s="838"/>
      <c r="P161" s="838"/>
      <c r="Q161" s="838"/>
      <c r="R161" s="838"/>
      <c r="S161" s="838"/>
      <c r="T161" s="838"/>
      <c r="U161" s="838"/>
      <c r="V161" s="838"/>
      <c r="W161" s="838"/>
      <c r="X161" s="838"/>
      <c r="Z161" s="875" t="str">
        <f>IFERROR(__xludf.DUMMYFUNCTION("IF($CR161="""","""",IFERROR(query({CarteirasAtivos},""select Col4 where Col4 is not null and Col1 = '""&amp;$CR161&amp;""' limit 1"")*CU161,""NC""))"),"")</f>
        <v/>
      </c>
      <c r="AA161" s="876" t="str">
        <f>IFERROR(__xludf.DUMMYFUNCTION("IF($CR161="""","""",IFERROR(query({CarteirasAtivos},""select Col6 where Col4 is not null and Col1 = '""&amp;$CR161&amp;""' limit 1""),""NC""))"),"")</f>
        <v/>
      </c>
      <c r="AB161" s="877"/>
      <c r="AC161" s="878" t="s">
        <v>123</v>
      </c>
      <c r="AD161" s="845" t="str">
        <f>IF($CR161="","",IFERROR(VLOOKUP($CR161,ativos.!$C$3:$R308,MATCH("cotacao",ativos.!$C$2:CY$2,0),FALSE)*$CU$5,"atualizar"))</f>
        <v/>
      </c>
      <c r="AE161" s="846" t="str">
        <f>IFERROR(__xludf.DUMMYFUNCTION("IF($CR161="""","""",IFERROR(AVERAGE(query({CarteirasAtivos;CarteirasAtivosEncerrados},""select Col5 where Col5 is not null and Col1 = '""&amp;$CR161&amp;""' and Col10='SIM'""))*CU161,""NC""))"),"")</f>
        <v/>
      </c>
      <c r="AF161" s="847" t="str">
        <f t="shared" si="1"/>
        <v/>
      </c>
      <c r="AG161" s="442"/>
      <c r="AH161" s="848" t="str">
        <f>IFERROR(__xludf.DUMMYFUNCTION("IF($CR161="""","""",IFERROR(GOOGLEFINANCE($CR161,""low52"")*CU161,""-""))"),"")</f>
        <v/>
      </c>
      <c r="AI161" s="848" t="str">
        <f>IFERROR(__xludf.DUMMYFUNCTION("IF($CR161="""","""",IFERROR(GOOGLEFINANCE($CR161,""high52"")*CU161,""-""))"),"")</f>
        <v/>
      </c>
      <c r="AJ161" s="849" t="s">
        <v>123</v>
      </c>
      <c r="AK161" s="850" t="str">
        <f>IFERROR(__xludf.DUMMYFUNCTION("IF($CR161="""","""",IFERROR(GOOGLEFINANCE($CR161,""changepct"")/100,""-""))"),"")</f>
        <v/>
      </c>
      <c r="AL161" s="851" t="str">
        <f>IFERROR(__xludf.DUMMYFUNCTION("IF($CR161="""","""",IFERROR(($AD161/(QUERY(GOOGLEFINANCE($CR161,""price"",TODAY()-7),""SELECT Col2 label Col2 ''"")*$CU161)-1),""-""))"),"")</f>
        <v/>
      </c>
      <c r="AM161" s="851" t="str">
        <f>IFERROR(__xludf.DUMMYFUNCTION("IF($CR161="""","""",IFERROR(($AD161/(QUERY(GOOGLEFINANCE($CR161,""price"",TODAY()-14),""SELECT Col2 label Col2 ''"")*$CU161)-1),""-""))"),"")</f>
        <v/>
      </c>
      <c r="AN161" s="851" t="str">
        <f>IFERROR(__xludf.DUMMYFUNCTION("IF($CR161="""","""",IFERROR(($AD161/(QUERY(GOOGLEFINANCE($CR161,""price"",TODAY()-28),""SELECT Col2 label Col2 ''"")*$CU161)-1),""-""))"),"")</f>
        <v/>
      </c>
      <c r="AO161" s="851" t="str">
        <f>IFERROR(__xludf.DUMMYFUNCTION("IF($CR161="""","""",IFERROR(($AD161/(QUERY(GOOGLEFINANCE($CR161,""price"",TODAY()-$AQ$5),""SELECT Col2 label Col2 ''"")*$CU161)-1),""-""))"),"")</f>
        <v/>
      </c>
      <c r="AP161" s="852" t="str">
        <f>IFERROR(__xludf.DUMMYFUNCTION("IF($CR161="""","""",IFERROR(SPARKLINE(query(GOOGLEFINANCE($CR161,""price"",TODAY()-$AQ$5,TODAY(),1),""select Col2 label Col2 ''""),IF($AP$7=""Gráfico de barras"",{""charttype"",""column"";""highcolor"",""red""},{""chartype"",""line""}))))"),"")</f>
        <v/>
      </c>
      <c r="AQ161" s="144"/>
      <c r="AR161" s="853"/>
      <c r="AS161" s="854" t="str">
        <f>IF($CR161="","",IF(NOT('alocação'!$D$1),"off",IFERROR(VLOOKUP(CR161,BalanceAtivos,3,0),"NC")))</f>
        <v/>
      </c>
      <c r="AT161" s="855" t="str">
        <f>IF($CR161="","",IF(NOT('alocação'!$D$1),"off",IFERROR(VLOOKUP($CR161,BalanceAtivos,4,0)*$CU$5,"NC")))</f>
        <v/>
      </c>
      <c r="AU161" s="856" t="str">
        <f>IF($CR161="","",IF(NOT('alocação'!$D$1),"off",IFERROR(VLOOKUP($CR161,BalanceAtivos,5,0),"-")))</f>
        <v/>
      </c>
      <c r="AV161" s="856" t="str">
        <f>IF($CR161="","",IF(NOT('alocação'!$D$1),"off",IFERROR(VLOOKUP($CR161,BalanceAtivos,6,0),"-")))</f>
        <v/>
      </c>
      <c r="AW161" s="857"/>
      <c r="AX161" s="858" t="str">
        <f>IF($CR161="","",IF($E161="","SP",IFERROR(VLOOKUP($CR161,AtivosDados,MATCH("pm_atual",portfolio.!$A$3:CY$3,0),0)*$CU$5,0)))</f>
        <v/>
      </c>
      <c r="AY161" s="859" t="str">
        <f t="shared" si="2"/>
        <v/>
      </c>
      <c r="AZ161" s="858" t="str">
        <f>IF($CR161="","",IF($E161="","SP",SUMIF(portfolio.!$A$4:$A308,$CR161,portfolio.!$O$4:$O308)*$CU$5))</f>
        <v/>
      </c>
      <c r="BA161" s="858" t="str">
        <f>IF($CR161="","",IF($E161="","SP",SUMIF(portfolio.!$A$4:$A308,$CR161,portfolio.!$AN$4:$AN308)*$CU$5))</f>
        <v/>
      </c>
      <c r="BB161" s="860" t="str">
        <f>IF($CR161="","",IF($E161="","-",IFERROR($BA161/'portfólio'!$DG$63,"")))</f>
        <v/>
      </c>
      <c r="BC161" s="861" t="str">
        <f>IF($CR161="","",IF($E161="","-",SUMIF(portfolio.!$A$4:$A308,$CR161,portfolio.!$J$4:$J308)))</f>
        <v/>
      </c>
      <c r="BD161" s="862" t="str">
        <f>IF($CR161="","",IF($E161="","SP",SUMIF(portfolio.!$A$4:$A308,$CR161,portfolio.!$AQ$4:$AQ308)*$CU$5))</f>
        <v/>
      </c>
      <c r="BE161" s="850" t="str">
        <f t="shared" si="3"/>
        <v/>
      </c>
      <c r="BF161" s="862" t="str">
        <f>IF($CR161="","",IF($E161="","-",SUMIF(portfolio.!$A$4:$A308,$CR161,portfolio.!$AX$4:$AX308)*$CU$5))</f>
        <v/>
      </c>
      <c r="BG161" s="545"/>
      <c r="BH161" s="879" t="s">
        <v>123</v>
      </c>
      <c r="BI161" s="880" t="s">
        <v>123</v>
      </c>
      <c r="BJ161" s="863" t="str">
        <f>IFERROR(__xludf.DUMMYFUNCTION("IF(NOT($BL$4),"""",IF($CR161="""","""",IFERROR(query({GOOGLEFINANCE($CR161,""price"",IF($BI161=""-"",TODAY()-($AQ$5+5),$BI161),TODAY()-1)},""Select max(Col2) where Col1 is not null label max(Col2) ''"")*CU161,""-"")))"),"")</f>
        <v/>
      </c>
      <c r="BK161" s="881" t="s">
        <v>123</v>
      </c>
      <c r="BL161" s="882" t="s">
        <v>123</v>
      </c>
      <c r="BM161" s="442"/>
      <c r="BN161" s="867" t="str">
        <f>IFERROR(__xludf.DUMMYFUNCTION("IF(CR161="""","""",IF(OR(C161=""AÇÃO"",C161=""BDR""),IFERROR(QUERY({fundamentus.!$A$3:$U308},$CX$67&amp;"" where Col1='""&amp;CR161&amp;""' limit 1"",0)),IF(C161=""FII"",IFERROR(QUERY({fundsexplorer.!$A$2:$Z308},$CY$67&amp;"" where Col1='""&amp;CR161&amp;""' limit 1"",0)),""""))"&amp;")"),"")</f>
        <v/>
      </c>
      <c r="BO161" s="867"/>
      <c r="BP161" s="867"/>
      <c r="BQ161" s="867"/>
      <c r="BR161" s="867"/>
      <c r="BS161" s="867"/>
      <c r="BT161" s="867"/>
      <c r="BU161" s="442"/>
      <c r="BV161" s="868" t="str">
        <f>IFERROR(__xludf.DUMMYFUNCTION("IF(OR(C161=""AÇÃO"",C161=""BDR""),IFERROR(GOOGLEFINANCE(CONCAT(""BVMF:"",CR161), ""marketcap"")/1000000,""NC""),"""")"),"")</f>
        <v/>
      </c>
      <c r="BW161" s="869" t="s">
        <v>123</v>
      </c>
      <c r="BX161" s="870" t="s">
        <v>123</v>
      </c>
      <c r="BY161" s="868" t="s">
        <v>123</v>
      </c>
      <c r="BZ161" s="870" t="s">
        <v>123</v>
      </c>
      <c r="CA161" s="868" t="s">
        <v>123</v>
      </c>
      <c r="CB161" s="868" t="s">
        <v>123</v>
      </c>
      <c r="CC161" s="868" t="s">
        <v>123</v>
      </c>
      <c r="CD161" s="868" t="str">
        <f>IFERROR(__xludf.DUMMYFUNCTION("IF(OR(C161=""AÇÃO"",C161=""BDR""),IFERROR(GOOGLEFINANCE(CONCAT(""BVMF:"",CR161), ""volumeavg"")/1000000,""NC""),"""")"),"")</f>
        <v/>
      </c>
      <c r="CE161" s="870" t="s">
        <v>123</v>
      </c>
      <c r="CF161" s="870" t="s">
        <v>123</v>
      </c>
      <c r="CG161" s="870" t="str">
        <f>IFERROR(__xludf.DUMMYFUNCTION("IF(OR(C161=""AÇÃO"",C161=""BDR""),IF(CF161=0,""SEM DY"",IFERROR(ImportXML(CONCAT(""http://www.guiainvest.com.br/raiox/default.aspx?sigla="",$CR161),""//*[@id='lbPayoutAtual']""),""NC"")),"""")"),"")</f>
        <v/>
      </c>
      <c r="CH161" s="870" t="s">
        <v>123</v>
      </c>
      <c r="CI161" s="545"/>
      <c r="CJ161" s="871" t="str">
        <f>IFERROR(__xludf.DUMMYFUNCTION("IF(OR(C161=""AÇÃO"",C161=""BDR""),IFERROR(GOOGLEFINANCE(CONCAT(""BVMF:"",CR161), ""eps""),""NC""),"""")"),"")</f>
        <v/>
      </c>
      <c r="CK161" s="442"/>
      <c r="CL161" s="871" t="str">
        <f>IFERROR(__xludf.DUMMYFUNCTION("IF(NOT($BL$4),"""",IF($CR161="""","""",IF($BC161="""","""",IFERROR(query({op.normal!$B$5:$F308},""select Col5, toDate(Col2) where Col1 =  '""&amp;$CR161&amp;""' and Col4 &gt; 0 and ((Col3 is null) or (Col3 = 'C')) and Col2 &gt;= date '""&amp;TEXT(TODAY()-$AQ$5,""yyyy-mm-dd"&amp;""")&amp;""' order by Col2 desc limit 1 label toDate(Col2) ''"")))))"),"")</f>
        <v/>
      </c>
      <c r="CM161" s="872"/>
      <c r="CN161" s="883" t="s">
        <v>123</v>
      </c>
      <c r="CO161" s="874" t="s">
        <v>123</v>
      </c>
      <c r="CP161" s="766"/>
      <c r="CQ161" s="791"/>
      <c r="CR161" s="791"/>
      <c r="CT161" s="791" t="s">
        <v>123</v>
      </c>
      <c r="CU161" s="791" t="str">
        <f>IFERROR(__xludf.DUMMYFUNCTION("IF(CR161="""","""",IF(CT161=$C$4,1,GOOGLEFINANCE(CT161&amp;$C$4)))"),"")</f>
        <v/>
      </c>
    </row>
    <row r="162" ht="22.5" customHeight="1">
      <c r="A162" s="837">
        <v>154.0</v>
      </c>
      <c r="B162" s="838" t="s">
        <v>123</v>
      </c>
      <c r="C162" s="838" t="s">
        <v>123</v>
      </c>
      <c r="D162" s="839" t="s">
        <v>123</v>
      </c>
      <c r="E162" s="839" t="s">
        <v>123</v>
      </c>
      <c r="F162" s="839" t="s">
        <v>123</v>
      </c>
      <c r="H162" s="884"/>
      <c r="I162" s="838"/>
      <c r="J162" s="838"/>
      <c r="K162" s="838"/>
      <c r="L162" s="838"/>
      <c r="M162" s="838"/>
      <c r="N162" s="838"/>
      <c r="O162" s="838"/>
      <c r="P162" s="838"/>
      <c r="Q162" s="838"/>
      <c r="R162" s="838"/>
      <c r="S162" s="838"/>
      <c r="T162" s="838"/>
      <c r="U162" s="838"/>
      <c r="V162" s="838"/>
      <c r="W162" s="838"/>
      <c r="X162" s="838"/>
      <c r="Z162" s="875" t="str">
        <f>IFERROR(__xludf.DUMMYFUNCTION("IF($CR162="""","""",IFERROR(query({CarteirasAtivos},""select Col4 where Col4 is not null and Col1 = '""&amp;$CR162&amp;""' limit 1"")*CU162,""NC""))"),"")</f>
        <v/>
      </c>
      <c r="AA162" s="876" t="str">
        <f>IFERROR(__xludf.DUMMYFUNCTION("IF($CR162="""","""",IFERROR(query({CarteirasAtivos},""select Col6 where Col4 is not null and Col1 = '""&amp;$CR162&amp;""' limit 1""),""NC""))"),"")</f>
        <v/>
      </c>
      <c r="AB162" s="877"/>
      <c r="AC162" s="878" t="s">
        <v>123</v>
      </c>
      <c r="AD162" s="845" t="str">
        <f>IF($CR162="","",IFERROR(VLOOKUP($CR162,ativos.!$C$3:$R308,MATCH("cotacao",ativos.!$C$2:CY$2,0),FALSE)*$CU$5,"atualizar"))</f>
        <v/>
      </c>
      <c r="AE162" s="846" t="str">
        <f>IFERROR(__xludf.DUMMYFUNCTION("IF($CR162="""","""",IFERROR(AVERAGE(query({CarteirasAtivos;CarteirasAtivosEncerrados},""select Col5 where Col5 is not null and Col1 = '""&amp;$CR162&amp;""' and Col10='SIM'""))*CU162,""NC""))"),"")</f>
        <v/>
      </c>
      <c r="AF162" s="847" t="str">
        <f t="shared" si="1"/>
        <v/>
      </c>
      <c r="AG162" s="442"/>
      <c r="AH162" s="848" t="str">
        <f>IFERROR(__xludf.DUMMYFUNCTION("IF($CR162="""","""",IFERROR(GOOGLEFINANCE($CR162,""low52"")*CU162,""-""))"),"")</f>
        <v/>
      </c>
      <c r="AI162" s="848" t="str">
        <f>IFERROR(__xludf.DUMMYFUNCTION("IF($CR162="""","""",IFERROR(GOOGLEFINANCE($CR162,""high52"")*CU162,""-""))"),"")</f>
        <v/>
      </c>
      <c r="AJ162" s="849" t="s">
        <v>123</v>
      </c>
      <c r="AK162" s="850" t="str">
        <f>IFERROR(__xludf.DUMMYFUNCTION("IF($CR162="""","""",IFERROR(GOOGLEFINANCE($CR162,""changepct"")/100,""-""))"),"")</f>
        <v/>
      </c>
      <c r="AL162" s="851" t="str">
        <f>IFERROR(__xludf.DUMMYFUNCTION("IF($CR162="""","""",IFERROR(($AD162/(QUERY(GOOGLEFINANCE($CR162,""price"",TODAY()-7),""SELECT Col2 label Col2 ''"")*$CU162)-1),""-""))"),"")</f>
        <v/>
      </c>
      <c r="AM162" s="851" t="str">
        <f>IFERROR(__xludf.DUMMYFUNCTION("IF($CR162="""","""",IFERROR(($AD162/(QUERY(GOOGLEFINANCE($CR162,""price"",TODAY()-14),""SELECT Col2 label Col2 ''"")*$CU162)-1),""-""))"),"")</f>
        <v/>
      </c>
      <c r="AN162" s="851" t="str">
        <f>IFERROR(__xludf.DUMMYFUNCTION("IF($CR162="""","""",IFERROR(($AD162/(QUERY(GOOGLEFINANCE($CR162,""price"",TODAY()-28),""SELECT Col2 label Col2 ''"")*$CU162)-1),""-""))"),"")</f>
        <v/>
      </c>
      <c r="AO162" s="851" t="str">
        <f>IFERROR(__xludf.DUMMYFUNCTION("IF($CR162="""","""",IFERROR(($AD162/(QUERY(GOOGLEFINANCE($CR162,""price"",TODAY()-$AQ$5),""SELECT Col2 label Col2 ''"")*$CU162)-1),""-""))"),"")</f>
        <v/>
      </c>
      <c r="AP162" s="852" t="str">
        <f>IFERROR(__xludf.DUMMYFUNCTION("IF($CR162="""","""",IFERROR(SPARKLINE(query(GOOGLEFINANCE($CR162,""price"",TODAY()-$AQ$5,TODAY(),1),""select Col2 label Col2 ''""),IF($AP$7=""Gráfico de barras"",{""charttype"",""column"";""highcolor"",""red""},{""chartype"",""line""}))))"),"")</f>
        <v/>
      </c>
      <c r="AQ162" s="144"/>
      <c r="AR162" s="853"/>
      <c r="AS162" s="854" t="str">
        <f>IF($CR162="","",IF(NOT('alocação'!$D$1),"off",IFERROR(VLOOKUP(CR162,BalanceAtivos,3,0),"NC")))</f>
        <v/>
      </c>
      <c r="AT162" s="855" t="str">
        <f>IF($CR162="","",IF(NOT('alocação'!$D$1),"off",IFERROR(VLOOKUP($CR162,BalanceAtivos,4,0)*$CU$5,"NC")))</f>
        <v/>
      </c>
      <c r="AU162" s="856" t="str">
        <f>IF($CR162="","",IF(NOT('alocação'!$D$1),"off",IFERROR(VLOOKUP($CR162,BalanceAtivos,5,0),"-")))</f>
        <v/>
      </c>
      <c r="AV162" s="856" t="str">
        <f>IF($CR162="","",IF(NOT('alocação'!$D$1),"off",IFERROR(VLOOKUP($CR162,BalanceAtivos,6,0),"-")))</f>
        <v/>
      </c>
      <c r="AW162" s="857"/>
      <c r="AX162" s="858" t="str">
        <f>IF($CR162="","",IF($E162="","SP",IFERROR(VLOOKUP($CR162,AtivosDados,MATCH("pm_atual",portfolio.!$A$3:CY$3,0),0)*$CU$5,0)))</f>
        <v/>
      </c>
      <c r="AY162" s="859" t="str">
        <f t="shared" si="2"/>
        <v/>
      </c>
      <c r="AZ162" s="858" t="str">
        <f>IF($CR162="","",IF($E162="","SP",SUMIF(portfolio.!$A$4:$A308,$CR162,portfolio.!$O$4:$O308)*$CU$5))</f>
        <v/>
      </c>
      <c r="BA162" s="858" t="str">
        <f>IF($CR162="","",IF($E162="","SP",SUMIF(portfolio.!$A$4:$A308,$CR162,portfolio.!$AN$4:$AN308)*$CU$5))</f>
        <v/>
      </c>
      <c r="BB162" s="860" t="str">
        <f>IF($CR162="","",IF($E162="","-",IFERROR($BA162/'portfólio'!$DG$63,"")))</f>
        <v/>
      </c>
      <c r="BC162" s="861" t="str">
        <f>IF($CR162="","",IF($E162="","-",SUMIF(portfolio.!$A$4:$A308,$CR162,portfolio.!$J$4:$J308)))</f>
        <v/>
      </c>
      <c r="BD162" s="862" t="str">
        <f>IF($CR162="","",IF($E162="","SP",SUMIF(portfolio.!$A$4:$A308,$CR162,portfolio.!$AQ$4:$AQ308)*$CU$5))</f>
        <v/>
      </c>
      <c r="BE162" s="850" t="str">
        <f t="shared" si="3"/>
        <v/>
      </c>
      <c r="BF162" s="862" t="str">
        <f>IF($CR162="","",IF($E162="","-",SUMIF(portfolio.!$A$4:$A308,$CR162,portfolio.!$AX$4:$AX308)*$CU$5))</f>
        <v/>
      </c>
      <c r="BG162" s="545"/>
      <c r="BH162" s="879" t="s">
        <v>123</v>
      </c>
      <c r="BI162" s="880" t="s">
        <v>123</v>
      </c>
      <c r="BJ162" s="863" t="str">
        <f>IFERROR(__xludf.DUMMYFUNCTION("IF(NOT($BL$4),"""",IF($CR162="""","""",IFERROR(query({GOOGLEFINANCE($CR162,""price"",IF($BI162=""-"",TODAY()-($AQ$5+5),$BI162),TODAY()-1)},""Select max(Col2) where Col1 is not null label max(Col2) ''"")*CU162,""-"")))"),"")</f>
        <v/>
      </c>
      <c r="BK162" s="881" t="s">
        <v>123</v>
      </c>
      <c r="BL162" s="882" t="s">
        <v>123</v>
      </c>
      <c r="BM162" s="442"/>
      <c r="BN162" s="867" t="str">
        <f>IFERROR(__xludf.DUMMYFUNCTION("IF(CR162="""","""",IF(OR(C162=""AÇÃO"",C162=""BDR""),IFERROR(QUERY({fundamentus.!$A$3:$U308},$CX$67&amp;"" where Col1='""&amp;CR162&amp;""' limit 1"",0)),IF(C162=""FII"",IFERROR(QUERY({fundsexplorer.!$A$2:$Z308},$CY$67&amp;"" where Col1='""&amp;CR162&amp;""' limit 1"",0)),""""))"&amp;")"),"")</f>
        <v/>
      </c>
      <c r="BO162" s="867"/>
      <c r="BP162" s="867"/>
      <c r="BQ162" s="867"/>
      <c r="BR162" s="867"/>
      <c r="BS162" s="867"/>
      <c r="BT162" s="867"/>
      <c r="BU162" s="442"/>
      <c r="BV162" s="868" t="str">
        <f>IFERROR(__xludf.DUMMYFUNCTION("IF(OR(C162=""AÇÃO"",C162=""BDR""),IFERROR(GOOGLEFINANCE(CONCAT(""BVMF:"",CR162), ""marketcap"")/1000000,""NC""),"""")"),"")</f>
        <v/>
      </c>
      <c r="BW162" s="869" t="s">
        <v>123</v>
      </c>
      <c r="BX162" s="870" t="s">
        <v>123</v>
      </c>
      <c r="BY162" s="868" t="s">
        <v>123</v>
      </c>
      <c r="BZ162" s="870" t="s">
        <v>123</v>
      </c>
      <c r="CA162" s="868" t="s">
        <v>123</v>
      </c>
      <c r="CB162" s="868" t="s">
        <v>123</v>
      </c>
      <c r="CC162" s="868" t="s">
        <v>123</v>
      </c>
      <c r="CD162" s="868" t="str">
        <f>IFERROR(__xludf.DUMMYFUNCTION("IF(OR(C162=""AÇÃO"",C162=""BDR""),IFERROR(GOOGLEFINANCE(CONCAT(""BVMF:"",CR162), ""volumeavg"")/1000000,""NC""),"""")"),"")</f>
        <v/>
      </c>
      <c r="CE162" s="870" t="s">
        <v>123</v>
      </c>
      <c r="CF162" s="870" t="s">
        <v>123</v>
      </c>
      <c r="CG162" s="870" t="str">
        <f>IFERROR(__xludf.DUMMYFUNCTION("IF(OR(C162=""AÇÃO"",C162=""BDR""),IF(CF162=0,""SEM DY"",IFERROR(ImportXML(CONCAT(""http://www.guiainvest.com.br/raiox/default.aspx?sigla="",$CR162),""//*[@id='lbPayoutAtual']""),""NC"")),"""")"),"")</f>
        <v/>
      </c>
      <c r="CH162" s="870" t="s">
        <v>123</v>
      </c>
      <c r="CI162" s="545"/>
      <c r="CJ162" s="871" t="str">
        <f>IFERROR(__xludf.DUMMYFUNCTION("IF(OR(C162=""AÇÃO"",C162=""BDR""),IFERROR(GOOGLEFINANCE(CONCAT(""BVMF:"",CR162), ""eps""),""NC""),"""")"),"")</f>
        <v/>
      </c>
      <c r="CK162" s="442"/>
      <c r="CL162" s="871" t="str">
        <f>IFERROR(__xludf.DUMMYFUNCTION("IF(NOT($BL$4),"""",IF($CR162="""","""",IF($BC162="""","""",IFERROR(query({op.normal!$B$5:$F308},""select Col5, toDate(Col2) where Col1 =  '""&amp;$CR162&amp;""' and Col4 &gt; 0 and ((Col3 is null) or (Col3 = 'C')) and Col2 &gt;= date '""&amp;TEXT(TODAY()-$AQ$5,""yyyy-mm-dd"&amp;""")&amp;""' order by Col2 desc limit 1 label toDate(Col2) ''"")))))"),"")</f>
        <v/>
      </c>
      <c r="CM162" s="872"/>
      <c r="CN162" s="883" t="s">
        <v>123</v>
      </c>
      <c r="CO162" s="874" t="s">
        <v>123</v>
      </c>
      <c r="CP162" s="766"/>
      <c r="CQ162" s="791"/>
      <c r="CR162" s="791"/>
      <c r="CT162" s="791" t="s">
        <v>123</v>
      </c>
      <c r="CU162" s="791" t="str">
        <f>IFERROR(__xludf.DUMMYFUNCTION("IF(CR162="""","""",IF(CT162=$C$4,1,GOOGLEFINANCE(CT162&amp;$C$4)))"),"")</f>
        <v/>
      </c>
    </row>
    <row r="163" ht="22.5" customHeight="1">
      <c r="A163" s="837">
        <v>155.0</v>
      </c>
      <c r="B163" s="838" t="s">
        <v>123</v>
      </c>
      <c r="C163" s="838" t="s">
        <v>123</v>
      </c>
      <c r="D163" s="839" t="s">
        <v>123</v>
      </c>
      <c r="E163" s="839" t="s">
        <v>123</v>
      </c>
      <c r="F163" s="839" t="s">
        <v>123</v>
      </c>
      <c r="H163" s="884"/>
      <c r="I163" s="838"/>
      <c r="J163" s="838"/>
      <c r="K163" s="838"/>
      <c r="L163" s="838"/>
      <c r="M163" s="838"/>
      <c r="N163" s="838"/>
      <c r="O163" s="838"/>
      <c r="P163" s="838"/>
      <c r="Q163" s="838"/>
      <c r="R163" s="838"/>
      <c r="S163" s="838"/>
      <c r="T163" s="838"/>
      <c r="U163" s="838"/>
      <c r="V163" s="838"/>
      <c r="W163" s="838"/>
      <c r="X163" s="838"/>
      <c r="Z163" s="875" t="str">
        <f>IFERROR(__xludf.DUMMYFUNCTION("IF($CR163="""","""",IFERROR(query({CarteirasAtivos},""select Col4 where Col4 is not null and Col1 = '""&amp;$CR163&amp;""' limit 1"")*CU163,""NC""))"),"")</f>
        <v/>
      </c>
      <c r="AA163" s="876" t="str">
        <f>IFERROR(__xludf.DUMMYFUNCTION("IF($CR163="""","""",IFERROR(query({CarteirasAtivos},""select Col6 where Col4 is not null and Col1 = '""&amp;$CR163&amp;""' limit 1""),""NC""))"),"")</f>
        <v/>
      </c>
      <c r="AB163" s="877"/>
      <c r="AC163" s="878" t="s">
        <v>123</v>
      </c>
      <c r="AD163" s="845" t="str">
        <f>IF($CR163="","",IFERROR(VLOOKUP($CR163,ativos.!$C$3:$R308,MATCH("cotacao",ativos.!$C$2:CY$2,0),FALSE)*$CU$5,"atualizar"))</f>
        <v/>
      </c>
      <c r="AE163" s="846" t="str">
        <f>IFERROR(__xludf.DUMMYFUNCTION("IF($CR163="""","""",IFERROR(AVERAGE(query({CarteirasAtivos;CarteirasAtivosEncerrados},""select Col5 where Col5 is not null and Col1 = '""&amp;$CR163&amp;""' and Col10='SIM'""))*CU163,""NC""))"),"")</f>
        <v/>
      </c>
      <c r="AF163" s="847" t="str">
        <f t="shared" si="1"/>
        <v/>
      </c>
      <c r="AG163" s="442"/>
      <c r="AH163" s="848" t="str">
        <f>IFERROR(__xludf.DUMMYFUNCTION("IF($CR163="""","""",IFERROR(GOOGLEFINANCE($CR163,""low52"")*CU163,""-""))"),"")</f>
        <v/>
      </c>
      <c r="AI163" s="848" t="str">
        <f>IFERROR(__xludf.DUMMYFUNCTION("IF($CR163="""","""",IFERROR(GOOGLEFINANCE($CR163,""high52"")*CU163,""-""))"),"")</f>
        <v/>
      </c>
      <c r="AJ163" s="849" t="s">
        <v>123</v>
      </c>
      <c r="AK163" s="850" t="str">
        <f>IFERROR(__xludf.DUMMYFUNCTION("IF($CR163="""","""",IFERROR(GOOGLEFINANCE($CR163,""changepct"")/100,""-""))"),"")</f>
        <v/>
      </c>
      <c r="AL163" s="851" t="str">
        <f>IFERROR(__xludf.DUMMYFUNCTION("IF($CR163="""","""",IFERROR(($AD163/(QUERY(GOOGLEFINANCE($CR163,""price"",TODAY()-7),""SELECT Col2 label Col2 ''"")*$CU163)-1),""-""))"),"")</f>
        <v/>
      </c>
      <c r="AM163" s="851" t="str">
        <f>IFERROR(__xludf.DUMMYFUNCTION("IF($CR163="""","""",IFERROR(($AD163/(QUERY(GOOGLEFINANCE($CR163,""price"",TODAY()-14),""SELECT Col2 label Col2 ''"")*$CU163)-1),""-""))"),"")</f>
        <v/>
      </c>
      <c r="AN163" s="851" t="str">
        <f>IFERROR(__xludf.DUMMYFUNCTION("IF($CR163="""","""",IFERROR(($AD163/(QUERY(GOOGLEFINANCE($CR163,""price"",TODAY()-28),""SELECT Col2 label Col2 ''"")*$CU163)-1),""-""))"),"")</f>
        <v/>
      </c>
      <c r="AO163" s="851" t="str">
        <f>IFERROR(__xludf.DUMMYFUNCTION("IF($CR163="""","""",IFERROR(($AD163/(QUERY(GOOGLEFINANCE($CR163,""price"",TODAY()-$AQ$5),""SELECT Col2 label Col2 ''"")*$CU163)-1),""-""))"),"")</f>
        <v/>
      </c>
      <c r="AP163" s="852" t="str">
        <f>IFERROR(__xludf.DUMMYFUNCTION("IF($CR163="""","""",IFERROR(SPARKLINE(query(GOOGLEFINANCE($CR163,""price"",TODAY()-$AQ$5,TODAY(),1),""select Col2 label Col2 ''""),IF($AP$7=""Gráfico de barras"",{""charttype"",""column"";""highcolor"",""red""},{""chartype"",""line""}))))"),"")</f>
        <v/>
      </c>
      <c r="AQ163" s="144"/>
      <c r="AR163" s="853"/>
      <c r="AS163" s="854" t="str">
        <f>IF($CR163="","",IF(NOT('alocação'!$D$1),"off",IFERROR(VLOOKUP(CR163,BalanceAtivos,3,0),"NC")))</f>
        <v/>
      </c>
      <c r="AT163" s="855" t="str">
        <f>IF($CR163="","",IF(NOT('alocação'!$D$1),"off",IFERROR(VLOOKUP($CR163,BalanceAtivos,4,0)*$CU$5,"NC")))</f>
        <v/>
      </c>
      <c r="AU163" s="856" t="str">
        <f>IF($CR163="","",IF(NOT('alocação'!$D$1),"off",IFERROR(VLOOKUP($CR163,BalanceAtivos,5,0),"-")))</f>
        <v/>
      </c>
      <c r="AV163" s="856" t="str">
        <f>IF($CR163="","",IF(NOT('alocação'!$D$1),"off",IFERROR(VLOOKUP($CR163,BalanceAtivos,6,0),"-")))</f>
        <v/>
      </c>
      <c r="AW163" s="857"/>
      <c r="AX163" s="858" t="str">
        <f>IF($CR163="","",IF($E163="","SP",IFERROR(VLOOKUP($CR163,AtivosDados,MATCH("pm_atual",portfolio.!$A$3:CY$3,0),0)*$CU$5,0)))</f>
        <v/>
      </c>
      <c r="AY163" s="859" t="str">
        <f t="shared" si="2"/>
        <v/>
      </c>
      <c r="AZ163" s="858" t="str">
        <f>IF($CR163="","",IF($E163="","SP",SUMIF(portfolio.!$A$4:$A308,$CR163,portfolio.!$O$4:$O308)*$CU$5))</f>
        <v/>
      </c>
      <c r="BA163" s="858" t="str">
        <f>IF($CR163="","",IF($E163="","SP",SUMIF(portfolio.!$A$4:$A308,$CR163,portfolio.!$AN$4:$AN308)*$CU$5))</f>
        <v/>
      </c>
      <c r="BB163" s="860" t="str">
        <f>IF($CR163="","",IF($E163="","-",IFERROR($BA163/'portfólio'!$DG$63,"")))</f>
        <v/>
      </c>
      <c r="BC163" s="861" t="str">
        <f>IF($CR163="","",IF($E163="","-",SUMIF(portfolio.!$A$4:$A308,$CR163,portfolio.!$J$4:$J308)))</f>
        <v/>
      </c>
      <c r="BD163" s="862" t="str">
        <f>IF($CR163="","",IF($E163="","SP",SUMIF(portfolio.!$A$4:$A308,$CR163,portfolio.!$AQ$4:$AQ308)*$CU$5))</f>
        <v/>
      </c>
      <c r="BE163" s="850" t="str">
        <f t="shared" si="3"/>
        <v/>
      </c>
      <c r="BF163" s="862" t="str">
        <f>IF($CR163="","",IF($E163="","-",SUMIF(portfolio.!$A$4:$A308,$CR163,portfolio.!$AX$4:$AX308)*$CU$5))</f>
        <v/>
      </c>
      <c r="BG163" s="545"/>
      <c r="BH163" s="879" t="s">
        <v>123</v>
      </c>
      <c r="BI163" s="880" t="s">
        <v>123</v>
      </c>
      <c r="BJ163" s="863" t="str">
        <f>IFERROR(__xludf.DUMMYFUNCTION("IF(NOT($BL$4),"""",IF($CR163="""","""",IFERROR(query({GOOGLEFINANCE($CR163,""price"",IF($BI163=""-"",TODAY()-($AQ$5+5),$BI163),TODAY()-1)},""Select max(Col2) where Col1 is not null label max(Col2) ''"")*CU163,""-"")))"),"")</f>
        <v/>
      </c>
      <c r="BK163" s="881" t="s">
        <v>123</v>
      </c>
      <c r="BL163" s="882" t="s">
        <v>123</v>
      </c>
      <c r="BM163" s="442"/>
      <c r="BN163" s="867" t="str">
        <f>IFERROR(__xludf.DUMMYFUNCTION("IF(CR163="""","""",IF(OR(C163=""AÇÃO"",C163=""BDR""),IFERROR(QUERY({fundamentus.!$A$3:$U308},$CX$67&amp;"" where Col1='""&amp;CR163&amp;""' limit 1"",0)),IF(C163=""FII"",IFERROR(QUERY({fundsexplorer.!$A$2:$Z308},$CY$67&amp;"" where Col1='""&amp;CR163&amp;""' limit 1"",0)),""""))"&amp;")"),"")</f>
        <v/>
      </c>
      <c r="BO163" s="867"/>
      <c r="BP163" s="867"/>
      <c r="BQ163" s="867"/>
      <c r="BR163" s="867"/>
      <c r="BS163" s="867"/>
      <c r="BT163" s="867"/>
      <c r="BU163" s="442"/>
      <c r="BV163" s="868" t="str">
        <f>IFERROR(__xludf.DUMMYFUNCTION("IF(OR(C163=""AÇÃO"",C163=""BDR""),IFERROR(GOOGLEFINANCE(CONCAT(""BVMF:"",CR163), ""marketcap"")/1000000,""NC""),"""")"),"")</f>
        <v/>
      </c>
      <c r="BW163" s="869" t="s">
        <v>123</v>
      </c>
      <c r="BX163" s="870" t="s">
        <v>123</v>
      </c>
      <c r="BY163" s="868" t="s">
        <v>123</v>
      </c>
      <c r="BZ163" s="870" t="s">
        <v>123</v>
      </c>
      <c r="CA163" s="868" t="s">
        <v>123</v>
      </c>
      <c r="CB163" s="868" t="s">
        <v>123</v>
      </c>
      <c r="CC163" s="868" t="s">
        <v>123</v>
      </c>
      <c r="CD163" s="868" t="str">
        <f>IFERROR(__xludf.DUMMYFUNCTION("IF(OR(C163=""AÇÃO"",C163=""BDR""),IFERROR(GOOGLEFINANCE(CONCAT(""BVMF:"",CR163), ""volumeavg"")/1000000,""NC""),"""")"),"")</f>
        <v/>
      </c>
      <c r="CE163" s="870" t="s">
        <v>123</v>
      </c>
      <c r="CF163" s="870" t="s">
        <v>123</v>
      </c>
      <c r="CG163" s="870" t="str">
        <f>IFERROR(__xludf.DUMMYFUNCTION("IF(OR(C163=""AÇÃO"",C163=""BDR""),IF(CF163=0,""SEM DY"",IFERROR(ImportXML(CONCAT(""http://www.guiainvest.com.br/raiox/default.aspx?sigla="",$CR163),""//*[@id='lbPayoutAtual']""),""NC"")),"""")"),"")</f>
        <v/>
      </c>
      <c r="CH163" s="870" t="s">
        <v>123</v>
      </c>
      <c r="CI163" s="545"/>
      <c r="CJ163" s="871" t="str">
        <f>IFERROR(__xludf.DUMMYFUNCTION("IF(OR(C163=""AÇÃO"",C163=""BDR""),IFERROR(GOOGLEFINANCE(CONCAT(""BVMF:"",CR163), ""eps""),""NC""),"""")"),"")</f>
        <v/>
      </c>
      <c r="CK163" s="442"/>
      <c r="CL163" s="871" t="str">
        <f>IFERROR(__xludf.DUMMYFUNCTION("IF(NOT($BL$4),"""",IF($CR163="""","""",IF($BC163="""","""",IFERROR(query({op.normal!$B$5:$F308},""select Col5, toDate(Col2) where Col1 =  '""&amp;$CR163&amp;""' and Col4 &gt; 0 and ((Col3 is null) or (Col3 = 'C')) and Col2 &gt;= date '""&amp;TEXT(TODAY()-$AQ$5,""yyyy-mm-dd"&amp;""")&amp;""' order by Col2 desc limit 1 label toDate(Col2) ''"")))))"),"")</f>
        <v/>
      </c>
      <c r="CM163" s="872"/>
      <c r="CN163" s="883" t="s">
        <v>123</v>
      </c>
      <c r="CO163" s="874" t="s">
        <v>123</v>
      </c>
      <c r="CP163" s="766"/>
      <c r="CQ163" s="791"/>
      <c r="CR163" s="791"/>
      <c r="CT163" s="791" t="s">
        <v>123</v>
      </c>
      <c r="CU163" s="791" t="str">
        <f>IFERROR(__xludf.DUMMYFUNCTION("IF(CR163="""","""",IF(CT163=$C$4,1,GOOGLEFINANCE(CT163&amp;$C$4)))"),"")</f>
        <v/>
      </c>
    </row>
    <row r="164" ht="22.5" customHeight="1">
      <c r="A164" s="837">
        <v>156.0</v>
      </c>
      <c r="B164" s="838" t="s">
        <v>123</v>
      </c>
      <c r="C164" s="838" t="s">
        <v>123</v>
      </c>
      <c r="D164" s="839" t="s">
        <v>123</v>
      </c>
      <c r="E164" s="839" t="s">
        <v>123</v>
      </c>
      <c r="F164" s="839" t="s">
        <v>123</v>
      </c>
      <c r="H164" s="884"/>
      <c r="I164" s="838"/>
      <c r="J164" s="838"/>
      <c r="K164" s="838"/>
      <c r="L164" s="838"/>
      <c r="M164" s="838"/>
      <c r="N164" s="838"/>
      <c r="O164" s="838"/>
      <c r="P164" s="838"/>
      <c r="Q164" s="838"/>
      <c r="R164" s="838"/>
      <c r="S164" s="838"/>
      <c r="T164" s="838"/>
      <c r="U164" s="838"/>
      <c r="V164" s="838"/>
      <c r="W164" s="838"/>
      <c r="X164" s="838"/>
      <c r="Z164" s="875" t="str">
        <f>IFERROR(__xludf.DUMMYFUNCTION("IF($CR164="""","""",IFERROR(query({CarteirasAtivos},""select Col4 where Col4 is not null and Col1 = '""&amp;$CR164&amp;""' limit 1"")*CU164,""NC""))"),"")</f>
        <v/>
      </c>
      <c r="AA164" s="876" t="str">
        <f>IFERROR(__xludf.DUMMYFUNCTION("IF($CR164="""","""",IFERROR(query({CarteirasAtivos},""select Col6 where Col4 is not null and Col1 = '""&amp;$CR164&amp;""' limit 1""),""NC""))"),"")</f>
        <v/>
      </c>
      <c r="AB164" s="877"/>
      <c r="AC164" s="878" t="s">
        <v>123</v>
      </c>
      <c r="AD164" s="845" t="str">
        <f>IF($CR164="","",IFERROR(VLOOKUP($CR164,ativos.!$C$3:$R308,MATCH("cotacao",ativos.!$C$2:CY$2,0),FALSE)*$CU$5,"atualizar"))</f>
        <v/>
      </c>
      <c r="AE164" s="846" t="str">
        <f>IFERROR(__xludf.DUMMYFUNCTION("IF($CR164="""","""",IFERROR(AVERAGE(query({CarteirasAtivos;CarteirasAtivosEncerrados},""select Col5 where Col5 is not null and Col1 = '""&amp;$CR164&amp;""' and Col10='SIM'""))*CU164,""NC""))"),"")</f>
        <v/>
      </c>
      <c r="AF164" s="847" t="str">
        <f t="shared" si="1"/>
        <v/>
      </c>
      <c r="AG164" s="442"/>
      <c r="AH164" s="848" t="str">
        <f>IFERROR(__xludf.DUMMYFUNCTION("IF($CR164="""","""",IFERROR(GOOGLEFINANCE($CR164,""low52"")*CU164,""-""))"),"")</f>
        <v/>
      </c>
      <c r="AI164" s="848" t="str">
        <f>IFERROR(__xludf.DUMMYFUNCTION("IF($CR164="""","""",IFERROR(GOOGLEFINANCE($CR164,""high52"")*CU164,""-""))"),"")</f>
        <v/>
      </c>
      <c r="AJ164" s="849" t="s">
        <v>123</v>
      </c>
      <c r="AK164" s="850" t="str">
        <f>IFERROR(__xludf.DUMMYFUNCTION("IF($CR164="""","""",IFERROR(GOOGLEFINANCE($CR164,""changepct"")/100,""-""))"),"")</f>
        <v/>
      </c>
      <c r="AL164" s="851" t="str">
        <f>IFERROR(__xludf.DUMMYFUNCTION("IF($CR164="""","""",IFERROR(($AD164/(QUERY(GOOGLEFINANCE($CR164,""price"",TODAY()-7),""SELECT Col2 label Col2 ''"")*$CU164)-1),""-""))"),"")</f>
        <v/>
      </c>
      <c r="AM164" s="851" t="str">
        <f>IFERROR(__xludf.DUMMYFUNCTION("IF($CR164="""","""",IFERROR(($AD164/(QUERY(GOOGLEFINANCE($CR164,""price"",TODAY()-14),""SELECT Col2 label Col2 ''"")*$CU164)-1),""-""))"),"")</f>
        <v/>
      </c>
      <c r="AN164" s="851" t="str">
        <f>IFERROR(__xludf.DUMMYFUNCTION("IF($CR164="""","""",IFERROR(($AD164/(QUERY(GOOGLEFINANCE($CR164,""price"",TODAY()-28),""SELECT Col2 label Col2 ''"")*$CU164)-1),""-""))"),"")</f>
        <v/>
      </c>
      <c r="AO164" s="851" t="str">
        <f>IFERROR(__xludf.DUMMYFUNCTION("IF($CR164="""","""",IFERROR(($AD164/(QUERY(GOOGLEFINANCE($CR164,""price"",TODAY()-$AQ$5),""SELECT Col2 label Col2 ''"")*$CU164)-1),""-""))"),"")</f>
        <v/>
      </c>
      <c r="AP164" s="852" t="str">
        <f>IFERROR(__xludf.DUMMYFUNCTION("IF($CR164="""","""",IFERROR(SPARKLINE(query(GOOGLEFINANCE($CR164,""price"",TODAY()-$AQ$5,TODAY(),1),""select Col2 label Col2 ''""),IF($AP$7=""Gráfico de barras"",{""charttype"",""column"";""highcolor"",""red""},{""chartype"",""line""}))))"),"")</f>
        <v/>
      </c>
      <c r="AQ164" s="144"/>
      <c r="AR164" s="853"/>
      <c r="AS164" s="854" t="str">
        <f>IF($CR164="","",IF(NOT('alocação'!$D$1),"off",IFERROR(VLOOKUP(CR164,BalanceAtivos,3,0),"NC")))</f>
        <v/>
      </c>
      <c r="AT164" s="855" t="str">
        <f>IF($CR164="","",IF(NOT('alocação'!$D$1),"off",IFERROR(VLOOKUP($CR164,BalanceAtivos,4,0)*$CU$5,"NC")))</f>
        <v/>
      </c>
      <c r="AU164" s="856" t="str">
        <f>IF($CR164="","",IF(NOT('alocação'!$D$1),"off",IFERROR(VLOOKUP($CR164,BalanceAtivos,5,0),"-")))</f>
        <v/>
      </c>
      <c r="AV164" s="856" t="str">
        <f>IF($CR164="","",IF(NOT('alocação'!$D$1),"off",IFERROR(VLOOKUP($CR164,BalanceAtivos,6,0),"-")))</f>
        <v/>
      </c>
      <c r="AW164" s="857"/>
      <c r="AX164" s="858" t="str">
        <f>IF($CR164="","",IF($E164="","SP",IFERROR(VLOOKUP($CR164,AtivosDados,MATCH("pm_atual",portfolio.!$A$3:CY$3,0),0)*$CU$5,0)))</f>
        <v/>
      </c>
      <c r="AY164" s="859" t="str">
        <f t="shared" si="2"/>
        <v/>
      </c>
      <c r="AZ164" s="858" t="str">
        <f>IF($CR164="","",IF($E164="","SP",SUMIF(portfolio.!$A$4:$A308,$CR164,portfolio.!$O$4:$O308)*$CU$5))</f>
        <v/>
      </c>
      <c r="BA164" s="858" t="str">
        <f>IF($CR164="","",IF($E164="","SP",SUMIF(portfolio.!$A$4:$A308,$CR164,portfolio.!$AN$4:$AN308)*$CU$5))</f>
        <v/>
      </c>
      <c r="BB164" s="860" t="str">
        <f>IF($CR164="","",IF($E164="","-",IFERROR($BA164/'portfólio'!$DG$63,"")))</f>
        <v/>
      </c>
      <c r="BC164" s="861" t="str">
        <f>IF($CR164="","",IF($E164="","-",SUMIF(portfolio.!$A$4:$A308,$CR164,portfolio.!$J$4:$J308)))</f>
        <v/>
      </c>
      <c r="BD164" s="862" t="str">
        <f>IF($CR164="","",IF($E164="","SP",SUMIF(portfolio.!$A$4:$A308,$CR164,portfolio.!$AQ$4:$AQ308)*$CU$5))</f>
        <v/>
      </c>
      <c r="BE164" s="850" t="str">
        <f t="shared" si="3"/>
        <v/>
      </c>
      <c r="BF164" s="862" t="str">
        <f>IF($CR164="","",IF($E164="","-",SUMIF(portfolio.!$A$4:$A308,$CR164,portfolio.!$AX$4:$AX308)*$CU$5))</f>
        <v/>
      </c>
      <c r="BG164" s="545"/>
      <c r="BH164" s="879" t="s">
        <v>123</v>
      </c>
      <c r="BI164" s="880" t="s">
        <v>123</v>
      </c>
      <c r="BJ164" s="863" t="str">
        <f>IFERROR(__xludf.DUMMYFUNCTION("IF(NOT($BL$4),"""",IF($CR164="""","""",IFERROR(query({GOOGLEFINANCE($CR164,""price"",IF($BI164=""-"",TODAY()-($AQ$5+5),$BI164),TODAY()-1)},""Select max(Col2) where Col1 is not null label max(Col2) ''"")*CU164,""-"")))"),"")</f>
        <v/>
      </c>
      <c r="BK164" s="881" t="s">
        <v>123</v>
      </c>
      <c r="BL164" s="882" t="s">
        <v>123</v>
      </c>
      <c r="BM164" s="442"/>
      <c r="BN164" s="867" t="str">
        <f>IFERROR(__xludf.DUMMYFUNCTION("IF(CR164="""","""",IF(OR(C164=""AÇÃO"",C164=""BDR""),IFERROR(QUERY({fundamentus.!$A$3:$U308},$CX$67&amp;"" where Col1='""&amp;CR164&amp;""' limit 1"",0)),IF(C164=""FII"",IFERROR(QUERY({fundsexplorer.!$A$2:$Z308},$CY$67&amp;"" where Col1='""&amp;CR164&amp;""' limit 1"",0)),""""))"&amp;")"),"")</f>
        <v/>
      </c>
      <c r="BO164" s="867"/>
      <c r="BP164" s="867"/>
      <c r="BQ164" s="867"/>
      <c r="BR164" s="867"/>
      <c r="BS164" s="867"/>
      <c r="BT164" s="867"/>
      <c r="BU164" s="442"/>
      <c r="BV164" s="868" t="str">
        <f>IFERROR(__xludf.DUMMYFUNCTION("IF(OR(C164=""AÇÃO"",C164=""BDR""),IFERROR(GOOGLEFINANCE(CONCAT(""BVMF:"",CR164), ""marketcap"")/1000000,""NC""),"""")"),"")</f>
        <v/>
      </c>
      <c r="BW164" s="869" t="s">
        <v>123</v>
      </c>
      <c r="BX164" s="870" t="s">
        <v>123</v>
      </c>
      <c r="BY164" s="868" t="s">
        <v>123</v>
      </c>
      <c r="BZ164" s="870" t="s">
        <v>123</v>
      </c>
      <c r="CA164" s="868" t="s">
        <v>123</v>
      </c>
      <c r="CB164" s="868" t="s">
        <v>123</v>
      </c>
      <c r="CC164" s="868" t="s">
        <v>123</v>
      </c>
      <c r="CD164" s="868" t="str">
        <f>IFERROR(__xludf.DUMMYFUNCTION("IF(OR(C164=""AÇÃO"",C164=""BDR""),IFERROR(GOOGLEFINANCE(CONCAT(""BVMF:"",CR164), ""volumeavg"")/1000000,""NC""),"""")"),"")</f>
        <v/>
      </c>
      <c r="CE164" s="870" t="s">
        <v>123</v>
      </c>
      <c r="CF164" s="870" t="s">
        <v>123</v>
      </c>
      <c r="CG164" s="870" t="str">
        <f>IFERROR(__xludf.DUMMYFUNCTION("IF(OR(C164=""AÇÃO"",C164=""BDR""),IF(CF164=0,""SEM DY"",IFERROR(ImportXML(CONCAT(""http://www.guiainvest.com.br/raiox/default.aspx?sigla="",$CR164),""//*[@id='lbPayoutAtual']""),""NC"")),"""")"),"")</f>
        <v/>
      </c>
      <c r="CH164" s="870" t="s">
        <v>123</v>
      </c>
      <c r="CI164" s="545"/>
      <c r="CJ164" s="871" t="str">
        <f>IFERROR(__xludf.DUMMYFUNCTION("IF(OR(C164=""AÇÃO"",C164=""BDR""),IFERROR(GOOGLEFINANCE(CONCAT(""BVMF:"",CR164), ""eps""),""NC""),"""")"),"")</f>
        <v/>
      </c>
      <c r="CK164" s="442"/>
      <c r="CL164" s="871" t="str">
        <f>IFERROR(__xludf.DUMMYFUNCTION("IF(NOT($BL$4),"""",IF($CR164="""","""",IF($BC164="""","""",IFERROR(query({op.normal!$B$5:$F308},""select Col5, toDate(Col2) where Col1 =  '""&amp;$CR164&amp;""' and Col4 &gt; 0 and ((Col3 is null) or (Col3 = 'C')) and Col2 &gt;= date '""&amp;TEXT(TODAY()-$AQ$5,""yyyy-mm-dd"&amp;""")&amp;""' order by Col2 desc limit 1 label toDate(Col2) ''"")))))"),"")</f>
        <v/>
      </c>
      <c r="CM164" s="872"/>
      <c r="CN164" s="883" t="s">
        <v>123</v>
      </c>
      <c r="CO164" s="874" t="s">
        <v>123</v>
      </c>
      <c r="CP164" s="766"/>
      <c r="CQ164" s="791"/>
      <c r="CR164" s="791"/>
      <c r="CT164" s="791" t="s">
        <v>123</v>
      </c>
      <c r="CU164" s="791" t="str">
        <f>IFERROR(__xludf.DUMMYFUNCTION("IF(CR164="""","""",IF(CT164=$C$4,1,GOOGLEFINANCE(CT164&amp;$C$4)))"),"")</f>
        <v/>
      </c>
    </row>
    <row r="165" ht="22.5" customHeight="1">
      <c r="A165" s="837">
        <v>157.0</v>
      </c>
      <c r="B165" s="838" t="s">
        <v>123</v>
      </c>
      <c r="C165" s="838" t="s">
        <v>123</v>
      </c>
      <c r="D165" s="839" t="s">
        <v>123</v>
      </c>
      <c r="E165" s="839" t="s">
        <v>123</v>
      </c>
      <c r="F165" s="839" t="s">
        <v>123</v>
      </c>
      <c r="H165" s="884"/>
      <c r="I165" s="838"/>
      <c r="J165" s="838"/>
      <c r="K165" s="838"/>
      <c r="L165" s="838"/>
      <c r="M165" s="838"/>
      <c r="N165" s="838"/>
      <c r="O165" s="838"/>
      <c r="P165" s="838"/>
      <c r="Q165" s="838"/>
      <c r="R165" s="838"/>
      <c r="S165" s="838"/>
      <c r="T165" s="838"/>
      <c r="U165" s="838"/>
      <c r="V165" s="838"/>
      <c r="W165" s="838"/>
      <c r="X165" s="838"/>
      <c r="Z165" s="875" t="str">
        <f>IFERROR(__xludf.DUMMYFUNCTION("IF($CR165="""","""",IFERROR(query({CarteirasAtivos},""select Col4 where Col4 is not null and Col1 = '""&amp;$CR165&amp;""' limit 1"")*CU165,""NC""))"),"")</f>
        <v/>
      </c>
      <c r="AA165" s="876" t="str">
        <f>IFERROR(__xludf.DUMMYFUNCTION("IF($CR165="""","""",IFERROR(query({CarteirasAtivos},""select Col6 where Col4 is not null and Col1 = '""&amp;$CR165&amp;""' limit 1""),""NC""))"),"")</f>
        <v/>
      </c>
      <c r="AB165" s="877"/>
      <c r="AC165" s="878" t="s">
        <v>123</v>
      </c>
      <c r="AD165" s="845" t="str">
        <f>IF($CR165="","",IFERROR(VLOOKUP($CR165,ativos.!$C$3:$R308,MATCH("cotacao",ativos.!$C$2:CY$2,0),FALSE)*$CU$5,"atualizar"))</f>
        <v/>
      </c>
      <c r="AE165" s="846" t="str">
        <f>IFERROR(__xludf.DUMMYFUNCTION("IF($CR165="""","""",IFERROR(AVERAGE(query({CarteirasAtivos;CarteirasAtivosEncerrados},""select Col5 where Col5 is not null and Col1 = '""&amp;$CR165&amp;""' and Col10='SIM'""))*CU165,""NC""))"),"")</f>
        <v/>
      </c>
      <c r="AF165" s="847" t="str">
        <f t="shared" si="1"/>
        <v/>
      </c>
      <c r="AG165" s="442"/>
      <c r="AH165" s="848" t="str">
        <f>IFERROR(__xludf.DUMMYFUNCTION("IF($CR165="""","""",IFERROR(GOOGLEFINANCE($CR165,""low52"")*CU165,""-""))"),"")</f>
        <v/>
      </c>
      <c r="AI165" s="848" t="str">
        <f>IFERROR(__xludf.DUMMYFUNCTION("IF($CR165="""","""",IFERROR(GOOGLEFINANCE($CR165,""high52"")*CU165,""-""))"),"")</f>
        <v/>
      </c>
      <c r="AJ165" s="849" t="s">
        <v>123</v>
      </c>
      <c r="AK165" s="850" t="str">
        <f>IFERROR(__xludf.DUMMYFUNCTION("IF($CR165="""","""",IFERROR(GOOGLEFINANCE($CR165,""changepct"")/100,""-""))"),"")</f>
        <v/>
      </c>
      <c r="AL165" s="851" t="str">
        <f>IFERROR(__xludf.DUMMYFUNCTION("IF($CR165="""","""",IFERROR(($AD165/(QUERY(GOOGLEFINANCE($CR165,""price"",TODAY()-7),""SELECT Col2 label Col2 ''"")*$CU165)-1),""-""))"),"")</f>
        <v/>
      </c>
      <c r="AM165" s="851" t="str">
        <f>IFERROR(__xludf.DUMMYFUNCTION("IF($CR165="""","""",IFERROR(($AD165/(QUERY(GOOGLEFINANCE($CR165,""price"",TODAY()-14),""SELECT Col2 label Col2 ''"")*$CU165)-1),""-""))"),"")</f>
        <v/>
      </c>
      <c r="AN165" s="851" t="str">
        <f>IFERROR(__xludf.DUMMYFUNCTION("IF($CR165="""","""",IFERROR(($AD165/(QUERY(GOOGLEFINANCE($CR165,""price"",TODAY()-28),""SELECT Col2 label Col2 ''"")*$CU165)-1),""-""))"),"")</f>
        <v/>
      </c>
      <c r="AO165" s="851" t="str">
        <f>IFERROR(__xludf.DUMMYFUNCTION("IF($CR165="""","""",IFERROR(($AD165/(QUERY(GOOGLEFINANCE($CR165,""price"",TODAY()-$AQ$5),""SELECT Col2 label Col2 ''"")*$CU165)-1),""-""))"),"")</f>
        <v/>
      </c>
      <c r="AP165" s="852" t="str">
        <f>IFERROR(__xludf.DUMMYFUNCTION("IF($CR165="""","""",IFERROR(SPARKLINE(query(GOOGLEFINANCE($CR165,""price"",TODAY()-$AQ$5,TODAY(),1),""select Col2 label Col2 ''""),IF($AP$7=""Gráfico de barras"",{""charttype"",""column"";""highcolor"",""red""},{""chartype"",""line""}))))"),"")</f>
        <v/>
      </c>
      <c r="AQ165" s="144"/>
      <c r="AR165" s="853"/>
      <c r="AS165" s="854" t="str">
        <f>IF($CR165="","",IF(NOT('alocação'!$D$1),"off",IFERROR(VLOOKUP(CR165,BalanceAtivos,3,0),"NC")))</f>
        <v/>
      </c>
      <c r="AT165" s="855" t="str">
        <f>IF($CR165="","",IF(NOT('alocação'!$D$1),"off",IFERROR(VLOOKUP($CR165,BalanceAtivos,4,0)*$CU$5,"NC")))</f>
        <v/>
      </c>
      <c r="AU165" s="856" t="str">
        <f>IF($CR165="","",IF(NOT('alocação'!$D$1),"off",IFERROR(VLOOKUP($CR165,BalanceAtivos,5,0),"-")))</f>
        <v/>
      </c>
      <c r="AV165" s="856" t="str">
        <f>IF($CR165="","",IF(NOT('alocação'!$D$1),"off",IFERROR(VLOOKUP($CR165,BalanceAtivos,6,0),"-")))</f>
        <v/>
      </c>
      <c r="AW165" s="857"/>
      <c r="AX165" s="858" t="str">
        <f>IF($CR165="","",IF($E165="","SP",IFERROR(VLOOKUP($CR165,AtivosDados,MATCH("pm_atual",portfolio.!$A$3:CY$3,0),0)*$CU$5,0)))</f>
        <v/>
      </c>
      <c r="AY165" s="859" t="str">
        <f t="shared" si="2"/>
        <v/>
      </c>
      <c r="AZ165" s="858" t="str">
        <f>IF($CR165="","",IF($E165="","SP",SUMIF(portfolio.!$A$4:$A308,$CR165,portfolio.!$O$4:$O308)*$CU$5))</f>
        <v/>
      </c>
      <c r="BA165" s="858" t="str">
        <f>IF($CR165="","",IF($E165="","SP",SUMIF(portfolio.!$A$4:$A308,$CR165,portfolio.!$AN$4:$AN308)*$CU$5))</f>
        <v/>
      </c>
      <c r="BB165" s="860" t="str">
        <f>IF($CR165="","",IF($E165="","-",IFERROR($BA165/'portfólio'!$DG$63,"")))</f>
        <v/>
      </c>
      <c r="BC165" s="861" t="str">
        <f>IF($CR165="","",IF($E165="","-",SUMIF(portfolio.!$A$4:$A308,$CR165,portfolio.!$J$4:$J308)))</f>
        <v/>
      </c>
      <c r="BD165" s="862" t="str">
        <f>IF($CR165="","",IF($E165="","SP",SUMIF(portfolio.!$A$4:$A308,$CR165,portfolio.!$AQ$4:$AQ308)*$CU$5))</f>
        <v/>
      </c>
      <c r="BE165" s="850" t="str">
        <f t="shared" si="3"/>
        <v/>
      </c>
      <c r="BF165" s="862" t="str">
        <f>IF($CR165="","",IF($E165="","-",SUMIF(portfolio.!$A$4:$A308,$CR165,portfolio.!$AX$4:$AX308)*$CU$5))</f>
        <v/>
      </c>
      <c r="BG165" s="545"/>
      <c r="BH165" s="879" t="s">
        <v>123</v>
      </c>
      <c r="BI165" s="880" t="s">
        <v>123</v>
      </c>
      <c r="BJ165" s="863" t="str">
        <f>IFERROR(__xludf.DUMMYFUNCTION("IF(NOT($BL$4),"""",IF($CR165="""","""",IFERROR(query({GOOGLEFINANCE($CR165,""price"",IF($BI165=""-"",TODAY()-($AQ$5+5),$BI165),TODAY()-1)},""Select max(Col2) where Col1 is not null label max(Col2) ''"")*CU165,""-"")))"),"")</f>
        <v/>
      </c>
      <c r="BK165" s="881" t="s">
        <v>123</v>
      </c>
      <c r="BL165" s="882" t="s">
        <v>123</v>
      </c>
      <c r="BM165" s="442"/>
      <c r="BN165" s="867" t="str">
        <f>IFERROR(__xludf.DUMMYFUNCTION("IF(CR165="""","""",IF(OR(C165=""AÇÃO"",C165=""BDR""),IFERROR(QUERY({fundamentus.!$A$3:$U308},$CX$67&amp;"" where Col1='""&amp;CR165&amp;""' limit 1"",0)),IF(C165=""FII"",IFERROR(QUERY({fundsexplorer.!$A$2:$Z308},$CY$67&amp;"" where Col1='""&amp;CR165&amp;""' limit 1"",0)),""""))"&amp;")"),"")</f>
        <v/>
      </c>
      <c r="BO165" s="867"/>
      <c r="BP165" s="867"/>
      <c r="BQ165" s="867"/>
      <c r="BR165" s="867"/>
      <c r="BS165" s="867"/>
      <c r="BT165" s="867"/>
      <c r="BU165" s="442"/>
      <c r="BV165" s="868" t="str">
        <f>IFERROR(__xludf.DUMMYFUNCTION("IF(OR(C165=""AÇÃO"",C165=""BDR""),IFERROR(GOOGLEFINANCE(CONCAT(""BVMF:"",CR165), ""marketcap"")/1000000,""NC""),"""")"),"")</f>
        <v/>
      </c>
      <c r="BW165" s="869" t="s">
        <v>123</v>
      </c>
      <c r="BX165" s="870" t="s">
        <v>123</v>
      </c>
      <c r="BY165" s="868" t="s">
        <v>123</v>
      </c>
      <c r="BZ165" s="870" t="s">
        <v>123</v>
      </c>
      <c r="CA165" s="868" t="s">
        <v>123</v>
      </c>
      <c r="CB165" s="868" t="s">
        <v>123</v>
      </c>
      <c r="CC165" s="868" t="s">
        <v>123</v>
      </c>
      <c r="CD165" s="868" t="str">
        <f>IFERROR(__xludf.DUMMYFUNCTION("IF(OR(C165=""AÇÃO"",C165=""BDR""),IFERROR(GOOGLEFINANCE(CONCAT(""BVMF:"",CR165), ""volumeavg"")/1000000,""NC""),"""")"),"")</f>
        <v/>
      </c>
      <c r="CE165" s="870" t="s">
        <v>123</v>
      </c>
      <c r="CF165" s="870" t="s">
        <v>123</v>
      </c>
      <c r="CG165" s="870" t="str">
        <f>IFERROR(__xludf.DUMMYFUNCTION("IF(OR(C165=""AÇÃO"",C165=""BDR""),IF(CF165=0,""SEM DY"",IFERROR(ImportXML(CONCAT(""http://www.guiainvest.com.br/raiox/default.aspx?sigla="",$CR165),""//*[@id='lbPayoutAtual']""),""NC"")),"""")"),"")</f>
        <v/>
      </c>
      <c r="CH165" s="870" t="s">
        <v>123</v>
      </c>
      <c r="CI165" s="545"/>
      <c r="CJ165" s="871" t="str">
        <f>IFERROR(__xludf.DUMMYFUNCTION("IF(OR(C165=""AÇÃO"",C165=""BDR""),IFERROR(GOOGLEFINANCE(CONCAT(""BVMF:"",CR165), ""eps""),""NC""),"""")"),"")</f>
        <v/>
      </c>
      <c r="CK165" s="442"/>
      <c r="CL165" s="871" t="str">
        <f>IFERROR(__xludf.DUMMYFUNCTION("IF(NOT($BL$4),"""",IF($CR165="""","""",IF($BC165="""","""",IFERROR(query({op.normal!$B$5:$F308},""select Col5, toDate(Col2) where Col1 =  '""&amp;$CR165&amp;""' and Col4 &gt; 0 and ((Col3 is null) or (Col3 = 'C')) and Col2 &gt;= date '""&amp;TEXT(TODAY()-$AQ$5,""yyyy-mm-dd"&amp;""")&amp;""' order by Col2 desc limit 1 label toDate(Col2) ''"")))))"),"")</f>
        <v/>
      </c>
      <c r="CM165" s="872"/>
      <c r="CN165" s="883" t="s">
        <v>123</v>
      </c>
      <c r="CO165" s="874" t="s">
        <v>123</v>
      </c>
      <c r="CP165" s="766"/>
      <c r="CQ165" s="791"/>
      <c r="CR165" s="791"/>
      <c r="CT165" s="791" t="s">
        <v>123</v>
      </c>
      <c r="CU165" s="791" t="str">
        <f>IFERROR(__xludf.DUMMYFUNCTION("IF(CR165="""","""",IF(CT165=$C$4,1,GOOGLEFINANCE(CT165&amp;$C$4)))"),"")</f>
        <v/>
      </c>
    </row>
    <row r="166" ht="22.5" customHeight="1">
      <c r="A166" s="837">
        <v>158.0</v>
      </c>
      <c r="B166" s="838" t="s">
        <v>123</v>
      </c>
      <c r="C166" s="838" t="s">
        <v>123</v>
      </c>
      <c r="D166" s="839" t="s">
        <v>123</v>
      </c>
      <c r="E166" s="839" t="s">
        <v>123</v>
      </c>
      <c r="F166" s="839" t="s">
        <v>123</v>
      </c>
      <c r="H166" s="884"/>
      <c r="I166" s="838"/>
      <c r="J166" s="838"/>
      <c r="K166" s="838"/>
      <c r="L166" s="838"/>
      <c r="M166" s="838"/>
      <c r="N166" s="838"/>
      <c r="O166" s="838"/>
      <c r="P166" s="838"/>
      <c r="Q166" s="838"/>
      <c r="R166" s="838"/>
      <c r="S166" s="838"/>
      <c r="T166" s="838"/>
      <c r="U166" s="838"/>
      <c r="V166" s="838"/>
      <c r="W166" s="838"/>
      <c r="X166" s="838"/>
      <c r="Z166" s="875" t="str">
        <f>IFERROR(__xludf.DUMMYFUNCTION("IF($CR166="""","""",IFERROR(query({CarteirasAtivos},""select Col4 where Col4 is not null and Col1 = '""&amp;$CR166&amp;""' limit 1"")*CU166,""NC""))"),"")</f>
        <v/>
      </c>
      <c r="AA166" s="876" t="str">
        <f>IFERROR(__xludf.DUMMYFUNCTION("IF($CR166="""","""",IFERROR(query({CarteirasAtivos},""select Col6 where Col4 is not null and Col1 = '""&amp;$CR166&amp;""' limit 1""),""NC""))"),"")</f>
        <v/>
      </c>
      <c r="AB166" s="877"/>
      <c r="AC166" s="878" t="s">
        <v>123</v>
      </c>
      <c r="AD166" s="845" t="str">
        <f>IF($CR166="","",IFERROR(VLOOKUP($CR166,ativos.!$C$3:$R308,MATCH("cotacao",ativos.!$C$2:CY$2,0),FALSE)*$CU$5,"atualizar"))</f>
        <v/>
      </c>
      <c r="AE166" s="846" t="str">
        <f>IFERROR(__xludf.DUMMYFUNCTION("IF($CR166="""","""",IFERROR(AVERAGE(query({CarteirasAtivos;CarteirasAtivosEncerrados},""select Col5 where Col5 is not null and Col1 = '""&amp;$CR166&amp;""' and Col10='SIM'""))*CU166,""NC""))"),"")</f>
        <v/>
      </c>
      <c r="AF166" s="847" t="str">
        <f t="shared" si="1"/>
        <v/>
      </c>
      <c r="AG166" s="442"/>
      <c r="AH166" s="848" t="str">
        <f>IFERROR(__xludf.DUMMYFUNCTION("IF($CR166="""","""",IFERROR(GOOGLEFINANCE($CR166,""low52"")*CU166,""-""))"),"")</f>
        <v/>
      </c>
      <c r="AI166" s="848" t="str">
        <f>IFERROR(__xludf.DUMMYFUNCTION("IF($CR166="""","""",IFERROR(GOOGLEFINANCE($CR166,""high52"")*CU166,""-""))"),"")</f>
        <v/>
      </c>
      <c r="AJ166" s="849" t="s">
        <v>123</v>
      </c>
      <c r="AK166" s="850" t="str">
        <f>IFERROR(__xludf.DUMMYFUNCTION("IF($CR166="""","""",IFERROR(GOOGLEFINANCE($CR166,""changepct"")/100,""-""))"),"")</f>
        <v/>
      </c>
      <c r="AL166" s="851" t="str">
        <f>IFERROR(__xludf.DUMMYFUNCTION("IF($CR166="""","""",IFERROR(($AD166/(QUERY(GOOGLEFINANCE($CR166,""price"",TODAY()-7),""SELECT Col2 label Col2 ''"")*$CU166)-1),""-""))"),"")</f>
        <v/>
      </c>
      <c r="AM166" s="851" t="str">
        <f>IFERROR(__xludf.DUMMYFUNCTION("IF($CR166="""","""",IFERROR(($AD166/(QUERY(GOOGLEFINANCE($CR166,""price"",TODAY()-14),""SELECT Col2 label Col2 ''"")*$CU166)-1),""-""))"),"")</f>
        <v/>
      </c>
      <c r="AN166" s="851" t="str">
        <f>IFERROR(__xludf.DUMMYFUNCTION("IF($CR166="""","""",IFERROR(($AD166/(QUERY(GOOGLEFINANCE($CR166,""price"",TODAY()-28),""SELECT Col2 label Col2 ''"")*$CU166)-1),""-""))"),"")</f>
        <v/>
      </c>
      <c r="AO166" s="851" t="str">
        <f>IFERROR(__xludf.DUMMYFUNCTION("IF($CR166="""","""",IFERROR(($AD166/(QUERY(GOOGLEFINANCE($CR166,""price"",TODAY()-$AQ$5),""SELECT Col2 label Col2 ''"")*$CU166)-1),""-""))"),"")</f>
        <v/>
      </c>
      <c r="AP166" s="852" t="str">
        <f>IFERROR(__xludf.DUMMYFUNCTION("IF($CR166="""","""",IFERROR(SPARKLINE(query(GOOGLEFINANCE($CR166,""price"",TODAY()-$AQ$5,TODAY(),1),""select Col2 label Col2 ''""),IF($AP$7=""Gráfico de barras"",{""charttype"",""column"";""highcolor"",""red""},{""chartype"",""line""}))))"),"")</f>
        <v/>
      </c>
      <c r="AQ166" s="144"/>
      <c r="AR166" s="853"/>
      <c r="AS166" s="854" t="str">
        <f>IF($CR166="","",IF(NOT('alocação'!$D$1),"off",IFERROR(VLOOKUP(CR166,BalanceAtivos,3,0),"NC")))</f>
        <v/>
      </c>
      <c r="AT166" s="855" t="str">
        <f>IF($CR166="","",IF(NOT('alocação'!$D$1),"off",IFERROR(VLOOKUP($CR166,BalanceAtivos,4,0)*$CU$5,"NC")))</f>
        <v/>
      </c>
      <c r="AU166" s="856" t="str">
        <f>IF($CR166="","",IF(NOT('alocação'!$D$1),"off",IFERROR(VLOOKUP($CR166,BalanceAtivos,5,0),"-")))</f>
        <v/>
      </c>
      <c r="AV166" s="856" t="str">
        <f>IF($CR166="","",IF(NOT('alocação'!$D$1),"off",IFERROR(VLOOKUP($CR166,BalanceAtivos,6,0),"-")))</f>
        <v/>
      </c>
      <c r="AW166" s="857"/>
      <c r="AX166" s="858" t="str">
        <f>IF($CR166="","",IF($E166="","SP",IFERROR(VLOOKUP($CR166,AtivosDados,MATCH("pm_atual",portfolio.!$A$3:CY$3,0),0)*$CU$5,0)))</f>
        <v/>
      </c>
      <c r="AY166" s="859" t="str">
        <f t="shared" si="2"/>
        <v/>
      </c>
      <c r="AZ166" s="858" t="str">
        <f>IF($CR166="","",IF($E166="","SP",SUMIF(portfolio.!$A$4:$A308,$CR166,portfolio.!$O$4:$O308)*$CU$5))</f>
        <v/>
      </c>
      <c r="BA166" s="858" t="str">
        <f>IF($CR166="","",IF($E166="","SP",SUMIF(portfolio.!$A$4:$A308,$CR166,portfolio.!$AN$4:$AN308)*$CU$5))</f>
        <v/>
      </c>
      <c r="BB166" s="860" t="str">
        <f>IF($CR166="","",IF($E166="","-",IFERROR($BA166/'portfólio'!$DG$63,"")))</f>
        <v/>
      </c>
      <c r="BC166" s="861" t="str">
        <f>IF($CR166="","",IF($E166="","-",SUMIF(portfolio.!$A$4:$A308,$CR166,portfolio.!$J$4:$J308)))</f>
        <v/>
      </c>
      <c r="BD166" s="862" t="str">
        <f>IF($CR166="","",IF($E166="","SP",SUMIF(portfolio.!$A$4:$A308,$CR166,portfolio.!$AQ$4:$AQ308)*$CU$5))</f>
        <v/>
      </c>
      <c r="BE166" s="850" t="str">
        <f t="shared" si="3"/>
        <v/>
      </c>
      <c r="BF166" s="862" t="str">
        <f>IF($CR166="","",IF($E166="","-",SUMIF(portfolio.!$A$4:$A308,$CR166,portfolio.!$AX$4:$AX308)*$CU$5))</f>
        <v/>
      </c>
      <c r="BG166" s="545"/>
      <c r="BH166" s="879" t="s">
        <v>123</v>
      </c>
      <c r="BI166" s="880" t="s">
        <v>123</v>
      </c>
      <c r="BJ166" s="863" t="str">
        <f>IFERROR(__xludf.DUMMYFUNCTION("IF(NOT($BL$4),"""",IF($CR166="""","""",IFERROR(query({GOOGLEFINANCE($CR166,""price"",IF($BI166=""-"",TODAY()-($AQ$5+5),$BI166),TODAY()-1)},""Select max(Col2) where Col1 is not null label max(Col2) ''"")*CU166,""-"")))"),"")</f>
        <v/>
      </c>
      <c r="BK166" s="881" t="s">
        <v>123</v>
      </c>
      <c r="BL166" s="882" t="s">
        <v>123</v>
      </c>
      <c r="BM166" s="442"/>
      <c r="BN166" s="867" t="str">
        <f>IFERROR(__xludf.DUMMYFUNCTION("IF(CR166="""","""",IF(OR(C166=""AÇÃO"",C166=""BDR""),IFERROR(QUERY({fundamentus.!$A$3:$U308},$CX$67&amp;"" where Col1='""&amp;CR166&amp;""' limit 1"",0)),IF(C166=""FII"",IFERROR(QUERY({fundsexplorer.!$A$2:$Z308},$CY$67&amp;"" where Col1='""&amp;CR166&amp;""' limit 1"",0)),""""))"&amp;")"),"")</f>
        <v/>
      </c>
      <c r="BO166" s="867"/>
      <c r="BP166" s="867"/>
      <c r="BQ166" s="867"/>
      <c r="BR166" s="867"/>
      <c r="BS166" s="867"/>
      <c r="BT166" s="867"/>
      <c r="BU166" s="442"/>
      <c r="BV166" s="868" t="str">
        <f>IFERROR(__xludf.DUMMYFUNCTION("IF(OR(C166=""AÇÃO"",C166=""BDR""),IFERROR(GOOGLEFINANCE(CONCAT(""BVMF:"",CR166), ""marketcap"")/1000000,""NC""),"""")"),"")</f>
        <v/>
      </c>
      <c r="BW166" s="869" t="s">
        <v>123</v>
      </c>
      <c r="BX166" s="870" t="s">
        <v>123</v>
      </c>
      <c r="BY166" s="868" t="s">
        <v>123</v>
      </c>
      <c r="BZ166" s="870" t="s">
        <v>123</v>
      </c>
      <c r="CA166" s="868" t="s">
        <v>123</v>
      </c>
      <c r="CB166" s="868" t="s">
        <v>123</v>
      </c>
      <c r="CC166" s="868" t="s">
        <v>123</v>
      </c>
      <c r="CD166" s="868" t="str">
        <f>IFERROR(__xludf.DUMMYFUNCTION("IF(OR(C166=""AÇÃO"",C166=""BDR""),IFERROR(GOOGLEFINANCE(CONCAT(""BVMF:"",CR166), ""volumeavg"")/1000000,""NC""),"""")"),"")</f>
        <v/>
      </c>
      <c r="CE166" s="870" t="s">
        <v>123</v>
      </c>
      <c r="CF166" s="870" t="s">
        <v>123</v>
      </c>
      <c r="CG166" s="870" t="str">
        <f>IFERROR(__xludf.DUMMYFUNCTION("IF(OR(C166=""AÇÃO"",C166=""BDR""),IF(CF166=0,""SEM DY"",IFERROR(ImportXML(CONCAT(""http://www.guiainvest.com.br/raiox/default.aspx?sigla="",$CR166),""//*[@id='lbPayoutAtual']""),""NC"")),"""")"),"")</f>
        <v/>
      </c>
      <c r="CH166" s="870" t="s">
        <v>123</v>
      </c>
      <c r="CI166" s="545"/>
      <c r="CJ166" s="871" t="str">
        <f>IFERROR(__xludf.DUMMYFUNCTION("IF(OR(C166=""AÇÃO"",C166=""BDR""),IFERROR(GOOGLEFINANCE(CONCAT(""BVMF:"",CR166), ""eps""),""NC""),"""")"),"")</f>
        <v/>
      </c>
      <c r="CK166" s="442"/>
      <c r="CL166" s="871" t="str">
        <f>IFERROR(__xludf.DUMMYFUNCTION("IF(NOT($BL$4),"""",IF($CR166="""","""",IF($BC166="""","""",IFERROR(query({op.normal!$B$5:$F308},""select Col5, toDate(Col2) where Col1 =  '""&amp;$CR166&amp;""' and Col4 &gt; 0 and ((Col3 is null) or (Col3 = 'C')) and Col2 &gt;= date '""&amp;TEXT(TODAY()-$AQ$5,""yyyy-mm-dd"&amp;""")&amp;""' order by Col2 desc limit 1 label toDate(Col2) ''"")))))"),"")</f>
        <v/>
      </c>
      <c r="CM166" s="872"/>
      <c r="CN166" s="883" t="s">
        <v>123</v>
      </c>
      <c r="CO166" s="874" t="s">
        <v>123</v>
      </c>
      <c r="CP166" s="766"/>
      <c r="CQ166" s="791"/>
      <c r="CR166" s="791"/>
      <c r="CT166" s="791" t="s">
        <v>123</v>
      </c>
      <c r="CU166" s="791" t="str">
        <f>IFERROR(__xludf.DUMMYFUNCTION("IF(CR166="""","""",IF(CT166=$C$4,1,GOOGLEFINANCE(CT166&amp;$C$4)))"),"")</f>
        <v/>
      </c>
    </row>
    <row r="167" ht="22.5" customHeight="1">
      <c r="A167" s="837">
        <v>159.0</v>
      </c>
      <c r="B167" s="838" t="s">
        <v>123</v>
      </c>
      <c r="C167" s="838" t="s">
        <v>123</v>
      </c>
      <c r="D167" s="839" t="s">
        <v>123</v>
      </c>
      <c r="E167" s="839" t="s">
        <v>123</v>
      </c>
      <c r="F167" s="839" t="s">
        <v>123</v>
      </c>
      <c r="H167" s="884"/>
      <c r="I167" s="838"/>
      <c r="J167" s="838"/>
      <c r="K167" s="838"/>
      <c r="L167" s="838"/>
      <c r="M167" s="838"/>
      <c r="N167" s="838"/>
      <c r="O167" s="838"/>
      <c r="P167" s="838"/>
      <c r="Q167" s="838"/>
      <c r="R167" s="838"/>
      <c r="S167" s="838"/>
      <c r="T167" s="838"/>
      <c r="U167" s="838"/>
      <c r="V167" s="838"/>
      <c r="W167" s="838"/>
      <c r="X167" s="838"/>
      <c r="Z167" s="875" t="str">
        <f>IFERROR(__xludf.DUMMYFUNCTION("IF($CR167="""","""",IFERROR(query({CarteirasAtivos},""select Col4 where Col4 is not null and Col1 = '""&amp;$CR167&amp;""' limit 1"")*CU167,""NC""))"),"")</f>
        <v/>
      </c>
      <c r="AA167" s="876" t="str">
        <f>IFERROR(__xludf.DUMMYFUNCTION("IF($CR167="""","""",IFERROR(query({CarteirasAtivos},""select Col6 where Col4 is not null and Col1 = '""&amp;$CR167&amp;""' limit 1""),""NC""))"),"")</f>
        <v/>
      </c>
      <c r="AB167" s="877"/>
      <c r="AC167" s="878" t="s">
        <v>123</v>
      </c>
      <c r="AD167" s="845" t="str">
        <f>IF($CR167="","",IFERROR(VLOOKUP($CR167,ativos.!$C$3:$R308,MATCH("cotacao",ativos.!$C$2:CY$2,0),FALSE)*$CU$5,"atualizar"))</f>
        <v/>
      </c>
      <c r="AE167" s="846" t="str">
        <f>IFERROR(__xludf.DUMMYFUNCTION("IF($CR167="""","""",IFERROR(AVERAGE(query({CarteirasAtivos;CarteirasAtivosEncerrados},""select Col5 where Col5 is not null and Col1 = '""&amp;$CR167&amp;""' and Col10='SIM'""))*CU167,""NC""))"),"")</f>
        <v/>
      </c>
      <c r="AF167" s="847" t="str">
        <f t="shared" si="1"/>
        <v/>
      </c>
      <c r="AG167" s="442"/>
      <c r="AH167" s="848" t="str">
        <f>IFERROR(__xludf.DUMMYFUNCTION("IF($CR167="""","""",IFERROR(GOOGLEFINANCE($CR167,""low52"")*CU167,""-""))"),"")</f>
        <v/>
      </c>
      <c r="AI167" s="848" t="str">
        <f>IFERROR(__xludf.DUMMYFUNCTION("IF($CR167="""","""",IFERROR(GOOGLEFINANCE($CR167,""high52"")*CU167,""-""))"),"")</f>
        <v/>
      </c>
      <c r="AJ167" s="849" t="s">
        <v>123</v>
      </c>
      <c r="AK167" s="850" t="str">
        <f>IFERROR(__xludf.DUMMYFUNCTION("IF($CR167="""","""",IFERROR(GOOGLEFINANCE($CR167,""changepct"")/100,""-""))"),"")</f>
        <v/>
      </c>
      <c r="AL167" s="851" t="str">
        <f>IFERROR(__xludf.DUMMYFUNCTION("IF($CR167="""","""",IFERROR(($AD167/(QUERY(GOOGLEFINANCE($CR167,""price"",TODAY()-7),""SELECT Col2 label Col2 ''"")*$CU167)-1),""-""))"),"")</f>
        <v/>
      </c>
      <c r="AM167" s="851" t="str">
        <f>IFERROR(__xludf.DUMMYFUNCTION("IF($CR167="""","""",IFERROR(($AD167/(QUERY(GOOGLEFINANCE($CR167,""price"",TODAY()-14),""SELECT Col2 label Col2 ''"")*$CU167)-1),""-""))"),"")</f>
        <v/>
      </c>
      <c r="AN167" s="851" t="str">
        <f>IFERROR(__xludf.DUMMYFUNCTION("IF($CR167="""","""",IFERROR(($AD167/(QUERY(GOOGLEFINANCE($CR167,""price"",TODAY()-28),""SELECT Col2 label Col2 ''"")*$CU167)-1),""-""))"),"")</f>
        <v/>
      </c>
      <c r="AO167" s="851" t="str">
        <f>IFERROR(__xludf.DUMMYFUNCTION("IF($CR167="""","""",IFERROR(($AD167/(QUERY(GOOGLEFINANCE($CR167,""price"",TODAY()-$AQ$5),""SELECT Col2 label Col2 ''"")*$CU167)-1),""-""))"),"")</f>
        <v/>
      </c>
      <c r="AP167" s="852" t="str">
        <f>IFERROR(__xludf.DUMMYFUNCTION("IF($CR167="""","""",IFERROR(SPARKLINE(query(GOOGLEFINANCE($CR167,""price"",TODAY()-$AQ$5,TODAY(),1),""select Col2 label Col2 ''""),IF($AP$7=""Gráfico de barras"",{""charttype"",""column"";""highcolor"",""red""},{""chartype"",""line""}))))"),"")</f>
        <v/>
      </c>
      <c r="AQ167" s="144"/>
      <c r="AR167" s="853"/>
      <c r="AS167" s="854" t="str">
        <f>IF($CR167="","",IF(NOT('alocação'!$D$1),"off",IFERROR(VLOOKUP(CR167,BalanceAtivos,3,0),"NC")))</f>
        <v/>
      </c>
      <c r="AT167" s="855" t="str">
        <f>IF($CR167="","",IF(NOT('alocação'!$D$1),"off",IFERROR(VLOOKUP($CR167,BalanceAtivos,4,0)*$CU$5,"NC")))</f>
        <v/>
      </c>
      <c r="AU167" s="856" t="str">
        <f>IF($CR167="","",IF(NOT('alocação'!$D$1),"off",IFERROR(VLOOKUP($CR167,BalanceAtivos,5,0),"-")))</f>
        <v/>
      </c>
      <c r="AV167" s="856" t="str">
        <f>IF($CR167="","",IF(NOT('alocação'!$D$1),"off",IFERROR(VLOOKUP($CR167,BalanceAtivos,6,0),"-")))</f>
        <v/>
      </c>
      <c r="AW167" s="857"/>
      <c r="AX167" s="858" t="str">
        <f>IF($CR167="","",IF($E167="","SP",IFERROR(VLOOKUP($CR167,AtivosDados,MATCH("pm_atual",portfolio.!$A$3:CY$3,0),0)*$CU$5,0)))</f>
        <v/>
      </c>
      <c r="AY167" s="859" t="str">
        <f t="shared" si="2"/>
        <v/>
      </c>
      <c r="AZ167" s="858" t="str">
        <f>IF($CR167="","",IF($E167="","SP",SUMIF(portfolio.!$A$4:$A308,$CR167,portfolio.!$O$4:$O308)*$CU$5))</f>
        <v/>
      </c>
      <c r="BA167" s="858" t="str">
        <f>IF($CR167="","",IF($E167="","SP",SUMIF(portfolio.!$A$4:$A308,$CR167,portfolio.!$AN$4:$AN308)*$CU$5))</f>
        <v/>
      </c>
      <c r="BB167" s="860" t="str">
        <f>IF($CR167="","",IF($E167="","-",IFERROR($BA167/'portfólio'!$DG$63,"")))</f>
        <v/>
      </c>
      <c r="BC167" s="861" t="str">
        <f>IF($CR167="","",IF($E167="","-",SUMIF(portfolio.!$A$4:$A308,$CR167,portfolio.!$J$4:$J308)))</f>
        <v/>
      </c>
      <c r="BD167" s="862" t="str">
        <f>IF($CR167="","",IF($E167="","SP",SUMIF(portfolio.!$A$4:$A308,$CR167,portfolio.!$AQ$4:$AQ308)*$CU$5))</f>
        <v/>
      </c>
      <c r="BE167" s="850" t="str">
        <f t="shared" si="3"/>
        <v/>
      </c>
      <c r="BF167" s="862" t="str">
        <f>IF($CR167="","",IF($E167="","-",SUMIF(portfolio.!$A$4:$A308,$CR167,portfolio.!$AX$4:$AX308)*$CU$5))</f>
        <v/>
      </c>
      <c r="BG167" s="545"/>
      <c r="BH167" s="879" t="s">
        <v>123</v>
      </c>
      <c r="BI167" s="880" t="s">
        <v>123</v>
      </c>
      <c r="BJ167" s="863" t="str">
        <f>IFERROR(__xludf.DUMMYFUNCTION("IF(NOT($BL$4),"""",IF($CR167="""","""",IFERROR(query({GOOGLEFINANCE($CR167,""price"",IF($BI167=""-"",TODAY()-($AQ$5+5),$BI167),TODAY()-1)},""Select max(Col2) where Col1 is not null label max(Col2) ''"")*CU167,""-"")))"),"")</f>
        <v/>
      </c>
      <c r="BK167" s="881" t="s">
        <v>123</v>
      </c>
      <c r="BL167" s="882" t="s">
        <v>123</v>
      </c>
      <c r="BM167" s="442"/>
      <c r="BN167" s="867" t="str">
        <f>IFERROR(__xludf.DUMMYFUNCTION("IF(CR167="""","""",IF(OR(C167=""AÇÃO"",C167=""BDR""),IFERROR(QUERY({fundamentus.!$A$3:$U308},$CX$67&amp;"" where Col1='""&amp;CR167&amp;""' limit 1"",0)),IF(C167=""FII"",IFERROR(QUERY({fundsexplorer.!$A$2:$Z308},$CY$67&amp;"" where Col1='""&amp;CR167&amp;""' limit 1"",0)),""""))"&amp;")"),"")</f>
        <v/>
      </c>
      <c r="BO167" s="867"/>
      <c r="BP167" s="867"/>
      <c r="BQ167" s="867"/>
      <c r="BR167" s="867"/>
      <c r="BS167" s="867"/>
      <c r="BT167" s="867"/>
      <c r="BU167" s="442"/>
      <c r="BV167" s="868" t="str">
        <f>IFERROR(__xludf.DUMMYFUNCTION("IF(OR(C167=""AÇÃO"",C167=""BDR""),IFERROR(GOOGLEFINANCE(CONCAT(""BVMF:"",CR167), ""marketcap"")/1000000,""NC""),"""")"),"")</f>
        <v/>
      </c>
      <c r="BW167" s="869" t="s">
        <v>123</v>
      </c>
      <c r="BX167" s="870" t="s">
        <v>123</v>
      </c>
      <c r="BY167" s="868" t="s">
        <v>123</v>
      </c>
      <c r="BZ167" s="870" t="s">
        <v>123</v>
      </c>
      <c r="CA167" s="868" t="s">
        <v>123</v>
      </c>
      <c r="CB167" s="868" t="s">
        <v>123</v>
      </c>
      <c r="CC167" s="868" t="s">
        <v>123</v>
      </c>
      <c r="CD167" s="868" t="str">
        <f>IFERROR(__xludf.DUMMYFUNCTION("IF(OR(C167=""AÇÃO"",C167=""BDR""),IFERROR(GOOGLEFINANCE(CONCAT(""BVMF:"",CR167), ""volumeavg"")/1000000,""NC""),"""")"),"")</f>
        <v/>
      </c>
      <c r="CE167" s="870" t="s">
        <v>123</v>
      </c>
      <c r="CF167" s="870" t="s">
        <v>123</v>
      </c>
      <c r="CG167" s="870" t="str">
        <f>IFERROR(__xludf.DUMMYFUNCTION("IF(OR(C167=""AÇÃO"",C167=""BDR""),IF(CF167=0,""SEM DY"",IFERROR(ImportXML(CONCAT(""http://www.guiainvest.com.br/raiox/default.aspx?sigla="",$CR167),""//*[@id='lbPayoutAtual']""),""NC"")),"""")"),"")</f>
        <v/>
      </c>
      <c r="CH167" s="870" t="s">
        <v>123</v>
      </c>
      <c r="CI167" s="545"/>
      <c r="CJ167" s="871" t="str">
        <f>IFERROR(__xludf.DUMMYFUNCTION("IF(OR(C167=""AÇÃO"",C167=""BDR""),IFERROR(GOOGLEFINANCE(CONCAT(""BVMF:"",CR167), ""eps""),""NC""),"""")"),"")</f>
        <v/>
      </c>
      <c r="CK167" s="442"/>
      <c r="CL167" s="871" t="str">
        <f>IFERROR(__xludf.DUMMYFUNCTION("IF(NOT($BL$4),"""",IF($CR167="""","""",IF($BC167="""","""",IFERROR(query({op.normal!$B$5:$F308},""select Col5, toDate(Col2) where Col1 =  '""&amp;$CR167&amp;""' and Col4 &gt; 0 and ((Col3 is null) or (Col3 = 'C')) and Col2 &gt;= date '""&amp;TEXT(TODAY()-$AQ$5,""yyyy-mm-dd"&amp;""")&amp;""' order by Col2 desc limit 1 label toDate(Col2) ''"")))))"),"")</f>
        <v/>
      </c>
      <c r="CM167" s="872"/>
      <c r="CN167" s="883" t="s">
        <v>123</v>
      </c>
      <c r="CO167" s="874" t="s">
        <v>123</v>
      </c>
      <c r="CP167" s="766"/>
      <c r="CQ167" s="791"/>
      <c r="CR167" s="791"/>
      <c r="CT167" s="791" t="s">
        <v>123</v>
      </c>
      <c r="CU167" s="791" t="str">
        <f>IFERROR(__xludf.DUMMYFUNCTION("IF(CR167="""","""",IF(CT167=$C$4,1,GOOGLEFINANCE(CT167&amp;$C$4)))"),"")</f>
        <v/>
      </c>
    </row>
    <row r="168" ht="22.5" customHeight="1">
      <c r="A168" s="837">
        <v>160.0</v>
      </c>
      <c r="B168" s="838" t="s">
        <v>123</v>
      </c>
      <c r="C168" s="838" t="s">
        <v>123</v>
      </c>
      <c r="D168" s="839" t="s">
        <v>123</v>
      </c>
      <c r="E168" s="839" t="s">
        <v>123</v>
      </c>
      <c r="F168" s="839" t="s">
        <v>123</v>
      </c>
      <c r="H168" s="884"/>
      <c r="I168" s="838"/>
      <c r="J168" s="838"/>
      <c r="K168" s="838"/>
      <c r="L168" s="838"/>
      <c r="M168" s="838"/>
      <c r="N168" s="838"/>
      <c r="O168" s="838"/>
      <c r="P168" s="838"/>
      <c r="Q168" s="838"/>
      <c r="R168" s="838"/>
      <c r="S168" s="838"/>
      <c r="T168" s="838"/>
      <c r="U168" s="838"/>
      <c r="V168" s="838"/>
      <c r="W168" s="838"/>
      <c r="X168" s="838"/>
      <c r="Z168" s="875" t="str">
        <f>IFERROR(__xludf.DUMMYFUNCTION("IF($CR168="""","""",IFERROR(query({CarteirasAtivos},""select Col4 where Col4 is not null and Col1 = '""&amp;$CR168&amp;""' limit 1"")*CU168,""NC""))"),"")</f>
        <v/>
      </c>
      <c r="AA168" s="876" t="str">
        <f>IFERROR(__xludf.DUMMYFUNCTION("IF($CR168="""","""",IFERROR(query({CarteirasAtivos},""select Col6 where Col4 is not null and Col1 = '""&amp;$CR168&amp;""' limit 1""),""NC""))"),"")</f>
        <v/>
      </c>
      <c r="AB168" s="877"/>
      <c r="AC168" s="878" t="s">
        <v>123</v>
      </c>
      <c r="AD168" s="845" t="str">
        <f>IF($CR168="","",IFERROR(VLOOKUP($CR168,ativos.!$C$3:$R308,MATCH("cotacao",ativos.!$C$2:CY$2,0),FALSE)*$CU$5,"atualizar"))</f>
        <v/>
      </c>
      <c r="AE168" s="846" t="str">
        <f>IFERROR(__xludf.DUMMYFUNCTION("IF($CR168="""","""",IFERROR(AVERAGE(query({CarteirasAtivos;CarteirasAtivosEncerrados},""select Col5 where Col5 is not null and Col1 = '""&amp;$CR168&amp;""' and Col10='SIM'""))*CU168,""NC""))"),"")</f>
        <v/>
      </c>
      <c r="AF168" s="847" t="str">
        <f t="shared" si="1"/>
        <v/>
      </c>
      <c r="AG168" s="442"/>
      <c r="AH168" s="848" t="str">
        <f>IFERROR(__xludf.DUMMYFUNCTION("IF($CR168="""","""",IFERROR(GOOGLEFINANCE($CR168,""low52"")*CU168,""-""))"),"")</f>
        <v/>
      </c>
      <c r="AI168" s="848" t="str">
        <f>IFERROR(__xludf.DUMMYFUNCTION("IF($CR168="""","""",IFERROR(GOOGLEFINANCE($CR168,""high52"")*CU168,""-""))"),"")</f>
        <v/>
      </c>
      <c r="AJ168" s="849" t="s">
        <v>123</v>
      </c>
      <c r="AK168" s="850" t="str">
        <f>IFERROR(__xludf.DUMMYFUNCTION("IF($CR168="""","""",IFERROR(GOOGLEFINANCE($CR168,""changepct"")/100,""-""))"),"")</f>
        <v/>
      </c>
      <c r="AL168" s="851" t="str">
        <f>IFERROR(__xludf.DUMMYFUNCTION("IF($CR168="""","""",IFERROR(($AD168/(QUERY(GOOGLEFINANCE($CR168,""price"",TODAY()-7),""SELECT Col2 label Col2 ''"")*$CU168)-1),""-""))"),"")</f>
        <v/>
      </c>
      <c r="AM168" s="851" t="str">
        <f>IFERROR(__xludf.DUMMYFUNCTION("IF($CR168="""","""",IFERROR(($AD168/(QUERY(GOOGLEFINANCE($CR168,""price"",TODAY()-14),""SELECT Col2 label Col2 ''"")*$CU168)-1),""-""))"),"")</f>
        <v/>
      </c>
      <c r="AN168" s="851" t="str">
        <f>IFERROR(__xludf.DUMMYFUNCTION("IF($CR168="""","""",IFERROR(($AD168/(QUERY(GOOGLEFINANCE($CR168,""price"",TODAY()-28),""SELECT Col2 label Col2 ''"")*$CU168)-1),""-""))"),"")</f>
        <v/>
      </c>
      <c r="AO168" s="851" t="str">
        <f>IFERROR(__xludf.DUMMYFUNCTION("IF($CR168="""","""",IFERROR(($AD168/(QUERY(GOOGLEFINANCE($CR168,""price"",TODAY()-$AQ$5),""SELECT Col2 label Col2 ''"")*$CU168)-1),""-""))"),"")</f>
        <v/>
      </c>
      <c r="AP168" s="852" t="str">
        <f>IFERROR(__xludf.DUMMYFUNCTION("IF($CR168="""","""",IFERROR(SPARKLINE(query(GOOGLEFINANCE($CR168,""price"",TODAY()-$AQ$5,TODAY(),1),""select Col2 label Col2 ''""),IF($AP$7=""Gráfico de barras"",{""charttype"",""column"";""highcolor"",""red""},{""chartype"",""line""}))))"),"")</f>
        <v/>
      </c>
      <c r="AQ168" s="144"/>
      <c r="AR168" s="853"/>
      <c r="AS168" s="854" t="str">
        <f>IF($CR168="","",IF(NOT('alocação'!$D$1),"off",IFERROR(VLOOKUP(CR168,BalanceAtivos,3,0),"NC")))</f>
        <v/>
      </c>
      <c r="AT168" s="855" t="str">
        <f>IF($CR168="","",IF(NOT('alocação'!$D$1),"off",IFERROR(VLOOKUP($CR168,BalanceAtivos,4,0)*$CU$5,"NC")))</f>
        <v/>
      </c>
      <c r="AU168" s="856" t="str">
        <f>IF($CR168="","",IF(NOT('alocação'!$D$1),"off",IFERROR(VLOOKUP($CR168,BalanceAtivos,5,0),"-")))</f>
        <v/>
      </c>
      <c r="AV168" s="856" t="str">
        <f>IF($CR168="","",IF(NOT('alocação'!$D$1),"off",IFERROR(VLOOKUP($CR168,BalanceAtivos,6,0),"-")))</f>
        <v/>
      </c>
      <c r="AW168" s="857"/>
      <c r="AX168" s="858" t="str">
        <f>IF($CR168="","",IF($E168="","SP",IFERROR(VLOOKUP($CR168,AtivosDados,MATCH("pm_atual",portfolio.!$A$3:CY$3,0),0)*$CU$5,0)))</f>
        <v/>
      </c>
      <c r="AY168" s="859" t="str">
        <f t="shared" si="2"/>
        <v/>
      </c>
      <c r="AZ168" s="858" t="str">
        <f>IF($CR168="","",IF($E168="","SP",SUMIF(portfolio.!$A$4:$A308,$CR168,portfolio.!$O$4:$O308)*$CU$5))</f>
        <v/>
      </c>
      <c r="BA168" s="858" t="str">
        <f>IF($CR168="","",IF($E168="","SP",SUMIF(portfolio.!$A$4:$A308,$CR168,portfolio.!$AN$4:$AN308)*$CU$5))</f>
        <v/>
      </c>
      <c r="BB168" s="860" t="str">
        <f>IF($CR168="","",IF($E168="","-",IFERROR($BA168/'portfólio'!$DG$63,"")))</f>
        <v/>
      </c>
      <c r="BC168" s="861" t="str">
        <f>IF($CR168="","",IF($E168="","-",SUMIF(portfolio.!$A$4:$A308,$CR168,portfolio.!$J$4:$J308)))</f>
        <v/>
      </c>
      <c r="BD168" s="862" t="str">
        <f>IF($CR168="","",IF($E168="","SP",SUMIF(portfolio.!$A$4:$A308,$CR168,portfolio.!$AQ$4:$AQ308)*$CU$5))</f>
        <v/>
      </c>
      <c r="BE168" s="850" t="str">
        <f t="shared" si="3"/>
        <v/>
      </c>
      <c r="BF168" s="862" t="str">
        <f>IF($CR168="","",IF($E168="","-",SUMIF(portfolio.!$A$4:$A308,$CR168,portfolio.!$AX$4:$AX308)*$CU$5))</f>
        <v/>
      </c>
      <c r="BG168" s="545"/>
      <c r="BH168" s="879" t="s">
        <v>123</v>
      </c>
      <c r="BI168" s="880" t="s">
        <v>123</v>
      </c>
      <c r="BJ168" s="863" t="str">
        <f>IFERROR(__xludf.DUMMYFUNCTION("IF(NOT($BL$4),"""",IF($CR168="""","""",IFERROR(query({GOOGLEFINANCE($CR168,""price"",IF($BI168=""-"",TODAY()-($AQ$5+5),$BI168),TODAY()-1)},""Select max(Col2) where Col1 is not null label max(Col2) ''"")*CU168,""-"")))"),"")</f>
        <v/>
      </c>
      <c r="BK168" s="881" t="s">
        <v>123</v>
      </c>
      <c r="BL168" s="882" t="s">
        <v>123</v>
      </c>
      <c r="BM168" s="442"/>
      <c r="BN168" s="867" t="str">
        <f>IFERROR(__xludf.DUMMYFUNCTION("IF(CR168="""","""",IF(OR(C168=""AÇÃO"",C168=""BDR""),IFERROR(QUERY({fundamentus.!$A$3:$U308},$CX$67&amp;"" where Col1='""&amp;CR168&amp;""' limit 1"",0)),IF(C168=""FII"",IFERROR(QUERY({fundsexplorer.!$A$2:$Z308},$CY$67&amp;"" where Col1='""&amp;CR168&amp;""' limit 1"",0)),""""))"&amp;")"),"")</f>
        <v/>
      </c>
      <c r="BO168" s="867"/>
      <c r="BP168" s="867"/>
      <c r="BQ168" s="867"/>
      <c r="BR168" s="867"/>
      <c r="BS168" s="867"/>
      <c r="BT168" s="867"/>
      <c r="BU168" s="442"/>
      <c r="BV168" s="868" t="str">
        <f>IFERROR(__xludf.DUMMYFUNCTION("IF(OR(C168=""AÇÃO"",C168=""BDR""),IFERROR(GOOGLEFINANCE(CONCAT(""BVMF:"",CR168), ""marketcap"")/1000000,""NC""),"""")"),"")</f>
        <v/>
      </c>
      <c r="BW168" s="869" t="s">
        <v>123</v>
      </c>
      <c r="BX168" s="870" t="s">
        <v>123</v>
      </c>
      <c r="BY168" s="868" t="s">
        <v>123</v>
      </c>
      <c r="BZ168" s="870" t="s">
        <v>123</v>
      </c>
      <c r="CA168" s="868" t="s">
        <v>123</v>
      </c>
      <c r="CB168" s="868" t="s">
        <v>123</v>
      </c>
      <c r="CC168" s="868" t="s">
        <v>123</v>
      </c>
      <c r="CD168" s="868" t="str">
        <f>IFERROR(__xludf.DUMMYFUNCTION("IF(OR(C168=""AÇÃO"",C168=""BDR""),IFERROR(GOOGLEFINANCE(CONCAT(""BVMF:"",CR168), ""volumeavg"")/1000000,""NC""),"""")"),"")</f>
        <v/>
      </c>
      <c r="CE168" s="870" t="s">
        <v>123</v>
      </c>
      <c r="CF168" s="870" t="s">
        <v>123</v>
      </c>
      <c r="CG168" s="870" t="str">
        <f>IFERROR(__xludf.DUMMYFUNCTION("IF(OR(C168=""AÇÃO"",C168=""BDR""),IF(CF168=0,""SEM DY"",IFERROR(ImportXML(CONCAT(""http://www.guiainvest.com.br/raiox/default.aspx?sigla="",$CR168),""//*[@id='lbPayoutAtual']""),""NC"")),"""")"),"")</f>
        <v/>
      </c>
      <c r="CH168" s="870" t="s">
        <v>123</v>
      </c>
      <c r="CI168" s="545"/>
      <c r="CJ168" s="871" t="str">
        <f>IFERROR(__xludf.DUMMYFUNCTION("IF(OR(C168=""AÇÃO"",C168=""BDR""),IFERROR(GOOGLEFINANCE(CONCAT(""BVMF:"",CR168), ""eps""),""NC""),"""")"),"")</f>
        <v/>
      </c>
      <c r="CK168" s="442"/>
      <c r="CL168" s="871" t="str">
        <f>IFERROR(__xludf.DUMMYFUNCTION("IF(NOT($BL$4),"""",IF($CR168="""","""",IF($BC168="""","""",IFERROR(query({op.normal!$B$5:$F308},""select Col5, toDate(Col2) where Col1 =  '""&amp;$CR168&amp;""' and Col4 &gt; 0 and ((Col3 is null) or (Col3 = 'C')) and Col2 &gt;= date '""&amp;TEXT(TODAY()-$AQ$5,""yyyy-mm-dd"&amp;""")&amp;""' order by Col2 desc limit 1 label toDate(Col2) ''"")))))"),"")</f>
        <v/>
      </c>
      <c r="CM168" s="872"/>
      <c r="CN168" s="883" t="s">
        <v>123</v>
      </c>
      <c r="CO168" s="874" t="s">
        <v>123</v>
      </c>
      <c r="CP168" s="766"/>
      <c r="CQ168" s="791"/>
      <c r="CR168" s="791"/>
      <c r="CT168" s="791" t="s">
        <v>123</v>
      </c>
      <c r="CU168" s="791" t="str">
        <f>IFERROR(__xludf.DUMMYFUNCTION("IF(CR168="""","""",IF(CT168=$C$4,1,GOOGLEFINANCE(CT168&amp;$C$4)))"),"")</f>
        <v/>
      </c>
    </row>
    <row r="169" ht="22.5" customHeight="1">
      <c r="A169" s="837">
        <v>161.0</v>
      </c>
      <c r="B169" s="838" t="s">
        <v>123</v>
      </c>
      <c r="C169" s="838" t="s">
        <v>123</v>
      </c>
      <c r="D169" s="839" t="s">
        <v>123</v>
      </c>
      <c r="E169" s="839" t="s">
        <v>123</v>
      </c>
      <c r="F169" s="839" t="s">
        <v>123</v>
      </c>
      <c r="H169" s="884"/>
      <c r="I169" s="838"/>
      <c r="J169" s="838"/>
      <c r="K169" s="838"/>
      <c r="L169" s="838"/>
      <c r="M169" s="838"/>
      <c r="N169" s="838"/>
      <c r="O169" s="838"/>
      <c r="P169" s="838"/>
      <c r="Q169" s="838"/>
      <c r="R169" s="838"/>
      <c r="S169" s="838"/>
      <c r="T169" s="838"/>
      <c r="U169" s="838"/>
      <c r="V169" s="838"/>
      <c r="W169" s="838"/>
      <c r="X169" s="838"/>
      <c r="Z169" s="875" t="str">
        <f>IFERROR(__xludf.DUMMYFUNCTION("IF($CR169="""","""",IFERROR(query({CarteirasAtivos},""select Col4 where Col4 is not null and Col1 = '""&amp;$CR169&amp;""' limit 1"")*CU169,""NC""))"),"")</f>
        <v/>
      </c>
      <c r="AA169" s="876" t="str">
        <f>IFERROR(__xludf.DUMMYFUNCTION("IF($CR169="""","""",IFERROR(query({CarteirasAtivos},""select Col6 where Col4 is not null and Col1 = '""&amp;$CR169&amp;""' limit 1""),""NC""))"),"")</f>
        <v/>
      </c>
      <c r="AB169" s="877"/>
      <c r="AC169" s="878" t="s">
        <v>123</v>
      </c>
      <c r="AD169" s="845" t="str">
        <f>IF($CR169="","",IFERROR(VLOOKUP($CR169,ativos.!$C$3:$R308,MATCH("cotacao",ativos.!$C$2:CY$2,0),FALSE)*$CU$5,"atualizar"))</f>
        <v/>
      </c>
      <c r="AE169" s="846" t="str">
        <f>IFERROR(__xludf.DUMMYFUNCTION("IF($CR169="""","""",IFERROR(AVERAGE(query({CarteirasAtivos;CarteirasAtivosEncerrados},""select Col5 where Col5 is not null and Col1 = '""&amp;$CR169&amp;""' and Col10='SIM'""))*CU169,""NC""))"),"")</f>
        <v/>
      </c>
      <c r="AF169" s="847" t="str">
        <f t="shared" si="1"/>
        <v/>
      </c>
      <c r="AG169" s="442"/>
      <c r="AH169" s="848" t="str">
        <f>IFERROR(__xludf.DUMMYFUNCTION("IF($CR169="""","""",IFERROR(GOOGLEFINANCE($CR169,""low52"")*CU169,""-""))"),"")</f>
        <v/>
      </c>
      <c r="AI169" s="848" t="str">
        <f>IFERROR(__xludf.DUMMYFUNCTION("IF($CR169="""","""",IFERROR(GOOGLEFINANCE($CR169,""high52"")*CU169,""-""))"),"")</f>
        <v/>
      </c>
      <c r="AJ169" s="849" t="s">
        <v>123</v>
      </c>
      <c r="AK169" s="850" t="str">
        <f>IFERROR(__xludf.DUMMYFUNCTION("IF($CR169="""","""",IFERROR(GOOGLEFINANCE($CR169,""changepct"")/100,""-""))"),"")</f>
        <v/>
      </c>
      <c r="AL169" s="851" t="str">
        <f>IFERROR(__xludf.DUMMYFUNCTION("IF($CR169="""","""",IFERROR(($AD169/(QUERY(GOOGLEFINANCE($CR169,""price"",TODAY()-7),""SELECT Col2 label Col2 ''"")*$CU169)-1),""-""))"),"")</f>
        <v/>
      </c>
      <c r="AM169" s="851" t="str">
        <f>IFERROR(__xludf.DUMMYFUNCTION("IF($CR169="""","""",IFERROR(($AD169/(QUERY(GOOGLEFINANCE($CR169,""price"",TODAY()-14),""SELECT Col2 label Col2 ''"")*$CU169)-1),""-""))"),"")</f>
        <v/>
      </c>
      <c r="AN169" s="851" t="str">
        <f>IFERROR(__xludf.DUMMYFUNCTION("IF($CR169="""","""",IFERROR(($AD169/(QUERY(GOOGLEFINANCE($CR169,""price"",TODAY()-28),""SELECT Col2 label Col2 ''"")*$CU169)-1),""-""))"),"")</f>
        <v/>
      </c>
      <c r="AO169" s="851" t="str">
        <f>IFERROR(__xludf.DUMMYFUNCTION("IF($CR169="""","""",IFERROR(($AD169/(QUERY(GOOGLEFINANCE($CR169,""price"",TODAY()-$AQ$5),""SELECT Col2 label Col2 ''"")*$CU169)-1),""-""))"),"")</f>
        <v/>
      </c>
      <c r="AP169" s="852" t="str">
        <f>IFERROR(__xludf.DUMMYFUNCTION("IF($CR169="""","""",IFERROR(SPARKLINE(query(GOOGLEFINANCE($CR169,""price"",TODAY()-$AQ$5,TODAY(),1),""select Col2 label Col2 ''""),IF($AP$7=""Gráfico de barras"",{""charttype"",""column"";""highcolor"",""red""},{""chartype"",""line""}))))"),"")</f>
        <v/>
      </c>
      <c r="AQ169" s="144"/>
      <c r="AR169" s="853"/>
      <c r="AS169" s="854" t="str">
        <f>IF($CR169="","",IF(NOT('alocação'!$D$1),"off",IFERROR(VLOOKUP(CR169,BalanceAtivos,3,0),"NC")))</f>
        <v/>
      </c>
      <c r="AT169" s="855" t="str">
        <f>IF($CR169="","",IF(NOT('alocação'!$D$1),"off",IFERROR(VLOOKUP($CR169,BalanceAtivos,4,0)*$CU$5,"NC")))</f>
        <v/>
      </c>
      <c r="AU169" s="856" t="str">
        <f>IF($CR169="","",IF(NOT('alocação'!$D$1),"off",IFERROR(VLOOKUP($CR169,BalanceAtivos,5,0),"-")))</f>
        <v/>
      </c>
      <c r="AV169" s="856" t="str">
        <f>IF($CR169="","",IF(NOT('alocação'!$D$1),"off",IFERROR(VLOOKUP($CR169,BalanceAtivos,6,0),"-")))</f>
        <v/>
      </c>
      <c r="AW169" s="857"/>
      <c r="AX169" s="858" t="str">
        <f>IF($CR169="","",IF($E169="","SP",IFERROR(VLOOKUP($CR169,AtivosDados,MATCH("pm_atual",portfolio.!$A$3:CY$3,0),0)*$CU$5,0)))</f>
        <v/>
      </c>
      <c r="AY169" s="859" t="str">
        <f t="shared" si="2"/>
        <v/>
      </c>
      <c r="AZ169" s="858" t="str">
        <f>IF($CR169="","",IF($E169="","SP",SUMIF(portfolio.!$A$4:$A308,$CR169,portfolio.!$O$4:$O308)*$CU$5))</f>
        <v/>
      </c>
      <c r="BA169" s="858" t="str">
        <f>IF($CR169="","",IF($E169="","SP",SUMIF(portfolio.!$A$4:$A308,$CR169,portfolio.!$AN$4:$AN308)*$CU$5))</f>
        <v/>
      </c>
      <c r="BB169" s="860" t="str">
        <f>IF($CR169="","",IF($E169="","-",IFERROR($BA169/'portfólio'!$DG$63,"")))</f>
        <v/>
      </c>
      <c r="BC169" s="861" t="str">
        <f>IF($CR169="","",IF($E169="","-",SUMIF(portfolio.!$A$4:$A308,$CR169,portfolio.!$J$4:$J308)))</f>
        <v/>
      </c>
      <c r="BD169" s="862" t="str">
        <f>IF($CR169="","",IF($E169="","SP",SUMIF(portfolio.!$A$4:$A308,$CR169,portfolio.!$AQ$4:$AQ308)*$CU$5))</f>
        <v/>
      </c>
      <c r="BE169" s="850" t="str">
        <f t="shared" si="3"/>
        <v/>
      </c>
      <c r="BF169" s="862" t="str">
        <f>IF($CR169="","",IF($E169="","-",SUMIF(portfolio.!$A$4:$A308,$CR169,portfolio.!$AX$4:$AX308)*$CU$5))</f>
        <v/>
      </c>
      <c r="BG169" s="545"/>
      <c r="BH169" s="879" t="s">
        <v>123</v>
      </c>
      <c r="BI169" s="880" t="s">
        <v>123</v>
      </c>
      <c r="BJ169" s="863" t="str">
        <f>IFERROR(__xludf.DUMMYFUNCTION("IF(NOT($BL$4),"""",IF($CR169="""","""",IFERROR(query({GOOGLEFINANCE($CR169,""price"",IF($BI169=""-"",TODAY()-($AQ$5+5),$BI169),TODAY()-1)},""Select max(Col2) where Col1 is not null label max(Col2) ''"")*CU169,""-"")))"),"")</f>
        <v/>
      </c>
      <c r="BK169" s="881" t="s">
        <v>123</v>
      </c>
      <c r="BL169" s="882" t="s">
        <v>123</v>
      </c>
      <c r="BM169" s="442"/>
      <c r="BN169" s="867" t="str">
        <f>IFERROR(__xludf.DUMMYFUNCTION("IF(CR169="""","""",IF(OR(C169=""AÇÃO"",C169=""BDR""),IFERROR(QUERY({fundamentus.!$A$3:$U308},$CX$67&amp;"" where Col1='""&amp;CR169&amp;""' limit 1"",0)),IF(C169=""FII"",IFERROR(QUERY({fundsexplorer.!$A$2:$Z308},$CY$67&amp;"" where Col1='""&amp;CR169&amp;""' limit 1"",0)),""""))"&amp;")"),"")</f>
        <v/>
      </c>
      <c r="BO169" s="867"/>
      <c r="BP169" s="867"/>
      <c r="BQ169" s="867"/>
      <c r="BR169" s="867"/>
      <c r="BS169" s="867"/>
      <c r="BT169" s="867"/>
      <c r="BU169" s="442"/>
      <c r="BV169" s="868" t="str">
        <f>IFERROR(__xludf.DUMMYFUNCTION("IF(OR(C169=""AÇÃO"",C169=""BDR""),IFERROR(GOOGLEFINANCE(CONCAT(""BVMF:"",CR169), ""marketcap"")/1000000,""NC""),"""")"),"")</f>
        <v/>
      </c>
      <c r="BW169" s="869" t="s">
        <v>123</v>
      </c>
      <c r="BX169" s="870" t="s">
        <v>123</v>
      </c>
      <c r="BY169" s="868" t="s">
        <v>123</v>
      </c>
      <c r="BZ169" s="870" t="s">
        <v>123</v>
      </c>
      <c r="CA169" s="868" t="s">
        <v>123</v>
      </c>
      <c r="CB169" s="868" t="s">
        <v>123</v>
      </c>
      <c r="CC169" s="868" t="s">
        <v>123</v>
      </c>
      <c r="CD169" s="868" t="str">
        <f>IFERROR(__xludf.DUMMYFUNCTION("IF(OR(C169=""AÇÃO"",C169=""BDR""),IFERROR(GOOGLEFINANCE(CONCAT(""BVMF:"",CR169), ""volumeavg"")/1000000,""NC""),"""")"),"")</f>
        <v/>
      </c>
      <c r="CE169" s="870" t="s">
        <v>123</v>
      </c>
      <c r="CF169" s="870" t="s">
        <v>123</v>
      </c>
      <c r="CG169" s="870" t="str">
        <f>IFERROR(__xludf.DUMMYFUNCTION("IF(OR(C169=""AÇÃO"",C169=""BDR""),IF(CF169=0,""SEM DY"",IFERROR(ImportXML(CONCAT(""http://www.guiainvest.com.br/raiox/default.aspx?sigla="",$CR169),""//*[@id='lbPayoutAtual']""),""NC"")),"""")"),"")</f>
        <v/>
      </c>
      <c r="CH169" s="870" t="s">
        <v>123</v>
      </c>
      <c r="CI169" s="545"/>
      <c r="CJ169" s="871" t="str">
        <f>IFERROR(__xludf.DUMMYFUNCTION("IF(OR(C169=""AÇÃO"",C169=""BDR""),IFERROR(GOOGLEFINANCE(CONCAT(""BVMF:"",CR169), ""eps""),""NC""),"""")"),"")</f>
        <v/>
      </c>
      <c r="CK169" s="442"/>
      <c r="CL169" s="871" t="str">
        <f>IFERROR(__xludf.DUMMYFUNCTION("IF(NOT($BL$4),"""",IF($CR169="""","""",IF($BC169="""","""",IFERROR(query({op.normal!$B$5:$F308},""select Col5, toDate(Col2) where Col1 =  '""&amp;$CR169&amp;""' and Col4 &gt; 0 and ((Col3 is null) or (Col3 = 'C')) and Col2 &gt;= date '""&amp;TEXT(TODAY()-$AQ$5,""yyyy-mm-dd"&amp;""")&amp;""' order by Col2 desc limit 1 label toDate(Col2) ''"")))))"),"")</f>
        <v/>
      </c>
      <c r="CM169" s="872"/>
      <c r="CN169" s="883" t="s">
        <v>123</v>
      </c>
      <c r="CO169" s="874" t="s">
        <v>123</v>
      </c>
      <c r="CP169" s="766"/>
      <c r="CQ169" s="791"/>
      <c r="CR169" s="791"/>
      <c r="CT169" s="791" t="s">
        <v>123</v>
      </c>
      <c r="CU169" s="791" t="str">
        <f>IFERROR(__xludf.DUMMYFUNCTION("IF(CR169="""","""",IF(CT169=$C$4,1,GOOGLEFINANCE(CT169&amp;$C$4)))"),"")</f>
        <v/>
      </c>
    </row>
    <row r="170" ht="22.5" customHeight="1">
      <c r="A170" s="837">
        <v>162.0</v>
      </c>
      <c r="B170" s="838" t="s">
        <v>123</v>
      </c>
      <c r="C170" s="838" t="s">
        <v>123</v>
      </c>
      <c r="D170" s="839" t="s">
        <v>123</v>
      </c>
      <c r="E170" s="839" t="s">
        <v>123</v>
      </c>
      <c r="F170" s="839" t="s">
        <v>123</v>
      </c>
      <c r="H170" s="884"/>
      <c r="I170" s="838"/>
      <c r="J170" s="838"/>
      <c r="K170" s="838"/>
      <c r="L170" s="838"/>
      <c r="M170" s="838"/>
      <c r="N170" s="838"/>
      <c r="O170" s="838"/>
      <c r="P170" s="838"/>
      <c r="Q170" s="838"/>
      <c r="R170" s="838"/>
      <c r="S170" s="838"/>
      <c r="T170" s="838"/>
      <c r="U170" s="838"/>
      <c r="V170" s="838"/>
      <c r="W170" s="838"/>
      <c r="X170" s="838"/>
      <c r="Z170" s="875" t="str">
        <f>IFERROR(__xludf.DUMMYFUNCTION("IF($CR170="""","""",IFERROR(query({CarteirasAtivos},""select Col4 where Col4 is not null and Col1 = '""&amp;$CR170&amp;""' limit 1"")*CU170,""NC""))"),"")</f>
        <v/>
      </c>
      <c r="AA170" s="876" t="str">
        <f>IFERROR(__xludf.DUMMYFUNCTION("IF($CR170="""","""",IFERROR(query({CarteirasAtivos},""select Col6 where Col4 is not null and Col1 = '""&amp;$CR170&amp;""' limit 1""),""NC""))"),"")</f>
        <v/>
      </c>
      <c r="AB170" s="877"/>
      <c r="AC170" s="878" t="s">
        <v>123</v>
      </c>
      <c r="AD170" s="845" t="str">
        <f>IF($CR170="","",IFERROR(VLOOKUP($CR170,ativos.!$C$3:$R308,MATCH("cotacao",ativos.!$C$2:CY$2,0),FALSE)*$CU$5,"atualizar"))</f>
        <v/>
      </c>
      <c r="AE170" s="846" t="str">
        <f>IFERROR(__xludf.DUMMYFUNCTION("IF($CR170="""","""",IFERROR(AVERAGE(query({CarteirasAtivos;CarteirasAtivosEncerrados},""select Col5 where Col5 is not null and Col1 = '""&amp;$CR170&amp;""' and Col10='SIM'""))*CU170,""NC""))"),"")</f>
        <v/>
      </c>
      <c r="AF170" s="847" t="str">
        <f t="shared" si="1"/>
        <v/>
      </c>
      <c r="AG170" s="442"/>
      <c r="AH170" s="848" t="str">
        <f>IFERROR(__xludf.DUMMYFUNCTION("IF($CR170="""","""",IFERROR(GOOGLEFINANCE($CR170,""low52"")*CU170,""-""))"),"")</f>
        <v/>
      </c>
      <c r="AI170" s="848" t="str">
        <f>IFERROR(__xludf.DUMMYFUNCTION("IF($CR170="""","""",IFERROR(GOOGLEFINANCE($CR170,""high52"")*CU170,""-""))"),"")</f>
        <v/>
      </c>
      <c r="AJ170" s="849" t="s">
        <v>123</v>
      </c>
      <c r="AK170" s="850" t="str">
        <f>IFERROR(__xludf.DUMMYFUNCTION("IF($CR170="""","""",IFERROR(GOOGLEFINANCE($CR170,""changepct"")/100,""-""))"),"")</f>
        <v/>
      </c>
      <c r="AL170" s="851" t="str">
        <f>IFERROR(__xludf.DUMMYFUNCTION("IF($CR170="""","""",IFERROR(($AD170/(QUERY(GOOGLEFINANCE($CR170,""price"",TODAY()-7),""SELECT Col2 label Col2 ''"")*$CU170)-1),""-""))"),"")</f>
        <v/>
      </c>
      <c r="AM170" s="851" t="str">
        <f>IFERROR(__xludf.DUMMYFUNCTION("IF($CR170="""","""",IFERROR(($AD170/(QUERY(GOOGLEFINANCE($CR170,""price"",TODAY()-14),""SELECT Col2 label Col2 ''"")*$CU170)-1),""-""))"),"")</f>
        <v/>
      </c>
      <c r="AN170" s="851" t="str">
        <f>IFERROR(__xludf.DUMMYFUNCTION("IF($CR170="""","""",IFERROR(($AD170/(QUERY(GOOGLEFINANCE($CR170,""price"",TODAY()-28),""SELECT Col2 label Col2 ''"")*$CU170)-1),""-""))"),"")</f>
        <v/>
      </c>
      <c r="AO170" s="851" t="str">
        <f>IFERROR(__xludf.DUMMYFUNCTION("IF($CR170="""","""",IFERROR(($AD170/(QUERY(GOOGLEFINANCE($CR170,""price"",TODAY()-$AQ$5),""SELECT Col2 label Col2 ''"")*$CU170)-1),""-""))"),"")</f>
        <v/>
      </c>
      <c r="AP170" s="852" t="str">
        <f>IFERROR(__xludf.DUMMYFUNCTION("IF($CR170="""","""",IFERROR(SPARKLINE(query(GOOGLEFINANCE($CR170,""price"",TODAY()-$AQ$5,TODAY(),1),""select Col2 label Col2 ''""),IF($AP$7=""Gráfico de barras"",{""charttype"",""column"";""highcolor"",""red""},{""chartype"",""line""}))))"),"")</f>
        <v/>
      </c>
      <c r="AQ170" s="144"/>
      <c r="AR170" s="853"/>
      <c r="AS170" s="854" t="str">
        <f>IF($CR170="","",IF(NOT('alocação'!$D$1),"off",IFERROR(VLOOKUP(CR170,BalanceAtivos,3,0),"NC")))</f>
        <v/>
      </c>
      <c r="AT170" s="855" t="str">
        <f>IF($CR170="","",IF(NOT('alocação'!$D$1),"off",IFERROR(VLOOKUP($CR170,BalanceAtivos,4,0)*$CU$5,"NC")))</f>
        <v/>
      </c>
      <c r="AU170" s="856" t="str">
        <f>IF($CR170="","",IF(NOT('alocação'!$D$1),"off",IFERROR(VLOOKUP($CR170,BalanceAtivos,5,0),"-")))</f>
        <v/>
      </c>
      <c r="AV170" s="856" t="str">
        <f>IF($CR170="","",IF(NOT('alocação'!$D$1),"off",IFERROR(VLOOKUP($CR170,BalanceAtivos,6,0),"-")))</f>
        <v/>
      </c>
      <c r="AW170" s="857"/>
      <c r="AX170" s="858" t="str">
        <f>IF($CR170="","",IF($E170="","SP",IFERROR(VLOOKUP($CR170,AtivosDados,MATCH("pm_atual",portfolio.!$A$3:CY$3,0),0)*$CU$5,0)))</f>
        <v/>
      </c>
      <c r="AY170" s="859" t="str">
        <f t="shared" si="2"/>
        <v/>
      </c>
      <c r="AZ170" s="858" t="str">
        <f>IF($CR170="","",IF($E170="","SP",SUMIF(portfolio.!$A$4:$A308,$CR170,portfolio.!$O$4:$O308)*$CU$5))</f>
        <v/>
      </c>
      <c r="BA170" s="858" t="str">
        <f>IF($CR170="","",IF($E170="","SP",SUMIF(portfolio.!$A$4:$A308,$CR170,portfolio.!$AN$4:$AN308)*$CU$5))</f>
        <v/>
      </c>
      <c r="BB170" s="860" t="str">
        <f>IF($CR170="","",IF($E170="","-",IFERROR($BA170/'portfólio'!$DG$63,"")))</f>
        <v/>
      </c>
      <c r="BC170" s="861" t="str">
        <f>IF($CR170="","",IF($E170="","-",SUMIF(portfolio.!$A$4:$A308,$CR170,portfolio.!$J$4:$J308)))</f>
        <v/>
      </c>
      <c r="BD170" s="862" t="str">
        <f>IF($CR170="","",IF($E170="","SP",SUMIF(portfolio.!$A$4:$A308,$CR170,portfolio.!$AQ$4:$AQ308)*$CU$5))</f>
        <v/>
      </c>
      <c r="BE170" s="850" t="str">
        <f t="shared" si="3"/>
        <v/>
      </c>
      <c r="BF170" s="862" t="str">
        <f>IF($CR170="","",IF($E170="","-",SUMIF(portfolio.!$A$4:$A308,$CR170,portfolio.!$AX$4:$AX308)*$CU$5))</f>
        <v/>
      </c>
      <c r="BG170" s="545"/>
      <c r="BH170" s="879" t="s">
        <v>123</v>
      </c>
      <c r="BI170" s="880" t="s">
        <v>123</v>
      </c>
      <c r="BJ170" s="863" t="str">
        <f>IFERROR(__xludf.DUMMYFUNCTION("IF(NOT($BL$4),"""",IF($CR170="""","""",IFERROR(query({GOOGLEFINANCE($CR170,""price"",IF($BI170=""-"",TODAY()-($AQ$5+5),$BI170),TODAY()-1)},""Select max(Col2) where Col1 is not null label max(Col2) ''"")*CU170,""-"")))"),"")</f>
        <v/>
      </c>
      <c r="BK170" s="881" t="s">
        <v>123</v>
      </c>
      <c r="BL170" s="882" t="s">
        <v>123</v>
      </c>
      <c r="BM170" s="442"/>
      <c r="BN170" s="867" t="str">
        <f>IFERROR(__xludf.DUMMYFUNCTION("IF(CR170="""","""",IF(OR(C170=""AÇÃO"",C170=""BDR""),IFERROR(QUERY({fundamentus.!$A$3:$U308},$CX$67&amp;"" where Col1='""&amp;CR170&amp;""' limit 1"",0)),IF(C170=""FII"",IFERROR(QUERY({fundsexplorer.!$A$2:$Z308},$CY$67&amp;"" where Col1='""&amp;CR170&amp;""' limit 1"",0)),""""))"&amp;")"),"")</f>
        <v/>
      </c>
      <c r="BO170" s="867"/>
      <c r="BP170" s="867"/>
      <c r="BQ170" s="867"/>
      <c r="BR170" s="867"/>
      <c r="BS170" s="867"/>
      <c r="BT170" s="867"/>
      <c r="BU170" s="442"/>
      <c r="BV170" s="868" t="str">
        <f>IFERROR(__xludf.DUMMYFUNCTION("IF(OR(C170=""AÇÃO"",C170=""BDR""),IFERROR(GOOGLEFINANCE(CONCAT(""BVMF:"",CR170), ""marketcap"")/1000000,""NC""),"""")"),"")</f>
        <v/>
      </c>
      <c r="BW170" s="869" t="s">
        <v>123</v>
      </c>
      <c r="BX170" s="870" t="s">
        <v>123</v>
      </c>
      <c r="BY170" s="868" t="s">
        <v>123</v>
      </c>
      <c r="BZ170" s="870" t="s">
        <v>123</v>
      </c>
      <c r="CA170" s="868" t="s">
        <v>123</v>
      </c>
      <c r="CB170" s="868" t="s">
        <v>123</v>
      </c>
      <c r="CC170" s="868" t="s">
        <v>123</v>
      </c>
      <c r="CD170" s="868" t="str">
        <f>IFERROR(__xludf.DUMMYFUNCTION("IF(OR(C170=""AÇÃO"",C170=""BDR""),IFERROR(GOOGLEFINANCE(CONCAT(""BVMF:"",CR170), ""volumeavg"")/1000000,""NC""),"""")"),"")</f>
        <v/>
      </c>
      <c r="CE170" s="870" t="s">
        <v>123</v>
      </c>
      <c r="CF170" s="870" t="s">
        <v>123</v>
      </c>
      <c r="CG170" s="870" t="str">
        <f>IFERROR(__xludf.DUMMYFUNCTION("IF(OR(C170=""AÇÃO"",C170=""BDR""),IF(CF170=0,""SEM DY"",IFERROR(ImportXML(CONCAT(""http://www.guiainvest.com.br/raiox/default.aspx?sigla="",$CR170),""//*[@id='lbPayoutAtual']""),""NC"")),"""")"),"")</f>
        <v/>
      </c>
      <c r="CH170" s="870" t="s">
        <v>123</v>
      </c>
      <c r="CI170" s="545"/>
      <c r="CJ170" s="871" t="str">
        <f>IFERROR(__xludf.DUMMYFUNCTION("IF(OR(C170=""AÇÃO"",C170=""BDR""),IFERROR(GOOGLEFINANCE(CONCAT(""BVMF:"",CR170), ""eps""),""NC""),"""")"),"")</f>
        <v/>
      </c>
      <c r="CK170" s="442"/>
      <c r="CL170" s="871" t="str">
        <f>IFERROR(__xludf.DUMMYFUNCTION("IF(NOT($BL$4),"""",IF($CR170="""","""",IF($BC170="""","""",IFERROR(query({op.normal!$B$5:$F308},""select Col5, toDate(Col2) where Col1 =  '""&amp;$CR170&amp;""' and Col4 &gt; 0 and ((Col3 is null) or (Col3 = 'C')) and Col2 &gt;= date '""&amp;TEXT(TODAY()-$AQ$5,""yyyy-mm-dd"&amp;""")&amp;""' order by Col2 desc limit 1 label toDate(Col2) ''"")))))"),"")</f>
        <v/>
      </c>
      <c r="CM170" s="872"/>
      <c r="CN170" s="883" t="s">
        <v>123</v>
      </c>
      <c r="CO170" s="874" t="s">
        <v>123</v>
      </c>
      <c r="CP170" s="766"/>
      <c r="CQ170" s="791"/>
      <c r="CR170" s="791"/>
      <c r="CT170" s="791" t="s">
        <v>123</v>
      </c>
      <c r="CU170" s="791" t="str">
        <f>IFERROR(__xludf.DUMMYFUNCTION("IF(CR170="""","""",IF(CT170=$C$4,1,GOOGLEFINANCE(CT170&amp;$C$4)))"),"")</f>
        <v/>
      </c>
    </row>
    <row r="171" ht="22.5" customHeight="1">
      <c r="A171" s="837">
        <v>163.0</v>
      </c>
      <c r="B171" s="838" t="s">
        <v>123</v>
      </c>
      <c r="C171" s="838" t="s">
        <v>123</v>
      </c>
      <c r="D171" s="839" t="s">
        <v>123</v>
      </c>
      <c r="E171" s="839" t="s">
        <v>123</v>
      </c>
      <c r="F171" s="839" t="s">
        <v>123</v>
      </c>
      <c r="H171" s="884"/>
      <c r="I171" s="838"/>
      <c r="J171" s="838"/>
      <c r="K171" s="838"/>
      <c r="L171" s="838"/>
      <c r="M171" s="838"/>
      <c r="N171" s="838"/>
      <c r="O171" s="838"/>
      <c r="P171" s="838"/>
      <c r="Q171" s="838"/>
      <c r="R171" s="838"/>
      <c r="S171" s="838"/>
      <c r="T171" s="838"/>
      <c r="U171" s="838"/>
      <c r="V171" s="838"/>
      <c r="W171" s="838"/>
      <c r="X171" s="838"/>
      <c r="Z171" s="875" t="str">
        <f>IFERROR(__xludf.DUMMYFUNCTION("IF($CR171="""","""",IFERROR(query({CarteirasAtivos},""select Col4 where Col4 is not null and Col1 = '""&amp;$CR171&amp;""' limit 1"")*CU171,""NC""))"),"")</f>
        <v/>
      </c>
      <c r="AA171" s="876" t="str">
        <f>IFERROR(__xludf.DUMMYFUNCTION("IF($CR171="""","""",IFERROR(query({CarteirasAtivos},""select Col6 where Col4 is not null and Col1 = '""&amp;$CR171&amp;""' limit 1""),""NC""))"),"")</f>
        <v/>
      </c>
      <c r="AB171" s="877"/>
      <c r="AC171" s="878" t="s">
        <v>123</v>
      </c>
      <c r="AD171" s="845" t="str">
        <f>IF($CR171="","",IFERROR(VLOOKUP($CR171,ativos.!$C$3:$R308,MATCH("cotacao",ativos.!$C$2:CY$2,0),FALSE)*$CU$5,"atualizar"))</f>
        <v/>
      </c>
      <c r="AE171" s="846" t="str">
        <f>IFERROR(__xludf.DUMMYFUNCTION("IF($CR171="""","""",IFERROR(AVERAGE(query({CarteirasAtivos;CarteirasAtivosEncerrados},""select Col5 where Col5 is not null and Col1 = '""&amp;$CR171&amp;""' and Col10='SIM'""))*CU171,""NC""))"),"")</f>
        <v/>
      </c>
      <c r="AF171" s="847" t="str">
        <f t="shared" si="1"/>
        <v/>
      </c>
      <c r="AG171" s="442"/>
      <c r="AH171" s="848" t="str">
        <f>IFERROR(__xludf.DUMMYFUNCTION("IF($CR171="""","""",IFERROR(GOOGLEFINANCE($CR171,""low52"")*CU171,""-""))"),"")</f>
        <v/>
      </c>
      <c r="AI171" s="848" t="str">
        <f>IFERROR(__xludf.DUMMYFUNCTION("IF($CR171="""","""",IFERROR(GOOGLEFINANCE($CR171,""high52"")*CU171,""-""))"),"")</f>
        <v/>
      </c>
      <c r="AJ171" s="849" t="s">
        <v>123</v>
      </c>
      <c r="AK171" s="850" t="str">
        <f>IFERROR(__xludf.DUMMYFUNCTION("IF($CR171="""","""",IFERROR(GOOGLEFINANCE($CR171,""changepct"")/100,""-""))"),"")</f>
        <v/>
      </c>
      <c r="AL171" s="851" t="str">
        <f>IFERROR(__xludf.DUMMYFUNCTION("IF($CR171="""","""",IFERROR(($AD171/(QUERY(GOOGLEFINANCE($CR171,""price"",TODAY()-7),""SELECT Col2 label Col2 ''"")*$CU171)-1),""-""))"),"")</f>
        <v/>
      </c>
      <c r="AM171" s="851" t="str">
        <f>IFERROR(__xludf.DUMMYFUNCTION("IF($CR171="""","""",IFERROR(($AD171/(QUERY(GOOGLEFINANCE($CR171,""price"",TODAY()-14),""SELECT Col2 label Col2 ''"")*$CU171)-1),""-""))"),"")</f>
        <v/>
      </c>
      <c r="AN171" s="851" t="str">
        <f>IFERROR(__xludf.DUMMYFUNCTION("IF($CR171="""","""",IFERROR(($AD171/(QUERY(GOOGLEFINANCE($CR171,""price"",TODAY()-28),""SELECT Col2 label Col2 ''"")*$CU171)-1),""-""))"),"")</f>
        <v/>
      </c>
      <c r="AO171" s="851" t="str">
        <f>IFERROR(__xludf.DUMMYFUNCTION("IF($CR171="""","""",IFERROR(($AD171/(QUERY(GOOGLEFINANCE($CR171,""price"",TODAY()-$AQ$5),""SELECT Col2 label Col2 ''"")*$CU171)-1),""-""))"),"")</f>
        <v/>
      </c>
      <c r="AP171" s="852" t="str">
        <f>IFERROR(__xludf.DUMMYFUNCTION("IF($CR171="""","""",IFERROR(SPARKLINE(query(GOOGLEFINANCE($CR171,""price"",TODAY()-$AQ$5,TODAY(),1),""select Col2 label Col2 ''""),IF($AP$7=""Gráfico de barras"",{""charttype"",""column"";""highcolor"",""red""},{""chartype"",""line""}))))"),"")</f>
        <v/>
      </c>
      <c r="AQ171" s="144"/>
      <c r="AR171" s="853"/>
      <c r="AS171" s="854" t="str">
        <f>IF($CR171="","",IF(NOT('alocação'!$D$1),"off",IFERROR(VLOOKUP(CR171,BalanceAtivos,3,0),"NC")))</f>
        <v/>
      </c>
      <c r="AT171" s="855" t="str">
        <f>IF($CR171="","",IF(NOT('alocação'!$D$1),"off",IFERROR(VLOOKUP($CR171,BalanceAtivos,4,0)*$CU$5,"NC")))</f>
        <v/>
      </c>
      <c r="AU171" s="856" t="str">
        <f>IF($CR171="","",IF(NOT('alocação'!$D$1),"off",IFERROR(VLOOKUP($CR171,BalanceAtivos,5,0),"-")))</f>
        <v/>
      </c>
      <c r="AV171" s="856" t="str">
        <f>IF($CR171="","",IF(NOT('alocação'!$D$1),"off",IFERROR(VLOOKUP($CR171,BalanceAtivos,6,0),"-")))</f>
        <v/>
      </c>
      <c r="AW171" s="857"/>
      <c r="AX171" s="858" t="str">
        <f>IF($CR171="","",IF($E171="","SP",IFERROR(VLOOKUP($CR171,AtivosDados,MATCH("pm_atual",portfolio.!$A$3:CY$3,0),0)*$CU$5,0)))</f>
        <v/>
      </c>
      <c r="AY171" s="859" t="str">
        <f t="shared" si="2"/>
        <v/>
      </c>
      <c r="AZ171" s="858" t="str">
        <f>IF($CR171="","",IF($E171="","SP",SUMIF(portfolio.!$A$4:$A308,$CR171,portfolio.!$O$4:$O308)*$CU$5))</f>
        <v/>
      </c>
      <c r="BA171" s="858" t="str">
        <f>IF($CR171="","",IF($E171="","SP",SUMIF(portfolio.!$A$4:$A308,$CR171,portfolio.!$AN$4:$AN308)*$CU$5))</f>
        <v/>
      </c>
      <c r="BB171" s="860" t="str">
        <f>IF($CR171="","",IF($E171="","-",IFERROR($BA171/'portfólio'!$DG$63,"")))</f>
        <v/>
      </c>
      <c r="BC171" s="861" t="str">
        <f>IF($CR171="","",IF($E171="","-",SUMIF(portfolio.!$A$4:$A308,$CR171,portfolio.!$J$4:$J308)))</f>
        <v/>
      </c>
      <c r="BD171" s="862" t="str">
        <f>IF($CR171="","",IF($E171="","SP",SUMIF(portfolio.!$A$4:$A308,$CR171,portfolio.!$AQ$4:$AQ308)*$CU$5))</f>
        <v/>
      </c>
      <c r="BE171" s="850" t="str">
        <f t="shared" si="3"/>
        <v/>
      </c>
      <c r="BF171" s="862" t="str">
        <f>IF($CR171="","",IF($E171="","-",SUMIF(portfolio.!$A$4:$A308,$CR171,portfolio.!$AX$4:$AX308)*$CU$5))</f>
        <v/>
      </c>
      <c r="BG171" s="545"/>
      <c r="BH171" s="879" t="s">
        <v>123</v>
      </c>
      <c r="BI171" s="880" t="s">
        <v>123</v>
      </c>
      <c r="BJ171" s="863" t="str">
        <f>IFERROR(__xludf.DUMMYFUNCTION("IF(NOT($BL$4),"""",IF($CR171="""","""",IFERROR(query({GOOGLEFINANCE($CR171,""price"",IF($BI171=""-"",TODAY()-($AQ$5+5),$BI171),TODAY()-1)},""Select max(Col2) where Col1 is not null label max(Col2) ''"")*CU171,""-"")))"),"")</f>
        <v/>
      </c>
      <c r="BK171" s="881" t="s">
        <v>123</v>
      </c>
      <c r="BL171" s="882" t="s">
        <v>123</v>
      </c>
      <c r="BM171" s="442"/>
      <c r="BN171" s="867" t="str">
        <f>IFERROR(__xludf.DUMMYFUNCTION("IF(CR171="""","""",IF(OR(C171=""AÇÃO"",C171=""BDR""),IFERROR(QUERY({fundamentus.!$A$3:$U308},$CX$67&amp;"" where Col1='""&amp;CR171&amp;""' limit 1"",0)),IF(C171=""FII"",IFERROR(QUERY({fundsexplorer.!$A$2:$Z308},$CY$67&amp;"" where Col1='""&amp;CR171&amp;""' limit 1"",0)),""""))"&amp;")"),"")</f>
        <v/>
      </c>
      <c r="BO171" s="867"/>
      <c r="BP171" s="867"/>
      <c r="BQ171" s="867"/>
      <c r="BR171" s="867"/>
      <c r="BS171" s="867"/>
      <c r="BT171" s="867"/>
      <c r="BU171" s="442"/>
      <c r="BV171" s="868" t="str">
        <f>IFERROR(__xludf.DUMMYFUNCTION("IF(OR(C171=""AÇÃO"",C171=""BDR""),IFERROR(GOOGLEFINANCE(CONCAT(""BVMF:"",CR171), ""marketcap"")/1000000,""NC""),"""")"),"")</f>
        <v/>
      </c>
      <c r="BW171" s="869" t="s">
        <v>123</v>
      </c>
      <c r="BX171" s="870" t="s">
        <v>123</v>
      </c>
      <c r="BY171" s="868" t="s">
        <v>123</v>
      </c>
      <c r="BZ171" s="870" t="s">
        <v>123</v>
      </c>
      <c r="CA171" s="868" t="s">
        <v>123</v>
      </c>
      <c r="CB171" s="868" t="s">
        <v>123</v>
      </c>
      <c r="CC171" s="868" t="s">
        <v>123</v>
      </c>
      <c r="CD171" s="868" t="str">
        <f>IFERROR(__xludf.DUMMYFUNCTION("IF(OR(C171=""AÇÃO"",C171=""BDR""),IFERROR(GOOGLEFINANCE(CONCAT(""BVMF:"",CR171), ""volumeavg"")/1000000,""NC""),"""")"),"")</f>
        <v/>
      </c>
      <c r="CE171" s="870" t="s">
        <v>123</v>
      </c>
      <c r="CF171" s="870" t="s">
        <v>123</v>
      </c>
      <c r="CG171" s="870" t="str">
        <f>IFERROR(__xludf.DUMMYFUNCTION("IF(OR(C171=""AÇÃO"",C171=""BDR""),IF(CF171=0,""SEM DY"",IFERROR(ImportXML(CONCAT(""http://www.guiainvest.com.br/raiox/default.aspx?sigla="",$CR171),""//*[@id='lbPayoutAtual']""),""NC"")),"""")"),"")</f>
        <v/>
      </c>
      <c r="CH171" s="870" t="s">
        <v>123</v>
      </c>
      <c r="CI171" s="545"/>
      <c r="CJ171" s="871" t="str">
        <f>IFERROR(__xludf.DUMMYFUNCTION("IF(OR(C171=""AÇÃO"",C171=""BDR""),IFERROR(GOOGLEFINANCE(CONCAT(""BVMF:"",CR171), ""eps""),""NC""),"""")"),"")</f>
        <v/>
      </c>
      <c r="CK171" s="442"/>
      <c r="CL171" s="871" t="str">
        <f>IFERROR(__xludf.DUMMYFUNCTION("IF(NOT($BL$4),"""",IF($CR171="""","""",IF($BC171="""","""",IFERROR(query({op.normal!$B$5:$F308},""select Col5, toDate(Col2) where Col1 =  '""&amp;$CR171&amp;""' and Col4 &gt; 0 and ((Col3 is null) or (Col3 = 'C')) and Col2 &gt;= date '""&amp;TEXT(TODAY()-$AQ$5,""yyyy-mm-dd"&amp;""")&amp;""' order by Col2 desc limit 1 label toDate(Col2) ''"")))))"),"")</f>
        <v/>
      </c>
      <c r="CM171" s="872"/>
      <c r="CN171" s="883" t="s">
        <v>123</v>
      </c>
      <c r="CO171" s="874" t="s">
        <v>123</v>
      </c>
      <c r="CP171" s="766"/>
      <c r="CQ171" s="791"/>
      <c r="CR171" s="791"/>
      <c r="CT171" s="791" t="s">
        <v>123</v>
      </c>
      <c r="CU171" s="791" t="str">
        <f>IFERROR(__xludf.DUMMYFUNCTION("IF(CR171="""","""",IF(CT171=$C$4,1,GOOGLEFINANCE(CT171&amp;$C$4)))"),"")</f>
        <v/>
      </c>
    </row>
    <row r="172" ht="22.5" customHeight="1">
      <c r="A172" s="837">
        <v>164.0</v>
      </c>
      <c r="B172" s="838" t="s">
        <v>123</v>
      </c>
      <c r="C172" s="838" t="s">
        <v>123</v>
      </c>
      <c r="D172" s="839" t="s">
        <v>123</v>
      </c>
      <c r="E172" s="839" t="s">
        <v>123</v>
      </c>
      <c r="F172" s="839" t="s">
        <v>123</v>
      </c>
      <c r="H172" s="884"/>
      <c r="I172" s="838"/>
      <c r="J172" s="838"/>
      <c r="K172" s="838"/>
      <c r="L172" s="838"/>
      <c r="M172" s="838"/>
      <c r="N172" s="838"/>
      <c r="O172" s="838"/>
      <c r="P172" s="838"/>
      <c r="Q172" s="838"/>
      <c r="R172" s="838"/>
      <c r="S172" s="838"/>
      <c r="T172" s="838"/>
      <c r="U172" s="838"/>
      <c r="V172" s="838"/>
      <c r="W172" s="838"/>
      <c r="X172" s="838"/>
      <c r="Z172" s="875" t="str">
        <f>IFERROR(__xludf.DUMMYFUNCTION("IF($CR172="""","""",IFERROR(query({CarteirasAtivos},""select Col4 where Col4 is not null and Col1 = '""&amp;$CR172&amp;""' limit 1"")*CU172,""NC""))"),"")</f>
        <v/>
      </c>
      <c r="AA172" s="876" t="str">
        <f>IFERROR(__xludf.DUMMYFUNCTION("IF($CR172="""","""",IFERROR(query({CarteirasAtivos},""select Col6 where Col4 is not null and Col1 = '""&amp;$CR172&amp;""' limit 1""),""NC""))"),"")</f>
        <v/>
      </c>
      <c r="AB172" s="877"/>
      <c r="AC172" s="878" t="s">
        <v>123</v>
      </c>
      <c r="AD172" s="845" t="str">
        <f>IF($CR172="","",IFERROR(VLOOKUP($CR172,ativos.!$C$3:$R308,MATCH("cotacao",ativos.!$C$2:CY$2,0),FALSE)*$CU$5,"atualizar"))</f>
        <v/>
      </c>
      <c r="AE172" s="846" t="str">
        <f>IFERROR(__xludf.DUMMYFUNCTION("IF($CR172="""","""",IFERROR(AVERAGE(query({CarteirasAtivos;CarteirasAtivosEncerrados},""select Col5 where Col5 is not null and Col1 = '""&amp;$CR172&amp;""' and Col10='SIM'""))*CU172,""NC""))"),"")</f>
        <v/>
      </c>
      <c r="AF172" s="847" t="str">
        <f t="shared" si="1"/>
        <v/>
      </c>
      <c r="AG172" s="442"/>
      <c r="AH172" s="848" t="str">
        <f>IFERROR(__xludf.DUMMYFUNCTION("IF($CR172="""","""",IFERROR(GOOGLEFINANCE($CR172,""low52"")*CU172,""-""))"),"")</f>
        <v/>
      </c>
      <c r="AI172" s="848" t="str">
        <f>IFERROR(__xludf.DUMMYFUNCTION("IF($CR172="""","""",IFERROR(GOOGLEFINANCE($CR172,""high52"")*CU172,""-""))"),"")</f>
        <v/>
      </c>
      <c r="AJ172" s="849" t="s">
        <v>123</v>
      </c>
      <c r="AK172" s="850" t="str">
        <f>IFERROR(__xludf.DUMMYFUNCTION("IF($CR172="""","""",IFERROR(GOOGLEFINANCE($CR172,""changepct"")/100,""-""))"),"")</f>
        <v/>
      </c>
      <c r="AL172" s="851" t="str">
        <f>IFERROR(__xludf.DUMMYFUNCTION("IF($CR172="""","""",IFERROR(($AD172/(QUERY(GOOGLEFINANCE($CR172,""price"",TODAY()-7),""SELECT Col2 label Col2 ''"")*$CU172)-1),""-""))"),"")</f>
        <v/>
      </c>
      <c r="AM172" s="851" t="str">
        <f>IFERROR(__xludf.DUMMYFUNCTION("IF($CR172="""","""",IFERROR(($AD172/(QUERY(GOOGLEFINANCE($CR172,""price"",TODAY()-14),""SELECT Col2 label Col2 ''"")*$CU172)-1),""-""))"),"")</f>
        <v/>
      </c>
      <c r="AN172" s="851" t="str">
        <f>IFERROR(__xludf.DUMMYFUNCTION("IF($CR172="""","""",IFERROR(($AD172/(QUERY(GOOGLEFINANCE($CR172,""price"",TODAY()-28),""SELECT Col2 label Col2 ''"")*$CU172)-1),""-""))"),"")</f>
        <v/>
      </c>
      <c r="AO172" s="851" t="str">
        <f>IFERROR(__xludf.DUMMYFUNCTION("IF($CR172="""","""",IFERROR(($AD172/(QUERY(GOOGLEFINANCE($CR172,""price"",TODAY()-$AQ$5),""SELECT Col2 label Col2 ''"")*$CU172)-1),""-""))"),"")</f>
        <v/>
      </c>
      <c r="AP172" s="852" t="str">
        <f>IFERROR(__xludf.DUMMYFUNCTION("IF($CR172="""","""",IFERROR(SPARKLINE(query(GOOGLEFINANCE($CR172,""price"",TODAY()-$AQ$5,TODAY(),1),""select Col2 label Col2 ''""),IF($AP$7=""Gráfico de barras"",{""charttype"",""column"";""highcolor"",""red""},{""chartype"",""line""}))))"),"")</f>
        <v/>
      </c>
      <c r="AQ172" s="144"/>
      <c r="AR172" s="853"/>
      <c r="AS172" s="854" t="str">
        <f>IF($CR172="","",IF(NOT('alocação'!$D$1),"off",IFERROR(VLOOKUP(CR172,BalanceAtivos,3,0),"NC")))</f>
        <v/>
      </c>
      <c r="AT172" s="855" t="str">
        <f>IF($CR172="","",IF(NOT('alocação'!$D$1),"off",IFERROR(VLOOKUP($CR172,BalanceAtivos,4,0)*$CU$5,"NC")))</f>
        <v/>
      </c>
      <c r="AU172" s="856" t="str">
        <f>IF($CR172="","",IF(NOT('alocação'!$D$1),"off",IFERROR(VLOOKUP($CR172,BalanceAtivos,5,0),"-")))</f>
        <v/>
      </c>
      <c r="AV172" s="856" t="str">
        <f>IF($CR172="","",IF(NOT('alocação'!$D$1),"off",IFERROR(VLOOKUP($CR172,BalanceAtivos,6,0),"-")))</f>
        <v/>
      </c>
      <c r="AW172" s="857"/>
      <c r="AX172" s="858" t="str">
        <f>IF($CR172="","",IF($E172="","SP",IFERROR(VLOOKUP($CR172,AtivosDados,MATCH("pm_atual",portfolio.!$A$3:CY$3,0),0)*$CU$5,0)))</f>
        <v/>
      </c>
      <c r="AY172" s="859" t="str">
        <f t="shared" si="2"/>
        <v/>
      </c>
      <c r="AZ172" s="858" t="str">
        <f>IF($CR172="","",IF($E172="","SP",SUMIF(portfolio.!$A$4:$A308,$CR172,portfolio.!$O$4:$O308)*$CU$5))</f>
        <v/>
      </c>
      <c r="BA172" s="858" t="str">
        <f>IF($CR172="","",IF($E172="","SP",SUMIF(portfolio.!$A$4:$A308,$CR172,portfolio.!$AN$4:$AN308)*$CU$5))</f>
        <v/>
      </c>
      <c r="BB172" s="860" t="str">
        <f>IF($CR172="","",IF($E172="","-",IFERROR($BA172/'portfólio'!$DG$63,"")))</f>
        <v/>
      </c>
      <c r="BC172" s="861" t="str">
        <f>IF($CR172="","",IF($E172="","-",SUMIF(portfolio.!$A$4:$A308,$CR172,portfolio.!$J$4:$J308)))</f>
        <v/>
      </c>
      <c r="BD172" s="862" t="str">
        <f>IF($CR172="","",IF($E172="","SP",SUMIF(portfolio.!$A$4:$A308,$CR172,portfolio.!$AQ$4:$AQ308)*$CU$5))</f>
        <v/>
      </c>
      <c r="BE172" s="850" t="str">
        <f t="shared" si="3"/>
        <v/>
      </c>
      <c r="BF172" s="862" t="str">
        <f>IF($CR172="","",IF($E172="","-",SUMIF(portfolio.!$A$4:$A308,$CR172,portfolio.!$AX$4:$AX308)*$CU$5))</f>
        <v/>
      </c>
      <c r="BG172" s="545"/>
      <c r="BH172" s="879" t="s">
        <v>123</v>
      </c>
      <c r="BI172" s="880" t="s">
        <v>123</v>
      </c>
      <c r="BJ172" s="863" t="str">
        <f>IFERROR(__xludf.DUMMYFUNCTION("IF(NOT($BL$4),"""",IF($CR172="""","""",IFERROR(query({GOOGLEFINANCE($CR172,""price"",IF($BI172=""-"",TODAY()-($AQ$5+5),$BI172),TODAY()-1)},""Select max(Col2) where Col1 is not null label max(Col2) ''"")*CU172,""-"")))"),"")</f>
        <v/>
      </c>
      <c r="BK172" s="881" t="s">
        <v>123</v>
      </c>
      <c r="BL172" s="882" t="s">
        <v>123</v>
      </c>
      <c r="BM172" s="442"/>
      <c r="BN172" s="867" t="str">
        <f>IFERROR(__xludf.DUMMYFUNCTION("IF(CR172="""","""",IF(OR(C172=""AÇÃO"",C172=""BDR""),IFERROR(QUERY({fundamentus.!$A$3:$U308},$CX$67&amp;"" where Col1='""&amp;CR172&amp;""' limit 1"",0)),IF(C172=""FII"",IFERROR(QUERY({fundsexplorer.!$A$2:$Z308},$CY$67&amp;"" where Col1='""&amp;CR172&amp;""' limit 1"",0)),""""))"&amp;")"),"")</f>
        <v/>
      </c>
      <c r="BO172" s="867"/>
      <c r="BP172" s="867"/>
      <c r="BQ172" s="867"/>
      <c r="BR172" s="867"/>
      <c r="BS172" s="867"/>
      <c r="BT172" s="867"/>
      <c r="BU172" s="442"/>
      <c r="BV172" s="868" t="str">
        <f>IFERROR(__xludf.DUMMYFUNCTION("IF(OR(C172=""AÇÃO"",C172=""BDR""),IFERROR(GOOGLEFINANCE(CONCAT(""BVMF:"",CR172), ""marketcap"")/1000000,""NC""),"""")"),"")</f>
        <v/>
      </c>
      <c r="BW172" s="869" t="s">
        <v>123</v>
      </c>
      <c r="BX172" s="870" t="s">
        <v>123</v>
      </c>
      <c r="BY172" s="868" t="s">
        <v>123</v>
      </c>
      <c r="BZ172" s="870" t="s">
        <v>123</v>
      </c>
      <c r="CA172" s="868" t="s">
        <v>123</v>
      </c>
      <c r="CB172" s="868" t="s">
        <v>123</v>
      </c>
      <c r="CC172" s="868" t="s">
        <v>123</v>
      </c>
      <c r="CD172" s="868" t="str">
        <f>IFERROR(__xludf.DUMMYFUNCTION("IF(OR(C172=""AÇÃO"",C172=""BDR""),IFERROR(GOOGLEFINANCE(CONCAT(""BVMF:"",CR172), ""volumeavg"")/1000000,""NC""),"""")"),"")</f>
        <v/>
      </c>
      <c r="CE172" s="870" t="s">
        <v>123</v>
      </c>
      <c r="CF172" s="870" t="s">
        <v>123</v>
      </c>
      <c r="CG172" s="870" t="str">
        <f>IFERROR(__xludf.DUMMYFUNCTION("IF(OR(C172=""AÇÃO"",C172=""BDR""),IF(CF172=0,""SEM DY"",IFERROR(ImportXML(CONCAT(""http://www.guiainvest.com.br/raiox/default.aspx?sigla="",$CR172),""//*[@id='lbPayoutAtual']""),""NC"")),"""")"),"")</f>
        <v/>
      </c>
      <c r="CH172" s="870" t="s">
        <v>123</v>
      </c>
      <c r="CI172" s="545"/>
      <c r="CJ172" s="871" t="str">
        <f>IFERROR(__xludf.DUMMYFUNCTION("IF(OR(C172=""AÇÃO"",C172=""BDR""),IFERROR(GOOGLEFINANCE(CONCAT(""BVMF:"",CR172), ""eps""),""NC""),"""")"),"")</f>
        <v/>
      </c>
      <c r="CK172" s="442"/>
      <c r="CL172" s="871" t="str">
        <f>IFERROR(__xludf.DUMMYFUNCTION("IF(NOT($BL$4),"""",IF($CR172="""","""",IF($BC172="""","""",IFERROR(query({op.normal!$B$5:$F308},""select Col5, toDate(Col2) where Col1 =  '""&amp;$CR172&amp;""' and Col4 &gt; 0 and ((Col3 is null) or (Col3 = 'C')) and Col2 &gt;= date '""&amp;TEXT(TODAY()-$AQ$5,""yyyy-mm-dd"&amp;""")&amp;""' order by Col2 desc limit 1 label toDate(Col2) ''"")))))"),"")</f>
        <v/>
      </c>
      <c r="CM172" s="872"/>
      <c r="CN172" s="883" t="s">
        <v>123</v>
      </c>
      <c r="CO172" s="874" t="s">
        <v>123</v>
      </c>
      <c r="CP172" s="766"/>
      <c r="CQ172" s="791"/>
      <c r="CR172" s="791"/>
      <c r="CT172" s="791" t="s">
        <v>123</v>
      </c>
      <c r="CU172" s="791" t="str">
        <f>IFERROR(__xludf.DUMMYFUNCTION("IF(CR172="""","""",IF(CT172=$C$4,1,GOOGLEFINANCE(CT172&amp;$C$4)))"),"")</f>
        <v/>
      </c>
    </row>
    <row r="173" ht="22.5" customHeight="1">
      <c r="A173" s="837">
        <v>165.0</v>
      </c>
      <c r="B173" s="838" t="s">
        <v>123</v>
      </c>
      <c r="C173" s="838" t="s">
        <v>123</v>
      </c>
      <c r="D173" s="839" t="s">
        <v>123</v>
      </c>
      <c r="E173" s="839" t="s">
        <v>123</v>
      </c>
      <c r="F173" s="839" t="s">
        <v>123</v>
      </c>
      <c r="H173" s="884"/>
      <c r="I173" s="838"/>
      <c r="J173" s="838"/>
      <c r="K173" s="838"/>
      <c r="L173" s="838"/>
      <c r="M173" s="838"/>
      <c r="N173" s="838"/>
      <c r="O173" s="838"/>
      <c r="P173" s="838"/>
      <c r="Q173" s="838"/>
      <c r="R173" s="838"/>
      <c r="S173" s="838"/>
      <c r="T173" s="838"/>
      <c r="U173" s="838"/>
      <c r="V173" s="838"/>
      <c r="W173" s="838"/>
      <c r="X173" s="838"/>
      <c r="Z173" s="875" t="str">
        <f>IFERROR(__xludf.DUMMYFUNCTION("IF($CR173="""","""",IFERROR(query({CarteirasAtivos},""select Col4 where Col4 is not null and Col1 = '""&amp;$CR173&amp;""' limit 1"")*CU173,""NC""))"),"")</f>
        <v/>
      </c>
      <c r="AA173" s="876" t="str">
        <f>IFERROR(__xludf.DUMMYFUNCTION("IF($CR173="""","""",IFERROR(query({CarteirasAtivos},""select Col6 where Col4 is not null and Col1 = '""&amp;$CR173&amp;""' limit 1""),""NC""))"),"")</f>
        <v/>
      </c>
      <c r="AB173" s="877"/>
      <c r="AC173" s="878" t="s">
        <v>123</v>
      </c>
      <c r="AD173" s="845" t="str">
        <f>IF($CR173="","",IFERROR(VLOOKUP($CR173,ativos.!$C$3:$R308,MATCH("cotacao",ativos.!$C$2:CY$2,0),FALSE)*$CU$5,"atualizar"))</f>
        <v/>
      </c>
      <c r="AE173" s="846" t="str">
        <f>IFERROR(__xludf.DUMMYFUNCTION("IF($CR173="""","""",IFERROR(AVERAGE(query({CarteirasAtivos;CarteirasAtivosEncerrados},""select Col5 where Col5 is not null and Col1 = '""&amp;$CR173&amp;""' and Col10='SIM'""))*CU173,""NC""))"),"")</f>
        <v/>
      </c>
      <c r="AF173" s="847" t="str">
        <f t="shared" si="1"/>
        <v/>
      </c>
      <c r="AG173" s="442"/>
      <c r="AH173" s="848" t="str">
        <f>IFERROR(__xludf.DUMMYFUNCTION("IF($CR173="""","""",IFERROR(GOOGLEFINANCE($CR173,""low52"")*CU173,""-""))"),"")</f>
        <v/>
      </c>
      <c r="AI173" s="848" t="str">
        <f>IFERROR(__xludf.DUMMYFUNCTION("IF($CR173="""","""",IFERROR(GOOGLEFINANCE($CR173,""high52"")*CU173,""-""))"),"")</f>
        <v/>
      </c>
      <c r="AJ173" s="849" t="s">
        <v>123</v>
      </c>
      <c r="AK173" s="850" t="str">
        <f>IFERROR(__xludf.DUMMYFUNCTION("IF($CR173="""","""",IFERROR(GOOGLEFINANCE($CR173,""changepct"")/100,""-""))"),"")</f>
        <v/>
      </c>
      <c r="AL173" s="851" t="str">
        <f>IFERROR(__xludf.DUMMYFUNCTION("IF($CR173="""","""",IFERROR(($AD173/(QUERY(GOOGLEFINANCE($CR173,""price"",TODAY()-7),""SELECT Col2 label Col2 ''"")*$CU173)-1),""-""))"),"")</f>
        <v/>
      </c>
      <c r="AM173" s="851" t="str">
        <f>IFERROR(__xludf.DUMMYFUNCTION("IF($CR173="""","""",IFERROR(($AD173/(QUERY(GOOGLEFINANCE($CR173,""price"",TODAY()-14),""SELECT Col2 label Col2 ''"")*$CU173)-1),""-""))"),"")</f>
        <v/>
      </c>
      <c r="AN173" s="851" t="str">
        <f>IFERROR(__xludf.DUMMYFUNCTION("IF($CR173="""","""",IFERROR(($AD173/(QUERY(GOOGLEFINANCE($CR173,""price"",TODAY()-28),""SELECT Col2 label Col2 ''"")*$CU173)-1),""-""))"),"")</f>
        <v/>
      </c>
      <c r="AO173" s="851" t="str">
        <f>IFERROR(__xludf.DUMMYFUNCTION("IF($CR173="""","""",IFERROR(($AD173/(QUERY(GOOGLEFINANCE($CR173,""price"",TODAY()-$AQ$5),""SELECT Col2 label Col2 ''"")*$CU173)-1),""-""))"),"")</f>
        <v/>
      </c>
      <c r="AP173" s="852" t="str">
        <f>IFERROR(__xludf.DUMMYFUNCTION("IF($CR173="""","""",IFERROR(SPARKLINE(query(GOOGLEFINANCE($CR173,""price"",TODAY()-$AQ$5,TODAY(),1),""select Col2 label Col2 ''""),IF($AP$7=""Gráfico de barras"",{""charttype"",""column"";""highcolor"",""red""},{""chartype"",""line""}))))"),"")</f>
        <v/>
      </c>
      <c r="AQ173" s="144"/>
      <c r="AR173" s="853"/>
      <c r="AS173" s="854" t="str">
        <f>IF($CR173="","",IF(NOT('alocação'!$D$1),"off",IFERROR(VLOOKUP(CR173,BalanceAtivos,3,0),"NC")))</f>
        <v/>
      </c>
      <c r="AT173" s="855" t="str">
        <f>IF($CR173="","",IF(NOT('alocação'!$D$1),"off",IFERROR(VLOOKUP($CR173,BalanceAtivos,4,0)*$CU$5,"NC")))</f>
        <v/>
      </c>
      <c r="AU173" s="856" t="str">
        <f>IF($CR173="","",IF(NOT('alocação'!$D$1),"off",IFERROR(VLOOKUP($CR173,BalanceAtivos,5,0),"-")))</f>
        <v/>
      </c>
      <c r="AV173" s="856" t="str">
        <f>IF($CR173="","",IF(NOT('alocação'!$D$1),"off",IFERROR(VLOOKUP($CR173,BalanceAtivos,6,0),"-")))</f>
        <v/>
      </c>
      <c r="AW173" s="857"/>
      <c r="AX173" s="858" t="str">
        <f>IF($CR173="","",IF($E173="","SP",IFERROR(VLOOKUP($CR173,AtivosDados,MATCH("pm_atual",portfolio.!$A$3:CY$3,0),0)*$CU$5,0)))</f>
        <v/>
      </c>
      <c r="AY173" s="859" t="str">
        <f t="shared" si="2"/>
        <v/>
      </c>
      <c r="AZ173" s="858" t="str">
        <f>IF($CR173="","",IF($E173="","SP",SUMIF(portfolio.!$A$4:$A308,$CR173,portfolio.!$O$4:$O308)*$CU$5))</f>
        <v/>
      </c>
      <c r="BA173" s="858" t="str">
        <f>IF($CR173="","",IF($E173="","SP",SUMIF(portfolio.!$A$4:$A308,$CR173,portfolio.!$AN$4:$AN308)*$CU$5))</f>
        <v/>
      </c>
      <c r="BB173" s="860" t="str">
        <f>IF($CR173="","",IF($E173="","-",IFERROR($BA173/'portfólio'!$DG$63,"")))</f>
        <v/>
      </c>
      <c r="BC173" s="861" t="str">
        <f>IF($CR173="","",IF($E173="","-",SUMIF(portfolio.!$A$4:$A308,$CR173,portfolio.!$J$4:$J308)))</f>
        <v/>
      </c>
      <c r="BD173" s="862" t="str">
        <f>IF($CR173="","",IF($E173="","SP",SUMIF(portfolio.!$A$4:$A308,$CR173,portfolio.!$AQ$4:$AQ308)*$CU$5))</f>
        <v/>
      </c>
      <c r="BE173" s="850" t="str">
        <f t="shared" si="3"/>
        <v/>
      </c>
      <c r="BF173" s="862" t="str">
        <f>IF($CR173="","",IF($E173="","-",SUMIF(portfolio.!$A$4:$A308,$CR173,portfolio.!$AX$4:$AX308)*$CU$5))</f>
        <v/>
      </c>
      <c r="BG173" s="545"/>
      <c r="BH173" s="879" t="s">
        <v>123</v>
      </c>
      <c r="BI173" s="880" t="s">
        <v>123</v>
      </c>
      <c r="BJ173" s="863" t="str">
        <f>IFERROR(__xludf.DUMMYFUNCTION("IF(NOT($BL$4),"""",IF($CR173="""","""",IFERROR(query({GOOGLEFINANCE($CR173,""price"",IF($BI173=""-"",TODAY()-($AQ$5+5),$BI173),TODAY()-1)},""Select max(Col2) where Col1 is not null label max(Col2) ''"")*CU173,""-"")))"),"")</f>
        <v/>
      </c>
      <c r="BK173" s="881" t="s">
        <v>123</v>
      </c>
      <c r="BL173" s="882" t="s">
        <v>123</v>
      </c>
      <c r="BM173" s="442"/>
      <c r="BN173" s="867" t="str">
        <f>IFERROR(__xludf.DUMMYFUNCTION("IF(CR173="""","""",IF(OR(C173=""AÇÃO"",C173=""BDR""),IFERROR(QUERY({fundamentus.!$A$3:$U308},$CX$67&amp;"" where Col1='""&amp;CR173&amp;""' limit 1"",0)),IF(C173=""FII"",IFERROR(QUERY({fundsexplorer.!$A$2:$Z308},$CY$67&amp;"" where Col1='""&amp;CR173&amp;""' limit 1"",0)),""""))"&amp;")"),"")</f>
        <v/>
      </c>
      <c r="BO173" s="867"/>
      <c r="BP173" s="867"/>
      <c r="BQ173" s="867"/>
      <c r="BR173" s="867"/>
      <c r="BS173" s="867"/>
      <c r="BT173" s="867"/>
      <c r="BU173" s="442"/>
      <c r="BV173" s="868" t="str">
        <f>IFERROR(__xludf.DUMMYFUNCTION("IF(OR(C173=""AÇÃO"",C173=""BDR""),IFERROR(GOOGLEFINANCE(CONCAT(""BVMF:"",CR173), ""marketcap"")/1000000,""NC""),"""")"),"")</f>
        <v/>
      </c>
      <c r="BW173" s="869" t="s">
        <v>123</v>
      </c>
      <c r="BX173" s="870" t="s">
        <v>123</v>
      </c>
      <c r="BY173" s="868" t="s">
        <v>123</v>
      </c>
      <c r="BZ173" s="870" t="s">
        <v>123</v>
      </c>
      <c r="CA173" s="868" t="s">
        <v>123</v>
      </c>
      <c r="CB173" s="868" t="s">
        <v>123</v>
      </c>
      <c r="CC173" s="868" t="s">
        <v>123</v>
      </c>
      <c r="CD173" s="868" t="str">
        <f>IFERROR(__xludf.DUMMYFUNCTION("IF(OR(C173=""AÇÃO"",C173=""BDR""),IFERROR(GOOGLEFINANCE(CONCAT(""BVMF:"",CR173), ""volumeavg"")/1000000,""NC""),"""")"),"")</f>
        <v/>
      </c>
      <c r="CE173" s="870" t="s">
        <v>123</v>
      </c>
      <c r="CF173" s="870" t="s">
        <v>123</v>
      </c>
      <c r="CG173" s="870" t="str">
        <f>IFERROR(__xludf.DUMMYFUNCTION("IF(OR(C173=""AÇÃO"",C173=""BDR""),IF(CF173=0,""SEM DY"",IFERROR(ImportXML(CONCAT(""http://www.guiainvest.com.br/raiox/default.aspx?sigla="",$CR173),""//*[@id='lbPayoutAtual']""),""NC"")),"""")"),"")</f>
        <v/>
      </c>
      <c r="CH173" s="870" t="s">
        <v>123</v>
      </c>
      <c r="CI173" s="545"/>
      <c r="CJ173" s="871" t="str">
        <f>IFERROR(__xludf.DUMMYFUNCTION("IF(OR(C173=""AÇÃO"",C173=""BDR""),IFERROR(GOOGLEFINANCE(CONCAT(""BVMF:"",CR173), ""eps""),""NC""),"""")"),"")</f>
        <v/>
      </c>
      <c r="CK173" s="442"/>
      <c r="CL173" s="871" t="str">
        <f>IFERROR(__xludf.DUMMYFUNCTION("IF(NOT($BL$4),"""",IF($CR173="""","""",IF($BC173="""","""",IFERROR(query({op.normal!$B$5:$F308},""select Col5, toDate(Col2) where Col1 =  '""&amp;$CR173&amp;""' and Col4 &gt; 0 and ((Col3 is null) or (Col3 = 'C')) and Col2 &gt;= date '""&amp;TEXT(TODAY()-$AQ$5,""yyyy-mm-dd"&amp;""")&amp;""' order by Col2 desc limit 1 label toDate(Col2) ''"")))))"),"")</f>
        <v/>
      </c>
      <c r="CM173" s="872"/>
      <c r="CN173" s="883" t="s">
        <v>123</v>
      </c>
      <c r="CO173" s="874" t="s">
        <v>123</v>
      </c>
      <c r="CP173" s="766"/>
      <c r="CQ173" s="791"/>
      <c r="CR173" s="791"/>
      <c r="CT173" s="791" t="s">
        <v>123</v>
      </c>
      <c r="CU173" s="791" t="str">
        <f>IFERROR(__xludf.DUMMYFUNCTION("IF(CR173="""","""",IF(CT173=$C$4,1,GOOGLEFINANCE(CT173&amp;$C$4)))"),"")</f>
        <v/>
      </c>
    </row>
    <row r="174" ht="22.5" customHeight="1">
      <c r="A174" s="837">
        <v>166.0</v>
      </c>
      <c r="B174" s="838" t="s">
        <v>123</v>
      </c>
      <c r="C174" s="838" t="s">
        <v>123</v>
      </c>
      <c r="D174" s="839" t="s">
        <v>123</v>
      </c>
      <c r="E174" s="839" t="s">
        <v>123</v>
      </c>
      <c r="F174" s="839" t="s">
        <v>123</v>
      </c>
      <c r="H174" s="884"/>
      <c r="I174" s="838"/>
      <c r="J174" s="838"/>
      <c r="K174" s="838"/>
      <c r="L174" s="838"/>
      <c r="M174" s="838"/>
      <c r="N174" s="838"/>
      <c r="O174" s="838"/>
      <c r="P174" s="838"/>
      <c r="Q174" s="838"/>
      <c r="R174" s="838"/>
      <c r="S174" s="838"/>
      <c r="T174" s="838"/>
      <c r="U174" s="838"/>
      <c r="V174" s="838"/>
      <c r="W174" s="838"/>
      <c r="X174" s="838"/>
      <c r="Z174" s="875" t="str">
        <f>IFERROR(__xludf.DUMMYFUNCTION("IF($CR174="""","""",IFERROR(query({CarteirasAtivos},""select Col4 where Col4 is not null and Col1 = '""&amp;$CR174&amp;""' limit 1"")*CU174,""NC""))"),"")</f>
        <v/>
      </c>
      <c r="AA174" s="876" t="str">
        <f>IFERROR(__xludf.DUMMYFUNCTION("IF($CR174="""","""",IFERROR(query({CarteirasAtivos},""select Col6 where Col4 is not null and Col1 = '""&amp;$CR174&amp;""' limit 1""),""NC""))"),"")</f>
        <v/>
      </c>
      <c r="AB174" s="877"/>
      <c r="AC174" s="878" t="s">
        <v>123</v>
      </c>
      <c r="AD174" s="845" t="str">
        <f>IF($CR174="","",IFERROR(VLOOKUP($CR174,ativos.!$C$3:$R308,MATCH("cotacao",ativos.!$C$2:CY$2,0),FALSE)*$CU$5,"atualizar"))</f>
        <v/>
      </c>
      <c r="AE174" s="846" t="str">
        <f>IFERROR(__xludf.DUMMYFUNCTION("IF($CR174="""","""",IFERROR(AVERAGE(query({CarteirasAtivos;CarteirasAtivosEncerrados},""select Col5 where Col5 is not null and Col1 = '""&amp;$CR174&amp;""' and Col10='SIM'""))*CU174,""NC""))"),"")</f>
        <v/>
      </c>
      <c r="AF174" s="847" t="str">
        <f t="shared" si="1"/>
        <v/>
      </c>
      <c r="AG174" s="442"/>
      <c r="AH174" s="848" t="str">
        <f>IFERROR(__xludf.DUMMYFUNCTION("IF($CR174="""","""",IFERROR(GOOGLEFINANCE($CR174,""low52"")*CU174,""-""))"),"")</f>
        <v/>
      </c>
      <c r="AI174" s="848" t="str">
        <f>IFERROR(__xludf.DUMMYFUNCTION("IF($CR174="""","""",IFERROR(GOOGLEFINANCE($CR174,""high52"")*CU174,""-""))"),"")</f>
        <v/>
      </c>
      <c r="AJ174" s="849" t="s">
        <v>123</v>
      </c>
      <c r="AK174" s="850" t="str">
        <f>IFERROR(__xludf.DUMMYFUNCTION("IF($CR174="""","""",IFERROR(GOOGLEFINANCE($CR174,""changepct"")/100,""-""))"),"")</f>
        <v/>
      </c>
      <c r="AL174" s="851" t="str">
        <f>IFERROR(__xludf.DUMMYFUNCTION("IF($CR174="""","""",IFERROR(($AD174/(QUERY(GOOGLEFINANCE($CR174,""price"",TODAY()-7),""SELECT Col2 label Col2 ''"")*$CU174)-1),""-""))"),"")</f>
        <v/>
      </c>
      <c r="AM174" s="851" t="str">
        <f>IFERROR(__xludf.DUMMYFUNCTION("IF($CR174="""","""",IFERROR(($AD174/(QUERY(GOOGLEFINANCE($CR174,""price"",TODAY()-14),""SELECT Col2 label Col2 ''"")*$CU174)-1),""-""))"),"")</f>
        <v/>
      </c>
      <c r="AN174" s="851" t="str">
        <f>IFERROR(__xludf.DUMMYFUNCTION("IF($CR174="""","""",IFERROR(($AD174/(QUERY(GOOGLEFINANCE($CR174,""price"",TODAY()-28),""SELECT Col2 label Col2 ''"")*$CU174)-1),""-""))"),"")</f>
        <v/>
      </c>
      <c r="AO174" s="851" t="str">
        <f>IFERROR(__xludf.DUMMYFUNCTION("IF($CR174="""","""",IFERROR(($AD174/(QUERY(GOOGLEFINANCE($CR174,""price"",TODAY()-$AQ$5),""SELECT Col2 label Col2 ''"")*$CU174)-1),""-""))"),"")</f>
        <v/>
      </c>
      <c r="AP174" s="852" t="str">
        <f>IFERROR(__xludf.DUMMYFUNCTION("IF($CR174="""","""",IFERROR(SPARKLINE(query(GOOGLEFINANCE($CR174,""price"",TODAY()-$AQ$5,TODAY(),1),""select Col2 label Col2 ''""),IF($AP$7=""Gráfico de barras"",{""charttype"",""column"";""highcolor"",""red""},{""chartype"",""line""}))))"),"")</f>
        <v/>
      </c>
      <c r="AQ174" s="144"/>
      <c r="AR174" s="853"/>
      <c r="AS174" s="854" t="str">
        <f>IF($CR174="","",IF(NOT('alocação'!$D$1),"off",IFERROR(VLOOKUP(CR174,BalanceAtivos,3,0),"NC")))</f>
        <v/>
      </c>
      <c r="AT174" s="855" t="str">
        <f>IF($CR174="","",IF(NOT('alocação'!$D$1),"off",IFERROR(VLOOKUP($CR174,BalanceAtivos,4,0)*$CU$5,"NC")))</f>
        <v/>
      </c>
      <c r="AU174" s="856" t="str">
        <f>IF($CR174="","",IF(NOT('alocação'!$D$1),"off",IFERROR(VLOOKUP($CR174,BalanceAtivos,5,0),"-")))</f>
        <v/>
      </c>
      <c r="AV174" s="856" t="str">
        <f>IF($CR174="","",IF(NOT('alocação'!$D$1),"off",IFERROR(VLOOKUP($CR174,BalanceAtivos,6,0),"-")))</f>
        <v/>
      </c>
      <c r="AW174" s="857"/>
      <c r="AX174" s="858" t="str">
        <f>IF($CR174="","",IF($E174="","SP",IFERROR(VLOOKUP($CR174,AtivosDados,MATCH("pm_atual",portfolio.!$A$3:CY$3,0),0)*$CU$5,0)))</f>
        <v/>
      </c>
      <c r="AY174" s="859" t="str">
        <f t="shared" si="2"/>
        <v/>
      </c>
      <c r="AZ174" s="858" t="str">
        <f>IF($CR174="","",IF($E174="","SP",SUMIF(portfolio.!$A$4:$A308,$CR174,portfolio.!$O$4:$O308)*$CU$5))</f>
        <v/>
      </c>
      <c r="BA174" s="858" t="str">
        <f>IF($CR174="","",IF($E174="","SP",SUMIF(portfolio.!$A$4:$A308,$CR174,portfolio.!$AN$4:$AN308)*$CU$5))</f>
        <v/>
      </c>
      <c r="BB174" s="860" t="str">
        <f>IF($CR174="","",IF($E174="","-",IFERROR($BA174/'portfólio'!$DG$63,"")))</f>
        <v/>
      </c>
      <c r="BC174" s="861" t="str">
        <f>IF($CR174="","",IF($E174="","-",SUMIF(portfolio.!$A$4:$A308,$CR174,portfolio.!$J$4:$J308)))</f>
        <v/>
      </c>
      <c r="BD174" s="862" t="str">
        <f>IF($CR174="","",IF($E174="","SP",SUMIF(portfolio.!$A$4:$A308,$CR174,portfolio.!$AQ$4:$AQ308)*$CU$5))</f>
        <v/>
      </c>
      <c r="BE174" s="850" t="str">
        <f t="shared" si="3"/>
        <v/>
      </c>
      <c r="BF174" s="862" t="str">
        <f>IF($CR174="","",IF($E174="","-",SUMIF(portfolio.!$A$4:$A308,$CR174,portfolio.!$AX$4:$AX308)*$CU$5))</f>
        <v/>
      </c>
      <c r="BG174" s="545"/>
      <c r="BH174" s="879" t="s">
        <v>123</v>
      </c>
      <c r="BI174" s="880" t="s">
        <v>123</v>
      </c>
      <c r="BJ174" s="863" t="str">
        <f>IFERROR(__xludf.DUMMYFUNCTION("IF(NOT($BL$4),"""",IF($CR174="""","""",IFERROR(query({GOOGLEFINANCE($CR174,""price"",IF($BI174=""-"",TODAY()-($AQ$5+5),$BI174),TODAY()-1)},""Select max(Col2) where Col1 is not null label max(Col2) ''"")*CU174,""-"")))"),"")</f>
        <v/>
      </c>
      <c r="BK174" s="881" t="s">
        <v>123</v>
      </c>
      <c r="BL174" s="882" t="s">
        <v>123</v>
      </c>
      <c r="BM174" s="442"/>
      <c r="BN174" s="867" t="str">
        <f>IFERROR(__xludf.DUMMYFUNCTION("IF(CR174="""","""",IF(OR(C174=""AÇÃO"",C174=""BDR""),IFERROR(QUERY({fundamentus.!$A$3:$U308},$CX$67&amp;"" where Col1='""&amp;CR174&amp;""' limit 1"",0)),IF(C174=""FII"",IFERROR(QUERY({fundsexplorer.!$A$2:$Z308},$CY$67&amp;"" where Col1='""&amp;CR174&amp;""' limit 1"",0)),""""))"&amp;")"),"")</f>
        <v/>
      </c>
      <c r="BO174" s="867"/>
      <c r="BP174" s="867"/>
      <c r="BQ174" s="867"/>
      <c r="BR174" s="867"/>
      <c r="BS174" s="867"/>
      <c r="BT174" s="867"/>
      <c r="BU174" s="442"/>
      <c r="BV174" s="868" t="str">
        <f>IFERROR(__xludf.DUMMYFUNCTION("IF(OR(C174=""AÇÃO"",C174=""BDR""),IFERROR(GOOGLEFINANCE(CONCAT(""BVMF:"",CR174), ""marketcap"")/1000000,""NC""),"""")"),"")</f>
        <v/>
      </c>
      <c r="BW174" s="869" t="s">
        <v>123</v>
      </c>
      <c r="BX174" s="870" t="s">
        <v>123</v>
      </c>
      <c r="BY174" s="868" t="s">
        <v>123</v>
      </c>
      <c r="BZ174" s="870" t="s">
        <v>123</v>
      </c>
      <c r="CA174" s="868" t="s">
        <v>123</v>
      </c>
      <c r="CB174" s="868" t="s">
        <v>123</v>
      </c>
      <c r="CC174" s="868" t="s">
        <v>123</v>
      </c>
      <c r="CD174" s="868" t="str">
        <f>IFERROR(__xludf.DUMMYFUNCTION("IF(OR(C174=""AÇÃO"",C174=""BDR""),IFERROR(GOOGLEFINANCE(CONCAT(""BVMF:"",CR174), ""volumeavg"")/1000000,""NC""),"""")"),"")</f>
        <v/>
      </c>
      <c r="CE174" s="870" t="s">
        <v>123</v>
      </c>
      <c r="CF174" s="870" t="s">
        <v>123</v>
      </c>
      <c r="CG174" s="870" t="str">
        <f>IFERROR(__xludf.DUMMYFUNCTION("IF(OR(C174=""AÇÃO"",C174=""BDR""),IF(CF174=0,""SEM DY"",IFERROR(ImportXML(CONCAT(""http://www.guiainvest.com.br/raiox/default.aspx?sigla="",$CR174),""//*[@id='lbPayoutAtual']""),""NC"")),"""")"),"")</f>
        <v/>
      </c>
      <c r="CH174" s="870" t="s">
        <v>123</v>
      </c>
      <c r="CI174" s="545"/>
      <c r="CJ174" s="871" t="str">
        <f>IFERROR(__xludf.DUMMYFUNCTION("IF(OR(C174=""AÇÃO"",C174=""BDR""),IFERROR(GOOGLEFINANCE(CONCAT(""BVMF:"",CR174), ""eps""),""NC""),"""")"),"")</f>
        <v/>
      </c>
      <c r="CK174" s="442"/>
      <c r="CL174" s="871" t="str">
        <f>IFERROR(__xludf.DUMMYFUNCTION("IF(NOT($BL$4),"""",IF($CR174="""","""",IF($BC174="""","""",IFERROR(query({op.normal!$B$5:$F308},""select Col5, toDate(Col2) where Col1 =  '""&amp;$CR174&amp;""' and Col4 &gt; 0 and ((Col3 is null) or (Col3 = 'C')) and Col2 &gt;= date '""&amp;TEXT(TODAY()-$AQ$5,""yyyy-mm-dd"&amp;""")&amp;""' order by Col2 desc limit 1 label toDate(Col2) ''"")))))"),"")</f>
        <v/>
      </c>
      <c r="CM174" s="872"/>
      <c r="CN174" s="883" t="s">
        <v>123</v>
      </c>
      <c r="CO174" s="874" t="s">
        <v>123</v>
      </c>
      <c r="CP174" s="766"/>
      <c r="CQ174" s="791"/>
      <c r="CR174" s="791"/>
      <c r="CT174" s="791" t="s">
        <v>123</v>
      </c>
      <c r="CU174" s="791" t="str">
        <f>IFERROR(__xludf.DUMMYFUNCTION("IF(CR174="""","""",IF(CT174=$C$4,1,GOOGLEFINANCE(CT174&amp;$C$4)))"),"")</f>
        <v/>
      </c>
    </row>
    <row r="175" ht="22.5" customHeight="1">
      <c r="A175" s="837">
        <v>167.0</v>
      </c>
      <c r="B175" s="838" t="s">
        <v>123</v>
      </c>
      <c r="C175" s="838" t="s">
        <v>123</v>
      </c>
      <c r="D175" s="839" t="s">
        <v>123</v>
      </c>
      <c r="E175" s="839" t="s">
        <v>123</v>
      </c>
      <c r="F175" s="839" t="s">
        <v>123</v>
      </c>
      <c r="H175" s="884"/>
      <c r="I175" s="838"/>
      <c r="J175" s="838"/>
      <c r="K175" s="838"/>
      <c r="L175" s="838"/>
      <c r="M175" s="838"/>
      <c r="N175" s="838"/>
      <c r="O175" s="838"/>
      <c r="P175" s="838"/>
      <c r="Q175" s="838"/>
      <c r="R175" s="838"/>
      <c r="S175" s="838"/>
      <c r="T175" s="838"/>
      <c r="U175" s="838"/>
      <c r="V175" s="838"/>
      <c r="W175" s="838"/>
      <c r="X175" s="838"/>
      <c r="Z175" s="875" t="str">
        <f>IFERROR(__xludf.DUMMYFUNCTION("IF($CR175="""","""",IFERROR(query({CarteirasAtivos},""select Col4 where Col4 is not null and Col1 = '""&amp;$CR175&amp;""' limit 1"")*CU175,""NC""))"),"")</f>
        <v/>
      </c>
      <c r="AA175" s="876" t="str">
        <f>IFERROR(__xludf.DUMMYFUNCTION("IF($CR175="""","""",IFERROR(query({CarteirasAtivos},""select Col6 where Col4 is not null and Col1 = '""&amp;$CR175&amp;""' limit 1""),""NC""))"),"")</f>
        <v/>
      </c>
      <c r="AB175" s="877"/>
      <c r="AC175" s="878" t="s">
        <v>123</v>
      </c>
      <c r="AD175" s="845" t="str">
        <f>IF($CR175="","",IFERROR(VLOOKUP($CR175,ativos.!$C$3:$R308,MATCH("cotacao",ativos.!$C$2:CY$2,0),FALSE)*$CU$5,"atualizar"))</f>
        <v/>
      </c>
      <c r="AE175" s="846" t="str">
        <f>IFERROR(__xludf.DUMMYFUNCTION("IF($CR175="""","""",IFERROR(AVERAGE(query({CarteirasAtivos;CarteirasAtivosEncerrados},""select Col5 where Col5 is not null and Col1 = '""&amp;$CR175&amp;""' and Col10='SIM'""))*CU175,""NC""))"),"")</f>
        <v/>
      </c>
      <c r="AF175" s="847" t="str">
        <f t="shared" si="1"/>
        <v/>
      </c>
      <c r="AG175" s="442"/>
      <c r="AH175" s="848" t="str">
        <f>IFERROR(__xludf.DUMMYFUNCTION("IF($CR175="""","""",IFERROR(GOOGLEFINANCE($CR175,""low52"")*CU175,""-""))"),"")</f>
        <v/>
      </c>
      <c r="AI175" s="848" t="str">
        <f>IFERROR(__xludf.DUMMYFUNCTION("IF($CR175="""","""",IFERROR(GOOGLEFINANCE($CR175,""high52"")*CU175,""-""))"),"")</f>
        <v/>
      </c>
      <c r="AJ175" s="849" t="s">
        <v>123</v>
      </c>
      <c r="AK175" s="850" t="str">
        <f>IFERROR(__xludf.DUMMYFUNCTION("IF($CR175="""","""",IFERROR(GOOGLEFINANCE($CR175,""changepct"")/100,""-""))"),"")</f>
        <v/>
      </c>
      <c r="AL175" s="851" t="str">
        <f>IFERROR(__xludf.DUMMYFUNCTION("IF($CR175="""","""",IFERROR(($AD175/(QUERY(GOOGLEFINANCE($CR175,""price"",TODAY()-7),""SELECT Col2 label Col2 ''"")*$CU175)-1),""-""))"),"")</f>
        <v/>
      </c>
      <c r="AM175" s="851" t="str">
        <f>IFERROR(__xludf.DUMMYFUNCTION("IF($CR175="""","""",IFERROR(($AD175/(QUERY(GOOGLEFINANCE($CR175,""price"",TODAY()-14),""SELECT Col2 label Col2 ''"")*$CU175)-1),""-""))"),"")</f>
        <v/>
      </c>
      <c r="AN175" s="851" t="str">
        <f>IFERROR(__xludf.DUMMYFUNCTION("IF($CR175="""","""",IFERROR(($AD175/(QUERY(GOOGLEFINANCE($CR175,""price"",TODAY()-28),""SELECT Col2 label Col2 ''"")*$CU175)-1),""-""))"),"")</f>
        <v/>
      </c>
      <c r="AO175" s="851" t="str">
        <f>IFERROR(__xludf.DUMMYFUNCTION("IF($CR175="""","""",IFERROR(($AD175/(QUERY(GOOGLEFINANCE($CR175,""price"",TODAY()-$AQ$5),""SELECT Col2 label Col2 ''"")*$CU175)-1),""-""))"),"")</f>
        <v/>
      </c>
      <c r="AP175" s="852" t="str">
        <f>IFERROR(__xludf.DUMMYFUNCTION("IF($CR175="""","""",IFERROR(SPARKLINE(query(GOOGLEFINANCE($CR175,""price"",TODAY()-$AQ$5,TODAY(),1),""select Col2 label Col2 ''""),IF($AP$7=""Gráfico de barras"",{""charttype"",""column"";""highcolor"",""red""},{""chartype"",""line""}))))"),"")</f>
        <v/>
      </c>
      <c r="AQ175" s="144"/>
      <c r="AR175" s="853"/>
      <c r="AS175" s="854" t="str">
        <f>IF($CR175="","",IF(NOT('alocação'!$D$1),"off",IFERROR(VLOOKUP(CR175,BalanceAtivos,3,0),"NC")))</f>
        <v/>
      </c>
      <c r="AT175" s="855" t="str">
        <f>IF($CR175="","",IF(NOT('alocação'!$D$1),"off",IFERROR(VLOOKUP($CR175,BalanceAtivos,4,0)*$CU$5,"NC")))</f>
        <v/>
      </c>
      <c r="AU175" s="856" t="str">
        <f>IF($CR175="","",IF(NOT('alocação'!$D$1),"off",IFERROR(VLOOKUP($CR175,BalanceAtivos,5,0),"-")))</f>
        <v/>
      </c>
      <c r="AV175" s="856" t="str">
        <f>IF($CR175="","",IF(NOT('alocação'!$D$1),"off",IFERROR(VLOOKUP($CR175,BalanceAtivos,6,0),"-")))</f>
        <v/>
      </c>
      <c r="AW175" s="857"/>
      <c r="AX175" s="858" t="str">
        <f>IF($CR175="","",IF($E175="","SP",IFERROR(VLOOKUP($CR175,AtivosDados,MATCH("pm_atual",portfolio.!$A$3:CY$3,0),0)*$CU$5,0)))</f>
        <v/>
      </c>
      <c r="AY175" s="859" t="str">
        <f t="shared" si="2"/>
        <v/>
      </c>
      <c r="AZ175" s="858" t="str">
        <f>IF($CR175="","",IF($E175="","SP",SUMIF(portfolio.!$A$4:$A308,$CR175,portfolio.!$O$4:$O308)*$CU$5))</f>
        <v/>
      </c>
      <c r="BA175" s="858" t="str">
        <f>IF($CR175="","",IF($E175="","SP",SUMIF(portfolio.!$A$4:$A308,$CR175,portfolio.!$AN$4:$AN308)*$CU$5))</f>
        <v/>
      </c>
      <c r="BB175" s="860" t="str">
        <f>IF($CR175="","",IF($E175="","-",IFERROR($BA175/'portfólio'!$DG$63,"")))</f>
        <v/>
      </c>
      <c r="BC175" s="861" t="str">
        <f>IF($CR175="","",IF($E175="","-",SUMIF(portfolio.!$A$4:$A308,$CR175,portfolio.!$J$4:$J308)))</f>
        <v/>
      </c>
      <c r="BD175" s="862" t="str">
        <f>IF($CR175="","",IF($E175="","SP",SUMIF(portfolio.!$A$4:$A308,$CR175,portfolio.!$AQ$4:$AQ308)*$CU$5))</f>
        <v/>
      </c>
      <c r="BE175" s="850" t="str">
        <f t="shared" si="3"/>
        <v/>
      </c>
      <c r="BF175" s="862" t="str">
        <f>IF($CR175="","",IF($E175="","-",SUMIF(portfolio.!$A$4:$A308,$CR175,portfolio.!$AX$4:$AX308)*$CU$5))</f>
        <v/>
      </c>
      <c r="BG175" s="545"/>
      <c r="BH175" s="879" t="s">
        <v>123</v>
      </c>
      <c r="BI175" s="880" t="s">
        <v>123</v>
      </c>
      <c r="BJ175" s="863" t="str">
        <f>IFERROR(__xludf.DUMMYFUNCTION("IF(NOT($BL$4),"""",IF($CR175="""","""",IFERROR(query({GOOGLEFINANCE($CR175,""price"",IF($BI175=""-"",TODAY()-($AQ$5+5),$BI175),TODAY()-1)},""Select max(Col2) where Col1 is not null label max(Col2) ''"")*CU175,""-"")))"),"")</f>
        <v/>
      </c>
      <c r="BK175" s="881" t="s">
        <v>123</v>
      </c>
      <c r="BL175" s="882" t="s">
        <v>123</v>
      </c>
      <c r="BM175" s="442"/>
      <c r="BN175" s="867" t="str">
        <f>IFERROR(__xludf.DUMMYFUNCTION("IF(CR175="""","""",IF(OR(C175=""AÇÃO"",C175=""BDR""),IFERROR(QUERY({fundamentus.!$A$3:$U308},$CX$67&amp;"" where Col1='""&amp;CR175&amp;""' limit 1"",0)),IF(C175=""FII"",IFERROR(QUERY({fundsexplorer.!$A$2:$Z308},$CY$67&amp;"" where Col1='""&amp;CR175&amp;""' limit 1"",0)),""""))"&amp;")"),"")</f>
        <v/>
      </c>
      <c r="BO175" s="867"/>
      <c r="BP175" s="867"/>
      <c r="BQ175" s="867"/>
      <c r="BR175" s="867"/>
      <c r="BS175" s="867"/>
      <c r="BT175" s="867"/>
      <c r="BU175" s="442"/>
      <c r="BV175" s="868" t="str">
        <f>IFERROR(__xludf.DUMMYFUNCTION("IF(OR(C175=""AÇÃO"",C175=""BDR""),IFERROR(GOOGLEFINANCE(CONCAT(""BVMF:"",CR175), ""marketcap"")/1000000,""NC""),"""")"),"")</f>
        <v/>
      </c>
      <c r="BW175" s="869" t="s">
        <v>123</v>
      </c>
      <c r="BX175" s="870" t="s">
        <v>123</v>
      </c>
      <c r="BY175" s="868" t="s">
        <v>123</v>
      </c>
      <c r="BZ175" s="870" t="s">
        <v>123</v>
      </c>
      <c r="CA175" s="868" t="s">
        <v>123</v>
      </c>
      <c r="CB175" s="868" t="s">
        <v>123</v>
      </c>
      <c r="CC175" s="868" t="s">
        <v>123</v>
      </c>
      <c r="CD175" s="868" t="str">
        <f>IFERROR(__xludf.DUMMYFUNCTION("IF(OR(C175=""AÇÃO"",C175=""BDR""),IFERROR(GOOGLEFINANCE(CONCAT(""BVMF:"",CR175), ""volumeavg"")/1000000,""NC""),"""")"),"")</f>
        <v/>
      </c>
      <c r="CE175" s="870" t="s">
        <v>123</v>
      </c>
      <c r="CF175" s="870" t="s">
        <v>123</v>
      </c>
      <c r="CG175" s="870" t="str">
        <f>IFERROR(__xludf.DUMMYFUNCTION("IF(OR(C175=""AÇÃO"",C175=""BDR""),IF(CF175=0,""SEM DY"",IFERROR(ImportXML(CONCAT(""http://www.guiainvest.com.br/raiox/default.aspx?sigla="",$CR175),""//*[@id='lbPayoutAtual']""),""NC"")),"""")"),"")</f>
        <v/>
      </c>
      <c r="CH175" s="870" t="s">
        <v>123</v>
      </c>
      <c r="CI175" s="545"/>
      <c r="CJ175" s="871" t="str">
        <f>IFERROR(__xludf.DUMMYFUNCTION("IF(OR(C175=""AÇÃO"",C175=""BDR""),IFERROR(GOOGLEFINANCE(CONCAT(""BVMF:"",CR175), ""eps""),""NC""),"""")"),"")</f>
        <v/>
      </c>
      <c r="CK175" s="442"/>
      <c r="CL175" s="871" t="str">
        <f>IFERROR(__xludf.DUMMYFUNCTION("IF(NOT($BL$4),"""",IF($CR175="""","""",IF($BC175="""","""",IFERROR(query({op.normal!$B$5:$F308},""select Col5, toDate(Col2) where Col1 =  '""&amp;$CR175&amp;""' and Col4 &gt; 0 and ((Col3 is null) or (Col3 = 'C')) and Col2 &gt;= date '""&amp;TEXT(TODAY()-$AQ$5,""yyyy-mm-dd"&amp;""")&amp;""' order by Col2 desc limit 1 label toDate(Col2) ''"")))))"),"")</f>
        <v/>
      </c>
      <c r="CM175" s="872"/>
      <c r="CN175" s="883" t="s">
        <v>123</v>
      </c>
      <c r="CO175" s="874" t="s">
        <v>123</v>
      </c>
      <c r="CP175" s="766"/>
      <c r="CQ175" s="791"/>
      <c r="CR175" s="791"/>
      <c r="CT175" s="791" t="s">
        <v>123</v>
      </c>
      <c r="CU175" s="791" t="str">
        <f>IFERROR(__xludf.DUMMYFUNCTION("IF(CR175="""","""",IF(CT175=$C$4,1,GOOGLEFINANCE(CT175&amp;$C$4)))"),"")</f>
        <v/>
      </c>
    </row>
    <row r="176" ht="22.5" customHeight="1">
      <c r="A176" s="837">
        <v>168.0</v>
      </c>
      <c r="B176" s="838" t="s">
        <v>123</v>
      </c>
      <c r="C176" s="838" t="s">
        <v>123</v>
      </c>
      <c r="D176" s="839" t="s">
        <v>123</v>
      </c>
      <c r="E176" s="839" t="s">
        <v>123</v>
      </c>
      <c r="F176" s="839" t="s">
        <v>123</v>
      </c>
      <c r="H176" s="884"/>
      <c r="I176" s="838"/>
      <c r="J176" s="838"/>
      <c r="K176" s="838"/>
      <c r="L176" s="838"/>
      <c r="M176" s="838"/>
      <c r="N176" s="838"/>
      <c r="O176" s="838"/>
      <c r="P176" s="838"/>
      <c r="Q176" s="838"/>
      <c r="R176" s="838"/>
      <c r="S176" s="838"/>
      <c r="T176" s="838"/>
      <c r="U176" s="838"/>
      <c r="V176" s="838"/>
      <c r="W176" s="838"/>
      <c r="X176" s="838"/>
      <c r="Z176" s="875" t="str">
        <f>IFERROR(__xludf.DUMMYFUNCTION("IF($CR176="""","""",IFERROR(query({CarteirasAtivos},""select Col4 where Col4 is not null and Col1 = '""&amp;$CR176&amp;""' limit 1"")*CU176,""NC""))"),"")</f>
        <v/>
      </c>
      <c r="AA176" s="876" t="str">
        <f>IFERROR(__xludf.DUMMYFUNCTION("IF($CR176="""","""",IFERROR(query({CarteirasAtivos},""select Col6 where Col4 is not null and Col1 = '""&amp;$CR176&amp;""' limit 1""),""NC""))"),"")</f>
        <v/>
      </c>
      <c r="AB176" s="877"/>
      <c r="AC176" s="878" t="s">
        <v>123</v>
      </c>
      <c r="AD176" s="845" t="str">
        <f>IF($CR176="","",IFERROR(VLOOKUP($CR176,ativos.!$C$3:$R308,MATCH("cotacao",ativos.!$C$2:CY$2,0),FALSE)*$CU$5,"atualizar"))</f>
        <v/>
      </c>
      <c r="AE176" s="846" t="str">
        <f>IFERROR(__xludf.DUMMYFUNCTION("IF($CR176="""","""",IFERROR(AVERAGE(query({CarteirasAtivos;CarteirasAtivosEncerrados},""select Col5 where Col5 is not null and Col1 = '""&amp;$CR176&amp;""' and Col10='SIM'""))*CU176,""NC""))"),"")</f>
        <v/>
      </c>
      <c r="AF176" s="847" t="str">
        <f t="shared" si="1"/>
        <v/>
      </c>
      <c r="AG176" s="442"/>
      <c r="AH176" s="848" t="str">
        <f>IFERROR(__xludf.DUMMYFUNCTION("IF($CR176="""","""",IFERROR(GOOGLEFINANCE($CR176,""low52"")*CU176,""-""))"),"")</f>
        <v/>
      </c>
      <c r="AI176" s="848" t="str">
        <f>IFERROR(__xludf.DUMMYFUNCTION("IF($CR176="""","""",IFERROR(GOOGLEFINANCE($CR176,""high52"")*CU176,""-""))"),"")</f>
        <v/>
      </c>
      <c r="AJ176" s="849" t="s">
        <v>123</v>
      </c>
      <c r="AK176" s="850" t="str">
        <f>IFERROR(__xludf.DUMMYFUNCTION("IF($CR176="""","""",IFERROR(GOOGLEFINANCE($CR176,""changepct"")/100,""-""))"),"")</f>
        <v/>
      </c>
      <c r="AL176" s="851" t="str">
        <f>IFERROR(__xludf.DUMMYFUNCTION("IF($CR176="""","""",IFERROR(($AD176/(QUERY(GOOGLEFINANCE($CR176,""price"",TODAY()-7),""SELECT Col2 label Col2 ''"")*$CU176)-1),""-""))"),"")</f>
        <v/>
      </c>
      <c r="AM176" s="851" t="str">
        <f>IFERROR(__xludf.DUMMYFUNCTION("IF($CR176="""","""",IFERROR(($AD176/(QUERY(GOOGLEFINANCE($CR176,""price"",TODAY()-14),""SELECT Col2 label Col2 ''"")*$CU176)-1),""-""))"),"")</f>
        <v/>
      </c>
      <c r="AN176" s="851" t="str">
        <f>IFERROR(__xludf.DUMMYFUNCTION("IF($CR176="""","""",IFERROR(($AD176/(QUERY(GOOGLEFINANCE($CR176,""price"",TODAY()-28),""SELECT Col2 label Col2 ''"")*$CU176)-1),""-""))"),"")</f>
        <v/>
      </c>
      <c r="AO176" s="851" t="str">
        <f>IFERROR(__xludf.DUMMYFUNCTION("IF($CR176="""","""",IFERROR(($AD176/(QUERY(GOOGLEFINANCE($CR176,""price"",TODAY()-$AQ$5),""SELECT Col2 label Col2 ''"")*$CU176)-1),""-""))"),"")</f>
        <v/>
      </c>
      <c r="AP176" s="852" t="str">
        <f>IFERROR(__xludf.DUMMYFUNCTION("IF($CR176="""","""",IFERROR(SPARKLINE(query(GOOGLEFINANCE($CR176,""price"",TODAY()-$AQ$5,TODAY(),1),""select Col2 label Col2 ''""),IF($AP$7=""Gráfico de barras"",{""charttype"",""column"";""highcolor"",""red""},{""chartype"",""line""}))))"),"")</f>
        <v/>
      </c>
      <c r="AQ176" s="144"/>
      <c r="AR176" s="853"/>
      <c r="AS176" s="854" t="str">
        <f>IF($CR176="","",IF(NOT('alocação'!$D$1),"off",IFERROR(VLOOKUP(CR176,BalanceAtivos,3,0),"NC")))</f>
        <v/>
      </c>
      <c r="AT176" s="855" t="str">
        <f>IF($CR176="","",IF(NOT('alocação'!$D$1),"off",IFERROR(VLOOKUP($CR176,BalanceAtivos,4,0)*$CU$5,"NC")))</f>
        <v/>
      </c>
      <c r="AU176" s="856" t="str">
        <f>IF($CR176="","",IF(NOT('alocação'!$D$1),"off",IFERROR(VLOOKUP($CR176,BalanceAtivos,5,0),"-")))</f>
        <v/>
      </c>
      <c r="AV176" s="856" t="str">
        <f>IF($CR176="","",IF(NOT('alocação'!$D$1),"off",IFERROR(VLOOKUP($CR176,BalanceAtivos,6,0),"-")))</f>
        <v/>
      </c>
      <c r="AW176" s="857"/>
      <c r="AX176" s="858" t="str">
        <f>IF($CR176="","",IF($E176="","SP",IFERROR(VLOOKUP($CR176,AtivosDados,MATCH("pm_atual",portfolio.!$A$3:CY$3,0),0)*$CU$5,0)))</f>
        <v/>
      </c>
      <c r="AY176" s="859" t="str">
        <f t="shared" si="2"/>
        <v/>
      </c>
      <c r="AZ176" s="858" t="str">
        <f>IF($CR176="","",IF($E176="","SP",SUMIF(portfolio.!$A$4:$A308,$CR176,portfolio.!$O$4:$O308)*$CU$5))</f>
        <v/>
      </c>
      <c r="BA176" s="858" t="str">
        <f>IF($CR176="","",IF($E176="","SP",SUMIF(portfolio.!$A$4:$A308,$CR176,portfolio.!$AN$4:$AN308)*$CU$5))</f>
        <v/>
      </c>
      <c r="BB176" s="860" t="str">
        <f>IF($CR176="","",IF($E176="","-",IFERROR($BA176/'portfólio'!$DG$63,"")))</f>
        <v/>
      </c>
      <c r="BC176" s="861" t="str">
        <f>IF($CR176="","",IF($E176="","-",SUMIF(portfolio.!$A$4:$A308,$CR176,portfolio.!$J$4:$J308)))</f>
        <v/>
      </c>
      <c r="BD176" s="862" t="str">
        <f>IF($CR176="","",IF($E176="","SP",SUMIF(portfolio.!$A$4:$A308,$CR176,portfolio.!$AQ$4:$AQ308)*$CU$5))</f>
        <v/>
      </c>
      <c r="BE176" s="850" t="str">
        <f t="shared" si="3"/>
        <v/>
      </c>
      <c r="BF176" s="862" t="str">
        <f>IF($CR176="","",IF($E176="","-",SUMIF(portfolio.!$A$4:$A308,$CR176,portfolio.!$AX$4:$AX308)*$CU$5))</f>
        <v/>
      </c>
      <c r="BG176" s="545"/>
      <c r="BH176" s="879" t="s">
        <v>123</v>
      </c>
      <c r="BI176" s="880" t="s">
        <v>123</v>
      </c>
      <c r="BJ176" s="863" t="str">
        <f>IFERROR(__xludf.DUMMYFUNCTION("IF(NOT($BL$4),"""",IF($CR176="""","""",IFERROR(query({GOOGLEFINANCE($CR176,""price"",IF($BI176=""-"",TODAY()-($AQ$5+5),$BI176),TODAY()-1)},""Select max(Col2) where Col1 is not null label max(Col2) ''"")*CU176,""-"")))"),"")</f>
        <v/>
      </c>
      <c r="BK176" s="881" t="s">
        <v>123</v>
      </c>
      <c r="BL176" s="882" t="s">
        <v>123</v>
      </c>
      <c r="BM176" s="442"/>
      <c r="BN176" s="867" t="str">
        <f>IFERROR(__xludf.DUMMYFUNCTION("IF(CR176="""","""",IF(OR(C176=""AÇÃO"",C176=""BDR""),IFERROR(QUERY({fundamentus.!$A$3:$U308},$CX$67&amp;"" where Col1='""&amp;CR176&amp;""' limit 1"",0)),IF(C176=""FII"",IFERROR(QUERY({fundsexplorer.!$A$2:$Z308},$CY$67&amp;"" where Col1='""&amp;CR176&amp;""' limit 1"",0)),""""))"&amp;")"),"")</f>
        <v/>
      </c>
      <c r="BO176" s="867"/>
      <c r="BP176" s="867"/>
      <c r="BQ176" s="867"/>
      <c r="BR176" s="867"/>
      <c r="BS176" s="867"/>
      <c r="BT176" s="867"/>
      <c r="BU176" s="442"/>
      <c r="BV176" s="868" t="str">
        <f>IFERROR(__xludf.DUMMYFUNCTION("IF(OR(C176=""AÇÃO"",C176=""BDR""),IFERROR(GOOGLEFINANCE(CONCAT(""BVMF:"",CR176), ""marketcap"")/1000000,""NC""),"""")"),"")</f>
        <v/>
      </c>
      <c r="BW176" s="869" t="s">
        <v>123</v>
      </c>
      <c r="BX176" s="870" t="s">
        <v>123</v>
      </c>
      <c r="BY176" s="868" t="s">
        <v>123</v>
      </c>
      <c r="BZ176" s="870" t="s">
        <v>123</v>
      </c>
      <c r="CA176" s="868" t="s">
        <v>123</v>
      </c>
      <c r="CB176" s="868" t="s">
        <v>123</v>
      </c>
      <c r="CC176" s="868" t="s">
        <v>123</v>
      </c>
      <c r="CD176" s="868" t="str">
        <f>IFERROR(__xludf.DUMMYFUNCTION("IF(OR(C176=""AÇÃO"",C176=""BDR""),IFERROR(GOOGLEFINANCE(CONCAT(""BVMF:"",CR176), ""volumeavg"")/1000000,""NC""),"""")"),"")</f>
        <v/>
      </c>
      <c r="CE176" s="870" t="s">
        <v>123</v>
      </c>
      <c r="CF176" s="870" t="s">
        <v>123</v>
      </c>
      <c r="CG176" s="870" t="str">
        <f>IFERROR(__xludf.DUMMYFUNCTION("IF(OR(C176=""AÇÃO"",C176=""BDR""),IF(CF176=0,""SEM DY"",IFERROR(ImportXML(CONCAT(""http://www.guiainvest.com.br/raiox/default.aspx?sigla="",$CR176),""//*[@id='lbPayoutAtual']""),""NC"")),"""")"),"")</f>
        <v/>
      </c>
      <c r="CH176" s="870" t="s">
        <v>123</v>
      </c>
      <c r="CI176" s="545"/>
      <c r="CJ176" s="871" t="str">
        <f>IFERROR(__xludf.DUMMYFUNCTION("IF(OR(C176=""AÇÃO"",C176=""BDR""),IFERROR(GOOGLEFINANCE(CONCAT(""BVMF:"",CR176), ""eps""),""NC""),"""")"),"")</f>
        <v/>
      </c>
      <c r="CK176" s="442"/>
      <c r="CL176" s="871" t="str">
        <f>IFERROR(__xludf.DUMMYFUNCTION("IF(NOT($BL$4),"""",IF($CR176="""","""",IF($BC176="""","""",IFERROR(query({op.normal!$B$5:$F308},""select Col5, toDate(Col2) where Col1 =  '""&amp;$CR176&amp;""' and Col4 &gt; 0 and ((Col3 is null) or (Col3 = 'C')) and Col2 &gt;= date '""&amp;TEXT(TODAY()-$AQ$5,""yyyy-mm-dd"&amp;""")&amp;""' order by Col2 desc limit 1 label toDate(Col2) ''"")))))"),"")</f>
        <v/>
      </c>
      <c r="CM176" s="872"/>
      <c r="CN176" s="883" t="s">
        <v>123</v>
      </c>
      <c r="CO176" s="874" t="s">
        <v>123</v>
      </c>
      <c r="CP176" s="766"/>
      <c r="CQ176" s="791"/>
      <c r="CR176" s="791"/>
      <c r="CT176" s="791" t="s">
        <v>123</v>
      </c>
      <c r="CU176" s="791" t="str">
        <f>IFERROR(__xludf.DUMMYFUNCTION("IF(CR176="""","""",IF(CT176=$C$4,1,GOOGLEFINANCE(CT176&amp;$C$4)))"),"")</f>
        <v/>
      </c>
    </row>
    <row r="177" ht="22.5" customHeight="1">
      <c r="A177" s="837">
        <v>169.0</v>
      </c>
      <c r="B177" s="838" t="s">
        <v>123</v>
      </c>
      <c r="C177" s="838" t="s">
        <v>123</v>
      </c>
      <c r="D177" s="839" t="s">
        <v>123</v>
      </c>
      <c r="E177" s="839" t="s">
        <v>123</v>
      </c>
      <c r="F177" s="839" t="s">
        <v>123</v>
      </c>
      <c r="H177" s="884"/>
      <c r="I177" s="838"/>
      <c r="J177" s="838"/>
      <c r="K177" s="838"/>
      <c r="L177" s="838"/>
      <c r="M177" s="838"/>
      <c r="N177" s="838"/>
      <c r="O177" s="838"/>
      <c r="P177" s="838"/>
      <c r="Q177" s="838"/>
      <c r="R177" s="838"/>
      <c r="S177" s="838"/>
      <c r="T177" s="838"/>
      <c r="U177" s="838"/>
      <c r="V177" s="838"/>
      <c r="W177" s="838"/>
      <c r="X177" s="838"/>
      <c r="Z177" s="875" t="str">
        <f>IFERROR(__xludf.DUMMYFUNCTION("IF($CR177="""","""",IFERROR(query({CarteirasAtivos},""select Col4 where Col4 is not null and Col1 = '""&amp;$CR177&amp;""' limit 1"")*CU177,""NC""))"),"")</f>
        <v/>
      </c>
      <c r="AA177" s="876" t="str">
        <f>IFERROR(__xludf.DUMMYFUNCTION("IF($CR177="""","""",IFERROR(query({CarteirasAtivos},""select Col6 where Col4 is not null and Col1 = '""&amp;$CR177&amp;""' limit 1""),""NC""))"),"")</f>
        <v/>
      </c>
      <c r="AB177" s="877"/>
      <c r="AC177" s="878" t="s">
        <v>123</v>
      </c>
      <c r="AD177" s="845" t="str">
        <f>IF($CR177="","",IFERROR(VLOOKUP($CR177,ativos.!$C$3:$R308,MATCH("cotacao",ativos.!$C$2:CY$2,0),FALSE)*$CU$5,"atualizar"))</f>
        <v/>
      </c>
      <c r="AE177" s="846" t="str">
        <f>IFERROR(__xludf.DUMMYFUNCTION("IF($CR177="""","""",IFERROR(AVERAGE(query({CarteirasAtivos;CarteirasAtivosEncerrados},""select Col5 where Col5 is not null and Col1 = '""&amp;$CR177&amp;""' and Col10='SIM'""))*CU177,""NC""))"),"")</f>
        <v/>
      </c>
      <c r="AF177" s="847" t="str">
        <f t="shared" si="1"/>
        <v/>
      </c>
      <c r="AG177" s="442"/>
      <c r="AH177" s="848" t="str">
        <f>IFERROR(__xludf.DUMMYFUNCTION("IF($CR177="""","""",IFERROR(GOOGLEFINANCE($CR177,""low52"")*CU177,""-""))"),"")</f>
        <v/>
      </c>
      <c r="AI177" s="848" t="str">
        <f>IFERROR(__xludf.DUMMYFUNCTION("IF($CR177="""","""",IFERROR(GOOGLEFINANCE($CR177,""high52"")*CU177,""-""))"),"")</f>
        <v/>
      </c>
      <c r="AJ177" s="849" t="s">
        <v>123</v>
      </c>
      <c r="AK177" s="850" t="str">
        <f>IFERROR(__xludf.DUMMYFUNCTION("IF($CR177="""","""",IFERROR(GOOGLEFINANCE($CR177,""changepct"")/100,""-""))"),"")</f>
        <v/>
      </c>
      <c r="AL177" s="851" t="str">
        <f>IFERROR(__xludf.DUMMYFUNCTION("IF($CR177="""","""",IFERROR(($AD177/(QUERY(GOOGLEFINANCE($CR177,""price"",TODAY()-7),""SELECT Col2 label Col2 ''"")*$CU177)-1),""-""))"),"")</f>
        <v/>
      </c>
      <c r="AM177" s="851" t="str">
        <f>IFERROR(__xludf.DUMMYFUNCTION("IF($CR177="""","""",IFERROR(($AD177/(QUERY(GOOGLEFINANCE($CR177,""price"",TODAY()-14),""SELECT Col2 label Col2 ''"")*$CU177)-1),""-""))"),"")</f>
        <v/>
      </c>
      <c r="AN177" s="851" t="str">
        <f>IFERROR(__xludf.DUMMYFUNCTION("IF($CR177="""","""",IFERROR(($AD177/(QUERY(GOOGLEFINANCE($CR177,""price"",TODAY()-28),""SELECT Col2 label Col2 ''"")*$CU177)-1),""-""))"),"")</f>
        <v/>
      </c>
      <c r="AO177" s="851" t="str">
        <f>IFERROR(__xludf.DUMMYFUNCTION("IF($CR177="""","""",IFERROR(($AD177/(QUERY(GOOGLEFINANCE($CR177,""price"",TODAY()-$AQ$5),""SELECT Col2 label Col2 ''"")*$CU177)-1),""-""))"),"")</f>
        <v/>
      </c>
      <c r="AP177" s="852" t="str">
        <f>IFERROR(__xludf.DUMMYFUNCTION("IF($CR177="""","""",IFERROR(SPARKLINE(query(GOOGLEFINANCE($CR177,""price"",TODAY()-$AQ$5,TODAY(),1),""select Col2 label Col2 ''""),IF($AP$7=""Gráfico de barras"",{""charttype"",""column"";""highcolor"",""red""},{""chartype"",""line""}))))"),"")</f>
        <v/>
      </c>
      <c r="AQ177" s="144"/>
      <c r="AR177" s="853"/>
      <c r="AS177" s="854" t="str">
        <f>IF($CR177="","",IF(NOT('alocação'!$D$1),"off",IFERROR(VLOOKUP(CR177,BalanceAtivos,3,0),"NC")))</f>
        <v/>
      </c>
      <c r="AT177" s="855" t="str">
        <f>IF($CR177="","",IF(NOT('alocação'!$D$1),"off",IFERROR(VLOOKUP($CR177,BalanceAtivos,4,0)*$CU$5,"NC")))</f>
        <v/>
      </c>
      <c r="AU177" s="856" t="str">
        <f>IF($CR177="","",IF(NOT('alocação'!$D$1),"off",IFERROR(VLOOKUP($CR177,BalanceAtivos,5,0),"-")))</f>
        <v/>
      </c>
      <c r="AV177" s="856" t="str">
        <f>IF($CR177="","",IF(NOT('alocação'!$D$1),"off",IFERROR(VLOOKUP($CR177,BalanceAtivos,6,0),"-")))</f>
        <v/>
      </c>
      <c r="AW177" s="857"/>
      <c r="AX177" s="858" t="str">
        <f>IF($CR177="","",IF($E177="","SP",IFERROR(VLOOKUP($CR177,AtivosDados,MATCH("pm_atual",portfolio.!$A$3:CY$3,0),0)*$CU$5,0)))</f>
        <v/>
      </c>
      <c r="AY177" s="859" t="str">
        <f t="shared" si="2"/>
        <v/>
      </c>
      <c r="AZ177" s="858" t="str">
        <f>IF($CR177="","",IF($E177="","SP",SUMIF(portfolio.!$A$4:$A308,$CR177,portfolio.!$O$4:$O308)*$CU$5))</f>
        <v/>
      </c>
      <c r="BA177" s="858" t="str">
        <f>IF($CR177="","",IF($E177="","SP",SUMIF(portfolio.!$A$4:$A308,$CR177,portfolio.!$AN$4:$AN308)*$CU$5))</f>
        <v/>
      </c>
      <c r="BB177" s="860" t="str">
        <f>IF($CR177="","",IF($E177="","-",IFERROR($BA177/'portfólio'!$DG$63,"")))</f>
        <v/>
      </c>
      <c r="BC177" s="861" t="str">
        <f>IF($CR177="","",IF($E177="","-",SUMIF(portfolio.!$A$4:$A308,$CR177,portfolio.!$J$4:$J308)))</f>
        <v/>
      </c>
      <c r="BD177" s="862" t="str">
        <f>IF($CR177="","",IF($E177="","SP",SUMIF(portfolio.!$A$4:$A308,$CR177,portfolio.!$AQ$4:$AQ308)*$CU$5))</f>
        <v/>
      </c>
      <c r="BE177" s="850" t="str">
        <f t="shared" si="3"/>
        <v/>
      </c>
      <c r="BF177" s="862" t="str">
        <f>IF($CR177="","",IF($E177="","-",SUMIF(portfolio.!$A$4:$A308,$CR177,portfolio.!$AX$4:$AX308)*$CU$5))</f>
        <v/>
      </c>
      <c r="BG177" s="545"/>
      <c r="BH177" s="879" t="s">
        <v>123</v>
      </c>
      <c r="BI177" s="880" t="s">
        <v>123</v>
      </c>
      <c r="BJ177" s="863" t="str">
        <f>IFERROR(__xludf.DUMMYFUNCTION("IF(NOT($BL$4),"""",IF($CR177="""","""",IFERROR(query({GOOGLEFINANCE($CR177,""price"",IF($BI177=""-"",TODAY()-($AQ$5+5),$BI177),TODAY()-1)},""Select max(Col2) where Col1 is not null label max(Col2) ''"")*CU177,""-"")))"),"")</f>
        <v/>
      </c>
      <c r="BK177" s="881" t="s">
        <v>123</v>
      </c>
      <c r="BL177" s="882" t="s">
        <v>123</v>
      </c>
      <c r="BM177" s="442"/>
      <c r="BN177" s="867" t="str">
        <f>IFERROR(__xludf.DUMMYFUNCTION("IF(CR177="""","""",IF(OR(C177=""AÇÃO"",C177=""BDR""),IFERROR(QUERY({fundamentus.!$A$3:$U308},$CX$67&amp;"" where Col1='""&amp;CR177&amp;""' limit 1"",0)),IF(C177=""FII"",IFERROR(QUERY({fundsexplorer.!$A$2:$Z308},$CY$67&amp;"" where Col1='""&amp;CR177&amp;""' limit 1"",0)),""""))"&amp;")"),"")</f>
        <v/>
      </c>
      <c r="BO177" s="867"/>
      <c r="BP177" s="867"/>
      <c r="BQ177" s="867"/>
      <c r="BR177" s="867"/>
      <c r="BS177" s="867"/>
      <c r="BT177" s="867"/>
      <c r="BU177" s="442"/>
      <c r="BV177" s="868" t="str">
        <f>IFERROR(__xludf.DUMMYFUNCTION("IF(OR(C177=""AÇÃO"",C177=""BDR""),IFERROR(GOOGLEFINANCE(CONCAT(""BVMF:"",CR177), ""marketcap"")/1000000,""NC""),"""")"),"")</f>
        <v/>
      </c>
      <c r="BW177" s="869" t="s">
        <v>123</v>
      </c>
      <c r="BX177" s="870" t="s">
        <v>123</v>
      </c>
      <c r="BY177" s="868" t="s">
        <v>123</v>
      </c>
      <c r="BZ177" s="870" t="s">
        <v>123</v>
      </c>
      <c r="CA177" s="868" t="s">
        <v>123</v>
      </c>
      <c r="CB177" s="868" t="s">
        <v>123</v>
      </c>
      <c r="CC177" s="868" t="s">
        <v>123</v>
      </c>
      <c r="CD177" s="868" t="str">
        <f>IFERROR(__xludf.DUMMYFUNCTION("IF(OR(C177=""AÇÃO"",C177=""BDR""),IFERROR(GOOGLEFINANCE(CONCAT(""BVMF:"",CR177), ""volumeavg"")/1000000,""NC""),"""")"),"")</f>
        <v/>
      </c>
      <c r="CE177" s="870" t="s">
        <v>123</v>
      </c>
      <c r="CF177" s="870" t="s">
        <v>123</v>
      </c>
      <c r="CG177" s="870" t="str">
        <f>IFERROR(__xludf.DUMMYFUNCTION("IF(OR(C177=""AÇÃO"",C177=""BDR""),IF(CF177=0,""SEM DY"",IFERROR(ImportXML(CONCAT(""http://www.guiainvest.com.br/raiox/default.aspx?sigla="",$CR177),""//*[@id='lbPayoutAtual']""),""NC"")),"""")"),"")</f>
        <v/>
      </c>
      <c r="CH177" s="870" t="s">
        <v>123</v>
      </c>
      <c r="CI177" s="545"/>
      <c r="CJ177" s="871" t="str">
        <f>IFERROR(__xludf.DUMMYFUNCTION("IF(OR(C177=""AÇÃO"",C177=""BDR""),IFERROR(GOOGLEFINANCE(CONCAT(""BVMF:"",CR177), ""eps""),""NC""),"""")"),"")</f>
        <v/>
      </c>
      <c r="CK177" s="442"/>
      <c r="CL177" s="871" t="str">
        <f>IFERROR(__xludf.DUMMYFUNCTION("IF(NOT($BL$4),"""",IF($CR177="""","""",IF($BC177="""","""",IFERROR(query({op.normal!$B$5:$F308},""select Col5, toDate(Col2) where Col1 =  '""&amp;$CR177&amp;""' and Col4 &gt; 0 and ((Col3 is null) or (Col3 = 'C')) and Col2 &gt;= date '""&amp;TEXT(TODAY()-$AQ$5,""yyyy-mm-dd"&amp;""")&amp;""' order by Col2 desc limit 1 label toDate(Col2) ''"")))))"),"")</f>
        <v/>
      </c>
      <c r="CM177" s="872"/>
      <c r="CN177" s="883" t="s">
        <v>123</v>
      </c>
      <c r="CO177" s="874" t="s">
        <v>123</v>
      </c>
      <c r="CP177" s="766"/>
      <c r="CQ177" s="791"/>
      <c r="CR177" s="791"/>
      <c r="CT177" s="791" t="s">
        <v>123</v>
      </c>
      <c r="CU177" s="791" t="str">
        <f>IFERROR(__xludf.DUMMYFUNCTION("IF(CR177="""","""",IF(CT177=$C$4,1,GOOGLEFINANCE(CT177&amp;$C$4)))"),"")</f>
        <v/>
      </c>
    </row>
    <row r="178" ht="22.5" customHeight="1">
      <c r="A178" s="837">
        <v>170.0</v>
      </c>
      <c r="B178" s="838" t="s">
        <v>123</v>
      </c>
      <c r="C178" s="838" t="s">
        <v>123</v>
      </c>
      <c r="D178" s="839" t="s">
        <v>123</v>
      </c>
      <c r="E178" s="839" t="s">
        <v>123</v>
      </c>
      <c r="F178" s="839" t="s">
        <v>123</v>
      </c>
      <c r="H178" s="884"/>
      <c r="I178" s="838"/>
      <c r="J178" s="838"/>
      <c r="K178" s="838"/>
      <c r="L178" s="838"/>
      <c r="M178" s="838"/>
      <c r="N178" s="838"/>
      <c r="O178" s="838"/>
      <c r="P178" s="838"/>
      <c r="Q178" s="838"/>
      <c r="R178" s="838"/>
      <c r="S178" s="838"/>
      <c r="T178" s="838"/>
      <c r="U178" s="838"/>
      <c r="V178" s="838"/>
      <c r="W178" s="838"/>
      <c r="X178" s="838"/>
      <c r="Z178" s="875" t="str">
        <f>IFERROR(__xludf.DUMMYFUNCTION("IF($CR178="""","""",IFERROR(query({CarteirasAtivos},""select Col4 where Col4 is not null and Col1 = '""&amp;$CR178&amp;""' limit 1"")*CU178,""NC""))"),"")</f>
        <v/>
      </c>
      <c r="AA178" s="876" t="str">
        <f>IFERROR(__xludf.DUMMYFUNCTION("IF($CR178="""","""",IFERROR(query({CarteirasAtivos},""select Col6 where Col4 is not null and Col1 = '""&amp;$CR178&amp;""' limit 1""),""NC""))"),"")</f>
        <v/>
      </c>
      <c r="AB178" s="877"/>
      <c r="AC178" s="878" t="s">
        <v>123</v>
      </c>
      <c r="AD178" s="845" t="str">
        <f>IF($CR178="","",IFERROR(VLOOKUP($CR178,ativos.!$C$3:$R308,MATCH("cotacao",ativos.!$C$2:CY$2,0),FALSE)*$CU$5,"atualizar"))</f>
        <v/>
      </c>
      <c r="AE178" s="846" t="str">
        <f>IFERROR(__xludf.DUMMYFUNCTION("IF($CR178="""","""",IFERROR(AVERAGE(query({CarteirasAtivos;CarteirasAtivosEncerrados},""select Col5 where Col5 is not null and Col1 = '""&amp;$CR178&amp;""' and Col10='SIM'""))*CU178,""NC""))"),"")</f>
        <v/>
      </c>
      <c r="AF178" s="847" t="str">
        <f t="shared" si="1"/>
        <v/>
      </c>
      <c r="AG178" s="442"/>
      <c r="AH178" s="848" t="str">
        <f>IFERROR(__xludf.DUMMYFUNCTION("IF($CR178="""","""",IFERROR(GOOGLEFINANCE($CR178,""low52"")*CU178,""-""))"),"")</f>
        <v/>
      </c>
      <c r="AI178" s="848" t="str">
        <f>IFERROR(__xludf.DUMMYFUNCTION("IF($CR178="""","""",IFERROR(GOOGLEFINANCE($CR178,""high52"")*CU178,""-""))"),"")</f>
        <v/>
      </c>
      <c r="AJ178" s="849" t="s">
        <v>123</v>
      </c>
      <c r="AK178" s="850" t="str">
        <f>IFERROR(__xludf.DUMMYFUNCTION("IF($CR178="""","""",IFERROR(GOOGLEFINANCE($CR178,""changepct"")/100,""-""))"),"")</f>
        <v/>
      </c>
      <c r="AL178" s="851" t="str">
        <f>IFERROR(__xludf.DUMMYFUNCTION("IF($CR178="""","""",IFERROR(($AD178/(QUERY(GOOGLEFINANCE($CR178,""price"",TODAY()-7),""SELECT Col2 label Col2 ''"")*$CU178)-1),""-""))"),"")</f>
        <v/>
      </c>
      <c r="AM178" s="851" t="str">
        <f>IFERROR(__xludf.DUMMYFUNCTION("IF($CR178="""","""",IFERROR(($AD178/(QUERY(GOOGLEFINANCE($CR178,""price"",TODAY()-14),""SELECT Col2 label Col2 ''"")*$CU178)-1),""-""))"),"")</f>
        <v/>
      </c>
      <c r="AN178" s="851" t="str">
        <f>IFERROR(__xludf.DUMMYFUNCTION("IF($CR178="""","""",IFERROR(($AD178/(QUERY(GOOGLEFINANCE($CR178,""price"",TODAY()-28),""SELECT Col2 label Col2 ''"")*$CU178)-1),""-""))"),"")</f>
        <v/>
      </c>
      <c r="AO178" s="851" t="str">
        <f>IFERROR(__xludf.DUMMYFUNCTION("IF($CR178="""","""",IFERROR(($AD178/(QUERY(GOOGLEFINANCE($CR178,""price"",TODAY()-$AQ$5),""SELECT Col2 label Col2 ''"")*$CU178)-1),""-""))"),"")</f>
        <v/>
      </c>
      <c r="AP178" s="852" t="str">
        <f>IFERROR(__xludf.DUMMYFUNCTION("IF($CR178="""","""",IFERROR(SPARKLINE(query(GOOGLEFINANCE($CR178,""price"",TODAY()-$AQ$5,TODAY(),1),""select Col2 label Col2 ''""),IF($AP$7=""Gráfico de barras"",{""charttype"",""column"";""highcolor"",""red""},{""chartype"",""line""}))))"),"")</f>
        <v/>
      </c>
      <c r="AQ178" s="144"/>
      <c r="AR178" s="853"/>
      <c r="AS178" s="854" t="str">
        <f>IF($CR178="","",IF(NOT('alocação'!$D$1),"off",IFERROR(VLOOKUP(CR178,BalanceAtivos,3,0),"NC")))</f>
        <v/>
      </c>
      <c r="AT178" s="855" t="str">
        <f>IF($CR178="","",IF(NOT('alocação'!$D$1),"off",IFERROR(VLOOKUP($CR178,BalanceAtivos,4,0)*$CU$5,"NC")))</f>
        <v/>
      </c>
      <c r="AU178" s="856" t="str">
        <f>IF($CR178="","",IF(NOT('alocação'!$D$1),"off",IFERROR(VLOOKUP($CR178,BalanceAtivos,5,0),"-")))</f>
        <v/>
      </c>
      <c r="AV178" s="856" t="str">
        <f>IF($CR178="","",IF(NOT('alocação'!$D$1),"off",IFERROR(VLOOKUP($CR178,BalanceAtivos,6,0),"-")))</f>
        <v/>
      </c>
      <c r="AW178" s="857"/>
      <c r="AX178" s="858" t="str">
        <f>IF($CR178="","",IF($E178="","SP",IFERROR(VLOOKUP($CR178,AtivosDados,MATCH("pm_atual",portfolio.!$A$3:CY$3,0),0)*$CU$5,0)))</f>
        <v/>
      </c>
      <c r="AY178" s="859" t="str">
        <f t="shared" si="2"/>
        <v/>
      </c>
      <c r="AZ178" s="858" t="str">
        <f>IF($CR178="","",IF($E178="","SP",SUMIF(portfolio.!$A$4:$A308,$CR178,portfolio.!$O$4:$O308)*$CU$5))</f>
        <v/>
      </c>
      <c r="BA178" s="858" t="str">
        <f>IF($CR178="","",IF($E178="","SP",SUMIF(portfolio.!$A$4:$A308,$CR178,portfolio.!$AN$4:$AN308)*$CU$5))</f>
        <v/>
      </c>
      <c r="BB178" s="860" t="str">
        <f>IF($CR178="","",IF($E178="","-",IFERROR($BA178/'portfólio'!$DG$63,"")))</f>
        <v/>
      </c>
      <c r="BC178" s="861" t="str">
        <f>IF($CR178="","",IF($E178="","-",SUMIF(portfolio.!$A$4:$A308,$CR178,portfolio.!$J$4:$J308)))</f>
        <v/>
      </c>
      <c r="BD178" s="862" t="str">
        <f>IF($CR178="","",IF($E178="","SP",SUMIF(portfolio.!$A$4:$A308,$CR178,portfolio.!$AQ$4:$AQ308)*$CU$5))</f>
        <v/>
      </c>
      <c r="BE178" s="850" t="str">
        <f t="shared" si="3"/>
        <v/>
      </c>
      <c r="BF178" s="862" t="str">
        <f>IF($CR178="","",IF($E178="","-",SUMIF(portfolio.!$A$4:$A308,$CR178,portfolio.!$AX$4:$AX308)*$CU$5))</f>
        <v/>
      </c>
      <c r="BG178" s="545"/>
      <c r="BH178" s="879" t="s">
        <v>123</v>
      </c>
      <c r="BI178" s="880" t="s">
        <v>123</v>
      </c>
      <c r="BJ178" s="863" t="str">
        <f>IFERROR(__xludf.DUMMYFUNCTION("IF(NOT($BL$4),"""",IF($CR178="""","""",IFERROR(query({GOOGLEFINANCE($CR178,""price"",IF($BI178=""-"",TODAY()-($AQ$5+5),$BI178),TODAY()-1)},""Select max(Col2) where Col1 is not null label max(Col2) ''"")*CU178,""-"")))"),"")</f>
        <v/>
      </c>
      <c r="BK178" s="881" t="s">
        <v>123</v>
      </c>
      <c r="BL178" s="882" t="s">
        <v>123</v>
      </c>
      <c r="BM178" s="442"/>
      <c r="BN178" s="867" t="str">
        <f>IFERROR(__xludf.DUMMYFUNCTION("IF(CR178="""","""",IF(OR(C178=""AÇÃO"",C178=""BDR""),IFERROR(QUERY({fundamentus.!$A$3:$U308},$CX$67&amp;"" where Col1='""&amp;CR178&amp;""' limit 1"",0)),IF(C178=""FII"",IFERROR(QUERY({fundsexplorer.!$A$2:$Z308},$CY$67&amp;"" where Col1='""&amp;CR178&amp;""' limit 1"",0)),""""))"&amp;")"),"")</f>
        <v/>
      </c>
      <c r="BO178" s="867"/>
      <c r="BP178" s="867"/>
      <c r="BQ178" s="867"/>
      <c r="BR178" s="867"/>
      <c r="BS178" s="867"/>
      <c r="BT178" s="867"/>
      <c r="BU178" s="442"/>
      <c r="BV178" s="868" t="str">
        <f>IFERROR(__xludf.DUMMYFUNCTION("IF(OR(C178=""AÇÃO"",C178=""BDR""),IFERROR(GOOGLEFINANCE(CONCAT(""BVMF:"",CR178), ""marketcap"")/1000000,""NC""),"""")"),"")</f>
        <v/>
      </c>
      <c r="BW178" s="869" t="s">
        <v>123</v>
      </c>
      <c r="BX178" s="870" t="s">
        <v>123</v>
      </c>
      <c r="BY178" s="868" t="s">
        <v>123</v>
      </c>
      <c r="BZ178" s="870" t="s">
        <v>123</v>
      </c>
      <c r="CA178" s="868" t="s">
        <v>123</v>
      </c>
      <c r="CB178" s="868" t="s">
        <v>123</v>
      </c>
      <c r="CC178" s="868" t="s">
        <v>123</v>
      </c>
      <c r="CD178" s="868" t="str">
        <f>IFERROR(__xludf.DUMMYFUNCTION("IF(OR(C178=""AÇÃO"",C178=""BDR""),IFERROR(GOOGLEFINANCE(CONCAT(""BVMF:"",CR178), ""volumeavg"")/1000000,""NC""),"""")"),"")</f>
        <v/>
      </c>
      <c r="CE178" s="870" t="s">
        <v>123</v>
      </c>
      <c r="CF178" s="870" t="s">
        <v>123</v>
      </c>
      <c r="CG178" s="870" t="str">
        <f>IFERROR(__xludf.DUMMYFUNCTION("IF(OR(C178=""AÇÃO"",C178=""BDR""),IF(CF178=0,""SEM DY"",IFERROR(ImportXML(CONCAT(""http://www.guiainvest.com.br/raiox/default.aspx?sigla="",$CR178),""//*[@id='lbPayoutAtual']""),""NC"")),"""")"),"")</f>
        <v/>
      </c>
      <c r="CH178" s="870" t="s">
        <v>123</v>
      </c>
      <c r="CI178" s="545"/>
      <c r="CJ178" s="871" t="str">
        <f>IFERROR(__xludf.DUMMYFUNCTION("IF(OR(C178=""AÇÃO"",C178=""BDR""),IFERROR(GOOGLEFINANCE(CONCAT(""BVMF:"",CR178), ""eps""),""NC""),"""")"),"")</f>
        <v/>
      </c>
      <c r="CK178" s="442"/>
      <c r="CL178" s="871" t="str">
        <f>IFERROR(__xludf.DUMMYFUNCTION("IF(NOT($BL$4),"""",IF($CR178="""","""",IF($BC178="""","""",IFERROR(query({op.normal!$B$5:$F308},""select Col5, toDate(Col2) where Col1 =  '""&amp;$CR178&amp;""' and Col4 &gt; 0 and ((Col3 is null) or (Col3 = 'C')) and Col2 &gt;= date '""&amp;TEXT(TODAY()-$AQ$5,""yyyy-mm-dd"&amp;""")&amp;""' order by Col2 desc limit 1 label toDate(Col2) ''"")))))"),"")</f>
        <v/>
      </c>
      <c r="CM178" s="872"/>
      <c r="CN178" s="883" t="s">
        <v>123</v>
      </c>
      <c r="CO178" s="874" t="s">
        <v>123</v>
      </c>
      <c r="CP178" s="766"/>
      <c r="CQ178" s="791"/>
      <c r="CR178" s="791"/>
      <c r="CT178" s="791" t="s">
        <v>123</v>
      </c>
      <c r="CU178" s="791" t="str">
        <f>IFERROR(__xludf.DUMMYFUNCTION("IF(CR178="""","""",IF(CT178=$C$4,1,GOOGLEFINANCE(CT178&amp;$C$4)))"),"")</f>
        <v/>
      </c>
    </row>
    <row r="179" ht="22.5" customHeight="1">
      <c r="A179" s="837">
        <v>171.0</v>
      </c>
      <c r="B179" s="838" t="s">
        <v>123</v>
      </c>
      <c r="C179" s="838" t="s">
        <v>123</v>
      </c>
      <c r="D179" s="839" t="s">
        <v>123</v>
      </c>
      <c r="E179" s="839" t="s">
        <v>123</v>
      </c>
      <c r="F179" s="839" t="s">
        <v>123</v>
      </c>
      <c r="H179" s="884"/>
      <c r="I179" s="838"/>
      <c r="J179" s="838"/>
      <c r="K179" s="838"/>
      <c r="L179" s="838"/>
      <c r="M179" s="838"/>
      <c r="N179" s="838"/>
      <c r="O179" s="838"/>
      <c r="P179" s="838"/>
      <c r="Q179" s="838"/>
      <c r="R179" s="838"/>
      <c r="S179" s="838"/>
      <c r="T179" s="838"/>
      <c r="U179" s="838"/>
      <c r="V179" s="838"/>
      <c r="W179" s="838"/>
      <c r="X179" s="838"/>
      <c r="Z179" s="875" t="str">
        <f>IFERROR(__xludf.DUMMYFUNCTION("IF($CR179="""","""",IFERROR(query({CarteirasAtivos},""select Col4 where Col4 is not null and Col1 = '""&amp;$CR179&amp;""' limit 1"")*CU179,""NC""))"),"")</f>
        <v/>
      </c>
      <c r="AA179" s="876" t="str">
        <f>IFERROR(__xludf.DUMMYFUNCTION("IF($CR179="""","""",IFERROR(query({CarteirasAtivos},""select Col6 where Col4 is not null and Col1 = '""&amp;$CR179&amp;""' limit 1""),""NC""))"),"")</f>
        <v/>
      </c>
      <c r="AB179" s="877"/>
      <c r="AC179" s="878" t="s">
        <v>123</v>
      </c>
      <c r="AD179" s="845" t="str">
        <f>IF($CR179="","",IFERROR(VLOOKUP($CR179,ativos.!$C$3:$R308,MATCH("cotacao",ativos.!$C$2:CY$2,0),FALSE)*$CU$5,"atualizar"))</f>
        <v/>
      </c>
      <c r="AE179" s="846" t="str">
        <f>IFERROR(__xludf.DUMMYFUNCTION("IF($CR179="""","""",IFERROR(AVERAGE(query({CarteirasAtivos;CarteirasAtivosEncerrados},""select Col5 where Col5 is not null and Col1 = '""&amp;$CR179&amp;""' and Col10='SIM'""))*CU179,""NC""))"),"")</f>
        <v/>
      </c>
      <c r="AF179" s="847" t="str">
        <f t="shared" si="1"/>
        <v/>
      </c>
      <c r="AG179" s="442"/>
      <c r="AH179" s="848" t="str">
        <f>IFERROR(__xludf.DUMMYFUNCTION("IF($CR179="""","""",IFERROR(GOOGLEFINANCE($CR179,""low52"")*CU179,""-""))"),"")</f>
        <v/>
      </c>
      <c r="AI179" s="848" t="str">
        <f>IFERROR(__xludf.DUMMYFUNCTION("IF($CR179="""","""",IFERROR(GOOGLEFINANCE($CR179,""high52"")*CU179,""-""))"),"")</f>
        <v/>
      </c>
      <c r="AJ179" s="849" t="s">
        <v>123</v>
      </c>
      <c r="AK179" s="850" t="str">
        <f>IFERROR(__xludf.DUMMYFUNCTION("IF($CR179="""","""",IFERROR(GOOGLEFINANCE($CR179,""changepct"")/100,""-""))"),"")</f>
        <v/>
      </c>
      <c r="AL179" s="851" t="str">
        <f>IFERROR(__xludf.DUMMYFUNCTION("IF($CR179="""","""",IFERROR(($AD179/(QUERY(GOOGLEFINANCE($CR179,""price"",TODAY()-7),""SELECT Col2 label Col2 ''"")*$CU179)-1),""-""))"),"")</f>
        <v/>
      </c>
      <c r="AM179" s="851" t="str">
        <f>IFERROR(__xludf.DUMMYFUNCTION("IF($CR179="""","""",IFERROR(($AD179/(QUERY(GOOGLEFINANCE($CR179,""price"",TODAY()-14),""SELECT Col2 label Col2 ''"")*$CU179)-1),""-""))"),"")</f>
        <v/>
      </c>
      <c r="AN179" s="851" t="str">
        <f>IFERROR(__xludf.DUMMYFUNCTION("IF($CR179="""","""",IFERROR(($AD179/(QUERY(GOOGLEFINANCE($CR179,""price"",TODAY()-28),""SELECT Col2 label Col2 ''"")*$CU179)-1),""-""))"),"")</f>
        <v/>
      </c>
      <c r="AO179" s="851" t="str">
        <f>IFERROR(__xludf.DUMMYFUNCTION("IF($CR179="""","""",IFERROR(($AD179/(QUERY(GOOGLEFINANCE($CR179,""price"",TODAY()-$AQ$5),""SELECT Col2 label Col2 ''"")*$CU179)-1),""-""))"),"")</f>
        <v/>
      </c>
      <c r="AP179" s="852" t="str">
        <f>IFERROR(__xludf.DUMMYFUNCTION("IF($CR179="""","""",IFERROR(SPARKLINE(query(GOOGLEFINANCE($CR179,""price"",TODAY()-$AQ$5,TODAY(),1),""select Col2 label Col2 ''""),IF($AP$7=""Gráfico de barras"",{""charttype"",""column"";""highcolor"",""red""},{""chartype"",""line""}))))"),"")</f>
        <v/>
      </c>
      <c r="AQ179" s="144"/>
      <c r="AR179" s="853"/>
      <c r="AS179" s="854" t="str">
        <f>IF($CR179="","",IF(NOT('alocação'!$D$1),"off",IFERROR(VLOOKUP(CR179,BalanceAtivos,3,0),"NC")))</f>
        <v/>
      </c>
      <c r="AT179" s="855" t="str">
        <f>IF($CR179="","",IF(NOT('alocação'!$D$1),"off",IFERROR(VLOOKUP($CR179,BalanceAtivos,4,0)*$CU$5,"NC")))</f>
        <v/>
      </c>
      <c r="AU179" s="856" t="str">
        <f>IF($CR179="","",IF(NOT('alocação'!$D$1),"off",IFERROR(VLOOKUP($CR179,BalanceAtivos,5,0),"-")))</f>
        <v/>
      </c>
      <c r="AV179" s="856" t="str">
        <f>IF($CR179="","",IF(NOT('alocação'!$D$1),"off",IFERROR(VLOOKUP($CR179,BalanceAtivos,6,0),"-")))</f>
        <v/>
      </c>
      <c r="AW179" s="857"/>
      <c r="AX179" s="858" t="str">
        <f>IF($CR179="","",IF($E179="","SP",IFERROR(VLOOKUP($CR179,AtivosDados,MATCH("pm_atual",portfolio.!$A$3:CY$3,0),0)*$CU$5,0)))</f>
        <v/>
      </c>
      <c r="AY179" s="859" t="str">
        <f t="shared" si="2"/>
        <v/>
      </c>
      <c r="AZ179" s="858" t="str">
        <f>IF($CR179="","",IF($E179="","SP",SUMIF(portfolio.!$A$4:$A308,$CR179,portfolio.!$O$4:$O308)*$CU$5))</f>
        <v/>
      </c>
      <c r="BA179" s="858" t="str">
        <f>IF($CR179="","",IF($E179="","SP",SUMIF(portfolio.!$A$4:$A308,$CR179,portfolio.!$AN$4:$AN308)*$CU$5))</f>
        <v/>
      </c>
      <c r="BB179" s="860" t="str">
        <f>IF($CR179="","",IF($E179="","-",IFERROR($BA179/'portfólio'!$DG$63,"")))</f>
        <v/>
      </c>
      <c r="BC179" s="861" t="str">
        <f>IF($CR179="","",IF($E179="","-",SUMIF(portfolio.!$A$4:$A308,$CR179,portfolio.!$J$4:$J308)))</f>
        <v/>
      </c>
      <c r="BD179" s="862" t="str">
        <f>IF($CR179="","",IF($E179="","SP",SUMIF(portfolio.!$A$4:$A308,$CR179,portfolio.!$AQ$4:$AQ308)*$CU$5))</f>
        <v/>
      </c>
      <c r="BE179" s="850" t="str">
        <f t="shared" si="3"/>
        <v/>
      </c>
      <c r="BF179" s="862" t="str">
        <f>IF($CR179="","",IF($E179="","-",SUMIF(portfolio.!$A$4:$A308,$CR179,portfolio.!$AX$4:$AX308)*$CU$5))</f>
        <v/>
      </c>
      <c r="BG179" s="545"/>
      <c r="BH179" s="879" t="s">
        <v>123</v>
      </c>
      <c r="BI179" s="880" t="s">
        <v>123</v>
      </c>
      <c r="BJ179" s="863" t="str">
        <f>IFERROR(__xludf.DUMMYFUNCTION("IF(NOT($BL$4),"""",IF($CR179="""","""",IFERROR(query({GOOGLEFINANCE($CR179,""price"",IF($BI179=""-"",TODAY()-($AQ$5+5),$BI179),TODAY()-1)},""Select max(Col2) where Col1 is not null label max(Col2) ''"")*CU179,""-"")))"),"")</f>
        <v/>
      </c>
      <c r="BK179" s="881" t="s">
        <v>123</v>
      </c>
      <c r="BL179" s="882" t="s">
        <v>123</v>
      </c>
      <c r="BM179" s="442"/>
      <c r="BN179" s="867" t="str">
        <f>IFERROR(__xludf.DUMMYFUNCTION("IF(CR179="""","""",IF(OR(C179=""AÇÃO"",C179=""BDR""),IFERROR(QUERY({fundamentus.!$A$3:$U308},$CX$67&amp;"" where Col1='""&amp;CR179&amp;""' limit 1"",0)),IF(C179=""FII"",IFERROR(QUERY({fundsexplorer.!$A$2:$Z308},$CY$67&amp;"" where Col1='""&amp;CR179&amp;""' limit 1"",0)),""""))"&amp;")"),"")</f>
        <v/>
      </c>
      <c r="BO179" s="867"/>
      <c r="BP179" s="867"/>
      <c r="BQ179" s="867"/>
      <c r="BR179" s="867"/>
      <c r="BS179" s="867"/>
      <c r="BT179" s="867"/>
      <c r="BU179" s="442"/>
      <c r="BV179" s="868" t="str">
        <f>IFERROR(__xludf.DUMMYFUNCTION("IF(OR(C179=""AÇÃO"",C179=""BDR""),IFERROR(GOOGLEFINANCE(CONCAT(""BVMF:"",CR179), ""marketcap"")/1000000,""NC""),"""")"),"")</f>
        <v/>
      </c>
      <c r="BW179" s="869" t="s">
        <v>123</v>
      </c>
      <c r="BX179" s="870" t="s">
        <v>123</v>
      </c>
      <c r="BY179" s="868" t="s">
        <v>123</v>
      </c>
      <c r="BZ179" s="870" t="s">
        <v>123</v>
      </c>
      <c r="CA179" s="868" t="s">
        <v>123</v>
      </c>
      <c r="CB179" s="868" t="s">
        <v>123</v>
      </c>
      <c r="CC179" s="868" t="s">
        <v>123</v>
      </c>
      <c r="CD179" s="868" t="str">
        <f>IFERROR(__xludf.DUMMYFUNCTION("IF(OR(C179=""AÇÃO"",C179=""BDR""),IFERROR(GOOGLEFINANCE(CONCAT(""BVMF:"",CR179), ""volumeavg"")/1000000,""NC""),"""")"),"")</f>
        <v/>
      </c>
      <c r="CE179" s="870" t="s">
        <v>123</v>
      </c>
      <c r="CF179" s="870" t="s">
        <v>123</v>
      </c>
      <c r="CG179" s="870" t="str">
        <f>IFERROR(__xludf.DUMMYFUNCTION("IF(OR(C179=""AÇÃO"",C179=""BDR""),IF(CF179=0,""SEM DY"",IFERROR(ImportXML(CONCAT(""http://www.guiainvest.com.br/raiox/default.aspx?sigla="",$CR179),""//*[@id='lbPayoutAtual']""),""NC"")),"""")"),"")</f>
        <v/>
      </c>
      <c r="CH179" s="870" t="s">
        <v>123</v>
      </c>
      <c r="CI179" s="545"/>
      <c r="CJ179" s="871" t="str">
        <f>IFERROR(__xludf.DUMMYFUNCTION("IF(OR(C179=""AÇÃO"",C179=""BDR""),IFERROR(GOOGLEFINANCE(CONCAT(""BVMF:"",CR179), ""eps""),""NC""),"""")"),"")</f>
        <v/>
      </c>
      <c r="CK179" s="442"/>
      <c r="CL179" s="871" t="str">
        <f>IFERROR(__xludf.DUMMYFUNCTION("IF(NOT($BL$4),"""",IF($CR179="""","""",IF($BC179="""","""",IFERROR(query({op.normal!$B$5:$F308},""select Col5, toDate(Col2) where Col1 =  '""&amp;$CR179&amp;""' and Col4 &gt; 0 and ((Col3 is null) or (Col3 = 'C')) and Col2 &gt;= date '""&amp;TEXT(TODAY()-$AQ$5,""yyyy-mm-dd"&amp;""")&amp;""' order by Col2 desc limit 1 label toDate(Col2) ''"")))))"),"")</f>
        <v/>
      </c>
      <c r="CM179" s="872"/>
      <c r="CN179" s="883" t="s">
        <v>123</v>
      </c>
      <c r="CO179" s="874" t="s">
        <v>123</v>
      </c>
      <c r="CP179" s="766"/>
      <c r="CQ179" s="791"/>
      <c r="CR179" s="791"/>
      <c r="CT179" s="791" t="s">
        <v>123</v>
      </c>
      <c r="CU179" s="791" t="str">
        <f>IFERROR(__xludf.DUMMYFUNCTION("IF(CR179="""","""",IF(CT179=$C$4,1,GOOGLEFINANCE(CT179&amp;$C$4)))"),"")</f>
        <v/>
      </c>
    </row>
    <row r="180" ht="22.5" customHeight="1">
      <c r="A180" s="837">
        <v>172.0</v>
      </c>
      <c r="B180" s="838" t="s">
        <v>123</v>
      </c>
      <c r="C180" s="838" t="s">
        <v>123</v>
      </c>
      <c r="D180" s="839" t="s">
        <v>123</v>
      </c>
      <c r="E180" s="839" t="s">
        <v>123</v>
      </c>
      <c r="F180" s="839" t="s">
        <v>123</v>
      </c>
      <c r="H180" s="884"/>
      <c r="I180" s="838"/>
      <c r="J180" s="838"/>
      <c r="K180" s="838"/>
      <c r="L180" s="838"/>
      <c r="M180" s="838"/>
      <c r="N180" s="838"/>
      <c r="O180" s="838"/>
      <c r="P180" s="838"/>
      <c r="Q180" s="838"/>
      <c r="R180" s="838"/>
      <c r="S180" s="838"/>
      <c r="T180" s="838"/>
      <c r="U180" s="838"/>
      <c r="V180" s="838"/>
      <c r="W180" s="838"/>
      <c r="X180" s="838"/>
      <c r="Z180" s="875" t="str">
        <f>IFERROR(__xludf.DUMMYFUNCTION("IF($CR180="""","""",IFERROR(query({CarteirasAtivos},""select Col4 where Col4 is not null and Col1 = '""&amp;$CR180&amp;""' limit 1"")*CU180,""NC""))"),"")</f>
        <v/>
      </c>
      <c r="AA180" s="876" t="str">
        <f>IFERROR(__xludf.DUMMYFUNCTION("IF($CR180="""","""",IFERROR(query({CarteirasAtivos},""select Col6 where Col4 is not null and Col1 = '""&amp;$CR180&amp;""' limit 1""),""NC""))"),"")</f>
        <v/>
      </c>
      <c r="AB180" s="877"/>
      <c r="AC180" s="878" t="s">
        <v>123</v>
      </c>
      <c r="AD180" s="845" t="str">
        <f>IF($CR180="","",IFERROR(VLOOKUP($CR180,ativos.!$C$3:$R308,MATCH("cotacao",ativos.!$C$2:CY$2,0),FALSE)*$CU$5,"atualizar"))</f>
        <v/>
      </c>
      <c r="AE180" s="846" t="str">
        <f>IFERROR(__xludf.DUMMYFUNCTION("IF($CR180="""","""",IFERROR(AVERAGE(query({CarteirasAtivos;CarteirasAtivosEncerrados},""select Col5 where Col5 is not null and Col1 = '""&amp;$CR180&amp;""' and Col10='SIM'""))*CU180,""NC""))"),"")</f>
        <v/>
      </c>
      <c r="AF180" s="847" t="str">
        <f t="shared" si="1"/>
        <v/>
      </c>
      <c r="AG180" s="442"/>
      <c r="AH180" s="848" t="str">
        <f>IFERROR(__xludf.DUMMYFUNCTION("IF($CR180="""","""",IFERROR(GOOGLEFINANCE($CR180,""low52"")*CU180,""-""))"),"")</f>
        <v/>
      </c>
      <c r="AI180" s="848" t="str">
        <f>IFERROR(__xludf.DUMMYFUNCTION("IF($CR180="""","""",IFERROR(GOOGLEFINANCE($CR180,""high52"")*CU180,""-""))"),"")</f>
        <v/>
      </c>
      <c r="AJ180" s="849" t="s">
        <v>123</v>
      </c>
      <c r="AK180" s="850" t="str">
        <f>IFERROR(__xludf.DUMMYFUNCTION("IF($CR180="""","""",IFERROR(GOOGLEFINANCE($CR180,""changepct"")/100,""-""))"),"")</f>
        <v/>
      </c>
      <c r="AL180" s="851" t="str">
        <f>IFERROR(__xludf.DUMMYFUNCTION("IF($CR180="""","""",IFERROR(($AD180/(QUERY(GOOGLEFINANCE($CR180,""price"",TODAY()-7),""SELECT Col2 label Col2 ''"")*$CU180)-1),""-""))"),"")</f>
        <v/>
      </c>
      <c r="AM180" s="851" t="str">
        <f>IFERROR(__xludf.DUMMYFUNCTION("IF($CR180="""","""",IFERROR(($AD180/(QUERY(GOOGLEFINANCE($CR180,""price"",TODAY()-14),""SELECT Col2 label Col2 ''"")*$CU180)-1),""-""))"),"")</f>
        <v/>
      </c>
      <c r="AN180" s="851" t="str">
        <f>IFERROR(__xludf.DUMMYFUNCTION("IF($CR180="""","""",IFERROR(($AD180/(QUERY(GOOGLEFINANCE($CR180,""price"",TODAY()-28),""SELECT Col2 label Col2 ''"")*$CU180)-1),""-""))"),"")</f>
        <v/>
      </c>
      <c r="AO180" s="851" t="str">
        <f>IFERROR(__xludf.DUMMYFUNCTION("IF($CR180="""","""",IFERROR(($AD180/(QUERY(GOOGLEFINANCE($CR180,""price"",TODAY()-$AQ$5),""SELECT Col2 label Col2 ''"")*$CU180)-1),""-""))"),"")</f>
        <v/>
      </c>
      <c r="AP180" s="852" t="str">
        <f>IFERROR(__xludf.DUMMYFUNCTION("IF($CR180="""","""",IFERROR(SPARKLINE(query(GOOGLEFINANCE($CR180,""price"",TODAY()-$AQ$5,TODAY(),1),""select Col2 label Col2 ''""),IF($AP$7=""Gráfico de barras"",{""charttype"",""column"";""highcolor"",""red""},{""chartype"",""line""}))))"),"")</f>
        <v/>
      </c>
      <c r="AQ180" s="144"/>
      <c r="AR180" s="853"/>
      <c r="AS180" s="854" t="str">
        <f>IF($CR180="","",IF(NOT('alocação'!$D$1),"off",IFERROR(VLOOKUP(CR180,BalanceAtivos,3,0),"NC")))</f>
        <v/>
      </c>
      <c r="AT180" s="855" t="str">
        <f>IF($CR180="","",IF(NOT('alocação'!$D$1),"off",IFERROR(VLOOKUP($CR180,BalanceAtivos,4,0)*$CU$5,"NC")))</f>
        <v/>
      </c>
      <c r="AU180" s="856" t="str">
        <f>IF($CR180="","",IF(NOT('alocação'!$D$1),"off",IFERROR(VLOOKUP($CR180,BalanceAtivos,5,0),"-")))</f>
        <v/>
      </c>
      <c r="AV180" s="856" t="str">
        <f>IF($CR180="","",IF(NOT('alocação'!$D$1),"off",IFERROR(VLOOKUP($CR180,BalanceAtivos,6,0),"-")))</f>
        <v/>
      </c>
      <c r="AW180" s="857"/>
      <c r="AX180" s="858" t="str">
        <f>IF($CR180="","",IF($E180="","SP",IFERROR(VLOOKUP($CR180,AtivosDados,MATCH("pm_atual",portfolio.!$A$3:CY$3,0),0)*$CU$5,0)))</f>
        <v/>
      </c>
      <c r="AY180" s="859" t="str">
        <f t="shared" si="2"/>
        <v/>
      </c>
      <c r="AZ180" s="858" t="str">
        <f>IF($CR180="","",IF($E180="","SP",SUMIF(portfolio.!$A$4:$A308,$CR180,portfolio.!$O$4:$O308)*$CU$5))</f>
        <v/>
      </c>
      <c r="BA180" s="858" t="str">
        <f>IF($CR180="","",IF($E180="","SP",SUMIF(portfolio.!$A$4:$A308,$CR180,portfolio.!$AN$4:$AN308)*$CU$5))</f>
        <v/>
      </c>
      <c r="BB180" s="860" t="str">
        <f>IF($CR180="","",IF($E180="","-",IFERROR($BA180/'portfólio'!$DG$63,"")))</f>
        <v/>
      </c>
      <c r="BC180" s="861" t="str">
        <f>IF($CR180="","",IF($E180="","-",SUMIF(portfolio.!$A$4:$A308,$CR180,portfolio.!$J$4:$J308)))</f>
        <v/>
      </c>
      <c r="BD180" s="862" t="str">
        <f>IF($CR180="","",IF($E180="","SP",SUMIF(portfolio.!$A$4:$A308,$CR180,portfolio.!$AQ$4:$AQ308)*$CU$5))</f>
        <v/>
      </c>
      <c r="BE180" s="850" t="str">
        <f t="shared" si="3"/>
        <v/>
      </c>
      <c r="BF180" s="862" t="str">
        <f>IF($CR180="","",IF($E180="","-",SUMIF(portfolio.!$A$4:$A308,$CR180,portfolio.!$AX$4:$AX308)*$CU$5))</f>
        <v/>
      </c>
      <c r="BG180" s="545"/>
      <c r="BH180" s="879" t="s">
        <v>123</v>
      </c>
      <c r="BI180" s="880" t="s">
        <v>123</v>
      </c>
      <c r="BJ180" s="863" t="str">
        <f>IFERROR(__xludf.DUMMYFUNCTION("IF(NOT($BL$4),"""",IF($CR180="""","""",IFERROR(query({GOOGLEFINANCE($CR180,""price"",IF($BI180=""-"",TODAY()-($AQ$5+5),$BI180),TODAY()-1)},""Select max(Col2) where Col1 is not null label max(Col2) ''"")*CU180,""-"")))"),"")</f>
        <v/>
      </c>
      <c r="BK180" s="881" t="s">
        <v>123</v>
      </c>
      <c r="BL180" s="882" t="s">
        <v>123</v>
      </c>
      <c r="BM180" s="442"/>
      <c r="BN180" s="867" t="str">
        <f>IFERROR(__xludf.DUMMYFUNCTION("IF(CR180="""","""",IF(OR(C180=""AÇÃO"",C180=""BDR""),IFERROR(QUERY({fundamentus.!$A$3:$U308},$CX$67&amp;"" where Col1='""&amp;CR180&amp;""' limit 1"",0)),IF(C180=""FII"",IFERROR(QUERY({fundsexplorer.!$A$2:$Z308},$CY$67&amp;"" where Col1='""&amp;CR180&amp;""' limit 1"",0)),""""))"&amp;")"),"")</f>
        <v/>
      </c>
      <c r="BO180" s="867"/>
      <c r="BP180" s="867"/>
      <c r="BQ180" s="867"/>
      <c r="BR180" s="867"/>
      <c r="BS180" s="867"/>
      <c r="BT180" s="867"/>
      <c r="BU180" s="442"/>
      <c r="BV180" s="868" t="str">
        <f>IFERROR(__xludf.DUMMYFUNCTION("IF(OR(C180=""AÇÃO"",C180=""BDR""),IFERROR(GOOGLEFINANCE(CONCAT(""BVMF:"",CR180), ""marketcap"")/1000000,""NC""),"""")"),"")</f>
        <v/>
      </c>
      <c r="BW180" s="869" t="s">
        <v>123</v>
      </c>
      <c r="BX180" s="870" t="s">
        <v>123</v>
      </c>
      <c r="BY180" s="868" t="s">
        <v>123</v>
      </c>
      <c r="BZ180" s="870" t="s">
        <v>123</v>
      </c>
      <c r="CA180" s="868" t="s">
        <v>123</v>
      </c>
      <c r="CB180" s="868" t="s">
        <v>123</v>
      </c>
      <c r="CC180" s="868" t="s">
        <v>123</v>
      </c>
      <c r="CD180" s="868" t="str">
        <f>IFERROR(__xludf.DUMMYFUNCTION("IF(OR(C180=""AÇÃO"",C180=""BDR""),IFERROR(GOOGLEFINANCE(CONCAT(""BVMF:"",CR180), ""volumeavg"")/1000000,""NC""),"""")"),"")</f>
        <v/>
      </c>
      <c r="CE180" s="870" t="s">
        <v>123</v>
      </c>
      <c r="CF180" s="870" t="s">
        <v>123</v>
      </c>
      <c r="CG180" s="870" t="str">
        <f>IFERROR(__xludf.DUMMYFUNCTION("IF(OR(C180=""AÇÃO"",C180=""BDR""),IF(CF180=0,""SEM DY"",IFERROR(ImportXML(CONCAT(""http://www.guiainvest.com.br/raiox/default.aspx?sigla="",$CR180),""//*[@id='lbPayoutAtual']""),""NC"")),"""")"),"")</f>
        <v/>
      </c>
      <c r="CH180" s="870" t="s">
        <v>123</v>
      </c>
      <c r="CI180" s="545"/>
      <c r="CJ180" s="871" t="str">
        <f>IFERROR(__xludf.DUMMYFUNCTION("IF(OR(C180=""AÇÃO"",C180=""BDR""),IFERROR(GOOGLEFINANCE(CONCAT(""BVMF:"",CR180), ""eps""),""NC""),"""")"),"")</f>
        <v/>
      </c>
      <c r="CK180" s="442"/>
      <c r="CL180" s="871" t="str">
        <f>IFERROR(__xludf.DUMMYFUNCTION("IF(NOT($BL$4),"""",IF($CR180="""","""",IF($BC180="""","""",IFERROR(query({op.normal!$B$5:$F308},""select Col5, toDate(Col2) where Col1 =  '""&amp;$CR180&amp;""' and Col4 &gt; 0 and ((Col3 is null) or (Col3 = 'C')) and Col2 &gt;= date '""&amp;TEXT(TODAY()-$AQ$5,""yyyy-mm-dd"&amp;""")&amp;""' order by Col2 desc limit 1 label toDate(Col2) ''"")))))"),"")</f>
        <v/>
      </c>
      <c r="CM180" s="872"/>
      <c r="CN180" s="883" t="s">
        <v>123</v>
      </c>
      <c r="CO180" s="874" t="s">
        <v>123</v>
      </c>
      <c r="CP180" s="766"/>
      <c r="CQ180" s="791"/>
      <c r="CR180" s="791"/>
      <c r="CT180" s="791" t="s">
        <v>123</v>
      </c>
      <c r="CU180" s="791" t="str">
        <f>IFERROR(__xludf.DUMMYFUNCTION("IF(CR180="""","""",IF(CT180=$C$4,1,GOOGLEFINANCE(CT180&amp;$C$4)))"),"")</f>
        <v/>
      </c>
    </row>
    <row r="181" ht="22.5" customHeight="1">
      <c r="A181" s="837">
        <v>173.0</v>
      </c>
      <c r="B181" s="838" t="s">
        <v>123</v>
      </c>
      <c r="C181" s="838" t="s">
        <v>123</v>
      </c>
      <c r="D181" s="839" t="s">
        <v>123</v>
      </c>
      <c r="E181" s="839" t="s">
        <v>123</v>
      </c>
      <c r="F181" s="839" t="s">
        <v>123</v>
      </c>
      <c r="H181" s="884"/>
      <c r="I181" s="838"/>
      <c r="J181" s="838"/>
      <c r="K181" s="838"/>
      <c r="L181" s="838"/>
      <c r="M181" s="838"/>
      <c r="N181" s="838"/>
      <c r="O181" s="838"/>
      <c r="P181" s="838"/>
      <c r="Q181" s="838"/>
      <c r="R181" s="838"/>
      <c r="S181" s="838"/>
      <c r="T181" s="838"/>
      <c r="U181" s="838"/>
      <c r="V181" s="838"/>
      <c r="W181" s="838"/>
      <c r="X181" s="838"/>
      <c r="Z181" s="875" t="str">
        <f>IFERROR(__xludf.DUMMYFUNCTION("IF($CR181="""","""",IFERROR(query({CarteirasAtivos},""select Col4 where Col4 is not null and Col1 = '""&amp;$CR181&amp;""' limit 1"")*CU181,""NC""))"),"")</f>
        <v/>
      </c>
      <c r="AA181" s="876" t="str">
        <f>IFERROR(__xludf.DUMMYFUNCTION("IF($CR181="""","""",IFERROR(query({CarteirasAtivos},""select Col6 where Col4 is not null and Col1 = '""&amp;$CR181&amp;""' limit 1""),""NC""))"),"")</f>
        <v/>
      </c>
      <c r="AB181" s="877"/>
      <c r="AC181" s="878" t="s">
        <v>123</v>
      </c>
      <c r="AD181" s="845" t="str">
        <f>IF($CR181="","",IFERROR(VLOOKUP($CR181,ativos.!$C$3:$R308,MATCH("cotacao",ativos.!$C$2:CY$2,0),FALSE)*$CU$5,"atualizar"))</f>
        <v/>
      </c>
      <c r="AE181" s="846" t="str">
        <f>IFERROR(__xludf.DUMMYFUNCTION("IF($CR181="""","""",IFERROR(AVERAGE(query({CarteirasAtivos;CarteirasAtivosEncerrados},""select Col5 where Col5 is not null and Col1 = '""&amp;$CR181&amp;""' and Col10='SIM'""))*CU181,""NC""))"),"")</f>
        <v/>
      </c>
      <c r="AF181" s="847" t="str">
        <f t="shared" si="1"/>
        <v/>
      </c>
      <c r="AG181" s="442"/>
      <c r="AH181" s="848" t="str">
        <f>IFERROR(__xludf.DUMMYFUNCTION("IF($CR181="""","""",IFERROR(GOOGLEFINANCE($CR181,""low52"")*CU181,""-""))"),"")</f>
        <v/>
      </c>
      <c r="AI181" s="848" t="str">
        <f>IFERROR(__xludf.DUMMYFUNCTION("IF($CR181="""","""",IFERROR(GOOGLEFINANCE($CR181,""high52"")*CU181,""-""))"),"")</f>
        <v/>
      </c>
      <c r="AJ181" s="849" t="s">
        <v>123</v>
      </c>
      <c r="AK181" s="850" t="str">
        <f>IFERROR(__xludf.DUMMYFUNCTION("IF($CR181="""","""",IFERROR(GOOGLEFINANCE($CR181,""changepct"")/100,""-""))"),"")</f>
        <v/>
      </c>
      <c r="AL181" s="851" t="str">
        <f>IFERROR(__xludf.DUMMYFUNCTION("IF($CR181="""","""",IFERROR(($AD181/(QUERY(GOOGLEFINANCE($CR181,""price"",TODAY()-7),""SELECT Col2 label Col2 ''"")*$CU181)-1),""-""))"),"")</f>
        <v/>
      </c>
      <c r="AM181" s="851" t="str">
        <f>IFERROR(__xludf.DUMMYFUNCTION("IF($CR181="""","""",IFERROR(($AD181/(QUERY(GOOGLEFINANCE($CR181,""price"",TODAY()-14),""SELECT Col2 label Col2 ''"")*$CU181)-1),""-""))"),"")</f>
        <v/>
      </c>
      <c r="AN181" s="851" t="str">
        <f>IFERROR(__xludf.DUMMYFUNCTION("IF($CR181="""","""",IFERROR(($AD181/(QUERY(GOOGLEFINANCE($CR181,""price"",TODAY()-28),""SELECT Col2 label Col2 ''"")*$CU181)-1),""-""))"),"")</f>
        <v/>
      </c>
      <c r="AO181" s="851" t="str">
        <f>IFERROR(__xludf.DUMMYFUNCTION("IF($CR181="""","""",IFERROR(($AD181/(QUERY(GOOGLEFINANCE($CR181,""price"",TODAY()-$AQ$5),""SELECT Col2 label Col2 ''"")*$CU181)-1),""-""))"),"")</f>
        <v/>
      </c>
      <c r="AP181" s="852" t="str">
        <f>IFERROR(__xludf.DUMMYFUNCTION("IF($CR181="""","""",IFERROR(SPARKLINE(query(GOOGLEFINANCE($CR181,""price"",TODAY()-$AQ$5,TODAY(),1),""select Col2 label Col2 ''""),IF($AP$7=""Gráfico de barras"",{""charttype"",""column"";""highcolor"",""red""},{""chartype"",""line""}))))"),"")</f>
        <v/>
      </c>
      <c r="AQ181" s="144"/>
      <c r="AR181" s="853"/>
      <c r="AS181" s="854" t="str">
        <f>IF($CR181="","",IF(NOT('alocação'!$D$1),"off",IFERROR(VLOOKUP(CR181,BalanceAtivos,3,0),"NC")))</f>
        <v/>
      </c>
      <c r="AT181" s="855" t="str">
        <f>IF($CR181="","",IF(NOT('alocação'!$D$1),"off",IFERROR(VLOOKUP($CR181,BalanceAtivos,4,0)*$CU$5,"NC")))</f>
        <v/>
      </c>
      <c r="AU181" s="856" t="str">
        <f>IF($CR181="","",IF(NOT('alocação'!$D$1),"off",IFERROR(VLOOKUP($CR181,BalanceAtivos,5,0),"-")))</f>
        <v/>
      </c>
      <c r="AV181" s="856" t="str">
        <f>IF($CR181="","",IF(NOT('alocação'!$D$1),"off",IFERROR(VLOOKUP($CR181,BalanceAtivos,6,0),"-")))</f>
        <v/>
      </c>
      <c r="AW181" s="857"/>
      <c r="AX181" s="858" t="str">
        <f>IF($CR181="","",IF($E181="","SP",IFERROR(VLOOKUP($CR181,AtivosDados,MATCH("pm_atual",portfolio.!$A$3:CY$3,0),0)*$CU$5,0)))</f>
        <v/>
      </c>
      <c r="AY181" s="859" t="str">
        <f t="shared" si="2"/>
        <v/>
      </c>
      <c r="AZ181" s="858" t="str">
        <f>IF($CR181="","",IF($E181="","SP",SUMIF(portfolio.!$A$4:$A308,$CR181,portfolio.!$O$4:$O308)*$CU$5))</f>
        <v/>
      </c>
      <c r="BA181" s="858" t="str">
        <f>IF($CR181="","",IF($E181="","SP",SUMIF(portfolio.!$A$4:$A308,$CR181,portfolio.!$AN$4:$AN308)*$CU$5))</f>
        <v/>
      </c>
      <c r="BB181" s="860" t="str">
        <f>IF($CR181="","",IF($E181="","-",IFERROR($BA181/'portfólio'!$DG$63,"")))</f>
        <v/>
      </c>
      <c r="BC181" s="861" t="str">
        <f>IF($CR181="","",IF($E181="","-",SUMIF(portfolio.!$A$4:$A308,$CR181,portfolio.!$J$4:$J308)))</f>
        <v/>
      </c>
      <c r="BD181" s="862" t="str">
        <f>IF($CR181="","",IF($E181="","SP",SUMIF(portfolio.!$A$4:$A308,$CR181,portfolio.!$AQ$4:$AQ308)*$CU$5))</f>
        <v/>
      </c>
      <c r="BE181" s="850" t="str">
        <f t="shared" si="3"/>
        <v/>
      </c>
      <c r="BF181" s="862" t="str">
        <f>IF($CR181="","",IF($E181="","-",SUMIF(portfolio.!$A$4:$A308,$CR181,portfolio.!$AX$4:$AX308)*$CU$5))</f>
        <v/>
      </c>
      <c r="BG181" s="545"/>
      <c r="BH181" s="879" t="s">
        <v>123</v>
      </c>
      <c r="BI181" s="880" t="s">
        <v>123</v>
      </c>
      <c r="BJ181" s="863" t="str">
        <f>IFERROR(__xludf.DUMMYFUNCTION("IF(NOT($BL$4),"""",IF($CR181="""","""",IFERROR(query({GOOGLEFINANCE($CR181,""price"",IF($BI181=""-"",TODAY()-($AQ$5+5),$BI181),TODAY()-1)},""Select max(Col2) where Col1 is not null label max(Col2) ''"")*CU181,""-"")))"),"")</f>
        <v/>
      </c>
      <c r="BK181" s="881" t="s">
        <v>123</v>
      </c>
      <c r="BL181" s="882" t="s">
        <v>123</v>
      </c>
      <c r="BM181" s="442"/>
      <c r="BN181" s="867" t="str">
        <f>IFERROR(__xludf.DUMMYFUNCTION("IF(CR181="""","""",IF(OR(C181=""AÇÃO"",C181=""BDR""),IFERROR(QUERY({fundamentus.!$A$3:$U308},$CX$67&amp;"" where Col1='""&amp;CR181&amp;""' limit 1"",0)),IF(C181=""FII"",IFERROR(QUERY({fundsexplorer.!$A$2:$Z308},$CY$67&amp;"" where Col1='""&amp;CR181&amp;""' limit 1"",0)),""""))"&amp;")"),"")</f>
        <v/>
      </c>
      <c r="BO181" s="867"/>
      <c r="BP181" s="867"/>
      <c r="BQ181" s="867"/>
      <c r="BR181" s="867"/>
      <c r="BS181" s="867"/>
      <c r="BT181" s="867"/>
      <c r="BU181" s="442"/>
      <c r="BV181" s="868" t="str">
        <f>IFERROR(__xludf.DUMMYFUNCTION("IF(OR(C181=""AÇÃO"",C181=""BDR""),IFERROR(GOOGLEFINANCE(CONCAT(""BVMF:"",CR181), ""marketcap"")/1000000,""NC""),"""")"),"")</f>
        <v/>
      </c>
      <c r="BW181" s="869" t="s">
        <v>123</v>
      </c>
      <c r="BX181" s="870" t="s">
        <v>123</v>
      </c>
      <c r="BY181" s="868" t="s">
        <v>123</v>
      </c>
      <c r="BZ181" s="870" t="s">
        <v>123</v>
      </c>
      <c r="CA181" s="868" t="s">
        <v>123</v>
      </c>
      <c r="CB181" s="868" t="s">
        <v>123</v>
      </c>
      <c r="CC181" s="868" t="s">
        <v>123</v>
      </c>
      <c r="CD181" s="868" t="str">
        <f>IFERROR(__xludf.DUMMYFUNCTION("IF(OR(C181=""AÇÃO"",C181=""BDR""),IFERROR(GOOGLEFINANCE(CONCAT(""BVMF:"",CR181), ""volumeavg"")/1000000,""NC""),"""")"),"")</f>
        <v/>
      </c>
      <c r="CE181" s="870" t="s">
        <v>123</v>
      </c>
      <c r="CF181" s="870" t="s">
        <v>123</v>
      </c>
      <c r="CG181" s="870" t="str">
        <f>IFERROR(__xludf.DUMMYFUNCTION("IF(OR(C181=""AÇÃO"",C181=""BDR""),IF(CF181=0,""SEM DY"",IFERROR(ImportXML(CONCAT(""http://www.guiainvest.com.br/raiox/default.aspx?sigla="",$CR181),""//*[@id='lbPayoutAtual']""),""NC"")),"""")"),"")</f>
        <v/>
      </c>
      <c r="CH181" s="870" t="s">
        <v>123</v>
      </c>
      <c r="CI181" s="545"/>
      <c r="CJ181" s="871" t="str">
        <f>IFERROR(__xludf.DUMMYFUNCTION("IF(OR(C181=""AÇÃO"",C181=""BDR""),IFERROR(GOOGLEFINANCE(CONCAT(""BVMF:"",CR181), ""eps""),""NC""),"""")"),"")</f>
        <v/>
      </c>
      <c r="CK181" s="442"/>
      <c r="CL181" s="871" t="str">
        <f>IFERROR(__xludf.DUMMYFUNCTION("IF(NOT($BL$4),"""",IF($CR181="""","""",IF($BC181="""","""",IFERROR(query({op.normal!$B$5:$F308},""select Col5, toDate(Col2) where Col1 =  '""&amp;$CR181&amp;""' and Col4 &gt; 0 and ((Col3 is null) or (Col3 = 'C')) and Col2 &gt;= date '""&amp;TEXT(TODAY()-$AQ$5,""yyyy-mm-dd"&amp;""")&amp;""' order by Col2 desc limit 1 label toDate(Col2) ''"")))))"),"")</f>
        <v/>
      </c>
      <c r="CM181" s="872"/>
      <c r="CN181" s="883" t="s">
        <v>123</v>
      </c>
      <c r="CO181" s="874" t="s">
        <v>123</v>
      </c>
      <c r="CP181" s="766"/>
      <c r="CQ181" s="791"/>
      <c r="CR181" s="791"/>
      <c r="CT181" s="791" t="s">
        <v>123</v>
      </c>
      <c r="CU181" s="791" t="str">
        <f>IFERROR(__xludf.DUMMYFUNCTION("IF(CR181="""","""",IF(CT181=$C$4,1,GOOGLEFINANCE(CT181&amp;$C$4)))"),"")</f>
        <v/>
      </c>
    </row>
    <row r="182" ht="22.5" customHeight="1">
      <c r="A182" s="837">
        <v>174.0</v>
      </c>
      <c r="B182" s="838" t="s">
        <v>123</v>
      </c>
      <c r="C182" s="838" t="s">
        <v>123</v>
      </c>
      <c r="D182" s="839" t="s">
        <v>123</v>
      </c>
      <c r="E182" s="839" t="s">
        <v>123</v>
      </c>
      <c r="F182" s="839" t="s">
        <v>123</v>
      </c>
      <c r="H182" s="884"/>
      <c r="I182" s="838"/>
      <c r="J182" s="838"/>
      <c r="K182" s="838"/>
      <c r="L182" s="838"/>
      <c r="M182" s="838"/>
      <c r="N182" s="838"/>
      <c r="O182" s="838"/>
      <c r="P182" s="838"/>
      <c r="Q182" s="838"/>
      <c r="R182" s="838"/>
      <c r="S182" s="838"/>
      <c r="T182" s="838"/>
      <c r="U182" s="838"/>
      <c r="V182" s="838"/>
      <c r="W182" s="838"/>
      <c r="X182" s="838"/>
      <c r="Z182" s="875" t="str">
        <f>IFERROR(__xludf.DUMMYFUNCTION("IF($CR182="""","""",IFERROR(query({CarteirasAtivos},""select Col4 where Col4 is not null and Col1 = '""&amp;$CR182&amp;""' limit 1"")*CU182,""NC""))"),"")</f>
        <v/>
      </c>
      <c r="AA182" s="876" t="str">
        <f>IFERROR(__xludf.DUMMYFUNCTION("IF($CR182="""","""",IFERROR(query({CarteirasAtivos},""select Col6 where Col4 is not null and Col1 = '""&amp;$CR182&amp;""' limit 1""),""NC""))"),"")</f>
        <v/>
      </c>
      <c r="AB182" s="877"/>
      <c r="AC182" s="878" t="s">
        <v>123</v>
      </c>
      <c r="AD182" s="845" t="str">
        <f>IF($CR182="","",IFERROR(VLOOKUP($CR182,ativos.!$C$3:$R308,MATCH("cotacao",ativos.!$C$2:CY$2,0),FALSE)*$CU$5,"atualizar"))</f>
        <v/>
      </c>
      <c r="AE182" s="846" t="str">
        <f>IFERROR(__xludf.DUMMYFUNCTION("IF($CR182="""","""",IFERROR(AVERAGE(query({CarteirasAtivos;CarteirasAtivosEncerrados},""select Col5 where Col5 is not null and Col1 = '""&amp;$CR182&amp;""' and Col10='SIM'""))*CU182,""NC""))"),"")</f>
        <v/>
      </c>
      <c r="AF182" s="847" t="str">
        <f t="shared" si="1"/>
        <v/>
      </c>
      <c r="AG182" s="442"/>
      <c r="AH182" s="848" t="str">
        <f>IFERROR(__xludf.DUMMYFUNCTION("IF($CR182="""","""",IFERROR(GOOGLEFINANCE($CR182,""low52"")*CU182,""-""))"),"")</f>
        <v/>
      </c>
      <c r="AI182" s="848" t="str">
        <f>IFERROR(__xludf.DUMMYFUNCTION("IF($CR182="""","""",IFERROR(GOOGLEFINANCE($CR182,""high52"")*CU182,""-""))"),"")</f>
        <v/>
      </c>
      <c r="AJ182" s="849" t="s">
        <v>123</v>
      </c>
      <c r="AK182" s="850" t="str">
        <f>IFERROR(__xludf.DUMMYFUNCTION("IF($CR182="""","""",IFERROR(GOOGLEFINANCE($CR182,""changepct"")/100,""-""))"),"")</f>
        <v/>
      </c>
      <c r="AL182" s="851" t="str">
        <f>IFERROR(__xludf.DUMMYFUNCTION("IF($CR182="""","""",IFERROR(($AD182/(QUERY(GOOGLEFINANCE($CR182,""price"",TODAY()-7),""SELECT Col2 label Col2 ''"")*$CU182)-1),""-""))"),"")</f>
        <v/>
      </c>
      <c r="AM182" s="851" t="str">
        <f>IFERROR(__xludf.DUMMYFUNCTION("IF($CR182="""","""",IFERROR(($AD182/(QUERY(GOOGLEFINANCE($CR182,""price"",TODAY()-14),""SELECT Col2 label Col2 ''"")*$CU182)-1),""-""))"),"")</f>
        <v/>
      </c>
      <c r="AN182" s="851" t="str">
        <f>IFERROR(__xludf.DUMMYFUNCTION("IF($CR182="""","""",IFERROR(($AD182/(QUERY(GOOGLEFINANCE($CR182,""price"",TODAY()-28),""SELECT Col2 label Col2 ''"")*$CU182)-1),""-""))"),"")</f>
        <v/>
      </c>
      <c r="AO182" s="851" t="str">
        <f>IFERROR(__xludf.DUMMYFUNCTION("IF($CR182="""","""",IFERROR(($AD182/(QUERY(GOOGLEFINANCE($CR182,""price"",TODAY()-$AQ$5),""SELECT Col2 label Col2 ''"")*$CU182)-1),""-""))"),"")</f>
        <v/>
      </c>
      <c r="AP182" s="852" t="str">
        <f>IFERROR(__xludf.DUMMYFUNCTION("IF($CR182="""","""",IFERROR(SPARKLINE(query(GOOGLEFINANCE($CR182,""price"",TODAY()-$AQ$5,TODAY(),1),""select Col2 label Col2 ''""),IF($AP$7=""Gráfico de barras"",{""charttype"",""column"";""highcolor"",""red""},{""chartype"",""line""}))))"),"")</f>
        <v/>
      </c>
      <c r="AQ182" s="144"/>
      <c r="AR182" s="853"/>
      <c r="AS182" s="854" t="str">
        <f>IF($CR182="","",IF(NOT('alocação'!$D$1),"off",IFERROR(VLOOKUP(CR182,BalanceAtivos,3,0),"NC")))</f>
        <v/>
      </c>
      <c r="AT182" s="855" t="str">
        <f>IF($CR182="","",IF(NOT('alocação'!$D$1),"off",IFERROR(VLOOKUP($CR182,BalanceAtivos,4,0)*$CU$5,"NC")))</f>
        <v/>
      </c>
      <c r="AU182" s="856" t="str">
        <f>IF($CR182="","",IF(NOT('alocação'!$D$1),"off",IFERROR(VLOOKUP($CR182,BalanceAtivos,5,0),"-")))</f>
        <v/>
      </c>
      <c r="AV182" s="856" t="str">
        <f>IF($CR182="","",IF(NOT('alocação'!$D$1),"off",IFERROR(VLOOKUP($CR182,BalanceAtivos,6,0),"-")))</f>
        <v/>
      </c>
      <c r="AW182" s="857"/>
      <c r="AX182" s="858" t="str">
        <f>IF($CR182="","",IF($E182="","SP",IFERROR(VLOOKUP($CR182,AtivosDados,MATCH("pm_atual",portfolio.!$A$3:CY$3,0),0)*$CU$5,0)))</f>
        <v/>
      </c>
      <c r="AY182" s="859" t="str">
        <f t="shared" si="2"/>
        <v/>
      </c>
      <c r="AZ182" s="858" t="str">
        <f>IF($CR182="","",IF($E182="","SP",SUMIF(portfolio.!$A$4:$A308,$CR182,portfolio.!$O$4:$O308)*$CU$5))</f>
        <v/>
      </c>
      <c r="BA182" s="858" t="str">
        <f>IF($CR182="","",IF($E182="","SP",SUMIF(portfolio.!$A$4:$A308,$CR182,portfolio.!$AN$4:$AN308)*$CU$5))</f>
        <v/>
      </c>
      <c r="BB182" s="860" t="str">
        <f>IF($CR182="","",IF($E182="","-",IFERROR($BA182/'portfólio'!$DG$63,"")))</f>
        <v/>
      </c>
      <c r="BC182" s="861" t="str">
        <f>IF($CR182="","",IF($E182="","-",SUMIF(portfolio.!$A$4:$A308,$CR182,portfolio.!$J$4:$J308)))</f>
        <v/>
      </c>
      <c r="BD182" s="862" t="str">
        <f>IF($CR182="","",IF($E182="","SP",SUMIF(portfolio.!$A$4:$A308,$CR182,portfolio.!$AQ$4:$AQ308)*$CU$5))</f>
        <v/>
      </c>
      <c r="BE182" s="850" t="str">
        <f t="shared" si="3"/>
        <v/>
      </c>
      <c r="BF182" s="862" t="str">
        <f>IF($CR182="","",IF($E182="","-",SUMIF(portfolio.!$A$4:$A308,$CR182,portfolio.!$AX$4:$AX308)*$CU$5))</f>
        <v/>
      </c>
      <c r="BG182" s="545"/>
      <c r="BH182" s="879" t="s">
        <v>123</v>
      </c>
      <c r="BI182" s="880" t="s">
        <v>123</v>
      </c>
      <c r="BJ182" s="863" t="str">
        <f>IFERROR(__xludf.DUMMYFUNCTION("IF(NOT($BL$4),"""",IF($CR182="""","""",IFERROR(query({GOOGLEFINANCE($CR182,""price"",IF($BI182=""-"",TODAY()-($AQ$5+5),$BI182),TODAY()-1)},""Select max(Col2) where Col1 is not null label max(Col2) ''"")*CU182,""-"")))"),"")</f>
        <v/>
      </c>
      <c r="BK182" s="881" t="s">
        <v>123</v>
      </c>
      <c r="BL182" s="882" t="s">
        <v>123</v>
      </c>
      <c r="BM182" s="442"/>
      <c r="BN182" s="867" t="str">
        <f>IFERROR(__xludf.DUMMYFUNCTION("IF(CR182="""","""",IF(OR(C182=""AÇÃO"",C182=""BDR""),IFERROR(QUERY({fundamentus.!$A$3:$U308},$CX$67&amp;"" where Col1='""&amp;CR182&amp;""' limit 1"",0)),IF(C182=""FII"",IFERROR(QUERY({fundsexplorer.!$A$2:$Z308},$CY$67&amp;"" where Col1='""&amp;CR182&amp;""' limit 1"",0)),""""))"&amp;")"),"")</f>
        <v/>
      </c>
      <c r="BO182" s="867"/>
      <c r="BP182" s="867"/>
      <c r="BQ182" s="867"/>
      <c r="BR182" s="867"/>
      <c r="BS182" s="867"/>
      <c r="BT182" s="867"/>
      <c r="BU182" s="442"/>
      <c r="BV182" s="868" t="str">
        <f>IFERROR(__xludf.DUMMYFUNCTION("IF(OR(C182=""AÇÃO"",C182=""BDR""),IFERROR(GOOGLEFINANCE(CONCAT(""BVMF:"",CR182), ""marketcap"")/1000000,""NC""),"""")"),"")</f>
        <v/>
      </c>
      <c r="BW182" s="869" t="s">
        <v>123</v>
      </c>
      <c r="BX182" s="870" t="s">
        <v>123</v>
      </c>
      <c r="BY182" s="868" t="s">
        <v>123</v>
      </c>
      <c r="BZ182" s="870" t="s">
        <v>123</v>
      </c>
      <c r="CA182" s="868" t="s">
        <v>123</v>
      </c>
      <c r="CB182" s="868" t="s">
        <v>123</v>
      </c>
      <c r="CC182" s="868" t="s">
        <v>123</v>
      </c>
      <c r="CD182" s="868" t="str">
        <f>IFERROR(__xludf.DUMMYFUNCTION("IF(OR(C182=""AÇÃO"",C182=""BDR""),IFERROR(GOOGLEFINANCE(CONCAT(""BVMF:"",CR182), ""volumeavg"")/1000000,""NC""),"""")"),"")</f>
        <v/>
      </c>
      <c r="CE182" s="870" t="s">
        <v>123</v>
      </c>
      <c r="CF182" s="870" t="s">
        <v>123</v>
      </c>
      <c r="CG182" s="870" t="str">
        <f>IFERROR(__xludf.DUMMYFUNCTION("IF(OR(C182=""AÇÃO"",C182=""BDR""),IF(CF182=0,""SEM DY"",IFERROR(ImportXML(CONCAT(""http://www.guiainvest.com.br/raiox/default.aspx?sigla="",$CR182),""//*[@id='lbPayoutAtual']""),""NC"")),"""")"),"")</f>
        <v/>
      </c>
      <c r="CH182" s="870" t="s">
        <v>123</v>
      </c>
      <c r="CI182" s="545"/>
      <c r="CJ182" s="871" t="str">
        <f>IFERROR(__xludf.DUMMYFUNCTION("IF(OR(C182=""AÇÃO"",C182=""BDR""),IFERROR(GOOGLEFINANCE(CONCAT(""BVMF:"",CR182), ""eps""),""NC""),"""")"),"")</f>
        <v/>
      </c>
      <c r="CK182" s="442"/>
      <c r="CL182" s="871" t="str">
        <f>IFERROR(__xludf.DUMMYFUNCTION("IF(NOT($BL$4),"""",IF($CR182="""","""",IF($BC182="""","""",IFERROR(query({op.normal!$B$5:$F308},""select Col5, toDate(Col2) where Col1 =  '""&amp;$CR182&amp;""' and Col4 &gt; 0 and ((Col3 is null) or (Col3 = 'C')) and Col2 &gt;= date '""&amp;TEXT(TODAY()-$AQ$5,""yyyy-mm-dd"&amp;""")&amp;""' order by Col2 desc limit 1 label toDate(Col2) ''"")))))"),"")</f>
        <v/>
      </c>
      <c r="CM182" s="872"/>
      <c r="CN182" s="883" t="s">
        <v>123</v>
      </c>
      <c r="CO182" s="874" t="s">
        <v>123</v>
      </c>
      <c r="CP182" s="766"/>
      <c r="CQ182" s="791"/>
      <c r="CR182" s="791"/>
      <c r="CT182" s="791" t="s">
        <v>123</v>
      </c>
      <c r="CU182" s="791" t="str">
        <f>IFERROR(__xludf.DUMMYFUNCTION("IF(CR182="""","""",IF(CT182=$C$4,1,GOOGLEFINANCE(CT182&amp;$C$4)))"),"")</f>
        <v/>
      </c>
    </row>
    <row r="183" ht="22.5" customHeight="1">
      <c r="A183" s="837">
        <v>175.0</v>
      </c>
      <c r="B183" s="838" t="s">
        <v>123</v>
      </c>
      <c r="C183" s="838" t="s">
        <v>123</v>
      </c>
      <c r="D183" s="839" t="s">
        <v>123</v>
      </c>
      <c r="E183" s="839" t="s">
        <v>123</v>
      </c>
      <c r="F183" s="839" t="s">
        <v>123</v>
      </c>
      <c r="H183" s="884"/>
      <c r="I183" s="838"/>
      <c r="J183" s="838"/>
      <c r="K183" s="838"/>
      <c r="L183" s="838"/>
      <c r="M183" s="838"/>
      <c r="N183" s="838"/>
      <c r="O183" s="838"/>
      <c r="P183" s="838"/>
      <c r="Q183" s="838"/>
      <c r="R183" s="838"/>
      <c r="S183" s="838"/>
      <c r="T183" s="838"/>
      <c r="U183" s="838"/>
      <c r="V183" s="838"/>
      <c r="W183" s="838"/>
      <c r="X183" s="838"/>
      <c r="Z183" s="875" t="str">
        <f>IFERROR(__xludf.DUMMYFUNCTION("IF($CR183="""","""",IFERROR(query({CarteirasAtivos},""select Col4 where Col4 is not null and Col1 = '""&amp;$CR183&amp;""' limit 1"")*CU183,""NC""))"),"")</f>
        <v/>
      </c>
      <c r="AA183" s="876" t="str">
        <f>IFERROR(__xludf.DUMMYFUNCTION("IF($CR183="""","""",IFERROR(query({CarteirasAtivos},""select Col6 where Col4 is not null and Col1 = '""&amp;$CR183&amp;""' limit 1""),""NC""))"),"")</f>
        <v/>
      </c>
      <c r="AB183" s="877"/>
      <c r="AC183" s="878" t="s">
        <v>123</v>
      </c>
      <c r="AD183" s="845" t="str">
        <f>IF($CR183="","",IFERROR(VLOOKUP($CR183,ativos.!$C$3:$R308,MATCH("cotacao",ativos.!$C$2:CY$2,0),FALSE)*$CU$5,"atualizar"))</f>
        <v/>
      </c>
      <c r="AE183" s="846" t="str">
        <f>IFERROR(__xludf.DUMMYFUNCTION("IF($CR183="""","""",IFERROR(AVERAGE(query({CarteirasAtivos;CarteirasAtivosEncerrados},""select Col5 where Col5 is not null and Col1 = '""&amp;$CR183&amp;""' and Col10='SIM'""))*CU183,""NC""))"),"")</f>
        <v/>
      </c>
      <c r="AF183" s="847" t="str">
        <f t="shared" si="1"/>
        <v/>
      </c>
      <c r="AG183" s="442"/>
      <c r="AH183" s="848" t="str">
        <f>IFERROR(__xludf.DUMMYFUNCTION("IF($CR183="""","""",IFERROR(GOOGLEFINANCE($CR183,""low52"")*CU183,""-""))"),"")</f>
        <v/>
      </c>
      <c r="AI183" s="848" t="str">
        <f>IFERROR(__xludf.DUMMYFUNCTION("IF($CR183="""","""",IFERROR(GOOGLEFINANCE($CR183,""high52"")*CU183,""-""))"),"")</f>
        <v/>
      </c>
      <c r="AJ183" s="849" t="s">
        <v>123</v>
      </c>
      <c r="AK183" s="850" t="str">
        <f>IFERROR(__xludf.DUMMYFUNCTION("IF($CR183="""","""",IFERROR(GOOGLEFINANCE($CR183,""changepct"")/100,""-""))"),"")</f>
        <v/>
      </c>
      <c r="AL183" s="851" t="str">
        <f>IFERROR(__xludf.DUMMYFUNCTION("IF($CR183="""","""",IFERROR(($AD183/(QUERY(GOOGLEFINANCE($CR183,""price"",TODAY()-7),""SELECT Col2 label Col2 ''"")*$CU183)-1),""-""))"),"")</f>
        <v/>
      </c>
      <c r="AM183" s="851" t="str">
        <f>IFERROR(__xludf.DUMMYFUNCTION("IF($CR183="""","""",IFERROR(($AD183/(QUERY(GOOGLEFINANCE($CR183,""price"",TODAY()-14),""SELECT Col2 label Col2 ''"")*$CU183)-1),""-""))"),"")</f>
        <v/>
      </c>
      <c r="AN183" s="851" t="str">
        <f>IFERROR(__xludf.DUMMYFUNCTION("IF($CR183="""","""",IFERROR(($AD183/(QUERY(GOOGLEFINANCE($CR183,""price"",TODAY()-28),""SELECT Col2 label Col2 ''"")*$CU183)-1),""-""))"),"")</f>
        <v/>
      </c>
      <c r="AO183" s="851" t="str">
        <f>IFERROR(__xludf.DUMMYFUNCTION("IF($CR183="""","""",IFERROR(($AD183/(QUERY(GOOGLEFINANCE($CR183,""price"",TODAY()-$AQ$5),""SELECT Col2 label Col2 ''"")*$CU183)-1),""-""))"),"")</f>
        <v/>
      </c>
      <c r="AP183" s="852" t="str">
        <f>IFERROR(__xludf.DUMMYFUNCTION("IF($CR183="""","""",IFERROR(SPARKLINE(query(GOOGLEFINANCE($CR183,""price"",TODAY()-$AQ$5,TODAY(),1),""select Col2 label Col2 ''""),IF($AP$7=""Gráfico de barras"",{""charttype"",""column"";""highcolor"",""red""},{""chartype"",""line""}))))"),"")</f>
        <v/>
      </c>
      <c r="AQ183" s="144"/>
      <c r="AR183" s="853"/>
      <c r="AS183" s="854" t="str">
        <f>IF($CR183="","",IF(NOT('alocação'!$D$1),"off",IFERROR(VLOOKUP(CR183,BalanceAtivos,3,0),"NC")))</f>
        <v/>
      </c>
      <c r="AT183" s="855" t="str">
        <f>IF($CR183="","",IF(NOT('alocação'!$D$1),"off",IFERROR(VLOOKUP($CR183,BalanceAtivos,4,0)*$CU$5,"NC")))</f>
        <v/>
      </c>
      <c r="AU183" s="856" t="str">
        <f>IF($CR183="","",IF(NOT('alocação'!$D$1),"off",IFERROR(VLOOKUP($CR183,BalanceAtivos,5,0),"-")))</f>
        <v/>
      </c>
      <c r="AV183" s="856" t="str">
        <f>IF($CR183="","",IF(NOT('alocação'!$D$1),"off",IFERROR(VLOOKUP($CR183,BalanceAtivos,6,0),"-")))</f>
        <v/>
      </c>
      <c r="AW183" s="857"/>
      <c r="AX183" s="858" t="str">
        <f>IF($CR183="","",IF($E183="","SP",IFERROR(VLOOKUP($CR183,AtivosDados,MATCH("pm_atual",portfolio.!$A$3:CY$3,0),0)*$CU$5,0)))</f>
        <v/>
      </c>
      <c r="AY183" s="859" t="str">
        <f t="shared" si="2"/>
        <v/>
      </c>
      <c r="AZ183" s="858" t="str">
        <f>IF($CR183="","",IF($E183="","SP",SUMIF(portfolio.!$A$4:$A308,$CR183,portfolio.!$O$4:$O308)*$CU$5))</f>
        <v/>
      </c>
      <c r="BA183" s="858" t="str">
        <f>IF($CR183="","",IF($E183="","SP",SUMIF(portfolio.!$A$4:$A308,$CR183,portfolio.!$AN$4:$AN308)*$CU$5))</f>
        <v/>
      </c>
      <c r="BB183" s="860" t="str">
        <f>IF($CR183="","",IF($E183="","-",IFERROR($BA183/'portfólio'!$DG$63,"")))</f>
        <v/>
      </c>
      <c r="BC183" s="861" t="str">
        <f>IF($CR183="","",IF($E183="","-",SUMIF(portfolio.!$A$4:$A308,$CR183,portfolio.!$J$4:$J308)))</f>
        <v/>
      </c>
      <c r="BD183" s="862" t="str">
        <f>IF($CR183="","",IF($E183="","SP",SUMIF(portfolio.!$A$4:$A308,$CR183,portfolio.!$AQ$4:$AQ308)*$CU$5))</f>
        <v/>
      </c>
      <c r="BE183" s="850" t="str">
        <f t="shared" si="3"/>
        <v/>
      </c>
      <c r="BF183" s="862" t="str">
        <f>IF($CR183="","",IF($E183="","-",SUMIF(portfolio.!$A$4:$A308,$CR183,portfolio.!$AX$4:$AX308)*$CU$5))</f>
        <v/>
      </c>
      <c r="BG183" s="545"/>
      <c r="BH183" s="879" t="s">
        <v>123</v>
      </c>
      <c r="BI183" s="880" t="s">
        <v>123</v>
      </c>
      <c r="BJ183" s="863" t="str">
        <f>IFERROR(__xludf.DUMMYFUNCTION("IF(NOT($BL$4),"""",IF($CR183="""","""",IFERROR(query({GOOGLEFINANCE($CR183,""price"",IF($BI183=""-"",TODAY()-($AQ$5+5),$BI183),TODAY()-1)},""Select max(Col2) where Col1 is not null label max(Col2) ''"")*CU183,""-"")))"),"")</f>
        <v/>
      </c>
      <c r="BK183" s="881" t="s">
        <v>123</v>
      </c>
      <c r="BL183" s="882" t="s">
        <v>123</v>
      </c>
      <c r="BM183" s="442"/>
      <c r="BN183" s="867" t="str">
        <f>IFERROR(__xludf.DUMMYFUNCTION("IF(CR183="""","""",IF(OR(C183=""AÇÃO"",C183=""BDR""),IFERROR(QUERY({fundamentus.!$A$3:$U308},$CX$67&amp;"" where Col1='""&amp;CR183&amp;""' limit 1"",0)),IF(C183=""FII"",IFERROR(QUERY({fundsexplorer.!$A$2:$Z308},$CY$67&amp;"" where Col1='""&amp;CR183&amp;""' limit 1"",0)),""""))"&amp;")"),"")</f>
        <v/>
      </c>
      <c r="BO183" s="867"/>
      <c r="BP183" s="867"/>
      <c r="BQ183" s="867"/>
      <c r="BR183" s="867"/>
      <c r="BS183" s="867"/>
      <c r="BT183" s="867"/>
      <c r="BU183" s="442"/>
      <c r="BV183" s="868" t="str">
        <f>IFERROR(__xludf.DUMMYFUNCTION("IF(OR(C183=""AÇÃO"",C183=""BDR""),IFERROR(GOOGLEFINANCE(CONCAT(""BVMF:"",CR183), ""marketcap"")/1000000,""NC""),"""")"),"")</f>
        <v/>
      </c>
      <c r="BW183" s="869" t="s">
        <v>123</v>
      </c>
      <c r="BX183" s="870" t="s">
        <v>123</v>
      </c>
      <c r="BY183" s="868" t="s">
        <v>123</v>
      </c>
      <c r="BZ183" s="870" t="s">
        <v>123</v>
      </c>
      <c r="CA183" s="868" t="s">
        <v>123</v>
      </c>
      <c r="CB183" s="868" t="s">
        <v>123</v>
      </c>
      <c r="CC183" s="868" t="s">
        <v>123</v>
      </c>
      <c r="CD183" s="868" t="str">
        <f>IFERROR(__xludf.DUMMYFUNCTION("IF(OR(C183=""AÇÃO"",C183=""BDR""),IFERROR(GOOGLEFINANCE(CONCAT(""BVMF:"",CR183), ""volumeavg"")/1000000,""NC""),"""")"),"")</f>
        <v/>
      </c>
      <c r="CE183" s="870" t="s">
        <v>123</v>
      </c>
      <c r="CF183" s="870" t="s">
        <v>123</v>
      </c>
      <c r="CG183" s="870" t="str">
        <f>IFERROR(__xludf.DUMMYFUNCTION("IF(OR(C183=""AÇÃO"",C183=""BDR""),IF(CF183=0,""SEM DY"",IFERROR(ImportXML(CONCAT(""http://www.guiainvest.com.br/raiox/default.aspx?sigla="",$CR183),""//*[@id='lbPayoutAtual']""),""NC"")),"""")"),"")</f>
        <v/>
      </c>
      <c r="CH183" s="870" t="s">
        <v>123</v>
      </c>
      <c r="CI183" s="545"/>
      <c r="CJ183" s="871" t="str">
        <f>IFERROR(__xludf.DUMMYFUNCTION("IF(OR(C183=""AÇÃO"",C183=""BDR""),IFERROR(GOOGLEFINANCE(CONCAT(""BVMF:"",CR183), ""eps""),""NC""),"""")"),"")</f>
        <v/>
      </c>
      <c r="CK183" s="442"/>
      <c r="CL183" s="871" t="str">
        <f>IFERROR(__xludf.DUMMYFUNCTION("IF(NOT($BL$4),"""",IF($CR183="""","""",IF($BC183="""","""",IFERROR(query({op.normal!$B$5:$F308},""select Col5, toDate(Col2) where Col1 =  '""&amp;$CR183&amp;""' and Col4 &gt; 0 and ((Col3 is null) or (Col3 = 'C')) and Col2 &gt;= date '""&amp;TEXT(TODAY()-$AQ$5,""yyyy-mm-dd"&amp;""")&amp;""' order by Col2 desc limit 1 label toDate(Col2) ''"")))))"),"")</f>
        <v/>
      </c>
      <c r="CM183" s="872"/>
      <c r="CN183" s="883" t="s">
        <v>123</v>
      </c>
      <c r="CO183" s="874" t="s">
        <v>123</v>
      </c>
      <c r="CP183" s="766"/>
      <c r="CQ183" s="791"/>
      <c r="CR183" s="791"/>
      <c r="CT183" s="791" t="s">
        <v>123</v>
      </c>
      <c r="CU183" s="791" t="str">
        <f>IFERROR(__xludf.DUMMYFUNCTION("IF(CR183="""","""",IF(CT183=$C$4,1,GOOGLEFINANCE(CT183&amp;$C$4)))"),"")</f>
        <v/>
      </c>
    </row>
    <row r="184" ht="22.5" customHeight="1">
      <c r="A184" s="837">
        <v>176.0</v>
      </c>
      <c r="B184" s="838" t="s">
        <v>123</v>
      </c>
      <c r="C184" s="838" t="s">
        <v>123</v>
      </c>
      <c r="D184" s="839" t="s">
        <v>123</v>
      </c>
      <c r="E184" s="839" t="s">
        <v>123</v>
      </c>
      <c r="F184" s="839" t="s">
        <v>123</v>
      </c>
      <c r="H184" s="884"/>
      <c r="I184" s="838"/>
      <c r="J184" s="838"/>
      <c r="K184" s="838"/>
      <c r="L184" s="838"/>
      <c r="M184" s="838"/>
      <c r="N184" s="838"/>
      <c r="O184" s="838"/>
      <c r="P184" s="838"/>
      <c r="Q184" s="838"/>
      <c r="R184" s="838"/>
      <c r="S184" s="838"/>
      <c r="T184" s="838"/>
      <c r="U184" s="838"/>
      <c r="V184" s="838"/>
      <c r="W184" s="838"/>
      <c r="X184" s="838"/>
      <c r="Z184" s="875" t="str">
        <f>IFERROR(__xludf.DUMMYFUNCTION("IF($CR184="""","""",IFERROR(query({CarteirasAtivos},""select Col4 where Col4 is not null and Col1 = '""&amp;$CR184&amp;""' limit 1"")*CU184,""NC""))"),"")</f>
        <v/>
      </c>
      <c r="AA184" s="876" t="str">
        <f>IFERROR(__xludf.DUMMYFUNCTION("IF($CR184="""","""",IFERROR(query({CarteirasAtivos},""select Col6 where Col4 is not null and Col1 = '""&amp;$CR184&amp;""' limit 1""),""NC""))"),"")</f>
        <v/>
      </c>
      <c r="AB184" s="877"/>
      <c r="AC184" s="878" t="s">
        <v>123</v>
      </c>
      <c r="AD184" s="845" t="str">
        <f>IF($CR184="","",IFERROR(VLOOKUP($CR184,ativos.!$C$3:$R308,MATCH("cotacao",ativos.!$C$2:CY$2,0),FALSE)*$CU$5,"atualizar"))</f>
        <v/>
      </c>
      <c r="AE184" s="846" t="str">
        <f>IFERROR(__xludf.DUMMYFUNCTION("IF($CR184="""","""",IFERROR(AVERAGE(query({CarteirasAtivos;CarteirasAtivosEncerrados},""select Col5 where Col5 is not null and Col1 = '""&amp;$CR184&amp;""' and Col10='SIM'""))*CU184,""NC""))"),"")</f>
        <v/>
      </c>
      <c r="AF184" s="847" t="str">
        <f t="shared" si="1"/>
        <v/>
      </c>
      <c r="AG184" s="442"/>
      <c r="AH184" s="848" t="str">
        <f>IFERROR(__xludf.DUMMYFUNCTION("IF($CR184="""","""",IFERROR(GOOGLEFINANCE($CR184,""low52"")*CU184,""-""))"),"")</f>
        <v/>
      </c>
      <c r="AI184" s="848" t="str">
        <f>IFERROR(__xludf.DUMMYFUNCTION("IF($CR184="""","""",IFERROR(GOOGLEFINANCE($CR184,""high52"")*CU184,""-""))"),"")</f>
        <v/>
      </c>
      <c r="AJ184" s="849" t="s">
        <v>123</v>
      </c>
      <c r="AK184" s="850" t="str">
        <f>IFERROR(__xludf.DUMMYFUNCTION("IF($CR184="""","""",IFERROR(GOOGLEFINANCE($CR184,""changepct"")/100,""-""))"),"")</f>
        <v/>
      </c>
      <c r="AL184" s="851" t="str">
        <f>IFERROR(__xludf.DUMMYFUNCTION("IF($CR184="""","""",IFERROR(($AD184/(QUERY(GOOGLEFINANCE($CR184,""price"",TODAY()-7),""SELECT Col2 label Col2 ''"")*$CU184)-1),""-""))"),"")</f>
        <v/>
      </c>
      <c r="AM184" s="851" t="str">
        <f>IFERROR(__xludf.DUMMYFUNCTION("IF($CR184="""","""",IFERROR(($AD184/(QUERY(GOOGLEFINANCE($CR184,""price"",TODAY()-14),""SELECT Col2 label Col2 ''"")*$CU184)-1),""-""))"),"")</f>
        <v/>
      </c>
      <c r="AN184" s="851" t="str">
        <f>IFERROR(__xludf.DUMMYFUNCTION("IF($CR184="""","""",IFERROR(($AD184/(QUERY(GOOGLEFINANCE($CR184,""price"",TODAY()-28),""SELECT Col2 label Col2 ''"")*$CU184)-1),""-""))"),"")</f>
        <v/>
      </c>
      <c r="AO184" s="851" t="str">
        <f>IFERROR(__xludf.DUMMYFUNCTION("IF($CR184="""","""",IFERROR(($AD184/(QUERY(GOOGLEFINANCE($CR184,""price"",TODAY()-$AQ$5),""SELECT Col2 label Col2 ''"")*$CU184)-1),""-""))"),"")</f>
        <v/>
      </c>
      <c r="AP184" s="852" t="str">
        <f>IFERROR(__xludf.DUMMYFUNCTION("IF($CR184="""","""",IFERROR(SPARKLINE(query(GOOGLEFINANCE($CR184,""price"",TODAY()-$AQ$5,TODAY(),1),""select Col2 label Col2 ''""),IF($AP$7=""Gráfico de barras"",{""charttype"",""column"";""highcolor"",""red""},{""chartype"",""line""}))))"),"")</f>
        <v/>
      </c>
      <c r="AQ184" s="144"/>
      <c r="AR184" s="853"/>
      <c r="AS184" s="854" t="str">
        <f>IF($CR184="","",IF(NOT('alocação'!$D$1),"off",IFERROR(VLOOKUP(CR184,BalanceAtivos,3,0),"NC")))</f>
        <v/>
      </c>
      <c r="AT184" s="855" t="str">
        <f>IF($CR184="","",IF(NOT('alocação'!$D$1),"off",IFERROR(VLOOKUP($CR184,BalanceAtivos,4,0)*$CU$5,"NC")))</f>
        <v/>
      </c>
      <c r="AU184" s="856" t="str">
        <f>IF($CR184="","",IF(NOT('alocação'!$D$1),"off",IFERROR(VLOOKUP($CR184,BalanceAtivos,5,0),"-")))</f>
        <v/>
      </c>
      <c r="AV184" s="856" t="str">
        <f>IF($CR184="","",IF(NOT('alocação'!$D$1),"off",IFERROR(VLOOKUP($CR184,BalanceAtivos,6,0),"-")))</f>
        <v/>
      </c>
      <c r="AW184" s="857"/>
      <c r="AX184" s="858" t="str">
        <f>IF($CR184="","",IF($E184="","SP",IFERROR(VLOOKUP($CR184,AtivosDados,MATCH("pm_atual",portfolio.!$A$3:CY$3,0),0)*$CU$5,0)))</f>
        <v/>
      </c>
      <c r="AY184" s="859" t="str">
        <f t="shared" si="2"/>
        <v/>
      </c>
      <c r="AZ184" s="858" t="str">
        <f>IF($CR184="","",IF($E184="","SP",SUMIF(portfolio.!$A$4:$A308,$CR184,portfolio.!$O$4:$O308)*$CU$5))</f>
        <v/>
      </c>
      <c r="BA184" s="858" t="str">
        <f>IF($CR184="","",IF($E184="","SP",SUMIF(portfolio.!$A$4:$A308,$CR184,portfolio.!$AN$4:$AN308)*$CU$5))</f>
        <v/>
      </c>
      <c r="BB184" s="860" t="str">
        <f>IF($CR184="","",IF($E184="","-",IFERROR($BA184/'portfólio'!$DG$63,"")))</f>
        <v/>
      </c>
      <c r="BC184" s="861" t="str">
        <f>IF($CR184="","",IF($E184="","-",SUMIF(portfolio.!$A$4:$A308,$CR184,portfolio.!$J$4:$J308)))</f>
        <v/>
      </c>
      <c r="BD184" s="862" t="str">
        <f>IF($CR184="","",IF($E184="","SP",SUMIF(portfolio.!$A$4:$A308,$CR184,portfolio.!$AQ$4:$AQ308)*$CU$5))</f>
        <v/>
      </c>
      <c r="BE184" s="850" t="str">
        <f t="shared" si="3"/>
        <v/>
      </c>
      <c r="BF184" s="862" t="str">
        <f>IF($CR184="","",IF($E184="","-",SUMIF(portfolio.!$A$4:$A308,$CR184,portfolio.!$AX$4:$AX308)*$CU$5))</f>
        <v/>
      </c>
      <c r="BG184" s="545"/>
      <c r="BH184" s="879" t="s">
        <v>123</v>
      </c>
      <c r="BI184" s="880" t="s">
        <v>123</v>
      </c>
      <c r="BJ184" s="863" t="str">
        <f>IFERROR(__xludf.DUMMYFUNCTION("IF(NOT($BL$4),"""",IF($CR184="""","""",IFERROR(query({GOOGLEFINANCE($CR184,""price"",IF($BI184=""-"",TODAY()-($AQ$5+5),$BI184),TODAY()-1)},""Select max(Col2) where Col1 is not null label max(Col2) ''"")*CU184,""-"")))"),"")</f>
        <v/>
      </c>
      <c r="BK184" s="881" t="s">
        <v>123</v>
      </c>
      <c r="BL184" s="882" t="s">
        <v>123</v>
      </c>
      <c r="BM184" s="442"/>
      <c r="BN184" s="867" t="str">
        <f>IFERROR(__xludf.DUMMYFUNCTION("IF(CR184="""","""",IF(OR(C184=""AÇÃO"",C184=""BDR""),IFERROR(QUERY({fundamentus.!$A$3:$U308},$CX$67&amp;"" where Col1='""&amp;CR184&amp;""' limit 1"",0)),IF(C184=""FII"",IFERROR(QUERY({fundsexplorer.!$A$2:$Z308},$CY$67&amp;"" where Col1='""&amp;CR184&amp;""' limit 1"",0)),""""))"&amp;")"),"")</f>
        <v/>
      </c>
      <c r="BO184" s="867"/>
      <c r="BP184" s="867"/>
      <c r="BQ184" s="867"/>
      <c r="BR184" s="867"/>
      <c r="BS184" s="867"/>
      <c r="BT184" s="867"/>
      <c r="BU184" s="442"/>
      <c r="BV184" s="868" t="str">
        <f>IFERROR(__xludf.DUMMYFUNCTION("IF(OR(C184=""AÇÃO"",C184=""BDR""),IFERROR(GOOGLEFINANCE(CONCAT(""BVMF:"",CR184), ""marketcap"")/1000000,""NC""),"""")"),"")</f>
        <v/>
      </c>
      <c r="BW184" s="869" t="s">
        <v>123</v>
      </c>
      <c r="BX184" s="870" t="s">
        <v>123</v>
      </c>
      <c r="BY184" s="868" t="s">
        <v>123</v>
      </c>
      <c r="BZ184" s="870" t="s">
        <v>123</v>
      </c>
      <c r="CA184" s="868" t="s">
        <v>123</v>
      </c>
      <c r="CB184" s="868" t="s">
        <v>123</v>
      </c>
      <c r="CC184" s="868" t="s">
        <v>123</v>
      </c>
      <c r="CD184" s="868" t="str">
        <f>IFERROR(__xludf.DUMMYFUNCTION("IF(OR(C184=""AÇÃO"",C184=""BDR""),IFERROR(GOOGLEFINANCE(CONCAT(""BVMF:"",CR184), ""volumeavg"")/1000000,""NC""),"""")"),"")</f>
        <v/>
      </c>
      <c r="CE184" s="870" t="s">
        <v>123</v>
      </c>
      <c r="CF184" s="870" t="s">
        <v>123</v>
      </c>
      <c r="CG184" s="870" t="str">
        <f>IFERROR(__xludf.DUMMYFUNCTION("IF(OR(C184=""AÇÃO"",C184=""BDR""),IF(CF184=0,""SEM DY"",IFERROR(ImportXML(CONCAT(""http://www.guiainvest.com.br/raiox/default.aspx?sigla="",$CR184),""//*[@id='lbPayoutAtual']""),""NC"")),"""")"),"")</f>
        <v/>
      </c>
      <c r="CH184" s="870" t="s">
        <v>123</v>
      </c>
      <c r="CI184" s="545"/>
      <c r="CJ184" s="871" t="str">
        <f>IFERROR(__xludf.DUMMYFUNCTION("IF(OR(C184=""AÇÃO"",C184=""BDR""),IFERROR(GOOGLEFINANCE(CONCAT(""BVMF:"",CR184), ""eps""),""NC""),"""")"),"")</f>
        <v/>
      </c>
      <c r="CK184" s="442"/>
      <c r="CL184" s="871" t="str">
        <f>IFERROR(__xludf.DUMMYFUNCTION("IF(NOT($BL$4),"""",IF($CR184="""","""",IF($BC184="""","""",IFERROR(query({op.normal!$B$5:$F308},""select Col5, toDate(Col2) where Col1 =  '""&amp;$CR184&amp;""' and Col4 &gt; 0 and ((Col3 is null) or (Col3 = 'C')) and Col2 &gt;= date '""&amp;TEXT(TODAY()-$AQ$5,""yyyy-mm-dd"&amp;""")&amp;""' order by Col2 desc limit 1 label toDate(Col2) ''"")))))"),"")</f>
        <v/>
      </c>
      <c r="CM184" s="872"/>
      <c r="CN184" s="883" t="s">
        <v>123</v>
      </c>
      <c r="CO184" s="874" t="s">
        <v>123</v>
      </c>
      <c r="CP184" s="766"/>
      <c r="CQ184" s="791"/>
      <c r="CR184" s="791"/>
      <c r="CT184" s="791" t="s">
        <v>123</v>
      </c>
      <c r="CU184" s="791" t="str">
        <f>IFERROR(__xludf.DUMMYFUNCTION("IF(CR184="""","""",IF(CT184=$C$4,1,GOOGLEFINANCE(CT184&amp;$C$4)))"),"")</f>
        <v/>
      </c>
    </row>
    <row r="185" ht="22.5" customHeight="1">
      <c r="A185" s="837">
        <v>177.0</v>
      </c>
      <c r="B185" s="838" t="s">
        <v>123</v>
      </c>
      <c r="C185" s="838" t="s">
        <v>123</v>
      </c>
      <c r="D185" s="839" t="s">
        <v>123</v>
      </c>
      <c r="E185" s="839" t="s">
        <v>123</v>
      </c>
      <c r="F185" s="839" t="s">
        <v>123</v>
      </c>
      <c r="H185" s="884"/>
      <c r="I185" s="838"/>
      <c r="J185" s="838"/>
      <c r="K185" s="838"/>
      <c r="L185" s="838"/>
      <c r="M185" s="838"/>
      <c r="N185" s="838"/>
      <c r="O185" s="838"/>
      <c r="P185" s="838"/>
      <c r="Q185" s="838"/>
      <c r="R185" s="838"/>
      <c r="S185" s="838"/>
      <c r="T185" s="838"/>
      <c r="U185" s="838"/>
      <c r="V185" s="838"/>
      <c r="W185" s="838"/>
      <c r="X185" s="838"/>
      <c r="Z185" s="875" t="str">
        <f>IFERROR(__xludf.DUMMYFUNCTION("IF($CR185="""","""",IFERROR(query({CarteirasAtivos},""select Col4 where Col4 is not null and Col1 = '""&amp;$CR185&amp;""' limit 1"")*CU185,""NC""))"),"")</f>
        <v/>
      </c>
      <c r="AA185" s="876" t="str">
        <f>IFERROR(__xludf.DUMMYFUNCTION("IF($CR185="""","""",IFERROR(query({CarteirasAtivos},""select Col6 where Col4 is not null and Col1 = '""&amp;$CR185&amp;""' limit 1""),""NC""))"),"")</f>
        <v/>
      </c>
      <c r="AB185" s="877"/>
      <c r="AC185" s="878" t="s">
        <v>123</v>
      </c>
      <c r="AD185" s="845" t="str">
        <f>IF($CR185="","",IFERROR(VLOOKUP($CR185,ativos.!$C$3:$R308,MATCH("cotacao",ativos.!$C$2:CY$2,0),FALSE)*$CU$5,"atualizar"))</f>
        <v/>
      </c>
      <c r="AE185" s="846" t="str">
        <f>IFERROR(__xludf.DUMMYFUNCTION("IF($CR185="""","""",IFERROR(AVERAGE(query({CarteirasAtivos;CarteirasAtivosEncerrados},""select Col5 where Col5 is not null and Col1 = '""&amp;$CR185&amp;""' and Col10='SIM'""))*CU185,""NC""))"),"")</f>
        <v/>
      </c>
      <c r="AF185" s="847" t="str">
        <f t="shared" si="1"/>
        <v/>
      </c>
      <c r="AG185" s="442"/>
      <c r="AH185" s="848" t="str">
        <f>IFERROR(__xludf.DUMMYFUNCTION("IF($CR185="""","""",IFERROR(GOOGLEFINANCE($CR185,""low52"")*CU185,""-""))"),"")</f>
        <v/>
      </c>
      <c r="AI185" s="848" t="str">
        <f>IFERROR(__xludf.DUMMYFUNCTION("IF($CR185="""","""",IFERROR(GOOGLEFINANCE($CR185,""high52"")*CU185,""-""))"),"")</f>
        <v/>
      </c>
      <c r="AJ185" s="849" t="s">
        <v>123</v>
      </c>
      <c r="AK185" s="850" t="str">
        <f>IFERROR(__xludf.DUMMYFUNCTION("IF($CR185="""","""",IFERROR(GOOGLEFINANCE($CR185,""changepct"")/100,""-""))"),"")</f>
        <v/>
      </c>
      <c r="AL185" s="851" t="str">
        <f>IFERROR(__xludf.DUMMYFUNCTION("IF($CR185="""","""",IFERROR(($AD185/(QUERY(GOOGLEFINANCE($CR185,""price"",TODAY()-7),""SELECT Col2 label Col2 ''"")*$CU185)-1),""-""))"),"")</f>
        <v/>
      </c>
      <c r="AM185" s="851" t="str">
        <f>IFERROR(__xludf.DUMMYFUNCTION("IF($CR185="""","""",IFERROR(($AD185/(QUERY(GOOGLEFINANCE($CR185,""price"",TODAY()-14),""SELECT Col2 label Col2 ''"")*$CU185)-1),""-""))"),"")</f>
        <v/>
      </c>
      <c r="AN185" s="851" t="str">
        <f>IFERROR(__xludf.DUMMYFUNCTION("IF($CR185="""","""",IFERROR(($AD185/(QUERY(GOOGLEFINANCE($CR185,""price"",TODAY()-28),""SELECT Col2 label Col2 ''"")*$CU185)-1),""-""))"),"")</f>
        <v/>
      </c>
      <c r="AO185" s="851" t="str">
        <f>IFERROR(__xludf.DUMMYFUNCTION("IF($CR185="""","""",IFERROR(($AD185/(QUERY(GOOGLEFINANCE($CR185,""price"",TODAY()-$AQ$5),""SELECT Col2 label Col2 ''"")*$CU185)-1),""-""))"),"")</f>
        <v/>
      </c>
      <c r="AP185" s="852" t="str">
        <f>IFERROR(__xludf.DUMMYFUNCTION("IF($CR185="""","""",IFERROR(SPARKLINE(query(GOOGLEFINANCE($CR185,""price"",TODAY()-$AQ$5,TODAY(),1),""select Col2 label Col2 ''""),IF($AP$7=""Gráfico de barras"",{""charttype"",""column"";""highcolor"",""red""},{""chartype"",""line""}))))"),"")</f>
        <v/>
      </c>
      <c r="AQ185" s="144"/>
      <c r="AR185" s="853"/>
      <c r="AS185" s="854" t="str">
        <f>IF($CR185="","",IF(NOT('alocação'!$D$1),"off",IFERROR(VLOOKUP(CR185,BalanceAtivos,3,0),"NC")))</f>
        <v/>
      </c>
      <c r="AT185" s="855" t="str">
        <f>IF($CR185="","",IF(NOT('alocação'!$D$1),"off",IFERROR(VLOOKUP($CR185,BalanceAtivos,4,0)*$CU$5,"NC")))</f>
        <v/>
      </c>
      <c r="AU185" s="856" t="str">
        <f>IF($CR185="","",IF(NOT('alocação'!$D$1),"off",IFERROR(VLOOKUP($CR185,BalanceAtivos,5,0),"-")))</f>
        <v/>
      </c>
      <c r="AV185" s="856" t="str">
        <f>IF($CR185="","",IF(NOT('alocação'!$D$1),"off",IFERROR(VLOOKUP($CR185,BalanceAtivos,6,0),"-")))</f>
        <v/>
      </c>
      <c r="AW185" s="857"/>
      <c r="AX185" s="858" t="str">
        <f>IF($CR185="","",IF($E185="","SP",IFERROR(VLOOKUP($CR185,AtivosDados,MATCH("pm_atual",portfolio.!$A$3:CY$3,0),0)*$CU$5,0)))</f>
        <v/>
      </c>
      <c r="AY185" s="859" t="str">
        <f t="shared" si="2"/>
        <v/>
      </c>
      <c r="AZ185" s="858" t="str">
        <f>IF($CR185="","",IF($E185="","SP",SUMIF(portfolio.!$A$4:$A308,$CR185,portfolio.!$O$4:$O308)*$CU$5))</f>
        <v/>
      </c>
      <c r="BA185" s="858" t="str">
        <f>IF($CR185="","",IF($E185="","SP",SUMIF(portfolio.!$A$4:$A308,$CR185,portfolio.!$AN$4:$AN308)*$CU$5))</f>
        <v/>
      </c>
      <c r="BB185" s="860" t="str">
        <f>IF($CR185="","",IF($E185="","-",IFERROR($BA185/'portfólio'!$DG$63,"")))</f>
        <v/>
      </c>
      <c r="BC185" s="861" t="str">
        <f>IF($CR185="","",IF($E185="","-",SUMIF(portfolio.!$A$4:$A308,$CR185,portfolio.!$J$4:$J308)))</f>
        <v/>
      </c>
      <c r="BD185" s="862" t="str">
        <f>IF($CR185="","",IF($E185="","SP",SUMIF(portfolio.!$A$4:$A308,$CR185,portfolio.!$AQ$4:$AQ308)*$CU$5))</f>
        <v/>
      </c>
      <c r="BE185" s="850" t="str">
        <f t="shared" si="3"/>
        <v/>
      </c>
      <c r="BF185" s="862" t="str">
        <f>IF($CR185="","",IF($E185="","-",SUMIF(portfolio.!$A$4:$A308,$CR185,portfolio.!$AX$4:$AX308)*$CU$5))</f>
        <v/>
      </c>
      <c r="BG185" s="545"/>
      <c r="BH185" s="879" t="s">
        <v>123</v>
      </c>
      <c r="BI185" s="880" t="s">
        <v>123</v>
      </c>
      <c r="BJ185" s="863" t="str">
        <f>IFERROR(__xludf.DUMMYFUNCTION("IF(NOT($BL$4),"""",IF($CR185="""","""",IFERROR(query({GOOGLEFINANCE($CR185,""price"",IF($BI185=""-"",TODAY()-($AQ$5+5),$BI185),TODAY()-1)},""Select max(Col2) where Col1 is not null label max(Col2) ''"")*CU185,""-"")))"),"")</f>
        <v/>
      </c>
      <c r="BK185" s="881" t="s">
        <v>123</v>
      </c>
      <c r="BL185" s="882" t="s">
        <v>123</v>
      </c>
      <c r="BM185" s="442"/>
      <c r="BN185" s="867" t="str">
        <f>IFERROR(__xludf.DUMMYFUNCTION("IF(CR185="""","""",IF(OR(C185=""AÇÃO"",C185=""BDR""),IFERROR(QUERY({fundamentus.!$A$3:$U308},$CX$67&amp;"" where Col1='""&amp;CR185&amp;""' limit 1"",0)),IF(C185=""FII"",IFERROR(QUERY({fundsexplorer.!$A$2:$Z308},$CY$67&amp;"" where Col1='""&amp;CR185&amp;""' limit 1"",0)),""""))"&amp;")"),"")</f>
        <v/>
      </c>
      <c r="BO185" s="867"/>
      <c r="BP185" s="867"/>
      <c r="BQ185" s="867"/>
      <c r="BR185" s="867"/>
      <c r="BS185" s="867"/>
      <c r="BT185" s="867"/>
      <c r="BU185" s="442"/>
      <c r="BV185" s="868" t="str">
        <f>IFERROR(__xludf.DUMMYFUNCTION("IF(OR(C185=""AÇÃO"",C185=""BDR""),IFERROR(GOOGLEFINANCE(CONCAT(""BVMF:"",CR185), ""marketcap"")/1000000,""NC""),"""")"),"")</f>
        <v/>
      </c>
      <c r="BW185" s="869" t="s">
        <v>123</v>
      </c>
      <c r="BX185" s="870" t="s">
        <v>123</v>
      </c>
      <c r="BY185" s="868" t="s">
        <v>123</v>
      </c>
      <c r="BZ185" s="870" t="s">
        <v>123</v>
      </c>
      <c r="CA185" s="868" t="s">
        <v>123</v>
      </c>
      <c r="CB185" s="868" t="s">
        <v>123</v>
      </c>
      <c r="CC185" s="868" t="s">
        <v>123</v>
      </c>
      <c r="CD185" s="868" t="str">
        <f>IFERROR(__xludf.DUMMYFUNCTION("IF(OR(C185=""AÇÃO"",C185=""BDR""),IFERROR(GOOGLEFINANCE(CONCAT(""BVMF:"",CR185), ""volumeavg"")/1000000,""NC""),"""")"),"")</f>
        <v/>
      </c>
      <c r="CE185" s="870" t="s">
        <v>123</v>
      </c>
      <c r="CF185" s="870" t="s">
        <v>123</v>
      </c>
      <c r="CG185" s="870" t="str">
        <f>IFERROR(__xludf.DUMMYFUNCTION("IF(OR(C185=""AÇÃO"",C185=""BDR""),IF(CF185=0,""SEM DY"",IFERROR(ImportXML(CONCAT(""http://www.guiainvest.com.br/raiox/default.aspx?sigla="",$CR185),""//*[@id='lbPayoutAtual']""),""NC"")),"""")"),"")</f>
        <v/>
      </c>
      <c r="CH185" s="870" t="s">
        <v>123</v>
      </c>
      <c r="CI185" s="545"/>
      <c r="CJ185" s="871" t="str">
        <f>IFERROR(__xludf.DUMMYFUNCTION("IF(OR(C185=""AÇÃO"",C185=""BDR""),IFERROR(GOOGLEFINANCE(CONCAT(""BVMF:"",CR185), ""eps""),""NC""),"""")"),"")</f>
        <v/>
      </c>
      <c r="CK185" s="442"/>
      <c r="CL185" s="871" t="str">
        <f>IFERROR(__xludf.DUMMYFUNCTION("IF(NOT($BL$4),"""",IF($CR185="""","""",IF($BC185="""","""",IFERROR(query({op.normal!$B$5:$F308},""select Col5, toDate(Col2) where Col1 =  '""&amp;$CR185&amp;""' and Col4 &gt; 0 and ((Col3 is null) or (Col3 = 'C')) and Col2 &gt;= date '""&amp;TEXT(TODAY()-$AQ$5,""yyyy-mm-dd"&amp;""")&amp;""' order by Col2 desc limit 1 label toDate(Col2) ''"")))))"),"")</f>
        <v/>
      </c>
      <c r="CM185" s="872"/>
      <c r="CN185" s="883" t="s">
        <v>123</v>
      </c>
      <c r="CO185" s="874" t="s">
        <v>123</v>
      </c>
      <c r="CP185" s="766"/>
      <c r="CQ185" s="791"/>
      <c r="CR185" s="791"/>
      <c r="CT185" s="791" t="s">
        <v>123</v>
      </c>
      <c r="CU185" s="791" t="str">
        <f>IFERROR(__xludf.DUMMYFUNCTION("IF(CR185="""","""",IF(CT185=$C$4,1,GOOGLEFINANCE(CT185&amp;$C$4)))"),"")</f>
        <v/>
      </c>
    </row>
    <row r="186" ht="22.5" customHeight="1">
      <c r="A186" s="837">
        <v>178.0</v>
      </c>
      <c r="B186" s="838" t="s">
        <v>123</v>
      </c>
      <c r="C186" s="838" t="s">
        <v>123</v>
      </c>
      <c r="D186" s="839" t="s">
        <v>123</v>
      </c>
      <c r="E186" s="839" t="s">
        <v>123</v>
      </c>
      <c r="F186" s="839" t="s">
        <v>123</v>
      </c>
      <c r="H186" s="884"/>
      <c r="I186" s="838"/>
      <c r="J186" s="838"/>
      <c r="K186" s="838"/>
      <c r="L186" s="838"/>
      <c r="M186" s="838"/>
      <c r="N186" s="838"/>
      <c r="O186" s="838"/>
      <c r="P186" s="838"/>
      <c r="Q186" s="838"/>
      <c r="R186" s="838"/>
      <c r="S186" s="838"/>
      <c r="T186" s="838"/>
      <c r="U186" s="838"/>
      <c r="V186" s="838"/>
      <c r="W186" s="838"/>
      <c r="X186" s="838"/>
      <c r="Z186" s="875" t="str">
        <f>IFERROR(__xludf.DUMMYFUNCTION("IF($CR186="""","""",IFERROR(query({CarteirasAtivos},""select Col4 where Col4 is not null and Col1 = '""&amp;$CR186&amp;""' limit 1"")*CU186,""NC""))"),"")</f>
        <v/>
      </c>
      <c r="AA186" s="876" t="str">
        <f>IFERROR(__xludf.DUMMYFUNCTION("IF($CR186="""","""",IFERROR(query({CarteirasAtivos},""select Col6 where Col4 is not null and Col1 = '""&amp;$CR186&amp;""' limit 1""),""NC""))"),"")</f>
        <v/>
      </c>
      <c r="AB186" s="877"/>
      <c r="AC186" s="878" t="s">
        <v>123</v>
      </c>
      <c r="AD186" s="845" t="str">
        <f>IF($CR186="","",IFERROR(VLOOKUP($CR186,ativos.!$C$3:$R308,MATCH("cotacao",ativos.!$C$2:CY$2,0),FALSE)*$CU$5,"atualizar"))</f>
        <v/>
      </c>
      <c r="AE186" s="846" t="str">
        <f>IFERROR(__xludf.DUMMYFUNCTION("IF($CR186="""","""",IFERROR(AVERAGE(query({CarteirasAtivos;CarteirasAtivosEncerrados},""select Col5 where Col5 is not null and Col1 = '""&amp;$CR186&amp;""' and Col10='SIM'""))*CU186,""NC""))"),"")</f>
        <v/>
      </c>
      <c r="AF186" s="847" t="str">
        <f t="shared" si="1"/>
        <v/>
      </c>
      <c r="AG186" s="442"/>
      <c r="AH186" s="848" t="str">
        <f>IFERROR(__xludf.DUMMYFUNCTION("IF($CR186="""","""",IFERROR(GOOGLEFINANCE($CR186,""low52"")*CU186,""-""))"),"")</f>
        <v/>
      </c>
      <c r="AI186" s="848" t="str">
        <f>IFERROR(__xludf.DUMMYFUNCTION("IF($CR186="""","""",IFERROR(GOOGLEFINANCE($CR186,""high52"")*CU186,""-""))"),"")</f>
        <v/>
      </c>
      <c r="AJ186" s="849" t="s">
        <v>123</v>
      </c>
      <c r="AK186" s="850" t="str">
        <f>IFERROR(__xludf.DUMMYFUNCTION("IF($CR186="""","""",IFERROR(GOOGLEFINANCE($CR186,""changepct"")/100,""-""))"),"")</f>
        <v/>
      </c>
      <c r="AL186" s="851" t="str">
        <f>IFERROR(__xludf.DUMMYFUNCTION("IF($CR186="""","""",IFERROR(($AD186/(QUERY(GOOGLEFINANCE($CR186,""price"",TODAY()-7),""SELECT Col2 label Col2 ''"")*$CU186)-1),""-""))"),"")</f>
        <v/>
      </c>
      <c r="AM186" s="851" t="str">
        <f>IFERROR(__xludf.DUMMYFUNCTION("IF($CR186="""","""",IFERROR(($AD186/(QUERY(GOOGLEFINANCE($CR186,""price"",TODAY()-14),""SELECT Col2 label Col2 ''"")*$CU186)-1),""-""))"),"")</f>
        <v/>
      </c>
      <c r="AN186" s="851" t="str">
        <f>IFERROR(__xludf.DUMMYFUNCTION("IF($CR186="""","""",IFERROR(($AD186/(QUERY(GOOGLEFINANCE($CR186,""price"",TODAY()-28),""SELECT Col2 label Col2 ''"")*$CU186)-1),""-""))"),"")</f>
        <v/>
      </c>
      <c r="AO186" s="851" t="str">
        <f>IFERROR(__xludf.DUMMYFUNCTION("IF($CR186="""","""",IFERROR(($AD186/(QUERY(GOOGLEFINANCE($CR186,""price"",TODAY()-$AQ$5),""SELECT Col2 label Col2 ''"")*$CU186)-1),""-""))"),"")</f>
        <v/>
      </c>
      <c r="AP186" s="852" t="str">
        <f>IFERROR(__xludf.DUMMYFUNCTION("IF($CR186="""","""",IFERROR(SPARKLINE(query(GOOGLEFINANCE($CR186,""price"",TODAY()-$AQ$5,TODAY(),1),""select Col2 label Col2 ''""),IF($AP$7=""Gráfico de barras"",{""charttype"",""column"";""highcolor"",""red""},{""chartype"",""line""}))))"),"")</f>
        <v/>
      </c>
      <c r="AQ186" s="144"/>
      <c r="AR186" s="853"/>
      <c r="AS186" s="854" t="str">
        <f>IF($CR186="","",IF(NOT('alocação'!$D$1),"off",IFERROR(VLOOKUP(CR186,BalanceAtivos,3,0),"NC")))</f>
        <v/>
      </c>
      <c r="AT186" s="855" t="str">
        <f>IF($CR186="","",IF(NOT('alocação'!$D$1),"off",IFERROR(VLOOKUP($CR186,BalanceAtivos,4,0)*$CU$5,"NC")))</f>
        <v/>
      </c>
      <c r="AU186" s="856" t="str">
        <f>IF($CR186="","",IF(NOT('alocação'!$D$1),"off",IFERROR(VLOOKUP($CR186,BalanceAtivos,5,0),"-")))</f>
        <v/>
      </c>
      <c r="AV186" s="856" t="str">
        <f>IF($CR186="","",IF(NOT('alocação'!$D$1),"off",IFERROR(VLOOKUP($CR186,BalanceAtivos,6,0),"-")))</f>
        <v/>
      </c>
      <c r="AW186" s="857"/>
      <c r="AX186" s="858" t="str">
        <f>IF($CR186="","",IF($E186="","SP",IFERROR(VLOOKUP($CR186,AtivosDados,MATCH("pm_atual",portfolio.!$A$3:CY$3,0),0)*$CU$5,0)))</f>
        <v/>
      </c>
      <c r="AY186" s="859" t="str">
        <f t="shared" si="2"/>
        <v/>
      </c>
      <c r="AZ186" s="858" t="str">
        <f>IF($CR186="","",IF($E186="","SP",SUMIF(portfolio.!$A$4:$A308,$CR186,portfolio.!$O$4:$O308)*$CU$5))</f>
        <v/>
      </c>
      <c r="BA186" s="858" t="str">
        <f>IF($CR186="","",IF($E186="","SP",SUMIF(portfolio.!$A$4:$A308,$CR186,portfolio.!$AN$4:$AN308)*$CU$5))</f>
        <v/>
      </c>
      <c r="BB186" s="860" t="str">
        <f>IF($CR186="","",IF($E186="","-",IFERROR($BA186/'portfólio'!$DG$63,"")))</f>
        <v/>
      </c>
      <c r="BC186" s="861" t="str">
        <f>IF($CR186="","",IF($E186="","-",SUMIF(portfolio.!$A$4:$A308,$CR186,portfolio.!$J$4:$J308)))</f>
        <v/>
      </c>
      <c r="BD186" s="862" t="str">
        <f>IF($CR186="","",IF($E186="","SP",SUMIF(portfolio.!$A$4:$A308,$CR186,portfolio.!$AQ$4:$AQ308)*$CU$5))</f>
        <v/>
      </c>
      <c r="BE186" s="850" t="str">
        <f t="shared" si="3"/>
        <v/>
      </c>
      <c r="BF186" s="862" t="str">
        <f>IF($CR186="","",IF($E186="","-",SUMIF(portfolio.!$A$4:$A308,$CR186,portfolio.!$AX$4:$AX308)*$CU$5))</f>
        <v/>
      </c>
      <c r="BG186" s="545"/>
      <c r="BH186" s="879" t="s">
        <v>123</v>
      </c>
      <c r="BI186" s="880" t="s">
        <v>123</v>
      </c>
      <c r="BJ186" s="863" t="str">
        <f>IFERROR(__xludf.DUMMYFUNCTION("IF(NOT($BL$4),"""",IF($CR186="""","""",IFERROR(query({GOOGLEFINANCE($CR186,""price"",IF($BI186=""-"",TODAY()-($AQ$5+5),$BI186),TODAY()-1)},""Select max(Col2) where Col1 is not null label max(Col2) ''"")*CU186,""-"")))"),"")</f>
        <v/>
      </c>
      <c r="BK186" s="881" t="s">
        <v>123</v>
      </c>
      <c r="BL186" s="882" t="s">
        <v>123</v>
      </c>
      <c r="BM186" s="442"/>
      <c r="BN186" s="867" t="str">
        <f>IFERROR(__xludf.DUMMYFUNCTION("IF(CR186="""","""",IF(OR(C186=""AÇÃO"",C186=""BDR""),IFERROR(QUERY({fundamentus.!$A$3:$U308},$CX$67&amp;"" where Col1='""&amp;CR186&amp;""' limit 1"",0)),IF(C186=""FII"",IFERROR(QUERY({fundsexplorer.!$A$2:$Z308},$CY$67&amp;"" where Col1='""&amp;CR186&amp;""' limit 1"",0)),""""))"&amp;")"),"")</f>
        <v/>
      </c>
      <c r="BO186" s="867"/>
      <c r="BP186" s="867"/>
      <c r="BQ186" s="867"/>
      <c r="BR186" s="867"/>
      <c r="BS186" s="867"/>
      <c r="BT186" s="867"/>
      <c r="BU186" s="442"/>
      <c r="BV186" s="868" t="str">
        <f>IFERROR(__xludf.DUMMYFUNCTION("IF(OR(C186=""AÇÃO"",C186=""BDR""),IFERROR(GOOGLEFINANCE(CONCAT(""BVMF:"",CR186), ""marketcap"")/1000000,""NC""),"""")"),"")</f>
        <v/>
      </c>
      <c r="BW186" s="869" t="s">
        <v>123</v>
      </c>
      <c r="BX186" s="870" t="s">
        <v>123</v>
      </c>
      <c r="BY186" s="868" t="s">
        <v>123</v>
      </c>
      <c r="BZ186" s="870" t="s">
        <v>123</v>
      </c>
      <c r="CA186" s="868" t="s">
        <v>123</v>
      </c>
      <c r="CB186" s="868" t="s">
        <v>123</v>
      </c>
      <c r="CC186" s="868" t="s">
        <v>123</v>
      </c>
      <c r="CD186" s="868" t="str">
        <f>IFERROR(__xludf.DUMMYFUNCTION("IF(OR(C186=""AÇÃO"",C186=""BDR""),IFERROR(GOOGLEFINANCE(CONCAT(""BVMF:"",CR186), ""volumeavg"")/1000000,""NC""),"""")"),"")</f>
        <v/>
      </c>
      <c r="CE186" s="870" t="s">
        <v>123</v>
      </c>
      <c r="CF186" s="870" t="s">
        <v>123</v>
      </c>
      <c r="CG186" s="870" t="str">
        <f>IFERROR(__xludf.DUMMYFUNCTION("IF(OR(C186=""AÇÃO"",C186=""BDR""),IF(CF186=0,""SEM DY"",IFERROR(ImportXML(CONCAT(""http://www.guiainvest.com.br/raiox/default.aspx?sigla="",$CR186),""//*[@id='lbPayoutAtual']""),""NC"")),"""")"),"")</f>
        <v/>
      </c>
      <c r="CH186" s="870" t="s">
        <v>123</v>
      </c>
      <c r="CI186" s="545"/>
      <c r="CJ186" s="871" t="str">
        <f>IFERROR(__xludf.DUMMYFUNCTION("IF(OR(C186=""AÇÃO"",C186=""BDR""),IFERROR(GOOGLEFINANCE(CONCAT(""BVMF:"",CR186), ""eps""),""NC""),"""")"),"")</f>
        <v/>
      </c>
      <c r="CK186" s="442"/>
      <c r="CL186" s="871" t="str">
        <f>IFERROR(__xludf.DUMMYFUNCTION("IF(NOT($BL$4),"""",IF($CR186="""","""",IF($BC186="""","""",IFERROR(query({op.normal!$B$5:$F308},""select Col5, toDate(Col2) where Col1 =  '""&amp;$CR186&amp;""' and Col4 &gt; 0 and ((Col3 is null) or (Col3 = 'C')) and Col2 &gt;= date '""&amp;TEXT(TODAY()-$AQ$5,""yyyy-mm-dd"&amp;""")&amp;""' order by Col2 desc limit 1 label toDate(Col2) ''"")))))"),"")</f>
        <v/>
      </c>
      <c r="CM186" s="872"/>
      <c r="CN186" s="883" t="s">
        <v>123</v>
      </c>
      <c r="CO186" s="874" t="s">
        <v>123</v>
      </c>
      <c r="CP186" s="766"/>
      <c r="CQ186" s="791"/>
      <c r="CR186" s="791"/>
      <c r="CT186" s="791" t="s">
        <v>123</v>
      </c>
      <c r="CU186" s="791" t="str">
        <f>IFERROR(__xludf.DUMMYFUNCTION("IF(CR186="""","""",IF(CT186=$C$4,1,GOOGLEFINANCE(CT186&amp;$C$4)))"),"")</f>
        <v/>
      </c>
    </row>
    <row r="187" ht="22.5" customHeight="1">
      <c r="A187" s="837">
        <v>179.0</v>
      </c>
      <c r="B187" s="838" t="s">
        <v>123</v>
      </c>
      <c r="C187" s="838" t="s">
        <v>123</v>
      </c>
      <c r="D187" s="839" t="s">
        <v>123</v>
      </c>
      <c r="E187" s="839" t="s">
        <v>123</v>
      </c>
      <c r="F187" s="839" t="s">
        <v>123</v>
      </c>
      <c r="H187" s="884"/>
      <c r="I187" s="838"/>
      <c r="J187" s="838"/>
      <c r="K187" s="838"/>
      <c r="L187" s="838"/>
      <c r="M187" s="838"/>
      <c r="N187" s="838"/>
      <c r="O187" s="838"/>
      <c r="P187" s="838"/>
      <c r="Q187" s="838"/>
      <c r="R187" s="838"/>
      <c r="S187" s="838"/>
      <c r="T187" s="838"/>
      <c r="U187" s="838"/>
      <c r="V187" s="838"/>
      <c r="W187" s="838"/>
      <c r="X187" s="838"/>
      <c r="Z187" s="875" t="str">
        <f>IFERROR(__xludf.DUMMYFUNCTION("IF($CR187="""","""",IFERROR(query({CarteirasAtivos},""select Col4 where Col4 is not null and Col1 = '""&amp;$CR187&amp;""' limit 1"")*CU187,""NC""))"),"")</f>
        <v/>
      </c>
      <c r="AA187" s="876" t="str">
        <f>IFERROR(__xludf.DUMMYFUNCTION("IF($CR187="""","""",IFERROR(query({CarteirasAtivos},""select Col6 where Col4 is not null and Col1 = '""&amp;$CR187&amp;""' limit 1""),""NC""))"),"")</f>
        <v/>
      </c>
      <c r="AB187" s="877"/>
      <c r="AC187" s="878" t="s">
        <v>123</v>
      </c>
      <c r="AD187" s="845" t="str">
        <f>IF($CR187="","",IFERROR(VLOOKUP($CR187,ativos.!$C$3:$R308,MATCH("cotacao",ativos.!$C$2:CY$2,0),FALSE)*$CU$5,"atualizar"))</f>
        <v/>
      </c>
      <c r="AE187" s="846" t="str">
        <f>IFERROR(__xludf.DUMMYFUNCTION("IF($CR187="""","""",IFERROR(AVERAGE(query({CarteirasAtivos;CarteirasAtivosEncerrados},""select Col5 where Col5 is not null and Col1 = '""&amp;$CR187&amp;""' and Col10='SIM'""))*CU187,""NC""))"),"")</f>
        <v/>
      </c>
      <c r="AF187" s="847" t="str">
        <f t="shared" si="1"/>
        <v/>
      </c>
      <c r="AG187" s="442"/>
      <c r="AH187" s="848" t="str">
        <f>IFERROR(__xludf.DUMMYFUNCTION("IF($CR187="""","""",IFERROR(GOOGLEFINANCE($CR187,""low52"")*CU187,""-""))"),"")</f>
        <v/>
      </c>
      <c r="AI187" s="848" t="str">
        <f>IFERROR(__xludf.DUMMYFUNCTION("IF($CR187="""","""",IFERROR(GOOGLEFINANCE($CR187,""high52"")*CU187,""-""))"),"")</f>
        <v/>
      </c>
      <c r="AJ187" s="849" t="s">
        <v>123</v>
      </c>
      <c r="AK187" s="850" t="str">
        <f>IFERROR(__xludf.DUMMYFUNCTION("IF($CR187="""","""",IFERROR(GOOGLEFINANCE($CR187,""changepct"")/100,""-""))"),"")</f>
        <v/>
      </c>
      <c r="AL187" s="851" t="str">
        <f>IFERROR(__xludf.DUMMYFUNCTION("IF($CR187="""","""",IFERROR(($AD187/(QUERY(GOOGLEFINANCE($CR187,""price"",TODAY()-7),""SELECT Col2 label Col2 ''"")*$CU187)-1),""-""))"),"")</f>
        <v/>
      </c>
      <c r="AM187" s="851" t="str">
        <f>IFERROR(__xludf.DUMMYFUNCTION("IF($CR187="""","""",IFERROR(($AD187/(QUERY(GOOGLEFINANCE($CR187,""price"",TODAY()-14),""SELECT Col2 label Col2 ''"")*$CU187)-1),""-""))"),"")</f>
        <v/>
      </c>
      <c r="AN187" s="851" t="str">
        <f>IFERROR(__xludf.DUMMYFUNCTION("IF($CR187="""","""",IFERROR(($AD187/(QUERY(GOOGLEFINANCE($CR187,""price"",TODAY()-28),""SELECT Col2 label Col2 ''"")*$CU187)-1),""-""))"),"")</f>
        <v/>
      </c>
      <c r="AO187" s="851" t="str">
        <f>IFERROR(__xludf.DUMMYFUNCTION("IF($CR187="""","""",IFERROR(($AD187/(QUERY(GOOGLEFINANCE($CR187,""price"",TODAY()-$AQ$5),""SELECT Col2 label Col2 ''"")*$CU187)-1),""-""))"),"")</f>
        <v/>
      </c>
      <c r="AP187" s="852" t="str">
        <f>IFERROR(__xludf.DUMMYFUNCTION("IF($CR187="""","""",IFERROR(SPARKLINE(query(GOOGLEFINANCE($CR187,""price"",TODAY()-$AQ$5,TODAY(),1),""select Col2 label Col2 ''""),IF($AP$7=""Gráfico de barras"",{""charttype"",""column"";""highcolor"",""red""},{""chartype"",""line""}))))"),"")</f>
        <v/>
      </c>
      <c r="AQ187" s="144"/>
      <c r="AR187" s="853"/>
      <c r="AS187" s="854" t="str">
        <f>IF($CR187="","",IF(NOT('alocação'!$D$1),"off",IFERROR(VLOOKUP(CR187,BalanceAtivos,3,0),"NC")))</f>
        <v/>
      </c>
      <c r="AT187" s="855" t="str">
        <f>IF($CR187="","",IF(NOT('alocação'!$D$1),"off",IFERROR(VLOOKUP($CR187,BalanceAtivos,4,0)*$CU$5,"NC")))</f>
        <v/>
      </c>
      <c r="AU187" s="856" t="str">
        <f>IF($CR187="","",IF(NOT('alocação'!$D$1),"off",IFERROR(VLOOKUP($CR187,BalanceAtivos,5,0),"-")))</f>
        <v/>
      </c>
      <c r="AV187" s="856" t="str">
        <f>IF($CR187="","",IF(NOT('alocação'!$D$1),"off",IFERROR(VLOOKUP($CR187,BalanceAtivos,6,0),"-")))</f>
        <v/>
      </c>
      <c r="AW187" s="857"/>
      <c r="AX187" s="858" t="str">
        <f>IF($CR187="","",IF($E187="","SP",IFERROR(VLOOKUP($CR187,AtivosDados,MATCH("pm_atual",portfolio.!$A$3:CY$3,0),0)*$CU$5,0)))</f>
        <v/>
      </c>
      <c r="AY187" s="859" t="str">
        <f t="shared" si="2"/>
        <v/>
      </c>
      <c r="AZ187" s="858" t="str">
        <f>IF($CR187="","",IF($E187="","SP",SUMIF(portfolio.!$A$4:$A308,$CR187,portfolio.!$O$4:$O308)*$CU$5))</f>
        <v/>
      </c>
      <c r="BA187" s="858" t="str">
        <f>IF($CR187="","",IF($E187="","SP",SUMIF(portfolio.!$A$4:$A308,$CR187,portfolio.!$AN$4:$AN308)*$CU$5))</f>
        <v/>
      </c>
      <c r="BB187" s="860" t="str">
        <f>IF($CR187="","",IF($E187="","-",IFERROR($BA187/'portfólio'!$DG$63,"")))</f>
        <v/>
      </c>
      <c r="BC187" s="861" t="str">
        <f>IF($CR187="","",IF($E187="","-",SUMIF(portfolio.!$A$4:$A308,$CR187,portfolio.!$J$4:$J308)))</f>
        <v/>
      </c>
      <c r="BD187" s="862" t="str">
        <f>IF($CR187="","",IF($E187="","SP",SUMIF(portfolio.!$A$4:$A308,$CR187,portfolio.!$AQ$4:$AQ308)*$CU$5))</f>
        <v/>
      </c>
      <c r="BE187" s="850" t="str">
        <f t="shared" si="3"/>
        <v/>
      </c>
      <c r="BF187" s="862" t="str">
        <f>IF($CR187="","",IF($E187="","-",SUMIF(portfolio.!$A$4:$A308,$CR187,portfolio.!$AX$4:$AX308)*$CU$5))</f>
        <v/>
      </c>
      <c r="BG187" s="545"/>
      <c r="BH187" s="879" t="s">
        <v>123</v>
      </c>
      <c r="BI187" s="880" t="s">
        <v>123</v>
      </c>
      <c r="BJ187" s="863" t="str">
        <f>IFERROR(__xludf.DUMMYFUNCTION("IF(NOT($BL$4),"""",IF($CR187="""","""",IFERROR(query({GOOGLEFINANCE($CR187,""price"",IF($BI187=""-"",TODAY()-($AQ$5+5),$BI187),TODAY()-1)},""Select max(Col2) where Col1 is not null label max(Col2) ''"")*CU187,""-"")))"),"")</f>
        <v/>
      </c>
      <c r="BK187" s="881" t="s">
        <v>123</v>
      </c>
      <c r="BL187" s="882" t="s">
        <v>123</v>
      </c>
      <c r="BM187" s="442"/>
      <c r="BN187" s="867" t="str">
        <f>IFERROR(__xludf.DUMMYFUNCTION("IF(CR187="""","""",IF(OR(C187=""AÇÃO"",C187=""BDR""),IFERROR(QUERY({fundamentus.!$A$3:$U308},$CX$67&amp;"" where Col1='""&amp;CR187&amp;""' limit 1"",0)),IF(C187=""FII"",IFERROR(QUERY({fundsexplorer.!$A$2:$Z308},$CY$67&amp;"" where Col1='""&amp;CR187&amp;""' limit 1"",0)),""""))"&amp;")"),"")</f>
        <v/>
      </c>
      <c r="BO187" s="867"/>
      <c r="BP187" s="867"/>
      <c r="BQ187" s="867"/>
      <c r="BR187" s="867"/>
      <c r="BS187" s="867"/>
      <c r="BT187" s="867"/>
      <c r="BU187" s="442"/>
      <c r="BV187" s="868" t="str">
        <f>IFERROR(__xludf.DUMMYFUNCTION("IF(OR(C187=""AÇÃO"",C187=""BDR""),IFERROR(GOOGLEFINANCE(CONCAT(""BVMF:"",CR187), ""marketcap"")/1000000,""NC""),"""")"),"")</f>
        <v/>
      </c>
      <c r="BW187" s="869" t="s">
        <v>123</v>
      </c>
      <c r="BX187" s="870" t="s">
        <v>123</v>
      </c>
      <c r="BY187" s="868" t="s">
        <v>123</v>
      </c>
      <c r="BZ187" s="870" t="s">
        <v>123</v>
      </c>
      <c r="CA187" s="868" t="s">
        <v>123</v>
      </c>
      <c r="CB187" s="868" t="s">
        <v>123</v>
      </c>
      <c r="CC187" s="868" t="s">
        <v>123</v>
      </c>
      <c r="CD187" s="868" t="str">
        <f>IFERROR(__xludf.DUMMYFUNCTION("IF(OR(C187=""AÇÃO"",C187=""BDR""),IFERROR(GOOGLEFINANCE(CONCAT(""BVMF:"",CR187), ""volumeavg"")/1000000,""NC""),"""")"),"")</f>
        <v/>
      </c>
      <c r="CE187" s="870" t="s">
        <v>123</v>
      </c>
      <c r="CF187" s="870" t="s">
        <v>123</v>
      </c>
      <c r="CG187" s="870" t="str">
        <f>IFERROR(__xludf.DUMMYFUNCTION("IF(OR(C187=""AÇÃO"",C187=""BDR""),IF(CF187=0,""SEM DY"",IFERROR(ImportXML(CONCAT(""http://www.guiainvest.com.br/raiox/default.aspx?sigla="",$CR187),""//*[@id='lbPayoutAtual']""),""NC"")),"""")"),"")</f>
        <v/>
      </c>
      <c r="CH187" s="870" t="s">
        <v>123</v>
      </c>
      <c r="CI187" s="545"/>
      <c r="CJ187" s="871" t="str">
        <f>IFERROR(__xludf.DUMMYFUNCTION("IF(OR(C187=""AÇÃO"",C187=""BDR""),IFERROR(GOOGLEFINANCE(CONCAT(""BVMF:"",CR187), ""eps""),""NC""),"""")"),"")</f>
        <v/>
      </c>
      <c r="CK187" s="442"/>
      <c r="CL187" s="871" t="str">
        <f>IFERROR(__xludf.DUMMYFUNCTION("IF(NOT($BL$4),"""",IF($CR187="""","""",IF($BC187="""","""",IFERROR(query({op.normal!$B$5:$F308},""select Col5, toDate(Col2) where Col1 =  '""&amp;$CR187&amp;""' and Col4 &gt; 0 and ((Col3 is null) or (Col3 = 'C')) and Col2 &gt;= date '""&amp;TEXT(TODAY()-$AQ$5,""yyyy-mm-dd"&amp;""")&amp;""' order by Col2 desc limit 1 label toDate(Col2) ''"")))))"),"")</f>
        <v/>
      </c>
      <c r="CM187" s="872"/>
      <c r="CN187" s="883" t="s">
        <v>123</v>
      </c>
      <c r="CO187" s="874" t="s">
        <v>123</v>
      </c>
      <c r="CP187" s="766"/>
      <c r="CQ187" s="791"/>
      <c r="CR187" s="791"/>
      <c r="CT187" s="791" t="s">
        <v>123</v>
      </c>
      <c r="CU187" s="791" t="str">
        <f>IFERROR(__xludf.DUMMYFUNCTION("IF(CR187="""","""",IF(CT187=$C$4,1,GOOGLEFINANCE(CT187&amp;$C$4)))"),"")</f>
        <v/>
      </c>
    </row>
    <row r="188" ht="22.5" customHeight="1">
      <c r="A188" s="837">
        <v>180.0</v>
      </c>
      <c r="B188" s="838" t="s">
        <v>123</v>
      </c>
      <c r="C188" s="838" t="s">
        <v>123</v>
      </c>
      <c r="D188" s="839" t="s">
        <v>123</v>
      </c>
      <c r="E188" s="839" t="s">
        <v>123</v>
      </c>
      <c r="F188" s="839" t="s">
        <v>123</v>
      </c>
      <c r="H188" s="884"/>
      <c r="I188" s="838"/>
      <c r="J188" s="838"/>
      <c r="K188" s="838"/>
      <c r="L188" s="838"/>
      <c r="M188" s="838"/>
      <c r="N188" s="838"/>
      <c r="O188" s="838"/>
      <c r="P188" s="838"/>
      <c r="Q188" s="838"/>
      <c r="R188" s="838"/>
      <c r="S188" s="838"/>
      <c r="T188" s="838"/>
      <c r="U188" s="838"/>
      <c r="V188" s="838"/>
      <c r="W188" s="838"/>
      <c r="X188" s="838"/>
      <c r="Z188" s="875" t="str">
        <f>IFERROR(__xludf.DUMMYFUNCTION("IF($CR188="""","""",IFERROR(query({CarteirasAtivos},""select Col4 where Col4 is not null and Col1 = '""&amp;$CR188&amp;""' limit 1"")*CU188,""NC""))"),"")</f>
        <v/>
      </c>
      <c r="AA188" s="876" t="str">
        <f>IFERROR(__xludf.DUMMYFUNCTION("IF($CR188="""","""",IFERROR(query({CarteirasAtivos},""select Col6 where Col4 is not null and Col1 = '""&amp;$CR188&amp;""' limit 1""),""NC""))"),"")</f>
        <v/>
      </c>
      <c r="AB188" s="877"/>
      <c r="AC188" s="878" t="s">
        <v>123</v>
      </c>
      <c r="AD188" s="845" t="str">
        <f>IF($CR188="","",IFERROR(VLOOKUP($CR188,ativos.!$C$3:$R308,MATCH("cotacao",ativos.!$C$2:CY$2,0),FALSE)*$CU$5,"atualizar"))</f>
        <v/>
      </c>
      <c r="AE188" s="846" t="str">
        <f>IFERROR(__xludf.DUMMYFUNCTION("IF($CR188="""","""",IFERROR(AVERAGE(query({CarteirasAtivos;CarteirasAtivosEncerrados},""select Col5 where Col5 is not null and Col1 = '""&amp;$CR188&amp;""' and Col10='SIM'""))*CU188,""NC""))"),"")</f>
        <v/>
      </c>
      <c r="AF188" s="847" t="str">
        <f t="shared" si="1"/>
        <v/>
      </c>
      <c r="AG188" s="442"/>
      <c r="AH188" s="848" t="str">
        <f>IFERROR(__xludf.DUMMYFUNCTION("IF($CR188="""","""",IFERROR(GOOGLEFINANCE($CR188,""low52"")*CU188,""-""))"),"")</f>
        <v/>
      </c>
      <c r="AI188" s="848" t="str">
        <f>IFERROR(__xludf.DUMMYFUNCTION("IF($CR188="""","""",IFERROR(GOOGLEFINANCE($CR188,""high52"")*CU188,""-""))"),"")</f>
        <v/>
      </c>
      <c r="AJ188" s="849" t="s">
        <v>123</v>
      </c>
      <c r="AK188" s="850" t="str">
        <f>IFERROR(__xludf.DUMMYFUNCTION("IF($CR188="""","""",IFERROR(GOOGLEFINANCE($CR188,""changepct"")/100,""-""))"),"")</f>
        <v/>
      </c>
      <c r="AL188" s="851" t="str">
        <f>IFERROR(__xludf.DUMMYFUNCTION("IF($CR188="""","""",IFERROR(($AD188/(QUERY(GOOGLEFINANCE($CR188,""price"",TODAY()-7),""SELECT Col2 label Col2 ''"")*$CU188)-1),""-""))"),"")</f>
        <v/>
      </c>
      <c r="AM188" s="851" t="str">
        <f>IFERROR(__xludf.DUMMYFUNCTION("IF($CR188="""","""",IFERROR(($AD188/(QUERY(GOOGLEFINANCE($CR188,""price"",TODAY()-14),""SELECT Col2 label Col2 ''"")*$CU188)-1),""-""))"),"")</f>
        <v/>
      </c>
      <c r="AN188" s="851" t="str">
        <f>IFERROR(__xludf.DUMMYFUNCTION("IF($CR188="""","""",IFERROR(($AD188/(QUERY(GOOGLEFINANCE($CR188,""price"",TODAY()-28),""SELECT Col2 label Col2 ''"")*$CU188)-1),""-""))"),"")</f>
        <v/>
      </c>
      <c r="AO188" s="851" t="str">
        <f>IFERROR(__xludf.DUMMYFUNCTION("IF($CR188="""","""",IFERROR(($AD188/(QUERY(GOOGLEFINANCE($CR188,""price"",TODAY()-$AQ$5),""SELECT Col2 label Col2 ''"")*$CU188)-1),""-""))"),"")</f>
        <v/>
      </c>
      <c r="AP188" s="852" t="str">
        <f>IFERROR(__xludf.DUMMYFUNCTION("IF($CR188="""","""",IFERROR(SPARKLINE(query(GOOGLEFINANCE($CR188,""price"",TODAY()-$AQ$5,TODAY(),1),""select Col2 label Col2 ''""),IF($AP$7=""Gráfico de barras"",{""charttype"",""column"";""highcolor"",""red""},{""chartype"",""line""}))))"),"")</f>
        <v/>
      </c>
      <c r="AQ188" s="144"/>
      <c r="AR188" s="853"/>
      <c r="AS188" s="854" t="str">
        <f>IF($CR188="","",IF(NOT('alocação'!$D$1),"off",IFERROR(VLOOKUP(CR188,BalanceAtivos,3,0),"NC")))</f>
        <v/>
      </c>
      <c r="AT188" s="855" t="str">
        <f>IF($CR188="","",IF(NOT('alocação'!$D$1),"off",IFERROR(VLOOKUP($CR188,BalanceAtivos,4,0)*$CU$5,"NC")))</f>
        <v/>
      </c>
      <c r="AU188" s="856" t="str">
        <f>IF($CR188="","",IF(NOT('alocação'!$D$1),"off",IFERROR(VLOOKUP($CR188,BalanceAtivos,5,0),"-")))</f>
        <v/>
      </c>
      <c r="AV188" s="856" t="str">
        <f>IF($CR188="","",IF(NOT('alocação'!$D$1),"off",IFERROR(VLOOKUP($CR188,BalanceAtivos,6,0),"-")))</f>
        <v/>
      </c>
      <c r="AW188" s="857"/>
      <c r="AX188" s="858" t="str">
        <f>IF($CR188="","",IF($E188="","SP",IFERROR(VLOOKUP($CR188,AtivosDados,MATCH("pm_atual",portfolio.!$A$3:CY$3,0),0)*$CU$5,0)))</f>
        <v/>
      </c>
      <c r="AY188" s="859" t="str">
        <f t="shared" si="2"/>
        <v/>
      </c>
      <c r="AZ188" s="858" t="str">
        <f>IF($CR188="","",IF($E188="","SP",SUMIF(portfolio.!$A$4:$A308,$CR188,portfolio.!$O$4:$O308)*$CU$5))</f>
        <v/>
      </c>
      <c r="BA188" s="858" t="str">
        <f>IF($CR188="","",IF($E188="","SP",SUMIF(portfolio.!$A$4:$A308,$CR188,portfolio.!$AN$4:$AN308)*$CU$5))</f>
        <v/>
      </c>
      <c r="BB188" s="860" t="str">
        <f>IF($CR188="","",IF($E188="","-",IFERROR($BA188/'portfólio'!$DG$63,"")))</f>
        <v/>
      </c>
      <c r="BC188" s="861" t="str">
        <f>IF($CR188="","",IF($E188="","-",SUMIF(portfolio.!$A$4:$A308,$CR188,portfolio.!$J$4:$J308)))</f>
        <v/>
      </c>
      <c r="BD188" s="862" t="str">
        <f>IF($CR188="","",IF($E188="","SP",SUMIF(portfolio.!$A$4:$A308,$CR188,portfolio.!$AQ$4:$AQ308)*$CU$5))</f>
        <v/>
      </c>
      <c r="BE188" s="850" t="str">
        <f t="shared" si="3"/>
        <v/>
      </c>
      <c r="BF188" s="862" t="str">
        <f>IF($CR188="","",IF($E188="","-",SUMIF(portfolio.!$A$4:$A308,$CR188,portfolio.!$AX$4:$AX308)*$CU$5))</f>
        <v/>
      </c>
      <c r="BG188" s="545"/>
      <c r="BH188" s="879" t="s">
        <v>123</v>
      </c>
      <c r="BI188" s="880" t="s">
        <v>123</v>
      </c>
      <c r="BJ188" s="863" t="str">
        <f>IFERROR(__xludf.DUMMYFUNCTION("IF(NOT($BL$4),"""",IF($CR188="""","""",IFERROR(query({GOOGLEFINANCE($CR188,""price"",IF($BI188=""-"",TODAY()-($AQ$5+5),$BI188),TODAY()-1)},""Select max(Col2) where Col1 is not null label max(Col2) ''"")*CU188,""-"")))"),"")</f>
        <v/>
      </c>
      <c r="BK188" s="881" t="s">
        <v>123</v>
      </c>
      <c r="BL188" s="882" t="s">
        <v>123</v>
      </c>
      <c r="BM188" s="442"/>
      <c r="BN188" s="867" t="str">
        <f>IFERROR(__xludf.DUMMYFUNCTION("IF(CR188="""","""",IF(OR(C188=""AÇÃO"",C188=""BDR""),IFERROR(QUERY({fundamentus.!$A$3:$U308},$CX$67&amp;"" where Col1='""&amp;CR188&amp;""' limit 1"",0)),IF(C188=""FII"",IFERROR(QUERY({fundsexplorer.!$A$2:$Z308},$CY$67&amp;"" where Col1='""&amp;CR188&amp;""' limit 1"",0)),""""))"&amp;")"),"")</f>
        <v/>
      </c>
      <c r="BO188" s="867"/>
      <c r="BP188" s="867"/>
      <c r="BQ188" s="867"/>
      <c r="BR188" s="867"/>
      <c r="BS188" s="867"/>
      <c r="BT188" s="867"/>
      <c r="BU188" s="442"/>
      <c r="BV188" s="868" t="str">
        <f>IFERROR(__xludf.DUMMYFUNCTION("IF(OR(C188=""AÇÃO"",C188=""BDR""),IFERROR(GOOGLEFINANCE(CONCAT(""BVMF:"",CR188), ""marketcap"")/1000000,""NC""),"""")"),"")</f>
        <v/>
      </c>
      <c r="BW188" s="869" t="s">
        <v>123</v>
      </c>
      <c r="BX188" s="870" t="s">
        <v>123</v>
      </c>
      <c r="BY188" s="868" t="s">
        <v>123</v>
      </c>
      <c r="BZ188" s="870" t="s">
        <v>123</v>
      </c>
      <c r="CA188" s="868" t="s">
        <v>123</v>
      </c>
      <c r="CB188" s="868" t="s">
        <v>123</v>
      </c>
      <c r="CC188" s="868" t="s">
        <v>123</v>
      </c>
      <c r="CD188" s="868" t="str">
        <f>IFERROR(__xludf.DUMMYFUNCTION("IF(OR(C188=""AÇÃO"",C188=""BDR""),IFERROR(GOOGLEFINANCE(CONCAT(""BVMF:"",CR188), ""volumeavg"")/1000000,""NC""),"""")"),"")</f>
        <v/>
      </c>
      <c r="CE188" s="870" t="s">
        <v>123</v>
      </c>
      <c r="CF188" s="870" t="s">
        <v>123</v>
      </c>
      <c r="CG188" s="870" t="str">
        <f>IFERROR(__xludf.DUMMYFUNCTION("IF(OR(C188=""AÇÃO"",C188=""BDR""),IF(CF188=0,""SEM DY"",IFERROR(ImportXML(CONCAT(""http://www.guiainvest.com.br/raiox/default.aspx?sigla="",$CR188),""//*[@id='lbPayoutAtual']""),""NC"")),"""")"),"")</f>
        <v/>
      </c>
      <c r="CH188" s="870" t="s">
        <v>123</v>
      </c>
      <c r="CI188" s="545"/>
      <c r="CJ188" s="871" t="str">
        <f>IFERROR(__xludf.DUMMYFUNCTION("IF(OR(C188=""AÇÃO"",C188=""BDR""),IFERROR(GOOGLEFINANCE(CONCAT(""BVMF:"",CR188), ""eps""),""NC""),"""")"),"")</f>
        <v/>
      </c>
      <c r="CK188" s="442"/>
      <c r="CL188" s="871" t="str">
        <f>IFERROR(__xludf.DUMMYFUNCTION("IF(NOT($BL$4),"""",IF($CR188="""","""",IF($BC188="""","""",IFERROR(query({op.normal!$B$5:$F308},""select Col5, toDate(Col2) where Col1 =  '""&amp;$CR188&amp;""' and Col4 &gt; 0 and ((Col3 is null) or (Col3 = 'C')) and Col2 &gt;= date '""&amp;TEXT(TODAY()-$AQ$5,""yyyy-mm-dd"&amp;""")&amp;""' order by Col2 desc limit 1 label toDate(Col2) ''"")))))"),"")</f>
        <v/>
      </c>
      <c r="CM188" s="872"/>
      <c r="CN188" s="883" t="s">
        <v>123</v>
      </c>
      <c r="CO188" s="874" t="s">
        <v>123</v>
      </c>
      <c r="CP188" s="766"/>
      <c r="CQ188" s="791"/>
      <c r="CR188" s="791"/>
      <c r="CT188" s="791" t="s">
        <v>123</v>
      </c>
      <c r="CU188" s="791" t="str">
        <f>IFERROR(__xludf.DUMMYFUNCTION("IF(CR188="""","""",IF(CT188=$C$4,1,GOOGLEFINANCE(CT188&amp;$C$4)))"),"")</f>
        <v/>
      </c>
    </row>
    <row r="189" ht="22.5" customHeight="1">
      <c r="A189" s="837">
        <v>181.0</v>
      </c>
      <c r="B189" s="838" t="s">
        <v>123</v>
      </c>
      <c r="C189" s="838" t="s">
        <v>123</v>
      </c>
      <c r="D189" s="839" t="s">
        <v>123</v>
      </c>
      <c r="E189" s="839" t="s">
        <v>123</v>
      </c>
      <c r="F189" s="839" t="s">
        <v>123</v>
      </c>
      <c r="H189" s="884"/>
      <c r="I189" s="838"/>
      <c r="J189" s="838"/>
      <c r="K189" s="838"/>
      <c r="L189" s="838"/>
      <c r="M189" s="838"/>
      <c r="N189" s="838"/>
      <c r="O189" s="838"/>
      <c r="P189" s="838"/>
      <c r="Q189" s="838"/>
      <c r="R189" s="838"/>
      <c r="S189" s="838"/>
      <c r="T189" s="838"/>
      <c r="U189" s="838"/>
      <c r="V189" s="838"/>
      <c r="W189" s="838"/>
      <c r="X189" s="838"/>
      <c r="Z189" s="875" t="str">
        <f>IFERROR(__xludf.DUMMYFUNCTION("IF($CR189="""","""",IFERROR(query({CarteirasAtivos},""select Col4 where Col4 is not null and Col1 = '""&amp;$CR189&amp;""' limit 1"")*CU189,""NC""))"),"")</f>
        <v/>
      </c>
      <c r="AA189" s="876" t="str">
        <f>IFERROR(__xludf.DUMMYFUNCTION("IF($CR189="""","""",IFERROR(query({CarteirasAtivos},""select Col6 where Col4 is not null and Col1 = '""&amp;$CR189&amp;""' limit 1""),""NC""))"),"")</f>
        <v/>
      </c>
      <c r="AB189" s="877"/>
      <c r="AC189" s="878" t="s">
        <v>123</v>
      </c>
      <c r="AD189" s="845" t="str">
        <f>IF($CR189="","",IFERROR(VLOOKUP($CR189,ativos.!$C$3:$R308,MATCH("cotacao",ativos.!$C$2:CY$2,0),FALSE)*$CU$5,"atualizar"))</f>
        <v/>
      </c>
      <c r="AE189" s="846" t="str">
        <f>IFERROR(__xludf.DUMMYFUNCTION("IF($CR189="""","""",IFERROR(AVERAGE(query({CarteirasAtivos;CarteirasAtivosEncerrados},""select Col5 where Col5 is not null and Col1 = '""&amp;$CR189&amp;""' and Col10='SIM'""))*CU189,""NC""))"),"")</f>
        <v/>
      </c>
      <c r="AF189" s="847" t="str">
        <f t="shared" si="1"/>
        <v/>
      </c>
      <c r="AG189" s="442"/>
      <c r="AH189" s="848" t="str">
        <f>IFERROR(__xludf.DUMMYFUNCTION("IF($CR189="""","""",IFERROR(GOOGLEFINANCE($CR189,""low52"")*CU189,""-""))"),"")</f>
        <v/>
      </c>
      <c r="AI189" s="848" t="str">
        <f>IFERROR(__xludf.DUMMYFUNCTION("IF($CR189="""","""",IFERROR(GOOGLEFINANCE($CR189,""high52"")*CU189,""-""))"),"")</f>
        <v/>
      </c>
      <c r="AJ189" s="849" t="s">
        <v>123</v>
      </c>
      <c r="AK189" s="850" t="str">
        <f>IFERROR(__xludf.DUMMYFUNCTION("IF($CR189="""","""",IFERROR(GOOGLEFINANCE($CR189,""changepct"")/100,""-""))"),"")</f>
        <v/>
      </c>
      <c r="AL189" s="851" t="str">
        <f>IFERROR(__xludf.DUMMYFUNCTION("IF($CR189="""","""",IFERROR(($AD189/(QUERY(GOOGLEFINANCE($CR189,""price"",TODAY()-7),""SELECT Col2 label Col2 ''"")*$CU189)-1),""-""))"),"")</f>
        <v/>
      </c>
      <c r="AM189" s="851" t="str">
        <f>IFERROR(__xludf.DUMMYFUNCTION("IF($CR189="""","""",IFERROR(($AD189/(QUERY(GOOGLEFINANCE($CR189,""price"",TODAY()-14),""SELECT Col2 label Col2 ''"")*$CU189)-1),""-""))"),"")</f>
        <v/>
      </c>
      <c r="AN189" s="851" t="str">
        <f>IFERROR(__xludf.DUMMYFUNCTION("IF($CR189="""","""",IFERROR(($AD189/(QUERY(GOOGLEFINANCE($CR189,""price"",TODAY()-28),""SELECT Col2 label Col2 ''"")*$CU189)-1),""-""))"),"")</f>
        <v/>
      </c>
      <c r="AO189" s="851" t="str">
        <f>IFERROR(__xludf.DUMMYFUNCTION("IF($CR189="""","""",IFERROR(($AD189/(QUERY(GOOGLEFINANCE($CR189,""price"",TODAY()-$AQ$5),""SELECT Col2 label Col2 ''"")*$CU189)-1),""-""))"),"")</f>
        <v/>
      </c>
      <c r="AP189" s="852" t="str">
        <f>IFERROR(__xludf.DUMMYFUNCTION("IF($CR189="""","""",IFERROR(SPARKLINE(query(GOOGLEFINANCE($CR189,""price"",TODAY()-$AQ$5,TODAY(),1),""select Col2 label Col2 ''""),IF($AP$7=""Gráfico de barras"",{""charttype"",""column"";""highcolor"",""red""},{""chartype"",""line""}))))"),"")</f>
        <v/>
      </c>
      <c r="AQ189" s="144"/>
      <c r="AR189" s="853"/>
      <c r="AS189" s="854" t="str">
        <f>IF($CR189="","",IF(NOT('alocação'!$D$1),"off",IFERROR(VLOOKUP(CR189,BalanceAtivos,3,0),"NC")))</f>
        <v/>
      </c>
      <c r="AT189" s="855" t="str">
        <f>IF($CR189="","",IF(NOT('alocação'!$D$1),"off",IFERROR(VLOOKUP($CR189,BalanceAtivos,4,0)*$CU$5,"NC")))</f>
        <v/>
      </c>
      <c r="AU189" s="856" t="str">
        <f>IF($CR189="","",IF(NOT('alocação'!$D$1),"off",IFERROR(VLOOKUP($CR189,BalanceAtivos,5,0),"-")))</f>
        <v/>
      </c>
      <c r="AV189" s="856" t="str">
        <f>IF($CR189="","",IF(NOT('alocação'!$D$1),"off",IFERROR(VLOOKUP($CR189,BalanceAtivos,6,0),"-")))</f>
        <v/>
      </c>
      <c r="AW189" s="857"/>
      <c r="AX189" s="858" t="str">
        <f>IF($CR189="","",IF($E189="","SP",IFERROR(VLOOKUP($CR189,AtivosDados,MATCH("pm_atual",portfolio.!$A$3:CY$3,0),0)*$CU$5,0)))</f>
        <v/>
      </c>
      <c r="AY189" s="859" t="str">
        <f t="shared" si="2"/>
        <v/>
      </c>
      <c r="AZ189" s="858" t="str">
        <f>IF($CR189="","",IF($E189="","SP",SUMIF(portfolio.!$A$4:$A308,$CR189,portfolio.!$O$4:$O308)*$CU$5))</f>
        <v/>
      </c>
      <c r="BA189" s="858" t="str">
        <f>IF($CR189="","",IF($E189="","SP",SUMIF(portfolio.!$A$4:$A308,$CR189,portfolio.!$AN$4:$AN308)*$CU$5))</f>
        <v/>
      </c>
      <c r="BB189" s="860" t="str">
        <f>IF($CR189="","",IF($E189="","-",IFERROR($BA189/'portfólio'!$DG$63,"")))</f>
        <v/>
      </c>
      <c r="BC189" s="861" t="str">
        <f>IF($CR189="","",IF($E189="","-",SUMIF(portfolio.!$A$4:$A308,$CR189,portfolio.!$J$4:$J308)))</f>
        <v/>
      </c>
      <c r="BD189" s="862" t="str">
        <f>IF($CR189="","",IF($E189="","SP",SUMIF(portfolio.!$A$4:$A308,$CR189,portfolio.!$AQ$4:$AQ308)*$CU$5))</f>
        <v/>
      </c>
      <c r="BE189" s="850" t="str">
        <f t="shared" si="3"/>
        <v/>
      </c>
      <c r="BF189" s="862" t="str">
        <f>IF($CR189="","",IF($E189="","-",SUMIF(portfolio.!$A$4:$A308,$CR189,portfolio.!$AX$4:$AX308)*$CU$5))</f>
        <v/>
      </c>
      <c r="BG189" s="545"/>
      <c r="BH189" s="879" t="s">
        <v>123</v>
      </c>
      <c r="BI189" s="880" t="s">
        <v>123</v>
      </c>
      <c r="BJ189" s="863" t="str">
        <f>IFERROR(__xludf.DUMMYFUNCTION("IF(NOT($BL$4),"""",IF($CR189="""","""",IFERROR(query({GOOGLEFINANCE($CR189,""price"",IF($BI189=""-"",TODAY()-($AQ$5+5),$BI189),TODAY()-1)},""Select max(Col2) where Col1 is not null label max(Col2) ''"")*CU189,""-"")))"),"")</f>
        <v/>
      </c>
      <c r="BK189" s="881" t="s">
        <v>123</v>
      </c>
      <c r="BL189" s="882" t="s">
        <v>123</v>
      </c>
      <c r="BM189" s="442"/>
      <c r="BN189" s="867" t="str">
        <f>IFERROR(__xludf.DUMMYFUNCTION("IF(CR189="""","""",IF(OR(C189=""AÇÃO"",C189=""BDR""),IFERROR(QUERY({fundamentus.!$A$3:$U308},$CX$67&amp;"" where Col1='""&amp;CR189&amp;""' limit 1"",0)),IF(C189=""FII"",IFERROR(QUERY({fundsexplorer.!$A$2:$Z308},$CY$67&amp;"" where Col1='""&amp;CR189&amp;""' limit 1"",0)),""""))"&amp;")"),"")</f>
        <v/>
      </c>
      <c r="BO189" s="867"/>
      <c r="BP189" s="867"/>
      <c r="BQ189" s="867"/>
      <c r="BR189" s="867"/>
      <c r="BS189" s="867"/>
      <c r="BT189" s="867"/>
      <c r="BU189" s="442"/>
      <c r="BV189" s="868" t="str">
        <f>IFERROR(__xludf.DUMMYFUNCTION("IF(OR(C189=""AÇÃO"",C189=""BDR""),IFERROR(GOOGLEFINANCE(CONCAT(""BVMF:"",CR189), ""marketcap"")/1000000,""NC""),"""")"),"")</f>
        <v/>
      </c>
      <c r="BW189" s="869" t="s">
        <v>123</v>
      </c>
      <c r="BX189" s="870" t="s">
        <v>123</v>
      </c>
      <c r="BY189" s="868" t="s">
        <v>123</v>
      </c>
      <c r="BZ189" s="870" t="s">
        <v>123</v>
      </c>
      <c r="CA189" s="868" t="s">
        <v>123</v>
      </c>
      <c r="CB189" s="868" t="s">
        <v>123</v>
      </c>
      <c r="CC189" s="868" t="s">
        <v>123</v>
      </c>
      <c r="CD189" s="868" t="str">
        <f>IFERROR(__xludf.DUMMYFUNCTION("IF(OR(C189=""AÇÃO"",C189=""BDR""),IFERROR(GOOGLEFINANCE(CONCAT(""BVMF:"",CR189), ""volumeavg"")/1000000,""NC""),"""")"),"")</f>
        <v/>
      </c>
      <c r="CE189" s="870" t="s">
        <v>123</v>
      </c>
      <c r="CF189" s="870" t="s">
        <v>123</v>
      </c>
      <c r="CG189" s="870" t="str">
        <f>IFERROR(__xludf.DUMMYFUNCTION("IF(OR(C189=""AÇÃO"",C189=""BDR""),IF(CF189=0,""SEM DY"",IFERROR(ImportXML(CONCAT(""http://www.guiainvest.com.br/raiox/default.aspx?sigla="",$CR189),""//*[@id='lbPayoutAtual']""),""NC"")),"""")"),"")</f>
        <v/>
      </c>
      <c r="CH189" s="870" t="s">
        <v>123</v>
      </c>
      <c r="CI189" s="545"/>
      <c r="CJ189" s="871" t="str">
        <f>IFERROR(__xludf.DUMMYFUNCTION("IF(OR(C189=""AÇÃO"",C189=""BDR""),IFERROR(GOOGLEFINANCE(CONCAT(""BVMF:"",CR189), ""eps""),""NC""),"""")"),"")</f>
        <v/>
      </c>
      <c r="CK189" s="442"/>
      <c r="CL189" s="871" t="str">
        <f>IFERROR(__xludf.DUMMYFUNCTION("IF(NOT($BL$4),"""",IF($CR189="""","""",IF($BC189="""","""",IFERROR(query({op.normal!$B$5:$F308},""select Col5, toDate(Col2) where Col1 =  '""&amp;$CR189&amp;""' and Col4 &gt; 0 and ((Col3 is null) or (Col3 = 'C')) and Col2 &gt;= date '""&amp;TEXT(TODAY()-$AQ$5,""yyyy-mm-dd"&amp;""")&amp;""' order by Col2 desc limit 1 label toDate(Col2) ''"")))))"),"")</f>
        <v/>
      </c>
      <c r="CM189" s="872"/>
      <c r="CN189" s="883" t="s">
        <v>123</v>
      </c>
      <c r="CO189" s="874" t="s">
        <v>123</v>
      </c>
      <c r="CP189" s="766"/>
      <c r="CQ189" s="791"/>
      <c r="CR189" s="791"/>
      <c r="CT189" s="791" t="s">
        <v>123</v>
      </c>
      <c r="CU189" s="791" t="str">
        <f>IFERROR(__xludf.DUMMYFUNCTION("IF(CR189="""","""",IF(CT189=$C$4,1,GOOGLEFINANCE(CT189&amp;$C$4)))"),"")</f>
        <v/>
      </c>
    </row>
    <row r="190" ht="22.5" customHeight="1">
      <c r="A190" s="837">
        <v>182.0</v>
      </c>
      <c r="B190" s="838" t="s">
        <v>123</v>
      </c>
      <c r="C190" s="838" t="s">
        <v>123</v>
      </c>
      <c r="D190" s="839" t="s">
        <v>123</v>
      </c>
      <c r="E190" s="839" t="s">
        <v>123</v>
      </c>
      <c r="F190" s="839" t="s">
        <v>123</v>
      </c>
      <c r="H190" s="884"/>
      <c r="I190" s="838"/>
      <c r="J190" s="838"/>
      <c r="K190" s="838"/>
      <c r="L190" s="838"/>
      <c r="M190" s="838"/>
      <c r="N190" s="838"/>
      <c r="O190" s="838"/>
      <c r="P190" s="838"/>
      <c r="Q190" s="838"/>
      <c r="R190" s="838"/>
      <c r="S190" s="838"/>
      <c r="T190" s="838"/>
      <c r="U190" s="838"/>
      <c r="V190" s="838"/>
      <c r="W190" s="838"/>
      <c r="X190" s="838"/>
      <c r="Z190" s="875" t="str">
        <f>IFERROR(__xludf.DUMMYFUNCTION("IF($CR190="""","""",IFERROR(query({CarteirasAtivos},""select Col4 where Col4 is not null and Col1 = '""&amp;$CR190&amp;""' limit 1"")*CU190,""NC""))"),"")</f>
        <v/>
      </c>
      <c r="AA190" s="876" t="str">
        <f>IFERROR(__xludf.DUMMYFUNCTION("IF($CR190="""","""",IFERROR(query({CarteirasAtivos},""select Col6 where Col4 is not null and Col1 = '""&amp;$CR190&amp;""' limit 1""),""NC""))"),"")</f>
        <v/>
      </c>
      <c r="AB190" s="877"/>
      <c r="AC190" s="878" t="s">
        <v>123</v>
      </c>
      <c r="AD190" s="845" t="str">
        <f>IF($CR190="","",IFERROR(VLOOKUP($CR190,ativos.!$C$3:$R308,MATCH("cotacao",ativos.!$C$2:CY$2,0),FALSE)*$CU$5,"atualizar"))</f>
        <v/>
      </c>
      <c r="AE190" s="846" t="str">
        <f>IFERROR(__xludf.DUMMYFUNCTION("IF($CR190="""","""",IFERROR(AVERAGE(query({CarteirasAtivos;CarteirasAtivosEncerrados},""select Col5 where Col5 is not null and Col1 = '""&amp;$CR190&amp;""' and Col10='SIM'""))*CU190,""NC""))"),"")</f>
        <v/>
      </c>
      <c r="AF190" s="847" t="str">
        <f t="shared" si="1"/>
        <v/>
      </c>
      <c r="AG190" s="442"/>
      <c r="AH190" s="848" t="str">
        <f>IFERROR(__xludf.DUMMYFUNCTION("IF($CR190="""","""",IFERROR(GOOGLEFINANCE($CR190,""low52"")*CU190,""-""))"),"")</f>
        <v/>
      </c>
      <c r="AI190" s="848" t="str">
        <f>IFERROR(__xludf.DUMMYFUNCTION("IF($CR190="""","""",IFERROR(GOOGLEFINANCE($CR190,""high52"")*CU190,""-""))"),"")</f>
        <v/>
      </c>
      <c r="AJ190" s="849" t="s">
        <v>123</v>
      </c>
      <c r="AK190" s="850" t="str">
        <f>IFERROR(__xludf.DUMMYFUNCTION("IF($CR190="""","""",IFERROR(GOOGLEFINANCE($CR190,""changepct"")/100,""-""))"),"")</f>
        <v/>
      </c>
      <c r="AL190" s="851" t="str">
        <f>IFERROR(__xludf.DUMMYFUNCTION("IF($CR190="""","""",IFERROR(($AD190/(QUERY(GOOGLEFINANCE($CR190,""price"",TODAY()-7),""SELECT Col2 label Col2 ''"")*$CU190)-1),""-""))"),"")</f>
        <v/>
      </c>
      <c r="AM190" s="851" t="str">
        <f>IFERROR(__xludf.DUMMYFUNCTION("IF($CR190="""","""",IFERROR(($AD190/(QUERY(GOOGLEFINANCE($CR190,""price"",TODAY()-14),""SELECT Col2 label Col2 ''"")*$CU190)-1),""-""))"),"")</f>
        <v/>
      </c>
      <c r="AN190" s="851" t="str">
        <f>IFERROR(__xludf.DUMMYFUNCTION("IF($CR190="""","""",IFERROR(($AD190/(QUERY(GOOGLEFINANCE($CR190,""price"",TODAY()-28),""SELECT Col2 label Col2 ''"")*$CU190)-1),""-""))"),"")</f>
        <v/>
      </c>
      <c r="AO190" s="851" t="str">
        <f>IFERROR(__xludf.DUMMYFUNCTION("IF($CR190="""","""",IFERROR(($AD190/(QUERY(GOOGLEFINANCE($CR190,""price"",TODAY()-$AQ$5),""SELECT Col2 label Col2 ''"")*$CU190)-1),""-""))"),"")</f>
        <v/>
      </c>
      <c r="AP190" s="852" t="str">
        <f>IFERROR(__xludf.DUMMYFUNCTION("IF($CR190="""","""",IFERROR(SPARKLINE(query(GOOGLEFINANCE($CR190,""price"",TODAY()-$AQ$5,TODAY(),1),""select Col2 label Col2 ''""),IF($AP$7=""Gráfico de barras"",{""charttype"",""column"";""highcolor"",""red""},{""chartype"",""line""}))))"),"")</f>
        <v/>
      </c>
      <c r="AQ190" s="144"/>
      <c r="AR190" s="853"/>
      <c r="AS190" s="854" t="str">
        <f>IF($CR190="","",IF(NOT('alocação'!$D$1),"off",IFERROR(VLOOKUP(CR190,BalanceAtivos,3,0),"NC")))</f>
        <v/>
      </c>
      <c r="AT190" s="855" t="str">
        <f>IF($CR190="","",IF(NOT('alocação'!$D$1),"off",IFERROR(VLOOKUP($CR190,BalanceAtivos,4,0)*$CU$5,"NC")))</f>
        <v/>
      </c>
      <c r="AU190" s="856" t="str">
        <f>IF($CR190="","",IF(NOT('alocação'!$D$1),"off",IFERROR(VLOOKUP($CR190,BalanceAtivos,5,0),"-")))</f>
        <v/>
      </c>
      <c r="AV190" s="856" t="str">
        <f>IF($CR190="","",IF(NOT('alocação'!$D$1),"off",IFERROR(VLOOKUP($CR190,BalanceAtivos,6,0),"-")))</f>
        <v/>
      </c>
      <c r="AW190" s="857"/>
      <c r="AX190" s="858" t="str">
        <f>IF($CR190="","",IF($E190="","SP",IFERROR(VLOOKUP($CR190,AtivosDados,MATCH("pm_atual",portfolio.!$A$3:CY$3,0),0)*$CU$5,0)))</f>
        <v/>
      </c>
      <c r="AY190" s="859" t="str">
        <f t="shared" si="2"/>
        <v/>
      </c>
      <c r="AZ190" s="858" t="str">
        <f>IF($CR190="","",IF($E190="","SP",SUMIF(portfolio.!$A$4:$A308,$CR190,portfolio.!$O$4:$O308)*$CU$5))</f>
        <v/>
      </c>
      <c r="BA190" s="858" t="str">
        <f>IF($CR190="","",IF($E190="","SP",SUMIF(portfolio.!$A$4:$A308,$CR190,portfolio.!$AN$4:$AN308)*$CU$5))</f>
        <v/>
      </c>
      <c r="BB190" s="860" t="str">
        <f>IF($CR190="","",IF($E190="","-",IFERROR($BA190/'portfólio'!$DG$63,"")))</f>
        <v/>
      </c>
      <c r="BC190" s="861" t="str">
        <f>IF($CR190="","",IF($E190="","-",SUMIF(portfolio.!$A$4:$A308,$CR190,portfolio.!$J$4:$J308)))</f>
        <v/>
      </c>
      <c r="BD190" s="862" t="str">
        <f>IF($CR190="","",IF($E190="","SP",SUMIF(portfolio.!$A$4:$A308,$CR190,portfolio.!$AQ$4:$AQ308)*$CU$5))</f>
        <v/>
      </c>
      <c r="BE190" s="850" t="str">
        <f t="shared" si="3"/>
        <v/>
      </c>
      <c r="BF190" s="862" t="str">
        <f>IF($CR190="","",IF($E190="","-",SUMIF(portfolio.!$A$4:$A308,$CR190,portfolio.!$AX$4:$AX308)*$CU$5))</f>
        <v/>
      </c>
      <c r="BG190" s="545"/>
      <c r="BH190" s="879" t="s">
        <v>123</v>
      </c>
      <c r="BI190" s="880" t="s">
        <v>123</v>
      </c>
      <c r="BJ190" s="863" t="str">
        <f>IFERROR(__xludf.DUMMYFUNCTION("IF(NOT($BL$4),"""",IF($CR190="""","""",IFERROR(query({GOOGLEFINANCE($CR190,""price"",IF($BI190=""-"",TODAY()-($AQ$5+5),$BI190),TODAY()-1)},""Select max(Col2) where Col1 is not null label max(Col2) ''"")*CU190,""-"")))"),"")</f>
        <v/>
      </c>
      <c r="BK190" s="881" t="s">
        <v>123</v>
      </c>
      <c r="BL190" s="882" t="s">
        <v>123</v>
      </c>
      <c r="BM190" s="442"/>
      <c r="BN190" s="867" t="str">
        <f>IFERROR(__xludf.DUMMYFUNCTION("IF(CR190="""","""",IF(OR(C190=""AÇÃO"",C190=""BDR""),IFERROR(QUERY({fundamentus.!$A$3:$U308},$CX$67&amp;"" where Col1='""&amp;CR190&amp;""' limit 1"",0)),IF(C190=""FII"",IFERROR(QUERY({fundsexplorer.!$A$2:$Z308},$CY$67&amp;"" where Col1='""&amp;CR190&amp;""' limit 1"",0)),""""))"&amp;")"),"")</f>
        <v/>
      </c>
      <c r="BO190" s="867"/>
      <c r="BP190" s="867"/>
      <c r="BQ190" s="867"/>
      <c r="BR190" s="867"/>
      <c r="BS190" s="867"/>
      <c r="BT190" s="867"/>
      <c r="BU190" s="442"/>
      <c r="BV190" s="868" t="str">
        <f>IFERROR(__xludf.DUMMYFUNCTION("IF(OR(C190=""AÇÃO"",C190=""BDR""),IFERROR(GOOGLEFINANCE(CONCAT(""BVMF:"",CR190), ""marketcap"")/1000000,""NC""),"""")"),"")</f>
        <v/>
      </c>
      <c r="BW190" s="869" t="s">
        <v>123</v>
      </c>
      <c r="BX190" s="870" t="s">
        <v>123</v>
      </c>
      <c r="BY190" s="868" t="s">
        <v>123</v>
      </c>
      <c r="BZ190" s="870" t="s">
        <v>123</v>
      </c>
      <c r="CA190" s="868" t="s">
        <v>123</v>
      </c>
      <c r="CB190" s="868" t="s">
        <v>123</v>
      </c>
      <c r="CC190" s="868" t="s">
        <v>123</v>
      </c>
      <c r="CD190" s="868" t="str">
        <f>IFERROR(__xludf.DUMMYFUNCTION("IF(OR(C190=""AÇÃO"",C190=""BDR""),IFERROR(GOOGLEFINANCE(CONCAT(""BVMF:"",CR190), ""volumeavg"")/1000000,""NC""),"""")"),"")</f>
        <v/>
      </c>
      <c r="CE190" s="870" t="s">
        <v>123</v>
      </c>
      <c r="CF190" s="870" t="s">
        <v>123</v>
      </c>
      <c r="CG190" s="870" t="str">
        <f>IFERROR(__xludf.DUMMYFUNCTION("IF(OR(C190=""AÇÃO"",C190=""BDR""),IF(CF190=0,""SEM DY"",IFERROR(ImportXML(CONCAT(""http://www.guiainvest.com.br/raiox/default.aspx?sigla="",$CR190),""//*[@id='lbPayoutAtual']""),""NC"")),"""")"),"")</f>
        <v/>
      </c>
      <c r="CH190" s="870" t="s">
        <v>123</v>
      </c>
      <c r="CI190" s="545"/>
      <c r="CJ190" s="871" t="str">
        <f>IFERROR(__xludf.DUMMYFUNCTION("IF(OR(C190=""AÇÃO"",C190=""BDR""),IFERROR(GOOGLEFINANCE(CONCAT(""BVMF:"",CR190), ""eps""),""NC""),"""")"),"")</f>
        <v/>
      </c>
      <c r="CK190" s="442"/>
      <c r="CL190" s="871" t="str">
        <f>IFERROR(__xludf.DUMMYFUNCTION("IF(NOT($BL$4),"""",IF($CR190="""","""",IF($BC190="""","""",IFERROR(query({op.normal!$B$5:$F308},""select Col5, toDate(Col2) where Col1 =  '""&amp;$CR190&amp;""' and Col4 &gt; 0 and ((Col3 is null) or (Col3 = 'C')) and Col2 &gt;= date '""&amp;TEXT(TODAY()-$AQ$5,""yyyy-mm-dd"&amp;""")&amp;""' order by Col2 desc limit 1 label toDate(Col2) ''"")))))"),"")</f>
        <v/>
      </c>
      <c r="CM190" s="872"/>
      <c r="CN190" s="883" t="s">
        <v>123</v>
      </c>
      <c r="CO190" s="874" t="s">
        <v>123</v>
      </c>
      <c r="CP190" s="766"/>
      <c r="CQ190" s="791"/>
      <c r="CR190" s="791"/>
      <c r="CT190" s="791" t="s">
        <v>123</v>
      </c>
      <c r="CU190" s="791" t="str">
        <f>IFERROR(__xludf.DUMMYFUNCTION("IF(CR190="""","""",IF(CT190=$C$4,1,GOOGLEFINANCE(CT190&amp;$C$4)))"),"")</f>
        <v/>
      </c>
    </row>
    <row r="191" ht="22.5" customHeight="1">
      <c r="A191" s="837">
        <v>183.0</v>
      </c>
      <c r="B191" s="838" t="s">
        <v>123</v>
      </c>
      <c r="C191" s="838" t="s">
        <v>123</v>
      </c>
      <c r="D191" s="839" t="s">
        <v>123</v>
      </c>
      <c r="E191" s="839" t="s">
        <v>123</v>
      </c>
      <c r="F191" s="839" t="s">
        <v>123</v>
      </c>
      <c r="H191" s="884"/>
      <c r="I191" s="838"/>
      <c r="J191" s="838"/>
      <c r="K191" s="838"/>
      <c r="L191" s="838"/>
      <c r="M191" s="838"/>
      <c r="N191" s="838"/>
      <c r="O191" s="838"/>
      <c r="P191" s="838"/>
      <c r="Q191" s="838"/>
      <c r="R191" s="838"/>
      <c r="S191" s="838"/>
      <c r="T191" s="838"/>
      <c r="U191" s="838"/>
      <c r="V191" s="838"/>
      <c r="W191" s="838"/>
      <c r="X191" s="838"/>
      <c r="Z191" s="875" t="str">
        <f>IFERROR(__xludf.DUMMYFUNCTION("IF($CR191="""","""",IFERROR(query({CarteirasAtivos},""select Col4 where Col4 is not null and Col1 = '""&amp;$CR191&amp;""' limit 1"")*CU191,""NC""))"),"")</f>
        <v/>
      </c>
      <c r="AA191" s="876" t="str">
        <f>IFERROR(__xludf.DUMMYFUNCTION("IF($CR191="""","""",IFERROR(query({CarteirasAtivos},""select Col6 where Col4 is not null and Col1 = '""&amp;$CR191&amp;""' limit 1""),""NC""))"),"")</f>
        <v/>
      </c>
      <c r="AB191" s="877"/>
      <c r="AC191" s="878" t="s">
        <v>123</v>
      </c>
      <c r="AD191" s="845" t="str">
        <f>IF($CR191="","",IFERROR(VLOOKUP($CR191,ativos.!$C$3:$R308,MATCH("cotacao",ativos.!$C$2:CY$2,0),FALSE)*$CU$5,"atualizar"))</f>
        <v/>
      </c>
      <c r="AE191" s="846" t="str">
        <f>IFERROR(__xludf.DUMMYFUNCTION("IF($CR191="""","""",IFERROR(AVERAGE(query({CarteirasAtivos;CarteirasAtivosEncerrados},""select Col5 where Col5 is not null and Col1 = '""&amp;$CR191&amp;""' and Col10='SIM'""))*CU191,""NC""))"),"")</f>
        <v/>
      </c>
      <c r="AF191" s="847" t="str">
        <f t="shared" si="1"/>
        <v/>
      </c>
      <c r="AG191" s="442"/>
      <c r="AH191" s="848" t="str">
        <f>IFERROR(__xludf.DUMMYFUNCTION("IF($CR191="""","""",IFERROR(GOOGLEFINANCE($CR191,""low52"")*CU191,""-""))"),"")</f>
        <v/>
      </c>
      <c r="AI191" s="848" t="str">
        <f>IFERROR(__xludf.DUMMYFUNCTION("IF($CR191="""","""",IFERROR(GOOGLEFINANCE($CR191,""high52"")*CU191,""-""))"),"")</f>
        <v/>
      </c>
      <c r="AJ191" s="849" t="s">
        <v>123</v>
      </c>
      <c r="AK191" s="850" t="str">
        <f>IFERROR(__xludf.DUMMYFUNCTION("IF($CR191="""","""",IFERROR(GOOGLEFINANCE($CR191,""changepct"")/100,""-""))"),"")</f>
        <v/>
      </c>
      <c r="AL191" s="851" t="str">
        <f>IFERROR(__xludf.DUMMYFUNCTION("IF($CR191="""","""",IFERROR(($AD191/(QUERY(GOOGLEFINANCE($CR191,""price"",TODAY()-7),""SELECT Col2 label Col2 ''"")*$CU191)-1),""-""))"),"")</f>
        <v/>
      </c>
      <c r="AM191" s="851" t="str">
        <f>IFERROR(__xludf.DUMMYFUNCTION("IF($CR191="""","""",IFERROR(($AD191/(QUERY(GOOGLEFINANCE($CR191,""price"",TODAY()-14),""SELECT Col2 label Col2 ''"")*$CU191)-1),""-""))"),"")</f>
        <v/>
      </c>
      <c r="AN191" s="851" t="str">
        <f>IFERROR(__xludf.DUMMYFUNCTION("IF($CR191="""","""",IFERROR(($AD191/(QUERY(GOOGLEFINANCE($CR191,""price"",TODAY()-28),""SELECT Col2 label Col2 ''"")*$CU191)-1),""-""))"),"")</f>
        <v/>
      </c>
      <c r="AO191" s="851" t="str">
        <f>IFERROR(__xludf.DUMMYFUNCTION("IF($CR191="""","""",IFERROR(($AD191/(QUERY(GOOGLEFINANCE($CR191,""price"",TODAY()-$AQ$5),""SELECT Col2 label Col2 ''"")*$CU191)-1),""-""))"),"")</f>
        <v/>
      </c>
      <c r="AP191" s="852" t="str">
        <f>IFERROR(__xludf.DUMMYFUNCTION("IF($CR191="""","""",IFERROR(SPARKLINE(query(GOOGLEFINANCE($CR191,""price"",TODAY()-$AQ$5,TODAY(),1),""select Col2 label Col2 ''""),IF($AP$7=""Gráfico de barras"",{""charttype"",""column"";""highcolor"",""red""},{""chartype"",""line""}))))"),"")</f>
        <v/>
      </c>
      <c r="AQ191" s="144"/>
      <c r="AR191" s="853"/>
      <c r="AS191" s="854" t="str">
        <f>IF($CR191="","",IF(NOT('alocação'!$D$1),"off",IFERROR(VLOOKUP(CR191,BalanceAtivos,3,0),"NC")))</f>
        <v/>
      </c>
      <c r="AT191" s="855" t="str">
        <f>IF($CR191="","",IF(NOT('alocação'!$D$1),"off",IFERROR(VLOOKUP($CR191,BalanceAtivos,4,0)*$CU$5,"NC")))</f>
        <v/>
      </c>
      <c r="AU191" s="856" t="str">
        <f>IF($CR191="","",IF(NOT('alocação'!$D$1),"off",IFERROR(VLOOKUP($CR191,BalanceAtivos,5,0),"-")))</f>
        <v/>
      </c>
      <c r="AV191" s="856" t="str">
        <f>IF($CR191="","",IF(NOT('alocação'!$D$1),"off",IFERROR(VLOOKUP($CR191,BalanceAtivos,6,0),"-")))</f>
        <v/>
      </c>
      <c r="AW191" s="857"/>
      <c r="AX191" s="858" t="str">
        <f>IF($CR191="","",IF($E191="","SP",IFERROR(VLOOKUP($CR191,AtivosDados,MATCH("pm_atual",portfolio.!$A$3:CY$3,0),0)*$CU$5,0)))</f>
        <v/>
      </c>
      <c r="AY191" s="859" t="str">
        <f t="shared" si="2"/>
        <v/>
      </c>
      <c r="AZ191" s="858" t="str">
        <f>IF($CR191="","",IF($E191="","SP",SUMIF(portfolio.!$A$4:$A308,$CR191,portfolio.!$O$4:$O308)*$CU$5))</f>
        <v/>
      </c>
      <c r="BA191" s="858" t="str">
        <f>IF($CR191="","",IF($E191="","SP",SUMIF(portfolio.!$A$4:$A308,$CR191,portfolio.!$AN$4:$AN308)*$CU$5))</f>
        <v/>
      </c>
      <c r="BB191" s="860" t="str">
        <f>IF($CR191="","",IF($E191="","-",IFERROR($BA191/'portfólio'!$DG$63,"")))</f>
        <v/>
      </c>
      <c r="BC191" s="861" t="str">
        <f>IF($CR191="","",IF($E191="","-",SUMIF(portfolio.!$A$4:$A308,$CR191,portfolio.!$J$4:$J308)))</f>
        <v/>
      </c>
      <c r="BD191" s="862" t="str">
        <f>IF($CR191="","",IF($E191="","SP",SUMIF(portfolio.!$A$4:$A308,$CR191,portfolio.!$AQ$4:$AQ308)*$CU$5))</f>
        <v/>
      </c>
      <c r="BE191" s="850" t="str">
        <f t="shared" si="3"/>
        <v/>
      </c>
      <c r="BF191" s="862" t="str">
        <f>IF($CR191="","",IF($E191="","-",SUMIF(portfolio.!$A$4:$A308,$CR191,portfolio.!$AX$4:$AX308)*$CU$5))</f>
        <v/>
      </c>
      <c r="BG191" s="545"/>
      <c r="BH191" s="879" t="s">
        <v>123</v>
      </c>
      <c r="BI191" s="880" t="s">
        <v>123</v>
      </c>
      <c r="BJ191" s="863" t="str">
        <f>IFERROR(__xludf.DUMMYFUNCTION("IF(NOT($BL$4),"""",IF($CR191="""","""",IFERROR(query({GOOGLEFINANCE($CR191,""price"",IF($BI191=""-"",TODAY()-($AQ$5+5),$BI191),TODAY()-1)},""Select max(Col2) where Col1 is not null label max(Col2) ''"")*CU191,""-"")))"),"")</f>
        <v/>
      </c>
      <c r="BK191" s="881" t="s">
        <v>123</v>
      </c>
      <c r="BL191" s="882" t="s">
        <v>123</v>
      </c>
      <c r="BM191" s="442"/>
      <c r="BN191" s="867" t="str">
        <f>IFERROR(__xludf.DUMMYFUNCTION("IF(CR191="""","""",IF(OR(C191=""AÇÃO"",C191=""BDR""),IFERROR(QUERY({fundamentus.!$A$3:$U308},$CX$67&amp;"" where Col1='""&amp;CR191&amp;""' limit 1"",0)),IF(C191=""FII"",IFERROR(QUERY({fundsexplorer.!$A$2:$Z308},$CY$67&amp;"" where Col1='""&amp;CR191&amp;""' limit 1"",0)),""""))"&amp;")"),"")</f>
        <v/>
      </c>
      <c r="BO191" s="867"/>
      <c r="BP191" s="867"/>
      <c r="BQ191" s="867"/>
      <c r="BR191" s="867"/>
      <c r="BS191" s="867"/>
      <c r="BT191" s="867"/>
      <c r="BU191" s="442"/>
      <c r="BV191" s="868" t="str">
        <f>IFERROR(__xludf.DUMMYFUNCTION("IF(OR(C191=""AÇÃO"",C191=""BDR""),IFERROR(GOOGLEFINANCE(CONCAT(""BVMF:"",CR191), ""marketcap"")/1000000,""NC""),"""")"),"")</f>
        <v/>
      </c>
      <c r="BW191" s="869" t="s">
        <v>123</v>
      </c>
      <c r="BX191" s="870" t="s">
        <v>123</v>
      </c>
      <c r="BY191" s="868" t="s">
        <v>123</v>
      </c>
      <c r="BZ191" s="870" t="s">
        <v>123</v>
      </c>
      <c r="CA191" s="868" t="s">
        <v>123</v>
      </c>
      <c r="CB191" s="868" t="s">
        <v>123</v>
      </c>
      <c r="CC191" s="868" t="s">
        <v>123</v>
      </c>
      <c r="CD191" s="868" t="str">
        <f>IFERROR(__xludf.DUMMYFUNCTION("IF(OR(C191=""AÇÃO"",C191=""BDR""),IFERROR(GOOGLEFINANCE(CONCAT(""BVMF:"",CR191), ""volumeavg"")/1000000,""NC""),"""")"),"")</f>
        <v/>
      </c>
      <c r="CE191" s="870" t="s">
        <v>123</v>
      </c>
      <c r="CF191" s="870" t="s">
        <v>123</v>
      </c>
      <c r="CG191" s="870" t="str">
        <f>IFERROR(__xludf.DUMMYFUNCTION("IF(OR(C191=""AÇÃO"",C191=""BDR""),IF(CF191=0,""SEM DY"",IFERROR(ImportXML(CONCAT(""http://www.guiainvest.com.br/raiox/default.aspx?sigla="",$CR191),""//*[@id='lbPayoutAtual']""),""NC"")),"""")"),"")</f>
        <v/>
      </c>
      <c r="CH191" s="870" t="s">
        <v>123</v>
      </c>
      <c r="CI191" s="545"/>
      <c r="CJ191" s="871" t="str">
        <f>IFERROR(__xludf.DUMMYFUNCTION("IF(OR(C191=""AÇÃO"",C191=""BDR""),IFERROR(GOOGLEFINANCE(CONCAT(""BVMF:"",CR191), ""eps""),""NC""),"""")"),"")</f>
        <v/>
      </c>
      <c r="CK191" s="442"/>
      <c r="CL191" s="871" t="str">
        <f>IFERROR(__xludf.DUMMYFUNCTION("IF(NOT($BL$4),"""",IF($CR191="""","""",IF($BC191="""","""",IFERROR(query({op.normal!$B$5:$F308},""select Col5, toDate(Col2) where Col1 =  '""&amp;$CR191&amp;""' and Col4 &gt; 0 and ((Col3 is null) or (Col3 = 'C')) and Col2 &gt;= date '""&amp;TEXT(TODAY()-$AQ$5,""yyyy-mm-dd"&amp;""")&amp;""' order by Col2 desc limit 1 label toDate(Col2) ''"")))))"),"")</f>
        <v/>
      </c>
      <c r="CM191" s="872"/>
      <c r="CN191" s="883" t="s">
        <v>123</v>
      </c>
      <c r="CO191" s="874" t="s">
        <v>123</v>
      </c>
      <c r="CP191" s="766"/>
      <c r="CQ191" s="791"/>
      <c r="CR191" s="791"/>
      <c r="CT191" s="791" t="s">
        <v>123</v>
      </c>
      <c r="CU191" s="791" t="str">
        <f>IFERROR(__xludf.DUMMYFUNCTION("IF(CR191="""","""",IF(CT191=$C$4,1,GOOGLEFINANCE(CT191&amp;$C$4)))"),"")</f>
        <v/>
      </c>
    </row>
    <row r="192" ht="22.5" customHeight="1">
      <c r="A192" s="837">
        <v>184.0</v>
      </c>
      <c r="B192" s="838" t="s">
        <v>123</v>
      </c>
      <c r="C192" s="838" t="s">
        <v>123</v>
      </c>
      <c r="D192" s="839" t="s">
        <v>123</v>
      </c>
      <c r="E192" s="839" t="s">
        <v>123</v>
      </c>
      <c r="F192" s="839" t="s">
        <v>123</v>
      </c>
      <c r="H192" s="884"/>
      <c r="I192" s="838"/>
      <c r="J192" s="838"/>
      <c r="K192" s="838"/>
      <c r="L192" s="838"/>
      <c r="M192" s="838"/>
      <c r="N192" s="838"/>
      <c r="O192" s="838"/>
      <c r="P192" s="838"/>
      <c r="Q192" s="838"/>
      <c r="R192" s="838"/>
      <c r="S192" s="838"/>
      <c r="T192" s="838"/>
      <c r="U192" s="838"/>
      <c r="V192" s="838"/>
      <c r="W192" s="838"/>
      <c r="X192" s="838"/>
      <c r="Z192" s="875" t="str">
        <f>IFERROR(__xludf.DUMMYFUNCTION("IF($CR192="""","""",IFERROR(query({CarteirasAtivos},""select Col4 where Col4 is not null and Col1 = '""&amp;$CR192&amp;""' limit 1"")*CU192,""NC""))"),"")</f>
        <v/>
      </c>
      <c r="AA192" s="876" t="str">
        <f>IFERROR(__xludf.DUMMYFUNCTION("IF($CR192="""","""",IFERROR(query({CarteirasAtivos},""select Col6 where Col4 is not null and Col1 = '""&amp;$CR192&amp;""' limit 1""),""NC""))"),"")</f>
        <v/>
      </c>
      <c r="AB192" s="877"/>
      <c r="AC192" s="878" t="s">
        <v>123</v>
      </c>
      <c r="AD192" s="845" t="str">
        <f>IF($CR192="","",IFERROR(VLOOKUP($CR192,ativos.!$C$3:$R308,MATCH("cotacao",ativos.!$C$2:CY$2,0),FALSE)*$CU$5,"atualizar"))</f>
        <v/>
      </c>
      <c r="AE192" s="846" t="str">
        <f>IFERROR(__xludf.DUMMYFUNCTION("IF($CR192="""","""",IFERROR(AVERAGE(query({CarteirasAtivos;CarteirasAtivosEncerrados},""select Col5 where Col5 is not null and Col1 = '""&amp;$CR192&amp;""' and Col10='SIM'""))*CU192,""NC""))"),"")</f>
        <v/>
      </c>
      <c r="AF192" s="847" t="str">
        <f t="shared" si="1"/>
        <v/>
      </c>
      <c r="AG192" s="442"/>
      <c r="AH192" s="848" t="str">
        <f>IFERROR(__xludf.DUMMYFUNCTION("IF($CR192="""","""",IFERROR(GOOGLEFINANCE($CR192,""low52"")*CU192,""-""))"),"")</f>
        <v/>
      </c>
      <c r="AI192" s="848" t="str">
        <f>IFERROR(__xludf.DUMMYFUNCTION("IF($CR192="""","""",IFERROR(GOOGLEFINANCE($CR192,""high52"")*CU192,""-""))"),"")</f>
        <v/>
      </c>
      <c r="AJ192" s="849" t="s">
        <v>123</v>
      </c>
      <c r="AK192" s="850" t="str">
        <f>IFERROR(__xludf.DUMMYFUNCTION("IF($CR192="""","""",IFERROR(GOOGLEFINANCE($CR192,""changepct"")/100,""-""))"),"")</f>
        <v/>
      </c>
      <c r="AL192" s="851" t="str">
        <f>IFERROR(__xludf.DUMMYFUNCTION("IF($CR192="""","""",IFERROR(($AD192/(QUERY(GOOGLEFINANCE($CR192,""price"",TODAY()-7),""SELECT Col2 label Col2 ''"")*$CU192)-1),""-""))"),"")</f>
        <v/>
      </c>
      <c r="AM192" s="851" t="str">
        <f>IFERROR(__xludf.DUMMYFUNCTION("IF($CR192="""","""",IFERROR(($AD192/(QUERY(GOOGLEFINANCE($CR192,""price"",TODAY()-14),""SELECT Col2 label Col2 ''"")*$CU192)-1),""-""))"),"")</f>
        <v/>
      </c>
      <c r="AN192" s="851" t="str">
        <f>IFERROR(__xludf.DUMMYFUNCTION("IF($CR192="""","""",IFERROR(($AD192/(QUERY(GOOGLEFINANCE($CR192,""price"",TODAY()-28),""SELECT Col2 label Col2 ''"")*$CU192)-1),""-""))"),"")</f>
        <v/>
      </c>
      <c r="AO192" s="851" t="str">
        <f>IFERROR(__xludf.DUMMYFUNCTION("IF($CR192="""","""",IFERROR(($AD192/(QUERY(GOOGLEFINANCE($CR192,""price"",TODAY()-$AQ$5),""SELECT Col2 label Col2 ''"")*$CU192)-1),""-""))"),"")</f>
        <v/>
      </c>
      <c r="AP192" s="852" t="str">
        <f>IFERROR(__xludf.DUMMYFUNCTION("IF($CR192="""","""",IFERROR(SPARKLINE(query(GOOGLEFINANCE($CR192,""price"",TODAY()-$AQ$5,TODAY(),1),""select Col2 label Col2 ''""),IF($AP$7=""Gráfico de barras"",{""charttype"",""column"";""highcolor"",""red""},{""chartype"",""line""}))))"),"")</f>
        <v/>
      </c>
      <c r="AQ192" s="144"/>
      <c r="AR192" s="853"/>
      <c r="AS192" s="854" t="str">
        <f>IF($CR192="","",IF(NOT('alocação'!$D$1),"off",IFERROR(VLOOKUP(CR192,BalanceAtivos,3,0),"NC")))</f>
        <v/>
      </c>
      <c r="AT192" s="855" t="str">
        <f>IF($CR192="","",IF(NOT('alocação'!$D$1),"off",IFERROR(VLOOKUP($CR192,BalanceAtivos,4,0)*$CU$5,"NC")))</f>
        <v/>
      </c>
      <c r="AU192" s="856" t="str">
        <f>IF($CR192="","",IF(NOT('alocação'!$D$1),"off",IFERROR(VLOOKUP($CR192,BalanceAtivos,5,0),"-")))</f>
        <v/>
      </c>
      <c r="AV192" s="856" t="str">
        <f>IF($CR192="","",IF(NOT('alocação'!$D$1),"off",IFERROR(VLOOKUP($CR192,BalanceAtivos,6,0),"-")))</f>
        <v/>
      </c>
      <c r="AW192" s="857"/>
      <c r="AX192" s="858" t="str">
        <f>IF($CR192="","",IF($E192="","SP",IFERROR(VLOOKUP($CR192,AtivosDados,MATCH("pm_atual",portfolio.!$A$3:CY$3,0),0)*$CU$5,0)))</f>
        <v/>
      </c>
      <c r="AY192" s="859" t="str">
        <f t="shared" si="2"/>
        <v/>
      </c>
      <c r="AZ192" s="858" t="str">
        <f>IF($CR192="","",IF($E192="","SP",SUMIF(portfolio.!$A$4:$A308,$CR192,portfolio.!$O$4:$O308)*$CU$5))</f>
        <v/>
      </c>
      <c r="BA192" s="858" t="str">
        <f>IF($CR192="","",IF($E192="","SP",SUMIF(portfolio.!$A$4:$A308,$CR192,portfolio.!$AN$4:$AN308)*$CU$5))</f>
        <v/>
      </c>
      <c r="BB192" s="860" t="str">
        <f>IF($CR192="","",IF($E192="","-",IFERROR($BA192/'portfólio'!$DG$63,"")))</f>
        <v/>
      </c>
      <c r="BC192" s="861" t="str">
        <f>IF($CR192="","",IF($E192="","-",SUMIF(portfolio.!$A$4:$A308,$CR192,portfolio.!$J$4:$J308)))</f>
        <v/>
      </c>
      <c r="BD192" s="862" t="str">
        <f>IF($CR192="","",IF($E192="","SP",SUMIF(portfolio.!$A$4:$A308,$CR192,portfolio.!$AQ$4:$AQ308)*$CU$5))</f>
        <v/>
      </c>
      <c r="BE192" s="850" t="str">
        <f t="shared" si="3"/>
        <v/>
      </c>
      <c r="BF192" s="862" t="str">
        <f>IF($CR192="","",IF($E192="","-",SUMIF(portfolio.!$A$4:$A308,$CR192,portfolio.!$AX$4:$AX308)*$CU$5))</f>
        <v/>
      </c>
      <c r="BG192" s="545"/>
      <c r="BH192" s="879" t="s">
        <v>123</v>
      </c>
      <c r="BI192" s="880" t="s">
        <v>123</v>
      </c>
      <c r="BJ192" s="863" t="str">
        <f>IFERROR(__xludf.DUMMYFUNCTION("IF(NOT($BL$4),"""",IF($CR192="""","""",IFERROR(query({GOOGLEFINANCE($CR192,""price"",IF($BI192=""-"",TODAY()-($AQ$5+5),$BI192),TODAY()-1)},""Select max(Col2) where Col1 is not null label max(Col2) ''"")*CU192,""-"")))"),"")</f>
        <v/>
      </c>
      <c r="BK192" s="881" t="s">
        <v>123</v>
      </c>
      <c r="BL192" s="882" t="s">
        <v>123</v>
      </c>
      <c r="BM192" s="442"/>
      <c r="BN192" s="867" t="str">
        <f>IFERROR(__xludf.DUMMYFUNCTION("IF(CR192="""","""",IF(OR(C192=""AÇÃO"",C192=""BDR""),IFERROR(QUERY({fundamentus.!$A$3:$U308},$CX$67&amp;"" where Col1='""&amp;CR192&amp;""' limit 1"",0)),IF(C192=""FII"",IFERROR(QUERY({fundsexplorer.!$A$2:$Z308},$CY$67&amp;"" where Col1='""&amp;CR192&amp;""' limit 1"",0)),""""))"&amp;")"),"")</f>
        <v/>
      </c>
      <c r="BO192" s="867"/>
      <c r="BP192" s="867"/>
      <c r="BQ192" s="867"/>
      <c r="BR192" s="867"/>
      <c r="BS192" s="867"/>
      <c r="BT192" s="867"/>
      <c r="BU192" s="442"/>
      <c r="BV192" s="868" t="str">
        <f>IFERROR(__xludf.DUMMYFUNCTION("IF(OR(C192=""AÇÃO"",C192=""BDR""),IFERROR(GOOGLEFINANCE(CONCAT(""BVMF:"",CR192), ""marketcap"")/1000000,""NC""),"""")"),"")</f>
        <v/>
      </c>
      <c r="BW192" s="869" t="s">
        <v>123</v>
      </c>
      <c r="BX192" s="870" t="s">
        <v>123</v>
      </c>
      <c r="BY192" s="868" t="s">
        <v>123</v>
      </c>
      <c r="BZ192" s="870" t="s">
        <v>123</v>
      </c>
      <c r="CA192" s="868" t="s">
        <v>123</v>
      </c>
      <c r="CB192" s="868" t="s">
        <v>123</v>
      </c>
      <c r="CC192" s="868" t="s">
        <v>123</v>
      </c>
      <c r="CD192" s="868" t="str">
        <f>IFERROR(__xludf.DUMMYFUNCTION("IF(OR(C192=""AÇÃO"",C192=""BDR""),IFERROR(GOOGLEFINANCE(CONCAT(""BVMF:"",CR192), ""volumeavg"")/1000000,""NC""),"""")"),"")</f>
        <v/>
      </c>
      <c r="CE192" s="870" t="s">
        <v>123</v>
      </c>
      <c r="CF192" s="870" t="s">
        <v>123</v>
      </c>
      <c r="CG192" s="870" t="str">
        <f>IFERROR(__xludf.DUMMYFUNCTION("IF(OR(C192=""AÇÃO"",C192=""BDR""),IF(CF192=0,""SEM DY"",IFERROR(ImportXML(CONCAT(""http://www.guiainvest.com.br/raiox/default.aspx?sigla="",$CR192),""//*[@id='lbPayoutAtual']""),""NC"")),"""")"),"")</f>
        <v/>
      </c>
      <c r="CH192" s="870" t="s">
        <v>123</v>
      </c>
      <c r="CI192" s="545"/>
      <c r="CJ192" s="871" t="str">
        <f>IFERROR(__xludf.DUMMYFUNCTION("IF(OR(C192=""AÇÃO"",C192=""BDR""),IFERROR(GOOGLEFINANCE(CONCAT(""BVMF:"",CR192), ""eps""),""NC""),"""")"),"")</f>
        <v/>
      </c>
      <c r="CK192" s="442"/>
      <c r="CL192" s="871" t="str">
        <f>IFERROR(__xludf.DUMMYFUNCTION("IF(NOT($BL$4),"""",IF($CR192="""","""",IF($BC192="""","""",IFERROR(query({op.normal!$B$5:$F308},""select Col5, toDate(Col2) where Col1 =  '""&amp;$CR192&amp;""' and Col4 &gt; 0 and ((Col3 is null) or (Col3 = 'C')) and Col2 &gt;= date '""&amp;TEXT(TODAY()-$AQ$5,""yyyy-mm-dd"&amp;""")&amp;""' order by Col2 desc limit 1 label toDate(Col2) ''"")))))"),"")</f>
        <v/>
      </c>
      <c r="CM192" s="872"/>
      <c r="CN192" s="883" t="s">
        <v>123</v>
      </c>
      <c r="CO192" s="874" t="s">
        <v>123</v>
      </c>
      <c r="CP192" s="766"/>
      <c r="CQ192" s="791"/>
      <c r="CR192" s="791"/>
      <c r="CT192" s="791" t="s">
        <v>123</v>
      </c>
      <c r="CU192" s="791" t="str">
        <f>IFERROR(__xludf.DUMMYFUNCTION("IF(CR192="""","""",IF(CT192=$C$4,1,GOOGLEFINANCE(CT192&amp;$C$4)))"),"")</f>
        <v/>
      </c>
    </row>
    <row r="193" ht="22.5" customHeight="1">
      <c r="A193" s="837">
        <v>185.0</v>
      </c>
      <c r="B193" s="838" t="s">
        <v>123</v>
      </c>
      <c r="C193" s="838" t="s">
        <v>123</v>
      </c>
      <c r="D193" s="839" t="s">
        <v>123</v>
      </c>
      <c r="E193" s="839" t="s">
        <v>123</v>
      </c>
      <c r="F193" s="839" t="s">
        <v>123</v>
      </c>
      <c r="H193" s="884"/>
      <c r="I193" s="838"/>
      <c r="J193" s="838"/>
      <c r="K193" s="838"/>
      <c r="L193" s="838"/>
      <c r="M193" s="838"/>
      <c r="N193" s="838"/>
      <c r="O193" s="838"/>
      <c r="P193" s="838"/>
      <c r="Q193" s="838"/>
      <c r="R193" s="838"/>
      <c r="S193" s="838"/>
      <c r="T193" s="838"/>
      <c r="U193" s="838"/>
      <c r="V193" s="838"/>
      <c r="W193" s="838"/>
      <c r="X193" s="838"/>
      <c r="Z193" s="875" t="str">
        <f>IFERROR(__xludf.DUMMYFUNCTION("IF($CR193="""","""",IFERROR(query({CarteirasAtivos},""select Col4 where Col4 is not null and Col1 = '""&amp;$CR193&amp;""' limit 1"")*CU193,""NC""))"),"")</f>
        <v/>
      </c>
      <c r="AA193" s="876" t="str">
        <f>IFERROR(__xludf.DUMMYFUNCTION("IF($CR193="""","""",IFERROR(query({CarteirasAtivos},""select Col6 where Col4 is not null and Col1 = '""&amp;$CR193&amp;""' limit 1""),""NC""))"),"")</f>
        <v/>
      </c>
      <c r="AB193" s="877"/>
      <c r="AC193" s="878" t="s">
        <v>123</v>
      </c>
      <c r="AD193" s="845" t="str">
        <f>IF($CR193="","",IFERROR(VLOOKUP($CR193,ativos.!$C$3:$R308,MATCH("cotacao",ativos.!$C$2:CY$2,0),FALSE)*$CU$5,"atualizar"))</f>
        <v/>
      </c>
      <c r="AE193" s="846" t="str">
        <f>IFERROR(__xludf.DUMMYFUNCTION("IF($CR193="""","""",IFERROR(AVERAGE(query({CarteirasAtivos;CarteirasAtivosEncerrados},""select Col5 where Col5 is not null and Col1 = '""&amp;$CR193&amp;""' and Col10='SIM'""))*CU193,""NC""))"),"")</f>
        <v/>
      </c>
      <c r="AF193" s="847" t="str">
        <f t="shared" si="1"/>
        <v/>
      </c>
      <c r="AG193" s="442"/>
      <c r="AH193" s="848" t="str">
        <f>IFERROR(__xludf.DUMMYFUNCTION("IF($CR193="""","""",IFERROR(GOOGLEFINANCE($CR193,""low52"")*CU193,""-""))"),"")</f>
        <v/>
      </c>
      <c r="AI193" s="848" t="str">
        <f>IFERROR(__xludf.DUMMYFUNCTION("IF($CR193="""","""",IFERROR(GOOGLEFINANCE($CR193,""high52"")*CU193,""-""))"),"")</f>
        <v/>
      </c>
      <c r="AJ193" s="849" t="s">
        <v>123</v>
      </c>
      <c r="AK193" s="850" t="str">
        <f>IFERROR(__xludf.DUMMYFUNCTION("IF($CR193="""","""",IFERROR(GOOGLEFINANCE($CR193,""changepct"")/100,""-""))"),"")</f>
        <v/>
      </c>
      <c r="AL193" s="851" t="str">
        <f>IFERROR(__xludf.DUMMYFUNCTION("IF($CR193="""","""",IFERROR(($AD193/(QUERY(GOOGLEFINANCE($CR193,""price"",TODAY()-7),""SELECT Col2 label Col2 ''"")*$CU193)-1),""-""))"),"")</f>
        <v/>
      </c>
      <c r="AM193" s="851" t="str">
        <f>IFERROR(__xludf.DUMMYFUNCTION("IF($CR193="""","""",IFERROR(($AD193/(QUERY(GOOGLEFINANCE($CR193,""price"",TODAY()-14),""SELECT Col2 label Col2 ''"")*$CU193)-1),""-""))"),"")</f>
        <v/>
      </c>
      <c r="AN193" s="851" t="str">
        <f>IFERROR(__xludf.DUMMYFUNCTION("IF($CR193="""","""",IFERROR(($AD193/(QUERY(GOOGLEFINANCE($CR193,""price"",TODAY()-28),""SELECT Col2 label Col2 ''"")*$CU193)-1),""-""))"),"")</f>
        <v/>
      </c>
      <c r="AO193" s="851" t="str">
        <f>IFERROR(__xludf.DUMMYFUNCTION("IF($CR193="""","""",IFERROR(($AD193/(QUERY(GOOGLEFINANCE($CR193,""price"",TODAY()-$AQ$5),""SELECT Col2 label Col2 ''"")*$CU193)-1),""-""))"),"")</f>
        <v/>
      </c>
      <c r="AP193" s="852" t="str">
        <f>IFERROR(__xludf.DUMMYFUNCTION("IF($CR193="""","""",IFERROR(SPARKLINE(query(GOOGLEFINANCE($CR193,""price"",TODAY()-$AQ$5,TODAY(),1),""select Col2 label Col2 ''""),IF($AP$7=""Gráfico de barras"",{""charttype"",""column"";""highcolor"",""red""},{""chartype"",""line""}))))"),"")</f>
        <v/>
      </c>
      <c r="AQ193" s="144"/>
      <c r="AR193" s="853"/>
      <c r="AS193" s="854" t="str">
        <f>IF($CR193="","",IF(NOT('alocação'!$D$1),"off",IFERROR(VLOOKUP(CR193,BalanceAtivos,3,0),"NC")))</f>
        <v/>
      </c>
      <c r="AT193" s="855" t="str">
        <f>IF($CR193="","",IF(NOT('alocação'!$D$1),"off",IFERROR(VLOOKUP($CR193,BalanceAtivos,4,0)*$CU$5,"NC")))</f>
        <v/>
      </c>
      <c r="AU193" s="856" t="str">
        <f>IF($CR193="","",IF(NOT('alocação'!$D$1),"off",IFERROR(VLOOKUP($CR193,BalanceAtivos,5,0),"-")))</f>
        <v/>
      </c>
      <c r="AV193" s="856" t="str">
        <f>IF($CR193="","",IF(NOT('alocação'!$D$1),"off",IFERROR(VLOOKUP($CR193,BalanceAtivos,6,0),"-")))</f>
        <v/>
      </c>
      <c r="AW193" s="857"/>
      <c r="AX193" s="858" t="str">
        <f>IF($CR193="","",IF($E193="","SP",IFERROR(VLOOKUP($CR193,AtivosDados,MATCH("pm_atual",portfolio.!$A$3:CY$3,0),0)*$CU$5,0)))</f>
        <v/>
      </c>
      <c r="AY193" s="859" t="str">
        <f t="shared" si="2"/>
        <v/>
      </c>
      <c r="AZ193" s="858" t="str">
        <f>IF($CR193="","",IF($E193="","SP",SUMIF(portfolio.!$A$4:$A308,$CR193,portfolio.!$O$4:$O308)*$CU$5))</f>
        <v/>
      </c>
      <c r="BA193" s="858" t="str">
        <f>IF($CR193="","",IF($E193="","SP",SUMIF(portfolio.!$A$4:$A308,$CR193,portfolio.!$AN$4:$AN308)*$CU$5))</f>
        <v/>
      </c>
      <c r="BB193" s="860" t="str">
        <f>IF($CR193="","",IF($E193="","-",IFERROR($BA193/'portfólio'!$DG$63,"")))</f>
        <v/>
      </c>
      <c r="BC193" s="861" t="str">
        <f>IF($CR193="","",IF($E193="","-",SUMIF(portfolio.!$A$4:$A308,$CR193,portfolio.!$J$4:$J308)))</f>
        <v/>
      </c>
      <c r="BD193" s="862" t="str">
        <f>IF($CR193="","",IF($E193="","SP",SUMIF(portfolio.!$A$4:$A308,$CR193,portfolio.!$AQ$4:$AQ308)*$CU$5))</f>
        <v/>
      </c>
      <c r="BE193" s="850" t="str">
        <f t="shared" si="3"/>
        <v/>
      </c>
      <c r="BF193" s="862" t="str">
        <f>IF($CR193="","",IF($E193="","-",SUMIF(portfolio.!$A$4:$A308,$CR193,portfolio.!$AX$4:$AX308)*$CU$5))</f>
        <v/>
      </c>
      <c r="BG193" s="545"/>
      <c r="BH193" s="879" t="s">
        <v>123</v>
      </c>
      <c r="BI193" s="880" t="s">
        <v>123</v>
      </c>
      <c r="BJ193" s="863" t="str">
        <f>IFERROR(__xludf.DUMMYFUNCTION("IF(NOT($BL$4),"""",IF($CR193="""","""",IFERROR(query({GOOGLEFINANCE($CR193,""price"",IF($BI193=""-"",TODAY()-($AQ$5+5),$BI193),TODAY()-1)},""Select max(Col2) where Col1 is not null label max(Col2) ''"")*CU193,""-"")))"),"")</f>
        <v/>
      </c>
      <c r="BK193" s="881" t="s">
        <v>123</v>
      </c>
      <c r="BL193" s="882" t="s">
        <v>123</v>
      </c>
      <c r="BM193" s="442"/>
      <c r="BN193" s="867" t="str">
        <f>IFERROR(__xludf.DUMMYFUNCTION("IF(CR193="""","""",IF(OR(C193=""AÇÃO"",C193=""BDR""),IFERROR(QUERY({fundamentus.!$A$3:$U308},$CX$67&amp;"" where Col1='""&amp;CR193&amp;""' limit 1"",0)),IF(C193=""FII"",IFERROR(QUERY({fundsexplorer.!$A$2:$Z308},$CY$67&amp;"" where Col1='""&amp;CR193&amp;""' limit 1"",0)),""""))"&amp;")"),"")</f>
        <v/>
      </c>
      <c r="BO193" s="867"/>
      <c r="BP193" s="867"/>
      <c r="BQ193" s="867"/>
      <c r="BR193" s="867"/>
      <c r="BS193" s="867"/>
      <c r="BT193" s="867"/>
      <c r="BU193" s="442"/>
      <c r="BV193" s="868" t="str">
        <f>IFERROR(__xludf.DUMMYFUNCTION("IF(OR(C193=""AÇÃO"",C193=""BDR""),IFERROR(GOOGLEFINANCE(CONCAT(""BVMF:"",CR193), ""marketcap"")/1000000,""NC""),"""")"),"")</f>
        <v/>
      </c>
      <c r="BW193" s="869" t="s">
        <v>123</v>
      </c>
      <c r="BX193" s="870" t="s">
        <v>123</v>
      </c>
      <c r="BY193" s="868" t="s">
        <v>123</v>
      </c>
      <c r="BZ193" s="870" t="s">
        <v>123</v>
      </c>
      <c r="CA193" s="868" t="s">
        <v>123</v>
      </c>
      <c r="CB193" s="868" t="s">
        <v>123</v>
      </c>
      <c r="CC193" s="868" t="s">
        <v>123</v>
      </c>
      <c r="CD193" s="868" t="str">
        <f>IFERROR(__xludf.DUMMYFUNCTION("IF(OR(C193=""AÇÃO"",C193=""BDR""),IFERROR(GOOGLEFINANCE(CONCAT(""BVMF:"",CR193), ""volumeavg"")/1000000,""NC""),"""")"),"")</f>
        <v/>
      </c>
      <c r="CE193" s="870" t="s">
        <v>123</v>
      </c>
      <c r="CF193" s="870" t="s">
        <v>123</v>
      </c>
      <c r="CG193" s="870" t="str">
        <f>IFERROR(__xludf.DUMMYFUNCTION("IF(OR(C193=""AÇÃO"",C193=""BDR""),IF(CF193=0,""SEM DY"",IFERROR(ImportXML(CONCAT(""http://www.guiainvest.com.br/raiox/default.aspx?sigla="",$CR193),""//*[@id='lbPayoutAtual']""),""NC"")),"""")"),"")</f>
        <v/>
      </c>
      <c r="CH193" s="870" t="s">
        <v>123</v>
      </c>
      <c r="CI193" s="545"/>
      <c r="CJ193" s="871" t="str">
        <f>IFERROR(__xludf.DUMMYFUNCTION("IF(OR(C193=""AÇÃO"",C193=""BDR""),IFERROR(GOOGLEFINANCE(CONCAT(""BVMF:"",CR193), ""eps""),""NC""),"""")"),"")</f>
        <v/>
      </c>
      <c r="CK193" s="442"/>
      <c r="CL193" s="871" t="str">
        <f>IFERROR(__xludf.DUMMYFUNCTION("IF(NOT($BL$4),"""",IF($CR193="""","""",IF($BC193="""","""",IFERROR(query({op.normal!$B$5:$F308},""select Col5, toDate(Col2) where Col1 =  '""&amp;$CR193&amp;""' and Col4 &gt; 0 and ((Col3 is null) or (Col3 = 'C')) and Col2 &gt;= date '""&amp;TEXT(TODAY()-$AQ$5,""yyyy-mm-dd"&amp;""")&amp;""' order by Col2 desc limit 1 label toDate(Col2) ''"")))))"),"")</f>
        <v/>
      </c>
      <c r="CM193" s="872"/>
      <c r="CN193" s="883" t="s">
        <v>123</v>
      </c>
      <c r="CO193" s="874" t="s">
        <v>123</v>
      </c>
      <c r="CP193" s="766"/>
      <c r="CQ193" s="791"/>
      <c r="CR193" s="791"/>
      <c r="CT193" s="791" t="s">
        <v>123</v>
      </c>
      <c r="CU193" s="791" t="str">
        <f>IFERROR(__xludf.DUMMYFUNCTION("IF(CR193="""","""",IF(CT193=$C$4,1,GOOGLEFINANCE(CT193&amp;$C$4)))"),"")</f>
        <v/>
      </c>
    </row>
    <row r="194" ht="22.5" customHeight="1">
      <c r="A194" s="837">
        <v>186.0</v>
      </c>
      <c r="B194" s="838" t="s">
        <v>123</v>
      </c>
      <c r="C194" s="838" t="s">
        <v>123</v>
      </c>
      <c r="D194" s="839" t="s">
        <v>123</v>
      </c>
      <c r="E194" s="839" t="s">
        <v>123</v>
      </c>
      <c r="F194" s="839" t="s">
        <v>123</v>
      </c>
      <c r="H194" s="884"/>
      <c r="I194" s="838"/>
      <c r="J194" s="838"/>
      <c r="K194" s="838"/>
      <c r="L194" s="838"/>
      <c r="M194" s="838"/>
      <c r="N194" s="838"/>
      <c r="O194" s="838"/>
      <c r="P194" s="838"/>
      <c r="Q194" s="838"/>
      <c r="R194" s="838"/>
      <c r="S194" s="838"/>
      <c r="T194" s="838"/>
      <c r="U194" s="838"/>
      <c r="V194" s="838"/>
      <c r="W194" s="838"/>
      <c r="X194" s="838"/>
      <c r="Z194" s="875" t="str">
        <f>IFERROR(__xludf.DUMMYFUNCTION("IF($CR194="""","""",IFERROR(query({CarteirasAtivos},""select Col4 where Col4 is not null and Col1 = '""&amp;$CR194&amp;""' limit 1"")*CU194,""NC""))"),"")</f>
        <v/>
      </c>
      <c r="AA194" s="876" t="str">
        <f>IFERROR(__xludf.DUMMYFUNCTION("IF($CR194="""","""",IFERROR(query({CarteirasAtivos},""select Col6 where Col4 is not null and Col1 = '""&amp;$CR194&amp;""' limit 1""),""NC""))"),"")</f>
        <v/>
      </c>
      <c r="AB194" s="877"/>
      <c r="AC194" s="878" t="s">
        <v>123</v>
      </c>
      <c r="AD194" s="845" t="str">
        <f>IF($CR194="","",IFERROR(VLOOKUP($CR194,ativos.!$C$3:$R308,MATCH("cotacao",ativos.!$C$2:CY$2,0),FALSE)*$CU$5,"atualizar"))</f>
        <v/>
      </c>
      <c r="AE194" s="846" t="str">
        <f>IFERROR(__xludf.DUMMYFUNCTION("IF($CR194="""","""",IFERROR(AVERAGE(query({CarteirasAtivos;CarteirasAtivosEncerrados},""select Col5 where Col5 is not null and Col1 = '""&amp;$CR194&amp;""' and Col10='SIM'""))*CU194,""NC""))"),"")</f>
        <v/>
      </c>
      <c r="AF194" s="847" t="str">
        <f t="shared" si="1"/>
        <v/>
      </c>
      <c r="AG194" s="442"/>
      <c r="AH194" s="848" t="str">
        <f>IFERROR(__xludf.DUMMYFUNCTION("IF($CR194="""","""",IFERROR(GOOGLEFINANCE($CR194,""low52"")*CU194,""-""))"),"")</f>
        <v/>
      </c>
      <c r="AI194" s="848" t="str">
        <f>IFERROR(__xludf.DUMMYFUNCTION("IF($CR194="""","""",IFERROR(GOOGLEFINANCE($CR194,""high52"")*CU194,""-""))"),"")</f>
        <v/>
      </c>
      <c r="AJ194" s="849" t="s">
        <v>123</v>
      </c>
      <c r="AK194" s="850" t="str">
        <f>IFERROR(__xludf.DUMMYFUNCTION("IF($CR194="""","""",IFERROR(GOOGLEFINANCE($CR194,""changepct"")/100,""-""))"),"")</f>
        <v/>
      </c>
      <c r="AL194" s="851" t="str">
        <f>IFERROR(__xludf.DUMMYFUNCTION("IF($CR194="""","""",IFERROR(($AD194/(QUERY(GOOGLEFINANCE($CR194,""price"",TODAY()-7),""SELECT Col2 label Col2 ''"")*$CU194)-1),""-""))"),"")</f>
        <v/>
      </c>
      <c r="AM194" s="851" t="str">
        <f>IFERROR(__xludf.DUMMYFUNCTION("IF($CR194="""","""",IFERROR(($AD194/(QUERY(GOOGLEFINANCE($CR194,""price"",TODAY()-14),""SELECT Col2 label Col2 ''"")*$CU194)-1),""-""))"),"")</f>
        <v/>
      </c>
      <c r="AN194" s="851" t="str">
        <f>IFERROR(__xludf.DUMMYFUNCTION("IF($CR194="""","""",IFERROR(($AD194/(QUERY(GOOGLEFINANCE($CR194,""price"",TODAY()-28),""SELECT Col2 label Col2 ''"")*$CU194)-1),""-""))"),"")</f>
        <v/>
      </c>
      <c r="AO194" s="851" t="str">
        <f>IFERROR(__xludf.DUMMYFUNCTION("IF($CR194="""","""",IFERROR(($AD194/(QUERY(GOOGLEFINANCE($CR194,""price"",TODAY()-$AQ$5),""SELECT Col2 label Col2 ''"")*$CU194)-1),""-""))"),"")</f>
        <v/>
      </c>
      <c r="AP194" s="852" t="str">
        <f>IFERROR(__xludf.DUMMYFUNCTION("IF($CR194="""","""",IFERROR(SPARKLINE(query(GOOGLEFINANCE($CR194,""price"",TODAY()-$AQ$5,TODAY(),1),""select Col2 label Col2 ''""),IF($AP$7=""Gráfico de barras"",{""charttype"",""column"";""highcolor"",""red""},{""chartype"",""line""}))))"),"")</f>
        <v/>
      </c>
      <c r="AQ194" s="144"/>
      <c r="AR194" s="853"/>
      <c r="AS194" s="854" t="str">
        <f>IF($CR194="","",IF(NOT('alocação'!$D$1),"off",IFERROR(VLOOKUP(CR194,BalanceAtivos,3,0),"NC")))</f>
        <v/>
      </c>
      <c r="AT194" s="855" t="str">
        <f>IF($CR194="","",IF(NOT('alocação'!$D$1),"off",IFERROR(VLOOKUP($CR194,BalanceAtivos,4,0)*$CU$5,"NC")))</f>
        <v/>
      </c>
      <c r="AU194" s="856" t="str">
        <f>IF($CR194="","",IF(NOT('alocação'!$D$1),"off",IFERROR(VLOOKUP($CR194,BalanceAtivos,5,0),"-")))</f>
        <v/>
      </c>
      <c r="AV194" s="856" t="str">
        <f>IF($CR194="","",IF(NOT('alocação'!$D$1),"off",IFERROR(VLOOKUP($CR194,BalanceAtivos,6,0),"-")))</f>
        <v/>
      </c>
      <c r="AW194" s="857"/>
      <c r="AX194" s="858" t="str">
        <f>IF($CR194="","",IF($E194="","SP",IFERROR(VLOOKUP($CR194,AtivosDados,MATCH("pm_atual",portfolio.!$A$3:CY$3,0),0)*$CU$5,0)))</f>
        <v/>
      </c>
      <c r="AY194" s="859" t="str">
        <f t="shared" si="2"/>
        <v/>
      </c>
      <c r="AZ194" s="858" t="str">
        <f>IF($CR194="","",IF($E194="","SP",SUMIF(portfolio.!$A$4:$A308,$CR194,portfolio.!$O$4:$O308)*$CU$5))</f>
        <v/>
      </c>
      <c r="BA194" s="858" t="str">
        <f>IF($CR194="","",IF($E194="","SP",SUMIF(portfolio.!$A$4:$A308,$CR194,portfolio.!$AN$4:$AN308)*$CU$5))</f>
        <v/>
      </c>
      <c r="BB194" s="860" t="str">
        <f>IF($CR194="","",IF($E194="","-",IFERROR($BA194/'portfólio'!$DG$63,"")))</f>
        <v/>
      </c>
      <c r="BC194" s="861" t="str">
        <f>IF($CR194="","",IF($E194="","-",SUMIF(portfolio.!$A$4:$A308,$CR194,portfolio.!$J$4:$J308)))</f>
        <v/>
      </c>
      <c r="BD194" s="862" t="str">
        <f>IF($CR194="","",IF($E194="","SP",SUMIF(portfolio.!$A$4:$A308,$CR194,portfolio.!$AQ$4:$AQ308)*$CU$5))</f>
        <v/>
      </c>
      <c r="BE194" s="850" t="str">
        <f t="shared" si="3"/>
        <v/>
      </c>
      <c r="BF194" s="862" t="str">
        <f>IF($CR194="","",IF($E194="","-",SUMIF(portfolio.!$A$4:$A308,$CR194,portfolio.!$AX$4:$AX308)*$CU$5))</f>
        <v/>
      </c>
      <c r="BG194" s="545"/>
      <c r="BH194" s="879" t="s">
        <v>123</v>
      </c>
      <c r="BI194" s="880" t="s">
        <v>123</v>
      </c>
      <c r="BJ194" s="863" t="str">
        <f>IFERROR(__xludf.DUMMYFUNCTION("IF(NOT($BL$4),"""",IF($CR194="""","""",IFERROR(query({GOOGLEFINANCE($CR194,""price"",IF($BI194=""-"",TODAY()-($AQ$5+5),$BI194),TODAY()-1)},""Select max(Col2) where Col1 is not null label max(Col2) ''"")*CU194,""-"")))"),"")</f>
        <v/>
      </c>
      <c r="BK194" s="881" t="s">
        <v>123</v>
      </c>
      <c r="BL194" s="882" t="s">
        <v>123</v>
      </c>
      <c r="BM194" s="442"/>
      <c r="BN194" s="867" t="str">
        <f>IFERROR(__xludf.DUMMYFUNCTION("IF(CR194="""","""",IF(OR(C194=""AÇÃO"",C194=""BDR""),IFERROR(QUERY({fundamentus.!$A$3:$U308},$CX$67&amp;"" where Col1='""&amp;CR194&amp;""' limit 1"",0)),IF(C194=""FII"",IFERROR(QUERY({fundsexplorer.!$A$2:$Z308},$CY$67&amp;"" where Col1='""&amp;CR194&amp;""' limit 1"",0)),""""))"&amp;")"),"")</f>
        <v/>
      </c>
      <c r="BO194" s="867"/>
      <c r="BP194" s="867"/>
      <c r="BQ194" s="867"/>
      <c r="BR194" s="867"/>
      <c r="BS194" s="867"/>
      <c r="BT194" s="867"/>
      <c r="BU194" s="442"/>
      <c r="BV194" s="868" t="str">
        <f>IFERROR(__xludf.DUMMYFUNCTION("IF(OR(C194=""AÇÃO"",C194=""BDR""),IFERROR(GOOGLEFINANCE(CONCAT(""BVMF:"",CR194), ""marketcap"")/1000000,""NC""),"""")"),"")</f>
        <v/>
      </c>
      <c r="BW194" s="869" t="s">
        <v>123</v>
      </c>
      <c r="BX194" s="870" t="s">
        <v>123</v>
      </c>
      <c r="BY194" s="868" t="s">
        <v>123</v>
      </c>
      <c r="BZ194" s="870" t="s">
        <v>123</v>
      </c>
      <c r="CA194" s="868" t="s">
        <v>123</v>
      </c>
      <c r="CB194" s="868" t="s">
        <v>123</v>
      </c>
      <c r="CC194" s="868" t="s">
        <v>123</v>
      </c>
      <c r="CD194" s="868" t="str">
        <f>IFERROR(__xludf.DUMMYFUNCTION("IF(OR(C194=""AÇÃO"",C194=""BDR""),IFERROR(GOOGLEFINANCE(CONCAT(""BVMF:"",CR194), ""volumeavg"")/1000000,""NC""),"""")"),"")</f>
        <v/>
      </c>
      <c r="CE194" s="870" t="s">
        <v>123</v>
      </c>
      <c r="CF194" s="870" t="s">
        <v>123</v>
      </c>
      <c r="CG194" s="870" t="str">
        <f>IFERROR(__xludf.DUMMYFUNCTION("IF(OR(C194=""AÇÃO"",C194=""BDR""),IF(CF194=0,""SEM DY"",IFERROR(ImportXML(CONCAT(""http://www.guiainvest.com.br/raiox/default.aspx?sigla="",$CR194),""//*[@id='lbPayoutAtual']""),""NC"")),"""")"),"")</f>
        <v/>
      </c>
      <c r="CH194" s="870" t="s">
        <v>123</v>
      </c>
      <c r="CI194" s="545"/>
      <c r="CJ194" s="871" t="str">
        <f>IFERROR(__xludf.DUMMYFUNCTION("IF(OR(C194=""AÇÃO"",C194=""BDR""),IFERROR(GOOGLEFINANCE(CONCAT(""BVMF:"",CR194), ""eps""),""NC""),"""")"),"")</f>
        <v/>
      </c>
      <c r="CK194" s="442"/>
      <c r="CL194" s="871" t="str">
        <f>IFERROR(__xludf.DUMMYFUNCTION("IF(NOT($BL$4),"""",IF($CR194="""","""",IF($BC194="""","""",IFERROR(query({op.normal!$B$5:$F308},""select Col5, toDate(Col2) where Col1 =  '""&amp;$CR194&amp;""' and Col4 &gt; 0 and ((Col3 is null) or (Col3 = 'C')) and Col2 &gt;= date '""&amp;TEXT(TODAY()-$AQ$5,""yyyy-mm-dd"&amp;""")&amp;""' order by Col2 desc limit 1 label toDate(Col2) ''"")))))"),"")</f>
        <v/>
      </c>
      <c r="CM194" s="872"/>
      <c r="CN194" s="883" t="s">
        <v>123</v>
      </c>
      <c r="CO194" s="874" t="s">
        <v>123</v>
      </c>
      <c r="CP194" s="766"/>
      <c r="CQ194" s="791"/>
      <c r="CR194" s="791"/>
      <c r="CT194" s="791" t="s">
        <v>123</v>
      </c>
      <c r="CU194" s="791" t="str">
        <f>IFERROR(__xludf.DUMMYFUNCTION("IF(CR194="""","""",IF(CT194=$C$4,1,GOOGLEFINANCE(CT194&amp;$C$4)))"),"")</f>
        <v/>
      </c>
    </row>
    <row r="195" ht="22.5" customHeight="1">
      <c r="A195" s="837">
        <v>187.0</v>
      </c>
      <c r="B195" s="838" t="s">
        <v>123</v>
      </c>
      <c r="C195" s="838" t="s">
        <v>123</v>
      </c>
      <c r="D195" s="839" t="s">
        <v>123</v>
      </c>
      <c r="E195" s="839" t="s">
        <v>123</v>
      </c>
      <c r="F195" s="839" t="s">
        <v>123</v>
      </c>
      <c r="H195" s="884"/>
      <c r="I195" s="838"/>
      <c r="J195" s="838"/>
      <c r="K195" s="838"/>
      <c r="L195" s="838"/>
      <c r="M195" s="838"/>
      <c r="N195" s="838"/>
      <c r="O195" s="838"/>
      <c r="P195" s="838"/>
      <c r="Q195" s="838"/>
      <c r="R195" s="838"/>
      <c r="S195" s="838"/>
      <c r="T195" s="838"/>
      <c r="U195" s="838"/>
      <c r="V195" s="838"/>
      <c r="W195" s="838"/>
      <c r="X195" s="838"/>
      <c r="Z195" s="875" t="str">
        <f>IFERROR(__xludf.DUMMYFUNCTION("IF($CR195="""","""",IFERROR(query({CarteirasAtivos},""select Col4 where Col4 is not null and Col1 = '""&amp;$CR195&amp;""' limit 1"")*CU195,""NC""))"),"")</f>
        <v/>
      </c>
      <c r="AA195" s="876" t="str">
        <f>IFERROR(__xludf.DUMMYFUNCTION("IF($CR195="""","""",IFERROR(query({CarteirasAtivos},""select Col6 where Col4 is not null and Col1 = '""&amp;$CR195&amp;""' limit 1""),""NC""))"),"")</f>
        <v/>
      </c>
      <c r="AB195" s="877"/>
      <c r="AC195" s="878" t="s">
        <v>123</v>
      </c>
      <c r="AD195" s="845" t="str">
        <f>IF($CR195="","",IFERROR(VLOOKUP($CR195,ativos.!$C$3:$R308,MATCH("cotacao",ativos.!$C$2:CY$2,0),FALSE)*$CU$5,"atualizar"))</f>
        <v/>
      </c>
      <c r="AE195" s="846" t="str">
        <f>IFERROR(__xludf.DUMMYFUNCTION("IF($CR195="""","""",IFERROR(AVERAGE(query({CarteirasAtivos;CarteirasAtivosEncerrados},""select Col5 where Col5 is not null and Col1 = '""&amp;$CR195&amp;""' and Col10='SIM'""))*CU195,""NC""))"),"")</f>
        <v/>
      </c>
      <c r="AF195" s="847" t="str">
        <f t="shared" si="1"/>
        <v/>
      </c>
      <c r="AG195" s="442"/>
      <c r="AH195" s="848" t="str">
        <f>IFERROR(__xludf.DUMMYFUNCTION("IF($CR195="""","""",IFERROR(GOOGLEFINANCE($CR195,""low52"")*CU195,""-""))"),"")</f>
        <v/>
      </c>
      <c r="AI195" s="848" t="str">
        <f>IFERROR(__xludf.DUMMYFUNCTION("IF($CR195="""","""",IFERROR(GOOGLEFINANCE($CR195,""high52"")*CU195,""-""))"),"")</f>
        <v/>
      </c>
      <c r="AJ195" s="849" t="s">
        <v>123</v>
      </c>
      <c r="AK195" s="850" t="str">
        <f>IFERROR(__xludf.DUMMYFUNCTION("IF($CR195="""","""",IFERROR(GOOGLEFINANCE($CR195,""changepct"")/100,""-""))"),"")</f>
        <v/>
      </c>
      <c r="AL195" s="851" t="str">
        <f>IFERROR(__xludf.DUMMYFUNCTION("IF($CR195="""","""",IFERROR(($AD195/(QUERY(GOOGLEFINANCE($CR195,""price"",TODAY()-7),""SELECT Col2 label Col2 ''"")*$CU195)-1),""-""))"),"")</f>
        <v/>
      </c>
      <c r="AM195" s="851" t="str">
        <f>IFERROR(__xludf.DUMMYFUNCTION("IF($CR195="""","""",IFERROR(($AD195/(QUERY(GOOGLEFINANCE($CR195,""price"",TODAY()-14),""SELECT Col2 label Col2 ''"")*$CU195)-1),""-""))"),"")</f>
        <v/>
      </c>
      <c r="AN195" s="851" t="str">
        <f>IFERROR(__xludf.DUMMYFUNCTION("IF($CR195="""","""",IFERROR(($AD195/(QUERY(GOOGLEFINANCE($CR195,""price"",TODAY()-28),""SELECT Col2 label Col2 ''"")*$CU195)-1),""-""))"),"")</f>
        <v/>
      </c>
      <c r="AO195" s="851" t="str">
        <f>IFERROR(__xludf.DUMMYFUNCTION("IF($CR195="""","""",IFERROR(($AD195/(QUERY(GOOGLEFINANCE($CR195,""price"",TODAY()-$AQ$5),""SELECT Col2 label Col2 ''"")*$CU195)-1),""-""))"),"")</f>
        <v/>
      </c>
      <c r="AP195" s="852" t="str">
        <f>IFERROR(__xludf.DUMMYFUNCTION("IF($CR195="""","""",IFERROR(SPARKLINE(query(GOOGLEFINANCE($CR195,""price"",TODAY()-$AQ$5,TODAY(),1),""select Col2 label Col2 ''""),IF($AP$7=""Gráfico de barras"",{""charttype"",""column"";""highcolor"",""red""},{""chartype"",""line""}))))"),"")</f>
        <v/>
      </c>
      <c r="AQ195" s="144"/>
      <c r="AR195" s="853"/>
      <c r="AS195" s="854" t="str">
        <f>IF($CR195="","",IF(NOT('alocação'!$D$1),"off",IFERROR(VLOOKUP(CR195,BalanceAtivos,3,0),"NC")))</f>
        <v/>
      </c>
      <c r="AT195" s="855" t="str">
        <f>IF($CR195="","",IF(NOT('alocação'!$D$1),"off",IFERROR(VLOOKUP($CR195,BalanceAtivos,4,0)*$CU$5,"NC")))</f>
        <v/>
      </c>
      <c r="AU195" s="856" t="str">
        <f>IF($CR195="","",IF(NOT('alocação'!$D$1),"off",IFERROR(VLOOKUP($CR195,BalanceAtivos,5,0),"-")))</f>
        <v/>
      </c>
      <c r="AV195" s="856" t="str">
        <f>IF($CR195="","",IF(NOT('alocação'!$D$1),"off",IFERROR(VLOOKUP($CR195,BalanceAtivos,6,0),"-")))</f>
        <v/>
      </c>
      <c r="AW195" s="857"/>
      <c r="AX195" s="858" t="str">
        <f>IF($CR195="","",IF($E195="","SP",IFERROR(VLOOKUP($CR195,AtivosDados,MATCH("pm_atual",portfolio.!$A$3:CY$3,0),0)*$CU$5,0)))</f>
        <v/>
      </c>
      <c r="AY195" s="859" t="str">
        <f t="shared" si="2"/>
        <v/>
      </c>
      <c r="AZ195" s="858" t="str">
        <f>IF($CR195="","",IF($E195="","SP",SUMIF(portfolio.!$A$4:$A308,$CR195,portfolio.!$O$4:$O308)*$CU$5))</f>
        <v/>
      </c>
      <c r="BA195" s="858" t="str">
        <f>IF($CR195="","",IF($E195="","SP",SUMIF(portfolio.!$A$4:$A308,$CR195,portfolio.!$AN$4:$AN308)*$CU$5))</f>
        <v/>
      </c>
      <c r="BB195" s="860" t="str">
        <f>IF($CR195="","",IF($E195="","-",IFERROR($BA195/'portfólio'!$DG$63,"")))</f>
        <v/>
      </c>
      <c r="BC195" s="861" t="str">
        <f>IF($CR195="","",IF($E195="","-",SUMIF(portfolio.!$A$4:$A308,$CR195,portfolio.!$J$4:$J308)))</f>
        <v/>
      </c>
      <c r="BD195" s="862" t="str">
        <f>IF($CR195="","",IF($E195="","SP",SUMIF(portfolio.!$A$4:$A308,$CR195,portfolio.!$AQ$4:$AQ308)*$CU$5))</f>
        <v/>
      </c>
      <c r="BE195" s="850" t="str">
        <f t="shared" si="3"/>
        <v/>
      </c>
      <c r="BF195" s="862" t="str">
        <f>IF($CR195="","",IF($E195="","-",SUMIF(portfolio.!$A$4:$A308,$CR195,portfolio.!$AX$4:$AX308)*$CU$5))</f>
        <v/>
      </c>
      <c r="BG195" s="545"/>
      <c r="BH195" s="879" t="s">
        <v>123</v>
      </c>
      <c r="BI195" s="880" t="s">
        <v>123</v>
      </c>
      <c r="BJ195" s="863" t="str">
        <f>IFERROR(__xludf.DUMMYFUNCTION("IF(NOT($BL$4),"""",IF($CR195="""","""",IFERROR(query({GOOGLEFINANCE($CR195,""price"",IF($BI195=""-"",TODAY()-($AQ$5+5),$BI195),TODAY()-1)},""Select max(Col2) where Col1 is not null label max(Col2) ''"")*CU195,""-"")))"),"")</f>
        <v/>
      </c>
      <c r="BK195" s="881" t="s">
        <v>123</v>
      </c>
      <c r="BL195" s="882" t="s">
        <v>123</v>
      </c>
      <c r="BM195" s="442"/>
      <c r="BN195" s="867" t="str">
        <f>IFERROR(__xludf.DUMMYFUNCTION("IF(CR195="""","""",IF(OR(C195=""AÇÃO"",C195=""BDR""),IFERROR(QUERY({fundamentus.!$A$3:$U308},$CX$67&amp;"" where Col1='""&amp;CR195&amp;""' limit 1"",0)),IF(C195=""FII"",IFERROR(QUERY({fundsexplorer.!$A$2:$Z308},$CY$67&amp;"" where Col1='""&amp;CR195&amp;""' limit 1"",0)),""""))"&amp;")"),"")</f>
        <v/>
      </c>
      <c r="BO195" s="867"/>
      <c r="BP195" s="867"/>
      <c r="BQ195" s="867"/>
      <c r="BR195" s="867"/>
      <c r="BS195" s="867"/>
      <c r="BT195" s="867"/>
      <c r="BU195" s="442"/>
      <c r="BV195" s="868" t="str">
        <f>IFERROR(__xludf.DUMMYFUNCTION("IF(OR(C195=""AÇÃO"",C195=""BDR""),IFERROR(GOOGLEFINANCE(CONCAT(""BVMF:"",CR195), ""marketcap"")/1000000,""NC""),"""")"),"")</f>
        <v/>
      </c>
      <c r="BW195" s="869" t="s">
        <v>123</v>
      </c>
      <c r="BX195" s="870" t="s">
        <v>123</v>
      </c>
      <c r="BY195" s="868" t="s">
        <v>123</v>
      </c>
      <c r="BZ195" s="870" t="s">
        <v>123</v>
      </c>
      <c r="CA195" s="868" t="s">
        <v>123</v>
      </c>
      <c r="CB195" s="868" t="s">
        <v>123</v>
      </c>
      <c r="CC195" s="868" t="s">
        <v>123</v>
      </c>
      <c r="CD195" s="868" t="str">
        <f>IFERROR(__xludf.DUMMYFUNCTION("IF(OR(C195=""AÇÃO"",C195=""BDR""),IFERROR(GOOGLEFINANCE(CONCAT(""BVMF:"",CR195), ""volumeavg"")/1000000,""NC""),"""")"),"")</f>
        <v/>
      </c>
      <c r="CE195" s="870" t="s">
        <v>123</v>
      </c>
      <c r="CF195" s="870" t="s">
        <v>123</v>
      </c>
      <c r="CG195" s="870" t="str">
        <f>IFERROR(__xludf.DUMMYFUNCTION("IF(OR(C195=""AÇÃO"",C195=""BDR""),IF(CF195=0,""SEM DY"",IFERROR(ImportXML(CONCAT(""http://www.guiainvest.com.br/raiox/default.aspx?sigla="",$CR195),""//*[@id='lbPayoutAtual']""),""NC"")),"""")"),"")</f>
        <v/>
      </c>
      <c r="CH195" s="870" t="s">
        <v>123</v>
      </c>
      <c r="CI195" s="545"/>
      <c r="CJ195" s="871" t="str">
        <f>IFERROR(__xludf.DUMMYFUNCTION("IF(OR(C195=""AÇÃO"",C195=""BDR""),IFERROR(GOOGLEFINANCE(CONCAT(""BVMF:"",CR195), ""eps""),""NC""),"""")"),"")</f>
        <v/>
      </c>
      <c r="CK195" s="442"/>
      <c r="CL195" s="871" t="str">
        <f>IFERROR(__xludf.DUMMYFUNCTION("IF(NOT($BL$4),"""",IF($CR195="""","""",IF($BC195="""","""",IFERROR(query({op.normal!$B$5:$F308},""select Col5, toDate(Col2) where Col1 =  '""&amp;$CR195&amp;""' and Col4 &gt; 0 and ((Col3 is null) or (Col3 = 'C')) and Col2 &gt;= date '""&amp;TEXT(TODAY()-$AQ$5,""yyyy-mm-dd"&amp;""")&amp;""' order by Col2 desc limit 1 label toDate(Col2) ''"")))))"),"")</f>
        <v/>
      </c>
      <c r="CM195" s="872"/>
      <c r="CN195" s="883" t="s">
        <v>123</v>
      </c>
      <c r="CO195" s="874" t="s">
        <v>123</v>
      </c>
      <c r="CP195" s="766"/>
      <c r="CQ195" s="791"/>
      <c r="CR195" s="791"/>
      <c r="CT195" s="791" t="s">
        <v>123</v>
      </c>
      <c r="CU195" s="791" t="str">
        <f>IFERROR(__xludf.DUMMYFUNCTION("IF(CR195="""","""",IF(CT195=$C$4,1,GOOGLEFINANCE(CT195&amp;$C$4)))"),"")</f>
        <v/>
      </c>
    </row>
    <row r="196" ht="22.5" customHeight="1">
      <c r="A196" s="837">
        <v>188.0</v>
      </c>
      <c r="B196" s="838" t="s">
        <v>123</v>
      </c>
      <c r="C196" s="838" t="s">
        <v>123</v>
      </c>
      <c r="D196" s="839" t="s">
        <v>123</v>
      </c>
      <c r="E196" s="839" t="s">
        <v>123</v>
      </c>
      <c r="F196" s="839" t="s">
        <v>123</v>
      </c>
      <c r="H196" s="884"/>
      <c r="I196" s="838"/>
      <c r="J196" s="838"/>
      <c r="K196" s="838"/>
      <c r="L196" s="838"/>
      <c r="M196" s="838"/>
      <c r="N196" s="838"/>
      <c r="O196" s="838"/>
      <c r="P196" s="838"/>
      <c r="Q196" s="838"/>
      <c r="R196" s="838"/>
      <c r="S196" s="838"/>
      <c r="T196" s="838"/>
      <c r="U196" s="838"/>
      <c r="V196" s="838"/>
      <c r="W196" s="838"/>
      <c r="X196" s="838"/>
      <c r="Z196" s="875" t="str">
        <f>IFERROR(__xludf.DUMMYFUNCTION("IF($CR196="""","""",IFERROR(query({CarteirasAtivos},""select Col4 where Col4 is not null and Col1 = '""&amp;$CR196&amp;""' limit 1"")*CU196,""NC""))"),"")</f>
        <v/>
      </c>
      <c r="AA196" s="876" t="str">
        <f>IFERROR(__xludf.DUMMYFUNCTION("IF($CR196="""","""",IFERROR(query({CarteirasAtivos},""select Col6 where Col4 is not null and Col1 = '""&amp;$CR196&amp;""' limit 1""),""NC""))"),"")</f>
        <v/>
      </c>
      <c r="AB196" s="877"/>
      <c r="AC196" s="878" t="s">
        <v>123</v>
      </c>
      <c r="AD196" s="845" t="str">
        <f>IF($CR196="","",IFERROR(VLOOKUP($CR196,ativos.!$C$3:$R308,MATCH("cotacao",ativos.!$C$2:CY$2,0),FALSE)*$CU$5,"atualizar"))</f>
        <v/>
      </c>
      <c r="AE196" s="846" t="str">
        <f>IFERROR(__xludf.DUMMYFUNCTION("IF($CR196="""","""",IFERROR(AVERAGE(query({CarteirasAtivos;CarteirasAtivosEncerrados},""select Col5 where Col5 is not null and Col1 = '""&amp;$CR196&amp;""' and Col10='SIM'""))*CU196,""NC""))"),"")</f>
        <v/>
      </c>
      <c r="AF196" s="847" t="str">
        <f t="shared" si="1"/>
        <v/>
      </c>
      <c r="AG196" s="442"/>
      <c r="AH196" s="848" t="str">
        <f>IFERROR(__xludf.DUMMYFUNCTION("IF($CR196="""","""",IFERROR(GOOGLEFINANCE($CR196,""low52"")*CU196,""-""))"),"")</f>
        <v/>
      </c>
      <c r="AI196" s="848" t="str">
        <f>IFERROR(__xludf.DUMMYFUNCTION("IF($CR196="""","""",IFERROR(GOOGLEFINANCE($CR196,""high52"")*CU196,""-""))"),"")</f>
        <v/>
      </c>
      <c r="AJ196" s="849" t="s">
        <v>123</v>
      </c>
      <c r="AK196" s="850" t="str">
        <f>IFERROR(__xludf.DUMMYFUNCTION("IF($CR196="""","""",IFERROR(GOOGLEFINANCE($CR196,""changepct"")/100,""-""))"),"")</f>
        <v/>
      </c>
      <c r="AL196" s="851" t="str">
        <f>IFERROR(__xludf.DUMMYFUNCTION("IF($CR196="""","""",IFERROR(($AD196/(QUERY(GOOGLEFINANCE($CR196,""price"",TODAY()-7),""SELECT Col2 label Col2 ''"")*$CU196)-1),""-""))"),"")</f>
        <v/>
      </c>
      <c r="AM196" s="851" t="str">
        <f>IFERROR(__xludf.DUMMYFUNCTION("IF($CR196="""","""",IFERROR(($AD196/(QUERY(GOOGLEFINANCE($CR196,""price"",TODAY()-14),""SELECT Col2 label Col2 ''"")*$CU196)-1),""-""))"),"")</f>
        <v/>
      </c>
      <c r="AN196" s="851" t="str">
        <f>IFERROR(__xludf.DUMMYFUNCTION("IF($CR196="""","""",IFERROR(($AD196/(QUERY(GOOGLEFINANCE($CR196,""price"",TODAY()-28),""SELECT Col2 label Col2 ''"")*$CU196)-1),""-""))"),"")</f>
        <v/>
      </c>
      <c r="AO196" s="851" t="str">
        <f>IFERROR(__xludf.DUMMYFUNCTION("IF($CR196="""","""",IFERROR(($AD196/(QUERY(GOOGLEFINANCE($CR196,""price"",TODAY()-$AQ$5),""SELECT Col2 label Col2 ''"")*$CU196)-1),""-""))"),"")</f>
        <v/>
      </c>
      <c r="AP196" s="852" t="str">
        <f>IFERROR(__xludf.DUMMYFUNCTION("IF($CR196="""","""",IFERROR(SPARKLINE(query(GOOGLEFINANCE($CR196,""price"",TODAY()-$AQ$5,TODAY(),1),""select Col2 label Col2 ''""),IF($AP$7=""Gráfico de barras"",{""charttype"",""column"";""highcolor"",""red""},{""chartype"",""line""}))))"),"")</f>
        <v/>
      </c>
      <c r="AQ196" s="144"/>
      <c r="AR196" s="853"/>
      <c r="AS196" s="854" t="str">
        <f>IF($CR196="","",IF(NOT('alocação'!$D$1),"off",IFERROR(VLOOKUP(CR196,BalanceAtivos,3,0),"NC")))</f>
        <v/>
      </c>
      <c r="AT196" s="855" t="str">
        <f>IF($CR196="","",IF(NOT('alocação'!$D$1),"off",IFERROR(VLOOKUP($CR196,BalanceAtivos,4,0)*$CU$5,"NC")))</f>
        <v/>
      </c>
      <c r="AU196" s="856" t="str">
        <f>IF($CR196="","",IF(NOT('alocação'!$D$1),"off",IFERROR(VLOOKUP($CR196,BalanceAtivos,5,0),"-")))</f>
        <v/>
      </c>
      <c r="AV196" s="856" t="str">
        <f>IF($CR196="","",IF(NOT('alocação'!$D$1),"off",IFERROR(VLOOKUP($CR196,BalanceAtivos,6,0),"-")))</f>
        <v/>
      </c>
      <c r="AW196" s="857"/>
      <c r="AX196" s="858" t="str">
        <f>IF($CR196="","",IF($E196="","SP",IFERROR(VLOOKUP($CR196,AtivosDados,MATCH("pm_atual",portfolio.!$A$3:CY$3,0),0)*$CU$5,0)))</f>
        <v/>
      </c>
      <c r="AY196" s="859" t="str">
        <f t="shared" si="2"/>
        <v/>
      </c>
      <c r="AZ196" s="858" t="str">
        <f>IF($CR196="","",IF($E196="","SP",SUMIF(portfolio.!$A$4:$A308,$CR196,portfolio.!$O$4:$O308)*$CU$5))</f>
        <v/>
      </c>
      <c r="BA196" s="858" t="str">
        <f>IF($CR196="","",IF($E196="","SP",SUMIF(portfolio.!$A$4:$A308,$CR196,portfolio.!$AN$4:$AN308)*$CU$5))</f>
        <v/>
      </c>
      <c r="BB196" s="860" t="str">
        <f>IF($CR196="","",IF($E196="","-",IFERROR($BA196/'portfólio'!$DG$63,"")))</f>
        <v/>
      </c>
      <c r="BC196" s="861" t="str">
        <f>IF($CR196="","",IF($E196="","-",SUMIF(portfolio.!$A$4:$A308,$CR196,portfolio.!$J$4:$J308)))</f>
        <v/>
      </c>
      <c r="BD196" s="862" t="str">
        <f>IF($CR196="","",IF($E196="","SP",SUMIF(portfolio.!$A$4:$A308,$CR196,portfolio.!$AQ$4:$AQ308)*$CU$5))</f>
        <v/>
      </c>
      <c r="BE196" s="850" t="str">
        <f t="shared" si="3"/>
        <v/>
      </c>
      <c r="BF196" s="862" t="str">
        <f>IF($CR196="","",IF($E196="","-",SUMIF(portfolio.!$A$4:$A308,$CR196,portfolio.!$AX$4:$AX308)*$CU$5))</f>
        <v/>
      </c>
      <c r="BG196" s="545"/>
      <c r="BH196" s="879" t="s">
        <v>123</v>
      </c>
      <c r="BI196" s="880" t="s">
        <v>123</v>
      </c>
      <c r="BJ196" s="863" t="str">
        <f>IFERROR(__xludf.DUMMYFUNCTION("IF(NOT($BL$4),"""",IF($CR196="""","""",IFERROR(query({GOOGLEFINANCE($CR196,""price"",IF($BI196=""-"",TODAY()-($AQ$5+5),$BI196),TODAY()-1)},""Select max(Col2) where Col1 is not null label max(Col2) ''"")*CU196,""-"")))"),"")</f>
        <v/>
      </c>
      <c r="BK196" s="881" t="s">
        <v>123</v>
      </c>
      <c r="BL196" s="882" t="s">
        <v>123</v>
      </c>
      <c r="BM196" s="442"/>
      <c r="BN196" s="867" t="str">
        <f>IFERROR(__xludf.DUMMYFUNCTION("IF(CR196="""","""",IF(OR(C196=""AÇÃO"",C196=""BDR""),IFERROR(QUERY({fundamentus.!$A$3:$U308},$CX$67&amp;"" where Col1='""&amp;CR196&amp;""' limit 1"",0)),IF(C196=""FII"",IFERROR(QUERY({fundsexplorer.!$A$2:$Z308},$CY$67&amp;"" where Col1='""&amp;CR196&amp;""' limit 1"",0)),""""))"&amp;")"),"")</f>
        <v/>
      </c>
      <c r="BO196" s="867"/>
      <c r="BP196" s="867"/>
      <c r="BQ196" s="867"/>
      <c r="BR196" s="867"/>
      <c r="BS196" s="867"/>
      <c r="BT196" s="867"/>
      <c r="BU196" s="442"/>
      <c r="BV196" s="868" t="str">
        <f>IFERROR(__xludf.DUMMYFUNCTION("IF(OR(C196=""AÇÃO"",C196=""BDR""),IFERROR(GOOGLEFINANCE(CONCAT(""BVMF:"",CR196), ""marketcap"")/1000000,""NC""),"""")"),"")</f>
        <v/>
      </c>
      <c r="BW196" s="869" t="s">
        <v>123</v>
      </c>
      <c r="BX196" s="870" t="s">
        <v>123</v>
      </c>
      <c r="BY196" s="868" t="s">
        <v>123</v>
      </c>
      <c r="BZ196" s="870" t="s">
        <v>123</v>
      </c>
      <c r="CA196" s="868" t="s">
        <v>123</v>
      </c>
      <c r="CB196" s="868" t="s">
        <v>123</v>
      </c>
      <c r="CC196" s="868" t="s">
        <v>123</v>
      </c>
      <c r="CD196" s="868" t="str">
        <f>IFERROR(__xludf.DUMMYFUNCTION("IF(OR(C196=""AÇÃO"",C196=""BDR""),IFERROR(GOOGLEFINANCE(CONCAT(""BVMF:"",CR196), ""volumeavg"")/1000000,""NC""),"""")"),"")</f>
        <v/>
      </c>
      <c r="CE196" s="870" t="s">
        <v>123</v>
      </c>
      <c r="CF196" s="870" t="s">
        <v>123</v>
      </c>
      <c r="CG196" s="870" t="str">
        <f>IFERROR(__xludf.DUMMYFUNCTION("IF(OR(C196=""AÇÃO"",C196=""BDR""),IF(CF196=0,""SEM DY"",IFERROR(ImportXML(CONCAT(""http://www.guiainvest.com.br/raiox/default.aspx?sigla="",$CR196),""//*[@id='lbPayoutAtual']""),""NC"")),"""")"),"")</f>
        <v/>
      </c>
      <c r="CH196" s="870" t="s">
        <v>123</v>
      </c>
      <c r="CI196" s="545"/>
      <c r="CJ196" s="871" t="str">
        <f>IFERROR(__xludf.DUMMYFUNCTION("IF(OR(C196=""AÇÃO"",C196=""BDR""),IFERROR(GOOGLEFINANCE(CONCAT(""BVMF:"",CR196), ""eps""),""NC""),"""")"),"")</f>
        <v/>
      </c>
      <c r="CK196" s="442"/>
      <c r="CL196" s="871" t="str">
        <f>IFERROR(__xludf.DUMMYFUNCTION("IF(NOT($BL$4),"""",IF($CR196="""","""",IF($BC196="""","""",IFERROR(query({op.normal!$B$5:$F308},""select Col5, toDate(Col2) where Col1 =  '""&amp;$CR196&amp;""' and Col4 &gt; 0 and ((Col3 is null) or (Col3 = 'C')) and Col2 &gt;= date '""&amp;TEXT(TODAY()-$AQ$5,""yyyy-mm-dd"&amp;""")&amp;""' order by Col2 desc limit 1 label toDate(Col2) ''"")))))"),"")</f>
        <v/>
      </c>
      <c r="CM196" s="872"/>
      <c r="CN196" s="883" t="s">
        <v>123</v>
      </c>
      <c r="CO196" s="874" t="s">
        <v>123</v>
      </c>
      <c r="CP196" s="766"/>
      <c r="CQ196" s="791"/>
      <c r="CR196" s="791"/>
      <c r="CT196" s="791" t="s">
        <v>123</v>
      </c>
      <c r="CU196" s="791" t="str">
        <f>IFERROR(__xludf.DUMMYFUNCTION("IF(CR196="""","""",IF(CT196=$C$4,1,GOOGLEFINANCE(CT196&amp;$C$4)))"),"")</f>
        <v/>
      </c>
    </row>
    <row r="197" ht="22.5" customHeight="1">
      <c r="A197" s="837">
        <v>189.0</v>
      </c>
      <c r="B197" s="838" t="s">
        <v>123</v>
      </c>
      <c r="C197" s="838" t="s">
        <v>123</v>
      </c>
      <c r="D197" s="839" t="s">
        <v>123</v>
      </c>
      <c r="E197" s="839" t="s">
        <v>123</v>
      </c>
      <c r="F197" s="839" t="s">
        <v>123</v>
      </c>
      <c r="H197" s="884"/>
      <c r="I197" s="838"/>
      <c r="J197" s="838"/>
      <c r="K197" s="838"/>
      <c r="L197" s="838"/>
      <c r="M197" s="838"/>
      <c r="N197" s="838"/>
      <c r="O197" s="838"/>
      <c r="P197" s="838"/>
      <c r="Q197" s="838"/>
      <c r="R197" s="838"/>
      <c r="S197" s="838"/>
      <c r="T197" s="838"/>
      <c r="U197" s="838"/>
      <c r="V197" s="838"/>
      <c r="W197" s="838"/>
      <c r="X197" s="838"/>
      <c r="Z197" s="875" t="str">
        <f>IFERROR(__xludf.DUMMYFUNCTION("IF($CR197="""","""",IFERROR(query({CarteirasAtivos},""select Col4 where Col4 is not null and Col1 = '""&amp;$CR197&amp;""' limit 1"")*CU197,""NC""))"),"")</f>
        <v/>
      </c>
      <c r="AA197" s="876" t="str">
        <f>IFERROR(__xludf.DUMMYFUNCTION("IF($CR197="""","""",IFERROR(query({CarteirasAtivos},""select Col6 where Col4 is not null and Col1 = '""&amp;$CR197&amp;""' limit 1""),""NC""))"),"")</f>
        <v/>
      </c>
      <c r="AB197" s="877"/>
      <c r="AC197" s="878" t="s">
        <v>123</v>
      </c>
      <c r="AD197" s="845" t="str">
        <f>IF($CR197="","",IFERROR(VLOOKUP($CR197,ativos.!$C$3:$R308,MATCH("cotacao",ativos.!$C$2:CY$2,0),FALSE)*$CU$5,"atualizar"))</f>
        <v/>
      </c>
      <c r="AE197" s="846" t="str">
        <f>IFERROR(__xludf.DUMMYFUNCTION("IF($CR197="""","""",IFERROR(AVERAGE(query({CarteirasAtivos;CarteirasAtivosEncerrados},""select Col5 where Col5 is not null and Col1 = '""&amp;$CR197&amp;""' and Col10='SIM'""))*CU197,""NC""))"),"")</f>
        <v/>
      </c>
      <c r="AF197" s="847" t="str">
        <f t="shared" si="1"/>
        <v/>
      </c>
      <c r="AG197" s="442"/>
      <c r="AH197" s="848" t="str">
        <f>IFERROR(__xludf.DUMMYFUNCTION("IF($CR197="""","""",IFERROR(GOOGLEFINANCE($CR197,""low52"")*CU197,""-""))"),"")</f>
        <v/>
      </c>
      <c r="AI197" s="848" t="str">
        <f>IFERROR(__xludf.DUMMYFUNCTION("IF($CR197="""","""",IFERROR(GOOGLEFINANCE($CR197,""high52"")*CU197,""-""))"),"")</f>
        <v/>
      </c>
      <c r="AJ197" s="849" t="s">
        <v>123</v>
      </c>
      <c r="AK197" s="850" t="str">
        <f>IFERROR(__xludf.DUMMYFUNCTION("IF($CR197="""","""",IFERROR(GOOGLEFINANCE($CR197,""changepct"")/100,""-""))"),"")</f>
        <v/>
      </c>
      <c r="AL197" s="851" t="str">
        <f>IFERROR(__xludf.DUMMYFUNCTION("IF($CR197="""","""",IFERROR(($AD197/(QUERY(GOOGLEFINANCE($CR197,""price"",TODAY()-7),""SELECT Col2 label Col2 ''"")*$CU197)-1),""-""))"),"")</f>
        <v/>
      </c>
      <c r="AM197" s="851" t="str">
        <f>IFERROR(__xludf.DUMMYFUNCTION("IF($CR197="""","""",IFERROR(($AD197/(QUERY(GOOGLEFINANCE($CR197,""price"",TODAY()-14),""SELECT Col2 label Col2 ''"")*$CU197)-1),""-""))"),"")</f>
        <v/>
      </c>
      <c r="AN197" s="851" t="str">
        <f>IFERROR(__xludf.DUMMYFUNCTION("IF($CR197="""","""",IFERROR(($AD197/(QUERY(GOOGLEFINANCE($CR197,""price"",TODAY()-28),""SELECT Col2 label Col2 ''"")*$CU197)-1),""-""))"),"")</f>
        <v/>
      </c>
      <c r="AO197" s="851" t="str">
        <f>IFERROR(__xludf.DUMMYFUNCTION("IF($CR197="""","""",IFERROR(($AD197/(QUERY(GOOGLEFINANCE($CR197,""price"",TODAY()-$AQ$5),""SELECT Col2 label Col2 ''"")*$CU197)-1),""-""))"),"")</f>
        <v/>
      </c>
      <c r="AP197" s="852" t="str">
        <f>IFERROR(__xludf.DUMMYFUNCTION("IF($CR197="""","""",IFERROR(SPARKLINE(query(GOOGLEFINANCE($CR197,""price"",TODAY()-$AQ$5,TODAY(),1),""select Col2 label Col2 ''""),IF($AP$7=""Gráfico de barras"",{""charttype"",""column"";""highcolor"",""red""},{""chartype"",""line""}))))"),"")</f>
        <v/>
      </c>
      <c r="AQ197" s="144"/>
      <c r="AR197" s="853"/>
      <c r="AS197" s="854" t="str">
        <f>IF($CR197="","",IF(NOT('alocação'!$D$1),"off",IFERROR(VLOOKUP(CR197,BalanceAtivos,3,0),"NC")))</f>
        <v/>
      </c>
      <c r="AT197" s="855" t="str">
        <f>IF($CR197="","",IF(NOT('alocação'!$D$1),"off",IFERROR(VLOOKUP($CR197,BalanceAtivos,4,0)*$CU$5,"NC")))</f>
        <v/>
      </c>
      <c r="AU197" s="856" t="str">
        <f>IF($CR197="","",IF(NOT('alocação'!$D$1),"off",IFERROR(VLOOKUP($CR197,BalanceAtivos,5,0),"-")))</f>
        <v/>
      </c>
      <c r="AV197" s="856" t="str">
        <f>IF($CR197="","",IF(NOT('alocação'!$D$1),"off",IFERROR(VLOOKUP($CR197,BalanceAtivos,6,0),"-")))</f>
        <v/>
      </c>
      <c r="AW197" s="857"/>
      <c r="AX197" s="858" t="str">
        <f>IF($CR197="","",IF($E197="","SP",IFERROR(VLOOKUP($CR197,AtivosDados,MATCH("pm_atual",portfolio.!$A$3:CY$3,0),0)*$CU$5,0)))</f>
        <v/>
      </c>
      <c r="AY197" s="859" t="str">
        <f t="shared" si="2"/>
        <v/>
      </c>
      <c r="AZ197" s="858" t="str">
        <f>IF($CR197="","",IF($E197="","SP",SUMIF(portfolio.!$A$4:$A308,$CR197,portfolio.!$O$4:$O308)*$CU$5))</f>
        <v/>
      </c>
      <c r="BA197" s="858" t="str">
        <f>IF($CR197="","",IF($E197="","SP",SUMIF(portfolio.!$A$4:$A308,$CR197,portfolio.!$AN$4:$AN308)*$CU$5))</f>
        <v/>
      </c>
      <c r="BB197" s="860" t="str">
        <f>IF($CR197="","",IF($E197="","-",IFERROR($BA197/'portfólio'!$DG$63,"")))</f>
        <v/>
      </c>
      <c r="BC197" s="861" t="str">
        <f>IF($CR197="","",IF($E197="","-",SUMIF(portfolio.!$A$4:$A308,$CR197,portfolio.!$J$4:$J308)))</f>
        <v/>
      </c>
      <c r="BD197" s="862" t="str">
        <f>IF($CR197="","",IF($E197="","SP",SUMIF(portfolio.!$A$4:$A308,$CR197,portfolio.!$AQ$4:$AQ308)*$CU$5))</f>
        <v/>
      </c>
      <c r="BE197" s="850" t="str">
        <f t="shared" si="3"/>
        <v/>
      </c>
      <c r="BF197" s="862" t="str">
        <f>IF($CR197="","",IF($E197="","-",SUMIF(portfolio.!$A$4:$A308,$CR197,portfolio.!$AX$4:$AX308)*$CU$5))</f>
        <v/>
      </c>
      <c r="BG197" s="545"/>
      <c r="BH197" s="879" t="s">
        <v>123</v>
      </c>
      <c r="BI197" s="880" t="s">
        <v>123</v>
      </c>
      <c r="BJ197" s="863" t="str">
        <f>IFERROR(__xludf.DUMMYFUNCTION("IF(NOT($BL$4),"""",IF($CR197="""","""",IFERROR(query({GOOGLEFINANCE($CR197,""price"",IF($BI197=""-"",TODAY()-($AQ$5+5),$BI197),TODAY()-1)},""Select max(Col2) where Col1 is not null label max(Col2) ''"")*CU197,""-"")))"),"")</f>
        <v/>
      </c>
      <c r="BK197" s="881" t="s">
        <v>123</v>
      </c>
      <c r="BL197" s="882" t="s">
        <v>123</v>
      </c>
      <c r="BM197" s="442"/>
      <c r="BN197" s="867" t="str">
        <f>IFERROR(__xludf.DUMMYFUNCTION("IF(CR197="""","""",IF(OR(C197=""AÇÃO"",C197=""BDR""),IFERROR(QUERY({fundamentus.!$A$3:$U308},$CX$67&amp;"" where Col1='""&amp;CR197&amp;""' limit 1"",0)),IF(C197=""FII"",IFERROR(QUERY({fundsexplorer.!$A$2:$Z308},$CY$67&amp;"" where Col1='""&amp;CR197&amp;""' limit 1"",0)),""""))"&amp;")"),"")</f>
        <v/>
      </c>
      <c r="BO197" s="867"/>
      <c r="BP197" s="867"/>
      <c r="BQ197" s="867"/>
      <c r="BR197" s="867"/>
      <c r="BS197" s="867"/>
      <c r="BT197" s="867"/>
      <c r="BU197" s="442"/>
      <c r="BV197" s="868" t="str">
        <f>IFERROR(__xludf.DUMMYFUNCTION("IF(OR(C197=""AÇÃO"",C197=""BDR""),IFERROR(GOOGLEFINANCE(CONCAT(""BVMF:"",CR197), ""marketcap"")/1000000,""NC""),"""")"),"")</f>
        <v/>
      </c>
      <c r="BW197" s="869" t="s">
        <v>123</v>
      </c>
      <c r="BX197" s="870" t="s">
        <v>123</v>
      </c>
      <c r="BY197" s="868" t="s">
        <v>123</v>
      </c>
      <c r="BZ197" s="870" t="s">
        <v>123</v>
      </c>
      <c r="CA197" s="868" t="s">
        <v>123</v>
      </c>
      <c r="CB197" s="868" t="s">
        <v>123</v>
      </c>
      <c r="CC197" s="868" t="s">
        <v>123</v>
      </c>
      <c r="CD197" s="868" t="str">
        <f>IFERROR(__xludf.DUMMYFUNCTION("IF(OR(C197=""AÇÃO"",C197=""BDR""),IFERROR(GOOGLEFINANCE(CONCAT(""BVMF:"",CR197), ""volumeavg"")/1000000,""NC""),"""")"),"")</f>
        <v/>
      </c>
      <c r="CE197" s="870" t="s">
        <v>123</v>
      </c>
      <c r="CF197" s="870" t="s">
        <v>123</v>
      </c>
      <c r="CG197" s="870" t="str">
        <f>IFERROR(__xludf.DUMMYFUNCTION("IF(OR(C197=""AÇÃO"",C197=""BDR""),IF(CF197=0,""SEM DY"",IFERROR(ImportXML(CONCAT(""http://www.guiainvest.com.br/raiox/default.aspx?sigla="",$CR197),""//*[@id='lbPayoutAtual']""),""NC"")),"""")"),"")</f>
        <v/>
      </c>
      <c r="CH197" s="870" t="s">
        <v>123</v>
      </c>
      <c r="CI197" s="545"/>
      <c r="CJ197" s="871" t="str">
        <f>IFERROR(__xludf.DUMMYFUNCTION("IF(OR(C197=""AÇÃO"",C197=""BDR""),IFERROR(GOOGLEFINANCE(CONCAT(""BVMF:"",CR197), ""eps""),""NC""),"""")"),"")</f>
        <v/>
      </c>
      <c r="CK197" s="442"/>
      <c r="CL197" s="871" t="str">
        <f>IFERROR(__xludf.DUMMYFUNCTION("IF(NOT($BL$4),"""",IF($CR197="""","""",IF($BC197="""","""",IFERROR(query({op.normal!$B$5:$F308},""select Col5, toDate(Col2) where Col1 =  '""&amp;$CR197&amp;""' and Col4 &gt; 0 and ((Col3 is null) or (Col3 = 'C')) and Col2 &gt;= date '""&amp;TEXT(TODAY()-$AQ$5,""yyyy-mm-dd"&amp;""")&amp;""' order by Col2 desc limit 1 label toDate(Col2) ''"")))))"),"")</f>
        <v/>
      </c>
      <c r="CM197" s="872"/>
      <c r="CN197" s="883" t="s">
        <v>123</v>
      </c>
      <c r="CO197" s="874" t="s">
        <v>123</v>
      </c>
      <c r="CP197" s="766"/>
      <c r="CQ197" s="791"/>
      <c r="CR197" s="791"/>
      <c r="CT197" s="791" t="s">
        <v>123</v>
      </c>
      <c r="CU197" s="791" t="str">
        <f>IFERROR(__xludf.DUMMYFUNCTION("IF(CR197="""","""",IF(CT197=$C$4,1,GOOGLEFINANCE(CT197&amp;$C$4)))"),"")</f>
        <v/>
      </c>
    </row>
    <row r="198" ht="22.5" customHeight="1">
      <c r="A198" s="837">
        <v>190.0</v>
      </c>
      <c r="B198" s="838" t="s">
        <v>123</v>
      </c>
      <c r="C198" s="838" t="s">
        <v>123</v>
      </c>
      <c r="D198" s="839" t="s">
        <v>123</v>
      </c>
      <c r="E198" s="839" t="s">
        <v>123</v>
      </c>
      <c r="F198" s="839" t="s">
        <v>123</v>
      </c>
      <c r="H198" s="884"/>
      <c r="I198" s="838"/>
      <c r="J198" s="838"/>
      <c r="K198" s="838"/>
      <c r="L198" s="838"/>
      <c r="M198" s="838"/>
      <c r="N198" s="838"/>
      <c r="O198" s="838"/>
      <c r="P198" s="838"/>
      <c r="Q198" s="838"/>
      <c r="R198" s="838"/>
      <c r="S198" s="838"/>
      <c r="T198" s="838"/>
      <c r="U198" s="838"/>
      <c r="V198" s="838"/>
      <c r="W198" s="838"/>
      <c r="X198" s="838"/>
      <c r="Z198" s="875" t="str">
        <f>IFERROR(__xludf.DUMMYFUNCTION("IF($CR198="""","""",IFERROR(query({CarteirasAtivos},""select Col4 where Col4 is not null and Col1 = '""&amp;$CR198&amp;""' limit 1"")*CU198,""NC""))"),"")</f>
        <v/>
      </c>
      <c r="AA198" s="876" t="str">
        <f>IFERROR(__xludf.DUMMYFUNCTION("IF($CR198="""","""",IFERROR(query({CarteirasAtivos},""select Col6 where Col4 is not null and Col1 = '""&amp;$CR198&amp;""' limit 1""),""NC""))"),"")</f>
        <v/>
      </c>
      <c r="AB198" s="877"/>
      <c r="AC198" s="878" t="s">
        <v>123</v>
      </c>
      <c r="AD198" s="845" t="str">
        <f>IF($CR198="","",IFERROR(VLOOKUP($CR198,ativos.!$C$3:$R308,MATCH("cotacao",ativos.!$C$2:CY$2,0),FALSE)*$CU$5,"atualizar"))</f>
        <v/>
      </c>
      <c r="AE198" s="846" t="str">
        <f>IFERROR(__xludf.DUMMYFUNCTION("IF($CR198="""","""",IFERROR(AVERAGE(query({CarteirasAtivos;CarteirasAtivosEncerrados},""select Col5 where Col5 is not null and Col1 = '""&amp;$CR198&amp;""' and Col10='SIM'""))*CU198,""NC""))"),"")</f>
        <v/>
      </c>
      <c r="AF198" s="847" t="str">
        <f t="shared" si="1"/>
        <v/>
      </c>
      <c r="AG198" s="442"/>
      <c r="AH198" s="848" t="str">
        <f>IFERROR(__xludf.DUMMYFUNCTION("IF($CR198="""","""",IFERROR(GOOGLEFINANCE($CR198,""low52"")*CU198,""-""))"),"")</f>
        <v/>
      </c>
      <c r="AI198" s="848" t="str">
        <f>IFERROR(__xludf.DUMMYFUNCTION("IF($CR198="""","""",IFERROR(GOOGLEFINANCE($CR198,""high52"")*CU198,""-""))"),"")</f>
        <v/>
      </c>
      <c r="AJ198" s="849" t="s">
        <v>123</v>
      </c>
      <c r="AK198" s="850" t="str">
        <f>IFERROR(__xludf.DUMMYFUNCTION("IF($CR198="""","""",IFERROR(GOOGLEFINANCE($CR198,""changepct"")/100,""-""))"),"")</f>
        <v/>
      </c>
      <c r="AL198" s="851" t="str">
        <f>IFERROR(__xludf.DUMMYFUNCTION("IF($CR198="""","""",IFERROR(($AD198/(QUERY(GOOGLEFINANCE($CR198,""price"",TODAY()-7),""SELECT Col2 label Col2 ''"")*$CU198)-1),""-""))"),"")</f>
        <v/>
      </c>
      <c r="AM198" s="851" t="str">
        <f>IFERROR(__xludf.DUMMYFUNCTION("IF($CR198="""","""",IFERROR(($AD198/(QUERY(GOOGLEFINANCE($CR198,""price"",TODAY()-14),""SELECT Col2 label Col2 ''"")*$CU198)-1),""-""))"),"")</f>
        <v/>
      </c>
      <c r="AN198" s="851" t="str">
        <f>IFERROR(__xludf.DUMMYFUNCTION("IF($CR198="""","""",IFERROR(($AD198/(QUERY(GOOGLEFINANCE($CR198,""price"",TODAY()-28),""SELECT Col2 label Col2 ''"")*$CU198)-1),""-""))"),"")</f>
        <v/>
      </c>
      <c r="AO198" s="851" t="str">
        <f>IFERROR(__xludf.DUMMYFUNCTION("IF($CR198="""","""",IFERROR(($AD198/(QUERY(GOOGLEFINANCE($CR198,""price"",TODAY()-$AQ$5),""SELECT Col2 label Col2 ''"")*$CU198)-1),""-""))"),"")</f>
        <v/>
      </c>
      <c r="AP198" s="852" t="str">
        <f>IFERROR(__xludf.DUMMYFUNCTION("IF($CR198="""","""",IFERROR(SPARKLINE(query(GOOGLEFINANCE($CR198,""price"",TODAY()-$AQ$5,TODAY(),1),""select Col2 label Col2 ''""),IF($AP$7=""Gráfico de barras"",{""charttype"",""column"";""highcolor"",""red""},{""chartype"",""line""}))))"),"")</f>
        <v/>
      </c>
      <c r="AQ198" s="144"/>
      <c r="AR198" s="853"/>
      <c r="AS198" s="854" t="str">
        <f>IF($CR198="","",IF(NOT('alocação'!$D$1),"off",IFERROR(VLOOKUP(CR198,BalanceAtivos,3,0),"NC")))</f>
        <v/>
      </c>
      <c r="AT198" s="855" t="str">
        <f>IF($CR198="","",IF(NOT('alocação'!$D$1),"off",IFERROR(VLOOKUP($CR198,BalanceAtivos,4,0)*$CU$5,"NC")))</f>
        <v/>
      </c>
      <c r="AU198" s="856" t="str">
        <f>IF($CR198="","",IF(NOT('alocação'!$D$1),"off",IFERROR(VLOOKUP($CR198,BalanceAtivos,5,0),"-")))</f>
        <v/>
      </c>
      <c r="AV198" s="856" t="str">
        <f>IF($CR198="","",IF(NOT('alocação'!$D$1),"off",IFERROR(VLOOKUP($CR198,BalanceAtivos,6,0),"-")))</f>
        <v/>
      </c>
      <c r="AW198" s="857"/>
      <c r="AX198" s="858" t="str">
        <f>IF($CR198="","",IF($E198="","SP",IFERROR(VLOOKUP($CR198,AtivosDados,MATCH("pm_atual",portfolio.!$A$3:CY$3,0),0)*$CU$5,0)))</f>
        <v/>
      </c>
      <c r="AY198" s="859" t="str">
        <f t="shared" si="2"/>
        <v/>
      </c>
      <c r="AZ198" s="858" t="str">
        <f>IF($CR198="","",IF($E198="","SP",SUMIF(portfolio.!$A$4:$A308,$CR198,portfolio.!$O$4:$O308)*$CU$5))</f>
        <v/>
      </c>
      <c r="BA198" s="858" t="str">
        <f>IF($CR198="","",IF($E198="","SP",SUMIF(portfolio.!$A$4:$A308,$CR198,portfolio.!$AN$4:$AN308)*$CU$5))</f>
        <v/>
      </c>
      <c r="BB198" s="860" t="str">
        <f>IF($CR198="","",IF($E198="","-",IFERROR($BA198/'portfólio'!$DG$63,"")))</f>
        <v/>
      </c>
      <c r="BC198" s="861" t="str">
        <f>IF($CR198="","",IF($E198="","-",SUMIF(portfolio.!$A$4:$A308,$CR198,portfolio.!$J$4:$J308)))</f>
        <v/>
      </c>
      <c r="BD198" s="862" t="str">
        <f>IF($CR198="","",IF($E198="","SP",SUMIF(portfolio.!$A$4:$A308,$CR198,portfolio.!$AQ$4:$AQ308)*$CU$5))</f>
        <v/>
      </c>
      <c r="BE198" s="850" t="str">
        <f t="shared" si="3"/>
        <v/>
      </c>
      <c r="BF198" s="862" t="str">
        <f>IF($CR198="","",IF($E198="","-",SUMIF(portfolio.!$A$4:$A308,$CR198,portfolio.!$AX$4:$AX308)*$CU$5))</f>
        <v/>
      </c>
      <c r="BG198" s="545"/>
      <c r="BH198" s="879" t="s">
        <v>123</v>
      </c>
      <c r="BI198" s="880" t="s">
        <v>123</v>
      </c>
      <c r="BJ198" s="863" t="str">
        <f>IFERROR(__xludf.DUMMYFUNCTION("IF(NOT($BL$4),"""",IF($CR198="""","""",IFERROR(query({GOOGLEFINANCE($CR198,""price"",IF($BI198=""-"",TODAY()-($AQ$5+5),$BI198),TODAY()-1)},""Select max(Col2) where Col1 is not null label max(Col2) ''"")*CU198,""-"")))"),"")</f>
        <v/>
      </c>
      <c r="BK198" s="881" t="s">
        <v>123</v>
      </c>
      <c r="BL198" s="882" t="s">
        <v>123</v>
      </c>
      <c r="BM198" s="442"/>
      <c r="BN198" s="867" t="str">
        <f>IFERROR(__xludf.DUMMYFUNCTION("IF(CR198="""","""",IF(OR(C198=""AÇÃO"",C198=""BDR""),IFERROR(QUERY({fundamentus.!$A$3:$U308},$CX$67&amp;"" where Col1='""&amp;CR198&amp;""' limit 1"",0)),IF(C198=""FII"",IFERROR(QUERY({fundsexplorer.!$A$2:$Z308},$CY$67&amp;"" where Col1='""&amp;CR198&amp;""' limit 1"",0)),""""))"&amp;")"),"")</f>
        <v/>
      </c>
      <c r="BO198" s="867"/>
      <c r="BP198" s="867"/>
      <c r="BQ198" s="867"/>
      <c r="BR198" s="867"/>
      <c r="BS198" s="867"/>
      <c r="BT198" s="867"/>
      <c r="BU198" s="442"/>
      <c r="BV198" s="868" t="str">
        <f>IFERROR(__xludf.DUMMYFUNCTION("IF(OR(C198=""AÇÃO"",C198=""BDR""),IFERROR(GOOGLEFINANCE(CONCAT(""BVMF:"",CR198), ""marketcap"")/1000000,""NC""),"""")"),"")</f>
        <v/>
      </c>
      <c r="BW198" s="869" t="s">
        <v>123</v>
      </c>
      <c r="BX198" s="870" t="s">
        <v>123</v>
      </c>
      <c r="BY198" s="868" t="s">
        <v>123</v>
      </c>
      <c r="BZ198" s="870" t="s">
        <v>123</v>
      </c>
      <c r="CA198" s="868" t="s">
        <v>123</v>
      </c>
      <c r="CB198" s="868" t="s">
        <v>123</v>
      </c>
      <c r="CC198" s="868" t="s">
        <v>123</v>
      </c>
      <c r="CD198" s="868" t="str">
        <f>IFERROR(__xludf.DUMMYFUNCTION("IF(OR(C198=""AÇÃO"",C198=""BDR""),IFERROR(GOOGLEFINANCE(CONCAT(""BVMF:"",CR198), ""volumeavg"")/1000000,""NC""),"""")"),"")</f>
        <v/>
      </c>
      <c r="CE198" s="870" t="s">
        <v>123</v>
      </c>
      <c r="CF198" s="870" t="s">
        <v>123</v>
      </c>
      <c r="CG198" s="870" t="str">
        <f>IFERROR(__xludf.DUMMYFUNCTION("IF(OR(C198=""AÇÃO"",C198=""BDR""),IF(CF198=0,""SEM DY"",IFERROR(ImportXML(CONCAT(""http://www.guiainvest.com.br/raiox/default.aspx?sigla="",$CR198),""//*[@id='lbPayoutAtual']""),""NC"")),"""")"),"")</f>
        <v/>
      </c>
      <c r="CH198" s="870" t="s">
        <v>123</v>
      </c>
      <c r="CI198" s="545"/>
      <c r="CJ198" s="871" t="str">
        <f>IFERROR(__xludf.DUMMYFUNCTION("IF(OR(C198=""AÇÃO"",C198=""BDR""),IFERROR(GOOGLEFINANCE(CONCAT(""BVMF:"",CR198), ""eps""),""NC""),"""")"),"")</f>
        <v/>
      </c>
      <c r="CK198" s="442"/>
      <c r="CL198" s="871" t="str">
        <f>IFERROR(__xludf.DUMMYFUNCTION("IF(NOT($BL$4),"""",IF($CR198="""","""",IF($BC198="""","""",IFERROR(query({op.normal!$B$5:$F308},""select Col5, toDate(Col2) where Col1 =  '""&amp;$CR198&amp;""' and Col4 &gt; 0 and ((Col3 is null) or (Col3 = 'C')) and Col2 &gt;= date '""&amp;TEXT(TODAY()-$AQ$5,""yyyy-mm-dd"&amp;""")&amp;""' order by Col2 desc limit 1 label toDate(Col2) ''"")))))"),"")</f>
        <v/>
      </c>
      <c r="CM198" s="872"/>
      <c r="CN198" s="883" t="s">
        <v>123</v>
      </c>
      <c r="CO198" s="874" t="s">
        <v>123</v>
      </c>
      <c r="CP198" s="766"/>
      <c r="CQ198" s="791"/>
      <c r="CR198" s="791"/>
      <c r="CT198" s="791" t="s">
        <v>123</v>
      </c>
      <c r="CU198" s="791" t="str">
        <f>IFERROR(__xludf.DUMMYFUNCTION("IF(CR198="""","""",IF(CT198=$C$4,1,GOOGLEFINANCE(CT198&amp;$C$4)))"),"")</f>
        <v/>
      </c>
    </row>
    <row r="199" ht="22.5" customHeight="1">
      <c r="A199" s="837">
        <v>191.0</v>
      </c>
      <c r="B199" s="838" t="s">
        <v>123</v>
      </c>
      <c r="C199" s="838" t="s">
        <v>123</v>
      </c>
      <c r="D199" s="839" t="s">
        <v>123</v>
      </c>
      <c r="E199" s="839" t="s">
        <v>123</v>
      </c>
      <c r="F199" s="839" t="s">
        <v>123</v>
      </c>
      <c r="H199" s="884"/>
      <c r="I199" s="838"/>
      <c r="J199" s="838"/>
      <c r="K199" s="838"/>
      <c r="L199" s="838"/>
      <c r="M199" s="838"/>
      <c r="N199" s="838"/>
      <c r="O199" s="838"/>
      <c r="P199" s="838"/>
      <c r="Q199" s="838"/>
      <c r="R199" s="838"/>
      <c r="S199" s="838"/>
      <c r="T199" s="838"/>
      <c r="U199" s="838"/>
      <c r="V199" s="838"/>
      <c r="W199" s="838"/>
      <c r="X199" s="838"/>
      <c r="Z199" s="875" t="str">
        <f>IFERROR(__xludf.DUMMYFUNCTION("IF($CR199="""","""",IFERROR(query({CarteirasAtivos},""select Col4 where Col4 is not null and Col1 = '""&amp;$CR199&amp;""' limit 1"")*CU199,""NC""))"),"")</f>
        <v/>
      </c>
      <c r="AA199" s="876" t="str">
        <f>IFERROR(__xludf.DUMMYFUNCTION("IF($CR199="""","""",IFERROR(query({CarteirasAtivos},""select Col6 where Col4 is not null and Col1 = '""&amp;$CR199&amp;""' limit 1""),""NC""))"),"")</f>
        <v/>
      </c>
      <c r="AB199" s="877"/>
      <c r="AC199" s="878" t="s">
        <v>123</v>
      </c>
      <c r="AD199" s="845" t="str">
        <f>IF($CR199="","",IFERROR(VLOOKUP($CR199,ativos.!$C$3:$R308,MATCH("cotacao",ativos.!$C$2:CY$2,0),FALSE)*$CU$5,"atualizar"))</f>
        <v/>
      </c>
      <c r="AE199" s="846" t="str">
        <f>IFERROR(__xludf.DUMMYFUNCTION("IF($CR199="""","""",IFERROR(AVERAGE(query({CarteirasAtivos;CarteirasAtivosEncerrados},""select Col5 where Col5 is not null and Col1 = '""&amp;$CR199&amp;""' and Col10='SIM'""))*CU199,""NC""))"),"")</f>
        <v/>
      </c>
      <c r="AF199" s="847" t="str">
        <f t="shared" si="1"/>
        <v/>
      </c>
      <c r="AG199" s="442"/>
      <c r="AH199" s="848" t="str">
        <f>IFERROR(__xludf.DUMMYFUNCTION("IF($CR199="""","""",IFERROR(GOOGLEFINANCE($CR199,""low52"")*CU199,""-""))"),"")</f>
        <v/>
      </c>
      <c r="AI199" s="848" t="str">
        <f>IFERROR(__xludf.DUMMYFUNCTION("IF($CR199="""","""",IFERROR(GOOGLEFINANCE($CR199,""high52"")*CU199,""-""))"),"")</f>
        <v/>
      </c>
      <c r="AJ199" s="849" t="s">
        <v>123</v>
      </c>
      <c r="AK199" s="850" t="str">
        <f>IFERROR(__xludf.DUMMYFUNCTION("IF($CR199="""","""",IFERROR(GOOGLEFINANCE($CR199,""changepct"")/100,""-""))"),"")</f>
        <v/>
      </c>
      <c r="AL199" s="851" t="str">
        <f>IFERROR(__xludf.DUMMYFUNCTION("IF($CR199="""","""",IFERROR(($AD199/(QUERY(GOOGLEFINANCE($CR199,""price"",TODAY()-7),""SELECT Col2 label Col2 ''"")*$CU199)-1),""-""))"),"")</f>
        <v/>
      </c>
      <c r="AM199" s="851" t="str">
        <f>IFERROR(__xludf.DUMMYFUNCTION("IF($CR199="""","""",IFERROR(($AD199/(QUERY(GOOGLEFINANCE($CR199,""price"",TODAY()-14),""SELECT Col2 label Col2 ''"")*$CU199)-1),""-""))"),"")</f>
        <v/>
      </c>
      <c r="AN199" s="851" t="str">
        <f>IFERROR(__xludf.DUMMYFUNCTION("IF($CR199="""","""",IFERROR(($AD199/(QUERY(GOOGLEFINANCE($CR199,""price"",TODAY()-28),""SELECT Col2 label Col2 ''"")*$CU199)-1),""-""))"),"")</f>
        <v/>
      </c>
      <c r="AO199" s="851" t="str">
        <f>IFERROR(__xludf.DUMMYFUNCTION("IF($CR199="""","""",IFERROR(($AD199/(QUERY(GOOGLEFINANCE($CR199,""price"",TODAY()-$AQ$5),""SELECT Col2 label Col2 ''"")*$CU199)-1),""-""))"),"")</f>
        <v/>
      </c>
      <c r="AP199" s="852" t="str">
        <f>IFERROR(__xludf.DUMMYFUNCTION("IF($CR199="""","""",IFERROR(SPARKLINE(query(GOOGLEFINANCE($CR199,""price"",TODAY()-$AQ$5,TODAY(),1),""select Col2 label Col2 ''""),IF($AP$7=""Gráfico de barras"",{""charttype"",""column"";""highcolor"",""red""},{""chartype"",""line""}))))"),"")</f>
        <v/>
      </c>
      <c r="AQ199" s="144"/>
      <c r="AR199" s="853"/>
      <c r="AS199" s="854" t="str">
        <f>IF($CR199="","",IF(NOT('alocação'!$D$1),"off",IFERROR(VLOOKUP(CR199,BalanceAtivos,3,0),"NC")))</f>
        <v/>
      </c>
      <c r="AT199" s="855" t="str">
        <f>IF($CR199="","",IF(NOT('alocação'!$D$1),"off",IFERROR(VLOOKUP($CR199,BalanceAtivos,4,0)*$CU$5,"NC")))</f>
        <v/>
      </c>
      <c r="AU199" s="856" t="str">
        <f>IF($CR199="","",IF(NOT('alocação'!$D$1),"off",IFERROR(VLOOKUP($CR199,BalanceAtivos,5,0),"-")))</f>
        <v/>
      </c>
      <c r="AV199" s="856" t="str">
        <f>IF($CR199="","",IF(NOT('alocação'!$D$1),"off",IFERROR(VLOOKUP($CR199,BalanceAtivos,6,0),"-")))</f>
        <v/>
      </c>
      <c r="AW199" s="857"/>
      <c r="AX199" s="858" t="str">
        <f>IF($CR199="","",IF($E199="","SP",IFERROR(VLOOKUP($CR199,AtivosDados,MATCH("pm_atual",portfolio.!$A$3:CY$3,0),0)*$CU$5,0)))</f>
        <v/>
      </c>
      <c r="AY199" s="859" t="str">
        <f t="shared" si="2"/>
        <v/>
      </c>
      <c r="AZ199" s="858" t="str">
        <f>IF($CR199="","",IF($E199="","SP",SUMIF(portfolio.!$A$4:$A308,$CR199,portfolio.!$O$4:$O308)*$CU$5))</f>
        <v/>
      </c>
      <c r="BA199" s="858" t="str">
        <f>IF($CR199="","",IF($E199="","SP",SUMIF(portfolio.!$A$4:$A308,$CR199,portfolio.!$AN$4:$AN308)*$CU$5))</f>
        <v/>
      </c>
      <c r="BB199" s="860" t="str">
        <f>IF($CR199="","",IF($E199="","-",IFERROR($BA199/'portfólio'!$DG$63,"")))</f>
        <v/>
      </c>
      <c r="BC199" s="861" t="str">
        <f>IF($CR199="","",IF($E199="","-",SUMIF(portfolio.!$A$4:$A308,$CR199,portfolio.!$J$4:$J308)))</f>
        <v/>
      </c>
      <c r="BD199" s="862" t="str">
        <f>IF($CR199="","",IF($E199="","SP",SUMIF(portfolio.!$A$4:$A308,$CR199,portfolio.!$AQ$4:$AQ308)*$CU$5))</f>
        <v/>
      </c>
      <c r="BE199" s="850" t="str">
        <f t="shared" si="3"/>
        <v/>
      </c>
      <c r="BF199" s="862" t="str">
        <f>IF($CR199="","",IF($E199="","-",SUMIF(portfolio.!$A$4:$A308,$CR199,portfolio.!$AX$4:$AX308)*$CU$5))</f>
        <v/>
      </c>
      <c r="BG199" s="545"/>
      <c r="BH199" s="879" t="s">
        <v>123</v>
      </c>
      <c r="BI199" s="880" t="s">
        <v>123</v>
      </c>
      <c r="BJ199" s="863" t="str">
        <f>IFERROR(__xludf.DUMMYFUNCTION("IF(NOT($BL$4),"""",IF($CR199="""","""",IFERROR(query({GOOGLEFINANCE($CR199,""price"",IF($BI199=""-"",TODAY()-($AQ$5+5),$BI199),TODAY()-1)},""Select max(Col2) where Col1 is not null label max(Col2) ''"")*CU199,""-"")))"),"")</f>
        <v/>
      </c>
      <c r="BK199" s="881" t="s">
        <v>123</v>
      </c>
      <c r="BL199" s="882" t="s">
        <v>123</v>
      </c>
      <c r="BM199" s="442"/>
      <c r="BN199" s="867" t="str">
        <f>IFERROR(__xludf.DUMMYFUNCTION("IF(CR199="""","""",IF(OR(C199=""AÇÃO"",C199=""BDR""),IFERROR(QUERY({fundamentus.!$A$3:$U308},$CX$67&amp;"" where Col1='""&amp;CR199&amp;""' limit 1"",0)),IF(C199=""FII"",IFERROR(QUERY({fundsexplorer.!$A$2:$Z308},$CY$67&amp;"" where Col1='""&amp;CR199&amp;""' limit 1"",0)),""""))"&amp;")"),"")</f>
        <v/>
      </c>
      <c r="BO199" s="867"/>
      <c r="BP199" s="867"/>
      <c r="BQ199" s="867"/>
      <c r="BR199" s="867"/>
      <c r="BS199" s="867"/>
      <c r="BT199" s="867"/>
      <c r="BU199" s="442"/>
      <c r="BV199" s="868" t="str">
        <f>IFERROR(__xludf.DUMMYFUNCTION("IF(OR(C199=""AÇÃO"",C199=""BDR""),IFERROR(GOOGLEFINANCE(CONCAT(""BVMF:"",CR199), ""marketcap"")/1000000,""NC""),"""")"),"")</f>
        <v/>
      </c>
      <c r="BW199" s="869" t="s">
        <v>123</v>
      </c>
      <c r="BX199" s="870" t="s">
        <v>123</v>
      </c>
      <c r="BY199" s="868" t="s">
        <v>123</v>
      </c>
      <c r="BZ199" s="870" t="s">
        <v>123</v>
      </c>
      <c r="CA199" s="868" t="s">
        <v>123</v>
      </c>
      <c r="CB199" s="868" t="s">
        <v>123</v>
      </c>
      <c r="CC199" s="868" t="s">
        <v>123</v>
      </c>
      <c r="CD199" s="868" t="str">
        <f>IFERROR(__xludf.DUMMYFUNCTION("IF(OR(C199=""AÇÃO"",C199=""BDR""),IFERROR(GOOGLEFINANCE(CONCAT(""BVMF:"",CR199), ""volumeavg"")/1000000,""NC""),"""")"),"")</f>
        <v/>
      </c>
      <c r="CE199" s="870" t="s">
        <v>123</v>
      </c>
      <c r="CF199" s="870" t="s">
        <v>123</v>
      </c>
      <c r="CG199" s="870" t="str">
        <f>IFERROR(__xludf.DUMMYFUNCTION("IF(OR(C199=""AÇÃO"",C199=""BDR""),IF(CF199=0,""SEM DY"",IFERROR(ImportXML(CONCAT(""http://www.guiainvest.com.br/raiox/default.aspx?sigla="",$CR199),""//*[@id='lbPayoutAtual']""),""NC"")),"""")"),"")</f>
        <v/>
      </c>
      <c r="CH199" s="870" t="s">
        <v>123</v>
      </c>
      <c r="CI199" s="545"/>
      <c r="CJ199" s="871" t="str">
        <f>IFERROR(__xludf.DUMMYFUNCTION("IF(OR(C199=""AÇÃO"",C199=""BDR""),IFERROR(GOOGLEFINANCE(CONCAT(""BVMF:"",CR199), ""eps""),""NC""),"""")"),"")</f>
        <v/>
      </c>
      <c r="CK199" s="442"/>
      <c r="CL199" s="871" t="str">
        <f>IFERROR(__xludf.DUMMYFUNCTION("IF(NOT($BL$4),"""",IF($CR199="""","""",IF($BC199="""","""",IFERROR(query({op.normal!$B$5:$F308},""select Col5, toDate(Col2) where Col1 =  '""&amp;$CR199&amp;""' and Col4 &gt; 0 and ((Col3 is null) or (Col3 = 'C')) and Col2 &gt;= date '""&amp;TEXT(TODAY()-$AQ$5,""yyyy-mm-dd"&amp;""")&amp;""' order by Col2 desc limit 1 label toDate(Col2) ''"")))))"),"")</f>
        <v/>
      </c>
      <c r="CM199" s="872"/>
      <c r="CN199" s="883" t="s">
        <v>123</v>
      </c>
      <c r="CO199" s="874" t="s">
        <v>123</v>
      </c>
      <c r="CP199" s="766"/>
      <c r="CQ199" s="791"/>
      <c r="CR199" s="791"/>
      <c r="CT199" s="791" t="s">
        <v>123</v>
      </c>
      <c r="CU199" s="791" t="str">
        <f>IFERROR(__xludf.DUMMYFUNCTION("IF(CR199="""","""",IF(CT199=$C$4,1,GOOGLEFINANCE(CT199&amp;$C$4)))"),"")</f>
        <v/>
      </c>
    </row>
    <row r="200" ht="22.5" customHeight="1">
      <c r="A200" s="837">
        <v>192.0</v>
      </c>
      <c r="B200" s="838" t="s">
        <v>123</v>
      </c>
      <c r="C200" s="838" t="s">
        <v>123</v>
      </c>
      <c r="D200" s="839" t="s">
        <v>123</v>
      </c>
      <c r="E200" s="839" t="s">
        <v>123</v>
      </c>
      <c r="F200" s="839" t="s">
        <v>123</v>
      </c>
      <c r="H200" s="884"/>
      <c r="I200" s="838"/>
      <c r="J200" s="838"/>
      <c r="K200" s="838"/>
      <c r="L200" s="838"/>
      <c r="M200" s="838"/>
      <c r="N200" s="838"/>
      <c r="O200" s="838"/>
      <c r="P200" s="838"/>
      <c r="Q200" s="838"/>
      <c r="R200" s="838"/>
      <c r="S200" s="838"/>
      <c r="T200" s="838"/>
      <c r="U200" s="838"/>
      <c r="V200" s="838"/>
      <c r="W200" s="838"/>
      <c r="X200" s="838"/>
      <c r="Z200" s="875" t="str">
        <f>IFERROR(__xludf.DUMMYFUNCTION("IF($CR200="""","""",IFERROR(query({CarteirasAtivos},""select Col4 where Col4 is not null and Col1 = '""&amp;$CR200&amp;""' limit 1"")*CU200,""NC""))"),"")</f>
        <v/>
      </c>
      <c r="AA200" s="876" t="str">
        <f>IFERROR(__xludf.DUMMYFUNCTION("IF($CR200="""","""",IFERROR(query({CarteirasAtivos},""select Col6 where Col4 is not null and Col1 = '""&amp;$CR200&amp;""' limit 1""),""NC""))"),"")</f>
        <v/>
      </c>
      <c r="AB200" s="877"/>
      <c r="AC200" s="878" t="s">
        <v>123</v>
      </c>
      <c r="AD200" s="845" t="str">
        <f>IF($CR200="","",IFERROR(VLOOKUP($CR200,ativos.!$C$3:$R308,MATCH("cotacao",ativos.!$C$2:CY$2,0),FALSE)*$CU$5,"atualizar"))</f>
        <v/>
      </c>
      <c r="AE200" s="846" t="str">
        <f>IFERROR(__xludf.DUMMYFUNCTION("IF($CR200="""","""",IFERROR(AVERAGE(query({CarteirasAtivos;CarteirasAtivosEncerrados},""select Col5 where Col5 is not null and Col1 = '""&amp;$CR200&amp;""' and Col10='SIM'""))*CU200,""NC""))"),"")</f>
        <v/>
      </c>
      <c r="AF200" s="847" t="str">
        <f t="shared" si="1"/>
        <v/>
      </c>
      <c r="AG200" s="442"/>
      <c r="AH200" s="848" t="str">
        <f>IFERROR(__xludf.DUMMYFUNCTION("IF($CR200="""","""",IFERROR(GOOGLEFINANCE($CR200,""low52"")*CU200,""-""))"),"")</f>
        <v/>
      </c>
      <c r="AI200" s="848" t="str">
        <f>IFERROR(__xludf.DUMMYFUNCTION("IF($CR200="""","""",IFERROR(GOOGLEFINANCE($CR200,""high52"")*CU200,""-""))"),"")</f>
        <v/>
      </c>
      <c r="AJ200" s="849" t="s">
        <v>123</v>
      </c>
      <c r="AK200" s="850" t="str">
        <f>IFERROR(__xludf.DUMMYFUNCTION("IF($CR200="""","""",IFERROR(GOOGLEFINANCE($CR200,""changepct"")/100,""-""))"),"")</f>
        <v/>
      </c>
      <c r="AL200" s="851" t="str">
        <f>IFERROR(__xludf.DUMMYFUNCTION("IF($CR200="""","""",IFERROR(($AD200/(QUERY(GOOGLEFINANCE($CR200,""price"",TODAY()-7),""SELECT Col2 label Col2 ''"")*$CU200)-1),""-""))"),"")</f>
        <v/>
      </c>
      <c r="AM200" s="851" t="str">
        <f>IFERROR(__xludf.DUMMYFUNCTION("IF($CR200="""","""",IFERROR(($AD200/(QUERY(GOOGLEFINANCE($CR200,""price"",TODAY()-14),""SELECT Col2 label Col2 ''"")*$CU200)-1),""-""))"),"")</f>
        <v/>
      </c>
      <c r="AN200" s="851" t="str">
        <f>IFERROR(__xludf.DUMMYFUNCTION("IF($CR200="""","""",IFERROR(($AD200/(QUERY(GOOGLEFINANCE($CR200,""price"",TODAY()-28),""SELECT Col2 label Col2 ''"")*$CU200)-1),""-""))"),"")</f>
        <v/>
      </c>
      <c r="AO200" s="851" t="str">
        <f>IFERROR(__xludf.DUMMYFUNCTION("IF($CR200="""","""",IFERROR(($AD200/(QUERY(GOOGLEFINANCE($CR200,""price"",TODAY()-$AQ$5),""SELECT Col2 label Col2 ''"")*$CU200)-1),""-""))"),"")</f>
        <v/>
      </c>
      <c r="AP200" s="852" t="str">
        <f>IFERROR(__xludf.DUMMYFUNCTION("IF($CR200="""","""",IFERROR(SPARKLINE(query(GOOGLEFINANCE($CR200,""price"",TODAY()-$AQ$5,TODAY(),1),""select Col2 label Col2 ''""),IF($AP$7=""Gráfico de barras"",{""charttype"",""column"";""highcolor"",""red""},{""chartype"",""line""}))))"),"")</f>
        <v/>
      </c>
      <c r="AQ200" s="144"/>
      <c r="AR200" s="853"/>
      <c r="AS200" s="854" t="str">
        <f>IF($CR200="","",IF(NOT('alocação'!$D$1),"off",IFERROR(VLOOKUP(CR200,BalanceAtivos,3,0),"NC")))</f>
        <v/>
      </c>
      <c r="AT200" s="855" t="str">
        <f>IF($CR200="","",IF(NOT('alocação'!$D$1),"off",IFERROR(VLOOKUP($CR200,BalanceAtivos,4,0)*$CU$5,"NC")))</f>
        <v/>
      </c>
      <c r="AU200" s="856" t="str">
        <f>IF($CR200="","",IF(NOT('alocação'!$D$1),"off",IFERROR(VLOOKUP($CR200,BalanceAtivos,5,0),"-")))</f>
        <v/>
      </c>
      <c r="AV200" s="856" t="str">
        <f>IF($CR200="","",IF(NOT('alocação'!$D$1),"off",IFERROR(VLOOKUP($CR200,BalanceAtivos,6,0),"-")))</f>
        <v/>
      </c>
      <c r="AW200" s="857"/>
      <c r="AX200" s="858" t="str">
        <f>IF($CR200="","",IF($E200="","SP",IFERROR(VLOOKUP($CR200,AtivosDados,MATCH("pm_atual",portfolio.!$A$3:CY$3,0),0)*$CU$5,0)))</f>
        <v/>
      </c>
      <c r="AY200" s="859" t="str">
        <f t="shared" si="2"/>
        <v/>
      </c>
      <c r="AZ200" s="858" t="str">
        <f>IF($CR200="","",IF($E200="","SP",SUMIF(portfolio.!$A$4:$A308,$CR200,portfolio.!$O$4:$O308)*$CU$5))</f>
        <v/>
      </c>
      <c r="BA200" s="858" t="str">
        <f>IF($CR200="","",IF($E200="","SP",SUMIF(portfolio.!$A$4:$A308,$CR200,portfolio.!$AN$4:$AN308)*$CU$5))</f>
        <v/>
      </c>
      <c r="BB200" s="860" t="str">
        <f>IF($CR200="","",IF($E200="","-",IFERROR($BA200/'portfólio'!$DG$63,"")))</f>
        <v/>
      </c>
      <c r="BC200" s="861" t="str">
        <f>IF($CR200="","",IF($E200="","-",SUMIF(portfolio.!$A$4:$A308,$CR200,portfolio.!$J$4:$J308)))</f>
        <v/>
      </c>
      <c r="BD200" s="862" t="str">
        <f>IF($CR200="","",IF($E200="","SP",SUMIF(portfolio.!$A$4:$A308,$CR200,portfolio.!$AQ$4:$AQ308)*$CU$5))</f>
        <v/>
      </c>
      <c r="BE200" s="850" t="str">
        <f t="shared" si="3"/>
        <v/>
      </c>
      <c r="BF200" s="862" t="str">
        <f>IF($CR200="","",IF($E200="","-",SUMIF(portfolio.!$A$4:$A308,$CR200,portfolio.!$AX$4:$AX308)*$CU$5))</f>
        <v/>
      </c>
      <c r="BG200" s="545"/>
      <c r="BH200" s="879" t="s">
        <v>123</v>
      </c>
      <c r="BI200" s="880" t="s">
        <v>123</v>
      </c>
      <c r="BJ200" s="863" t="str">
        <f>IFERROR(__xludf.DUMMYFUNCTION("IF(NOT($BL$4),"""",IF($CR200="""","""",IFERROR(query({GOOGLEFINANCE($CR200,""price"",IF($BI200=""-"",TODAY()-($AQ$5+5),$BI200),TODAY()-1)},""Select max(Col2) where Col1 is not null label max(Col2) ''"")*CU200,""-"")))"),"")</f>
        <v/>
      </c>
      <c r="BK200" s="881" t="s">
        <v>123</v>
      </c>
      <c r="BL200" s="882" t="s">
        <v>123</v>
      </c>
      <c r="BM200" s="442"/>
      <c r="BN200" s="867" t="str">
        <f>IFERROR(__xludf.DUMMYFUNCTION("IF(CR200="""","""",IF(OR(C200=""AÇÃO"",C200=""BDR""),IFERROR(QUERY({fundamentus.!$A$3:$U308},$CX$67&amp;"" where Col1='""&amp;CR200&amp;""' limit 1"",0)),IF(C200=""FII"",IFERROR(QUERY({fundsexplorer.!$A$2:$Z308},$CY$67&amp;"" where Col1='""&amp;CR200&amp;""' limit 1"",0)),""""))"&amp;")"),"")</f>
        <v/>
      </c>
      <c r="BO200" s="867"/>
      <c r="BP200" s="867"/>
      <c r="BQ200" s="867"/>
      <c r="BR200" s="867"/>
      <c r="BS200" s="867"/>
      <c r="BT200" s="867"/>
      <c r="BU200" s="442"/>
      <c r="BV200" s="868" t="str">
        <f>IFERROR(__xludf.DUMMYFUNCTION("IF(OR(C200=""AÇÃO"",C200=""BDR""),IFERROR(GOOGLEFINANCE(CONCAT(""BVMF:"",CR200), ""marketcap"")/1000000,""NC""),"""")"),"")</f>
        <v/>
      </c>
      <c r="BW200" s="869" t="s">
        <v>123</v>
      </c>
      <c r="BX200" s="870" t="s">
        <v>123</v>
      </c>
      <c r="BY200" s="868" t="s">
        <v>123</v>
      </c>
      <c r="BZ200" s="870" t="s">
        <v>123</v>
      </c>
      <c r="CA200" s="868" t="s">
        <v>123</v>
      </c>
      <c r="CB200" s="868" t="s">
        <v>123</v>
      </c>
      <c r="CC200" s="868" t="s">
        <v>123</v>
      </c>
      <c r="CD200" s="868" t="str">
        <f>IFERROR(__xludf.DUMMYFUNCTION("IF(OR(C200=""AÇÃO"",C200=""BDR""),IFERROR(GOOGLEFINANCE(CONCAT(""BVMF:"",CR200), ""volumeavg"")/1000000,""NC""),"""")"),"")</f>
        <v/>
      </c>
      <c r="CE200" s="870" t="s">
        <v>123</v>
      </c>
      <c r="CF200" s="870" t="s">
        <v>123</v>
      </c>
      <c r="CG200" s="870" t="str">
        <f>IFERROR(__xludf.DUMMYFUNCTION("IF(OR(C200=""AÇÃO"",C200=""BDR""),IF(CF200=0,""SEM DY"",IFERROR(ImportXML(CONCAT(""http://www.guiainvest.com.br/raiox/default.aspx?sigla="",$CR200),""//*[@id='lbPayoutAtual']""),""NC"")),"""")"),"")</f>
        <v/>
      </c>
      <c r="CH200" s="870" t="s">
        <v>123</v>
      </c>
      <c r="CI200" s="545"/>
      <c r="CJ200" s="871" t="str">
        <f>IFERROR(__xludf.DUMMYFUNCTION("IF(OR(C200=""AÇÃO"",C200=""BDR""),IFERROR(GOOGLEFINANCE(CONCAT(""BVMF:"",CR200), ""eps""),""NC""),"""")"),"")</f>
        <v/>
      </c>
      <c r="CK200" s="442"/>
      <c r="CL200" s="871" t="str">
        <f>IFERROR(__xludf.DUMMYFUNCTION("IF(NOT($BL$4),"""",IF($CR200="""","""",IF($BC200="""","""",IFERROR(query({op.normal!$B$5:$F308},""select Col5, toDate(Col2) where Col1 =  '""&amp;$CR200&amp;""' and Col4 &gt; 0 and ((Col3 is null) or (Col3 = 'C')) and Col2 &gt;= date '""&amp;TEXT(TODAY()-$AQ$5,""yyyy-mm-dd"&amp;""")&amp;""' order by Col2 desc limit 1 label toDate(Col2) ''"")))))"),"")</f>
        <v/>
      </c>
      <c r="CM200" s="872"/>
      <c r="CN200" s="883" t="s">
        <v>123</v>
      </c>
      <c r="CO200" s="874" t="s">
        <v>123</v>
      </c>
      <c r="CP200" s="766"/>
      <c r="CQ200" s="791"/>
      <c r="CR200" s="791"/>
      <c r="CT200" s="791" t="s">
        <v>123</v>
      </c>
      <c r="CU200" s="791" t="str">
        <f>IFERROR(__xludf.DUMMYFUNCTION("IF(CR200="""","""",IF(CT200=$C$4,1,GOOGLEFINANCE(CT200&amp;$C$4)))"),"")</f>
        <v/>
      </c>
    </row>
    <row r="201" ht="22.5" customHeight="1">
      <c r="A201" s="837">
        <v>193.0</v>
      </c>
      <c r="B201" s="838" t="s">
        <v>123</v>
      </c>
      <c r="C201" s="838" t="s">
        <v>123</v>
      </c>
      <c r="D201" s="839" t="s">
        <v>123</v>
      </c>
      <c r="E201" s="839" t="s">
        <v>123</v>
      </c>
      <c r="F201" s="839" t="s">
        <v>123</v>
      </c>
      <c r="H201" s="884"/>
      <c r="I201" s="838"/>
      <c r="J201" s="838"/>
      <c r="K201" s="838"/>
      <c r="L201" s="838"/>
      <c r="M201" s="838"/>
      <c r="N201" s="838"/>
      <c r="O201" s="838"/>
      <c r="P201" s="838"/>
      <c r="Q201" s="838"/>
      <c r="R201" s="838"/>
      <c r="S201" s="838"/>
      <c r="T201" s="838"/>
      <c r="U201" s="838"/>
      <c r="V201" s="838"/>
      <c r="W201" s="838"/>
      <c r="X201" s="838"/>
      <c r="Z201" s="875" t="str">
        <f>IFERROR(__xludf.DUMMYFUNCTION("IF($CR201="""","""",IFERROR(query({CarteirasAtivos},""select Col4 where Col4 is not null and Col1 = '""&amp;$CR201&amp;""' limit 1"")*CU201,""NC""))"),"")</f>
        <v/>
      </c>
      <c r="AA201" s="876" t="str">
        <f>IFERROR(__xludf.DUMMYFUNCTION("IF($CR201="""","""",IFERROR(query({CarteirasAtivos},""select Col6 where Col4 is not null and Col1 = '""&amp;$CR201&amp;""' limit 1""),""NC""))"),"")</f>
        <v/>
      </c>
      <c r="AB201" s="877"/>
      <c r="AC201" s="878" t="s">
        <v>123</v>
      </c>
      <c r="AD201" s="845" t="str">
        <f>IF($CR201="","",IFERROR(VLOOKUP($CR201,ativos.!$C$3:$R308,MATCH("cotacao",ativos.!$C$2:CY$2,0),FALSE)*$CU$5,"atualizar"))</f>
        <v/>
      </c>
      <c r="AE201" s="846" t="str">
        <f>IFERROR(__xludf.DUMMYFUNCTION("IF($CR201="""","""",IFERROR(AVERAGE(query({CarteirasAtivos;CarteirasAtivosEncerrados},""select Col5 where Col5 is not null and Col1 = '""&amp;$CR201&amp;""' and Col10='SIM'""))*CU201,""NC""))"),"")</f>
        <v/>
      </c>
      <c r="AF201" s="847" t="str">
        <f t="shared" si="1"/>
        <v/>
      </c>
      <c r="AG201" s="442"/>
      <c r="AH201" s="848" t="str">
        <f>IFERROR(__xludf.DUMMYFUNCTION("IF($CR201="""","""",IFERROR(GOOGLEFINANCE($CR201,""low52"")*CU201,""-""))"),"")</f>
        <v/>
      </c>
      <c r="AI201" s="848" t="str">
        <f>IFERROR(__xludf.DUMMYFUNCTION("IF($CR201="""","""",IFERROR(GOOGLEFINANCE($CR201,""high52"")*CU201,""-""))"),"")</f>
        <v/>
      </c>
      <c r="AJ201" s="849" t="s">
        <v>123</v>
      </c>
      <c r="AK201" s="850" t="str">
        <f>IFERROR(__xludf.DUMMYFUNCTION("IF($CR201="""","""",IFERROR(GOOGLEFINANCE($CR201,""changepct"")/100,""-""))"),"")</f>
        <v/>
      </c>
      <c r="AL201" s="851" t="str">
        <f>IFERROR(__xludf.DUMMYFUNCTION("IF($CR201="""","""",IFERROR(($AD201/(QUERY(GOOGLEFINANCE($CR201,""price"",TODAY()-7),""SELECT Col2 label Col2 ''"")*$CU201)-1),""-""))"),"")</f>
        <v/>
      </c>
      <c r="AM201" s="851" t="str">
        <f>IFERROR(__xludf.DUMMYFUNCTION("IF($CR201="""","""",IFERROR(($AD201/(QUERY(GOOGLEFINANCE($CR201,""price"",TODAY()-14),""SELECT Col2 label Col2 ''"")*$CU201)-1),""-""))"),"")</f>
        <v/>
      </c>
      <c r="AN201" s="851" t="str">
        <f>IFERROR(__xludf.DUMMYFUNCTION("IF($CR201="""","""",IFERROR(($AD201/(QUERY(GOOGLEFINANCE($CR201,""price"",TODAY()-28),""SELECT Col2 label Col2 ''"")*$CU201)-1),""-""))"),"")</f>
        <v/>
      </c>
      <c r="AO201" s="851" t="str">
        <f>IFERROR(__xludf.DUMMYFUNCTION("IF($CR201="""","""",IFERROR(($AD201/(QUERY(GOOGLEFINANCE($CR201,""price"",TODAY()-$AQ$5),""SELECT Col2 label Col2 ''"")*$CU201)-1),""-""))"),"")</f>
        <v/>
      </c>
      <c r="AP201" s="852" t="str">
        <f>IFERROR(__xludf.DUMMYFUNCTION("IF($CR201="""","""",IFERROR(SPARKLINE(query(GOOGLEFINANCE($CR201,""price"",TODAY()-$AQ$5,TODAY(),1),""select Col2 label Col2 ''""),IF($AP$7=""Gráfico de barras"",{""charttype"",""column"";""highcolor"",""red""},{""chartype"",""line""}))))"),"")</f>
        <v/>
      </c>
      <c r="AQ201" s="144"/>
      <c r="AR201" s="853"/>
      <c r="AS201" s="854" t="str">
        <f>IF($CR201="","",IF(NOT('alocação'!$D$1),"off",IFERROR(VLOOKUP(CR201,BalanceAtivos,3,0),"NC")))</f>
        <v/>
      </c>
      <c r="AT201" s="855" t="str">
        <f>IF($CR201="","",IF(NOT('alocação'!$D$1),"off",IFERROR(VLOOKUP($CR201,BalanceAtivos,4,0)*$CU$5,"NC")))</f>
        <v/>
      </c>
      <c r="AU201" s="856" t="str">
        <f>IF($CR201="","",IF(NOT('alocação'!$D$1),"off",IFERROR(VLOOKUP($CR201,BalanceAtivos,5,0),"-")))</f>
        <v/>
      </c>
      <c r="AV201" s="856" t="str">
        <f>IF($CR201="","",IF(NOT('alocação'!$D$1),"off",IFERROR(VLOOKUP($CR201,BalanceAtivos,6,0),"-")))</f>
        <v/>
      </c>
      <c r="AW201" s="857"/>
      <c r="AX201" s="858" t="str">
        <f>IF($CR201="","",IF($E201="","SP",IFERROR(VLOOKUP($CR201,AtivosDados,MATCH("pm_atual",portfolio.!$A$3:CY$3,0),0)*$CU$5,0)))</f>
        <v/>
      </c>
      <c r="AY201" s="859" t="str">
        <f t="shared" si="2"/>
        <v/>
      </c>
      <c r="AZ201" s="858" t="str">
        <f>IF($CR201="","",IF($E201="","SP",SUMIF(portfolio.!$A$4:$A308,$CR201,portfolio.!$O$4:$O308)*$CU$5))</f>
        <v/>
      </c>
      <c r="BA201" s="858" t="str">
        <f>IF($CR201="","",IF($E201="","SP",SUMIF(portfolio.!$A$4:$A308,$CR201,portfolio.!$AN$4:$AN308)*$CU$5))</f>
        <v/>
      </c>
      <c r="BB201" s="860" t="str">
        <f>IF($CR201="","",IF($E201="","-",IFERROR($BA201/'portfólio'!$DG$63,"")))</f>
        <v/>
      </c>
      <c r="BC201" s="861" t="str">
        <f>IF($CR201="","",IF($E201="","-",SUMIF(portfolio.!$A$4:$A308,$CR201,portfolio.!$J$4:$J308)))</f>
        <v/>
      </c>
      <c r="BD201" s="862" t="str">
        <f>IF($CR201="","",IF($E201="","SP",SUMIF(portfolio.!$A$4:$A308,$CR201,portfolio.!$AQ$4:$AQ308)*$CU$5))</f>
        <v/>
      </c>
      <c r="BE201" s="850" t="str">
        <f t="shared" si="3"/>
        <v/>
      </c>
      <c r="BF201" s="862" t="str">
        <f>IF($CR201="","",IF($E201="","-",SUMIF(portfolio.!$A$4:$A308,$CR201,portfolio.!$AX$4:$AX308)*$CU$5))</f>
        <v/>
      </c>
      <c r="BG201" s="545"/>
      <c r="BH201" s="879" t="s">
        <v>123</v>
      </c>
      <c r="BI201" s="880" t="s">
        <v>123</v>
      </c>
      <c r="BJ201" s="863" t="str">
        <f>IFERROR(__xludf.DUMMYFUNCTION("IF(NOT($BL$4),"""",IF($CR201="""","""",IFERROR(query({GOOGLEFINANCE($CR201,""price"",IF($BI201=""-"",TODAY()-($AQ$5+5),$BI201),TODAY()-1)},""Select max(Col2) where Col1 is not null label max(Col2) ''"")*CU201,""-"")))"),"")</f>
        <v/>
      </c>
      <c r="BK201" s="881" t="s">
        <v>123</v>
      </c>
      <c r="BL201" s="882" t="s">
        <v>123</v>
      </c>
      <c r="BM201" s="442"/>
      <c r="BN201" s="867" t="str">
        <f>IFERROR(__xludf.DUMMYFUNCTION("IF(CR201="""","""",IF(OR(C201=""AÇÃO"",C201=""BDR""),IFERROR(QUERY({fundamentus.!$A$3:$U308},$CX$67&amp;"" where Col1='""&amp;CR201&amp;""' limit 1"",0)),IF(C201=""FII"",IFERROR(QUERY({fundsexplorer.!$A$2:$Z308},$CY$67&amp;"" where Col1='""&amp;CR201&amp;""' limit 1"",0)),""""))"&amp;")"),"")</f>
        <v/>
      </c>
      <c r="BO201" s="867"/>
      <c r="BP201" s="867"/>
      <c r="BQ201" s="867"/>
      <c r="BR201" s="867"/>
      <c r="BS201" s="867"/>
      <c r="BT201" s="867"/>
      <c r="BU201" s="442"/>
      <c r="BV201" s="868" t="str">
        <f>IFERROR(__xludf.DUMMYFUNCTION("IF(OR(C201=""AÇÃO"",C201=""BDR""),IFERROR(GOOGLEFINANCE(CONCAT(""BVMF:"",CR201), ""marketcap"")/1000000,""NC""),"""")"),"")</f>
        <v/>
      </c>
      <c r="BW201" s="869" t="s">
        <v>123</v>
      </c>
      <c r="BX201" s="870" t="s">
        <v>123</v>
      </c>
      <c r="BY201" s="868" t="s">
        <v>123</v>
      </c>
      <c r="BZ201" s="870" t="s">
        <v>123</v>
      </c>
      <c r="CA201" s="868" t="s">
        <v>123</v>
      </c>
      <c r="CB201" s="868" t="s">
        <v>123</v>
      </c>
      <c r="CC201" s="868" t="s">
        <v>123</v>
      </c>
      <c r="CD201" s="868" t="str">
        <f>IFERROR(__xludf.DUMMYFUNCTION("IF(OR(C201=""AÇÃO"",C201=""BDR""),IFERROR(GOOGLEFINANCE(CONCAT(""BVMF:"",CR201), ""volumeavg"")/1000000,""NC""),"""")"),"")</f>
        <v/>
      </c>
      <c r="CE201" s="870" t="s">
        <v>123</v>
      </c>
      <c r="CF201" s="870" t="s">
        <v>123</v>
      </c>
      <c r="CG201" s="870" t="str">
        <f>IFERROR(__xludf.DUMMYFUNCTION("IF(OR(C201=""AÇÃO"",C201=""BDR""),IF(CF201=0,""SEM DY"",IFERROR(ImportXML(CONCAT(""http://www.guiainvest.com.br/raiox/default.aspx?sigla="",$CR201),""//*[@id='lbPayoutAtual']""),""NC"")),"""")"),"")</f>
        <v/>
      </c>
      <c r="CH201" s="870" t="s">
        <v>123</v>
      </c>
      <c r="CI201" s="545"/>
      <c r="CJ201" s="871" t="str">
        <f>IFERROR(__xludf.DUMMYFUNCTION("IF(OR(C201=""AÇÃO"",C201=""BDR""),IFERROR(GOOGLEFINANCE(CONCAT(""BVMF:"",CR201), ""eps""),""NC""),"""")"),"")</f>
        <v/>
      </c>
      <c r="CK201" s="442"/>
      <c r="CL201" s="871" t="str">
        <f>IFERROR(__xludf.DUMMYFUNCTION("IF(NOT($BL$4),"""",IF($CR201="""","""",IF($BC201="""","""",IFERROR(query({op.normal!$B$5:$F308},""select Col5, toDate(Col2) where Col1 =  '""&amp;$CR201&amp;""' and Col4 &gt; 0 and ((Col3 is null) or (Col3 = 'C')) and Col2 &gt;= date '""&amp;TEXT(TODAY()-$AQ$5,""yyyy-mm-dd"&amp;""")&amp;""' order by Col2 desc limit 1 label toDate(Col2) ''"")))))"),"")</f>
        <v/>
      </c>
      <c r="CM201" s="872"/>
      <c r="CN201" s="883" t="s">
        <v>123</v>
      </c>
      <c r="CO201" s="874" t="s">
        <v>123</v>
      </c>
      <c r="CP201" s="766"/>
      <c r="CQ201" s="791"/>
      <c r="CR201" s="791"/>
      <c r="CT201" s="791" t="s">
        <v>123</v>
      </c>
      <c r="CU201" s="791" t="str">
        <f>IFERROR(__xludf.DUMMYFUNCTION("IF(CR201="""","""",IF(CT201=$C$4,1,GOOGLEFINANCE(CT201&amp;$C$4)))"),"")</f>
        <v/>
      </c>
    </row>
    <row r="202" ht="22.5" customHeight="1">
      <c r="A202" s="837">
        <v>194.0</v>
      </c>
      <c r="B202" s="838" t="s">
        <v>123</v>
      </c>
      <c r="C202" s="838" t="s">
        <v>123</v>
      </c>
      <c r="D202" s="839" t="s">
        <v>123</v>
      </c>
      <c r="E202" s="839" t="s">
        <v>123</v>
      </c>
      <c r="F202" s="839" t="s">
        <v>123</v>
      </c>
      <c r="H202" s="884"/>
      <c r="I202" s="838"/>
      <c r="J202" s="838"/>
      <c r="K202" s="838"/>
      <c r="L202" s="838"/>
      <c r="M202" s="838"/>
      <c r="N202" s="838"/>
      <c r="O202" s="838"/>
      <c r="P202" s="838"/>
      <c r="Q202" s="838"/>
      <c r="R202" s="838"/>
      <c r="S202" s="838"/>
      <c r="T202" s="838"/>
      <c r="U202" s="838"/>
      <c r="V202" s="838"/>
      <c r="W202" s="838"/>
      <c r="X202" s="838"/>
      <c r="Z202" s="875" t="str">
        <f>IFERROR(__xludf.DUMMYFUNCTION("IF($CR202="""","""",IFERROR(query({CarteirasAtivos},""select Col4 where Col4 is not null and Col1 = '""&amp;$CR202&amp;""' limit 1"")*CU202,""NC""))"),"")</f>
        <v/>
      </c>
      <c r="AA202" s="876" t="str">
        <f>IFERROR(__xludf.DUMMYFUNCTION("IF($CR202="""","""",IFERROR(query({CarteirasAtivos},""select Col6 where Col4 is not null and Col1 = '""&amp;$CR202&amp;""' limit 1""),""NC""))"),"")</f>
        <v/>
      </c>
      <c r="AB202" s="877"/>
      <c r="AC202" s="878" t="s">
        <v>123</v>
      </c>
      <c r="AD202" s="845" t="str">
        <f>IF($CR202="","",IFERROR(VLOOKUP($CR202,ativos.!$C$3:$R308,MATCH("cotacao",ativos.!$C$2:CY$2,0),FALSE)*$CU$5,"atualizar"))</f>
        <v/>
      </c>
      <c r="AE202" s="846" t="str">
        <f>IFERROR(__xludf.DUMMYFUNCTION("IF($CR202="""","""",IFERROR(AVERAGE(query({CarteirasAtivos;CarteirasAtivosEncerrados},""select Col5 where Col5 is not null and Col1 = '""&amp;$CR202&amp;""' and Col10='SIM'""))*CU202,""NC""))"),"")</f>
        <v/>
      </c>
      <c r="AF202" s="847" t="str">
        <f t="shared" si="1"/>
        <v/>
      </c>
      <c r="AG202" s="442"/>
      <c r="AH202" s="848" t="str">
        <f>IFERROR(__xludf.DUMMYFUNCTION("IF($CR202="""","""",IFERROR(GOOGLEFINANCE($CR202,""low52"")*CU202,""-""))"),"")</f>
        <v/>
      </c>
      <c r="AI202" s="848" t="str">
        <f>IFERROR(__xludf.DUMMYFUNCTION("IF($CR202="""","""",IFERROR(GOOGLEFINANCE($CR202,""high52"")*CU202,""-""))"),"")</f>
        <v/>
      </c>
      <c r="AJ202" s="849" t="s">
        <v>123</v>
      </c>
      <c r="AK202" s="850" t="str">
        <f>IFERROR(__xludf.DUMMYFUNCTION("IF($CR202="""","""",IFERROR(GOOGLEFINANCE($CR202,""changepct"")/100,""-""))"),"")</f>
        <v/>
      </c>
      <c r="AL202" s="851" t="str">
        <f>IFERROR(__xludf.DUMMYFUNCTION("IF($CR202="""","""",IFERROR(($AD202/(QUERY(GOOGLEFINANCE($CR202,""price"",TODAY()-7),""SELECT Col2 label Col2 ''"")*$CU202)-1),""-""))"),"")</f>
        <v/>
      </c>
      <c r="AM202" s="851" t="str">
        <f>IFERROR(__xludf.DUMMYFUNCTION("IF($CR202="""","""",IFERROR(($AD202/(QUERY(GOOGLEFINANCE($CR202,""price"",TODAY()-14),""SELECT Col2 label Col2 ''"")*$CU202)-1),""-""))"),"")</f>
        <v/>
      </c>
      <c r="AN202" s="851" t="str">
        <f>IFERROR(__xludf.DUMMYFUNCTION("IF($CR202="""","""",IFERROR(($AD202/(QUERY(GOOGLEFINANCE($CR202,""price"",TODAY()-28),""SELECT Col2 label Col2 ''"")*$CU202)-1),""-""))"),"")</f>
        <v/>
      </c>
      <c r="AO202" s="851" t="str">
        <f>IFERROR(__xludf.DUMMYFUNCTION("IF($CR202="""","""",IFERROR(($AD202/(QUERY(GOOGLEFINANCE($CR202,""price"",TODAY()-$AQ$5),""SELECT Col2 label Col2 ''"")*$CU202)-1),""-""))"),"")</f>
        <v/>
      </c>
      <c r="AP202" s="852" t="str">
        <f>IFERROR(__xludf.DUMMYFUNCTION("IF($CR202="""","""",IFERROR(SPARKLINE(query(GOOGLEFINANCE($CR202,""price"",TODAY()-$AQ$5,TODAY(),1),""select Col2 label Col2 ''""),IF($AP$7=""Gráfico de barras"",{""charttype"",""column"";""highcolor"",""red""},{""chartype"",""line""}))))"),"")</f>
        <v/>
      </c>
      <c r="AQ202" s="144"/>
      <c r="AR202" s="853"/>
      <c r="AS202" s="854" t="str">
        <f>IF($CR202="","",IF(NOT('alocação'!$D$1),"off",IFERROR(VLOOKUP(CR202,BalanceAtivos,3,0),"NC")))</f>
        <v/>
      </c>
      <c r="AT202" s="855" t="str">
        <f>IF($CR202="","",IF(NOT('alocação'!$D$1),"off",IFERROR(VLOOKUP($CR202,BalanceAtivos,4,0)*$CU$5,"NC")))</f>
        <v/>
      </c>
      <c r="AU202" s="856" t="str">
        <f>IF($CR202="","",IF(NOT('alocação'!$D$1),"off",IFERROR(VLOOKUP($CR202,BalanceAtivos,5,0),"-")))</f>
        <v/>
      </c>
      <c r="AV202" s="856" t="str">
        <f>IF($CR202="","",IF(NOT('alocação'!$D$1),"off",IFERROR(VLOOKUP($CR202,BalanceAtivos,6,0),"-")))</f>
        <v/>
      </c>
      <c r="AW202" s="857"/>
      <c r="AX202" s="858" t="str">
        <f>IF($CR202="","",IF($E202="","SP",IFERROR(VLOOKUP($CR202,AtivosDados,MATCH("pm_atual",portfolio.!$A$3:CY$3,0),0)*$CU$5,0)))</f>
        <v/>
      </c>
      <c r="AY202" s="859" t="str">
        <f t="shared" si="2"/>
        <v/>
      </c>
      <c r="AZ202" s="858" t="str">
        <f>IF($CR202="","",IF($E202="","SP",SUMIF(portfolio.!$A$4:$A308,$CR202,portfolio.!$O$4:$O308)*$CU$5))</f>
        <v/>
      </c>
      <c r="BA202" s="858" t="str">
        <f>IF($CR202="","",IF($E202="","SP",SUMIF(portfolio.!$A$4:$A308,$CR202,portfolio.!$AN$4:$AN308)*$CU$5))</f>
        <v/>
      </c>
      <c r="BB202" s="860" t="str">
        <f>IF($CR202="","",IF($E202="","-",IFERROR($BA202/'portfólio'!$DG$63,"")))</f>
        <v/>
      </c>
      <c r="BC202" s="861" t="str">
        <f>IF($CR202="","",IF($E202="","-",SUMIF(portfolio.!$A$4:$A308,$CR202,portfolio.!$J$4:$J308)))</f>
        <v/>
      </c>
      <c r="BD202" s="862" t="str">
        <f>IF($CR202="","",IF($E202="","SP",SUMIF(portfolio.!$A$4:$A308,$CR202,portfolio.!$AQ$4:$AQ308)*$CU$5))</f>
        <v/>
      </c>
      <c r="BE202" s="850" t="str">
        <f t="shared" si="3"/>
        <v/>
      </c>
      <c r="BF202" s="862" t="str">
        <f>IF($CR202="","",IF($E202="","-",SUMIF(portfolio.!$A$4:$A308,$CR202,portfolio.!$AX$4:$AX308)*$CU$5))</f>
        <v/>
      </c>
      <c r="BG202" s="545"/>
      <c r="BH202" s="879" t="s">
        <v>123</v>
      </c>
      <c r="BI202" s="880" t="s">
        <v>123</v>
      </c>
      <c r="BJ202" s="863" t="str">
        <f>IFERROR(__xludf.DUMMYFUNCTION("IF(NOT($BL$4),"""",IF($CR202="""","""",IFERROR(query({GOOGLEFINANCE($CR202,""price"",IF($BI202=""-"",TODAY()-($AQ$5+5),$BI202),TODAY()-1)},""Select max(Col2) where Col1 is not null label max(Col2) ''"")*CU202,""-"")))"),"")</f>
        <v/>
      </c>
      <c r="BK202" s="881" t="s">
        <v>123</v>
      </c>
      <c r="BL202" s="882" t="s">
        <v>123</v>
      </c>
      <c r="BM202" s="442"/>
      <c r="BN202" s="867" t="str">
        <f>IFERROR(__xludf.DUMMYFUNCTION("IF(CR202="""","""",IF(OR(C202=""AÇÃO"",C202=""BDR""),IFERROR(QUERY({fundamentus.!$A$3:$U308},$CX$67&amp;"" where Col1='""&amp;CR202&amp;""' limit 1"",0)),IF(C202=""FII"",IFERROR(QUERY({fundsexplorer.!$A$2:$Z308},$CY$67&amp;"" where Col1='""&amp;CR202&amp;""' limit 1"",0)),""""))"&amp;")"),"")</f>
        <v/>
      </c>
      <c r="BO202" s="867"/>
      <c r="BP202" s="867"/>
      <c r="BQ202" s="867"/>
      <c r="BR202" s="867"/>
      <c r="BS202" s="867"/>
      <c r="BT202" s="867"/>
      <c r="BU202" s="442"/>
      <c r="BV202" s="868" t="str">
        <f>IFERROR(__xludf.DUMMYFUNCTION("IF(OR(C202=""AÇÃO"",C202=""BDR""),IFERROR(GOOGLEFINANCE(CONCAT(""BVMF:"",CR202), ""marketcap"")/1000000,""NC""),"""")"),"")</f>
        <v/>
      </c>
      <c r="BW202" s="869" t="s">
        <v>123</v>
      </c>
      <c r="BX202" s="870" t="s">
        <v>123</v>
      </c>
      <c r="BY202" s="868" t="s">
        <v>123</v>
      </c>
      <c r="BZ202" s="870" t="s">
        <v>123</v>
      </c>
      <c r="CA202" s="868" t="s">
        <v>123</v>
      </c>
      <c r="CB202" s="868" t="s">
        <v>123</v>
      </c>
      <c r="CC202" s="868" t="s">
        <v>123</v>
      </c>
      <c r="CD202" s="868" t="str">
        <f>IFERROR(__xludf.DUMMYFUNCTION("IF(OR(C202=""AÇÃO"",C202=""BDR""),IFERROR(GOOGLEFINANCE(CONCAT(""BVMF:"",CR202), ""volumeavg"")/1000000,""NC""),"""")"),"")</f>
        <v/>
      </c>
      <c r="CE202" s="870" t="s">
        <v>123</v>
      </c>
      <c r="CF202" s="870" t="s">
        <v>123</v>
      </c>
      <c r="CG202" s="870" t="str">
        <f>IFERROR(__xludf.DUMMYFUNCTION("IF(OR(C202=""AÇÃO"",C202=""BDR""),IF(CF202=0,""SEM DY"",IFERROR(ImportXML(CONCAT(""http://www.guiainvest.com.br/raiox/default.aspx?sigla="",$CR202),""//*[@id='lbPayoutAtual']""),""NC"")),"""")"),"")</f>
        <v/>
      </c>
      <c r="CH202" s="870" t="s">
        <v>123</v>
      </c>
      <c r="CI202" s="545"/>
      <c r="CJ202" s="871" t="str">
        <f>IFERROR(__xludf.DUMMYFUNCTION("IF(OR(C202=""AÇÃO"",C202=""BDR""),IFERROR(GOOGLEFINANCE(CONCAT(""BVMF:"",CR202), ""eps""),""NC""),"""")"),"")</f>
        <v/>
      </c>
      <c r="CK202" s="442"/>
      <c r="CL202" s="871" t="str">
        <f>IFERROR(__xludf.DUMMYFUNCTION("IF(NOT($BL$4),"""",IF($CR202="""","""",IF($BC202="""","""",IFERROR(query({op.normal!$B$5:$F308},""select Col5, toDate(Col2) where Col1 =  '""&amp;$CR202&amp;""' and Col4 &gt; 0 and ((Col3 is null) or (Col3 = 'C')) and Col2 &gt;= date '""&amp;TEXT(TODAY()-$AQ$5,""yyyy-mm-dd"&amp;""")&amp;""' order by Col2 desc limit 1 label toDate(Col2) ''"")))))"),"")</f>
        <v/>
      </c>
      <c r="CM202" s="872"/>
      <c r="CN202" s="883" t="s">
        <v>123</v>
      </c>
      <c r="CO202" s="874" t="s">
        <v>123</v>
      </c>
      <c r="CP202" s="766"/>
      <c r="CQ202" s="791"/>
      <c r="CR202" s="791"/>
      <c r="CT202" s="791" t="s">
        <v>123</v>
      </c>
      <c r="CU202" s="791" t="str">
        <f>IFERROR(__xludf.DUMMYFUNCTION("IF(CR202="""","""",IF(CT202=$C$4,1,GOOGLEFINANCE(CT202&amp;$C$4)))"),"")</f>
        <v/>
      </c>
    </row>
    <row r="203" ht="22.5" customHeight="1">
      <c r="A203" s="837">
        <v>195.0</v>
      </c>
      <c r="B203" s="838" t="s">
        <v>123</v>
      </c>
      <c r="C203" s="838" t="s">
        <v>123</v>
      </c>
      <c r="D203" s="839" t="s">
        <v>123</v>
      </c>
      <c r="E203" s="839" t="s">
        <v>123</v>
      </c>
      <c r="F203" s="839" t="s">
        <v>123</v>
      </c>
      <c r="H203" s="884"/>
      <c r="I203" s="838"/>
      <c r="J203" s="838"/>
      <c r="K203" s="838"/>
      <c r="L203" s="838"/>
      <c r="M203" s="838"/>
      <c r="N203" s="838"/>
      <c r="O203" s="838"/>
      <c r="P203" s="838"/>
      <c r="Q203" s="838"/>
      <c r="R203" s="838"/>
      <c r="S203" s="838"/>
      <c r="T203" s="838"/>
      <c r="U203" s="838"/>
      <c r="V203" s="838"/>
      <c r="W203" s="838"/>
      <c r="X203" s="838"/>
      <c r="Z203" s="875" t="str">
        <f>IFERROR(__xludf.DUMMYFUNCTION("IF($CR203="""","""",IFERROR(query({CarteirasAtivos},""select Col4 where Col4 is not null and Col1 = '""&amp;$CR203&amp;""' limit 1"")*CU203,""NC""))"),"")</f>
        <v/>
      </c>
      <c r="AA203" s="876" t="str">
        <f>IFERROR(__xludf.DUMMYFUNCTION("IF($CR203="""","""",IFERROR(query({CarteirasAtivos},""select Col6 where Col4 is not null and Col1 = '""&amp;$CR203&amp;""' limit 1""),""NC""))"),"")</f>
        <v/>
      </c>
      <c r="AB203" s="877"/>
      <c r="AC203" s="878" t="s">
        <v>123</v>
      </c>
      <c r="AD203" s="845" t="str">
        <f>IF($CR203="","",IFERROR(VLOOKUP($CR203,ativos.!$C$3:$R308,MATCH("cotacao",ativos.!$C$2:CY$2,0),FALSE)*$CU$5,"atualizar"))</f>
        <v/>
      </c>
      <c r="AE203" s="846" t="str">
        <f>IFERROR(__xludf.DUMMYFUNCTION("IF($CR203="""","""",IFERROR(AVERAGE(query({CarteirasAtivos;CarteirasAtivosEncerrados},""select Col5 where Col5 is not null and Col1 = '""&amp;$CR203&amp;""' and Col10='SIM'""))*CU203,""NC""))"),"")</f>
        <v/>
      </c>
      <c r="AF203" s="847" t="str">
        <f t="shared" si="1"/>
        <v/>
      </c>
      <c r="AG203" s="442"/>
      <c r="AH203" s="848" t="str">
        <f>IFERROR(__xludf.DUMMYFUNCTION("IF($CR203="""","""",IFERROR(GOOGLEFINANCE($CR203,""low52"")*CU203,""-""))"),"")</f>
        <v/>
      </c>
      <c r="AI203" s="848" t="str">
        <f>IFERROR(__xludf.DUMMYFUNCTION("IF($CR203="""","""",IFERROR(GOOGLEFINANCE($CR203,""high52"")*CU203,""-""))"),"")</f>
        <v/>
      </c>
      <c r="AJ203" s="849" t="s">
        <v>123</v>
      </c>
      <c r="AK203" s="850" t="str">
        <f>IFERROR(__xludf.DUMMYFUNCTION("IF($CR203="""","""",IFERROR(GOOGLEFINANCE($CR203,""changepct"")/100,""-""))"),"")</f>
        <v/>
      </c>
      <c r="AL203" s="851" t="str">
        <f>IFERROR(__xludf.DUMMYFUNCTION("IF($CR203="""","""",IFERROR(($AD203/(QUERY(GOOGLEFINANCE($CR203,""price"",TODAY()-7),""SELECT Col2 label Col2 ''"")*$CU203)-1),""-""))"),"")</f>
        <v/>
      </c>
      <c r="AM203" s="851" t="str">
        <f>IFERROR(__xludf.DUMMYFUNCTION("IF($CR203="""","""",IFERROR(($AD203/(QUERY(GOOGLEFINANCE($CR203,""price"",TODAY()-14),""SELECT Col2 label Col2 ''"")*$CU203)-1),""-""))"),"")</f>
        <v/>
      </c>
      <c r="AN203" s="851" t="str">
        <f>IFERROR(__xludf.DUMMYFUNCTION("IF($CR203="""","""",IFERROR(($AD203/(QUERY(GOOGLEFINANCE($CR203,""price"",TODAY()-28),""SELECT Col2 label Col2 ''"")*$CU203)-1),""-""))"),"")</f>
        <v/>
      </c>
      <c r="AO203" s="851" t="str">
        <f>IFERROR(__xludf.DUMMYFUNCTION("IF($CR203="""","""",IFERROR(($AD203/(QUERY(GOOGLEFINANCE($CR203,""price"",TODAY()-$AQ$5),""SELECT Col2 label Col2 ''"")*$CU203)-1),""-""))"),"")</f>
        <v/>
      </c>
      <c r="AP203" s="852" t="str">
        <f>IFERROR(__xludf.DUMMYFUNCTION("IF($CR203="""","""",IFERROR(SPARKLINE(query(GOOGLEFINANCE($CR203,""price"",TODAY()-$AQ$5,TODAY(),1),""select Col2 label Col2 ''""),IF($AP$7=""Gráfico de barras"",{""charttype"",""column"";""highcolor"",""red""},{""chartype"",""line""}))))"),"")</f>
        <v/>
      </c>
      <c r="AQ203" s="144"/>
      <c r="AR203" s="853"/>
      <c r="AS203" s="854" t="str">
        <f>IF($CR203="","",IF(NOT('alocação'!$D$1),"off",IFERROR(VLOOKUP(CR203,BalanceAtivos,3,0),"NC")))</f>
        <v/>
      </c>
      <c r="AT203" s="855" t="str">
        <f>IF($CR203="","",IF(NOT('alocação'!$D$1),"off",IFERROR(VLOOKUP($CR203,BalanceAtivos,4,0)*$CU$5,"NC")))</f>
        <v/>
      </c>
      <c r="AU203" s="856" t="str">
        <f>IF($CR203="","",IF(NOT('alocação'!$D$1),"off",IFERROR(VLOOKUP($CR203,BalanceAtivos,5,0),"-")))</f>
        <v/>
      </c>
      <c r="AV203" s="856" t="str">
        <f>IF($CR203="","",IF(NOT('alocação'!$D$1),"off",IFERROR(VLOOKUP($CR203,BalanceAtivos,6,0),"-")))</f>
        <v/>
      </c>
      <c r="AW203" s="857"/>
      <c r="AX203" s="858" t="str">
        <f>IF($CR203="","",IF($E203="","SP",IFERROR(VLOOKUP($CR203,AtivosDados,MATCH("pm_atual",portfolio.!$A$3:CY$3,0),0)*$CU$5,0)))</f>
        <v/>
      </c>
      <c r="AY203" s="859" t="str">
        <f t="shared" si="2"/>
        <v/>
      </c>
      <c r="AZ203" s="858" t="str">
        <f>IF($CR203="","",IF($E203="","SP",SUMIF(portfolio.!$A$4:$A308,$CR203,portfolio.!$O$4:$O308)*$CU$5))</f>
        <v/>
      </c>
      <c r="BA203" s="858" t="str">
        <f>IF($CR203="","",IF($E203="","SP",SUMIF(portfolio.!$A$4:$A308,$CR203,portfolio.!$AN$4:$AN308)*$CU$5))</f>
        <v/>
      </c>
      <c r="BB203" s="860" t="str">
        <f>IF($CR203="","",IF($E203="","-",IFERROR($BA203/'portfólio'!$DG$63,"")))</f>
        <v/>
      </c>
      <c r="BC203" s="861" t="str">
        <f>IF($CR203="","",IF($E203="","-",SUMIF(portfolio.!$A$4:$A308,$CR203,portfolio.!$J$4:$J308)))</f>
        <v/>
      </c>
      <c r="BD203" s="862" t="str">
        <f>IF($CR203="","",IF($E203="","SP",SUMIF(portfolio.!$A$4:$A308,$CR203,portfolio.!$AQ$4:$AQ308)*$CU$5))</f>
        <v/>
      </c>
      <c r="BE203" s="850" t="str">
        <f t="shared" si="3"/>
        <v/>
      </c>
      <c r="BF203" s="862" t="str">
        <f>IF($CR203="","",IF($E203="","-",SUMIF(portfolio.!$A$4:$A308,$CR203,portfolio.!$AX$4:$AX308)*$CU$5))</f>
        <v/>
      </c>
      <c r="BG203" s="545"/>
      <c r="BH203" s="879" t="s">
        <v>123</v>
      </c>
      <c r="BI203" s="880" t="s">
        <v>123</v>
      </c>
      <c r="BJ203" s="863" t="str">
        <f>IFERROR(__xludf.DUMMYFUNCTION("IF(NOT($BL$4),"""",IF($CR203="""","""",IFERROR(query({GOOGLEFINANCE($CR203,""price"",IF($BI203=""-"",TODAY()-($AQ$5+5),$BI203),TODAY()-1)},""Select max(Col2) where Col1 is not null label max(Col2) ''"")*CU203,""-"")))"),"")</f>
        <v/>
      </c>
      <c r="BK203" s="881" t="s">
        <v>123</v>
      </c>
      <c r="BL203" s="882" t="s">
        <v>123</v>
      </c>
      <c r="BM203" s="442"/>
      <c r="BN203" s="867" t="str">
        <f>IFERROR(__xludf.DUMMYFUNCTION("IF(CR203="""","""",IF(OR(C203=""AÇÃO"",C203=""BDR""),IFERROR(QUERY({fundamentus.!$A$3:$U308},$CX$67&amp;"" where Col1='""&amp;CR203&amp;""' limit 1"",0)),IF(C203=""FII"",IFERROR(QUERY({fundsexplorer.!$A$2:$Z308},$CY$67&amp;"" where Col1='""&amp;CR203&amp;""' limit 1"",0)),""""))"&amp;")"),"")</f>
        <v/>
      </c>
      <c r="BO203" s="867"/>
      <c r="BP203" s="867"/>
      <c r="BQ203" s="867"/>
      <c r="BR203" s="867"/>
      <c r="BS203" s="867"/>
      <c r="BT203" s="867"/>
      <c r="BU203" s="442"/>
      <c r="BV203" s="868" t="str">
        <f>IFERROR(__xludf.DUMMYFUNCTION("IF(OR(C203=""AÇÃO"",C203=""BDR""),IFERROR(GOOGLEFINANCE(CONCAT(""BVMF:"",CR203), ""marketcap"")/1000000,""NC""),"""")"),"")</f>
        <v/>
      </c>
      <c r="BW203" s="869" t="s">
        <v>123</v>
      </c>
      <c r="BX203" s="870" t="s">
        <v>123</v>
      </c>
      <c r="BY203" s="868" t="s">
        <v>123</v>
      </c>
      <c r="BZ203" s="870" t="s">
        <v>123</v>
      </c>
      <c r="CA203" s="868" t="s">
        <v>123</v>
      </c>
      <c r="CB203" s="868" t="s">
        <v>123</v>
      </c>
      <c r="CC203" s="868" t="s">
        <v>123</v>
      </c>
      <c r="CD203" s="868" t="str">
        <f>IFERROR(__xludf.DUMMYFUNCTION("IF(OR(C203=""AÇÃO"",C203=""BDR""),IFERROR(GOOGLEFINANCE(CONCAT(""BVMF:"",CR203), ""volumeavg"")/1000000,""NC""),"""")"),"")</f>
        <v/>
      </c>
      <c r="CE203" s="870" t="s">
        <v>123</v>
      </c>
      <c r="CF203" s="870" t="s">
        <v>123</v>
      </c>
      <c r="CG203" s="870" t="str">
        <f>IFERROR(__xludf.DUMMYFUNCTION("IF(OR(C203=""AÇÃO"",C203=""BDR""),IF(CF203=0,""SEM DY"",IFERROR(ImportXML(CONCAT(""http://www.guiainvest.com.br/raiox/default.aspx?sigla="",$CR203),""//*[@id='lbPayoutAtual']""),""NC"")),"""")"),"")</f>
        <v/>
      </c>
      <c r="CH203" s="870" t="s">
        <v>123</v>
      </c>
      <c r="CI203" s="545"/>
      <c r="CJ203" s="871" t="str">
        <f>IFERROR(__xludf.DUMMYFUNCTION("IF(OR(C203=""AÇÃO"",C203=""BDR""),IFERROR(GOOGLEFINANCE(CONCAT(""BVMF:"",CR203), ""eps""),""NC""),"""")"),"")</f>
        <v/>
      </c>
      <c r="CK203" s="442"/>
      <c r="CL203" s="871" t="str">
        <f>IFERROR(__xludf.DUMMYFUNCTION("IF(NOT($BL$4),"""",IF($CR203="""","""",IF($BC203="""","""",IFERROR(query({op.normal!$B$5:$F308},""select Col5, toDate(Col2) where Col1 =  '""&amp;$CR203&amp;""' and Col4 &gt; 0 and ((Col3 is null) or (Col3 = 'C')) and Col2 &gt;= date '""&amp;TEXT(TODAY()-$AQ$5,""yyyy-mm-dd"&amp;""")&amp;""' order by Col2 desc limit 1 label toDate(Col2) ''"")))))"),"")</f>
        <v/>
      </c>
      <c r="CM203" s="872"/>
      <c r="CN203" s="883" t="s">
        <v>123</v>
      </c>
      <c r="CO203" s="874" t="s">
        <v>123</v>
      </c>
      <c r="CP203" s="766"/>
      <c r="CQ203" s="791"/>
      <c r="CR203" s="791"/>
      <c r="CT203" s="791" t="s">
        <v>123</v>
      </c>
      <c r="CU203" s="791" t="str">
        <f>IFERROR(__xludf.DUMMYFUNCTION("IF(CR203="""","""",IF(CT203=$C$4,1,GOOGLEFINANCE(CT203&amp;$C$4)))"),"")</f>
        <v/>
      </c>
    </row>
    <row r="204" ht="22.5" customHeight="1">
      <c r="A204" s="837">
        <v>196.0</v>
      </c>
      <c r="B204" s="838" t="s">
        <v>123</v>
      </c>
      <c r="C204" s="838" t="s">
        <v>123</v>
      </c>
      <c r="D204" s="839" t="s">
        <v>123</v>
      </c>
      <c r="E204" s="839" t="s">
        <v>123</v>
      </c>
      <c r="F204" s="839" t="s">
        <v>123</v>
      </c>
      <c r="H204" s="884"/>
      <c r="I204" s="838"/>
      <c r="J204" s="838"/>
      <c r="K204" s="838"/>
      <c r="L204" s="838"/>
      <c r="M204" s="838"/>
      <c r="N204" s="838"/>
      <c r="O204" s="838"/>
      <c r="P204" s="838"/>
      <c r="Q204" s="838"/>
      <c r="R204" s="838"/>
      <c r="S204" s="838"/>
      <c r="T204" s="838"/>
      <c r="U204" s="838"/>
      <c r="V204" s="838"/>
      <c r="W204" s="838"/>
      <c r="X204" s="838"/>
      <c r="Z204" s="875" t="str">
        <f>IFERROR(__xludf.DUMMYFUNCTION("IF($CR204="""","""",IFERROR(query({CarteirasAtivos},""select Col4 where Col4 is not null and Col1 = '""&amp;$CR204&amp;""' limit 1"")*CU204,""NC""))"),"")</f>
        <v/>
      </c>
      <c r="AA204" s="876" t="str">
        <f>IFERROR(__xludf.DUMMYFUNCTION("IF($CR204="""","""",IFERROR(query({CarteirasAtivos},""select Col6 where Col4 is not null and Col1 = '""&amp;$CR204&amp;""' limit 1""),""NC""))"),"")</f>
        <v/>
      </c>
      <c r="AB204" s="877"/>
      <c r="AC204" s="878" t="s">
        <v>123</v>
      </c>
      <c r="AD204" s="845" t="str">
        <f>IF($CR204="","",IFERROR(VLOOKUP($CR204,ativos.!$C$3:$R308,MATCH("cotacao",ativos.!$C$2:CY$2,0),FALSE)*$CU$5,"atualizar"))</f>
        <v/>
      </c>
      <c r="AE204" s="846" t="str">
        <f>IFERROR(__xludf.DUMMYFUNCTION("IF($CR204="""","""",IFERROR(AVERAGE(query({CarteirasAtivos;CarteirasAtivosEncerrados},""select Col5 where Col5 is not null and Col1 = '""&amp;$CR204&amp;""' and Col10='SIM'""))*CU204,""NC""))"),"")</f>
        <v/>
      </c>
      <c r="AF204" s="847" t="str">
        <f t="shared" si="1"/>
        <v/>
      </c>
      <c r="AG204" s="442"/>
      <c r="AH204" s="848" t="str">
        <f>IFERROR(__xludf.DUMMYFUNCTION("IF($CR204="""","""",IFERROR(GOOGLEFINANCE($CR204,""low52"")*CU204,""-""))"),"")</f>
        <v/>
      </c>
      <c r="AI204" s="848" t="str">
        <f>IFERROR(__xludf.DUMMYFUNCTION("IF($CR204="""","""",IFERROR(GOOGLEFINANCE($CR204,""high52"")*CU204,""-""))"),"")</f>
        <v/>
      </c>
      <c r="AJ204" s="849" t="s">
        <v>123</v>
      </c>
      <c r="AK204" s="850" t="str">
        <f>IFERROR(__xludf.DUMMYFUNCTION("IF($CR204="""","""",IFERROR(GOOGLEFINANCE($CR204,""changepct"")/100,""-""))"),"")</f>
        <v/>
      </c>
      <c r="AL204" s="851" t="str">
        <f>IFERROR(__xludf.DUMMYFUNCTION("IF($CR204="""","""",IFERROR(($AD204/(QUERY(GOOGLEFINANCE($CR204,""price"",TODAY()-7),""SELECT Col2 label Col2 ''"")*$CU204)-1),""-""))"),"")</f>
        <v/>
      </c>
      <c r="AM204" s="851" t="str">
        <f>IFERROR(__xludf.DUMMYFUNCTION("IF($CR204="""","""",IFERROR(($AD204/(QUERY(GOOGLEFINANCE($CR204,""price"",TODAY()-14),""SELECT Col2 label Col2 ''"")*$CU204)-1),""-""))"),"")</f>
        <v/>
      </c>
      <c r="AN204" s="851" t="str">
        <f>IFERROR(__xludf.DUMMYFUNCTION("IF($CR204="""","""",IFERROR(($AD204/(QUERY(GOOGLEFINANCE($CR204,""price"",TODAY()-28),""SELECT Col2 label Col2 ''"")*$CU204)-1),""-""))"),"")</f>
        <v/>
      </c>
      <c r="AO204" s="851" t="str">
        <f>IFERROR(__xludf.DUMMYFUNCTION("IF($CR204="""","""",IFERROR(($AD204/(QUERY(GOOGLEFINANCE($CR204,""price"",TODAY()-$AQ$5),""SELECT Col2 label Col2 ''"")*$CU204)-1),""-""))"),"")</f>
        <v/>
      </c>
      <c r="AP204" s="852" t="str">
        <f>IFERROR(__xludf.DUMMYFUNCTION("IF($CR204="""","""",IFERROR(SPARKLINE(query(GOOGLEFINANCE($CR204,""price"",TODAY()-$AQ$5,TODAY(),1),""select Col2 label Col2 ''""),IF($AP$7=""Gráfico de barras"",{""charttype"",""column"";""highcolor"",""red""},{""chartype"",""line""}))))"),"")</f>
        <v/>
      </c>
      <c r="AQ204" s="144"/>
      <c r="AR204" s="853"/>
      <c r="AS204" s="854" t="str">
        <f>IF($CR204="","",IF(NOT('alocação'!$D$1),"off",IFERROR(VLOOKUP(CR204,BalanceAtivos,3,0),"NC")))</f>
        <v/>
      </c>
      <c r="AT204" s="855" t="str">
        <f>IF($CR204="","",IF(NOT('alocação'!$D$1),"off",IFERROR(VLOOKUP($CR204,BalanceAtivos,4,0)*$CU$5,"NC")))</f>
        <v/>
      </c>
      <c r="AU204" s="856" t="str">
        <f>IF($CR204="","",IF(NOT('alocação'!$D$1),"off",IFERROR(VLOOKUP($CR204,BalanceAtivos,5,0),"-")))</f>
        <v/>
      </c>
      <c r="AV204" s="856" t="str">
        <f>IF($CR204="","",IF(NOT('alocação'!$D$1),"off",IFERROR(VLOOKUP($CR204,BalanceAtivos,6,0),"-")))</f>
        <v/>
      </c>
      <c r="AW204" s="857"/>
      <c r="AX204" s="858" t="str">
        <f>IF($CR204="","",IF($E204="","SP",IFERROR(VLOOKUP($CR204,AtivosDados,MATCH("pm_atual",portfolio.!$A$3:CY$3,0),0)*$CU$5,0)))</f>
        <v/>
      </c>
      <c r="AY204" s="859" t="str">
        <f t="shared" si="2"/>
        <v/>
      </c>
      <c r="AZ204" s="858" t="str">
        <f>IF($CR204="","",IF($E204="","SP",SUMIF(portfolio.!$A$4:$A308,$CR204,portfolio.!$O$4:$O308)*$CU$5))</f>
        <v/>
      </c>
      <c r="BA204" s="858" t="str">
        <f>IF($CR204="","",IF($E204="","SP",SUMIF(portfolio.!$A$4:$A308,$CR204,portfolio.!$AN$4:$AN308)*$CU$5))</f>
        <v/>
      </c>
      <c r="BB204" s="860" t="str">
        <f>IF($CR204="","",IF($E204="","-",IFERROR($BA204/'portfólio'!$DG$63,"")))</f>
        <v/>
      </c>
      <c r="BC204" s="861" t="str">
        <f>IF($CR204="","",IF($E204="","-",SUMIF(portfolio.!$A$4:$A308,$CR204,portfolio.!$J$4:$J308)))</f>
        <v/>
      </c>
      <c r="BD204" s="862" t="str">
        <f>IF($CR204="","",IF($E204="","SP",SUMIF(portfolio.!$A$4:$A308,$CR204,portfolio.!$AQ$4:$AQ308)*$CU$5))</f>
        <v/>
      </c>
      <c r="BE204" s="850" t="str">
        <f t="shared" si="3"/>
        <v/>
      </c>
      <c r="BF204" s="862" t="str">
        <f>IF($CR204="","",IF($E204="","-",SUMIF(portfolio.!$A$4:$A308,$CR204,portfolio.!$AX$4:$AX308)*$CU$5))</f>
        <v/>
      </c>
      <c r="BG204" s="545"/>
      <c r="BH204" s="879" t="s">
        <v>123</v>
      </c>
      <c r="BI204" s="880" t="s">
        <v>123</v>
      </c>
      <c r="BJ204" s="863" t="str">
        <f>IFERROR(__xludf.DUMMYFUNCTION("IF(NOT($BL$4),"""",IF($CR204="""","""",IFERROR(query({GOOGLEFINANCE($CR204,""price"",IF($BI204=""-"",TODAY()-($AQ$5+5),$BI204),TODAY()-1)},""Select max(Col2) where Col1 is not null label max(Col2) ''"")*CU204,""-"")))"),"")</f>
        <v/>
      </c>
      <c r="BK204" s="881" t="s">
        <v>123</v>
      </c>
      <c r="BL204" s="882" t="s">
        <v>123</v>
      </c>
      <c r="BM204" s="442"/>
      <c r="BN204" s="867" t="str">
        <f>IFERROR(__xludf.DUMMYFUNCTION("IF(CR204="""","""",IF(OR(C204=""AÇÃO"",C204=""BDR""),IFERROR(QUERY({fundamentus.!$A$3:$U308},$CX$67&amp;"" where Col1='""&amp;CR204&amp;""' limit 1"",0)),IF(C204=""FII"",IFERROR(QUERY({fundsexplorer.!$A$2:$Z308},$CY$67&amp;"" where Col1='""&amp;CR204&amp;""' limit 1"",0)),""""))"&amp;")"),"")</f>
        <v/>
      </c>
      <c r="BO204" s="867"/>
      <c r="BP204" s="867"/>
      <c r="BQ204" s="867"/>
      <c r="BR204" s="867"/>
      <c r="BS204" s="867"/>
      <c r="BT204" s="867"/>
      <c r="BU204" s="442"/>
      <c r="BV204" s="868" t="str">
        <f>IFERROR(__xludf.DUMMYFUNCTION("IF(OR(C204=""AÇÃO"",C204=""BDR""),IFERROR(GOOGLEFINANCE(CONCAT(""BVMF:"",CR204), ""marketcap"")/1000000,""NC""),"""")"),"")</f>
        <v/>
      </c>
      <c r="BW204" s="869" t="s">
        <v>123</v>
      </c>
      <c r="BX204" s="870" t="s">
        <v>123</v>
      </c>
      <c r="BY204" s="868" t="s">
        <v>123</v>
      </c>
      <c r="BZ204" s="870" t="s">
        <v>123</v>
      </c>
      <c r="CA204" s="868" t="s">
        <v>123</v>
      </c>
      <c r="CB204" s="868" t="s">
        <v>123</v>
      </c>
      <c r="CC204" s="868" t="s">
        <v>123</v>
      </c>
      <c r="CD204" s="868" t="str">
        <f>IFERROR(__xludf.DUMMYFUNCTION("IF(OR(C204=""AÇÃO"",C204=""BDR""),IFERROR(GOOGLEFINANCE(CONCAT(""BVMF:"",CR204), ""volumeavg"")/1000000,""NC""),"""")"),"")</f>
        <v/>
      </c>
      <c r="CE204" s="870" t="s">
        <v>123</v>
      </c>
      <c r="CF204" s="870" t="s">
        <v>123</v>
      </c>
      <c r="CG204" s="870" t="str">
        <f>IFERROR(__xludf.DUMMYFUNCTION("IF(OR(C204=""AÇÃO"",C204=""BDR""),IF(CF204=0,""SEM DY"",IFERROR(ImportXML(CONCAT(""http://www.guiainvest.com.br/raiox/default.aspx?sigla="",$CR204),""//*[@id='lbPayoutAtual']""),""NC"")),"""")"),"")</f>
        <v/>
      </c>
      <c r="CH204" s="870" t="s">
        <v>123</v>
      </c>
      <c r="CI204" s="545"/>
      <c r="CJ204" s="871" t="str">
        <f>IFERROR(__xludf.DUMMYFUNCTION("IF(OR(C204=""AÇÃO"",C204=""BDR""),IFERROR(GOOGLEFINANCE(CONCAT(""BVMF:"",CR204), ""eps""),""NC""),"""")"),"")</f>
        <v/>
      </c>
      <c r="CK204" s="442"/>
      <c r="CL204" s="871" t="str">
        <f>IFERROR(__xludf.DUMMYFUNCTION("IF(NOT($BL$4),"""",IF($CR204="""","""",IF($BC204="""","""",IFERROR(query({op.normal!$B$5:$F308},""select Col5, toDate(Col2) where Col1 =  '""&amp;$CR204&amp;""' and Col4 &gt; 0 and ((Col3 is null) or (Col3 = 'C')) and Col2 &gt;= date '""&amp;TEXT(TODAY()-$AQ$5,""yyyy-mm-dd"&amp;""")&amp;""' order by Col2 desc limit 1 label toDate(Col2) ''"")))))"),"")</f>
        <v/>
      </c>
      <c r="CM204" s="872"/>
      <c r="CN204" s="883" t="s">
        <v>123</v>
      </c>
      <c r="CO204" s="874" t="s">
        <v>123</v>
      </c>
      <c r="CP204" s="766"/>
      <c r="CQ204" s="791"/>
      <c r="CR204" s="791"/>
      <c r="CT204" s="791" t="s">
        <v>123</v>
      </c>
      <c r="CU204" s="791" t="str">
        <f>IFERROR(__xludf.DUMMYFUNCTION("IF(CR204="""","""",IF(CT204=$C$4,1,GOOGLEFINANCE(CT204&amp;$C$4)))"),"")</f>
        <v/>
      </c>
    </row>
    <row r="205" ht="22.5" customHeight="1">
      <c r="A205" s="837">
        <v>197.0</v>
      </c>
      <c r="B205" s="838" t="s">
        <v>123</v>
      </c>
      <c r="C205" s="838" t="s">
        <v>123</v>
      </c>
      <c r="D205" s="839" t="s">
        <v>123</v>
      </c>
      <c r="E205" s="839" t="s">
        <v>123</v>
      </c>
      <c r="F205" s="839" t="s">
        <v>123</v>
      </c>
      <c r="H205" s="884"/>
      <c r="I205" s="838"/>
      <c r="J205" s="838"/>
      <c r="K205" s="838"/>
      <c r="L205" s="838"/>
      <c r="M205" s="838"/>
      <c r="N205" s="838"/>
      <c r="O205" s="838"/>
      <c r="P205" s="838"/>
      <c r="Q205" s="838"/>
      <c r="R205" s="838"/>
      <c r="S205" s="838"/>
      <c r="T205" s="838"/>
      <c r="U205" s="838"/>
      <c r="V205" s="838"/>
      <c r="W205" s="838"/>
      <c r="X205" s="838"/>
      <c r="Z205" s="875" t="str">
        <f>IFERROR(__xludf.DUMMYFUNCTION("IF($CR205="""","""",IFERROR(query({CarteirasAtivos},""select Col4 where Col4 is not null and Col1 = '""&amp;$CR205&amp;""' limit 1"")*CU205,""NC""))"),"")</f>
        <v/>
      </c>
      <c r="AA205" s="876" t="str">
        <f>IFERROR(__xludf.DUMMYFUNCTION("IF($CR205="""","""",IFERROR(query({CarteirasAtivos},""select Col6 where Col4 is not null and Col1 = '""&amp;$CR205&amp;""' limit 1""),""NC""))"),"")</f>
        <v/>
      </c>
      <c r="AB205" s="877"/>
      <c r="AC205" s="878" t="s">
        <v>123</v>
      </c>
      <c r="AD205" s="845" t="str">
        <f>IF($CR205="","",IFERROR(VLOOKUP($CR205,ativos.!$C$3:$R308,MATCH("cotacao",ativos.!$C$2:CY$2,0),FALSE)*$CU$5,"atualizar"))</f>
        <v/>
      </c>
      <c r="AE205" s="846" t="str">
        <f>IFERROR(__xludf.DUMMYFUNCTION("IF($CR205="""","""",IFERROR(AVERAGE(query({CarteirasAtivos;CarteirasAtivosEncerrados},""select Col5 where Col5 is not null and Col1 = '""&amp;$CR205&amp;""' and Col10='SIM'""))*CU205,""NC""))"),"")</f>
        <v/>
      </c>
      <c r="AF205" s="847" t="str">
        <f t="shared" si="1"/>
        <v/>
      </c>
      <c r="AG205" s="442"/>
      <c r="AH205" s="848" t="str">
        <f>IFERROR(__xludf.DUMMYFUNCTION("IF($CR205="""","""",IFERROR(GOOGLEFINANCE($CR205,""low52"")*CU205,""-""))"),"")</f>
        <v/>
      </c>
      <c r="AI205" s="848" t="str">
        <f>IFERROR(__xludf.DUMMYFUNCTION("IF($CR205="""","""",IFERROR(GOOGLEFINANCE($CR205,""high52"")*CU205,""-""))"),"")</f>
        <v/>
      </c>
      <c r="AJ205" s="849" t="s">
        <v>123</v>
      </c>
      <c r="AK205" s="850" t="str">
        <f>IFERROR(__xludf.DUMMYFUNCTION("IF($CR205="""","""",IFERROR(GOOGLEFINANCE($CR205,""changepct"")/100,""-""))"),"")</f>
        <v/>
      </c>
      <c r="AL205" s="851" t="str">
        <f>IFERROR(__xludf.DUMMYFUNCTION("IF($CR205="""","""",IFERROR(($AD205/(QUERY(GOOGLEFINANCE($CR205,""price"",TODAY()-7),""SELECT Col2 label Col2 ''"")*$CU205)-1),""-""))"),"")</f>
        <v/>
      </c>
      <c r="AM205" s="851" t="str">
        <f>IFERROR(__xludf.DUMMYFUNCTION("IF($CR205="""","""",IFERROR(($AD205/(QUERY(GOOGLEFINANCE($CR205,""price"",TODAY()-14),""SELECT Col2 label Col2 ''"")*$CU205)-1),""-""))"),"")</f>
        <v/>
      </c>
      <c r="AN205" s="851" t="str">
        <f>IFERROR(__xludf.DUMMYFUNCTION("IF($CR205="""","""",IFERROR(($AD205/(QUERY(GOOGLEFINANCE($CR205,""price"",TODAY()-28),""SELECT Col2 label Col2 ''"")*$CU205)-1),""-""))"),"")</f>
        <v/>
      </c>
      <c r="AO205" s="851" t="str">
        <f>IFERROR(__xludf.DUMMYFUNCTION("IF($CR205="""","""",IFERROR(($AD205/(QUERY(GOOGLEFINANCE($CR205,""price"",TODAY()-$AQ$5),""SELECT Col2 label Col2 ''"")*$CU205)-1),""-""))"),"")</f>
        <v/>
      </c>
      <c r="AP205" s="852" t="str">
        <f>IFERROR(__xludf.DUMMYFUNCTION("IF($CR205="""","""",IFERROR(SPARKLINE(query(GOOGLEFINANCE($CR205,""price"",TODAY()-$AQ$5,TODAY(),1),""select Col2 label Col2 ''""),IF($AP$7=""Gráfico de barras"",{""charttype"",""column"";""highcolor"",""red""},{""chartype"",""line""}))))"),"")</f>
        <v/>
      </c>
      <c r="AQ205" s="144"/>
      <c r="AR205" s="853"/>
      <c r="AS205" s="854" t="str">
        <f>IF($CR205="","",IF(NOT('alocação'!$D$1),"off",IFERROR(VLOOKUP(CR205,BalanceAtivos,3,0),"NC")))</f>
        <v/>
      </c>
      <c r="AT205" s="855" t="str">
        <f>IF($CR205="","",IF(NOT('alocação'!$D$1),"off",IFERROR(VLOOKUP($CR205,BalanceAtivos,4,0)*$CU$5,"NC")))</f>
        <v/>
      </c>
      <c r="AU205" s="856" t="str">
        <f>IF($CR205="","",IF(NOT('alocação'!$D$1),"off",IFERROR(VLOOKUP($CR205,BalanceAtivos,5,0),"-")))</f>
        <v/>
      </c>
      <c r="AV205" s="856" t="str">
        <f>IF($CR205="","",IF(NOT('alocação'!$D$1),"off",IFERROR(VLOOKUP($CR205,BalanceAtivos,6,0),"-")))</f>
        <v/>
      </c>
      <c r="AW205" s="857"/>
      <c r="AX205" s="858" t="str">
        <f>IF($CR205="","",IF($E205="","SP",IFERROR(VLOOKUP($CR205,AtivosDados,MATCH("pm_atual",portfolio.!$A$3:CY$3,0),0)*$CU$5,0)))</f>
        <v/>
      </c>
      <c r="AY205" s="859" t="str">
        <f t="shared" si="2"/>
        <v/>
      </c>
      <c r="AZ205" s="858" t="str">
        <f>IF($CR205="","",IF($E205="","SP",SUMIF(portfolio.!$A$4:$A308,$CR205,portfolio.!$O$4:$O308)*$CU$5))</f>
        <v/>
      </c>
      <c r="BA205" s="858" t="str">
        <f>IF($CR205="","",IF($E205="","SP",SUMIF(portfolio.!$A$4:$A308,$CR205,portfolio.!$AN$4:$AN308)*$CU$5))</f>
        <v/>
      </c>
      <c r="BB205" s="860" t="str">
        <f>IF($CR205="","",IF($E205="","-",IFERROR($BA205/'portfólio'!$DG$63,"")))</f>
        <v/>
      </c>
      <c r="BC205" s="861" t="str">
        <f>IF($CR205="","",IF($E205="","-",SUMIF(portfolio.!$A$4:$A308,$CR205,portfolio.!$J$4:$J308)))</f>
        <v/>
      </c>
      <c r="BD205" s="862" t="str">
        <f>IF($CR205="","",IF($E205="","SP",SUMIF(portfolio.!$A$4:$A308,$CR205,portfolio.!$AQ$4:$AQ308)*$CU$5))</f>
        <v/>
      </c>
      <c r="BE205" s="850" t="str">
        <f t="shared" si="3"/>
        <v/>
      </c>
      <c r="BF205" s="862" t="str">
        <f>IF($CR205="","",IF($E205="","-",SUMIF(portfolio.!$A$4:$A308,$CR205,portfolio.!$AX$4:$AX308)*$CU$5))</f>
        <v/>
      </c>
      <c r="BG205" s="545"/>
      <c r="BH205" s="879" t="s">
        <v>123</v>
      </c>
      <c r="BI205" s="880" t="s">
        <v>123</v>
      </c>
      <c r="BJ205" s="863" t="str">
        <f>IFERROR(__xludf.DUMMYFUNCTION("IF(NOT($BL$4),"""",IF($CR205="""","""",IFERROR(query({GOOGLEFINANCE($CR205,""price"",IF($BI205=""-"",TODAY()-($AQ$5+5),$BI205),TODAY()-1)},""Select max(Col2) where Col1 is not null label max(Col2) ''"")*CU205,""-"")))"),"")</f>
        <v/>
      </c>
      <c r="BK205" s="881" t="s">
        <v>123</v>
      </c>
      <c r="BL205" s="882" t="s">
        <v>123</v>
      </c>
      <c r="BM205" s="442"/>
      <c r="BN205" s="867" t="str">
        <f>IFERROR(__xludf.DUMMYFUNCTION("IF(CR205="""","""",IF(OR(C205=""AÇÃO"",C205=""BDR""),IFERROR(QUERY({fundamentus.!$A$3:$U308},$CX$67&amp;"" where Col1='""&amp;CR205&amp;""' limit 1"",0)),IF(C205=""FII"",IFERROR(QUERY({fundsexplorer.!$A$2:$Z308},$CY$67&amp;"" where Col1='""&amp;CR205&amp;""' limit 1"",0)),""""))"&amp;")"),"")</f>
        <v/>
      </c>
      <c r="BO205" s="867"/>
      <c r="BP205" s="867"/>
      <c r="BQ205" s="867"/>
      <c r="BR205" s="867"/>
      <c r="BS205" s="867"/>
      <c r="BT205" s="867"/>
      <c r="BU205" s="442"/>
      <c r="BV205" s="868" t="str">
        <f>IFERROR(__xludf.DUMMYFUNCTION("IF(OR(C205=""AÇÃO"",C205=""BDR""),IFERROR(GOOGLEFINANCE(CONCAT(""BVMF:"",CR205), ""marketcap"")/1000000,""NC""),"""")"),"")</f>
        <v/>
      </c>
      <c r="BW205" s="869" t="s">
        <v>123</v>
      </c>
      <c r="BX205" s="870" t="s">
        <v>123</v>
      </c>
      <c r="BY205" s="868" t="s">
        <v>123</v>
      </c>
      <c r="BZ205" s="870" t="s">
        <v>123</v>
      </c>
      <c r="CA205" s="868" t="s">
        <v>123</v>
      </c>
      <c r="CB205" s="868" t="s">
        <v>123</v>
      </c>
      <c r="CC205" s="868" t="s">
        <v>123</v>
      </c>
      <c r="CD205" s="868" t="str">
        <f>IFERROR(__xludf.DUMMYFUNCTION("IF(OR(C205=""AÇÃO"",C205=""BDR""),IFERROR(GOOGLEFINANCE(CONCAT(""BVMF:"",CR205), ""volumeavg"")/1000000,""NC""),"""")"),"")</f>
        <v/>
      </c>
      <c r="CE205" s="870" t="s">
        <v>123</v>
      </c>
      <c r="CF205" s="870" t="s">
        <v>123</v>
      </c>
      <c r="CG205" s="870" t="str">
        <f>IFERROR(__xludf.DUMMYFUNCTION("IF(OR(C205=""AÇÃO"",C205=""BDR""),IF(CF205=0,""SEM DY"",IFERROR(ImportXML(CONCAT(""http://www.guiainvest.com.br/raiox/default.aspx?sigla="",$CR205),""//*[@id='lbPayoutAtual']""),""NC"")),"""")"),"")</f>
        <v/>
      </c>
      <c r="CH205" s="870" t="s">
        <v>123</v>
      </c>
      <c r="CI205" s="545"/>
      <c r="CJ205" s="871" t="str">
        <f>IFERROR(__xludf.DUMMYFUNCTION("IF(OR(C205=""AÇÃO"",C205=""BDR""),IFERROR(GOOGLEFINANCE(CONCAT(""BVMF:"",CR205), ""eps""),""NC""),"""")"),"")</f>
        <v/>
      </c>
      <c r="CK205" s="442"/>
      <c r="CL205" s="871" t="str">
        <f>IFERROR(__xludf.DUMMYFUNCTION("IF(NOT($BL$4),"""",IF($CR205="""","""",IF($BC205="""","""",IFERROR(query({op.normal!$B$5:$F308},""select Col5, toDate(Col2) where Col1 =  '""&amp;$CR205&amp;""' and Col4 &gt; 0 and ((Col3 is null) or (Col3 = 'C')) and Col2 &gt;= date '""&amp;TEXT(TODAY()-$AQ$5,""yyyy-mm-dd"&amp;""")&amp;""' order by Col2 desc limit 1 label toDate(Col2) ''"")))))"),"")</f>
        <v/>
      </c>
      <c r="CM205" s="872"/>
      <c r="CN205" s="883" t="s">
        <v>123</v>
      </c>
      <c r="CO205" s="874" t="s">
        <v>123</v>
      </c>
      <c r="CP205" s="766"/>
      <c r="CQ205" s="791"/>
      <c r="CR205" s="791"/>
      <c r="CT205" s="791" t="s">
        <v>123</v>
      </c>
      <c r="CU205" s="791" t="str">
        <f>IFERROR(__xludf.DUMMYFUNCTION("IF(CR205="""","""",IF(CT205=$C$4,1,GOOGLEFINANCE(CT205&amp;$C$4)))"),"")</f>
        <v/>
      </c>
    </row>
    <row r="206" ht="22.5" customHeight="1">
      <c r="A206" s="837">
        <v>198.0</v>
      </c>
      <c r="B206" s="838" t="s">
        <v>123</v>
      </c>
      <c r="C206" s="838" t="s">
        <v>123</v>
      </c>
      <c r="D206" s="839" t="s">
        <v>123</v>
      </c>
      <c r="E206" s="839" t="s">
        <v>123</v>
      </c>
      <c r="F206" s="839" t="s">
        <v>123</v>
      </c>
      <c r="H206" s="884"/>
      <c r="I206" s="838"/>
      <c r="J206" s="838"/>
      <c r="K206" s="838"/>
      <c r="L206" s="838"/>
      <c r="M206" s="838"/>
      <c r="N206" s="838"/>
      <c r="O206" s="838"/>
      <c r="P206" s="838"/>
      <c r="Q206" s="838"/>
      <c r="R206" s="838"/>
      <c r="S206" s="838"/>
      <c r="T206" s="838"/>
      <c r="U206" s="838"/>
      <c r="V206" s="838"/>
      <c r="W206" s="838"/>
      <c r="X206" s="838"/>
      <c r="Z206" s="875" t="str">
        <f>IFERROR(__xludf.DUMMYFUNCTION("IF($CR206="""","""",IFERROR(query({CarteirasAtivos},""select Col4 where Col4 is not null and Col1 = '""&amp;$CR206&amp;""' limit 1"")*CU206,""NC""))"),"")</f>
        <v/>
      </c>
      <c r="AA206" s="876" t="str">
        <f>IFERROR(__xludf.DUMMYFUNCTION("IF($CR206="""","""",IFERROR(query({CarteirasAtivos},""select Col6 where Col4 is not null and Col1 = '""&amp;$CR206&amp;""' limit 1""),""NC""))"),"")</f>
        <v/>
      </c>
      <c r="AB206" s="877"/>
      <c r="AC206" s="878" t="s">
        <v>123</v>
      </c>
      <c r="AD206" s="845" t="str">
        <f>IF($CR206="","",IFERROR(VLOOKUP($CR206,ativos.!$C$3:$R308,MATCH("cotacao",ativos.!$C$2:CY$2,0),FALSE)*$CU$5,"atualizar"))</f>
        <v/>
      </c>
      <c r="AE206" s="846" t="str">
        <f>IFERROR(__xludf.DUMMYFUNCTION("IF($CR206="""","""",IFERROR(AVERAGE(query({CarteirasAtivos;CarteirasAtivosEncerrados},""select Col5 where Col5 is not null and Col1 = '""&amp;$CR206&amp;""' and Col10='SIM'""))*CU206,""NC""))"),"")</f>
        <v/>
      </c>
      <c r="AF206" s="847" t="str">
        <f t="shared" si="1"/>
        <v/>
      </c>
      <c r="AG206" s="442"/>
      <c r="AH206" s="848" t="str">
        <f>IFERROR(__xludf.DUMMYFUNCTION("IF($CR206="""","""",IFERROR(GOOGLEFINANCE($CR206,""low52"")*CU206,""-""))"),"")</f>
        <v/>
      </c>
      <c r="AI206" s="848" t="str">
        <f>IFERROR(__xludf.DUMMYFUNCTION("IF($CR206="""","""",IFERROR(GOOGLEFINANCE($CR206,""high52"")*CU206,""-""))"),"")</f>
        <v/>
      </c>
      <c r="AJ206" s="849" t="s">
        <v>123</v>
      </c>
      <c r="AK206" s="850" t="str">
        <f>IFERROR(__xludf.DUMMYFUNCTION("IF($CR206="""","""",IFERROR(GOOGLEFINANCE($CR206,""changepct"")/100,""-""))"),"")</f>
        <v/>
      </c>
      <c r="AL206" s="851" t="str">
        <f>IFERROR(__xludf.DUMMYFUNCTION("IF($CR206="""","""",IFERROR(($AD206/(QUERY(GOOGLEFINANCE($CR206,""price"",TODAY()-7),""SELECT Col2 label Col2 ''"")*$CU206)-1),""-""))"),"")</f>
        <v/>
      </c>
      <c r="AM206" s="851" t="str">
        <f>IFERROR(__xludf.DUMMYFUNCTION("IF($CR206="""","""",IFERROR(($AD206/(QUERY(GOOGLEFINANCE($CR206,""price"",TODAY()-14),""SELECT Col2 label Col2 ''"")*$CU206)-1),""-""))"),"")</f>
        <v/>
      </c>
      <c r="AN206" s="851" t="str">
        <f>IFERROR(__xludf.DUMMYFUNCTION("IF($CR206="""","""",IFERROR(($AD206/(QUERY(GOOGLEFINANCE($CR206,""price"",TODAY()-28),""SELECT Col2 label Col2 ''"")*$CU206)-1),""-""))"),"")</f>
        <v/>
      </c>
      <c r="AO206" s="851" t="str">
        <f>IFERROR(__xludf.DUMMYFUNCTION("IF($CR206="""","""",IFERROR(($AD206/(QUERY(GOOGLEFINANCE($CR206,""price"",TODAY()-$AQ$5),""SELECT Col2 label Col2 ''"")*$CU206)-1),""-""))"),"")</f>
        <v/>
      </c>
      <c r="AP206" s="852" t="str">
        <f>IFERROR(__xludf.DUMMYFUNCTION("IF($CR206="""","""",IFERROR(SPARKLINE(query(GOOGLEFINANCE($CR206,""price"",TODAY()-$AQ$5,TODAY(),1),""select Col2 label Col2 ''""),IF($AP$7=""Gráfico de barras"",{""charttype"",""column"";""highcolor"",""red""},{""chartype"",""line""}))))"),"")</f>
        <v/>
      </c>
      <c r="AQ206" s="144"/>
      <c r="AR206" s="853"/>
      <c r="AS206" s="854" t="str">
        <f>IF($CR206="","",IF(NOT('alocação'!$D$1),"off",IFERROR(VLOOKUP(CR206,BalanceAtivos,3,0),"NC")))</f>
        <v/>
      </c>
      <c r="AT206" s="855" t="str">
        <f>IF($CR206="","",IF(NOT('alocação'!$D$1),"off",IFERROR(VLOOKUP($CR206,BalanceAtivos,4,0)*$CU$5,"NC")))</f>
        <v/>
      </c>
      <c r="AU206" s="856" t="str">
        <f>IF($CR206="","",IF(NOT('alocação'!$D$1),"off",IFERROR(VLOOKUP($CR206,BalanceAtivos,5,0),"-")))</f>
        <v/>
      </c>
      <c r="AV206" s="856" t="str">
        <f>IF($CR206="","",IF(NOT('alocação'!$D$1),"off",IFERROR(VLOOKUP($CR206,BalanceAtivos,6,0),"-")))</f>
        <v/>
      </c>
      <c r="AW206" s="857"/>
      <c r="AX206" s="858" t="str">
        <f>IF($CR206="","",IF($E206="","SP",IFERROR(VLOOKUP($CR206,AtivosDados,MATCH("pm_atual",portfolio.!$A$3:CY$3,0),0)*$CU$5,0)))</f>
        <v/>
      </c>
      <c r="AY206" s="859" t="str">
        <f t="shared" si="2"/>
        <v/>
      </c>
      <c r="AZ206" s="858" t="str">
        <f>IF($CR206="","",IF($E206="","SP",SUMIF(portfolio.!$A$4:$A308,$CR206,portfolio.!$O$4:$O308)*$CU$5))</f>
        <v/>
      </c>
      <c r="BA206" s="858" t="str">
        <f>IF($CR206="","",IF($E206="","SP",SUMIF(portfolio.!$A$4:$A308,$CR206,portfolio.!$AN$4:$AN308)*$CU$5))</f>
        <v/>
      </c>
      <c r="BB206" s="860" t="str">
        <f>IF($CR206="","",IF($E206="","-",IFERROR($BA206/'portfólio'!$DG$63,"")))</f>
        <v/>
      </c>
      <c r="BC206" s="861" t="str">
        <f>IF($CR206="","",IF($E206="","-",SUMIF(portfolio.!$A$4:$A308,$CR206,portfolio.!$J$4:$J308)))</f>
        <v/>
      </c>
      <c r="BD206" s="862" t="str">
        <f>IF($CR206="","",IF($E206="","SP",SUMIF(portfolio.!$A$4:$A308,$CR206,portfolio.!$AQ$4:$AQ308)*$CU$5))</f>
        <v/>
      </c>
      <c r="BE206" s="850" t="str">
        <f t="shared" si="3"/>
        <v/>
      </c>
      <c r="BF206" s="862" t="str">
        <f>IF($CR206="","",IF($E206="","-",SUMIF(portfolio.!$A$4:$A308,$CR206,portfolio.!$AX$4:$AX308)*$CU$5))</f>
        <v/>
      </c>
      <c r="BG206" s="545"/>
      <c r="BH206" s="879" t="s">
        <v>123</v>
      </c>
      <c r="BI206" s="880" t="s">
        <v>123</v>
      </c>
      <c r="BJ206" s="863" t="str">
        <f>IFERROR(__xludf.DUMMYFUNCTION("IF(NOT($BL$4),"""",IF($CR206="""","""",IFERROR(query({GOOGLEFINANCE($CR206,""price"",IF($BI206=""-"",TODAY()-($AQ$5+5),$BI206),TODAY()-1)},""Select max(Col2) where Col1 is not null label max(Col2) ''"")*CU206,""-"")))"),"")</f>
        <v/>
      </c>
      <c r="BK206" s="881" t="s">
        <v>123</v>
      </c>
      <c r="BL206" s="882" t="s">
        <v>123</v>
      </c>
      <c r="BM206" s="442"/>
      <c r="BN206" s="867" t="str">
        <f>IFERROR(__xludf.DUMMYFUNCTION("IF(CR206="""","""",IF(OR(C206=""AÇÃO"",C206=""BDR""),IFERROR(QUERY({fundamentus.!$A$3:$U308},$CX$67&amp;"" where Col1='""&amp;CR206&amp;""' limit 1"",0)),IF(C206=""FII"",IFERROR(QUERY({fundsexplorer.!$A$2:$Z308},$CY$67&amp;"" where Col1='""&amp;CR206&amp;""' limit 1"",0)),""""))"&amp;")"),"")</f>
        <v/>
      </c>
      <c r="BO206" s="867"/>
      <c r="BP206" s="867"/>
      <c r="BQ206" s="867"/>
      <c r="BR206" s="867"/>
      <c r="BS206" s="867"/>
      <c r="BT206" s="867"/>
      <c r="BU206" s="442"/>
      <c r="BV206" s="868" t="str">
        <f>IFERROR(__xludf.DUMMYFUNCTION("IF(OR(C206=""AÇÃO"",C206=""BDR""),IFERROR(GOOGLEFINANCE(CONCAT(""BVMF:"",CR206), ""marketcap"")/1000000,""NC""),"""")"),"")</f>
        <v/>
      </c>
      <c r="BW206" s="869" t="s">
        <v>123</v>
      </c>
      <c r="BX206" s="870" t="s">
        <v>123</v>
      </c>
      <c r="BY206" s="868" t="s">
        <v>123</v>
      </c>
      <c r="BZ206" s="870" t="s">
        <v>123</v>
      </c>
      <c r="CA206" s="868" t="s">
        <v>123</v>
      </c>
      <c r="CB206" s="868" t="s">
        <v>123</v>
      </c>
      <c r="CC206" s="868" t="s">
        <v>123</v>
      </c>
      <c r="CD206" s="868" t="str">
        <f>IFERROR(__xludf.DUMMYFUNCTION("IF(OR(C206=""AÇÃO"",C206=""BDR""),IFERROR(GOOGLEFINANCE(CONCAT(""BVMF:"",CR206), ""volumeavg"")/1000000,""NC""),"""")"),"")</f>
        <v/>
      </c>
      <c r="CE206" s="870" t="s">
        <v>123</v>
      </c>
      <c r="CF206" s="870" t="s">
        <v>123</v>
      </c>
      <c r="CG206" s="870" t="str">
        <f>IFERROR(__xludf.DUMMYFUNCTION("IF(OR(C206=""AÇÃO"",C206=""BDR""),IF(CF206=0,""SEM DY"",IFERROR(ImportXML(CONCAT(""http://www.guiainvest.com.br/raiox/default.aspx?sigla="",$CR206),""//*[@id='lbPayoutAtual']""),""NC"")),"""")"),"")</f>
        <v/>
      </c>
      <c r="CH206" s="870" t="s">
        <v>123</v>
      </c>
      <c r="CI206" s="545"/>
      <c r="CJ206" s="871" t="str">
        <f>IFERROR(__xludf.DUMMYFUNCTION("IF(OR(C206=""AÇÃO"",C206=""BDR""),IFERROR(GOOGLEFINANCE(CONCAT(""BVMF:"",CR206), ""eps""),""NC""),"""")"),"")</f>
        <v/>
      </c>
      <c r="CK206" s="442"/>
      <c r="CL206" s="871" t="str">
        <f>IFERROR(__xludf.DUMMYFUNCTION("IF(NOT($BL$4),"""",IF($CR206="""","""",IF($BC206="""","""",IFERROR(query({op.normal!$B$5:$F308},""select Col5, toDate(Col2) where Col1 =  '""&amp;$CR206&amp;""' and Col4 &gt; 0 and ((Col3 is null) or (Col3 = 'C')) and Col2 &gt;= date '""&amp;TEXT(TODAY()-$AQ$5,""yyyy-mm-dd"&amp;""")&amp;""' order by Col2 desc limit 1 label toDate(Col2) ''"")))))"),"")</f>
        <v/>
      </c>
      <c r="CM206" s="872"/>
      <c r="CN206" s="883" t="s">
        <v>123</v>
      </c>
      <c r="CO206" s="874" t="s">
        <v>123</v>
      </c>
      <c r="CP206" s="766"/>
      <c r="CQ206" s="791"/>
      <c r="CR206" s="791"/>
      <c r="CT206" s="791" t="s">
        <v>123</v>
      </c>
      <c r="CU206" s="791" t="str">
        <f>IFERROR(__xludf.DUMMYFUNCTION("IF(CR206="""","""",IF(CT206=$C$4,1,GOOGLEFINANCE(CT206&amp;$C$4)))"),"")</f>
        <v/>
      </c>
    </row>
    <row r="207" ht="22.5" customHeight="1">
      <c r="A207" s="837">
        <v>199.0</v>
      </c>
      <c r="B207" s="838" t="s">
        <v>123</v>
      </c>
      <c r="C207" s="838" t="s">
        <v>123</v>
      </c>
      <c r="D207" s="839" t="s">
        <v>123</v>
      </c>
      <c r="E207" s="839" t="s">
        <v>123</v>
      </c>
      <c r="F207" s="839" t="s">
        <v>123</v>
      </c>
      <c r="H207" s="884"/>
      <c r="I207" s="838"/>
      <c r="J207" s="838"/>
      <c r="K207" s="838"/>
      <c r="L207" s="838"/>
      <c r="M207" s="838"/>
      <c r="N207" s="838"/>
      <c r="O207" s="838"/>
      <c r="P207" s="838"/>
      <c r="Q207" s="838"/>
      <c r="R207" s="838"/>
      <c r="S207" s="838"/>
      <c r="T207" s="838"/>
      <c r="U207" s="838"/>
      <c r="V207" s="838"/>
      <c r="W207" s="838"/>
      <c r="X207" s="838"/>
      <c r="Z207" s="875" t="str">
        <f>IFERROR(__xludf.DUMMYFUNCTION("IF($CR207="""","""",IFERROR(query({CarteirasAtivos},""select Col4 where Col4 is not null and Col1 = '""&amp;$CR207&amp;""' limit 1"")*CU207,""NC""))"),"")</f>
        <v/>
      </c>
      <c r="AA207" s="876" t="str">
        <f>IFERROR(__xludf.DUMMYFUNCTION("IF($CR207="""","""",IFERROR(query({CarteirasAtivos},""select Col6 where Col4 is not null and Col1 = '""&amp;$CR207&amp;""' limit 1""),""NC""))"),"")</f>
        <v/>
      </c>
      <c r="AB207" s="877"/>
      <c r="AC207" s="878" t="s">
        <v>123</v>
      </c>
      <c r="AD207" s="845" t="str">
        <f>IF($CR207="","",IFERROR(VLOOKUP($CR207,ativos.!$C$3:$R308,MATCH("cotacao",ativos.!$C$2:CY$2,0),FALSE)*$CU$5,"atualizar"))</f>
        <v/>
      </c>
      <c r="AE207" s="846" t="str">
        <f>IFERROR(__xludf.DUMMYFUNCTION("IF($CR207="""","""",IFERROR(AVERAGE(query({CarteirasAtivos;CarteirasAtivosEncerrados},""select Col5 where Col5 is not null and Col1 = '""&amp;$CR207&amp;""' and Col10='SIM'""))*CU207,""NC""))"),"")</f>
        <v/>
      </c>
      <c r="AF207" s="847" t="str">
        <f t="shared" si="1"/>
        <v/>
      </c>
      <c r="AG207" s="442"/>
      <c r="AH207" s="848" t="str">
        <f>IFERROR(__xludf.DUMMYFUNCTION("IF($CR207="""","""",IFERROR(GOOGLEFINANCE($CR207,""low52"")*CU207,""-""))"),"")</f>
        <v/>
      </c>
      <c r="AI207" s="848" t="str">
        <f>IFERROR(__xludf.DUMMYFUNCTION("IF($CR207="""","""",IFERROR(GOOGLEFINANCE($CR207,""high52"")*CU207,""-""))"),"")</f>
        <v/>
      </c>
      <c r="AJ207" s="849" t="s">
        <v>123</v>
      </c>
      <c r="AK207" s="850" t="str">
        <f>IFERROR(__xludf.DUMMYFUNCTION("IF($CR207="""","""",IFERROR(GOOGLEFINANCE($CR207,""changepct"")/100,""-""))"),"")</f>
        <v/>
      </c>
      <c r="AL207" s="851" t="str">
        <f>IFERROR(__xludf.DUMMYFUNCTION("IF($CR207="""","""",IFERROR(($AD207/(QUERY(GOOGLEFINANCE($CR207,""price"",TODAY()-7),""SELECT Col2 label Col2 ''"")*$CU207)-1),""-""))"),"")</f>
        <v/>
      </c>
      <c r="AM207" s="851" t="str">
        <f>IFERROR(__xludf.DUMMYFUNCTION("IF($CR207="""","""",IFERROR(($AD207/(QUERY(GOOGLEFINANCE($CR207,""price"",TODAY()-14),""SELECT Col2 label Col2 ''"")*$CU207)-1),""-""))"),"")</f>
        <v/>
      </c>
      <c r="AN207" s="851" t="str">
        <f>IFERROR(__xludf.DUMMYFUNCTION("IF($CR207="""","""",IFERROR(($AD207/(QUERY(GOOGLEFINANCE($CR207,""price"",TODAY()-28),""SELECT Col2 label Col2 ''"")*$CU207)-1),""-""))"),"")</f>
        <v/>
      </c>
      <c r="AO207" s="851" t="str">
        <f>IFERROR(__xludf.DUMMYFUNCTION("IF($CR207="""","""",IFERROR(($AD207/(QUERY(GOOGLEFINANCE($CR207,""price"",TODAY()-$AQ$5),""SELECT Col2 label Col2 ''"")*$CU207)-1),""-""))"),"")</f>
        <v/>
      </c>
      <c r="AP207" s="852" t="str">
        <f>IFERROR(__xludf.DUMMYFUNCTION("IF($CR207="""","""",IFERROR(SPARKLINE(query(GOOGLEFINANCE($CR207,""price"",TODAY()-$AQ$5,TODAY(),1),""select Col2 label Col2 ''""),IF($AP$7=""Gráfico de barras"",{""charttype"",""column"";""highcolor"",""red""},{""chartype"",""line""}))))"),"")</f>
        <v/>
      </c>
      <c r="AQ207" s="144"/>
      <c r="AR207" s="853"/>
      <c r="AS207" s="854" t="str">
        <f>IF($CR207="","",IF(NOT('alocação'!$D$1),"off",IFERROR(VLOOKUP(CR207,BalanceAtivos,3,0),"NC")))</f>
        <v/>
      </c>
      <c r="AT207" s="855" t="str">
        <f>IF($CR207="","",IF(NOT('alocação'!$D$1),"off",IFERROR(VLOOKUP($CR207,BalanceAtivos,4,0)*$CU$5,"NC")))</f>
        <v/>
      </c>
      <c r="AU207" s="856" t="str">
        <f>IF($CR207="","",IF(NOT('alocação'!$D$1),"off",IFERROR(VLOOKUP($CR207,BalanceAtivos,5,0),"-")))</f>
        <v/>
      </c>
      <c r="AV207" s="856" t="str">
        <f>IF($CR207="","",IF(NOT('alocação'!$D$1),"off",IFERROR(VLOOKUP($CR207,BalanceAtivos,6,0),"-")))</f>
        <v/>
      </c>
      <c r="AW207" s="857"/>
      <c r="AX207" s="858" t="str">
        <f>IF($CR207="","",IF($E207="","SP",IFERROR(VLOOKUP($CR207,AtivosDados,MATCH("pm_atual",portfolio.!$A$3:CY$3,0),0)*$CU$5,0)))</f>
        <v/>
      </c>
      <c r="AY207" s="859" t="str">
        <f t="shared" si="2"/>
        <v/>
      </c>
      <c r="AZ207" s="858" t="str">
        <f>IF($CR207="","",IF($E207="","SP",SUMIF(portfolio.!$A$4:$A308,$CR207,portfolio.!$O$4:$O308)*$CU$5))</f>
        <v/>
      </c>
      <c r="BA207" s="858" t="str">
        <f>IF($CR207="","",IF($E207="","SP",SUMIF(portfolio.!$A$4:$A308,$CR207,portfolio.!$AN$4:$AN308)*$CU$5))</f>
        <v/>
      </c>
      <c r="BB207" s="860" t="str">
        <f>IF($CR207="","",IF($E207="","-",IFERROR($BA207/'portfólio'!$DG$63,"")))</f>
        <v/>
      </c>
      <c r="BC207" s="861" t="str">
        <f>IF($CR207="","",IF($E207="","-",SUMIF(portfolio.!$A$4:$A308,$CR207,portfolio.!$J$4:$J308)))</f>
        <v/>
      </c>
      <c r="BD207" s="862" t="str">
        <f>IF($CR207="","",IF($E207="","SP",SUMIF(portfolio.!$A$4:$A308,$CR207,portfolio.!$AQ$4:$AQ308)*$CU$5))</f>
        <v/>
      </c>
      <c r="BE207" s="850" t="str">
        <f t="shared" si="3"/>
        <v/>
      </c>
      <c r="BF207" s="862" t="str">
        <f>IF($CR207="","",IF($E207="","-",SUMIF(portfolio.!$A$4:$A308,$CR207,portfolio.!$AX$4:$AX308)*$CU$5))</f>
        <v/>
      </c>
      <c r="BG207" s="545"/>
      <c r="BH207" s="879" t="s">
        <v>123</v>
      </c>
      <c r="BI207" s="880" t="s">
        <v>123</v>
      </c>
      <c r="BJ207" s="863" t="str">
        <f>IFERROR(__xludf.DUMMYFUNCTION("IF(NOT($BL$4),"""",IF($CR207="""","""",IFERROR(query({GOOGLEFINANCE($CR207,""price"",IF($BI207=""-"",TODAY()-($AQ$5+5),$BI207),TODAY()-1)},""Select max(Col2) where Col1 is not null label max(Col2) ''"")*CU207,""-"")))"),"")</f>
        <v/>
      </c>
      <c r="BK207" s="881" t="s">
        <v>123</v>
      </c>
      <c r="BL207" s="882" t="s">
        <v>123</v>
      </c>
      <c r="BM207" s="442"/>
      <c r="BN207" s="867" t="str">
        <f>IFERROR(__xludf.DUMMYFUNCTION("IF(CR207="""","""",IF(OR(C207=""AÇÃO"",C207=""BDR""),IFERROR(QUERY({fundamentus.!$A$3:$U308},$CX$67&amp;"" where Col1='""&amp;CR207&amp;""' limit 1"",0)),IF(C207=""FII"",IFERROR(QUERY({fundsexplorer.!$A$2:$Z308},$CY$67&amp;"" where Col1='""&amp;CR207&amp;""' limit 1"",0)),""""))"&amp;")"),"")</f>
        <v/>
      </c>
      <c r="BO207" s="867"/>
      <c r="BP207" s="867"/>
      <c r="BQ207" s="867"/>
      <c r="BR207" s="867"/>
      <c r="BS207" s="867"/>
      <c r="BT207" s="867"/>
      <c r="BU207" s="442"/>
      <c r="BV207" s="868" t="str">
        <f>IFERROR(__xludf.DUMMYFUNCTION("IF(OR(C207=""AÇÃO"",C207=""BDR""),IFERROR(GOOGLEFINANCE(CONCAT(""BVMF:"",CR207), ""marketcap"")/1000000,""NC""),"""")"),"")</f>
        <v/>
      </c>
      <c r="BW207" s="869" t="s">
        <v>123</v>
      </c>
      <c r="BX207" s="870" t="s">
        <v>123</v>
      </c>
      <c r="BY207" s="868" t="s">
        <v>123</v>
      </c>
      <c r="BZ207" s="870" t="s">
        <v>123</v>
      </c>
      <c r="CA207" s="868" t="s">
        <v>123</v>
      </c>
      <c r="CB207" s="868" t="s">
        <v>123</v>
      </c>
      <c r="CC207" s="868" t="s">
        <v>123</v>
      </c>
      <c r="CD207" s="868" t="str">
        <f>IFERROR(__xludf.DUMMYFUNCTION("IF(OR(C207=""AÇÃO"",C207=""BDR""),IFERROR(GOOGLEFINANCE(CONCAT(""BVMF:"",CR207), ""volumeavg"")/1000000,""NC""),"""")"),"")</f>
        <v/>
      </c>
      <c r="CE207" s="870" t="s">
        <v>123</v>
      </c>
      <c r="CF207" s="870" t="s">
        <v>123</v>
      </c>
      <c r="CG207" s="870" t="str">
        <f>IFERROR(__xludf.DUMMYFUNCTION("IF(OR(C207=""AÇÃO"",C207=""BDR""),IF(CF207=0,""SEM DY"",IFERROR(ImportXML(CONCAT(""http://www.guiainvest.com.br/raiox/default.aspx?sigla="",$CR207),""//*[@id='lbPayoutAtual']""),""NC"")),"""")"),"")</f>
        <v/>
      </c>
      <c r="CH207" s="870" t="s">
        <v>123</v>
      </c>
      <c r="CI207" s="545"/>
      <c r="CJ207" s="871" t="str">
        <f>IFERROR(__xludf.DUMMYFUNCTION("IF(OR(C207=""AÇÃO"",C207=""BDR""),IFERROR(GOOGLEFINANCE(CONCAT(""BVMF:"",CR207), ""eps""),""NC""),"""")"),"")</f>
        <v/>
      </c>
      <c r="CK207" s="442"/>
      <c r="CL207" s="871" t="str">
        <f>IFERROR(__xludf.DUMMYFUNCTION("IF(NOT($BL$4),"""",IF($CR207="""","""",IF($BC207="""","""",IFERROR(query({op.normal!$B$5:$F308},""select Col5, toDate(Col2) where Col1 =  '""&amp;$CR207&amp;""' and Col4 &gt; 0 and ((Col3 is null) or (Col3 = 'C')) and Col2 &gt;= date '""&amp;TEXT(TODAY()-$AQ$5,""yyyy-mm-dd"&amp;""")&amp;""' order by Col2 desc limit 1 label toDate(Col2) ''"")))))"),"")</f>
        <v/>
      </c>
      <c r="CM207" s="872"/>
      <c r="CN207" s="883" t="s">
        <v>123</v>
      </c>
      <c r="CO207" s="874" t="s">
        <v>123</v>
      </c>
      <c r="CP207" s="766"/>
      <c r="CQ207" s="791"/>
      <c r="CR207" s="791"/>
      <c r="CT207" s="791" t="s">
        <v>123</v>
      </c>
      <c r="CU207" s="791" t="str">
        <f>IFERROR(__xludf.DUMMYFUNCTION("IF(CR207="""","""",IF(CT207=$C$4,1,GOOGLEFINANCE(CT207&amp;$C$4)))"),"")</f>
        <v/>
      </c>
    </row>
    <row r="208" ht="22.5" customHeight="1">
      <c r="A208" s="837">
        <v>200.0</v>
      </c>
      <c r="B208" s="838" t="s">
        <v>123</v>
      </c>
      <c r="C208" s="838" t="s">
        <v>123</v>
      </c>
      <c r="D208" s="839" t="s">
        <v>123</v>
      </c>
      <c r="E208" s="839" t="s">
        <v>123</v>
      </c>
      <c r="F208" s="839" t="s">
        <v>123</v>
      </c>
      <c r="H208" s="884"/>
      <c r="I208" s="838"/>
      <c r="J208" s="838"/>
      <c r="K208" s="838"/>
      <c r="L208" s="838"/>
      <c r="M208" s="838"/>
      <c r="N208" s="838"/>
      <c r="O208" s="838"/>
      <c r="P208" s="838"/>
      <c r="Q208" s="838"/>
      <c r="R208" s="838"/>
      <c r="S208" s="838"/>
      <c r="T208" s="838"/>
      <c r="U208" s="838"/>
      <c r="V208" s="838"/>
      <c r="W208" s="838"/>
      <c r="X208" s="838"/>
      <c r="Z208" s="875" t="str">
        <f>IFERROR(__xludf.DUMMYFUNCTION("IF($CR208="""","""",IFERROR(query({CarteirasAtivos},""select Col4 where Col4 is not null and Col1 = '""&amp;$CR208&amp;""' limit 1"")*CU208,""NC""))"),"")</f>
        <v/>
      </c>
      <c r="AA208" s="876" t="str">
        <f>IFERROR(__xludf.DUMMYFUNCTION("IF($CR208="""","""",IFERROR(query({CarteirasAtivos},""select Col6 where Col4 is not null and Col1 = '""&amp;$CR208&amp;""' limit 1""),""NC""))"),"")</f>
        <v/>
      </c>
      <c r="AB208" s="877"/>
      <c r="AC208" s="878" t="s">
        <v>123</v>
      </c>
      <c r="AD208" s="845" t="str">
        <f>IF($CR208="","",IFERROR(VLOOKUP($CR208,ativos.!$C$3:$R308,MATCH("cotacao",ativos.!$C$2:CY$2,0),FALSE)*$CU$5,"atualizar"))</f>
        <v/>
      </c>
      <c r="AE208" s="846" t="str">
        <f>IFERROR(__xludf.DUMMYFUNCTION("IF($CR208="""","""",IFERROR(AVERAGE(query({CarteirasAtivos;CarteirasAtivosEncerrados},""select Col5 where Col5 is not null and Col1 = '""&amp;$CR208&amp;""' and Col10='SIM'""))*CU208,""NC""))"),"")</f>
        <v/>
      </c>
      <c r="AF208" s="847" t="str">
        <f t="shared" si="1"/>
        <v/>
      </c>
      <c r="AG208" s="442"/>
      <c r="AH208" s="848" t="str">
        <f>IFERROR(__xludf.DUMMYFUNCTION("IF($CR208="""","""",IFERROR(GOOGLEFINANCE($CR208,""low52"")*CU208,""-""))"),"")</f>
        <v/>
      </c>
      <c r="AI208" s="848" t="str">
        <f>IFERROR(__xludf.DUMMYFUNCTION("IF($CR208="""","""",IFERROR(GOOGLEFINANCE($CR208,""high52"")*CU208,""-""))"),"")</f>
        <v/>
      </c>
      <c r="AJ208" s="849" t="s">
        <v>123</v>
      </c>
      <c r="AK208" s="850" t="str">
        <f>IFERROR(__xludf.DUMMYFUNCTION("IF($CR208="""","""",IFERROR(GOOGLEFINANCE($CR208,""changepct"")/100,""-""))"),"")</f>
        <v/>
      </c>
      <c r="AL208" s="851" t="str">
        <f>IFERROR(__xludf.DUMMYFUNCTION("IF($CR208="""","""",IFERROR(($AD208/(QUERY(GOOGLEFINANCE($CR208,""price"",TODAY()-7),""SELECT Col2 label Col2 ''"")*$CU208)-1),""-""))"),"")</f>
        <v/>
      </c>
      <c r="AM208" s="851" t="str">
        <f>IFERROR(__xludf.DUMMYFUNCTION("IF($CR208="""","""",IFERROR(($AD208/(QUERY(GOOGLEFINANCE($CR208,""price"",TODAY()-14),""SELECT Col2 label Col2 ''"")*$CU208)-1),""-""))"),"")</f>
        <v/>
      </c>
      <c r="AN208" s="851" t="str">
        <f>IFERROR(__xludf.DUMMYFUNCTION("IF($CR208="""","""",IFERROR(($AD208/(QUERY(GOOGLEFINANCE($CR208,""price"",TODAY()-28),""SELECT Col2 label Col2 ''"")*$CU208)-1),""-""))"),"")</f>
        <v/>
      </c>
      <c r="AO208" s="851" t="str">
        <f>IFERROR(__xludf.DUMMYFUNCTION("IF($CR208="""","""",IFERROR(($AD208/(QUERY(GOOGLEFINANCE($CR208,""price"",TODAY()-$AQ$5),""SELECT Col2 label Col2 ''"")*$CU208)-1),""-""))"),"")</f>
        <v/>
      </c>
      <c r="AP208" s="852" t="str">
        <f>IFERROR(__xludf.DUMMYFUNCTION("IF($CR208="""","""",IFERROR(SPARKLINE(query(GOOGLEFINANCE($CR208,""price"",TODAY()-$AQ$5,TODAY(),1),""select Col2 label Col2 ''""),IF($AP$7=""Gráfico de barras"",{""charttype"",""column"";""highcolor"",""red""},{""chartype"",""line""}))))"),"")</f>
        <v/>
      </c>
      <c r="AQ208" s="144"/>
      <c r="AR208" s="853"/>
      <c r="AS208" s="854" t="str">
        <f>IF($CR208="","",IF(NOT('alocação'!$D$1),"off",IFERROR(VLOOKUP(CR208,BalanceAtivos,3,0),"NC")))</f>
        <v/>
      </c>
      <c r="AT208" s="855" t="str">
        <f>IF($CR208="","",IF(NOT('alocação'!$D$1),"off",IFERROR(VLOOKUP($CR208,BalanceAtivos,4,0)*$CU$5,"NC")))</f>
        <v/>
      </c>
      <c r="AU208" s="856" t="str">
        <f>IF($CR208="","",IF(NOT('alocação'!$D$1),"off",IFERROR(VLOOKUP($CR208,BalanceAtivos,5,0),"-")))</f>
        <v/>
      </c>
      <c r="AV208" s="856" t="str">
        <f>IF($CR208="","",IF(NOT('alocação'!$D$1),"off",IFERROR(VLOOKUP($CR208,BalanceAtivos,6,0),"-")))</f>
        <v/>
      </c>
      <c r="AW208" s="857"/>
      <c r="AX208" s="858" t="str">
        <f>IF($CR208="","",IF($E208="","SP",IFERROR(VLOOKUP($CR208,AtivosDados,MATCH("pm_atual",portfolio.!$A$3:CY$3,0),0)*$CU$5,0)))</f>
        <v/>
      </c>
      <c r="AY208" s="859" t="str">
        <f t="shared" si="2"/>
        <v/>
      </c>
      <c r="AZ208" s="858" t="str">
        <f>IF($CR208="","",IF($E208="","SP",SUMIF(portfolio.!$A$4:$A308,$CR208,portfolio.!$O$4:$O308)*$CU$5))</f>
        <v/>
      </c>
      <c r="BA208" s="858" t="str">
        <f>IF($CR208="","",IF($E208="","SP",SUMIF(portfolio.!$A$4:$A308,$CR208,portfolio.!$AN$4:$AN308)*$CU$5))</f>
        <v/>
      </c>
      <c r="BB208" s="860" t="str">
        <f>IF($CR208="","",IF($E208="","-",IFERROR($BA208/'portfólio'!$DG$63,"")))</f>
        <v/>
      </c>
      <c r="BC208" s="861" t="str">
        <f>IF($CR208="","",IF($E208="","-",SUMIF(portfolio.!$A$4:$A308,$CR208,portfolio.!$J$4:$J308)))</f>
        <v/>
      </c>
      <c r="BD208" s="862" t="str">
        <f>IF($CR208="","",IF($E208="","SP",SUMIF(portfolio.!$A$4:$A308,$CR208,portfolio.!$AQ$4:$AQ308)*$CU$5))</f>
        <v/>
      </c>
      <c r="BE208" s="850" t="str">
        <f t="shared" si="3"/>
        <v/>
      </c>
      <c r="BF208" s="862" t="str">
        <f>IF($CR208="","",IF($E208="","-",SUMIF(portfolio.!$A$4:$A308,$CR208,portfolio.!$AX$4:$AX308)*$CU$5))</f>
        <v/>
      </c>
      <c r="BG208" s="545"/>
      <c r="BH208" s="879" t="s">
        <v>123</v>
      </c>
      <c r="BI208" s="880" t="s">
        <v>123</v>
      </c>
      <c r="BJ208" s="863" t="str">
        <f>IFERROR(__xludf.DUMMYFUNCTION("IF(NOT($BL$4),"""",IF($CR208="""","""",IFERROR(query({GOOGLEFINANCE($CR208,""price"",IF($BI208=""-"",TODAY()-($AQ$5+5),$BI208),TODAY()-1)},""Select max(Col2) where Col1 is not null label max(Col2) ''"")*CU208,""-"")))"),"")</f>
        <v/>
      </c>
      <c r="BK208" s="881" t="s">
        <v>123</v>
      </c>
      <c r="BL208" s="882" t="s">
        <v>123</v>
      </c>
      <c r="BM208" s="442"/>
      <c r="BN208" s="867" t="str">
        <f>IFERROR(__xludf.DUMMYFUNCTION("IF(CR208="""","""",IF(OR(C208=""AÇÃO"",C208=""BDR""),IFERROR(QUERY({fundamentus.!$A$3:$U308},$CX$67&amp;"" where Col1='""&amp;CR208&amp;""' limit 1"",0)),IF(C208=""FII"",IFERROR(QUERY({fundsexplorer.!$A$2:$Z308},$CY$67&amp;"" where Col1='""&amp;CR208&amp;""' limit 1"",0)),""""))"&amp;")"),"")</f>
        <v/>
      </c>
      <c r="BO208" s="867"/>
      <c r="BP208" s="867"/>
      <c r="BQ208" s="867"/>
      <c r="BR208" s="867"/>
      <c r="BS208" s="867"/>
      <c r="BT208" s="867"/>
      <c r="BU208" s="442"/>
      <c r="BV208" s="868" t="str">
        <f>IFERROR(__xludf.DUMMYFUNCTION("IF(OR(C208=""AÇÃO"",C208=""BDR""),IFERROR(GOOGLEFINANCE(CONCAT(""BVMF:"",CR208), ""marketcap"")/1000000,""NC""),"""")"),"")</f>
        <v/>
      </c>
      <c r="BW208" s="869" t="s">
        <v>123</v>
      </c>
      <c r="BX208" s="870" t="s">
        <v>123</v>
      </c>
      <c r="BY208" s="868" t="s">
        <v>123</v>
      </c>
      <c r="BZ208" s="870" t="s">
        <v>123</v>
      </c>
      <c r="CA208" s="868" t="s">
        <v>123</v>
      </c>
      <c r="CB208" s="868" t="s">
        <v>123</v>
      </c>
      <c r="CC208" s="868" t="s">
        <v>123</v>
      </c>
      <c r="CD208" s="868" t="str">
        <f>IFERROR(__xludf.DUMMYFUNCTION("IF(OR(C208=""AÇÃO"",C208=""BDR""),IFERROR(GOOGLEFINANCE(CONCAT(""BVMF:"",CR208), ""volumeavg"")/1000000,""NC""),"""")"),"")</f>
        <v/>
      </c>
      <c r="CE208" s="870" t="s">
        <v>123</v>
      </c>
      <c r="CF208" s="870" t="s">
        <v>123</v>
      </c>
      <c r="CG208" s="870" t="str">
        <f>IFERROR(__xludf.DUMMYFUNCTION("IF(OR(C208=""AÇÃO"",C208=""BDR""),IF(CF208=0,""SEM DY"",IFERROR(ImportXML(CONCAT(""http://www.guiainvest.com.br/raiox/default.aspx?sigla="",$CR208),""//*[@id='lbPayoutAtual']""),""NC"")),"""")"),"")</f>
        <v/>
      </c>
      <c r="CH208" s="870" t="s">
        <v>123</v>
      </c>
      <c r="CI208" s="545"/>
      <c r="CJ208" s="871" t="str">
        <f>IFERROR(__xludf.DUMMYFUNCTION("IF(OR(C208=""AÇÃO"",C208=""BDR""),IFERROR(GOOGLEFINANCE(CONCAT(""BVMF:"",CR208), ""eps""),""NC""),"""")"),"")</f>
        <v/>
      </c>
      <c r="CK208" s="442"/>
      <c r="CL208" s="871" t="str">
        <f>IFERROR(__xludf.DUMMYFUNCTION("IF(NOT($BL$4),"""",IF($CR208="""","""",IF($BC208="""","""",IFERROR(query({op.normal!$B$5:$F308},""select Col5, toDate(Col2) where Col1 =  '""&amp;$CR208&amp;""' and Col4 &gt; 0 and ((Col3 is null) or (Col3 = 'C')) and Col2 &gt;= date '""&amp;TEXT(TODAY()-$AQ$5,""yyyy-mm-dd"&amp;""")&amp;""' order by Col2 desc limit 1 label toDate(Col2) ''"")))))"),"")</f>
        <v/>
      </c>
      <c r="CM208" s="872"/>
      <c r="CN208" s="883" t="s">
        <v>123</v>
      </c>
      <c r="CO208" s="874" t="s">
        <v>123</v>
      </c>
      <c r="CP208" s="766"/>
      <c r="CQ208" s="791"/>
      <c r="CR208" s="791"/>
      <c r="CT208" s="791" t="s">
        <v>123</v>
      </c>
      <c r="CU208" s="791" t="str">
        <f>IFERROR(__xludf.DUMMYFUNCTION("IF(CR208="""","""",IF(CT208=$C$4,1,GOOGLEFINANCE(CT208&amp;$C$4)))"),"")</f>
        <v/>
      </c>
    </row>
    <row r="209" ht="22.5" customHeight="1">
      <c r="A209" s="837">
        <v>201.0</v>
      </c>
      <c r="B209" s="838" t="s">
        <v>123</v>
      </c>
      <c r="C209" s="838" t="s">
        <v>123</v>
      </c>
      <c r="D209" s="839" t="s">
        <v>123</v>
      </c>
      <c r="E209" s="839" t="s">
        <v>123</v>
      </c>
      <c r="F209" s="839" t="s">
        <v>123</v>
      </c>
      <c r="H209" s="884"/>
      <c r="I209" s="838"/>
      <c r="J209" s="838"/>
      <c r="K209" s="838"/>
      <c r="L209" s="838"/>
      <c r="M209" s="838"/>
      <c r="N209" s="838"/>
      <c r="O209" s="838"/>
      <c r="P209" s="838"/>
      <c r="Q209" s="838"/>
      <c r="R209" s="838"/>
      <c r="S209" s="838"/>
      <c r="T209" s="838"/>
      <c r="U209" s="838"/>
      <c r="V209" s="838"/>
      <c r="W209" s="838"/>
      <c r="X209" s="838"/>
      <c r="Z209" s="875" t="str">
        <f>IFERROR(__xludf.DUMMYFUNCTION("IF($CR209="""","""",IFERROR(query({CarteirasAtivos},""select Col4 where Col4 is not null and Col1 = '""&amp;$CR209&amp;""' limit 1"")*CU209,""NC""))"),"")</f>
        <v/>
      </c>
      <c r="AA209" s="876" t="str">
        <f>IFERROR(__xludf.DUMMYFUNCTION("IF($CR209="""","""",IFERROR(query({CarteirasAtivos},""select Col6 where Col4 is not null and Col1 = '""&amp;$CR209&amp;""' limit 1""),""NC""))"),"")</f>
        <v/>
      </c>
      <c r="AB209" s="877"/>
      <c r="AC209" s="878" t="s">
        <v>123</v>
      </c>
      <c r="AD209" s="845" t="str">
        <f>IF($CR209="","",IFERROR(VLOOKUP($CR209,ativos.!$C$3:$R308,MATCH("cotacao",ativos.!$C$2:CY$2,0),FALSE)*$CU$5,"atualizar"))</f>
        <v/>
      </c>
      <c r="AE209" s="846" t="str">
        <f>IFERROR(__xludf.DUMMYFUNCTION("IF($CR209="""","""",IFERROR(AVERAGE(query({CarteirasAtivos;CarteirasAtivosEncerrados},""select Col5 where Col5 is not null and Col1 = '""&amp;$CR209&amp;""' and Col10='SIM'""))*CU209,""NC""))"),"")</f>
        <v/>
      </c>
      <c r="AF209" s="847" t="str">
        <f t="shared" si="1"/>
        <v/>
      </c>
      <c r="AG209" s="442"/>
      <c r="AH209" s="848" t="str">
        <f>IFERROR(__xludf.DUMMYFUNCTION("IF($CR209="""","""",IFERROR(GOOGLEFINANCE($CR209,""low52"")*CU209,""-""))"),"")</f>
        <v/>
      </c>
      <c r="AI209" s="848" t="str">
        <f>IFERROR(__xludf.DUMMYFUNCTION("IF($CR209="""","""",IFERROR(GOOGLEFINANCE($CR209,""high52"")*CU209,""-""))"),"")</f>
        <v/>
      </c>
      <c r="AJ209" s="849" t="s">
        <v>123</v>
      </c>
      <c r="AK209" s="850" t="str">
        <f>IFERROR(__xludf.DUMMYFUNCTION("IF($CR209="""","""",IFERROR(GOOGLEFINANCE($CR209,""changepct"")/100,""-""))"),"")</f>
        <v/>
      </c>
      <c r="AL209" s="851" t="str">
        <f>IFERROR(__xludf.DUMMYFUNCTION("IF($CR209="""","""",IFERROR(($AD209/(QUERY(GOOGLEFINANCE($CR209,""price"",TODAY()-7),""SELECT Col2 label Col2 ''"")*$CU209)-1),""-""))"),"")</f>
        <v/>
      </c>
      <c r="AM209" s="851" t="str">
        <f>IFERROR(__xludf.DUMMYFUNCTION("IF($CR209="""","""",IFERROR(($AD209/(QUERY(GOOGLEFINANCE($CR209,""price"",TODAY()-14),""SELECT Col2 label Col2 ''"")*$CU209)-1),""-""))"),"")</f>
        <v/>
      </c>
      <c r="AN209" s="851" t="str">
        <f>IFERROR(__xludf.DUMMYFUNCTION("IF($CR209="""","""",IFERROR(($AD209/(QUERY(GOOGLEFINANCE($CR209,""price"",TODAY()-28),""SELECT Col2 label Col2 ''"")*$CU209)-1),""-""))"),"")</f>
        <v/>
      </c>
      <c r="AO209" s="851" t="str">
        <f>IFERROR(__xludf.DUMMYFUNCTION("IF($CR209="""","""",IFERROR(($AD209/(QUERY(GOOGLEFINANCE($CR209,""price"",TODAY()-$AQ$5),""SELECT Col2 label Col2 ''"")*$CU209)-1),""-""))"),"")</f>
        <v/>
      </c>
      <c r="AP209" s="852" t="str">
        <f>IFERROR(__xludf.DUMMYFUNCTION("IF($CR209="""","""",IFERROR(SPARKLINE(query(GOOGLEFINANCE($CR209,""price"",TODAY()-$AQ$5,TODAY(),1),""select Col2 label Col2 ''""),IF($AP$7=""Gráfico de barras"",{""charttype"",""column"";""highcolor"",""red""},{""chartype"",""line""}))))"),"")</f>
        <v/>
      </c>
      <c r="AQ209" s="144"/>
      <c r="AR209" s="853"/>
      <c r="AS209" s="854" t="str">
        <f>IF($CR209="","",IF(NOT('alocação'!$D$1),"off",IFERROR(VLOOKUP(CR209,BalanceAtivos,3,0),"NC")))</f>
        <v/>
      </c>
      <c r="AT209" s="855" t="str">
        <f>IF($CR209="","",IF(NOT('alocação'!$D$1),"off",IFERROR(VLOOKUP($CR209,BalanceAtivos,4,0)*$CU$5,"NC")))</f>
        <v/>
      </c>
      <c r="AU209" s="856" t="str">
        <f>IF($CR209="","",IF(NOT('alocação'!$D$1),"off",IFERROR(VLOOKUP($CR209,BalanceAtivos,5,0),"-")))</f>
        <v/>
      </c>
      <c r="AV209" s="856" t="str">
        <f>IF($CR209="","",IF(NOT('alocação'!$D$1),"off",IFERROR(VLOOKUP($CR209,BalanceAtivos,6,0),"-")))</f>
        <v/>
      </c>
      <c r="AW209" s="857"/>
      <c r="AX209" s="858" t="str">
        <f>IF($CR209="","",IF($E209="","SP",IFERROR(VLOOKUP($CR209,AtivosDados,MATCH("pm_atual",portfolio.!$A$3:CY$3,0),0)*$CU$5,0)))</f>
        <v/>
      </c>
      <c r="AY209" s="859" t="str">
        <f t="shared" si="2"/>
        <v/>
      </c>
      <c r="AZ209" s="858" t="str">
        <f>IF($CR209="","",IF($E209="","SP",SUMIF(portfolio.!$A$4:$A308,$CR209,portfolio.!$O$4:$O308)*$CU$5))</f>
        <v/>
      </c>
      <c r="BA209" s="858" t="str">
        <f>IF($CR209="","",IF($E209="","SP",SUMIF(portfolio.!$A$4:$A308,$CR209,portfolio.!$AN$4:$AN308)*$CU$5))</f>
        <v/>
      </c>
      <c r="BB209" s="860" t="str">
        <f>IF($CR209="","",IF($E209="","-",IFERROR($BA209/'portfólio'!$DG$63,"")))</f>
        <v/>
      </c>
      <c r="BC209" s="861" t="str">
        <f>IF($CR209="","",IF($E209="","-",SUMIF(portfolio.!$A$4:$A308,$CR209,portfolio.!$J$4:$J308)))</f>
        <v/>
      </c>
      <c r="BD209" s="862" t="str">
        <f>IF($CR209="","",IF($E209="","SP",SUMIF(portfolio.!$A$4:$A308,$CR209,portfolio.!$AQ$4:$AQ308)*$CU$5))</f>
        <v/>
      </c>
      <c r="BE209" s="850" t="str">
        <f t="shared" si="3"/>
        <v/>
      </c>
      <c r="BF209" s="862" t="str">
        <f>IF($CR209="","",IF($E209="","-",SUMIF(portfolio.!$A$4:$A308,$CR209,portfolio.!$AX$4:$AX308)*$CU$5))</f>
        <v/>
      </c>
      <c r="BG209" s="545"/>
      <c r="BH209" s="879" t="s">
        <v>123</v>
      </c>
      <c r="BI209" s="880" t="s">
        <v>123</v>
      </c>
      <c r="BJ209" s="863" t="str">
        <f>IFERROR(__xludf.DUMMYFUNCTION("IF(NOT($BL$4),"""",IF($CR209="""","""",IFERROR(query({GOOGLEFINANCE($CR209,""price"",IF($BI209=""-"",TODAY()-($AQ$5+5),$BI209),TODAY()-1)},""Select max(Col2) where Col1 is not null label max(Col2) ''"")*CU209,""-"")))"),"")</f>
        <v/>
      </c>
      <c r="BK209" s="881" t="s">
        <v>123</v>
      </c>
      <c r="BL209" s="882" t="s">
        <v>123</v>
      </c>
      <c r="BM209" s="442"/>
      <c r="BN209" s="867" t="str">
        <f>IFERROR(__xludf.DUMMYFUNCTION("IF(CR209="""","""",IF(OR(C209=""AÇÃO"",C209=""BDR""),IFERROR(QUERY({fundamentus.!$A$3:$U308},$CX$67&amp;"" where Col1='""&amp;CR209&amp;""' limit 1"",0)),IF(C209=""FII"",IFERROR(QUERY({fundsexplorer.!$A$2:$Z308},$CY$67&amp;"" where Col1='""&amp;CR209&amp;""' limit 1"",0)),""""))"&amp;")"),"")</f>
        <v/>
      </c>
      <c r="BO209" s="867"/>
      <c r="BP209" s="867"/>
      <c r="BQ209" s="867"/>
      <c r="BR209" s="867"/>
      <c r="BS209" s="867"/>
      <c r="BT209" s="867"/>
      <c r="BU209" s="442"/>
      <c r="BV209" s="868" t="str">
        <f>IFERROR(__xludf.DUMMYFUNCTION("IF(OR(C209=""AÇÃO"",C209=""BDR""),IFERROR(GOOGLEFINANCE(CONCAT(""BVMF:"",CR209), ""marketcap"")/1000000,""NC""),"""")"),"")</f>
        <v/>
      </c>
      <c r="BW209" s="869" t="s">
        <v>123</v>
      </c>
      <c r="BX209" s="870" t="s">
        <v>123</v>
      </c>
      <c r="BY209" s="868" t="s">
        <v>123</v>
      </c>
      <c r="BZ209" s="870" t="s">
        <v>123</v>
      </c>
      <c r="CA209" s="868" t="s">
        <v>123</v>
      </c>
      <c r="CB209" s="868" t="s">
        <v>123</v>
      </c>
      <c r="CC209" s="868" t="s">
        <v>123</v>
      </c>
      <c r="CD209" s="868" t="str">
        <f>IFERROR(__xludf.DUMMYFUNCTION("IF(OR(C209=""AÇÃO"",C209=""BDR""),IFERROR(GOOGLEFINANCE(CONCAT(""BVMF:"",CR209), ""volumeavg"")/1000000,""NC""),"""")"),"")</f>
        <v/>
      </c>
      <c r="CE209" s="870" t="s">
        <v>123</v>
      </c>
      <c r="CF209" s="870" t="s">
        <v>123</v>
      </c>
      <c r="CG209" s="870" t="str">
        <f>IFERROR(__xludf.DUMMYFUNCTION("IF(OR(C209=""AÇÃO"",C209=""BDR""),IF(CF209=0,""SEM DY"",IFERROR(ImportXML(CONCAT(""http://www.guiainvest.com.br/raiox/default.aspx?sigla="",$CR209),""//*[@id='lbPayoutAtual']""),""NC"")),"""")"),"")</f>
        <v/>
      </c>
      <c r="CH209" s="870" t="s">
        <v>123</v>
      </c>
      <c r="CI209" s="545"/>
      <c r="CJ209" s="871" t="str">
        <f>IFERROR(__xludf.DUMMYFUNCTION("IF(OR(C209=""AÇÃO"",C209=""BDR""),IFERROR(GOOGLEFINANCE(CONCAT(""BVMF:"",CR209), ""eps""),""NC""),"""")"),"")</f>
        <v/>
      </c>
      <c r="CK209" s="442"/>
      <c r="CL209" s="871" t="str">
        <f>IFERROR(__xludf.DUMMYFUNCTION("IF(NOT($BL$4),"""",IF($CR209="""","""",IF($BC209="""","""",IFERROR(query({op.normal!$B$5:$F308},""select Col5, toDate(Col2) where Col1 =  '""&amp;$CR209&amp;""' and Col4 &gt; 0 and ((Col3 is null) or (Col3 = 'C')) and Col2 &gt;= date '""&amp;TEXT(TODAY()-$AQ$5,""yyyy-mm-dd"&amp;""")&amp;""' order by Col2 desc limit 1 label toDate(Col2) ''"")))))"),"")</f>
        <v/>
      </c>
      <c r="CM209" s="872"/>
      <c r="CN209" s="883" t="s">
        <v>123</v>
      </c>
      <c r="CO209" s="874" t="s">
        <v>123</v>
      </c>
      <c r="CP209" s="766"/>
      <c r="CQ209" s="791"/>
      <c r="CR209" s="791"/>
      <c r="CT209" s="791" t="s">
        <v>123</v>
      </c>
      <c r="CU209" s="791" t="str">
        <f>IFERROR(__xludf.DUMMYFUNCTION("IF(CR209="""","""",IF(CT209=$C$4,1,GOOGLEFINANCE(CT209&amp;$C$4)))"),"")</f>
        <v/>
      </c>
    </row>
    <row r="210" ht="22.5" customHeight="1">
      <c r="A210" s="837">
        <v>202.0</v>
      </c>
      <c r="B210" s="838" t="s">
        <v>123</v>
      </c>
      <c r="C210" s="838" t="s">
        <v>123</v>
      </c>
      <c r="D210" s="839" t="s">
        <v>123</v>
      </c>
      <c r="E210" s="839" t="s">
        <v>123</v>
      </c>
      <c r="F210" s="839" t="s">
        <v>123</v>
      </c>
      <c r="H210" s="884"/>
      <c r="I210" s="838"/>
      <c r="J210" s="838"/>
      <c r="K210" s="838"/>
      <c r="L210" s="838"/>
      <c r="M210" s="838"/>
      <c r="N210" s="838"/>
      <c r="O210" s="838"/>
      <c r="P210" s="838"/>
      <c r="Q210" s="838"/>
      <c r="R210" s="838"/>
      <c r="S210" s="838"/>
      <c r="T210" s="838"/>
      <c r="U210" s="838"/>
      <c r="V210" s="838"/>
      <c r="W210" s="838"/>
      <c r="X210" s="838"/>
      <c r="Z210" s="875" t="str">
        <f>IFERROR(__xludf.DUMMYFUNCTION("IF($CR210="""","""",IFERROR(query({CarteirasAtivos},""select Col4 where Col4 is not null and Col1 = '""&amp;$CR210&amp;""' limit 1"")*CU210,""NC""))"),"")</f>
        <v/>
      </c>
      <c r="AA210" s="876" t="str">
        <f>IFERROR(__xludf.DUMMYFUNCTION("IF($CR210="""","""",IFERROR(query({CarteirasAtivos},""select Col6 where Col4 is not null and Col1 = '""&amp;$CR210&amp;""' limit 1""),""NC""))"),"")</f>
        <v/>
      </c>
      <c r="AB210" s="877"/>
      <c r="AC210" s="878" t="s">
        <v>123</v>
      </c>
      <c r="AD210" s="845" t="str">
        <f>IF($CR210="","",IFERROR(VLOOKUP($CR210,ativos.!$C$3:$R308,MATCH("cotacao",ativos.!$C$2:CY$2,0),FALSE)*$CU$5,"atualizar"))</f>
        <v/>
      </c>
      <c r="AE210" s="846" t="str">
        <f>IFERROR(__xludf.DUMMYFUNCTION("IF($CR210="""","""",IFERROR(AVERAGE(query({CarteirasAtivos;CarteirasAtivosEncerrados},""select Col5 where Col5 is not null and Col1 = '""&amp;$CR210&amp;""' and Col10='SIM'""))*CU210,""NC""))"),"")</f>
        <v/>
      </c>
      <c r="AF210" s="847" t="str">
        <f t="shared" si="1"/>
        <v/>
      </c>
      <c r="AG210" s="442"/>
      <c r="AH210" s="848" t="str">
        <f>IFERROR(__xludf.DUMMYFUNCTION("IF($CR210="""","""",IFERROR(GOOGLEFINANCE($CR210,""low52"")*CU210,""-""))"),"")</f>
        <v/>
      </c>
      <c r="AI210" s="848" t="str">
        <f>IFERROR(__xludf.DUMMYFUNCTION("IF($CR210="""","""",IFERROR(GOOGLEFINANCE($CR210,""high52"")*CU210,""-""))"),"")</f>
        <v/>
      </c>
      <c r="AJ210" s="849" t="s">
        <v>123</v>
      </c>
      <c r="AK210" s="850" t="str">
        <f>IFERROR(__xludf.DUMMYFUNCTION("IF($CR210="""","""",IFERROR(GOOGLEFINANCE($CR210,""changepct"")/100,""-""))"),"")</f>
        <v/>
      </c>
      <c r="AL210" s="851" t="str">
        <f>IFERROR(__xludf.DUMMYFUNCTION("IF($CR210="""","""",IFERROR(($AD210/(QUERY(GOOGLEFINANCE($CR210,""price"",TODAY()-7),""SELECT Col2 label Col2 ''"")*$CU210)-1),""-""))"),"")</f>
        <v/>
      </c>
      <c r="AM210" s="851" t="str">
        <f>IFERROR(__xludf.DUMMYFUNCTION("IF($CR210="""","""",IFERROR(($AD210/(QUERY(GOOGLEFINANCE($CR210,""price"",TODAY()-14),""SELECT Col2 label Col2 ''"")*$CU210)-1),""-""))"),"")</f>
        <v/>
      </c>
      <c r="AN210" s="851" t="str">
        <f>IFERROR(__xludf.DUMMYFUNCTION("IF($CR210="""","""",IFERROR(($AD210/(QUERY(GOOGLEFINANCE($CR210,""price"",TODAY()-28),""SELECT Col2 label Col2 ''"")*$CU210)-1),""-""))"),"")</f>
        <v/>
      </c>
      <c r="AO210" s="851" t="str">
        <f>IFERROR(__xludf.DUMMYFUNCTION("IF($CR210="""","""",IFERROR(($AD210/(QUERY(GOOGLEFINANCE($CR210,""price"",TODAY()-$AQ$5),""SELECT Col2 label Col2 ''"")*$CU210)-1),""-""))"),"")</f>
        <v/>
      </c>
      <c r="AP210" s="852" t="str">
        <f>IFERROR(__xludf.DUMMYFUNCTION("IF($CR210="""","""",IFERROR(SPARKLINE(query(GOOGLEFINANCE($CR210,""price"",TODAY()-$AQ$5,TODAY(),1),""select Col2 label Col2 ''""),IF($AP$7=""Gráfico de barras"",{""charttype"",""column"";""highcolor"",""red""},{""chartype"",""line""}))))"),"")</f>
        <v/>
      </c>
      <c r="AQ210" s="144"/>
      <c r="AR210" s="853"/>
      <c r="AS210" s="854" t="str">
        <f>IF($CR210="","",IF(NOT('alocação'!$D$1),"off",IFERROR(VLOOKUP(CR210,BalanceAtivos,3,0),"NC")))</f>
        <v/>
      </c>
      <c r="AT210" s="855" t="str">
        <f>IF($CR210="","",IF(NOT('alocação'!$D$1),"off",IFERROR(VLOOKUP($CR210,BalanceAtivos,4,0)*$CU$5,"NC")))</f>
        <v/>
      </c>
      <c r="AU210" s="856" t="str">
        <f>IF($CR210="","",IF(NOT('alocação'!$D$1),"off",IFERROR(VLOOKUP($CR210,BalanceAtivos,5,0),"-")))</f>
        <v/>
      </c>
      <c r="AV210" s="856" t="str">
        <f>IF($CR210="","",IF(NOT('alocação'!$D$1),"off",IFERROR(VLOOKUP($CR210,BalanceAtivos,6,0),"-")))</f>
        <v/>
      </c>
      <c r="AW210" s="857"/>
      <c r="AX210" s="858" t="str">
        <f>IF($CR210="","",IF($E210="","SP",IFERROR(VLOOKUP($CR210,AtivosDados,MATCH("pm_atual",portfolio.!$A$3:CY$3,0),0)*$CU$5,0)))</f>
        <v/>
      </c>
      <c r="AY210" s="859" t="str">
        <f t="shared" si="2"/>
        <v/>
      </c>
      <c r="AZ210" s="858" t="str">
        <f>IF($CR210="","",IF($E210="","SP",SUMIF(portfolio.!$A$4:$A308,$CR210,portfolio.!$O$4:$O308)*$CU$5))</f>
        <v/>
      </c>
      <c r="BA210" s="858" t="str">
        <f>IF($CR210="","",IF($E210="","SP",SUMIF(portfolio.!$A$4:$A308,$CR210,portfolio.!$AN$4:$AN308)*$CU$5))</f>
        <v/>
      </c>
      <c r="BB210" s="860" t="str">
        <f>IF($CR210="","",IF($E210="","-",IFERROR($BA210/'portfólio'!$DG$63,"")))</f>
        <v/>
      </c>
      <c r="BC210" s="861" t="str">
        <f>IF($CR210="","",IF($E210="","-",SUMIF(portfolio.!$A$4:$A308,$CR210,portfolio.!$J$4:$J308)))</f>
        <v/>
      </c>
      <c r="BD210" s="862" t="str">
        <f>IF($CR210="","",IF($E210="","SP",SUMIF(portfolio.!$A$4:$A308,$CR210,portfolio.!$AQ$4:$AQ308)*$CU$5))</f>
        <v/>
      </c>
      <c r="BE210" s="850" t="str">
        <f t="shared" si="3"/>
        <v/>
      </c>
      <c r="BF210" s="862" t="str">
        <f>IF($CR210="","",IF($E210="","-",SUMIF(portfolio.!$A$4:$A308,$CR210,portfolio.!$AX$4:$AX308)*$CU$5))</f>
        <v/>
      </c>
      <c r="BG210" s="545"/>
      <c r="BH210" s="879" t="s">
        <v>123</v>
      </c>
      <c r="BI210" s="880" t="s">
        <v>123</v>
      </c>
      <c r="BJ210" s="863" t="str">
        <f>IFERROR(__xludf.DUMMYFUNCTION("IF(NOT($BL$4),"""",IF($CR210="""","""",IFERROR(query({GOOGLEFINANCE($CR210,""price"",IF($BI210=""-"",TODAY()-($AQ$5+5),$BI210),TODAY()-1)},""Select max(Col2) where Col1 is not null label max(Col2) ''"")*CU210,""-"")))"),"")</f>
        <v/>
      </c>
      <c r="BK210" s="881" t="s">
        <v>123</v>
      </c>
      <c r="BL210" s="882" t="s">
        <v>123</v>
      </c>
      <c r="BM210" s="442"/>
      <c r="BN210" s="867" t="str">
        <f>IFERROR(__xludf.DUMMYFUNCTION("IF(CR210="""","""",IF(OR(C210=""AÇÃO"",C210=""BDR""),IFERROR(QUERY({fundamentus.!$A$3:$U308},$CX$67&amp;"" where Col1='""&amp;CR210&amp;""' limit 1"",0)),IF(C210=""FII"",IFERROR(QUERY({fundsexplorer.!$A$2:$Z308},$CY$67&amp;"" where Col1='""&amp;CR210&amp;""' limit 1"",0)),""""))"&amp;")"),"")</f>
        <v/>
      </c>
      <c r="BO210" s="867"/>
      <c r="BP210" s="867"/>
      <c r="BQ210" s="867"/>
      <c r="BR210" s="867"/>
      <c r="BS210" s="867"/>
      <c r="BT210" s="867"/>
      <c r="BU210" s="442"/>
      <c r="BV210" s="868" t="str">
        <f>IFERROR(__xludf.DUMMYFUNCTION("IF(OR(C210=""AÇÃO"",C210=""BDR""),IFERROR(GOOGLEFINANCE(CONCAT(""BVMF:"",CR210), ""marketcap"")/1000000,""NC""),"""")"),"")</f>
        <v/>
      </c>
      <c r="BW210" s="869" t="s">
        <v>123</v>
      </c>
      <c r="BX210" s="870" t="s">
        <v>123</v>
      </c>
      <c r="BY210" s="868" t="s">
        <v>123</v>
      </c>
      <c r="BZ210" s="870" t="s">
        <v>123</v>
      </c>
      <c r="CA210" s="868" t="s">
        <v>123</v>
      </c>
      <c r="CB210" s="868" t="s">
        <v>123</v>
      </c>
      <c r="CC210" s="868" t="s">
        <v>123</v>
      </c>
      <c r="CD210" s="868" t="str">
        <f>IFERROR(__xludf.DUMMYFUNCTION("IF(OR(C210=""AÇÃO"",C210=""BDR""),IFERROR(GOOGLEFINANCE(CONCAT(""BVMF:"",CR210), ""volumeavg"")/1000000,""NC""),"""")"),"")</f>
        <v/>
      </c>
      <c r="CE210" s="870" t="s">
        <v>123</v>
      </c>
      <c r="CF210" s="870" t="s">
        <v>123</v>
      </c>
      <c r="CG210" s="870" t="str">
        <f>IFERROR(__xludf.DUMMYFUNCTION("IF(OR(C210=""AÇÃO"",C210=""BDR""),IF(CF210=0,""SEM DY"",IFERROR(ImportXML(CONCAT(""http://www.guiainvest.com.br/raiox/default.aspx?sigla="",$CR210),""//*[@id='lbPayoutAtual']""),""NC"")),"""")"),"")</f>
        <v/>
      </c>
      <c r="CH210" s="870" t="s">
        <v>123</v>
      </c>
      <c r="CI210" s="545"/>
      <c r="CJ210" s="871" t="str">
        <f>IFERROR(__xludf.DUMMYFUNCTION("IF(OR(C210=""AÇÃO"",C210=""BDR""),IFERROR(GOOGLEFINANCE(CONCAT(""BVMF:"",CR210), ""eps""),""NC""),"""")"),"")</f>
        <v/>
      </c>
      <c r="CK210" s="442"/>
      <c r="CL210" s="871" t="str">
        <f>IFERROR(__xludf.DUMMYFUNCTION("IF(NOT($BL$4),"""",IF($CR210="""","""",IF($BC210="""","""",IFERROR(query({op.normal!$B$5:$F308},""select Col5, toDate(Col2) where Col1 =  '""&amp;$CR210&amp;""' and Col4 &gt; 0 and ((Col3 is null) or (Col3 = 'C')) and Col2 &gt;= date '""&amp;TEXT(TODAY()-$AQ$5,""yyyy-mm-dd"&amp;""")&amp;""' order by Col2 desc limit 1 label toDate(Col2) ''"")))))"),"")</f>
        <v/>
      </c>
      <c r="CM210" s="872"/>
      <c r="CN210" s="883" t="s">
        <v>123</v>
      </c>
      <c r="CO210" s="874" t="s">
        <v>123</v>
      </c>
      <c r="CP210" s="766"/>
      <c r="CQ210" s="791"/>
      <c r="CR210" s="791"/>
      <c r="CT210" s="791" t="s">
        <v>123</v>
      </c>
      <c r="CU210" s="791" t="str">
        <f>IFERROR(__xludf.DUMMYFUNCTION("IF(CR210="""","""",IF(CT210=$C$4,1,GOOGLEFINANCE(CT210&amp;$C$4)))"),"")</f>
        <v/>
      </c>
    </row>
    <row r="211" ht="22.5" customHeight="1">
      <c r="A211" s="837">
        <v>203.0</v>
      </c>
      <c r="B211" s="838" t="s">
        <v>123</v>
      </c>
      <c r="C211" s="838" t="s">
        <v>123</v>
      </c>
      <c r="D211" s="839" t="s">
        <v>123</v>
      </c>
      <c r="E211" s="839" t="s">
        <v>123</v>
      </c>
      <c r="F211" s="839" t="s">
        <v>123</v>
      </c>
      <c r="H211" s="884"/>
      <c r="I211" s="838"/>
      <c r="J211" s="838"/>
      <c r="K211" s="838"/>
      <c r="L211" s="838"/>
      <c r="M211" s="838"/>
      <c r="N211" s="838"/>
      <c r="O211" s="838"/>
      <c r="P211" s="838"/>
      <c r="Q211" s="838"/>
      <c r="R211" s="838"/>
      <c r="S211" s="838"/>
      <c r="T211" s="838"/>
      <c r="U211" s="838"/>
      <c r="V211" s="838"/>
      <c r="W211" s="838"/>
      <c r="X211" s="838"/>
      <c r="Z211" s="875" t="str">
        <f>IFERROR(__xludf.DUMMYFUNCTION("IF($CR211="""","""",IFERROR(query({CarteirasAtivos},""select Col4 where Col4 is not null and Col1 = '""&amp;$CR211&amp;""' limit 1"")*CU211,""NC""))"),"")</f>
        <v/>
      </c>
      <c r="AA211" s="876" t="str">
        <f>IFERROR(__xludf.DUMMYFUNCTION("IF($CR211="""","""",IFERROR(query({CarteirasAtivos},""select Col6 where Col4 is not null and Col1 = '""&amp;$CR211&amp;""' limit 1""),""NC""))"),"")</f>
        <v/>
      </c>
      <c r="AB211" s="877"/>
      <c r="AC211" s="878" t="s">
        <v>123</v>
      </c>
      <c r="AD211" s="845" t="str">
        <f>IF($CR211="","",IFERROR(VLOOKUP($CR211,ativos.!$C$3:$R308,MATCH("cotacao",ativos.!$C$2:CY$2,0),FALSE)*$CU$5,"atualizar"))</f>
        <v/>
      </c>
      <c r="AE211" s="846" t="str">
        <f>IFERROR(__xludf.DUMMYFUNCTION("IF($CR211="""","""",IFERROR(AVERAGE(query({CarteirasAtivos;CarteirasAtivosEncerrados},""select Col5 where Col5 is not null and Col1 = '""&amp;$CR211&amp;""' and Col10='SIM'""))*CU211,""NC""))"),"")</f>
        <v/>
      </c>
      <c r="AF211" s="847" t="str">
        <f t="shared" si="1"/>
        <v/>
      </c>
      <c r="AG211" s="442"/>
      <c r="AH211" s="848" t="str">
        <f>IFERROR(__xludf.DUMMYFUNCTION("IF($CR211="""","""",IFERROR(GOOGLEFINANCE($CR211,""low52"")*CU211,""-""))"),"")</f>
        <v/>
      </c>
      <c r="AI211" s="848" t="str">
        <f>IFERROR(__xludf.DUMMYFUNCTION("IF($CR211="""","""",IFERROR(GOOGLEFINANCE($CR211,""high52"")*CU211,""-""))"),"")</f>
        <v/>
      </c>
      <c r="AJ211" s="849" t="s">
        <v>123</v>
      </c>
      <c r="AK211" s="850" t="str">
        <f>IFERROR(__xludf.DUMMYFUNCTION("IF($CR211="""","""",IFERROR(GOOGLEFINANCE($CR211,""changepct"")/100,""-""))"),"")</f>
        <v/>
      </c>
      <c r="AL211" s="851" t="str">
        <f>IFERROR(__xludf.DUMMYFUNCTION("IF($CR211="""","""",IFERROR(($AD211/(QUERY(GOOGLEFINANCE($CR211,""price"",TODAY()-7),""SELECT Col2 label Col2 ''"")*$CU211)-1),""-""))"),"")</f>
        <v/>
      </c>
      <c r="AM211" s="851" t="str">
        <f>IFERROR(__xludf.DUMMYFUNCTION("IF($CR211="""","""",IFERROR(($AD211/(QUERY(GOOGLEFINANCE($CR211,""price"",TODAY()-14),""SELECT Col2 label Col2 ''"")*$CU211)-1),""-""))"),"")</f>
        <v/>
      </c>
      <c r="AN211" s="851" t="str">
        <f>IFERROR(__xludf.DUMMYFUNCTION("IF($CR211="""","""",IFERROR(($AD211/(QUERY(GOOGLEFINANCE($CR211,""price"",TODAY()-28),""SELECT Col2 label Col2 ''"")*$CU211)-1),""-""))"),"")</f>
        <v/>
      </c>
      <c r="AO211" s="851" t="str">
        <f>IFERROR(__xludf.DUMMYFUNCTION("IF($CR211="""","""",IFERROR(($AD211/(QUERY(GOOGLEFINANCE($CR211,""price"",TODAY()-$AQ$5),""SELECT Col2 label Col2 ''"")*$CU211)-1),""-""))"),"")</f>
        <v/>
      </c>
      <c r="AP211" s="852" t="str">
        <f>IFERROR(__xludf.DUMMYFUNCTION("IF($CR211="""","""",IFERROR(SPARKLINE(query(GOOGLEFINANCE($CR211,""price"",TODAY()-$AQ$5,TODAY(),1),""select Col2 label Col2 ''""),IF($AP$7=""Gráfico de barras"",{""charttype"",""column"";""highcolor"",""red""},{""chartype"",""line""}))))"),"")</f>
        <v/>
      </c>
      <c r="AQ211" s="144"/>
      <c r="AR211" s="853"/>
      <c r="AS211" s="854" t="str">
        <f>IF($CR211="","",IF(NOT('alocação'!$D$1),"off",IFERROR(VLOOKUP(CR211,BalanceAtivos,3,0),"NC")))</f>
        <v/>
      </c>
      <c r="AT211" s="855" t="str">
        <f>IF($CR211="","",IF(NOT('alocação'!$D$1),"off",IFERROR(VLOOKUP($CR211,BalanceAtivos,4,0)*$CU$5,"NC")))</f>
        <v/>
      </c>
      <c r="AU211" s="856" t="str">
        <f>IF($CR211="","",IF(NOT('alocação'!$D$1),"off",IFERROR(VLOOKUP($CR211,BalanceAtivos,5,0),"-")))</f>
        <v/>
      </c>
      <c r="AV211" s="856" t="str">
        <f>IF($CR211="","",IF(NOT('alocação'!$D$1),"off",IFERROR(VLOOKUP($CR211,BalanceAtivos,6,0),"-")))</f>
        <v/>
      </c>
      <c r="AW211" s="857"/>
      <c r="AX211" s="858" t="str">
        <f>IF($CR211="","",IF($E211="","SP",IFERROR(VLOOKUP($CR211,AtivosDados,MATCH("pm_atual",portfolio.!$A$3:CY$3,0),0)*$CU$5,0)))</f>
        <v/>
      </c>
      <c r="AY211" s="859" t="str">
        <f t="shared" si="2"/>
        <v/>
      </c>
      <c r="AZ211" s="858" t="str">
        <f>IF($CR211="","",IF($E211="","SP",SUMIF(portfolio.!$A$4:$A308,$CR211,portfolio.!$O$4:$O308)*$CU$5))</f>
        <v/>
      </c>
      <c r="BA211" s="858" t="str">
        <f>IF($CR211="","",IF($E211="","SP",SUMIF(portfolio.!$A$4:$A308,$CR211,portfolio.!$AN$4:$AN308)*$CU$5))</f>
        <v/>
      </c>
      <c r="BB211" s="860" t="str">
        <f>IF($CR211="","",IF($E211="","-",IFERROR($BA211/'portfólio'!$DG$63,"")))</f>
        <v/>
      </c>
      <c r="BC211" s="861" t="str">
        <f>IF($CR211="","",IF($E211="","-",SUMIF(portfolio.!$A$4:$A308,$CR211,portfolio.!$J$4:$J308)))</f>
        <v/>
      </c>
      <c r="BD211" s="862" t="str">
        <f>IF($CR211="","",IF($E211="","SP",SUMIF(portfolio.!$A$4:$A308,$CR211,portfolio.!$AQ$4:$AQ308)*$CU$5))</f>
        <v/>
      </c>
      <c r="BE211" s="850" t="str">
        <f t="shared" si="3"/>
        <v/>
      </c>
      <c r="BF211" s="862" t="str">
        <f>IF($CR211="","",IF($E211="","-",SUMIF(portfolio.!$A$4:$A308,$CR211,portfolio.!$AX$4:$AX308)*$CU$5))</f>
        <v/>
      </c>
      <c r="BG211" s="545"/>
      <c r="BH211" s="879" t="s">
        <v>123</v>
      </c>
      <c r="BI211" s="880" t="s">
        <v>123</v>
      </c>
      <c r="BJ211" s="863" t="str">
        <f>IFERROR(__xludf.DUMMYFUNCTION("IF(NOT($BL$4),"""",IF($CR211="""","""",IFERROR(query({GOOGLEFINANCE($CR211,""price"",IF($BI211=""-"",TODAY()-($AQ$5+5),$BI211),TODAY()-1)},""Select max(Col2) where Col1 is not null label max(Col2) ''"")*CU211,""-"")))"),"")</f>
        <v/>
      </c>
      <c r="BK211" s="881" t="s">
        <v>123</v>
      </c>
      <c r="BL211" s="882" t="s">
        <v>123</v>
      </c>
      <c r="BM211" s="442"/>
      <c r="BN211" s="867" t="str">
        <f>IFERROR(__xludf.DUMMYFUNCTION("IF(CR211="""","""",IF(OR(C211=""AÇÃO"",C211=""BDR""),IFERROR(QUERY({fundamentus.!$A$3:$U308},$CX$67&amp;"" where Col1='""&amp;CR211&amp;""' limit 1"",0)),IF(C211=""FII"",IFERROR(QUERY({fundsexplorer.!$A$2:$Z308},$CY$67&amp;"" where Col1='""&amp;CR211&amp;""' limit 1"",0)),""""))"&amp;")"),"")</f>
        <v/>
      </c>
      <c r="BO211" s="867"/>
      <c r="BP211" s="867"/>
      <c r="BQ211" s="867"/>
      <c r="BR211" s="867"/>
      <c r="BS211" s="867"/>
      <c r="BT211" s="867"/>
      <c r="BU211" s="442"/>
      <c r="BV211" s="868" t="str">
        <f>IFERROR(__xludf.DUMMYFUNCTION("IF(OR(C211=""AÇÃO"",C211=""BDR""),IFERROR(GOOGLEFINANCE(CONCAT(""BVMF:"",CR211), ""marketcap"")/1000000,""NC""),"""")"),"")</f>
        <v/>
      </c>
      <c r="BW211" s="869" t="s">
        <v>123</v>
      </c>
      <c r="BX211" s="870" t="s">
        <v>123</v>
      </c>
      <c r="BY211" s="868" t="s">
        <v>123</v>
      </c>
      <c r="BZ211" s="870" t="s">
        <v>123</v>
      </c>
      <c r="CA211" s="868" t="s">
        <v>123</v>
      </c>
      <c r="CB211" s="868" t="s">
        <v>123</v>
      </c>
      <c r="CC211" s="868" t="s">
        <v>123</v>
      </c>
      <c r="CD211" s="868" t="str">
        <f>IFERROR(__xludf.DUMMYFUNCTION("IF(OR(C211=""AÇÃO"",C211=""BDR""),IFERROR(GOOGLEFINANCE(CONCAT(""BVMF:"",CR211), ""volumeavg"")/1000000,""NC""),"""")"),"")</f>
        <v/>
      </c>
      <c r="CE211" s="870" t="s">
        <v>123</v>
      </c>
      <c r="CF211" s="870" t="s">
        <v>123</v>
      </c>
      <c r="CG211" s="870" t="str">
        <f>IFERROR(__xludf.DUMMYFUNCTION("IF(OR(C211=""AÇÃO"",C211=""BDR""),IF(CF211=0,""SEM DY"",IFERROR(ImportXML(CONCAT(""http://www.guiainvest.com.br/raiox/default.aspx?sigla="",$CR211),""//*[@id='lbPayoutAtual']""),""NC"")),"""")"),"")</f>
        <v/>
      </c>
      <c r="CH211" s="870" t="s">
        <v>123</v>
      </c>
      <c r="CI211" s="545"/>
      <c r="CJ211" s="871" t="str">
        <f>IFERROR(__xludf.DUMMYFUNCTION("IF(OR(C211=""AÇÃO"",C211=""BDR""),IFERROR(GOOGLEFINANCE(CONCAT(""BVMF:"",CR211), ""eps""),""NC""),"""")"),"")</f>
        <v/>
      </c>
      <c r="CK211" s="442"/>
      <c r="CL211" s="871" t="str">
        <f>IFERROR(__xludf.DUMMYFUNCTION("IF(NOT($BL$4),"""",IF($CR211="""","""",IF($BC211="""","""",IFERROR(query({op.normal!$B$5:$F308},""select Col5, toDate(Col2) where Col1 =  '""&amp;$CR211&amp;""' and Col4 &gt; 0 and ((Col3 is null) or (Col3 = 'C')) and Col2 &gt;= date '""&amp;TEXT(TODAY()-$AQ$5,""yyyy-mm-dd"&amp;""")&amp;""' order by Col2 desc limit 1 label toDate(Col2) ''"")))))"),"")</f>
        <v/>
      </c>
      <c r="CM211" s="872"/>
      <c r="CN211" s="883" t="s">
        <v>123</v>
      </c>
      <c r="CO211" s="874" t="s">
        <v>123</v>
      </c>
      <c r="CP211" s="766"/>
      <c r="CQ211" s="791"/>
      <c r="CR211" s="791"/>
      <c r="CT211" s="791" t="s">
        <v>123</v>
      </c>
      <c r="CU211" s="791" t="str">
        <f>IFERROR(__xludf.DUMMYFUNCTION("IF(CR211="""","""",IF(CT211=$C$4,1,GOOGLEFINANCE(CT211&amp;$C$4)))"),"")</f>
        <v/>
      </c>
    </row>
    <row r="212" ht="22.5" customHeight="1">
      <c r="A212" s="837">
        <v>204.0</v>
      </c>
      <c r="B212" s="838" t="s">
        <v>123</v>
      </c>
      <c r="C212" s="838" t="s">
        <v>123</v>
      </c>
      <c r="D212" s="839" t="s">
        <v>123</v>
      </c>
      <c r="E212" s="839" t="s">
        <v>123</v>
      </c>
      <c r="F212" s="839" t="s">
        <v>123</v>
      </c>
      <c r="H212" s="884"/>
      <c r="I212" s="838"/>
      <c r="J212" s="838"/>
      <c r="K212" s="838"/>
      <c r="L212" s="838"/>
      <c r="M212" s="838"/>
      <c r="N212" s="838"/>
      <c r="O212" s="838"/>
      <c r="P212" s="838"/>
      <c r="Q212" s="838"/>
      <c r="R212" s="838"/>
      <c r="S212" s="838"/>
      <c r="T212" s="838"/>
      <c r="U212" s="838"/>
      <c r="V212" s="838"/>
      <c r="W212" s="838"/>
      <c r="X212" s="838"/>
      <c r="Z212" s="875" t="str">
        <f>IFERROR(__xludf.DUMMYFUNCTION("IF($CR212="""","""",IFERROR(query({CarteirasAtivos},""select Col4 where Col4 is not null and Col1 = '""&amp;$CR212&amp;""' limit 1"")*CU212,""NC""))"),"")</f>
        <v/>
      </c>
      <c r="AA212" s="876" t="str">
        <f>IFERROR(__xludf.DUMMYFUNCTION("IF($CR212="""","""",IFERROR(query({CarteirasAtivos},""select Col6 where Col4 is not null and Col1 = '""&amp;$CR212&amp;""' limit 1""),""NC""))"),"")</f>
        <v/>
      </c>
      <c r="AB212" s="877"/>
      <c r="AC212" s="878" t="s">
        <v>123</v>
      </c>
      <c r="AD212" s="845" t="str">
        <f>IF($CR212="","",IFERROR(VLOOKUP($CR212,ativos.!$C$3:$R308,MATCH("cotacao",ativos.!$C$2:CY$2,0),FALSE)*$CU$5,"atualizar"))</f>
        <v/>
      </c>
      <c r="AE212" s="846" t="str">
        <f>IFERROR(__xludf.DUMMYFUNCTION("IF($CR212="""","""",IFERROR(AVERAGE(query({CarteirasAtivos;CarteirasAtivosEncerrados},""select Col5 where Col5 is not null and Col1 = '""&amp;$CR212&amp;""' and Col10='SIM'""))*CU212,""NC""))"),"")</f>
        <v/>
      </c>
      <c r="AF212" s="847" t="str">
        <f t="shared" si="1"/>
        <v/>
      </c>
      <c r="AG212" s="442"/>
      <c r="AH212" s="848" t="str">
        <f>IFERROR(__xludf.DUMMYFUNCTION("IF($CR212="""","""",IFERROR(GOOGLEFINANCE($CR212,""low52"")*CU212,""-""))"),"")</f>
        <v/>
      </c>
      <c r="AI212" s="848" t="str">
        <f>IFERROR(__xludf.DUMMYFUNCTION("IF($CR212="""","""",IFERROR(GOOGLEFINANCE($CR212,""high52"")*CU212,""-""))"),"")</f>
        <v/>
      </c>
      <c r="AJ212" s="849" t="s">
        <v>123</v>
      </c>
      <c r="AK212" s="850" t="str">
        <f>IFERROR(__xludf.DUMMYFUNCTION("IF($CR212="""","""",IFERROR(GOOGLEFINANCE($CR212,""changepct"")/100,""-""))"),"")</f>
        <v/>
      </c>
      <c r="AL212" s="851" t="str">
        <f>IFERROR(__xludf.DUMMYFUNCTION("IF($CR212="""","""",IFERROR(($AD212/(QUERY(GOOGLEFINANCE($CR212,""price"",TODAY()-7),""SELECT Col2 label Col2 ''"")*$CU212)-1),""-""))"),"")</f>
        <v/>
      </c>
      <c r="AM212" s="851" t="str">
        <f>IFERROR(__xludf.DUMMYFUNCTION("IF($CR212="""","""",IFERROR(($AD212/(QUERY(GOOGLEFINANCE($CR212,""price"",TODAY()-14),""SELECT Col2 label Col2 ''"")*$CU212)-1),""-""))"),"")</f>
        <v/>
      </c>
      <c r="AN212" s="851" t="str">
        <f>IFERROR(__xludf.DUMMYFUNCTION("IF($CR212="""","""",IFERROR(($AD212/(QUERY(GOOGLEFINANCE($CR212,""price"",TODAY()-28),""SELECT Col2 label Col2 ''"")*$CU212)-1),""-""))"),"")</f>
        <v/>
      </c>
      <c r="AO212" s="851" t="str">
        <f>IFERROR(__xludf.DUMMYFUNCTION("IF($CR212="""","""",IFERROR(($AD212/(QUERY(GOOGLEFINANCE($CR212,""price"",TODAY()-$AQ$5),""SELECT Col2 label Col2 ''"")*$CU212)-1),""-""))"),"")</f>
        <v/>
      </c>
      <c r="AP212" s="852" t="str">
        <f>IFERROR(__xludf.DUMMYFUNCTION("IF($CR212="""","""",IFERROR(SPARKLINE(query(GOOGLEFINANCE($CR212,""price"",TODAY()-$AQ$5,TODAY(),1),""select Col2 label Col2 ''""),IF($AP$7=""Gráfico de barras"",{""charttype"",""column"";""highcolor"",""red""},{""chartype"",""line""}))))"),"")</f>
        <v/>
      </c>
      <c r="AQ212" s="144"/>
      <c r="AR212" s="853"/>
      <c r="AS212" s="854" t="str">
        <f>IF($CR212="","",IF(NOT('alocação'!$D$1),"off",IFERROR(VLOOKUP(CR212,BalanceAtivos,3,0),"NC")))</f>
        <v/>
      </c>
      <c r="AT212" s="855" t="str">
        <f>IF($CR212="","",IF(NOT('alocação'!$D$1),"off",IFERROR(VLOOKUP($CR212,BalanceAtivos,4,0)*$CU$5,"NC")))</f>
        <v/>
      </c>
      <c r="AU212" s="856" t="str">
        <f>IF($CR212="","",IF(NOT('alocação'!$D$1),"off",IFERROR(VLOOKUP($CR212,BalanceAtivos,5,0),"-")))</f>
        <v/>
      </c>
      <c r="AV212" s="856" t="str">
        <f>IF($CR212="","",IF(NOT('alocação'!$D$1),"off",IFERROR(VLOOKUP($CR212,BalanceAtivos,6,0),"-")))</f>
        <v/>
      </c>
      <c r="AW212" s="857"/>
      <c r="AX212" s="858" t="str">
        <f>IF($CR212="","",IF($E212="","SP",IFERROR(VLOOKUP($CR212,AtivosDados,MATCH("pm_atual",portfolio.!$A$3:CY$3,0),0)*$CU$5,0)))</f>
        <v/>
      </c>
      <c r="AY212" s="859" t="str">
        <f t="shared" si="2"/>
        <v/>
      </c>
      <c r="AZ212" s="858" t="str">
        <f>IF($CR212="","",IF($E212="","SP",SUMIF(portfolio.!$A$4:$A308,$CR212,portfolio.!$O$4:$O308)*$CU$5))</f>
        <v/>
      </c>
      <c r="BA212" s="858" t="str">
        <f>IF($CR212="","",IF($E212="","SP",SUMIF(portfolio.!$A$4:$A308,$CR212,portfolio.!$AN$4:$AN308)*$CU$5))</f>
        <v/>
      </c>
      <c r="BB212" s="860" t="str">
        <f>IF($CR212="","",IF($E212="","-",IFERROR($BA212/'portfólio'!$DG$63,"")))</f>
        <v/>
      </c>
      <c r="BC212" s="861" t="str">
        <f>IF($CR212="","",IF($E212="","-",SUMIF(portfolio.!$A$4:$A308,$CR212,portfolio.!$J$4:$J308)))</f>
        <v/>
      </c>
      <c r="BD212" s="862" t="str">
        <f>IF($CR212="","",IF($E212="","SP",SUMIF(portfolio.!$A$4:$A308,$CR212,portfolio.!$AQ$4:$AQ308)*$CU$5))</f>
        <v/>
      </c>
      <c r="BE212" s="850" t="str">
        <f t="shared" si="3"/>
        <v/>
      </c>
      <c r="BF212" s="862" t="str">
        <f>IF($CR212="","",IF($E212="","-",SUMIF(portfolio.!$A$4:$A308,$CR212,portfolio.!$AX$4:$AX308)*$CU$5))</f>
        <v/>
      </c>
      <c r="BG212" s="545"/>
      <c r="BH212" s="879" t="s">
        <v>123</v>
      </c>
      <c r="BI212" s="880" t="s">
        <v>123</v>
      </c>
      <c r="BJ212" s="863" t="str">
        <f>IFERROR(__xludf.DUMMYFUNCTION("IF(NOT($BL$4),"""",IF($CR212="""","""",IFERROR(query({GOOGLEFINANCE($CR212,""price"",IF($BI212=""-"",TODAY()-($AQ$5+5),$BI212),TODAY()-1)},""Select max(Col2) where Col1 is not null label max(Col2) ''"")*CU212,""-"")))"),"")</f>
        <v/>
      </c>
      <c r="BK212" s="881" t="s">
        <v>123</v>
      </c>
      <c r="BL212" s="882" t="s">
        <v>123</v>
      </c>
      <c r="BM212" s="442"/>
      <c r="BN212" s="867" t="str">
        <f>IFERROR(__xludf.DUMMYFUNCTION("IF(CR212="""","""",IF(OR(C212=""AÇÃO"",C212=""BDR""),IFERROR(QUERY({fundamentus.!$A$3:$U308},$CX$67&amp;"" where Col1='""&amp;CR212&amp;""' limit 1"",0)),IF(C212=""FII"",IFERROR(QUERY({fundsexplorer.!$A$2:$Z308},$CY$67&amp;"" where Col1='""&amp;CR212&amp;""' limit 1"",0)),""""))"&amp;")"),"")</f>
        <v/>
      </c>
      <c r="BO212" s="867"/>
      <c r="BP212" s="867"/>
      <c r="BQ212" s="867"/>
      <c r="BR212" s="867"/>
      <c r="BS212" s="867"/>
      <c r="BT212" s="867"/>
      <c r="BU212" s="442"/>
      <c r="BV212" s="868" t="str">
        <f>IFERROR(__xludf.DUMMYFUNCTION("IF(OR(C212=""AÇÃO"",C212=""BDR""),IFERROR(GOOGLEFINANCE(CONCAT(""BVMF:"",CR212), ""marketcap"")/1000000,""NC""),"""")"),"")</f>
        <v/>
      </c>
      <c r="BW212" s="869" t="s">
        <v>123</v>
      </c>
      <c r="BX212" s="870" t="s">
        <v>123</v>
      </c>
      <c r="BY212" s="868" t="s">
        <v>123</v>
      </c>
      <c r="BZ212" s="870" t="s">
        <v>123</v>
      </c>
      <c r="CA212" s="868" t="s">
        <v>123</v>
      </c>
      <c r="CB212" s="868" t="s">
        <v>123</v>
      </c>
      <c r="CC212" s="868" t="s">
        <v>123</v>
      </c>
      <c r="CD212" s="868" t="str">
        <f>IFERROR(__xludf.DUMMYFUNCTION("IF(OR(C212=""AÇÃO"",C212=""BDR""),IFERROR(GOOGLEFINANCE(CONCAT(""BVMF:"",CR212), ""volumeavg"")/1000000,""NC""),"""")"),"")</f>
        <v/>
      </c>
      <c r="CE212" s="870" t="s">
        <v>123</v>
      </c>
      <c r="CF212" s="870" t="s">
        <v>123</v>
      </c>
      <c r="CG212" s="870" t="str">
        <f>IFERROR(__xludf.DUMMYFUNCTION("IF(OR(C212=""AÇÃO"",C212=""BDR""),IF(CF212=0,""SEM DY"",IFERROR(ImportXML(CONCAT(""http://www.guiainvest.com.br/raiox/default.aspx?sigla="",$CR212),""//*[@id='lbPayoutAtual']""),""NC"")),"""")"),"")</f>
        <v/>
      </c>
      <c r="CH212" s="870" t="s">
        <v>123</v>
      </c>
      <c r="CI212" s="545"/>
      <c r="CJ212" s="871" t="str">
        <f>IFERROR(__xludf.DUMMYFUNCTION("IF(OR(C212=""AÇÃO"",C212=""BDR""),IFERROR(GOOGLEFINANCE(CONCAT(""BVMF:"",CR212), ""eps""),""NC""),"""")"),"")</f>
        <v/>
      </c>
      <c r="CK212" s="442"/>
      <c r="CL212" s="871" t="str">
        <f>IFERROR(__xludf.DUMMYFUNCTION("IF(NOT($BL$4),"""",IF($CR212="""","""",IF($BC212="""","""",IFERROR(query({op.normal!$B$5:$F308},""select Col5, toDate(Col2) where Col1 =  '""&amp;$CR212&amp;""' and Col4 &gt; 0 and ((Col3 is null) or (Col3 = 'C')) and Col2 &gt;= date '""&amp;TEXT(TODAY()-$AQ$5,""yyyy-mm-dd"&amp;""")&amp;""' order by Col2 desc limit 1 label toDate(Col2) ''"")))))"),"")</f>
        <v/>
      </c>
      <c r="CM212" s="872"/>
      <c r="CN212" s="883" t="s">
        <v>123</v>
      </c>
      <c r="CO212" s="874" t="s">
        <v>123</v>
      </c>
      <c r="CP212" s="766"/>
      <c r="CQ212" s="791"/>
      <c r="CR212" s="791"/>
      <c r="CT212" s="791" t="s">
        <v>123</v>
      </c>
      <c r="CU212" s="791" t="str">
        <f>IFERROR(__xludf.DUMMYFUNCTION("IF(CR212="""","""",IF(CT212=$C$4,1,GOOGLEFINANCE(CT212&amp;$C$4)))"),"")</f>
        <v/>
      </c>
    </row>
    <row r="213" ht="22.5" customHeight="1">
      <c r="A213" s="837">
        <v>205.0</v>
      </c>
      <c r="B213" s="838" t="s">
        <v>123</v>
      </c>
      <c r="C213" s="838" t="s">
        <v>123</v>
      </c>
      <c r="D213" s="839" t="s">
        <v>123</v>
      </c>
      <c r="E213" s="839" t="s">
        <v>123</v>
      </c>
      <c r="F213" s="839" t="s">
        <v>123</v>
      </c>
      <c r="H213" s="884"/>
      <c r="I213" s="838"/>
      <c r="J213" s="838"/>
      <c r="K213" s="838"/>
      <c r="L213" s="838"/>
      <c r="M213" s="838"/>
      <c r="N213" s="838"/>
      <c r="O213" s="838"/>
      <c r="P213" s="838"/>
      <c r="Q213" s="838"/>
      <c r="R213" s="838"/>
      <c r="S213" s="838"/>
      <c r="T213" s="838"/>
      <c r="U213" s="838"/>
      <c r="V213" s="838"/>
      <c r="W213" s="838"/>
      <c r="X213" s="838"/>
      <c r="Z213" s="875" t="str">
        <f>IFERROR(__xludf.DUMMYFUNCTION("IF($CR213="""","""",IFERROR(query({CarteirasAtivos},""select Col4 where Col4 is not null and Col1 = '""&amp;$CR213&amp;""' limit 1"")*CU213,""NC""))"),"")</f>
        <v/>
      </c>
      <c r="AA213" s="876" t="str">
        <f>IFERROR(__xludf.DUMMYFUNCTION("IF($CR213="""","""",IFERROR(query({CarteirasAtivos},""select Col6 where Col4 is not null and Col1 = '""&amp;$CR213&amp;""' limit 1""),""NC""))"),"")</f>
        <v/>
      </c>
      <c r="AB213" s="877"/>
      <c r="AC213" s="878" t="s">
        <v>123</v>
      </c>
      <c r="AD213" s="845" t="str">
        <f>IF($CR213="","",IFERROR(VLOOKUP($CR213,ativos.!$C$3:$R308,MATCH("cotacao",ativos.!$C$2:CY$2,0),FALSE)*$CU$5,"atualizar"))</f>
        <v/>
      </c>
      <c r="AE213" s="846" t="str">
        <f>IFERROR(__xludf.DUMMYFUNCTION("IF($CR213="""","""",IFERROR(AVERAGE(query({CarteirasAtivos;CarteirasAtivosEncerrados},""select Col5 where Col5 is not null and Col1 = '""&amp;$CR213&amp;""' and Col10='SIM'""))*CU213,""NC""))"),"")</f>
        <v/>
      </c>
      <c r="AF213" s="847" t="str">
        <f t="shared" si="1"/>
        <v/>
      </c>
      <c r="AG213" s="442"/>
      <c r="AH213" s="848" t="str">
        <f>IFERROR(__xludf.DUMMYFUNCTION("IF($CR213="""","""",IFERROR(GOOGLEFINANCE($CR213,""low52"")*CU213,""-""))"),"")</f>
        <v/>
      </c>
      <c r="AI213" s="848" t="str">
        <f>IFERROR(__xludf.DUMMYFUNCTION("IF($CR213="""","""",IFERROR(GOOGLEFINANCE($CR213,""high52"")*CU213,""-""))"),"")</f>
        <v/>
      </c>
      <c r="AJ213" s="849" t="s">
        <v>123</v>
      </c>
      <c r="AK213" s="850" t="str">
        <f>IFERROR(__xludf.DUMMYFUNCTION("IF($CR213="""","""",IFERROR(GOOGLEFINANCE($CR213,""changepct"")/100,""-""))"),"")</f>
        <v/>
      </c>
      <c r="AL213" s="851" t="str">
        <f>IFERROR(__xludf.DUMMYFUNCTION("IF($CR213="""","""",IFERROR(($AD213/(QUERY(GOOGLEFINANCE($CR213,""price"",TODAY()-7),""SELECT Col2 label Col2 ''"")*$CU213)-1),""-""))"),"")</f>
        <v/>
      </c>
      <c r="AM213" s="851" t="str">
        <f>IFERROR(__xludf.DUMMYFUNCTION("IF($CR213="""","""",IFERROR(($AD213/(QUERY(GOOGLEFINANCE($CR213,""price"",TODAY()-14),""SELECT Col2 label Col2 ''"")*$CU213)-1),""-""))"),"")</f>
        <v/>
      </c>
      <c r="AN213" s="851" t="str">
        <f>IFERROR(__xludf.DUMMYFUNCTION("IF($CR213="""","""",IFERROR(($AD213/(QUERY(GOOGLEFINANCE($CR213,""price"",TODAY()-28),""SELECT Col2 label Col2 ''"")*$CU213)-1),""-""))"),"")</f>
        <v/>
      </c>
      <c r="AO213" s="851" t="str">
        <f>IFERROR(__xludf.DUMMYFUNCTION("IF($CR213="""","""",IFERROR(($AD213/(QUERY(GOOGLEFINANCE($CR213,""price"",TODAY()-$AQ$5),""SELECT Col2 label Col2 ''"")*$CU213)-1),""-""))"),"")</f>
        <v/>
      </c>
      <c r="AP213" s="852" t="str">
        <f>IFERROR(__xludf.DUMMYFUNCTION("IF($CR213="""","""",IFERROR(SPARKLINE(query(GOOGLEFINANCE($CR213,""price"",TODAY()-$AQ$5,TODAY(),1),""select Col2 label Col2 ''""),IF($AP$7=""Gráfico de barras"",{""charttype"",""column"";""highcolor"",""red""},{""chartype"",""line""}))))"),"")</f>
        <v/>
      </c>
      <c r="AQ213" s="144"/>
      <c r="AR213" s="853"/>
      <c r="AS213" s="854" t="str">
        <f>IF($CR213="","",IF(NOT('alocação'!$D$1),"off",IFERROR(VLOOKUP(CR213,BalanceAtivos,3,0),"NC")))</f>
        <v/>
      </c>
      <c r="AT213" s="855" t="str">
        <f>IF($CR213="","",IF(NOT('alocação'!$D$1),"off",IFERROR(VLOOKUP($CR213,BalanceAtivos,4,0)*$CU$5,"NC")))</f>
        <v/>
      </c>
      <c r="AU213" s="856" t="str">
        <f>IF($CR213="","",IF(NOT('alocação'!$D$1),"off",IFERROR(VLOOKUP($CR213,BalanceAtivos,5,0),"-")))</f>
        <v/>
      </c>
      <c r="AV213" s="856" t="str">
        <f>IF($CR213="","",IF(NOT('alocação'!$D$1),"off",IFERROR(VLOOKUP($CR213,BalanceAtivos,6,0),"-")))</f>
        <v/>
      </c>
      <c r="AW213" s="857"/>
      <c r="AX213" s="858" t="str">
        <f>IF($CR213="","",IF($E213="","SP",IFERROR(VLOOKUP($CR213,AtivosDados,MATCH("pm_atual",portfolio.!$A$3:CY$3,0),0)*$CU$5,0)))</f>
        <v/>
      </c>
      <c r="AY213" s="859" t="str">
        <f t="shared" si="2"/>
        <v/>
      </c>
      <c r="AZ213" s="858" t="str">
        <f>IF($CR213="","",IF($E213="","SP",SUMIF(portfolio.!$A$4:$A308,$CR213,portfolio.!$O$4:$O308)*$CU$5))</f>
        <v/>
      </c>
      <c r="BA213" s="858" t="str">
        <f>IF($CR213="","",IF($E213="","SP",SUMIF(portfolio.!$A$4:$A308,$CR213,portfolio.!$AN$4:$AN308)*$CU$5))</f>
        <v/>
      </c>
      <c r="BB213" s="860" t="str">
        <f>IF($CR213="","",IF($E213="","-",IFERROR($BA213/'portfólio'!$DG$63,"")))</f>
        <v/>
      </c>
      <c r="BC213" s="861" t="str">
        <f>IF($CR213="","",IF($E213="","-",SUMIF(portfolio.!$A$4:$A308,$CR213,portfolio.!$J$4:$J308)))</f>
        <v/>
      </c>
      <c r="BD213" s="862" t="str">
        <f>IF($CR213="","",IF($E213="","SP",SUMIF(portfolio.!$A$4:$A308,$CR213,portfolio.!$AQ$4:$AQ308)*$CU$5))</f>
        <v/>
      </c>
      <c r="BE213" s="850" t="str">
        <f t="shared" si="3"/>
        <v/>
      </c>
      <c r="BF213" s="862" t="str">
        <f>IF($CR213="","",IF($E213="","-",SUMIF(portfolio.!$A$4:$A308,$CR213,portfolio.!$AX$4:$AX308)*$CU$5))</f>
        <v/>
      </c>
      <c r="BG213" s="545"/>
      <c r="BH213" s="879" t="s">
        <v>123</v>
      </c>
      <c r="BI213" s="880" t="s">
        <v>123</v>
      </c>
      <c r="BJ213" s="863" t="str">
        <f>IFERROR(__xludf.DUMMYFUNCTION("IF(NOT($BL$4),"""",IF($CR213="""","""",IFERROR(query({GOOGLEFINANCE($CR213,""price"",IF($BI213=""-"",TODAY()-($AQ$5+5),$BI213),TODAY()-1)},""Select max(Col2) where Col1 is not null label max(Col2) ''"")*CU213,""-"")))"),"")</f>
        <v/>
      </c>
      <c r="BK213" s="881" t="s">
        <v>123</v>
      </c>
      <c r="BL213" s="882" t="s">
        <v>123</v>
      </c>
      <c r="BM213" s="442"/>
      <c r="BN213" s="867" t="str">
        <f>IFERROR(__xludf.DUMMYFUNCTION("IF(CR213="""","""",IF(OR(C213=""AÇÃO"",C213=""BDR""),IFERROR(QUERY({fundamentus.!$A$3:$U308},$CX$67&amp;"" where Col1='""&amp;CR213&amp;""' limit 1"",0)),IF(C213=""FII"",IFERROR(QUERY({fundsexplorer.!$A$2:$Z308},$CY$67&amp;"" where Col1='""&amp;CR213&amp;""' limit 1"",0)),""""))"&amp;")"),"")</f>
        <v/>
      </c>
      <c r="BO213" s="867"/>
      <c r="BP213" s="867"/>
      <c r="BQ213" s="867"/>
      <c r="BR213" s="867"/>
      <c r="BS213" s="867"/>
      <c r="BT213" s="867"/>
      <c r="BU213" s="442"/>
      <c r="BV213" s="868" t="str">
        <f>IFERROR(__xludf.DUMMYFUNCTION("IF(OR(C213=""AÇÃO"",C213=""BDR""),IFERROR(GOOGLEFINANCE(CONCAT(""BVMF:"",CR213), ""marketcap"")/1000000,""NC""),"""")"),"")</f>
        <v/>
      </c>
      <c r="BW213" s="869" t="s">
        <v>123</v>
      </c>
      <c r="BX213" s="870" t="s">
        <v>123</v>
      </c>
      <c r="BY213" s="868" t="s">
        <v>123</v>
      </c>
      <c r="BZ213" s="870" t="s">
        <v>123</v>
      </c>
      <c r="CA213" s="868" t="s">
        <v>123</v>
      </c>
      <c r="CB213" s="868" t="s">
        <v>123</v>
      </c>
      <c r="CC213" s="868" t="s">
        <v>123</v>
      </c>
      <c r="CD213" s="868" t="str">
        <f>IFERROR(__xludf.DUMMYFUNCTION("IF(OR(C213=""AÇÃO"",C213=""BDR""),IFERROR(GOOGLEFINANCE(CONCAT(""BVMF:"",CR213), ""volumeavg"")/1000000,""NC""),"""")"),"")</f>
        <v/>
      </c>
      <c r="CE213" s="870" t="s">
        <v>123</v>
      </c>
      <c r="CF213" s="870" t="s">
        <v>123</v>
      </c>
      <c r="CG213" s="870" t="str">
        <f>IFERROR(__xludf.DUMMYFUNCTION("IF(OR(C213=""AÇÃO"",C213=""BDR""),IF(CF213=0,""SEM DY"",IFERROR(ImportXML(CONCAT(""http://www.guiainvest.com.br/raiox/default.aspx?sigla="",$CR213),""//*[@id='lbPayoutAtual']""),""NC"")),"""")"),"")</f>
        <v/>
      </c>
      <c r="CH213" s="870" t="s">
        <v>123</v>
      </c>
      <c r="CI213" s="545"/>
      <c r="CJ213" s="871" t="str">
        <f>IFERROR(__xludf.DUMMYFUNCTION("IF(OR(C213=""AÇÃO"",C213=""BDR""),IFERROR(GOOGLEFINANCE(CONCAT(""BVMF:"",CR213), ""eps""),""NC""),"""")"),"")</f>
        <v/>
      </c>
      <c r="CK213" s="442"/>
      <c r="CL213" s="871" t="str">
        <f>IFERROR(__xludf.DUMMYFUNCTION("IF(NOT($BL$4),"""",IF($CR213="""","""",IF($BC213="""","""",IFERROR(query({op.normal!$B$5:$F308},""select Col5, toDate(Col2) where Col1 =  '""&amp;$CR213&amp;""' and Col4 &gt; 0 and ((Col3 is null) or (Col3 = 'C')) and Col2 &gt;= date '""&amp;TEXT(TODAY()-$AQ$5,""yyyy-mm-dd"&amp;""")&amp;""' order by Col2 desc limit 1 label toDate(Col2) ''"")))))"),"")</f>
        <v/>
      </c>
      <c r="CM213" s="872"/>
      <c r="CN213" s="883" t="s">
        <v>123</v>
      </c>
      <c r="CO213" s="874" t="s">
        <v>123</v>
      </c>
      <c r="CP213" s="766"/>
      <c r="CQ213" s="791"/>
      <c r="CR213" s="791"/>
      <c r="CT213" s="791" t="s">
        <v>123</v>
      </c>
      <c r="CU213" s="791" t="str">
        <f>IFERROR(__xludf.DUMMYFUNCTION("IF(CR213="""","""",IF(CT213=$C$4,1,GOOGLEFINANCE(CT213&amp;$C$4)))"),"")</f>
        <v/>
      </c>
    </row>
    <row r="214" ht="22.5" customHeight="1">
      <c r="A214" s="837">
        <v>206.0</v>
      </c>
      <c r="B214" s="838" t="s">
        <v>123</v>
      </c>
      <c r="C214" s="838" t="s">
        <v>123</v>
      </c>
      <c r="D214" s="839" t="s">
        <v>123</v>
      </c>
      <c r="E214" s="839" t="s">
        <v>123</v>
      </c>
      <c r="F214" s="839" t="s">
        <v>123</v>
      </c>
      <c r="H214" s="884"/>
      <c r="I214" s="838"/>
      <c r="J214" s="838"/>
      <c r="K214" s="838"/>
      <c r="L214" s="838"/>
      <c r="M214" s="838"/>
      <c r="N214" s="838"/>
      <c r="O214" s="838"/>
      <c r="P214" s="838"/>
      <c r="Q214" s="838"/>
      <c r="R214" s="838"/>
      <c r="S214" s="838"/>
      <c r="T214" s="838"/>
      <c r="U214" s="838"/>
      <c r="V214" s="838"/>
      <c r="W214" s="838"/>
      <c r="X214" s="838"/>
      <c r="Z214" s="875" t="str">
        <f>IFERROR(__xludf.DUMMYFUNCTION("IF($CR214="""","""",IFERROR(query({CarteirasAtivos},""select Col4 where Col4 is not null and Col1 = '""&amp;$CR214&amp;""' limit 1"")*CU214,""NC""))"),"")</f>
        <v/>
      </c>
      <c r="AA214" s="876" t="str">
        <f>IFERROR(__xludf.DUMMYFUNCTION("IF($CR214="""","""",IFERROR(query({CarteirasAtivos},""select Col6 where Col4 is not null and Col1 = '""&amp;$CR214&amp;""' limit 1""),""NC""))"),"")</f>
        <v/>
      </c>
      <c r="AB214" s="877"/>
      <c r="AC214" s="878" t="s">
        <v>123</v>
      </c>
      <c r="AD214" s="845" t="str">
        <f>IF($CR214="","",IFERROR(VLOOKUP($CR214,ativos.!$C$3:$R308,MATCH("cotacao",ativos.!$C$2:CY$2,0),FALSE)*$CU$5,"atualizar"))</f>
        <v/>
      </c>
      <c r="AE214" s="846" t="str">
        <f>IFERROR(__xludf.DUMMYFUNCTION("IF($CR214="""","""",IFERROR(AVERAGE(query({CarteirasAtivos;CarteirasAtivosEncerrados},""select Col5 where Col5 is not null and Col1 = '""&amp;$CR214&amp;""' and Col10='SIM'""))*CU214,""NC""))"),"")</f>
        <v/>
      </c>
      <c r="AF214" s="847" t="str">
        <f t="shared" si="1"/>
        <v/>
      </c>
      <c r="AG214" s="442"/>
      <c r="AH214" s="848" t="str">
        <f>IFERROR(__xludf.DUMMYFUNCTION("IF($CR214="""","""",IFERROR(GOOGLEFINANCE($CR214,""low52"")*CU214,""-""))"),"")</f>
        <v/>
      </c>
      <c r="AI214" s="848" t="str">
        <f>IFERROR(__xludf.DUMMYFUNCTION("IF($CR214="""","""",IFERROR(GOOGLEFINANCE($CR214,""high52"")*CU214,""-""))"),"")</f>
        <v/>
      </c>
      <c r="AJ214" s="849" t="s">
        <v>123</v>
      </c>
      <c r="AK214" s="850" t="str">
        <f>IFERROR(__xludf.DUMMYFUNCTION("IF($CR214="""","""",IFERROR(GOOGLEFINANCE($CR214,""changepct"")/100,""-""))"),"")</f>
        <v/>
      </c>
      <c r="AL214" s="851" t="str">
        <f>IFERROR(__xludf.DUMMYFUNCTION("IF($CR214="""","""",IFERROR(($AD214/(QUERY(GOOGLEFINANCE($CR214,""price"",TODAY()-7),""SELECT Col2 label Col2 ''"")*$CU214)-1),""-""))"),"")</f>
        <v/>
      </c>
      <c r="AM214" s="851" t="str">
        <f>IFERROR(__xludf.DUMMYFUNCTION("IF($CR214="""","""",IFERROR(($AD214/(QUERY(GOOGLEFINANCE($CR214,""price"",TODAY()-14),""SELECT Col2 label Col2 ''"")*$CU214)-1),""-""))"),"")</f>
        <v/>
      </c>
      <c r="AN214" s="851" t="str">
        <f>IFERROR(__xludf.DUMMYFUNCTION("IF($CR214="""","""",IFERROR(($AD214/(QUERY(GOOGLEFINANCE($CR214,""price"",TODAY()-28),""SELECT Col2 label Col2 ''"")*$CU214)-1),""-""))"),"")</f>
        <v/>
      </c>
      <c r="AO214" s="851" t="str">
        <f>IFERROR(__xludf.DUMMYFUNCTION("IF($CR214="""","""",IFERROR(($AD214/(QUERY(GOOGLEFINANCE($CR214,""price"",TODAY()-$AQ$5),""SELECT Col2 label Col2 ''"")*$CU214)-1),""-""))"),"")</f>
        <v/>
      </c>
      <c r="AP214" s="852" t="str">
        <f>IFERROR(__xludf.DUMMYFUNCTION("IF($CR214="""","""",IFERROR(SPARKLINE(query(GOOGLEFINANCE($CR214,""price"",TODAY()-$AQ$5,TODAY(),1),""select Col2 label Col2 ''""),IF($AP$7=""Gráfico de barras"",{""charttype"",""column"";""highcolor"",""red""},{""chartype"",""line""}))))"),"")</f>
        <v/>
      </c>
      <c r="AQ214" s="144"/>
      <c r="AR214" s="853"/>
      <c r="AS214" s="854" t="str">
        <f>IF($CR214="","",IF(NOT('alocação'!$D$1),"off",IFERROR(VLOOKUP(CR214,BalanceAtivos,3,0),"NC")))</f>
        <v/>
      </c>
      <c r="AT214" s="855" t="str">
        <f>IF($CR214="","",IF(NOT('alocação'!$D$1),"off",IFERROR(VLOOKUP($CR214,BalanceAtivos,4,0)*$CU$5,"NC")))</f>
        <v/>
      </c>
      <c r="AU214" s="856" t="str">
        <f>IF($CR214="","",IF(NOT('alocação'!$D$1),"off",IFERROR(VLOOKUP($CR214,BalanceAtivos,5,0),"-")))</f>
        <v/>
      </c>
      <c r="AV214" s="856" t="str">
        <f>IF($CR214="","",IF(NOT('alocação'!$D$1),"off",IFERROR(VLOOKUP($CR214,BalanceAtivos,6,0),"-")))</f>
        <v/>
      </c>
      <c r="AW214" s="857"/>
      <c r="AX214" s="858" t="str">
        <f>IF($CR214="","",IF($E214="","SP",IFERROR(VLOOKUP($CR214,AtivosDados,MATCH("pm_atual",portfolio.!$A$3:CY$3,0),0)*$CU$5,0)))</f>
        <v/>
      </c>
      <c r="AY214" s="859" t="str">
        <f t="shared" si="2"/>
        <v/>
      </c>
      <c r="AZ214" s="858" t="str">
        <f>IF($CR214="","",IF($E214="","SP",SUMIF(portfolio.!$A$4:$A308,$CR214,portfolio.!$O$4:$O308)*$CU$5))</f>
        <v/>
      </c>
      <c r="BA214" s="858" t="str">
        <f>IF($CR214="","",IF($E214="","SP",SUMIF(portfolio.!$A$4:$A308,$CR214,portfolio.!$AN$4:$AN308)*$CU$5))</f>
        <v/>
      </c>
      <c r="BB214" s="860" t="str">
        <f>IF($CR214="","",IF($E214="","-",IFERROR($BA214/'portfólio'!$DG$63,"")))</f>
        <v/>
      </c>
      <c r="BC214" s="861" t="str">
        <f>IF($CR214="","",IF($E214="","-",SUMIF(portfolio.!$A$4:$A308,$CR214,portfolio.!$J$4:$J308)))</f>
        <v/>
      </c>
      <c r="BD214" s="862" t="str">
        <f>IF($CR214="","",IF($E214="","SP",SUMIF(portfolio.!$A$4:$A308,$CR214,portfolio.!$AQ$4:$AQ308)*$CU$5))</f>
        <v/>
      </c>
      <c r="BE214" s="850" t="str">
        <f t="shared" si="3"/>
        <v/>
      </c>
      <c r="BF214" s="862" t="str">
        <f>IF($CR214="","",IF($E214="","-",SUMIF(portfolio.!$A$4:$A308,$CR214,portfolio.!$AX$4:$AX308)*$CU$5))</f>
        <v/>
      </c>
      <c r="BG214" s="545"/>
      <c r="BH214" s="879" t="s">
        <v>123</v>
      </c>
      <c r="BI214" s="880" t="s">
        <v>123</v>
      </c>
      <c r="BJ214" s="863" t="str">
        <f>IFERROR(__xludf.DUMMYFUNCTION("IF(NOT($BL$4),"""",IF($CR214="""","""",IFERROR(query({GOOGLEFINANCE($CR214,""price"",IF($BI214=""-"",TODAY()-($AQ$5+5),$BI214),TODAY()-1)},""Select max(Col2) where Col1 is not null label max(Col2) ''"")*CU214,""-"")))"),"")</f>
        <v/>
      </c>
      <c r="BK214" s="881" t="s">
        <v>123</v>
      </c>
      <c r="BL214" s="882" t="s">
        <v>123</v>
      </c>
      <c r="BM214" s="442"/>
      <c r="BN214" s="867" t="str">
        <f>IFERROR(__xludf.DUMMYFUNCTION("IF(CR214="""","""",IF(OR(C214=""AÇÃO"",C214=""BDR""),IFERROR(QUERY({fundamentus.!$A$3:$U308},$CX$67&amp;"" where Col1='""&amp;CR214&amp;""' limit 1"",0)),IF(C214=""FII"",IFERROR(QUERY({fundsexplorer.!$A$2:$Z308},$CY$67&amp;"" where Col1='""&amp;CR214&amp;""' limit 1"",0)),""""))"&amp;")"),"")</f>
        <v/>
      </c>
      <c r="BO214" s="867"/>
      <c r="BP214" s="867"/>
      <c r="BQ214" s="867"/>
      <c r="BR214" s="867"/>
      <c r="BS214" s="867"/>
      <c r="BT214" s="867"/>
      <c r="BU214" s="442"/>
      <c r="BV214" s="868" t="str">
        <f>IFERROR(__xludf.DUMMYFUNCTION("IF(OR(C214=""AÇÃO"",C214=""BDR""),IFERROR(GOOGLEFINANCE(CONCAT(""BVMF:"",CR214), ""marketcap"")/1000000,""NC""),"""")"),"")</f>
        <v/>
      </c>
      <c r="BW214" s="869" t="s">
        <v>123</v>
      </c>
      <c r="BX214" s="870" t="s">
        <v>123</v>
      </c>
      <c r="BY214" s="868" t="s">
        <v>123</v>
      </c>
      <c r="BZ214" s="870" t="s">
        <v>123</v>
      </c>
      <c r="CA214" s="868" t="s">
        <v>123</v>
      </c>
      <c r="CB214" s="868" t="s">
        <v>123</v>
      </c>
      <c r="CC214" s="868" t="s">
        <v>123</v>
      </c>
      <c r="CD214" s="868" t="str">
        <f>IFERROR(__xludf.DUMMYFUNCTION("IF(OR(C214=""AÇÃO"",C214=""BDR""),IFERROR(GOOGLEFINANCE(CONCAT(""BVMF:"",CR214), ""volumeavg"")/1000000,""NC""),"""")"),"")</f>
        <v/>
      </c>
      <c r="CE214" s="870" t="s">
        <v>123</v>
      </c>
      <c r="CF214" s="870" t="s">
        <v>123</v>
      </c>
      <c r="CG214" s="870" t="str">
        <f>IFERROR(__xludf.DUMMYFUNCTION("IF(OR(C214=""AÇÃO"",C214=""BDR""),IF(CF214=0,""SEM DY"",IFERROR(ImportXML(CONCAT(""http://www.guiainvest.com.br/raiox/default.aspx?sigla="",$CR214),""//*[@id='lbPayoutAtual']""),""NC"")),"""")"),"")</f>
        <v/>
      </c>
      <c r="CH214" s="870" t="s">
        <v>123</v>
      </c>
      <c r="CI214" s="545"/>
      <c r="CJ214" s="871" t="str">
        <f>IFERROR(__xludf.DUMMYFUNCTION("IF(OR(C214=""AÇÃO"",C214=""BDR""),IFERROR(GOOGLEFINANCE(CONCAT(""BVMF:"",CR214), ""eps""),""NC""),"""")"),"")</f>
        <v/>
      </c>
      <c r="CK214" s="442"/>
      <c r="CL214" s="871" t="str">
        <f>IFERROR(__xludf.DUMMYFUNCTION("IF(NOT($BL$4),"""",IF($CR214="""","""",IF($BC214="""","""",IFERROR(query({op.normal!$B$5:$F308},""select Col5, toDate(Col2) where Col1 =  '""&amp;$CR214&amp;""' and Col4 &gt; 0 and ((Col3 is null) or (Col3 = 'C')) and Col2 &gt;= date '""&amp;TEXT(TODAY()-$AQ$5,""yyyy-mm-dd"&amp;""")&amp;""' order by Col2 desc limit 1 label toDate(Col2) ''"")))))"),"")</f>
        <v/>
      </c>
      <c r="CM214" s="872"/>
      <c r="CN214" s="883" t="s">
        <v>123</v>
      </c>
      <c r="CO214" s="874" t="s">
        <v>123</v>
      </c>
      <c r="CP214" s="766"/>
      <c r="CQ214" s="791"/>
      <c r="CR214" s="791"/>
      <c r="CT214" s="791" t="s">
        <v>123</v>
      </c>
      <c r="CU214" s="791" t="str">
        <f>IFERROR(__xludf.DUMMYFUNCTION("IF(CR214="""","""",IF(CT214=$C$4,1,GOOGLEFINANCE(CT214&amp;$C$4)))"),"")</f>
        <v/>
      </c>
    </row>
    <row r="215" ht="22.5" customHeight="1">
      <c r="A215" s="837">
        <v>207.0</v>
      </c>
      <c r="B215" s="838" t="s">
        <v>123</v>
      </c>
      <c r="C215" s="838" t="s">
        <v>123</v>
      </c>
      <c r="D215" s="839" t="s">
        <v>123</v>
      </c>
      <c r="E215" s="839" t="s">
        <v>123</v>
      </c>
      <c r="F215" s="839" t="s">
        <v>123</v>
      </c>
      <c r="H215" s="884"/>
      <c r="I215" s="838"/>
      <c r="J215" s="838"/>
      <c r="K215" s="838"/>
      <c r="L215" s="838"/>
      <c r="M215" s="838"/>
      <c r="N215" s="838"/>
      <c r="O215" s="838"/>
      <c r="P215" s="838"/>
      <c r="Q215" s="838"/>
      <c r="R215" s="838"/>
      <c r="S215" s="838"/>
      <c r="T215" s="838"/>
      <c r="U215" s="838"/>
      <c r="V215" s="838"/>
      <c r="W215" s="838"/>
      <c r="X215" s="838"/>
      <c r="Z215" s="875" t="str">
        <f>IFERROR(__xludf.DUMMYFUNCTION("IF($CR215="""","""",IFERROR(query({CarteirasAtivos},""select Col4 where Col4 is not null and Col1 = '""&amp;$CR215&amp;""' limit 1"")*CU215,""NC""))"),"")</f>
        <v/>
      </c>
      <c r="AA215" s="876" t="str">
        <f>IFERROR(__xludf.DUMMYFUNCTION("IF($CR215="""","""",IFERROR(query({CarteirasAtivos},""select Col6 where Col4 is not null and Col1 = '""&amp;$CR215&amp;""' limit 1""),""NC""))"),"")</f>
        <v/>
      </c>
      <c r="AB215" s="877"/>
      <c r="AC215" s="878" t="s">
        <v>123</v>
      </c>
      <c r="AD215" s="845" t="str">
        <f>IF($CR215="","",IFERROR(VLOOKUP($CR215,ativos.!$C$3:$R308,MATCH("cotacao",ativos.!$C$2:CY$2,0),FALSE)*$CU$5,"atualizar"))</f>
        <v/>
      </c>
      <c r="AE215" s="846" t="str">
        <f>IFERROR(__xludf.DUMMYFUNCTION("IF($CR215="""","""",IFERROR(AVERAGE(query({CarteirasAtivos;CarteirasAtivosEncerrados},""select Col5 where Col5 is not null and Col1 = '""&amp;$CR215&amp;""' and Col10='SIM'""))*CU215,""NC""))"),"")</f>
        <v/>
      </c>
      <c r="AF215" s="847" t="str">
        <f t="shared" si="1"/>
        <v/>
      </c>
      <c r="AG215" s="442"/>
      <c r="AH215" s="848" t="str">
        <f>IFERROR(__xludf.DUMMYFUNCTION("IF($CR215="""","""",IFERROR(GOOGLEFINANCE($CR215,""low52"")*CU215,""-""))"),"")</f>
        <v/>
      </c>
      <c r="AI215" s="848" t="str">
        <f>IFERROR(__xludf.DUMMYFUNCTION("IF($CR215="""","""",IFERROR(GOOGLEFINANCE($CR215,""high52"")*CU215,""-""))"),"")</f>
        <v/>
      </c>
      <c r="AJ215" s="849" t="s">
        <v>123</v>
      </c>
      <c r="AK215" s="850" t="str">
        <f>IFERROR(__xludf.DUMMYFUNCTION("IF($CR215="""","""",IFERROR(GOOGLEFINANCE($CR215,""changepct"")/100,""-""))"),"")</f>
        <v/>
      </c>
      <c r="AL215" s="851" t="str">
        <f>IFERROR(__xludf.DUMMYFUNCTION("IF($CR215="""","""",IFERROR(($AD215/(QUERY(GOOGLEFINANCE($CR215,""price"",TODAY()-7),""SELECT Col2 label Col2 ''"")*$CU215)-1),""-""))"),"")</f>
        <v/>
      </c>
      <c r="AM215" s="851" t="str">
        <f>IFERROR(__xludf.DUMMYFUNCTION("IF($CR215="""","""",IFERROR(($AD215/(QUERY(GOOGLEFINANCE($CR215,""price"",TODAY()-14),""SELECT Col2 label Col2 ''"")*$CU215)-1),""-""))"),"")</f>
        <v/>
      </c>
      <c r="AN215" s="851" t="str">
        <f>IFERROR(__xludf.DUMMYFUNCTION("IF($CR215="""","""",IFERROR(($AD215/(QUERY(GOOGLEFINANCE($CR215,""price"",TODAY()-28),""SELECT Col2 label Col2 ''"")*$CU215)-1),""-""))"),"")</f>
        <v/>
      </c>
      <c r="AO215" s="851" t="str">
        <f>IFERROR(__xludf.DUMMYFUNCTION("IF($CR215="""","""",IFERROR(($AD215/(QUERY(GOOGLEFINANCE($CR215,""price"",TODAY()-$AQ$5),""SELECT Col2 label Col2 ''"")*$CU215)-1),""-""))"),"")</f>
        <v/>
      </c>
      <c r="AP215" s="852" t="str">
        <f>IFERROR(__xludf.DUMMYFUNCTION("IF($CR215="""","""",IFERROR(SPARKLINE(query(GOOGLEFINANCE($CR215,""price"",TODAY()-$AQ$5,TODAY(),1),""select Col2 label Col2 ''""),IF($AP$7=""Gráfico de barras"",{""charttype"",""column"";""highcolor"",""red""},{""chartype"",""line""}))))"),"")</f>
        <v/>
      </c>
      <c r="AQ215" s="144"/>
      <c r="AR215" s="853"/>
      <c r="AS215" s="854" t="str">
        <f>IF($CR215="","",IF(NOT('alocação'!$D$1),"off",IFERROR(VLOOKUP(CR215,BalanceAtivos,3,0),"NC")))</f>
        <v/>
      </c>
      <c r="AT215" s="855" t="str">
        <f>IF($CR215="","",IF(NOT('alocação'!$D$1),"off",IFERROR(VLOOKUP($CR215,BalanceAtivos,4,0)*$CU$5,"NC")))</f>
        <v/>
      </c>
      <c r="AU215" s="856" t="str">
        <f>IF($CR215="","",IF(NOT('alocação'!$D$1),"off",IFERROR(VLOOKUP($CR215,BalanceAtivos,5,0),"-")))</f>
        <v/>
      </c>
      <c r="AV215" s="856" t="str">
        <f>IF($CR215="","",IF(NOT('alocação'!$D$1),"off",IFERROR(VLOOKUP($CR215,BalanceAtivos,6,0),"-")))</f>
        <v/>
      </c>
      <c r="AW215" s="857"/>
      <c r="AX215" s="858" t="str">
        <f>IF($CR215="","",IF($E215="","SP",IFERROR(VLOOKUP($CR215,AtivosDados,MATCH("pm_atual",portfolio.!$A$3:CY$3,0),0)*$CU$5,0)))</f>
        <v/>
      </c>
      <c r="AY215" s="859" t="str">
        <f t="shared" si="2"/>
        <v/>
      </c>
      <c r="AZ215" s="858" t="str">
        <f>IF($CR215="","",IF($E215="","SP",SUMIF(portfolio.!$A$4:$A308,$CR215,portfolio.!$O$4:$O308)*$CU$5))</f>
        <v/>
      </c>
      <c r="BA215" s="858" t="str">
        <f>IF($CR215="","",IF($E215="","SP",SUMIF(portfolio.!$A$4:$A308,$CR215,portfolio.!$AN$4:$AN308)*$CU$5))</f>
        <v/>
      </c>
      <c r="BB215" s="860" t="str">
        <f>IF($CR215="","",IF($E215="","-",IFERROR($BA215/'portfólio'!$DG$63,"")))</f>
        <v/>
      </c>
      <c r="BC215" s="861" t="str">
        <f>IF($CR215="","",IF($E215="","-",SUMIF(portfolio.!$A$4:$A308,$CR215,portfolio.!$J$4:$J308)))</f>
        <v/>
      </c>
      <c r="BD215" s="862" t="str">
        <f>IF($CR215="","",IF($E215="","SP",SUMIF(portfolio.!$A$4:$A308,$CR215,portfolio.!$AQ$4:$AQ308)*$CU$5))</f>
        <v/>
      </c>
      <c r="BE215" s="850" t="str">
        <f t="shared" si="3"/>
        <v/>
      </c>
      <c r="BF215" s="862" t="str">
        <f>IF($CR215="","",IF($E215="","-",SUMIF(portfolio.!$A$4:$A308,$CR215,portfolio.!$AX$4:$AX308)*$CU$5))</f>
        <v/>
      </c>
      <c r="BG215" s="545"/>
      <c r="BH215" s="879" t="s">
        <v>123</v>
      </c>
      <c r="BI215" s="880" t="s">
        <v>123</v>
      </c>
      <c r="BJ215" s="863" t="str">
        <f>IFERROR(__xludf.DUMMYFUNCTION("IF(NOT($BL$4),"""",IF($CR215="""","""",IFERROR(query({GOOGLEFINANCE($CR215,""price"",IF($BI215=""-"",TODAY()-($AQ$5+5),$BI215),TODAY()-1)},""Select max(Col2) where Col1 is not null label max(Col2) ''"")*CU215,""-"")))"),"")</f>
        <v/>
      </c>
      <c r="BK215" s="881" t="s">
        <v>123</v>
      </c>
      <c r="BL215" s="882" t="s">
        <v>123</v>
      </c>
      <c r="BM215" s="442"/>
      <c r="BN215" s="867" t="str">
        <f>IFERROR(__xludf.DUMMYFUNCTION("IF(CR215="""","""",IF(OR(C215=""AÇÃO"",C215=""BDR""),IFERROR(QUERY({fundamentus.!$A$3:$U308},$CX$67&amp;"" where Col1='""&amp;CR215&amp;""' limit 1"",0)),IF(C215=""FII"",IFERROR(QUERY({fundsexplorer.!$A$2:$Z308},$CY$67&amp;"" where Col1='""&amp;CR215&amp;""' limit 1"",0)),""""))"&amp;")"),"")</f>
        <v/>
      </c>
      <c r="BO215" s="867"/>
      <c r="BP215" s="867"/>
      <c r="BQ215" s="867"/>
      <c r="BR215" s="867"/>
      <c r="BS215" s="867"/>
      <c r="BT215" s="867"/>
      <c r="BU215" s="442"/>
      <c r="BV215" s="868" t="str">
        <f>IFERROR(__xludf.DUMMYFUNCTION("IF(OR(C215=""AÇÃO"",C215=""BDR""),IFERROR(GOOGLEFINANCE(CONCAT(""BVMF:"",CR215), ""marketcap"")/1000000,""NC""),"""")"),"")</f>
        <v/>
      </c>
      <c r="BW215" s="869" t="s">
        <v>123</v>
      </c>
      <c r="BX215" s="870" t="s">
        <v>123</v>
      </c>
      <c r="BY215" s="868" t="s">
        <v>123</v>
      </c>
      <c r="BZ215" s="870" t="s">
        <v>123</v>
      </c>
      <c r="CA215" s="868" t="s">
        <v>123</v>
      </c>
      <c r="CB215" s="868" t="s">
        <v>123</v>
      </c>
      <c r="CC215" s="868" t="s">
        <v>123</v>
      </c>
      <c r="CD215" s="868" t="str">
        <f>IFERROR(__xludf.DUMMYFUNCTION("IF(OR(C215=""AÇÃO"",C215=""BDR""),IFERROR(GOOGLEFINANCE(CONCAT(""BVMF:"",CR215), ""volumeavg"")/1000000,""NC""),"""")"),"")</f>
        <v/>
      </c>
      <c r="CE215" s="870" t="s">
        <v>123</v>
      </c>
      <c r="CF215" s="870" t="s">
        <v>123</v>
      </c>
      <c r="CG215" s="870" t="str">
        <f>IFERROR(__xludf.DUMMYFUNCTION("IF(OR(C215=""AÇÃO"",C215=""BDR""),IF(CF215=0,""SEM DY"",IFERROR(ImportXML(CONCAT(""http://www.guiainvest.com.br/raiox/default.aspx?sigla="",$CR215),""//*[@id='lbPayoutAtual']""),""NC"")),"""")"),"")</f>
        <v/>
      </c>
      <c r="CH215" s="870" t="s">
        <v>123</v>
      </c>
      <c r="CI215" s="545"/>
      <c r="CJ215" s="871" t="str">
        <f>IFERROR(__xludf.DUMMYFUNCTION("IF(OR(C215=""AÇÃO"",C215=""BDR""),IFERROR(GOOGLEFINANCE(CONCAT(""BVMF:"",CR215), ""eps""),""NC""),"""")"),"")</f>
        <v/>
      </c>
      <c r="CK215" s="442"/>
      <c r="CL215" s="871" t="str">
        <f>IFERROR(__xludf.DUMMYFUNCTION("IF(NOT($BL$4),"""",IF($CR215="""","""",IF($BC215="""","""",IFERROR(query({op.normal!$B$5:$F308},""select Col5, toDate(Col2) where Col1 =  '""&amp;$CR215&amp;""' and Col4 &gt; 0 and ((Col3 is null) or (Col3 = 'C')) and Col2 &gt;= date '""&amp;TEXT(TODAY()-$AQ$5,""yyyy-mm-dd"&amp;""")&amp;""' order by Col2 desc limit 1 label toDate(Col2) ''"")))))"),"")</f>
        <v/>
      </c>
      <c r="CM215" s="872"/>
      <c r="CN215" s="883" t="s">
        <v>123</v>
      </c>
      <c r="CO215" s="874" t="s">
        <v>123</v>
      </c>
      <c r="CP215" s="766"/>
      <c r="CQ215" s="791"/>
      <c r="CR215" s="791"/>
      <c r="CT215" s="791" t="s">
        <v>123</v>
      </c>
      <c r="CU215" s="791" t="str">
        <f>IFERROR(__xludf.DUMMYFUNCTION("IF(CR215="""","""",IF(CT215=$C$4,1,GOOGLEFINANCE(CT215&amp;$C$4)))"),"")</f>
        <v/>
      </c>
    </row>
    <row r="216" ht="22.5" customHeight="1">
      <c r="A216" s="837">
        <v>208.0</v>
      </c>
      <c r="B216" s="838" t="s">
        <v>123</v>
      </c>
      <c r="C216" s="838" t="s">
        <v>123</v>
      </c>
      <c r="D216" s="839" t="s">
        <v>123</v>
      </c>
      <c r="E216" s="839" t="s">
        <v>123</v>
      </c>
      <c r="F216" s="839" t="s">
        <v>123</v>
      </c>
      <c r="H216" s="884"/>
      <c r="I216" s="838"/>
      <c r="J216" s="838"/>
      <c r="K216" s="838"/>
      <c r="L216" s="838"/>
      <c r="M216" s="838"/>
      <c r="N216" s="838"/>
      <c r="O216" s="838"/>
      <c r="P216" s="838"/>
      <c r="Q216" s="838"/>
      <c r="R216" s="838"/>
      <c r="S216" s="838"/>
      <c r="T216" s="838"/>
      <c r="U216" s="838"/>
      <c r="V216" s="838"/>
      <c r="W216" s="838"/>
      <c r="X216" s="838"/>
      <c r="Z216" s="875" t="str">
        <f>IFERROR(__xludf.DUMMYFUNCTION("IF($CR216="""","""",IFERROR(query({CarteirasAtivos},""select Col4 where Col4 is not null and Col1 = '""&amp;$CR216&amp;""' limit 1"")*CU216,""NC""))"),"")</f>
        <v/>
      </c>
      <c r="AA216" s="876" t="str">
        <f>IFERROR(__xludf.DUMMYFUNCTION("IF($CR216="""","""",IFERROR(query({CarteirasAtivos},""select Col6 where Col4 is not null and Col1 = '""&amp;$CR216&amp;""' limit 1""),""NC""))"),"")</f>
        <v/>
      </c>
      <c r="AB216" s="877"/>
      <c r="AC216" s="878" t="s">
        <v>123</v>
      </c>
      <c r="AD216" s="845" t="str">
        <f>IF($CR216="","",IFERROR(VLOOKUP($CR216,ativos.!$C$3:$R308,MATCH("cotacao",ativos.!$C$2:CY$2,0),FALSE)*$CU$5,"atualizar"))</f>
        <v/>
      </c>
      <c r="AE216" s="846" t="str">
        <f>IFERROR(__xludf.DUMMYFUNCTION("IF($CR216="""","""",IFERROR(AVERAGE(query({CarteirasAtivos;CarteirasAtivosEncerrados},""select Col5 where Col5 is not null and Col1 = '""&amp;$CR216&amp;""' and Col10='SIM'""))*CU216,""NC""))"),"")</f>
        <v/>
      </c>
      <c r="AF216" s="847" t="str">
        <f t="shared" si="1"/>
        <v/>
      </c>
      <c r="AG216" s="442"/>
      <c r="AH216" s="848" t="str">
        <f>IFERROR(__xludf.DUMMYFUNCTION("IF($CR216="""","""",IFERROR(GOOGLEFINANCE($CR216,""low52"")*CU216,""-""))"),"")</f>
        <v/>
      </c>
      <c r="AI216" s="848" t="str">
        <f>IFERROR(__xludf.DUMMYFUNCTION("IF($CR216="""","""",IFERROR(GOOGLEFINANCE($CR216,""high52"")*CU216,""-""))"),"")</f>
        <v/>
      </c>
      <c r="AJ216" s="849" t="s">
        <v>123</v>
      </c>
      <c r="AK216" s="850" t="str">
        <f>IFERROR(__xludf.DUMMYFUNCTION("IF($CR216="""","""",IFERROR(GOOGLEFINANCE($CR216,""changepct"")/100,""-""))"),"")</f>
        <v/>
      </c>
      <c r="AL216" s="851" t="str">
        <f>IFERROR(__xludf.DUMMYFUNCTION("IF($CR216="""","""",IFERROR(($AD216/(QUERY(GOOGLEFINANCE($CR216,""price"",TODAY()-7),""SELECT Col2 label Col2 ''"")*$CU216)-1),""-""))"),"")</f>
        <v/>
      </c>
      <c r="AM216" s="851" t="str">
        <f>IFERROR(__xludf.DUMMYFUNCTION("IF($CR216="""","""",IFERROR(($AD216/(QUERY(GOOGLEFINANCE($CR216,""price"",TODAY()-14),""SELECT Col2 label Col2 ''"")*$CU216)-1),""-""))"),"")</f>
        <v/>
      </c>
      <c r="AN216" s="851" t="str">
        <f>IFERROR(__xludf.DUMMYFUNCTION("IF($CR216="""","""",IFERROR(($AD216/(QUERY(GOOGLEFINANCE($CR216,""price"",TODAY()-28),""SELECT Col2 label Col2 ''"")*$CU216)-1),""-""))"),"")</f>
        <v/>
      </c>
      <c r="AO216" s="851" t="str">
        <f>IFERROR(__xludf.DUMMYFUNCTION("IF($CR216="""","""",IFERROR(($AD216/(QUERY(GOOGLEFINANCE($CR216,""price"",TODAY()-$AQ$5),""SELECT Col2 label Col2 ''"")*$CU216)-1),""-""))"),"")</f>
        <v/>
      </c>
      <c r="AP216" s="852" t="str">
        <f>IFERROR(__xludf.DUMMYFUNCTION("IF($CR216="""","""",IFERROR(SPARKLINE(query(GOOGLEFINANCE($CR216,""price"",TODAY()-$AQ$5,TODAY(),1),""select Col2 label Col2 ''""),IF($AP$7=""Gráfico de barras"",{""charttype"",""column"";""highcolor"",""red""},{""chartype"",""line""}))))"),"")</f>
        <v/>
      </c>
      <c r="AQ216" s="144"/>
      <c r="AR216" s="853"/>
      <c r="AS216" s="854" t="str">
        <f>IF($CR216="","",IF(NOT('alocação'!$D$1),"off",IFERROR(VLOOKUP(CR216,BalanceAtivos,3,0),"NC")))</f>
        <v/>
      </c>
      <c r="AT216" s="855" t="str">
        <f>IF($CR216="","",IF(NOT('alocação'!$D$1),"off",IFERROR(VLOOKUP($CR216,BalanceAtivos,4,0)*$CU$5,"NC")))</f>
        <v/>
      </c>
      <c r="AU216" s="856" t="str">
        <f>IF($CR216="","",IF(NOT('alocação'!$D$1),"off",IFERROR(VLOOKUP($CR216,BalanceAtivos,5,0),"-")))</f>
        <v/>
      </c>
      <c r="AV216" s="856" t="str">
        <f>IF($CR216="","",IF(NOT('alocação'!$D$1),"off",IFERROR(VLOOKUP($CR216,BalanceAtivos,6,0),"-")))</f>
        <v/>
      </c>
      <c r="AW216" s="857"/>
      <c r="AX216" s="858" t="str">
        <f>IF($CR216="","",IF($E216="","SP",IFERROR(VLOOKUP($CR216,AtivosDados,MATCH("pm_atual",portfolio.!$A$3:CY$3,0),0)*$CU$5,0)))</f>
        <v/>
      </c>
      <c r="AY216" s="859" t="str">
        <f t="shared" si="2"/>
        <v/>
      </c>
      <c r="AZ216" s="858" t="str">
        <f>IF($CR216="","",IF($E216="","SP",SUMIF(portfolio.!$A$4:$A308,$CR216,portfolio.!$O$4:$O308)*$CU$5))</f>
        <v/>
      </c>
      <c r="BA216" s="858" t="str">
        <f>IF($CR216="","",IF($E216="","SP",SUMIF(portfolio.!$A$4:$A308,$CR216,portfolio.!$AN$4:$AN308)*$CU$5))</f>
        <v/>
      </c>
      <c r="BB216" s="860" t="str">
        <f>IF($CR216="","",IF($E216="","-",IFERROR($BA216/'portfólio'!$DG$63,"")))</f>
        <v/>
      </c>
      <c r="BC216" s="861" t="str">
        <f>IF($CR216="","",IF($E216="","-",SUMIF(portfolio.!$A$4:$A308,$CR216,portfolio.!$J$4:$J308)))</f>
        <v/>
      </c>
      <c r="BD216" s="862" t="str">
        <f>IF($CR216="","",IF($E216="","SP",SUMIF(portfolio.!$A$4:$A308,$CR216,portfolio.!$AQ$4:$AQ308)*$CU$5))</f>
        <v/>
      </c>
      <c r="BE216" s="850" t="str">
        <f t="shared" si="3"/>
        <v/>
      </c>
      <c r="BF216" s="862" t="str">
        <f>IF($CR216="","",IF($E216="","-",SUMIF(portfolio.!$A$4:$A308,$CR216,portfolio.!$AX$4:$AX308)*$CU$5))</f>
        <v/>
      </c>
      <c r="BG216" s="545"/>
      <c r="BH216" s="879" t="s">
        <v>123</v>
      </c>
      <c r="BI216" s="880" t="s">
        <v>123</v>
      </c>
      <c r="BJ216" s="863" t="str">
        <f>IFERROR(__xludf.DUMMYFUNCTION("IF(NOT($BL$4),"""",IF($CR216="""","""",IFERROR(query({GOOGLEFINANCE($CR216,""price"",IF($BI216=""-"",TODAY()-($AQ$5+5),$BI216),TODAY()-1)},""Select max(Col2) where Col1 is not null label max(Col2) ''"")*CU216,""-"")))"),"")</f>
        <v/>
      </c>
      <c r="BK216" s="881" t="s">
        <v>123</v>
      </c>
      <c r="BL216" s="882" t="s">
        <v>123</v>
      </c>
      <c r="BM216" s="442"/>
      <c r="BN216" s="867" t="str">
        <f>IFERROR(__xludf.DUMMYFUNCTION("IF(CR216="""","""",IF(OR(C216=""AÇÃO"",C216=""BDR""),IFERROR(QUERY({fundamentus.!$A$3:$U308},$CX$67&amp;"" where Col1='""&amp;CR216&amp;""' limit 1"",0)),IF(C216=""FII"",IFERROR(QUERY({fundsexplorer.!$A$2:$Z308},$CY$67&amp;"" where Col1='""&amp;CR216&amp;""' limit 1"",0)),""""))"&amp;")"),"")</f>
        <v/>
      </c>
      <c r="BO216" s="867"/>
      <c r="BP216" s="867"/>
      <c r="BQ216" s="867"/>
      <c r="BR216" s="867"/>
      <c r="BS216" s="867"/>
      <c r="BT216" s="867"/>
      <c r="BU216" s="442"/>
      <c r="BV216" s="868" t="str">
        <f>IFERROR(__xludf.DUMMYFUNCTION("IF(OR(C216=""AÇÃO"",C216=""BDR""),IFERROR(GOOGLEFINANCE(CONCAT(""BVMF:"",CR216), ""marketcap"")/1000000,""NC""),"""")"),"")</f>
        <v/>
      </c>
      <c r="BW216" s="869" t="s">
        <v>123</v>
      </c>
      <c r="BX216" s="870" t="s">
        <v>123</v>
      </c>
      <c r="BY216" s="868" t="s">
        <v>123</v>
      </c>
      <c r="BZ216" s="870" t="s">
        <v>123</v>
      </c>
      <c r="CA216" s="868" t="s">
        <v>123</v>
      </c>
      <c r="CB216" s="868" t="s">
        <v>123</v>
      </c>
      <c r="CC216" s="868" t="s">
        <v>123</v>
      </c>
      <c r="CD216" s="868" t="str">
        <f>IFERROR(__xludf.DUMMYFUNCTION("IF(OR(C216=""AÇÃO"",C216=""BDR""),IFERROR(GOOGLEFINANCE(CONCAT(""BVMF:"",CR216), ""volumeavg"")/1000000,""NC""),"""")"),"")</f>
        <v/>
      </c>
      <c r="CE216" s="870" t="s">
        <v>123</v>
      </c>
      <c r="CF216" s="870" t="s">
        <v>123</v>
      </c>
      <c r="CG216" s="870" t="str">
        <f>IFERROR(__xludf.DUMMYFUNCTION("IF(OR(C216=""AÇÃO"",C216=""BDR""),IF(CF216=0,""SEM DY"",IFERROR(ImportXML(CONCAT(""http://www.guiainvest.com.br/raiox/default.aspx?sigla="",$CR216),""//*[@id='lbPayoutAtual']""),""NC"")),"""")"),"")</f>
        <v/>
      </c>
      <c r="CH216" s="870" t="s">
        <v>123</v>
      </c>
      <c r="CI216" s="545"/>
      <c r="CJ216" s="871" t="str">
        <f>IFERROR(__xludf.DUMMYFUNCTION("IF(OR(C216=""AÇÃO"",C216=""BDR""),IFERROR(GOOGLEFINANCE(CONCAT(""BVMF:"",CR216), ""eps""),""NC""),"""")"),"")</f>
        <v/>
      </c>
      <c r="CK216" s="442"/>
      <c r="CL216" s="871" t="str">
        <f>IFERROR(__xludf.DUMMYFUNCTION("IF(NOT($BL$4),"""",IF($CR216="""","""",IF($BC216="""","""",IFERROR(query({op.normal!$B$5:$F308},""select Col5, toDate(Col2) where Col1 =  '""&amp;$CR216&amp;""' and Col4 &gt; 0 and ((Col3 is null) or (Col3 = 'C')) and Col2 &gt;= date '""&amp;TEXT(TODAY()-$AQ$5,""yyyy-mm-dd"&amp;""")&amp;""' order by Col2 desc limit 1 label toDate(Col2) ''"")))))"),"")</f>
        <v/>
      </c>
      <c r="CM216" s="872"/>
      <c r="CN216" s="883" t="s">
        <v>123</v>
      </c>
      <c r="CO216" s="874" t="s">
        <v>123</v>
      </c>
      <c r="CP216" s="766"/>
      <c r="CQ216" s="791"/>
      <c r="CR216" s="791"/>
      <c r="CT216" s="791" t="s">
        <v>123</v>
      </c>
      <c r="CU216" s="791" t="str">
        <f>IFERROR(__xludf.DUMMYFUNCTION("IF(CR216="""","""",IF(CT216=$C$4,1,GOOGLEFINANCE(CT216&amp;$C$4)))"),"")</f>
        <v/>
      </c>
    </row>
    <row r="217" ht="22.5" customHeight="1">
      <c r="A217" s="837">
        <v>209.0</v>
      </c>
      <c r="B217" s="838" t="s">
        <v>123</v>
      </c>
      <c r="C217" s="838" t="s">
        <v>123</v>
      </c>
      <c r="D217" s="839" t="s">
        <v>123</v>
      </c>
      <c r="E217" s="839" t="s">
        <v>123</v>
      </c>
      <c r="F217" s="839" t="s">
        <v>123</v>
      </c>
      <c r="H217" s="884"/>
      <c r="I217" s="838"/>
      <c r="J217" s="838"/>
      <c r="K217" s="838"/>
      <c r="L217" s="838"/>
      <c r="M217" s="838"/>
      <c r="N217" s="838"/>
      <c r="O217" s="838"/>
      <c r="P217" s="838"/>
      <c r="Q217" s="838"/>
      <c r="R217" s="838"/>
      <c r="S217" s="838"/>
      <c r="T217" s="838"/>
      <c r="U217" s="838"/>
      <c r="V217" s="838"/>
      <c r="W217" s="838"/>
      <c r="X217" s="838"/>
      <c r="Z217" s="875" t="str">
        <f>IFERROR(__xludf.DUMMYFUNCTION("IF($CR217="""","""",IFERROR(query({CarteirasAtivos},""select Col4 where Col4 is not null and Col1 = '""&amp;$CR217&amp;""' limit 1"")*CU217,""NC""))"),"")</f>
        <v/>
      </c>
      <c r="AA217" s="876" t="str">
        <f>IFERROR(__xludf.DUMMYFUNCTION("IF($CR217="""","""",IFERROR(query({CarteirasAtivos},""select Col6 where Col4 is not null and Col1 = '""&amp;$CR217&amp;""' limit 1""),""NC""))"),"")</f>
        <v/>
      </c>
      <c r="AB217" s="877"/>
      <c r="AC217" s="878" t="s">
        <v>123</v>
      </c>
      <c r="AD217" s="845" t="str">
        <f>IF($CR217="","",IFERROR(VLOOKUP($CR217,ativos.!$C$3:$R308,MATCH("cotacao",ativos.!$C$2:CY$2,0),FALSE)*$CU$5,"atualizar"))</f>
        <v/>
      </c>
      <c r="AE217" s="846" t="str">
        <f>IFERROR(__xludf.DUMMYFUNCTION("IF($CR217="""","""",IFERROR(AVERAGE(query({CarteirasAtivos;CarteirasAtivosEncerrados},""select Col5 where Col5 is not null and Col1 = '""&amp;$CR217&amp;""' and Col10='SIM'""))*CU217,""NC""))"),"")</f>
        <v/>
      </c>
      <c r="AF217" s="847" t="str">
        <f t="shared" si="1"/>
        <v/>
      </c>
      <c r="AG217" s="442"/>
      <c r="AH217" s="848" t="str">
        <f>IFERROR(__xludf.DUMMYFUNCTION("IF($CR217="""","""",IFERROR(GOOGLEFINANCE($CR217,""low52"")*CU217,""-""))"),"")</f>
        <v/>
      </c>
      <c r="AI217" s="848" t="str">
        <f>IFERROR(__xludf.DUMMYFUNCTION("IF($CR217="""","""",IFERROR(GOOGLEFINANCE($CR217,""high52"")*CU217,""-""))"),"")</f>
        <v/>
      </c>
      <c r="AJ217" s="849" t="s">
        <v>123</v>
      </c>
      <c r="AK217" s="850" t="str">
        <f>IFERROR(__xludf.DUMMYFUNCTION("IF($CR217="""","""",IFERROR(GOOGLEFINANCE($CR217,""changepct"")/100,""-""))"),"")</f>
        <v/>
      </c>
      <c r="AL217" s="851" t="str">
        <f>IFERROR(__xludf.DUMMYFUNCTION("IF($CR217="""","""",IFERROR(($AD217/(QUERY(GOOGLEFINANCE($CR217,""price"",TODAY()-7),""SELECT Col2 label Col2 ''"")*$CU217)-1),""-""))"),"")</f>
        <v/>
      </c>
      <c r="AM217" s="851" t="str">
        <f>IFERROR(__xludf.DUMMYFUNCTION("IF($CR217="""","""",IFERROR(($AD217/(QUERY(GOOGLEFINANCE($CR217,""price"",TODAY()-14),""SELECT Col2 label Col2 ''"")*$CU217)-1),""-""))"),"")</f>
        <v/>
      </c>
      <c r="AN217" s="851" t="str">
        <f>IFERROR(__xludf.DUMMYFUNCTION("IF($CR217="""","""",IFERROR(($AD217/(QUERY(GOOGLEFINANCE($CR217,""price"",TODAY()-28),""SELECT Col2 label Col2 ''"")*$CU217)-1),""-""))"),"")</f>
        <v/>
      </c>
      <c r="AO217" s="851" t="str">
        <f>IFERROR(__xludf.DUMMYFUNCTION("IF($CR217="""","""",IFERROR(($AD217/(QUERY(GOOGLEFINANCE($CR217,""price"",TODAY()-$AQ$5),""SELECT Col2 label Col2 ''"")*$CU217)-1),""-""))"),"")</f>
        <v/>
      </c>
      <c r="AP217" s="852" t="str">
        <f>IFERROR(__xludf.DUMMYFUNCTION("IF($CR217="""","""",IFERROR(SPARKLINE(query(GOOGLEFINANCE($CR217,""price"",TODAY()-$AQ$5,TODAY(),1),""select Col2 label Col2 ''""),IF($AP$7=""Gráfico de barras"",{""charttype"",""column"";""highcolor"",""red""},{""chartype"",""line""}))))"),"")</f>
        <v/>
      </c>
      <c r="AQ217" s="144"/>
      <c r="AR217" s="853"/>
      <c r="AS217" s="854" t="str">
        <f>IF($CR217="","",IF(NOT('alocação'!$D$1),"off",IFERROR(VLOOKUP(CR217,BalanceAtivos,3,0),"NC")))</f>
        <v/>
      </c>
      <c r="AT217" s="855" t="str">
        <f>IF($CR217="","",IF(NOT('alocação'!$D$1),"off",IFERROR(VLOOKUP($CR217,BalanceAtivos,4,0)*$CU$5,"NC")))</f>
        <v/>
      </c>
      <c r="AU217" s="856" t="str">
        <f>IF($CR217="","",IF(NOT('alocação'!$D$1),"off",IFERROR(VLOOKUP($CR217,BalanceAtivos,5,0),"-")))</f>
        <v/>
      </c>
      <c r="AV217" s="856" t="str">
        <f>IF($CR217="","",IF(NOT('alocação'!$D$1),"off",IFERROR(VLOOKUP($CR217,BalanceAtivos,6,0),"-")))</f>
        <v/>
      </c>
      <c r="AW217" s="857"/>
      <c r="AX217" s="858" t="str">
        <f>IF($CR217="","",IF($E217="","SP",IFERROR(VLOOKUP($CR217,AtivosDados,MATCH("pm_atual",portfolio.!$A$3:CY$3,0),0)*$CU$5,0)))</f>
        <v/>
      </c>
      <c r="AY217" s="859" t="str">
        <f t="shared" si="2"/>
        <v/>
      </c>
      <c r="AZ217" s="858" t="str">
        <f>IF($CR217="","",IF($E217="","SP",SUMIF(portfolio.!$A$4:$A308,$CR217,portfolio.!$O$4:$O308)*$CU$5))</f>
        <v/>
      </c>
      <c r="BA217" s="858" t="str">
        <f>IF($CR217="","",IF($E217="","SP",SUMIF(portfolio.!$A$4:$A308,$CR217,portfolio.!$AN$4:$AN308)*$CU$5))</f>
        <v/>
      </c>
      <c r="BB217" s="860" t="str">
        <f>IF($CR217="","",IF($E217="","-",IFERROR($BA217/'portfólio'!$DG$63,"")))</f>
        <v/>
      </c>
      <c r="BC217" s="861" t="str">
        <f>IF($CR217="","",IF($E217="","-",SUMIF(portfolio.!$A$4:$A308,$CR217,portfolio.!$J$4:$J308)))</f>
        <v/>
      </c>
      <c r="BD217" s="862" t="str">
        <f>IF($CR217="","",IF($E217="","SP",SUMIF(portfolio.!$A$4:$A308,$CR217,portfolio.!$AQ$4:$AQ308)*$CU$5))</f>
        <v/>
      </c>
      <c r="BE217" s="850" t="str">
        <f t="shared" si="3"/>
        <v/>
      </c>
      <c r="BF217" s="862" t="str">
        <f>IF($CR217="","",IF($E217="","-",SUMIF(portfolio.!$A$4:$A308,$CR217,portfolio.!$AX$4:$AX308)*$CU$5))</f>
        <v/>
      </c>
      <c r="BG217" s="545"/>
      <c r="BH217" s="879" t="s">
        <v>123</v>
      </c>
      <c r="BI217" s="880" t="s">
        <v>123</v>
      </c>
      <c r="BJ217" s="863" t="str">
        <f>IFERROR(__xludf.DUMMYFUNCTION("IF(NOT($BL$4),"""",IF($CR217="""","""",IFERROR(query({GOOGLEFINANCE($CR217,""price"",IF($BI217=""-"",TODAY()-($AQ$5+5),$BI217),TODAY()-1)},""Select max(Col2) where Col1 is not null label max(Col2) ''"")*CU217,""-"")))"),"")</f>
        <v/>
      </c>
      <c r="BK217" s="881" t="s">
        <v>123</v>
      </c>
      <c r="BL217" s="882" t="s">
        <v>123</v>
      </c>
      <c r="BM217" s="442"/>
      <c r="BN217" s="867" t="str">
        <f>IFERROR(__xludf.DUMMYFUNCTION("IF(CR217="""","""",IF(OR(C217=""AÇÃO"",C217=""BDR""),IFERROR(QUERY({fundamentus.!$A$3:$U308},$CX$67&amp;"" where Col1='""&amp;CR217&amp;""' limit 1"",0)),IF(C217=""FII"",IFERROR(QUERY({fundsexplorer.!$A$2:$Z308},$CY$67&amp;"" where Col1='""&amp;CR217&amp;""' limit 1"",0)),""""))"&amp;")"),"")</f>
        <v/>
      </c>
      <c r="BO217" s="867"/>
      <c r="BP217" s="867"/>
      <c r="BQ217" s="867"/>
      <c r="BR217" s="867"/>
      <c r="BS217" s="867"/>
      <c r="BT217" s="867"/>
      <c r="BU217" s="442"/>
      <c r="BV217" s="868" t="str">
        <f>IFERROR(__xludf.DUMMYFUNCTION("IF(OR(C217=""AÇÃO"",C217=""BDR""),IFERROR(GOOGLEFINANCE(CONCAT(""BVMF:"",CR217), ""marketcap"")/1000000,""NC""),"""")"),"")</f>
        <v/>
      </c>
      <c r="BW217" s="869" t="s">
        <v>123</v>
      </c>
      <c r="BX217" s="870" t="s">
        <v>123</v>
      </c>
      <c r="BY217" s="868" t="s">
        <v>123</v>
      </c>
      <c r="BZ217" s="870" t="s">
        <v>123</v>
      </c>
      <c r="CA217" s="868" t="s">
        <v>123</v>
      </c>
      <c r="CB217" s="868" t="s">
        <v>123</v>
      </c>
      <c r="CC217" s="868" t="s">
        <v>123</v>
      </c>
      <c r="CD217" s="868" t="str">
        <f>IFERROR(__xludf.DUMMYFUNCTION("IF(OR(C217=""AÇÃO"",C217=""BDR""),IFERROR(GOOGLEFINANCE(CONCAT(""BVMF:"",CR217), ""volumeavg"")/1000000,""NC""),"""")"),"")</f>
        <v/>
      </c>
      <c r="CE217" s="870" t="s">
        <v>123</v>
      </c>
      <c r="CF217" s="870" t="s">
        <v>123</v>
      </c>
      <c r="CG217" s="870" t="str">
        <f>IFERROR(__xludf.DUMMYFUNCTION("IF(OR(C217=""AÇÃO"",C217=""BDR""),IF(CF217=0,""SEM DY"",IFERROR(ImportXML(CONCAT(""http://www.guiainvest.com.br/raiox/default.aspx?sigla="",$CR217),""//*[@id='lbPayoutAtual']""),""NC"")),"""")"),"")</f>
        <v/>
      </c>
      <c r="CH217" s="870" t="s">
        <v>123</v>
      </c>
      <c r="CI217" s="545"/>
      <c r="CJ217" s="871" t="str">
        <f>IFERROR(__xludf.DUMMYFUNCTION("IF(OR(C217=""AÇÃO"",C217=""BDR""),IFERROR(GOOGLEFINANCE(CONCAT(""BVMF:"",CR217), ""eps""),""NC""),"""")"),"")</f>
        <v/>
      </c>
      <c r="CK217" s="442"/>
      <c r="CL217" s="871" t="str">
        <f>IFERROR(__xludf.DUMMYFUNCTION("IF(NOT($BL$4),"""",IF($CR217="""","""",IF($BC217="""","""",IFERROR(query({op.normal!$B$5:$F308},""select Col5, toDate(Col2) where Col1 =  '""&amp;$CR217&amp;""' and Col4 &gt; 0 and ((Col3 is null) or (Col3 = 'C')) and Col2 &gt;= date '""&amp;TEXT(TODAY()-$AQ$5,""yyyy-mm-dd"&amp;""")&amp;""' order by Col2 desc limit 1 label toDate(Col2) ''"")))))"),"")</f>
        <v/>
      </c>
      <c r="CM217" s="872"/>
      <c r="CN217" s="883" t="s">
        <v>123</v>
      </c>
      <c r="CO217" s="874" t="s">
        <v>123</v>
      </c>
      <c r="CP217" s="766"/>
      <c r="CQ217" s="791"/>
      <c r="CR217" s="791"/>
      <c r="CT217" s="791" t="s">
        <v>123</v>
      </c>
      <c r="CU217" s="791" t="str">
        <f>IFERROR(__xludf.DUMMYFUNCTION("IF(CR217="""","""",IF(CT217=$C$4,1,GOOGLEFINANCE(CT217&amp;$C$4)))"),"")</f>
        <v/>
      </c>
    </row>
    <row r="218" ht="22.5" customHeight="1">
      <c r="A218" s="837">
        <v>210.0</v>
      </c>
      <c r="B218" s="838" t="s">
        <v>123</v>
      </c>
      <c r="C218" s="838" t="s">
        <v>123</v>
      </c>
      <c r="D218" s="839" t="s">
        <v>123</v>
      </c>
      <c r="E218" s="839" t="s">
        <v>123</v>
      </c>
      <c r="F218" s="839" t="s">
        <v>123</v>
      </c>
      <c r="H218" s="884"/>
      <c r="I218" s="838"/>
      <c r="J218" s="838"/>
      <c r="K218" s="838"/>
      <c r="L218" s="838"/>
      <c r="M218" s="838"/>
      <c r="N218" s="838"/>
      <c r="O218" s="838"/>
      <c r="P218" s="838"/>
      <c r="Q218" s="838"/>
      <c r="R218" s="838"/>
      <c r="S218" s="838"/>
      <c r="T218" s="838"/>
      <c r="U218" s="838"/>
      <c r="V218" s="838"/>
      <c r="W218" s="838"/>
      <c r="X218" s="838"/>
      <c r="Z218" s="875" t="str">
        <f>IFERROR(__xludf.DUMMYFUNCTION("IF($CR218="""","""",IFERROR(query({CarteirasAtivos},""select Col4 where Col4 is not null and Col1 = '""&amp;$CR218&amp;""' limit 1"")*CU218,""NC""))"),"")</f>
        <v/>
      </c>
      <c r="AA218" s="876" t="str">
        <f>IFERROR(__xludf.DUMMYFUNCTION("IF($CR218="""","""",IFERROR(query({CarteirasAtivos},""select Col6 where Col4 is not null and Col1 = '""&amp;$CR218&amp;""' limit 1""),""NC""))"),"")</f>
        <v/>
      </c>
      <c r="AB218" s="877"/>
      <c r="AC218" s="878" t="s">
        <v>123</v>
      </c>
      <c r="AD218" s="845" t="str">
        <f>IF($CR218="","",IFERROR(VLOOKUP($CR218,ativos.!$C$3:$R308,MATCH("cotacao",ativos.!$C$2:CY$2,0),FALSE)*$CU$5,"atualizar"))</f>
        <v/>
      </c>
      <c r="AE218" s="846" t="str">
        <f>IFERROR(__xludf.DUMMYFUNCTION("IF($CR218="""","""",IFERROR(AVERAGE(query({CarteirasAtivos;CarteirasAtivosEncerrados},""select Col5 where Col5 is not null and Col1 = '""&amp;$CR218&amp;""' and Col10='SIM'""))*CU218,""NC""))"),"")</f>
        <v/>
      </c>
      <c r="AF218" s="847" t="str">
        <f t="shared" si="1"/>
        <v/>
      </c>
      <c r="AG218" s="442"/>
      <c r="AH218" s="848" t="str">
        <f>IFERROR(__xludf.DUMMYFUNCTION("IF($CR218="""","""",IFERROR(GOOGLEFINANCE($CR218,""low52"")*CU218,""-""))"),"")</f>
        <v/>
      </c>
      <c r="AI218" s="848" t="str">
        <f>IFERROR(__xludf.DUMMYFUNCTION("IF($CR218="""","""",IFERROR(GOOGLEFINANCE($CR218,""high52"")*CU218,""-""))"),"")</f>
        <v/>
      </c>
      <c r="AJ218" s="849" t="s">
        <v>123</v>
      </c>
      <c r="AK218" s="850" t="str">
        <f>IFERROR(__xludf.DUMMYFUNCTION("IF($CR218="""","""",IFERROR(GOOGLEFINANCE($CR218,""changepct"")/100,""-""))"),"")</f>
        <v/>
      </c>
      <c r="AL218" s="851" t="str">
        <f>IFERROR(__xludf.DUMMYFUNCTION("IF($CR218="""","""",IFERROR(($AD218/(QUERY(GOOGLEFINANCE($CR218,""price"",TODAY()-7),""SELECT Col2 label Col2 ''"")*$CU218)-1),""-""))"),"")</f>
        <v/>
      </c>
      <c r="AM218" s="851" t="str">
        <f>IFERROR(__xludf.DUMMYFUNCTION("IF($CR218="""","""",IFERROR(($AD218/(QUERY(GOOGLEFINANCE($CR218,""price"",TODAY()-14),""SELECT Col2 label Col2 ''"")*$CU218)-1),""-""))"),"")</f>
        <v/>
      </c>
      <c r="AN218" s="851" t="str">
        <f>IFERROR(__xludf.DUMMYFUNCTION("IF($CR218="""","""",IFERROR(($AD218/(QUERY(GOOGLEFINANCE($CR218,""price"",TODAY()-28),""SELECT Col2 label Col2 ''"")*$CU218)-1),""-""))"),"")</f>
        <v/>
      </c>
      <c r="AO218" s="851" t="str">
        <f>IFERROR(__xludf.DUMMYFUNCTION("IF($CR218="""","""",IFERROR(($AD218/(QUERY(GOOGLEFINANCE($CR218,""price"",TODAY()-$AQ$5),""SELECT Col2 label Col2 ''"")*$CU218)-1),""-""))"),"")</f>
        <v/>
      </c>
      <c r="AP218" s="852" t="str">
        <f>IFERROR(__xludf.DUMMYFUNCTION("IF($CR218="""","""",IFERROR(SPARKLINE(query(GOOGLEFINANCE($CR218,""price"",TODAY()-$AQ$5,TODAY(),1),""select Col2 label Col2 ''""),IF($AP$7=""Gráfico de barras"",{""charttype"",""column"";""highcolor"",""red""},{""chartype"",""line""}))))"),"")</f>
        <v/>
      </c>
      <c r="AQ218" s="144"/>
      <c r="AR218" s="853"/>
      <c r="AS218" s="854" t="str">
        <f>IF($CR218="","",IF(NOT('alocação'!$D$1),"off",IFERROR(VLOOKUP(CR218,BalanceAtivos,3,0),"NC")))</f>
        <v/>
      </c>
      <c r="AT218" s="855" t="str">
        <f>IF($CR218="","",IF(NOT('alocação'!$D$1),"off",IFERROR(VLOOKUP($CR218,BalanceAtivos,4,0)*$CU$5,"NC")))</f>
        <v/>
      </c>
      <c r="AU218" s="856" t="str">
        <f>IF($CR218="","",IF(NOT('alocação'!$D$1),"off",IFERROR(VLOOKUP($CR218,BalanceAtivos,5,0),"-")))</f>
        <v/>
      </c>
      <c r="AV218" s="856" t="str">
        <f>IF($CR218="","",IF(NOT('alocação'!$D$1),"off",IFERROR(VLOOKUP($CR218,BalanceAtivos,6,0),"-")))</f>
        <v/>
      </c>
      <c r="AW218" s="857"/>
      <c r="AX218" s="858" t="str">
        <f>IF($CR218="","",IF($E218="","SP",IFERROR(VLOOKUP($CR218,AtivosDados,MATCH("pm_atual",portfolio.!$A$3:CY$3,0),0)*$CU$5,0)))</f>
        <v/>
      </c>
      <c r="AY218" s="859" t="str">
        <f t="shared" si="2"/>
        <v/>
      </c>
      <c r="AZ218" s="858" t="str">
        <f>IF($CR218="","",IF($E218="","SP",SUMIF(portfolio.!$A$4:$A308,$CR218,portfolio.!$O$4:$O308)*$CU$5))</f>
        <v/>
      </c>
      <c r="BA218" s="858" t="str">
        <f>IF($CR218="","",IF($E218="","SP",SUMIF(portfolio.!$A$4:$A308,$CR218,portfolio.!$AN$4:$AN308)*$CU$5))</f>
        <v/>
      </c>
      <c r="BB218" s="860" t="str">
        <f>IF($CR218="","",IF($E218="","-",IFERROR($BA218/'portfólio'!$DG$63,"")))</f>
        <v/>
      </c>
      <c r="BC218" s="861" t="str">
        <f>IF($CR218="","",IF($E218="","-",SUMIF(portfolio.!$A$4:$A308,$CR218,portfolio.!$J$4:$J308)))</f>
        <v/>
      </c>
      <c r="BD218" s="862" t="str">
        <f>IF($CR218="","",IF($E218="","SP",SUMIF(portfolio.!$A$4:$A308,$CR218,portfolio.!$AQ$4:$AQ308)*$CU$5))</f>
        <v/>
      </c>
      <c r="BE218" s="850" t="str">
        <f t="shared" si="3"/>
        <v/>
      </c>
      <c r="BF218" s="862" t="str">
        <f>IF($CR218="","",IF($E218="","-",SUMIF(portfolio.!$A$4:$A308,$CR218,portfolio.!$AX$4:$AX308)*$CU$5))</f>
        <v/>
      </c>
      <c r="BG218" s="545"/>
      <c r="BH218" s="879" t="s">
        <v>123</v>
      </c>
      <c r="BI218" s="880" t="s">
        <v>123</v>
      </c>
      <c r="BJ218" s="863" t="str">
        <f>IFERROR(__xludf.DUMMYFUNCTION("IF(NOT($BL$4),"""",IF($CR218="""","""",IFERROR(query({GOOGLEFINANCE($CR218,""price"",IF($BI218=""-"",TODAY()-($AQ$5+5),$BI218),TODAY()-1)},""Select max(Col2) where Col1 is not null label max(Col2) ''"")*CU218,""-"")))"),"")</f>
        <v/>
      </c>
      <c r="BK218" s="881" t="s">
        <v>123</v>
      </c>
      <c r="BL218" s="882" t="s">
        <v>123</v>
      </c>
      <c r="BM218" s="442"/>
      <c r="BN218" s="867" t="str">
        <f>IFERROR(__xludf.DUMMYFUNCTION("IF(CR218="""","""",IF(OR(C218=""AÇÃO"",C218=""BDR""),IFERROR(QUERY({fundamentus.!$A$3:$U308},$CX$67&amp;"" where Col1='""&amp;CR218&amp;""' limit 1"",0)),IF(C218=""FII"",IFERROR(QUERY({fundsexplorer.!$A$2:$Z308},$CY$67&amp;"" where Col1='""&amp;CR218&amp;""' limit 1"",0)),""""))"&amp;")"),"")</f>
        <v/>
      </c>
      <c r="BO218" s="867"/>
      <c r="BP218" s="867"/>
      <c r="BQ218" s="867"/>
      <c r="BR218" s="867"/>
      <c r="BS218" s="867"/>
      <c r="BT218" s="867"/>
      <c r="BU218" s="442"/>
      <c r="BV218" s="868" t="str">
        <f>IFERROR(__xludf.DUMMYFUNCTION("IF(OR(C218=""AÇÃO"",C218=""BDR""),IFERROR(GOOGLEFINANCE(CONCAT(""BVMF:"",CR218), ""marketcap"")/1000000,""NC""),"""")"),"")</f>
        <v/>
      </c>
      <c r="BW218" s="869" t="s">
        <v>123</v>
      </c>
      <c r="BX218" s="870" t="s">
        <v>123</v>
      </c>
      <c r="BY218" s="868" t="s">
        <v>123</v>
      </c>
      <c r="BZ218" s="870" t="s">
        <v>123</v>
      </c>
      <c r="CA218" s="868" t="s">
        <v>123</v>
      </c>
      <c r="CB218" s="868" t="s">
        <v>123</v>
      </c>
      <c r="CC218" s="868" t="s">
        <v>123</v>
      </c>
      <c r="CD218" s="868" t="str">
        <f>IFERROR(__xludf.DUMMYFUNCTION("IF(OR(C218=""AÇÃO"",C218=""BDR""),IFERROR(GOOGLEFINANCE(CONCAT(""BVMF:"",CR218), ""volumeavg"")/1000000,""NC""),"""")"),"")</f>
        <v/>
      </c>
      <c r="CE218" s="870" t="s">
        <v>123</v>
      </c>
      <c r="CF218" s="870" t="s">
        <v>123</v>
      </c>
      <c r="CG218" s="870" t="str">
        <f>IFERROR(__xludf.DUMMYFUNCTION("IF(OR(C218=""AÇÃO"",C218=""BDR""),IF(CF218=0,""SEM DY"",IFERROR(ImportXML(CONCAT(""http://www.guiainvest.com.br/raiox/default.aspx?sigla="",$CR218),""//*[@id='lbPayoutAtual']""),""NC"")),"""")"),"")</f>
        <v/>
      </c>
      <c r="CH218" s="870" t="s">
        <v>123</v>
      </c>
      <c r="CI218" s="545"/>
      <c r="CJ218" s="871" t="str">
        <f>IFERROR(__xludf.DUMMYFUNCTION("IF(OR(C218=""AÇÃO"",C218=""BDR""),IFERROR(GOOGLEFINANCE(CONCAT(""BVMF:"",CR218), ""eps""),""NC""),"""")"),"")</f>
        <v/>
      </c>
      <c r="CK218" s="442"/>
      <c r="CL218" s="871" t="str">
        <f>IFERROR(__xludf.DUMMYFUNCTION("IF(NOT($BL$4),"""",IF($CR218="""","""",IF($BC218="""","""",IFERROR(query({op.normal!$B$5:$F308},""select Col5, toDate(Col2) where Col1 =  '""&amp;$CR218&amp;""' and Col4 &gt; 0 and ((Col3 is null) or (Col3 = 'C')) and Col2 &gt;= date '""&amp;TEXT(TODAY()-$AQ$5,""yyyy-mm-dd"&amp;""")&amp;""' order by Col2 desc limit 1 label toDate(Col2) ''"")))))"),"")</f>
        <v/>
      </c>
      <c r="CM218" s="872"/>
      <c r="CN218" s="883" t="s">
        <v>123</v>
      </c>
      <c r="CO218" s="874" t="s">
        <v>123</v>
      </c>
      <c r="CP218" s="766"/>
      <c r="CQ218" s="791"/>
      <c r="CR218" s="791"/>
      <c r="CT218" s="791" t="s">
        <v>123</v>
      </c>
      <c r="CU218" s="791" t="str">
        <f>IFERROR(__xludf.DUMMYFUNCTION("IF(CR218="""","""",IF(CT218=$C$4,1,GOOGLEFINANCE(CT218&amp;$C$4)))"),"")</f>
        <v/>
      </c>
    </row>
    <row r="219" ht="22.5" customHeight="1">
      <c r="A219" s="837">
        <v>211.0</v>
      </c>
      <c r="B219" s="838" t="s">
        <v>123</v>
      </c>
      <c r="C219" s="838" t="s">
        <v>123</v>
      </c>
      <c r="D219" s="839" t="s">
        <v>123</v>
      </c>
      <c r="E219" s="839" t="s">
        <v>123</v>
      </c>
      <c r="F219" s="839" t="s">
        <v>123</v>
      </c>
      <c r="H219" s="884"/>
      <c r="I219" s="838"/>
      <c r="J219" s="838"/>
      <c r="K219" s="838"/>
      <c r="L219" s="838"/>
      <c r="M219" s="838"/>
      <c r="N219" s="838"/>
      <c r="O219" s="838"/>
      <c r="P219" s="838"/>
      <c r="Q219" s="838"/>
      <c r="R219" s="838"/>
      <c r="S219" s="838"/>
      <c r="T219" s="838"/>
      <c r="U219" s="838"/>
      <c r="V219" s="838"/>
      <c r="W219" s="838"/>
      <c r="X219" s="838"/>
      <c r="Z219" s="875" t="str">
        <f>IFERROR(__xludf.DUMMYFUNCTION("IF($CR219="""","""",IFERROR(query({CarteirasAtivos},""select Col4 where Col4 is not null and Col1 = '""&amp;$CR219&amp;""' limit 1"")*CU219,""NC""))"),"")</f>
        <v/>
      </c>
      <c r="AA219" s="876" t="str">
        <f>IFERROR(__xludf.DUMMYFUNCTION("IF($CR219="""","""",IFERROR(query({CarteirasAtivos},""select Col6 where Col4 is not null and Col1 = '""&amp;$CR219&amp;""' limit 1""),""NC""))"),"")</f>
        <v/>
      </c>
      <c r="AB219" s="877"/>
      <c r="AC219" s="878" t="s">
        <v>123</v>
      </c>
      <c r="AD219" s="845" t="str">
        <f>IF($CR219="","",IFERROR(VLOOKUP($CR219,ativos.!$C$3:$R308,MATCH("cotacao",ativos.!$C$2:CY$2,0),FALSE)*$CU$5,"atualizar"))</f>
        <v/>
      </c>
      <c r="AE219" s="846" t="str">
        <f>IFERROR(__xludf.DUMMYFUNCTION("IF($CR219="""","""",IFERROR(AVERAGE(query({CarteirasAtivos;CarteirasAtivosEncerrados},""select Col5 where Col5 is not null and Col1 = '""&amp;$CR219&amp;""' and Col10='SIM'""))*CU219,""NC""))"),"")</f>
        <v/>
      </c>
      <c r="AF219" s="847" t="str">
        <f t="shared" si="1"/>
        <v/>
      </c>
      <c r="AG219" s="442"/>
      <c r="AH219" s="848" t="str">
        <f>IFERROR(__xludf.DUMMYFUNCTION("IF($CR219="""","""",IFERROR(GOOGLEFINANCE($CR219,""low52"")*CU219,""-""))"),"")</f>
        <v/>
      </c>
      <c r="AI219" s="848" t="str">
        <f>IFERROR(__xludf.DUMMYFUNCTION("IF($CR219="""","""",IFERROR(GOOGLEFINANCE($CR219,""high52"")*CU219,""-""))"),"")</f>
        <v/>
      </c>
      <c r="AJ219" s="849" t="s">
        <v>123</v>
      </c>
      <c r="AK219" s="850" t="str">
        <f>IFERROR(__xludf.DUMMYFUNCTION("IF($CR219="""","""",IFERROR(GOOGLEFINANCE($CR219,""changepct"")/100,""-""))"),"")</f>
        <v/>
      </c>
      <c r="AL219" s="851" t="str">
        <f>IFERROR(__xludf.DUMMYFUNCTION("IF($CR219="""","""",IFERROR(($AD219/(QUERY(GOOGLEFINANCE($CR219,""price"",TODAY()-7),""SELECT Col2 label Col2 ''"")*$CU219)-1),""-""))"),"")</f>
        <v/>
      </c>
      <c r="AM219" s="851" t="str">
        <f>IFERROR(__xludf.DUMMYFUNCTION("IF($CR219="""","""",IFERROR(($AD219/(QUERY(GOOGLEFINANCE($CR219,""price"",TODAY()-14),""SELECT Col2 label Col2 ''"")*$CU219)-1),""-""))"),"")</f>
        <v/>
      </c>
      <c r="AN219" s="851" t="str">
        <f>IFERROR(__xludf.DUMMYFUNCTION("IF($CR219="""","""",IFERROR(($AD219/(QUERY(GOOGLEFINANCE($CR219,""price"",TODAY()-28),""SELECT Col2 label Col2 ''"")*$CU219)-1),""-""))"),"")</f>
        <v/>
      </c>
      <c r="AO219" s="851" t="str">
        <f>IFERROR(__xludf.DUMMYFUNCTION("IF($CR219="""","""",IFERROR(($AD219/(QUERY(GOOGLEFINANCE($CR219,""price"",TODAY()-$AQ$5),""SELECT Col2 label Col2 ''"")*$CU219)-1),""-""))"),"")</f>
        <v/>
      </c>
      <c r="AP219" s="852" t="str">
        <f>IFERROR(__xludf.DUMMYFUNCTION("IF($CR219="""","""",IFERROR(SPARKLINE(query(GOOGLEFINANCE($CR219,""price"",TODAY()-$AQ$5,TODAY(),1),""select Col2 label Col2 ''""),IF($AP$7=""Gráfico de barras"",{""charttype"",""column"";""highcolor"",""red""},{""chartype"",""line""}))))"),"")</f>
        <v/>
      </c>
      <c r="AQ219" s="144"/>
      <c r="AR219" s="853"/>
      <c r="AS219" s="854" t="str">
        <f>IF($CR219="","",IF(NOT('alocação'!$D$1),"off",IFERROR(VLOOKUP(CR219,BalanceAtivos,3,0),"NC")))</f>
        <v/>
      </c>
      <c r="AT219" s="855" t="str">
        <f>IF($CR219="","",IF(NOT('alocação'!$D$1),"off",IFERROR(VLOOKUP($CR219,BalanceAtivos,4,0)*$CU$5,"NC")))</f>
        <v/>
      </c>
      <c r="AU219" s="856" t="str">
        <f>IF($CR219="","",IF(NOT('alocação'!$D$1),"off",IFERROR(VLOOKUP($CR219,BalanceAtivos,5,0),"-")))</f>
        <v/>
      </c>
      <c r="AV219" s="856" t="str">
        <f>IF($CR219="","",IF(NOT('alocação'!$D$1),"off",IFERROR(VLOOKUP($CR219,BalanceAtivos,6,0),"-")))</f>
        <v/>
      </c>
      <c r="AW219" s="857"/>
      <c r="AX219" s="858" t="str">
        <f>IF($CR219="","",IF($E219="","SP",IFERROR(VLOOKUP($CR219,AtivosDados,MATCH("pm_atual",portfolio.!$A$3:CY$3,0),0)*$CU$5,0)))</f>
        <v/>
      </c>
      <c r="AY219" s="859" t="str">
        <f t="shared" si="2"/>
        <v/>
      </c>
      <c r="AZ219" s="858" t="str">
        <f>IF($CR219="","",IF($E219="","SP",SUMIF(portfolio.!$A$4:$A308,$CR219,portfolio.!$O$4:$O308)*$CU$5))</f>
        <v/>
      </c>
      <c r="BA219" s="858" t="str">
        <f>IF($CR219="","",IF($E219="","SP",SUMIF(portfolio.!$A$4:$A308,$CR219,portfolio.!$AN$4:$AN308)*$CU$5))</f>
        <v/>
      </c>
      <c r="BB219" s="860" t="str">
        <f>IF($CR219="","",IF($E219="","-",IFERROR($BA219/'portfólio'!$DG$63,"")))</f>
        <v/>
      </c>
      <c r="BC219" s="861" t="str">
        <f>IF($CR219="","",IF($E219="","-",SUMIF(portfolio.!$A$4:$A308,$CR219,portfolio.!$J$4:$J308)))</f>
        <v/>
      </c>
      <c r="BD219" s="862" t="str">
        <f>IF($CR219="","",IF($E219="","SP",SUMIF(portfolio.!$A$4:$A308,$CR219,portfolio.!$AQ$4:$AQ308)*$CU$5))</f>
        <v/>
      </c>
      <c r="BE219" s="850" t="str">
        <f t="shared" si="3"/>
        <v/>
      </c>
      <c r="BF219" s="862" t="str">
        <f>IF($CR219="","",IF($E219="","-",SUMIF(portfolio.!$A$4:$A308,$CR219,portfolio.!$AX$4:$AX308)*$CU$5))</f>
        <v/>
      </c>
      <c r="BG219" s="545"/>
      <c r="BH219" s="879" t="s">
        <v>123</v>
      </c>
      <c r="BI219" s="880" t="s">
        <v>123</v>
      </c>
      <c r="BJ219" s="863" t="str">
        <f>IFERROR(__xludf.DUMMYFUNCTION("IF(NOT($BL$4),"""",IF($CR219="""","""",IFERROR(query({GOOGLEFINANCE($CR219,""price"",IF($BI219=""-"",TODAY()-($AQ$5+5),$BI219),TODAY()-1)},""Select max(Col2) where Col1 is not null label max(Col2) ''"")*CU219,""-"")))"),"")</f>
        <v/>
      </c>
      <c r="BK219" s="881" t="s">
        <v>123</v>
      </c>
      <c r="BL219" s="882" t="s">
        <v>123</v>
      </c>
      <c r="BM219" s="442"/>
      <c r="BN219" s="867" t="str">
        <f>IFERROR(__xludf.DUMMYFUNCTION("IF(CR219="""","""",IF(OR(C219=""AÇÃO"",C219=""BDR""),IFERROR(QUERY({fundamentus.!$A$3:$U308},$CX$67&amp;"" where Col1='""&amp;CR219&amp;""' limit 1"",0)),IF(C219=""FII"",IFERROR(QUERY({fundsexplorer.!$A$2:$Z308},$CY$67&amp;"" where Col1='""&amp;CR219&amp;""' limit 1"",0)),""""))"&amp;")"),"")</f>
        <v/>
      </c>
      <c r="BO219" s="867"/>
      <c r="BP219" s="867"/>
      <c r="BQ219" s="867"/>
      <c r="BR219" s="867"/>
      <c r="BS219" s="867"/>
      <c r="BT219" s="867"/>
      <c r="BU219" s="442"/>
      <c r="BV219" s="868" t="str">
        <f>IFERROR(__xludf.DUMMYFUNCTION("IF(OR(C219=""AÇÃO"",C219=""BDR""),IFERROR(GOOGLEFINANCE(CONCAT(""BVMF:"",CR219), ""marketcap"")/1000000,""NC""),"""")"),"")</f>
        <v/>
      </c>
      <c r="BW219" s="869" t="s">
        <v>123</v>
      </c>
      <c r="BX219" s="870" t="s">
        <v>123</v>
      </c>
      <c r="BY219" s="868" t="s">
        <v>123</v>
      </c>
      <c r="BZ219" s="870" t="s">
        <v>123</v>
      </c>
      <c r="CA219" s="868" t="s">
        <v>123</v>
      </c>
      <c r="CB219" s="868" t="s">
        <v>123</v>
      </c>
      <c r="CC219" s="868" t="s">
        <v>123</v>
      </c>
      <c r="CD219" s="868" t="str">
        <f>IFERROR(__xludf.DUMMYFUNCTION("IF(OR(C219=""AÇÃO"",C219=""BDR""),IFERROR(GOOGLEFINANCE(CONCAT(""BVMF:"",CR219), ""volumeavg"")/1000000,""NC""),"""")"),"")</f>
        <v/>
      </c>
      <c r="CE219" s="870" t="s">
        <v>123</v>
      </c>
      <c r="CF219" s="870" t="s">
        <v>123</v>
      </c>
      <c r="CG219" s="870" t="str">
        <f>IFERROR(__xludf.DUMMYFUNCTION("IF(OR(C219=""AÇÃO"",C219=""BDR""),IF(CF219=0,""SEM DY"",IFERROR(ImportXML(CONCAT(""http://www.guiainvest.com.br/raiox/default.aspx?sigla="",$CR219),""//*[@id='lbPayoutAtual']""),""NC"")),"""")"),"")</f>
        <v/>
      </c>
      <c r="CH219" s="870" t="s">
        <v>123</v>
      </c>
      <c r="CI219" s="545"/>
      <c r="CJ219" s="871" t="str">
        <f>IFERROR(__xludf.DUMMYFUNCTION("IF(OR(C219=""AÇÃO"",C219=""BDR""),IFERROR(GOOGLEFINANCE(CONCAT(""BVMF:"",CR219), ""eps""),""NC""),"""")"),"")</f>
        <v/>
      </c>
      <c r="CK219" s="442"/>
      <c r="CL219" s="871" t="str">
        <f>IFERROR(__xludf.DUMMYFUNCTION("IF(NOT($BL$4),"""",IF($CR219="""","""",IF($BC219="""","""",IFERROR(query({op.normal!$B$5:$F308},""select Col5, toDate(Col2) where Col1 =  '""&amp;$CR219&amp;""' and Col4 &gt; 0 and ((Col3 is null) or (Col3 = 'C')) and Col2 &gt;= date '""&amp;TEXT(TODAY()-$AQ$5,""yyyy-mm-dd"&amp;""")&amp;""' order by Col2 desc limit 1 label toDate(Col2) ''"")))))"),"")</f>
        <v/>
      </c>
      <c r="CM219" s="872"/>
      <c r="CN219" s="883" t="s">
        <v>123</v>
      </c>
      <c r="CO219" s="874" t="s">
        <v>123</v>
      </c>
      <c r="CP219" s="766"/>
      <c r="CQ219" s="791"/>
      <c r="CR219" s="791"/>
      <c r="CT219" s="791" t="s">
        <v>123</v>
      </c>
      <c r="CU219" s="791" t="str">
        <f>IFERROR(__xludf.DUMMYFUNCTION("IF(CR219="""","""",IF(CT219=$C$4,1,GOOGLEFINANCE(CT219&amp;$C$4)))"),"")</f>
        <v/>
      </c>
    </row>
    <row r="220" ht="22.5" customHeight="1">
      <c r="A220" s="837">
        <v>212.0</v>
      </c>
      <c r="B220" s="838" t="s">
        <v>123</v>
      </c>
      <c r="C220" s="838" t="s">
        <v>123</v>
      </c>
      <c r="D220" s="839" t="s">
        <v>123</v>
      </c>
      <c r="E220" s="839" t="s">
        <v>123</v>
      </c>
      <c r="F220" s="839" t="s">
        <v>123</v>
      </c>
      <c r="H220" s="884"/>
      <c r="I220" s="838"/>
      <c r="J220" s="838"/>
      <c r="K220" s="838"/>
      <c r="L220" s="838"/>
      <c r="M220" s="838"/>
      <c r="N220" s="838"/>
      <c r="O220" s="838"/>
      <c r="P220" s="838"/>
      <c r="Q220" s="838"/>
      <c r="R220" s="838"/>
      <c r="S220" s="838"/>
      <c r="T220" s="838"/>
      <c r="U220" s="838"/>
      <c r="V220" s="838"/>
      <c r="W220" s="838"/>
      <c r="X220" s="838"/>
      <c r="Z220" s="875" t="str">
        <f>IFERROR(__xludf.DUMMYFUNCTION("IF($CR220="""","""",IFERROR(query({CarteirasAtivos},""select Col4 where Col4 is not null and Col1 = '""&amp;$CR220&amp;""' limit 1"")*CU220,""NC""))"),"")</f>
        <v/>
      </c>
      <c r="AA220" s="876" t="str">
        <f>IFERROR(__xludf.DUMMYFUNCTION("IF($CR220="""","""",IFERROR(query({CarteirasAtivos},""select Col6 where Col4 is not null and Col1 = '""&amp;$CR220&amp;""' limit 1""),""NC""))"),"")</f>
        <v/>
      </c>
      <c r="AB220" s="877"/>
      <c r="AC220" s="878" t="s">
        <v>123</v>
      </c>
      <c r="AD220" s="845" t="str">
        <f>IF($CR220="","",IFERROR(VLOOKUP($CR220,ativos.!$C$3:$R308,MATCH("cotacao",ativos.!$C$2:CY$2,0),FALSE)*$CU$5,"atualizar"))</f>
        <v/>
      </c>
      <c r="AE220" s="846" t="str">
        <f>IFERROR(__xludf.DUMMYFUNCTION("IF($CR220="""","""",IFERROR(AVERAGE(query({CarteirasAtivos;CarteirasAtivosEncerrados},""select Col5 where Col5 is not null and Col1 = '""&amp;$CR220&amp;""' and Col10='SIM'""))*CU220,""NC""))"),"")</f>
        <v/>
      </c>
      <c r="AF220" s="847" t="str">
        <f t="shared" si="1"/>
        <v/>
      </c>
      <c r="AG220" s="442"/>
      <c r="AH220" s="848" t="str">
        <f>IFERROR(__xludf.DUMMYFUNCTION("IF($CR220="""","""",IFERROR(GOOGLEFINANCE($CR220,""low52"")*CU220,""-""))"),"")</f>
        <v/>
      </c>
      <c r="AI220" s="848" t="str">
        <f>IFERROR(__xludf.DUMMYFUNCTION("IF($CR220="""","""",IFERROR(GOOGLEFINANCE($CR220,""high52"")*CU220,""-""))"),"")</f>
        <v/>
      </c>
      <c r="AJ220" s="849" t="s">
        <v>123</v>
      </c>
      <c r="AK220" s="850" t="str">
        <f>IFERROR(__xludf.DUMMYFUNCTION("IF($CR220="""","""",IFERROR(GOOGLEFINANCE($CR220,""changepct"")/100,""-""))"),"")</f>
        <v/>
      </c>
      <c r="AL220" s="851" t="str">
        <f>IFERROR(__xludf.DUMMYFUNCTION("IF($CR220="""","""",IFERROR(($AD220/(QUERY(GOOGLEFINANCE($CR220,""price"",TODAY()-7),""SELECT Col2 label Col2 ''"")*$CU220)-1),""-""))"),"")</f>
        <v/>
      </c>
      <c r="AM220" s="851" t="str">
        <f>IFERROR(__xludf.DUMMYFUNCTION("IF($CR220="""","""",IFERROR(($AD220/(QUERY(GOOGLEFINANCE($CR220,""price"",TODAY()-14),""SELECT Col2 label Col2 ''"")*$CU220)-1),""-""))"),"")</f>
        <v/>
      </c>
      <c r="AN220" s="851" t="str">
        <f>IFERROR(__xludf.DUMMYFUNCTION("IF($CR220="""","""",IFERROR(($AD220/(QUERY(GOOGLEFINANCE($CR220,""price"",TODAY()-28),""SELECT Col2 label Col2 ''"")*$CU220)-1),""-""))"),"")</f>
        <v/>
      </c>
      <c r="AO220" s="851" t="str">
        <f>IFERROR(__xludf.DUMMYFUNCTION("IF($CR220="""","""",IFERROR(($AD220/(QUERY(GOOGLEFINANCE($CR220,""price"",TODAY()-$AQ$5),""SELECT Col2 label Col2 ''"")*$CU220)-1),""-""))"),"")</f>
        <v/>
      </c>
      <c r="AP220" s="852" t="str">
        <f>IFERROR(__xludf.DUMMYFUNCTION("IF($CR220="""","""",IFERROR(SPARKLINE(query(GOOGLEFINANCE($CR220,""price"",TODAY()-$AQ$5,TODAY(),1),""select Col2 label Col2 ''""),IF($AP$7=""Gráfico de barras"",{""charttype"",""column"";""highcolor"",""red""},{""chartype"",""line""}))))"),"")</f>
        <v/>
      </c>
      <c r="AQ220" s="144"/>
      <c r="AR220" s="853"/>
      <c r="AS220" s="854" t="str">
        <f>IF($CR220="","",IF(NOT('alocação'!$D$1),"off",IFERROR(VLOOKUP(CR220,BalanceAtivos,3,0),"NC")))</f>
        <v/>
      </c>
      <c r="AT220" s="855" t="str">
        <f>IF($CR220="","",IF(NOT('alocação'!$D$1),"off",IFERROR(VLOOKUP($CR220,BalanceAtivos,4,0)*$CU$5,"NC")))</f>
        <v/>
      </c>
      <c r="AU220" s="856" t="str">
        <f>IF($CR220="","",IF(NOT('alocação'!$D$1),"off",IFERROR(VLOOKUP($CR220,BalanceAtivos,5,0),"-")))</f>
        <v/>
      </c>
      <c r="AV220" s="856" t="str">
        <f>IF($CR220="","",IF(NOT('alocação'!$D$1),"off",IFERROR(VLOOKUP($CR220,BalanceAtivos,6,0),"-")))</f>
        <v/>
      </c>
      <c r="AW220" s="857"/>
      <c r="AX220" s="858" t="str">
        <f>IF($CR220="","",IF($E220="","SP",IFERROR(VLOOKUP($CR220,AtivosDados,MATCH("pm_atual",portfolio.!$A$3:CY$3,0),0)*$CU$5,0)))</f>
        <v/>
      </c>
      <c r="AY220" s="859" t="str">
        <f t="shared" si="2"/>
        <v/>
      </c>
      <c r="AZ220" s="858" t="str">
        <f>IF($CR220="","",IF($E220="","SP",SUMIF(portfolio.!$A$4:$A308,$CR220,portfolio.!$O$4:$O308)*$CU$5))</f>
        <v/>
      </c>
      <c r="BA220" s="858" t="str">
        <f>IF($CR220="","",IF($E220="","SP",SUMIF(portfolio.!$A$4:$A308,$CR220,portfolio.!$AN$4:$AN308)*$CU$5))</f>
        <v/>
      </c>
      <c r="BB220" s="860" t="str">
        <f>IF($CR220="","",IF($E220="","-",IFERROR($BA220/'portfólio'!$DG$63,"")))</f>
        <v/>
      </c>
      <c r="BC220" s="861" t="str">
        <f>IF($CR220="","",IF($E220="","-",SUMIF(portfolio.!$A$4:$A308,$CR220,portfolio.!$J$4:$J308)))</f>
        <v/>
      </c>
      <c r="BD220" s="862" t="str">
        <f>IF($CR220="","",IF($E220="","SP",SUMIF(portfolio.!$A$4:$A308,$CR220,portfolio.!$AQ$4:$AQ308)*$CU$5))</f>
        <v/>
      </c>
      <c r="BE220" s="850" t="str">
        <f t="shared" si="3"/>
        <v/>
      </c>
      <c r="BF220" s="862" t="str">
        <f>IF($CR220="","",IF($E220="","-",SUMIF(portfolio.!$A$4:$A308,$CR220,portfolio.!$AX$4:$AX308)*$CU$5))</f>
        <v/>
      </c>
      <c r="BG220" s="545"/>
      <c r="BH220" s="879" t="s">
        <v>123</v>
      </c>
      <c r="BI220" s="880" t="s">
        <v>123</v>
      </c>
      <c r="BJ220" s="863" t="str">
        <f>IFERROR(__xludf.DUMMYFUNCTION("IF(NOT($BL$4),"""",IF($CR220="""","""",IFERROR(query({GOOGLEFINANCE($CR220,""price"",IF($BI220=""-"",TODAY()-($AQ$5+5),$BI220),TODAY()-1)},""Select max(Col2) where Col1 is not null label max(Col2) ''"")*CU220,""-"")))"),"")</f>
        <v/>
      </c>
      <c r="BK220" s="881" t="s">
        <v>123</v>
      </c>
      <c r="BL220" s="882" t="s">
        <v>123</v>
      </c>
      <c r="BM220" s="442"/>
      <c r="BN220" s="867" t="str">
        <f>IFERROR(__xludf.DUMMYFUNCTION("IF(CR220="""","""",IF(OR(C220=""AÇÃO"",C220=""BDR""),IFERROR(QUERY({fundamentus.!$A$3:$U308},$CX$67&amp;"" where Col1='""&amp;CR220&amp;""' limit 1"",0)),IF(C220=""FII"",IFERROR(QUERY({fundsexplorer.!$A$2:$Z308},$CY$67&amp;"" where Col1='""&amp;CR220&amp;""' limit 1"",0)),""""))"&amp;")"),"")</f>
        <v/>
      </c>
      <c r="BO220" s="867"/>
      <c r="BP220" s="867"/>
      <c r="BQ220" s="867"/>
      <c r="BR220" s="867"/>
      <c r="BS220" s="867"/>
      <c r="BT220" s="867"/>
      <c r="BU220" s="442"/>
      <c r="BV220" s="868" t="str">
        <f>IFERROR(__xludf.DUMMYFUNCTION("IF(OR(C220=""AÇÃO"",C220=""BDR""),IFERROR(GOOGLEFINANCE(CONCAT(""BVMF:"",CR220), ""marketcap"")/1000000,""NC""),"""")"),"")</f>
        <v/>
      </c>
      <c r="BW220" s="869" t="s">
        <v>123</v>
      </c>
      <c r="BX220" s="870" t="s">
        <v>123</v>
      </c>
      <c r="BY220" s="868" t="s">
        <v>123</v>
      </c>
      <c r="BZ220" s="870" t="s">
        <v>123</v>
      </c>
      <c r="CA220" s="868" t="s">
        <v>123</v>
      </c>
      <c r="CB220" s="868" t="s">
        <v>123</v>
      </c>
      <c r="CC220" s="868" t="s">
        <v>123</v>
      </c>
      <c r="CD220" s="868" t="str">
        <f>IFERROR(__xludf.DUMMYFUNCTION("IF(OR(C220=""AÇÃO"",C220=""BDR""),IFERROR(GOOGLEFINANCE(CONCAT(""BVMF:"",CR220), ""volumeavg"")/1000000,""NC""),"""")"),"")</f>
        <v/>
      </c>
      <c r="CE220" s="870" t="s">
        <v>123</v>
      </c>
      <c r="CF220" s="870" t="s">
        <v>123</v>
      </c>
      <c r="CG220" s="870" t="str">
        <f>IFERROR(__xludf.DUMMYFUNCTION("IF(OR(C220=""AÇÃO"",C220=""BDR""),IF(CF220=0,""SEM DY"",IFERROR(ImportXML(CONCAT(""http://www.guiainvest.com.br/raiox/default.aspx?sigla="",$CR220),""//*[@id='lbPayoutAtual']""),""NC"")),"""")"),"")</f>
        <v/>
      </c>
      <c r="CH220" s="870" t="s">
        <v>123</v>
      </c>
      <c r="CI220" s="545"/>
      <c r="CJ220" s="871" t="str">
        <f>IFERROR(__xludf.DUMMYFUNCTION("IF(OR(C220=""AÇÃO"",C220=""BDR""),IFERROR(GOOGLEFINANCE(CONCAT(""BVMF:"",CR220), ""eps""),""NC""),"""")"),"")</f>
        <v/>
      </c>
      <c r="CK220" s="442"/>
      <c r="CL220" s="871" t="str">
        <f>IFERROR(__xludf.DUMMYFUNCTION("IF(NOT($BL$4),"""",IF($CR220="""","""",IF($BC220="""","""",IFERROR(query({op.normal!$B$5:$F308},""select Col5, toDate(Col2) where Col1 =  '""&amp;$CR220&amp;""' and Col4 &gt; 0 and ((Col3 is null) or (Col3 = 'C')) and Col2 &gt;= date '""&amp;TEXT(TODAY()-$AQ$5,""yyyy-mm-dd"&amp;""")&amp;""' order by Col2 desc limit 1 label toDate(Col2) ''"")))))"),"")</f>
        <v/>
      </c>
      <c r="CM220" s="872"/>
      <c r="CN220" s="883" t="s">
        <v>123</v>
      </c>
      <c r="CO220" s="874" t="s">
        <v>123</v>
      </c>
      <c r="CP220" s="766"/>
      <c r="CQ220" s="791"/>
      <c r="CR220" s="791"/>
      <c r="CT220" s="791" t="s">
        <v>123</v>
      </c>
      <c r="CU220" s="791" t="str">
        <f>IFERROR(__xludf.DUMMYFUNCTION("IF(CR220="""","""",IF(CT220=$C$4,1,GOOGLEFINANCE(CT220&amp;$C$4)))"),"")</f>
        <v/>
      </c>
    </row>
    <row r="221" ht="22.5" customHeight="1">
      <c r="A221" s="837">
        <v>213.0</v>
      </c>
      <c r="B221" s="838" t="s">
        <v>123</v>
      </c>
      <c r="C221" s="838" t="s">
        <v>123</v>
      </c>
      <c r="D221" s="839" t="s">
        <v>123</v>
      </c>
      <c r="E221" s="839" t="s">
        <v>123</v>
      </c>
      <c r="F221" s="839" t="s">
        <v>123</v>
      </c>
      <c r="H221" s="884"/>
      <c r="I221" s="838"/>
      <c r="J221" s="838"/>
      <c r="K221" s="838"/>
      <c r="L221" s="838"/>
      <c r="M221" s="838"/>
      <c r="N221" s="838"/>
      <c r="O221" s="838"/>
      <c r="P221" s="838"/>
      <c r="Q221" s="838"/>
      <c r="R221" s="838"/>
      <c r="S221" s="838"/>
      <c r="T221" s="838"/>
      <c r="U221" s="838"/>
      <c r="V221" s="838"/>
      <c r="W221" s="838"/>
      <c r="X221" s="838"/>
      <c r="Z221" s="875" t="str">
        <f>IFERROR(__xludf.DUMMYFUNCTION("IF($CR221="""","""",IFERROR(query({CarteirasAtivos},""select Col4 where Col4 is not null and Col1 = '""&amp;$CR221&amp;""' limit 1"")*CU221,""NC""))"),"")</f>
        <v/>
      </c>
      <c r="AA221" s="876" t="str">
        <f>IFERROR(__xludf.DUMMYFUNCTION("IF($CR221="""","""",IFERROR(query({CarteirasAtivos},""select Col6 where Col4 is not null and Col1 = '""&amp;$CR221&amp;""' limit 1""),""NC""))"),"")</f>
        <v/>
      </c>
      <c r="AB221" s="877"/>
      <c r="AC221" s="878" t="s">
        <v>123</v>
      </c>
      <c r="AD221" s="845" t="str">
        <f>IF($CR221="","",IFERROR(VLOOKUP($CR221,ativos.!$C$3:$R308,MATCH("cotacao",ativos.!$C$2:CY$2,0),FALSE)*$CU$5,"atualizar"))</f>
        <v/>
      </c>
      <c r="AE221" s="846" t="str">
        <f>IFERROR(__xludf.DUMMYFUNCTION("IF($CR221="""","""",IFERROR(AVERAGE(query({CarteirasAtivos;CarteirasAtivosEncerrados},""select Col5 where Col5 is not null and Col1 = '""&amp;$CR221&amp;""' and Col10='SIM'""))*CU221,""NC""))"),"")</f>
        <v/>
      </c>
      <c r="AF221" s="847" t="str">
        <f t="shared" si="1"/>
        <v/>
      </c>
      <c r="AG221" s="442"/>
      <c r="AH221" s="848" t="str">
        <f>IFERROR(__xludf.DUMMYFUNCTION("IF($CR221="""","""",IFERROR(GOOGLEFINANCE($CR221,""low52"")*CU221,""-""))"),"")</f>
        <v/>
      </c>
      <c r="AI221" s="848" t="str">
        <f>IFERROR(__xludf.DUMMYFUNCTION("IF($CR221="""","""",IFERROR(GOOGLEFINANCE($CR221,""high52"")*CU221,""-""))"),"")</f>
        <v/>
      </c>
      <c r="AJ221" s="849" t="s">
        <v>123</v>
      </c>
      <c r="AK221" s="850" t="str">
        <f>IFERROR(__xludf.DUMMYFUNCTION("IF($CR221="""","""",IFERROR(GOOGLEFINANCE($CR221,""changepct"")/100,""-""))"),"")</f>
        <v/>
      </c>
      <c r="AL221" s="851" t="str">
        <f>IFERROR(__xludf.DUMMYFUNCTION("IF($CR221="""","""",IFERROR(($AD221/(QUERY(GOOGLEFINANCE($CR221,""price"",TODAY()-7),""SELECT Col2 label Col2 ''"")*$CU221)-1),""-""))"),"")</f>
        <v/>
      </c>
      <c r="AM221" s="851" t="str">
        <f>IFERROR(__xludf.DUMMYFUNCTION("IF($CR221="""","""",IFERROR(($AD221/(QUERY(GOOGLEFINANCE($CR221,""price"",TODAY()-14),""SELECT Col2 label Col2 ''"")*$CU221)-1),""-""))"),"")</f>
        <v/>
      </c>
      <c r="AN221" s="851" t="str">
        <f>IFERROR(__xludf.DUMMYFUNCTION("IF($CR221="""","""",IFERROR(($AD221/(QUERY(GOOGLEFINANCE($CR221,""price"",TODAY()-28),""SELECT Col2 label Col2 ''"")*$CU221)-1),""-""))"),"")</f>
        <v/>
      </c>
      <c r="AO221" s="851" t="str">
        <f>IFERROR(__xludf.DUMMYFUNCTION("IF($CR221="""","""",IFERROR(($AD221/(QUERY(GOOGLEFINANCE($CR221,""price"",TODAY()-$AQ$5),""SELECT Col2 label Col2 ''"")*$CU221)-1),""-""))"),"")</f>
        <v/>
      </c>
      <c r="AP221" s="852" t="str">
        <f>IFERROR(__xludf.DUMMYFUNCTION("IF($CR221="""","""",IFERROR(SPARKLINE(query(GOOGLEFINANCE($CR221,""price"",TODAY()-$AQ$5,TODAY(),1),""select Col2 label Col2 ''""),IF($AP$7=""Gráfico de barras"",{""charttype"",""column"";""highcolor"",""red""},{""chartype"",""line""}))))"),"")</f>
        <v/>
      </c>
      <c r="AQ221" s="144"/>
      <c r="AR221" s="853"/>
      <c r="AS221" s="854" t="str">
        <f>IF($CR221="","",IF(NOT('alocação'!$D$1),"off",IFERROR(VLOOKUP(CR221,BalanceAtivos,3,0),"NC")))</f>
        <v/>
      </c>
      <c r="AT221" s="855" t="str">
        <f>IF($CR221="","",IF(NOT('alocação'!$D$1),"off",IFERROR(VLOOKUP($CR221,BalanceAtivos,4,0)*$CU$5,"NC")))</f>
        <v/>
      </c>
      <c r="AU221" s="856" t="str">
        <f>IF($CR221="","",IF(NOT('alocação'!$D$1),"off",IFERROR(VLOOKUP($CR221,BalanceAtivos,5,0),"-")))</f>
        <v/>
      </c>
      <c r="AV221" s="856" t="str">
        <f>IF($CR221="","",IF(NOT('alocação'!$D$1),"off",IFERROR(VLOOKUP($CR221,BalanceAtivos,6,0),"-")))</f>
        <v/>
      </c>
      <c r="AW221" s="857"/>
      <c r="AX221" s="858" t="str">
        <f>IF($CR221="","",IF($E221="","SP",IFERROR(VLOOKUP($CR221,AtivosDados,MATCH("pm_atual",portfolio.!$A$3:CY$3,0),0)*$CU$5,0)))</f>
        <v/>
      </c>
      <c r="AY221" s="859" t="str">
        <f t="shared" si="2"/>
        <v/>
      </c>
      <c r="AZ221" s="858" t="str">
        <f>IF($CR221="","",IF($E221="","SP",SUMIF(portfolio.!$A$4:$A308,$CR221,portfolio.!$O$4:$O308)*$CU$5))</f>
        <v/>
      </c>
      <c r="BA221" s="858" t="str">
        <f>IF($CR221="","",IF($E221="","SP",SUMIF(portfolio.!$A$4:$A308,$CR221,portfolio.!$AN$4:$AN308)*$CU$5))</f>
        <v/>
      </c>
      <c r="BB221" s="860" t="str">
        <f>IF($CR221="","",IF($E221="","-",IFERROR($BA221/'portfólio'!$DG$63,"")))</f>
        <v/>
      </c>
      <c r="BC221" s="861" t="str">
        <f>IF($CR221="","",IF($E221="","-",SUMIF(portfolio.!$A$4:$A308,$CR221,portfolio.!$J$4:$J308)))</f>
        <v/>
      </c>
      <c r="BD221" s="862" t="str">
        <f>IF($CR221="","",IF($E221="","SP",SUMIF(portfolio.!$A$4:$A308,$CR221,portfolio.!$AQ$4:$AQ308)*$CU$5))</f>
        <v/>
      </c>
      <c r="BE221" s="850" t="str">
        <f t="shared" si="3"/>
        <v/>
      </c>
      <c r="BF221" s="862" t="str">
        <f>IF($CR221="","",IF($E221="","-",SUMIF(portfolio.!$A$4:$A308,$CR221,portfolio.!$AX$4:$AX308)*$CU$5))</f>
        <v/>
      </c>
      <c r="BG221" s="545"/>
      <c r="BH221" s="879" t="s">
        <v>123</v>
      </c>
      <c r="BI221" s="880" t="s">
        <v>123</v>
      </c>
      <c r="BJ221" s="863" t="str">
        <f>IFERROR(__xludf.DUMMYFUNCTION("IF(NOT($BL$4),"""",IF($CR221="""","""",IFERROR(query({GOOGLEFINANCE($CR221,""price"",IF($BI221=""-"",TODAY()-($AQ$5+5),$BI221),TODAY()-1)},""Select max(Col2) where Col1 is not null label max(Col2) ''"")*CU221,""-"")))"),"")</f>
        <v/>
      </c>
      <c r="BK221" s="881" t="s">
        <v>123</v>
      </c>
      <c r="BL221" s="882" t="s">
        <v>123</v>
      </c>
      <c r="BM221" s="442"/>
      <c r="BN221" s="867" t="str">
        <f>IFERROR(__xludf.DUMMYFUNCTION("IF(CR221="""","""",IF(OR(C221=""AÇÃO"",C221=""BDR""),IFERROR(QUERY({fundamentus.!$A$3:$U308},$CX$67&amp;"" where Col1='""&amp;CR221&amp;""' limit 1"",0)),IF(C221=""FII"",IFERROR(QUERY({fundsexplorer.!$A$2:$Z308},$CY$67&amp;"" where Col1='""&amp;CR221&amp;""' limit 1"",0)),""""))"&amp;")"),"")</f>
        <v/>
      </c>
      <c r="BO221" s="867"/>
      <c r="BP221" s="867"/>
      <c r="BQ221" s="867"/>
      <c r="BR221" s="867"/>
      <c r="BS221" s="867"/>
      <c r="BT221" s="867"/>
      <c r="BU221" s="442"/>
      <c r="BV221" s="868" t="str">
        <f>IFERROR(__xludf.DUMMYFUNCTION("IF(OR(C221=""AÇÃO"",C221=""BDR""),IFERROR(GOOGLEFINANCE(CONCAT(""BVMF:"",CR221), ""marketcap"")/1000000,""NC""),"""")"),"")</f>
        <v/>
      </c>
      <c r="BW221" s="869" t="s">
        <v>123</v>
      </c>
      <c r="BX221" s="870" t="s">
        <v>123</v>
      </c>
      <c r="BY221" s="868" t="s">
        <v>123</v>
      </c>
      <c r="BZ221" s="870" t="s">
        <v>123</v>
      </c>
      <c r="CA221" s="868" t="s">
        <v>123</v>
      </c>
      <c r="CB221" s="868" t="s">
        <v>123</v>
      </c>
      <c r="CC221" s="868" t="s">
        <v>123</v>
      </c>
      <c r="CD221" s="868" t="str">
        <f>IFERROR(__xludf.DUMMYFUNCTION("IF(OR(C221=""AÇÃO"",C221=""BDR""),IFERROR(GOOGLEFINANCE(CONCAT(""BVMF:"",CR221), ""volumeavg"")/1000000,""NC""),"""")"),"")</f>
        <v/>
      </c>
      <c r="CE221" s="870" t="s">
        <v>123</v>
      </c>
      <c r="CF221" s="870" t="s">
        <v>123</v>
      </c>
      <c r="CG221" s="870" t="str">
        <f>IFERROR(__xludf.DUMMYFUNCTION("IF(OR(C221=""AÇÃO"",C221=""BDR""),IF(CF221=0,""SEM DY"",IFERROR(ImportXML(CONCAT(""http://www.guiainvest.com.br/raiox/default.aspx?sigla="",$CR221),""//*[@id='lbPayoutAtual']""),""NC"")),"""")"),"")</f>
        <v/>
      </c>
      <c r="CH221" s="870" t="s">
        <v>123</v>
      </c>
      <c r="CI221" s="545"/>
      <c r="CJ221" s="871" t="str">
        <f>IFERROR(__xludf.DUMMYFUNCTION("IF(OR(C221=""AÇÃO"",C221=""BDR""),IFERROR(GOOGLEFINANCE(CONCAT(""BVMF:"",CR221), ""eps""),""NC""),"""")"),"")</f>
        <v/>
      </c>
      <c r="CK221" s="442"/>
      <c r="CL221" s="871" t="str">
        <f>IFERROR(__xludf.DUMMYFUNCTION("IF(NOT($BL$4),"""",IF($CR221="""","""",IF($BC221="""","""",IFERROR(query({op.normal!$B$5:$F308},""select Col5, toDate(Col2) where Col1 =  '""&amp;$CR221&amp;""' and Col4 &gt; 0 and ((Col3 is null) or (Col3 = 'C')) and Col2 &gt;= date '""&amp;TEXT(TODAY()-$AQ$5,""yyyy-mm-dd"&amp;""")&amp;""' order by Col2 desc limit 1 label toDate(Col2) ''"")))))"),"")</f>
        <v/>
      </c>
      <c r="CM221" s="872"/>
      <c r="CN221" s="883" t="s">
        <v>123</v>
      </c>
      <c r="CO221" s="874" t="s">
        <v>123</v>
      </c>
      <c r="CP221" s="766"/>
      <c r="CQ221" s="791"/>
      <c r="CR221" s="791"/>
      <c r="CT221" s="791" t="s">
        <v>123</v>
      </c>
      <c r="CU221" s="791" t="str">
        <f>IFERROR(__xludf.DUMMYFUNCTION("IF(CR221="""","""",IF(CT221=$C$4,1,GOOGLEFINANCE(CT221&amp;$C$4)))"),"")</f>
        <v/>
      </c>
    </row>
    <row r="222" ht="22.5" customHeight="1">
      <c r="A222" s="837">
        <v>214.0</v>
      </c>
      <c r="B222" s="838" t="s">
        <v>123</v>
      </c>
      <c r="C222" s="838" t="s">
        <v>123</v>
      </c>
      <c r="D222" s="839" t="s">
        <v>123</v>
      </c>
      <c r="E222" s="839" t="s">
        <v>123</v>
      </c>
      <c r="F222" s="839" t="s">
        <v>123</v>
      </c>
      <c r="H222" s="884"/>
      <c r="I222" s="838"/>
      <c r="J222" s="838"/>
      <c r="K222" s="838"/>
      <c r="L222" s="838"/>
      <c r="M222" s="838"/>
      <c r="N222" s="838"/>
      <c r="O222" s="838"/>
      <c r="P222" s="838"/>
      <c r="Q222" s="838"/>
      <c r="R222" s="838"/>
      <c r="S222" s="838"/>
      <c r="T222" s="838"/>
      <c r="U222" s="838"/>
      <c r="V222" s="838"/>
      <c r="W222" s="838"/>
      <c r="X222" s="838"/>
      <c r="Z222" s="875" t="str">
        <f>IFERROR(__xludf.DUMMYFUNCTION("IF($CR222="""","""",IFERROR(query({CarteirasAtivos},""select Col4 where Col4 is not null and Col1 = '""&amp;$CR222&amp;""' limit 1"")*CU222,""NC""))"),"")</f>
        <v/>
      </c>
      <c r="AA222" s="876" t="str">
        <f>IFERROR(__xludf.DUMMYFUNCTION("IF($CR222="""","""",IFERROR(query({CarteirasAtivos},""select Col6 where Col4 is not null and Col1 = '""&amp;$CR222&amp;""' limit 1""),""NC""))"),"")</f>
        <v/>
      </c>
      <c r="AB222" s="877"/>
      <c r="AC222" s="878" t="s">
        <v>123</v>
      </c>
      <c r="AD222" s="845" t="str">
        <f>IF($CR222="","",IFERROR(VLOOKUP($CR222,ativos.!$C$3:$R308,MATCH("cotacao",ativos.!$C$2:CY$2,0),FALSE)*$CU$5,"atualizar"))</f>
        <v/>
      </c>
      <c r="AE222" s="846" t="str">
        <f>IFERROR(__xludf.DUMMYFUNCTION("IF($CR222="""","""",IFERROR(AVERAGE(query({CarteirasAtivos;CarteirasAtivosEncerrados},""select Col5 where Col5 is not null and Col1 = '""&amp;$CR222&amp;""' and Col10='SIM'""))*CU222,""NC""))"),"")</f>
        <v/>
      </c>
      <c r="AF222" s="847" t="str">
        <f t="shared" si="1"/>
        <v/>
      </c>
      <c r="AG222" s="442"/>
      <c r="AH222" s="848" t="str">
        <f>IFERROR(__xludf.DUMMYFUNCTION("IF($CR222="""","""",IFERROR(GOOGLEFINANCE($CR222,""low52"")*CU222,""-""))"),"")</f>
        <v/>
      </c>
      <c r="AI222" s="848" t="str">
        <f>IFERROR(__xludf.DUMMYFUNCTION("IF($CR222="""","""",IFERROR(GOOGLEFINANCE($CR222,""high52"")*CU222,""-""))"),"")</f>
        <v/>
      </c>
      <c r="AJ222" s="849" t="s">
        <v>123</v>
      </c>
      <c r="AK222" s="850" t="str">
        <f>IFERROR(__xludf.DUMMYFUNCTION("IF($CR222="""","""",IFERROR(GOOGLEFINANCE($CR222,""changepct"")/100,""-""))"),"")</f>
        <v/>
      </c>
      <c r="AL222" s="851" t="str">
        <f>IFERROR(__xludf.DUMMYFUNCTION("IF($CR222="""","""",IFERROR(($AD222/(QUERY(GOOGLEFINANCE($CR222,""price"",TODAY()-7),""SELECT Col2 label Col2 ''"")*$CU222)-1),""-""))"),"")</f>
        <v/>
      </c>
      <c r="AM222" s="851" t="str">
        <f>IFERROR(__xludf.DUMMYFUNCTION("IF($CR222="""","""",IFERROR(($AD222/(QUERY(GOOGLEFINANCE($CR222,""price"",TODAY()-14),""SELECT Col2 label Col2 ''"")*$CU222)-1),""-""))"),"")</f>
        <v/>
      </c>
      <c r="AN222" s="851" t="str">
        <f>IFERROR(__xludf.DUMMYFUNCTION("IF($CR222="""","""",IFERROR(($AD222/(QUERY(GOOGLEFINANCE($CR222,""price"",TODAY()-28),""SELECT Col2 label Col2 ''"")*$CU222)-1),""-""))"),"")</f>
        <v/>
      </c>
      <c r="AO222" s="851" t="str">
        <f>IFERROR(__xludf.DUMMYFUNCTION("IF($CR222="""","""",IFERROR(($AD222/(QUERY(GOOGLEFINANCE($CR222,""price"",TODAY()-$AQ$5),""SELECT Col2 label Col2 ''"")*$CU222)-1),""-""))"),"")</f>
        <v/>
      </c>
      <c r="AP222" s="852" t="str">
        <f>IFERROR(__xludf.DUMMYFUNCTION("IF($CR222="""","""",IFERROR(SPARKLINE(query(GOOGLEFINANCE($CR222,""price"",TODAY()-$AQ$5,TODAY(),1),""select Col2 label Col2 ''""),IF($AP$7=""Gráfico de barras"",{""charttype"",""column"";""highcolor"",""red""},{""chartype"",""line""}))))"),"")</f>
        <v/>
      </c>
      <c r="AQ222" s="144"/>
      <c r="AR222" s="853"/>
      <c r="AS222" s="854" t="str">
        <f>IF($CR222="","",IF(NOT('alocação'!$D$1),"off",IFERROR(VLOOKUP(CR222,BalanceAtivos,3,0),"NC")))</f>
        <v/>
      </c>
      <c r="AT222" s="855" t="str">
        <f>IF($CR222="","",IF(NOT('alocação'!$D$1),"off",IFERROR(VLOOKUP($CR222,BalanceAtivos,4,0)*$CU$5,"NC")))</f>
        <v/>
      </c>
      <c r="AU222" s="856" t="str">
        <f>IF($CR222="","",IF(NOT('alocação'!$D$1),"off",IFERROR(VLOOKUP($CR222,BalanceAtivos,5,0),"-")))</f>
        <v/>
      </c>
      <c r="AV222" s="856" t="str">
        <f>IF($CR222="","",IF(NOT('alocação'!$D$1),"off",IFERROR(VLOOKUP($CR222,BalanceAtivos,6,0),"-")))</f>
        <v/>
      </c>
      <c r="AW222" s="857"/>
      <c r="AX222" s="858" t="str">
        <f>IF($CR222="","",IF($E222="","SP",IFERROR(VLOOKUP($CR222,AtivosDados,MATCH("pm_atual",portfolio.!$A$3:CY$3,0),0)*$CU$5,0)))</f>
        <v/>
      </c>
      <c r="AY222" s="859" t="str">
        <f t="shared" si="2"/>
        <v/>
      </c>
      <c r="AZ222" s="858" t="str">
        <f>IF($CR222="","",IF($E222="","SP",SUMIF(portfolio.!$A$4:$A308,$CR222,portfolio.!$O$4:$O308)*$CU$5))</f>
        <v/>
      </c>
      <c r="BA222" s="858" t="str">
        <f>IF($CR222="","",IF($E222="","SP",SUMIF(portfolio.!$A$4:$A308,$CR222,portfolio.!$AN$4:$AN308)*$CU$5))</f>
        <v/>
      </c>
      <c r="BB222" s="860" t="str">
        <f>IF($CR222="","",IF($E222="","-",IFERROR($BA222/'portfólio'!$DG$63,"")))</f>
        <v/>
      </c>
      <c r="BC222" s="861" t="str">
        <f>IF($CR222="","",IF($E222="","-",SUMIF(portfolio.!$A$4:$A308,$CR222,portfolio.!$J$4:$J308)))</f>
        <v/>
      </c>
      <c r="BD222" s="862" t="str">
        <f>IF($CR222="","",IF($E222="","SP",SUMIF(portfolio.!$A$4:$A308,$CR222,portfolio.!$AQ$4:$AQ308)*$CU$5))</f>
        <v/>
      </c>
      <c r="BE222" s="850" t="str">
        <f t="shared" si="3"/>
        <v/>
      </c>
      <c r="BF222" s="862" t="str">
        <f>IF($CR222="","",IF($E222="","-",SUMIF(portfolio.!$A$4:$A308,$CR222,portfolio.!$AX$4:$AX308)*$CU$5))</f>
        <v/>
      </c>
      <c r="BG222" s="545"/>
      <c r="BH222" s="879" t="s">
        <v>123</v>
      </c>
      <c r="BI222" s="880" t="s">
        <v>123</v>
      </c>
      <c r="BJ222" s="863" t="str">
        <f>IFERROR(__xludf.DUMMYFUNCTION("IF(NOT($BL$4),"""",IF($CR222="""","""",IFERROR(query({GOOGLEFINANCE($CR222,""price"",IF($BI222=""-"",TODAY()-($AQ$5+5),$BI222),TODAY()-1)},""Select max(Col2) where Col1 is not null label max(Col2) ''"")*CU222,""-"")))"),"")</f>
        <v/>
      </c>
      <c r="BK222" s="881" t="s">
        <v>123</v>
      </c>
      <c r="BL222" s="882" t="s">
        <v>123</v>
      </c>
      <c r="BM222" s="442"/>
      <c r="BN222" s="867" t="str">
        <f>IFERROR(__xludf.DUMMYFUNCTION("IF(CR222="""","""",IF(OR(C222=""AÇÃO"",C222=""BDR""),IFERROR(QUERY({fundamentus.!$A$3:$U308},$CX$67&amp;"" where Col1='""&amp;CR222&amp;""' limit 1"",0)),IF(C222=""FII"",IFERROR(QUERY({fundsexplorer.!$A$2:$Z308},$CY$67&amp;"" where Col1='""&amp;CR222&amp;""' limit 1"",0)),""""))"&amp;")"),"")</f>
        <v/>
      </c>
      <c r="BO222" s="867"/>
      <c r="BP222" s="867"/>
      <c r="BQ222" s="867"/>
      <c r="BR222" s="867"/>
      <c r="BS222" s="867"/>
      <c r="BT222" s="867"/>
      <c r="BU222" s="442"/>
      <c r="BV222" s="868" t="str">
        <f>IFERROR(__xludf.DUMMYFUNCTION("IF(OR(C222=""AÇÃO"",C222=""BDR""),IFERROR(GOOGLEFINANCE(CONCAT(""BVMF:"",CR222), ""marketcap"")/1000000,""NC""),"""")"),"")</f>
        <v/>
      </c>
      <c r="BW222" s="869" t="s">
        <v>123</v>
      </c>
      <c r="BX222" s="870" t="s">
        <v>123</v>
      </c>
      <c r="BY222" s="868" t="s">
        <v>123</v>
      </c>
      <c r="BZ222" s="870" t="s">
        <v>123</v>
      </c>
      <c r="CA222" s="868" t="s">
        <v>123</v>
      </c>
      <c r="CB222" s="868" t="s">
        <v>123</v>
      </c>
      <c r="CC222" s="868" t="s">
        <v>123</v>
      </c>
      <c r="CD222" s="868" t="str">
        <f>IFERROR(__xludf.DUMMYFUNCTION("IF(OR(C222=""AÇÃO"",C222=""BDR""),IFERROR(GOOGLEFINANCE(CONCAT(""BVMF:"",CR222), ""volumeavg"")/1000000,""NC""),"""")"),"")</f>
        <v/>
      </c>
      <c r="CE222" s="870" t="s">
        <v>123</v>
      </c>
      <c r="CF222" s="870" t="s">
        <v>123</v>
      </c>
      <c r="CG222" s="870" t="str">
        <f>IFERROR(__xludf.DUMMYFUNCTION("IF(OR(C222=""AÇÃO"",C222=""BDR""),IF(CF222=0,""SEM DY"",IFERROR(ImportXML(CONCAT(""http://www.guiainvest.com.br/raiox/default.aspx?sigla="",$CR222),""//*[@id='lbPayoutAtual']""),""NC"")),"""")"),"")</f>
        <v/>
      </c>
      <c r="CH222" s="870" t="s">
        <v>123</v>
      </c>
      <c r="CI222" s="545"/>
      <c r="CJ222" s="871" t="str">
        <f>IFERROR(__xludf.DUMMYFUNCTION("IF(OR(C222=""AÇÃO"",C222=""BDR""),IFERROR(GOOGLEFINANCE(CONCAT(""BVMF:"",CR222), ""eps""),""NC""),"""")"),"")</f>
        <v/>
      </c>
      <c r="CK222" s="442"/>
      <c r="CL222" s="871" t="str">
        <f>IFERROR(__xludf.DUMMYFUNCTION("IF(NOT($BL$4),"""",IF($CR222="""","""",IF($BC222="""","""",IFERROR(query({op.normal!$B$5:$F308},""select Col5, toDate(Col2) where Col1 =  '""&amp;$CR222&amp;""' and Col4 &gt; 0 and ((Col3 is null) or (Col3 = 'C')) and Col2 &gt;= date '""&amp;TEXT(TODAY()-$AQ$5,""yyyy-mm-dd"&amp;""")&amp;""' order by Col2 desc limit 1 label toDate(Col2) ''"")))))"),"")</f>
        <v/>
      </c>
      <c r="CM222" s="872"/>
      <c r="CN222" s="883" t="s">
        <v>123</v>
      </c>
      <c r="CO222" s="874" t="s">
        <v>123</v>
      </c>
      <c r="CP222" s="766"/>
      <c r="CQ222" s="791"/>
      <c r="CR222" s="791"/>
      <c r="CT222" s="791" t="s">
        <v>123</v>
      </c>
      <c r="CU222" s="791" t="str">
        <f>IFERROR(__xludf.DUMMYFUNCTION("IF(CR222="""","""",IF(CT222=$C$4,1,GOOGLEFINANCE(CT222&amp;$C$4)))"),"")</f>
        <v/>
      </c>
    </row>
    <row r="223" ht="22.5" customHeight="1">
      <c r="A223" s="837">
        <v>215.0</v>
      </c>
      <c r="B223" s="838" t="s">
        <v>123</v>
      </c>
      <c r="C223" s="838" t="s">
        <v>123</v>
      </c>
      <c r="D223" s="839" t="s">
        <v>123</v>
      </c>
      <c r="E223" s="839" t="s">
        <v>123</v>
      </c>
      <c r="F223" s="839" t="s">
        <v>123</v>
      </c>
      <c r="H223" s="884"/>
      <c r="I223" s="838"/>
      <c r="J223" s="838"/>
      <c r="K223" s="838"/>
      <c r="L223" s="838"/>
      <c r="M223" s="838"/>
      <c r="N223" s="838"/>
      <c r="O223" s="838"/>
      <c r="P223" s="838"/>
      <c r="Q223" s="838"/>
      <c r="R223" s="838"/>
      <c r="S223" s="838"/>
      <c r="T223" s="838"/>
      <c r="U223" s="838"/>
      <c r="V223" s="838"/>
      <c r="W223" s="838"/>
      <c r="X223" s="838"/>
      <c r="Z223" s="875" t="str">
        <f>IFERROR(__xludf.DUMMYFUNCTION("IF($CR223="""","""",IFERROR(query({CarteirasAtivos},""select Col4 where Col4 is not null and Col1 = '""&amp;$CR223&amp;""' limit 1"")*CU223,""NC""))"),"")</f>
        <v/>
      </c>
      <c r="AA223" s="876" t="str">
        <f>IFERROR(__xludf.DUMMYFUNCTION("IF($CR223="""","""",IFERROR(query({CarteirasAtivos},""select Col6 where Col4 is not null and Col1 = '""&amp;$CR223&amp;""' limit 1""),""NC""))"),"")</f>
        <v/>
      </c>
      <c r="AB223" s="877"/>
      <c r="AC223" s="878" t="s">
        <v>123</v>
      </c>
      <c r="AD223" s="845" t="str">
        <f>IF($CR223="","",IFERROR(VLOOKUP($CR223,ativos.!$C$3:$R308,MATCH("cotacao",ativos.!$C$2:CY$2,0),FALSE)*$CU$5,"atualizar"))</f>
        <v/>
      </c>
      <c r="AE223" s="846" t="str">
        <f>IFERROR(__xludf.DUMMYFUNCTION("IF($CR223="""","""",IFERROR(AVERAGE(query({CarteirasAtivos;CarteirasAtivosEncerrados},""select Col5 where Col5 is not null and Col1 = '""&amp;$CR223&amp;""' and Col10='SIM'""))*CU223,""NC""))"),"")</f>
        <v/>
      </c>
      <c r="AF223" s="847" t="str">
        <f t="shared" si="1"/>
        <v/>
      </c>
      <c r="AG223" s="442"/>
      <c r="AH223" s="848" t="str">
        <f>IFERROR(__xludf.DUMMYFUNCTION("IF($CR223="""","""",IFERROR(GOOGLEFINANCE($CR223,""low52"")*CU223,""-""))"),"")</f>
        <v/>
      </c>
      <c r="AI223" s="848" t="str">
        <f>IFERROR(__xludf.DUMMYFUNCTION("IF($CR223="""","""",IFERROR(GOOGLEFINANCE($CR223,""high52"")*CU223,""-""))"),"")</f>
        <v/>
      </c>
      <c r="AJ223" s="849" t="s">
        <v>123</v>
      </c>
      <c r="AK223" s="850" t="str">
        <f>IFERROR(__xludf.DUMMYFUNCTION("IF($CR223="""","""",IFERROR(GOOGLEFINANCE($CR223,""changepct"")/100,""-""))"),"")</f>
        <v/>
      </c>
      <c r="AL223" s="851" t="str">
        <f>IFERROR(__xludf.DUMMYFUNCTION("IF($CR223="""","""",IFERROR(($AD223/(QUERY(GOOGLEFINANCE($CR223,""price"",TODAY()-7),""SELECT Col2 label Col2 ''"")*$CU223)-1),""-""))"),"")</f>
        <v/>
      </c>
      <c r="AM223" s="851" t="str">
        <f>IFERROR(__xludf.DUMMYFUNCTION("IF($CR223="""","""",IFERROR(($AD223/(QUERY(GOOGLEFINANCE($CR223,""price"",TODAY()-14),""SELECT Col2 label Col2 ''"")*$CU223)-1),""-""))"),"")</f>
        <v/>
      </c>
      <c r="AN223" s="851" t="str">
        <f>IFERROR(__xludf.DUMMYFUNCTION("IF($CR223="""","""",IFERROR(($AD223/(QUERY(GOOGLEFINANCE($CR223,""price"",TODAY()-28),""SELECT Col2 label Col2 ''"")*$CU223)-1),""-""))"),"")</f>
        <v/>
      </c>
      <c r="AO223" s="851" t="str">
        <f>IFERROR(__xludf.DUMMYFUNCTION("IF($CR223="""","""",IFERROR(($AD223/(QUERY(GOOGLEFINANCE($CR223,""price"",TODAY()-$AQ$5),""SELECT Col2 label Col2 ''"")*$CU223)-1),""-""))"),"")</f>
        <v/>
      </c>
      <c r="AP223" s="852" t="str">
        <f>IFERROR(__xludf.DUMMYFUNCTION("IF($CR223="""","""",IFERROR(SPARKLINE(query(GOOGLEFINANCE($CR223,""price"",TODAY()-$AQ$5,TODAY(),1),""select Col2 label Col2 ''""),IF($AP$7=""Gráfico de barras"",{""charttype"",""column"";""highcolor"",""red""},{""chartype"",""line""}))))"),"")</f>
        <v/>
      </c>
      <c r="AQ223" s="144"/>
      <c r="AR223" s="853"/>
      <c r="AS223" s="854" t="str">
        <f>IF($CR223="","",IF(NOT('alocação'!$D$1),"off",IFERROR(VLOOKUP(CR223,BalanceAtivos,3,0),"NC")))</f>
        <v/>
      </c>
      <c r="AT223" s="855" t="str">
        <f>IF($CR223="","",IF(NOT('alocação'!$D$1),"off",IFERROR(VLOOKUP($CR223,BalanceAtivos,4,0)*$CU$5,"NC")))</f>
        <v/>
      </c>
      <c r="AU223" s="856" t="str">
        <f>IF($CR223="","",IF(NOT('alocação'!$D$1),"off",IFERROR(VLOOKUP($CR223,BalanceAtivos,5,0),"-")))</f>
        <v/>
      </c>
      <c r="AV223" s="856" t="str">
        <f>IF($CR223="","",IF(NOT('alocação'!$D$1),"off",IFERROR(VLOOKUP($CR223,BalanceAtivos,6,0),"-")))</f>
        <v/>
      </c>
      <c r="AW223" s="857"/>
      <c r="AX223" s="858" t="str">
        <f>IF($CR223="","",IF($E223="","SP",IFERROR(VLOOKUP($CR223,AtivosDados,MATCH("pm_atual",portfolio.!$A$3:CY$3,0),0)*$CU$5,0)))</f>
        <v/>
      </c>
      <c r="AY223" s="859" t="str">
        <f t="shared" si="2"/>
        <v/>
      </c>
      <c r="AZ223" s="858" t="str">
        <f>IF($CR223="","",IF($E223="","SP",SUMIF(portfolio.!$A$4:$A308,$CR223,portfolio.!$O$4:$O308)*$CU$5))</f>
        <v/>
      </c>
      <c r="BA223" s="858" t="str">
        <f>IF($CR223="","",IF($E223="","SP",SUMIF(portfolio.!$A$4:$A308,$CR223,portfolio.!$AN$4:$AN308)*$CU$5))</f>
        <v/>
      </c>
      <c r="BB223" s="860" t="str">
        <f>IF($CR223="","",IF($E223="","-",IFERROR($BA223/'portfólio'!$DG$63,"")))</f>
        <v/>
      </c>
      <c r="BC223" s="861" t="str">
        <f>IF($CR223="","",IF($E223="","-",SUMIF(portfolio.!$A$4:$A308,$CR223,portfolio.!$J$4:$J308)))</f>
        <v/>
      </c>
      <c r="BD223" s="862" t="str">
        <f>IF($CR223="","",IF($E223="","SP",SUMIF(portfolio.!$A$4:$A308,$CR223,portfolio.!$AQ$4:$AQ308)*$CU$5))</f>
        <v/>
      </c>
      <c r="BE223" s="850" t="str">
        <f t="shared" si="3"/>
        <v/>
      </c>
      <c r="BF223" s="862" t="str">
        <f>IF($CR223="","",IF($E223="","-",SUMIF(portfolio.!$A$4:$A308,$CR223,portfolio.!$AX$4:$AX308)*$CU$5))</f>
        <v/>
      </c>
      <c r="BG223" s="545"/>
      <c r="BH223" s="879" t="s">
        <v>123</v>
      </c>
      <c r="BI223" s="880" t="s">
        <v>123</v>
      </c>
      <c r="BJ223" s="863" t="str">
        <f>IFERROR(__xludf.DUMMYFUNCTION("IF(NOT($BL$4),"""",IF($CR223="""","""",IFERROR(query({GOOGLEFINANCE($CR223,""price"",IF($BI223=""-"",TODAY()-($AQ$5+5),$BI223),TODAY()-1)},""Select max(Col2) where Col1 is not null label max(Col2) ''"")*CU223,""-"")))"),"")</f>
        <v/>
      </c>
      <c r="BK223" s="881" t="s">
        <v>123</v>
      </c>
      <c r="BL223" s="882" t="s">
        <v>123</v>
      </c>
      <c r="BM223" s="442"/>
      <c r="BN223" s="867" t="str">
        <f>IFERROR(__xludf.DUMMYFUNCTION("IF(CR223="""","""",IF(OR(C223=""AÇÃO"",C223=""BDR""),IFERROR(QUERY({fundamentus.!$A$3:$U308},$CX$67&amp;"" where Col1='""&amp;CR223&amp;""' limit 1"",0)),IF(C223=""FII"",IFERROR(QUERY({fundsexplorer.!$A$2:$Z308},$CY$67&amp;"" where Col1='""&amp;CR223&amp;""' limit 1"",0)),""""))"&amp;")"),"")</f>
        <v/>
      </c>
      <c r="BO223" s="867"/>
      <c r="BP223" s="867"/>
      <c r="BQ223" s="867"/>
      <c r="BR223" s="867"/>
      <c r="BS223" s="867"/>
      <c r="BT223" s="867"/>
      <c r="BU223" s="442"/>
      <c r="BV223" s="868" t="str">
        <f>IFERROR(__xludf.DUMMYFUNCTION("IF(OR(C223=""AÇÃO"",C223=""BDR""),IFERROR(GOOGLEFINANCE(CONCAT(""BVMF:"",CR223), ""marketcap"")/1000000,""NC""),"""")"),"")</f>
        <v/>
      </c>
      <c r="BW223" s="869" t="s">
        <v>123</v>
      </c>
      <c r="BX223" s="870" t="s">
        <v>123</v>
      </c>
      <c r="BY223" s="868" t="s">
        <v>123</v>
      </c>
      <c r="BZ223" s="870" t="s">
        <v>123</v>
      </c>
      <c r="CA223" s="868" t="s">
        <v>123</v>
      </c>
      <c r="CB223" s="868" t="s">
        <v>123</v>
      </c>
      <c r="CC223" s="868" t="s">
        <v>123</v>
      </c>
      <c r="CD223" s="868" t="str">
        <f>IFERROR(__xludf.DUMMYFUNCTION("IF(OR(C223=""AÇÃO"",C223=""BDR""),IFERROR(GOOGLEFINANCE(CONCAT(""BVMF:"",CR223), ""volumeavg"")/1000000,""NC""),"""")"),"")</f>
        <v/>
      </c>
      <c r="CE223" s="870" t="s">
        <v>123</v>
      </c>
      <c r="CF223" s="870" t="s">
        <v>123</v>
      </c>
      <c r="CG223" s="870" t="str">
        <f>IFERROR(__xludf.DUMMYFUNCTION("IF(OR(C223=""AÇÃO"",C223=""BDR""),IF(CF223=0,""SEM DY"",IFERROR(ImportXML(CONCAT(""http://www.guiainvest.com.br/raiox/default.aspx?sigla="",$CR223),""//*[@id='lbPayoutAtual']""),""NC"")),"""")"),"")</f>
        <v/>
      </c>
      <c r="CH223" s="870" t="s">
        <v>123</v>
      </c>
      <c r="CI223" s="545"/>
      <c r="CJ223" s="871" t="str">
        <f>IFERROR(__xludf.DUMMYFUNCTION("IF(OR(C223=""AÇÃO"",C223=""BDR""),IFERROR(GOOGLEFINANCE(CONCAT(""BVMF:"",CR223), ""eps""),""NC""),"""")"),"")</f>
        <v/>
      </c>
      <c r="CK223" s="442"/>
      <c r="CL223" s="871" t="str">
        <f>IFERROR(__xludf.DUMMYFUNCTION("IF(NOT($BL$4),"""",IF($CR223="""","""",IF($BC223="""","""",IFERROR(query({op.normal!$B$5:$F308},""select Col5, toDate(Col2) where Col1 =  '""&amp;$CR223&amp;""' and Col4 &gt; 0 and ((Col3 is null) or (Col3 = 'C')) and Col2 &gt;= date '""&amp;TEXT(TODAY()-$AQ$5,""yyyy-mm-dd"&amp;""")&amp;""' order by Col2 desc limit 1 label toDate(Col2) ''"")))))"),"")</f>
        <v/>
      </c>
      <c r="CM223" s="872"/>
      <c r="CN223" s="883" t="s">
        <v>123</v>
      </c>
      <c r="CO223" s="874" t="s">
        <v>123</v>
      </c>
      <c r="CP223" s="766"/>
      <c r="CQ223" s="791"/>
      <c r="CR223" s="791"/>
      <c r="CT223" s="791" t="s">
        <v>123</v>
      </c>
      <c r="CU223" s="791" t="str">
        <f>IFERROR(__xludf.DUMMYFUNCTION("IF(CR223="""","""",IF(CT223=$C$4,1,GOOGLEFINANCE(CT223&amp;$C$4)))"),"")</f>
        <v/>
      </c>
    </row>
    <row r="224" ht="22.5" customHeight="1">
      <c r="A224" s="837">
        <v>216.0</v>
      </c>
      <c r="B224" s="838" t="s">
        <v>123</v>
      </c>
      <c r="C224" s="838" t="s">
        <v>123</v>
      </c>
      <c r="D224" s="839" t="s">
        <v>123</v>
      </c>
      <c r="E224" s="839" t="s">
        <v>123</v>
      </c>
      <c r="F224" s="839" t="s">
        <v>123</v>
      </c>
      <c r="H224" s="884"/>
      <c r="I224" s="838"/>
      <c r="J224" s="838"/>
      <c r="K224" s="838"/>
      <c r="L224" s="838"/>
      <c r="M224" s="838"/>
      <c r="N224" s="838"/>
      <c r="O224" s="838"/>
      <c r="P224" s="838"/>
      <c r="Q224" s="838"/>
      <c r="R224" s="838"/>
      <c r="S224" s="838"/>
      <c r="T224" s="838"/>
      <c r="U224" s="838"/>
      <c r="V224" s="838"/>
      <c r="W224" s="838"/>
      <c r="X224" s="838"/>
      <c r="Z224" s="875" t="str">
        <f>IFERROR(__xludf.DUMMYFUNCTION("IF($CR224="""","""",IFERROR(query({CarteirasAtivos},""select Col4 where Col4 is not null and Col1 = '""&amp;$CR224&amp;""' limit 1"")*CU224,""NC""))"),"")</f>
        <v/>
      </c>
      <c r="AA224" s="876" t="str">
        <f>IFERROR(__xludf.DUMMYFUNCTION("IF($CR224="""","""",IFERROR(query({CarteirasAtivos},""select Col6 where Col4 is not null and Col1 = '""&amp;$CR224&amp;""' limit 1""),""NC""))"),"")</f>
        <v/>
      </c>
      <c r="AB224" s="877"/>
      <c r="AC224" s="878" t="s">
        <v>123</v>
      </c>
      <c r="AD224" s="845" t="str">
        <f>IF($CR224="","",IFERROR(VLOOKUP($CR224,ativos.!$C$3:$R308,MATCH("cotacao",ativos.!$C$2:CY$2,0),FALSE)*$CU$5,"atualizar"))</f>
        <v/>
      </c>
      <c r="AE224" s="846" t="str">
        <f>IFERROR(__xludf.DUMMYFUNCTION("IF($CR224="""","""",IFERROR(AVERAGE(query({CarteirasAtivos;CarteirasAtivosEncerrados},""select Col5 where Col5 is not null and Col1 = '""&amp;$CR224&amp;""' and Col10='SIM'""))*CU224,""NC""))"),"")</f>
        <v/>
      </c>
      <c r="AF224" s="847" t="str">
        <f t="shared" si="1"/>
        <v/>
      </c>
      <c r="AG224" s="442"/>
      <c r="AH224" s="848" t="str">
        <f>IFERROR(__xludf.DUMMYFUNCTION("IF($CR224="""","""",IFERROR(GOOGLEFINANCE($CR224,""low52"")*CU224,""-""))"),"")</f>
        <v/>
      </c>
      <c r="AI224" s="848" t="str">
        <f>IFERROR(__xludf.DUMMYFUNCTION("IF($CR224="""","""",IFERROR(GOOGLEFINANCE($CR224,""high52"")*CU224,""-""))"),"")</f>
        <v/>
      </c>
      <c r="AJ224" s="849" t="s">
        <v>123</v>
      </c>
      <c r="AK224" s="850" t="str">
        <f>IFERROR(__xludf.DUMMYFUNCTION("IF($CR224="""","""",IFERROR(GOOGLEFINANCE($CR224,""changepct"")/100,""-""))"),"")</f>
        <v/>
      </c>
      <c r="AL224" s="851" t="str">
        <f>IFERROR(__xludf.DUMMYFUNCTION("IF($CR224="""","""",IFERROR(($AD224/(QUERY(GOOGLEFINANCE($CR224,""price"",TODAY()-7),""SELECT Col2 label Col2 ''"")*$CU224)-1),""-""))"),"")</f>
        <v/>
      </c>
      <c r="AM224" s="851" t="str">
        <f>IFERROR(__xludf.DUMMYFUNCTION("IF($CR224="""","""",IFERROR(($AD224/(QUERY(GOOGLEFINANCE($CR224,""price"",TODAY()-14),""SELECT Col2 label Col2 ''"")*$CU224)-1),""-""))"),"")</f>
        <v/>
      </c>
      <c r="AN224" s="851" t="str">
        <f>IFERROR(__xludf.DUMMYFUNCTION("IF($CR224="""","""",IFERROR(($AD224/(QUERY(GOOGLEFINANCE($CR224,""price"",TODAY()-28),""SELECT Col2 label Col2 ''"")*$CU224)-1),""-""))"),"")</f>
        <v/>
      </c>
      <c r="AO224" s="851" t="str">
        <f>IFERROR(__xludf.DUMMYFUNCTION("IF($CR224="""","""",IFERROR(($AD224/(QUERY(GOOGLEFINANCE($CR224,""price"",TODAY()-$AQ$5),""SELECT Col2 label Col2 ''"")*$CU224)-1),""-""))"),"")</f>
        <v/>
      </c>
      <c r="AP224" s="852" t="str">
        <f>IFERROR(__xludf.DUMMYFUNCTION("IF($CR224="""","""",IFERROR(SPARKLINE(query(GOOGLEFINANCE($CR224,""price"",TODAY()-$AQ$5,TODAY(),1),""select Col2 label Col2 ''""),IF($AP$7=""Gráfico de barras"",{""charttype"",""column"";""highcolor"",""red""},{""chartype"",""line""}))))"),"")</f>
        <v/>
      </c>
      <c r="AQ224" s="144"/>
      <c r="AR224" s="853"/>
      <c r="AS224" s="854" t="str">
        <f>IF($CR224="","",IF(NOT('alocação'!$D$1),"off",IFERROR(VLOOKUP(CR224,BalanceAtivos,3,0),"NC")))</f>
        <v/>
      </c>
      <c r="AT224" s="855" t="str">
        <f>IF($CR224="","",IF(NOT('alocação'!$D$1),"off",IFERROR(VLOOKUP($CR224,BalanceAtivos,4,0)*$CU$5,"NC")))</f>
        <v/>
      </c>
      <c r="AU224" s="856" t="str">
        <f>IF($CR224="","",IF(NOT('alocação'!$D$1),"off",IFERROR(VLOOKUP($CR224,BalanceAtivos,5,0),"-")))</f>
        <v/>
      </c>
      <c r="AV224" s="856" t="str">
        <f>IF($CR224="","",IF(NOT('alocação'!$D$1),"off",IFERROR(VLOOKUP($CR224,BalanceAtivos,6,0),"-")))</f>
        <v/>
      </c>
      <c r="AW224" s="857"/>
      <c r="AX224" s="858" t="str">
        <f>IF($CR224="","",IF($E224="","SP",IFERROR(VLOOKUP($CR224,AtivosDados,MATCH("pm_atual",portfolio.!$A$3:CY$3,0),0)*$CU$5,0)))</f>
        <v/>
      </c>
      <c r="AY224" s="859" t="str">
        <f t="shared" si="2"/>
        <v/>
      </c>
      <c r="AZ224" s="858" t="str">
        <f>IF($CR224="","",IF($E224="","SP",SUMIF(portfolio.!$A$4:$A308,$CR224,portfolio.!$O$4:$O308)*$CU$5))</f>
        <v/>
      </c>
      <c r="BA224" s="858" t="str">
        <f>IF($CR224="","",IF($E224="","SP",SUMIF(portfolio.!$A$4:$A308,$CR224,portfolio.!$AN$4:$AN308)*$CU$5))</f>
        <v/>
      </c>
      <c r="BB224" s="860" t="str">
        <f>IF($CR224="","",IF($E224="","-",IFERROR($BA224/'portfólio'!$DG$63,"")))</f>
        <v/>
      </c>
      <c r="BC224" s="861" t="str">
        <f>IF($CR224="","",IF($E224="","-",SUMIF(portfolio.!$A$4:$A308,$CR224,portfolio.!$J$4:$J308)))</f>
        <v/>
      </c>
      <c r="BD224" s="862" t="str">
        <f>IF($CR224="","",IF($E224="","SP",SUMIF(portfolio.!$A$4:$A308,$CR224,portfolio.!$AQ$4:$AQ308)*$CU$5))</f>
        <v/>
      </c>
      <c r="BE224" s="850" t="str">
        <f t="shared" si="3"/>
        <v/>
      </c>
      <c r="BF224" s="862" t="str">
        <f>IF($CR224="","",IF($E224="","-",SUMIF(portfolio.!$A$4:$A308,$CR224,portfolio.!$AX$4:$AX308)*$CU$5))</f>
        <v/>
      </c>
      <c r="BG224" s="545"/>
      <c r="BH224" s="879" t="s">
        <v>123</v>
      </c>
      <c r="BI224" s="880" t="s">
        <v>123</v>
      </c>
      <c r="BJ224" s="863" t="str">
        <f>IFERROR(__xludf.DUMMYFUNCTION("IF(NOT($BL$4),"""",IF($CR224="""","""",IFERROR(query({GOOGLEFINANCE($CR224,""price"",IF($BI224=""-"",TODAY()-($AQ$5+5),$BI224),TODAY()-1)},""Select max(Col2) where Col1 is not null label max(Col2) ''"")*CU224,""-"")))"),"")</f>
        <v/>
      </c>
      <c r="BK224" s="881" t="s">
        <v>123</v>
      </c>
      <c r="BL224" s="882" t="s">
        <v>123</v>
      </c>
      <c r="BM224" s="442"/>
      <c r="BN224" s="867" t="str">
        <f>IFERROR(__xludf.DUMMYFUNCTION("IF(CR224="""","""",IF(OR(C224=""AÇÃO"",C224=""BDR""),IFERROR(QUERY({fundamentus.!$A$3:$U308},$CX$67&amp;"" where Col1='""&amp;CR224&amp;""' limit 1"",0)),IF(C224=""FII"",IFERROR(QUERY({fundsexplorer.!$A$2:$Z308},$CY$67&amp;"" where Col1='""&amp;CR224&amp;""' limit 1"",0)),""""))"&amp;")"),"")</f>
        <v/>
      </c>
      <c r="BO224" s="867"/>
      <c r="BP224" s="867"/>
      <c r="BQ224" s="867"/>
      <c r="BR224" s="867"/>
      <c r="BS224" s="867"/>
      <c r="BT224" s="867"/>
      <c r="BU224" s="442"/>
      <c r="BV224" s="868" t="str">
        <f>IFERROR(__xludf.DUMMYFUNCTION("IF(OR(C224=""AÇÃO"",C224=""BDR""),IFERROR(GOOGLEFINANCE(CONCAT(""BVMF:"",CR224), ""marketcap"")/1000000,""NC""),"""")"),"")</f>
        <v/>
      </c>
      <c r="BW224" s="869" t="s">
        <v>123</v>
      </c>
      <c r="BX224" s="870" t="s">
        <v>123</v>
      </c>
      <c r="BY224" s="868" t="s">
        <v>123</v>
      </c>
      <c r="BZ224" s="870" t="s">
        <v>123</v>
      </c>
      <c r="CA224" s="868" t="s">
        <v>123</v>
      </c>
      <c r="CB224" s="868" t="s">
        <v>123</v>
      </c>
      <c r="CC224" s="868" t="s">
        <v>123</v>
      </c>
      <c r="CD224" s="868" t="str">
        <f>IFERROR(__xludf.DUMMYFUNCTION("IF(OR(C224=""AÇÃO"",C224=""BDR""),IFERROR(GOOGLEFINANCE(CONCAT(""BVMF:"",CR224), ""volumeavg"")/1000000,""NC""),"""")"),"")</f>
        <v/>
      </c>
      <c r="CE224" s="870" t="s">
        <v>123</v>
      </c>
      <c r="CF224" s="870" t="s">
        <v>123</v>
      </c>
      <c r="CG224" s="870" t="str">
        <f>IFERROR(__xludf.DUMMYFUNCTION("IF(OR(C224=""AÇÃO"",C224=""BDR""),IF(CF224=0,""SEM DY"",IFERROR(ImportXML(CONCAT(""http://www.guiainvest.com.br/raiox/default.aspx?sigla="",$CR224),""//*[@id='lbPayoutAtual']""),""NC"")),"""")"),"")</f>
        <v/>
      </c>
      <c r="CH224" s="870" t="s">
        <v>123</v>
      </c>
      <c r="CI224" s="545"/>
      <c r="CJ224" s="871" t="str">
        <f>IFERROR(__xludf.DUMMYFUNCTION("IF(OR(C224=""AÇÃO"",C224=""BDR""),IFERROR(GOOGLEFINANCE(CONCAT(""BVMF:"",CR224), ""eps""),""NC""),"""")"),"")</f>
        <v/>
      </c>
      <c r="CK224" s="442"/>
      <c r="CL224" s="871" t="str">
        <f>IFERROR(__xludf.DUMMYFUNCTION("IF(NOT($BL$4),"""",IF($CR224="""","""",IF($BC224="""","""",IFERROR(query({op.normal!$B$5:$F308},""select Col5, toDate(Col2) where Col1 =  '""&amp;$CR224&amp;""' and Col4 &gt; 0 and ((Col3 is null) or (Col3 = 'C')) and Col2 &gt;= date '""&amp;TEXT(TODAY()-$AQ$5,""yyyy-mm-dd"&amp;""")&amp;""' order by Col2 desc limit 1 label toDate(Col2) ''"")))))"),"")</f>
        <v/>
      </c>
      <c r="CM224" s="872"/>
      <c r="CN224" s="883" t="s">
        <v>123</v>
      </c>
      <c r="CO224" s="874" t="s">
        <v>123</v>
      </c>
      <c r="CP224" s="766"/>
      <c r="CQ224" s="791"/>
      <c r="CR224" s="791"/>
      <c r="CT224" s="791" t="s">
        <v>123</v>
      </c>
      <c r="CU224" s="791" t="str">
        <f>IFERROR(__xludf.DUMMYFUNCTION("IF(CR224="""","""",IF(CT224=$C$4,1,GOOGLEFINANCE(CT224&amp;$C$4)))"),"")</f>
        <v/>
      </c>
    </row>
    <row r="225" ht="22.5" customHeight="1">
      <c r="A225" s="837">
        <v>217.0</v>
      </c>
      <c r="B225" s="838" t="s">
        <v>123</v>
      </c>
      <c r="C225" s="838" t="s">
        <v>123</v>
      </c>
      <c r="D225" s="839" t="s">
        <v>123</v>
      </c>
      <c r="E225" s="839" t="s">
        <v>123</v>
      </c>
      <c r="F225" s="839" t="s">
        <v>123</v>
      </c>
      <c r="H225" s="884"/>
      <c r="I225" s="838"/>
      <c r="J225" s="838"/>
      <c r="K225" s="838"/>
      <c r="L225" s="838"/>
      <c r="M225" s="838"/>
      <c r="N225" s="838"/>
      <c r="O225" s="838"/>
      <c r="P225" s="838"/>
      <c r="Q225" s="838"/>
      <c r="R225" s="838"/>
      <c r="S225" s="838"/>
      <c r="T225" s="838"/>
      <c r="U225" s="838"/>
      <c r="V225" s="838"/>
      <c r="W225" s="838"/>
      <c r="X225" s="838"/>
      <c r="Z225" s="875" t="str">
        <f>IFERROR(__xludf.DUMMYFUNCTION("IF($CR225="""","""",IFERROR(query({CarteirasAtivos},""select Col4 where Col4 is not null and Col1 = '""&amp;$CR225&amp;""' limit 1"")*CU225,""NC""))"),"")</f>
        <v/>
      </c>
      <c r="AA225" s="876" t="str">
        <f>IFERROR(__xludf.DUMMYFUNCTION("IF($CR225="""","""",IFERROR(query({CarteirasAtivos},""select Col6 where Col4 is not null and Col1 = '""&amp;$CR225&amp;""' limit 1""),""NC""))"),"")</f>
        <v/>
      </c>
      <c r="AB225" s="877"/>
      <c r="AC225" s="878" t="s">
        <v>123</v>
      </c>
      <c r="AD225" s="845" t="str">
        <f>IF($CR225="","",IFERROR(VLOOKUP($CR225,ativos.!$C$3:$R308,MATCH("cotacao",ativos.!$C$2:CY$2,0),FALSE)*$CU$5,"atualizar"))</f>
        <v/>
      </c>
      <c r="AE225" s="846" t="str">
        <f>IFERROR(__xludf.DUMMYFUNCTION("IF($CR225="""","""",IFERROR(AVERAGE(query({CarteirasAtivos;CarteirasAtivosEncerrados},""select Col5 where Col5 is not null and Col1 = '""&amp;$CR225&amp;""' and Col10='SIM'""))*CU225,""NC""))"),"")</f>
        <v/>
      </c>
      <c r="AF225" s="847" t="str">
        <f t="shared" si="1"/>
        <v/>
      </c>
      <c r="AG225" s="442"/>
      <c r="AH225" s="848" t="str">
        <f>IFERROR(__xludf.DUMMYFUNCTION("IF($CR225="""","""",IFERROR(GOOGLEFINANCE($CR225,""low52"")*CU225,""-""))"),"")</f>
        <v/>
      </c>
      <c r="AI225" s="848" t="str">
        <f>IFERROR(__xludf.DUMMYFUNCTION("IF($CR225="""","""",IFERROR(GOOGLEFINANCE($CR225,""high52"")*CU225,""-""))"),"")</f>
        <v/>
      </c>
      <c r="AJ225" s="849" t="s">
        <v>123</v>
      </c>
      <c r="AK225" s="850" t="str">
        <f>IFERROR(__xludf.DUMMYFUNCTION("IF($CR225="""","""",IFERROR(GOOGLEFINANCE($CR225,""changepct"")/100,""-""))"),"")</f>
        <v/>
      </c>
      <c r="AL225" s="851" t="str">
        <f>IFERROR(__xludf.DUMMYFUNCTION("IF($CR225="""","""",IFERROR(($AD225/(QUERY(GOOGLEFINANCE($CR225,""price"",TODAY()-7),""SELECT Col2 label Col2 ''"")*$CU225)-1),""-""))"),"")</f>
        <v/>
      </c>
      <c r="AM225" s="851" t="str">
        <f>IFERROR(__xludf.DUMMYFUNCTION("IF($CR225="""","""",IFERROR(($AD225/(QUERY(GOOGLEFINANCE($CR225,""price"",TODAY()-14),""SELECT Col2 label Col2 ''"")*$CU225)-1),""-""))"),"")</f>
        <v/>
      </c>
      <c r="AN225" s="851" t="str">
        <f>IFERROR(__xludf.DUMMYFUNCTION("IF($CR225="""","""",IFERROR(($AD225/(QUERY(GOOGLEFINANCE($CR225,""price"",TODAY()-28),""SELECT Col2 label Col2 ''"")*$CU225)-1),""-""))"),"")</f>
        <v/>
      </c>
      <c r="AO225" s="851" t="str">
        <f>IFERROR(__xludf.DUMMYFUNCTION("IF($CR225="""","""",IFERROR(($AD225/(QUERY(GOOGLEFINANCE($CR225,""price"",TODAY()-$AQ$5),""SELECT Col2 label Col2 ''"")*$CU225)-1),""-""))"),"")</f>
        <v/>
      </c>
      <c r="AP225" s="852" t="str">
        <f>IFERROR(__xludf.DUMMYFUNCTION("IF($CR225="""","""",IFERROR(SPARKLINE(query(GOOGLEFINANCE($CR225,""price"",TODAY()-$AQ$5,TODAY(),1),""select Col2 label Col2 ''""),IF($AP$7=""Gráfico de barras"",{""charttype"",""column"";""highcolor"",""red""},{""chartype"",""line""}))))"),"")</f>
        <v/>
      </c>
      <c r="AQ225" s="144"/>
      <c r="AR225" s="853"/>
      <c r="AS225" s="854" t="str">
        <f>IF($CR225="","",IF(NOT('alocação'!$D$1),"off",IFERROR(VLOOKUP(CR225,BalanceAtivos,3,0),"NC")))</f>
        <v/>
      </c>
      <c r="AT225" s="855" t="str">
        <f>IF($CR225="","",IF(NOT('alocação'!$D$1),"off",IFERROR(VLOOKUP($CR225,BalanceAtivos,4,0)*$CU$5,"NC")))</f>
        <v/>
      </c>
      <c r="AU225" s="856" t="str">
        <f>IF($CR225="","",IF(NOT('alocação'!$D$1),"off",IFERROR(VLOOKUP($CR225,BalanceAtivos,5,0),"-")))</f>
        <v/>
      </c>
      <c r="AV225" s="856" t="str">
        <f>IF($CR225="","",IF(NOT('alocação'!$D$1),"off",IFERROR(VLOOKUP($CR225,BalanceAtivos,6,0),"-")))</f>
        <v/>
      </c>
      <c r="AW225" s="857"/>
      <c r="AX225" s="858" t="str">
        <f>IF($CR225="","",IF($E225="","SP",IFERROR(VLOOKUP($CR225,AtivosDados,MATCH("pm_atual",portfolio.!$A$3:CY$3,0),0)*$CU$5,0)))</f>
        <v/>
      </c>
      <c r="AY225" s="859" t="str">
        <f t="shared" si="2"/>
        <v/>
      </c>
      <c r="AZ225" s="858" t="str">
        <f>IF($CR225="","",IF($E225="","SP",SUMIF(portfolio.!$A$4:$A308,$CR225,portfolio.!$O$4:$O308)*$CU$5))</f>
        <v/>
      </c>
      <c r="BA225" s="858" t="str">
        <f>IF($CR225="","",IF($E225="","SP",SUMIF(portfolio.!$A$4:$A308,$CR225,portfolio.!$AN$4:$AN308)*$CU$5))</f>
        <v/>
      </c>
      <c r="BB225" s="860" t="str">
        <f>IF($CR225="","",IF($E225="","-",IFERROR($BA225/'portfólio'!$DG$63,"")))</f>
        <v/>
      </c>
      <c r="BC225" s="861" t="str">
        <f>IF($CR225="","",IF($E225="","-",SUMIF(portfolio.!$A$4:$A308,$CR225,portfolio.!$J$4:$J308)))</f>
        <v/>
      </c>
      <c r="BD225" s="862" t="str">
        <f>IF($CR225="","",IF($E225="","SP",SUMIF(portfolio.!$A$4:$A308,$CR225,portfolio.!$AQ$4:$AQ308)*$CU$5))</f>
        <v/>
      </c>
      <c r="BE225" s="850" t="str">
        <f t="shared" si="3"/>
        <v/>
      </c>
      <c r="BF225" s="862" t="str">
        <f>IF($CR225="","",IF($E225="","-",SUMIF(portfolio.!$A$4:$A308,$CR225,portfolio.!$AX$4:$AX308)*$CU$5))</f>
        <v/>
      </c>
      <c r="BG225" s="545"/>
      <c r="BH225" s="879" t="s">
        <v>123</v>
      </c>
      <c r="BI225" s="880" t="s">
        <v>123</v>
      </c>
      <c r="BJ225" s="863" t="str">
        <f>IFERROR(__xludf.DUMMYFUNCTION("IF(NOT($BL$4),"""",IF($CR225="""","""",IFERROR(query({GOOGLEFINANCE($CR225,""price"",IF($BI225=""-"",TODAY()-($AQ$5+5),$BI225),TODAY()-1)},""Select max(Col2) where Col1 is not null label max(Col2) ''"")*CU225,""-"")))"),"")</f>
        <v/>
      </c>
      <c r="BK225" s="881" t="s">
        <v>123</v>
      </c>
      <c r="BL225" s="882" t="s">
        <v>123</v>
      </c>
      <c r="BM225" s="442"/>
      <c r="BN225" s="867" t="str">
        <f>IFERROR(__xludf.DUMMYFUNCTION("IF(CR225="""","""",IF(OR(C225=""AÇÃO"",C225=""BDR""),IFERROR(QUERY({fundamentus.!$A$3:$U308},$CX$67&amp;"" where Col1='""&amp;CR225&amp;""' limit 1"",0)),IF(C225=""FII"",IFERROR(QUERY({fundsexplorer.!$A$2:$Z308},$CY$67&amp;"" where Col1='""&amp;CR225&amp;""' limit 1"",0)),""""))"&amp;")"),"")</f>
        <v/>
      </c>
      <c r="BO225" s="867"/>
      <c r="BP225" s="867"/>
      <c r="BQ225" s="867"/>
      <c r="BR225" s="867"/>
      <c r="BS225" s="867"/>
      <c r="BT225" s="867"/>
      <c r="BU225" s="442"/>
      <c r="BV225" s="868" t="str">
        <f>IFERROR(__xludf.DUMMYFUNCTION("IF(OR(C225=""AÇÃO"",C225=""BDR""),IFERROR(GOOGLEFINANCE(CONCAT(""BVMF:"",CR225), ""marketcap"")/1000000,""NC""),"""")"),"")</f>
        <v/>
      </c>
      <c r="BW225" s="869" t="s">
        <v>123</v>
      </c>
      <c r="BX225" s="870" t="s">
        <v>123</v>
      </c>
      <c r="BY225" s="868" t="s">
        <v>123</v>
      </c>
      <c r="BZ225" s="870" t="s">
        <v>123</v>
      </c>
      <c r="CA225" s="868" t="s">
        <v>123</v>
      </c>
      <c r="CB225" s="868" t="s">
        <v>123</v>
      </c>
      <c r="CC225" s="868" t="s">
        <v>123</v>
      </c>
      <c r="CD225" s="868" t="str">
        <f>IFERROR(__xludf.DUMMYFUNCTION("IF(OR(C225=""AÇÃO"",C225=""BDR""),IFERROR(GOOGLEFINANCE(CONCAT(""BVMF:"",CR225), ""volumeavg"")/1000000,""NC""),"""")"),"")</f>
        <v/>
      </c>
      <c r="CE225" s="870" t="s">
        <v>123</v>
      </c>
      <c r="CF225" s="870" t="s">
        <v>123</v>
      </c>
      <c r="CG225" s="870" t="str">
        <f>IFERROR(__xludf.DUMMYFUNCTION("IF(OR(C225=""AÇÃO"",C225=""BDR""),IF(CF225=0,""SEM DY"",IFERROR(ImportXML(CONCAT(""http://www.guiainvest.com.br/raiox/default.aspx?sigla="",$CR225),""//*[@id='lbPayoutAtual']""),""NC"")),"""")"),"")</f>
        <v/>
      </c>
      <c r="CH225" s="870" t="s">
        <v>123</v>
      </c>
      <c r="CI225" s="545"/>
      <c r="CJ225" s="871" t="str">
        <f>IFERROR(__xludf.DUMMYFUNCTION("IF(OR(C225=""AÇÃO"",C225=""BDR""),IFERROR(GOOGLEFINANCE(CONCAT(""BVMF:"",CR225), ""eps""),""NC""),"""")"),"")</f>
        <v/>
      </c>
      <c r="CK225" s="442"/>
      <c r="CL225" s="871" t="str">
        <f>IFERROR(__xludf.DUMMYFUNCTION("IF(NOT($BL$4),"""",IF($CR225="""","""",IF($BC225="""","""",IFERROR(query({op.normal!$B$5:$F308},""select Col5, toDate(Col2) where Col1 =  '""&amp;$CR225&amp;""' and Col4 &gt; 0 and ((Col3 is null) or (Col3 = 'C')) and Col2 &gt;= date '""&amp;TEXT(TODAY()-$AQ$5,""yyyy-mm-dd"&amp;""")&amp;""' order by Col2 desc limit 1 label toDate(Col2) ''"")))))"),"")</f>
        <v/>
      </c>
      <c r="CM225" s="872"/>
      <c r="CN225" s="883" t="s">
        <v>123</v>
      </c>
      <c r="CO225" s="874" t="s">
        <v>123</v>
      </c>
      <c r="CP225" s="766"/>
      <c r="CQ225" s="791"/>
      <c r="CR225" s="791"/>
      <c r="CT225" s="791" t="s">
        <v>123</v>
      </c>
      <c r="CU225" s="791" t="str">
        <f>IFERROR(__xludf.DUMMYFUNCTION("IF(CR225="""","""",IF(CT225=$C$4,1,GOOGLEFINANCE(CT225&amp;$C$4)))"),"")</f>
        <v/>
      </c>
    </row>
    <row r="226" ht="22.5" customHeight="1">
      <c r="A226" s="837">
        <v>218.0</v>
      </c>
      <c r="B226" s="838" t="s">
        <v>123</v>
      </c>
      <c r="C226" s="838" t="s">
        <v>123</v>
      </c>
      <c r="D226" s="839" t="s">
        <v>123</v>
      </c>
      <c r="E226" s="839" t="s">
        <v>123</v>
      </c>
      <c r="F226" s="839" t="s">
        <v>123</v>
      </c>
      <c r="H226" s="884"/>
      <c r="I226" s="838"/>
      <c r="J226" s="838"/>
      <c r="K226" s="838"/>
      <c r="L226" s="838"/>
      <c r="M226" s="838"/>
      <c r="N226" s="838"/>
      <c r="O226" s="838"/>
      <c r="P226" s="838"/>
      <c r="Q226" s="838"/>
      <c r="R226" s="838"/>
      <c r="S226" s="838"/>
      <c r="T226" s="838"/>
      <c r="U226" s="838"/>
      <c r="V226" s="838"/>
      <c r="W226" s="838"/>
      <c r="X226" s="838"/>
      <c r="Z226" s="875" t="str">
        <f>IFERROR(__xludf.DUMMYFUNCTION("IF($CR226="""","""",IFERROR(query({CarteirasAtivos},""select Col4 where Col4 is not null and Col1 = '""&amp;$CR226&amp;""' limit 1"")*CU226,""NC""))"),"")</f>
        <v/>
      </c>
      <c r="AA226" s="876" t="str">
        <f>IFERROR(__xludf.DUMMYFUNCTION("IF($CR226="""","""",IFERROR(query({CarteirasAtivos},""select Col6 where Col4 is not null and Col1 = '""&amp;$CR226&amp;""' limit 1""),""NC""))"),"")</f>
        <v/>
      </c>
      <c r="AB226" s="877"/>
      <c r="AC226" s="878" t="s">
        <v>123</v>
      </c>
      <c r="AD226" s="845" t="str">
        <f>IF($CR226="","",IFERROR(VLOOKUP($CR226,ativos.!$C$3:$R308,MATCH("cotacao",ativos.!$C$2:CY$2,0),FALSE)*$CU$5,"atualizar"))</f>
        <v/>
      </c>
      <c r="AE226" s="846" t="str">
        <f>IFERROR(__xludf.DUMMYFUNCTION("IF($CR226="""","""",IFERROR(AVERAGE(query({CarteirasAtivos;CarteirasAtivosEncerrados},""select Col5 where Col5 is not null and Col1 = '""&amp;$CR226&amp;""' and Col10='SIM'""))*CU226,""NC""))"),"")</f>
        <v/>
      </c>
      <c r="AF226" s="847" t="str">
        <f t="shared" si="1"/>
        <v/>
      </c>
      <c r="AG226" s="442"/>
      <c r="AH226" s="848" t="str">
        <f>IFERROR(__xludf.DUMMYFUNCTION("IF($CR226="""","""",IFERROR(GOOGLEFINANCE($CR226,""low52"")*CU226,""-""))"),"")</f>
        <v/>
      </c>
      <c r="AI226" s="848" t="str">
        <f>IFERROR(__xludf.DUMMYFUNCTION("IF($CR226="""","""",IFERROR(GOOGLEFINANCE($CR226,""high52"")*CU226,""-""))"),"")</f>
        <v/>
      </c>
      <c r="AJ226" s="849" t="s">
        <v>123</v>
      </c>
      <c r="AK226" s="850" t="str">
        <f>IFERROR(__xludf.DUMMYFUNCTION("IF($CR226="""","""",IFERROR(GOOGLEFINANCE($CR226,""changepct"")/100,""-""))"),"")</f>
        <v/>
      </c>
      <c r="AL226" s="851" t="str">
        <f>IFERROR(__xludf.DUMMYFUNCTION("IF($CR226="""","""",IFERROR(($AD226/(QUERY(GOOGLEFINANCE($CR226,""price"",TODAY()-7),""SELECT Col2 label Col2 ''"")*$CU226)-1),""-""))"),"")</f>
        <v/>
      </c>
      <c r="AM226" s="851" t="str">
        <f>IFERROR(__xludf.DUMMYFUNCTION("IF($CR226="""","""",IFERROR(($AD226/(QUERY(GOOGLEFINANCE($CR226,""price"",TODAY()-14),""SELECT Col2 label Col2 ''"")*$CU226)-1),""-""))"),"")</f>
        <v/>
      </c>
      <c r="AN226" s="851" t="str">
        <f>IFERROR(__xludf.DUMMYFUNCTION("IF($CR226="""","""",IFERROR(($AD226/(QUERY(GOOGLEFINANCE($CR226,""price"",TODAY()-28),""SELECT Col2 label Col2 ''"")*$CU226)-1),""-""))"),"")</f>
        <v/>
      </c>
      <c r="AO226" s="851" t="str">
        <f>IFERROR(__xludf.DUMMYFUNCTION("IF($CR226="""","""",IFERROR(($AD226/(QUERY(GOOGLEFINANCE($CR226,""price"",TODAY()-$AQ$5),""SELECT Col2 label Col2 ''"")*$CU226)-1),""-""))"),"")</f>
        <v/>
      </c>
      <c r="AP226" s="852" t="str">
        <f>IFERROR(__xludf.DUMMYFUNCTION("IF($CR226="""","""",IFERROR(SPARKLINE(query(GOOGLEFINANCE($CR226,""price"",TODAY()-$AQ$5,TODAY(),1),""select Col2 label Col2 ''""),IF($AP$7=""Gráfico de barras"",{""charttype"",""column"";""highcolor"",""red""},{""chartype"",""line""}))))"),"")</f>
        <v/>
      </c>
      <c r="AQ226" s="144"/>
      <c r="AR226" s="853"/>
      <c r="AS226" s="854" t="str">
        <f>IF($CR226="","",IF(NOT('alocação'!$D$1),"off",IFERROR(VLOOKUP(CR226,BalanceAtivos,3,0),"NC")))</f>
        <v/>
      </c>
      <c r="AT226" s="855" t="str">
        <f>IF($CR226="","",IF(NOT('alocação'!$D$1),"off",IFERROR(VLOOKUP($CR226,BalanceAtivos,4,0)*$CU$5,"NC")))</f>
        <v/>
      </c>
      <c r="AU226" s="856" t="str">
        <f>IF($CR226="","",IF(NOT('alocação'!$D$1),"off",IFERROR(VLOOKUP($CR226,BalanceAtivos,5,0),"-")))</f>
        <v/>
      </c>
      <c r="AV226" s="856" t="str">
        <f>IF($CR226="","",IF(NOT('alocação'!$D$1),"off",IFERROR(VLOOKUP($CR226,BalanceAtivos,6,0),"-")))</f>
        <v/>
      </c>
      <c r="AW226" s="857"/>
      <c r="AX226" s="858" t="str">
        <f>IF($CR226="","",IF($E226="","SP",IFERROR(VLOOKUP($CR226,AtivosDados,MATCH("pm_atual",portfolio.!$A$3:CY$3,0),0)*$CU$5,0)))</f>
        <v/>
      </c>
      <c r="AY226" s="859" t="str">
        <f t="shared" si="2"/>
        <v/>
      </c>
      <c r="AZ226" s="858" t="str">
        <f>IF($CR226="","",IF($E226="","SP",SUMIF(portfolio.!$A$4:$A308,$CR226,portfolio.!$O$4:$O308)*$CU$5))</f>
        <v/>
      </c>
      <c r="BA226" s="858" t="str">
        <f>IF($CR226="","",IF($E226="","SP",SUMIF(portfolio.!$A$4:$A308,$CR226,portfolio.!$AN$4:$AN308)*$CU$5))</f>
        <v/>
      </c>
      <c r="BB226" s="860" t="str">
        <f>IF($CR226="","",IF($E226="","-",IFERROR($BA226/'portfólio'!$DG$63,"")))</f>
        <v/>
      </c>
      <c r="BC226" s="861" t="str">
        <f>IF($CR226="","",IF($E226="","-",SUMIF(portfolio.!$A$4:$A308,$CR226,portfolio.!$J$4:$J308)))</f>
        <v/>
      </c>
      <c r="BD226" s="862" t="str">
        <f>IF($CR226="","",IF($E226="","SP",SUMIF(portfolio.!$A$4:$A308,$CR226,portfolio.!$AQ$4:$AQ308)*$CU$5))</f>
        <v/>
      </c>
      <c r="BE226" s="850" t="str">
        <f t="shared" si="3"/>
        <v/>
      </c>
      <c r="BF226" s="862" t="str">
        <f>IF($CR226="","",IF($E226="","-",SUMIF(portfolio.!$A$4:$A308,$CR226,portfolio.!$AX$4:$AX308)*$CU$5))</f>
        <v/>
      </c>
      <c r="BG226" s="545"/>
      <c r="BH226" s="879" t="s">
        <v>123</v>
      </c>
      <c r="BI226" s="880" t="s">
        <v>123</v>
      </c>
      <c r="BJ226" s="863" t="str">
        <f>IFERROR(__xludf.DUMMYFUNCTION("IF(NOT($BL$4),"""",IF($CR226="""","""",IFERROR(query({GOOGLEFINANCE($CR226,""price"",IF($BI226=""-"",TODAY()-($AQ$5+5),$BI226),TODAY()-1)},""Select max(Col2) where Col1 is not null label max(Col2) ''"")*CU226,""-"")))"),"")</f>
        <v/>
      </c>
      <c r="BK226" s="881" t="s">
        <v>123</v>
      </c>
      <c r="BL226" s="882" t="s">
        <v>123</v>
      </c>
      <c r="BM226" s="442"/>
      <c r="BN226" s="867" t="str">
        <f>IFERROR(__xludf.DUMMYFUNCTION("IF(CR226="""","""",IF(OR(C226=""AÇÃO"",C226=""BDR""),IFERROR(QUERY({fundamentus.!$A$3:$U308},$CX$67&amp;"" where Col1='""&amp;CR226&amp;""' limit 1"",0)),IF(C226=""FII"",IFERROR(QUERY({fundsexplorer.!$A$2:$Z308},$CY$67&amp;"" where Col1='""&amp;CR226&amp;""' limit 1"",0)),""""))"&amp;")"),"")</f>
        <v/>
      </c>
      <c r="BO226" s="867"/>
      <c r="BP226" s="867"/>
      <c r="BQ226" s="867"/>
      <c r="BR226" s="867"/>
      <c r="BS226" s="867"/>
      <c r="BT226" s="867"/>
      <c r="BU226" s="442"/>
      <c r="BV226" s="868" t="str">
        <f>IFERROR(__xludf.DUMMYFUNCTION("IF(OR(C226=""AÇÃO"",C226=""BDR""),IFERROR(GOOGLEFINANCE(CONCAT(""BVMF:"",CR226), ""marketcap"")/1000000,""NC""),"""")"),"")</f>
        <v/>
      </c>
      <c r="BW226" s="869" t="s">
        <v>123</v>
      </c>
      <c r="BX226" s="870" t="s">
        <v>123</v>
      </c>
      <c r="BY226" s="868" t="s">
        <v>123</v>
      </c>
      <c r="BZ226" s="870" t="s">
        <v>123</v>
      </c>
      <c r="CA226" s="868" t="s">
        <v>123</v>
      </c>
      <c r="CB226" s="868" t="s">
        <v>123</v>
      </c>
      <c r="CC226" s="868" t="s">
        <v>123</v>
      </c>
      <c r="CD226" s="868" t="str">
        <f>IFERROR(__xludf.DUMMYFUNCTION("IF(OR(C226=""AÇÃO"",C226=""BDR""),IFERROR(GOOGLEFINANCE(CONCAT(""BVMF:"",CR226), ""volumeavg"")/1000000,""NC""),"""")"),"")</f>
        <v/>
      </c>
      <c r="CE226" s="870" t="s">
        <v>123</v>
      </c>
      <c r="CF226" s="870" t="s">
        <v>123</v>
      </c>
      <c r="CG226" s="870" t="str">
        <f>IFERROR(__xludf.DUMMYFUNCTION("IF(OR(C226=""AÇÃO"",C226=""BDR""),IF(CF226=0,""SEM DY"",IFERROR(ImportXML(CONCAT(""http://www.guiainvest.com.br/raiox/default.aspx?sigla="",$CR226),""//*[@id='lbPayoutAtual']""),""NC"")),"""")"),"")</f>
        <v/>
      </c>
      <c r="CH226" s="870" t="s">
        <v>123</v>
      </c>
      <c r="CI226" s="545"/>
      <c r="CJ226" s="871" t="str">
        <f>IFERROR(__xludf.DUMMYFUNCTION("IF(OR(C226=""AÇÃO"",C226=""BDR""),IFERROR(GOOGLEFINANCE(CONCAT(""BVMF:"",CR226), ""eps""),""NC""),"""")"),"")</f>
        <v/>
      </c>
      <c r="CK226" s="442"/>
      <c r="CL226" s="871" t="str">
        <f>IFERROR(__xludf.DUMMYFUNCTION("IF(NOT($BL$4),"""",IF($CR226="""","""",IF($BC226="""","""",IFERROR(query({op.normal!$B$5:$F308},""select Col5, toDate(Col2) where Col1 =  '""&amp;$CR226&amp;""' and Col4 &gt; 0 and ((Col3 is null) or (Col3 = 'C')) and Col2 &gt;= date '""&amp;TEXT(TODAY()-$AQ$5,""yyyy-mm-dd"&amp;""")&amp;""' order by Col2 desc limit 1 label toDate(Col2) ''"")))))"),"")</f>
        <v/>
      </c>
      <c r="CM226" s="872"/>
      <c r="CN226" s="883" t="s">
        <v>123</v>
      </c>
      <c r="CO226" s="874" t="s">
        <v>123</v>
      </c>
      <c r="CP226" s="766"/>
      <c r="CQ226" s="791"/>
      <c r="CR226" s="791"/>
      <c r="CT226" s="791" t="s">
        <v>123</v>
      </c>
      <c r="CU226" s="791" t="str">
        <f>IFERROR(__xludf.DUMMYFUNCTION("IF(CR226="""","""",IF(CT226=$C$4,1,GOOGLEFINANCE(CT226&amp;$C$4)))"),"")</f>
        <v/>
      </c>
    </row>
    <row r="227" ht="22.5" customHeight="1">
      <c r="A227" s="837">
        <v>219.0</v>
      </c>
      <c r="B227" s="838" t="s">
        <v>123</v>
      </c>
      <c r="C227" s="838" t="s">
        <v>123</v>
      </c>
      <c r="D227" s="839" t="s">
        <v>123</v>
      </c>
      <c r="E227" s="839" t="s">
        <v>123</v>
      </c>
      <c r="F227" s="839" t="s">
        <v>123</v>
      </c>
      <c r="H227" s="884"/>
      <c r="I227" s="838"/>
      <c r="J227" s="838"/>
      <c r="K227" s="838"/>
      <c r="L227" s="838"/>
      <c r="M227" s="838"/>
      <c r="N227" s="838"/>
      <c r="O227" s="838"/>
      <c r="P227" s="838"/>
      <c r="Q227" s="838"/>
      <c r="R227" s="838"/>
      <c r="S227" s="838"/>
      <c r="T227" s="838"/>
      <c r="U227" s="838"/>
      <c r="V227" s="838"/>
      <c r="W227" s="838"/>
      <c r="X227" s="838"/>
      <c r="Z227" s="875" t="str">
        <f>IFERROR(__xludf.DUMMYFUNCTION("IF($CR227="""","""",IFERROR(query({CarteirasAtivos},""select Col4 where Col4 is not null and Col1 = '""&amp;$CR227&amp;""' limit 1"")*CU227,""NC""))"),"")</f>
        <v/>
      </c>
      <c r="AA227" s="876" t="str">
        <f>IFERROR(__xludf.DUMMYFUNCTION("IF($CR227="""","""",IFERROR(query({CarteirasAtivos},""select Col6 where Col4 is not null and Col1 = '""&amp;$CR227&amp;""' limit 1""),""NC""))"),"")</f>
        <v/>
      </c>
      <c r="AB227" s="877"/>
      <c r="AC227" s="878" t="s">
        <v>123</v>
      </c>
      <c r="AD227" s="845" t="str">
        <f>IF($CR227="","",IFERROR(VLOOKUP($CR227,ativos.!$C$3:$R308,MATCH("cotacao",ativos.!$C$2:CY$2,0),FALSE)*$CU$5,"atualizar"))</f>
        <v/>
      </c>
      <c r="AE227" s="846" t="str">
        <f>IFERROR(__xludf.DUMMYFUNCTION("IF($CR227="""","""",IFERROR(AVERAGE(query({CarteirasAtivos;CarteirasAtivosEncerrados},""select Col5 where Col5 is not null and Col1 = '""&amp;$CR227&amp;""' and Col10='SIM'""))*CU227,""NC""))"),"")</f>
        <v/>
      </c>
      <c r="AF227" s="847" t="str">
        <f t="shared" si="1"/>
        <v/>
      </c>
      <c r="AG227" s="442"/>
      <c r="AH227" s="848" t="str">
        <f>IFERROR(__xludf.DUMMYFUNCTION("IF($CR227="""","""",IFERROR(GOOGLEFINANCE($CR227,""low52"")*CU227,""-""))"),"")</f>
        <v/>
      </c>
      <c r="AI227" s="848" t="str">
        <f>IFERROR(__xludf.DUMMYFUNCTION("IF($CR227="""","""",IFERROR(GOOGLEFINANCE($CR227,""high52"")*CU227,""-""))"),"")</f>
        <v/>
      </c>
      <c r="AJ227" s="849" t="s">
        <v>123</v>
      </c>
      <c r="AK227" s="850" t="str">
        <f>IFERROR(__xludf.DUMMYFUNCTION("IF($CR227="""","""",IFERROR(GOOGLEFINANCE($CR227,""changepct"")/100,""-""))"),"")</f>
        <v/>
      </c>
      <c r="AL227" s="851" t="str">
        <f>IFERROR(__xludf.DUMMYFUNCTION("IF($CR227="""","""",IFERROR(($AD227/(QUERY(GOOGLEFINANCE($CR227,""price"",TODAY()-7),""SELECT Col2 label Col2 ''"")*$CU227)-1),""-""))"),"")</f>
        <v/>
      </c>
      <c r="AM227" s="851" t="str">
        <f>IFERROR(__xludf.DUMMYFUNCTION("IF($CR227="""","""",IFERROR(($AD227/(QUERY(GOOGLEFINANCE($CR227,""price"",TODAY()-14),""SELECT Col2 label Col2 ''"")*$CU227)-1),""-""))"),"")</f>
        <v/>
      </c>
      <c r="AN227" s="851" t="str">
        <f>IFERROR(__xludf.DUMMYFUNCTION("IF($CR227="""","""",IFERROR(($AD227/(QUERY(GOOGLEFINANCE($CR227,""price"",TODAY()-28),""SELECT Col2 label Col2 ''"")*$CU227)-1),""-""))"),"")</f>
        <v/>
      </c>
      <c r="AO227" s="851" t="str">
        <f>IFERROR(__xludf.DUMMYFUNCTION("IF($CR227="""","""",IFERROR(($AD227/(QUERY(GOOGLEFINANCE($CR227,""price"",TODAY()-$AQ$5),""SELECT Col2 label Col2 ''"")*$CU227)-1),""-""))"),"")</f>
        <v/>
      </c>
      <c r="AP227" s="852" t="str">
        <f>IFERROR(__xludf.DUMMYFUNCTION("IF($CR227="""","""",IFERROR(SPARKLINE(query(GOOGLEFINANCE($CR227,""price"",TODAY()-$AQ$5,TODAY(),1),""select Col2 label Col2 ''""),IF($AP$7=""Gráfico de barras"",{""charttype"",""column"";""highcolor"",""red""},{""chartype"",""line""}))))"),"")</f>
        <v/>
      </c>
      <c r="AQ227" s="144"/>
      <c r="AR227" s="853"/>
      <c r="AS227" s="854" t="str">
        <f>IF($CR227="","",IF(NOT('alocação'!$D$1),"off",IFERROR(VLOOKUP(CR227,BalanceAtivos,3,0),"NC")))</f>
        <v/>
      </c>
      <c r="AT227" s="855" t="str">
        <f>IF($CR227="","",IF(NOT('alocação'!$D$1),"off",IFERROR(VLOOKUP($CR227,BalanceAtivos,4,0)*$CU$5,"NC")))</f>
        <v/>
      </c>
      <c r="AU227" s="856" t="str">
        <f>IF($CR227="","",IF(NOT('alocação'!$D$1),"off",IFERROR(VLOOKUP($CR227,BalanceAtivos,5,0),"-")))</f>
        <v/>
      </c>
      <c r="AV227" s="856" t="str">
        <f>IF($CR227="","",IF(NOT('alocação'!$D$1),"off",IFERROR(VLOOKUP($CR227,BalanceAtivos,6,0),"-")))</f>
        <v/>
      </c>
      <c r="AW227" s="857"/>
      <c r="AX227" s="858" t="str">
        <f>IF($CR227="","",IF($E227="","SP",IFERROR(VLOOKUP($CR227,AtivosDados,MATCH("pm_atual",portfolio.!$A$3:CY$3,0),0)*$CU$5,0)))</f>
        <v/>
      </c>
      <c r="AY227" s="859" t="str">
        <f t="shared" si="2"/>
        <v/>
      </c>
      <c r="AZ227" s="858" t="str">
        <f>IF($CR227="","",IF($E227="","SP",SUMIF(portfolio.!$A$4:$A308,$CR227,portfolio.!$O$4:$O308)*$CU$5))</f>
        <v/>
      </c>
      <c r="BA227" s="858" t="str">
        <f>IF($CR227="","",IF($E227="","SP",SUMIF(portfolio.!$A$4:$A308,$CR227,portfolio.!$AN$4:$AN308)*$CU$5))</f>
        <v/>
      </c>
      <c r="BB227" s="860" t="str">
        <f>IF($CR227="","",IF($E227="","-",IFERROR($BA227/'portfólio'!$DG$63,"")))</f>
        <v/>
      </c>
      <c r="BC227" s="861" t="str">
        <f>IF($CR227="","",IF($E227="","-",SUMIF(portfolio.!$A$4:$A308,$CR227,portfolio.!$J$4:$J308)))</f>
        <v/>
      </c>
      <c r="BD227" s="862" t="str">
        <f>IF($CR227="","",IF($E227="","SP",SUMIF(portfolio.!$A$4:$A308,$CR227,portfolio.!$AQ$4:$AQ308)*$CU$5))</f>
        <v/>
      </c>
      <c r="BE227" s="850" t="str">
        <f t="shared" si="3"/>
        <v/>
      </c>
      <c r="BF227" s="862" t="str">
        <f>IF($CR227="","",IF($E227="","-",SUMIF(portfolio.!$A$4:$A308,$CR227,portfolio.!$AX$4:$AX308)*$CU$5))</f>
        <v/>
      </c>
      <c r="BG227" s="545"/>
      <c r="BH227" s="879" t="s">
        <v>123</v>
      </c>
      <c r="BI227" s="880" t="s">
        <v>123</v>
      </c>
      <c r="BJ227" s="863" t="str">
        <f>IFERROR(__xludf.DUMMYFUNCTION("IF(NOT($BL$4),"""",IF($CR227="""","""",IFERROR(query({GOOGLEFINANCE($CR227,""price"",IF($BI227=""-"",TODAY()-($AQ$5+5),$BI227),TODAY()-1)},""Select max(Col2) where Col1 is not null label max(Col2) ''"")*CU227,""-"")))"),"")</f>
        <v/>
      </c>
      <c r="BK227" s="881" t="s">
        <v>123</v>
      </c>
      <c r="BL227" s="882" t="s">
        <v>123</v>
      </c>
      <c r="BM227" s="442"/>
      <c r="BN227" s="867" t="str">
        <f>IFERROR(__xludf.DUMMYFUNCTION("IF(CR227="""","""",IF(OR(C227=""AÇÃO"",C227=""BDR""),IFERROR(QUERY({fundamentus.!$A$3:$U308},$CX$67&amp;"" where Col1='""&amp;CR227&amp;""' limit 1"",0)),IF(C227=""FII"",IFERROR(QUERY({fundsexplorer.!$A$2:$Z308},$CY$67&amp;"" where Col1='""&amp;CR227&amp;""' limit 1"",0)),""""))"&amp;")"),"")</f>
        <v/>
      </c>
      <c r="BO227" s="867"/>
      <c r="BP227" s="867"/>
      <c r="BQ227" s="867"/>
      <c r="BR227" s="867"/>
      <c r="BS227" s="867"/>
      <c r="BT227" s="867"/>
      <c r="BU227" s="442"/>
      <c r="BV227" s="868" t="str">
        <f>IFERROR(__xludf.DUMMYFUNCTION("IF(OR(C227=""AÇÃO"",C227=""BDR""),IFERROR(GOOGLEFINANCE(CONCAT(""BVMF:"",CR227), ""marketcap"")/1000000,""NC""),"""")"),"")</f>
        <v/>
      </c>
      <c r="BW227" s="869" t="s">
        <v>123</v>
      </c>
      <c r="BX227" s="870" t="s">
        <v>123</v>
      </c>
      <c r="BY227" s="868" t="s">
        <v>123</v>
      </c>
      <c r="BZ227" s="870" t="s">
        <v>123</v>
      </c>
      <c r="CA227" s="868" t="s">
        <v>123</v>
      </c>
      <c r="CB227" s="868" t="s">
        <v>123</v>
      </c>
      <c r="CC227" s="868" t="s">
        <v>123</v>
      </c>
      <c r="CD227" s="868" t="str">
        <f>IFERROR(__xludf.DUMMYFUNCTION("IF(OR(C227=""AÇÃO"",C227=""BDR""),IFERROR(GOOGLEFINANCE(CONCAT(""BVMF:"",CR227), ""volumeavg"")/1000000,""NC""),"""")"),"")</f>
        <v/>
      </c>
      <c r="CE227" s="870" t="s">
        <v>123</v>
      </c>
      <c r="CF227" s="870" t="s">
        <v>123</v>
      </c>
      <c r="CG227" s="870" t="str">
        <f>IFERROR(__xludf.DUMMYFUNCTION("IF(OR(C227=""AÇÃO"",C227=""BDR""),IF(CF227=0,""SEM DY"",IFERROR(ImportXML(CONCAT(""http://www.guiainvest.com.br/raiox/default.aspx?sigla="",$CR227),""//*[@id='lbPayoutAtual']""),""NC"")),"""")"),"")</f>
        <v/>
      </c>
      <c r="CH227" s="870" t="s">
        <v>123</v>
      </c>
      <c r="CI227" s="545"/>
      <c r="CJ227" s="871" t="str">
        <f>IFERROR(__xludf.DUMMYFUNCTION("IF(OR(C227=""AÇÃO"",C227=""BDR""),IFERROR(GOOGLEFINANCE(CONCAT(""BVMF:"",CR227), ""eps""),""NC""),"""")"),"")</f>
        <v/>
      </c>
      <c r="CK227" s="442"/>
      <c r="CL227" s="871" t="str">
        <f>IFERROR(__xludf.DUMMYFUNCTION("IF(NOT($BL$4),"""",IF($CR227="""","""",IF($BC227="""","""",IFERROR(query({op.normal!$B$5:$F308},""select Col5, toDate(Col2) where Col1 =  '""&amp;$CR227&amp;""' and Col4 &gt; 0 and ((Col3 is null) or (Col3 = 'C')) and Col2 &gt;= date '""&amp;TEXT(TODAY()-$AQ$5,""yyyy-mm-dd"&amp;""")&amp;""' order by Col2 desc limit 1 label toDate(Col2) ''"")))))"),"")</f>
        <v/>
      </c>
      <c r="CM227" s="872"/>
      <c r="CN227" s="883" t="s">
        <v>123</v>
      </c>
      <c r="CO227" s="874" t="s">
        <v>123</v>
      </c>
      <c r="CP227" s="766"/>
      <c r="CQ227" s="791"/>
      <c r="CR227" s="791"/>
      <c r="CT227" s="791" t="s">
        <v>123</v>
      </c>
      <c r="CU227" s="791" t="str">
        <f>IFERROR(__xludf.DUMMYFUNCTION("IF(CR227="""","""",IF(CT227=$C$4,1,GOOGLEFINANCE(CT227&amp;$C$4)))"),"")</f>
        <v/>
      </c>
    </row>
    <row r="228" ht="22.5" customHeight="1">
      <c r="A228" s="837">
        <v>220.0</v>
      </c>
      <c r="B228" s="838" t="s">
        <v>123</v>
      </c>
      <c r="C228" s="838" t="s">
        <v>123</v>
      </c>
      <c r="D228" s="839" t="s">
        <v>123</v>
      </c>
      <c r="E228" s="839" t="s">
        <v>123</v>
      </c>
      <c r="F228" s="839" t="s">
        <v>123</v>
      </c>
      <c r="H228" s="884"/>
      <c r="I228" s="838"/>
      <c r="J228" s="838"/>
      <c r="K228" s="838"/>
      <c r="L228" s="838"/>
      <c r="M228" s="838"/>
      <c r="N228" s="838"/>
      <c r="O228" s="838"/>
      <c r="P228" s="838"/>
      <c r="Q228" s="838"/>
      <c r="R228" s="838"/>
      <c r="S228" s="838"/>
      <c r="T228" s="838"/>
      <c r="U228" s="838"/>
      <c r="V228" s="838"/>
      <c r="W228" s="838"/>
      <c r="X228" s="838"/>
      <c r="Z228" s="875" t="str">
        <f>IFERROR(__xludf.DUMMYFUNCTION("IF($CR228="""","""",IFERROR(query({CarteirasAtivos},""select Col4 where Col4 is not null and Col1 = '""&amp;$CR228&amp;""' limit 1"")*CU228,""NC""))"),"")</f>
        <v/>
      </c>
      <c r="AA228" s="876" t="str">
        <f>IFERROR(__xludf.DUMMYFUNCTION("IF($CR228="""","""",IFERROR(query({CarteirasAtivos},""select Col6 where Col4 is not null and Col1 = '""&amp;$CR228&amp;""' limit 1""),""NC""))"),"")</f>
        <v/>
      </c>
      <c r="AB228" s="877"/>
      <c r="AC228" s="878" t="s">
        <v>123</v>
      </c>
      <c r="AD228" s="845" t="str">
        <f>IF($CR228="","",IFERROR(VLOOKUP($CR228,ativos.!$C$3:$R308,MATCH("cotacao",ativos.!$C$2:CY$2,0),FALSE)*$CU$5,"atualizar"))</f>
        <v/>
      </c>
      <c r="AE228" s="846" t="str">
        <f>IFERROR(__xludf.DUMMYFUNCTION("IF($CR228="""","""",IFERROR(AVERAGE(query({CarteirasAtivos;CarteirasAtivosEncerrados},""select Col5 where Col5 is not null and Col1 = '""&amp;$CR228&amp;""' and Col10='SIM'""))*CU228,""NC""))"),"")</f>
        <v/>
      </c>
      <c r="AF228" s="847" t="str">
        <f t="shared" si="1"/>
        <v/>
      </c>
      <c r="AG228" s="442"/>
      <c r="AH228" s="848" t="str">
        <f>IFERROR(__xludf.DUMMYFUNCTION("IF($CR228="""","""",IFERROR(GOOGLEFINANCE($CR228,""low52"")*CU228,""-""))"),"")</f>
        <v/>
      </c>
      <c r="AI228" s="848" t="str">
        <f>IFERROR(__xludf.DUMMYFUNCTION("IF($CR228="""","""",IFERROR(GOOGLEFINANCE($CR228,""high52"")*CU228,""-""))"),"")</f>
        <v/>
      </c>
      <c r="AJ228" s="849" t="s">
        <v>123</v>
      </c>
      <c r="AK228" s="850" t="str">
        <f>IFERROR(__xludf.DUMMYFUNCTION("IF($CR228="""","""",IFERROR(GOOGLEFINANCE($CR228,""changepct"")/100,""-""))"),"")</f>
        <v/>
      </c>
      <c r="AL228" s="851" t="str">
        <f>IFERROR(__xludf.DUMMYFUNCTION("IF($CR228="""","""",IFERROR(($AD228/(QUERY(GOOGLEFINANCE($CR228,""price"",TODAY()-7),""SELECT Col2 label Col2 ''"")*$CU228)-1),""-""))"),"")</f>
        <v/>
      </c>
      <c r="AM228" s="851" t="str">
        <f>IFERROR(__xludf.DUMMYFUNCTION("IF($CR228="""","""",IFERROR(($AD228/(QUERY(GOOGLEFINANCE($CR228,""price"",TODAY()-14),""SELECT Col2 label Col2 ''"")*$CU228)-1),""-""))"),"")</f>
        <v/>
      </c>
      <c r="AN228" s="851" t="str">
        <f>IFERROR(__xludf.DUMMYFUNCTION("IF($CR228="""","""",IFERROR(($AD228/(QUERY(GOOGLEFINANCE($CR228,""price"",TODAY()-28),""SELECT Col2 label Col2 ''"")*$CU228)-1),""-""))"),"")</f>
        <v/>
      </c>
      <c r="AO228" s="851" t="str">
        <f>IFERROR(__xludf.DUMMYFUNCTION("IF($CR228="""","""",IFERROR(($AD228/(QUERY(GOOGLEFINANCE($CR228,""price"",TODAY()-$AQ$5),""SELECT Col2 label Col2 ''"")*$CU228)-1),""-""))"),"")</f>
        <v/>
      </c>
      <c r="AP228" s="852" t="str">
        <f>IFERROR(__xludf.DUMMYFUNCTION("IF($CR228="""","""",IFERROR(SPARKLINE(query(GOOGLEFINANCE($CR228,""price"",TODAY()-$AQ$5,TODAY(),1),""select Col2 label Col2 ''""),IF($AP$7=""Gráfico de barras"",{""charttype"",""column"";""highcolor"",""red""},{""chartype"",""line""}))))"),"")</f>
        <v/>
      </c>
      <c r="AQ228" s="144"/>
      <c r="AR228" s="853"/>
      <c r="AS228" s="854" t="str">
        <f>IF($CR228="","",IF(NOT('alocação'!$D$1),"off",IFERROR(VLOOKUP(CR228,BalanceAtivos,3,0),"NC")))</f>
        <v/>
      </c>
      <c r="AT228" s="855" t="str">
        <f>IF($CR228="","",IF(NOT('alocação'!$D$1),"off",IFERROR(VLOOKUP($CR228,BalanceAtivos,4,0)*$CU$5,"NC")))</f>
        <v/>
      </c>
      <c r="AU228" s="856" t="str">
        <f>IF($CR228="","",IF(NOT('alocação'!$D$1),"off",IFERROR(VLOOKUP($CR228,BalanceAtivos,5,0),"-")))</f>
        <v/>
      </c>
      <c r="AV228" s="856" t="str">
        <f>IF($CR228="","",IF(NOT('alocação'!$D$1),"off",IFERROR(VLOOKUP($CR228,BalanceAtivos,6,0),"-")))</f>
        <v/>
      </c>
      <c r="AW228" s="857"/>
      <c r="AX228" s="858" t="str">
        <f>IF($CR228="","",IF($E228="","SP",IFERROR(VLOOKUP($CR228,AtivosDados,MATCH("pm_atual",portfolio.!$A$3:CY$3,0),0)*$CU$5,0)))</f>
        <v/>
      </c>
      <c r="AY228" s="859" t="str">
        <f t="shared" si="2"/>
        <v/>
      </c>
      <c r="AZ228" s="858" t="str">
        <f>IF($CR228="","",IF($E228="","SP",SUMIF(portfolio.!$A$4:$A308,$CR228,portfolio.!$O$4:$O308)*$CU$5))</f>
        <v/>
      </c>
      <c r="BA228" s="858" t="str">
        <f>IF($CR228="","",IF($E228="","SP",SUMIF(portfolio.!$A$4:$A308,$CR228,portfolio.!$AN$4:$AN308)*$CU$5))</f>
        <v/>
      </c>
      <c r="BB228" s="860" t="str">
        <f>IF($CR228="","",IF($E228="","-",IFERROR($BA228/'portfólio'!$DG$63,"")))</f>
        <v/>
      </c>
      <c r="BC228" s="861" t="str">
        <f>IF($CR228="","",IF($E228="","-",SUMIF(portfolio.!$A$4:$A308,$CR228,portfolio.!$J$4:$J308)))</f>
        <v/>
      </c>
      <c r="BD228" s="862" t="str">
        <f>IF($CR228="","",IF($E228="","SP",SUMIF(portfolio.!$A$4:$A308,$CR228,portfolio.!$AQ$4:$AQ308)*$CU$5))</f>
        <v/>
      </c>
      <c r="BE228" s="850" t="str">
        <f t="shared" si="3"/>
        <v/>
      </c>
      <c r="BF228" s="862" t="str">
        <f>IF($CR228="","",IF($E228="","-",SUMIF(portfolio.!$A$4:$A308,$CR228,portfolio.!$AX$4:$AX308)*$CU$5))</f>
        <v/>
      </c>
      <c r="BG228" s="545"/>
      <c r="BH228" s="879" t="s">
        <v>123</v>
      </c>
      <c r="BI228" s="880" t="s">
        <v>123</v>
      </c>
      <c r="BJ228" s="863" t="str">
        <f>IFERROR(__xludf.DUMMYFUNCTION("IF(NOT($BL$4),"""",IF($CR228="""","""",IFERROR(query({GOOGLEFINANCE($CR228,""price"",IF($BI228=""-"",TODAY()-($AQ$5+5),$BI228),TODAY()-1)},""Select max(Col2) where Col1 is not null label max(Col2) ''"")*CU228,""-"")))"),"")</f>
        <v/>
      </c>
      <c r="BK228" s="881" t="s">
        <v>123</v>
      </c>
      <c r="BL228" s="882" t="s">
        <v>123</v>
      </c>
      <c r="BM228" s="442"/>
      <c r="BN228" s="867" t="str">
        <f>IFERROR(__xludf.DUMMYFUNCTION("IF(CR228="""","""",IF(OR(C228=""AÇÃO"",C228=""BDR""),IFERROR(QUERY({fundamentus.!$A$3:$U308},$CX$67&amp;"" where Col1='""&amp;CR228&amp;""' limit 1"",0)),IF(C228=""FII"",IFERROR(QUERY({fundsexplorer.!$A$2:$Z308},$CY$67&amp;"" where Col1='""&amp;CR228&amp;""' limit 1"",0)),""""))"&amp;")"),"")</f>
        <v/>
      </c>
      <c r="BO228" s="867"/>
      <c r="BP228" s="867"/>
      <c r="BQ228" s="867"/>
      <c r="BR228" s="867"/>
      <c r="BS228" s="867"/>
      <c r="BT228" s="867"/>
      <c r="BU228" s="442"/>
      <c r="BV228" s="868" t="str">
        <f>IFERROR(__xludf.DUMMYFUNCTION("IF(OR(C228=""AÇÃO"",C228=""BDR""),IFERROR(GOOGLEFINANCE(CONCAT(""BVMF:"",CR228), ""marketcap"")/1000000,""NC""),"""")"),"")</f>
        <v/>
      </c>
      <c r="BW228" s="869" t="s">
        <v>123</v>
      </c>
      <c r="BX228" s="870" t="s">
        <v>123</v>
      </c>
      <c r="BY228" s="868" t="s">
        <v>123</v>
      </c>
      <c r="BZ228" s="870" t="s">
        <v>123</v>
      </c>
      <c r="CA228" s="868" t="s">
        <v>123</v>
      </c>
      <c r="CB228" s="868" t="s">
        <v>123</v>
      </c>
      <c r="CC228" s="868" t="s">
        <v>123</v>
      </c>
      <c r="CD228" s="868" t="str">
        <f>IFERROR(__xludf.DUMMYFUNCTION("IF(OR(C228=""AÇÃO"",C228=""BDR""),IFERROR(GOOGLEFINANCE(CONCAT(""BVMF:"",CR228), ""volumeavg"")/1000000,""NC""),"""")"),"")</f>
        <v/>
      </c>
      <c r="CE228" s="870" t="s">
        <v>123</v>
      </c>
      <c r="CF228" s="870" t="s">
        <v>123</v>
      </c>
      <c r="CG228" s="870" t="str">
        <f>IFERROR(__xludf.DUMMYFUNCTION("IF(OR(C228=""AÇÃO"",C228=""BDR""),IF(CF228=0,""SEM DY"",IFERROR(ImportXML(CONCAT(""http://www.guiainvest.com.br/raiox/default.aspx?sigla="",$CR228),""//*[@id='lbPayoutAtual']""),""NC"")),"""")"),"")</f>
        <v/>
      </c>
      <c r="CH228" s="870" t="s">
        <v>123</v>
      </c>
      <c r="CI228" s="545"/>
      <c r="CJ228" s="871" t="str">
        <f>IFERROR(__xludf.DUMMYFUNCTION("IF(OR(C228=""AÇÃO"",C228=""BDR""),IFERROR(GOOGLEFINANCE(CONCAT(""BVMF:"",CR228), ""eps""),""NC""),"""")"),"")</f>
        <v/>
      </c>
      <c r="CK228" s="442"/>
      <c r="CL228" s="871" t="str">
        <f>IFERROR(__xludf.DUMMYFUNCTION("IF(NOT($BL$4),"""",IF($CR228="""","""",IF($BC228="""","""",IFERROR(query({op.normal!$B$5:$F308},""select Col5, toDate(Col2) where Col1 =  '""&amp;$CR228&amp;""' and Col4 &gt; 0 and ((Col3 is null) or (Col3 = 'C')) and Col2 &gt;= date '""&amp;TEXT(TODAY()-$AQ$5,""yyyy-mm-dd"&amp;""")&amp;""' order by Col2 desc limit 1 label toDate(Col2) ''"")))))"),"")</f>
        <v/>
      </c>
      <c r="CM228" s="872"/>
      <c r="CN228" s="883" t="s">
        <v>123</v>
      </c>
      <c r="CO228" s="874" t="s">
        <v>123</v>
      </c>
      <c r="CP228" s="766"/>
      <c r="CQ228" s="791"/>
      <c r="CR228" s="791"/>
      <c r="CT228" s="791" t="s">
        <v>123</v>
      </c>
      <c r="CU228" s="791" t="str">
        <f>IFERROR(__xludf.DUMMYFUNCTION("IF(CR228="""","""",IF(CT228=$C$4,1,GOOGLEFINANCE(CT228&amp;$C$4)))"),"")</f>
        <v/>
      </c>
    </row>
    <row r="229" ht="22.5" customHeight="1">
      <c r="A229" s="837">
        <v>221.0</v>
      </c>
      <c r="B229" s="838" t="s">
        <v>123</v>
      </c>
      <c r="C229" s="838" t="s">
        <v>123</v>
      </c>
      <c r="D229" s="839" t="s">
        <v>123</v>
      </c>
      <c r="E229" s="839" t="s">
        <v>123</v>
      </c>
      <c r="F229" s="839" t="s">
        <v>123</v>
      </c>
      <c r="H229" s="884"/>
      <c r="I229" s="838"/>
      <c r="J229" s="838"/>
      <c r="K229" s="838"/>
      <c r="L229" s="838"/>
      <c r="M229" s="838"/>
      <c r="N229" s="838"/>
      <c r="O229" s="838"/>
      <c r="P229" s="838"/>
      <c r="Q229" s="838"/>
      <c r="R229" s="838"/>
      <c r="S229" s="838"/>
      <c r="T229" s="838"/>
      <c r="U229" s="838"/>
      <c r="V229" s="838"/>
      <c r="W229" s="838"/>
      <c r="X229" s="838"/>
      <c r="Z229" s="875" t="str">
        <f>IFERROR(__xludf.DUMMYFUNCTION("IF($CR229="""","""",IFERROR(query({CarteirasAtivos},""select Col4 where Col4 is not null and Col1 = '""&amp;$CR229&amp;""' limit 1"")*CU229,""NC""))"),"")</f>
        <v/>
      </c>
      <c r="AA229" s="876" t="str">
        <f>IFERROR(__xludf.DUMMYFUNCTION("IF($CR229="""","""",IFERROR(query({CarteirasAtivos},""select Col6 where Col4 is not null and Col1 = '""&amp;$CR229&amp;""' limit 1""),""NC""))"),"")</f>
        <v/>
      </c>
      <c r="AB229" s="877"/>
      <c r="AC229" s="878" t="s">
        <v>123</v>
      </c>
      <c r="AD229" s="845" t="str">
        <f>IF($CR229="","",IFERROR(VLOOKUP($CR229,ativos.!$C$3:$R308,MATCH("cotacao",ativos.!$C$2:CY$2,0),FALSE)*$CU$5,"atualizar"))</f>
        <v/>
      </c>
      <c r="AE229" s="846" t="str">
        <f>IFERROR(__xludf.DUMMYFUNCTION("IF($CR229="""","""",IFERROR(AVERAGE(query({CarteirasAtivos;CarteirasAtivosEncerrados},""select Col5 where Col5 is not null and Col1 = '""&amp;$CR229&amp;""' and Col10='SIM'""))*CU229,""NC""))"),"")</f>
        <v/>
      </c>
      <c r="AF229" s="847" t="str">
        <f t="shared" si="1"/>
        <v/>
      </c>
      <c r="AG229" s="442"/>
      <c r="AH229" s="848" t="str">
        <f>IFERROR(__xludf.DUMMYFUNCTION("IF($CR229="""","""",IFERROR(GOOGLEFINANCE($CR229,""low52"")*CU229,""-""))"),"")</f>
        <v/>
      </c>
      <c r="AI229" s="848" t="str">
        <f>IFERROR(__xludf.DUMMYFUNCTION("IF($CR229="""","""",IFERROR(GOOGLEFINANCE($CR229,""high52"")*CU229,""-""))"),"")</f>
        <v/>
      </c>
      <c r="AJ229" s="849" t="s">
        <v>123</v>
      </c>
      <c r="AK229" s="850" t="str">
        <f>IFERROR(__xludf.DUMMYFUNCTION("IF($CR229="""","""",IFERROR(GOOGLEFINANCE($CR229,""changepct"")/100,""-""))"),"")</f>
        <v/>
      </c>
      <c r="AL229" s="851" t="str">
        <f>IFERROR(__xludf.DUMMYFUNCTION("IF($CR229="""","""",IFERROR(($AD229/(QUERY(GOOGLEFINANCE($CR229,""price"",TODAY()-7),""SELECT Col2 label Col2 ''"")*$CU229)-1),""-""))"),"")</f>
        <v/>
      </c>
      <c r="AM229" s="851" t="str">
        <f>IFERROR(__xludf.DUMMYFUNCTION("IF($CR229="""","""",IFERROR(($AD229/(QUERY(GOOGLEFINANCE($CR229,""price"",TODAY()-14),""SELECT Col2 label Col2 ''"")*$CU229)-1),""-""))"),"")</f>
        <v/>
      </c>
      <c r="AN229" s="851" t="str">
        <f>IFERROR(__xludf.DUMMYFUNCTION("IF($CR229="""","""",IFERROR(($AD229/(QUERY(GOOGLEFINANCE($CR229,""price"",TODAY()-28),""SELECT Col2 label Col2 ''"")*$CU229)-1),""-""))"),"")</f>
        <v/>
      </c>
      <c r="AO229" s="851" t="str">
        <f>IFERROR(__xludf.DUMMYFUNCTION("IF($CR229="""","""",IFERROR(($AD229/(QUERY(GOOGLEFINANCE($CR229,""price"",TODAY()-$AQ$5),""SELECT Col2 label Col2 ''"")*$CU229)-1),""-""))"),"")</f>
        <v/>
      </c>
      <c r="AP229" s="852" t="str">
        <f>IFERROR(__xludf.DUMMYFUNCTION("IF($CR229="""","""",IFERROR(SPARKLINE(query(GOOGLEFINANCE($CR229,""price"",TODAY()-$AQ$5,TODAY(),1),""select Col2 label Col2 ''""),IF($AP$7=""Gráfico de barras"",{""charttype"",""column"";""highcolor"",""red""},{""chartype"",""line""}))))"),"")</f>
        <v/>
      </c>
      <c r="AQ229" s="144"/>
      <c r="AR229" s="853"/>
      <c r="AS229" s="854" t="str">
        <f>IF($CR229="","",IF(NOT('alocação'!$D$1),"off",IFERROR(VLOOKUP(CR229,BalanceAtivos,3,0),"NC")))</f>
        <v/>
      </c>
      <c r="AT229" s="855" t="str">
        <f>IF($CR229="","",IF(NOT('alocação'!$D$1),"off",IFERROR(VLOOKUP($CR229,BalanceAtivos,4,0)*$CU$5,"NC")))</f>
        <v/>
      </c>
      <c r="AU229" s="856" t="str">
        <f>IF($CR229="","",IF(NOT('alocação'!$D$1),"off",IFERROR(VLOOKUP($CR229,BalanceAtivos,5,0),"-")))</f>
        <v/>
      </c>
      <c r="AV229" s="856" t="str">
        <f>IF($CR229="","",IF(NOT('alocação'!$D$1),"off",IFERROR(VLOOKUP($CR229,BalanceAtivos,6,0),"-")))</f>
        <v/>
      </c>
      <c r="AW229" s="857"/>
      <c r="AX229" s="858" t="str">
        <f>IF($CR229="","",IF($E229="","SP",IFERROR(VLOOKUP($CR229,AtivosDados,MATCH("pm_atual",portfolio.!$A$3:CY$3,0),0)*$CU$5,0)))</f>
        <v/>
      </c>
      <c r="AY229" s="859" t="str">
        <f t="shared" si="2"/>
        <v/>
      </c>
      <c r="AZ229" s="858" t="str">
        <f>IF($CR229="","",IF($E229="","SP",SUMIF(portfolio.!$A$4:$A308,$CR229,portfolio.!$O$4:$O308)*$CU$5))</f>
        <v/>
      </c>
      <c r="BA229" s="858" t="str">
        <f>IF($CR229="","",IF($E229="","SP",SUMIF(portfolio.!$A$4:$A308,$CR229,portfolio.!$AN$4:$AN308)*$CU$5))</f>
        <v/>
      </c>
      <c r="BB229" s="860" t="str">
        <f>IF($CR229="","",IF($E229="","-",IFERROR($BA229/'portfólio'!$DG$63,"")))</f>
        <v/>
      </c>
      <c r="BC229" s="861" t="str">
        <f>IF($CR229="","",IF($E229="","-",SUMIF(portfolio.!$A$4:$A308,$CR229,portfolio.!$J$4:$J308)))</f>
        <v/>
      </c>
      <c r="BD229" s="862" t="str">
        <f>IF($CR229="","",IF($E229="","SP",SUMIF(portfolio.!$A$4:$A308,$CR229,portfolio.!$AQ$4:$AQ308)*$CU$5))</f>
        <v/>
      </c>
      <c r="BE229" s="850" t="str">
        <f t="shared" si="3"/>
        <v/>
      </c>
      <c r="BF229" s="862" t="str">
        <f>IF($CR229="","",IF($E229="","-",SUMIF(portfolio.!$A$4:$A308,$CR229,portfolio.!$AX$4:$AX308)*$CU$5))</f>
        <v/>
      </c>
      <c r="BG229" s="545"/>
      <c r="BH229" s="879" t="s">
        <v>123</v>
      </c>
      <c r="BI229" s="880" t="s">
        <v>123</v>
      </c>
      <c r="BJ229" s="863" t="str">
        <f>IFERROR(__xludf.DUMMYFUNCTION("IF(NOT($BL$4),"""",IF($CR229="""","""",IFERROR(query({GOOGLEFINANCE($CR229,""price"",IF($BI229=""-"",TODAY()-($AQ$5+5),$BI229),TODAY()-1)},""Select max(Col2) where Col1 is not null label max(Col2) ''"")*CU229,""-"")))"),"")</f>
        <v/>
      </c>
      <c r="BK229" s="881" t="s">
        <v>123</v>
      </c>
      <c r="BL229" s="882" t="s">
        <v>123</v>
      </c>
      <c r="BM229" s="442"/>
      <c r="BN229" s="867" t="str">
        <f>IFERROR(__xludf.DUMMYFUNCTION("IF(CR229="""","""",IF(OR(C229=""AÇÃO"",C229=""BDR""),IFERROR(QUERY({fundamentus.!$A$3:$U308},$CX$67&amp;"" where Col1='""&amp;CR229&amp;""' limit 1"",0)),IF(C229=""FII"",IFERROR(QUERY({fundsexplorer.!$A$2:$Z308},$CY$67&amp;"" where Col1='""&amp;CR229&amp;""' limit 1"",0)),""""))"&amp;")"),"")</f>
        <v/>
      </c>
      <c r="BO229" s="867"/>
      <c r="BP229" s="867"/>
      <c r="BQ229" s="867"/>
      <c r="BR229" s="867"/>
      <c r="BS229" s="867"/>
      <c r="BT229" s="867"/>
      <c r="BU229" s="442"/>
      <c r="BV229" s="868" t="str">
        <f>IFERROR(__xludf.DUMMYFUNCTION("IF(OR(C229=""AÇÃO"",C229=""BDR""),IFERROR(GOOGLEFINANCE(CONCAT(""BVMF:"",CR229), ""marketcap"")/1000000,""NC""),"""")"),"")</f>
        <v/>
      </c>
      <c r="BW229" s="869" t="s">
        <v>123</v>
      </c>
      <c r="BX229" s="870" t="s">
        <v>123</v>
      </c>
      <c r="BY229" s="868" t="s">
        <v>123</v>
      </c>
      <c r="BZ229" s="870" t="s">
        <v>123</v>
      </c>
      <c r="CA229" s="868" t="s">
        <v>123</v>
      </c>
      <c r="CB229" s="868" t="s">
        <v>123</v>
      </c>
      <c r="CC229" s="868" t="s">
        <v>123</v>
      </c>
      <c r="CD229" s="868" t="str">
        <f>IFERROR(__xludf.DUMMYFUNCTION("IF(OR(C229=""AÇÃO"",C229=""BDR""),IFERROR(GOOGLEFINANCE(CONCAT(""BVMF:"",CR229), ""volumeavg"")/1000000,""NC""),"""")"),"")</f>
        <v/>
      </c>
      <c r="CE229" s="870" t="s">
        <v>123</v>
      </c>
      <c r="CF229" s="870" t="s">
        <v>123</v>
      </c>
      <c r="CG229" s="870" t="str">
        <f>IFERROR(__xludf.DUMMYFUNCTION("IF(OR(C229=""AÇÃO"",C229=""BDR""),IF(CF229=0,""SEM DY"",IFERROR(ImportXML(CONCAT(""http://www.guiainvest.com.br/raiox/default.aspx?sigla="",$CR229),""//*[@id='lbPayoutAtual']""),""NC"")),"""")"),"")</f>
        <v/>
      </c>
      <c r="CH229" s="870" t="s">
        <v>123</v>
      </c>
      <c r="CI229" s="545"/>
      <c r="CJ229" s="871" t="str">
        <f>IFERROR(__xludf.DUMMYFUNCTION("IF(OR(C229=""AÇÃO"",C229=""BDR""),IFERROR(GOOGLEFINANCE(CONCAT(""BVMF:"",CR229), ""eps""),""NC""),"""")"),"")</f>
        <v/>
      </c>
      <c r="CK229" s="442"/>
      <c r="CL229" s="871" t="str">
        <f>IFERROR(__xludf.DUMMYFUNCTION("IF(NOT($BL$4),"""",IF($CR229="""","""",IF($BC229="""","""",IFERROR(query({op.normal!$B$5:$F308},""select Col5, toDate(Col2) where Col1 =  '""&amp;$CR229&amp;""' and Col4 &gt; 0 and ((Col3 is null) or (Col3 = 'C')) and Col2 &gt;= date '""&amp;TEXT(TODAY()-$AQ$5,""yyyy-mm-dd"&amp;""")&amp;""' order by Col2 desc limit 1 label toDate(Col2) ''"")))))"),"")</f>
        <v/>
      </c>
      <c r="CM229" s="872"/>
      <c r="CN229" s="883" t="s">
        <v>123</v>
      </c>
      <c r="CO229" s="874" t="s">
        <v>123</v>
      </c>
      <c r="CP229" s="766"/>
      <c r="CQ229" s="791"/>
      <c r="CR229" s="791"/>
      <c r="CT229" s="791" t="s">
        <v>123</v>
      </c>
      <c r="CU229" s="791" t="str">
        <f>IFERROR(__xludf.DUMMYFUNCTION("IF(CR229="""","""",IF(CT229=$C$4,1,GOOGLEFINANCE(CT229&amp;$C$4)))"),"")</f>
        <v/>
      </c>
    </row>
    <row r="230" ht="22.5" customHeight="1">
      <c r="A230" s="837">
        <v>222.0</v>
      </c>
      <c r="B230" s="838" t="s">
        <v>123</v>
      </c>
      <c r="C230" s="838" t="s">
        <v>123</v>
      </c>
      <c r="D230" s="839" t="s">
        <v>123</v>
      </c>
      <c r="E230" s="839" t="s">
        <v>123</v>
      </c>
      <c r="F230" s="839" t="s">
        <v>123</v>
      </c>
      <c r="H230" s="884"/>
      <c r="I230" s="838"/>
      <c r="J230" s="838"/>
      <c r="K230" s="838"/>
      <c r="L230" s="838"/>
      <c r="M230" s="838"/>
      <c r="N230" s="838"/>
      <c r="O230" s="838"/>
      <c r="P230" s="838"/>
      <c r="Q230" s="838"/>
      <c r="R230" s="838"/>
      <c r="S230" s="838"/>
      <c r="T230" s="838"/>
      <c r="U230" s="838"/>
      <c r="V230" s="838"/>
      <c r="W230" s="838"/>
      <c r="X230" s="838"/>
      <c r="Z230" s="875" t="str">
        <f>IFERROR(__xludf.DUMMYFUNCTION("IF($CR230="""","""",IFERROR(query({CarteirasAtivos},""select Col4 where Col4 is not null and Col1 = '""&amp;$CR230&amp;""' limit 1"")*CU230,""NC""))"),"")</f>
        <v/>
      </c>
      <c r="AA230" s="876" t="str">
        <f>IFERROR(__xludf.DUMMYFUNCTION("IF($CR230="""","""",IFERROR(query({CarteirasAtivos},""select Col6 where Col4 is not null and Col1 = '""&amp;$CR230&amp;""' limit 1""),""NC""))"),"")</f>
        <v/>
      </c>
      <c r="AB230" s="877"/>
      <c r="AC230" s="878" t="s">
        <v>123</v>
      </c>
      <c r="AD230" s="845" t="str">
        <f>IF($CR230="","",IFERROR(VLOOKUP($CR230,ativos.!$C$3:$R308,MATCH("cotacao",ativos.!$C$2:CY$2,0),FALSE)*$CU$5,"atualizar"))</f>
        <v/>
      </c>
      <c r="AE230" s="846" t="str">
        <f>IFERROR(__xludf.DUMMYFUNCTION("IF($CR230="""","""",IFERROR(AVERAGE(query({CarteirasAtivos;CarteirasAtivosEncerrados},""select Col5 where Col5 is not null and Col1 = '""&amp;$CR230&amp;""' and Col10='SIM'""))*CU230,""NC""))"),"")</f>
        <v/>
      </c>
      <c r="AF230" s="847" t="str">
        <f t="shared" si="1"/>
        <v/>
      </c>
      <c r="AG230" s="442"/>
      <c r="AH230" s="848" t="str">
        <f>IFERROR(__xludf.DUMMYFUNCTION("IF($CR230="""","""",IFERROR(GOOGLEFINANCE($CR230,""low52"")*CU230,""-""))"),"")</f>
        <v/>
      </c>
      <c r="AI230" s="848" t="str">
        <f>IFERROR(__xludf.DUMMYFUNCTION("IF($CR230="""","""",IFERROR(GOOGLEFINANCE($CR230,""high52"")*CU230,""-""))"),"")</f>
        <v/>
      </c>
      <c r="AJ230" s="849" t="s">
        <v>123</v>
      </c>
      <c r="AK230" s="850" t="str">
        <f>IFERROR(__xludf.DUMMYFUNCTION("IF($CR230="""","""",IFERROR(GOOGLEFINANCE($CR230,""changepct"")/100,""-""))"),"")</f>
        <v/>
      </c>
      <c r="AL230" s="851" t="str">
        <f>IFERROR(__xludf.DUMMYFUNCTION("IF($CR230="""","""",IFERROR(($AD230/(QUERY(GOOGLEFINANCE($CR230,""price"",TODAY()-7),""SELECT Col2 label Col2 ''"")*$CU230)-1),""-""))"),"")</f>
        <v/>
      </c>
      <c r="AM230" s="851" t="str">
        <f>IFERROR(__xludf.DUMMYFUNCTION("IF($CR230="""","""",IFERROR(($AD230/(QUERY(GOOGLEFINANCE($CR230,""price"",TODAY()-14),""SELECT Col2 label Col2 ''"")*$CU230)-1),""-""))"),"")</f>
        <v/>
      </c>
      <c r="AN230" s="851" t="str">
        <f>IFERROR(__xludf.DUMMYFUNCTION("IF($CR230="""","""",IFERROR(($AD230/(QUERY(GOOGLEFINANCE($CR230,""price"",TODAY()-28),""SELECT Col2 label Col2 ''"")*$CU230)-1),""-""))"),"")</f>
        <v/>
      </c>
      <c r="AO230" s="851" t="str">
        <f>IFERROR(__xludf.DUMMYFUNCTION("IF($CR230="""","""",IFERROR(($AD230/(QUERY(GOOGLEFINANCE($CR230,""price"",TODAY()-$AQ$5),""SELECT Col2 label Col2 ''"")*$CU230)-1),""-""))"),"")</f>
        <v/>
      </c>
      <c r="AP230" s="852" t="str">
        <f>IFERROR(__xludf.DUMMYFUNCTION("IF($CR230="""","""",IFERROR(SPARKLINE(query(GOOGLEFINANCE($CR230,""price"",TODAY()-$AQ$5,TODAY(),1),""select Col2 label Col2 ''""),IF($AP$7=""Gráfico de barras"",{""charttype"",""column"";""highcolor"",""red""},{""chartype"",""line""}))))"),"")</f>
        <v/>
      </c>
      <c r="AQ230" s="144"/>
      <c r="AR230" s="853"/>
      <c r="AS230" s="854" t="str">
        <f>IF($CR230="","",IF(NOT('alocação'!$D$1),"off",IFERROR(VLOOKUP(CR230,BalanceAtivos,3,0),"NC")))</f>
        <v/>
      </c>
      <c r="AT230" s="855" t="str">
        <f>IF($CR230="","",IF(NOT('alocação'!$D$1),"off",IFERROR(VLOOKUP($CR230,BalanceAtivos,4,0)*$CU$5,"NC")))</f>
        <v/>
      </c>
      <c r="AU230" s="856" t="str">
        <f>IF($CR230="","",IF(NOT('alocação'!$D$1),"off",IFERROR(VLOOKUP($CR230,BalanceAtivos,5,0),"-")))</f>
        <v/>
      </c>
      <c r="AV230" s="856" t="str">
        <f>IF($CR230="","",IF(NOT('alocação'!$D$1),"off",IFERROR(VLOOKUP($CR230,BalanceAtivos,6,0),"-")))</f>
        <v/>
      </c>
      <c r="AW230" s="857"/>
      <c r="AX230" s="858" t="str">
        <f>IF($CR230="","",IF($E230="","SP",IFERROR(VLOOKUP($CR230,AtivosDados,MATCH("pm_atual",portfolio.!$A$3:CY$3,0),0)*$CU$5,0)))</f>
        <v/>
      </c>
      <c r="AY230" s="859" t="str">
        <f t="shared" si="2"/>
        <v/>
      </c>
      <c r="AZ230" s="858" t="str">
        <f>IF($CR230="","",IF($E230="","SP",SUMIF(portfolio.!$A$4:$A308,$CR230,portfolio.!$O$4:$O308)*$CU$5))</f>
        <v/>
      </c>
      <c r="BA230" s="858" t="str">
        <f>IF($CR230="","",IF($E230="","SP",SUMIF(portfolio.!$A$4:$A308,$CR230,portfolio.!$AN$4:$AN308)*$CU$5))</f>
        <v/>
      </c>
      <c r="BB230" s="860" t="str">
        <f>IF($CR230="","",IF($E230="","-",IFERROR($BA230/'portfólio'!$DG$63,"")))</f>
        <v/>
      </c>
      <c r="BC230" s="861" t="str">
        <f>IF($CR230="","",IF($E230="","-",SUMIF(portfolio.!$A$4:$A308,$CR230,portfolio.!$J$4:$J308)))</f>
        <v/>
      </c>
      <c r="BD230" s="862" t="str">
        <f>IF($CR230="","",IF($E230="","SP",SUMIF(portfolio.!$A$4:$A308,$CR230,portfolio.!$AQ$4:$AQ308)*$CU$5))</f>
        <v/>
      </c>
      <c r="BE230" s="850" t="str">
        <f t="shared" si="3"/>
        <v/>
      </c>
      <c r="BF230" s="862" t="str">
        <f>IF($CR230="","",IF($E230="","-",SUMIF(portfolio.!$A$4:$A308,$CR230,portfolio.!$AX$4:$AX308)*$CU$5))</f>
        <v/>
      </c>
      <c r="BG230" s="545"/>
      <c r="BH230" s="879" t="s">
        <v>123</v>
      </c>
      <c r="BI230" s="880" t="s">
        <v>123</v>
      </c>
      <c r="BJ230" s="863" t="str">
        <f>IFERROR(__xludf.DUMMYFUNCTION("IF(NOT($BL$4),"""",IF($CR230="""","""",IFERROR(query({GOOGLEFINANCE($CR230,""price"",IF($BI230=""-"",TODAY()-($AQ$5+5),$BI230),TODAY()-1)},""Select max(Col2) where Col1 is not null label max(Col2) ''"")*CU230,""-"")))"),"")</f>
        <v/>
      </c>
      <c r="BK230" s="881" t="s">
        <v>123</v>
      </c>
      <c r="BL230" s="882" t="s">
        <v>123</v>
      </c>
      <c r="BM230" s="442"/>
      <c r="BN230" s="867" t="str">
        <f>IFERROR(__xludf.DUMMYFUNCTION("IF(CR230="""","""",IF(OR(C230=""AÇÃO"",C230=""BDR""),IFERROR(QUERY({fundamentus.!$A$3:$U308},$CX$67&amp;"" where Col1='""&amp;CR230&amp;""' limit 1"",0)),IF(C230=""FII"",IFERROR(QUERY({fundsexplorer.!$A$2:$Z308},$CY$67&amp;"" where Col1='""&amp;CR230&amp;""' limit 1"",0)),""""))"&amp;")"),"")</f>
        <v/>
      </c>
      <c r="BO230" s="867"/>
      <c r="BP230" s="867"/>
      <c r="BQ230" s="867"/>
      <c r="BR230" s="867"/>
      <c r="BS230" s="867"/>
      <c r="BT230" s="867"/>
      <c r="BU230" s="442"/>
      <c r="BV230" s="868" t="str">
        <f>IFERROR(__xludf.DUMMYFUNCTION("IF(OR(C230=""AÇÃO"",C230=""BDR""),IFERROR(GOOGLEFINANCE(CONCAT(""BVMF:"",CR230), ""marketcap"")/1000000,""NC""),"""")"),"")</f>
        <v/>
      </c>
      <c r="BW230" s="869" t="s">
        <v>123</v>
      </c>
      <c r="BX230" s="870" t="s">
        <v>123</v>
      </c>
      <c r="BY230" s="868" t="s">
        <v>123</v>
      </c>
      <c r="BZ230" s="870" t="s">
        <v>123</v>
      </c>
      <c r="CA230" s="868" t="s">
        <v>123</v>
      </c>
      <c r="CB230" s="868" t="s">
        <v>123</v>
      </c>
      <c r="CC230" s="868" t="s">
        <v>123</v>
      </c>
      <c r="CD230" s="868" t="str">
        <f>IFERROR(__xludf.DUMMYFUNCTION("IF(OR(C230=""AÇÃO"",C230=""BDR""),IFERROR(GOOGLEFINANCE(CONCAT(""BVMF:"",CR230), ""volumeavg"")/1000000,""NC""),"""")"),"")</f>
        <v/>
      </c>
      <c r="CE230" s="870" t="s">
        <v>123</v>
      </c>
      <c r="CF230" s="870" t="s">
        <v>123</v>
      </c>
      <c r="CG230" s="870" t="str">
        <f>IFERROR(__xludf.DUMMYFUNCTION("IF(OR(C230=""AÇÃO"",C230=""BDR""),IF(CF230=0,""SEM DY"",IFERROR(ImportXML(CONCAT(""http://www.guiainvest.com.br/raiox/default.aspx?sigla="",$CR230),""//*[@id='lbPayoutAtual']""),""NC"")),"""")"),"")</f>
        <v/>
      </c>
      <c r="CH230" s="870" t="s">
        <v>123</v>
      </c>
      <c r="CI230" s="545"/>
      <c r="CJ230" s="871" t="str">
        <f>IFERROR(__xludf.DUMMYFUNCTION("IF(OR(C230=""AÇÃO"",C230=""BDR""),IFERROR(GOOGLEFINANCE(CONCAT(""BVMF:"",CR230), ""eps""),""NC""),"""")"),"")</f>
        <v/>
      </c>
      <c r="CK230" s="442"/>
      <c r="CL230" s="871" t="str">
        <f>IFERROR(__xludf.DUMMYFUNCTION("IF(NOT($BL$4),"""",IF($CR230="""","""",IF($BC230="""","""",IFERROR(query({op.normal!$B$5:$F308},""select Col5, toDate(Col2) where Col1 =  '""&amp;$CR230&amp;""' and Col4 &gt; 0 and ((Col3 is null) or (Col3 = 'C')) and Col2 &gt;= date '""&amp;TEXT(TODAY()-$AQ$5,""yyyy-mm-dd"&amp;""")&amp;""' order by Col2 desc limit 1 label toDate(Col2) ''"")))))"),"")</f>
        <v/>
      </c>
      <c r="CM230" s="872"/>
      <c r="CN230" s="883" t="s">
        <v>123</v>
      </c>
      <c r="CO230" s="874" t="s">
        <v>123</v>
      </c>
      <c r="CP230" s="766"/>
      <c r="CQ230" s="791"/>
      <c r="CR230" s="791"/>
      <c r="CT230" s="791" t="s">
        <v>123</v>
      </c>
      <c r="CU230" s="791" t="str">
        <f>IFERROR(__xludf.DUMMYFUNCTION("IF(CR230="""","""",IF(CT230=$C$4,1,GOOGLEFINANCE(CT230&amp;$C$4)))"),"")</f>
        <v/>
      </c>
    </row>
    <row r="231" ht="22.5" customHeight="1">
      <c r="A231" s="837">
        <v>223.0</v>
      </c>
      <c r="B231" s="838" t="s">
        <v>123</v>
      </c>
      <c r="C231" s="838" t="s">
        <v>123</v>
      </c>
      <c r="D231" s="839" t="s">
        <v>123</v>
      </c>
      <c r="E231" s="839" t="s">
        <v>123</v>
      </c>
      <c r="F231" s="839" t="s">
        <v>123</v>
      </c>
      <c r="H231" s="884"/>
      <c r="I231" s="838"/>
      <c r="J231" s="838"/>
      <c r="K231" s="838"/>
      <c r="L231" s="838"/>
      <c r="M231" s="838"/>
      <c r="N231" s="838"/>
      <c r="O231" s="838"/>
      <c r="P231" s="838"/>
      <c r="Q231" s="838"/>
      <c r="R231" s="838"/>
      <c r="S231" s="838"/>
      <c r="T231" s="838"/>
      <c r="U231" s="838"/>
      <c r="V231" s="838"/>
      <c r="W231" s="838"/>
      <c r="X231" s="838"/>
      <c r="Z231" s="875" t="str">
        <f>IFERROR(__xludf.DUMMYFUNCTION("IF($CR231="""","""",IFERROR(query({CarteirasAtivos},""select Col4 where Col4 is not null and Col1 = '""&amp;$CR231&amp;""' limit 1"")*CU231,""NC""))"),"")</f>
        <v/>
      </c>
      <c r="AA231" s="876" t="str">
        <f>IFERROR(__xludf.DUMMYFUNCTION("IF($CR231="""","""",IFERROR(query({CarteirasAtivos},""select Col6 where Col4 is not null and Col1 = '""&amp;$CR231&amp;""' limit 1""),""NC""))"),"")</f>
        <v/>
      </c>
      <c r="AB231" s="877"/>
      <c r="AC231" s="878" t="s">
        <v>123</v>
      </c>
      <c r="AD231" s="845" t="str">
        <f>IF($CR231="","",IFERROR(VLOOKUP($CR231,ativos.!$C$3:$R308,MATCH("cotacao",ativos.!$C$2:CY$2,0),FALSE)*$CU$5,"atualizar"))</f>
        <v/>
      </c>
      <c r="AE231" s="846" t="str">
        <f>IFERROR(__xludf.DUMMYFUNCTION("IF($CR231="""","""",IFERROR(AVERAGE(query({CarteirasAtivos;CarteirasAtivosEncerrados},""select Col5 where Col5 is not null and Col1 = '""&amp;$CR231&amp;""' and Col10='SIM'""))*CU231,""NC""))"),"")</f>
        <v/>
      </c>
      <c r="AF231" s="847" t="str">
        <f t="shared" si="1"/>
        <v/>
      </c>
      <c r="AG231" s="442"/>
      <c r="AH231" s="848" t="str">
        <f>IFERROR(__xludf.DUMMYFUNCTION("IF($CR231="""","""",IFERROR(GOOGLEFINANCE($CR231,""low52"")*CU231,""-""))"),"")</f>
        <v/>
      </c>
      <c r="AI231" s="848" t="str">
        <f>IFERROR(__xludf.DUMMYFUNCTION("IF($CR231="""","""",IFERROR(GOOGLEFINANCE($CR231,""high52"")*CU231,""-""))"),"")</f>
        <v/>
      </c>
      <c r="AJ231" s="849" t="s">
        <v>123</v>
      </c>
      <c r="AK231" s="850" t="str">
        <f>IFERROR(__xludf.DUMMYFUNCTION("IF($CR231="""","""",IFERROR(GOOGLEFINANCE($CR231,""changepct"")/100,""-""))"),"")</f>
        <v/>
      </c>
      <c r="AL231" s="851" t="str">
        <f>IFERROR(__xludf.DUMMYFUNCTION("IF($CR231="""","""",IFERROR(($AD231/(QUERY(GOOGLEFINANCE($CR231,""price"",TODAY()-7),""SELECT Col2 label Col2 ''"")*$CU231)-1),""-""))"),"")</f>
        <v/>
      </c>
      <c r="AM231" s="851" t="str">
        <f>IFERROR(__xludf.DUMMYFUNCTION("IF($CR231="""","""",IFERROR(($AD231/(QUERY(GOOGLEFINANCE($CR231,""price"",TODAY()-14),""SELECT Col2 label Col2 ''"")*$CU231)-1),""-""))"),"")</f>
        <v/>
      </c>
      <c r="AN231" s="851" t="str">
        <f>IFERROR(__xludf.DUMMYFUNCTION("IF($CR231="""","""",IFERROR(($AD231/(QUERY(GOOGLEFINANCE($CR231,""price"",TODAY()-28),""SELECT Col2 label Col2 ''"")*$CU231)-1),""-""))"),"")</f>
        <v/>
      </c>
      <c r="AO231" s="851" t="str">
        <f>IFERROR(__xludf.DUMMYFUNCTION("IF($CR231="""","""",IFERROR(($AD231/(QUERY(GOOGLEFINANCE($CR231,""price"",TODAY()-$AQ$5),""SELECT Col2 label Col2 ''"")*$CU231)-1),""-""))"),"")</f>
        <v/>
      </c>
      <c r="AP231" s="852" t="str">
        <f>IFERROR(__xludf.DUMMYFUNCTION("IF($CR231="""","""",IFERROR(SPARKLINE(query(GOOGLEFINANCE($CR231,""price"",TODAY()-$AQ$5,TODAY(),1),""select Col2 label Col2 ''""),IF($AP$7=""Gráfico de barras"",{""charttype"",""column"";""highcolor"",""red""},{""chartype"",""line""}))))"),"")</f>
        <v/>
      </c>
      <c r="AQ231" s="144"/>
      <c r="AR231" s="853"/>
      <c r="AS231" s="854" t="str">
        <f>IF($CR231="","",IF(NOT('alocação'!$D$1),"off",IFERROR(VLOOKUP(CR231,BalanceAtivos,3,0),"NC")))</f>
        <v/>
      </c>
      <c r="AT231" s="855" t="str">
        <f>IF($CR231="","",IF(NOT('alocação'!$D$1),"off",IFERROR(VLOOKUP($CR231,BalanceAtivos,4,0)*$CU$5,"NC")))</f>
        <v/>
      </c>
      <c r="AU231" s="856" t="str">
        <f>IF($CR231="","",IF(NOT('alocação'!$D$1),"off",IFERROR(VLOOKUP($CR231,BalanceAtivos,5,0),"-")))</f>
        <v/>
      </c>
      <c r="AV231" s="856" t="str">
        <f>IF($CR231="","",IF(NOT('alocação'!$D$1),"off",IFERROR(VLOOKUP($CR231,BalanceAtivos,6,0),"-")))</f>
        <v/>
      </c>
      <c r="AW231" s="857"/>
      <c r="AX231" s="858" t="str">
        <f>IF($CR231="","",IF($E231="","SP",IFERROR(VLOOKUP($CR231,AtivosDados,MATCH("pm_atual",portfolio.!$A$3:CY$3,0),0)*$CU$5,0)))</f>
        <v/>
      </c>
      <c r="AY231" s="859" t="str">
        <f t="shared" si="2"/>
        <v/>
      </c>
      <c r="AZ231" s="858" t="str">
        <f>IF($CR231="","",IF($E231="","SP",SUMIF(portfolio.!$A$4:$A308,$CR231,portfolio.!$O$4:$O308)*$CU$5))</f>
        <v/>
      </c>
      <c r="BA231" s="858" t="str">
        <f>IF($CR231="","",IF($E231="","SP",SUMIF(portfolio.!$A$4:$A308,$CR231,portfolio.!$AN$4:$AN308)*$CU$5))</f>
        <v/>
      </c>
      <c r="BB231" s="860" t="str">
        <f>IF($CR231="","",IF($E231="","-",IFERROR($BA231/'portfólio'!$DG$63,"")))</f>
        <v/>
      </c>
      <c r="BC231" s="861" t="str">
        <f>IF($CR231="","",IF($E231="","-",SUMIF(portfolio.!$A$4:$A308,$CR231,portfolio.!$J$4:$J308)))</f>
        <v/>
      </c>
      <c r="BD231" s="862" t="str">
        <f>IF($CR231="","",IF($E231="","SP",SUMIF(portfolio.!$A$4:$A308,$CR231,portfolio.!$AQ$4:$AQ308)*$CU$5))</f>
        <v/>
      </c>
      <c r="BE231" s="850" t="str">
        <f t="shared" si="3"/>
        <v/>
      </c>
      <c r="BF231" s="862" t="str">
        <f>IF($CR231="","",IF($E231="","-",SUMIF(portfolio.!$A$4:$A308,$CR231,portfolio.!$AX$4:$AX308)*$CU$5))</f>
        <v/>
      </c>
      <c r="BG231" s="545"/>
      <c r="BH231" s="879" t="s">
        <v>123</v>
      </c>
      <c r="BI231" s="880" t="s">
        <v>123</v>
      </c>
      <c r="BJ231" s="863" t="str">
        <f>IFERROR(__xludf.DUMMYFUNCTION("IF(NOT($BL$4),"""",IF($CR231="""","""",IFERROR(query({GOOGLEFINANCE($CR231,""price"",IF($BI231=""-"",TODAY()-($AQ$5+5),$BI231),TODAY()-1)},""Select max(Col2) where Col1 is not null label max(Col2) ''"")*CU231,""-"")))"),"")</f>
        <v/>
      </c>
      <c r="BK231" s="881" t="s">
        <v>123</v>
      </c>
      <c r="BL231" s="882" t="s">
        <v>123</v>
      </c>
      <c r="BM231" s="442"/>
      <c r="BN231" s="867" t="str">
        <f>IFERROR(__xludf.DUMMYFUNCTION("IF(CR231="""","""",IF(OR(C231=""AÇÃO"",C231=""BDR""),IFERROR(QUERY({fundamentus.!$A$3:$U308},$CX$67&amp;"" where Col1='""&amp;CR231&amp;""' limit 1"",0)),IF(C231=""FII"",IFERROR(QUERY({fundsexplorer.!$A$2:$Z308},$CY$67&amp;"" where Col1='""&amp;CR231&amp;""' limit 1"",0)),""""))"&amp;")"),"")</f>
        <v/>
      </c>
      <c r="BO231" s="867"/>
      <c r="BP231" s="867"/>
      <c r="BQ231" s="867"/>
      <c r="BR231" s="867"/>
      <c r="BS231" s="867"/>
      <c r="BT231" s="867"/>
      <c r="BU231" s="442"/>
      <c r="BV231" s="868" t="str">
        <f>IFERROR(__xludf.DUMMYFUNCTION("IF(OR(C231=""AÇÃO"",C231=""BDR""),IFERROR(GOOGLEFINANCE(CONCAT(""BVMF:"",CR231), ""marketcap"")/1000000,""NC""),"""")"),"")</f>
        <v/>
      </c>
      <c r="BW231" s="869" t="s">
        <v>123</v>
      </c>
      <c r="BX231" s="870" t="s">
        <v>123</v>
      </c>
      <c r="BY231" s="868" t="s">
        <v>123</v>
      </c>
      <c r="BZ231" s="870" t="s">
        <v>123</v>
      </c>
      <c r="CA231" s="868" t="s">
        <v>123</v>
      </c>
      <c r="CB231" s="868" t="s">
        <v>123</v>
      </c>
      <c r="CC231" s="868" t="s">
        <v>123</v>
      </c>
      <c r="CD231" s="868" t="str">
        <f>IFERROR(__xludf.DUMMYFUNCTION("IF(OR(C231=""AÇÃO"",C231=""BDR""),IFERROR(GOOGLEFINANCE(CONCAT(""BVMF:"",CR231), ""volumeavg"")/1000000,""NC""),"""")"),"")</f>
        <v/>
      </c>
      <c r="CE231" s="870" t="s">
        <v>123</v>
      </c>
      <c r="CF231" s="870" t="s">
        <v>123</v>
      </c>
      <c r="CG231" s="870" t="str">
        <f>IFERROR(__xludf.DUMMYFUNCTION("IF(OR(C231=""AÇÃO"",C231=""BDR""),IF(CF231=0,""SEM DY"",IFERROR(ImportXML(CONCAT(""http://www.guiainvest.com.br/raiox/default.aspx?sigla="",$CR231),""//*[@id='lbPayoutAtual']""),""NC"")),"""")"),"")</f>
        <v/>
      </c>
      <c r="CH231" s="870" t="s">
        <v>123</v>
      </c>
      <c r="CI231" s="545"/>
      <c r="CJ231" s="871" t="str">
        <f>IFERROR(__xludf.DUMMYFUNCTION("IF(OR(C231=""AÇÃO"",C231=""BDR""),IFERROR(GOOGLEFINANCE(CONCAT(""BVMF:"",CR231), ""eps""),""NC""),"""")"),"")</f>
        <v/>
      </c>
      <c r="CK231" s="442"/>
      <c r="CL231" s="871" t="str">
        <f>IFERROR(__xludf.DUMMYFUNCTION("IF(NOT($BL$4),"""",IF($CR231="""","""",IF($BC231="""","""",IFERROR(query({op.normal!$B$5:$F308},""select Col5, toDate(Col2) where Col1 =  '""&amp;$CR231&amp;""' and Col4 &gt; 0 and ((Col3 is null) or (Col3 = 'C')) and Col2 &gt;= date '""&amp;TEXT(TODAY()-$AQ$5,""yyyy-mm-dd"&amp;""")&amp;""' order by Col2 desc limit 1 label toDate(Col2) ''"")))))"),"")</f>
        <v/>
      </c>
      <c r="CM231" s="872"/>
      <c r="CN231" s="883" t="s">
        <v>123</v>
      </c>
      <c r="CO231" s="874" t="s">
        <v>123</v>
      </c>
      <c r="CP231" s="766"/>
      <c r="CQ231" s="791"/>
      <c r="CR231" s="791"/>
      <c r="CT231" s="791" t="s">
        <v>123</v>
      </c>
      <c r="CU231" s="791" t="str">
        <f>IFERROR(__xludf.DUMMYFUNCTION("IF(CR231="""","""",IF(CT231=$C$4,1,GOOGLEFINANCE(CT231&amp;$C$4)))"),"")</f>
        <v/>
      </c>
    </row>
    <row r="232" ht="22.5" customHeight="1">
      <c r="A232" s="837">
        <v>224.0</v>
      </c>
      <c r="B232" s="838" t="s">
        <v>123</v>
      </c>
      <c r="C232" s="838" t="s">
        <v>123</v>
      </c>
      <c r="D232" s="839" t="s">
        <v>123</v>
      </c>
      <c r="E232" s="839" t="s">
        <v>123</v>
      </c>
      <c r="F232" s="839" t="s">
        <v>123</v>
      </c>
      <c r="H232" s="884"/>
      <c r="I232" s="838"/>
      <c r="J232" s="838"/>
      <c r="K232" s="838"/>
      <c r="L232" s="838"/>
      <c r="M232" s="838"/>
      <c r="N232" s="838"/>
      <c r="O232" s="838"/>
      <c r="P232" s="838"/>
      <c r="Q232" s="838"/>
      <c r="R232" s="838"/>
      <c r="S232" s="838"/>
      <c r="T232" s="838"/>
      <c r="U232" s="838"/>
      <c r="V232" s="838"/>
      <c r="W232" s="838"/>
      <c r="X232" s="838"/>
      <c r="Z232" s="875" t="str">
        <f>IFERROR(__xludf.DUMMYFUNCTION("IF($CR232="""","""",IFERROR(query({CarteirasAtivos},""select Col4 where Col4 is not null and Col1 = '""&amp;$CR232&amp;""' limit 1"")*CU232,""NC""))"),"")</f>
        <v/>
      </c>
      <c r="AA232" s="876" t="str">
        <f>IFERROR(__xludf.DUMMYFUNCTION("IF($CR232="""","""",IFERROR(query({CarteirasAtivos},""select Col6 where Col4 is not null and Col1 = '""&amp;$CR232&amp;""' limit 1""),""NC""))"),"")</f>
        <v/>
      </c>
      <c r="AB232" s="877"/>
      <c r="AC232" s="878" t="s">
        <v>123</v>
      </c>
      <c r="AD232" s="845" t="str">
        <f>IF($CR232="","",IFERROR(VLOOKUP($CR232,ativos.!$C$3:$R308,MATCH("cotacao",ativos.!$C$2:CY$2,0),FALSE)*$CU$5,"atualizar"))</f>
        <v/>
      </c>
      <c r="AE232" s="846" t="str">
        <f>IFERROR(__xludf.DUMMYFUNCTION("IF($CR232="""","""",IFERROR(AVERAGE(query({CarteirasAtivos;CarteirasAtivosEncerrados},""select Col5 where Col5 is not null and Col1 = '""&amp;$CR232&amp;""' and Col10='SIM'""))*CU232,""NC""))"),"")</f>
        <v/>
      </c>
      <c r="AF232" s="847" t="str">
        <f t="shared" si="1"/>
        <v/>
      </c>
      <c r="AG232" s="442"/>
      <c r="AH232" s="848" t="str">
        <f>IFERROR(__xludf.DUMMYFUNCTION("IF($CR232="""","""",IFERROR(GOOGLEFINANCE($CR232,""low52"")*CU232,""-""))"),"")</f>
        <v/>
      </c>
      <c r="AI232" s="848" t="str">
        <f>IFERROR(__xludf.DUMMYFUNCTION("IF($CR232="""","""",IFERROR(GOOGLEFINANCE($CR232,""high52"")*CU232,""-""))"),"")</f>
        <v/>
      </c>
      <c r="AJ232" s="849" t="s">
        <v>123</v>
      </c>
      <c r="AK232" s="850" t="str">
        <f>IFERROR(__xludf.DUMMYFUNCTION("IF($CR232="""","""",IFERROR(GOOGLEFINANCE($CR232,""changepct"")/100,""-""))"),"")</f>
        <v/>
      </c>
      <c r="AL232" s="851" t="str">
        <f>IFERROR(__xludf.DUMMYFUNCTION("IF($CR232="""","""",IFERROR(($AD232/(QUERY(GOOGLEFINANCE($CR232,""price"",TODAY()-7),""SELECT Col2 label Col2 ''"")*$CU232)-1),""-""))"),"")</f>
        <v/>
      </c>
      <c r="AM232" s="851" t="str">
        <f>IFERROR(__xludf.DUMMYFUNCTION("IF($CR232="""","""",IFERROR(($AD232/(QUERY(GOOGLEFINANCE($CR232,""price"",TODAY()-14),""SELECT Col2 label Col2 ''"")*$CU232)-1),""-""))"),"")</f>
        <v/>
      </c>
      <c r="AN232" s="851" t="str">
        <f>IFERROR(__xludf.DUMMYFUNCTION("IF($CR232="""","""",IFERROR(($AD232/(QUERY(GOOGLEFINANCE($CR232,""price"",TODAY()-28),""SELECT Col2 label Col2 ''"")*$CU232)-1),""-""))"),"")</f>
        <v/>
      </c>
      <c r="AO232" s="851" t="str">
        <f>IFERROR(__xludf.DUMMYFUNCTION("IF($CR232="""","""",IFERROR(($AD232/(QUERY(GOOGLEFINANCE($CR232,""price"",TODAY()-$AQ$5),""SELECT Col2 label Col2 ''"")*$CU232)-1),""-""))"),"")</f>
        <v/>
      </c>
      <c r="AP232" s="852" t="str">
        <f>IFERROR(__xludf.DUMMYFUNCTION("IF($CR232="""","""",IFERROR(SPARKLINE(query(GOOGLEFINANCE($CR232,""price"",TODAY()-$AQ$5,TODAY(),1),""select Col2 label Col2 ''""),IF($AP$7=""Gráfico de barras"",{""charttype"",""column"";""highcolor"",""red""},{""chartype"",""line""}))))"),"")</f>
        <v/>
      </c>
      <c r="AQ232" s="144"/>
      <c r="AR232" s="853"/>
      <c r="AS232" s="854" t="str">
        <f>IF($CR232="","",IF(NOT('alocação'!$D$1),"off",IFERROR(VLOOKUP(CR232,BalanceAtivos,3,0),"NC")))</f>
        <v/>
      </c>
      <c r="AT232" s="855" t="str">
        <f>IF($CR232="","",IF(NOT('alocação'!$D$1),"off",IFERROR(VLOOKUP($CR232,BalanceAtivos,4,0)*$CU$5,"NC")))</f>
        <v/>
      </c>
      <c r="AU232" s="856" t="str">
        <f>IF($CR232="","",IF(NOT('alocação'!$D$1),"off",IFERROR(VLOOKUP($CR232,BalanceAtivos,5,0),"-")))</f>
        <v/>
      </c>
      <c r="AV232" s="856" t="str">
        <f>IF($CR232="","",IF(NOT('alocação'!$D$1),"off",IFERROR(VLOOKUP($CR232,BalanceAtivos,6,0),"-")))</f>
        <v/>
      </c>
      <c r="AW232" s="857"/>
      <c r="AX232" s="858" t="str">
        <f>IF($CR232="","",IF($E232="","SP",IFERROR(VLOOKUP($CR232,AtivosDados,MATCH("pm_atual",portfolio.!$A$3:CY$3,0),0)*$CU$5,0)))</f>
        <v/>
      </c>
      <c r="AY232" s="859" t="str">
        <f t="shared" si="2"/>
        <v/>
      </c>
      <c r="AZ232" s="858" t="str">
        <f>IF($CR232="","",IF($E232="","SP",SUMIF(portfolio.!$A$4:$A308,$CR232,portfolio.!$O$4:$O308)*$CU$5))</f>
        <v/>
      </c>
      <c r="BA232" s="858" t="str">
        <f>IF($CR232="","",IF($E232="","SP",SUMIF(portfolio.!$A$4:$A308,$CR232,portfolio.!$AN$4:$AN308)*$CU$5))</f>
        <v/>
      </c>
      <c r="BB232" s="860" t="str">
        <f>IF($CR232="","",IF($E232="","-",IFERROR($BA232/'portfólio'!$DG$63,"")))</f>
        <v/>
      </c>
      <c r="BC232" s="861" t="str">
        <f>IF($CR232="","",IF($E232="","-",SUMIF(portfolio.!$A$4:$A308,$CR232,portfolio.!$J$4:$J308)))</f>
        <v/>
      </c>
      <c r="BD232" s="862" t="str">
        <f>IF($CR232="","",IF($E232="","SP",SUMIF(portfolio.!$A$4:$A308,$CR232,portfolio.!$AQ$4:$AQ308)*$CU$5))</f>
        <v/>
      </c>
      <c r="BE232" s="850" t="str">
        <f t="shared" si="3"/>
        <v/>
      </c>
      <c r="BF232" s="862" t="str">
        <f>IF($CR232="","",IF($E232="","-",SUMIF(portfolio.!$A$4:$A308,$CR232,portfolio.!$AX$4:$AX308)*$CU$5))</f>
        <v/>
      </c>
      <c r="BG232" s="545"/>
      <c r="BH232" s="879" t="s">
        <v>123</v>
      </c>
      <c r="BI232" s="880" t="s">
        <v>123</v>
      </c>
      <c r="BJ232" s="863" t="str">
        <f>IFERROR(__xludf.DUMMYFUNCTION("IF(NOT($BL$4),"""",IF($CR232="""","""",IFERROR(query({GOOGLEFINANCE($CR232,""price"",IF($BI232=""-"",TODAY()-($AQ$5+5),$BI232),TODAY()-1)},""Select max(Col2) where Col1 is not null label max(Col2) ''"")*CU232,""-"")))"),"")</f>
        <v/>
      </c>
      <c r="BK232" s="881" t="s">
        <v>123</v>
      </c>
      <c r="BL232" s="882" t="s">
        <v>123</v>
      </c>
      <c r="BM232" s="442"/>
      <c r="BN232" s="867" t="str">
        <f>IFERROR(__xludf.DUMMYFUNCTION("IF(CR232="""","""",IF(OR(C232=""AÇÃO"",C232=""BDR""),IFERROR(QUERY({fundamentus.!$A$3:$U308},$CX$67&amp;"" where Col1='""&amp;CR232&amp;""' limit 1"",0)),IF(C232=""FII"",IFERROR(QUERY({fundsexplorer.!$A$2:$Z308},$CY$67&amp;"" where Col1='""&amp;CR232&amp;""' limit 1"",0)),""""))"&amp;")"),"")</f>
        <v/>
      </c>
      <c r="BO232" s="867"/>
      <c r="BP232" s="867"/>
      <c r="BQ232" s="867"/>
      <c r="BR232" s="867"/>
      <c r="BS232" s="867"/>
      <c r="BT232" s="867"/>
      <c r="BU232" s="442"/>
      <c r="BV232" s="868" t="str">
        <f>IFERROR(__xludf.DUMMYFUNCTION("IF(OR(C232=""AÇÃO"",C232=""BDR""),IFERROR(GOOGLEFINANCE(CONCAT(""BVMF:"",CR232), ""marketcap"")/1000000,""NC""),"""")"),"")</f>
        <v/>
      </c>
      <c r="BW232" s="869" t="s">
        <v>123</v>
      </c>
      <c r="BX232" s="870" t="s">
        <v>123</v>
      </c>
      <c r="BY232" s="868" t="s">
        <v>123</v>
      </c>
      <c r="BZ232" s="870" t="s">
        <v>123</v>
      </c>
      <c r="CA232" s="868" t="s">
        <v>123</v>
      </c>
      <c r="CB232" s="868" t="s">
        <v>123</v>
      </c>
      <c r="CC232" s="868" t="s">
        <v>123</v>
      </c>
      <c r="CD232" s="868" t="str">
        <f>IFERROR(__xludf.DUMMYFUNCTION("IF(OR(C232=""AÇÃO"",C232=""BDR""),IFERROR(GOOGLEFINANCE(CONCAT(""BVMF:"",CR232), ""volumeavg"")/1000000,""NC""),"""")"),"")</f>
        <v/>
      </c>
      <c r="CE232" s="870" t="s">
        <v>123</v>
      </c>
      <c r="CF232" s="870" t="s">
        <v>123</v>
      </c>
      <c r="CG232" s="870" t="str">
        <f>IFERROR(__xludf.DUMMYFUNCTION("IF(OR(C232=""AÇÃO"",C232=""BDR""),IF(CF232=0,""SEM DY"",IFERROR(ImportXML(CONCAT(""http://www.guiainvest.com.br/raiox/default.aspx?sigla="",$CR232),""//*[@id='lbPayoutAtual']""),""NC"")),"""")"),"")</f>
        <v/>
      </c>
      <c r="CH232" s="870" t="s">
        <v>123</v>
      </c>
      <c r="CI232" s="545"/>
      <c r="CJ232" s="871" t="str">
        <f>IFERROR(__xludf.DUMMYFUNCTION("IF(OR(C232=""AÇÃO"",C232=""BDR""),IFERROR(GOOGLEFINANCE(CONCAT(""BVMF:"",CR232), ""eps""),""NC""),"""")"),"")</f>
        <v/>
      </c>
      <c r="CK232" s="442"/>
      <c r="CL232" s="871" t="str">
        <f>IFERROR(__xludf.DUMMYFUNCTION("IF(NOT($BL$4),"""",IF($CR232="""","""",IF($BC232="""","""",IFERROR(query({op.normal!$B$5:$F308},""select Col5, toDate(Col2) where Col1 =  '""&amp;$CR232&amp;""' and Col4 &gt; 0 and ((Col3 is null) or (Col3 = 'C')) and Col2 &gt;= date '""&amp;TEXT(TODAY()-$AQ$5,""yyyy-mm-dd"&amp;""")&amp;""' order by Col2 desc limit 1 label toDate(Col2) ''"")))))"),"")</f>
        <v/>
      </c>
      <c r="CM232" s="872"/>
      <c r="CN232" s="883" t="s">
        <v>123</v>
      </c>
      <c r="CO232" s="874" t="s">
        <v>123</v>
      </c>
      <c r="CP232" s="766"/>
      <c r="CQ232" s="791"/>
      <c r="CR232" s="791"/>
      <c r="CT232" s="791" t="s">
        <v>123</v>
      </c>
      <c r="CU232" s="791" t="str">
        <f>IFERROR(__xludf.DUMMYFUNCTION("IF(CR232="""","""",IF(CT232=$C$4,1,GOOGLEFINANCE(CT232&amp;$C$4)))"),"")</f>
        <v/>
      </c>
    </row>
    <row r="233" ht="22.5" customHeight="1">
      <c r="A233" s="837">
        <v>225.0</v>
      </c>
      <c r="B233" s="838" t="s">
        <v>123</v>
      </c>
      <c r="C233" s="838" t="s">
        <v>123</v>
      </c>
      <c r="D233" s="839" t="s">
        <v>123</v>
      </c>
      <c r="E233" s="839" t="s">
        <v>123</v>
      </c>
      <c r="F233" s="839" t="s">
        <v>123</v>
      </c>
      <c r="H233" s="884"/>
      <c r="I233" s="838"/>
      <c r="J233" s="838"/>
      <c r="K233" s="838"/>
      <c r="L233" s="838"/>
      <c r="M233" s="838"/>
      <c r="N233" s="838"/>
      <c r="O233" s="838"/>
      <c r="P233" s="838"/>
      <c r="Q233" s="838"/>
      <c r="R233" s="838"/>
      <c r="S233" s="838"/>
      <c r="T233" s="838"/>
      <c r="U233" s="838"/>
      <c r="V233" s="838"/>
      <c r="W233" s="838"/>
      <c r="X233" s="838"/>
      <c r="Z233" s="875" t="str">
        <f>IFERROR(__xludf.DUMMYFUNCTION("IF($CR233="""","""",IFERROR(query({CarteirasAtivos},""select Col4 where Col4 is not null and Col1 = '""&amp;$CR233&amp;""' limit 1"")*CU233,""NC""))"),"")</f>
        <v/>
      </c>
      <c r="AA233" s="876" t="str">
        <f>IFERROR(__xludf.DUMMYFUNCTION("IF($CR233="""","""",IFERROR(query({CarteirasAtivos},""select Col6 where Col4 is not null and Col1 = '""&amp;$CR233&amp;""' limit 1""),""NC""))"),"")</f>
        <v/>
      </c>
      <c r="AB233" s="877"/>
      <c r="AC233" s="878" t="s">
        <v>123</v>
      </c>
      <c r="AD233" s="845" t="str">
        <f>IF($CR233="","",IFERROR(VLOOKUP($CR233,ativos.!$C$3:$R308,MATCH("cotacao",ativos.!$C$2:CY$2,0),FALSE)*$CU$5,"atualizar"))</f>
        <v/>
      </c>
      <c r="AE233" s="846" t="str">
        <f>IFERROR(__xludf.DUMMYFUNCTION("IF($CR233="""","""",IFERROR(AVERAGE(query({CarteirasAtivos;CarteirasAtivosEncerrados},""select Col5 where Col5 is not null and Col1 = '""&amp;$CR233&amp;""' and Col10='SIM'""))*CU233,""NC""))"),"")</f>
        <v/>
      </c>
      <c r="AF233" s="847" t="str">
        <f t="shared" si="1"/>
        <v/>
      </c>
      <c r="AG233" s="442"/>
      <c r="AH233" s="848" t="str">
        <f>IFERROR(__xludf.DUMMYFUNCTION("IF($CR233="""","""",IFERROR(GOOGLEFINANCE($CR233,""low52"")*CU233,""-""))"),"")</f>
        <v/>
      </c>
      <c r="AI233" s="848" t="str">
        <f>IFERROR(__xludf.DUMMYFUNCTION("IF($CR233="""","""",IFERROR(GOOGLEFINANCE($CR233,""high52"")*CU233,""-""))"),"")</f>
        <v/>
      </c>
      <c r="AJ233" s="849" t="s">
        <v>123</v>
      </c>
      <c r="AK233" s="850" t="str">
        <f>IFERROR(__xludf.DUMMYFUNCTION("IF($CR233="""","""",IFERROR(GOOGLEFINANCE($CR233,""changepct"")/100,""-""))"),"")</f>
        <v/>
      </c>
      <c r="AL233" s="851" t="str">
        <f>IFERROR(__xludf.DUMMYFUNCTION("IF($CR233="""","""",IFERROR(($AD233/(QUERY(GOOGLEFINANCE($CR233,""price"",TODAY()-7),""SELECT Col2 label Col2 ''"")*$CU233)-1),""-""))"),"")</f>
        <v/>
      </c>
      <c r="AM233" s="851" t="str">
        <f>IFERROR(__xludf.DUMMYFUNCTION("IF($CR233="""","""",IFERROR(($AD233/(QUERY(GOOGLEFINANCE($CR233,""price"",TODAY()-14),""SELECT Col2 label Col2 ''"")*$CU233)-1),""-""))"),"")</f>
        <v/>
      </c>
      <c r="AN233" s="851" t="str">
        <f>IFERROR(__xludf.DUMMYFUNCTION("IF($CR233="""","""",IFERROR(($AD233/(QUERY(GOOGLEFINANCE($CR233,""price"",TODAY()-28),""SELECT Col2 label Col2 ''"")*$CU233)-1),""-""))"),"")</f>
        <v/>
      </c>
      <c r="AO233" s="851" t="str">
        <f>IFERROR(__xludf.DUMMYFUNCTION("IF($CR233="""","""",IFERROR(($AD233/(QUERY(GOOGLEFINANCE($CR233,""price"",TODAY()-$AQ$5),""SELECT Col2 label Col2 ''"")*$CU233)-1),""-""))"),"")</f>
        <v/>
      </c>
      <c r="AP233" s="852" t="str">
        <f>IFERROR(__xludf.DUMMYFUNCTION("IF($CR233="""","""",IFERROR(SPARKLINE(query(GOOGLEFINANCE($CR233,""price"",TODAY()-$AQ$5,TODAY(),1),""select Col2 label Col2 ''""),IF($AP$7=""Gráfico de barras"",{""charttype"",""column"";""highcolor"",""red""},{""chartype"",""line""}))))"),"")</f>
        <v/>
      </c>
      <c r="AQ233" s="144"/>
      <c r="AR233" s="853"/>
      <c r="AS233" s="854" t="str">
        <f>IF($CR233="","",IF(NOT('alocação'!$D$1),"off",IFERROR(VLOOKUP(CR233,BalanceAtivos,3,0),"NC")))</f>
        <v/>
      </c>
      <c r="AT233" s="855" t="str">
        <f>IF($CR233="","",IF(NOT('alocação'!$D$1),"off",IFERROR(VLOOKUP($CR233,BalanceAtivos,4,0)*$CU$5,"NC")))</f>
        <v/>
      </c>
      <c r="AU233" s="856" t="str">
        <f>IF($CR233="","",IF(NOT('alocação'!$D$1),"off",IFERROR(VLOOKUP($CR233,BalanceAtivos,5,0),"-")))</f>
        <v/>
      </c>
      <c r="AV233" s="856" t="str">
        <f>IF($CR233="","",IF(NOT('alocação'!$D$1),"off",IFERROR(VLOOKUP($CR233,BalanceAtivos,6,0),"-")))</f>
        <v/>
      </c>
      <c r="AW233" s="857"/>
      <c r="AX233" s="858" t="str">
        <f>IF($CR233="","",IF($E233="","SP",IFERROR(VLOOKUP($CR233,AtivosDados,MATCH("pm_atual",portfolio.!$A$3:CY$3,0),0)*$CU$5,0)))</f>
        <v/>
      </c>
      <c r="AY233" s="859" t="str">
        <f t="shared" si="2"/>
        <v/>
      </c>
      <c r="AZ233" s="858" t="str">
        <f>IF($CR233="","",IF($E233="","SP",SUMIF(portfolio.!$A$4:$A308,$CR233,portfolio.!$O$4:$O308)*$CU$5))</f>
        <v/>
      </c>
      <c r="BA233" s="858" t="str">
        <f>IF($CR233="","",IF($E233="","SP",SUMIF(portfolio.!$A$4:$A308,$CR233,portfolio.!$AN$4:$AN308)*$CU$5))</f>
        <v/>
      </c>
      <c r="BB233" s="860" t="str">
        <f>IF($CR233="","",IF($E233="","-",IFERROR($BA233/'portfólio'!$DG$63,"")))</f>
        <v/>
      </c>
      <c r="BC233" s="861" t="str">
        <f>IF($CR233="","",IF($E233="","-",SUMIF(portfolio.!$A$4:$A308,$CR233,portfolio.!$J$4:$J308)))</f>
        <v/>
      </c>
      <c r="BD233" s="862" t="str">
        <f>IF($CR233="","",IF($E233="","SP",SUMIF(portfolio.!$A$4:$A308,$CR233,portfolio.!$AQ$4:$AQ308)*$CU$5))</f>
        <v/>
      </c>
      <c r="BE233" s="850" t="str">
        <f t="shared" si="3"/>
        <v/>
      </c>
      <c r="BF233" s="862" t="str">
        <f>IF($CR233="","",IF($E233="","-",SUMIF(portfolio.!$A$4:$A308,$CR233,portfolio.!$AX$4:$AX308)*$CU$5))</f>
        <v/>
      </c>
      <c r="BG233" s="545"/>
      <c r="BH233" s="879" t="s">
        <v>123</v>
      </c>
      <c r="BI233" s="880" t="s">
        <v>123</v>
      </c>
      <c r="BJ233" s="863" t="str">
        <f>IFERROR(__xludf.DUMMYFUNCTION("IF(NOT($BL$4),"""",IF($CR233="""","""",IFERROR(query({GOOGLEFINANCE($CR233,""price"",IF($BI233=""-"",TODAY()-($AQ$5+5),$BI233),TODAY()-1)},""Select max(Col2) where Col1 is not null label max(Col2) ''"")*CU233,""-"")))"),"")</f>
        <v/>
      </c>
      <c r="BK233" s="881" t="s">
        <v>123</v>
      </c>
      <c r="BL233" s="882" t="s">
        <v>123</v>
      </c>
      <c r="BM233" s="442"/>
      <c r="BN233" s="867" t="str">
        <f>IFERROR(__xludf.DUMMYFUNCTION("IF(CR233="""","""",IF(OR(C233=""AÇÃO"",C233=""BDR""),IFERROR(QUERY({fundamentus.!$A$3:$U308},$CX$67&amp;"" where Col1='""&amp;CR233&amp;""' limit 1"",0)),IF(C233=""FII"",IFERROR(QUERY({fundsexplorer.!$A$2:$Z308},$CY$67&amp;"" where Col1='""&amp;CR233&amp;""' limit 1"",0)),""""))"&amp;")"),"")</f>
        <v/>
      </c>
      <c r="BO233" s="867"/>
      <c r="BP233" s="867"/>
      <c r="BQ233" s="867"/>
      <c r="BR233" s="867"/>
      <c r="BS233" s="867"/>
      <c r="BT233" s="867"/>
      <c r="BU233" s="442"/>
      <c r="BV233" s="868" t="str">
        <f>IFERROR(__xludf.DUMMYFUNCTION("IF(OR(C233=""AÇÃO"",C233=""BDR""),IFERROR(GOOGLEFINANCE(CONCAT(""BVMF:"",CR233), ""marketcap"")/1000000,""NC""),"""")"),"")</f>
        <v/>
      </c>
      <c r="BW233" s="869" t="s">
        <v>123</v>
      </c>
      <c r="BX233" s="870" t="s">
        <v>123</v>
      </c>
      <c r="BY233" s="868" t="s">
        <v>123</v>
      </c>
      <c r="BZ233" s="870" t="s">
        <v>123</v>
      </c>
      <c r="CA233" s="868" t="s">
        <v>123</v>
      </c>
      <c r="CB233" s="868" t="s">
        <v>123</v>
      </c>
      <c r="CC233" s="868" t="s">
        <v>123</v>
      </c>
      <c r="CD233" s="868" t="str">
        <f>IFERROR(__xludf.DUMMYFUNCTION("IF(OR(C233=""AÇÃO"",C233=""BDR""),IFERROR(GOOGLEFINANCE(CONCAT(""BVMF:"",CR233), ""volumeavg"")/1000000,""NC""),"""")"),"")</f>
        <v/>
      </c>
      <c r="CE233" s="870" t="s">
        <v>123</v>
      </c>
      <c r="CF233" s="870" t="s">
        <v>123</v>
      </c>
      <c r="CG233" s="870" t="str">
        <f>IFERROR(__xludf.DUMMYFUNCTION("IF(OR(C233=""AÇÃO"",C233=""BDR""),IF(CF233=0,""SEM DY"",IFERROR(ImportXML(CONCAT(""http://www.guiainvest.com.br/raiox/default.aspx?sigla="",$CR233),""//*[@id='lbPayoutAtual']""),""NC"")),"""")"),"")</f>
        <v/>
      </c>
      <c r="CH233" s="870" t="s">
        <v>123</v>
      </c>
      <c r="CI233" s="545"/>
      <c r="CJ233" s="871" t="str">
        <f>IFERROR(__xludf.DUMMYFUNCTION("IF(OR(C233=""AÇÃO"",C233=""BDR""),IFERROR(GOOGLEFINANCE(CONCAT(""BVMF:"",CR233), ""eps""),""NC""),"""")"),"")</f>
        <v/>
      </c>
      <c r="CK233" s="442"/>
      <c r="CL233" s="871" t="str">
        <f>IFERROR(__xludf.DUMMYFUNCTION("IF(NOT($BL$4),"""",IF($CR233="""","""",IF($BC233="""","""",IFERROR(query({op.normal!$B$5:$F308},""select Col5, toDate(Col2) where Col1 =  '""&amp;$CR233&amp;""' and Col4 &gt; 0 and ((Col3 is null) or (Col3 = 'C')) and Col2 &gt;= date '""&amp;TEXT(TODAY()-$AQ$5,""yyyy-mm-dd"&amp;""")&amp;""' order by Col2 desc limit 1 label toDate(Col2) ''"")))))"),"")</f>
        <v/>
      </c>
      <c r="CM233" s="872"/>
      <c r="CN233" s="883" t="s">
        <v>123</v>
      </c>
      <c r="CO233" s="874" t="s">
        <v>123</v>
      </c>
      <c r="CP233" s="766"/>
      <c r="CQ233" s="791"/>
      <c r="CR233" s="791"/>
      <c r="CT233" s="791" t="s">
        <v>123</v>
      </c>
      <c r="CU233" s="791" t="str">
        <f>IFERROR(__xludf.DUMMYFUNCTION("IF(CR233="""","""",IF(CT233=$C$4,1,GOOGLEFINANCE(CT233&amp;$C$4)))"),"")</f>
        <v/>
      </c>
    </row>
    <row r="234" ht="22.5" customHeight="1">
      <c r="A234" s="837">
        <v>226.0</v>
      </c>
      <c r="B234" s="838" t="s">
        <v>123</v>
      </c>
      <c r="C234" s="838" t="s">
        <v>123</v>
      </c>
      <c r="D234" s="839" t="s">
        <v>123</v>
      </c>
      <c r="E234" s="839" t="s">
        <v>123</v>
      </c>
      <c r="F234" s="839" t="s">
        <v>123</v>
      </c>
      <c r="H234" s="884"/>
      <c r="I234" s="838"/>
      <c r="J234" s="838"/>
      <c r="K234" s="838"/>
      <c r="L234" s="838"/>
      <c r="M234" s="838"/>
      <c r="N234" s="838"/>
      <c r="O234" s="838"/>
      <c r="P234" s="838"/>
      <c r="Q234" s="838"/>
      <c r="R234" s="838"/>
      <c r="S234" s="838"/>
      <c r="T234" s="838"/>
      <c r="U234" s="838"/>
      <c r="V234" s="838"/>
      <c r="W234" s="838"/>
      <c r="X234" s="838"/>
      <c r="Z234" s="875" t="str">
        <f>IFERROR(__xludf.DUMMYFUNCTION("IF($CR234="""","""",IFERROR(query({CarteirasAtivos},""select Col4 where Col4 is not null and Col1 = '""&amp;$CR234&amp;""' limit 1"")*CU234,""NC""))"),"")</f>
        <v/>
      </c>
      <c r="AA234" s="876" t="str">
        <f>IFERROR(__xludf.DUMMYFUNCTION("IF($CR234="""","""",IFERROR(query({CarteirasAtivos},""select Col6 where Col4 is not null and Col1 = '""&amp;$CR234&amp;""' limit 1""),""NC""))"),"")</f>
        <v/>
      </c>
      <c r="AB234" s="877"/>
      <c r="AC234" s="878" t="s">
        <v>123</v>
      </c>
      <c r="AD234" s="845" t="str">
        <f>IF($CR234="","",IFERROR(VLOOKUP($CR234,ativos.!$C$3:$R308,MATCH("cotacao",ativos.!$C$2:CY$2,0),FALSE)*$CU$5,"atualizar"))</f>
        <v/>
      </c>
      <c r="AE234" s="846" t="str">
        <f>IFERROR(__xludf.DUMMYFUNCTION("IF($CR234="""","""",IFERROR(AVERAGE(query({CarteirasAtivos;CarteirasAtivosEncerrados},""select Col5 where Col5 is not null and Col1 = '""&amp;$CR234&amp;""' and Col10='SIM'""))*CU234,""NC""))"),"")</f>
        <v/>
      </c>
      <c r="AF234" s="847" t="str">
        <f t="shared" si="1"/>
        <v/>
      </c>
      <c r="AG234" s="442"/>
      <c r="AH234" s="848" t="str">
        <f>IFERROR(__xludf.DUMMYFUNCTION("IF($CR234="""","""",IFERROR(GOOGLEFINANCE($CR234,""low52"")*CU234,""-""))"),"")</f>
        <v/>
      </c>
      <c r="AI234" s="848" t="str">
        <f>IFERROR(__xludf.DUMMYFUNCTION("IF($CR234="""","""",IFERROR(GOOGLEFINANCE($CR234,""high52"")*CU234,""-""))"),"")</f>
        <v/>
      </c>
      <c r="AJ234" s="849" t="s">
        <v>123</v>
      </c>
      <c r="AK234" s="850" t="str">
        <f>IFERROR(__xludf.DUMMYFUNCTION("IF($CR234="""","""",IFERROR(GOOGLEFINANCE($CR234,""changepct"")/100,""-""))"),"")</f>
        <v/>
      </c>
      <c r="AL234" s="851" t="str">
        <f>IFERROR(__xludf.DUMMYFUNCTION("IF($CR234="""","""",IFERROR(($AD234/(QUERY(GOOGLEFINANCE($CR234,""price"",TODAY()-7),""SELECT Col2 label Col2 ''"")*$CU234)-1),""-""))"),"")</f>
        <v/>
      </c>
      <c r="AM234" s="851" t="str">
        <f>IFERROR(__xludf.DUMMYFUNCTION("IF($CR234="""","""",IFERROR(($AD234/(QUERY(GOOGLEFINANCE($CR234,""price"",TODAY()-14),""SELECT Col2 label Col2 ''"")*$CU234)-1),""-""))"),"")</f>
        <v/>
      </c>
      <c r="AN234" s="851" t="str">
        <f>IFERROR(__xludf.DUMMYFUNCTION("IF($CR234="""","""",IFERROR(($AD234/(QUERY(GOOGLEFINANCE($CR234,""price"",TODAY()-28),""SELECT Col2 label Col2 ''"")*$CU234)-1),""-""))"),"")</f>
        <v/>
      </c>
      <c r="AO234" s="851" t="str">
        <f>IFERROR(__xludf.DUMMYFUNCTION("IF($CR234="""","""",IFERROR(($AD234/(QUERY(GOOGLEFINANCE($CR234,""price"",TODAY()-$AQ$5),""SELECT Col2 label Col2 ''"")*$CU234)-1),""-""))"),"")</f>
        <v/>
      </c>
      <c r="AP234" s="852" t="str">
        <f>IFERROR(__xludf.DUMMYFUNCTION("IF($CR234="""","""",IFERROR(SPARKLINE(query(GOOGLEFINANCE($CR234,""price"",TODAY()-$AQ$5,TODAY(),1),""select Col2 label Col2 ''""),IF($AP$7=""Gráfico de barras"",{""charttype"",""column"";""highcolor"",""red""},{""chartype"",""line""}))))"),"")</f>
        <v/>
      </c>
      <c r="AQ234" s="144"/>
      <c r="AR234" s="853"/>
      <c r="AS234" s="854" t="str">
        <f>IF($CR234="","",IF(NOT('alocação'!$D$1),"off",IFERROR(VLOOKUP(CR234,BalanceAtivos,3,0),"NC")))</f>
        <v/>
      </c>
      <c r="AT234" s="855" t="str">
        <f>IF($CR234="","",IF(NOT('alocação'!$D$1),"off",IFERROR(VLOOKUP($CR234,BalanceAtivos,4,0)*$CU$5,"NC")))</f>
        <v/>
      </c>
      <c r="AU234" s="856" t="str">
        <f>IF($CR234="","",IF(NOT('alocação'!$D$1),"off",IFERROR(VLOOKUP($CR234,BalanceAtivos,5,0),"-")))</f>
        <v/>
      </c>
      <c r="AV234" s="856" t="str">
        <f>IF($CR234="","",IF(NOT('alocação'!$D$1),"off",IFERROR(VLOOKUP($CR234,BalanceAtivos,6,0),"-")))</f>
        <v/>
      </c>
      <c r="AW234" s="857"/>
      <c r="AX234" s="858" t="str">
        <f>IF($CR234="","",IF($E234="","SP",IFERROR(VLOOKUP($CR234,AtivosDados,MATCH("pm_atual",portfolio.!$A$3:CY$3,0),0)*$CU$5,0)))</f>
        <v/>
      </c>
      <c r="AY234" s="859" t="str">
        <f t="shared" si="2"/>
        <v/>
      </c>
      <c r="AZ234" s="858" t="str">
        <f>IF($CR234="","",IF($E234="","SP",SUMIF(portfolio.!$A$4:$A308,$CR234,portfolio.!$O$4:$O308)*$CU$5))</f>
        <v/>
      </c>
      <c r="BA234" s="858" t="str">
        <f>IF($CR234="","",IF($E234="","SP",SUMIF(portfolio.!$A$4:$A308,$CR234,portfolio.!$AN$4:$AN308)*$CU$5))</f>
        <v/>
      </c>
      <c r="BB234" s="860" t="str">
        <f>IF($CR234="","",IF($E234="","-",IFERROR($BA234/'portfólio'!$DG$63,"")))</f>
        <v/>
      </c>
      <c r="BC234" s="861" t="str">
        <f>IF($CR234="","",IF($E234="","-",SUMIF(portfolio.!$A$4:$A308,$CR234,portfolio.!$J$4:$J308)))</f>
        <v/>
      </c>
      <c r="BD234" s="862" t="str">
        <f>IF($CR234="","",IF($E234="","SP",SUMIF(portfolio.!$A$4:$A308,$CR234,portfolio.!$AQ$4:$AQ308)*$CU$5))</f>
        <v/>
      </c>
      <c r="BE234" s="850" t="str">
        <f t="shared" si="3"/>
        <v/>
      </c>
      <c r="BF234" s="862" t="str">
        <f>IF($CR234="","",IF($E234="","-",SUMIF(portfolio.!$A$4:$A308,$CR234,portfolio.!$AX$4:$AX308)*$CU$5))</f>
        <v/>
      </c>
      <c r="BG234" s="545"/>
      <c r="BH234" s="879" t="s">
        <v>123</v>
      </c>
      <c r="BI234" s="880" t="s">
        <v>123</v>
      </c>
      <c r="BJ234" s="863" t="str">
        <f>IFERROR(__xludf.DUMMYFUNCTION("IF(NOT($BL$4),"""",IF($CR234="""","""",IFERROR(query({GOOGLEFINANCE($CR234,""price"",IF($BI234=""-"",TODAY()-($AQ$5+5),$BI234),TODAY()-1)},""Select max(Col2) where Col1 is not null label max(Col2) ''"")*CU234,""-"")))"),"")</f>
        <v/>
      </c>
      <c r="BK234" s="881" t="s">
        <v>123</v>
      </c>
      <c r="BL234" s="882" t="s">
        <v>123</v>
      </c>
      <c r="BM234" s="442"/>
      <c r="BN234" s="867" t="str">
        <f>IFERROR(__xludf.DUMMYFUNCTION("IF(CR234="""","""",IF(OR(C234=""AÇÃO"",C234=""BDR""),IFERROR(QUERY({fundamentus.!$A$3:$U308},$CX$67&amp;"" where Col1='""&amp;CR234&amp;""' limit 1"",0)),IF(C234=""FII"",IFERROR(QUERY({fundsexplorer.!$A$2:$Z308},$CY$67&amp;"" where Col1='""&amp;CR234&amp;""' limit 1"",0)),""""))"&amp;")"),"")</f>
        <v/>
      </c>
      <c r="BO234" s="867"/>
      <c r="BP234" s="867"/>
      <c r="BQ234" s="867"/>
      <c r="BR234" s="867"/>
      <c r="BS234" s="867"/>
      <c r="BT234" s="867"/>
      <c r="BU234" s="442"/>
      <c r="BV234" s="868" t="str">
        <f>IFERROR(__xludf.DUMMYFUNCTION("IF(OR(C234=""AÇÃO"",C234=""BDR""),IFERROR(GOOGLEFINANCE(CONCAT(""BVMF:"",CR234), ""marketcap"")/1000000,""NC""),"""")"),"")</f>
        <v/>
      </c>
      <c r="BW234" s="869" t="s">
        <v>123</v>
      </c>
      <c r="BX234" s="870" t="s">
        <v>123</v>
      </c>
      <c r="BY234" s="868" t="s">
        <v>123</v>
      </c>
      <c r="BZ234" s="870" t="s">
        <v>123</v>
      </c>
      <c r="CA234" s="868" t="s">
        <v>123</v>
      </c>
      <c r="CB234" s="868" t="s">
        <v>123</v>
      </c>
      <c r="CC234" s="868" t="s">
        <v>123</v>
      </c>
      <c r="CD234" s="868" t="str">
        <f>IFERROR(__xludf.DUMMYFUNCTION("IF(OR(C234=""AÇÃO"",C234=""BDR""),IFERROR(GOOGLEFINANCE(CONCAT(""BVMF:"",CR234), ""volumeavg"")/1000000,""NC""),"""")"),"")</f>
        <v/>
      </c>
      <c r="CE234" s="870" t="s">
        <v>123</v>
      </c>
      <c r="CF234" s="870" t="s">
        <v>123</v>
      </c>
      <c r="CG234" s="870" t="str">
        <f>IFERROR(__xludf.DUMMYFUNCTION("IF(OR(C234=""AÇÃO"",C234=""BDR""),IF(CF234=0,""SEM DY"",IFERROR(ImportXML(CONCAT(""http://www.guiainvest.com.br/raiox/default.aspx?sigla="",$CR234),""//*[@id='lbPayoutAtual']""),""NC"")),"""")"),"")</f>
        <v/>
      </c>
      <c r="CH234" s="870" t="s">
        <v>123</v>
      </c>
      <c r="CI234" s="545"/>
      <c r="CJ234" s="871" t="str">
        <f>IFERROR(__xludf.DUMMYFUNCTION("IF(OR(C234=""AÇÃO"",C234=""BDR""),IFERROR(GOOGLEFINANCE(CONCAT(""BVMF:"",CR234), ""eps""),""NC""),"""")"),"")</f>
        <v/>
      </c>
      <c r="CK234" s="442"/>
      <c r="CL234" s="871" t="str">
        <f>IFERROR(__xludf.DUMMYFUNCTION("IF(NOT($BL$4),"""",IF($CR234="""","""",IF($BC234="""","""",IFERROR(query({op.normal!$B$5:$F308},""select Col5, toDate(Col2) where Col1 =  '""&amp;$CR234&amp;""' and Col4 &gt; 0 and ((Col3 is null) or (Col3 = 'C')) and Col2 &gt;= date '""&amp;TEXT(TODAY()-$AQ$5,""yyyy-mm-dd"&amp;""")&amp;""' order by Col2 desc limit 1 label toDate(Col2) ''"")))))"),"")</f>
        <v/>
      </c>
      <c r="CM234" s="872"/>
      <c r="CN234" s="883" t="s">
        <v>123</v>
      </c>
      <c r="CO234" s="874" t="s">
        <v>123</v>
      </c>
      <c r="CP234" s="766"/>
      <c r="CQ234" s="791"/>
      <c r="CR234" s="791"/>
      <c r="CT234" s="791" t="s">
        <v>123</v>
      </c>
      <c r="CU234" s="791" t="str">
        <f>IFERROR(__xludf.DUMMYFUNCTION("IF(CR234="""","""",IF(CT234=$C$4,1,GOOGLEFINANCE(CT234&amp;$C$4)))"),"")</f>
        <v/>
      </c>
    </row>
    <row r="235" ht="22.5" customHeight="1">
      <c r="A235" s="837">
        <v>227.0</v>
      </c>
      <c r="B235" s="838" t="s">
        <v>123</v>
      </c>
      <c r="C235" s="838" t="s">
        <v>123</v>
      </c>
      <c r="D235" s="839" t="s">
        <v>123</v>
      </c>
      <c r="E235" s="839" t="s">
        <v>123</v>
      </c>
      <c r="F235" s="839" t="s">
        <v>123</v>
      </c>
      <c r="H235" s="884"/>
      <c r="I235" s="838"/>
      <c r="J235" s="838"/>
      <c r="K235" s="838"/>
      <c r="L235" s="838"/>
      <c r="M235" s="838"/>
      <c r="N235" s="838"/>
      <c r="O235" s="838"/>
      <c r="P235" s="838"/>
      <c r="Q235" s="838"/>
      <c r="R235" s="838"/>
      <c r="S235" s="838"/>
      <c r="T235" s="838"/>
      <c r="U235" s="838"/>
      <c r="V235" s="838"/>
      <c r="W235" s="838"/>
      <c r="X235" s="838"/>
      <c r="Z235" s="875" t="str">
        <f>IFERROR(__xludf.DUMMYFUNCTION("IF($CR235="""","""",IFERROR(query({CarteirasAtivos},""select Col4 where Col4 is not null and Col1 = '""&amp;$CR235&amp;""' limit 1"")*CU235,""NC""))"),"")</f>
        <v/>
      </c>
      <c r="AA235" s="876" t="str">
        <f>IFERROR(__xludf.DUMMYFUNCTION("IF($CR235="""","""",IFERROR(query({CarteirasAtivos},""select Col6 where Col4 is not null and Col1 = '""&amp;$CR235&amp;""' limit 1""),""NC""))"),"")</f>
        <v/>
      </c>
      <c r="AB235" s="877"/>
      <c r="AC235" s="878" t="s">
        <v>123</v>
      </c>
      <c r="AD235" s="845" t="str">
        <f>IF($CR235="","",IFERROR(VLOOKUP($CR235,ativos.!$C$3:$R308,MATCH("cotacao",ativos.!$C$2:CY$2,0),FALSE)*$CU$5,"atualizar"))</f>
        <v/>
      </c>
      <c r="AE235" s="846" t="str">
        <f>IFERROR(__xludf.DUMMYFUNCTION("IF($CR235="""","""",IFERROR(AVERAGE(query({CarteirasAtivos;CarteirasAtivosEncerrados},""select Col5 where Col5 is not null and Col1 = '""&amp;$CR235&amp;""' and Col10='SIM'""))*CU235,""NC""))"),"")</f>
        <v/>
      </c>
      <c r="AF235" s="847" t="str">
        <f t="shared" si="1"/>
        <v/>
      </c>
      <c r="AG235" s="442"/>
      <c r="AH235" s="848" t="str">
        <f>IFERROR(__xludf.DUMMYFUNCTION("IF($CR235="""","""",IFERROR(GOOGLEFINANCE($CR235,""low52"")*CU235,""-""))"),"")</f>
        <v/>
      </c>
      <c r="AI235" s="848" t="str">
        <f>IFERROR(__xludf.DUMMYFUNCTION("IF($CR235="""","""",IFERROR(GOOGLEFINANCE($CR235,""high52"")*CU235,""-""))"),"")</f>
        <v/>
      </c>
      <c r="AJ235" s="849" t="s">
        <v>123</v>
      </c>
      <c r="AK235" s="850" t="str">
        <f>IFERROR(__xludf.DUMMYFUNCTION("IF($CR235="""","""",IFERROR(GOOGLEFINANCE($CR235,""changepct"")/100,""-""))"),"")</f>
        <v/>
      </c>
      <c r="AL235" s="851" t="str">
        <f>IFERROR(__xludf.DUMMYFUNCTION("IF($CR235="""","""",IFERROR(($AD235/(QUERY(GOOGLEFINANCE($CR235,""price"",TODAY()-7),""SELECT Col2 label Col2 ''"")*$CU235)-1),""-""))"),"")</f>
        <v/>
      </c>
      <c r="AM235" s="851" t="str">
        <f>IFERROR(__xludf.DUMMYFUNCTION("IF($CR235="""","""",IFERROR(($AD235/(QUERY(GOOGLEFINANCE($CR235,""price"",TODAY()-14),""SELECT Col2 label Col2 ''"")*$CU235)-1),""-""))"),"")</f>
        <v/>
      </c>
      <c r="AN235" s="851" t="str">
        <f>IFERROR(__xludf.DUMMYFUNCTION("IF($CR235="""","""",IFERROR(($AD235/(QUERY(GOOGLEFINANCE($CR235,""price"",TODAY()-28),""SELECT Col2 label Col2 ''"")*$CU235)-1),""-""))"),"")</f>
        <v/>
      </c>
      <c r="AO235" s="851" t="str">
        <f>IFERROR(__xludf.DUMMYFUNCTION("IF($CR235="""","""",IFERROR(($AD235/(QUERY(GOOGLEFINANCE($CR235,""price"",TODAY()-$AQ$5),""SELECT Col2 label Col2 ''"")*$CU235)-1),""-""))"),"")</f>
        <v/>
      </c>
      <c r="AP235" s="852" t="str">
        <f>IFERROR(__xludf.DUMMYFUNCTION("IF($CR235="""","""",IFERROR(SPARKLINE(query(GOOGLEFINANCE($CR235,""price"",TODAY()-$AQ$5,TODAY(),1),""select Col2 label Col2 ''""),IF($AP$7=""Gráfico de barras"",{""charttype"",""column"";""highcolor"",""red""},{""chartype"",""line""}))))"),"")</f>
        <v/>
      </c>
      <c r="AQ235" s="144"/>
      <c r="AR235" s="853"/>
      <c r="AS235" s="854" t="str">
        <f>IF($CR235="","",IF(NOT('alocação'!$D$1),"off",IFERROR(VLOOKUP(CR235,BalanceAtivos,3,0),"NC")))</f>
        <v/>
      </c>
      <c r="AT235" s="855" t="str">
        <f>IF($CR235="","",IF(NOT('alocação'!$D$1),"off",IFERROR(VLOOKUP($CR235,BalanceAtivos,4,0)*$CU$5,"NC")))</f>
        <v/>
      </c>
      <c r="AU235" s="856" t="str">
        <f>IF($CR235="","",IF(NOT('alocação'!$D$1),"off",IFERROR(VLOOKUP($CR235,BalanceAtivos,5,0),"-")))</f>
        <v/>
      </c>
      <c r="AV235" s="856" t="str">
        <f>IF($CR235="","",IF(NOT('alocação'!$D$1),"off",IFERROR(VLOOKUP($CR235,BalanceAtivos,6,0),"-")))</f>
        <v/>
      </c>
      <c r="AW235" s="857"/>
      <c r="AX235" s="858" t="str">
        <f>IF($CR235="","",IF($E235="","SP",IFERROR(VLOOKUP($CR235,AtivosDados,MATCH("pm_atual",portfolio.!$A$3:CY$3,0),0)*$CU$5,0)))</f>
        <v/>
      </c>
      <c r="AY235" s="859" t="str">
        <f t="shared" si="2"/>
        <v/>
      </c>
      <c r="AZ235" s="858" t="str">
        <f>IF($CR235="","",IF($E235="","SP",SUMIF(portfolio.!$A$4:$A308,$CR235,portfolio.!$O$4:$O308)*$CU$5))</f>
        <v/>
      </c>
      <c r="BA235" s="858" t="str">
        <f>IF($CR235="","",IF($E235="","SP",SUMIF(portfolio.!$A$4:$A308,$CR235,portfolio.!$AN$4:$AN308)*$CU$5))</f>
        <v/>
      </c>
      <c r="BB235" s="860" t="str">
        <f>IF($CR235="","",IF($E235="","-",IFERROR($BA235/'portfólio'!$DG$63,"")))</f>
        <v/>
      </c>
      <c r="BC235" s="861" t="str">
        <f>IF($CR235="","",IF($E235="","-",SUMIF(portfolio.!$A$4:$A308,$CR235,portfolio.!$J$4:$J308)))</f>
        <v/>
      </c>
      <c r="BD235" s="862" t="str">
        <f>IF($CR235="","",IF($E235="","SP",SUMIF(portfolio.!$A$4:$A308,$CR235,portfolio.!$AQ$4:$AQ308)*$CU$5))</f>
        <v/>
      </c>
      <c r="BE235" s="850" t="str">
        <f t="shared" si="3"/>
        <v/>
      </c>
      <c r="BF235" s="862" t="str">
        <f>IF($CR235="","",IF($E235="","-",SUMIF(portfolio.!$A$4:$A308,$CR235,portfolio.!$AX$4:$AX308)*$CU$5))</f>
        <v/>
      </c>
      <c r="BG235" s="545"/>
      <c r="BH235" s="879" t="s">
        <v>123</v>
      </c>
      <c r="BI235" s="880" t="s">
        <v>123</v>
      </c>
      <c r="BJ235" s="863" t="str">
        <f>IFERROR(__xludf.DUMMYFUNCTION("IF(NOT($BL$4),"""",IF($CR235="""","""",IFERROR(query({GOOGLEFINANCE($CR235,""price"",IF($BI235=""-"",TODAY()-($AQ$5+5),$BI235),TODAY()-1)},""Select max(Col2) where Col1 is not null label max(Col2) ''"")*CU235,""-"")))"),"")</f>
        <v/>
      </c>
      <c r="BK235" s="881" t="s">
        <v>123</v>
      </c>
      <c r="BL235" s="882" t="s">
        <v>123</v>
      </c>
      <c r="BM235" s="442"/>
      <c r="BN235" s="867" t="str">
        <f>IFERROR(__xludf.DUMMYFUNCTION("IF(CR235="""","""",IF(OR(C235=""AÇÃO"",C235=""BDR""),IFERROR(QUERY({fundamentus.!$A$3:$U308},$CX$67&amp;"" where Col1='""&amp;CR235&amp;""' limit 1"",0)),IF(C235=""FII"",IFERROR(QUERY({fundsexplorer.!$A$2:$Z308},$CY$67&amp;"" where Col1='""&amp;CR235&amp;""' limit 1"",0)),""""))"&amp;")"),"")</f>
        <v/>
      </c>
      <c r="BO235" s="867"/>
      <c r="BP235" s="867"/>
      <c r="BQ235" s="867"/>
      <c r="BR235" s="867"/>
      <c r="BS235" s="867"/>
      <c r="BT235" s="867"/>
      <c r="BU235" s="442"/>
      <c r="BV235" s="868" t="str">
        <f>IFERROR(__xludf.DUMMYFUNCTION("IF(OR(C235=""AÇÃO"",C235=""BDR""),IFERROR(GOOGLEFINANCE(CONCAT(""BVMF:"",CR235), ""marketcap"")/1000000,""NC""),"""")"),"")</f>
        <v/>
      </c>
      <c r="BW235" s="869" t="s">
        <v>123</v>
      </c>
      <c r="BX235" s="870" t="s">
        <v>123</v>
      </c>
      <c r="BY235" s="868" t="s">
        <v>123</v>
      </c>
      <c r="BZ235" s="870" t="s">
        <v>123</v>
      </c>
      <c r="CA235" s="868" t="s">
        <v>123</v>
      </c>
      <c r="CB235" s="868" t="s">
        <v>123</v>
      </c>
      <c r="CC235" s="868" t="s">
        <v>123</v>
      </c>
      <c r="CD235" s="868" t="str">
        <f>IFERROR(__xludf.DUMMYFUNCTION("IF(OR(C235=""AÇÃO"",C235=""BDR""),IFERROR(GOOGLEFINANCE(CONCAT(""BVMF:"",CR235), ""volumeavg"")/1000000,""NC""),"""")"),"")</f>
        <v/>
      </c>
      <c r="CE235" s="870" t="s">
        <v>123</v>
      </c>
      <c r="CF235" s="870" t="s">
        <v>123</v>
      </c>
      <c r="CG235" s="870" t="str">
        <f>IFERROR(__xludf.DUMMYFUNCTION("IF(OR(C235=""AÇÃO"",C235=""BDR""),IF(CF235=0,""SEM DY"",IFERROR(ImportXML(CONCAT(""http://www.guiainvest.com.br/raiox/default.aspx?sigla="",$CR235),""//*[@id='lbPayoutAtual']""),""NC"")),"""")"),"")</f>
        <v/>
      </c>
      <c r="CH235" s="870" t="s">
        <v>123</v>
      </c>
      <c r="CI235" s="545"/>
      <c r="CJ235" s="871" t="str">
        <f>IFERROR(__xludf.DUMMYFUNCTION("IF(OR(C235=""AÇÃO"",C235=""BDR""),IFERROR(GOOGLEFINANCE(CONCAT(""BVMF:"",CR235), ""eps""),""NC""),"""")"),"")</f>
        <v/>
      </c>
      <c r="CK235" s="442"/>
      <c r="CL235" s="871" t="str">
        <f>IFERROR(__xludf.DUMMYFUNCTION("IF(NOT($BL$4),"""",IF($CR235="""","""",IF($BC235="""","""",IFERROR(query({op.normal!$B$5:$F308},""select Col5, toDate(Col2) where Col1 =  '""&amp;$CR235&amp;""' and Col4 &gt; 0 and ((Col3 is null) or (Col3 = 'C')) and Col2 &gt;= date '""&amp;TEXT(TODAY()-$AQ$5,""yyyy-mm-dd"&amp;""")&amp;""' order by Col2 desc limit 1 label toDate(Col2) ''"")))))"),"")</f>
        <v/>
      </c>
      <c r="CM235" s="872"/>
      <c r="CN235" s="883" t="s">
        <v>123</v>
      </c>
      <c r="CO235" s="874" t="s">
        <v>123</v>
      </c>
      <c r="CP235" s="766"/>
      <c r="CQ235" s="791"/>
      <c r="CR235" s="791"/>
      <c r="CT235" s="791" t="s">
        <v>123</v>
      </c>
      <c r="CU235" s="791" t="str">
        <f>IFERROR(__xludf.DUMMYFUNCTION("IF(CR235="""","""",IF(CT235=$C$4,1,GOOGLEFINANCE(CT235&amp;$C$4)))"),"")</f>
        <v/>
      </c>
    </row>
    <row r="236" ht="22.5" customHeight="1">
      <c r="A236" s="837">
        <v>228.0</v>
      </c>
      <c r="B236" s="838" t="s">
        <v>123</v>
      </c>
      <c r="C236" s="838" t="s">
        <v>123</v>
      </c>
      <c r="D236" s="839" t="s">
        <v>123</v>
      </c>
      <c r="E236" s="839" t="s">
        <v>123</v>
      </c>
      <c r="F236" s="839" t="s">
        <v>123</v>
      </c>
      <c r="H236" s="884"/>
      <c r="I236" s="838"/>
      <c r="J236" s="838"/>
      <c r="K236" s="838"/>
      <c r="L236" s="838"/>
      <c r="M236" s="838"/>
      <c r="N236" s="838"/>
      <c r="O236" s="838"/>
      <c r="P236" s="838"/>
      <c r="Q236" s="838"/>
      <c r="R236" s="838"/>
      <c r="S236" s="838"/>
      <c r="T236" s="838"/>
      <c r="U236" s="838"/>
      <c r="V236" s="838"/>
      <c r="W236" s="838"/>
      <c r="X236" s="838"/>
      <c r="Z236" s="875" t="str">
        <f>IFERROR(__xludf.DUMMYFUNCTION("IF($CR236="""","""",IFERROR(query({CarteirasAtivos},""select Col4 where Col4 is not null and Col1 = '""&amp;$CR236&amp;""' limit 1"")*CU236,""NC""))"),"")</f>
        <v/>
      </c>
      <c r="AA236" s="876" t="str">
        <f>IFERROR(__xludf.DUMMYFUNCTION("IF($CR236="""","""",IFERROR(query({CarteirasAtivos},""select Col6 where Col4 is not null and Col1 = '""&amp;$CR236&amp;""' limit 1""),""NC""))"),"")</f>
        <v/>
      </c>
      <c r="AB236" s="877"/>
      <c r="AC236" s="878" t="s">
        <v>123</v>
      </c>
      <c r="AD236" s="845" t="str">
        <f>IF($CR236="","",IFERROR(VLOOKUP($CR236,ativos.!$C$3:$R308,MATCH("cotacao",ativos.!$C$2:CY$2,0),FALSE)*$CU$5,"atualizar"))</f>
        <v/>
      </c>
      <c r="AE236" s="846" t="str">
        <f>IFERROR(__xludf.DUMMYFUNCTION("IF($CR236="""","""",IFERROR(AVERAGE(query({CarteirasAtivos;CarteirasAtivosEncerrados},""select Col5 where Col5 is not null and Col1 = '""&amp;$CR236&amp;""' and Col10='SIM'""))*CU236,""NC""))"),"")</f>
        <v/>
      </c>
      <c r="AF236" s="847" t="str">
        <f t="shared" si="1"/>
        <v/>
      </c>
      <c r="AG236" s="442"/>
      <c r="AH236" s="848" t="str">
        <f>IFERROR(__xludf.DUMMYFUNCTION("IF($CR236="""","""",IFERROR(GOOGLEFINANCE($CR236,""low52"")*CU236,""-""))"),"")</f>
        <v/>
      </c>
      <c r="AI236" s="848" t="str">
        <f>IFERROR(__xludf.DUMMYFUNCTION("IF($CR236="""","""",IFERROR(GOOGLEFINANCE($CR236,""high52"")*CU236,""-""))"),"")</f>
        <v/>
      </c>
      <c r="AJ236" s="849" t="s">
        <v>123</v>
      </c>
      <c r="AK236" s="850" t="str">
        <f>IFERROR(__xludf.DUMMYFUNCTION("IF($CR236="""","""",IFERROR(GOOGLEFINANCE($CR236,""changepct"")/100,""-""))"),"")</f>
        <v/>
      </c>
      <c r="AL236" s="851" t="str">
        <f>IFERROR(__xludf.DUMMYFUNCTION("IF($CR236="""","""",IFERROR(($AD236/(QUERY(GOOGLEFINANCE($CR236,""price"",TODAY()-7),""SELECT Col2 label Col2 ''"")*$CU236)-1),""-""))"),"")</f>
        <v/>
      </c>
      <c r="AM236" s="851" t="str">
        <f>IFERROR(__xludf.DUMMYFUNCTION("IF($CR236="""","""",IFERROR(($AD236/(QUERY(GOOGLEFINANCE($CR236,""price"",TODAY()-14),""SELECT Col2 label Col2 ''"")*$CU236)-1),""-""))"),"")</f>
        <v/>
      </c>
      <c r="AN236" s="851" t="str">
        <f>IFERROR(__xludf.DUMMYFUNCTION("IF($CR236="""","""",IFERROR(($AD236/(QUERY(GOOGLEFINANCE($CR236,""price"",TODAY()-28),""SELECT Col2 label Col2 ''"")*$CU236)-1),""-""))"),"")</f>
        <v/>
      </c>
      <c r="AO236" s="851" t="str">
        <f>IFERROR(__xludf.DUMMYFUNCTION("IF($CR236="""","""",IFERROR(($AD236/(QUERY(GOOGLEFINANCE($CR236,""price"",TODAY()-$AQ$5),""SELECT Col2 label Col2 ''"")*$CU236)-1),""-""))"),"")</f>
        <v/>
      </c>
      <c r="AP236" s="852" t="str">
        <f>IFERROR(__xludf.DUMMYFUNCTION("IF($CR236="""","""",IFERROR(SPARKLINE(query(GOOGLEFINANCE($CR236,""price"",TODAY()-$AQ$5,TODAY(),1),""select Col2 label Col2 ''""),IF($AP$7=""Gráfico de barras"",{""charttype"",""column"";""highcolor"",""red""},{""chartype"",""line""}))))"),"")</f>
        <v/>
      </c>
      <c r="AQ236" s="144"/>
      <c r="AR236" s="853"/>
      <c r="AS236" s="854" t="str">
        <f>IF($CR236="","",IF(NOT('alocação'!$D$1),"off",IFERROR(VLOOKUP(CR236,BalanceAtivos,3,0),"NC")))</f>
        <v/>
      </c>
      <c r="AT236" s="855" t="str">
        <f>IF($CR236="","",IF(NOT('alocação'!$D$1),"off",IFERROR(VLOOKUP($CR236,BalanceAtivos,4,0)*$CU$5,"NC")))</f>
        <v/>
      </c>
      <c r="AU236" s="856" t="str">
        <f>IF($CR236="","",IF(NOT('alocação'!$D$1),"off",IFERROR(VLOOKUP($CR236,BalanceAtivos,5,0),"-")))</f>
        <v/>
      </c>
      <c r="AV236" s="856" t="str">
        <f>IF($CR236="","",IF(NOT('alocação'!$D$1),"off",IFERROR(VLOOKUP($CR236,BalanceAtivos,6,0),"-")))</f>
        <v/>
      </c>
      <c r="AW236" s="857"/>
      <c r="AX236" s="858" t="str">
        <f>IF($CR236="","",IF($E236="","SP",IFERROR(VLOOKUP($CR236,AtivosDados,MATCH("pm_atual",portfolio.!$A$3:CY$3,0),0)*$CU$5,0)))</f>
        <v/>
      </c>
      <c r="AY236" s="859" t="str">
        <f t="shared" si="2"/>
        <v/>
      </c>
      <c r="AZ236" s="858" t="str">
        <f>IF($CR236="","",IF($E236="","SP",SUMIF(portfolio.!$A$4:$A308,$CR236,portfolio.!$O$4:$O308)*$CU$5))</f>
        <v/>
      </c>
      <c r="BA236" s="858" t="str">
        <f>IF($CR236="","",IF($E236="","SP",SUMIF(portfolio.!$A$4:$A308,$CR236,portfolio.!$AN$4:$AN308)*$CU$5))</f>
        <v/>
      </c>
      <c r="BB236" s="860" t="str">
        <f>IF($CR236="","",IF($E236="","-",IFERROR($BA236/'portfólio'!$DG$63,"")))</f>
        <v/>
      </c>
      <c r="BC236" s="861" t="str">
        <f>IF($CR236="","",IF($E236="","-",SUMIF(portfolio.!$A$4:$A308,$CR236,portfolio.!$J$4:$J308)))</f>
        <v/>
      </c>
      <c r="BD236" s="862" t="str">
        <f>IF($CR236="","",IF($E236="","SP",SUMIF(portfolio.!$A$4:$A308,$CR236,portfolio.!$AQ$4:$AQ308)*$CU$5))</f>
        <v/>
      </c>
      <c r="BE236" s="850" t="str">
        <f t="shared" si="3"/>
        <v/>
      </c>
      <c r="BF236" s="862" t="str">
        <f>IF($CR236="","",IF($E236="","-",SUMIF(portfolio.!$A$4:$A308,$CR236,portfolio.!$AX$4:$AX308)*$CU$5))</f>
        <v/>
      </c>
      <c r="BG236" s="545"/>
      <c r="BH236" s="879" t="s">
        <v>123</v>
      </c>
      <c r="BI236" s="880" t="s">
        <v>123</v>
      </c>
      <c r="BJ236" s="863" t="str">
        <f>IFERROR(__xludf.DUMMYFUNCTION("IF(NOT($BL$4),"""",IF($CR236="""","""",IFERROR(query({GOOGLEFINANCE($CR236,""price"",IF($BI236=""-"",TODAY()-($AQ$5+5),$BI236),TODAY()-1)},""Select max(Col2) where Col1 is not null label max(Col2) ''"")*CU236,""-"")))"),"")</f>
        <v/>
      </c>
      <c r="BK236" s="881" t="s">
        <v>123</v>
      </c>
      <c r="BL236" s="882" t="s">
        <v>123</v>
      </c>
      <c r="BM236" s="442"/>
      <c r="BN236" s="867" t="str">
        <f>IFERROR(__xludf.DUMMYFUNCTION("IF(CR236="""","""",IF(OR(C236=""AÇÃO"",C236=""BDR""),IFERROR(QUERY({fundamentus.!$A$3:$U308},$CX$67&amp;"" where Col1='""&amp;CR236&amp;""' limit 1"",0)),IF(C236=""FII"",IFERROR(QUERY({fundsexplorer.!$A$2:$Z308},$CY$67&amp;"" where Col1='""&amp;CR236&amp;""' limit 1"",0)),""""))"&amp;")"),"")</f>
        <v/>
      </c>
      <c r="BO236" s="867"/>
      <c r="BP236" s="867"/>
      <c r="BQ236" s="867"/>
      <c r="BR236" s="867"/>
      <c r="BS236" s="867"/>
      <c r="BT236" s="867"/>
      <c r="BU236" s="442"/>
      <c r="BV236" s="868" t="str">
        <f>IFERROR(__xludf.DUMMYFUNCTION("IF(OR(C236=""AÇÃO"",C236=""BDR""),IFERROR(GOOGLEFINANCE(CONCAT(""BVMF:"",CR236), ""marketcap"")/1000000,""NC""),"""")"),"")</f>
        <v/>
      </c>
      <c r="BW236" s="869" t="s">
        <v>123</v>
      </c>
      <c r="BX236" s="870" t="s">
        <v>123</v>
      </c>
      <c r="BY236" s="868" t="s">
        <v>123</v>
      </c>
      <c r="BZ236" s="870" t="s">
        <v>123</v>
      </c>
      <c r="CA236" s="868" t="s">
        <v>123</v>
      </c>
      <c r="CB236" s="868" t="s">
        <v>123</v>
      </c>
      <c r="CC236" s="868" t="s">
        <v>123</v>
      </c>
      <c r="CD236" s="868" t="str">
        <f>IFERROR(__xludf.DUMMYFUNCTION("IF(OR(C236=""AÇÃO"",C236=""BDR""),IFERROR(GOOGLEFINANCE(CONCAT(""BVMF:"",CR236), ""volumeavg"")/1000000,""NC""),"""")"),"")</f>
        <v/>
      </c>
      <c r="CE236" s="870" t="s">
        <v>123</v>
      </c>
      <c r="CF236" s="870" t="s">
        <v>123</v>
      </c>
      <c r="CG236" s="870" t="str">
        <f>IFERROR(__xludf.DUMMYFUNCTION("IF(OR(C236=""AÇÃO"",C236=""BDR""),IF(CF236=0,""SEM DY"",IFERROR(ImportXML(CONCAT(""http://www.guiainvest.com.br/raiox/default.aspx?sigla="",$CR236),""//*[@id='lbPayoutAtual']""),""NC"")),"""")"),"")</f>
        <v/>
      </c>
      <c r="CH236" s="870" t="s">
        <v>123</v>
      </c>
      <c r="CI236" s="545"/>
      <c r="CJ236" s="871" t="str">
        <f>IFERROR(__xludf.DUMMYFUNCTION("IF(OR(C236=""AÇÃO"",C236=""BDR""),IFERROR(GOOGLEFINANCE(CONCAT(""BVMF:"",CR236), ""eps""),""NC""),"""")"),"")</f>
        <v/>
      </c>
      <c r="CK236" s="442"/>
      <c r="CL236" s="871" t="str">
        <f>IFERROR(__xludf.DUMMYFUNCTION("IF(NOT($BL$4),"""",IF($CR236="""","""",IF($BC236="""","""",IFERROR(query({op.normal!$B$5:$F308},""select Col5, toDate(Col2) where Col1 =  '""&amp;$CR236&amp;""' and Col4 &gt; 0 and ((Col3 is null) or (Col3 = 'C')) and Col2 &gt;= date '""&amp;TEXT(TODAY()-$AQ$5,""yyyy-mm-dd"&amp;""")&amp;""' order by Col2 desc limit 1 label toDate(Col2) ''"")))))"),"")</f>
        <v/>
      </c>
      <c r="CM236" s="872"/>
      <c r="CN236" s="883" t="s">
        <v>123</v>
      </c>
      <c r="CO236" s="874" t="s">
        <v>123</v>
      </c>
      <c r="CP236" s="766"/>
      <c r="CQ236" s="791"/>
      <c r="CR236" s="791"/>
      <c r="CT236" s="791" t="s">
        <v>123</v>
      </c>
      <c r="CU236" s="791" t="str">
        <f>IFERROR(__xludf.DUMMYFUNCTION("IF(CR236="""","""",IF(CT236=$C$4,1,GOOGLEFINANCE(CT236&amp;$C$4)))"),"")</f>
        <v/>
      </c>
    </row>
    <row r="237" ht="22.5" customHeight="1">
      <c r="A237" s="837">
        <v>229.0</v>
      </c>
      <c r="B237" s="838" t="s">
        <v>123</v>
      </c>
      <c r="C237" s="838" t="s">
        <v>123</v>
      </c>
      <c r="D237" s="839" t="s">
        <v>123</v>
      </c>
      <c r="E237" s="839" t="s">
        <v>123</v>
      </c>
      <c r="F237" s="839" t="s">
        <v>123</v>
      </c>
      <c r="H237" s="884"/>
      <c r="I237" s="838"/>
      <c r="J237" s="838"/>
      <c r="K237" s="838"/>
      <c r="L237" s="838"/>
      <c r="M237" s="838"/>
      <c r="N237" s="838"/>
      <c r="O237" s="838"/>
      <c r="P237" s="838"/>
      <c r="Q237" s="838"/>
      <c r="R237" s="838"/>
      <c r="S237" s="838"/>
      <c r="T237" s="838"/>
      <c r="U237" s="838"/>
      <c r="V237" s="838"/>
      <c r="W237" s="838"/>
      <c r="X237" s="838"/>
      <c r="Z237" s="875" t="str">
        <f>IFERROR(__xludf.DUMMYFUNCTION("IF($CR237="""","""",IFERROR(query({CarteirasAtivos},""select Col4 where Col4 is not null and Col1 = '""&amp;$CR237&amp;""' limit 1"")*CU237,""NC""))"),"")</f>
        <v/>
      </c>
      <c r="AA237" s="876" t="str">
        <f>IFERROR(__xludf.DUMMYFUNCTION("IF($CR237="""","""",IFERROR(query({CarteirasAtivos},""select Col6 where Col4 is not null and Col1 = '""&amp;$CR237&amp;""' limit 1""),""NC""))"),"")</f>
        <v/>
      </c>
      <c r="AB237" s="877"/>
      <c r="AC237" s="878" t="s">
        <v>123</v>
      </c>
      <c r="AD237" s="845" t="str">
        <f>IF($CR237="","",IFERROR(VLOOKUP($CR237,ativos.!$C$3:$R308,MATCH("cotacao",ativos.!$C$2:CY$2,0),FALSE)*$CU$5,"atualizar"))</f>
        <v/>
      </c>
      <c r="AE237" s="846" t="str">
        <f>IFERROR(__xludf.DUMMYFUNCTION("IF($CR237="""","""",IFERROR(AVERAGE(query({CarteirasAtivos;CarteirasAtivosEncerrados},""select Col5 where Col5 is not null and Col1 = '""&amp;$CR237&amp;""' and Col10='SIM'""))*CU237,""NC""))"),"")</f>
        <v/>
      </c>
      <c r="AF237" s="847" t="str">
        <f t="shared" si="1"/>
        <v/>
      </c>
      <c r="AG237" s="442"/>
      <c r="AH237" s="848" t="str">
        <f>IFERROR(__xludf.DUMMYFUNCTION("IF($CR237="""","""",IFERROR(GOOGLEFINANCE($CR237,""low52"")*CU237,""-""))"),"")</f>
        <v/>
      </c>
      <c r="AI237" s="848" t="str">
        <f>IFERROR(__xludf.DUMMYFUNCTION("IF($CR237="""","""",IFERROR(GOOGLEFINANCE($CR237,""high52"")*CU237,""-""))"),"")</f>
        <v/>
      </c>
      <c r="AJ237" s="849" t="s">
        <v>123</v>
      </c>
      <c r="AK237" s="850" t="str">
        <f>IFERROR(__xludf.DUMMYFUNCTION("IF($CR237="""","""",IFERROR(GOOGLEFINANCE($CR237,""changepct"")/100,""-""))"),"")</f>
        <v/>
      </c>
      <c r="AL237" s="851" t="str">
        <f>IFERROR(__xludf.DUMMYFUNCTION("IF($CR237="""","""",IFERROR(($AD237/(QUERY(GOOGLEFINANCE($CR237,""price"",TODAY()-7),""SELECT Col2 label Col2 ''"")*$CU237)-1),""-""))"),"")</f>
        <v/>
      </c>
      <c r="AM237" s="851" t="str">
        <f>IFERROR(__xludf.DUMMYFUNCTION("IF($CR237="""","""",IFERROR(($AD237/(QUERY(GOOGLEFINANCE($CR237,""price"",TODAY()-14),""SELECT Col2 label Col2 ''"")*$CU237)-1),""-""))"),"")</f>
        <v/>
      </c>
      <c r="AN237" s="851" t="str">
        <f>IFERROR(__xludf.DUMMYFUNCTION("IF($CR237="""","""",IFERROR(($AD237/(QUERY(GOOGLEFINANCE($CR237,""price"",TODAY()-28),""SELECT Col2 label Col2 ''"")*$CU237)-1),""-""))"),"")</f>
        <v/>
      </c>
      <c r="AO237" s="851" t="str">
        <f>IFERROR(__xludf.DUMMYFUNCTION("IF($CR237="""","""",IFERROR(($AD237/(QUERY(GOOGLEFINANCE($CR237,""price"",TODAY()-$AQ$5),""SELECT Col2 label Col2 ''"")*$CU237)-1),""-""))"),"")</f>
        <v/>
      </c>
      <c r="AP237" s="852" t="str">
        <f>IFERROR(__xludf.DUMMYFUNCTION("IF($CR237="""","""",IFERROR(SPARKLINE(query(GOOGLEFINANCE($CR237,""price"",TODAY()-$AQ$5,TODAY(),1),""select Col2 label Col2 ''""),IF($AP$7=""Gráfico de barras"",{""charttype"",""column"";""highcolor"",""red""},{""chartype"",""line""}))))"),"")</f>
        <v/>
      </c>
      <c r="AQ237" s="144"/>
      <c r="AR237" s="853"/>
      <c r="AS237" s="854" t="str">
        <f>IF($CR237="","",IF(NOT('alocação'!$D$1),"off",IFERROR(VLOOKUP(CR237,BalanceAtivos,3,0),"NC")))</f>
        <v/>
      </c>
      <c r="AT237" s="855" t="str">
        <f>IF($CR237="","",IF(NOT('alocação'!$D$1),"off",IFERROR(VLOOKUP($CR237,BalanceAtivos,4,0)*$CU$5,"NC")))</f>
        <v/>
      </c>
      <c r="AU237" s="856" t="str">
        <f>IF($CR237="","",IF(NOT('alocação'!$D$1),"off",IFERROR(VLOOKUP($CR237,BalanceAtivos,5,0),"-")))</f>
        <v/>
      </c>
      <c r="AV237" s="856" t="str">
        <f>IF($CR237="","",IF(NOT('alocação'!$D$1),"off",IFERROR(VLOOKUP($CR237,BalanceAtivos,6,0),"-")))</f>
        <v/>
      </c>
      <c r="AW237" s="857"/>
      <c r="AX237" s="858" t="str">
        <f>IF($CR237="","",IF($E237="","SP",IFERROR(VLOOKUP($CR237,AtivosDados,MATCH("pm_atual",portfolio.!$A$3:CY$3,0),0)*$CU$5,0)))</f>
        <v/>
      </c>
      <c r="AY237" s="859" t="str">
        <f t="shared" si="2"/>
        <v/>
      </c>
      <c r="AZ237" s="858" t="str">
        <f>IF($CR237="","",IF($E237="","SP",SUMIF(portfolio.!$A$4:$A308,$CR237,portfolio.!$O$4:$O308)*$CU$5))</f>
        <v/>
      </c>
      <c r="BA237" s="858" t="str">
        <f>IF($CR237="","",IF($E237="","SP",SUMIF(portfolio.!$A$4:$A308,$CR237,portfolio.!$AN$4:$AN308)*$CU$5))</f>
        <v/>
      </c>
      <c r="BB237" s="860" t="str">
        <f>IF($CR237="","",IF($E237="","-",IFERROR($BA237/'portfólio'!$DG$63,"")))</f>
        <v/>
      </c>
      <c r="BC237" s="861" t="str">
        <f>IF($CR237="","",IF($E237="","-",SUMIF(portfolio.!$A$4:$A308,$CR237,portfolio.!$J$4:$J308)))</f>
        <v/>
      </c>
      <c r="BD237" s="862" t="str">
        <f>IF($CR237="","",IF($E237="","SP",SUMIF(portfolio.!$A$4:$A308,$CR237,portfolio.!$AQ$4:$AQ308)*$CU$5))</f>
        <v/>
      </c>
      <c r="BE237" s="850" t="str">
        <f t="shared" si="3"/>
        <v/>
      </c>
      <c r="BF237" s="862" t="str">
        <f>IF($CR237="","",IF($E237="","-",SUMIF(portfolio.!$A$4:$A308,$CR237,portfolio.!$AX$4:$AX308)*$CU$5))</f>
        <v/>
      </c>
      <c r="BG237" s="545"/>
      <c r="BH237" s="879" t="s">
        <v>123</v>
      </c>
      <c r="BI237" s="880" t="s">
        <v>123</v>
      </c>
      <c r="BJ237" s="863" t="str">
        <f>IFERROR(__xludf.DUMMYFUNCTION("IF(NOT($BL$4),"""",IF($CR237="""","""",IFERROR(query({GOOGLEFINANCE($CR237,""price"",IF($BI237=""-"",TODAY()-($AQ$5+5),$BI237),TODAY()-1)},""Select max(Col2) where Col1 is not null label max(Col2) ''"")*CU237,""-"")))"),"")</f>
        <v/>
      </c>
      <c r="BK237" s="881" t="s">
        <v>123</v>
      </c>
      <c r="BL237" s="882" t="s">
        <v>123</v>
      </c>
      <c r="BM237" s="442"/>
      <c r="BN237" s="867" t="str">
        <f>IFERROR(__xludf.DUMMYFUNCTION("IF(CR237="""","""",IF(OR(C237=""AÇÃO"",C237=""BDR""),IFERROR(QUERY({fundamentus.!$A$3:$U308},$CX$67&amp;"" where Col1='""&amp;CR237&amp;""' limit 1"",0)),IF(C237=""FII"",IFERROR(QUERY({fundsexplorer.!$A$2:$Z308},$CY$67&amp;"" where Col1='""&amp;CR237&amp;""' limit 1"",0)),""""))"&amp;")"),"")</f>
        <v/>
      </c>
      <c r="BO237" s="867"/>
      <c r="BP237" s="867"/>
      <c r="BQ237" s="867"/>
      <c r="BR237" s="867"/>
      <c r="BS237" s="867"/>
      <c r="BT237" s="867"/>
      <c r="BU237" s="442"/>
      <c r="BV237" s="868" t="str">
        <f>IFERROR(__xludf.DUMMYFUNCTION("IF(OR(C237=""AÇÃO"",C237=""BDR""),IFERROR(GOOGLEFINANCE(CONCAT(""BVMF:"",CR237), ""marketcap"")/1000000,""NC""),"""")"),"")</f>
        <v/>
      </c>
      <c r="BW237" s="869" t="s">
        <v>123</v>
      </c>
      <c r="BX237" s="870" t="s">
        <v>123</v>
      </c>
      <c r="BY237" s="868" t="s">
        <v>123</v>
      </c>
      <c r="BZ237" s="870" t="s">
        <v>123</v>
      </c>
      <c r="CA237" s="868" t="s">
        <v>123</v>
      </c>
      <c r="CB237" s="868" t="s">
        <v>123</v>
      </c>
      <c r="CC237" s="868" t="s">
        <v>123</v>
      </c>
      <c r="CD237" s="868" t="str">
        <f>IFERROR(__xludf.DUMMYFUNCTION("IF(OR(C237=""AÇÃO"",C237=""BDR""),IFERROR(GOOGLEFINANCE(CONCAT(""BVMF:"",CR237), ""volumeavg"")/1000000,""NC""),"""")"),"")</f>
        <v/>
      </c>
      <c r="CE237" s="870" t="s">
        <v>123</v>
      </c>
      <c r="CF237" s="870" t="s">
        <v>123</v>
      </c>
      <c r="CG237" s="870" t="str">
        <f>IFERROR(__xludf.DUMMYFUNCTION("IF(OR(C237=""AÇÃO"",C237=""BDR""),IF(CF237=0,""SEM DY"",IFERROR(ImportXML(CONCAT(""http://www.guiainvest.com.br/raiox/default.aspx?sigla="",$CR237),""//*[@id='lbPayoutAtual']""),""NC"")),"""")"),"")</f>
        <v/>
      </c>
      <c r="CH237" s="870" t="s">
        <v>123</v>
      </c>
      <c r="CI237" s="545"/>
      <c r="CJ237" s="871" t="str">
        <f>IFERROR(__xludf.DUMMYFUNCTION("IF(OR(C237=""AÇÃO"",C237=""BDR""),IFERROR(GOOGLEFINANCE(CONCAT(""BVMF:"",CR237), ""eps""),""NC""),"""")"),"")</f>
        <v/>
      </c>
      <c r="CK237" s="442"/>
      <c r="CL237" s="871" t="str">
        <f>IFERROR(__xludf.DUMMYFUNCTION("IF(NOT($BL$4),"""",IF($CR237="""","""",IF($BC237="""","""",IFERROR(query({op.normal!$B$5:$F308},""select Col5, toDate(Col2) where Col1 =  '""&amp;$CR237&amp;""' and Col4 &gt; 0 and ((Col3 is null) or (Col3 = 'C')) and Col2 &gt;= date '""&amp;TEXT(TODAY()-$AQ$5,""yyyy-mm-dd"&amp;""")&amp;""' order by Col2 desc limit 1 label toDate(Col2) ''"")))))"),"")</f>
        <v/>
      </c>
      <c r="CM237" s="872"/>
      <c r="CN237" s="883" t="s">
        <v>123</v>
      </c>
      <c r="CO237" s="874" t="s">
        <v>123</v>
      </c>
      <c r="CP237" s="766"/>
      <c r="CQ237" s="791"/>
      <c r="CR237" s="791"/>
      <c r="CT237" s="791" t="s">
        <v>123</v>
      </c>
      <c r="CU237" s="791" t="str">
        <f>IFERROR(__xludf.DUMMYFUNCTION("IF(CR237="""","""",IF(CT237=$C$4,1,GOOGLEFINANCE(CT237&amp;$C$4)))"),"")</f>
        <v/>
      </c>
    </row>
    <row r="238" ht="22.5" customHeight="1">
      <c r="A238" s="837">
        <v>230.0</v>
      </c>
      <c r="B238" s="838" t="s">
        <v>123</v>
      </c>
      <c r="C238" s="838" t="s">
        <v>123</v>
      </c>
      <c r="D238" s="839" t="s">
        <v>123</v>
      </c>
      <c r="E238" s="839" t="s">
        <v>123</v>
      </c>
      <c r="F238" s="839" t="s">
        <v>123</v>
      </c>
      <c r="H238" s="884"/>
      <c r="I238" s="838"/>
      <c r="J238" s="838"/>
      <c r="K238" s="838"/>
      <c r="L238" s="838"/>
      <c r="M238" s="838"/>
      <c r="N238" s="838"/>
      <c r="O238" s="838"/>
      <c r="P238" s="838"/>
      <c r="Q238" s="838"/>
      <c r="R238" s="838"/>
      <c r="S238" s="838"/>
      <c r="T238" s="838"/>
      <c r="U238" s="838"/>
      <c r="V238" s="838"/>
      <c r="W238" s="838"/>
      <c r="X238" s="838"/>
      <c r="Z238" s="875" t="str">
        <f>IFERROR(__xludf.DUMMYFUNCTION("IF($CR238="""","""",IFERROR(query({CarteirasAtivos},""select Col4 where Col4 is not null and Col1 = '""&amp;$CR238&amp;""' limit 1"")*CU238,""NC""))"),"")</f>
        <v/>
      </c>
      <c r="AA238" s="876" t="str">
        <f>IFERROR(__xludf.DUMMYFUNCTION("IF($CR238="""","""",IFERROR(query({CarteirasAtivos},""select Col6 where Col4 is not null and Col1 = '""&amp;$CR238&amp;""' limit 1""),""NC""))"),"")</f>
        <v/>
      </c>
      <c r="AB238" s="877"/>
      <c r="AC238" s="878" t="s">
        <v>123</v>
      </c>
      <c r="AD238" s="845" t="str">
        <f>IF($CR238="","",IFERROR(VLOOKUP($CR238,ativos.!$C$3:$R308,MATCH("cotacao",ativos.!$C$2:CY$2,0),FALSE)*$CU$5,"atualizar"))</f>
        <v/>
      </c>
      <c r="AE238" s="846" t="str">
        <f>IFERROR(__xludf.DUMMYFUNCTION("IF($CR238="""","""",IFERROR(AVERAGE(query({CarteirasAtivos;CarteirasAtivosEncerrados},""select Col5 where Col5 is not null and Col1 = '""&amp;$CR238&amp;""' and Col10='SIM'""))*CU238,""NC""))"),"")</f>
        <v/>
      </c>
      <c r="AF238" s="847" t="str">
        <f t="shared" si="1"/>
        <v/>
      </c>
      <c r="AG238" s="442"/>
      <c r="AH238" s="848" t="str">
        <f>IFERROR(__xludf.DUMMYFUNCTION("IF($CR238="""","""",IFERROR(GOOGLEFINANCE($CR238,""low52"")*CU238,""-""))"),"")</f>
        <v/>
      </c>
      <c r="AI238" s="848" t="str">
        <f>IFERROR(__xludf.DUMMYFUNCTION("IF($CR238="""","""",IFERROR(GOOGLEFINANCE($CR238,""high52"")*CU238,""-""))"),"")</f>
        <v/>
      </c>
      <c r="AJ238" s="849" t="s">
        <v>123</v>
      </c>
      <c r="AK238" s="850" t="str">
        <f>IFERROR(__xludf.DUMMYFUNCTION("IF($CR238="""","""",IFERROR(GOOGLEFINANCE($CR238,""changepct"")/100,""-""))"),"")</f>
        <v/>
      </c>
      <c r="AL238" s="851" t="str">
        <f>IFERROR(__xludf.DUMMYFUNCTION("IF($CR238="""","""",IFERROR(($AD238/(QUERY(GOOGLEFINANCE($CR238,""price"",TODAY()-7),""SELECT Col2 label Col2 ''"")*$CU238)-1),""-""))"),"")</f>
        <v/>
      </c>
      <c r="AM238" s="851" t="str">
        <f>IFERROR(__xludf.DUMMYFUNCTION("IF($CR238="""","""",IFERROR(($AD238/(QUERY(GOOGLEFINANCE($CR238,""price"",TODAY()-14),""SELECT Col2 label Col2 ''"")*$CU238)-1),""-""))"),"")</f>
        <v/>
      </c>
      <c r="AN238" s="851" t="str">
        <f>IFERROR(__xludf.DUMMYFUNCTION("IF($CR238="""","""",IFERROR(($AD238/(QUERY(GOOGLEFINANCE($CR238,""price"",TODAY()-28),""SELECT Col2 label Col2 ''"")*$CU238)-1),""-""))"),"")</f>
        <v/>
      </c>
      <c r="AO238" s="851" t="str">
        <f>IFERROR(__xludf.DUMMYFUNCTION("IF($CR238="""","""",IFERROR(($AD238/(QUERY(GOOGLEFINANCE($CR238,""price"",TODAY()-$AQ$5),""SELECT Col2 label Col2 ''"")*$CU238)-1),""-""))"),"")</f>
        <v/>
      </c>
      <c r="AP238" s="852" t="str">
        <f>IFERROR(__xludf.DUMMYFUNCTION("IF($CR238="""","""",IFERROR(SPARKLINE(query(GOOGLEFINANCE($CR238,""price"",TODAY()-$AQ$5,TODAY(),1),""select Col2 label Col2 ''""),IF($AP$7=""Gráfico de barras"",{""charttype"",""column"";""highcolor"",""red""},{""chartype"",""line""}))))"),"")</f>
        <v/>
      </c>
      <c r="AQ238" s="144"/>
      <c r="AR238" s="853"/>
      <c r="AS238" s="854" t="str">
        <f>IF($CR238="","",IF(NOT('alocação'!$D$1),"off",IFERROR(VLOOKUP(CR238,BalanceAtivos,3,0),"NC")))</f>
        <v/>
      </c>
      <c r="AT238" s="855" t="str">
        <f>IF($CR238="","",IF(NOT('alocação'!$D$1),"off",IFERROR(VLOOKUP($CR238,BalanceAtivos,4,0)*$CU$5,"NC")))</f>
        <v/>
      </c>
      <c r="AU238" s="856" t="str">
        <f>IF($CR238="","",IF(NOT('alocação'!$D$1),"off",IFERROR(VLOOKUP($CR238,BalanceAtivos,5,0),"-")))</f>
        <v/>
      </c>
      <c r="AV238" s="856" t="str">
        <f>IF($CR238="","",IF(NOT('alocação'!$D$1),"off",IFERROR(VLOOKUP($CR238,BalanceAtivos,6,0),"-")))</f>
        <v/>
      </c>
      <c r="AW238" s="857"/>
      <c r="AX238" s="858" t="str">
        <f>IF($CR238="","",IF($E238="","SP",IFERROR(VLOOKUP($CR238,AtivosDados,MATCH("pm_atual",portfolio.!$A$3:CY$3,0),0)*$CU$5,0)))</f>
        <v/>
      </c>
      <c r="AY238" s="859" t="str">
        <f t="shared" si="2"/>
        <v/>
      </c>
      <c r="AZ238" s="858" t="str">
        <f>IF($CR238="","",IF($E238="","SP",SUMIF(portfolio.!$A$4:$A308,$CR238,portfolio.!$O$4:$O308)*$CU$5))</f>
        <v/>
      </c>
      <c r="BA238" s="858" t="str">
        <f>IF($CR238="","",IF($E238="","SP",SUMIF(portfolio.!$A$4:$A308,$CR238,portfolio.!$AN$4:$AN308)*$CU$5))</f>
        <v/>
      </c>
      <c r="BB238" s="860" t="str">
        <f>IF($CR238="","",IF($E238="","-",IFERROR($BA238/'portfólio'!$DG$63,"")))</f>
        <v/>
      </c>
      <c r="BC238" s="861" t="str">
        <f>IF($CR238="","",IF($E238="","-",SUMIF(portfolio.!$A$4:$A308,$CR238,portfolio.!$J$4:$J308)))</f>
        <v/>
      </c>
      <c r="BD238" s="862" t="str">
        <f>IF($CR238="","",IF($E238="","SP",SUMIF(portfolio.!$A$4:$A308,$CR238,portfolio.!$AQ$4:$AQ308)*$CU$5))</f>
        <v/>
      </c>
      <c r="BE238" s="850" t="str">
        <f t="shared" si="3"/>
        <v/>
      </c>
      <c r="BF238" s="862" t="str">
        <f>IF($CR238="","",IF($E238="","-",SUMIF(portfolio.!$A$4:$A308,$CR238,portfolio.!$AX$4:$AX308)*$CU$5))</f>
        <v/>
      </c>
      <c r="BG238" s="545"/>
      <c r="BH238" s="879" t="s">
        <v>123</v>
      </c>
      <c r="BI238" s="880" t="s">
        <v>123</v>
      </c>
      <c r="BJ238" s="863" t="str">
        <f>IFERROR(__xludf.DUMMYFUNCTION("IF(NOT($BL$4),"""",IF($CR238="""","""",IFERROR(query({GOOGLEFINANCE($CR238,""price"",IF($BI238=""-"",TODAY()-($AQ$5+5),$BI238),TODAY()-1)},""Select max(Col2) where Col1 is not null label max(Col2) ''"")*CU238,""-"")))"),"")</f>
        <v/>
      </c>
      <c r="BK238" s="881" t="s">
        <v>123</v>
      </c>
      <c r="BL238" s="882" t="s">
        <v>123</v>
      </c>
      <c r="BM238" s="442"/>
      <c r="BN238" s="867" t="str">
        <f>IFERROR(__xludf.DUMMYFUNCTION("IF(CR238="""","""",IF(OR(C238=""AÇÃO"",C238=""BDR""),IFERROR(QUERY({fundamentus.!$A$3:$U308},$CX$67&amp;"" where Col1='""&amp;CR238&amp;""' limit 1"",0)),IF(C238=""FII"",IFERROR(QUERY({fundsexplorer.!$A$2:$Z308},$CY$67&amp;"" where Col1='""&amp;CR238&amp;""' limit 1"",0)),""""))"&amp;")"),"")</f>
        <v/>
      </c>
      <c r="BO238" s="867"/>
      <c r="BP238" s="867"/>
      <c r="BQ238" s="867"/>
      <c r="BR238" s="867"/>
      <c r="BS238" s="867"/>
      <c r="BT238" s="867"/>
      <c r="BU238" s="442"/>
      <c r="BV238" s="868" t="str">
        <f>IFERROR(__xludf.DUMMYFUNCTION("IF(OR(C238=""AÇÃO"",C238=""BDR""),IFERROR(GOOGLEFINANCE(CONCAT(""BVMF:"",CR238), ""marketcap"")/1000000,""NC""),"""")"),"")</f>
        <v/>
      </c>
      <c r="BW238" s="869" t="s">
        <v>123</v>
      </c>
      <c r="BX238" s="870" t="s">
        <v>123</v>
      </c>
      <c r="BY238" s="868" t="s">
        <v>123</v>
      </c>
      <c r="BZ238" s="870" t="s">
        <v>123</v>
      </c>
      <c r="CA238" s="868" t="s">
        <v>123</v>
      </c>
      <c r="CB238" s="868" t="s">
        <v>123</v>
      </c>
      <c r="CC238" s="868" t="s">
        <v>123</v>
      </c>
      <c r="CD238" s="868" t="str">
        <f>IFERROR(__xludf.DUMMYFUNCTION("IF(OR(C238=""AÇÃO"",C238=""BDR""),IFERROR(GOOGLEFINANCE(CONCAT(""BVMF:"",CR238), ""volumeavg"")/1000000,""NC""),"""")"),"")</f>
        <v/>
      </c>
      <c r="CE238" s="870" t="s">
        <v>123</v>
      </c>
      <c r="CF238" s="870" t="s">
        <v>123</v>
      </c>
      <c r="CG238" s="870" t="str">
        <f>IFERROR(__xludf.DUMMYFUNCTION("IF(OR(C238=""AÇÃO"",C238=""BDR""),IF(CF238=0,""SEM DY"",IFERROR(ImportXML(CONCAT(""http://www.guiainvest.com.br/raiox/default.aspx?sigla="",$CR238),""//*[@id='lbPayoutAtual']""),""NC"")),"""")"),"")</f>
        <v/>
      </c>
      <c r="CH238" s="870" t="s">
        <v>123</v>
      </c>
      <c r="CI238" s="545"/>
      <c r="CJ238" s="871" t="str">
        <f>IFERROR(__xludf.DUMMYFUNCTION("IF(OR(C238=""AÇÃO"",C238=""BDR""),IFERROR(GOOGLEFINANCE(CONCAT(""BVMF:"",CR238), ""eps""),""NC""),"""")"),"")</f>
        <v/>
      </c>
      <c r="CK238" s="442"/>
      <c r="CL238" s="871" t="str">
        <f>IFERROR(__xludf.DUMMYFUNCTION("IF(NOT($BL$4),"""",IF($CR238="""","""",IF($BC238="""","""",IFERROR(query({op.normal!$B$5:$F308},""select Col5, toDate(Col2) where Col1 =  '""&amp;$CR238&amp;""' and Col4 &gt; 0 and ((Col3 is null) or (Col3 = 'C')) and Col2 &gt;= date '""&amp;TEXT(TODAY()-$AQ$5,""yyyy-mm-dd"&amp;""")&amp;""' order by Col2 desc limit 1 label toDate(Col2) ''"")))))"),"")</f>
        <v/>
      </c>
      <c r="CM238" s="872"/>
      <c r="CN238" s="883" t="s">
        <v>123</v>
      </c>
      <c r="CO238" s="874" t="s">
        <v>123</v>
      </c>
      <c r="CP238" s="766"/>
      <c r="CQ238" s="791"/>
      <c r="CR238" s="791"/>
      <c r="CT238" s="791" t="s">
        <v>123</v>
      </c>
      <c r="CU238" s="791" t="str">
        <f>IFERROR(__xludf.DUMMYFUNCTION("IF(CR238="""","""",IF(CT238=$C$4,1,GOOGLEFINANCE(CT238&amp;$C$4)))"),"")</f>
        <v/>
      </c>
    </row>
    <row r="239" ht="22.5" customHeight="1">
      <c r="A239" s="837">
        <v>231.0</v>
      </c>
      <c r="B239" s="838" t="s">
        <v>123</v>
      </c>
      <c r="C239" s="838" t="s">
        <v>123</v>
      </c>
      <c r="D239" s="839" t="s">
        <v>123</v>
      </c>
      <c r="E239" s="839" t="s">
        <v>123</v>
      </c>
      <c r="F239" s="839" t="s">
        <v>123</v>
      </c>
      <c r="H239" s="884"/>
      <c r="I239" s="838"/>
      <c r="J239" s="838"/>
      <c r="K239" s="838"/>
      <c r="L239" s="838"/>
      <c r="M239" s="838"/>
      <c r="N239" s="838"/>
      <c r="O239" s="838"/>
      <c r="P239" s="838"/>
      <c r="Q239" s="838"/>
      <c r="R239" s="838"/>
      <c r="S239" s="838"/>
      <c r="T239" s="838"/>
      <c r="U239" s="838"/>
      <c r="V239" s="838"/>
      <c r="W239" s="838"/>
      <c r="X239" s="838"/>
      <c r="Z239" s="875" t="str">
        <f>IFERROR(__xludf.DUMMYFUNCTION("IF($CR239="""","""",IFERROR(query({CarteirasAtivos},""select Col4 where Col4 is not null and Col1 = '""&amp;$CR239&amp;""' limit 1"")*CU239,""NC""))"),"")</f>
        <v/>
      </c>
      <c r="AA239" s="876" t="str">
        <f>IFERROR(__xludf.DUMMYFUNCTION("IF($CR239="""","""",IFERROR(query({CarteirasAtivos},""select Col6 where Col4 is not null and Col1 = '""&amp;$CR239&amp;""' limit 1""),""NC""))"),"")</f>
        <v/>
      </c>
      <c r="AB239" s="877"/>
      <c r="AC239" s="878" t="s">
        <v>123</v>
      </c>
      <c r="AD239" s="845" t="str">
        <f>IF($CR239="","",IFERROR(VLOOKUP($CR239,ativos.!$C$3:$R308,MATCH("cotacao",ativos.!$C$2:CY$2,0),FALSE)*$CU$5,"atualizar"))</f>
        <v/>
      </c>
      <c r="AE239" s="846" t="str">
        <f>IFERROR(__xludf.DUMMYFUNCTION("IF($CR239="""","""",IFERROR(AVERAGE(query({CarteirasAtivos;CarteirasAtivosEncerrados},""select Col5 where Col5 is not null and Col1 = '""&amp;$CR239&amp;""' and Col10='SIM'""))*CU239,""NC""))"),"")</f>
        <v/>
      </c>
      <c r="AF239" s="847" t="str">
        <f t="shared" si="1"/>
        <v/>
      </c>
      <c r="AG239" s="442"/>
      <c r="AH239" s="848" t="str">
        <f>IFERROR(__xludf.DUMMYFUNCTION("IF($CR239="""","""",IFERROR(GOOGLEFINANCE($CR239,""low52"")*CU239,""-""))"),"")</f>
        <v/>
      </c>
      <c r="AI239" s="848" t="str">
        <f>IFERROR(__xludf.DUMMYFUNCTION("IF($CR239="""","""",IFERROR(GOOGLEFINANCE($CR239,""high52"")*CU239,""-""))"),"")</f>
        <v/>
      </c>
      <c r="AJ239" s="849" t="s">
        <v>123</v>
      </c>
      <c r="AK239" s="850" t="str">
        <f>IFERROR(__xludf.DUMMYFUNCTION("IF($CR239="""","""",IFERROR(GOOGLEFINANCE($CR239,""changepct"")/100,""-""))"),"")</f>
        <v/>
      </c>
      <c r="AL239" s="851" t="str">
        <f>IFERROR(__xludf.DUMMYFUNCTION("IF($CR239="""","""",IFERROR(($AD239/(QUERY(GOOGLEFINANCE($CR239,""price"",TODAY()-7),""SELECT Col2 label Col2 ''"")*$CU239)-1),""-""))"),"")</f>
        <v/>
      </c>
      <c r="AM239" s="851" t="str">
        <f>IFERROR(__xludf.DUMMYFUNCTION("IF($CR239="""","""",IFERROR(($AD239/(QUERY(GOOGLEFINANCE($CR239,""price"",TODAY()-14),""SELECT Col2 label Col2 ''"")*$CU239)-1),""-""))"),"")</f>
        <v/>
      </c>
      <c r="AN239" s="851" t="str">
        <f>IFERROR(__xludf.DUMMYFUNCTION("IF($CR239="""","""",IFERROR(($AD239/(QUERY(GOOGLEFINANCE($CR239,""price"",TODAY()-28),""SELECT Col2 label Col2 ''"")*$CU239)-1),""-""))"),"")</f>
        <v/>
      </c>
      <c r="AO239" s="851" t="str">
        <f>IFERROR(__xludf.DUMMYFUNCTION("IF($CR239="""","""",IFERROR(($AD239/(QUERY(GOOGLEFINANCE($CR239,""price"",TODAY()-$AQ$5),""SELECT Col2 label Col2 ''"")*$CU239)-1),""-""))"),"")</f>
        <v/>
      </c>
      <c r="AP239" s="852" t="str">
        <f>IFERROR(__xludf.DUMMYFUNCTION("IF($CR239="""","""",IFERROR(SPARKLINE(query(GOOGLEFINANCE($CR239,""price"",TODAY()-$AQ$5,TODAY(),1),""select Col2 label Col2 ''""),IF($AP$7=""Gráfico de barras"",{""charttype"",""column"";""highcolor"",""red""},{""chartype"",""line""}))))"),"")</f>
        <v/>
      </c>
      <c r="AQ239" s="144"/>
      <c r="AR239" s="853"/>
      <c r="AS239" s="854" t="str">
        <f>IF($CR239="","",IF(NOT('alocação'!$D$1),"off",IFERROR(VLOOKUP(CR239,BalanceAtivos,3,0),"NC")))</f>
        <v/>
      </c>
      <c r="AT239" s="855" t="str">
        <f>IF($CR239="","",IF(NOT('alocação'!$D$1),"off",IFERROR(VLOOKUP($CR239,BalanceAtivos,4,0)*$CU$5,"NC")))</f>
        <v/>
      </c>
      <c r="AU239" s="856" t="str">
        <f>IF($CR239="","",IF(NOT('alocação'!$D$1),"off",IFERROR(VLOOKUP($CR239,BalanceAtivos,5,0),"-")))</f>
        <v/>
      </c>
      <c r="AV239" s="856" t="str">
        <f>IF($CR239="","",IF(NOT('alocação'!$D$1),"off",IFERROR(VLOOKUP($CR239,BalanceAtivos,6,0),"-")))</f>
        <v/>
      </c>
      <c r="AW239" s="857"/>
      <c r="AX239" s="858" t="str">
        <f>IF($CR239="","",IF($E239="","SP",IFERROR(VLOOKUP($CR239,AtivosDados,MATCH("pm_atual",portfolio.!$A$3:CY$3,0),0)*$CU$5,0)))</f>
        <v/>
      </c>
      <c r="AY239" s="859" t="str">
        <f t="shared" si="2"/>
        <v/>
      </c>
      <c r="AZ239" s="858" t="str">
        <f>IF($CR239="","",IF($E239="","SP",SUMIF(portfolio.!$A$4:$A308,$CR239,portfolio.!$O$4:$O308)*$CU$5))</f>
        <v/>
      </c>
      <c r="BA239" s="858" t="str">
        <f>IF($CR239="","",IF($E239="","SP",SUMIF(portfolio.!$A$4:$A308,$CR239,portfolio.!$AN$4:$AN308)*$CU$5))</f>
        <v/>
      </c>
      <c r="BB239" s="860" t="str">
        <f>IF($CR239="","",IF($E239="","-",IFERROR($BA239/'portfólio'!$DG$63,"")))</f>
        <v/>
      </c>
      <c r="BC239" s="861" t="str">
        <f>IF($CR239="","",IF($E239="","-",SUMIF(portfolio.!$A$4:$A308,$CR239,portfolio.!$J$4:$J308)))</f>
        <v/>
      </c>
      <c r="BD239" s="862" t="str">
        <f>IF($CR239="","",IF($E239="","SP",SUMIF(portfolio.!$A$4:$A308,$CR239,portfolio.!$AQ$4:$AQ308)*$CU$5))</f>
        <v/>
      </c>
      <c r="BE239" s="850" t="str">
        <f t="shared" si="3"/>
        <v/>
      </c>
      <c r="BF239" s="862" t="str">
        <f>IF($CR239="","",IF($E239="","-",SUMIF(portfolio.!$A$4:$A308,$CR239,portfolio.!$AX$4:$AX308)*$CU$5))</f>
        <v/>
      </c>
      <c r="BG239" s="545"/>
      <c r="BH239" s="879" t="s">
        <v>123</v>
      </c>
      <c r="BI239" s="880" t="s">
        <v>123</v>
      </c>
      <c r="BJ239" s="863" t="str">
        <f>IFERROR(__xludf.DUMMYFUNCTION("IF(NOT($BL$4),"""",IF($CR239="""","""",IFERROR(query({GOOGLEFINANCE($CR239,""price"",IF($BI239=""-"",TODAY()-($AQ$5+5),$BI239),TODAY()-1)},""Select max(Col2) where Col1 is not null label max(Col2) ''"")*CU239,""-"")))"),"")</f>
        <v/>
      </c>
      <c r="BK239" s="881" t="s">
        <v>123</v>
      </c>
      <c r="BL239" s="882" t="s">
        <v>123</v>
      </c>
      <c r="BM239" s="442"/>
      <c r="BN239" s="867" t="str">
        <f>IFERROR(__xludf.DUMMYFUNCTION("IF(CR239="""","""",IF(OR(C239=""AÇÃO"",C239=""BDR""),IFERROR(QUERY({fundamentus.!$A$3:$U308},$CX$67&amp;"" where Col1='""&amp;CR239&amp;""' limit 1"",0)),IF(C239=""FII"",IFERROR(QUERY({fundsexplorer.!$A$2:$Z308},$CY$67&amp;"" where Col1='""&amp;CR239&amp;""' limit 1"",0)),""""))"&amp;")"),"")</f>
        <v/>
      </c>
      <c r="BO239" s="867"/>
      <c r="BP239" s="867"/>
      <c r="BQ239" s="867"/>
      <c r="BR239" s="867"/>
      <c r="BS239" s="867"/>
      <c r="BT239" s="867"/>
      <c r="BU239" s="442"/>
      <c r="BV239" s="868" t="str">
        <f>IFERROR(__xludf.DUMMYFUNCTION("IF(OR(C239=""AÇÃO"",C239=""BDR""),IFERROR(GOOGLEFINANCE(CONCAT(""BVMF:"",CR239), ""marketcap"")/1000000,""NC""),"""")"),"")</f>
        <v/>
      </c>
      <c r="BW239" s="869" t="s">
        <v>123</v>
      </c>
      <c r="BX239" s="870" t="s">
        <v>123</v>
      </c>
      <c r="BY239" s="868" t="s">
        <v>123</v>
      </c>
      <c r="BZ239" s="870" t="s">
        <v>123</v>
      </c>
      <c r="CA239" s="868" t="s">
        <v>123</v>
      </c>
      <c r="CB239" s="868" t="s">
        <v>123</v>
      </c>
      <c r="CC239" s="868" t="s">
        <v>123</v>
      </c>
      <c r="CD239" s="868" t="str">
        <f>IFERROR(__xludf.DUMMYFUNCTION("IF(OR(C239=""AÇÃO"",C239=""BDR""),IFERROR(GOOGLEFINANCE(CONCAT(""BVMF:"",CR239), ""volumeavg"")/1000000,""NC""),"""")"),"")</f>
        <v/>
      </c>
      <c r="CE239" s="870" t="s">
        <v>123</v>
      </c>
      <c r="CF239" s="870" t="s">
        <v>123</v>
      </c>
      <c r="CG239" s="870" t="str">
        <f>IFERROR(__xludf.DUMMYFUNCTION("IF(OR(C239=""AÇÃO"",C239=""BDR""),IF(CF239=0,""SEM DY"",IFERROR(ImportXML(CONCAT(""http://www.guiainvest.com.br/raiox/default.aspx?sigla="",$CR239),""//*[@id='lbPayoutAtual']""),""NC"")),"""")"),"")</f>
        <v/>
      </c>
      <c r="CH239" s="870" t="s">
        <v>123</v>
      </c>
      <c r="CI239" s="545"/>
      <c r="CJ239" s="871" t="str">
        <f>IFERROR(__xludf.DUMMYFUNCTION("IF(OR(C239=""AÇÃO"",C239=""BDR""),IFERROR(GOOGLEFINANCE(CONCAT(""BVMF:"",CR239), ""eps""),""NC""),"""")"),"")</f>
        <v/>
      </c>
      <c r="CK239" s="442"/>
      <c r="CL239" s="871" t="str">
        <f>IFERROR(__xludf.DUMMYFUNCTION("IF(NOT($BL$4),"""",IF($CR239="""","""",IF($BC239="""","""",IFERROR(query({op.normal!$B$5:$F308},""select Col5, toDate(Col2) where Col1 =  '""&amp;$CR239&amp;""' and Col4 &gt; 0 and ((Col3 is null) or (Col3 = 'C')) and Col2 &gt;= date '""&amp;TEXT(TODAY()-$AQ$5,""yyyy-mm-dd"&amp;""")&amp;""' order by Col2 desc limit 1 label toDate(Col2) ''"")))))"),"")</f>
        <v/>
      </c>
      <c r="CM239" s="872"/>
      <c r="CN239" s="883" t="s">
        <v>123</v>
      </c>
      <c r="CO239" s="874" t="s">
        <v>123</v>
      </c>
      <c r="CP239" s="766"/>
      <c r="CQ239" s="791"/>
      <c r="CR239" s="791"/>
      <c r="CT239" s="791" t="s">
        <v>123</v>
      </c>
      <c r="CU239" s="791" t="str">
        <f>IFERROR(__xludf.DUMMYFUNCTION("IF(CR239="""","""",IF(CT239=$C$4,1,GOOGLEFINANCE(CT239&amp;$C$4)))"),"")</f>
        <v/>
      </c>
    </row>
    <row r="240" ht="22.5" customHeight="1">
      <c r="A240" s="837">
        <v>232.0</v>
      </c>
      <c r="B240" s="838" t="s">
        <v>123</v>
      </c>
      <c r="C240" s="838" t="s">
        <v>123</v>
      </c>
      <c r="D240" s="839" t="s">
        <v>123</v>
      </c>
      <c r="E240" s="839" t="s">
        <v>123</v>
      </c>
      <c r="F240" s="839" t="s">
        <v>123</v>
      </c>
      <c r="H240" s="884"/>
      <c r="I240" s="838"/>
      <c r="J240" s="838"/>
      <c r="K240" s="838"/>
      <c r="L240" s="838"/>
      <c r="M240" s="838"/>
      <c r="N240" s="838"/>
      <c r="O240" s="838"/>
      <c r="P240" s="838"/>
      <c r="Q240" s="838"/>
      <c r="R240" s="838"/>
      <c r="S240" s="838"/>
      <c r="T240" s="838"/>
      <c r="U240" s="838"/>
      <c r="V240" s="838"/>
      <c r="W240" s="838"/>
      <c r="X240" s="838"/>
      <c r="Z240" s="875" t="str">
        <f>IFERROR(__xludf.DUMMYFUNCTION("IF($CR240="""","""",IFERROR(query({CarteirasAtivos},""select Col4 where Col4 is not null and Col1 = '""&amp;$CR240&amp;""' limit 1"")*CU240,""NC""))"),"")</f>
        <v/>
      </c>
      <c r="AA240" s="876" t="str">
        <f>IFERROR(__xludf.DUMMYFUNCTION("IF($CR240="""","""",IFERROR(query({CarteirasAtivos},""select Col6 where Col4 is not null and Col1 = '""&amp;$CR240&amp;""' limit 1""),""NC""))"),"")</f>
        <v/>
      </c>
      <c r="AB240" s="877"/>
      <c r="AC240" s="878" t="s">
        <v>123</v>
      </c>
      <c r="AD240" s="845" t="str">
        <f>IF($CR240="","",IFERROR(VLOOKUP($CR240,ativos.!$C$3:$R308,MATCH("cotacao",ativos.!$C$2:CY$2,0),FALSE)*$CU$5,"atualizar"))</f>
        <v/>
      </c>
      <c r="AE240" s="846" t="str">
        <f>IFERROR(__xludf.DUMMYFUNCTION("IF($CR240="""","""",IFERROR(AVERAGE(query({CarteirasAtivos;CarteirasAtivosEncerrados},""select Col5 where Col5 is not null and Col1 = '""&amp;$CR240&amp;""' and Col10='SIM'""))*CU240,""NC""))"),"")</f>
        <v/>
      </c>
      <c r="AF240" s="847" t="str">
        <f t="shared" si="1"/>
        <v/>
      </c>
      <c r="AG240" s="442"/>
      <c r="AH240" s="848" t="str">
        <f>IFERROR(__xludf.DUMMYFUNCTION("IF($CR240="""","""",IFERROR(GOOGLEFINANCE($CR240,""low52"")*CU240,""-""))"),"")</f>
        <v/>
      </c>
      <c r="AI240" s="848" t="str">
        <f>IFERROR(__xludf.DUMMYFUNCTION("IF($CR240="""","""",IFERROR(GOOGLEFINANCE($CR240,""high52"")*CU240,""-""))"),"")</f>
        <v/>
      </c>
      <c r="AJ240" s="849" t="s">
        <v>123</v>
      </c>
      <c r="AK240" s="850" t="str">
        <f>IFERROR(__xludf.DUMMYFUNCTION("IF($CR240="""","""",IFERROR(GOOGLEFINANCE($CR240,""changepct"")/100,""-""))"),"")</f>
        <v/>
      </c>
      <c r="AL240" s="851" t="str">
        <f>IFERROR(__xludf.DUMMYFUNCTION("IF($CR240="""","""",IFERROR(($AD240/(QUERY(GOOGLEFINANCE($CR240,""price"",TODAY()-7),""SELECT Col2 label Col2 ''"")*$CU240)-1),""-""))"),"")</f>
        <v/>
      </c>
      <c r="AM240" s="851" t="str">
        <f>IFERROR(__xludf.DUMMYFUNCTION("IF($CR240="""","""",IFERROR(($AD240/(QUERY(GOOGLEFINANCE($CR240,""price"",TODAY()-14),""SELECT Col2 label Col2 ''"")*$CU240)-1),""-""))"),"")</f>
        <v/>
      </c>
      <c r="AN240" s="851" t="str">
        <f>IFERROR(__xludf.DUMMYFUNCTION("IF($CR240="""","""",IFERROR(($AD240/(QUERY(GOOGLEFINANCE($CR240,""price"",TODAY()-28),""SELECT Col2 label Col2 ''"")*$CU240)-1),""-""))"),"")</f>
        <v/>
      </c>
      <c r="AO240" s="851" t="str">
        <f>IFERROR(__xludf.DUMMYFUNCTION("IF($CR240="""","""",IFERROR(($AD240/(QUERY(GOOGLEFINANCE($CR240,""price"",TODAY()-$AQ$5),""SELECT Col2 label Col2 ''"")*$CU240)-1),""-""))"),"")</f>
        <v/>
      </c>
      <c r="AP240" s="852" t="str">
        <f>IFERROR(__xludf.DUMMYFUNCTION("IF($CR240="""","""",IFERROR(SPARKLINE(query(GOOGLEFINANCE($CR240,""price"",TODAY()-$AQ$5,TODAY(),1),""select Col2 label Col2 ''""),IF($AP$7=""Gráfico de barras"",{""charttype"",""column"";""highcolor"",""red""},{""chartype"",""line""}))))"),"")</f>
        <v/>
      </c>
      <c r="AQ240" s="144"/>
      <c r="AR240" s="853"/>
      <c r="AS240" s="854" t="str">
        <f>IF($CR240="","",IF(NOT('alocação'!$D$1),"off",IFERROR(VLOOKUP(CR240,BalanceAtivos,3,0),"NC")))</f>
        <v/>
      </c>
      <c r="AT240" s="855" t="str">
        <f>IF($CR240="","",IF(NOT('alocação'!$D$1),"off",IFERROR(VLOOKUP($CR240,BalanceAtivos,4,0)*$CU$5,"NC")))</f>
        <v/>
      </c>
      <c r="AU240" s="856" t="str">
        <f>IF($CR240="","",IF(NOT('alocação'!$D$1),"off",IFERROR(VLOOKUP($CR240,BalanceAtivos,5,0),"-")))</f>
        <v/>
      </c>
      <c r="AV240" s="856" t="str">
        <f>IF($CR240="","",IF(NOT('alocação'!$D$1),"off",IFERROR(VLOOKUP($CR240,BalanceAtivos,6,0),"-")))</f>
        <v/>
      </c>
      <c r="AW240" s="857"/>
      <c r="AX240" s="858" t="str">
        <f>IF($CR240="","",IF($E240="","SP",IFERROR(VLOOKUP($CR240,AtivosDados,MATCH("pm_atual",portfolio.!$A$3:CY$3,0),0)*$CU$5,0)))</f>
        <v/>
      </c>
      <c r="AY240" s="859" t="str">
        <f t="shared" si="2"/>
        <v/>
      </c>
      <c r="AZ240" s="858" t="str">
        <f>IF($CR240="","",IF($E240="","SP",SUMIF(portfolio.!$A$4:$A308,$CR240,portfolio.!$O$4:$O308)*$CU$5))</f>
        <v/>
      </c>
      <c r="BA240" s="858" t="str">
        <f>IF($CR240="","",IF($E240="","SP",SUMIF(portfolio.!$A$4:$A308,$CR240,portfolio.!$AN$4:$AN308)*$CU$5))</f>
        <v/>
      </c>
      <c r="BB240" s="860" t="str">
        <f>IF($CR240="","",IF($E240="","-",IFERROR($BA240/'portfólio'!$DG$63,"")))</f>
        <v/>
      </c>
      <c r="BC240" s="861" t="str">
        <f>IF($CR240="","",IF($E240="","-",SUMIF(portfolio.!$A$4:$A308,$CR240,portfolio.!$J$4:$J308)))</f>
        <v/>
      </c>
      <c r="BD240" s="862" t="str">
        <f>IF($CR240="","",IF($E240="","SP",SUMIF(portfolio.!$A$4:$A308,$CR240,portfolio.!$AQ$4:$AQ308)*$CU$5))</f>
        <v/>
      </c>
      <c r="BE240" s="850" t="str">
        <f t="shared" si="3"/>
        <v/>
      </c>
      <c r="BF240" s="862" t="str">
        <f>IF($CR240="","",IF($E240="","-",SUMIF(portfolio.!$A$4:$A308,$CR240,portfolio.!$AX$4:$AX308)*$CU$5))</f>
        <v/>
      </c>
      <c r="BG240" s="545"/>
      <c r="BH240" s="879" t="s">
        <v>123</v>
      </c>
      <c r="BI240" s="880" t="s">
        <v>123</v>
      </c>
      <c r="BJ240" s="863" t="str">
        <f>IFERROR(__xludf.DUMMYFUNCTION("IF(NOT($BL$4),"""",IF($CR240="""","""",IFERROR(query({GOOGLEFINANCE($CR240,""price"",IF($BI240=""-"",TODAY()-($AQ$5+5),$BI240),TODAY()-1)},""Select max(Col2) where Col1 is not null label max(Col2) ''"")*CU240,""-"")))"),"")</f>
        <v/>
      </c>
      <c r="BK240" s="881" t="s">
        <v>123</v>
      </c>
      <c r="BL240" s="882" t="s">
        <v>123</v>
      </c>
      <c r="BM240" s="442"/>
      <c r="BN240" s="867" t="str">
        <f>IFERROR(__xludf.DUMMYFUNCTION("IF(CR240="""","""",IF(OR(C240=""AÇÃO"",C240=""BDR""),IFERROR(QUERY({fundamentus.!$A$3:$U308},$CX$67&amp;"" where Col1='""&amp;CR240&amp;""' limit 1"",0)),IF(C240=""FII"",IFERROR(QUERY({fundsexplorer.!$A$2:$Z308},$CY$67&amp;"" where Col1='""&amp;CR240&amp;""' limit 1"",0)),""""))"&amp;")"),"")</f>
        <v/>
      </c>
      <c r="BO240" s="867"/>
      <c r="BP240" s="867"/>
      <c r="BQ240" s="867"/>
      <c r="BR240" s="867"/>
      <c r="BS240" s="867"/>
      <c r="BT240" s="867"/>
      <c r="BU240" s="442"/>
      <c r="BV240" s="868" t="str">
        <f>IFERROR(__xludf.DUMMYFUNCTION("IF(OR(C240=""AÇÃO"",C240=""BDR""),IFERROR(GOOGLEFINANCE(CONCAT(""BVMF:"",CR240), ""marketcap"")/1000000,""NC""),"""")"),"")</f>
        <v/>
      </c>
      <c r="BW240" s="869" t="s">
        <v>123</v>
      </c>
      <c r="BX240" s="870" t="s">
        <v>123</v>
      </c>
      <c r="BY240" s="868" t="s">
        <v>123</v>
      </c>
      <c r="BZ240" s="870" t="s">
        <v>123</v>
      </c>
      <c r="CA240" s="868" t="s">
        <v>123</v>
      </c>
      <c r="CB240" s="868" t="s">
        <v>123</v>
      </c>
      <c r="CC240" s="868" t="s">
        <v>123</v>
      </c>
      <c r="CD240" s="868" t="str">
        <f>IFERROR(__xludf.DUMMYFUNCTION("IF(OR(C240=""AÇÃO"",C240=""BDR""),IFERROR(GOOGLEFINANCE(CONCAT(""BVMF:"",CR240), ""volumeavg"")/1000000,""NC""),"""")"),"")</f>
        <v/>
      </c>
      <c r="CE240" s="870" t="s">
        <v>123</v>
      </c>
      <c r="CF240" s="870" t="s">
        <v>123</v>
      </c>
      <c r="CG240" s="870" t="str">
        <f>IFERROR(__xludf.DUMMYFUNCTION("IF(OR(C240=""AÇÃO"",C240=""BDR""),IF(CF240=0,""SEM DY"",IFERROR(ImportXML(CONCAT(""http://www.guiainvest.com.br/raiox/default.aspx?sigla="",$CR240),""//*[@id='lbPayoutAtual']""),""NC"")),"""")"),"")</f>
        <v/>
      </c>
      <c r="CH240" s="870" t="s">
        <v>123</v>
      </c>
      <c r="CI240" s="545"/>
      <c r="CJ240" s="871" t="str">
        <f>IFERROR(__xludf.DUMMYFUNCTION("IF(OR(C240=""AÇÃO"",C240=""BDR""),IFERROR(GOOGLEFINANCE(CONCAT(""BVMF:"",CR240), ""eps""),""NC""),"""")"),"")</f>
        <v/>
      </c>
      <c r="CK240" s="442"/>
      <c r="CL240" s="871" t="str">
        <f>IFERROR(__xludf.DUMMYFUNCTION("IF(NOT($BL$4),"""",IF($CR240="""","""",IF($BC240="""","""",IFERROR(query({op.normal!$B$5:$F308},""select Col5, toDate(Col2) where Col1 =  '""&amp;$CR240&amp;""' and Col4 &gt; 0 and ((Col3 is null) or (Col3 = 'C')) and Col2 &gt;= date '""&amp;TEXT(TODAY()-$AQ$5,""yyyy-mm-dd"&amp;""")&amp;""' order by Col2 desc limit 1 label toDate(Col2) ''"")))))"),"")</f>
        <v/>
      </c>
      <c r="CM240" s="872"/>
      <c r="CN240" s="883" t="s">
        <v>123</v>
      </c>
      <c r="CO240" s="874" t="s">
        <v>123</v>
      </c>
      <c r="CP240" s="766"/>
      <c r="CQ240" s="791"/>
      <c r="CR240" s="791"/>
      <c r="CT240" s="791" t="s">
        <v>123</v>
      </c>
      <c r="CU240" s="791" t="str">
        <f>IFERROR(__xludf.DUMMYFUNCTION("IF(CR240="""","""",IF(CT240=$C$4,1,GOOGLEFINANCE(CT240&amp;$C$4)))"),"")</f>
        <v/>
      </c>
    </row>
    <row r="241" ht="22.5" customHeight="1">
      <c r="A241" s="837">
        <v>233.0</v>
      </c>
      <c r="B241" s="838" t="s">
        <v>123</v>
      </c>
      <c r="C241" s="838" t="s">
        <v>123</v>
      </c>
      <c r="D241" s="839" t="s">
        <v>123</v>
      </c>
      <c r="E241" s="839" t="s">
        <v>123</v>
      </c>
      <c r="F241" s="839" t="s">
        <v>123</v>
      </c>
      <c r="H241" s="884"/>
      <c r="I241" s="838"/>
      <c r="J241" s="838"/>
      <c r="K241" s="838"/>
      <c r="L241" s="838"/>
      <c r="M241" s="838"/>
      <c r="N241" s="838"/>
      <c r="O241" s="838"/>
      <c r="P241" s="838"/>
      <c r="Q241" s="838"/>
      <c r="R241" s="838"/>
      <c r="S241" s="838"/>
      <c r="T241" s="838"/>
      <c r="U241" s="838"/>
      <c r="V241" s="838"/>
      <c r="W241" s="838"/>
      <c r="X241" s="838"/>
      <c r="Z241" s="875" t="str">
        <f>IFERROR(__xludf.DUMMYFUNCTION("IF($CR241="""","""",IFERROR(query({CarteirasAtivos},""select Col4 where Col4 is not null and Col1 = '""&amp;$CR241&amp;""' limit 1"")*CU241,""NC""))"),"")</f>
        <v/>
      </c>
      <c r="AA241" s="876" t="str">
        <f>IFERROR(__xludf.DUMMYFUNCTION("IF($CR241="""","""",IFERROR(query({CarteirasAtivos},""select Col6 where Col4 is not null and Col1 = '""&amp;$CR241&amp;""' limit 1""),""NC""))"),"")</f>
        <v/>
      </c>
      <c r="AB241" s="877"/>
      <c r="AC241" s="878" t="s">
        <v>123</v>
      </c>
      <c r="AD241" s="845" t="str">
        <f>IF($CR241="","",IFERROR(VLOOKUP($CR241,ativos.!$C$3:$R308,MATCH("cotacao",ativos.!$C$2:CY$2,0),FALSE)*$CU$5,"atualizar"))</f>
        <v/>
      </c>
      <c r="AE241" s="846" t="str">
        <f>IFERROR(__xludf.DUMMYFUNCTION("IF($CR241="""","""",IFERROR(AVERAGE(query({CarteirasAtivos;CarteirasAtivosEncerrados},""select Col5 where Col5 is not null and Col1 = '""&amp;$CR241&amp;""' and Col10='SIM'""))*CU241,""NC""))"),"")</f>
        <v/>
      </c>
      <c r="AF241" s="847" t="str">
        <f t="shared" si="1"/>
        <v/>
      </c>
      <c r="AG241" s="442"/>
      <c r="AH241" s="848" t="str">
        <f>IFERROR(__xludf.DUMMYFUNCTION("IF($CR241="""","""",IFERROR(GOOGLEFINANCE($CR241,""low52"")*CU241,""-""))"),"")</f>
        <v/>
      </c>
      <c r="AI241" s="848" t="str">
        <f>IFERROR(__xludf.DUMMYFUNCTION("IF($CR241="""","""",IFERROR(GOOGLEFINANCE($CR241,""high52"")*CU241,""-""))"),"")</f>
        <v/>
      </c>
      <c r="AJ241" s="849" t="s">
        <v>123</v>
      </c>
      <c r="AK241" s="850" t="str">
        <f>IFERROR(__xludf.DUMMYFUNCTION("IF($CR241="""","""",IFERROR(GOOGLEFINANCE($CR241,""changepct"")/100,""-""))"),"")</f>
        <v/>
      </c>
      <c r="AL241" s="851" t="str">
        <f>IFERROR(__xludf.DUMMYFUNCTION("IF($CR241="""","""",IFERROR(($AD241/(QUERY(GOOGLEFINANCE($CR241,""price"",TODAY()-7),""SELECT Col2 label Col2 ''"")*$CU241)-1),""-""))"),"")</f>
        <v/>
      </c>
      <c r="AM241" s="851" t="str">
        <f>IFERROR(__xludf.DUMMYFUNCTION("IF($CR241="""","""",IFERROR(($AD241/(QUERY(GOOGLEFINANCE($CR241,""price"",TODAY()-14),""SELECT Col2 label Col2 ''"")*$CU241)-1),""-""))"),"")</f>
        <v/>
      </c>
      <c r="AN241" s="851" t="str">
        <f>IFERROR(__xludf.DUMMYFUNCTION("IF($CR241="""","""",IFERROR(($AD241/(QUERY(GOOGLEFINANCE($CR241,""price"",TODAY()-28),""SELECT Col2 label Col2 ''"")*$CU241)-1),""-""))"),"")</f>
        <v/>
      </c>
      <c r="AO241" s="851" t="str">
        <f>IFERROR(__xludf.DUMMYFUNCTION("IF($CR241="""","""",IFERROR(($AD241/(QUERY(GOOGLEFINANCE($CR241,""price"",TODAY()-$AQ$5),""SELECT Col2 label Col2 ''"")*$CU241)-1),""-""))"),"")</f>
        <v/>
      </c>
      <c r="AP241" s="852" t="str">
        <f>IFERROR(__xludf.DUMMYFUNCTION("IF($CR241="""","""",IFERROR(SPARKLINE(query(GOOGLEFINANCE($CR241,""price"",TODAY()-$AQ$5,TODAY(),1),""select Col2 label Col2 ''""),IF($AP$7=""Gráfico de barras"",{""charttype"",""column"";""highcolor"",""red""},{""chartype"",""line""}))))"),"")</f>
        <v/>
      </c>
      <c r="AQ241" s="144"/>
      <c r="AR241" s="853"/>
      <c r="AS241" s="854" t="str">
        <f>IF($CR241="","",IF(NOT('alocação'!$D$1),"off",IFERROR(VLOOKUP(CR241,BalanceAtivos,3,0),"NC")))</f>
        <v/>
      </c>
      <c r="AT241" s="855" t="str">
        <f>IF($CR241="","",IF(NOT('alocação'!$D$1),"off",IFERROR(VLOOKUP($CR241,BalanceAtivos,4,0)*$CU$5,"NC")))</f>
        <v/>
      </c>
      <c r="AU241" s="856" t="str">
        <f>IF($CR241="","",IF(NOT('alocação'!$D$1),"off",IFERROR(VLOOKUP($CR241,BalanceAtivos,5,0),"-")))</f>
        <v/>
      </c>
      <c r="AV241" s="856" t="str">
        <f>IF($CR241="","",IF(NOT('alocação'!$D$1),"off",IFERROR(VLOOKUP($CR241,BalanceAtivos,6,0),"-")))</f>
        <v/>
      </c>
      <c r="AW241" s="857"/>
      <c r="AX241" s="858" t="str">
        <f>IF($CR241="","",IF($E241="","SP",IFERROR(VLOOKUP($CR241,AtivosDados,MATCH("pm_atual",portfolio.!$A$3:CY$3,0),0)*$CU$5,0)))</f>
        <v/>
      </c>
      <c r="AY241" s="859" t="str">
        <f t="shared" si="2"/>
        <v/>
      </c>
      <c r="AZ241" s="858" t="str">
        <f>IF($CR241="","",IF($E241="","SP",SUMIF(portfolio.!$A$4:$A308,$CR241,portfolio.!$O$4:$O308)*$CU$5))</f>
        <v/>
      </c>
      <c r="BA241" s="858" t="str">
        <f>IF($CR241="","",IF($E241="","SP",SUMIF(portfolio.!$A$4:$A308,$CR241,portfolio.!$AN$4:$AN308)*$CU$5))</f>
        <v/>
      </c>
      <c r="BB241" s="860" t="str">
        <f>IF($CR241="","",IF($E241="","-",IFERROR($BA241/'portfólio'!$DG$63,"")))</f>
        <v/>
      </c>
      <c r="BC241" s="861" t="str">
        <f>IF($CR241="","",IF($E241="","-",SUMIF(portfolio.!$A$4:$A308,$CR241,portfolio.!$J$4:$J308)))</f>
        <v/>
      </c>
      <c r="BD241" s="862" t="str">
        <f>IF($CR241="","",IF($E241="","SP",SUMIF(portfolio.!$A$4:$A308,$CR241,portfolio.!$AQ$4:$AQ308)*$CU$5))</f>
        <v/>
      </c>
      <c r="BE241" s="850" t="str">
        <f t="shared" si="3"/>
        <v/>
      </c>
      <c r="BF241" s="862" t="str">
        <f>IF($CR241="","",IF($E241="","-",SUMIF(portfolio.!$A$4:$A308,$CR241,portfolio.!$AX$4:$AX308)*$CU$5))</f>
        <v/>
      </c>
      <c r="BG241" s="545"/>
      <c r="BH241" s="879" t="s">
        <v>123</v>
      </c>
      <c r="BI241" s="880" t="s">
        <v>123</v>
      </c>
      <c r="BJ241" s="863" t="str">
        <f>IFERROR(__xludf.DUMMYFUNCTION("IF(NOT($BL$4),"""",IF($CR241="""","""",IFERROR(query({GOOGLEFINANCE($CR241,""price"",IF($BI241=""-"",TODAY()-($AQ$5+5),$BI241),TODAY()-1)},""Select max(Col2) where Col1 is not null label max(Col2) ''"")*CU241,""-"")))"),"")</f>
        <v/>
      </c>
      <c r="BK241" s="881" t="s">
        <v>123</v>
      </c>
      <c r="BL241" s="882" t="s">
        <v>123</v>
      </c>
      <c r="BM241" s="442"/>
      <c r="BN241" s="867" t="str">
        <f>IFERROR(__xludf.DUMMYFUNCTION("IF(CR241="""","""",IF(OR(C241=""AÇÃO"",C241=""BDR""),IFERROR(QUERY({fundamentus.!$A$3:$U308},$CX$67&amp;"" where Col1='""&amp;CR241&amp;""' limit 1"",0)),IF(C241=""FII"",IFERROR(QUERY({fundsexplorer.!$A$2:$Z308},$CY$67&amp;"" where Col1='""&amp;CR241&amp;""' limit 1"",0)),""""))"&amp;")"),"")</f>
        <v/>
      </c>
      <c r="BO241" s="867"/>
      <c r="BP241" s="867"/>
      <c r="BQ241" s="867"/>
      <c r="BR241" s="867"/>
      <c r="BS241" s="867"/>
      <c r="BT241" s="867"/>
      <c r="BU241" s="442"/>
      <c r="BV241" s="868" t="str">
        <f>IFERROR(__xludf.DUMMYFUNCTION("IF(OR(C241=""AÇÃO"",C241=""BDR""),IFERROR(GOOGLEFINANCE(CONCAT(""BVMF:"",CR241), ""marketcap"")/1000000,""NC""),"""")"),"")</f>
        <v/>
      </c>
      <c r="BW241" s="869" t="s">
        <v>123</v>
      </c>
      <c r="BX241" s="870" t="s">
        <v>123</v>
      </c>
      <c r="BY241" s="868" t="s">
        <v>123</v>
      </c>
      <c r="BZ241" s="870" t="s">
        <v>123</v>
      </c>
      <c r="CA241" s="868" t="s">
        <v>123</v>
      </c>
      <c r="CB241" s="868" t="s">
        <v>123</v>
      </c>
      <c r="CC241" s="868" t="s">
        <v>123</v>
      </c>
      <c r="CD241" s="868" t="str">
        <f>IFERROR(__xludf.DUMMYFUNCTION("IF(OR(C241=""AÇÃO"",C241=""BDR""),IFERROR(GOOGLEFINANCE(CONCAT(""BVMF:"",CR241), ""volumeavg"")/1000000,""NC""),"""")"),"")</f>
        <v/>
      </c>
      <c r="CE241" s="870" t="s">
        <v>123</v>
      </c>
      <c r="CF241" s="870" t="s">
        <v>123</v>
      </c>
      <c r="CG241" s="870" t="str">
        <f>IFERROR(__xludf.DUMMYFUNCTION("IF(OR(C241=""AÇÃO"",C241=""BDR""),IF(CF241=0,""SEM DY"",IFERROR(ImportXML(CONCAT(""http://www.guiainvest.com.br/raiox/default.aspx?sigla="",$CR241),""//*[@id='lbPayoutAtual']""),""NC"")),"""")"),"")</f>
        <v/>
      </c>
      <c r="CH241" s="870" t="s">
        <v>123</v>
      </c>
      <c r="CI241" s="545"/>
      <c r="CJ241" s="871" t="str">
        <f>IFERROR(__xludf.DUMMYFUNCTION("IF(OR(C241=""AÇÃO"",C241=""BDR""),IFERROR(GOOGLEFINANCE(CONCAT(""BVMF:"",CR241), ""eps""),""NC""),"""")"),"")</f>
        <v/>
      </c>
      <c r="CK241" s="442"/>
      <c r="CL241" s="871" t="str">
        <f>IFERROR(__xludf.DUMMYFUNCTION("IF(NOT($BL$4),"""",IF($CR241="""","""",IF($BC241="""","""",IFERROR(query({op.normal!$B$5:$F308},""select Col5, toDate(Col2) where Col1 =  '""&amp;$CR241&amp;""' and Col4 &gt; 0 and ((Col3 is null) or (Col3 = 'C')) and Col2 &gt;= date '""&amp;TEXT(TODAY()-$AQ$5,""yyyy-mm-dd"&amp;""")&amp;""' order by Col2 desc limit 1 label toDate(Col2) ''"")))))"),"")</f>
        <v/>
      </c>
      <c r="CM241" s="872"/>
      <c r="CN241" s="883" t="s">
        <v>123</v>
      </c>
      <c r="CO241" s="874" t="s">
        <v>123</v>
      </c>
      <c r="CP241" s="766"/>
      <c r="CQ241" s="791"/>
      <c r="CR241" s="791"/>
      <c r="CT241" s="791" t="s">
        <v>123</v>
      </c>
      <c r="CU241" s="791" t="str">
        <f>IFERROR(__xludf.DUMMYFUNCTION("IF(CR241="""","""",IF(CT241=$C$4,1,GOOGLEFINANCE(CT241&amp;$C$4)))"),"")</f>
        <v/>
      </c>
    </row>
    <row r="242" ht="22.5" customHeight="1">
      <c r="A242" s="837">
        <v>234.0</v>
      </c>
      <c r="B242" s="838" t="s">
        <v>123</v>
      </c>
      <c r="C242" s="838" t="s">
        <v>123</v>
      </c>
      <c r="D242" s="839" t="s">
        <v>123</v>
      </c>
      <c r="E242" s="839" t="s">
        <v>123</v>
      </c>
      <c r="F242" s="839" t="s">
        <v>123</v>
      </c>
      <c r="H242" s="884"/>
      <c r="I242" s="838"/>
      <c r="J242" s="838"/>
      <c r="K242" s="838"/>
      <c r="L242" s="838"/>
      <c r="M242" s="838"/>
      <c r="N242" s="838"/>
      <c r="O242" s="838"/>
      <c r="P242" s="838"/>
      <c r="Q242" s="838"/>
      <c r="R242" s="838"/>
      <c r="S242" s="838"/>
      <c r="T242" s="838"/>
      <c r="U242" s="838"/>
      <c r="V242" s="838"/>
      <c r="W242" s="838"/>
      <c r="X242" s="838"/>
      <c r="Z242" s="875" t="str">
        <f>IFERROR(__xludf.DUMMYFUNCTION("IF($CR242="""","""",IFERROR(query({CarteirasAtivos},""select Col4 where Col4 is not null and Col1 = '""&amp;$CR242&amp;""' limit 1"")*CU242,""NC""))"),"")</f>
        <v/>
      </c>
      <c r="AA242" s="876" t="str">
        <f>IFERROR(__xludf.DUMMYFUNCTION("IF($CR242="""","""",IFERROR(query({CarteirasAtivos},""select Col6 where Col4 is not null and Col1 = '""&amp;$CR242&amp;""' limit 1""),""NC""))"),"")</f>
        <v/>
      </c>
      <c r="AB242" s="877"/>
      <c r="AC242" s="878" t="s">
        <v>123</v>
      </c>
      <c r="AD242" s="845" t="str">
        <f>IF($CR242="","",IFERROR(VLOOKUP($CR242,ativos.!$C$3:$R308,MATCH("cotacao",ativos.!$C$2:CY$2,0),FALSE)*$CU$5,"atualizar"))</f>
        <v/>
      </c>
      <c r="AE242" s="846" t="str">
        <f>IFERROR(__xludf.DUMMYFUNCTION("IF($CR242="""","""",IFERROR(AVERAGE(query({CarteirasAtivos;CarteirasAtivosEncerrados},""select Col5 where Col5 is not null and Col1 = '""&amp;$CR242&amp;""' and Col10='SIM'""))*CU242,""NC""))"),"")</f>
        <v/>
      </c>
      <c r="AF242" s="847" t="str">
        <f t="shared" si="1"/>
        <v/>
      </c>
      <c r="AG242" s="442"/>
      <c r="AH242" s="848" t="str">
        <f>IFERROR(__xludf.DUMMYFUNCTION("IF($CR242="""","""",IFERROR(GOOGLEFINANCE($CR242,""low52"")*CU242,""-""))"),"")</f>
        <v/>
      </c>
      <c r="AI242" s="848" t="str">
        <f>IFERROR(__xludf.DUMMYFUNCTION("IF($CR242="""","""",IFERROR(GOOGLEFINANCE($CR242,""high52"")*CU242,""-""))"),"")</f>
        <v/>
      </c>
      <c r="AJ242" s="849" t="s">
        <v>123</v>
      </c>
      <c r="AK242" s="850" t="str">
        <f>IFERROR(__xludf.DUMMYFUNCTION("IF($CR242="""","""",IFERROR(GOOGLEFINANCE($CR242,""changepct"")/100,""-""))"),"")</f>
        <v/>
      </c>
      <c r="AL242" s="851" t="str">
        <f>IFERROR(__xludf.DUMMYFUNCTION("IF($CR242="""","""",IFERROR(($AD242/(QUERY(GOOGLEFINANCE($CR242,""price"",TODAY()-7),""SELECT Col2 label Col2 ''"")*$CU242)-1),""-""))"),"")</f>
        <v/>
      </c>
      <c r="AM242" s="851" t="str">
        <f>IFERROR(__xludf.DUMMYFUNCTION("IF($CR242="""","""",IFERROR(($AD242/(QUERY(GOOGLEFINANCE($CR242,""price"",TODAY()-14),""SELECT Col2 label Col2 ''"")*$CU242)-1),""-""))"),"")</f>
        <v/>
      </c>
      <c r="AN242" s="851" t="str">
        <f>IFERROR(__xludf.DUMMYFUNCTION("IF($CR242="""","""",IFERROR(($AD242/(QUERY(GOOGLEFINANCE($CR242,""price"",TODAY()-28),""SELECT Col2 label Col2 ''"")*$CU242)-1),""-""))"),"")</f>
        <v/>
      </c>
      <c r="AO242" s="851" t="str">
        <f>IFERROR(__xludf.DUMMYFUNCTION("IF($CR242="""","""",IFERROR(($AD242/(QUERY(GOOGLEFINANCE($CR242,""price"",TODAY()-$AQ$5),""SELECT Col2 label Col2 ''"")*$CU242)-1),""-""))"),"")</f>
        <v/>
      </c>
      <c r="AP242" s="852" t="str">
        <f>IFERROR(__xludf.DUMMYFUNCTION("IF($CR242="""","""",IFERROR(SPARKLINE(query(GOOGLEFINANCE($CR242,""price"",TODAY()-$AQ$5,TODAY(),1),""select Col2 label Col2 ''""),IF($AP$7=""Gráfico de barras"",{""charttype"",""column"";""highcolor"",""red""},{""chartype"",""line""}))))"),"")</f>
        <v/>
      </c>
      <c r="AQ242" s="144"/>
      <c r="AR242" s="853"/>
      <c r="AS242" s="854" t="str">
        <f>IF($CR242="","",IF(NOT('alocação'!$D$1),"off",IFERROR(VLOOKUP(CR242,BalanceAtivos,3,0),"NC")))</f>
        <v/>
      </c>
      <c r="AT242" s="855" t="str">
        <f>IF($CR242="","",IF(NOT('alocação'!$D$1),"off",IFERROR(VLOOKUP($CR242,BalanceAtivos,4,0)*$CU$5,"NC")))</f>
        <v/>
      </c>
      <c r="AU242" s="856" t="str">
        <f>IF($CR242="","",IF(NOT('alocação'!$D$1),"off",IFERROR(VLOOKUP($CR242,BalanceAtivos,5,0),"-")))</f>
        <v/>
      </c>
      <c r="AV242" s="856" t="str">
        <f>IF($CR242="","",IF(NOT('alocação'!$D$1),"off",IFERROR(VLOOKUP($CR242,BalanceAtivos,6,0),"-")))</f>
        <v/>
      </c>
      <c r="AW242" s="857"/>
      <c r="AX242" s="858" t="str">
        <f>IF($CR242="","",IF($E242="","SP",IFERROR(VLOOKUP($CR242,AtivosDados,MATCH("pm_atual",portfolio.!$A$3:CY$3,0),0)*$CU$5,0)))</f>
        <v/>
      </c>
      <c r="AY242" s="859" t="str">
        <f t="shared" si="2"/>
        <v/>
      </c>
      <c r="AZ242" s="858" t="str">
        <f>IF($CR242="","",IF($E242="","SP",SUMIF(portfolio.!$A$4:$A308,$CR242,portfolio.!$O$4:$O308)*$CU$5))</f>
        <v/>
      </c>
      <c r="BA242" s="858" t="str">
        <f>IF($CR242="","",IF($E242="","SP",SUMIF(portfolio.!$A$4:$A308,$CR242,portfolio.!$AN$4:$AN308)*$CU$5))</f>
        <v/>
      </c>
      <c r="BB242" s="860" t="str">
        <f>IF($CR242="","",IF($E242="","-",IFERROR($BA242/'portfólio'!$DG$63,"")))</f>
        <v/>
      </c>
      <c r="BC242" s="861" t="str">
        <f>IF($CR242="","",IF($E242="","-",SUMIF(portfolio.!$A$4:$A308,$CR242,portfolio.!$J$4:$J308)))</f>
        <v/>
      </c>
      <c r="BD242" s="862" t="str">
        <f>IF($CR242="","",IF($E242="","SP",SUMIF(portfolio.!$A$4:$A308,$CR242,portfolio.!$AQ$4:$AQ308)*$CU$5))</f>
        <v/>
      </c>
      <c r="BE242" s="850" t="str">
        <f t="shared" si="3"/>
        <v/>
      </c>
      <c r="BF242" s="862" t="str">
        <f>IF($CR242="","",IF($E242="","-",SUMIF(portfolio.!$A$4:$A308,$CR242,portfolio.!$AX$4:$AX308)*$CU$5))</f>
        <v/>
      </c>
      <c r="BG242" s="545"/>
      <c r="BH242" s="879" t="s">
        <v>123</v>
      </c>
      <c r="BI242" s="880" t="s">
        <v>123</v>
      </c>
      <c r="BJ242" s="863" t="str">
        <f>IFERROR(__xludf.DUMMYFUNCTION("IF(NOT($BL$4),"""",IF($CR242="""","""",IFERROR(query({GOOGLEFINANCE($CR242,""price"",IF($BI242=""-"",TODAY()-($AQ$5+5),$BI242),TODAY()-1)},""Select max(Col2) where Col1 is not null label max(Col2) ''"")*CU242,""-"")))"),"")</f>
        <v/>
      </c>
      <c r="BK242" s="881" t="s">
        <v>123</v>
      </c>
      <c r="BL242" s="882" t="s">
        <v>123</v>
      </c>
      <c r="BM242" s="442"/>
      <c r="BN242" s="867" t="str">
        <f>IFERROR(__xludf.DUMMYFUNCTION("IF(CR242="""","""",IF(OR(C242=""AÇÃO"",C242=""BDR""),IFERROR(QUERY({fundamentus.!$A$3:$U308},$CX$67&amp;"" where Col1='""&amp;CR242&amp;""' limit 1"",0)),IF(C242=""FII"",IFERROR(QUERY({fundsexplorer.!$A$2:$Z308},$CY$67&amp;"" where Col1='""&amp;CR242&amp;""' limit 1"",0)),""""))"&amp;")"),"")</f>
        <v/>
      </c>
      <c r="BO242" s="867"/>
      <c r="BP242" s="867"/>
      <c r="BQ242" s="867"/>
      <c r="BR242" s="867"/>
      <c r="BS242" s="867"/>
      <c r="BT242" s="867"/>
      <c r="BU242" s="442"/>
      <c r="BV242" s="868" t="str">
        <f>IFERROR(__xludf.DUMMYFUNCTION("IF(OR(C242=""AÇÃO"",C242=""BDR""),IFERROR(GOOGLEFINANCE(CONCAT(""BVMF:"",CR242), ""marketcap"")/1000000,""NC""),"""")"),"")</f>
        <v/>
      </c>
      <c r="BW242" s="869" t="s">
        <v>123</v>
      </c>
      <c r="BX242" s="870" t="s">
        <v>123</v>
      </c>
      <c r="BY242" s="868" t="s">
        <v>123</v>
      </c>
      <c r="BZ242" s="870" t="s">
        <v>123</v>
      </c>
      <c r="CA242" s="868" t="s">
        <v>123</v>
      </c>
      <c r="CB242" s="868" t="s">
        <v>123</v>
      </c>
      <c r="CC242" s="868" t="s">
        <v>123</v>
      </c>
      <c r="CD242" s="868" t="str">
        <f>IFERROR(__xludf.DUMMYFUNCTION("IF(OR(C242=""AÇÃO"",C242=""BDR""),IFERROR(GOOGLEFINANCE(CONCAT(""BVMF:"",CR242), ""volumeavg"")/1000000,""NC""),"""")"),"")</f>
        <v/>
      </c>
      <c r="CE242" s="870" t="s">
        <v>123</v>
      </c>
      <c r="CF242" s="870" t="s">
        <v>123</v>
      </c>
      <c r="CG242" s="870" t="str">
        <f>IFERROR(__xludf.DUMMYFUNCTION("IF(OR(C242=""AÇÃO"",C242=""BDR""),IF(CF242=0,""SEM DY"",IFERROR(ImportXML(CONCAT(""http://www.guiainvest.com.br/raiox/default.aspx?sigla="",$CR242),""//*[@id='lbPayoutAtual']""),""NC"")),"""")"),"")</f>
        <v/>
      </c>
      <c r="CH242" s="870" t="s">
        <v>123</v>
      </c>
      <c r="CI242" s="545"/>
      <c r="CJ242" s="871" t="str">
        <f>IFERROR(__xludf.DUMMYFUNCTION("IF(OR(C242=""AÇÃO"",C242=""BDR""),IFERROR(GOOGLEFINANCE(CONCAT(""BVMF:"",CR242), ""eps""),""NC""),"""")"),"")</f>
        <v/>
      </c>
      <c r="CK242" s="442"/>
      <c r="CL242" s="871" t="str">
        <f>IFERROR(__xludf.DUMMYFUNCTION("IF(NOT($BL$4),"""",IF($CR242="""","""",IF($BC242="""","""",IFERROR(query({op.normal!$B$5:$F308},""select Col5, toDate(Col2) where Col1 =  '""&amp;$CR242&amp;""' and Col4 &gt; 0 and ((Col3 is null) or (Col3 = 'C')) and Col2 &gt;= date '""&amp;TEXT(TODAY()-$AQ$5,""yyyy-mm-dd"&amp;""")&amp;""' order by Col2 desc limit 1 label toDate(Col2) ''"")))))"),"")</f>
        <v/>
      </c>
      <c r="CM242" s="872"/>
      <c r="CN242" s="883" t="s">
        <v>123</v>
      </c>
      <c r="CO242" s="874" t="s">
        <v>123</v>
      </c>
      <c r="CP242" s="766"/>
      <c r="CQ242" s="791"/>
      <c r="CR242" s="791"/>
      <c r="CT242" s="791" t="s">
        <v>123</v>
      </c>
      <c r="CU242" s="791" t="str">
        <f>IFERROR(__xludf.DUMMYFUNCTION("IF(CR242="""","""",IF(CT242=$C$4,1,GOOGLEFINANCE(CT242&amp;$C$4)))"),"")</f>
        <v/>
      </c>
    </row>
    <row r="243" ht="22.5" customHeight="1">
      <c r="A243" s="837">
        <v>235.0</v>
      </c>
      <c r="B243" s="838" t="s">
        <v>123</v>
      </c>
      <c r="C243" s="838" t="s">
        <v>123</v>
      </c>
      <c r="D243" s="839" t="s">
        <v>123</v>
      </c>
      <c r="E243" s="839" t="s">
        <v>123</v>
      </c>
      <c r="F243" s="839" t="s">
        <v>123</v>
      </c>
      <c r="H243" s="884"/>
      <c r="I243" s="838"/>
      <c r="J243" s="838"/>
      <c r="K243" s="838"/>
      <c r="L243" s="838"/>
      <c r="M243" s="838"/>
      <c r="N243" s="838"/>
      <c r="O243" s="838"/>
      <c r="P243" s="838"/>
      <c r="Q243" s="838"/>
      <c r="R243" s="838"/>
      <c r="S243" s="838"/>
      <c r="T243" s="838"/>
      <c r="U243" s="838"/>
      <c r="V243" s="838"/>
      <c r="W243" s="838"/>
      <c r="X243" s="838"/>
      <c r="Z243" s="875" t="str">
        <f>IFERROR(__xludf.DUMMYFUNCTION("IF($CR243="""","""",IFERROR(query({CarteirasAtivos},""select Col4 where Col4 is not null and Col1 = '""&amp;$CR243&amp;""' limit 1"")*CU243,""NC""))"),"")</f>
        <v/>
      </c>
      <c r="AA243" s="876" t="str">
        <f>IFERROR(__xludf.DUMMYFUNCTION("IF($CR243="""","""",IFERROR(query({CarteirasAtivos},""select Col6 where Col4 is not null and Col1 = '""&amp;$CR243&amp;""' limit 1""),""NC""))"),"")</f>
        <v/>
      </c>
      <c r="AB243" s="877"/>
      <c r="AC243" s="878" t="s">
        <v>123</v>
      </c>
      <c r="AD243" s="845" t="str">
        <f>IF($CR243="","",IFERROR(VLOOKUP($CR243,ativos.!$C$3:$R308,MATCH("cotacao",ativos.!$C$2:CY$2,0),FALSE)*$CU$5,"atualizar"))</f>
        <v/>
      </c>
      <c r="AE243" s="846" t="str">
        <f>IFERROR(__xludf.DUMMYFUNCTION("IF($CR243="""","""",IFERROR(AVERAGE(query({CarteirasAtivos;CarteirasAtivosEncerrados},""select Col5 where Col5 is not null and Col1 = '""&amp;$CR243&amp;""' and Col10='SIM'""))*CU243,""NC""))"),"")</f>
        <v/>
      </c>
      <c r="AF243" s="847" t="str">
        <f t="shared" si="1"/>
        <v/>
      </c>
      <c r="AG243" s="442"/>
      <c r="AH243" s="848" t="str">
        <f>IFERROR(__xludf.DUMMYFUNCTION("IF($CR243="""","""",IFERROR(GOOGLEFINANCE($CR243,""low52"")*CU243,""-""))"),"")</f>
        <v/>
      </c>
      <c r="AI243" s="848" t="str">
        <f>IFERROR(__xludf.DUMMYFUNCTION("IF($CR243="""","""",IFERROR(GOOGLEFINANCE($CR243,""high52"")*CU243,""-""))"),"")</f>
        <v/>
      </c>
      <c r="AJ243" s="849" t="s">
        <v>123</v>
      </c>
      <c r="AK243" s="850" t="str">
        <f>IFERROR(__xludf.DUMMYFUNCTION("IF($CR243="""","""",IFERROR(GOOGLEFINANCE($CR243,""changepct"")/100,""-""))"),"")</f>
        <v/>
      </c>
      <c r="AL243" s="851" t="str">
        <f>IFERROR(__xludf.DUMMYFUNCTION("IF($CR243="""","""",IFERROR(($AD243/(QUERY(GOOGLEFINANCE($CR243,""price"",TODAY()-7),""SELECT Col2 label Col2 ''"")*$CU243)-1),""-""))"),"")</f>
        <v/>
      </c>
      <c r="AM243" s="851" t="str">
        <f>IFERROR(__xludf.DUMMYFUNCTION("IF($CR243="""","""",IFERROR(($AD243/(QUERY(GOOGLEFINANCE($CR243,""price"",TODAY()-14),""SELECT Col2 label Col2 ''"")*$CU243)-1),""-""))"),"")</f>
        <v/>
      </c>
      <c r="AN243" s="851" t="str">
        <f>IFERROR(__xludf.DUMMYFUNCTION("IF($CR243="""","""",IFERROR(($AD243/(QUERY(GOOGLEFINANCE($CR243,""price"",TODAY()-28),""SELECT Col2 label Col2 ''"")*$CU243)-1),""-""))"),"")</f>
        <v/>
      </c>
      <c r="AO243" s="851" t="str">
        <f>IFERROR(__xludf.DUMMYFUNCTION("IF($CR243="""","""",IFERROR(($AD243/(QUERY(GOOGLEFINANCE($CR243,""price"",TODAY()-$AQ$5),""SELECT Col2 label Col2 ''"")*$CU243)-1),""-""))"),"")</f>
        <v/>
      </c>
      <c r="AP243" s="852" t="str">
        <f>IFERROR(__xludf.DUMMYFUNCTION("IF($CR243="""","""",IFERROR(SPARKLINE(query(GOOGLEFINANCE($CR243,""price"",TODAY()-$AQ$5,TODAY(),1),""select Col2 label Col2 ''""),IF($AP$7=""Gráfico de barras"",{""charttype"",""column"";""highcolor"",""red""},{""chartype"",""line""}))))"),"")</f>
        <v/>
      </c>
      <c r="AQ243" s="144"/>
      <c r="AR243" s="853"/>
      <c r="AS243" s="854" t="str">
        <f>IF($CR243="","",IF(NOT('alocação'!$D$1),"off",IFERROR(VLOOKUP(CR243,BalanceAtivos,3,0),"NC")))</f>
        <v/>
      </c>
      <c r="AT243" s="855" t="str">
        <f>IF($CR243="","",IF(NOT('alocação'!$D$1),"off",IFERROR(VLOOKUP($CR243,BalanceAtivos,4,0)*$CU$5,"NC")))</f>
        <v/>
      </c>
      <c r="AU243" s="856" t="str">
        <f>IF($CR243="","",IF(NOT('alocação'!$D$1),"off",IFERROR(VLOOKUP($CR243,BalanceAtivos,5,0),"-")))</f>
        <v/>
      </c>
      <c r="AV243" s="856" t="str">
        <f>IF($CR243="","",IF(NOT('alocação'!$D$1),"off",IFERROR(VLOOKUP($CR243,BalanceAtivos,6,0),"-")))</f>
        <v/>
      </c>
      <c r="AW243" s="857"/>
      <c r="AX243" s="858" t="str">
        <f>IF($CR243="","",IF($E243="","SP",IFERROR(VLOOKUP($CR243,AtivosDados,MATCH("pm_atual",portfolio.!$A$3:CY$3,0),0)*$CU$5,0)))</f>
        <v/>
      </c>
      <c r="AY243" s="859" t="str">
        <f t="shared" si="2"/>
        <v/>
      </c>
      <c r="AZ243" s="858" t="str">
        <f>IF($CR243="","",IF($E243="","SP",SUMIF(portfolio.!$A$4:$A308,$CR243,portfolio.!$O$4:$O308)*$CU$5))</f>
        <v/>
      </c>
      <c r="BA243" s="858" t="str">
        <f>IF($CR243="","",IF($E243="","SP",SUMIF(portfolio.!$A$4:$A308,$CR243,portfolio.!$AN$4:$AN308)*$CU$5))</f>
        <v/>
      </c>
      <c r="BB243" s="860" t="str">
        <f>IF($CR243="","",IF($E243="","-",IFERROR($BA243/'portfólio'!$DG$63,"")))</f>
        <v/>
      </c>
      <c r="BC243" s="861" t="str">
        <f>IF($CR243="","",IF($E243="","-",SUMIF(portfolio.!$A$4:$A308,$CR243,portfolio.!$J$4:$J308)))</f>
        <v/>
      </c>
      <c r="BD243" s="862" t="str">
        <f>IF($CR243="","",IF($E243="","SP",SUMIF(portfolio.!$A$4:$A308,$CR243,portfolio.!$AQ$4:$AQ308)*$CU$5))</f>
        <v/>
      </c>
      <c r="BE243" s="850" t="str">
        <f t="shared" si="3"/>
        <v/>
      </c>
      <c r="BF243" s="862" t="str">
        <f>IF($CR243="","",IF($E243="","-",SUMIF(portfolio.!$A$4:$A308,$CR243,portfolio.!$AX$4:$AX308)*$CU$5))</f>
        <v/>
      </c>
      <c r="BG243" s="545"/>
      <c r="BH243" s="879" t="s">
        <v>123</v>
      </c>
      <c r="BI243" s="880" t="s">
        <v>123</v>
      </c>
      <c r="BJ243" s="863" t="str">
        <f>IFERROR(__xludf.DUMMYFUNCTION("IF(NOT($BL$4),"""",IF($CR243="""","""",IFERROR(query({GOOGLEFINANCE($CR243,""price"",IF($BI243=""-"",TODAY()-($AQ$5+5),$BI243),TODAY()-1)},""Select max(Col2) where Col1 is not null label max(Col2) ''"")*CU243,""-"")))"),"")</f>
        <v/>
      </c>
      <c r="BK243" s="881" t="s">
        <v>123</v>
      </c>
      <c r="BL243" s="882" t="s">
        <v>123</v>
      </c>
      <c r="BM243" s="442"/>
      <c r="BN243" s="867" t="str">
        <f>IFERROR(__xludf.DUMMYFUNCTION("IF(CR243="""","""",IF(OR(C243=""AÇÃO"",C243=""BDR""),IFERROR(QUERY({fundamentus.!$A$3:$U308},$CX$67&amp;"" where Col1='""&amp;CR243&amp;""' limit 1"",0)),IF(C243=""FII"",IFERROR(QUERY({fundsexplorer.!$A$2:$Z308},$CY$67&amp;"" where Col1='""&amp;CR243&amp;""' limit 1"",0)),""""))"&amp;")"),"")</f>
        <v/>
      </c>
      <c r="BO243" s="867"/>
      <c r="BP243" s="867"/>
      <c r="BQ243" s="867"/>
      <c r="BR243" s="867"/>
      <c r="BS243" s="867"/>
      <c r="BT243" s="867"/>
      <c r="BU243" s="442"/>
      <c r="BV243" s="868" t="str">
        <f>IFERROR(__xludf.DUMMYFUNCTION("IF(OR(C243=""AÇÃO"",C243=""BDR""),IFERROR(GOOGLEFINANCE(CONCAT(""BVMF:"",CR243), ""marketcap"")/1000000,""NC""),"""")"),"")</f>
        <v/>
      </c>
      <c r="BW243" s="869" t="s">
        <v>123</v>
      </c>
      <c r="BX243" s="870" t="s">
        <v>123</v>
      </c>
      <c r="BY243" s="868" t="s">
        <v>123</v>
      </c>
      <c r="BZ243" s="870" t="s">
        <v>123</v>
      </c>
      <c r="CA243" s="868" t="s">
        <v>123</v>
      </c>
      <c r="CB243" s="868" t="s">
        <v>123</v>
      </c>
      <c r="CC243" s="868" t="s">
        <v>123</v>
      </c>
      <c r="CD243" s="868" t="str">
        <f>IFERROR(__xludf.DUMMYFUNCTION("IF(OR(C243=""AÇÃO"",C243=""BDR""),IFERROR(GOOGLEFINANCE(CONCAT(""BVMF:"",CR243), ""volumeavg"")/1000000,""NC""),"""")"),"")</f>
        <v/>
      </c>
      <c r="CE243" s="870" t="s">
        <v>123</v>
      </c>
      <c r="CF243" s="870" t="s">
        <v>123</v>
      </c>
      <c r="CG243" s="870" t="str">
        <f>IFERROR(__xludf.DUMMYFUNCTION("IF(OR(C243=""AÇÃO"",C243=""BDR""),IF(CF243=0,""SEM DY"",IFERROR(ImportXML(CONCAT(""http://www.guiainvest.com.br/raiox/default.aspx?sigla="",$CR243),""//*[@id='lbPayoutAtual']""),""NC"")),"""")"),"")</f>
        <v/>
      </c>
      <c r="CH243" s="870" t="s">
        <v>123</v>
      </c>
      <c r="CI243" s="545"/>
      <c r="CJ243" s="871" t="str">
        <f>IFERROR(__xludf.DUMMYFUNCTION("IF(OR(C243=""AÇÃO"",C243=""BDR""),IFERROR(GOOGLEFINANCE(CONCAT(""BVMF:"",CR243), ""eps""),""NC""),"""")"),"")</f>
        <v/>
      </c>
      <c r="CK243" s="442"/>
      <c r="CL243" s="871" t="str">
        <f>IFERROR(__xludf.DUMMYFUNCTION("IF(NOT($BL$4),"""",IF($CR243="""","""",IF($BC243="""","""",IFERROR(query({op.normal!$B$5:$F308},""select Col5, toDate(Col2) where Col1 =  '""&amp;$CR243&amp;""' and Col4 &gt; 0 and ((Col3 is null) or (Col3 = 'C')) and Col2 &gt;= date '""&amp;TEXT(TODAY()-$AQ$5,""yyyy-mm-dd"&amp;""")&amp;""' order by Col2 desc limit 1 label toDate(Col2) ''"")))))"),"")</f>
        <v/>
      </c>
      <c r="CM243" s="872"/>
      <c r="CN243" s="883" t="s">
        <v>123</v>
      </c>
      <c r="CO243" s="874" t="s">
        <v>123</v>
      </c>
      <c r="CP243" s="766"/>
      <c r="CQ243" s="791"/>
      <c r="CR243" s="791"/>
      <c r="CT243" s="791" t="s">
        <v>123</v>
      </c>
      <c r="CU243" s="791" t="str">
        <f>IFERROR(__xludf.DUMMYFUNCTION("IF(CR243="""","""",IF(CT243=$C$4,1,GOOGLEFINANCE(CT243&amp;$C$4)))"),"")</f>
        <v/>
      </c>
    </row>
    <row r="244" ht="22.5" customHeight="1">
      <c r="A244" s="837">
        <v>236.0</v>
      </c>
      <c r="B244" s="838" t="s">
        <v>123</v>
      </c>
      <c r="C244" s="838" t="s">
        <v>123</v>
      </c>
      <c r="D244" s="839" t="s">
        <v>123</v>
      </c>
      <c r="E244" s="839" t="s">
        <v>123</v>
      </c>
      <c r="F244" s="839" t="s">
        <v>123</v>
      </c>
      <c r="H244" s="884"/>
      <c r="I244" s="838"/>
      <c r="J244" s="838"/>
      <c r="K244" s="838"/>
      <c r="L244" s="838"/>
      <c r="M244" s="838"/>
      <c r="N244" s="838"/>
      <c r="O244" s="838"/>
      <c r="P244" s="838"/>
      <c r="Q244" s="838"/>
      <c r="R244" s="838"/>
      <c r="S244" s="838"/>
      <c r="T244" s="838"/>
      <c r="U244" s="838"/>
      <c r="V244" s="838"/>
      <c r="W244" s="838"/>
      <c r="X244" s="838"/>
      <c r="Z244" s="875" t="str">
        <f>IFERROR(__xludf.DUMMYFUNCTION("IF($CR244="""","""",IFERROR(query({CarteirasAtivos},""select Col4 where Col4 is not null and Col1 = '""&amp;$CR244&amp;""' limit 1"")*CU244,""NC""))"),"")</f>
        <v/>
      </c>
      <c r="AA244" s="876" t="str">
        <f>IFERROR(__xludf.DUMMYFUNCTION("IF($CR244="""","""",IFERROR(query({CarteirasAtivos},""select Col6 where Col4 is not null and Col1 = '""&amp;$CR244&amp;""' limit 1""),""NC""))"),"")</f>
        <v/>
      </c>
      <c r="AB244" s="877"/>
      <c r="AC244" s="878" t="s">
        <v>123</v>
      </c>
      <c r="AD244" s="845" t="str">
        <f>IF($CR244="","",IFERROR(VLOOKUP($CR244,ativos.!$C$3:$R308,MATCH("cotacao",ativos.!$C$2:CY$2,0),FALSE)*$CU$5,"atualizar"))</f>
        <v/>
      </c>
      <c r="AE244" s="846" t="str">
        <f>IFERROR(__xludf.DUMMYFUNCTION("IF($CR244="""","""",IFERROR(AVERAGE(query({CarteirasAtivos;CarteirasAtivosEncerrados},""select Col5 where Col5 is not null and Col1 = '""&amp;$CR244&amp;""' and Col10='SIM'""))*CU244,""NC""))"),"")</f>
        <v/>
      </c>
      <c r="AF244" s="847" t="str">
        <f t="shared" si="1"/>
        <v/>
      </c>
      <c r="AG244" s="442"/>
      <c r="AH244" s="848" t="str">
        <f>IFERROR(__xludf.DUMMYFUNCTION("IF($CR244="""","""",IFERROR(GOOGLEFINANCE($CR244,""low52"")*CU244,""-""))"),"")</f>
        <v/>
      </c>
      <c r="AI244" s="848" t="str">
        <f>IFERROR(__xludf.DUMMYFUNCTION("IF($CR244="""","""",IFERROR(GOOGLEFINANCE($CR244,""high52"")*CU244,""-""))"),"")</f>
        <v/>
      </c>
      <c r="AJ244" s="849" t="s">
        <v>123</v>
      </c>
      <c r="AK244" s="850" t="str">
        <f>IFERROR(__xludf.DUMMYFUNCTION("IF($CR244="""","""",IFERROR(GOOGLEFINANCE($CR244,""changepct"")/100,""-""))"),"")</f>
        <v/>
      </c>
      <c r="AL244" s="851" t="str">
        <f>IFERROR(__xludf.DUMMYFUNCTION("IF($CR244="""","""",IFERROR(($AD244/(QUERY(GOOGLEFINANCE($CR244,""price"",TODAY()-7),""SELECT Col2 label Col2 ''"")*$CU244)-1),""-""))"),"")</f>
        <v/>
      </c>
      <c r="AM244" s="851" t="str">
        <f>IFERROR(__xludf.DUMMYFUNCTION("IF($CR244="""","""",IFERROR(($AD244/(QUERY(GOOGLEFINANCE($CR244,""price"",TODAY()-14),""SELECT Col2 label Col2 ''"")*$CU244)-1),""-""))"),"")</f>
        <v/>
      </c>
      <c r="AN244" s="851" t="str">
        <f>IFERROR(__xludf.DUMMYFUNCTION("IF($CR244="""","""",IFERROR(($AD244/(QUERY(GOOGLEFINANCE($CR244,""price"",TODAY()-28),""SELECT Col2 label Col2 ''"")*$CU244)-1),""-""))"),"")</f>
        <v/>
      </c>
      <c r="AO244" s="851" t="str">
        <f>IFERROR(__xludf.DUMMYFUNCTION("IF($CR244="""","""",IFERROR(($AD244/(QUERY(GOOGLEFINANCE($CR244,""price"",TODAY()-$AQ$5),""SELECT Col2 label Col2 ''"")*$CU244)-1),""-""))"),"")</f>
        <v/>
      </c>
      <c r="AP244" s="852" t="str">
        <f>IFERROR(__xludf.DUMMYFUNCTION("IF($CR244="""","""",IFERROR(SPARKLINE(query(GOOGLEFINANCE($CR244,""price"",TODAY()-$AQ$5,TODAY(),1),""select Col2 label Col2 ''""),IF($AP$7=""Gráfico de barras"",{""charttype"",""column"";""highcolor"",""red""},{""chartype"",""line""}))))"),"")</f>
        <v/>
      </c>
      <c r="AQ244" s="144"/>
      <c r="AR244" s="853"/>
      <c r="AS244" s="854" t="str">
        <f>IF($CR244="","",IF(NOT('alocação'!$D$1),"off",IFERROR(VLOOKUP(CR244,BalanceAtivos,3,0),"NC")))</f>
        <v/>
      </c>
      <c r="AT244" s="855" t="str">
        <f>IF($CR244="","",IF(NOT('alocação'!$D$1),"off",IFERROR(VLOOKUP($CR244,BalanceAtivos,4,0)*$CU$5,"NC")))</f>
        <v/>
      </c>
      <c r="AU244" s="856" t="str">
        <f>IF($CR244="","",IF(NOT('alocação'!$D$1),"off",IFERROR(VLOOKUP($CR244,BalanceAtivos,5,0),"-")))</f>
        <v/>
      </c>
      <c r="AV244" s="856" t="str">
        <f>IF($CR244="","",IF(NOT('alocação'!$D$1),"off",IFERROR(VLOOKUP($CR244,BalanceAtivos,6,0),"-")))</f>
        <v/>
      </c>
      <c r="AW244" s="857"/>
      <c r="AX244" s="858" t="str">
        <f>IF($CR244="","",IF($E244="","SP",IFERROR(VLOOKUP($CR244,AtivosDados,MATCH("pm_atual",portfolio.!$A$3:CY$3,0),0)*$CU$5,0)))</f>
        <v/>
      </c>
      <c r="AY244" s="859" t="str">
        <f t="shared" si="2"/>
        <v/>
      </c>
      <c r="AZ244" s="858" t="str">
        <f>IF($CR244="","",IF($E244="","SP",SUMIF(portfolio.!$A$4:$A308,$CR244,portfolio.!$O$4:$O308)*$CU$5))</f>
        <v/>
      </c>
      <c r="BA244" s="858" t="str">
        <f>IF($CR244="","",IF($E244="","SP",SUMIF(portfolio.!$A$4:$A308,$CR244,portfolio.!$AN$4:$AN308)*$CU$5))</f>
        <v/>
      </c>
      <c r="BB244" s="860" t="str">
        <f>IF($CR244="","",IF($E244="","-",IFERROR($BA244/'portfólio'!$DG$63,"")))</f>
        <v/>
      </c>
      <c r="BC244" s="861" t="str">
        <f>IF($CR244="","",IF($E244="","-",SUMIF(portfolio.!$A$4:$A308,$CR244,portfolio.!$J$4:$J308)))</f>
        <v/>
      </c>
      <c r="BD244" s="862" t="str">
        <f>IF($CR244="","",IF($E244="","SP",SUMIF(portfolio.!$A$4:$A308,$CR244,portfolio.!$AQ$4:$AQ308)*$CU$5))</f>
        <v/>
      </c>
      <c r="BE244" s="850" t="str">
        <f t="shared" si="3"/>
        <v/>
      </c>
      <c r="BF244" s="862" t="str">
        <f>IF($CR244="","",IF($E244="","-",SUMIF(portfolio.!$A$4:$A308,$CR244,portfolio.!$AX$4:$AX308)*$CU$5))</f>
        <v/>
      </c>
      <c r="BG244" s="545"/>
      <c r="BH244" s="879" t="s">
        <v>123</v>
      </c>
      <c r="BI244" s="880" t="s">
        <v>123</v>
      </c>
      <c r="BJ244" s="863" t="str">
        <f>IFERROR(__xludf.DUMMYFUNCTION("IF(NOT($BL$4),"""",IF($CR244="""","""",IFERROR(query({GOOGLEFINANCE($CR244,""price"",IF($BI244=""-"",TODAY()-($AQ$5+5),$BI244),TODAY()-1)},""Select max(Col2) where Col1 is not null label max(Col2) ''"")*CU244,""-"")))"),"")</f>
        <v/>
      </c>
      <c r="BK244" s="881" t="s">
        <v>123</v>
      </c>
      <c r="BL244" s="882" t="s">
        <v>123</v>
      </c>
      <c r="BM244" s="442"/>
      <c r="BN244" s="867" t="str">
        <f>IFERROR(__xludf.DUMMYFUNCTION("IF(CR244="""","""",IF(OR(C244=""AÇÃO"",C244=""BDR""),IFERROR(QUERY({fundamentus.!$A$3:$U308},$CX$67&amp;"" where Col1='""&amp;CR244&amp;""' limit 1"",0)),IF(C244=""FII"",IFERROR(QUERY({fundsexplorer.!$A$2:$Z308},$CY$67&amp;"" where Col1='""&amp;CR244&amp;""' limit 1"",0)),""""))"&amp;")"),"")</f>
        <v/>
      </c>
      <c r="BO244" s="867"/>
      <c r="BP244" s="867"/>
      <c r="BQ244" s="867"/>
      <c r="BR244" s="867"/>
      <c r="BS244" s="867"/>
      <c r="BT244" s="867"/>
      <c r="BU244" s="442"/>
      <c r="BV244" s="868" t="str">
        <f>IFERROR(__xludf.DUMMYFUNCTION("IF(OR(C244=""AÇÃO"",C244=""BDR""),IFERROR(GOOGLEFINANCE(CONCAT(""BVMF:"",CR244), ""marketcap"")/1000000,""NC""),"""")"),"")</f>
        <v/>
      </c>
      <c r="BW244" s="869" t="s">
        <v>123</v>
      </c>
      <c r="BX244" s="870" t="s">
        <v>123</v>
      </c>
      <c r="BY244" s="868" t="s">
        <v>123</v>
      </c>
      <c r="BZ244" s="870" t="s">
        <v>123</v>
      </c>
      <c r="CA244" s="868" t="s">
        <v>123</v>
      </c>
      <c r="CB244" s="868" t="s">
        <v>123</v>
      </c>
      <c r="CC244" s="868" t="s">
        <v>123</v>
      </c>
      <c r="CD244" s="868" t="str">
        <f>IFERROR(__xludf.DUMMYFUNCTION("IF(OR(C244=""AÇÃO"",C244=""BDR""),IFERROR(GOOGLEFINANCE(CONCAT(""BVMF:"",CR244), ""volumeavg"")/1000000,""NC""),"""")"),"")</f>
        <v/>
      </c>
      <c r="CE244" s="870" t="s">
        <v>123</v>
      </c>
      <c r="CF244" s="870" t="s">
        <v>123</v>
      </c>
      <c r="CG244" s="870" t="str">
        <f>IFERROR(__xludf.DUMMYFUNCTION("IF(OR(C244=""AÇÃO"",C244=""BDR""),IF(CF244=0,""SEM DY"",IFERROR(ImportXML(CONCAT(""http://www.guiainvest.com.br/raiox/default.aspx?sigla="",$CR244),""//*[@id='lbPayoutAtual']""),""NC"")),"""")"),"")</f>
        <v/>
      </c>
      <c r="CH244" s="870" t="s">
        <v>123</v>
      </c>
      <c r="CI244" s="545"/>
      <c r="CJ244" s="871" t="str">
        <f>IFERROR(__xludf.DUMMYFUNCTION("IF(OR(C244=""AÇÃO"",C244=""BDR""),IFERROR(GOOGLEFINANCE(CONCAT(""BVMF:"",CR244), ""eps""),""NC""),"""")"),"")</f>
        <v/>
      </c>
      <c r="CK244" s="442"/>
      <c r="CL244" s="871" t="str">
        <f>IFERROR(__xludf.DUMMYFUNCTION("IF(NOT($BL$4),"""",IF($CR244="""","""",IF($BC244="""","""",IFERROR(query({op.normal!$B$5:$F308},""select Col5, toDate(Col2) where Col1 =  '""&amp;$CR244&amp;""' and Col4 &gt; 0 and ((Col3 is null) or (Col3 = 'C')) and Col2 &gt;= date '""&amp;TEXT(TODAY()-$AQ$5,""yyyy-mm-dd"&amp;""")&amp;""' order by Col2 desc limit 1 label toDate(Col2) ''"")))))"),"")</f>
        <v/>
      </c>
      <c r="CM244" s="872"/>
      <c r="CN244" s="883" t="s">
        <v>123</v>
      </c>
      <c r="CO244" s="874" t="s">
        <v>123</v>
      </c>
      <c r="CP244" s="766"/>
      <c r="CQ244" s="791"/>
      <c r="CR244" s="791"/>
      <c r="CT244" s="791" t="s">
        <v>123</v>
      </c>
      <c r="CU244" s="791" t="str">
        <f>IFERROR(__xludf.DUMMYFUNCTION("IF(CR244="""","""",IF(CT244=$C$4,1,GOOGLEFINANCE(CT244&amp;$C$4)))"),"")</f>
        <v/>
      </c>
    </row>
    <row r="245" ht="22.5" customHeight="1">
      <c r="A245" s="837">
        <v>237.0</v>
      </c>
      <c r="B245" s="838" t="s">
        <v>123</v>
      </c>
      <c r="C245" s="838" t="s">
        <v>123</v>
      </c>
      <c r="D245" s="839" t="s">
        <v>123</v>
      </c>
      <c r="E245" s="839" t="s">
        <v>123</v>
      </c>
      <c r="F245" s="839" t="s">
        <v>123</v>
      </c>
      <c r="H245" s="884"/>
      <c r="I245" s="838"/>
      <c r="J245" s="838"/>
      <c r="K245" s="838"/>
      <c r="L245" s="838"/>
      <c r="M245" s="838"/>
      <c r="N245" s="838"/>
      <c r="O245" s="838"/>
      <c r="P245" s="838"/>
      <c r="Q245" s="838"/>
      <c r="R245" s="838"/>
      <c r="S245" s="838"/>
      <c r="T245" s="838"/>
      <c r="U245" s="838"/>
      <c r="V245" s="838"/>
      <c r="W245" s="838"/>
      <c r="X245" s="838"/>
      <c r="Z245" s="875" t="str">
        <f>IFERROR(__xludf.DUMMYFUNCTION("IF($CR245="""","""",IFERROR(query({CarteirasAtivos},""select Col4 where Col4 is not null and Col1 = '""&amp;$CR245&amp;""' limit 1"")*CU245,""NC""))"),"")</f>
        <v/>
      </c>
      <c r="AA245" s="876" t="str">
        <f>IFERROR(__xludf.DUMMYFUNCTION("IF($CR245="""","""",IFERROR(query({CarteirasAtivos},""select Col6 where Col4 is not null and Col1 = '""&amp;$CR245&amp;""' limit 1""),""NC""))"),"")</f>
        <v/>
      </c>
      <c r="AB245" s="877"/>
      <c r="AC245" s="878" t="s">
        <v>123</v>
      </c>
      <c r="AD245" s="845" t="str">
        <f>IF($CR245="","",IFERROR(VLOOKUP($CR245,ativos.!$C$3:$R308,MATCH("cotacao",ativos.!$C$2:CY$2,0),FALSE)*$CU$5,"atualizar"))</f>
        <v/>
      </c>
      <c r="AE245" s="846" t="str">
        <f>IFERROR(__xludf.DUMMYFUNCTION("IF($CR245="""","""",IFERROR(AVERAGE(query({CarteirasAtivos;CarteirasAtivosEncerrados},""select Col5 where Col5 is not null and Col1 = '""&amp;$CR245&amp;""' and Col10='SIM'""))*CU245,""NC""))"),"")</f>
        <v/>
      </c>
      <c r="AF245" s="847" t="str">
        <f t="shared" si="1"/>
        <v/>
      </c>
      <c r="AG245" s="442"/>
      <c r="AH245" s="848" t="str">
        <f>IFERROR(__xludf.DUMMYFUNCTION("IF($CR245="""","""",IFERROR(GOOGLEFINANCE($CR245,""low52"")*CU245,""-""))"),"")</f>
        <v/>
      </c>
      <c r="AI245" s="848" t="str">
        <f>IFERROR(__xludf.DUMMYFUNCTION("IF($CR245="""","""",IFERROR(GOOGLEFINANCE($CR245,""high52"")*CU245,""-""))"),"")</f>
        <v/>
      </c>
      <c r="AJ245" s="849" t="s">
        <v>123</v>
      </c>
      <c r="AK245" s="850" t="str">
        <f>IFERROR(__xludf.DUMMYFUNCTION("IF($CR245="""","""",IFERROR(GOOGLEFINANCE($CR245,""changepct"")/100,""-""))"),"")</f>
        <v/>
      </c>
      <c r="AL245" s="851" t="str">
        <f>IFERROR(__xludf.DUMMYFUNCTION("IF($CR245="""","""",IFERROR(($AD245/(QUERY(GOOGLEFINANCE($CR245,""price"",TODAY()-7),""SELECT Col2 label Col2 ''"")*$CU245)-1),""-""))"),"")</f>
        <v/>
      </c>
      <c r="AM245" s="851" t="str">
        <f>IFERROR(__xludf.DUMMYFUNCTION("IF($CR245="""","""",IFERROR(($AD245/(QUERY(GOOGLEFINANCE($CR245,""price"",TODAY()-14),""SELECT Col2 label Col2 ''"")*$CU245)-1),""-""))"),"")</f>
        <v/>
      </c>
      <c r="AN245" s="851" t="str">
        <f>IFERROR(__xludf.DUMMYFUNCTION("IF($CR245="""","""",IFERROR(($AD245/(QUERY(GOOGLEFINANCE($CR245,""price"",TODAY()-28),""SELECT Col2 label Col2 ''"")*$CU245)-1),""-""))"),"")</f>
        <v/>
      </c>
      <c r="AO245" s="851" t="str">
        <f>IFERROR(__xludf.DUMMYFUNCTION("IF($CR245="""","""",IFERROR(($AD245/(QUERY(GOOGLEFINANCE($CR245,""price"",TODAY()-$AQ$5),""SELECT Col2 label Col2 ''"")*$CU245)-1),""-""))"),"")</f>
        <v/>
      </c>
      <c r="AP245" s="852" t="str">
        <f>IFERROR(__xludf.DUMMYFUNCTION("IF($CR245="""","""",IFERROR(SPARKLINE(query(GOOGLEFINANCE($CR245,""price"",TODAY()-$AQ$5,TODAY(),1),""select Col2 label Col2 ''""),IF($AP$7=""Gráfico de barras"",{""charttype"",""column"";""highcolor"",""red""},{""chartype"",""line""}))))"),"")</f>
        <v/>
      </c>
      <c r="AQ245" s="144"/>
      <c r="AR245" s="853"/>
      <c r="AS245" s="854" t="str">
        <f>IF($CR245="","",IF(NOT('alocação'!$D$1),"off",IFERROR(VLOOKUP(CR245,BalanceAtivos,3,0),"NC")))</f>
        <v/>
      </c>
      <c r="AT245" s="855" t="str">
        <f>IF($CR245="","",IF(NOT('alocação'!$D$1),"off",IFERROR(VLOOKUP($CR245,BalanceAtivos,4,0)*$CU$5,"NC")))</f>
        <v/>
      </c>
      <c r="AU245" s="856" t="str">
        <f>IF($CR245="","",IF(NOT('alocação'!$D$1),"off",IFERROR(VLOOKUP($CR245,BalanceAtivos,5,0),"-")))</f>
        <v/>
      </c>
      <c r="AV245" s="856" t="str">
        <f>IF($CR245="","",IF(NOT('alocação'!$D$1),"off",IFERROR(VLOOKUP($CR245,BalanceAtivos,6,0),"-")))</f>
        <v/>
      </c>
      <c r="AW245" s="857"/>
      <c r="AX245" s="858" t="str">
        <f>IF($CR245="","",IF($E245="","SP",IFERROR(VLOOKUP($CR245,AtivosDados,MATCH("pm_atual",portfolio.!$A$3:CY$3,0),0)*$CU$5,0)))</f>
        <v/>
      </c>
      <c r="AY245" s="859" t="str">
        <f t="shared" si="2"/>
        <v/>
      </c>
      <c r="AZ245" s="858" t="str">
        <f>IF($CR245="","",IF($E245="","SP",SUMIF(portfolio.!$A$4:$A308,$CR245,portfolio.!$O$4:$O308)*$CU$5))</f>
        <v/>
      </c>
      <c r="BA245" s="858" t="str">
        <f>IF($CR245="","",IF($E245="","SP",SUMIF(portfolio.!$A$4:$A308,$CR245,portfolio.!$AN$4:$AN308)*$CU$5))</f>
        <v/>
      </c>
      <c r="BB245" s="860" t="str">
        <f>IF($CR245="","",IF($E245="","-",IFERROR($BA245/'portfólio'!$DG$63,"")))</f>
        <v/>
      </c>
      <c r="BC245" s="861" t="str">
        <f>IF($CR245="","",IF($E245="","-",SUMIF(portfolio.!$A$4:$A308,$CR245,portfolio.!$J$4:$J308)))</f>
        <v/>
      </c>
      <c r="BD245" s="862" t="str">
        <f>IF($CR245="","",IF($E245="","SP",SUMIF(portfolio.!$A$4:$A308,$CR245,portfolio.!$AQ$4:$AQ308)*$CU$5))</f>
        <v/>
      </c>
      <c r="BE245" s="850" t="str">
        <f t="shared" si="3"/>
        <v/>
      </c>
      <c r="BF245" s="862" t="str">
        <f>IF($CR245="","",IF($E245="","-",SUMIF(portfolio.!$A$4:$A308,$CR245,portfolio.!$AX$4:$AX308)*$CU$5))</f>
        <v/>
      </c>
      <c r="BG245" s="545"/>
      <c r="BH245" s="879" t="s">
        <v>123</v>
      </c>
      <c r="BI245" s="880" t="s">
        <v>123</v>
      </c>
      <c r="BJ245" s="863" t="str">
        <f>IFERROR(__xludf.DUMMYFUNCTION("IF(NOT($BL$4),"""",IF($CR245="""","""",IFERROR(query({GOOGLEFINANCE($CR245,""price"",IF($BI245=""-"",TODAY()-($AQ$5+5),$BI245),TODAY()-1)},""Select max(Col2) where Col1 is not null label max(Col2) ''"")*CU245,""-"")))"),"")</f>
        <v/>
      </c>
      <c r="BK245" s="881" t="s">
        <v>123</v>
      </c>
      <c r="BL245" s="882" t="s">
        <v>123</v>
      </c>
      <c r="BM245" s="442"/>
      <c r="BN245" s="867" t="str">
        <f>IFERROR(__xludf.DUMMYFUNCTION("IF(CR245="""","""",IF(OR(C245=""AÇÃO"",C245=""BDR""),IFERROR(QUERY({fundamentus.!$A$3:$U308},$CX$67&amp;"" where Col1='""&amp;CR245&amp;""' limit 1"",0)),IF(C245=""FII"",IFERROR(QUERY({fundsexplorer.!$A$2:$Z308},$CY$67&amp;"" where Col1='""&amp;CR245&amp;""' limit 1"",0)),""""))"&amp;")"),"")</f>
        <v/>
      </c>
      <c r="BO245" s="867"/>
      <c r="BP245" s="867"/>
      <c r="BQ245" s="867"/>
      <c r="BR245" s="867"/>
      <c r="BS245" s="867"/>
      <c r="BT245" s="867"/>
      <c r="BU245" s="442"/>
      <c r="BV245" s="868" t="str">
        <f>IFERROR(__xludf.DUMMYFUNCTION("IF(OR(C245=""AÇÃO"",C245=""BDR""),IFERROR(GOOGLEFINANCE(CONCAT(""BVMF:"",CR245), ""marketcap"")/1000000,""NC""),"""")"),"")</f>
        <v/>
      </c>
      <c r="BW245" s="869" t="s">
        <v>123</v>
      </c>
      <c r="BX245" s="870" t="s">
        <v>123</v>
      </c>
      <c r="BY245" s="868" t="s">
        <v>123</v>
      </c>
      <c r="BZ245" s="870" t="s">
        <v>123</v>
      </c>
      <c r="CA245" s="868" t="s">
        <v>123</v>
      </c>
      <c r="CB245" s="868" t="s">
        <v>123</v>
      </c>
      <c r="CC245" s="868" t="s">
        <v>123</v>
      </c>
      <c r="CD245" s="868" t="str">
        <f>IFERROR(__xludf.DUMMYFUNCTION("IF(OR(C245=""AÇÃO"",C245=""BDR""),IFERROR(GOOGLEFINANCE(CONCAT(""BVMF:"",CR245), ""volumeavg"")/1000000,""NC""),"""")"),"")</f>
        <v/>
      </c>
      <c r="CE245" s="870" t="s">
        <v>123</v>
      </c>
      <c r="CF245" s="870" t="s">
        <v>123</v>
      </c>
      <c r="CG245" s="870" t="str">
        <f>IFERROR(__xludf.DUMMYFUNCTION("IF(OR(C245=""AÇÃO"",C245=""BDR""),IF(CF245=0,""SEM DY"",IFERROR(ImportXML(CONCAT(""http://www.guiainvest.com.br/raiox/default.aspx?sigla="",$CR245),""//*[@id='lbPayoutAtual']""),""NC"")),"""")"),"")</f>
        <v/>
      </c>
      <c r="CH245" s="870" t="s">
        <v>123</v>
      </c>
      <c r="CI245" s="545"/>
      <c r="CJ245" s="871" t="str">
        <f>IFERROR(__xludf.DUMMYFUNCTION("IF(OR(C245=""AÇÃO"",C245=""BDR""),IFERROR(GOOGLEFINANCE(CONCAT(""BVMF:"",CR245), ""eps""),""NC""),"""")"),"")</f>
        <v/>
      </c>
      <c r="CK245" s="442"/>
      <c r="CL245" s="871" t="str">
        <f>IFERROR(__xludf.DUMMYFUNCTION("IF(NOT($BL$4),"""",IF($CR245="""","""",IF($BC245="""","""",IFERROR(query({op.normal!$B$5:$F308},""select Col5, toDate(Col2) where Col1 =  '""&amp;$CR245&amp;""' and Col4 &gt; 0 and ((Col3 is null) or (Col3 = 'C')) and Col2 &gt;= date '""&amp;TEXT(TODAY()-$AQ$5,""yyyy-mm-dd"&amp;""")&amp;""' order by Col2 desc limit 1 label toDate(Col2) ''"")))))"),"")</f>
        <v/>
      </c>
      <c r="CM245" s="872"/>
      <c r="CN245" s="883" t="s">
        <v>123</v>
      </c>
      <c r="CO245" s="874" t="s">
        <v>123</v>
      </c>
      <c r="CP245" s="766"/>
      <c r="CQ245" s="791"/>
      <c r="CR245" s="791"/>
      <c r="CT245" s="791" t="s">
        <v>123</v>
      </c>
      <c r="CU245" s="791" t="str">
        <f>IFERROR(__xludf.DUMMYFUNCTION("IF(CR245="""","""",IF(CT245=$C$4,1,GOOGLEFINANCE(CT245&amp;$C$4)))"),"")</f>
        <v/>
      </c>
    </row>
    <row r="246" ht="22.5" customHeight="1">
      <c r="A246" s="837">
        <v>238.0</v>
      </c>
      <c r="B246" s="838" t="s">
        <v>123</v>
      </c>
      <c r="C246" s="838" t="s">
        <v>123</v>
      </c>
      <c r="D246" s="839" t="s">
        <v>123</v>
      </c>
      <c r="E246" s="839" t="s">
        <v>123</v>
      </c>
      <c r="F246" s="839" t="s">
        <v>123</v>
      </c>
      <c r="H246" s="884"/>
      <c r="I246" s="838"/>
      <c r="J246" s="838"/>
      <c r="K246" s="838"/>
      <c r="L246" s="838"/>
      <c r="M246" s="838"/>
      <c r="N246" s="838"/>
      <c r="O246" s="838"/>
      <c r="P246" s="838"/>
      <c r="Q246" s="838"/>
      <c r="R246" s="838"/>
      <c r="S246" s="838"/>
      <c r="T246" s="838"/>
      <c r="U246" s="838"/>
      <c r="V246" s="838"/>
      <c r="W246" s="838"/>
      <c r="X246" s="838"/>
      <c r="Z246" s="875" t="str">
        <f>IFERROR(__xludf.DUMMYFUNCTION("IF($CR246="""","""",IFERROR(query({CarteirasAtivos},""select Col4 where Col4 is not null and Col1 = '""&amp;$CR246&amp;""' limit 1"")*CU246,""NC""))"),"")</f>
        <v/>
      </c>
      <c r="AA246" s="876" t="str">
        <f>IFERROR(__xludf.DUMMYFUNCTION("IF($CR246="""","""",IFERROR(query({CarteirasAtivos},""select Col6 where Col4 is not null and Col1 = '""&amp;$CR246&amp;""' limit 1""),""NC""))"),"")</f>
        <v/>
      </c>
      <c r="AB246" s="877"/>
      <c r="AC246" s="878" t="s">
        <v>123</v>
      </c>
      <c r="AD246" s="845" t="str">
        <f>IF($CR246="","",IFERROR(VLOOKUP($CR246,ativos.!$C$3:$R308,MATCH("cotacao",ativos.!$C$2:CY$2,0),FALSE)*$CU$5,"atualizar"))</f>
        <v/>
      </c>
      <c r="AE246" s="846" t="str">
        <f>IFERROR(__xludf.DUMMYFUNCTION("IF($CR246="""","""",IFERROR(AVERAGE(query({CarteirasAtivos;CarteirasAtivosEncerrados},""select Col5 where Col5 is not null and Col1 = '""&amp;$CR246&amp;""' and Col10='SIM'""))*CU246,""NC""))"),"")</f>
        <v/>
      </c>
      <c r="AF246" s="847" t="str">
        <f t="shared" si="1"/>
        <v/>
      </c>
      <c r="AG246" s="442"/>
      <c r="AH246" s="848" t="str">
        <f>IFERROR(__xludf.DUMMYFUNCTION("IF($CR246="""","""",IFERROR(GOOGLEFINANCE($CR246,""low52"")*CU246,""-""))"),"")</f>
        <v/>
      </c>
      <c r="AI246" s="848" t="str">
        <f>IFERROR(__xludf.DUMMYFUNCTION("IF($CR246="""","""",IFERROR(GOOGLEFINANCE($CR246,""high52"")*CU246,""-""))"),"")</f>
        <v/>
      </c>
      <c r="AJ246" s="849" t="s">
        <v>123</v>
      </c>
      <c r="AK246" s="850" t="str">
        <f>IFERROR(__xludf.DUMMYFUNCTION("IF($CR246="""","""",IFERROR(GOOGLEFINANCE($CR246,""changepct"")/100,""-""))"),"")</f>
        <v/>
      </c>
      <c r="AL246" s="851" t="str">
        <f>IFERROR(__xludf.DUMMYFUNCTION("IF($CR246="""","""",IFERROR(($AD246/(QUERY(GOOGLEFINANCE($CR246,""price"",TODAY()-7),""SELECT Col2 label Col2 ''"")*$CU246)-1),""-""))"),"")</f>
        <v/>
      </c>
      <c r="AM246" s="851" t="str">
        <f>IFERROR(__xludf.DUMMYFUNCTION("IF($CR246="""","""",IFERROR(($AD246/(QUERY(GOOGLEFINANCE($CR246,""price"",TODAY()-14),""SELECT Col2 label Col2 ''"")*$CU246)-1),""-""))"),"")</f>
        <v/>
      </c>
      <c r="AN246" s="851" t="str">
        <f>IFERROR(__xludf.DUMMYFUNCTION("IF($CR246="""","""",IFERROR(($AD246/(QUERY(GOOGLEFINANCE($CR246,""price"",TODAY()-28),""SELECT Col2 label Col2 ''"")*$CU246)-1),""-""))"),"")</f>
        <v/>
      </c>
      <c r="AO246" s="851" t="str">
        <f>IFERROR(__xludf.DUMMYFUNCTION("IF($CR246="""","""",IFERROR(($AD246/(QUERY(GOOGLEFINANCE($CR246,""price"",TODAY()-$AQ$5),""SELECT Col2 label Col2 ''"")*$CU246)-1),""-""))"),"")</f>
        <v/>
      </c>
      <c r="AP246" s="852" t="str">
        <f>IFERROR(__xludf.DUMMYFUNCTION("IF($CR246="""","""",IFERROR(SPARKLINE(query(GOOGLEFINANCE($CR246,""price"",TODAY()-$AQ$5,TODAY(),1),""select Col2 label Col2 ''""),IF($AP$7=""Gráfico de barras"",{""charttype"",""column"";""highcolor"",""red""},{""chartype"",""line""}))))"),"")</f>
        <v/>
      </c>
      <c r="AQ246" s="144"/>
      <c r="AR246" s="853"/>
      <c r="AS246" s="854" t="str">
        <f>IF($CR246="","",IF(NOT('alocação'!$D$1),"off",IFERROR(VLOOKUP(CR246,BalanceAtivos,3,0),"NC")))</f>
        <v/>
      </c>
      <c r="AT246" s="855" t="str">
        <f>IF($CR246="","",IF(NOT('alocação'!$D$1),"off",IFERROR(VLOOKUP($CR246,BalanceAtivos,4,0)*$CU$5,"NC")))</f>
        <v/>
      </c>
      <c r="AU246" s="856" t="str">
        <f>IF($CR246="","",IF(NOT('alocação'!$D$1),"off",IFERROR(VLOOKUP($CR246,BalanceAtivos,5,0),"-")))</f>
        <v/>
      </c>
      <c r="AV246" s="856" t="str">
        <f>IF($CR246="","",IF(NOT('alocação'!$D$1),"off",IFERROR(VLOOKUP($CR246,BalanceAtivos,6,0),"-")))</f>
        <v/>
      </c>
      <c r="AW246" s="857"/>
      <c r="AX246" s="858" t="str">
        <f>IF($CR246="","",IF($E246="","SP",IFERROR(VLOOKUP($CR246,AtivosDados,MATCH("pm_atual",portfolio.!$A$3:CY$3,0),0)*$CU$5,0)))</f>
        <v/>
      </c>
      <c r="AY246" s="859" t="str">
        <f t="shared" si="2"/>
        <v/>
      </c>
      <c r="AZ246" s="858" t="str">
        <f>IF($CR246="","",IF($E246="","SP",SUMIF(portfolio.!$A$4:$A308,$CR246,portfolio.!$O$4:$O308)*$CU$5))</f>
        <v/>
      </c>
      <c r="BA246" s="858" t="str">
        <f>IF($CR246="","",IF($E246="","SP",SUMIF(portfolio.!$A$4:$A308,$CR246,portfolio.!$AN$4:$AN308)*$CU$5))</f>
        <v/>
      </c>
      <c r="BB246" s="860" t="str">
        <f>IF($CR246="","",IF($E246="","-",IFERROR($BA246/'portfólio'!$DG$63,"")))</f>
        <v/>
      </c>
      <c r="BC246" s="861" t="str">
        <f>IF($CR246="","",IF($E246="","-",SUMIF(portfolio.!$A$4:$A308,$CR246,portfolio.!$J$4:$J308)))</f>
        <v/>
      </c>
      <c r="BD246" s="862" t="str">
        <f>IF($CR246="","",IF($E246="","SP",SUMIF(portfolio.!$A$4:$A308,$CR246,portfolio.!$AQ$4:$AQ308)*$CU$5))</f>
        <v/>
      </c>
      <c r="BE246" s="850" t="str">
        <f t="shared" si="3"/>
        <v/>
      </c>
      <c r="BF246" s="862" t="str">
        <f>IF($CR246="","",IF($E246="","-",SUMIF(portfolio.!$A$4:$A308,$CR246,portfolio.!$AX$4:$AX308)*$CU$5))</f>
        <v/>
      </c>
      <c r="BG246" s="545"/>
      <c r="BH246" s="879" t="s">
        <v>123</v>
      </c>
      <c r="BI246" s="880" t="s">
        <v>123</v>
      </c>
      <c r="BJ246" s="863" t="str">
        <f>IFERROR(__xludf.DUMMYFUNCTION("IF(NOT($BL$4),"""",IF($CR246="""","""",IFERROR(query({GOOGLEFINANCE($CR246,""price"",IF($BI246=""-"",TODAY()-($AQ$5+5),$BI246),TODAY()-1)},""Select max(Col2) where Col1 is not null label max(Col2) ''"")*CU246,""-"")))"),"")</f>
        <v/>
      </c>
      <c r="BK246" s="881" t="s">
        <v>123</v>
      </c>
      <c r="BL246" s="882" t="s">
        <v>123</v>
      </c>
      <c r="BM246" s="442"/>
      <c r="BN246" s="867" t="str">
        <f>IFERROR(__xludf.DUMMYFUNCTION("IF(CR246="""","""",IF(OR(C246=""AÇÃO"",C246=""BDR""),IFERROR(QUERY({fundamentus.!$A$3:$U308},$CX$67&amp;"" where Col1='""&amp;CR246&amp;""' limit 1"",0)),IF(C246=""FII"",IFERROR(QUERY({fundsexplorer.!$A$2:$Z308},$CY$67&amp;"" where Col1='""&amp;CR246&amp;""' limit 1"",0)),""""))"&amp;")"),"")</f>
        <v/>
      </c>
      <c r="BO246" s="867"/>
      <c r="BP246" s="867"/>
      <c r="BQ246" s="867"/>
      <c r="BR246" s="867"/>
      <c r="BS246" s="867"/>
      <c r="BT246" s="867"/>
      <c r="BU246" s="442"/>
      <c r="BV246" s="868" t="str">
        <f>IFERROR(__xludf.DUMMYFUNCTION("IF(OR(C246=""AÇÃO"",C246=""BDR""),IFERROR(GOOGLEFINANCE(CONCAT(""BVMF:"",CR246), ""marketcap"")/1000000,""NC""),"""")"),"")</f>
        <v/>
      </c>
      <c r="BW246" s="869" t="s">
        <v>123</v>
      </c>
      <c r="BX246" s="870" t="s">
        <v>123</v>
      </c>
      <c r="BY246" s="868" t="s">
        <v>123</v>
      </c>
      <c r="BZ246" s="870" t="s">
        <v>123</v>
      </c>
      <c r="CA246" s="868" t="s">
        <v>123</v>
      </c>
      <c r="CB246" s="868" t="s">
        <v>123</v>
      </c>
      <c r="CC246" s="868" t="s">
        <v>123</v>
      </c>
      <c r="CD246" s="868" t="str">
        <f>IFERROR(__xludf.DUMMYFUNCTION("IF(OR(C246=""AÇÃO"",C246=""BDR""),IFERROR(GOOGLEFINANCE(CONCAT(""BVMF:"",CR246), ""volumeavg"")/1000000,""NC""),"""")"),"")</f>
        <v/>
      </c>
      <c r="CE246" s="870" t="s">
        <v>123</v>
      </c>
      <c r="CF246" s="870" t="s">
        <v>123</v>
      </c>
      <c r="CG246" s="870" t="str">
        <f>IFERROR(__xludf.DUMMYFUNCTION("IF(OR(C246=""AÇÃO"",C246=""BDR""),IF(CF246=0,""SEM DY"",IFERROR(ImportXML(CONCAT(""http://www.guiainvest.com.br/raiox/default.aspx?sigla="",$CR246),""//*[@id='lbPayoutAtual']""),""NC"")),"""")"),"")</f>
        <v/>
      </c>
      <c r="CH246" s="870" t="s">
        <v>123</v>
      </c>
      <c r="CI246" s="545"/>
      <c r="CJ246" s="871" t="str">
        <f>IFERROR(__xludf.DUMMYFUNCTION("IF(OR(C246=""AÇÃO"",C246=""BDR""),IFERROR(GOOGLEFINANCE(CONCAT(""BVMF:"",CR246), ""eps""),""NC""),"""")"),"")</f>
        <v/>
      </c>
      <c r="CK246" s="442"/>
      <c r="CL246" s="871" t="str">
        <f>IFERROR(__xludf.DUMMYFUNCTION("IF(NOT($BL$4),"""",IF($CR246="""","""",IF($BC246="""","""",IFERROR(query({op.normal!$B$5:$F308},""select Col5, toDate(Col2) where Col1 =  '""&amp;$CR246&amp;""' and Col4 &gt; 0 and ((Col3 is null) or (Col3 = 'C')) and Col2 &gt;= date '""&amp;TEXT(TODAY()-$AQ$5,""yyyy-mm-dd"&amp;""")&amp;""' order by Col2 desc limit 1 label toDate(Col2) ''"")))))"),"")</f>
        <v/>
      </c>
      <c r="CM246" s="872"/>
      <c r="CN246" s="883" t="s">
        <v>123</v>
      </c>
      <c r="CO246" s="874" t="s">
        <v>123</v>
      </c>
      <c r="CP246" s="766"/>
      <c r="CQ246" s="791"/>
      <c r="CR246" s="791"/>
      <c r="CT246" s="791" t="s">
        <v>123</v>
      </c>
      <c r="CU246" s="791" t="str">
        <f>IFERROR(__xludf.DUMMYFUNCTION("IF(CR246="""","""",IF(CT246=$C$4,1,GOOGLEFINANCE(CT246&amp;$C$4)))"),"")</f>
        <v/>
      </c>
    </row>
    <row r="247" ht="22.5" customHeight="1">
      <c r="A247" s="837">
        <v>239.0</v>
      </c>
      <c r="B247" s="838" t="s">
        <v>123</v>
      </c>
      <c r="C247" s="838" t="s">
        <v>123</v>
      </c>
      <c r="D247" s="839" t="s">
        <v>123</v>
      </c>
      <c r="E247" s="839" t="s">
        <v>123</v>
      </c>
      <c r="F247" s="839" t="s">
        <v>123</v>
      </c>
      <c r="H247" s="884"/>
      <c r="I247" s="838"/>
      <c r="J247" s="838"/>
      <c r="K247" s="838"/>
      <c r="L247" s="838"/>
      <c r="M247" s="838"/>
      <c r="N247" s="838"/>
      <c r="O247" s="838"/>
      <c r="P247" s="838"/>
      <c r="Q247" s="838"/>
      <c r="R247" s="838"/>
      <c r="S247" s="838"/>
      <c r="T247" s="838"/>
      <c r="U247" s="838"/>
      <c r="V247" s="838"/>
      <c r="W247" s="838"/>
      <c r="X247" s="838"/>
      <c r="Z247" s="875" t="str">
        <f>IFERROR(__xludf.DUMMYFUNCTION("IF($CR247="""","""",IFERROR(query({CarteirasAtivos},""select Col4 where Col4 is not null and Col1 = '""&amp;$CR247&amp;""' limit 1"")*CU247,""NC""))"),"")</f>
        <v/>
      </c>
      <c r="AA247" s="876" t="str">
        <f>IFERROR(__xludf.DUMMYFUNCTION("IF($CR247="""","""",IFERROR(query({CarteirasAtivos},""select Col6 where Col4 is not null and Col1 = '""&amp;$CR247&amp;""' limit 1""),""NC""))"),"")</f>
        <v/>
      </c>
      <c r="AB247" s="877"/>
      <c r="AC247" s="878" t="s">
        <v>123</v>
      </c>
      <c r="AD247" s="845" t="str">
        <f>IF($CR247="","",IFERROR(VLOOKUP($CR247,ativos.!$C$3:$R308,MATCH("cotacao",ativos.!$C$2:CY$2,0),FALSE)*$CU$5,"atualizar"))</f>
        <v/>
      </c>
      <c r="AE247" s="846" t="str">
        <f>IFERROR(__xludf.DUMMYFUNCTION("IF($CR247="""","""",IFERROR(AVERAGE(query({CarteirasAtivos;CarteirasAtivosEncerrados},""select Col5 where Col5 is not null and Col1 = '""&amp;$CR247&amp;""' and Col10='SIM'""))*CU247,""NC""))"),"")</f>
        <v/>
      </c>
      <c r="AF247" s="847" t="str">
        <f t="shared" si="1"/>
        <v/>
      </c>
      <c r="AG247" s="442"/>
      <c r="AH247" s="848" t="str">
        <f>IFERROR(__xludf.DUMMYFUNCTION("IF($CR247="""","""",IFERROR(GOOGLEFINANCE($CR247,""low52"")*CU247,""-""))"),"")</f>
        <v/>
      </c>
      <c r="AI247" s="848" t="str">
        <f>IFERROR(__xludf.DUMMYFUNCTION("IF($CR247="""","""",IFERROR(GOOGLEFINANCE($CR247,""high52"")*CU247,""-""))"),"")</f>
        <v/>
      </c>
      <c r="AJ247" s="849" t="s">
        <v>123</v>
      </c>
      <c r="AK247" s="850" t="str">
        <f>IFERROR(__xludf.DUMMYFUNCTION("IF($CR247="""","""",IFERROR(GOOGLEFINANCE($CR247,""changepct"")/100,""-""))"),"")</f>
        <v/>
      </c>
      <c r="AL247" s="851" t="str">
        <f>IFERROR(__xludf.DUMMYFUNCTION("IF($CR247="""","""",IFERROR(($AD247/(QUERY(GOOGLEFINANCE($CR247,""price"",TODAY()-7),""SELECT Col2 label Col2 ''"")*$CU247)-1),""-""))"),"")</f>
        <v/>
      </c>
      <c r="AM247" s="851" t="str">
        <f>IFERROR(__xludf.DUMMYFUNCTION("IF($CR247="""","""",IFERROR(($AD247/(QUERY(GOOGLEFINANCE($CR247,""price"",TODAY()-14),""SELECT Col2 label Col2 ''"")*$CU247)-1),""-""))"),"")</f>
        <v/>
      </c>
      <c r="AN247" s="851" t="str">
        <f>IFERROR(__xludf.DUMMYFUNCTION("IF($CR247="""","""",IFERROR(($AD247/(QUERY(GOOGLEFINANCE($CR247,""price"",TODAY()-28),""SELECT Col2 label Col2 ''"")*$CU247)-1),""-""))"),"")</f>
        <v/>
      </c>
      <c r="AO247" s="851" t="str">
        <f>IFERROR(__xludf.DUMMYFUNCTION("IF($CR247="""","""",IFERROR(($AD247/(QUERY(GOOGLEFINANCE($CR247,""price"",TODAY()-$AQ$5),""SELECT Col2 label Col2 ''"")*$CU247)-1),""-""))"),"")</f>
        <v/>
      </c>
      <c r="AP247" s="852" t="str">
        <f>IFERROR(__xludf.DUMMYFUNCTION("IF($CR247="""","""",IFERROR(SPARKLINE(query(GOOGLEFINANCE($CR247,""price"",TODAY()-$AQ$5,TODAY(),1),""select Col2 label Col2 ''""),IF($AP$7=""Gráfico de barras"",{""charttype"",""column"";""highcolor"",""red""},{""chartype"",""line""}))))"),"")</f>
        <v/>
      </c>
      <c r="AQ247" s="144"/>
      <c r="AR247" s="853"/>
      <c r="AS247" s="854" t="str">
        <f>IF($CR247="","",IF(NOT('alocação'!$D$1),"off",IFERROR(VLOOKUP(CR247,BalanceAtivos,3,0),"NC")))</f>
        <v/>
      </c>
      <c r="AT247" s="855" t="str">
        <f>IF($CR247="","",IF(NOT('alocação'!$D$1),"off",IFERROR(VLOOKUP($CR247,BalanceAtivos,4,0)*$CU$5,"NC")))</f>
        <v/>
      </c>
      <c r="AU247" s="856" t="str">
        <f>IF($CR247="","",IF(NOT('alocação'!$D$1),"off",IFERROR(VLOOKUP($CR247,BalanceAtivos,5,0),"-")))</f>
        <v/>
      </c>
      <c r="AV247" s="856" t="str">
        <f>IF($CR247="","",IF(NOT('alocação'!$D$1),"off",IFERROR(VLOOKUP($CR247,BalanceAtivos,6,0),"-")))</f>
        <v/>
      </c>
      <c r="AW247" s="857"/>
      <c r="AX247" s="858" t="str">
        <f>IF($CR247="","",IF($E247="","SP",IFERROR(VLOOKUP($CR247,AtivosDados,MATCH("pm_atual",portfolio.!$A$3:CY$3,0),0)*$CU$5,0)))</f>
        <v/>
      </c>
      <c r="AY247" s="859" t="str">
        <f t="shared" si="2"/>
        <v/>
      </c>
      <c r="AZ247" s="858" t="str">
        <f>IF($CR247="","",IF($E247="","SP",SUMIF(portfolio.!$A$4:$A308,$CR247,portfolio.!$O$4:$O308)*$CU$5))</f>
        <v/>
      </c>
      <c r="BA247" s="858" t="str">
        <f>IF($CR247="","",IF($E247="","SP",SUMIF(portfolio.!$A$4:$A308,$CR247,portfolio.!$AN$4:$AN308)*$CU$5))</f>
        <v/>
      </c>
      <c r="BB247" s="860" t="str">
        <f>IF($CR247="","",IF($E247="","-",IFERROR($BA247/'portfólio'!$DG$63,"")))</f>
        <v/>
      </c>
      <c r="BC247" s="861" t="str">
        <f>IF($CR247="","",IF($E247="","-",SUMIF(portfolio.!$A$4:$A308,$CR247,portfolio.!$J$4:$J308)))</f>
        <v/>
      </c>
      <c r="BD247" s="862" t="str">
        <f>IF($CR247="","",IF($E247="","SP",SUMIF(portfolio.!$A$4:$A308,$CR247,portfolio.!$AQ$4:$AQ308)*$CU$5))</f>
        <v/>
      </c>
      <c r="BE247" s="850" t="str">
        <f t="shared" si="3"/>
        <v/>
      </c>
      <c r="BF247" s="862" t="str">
        <f>IF($CR247="","",IF($E247="","-",SUMIF(portfolio.!$A$4:$A308,$CR247,portfolio.!$AX$4:$AX308)*$CU$5))</f>
        <v/>
      </c>
      <c r="BG247" s="545"/>
      <c r="BH247" s="879" t="s">
        <v>123</v>
      </c>
      <c r="BI247" s="880" t="s">
        <v>123</v>
      </c>
      <c r="BJ247" s="863" t="str">
        <f>IFERROR(__xludf.DUMMYFUNCTION("IF(NOT($BL$4),"""",IF($CR247="""","""",IFERROR(query({GOOGLEFINANCE($CR247,""price"",IF($BI247=""-"",TODAY()-($AQ$5+5),$BI247),TODAY()-1)},""Select max(Col2) where Col1 is not null label max(Col2) ''"")*CU247,""-"")))"),"")</f>
        <v/>
      </c>
      <c r="BK247" s="881" t="s">
        <v>123</v>
      </c>
      <c r="BL247" s="882" t="s">
        <v>123</v>
      </c>
      <c r="BM247" s="442"/>
      <c r="BN247" s="867" t="str">
        <f>IFERROR(__xludf.DUMMYFUNCTION("IF(CR247="""","""",IF(OR(C247=""AÇÃO"",C247=""BDR""),IFERROR(QUERY({fundamentus.!$A$3:$U308},$CX$67&amp;"" where Col1='""&amp;CR247&amp;""' limit 1"",0)),IF(C247=""FII"",IFERROR(QUERY({fundsexplorer.!$A$2:$Z308},$CY$67&amp;"" where Col1='""&amp;CR247&amp;""' limit 1"",0)),""""))"&amp;")"),"")</f>
        <v/>
      </c>
      <c r="BO247" s="867"/>
      <c r="BP247" s="867"/>
      <c r="BQ247" s="867"/>
      <c r="BR247" s="867"/>
      <c r="BS247" s="867"/>
      <c r="BT247" s="867"/>
      <c r="BU247" s="442"/>
      <c r="BV247" s="868" t="str">
        <f>IFERROR(__xludf.DUMMYFUNCTION("IF(OR(C247=""AÇÃO"",C247=""BDR""),IFERROR(GOOGLEFINANCE(CONCAT(""BVMF:"",CR247), ""marketcap"")/1000000,""NC""),"""")"),"")</f>
        <v/>
      </c>
      <c r="BW247" s="869" t="s">
        <v>123</v>
      </c>
      <c r="BX247" s="870" t="s">
        <v>123</v>
      </c>
      <c r="BY247" s="868" t="s">
        <v>123</v>
      </c>
      <c r="BZ247" s="870" t="s">
        <v>123</v>
      </c>
      <c r="CA247" s="868" t="s">
        <v>123</v>
      </c>
      <c r="CB247" s="868" t="s">
        <v>123</v>
      </c>
      <c r="CC247" s="868" t="s">
        <v>123</v>
      </c>
      <c r="CD247" s="868" t="str">
        <f>IFERROR(__xludf.DUMMYFUNCTION("IF(OR(C247=""AÇÃO"",C247=""BDR""),IFERROR(GOOGLEFINANCE(CONCAT(""BVMF:"",CR247), ""volumeavg"")/1000000,""NC""),"""")"),"")</f>
        <v/>
      </c>
      <c r="CE247" s="870" t="s">
        <v>123</v>
      </c>
      <c r="CF247" s="870" t="s">
        <v>123</v>
      </c>
      <c r="CG247" s="870" t="str">
        <f>IFERROR(__xludf.DUMMYFUNCTION("IF(OR(C247=""AÇÃO"",C247=""BDR""),IF(CF247=0,""SEM DY"",IFERROR(ImportXML(CONCAT(""http://www.guiainvest.com.br/raiox/default.aspx?sigla="",$CR247),""//*[@id='lbPayoutAtual']""),""NC"")),"""")"),"")</f>
        <v/>
      </c>
      <c r="CH247" s="870" t="s">
        <v>123</v>
      </c>
      <c r="CI247" s="545"/>
      <c r="CJ247" s="871" t="str">
        <f>IFERROR(__xludf.DUMMYFUNCTION("IF(OR(C247=""AÇÃO"",C247=""BDR""),IFERROR(GOOGLEFINANCE(CONCAT(""BVMF:"",CR247), ""eps""),""NC""),"""")"),"")</f>
        <v/>
      </c>
      <c r="CK247" s="442"/>
      <c r="CL247" s="871" t="str">
        <f>IFERROR(__xludf.DUMMYFUNCTION("IF(NOT($BL$4),"""",IF($CR247="""","""",IF($BC247="""","""",IFERROR(query({op.normal!$B$5:$F308},""select Col5, toDate(Col2) where Col1 =  '""&amp;$CR247&amp;""' and Col4 &gt; 0 and ((Col3 is null) or (Col3 = 'C')) and Col2 &gt;= date '""&amp;TEXT(TODAY()-$AQ$5,""yyyy-mm-dd"&amp;""")&amp;""' order by Col2 desc limit 1 label toDate(Col2) ''"")))))"),"")</f>
        <v/>
      </c>
      <c r="CM247" s="872"/>
      <c r="CN247" s="883" t="s">
        <v>123</v>
      </c>
      <c r="CO247" s="874" t="s">
        <v>123</v>
      </c>
      <c r="CP247" s="766"/>
      <c r="CQ247" s="791"/>
      <c r="CR247" s="791"/>
      <c r="CT247" s="791" t="s">
        <v>123</v>
      </c>
      <c r="CU247" s="791" t="str">
        <f>IFERROR(__xludf.DUMMYFUNCTION("IF(CR247="""","""",IF(CT247=$C$4,1,GOOGLEFINANCE(CT247&amp;$C$4)))"),"")</f>
        <v/>
      </c>
    </row>
    <row r="248" ht="22.5" customHeight="1">
      <c r="A248" s="837">
        <v>240.0</v>
      </c>
      <c r="B248" s="838" t="s">
        <v>123</v>
      </c>
      <c r="C248" s="838" t="s">
        <v>123</v>
      </c>
      <c r="D248" s="839" t="s">
        <v>123</v>
      </c>
      <c r="E248" s="839" t="s">
        <v>123</v>
      </c>
      <c r="F248" s="839" t="s">
        <v>123</v>
      </c>
      <c r="H248" s="884"/>
      <c r="I248" s="838"/>
      <c r="J248" s="838"/>
      <c r="K248" s="838"/>
      <c r="L248" s="838"/>
      <c r="M248" s="838"/>
      <c r="N248" s="838"/>
      <c r="O248" s="838"/>
      <c r="P248" s="838"/>
      <c r="Q248" s="838"/>
      <c r="R248" s="838"/>
      <c r="S248" s="838"/>
      <c r="T248" s="838"/>
      <c r="U248" s="838"/>
      <c r="V248" s="838"/>
      <c r="W248" s="838"/>
      <c r="X248" s="838"/>
      <c r="Z248" s="875" t="str">
        <f>IFERROR(__xludf.DUMMYFUNCTION("IF($CR248="""","""",IFERROR(query({CarteirasAtivos},""select Col4 where Col4 is not null and Col1 = '""&amp;$CR248&amp;""' limit 1"")*CU248,""NC""))"),"")</f>
        <v/>
      </c>
      <c r="AA248" s="876" t="str">
        <f>IFERROR(__xludf.DUMMYFUNCTION("IF($CR248="""","""",IFERROR(query({CarteirasAtivos},""select Col6 where Col4 is not null and Col1 = '""&amp;$CR248&amp;""' limit 1""),""NC""))"),"")</f>
        <v/>
      </c>
      <c r="AB248" s="877"/>
      <c r="AC248" s="878" t="s">
        <v>123</v>
      </c>
      <c r="AD248" s="845" t="str">
        <f>IF($CR248="","",IFERROR(VLOOKUP($CR248,ativos.!$C$3:$R308,MATCH("cotacao",ativos.!$C$2:CY$2,0),FALSE)*$CU$5,"atualizar"))</f>
        <v/>
      </c>
      <c r="AE248" s="846" t="str">
        <f>IFERROR(__xludf.DUMMYFUNCTION("IF($CR248="""","""",IFERROR(AVERAGE(query({CarteirasAtivos;CarteirasAtivosEncerrados},""select Col5 where Col5 is not null and Col1 = '""&amp;$CR248&amp;""' and Col10='SIM'""))*CU248,""NC""))"),"")</f>
        <v/>
      </c>
      <c r="AF248" s="847" t="str">
        <f t="shared" si="1"/>
        <v/>
      </c>
      <c r="AG248" s="442"/>
      <c r="AH248" s="848" t="str">
        <f>IFERROR(__xludf.DUMMYFUNCTION("IF($CR248="""","""",IFERROR(GOOGLEFINANCE($CR248,""low52"")*CU248,""-""))"),"")</f>
        <v/>
      </c>
      <c r="AI248" s="848" t="str">
        <f>IFERROR(__xludf.DUMMYFUNCTION("IF($CR248="""","""",IFERROR(GOOGLEFINANCE($CR248,""high52"")*CU248,""-""))"),"")</f>
        <v/>
      </c>
      <c r="AJ248" s="849" t="s">
        <v>123</v>
      </c>
      <c r="AK248" s="850" t="str">
        <f>IFERROR(__xludf.DUMMYFUNCTION("IF($CR248="""","""",IFERROR(GOOGLEFINANCE($CR248,""changepct"")/100,""-""))"),"")</f>
        <v/>
      </c>
      <c r="AL248" s="851" t="str">
        <f>IFERROR(__xludf.DUMMYFUNCTION("IF($CR248="""","""",IFERROR(($AD248/(QUERY(GOOGLEFINANCE($CR248,""price"",TODAY()-7),""SELECT Col2 label Col2 ''"")*$CU248)-1),""-""))"),"")</f>
        <v/>
      </c>
      <c r="AM248" s="851" t="str">
        <f>IFERROR(__xludf.DUMMYFUNCTION("IF($CR248="""","""",IFERROR(($AD248/(QUERY(GOOGLEFINANCE($CR248,""price"",TODAY()-14),""SELECT Col2 label Col2 ''"")*$CU248)-1),""-""))"),"")</f>
        <v/>
      </c>
      <c r="AN248" s="851" t="str">
        <f>IFERROR(__xludf.DUMMYFUNCTION("IF($CR248="""","""",IFERROR(($AD248/(QUERY(GOOGLEFINANCE($CR248,""price"",TODAY()-28),""SELECT Col2 label Col2 ''"")*$CU248)-1),""-""))"),"")</f>
        <v/>
      </c>
      <c r="AO248" s="851" t="str">
        <f>IFERROR(__xludf.DUMMYFUNCTION("IF($CR248="""","""",IFERROR(($AD248/(QUERY(GOOGLEFINANCE($CR248,""price"",TODAY()-$AQ$5),""SELECT Col2 label Col2 ''"")*$CU248)-1),""-""))"),"")</f>
        <v/>
      </c>
      <c r="AP248" s="852" t="str">
        <f>IFERROR(__xludf.DUMMYFUNCTION("IF($CR248="""","""",IFERROR(SPARKLINE(query(GOOGLEFINANCE($CR248,""price"",TODAY()-$AQ$5,TODAY(),1),""select Col2 label Col2 ''""),IF($AP$7=""Gráfico de barras"",{""charttype"",""column"";""highcolor"",""red""},{""chartype"",""line""}))))"),"")</f>
        <v/>
      </c>
      <c r="AQ248" s="144"/>
      <c r="AR248" s="853"/>
      <c r="AS248" s="854" t="str">
        <f>IF($CR248="","",IF(NOT('alocação'!$D$1),"off",IFERROR(VLOOKUP(CR248,BalanceAtivos,3,0),"NC")))</f>
        <v/>
      </c>
      <c r="AT248" s="855" t="str">
        <f>IF($CR248="","",IF(NOT('alocação'!$D$1),"off",IFERROR(VLOOKUP($CR248,BalanceAtivos,4,0)*$CU$5,"NC")))</f>
        <v/>
      </c>
      <c r="AU248" s="856" t="str">
        <f>IF($CR248="","",IF(NOT('alocação'!$D$1),"off",IFERROR(VLOOKUP($CR248,BalanceAtivos,5,0),"-")))</f>
        <v/>
      </c>
      <c r="AV248" s="856" t="str">
        <f>IF($CR248="","",IF(NOT('alocação'!$D$1),"off",IFERROR(VLOOKUP($CR248,BalanceAtivos,6,0),"-")))</f>
        <v/>
      </c>
      <c r="AW248" s="857"/>
      <c r="AX248" s="858" t="str">
        <f>IF($CR248="","",IF($E248="","SP",IFERROR(VLOOKUP($CR248,AtivosDados,MATCH("pm_atual",portfolio.!$A$3:CY$3,0),0)*$CU$5,0)))</f>
        <v/>
      </c>
      <c r="AY248" s="859" t="str">
        <f t="shared" si="2"/>
        <v/>
      </c>
      <c r="AZ248" s="858" t="str">
        <f>IF($CR248="","",IF($E248="","SP",SUMIF(portfolio.!$A$4:$A308,$CR248,portfolio.!$O$4:$O308)*$CU$5))</f>
        <v/>
      </c>
      <c r="BA248" s="858" t="str">
        <f>IF($CR248="","",IF($E248="","SP",SUMIF(portfolio.!$A$4:$A308,$CR248,portfolio.!$AN$4:$AN308)*$CU$5))</f>
        <v/>
      </c>
      <c r="BB248" s="860" t="str">
        <f>IF($CR248="","",IF($E248="","-",IFERROR($BA248/'portfólio'!$DG$63,"")))</f>
        <v/>
      </c>
      <c r="BC248" s="861" t="str">
        <f>IF($CR248="","",IF($E248="","-",SUMIF(portfolio.!$A$4:$A308,$CR248,portfolio.!$J$4:$J308)))</f>
        <v/>
      </c>
      <c r="BD248" s="862" t="str">
        <f>IF($CR248="","",IF($E248="","SP",SUMIF(portfolio.!$A$4:$A308,$CR248,portfolio.!$AQ$4:$AQ308)*$CU$5))</f>
        <v/>
      </c>
      <c r="BE248" s="850" t="str">
        <f t="shared" si="3"/>
        <v/>
      </c>
      <c r="BF248" s="862" t="str">
        <f>IF($CR248="","",IF($E248="","-",SUMIF(portfolio.!$A$4:$A308,$CR248,portfolio.!$AX$4:$AX308)*$CU$5))</f>
        <v/>
      </c>
      <c r="BG248" s="545"/>
      <c r="BH248" s="879" t="s">
        <v>123</v>
      </c>
      <c r="BI248" s="880" t="s">
        <v>123</v>
      </c>
      <c r="BJ248" s="863" t="str">
        <f>IFERROR(__xludf.DUMMYFUNCTION("IF(NOT($BL$4),"""",IF($CR248="""","""",IFERROR(query({GOOGLEFINANCE($CR248,""price"",IF($BI248=""-"",TODAY()-($AQ$5+5),$BI248),TODAY()-1)},""Select max(Col2) where Col1 is not null label max(Col2) ''"")*CU248,""-"")))"),"")</f>
        <v/>
      </c>
      <c r="BK248" s="881" t="s">
        <v>123</v>
      </c>
      <c r="BL248" s="882" t="s">
        <v>123</v>
      </c>
      <c r="BM248" s="442"/>
      <c r="BN248" s="867" t="str">
        <f>IFERROR(__xludf.DUMMYFUNCTION("IF(CR248="""","""",IF(OR(C248=""AÇÃO"",C248=""BDR""),IFERROR(QUERY({fundamentus.!$A$3:$U308},$CX$67&amp;"" where Col1='""&amp;CR248&amp;""' limit 1"",0)),IF(C248=""FII"",IFERROR(QUERY({fundsexplorer.!$A$2:$Z308},$CY$67&amp;"" where Col1='""&amp;CR248&amp;""' limit 1"",0)),""""))"&amp;")"),"")</f>
        <v/>
      </c>
      <c r="BO248" s="867"/>
      <c r="BP248" s="867"/>
      <c r="BQ248" s="867"/>
      <c r="BR248" s="867"/>
      <c r="BS248" s="867"/>
      <c r="BT248" s="867"/>
      <c r="BU248" s="442"/>
      <c r="BV248" s="868" t="str">
        <f>IFERROR(__xludf.DUMMYFUNCTION("IF(OR(C248=""AÇÃO"",C248=""BDR""),IFERROR(GOOGLEFINANCE(CONCAT(""BVMF:"",CR248), ""marketcap"")/1000000,""NC""),"""")"),"")</f>
        <v/>
      </c>
      <c r="BW248" s="869" t="s">
        <v>123</v>
      </c>
      <c r="BX248" s="870" t="s">
        <v>123</v>
      </c>
      <c r="BY248" s="868" t="s">
        <v>123</v>
      </c>
      <c r="BZ248" s="870" t="s">
        <v>123</v>
      </c>
      <c r="CA248" s="868" t="s">
        <v>123</v>
      </c>
      <c r="CB248" s="868" t="s">
        <v>123</v>
      </c>
      <c r="CC248" s="868" t="s">
        <v>123</v>
      </c>
      <c r="CD248" s="868" t="str">
        <f>IFERROR(__xludf.DUMMYFUNCTION("IF(OR(C248=""AÇÃO"",C248=""BDR""),IFERROR(GOOGLEFINANCE(CONCAT(""BVMF:"",CR248), ""volumeavg"")/1000000,""NC""),"""")"),"")</f>
        <v/>
      </c>
      <c r="CE248" s="870" t="s">
        <v>123</v>
      </c>
      <c r="CF248" s="870" t="s">
        <v>123</v>
      </c>
      <c r="CG248" s="870" t="str">
        <f>IFERROR(__xludf.DUMMYFUNCTION("IF(OR(C248=""AÇÃO"",C248=""BDR""),IF(CF248=0,""SEM DY"",IFERROR(ImportXML(CONCAT(""http://www.guiainvest.com.br/raiox/default.aspx?sigla="",$CR248),""//*[@id='lbPayoutAtual']""),""NC"")),"""")"),"")</f>
        <v/>
      </c>
      <c r="CH248" s="870" t="s">
        <v>123</v>
      </c>
      <c r="CI248" s="545"/>
      <c r="CJ248" s="871" t="str">
        <f>IFERROR(__xludf.DUMMYFUNCTION("IF(OR(C248=""AÇÃO"",C248=""BDR""),IFERROR(GOOGLEFINANCE(CONCAT(""BVMF:"",CR248), ""eps""),""NC""),"""")"),"")</f>
        <v/>
      </c>
      <c r="CK248" s="442"/>
      <c r="CL248" s="871" t="str">
        <f>IFERROR(__xludf.DUMMYFUNCTION("IF(NOT($BL$4),"""",IF($CR248="""","""",IF($BC248="""","""",IFERROR(query({op.normal!$B$5:$F308},""select Col5, toDate(Col2) where Col1 =  '""&amp;$CR248&amp;""' and Col4 &gt; 0 and ((Col3 is null) or (Col3 = 'C')) and Col2 &gt;= date '""&amp;TEXT(TODAY()-$AQ$5,""yyyy-mm-dd"&amp;""")&amp;""' order by Col2 desc limit 1 label toDate(Col2) ''"")))))"),"")</f>
        <v/>
      </c>
      <c r="CM248" s="872"/>
      <c r="CN248" s="883" t="s">
        <v>123</v>
      </c>
      <c r="CO248" s="874" t="s">
        <v>123</v>
      </c>
      <c r="CP248" s="766"/>
      <c r="CQ248" s="791"/>
      <c r="CR248" s="791"/>
      <c r="CT248" s="791" t="s">
        <v>123</v>
      </c>
      <c r="CU248" s="791" t="str">
        <f>IFERROR(__xludf.DUMMYFUNCTION("IF(CR248="""","""",IF(CT248=$C$4,1,GOOGLEFINANCE(CT248&amp;$C$4)))"),"")</f>
        <v/>
      </c>
    </row>
    <row r="249" ht="22.5" customHeight="1">
      <c r="A249" s="837">
        <v>241.0</v>
      </c>
      <c r="B249" s="838" t="s">
        <v>123</v>
      </c>
      <c r="C249" s="838" t="s">
        <v>123</v>
      </c>
      <c r="D249" s="839" t="s">
        <v>123</v>
      </c>
      <c r="E249" s="839" t="s">
        <v>123</v>
      </c>
      <c r="F249" s="839" t="s">
        <v>123</v>
      </c>
      <c r="H249" s="884"/>
      <c r="I249" s="838"/>
      <c r="J249" s="838"/>
      <c r="K249" s="838"/>
      <c r="L249" s="838"/>
      <c r="M249" s="838"/>
      <c r="N249" s="838"/>
      <c r="O249" s="838"/>
      <c r="P249" s="838"/>
      <c r="Q249" s="838"/>
      <c r="R249" s="838"/>
      <c r="S249" s="838"/>
      <c r="T249" s="838"/>
      <c r="U249" s="838"/>
      <c r="V249" s="838"/>
      <c r="W249" s="838"/>
      <c r="X249" s="838"/>
      <c r="Z249" s="875" t="str">
        <f>IFERROR(__xludf.DUMMYFUNCTION("IF($CR249="""","""",IFERROR(query({CarteirasAtivos},""select Col4 where Col4 is not null and Col1 = '""&amp;$CR249&amp;""' limit 1"")*CU249,""NC""))"),"")</f>
        <v/>
      </c>
      <c r="AA249" s="876" t="str">
        <f>IFERROR(__xludf.DUMMYFUNCTION("IF($CR249="""","""",IFERROR(query({CarteirasAtivos},""select Col6 where Col4 is not null and Col1 = '""&amp;$CR249&amp;""' limit 1""),""NC""))"),"")</f>
        <v/>
      </c>
      <c r="AB249" s="877"/>
      <c r="AC249" s="878" t="s">
        <v>123</v>
      </c>
      <c r="AD249" s="845" t="str">
        <f>IF($CR249="","",IFERROR(VLOOKUP($CR249,ativos.!$C$3:$R308,MATCH("cotacao",ativos.!$C$2:CY$2,0),FALSE)*$CU$5,"atualizar"))</f>
        <v/>
      </c>
      <c r="AE249" s="846" t="str">
        <f>IFERROR(__xludf.DUMMYFUNCTION("IF($CR249="""","""",IFERROR(AVERAGE(query({CarteirasAtivos;CarteirasAtivosEncerrados},""select Col5 where Col5 is not null and Col1 = '""&amp;$CR249&amp;""' and Col10='SIM'""))*CU249,""NC""))"),"")</f>
        <v/>
      </c>
      <c r="AF249" s="847" t="str">
        <f t="shared" si="1"/>
        <v/>
      </c>
      <c r="AG249" s="442"/>
      <c r="AH249" s="848" t="str">
        <f>IFERROR(__xludf.DUMMYFUNCTION("IF($CR249="""","""",IFERROR(GOOGLEFINANCE($CR249,""low52"")*CU249,""-""))"),"")</f>
        <v/>
      </c>
      <c r="AI249" s="848" t="str">
        <f>IFERROR(__xludf.DUMMYFUNCTION("IF($CR249="""","""",IFERROR(GOOGLEFINANCE($CR249,""high52"")*CU249,""-""))"),"")</f>
        <v/>
      </c>
      <c r="AJ249" s="849" t="s">
        <v>123</v>
      </c>
      <c r="AK249" s="850" t="str">
        <f>IFERROR(__xludf.DUMMYFUNCTION("IF($CR249="""","""",IFERROR(GOOGLEFINANCE($CR249,""changepct"")/100,""-""))"),"")</f>
        <v/>
      </c>
      <c r="AL249" s="851" t="str">
        <f>IFERROR(__xludf.DUMMYFUNCTION("IF($CR249="""","""",IFERROR(($AD249/(QUERY(GOOGLEFINANCE($CR249,""price"",TODAY()-7),""SELECT Col2 label Col2 ''"")*$CU249)-1),""-""))"),"")</f>
        <v/>
      </c>
      <c r="AM249" s="851" t="str">
        <f>IFERROR(__xludf.DUMMYFUNCTION("IF($CR249="""","""",IFERROR(($AD249/(QUERY(GOOGLEFINANCE($CR249,""price"",TODAY()-14),""SELECT Col2 label Col2 ''"")*$CU249)-1),""-""))"),"")</f>
        <v/>
      </c>
      <c r="AN249" s="851" t="str">
        <f>IFERROR(__xludf.DUMMYFUNCTION("IF($CR249="""","""",IFERROR(($AD249/(QUERY(GOOGLEFINANCE($CR249,""price"",TODAY()-28),""SELECT Col2 label Col2 ''"")*$CU249)-1),""-""))"),"")</f>
        <v/>
      </c>
      <c r="AO249" s="851" t="str">
        <f>IFERROR(__xludf.DUMMYFUNCTION("IF($CR249="""","""",IFERROR(($AD249/(QUERY(GOOGLEFINANCE($CR249,""price"",TODAY()-$AQ$5),""SELECT Col2 label Col2 ''"")*$CU249)-1),""-""))"),"")</f>
        <v/>
      </c>
      <c r="AP249" s="852" t="str">
        <f>IFERROR(__xludf.DUMMYFUNCTION("IF($CR249="""","""",IFERROR(SPARKLINE(query(GOOGLEFINANCE($CR249,""price"",TODAY()-$AQ$5,TODAY(),1),""select Col2 label Col2 ''""),IF($AP$7=""Gráfico de barras"",{""charttype"",""column"";""highcolor"",""red""},{""chartype"",""line""}))))"),"")</f>
        <v/>
      </c>
      <c r="AQ249" s="144"/>
      <c r="AR249" s="853"/>
      <c r="AS249" s="854" t="str">
        <f>IF($CR249="","",IF(NOT('alocação'!$D$1),"off",IFERROR(VLOOKUP(CR249,BalanceAtivos,3,0),"NC")))</f>
        <v/>
      </c>
      <c r="AT249" s="855" t="str">
        <f>IF($CR249="","",IF(NOT('alocação'!$D$1),"off",IFERROR(VLOOKUP($CR249,BalanceAtivos,4,0)*$CU$5,"NC")))</f>
        <v/>
      </c>
      <c r="AU249" s="856" t="str">
        <f>IF($CR249="","",IF(NOT('alocação'!$D$1),"off",IFERROR(VLOOKUP($CR249,BalanceAtivos,5,0),"-")))</f>
        <v/>
      </c>
      <c r="AV249" s="856" t="str">
        <f>IF($CR249="","",IF(NOT('alocação'!$D$1),"off",IFERROR(VLOOKUP($CR249,BalanceAtivos,6,0),"-")))</f>
        <v/>
      </c>
      <c r="AW249" s="857"/>
      <c r="AX249" s="858" t="str">
        <f>IF($CR249="","",IF($E249="","SP",IFERROR(VLOOKUP($CR249,AtivosDados,MATCH("pm_atual",portfolio.!$A$3:CY$3,0),0)*$CU$5,0)))</f>
        <v/>
      </c>
      <c r="AY249" s="859" t="str">
        <f t="shared" si="2"/>
        <v/>
      </c>
      <c r="AZ249" s="858" t="str">
        <f>IF($CR249="","",IF($E249="","SP",SUMIF(portfolio.!$A$4:$A308,$CR249,portfolio.!$O$4:$O308)*$CU$5))</f>
        <v/>
      </c>
      <c r="BA249" s="858" t="str">
        <f>IF($CR249="","",IF($E249="","SP",SUMIF(portfolio.!$A$4:$A308,$CR249,portfolio.!$AN$4:$AN308)*$CU$5))</f>
        <v/>
      </c>
      <c r="BB249" s="860" t="str">
        <f>IF($CR249="","",IF($E249="","-",IFERROR($BA249/'portfólio'!$DG$63,"")))</f>
        <v/>
      </c>
      <c r="BC249" s="861" t="str">
        <f>IF($CR249="","",IF($E249="","-",SUMIF(portfolio.!$A$4:$A308,$CR249,portfolio.!$J$4:$J308)))</f>
        <v/>
      </c>
      <c r="BD249" s="862" t="str">
        <f>IF($CR249="","",IF($E249="","SP",SUMIF(portfolio.!$A$4:$A308,$CR249,portfolio.!$AQ$4:$AQ308)*$CU$5))</f>
        <v/>
      </c>
      <c r="BE249" s="850" t="str">
        <f t="shared" si="3"/>
        <v/>
      </c>
      <c r="BF249" s="862" t="str">
        <f>IF($CR249="","",IF($E249="","-",SUMIF(portfolio.!$A$4:$A308,$CR249,portfolio.!$AX$4:$AX308)*$CU$5))</f>
        <v/>
      </c>
      <c r="BG249" s="545"/>
      <c r="BH249" s="879" t="s">
        <v>123</v>
      </c>
      <c r="BI249" s="880" t="s">
        <v>123</v>
      </c>
      <c r="BJ249" s="863" t="str">
        <f>IFERROR(__xludf.DUMMYFUNCTION("IF(NOT($BL$4),"""",IF($CR249="""","""",IFERROR(query({GOOGLEFINANCE($CR249,""price"",IF($BI249=""-"",TODAY()-($AQ$5+5),$BI249),TODAY()-1)},""Select max(Col2) where Col1 is not null label max(Col2) ''"")*CU249,""-"")))"),"")</f>
        <v/>
      </c>
      <c r="BK249" s="881" t="s">
        <v>123</v>
      </c>
      <c r="BL249" s="882" t="s">
        <v>123</v>
      </c>
      <c r="BM249" s="442"/>
      <c r="BN249" s="867" t="str">
        <f>IFERROR(__xludf.DUMMYFUNCTION("IF(CR249="""","""",IF(OR(C249=""AÇÃO"",C249=""BDR""),IFERROR(QUERY({fundamentus.!$A$3:$U308},$CX$67&amp;"" where Col1='""&amp;CR249&amp;""' limit 1"",0)),IF(C249=""FII"",IFERROR(QUERY({fundsexplorer.!$A$2:$Z308},$CY$67&amp;"" where Col1='""&amp;CR249&amp;""' limit 1"",0)),""""))"&amp;")"),"")</f>
        <v/>
      </c>
      <c r="BO249" s="867"/>
      <c r="BP249" s="867"/>
      <c r="BQ249" s="867"/>
      <c r="BR249" s="867"/>
      <c r="BS249" s="867"/>
      <c r="BT249" s="867"/>
      <c r="BU249" s="442"/>
      <c r="BV249" s="868" t="str">
        <f>IFERROR(__xludf.DUMMYFUNCTION("IF(OR(C249=""AÇÃO"",C249=""BDR""),IFERROR(GOOGLEFINANCE(CONCAT(""BVMF:"",CR249), ""marketcap"")/1000000,""NC""),"""")"),"")</f>
        <v/>
      </c>
      <c r="BW249" s="869" t="s">
        <v>123</v>
      </c>
      <c r="BX249" s="870" t="s">
        <v>123</v>
      </c>
      <c r="BY249" s="868" t="s">
        <v>123</v>
      </c>
      <c r="BZ249" s="870" t="s">
        <v>123</v>
      </c>
      <c r="CA249" s="868" t="s">
        <v>123</v>
      </c>
      <c r="CB249" s="868" t="s">
        <v>123</v>
      </c>
      <c r="CC249" s="868" t="s">
        <v>123</v>
      </c>
      <c r="CD249" s="868" t="str">
        <f>IFERROR(__xludf.DUMMYFUNCTION("IF(OR(C249=""AÇÃO"",C249=""BDR""),IFERROR(GOOGLEFINANCE(CONCAT(""BVMF:"",CR249), ""volumeavg"")/1000000,""NC""),"""")"),"")</f>
        <v/>
      </c>
      <c r="CE249" s="870" t="s">
        <v>123</v>
      </c>
      <c r="CF249" s="870" t="s">
        <v>123</v>
      </c>
      <c r="CG249" s="870" t="str">
        <f>IFERROR(__xludf.DUMMYFUNCTION("IF(OR(C249=""AÇÃO"",C249=""BDR""),IF(CF249=0,""SEM DY"",IFERROR(ImportXML(CONCAT(""http://www.guiainvest.com.br/raiox/default.aspx?sigla="",$CR249),""//*[@id='lbPayoutAtual']""),""NC"")),"""")"),"")</f>
        <v/>
      </c>
      <c r="CH249" s="870" t="s">
        <v>123</v>
      </c>
      <c r="CI249" s="545"/>
      <c r="CJ249" s="871" t="str">
        <f>IFERROR(__xludf.DUMMYFUNCTION("IF(OR(C249=""AÇÃO"",C249=""BDR""),IFERROR(GOOGLEFINANCE(CONCAT(""BVMF:"",CR249), ""eps""),""NC""),"""")"),"")</f>
        <v/>
      </c>
      <c r="CK249" s="442"/>
      <c r="CL249" s="871" t="str">
        <f>IFERROR(__xludf.DUMMYFUNCTION("IF(NOT($BL$4),"""",IF($CR249="""","""",IF($BC249="""","""",IFERROR(query({op.normal!$B$5:$F308},""select Col5, toDate(Col2) where Col1 =  '""&amp;$CR249&amp;""' and Col4 &gt; 0 and ((Col3 is null) or (Col3 = 'C')) and Col2 &gt;= date '""&amp;TEXT(TODAY()-$AQ$5,""yyyy-mm-dd"&amp;""")&amp;""' order by Col2 desc limit 1 label toDate(Col2) ''"")))))"),"")</f>
        <v/>
      </c>
      <c r="CM249" s="872"/>
      <c r="CN249" s="883" t="s">
        <v>123</v>
      </c>
      <c r="CO249" s="874" t="s">
        <v>123</v>
      </c>
      <c r="CP249" s="766"/>
      <c r="CQ249" s="791"/>
      <c r="CR249" s="791"/>
      <c r="CT249" s="791" t="s">
        <v>123</v>
      </c>
      <c r="CU249" s="791" t="str">
        <f>IFERROR(__xludf.DUMMYFUNCTION("IF(CR249="""","""",IF(CT249=$C$4,1,GOOGLEFINANCE(CT249&amp;$C$4)))"),"")</f>
        <v/>
      </c>
    </row>
    <row r="250" ht="22.5" customHeight="1">
      <c r="A250" s="837">
        <v>242.0</v>
      </c>
      <c r="B250" s="838" t="s">
        <v>123</v>
      </c>
      <c r="C250" s="838" t="s">
        <v>123</v>
      </c>
      <c r="D250" s="839" t="s">
        <v>123</v>
      </c>
      <c r="E250" s="839" t="s">
        <v>123</v>
      </c>
      <c r="F250" s="839" t="s">
        <v>123</v>
      </c>
      <c r="H250" s="884"/>
      <c r="I250" s="838"/>
      <c r="J250" s="838"/>
      <c r="K250" s="838"/>
      <c r="L250" s="838"/>
      <c r="M250" s="838"/>
      <c r="N250" s="838"/>
      <c r="O250" s="838"/>
      <c r="P250" s="838"/>
      <c r="Q250" s="838"/>
      <c r="R250" s="838"/>
      <c r="S250" s="838"/>
      <c r="T250" s="838"/>
      <c r="U250" s="838"/>
      <c r="V250" s="838"/>
      <c r="W250" s="838"/>
      <c r="X250" s="838"/>
      <c r="Z250" s="875" t="str">
        <f>IFERROR(__xludf.DUMMYFUNCTION("IF($CR250="""","""",IFERROR(query({CarteirasAtivos},""select Col4 where Col4 is not null and Col1 = '""&amp;$CR250&amp;""' limit 1"")*CU250,""NC""))"),"")</f>
        <v/>
      </c>
      <c r="AA250" s="876" t="str">
        <f>IFERROR(__xludf.DUMMYFUNCTION("IF($CR250="""","""",IFERROR(query({CarteirasAtivos},""select Col6 where Col4 is not null and Col1 = '""&amp;$CR250&amp;""' limit 1""),""NC""))"),"")</f>
        <v/>
      </c>
      <c r="AB250" s="877"/>
      <c r="AC250" s="878" t="s">
        <v>123</v>
      </c>
      <c r="AD250" s="845" t="str">
        <f>IF($CR250="","",IFERROR(VLOOKUP($CR250,ativos.!$C$3:$R308,MATCH("cotacao",ativos.!$C$2:CY$2,0),FALSE)*$CU$5,"atualizar"))</f>
        <v/>
      </c>
      <c r="AE250" s="846" t="str">
        <f>IFERROR(__xludf.DUMMYFUNCTION("IF($CR250="""","""",IFERROR(AVERAGE(query({CarteirasAtivos;CarteirasAtivosEncerrados},""select Col5 where Col5 is not null and Col1 = '""&amp;$CR250&amp;""' and Col10='SIM'""))*CU250,""NC""))"),"")</f>
        <v/>
      </c>
      <c r="AF250" s="847" t="str">
        <f t="shared" si="1"/>
        <v/>
      </c>
      <c r="AG250" s="442"/>
      <c r="AH250" s="848" t="str">
        <f>IFERROR(__xludf.DUMMYFUNCTION("IF($CR250="""","""",IFERROR(GOOGLEFINANCE($CR250,""low52"")*CU250,""-""))"),"")</f>
        <v/>
      </c>
      <c r="AI250" s="848" t="str">
        <f>IFERROR(__xludf.DUMMYFUNCTION("IF($CR250="""","""",IFERROR(GOOGLEFINANCE($CR250,""high52"")*CU250,""-""))"),"")</f>
        <v/>
      </c>
      <c r="AJ250" s="849" t="s">
        <v>123</v>
      </c>
      <c r="AK250" s="850" t="str">
        <f>IFERROR(__xludf.DUMMYFUNCTION("IF($CR250="""","""",IFERROR(GOOGLEFINANCE($CR250,""changepct"")/100,""-""))"),"")</f>
        <v/>
      </c>
      <c r="AL250" s="851" t="str">
        <f>IFERROR(__xludf.DUMMYFUNCTION("IF($CR250="""","""",IFERROR(($AD250/(QUERY(GOOGLEFINANCE($CR250,""price"",TODAY()-7),""SELECT Col2 label Col2 ''"")*$CU250)-1),""-""))"),"")</f>
        <v/>
      </c>
      <c r="AM250" s="851" t="str">
        <f>IFERROR(__xludf.DUMMYFUNCTION("IF($CR250="""","""",IFERROR(($AD250/(QUERY(GOOGLEFINANCE($CR250,""price"",TODAY()-14),""SELECT Col2 label Col2 ''"")*$CU250)-1),""-""))"),"")</f>
        <v/>
      </c>
      <c r="AN250" s="851" t="str">
        <f>IFERROR(__xludf.DUMMYFUNCTION("IF($CR250="""","""",IFERROR(($AD250/(QUERY(GOOGLEFINANCE($CR250,""price"",TODAY()-28),""SELECT Col2 label Col2 ''"")*$CU250)-1),""-""))"),"")</f>
        <v/>
      </c>
      <c r="AO250" s="851" t="str">
        <f>IFERROR(__xludf.DUMMYFUNCTION("IF($CR250="""","""",IFERROR(($AD250/(QUERY(GOOGLEFINANCE($CR250,""price"",TODAY()-$AQ$5),""SELECT Col2 label Col2 ''"")*$CU250)-1),""-""))"),"")</f>
        <v/>
      </c>
      <c r="AP250" s="852" t="str">
        <f>IFERROR(__xludf.DUMMYFUNCTION("IF($CR250="""","""",IFERROR(SPARKLINE(query(GOOGLEFINANCE($CR250,""price"",TODAY()-$AQ$5,TODAY(),1),""select Col2 label Col2 ''""),IF($AP$7=""Gráfico de barras"",{""charttype"",""column"";""highcolor"",""red""},{""chartype"",""line""}))))"),"")</f>
        <v/>
      </c>
      <c r="AQ250" s="144"/>
      <c r="AR250" s="853"/>
      <c r="AS250" s="854" t="str">
        <f>IF($CR250="","",IF(NOT('alocação'!$D$1),"off",IFERROR(VLOOKUP(CR250,BalanceAtivos,3,0),"NC")))</f>
        <v/>
      </c>
      <c r="AT250" s="855" t="str">
        <f>IF($CR250="","",IF(NOT('alocação'!$D$1),"off",IFERROR(VLOOKUP($CR250,BalanceAtivos,4,0)*$CU$5,"NC")))</f>
        <v/>
      </c>
      <c r="AU250" s="856" t="str">
        <f>IF($CR250="","",IF(NOT('alocação'!$D$1),"off",IFERROR(VLOOKUP($CR250,BalanceAtivos,5,0),"-")))</f>
        <v/>
      </c>
      <c r="AV250" s="856" t="str">
        <f>IF($CR250="","",IF(NOT('alocação'!$D$1),"off",IFERROR(VLOOKUP($CR250,BalanceAtivos,6,0),"-")))</f>
        <v/>
      </c>
      <c r="AW250" s="857"/>
      <c r="AX250" s="858" t="str">
        <f>IF($CR250="","",IF($E250="","SP",IFERROR(VLOOKUP($CR250,AtivosDados,MATCH("pm_atual",portfolio.!$A$3:CY$3,0),0)*$CU$5,0)))</f>
        <v/>
      </c>
      <c r="AY250" s="859" t="str">
        <f t="shared" si="2"/>
        <v/>
      </c>
      <c r="AZ250" s="858" t="str">
        <f>IF($CR250="","",IF($E250="","SP",SUMIF(portfolio.!$A$4:$A308,$CR250,portfolio.!$O$4:$O308)*$CU$5))</f>
        <v/>
      </c>
      <c r="BA250" s="858" t="str">
        <f>IF($CR250="","",IF($E250="","SP",SUMIF(portfolio.!$A$4:$A308,$CR250,portfolio.!$AN$4:$AN308)*$CU$5))</f>
        <v/>
      </c>
      <c r="BB250" s="860" t="str">
        <f>IF($CR250="","",IF($E250="","-",IFERROR($BA250/'portfólio'!$DG$63,"")))</f>
        <v/>
      </c>
      <c r="BC250" s="861" t="str">
        <f>IF($CR250="","",IF($E250="","-",SUMIF(portfolio.!$A$4:$A308,$CR250,portfolio.!$J$4:$J308)))</f>
        <v/>
      </c>
      <c r="BD250" s="862" t="str">
        <f>IF($CR250="","",IF($E250="","SP",SUMIF(portfolio.!$A$4:$A308,$CR250,portfolio.!$AQ$4:$AQ308)*$CU$5))</f>
        <v/>
      </c>
      <c r="BE250" s="850" t="str">
        <f t="shared" si="3"/>
        <v/>
      </c>
      <c r="BF250" s="862" t="str">
        <f>IF($CR250="","",IF($E250="","-",SUMIF(portfolio.!$A$4:$A308,$CR250,portfolio.!$AX$4:$AX308)*$CU$5))</f>
        <v/>
      </c>
      <c r="BG250" s="545"/>
      <c r="BH250" s="879" t="s">
        <v>123</v>
      </c>
      <c r="BI250" s="880" t="s">
        <v>123</v>
      </c>
      <c r="BJ250" s="863" t="str">
        <f>IFERROR(__xludf.DUMMYFUNCTION("IF(NOT($BL$4),"""",IF($CR250="""","""",IFERROR(query({GOOGLEFINANCE($CR250,""price"",IF($BI250=""-"",TODAY()-($AQ$5+5),$BI250),TODAY()-1)},""Select max(Col2) where Col1 is not null label max(Col2) ''"")*CU250,""-"")))"),"")</f>
        <v/>
      </c>
      <c r="BK250" s="881" t="s">
        <v>123</v>
      </c>
      <c r="BL250" s="882" t="s">
        <v>123</v>
      </c>
      <c r="BM250" s="442"/>
      <c r="BN250" s="867" t="str">
        <f>IFERROR(__xludf.DUMMYFUNCTION("IF(CR250="""","""",IF(OR(C250=""AÇÃO"",C250=""BDR""),IFERROR(QUERY({fundamentus.!$A$3:$U308},$CX$67&amp;"" where Col1='""&amp;CR250&amp;""' limit 1"",0)),IF(C250=""FII"",IFERROR(QUERY({fundsexplorer.!$A$2:$Z308},$CY$67&amp;"" where Col1='""&amp;CR250&amp;""' limit 1"",0)),""""))"&amp;")"),"")</f>
        <v/>
      </c>
      <c r="BO250" s="867"/>
      <c r="BP250" s="867"/>
      <c r="BQ250" s="867"/>
      <c r="BR250" s="867"/>
      <c r="BS250" s="867"/>
      <c r="BT250" s="867"/>
      <c r="BU250" s="442"/>
      <c r="BV250" s="868" t="str">
        <f>IFERROR(__xludf.DUMMYFUNCTION("IF(OR(C250=""AÇÃO"",C250=""BDR""),IFERROR(GOOGLEFINANCE(CONCAT(""BVMF:"",CR250), ""marketcap"")/1000000,""NC""),"""")"),"")</f>
        <v/>
      </c>
      <c r="BW250" s="869" t="s">
        <v>123</v>
      </c>
      <c r="BX250" s="870" t="s">
        <v>123</v>
      </c>
      <c r="BY250" s="868" t="s">
        <v>123</v>
      </c>
      <c r="BZ250" s="870" t="s">
        <v>123</v>
      </c>
      <c r="CA250" s="868" t="s">
        <v>123</v>
      </c>
      <c r="CB250" s="868" t="s">
        <v>123</v>
      </c>
      <c r="CC250" s="868" t="s">
        <v>123</v>
      </c>
      <c r="CD250" s="868" t="str">
        <f>IFERROR(__xludf.DUMMYFUNCTION("IF(OR(C250=""AÇÃO"",C250=""BDR""),IFERROR(GOOGLEFINANCE(CONCAT(""BVMF:"",CR250), ""volumeavg"")/1000000,""NC""),"""")"),"")</f>
        <v/>
      </c>
      <c r="CE250" s="870" t="s">
        <v>123</v>
      </c>
      <c r="CF250" s="870" t="s">
        <v>123</v>
      </c>
      <c r="CG250" s="870" t="str">
        <f>IFERROR(__xludf.DUMMYFUNCTION("IF(OR(C250=""AÇÃO"",C250=""BDR""),IF(CF250=0,""SEM DY"",IFERROR(ImportXML(CONCAT(""http://www.guiainvest.com.br/raiox/default.aspx?sigla="",$CR250),""//*[@id='lbPayoutAtual']""),""NC"")),"""")"),"")</f>
        <v/>
      </c>
      <c r="CH250" s="870" t="s">
        <v>123</v>
      </c>
      <c r="CI250" s="545"/>
      <c r="CJ250" s="871" t="str">
        <f>IFERROR(__xludf.DUMMYFUNCTION("IF(OR(C250=""AÇÃO"",C250=""BDR""),IFERROR(GOOGLEFINANCE(CONCAT(""BVMF:"",CR250), ""eps""),""NC""),"""")"),"")</f>
        <v/>
      </c>
      <c r="CK250" s="442"/>
      <c r="CL250" s="871" t="str">
        <f>IFERROR(__xludf.DUMMYFUNCTION("IF(NOT($BL$4),"""",IF($CR250="""","""",IF($BC250="""","""",IFERROR(query({op.normal!$B$5:$F308},""select Col5, toDate(Col2) where Col1 =  '""&amp;$CR250&amp;""' and Col4 &gt; 0 and ((Col3 is null) or (Col3 = 'C')) and Col2 &gt;= date '""&amp;TEXT(TODAY()-$AQ$5,""yyyy-mm-dd"&amp;""")&amp;""' order by Col2 desc limit 1 label toDate(Col2) ''"")))))"),"")</f>
        <v/>
      </c>
      <c r="CM250" s="872"/>
      <c r="CN250" s="883" t="s">
        <v>123</v>
      </c>
      <c r="CO250" s="874" t="s">
        <v>123</v>
      </c>
      <c r="CP250" s="766"/>
      <c r="CQ250" s="791"/>
      <c r="CR250" s="791"/>
      <c r="CT250" s="791" t="s">
        <v>123</v>
      </c>
      <c r="CU250" s="791" t="str">
        <f>IFERROR(__xludf.DUMMYFUNCTION("IF(CR250="""","""",IF(CT250=$C$4,1,GOOGLEFINANCE(CT250&amp;$C$4)))"),"")</f>
        <v/>
      </c>
    </row>
    <row r="251" ht="22.5" customHeight="1">
      <c r="A251" s="837">
        <v>243.0</v>
      </c>
      <c r="B251" s="838" t="s">
        <v>123</v>
      </c>
      <c r="C251" s="838" t="s">
        <v>123</v>
      </c>
      <c r="D251" s="839" t="s">
        <v>123</v>
      </c>
      <c r="E251" s="839" t="s">
        <v>123</v>
      </c>
      <c r="F251" s="839" t="s">
        <v>123</v>
      </c>
      <c r="H251" s="884"/>
      <c r="I251" s="838"/>
      <c r="J251" s="838"/>
      <c r="K251" s="838"/>
      <c r="L251" s="838"/>
      <c r="M251" s="838"/>
      <c r="N251" s="838"/>
      <c r="O251" s="838"/>
      <c r="P251" s="838"/>
      <c r="Q251" s="838"/>
      <c r="R251" s="838"/>
      <c r="S251" s="838"/>
      <c r="T251" s="838"/>
      <c r="U251" s="838"/>
      <c r="V251" s="838"/>
      <c r="W251" s="838"/>
      <c r="X251" s="838"/>
      <c r="Z251" s="875" t="str">
        <f>IFERROR(__xludf.DUMMYFUNCTION("IF($CR251="""","""",IFERROR(query({CarteirasAtivos},""select Col4 where Col4 is not null and Col1 = '""&amp;$CR251&amp;""' limit 1"")*CU251,""NC""))"),"")</f>
        <v/>
      </c>
      <c r="AA251" s="876" t="str">
        <f>IFERROR(__xludf.DUMMYFUNCTION("IF($CR251="""","""",IFERROR(query({CarteirasAtivos},""select Col6 where Col4 is not null and Col1 = '""&amp;$CR251&amp;""' limit 1""),""NC""))"),"")</f>
        <v/>
      </c>
      <c r="AB251" s="877"/>
      <c r="AC251" s="878" t="s">
        <v>123</v>
      </c>
      <c r="AD251" s="845" t="str">
        <f>IF($CR251="","",IFERROR(VLOOKUP($CR251,ativos.!$C$3:$R308,MATCH("cotacao",ativos.!$C$2:CY$2,0),FALSE)*$CU$5,"atualizar"))</f>
        <v/>
      </c>
      <c r="AE251" s="846" t="str">
        <f>IFERROR(__xludf.DUMMYFUNCTION("IF($CR251="""","""",IFERROR(AVERAGE(query({CarteirasAtivos;CarteirasAtivosEncerrados},""select Col5 where Col5 is not null and Col1 = '""&amp;$CR251&amp;""' and Col10='SIM'""))*CU251,""NC""))"),"")</f>
        <v/>
      </c>
      <c r="AF251" s="847" t="str">
        <f t="shared" si="1"/>
        <v/>
      </c>
      <c r="AG251" s="442"/>
      <c r="AH251" s="848" t="str">
        <f>IFERROR(__xludf.DUMMYFUNCTION("IF($CR251="""","""",IFERROR(GOOGLEFINANCE($CR251,""low52"")*CU251,""-""))"),"")</f>
        <v/>
      </c>
      <c r="AI251" s="848" t="str">
        <f>IFERROR(__xludf.DUMMYFUNCTION("IF($CR251="""","""",IFERROR(GOOGLEFINANCE($CR251,""high52"")*CU251,""-""))"),"")</f>
        <v/>
      </c>
      <c r="AJ251" s="849" t="s">
        <v>123</v>
      </c>
      <c r="AK251" s="850" t="str">
        <f>IFERROR(__xludf.DUMMYFUNCTION("IF($CR251="""","""",IFERROR(GOOGLEFINANCE($CR251,""changepct"")/100,""-""))"),"")</f>
        <v/>
      </c>
      <c r="AL251" s="851" t="str">
        <f>IFERROR(__xludf.DUMMYFUNCTION("IF($CR251="""","""",IFERROR(($AD251/(QUERY(GOOGLEFINANCE($CR251,""price"",TODAY()-7),""SELECT Col2 label Col2 ''"")*$CU251)-1),""-""))"),"")</f>
        <v/>
      </c>
      <c r="AM251" s="851" t="str">
        <f>IFERROR(__xludf.DUMMYFUNCTION("IF($CR251="""","""",IFERROR(($AD251/(QUERY(GOOGLEFINANCE($CR251,""price"",TODAY()-14),""SELECT Col2 label Col2 ''"")*$CU251)-1),""-""))"),"")</f>
        <v/>
      </c>
      <c r="AN251" s="851" t="str">
        <f>IFERROR(__xludf.DUMMYFUNCTION("IF($CR251="""","""",IFERROR(($AD251/(QUERY(GOOGLEFINANCE($CR251,""price"",TODAY()-28),""SELECT Col2 label Col2 ''"")*$CU251)-1),""-""))"),"")</f>
        <v/>
      </c>
      <c r="AO251" s="851" t="str">
        <f>IFERROR(__xludf.DUMMYFUNCTION("IF($CR251="""","""",IFERROR(($AD251/(QUERY(GOOGLEFINANCE($CR251,""price"",TODAY()-$AQ$5),""SELECT Col2 label Col2 ''"")*$CU251)-1),""-""))"),"")</f>
        <v/>
      </c>
      <c r="AP251" s="852" t="str">
        <f>IFERROR(__xludf.DUMMYFUNCTION("IF($CR251="""","""",IFERROR(SPARKLINE(query(GOOGLEFINANCE($CR251,""price"",TODAY()-$AQ$5,TODAY(),1),""select Col2 label Col2 ''""),IF($AP$7=""Gráfico de barras"",{""charttype"",""column"";""highcolor"",""red""},{""chartype"",""line""}))))"),"")</f>
        <v/>
      </c>
      <c r="AQ251" s="144"/>
      <c r="AR251" s="853"/>
      <c r="AS251" s="854" t="str">
        <f>IF($CR251="","",IF(NOT('alocação'!$D$1),"off",IFERROR(VLOOKUP(CR251,BalanceAtivos,3,0),"NC")))</f>
        <v/>
      </c>
      <c r="AT251" s="855" t="str">
        <f>IF($CR251="","",IF(NOT('alocação'!$D$1),"off",IFERROR(VLOOKUP($CR251,BalanceAtivos,4,0)*$CU$5,"NC")))</f>
        <v/>
      </c>
      <c r="AU251" s="856" t="str">
        <f>IF($CR251="","",IF(NOT('alocação'!$D$1),"off",IFERROR(VLOOKUP($CR251,BalanceAtivos,5,0),"-")))</f>
        <v/>
      </c>
      <c r="AV251" s="856" t="str">
        <f>IF($CR251="","",IF(NOT('alocação'!$D$1),"off",IFERROR(VLOOKUP($CR251,BalanceAtivos,6,0),"-")))</f>
        <v/>
      </c>
      <c r="AW251" s="857"/>
      <c r="AX251" s="858" t="str">
        <f>IF($CR251="","",IF($E251="","SP",IFERROR(VLOOKUP($CR251,AtivosDados,MATCH("pm_atual",portfolio.!$A$3:CY$3,0),0)*$CU$5,0)))</f>
        <v/>
      </c>
      <c r="AY251" s="859" t="str">
        <f t="shared" si="2"/>
        <v/>
      </c>
      <c r="AZ251" s="858" t="str">
        <f>IF($CR251="","",IF($E251="","SP",SUMIF(portfolio.!$A$4:$A308,$CR251,portfolio.!$O$4:$O308)*$CU$5))</f>
        <v/>
      </c>
      <c r="BA251" s="858" t="str">
        <f>IF($CR251="","",IF($E251="","SP",SUMIF(portfolio.!$A$4:$A308,$CR251,portfolio.!$AN$4:$AN308)*$CU$5))</f>
        <v/>
      </c>
      <c r="BB251" s="860" t="str">
        <f>IF($CR251="","",IF($E251="","-",IFERROR($BA251/'portfólio'!$DG$63,"")))</f>
        <v/>
      </c>
      <c r="BC251" s="861" t="str">
        <f>IF($CR251="","",IF($E251="","-",SUMIF(portfolio.!$A$4:$A308,$CR251,portfolio.!$J$4:$J308)))</f>
        <v/>
      </c>
      <c r="BD251" s="862" t="str">
        <f>IF($CR251="","",IF($E251="","SP",SUMIF(portfolio.!$A$4:$A308,$CR251,portfolio.!$AQ$4:$AQ308)*$CU$5))</f>
        <v/>
      </c>
      <c r="BE251" s="850" t="str">
        <f t="shared" si="3"/>
        <v/>
      </c>
      <c r="BF251" s="862" t="str">
        <f>IF($CR251="","",IF($E251="","-",SUMIF(portfolio.!$A$4:$A308,$CR251,portfolio.!$AX$4:$AX308)*$CU$5))</f>
        <v/>
      </c>
      <c r="BG251" s="545"/>
      <c r="BH251" s="879" t="s">
        <v>123</v>
      </c>
      <c r="BI251" s="880" t="s">
        <v>123</v>
      </c>
      <c r="BJ251" s="863" t="str">
        <f>IFERROR(__xludf.DUMMYFUNCTION("IF(NOT($BL$4),"""",IF($CR251="""","""",IFERROR(query({GOOGLEFINANCE($CR251,""price"",IF($BI251=""-"",TODAY()-($AQ$5+5),$BI251),TODAY()-1)},""Select max(Col2) where Col1 is not null label max(Col2) ''"")*CU251,""-"")))"),"")</f>
        <v/>
      </c>
      <c r="BK251" s="881" t="s">
        <v>123</v>
      </c>
      <c r="BL251" s="882" t="s">
        <v>123</v>
      </c>
      <c r="BM251" s="442"/>
      <c r="BN251" s="867" t="str">
        <f>IFERROR(__xludf.DUMMYFUNCTION("IF(CR251="""","""",IF(OR(C251=""AÇÃO"",C251=""BDR""),IFERROR(QUERY({fundamentus.!$A$3:$U308},$CX$67&amp;"" where Col1='""&amp;CR251&amp;""' limit 1"",0)),IF(C251=""FII"",IFERROR(QUERY({fundsexplorer.!$A$2:$Z308},$CY$67&amp;"" where Col1='""&amp;CR251&amp;""' limit 1"",0)),""""))"&amp;")"),"")</f>
        <v/>
      </c>
      <c r="BO251" s="867"/>
      <c r="BP251" s="867"/>
      <c r="BQ251" s="867"/>
      <c r="BR251" s="867"/>
      <c r="BS251" s="867"/>
      <c r="BT251" s="867"/>
      <c r="BU251" s="442"/>
      <c r="BV251" s="868" t="str">
        <f>IFERROR(__xludf.DUMMYFUNCTION("IF(OR(C251=""AÇÃO"",C251=""BDR""),IFERROR(GOOGLEFINANCE(CONCAT(""BVMF:"",CR251), ""marketcap"")/1000000,""NC""),"""")"),"")</f>
        <v/>
      </c>
      <c r="BW251" s="869" t="s">
        <v>123</v>
      </c>
      <c r="BX251" s="870" t="s">
        <v>123</v>
      </c>
      <c r="BY251" s="868" t="s">
        <v>123</v>
      </c>
      <c r="BZ251" s="870" t="s">
        <v>123</v>
      </c>
      <c r="CA251" s="868" t="s">
        <v>123</v>
      </c>
      <c r="CB251" s="868" t="s">
        <v>123</v>
      </c>
      <c r="CC251" s="868" t="s">
        <v>123</v>
      </c>
      <c r="CD251" s="868" t="str">
        <f>IFERROR(__xludf.DUMMYFUNCTION("IF(OR(C251=""AÇÃO"",C251=""BDR""),IFERROR(GOOGLEFINANCE(CONCAT(""BVMF:"",CR251), ""volumeavg"")/1000000,""NC""),"""")"),"")</f>
        <v/>
      </c>
      <c r="CE251" s="870" t="s">
        <v>123</v>
      </c>
      <c r="CF251" s="870" t="s">
        <v>123</v>
      </c>
      <c r="CG251" s="870" t="str">
        <f>IFERROR(__xludf.DUMMYFUNCTION("IF(OR(C251=""AÇÃO"",C251=""BDR""),IF(CF251=0,""SEM DY"",IFERROR(ImportXML(CONCAT(""http://www.guiainvest.com.br/raiox/default.aspx?sigla="",$CR251),""//*[@id='lbPayoutAtual']""),""NC"")),"""")"),"")</f>
        <v/>
      </c>
      <c r="CH251" s="870" t="s">
        <v>123</v>
      </c>
      <c r="CI251" s="545"/>
      <c r="CJ251" s="871" t="str">
        <f>IFERROR(__xludf.DUMMYFUNCTION("IF(OR(C251=""AÇÃO"",C251=""BDR""),IFERROR(GOOGLEFINANCE(CONCAT(""BVMF:"",CR251), ""eps""),""NC""),"""")"),"")</f>
        <v/>
      </c>
      <c r="CK251" s="442"/>
      <c r="CL251" s="871" t="str">
        <f>IFERROR(__xludf.DUMMYFUNCTION("IF(NOT($BL$4),"""",IF($CR251="""","""",IF($BC251="""","""",IFERROR(query({op.normal!$B$5:$F308},""select Col5, toDate(Col2) where Col1 =  '""&amp;$CR251&amp;""' and Col4 &gt; 0 and ((Col3 is null) or (Col3 = 'C')) and Col2 &gt;= date '""&amp;TEXT(TODAY()-$AQ$5,""yyyy-mm-dd"&amp;""")&amp;""' order by Col2 desc limit 1 label toDate(Col2) ''"")))))"),"")</f>
        <v/>
      </c>
      <c r="CM251" s="872"/>
      <c r="CN251" s="883" t="s">
        <v>123</v>
      </c>
      <c r="CO251" s="874" t="s">
        <v>123</v>
      </c>
      <c r="CP251" s="766"/>
      <c r="CQ251" s="791"/>
      <c r="CR251" s="791"/>
      <c r="CT251" s="791" t="s">
        <v>123</v>
      </c>
      <c r="CU251" s="791" t="str">
        <f>IFERROR(__xludf.DUMMYFUNCTION("IF(CR251="""","""",IF(CT251=$C$4,1,GOOGLEFINANCE(CT251&amp;$C$4)))"),"")</f>
        <v/>
      </c>
    </row>
    <row r="252" ht="22.5" customHeight="1">
      <c r="A252" s="837">
        <v>244.0</v>
      </c>
      <c r="B252" s="838" t="s">
        <v>123</v>
      </c>
      <c r="C252" s="838" t="s">
        <v>123</v>
      </c>
      <c r="D252" s="839" t="s">
        <v>123</v>
      </c>
      <c r="E252" s="839" t="s">
        <v>123</v>
      </c>
      <c r="F252" s="839" t="s">
        <v>123</v>
      </c>
      <c r="H252" s="884"/>
      <c r="I252" s="838"/>
      <c r="J252" s="838"/>
      <c r="K252" s="838"/>
      <c r="L252" s="838"/>
      <c r="M252" s="838"/>
      <c r="N252" s="838"/>
      <c r="O252" s="838"/>
      <c r="P252" s="838"/>
      <c r="Q252" s="838"/>
      <c r="R252" s="838"/>
      <c r="S252" s="838"/>
      <c r="T252" s="838"/>
      <c r="U252" s="838"/>
      <c r="V252" s="838"/>
      <c r="W252" s="838"/>
      <c r="X252" s="838"/>
      <c r="Z252" s="875" t="str">
        <f>IFERROR(__xludf.DUMMYFUNCTION("IF($CR252="""","""",IFERROR(query({CarteirasAtivos},""select Col4 where Col4 is not null and Col1 = '""&amp;$CR252&amp;""' limit 1"")*CU252,""NC""))"),"")</f>
        <v/>
      </c>
      <c r="AA252" s="876" t="str">
        <f>IFERROR(__xludf.DUMMYFUNCTION("IF($CR252="""","""",IFERROR(query({CarteirasAtivos},""select Col6 where Col4 is not null and Col1 = '""&amp;$CR252&amp;""' limit 1""),""NC""))"),"")</f>
        <v/>
      </c>
      <c r="AB252" s="877"/>
      <c r="AC252" s="878" t="s">
        <v>123</v>
      </c>
      <c r="AD252" s="845" t="str">
        <f>IF($CR252="","",IFERROR(VLOOKUP($CR252,ativos.!$C$3:$R308,MATCH("cotacao",ativos.!$C$2:CY$2,0),FALSE)*$CU$5,"atualizar"))</f>
        <v/>
      </c>
      <c r="AE252" s="846" t="str">
        <f>IFERROR(__xludf.DUMMYFUNCTION("IF($CR252="""","""",IFERROR(AVERAGE(query({CarteirasAtivos;CarteirasAtivosEncerrados},""select Col5 where Col5 is not null and Col1 = '""&amp;$CR252&amp;""' and Col10='SIM'""))*CU252,""NC""))"),"")</f>
        <v/>
      </c>
      <c r="AF252" s="847" t="str">
        <f t="shared" si="1"/>
        <v/>
      </c>
      <c r="AG252" s="442"/>
      <c r="AH252" s="848" t="str">
        <f>IFERROR(__xludf.DUMMYFUNCTION("IF($CR252="""","""",IFERROR(GOOGLEFINANCE($CR252,""low52"")*CU252,""-""))"),"")</f>
        <v/>
      </c>
      <c r="AI252" s="848" t="str">
        <f>IFERROR(__xludf.DUMMYFUNCTION("IF($CR252="""","""",IFERROR(GOOGLEFINANCE($CR252,""high52"")*CU252,""-""))"),"")</f>
        <v/>
      </c>
      <c r="AJ252" s="849" t="s">
        <v>123</v>
      </c>
      <c r="AK252" s="850" t="str">
        <f>IFERROR(__xludf.DUMMYFUNCTION("IF($CR252="""","""",IFERROR(GOOGLEFINANCE($CR252,""changepct"")/100,""-""))"),"")</f>
        <v/>
      </c>
      <c r="AL252" s="851" t="str">
        <f>IFERROR(__xludf.DUMMYFUNCTION("IF($CR252="""","""",IFERROR(($AD252/(QUERY(GOOGLEFINANCE($CR252,""price"",TODAY()-7),""SELECT Col2 label Col2 ''"")*$CU252)-1),""-""))"),"")</f>
        <v/>
      </c>
      <c r="AM252" s="851" t="str">
        <f>IFERROR(__xludf.DUMMYFUNCTION("IF($CR252="""","""",IFERROR(($AD252/(QUERY(GOOGLEFINANCE($CR252,""price"",TODAY()-14),""SELECT Col2 label Col2 ''"")*$CU252)-1),""-""))"),"")</f>
        <v/>
      </c>
      <c r="AN252" s="851" t="str">
        <f>IFERROR(__xludf.DUMMYFUNCTION("IF($CR252="""","""",IFERROR(($AD252/(QUERY(GOOGLEFINANCE($CR252,""price"",TODAY()-28),""SELECT Col2 label Col2 ''"")*$CU252)-1),""-""))"),"")</f>
        <v/>
      </c>
      <c r="AO252" s="851" t="str">
        <f>IFERROR(__xludf.DUMMYFUNCTION("IF($CR252="""","""",IFERROR(($AD252/(QUERY(GOOGLEFINANCE($CR252,""price"",TODAY()-$AQ$5),""SELECT Col2 label Col2 ''"")*$CU252)-1),""-""))"),"")</f>
        <v/>
      </c>
      <c r="AP252" s="852" t="str">
        <f>IFERROR(__xludf.DUMMYFUNCTION("IF($CR252="""","""",IFERROR(SPARKLINE(query(GOOGLEFINANCE($CR252,""price"",TODAY()-$AQ$5,TODAY(),1),""select Col2 label Col2 ''""),IF($AP$7=""Gráfico de barras"",{""charttype"",""column"";""highcolor"",""red""},{""chartype"",""line""}))))"),"")</f>
        <v/>
      </c>
      <c r="AQ252" s="144"/>
      <c r="AR252" s="853"/>
      <c r="AS252" s="854" t="str">
        <f>IF($CR252="","",IF(NOT('alocação'!$D$1),"off",IFERROR(VLOOKUP(CR252,BalanceAtivos,3,0),"NC")))</f>
        <v/>
      </c>
      <c r="AT252" s="855" t="str">
        <f>IF($CR252="","",IF(NOT('alocação'!$D$1),"off",IFERROR(VLOOKUP($CR252,BalanceAtivos,4,0)*$CU$5,"NC")))</f>
        <v/>
      </c>
      <c r="AU252" s="856" t="str">
        <f>IF($CR252="","",IF(NOT('alocação'!$D$1),"off",IFERROR(VLOOKUP($CR252,BalanceAtivos,5,0),"-")))</f>
        <v/>
      </c>
      <c r="AV252" s="856" t="str">
        <f>IF($CR252="","",IF(NOT('alocação'!$D$1),"off",IFERROR(VLOOKUP($CR252,BalanceAtivos,6,0),"-")))</f>
        <v/>
      </c>
      <c r="AW252" s="857"/>
      <c r="AX252" s="858" t="str">
        <f>IF($CR252="","",IF($E252="","SP",IFERROR(VLOOKUP($CR252,AtivosDados,MATCH("pm_atual",portfolio.!$A$3:CY$3,0),0)*$CU$5,0)))</f>
        <v/>
      </c>
      <c r="AY252" s="859" t="str">
        <f t="shared" si="2"/>
        <v/>
      </c>
      <c r="AZ252" s="858" t="str">
        <f>IF($CR252="","",IF($E252="","SP",SUMIF(portfolio.!$A$4:$A308,$CR252,portfolio.!$O$4:$O308)*$CU$5))</f>
        <v/>
      </c>
      <c r="BA252" s="858" t="str">
        <f>IF($CR252="","",IF($E252="","SP",SUMIF(portfolio.!$A$4:$A308,$CR252,portfolio.!$AN$4:$AN308)*$CU$5))</f>
        <v/>
      </c>
      <c r="BB252" s="860" t="str">
        <f>IF($CR252="","",IF($E252="","-",IFERROR($BA252/'portfólio'!$DG$63,"")))</f>
        <v/>
      </c>
      <c r="BC252" s="861" t="str">
        <f>IF($CR252="","",IF($E252="","-",SUMIF(portfolio.!$A$4:$A308,$CR252,portfolio.!$J$4:$J308)))</f>
        <v/>
      </c>
      <c r="BD252" s="862" t="str">
        <f>IF($CR252="","",IF($E252="","SP",SUMIF(portfolio.!$A$4:$A308,$CR252,portfolio.!$AQ$4:$AQ308)*$CU$5))</f>
        <v/>
      </c>
      <c r="BE252" s="850" t="str">
        <f t="shared" si="3"/>
        <v/>
      </c>
      <c r="BF252" s="862" t="str">
        <f>IF($CR252="","",IF($E252="","-",SUMIF(portfolio.!$A$4:$A308,$CR252,portfolio.!$AX$4:$AX308)*$CU$5))</f>
        <v/>
      </c>
      <c r="BG252" s="545"/>
      <c r="BH252" s="879" t="s">
        <v>123</v>
      </c>
      <c r="BI252" s="880" t="s">
        <v>123</v>
      </c>
      <c r="BJ252" s="863" t="str">
        <f>IFERROR(__xludf.DUMMYFUNCTION("IF(NOT($BL$4),"""",IF($CR252="""","""",IFERROR(query({GOOGLEFINANCE($CR252,""price"",IF($BI252=""-"",TODAY()-($AQ$5+5),$BI252),TODAY()-1)},""Select max(Col2) where Col1 is not null label max(Col2) ''"")*CU252,""-"")))"),"")</f>
        <v/>
      </c>
      <c r="BK252" s="881" t="s">
        <v>123</v>
      </c>
      <c r="BL252" s="882" t="s">
        <v>123</v>
      </c>
      <c r="BM252" s="442"/>
      <c r="BN252" s="867" t="str">
        <f>IFERROR(__xludf.DUMMYFUNCTION("IF(CR252="""","""",IF(OR(C252=""AÇÃO"",C252=""BDR""),IFERROR(QUERY({fundamentus.!$A$3:$U308},$CX$67&amp;"" where Col1='""&amp;CR252&amp;""' limit 1"",0)),IF(C252=""FII"",IFERROR(QUERY({fundsexplorer.!$A$2:$Z308},$CY$67&amp;"" where Col1='""&amp;CR252&amp;""' limit 1"",0)),""""))"&amp;")"),"")</f>
        <v/>
      </c>
      <c r="BO252" s="867"/>
      <c r="BP252" s="867"/>
      <c r="BQ252" s="867"/>
      <c r="BR252" s="867"/>
      <c r="BS252" s="867"/>
      <c r="BT252" s="867"/>
      <c r="BU252" s="442"/>
      <c r="BV252" s="868" t="str">
        <f>IFERROR(__xludf.DUMMYFUNCTION("IF(OR(C252=""AÇÃO"",C252=""BDR""),IFERROR(GOOGLEFINANCE(CONCAT(""BVMF:"",CR252), ""marketcap"")/1000000,""NC""),"""")"),"")</f>
        <v/>
      </c>
      <c r="BW252" s="869" t="s">
        <v>123</v>
      </c>
      <c r="BX252" s="870" t="s">
        <v>123</v>
      </c>
      <c r="BY252" s="868" t="s">
        <v>123</v>
      </c>
      <c r="BZ252" s="870" t="s">
        <v>123</v>
      </c>
      <c r="CA252" s="868" t="s">
        <v>123</v>
      </c>
      <c r="CB252" s="868" t="s">
        <v>123</v>
      </c>
      <c r="CC252" s="868" t="s">
        <v>123</v>
      </c>
      <c r="CD252" s="868" t="str">
        <f>IFERROR(__xludf.DUMMYFUNCTION("IF(OR(C252=""AÇÃO"",C252=""BDR""),IFERROR(GOOGLEFINANCE(CONCAT(""BVMF:"",CR252), ""volumeavg"")/1000000,""NC""),"""")"),"")</f>
        <v/>
      </c>
      <c r="CE252" s="870" t="s">
        <v>123</v>
      </c>
      <c r="CF252" s="870" t="s">
        <v>123</v>
      </c>
      <c r="CG252" s="870" t="str">
        <f>IFERROR(__xludf.DUMMYFUNCTION("IF(OR(C252=""AÇÃO"",C252=""BDR""),IF(CF252=0,""SEM DY"",IFERROR(ImportXML(CONCAT(""http://www.guiainvest.com.br/raiox/default.aspx?sigla="",$CR252),""//*[@id='lbPayoutAtual']""),""NC"")),"""")"),"")</f>
        <v/>
      </c>
      <c r="CH252" s="870" t="s">
        <v>123</v>
      </c>
      <c r="CI252" s="545"/>
      <c r="CJ252" s="871" t="str">
        <f>IFERROR(__xludf.DUMMYFUNCTION("IF(OR(C252=""AÇÃO"",C252=""BDR""),IFERROR(GOOGLEFINANCE(CONCAT(""BVMF:"",CR252), ""eps""),""NC""),"""")"),"")</f>
        <v/>
      </c>
      <c r="CK252" s="442"/>
      <c r="CL252" s="871" t="str">
        <f>IFERROR(__xludf.DUMMYFUNCTION("IF(NOT($BL$4),"""",IF($CR252="""","""",IF($BC252="""","""",IFERROR(query({op.normal!$B$5:$F308},""select Col5, toDate(Col2) where Col1 =  '""&amp;$CR252&amp;""' and Col4 &gt; 0 and ((Col3 is null) or (Col3 = 'C')) and Col2 &gt;= date '""&amp;TEXT(TODAY()-$AQ$5,""yyyy-mm-dd"&amp;""")&amp;""' order by Col2 desc limit 1 label toDate(Col2) ''"")))))"),"")</f>
        <v/>
      </c>
      <c r="CM252" s="872"/>
      <c r="CN252" s="883" t="s">
        <v>123</v>
      </c>
      <c r="CO252" s="874" t="s">
        <v>123</v>
      </c>
      <c r="CP252" s="766"/>
      <c r="CQ252" s="791"/>
      <c r="CR252" s="791"/>
      <c r="CT252" s="791" t="s">
        <v>123</v>
      </c>
      <c r="CU252" s="791" t="str">
        <f>IFERROR(__xludf.DUMMYFUNCTION("IF(CR252="""","""",IF(CT252=$C$4,1,GOOGLEFINANCE(CT252&amp;$C$4)))"),"")</f>
        <v/>
      </c>
    </row>
    <row r="253" ht="22.5" customHeight="1">
      <c r="A253" s="837">
        <v>245.0</v>
      </c>
      <c r="B253" s="838" t="s">
        <v>123</v>
      </c>
      <c r="C253" s="838" t="s">
        <v>123</v>
      </c>
      <c r="D253" s="839" t="s">
        <v>123</v>
      </c>
      <c r="E253" s="839" t="s">
        <v>123</v>
      </c>
      <c r="F253" s="839" t="s">
        <v>123</v>
      </c>
      <c r="H253" s="884"/>
      <c r="I253" s="838"/>
      <c r="J253" s="838"/>
      <c r="K253" s="838"/>
      <c r="L253" s="838"/>
      <c r="M253" s="838"/>
      <c r="N253" s="838"/>
      <c r="O253" s="838"/>
      <c r="P253" s="838"/>
      <c r="Q253" s="838"/>
      <c r="R253" s="838"/>
      <c r="S253" s="838"/>
      <c r="T253" s="838"/>
      <c r="U253" s="838"/>
      <c r="V253" s="838"/>
      <c r="W253" s="838"/>
      <c r="X253" s="838"/>
      <c r="Z253" s="875" t="str">
        <f>IFERROR(__xludf.DUMMYFUNCTION("IF($CR253="""","""",IFERROR(query({CarteirasAtivos},""select Col4 where Col4 is not null and Col1 = '""&amp;$CR253&amp;""' limit 1"")*CU253,""NC""))"),"")</f>
        <v/>
      </c>
      <c r="AA253" s="876" t="str">
        <f>IFERROR(__xludf.DUMMYFUNCTION("IF($CR253="""","""",IFERROR(query({CarteirasAtivos},""select Col6 where Col4 is not null and Col1 = '""&amp;$CR253&amp;""' limit 1""),""NC""))"),"")</f>
        <v/>
      </c>
      <c r="AB253" s="877"/>
      <c r="AC253" s="878" t="s">
        <v>123</v>
      </c>
      <c r="AD253" s="845" t="str">
        <f>IF($CR253="","",IFERROR(VLOOKUP($CR253,ativos.!$C$3:$R308,MATCH("cotacao",ativos.!$C$2:CY$2,0),FALSE)*$CU$5,"atualizar"))</f>
        <v/>
      </c>
      <c r="AE253" s="846" t="str">
        <f>IFERROR(__xludf.DUMMYFUNCTION("IF($CR253="""","""",IFERROR(AVERAGE(query({CarteirasAtivos;CarteirasAtivosEncerrados},""select Col5 where Col5 is not null and Col1 = '""&amp;$CR253&amp;""' and Col10='SIM'""))*CU253,""NC""))"),"")</f>
        <v/>
      </c>
      <c r="AF253" s="847" t="str">
        <f t="shared" si="1"/>
        <v/>
      </c>
      <c r="AG253" s="442"/>
      <c r="AH253" s="848" t="str">
        <f>IFERROR(__xludf.DUMMYFUNCTION("IF($CR253="""","""",IFERROR(GOOGLEFINANCE($CR253,""low52"")*CU253,""-""))"),"")</f>
        <v/>
      </c>
      <c r="AI253" s="848" t="str">
        <f>IFERROR(__xludf.DUMMYFUNCTION("IF($CR253="""","""",IFERROR(GOOGLEFINANCE($CR253,""high52"")*CU253,""-""))"),"")</f>
        <v/>
      </c>
      <c r="AJ253" s="849" t="s">
        <v>123</v>
      </c>
      <c r="AK253" s="850" t="str">
        <f>IFERROR(__xludf.DUMMYFUNCTION("IF($CR253="""","""",IFERROR(GOOGLEFINANCE($CR253,""changepct"")/100,""-""))"),"")</f>
        <v/>
      </c>
      <c r="AL253" s="851" t="str">
        <f>IFERROR(__xludf.DUMMYFUNCTION("IF($CR253="""","""",IFERROR(($AD253/(QUERY(GOOGLEFINANCE($CR253,""price"",TODAY()-7),""SELECT Col2 label Col2 ''"")*$CU253)-1),""-""))"),"")</f>
        <v/>
      </c>
      <c r="AM253" s="851" t="str">
        <f>IFERROR(__xludf.DUMMYFUNCTION("IF($CR253="""","""",IFERROR(($AD253/(QUERY(GOOGLEFINANCE($CR253,""price"",TODAY()-14),""SELECT Col2 label Col2 ''"")*$CU253)-1),""-""))"),"")</f>
        <v/>
      </c>
      <c r="AN253" s="851" t="str">
        <f>IFERROR(__xludf.DUMMYFUNCTION("IF($CR253="""","""",IFERROR(($AD253/(QUERY(GOOGLEFINANCE($CR253,""price"",TODAY()-28),""SELECT Col2 label Col2 ''"")*$CU253)-1),""-""))"),"")</f>
        <v/>
      </c>
      <c r="AO253" s="851" t="str">
        <f>IFERROR(__xludf.DUMMYFUNCTION("IF($CR253="""","""",IFERROR(($AD253/(QUERY(GOOGLEFINANCE($CR253,""price"",TODAY()-$AQ$5),""SELECT Col2 label Col2 ''"")*$CU253)-1),""-""))"),"")</f>
        <v/>
      </c>
      <c r="AP253" s="852" t="str">
        <f>IFERROR(__xludf.DUMMYFUNCTION("IF($CR253="""","""",IFERROR(SPARKLINE(query(GOOGLEFINANCE($CR253,""price"",TODAY()-$AQ$5,TODAY(),1),""select Col2 label Col2 ''""),IF($AP$7=""Gráfico de barras"",{""charttype"",""column"";""highcolor"",""red""},{""chartype"",""line""}))))"),"")</f>
        <v/>
      </c>
      <c r="AQ253" s="144"/>
      <c r="AR253" s="853"/>
      <c r="AS253" s="854" t="str">
        <f>IF($CR253="","",IF(NOT('alocação'!$D$1),"off",IFERROR(VLOOKUP(CR253,BalanceAtivos,3,0),"NC")))</f>
        <v/>
      </c>
      <c r="AT253" s="855" t="str">
        <f>IF($CR253="","",IF(NOT('alocação'!$D$1),"off",IFERROR(VLOOKUP($CR253,BalanceAtivos,4,0)*$CU$5,"NC")))</f>
        <v/>
      </c>
      <c r="AU253" s="856" t="str">
        <f>IF($CR253="","",IF(NOT('alocação'!$D$1),"off",IFERROR(VLOOKUP($CR253,BalanceAtivos,5,0),"-")))</f>
        <v/>
      </c>
      <c r="AV253" s="856" t="str">
        <f>IF($CR253="","",IF(NOT('alocação'!$D$1),"off",IFERROR(VLOOKUP($CR253,BalanceAtivos,6,0),"-")))</f>
        <v/>
      </c>
      <c r="AW253" s="857"/>
      <c r="AX253" s="858" t="str">
        <f>IF($CR253="","",IF($E253="","SP",IFERROR(VLOOKUP($CR253,AtivosDados,MATCH("pm_atual",portfolio.!$A$3:CY$3,0),0)*$CU$5,0)))</f>
        <v/>
      </c>
      <c r="AY253" s="859" t="str">
        <f t="shared" si="2"/>
        <v/>
      </c>
      <c r="AZ253" s="858" t="str">
        <f>IF($CR253="","",IF($E253="","SP",SUMIF(portfolio.!$A$4:$A308,$CR253,portfolio.!$O$4:$O308)*$CU$5))</f>
        <v/>
      </c>
      <c r="BA253" s="858" t="str">
        <f>IF($CR253="","",IF($E253="","SP",SUMIF(portfolio.!$A$4:$A308,$CR253,portfolio.!$AN$4:$AN308)*$CU$5))</f>
        <v/>
      </c>
      <c r="BB253" s="860" t="str">
        <f>IF($CR253="","",IF($E253="","-",IFERROR($BA253/'portfólio'!$DG$63,"")))</f>
        <v/>
      </c>
      <c r="BC253" s="861" t="str">
        <f>IF($CR253="","",IF($E253="","-",SUMIF(portfolio.!$A$4:$A308,$CR253,portfolio.!$J$4:$J308)))</f>
        <v/>
      </c>
      <c r="BD253" s="862" t="str">
        <f>IF($CR253="","",IF($E253="","SP",SUMIF(portfolio.!$A$4:$A308,$CR253,portfolio.!$AQ$4:$AQ308)*$CU$5))</f>
        <v/>
      </c>
      <c r="BE253" s="850" t="str">
        <f t="shared" si="3"/>
        <v/>
      </c>
      <c r="BF253" s="862" t="str">
        <f>IF($CR253="","",IF($E253="","-",SUMIF(portfolio.!$A$4:$A308,$CR253,portfolio.!$AX$4:$AX308)*$CU$5))</f>
        <v/>
      </c>
      <c r="BG253" s="545"/>
      <c r="BH253" s="879" t="s">
        <v>123</v>
      </c>
      <c r="BI253" s="880" t="s">
        <v>123</v>
      </c>
      <c r="BJ253" s="863" t="str">
        <f>IFERROR(__xludf.DUMMYFUNCTION("IF(NOT($BL$4),"""",IF($CR253="""","""",IFERROR(query({GOOGLEFINANCE($CR253,""price"",IF($BI253=""-"",TODAY()-($AQ$5+5),$BI253),TODAY()-1)},""Select max(Col2) where Col1 is not null label max(Col2) ''"")*CU253,""-"")))"),"")</f>
        <v/>
      </c>
      <c r="BK253" s="881" t="s">
        <v>123</v>
      </c>
      <c r="BL253" s="882" t="s">
        <v>123</v>
      </c>
      <c r="BM253" s="442"/>
      <c r="BN253" s="867" t="str">
        <f>IFERROR(__xludf.DUMMYFUNCTION("IF(CR253="""","""",IF(OR(C253=""AÇÃO"",C253=""BDR""),IFERROR(QUERY({fundamentus.!$A$3:$U308},$CX$67&amp;"" where Col1='""&amp;CR253&amp;""' limit 1"",0)),IF(C253=""FII"",IFERROR(QUERY({fundsexplorer.!$A$2:$Z308},$CY$67&amp;"" where Col1='""&amp;CR253&amp;""' limit 1"",0)),""""))"&amp;")"),"")</f>
        <v/>
      </c>
      <c r="BO253" s="867"/>
      <c r="BP253" s="867"/>
      <c r="BQ253" s="867"/>
      <c r="BR253" s="867"/>
      <c r="BS253" s="867"/>
      <c r="BT253" s="867"/>
      <c r="BU253" s="442"/>
      <c r="BV253" s="868" t="str">
        <f>IFERROR(__xludf.DUMMYFUNCTION("IF(OR(C253=""AÇÃO"",C253=""BDR""),IFERROR(GOOGLEFINANCE(CONCAT(""BVMF:"",CR253), ""marketcap"")/1000000,""NC""),"""")"),"")</f>
        <v/>
      </c>
      <c r="BW253" s="869" t="s">
        <v>123</v>
      </c>
      <c r="BX253" s="870" t="s">
        <v>123</v>
      </c>
      <c r="BY253" s="868" t="s">
        <v>123</v>
      </c>
      <c r="BZ253" s="870" t="s">
        <v>123</v>
      </c>
      <c r="CA253" s="868" t="s">
        <v>123</v>
      </c>
      <c r="CB253" s="868" t="s">
        <v>123</v>
      </c>
      <c r="CC253" s="868" t="s">
        <v>123</v>
      </c>
      <c r="CD253" s="868" t="str">
        <f>IFERROR(__xludf.DUMMYFUNCTION("IF(OR(C253=""AÇÃO"",C253=""BDR""),IFERROR(GOOGLEFINANCE(CONCAT(""BVMF:"",CR253), ""volumeavg"")/1000000,""NC""),"""")"),"")</f>
        <v/>
      </c>
      <c r="CE253" s="870" t="s">
        <v>123</v>
      </c>
      <c r="CF253" s="870" t="s">
        <v>123</v>
      </c>
      <c r="CG253" s="870" t="str">
        <f>IFERROR(__xludf.DUMMYFUNCTION("IF(OR(C253=""AÇÃO"",C253=""BDR""),IF(CF253=0,""SEM DY"",IFERROR(ImportXML(CONCAT(""http://www.guiainvest.com.br/raiox/default.aspx?sigla="",$CR253),""//*[@id='lbPayoutAtual']""),""NC"")),"""")"),"")</f>
        <v/>
      </c>
      <c r="CH253" s="870" t="s">
        <v>123</v>
      </c>
      <c r="CI253" s="545"/>
      <c r="CJ253" s="871" t="str">
        <f>IFERROR(__xludf.DUMMYFUNCTION("IF(OR(C253=""AÇÃO"",C253=""BDR""),IFERROR(GOOGLEFINANCE(CONCAT(""BVMF:"",CR253), ""eps""),""NC""),"""")"),"")</f>
        <v/>
      </c>
      <c r="CK253" s="442"/>
      <c r="CL253" s="871" t="str">
        <f>IFERROR(__xludf.DUMMYFUNCTION("IF(NOT($BL$4),"""",IF($CR253="""","""",IF($BC253="""","""",IFERROR(query({op.normal!$B$5:$F308},""select Col5, toDate(Col2) where Col1 =  '""&amp;$CR253&amp;""' and Col4 &gt; 0 and ((Col3 is null) or (Col3 = 'C')) and Col2 &gt;= date '""&amp;TEXT(TODAY()-$AQ$5,""yyyy-mm-dd"&amp;""")&amp;""' order by Col2 desc limit 1 label toDate(Col2) ''"")))))"),"")</f>
        <v/>
      </c>
      <c r="CM253" s="872"/>
      <c r="CN253" s="883" t="s">
        <v>123</v>
      </c>
      <c r="CO253" s="874" t="s">
        <v>123</v>
      </c>
      <c r="CP253" s="766"/>
      <c r="CQ253" s="791"/>
      <c r="CR253" s="791"/>
      <c r="CT253" s="791" t="s">
        <v>123</v>
      </c>
      <c r="CU253" s="791" t="str">
        <f>IFERROR(__xludf.DUMMYFUNCTION("IF(CR253="""","""",IF(CT253=$C$4,1,GOOGLEFINANCE(CT253&amp;$C$4)))"),"")</f>
        <v/>
      </c>
    </row>
    <row r="254" ht="22.5" customHeight="1">
      <c r="A254" s="837">
        <v>246.0</v>
      </c>
      <c r="B254" s="838" t="s">
        <v>123</v>
      </c>
      <c r="C254" s="838" t="s">
        <v>123</v>
      </c>
      <c r="D254" s="839" t="s">
        <v>123</v>
      </c>
      <c r="E254" s="839" t="s">
        <v>123</v>
      </c>
      <c r="F254" s="839" t="s">
        <v>123</v>
      </c>
      <c r="H254" s="884"/>
      <c r="I254" s="838"/>
      <c r="J254" s="838"/>
      <c r="K254" s="838"/>
      <c r="L254" s="838"/>
      <c r="M254" s="838"/>
      <c r="N254" s="838"/>
      <c r="O254" s="838"/>
      <c r="P254" s="838"/>
      <c r="Q254" s="838"/>
      <c r="R254" s="838"/>
      <c r="S254" s="838"/>
      <c r="T254" s="838"/>
      <c r="U254" s="838"/>
      <c r="V254" s="838"/>
      <c r="W254" s="838"/>
      <c r="X254" s="838"/>
      <c r="Z254" s="875" t="str">
        <f>IFERROR(__xludf.DUMMYFUNCTION("IF($CR254="""","""",IFERROR(query({CarteirasAtivos},""select Col4 where Col4 is not null and Col1 = '""&amp;$CR254&amp;""' limit 1"")*CU254,""NC""))"),"")</f>
        <v/>
      </c>
      <c r="AA254" s="876" t="str">
        <f>IFERROR(__xludf.DUMMYFUNCTION("IF($CR254="""","""",IFERROR(query({CarteirasAtivos},""select Col6 where Col4 is not null and Col1 = '""&amp;$CR254&amp;""' limit 1""),""NC""))"),"")</f>
        <v/>
      </c>
      <c r="AB254" s="877"/>
      <c r="AC254" s="878" t="s">
        <v>123</v>
      </c>
      <c r="AD254" s="845" t="str">
        <f>IF($CR254="","",IFERROR(VLOOKUP($CR254,ativos.!$C$3:$R308,MATCH("cotacao",ativos.!$C$2:CY$2,0),FALSE)*$CU$5,"atualizar"))</f>
        <v/>
      </c>
      <c r="AE254" s="846" t="str">
        <f>IFERROR(__xludf.DUMMYFUNCTION("IF($CR254="""","""",IFERROR(AVERAGE(query({CarteirasAtivos;CarteirasAtivosEncerrados},""select Col5 where Col5 is not null and Col1 = '""&amp;$CR254&amp;""' and Col10='SIM'""))*CU254,""NC""))"),"")</f>
        <v/>
      </c>
      <c r="AF254" s="847" t="str">
        <f t="shared" si="1"/>
        <v/>
      </c>
      <c r="AG254" s="442"/>
      <c r="AH254" s="848" t="str">
        <f>IFERROR(__xludf.DUMMYFUNCTION("IF($CR254="""","""",IFERROR(GOOGLEFINANCE($CR254,""low52"")*CU254,""-""))"),"")</f>
        <v/>
      </c>
      <c r="AI254" s="848" t="str">
        <f>IFERROR(__xludf.DUMMYFUNCTION("IF($CR254="""","""",IFERROR(GOOGLEFINANCE($CR254,""high52"")*CU254,""-""))"),"")</f>
        <v/>
      </c>
      <c r="AJ254" s="849" t="s">
        <v>123</v>
      </c>
      <c r="AK254" s="850" t="str">
        <f>IFERROR(__xludf.DUMMYFUNCTION("IF($CR254="""","""",IFERROR(GOOGLEFINANCE($CR254,""changepct"")/100,""-""))"),"")</f>
        <v/>
      </c>
      <c r="AL254" s="851" t="str">
        <f>IFERROR(__xludf.DUMMYFUNCTION("IF($CR254="""","""",IFERROR(($AD254/(QUERY(GOOGLEFINANCE($CR254,""price"",TODAY()-7),""SELECT Col2 label Col2 ''"")*$CU254)-1),""-""))"),"")</f>
        <v/>
      </c>
      <c r="AM254" s="851" t="str">
        <f>IFERROR(__xludf.DUMMYFUNCTION("IF($CR254="""","""",IFERROR(($AD254/(QUERY(GOOGLEFINANCE($CR254,""price"",TODAY()-14),""SELECT Col2 label Col2 ''"")*$CU254)-1),""-""))"),"")</f>
        <v/>
      </c>
      <c r="AN254" s="851" t="str">
        <f>IFERROR(__xludf.DUMMYFUNCTION("IF($CR254="""","""",IFERROR(($AD254/(QUERY(GOOGLEFINANCE($CR254,""price"",TODAY()-28),""SELECT Col2 label Col2 ''"")*$CU254)-1),""-""))"),"")</f>
        <v/>
      </c>
      <c r="AO254" s="851" t="str">
        <f>IFERROR(__xludf.DUMMYFUNCTION("IF($CR254="""","""",IFERROR(($AD254/(QUERY(GOOGLEFINANCE($CR254,""price"",TODAY()-$AQ$5),""SELECT Col2 label Col2 ''"")*$CU254)-1),""-""))"),"")</f>
        <v/>
      </c>
      <c r="AP254" s="852" t="str">
        <f>IFERROR(__xludf.DUMMYFUNCTION("IF($CR254="""","""",IFERROR(SPARKLINE(query(GOOGLEFINANCE($CR254,""price"",TODAY()-$AQ$5,TODAY(),1),""select Col2 label Col2 ''""),IF($AP$7=""Gráfico de barras"",{""charttype"",""column"";""highcolor"",""red""},{""chartype"",""line""}))))"),"")</f>
        <v/>
      </c>
      <c r="AQ254" s="144"/>
      <c r="AR254" s="853"/>
      <c r="AS254" s="854" t="str">
        <f>IF($CR254="","",IF(NOT('alocação'!$D$1),"off",IFERROR(VLOOKUP(CR254,BalanceAtivos,3,0),"NC")))</f>
        <v/>
      </c>
      <c r="AT254" s="855" t="str">
        <f>IF($CR254="","",IF(NOT('alocação'!$D$1),"off",IFERROR(VLOOKUP($CR254,BalanceAtivos,4,0)*$CU$5,"NC")))</f>
        <v/>
      </c>
      <c r="AU254" s="856" t="str">
        <f>IF($CR254="","",IF(NOT('alocação'!$D$1),"off",IFERROR(VLOOKUP($CR254,BalanceAtivos,5,0),"-")))</f>
        <v/>
      </c>
      <c r="AV254" s="856" t="str">
        <f>IF($CR254="","",IF(NOT('alocação'!$D$1),"off",IFERROR(VLOOKUP($CR254,BalanceAtivos,6,0),"-")))</f>
        <v/>
      </c>
      <c r="AW254" s="857"/>
      <c r="AX254" s="858" t="str">
        <f>IF($CR254="","",IF($E254="","SP",IFERROR(VLOOKUP($CR254,AtivosDados,MATCH("pm_atual",portfolio.!$A$3:CY$3,0),0)*$CU$5,0)))</f>
        <v/>
      </c>
      <c r="AY254" s="859" t="str">
        <f t="shared" si="2"/>
        <v/>
      </c>
      <c r="AZ254" s="858" t="str">
        <f>IF($CR254="","",IF($E254="","SP",SUMIF(portfolio.!$A$4:$A308,$CR254,portfolio.!$O$4:$O308)*$CU$5))</f>
        <v/>
      </c>
      <c r="BA254" s="858" t="str">
        <f>IF($CR254="","",IF($E254="","SP",SUMIF(portfolio.!$A$4:$A308,$CR254,portfolio.!$AN$4:$AN308)*$CU$5))</f>
        <v/>
      </c>
      <c r="BB254" s="860" t="str">
        <f>IF($CR254="","",IF($E254="","-",IFERROR($BA254/'portfólio'!$DG$63,"")))</f>
        <v/>
      </c>
      <c r="BC254" s="861" t="str">
        <f>IF($CR254="","",IF($E254="","-",SUMIF(portfolio.!$A$4:$A308,$CR254,portfolio.!$J$4:$J308)))</f>
        <v/>
      </c>
      <c r="BD254" s="862" t="str">
        <f>IF($CR254="","",IF($E254="","SP",SUMIF(portfolio.!$A$4:$A308,$CR254,portfolio.!$AQ$4:$AQ308)*$CU$5))</f>
        <v/>
      </c>
      <c r="BE254" s="850" t="str">
        <f t="shared" si="3"/>
        <v/>
      </c>
      <c r="BF254" s="862" t="str">
        <f>IF($CR254="","",IF($E254="","-",SUMIF(portfolio.!$A$4:$A308,$CR254,portfolio.!$AX$4:$AX308)*$CU$5))</f>
        <v/>
      </c>
      <c r="BG254" s="545"/>
      <c r="BH254" s="879" t="s">
        <v>123</v>
      </c>
      <c r="BI254" s="880" t="s">
        <v>123</v>
      </c>
      <c r="BJ254" s="863" t="str">
        <f>IFERROR(__xludf.DUMMYFUNCTION("IF(NOT($BL$4),"""",IF($CR254="""","""",IFERROR(query({GOOGLEFINANCE($CR254,""price"",IF($BI254=""-"",TODAY()-($AQ$5+5),$BI254),TODAY()-1)},""Select max(Col2) where Col1 is not null label max(Col2) ''"")*CU254,""-"")))"),"")</f>
        <v/>
      </c>
      <c r="BK254" s="881" t="s">
        <v>123</v>
      </c>
      <c r="BL254" s="882" t="s">
        <v>123</v>
      </c>
      <c r="BM254" s="442"/>
      <c r="BN254" s="867" t="str">
        <f>IFERROR(__xludf.DUMMYFUNCTION("IF(CR254="""","""",IF(OR(C254=""AÇÃO"",C254=""BDR""),IFERROR(QUERY({fundamentus.!$A$3:$U308},$CX$67&amp;"" where Col1='""&amp;CR254&amp;""' limit 1"",0)),IF(C254=""FII"",IFERROR(QUERY({fundsexplorer.!$A$2:$Z308},$CY$67&amp;"" where Col1='""&amp;CR254&amp;""' limit 1"",0)),""""))"&amp;")"),"")</f>
        <v/>
      </c>
      <c r="BO254" s="867"/>
      <c r="BP254" s="867"/>
      <c r="BQ254" s="867"/>
      <c r="BR254" s="867"/>
      <c r="BS254" s="867"/>
      <c r="BT254" s="867"/>
      <c r="BU254" s="442"/>
      <c r="BV254" s="868" t="str">
        <f>IFERROR(__xludf.DUMMYFUNCTION("IF(OR(C254=""AÇÃO"",C254=""BDR""),IFERROR(GOOGLEFINANCE(CONCAT(""BVMF:"",CR254), ""marketcap"")/1000000,""NC""),"""")"),"")</f>
        <v/>
      </c>
      <c r="BW254" s="869" t="s">
        <v>123</v>
      </c>
      <c r="BX254" s="870" t="s">
        <v>123</v>
      </c>
      <c r="BY254" s="868" t="s">
        <v>123</v>
      </c>
      <c r="BZ254" s="870" t="s">
        <v>123</v>
      </c>
      <c r="CA254" s="868" t="s">
        <v>123</v>
      </c>
      <c r="CB254" s="868" t="s">
        <v>123</v>
      </c>
      <c r="CC254" s="868" t="s">
        <v>123</v>
      </c>
      <c r="CD254" s="868" t="str">
        <f>IFERROR(__xludf.DUMMYFUNCTION("IF(OR(C254=""AÇÃO"",C254=""BDR""),IFERROR(GOOGLEFINANCE(CONCAT(""BVMF:"",CR254), ""volumeavg"")/1000000,""NC""),"""")"),"")</f>
        <v/>
      </c>
      <c r="CE254" s="870" t="s">
        <v>123</v>
      </c>
      <c r="CF254" s="870" t="s">
        <v>123</v>
      </c>
      <c r="CG254" s="870" t="str">
        <f>IFERROR(__xludf.DUMMYFUNCTION("IF(OR(C254=""AÇÃO"",C254=""BDR""),IF(CF254=0,""SEM DY"",IFERROR(ImportXML(CONCAT(""http://www.guiainvest.com.br/raiox/default.aspx?sigla="",$CR254),""//*[@id='lbPayoutAtual']""),""NC"")),"""")"),"")</f>
        <v/>
      </c>
      <c r="CH254" s="870" t="s">
        <v>123</v>
      </c>
      <c r="CI254" s="545"/>
      <c r="CJ254" s="871" t="str">
        <f>IFERROR(__xludf.DUMMYFUNCTION("IF(OR(C254=""AÇÃO"",C254=""BDR""),IFERROR(GOOGLEFINANCE(CONCAT(""BVMF:"",CR254), ""eps""),""NC""),"""")"),"")</f>
        <v/>
      </c>
      <c r="CK254" s="442"/>
      <c r="CL254" s="871" t="str">
        <f>IFERROR(__xludf.DUMMYFUNCTION("IF(NOT($BL$4),"""",IF($CR254="""","""",IF($BC254="""","""",IFERROR(query({op.normal!$B$5:$F308},""select Col5, toDate(Col2) where Col1 =  '""&amp;$CR254&amp;""' and Col4 &gt; 0 and ((Col3 is null) or (Col3 = 'C')) and Col2 &gt;= date '""&amp;TEXT(TODAY()-$AQ$5,""yyyy-mm-dd"&amp;""")&amp;""' order by Col2 desc limit 1 label toDate(Col2) ''"")))))"),"")</f>
        <v/>
      </c>
      <c r="CM254" s="872"/>
      <c r="CN254" s="883" t="s">
        <v>123</v>
      </c>
      <c r="CO254" s="874" t="s">
        <v>123</v>
      </c>
      <c r="CP254" s="766"/>
      <c r="CQ254" s="791"/>
      <c r="CR254" s="791"/>
      <c r="CT254" s="791" t="s">
        <v>123</v>
      </c>
      <c r="CU254" s="791" t="str">
        <f>IFERROR(__xludf.DUMMYFUNCTION("IF(CR254="""","""",IF(CT254=$C$4,1,GOOGLEFINANCE(CT254&amp;$C$4)))"),"")</f>
        <v/>
      </c>
    </row>
    <row r="255" ht="22.5" customHeight="1">
      <c r="A255" s="837">
        <v>247.0</v>
      </c>
      <c r="B255" s="838" t="s">
        <v>123</v>
      </c>
      <c r="C255" s="838" t="s">
        <v>123</v>
      </c>
      <c r="D255" s="839" t="s">
        <v>123</v>
      </c>
      <c r="E255" s="839" t="s">
        <v>123</v>
      </c>
      <c r="F255" s="839" t="s">
        <v>123</v>
      </c>
      <c r="H255" s="884"/>
      <c r="I255" s="838"/>
      <c r="J255" s="838"/>
      <c r="K255" s="838"/>
      <c r="L255" s="838"/>
      <c r="M255" s="838"/>
      <c r="N255" s="838"/>
      <c r="O255" s="838"/>
      <c r="P255" s="838"/>
      <c r="Q255" s="838"/>
      <c r="R255" s="838"/>
      <c r="S255" s="838"/>
      <c r="T255" s="838"/>
      <c r="U255" s="838"/>
      <c r="V255" s="838"/>
      <c r="W255" s="838"/>
      <c r="X255" s="838"/>
      <c r="Z255" s="875" t="str">
        <f>IFERROR(__xludf.DUMMYFUNCTION("IF($CR255="""","""",IFERROR(query({CarteirasAtivos},""select Col4 where Col4 is not null and Col1 = '""&amp;$CR255&amp;""' limit 1"")*CU255,""NC""))"),"")</f>
        <v/>
      </c>
      <c r="AA255" s="876" t="str">
        <f>IFERROR(__xludf.DUMMYFUNCTION("IF($CR255="""","""",IFERROR(query({CarteirasAtivos},""select Col6 where Col4 is not null and Col1 = '""&amp;$CR255&amp;""' limit 1""),""NC""))"),"")</f>
        <v/>
      </c>
      <c r="AB255" s="877"/>
      <c r="AC255" s="878" t="s">
        <v>123</v>
      </c>
      <c r="AD255" s="845" t="str">
        <f>IF($CR255="","",IFERROR(VLOOKUP($CR255,ativos.!$C$3:$R308,MATCH("cotacao",ativos.!$C$2:CY$2,0),FALSE)*$CU$5,"atualizar"))</f>
        <v/>
      </c>
      <c r="AE255" s="846" t="str">
        <f>IFERROR(__xludf.DUMMYFUNCTION("IF($CR255="""","""",IFERROR(AVERAGE(query({CarteirasAtivos;CarteirasAtivosEncerrados},""select Col5 where Col5 is not null and Col1 = '""&amp;$CR255&amp;""' and Col10='SIM'""))*CU255,""NC""))"),"")</f>
        <v/>
      </c>
      <c r="AF255" s="847" t="str">
        <f t="shared" si="1"/>
        <v/>
      </c>
      <c r="AG255" s="442"/>
      <c r="AH255" s="848" t="str">
        <f>IFERROR(__xludf.DUMMYFUNCTION("IF($CR255="""","""",IFERROR(GOOGLEFINANCE($CR255,""low52"")*CU255,""-""))"),"")</f>
        <v/>
      </c>
      <c r="AI255" s="848" t="str">
        <f>IFERROR(__xludf.DUMMYFUNCTION("IF($CR255="""","""",IFERROR(GOOGLEFINANCE($CR255,""high52"")*CU255,""-""))"),"")</f>
        <v/>
      </c>
      <c r="AJ255" s="849" t="s">
        <v>123</v>
      </c>
      <c r="AK255" s="850" t="str">
        <f>IFERROR(__xludf.DUMMYFUNCTION("IF($CR255="""","""",IFERROR(GOOGLEFINANCE($CR255,""changepct"")/100,""-""))"),"")</f>
        <v/>
      </c>
      <c r="AL255" s="851" t="str">
        <f>IFERROR(__xludf.DUMMYFUNCTION("IF($CR255="""","""",IFERROR(($AD255/(QUERY(GOOGLEFINANCE($CR255,""price"",TODAY()-7),""SELECT Col2 label Col2 ''"")*$CU255)-1),""-""))"),"")</f>
        <v/>
      </c>
      <c r="AM255" s="851" t="str">
        <f>IFERROR(__xludf.DUMMYFUNCTION("IF($CR255="""","""",IFERROR(($AD255/(QUERY(GOOGLEFINANCE($CR255,""price"",TODAY()-14),""SELECT Col2 label Col2 ''"")*$CU255)-1),""-""))"),"")</f>
        <v/>
      </c>
      <c r="AN255" s="851" t="str">
        <f>IFERROR(__xludf.DUMMYFUNCTION("IF($CR255="""","""",IFERROR(($AD255/(QUERY(GOOGLEFINANCE($CR255,""price"",TODAY()-28),""SELECT Col2 label Col2 ''"")*$CU255)-1),""-""))"),"")</f>
        <v/>
      </c>
      <c r="AO255" s="851" t="str">
        <f>IFERROR(__xludf.DUMMYFUNCTION("IF($CR255="""","""",IFERROR(($AD255/(QUERY(GOOGLEFINANCE($CR255,""price"",TODAY()-$AQ$5),""SELECT Col2 label Col2 ''"")*$CU255)-1),""-""))"),"")</f>
        <v/>
      </c>
      <c r="AP255" s="852" t="str">
        <f>IFERROR(__xludf.DUMMYFUNCTION("IF($CR255="""","""",IFERROR(SPARKLINE(query(GOOGLEFINANCE($CR255,""price"",TODAY()-$AQ$5,TODAY(),1),""select Col2 label Col2 ''""),IF($AP$7=""Gráfico de barras"",{""charttype"",""column"";""highcolor"",""red""},{""chartype"",""line""}))))"),"")</f>
        <v/>
      </c>
      <c r="AQ255" s="144"/>
      <c r="AR255" s="853"/>
      <c r="AS255" s="854" t="str">
        <f>IF($CR255="","",IF(NOT('alocação'!$D$1),"off",IFERROR(VLOOKUP(CR255,BalanceAtivos,3,0),"NC")))</f>
        <v/>
      </c>
      <c r="AT255" s="855" t="str">
        <f>IF($CR255="","",IF(NOT('alocação'!$D$1),"off",IFERROR(VLOOKUP($CR255,BalanceAtivos,4,0)*$CU$5,"NC")))</f>
        <v/>
      </c>
      <c r="AU255" s="856" t="str">
        <f>IF($CR255="","",IF(NOT('alocação'!$D$1),"off",IFERROR(VLOOKUP($CR255,BalanceAtivos,5,0),"-")))</f>
        <v/>
      </c>
      <c r="AV255" s="856" t="str">
        <f>IF($CR255="","",IF(NOT('alocação'!$D$1),"off",IFERROR(VLOOKUP($CR255,BalanceAtivos,6,0),"-")))</f>
        <v/>
      </c>
      <c r="AW255" s="857"/>
      <c r="AX255" s="858" t="str">
        <f>IF($CR255="","",IF($E255="","SP",IFERROR(VLOOKUP($CR255,AtivosDados,MATCH("pm_atual",portfolio.!$A$3:CY$3,0),0)*$CU$5,0)))</f>
        <v/>
      </c>
      <c r="AY255" s="859" t="str">
        <f t="shared" si="2"/>
        <v/>
      </c>
      <c r="AZ255" s="858" t="str">
        <f>IF($CR255="","",IF($E255="","SP",SUMIF(portfolio.!$A$4:$A308,$CR255,portfolio.!$O$4:$O308)*$CU$5))</f>
        <v/>
      </c>
      <c r="BA255" s="858" t="str">
        <f>IF($CR255="","",IF($E255="","SP",SUMIF(portfolio.!$A$4:$A308,$CR255,portfolio.!$AN$4:$AN308)*$CU$5))</f>
        <v/>
      </c>
      <c r="BB255" s="860" t="str">
        <f>IF($CR255="","",IF($E255="","-",IFERROR($BA255/'portfólio'!$DG$63,"")))</f>
        <v/>
      </c>
      <c r="BC255" s="861" t="str">
        <f>IF($CR255="","",IF($E255="","-",SUMIF(portfolio.!$A$4:$A308,$CR255,portfolio.!$J$4:$J308)))</f>
        <v/>
      </c>
      <c r="BD255" s="862" t="str">
        <f>IF($CR255="","",IF($E255="","SP",SUMIF(portfolio.!$A$4:$A308,$CR255,portfolio.!$AQ$4:$AQ308)*$CU$5))</f>
        <v/>
      </c>
      <c r="BE255" s="850" t="str">
        <f t="shared" si="3"/>
        <v/>
      </c>
      <c r="BF255" s="862" t="str">
        <f>IF($CR255="","",IF($E255="","-",SUMIF(portfolio.!$A$4:$A308,$CR255,portfolio.!$AX$4:$AX308)*$CU$5))</f>
        <v/>
      </c>
      <c r="BG255" s="545"/>
      <c r="BH255" s="879" t="s">
        <v>123</v>
      </c>
      <c r="BI255" s="880" t="s">
        <v>123</v>
      </c>
      <c r="BJ255" s="863" t="str">
        <f>IFERROR(__xludf.DUMMYFUNCTION("IF(NOT($BL$4),"""",IF($CR255="""","""",IFERROR(query({GOOGLEFINANCE($CR255,""price"",IF($BI255=""-"",TODAY()-($AQ$5+5),$BI255),TODAY()-1)},""Select max(Col2) where Col1 is not null label max(Col2) ''"")*CU255,""-"")))"),"")</f>
        <v/>
      </c>
      <c r="BK255" s="881" t="s">
        <v>123</v>
      </c>
      <c r="BL255" s="882" t="s">
        <v>123</v>
      </c>
      <c r="BM255" s="442"/>
      <c r="BN255" s="867" t="str">
        <f>IFERROR(__xludf.DUMMYFUNCTION("IF(CR255="""","""",IF(OR(C255=""AÇÃO"",C255=""BDR""),IFERROR(QUERY({fundamentus.!$A$3:$U308},$CX$67&amp;"" where Col1='""&amp;CR255&amp;""' limit 1"",0)),IF(C255=""FII"",IFERROR(QUERY({fundsexplorer.!$A$2:$Z308},$CY$67&amp;"" where Col1='""&amp;CR255&amp;""' limit 1"",0)),""""))"&amp;")"),"")</f>
        <v/>
      </c>
      <c r="BO255" s="867"/>
      <c r="BP255" s="867"/>
      <c r="BQ255" s="867"/>
      <c r="BR255" s="867"/>
      <c r="BS255" s="867"/>
      <c r="BT255" s="867"/>
      <c r="BU255" s="442"/>
      <c r="BV255" s="868" t="str">
        <f>IFERROR(__xludf.DUMMYFUNCTION("IF(OR(C255=""AÇÃO"",C255=""BDR""),IFERROR(GOOGLEFINANCE(CONCAT(""BVMF:"",CR255), ""marketcap"")/1000000,""NC""),"""")"),"")</f>
        <v/>
      </c>
      <c r="BW255" s="869" t="s">
        <v>123</v>
      </c>
      <c r="BX255" s="870" t="s">
        <v>123</v>
      </c>
      <c r="BY255" s="868" t="s">
        <v>123</v>
      </c>
      <c r="BZ255" s="870" t="s">
        <v>123</v>
      </c>
      <c r="CA255" s="868" t="s">
        <v>123</v>
      </c>
      <c r="CB255" s="868" t="s">
        <v>123</v>
      </c>
      <c r="CC255" s="868" t="s">
        <v>123</v>
      </c>
      <c r="CD255" s="868" t="str">
        <f>IFERROR(__xludf.DUMMYFUNCTION("IF(OR(C255=""AÇÃO"",C255=""BDR""),IFERROR(GOOGLEFINANCE(CONCAT(""BVMF:"",CR255), ""volumeavg"")/1000000,""NC""),"""")"),"")</f>
        <v/>
      </c>
      <c r="CE255" s="870" t="s">
        <v>123</v>
      </c>
      <c r="CF255" s="870" t="s">
        <v>123</v>
      </c>
      <c r="CG255" s="870" t="str">
        <f>IFERROR(__xludf.DUMMYFUNCTION("IF(OR(C255=""AÇÃO"",C255=""BDR""),IF(CF255=0,""SEM DY"",IFERROR(ImportXML(CONCAT(""http://www.guiainvest.com.br/raiox/default.aspx?sigla="",$CR255),""//*[@id='lbPayoutAtual']""),""NC"")),"""")"),"")</f>
        <v/>
      </c>
      <c r="CH255" s="870" t="s">
        <v>123</v>
      </c>
      <c r="CI255" s="545"/>
      <c r="CJ255" s="871" t="str">
        <f>IFERROR(__xludf.DUMMYFUNCTION("IF(OR(C255=""AÇÃO"",C255=""BDR""),IFERROR(GOOGLEFINANCE(CONCAT(""BVMF:"",CR255), ""eps""),""NC""),"""")"),"")</f>
        <v/>
      </c>
      <c r="CK255" s="442"/>
      <c r="CL255" s="871" t="str">
        <f>IFERROR(__xludf.DUMMYFUNCTION("IF(NOT($BL$4),"""",IF($CR255="""","""",IF($BC255="""","""",IFERROR(query({op.normal!$B$5:$F308},""select Col5, toDate(Col2) where Col1 =  '""&amp;$CR255&amp;""' and Col4 &gt; 0 and ((Col3 is null) or (Col3 = 'C')) and Col2 &gt;= date '""&amp;TEXT(TODAY()-$AQ$5,""yyyy-mm-dd"&amp;""")&amp;""' order by Col2 desc limit 1 label toDate(Col2) ''"")))))"),"")</f>
        <v/>
      </c>
      <c r="CM255" s="872"/>
      <c r="CN255" s="883" t="s">
        <v>123</v>
      </c>
      <c r="CO255" s="874" t="s">
        <v>123</v>
      </c>
      <c r="CP255" s="766"/>
      <c r="CQ255" s="791"/>
      <c r="CR255" s="791"/>
      <c r="CT255" s="791" t="s">
        <v>123</v>
      </c>
      <c r="CU255" s="791" t="str">
        <f>IFERROR(__xludf.DUMMYFUNCTION("IF(CR255="""","""",IF(CT255=$C$4,1,GOOGLEFINANCE(CT255&amp;$C$4)))"),"")</f>
        <v/>
      </c>
    </row>
    <row r="256" ht="22.5" customHeight="1">
      <c r="A256" s="837">
        <v>248.0</v>
      </c>
      <c r="B256" s="838" t="s">
        <v>123</v>
      </c>
      <c r="C256" s="838" t="s">
        <v>123</v>
      </c>
      <c r="D256" s="839" t="s">
        <v>123</v>
      </c>
      <c r="E256" s="839" t="s">
        <v>123</v>
      </c>
      <c r="F256" s="839" t="s">
        <v>123</v>
      </c>
      <c r="H256" s="884"/>
      <c r="I256" s="838"/>
      <c r="J256" s="838"/>
      <c r="K256" s="838"/>
      <c r="L256" s="838"/>
      <c r="M256" s="838"/>
      <c r="N256" s="838"/>
      <c r="O256" s="838"/>
      <c r="P256" s="838"/>
      <c r="Q256" s="838"/>
      <c r="R256" s="838"/>
      <c r="S256" s="838"/>
      <c r="T256" s="838"/>
      <c r="U256" s="838"/>
      <c r="V256" s="838"/>
      <c r="W256" s="838"/>
      <c r="X256" s="838"/>
      <c r="Z256" s="875" t="str">
        <f>IFERROR(__xludf.DUMMYFUNCTION("IF($CR256="""","""",IFERROR(query({CarteirasAtivos},""select Col4 where Col4 is not null and Col1 = '""&amp;$CR256&amp;""' limit 1"")*CU256,""NC""))"),"")</f>
        <v/>
      </c>
      <c r="AA256" s="876" t="str">
        <f>IFERROR(__xludf.DUMMYFUNCTION("IF($CR256="""","""",IFERROR(query({CarteirasAtivos},""select Col6 where Col4 is not null and Col1 = '""&amp;$CR256&amp;""' limit 1""),""NC""))"),"")</f>
        <v/>
      </c>
      <c r="AB256" s="877"/>
      <c r="AC256" s="878" t="s">
        <v>123</v>
      </c>
      <c r="AD256" s="845" t="str">
        <f>IF($CR256="","",IFERROR(VLOOKUP($CR256,ativos.!$C$3:$R308,MATCH("cotacao",ativos.!$C$2:CY$2,0),FALSE)*$CU$5,"atualizar"))</f>
        <v/>
      </c>
      <c r="AE256" s="846" t="str">
        <f>IFERROR(__xludf.DUMMYFUNCTION("IF($CR256="""","""",IFERROR(AVERAGE(query({CarteirasAtivos;CarteirasAtivosEncerrados},""select Col5 where Col5 is not null and Col1 = '""&amp;$CR256&amp;""' and Col10='SIM'""))*CU256,""NC""))"),"")</f>
        <v/>
      </c>
      <c r="AF256" s="847" t="str">
        <f t="shared" si="1"/>
        <v/>
      </c>
      <c r="AG256" s="442"/>
      <c r="AH256" s="848" t="str">
        <f>IFERROR(__xludf.DUMMYFUNCTION("IF($CR256="""","""",IFERROR(GOOGLEFINANCE($CR256,""low52"")*CU256,""-""))"),"")</f>
        <v/>
      </c>
      <c r="AI256" s="848" t="str">
        <f>IFERROR(__xludf.DUMMYFUNCTION("IF($CR256="""","""",IFERROR(GOOGLEFINANCE($CR256,""high52"")*CU256,""-""))"),"")</f>
        <v/>
      </c>
      <c r="AJ256" s="849" t="s">
        <v>123</v>
      </c>
      <c r="AK256" s="850" t="str">
        <f>IFERROR(__xludf.DUMMYFUNCTION("IF($CR256="""","""",IFERROR(GOOGLEFINANCE($CR256,""changepct"")/100,""-""))"),"")</f>
        <v/>
      </c>
      <c r="AL256" s="851" t="str">
        <f>IFERROR(__xludf.DUMMYFUNCTION("IF($CR256="""","""",IFERROR(($AD256/(QUERY(GOOGLEFINANCE($CR256,""price"",TODAY()-7),""SELECT Col2 label Col2 ''"")*$CU256)-1),""-""))"),"")</f>
        <v/>
      </c>
      <c r="AM256" s="851" t="str">
        <f>IFERROR(__xludf.DUMMYFUNCTION("IF($CR256="""","""",IFERROR(($AD256/(QUERY(GOOGLEFINANCE($CR256,""price"",TODAY()-14),""SELECT Col2 label Col2 ''"")*$CU256)-1),""-""))"),"")</f>
        <v/>
      </c>
      <c r="AN256" s="851" t="str">
        <f>IFERROR(__xludf.DUMMYFUNCTION("IF($CR256="""","""",IFERROR(($AD256/(QUERY(GOOGLEFINANCE($CR256,""price"",TODAY()-28),""SELECT Col2 label Col2 ''"")*$CU256)-1),""-""))"),"")</f>
        <v/>
      </c>
      <c r="AO256" s="851" t="str">
        <f>IFERROR(__xludf.DUMMYFUNCTION("IF($CR256="""","""",IFERROR(($AD256/(QUERY(GOOGLEFINANCE($CR256,""price"",TODAY()-$AQ$5),""SELECT Col2 label Col2 ''"")*$CU256)-1),""-""))"),"")</f>
        <v/>
      </c>
      <c r="AP256" s="852" t="str">
        <f>IFERROR(__xludf.DUMMYFUNCTION("IF($CR256="""","""",IFERROR(SPARKLINE(query(GOOGLEFINANCE($CR256,""price"",TODAY()-$AQ$5,TODAY(),1),""select Col2 label Col2 ''""),IF($AP$7=""Gráfico de barras"",{""charttype"",""column"";""highcolor"",""red""},{""chartype"",""line""}))))"),"")</f>
        <v/>
      </c>
      <c r="AQ256" s="144"/>
      <c r="AR256" s="853"/>
      <c r="AS256" s="854" t="str">
        <f>IF($CR256="","",IF(NOT('alocação'!$D$1),"off",IFERROR(VLOOKUP(CR256,BalanceAtivos,3,0),"NC")))</f>
        <v/>
      </c>
      <c r="AT256" s="855" t="str">
        <f>IF($CR256="","",IF(NOT('alocação'!$D$1),"off",IFERROR(VLOOKUP($CR256,BalanceAtivos,4,0)*$CU$5,"NC")))</f>
        <v/>
      </c>
      <c r="AU256" s="856" t="str">
        <f>IF($CR256="","",IF(NOT('alocação'!$D$1),"off",IFERROR(VLOOKUP($CR256,BalanceAtivos,5,0),"-")))</f>
        <v/>
      </c>
      <c r="AV256" s="856" t="str">
        <f>IF($CR256="","",IF(NOT('alocação'!$D$1),"off",IFERROR(VLOOKUP($CR256,BalanceAtivos,6,0),"-")))</f>
        <v/>
      </c>
      <c r="AW256" s="857"/>
      <c r="AX256" s="858" t="str">
        <f>IF($CR256="","",IF($E256="","SP",IFERROR(VLOOKUP($CR256,AtivosDados,MATCH("pm_atual",portfolio.!$A$3:CY$3,0),0)*$CU$5,0)))</f>
        <v/>
      </c>
      <c r="AY256" s="859" t="str">
        <f t="shared" si="2"/>
        <v/>
      </c>
      <c r="AZ256" s="858" t="str">
        <f>IF($CR256="","",IF($E256="","SP",SUMIF(portfolio.!$A$4:$A308,$CR256,portfolio.!$O$4:$O308)*$CU$5))</f>
        <v/>
      </c>
      <c r="BA256" s="858" t="str">
        <f>IF($CR256="","",IF($E256="","SP",SUMIF(portfolio.!$A$4:$A308,$CR256,portfolio.!$AN$4:$AN308)*$CU$5))</f>
        <v/>
      </c>
      <c r="BB256" s="860" t="str">
        <f>IF($CR256="","",IF($E256="","-",IFERROR($BA256/'portfólio'!$DG$63,"")))</f>
        <v/>
      </c>
      <c r="BC256" s="861" t="str">
        <f>IF($CR256="","",IF($E256="","-",SUMIF(portfolio.!$A$4:$A308,$CR256,portfolio.!$J$4:$J308)))</f>
        <v/>
      </c>
      <c r="BD256" s="862" t="str">
        <f>IF($CR256="","",IF($E256="","SP",SUMIF(portfolio.!$A$4:$A308,$CR256,portfolio.!$AQ$4:$AQ308)*$CU$5))</f>
        <v/>
      </c>
      <c r="BE256" s="850" t="str">
        <f t="shared" si="3"/>
        <v/>
      </c>
      <c r="BF256" s="862" t="str">
        <f>IF($CR256="","",IF($E256="","-",SUMIF(portfolio.!$A$4:$A308,$CR256,portfolio.!$AX$4:$AX308)*$CU$5))</f>
        <v/>
      </c>
      <c r="BG256" s="545"/>
      <c r="BH256" s="879" t="s">
        <v>123</v>
      </c>
      <c r="BI256" s="880" t="s">
        <v>123</v>
      </c>
      <c r="BJ256" s="863" t="str">
        <f>IFERROR(__xludf.DUMMYFUNCTION("IF(NOT($BL$4),"""",IF($CR256="""","""",IFERROR(query({GOOGLEFINANCE($CR256,""price"",IF($BI256=""-"",TODAY()-($AQ$5+5),$BI256),TODAY()-1)},""Select max(Col2) where Col1 is not null label max(Col2) ''"")*CU256,""-"")))"),"")</f>
        <v/>
      </c>
      <c r="BK256" s="881" t="s">
        <v>123</v>
      </c>
      <c r="BL256" s="882" t="s">
        <v>123</v>
      </c>
      <c r="BM256" s="442"/>
      <c r="BN256" s="867" t="str">
        <f>IFERROR(__xludf.DUMMYFUNCTION("IF(CR256="""","""",IF(OR(C256=""AÇÃO"",C256=""BDR""),IFERROR(QUERY({fundamentus.!$A$3:$U308},$CX$67&amp;"" where Col1='""&amp;CR256&amp;""' limit 1"",0)),IF(C256=""FII"",IFERROR(QUERY({fundsexplorer.!$A$2:$Z308},$CY$67&amp;"" where Col1='""&amp;CR256&amp;""' limit 1"",0)),""""))"&amp;")"),"")</f>
        <v/>
      </c>
      <c r="BO256" s="867"/>
      <c r="BP256" s="867"/>
      <c r="BQ256" s="867"/>
      <c r="BR256" s="867"/>
      <c r="BS256" s="867"/>
      <c r="BT256" s="867"/>
      <c r="BU256" s="442"/>
      <c r="BV256" s="868" t="str">
        <f>IFERROR(__xludf.DUMMYFUNCTION("IF(OR(C256=""AÇÃO"",C256=""BDR""),IFERROR(GOOGLEFINANCE(CONCAT(""BVMF:"",CR256), ""marketcap"")/1000000,""NC""),"""")"),"")</f>
        <v/>
      </c>
      <c r="BW256" s="869" t="s">
        <v>123</v>
      </c>
      <c r="BX256" s="870" t="s">
        <v>123</v>
      </c>
      <c r="BY256" s="868" t="s">
        <v>123</v>
      </c>
      <c r="BZ256" s="870" t="s">
        <v>123</v>
      </c>
      <c r="CA256" s="868" t="s">
        <v>123</v>
      </c>
      <c r="CB256" s="868" t="s">
        <v>123</v>
      </c>
      <c r="CC256" s="868" t="s">
        <v>123</v>
      </c>
      <c r="CD256" s="868" t="str">
        <f>IFERROR(__xludf.DUMMYFUNCTION("IF(OR(C256=""AÇÃO"",C256=""BDR""),IFERROR(GOOGLEFINANCE(CONCAT(""BVMF:"",CR256), ""volumeavg"")/1000000,""NC""),"""")"),"")</f>
        <v/>
      </c>
      <c r="CE256" s="870" t="s">
        <v>123</v>
      </c>
      <c r="CF256" s="870" t="s">
        <v>123</v>
      </c>
      <c r="CG256" s="870" t="str">
        <f>IFERROR(__xludf.DUMMYFUNCTION("IF(OR(C256=""AÇÃO"",C256=""BDR""),IF(CF256=0,""SEM DY"",IFERROR(ImportXML(CONCAT(""http://www.guiainvest.com.br/raiox/default.aspx?sigla="",$CR256),""//*[@id='lbPayoutAtual']""),""NC"")),"""")"),"")</f>
        <v/>
      </c>
      <c r="CH256" s="870" t="s">
        <v>123</v>
      </c>
      <c r="CI256" s="545"/>
      <c r="CJ256" s="871" t="str">
        <f>IFERROR(__xludf.DUMMYFUNCTION("IF(OR(C256=""AÇÃO"",C256=""BDR""),IFERROR(GOOGLEFINANCE(CONCAT(""BVMF:"",CR256), ""eps""),""NC""),"""")"),"")</f>
        <v/>
      </c>
      <c r="CK256" s="442"/>
      <c r="CL256" s="871" t="str">
        <f>IFERROR(__xludf.DUMMYFUNCTION("IF(NOT($BL$4),"""",IF($CR256="""","""",IF($BC256="""","""",IFERROR(query({op.normal!$B$5:$F308},""select Col5, toDate(Col2) where Col1 =  '""&amp;$CR256&amp;""' and Col4 &gt; 0 and ((Col3 is null) or (Col3 = 'C')) and Col2 &gt;= date '""&amp;TEXT(TODAY()-$AQ$5,""yyyy-mm-dd"&amp;""")&amp;""' order by Col2 desc limit 1 label toDate(Col2) ''"")))))"),"")</f>
        <v/>
      </c>
      <c r="CM256" s="872"/>
      <c r="CN256" s="883" t="s">
        <v>123</v>
      </c>
      <c r="CO256" s="874" t="s">
        <v>123</v>
      </c>
      <c r="CP256" s="766"/>
      <c r="CQ256" s="791"/>
      <c r="CR256" s="791"/>
      <c r="CT256" s="791" t="s">
        <v>123</v>
      </c>
      <c r="CU256" s="791" t="str">
        <f>IFERROR(__xludf.DUMMYFUNCTION("IF(CR256="""","""",IF(CT256=$C$4,1,GOOGLEFINANCE(CT256&amp;$C$4)))"),"")</f>
        <v/>
      </c>
    </row>
    <row r="257" ht="22.5" customHeight="1">
      <c r="A257" s="837">
        <v>249.0</v>
      </c>
      <c r="B257" s="838" t="s">
        <v>123</v>
      </c>
      <c r="C257" s="838" t="s">
        <v>123</v>
      </c>
      <c r="D257" s="839" t="s">
        <v>123</v>
      </c>
      <c r="E257" s="839" t="s">
        <v>123</v>
      </c>
      <c r="F257" s="839" t="s">
        <v>123</v>
      </c>
      <c r="H257" s="884"/>
      <c r="I257" s="838"/>
      <c r="J257" s="838"/>
      <c r="K257" s="838"/>
      <c r="L257" s="838"/>
      <c r="M257" s="838"/>
      <c r="N257" s="838"/>
      <c r="O257" s="838"/>
      <c r="P257" s="838"/>
      <c r="Q257" s="838"/>
      <c r="R257" s="838"/>
      <c r="S257" s="838"/>
      <c r="T257" s="838"/>
      <c r="U257" s="838"/>
      <c r="V257" s="838"/>
      <c r="W257" s="838"/>
      <c r="X257" s="838"/>
      <c r="Z257" s="875" t="str">
        <f>IFERROR(__xludf.DUMMYFUNCTION("IF($CR257="""","""",IFERROR(query({CarteirasAtivos},""select Col4 where Col4 is not null and Col1 = '""&amp;$CR257&amp;""' limit 1"")*CU257,""NC""))"),"")</f>
        <v/>
      </c>
      <c r="AA257" s="876" t="str">
        <f>IFERROR(__xludf.DUMMYFUNCTION("IF($CR257="""","""",IFERROR(query({CarteirasAtivos},""select Col6 where Col4 is not null and Col1 = '""&amp;$CR257&amp;""' limit 1""),""NC""))"),"")</f>
        <v/>
      </c>
      <c r="AB257" s="877"/>
      <c r="AC257" s="878" t="s">
        <v>123</v>
      </c>
      <c r="AD257" s="845" t="str">
        <f>IF($CR257="","",IFERROR(VLOOKUP($CR257,ativos.!$C$3:$R308,MATCH("cotacao",ativos.!$C$2:CY$2,0),FALSE)*$CU$5,"atualizar"))</f>
        <v/>
      </c>
      <c r="AE257" s="846" t="str">
        <f>IFERROR(__xludf.DUMMYFUNCTION("IF($CR257="""","""",IFERROR(AVERAGE(query({CarteirasAtivos;CarteirasAtivosEncerrados},""select Col5 where Col5 is not null and Col1 = '""&amp;$CR257&amp;""' and Col10='SIM'""))*CU257,""NC""))"),"")</f>
        <v/>
      </c>
      <c r="AF257" s="847" t="str">
        <f t="shared" si="1"/>
        <v/>
      </c>
      <c r="AG257" s="442"/>
      <c r="AH257" s="848" t="str">
        <f>IFERROR(__xludf.DUMMYFUNCTION("IF($CR257="""","""",IFERROR(GOOGLEFINANCE($CR257,""low52"")*CU257,""-""))"),"")</f>
        <v/>
      </c>
      <c r="AI257" s="848" t="str">
        <f>IFERROR(__xludf.DUMMYFUNCTION("IF($CR257="""","""",IFERROR(GOOGLEFINANCE($CR257,""high52"")*CU257,""-""))"),"")</f>
        <v/>
      </c>
      <c r="AJ257" s="849" t="s">
        <v>123</v>
      </c>
      <c r="AK257" s="850" t="str">
        <f>IFERROR(__xludf.DUMMYFUNCTION("IF($CR257="""","""",IFERROR(GOOGLEFINANCE($CR257,""changepct"")/100,""-""))"),"")</f>
        <v/>
      </c>
      <c r="AL257" s="851" t="str">
        <f>IFERROR(__xludf.DUMMYFUNCTION("IF($CR257="""","""",IFERROR(($AD257/(QUERY(GOOGLEFINANCE($CR257,""price"",TODAY()-7),""SELECT Col2 label Col2 ''"")*$CU257)-1),""-""))"),"")</f>
        <v/>
      </c>
      <c r="AM257" s="851" t="str">
        <f>IFERROR(__xludf.DUMMYFUNCTION("IF($CR257="""","""",IFERROR(($AD257/(QUERY(GOOGLEFINANCE($CR257,""price"",TODAY()-14),""SELECT Col2 label Col2 ''"")*$CU257)-1),""-""))"),"")</f>
        <v/>
      </c>
      <c r="AN257" s="851" t="str">
        <f>IFERROR(__xludf.DUMMYFUNCTION("IF($CR257="""","""",IFERROR(($AD257/(QUERY(GOOGLEFINANCE($CR257,""price"",TODAY()-28),""SELECT Col2 label Col2 ''"")*$CU257)-1),""-""))"),"")</f>
        <v/>
      </c>
      <c r="AO257" s="851" t="str">
        <f>IFERROR(__xludf.DUMMYFUNCTION("IF($CR257="""","""",IFERROR(($AD257/(QUERY(GOOGLEFINANCE($CR257,""price"",TODAY()-$AQ$5),""SELECT Col2 label Col2 ''"")*$CU257)-1),""-""))"),"")</f>
        <v/>
      </c>
      <c r="AP257" s="852" t="str">
        <f>IFERROR(__xludf.DUMMYFUNCTION("IF($CR257="""","""",IFERROR(SPARKLINE(query(GOOGLEFINANCE($CR257,""price"",TODAY()-$AQ$5,TODAY(),1),""select Col2 label Col2 ''""),IF($AP$7=""Gráfico de barras"",{""charttype"",""column"";""highcolor"",""red""},{""chartype"",""line""}))))"),"")</f>
        <v/>
      </c>
      <c r="AQ257" s="144"/>
      <c r="AR257" s="853"/>
      <c r="AS257" s="854" t="str">
        <f>IF($CR257="","",IF(NOT('alocação'!$D$1),"off",IFERROR(VLOOKUP(CR257,BalanceAtivos,3,0),"NC")))</f>
        <v/>
      </c>
      <c r="AT257" s="855" t="str">
        <f>IF($CR257="","",IF(NOT('alocação'!$D$1),"off",IFERROR(VLOOKUP($CR257,BalanceAtivos,4,0)*$CU$5,"NC")))</f>
        <v/>
      </c>
      <c r="AU257" s="856" t="str">
        <f>IF($CR257="","",IF(NOT('alocação'!$D$1),"off",IFERROR(VLOOKUP($CR257,BalanceAtivos,5,0),"-")))</f>
        <v/>
      </c>
      <c r="AV257" s="856" t="str">
        <f>IF($CR257="","",IF(NOT('alocação'!$D$1),"off",IFERROR(VLOOKUP($CR257,BalanceAtivos,6,0),"-")))</f>
        <v/>
      </c>
      <c r="AW257" s="857"/>
      <c r="AX257" s="858" t="str">
        <f>IF($CR257="","",IF($E257="","SP",IFERROR(VLOOKUP($CR257,AtivosDados,MATCH("pm_atual",portfolio.!$A$3:CY$3,0),0)*$CU$5,0)))</f>
        <v/>
      </c>
      <c r="AY257" s="859" t="str">
        <f t="shared" si="2"/>
        <v/>
      </c>
      <c r="AZ257" s="858" t="str">
        <f>IF($CR257="","",IF($E257="","SP",SUMIF(portfolio.!$A$4:$A308,$CR257,portfolio.!$O$4:$O308)*$CU$5))</f>
        <v/>
      </c>
      <c r="BA257" s="858" t="str">
        <f>IF($CR257="","",IF($E257="","SP",SUMIF(portfolio.!$A$4:$A308,$CR257,portfolio.!$AN$4:$AN308)*$CU$5))</f>
        <v/>
      </c>
      <c r="BB257" s="860" t="str">
        <f>IF($CR257="","",IF($E257="","-",IFERROR($BA257/'portfólio'!$DG$63,"")))</f>
        <v/>
      </c>
      <c r="BC257" s="861" t="str">
        <f>IF($CR257="","",IF($E257="","-",SUMIF(portfolio.!$A$4:$A308,$CR257,portfolio.!$J$4:$J308)))</f>
        <v/>
      </c>
      <c r="BD257" s="862" t="str">
        <f>IF($CR257="","",IF($E257="","SP",SUMIF(portfolio.!$A$4:$A308,$CR257,portfolio.!$AQ$4:$AQ308)*$CU$5))</f>
        <v/>
      </c>
      <c r="BE257" s="850" t="str">
        <f t="shared" si="3"/>
        <v/>
      </c>
      <c r="BF257" s="862" t="str">
        <f>IF($CR257="","",IF($E257="","-",SUMIF(portfolio.!$A$4:$A308,$CR257,portfolio.!$AX$4:$AX308)*$CU$5))</f>
        <v/>
      </c>
      <c r="BG257" s="545"/>
      <c r="BH257" s="879" t="s">
        <v>123</v>
      </c>
      <c r="BI257" s="880" t="s">
        <v>123</v>
      </c>
      <c r="BJ257" s="863" t="str">
        <f>IFERROR(__xludf.DUMMYFUNCTION("IF(NOT($BL$4),"""",IF($CR257="""","""",IFERROR(query({GOOGLEFINANCE($CR257,""price"",IF($BI257=""-"",TODAY()-($AQ$5+5),$BI257),TODAY()-1)},""Select max(Col2) where Col1 is not null label max(Col2) ''"")*CU257,""-"")))"),"")</f>
        <v/>
      </c>
      <c r="BK257" s="881" t="s">
        <v>123</v>
      </c>
      <c r="BL257" s="882" t="s">
        <v>123</v>
      </c>
      <c r="BM257" s="442"/>
      <c r="BN257" s="867" t="str">
        <f>IFERROR(__xludf.DUMMYFUNCTION("IF(CR257="""","""",IF(OR(C257=""AÇÃO"",C257=""BDR""),IFERROR(QUERY({fundamentus.!$A$3:$U308},$CX$67&amp;"" where Col1='""&amp;CR257&amp;""' limit 1"",0)),IF(C257=""FII"",IFERROR(QUERY({fundsexplorer.!$A$2:$Z308},$CY$67&amp;"" where Col1='""&amp;CR257&amp;""' limit 1"",0)),""""))"&amp;")"),"")</f>
        <v/>
      </c>
      <c r="BO257" s="867"/>
      <c r="BP257" s="867"/>
      <c r="BQ257" s="867"/>
      <c r="BR257" s="867"/>
      <c r="BS257" s="867"/>
      <c r="BT257" s="867"/>
      <c r="BU257" s="442"/>
      <c r="BV257" s="868" t="str">
        <f>IFERROR(__xludf.DUMMYFUNCTION("IF(OR(C257=""AÇÃO"",C257=""BDR""),IFERROR(GOOGLEFINANCE(CONCAT(""BVMF:"",CR257), ""marketcap"")/1000000,""NC""),"""")"),"")</f>
        <v/>
      </c>
      <c r="BW257" s="869" t="s">
        <v>123</v>
      </c>
      <c r="BX257" s="870" t="s">
        <v>123</v>
      </c>
      <c r="BY257" s="868" t="s">
        <v>123</v>
      </c>
      <c r="BZ257" s="870" t="s">
        <v>123</v>
      </c>
      <c r="CA257" s="868" t="s">
        <v>123</v>
      </c>
      <c r="CB257" s="868" t="s">
        <v>123</v>
      </c>
      <c r="CC257" s="868" t="s">
        <v>123</v>
      </c>
      <c r="CD257" s="868" t="str">
        <f>IFERROR(__xludf.DUMMYFUNCTION("IF(OR(C257=""AÇÃO"",C257=""BDR""),IFERROR(GOOGLEFINANCE(CONCAT(""BVMF:"",CR257), ""volumeavg"")/1000000,""NC""),"""")"),"")</f>
        <v/>
      </c>
      <c r="CE257" s="870" t="s">
        <v>123</v>
      </c>
      <c r="CF257" s="870" t="s">
        <v>123</v>
      </c>
      <c r="CG257" s="870" t="str">
        <f>IFERROR(__xludf.DUMMYFUNCTION("IF(OR(C257=""AÇÃO"",C257=""BDR""),IF(CF257=0,""SEM DY"",IFERROR(ImportXML(CONCAT(""http://www.guiainvest.com.br/raiox/default.aspx?sigla="",$CR257),""//*[@id='lbPayoutAtual']""),""NC"")),"""")"),"")</f>
        <v/>
      </c>
      <c r="CH257" s="870" t="s">
        <v>123</v>
      </c>
      <c r="CI257" s="545"/>
      <c r="CJ257" s="871" t="str">
        <f>IFERROR(__xludf.DUMMYFUNCTION("IF(OR(C257=""AÇÃO"",C257=""BDR""),IFERROR(GOOGLEFINANCE(CONCAT(""BVMF:"",CR257), ""eps""),""NC""),"""")"),"")</f>
        <v/>
      </c>
      <c r="CK257" s="442"/>
      <c r="CL257" s="871" t="str">
        <f>IFERROR(__xludf.DUMMYFUNCTION("IF(NOT($BL$4),"""",IF($CR257="""","""",IF($BC257="""","""",IFERROR(query({op.normal!$B$5:$F308},""select Col5, toDate(Col2) where Col1 =  '""&amp;$CR257&amp;""' and Col4 &gt; 0 and ((Col3 is null) or (Col3 = 'C')) and Col2 &gt;= date '""&amp;TEXT(TODAY()-$AQ$5,""yyyy-mm-dd"&amp;""")&amp;""' order by Col2 desc limit 1 label toDate(Col2) ''"")))))"),"")</f>
        <v/>
      </c>
      <c r="CM257" s="872"/>
      <c r="CN257" s="883" t="s">
        <v>123</v>
      </c>
      <c r="CO257" s="874" t="s">
        <v>123</v>
      </c>
      <c r="CP257" s="766"/>
      <c r="CQ257" s="791"/>
      <c r="CR257" s="791"/>
      <c r="CT257" s="791" t="s">
        <v>123</v>
      </c>
      <c r="CU257" s="791" t="str">
        <f>IFERROR(__xludf.DUMMYFUNCTION("IF(CR257="""","""",IF(CT257=$C$4,1,GOOGLEFINANCE(CT257&amp;$C$4)))"),"")</f>
        <v/>
      </c>
    </row>
    <row r="258" ht="22.5" customHeight="1">
      <c r="A258" s="837">
        <v>250.0</v>
      </c>
      <c r="B258" s="838" t="s">
        <v>123</v>
      </c>
      <c r="C258" s="838" t="s">
        <v>123</v>
      </c>
      <c r="D258" s="839" t="s">
        <v>123</v>
      </c>
      <c r="E258" s="839" t="s">
        <v>123</v>
      </c>
      <c r="F258" s="839" t="s">
        <v>123</v>
      </c>
      <c r="H258" s="884"/>
      <c r="I258" s="838"/>
      <c r="J258" s="838"/>
      <c r="K258" s="838"/>
      <c r="L258" s="838"/>
      <c r="M258" s="838"/>
      <c r="N258" s="838"/>
      <c r="O258" s="838"/>
      <c r="P258" s="838"/>
      <c r="Q258" s="838"/>
      <c r="R258" s="838"/>
      <c r="S258" s="838"/>
      <c r="T258" s="838"/>
      <c r="U258" s="838"/>
      <c r="V258" s="838"/>
      <c r="W258" s="838"/>
      <c r="X258" s="838"/>
      <c r="Z258" s="875" t="str">
        <f>IFERROR(__xludf.DUMMYFUNCTION("IF($CR258="""","""",IFERROR(query({CarteirasAtivos},""select Col4 where Col4 is not null and Col1 = '""&amp;$CR258&amp;""' limit 1"")*CU258,""NC""))"),"")</f>
        <v/>
      </c>
      <c r="AA258" s="876" t="str">
        <f>IFERROR(__xludf.DUMMYFUNCTION("IF($CR258="""","""",IFERROR(query({CarteirasAtivos},""select Col6 where Col4 is not null and Col1 = '""&amp;$CR258&amp;""' limit 1""),""NC""))"),"")</f>
        <v/>
      </c>
      <c r="AB258" s="877"/>
      <c r="AC258" s="878" t="s">
        <v>123</v>
      </c>
      <c r="AD258" s="845" t="str">
        <f>IF($CR258="","",IFERROR(VLOOKUP($CR258,ativos.!$C$3:$R308,MATCH("cotacao",ativos.!$C$2:CY$2,0),FALSE)*$CU$5,"atualizar"))</f>
        <v/>
      </c>
      <c r="AE258" s="846" t="str">
        <f>IFERROR(__xludf.DUMMYFUNCTION("IF($CR258="""","""",IFERROR(AVERAGE(query({CarteirasAtivos;CarteirasAtivosEncerrados},""select Col5 where Col5 is not null and Col1 = '""&amp;$CR258&amp;""' and Col10='SIM'""))*CU258,""NC""))"),"")</f>
        <v/>
      </c>
      <c r="AF258" s="847" t="str">
        <f t="shared" si="1"/>
        <v/>
      </c>
      <c r="AG258" s="442"/>
      <c r="AH258" s="848" t="str">
        <f>IFERROR(__xludf.DUMMYFUNCTION("IF($CR258="""","""",IFERROR(GOOGLEFINANCE($CR258,""low52"")*CU258,""-""))"),"")</f>
        <v/>
      </c>
      <c r="AI258" s="848" t="str">
        <f>IFERROR(__xludf.DUMMYFUNCTION("IF($CR258="""","""",IFERROR(GOOGLEFINANCE($CR258,""high52"")*CU258,""-""))"),"")</f>
        <v/>
      </c>
      <c r="AJ258" s="849" t="s">
        <v>123</v>
      </c>
      <c r="AK258" s="850" t="str">
        <f>IFERROR(__xludf.DUMMYFUNCTION("IF($CR258="""","""",IFERROR(GOOGLEFINANCE($CR258,""changepct"")/100,""-""))"),"")</f>
        <v/>
      </c>
      <c r="AL258" s="851" t="str">
        <f>IFERROR(__xludf.DUMMYFUNCTION("IF($CR258="""","""",IFERROR(($AD258/(QUERY(GOOGLEFINANCE($CR258,""price"",TODAY()-7),""SELECT Col2 label Col2 ''"")*$CU258)-1),""-""))"),"")</f>
        <v/>
      </c>
      <c r="AM258" s="851" t="str">
        <f>IFERROR(__xludf.DUMMYFUNCTION("IF($CR258="""","""",IFERROR(($AD258/(QUERY(GOOGLEFINANCE($CR258,""price"",TODAY()-14),""SELECT Col2 label Col2 ''"")*$CU258)-1),""-""))"),"")</f>
        <v/>
      </c>
      <c r="AN258" s="851" t="str">
        <f>IFERROR(__xludf.DUMMYFUNCTION("IF($CR258="""","""",IFERROR(($AD258/(QUERY(GOOGLEFINANCE($CR258,""price"",TODAY()-28),""SELECT Col2 label Col2 ''"")*$CU258)-1),""-""))"),"")</f>
        <v/>
      </c>
      <c r="AO258" s="851" t="str">
        <f>IFERROR(__xludf.DUMMYFUNCTION("IF($CR258="""","""",IFERROR(($AD258/(QUERY(GOOGLEFINANCE($CR258,""price"",TODAY()-$AQ$5),""SELECT Col2 label Col2 ''"")*$CU258)-1),""-""))"),"")</f>
        <v/>
      </c>
      <c r="AP258" s="852" t="str">
        <f>IFERROR(__xludf.DUMMYFUNCTION("IF($CR258="""","""",IFERROR(SPARKLINE(query(GOOGLEFINANCE($CR258,""price"",TODAY()-$AQ$5,TODAY(),1),""select Col2 label Col2 ''""),IF($AP$7=""Gráfico de barras"",{""charttype"",""column"";""highcolor"",""red""},{""chartype"",""line""}))))"),"")</f>
        <v/>
      </c>
      <c r="AQ258" s="144"/>
      <c r="AR258" s="853"/>
      <c r="AS258" s="854" t="str">
        <f>IF($CR258="","",IF(NOT('alocação'!$D$1),"off",IFERROR(VLOOKUP(CR258,BalanceAtivos,3,0),"NC")))</f>
        <v/>
      </c>
      <c r="AT258" s="855" t="str">
        <f>IF($CR258="","",IF(NOT('alocação'!$D$1),"off",IFERROR(VLOOKUP($CR258,BalanceAtivos,4,0)*$CU$5,"NC")))</f>
        <v/>
      </c>
      <c r="AU258" s="856" t="str">
        <f>IF($CR258="","",IF(NOT('alocação'!$D$1),"off",IFERROR(VLOOKUP($CR258,BalanceAtivos,5,0),"-")))</f>
        <v/>
      </c>
      <c r="AV258" s="856" t="str">
        <f>IF($CR258="","",IF(NOT('alocação'!$D$1),"off",IFERROR(VLOOKUP($CR258,BalanceAtivos,6,0),"-")))</f>
        <v/>
      </c>
      <c r="AW258" s="857"/>
      <c r="AX258" s="858" t="str">
        <f>IF($CR258="","",IF($E258="","SP",IFERROR(VLOOKUP($CR258,AtivosDados,MATCH("pm_atual",portfolio.!$A$3:CY$3,0),0)*$CU$5,0)))</f>
        <v/>
      </c>
      <c r="AY258" s="859" t="str">
        <f t="shared" si="2"/>
        <v/>
      </c>
      <c r="AZ258" s="858" t="str">
        <f>IF($CR258="","",IF($E258="","SP",SUMIF(portfolio.!$A$4:$A308,$CR258,portfolio.!$O$4:$O308)*$CU$5))</f>
        <v/>
      </c>
      <c r="BA258" s="858" t="str">
        <f>IF($CR258="","",IF($E258="","SP",SUMIF(portfolio.!$A$4:$A308,$CR258,portfolio.!$AN$4:$AN308)*$CU$5))</f>
        <v/>
      </c>
      <c r="BB258" s="860" t="str">
        <f>IF($CR258="","",IF($E258="","-",IFERROR($BA258/'portfólio'!$DG$63,"")))</f>
        <v/>
      </c>
      <c r="BC258" s="861" t="str">
        <f>IF($CR258="","",IF($E258="","-",SUMIF(portfolio.!$A$4:$A308,$CR258,portfolio.!$J$4:$J308)))</f>
        <v/>
      </c>
      <c r="BD258" s="862" t="str">
        <f>IF($CR258="","",IF($E258="","SP",SUMIF(portfolio.!$A$4:$A308,$CR258,portfolio.!$AQ$4:$AQ308)*$CU$5))</f>
        <v/>
      </c>
      <c r="BE258" s="850" t="str">
        <f t="shared" si="3"/>
        <v/>
      </c>
      <c r="BF258" s="862" t="str">
        <f>IF($CR258="","",IF($E258="","-",SUMIF(portfolio.!$A$4:$A308,$CR258,portfolio.!$AX$4:$AX308)*$CU$5))</f>
        <v/>
      </c>
      <c r="BG258" s="545"/>
      <c r="BH258" s="879" t="s">
        <v>123</v>
      </c>
      <c r="BI258" s="880" t="s">
        <v>123</v>
      </c>
      <c r="BJ258" s="863" t="str">
        <f>IFERROR(__xludf.DUMMYFUNCTION("IF(NOT($BL$4),"""",IF($CR258="""","""",IFERROR(query({GOOGLEFINANCE($CR258,""price"",IF($BI258=""-"",TODAY()-($AQ$5+5),$BI258),TODAY()-1)},""Select max(Col2) where Col1 is not null label max(Col2) ''"")*CU258,""-"")))"),"")</f>
        <v/>
      </c>
      <c r="BK258" s="881" t="s">
        <v>123</v>
      </c>
      <c r="BL258" s="882" t="s">
        <v>123</v>
      </c>
      <c r="BM258" s="442"/>
      <c r="BN258" s="867" t="str">
        <f>IFERROR(__xludf.DUMMYFUNCTION("IF(CR258="""","""",IF(OR(C258=""AÇÃO"",C258=""BDR""),IFERROR(QUERY({fundamentus.!$A$3:$U308},$CX$67&amp;"" where Col1='""&amp;CR258&amp;""' limit 1"",0)),IF(C258=""FII"",IFERROR(QUERY({fundsexplorer.!$A$2:$Z308},$CY$67&amp;"" where Col1='""&amp;CR258&amp;""' limit 1"",0)),""""))"&amp;")"),"")</f>
        <v/>
      </c>
      <c r="BO258" s="867"/>
      <c r="BP258" s="867"/>
      <c r="BQ258" s="867"/>
      <c r="BR258" s="867"/>
      <c r="BS258" s="867"/>
      <c r="BT258" s="867"/>
      <c r="BU258" s="442"/>
      <c r="BV258" s="868" t="str">
        <f>IFERROR(__xludf.DUMMYFUNCTION("IF(OR(C258=""AÇÃO"",C258=""BDR""),IFERROR(GOOGLEFINANCE(CONCAT(""BVMF:"",CR258), ""marketcap"")/1000000,""NC""),"""")"),"")</f>
        <v/>
      </c>
      <c r="BW258" s="869" t="s">
        <v>123</v>
      </c>
      <c r="BX258" s="870" t="s">
        <v>123</v>
      </c>
      <c r="BY258" s="868" t="s">
        <v>123</v>
      </c>
      <c r="BZ258" s="870" t="s">
        <v>123</v>
      </c>
      <c r="CA258" s="868" t="s">
        <v>123</v>
      </c>
      <c r="CB258" s="868" t="s">
        <v>123</v>
      </c>
      <c r="CC258" s="868" t="s">
        <v>123</v>
      </c>
      <c r="CD258" s="868" t="str">
        <f>IFERROR(__xludf.DUMMYFUNCTION("IF(OR(C258=""AÇÃO"",C258=""BDR""),IFERROR(GOOGLEFINANCE(CONCAT(""BVMF:"",CR258), ""volumeavg"")/1000000,""NC""),"""")"),"")</f>
        <v/>
      </c>
      <c r="CE258" s="870" t="s">
        <v>123</v>
      </c>
      <c r="CF258" s="870" t="s">
        <v>123</v>
      </c>
      <c r="CG258" s="870" t="str">
        <f>IFERROR(__xludf.DUMMYFUNCTION("IF(OR(C258=""AÇÃO"",C258=""BDR""),IF(CF258=0,""SEM DY"",IFERROR(ImportXML(CONCAT(""http://www.guiainvest.com.br/raiox/default.aspx?sigla="",$CR258),""//*[@id='lbPayoutAtual']""),""NC"")),"""")"),"")</f>
        <v/>
      </c>
      <c r="CH258" s="870" t="s">
        <v>123</v>
      </c>
      <c r="CI258" s="545"/>
      <c r="CJ258" s="871" t="str">
        <f>IFERROR(__xludf.DUMMYFUNCTION("IF(OR(C258=""AÇÃO"",C258=""BDR""),IFERROR(GOOGLEFINANCE(CONCAT(""BVMF:"",CR258), ""eps""),""NC""),"""")"),"")</f>
        <v/>
      </c>
      <c r="CK258" s="442"/>
      <c r="CL258" s="871" t="str">
        <f>IFERROR(__xludf.DUMMYFUNCTION("IF(NOT($BL$4),"""",IF($CR258="""","""",IF($BC258="""","""",IFERROR(query({op.normal!$B$5:$F308},""select Col5, toDate(Col2) where Col1 =  '""&amp;$CR258&amp;""' and Col4 &gt; 0 and ((Col3 is null) or (Col3 = 'C')) and Col2 &gt;= date '""&amp;TEXT(TODAY()-$AQ$5,""yyyy-mm-dd"&amp;""")&amp;""' order by Col2 desc limit 1 label toDate(Col2) ''"")))))"),"")</f>
        <v/>
      </c>
      <c r="CM258" s="872"/>
      <c r="CN258" s="883" t="s">
        <v>123</v>
      </c>
      <c r="CO258" s="874" t="s">
        <v>123</v>
      </c>
      <c r="CP258" s="766"/>
      <c r="CQ258" s="791"/>
      <c r="CR258" s="791"/>
      <c r="CT258" s="791" t="s">
        <v>123</v>
      </c>
      <c r="CU258" s="791" t="str">
        <f>IFERROR(__xludf.DUMMYFUNCTION("IF(CR258="""","""",IF(CT258=$C$4,1,GOOGLEFINANCE(CT258&amp;$C$4)))"),"")</f>
        <v/>
      </c>
    </row>
    <row r="259" ht="22.5" customHeight="1">
      <c r="A259" s="837">
        <v>251.0</v>
      </c>
      <c r="B259" s="838" t="s">
        <v>123</v>
      </c>
      <c r="C259" s="838" t="s">
        <v>123</v>
      </c>
      <c r="D259" s="839" t="s">
        <v>123</v>
      </c>
      <c r="E259" s="839" t="s">
        <v>123</v>
      </c>
      <c r="F259" s="839" t="s">
        <v>123</v>
      </c>
      <c r="H259" s="884"/>
      <c r="I259" s="838"/>
      <c r="J259" s="838"/>
      <c r="K259" s="838"/>
      <c r="L259" s="838"/>
      <c r="M259" s="838"/>
      <c r="N259" s="838"/>
      <c r="O259" s="838"/>
      <c r="P259" s="838"/>
      <c r="Q259" s="838"/>
      <c r="R259" s="838"/>
      <c r="S259" s="838"/>
      <c r="T259" s="838"/>
      <c r="U259" s="838"/>
      <c r="V259" s="838"/>
      <c r="W259" s="838"/>
      <c r="X259" s="838"/>
      <c r="Z259" s="875" t="str">
        <f>IFERROR(__xludf.DUMMYFUNCTION("IF($CR259="""","""",IFERROR(query({CarteirasAtivos},""select Col4 where Col4 is not null and Col1 = '""&amp;$CR259&amp;""' limit 1"")*CU259,""NC""))"),"")</f>
        <v/>
      </c>
      <c r="AA259" s="876" t="str">
        <f>IFERROR(__xludf.DUMMYFUNCTION("IF($CR259="""","""",IFERROR(query({CarteirasAtivos},""select Col6 where Col4 is not null and Col1 = '""&amp;$CR259&amp;""' limit 1""),""NC""))"),"")</f>
        <v/>
      </c>
      <c r="AB259" s="877"/>
      <c r="AC259" s="878" t="s">
        <v>123</v>
      </c>
      <c r="AD259" s="845" t="str">
        <f>IF($CR259="","",IFERROR(VLOOKUP($CR259,ativos.!$C$3:$R308,MATCH("cotacao",ativos.!$C$2:CY$2,0),FALSE)*$CU$5,"atualizar"))</f>
        <v/>
      </c>
      <c r="AE259" s="846" t="str">
        <f>IFERROR(__xludf.DUMMYFUNCTION("IF($CR259="""","""",IFERROR(AVERAGE(query({CarteirasAtivos;CarteirasAtivosEncerrados},""select Col5 where Col5 is not null and Col1 = '""&amp;$CR259&amp;""' and Col10='SIM'""))*CU259,""NC""))"),"")</f>
        <v/>
      </c>
      <c r="AF259" s="847" t="str">
        <f t="shared" si="1"/>
        <v/>
      </c>
      <c r="AG259" s="442"/>
      <c r="AH259" s="848" t="str">
        <f>IFERROR(__xludf.DUMMYFUNCTION("IF($CR259="""","""",IFERROR(GOOGLEFINANCE($CR259,""low52"")*CU259,""-""))"),"")</f>
        <v/>
      </c>
      <c r="AI259" s="848" t="str">
        <f>IFERROR(__xludf.DUMMYFUNCTION("IF($CR259="""","""",IFERROR(GOOGLEFINANCE($CR259,""high52"")*CU259,""-""))"),"")</f>
        <v/>
      </c>
      <c r="AJ259" s="849" t="s">
        <v>123</v>
      </c>
      <c r="AK259" s="850" t="str">
        <f>IFERROR(__xludf.DUMMYFUNCTION("IF($CR259="""","""",IFERROR(GOOGLEFINANCE($CR259,""changepct"")/100,""-""))"),"")</f>
        <v/>
      </c>
      <c r="AL259" s="851" t="str">
        <f>IFERROR(__xludf.DUMMYFUNCTION("IF($CR259="""","""",IFERROR(($AD259/(QUERY(GOOGLEFINANCE($CR259,""price"",TODAY()-7),""SELECT Col2 label Col2 ''"")*$CU259)-1),""-""))"),"")</f>
        <v/>
      </c>
      <c r="AM259" s="851" t="str">
        <f>IFERROR(__xludf.DUMMYFUNCTION("IF($CR259="""","""",IFERROR(($AD259/(QUERY(GOOGLEFINANCE($CR259,""price"",TODAY()-14),""SELECT Col2 label Col2 ''"")*$CU259)-1),""-""))"),"")</f>
        <v/>
      </c>
      <c r="AN259" s="851" t="str">
        <f>IFERROR(__xludf.DUMMYFUNCTION("IF($CR259="""","""",IFERROR(($AD259/(QUERY(GOOGLEFINANCE($CR259,""price"",TODAY()-28),""SELECT Col2 label Col2 ''"")*$CU259)-1),""-""))"),"")</f>
        <v/>
      </c>
      <c r="AO259" s="851" t="str">
        <f>IFERROR(__xludf.DUMMYFUNCTION("IF($CR259="""","""",IFERROR(($AD259/(QUERY(GOOGLEFINANCE($CR259,""price"",TODAY()-$AQ$5),""SELECT Col2 label Col2 ''"")*$CU259)-1),""-""))"),"")</f>
        <v/>
      </c>
      <c r="AP259" s="852" t="str">
        <f>IFERROR(__xludf.DUMMYFUNCTION("IF($CR259="""","""",IFERROR(SPARKLINE(query(GOOGLEFINANCE($CR259,""price"",TODAY()-$AQ$5,TODAY(),1),""select Col2 label Col2 ''""),IF($AP$7=""Gráfico de barras"",{""charttype"",""column"";""highcolor"",""red""},{""chartype"",""line""}))))"),"")</f>
        <v/>
      </c>
      <c r="AQ259" s="144"/>
      <c r="AR259" s="853"/>
      <c r="AS259" s="854" t="str">
        <f>IF($CR259="","",IF(NOT('alocação'!$D$1),"off",IFERROR(VLOOKUP(CR259,BalanceAtivos,3,0),"NC")))</f>
        <v/>
      </c>
      <c r="AT259" s="855" t="str">
        <f>IF($CR259="","",IF(NOT('alocação'!$D$1),"off",IFERROR(VLOOKUP($CR259,BalanceAtivos,4,0)*$CU$5,"NC")))</f>
        <v/>
      </c>
      <c r="AU259" s="856" t="str">
        <f>IF($CR259="","",IF(NOT('alocação'!$D$1),"off",IFERROR(VLOOKUP($CR259,BalanceAtivos,5,0),"-")))</f>
        <v/>
      </c>
      <c r="AV259" s="856" t="str">
        <f>IF($CR259="","",IF(NOT('alocação'!$D$1),"off",IFERROR(VLOOKUP($CR259,BalanceAtivos,6,0),"-")))</f>
        <v/>
      </c>
      <c r="AW259" s="857"/>
      <c r="AX259" s="858" t="str">
        <f>IF($CR259="","",IF($E259="","SP",IFERROR(VLOOKUP($CR259,AtivosDados,MATCH("pm_atual",portfolio.!$A$3:CY$3,0),0)*$CU$5,0)))</f>
        <v/>
      </c>
      <c r="AY259" s="859" t="str">
        <f t="shared" si="2"/>
        <v/>
      </c>
      <c r="AZ259" s="858" t="str">
        <f>IF($CR259="","",IF($E259="","SP",SUMIF(portfolio.!$A$4:$A308,$CR259,portfolio.!$O$4:$O308)*$CU$5))</f>
        <v/>
      </c>
      <c r="BA259" s="858" t="str">
        <f>IF($CR259="","",IF($E259="","SP",SUMIF(portfolio.!$A$4:$A308,$CR259,portfolio.!$AN$4:$AN308)*$CU$5))</f>
        <v/>
      </c>
      <c r="BB259" s="860" t="str">
        <f>IF($CR259="","",IF($E259="","-",IFERROR($BA259/'portfólio'!$DG$63,"")))</f>
        <v/>
      </c>
      <c r="BC259" s="861" t="str">
        <f>IF($CR259="","",IF($E259="","-",SUMIF(portfolio.!$A$4:$A308,$CR259,portfolio.!$J$4:$J308)))</f>
        <v/>
      </c>
      <c r="BD259" s="862" t="str">
        <f>IF($CR259="","",IF($E259="","SP",SUMIF(portfolio.!$A$4:$A308,$CR259,portfolio.!$AQ$4:$AQ308)*$CU$5))</f>
        <v/>
      </c>
      <c r="BE259" s="850" t="str">
        <f t="shared" si="3"/>
        <v/>
      </c>
      <c r="BF259" s="862" t="str">
        <f>IF($CR259="","",IF($E259="","-",SUMIF(portfolio.!$A$4:$A308,$CR259,portfolio.!$AX$4:$AX308)*$CU$5))</f>
        <v/>
      </c>
      <c r="BG259" s="545"/>
      <c r="BH259" s="879" t="s">
        <v>123</v>
      </c>
      <c r="BI259" s="880" t="s">
        <v>123</v>
      </c>
      <c r="BJ259" s="863" t="str">
        <f>IFERROR(__xludf.DUMMYFUNCTION("IF(NOT($BL$4),"""",IF($CR259="""","""",IFERROR(query({GOOGLEFINANCE($CR259,""price"",IF($BI259=""-"",TODAY()-($AQ$5+5),$BI259),TODAY()-1)},""Select max(Col2) where Col1 is not null label max(Col2) ''"")*CU259,""-"")))"),"")</f>
        <v/>
      </c>
      <c r="BK259" s="881" t="s">
        <v>123</v>
      </c>
      <c r="BL259" s="882" t="s">
        <v>123</v>
      </c>
      <c r="BM259" s="442"/>
      <c r="BN259" s="867" t="str">
        <f>IFERROR(__xludf.DUMMYFUNCTION("IF(CR259="""","""",IF(OR(C259=""AÇÃO"",C259=""BDR""),IFERROR(QUERY({fundamentus.!$A$3:$U308},$CX$67&amp;"" where Col1='""&amp;CR259&amp;""' limit 1"",0)),IF(C259=""FII"",IFERROR(QUERY({fundsexplorer.!$A$2:$Z308},$CY$67&amp;"" where Col1='""&amp;CR259&amp;""' limit 1"",0)),""""))"&amp;")"),"")</f>
        <v/>
      </c>
      <c r="BO259" s="867"/>
      <c r="BP259" s="867"/>
      <c r="BQ259" s="867"/>
      <c r="BR259" s="867"/>
      <c r="BS259" s="867"/>
      <c r="BT259" s="867"/>
      <c r="BU259" s="442"/>
      <c r="BV259" s="868" t="str">
        <f>IFERROR(__xludf.DUMMYFUNCTION("IF(OR(C259=""AÇÃO"",C259=""BDR""),IFERROR(GOOGLEFINANCE(CONCAT(""BVMF:"",CR259), ""marketcap"")/1000000,""NC""),"""")"),"")</f>
        <v/>
      </c>
      <c r="BW259" s="869" t="s">
        <v>123</v>
      </c>
      <c r="BX259" s="870" t="s">
        <v>123</v>
      </c>
      <c r="BY259" s="868" t="s">
        <v>123</v>
      </c>
      <c r="BZ259" s="870" t="s">
        <v>123</v>
      </c>
      <c r="CA259" s="868" t="s">
        <v>123</v>
      </c>
      <c r="CB259" s="868" t="s">
        <v>123</v>
      </c>
      <c r="CC259" s="868" t="s">
        <v>123</v>
      </c>
      <c r="CD259" s="868" t="str">
        <f>IFERROR(__xludf.DUMMYFUNCTION("IF(OR(C259=""AÇÃO"",C259=""BDR""),IFERROR(GOOGLEFINANCE(CONCAT(""BVMF:"",CR259), ""volumeavg"")/1000000,""NC""),"""")"),"")</f>
        <v/>
      </c>
      <c r="CE259" s="870" t="s">
        <v>123</v>
      </c>
      <c r="CF259" s="870" t="s">
        <v>123</v>
      </c>
      <c r="CG259" s="870" t="str">
        <f>IFERROR(__xludf.DUMMYFUNCTION("IF(OR(C259=""AÇÃO"",C259=""BDR""),IF(CF259=0,""SEM DY"",IFERROR(ImportXML(CONCAT(""http://www.guiainvest.com.br/raiox/default.aspx?sigla="",$CR259),""//*[@id='lbPayoutAtual']""),""NC"")),"""")"),"")</f>
        <v/>
      </c>
      <c r="CH259" s="870" t="s">
        <v>123</v>
      </c>
      <c r="CI259" s="545"/>
      <c r="CJ259" s="871" t="str">
        <f>IFERROR(__xludf.DUMMYFUNCTION("IF(OR(C259=""AÇÃO"",C259=""BDR""),IFERROR(GOOGLEFINANCE(CONCAT(""BVMF:"",CR259), ""eps""),""NC""),"""")"),"")</f>
        <v/>
      </c>
      <c r="CK259" s="442"/>
      <c r="CL259" s="871" t="str">
        <f>IFERROR(__xludf.DUMMYFUNCTION("IF(NOT($BL$4),"""",IF($CR259="""","""",IF($BC259="""","""",IFERROR(query({op.normal!$B$5:$F308},""select Col5, toDate(Col2) where Col1 =  '""&amp;$CR259&amp;""' and Col4 &gt; 0 and ((Col3 is null) or (Col3 = 'C')) and Col2 &gt;= date '""&amp;TEXT(TODAY()-$AQ$5,""yyyy-mm-dd"&amp;""")&amp;""' order by Col2 desc limit 1 label toDate(Col2) ''"")))))"),"")</f>
        <v/>
      </c>
      <c r="CM259" s="872"/>
      <c r="CN259" s="883" t="s">
        <v>123</v>
      </c>
      <c r="CO259" s="874" t="s">
        <v>123</v>
      </c>
      <c r="CP259" s="766"/>
      <c r="CQ259" s="791"/>
      <c r="CR259" s="791"/>
      <c r="CT259" s="791" t="s">
        <v>123</v>
      </c>
      <c r="CU259" s="791" t="str">
        <f>IFERROR(__xludf.DUMMYFUNCTION("IF(CR259="""","""",IF(CT259=$C$4,1,GOOGLEFINANCE(CT259&amp;$C$4)))"),"")</f>
        <v/>
      </c>
    </row>
    <row r="260" ht="22.5" customHeight="1">
      <c r="A260" s="837">
        <v>252.0</v>
      </c>
      <c r="B260" s="838" t="s">
        <v>123</v>
      </c>
      <c r="C260" s="838" t="s">
        <v>123</v>
      </c>
      <c r="D260" s="839" t="s">
        <v>123</v>
      </c>
      <c r="E260" s="839" t="s">
        <v>123</v>
      </c>
      <c r="F260" s="839" t="s">
        <v>123</v>
      </c>
      <c r="H260" s="884"/>
      <c r="I260" s="838"/>
      <c r="J260" s="838"/>
      <c r="K260" s="838"/>
      <c r="L260" s="838"/>
      <c r="M260" s="838"/>
      <c r="N260" s="838"/>
      <c r="O260" s="838"/>
      <c r="P260" s="838"/>
      <c r="Q260" s="838"/>
      <c r="R260" s="838"/>
      <c r="S260" s="838"/>
      <c r="T260" s="838"/>
      <c r="U260" s="838"/>
      <c r="V260" s="838"/>
      <c r="W260" s="838"/>
      <c r="X260" s="838"/>
      <c r="Z260" s="875" t="str">
        <f>IFERROR(__xludf.DUMMYFUNCTION("IF($CR260="""","""",IFERROR(query({CarteirasAtivos},""select Col4 where Col4 is not null and Col1 = '""&amp;$CR260&amp;""' limit 1"")*CU260,""NC""))"),"")</f>
        <v/>
      </c>
      <c r="AA260" s="876" t="str">
        <f>IFERROR(__xludf.DUMMYFUNCTION("IF($CR260="""","""",IFERROR(query({CarteirasAtivos},""select Col6 where Col4 is not null and Col1 = '""&amp;$CR260&amp;""' limit 1""),""NC""))"),"")</f>
        <v/>
      </c>
      <c r="AB260" s="877"/>
      <c r="AC260" s="878" t="s">
        <v>123</v>
      </c>
      <c r="AD260" s="845" t="str">
        <f>IF($CR260="","",IFERROR(VLOOKUP($CR260,ativos.!$C$3:$R308,MATCH("cotacao",ativos.!$C$2:CY$2,0),FALSE)*$CU$5,"atualizar"))</f>
        <v/>
      </c>
      <c r="AE260" s="846" t="str">
        <f>IFERROR(__xludf.DUMMYFUNCTION("IF($CR260="""","""",IFERROR(AVERAGE(query({CarteirasAtivos;CarteirasAtivosEncerrados},""select Col5 where Col5 is not null and Col1 = '""&amp;$CR260&amp;""' and Col10='SIM'""))*CU260,""NC""))"),"")</f>
        <v/>
      </c>
      <c r="AF260" s="847" t="str">
        <f t="shared" si="1"/>
        <v/>
      </c>
      <c r="AG260" s="442"/>
      <c r="AH260" s="848" t="str">
        <f>IFERROR(__xludf.DUMMYFUNCTION("IF($CR260="""","""",IFERROR(GOOGLEFINANCE($CR260,""low52"")*CU260,""-""))"),"")</f>
        <v/>
      </c>
      <c r="AI260" s="848" t="str">
        <f>IFERROR(__xludf.DUMMYFUNCTION("IF($CR260="""","""",IFERROR(GOOGLEFINANCE($CR260,""high52"")*CU260,""-""))"),"")</f>
        <v/>
      </c>
      <c r="AJ260" s="849" t="s">
        <v>123</v>
      </c>
      <c r="AK260" s="850" t="str">
        <f>IFERROR(__xludf.DUMMYFUNCTION("IF($CR260="""","""",IFERROR(GOOGLEFINANCE($CR260,""changepct"")/100,""-""))"),"")</f>
        <v/>
      </c>
      <c r="AL260" s="851" t="str">
        <f>IFERROR(__xludf.DUMMYFUNCTION("IF($CR260="""","""",IFERROR(($AD260/(QUERY(GOOGLEFINANCE($CR260,""price"",TODAY()-7),""SELECT Col2 label Col2 ''"")*$CU260)-1),""-""))"),"")</f>
        <v/>
      </c>
      <c r="AM260" s="851" t="str">
        <f>IFERROR(__xludf.DUMMYFUNCTION("IF($CR260="""","""",IFERROR(($AD260/(QUERY(GOOGLEFINANCE($CR260,""price"",TODAY()-14),""SELECT Col2 label Col2 ''"")*$CU260)-1),""-""))"),"")</f>
        <v/>
      </c>
      <c r="AN260" s="851" t="str">
        <f>IFERROR(__xludf.DUMMYFUNCTION("IF($CR260="""","""",IFERROR(($AD260/(QUERY(GOOGLEFINANCE($CR260,""price"",TODAY()-28),""SELECT Col2 label Col2 ''"")*$CU260)-1),""-""))"),"")</f>
        <v/>
      </c>
      <c r="AO260" s="851" t="str">
        <f>IFERROR(__xludf.DUMMYFUNCTION("IF($CR260="""","""",IFERROR(($AD260/(QUERY(GOOGLEFINANCE($CR260,""price"",TODAY()-$AQ$5),""SELECT Col2 label Col2 ''"")*$CU260)-1),""-""))"),"")</f>
        <v/>
      </c>
      <c r="AP260" s="852" t="str">
        <f>IFERROR(__xludf.DUMMYFUNCTION("IF($CR260="""","""",IFERROR(SPARKLINE(query(GOOGLEFINANCE($CR260,""price"",TODAY()-$AQ$5,TODAY(),1),""select Col2 label Col2 ''""),IF($AP$7=""Gráfico de barras"",{""charttype"",""column"";""highcolor"",""red""},{""chartype"",""line""}))))"),"")</f>
        <v/>
      </c>
      <c r="AQ260" s="144"/>
      <c r="AR260" s="853"/>
      <c r="AS260" s="854" t="str">
        <f>IF($CR260="","",IF(NOT('alocação'!$D$1),"off",IFERROR(VLOOKUP(CR260,BalanceAtivos,3,0),"NC")))</f>
        <v/>
      </c>
      <c r="AT260" s="855" t="str">
        <f>IF($CR260="","",IF(NOT('alocação'!$D$1),"off",IFERROR(VLOOKUP($CR260,BalanceAtivos,4,0)*$CU$5,"NC")))</f>
        <v/>
      </c>
      <c r="AU260" s="856" t="str">
        <f>IF($CR260="","",IF(NOT('alocação'!$D$1),"off",IFERROR(VLOOKUP($CR260,BalanceAtivos,5,0),"-")))</f>
        <v/>
      </c>
      <c r="AV260" s="856" t="str">
        <f>IF($CR260="","",IF(NOT('alocação'!$D$1),"off",IFERROR(VLOOKUP($CR260,BalanceAtivos,6,0),"-")))</f>
        <v/>
      </c>
      <c r="AW260" s="857"/>
      <c r="AX260" s="858" t="str">
        <f>IF($CR260="","",IF($E260="","SP",IFERROR(VLOOKUP($CR260,AtivosDados,MATCH("pm_atual",portfolio.!$A$3:CY$3,0),0)*$CU$5,0)))</f>
        <v/>
      </c>
      <c r="AY260" s="859" t="str">
        <f t="shared" si="2"/>
        <v/>
      </c>
      <c r="AZ260" s="858" t="str">
        <f>IF($CR260="","",IF($E260="","SP",SUMIF(portfolio.!$A$4:$A308,$CR260,portfolio.!$O$4:$O308)*$CU$5))</f>
        <v/>
      </c>
      <c r="BA260" s="858" t="str">
        <f>IF($CR260="","",IF($E260="","SP",SUMIF(portfolio.!$A$4:$A308,$CR260,portfolio.!$AN$4:$AN308)*$CU$5))</f>
        <v/>
      </c>
      <c r="BB260" s="860" t="str">
        <f>IF($CR260="","",IF($E260="","-",IFERROR($BA260/'portfólio'!$DG$63,"")))</f>
        <v/>
      </c>
      <c r="BC260" s="861" t="str">
        <f>IF($CR260="","",IF($E260="","-",SUMIF(portfolio.!$A$4:$A308,$CR260,portfolio.!$J$4:$J308)))</f>
        <v/>
      </c>
      <c r="BD260" s="862" t="str">
        <f>IF($CR260="","",IF($E260="","SP",SUMIF(portfolio.!$A$4:$A308,$CR260,portfolio.!$AQ$4:$AQ308)*$CU$5))</f>
        <v/>
      </c>
      <c r="BE260" s="850" t="str">
        <f t="shared" si="3"/>
        <v/>
      </c>
      <c r="BF260" s="862" t="str">
        <f>IF($CR260="","",IF($E260="","-",SUMIF(portfolio.!$A$4:$A308,$CR260,portfolio.!$AX$4:$AX308)*$CU$5))</f>
        <v/>
      </c>
      <c r="BG260" s="545"/>
      <c r="BH260" s="879" t="s">
        <v>123</v>
      </c>
      <c r="BI260" s="880" t="s">
        <v>123</v>
      </c>
      <c r="BJ260" s="863" t="str">
        <f>IFERROR(__xludf.DUMMYFUNCTION("IF(NOT($BL$4),"""",IF($CR260="""","""",IFERROR(query({GOOGLEFINANCE($CR260,""price"",IF($BI260=""-"",TODAY()-($AQ$5+5),$BI260),TODAY()-1)},""Select max(Col2) where Col1 is not null label max(Col2) ''"")*CU260,""-"")))"),"")</f>
        <v/>
      </c>
      <c r="BK260" s="881" t="s">
        <v>123</v>
      </c>
      <c r="BL260" s="882" t="s">
        <v>123</v>
      </c>
      <c r="BM260" s="442"/>
      <c r="BN260" s="867" t="str">
        <f>IFERROR(__xludf.DUMMYFUNCTION("IF(CR260="""","""",IF(OR(C260=""AÇÃO"",C260=""BDR""),IFERROR(QUERY({fundamentus.!$A$3:$U308},$CX$67&amp;"" where Col1='""&amp;CR260&amp;""' limit 1"",0)),IF(C260=""FII"",IFERROR(QUERY({fundsexplorer.!$A$2:$Z308},$CY$67&amp;"" where Col1='""&amp;CR260&amp;""' limit 1"",0)),""""))"&amp;")"),"")</f>
        <v/>
      </c>
      <c r="BO260" s="867"/>
      <c r="BP260" s="867"/>
      <c r="BQ260" s="867"/>
      <c r="BR260" s="867"/>
      <c r="BS260" s="867"/>
      <c r="BT260" s="867"/>
      <c r="BU260" s="442"/>
      <c r="BV260" s="868" t="str">
        <f>IFERROR(__xludf.DUMMYFUNCTION("IF(OR(C260=""AÇÃO"",C260=""BDR""),IFERROR(GOOGLEFINANCE(CONCAT(""BVMF:"",CR260), ""marketcap"")/1000000,""NC""),"""")"),"")</f>
        <v/>
      </c>
      <c r="BW260" s="869" t="s">
        <v>123</v>
      </c>
      <c r="BX260" s="870" t="s">
        <v>123</v>
      </c>
      <c r="BY260" s="868" t="s">
        <v>123</v>
      </c>
      <c r="BZ260" s="870" t="s">
        <v>123</v>
      </c>
      <c r="CA260" s="868" t="s">
        <v>123</v>
      </c>
      <c r="CB260" s="868" t="s">
        <v>123</v>
      </c>
      <c r="CC260" s="868" t="s">
        <v>123</v>
      </c>
      <c r="CD260" s="868" t="str">
        <f>IFERROR(__xludf.DUMMYFUNCTION("IF(OR(C260=""AÇÃO"",C260=""BDR""),IFERROR(GOOGLEFINANCE(CONCAT(""BVMF:"",CR260), ""volumeavg"")/1000000,""NC""),"""")"),"")</f>
        <v/>
      </c>
      <c r="CE260" s="870" t="s">
        <v>123</v>
      </c>
      <c r="CF260" s="870" t="s">
        <v>123</v>
      </c>
      <c r="CG260" s="870" t="str">
        <f>IFERROR(__xludf.DUMMYFUNCTION("IF(OR(C260=""AÇÃO"",C260=""BDR""),IF(CF260=0,""SEM DY"",IFERROR(ImportXML(CONCAT(""http://www.guiainvest.com.br/raiox/default.aspx?sigla="",$CR260),""//*[@id='lbPayoutAtual']""),""NC"")),"""")"),"")</f>
        <v/>
      </c>
      <c r="CH260" s="870" t="s">
        <v>123</v>
      </c>
      <c r="CI260" s="545"/>
      <c r="CJ260" s="871" t="str">
        <f>IFERROR(__xludf.DUMMYFUNCTION("IF(OR(C260=""AÇÃO"",C260=""BDR""),IFERROR(GOOGLEFINANCE(CONCAT(""BVMF:"",CR260), ""eps""),""NC""),"""")"),"")</f>
        <v/>
      </c>
      <c r="CK260" s="442"/>
      <c r="CL260" s="871" t="str">
        <f>IFERROR(__xludf.DUMMYFUNCTION("IF(NOT($BL$4),"""",IF($CR260="""","""",IF($BC260="""","""",IFERROR(query({op.normal!$B$5:$F308},""select Col5, toDate(Col2) where Col1 =  '""&amp;$CR260&amp;""' and Col4 &gt; 0 and ((Col3 is null) or (Col3 = 'C')) and Col2 &gt;= date '""&amp;TEXT(TODAY()-$AQ$5,""yyyy-mm-dd"&amp;""")&amp;""' order by Col2 desc limit 1 label toDate(Col2) ''"")))))"),"")</f>
        <v/>
      </c>
      <c r="CM260" s="872"/>
      <c r="CN260" s="883" t="s">
        <v>123</v>
      </c>
      <c r="CO260" s="874" t="s">
        <v>123</v>
      </c>
      <c r="CP260" s="766"/>
      <c r="CQ260" s="791"/>
      <c r="CR260" s="791"/>
      <c r="CT260" s="791" t="s">
        <v>123</v>
      </c>
      <c r="CU260" s="791" t="str">
        <f>IFERROR(__xludf.DUMMYFUNCTION("IF(CR260="""","""",IF(CT260=$C$4,1,GOOGLEFINANCE(CT260&amp;$C$4)))"),"")</f>
        <v/>
      </c>
    </row>
    <row r="261" ht="22.5" customHeight="1">
      <c r="A261" s="837">
        <v>253.0</v>
      </c>
      <c r="B261" s="838" t="s">
        <v>123</v>
      </c>
      <c r="C261" s="838" t="s">
        <v>123</v>
      </c>
      <c r="D261" s="839" t="s">
        <v>123</v>
      </c>
      <c r="E261" s="839" t="s">
        <v>123</v>
      </c>
      <c r="F261" s="839" t="s">
        <v>123</v>
      </c>
      <c r="H261" s="884"/>
      <c r="I261" s="838"/>
      <c r="J261" s="838"/>
      <c r="K261" s="838"/>
      <c r="L261" s="838"/>
      <c r="M261" s="838"/>
      <c r="N261" s="838"/>
      <c r="O261" s="838"/>
      <c r="P261" s="838"/>
      <c r="Q261" s="838"/>
      <c r="R261" s="838"/>
      <c r="S261" s="838"/>
      <c r="T261" s="838"/>
      <c r="U261" s="838"/>
      <c r="V261" s="838"/>
      <c r="W261" s="838"/>
      <c r="X261" s="838"/>
      <c r="Z261" s="875" t="str">
        <f>IFERROR(__xludf.DUMMYFUNCTION("IF($CR261="""","""",IFERROR(query({CarteirasAtivos},""select Col4 where Col4 is not null and Col1 = '""&amp;$CR261&amp;""' limit 1"")*CU261,""NC""))"),"")</f>
        <v/>
      </c>
      <c r="AA261" s="876" t="str">
        <f>IFERROR(__xludf.DUMMYFUNCTION("IF($CR261="""","""",IFERROR(query({CarteirasAtivos},""select Col6 where Col4 is not null and Col1 = '""&amp;$CR261&amp;""' limit 1""),""NC""))"),"")</f>
        <v/>
      </c>
      <c r="AB261" s="877"/>
      <c r="AC261" s="878" t="s">
        <v>123</v>
      </c>
      <c r="AD261" s="845" t="str">
        <f>IF($CR261="","",IFERROR(VLOOKUP($CR261,ativos.!$C$3:$R308,MATCH("cotacao",ativos.!$C$2:CY$2,0),FALSE)*$CU$5,"atualizar"))</f>
        <v/>
      </c>
      <c r="AE261" s="846" t="str">
        <f>IFERROR(__xludf.DUMMYFUNCTION("IF($CR261="""","""",IFERROR(AVERAGE(query({CarteirasAtivos;CarteirasAtivosEncerrados},""select Col5 where Col5 is not null and Col1 = '""&amp;$CR261&amp;""' and Col10='SIM'""))*CU261,""NC""))"),"")</f>
        <v/>
      </c>
      <c r="AF261" s="847" t="str">
        <f t="shared" si="1"/>
        <v/>
      </c>
      <c r="AG261" s="442"/>
      <c r="AH261" s="848" t="str">
        <f>IFERROR(__xludf.DUMMYFUNCTION("IF($CR261="""","""",IFERROR(GOOGLEFINANCE($CR261,""low52"")*CU261,""-""))"),"")</f>
        <v/>
      </c>
      <c r="AI261" s="848" t="str">
        <f>IFERROR(__xludf.DUMMYFUNCTION("IF($CR261="""","""",IFERROR(GOOGLEFINANCE($CR261,""high52"")*CU261,""-""))"),"")</f>
        <v/>
      </c>
      <c r="AJ261" s="849" t="s">
        <v>123</v>
      </c>
      <c r="AK261" s="850" t="str">
        <f>IFERROR(__xludf.DUMMYFUNCTION("IF($CR261="""","""",IFERROR(GOOGLEFINANCE($CR261,""changepct"")/100,""-""))"),"")</f>
        <v/>
      </c>
      <c r="AL261" s="851" t="str">
        <f>IFERROR(__xludf.DUMMYFUNCTION("IF($CR261="""","""",IFERROR(($AD261/(QUERY(GOOGLEFINANCE($CR261,""price"",TODAY()-7),""SELECT Col2 label Col2 ''"")*$CU261)-1),""-""))"),"")</f>
        <v/>
      </c>
      <c r="AM261" s="851" t="str">
        <f>IFERROR(__xludf.DUMMYFUNCTION("IF($CR261="""","""",IFERROR(($AD261/(QUERY(GOOGLEFINANCE($CR261,""price"",TODAY()-14),""SELECT Col2 label Col2 ''"")*$CU261)-1),""-""))"),"")</f>
        <v/>
      </c>
      <c r="AN261" s="851" t="str">
        <f>IFERROR(__xludf.DUMMYFUNCTION("IF($CR261="""","""",IFERROR(($AD261/(QUERY(GOOGLEFINANCE($CR261,""price"",TODAY()-28),""SELECT Col2 label Col2 ''"")*$CU261)-1),""-""))"),"")</f>
        <v/>
      </c>
      <c r="AO261" s="851" t="str">
        <f>IFERROR(__xludf.DUMMYFUNCTION("IF($CR261="""","""",IFERROR(($AD261/(QUERY(GOOGLEFINANCE($CR261,""price"",TODAY()-$AQ$5),""SELECT Col2 label Col2 ''"")*$CU261)-1),""-""))"),"")</f>
        <v/>
      </c>
      <c r="AP261" s="852" t="str">
        <f>IFERROR(__xludf.DUMMYFUNCTION("IF($CR261="""","""",IFERROR(SPARKLINE(query(GOOGLEFINANCE($CR261,""price"",TODAY()-$AQ$5,TODAY(),1),""select Col2 label Col2 ''""),IF($AP$7=""Gráfico de barras"",{""charttype"",""column"";""highcolor"",""red""},{""chartype"",""line""}))))"),"")</f>
        <v/>
      </c>
      <c r="AQ261" s="144"/>
      <c r="AR261" s="853"/>
      <c r="AS261" s="854" t="str">
        <f>IF($CR261="","",IF(NOT('alocação'!$D$1),"off",IFERROR(VLOOKUP(CR261,BalanceAtivos,3,0),"NC")))</f>
        <v/>
      </c>
      <c r="AT261" s="855" t="str">
        <f>IF($CR261="","",IF(NOT('alocação'!$D$1),"off",IFERROR(VLOOKUP($CR261,BalanceAtivos,4,0)*$CU$5,"NC")))</f>
        <v/>
      </c>
      <c r="AU261" s="856" t="str">
        <f>IF($CR261="","",IF(NOT('alocação'!$D$1),"off",IFERROR(VLOOKUP($CR261,BalanceAtivos,5,0),"-")))</f>
        <v/>
      </c>
      <c r="AV261" s="856" t="str">
        <f>IF($CR261="","",IF(NOT('alocação'!$D$1),"off",IFERROR(VLOOKUP($CR261,BalanceAtivos,6,0),"-")))</f>
        <v/>
      </c>
      <c r="AW261" s="857"/>
      <c r="AX261" s="858" t="str">
        <f>IF($CR261="","",IF($E261="","SP",IFERROR(VLOOKUP($CR261,AtivosDados,MATCH("pm_atual",portfolio.!$A$3:CY$3,0),0)*$CU$5,0)))</f>
        <v/>
      </c>
      <c r="AY261" s="859" t="str">
        <f t="shared" si="2"/>
        <v/>
      </c>
      <c r="AZ261" s="858" t="str">
        <f>IF($CR261="","",IF($E261="","SP",SUMIF(portfolio.!$A$4:$A308,$CR261,portfolio.!$O$4:$O308)*$CU$5))</f>
        <v/>
      </c>
      <c r="BA261" s="858" t="str">
        <f>IF($CR261="","",IF($E261="","SP",SUMIF(portfolio.!$A$4:$A308,$CR261,portfolio.!$AN$4:$AN308)*$CU$5))</f>
        <v/>
      </c>
      <c r="BB261" s="860" t="str">
        <f>IF($CR261="","",IF($E261="","-",IFERROR($BA261/'portfólio'!$DG$63,"")))</f>
        <v/>
      </c>
      <c r="BC261" s="861" t="str">
        <f>IF($CR261="","",IF($E261="","-",SUMIF(portfolio.!$A$4:$A308,$CR261,portfolio.!$J$4:$J308)))</f>
        <v/>
      </c>
      <c r="BD261" s="862" t="str">
        <f>IF($CR261="","",IF($E261="","SP",SUMIF(portfolio.!$A$4:$A308,$CR261,portfolio.!$AQ$4:$AQ308)*$CU$5))</f>
        <v/>
      </c>
      <c r="BE261" s="850" t="str">
        <f t="shared" si="3"/>
        <v/>
      </c>
      <c r="BF261" s="862" t="str">
        <f>IF($CR261="","",IF($E261="","-",SUMIF(portfolio.!$A$4:$A308,$CR261,portfolio.!$AX$4:$AX308)*$CU$5))</f>
        <v/>
      </c>
      <c r="BG261" s="545"/>
      <c r="BH261" s="879" t="s">
        <v>123</v>
      </c>
      <c r="BI261" s="880" t="s">
        <v>123</v>
      </c>
      <c r="BJ261" s="863" t="str">
        <f>IFERROR(__xludf.DUMMYFUNCTION("IF(NOT($BL$4),"""",IF($CR261="""","""",IFERROR(query({GOOGLEFINANCE($CR261,""price"",IF($BI261=""-"",TODAY()-($AQ$5+5),$BI261),TODAY()-1)},""Select max(Col2) where Col1 is not null label max(Col2) ''"")*CU261,""-"")))"),"")</f>
        <v/>
      </c>
      <c r="BK261" s="881" t="s">
        <v>123</v>
      </c>
      <c r="BL261" s="882" t="s">
        <v>123</v>
      </c>
      <c r="BM261" s="442"/>
      <c r="BN261" s="867" t="str">
        <f>IFERROR(__xludf.DUMMYFUNCTION("IF(CR261="""","""",IF(OR(C261=""AÇÃO"",C261=""BDR""),IFERROR(QUERY({fundamentus.!$A$3:$U308},$CX$67&amp;"" where Col1='""&amp;CR261&amp;""' limit 1"",0)),IF(C261=""FII"",IFERROR(QUERY({fundsexplorer.!$A$2:$Z308},$CY$67&amp;"" where Col1='""&amp;CR261&amp;""' limit 1"",0)),""""))"&amp;")"),"")</f>
        <v/>
      </c>
      <c r="BO261" s="867"/>
      <c r="BP261" s="867"/>
      <c r="BQ261" s="867"/>
      <c r="BR261" s="867"/>
      <c r="BS261" s="867"/>
      <c r="BT261" s="867"/>
      <c r="BU261" s="442"/>
      <c r="BV261" s="868" t="str">
        <f>IFERROR(__xludf.DUMMYFUNCTION("IF(OR(C261=""AÇÃO"",C261=""BDR""),IFERROR(GOOGLEFINANCE(CONCAT(""BVMF:"",CR261), ""marketcap"")/1000000,""NC""),"""")"),"")</f>
        <v/>
      </c>
      <c r="BW261" s="869" t="s">
        <v>123</v>
      </c>
      <c r="BX261" s="870" t="s">
        <v>123</v>
      </c>
      <c r="BY261" s="868" t="s">
        <v>123</v>
      </c>
      <c r="BZ261" s="870" t="s">
        <v>123</v>
      </c>
      <c r="CA261" s="868" t="s">
        <v>123</v>
      </c>
      <c r="CB261" s="868" t="s">
        <v>123</v>
      </c>
      <c r="CC261" s="868" t="s">
        <v>123</v>
      </c>
      <c r="CD261" s="868" t="str">
        <f>IFERROR(__xludf.DUMMYFUNCTION("IF(OR(C261=""AÇÃO"",C261=""BDR""),IFERROR(GOOGLEFINANCE(CONCAT(""BVMF:"",CR261), ""volumeavg"")/1000000,""NC""),"""")"),"")</f>
        <v/>
      </c>
      <c r="CE261" s="870" t="s">
        <v>123</v>
      </c>
      <c r="CF261" s="870" t="s">
        <v>123</v>
      </c>
      <c r="CG261" s="870" t="str">
        <f>IFERROR(__xludf.DUMMYFUNCTION("IF(OR(C261=""AÇÃO"",C261=""BDR""),IF(CF261=0,""SEM DY"",IFERROR(ImportXML(CONCAT(""http://www.guiainvest.com.br/raiox/default.aspx?sigla="",$CR261),""//*[@id='lbPayoutAtual']""),""NC"")),"""")"),"")</f>
        <v/>
      </c>
      <c r="CH261" s="870" t="s">
        <v>123</v>
      </c>
      <c r="CI261" s="545"/>
      <c r="CJ261" s="871" t="str">
        <f>IFERROR(__xludf.DUMMYFUNCTION("IF(OR(C261=""AÇÃO"",C261=""BDR""),IFERROR(GOOGLEFINANCE(CONCAT(""BVMF:"",CR261), ""eps""),""NC""),"""")"),"")</f>
        <v/>
      </c>
      <c r="CK261" s="442"/>
      <c r="CL261" s="871" t="str">
        <f>IFERROR(__xludf.DUMMYFUNCTION("IF(NOT($BL$4),"""",IF($CR261="""","""",IF($BC261="""","""",IFERROR(query({op.normal!$B$5:$F308},""select Col5, toDate(Col2) where Col1 =  '""&amp;$CR261&amp;""' and Col4 &gt; 0 and ((Col3 is null) or (Col3 = 'C')) and Col2 &gt;= date '""&amp;TEXT(TODAY()-$AQ$5,""yyyy-mm-dd"&amp;""")&amp;""' order by Col2 desc limit 1 label toDate(Col2) ''"")))))"),"")</f>
        <v/>
      </c>
      <c r="CM261" s="872"/>
      <c r="CN261" s="883" t="s">
        <v>123</v>
      </c>
      <c r="CO261" s="874" t="s">
        <v>123</v>
      </c>
      <c r="CP261" s="766"/>
      <c r="CQ261" s="791"/>
      <c r="CR261" s="791"/>
      <c r="CT261" s="791" t="s">
        <v>123</v>
      </c>
      <c r="CU261" s="791" t="str">
        <f>IFERROR(__xludf.DUMMYFUNCTION("IF(CR261="""","""",IF(CT261=$C$4,1,GOOGLEFINANCE(CT261&amp;$C$4)))"),"")</f>
        <v/>
      </c>
    </row>
    <row r="262" ht="22.5" customHeight="1">
      <c r="A262" s="837">
        <v>254.0</v>
      </c>
      <c r="B262" s="838" t="s">
        <v>123</v>
      </c>
      <c r="C262" s="838" t="s">
        <v>123</v>
      </c>
      <c r="D262" s="839" t="s">
        <v>123</v>
      </c>
      <c r="E262" s="839" t="s">
        <v>123</v>
      </c>
      <c r="F262" s="839" t="s">
        <v>123</v>
      </c>
      <c r="H262" s="884"/>
      <c r="I262" s="838"/>
      <c r="J262" s="838"/>
      <c r="K262" s="838"/>
      <c r="L262" s="838"/>
      <c r="M262" s="838"/>
      <c r="N262" s="838"/>
      <c r="O262" s="838"/>
      <c r="P262" s="838"/>
      <c r="Q262" s="838"/>
      <c r="R262" s="838"/>
      <c r="S262" s="838"/>
      <c r="T262" s="838"/>
      <c r="U262" s="838"/>
      <c r="V262" s="838"/>
      <c r="W262" s="838"/>
      <c r="X262" s="838"/>
      <c r="Z262" s="875" t="str">
        <f>IFERROR(__xludf.DUMMYFUNCTION("IF($CR262="""","""",IFERROR(query({CarteirasAtivos},""select Col4 where Col4 is not null and Col1 = '""&amp;$CR262&amp;""' limit 1"")*CU262,""NC""))"),"")</f>
        <v/>
      </c>
      <c r="AA262" s="876" t="str">
        <f>IFERROR(__xludf.DUMMYFUNCTION("IF($CR262="""","""",IFERROR(query({CarteirasAtivos},""select Col6 where Col4 is not null and Col1 = '""&amp;$CR262&amp;""' limit 1""),""NC""))"),"")</f>
        <v/>
      </c>
      <c r="AB262" s="877"/>
      <c r="AC262" s="878" t="s">
        <v>123</v>
      </c>
      <c r="AD262" s="845" t="str">
        <f>IF($CR262="","",IFERROR(VLOOKUP($CR262,ativos.!$C$3:$R308,MATCH("cotacao",ativos.!$C$2:CY$2,0),FALSE)*$CU$5,"atualizar"))</f>
        <v/>
      </c>
      <c r="AE262" s="846" t="str">
        <f>IFERROR(__xludf.DUMMYFUNCTION("IF($CR262="""","""",IFERROR(AVERAGE(query({CarteirasAtivos;CarteirasAtivosEncerrados},""select Col5 where Col5 is not null and Col1 = '""&amp;$CR262&amp;""' and Col10='SIM'""))*CU262,""NC""))"),"")</f>
        <v/>
      </c>
      <c r="AF262" s="847" t="str">
        <f t="shared" si="1"/>
        <v/>
      </c>
      <c r="AG262" s="442"/>
      <c r="AH262" s="848" t="str">
        <f>IFERROR(__xludf.DUMMYFUNCTION("IF($CR262="""","""",IFERROR(GOOGLEFINANCE($CR262,""low52"")*CU262,""-""))"),"")</f>
        <v/>
      </c>
      <c r="AI262" s="848" t="str">
        <f>IFERROR(__xludf.DUMMYFUNCTION("IF($CR262="""","""",IFERROR(GOOGLEFINANCE($CR262,""high52"")*CU262,""-""))"),"")</f>
        <v/>
      </c>
      <c r="AJ262" s="849" t="s">
        <v>123</v>
      </c>
      <c r="AK262" s="850" t="str">
        <f>IFERROR(__xludf.DUMMYFUNCTION("IF($CR262="""","""",IFERROR(GOOGLEFINANCE($CR262,""changepct"")/100,""-""))"),"")</f>
        <v/>
      </c>
      <c r="AL262" s="851" t="str">
        <f>IFERROR(__xludf.DUMMYFUNCTION("IF($CR262="""","""",IFERROR(($AD262/(QUERY(GOOGLEFINANCE($CR262,""price"",TODAY()-7),""SELECT Col2 label Col2 ''"")*$CU262)-1),""-""))"),"")</f>
        <v/>
      </c>
      <c r="AM262" s="851" t="str">
        <f>IFERROR(__xludf.DUMMYFUNCTION("IF($CR262="""","""",IFERROR(($AD262/(QUERY(GOOGLEFINANCE($CR262,""price"",TODAY()-14),""SELECT Col2 label Col2 ''"")*$CU262)-1),""-""))"),"")</f>
        <v/>
      </c>
      <c r="AN262" s="851" t="str">
        <f>IFERROR(__xludf.DUMMYFUNCTION("IF($CR262="""","""",IFERROR(($AD262/(QUERY(GOOGLEFINANCE($CR262,""price"",TODAY()-28),""SELECT Col2 label Col2 ''"")*$CU262)-1),""-""))"),"")</f>
        <v/>
      </c>
      <c r="AO262" s="851" t="str">
        <f>IFERROR(__xludf.DUMMYFUNCTION("IF($CR262="""","""",IFERROR(($AD262/(QUERY(GOOGLEFINANCE($CR262,""price"",TODAY()-$AQ$5),""SELECT Col2 label Col2 ''"")*$CU262)-1),""-""))"),"")</f>
        <v/>
      </c>
      <c r="AP262" s="852" t="str">
        <f>IFERROR(__xludf.DUMMYFUNCTION("IF($CR262="""","""",IFERROR(SPARKLINE(query(GOOGLEFINANCE($CR262,""price"",TODAY()-$AQ$5,TODAY(),1),""select Col2 label Col2 ''""),IF($AP$7=""Gráfico de barras"",{""charttype"",""column"";""highcolor"",""red""},{""chartype"",""line""}))))"),"")</f>
        <v/>
      </c>
      <c r="AQ262" s="144"/>
      <c r="AR262" s="853"/>
      <c r="AS262" s="854" t="str">
        <f>IF($CR262="","",IF(NOT('alocação'!$D$1),"off",IFERROR(VLOOKUP(CR262,BalanceAtivos,3,0),"NC")))</f>
        <v/>
      </c>
      <c r="AT262" s="855" t="str">
        <f>IF($CR262="","",IF(NOT('alocação'!$D$1),"off",IFERROR(VLOOKUP($CR262,BalanceAtivos,4,0)*$CU$5,"NC")))</f>
        <v/>
      </c>
      <c r="AU262" s="856" t="str">
        <f>IF($CR262="","",IF(NOT('alocação'!$D$1),"off",IFERROR(VLOOKUP($CR262,BalanceAtivos,5,0),"-")))</f>
        <v/>
      </c>
      <c r="AV262" s="856" t="str">
        <f>IF($CR262="","",IF(NOT('alocação'!$D$1),"off",IFERROR(VLOOKUP($CR262,BalanceAtivos,6,0),"-")))</f>
        <v/>
      </c>
      <c r="AW262" s="857"/>
      <c r="AX262" s="858" t="str">
        <f>IF($CR262="","",IF($E262="","SP",IFERROR(VLOOKUP($CR262,AtivosDados,MATCH("pm_atual",portfolio.!$A$3:CY$3,0),0)*$CU$5,0)))</f>
        <v/>
      </c>
      <c r="AY262" s="859" t="str">
        <f t="shared" si="2"/>
        <v/>
      </c>
      <c r="AZ262" s="858" t="str">
        <f>IF($CR262="","",IF($E262="","SP",SUMIF(portfolio.!$A$4:$A308,$CR262,portfolio.!$O$4:$O308)*$CU$5))</f>
        <v/>
      </c>
      <c r="BA262" s="858" t="str">
        <f>IF($CR262="","",IF($E262="","SP",SUMIF(portfolio.!$A$4:$A308,$CR262,portfolio.!$AN$4:$AN308)*$CU$5))</f>
        <v/>
      </c>
      <c r="BB262" s="860" t="str">
        <f>IF($CR262="","",IF($E262="","-",IFERROR($BA262/'portfólio'!$DG$63,"")))</f>
        <v/>
      </c>
      <c r="BC262" s="861" t="str">
        <f>IF($CR262="","",IF($E262="","-",SUMIF(portfolio.!$A$4:$A308,$CR262,portfolio.!$J$4:$J308)))</f>
        <v/>
      </c>
      <c r="BD262" s="862" t="str">
        <f>IF($CR262="","",IF($E262="","SP",SUMIF(portfolio.!$A$4:$A308,$CR262,portfolio.!$AQ$4:$AQ308)*$CU$5))</f>
        <v/>
      </c>
      <c r="BE262" s="850" t="str">
        <f t="shared" si="3"/>
        <v/>
      </c>
      <c r="BF262" s="862" t="str">
        <f>IF($CR262="","",IF($E262="","-",SUMIF(portfolio.!$A$4:$A308,$CR262,portfolio.!$AX$4:$AX308)*$CU$5))</f>
        <v/>
      </c>
      <c r="BG262" s="545"/>
      <c r="BH262" s="879" t="s">
        <v>123</v>
      </c>
      <c r="BI262" s="880" t="s">
        <v>123</v>
      </c>
      <c r="BJ262" s="863" t="str">
        <f>IFERROR(__xludf.DUMMYFUNCTION("IF(NOT($BL$4),"""",IF($CR262="""","""",IFERROR(query({GOOGLEFINANCE($CR262,""price"",IF($BI262=""-"",TODAY()-($AQ$5+5),$BI262),TODAY()-1)},""Select max(Col2) where Col1 is not null label max(Col2) ''"")*CU262,""-"")))"),"")</f>
        <v/>
      </c>
      <c r="BK262" s="881" t="s">
        <v>123</v>
      </c>
      <c r="BL262" s="882" t="s">
        <v>123</v>
      </c>
      <c r="BM262" s="442"/>
      <c r="BN262" s="867" t="str">
        <f>IFERROR(__xludf.DUMMYFUNCTION("IF(CR262="""","""",IF(OR(C262=""AÇÃO"",C262=""BDR""),IFERROR(QUERY({fundamentus.!$A$3:$U308},$CX$67&amp;"" where Col1='""&amp;CR262&amp;""' limit 1"",0)),IF(C262=""FII"",IFERROR(QUERY({fundsexplorer.!$A$2:$Z308},$CY$67&amp;"" where Col1='""&amp;CR262&amp;""' limit 1"",0)),""""))"&amp;")"),"")</f>
        <v/>
      </c>
      <c r="BO262" s="867"/>
      <c r="BP262" s="867"/>
      <c r="BQ262" s="867"/>
      <c r="BR262" s="867"/>
      <c r="BS262" s="867"/>
      <c r="BT262" s="867"/>
      <c r="BU262" s="442"/>
      <c r="BV262" s="868" t="str">
        <f>IFERROR(__xludf.DUMMYFUNCTION("IF(OR(C262=""AÇÃO"",C262=""BDR""),IFERROR(GOOGLEFINANCE(CONCAT(""BVMF:"",CR262), ""marketcap"")/1000000,""NC""),"""")"),"")</f>
        <v/>
      </c>
      <c r="BW262" s="869" t="s">
        <v>123</v>
      </c>
      <c r="BX262" s="870" t="s">
        <v>123</v>
      </c>
      <c r="BY262" s="868" t="s">
        <v>123</v>
      </c>
      <c r="BZ262" s="870" t="s">
        <v>123</v>
      </c>
      <c r="CA262" s="868" t="s">
        <v>123</v>
      </c>
      <c r="CB262" s="868" t="s">
        <v>123</v>
      </c>
      <c r="CC262" s="868" t="s">
        <v>123</v>
      </c>
      <c r="CD262" s="868" t="str">
        <f>IFERROR(__xludf.DUMMYFUNCTION("IF(OR(C262=""AÇÃO"",C262=""BDR""),IFERROR(GOOGLEFINANCE(CONCAT(""BVMF:"",CR262), ""volumeavg"")/1000000,""NC""),"""")"),"")</f>
        <v/>
      </c>
      <c r="CE262" s="870" t="s">
        <v>123</v>
      </c>
      <c r="CF262" s="870" t="s">
        <v>123</v>
      </c>
      <c r="CG262" s="870" t="str">
        <f>IFERROR(__xludf.DUMMYFUNCTION("IF(OR(C262=""AÇÃO"",C262=""BDR""),IF(CF262=0,""SEM DY"",IFERROR(ImportXML(CONCAT(""http://www.guiainvest.com.br/raiox/default.aspx?sigla="",$CR262),""//*[@id='lbPayoutAtual']""),""NC"")),"""")"),"")</f>
        <v/>
      </c>
      <c r="CH262" s="870" t="s">
        <v>123</v>
      </c>
      <c r="CI262" s="545"/>
      <c r="CJ262" s="871" t="str">
        <f>IFERROR(__xludf.DUMMYFUNCTION("IF(OR(C262=""AÇÃO"",C262=""BDR""),IFERROR(GOOGLEFINANCE(CONCAT(""BVMF:"",CR262), ""eps""),""NC""),"""")"),"")</f>
        <v/>
      </c>
      <c r="CK262" s="442"/>
      <c r="CL262" s="871" t="str">
        <f>IFERROR(__xludf.DUMMYFUNCTION("IF(NOT($BL$4),"""",IF($CR262="""","""",IF($BC262="""","""",IFERROR(query({op.normal!$B$5:$F308},""select Col5, toDate(Col2) where Col1 =  '""&amp;$CR262&amp;""' and Col4 &gt; 0 and ((Col3 is null) or (Col3 = 'C')) and Col2 &gt;= date '""&amp;TEXT(TODAY()-$AQ$5,""yyyy-mm-dd"&amp;""")&amp;""' order by Col2 desc limit 1 label toDate(Col2) ''"")))))"),"")</f>
        <v/>
      </c>
      <c r="CM262" s="872"/>
      <c r="CN262" s="883" t="s">
        <v>123</v>
      </c>
      <c r="CO262" s="874" t="s">
        <v>123</v>
      </c>
      <c r="CP262" s="766"/>
      <c r="CQ262" s="791"/>
      <c r="CR262" s="791"/>
      <c r="CT262" s="791" t="s">
        <v>123</v>
      </c>
      <c r="CU262" s="791" t="str">
        <f>IFERROR(__xludf.DUMMYFUNCTION("IF(CR262="""","""",IF(CT262=$C$4,1,GOOGLEFINANCE(CT262&amp;$C$4)))"),"")</f>
        <v/>
      </c>
    </row>
    <row r="263" ht="22.5" customHeight="1">
      <c r="A263" s="837">
        <v>255.0</v>
      </c>
      <c r="B263" s="838" t="s">
        <v>123</v>
      </c>
      <c r="C263" s="838" t="s">
        <v>123</v>
      </c>
      <c r="D263" s="839" t="s">
        <v>123</v>
      </c>
      <c r="E263" s="839" t="s">
        <v>123</v>
      </c>
      <c r="F263" s="839" t="s">
        <v>123</v>
      </c>
      <c r="H263" s="884"/>
      <c r="I263" s="838"/>
      <c r="J263" s="838"/>
      <c r="K263" s="838"/>
      <c r="L263" s="838"/>
      <c r="M263" s="838"/>
      <c r="N263" s="838"/>
      <c r="O263" s="838"/>
      <c r="P263" s="838"/>
      <c r="Q263" s="838"/>
      <c r="R263" s="838"/>
      <c r="S263" s="838"/>
      <c r="T263" s="838"/>
      <c r="U263" s="838"/>
      <c r="V263" s="838"/>
      <c r="W263" s="838"/>
      <c r="X263" s="838"/>
      <c r="Z263" s="875" t="str">
        <f>IFERROR(__xludf.DUMMYFUNCTION("IF($CR263="""","""",IFERROR(query({CarteirasAtivos},""select Col4 where Col4 is not null and Col1 = '""&amp;$CR263&amp;""' limit 1"")*CU263,""NC""))"),"")</f>
        <v/>
      </c>
      <c r="AA263" s="876" t="str">
        <f>IFERROR(__xludf.DUMMYFUNCTION("IF($CR263="""","""",IFERROR(query({CarteirasAtivos},""select Col6 where Col4 is not null and Col1 = '""&amp;$CR263&amp;""' limit 1""),""NC""))"),"")</f>
        <v/>
      </c>
      <c r="AB263" s="877"/>
      <c r="AC263" s="878" t="s">
        <v>123</v>
      </c>
      <c r="AD263" s="845" t="str">
        <f>IF($CR263="","",IFERROR(VLOOKUP($CR263,ativos.!$C$3:$R308,MATCH("cotacao",ativos.!$C$2:CY$2,0),FALSE)*$CU$5,"atualizar"))</f>
        <v/>
      </c>
      <c r="AE263" s="846" t="str">
        <f>IFERROR(__xludf.DUMMYFUNCTION("IF($CR263="""","""",IFERROR(AVERAGE(query({CarteirasAtivos;CarteirasAtivosEncerrados},""select Col5 where Col5 is not null and Col1 = '""&amp;$CR263&amp;""' and Col10='SIM'""))*CU263,""NC""))"),"")</f>
        <v/>
      </c>
      <c r="AF263" s="847" t="str">
        <f t="shared" si="1"/>
        <v/>
      </c>
      <c r="AG263" s="442"/>
      <c r="AH263" s="848" t="str">
        <f>IFERROR(__xludf.DUMMYFUNCTION("IF($CR263="""","""",IFERROR(GOOGLEFINANCE($CR263,""low52"")*CU263,""-""))"),"")</f>
        <v/>
      </c>
      <c r="AI263" s="848" t="str">
        <f>IFERROR(__xludf.DUMMYFUNCTION("IF($CR263="""","""",IFERROR(GOOGLEFINANCE($CR263,""high52"")*CU263,""-""))"),"")</f>
        <v/>
      </c>
      <c r="AJ263" s="849" t="s">
        <v>123</v>
      </c>
      <c r="AK263" s="850" t="str">
        <f>IFERROR(__xludf.DUMMYFUNCTION("IF($CR263="""","""",IFERROR(GOOGLEFINANCE($CR263,""changepct"")/100,""-""))"),"")</f>
        <v/>
      </c>
      <c r="AL263" s="851" t="str">
        <f>IFERROR(__xludf.DUMMYFUNCTION("IF($CR263="""","""",IFERROR(($AD263/(QUERY(GOOGLEFINANCE($CR263,""price"",TODAY()-7),""SELECT Col2 label Col2 ''"")*$CU263)-1),""-""))"),"")</f>
        <v/>
      </c>
      <c r="AM263" s="851" t="str">
        <f>IFERROR(__xludf.DUMMYFUNCTION("IF($CR263="""","""",IFERROR(($AD263/(QUERY(GOOGLEFINANCE($CR263,""price"",TODAY()-14),""SELECT Col2 label Col2 ''"")*$CU263)-1),""-""))"),"")</f>
        <v/>
      </c>
      <c r="AN263" s="851" t="str">
        <f>IFERROR(__xludf.DUMMYFUNCTION("IF($CR263="""","""",IFERROR(($AD263/(QUERY(GOOGLEFINANCE($CR263,""price"",TODAY()-28),""SELECT Col2 label Col2 ''"")*$CU263)-1),""-""))"),"")</f>
        <v/>
      </c>
      <c r="AO263" s="851" t="str">
        <f>IFERROR(__xludf.DUMMYFUNCTION("IF($CR263="""","""",IFERROR(($AD263/(QUERY(GOOGLEFINANCE($CR263,""price"",TODAY()-$AQ$5),""SELECT Col2 label Col2 ''"")*$CU263)-1),""-""))"),"")</f>
        <v/>
      </c>
      <c r="AP263" s="852" t="str">
        <f>IFERROR(__xludf.DUMMYFUNCTION("IF($CR263="""","""",IFERROR(SPARKLINE(query(GOOGLEFINANCE($CR263,""price"",TODAY()-$AQ$5,TODAY(),1),""select Col2 label Col2 ''""),IF($AP$7=""Gráfico de barras"",{""charttype"",""column"";""highcolor"",""red""},{""chartype"",""line""}))))"),"")</f>
        <v/>
      </c>
      <c r="AQ263" s="144"/>
      <c r="AR263" s="853"/>
      <c r="AS263" s="854" t="str">
        <f>IF($CR263="","",IF(NOT('alocação'!$D$1),"off",IFERROR(VLOOKUP(CR263,BalanceAtivos,3,0),"NC")))</f>
        <v/>
      </c>
      <c r="AT263" s="855" t="str">
        <f>IF($CR263="","",IF(NOT('alocação'!$D$1),"off",IFERROR(VLOOKUP($CR263,BalanceAtivos,4,0)*$CU$5,"NC")))</f>
        <v/>
      </c>
      <c r="AU263" s="856" t="str">
        <f>IF($CR263="","",IF(NOT('alocação'!$D$1),"off",IFERROR(VLOOKUP($CR263,BalanceAtivos,5,0),"-")))</f>
        <v/>
      </c>
      <c r="AV263" s="856" t="str">
        <f>IF($CR263="","",IF(NOT('alocação'!$D$1),"off",IFERROR(VLOOKUP($CR263,BalanceAtivos,6,0),"-")))</f>
        <v/>
      </c>
      <c r="AW263" s="857"/>
      <c r="AX263" s="858" t="str">
        <f>IF($CR263="","",IF($E263="","SP",IFERROR(VLOOKUP($CR263,AtivosDados,MATCH("pm_atual",portfolio.!$A$3:CY$3,0),0)*$CU$5,0)))</f>
        <v/>
      </c>
      <c r="AY263" s="859" t="str">
        <f t="shared" si="2"/>
        <v/>
      </c>
      <c r="AZ263" s="858" t="str">
        <f>IF($CR263="","",IF($E263="","SP",SUMIF(portfolio.!$A$4:$A308,$CR263,portfolio.!$O$4:$O308)*$CU$5))</f>
        <v/>
      </c>
      <c r="BA263" s="858" t="str">
        <f>IF($CR263="","",IF($E263="","SP",SUMIF(portfolio.!$A$4:$A308,$CR263,portfolio.!$AN$4:$AN308)*$CU$5))</f>
        <v/>
      </c>
      <c r="BB263" s="860" t="str">
        <f>IF($CR263="","",IF($E263="","-",IFERROR($BA263/'portfólio'!$DG$63,"")))</f>
        <v/>
      </c>
      <c r="BC263" s="861" t="str">
        <f>IF($CR263="","",IF($E263="","-",SUMIF(portfolio.!$A$4:$A308,$CR263,portfolio.!$J$4:$J308)))</f>
        <v/>
      </c>
      <c r="BD263" s="862" t="str">
        <f>IF($CR263="","",IF($E263="","SP",SUMIF(portfolio.!$A$4:$A308,$CR263,portfolio.!$AQ$4:$AQ308)*$CU$5))</f>
        <v/>
      </c>
      <c r="BE263" s="850" t="str">
        <f t="shared" si="3"/>
        <v/>
      </c>
      <c r="BF263" s="862" t="str">
        <f>IF($CR263="","",IF($E263="","-",SUMIF(portfolio.!$A$4:$A308,$CR263,portfolio.!$AX$4:$AX308)*$CU$5))</f>
        <v/>
      </c>
      <c r="BG263" s="545"/>
      <c r="BH263" s="879" t="s">
        <v>123</v>
      </c>
      <c r="BI263" s="880" t="s">
        <v>123</v>
      </c>
      <c r="BJ263" s="863" t="str">
        <f>IFERROR(__xludf.DUMMYFUNCTION("IF(NOT($BL$4),"""",IF($CR263="""","""",IFERROR(query({GOOGLEFINANCE($CR263,""price"",IF($BI263=""-"",TODAY()-($AQ$5+5),$BI263),TODAY()-1)},""Select max(Col2) where Col1 is not null label max(Col2) ''"")*CU263,""-"")))"),"")</f>
        <v/>
      </c>
      <c r="BK263" s="881" t="s">
        <v>123</v>
      </c>
      <c r="BL263" s="882" t="s">
        <v>123</v>
      </c>
      <c r="BM263" s="442"/>
      <c r="BN263" s="867" t="str">
        <f>IFERROR(__xludf.DUMMYFUNCTION("IF(CR263="""","""",IF(OR(C263=""AÇÃO"",C263=""BDR""),IFERROR(QUERY({fundamentus.!$A$3:$U308},$CX$67&amp;"" where Col1='""&amp;CR263&amp;""' limit 1"",0)),IF(C263=""FII"",IFERROR(QUERY({fundsexplorer.!$A$2:$Z308},$CY$67&amp;"" where Col1='""&amp;CR263&amp;""' limit 1"",0)),""""))"&amp;")"),"")</f>
        <v/>
      </c>
      <c r="BO263" s="867"/>
      <c r="BP263" s="867"/>
      <c r="BQ263" s="867"/>
      <c r="BR263" s="867"/>
      <c r="BS263" s="867"/>
      <c r="BT263" s="867"/>
      <c r="BU263" s="442"/>
      <c r="BV263" s="868" t="str">
        <f>IFERROR(__xludf.DUMMYFUNCTION("IF(OR(C263=""AÇÃO"",C263=""BDR""),IFERROR(GOOGLEFINANCE(CONCAT(""BVMF:"",CR263), ""marketcap"")/1000000,""NC""),"""")"),"")</f>
        <v/>
      </c>
      <c r="BW263" s="869" t="s">
        <v>123</v>
      </c>
      <c r="BX263" s="870" t="s">
        <v>123</v>
      </c>
      <c r="BY263" s="868" t="s">
        <v>123</v>
      </c>
      <c r="BZ263" s="870" t="s">
        <v>123</v>
      </c>
      <c r="CA263" s="868" t="s">
        <v>123</v>
      </c>
      <c r="CB263" s="868" t="s">
        <v>123</v>
      </c>
      <c r="CC263" s="868" t="s">
        <v>123</v>
      </c>
      <c r="CD263" s="868" t="str">
        <f>IFERROR(__xludf.DUMMYFUNCTION("IF(OR(C263=""AÇÃO"",C263=""BDR""),IFERROR(GOOGLEFINANCE(CONCAT(""BVMF:"",CR263), ""volumeavg"")/1000000,""NC""),"""")"),"")</f>
        <v/>
      </c>
      <c r="CE263" s="870" t="s">
        <v>123</v>
      </c>
      <c r="CF263" s="870" t="s">
        <v>123</v>
      </c>
      <c r="CG263" s="870" t="str">
        <f>IFERROR(__xludf.DUMMYFUNCTION("IF(OR(C263=""AÇÃO"",C263=""BDR""),IF(CF263=0,""SEM DY"",IFERROR(ImportXML(CONCAT(""http://www.guiainvest.com.br/raiox/default.aspx?sigla="",$CR263),""//*[@id='lbPayoutAtual']""),""NC"")),"""")"),"")</f>
        <v/>
      </c>
      <c r="CH263" s="870" t="s">
        <v>123</v>
      </c>
      <c r="CI263" s="545"/>
      <c r="CJ263" s="871" t="str">
        <f>IFERROR(__xludf.DUMMYFUNCTION("IF(OR(C263=""AÇÃO"",C263=""BDR""),IFERROR(GOOGLEFINANCE(CONCAT(""BVMF:"",CR263), ""eps""),""NC""),"""")"),"")</f>
        <v/>
      </c>
      <c r="CK263" s="442"/>
      <c r="CL263" s="871" t="str">
        <f>IFERROR(__xludf.DUMMYFUNCTION("IF(NOT($BL$4),"""",IF($CR263="""","""",IF($BC263="""","""",IFERROR(query({op.normal!$B$5:$F308},""select Col5, toDate(Col2) where Col1 =  '""&amp;$CR263&amp;""' and Col4 &gt; 0 and ((Col3 is null) or (Col3 = 'C')) and Col2 &gt;= date '""&amp;TEXT(TODAY()-$AQ$5,""yyyy-mm-dd"&amp;""")&amp;""' order by Col2 desc limit 1 label toDate(Col2) ''"")))))"),"")</f>
        <v/>
      </c>
      <c r="CM263" s="872"/>
      <c r="CN263" s="883" t="s">
        <v>123</v>
      </c>
      <c r="CO263" s="874" t="s">
        <v>123</v>
      </c>
      <c r="CP263" s="766"/>
      <c r="CQ263" s="791"/>
      <c r="CR263" s="791"/>
      <c r="CT263" s="791" t="s">
        <v>123</v>
      </c>
      <c r="CU263" s="791" t="str">
        <f>IFERROR(__xludf.DUMMYFUNCTION("IF(CR263="""","""",IF(CT263=$C$4,1,GOOGLEFINANCE(CT263&amp;$C$4)))"),"")</f>
        <v/>
      </c>
    </row>
    <row r="264" ht="22.5" customHeight="1">
      <c r="A264" s="837">
        <v>256.0</v>
      </c>
      <c r="B264" s="838" t="s">
        <v>123</v>
      </c>
      <c r="C264" s="838" t="s">
        <v>123</v>
      </c>
      <c r="D264" s="839" t="s">
        <v>123</v>
      </c>
      <c r="E264" s="839" t="s">
        <v>123</v>
      </c>
      <c r="F264" s="839" t="s">
        <v>123</v>
      </c>
      <c r="H264" s="884"/>
      <c r="I264" s="838"/>
      <c r="J264" s="838"/>
      <c r="K264" s="838"/>
      <c r="L264" s="838"/>
      <c r="M264" s="838"/>
      <c r="N264" s="838"/>
      <c r="O264" s="838"/>
      <c r="P264" s="838"/>
      <c r="Q264" s="838"/>
      <c r="R264" s="838"/>
      <c r="S264" s="838"/>
      <c r="T264" s="838"/>
      <c r="U264" s="838"/>
      <c r="V264" s="838"/>
      <c r="W264" s="838"/>
      <c r="X264" s="838"/>
      <c r="Z264" s="875" t="str">
        <f>IFERROR(__xludf.DUMMYFUNCTION("IF($CR264="""","""",IFERROR(query({CarteirasAtivos},""select Col4 where Col4 is not null and Col1 = '""&amp;$CR264&amp;""' limit 1"")*CU264,""NC""))"),"")</f>
        <v/>
      </c>
      <c r="AA264" s="876" t="str">
        <f>IFERROR(__xludf.DUMMYFUNCTION("IF($CR264="""","""",IFERROR(query({CarteirasAtivos},""select Col6 where Col4 is not null and Col1 = '""&amp;$CR264&amp;""' limit 1""),""NC""))"),"")</f>
        <v/>
      </c>
      <c r="AB264" s="877"/>
      <c r="AC264" s="878" t="s">
        <v>123</v>
      </c>
      <c r="AD264" s="845" t="str">
        <f>IF($CR264="","",IFERROR(VLOOKUP($CR264,ativos.!$C$3:$R308,MATCH("cotacao",ativos.!$C$2:CY$2,0),FALSE)*$CU$5,"atualizar"))</f>
        <v/>
      </c>
      <c r="AE264" s="846" t="str">
        <f>IFERROR(__xludf.DUMMYFUNCTION("IF($CR264="""","""",IFERROR(AVERAGE(query({CarteirasAtivos;CarteirasAtivosEncerrados},""select Col5 where Col5 is not null and Col1 = '""&amp;$CR264&amp;""' and Col10='SIM'""))*CU264,""NC""))"),"")</f>
        <v/>
      </c>
      <c r="AF264" s="847" t="str">
        <f t="shared" si="1"/>
        <v/>
      </c>
      <c r="AG264" s="442"/>
      <c r="AH264" s="848" t="str">
        <f>IFERROR(__xludf.DUMMYFUNCTION("IF($CR264="""","""",IFERROR(GOOGLEFINANCE($CR264,""low52"")*CU264,""-""))"),"")</f>
        <v/>
      </c>
      <c r="AI264" s="848" t="str">
        <f>IFERROR(__xludf.DUMMYFUNCTION("IF($CR264="""","""",IFERROR(GOOGLEFINANCE($CR264,""high52"")*CU264,""-""))"),"")</f>
        <v/>
      </c>
      <c r="AJ264" s="849" t="s">
        <v>123</v>
      </c>
      <c r="AK264" s="850" t="str">
        <f>IFERROR(__xludf.DUMMYFUNCTION("IF($CR264="""","""",IFERROR(GOOGLEFINANCE($CR264,""changepct"")/100,""-""))"),"")</f>
        <v/>
      </c>
      <c r="AL264" s="851" t="str">
        <f>IFERROR(__xludf.DUMMYFUNCTION("IF($CR264="""","""",IFERROR(($AD264/(QUERY(GOOGLEFINANCE($CR264,""price"",TODAY()-7),""SELECT Col2 label Col2 ''"")*$CU264)-1),""-""))"),"")</f>
        <v/>
      </c>
      <c r="AM264" s="851" t="str">
        <f>IFERROR(__xludf.DUMMYFUNCTION("IF($CR264="""","""",IFERROR(($AD264/(QUERY(GOOGLEFINANCE($CR264,""price"",TODAY()-14),""SELECT Col2 label Col2 ''"")*$CU264)-1),""-""))"),"")</f>
        <v/>
      </c>
      <c r="AN264" s="851" t="str">
        <f>IFERROR(__xludf.DUMMYFUNCTION("IF($CR264="""","""",IFERROR(($AD264/(QUERY(GOOGLEFINANCE($CR264,""price"",TODAY()-28),""SELECT Col2 label Col2 ''"")*$CU264)-1),""-""))"),"")</f>
        <v/>
      </c>
      <c r="AO264" s="851" t="str">
        <f>IFERROR(__xludf.DUMMYFUNCTION("IF($CR264="""","""",IFERROR(($AD264/(QUERY(GOOGLEFINANCE($CR264,""price"",TODAY()-$AQ$5),""SELECT Col2 label Col2 ''"")*$CU264)-1),""-""))"),"")</f>
        <v/>
      </c>
      <c r="AP264" s="852" t="str">
        <f>IFERROR(__xludf.DUMMYFUNCTION("IF($CR264="""","""",IFERROR(SPARKLINE(query(GOOGLEFINANCE($CR264,""price"",TODAY()-$AQ$5,TODAY(),1),""select Col2 label Col2 ''""),IF($AP$7=""Gráfico de barras"",{""charttype"",""column"";""highcolor"",""red""},{""chartype"",""line""}))))"),"")</f>
        <v/>
      </c>
      <c r="AQ264" s="144"/>
      <c r="AR264" s="853"/>
      <c r="AS264" s="854" t="str">
        <f>IF($CR264="","",IF(NOT('alocação'!$D$1),"off",IFERROR(VLOOKUP(CR264,BalanceAtivos,3,0),"NC")))</f>
        <v/>
      </c>
      <c r="AT264" s="855" t="str">
        <f>IF($CR264="","",IF(NOT('alocação'!$D$1),"off",IFERROR(VLOOKUP($CR264,BalanceAtivos,4,0)*$CU$5,"NC")))</f>
        <v/>
      </c>
      <c r="AU264" s="856" t="str">
        <f>IF($CR264="","",IF(NOT('alocação'!$D$1),"off",IFERROR(VLOOKUP($CR264,BalanceAtivos,5,0),"-")))</f>
        <v/>
      </c>
      <c r="AV264" s="856" t="str">
        <f>IF($CR264="","",IF(NOT('alocação'!$D$1),"off",IFERROR(VLOOKUP($CR264,BalanceAtivos,6,0),"-")))</f>
        <v/>
      </c>
      <c r="AW264" s="857"/>
      <c r="AX264" s="858" t="str">
        <f>IF($CR264="","",IF($E264="","SP",IFERROR(VLOOKUP($CR264,AtivosDados,MATCH("pm_atual",portfolio.!$A$3:CY$3,0),0)*$CU$5,0)))</f>
        <v/>
      </c>
      <c r="AY264" s="859" t="str">
        <f t="shared" si="2"/>
        <v/>
      </c>
      <c r="AZ264" s="858" t="str">
        <f>IF($CR264="","",IF($E264="","SP",SUMIF(portfolio.!$A$4:$A308,$CR264,portfolio.!$O$4:$O308)*$CU$5))</f>
        <v/>
      </c>
      <c r="BA264" s="858" t="str">
        <f>IF($CR264="","",IF($E264="","SP",SUMIF(portfolio.!$A$4:$A308,$CR264,portfolio.!$AN$4:$AN308)*$CU$5))</f>
        <v/>
      </c>
      <c r="BB264" s="860" t="str">
        <f>IF($CR264="","",IF($E264="","-",IFERROR($BA264/'portfólio'!$DG$63,"")))</f>
        <v/>
      </c>
      <c r="BC264" s="861" t="str">
        <f>IF($CR264="","",IF($E264="","-",SUMIF(portfolio.!$A$4:$A308,$CR264,portfolio.!$J$4:$J308)))</f>
        <v/>
      </c>
      <c r="BD264" s="862" t="str">
        <f>IF($CR264="","",IF($E264="","SP",SUMIF(portfolio.!$A$4:$A308,$CR264,portfolio.!$AQ$4:$AQ308)*$CU$5))</f>
        <v/>
      </c>
      <c r="BE264" s="850" t="str">
        <f t="shared" si="3"/>
        <v/>
      </c>
      <c r="BF264" s="862" t="str">
        <f>IF($CR264="","",IF($E264="","-",SUMIF(portfolio.!$A$4:$A308,$CR264,portfolio.!$AX$4:$AX308)*$CU$5))</f>
        <v/>
      </c>
      <c r="BG264" s="545"/>
      <c r="BH264" s="879" t="s">
        <v>123</v>
      </c>
      <c r="BI264" s="880" t="s">
        <v>123</v>
      </c>
      <c r="BJ264" s="863" t="str">
        <f>IFERROR(__xludf.DUMMYFUNCTION("IF(NOT($BL$4),"""",IF($CR264="""","""",IFERROR(query({GOOGLEFINANCE($CR264,""price"",IF($BI264=""-"",TODAY()-($AQ$5+5),$BI264),TODAY()-1)},""Select max(Col2) where Col1 is not null label max(Col2) ''"")*CU264,""-"")))"),"")</f>
        <v/>
      </c>
      <c r="BK264" s="881" t="s">
        <v>123</v>
      </c>
      <c r="BL264" s="882" t="s">
        <v>123</v>
      </c>
      <c r="BM264" s="442"/>
      <c r="BN264" s="867" t="str">
        <f>IFERROR(__xludf.DUMMYFUNCTION("IF(CR264="""","""",IF(OR(C264=""AÇÃO"",C264=""BDR""),IFERROR(QUERY({fundamentus.!$A$3:$U308},$CX$67&amp;"" where Col1='""&amp;CR264&amp;""' limit 1"",0)),IF(C264=""FII"",IFERROR(QUERY({fundsexplorer.!$A$2:$Z308},$CY$67&amp;"" where Col1='""&amp;CR264&amp;""' limit 1"",0)),""""))"&amp;")"),"")</f>
        <v/>
      </c>
      <c r="BO264" s="867"/>
      <c r="BP264" s="867"/>
      <c r="BQ264" s="867"/>
      <c r="BR264" s="867"/>
      <c r="BS264" s="867"/>
      <c r="BT264" s="867"/>
      <c r="BU264" s="442"/>
      <c r="BV264" s="868" t="str">
        <f>IFERROR(__xludf.DUMMYFUNCTION("IF(OR(C264=""AÇÃO"",C264=""BDR""),IFERROR(GOOGLEFINANCE(CONCAT(""BVMF:"",CR264), ""marketcap"")/1000000,""NC""),"""")"),"")</f>
        <v/>
      </c>
      <c r="BW264" s="869" t="s">
        <v>123</v>
      </c>
      <c r="BX264" s="870" t="s">
        <v>123</v>
      </c>
      <c r="BY264" s="868" t="s">
        <v>123</v>
      </c>
      <c r="BZ264" s="870" t="s">
        <v>123</v>
      </c>
      <c r="CA264" s="868" t="s">
        <v>123</v>
      </c>
      <c r="CB264" s="868" t="s">
        <v>123</v>
      </c>
      <c r="CC264" s="868" t="s">
        <v>123</v>
      </c>
      <c r="CD264" s="868" t="str">
        <f>IFERROR(__xludf.DUMMYFUNCTION("IF(OR(C264=""AÇÃO"",C264=""BDR""),IFERROR(GOOGLEFINANCE(CONCAT(""BVMF:"",CR264), ""volumeavg"")/1000000,""NC""),"""")"),"")</f>
        <v/>
      </c>
      <c r="CE264" s="870" t="s">
        <v>123</v>
      </c>
      <c r="CF264" s="870" t="s">
        <v>123</v>
      </c>
      <c r="CG264" s="870" t="str">
        <f>IFERROR(__xludf.DUMMYFUNCTION("IF(OR(C264=""AÇÃO"",C264=""BDR""),IF(CF264=0,""SEM DY"",IFERROR(ImportXML(CONCAT(""http://www.guiainvest.com.br/raiox/default.aspx?sigla="",$CR264),""//*[@id='lbPayoutAtual']""),""NC"")),"""")"),"")</f>
        <v/>
      </c>
      <c r="CH264" s="870" t="s">
        <v>123</v>
      </c>
      <c r="CI264" s="545"/>
      <c r="CJ264" s="871" t="str">
        <f>IFERROR(__xludf.DUMMYFUNCTION("IF(OR(C264=""AÇÃO"",C264=""BDR""),IFERROR(GOOGLEFINANCE(CONCAT(""BVMF:"",CR264), ""eps""),""NC""),"""")"),"")</f>
        <v/>
      </c>
      <c r="CK264" s="442"/>
      <c r="CL264" s="871" t="str">
        <f>IFERROR(__xludf.DUMMYFUNCTION("IF(NOT($BL$4),"""",IF($CR264="""","""",IF($BC264="""","""",IFERROR(query({op.normal!$B$5:$F308},""select Col5, toDate(Col2) where Col1 =  '""&amp;$CR264&amp;""' and Col4 &gt; 0 and ((Col3 is null) or (Col3 = 'C')) and Col2 &gt;= date '""&amp;TEXT(TODAY()-$AQ$5,""yyyy-mm-dd"&amp;""")&amp;""' order by Col2 desc limit 1 label toDate(Col2) ''"")))))"),"")</f>
        <v/>
      </c>
      <c r="CM264" s="872"/>
      <c r="CN264" s="883" t="s">
        <v>123</v>
      </c>
      <c r="CO264" s="874" t="s">
        <v>123</v>
      </c>
      <c r="CP264" s="766"/>
      <c r="CQ264" s="791"/>
      <c r="CR264" s="791"/>
      <c r="CT264" s="791" t="s">
        <v>123</v>
      </c>
      <c r="CU264" s="791" t="str">
        <f>IFERROR(__xludf.DUMMYFUNCTION("IF(CR264="""","""",IF(CT264=$C$4,1,GOOGLEFINANCE(CT264&amp;$C$4)))"),"")</f>
        <v/>
      </c>
    </row>
    <row r="265" ht="22.5" customHeight="1">
      <c r="A265" s="837">
        <v>257.0</v>
      </c>
      <c r="B265" s="838" t="s">
        <v>123</v>
      </c>
      <c r="C265" s="838" t="s">
        <v>123</v>
      </c>
      <c r="D265" s="839" t="s">
        <v>123</v>
      </c>
      <c r="E265" s="839" t="s">
        <v>123</v>
      </c>
      <c r="F265" s="839" t="s">
        <v>123</v>
      </c>
      <c r="H265" s="884"/>
      <c r="I265" s="838"/>
      <c r="J265" s="838"/>
      <c r="K265" s="838"/>
      <c r="L265" s="838"/>
      <c r="M265" s="838"/>
      <c r="N265" s="838"/>
      <c r="O265" s="838"/>
      <c r="P265" s="838"/>
      <c r="Q265" s="838"/>
      <c r="R265" s="838"/>
      <c r="S265" s="838"/>
      <c r="T265" s="838"/>
      <c r="U265" s="838"/>
      <c r="V265" s="838"/>
      <c r="W265" s="838"/>
      <c r="X265" s="838"/>
      <c r="Z265" s="875" t="str">
        <f>IFERROR(__xludf.DUMMYFUNCTION("IF($CR265="""","""",IFERROR(query({CarteirasAtivos},""select Col4 where Col4 is not null and Col1 = '""&amp;$CR265&amp;""' limit 1"")*CU265,""NC""))"),"")</f>
        <v/>
      </c>
      <c r="AA265" s="876" t="str">
        <f>IFERROR(__xludf.DUMMYFUNCTION("IF($CR265="""","""",IFERROR(query({CarteirasAtivos},""select Col6 where Col4 is not null and Col1 = '""&amp;$CR265&amp;""' limit 1""),""NC""))"),"")</f>
        <v/>
      </c>
      <c r="AB265" s="877"/>
      <c r="AC265" s="878" t="s">
        <v>123</v>
      </c>
      <c r="AD265" s="845" t="str">
        <f>IF($CR265="","",IFERROR(VLOOKUP($CR265,ativos.!$C$3:$R308,MATCH("cotacao",ativos.!$C$2:CY$2,0),FALSE)*$CU$5,"atualizar"))</f>
        <v/>
      </c>
      <c r="AE265" s="846" t="str">
        <f>IFERROR(__xludf.DUMMYFUNCTION("IF($CR265="""","""",IFERROR(AVERAGE(query({CarteirasAtivos;CarteirasAtivosEncerrados},""select Col5 where Col5 is not null and Col1 = '""&amp;$CR265&amp;""' and Col10='SIM'""))*CU265,""NC""))"),"")</f>
        <v/>
      </c>
      <c r="AF265" s="847" t="str">
        <f t="shared" si="1"/>
        <v/>
      </c>
      <c r="AG265" s="442"/>
      <c r="AH265" s="848" t="str">
        <f>IFERROR(__xludf.DUMMYFUNCTION("IF($CR265="""","""",IFERROR(GOOGLEFINANCE($CR265,""low52"")*CU265,""-""))"),"")</f>
        <v/>
      </c>
      <c r="AI265" s="848" t="str">
        <f>IFERROR(__xludf.DUMMYFUNCTION("IF($CR265="""","""",IFERROR(GOOGLEFINANCE($CR265,""high52"")*CU265,""-""))"),"")</f>
        <v/>
      </c>
      <c r="AJ265" s="849" t="s">
        <v>123</v>
      </c>
      <c r="AK265" s="850" t="str">
        <f>IFERROR(__xludf.DUMMYFUNCTION("IF($CR265="""","""",IFERROR(GOOGLEFINANCE($CR265,""changepct"")/100,""-""))"),"")</f>
        <v/>
      </c>
      <c r="AL265" s="851" t="str">
        <f>IFERROR(__xludf.DUMMYFUNCTION("IF($CR265="""","""",IFERROR(($AD265/(QUERY(GOOGLEFINANCE($CR265,""price"",TODAY()-7),""SELECT Col2 label Col2 ''"")*$CU265)-1),""-""))"),"")</f>
        <v/>
      </c>
      <c r="AM265" s="851" t="str">
        <f>IFERROR(__xludf.DUMMYFUNCTION("IF($CR265="""","""",IFERROR(($AD265/(QUERY(GOOGLEFINANCE($CR265,""price"",TODAY()-14),""SELECT Col2 label Col2 ''"")*$CU265)-1),""-""))"),"")</f>
        <v/>
      </c>
      <c r="AN265" s="851" t="str">
        <f>IFERROR(__xludf.DUMMYFUNCTION("IF($CR265="""","""",IFERROR(($AD265/(QUERY(GOOGLEFINANCE($CR265,""price"",TODAY()-28),""SELECT Col2 label Col2 ''"")*$CU265)-1),""-""))"),"")</f>
        <v/>
      </c>
      <c r="AO265" s="851" t="str">
        <f>IFERROR(__xludf.DUMMYFUNCTION("IF($CR265="""","""",IFERROR(($AD265/(QUERY(GOOGLEFINANCE($CR265,""price"",TODAY()-$AQ$5),""SELECT Col2 label Col2 ''"")*$CU265)-1),""-""))"),"")</f>
        <v/>
      </c>
      <c r="AP265" s="852" t="str">
        <f>IFERROR(__xludf.DUMMYFUNCTION("IF($CR265="""","""",IFERROR(SPARKLINE(query(GOOGLEFINANCE($CR265,""price"",TODAY()-$AQ$5,TODAY(),1),""select Col2 label Col2 ''""),IF($AP$7=""Gráfico de barras"",{""charttype"",""column"";""highcolor"",""red""},{""chartype"",""line""}))))"),"")</f>
        <v/>
      </c>
      <c r="AQ265" s="144"/>
      <c r="AR265" s="853"/>
      <c r="AS265" s="854" t="str">
        <f>IF($CR265="","",IF(NOT('alocação'!$D$1),"off",IFERROR(VLOOKUP(CR265,BalanceAtivos,3,0),"NC")))</f>
        <v/>
      </c>
      <c r="AT265" s="855" t="str">
        <f>IF($CR265="","",IF(NOT('alocação'!$D$1),"off",IFERROR(VLOOKUP($CR265,BalanceAtivos,4,0)*$CU$5,"NC")))</f>
        <v/>
      </c>
      <c r="AU265" s="856" t="str">
        <f>IF($CR265="","",IF(NOT('alocação'!$D$1),"off",IFERROR(VLOOKUP($CR265,BalanceAtivos,5,0),"-")))</f>
        <v/>
      </c>
      <c r="AV265" s="856" t="str">
        <f>IF($CR265="","",IF(NOT('alocação'!$D$1),"off",IFERROR(VLOOKUP($CR265,BalanceAtivos,6,0),"-")))</f>
        <v/>
      </c>
      <c r="AW265" s="857"/>
      <c r="AX265" s="858" t="str">
        <f>IF($CR265="","",IF($E265="","SP",IFERROR(VLOOKUP($CR265,AtivosDados,MATCH("pm_atual",portfolio.!$A$3:CY$3,0),0)*$CU$5,0)))</f>
        <v/>
      </c>
      <c r="AY265" s="859" t="str">
        <f t="shared" si="2"/>
        <v/>
      </c>
      <c r="AZ265" s="858" t="str">
        <f>IF($CR265="","",IF($E265="","SP",SUMIF(portfolio.!$A$4:$A308,$CR265,portfolio.!$O$4:$O308)*$CU$5))</f>
        <v/>
      </c>
      <c r="BA265" s="858" t="str">
        <f>IF($CR265="","",IF($E265="","SP",SUMIF(portfolio.!$A$4:$A308,$CR265,portfolio.!$AN$4:$AN308)*$CU$5))</f>
        <v/>
      </c>
      <c r="BB265" s="860" t="str">
        <f>IF($CR265="","",IF($E265="","-",IFERROR($BA265/'portfólio'!$DG$63,"")))</f>
        <v/>
      </c>
      <c r="BC265" s="861" t="str">
        <f>IF($CR265="","",IF($E265="","-",SUMIF(portfolio.!$A$4:$A308,$CR265,portfolio.!$J$4:$J308)))</f>
        <v/>
      </c>
      <c r="BD265" s="862" t="str">
        <f>IF($CR265="","",IF($E265="","SP",SUMIF(portfolio.!$A$4:$A308,$CR265,portfolio.!$AQ$4:$AQ308)*$CU$5))</f>
        <v/>
      </c>
      <c r="BE265" s="850" t="str">
        <f t="shared" si="3"/>
        <v/>
      </c>
      <c r="BF265" s="862" t="str">
        <f>IF($CR265="","",IF($E265="","-",SUMIF(portfolio.!$A$4:$A308,$CR265,portfolio.!$AX$4:$AX308)*$CU$5))</f>
        <v/>
      </c>
      <c r="BG265" s="545"/>
      <c r="BH265" s="879" t="s">
        <v>123</v>
      </c>
      <c r="BI265" s="880" t="s">
        <v>123</v>
      </c>
      <c r="BJ265" s="863" t="str">
        <f>IFERROR(__xludf.DUMMYFUNCTION("IF(NOT($BL$4),"""",IF($CR265="""","""",IFERROR(query({GOOGLEFINANCE($CR265,""price"",IF($BI265=""-"",TODAY()-($AQ$5+5),$BI265),TODAY()-1)},""Select max(Col2) where Col1 is not null label max(Col2) ''"")*CU265,""-"")))"),"")</f>
        <v/>
      </c>
      <c r="BK265" s="881" t="s">
        <v>123</v>
      </c>
      <c r="BL265" s="882" t="s">
        <v>123</v>
      </c>
      <c r="BM265" s="442"/>
      <c r="BN265" s="867" t="str">
        <f>IFERROR(__xludf.DUMMYFUNCTION("IF(CR265="""","""",IF(OR(C265=""AÇÃO"",C265=""BDR""),IFERROR(QUERY({fundamentus.!$A$3:$U308},$CX$67&amp;"" where Col1='""&amp;CR265&amp;""' limit 1"",0)),IF(C265=""FII"",IFERROR(QUERY({fundsexplorer.!$A$2:$Z308},$CY$67&amp;"" where Col1='""&amp;CR265&amp;""' limit 1"",0)),""""))"&amp;")"),"")</f>
        <v/>
      </c>
      <c r="BO265" s="867"/>
      <c r="BP265" s="867"/>
      <c r="BQ265" s="867"/>
      <c r="BR265" s="867"/>
      <c r="BS265" s="867"/>
      <c r="BT265" s="867"/>
      <c r="BU265" s="442"/>
      <c r="BV265" s="868" t="str">
        <f>IFERROR(__xludf.DUMMYFUNCTION("IF(OR(C265=""AÇÃO"",C265=""BDR""),IFERROR(GOOGLEFINANCE(CONCAT(""BVMF:"",CR265), ""marketcap"")/1000000,""NC""),"""")"),"")</f>
        <v/>
      </c>
      <c r="BW265" s="869" t="s">
        <v>123</v>
      </c>
      <c r="BX265" s="870" t="s">
        <v>123</v>
      </c>
      <c r="BY265" s="868" t="s">
        <v>123</v>
      </c>
      <c r="BZ265" s="870" t="s">
        <v>123</v>
      </c>
      <c r="CA265" s="868" t="s">
        <v>123</v>
      </c>
      <c r="CB265" s="868" t="s">
        <v>123</v>
      </c>
      <c r="CC265" s="868" t="s">
        <v>123</v>
      </c>
      <c r="CD265" s="868" t="str">
        <f>IFERROR(__xludf.DUMMYFUNCTION("IF(OR(C265=""AÇÃO"",C265=""BDR""),IFERROR(GOOGLEFINANCE(CONCAT(""BVMF:"",CR265), ""volumeavg"")/1000000,""NC""),"""")"),"")</f>
        <v/>
      </c>
      <c r="CE265" s="870" t="s">
        <v>123</v>
      </c>
      <c r="CF265" s="870" t="s">
        <v>123</v>
      </c>
      <c r="CG265" s="870" t="str">
        <f>IFERROR(__xludf.DUMMYFUNCTION("IF(OR(C265=""AÇÃO"",C265=""BDR""),IF(CF265=0,""SEM DY"",IFERROR(ImportXML(CONCAT(""http://www.guiainvest.com.br/raiox/default.aspx?sigla="",$CR265),""//*[@id='lbPayoutAtual']""),""NC"")),"""")"),"")</f>
        <v/>
      </c>
      <c r="CH265" s="870" t="s">
        <v>123</v>
      </c>
      <c r="CI265" s="545"/>
      <c r="CJ265" s="871" t="str">
        <f>IFERROR(__xludf.DUMMYFUNCTION("IF(OR(C265=""AÇÃO"",C265=""BDR""),IFERROR(GOOGLEFINANCE(CONCAT(""BVMF:"",CR265), ""eps""),""NC""),"""")"),"")</f>
        <v/>
      </c>
      <c r="CK265" s="442"/>
      <c r="CL265" s="871" t="str">
        <f>IFERROR(__xludf.DUMMYFUNCTION("IF(NOT($BL$4),"""",IF($CR265="""","""",IF($BC265="""","""",IFERROR(query({op.normal!$B$5:$F308},""select Col5, toDate(Col2) where Col1 =  '""&amp;$CR265&amp;""' and Col4 &gt; 0 and ((Col3 is null) or (Col3 = 'C')) and Col2 &gt;= date '""&amp;TEXT(TODAY()-$AQ$5,""yyyy-mm-dd"&amp;""")&amp;""' order by Col2 desc limit 1 label toDate(Col2) ''"")))))"),"")</f>
        <v/>
      </c>
      <c r="CM265" s="872"/>
      <c r="CN265" s="883" t="s">
        <v>123</v>
      </c>
      <c r="CO265" s="874" t="s">
        <v>123</v>
      </c>
      <c r="CP265" s="766"/>
      <c r="CQ265" s="791"/>
      <c r="CR265" s="791"/>
      <c r="CT265" s="791" t="s">
        <v>123</v>
      </c>
      <c r="CU265" s="791" t="str">
        <f>IFERROR(__xludf.DUMMYFUNCTION("IF(CR265="""","""",IF(CT265=$C$4,1,GOOGLEFINANCE(CT265&amp;$C$4)))"),"")</f>
        <v/>
      </c>
    </row>
    <row r="266" ht="22.5" customHeight="1">
      <c r="A266" s="837">
        <v>258.0</v>
      </c>
      <c r="B266" s="838" t="s">
        <v>123</v>
      </c>
      <c r="C266" s="838" t="s">
        <v>123</v>
      </c>
      <c r="D266" s="839" t="s">
        <v>123</v>
      </c>
      <c r="E266" s="839" t="s">
        <v>123</v>
      </c>
      <c r="F266" s="839" t="s">
        <v>123</v>
      </c>
      <c r="H266" s="884"/>
      <c r="I266" s="838"/>
      <c r="J266" s="838"/>
      <c r="K266" s="838"/>
      <c r="L266" s="838"/>
      <c r="M266" s="838"/>
      <c r="N266" s="838"/>
      <c r="O266" s="838"/>
      <c r="P266" s="838"/>
      <c r="Q266" s="838"/>
      <c r="R266" s="838"/>
      <c r="S266" s="838"/>
      <c r="T266" s="838"/>
      <c r="U266" s="838"/>
      <c r="V266" s="838"/>
      <c r="W266" s="838"/>
      <c r="X266" s="838"/>
      <c r="Z266" s="875" t="str">
        <f>IFERROR(__xludf.DUMMYFUNCTION("IF($CR266="""","""",IFERROR(query({CarteirasAtivos},""select Col4 where Col4 is not null and Col1 = '""&amp;$CR266&amp;""' limit 1"")*CU266,""NC""))"),"")</f>
        <v/>
      </c>
      <c r="AA266" s="876" t="str">
        <f>IFERROR(__xludf.DUMMYFUNCTION("IF($CR266="""","""",IFERROR(query({CarteirasAtivos},""select Col6 where Col4 is not null and Col1 = '""&amp;$CR266&amp;""' limit 1""),""NC""))"),"")</f>
        <v/>
      </c>
      <c r="AB266" s="877"/>
      <c r="AC266" s="878" t="s">
        <v>123</v>
      </c>
      <c r="AD266" s="845" t="str">
        <f>IF($CR266="","",IFERROR(VLOOKUP($CR266,ativos.!$C$3:$R308,MATCH("cotacao",ativos.!$C$2:CY$2,0),FALSE)*$CU$5,"atualizar"))</f>
        <v/>
      </c>
      <c r="AE266" s="846" t="str">
        <f>IFERROR(__xludf.DUMMYFUNCTION("IF($CR266="""","""",IFERROR(AVERAGE(query({CarteirasAtivos;CarteirasAtivosEncerrados},""select Col5 where Col5 is not null and Col1 = '""&amp;$CR266&amp;""' and Col10='SIM'""))*CU266,""NC""))"),"")</f>
        <v/>
      </c>
      <c r="AF266" s="847" t="str">
        <f t="shared" si="1"/>
        <v/>
      </c>
      <c r="AG266" s="442"/>
      <c r="AH266" s="848" t="str">
        <f>IFERROR(__xludf.DUMMYFUNCTION("IF($CR266="""","""",IFERROR(GOOGLEFINANCE($CR266,""low52"")*CU266,""-""))"),"")</f>
        <v/>
      </c>
      <c r="AI266" s="848" t="str">
        <f>IFERROR(__xludf.DUMMYFUNCTION("IF($CR266="""","""",IFERROR(GOOGLEFINANCE($CR266,""high52"")*CU266,""-""))"),"")</f>
        <v/>
      </c>
      <c r="AJ266" s="849" t="s">
        <v>123</v>
      </c>
      <c r="AK266" s="850" t="str">
        <f>IFERROR(__xludf.DUMMYFUNCTION("IF($CR266="""","""",IFERROR(GOOGLEFINANCE($CR266,""changepct"")/100,""-""))"),"")</f>
        <v/>
      </c>
      <c r="AL266" s="851" t="str">
        <f>IFERROR(__xludf.DUMMYFUNCTION("IF($CR266="""","""",IFERROR(($AD266/(QUERY(GOOGLEFINANCE($CR266,""price"",TODAY()-7),""SELECT Col2 label Col2 ''"")*$CU266)-1),""-""))"),"")</f>
        <v/>
      </c>
      <c r="AM266" s="851" t="str">
        <f>IFERROR(__xludf.DUMMYFUNCTION("IF($CR266="""","""",IFERROR(($AD266/(QUERY(GOOGLEFINANCE($CR266,""price"",TODAY()-14),""SELECT Col2 label Col2 ''"")*$CU266)-1),""-""))"),"")</f>
        <v/>
      </c>
      <c r="AN266" s="851" t="str">
        <f>IFERROR(__xludf.DUMMYFUNCTION("IF($CR266="""","""",IFERROR(($AD266/(QUERY(GOOGLEFINANCE($CR266,""price"",TODAY()-28),""SELECT Col2 label Col2 ''"")*$CU266)-1),""-""))"),"")</f>
        <v/>
      </c>
      <c r="AO266" s="851" t="str">
        <f>IFERROR(__xludf.DUMMYFUNCTION("IF($CR266="""","""",IFERROR(($AD266/(QUERY(GOOGLEFINANCE($CR266,""price"",TODAY()-$AQ$5),""SELECT Col2 label Col2 ''"")*$CU266)-1),""-""))"),"")</f>
        <v/>
      </c>
      <c r="AP266" s="852" t="str">
        <f>IFERROR(__xludf.DUMMYFUNCTION("IF($CR266="""","""",IFERROR(SPARKLINE(query(GOOGLEFINANCE($CR266,""price"",TODAY()-$AQ$5,TODAY(),1),""select Col2 label Col2 ''""),IF($AP$7=""Gráfico de barras"",{""charttype"",""column"";""highcolor"",""red""},{""chartype"",""line""}))))"),"")</f>
        <v/>
      </c>
      <c r="AQ266" s="144"/>
      <c r="AR266" s="853"/>
      <c r="AS266" s="854" t="str">
        <f>IF($CR266="","",IF(NOT('alocação'!$D$1),"off",IFERROR(VLOOKUP(CR266,BalanceAtivos,3,0),"NC")))</f>
        <v/>
      </c>
      <c r="AT266" s="855" t="str">
        <f>IF($CR266="","",IF(NOT('alocação'!$D$1),"off",IFERROR(VLOOKUP($CR266,BalanceAtivos,4,0)*$CU$5,"NC")))</f>
        <v/>
      </c>
      <c r="AU266" s="856" t="str">
        <f>IF($CR266="","",IF(NOT('alocação'!$D$1),"off",IFERROR(VLOOKUP($CR266,BalanceAtivos,5,0),"-")))</f>
        <v/>
      </c>
      <c r="AV266" s="856" t="str">
        <f>IF($CR266="","",IF(NOT('alocação'!$D$1),"off",IFERROR(VLOOKUP($CR266,BalanceAtivos,6,0),"-")))</f>
        <v/>
      </c>
      <c r="AW266" s="857"/>
      <c r="AX266" s="858" t="str">
        <f>IF($CR266="","",IF($E266="","SP",IFERROR(VLOOKUP($CR266,AtivosDados,MATCH("pm_atual",portfolio.!$A$3:CY$3,0),0)*$CU$5,0)))</f>
        <v/>
      </c>
      <c r="AY266" s="859" t="str">
        <f t="shared" si="2"/>
        <v/>
      </c>
      <c r="AZ266" s="858" t="str">
        <f>IF($CR266="","",IF($E266="","SP",SUMIF(portfolio.!$A$4:$A308,$CR266,portfolio.!$O$4:$O308)*$CU$5))</f>
        <v/>
      </c>
      <c r="BA266" s="858" t="str">
        <f>IF($CR266="","",IF($E266="","SP",SUMIF(portfolio.!$A$4:$A308,$CR266,portfolio.!$AN$4:$AN308)*$CU$5))</f>
        <v/>
      </c>
      <c r="BB266" s="860" t="str">
        <f>IF($CR266="","",IF($E266="","-",IFERROR($BA266/'portfólio'!$DG$63,"")))</f>
        <v/>
      </c>
      <c r="BC266" s="861" t="str">
        <f>IF($CR266="","",IF($E266="","-",SUMIF(portfolio.!$A$4:$A308,$CR266,portfolio.!$J$4:$J308)))</f>
        <v/>
      </c>
      <c r="BD266" s="862" t="str">
        <f>IF($CR266="","",IF($E266="","SP",SUMIF(portfolio.!$A$4:$A308,$CR266,portfolio.!$AQ$4:$AQ308)*$CU$5))</f>
        <v/>
      </c>
      <c r="BE266" s="850" t="str">
        <f t="shared" si="3"/>
        <v/>
      </c>
      <c r="BF266" s="862" t="str">
        <f>IF($CR266="","",IF($E266="","-",SUMIF(portfolio.!$A$4:$A308,$CR266,portfolio.!$AX$4:$AX308)*$CU$5))</f>
        <v/>
      </c>
      <c r="BG266" s="545"/>
      <c r="BH266" s="879" t="s">
        <v>123</v>
      </c>
      <c r="BI266" s="880" t="s">
        <v>123</v>
      </c>
      <c r="BJ266" s="863" t="str">
        <f>IFERROR(__xludf.DUMMYFUNCTION("IF(NOT($BL$4),"""",IF($CR266="""","""",IFERROR(query({GOOGLEFINANCE($CR266,""price"",IF($BI266=""-"",TODAY()-($AQ$5+5),$BI266),TODAY()-1)},""Select max(Col2) where Col1 is not null label max(Col2) ''"")*CU266,""-"")))"),"")</f>
        <v/>
      </c>
      <c r="BK266" s="881" t="s">
        <v>123</v>
      </c>
      <c r="BL266" s="882" t="s">
        <v>123</v>
      </c>
      <c r="BM266" s="442"/>
      <c r="BN266" s="867" t="str">
        <f>IFERROR(__xludf.DUMMYFUNCTION("IF(CR266="""","""",IF(OR(C266=""AÇÃO"",C266=""BDR""),IFERROR(QUERY({fundamentus.!$A$3:$U308},$CX$67&amp;"" where Col1='""&amp;CR266&amp;""' limit 1"",0)),IF(C266=""FII"",IFERROR(QUERY({fundsexplorer.!$A$2:$Z308},$CY$67&amp;"" where Col1='""&amp;CR266&amp;""' limit 1"",0)),""""))"&amp;")"),"")</f>
        <v/>
      </c>
      <c r="BO266" s="867"/>
      <c r="BP266" s="867"/>
      <c r="BQ266" s="867"/>
      <c r="BR266" s="867"/>
      <c r="BS266" s="867"/>
      <c r="BT266" s="867"/>
      <c r="BU266" s="442"/>
      <c r="BV266" s="868" t="str">
        <f>IFERROR(__xludf.DUMMYFUNCTION("IF(OR(C266=""AÇÃO"",C266=""BDR""),IFERROR(GOOGLEFINANCE(CONCAT(""BVMF:"",CR266), ""marketcap"")/1000000,""NC""),"""")"),"")</f>
        <v/>
      </c>
      <c r="BW266" s="869" t="s">
        <v>123</v>
      </c>
      <c r="BX266" s="870" t="s">
        <v>123</v>
      </c>
      <c r="BY266" s="868" t="s">
        <v>123</v>
      </c>
      <c r="BZ266" s="870" t="s">
        <v>123</v>
      </c>
      <c r="CA266" s="868" t="s">
        <v>123</v>
      </c>
      <c r="CB266" s="868" t="s">
        <v>123</v>
      </c>
      <c r="CC266" s="868" t="s">
        <v>123</v>
      </c>
      <c r="CD266" s="868" t="str">
        <f>IFERROR(__xludf.DUMMYFUNCTION("IF(OR(C266=""AÇÃO"",C266=""BDR""),IFERROR(GOOGLEFINANCE(CONCAT(""BVMF:"",CR266), ""volumeavg"")/1000000,""NC""),"""")"),"")</f>
        <v/>
      </c>
      <c r="CE266" s="870" t="s">
        <v>123</v>
      </c>
      <c r="CF266" s="870" t="s">
        <v>123</v>
      </c>
      <c r="CG266" s="870" t="str">
        <f>IFERROR(__xludf.DUMMYFUNCTION("IF(OR(C266=""AÇÃO"",C266=""BDR""),IF(CF266=0,""SEM DY"",IFERROR(ImportXML(CONCAT(""http://www.guiainvest.com.br/raiox/default.aspx?sigla="",$CR266),""//*[@id='lbPayoutAtual']""),""NC"")),"""")"),"")</f>
        <v/>
      </c>
      <c r="CH266" s="870" t="s">
        <v>123</v>
      </c>
      <c r="CI266" s="545"/>
      <c r="CJ266" s="871" t="str">
        <f>IFERROR(__xludf.DUMMYFUNCTION("IF(OR(C266=""AÇÃO"",C266=""BDR""),IFERROR(GOOGLEFINANCE(CONCAT(""BVMF:"",CR266), ""eps""),""NC""),"""")"),"")</f>
        <v/>
      </c>
      <c r="CK266" s="442"/>
      <c r="CL266" s="871" t="str">
        <f>IFERROR(__xludf.DUMMYFUNCTION("IF(NOT($BL$4),"""",IF($CR266="""","""",IF($BC266="""","""",IFERROR(query({op.normal!$B$5:$F308},""select Col5, toDate(Col2) where Col1 =  '""&amp;$CR266&amp;""' and Col4 &gt; 0 and ((Col3 is null) or (Col3 = 'C')) and Col2 &gt;= date '""&amp;TEXT(TODAY()-$AQ$5,""yyyy-mm-dd"&amp;""")&amp;""' order by Col2 desc limit 1 label toDate(Col2) ''"")))))"),"")</f>
        <v/>
      </c>
      <c r="CM266" s="872"/>
      <c r="CN266" s="883" t="s">
        <v>123</v>
      </c>
      <c r="CO266" s="874" t="s">
        <v>123</v>
      </c>
      <c r="CP266" s="766"/>
      <c r="CQ266" s="791"/>
      <c r="CR266" s="791"/>
      <c r="CT266" s="791" t="s">
        <v>123</v>
      </c>
      <c r="CU266" s="791" t="str">
        <f>IFERROR(__xludf.DUMMYFUNCTION("IF(CR266="""","""",IF(CT266=$C$4,1,GOOGLEFINANCE(CT266&amp;$C$4)))"),"")</f>
        <v/>
      </c>
    </row>
    <row r="267" ht="22.5" customHeight="1">
      <c r="A267" s="837">
        <v>259.0</v>
      </c>
      <c r="B267" s="838" t="s">
        <v>123</v>
      </c>
      <c r="C267" s="838" t="s">
        <v>123</v>
      </c>
      <c r="D267" s="839" t="s">
        <v>123</v>
      </c>
      <c r="E267" s="839" t="s">
        <v>123</v>
      </c>
      <c r="F267" s="839" t="s">
        <v>123</v>
      </c>
      <c r="H267" s="884"/>
      <c r="I267" s="838"/>
      <c r="J267" s="838"/>
      <c r="K267" s="838"/>
      <c r="L267" s="838"/>
      <c r="M267" s="838"/>
      <c r="N267" s="838"/>
      <c r="O267" s="838"/>
      <c r="P267" s="838"/>
      <c r="Q267" s="838"/>
      <c r="R267" s="838"/>
      <c r="S267" s="838"/>
      <c r="T267" s="838"/>
      <c r="U267" s="838"/>
      <c r="V267" s="838"/>
      <c r="W267" s="838"/>
      <c r="X267" s="838"/>
      <c r="Z267" s="875" t="str">
        <f>IFERROR(__xludf.DUMMYFUNCTION("IF($CR267="""","""",IFERROR(query({CarteirasAtivos},""select Col4 where Col4 is not null and Col1 = '""&amp;$CR267&amp;""' limit 1"")*CU267,""NC""))"),"")</f>
        <v/>
      </c>
      <c r="AA267" s="876" t="str">
        <f>IFERROR(__xludf.DUMMYFUNCTION("IF($CR267="""","""",IFERROR(query({CarteirasAtivos},""select Col6 where Col4 is not null and Col1 = '""&amp;$CR267&amp;""' limit 1""),""NC""))"),"")</f>
        <v/>
      </c>
      <c r="AB267" s="877"/>
      <c r="AC267" s="878" t="s">
        <v>123</v>
      </c>
      <c r="AD267" s="845" t="str">
        <f>IF($CR267="","",IFERROR(VLOOKUP($CR267,ativos.!$C$3:$R308,MATCH("cotacao",ativos.!$C$2:CY$2,0),FALSE)*$CU$5,"atualizar"))</f>
        <v/>
      </c>
      <c r="AE267" s="846" t="str">
        <f>IFERROR(__xludf.DUMMYFUNCTION("IF($CR267="""","""",IFERROR(AVERAGE(query({CarteirasAtivos;CarteirasAtivosEncerrados},""select Col5 where Col5 is not null and Col1 = '""&amp;$CR267&amp;""' and Col10='SIM'""))*CU267,""NC""))"),"")</f>
        <v/>
      </c>
      <c r="AF267" s="847" t="str">
        <f t="shared" si="1"/>
        <v/>
      </c>
      <c r="AG267" s="442"/>
      <c r="AH267" s="848" t="str">
        <f>IFERROR(__xludf.DUMMYFUNCTION("IF($CR267="""","""",IFERROR(GOOGLEFINANCE($CR267,""low52"")*CU267,""-""))"),"")</f>
        <v/>
      </c>
      <c r="AI267" s="848" t="str">
        <f>IFERROR(__xludf.DUMMYFUNCTION("IF($CR267="""","""",IFERROR(GOOGLEFINANCE($CR267,""high52"")*CU267,""-""))"),"")</f>
        <v/>
      </c>
      <c r="AJ267" s="849" t="s">
        <v>123</v>
      </c>
      <c r="AK267" s="850" t="str">
        <f>IFERROR(__xludf.DUMMYFUNCTION("IF($CR267="""","""",IFERROR(GOOGLEFINANCE($CR267,""changepct"")/100,""-""))"),"")</f>
        <v/>
      </c>
      <c r="AL267" s="851" t="str">
        <f>IFERROR(__xludf.DUMMYFUNCTION("IF($CR267="""","""",IFERROR(($AD267/(QUERY(GOOGLEFINANCE($CR267,""price"",TODAY()-7),""SELECT Col2 label Col2 ''"")*$CU267)-1),""-""))"),"")</f>
        <v/>
      </c>
      <c r="AM267" s="851" t="str">
        <f>IFERROR(__xludf.DUMMYFUNCTION("IF($CR267="""","""",IFERROR(($AD267/(QUERY(GOOGLEFINANCE($CR267,""price"",TODAY()-14),""SELECT Col2 label Col2 ''"")*$CU267)-1),""-""))"),"")</f>
        <v/>
      </c>
      <c r="AN267" s="851" t="str">
        <f>IFERROR(__xludf.DUMMYFUNCTION("IF($CR267="""","""",IFERROR(($AD267/(QUERY(GOOGLEFINANCE($CR267,""price"",TODAY()-28),""SELECT Col2 label Col2 ''"")*$CU267)-1),""-""))"),"")</f>
        <v/>
      </c>
      <c r="AO267" s="851" t="str">
        <f>IFERROR(__xludf.DUMMYFUNCTION("IF($CR267="""","""",IFERROR(($AD267/(QUERY(GOOGLEFINANCE($CR267,""price"",TODAY()-$AQ$5),""SELECT Col2 label Col2 ''"")*$CU267)-1),""-""))"),"")</f>
        <v/>
      </c>
      <c r="AP267" s="852" t="str">
        <f>IFERROR(__xludf.DUMMYFUNCTION("IF($CR267="""","""",IFERROR(SPARKLINE(query(GOOGLEFINANCE($CR267,""price"",TODAY()-$AQ$5,TODAY(),1),""select Col2 label Col2 ''""),IF($AP$7=""Gráfico de barras"",{""charttype"",""column"";""highcolor"",""red""},{""chartype"",""line""}))))"),"")</f>
        <v/>
      </c>
      <c r="AQ267" s="144"/>
      <c r="AR267" s="853"/>
      <c r="AS267" s="854" t="str">
        <f>IF($CR267="","",IF(NOT('alocação'!$D$1),"off",IFERROR(VLOOKUP(CR267,BalanceAtivos,3,0),"NC")))</f>
        <v/>
      </c>
      <c r="AT267" s="855" t="str">
        <f>IF($CR267="","",IF(NOT('alocação'!$D$1),"off",IFERROR(VLOOKUP($CR267,BalanceAtivos,4,0)*$CU$5,"NC")))</f>
        <v/>
      </c>
      <c r="AU267" s="856" t="str">
        <f>IF($CR267="","",IF(NOT('alocação'!$D$1),"off",IFERROR(VLOOKUP($CR267,BalanceAtivos,5,0),"-")))</f>
        <v/>
      </c>
      <c r="AV267" s="856" t="str">
        <f>IF($CR267="","",IF(NOT('alocação'!$D$1),"off",IFERROR(VLOOKUP($CR267,BalanceAtivos,6,0),"-")))</f>
        <v/>
      </c>
      <c r="AW267" s="857"/>
      <c r="AX267" s="858" t="str">
        <f>IF($CR267="","",IF($E267="","SP",IFERROR(VLOOKUP($CR267,AtivosDados,MATCH("pm_atual",portfolio.!$A$3:CY$3,0),0)*$CU$5,0)))</f>
        <v/>
      </c>
      <c r="AY267" s="859" t="str">
        <f t="shared" si="2"/>
        <v/>
      </c>
      <c r="AZ267" s="858" t="str">
        <f>IF($CR267="","",IF($E267="","SP",SUMIF(portfolio.!$A$4:$A308,$CR267,portfolio.!$O$4:$O308)*$CU$5))</f>
        <v/>
      </c>
      <c r="BA267" s="858" t="str">
        <f>IF($CR267="","",IF($E267="","SP",SUMIF(portfolio.!$A$4:$A308,$CR267,portfolio.!$AN$4:$AN308)*$CU$5))</f>
        <v/>
      </c>
      <c r="BB267" s="860" t="str">
        <f>IF($CR267="","",IF($E267="","-",IFERROR($BA267/'portfólio'!$DG$63,"")))</f>
        <v/>
      </c>
      <c r="BC267" s="861" t="str">
        <f>IF($CR267="","",IF($E267="","-",SUMIF(portfolio.!$A$4:$A308,$CR267,portfolio.!$J$4:$J308)))</f>
        <v/>
      </c>
      <c r="BD267" s="862" t="str">
        <f>IF($CR267="","",IF($E267="","SP",SUMIF(portfolio.!$A$4:$A308,$CR267,portfolio.!$AQ$4:$AQ308)*$CU$5))</f>
        <v/>
      </c>
      <c r="BE267" s="850" t="str">
        <f t="shared" si="3"/>
        <v/>
      </c>
      <c r="BF267" s="862" t="str">
        <f>IF($CR267="","",IF($E267="","-",SUMIF(portfolio.!$A$4:$A308,$CR267,portfolio.!$AX$4:$AX308)*$CU$5))</f>
        <v/>
      </c>
      <c r="BG267" s="545"/>
      <c r="BH267" s="879" t="s">
        <v>123</v>
      </c>
      <c r="BI267" s="880" t="s">
        <v>123</v>
      </c>
      <c r="BJ267" s="863" t="str">
        <f>IFERROR(__xludf.DUMMYFUNCTION("IF(NOT($BL$4),"""",IF($CR267="""","""",IFERROR(query({GOOGLEFINANCE($CR267,""price"",IF($BI267=""-"",TODAY()-($AQ$5+5),$BI267),TODAY()-1)},""Select max(Col2) where Col1 is not null label max(Col2) ''"")*CU267,""-"")))"),"")</f>
        <v/>
      </c>
      <c r="BK267" s="881" t="s">
        <v>123</v>
      </c>
      <c r="BL267" s="882" t="s">
        <v>123</v>
      </c>
      <c r="BM267" s="442"/>
      <c r="BN267" s="867" t="str">
        <f>IFERROR(__xludf.DUMMYFUNCTION("IF(CR267="""","""",IF(OR(C267=""AÇÃO"",C267=""BDR""),IFERROR(QUERY({fundamentus.!$A$3:$U308},$CX$67&amp;"" where Col1='""&amp;CR267&amp;""' limit 1"",0)),IF(C267=""FII"",IFERROR(QUERY({fundsexplorer.!$A$2:$Z308},$CY$67&amp;"" where Col1='""&amp;CR267&amp;""' limit 1"",0)),""""))"&amp;")"),"")</f>
        <v/>
      </c>
      <c r="BO267" s="867"/>
      <c r="BP267" s="867"/>
      <c r="BQ267" s="867"/>
      <c r="BR267" s="867"/>
      <c r="BS267" s="867"/>
      <c r="BT267" s="867"/>
      <c r="BU267" s="442"/>
      <c r="BV267" s="868" t="str">
        <f>IFERROR(__xludf.DUMMYFUNCTION("IF(OR(C267=""AÇÃO"",C267=""BDR""),IFERROR(GOOGLEFINANCE(CONCAT(""BVMF:"",CR267), ""marketcap"")/1000000,""NC""),"""")"),"")</f>
        <v/>
      </c>
      <c r="BW267" s="869" t="s">
        <v>123</v>
      </c>
      <c r="BX267" s="870" t="s">
        <v>123</v>
      </c>
      <c r="BY267" s="868" t="s">
        <v>123</v>
      </c>
      <c r="BZ267" s="870" t="s">
        <v>123</v>
      </c>
      <c r="CA267" s="868" t="s">
        <v>123</v>
      </c>
      <c r="CB267" s="868" t="s">
        <v>123</v>
      </c>
      <c r="CC267" s="868" t="s">
        <v>123</v>
      </c>
      <c r="CD267" s="868" t="str">
        <f>IFERROR(__xludf.DUMMYFUNCTION("IF(OR(C267=""AÇÃO"",C267=""BDR""),IFERROR(GOOGLEFINANCE(CONCAT(""BVMF:"",CR267), ""volumeavg"")/1000000,""NC""),"""")"),"")</f>
        <v/>
      </c>
      <c r="CE267" s="870" t="s">
        <v>123</v>
      </c>
      <c r="CF267" s="870" t="s">
        <v>123</v>
      </c>
      <c r="CG267" s="870" t="str">
        <f>IFERROR(__xludf.DUMMYFUNCTION("IF(OR(C267=""AÇÃO"",C267=""BDR""),IF(CF267=0,""SEM DY"",IFERROR(ImportXML(CONCAT(""http://www.guiainvest.com.br/raiox/default.aspx?sigla="",$CR267),""//*[@id='lbPayoutAtual']""),""NC"")),"""")"),"")</f>
        <v/>
      </c>
      <c r="CH267" s="870" t="s">
        <v>123</v>
      </c>
      <c r="CI267" s="545"/>
      <c r="CJ267" s="871" t="str">
        <f>IFERROR(__xludf.DUMMYFUNCTION("IF(OR(C267=""AÇÃO"",C267=""BDR""),IFERROR(GOOGLEFINANCE(CONCAT(""BVMF:"",CR267), ""eps""),""NC""),"""")"),"")</f>
        <v/>
      </c>
      <c r="CK267" s="442"/>
      <c r="CL267" s="871" t="str">
        <f>IFERROR(__xludf.DUMMYFUNCTION("IF(NOT($BL$4),"""",IF($CR267="""","""",IF($BC267="""","""",IFERROR(query({op.normal!$B$5:$F308},""select Col5, toDate(Col2) where Col1 =  '""&amp;$CR267&amp;""' and Col4 &gt; 0 and ((Col3 is null) or (Col3 = 'C')) and Col2 &gt;= date '""&amp;TEXT(TODAY()-$AQ$5,""yyyy-mm-dd"&amp;""")&amp;""' order by Col2 desc limit 1 label toDate(Col2) ''"")))))"),"")</f>
        <v/>
      </c>
      <c r="CM267" s="872"/>
      <c r="CN267" s="883" t="s">
        <v>123</v>
      </c>
      <c r="CO267" s="874" t="s">
        <v>123</v>
      </c>
      <c r="CP267" s="766"/>
      <c r="CQ267" s="791"/>
      <c r="CR267" s="791"/>
      <c r="CT267" s="791" t="s">
        <v>123</v>
      </c>
      <c r="CU267" s="791" t="str">
        <f>IFERROR(__xludf.DUMMYFUNCTION("IF(CR267="""","""",IF(CT267=$C$4,1,GOOGLEFINANCE(CT267&amp;$C$4)))"),"")</f>
        <v/>
      </c>
    </row>
    <row r="268" ht="22.5" customHeight="1">
      <c r="A268" s="837">
        <v>260.0</v>
      </c>
      <c r="B268" s="838" t="s">
        <v>123</v>
      </c>
      <c r="C268" s="838" t="s">
        <v>123</v>
      </c>
      <c r="D268" s="839" t="s">
        <v>123</v>
      </c>
      <c r="E268" s="839" t="s">
        <v>123</v>
      </c>
      <c r="F268" s="839" t="s">
        <v>123</v>
      </c>
      <c r="H268" s="884"/>
      <c r="I268" s="838"/>
      <c r="J268" s="838"/>
      <c r="K268" s="838"/>
      <c r="L268" s="838"/>
      <c r="M268" s="838"/>
      <c r="N268" s="838"/>
      <c r="O268" s="838"/>
      <c r="P268" s="838"/>
      <c r="Q268" s="838"/>
      <c r="R268" s="838"/>
      <c r="S268" s="838"/>
      <c r="T268" s="838"/>
      <c r="U268" s="838"/>
      <c r="V268" s="838"/>
      <c r="W268" s="838"/>
      <c r="X268" s="838"/>
      <c r="Z268" s="875" t="str">
        <f>IFERROR(__xludf.DUMMYFUNCTION("IF($CR268="""","""",IFERROR(query({CarteirasAtivos},""select Col4 where Col4 is not null and Col1 = '""&amp;$CR268&amp;""' limit 1"")*CU268,""NC""))"),"")</f>
        <v/>
      </c>
      <c r="AA268" s="876" t="str">
        <f>IFERROR(__xludf.DUMMYFUNCTION("IF($CR268="""","""",IFERROR(query({CarteirasAtivos},""select Col6 where Col4 is not null and Col1 = '""&amp;$CR268&amp;""' limit 1""),""NC""))"),"")</f>
        <v/>
      </c>
      <c r="AB268" s="877"/>
      <c r="AC268" s="878" t="s">
        <v>123</v>
      </c>
      <c r="AD268" s="845" t="str">
        <f>IF($CR268="","",IFERROR(VLOOKUP($CR268,ativos.!$C$3:$R308,MATCH("cotacao",ativos.!$C$2:CY$2,0),FALSE)*$CU$5,"atualizar"))</f>
        <v/>
      </c>
      <c r="AE268" s="846" t="str">
        <f>IFERROR(__xludf.DUMMYFUNCTION("IF($CR268="""","""",IFERROR(AVERAGE(query({CarteirasAtivos;CarteirasAtivosEncerrados},""select Col5 where Col5 is not null and Col1 = '""&amp;$CR268&amp;""' and Col10='SIM'""))*CU268,""NC""))"),"")</f>
        <v/>
      </c>
      <c r="AF268" s="847" t="str">
        <f t="shared" si="1"/>
        <v/>
      </c>
      <c r="AG268" s="442"/>
      <c r="AH268" s="848" t="str">
        <f>IFERROR(__xludf.DUMMYFUNCTION("IF($CR268="""","""",IFERROR(GOOGLEFINANCE($CR268,""low52"")*CU268,""-""))"),"")</f>
        <v/>
      </c>
      <c r="AI268" s="848" t="str">
        <f>IFERROR(__xludf.DUMMYFUNCTION("IF($CR268="""","""",IFERROR(GOOGLEFINANCE($CR268,""high52"")*CU268,""-""))"),"")</f>
        <v/>
      </c>
      <c r="AJ268" s="849" t="s">
        <v>123</v>
      </c>
      <c r="AK268" s="850" t="str">
        <f>IFERROR(__xludf.DUMMYFUNCTION("IF($CR268="""","""",IFERROR(GOOGLEFINANCE($CR268,""changepct"")/100,""-""))"),"")</f>
        <v/>
      </c>
      <c r="AL268" s="851" t="str">
        <f>IFERROR(__xludf.DUMMYFUNCTION("IF($CR268="""","""",IFERROR(($AD268/(QUERY(GOOGLEFINANCE($CR268,""price"",TODAY()-7),""SELECT Col2 label Col2 ''"")*$CU268)-1),""-""))"),"")</f>
        <v/>
      </c>
      <c r="AM268" s="851" t="str">
        <f>IFERROR(__xludf.DUMMYFUNCTION("IF($CR268="""","""",IFERROR(($AD268/(QUERY(GOOGLEFINANCE($CR268,""price"",TODAY()-14),""SELECT Col2 label Col2 ''"")*$CU268)-1),""-""))"),"")</f>
        <v/>
      </c>
      <c r="AN268" s="851" t="str">
        <f>IFERROR(__xludf.DUMMYFUNCTION("IF($CR268="""","""",IFERROR(($AD268/(QUERY(GOOGLEFINANCE($CR268,""price"",TODAY()-28),""SELECT Col2 label Col2 ''"")*$CU268)-1),""-""))"),"")</f>
        <v/>
      </c>
      <c r="AO268" s="851" t="str">
        <f>IFERROR(__xludf.DUMMYFUNCTION("IF($CR268="""","""",IFERROR(($AD268/(QUERY(GOOGLEFINANCE($CR268,""price"",TODAY()-$AQ$5),""SELECT Col2 label Col2 ''"")*$CU268)-1),""-""))"),"")</f>
        <v/>
      </c>
      <c r="AP268" s="852" t="str">
        <f>IFERROR(__xludf.DUMMYFUNCTION("IF($CR268="""","""",IFERROR(SPARKLINE(query(GOOGLEFINANCE($CR268,""price"",TODAY()-$AQ$5,TODAY(),1),""select Col2 label Col2 ''""),IF($AP$7=""Gráfico de barras"",{""charttype"",""column"";""highcolor"",""red""},{""chartype"",""line""}))))"),"")</f>
        <v/>
      </c>
      <c r="AQ268" s="144"/>
      <c r="AR268" s="853"/>
      <c r="AS268" s="854" t="str">
        <f>IF($CR268="","",IF(NOT('alocação'!$D$1),"off",IFERROR(VLOOKUP(CR268,BalanceAtivos,3,0),"NC")))</f>
        <v/>
      </c>
      <c r="AT268" s="855" t="str">
        <f>IF($CR268="","",IF(NOT('alocação'!$D$1),"off",IFERROR(VLOOKUP($CR268,BalanceAtivos,4,0)*$CU$5,"NC")))</f>
        <v/>
      </c>
      <c r="AU268" s="856" t="str">
        <f>IF($CR268="","",IF(NOT('alocação'!$D$1),"off",IFERROR(VLOOKUP($CR268,BalanceAtivos,5,0),"-")))</f>
        <v/>
      </c>
      <c r="AV268" s="856" t="str">
        <f>IF($CR268="","",IF(NOT('alocação'!$D$1),"off",IFERROR(VLOOKUP($CR268,BalanceAtivos,6,0),"-")))</f>
        <v/>
      </c>
      <c r="AW268" s="857"/>
      <c r="AX268" s="858" t="str">
        <f>IF($CR268="","",IF($E268="","SP",IFERROR(VLOOKUP($CR268,AtivosDados,MATCH("pm_atual",portfolio.!$A$3:CY$3,0),0)*$CU$5,0)))</f>
        <v/>
      </c>
      <c r="AY268" s="859" t="str">
        <f t="shared" si="2"/>
        <v/>
      </c>
      <c r="AZ268" s="858" t="str">
        <f>IF($CR268="","",IF($E268="","SP",SUMIF(portfolio.!$A$4:$A308,$CR268,portfolio.!$O$4:$O308)*$CU$5))</f>
        <v/>
      </c>
      <c r="BA268" s="858" t="str">
        <f>IF($CR268="","",IF($E268="","SP",SUMIF(portfolio.!$A$4:$A308,$CR268,portfolio.!$AN$4:$AN308)*$CU$5))</f>
        <v/>
      </c>
      <c r="BB268" s="860" t="str">
        <f>IF($CR268="","",IF($E268="","-",IFERROR($BA268/'portfólio'!$DG$63,"")))</f>
        <v/>
      </c>
      <c r="BC268" s="861" t="str">
        <f>IF($CR268="","",IF($E268="","-",SUMIF(portfolio.!$A$4:$A308,$CR268,portfolio.!$J$4:$J308)))</f>
        <v/>
      </c>
      <c r="BD268" s="862" t="str">
        <f>IF($CR268="","",IF($E268="","SP",SUMIF(portfolio.!$A$4:$A308,$CR268,portfolio.!$AQ$4:$AQ308)*$CU$5))</f>
        <v/>
      </c>
      <c r="BE268" s="850" t="str">
        <f t="shared" si="3"/>
        <v/>
      </c>
      <c r="BF268" s="862" t="str">
        <f>IF($CR268="","",IF($E268="","-",SUMIF(portfolio.!$A$4:$A308,$CR268,portfolio.!$AX$4:$AX308)*$CU$5))</f>
        <v/>
      </c>
      <c r="BG268" s="545"/>
      <c r="BH268" s="879" t="s">
        <v>123</v>
      </c>
      <c r="BI268" s="880" t="s">
        <v>123</v>
      </c>
      <c r="BJ268" s="863" t="str">
        <f>IFERROR(__xludf.DUMMYFUNCTION("IF(NOT($BL$4),"""",IF($CR268="""","""",IFERROR(query({GOOGLEFINANCE($CR268,""price"",IF($BI268=""-"",TODAY()-($AQ$5+5),$BI268),TODAY()-1)},""Select max(Col2) where Col1 is not null label max(Col2) ''"")*CU268,""-"")))"),"")</f>
        <v/>
      </c>
      <c r="BK268" s="881" t="s">
        <v>123</v>
      </c>
      <c r="BL268" s="882" t="s">
        <v>123</v>
      </c>
      <c r="BM268" s="442"/>
      <c r="BN268" s="867" t="str">
        <f>IFERROR(__xludf.DUMMYFUNCTION("IF(CR268="""","""",IF(OR(C268=""AÇÃO"",C268=""BDR""),IFERROR(QUERY({fundamentus.!$A$3:$U308},$CX$67&amp;"" where Col1='""&amp;CR268&amp;""' limit 1"",0)),IF(C268=""FII"",IFERROR(QUERY({fundsexplorer.!$A$2:$Z308},$CY$67&amp;"" where Col1='""&amp;CR268&amp;""' limit 1"",0)),""""))"&amp;")"),"")</f>
        <v/>
      </c>
      <c r="BO268" s="867"/>
      <c r="BP268" s="867"/>
      <c r="BQ268" s="867"/>
      <c r="BR268" s="867"/>
      <c r="BS268" s="867"/>
      <c r="BT268" s="867"/>
      <c r="BU268" s="442"/>
      <c r="BV268" s="868" t="str">
        <f>IFERROR(__xludf.DUMMYFUNCTION("IF(OR(C268=""AÇÃO"",C268=""BDR""),IFERROR(GOOGLEFINANCE(CONCAT(""BVMF:"",CR268), ""marketcap"")/1000000,""NC""),"""")"),"")</f>
        <v/>
      </c>
      <c r="BW268" s="869" t="s">
        <v>123</v>
      </c>
      <c r="BX268" s="870" t="s">
        <v>123</v>
      </c>
      <c r="BY268" s="868" t="s">
        <v>123</v>
      </c>
      <c r="BZ268" s="870" t="s">
        <v>123</v>
      </c>
      <c r="CA268" s="868" t="s">
        <v>123</v>
      </c>
      <c r="CB268" s="868" t="s">
        <v>123</v>
      </c>
      <c r="CC268" s="868" t="s">
        <v>123</v>
      </c>
      <c r="CD268" s="868" t="str">
        <f>IFERROR(__xludf.DUMMYFUNCTION("IF(OR(C268=""AÇÃO"",C268=""BDR""),IFERROR(GOOGLEFINANCE(CONCAT(""BVMF:"",CR268), ""volumeavg"")/1000000,""NC""),"""")"),"")</f>
        <v/>
      </c>
      <c r="CE268" s="870" t="s">
        <v>123</v>
      </c>
      <c r="CF268" s="870" t="s">
        <v>123</v>
      </c>
      <c r="CG268" s="870" t="str">
        <f>IFERROR(__xludf.DUMMYFUNCTION("IF(OR(C268=""AÇÃO"",C268=""BDR""),IF(CF268=0,""SEM DY"",IFERROR(ImportXML(CONCAT(""http://www.guiainvest.com.br/raiox/default.aspx?sigla="",$CR268),""//*[@id='lbPayoutAtual']""),""NC"")),"""")"),"")</f>
        <v/>
      </c>
      <c r="CH268" s="870" t="s">
        <v>123</v>
      </c>
      <c r="CI268" s="545"/>
      <c r="CJ268" s="871" t="str">
        <f>IFERROR(__xludf.DUMMYFUNCTION("IF(OR(C268=""AÇÃO"",C268=""BDR""),IFERROR(GOOGLEFINANCE(CONCAT(""BVMF:"",CR268), ""eps""),""NC""),"""")"),"")</f>
        <v/>
      </c>
      <c r="CK268" s="442"/>
      <c r="CL268" s="871" t="str">
        <f>IFERROR(__xludf.DUMMYFUNCTION("IF(NOT($BL$4),"""",IF($CR268="""","""",IF($BC268="""","""",IFERROR(query({op.normal!$B$5:$F308},""select Col5, toDate(Col2) where Col1 =  '""&amp;$CR268&amp;""' and Col4 &gt; 0 and ((Col3 is null) or (Col3 = 'C')) and Col2 &gt;= date '""&amp;TEXT(TODAY()-$AQ$5,""yyyy-mm-dd"&amp;""")&amp;""' order by Col2 desc limit 1 label toDate(Col2) ''"")))))"),"")</f>
        <v/>
      </c>
      <c r="CM268" s="872"/>
      <c r="CN268" s="883" t="s">
        <v>123</v>
      </c>
      <c r="CO268" s="874" t="s">
        <v>123</v>
      </c>
      <c r="CP268" s="766"/>
      <c r="CQ268" s="791"/>
      <c r="CR268" s="791"/>
      <c r="CT268" s="791" t="s">
        <v>123</v>
      </c>
      <c r="CU268" s="791" t="str">
        <f>IFERROR(__xludf.DUMMYFUNCTION("IF(CR268="""","""",IF(CT268=$C$4,1,GOOGLEFINANCE(CT268&amp;$C$4)))"),"")</f>
        <v/>
      </c>
    </row>
    <row r="269" ht="22.5" customHeight="1">
      <c r="A269" s="837">
        <v>261.0</v>
      </c>
      <c r="B269" s="838" t="s">
        <v>123</v>
      </c>
      <c r="C269" s="838" t="s">
        <v>123</v>
      </c>
      <c r="D269" s="839" t="s">
        <v>123</v>
      </c>
      <c r="E269" s="839" t="s">
        <v>123</v>
      </c>
      <c r="F269" s="839" t="s">
        <v>123</v>
      </c>
      <c r="H269" s="884"/>
      <c r="I269" s="838"/>
      <c r="J269" s="838"/>
      <c r="K269" s="838"/>
      <c r="L269" s="838"/>
      <c r="M269" s="838"/>
      <c r="N269" s="838"/>
      <c r="O269" s="838"/>
      <c r="P269" s="838"/>
      <c r="Q269" s="838"/>
      <c r="R269" s="838"/>
      <c r="S269" s="838"/>
      <c r="T269" s="838"/>
      <c r="U269" s="838"/>
      <c r="V269" s="838"/>
      <c r="W269" s="838"/>
      <c r="X269" s="838"/>
      <c r="Z269" s="875" t="str">
        <f>IFERROR(__xludf.DUMMYFUNCTION("IF($CR269="""","""",IFERROR(query({CarteirasAtivos},""select Col4 where Col4 is not null and Col1 = '""&amp;$CR269&amp;""' limit 1"")*CU269,""NC""))"),"")</f>
        <v/>
      </c>
      <c r="AA269" s="876" t="str">
        <f>IFERROR(__xludf.DUMMYFUNCTION("IF($CR269="""","""",IFERROR(query({CarteirasAtivos},""select Col6 where Col4 is not null and Col1 = '""&amp;$CR269&amp;""' limit 1""),""NC""))"),"")</f>
        <v/>
      </c>
      <c r="AB269" s="877"/>
      <c r="AC269" s="878" t="s">
        <v>123</v>
      </c>
      <c r="AD269" s="845" t="str">
        <f>IF($CR269="","",IFERROR(VLOOKUP($CR269,ativos.!$C$3:$R308,MATCH("cotacao",ativos.!$C$2:CY$2,0),FALSE)*$CU$5,"atualizar"))</f>
        <v/>
      </c>
      <c r="AE269" s="846" t="str">
        <f>IFERROR(__xludf.DUMMYFUNCTION("IF($CR269="""","""",IFERROR(AVERAGE(query({CarteirasAtivos;CarteirasAtivosEncerrados},""select Col5 where Col5 is not null and Col1 = '""&amp;$CR269&amp;""' and Col10='SIM'""))*CU269,""NC""))"),"")</f>
        <v/>
      </c>
      <c r="AF269" s="847" t="str">
        <f t="shared" si="1"/>
        <v/>
      </c>
      <c r="AG269" s="442"/>
      <c r="AH269" s="848" t="str">
        <f>IFERROR(__xludf.DUMMYFUNCTION("IF($CR269="""","""",IFERROR(GOOGLEFINANCE($CR269,""low52"")*CU269,""-""))"),"")</f>
        <v/>
      </c>
      <c r="AI269" s="848" t="str">
        <f>IFERROR(__xludf.DUMMYFUNCTION("IF($CR269="""","""",IFERROR(GOOGLEFINANCE($CR269,""high52"")*CU269,""-""))"),"")</f>
        <v/>
      </c>
      <c r="AJ269" s="849" t="s">
        <v>123</v>
      </c>
      <c r="AK269" s="850" t="str">
        <f>IFERROR(__xludf.DUMMYFUNCTION("IF($CR269="""","""",IFERROR(GOOGLEFINANCE($CR269,""changepct"")/100,""-""))"),"")</f>
        <v/>
      </c>
      <c r="AL269" s="851" t="str">
        <f>IFERROR(__xludf.DUMMYFUNCTION("IF($CR269="""","""",IFERROR(($AD269/(QUERY(GOOGLEFINANCE($CR269,""price"",TODAY()-7),""SELECT Col2 label Col2 ''"")*$CU269)-1),""-""))"),"")</f>
        <v/>
      </c>
      <c r="AM269" s="851" t="str">
        <f>IFERROR(__xludf.DUMMYFUNCTION("IF($CR269="""","""",IFERROR(($AD269/(QUERY(GOOGLEFINANCE($CR269,""price"",TODAY()-14),""SELECT Col2 label Col2 ''"")*$CU269)-1),""-""))"),"")</f>
        <v/>
      </c>
      <c r="AN269" s="851" t="str">
        <f>IFERROR(__xludf.DUMMYFUNCTION("IF($CR269="""","""",IFERROR(($AD269/(QUERY(GOOGLEFINANCE($CR269,""price"",TODAY()-28),""SELECT Col2 label Col2 ''"")*$CU269)-1),""-""))"),"")</f>
        <v/>
      </c>
      <c r="AO269" s="851" t="str">
        <f>IFERROR(__xludf.DUMMYFUNCTION("IF($CR269="""","""",IFERROR(($AD269/(QUERY(GOOGLEFINANCE($CR269,""price"",TODAY()-$AQ$5),""SELECT Col2 label Col2 ''"")*$CU269)-1),""-""))"),"")</f>
        <v/>
      </c>
      <c r="AP269" s="852" t="str">
        <f>IFERROR(__xludf.DUMMYFUNCTION("IF($CR269="""","""",IFERROR(SPARKLINE(query(GOOGLEFINANCE($CR269,""price"",TODAY()-$AQ$5,TODAY(),1),""select Col2 label Col2 ''""),IF($AP$7=""Gráfico de barras"",{""charttype"",""column"";""highcolor"",""red""},{""chartype"",""line""}))))"),"")</f>
        <v/>
      </c>
      <c r="AQ269" s="144"/>
      <c r="AR269" s="853"/>
      <c r="AS269" s="854" t="str">
        <f>IF($CR269="","",IF(NOT('alocação'!$D$1),"off",IFERROR(VLOOKUP(CR269,BalanceAtivos,3,0),"NC")))</f>
        <v/>
      </c>
      <c r="AT269" s="855" t="str">
        <f>IF($CR269="","",IF(NOT('alocação'!$D$1),"off",IFERROR(VLOOKUP($CR269,BalanceAtivos,4,0)*$CU$5,"NC")))</f>
        <v/>
      </c>
      <c r="AU269" s="856" t="str">
        <f>IF($CR269="","",IF(NOT('alocação'!$D$1),"off",IFERROR(VLOOKUP($CR269,BalanceAtivos,5,0),"-")))</f>
        <v/>
      </c>
      <c r="AV269" s="856" t="str">
        <f>IF($CR269="","",IF(NOT('alocação'!$D$1),"off",IFERROR(VLOOKUP($CR269,BalanceAtivos,6,0),"-")))</f>
        <v/>
      </c>
      <c r="AW269" s="857"/>
      <c r="AX269" s="858" t="str">
        <f>IF($CR269="","",IF($E269="","SP",IFERROR(VLOOKUP($CR269,AtivosDados,MATCH("pm_atual",portfolio.!$A$3:CY$3,0),0)*$CU$5,0)))</f>
        <v/>
      </c>
      <c r="AY269" s="859" t="str">
        <f t="shared" si="2"/>
        <v/>
      </c>
      <c r="AZ269" s="858" t="str">
        <f>IF($CR269="","",IF($E269="","SP",SUMIF(portfolio.!$A$4:$A308,$CR269,portfolio.!$O$4:$O308)*$CU$5))</f>
        <v/>
      </c>
      <c r="BA269" s="858" t="str">
        <f>IF($CR269="","",IF($E269="","SP",SUMIF(portfolio.!$A$4:$A308,$CR269,portfolio.!$AN$4:$AN308)*$CU$5))</f>
        <v/>
      </c>
      <c r="BB269" s="860" t="str">
        <f>IF($CR269="","",IF($E269="","-",IFERROR($BA269/'portfólio'!$DG$63,"")))</f>
        <v/>
      </c>
      <c r="BC269" s="861" t="str">
        <f>IF($CR269="","",IF($E269="","-",SUMIF(portfolio.!$A$4:$A308,$CR269,portfolio.!$J$4:$J308)))</f>
        <v/>
      </c>
      <c r="BD269" s="862" t="str">
        <f>IF($CR269="","",IF($E269="","SP",SUMIF(portfolio.!$A$4:$A308,$CR269,portfolio.!$AQ$4:$AQ308)*$CU$5))</f>
        <v/>
      </c>
      <c r="BE269" s="850" t="str">
        <f t="shared" si="3"/>
        <v/>
      </c>
      <c r="BF269" s="862" t="str">
        <f>IF($CR269="","",IF($E269="","-",SUMIF(portfolio.!$A$4:$A308,$CR269,portfolio.!$AX$4:$AX308)*$CU$5))</f>
        <v/>
      </c>
      <c r="BG269" s="545"/>
      <c r="BH269" s="879" t="s">
        <v>123</v>
      </c>
      <c r="BI269" s="880" t="s">
        <v>123</v>
      </c>
      <c r="BJ269" s="863" t="str">
        <f>IFERROR(__xludf.DUMMYFUNCTION("IF(NOT($BL$4),"""",IF($CR269="""","""",IFERROR(query({GOOGLEFINANCE($CR269,""price"",IF($BI269=""-"",TODAY()-($AQ$5+5),$BI269),TODAY()-1)},""Select max(Col2) where Col1 is not null label max(Col2) ''"")*CU269,""-"")))"),"")</f>
        <v/>
      </c>
      <c r="BK269" s="881" t="s">
        <v>123</v>
      </c>
      <c r="BL269" s="882" t="s">
        <v>123</v>
      </c>
      <c r="BM269" s="442"/>
      <c r="BN269" s="867" t="str">
        <f>IFERROR(__xludf.DUMMYFUNCTION("IF(CR269="""","""",IF(OR(C269=""AÇÃO"",C269=""BDR""),IFERROR(QUERY({fundamentus.!$A$3:$U308},$CX$67&amp;"" where Col1='""&amp;CR269&amp;""' limit 1"",0)),IF(C269=""FII"",IFERROR(QUERY({fundsexplorer.!$A$2:$Z308},$CY$67&amp;"" where Col1='""&amp;CR269&amp;""' limit 1"",0)),""""))"&amp;")"),"")</f>
        <v/>
      </c>
      <c r="BO269" s="867"/>
      <c r="BP269" s="867"/>
      <c r="BQ269" s="867"/>
      <c r="BR269" s="867"/>
      <c r="BS269" s="867"/>
      <c r="BT269" s="867"/>
      <c r="BU269" s="442"/>
      <c r="BV269" s="868" t="str">
        <f>IFERROR(__xludf.DUMMYFUNCTION("IF(OR(C269=""AÇÃO"",C269=""BDR""),IFERROR(GOOGLEFINANCE(CONCAT(""BVMF:"",CR269), ""marketcap"")/1000000,""NC""),"""")"),"")</f>
        <v/>
      </c>
      <c r="BW269" s="869" t="s">
        <v>123</v>
      </c>
      <c r="BX269" s="870" t="s">
        <v>123</v>
      </c>
      <c r="BY269" s="868" t="s">
        <v>123</v>
      </c>
      <c r="BZ269" s="870" t="s">
        <v>123</v>
      </c>
      <c r="CA269" s="868" t="s">
        <v>123</v>
      </c>
      <c r="CB269" s="868" t="s">
        <v>123</v>
      </c>
      <c r="CC269" s="868" t="s">
        <v>123</v>
      </c>
      <c r="CD269" s="868" t="str">
        <f>IFERROR(__xludf.DUMMYFUNCTION("IF(OR(C269=""AÇÃO"",C269=""BDR""),IFERROR(GOOGLEFINANCE(CONCAT(""BVMF:"",CR269), ""volumeavg"")/1000000,""NC""),"""")"),"")</f>
        <v/>
      </c>
      <c r="CE269" s="870" t="s">
        <v>123</v>
      </c>
      <c r="CF269" s="870" t="s">
        <v>123</v>
      </c>
      <c r="CG269" s="870" t="str">
        <f>IFERROR(__xludf.DUMMYFUNCTION("IF(OR(C269=""AÇÃO"",C269=""BDR""),IF(CF269=0,""SEM DY"",IFERROR(ImportXML(CONCAT(""http://www.guiainvest.com.br/raiox/default.aspx?sigla="",$CR269),""//*[@id='lbPayoutAtual']""),""NC"")),"""")"),"")</f>
        <v/>
      </c>
      <c r="CH269" s="870" t="s">
        <v>123</v>
      </c>
      <c r="CI269" s="545"/>
      <c r="CJ269" s="871" t="str">
        <f>IFERROR(__xludf.DUMMYFUNCTION("IF(OR(C269=""AÇÃO"",C269=""BDR""),IFERROR(GOOGLEFINANCE(CONCAT(""BVMF:"",CR269), ""eps""),""NC""),"""")"),"")</f>
        <v/>
      </c>
      <c r="CK269" s="442"/>
      <c r="CL269" s="871" t="str">
        <f>IFERROR(__xludf.DUMMYFUNCTION("IF(NOT($BL$4),"""",IF($CR269="""","""",IF($BC269="""","""",IFERROR(query({op.normal!$B$5:$F308},""select Col5, toDate(Col2) where Col1 =  '""&amp;$CR269&amp;""' and Col4 &gt; 0 and ((Col3 is null) or (Col3 = 'C')) and Col2 &gt;= date '""&amp;TEXT(TODAY()-$AQ$5,""yyyy-mm-dd"&amp;""")&amp;""' order by Col2 desc limit 1 label toDate(Col2) ''"")))))"),"")</f>
        <v/>
      </c>
      <c r="CM269" s="872"/>
      <c r="CN269" s="883" t="s">
        <v>123</v>
      </c>
      <c r="CO269" s="874" t="s">
        <v>123</v>
      </c>
      <c r="CP269" s="766"/>
      <c r="CQ269" s="791"/>
      <c r="CR269" s="791"/>
      <c r="CT269" s="791" t="s">
        <v>123</v>
      </c>
      <c r="CU269" s="791" t="str">
        <f>IFERROR(__xludf.DUMMYFUNCTION("IF(CR269="""","""",IF(CT269=$C$4,1,GOOGLEFINANCE(CT269&amp;$C$4)))"),"")</f>
        <v/>
      </c>
    </row>
    <row r="270" ht="22.5" customHeight="1">
      <c r="A270" s="837">
        <v>262.0</v>
      </c>
      <c r="B270" s="838" t="s">
        <v>123</v>
      </c>
      <c r="C270" s="838" t="s">
        <v>123</v>
      </c>
      <c r="D270" s="839" t="s">
        <v>123</v>
      </c>
      <c r="E270" s="839" t="s">
        <v>123</v>
      </c>
      <c r="F270" s="839" t="s">
        <v>123</v>
      </c>
      <c r="H270" s="884"/>
      <c r="I270" s="838"/>
      <c r="J270" s="838"/>
      <c r="K270" s="838"/>
      <c r="L270" s="838"/>
      <c r="M270" s="838"/>
      <c r="N270" s="838"/>
      <c r="O270" s="838"/>
      <c r="P270" s="838"/>
      <c r="Q270" s="838"/>
      <c r="R270" s="838"/>
      <c r="S270" s="838"/>
      <c r="T270" s="838"/>
      <c r="U270" s="838"/>
      <c r="V270" s="838"/>
      <c r="W270" s="838"/>
      <c r="X270" s="838"/>
      <c r="Z270" s="875" t="str">
        <f>IFERROR(__xludf.DUMMYFUNCTION("IF($CR270="""","""",IFERROR(query({CarteirasAtivos},""select Col4 where Col4 is not null and Col1 = '""&amp;$CR270&amp;""' limit 1"")*CU270,""NC""))"),"")</f>
        <v/>
      </c>
      <c r="AA270" s="876" t="str">
        <f>IFERROR(__xludf.DUMMYFUNCTION("IF($CR270="""","""",IFERROR(query({CarteirasAtivos},""select Col6 where Col4 is not null and Col1 = '""&amp;$CR270&amp;""' limit 1""),""NC""))"),"")</f>
        <v/>
      </c>
      <c r="AB270" s="877"/>
      <c r="AC270" s="878" t="s">
        <v>123</v>
      </c>
      <c r="AD270" s="845" t="str">
        <f>IF($CR270="","",IFERROR(VLOOKUP($CR270,ativos.!$C$3:$R308,MATCH("cotacao",ativos.!$C$2:CY$2,0),FALSE)*$CU$5,"atualizar"))</f>
        <v/>
      </c>
      <c r="AE270" s="846" t="str">
        <f>IFERROR(__xludf.DUMMYFUNCTION("IF($CR270="""","""",IFERROR(AVERAGE(query({CarteirasAtivos;CarteirasAtivosEncerrados},""select Col5 where Col5 is not null and Col1 = '""&amp;$CR270&amp;""' and Col10='SIM'""))*CU270,""NC""))"),"")</f>
        <v/>
      </c>
      <c r="AF270" s="847" t="str">
        <f t="shared" si="1"/>
        <v/>
      </c>
      <c r="AG270" s="442"/>
      <c r="AH270" s="848" t="str">
        <f>IFERROR(__xludf.DUMMYFUNCTION("IF($CR270="""","""",IFERROR(GOOGLEFINANCE($CR270,""low52"")*CU270,""-""))"),"")</f>
        <v/>
      </c>
      <c r="AI270" s="848" t="str">
        <f>IFERROR(__xludf.DUMMYFUNCTION("IF($CR270="""","""",IFERROR(GOOGLEFINANCE($CR270,""high52"")*CU270,""-""))"),"")</f>
        <v/>
      </c>
      <c r="AJ270" s="849" t="s">
        <v>123</v>
      </c>
      <c r="AK270" s="850" t="str">
        <f>IFERROR(__xludf.DUMMYFUNCTION("IF($CR270="""","""",IFERROR(GOOGLEFINANCE($CR270,""changepct"")/100,""-""))"),"")</f>
        <v/>
      </c>
      <c r="AL270" s="851" t="str">
        <f>IFERROR(__xludf.DUMMYFUNCTION("IF($CR270="""","""",IFERROR(($AD270/(QUERY(GOOGLEFINANCE($CR270,""price"",TODAY()-7),""SELECT Col2 label Col2 ''"")*$CU270)-1),""-""))"),"")</f>
        <v/>
      </c>
      <c r="AM270" s="851" t="str">
        <f>IFERROR(__xludf.DUMMYFUNCTION("IF($CR270="""","""",IFERROR(($AD270/(QUERY(GOOGLEFINANCE($CR270,""price"",TODAY()-14),""SELECT Col2 label Col2 ''"")*$CU270)-1),""-""))"),"")</f>
        <v/>
      </c>
      <c r="AN270" s="851" t="str">
        <f>IFERROR(__xludf.DUMMYFUNCTION("IF($CR270="""","""",IFERROR(($AD270/(QUERY(GOOGLEFINANCE($CR270,""price"",TODAY()-28),""SELECT Col2 label Col2 ''"")*$CU270)-1),""-""))"),"")</f>
        <v/>
      </c>
      <c r="AO270" s="851" t="str">
        <f>IFERROR(__xludf.DUMMYFUNCTION("IF($CR270="""","""",IFERROR(($AD270/(QUERY(GOOGLEFINANCE($CR270,""price"",TODAY()-$AQ$5),""SELECT Col2 label Col2 ''"")*$CU270)-1),""-""))"),"")</f>
        <v/>
      </c>
      <c r="AP270" s="852" t="str">
        <f>IFERROR(__xludf.DUMMYFUNCTION("IF($CR270="""","""",IFERROR(SPARKLINE(query(GOOGLEFINANCE($CR270,""price"",TODAY()-$AQ$5,TODAY(),1),""select Col2 label Col2 ''""),IF($AP$7=""Gráfico de barras"",{""charttype"",""column"";""highcolor"",""red""},{""chartype"",""line""}))))"),"")</f>
        <v/>
      </c>
      <c r="AQ270" s="144"/>
      <c r="AR270" s="853"/>
      <c r="AS270" s="854" t="str">
        <f>IF($CR270="","",IF(NOT('alocação'!$D$1),"off",IFERROR(VLOOKUP(CR270,BalanceAtivos,3,0),"NC")))</f>
        <v/>
      </c>
      <c r="AT270" s="855" t="str">
        <f>IF($CR270="","",IF(NOT('alocação'!$D$1),"off",IFERROR(VLOOKUP($CR270,BalanceAtivos,4,0)*$CU$5,"NC")))</f>
        <v/>
      </c>
      <c r="AU270" s="856" t="str">
        <f>IF($CR270="","",IF(NOT('alocação'!$D$1),"off",IFERROR(VLOOKUP($CR270,BalanceAtivos,5,0),"-")))</f>
        <v/>
      </c>
      <c r="AV270" s="856" t="str">
        <f>IF($CR270="","",IF(NOT('alocação'!$D$1),"off",IFERROR(VLOOKUP($CR270,BalanceAtivos,6,0),"-")))</f>
        <v/>
      </c>
      <c r="AW270" s="857"/>
      <c r="AX270" s="858" t="str">
        <f>IF($CR270="","",IF($E270="","SP",IFERROR(VLOOKUP($CR270,AtivosDados,MATCH("pm_atual",portfolio.!$A$3:CY$3,0),0)*$CU$5,0)))</f>
        <v/>
      </c>
      <c r="AY270" s="859" t="str">
        <f t="shared" si="2"/>
        <v/>
      </c>
      <c r="AZ270" s="858" t="str">
        <f>IF($CR270="","",IF($E270="","SP",SUMIF(portfolio.!$A$4:$A308,$CR270,portfolio.!$O$4:$O308)*$CU$5))</f>
        <v/>
      </c>
      <c r="BA270" s="858" t="str">
        <f>IF($CR270="","",IF($E270="","SP",SUMIF(portfolio.!$A$4:$A308,$CR270,portfolio.!$AN$4:$AN308)*$CU$5))</f>
        <v/>
      </c>
      <c r="BB270" s="860" t="str">
        <f>IF($CR270="","",IF($E270="","-",IFERROR($BA270/'portfólio'!$DG$63,"")))</f>
        <v/>
      </c>
      <c r="BC270" s="861" t="str">
        <f>IF($CR270="","",IF($E270="","-",SUMIF(portfolio.!$A$4:$A308,$CR270,portfolio.!$J$4:$J308)))</f>
        <v/>
      </c>
      <c r="BD270" s="862" t="str">
        <f>IF($CR270="","",IF($E270="","SP",SUMIF(portfolio.!$A$4:$A308,$CR270,portfolio.!$AQ$4:$AQ308)*$CU$5))</f>
        <v/>
      </c>
      <c r="BE270" s="850" t="str">
        <f t="shared" si="3"/>
        <v/>
      </c>
      <c r="BF270" s="862" t="str">
        <f>IF($CR270="","",IF($E270="","-",SUMIF(portfolio.!$A$4:$A308,$CR270,portfolio.!$AX$4:$AX308)*$CU$5))</f>
        <v/>
      </c>
      <c r="BG270" s="545"/>
      <c r="BH270" s="879" t="s">
        <v>123</v>
      </c>
      <c r="BI270" s="880" t="s">
        <v>123</v>
      </c>
      <c r="BJ270" s="863" t="str">
        <f>IFERROR(__xludf.DUMMYFUNCTION("IF(NOT($BL$4),"""",IF($CR270="""","""",IFERROR(query({GOOGLEFINANCE($CR270,""price"",IF($BI270=""-"",TODAY()-($AQ$5+5),$BI270),TODAY()-1)},""Select max(Col2) where Col1 is not null label max(Col2) ''"")*CU270,""-"")))"),"")</f>
        <v/>
      </c>
      <c r="BK270" s="881" t="s">
        <v>123</v>
      </c>
      <c r="BL270" s="882" t="s">
        <v>123</v>
      </c>
      <c r="BM270" s="442"/>
      <c r="BN270" s="867" t="str">
        <f>IFERROR(__xludf.DUMMYFUNCTION("IF(CR270="""","""",IF(OR(C270=""AÇÃO"",C270=""BDR""),IFERROR(QUERY({fundamentus.!$A$3:$U308},$CX$67&amp;"" where Col1='""&amp;CR270&amp;""' limit 1"",0)),IF(C270=""FII"",IFERROR(QUERY({fundsexplorer.!$A$2:$Z308},$CY$67&amp;"" where Col1='""&amp;CR270&amp;""' limit 1"",0)),""""))"&amp;")"),"")</f>
        <v/>
      </c>
      <c r="BO270" s="867"/>
      <c r="BP270" s="867"/>
      <c r="BQ270" s="867"/>
      <c r="BR270" s="867"/>
      <c r="BS270" s="867"/>
      <c r="BT270" s="867"/>
      <c r="BU270" s="442"/>
      <c r="BV270" s="868" t="str">
        <f>IFERROR(__xludf.DUMMYFUNCTION("IF(OR(C270=""AÇÃO"",C270=""BDR""),IFERROR(GOOGLEFINANCE(CONCAT(""BVMF:"",CR270), ""marketcap"")/1000000,""NC""),"""")"),"")</f>
        <v/>
      </c>
      <c r="BW270" s="869" t="s">
        <v>123</v>
      </c>
      <c r="BX270" s="870" t="s">
        <v>123</v>
      </c>
      <c r="BY270" s="868" t="s">
        <v>123</v>
      </c>
      <c r="BZ270" s="870" t="s">
        <v>123</v>
      </c>
      <c r="CA270" s="868" t="s">
        <v>123</v>
      </c>
      <c r="CB270" s="868" t="s">
        <v>123</v>
      </c>
      <c r="CC270" s="868" t="s">
        <v>123</v>
      </c>
      <c r="CD270" s="868" t="str">
        <f>IFERROR(__xludf.DUMMYFUNCTION("IF(OR(C270=""AÇÃO"",C270=""BDR""),IFERROR(GOOGLEFINANCE(CONCAT(""BVMF:"",CR270), ""volumeavg"")/1000000,""NC""),"""")"),"")</f>
        <v/>
      </c>
      <c r="CE270" s="870" t="s">
        <v>123</v>
      </c>
      <c r="CF270" s="870" t="s">
        <v>123</v>
      </c>
      <c r="CG270" s="870" t="str">
        <f>IFERROR(__xludf.DUMMYFUNCTION("IF(OR(C270=""AÇÃO"",C270=""BDR""),IF(CF270=0,""SEM DY"",IFERROR(ImportXML(CONCAT(""http://www.guiainvest.com.br/raiox/default.aspx?sigla="",$CR270),""//*[@id='lbPayoutAtual']""),""NC"")),"""")"),"")</f>
        <v/>
      </c>
      <c r="CH270" s="870" t="s">
        <v>123</v>
      </c>
      <c r="CI270" s="545"/>
      <c r="CJ270" s="871" t="str">
        <f>IFERROR(__xludf.DUMMYFUNCTION("IF(OR(C270=""AÇÃO"",C270=""BDR""),IFERROR(GOOGLEFINANCE(CONCAT(""BVMF:"",CR270), ""eps""),""NC""),"""")"),"")</f>
        <v/>
      </c>
      <c r="CK270" s="442"/>
      <c r="CL270" s="871" t="str">
        <f>IFERROR(__xludf.DUMMYFUNCTION("IF(NOT($BL$4),"""",IF($CR270="""","""",IF($BC270="""","""",IFERROR(query({op.normal!$B$5:$F308},""select Col5, toDate(Col2) where Col1 =  '""&amp;$CR270&amp;""' and Col4 &gt; 0 and ((Col3 is null) or (Col3 = 'C')) and Col2 &gt;= date '""&amp;TEXT(TODAY()-$AQ$5,""yyyy-mm-dd"&amp;""")&amp;""' order by Col2 desc limit 1 label toDate(Col2) ''"")))))"),"")</f>
        <v/>
      </c>
      <c r="CM270" s="872"/>
      <c r="CN270" s="883" t="s">
        <v>123</v>
      </c>
      <c r="CO270" s="874" t="s">
        <v>123</v>
      </c>
      <c r="CP270" s="766"/>
      <c r="CQ270" s="791"/>
      <c r="CR270" s="791"/>
      <c r="CT270" s="791" t="s">
        <v>123</v>
      </c>
      <c r="CU270" s="791" t="str">
        <f>IFERROR(__xludf.DUMMYFUNCTION("IF(CR270="""","""",IF(CT270=$C$4,1,GOOGLEFINANCE(CT270&amp;$C$4)))"),"")</f>
        <v/>
      </c>
    </row>
    <row r="271" ht="22.5" customHeight="1">
      <c r="A271" s="837">
        <v>263.0</v>
      </c>
      <c r="B271" s="838" t="s">
        <v>123</v>
      </c>
      <c r="C271" s="838" t="s">
        <v>123</v>
      </c>
      <c r="D271" s="839" t="s">
        <v>123</v>
      </c>
      <c r="E271" s="839" t="s">
        <v>123</v>
      </c>
      <c r="F271" s="839" t="s">
        <v>123</v>
      </c>
      <c r="H271" s="884"/>
      <c r="I271" s="838"/>
      <c r="J271" s="838"/>
      <c r="K271" s="838"/>
      <c r="L271" s="838"/>
      <c r="M271" s="838"/>
      <c r="N271" s="838"/>
      <c r="O271" s="838"/>
      <c r="P271" s="838"/>
      <c r="Q271" s="838"/>
      <c r="R271" s="838"/>
      <c r="S271" s="838"/>
      <c r="T271" s="838"/>
      <c r="U271" s="838"/>
      <c r="V271" s="838"/>
      <c r="W271" s="838"/>
      <c r="X271" s="838"/>
      <c r="Z271" s="875" t="str">
        <f>IFERROR(__xludf.DUMMYFUNCTION("IF($CR271="""","""",IFERROR(query({CarteirasAtivos},""select Col4 where Col4 is not null and Col1 = '""&amp;$CR271&amp;""' limit 1"")*CU271,""NC""))"),"")</f>
        <v/>
      </c>
      <c r="AA271" s="876" t="str">
        <f>IFERROR(__xludf.DUMMYFUNCTION("IF($CR271="""","""",IFERROR(query({CarteirasAtivos},""select Col6 where Col4 is not null and Col1 = '""&amp;$CR271&amp;""' limit 1""),""NC""))"),"")</f>
        <v/>
      </c>
      <c r="AB271" s="877"/>
      <c r="AC271" s="878" t="s">
        <v>123</v>
      </c>
      <c r="AD271" s="845" t="str">
        <f>IF($CR271="","",IFERROR(VLOOKUP($CR271,ativos.!$C$3:$R308,MATCH("cotacao",ativos.!$C$2:CY$2,0),FALSE)*$CU$5,"atualizar"))</f>
        <v/>
      </c>
      <c r="AE271" s="846" t="str">
        <f>IFERROR(__xludf.DUMMYFUNCTION("IF($CR271="""","""",IFERROR(AVERAGE(query({CarteirasAtivos;CarteirasAtivosEncerrados},""select Col5 where Col5 is not null and Col1 = '""&amp;$CR271&amp;""' and Col10='SIM'""))*CU271,""NC""))"),"")</f>
        <v/>
      </c>
      <c r="AF271" s="847" t="str">
        <f t="shared" si="1"/>
        <v/>
      </c>
      <c r="AG271" s="442"/>
      <c r="AH271" s="848" t="str">
        <f>IFERROR(__xludf.DUMMYFUNCTION("IF($CR271="""","""",IFERROR(GOOGLEFINANCE($CR271,""low52"")*CU271,""-""))"),"")</f>
        <v/>
      </c>
      <c r="AI271" s="848" t="str">
        <f>IFERROR(__xludf.DUMMYFUNCTION("IF($CR271="""","""",IFERROR(GOOGLEFINANCE($CR271,""high52"")*CU271,""-""))"),"")</f>
        <v/>
      </c>
      <c r="AJ271" s="849" t="s">
        <v>123</v>
      </c>
      <c r="AK271" s="850" t="str">
        <f>IFERROR(__xludf.DUMMYFUNCTION("IF($CR271="""","""",IFERROR(GOOGLEFINANCE($CR271,""changepct"")/100,""-""))"),"")</f>
        <v/>
      </c>
      <c r="AL271" s="851" t="str">
        <f>IFERROR(__xludf.DUMMYFUNCTION("IF($CR271="""","""",IFERROR(($AD271/(QUERY(GOOGLEFINANCE($CR271,""price"",TODAY()-7),""SELECT Col2 label Col2 ''"")*$CU271)-1),""-""))"),"")</f>
        <v/>
      </c>
      <c r="AM271" s="851" t="str">
        <f>IFERROR(__xludf.DUMMYFUNCTION("IF($CR271="""","""",IFERROR(($AD271/(QUERY(GOOGLEFINANCE($CR271,""price"",TODAY()-14),""SELECT Col2 label Col2 ''"")*$CU271)-1),""-""))"),"")</f>
        <v/>
      </c>
      <c r="AN271" s="851" t="str">
        <f>IFERROR(__xludf.DUMMYFUNCTION("IF($CR271="""","""",IFERROR(($AD271/(QUERY(GOOGLEFINANCE($CR271,""price"",TODAY()-28),""SELECT Col2 label Col2 ''"")*$CU271)-1),""-""))"),"")</f>
        <v/>
      </c>
      <c r="AO271" s="851" t="str">
        <f>IFERROR(__xludf.DUMMYFUNCTION("IF($CR271="""","""",IFERROR(($AD271/(QUERY(GOOGLEFINANCE($CR271,""price"",TODAY()-$AQ$5),""SELECT Col2 label Col2 ''"")*$CU271)-1),""-""))"),"")</f>
        <v/>
      </c>
      <c r="AP271" s="852" t="str">
        <f>IFERROR(__xludf.DUMMYFUNCTION("IF($CR271="""","""",IFERROR(SPARKLINE(query(GOOGLEFINANCE($CR271,""price"",TODAY()-$AQ$5,TODAY(),1),""select Col2 label Col2 ''""),IF($AP$7=""Gráfico de barras"",{""charttype"",""column"";""highcolor"",""red""},{""chartype"",""line""}))))"),"")</f>
        <v/>
      </c>
      <c r="AQ271" s="144"/>
      <c r="AR271" s="853"/>
      <c r="AS271" s="854" t="str">
        <f>IF($CR271="","",IF(NOT('alocação'!$D$1),"off",IFERROR(VLOOKUP(CR271,BalanceAtivos,3,0),"NC")))</f>
        <v/>
      </c>
      <c r="AT271" s="855" t="str">
        <f>IF($CR271="","",IF(NOT('alocação'!$D$1),"off",IFERROR(VLOOKUP($CR271,BalanceAtivos,4,0)*$CU$5,"NC")))</f>
        <v/>
      </c>
      <c r="AU271" s="856" t="str">
        <f>IF($CR271="","",IF(NOT('alocação'!$D$1),"off",IFERROR(VLOOKUP($CR271,BalanceAtivos,5,0),"-")))</f>
        <v/>
      </c>
      <c r="AV271" s="856" t="str">
        <f>IF($CR271="","",IF(NOT('alocação'!$D$1),"off",IFERROR(VLOOKUP($CR271,BalanceAtivos,6,0),"-")))</f>
        <v/>
      </c>
      <c r="AW271" s="857"/>
      <c r="AX271" s="858" t="str">
        <f>IF($CR271="","",IF($E271="","SP",IFERROR(VLOOKUP($CR271,AtivosDados,MATCH("pm_atual",portfolio.!$A$3:CY$3,0),0)*$CU$5,0)))</f>
        <v/>
      </c>
      <c r="AY271" s="859" t="str">
        <f t="shared" si="2"/>
        <v/>
      </c>
      <c r="AZ271" s="858" t="str">
        <f>IF($CR271="","",IF($E271="","SP",SUMIF(portfolio.!$A$4:$A308,$CR271,portfolio.!$O$4:$O308)*$CU$5))</f>
        <v/>
      </c>
      <c r="BA271" s="858" t="str">
        <f>IF($CR271="","",IF($E271="","SP",SUMIF(portfolio.!$A$4:$A308,$CR271,portfolio.!$AN$4:$AN308)*$CU$5))</f>
        <v/>
      </c>
      <c r="BB271" s="860" t="str">
        <f>IF($CR271="","",IF($E271="","-",IFERROR($BA271/'portfólio'!$DG$63,"")))</f>
        <v/>
      </c>
      <c r="BC271" s="861" t="str">
        <f>IF($CR271="","",IF($E271="","-",SUMIF(portfolio.!$A$4:$A308,$CR271,portfolio.!$J$4:$J308)))</f>
        <v/>
      </c>
      <c r="BD271" s="862" t="str">
        <f>IF($CR271="","",IF($E271="","SP",SUMIF(portfolio.!$A$4:$A308,$CR271,portfolio.!$AQ$4:$AQ308)*$CU$5))</f>
        <v/>
      </c>
      <c r="BE271" s="850" t="str">
        <f t="shared" si="3"/>
        <v/>
      </c>
      <c r="BF271" s="862" t="str">
        <f>IF($CR271="","",IF($E271="","-",SUMIF(portfolio.!$A$4:$A308,$CR271,portfolio.!$AX$4:$AX308)*$CU$5))</f>
        <v/>
      </c>
      <c r="BG271" s="545"/>
      <c r="BH271" s="879" t="s">
        <v>123</v>
      </c>
      <c r="BI271" s="880" t="s">
        <v>123</v>
      </c>
      <c r="BJ271" s="863" t="str">
        <f>IFERROR(__xludf.DUMMYFUNCTION("IF(NOT($BL$4),"""",IF($CR271="""","""",IFERROR(query({GOOGLEFINANCE($CR271,""price"",IF($BI271=""-"",TODAY()-($AQ$5+5),$BI271),TODAY()-1)},""Select max(Col2) where Col1 is not null label max(Col2) ''"")*CU271,""-"")))"),"")</f>
        <v/>
      </c>
      <c r="BK271" s="881" t="s">
        <v>123</v>
      </c>
      <c r="BL271" s="882" t="s">
        <v>123</v>
      </c>
      <c r="BM271" s="442"/>
      <c r="BN271" s="867" t="str">
        <f>IFERROR(__xludf.DUMMYFUNCTION("IF(CR271="""","""",IF(OR(C271=""AÇÃO"",C271=""BDR""),IFERROR(QUERY({fundamentus.!$A$3:$U308},$CX$67&amp;"" where Col1='""&amp;CR271&amp;""' limit 1"",0)),IF(C271=""FII"",IFERROR(QUERY({fundsexplorer.!$A$2:$Z308},$CY$67&amp;"" where Col1='""&amp;CR271&amp;""' limit 1"",0)),""""))"&amp;")"),"")</f>
        <v/>
      </c>
      <c r="BO271" s="867"/>
      <c r="BP271" s="867"/>
      <c r="BQ271" s="867"/>
      <c r="BR271" s="867"/>
      <c r="BS271" s="867"/>
      <c r="BT271" s="867"/>
      <c r="BU271" s="442"/>
      <c r="BV271" s="868" t="str">
        <f>IFERROR(__xludf.DUMMYFUNCTION("IF(OR(C271=""AÇÃO"",C271=""BDR""),IFERROR(GOOGLEFINANCE(CONCAT(""BVMF:"",CR271), ""marketcap"")/1000000,""NC""),"""")"),"")</f>
        <v/>
      </c>
      <c r="BW271" s="869" t="s">
        <v>123</v>
      </c>
      <c r="BX271" s="870" t="s">
        <v>123</v>
      </c>
      <c r="BY271" s="868" t="s">
        <v>123</v>
      </c>
      <c r="BZ271" s="870" t="s">
        <v>123</v>
      </c>
      <c r="CA271" s="868" t="s">
        <v>123</v>
      </c>
      <c r="CB271" s="868" t="s">
        <v>123</v>
      </c>
      <c r="CC271" s="868" t="s">
        <v>123</v>
      </c>
      <c r="CD271" s="868" t="str">
        <f>IFERROR(__xludf.DUMMYFUNCTION("IF(OR(C271=""AÇÃO"",C271=""BDR""),IFERROR(GOOGLEFINANCE(CONCAT(""BVMF:"",CR271), ""volumeavg"")/1000000,""NC""),"""")"),"")</f>
        <v/>
      </c>
      <c r="CE271" s="870" t="s">
        <v>123</v>
      </c>
      <c r="CF271" s="870" t="s">
        <v>123</v>
      </c>
      <c r="CG271" s="870" t="str">
        <f>IFERROR(__xludf.DUMMYFUNCTION("IF(OR(C271=""AÇÃO"",C271=""BDR""),IF(CF271=0,""SEM DY"",IFERROR(ImportXML(CONCAT(""http://www.guiainvest.com.br/raiox/default.aspx?sigla="",$CR271),""//*[@id='lbPayoutAtual']""),""NC"")),"""")"),"")</f>
        <v/>
      </c>
      <c r="CH271" s="870" t="s">
        <v>123</v>
      </c>
      <c r="CI271" s="545"/>
      <c r="CJ271" s="871" t="str">
        <f>IFERROR(__xludf.DUMMYFUNCTION("IF(OR(C271=""AÇÃO"",C271=""BDR""),IFERROR(GOOGLEFINANCE(CONCAT(""BVMF:"",CR271), ""eps""),""NC""),"""")"),"")</f>
        <v/>
      </c>
      <c r="CK271" s="442"/>
      <c r="CL271" s="871" t="str">
        <f>IFERROR(__xludf.DUMMYFUNCTION("IF(NOT($BL$4),"""",IF($CR271="""","""",IF($BC271="""","""",IFERROR(query({op.normal!$B$5:$F308},""select Col5, toDate(Col2) where Col1 =  '""&amp;$CR271&amp;""' and Col4 &gt; 0 and ((Col3 is null) or (Col3 = 'C')) and Col2 &gt;= date '""&amp;TEXT(TODAY()-$AQ$5,""yyyy-mm-dd"&amp;""")&amp;""' order by Col2 desc limit 1 label toDate(Col2) ''"")))))"),"")</f>
        <v/>
      </c>
      <c r="CM271" s="872"/>
      <c r="CN271" s="883" t="s">
        <v>123</v>
      </c>
      <c r="CO271" s="874" t="s">
        <v>123</v>
      </c>
      <c r="CP271" s="766"/>
      <c r="CQ271" s="791"/>
      <c r="CR271" s="791"/>
      <c r="CT271" s="791" t="s">
        <v>123</v>
      </c>
      <c r="CU271" s="791" t="str">
        <f>IFERROR(__xludf.DUMMYFUNCTION("IF(CR271="""","""",IF(CT271=$C$4,1,GOOGLEFINANCE(CT271&amp;$C$4)))"),"")</f>
        <v/>
      </c>
    </row>
    <row r="272" ht="22.5" customHeight="1">
      <c r="A272" s="837">
        <v>264.0</v>
      </c>
      <c r="B272" s="838" t="s">
        <v>123</v>
      </c>
      <c r="C272" s="838" t="s">
        <v>123</v>
      </c>
      <c r="D272" s="839" t="s">
        <v>123</v>
      </c>
      <c r="E272" s="839" t="s">
        <v>123</v>
      </c>
      <c r="F272" s="839" t="s">
        <v>123</v>
      </c>
      <c r="H272" s="884"/>
      <c r="I272" s="838"/>
      <c r="J272" s="838"/>
      <c r="K272" s="838"/>
      <c r="L272" s="838"/>
      <c r="M272" s="838"/>
      <c r="N272" s="838"/>
      <c r="O272" s="838"/>
      <c r="P272" s="838"/>
      <c r="Q272" s="838"/>
      <c r="R272" s="838"/>
      <c r="S272" s="838"/>
      <c r="T272" s="838"/>
      <c r="U272" s="838"/>
      <c r="V272" s="838"/>
      <c r="W272" s="838"/>
      <c r="X272" s="838"/>
      <c r="Z272" s="875" t="str">
        <f>IFERROR(__xludf.DUMMYFUNCTION("IF($CR272="""","""",IFERROR(query({CarteirasAtivos},""select Col4 where Col4 is not null and Col1 = '""&amp;$CR272&amp;""' limit 1"")*CU272,""NC""))"),"")</f>
        <v/>
      </c>
      <c r="AA272" s="876" t="str">
        <f>IFERROR(__xludf.DUMMYFUNCTION("IF($CR272="""","""",IFERROR(query({CarteirasAtivos},""select Col6 where Col4 is not null and Col1 = '""&amp;$CR272&amp;""' limit 1""),""NC""))"),"")</f>
        <v/>
      </c>
      <c r="AB272" s="877"/>
      <c r="AC272" s="878" t="s">
        <v>123</v>
      </c>
      <c r="AD272" s="845" t="str">
        <f>IF($CR272="","",IFERROR(VLOOKUP($CR272,ativos.!$C$3:$R308,MATCH("cotacao",ativos.!$C$2:CY$2,0),FALSE)*$CU$5,"atualizar"))</f>
        <v/>
      </c>
      <c r="AE272" s="846" t="str">
        <f>IFERROR(__xludf.DUMMYFUNCTION("IF($CR272="""","""",IFERROR(AVERAGE(query({CarteirasAtivos;CarteirasAtivosEncerrados},""select Col5 where Col5 is not null and Col1 = '""&amp;$CR272&amp;""' and Col10='SIM'""))*CU272,""NC""))"),"")</f>
        <v/>
      </c>
      <c r="AF272" s="847" t="str">
        <f t="shared" si="1"/>
        <v/>
      </c>
      <c r="AG272" s="442"/>
      <c r="AH272" s="848" t="str">
        <f>IFERROR(__xludf.DUMMYFUNCTION("IF($CR272="""","""",IFERROR(GOOGLEFINANCE($CR272,""low52"")*CU272,""-""))"),"")</f>
        <v/>
      </c>
      <c r="AI272" s="848" t="str">
        <f>IFERROR(__xludf.DUMMYFUNCTION("IF($CR272="""","""",IFERROR(GOOGLEFINANCE($CR272,""high52"")*CU272,""-""))"),"")</f>
        <v/>
      </c>
      <c r="AJ272" s="849" t="s">
        <v>123</v>
      </c>
      <c r="AK272" s="850" t="str">
        <f>IFERROR(__xludf.DUMMYFUNCTION("IF($CR272="""","""",IFERROR(GOOGLEFINANCE($CR272,""changepct"")/100,""-""))"),"")</f>
        <v/>
      </c>
      <c r="AL272" s="851" t="str">
        <f>IFERROR(__xludf.DUMMYFUNCTION("IF($CR272="""","""",IFERROR(($AD272/(QUERY(GOOGLEFINANCE($CR272,""price"",TODAY()-7),""SELECT Col2 label Col2 ''"")*$CU272)-1),""-""))"),"")</f>
        <v/>
      </c>
      <c r="AM272" s="851" t="str">
        <f>IFERROR(__xludf.DUMMYFUNCTION("IF($CR272="""","""",IFERROR(($AD272/(QUERY(GOOGLEFINANCE($CR272,""price"",TODAY()-14),""SELECT Col2 label Col2 ''"")*$CU272)-1),""-""))"),"")</f>
        <v/>
      </c>
      <c r="AN272" s="851" t="str">
        <f>IFERROR(__xludf.DUMMYFUNCTION("IF($CR272="""","""",IFERROR(($AD272/(QUERY(GOOGLEFINANCE($CR272,""price"",TODAY()-28),""SELECT Col2 label Col2 ''"")*$CU272)-1),""-""))"),"")</f>
        <v/>
      </c>
      <c r="AO272" s="851" t="str">
        <f>IFERROR(__xludf.DUMMYFUNCTION("IF($CR272="""","""",IFERROR(($AD272/(QUERY(GOOGLEFINANCE($CR272,""price"",TODAY()-$AQ$5),""SELECT Col2 label Col2 ''"")*$CU272)-1),""-""))"),"")</f>
        <v/>
      </c>
      <c r="AP272" s="852" t="str">
        <f>IFERROR(__xludf.DUMMYFUNCTION("IF($CR272="""","""",IFERROR(SPARKLINE(query(GOOGLEFINANCE($CR272,""price"",TODAY()-$AQ$5,TODAY(),1),""select Col2 label Col2 ''""),IF($AP$7=""Gráfico de barras"",{""charttype"",""column"";""highcolor"",""red""},{""chartype"",""line""}))))"),"")</f>
        <v/>
      </c>
      <c r="AQ272" s="144"/>
      <c r="AR272" s="853"/>
      <c r="AS272" s="854" t="str">
        <f>IF($CR272="","",IF(NOT('alocação'!$D$1),"off",IFERROR(VLOOKUP(CR272,BalanceAtivos,3,0),"NC")))</f>
        <v/>
      </c>
      <c r="AT272" s="855" t="str">
        <f>IF($CR272="","",IF(NOT('alocação'!$D$1),"off",IFERROR(VLOOKUP($CR272,BalanceAtivos,4,0)*$CU$5,"NC")))</f>
        <v/>
      </c>
      <c r="AU272" s="856" t="str">
        <f>IF($CR272="","",IF(NOT('alocação'!$D$1),"off",IFERROR(VLOOKUP($CR272,BalanceAtivos,5,0),"-")))</f>
        <v/>
      </c>
      <c r="AV272" s="856" t="str">
        <f>IF($CR272="","",IF(NOT('alocação'!$D$1),"off",IFERROR(VLOOKUP($CR272,BalanceAtivos,6,0),"-")))</f>
        <v/>
      </c>
      <c r="AW272" s="857"/>
      <c r="AX272" s="858" t="str">
        <f>IF($CR272="","",IF($E272="","SP",IFERROR(VLOOKUP($CR272,AtivosDados,MATCH("pm_atual",portfolio.!$A$3:CY$3,0),0)*$CU$5,0)))</f>
        <v/>
      </c>
      <c r="AY272" s="859" t="str">
        <f t="shared" si="2"/>
        <v/>
      </c>
      <c r="AZ272" s="858" t="str">
        <f>IF($CR272="","",IF($E272="","SP",SUMIF(portfolio.!$A$4:$A308,$CR272,portfolio.!$O$4:$O308)*$CU$5))</f>
        <v/>
      </c>
      <c r="BA272" s="858" t="str">
        <f>IF($CR272="","",IF($E272="","SP",SUMIF(portfolio.!$A$4:$A308,$CR272,portfolio.!$AN$4:$AN308)*$CU$5))</f>
        <v/>
      </c>
      <c r="BB272" s="860" t="str">
        <f>IF($CR272="","",IF($E272="","-",IFERROR($BA272/'portfólio'!$DG$63,"")))</f>
        <v/>
      </c>
      <c r="BC272" s="861" t="str">
        <f>IF($CR272="","",IF($E272="","-",SUMIF(portfolio.!$A$4:$A308,$CR272,portfolio.!$J$4:$J308)))</f>
        <v/>
      </c>
      <c r="BD272" s="862" t="str">
        <f>IF($CR272="","",IF($E272="","SP",SUMIF(portfolio.!$A$4:$A308,$CR272,portfolio.!$AQ$4:$AQ308)*$CU$5))</f>
        <v/>
      </c>
      <c r="BE272" s="850" t="str">
        <f t="shared" si="3"/>
        <v/>
      </c>
      <c r="BF272" s="862" t="str">
        <f>IF($CR272="","",IF($E272="","-",SUMIF(portfolio.!$A$4:$A308,$CR272,portfolio.!$AX$4:$AX308)*$CU$5))</f>
        <v/>
      </c>
      <c r="BG272" s="545"/>
      <c r="BH272" s="879" t="s">
        <v>123</v>
      </c>
      <c r="BI272" s="880" t="s">
        <v>123</v>
      </c>
      <c r="BJ272" s="863" t="str">
        <f>IFERROR(__xludf.DUMMYFUNCTION("IF(NOT($BL$4),"""",IF($CR272="""","""",IFERROR(query({GOOGLEFINANCE($CR272,""price"",IF($BI272=""-"",TODAY()-($AQ$5+5),$BI272),TODAY()-1)},""Select max(Col2) where Col1 is not null label max(Col2) ''"")*CU272,""-"")))"),"")</f>
        <v/>
      </c>
      <c r="BK272" s="881" t="s">
        <v>123</v>
      </c>
      <c r="BL272" s="882" t="s">
        <v>123</v>
      </c>
      <c r="BM272" s="442"/>
      <c r="BN272" s="867" t="str">
        <f>IFERROR(__xludf.DUMMYFUNCTION("IF(CR272="""","""",IF(OR(C272=""AÇÃO"",C272=""BDR""),IFERROR(QUERY({fundamentus.!$A$3:$U308},$CX$67&amp;"" where Col1='""&amp;CR272&amp;""' limit 1"",0)),IF(C272=""FII"",IFERROR(QUERY({fundsexplorer.!$A$2:$Z308},$CY$67&amp;"" where Col1='""&amp;CR272&amp;""' limit 1"",0)),""""))"&amp;")"),"")</f>
        <v/>
      </c>
      <c r="BO272" s="867"/>
      <c r="BP272" s="867"/>
      <c r="BQ272" s="867"/>
      <c r="BR272" s="867"/>
      <c r="BS272" s="867"/>
      <c r="BT272" s="867"/>
      <c r="BU272" s="442"/>
      <c r="BV272" s="868" t="str">
        <f>IFERROR(__xludf.DUMMYFUNCTION("IF(OR(C272=""AÇÃO"",C272=""BDR""),IFERROR(GOOGLEFINANCE(CONCAT(""BVMF:"",CR272), ""marketcap"")/1000000,""NC""),"""")"),"")</f>
        <v/>
      </c>
      <c r="BW272" s="869" t="s">
        <v>123</v>
      </c>
      <c r="BX272" s="870" t="s">
        <v>123</v>
      </c>
      <c r="BY272" s="868" t="s">
        <v>123</v>
      </c>
      <c r="BZ272" s="870" t="s">
        <v>123</v>
      </c>
      <c r="CA272" s="868" t="s">
        <v>123</v>
      </c>
      <c r="CB272" s="868" t="s">
        <v>123</v>
      </c>
      <c r="CC272" s="868" t="s">
        <v>123</v>
      </c>
      <c r="CD272" s="868" t="str">
        <f>IFERROR(__xludf.DUMMYFUNCTION("IF(OR(C272=""AÇÃO"",C272=""BDR""),IFERROR(GOOGLEFINANCE(CONCAT(""BVMF:"",CR272), ""volumeavg"")/1000000,""NC""),"""")"),"")</f>
        <v/>
      </c>
      <c r="CE272" s="870" t="s">
        <v>123</v>
      </c>
      <c r="CF272" s="870" t="s">
        <v>123</v>
      </c>
      <c r="CG272" s="870" t="str">
        <f>IFERROR(__xludf.DUMMYFUNCTION("IF(OR(C272=""AÇÃO"",C272=""BDR""),IF(CF272=0,""SEM DY"",IFERROR(ImportXML(CONCAT(""http://www.guiainvest.com.br/raiox/default.aspx?sigla="",$CR272),""//*[@id='lbPayoutAtual']""),""NC"")),"""")"),"")</f>
        <v/>
      </c>
      <c r="CH272" s="870" t="s">
        <v>123</v>
      </c>
      <c r="CI272" s="545"/>
      <c r="CJ272" s="871" t="str">
        <f>IFERROR(__xludf.DUMMYFUNCTION("IF(OR(C272=""AÇÃO"",C272=""BDR""),IFERROR(GOOGLEFINANCE(CONCAT(""BVMF:"",CR272), ""eps""),""NC""),"""")"),"")</f>
        <v/>
      </c>
      <c r="CK272" s="442"/>
      <c r="CL272" s="871" t="str">
        <f>IFERROR(__xludf.DUMMYFUNCTION("IF(NOT($BL$4),"""",IF($CR272="""","""",IF($BC272="""","""",IFERROR(query({op.normal!$B$5:$F308},""select Col5, toDate(Col2) where Col1 =  '""&amp;$CR272&amp;""' and Col4 &gt; 0 and ((Col3 is null) or (Col3 = 'C')) and Col2 &gt;= date '""&amp;TEXT(TODAY()-$AQ$5,""yyyy-mm-dd"&amp;""")&amp;""' order by Col2 desc limit 1 label toDate(Col2) ''"")))))"),"")</f>
        <v/>
      </c>
      <c r="CM272" s="872"/>
      <c r="CN272" s="883" t="s">
        <v>123</v>
      </c>
      <c r="CO272" s="874" t="s">
        <v>123</v>
      </c>
      <c r="CP272" s="766"/>
      <c r="CQ272" s="791"/>
      <c r="CR272" s="791"/>
      <c r="CT272" s="791" t="s">
        <v>123</v>
      </c>
      <c r="CU272" s="791" t="str">
        <f>IFERROR(__xludf.DUMMYFUNCTION("IF(CR272="""","""",IF(CT272=$C$4,1,GOOGLEFINANCE(CT272&amp;$C$4)))"),"")</f>
        <v/>
      </c>
    </row>
    <row r="273" ht="22.5" customHeight="1">
      <c r="A273" s="837">
        <v>265.0</v>
      </c>
      <c r="B273" s="838" t="s">
        <v>123</v>
      </c>
      <c r="C273" s="838" t="s">
        <v>123</v>
      </c>
      <c r="D273" s="839" t="s">
        <v>123</v>
      </c>
      <c r="E273" s="839" t="s">
        <v>123</v>
      </c>
      <c r="F273" s="839" t="s">
        <v>123</v>
      </c>
      <c r="H273" s="884"/>
      <c r="I273" s="838"/>
      <c r="J273" s="838"/>
      <c r="K273" s="838"/>
      <c r="L273" s="838"/>
      <c r="M273" s="838"/>
      <c r="N273" s="838"/>
      <c r="O273" s="838"/>
      <c r="P273" s="838"/>
      <c r="Q273" s="838"/>
      <c r="R273" s="838"/>
      <c r="S273" s="838"/>
      <c r="T273" s="838"/>
      <c r="U273" s="838"/>
      <c r="V273" s="838"/>
      <c r="W273" s="838"/>
      <c r="X273" s="838"/>
      <c r="Z273" s="875" t="str">
        <f>IFERROR(__xludf.DUMMYFUNCTION("IF($CR273="""","""",IFERROR(query({CarteirasAtivos},""select Col4 where Col4 is not null and Col1 = '""&amp;$CR273&amp;""' limit 1"")*CU273,""NC""))"),"")</f>
        <v/>
      </c>
      <c r="AA273" s="876" t="str">
        <f>IFERROR(__xludf.DUMMYFUNCTION("IF($CR273="""","""",IFERROR(query({CarteirasAtivos},""select Col6 where Col4 is not null and Col1 = '""&amp;$CR273&amp;""' limit 1""),""NC""))"),"")</f>
        <v/>
      </c>
      <c r="AB273" s="877"/>
      <c r="AC273" s="878" t="s">
        <v>123</v>
      </c>
      <c r="AD273" s="845" t="str">
        <f>IF($CR273="","",IFERROR(VLOOKUP($CR273,ativos.!$C$3:$R308,MATCH("cotacao",ativos.!$C$2:CY$2,0),FALSE)*$CU$5,"atualizar"))</f>
        <v/>
      </c>
      <c r="AE273" s="846" t="str">
        <f>IFERROR(__xludf.DUMMYFUNCTION("IF($CR273="""","""",IFERROR(AVERAGE(query({CarteirasAtivos;CarteirasAtivosEncerrados},""select Col5 where Col5 is not null and Col1 = '""&amp;$CR273&amp;""' and Col10='SIM'""))*CU273,""NC""))"),"")</f>
        <v/>
      </c>
      <c r="AF273" s="847" t="str">
        <f t="shared" si="1"/>
        <v/>
      </c>
      <c r="AG273" s="442"/>
      <c r="AH273" s="848" t="str">
        <f>IFERROR(__xludf.DUMMYFUNCTION("IF($CR273="""","""",IFERROR(GOOGLEFINANCE($CR273,""low52"")*CU273,""-""))"),"")</f>
        <v/>
      </c>
      <c r="AI273" s="848" t="str">
        <f>IFERROR(__xludf.DUMMYFUNCTION("IF($CR273="""","""",IFERROR(GOOGLEFINANCE($CR273,""high52"")*CU273,""-""))"),"")</f>
        <v/>
      </c>
      <c r="AJ273" s="849" t="s">
        <v>123</v>
      </c>
      <c r="AK273" s="850" t="str">
        <f>IFERROR(__xludf.DUMMYFUNCTION("IF($CR273="""","""",IFERROR(GOOGLEFINANCE($CR273,""changepct"")/100,""-""))"),"")</f>
        <v/>
      </c>
      <c r="AL273" s="851" t="str">
        <f>IFERROR(__xludf.DUMMYFUNCTION("IF($CR273="""","""",IFERROR(($AD273/(QUERY(GOOGLEFINANCE($CR273,""price"",TODAY()-7),""SELECT Col2 label Col2 ''"")*$CU273)-1),""-""))"),"")</f>
        <v/>
      </c>
      <c r="AM273" s="851" t="str">
        <f>IFERROR(__xludf.DUMMYFUNCTION("IF($CR273="""","""",IFERROR(($AD273/(QUERY(GOOGLEFINANCE($CR273,""price"",TODAY()-14),""SELECT Col2 label Col2 ''"")*$CU273)-1),""-""))"),"")</f>
        <v/>
      </c>
      <c r="AN273" s="851" t="str">
        <f>IFERROR(__xludf.DUMMYFUNCTION("IF($CR273="""","""",IFERROR(($AD273/(QUERY(GOOGLEFINANCE($CR273,""price"",TODAY()-28),""SELECT Col2 label Col2 ''"")*$CU273)-1),""-""))"),"")</f>
        <v/>
      </c>
      <c r="AO273" s="851" t="str">
        <f>IFERROR(__xludf.DUMMYFUNCTION("IF($CR273="""","""",IFERROR(($AD273/(QUERY(GOOGLEFINANCE($CR273,""price"",TODAY()-$AQ$5),""SELECT Col2 label Col2 ''"")*$CU273)-1),""-""))"),"")</f>
        <v/>
      </c>
      <c r="AP273" s="852" t="str">
        <f>IFERROR(__xludf.DUMMYFUNCTION("IF($CR273="""","""",IFERROR(SPARKLINE(query(GOOGLEFINANCE($CR273,""price"",TODAY()-$AQ$5,TODAY(),1),""select Col2 label Col2 ''""),IF($AP$7=""Gráfico de barras"",{""charttype"",""column"";""highcolor"",""red""},{""chartype"",""line""}))))"),"")</f>
        <v/>
      </c>
      <c r="AQ273" s="144"/>
      <c r="AR273" s="853"/>
      <c r="AS273" s="854" t="str">
        <f>IF($CR273="","",IF(NOT('alocação'!$D$1),"off",IFERROR(VLOOKUP(CR273,BalanceAtivos,3,0),"NC")))</f>
        <v/>
      </c>
      <c r="AT273" s="855" t="str">
        <f>IF($CR273="","",IF(NOT('alocação'!$D$1),"off",IFERROR(VLOOKUP($CR273,BalanceAtivos,4,0)*$CU$5,"NC")))</f>
        <v/>
      </c>
      <c r="AU273" s="856" t="str">
        <f>IF($CR273="","",IF(NOT('alocação'!$D$1),"off",IFERROR(VLOOKUP($CR273,BalanceAtivos,5,0),"-")))</f>
        <v/>
      </c>
      <c r="AV273" s="856" t="str">
        <f>IF($CR273="","",IF(NOT('alocação'!$D$1),"off",IFERROR(VLOOKUP($CR273,BalanceAtivos,6,0),"-")))</f>
        <v/>
      </c>
      <c r="AW273" s="857"/>
      <c r="AX273" s="858" t="str">
        <f>IF($CR273="","",IF($E273="","SP",IFERROR(VLOOKUP($CR273,AtivosDados,MATCH("pm_atual",portfolio.!$A$3:CY$3,0),0)*$CU$5,0)))</f>
        <v/>
      </c>
      <c r="AY273" s="859" t="str">
        <f t="shared" si="2"/>
        <v/>
      </c>
      <c r="AZ273" s="858" t="str">
        <f>IF($CR273="","",IF($E273="","SP",SUMIF(portfolio.!$A$4:$A308,$CR273,portfolio.!$O$4:$O308)*$CU$5))</f>
        <v/>
      </c>
      <c r="BA273" s="858" t="str">
        <f>IF($CR273="","",IF($E273="","SP",SUMIF(portfolio.!$A$4:$A308,$CR273,portfolio.!$AN$4:$AN308)*$CU$5))</f>
        <v/>
      </c>
      <c r="BB273" s="860" t="str">
        <f>IF($CR273="","",IF($E273="","-",IFERROR($BA273/'portfólio'!$DG$63,"")))</f>
        <v/>
      </c>
      <c r="BC273" s="861" t="str">
        <f>IF($CR273="","",IF($E273="","-",SUMIF(portfolio.!$A$4:$A308,$CR273,portfolio.!$J$4:$J308)))</f>
        <v/>
      </c>
      <c r="BD273" s="862" t="str">
        <f>IF($CR273="","",IF($E273="","SP",SUMIF(portfolio.!$A$4:$A308,$CR273,portfolio.!$AQ$4:$AQ308)*$CU$5))</f>
        <v/>
      </c>
      <c r="BE273" s="850" t="str">
        <f t="shared" si="3"/>
        <v/>
      </c>
      <c r="BF273" s="862" t="str">
        <f>IF($CR273="","",IF($E273="","-",SUMIF(portfolio.!$A$4:$A308,$CR273,portfolio.!$AX$4:$AX308)*$CU$5))</f>
        <v/>
      </c>
      <c r="BG273" s="545"/>
      <c r="BH273" s="879" t="s">
        <v>123</v>
      </c>
      <c r="BI273" s="880" t="s">
        <v>123</v>
      </c>
      <c r="BJ273" s="863" t="str">
        <f>IFERROR(__xludf.DUMMYFUNCTION("IF(NOT($BL$4),"""",IF($CR273="""","""",IFERROR(query({GOOGLEFINANCE($CR273,""price"",IF($BI273=""-"",TODAY()-($AQ$5+5),$BI273),TODAY()-1)},""Select max(Col2) where Col1 is not null label max(Col2) ''"")*CU273,""-"")))"),"")</f>
        <v/>
      </c>
      <c r="BK273" s="881" t="s">
        <v>123</v>
      </c>
      <c r="BL273" s="882" t="s">
        <v>123</v>
      </c>
      <c r="BM273" s="442"/>
      <c r="BN273" s="867" t="str">
        <f>IFERROR(__xludf.DUMMYFUNCTION("IF(CR273="""","""",IF(OR(C273=""AÇÃO"",C273=""BDR""),IFERROR(QUERY({fundamentus.!$A$3:$U308},$CX$67&amp;"" where Col1='""&amp;CR273&amp;""' limit 1"",0)),IF(C273=""FII"",IFERROR(QUERY({fundsexplorer.!$A$2:$Z308},$CY$67&amp;"" where Col1='""&amp;CR273&amp;""' limit 1"",0)),""""))"&amp;")"),"")</f>
        <v/>
      </c>
      <c r="BO273" s="867"/>
      <c r="BP273" s="867"/>
      <c r="BQ273" s="867"/>
      <c r="BR273" s="867"/>
      <c r="BS273" s="867"/>
      <c r="BT273" s="867"/>
      <c r="BU273" s="442"/>
      <c r="BV273" s="868" t="str">
        <f>IFERROR(__xludf.DUMMYFUNCTION("IF(OR(C273=""AÇÃO"",C273=""BDR""),IFERROR(GOOGLEFINANCE(CONCAT(""BVMF:"",CR273), ""marketcap"")/1000000,""NC""),"""")"),"")</f>
        <v/>
      </c>
      <c r="BW273" s="869" t="s">
        <v>123</v>
      </c>
      <c r="BX273" s="870" t="s">
        <v>123</v>
      </c>
      <c r="BY273" s="868" t="s">
        <v>123</v>
      </c>
      <c r="BZ273" s="870" t="s">
        <v>123</v>
      </c>
      <c r="CA273" s="868" t="s">
        <v>123</v>
      </c>
      <c r="CB273" s="868" t="s">
        <v>123</v>
      </c>
      <c r="CC273" s="868" t="s">
        <v>123</v>
      </c>
      <c r="CD273" s="868" t="str">
        <f>IFERROR(__xludf.DUMMYFUNCTION("IF(OR(C273=""AÇÃO"",C273=""BDR""),IFERROR(GOOGLEFINANCE(CONCAT(""BVMF:"",CR273), ""volumeavg"")/1000000,""NC""),"""")"),"")</f>
        <v/>
      </c>
      <c r="CE273" s="870" t="s">
        <v>123</v>
      </c>
      <c r="CF273" s="870" t="s">
        <v>123</v>
      </c>
      <c r="CG273" s="870" t="str">
        <f>IFERROR(__xludf.DUMMYFUNCTION("IF(OR(C273=""AÇÃO"",C273=""BDR""),IF(CF273=0,""SEM DY"",IFERROR(ImportXML(CONCAT(""http://www.guiainvest.com.br/raiox/default.aspx?sigla="",$CR273),""//*[@id='lbPayoutAtual']""),""NC"")),"""")"),"")</f>
        <v/>
      </c>
      <c r="CH273" s="870" t="s">
        <v>123</v>
      </c>
      <c r="CI273" s="545"/>
      <c r="CJ273" s="871" t="str">
        <f>IFERROR(__xludf.DUMMYFUNCTION("IF(OR(C273=""AÇÃO"",C273=""BDR""),IFERROR(GOOGLEFINANCE(CONCAT(""BVMF:"",CR273), ""eps""),""NC""),"""")"),"")</f>
        <v/>
      </c>
      <c r="CK273" s="442"/>
      <c r="CL273" s="871" t="str">
        <f>IFERROR(__xludf.DUMMYFUNCTION("IF(NOT($BL$4),"""",IF($CR273="""","""",IF($BC273="""","""",IFERROR(query({op.normal!$B$5:$F308},""select Col5, toDate(Col2) where Col1 =  '""&amp;$CR273&amp;""' and Col4 &gt; 0 and ((Col3 is null) or (Col3 = 'C')) and Col2 &gt;= date '""&amp;TEXT(TODAY()-$AQ$5,""yyyy-mm-dd"&amp;""")&amp;""' order by Col2 desc limit 1 label toDate(Col2) ''"")))))"),"")</f>
        <v/>
      </c>
      <c r="CM273" s="872"/>
      <c r="CN273" s="883" t="s">
        <v>123</v>
      </c>
      <c r="CO273" s="874" t="s">
        <v>123</v>
      </c>
      <c r="CP273" s="766"/>
      <c r="CQ273" s="791"/>
      <c r="CR273" s="791"/>
      <c r="CT273" s="791" t="s">
        <v>123</v>
      </c>
      <c r="CU273" s="791" t="str">
        <f>IFERROR(__xludf.DUMMYFUNCTION("IF(CR273="""","""",IF(CT273=$C$4,1,GOOGLEFINANCE(CT273&amp;$C$4)))"),"")</f>
        <v/>
      </c>
    </row>
    <row r="274" ht="22.5" customHeight="1">
      <c r="A274" s="837">
        <v>266.0</v>
      </c>
      <c r="B274" s="838" t="s">
        <v>123</v>
      </c>
      <c r="C274" s="838" t="s">
        <v>123</v>
      </c>
      <c r="D274" s="839" t="s">
        <v>123</v>
      </c>
      <c r="E274" s="839" t="s">
        <v>123</v>
      </c>
      <c r="F274" s="839" t="s">
        <v>123</v>
      </c>
      <c r="H274" s="884"/>
      <c r="I274" s="838"/>
      <c r="J274" s="838"/>
      <c r="K274" s="838"/>
      <c r="L274" s="838"/>
      <c r="M274" s="838"/>
      <c r="N274" s="838"/>
      <c r="O274" s="838"/>
      <c r="P274" s="838"/>
      <c r="Q274" s="838"/>
      <c r="R274" s="838"/>
      <c r="S274" s="838"/>
      <c r="T274" s="838"/>
      <c r="U274" s="838"/>
      <c r="V274" s="838"/>
      <c r="W274" s="838"/>
      <c r="X274" s="838"/>
      <c r="Z274" s="875" t="str">
        <f>IFERROR(__xludf.DUMMYFUNCTION("IF($CR274="""","""",IFERROR(query({CarteirasAtivos},""select Col4 where Col4 is not null and Col1 = '""&amp;$CR274&amp;""' limit 1"")*CU274,""NC""))"),"")</f>
        <v/>
      </c>
      <c r="AA274" s="876" t="str">
        <f>IFERROR(__xludf.DUMMYFUNCTION("IF($CR274="""","""",IFERROR(query({CarteirasAtivos},""select Col6 where Col4 is not null and Col1 = '""&amp;$CR274&amp;""' limit 1""),""NC""))"),"")</f>
        <v/>
      </c>
      <c r="AB274" s="877"/>
      <c r="AC274" s="878" t="s">
        <v>123</v>
      </c>
      <c r="AD274" s="845" t="str">
        <f>IF($CR274="","",IFERROR(VLOOKUP($CR274,ativos.!$C$3:$R308,MATCH("cotacao",ativos.!$C$2:CY$2,0),FALSE)*$CU$5,"atualizar"))</f>
        <v/>
      </c>
      <c r="AE274" s="846" t="str">
        <f>IFERROR(__xludf.DUMMYFUNCTION("IF($CR274="""","""",IFERROR(AVERAGE(query({CarteirasAtivos;CarteirasAtivosEncerrados},""select Col5 where Col5 is not null and Col1 = '""&amp;$CR274&amp;""' and Col10='SIM'""))*CU274,""NC""))"),"")</f>
        <v/>
      </c>
      <c r="AF274" s="847" t="str">
        <f t="shared" si="1"/>
        <v/>
      </c>
      <c r="AG274" s="442"/>
      <c r="AH274" s="848" t="str">
        <f>IFERROR(__xludf.DUMMYFUNCTION("IF($CR274="""","""",IFERROR(GOOGLEFINANCE($CR274,""low52"")*CU274,""-""))"),"")</f>
        <v/>
      </c>
      <c r="AI274" s="848" t="str">
        <f>IFERROR(__xludf.DUMMYFUNCTION("IF($CR274="""","""",IFERROR(GOOGLEFINANCE($CR274,""high52"")*CU274,""-""))"),"")</f>
        <v/>
      </c>
      <c r="AJ274" s="849" t="s">
        <v>123</v>
      </c>
      <c r="AK274" s="850" t="str">
        <f>IFERROR(__xludf.DUMMYFUNCTION("IF($CR274="""","""",IFERROR(GOOGLEFINANCE($CR274,""changepct"")/100,""-""))"),"")</f>
        <v/>
      </c>
      <c r="AL274" s="851" t="str">
        <f>IFERROR(__xludf.DUMMYFUNCTION("IF($CR274="""","""",IFERROR(($AD274/(QUERY(GOOGLEFINANCE($CR274,""price"",TODAY()-7),""SELECT Col2 label Col2 ''"")*$CU274)-1),""-""))"),"")</f>
        <v/>
      </c>
      <c r="AM274" s="851" t="str">
        <f>IFERROR(__xludf.DUMMYFUNCTION("IF($CR274="""","""",IFERROR(($AD274/(QUERY(GOOGLEFINANCE($CR274,""price"",TODAY()-14),""SELECT Col2 label Col2 ''"")*$CU274)-1),""-""))"),"")</f>
        <v/>
      </c>
      <c r="AN274" s="851" t="str">
        <f>IFERROR(__xludf.DUMMYFUNCTION("IF($CR274="""","""",IFERROR(($AD274/(QUERY(GOOGLEFINANCE($CR274,""price"",TODAY()-28),""SELECT Col2 label Col2 ''"")*$CU274)-1),""-""))"),"")</f>
        <v/>
      </c>
      <c r="AO274" s="851" t="str">
        <f>IFERROR(__xludf.DUMMYFUNCTION("IF($CR274="""","""",IFERROR(($AD274/(QUERY(GOOGLEFINANCE($CR274,""price"",TODAY()-$AQ$5),""SELECT Col2 label Col2 ''"")*$CU274)-1),""-""))"),"")</f>
        <v/>
      </c>
      <c r="AP274" s="852" t="str">
        <f>IFERROR(__xludf.DUMMYFUNCTION("IF($CR274="""","""",IFERROR(SPARKLINE(query(GOOGLEFINANCE($CR274,""price"",TODAY()-$AQ$5,TODAY(),1),""select Col2 label Col2 ''""),IF($AP$7=""Gráfico de barras"",{""charttype"",""column"";""highcolor"",""red""},{""chartype"",""line""}))))"),"")</f>
        <v/>
      </c>
      <c r="AQ274" s="144"/>
      <c r="AR274" s="853"/>
      <c r="AS274" s="854" t="str">
        <f>IF($CR274="","",IF(NOT('alocação'!$D$1),"off",IFERROR(VLOOKUP(CR274,BalanceAtivos,3,0),"NC")))</f>
        <v/>
      </c>
      <c r="AT274" s="855" t="str">
        <f>IF($CR274="","",IF(NOT('alocação'!$D$1),"off",IFERROR(VLOOKUP($CR274,BalanceAtivos,4,0)*$CU$5,"NC")))</f>
        <v/>
      </c>
      <c r="AU274" s="856" t="str">
        <f>IF($CR274="","",IF(NOT('alocação'!$D$1),"off",IFERROR(VLOOKUP($CR274,BalanceAtivos,5,0),"-")))</f>
        <v/>
      </c>
      <c r="AV274" s="856" t="str">
        <f>IF($CR274="","",IF(NOT('alocação'!$D$1),"off",IFERROR(VLOOKUP($CR274,BalanceAtivos,6,0),"-")))</f>
        <v/>
      </c>
      <c r="AW274" s="857"/>
      <c r="AX274" s="858" t="str">
        <f>IF($CR274="","",IF($E274="","SP",IFERROR(VLOOKUP($CR274,AtivosDados,MATCH("pm_atual",portfolio.!$A$3:CY$3,0),0)*$CU$5,0)))</f>
        <v/>
      </c>
      <c r="AY274" s="859" t="str">
        <f t="shared" si="2"/>
        <v/>
      </c>
      <c r="AZ274" s="858" t="str">
        <f>IF($CR274="","",IF($E274="","SP",SUMIF(portfolio.!$A$4:$A308,$CR274,portfolio.!$O$4:$O308)*$CU$5))</f>
        <v/>
      </c>
      <c r="BA274" s="858" t="str">
        <f>IF($CR274="","",IF($E274="","SP",SUMIF(portfolio.!$A$4:$A308,$CR274,portfolio.!$AN$4:$AN308)*$CU$5))</f>
        <v/>
      </c>
      <c r="BB274" s="860" t="str">
        <f>IF($CR274="","",IF($E274="","-",IFERROR($BA274/'portfólio'!$DG$63,"")))</f>
        <v/>
      </c>
      <c r="BC274" s="861" t="str">
        <f>IF($CR274="","",IF($E274="","-",SUMIF(portfolio.!$A$4:$A308,$CR274,portfolio.!$J$4:$J308)))</f>
        <v/>
      </c>
      <c r="BD274" s="862" t="str">
        <f>IF($CR274="","",IF($E274="","SP",SUMIF(portfolio.!$A$4:$A308,$CR274,portfolio.!$AQ$4:$AQ308)*$CU$5))</f>
        <v/>
      </c>
      <c r="BE274" s="850" t="str">
        <f t="shared" si="3"/>
        <v/>
      </c>
      <c r="BF274" s="862" t="str">
        <f>IF($CR274="","",IF($E274="","-",SUMIF(portfolio.!$A$4:$A308,$CR274,portfolio.!$AX$4:$AX308)*$CU$5))</f>
        <v/>
      </c>
      <c r="BG274" s="545"/>
      <c r="BH274" s="879" t="s">
        <v>123</v>
      </c>
      <c r="BI274" s="880" t="s">
        <v>123</v>
      </c>
      <c r="BJ274" s="863" t="str">
        <f>IFERROR(__xludf.DUMMYFUNCTION("IF(NOT($BL$4),"""",IF($CR274="""","""",IFERROR(query({GOOGLEFINANCE($CR274,""price"",IF($BI274=""-"",TODAY()-($AQ$5+5),$BI274),TODAY()-1)},""Select max(Col2) where Col1 is not null label max(Col2) ''"")*CU274,""-"")))"),"")</f>
        <v/>
      </c>
      <c r="BK274" s="881" t="s">
        <v>123</v>
      </c>
      <c r="BL274" s="882" t="s">
        <v>123</v>
      </c>
      <c r="BM274" s="442"/>
      <c r="BN274" s="867" t="str">
        <f>IFERROR(__xludf.DUMMYFUNCTION("IF(CR274="""","""",IF(OR(C274=""AÇÃO"",C274=""BDR""),IFERROR(QUERY({fundamentus.!$A$3:$U308},$CX$67&amp;"" where Col1='""&amp;CR274&amp;""' limit 1"",0)),IF(C274=""FII"",IFERROR(QUERY({fundsexplorer.!$A$2:$Z308},$CY$67&amp;"" where Col1='""&amp;CR274&amp;""' limit 1"",0)),""""))"&amp;")"),"")</f>
        <v/>
      </c>
      <c r="BO274" s="867"/>
      <c r="BP274" s="867"/>
      <c r="BQ274" s="867"/>
      <c r="BR274" s="867"/>
      <c r="BS274" s="867"/>
      <c r="BT274" s="867"/>
      <c r="BU274" s="442"/>
      <c r="BV274" s="868" t="str">
        <f>IFERROR(__xludf.DUMMYFUNCTION("IF(OR(C274=""AÇÃO"",C274=""BDR""),IFERROR(GOOGLEFINANCE(CONCAT(""BVMF:"",CR274), ""marketcap"")/1000000,""NC""),"""")"),"")</f>
        <v/>
      </c>
      <c r="BW274" s="869" t="s">
        <v>123</v>
      </c>
      <c r="BX274" s="870" t="s">
        <v>123</v>
      </c>
      <c r="BY274" s="868" t="s">
        <v>123</v>
      </c>
      <c r="BZ274" s="870" t="s">
        <v>123</v>
      </c>
      <c r="CA274" s="868" t="s">
        <v>123</v>
      </c>
      <c r="CB274" s="868" t="s">
        <v>123</v>
      </c>
      <c r="CC274" s="868" t="s">
        <v>123</v>
      </c>
      <c r="CD274" s="868" t="str">
        <f>IFERROR(__xludf.DUMMYFUNCTION("IF(OR(C274=""AÇÃO"",C274=""BDR""),IFERROR(GOOGLEFINANCE(CONCAT(""BVMF:"",CR274), ""volumeavg"")/1000000,""NC""),"""")"),"")</f>
        <v/>
      </c>
      <c r="CE274" s="870" t="s">
        <v>123</v>
      </c>
      <c r="CF274" s="870" t="s">
        <v>123</v>
      </c>
      <c r="CG274" s="870" t="str">
        <f>IFERROR(__xludf.DUMMYFUNCTION("IF(OR(C274=""AÇÃO"",C274=""BDR""),IF(CF274=0,""SEM DY"",IFERROR(ImportXML(CONCAT(""http://www.guiainvest.com.br/raiox/default.aspx?sigla="",$CR274),""//*[@id='lbPayoutAtual']""),""NC"")),"""")"),"")</f>
        <v/>
      </c>
      <c r="CH274" s="870" t="s">
        <v>123</v>
      </c>
      <c r="CI274" s="545"/>
      <c r="CJ274" s="871" t="str">
        <f>IFERROR(__xludf.DUMMYFUNCTION("IF(OR(C274=""AÇÃO"",C274=""BDR""),IFERROR(GOOGLEFINANCE(CONCAT(""BVMF:"",CR274), ""eps""),""NC""),"""")"),"")</f>
        <v/>
      </c>
      <c r="CK274" s="442"/>
      <c r="CL274" s="871" t="str">
        <f>IFERROR(__xludf.DUMMYFUNCTION("IF(NOT($BL$4),"""",IF($CR274="""","""",IF($BC274="""","""",IFERROR(query({op.normal!$B$5:$F308},""select Col5, toDate(Col2) where Col1 =  '""&amp;$CR274&amp;""' and Col4 &gt; 0 and ((Col3 is null) or (Col3 = 'C')) and Col2 &gt;= date '""&amp;TEXT(TODAY()-$AQ$5,""yyyy-mm-dd"&amp;""")&amp;""' order by Col2 desc limit 1 label toDate(Col2) ''"")))))"),"")</f>
        <v/>
      </c>
      <c r="CM274" s="872"/>
      <c r="CN274" s="883" t="s">
        <v>123</v>
      </c>
      <c r="CO274" s="874" t="s">
        <v>123</v>
      </c>
      <c r="CP274" s="766"/>
      <c r="CQ274" s="791"/>
      <c r="CR274" s="791"/>
      <c r="CT274" s="791" t="s">
        <v>123</v>
      </c>
      <c r="CU274" s="791" t="str">
        <f>IFERROR(__xludf.DUMMYFUNCTION("IF(CR274="""","""",IF(CT274=$C$4,1,GOOGLEFINANCE(CT274&amp;$C$4)))"),"")</f>
        <v/>
      </c>
    </row>
    <row r="275" ht="22.5" customHeight="1">
      <c r="A275" s="837">
        <v>267.0</v>
      </c>
      <c r="B275" s="838" t="s">
        <v>123</v>
      </c>
      <c r="C275" s="838" t="s">
        <v>123</v>
      </c>
      <c r="D275" s="839" t="s">
        <v>123</v>
      </c>
      <c r="E275" s="839" t="s">
        <v>123</v>
      </c>
      <c r="F275" s="839" t="s">
        <v>123</v>
      </c>
      <c r="H275" s="884"/>
      <c r="I275" s="838"/>
      <c r="J275" s="838"/>
      <c r="K275" s="838"/>
      <c r="L275" s="838"/>
      <c r="M275" s="838"/>
      <c r="N275" s="838"/>
      <c r="O275" s="838"/>
      <c r="P275" s="838"/>
      <c r="Q275" s="838"/>
      <c r="R275" s="838"/>
      <c r="S275" s="838"/>
      <c r="T275" s="838"/>
      <c r="U275" s="838"/>
      <c r="V275" s="838"/>
      <c r="W275" s="838"/>
      <c r="X275" s="838"/>
      <c r="Z275" s="875" t="str">
        <f>IFERROR(__xludf.DUMMYFUNCTION("IF($CR275="""","""",IFERROR(query({CarteirasAtivos},""select Col4 where Col4 is not null and Col1 = '""&amp;$CR275&amp;""' limit 1"")*CU275,""NC""))"),"")</f>
        <v/>
      </c>
      <c r="AA275" s="876" t="str">
        <f>IFERROR(__xludf.DUMMYFUNCTION("IF($CR275="""","""",IFERROR(query({CarteirasAtivos},""select Col6 where Col4 is not null and Col1 = '""&amp;$CR275&amp;""' limit 1""),""NC""))"),"")</f>
        <v/>
      </c>
      <c r="AB275" s="877"/>
      <c r="AC275" s="878" t="s">
        <v>123</v>
      </c>
      <c r="AD275" s="845" t="str">
        <f>IF($CR275="","",IFERROR(VLOOKUP($CR275,ativos.!$C$3:$R308,MATCH("cotacao",ativos.!$C$2:CY$2,0),FALSE)*$CU$5,"atualizar"))</f>
        <v/>
      </c>
      <c r="AE275" s="846" t="str">
        <f>IFERROR(__xludf.DUMMYFUNCTION("IF($CR275="""","""",IFERROR(AVERAGE(query({CarteirasAtivos;CarteirasAtivosEncerrados},""select Col5 where Col5 is not null and Col1 = '""&amp;$CR275&amp;""' and Col10='SIM'""))*CU275,""NC""))"),"")</f>
        <v/>
      </c>
      <c r="AF275" s="847" t="str">
        <f t="shared" si="1"/>
        <v/>
      </c>
      <c r="AG275" s="442"/>
      <c r="AH275" s="848" t="str">
        <f>IFERROR(__xludf.DUMMYFUNCTION("IF($CR275="""","""",IFERROR(GOOGLEFINANCE($CR275,""low52"")*CU275,""-""))"),"")</f>
        <v/>
      </c>
      <c r="AI275" s="848" t="str">
        <f>IFERROR(__xludf.DUMMYFUNCTION("IF($CR275="""","""",IFERROR(GOOGLEFINANCE($CR275,""high52"")*CU275,""-""))"),"")</f>
        <v/>
      </c>
      <c r="AJ275" s="849" t="s">
        <v>123</v>
      </c>
      <c r="AK275" s="850" t="str">
        <f>IFERROR(__xludf.DUMMYFUNCTION("IF($CR275="""","""",IFERROR(GOOGLEFINANCE($CR275,""changepct"")/100,""-""))"),"")</f>
        <v/>
      </c>
      <c r="AL275" s="851" t="str">
        <f>IFERROR(__xludf.DUMMYFUNCTION("IF($CR275="""","""",IFERROR(($AD275/(QUERY(GOOGLEFINANCE($CR275,""price"",TODAY()-7),""SELECT Col2 label Col2 ''"")*$CU275)-1),""-""))"),"")</f>
        <v/>
      </c>
      <c r="AM275" s="851" t="str">
        <f>IFERROR(__xludf.DUMMYFUNCTION("IF($CR275="""","""",IFERROR(($AD275/(QUERY(GOOGLEFINANCE($CR275,""price"",TODAY()-14),""SELECT Col2 label Col2 ''"")*$CU275)-1),""-""))"),"")</f>
        <v/>
      </c>
      <c r="AN275" s="851" t="str">
        <f>IFERROR(__xludf.DUMMYFUNCTION("IF($CR275="""","""",IFERROR(($AD275/(QUERY(GOOGLEFINANCE($CR275,""price"",TODAY()-28),""SELECT Col2 label Col2 ''"")*$CU275)-1),""-""))"),"")</f>
        <v/>
      </c>
      <c r="AO275" s="851" t="str">
        <f>IFERROR(__xludf.DUMMYFUNCTION("IF($CR275="""","""",IFERROR(($AD275/(QUERY(GOOGLEFINANCE($CR275,""price"",TODAY()-$AQ$5),""SELECT Col2 label Col2 ''"")*$CU275)-1),""-""))"),"")</f>
        <v/>
      </c>
      <c r="AP275" s="852" t="str">
        <f>IFERROR(__xludf.DUMMYFUNCTION("IF($CR275="""","""",IFERROR(SPARKLINE(query(GOOGLEFINANCE($CR275,""price"",TODAY()-$AQ$5,TODAY(),1),""select Col2 label Col2 ''""),IF($AP$7=""Gráfico de barras"",{""charttype"",""column"";""highcolor"",""red""},{""chartype"",""line""}))))"),"")</f>
        <v/>
      </c>
      <c r="AQ275" s="144"/>
      <c r="AR275" s="853"/>
      <c r="AS275" s="854" t="str">
        <f>IF($CR275="","",IF(NOT('alocação'!$D$1),"off",IFERROR(VLOOKUP(CR275,BalanceAtivos,3,0),"NC")))</f>
        <v/>
      </c>
      <c r="AT275" s="855" t="str">
        <f>IF($CR275="","",IF(NOT('alocação'!$D$1),"off",IFERROR(VLOOKUP($CR275,BalanceAtivos,4,0)*$CU$5,"NC")))</f>
        <v/>
      </c>
      <c r="AU275" s="856" t="str">
        <f>IF($CR275="","",IF(NOT('alocação'!$D$1),"off",IFERROR(VLOOKUP($CR275,BalanceAtivos,5,0),"-")))</f>
        <v/>
      </c>
      <c r="AV275" s="856" t="str">
        <f>IF($CR275="","",IF(NOT('alocação'!$D$1),"off",IFERROR(VLOOKUP($CR275,BalanceAtivos,6,0),"-")))</f>
        <v/>
      </c>
      <c r="AW275" s="857"/>
      <c r="AX275" s="858" t="str">
        <f>IF($CR275="","",IF($E275="","SP",IFERROR(VLOOKUP($CR275,AtivosDados,MATCH("pm_atual",portfolio.!$A$3:CY$3,0),0)*$CU$5,0)))</f>
        <v/>
      </c>
      <c r="AY275" s="859" t="str">
        <f t="shared" si="2"/>
        <v/>
      </c>
      <c r="AZ275" s="858" t="str">
        <f>IF($CR275="","",IF($E275="","SP",SUMIF(portfolio.!$A$4:$A308,$CR275,portfolio.!$O$4:$O308)*$CU$5))</f>
        <v/>
      </c>
      <c r="BA275" s="858" t="str">
        <f>IF($CR275="","",IF($E275="","SP",SUMIF(portfolio.!$A$4:$A308,$CR275,portfolio.!$AN$4:$AN308)*$CU$5))</f>
        <v/>
      </c>
      <c r="BB275" s="860" t="str">
        <f>IF($CR275="","",IF($E275="","-",IFERROR($BA275/'portfólio'!$DG$63,"")))</f>
        <v/>
      </c>
      <c r="BC275" s="861" t="str">
        <f>IF($CR275="","",IF($E275="","-",SUMIF(portfolio.!$A$4:$A308,$CR275,portfolio.!$J$4:$J308)))</f>
        <v/>
      </c>
      <c r="BD275" s="862" t="str">
        <f>IF($CR275="","",IF($E275="","SP",SUMIF(portfolio.!$A$4:$A308,$CR275,portfolio.!$AQ$4:$AQ308)*$CU$5))</f>
        <v/>
      </c>
      <c r="BE275" s="850" t="str">
        <f t="shared" si="3"/>
        <v/>
      </c>
      <c r="BF275" s="862" t="str">
        <f>IF($CR275="","",IF($E275="","-",SUMIF(portfolio.!$A$4:$A308,$CR275,portfolio.!$AX$4:$AX308)*$CU$5))</f>
        <v/>
      </c>
      <c r="BG275" s="545"/>
      <c r="BH275" s="879" t="s">
        <v>123</v>
      </c>
      <c r="BI275" s="880" t="s">
        <v>123</v>
      </c>
      <c r="BJ275" s="863" t="str">
        <f>IFERROR(__xludf.DUMMYFUNCTION("IF(NOT($BL$4),"""",IF($CR275="""","""",IFERROR(query({GOOGLEFINANCE($CR275,""price"",IF($BI275=""-"",TODAY()-($AQ$5+5),$BI275),TODAY()-1)},""Select max(Col2) where Col1 is not null label max(Col2) ''"")*CU275,""-"")))"),"")</f>
        <v/>
      </c>
      <c r="BK275" s="881" t="s">
        <v>123</v>
      </c>
      <c r="BL275" s="882" t="s">
        <v>123</v>
      </c>
      <c r="BM275" s="442"/>
      <c r="BN275" s="867" t="str">
        <f>IFERROR(__xludf.DUMMYFUNCTION("IF(CR275="""","""",IF(OR(C275=""AÇÃO"",C275=""BDR""),IFERROR(QUERY({fundamentus.!$A$3:$U308},$CX$67&amp;"" where Col1='""&amp;CR275&amp;""' limit 1"",0)),IF(C275=""FII"",IFERROR(QUERY({fundsexplorer.!$A$2:$Z308},$CY$67&amp;"" where Col1='""&amp;CR275&amp;""' limit 1"",0)),""""))"&amp;")"),"")</f>
        <v/>
      </c>
      <c r="BO275" s="867"/>
      <c r="BP275" s="867"/>
      <c r="BQ275" s="867"/>
      <c r="BR275" s="867"/>
      <c r="BS275" s="867"/>
      <c r="BT275" s="867"/>
      <c r="BU275" s="442"/>
      <c r="BV275" s="868" t="str">
        <f>IFERROR(__xludf.DUMMYFUNCTION("IF(OR(C275=""AÇÃO"",C275=""BDR""),IFERROR(GOOGLEFINANCE(CONCAT(""BVMF:"",CR275), ""marketcap"")/1000000,""NC""),"""")"),"")</f>
        <v/>
      </c>
      <c r="BW275" s="869" t="s">
        <v>123</v>
      </c>
      <c r="BX275" s="870" t="s">
        <v>123</v>
      </c>
      <c r="BY275" s="868" t="s">
        <v>123</v>
      </c>
      <c r="BZ275" s="870" t="s">
        <v>123</v>
      </c>
      <c r="CA275" s="868" t="s">
        <v>123</v>
      </c>
      <c r="CB275" s="868" t="s">
        <v>123</v>
      </c>
      <c r="CC275" s="868" t="s">
        <v>123</v>
      </c>
      <c r="CD275" s="868" t="str">
        <f>IFERROR(__xludf.DUMMYFUNCTION("IF(OR(C275=""AÇÃO"",C275=""BDR""),IFERROR(GOOGLEFINANCE(CONCAT(""BVMF:"",CR275), ""volumeavg"")/1000000,""NC""),"""")"),"")</f>
        <v/>
      </c>
      <c r="CE275" s="870" t="s">
        <v>123</v>
      </c>
      <c r="CF275" s="870" t="s">
        <v>123</v>
      </c>
      <c r="CG275" s="870" t="str">
        <f>IFERROR(__xludf.DUMMYFUNCTION("IF(OR(C275=""AÇÃO"",C275=""BDR""),IF(CF275=0,""SEM DY"",IFERROR(ImportXML(CONCAT(""http://www.guiainvest.com.br/raiox/default.aspx?sigla="",$CR275),""//*[@id='lbPayoutAtual']""),""NC"")),"""")"),"")</f>
        <v/>
      </c>
      <c r="CH275" s="870" t="s">
        <v>123</v>
      </c>
      <c r="CI275" s="545"/>
      <c r="CJ275" s="871" t="str">
        <f>IFERROR(__xludf.DUMMYFUNCTION("IF(OR(C275=""AÇÃO"",C275=""BDR""),IFERROR(GOOGLEFINANCE(CONCAT(""BVMF:"",CR275), ""eps""),""NC""),"""")"),"")</f>
        <v/>
      </c>
      <c r="CK275" s="442"/>
      <c r="CL275" s="871" t="str">
        <f>IFERROR(__xludf.DUMMYFUNCTION("IF(NOT($BL$4),"""",IF($CR275="""","""",IF($BC275="""","""",IFERROR(query({op.normal!$B$5:$F308},""select Col5, toDate(Col2) where Col1 =  '""&amp;$CR275&amp;""' and Col4 &gt; 0 and ((Col3 is null) or (Col3 = 'C')) and Col2 &gt;= date '""&amp;TEXT(TODAY()-$AQ$5,""yyyy-mm-dd"&amp;""")&amp;""' order by Col2 desc limit 1 label toDate(Col2) ''"")))))"),"")</f>
        <v/>
      </c>
      <c r="CM275" s="872"/>
      <c r="CN275" s="883" t="s">
        <v>123</v>
      </c>
      <c r="CO275" s="874" t="s">
        <v>123</v>
      </c>
      <c r="CP275" s="766"/>
      <c r="CQ275" s="791"/>
      <c r="CR275" s="791"/>
      <c r="CT275" s="791" t="s">
        <v>123</v>
      </c>
      <c r="CU275" s="791" t="str">
        <f>IFERROR(__xludf.DUMMYFUNCTION("IF(CR275="""","""",IF(CT275=$C$4,1,GOOGLEFINANCE(CT275&amp;$C$4)))"),"")</f>
        <v/>
      </c>
    </row>
    <row r="276" ht="22.5" customHeight="1">
      <c r="A276" s="837">
        <v>268.0</v>
      </c>
      <c r="B276" s="838" t="s">
        <v>123</v>
      </c>
      <c r="C276" s="838" t="s">
        <v>123</v>
      </c>
      <c r="D276" s="839" t="s">
        <v>123</v>
      </c>
      <c r="E276" s="839" t="s">
        <v>123</v>
      </c>
      <c r="F276" s="839" t="s">
        <v>123</v>
      </c>
      <c r="H276" s="884"/>
      <c r="I276" s="838"/>
      <c r="J276" s="838"/>
      <c r="K276" s="838"/>
      <c r="L276" s="838"/>
      <c r="M276" s="838"/>
      <c r="N276" s="838"/>
      <c r="O276" s="838"/>
      <c r="P276" s="838"/>
      <c r="Q276" s="838"/>
      <c r="R276" s="838"/>
      <c r="S276" s="838"/>
      <c r="T276" s="838"/>
      <c r="U276" s="838"/>
      <c r="V276" s="838"/>
      <c r="W276" s="838"/>
      <c r="X276" s="838"/>
      <c r="Z276" s="875" t="str">
        <f>IFERROR(__xludf.DUMMYFUNCTION("IF($CR276="""","""",IFERROR(query({CarteirasAtivos},""select Col4 where Col4 is not null and Col1 = '""&amp;$CR276&amp;""' limit 1"")*CU276,""NC""))"),"")</f>
        <v/>
      </c>
      <c r="AA276" s="876" t="str">
        <f>IFERROR(__xludf.DUMMYFUNCTION("IF($CR276="""","""",IFERROR(query({CarteirasAtivos},""select Col6 where Col4 is not null and Col1 = '""&amp;$CR276&amp;""' limit 1""),""NC""))"),"")</f>
        <v/>
      </c>
      <c r="AB276" s="877"/>
      <c r="AC276" s="878" t="s">
        <v>123</v>
      </c>
      <c r="AD276" s="845" t="str">
        <f>IF($CR276="","",IFERROR(VLOOKUP($CR276,ativos.!$C$3:$R308,MATCH("cotacao",ativos.!$C$2:CY$2,0),FALSE)*$CU$5,"atualizar"))</f>
        <v/>
      </c>
      <c r="AE276" s="846" t="str">
        <f>IFERROR(__xludf.DUMMYFUNCTION("IF($CR276="""","""",IFERROR(AVERAGE(query({CarteirasAtivos;CarteirasAtivosEncerrados},""select Col5 where Col5 is not null and Col1 = '""&amp;$CR276&amp;""' and Col10='SIM'""))*CU276,""NC""))"),"")</f>
        <v/>
      </c>
      <c r="AF276" s="847" t="str">
        <f t="shared" si="1"/>
        <v/>
      </c>
      <c r="AG276" s="442"/>
      <c r="AH276" s="848" t="str">
        <f>IFERROR(__xludf.DUMMYFUNCTION("IF($CR276="""","""",IFERROR(GOOGLEFINANCE($CR276,""low52"")*CU276,""-""))"),"")</f>
        <v/>
      </c>
      <c r="AI276" s="848" t="str">
        <f>IFERROR(__xludf.DUMMYFUNCTION("IF($CR276="""","""",IFERROR(GOOGLEFINANCE($CR276,""high52"")*CU276,""-""))"),"")</f>
        <v/>
      </c>
      <c r="AJ276" s="849" t="s">
        <v>123</v>
      </c>
      <c r="AK276" s="850" t="str">
        <f>IFERROR(__xludf.DUMMYFUNCTION("IF($CR276="""","""",IFERROR(GOOGLEFINANCE($CR276,""changepct"")/100,""-""))"),"")</f>
        <v/>
      </c>
      <c r="AL276" s="851" t="str">
        <f>IFERROR(__xludf.DUMMYFUNCTION("IF($CR276="""","""",IFERROR(($AD276/(QUERY(GOOGLEFINANCE($CR276,""price"",TODAY()-7),""SELECT Col2 label Col2 ''"")*$CU276)-1),""-""))"),"")</f>
        <v/>
      </c>
      <c r="AM276" s="851" t="str">
        <f>IFERROR(__xludf.DUMMYFUNCTION("IF($CR276="""","""",IFERROR(($AD276/(QUERY(GOOGLEFINANCE($CR276,""price"",TODAY()-14),""SELECT Col2 label Col2 ''"")*$CU276)-1),""-""))"),"")</f>
        <v/>
      </c>
      <c r="AN276" s="851" t="str">
        <f>IFERROR(__xludf.DUMMYFUNCTION("IF($CR276="""","""",IFERROR(($AD276/(QUERY(GOOGLEFINANCE($CR276,""price"",TODAY()-28),""SELECT Col2 label Col2 ''"")*$CU276)-1),""-""))"),"")</f>
        <v/>
      </c>
      <c r="AO276" s="851" t="str">
        <f>IFERROR(__xludf.DUMMYFUNCTION("IF($CR276="""","""",IFERROR(($AD276/(QUERY(GOOGLEFINANCE($CR276,""price"",TODAY()-$AQ$5),""SELECT Col2 label Col2 ''"")*$CU276)-1),""-""))"),"")</f>
        <v/>
      </c>
      <c r="AP276" s="852" t="str">
        <f>IFERROR(__xludf.DUMMYFUNCTION("IF($CR276="""","""",IFERROR(SPARKLINE(query(GOOGLEFINANCE($CR276,""price"",TODAY()-$AQ$5,TODAY(),1),""select Col2 label Col2 ''""),IF($AP$7=""Gráfico de barras"",{""charttype"",""column"";""highcolor"",""red""},{""chartype"",""line""}))))"),"")</f>
        <v/>
      </c>
      <c r="AQ276" s="144"/>
      <c r="AR276" s="853"/>
      <c r="AS276" s="854" t="str">
        <f>IF($CR276="","",IF(NOT('alocação'!$D$1),"off",IFERROR(VLOOKUP(CR276,BalanceAtivos,3,0),"NC")))</f>
        <v/>
      </c>
      <c r="AT276" s="855" t="str">
        <f>IF($CR276="","",IF(NOT('alocação'!$D$1),"off",IFERROR(VLOOKUP($CR276,BalanceAtivos,4,0)*$CU$5,"NC")))</f>
        <v/>
      </c>
      <c r="AU276" s="856" t="str">
        <f>IF($CR276="","",IF(NOT('alocação'!$D$1),"off",IFERROR(VLOOKUP($CR276,BalanceAtivos,5,0),"-")))</f>
        <v/>
      </c>
      <c r="AV276" s="856" t="str">
        <f>IF($CR276="","",IF(NOT('alocação'!$D$1),"off",IFERROR(VLOOKUP($CR276,BalanceAtivos,6,0),"-")))</f>
        <v/>
      </c>
      <c r="AW276" s="857"/>
      <c r="AX276" s="858" t="str">
        <f>IF($CR276="","",IF($E276="","SP",IFERROR(VLOOKUP($CR276,AtivosDados,MATCH("pm_atual",portfolio.!$A$3:CY$3,0),0)*$CU$5,0)))</f>
        <v/>
      </c>
      <c r="AY276" s="859" t="str">
        <f t="shared" si="2"/>
        <v/>
      </c>
      <c r="AZ276" s="858" t="str">
        <f>IF($CR276="","",IF($E276="","SP",SUMIF(portfolio.!$A$4:$A308,$CR276,portfolio.!$O$4:$O308)*$CU$5))</f>
        <v/>
      </c>
      <c r="BA276" s="858" t="str">
        <f>IF($CR276="","",IF($E276="","SP",SUMIF(portfolio.!$A$4:$A308,$CR276,portfolio.!$AN$4:$AN308)*$CU$5))</f>
        <v/>
      </c>
      <c r="BB276" s="860" t="str">
        <f>IF($CR276="","",IF($E276="","-",IFERROR($BA276/'portfólio'!$DG$63,"")))</f>
        <v/>
      </c>
      <c r="BC276" s="861" t="str">
        <f>IF($CR276="","",IF($E276="","-",SUMIF(portfolio.!$A$4:$A308,$CR276,portfolio.!$J$4:$J308)))</f>
        <v/>
      </c>
      <c r="BD276" s="862" t="str">
        <f>IF($CR276="","",IF($E276="","SP",SUMIF(portfolio.!$A$4:$A308,$CR276,portfolio.!$AQ$4:$AQ308)*$CU$5))</f>
        <v/>
      </c>
      <c r="BE276" s="850" t="str">
        <f t="shared" si="3"/>
        <v/>
      </c>
      <c r="BF276" s="862" t="str">
        <f>IF($CR276="","",IF($E276="","-",SUMIF(portfolio.!$A$4:$A308,$CR276,portfolio.!$AX$4:$AX308)*$CU$5))</f>
        <v/>
      </c>
      <c r="BG276" s="545"/>
      <c r="BH276" s="879" t="s">
        <v>123</v>
      </c>
      <c r="BI276" s="880" t="s">
        <v>123</v>
      </c>
      <c r="BJ276" s="863" t="str">
        <f>IFERROR(__xludf.DUMMYFUNCTION("IF(NOT($BL$4),"""",IF($CR276="""","""",IFERROR(query({GOOGLEFINANCE($CR276,""price"",IF($BI276=""-"",TODAY()-($AQ$5+5),$BI276),TODAY()-1)},""Select max(Col2) where Col1 is not null label max(Col2) ''"")*CU276,""-"")))"),"")</f>
        <v/>
      </c>
      <c r="BK276" s="881" t="s">
        <v>123</v>
      </c>
      <c r="BL276" s="882" t="s">
        <v>123</v>
      </c>
      <c r="BM276" s="442"/>
      <c r="BN276" s="867" t="str">
        <f>IFERROR(__xludf.DUMMYFUNCTION("IF(CR276="""","""",IF(OR(C276=""AÇÃO"",C276=""BDR""),IFERROR(QUERY({fundamentus.!$A$3:$U308},$CX$67&amp;"" where Col1='""&amp;CR276&amp;""' limit 1"",0)),IF(C276=""FII"",IFERROR(QUERY({fundsexplorer.!$A$2:$Z308},$CY$67&amp;"" where Col1='""&amp;CR276&amp;""' limit 1"",0)),""""))"&amp;")"),"")</f>
        <v/>
      </c>
      <c r="BO276" s="867"/>
      <c r="BP276" s="867"/>
      <c r="BQ276" s="867"/>
      <c r="BR276" s="867"/>
      <c r="BS276" s="867"/>
      <c r="BT276" s="867"/>
      <c r="BU276" s="442"/>
      <c r="BV276" s="868" t="str">
        <f>IFERROR(__xludf.DUMMYFUNCTION("IF(OR(C276=""AÇÃO"",C276=""BDR""),IFERROR(GOOGLEFINANCE(CONCAT(""BVMF:"",CR276), ""marketcap"")/1000000,""NC""),"""")"),"")</f>
        <v/>
      </c>
      <c r="BW276" s="869" t="s">
        <v>123</v>
      </c>
      <c r="BX276" s="870" t="s">
        <v>123</v>
      </c>
      <c r="BY276" s="868" t="s">
        <v>123</v>
      </c>
      <c r="BZ276" s="870" t="s">
        <v>123</v>
      </c>
      <c r="CA276" s="868" t="s">
        <v>123</v>
      </c>
      <c r="CB276" s="868" t="s">
        <v>123</v>
      </c>
      <c r="CC276" s="868" t="s">
        <v>123</v>
      </c>
      <c r="CD276" s="868" t="str">
        <f>IFERROR(__xludf.DUMMYFUNCTION("IF(OR(C276=""AÇÃO"",C276=""BDR""),IFERROR(GOOGLEFINANCE(CONCAT(""BVMF:"",CR276), ""volumeavg"")/1000000,""NC""),"""")"),"")</f>
        <v/>
      </c>
      <c r="CE276" s="870" t="s">
        <v>123</v>
      </c>
      <c r="CF276" s="870" t="s">
        <v>123</v>
      </c>
      <c r="CG276" s="870" t="str">
        <f>IFERROR(__xludf.DUMMYFUNCTION("IF(OR(C276=""AÇÃO"",C276=""BDR""),IF(CF276=0,""SEM DY"",IFERROR(ImportXML(CONCAT(""http://www.guiainvest.com.br/raiox/default.aspx?sigla="",$CR276),""//*[@id='lbPayoutAtual']""),""NC"")),"""")"),"")</f>
        <v/>
      </c>
      <c r="CH276" s="870" t="s">
        <v>123</v>
      </c>
      <c r="CI276" s="545"/>
      <c r="CJ276" s="871" t="str">
        <f>IFERROR(__xludf.DUMMYFUNCTION("IF(OR(C276=""AÇÃO"",C276=""BDR""),IFERROR(GOOGLEFINANCE(CONCAT(""BVMF:"",CR276), ""eps""),""NC""),"""")"),"")</f>
        <v/>
      </c>
      <c r="CK276" s="442"/>
      <c r="CL276" s="871" t="str">
        <f>IFERROR(__xludf.DUMMYFUNCTION("IF(NOT($BL$4),"""",IF($CR276="""","""",IF($BC276="""","""",IFERROR(query({op.normal!$B$5:$F308},""select Col5, toDate(Col2) where Col1 =  '""&amp;$CR276&amp;""' and Col4 &gt; 0 and ((Col3 is null) or (Col3 = 'C')) and Col2 &gt;= date '""&amp;TEXT(TODAY()-$AQ$5,""yyyy-mm-dd"&amp;""")&amp;""' order by Col2 desc limit 1 label toDate(Col2) ''"")))))"),"")</f>
        <v/>
      </c>
      <c r="CM276" s="872"/>
      <c r="CN276" s="883" t="s">
        <v>123</v>
      </c>
      <c r="CO276" s="874" t="s">
        <v>123</v>
      </c>
      <c r="CP276" s="766"/>
      <c r="CQ276" s="791"/>
      <c r="CR276" s="791"/>
      <c r="CT276" s="791" t="s">
        <v>123</v>
      </c>
      <c r="CU276" s="791" t="str">
        <f>IFERROR(__xludf.DUMMYFUNCTION("IF(CR276="""","""",IF(CT276=$C$4,1,GOOGLEFINANCE(CT276&amp;$C$4)))"),"")</f>
        <v/>
      </c>
    </row>
    <row r="277" ht="22.5" customHeight="1">
      <c r="A277" s="837">
        <v>269.0</v>
      </c>
      <c r="B277" s="838" t="s">
        <v>123</v>
      </c>
      <c r="C277" s="838" t="s">
        <v>123</v>
      </c>
      <c r="D277" s="839" t="s">
        <v>123</v>
      </c>
      <c r="E277" s="839" t="s">
        <v>123</v>
      </c>
      <c r="F277" s="839" t="s">
        <v>123</v>
      </c>
      <c r="H277" s="884"/>
      <c r="I277" s="838"/>
      <c r="J277" s="838"/>
      <c r="K277" s="838"/>
      <c r="L277" s="838"/>
      <c r="M277" s="838"/>
      <c r="N277" s="838"/>
      <c r="O277" s="838"/>
      <c r="P277" s="838"/>
      <c r="Q277" s="838"/>
      <c r="R277" s="838"/>
      <c r="S277" s="838"/>
      <c r="T277" s="838"/>
      <c r="U277" s="838"/>
      <c r="V277" s="838"/>
      <c r="W277" s="838"/>
      <c r="X277" s="838"/>
      <c r="Z277" s="875" t="str">
        <f>IFERROR(__xludf.DUMMYFUNCTION("IF($CR277="""","""",IFERROR(query({CarteirasAtivos},""select Col4 where Col4 is not null and Col1 = '""&amp;$CR277&amp;""' limit 1"")*CU277,""NC""))"),"")</f>
        <v/>
      </c>
      <c r="AA277" s="876" t="str">
        <f>IFERROR(__xludf.DUMMYFUNCTION("IF($CR277="""","""",IFERROR(query({CarteirasAtivos},""select Col6 where Col4 is not null and Col1 = '""&amp;$CR277&amp;""' limit 1""),""NC""))"),"")</f>
        <v/>
      </c>
      <c r="AB277" s="877"/>
      <c r="AC277" s="878" t="s">
        <v>123</v>
      </c>
      <c r="AD277" s="845" t="str">
        <f>IF($CR277="","",IFERROR(VLOOKUP($CR277,ativos.!$C$3:$R308,MATCH("cotacao",ativos.!$C$2:CY$2,0),FALSE)*$CU$5,"atualizar"))</f>
        <v/>
      </c>
      <c r="AE277" s="846" t="str">
        <f>IFERROR(__xludf.DUMMYFUNCTION("IF($CR277="""","""",IFERROR(AVERAGE(query({CarteirasAtivos;CarteirasAtivosEncerrados},""select Col5 where Col5 is not null and Col1 = '""&amp;$CR277&amp;""' and Col10='SIM'""))*CU277,""NC""))"),"")</f>
        <v/>
      </c>
      <c r="AF277" s="847" t="str">
        <f t="shared" si="1"/>
        <v/>
      </c>
      <c r="AG277" s="442"/>
      <c r="AH277" s="848" t="str">
        <f>IFERROR(__xludf.DUMMYFUNCTION("IF($CR277="""","""",IFERROR(GOOGLEFINANCE($CR277,""low52"")*CU277,""-""))"),"")</f>
        <v/>
      </c>
      <c r="AI277" s="848" t="str">
        <f>IFERROR(__xludf.DUMMYFUNCTION("IF($CR277="""","""",IFERROR(GOOGLEFINANCE($CR277,""high52"")*CU277,""-""))"),"")</f>
        <v/>
      </c>
      <c r="AJ277" s="849" t="s">
        <v>123</v>
      </c>
      <c r="AK277" s="850" t="str">
        <f>IFERROR(__xludf.DUMMYFUNCTION("IF($CR277="""","""",IFERROR(GOOGLEFINANCE($CR277,""changepct"")/100,""-""))"),"")</f>
        <v/>
      </c>
      <c r="AL277" s="851" t="str">
        <f>IFERROR(__xludf.DUMMYFUNCTION("IF($CR277="""","""",IFERROR(($AD277/(QUERY(GOOGLEFINANCE($CR277,""price"",TODAY()-7),""SELECT Col2 label Col2 ''"")*$CU277)-1),""-""))"),"")</f>
        <v/>
      </c>
      <c r="AM277" s="851" t="str">
        <f>IFERROR(__xludf.DUMMYFUNCTION("IF($CR277="""","""",IFERROR(($AD277/(QUERY(GOOGLEFINANCE($CR277,""price"",TODAY()-14),""SELECT Col2 label Col2 ''"")*$CU277)-1),""-""))"),"")</f>
        <v/>
      </c>
      <c r="AN277" s="851" t="str">
        <f>IFERROR(__xludf.DUMMYFUNCTION("IF($CR277="""","""",IFERROR(($AD277/(QUERY(GOOGLEFINANCE($CR277,""price"",TODAY()-28),""SELECT Col2 label Col2 ''"")*$CU277)-1),""-""))"),"")</f>
        <v/>
      </c>
      <c r="AO277" s="851" t="str">
        <f>IFERROR(__xludf.DUMMYFUNCTION("IF($CR277="""","""",IFERROR(($AD277/(QUERY(GOOGLEFINANCE($CR277,""price"",TODAY()-$AQ$5),""SELECT Col2 label Col2 ''"")*$CU277)-1),""-""))"),"")</f>
        <v/>
      </c>
      <c r="AP277" s="852" t="str">
        <f>IFERROR(__xludf.DUMMYFUNCTION("IF($CR277="""","""",IFERROR(SPARKLINE(query(GOOGLEFINANCE($CR277,""price"",TODAY()-$AQ$5,TODAY(),1),""select Col2 label Col2 ''""),IF($AP$7=""Gráfico de barras"",{""charttype"",""column"";""highcolor"",""red""},{""chartype"",""line""}))))"),"")</f>
        <v/>
      </c>
      <c r="AQ277" s="144"/>
      <c r="AR277" s="853"/>
      <c r="AS277" s="854" t="str">
        <f>IF($CR277="","",IF(NOT('alocação'!$D$1),"off",IFERROR(VLOOKUP(CR277,BalanceAtivos,3,0),"NC")))</f>
        <v/>
      </c>
      <c r="AT277" s="855" t="str">
        <f>IF($CR277="","",IF(NOT('alocação'!$D$1),"off",IFERROR(VLOOKUP($CR277,BalanceAtivos,4,0)*$CU$5,"NC")))</f>
        <v/>
      </c>
      <c r="AU277" s="856" t="str">
        <f>IF($CR277="","",IF(NOT('alocação'!$D$1),"off",IFERROR(VLOOKUP($CR277,BalanceAtivos,5,0),"-")))</f>
        <v/>
      </c>
      <c r="AV277" s="856" t="str">
        <f>IF($CR277="","",IF(NOT('alocação'!$D$1),"off",IFERROR(VLOOKUP($CR277,BalanceAtivos,6,0),"-")))</f>
        <v/>
      </c>
      <c r="AW277" s="857"/>
      <c r="AX277" s="858" t="str">
        <f>IF($CR277="","",IF($E277="","SP",IFERROR(VLOOKUP($CR277,AtivosDados,MATCH("pm_atual",portfolio.!$A$3:CY$3,0),0)*$CU$5,0)))</f>
        <v/>
      </c>
      <c r="AY277" s="859" t="str">
        <f t="shared" si="2"/>
        <v/>
      </c>
      <c r="AZ277" s="858" t="str">
        <f>IF($CR277="","",IF($E277="","SP",SUMIF(portfolio.!$A$4:$A308,$CR277,portfolio.!$O$4:$O308)*$CU$5))</f>
        <v/>
      </c>
      <c r="BA277" s="858" t="str">
        <f>IF($CR277="","",IF($E277="","SP",SUMIF(portfolio.!$A$4:$A308,$CR277,portfolio.!$AN$4:$AN308)*$CU$5))</f>
        <v/>
      </c>
      <c r="BB277" s="860" t="str">
        <f>IF($CR277="","",IF($E277="","-",IFERROR($BA277/'portfólio'!$DG$63,"")))</f>
        <v/>
      </c>
      <c r="BC277" s="861" t="str">
        <f>IF($CR277="","",IF($E277="","-",SUMIF(portfolio.!$A$4:$A308,$CR277,portfolio.!$J$4:$J308)))</f>
        <v/>
      </c>
      <c r="BD277" s="862" t="str">
        <f>IF($CR277="","",IF($E277="","SP",SUMIF(portfolio.!$A$4:$A308,$CR277,portfolio.!$AQ$4:$AQ308)*$CU$5))</f>
        <v/>
      </c>
      <c r="BE277" s="850" t="str">
        <f t="shared" si="3"/>
        <v/>
      </c>
      <c r="BF277" s="862" t="str">
        <f>IF($CR277="","",IF($E277="","-",SUMIF(portfolio.!$A$4:$A308,$CR277,portfolio.!$AX$4:$AX308)*$CU$5))</f>
        <v/>
      </c>
      <c r="BG277" s="545"/>
      <c r="BH277" s="879" t="s">
        <v>123</v>
      </c>
      <c r="BI277" s="880" t="s">
        <v>123</v>
      </c>
      <c r="BJ277" s="863" t="str">
        <f>IFERROR(__xludf.DUMMYFUNCTION("IF(NOT($BL$4),"""",IF($CR277="""","""",IFERROR(query({GOOGLEFINANCE($CR277,""price"",IF($BI277=""-"",TODAY()-($AQ$5+5),$BI277),TODAY()-1)},""Select max(Col2) where Col1 is not null label max(Col2) ''"")*CU277,""-"")))"),"")</f>
        <v/>
      </c>
      <c r="BK277" s="881" t="s">
        <v>123</v>
      </c>
      <c r="BL277" s="882" t="s">
        <v>123</v>
      </c>
      <c r="BM277" s="442"/>
      <c r="BN277" s="867" t="str">
        <f>IFERROR(__xludf.DUMMYFUNCTION("IF(CR277="""","""",IF(OR(C277=""AÇÃO"",C277=""BDR""),IFERROR(QUERY({fundamentus.!$A$3:$U308},$CX$67&amp;"" where Col1='""&amp;CR277&amp;""' limit 1"",0)),IF(C277=""FII"",IFERROR(QUERY({fundsexplorer.!$A$2:$Z308},$CY$67&amp;"" where Col1='""&amp;CR277&amp;""' limit 1"",0)),""""))"&amp;")"),"")</f>
        <v/>
      </c>
      <c r="BO277" s="867"/>
      <c r="BP277" s="867"/>
      <c r="BQ277" s="867"/>
      <c r="BR277" s="867"/>
      <c r="BS277" s="867"/>
      <c r="BT277" s="867"/>
      <c r="BU277" s="442"/>
      <c r="BV277" s="868" t="str">
        <f>IFERROR(__xludf.DUMMYFUNCTION("IF(OR(C277=""AÇÃO"",C277=""BDR""),IFERROR(GOOGLEFINANCE(CONCAT(""BVMF:"",CR277), ""marketcap"")/1000000,""NC""),"""")"),"")</f>
        <v/>
      </c>
      <c r="BW277" s="869" t="s">
        <v>123</v>
      </c>
      <c r="BX277" s="870" t="s">
        <v>123</v>
      </c>
      <c r="BY277" s="868" t="s">
        <v>123</v>
      </c>
      <c r="BZ277" s="870" t="s">
        <v>123</v>
      </c>
      <c r="CA277" s="868" t="s">
        <v>123</v>
      </c>
      <c r="CB277" s="868" t="s">
        <v>123</v>
      </c>
      <c r="CC277" s="868" t="s">
        <v>123</v>
      </c>
      <c r="CD277" s="868" t="str">
        <f>IFERROR(__xludf.DUMMYFUNCTION("IF(OR(C277=""AÇÃO"",C277=""BDR""),IFERROR(GOOGLEFINANCE(CONCAT(""BVMF:"",CR277), ""volumeavg"")/1000000,""NC""),"""")"),"")</f>
        <v/>
      </c>
      <c r="CE277" s="870" t="s">
        <v>123</v>
      </c>
      <c r="CF277" s="870" t="s">
        <v>123</v>
      </c>
      <c r="CG277" s="870" t="str">
        <f>IFERROR(__xludf.DUMMYFUNCTION("IF(OR(C277=""AÇÃO"",C277=""BDR""),IF(CF277=0,""SEM DY"",IFERROR(ImportXML(CONCAT(""http://www.guiainvest.com.br/raiox/default.aspx?sigla="",$CR277),""//*[@id='lbPayoutAtual']""),""NC"")),"""")"),"")</f>
        <v/>
      </c>
      <c r="CH277" s="870" t="s">
        <v>123</v>
      </c>
      <c r="CI277" s="545"/>
      <c r="CJ277" s="871" t="str">
        <f>IFERROR(__xludf.DUMMYFUNCTION("IF(OR(C277=""AÇÃO"",C277=""BDR""),IFERROR(GOOGLEFINANCE(CONCAT(""BVMF:"",CR277), ""eps""),""NC""),"""")"),"")</f>
        <v/>
      </c>
      <c r="CK277" s="442"/>
      <c r="CL277" s="871" t="str">
        <f>IFERROR(__xludf.DUMMYFUNCTION("IF(NOT($BL$4),"""",IF($CR277="""","""",IF($BC277="""","""",IFERROR(query({op.normal!$B$5:$F308},""select Col5, toDate(Col2) where Col1 =  '""&amp;$CR277&amp;""' and Col4 &gt; 0 and ((Col3 is null) or (Col3 = 'C')) and Col2 &gt;= date '""&amp;TEXT(TODAY()-$AQ$5,""yyyy-mm-dd"&amp;""")&amp;""' order by Col2 desc limit 1 label toDate(Col2) ''"")))))"),"")</f>
        <v/>
      </c>
      <c r="CM277" s="872"/>
      <c r="CN277" s="883" t="s">
        <v>123</v>
      </c>
      <c r="CO277" s="874" t="s">
        <v>123</v>
      </c>
      <c r="CP277" s="766"/>
      <c r="CQ277" s="791"/>
      <c r="CR277" s="791"/>
      <c r="CT277" s="791" t="s">
        <v>123</v>
      </c>
      <c r="CU277" s="791" t="str">
        <f>IFERROR(__xludf.DUMMYFUNCTION("IF(CR277="""","""",IF(CT277=$C$4,1,GOOGLEFINANCE(CT277&amp;$C$4)))"),"")</f>
        <v/>
      </c>
    </row>
    <row r="278" ht="22.5" customHeight="1">
      <c r="A278" s="837">
        <v>270.0</v>
      </c>
      <c r="B278" s="838" t="s">
        <v>123</v>
      </c>
      <c r="C278" s="838" t="s">
        <v>123</v>
      </c>
      <c r="D278" s="839" t="s">
        <v>123</v>
      </c>
      <c r="E278" s="839" t="s">
        <v>123</v>
      </c>
      <c r="F278" s="839" t="s">
        <v>123</v>
      </c>
      <c r="H278" s="884"/>
      <c r="I278" s="838"/>
      <c r="J278" s="838"/>
      <c r="K278" s="838"/>
      <c r="L278" s="838"/>
      <c r="M278" s="838"/>
      <c r="N278" s="838"/>
      <c r="O278" s="838"/>
      <c r="P278" s="838"/>
      <c r="Q278" s="838"/>
      <c r="R278" s="838"/>
      <c r="S278" s="838"/>
      <c r="T278" s="838"/>
      <c r="U278" s="838"/>
      <c r="V278" s="838"/>
      <c r="W278" s="838"/>
      <c r="X278" s="838"/>
      <c r="Z278" s="875" t="str">
        <f>IFERROR(__xludf.DUMMYFUNCTION("IF($CR278="""","""",IFERROR(query({CarteirasAtivos},""select Col4 where Col4 is not null and Col1 = '""&amp;$CR278&amp;""' limit 1"")*CU278,""NC""))"),"")</f>
        <v/>
      </c>
      <c r="AA278" s="876" t="str">
        <f>IFERROR(__xludf.DUMMYFUNCTION("IF($CR278="""","""",IFERROR(query({CarteirasAtivos},""select Col6 where Col4 is not null and Col1 = '""&amp;$CR278&amp;""' limit 1""),""NC""))"),"")</f>
        <v/>
      </c>
      <c r="AB278" s="877"/>
      <c r="AC278" s="878" t="s">
        <v>123</v>
      </c>
      <c r="AD278" s="845" t="str">
        <f>IF($CR278="","",IFERROR(VLOOKUP($CR278,ativos.!$C$3:$R308,MATCH("cotacao",ativos.!$C$2:CY$2,0),FALSE)*$CU$5,"atualizar"))</f>
        <v/>
      </c>
      <c r="AE278" s="846" t="str">
        <f>IFERROR(__xludf.DUMMYFUNCTION("IF($CR278="""","""",IFERROR(AVERAGE(query({CarteirasAtivos;CarteirasAtivosEncerrados},""select Col5 where Col5 is not null and Col1 = '""&amp;$CR278&amp;""' and Col10='SIM'""))*CU278,""NC""))"),"")</f>
        <v/>
      </c>
      <c r="AF278" s="847" t="str">
        <f t="shared" si="1"/>
        <v/>
      </c>
      <c r="AG278" s="442"/>
      <c r="AH278" s="848" t="str">
        <f>IFERROR(__xludf.DUMMYFUNCTION("IF($CR278="""","""",IFERROR(GOOGLEFINANCE($CR278,""low52"")*CU278,""-""))"),"")</f>
        <v/>
      </c>
      <c r="AI278" s="848" t="str">
        <f>IFERROR(__xludf.DUMMYFUNCTION("IF($CR278="""","""",IFERROR(GOOGLEFINANCE($CR278,""high52"")*CU278,""-""))"),"")</f>
        <v/>
      </c>
      <c r="AJ278" s="849" t="s">
        <v>123</v>
      </c>
      <c r="AK278" s="850" t="str">
        <f>IFERROR(__xludf.DUMMYFUNCTION("IF($CR278="""","""",IFERROR(GOOGLEFINANCE($CR278,""changepct"")/100,""-""))"),"")</f>
        <v/>
      </c>
      <c r="AL278" s="851" t="str">
        <f>IFERROR(__xludf.DUMMYFUNCTION("IF($CR278="""","""",IFERROR(($AD278/(QUERY(GOOGLEFINANCE($CR278,""price"",TODAY()-7),""SELECT Col2 label Col2 ''"")*$CU278)-1),""-""))"),"")</f>
        <v/>
      </c>
      <c r="AM278" s="851" t="str">
        <f>IFERROR(__xludf.DUMMYFUNCTION("IF($CR278="""","""",IFERROR(($AD278/(QUERY(GOOGLEFINANCE($CR278,""price"",TODAY()-14),""SELECT Col2 label Col2 ''"")*$CU278)-1),""-""))"),"")</f>
        <v/>
      </c>
      <c r="AN278" s="851" t="str">
        <f>IFERROR(__xludf.DUMMYFUNCTION("IF($CR278="""","""",IFERROR(($AD278/(QUERY(GOOGLEFINANCE($CR278,""price"",TODAY()-28),""SELECT Col2 label Col2 ''"")*$CU278)-1),""-""))"),"")</f>
        <v/>
      </c>
      <c r="AO278" s="851" t="str">
        <f>IFERROR(__xludf.DUMMYFUNCTION("IF($CR278="""","""",IFERROR(($AD278/(QUERY(GOOGLEFINANCE($CR278,""price"",TODAY()-$AQ$5),""SELECT Col2 label Col2 ''"")*$CU278)-1),""-""))"),"")</f>
        <v/>
      </c>
      <c r="AP278" s="852" t="str">
        <f>IFERROR(__xludf.DUMMYFUNCTION("IF($CR278="""","""",IFERROR(SPARKLINE(query(GOOGLEFINANCE($CR278,""price"",TODAY()-$AQ$5,TODAY(),1),""select Col2 label Col2 ''""),IF($AP$7=""Gráfico de barras"",{""charttype"",""column"";""highcolor"",""red""},{""chartype"",""line""}))))"),"")</f>
        <v/>
      </c>
      <c r="AQ278" s="144"/>
      <c r="AR278" s="853"/>
      <c r="AS278" s="854" t="str">
        <f>IF($CR278="","",IF(NOT('alocação'!$D$1),"off",IFERROR(VLOOKUP(CR278,BalanceAtivos,3,0),"NC")))</f>
        <v/>
      </c>
      <c r="AT278" s="855" t="str">
        <f>IF($CR278="","",IF(NOT('alocação'!$D$1),"off",IFERROR(VLOOKUP($CR278,BalanceAtivos,4,0)*$CU$5,"NC")))</f>
        <v/>
      </c>
      <c r="AU278" s="856" t="str">
        <f>IF($CR278="","",IF(NOT('alocação'!$D$1),"off",IFERROR(VLOOKUP($CR278,BalanceAtivos,5,0),"-")))</f>
        <v/>
      </c>
      <c r="AV278" s="856" t="str">
        <f>IF($CR278="","",IF(NOT('alocação'!$D$1),"off",IFERROR(VLOOKUP($CR278,BalanceAtivos,6,0),"-")))</f>
        <v/>
      </c>
      <c r="AW278" s="857"/>
      <c r="AX278" s="858" t="str">
        <f>IF($CR278="","",IF($E278="","SP",IFERROR(VLOOKUP($CR278,AtivosDados,MATCH("pm_atual",portfolio.!$A$3:CY$3,0),0)*$CU$5,0)))</f>
        <v/>
      </c>
      <c r="AY278" s="859" t="str">
        <f t="shared" si="2"/>
        <v/>
      </c>
      <c r="AZ278" s="858" t="str">
        <f>IF($CR278="","",IF($E278="","SP",SUMIF(portfolio.!$A$4:$A308,$CR278,portfolio.!$O$4:$O308)*$CU$5))</f>
        <v/>
      </c>
      <c r="BA278" s="858" t="str">
        <f>IF($CR278="","",IF($E278="","SP",SUMIF(portfolio.!$A$4:$A308,$CR278,portfolio.!$AN$4:$AN308)*$CU$5))</f>
        <v/>
      </c>
      <c r="BB278" s="860" t="str">
        <f>IF($CR278="","",IF($E278="","-",IFERROR($BA278/'portfólio'!$DG$63,"")))</f>
        <v/>
      </c>
      <c r="BC278" s="861" t="str">
        <f>IF($CR278="","",IF($E278="","-",SUMIF(portfolio.!$A$4:$A308,$CR278,portfolio.!$J$4:$J308)))</f>
        <v/>
      </c>
      <c r="BD278" s="862" t="str">
        <f>IF($CR278="","",IF($E278="","SP",SUMIF(portfolio.!$A$4:$A308,$CR278,portfolio.!$AQ$4:$AQ308)*$CU$5))</f>
        <v/>
      </c>
      <c r="BE278" s="850" t="str">
        <f t="shared" si="3"/>
        <v/>
      </c>
      <c r="BF278" s="862" t="str">
        <f>IF($CR278="","",IF($E278="","-",SUMIF(portfolio.!$A$4:$A308,$CR278,portfolio.!$AX$4:$AX308)*$CU$5))</f>
        <v/>
      </c>
      <c r="BG278" s="545"/>
      <c r="BH278" s="879" t="s">
        <v>123</v>
      </c>
      <c r="BI278" s="880" t="s">
        <v>123</v>
      </c>
      <c r="BJ278" s="863" t="str">
        <f>IFERROR(__xludf.DUMMYFUNCTION("IF(NOT($BL$4),"""",IF($CR278="""","""",IFERROR(query({GOOGLEFINANCE($CR278,""price"",IF($BI278=""-"",TODAY()-($AQ$5+5),$BI278),TODAY()-1)},""Select max(Col2) where Col1 is not null label max(Col2) ''"")*CU278,""-"")))"),"")</f>
        <v/>
      </c>
      <c r="BK278" s="881" t="s">
        <v>123</v>
      </c>
      <c r="BL278" s="882" t="s">
        <v>123</v>
      </c>
      <c r="BM278" s="442"/>
      <c r="BN278" s="867" t="str">
        <f>IFERROR(__xludf.DUMMYFUNCTION("IF(CR278="""","""",IF(OR(C278=""AÇÃO"",C278=""BDR""),IFERROR(QUERY({fundamentus.!$A$3:$U308},$CX$67&amp;"" where Col1='""&amp;CR278&amp;""' limit 1"",0)),IF(C278=""FII"",IFERROR(QUERY({fundsexplorer.!$A$2:$Z308},$CY$67&amp;"" where Col1='""&amp;CR278&amp;""' limit 1"",0)),""""))"&amp;")"),"")</f>
        <v/>
      </c>
      <c r="BO278" s="867"/>
      <c r="BP278" s="867"/>
      <c r="BQ278" s="867"/>
      <c r="BR278" s="867"/>
      <c r="BS278" s="867"/>
      <c r="BT278" s="867"/>
      <c r="BU278" s="442"/>
      <c r="BV278" s="868" t="str">
        <f>IFERROR(__xludf.DUMMYFUNCTION("IF(OR(C278=""AÇÃO"",C278=""BDR""),IFERROR(GOOGLEFINANCE(CONCAT(""BVMF:"",CR278), ""marketcap"")/1000000,""NC""),"""")"),"")</f>
        <v/>
      </c>
      <c r="BW278" s="869" t="s">
        <v>123</v>
      </c>
      <c r="BX278" s="870" t="s">
        <v>123</v>
      </c>
      <c r="BY278" s="868" t="s">
        <v>123</v>
      </c>
      <c r="BZ278" s="870" t="s">
        <v>123</v>
      </c>
      <c r="CA278" s="868" t="s">
        <v>123</v>
      </c>
      <c r="CB278" s="868" t="s">
        <v>123</v>
      </c>
      <c r="CC278" s="868" t="s">
        <v>123</v>
      </c>
      <c r="CD278" s="868" t="str">
        <f>IFERROR(__xludf.DUMMYFUNCTION("IF(OR(C278=""AÇÃO"",C278=""BDR""),IFERROR(GOOGLEFINANCE(CONCAT(""BVMF:"",CR278), ""volumeavg"")/1000000,""NC""),"""")"),"")</f>
        <v/>
      </c>
      <c r="CE278" s="870" t="s">
        <v>123</v>
      </c>
      <c r="CF278" s="870" t="s">
        <v>123</v>
      </c>
      <c r="CG278" s="870" t="str">
        <f>IFERROR(__xludf.DUMMYFUNCTION("IF(OR(C278=""AÇÃO"",C278=""BDR""),IF(CF278=0,""SEM DY"",IFERROR(ImportXML(CONCAT(""http://www.guiainvest.com.br/raiox/default.aspx?sigla="",$CR278),""//*[@id='lbPayoutAtual']""),""NC"")),"""")"),"")</f>
        <v/>
      </c>
      <c r="CH278" s="870" t="s">
        <v>123</v>
      </c>
      <c r="CI278" s="545"/>
      <c r="CJ278" s="871" t="str">
        <f>IFERROR(__xludf.DUMMYFUNCTION("IF(OR(C278=""AÇÃO"",C278=""BDR""),IFERROR(GOOGLEFINANCE(CONCAT(""BVMF:"",CR278), ""eps""),""NC""),"""")"),"")</f>
        <v/>
      </c>
      <c r="CK278" s="442"/>
      <c r="CL278" s="871" t="str">
        <f>IFERROR(__xludf.DUMMYFUNCTION("IF(NOT($BL$4),"""",IF($CR278="""","""",IF($BC278="""","""",IFERROR(query({op.normal!$B$5:$F308},""select Col5, toDate(Col2) where Col1 =  '""&amp;$CR278&amp;""' and Col4 &gt; 0 and ((Col3 is null) or (Col3 = 'C')) and Col2 &gt;= date '""&amp;TEXT(TODAY()-$AQ$5,""yyyy-mm-dd"&amp;""")&amp;""' order by Col2 desc limit 1 label toDate(Col2) ''"")))))"),"")</f>
        <v/>
      </c>
      <c r="CM278" s="872"/>
      <c r="CN278" s="883" t="s">
        <v>123</v>
      </c>
      <c r="CO278" s="874" t="s">
        <v>123</v>
      </c>
      <c r="CP278" s="766"/>
      <c r="CQ278" s="791"/>
      <c r="CR278" s="791"/>
      <c r="CT278" s="791" t="s">
        <v>123</v>
      </c>
      <c r="CU278" s="791" t="str">
        <f>IFERROR(__xludf.DUMMYFUNCTION("IF(CR278="""","""",IF(CT278=$C$4,1,GOOGLEFINANCE(CT278&amp;$C$4)))"),"")</f>
        <v/>
      </c>
    </row>
    <row r="279" ht="22.5" customHeight="1">
      <c r="A279" s="837">
        <v>271.0</v>
      </c>
      <c r="B279" s="838" t="s">
        <v>123</v>
      </c>
      <c r="C279" s="838" t="s">
        <v>123</v>
      </c>
      <c r="D279" s="839" t="s">
        <v>123</v>
      </c>
      <c r="E279" s="839" t="s">
        <v>123</v>
      </c>
      <c r="F279" s="839" t="s">
        <v>123</v>
      </c>
      <c r="H279" s="884"/>
      <c r="I279" s="838"/>
      <c r="J279" s="838"/>
      <c r="K279" s="838"/>
      <c r="L279" s="838"/>
      <c r="M279" s="838"/>
      <c r="N279" s="838"/>
      <c r="O279" s="838"/>
      <c r="P279" s="838"/>
      <c r="Q279" s="838"/>
      <c r="R279" s="838"/>
      <c r="S279" s="838"/>
      <c r="T279" s="838"/>
      <c r="U279" s="838"/>
      <c r="V279" s="838"/>
      <c r="W279" s="838"/>
      <c r="X279" s="838"/>
      <c r="Z279" s="875" t="str">
        <f>IFERROR(__xludf.DUMMYFUNCTION("IF($CR279="""","""",IFERROR(query({CarteirasAtivos},""select Col4 where Col4 is not null and Col1 = '""&amp;$CR279&amp;""' limit 1"")*CU279,""NC""))"),"")</f>
        <v/>
      </c>
      <c r="AA279" s="876" t="str">
        <f>IFERROR(__xludf.DUMMYFUNCTION("IF($CR279="""","""",IFERROR(query({CarteirasAtivos},""select Col6 where Col4 is not null and Col1 = '""&amp;$CR279&amp;""' limit 1""),""NC""))"),"")</f>
        <v/>
      </c>
      <c r="AB279" s="877"/>
      <c r="AC279" s="878" t="s">
        <v>123</v>
      </c>
      <c r="AD279" s="845" t="str">
        <f>IF($CR279="","",IFERROR(VLOOKUP($CR279,ativos.!$C$3:$R308,MATCH("cotacao",ativos.!$C$2:CY$2,0),FALSE)*$CU$5,"atualizar"))</f>
        <v/>
      </c>
      <c r="AE279" s="846" t="str">
        <f>IFERROR(__xludf.DUMMYFUNCTION("IF($CR279="""","""",IFERROR(AVERAGE(query({CarteirasAtivos;CarteirasAtivosEncerrados},""select Col5 where Col5 is not null and Col1 = '""&amp;$CR279&amp;""' and Col10='SIM'""))*CU279,""NC""))"),"")</f>
        <v/>
      </c>
      <c r="AF279" s="847" t="str">
        <f t="shared" si="1"/>
        <v/>
      </c>
      <c r="AG279" s="442"/>
      <c r="AH279" s="848" t="str">
        <f>IFERROR(__xludf.DUMMYFUNCTION("IF($CR279="""","""",IFERROR(GOOGLEFINANCE($CR279,""low52"")*CU279,""-""))"),"")</f>
        <v/>
      </c>
      <c r="AI279" s="848" t="str">
        <f>IFERROR(__xludf.DUMMYFUNCTION("IF($CR279="""","""",IFERROR(GOOGLEFINANCE($CR279,""high52"")*CU279,""-""))"),"")</f>
        <v/>
      </c>
      <c r="AJ279" s="849" t="s">
        <v>123</v>
      </c>
      <c r="AK279" s="850" t="str">
        <f>IFERROR(__xludf.DUMMYFUNCTION("IF($CR279="""","""",IFERROR(GOOGLEFINANCE($CR279,""changepct"")/100,""-""))"),"")</f>
        <v/>
      </c>
      <c r="AL279" s="851" t="str">
        <f>IFERROR(__xludf.DUMMYFUNCTION("IF($CR279="""","""",IFERROR(($AD279/(QUERY(GOOGLEFINANCE($CR279,""price"",TODAY()-7),""SELECT Col2 label Col2 ''"")*$CU279)-1),""-""))"),"")</f>
        <v/>
      </c>
      <c r="AM279" s="851" t="str">
        <f>IFERROR(__xludf.DUMMYFUNCTION("IF($CR279="""","""",IFERROR(($AD279/(QUERY(GOOGLEFINANCE($CR279,""price"",TODAY()-14),""SELECT Col2 label Col2 ''"")*$CU279)-1),""-""))"),"")</f>
        <v/>
      </c>
      <c r="AN279" s="851" t="str">
        <f>IFERROR(__xludf.DUMMYFUNCTION("IF($CR279="""","""",IFERROR(($AD279/(QUERY(GOOGLEFINANCE($CR279,""price"",TODAY()-28),""SELECT Col2 label Col2 ''"")*$CU279)-1),""-""))"),"")</f>
        <v/>
      </c>
      <c r="AO279" s="851" t="str">
        <f>IFERROR(__xludf.DUMMYFUNCTION("IF($CR279="""","""",IFERROR(($AD279/(QUERY(GOOGLEFINANCE($CR279,""price"",TODAY()-$AQ$5),""SELECT Col2 label Col2 ''"")*$CU279)-1),""-""))"),"")</f>
        <v/>
      </c>
      <c r="AP279" s="852" t="str">
        <f>IFERROR(__xludf.DUMMYFUNCTION("IF($CR279="""","""",IFERROR(SPARKLINE(query(GOOGLEFINANCE($CR279,""price"",TODAY()-$AQ$5,TODAY(),1),""select Col2 label Col2 ''""),IF($AP$7=""Gráfico de barras"",{""charttype"",""column"";""highcolor"",""red""},{""chartype"",""line""}))))"),"")</f>
        <v/>
      </c>
      <c r="AQ279" s="144"/>
      <c r="AR279" s="853"/>
      <c r="AS279" s="854" t="str">
        <f>IF($CR279="","",IF(NOT('alocação'!$D$1),"off",IFERROR(VLOOKUP(CR279,BalanceAtivos,3,0),"NC")))</f>
        <v/>
      </c>
      <c r="AT279" s="855" t="str">
        <f>IF($CR279="","",IF(NOT('alocação'!$D$1),"off",IFERROR(VLOOKUP($CR279,BalanceAtivos,4,0)*$CU$5,"NC")))</f>
        <v/>
      </c>
      <c r="AU279" s="856" t="str">
        <f>IF($CR279="","",IF(NOT('alocação'!$D$1),"off",IFERROR(VLOOKUP($CR279,BalanceAtivos,5,0),"-")))</f>
        <v/>
      </c>
      <c r="AV279" s="856" t="str">
        <f>IF($CR279="","",IF(NOT('alocação'!$D$1),"off",IFERROR(VLOOKUP($CR279,BalanceAtivos,6,0),"-")))</f>
        <v/>
      </c>
      <c r="AW279" s="857"/>
      <c r="AX279" s="858" t="str">
        <f>IF($CR279="","",IF($E279="","SP",IFERROR(VLOOKUP($CR279,AtivosDados,MATCH("pm_atual",portfolio.!$A$3:CY$3,0),0)*$CU$5,0)))</f>
        <v/>
      </c>
      <c r="AY279" s="859" t="str">
        <f t="shared" si="2"/>
        <v/>
      </c>
      <c r="AZ279" s="858" t="str">
        <f>IF($CR279="","",IF($E279="","SP",SUMIF(portfolio.!$A$4:$A308,$CR279,portfolio.!$O$4:$O308)*$CU$5))</f>
        <v/>
      </c>
      <c r="BA279" s="858" t="str">
        <f>IF($CR279="","",IF($E279="","SP",SUMIF(portfolio.!$A$4:$A308,$CR279,portfolio.!$AN$4:$AN308)*$CU$5))</f>
        <v/>
      </c>
      <c r="BB279" s="860" t="str">
        <f>IF($CR279="","",IF($E279="","-",IFERROR($BA279/'portfólio'!$DG$63,"")))</f>
        <v/>
      </c>
      <c r="BC279" s="861" t="str">
        <f>IF($CR279="","",IF($E279="","-",SUMIF(portfolio.!$A$4:$A308,$CR279,portfolio.!$J$4:$J308)))</f>
        <v/>
      </c>
      <c r="BD279" s="862" t="str">
        <f>IF($CR279="","",IF($E279="","SP",SUMIF(portfolio.!$A$4:$A308,$CR279,portfolio.!$AQ$4:$AQ308)*$CU$5))</f>
        <v/>
      </c>
      <c r="BE279" s="850" t="str">
        <f t="shared" si="3"/>
        <v/>
      </c>
      <c r="BF279" s="862" t="str">
        <f>IF($CR279="","",IF($E279="","-",SUMIF(portfolio.!$A$4:$A308,$CR279,portfolio.!$AX$4:$AX308)*$CU$5))</f>
        <v/>
      </c>
      <c r="BG279" s="545"/>
      <c r="BH279" s="879" t="s">
        <v>123</v>
      </c>
      <c r="BI279" s="880" t="s">
        <v>123</v>
      </c>
      <c r="BJ279" s="863" t="str">
        <f>IFERROR(__xludf.DUMMYFUNCTION("IF(NOT($BL$4),"""",IF($CR279="""","""",IFERROR(query({GOOGLEFINANCE($CR279,""price"",IF($BI279=""-"",TODAY()-($AQ$5+5),$BI279),TODAY()-1)},""Select max(Col2) where Col1 is not null label max(Col2) ''"")*CU279,""-"")))"),"")</f>
        <v/>
      </c>
      <c r="BK279" s="881" t="s">
        <v>123</v>
      </c>
      <c r="BL279" s="882" t="s">
        <v>123</v>
      </c>
      <c r="BM279" s="442"/>
      <c r="BN279" s="867" t="str">
        <f>IFERROR(__xludf.DUMMYFUNCTION("IF(CR279="""","""",IF(OR(C279=""AÇÃO"",C279=""BDR""),IFERROR(QUERY({fundamentus.!$A$3:$U308},$CX$67&amp;"" where Col1='""&amp;CR279&amp;""' limit 1"",0)),IF(C279=""FII"",IFERROR(QUERY({fundsexplorer.!$A$2:$Z308},$CY$67&amp;"" where Col1='""&amp;CR279&amp;""' limit 1"",0)),""""))"&amp;")"),"")</f>
        <v/>
      </c>
      <c r="BO279" s="867"/>
      <c r="BP279" s="867"/>
      <c r="BQ279" s="867"/>
      <c r="BR279" s="867"/>
      <c r="BS279" s="867"/>
      <c r="BT279" s="867"/>
      <c r="BU279" s="442"/>
      <c r="BV279" s="868" t="str">
        <f>IFERROR(__xludf.DUMMYFUNCTION("IF(OR(C279=""AÇÃO"",C279=""BDR""),IFERROR(GOOGLEFINANCE(CONCAT(""BVMF:"",CR279), ""marketcap"")/1000000,""NC""),"""")"),"")</f>
        <v/>
      </c>
      <c r="BW279" s="869" t="s">
        <v>123</v>
      </c>
      <c r="BX279" s="870" t="s">
        <v>123</v>
      </c>
      <c r="BY279" s="868" t="s">
        <v>123</v>
      </c>
      <c r="BZ279" s="870" t="s">
        <v>123</v>
      </c>
      <c r="CA279" s="868" t="s">
        <v>123</v>
      </c>
      <c r="CB279" s="868" t="s">
        <v>123</v>
      </c>
      <c r="CC279" s="868" t="s">
        <v>123</v>
      </c>
      <c r="CD279" s="868" t="str">
        <f>IFERROR(__xludf.DUMMYFUNCTION("IF(OR(C279=""AÇÃO"",C279=""BDR""),IFERROR(GOOGLEFINANCE(CONCAT(""BVMF:"",CR279), ""volumeavg"")/1000000,""NC""),"""")"),"")</f>
        <v/>
      </c>
      <c r="CE279" s="870" t="s">
        <v>123</v>
      </c>
      <c r="CF279" s="870" t="s">
        <v>123</v>
      </c>
      <c r="CG279" s="870" t="str">
        <f>IFERROR(__xludf.DUMMYFUNCTION("IF(OR(C279=""AÇÃO"",C279=""BDR""),IF(CF279=0,""SEM DY"",IFERROR(ImportXML(CONCAT(""http://www.guiainvest.com.br/raiox/default.aspx?sigla="",$CR279),""//*[@id='lbPayoutAtual']""),""NC"")),"""")"),"")</f>
        <v/>
      </c>
      <c r="CH279" s="870" t="s">
        <v>123</v>
      </c>
      <c r="CI279" s="545"/>
      <c r="CJ279" s="871" t="str">
        <f>IFERROR(__xludf.DUMMYFUNCTION("IF(OR(C279=""AÇÃO"",C279=""BDR""),IFERROR(GOOGLEFINANCE(CONCAT(""BVMF:"",CR279), ""eps""),""NC""),"""")"),"")</f>
        <v/>
      </c>
      <c r="CK279" s="442"/>
      <c r="CL279" s="871" t="str">
        <f>IFERROR(__xludf.DUMMYFUNCTION("IF(NOT($BL$4),"""",IF($CR279="""","""",IF($BC279="""","""",IFERROR(query({op.normal!$B$5:$F308},""select Col5, toDate(Col2) where Col1 =  '""&amp;$CR279&amp;""' and Col4 &gt; 0 and ((Col3 is null) or (Col3 = 'C')) and Col2 &gt;= date '""&amp;TEXT(TODAY()-$AQ$5,""yyyy-mm-dd"&amp;""")&amp;""' order by Col2 desc limit 1 label toDate(Col2) ''"")))))"),"")</f>
        <v/>
      </c>
      <c r="CM279" s="872"/>
      <c r="CN279" s="883" t="s">
        <v>123</v>
      </c>
      <c r="CO279" s="874" t="s">
        <v>123</v>
      </c>
      <c r="CP279" s="766"/>
      <c r="CQ279" s="791"/>
      <c r="CR279" s="791"/>
      <c r="CT279" s="791" t="s">
        <v>123</v>
      </c>
      <c r="CU279" s="791" t="str">
        <f>IFERROR(__xludf.DUMMYFUNCTION("IF(CR279="""","""",IF(CT279=$C$4,1,GOOGLEFINANCE(CT279&amp;$C$4)))"),"")</f>
        <v/>
      </c>
    </row>
    <row r="280" ht="22.5" customHeight="1">
      <c r="A280" s="837">
        <v>272.0</v>
      </c>
      <c r="B280" s="838" t="s">
        <v>123</v>
      </c>
      <c r="C280" s="838" t="s">
        <v>123</v>
      </c>
      <c r="D280" s="839" t="s">
        <v>123</v>
      </c>
      <c r="E280" s="839" t="s">
        <v>123</v>
      </c>
      <c r="F280" s="839" t="s">
        <v>123</v>
      </c>
      <c r="H280" s="884"/>
      <c r="I280" s="838"/>
      <c r="J280" s="838"/>
      <c r="K280" s="838"/>
      <c r="L280" s="838"/>
      <c r="M280" s="838"/>
      <c r="N280" s="838"/>
      <c r="O280" s="838"/>
      <c r="P280" s="838"/>
      <c r="Q280" s="838"/>
      <c r="R280" s="838"/>
      <c r="S280" s="838"/>
      <c r="T280" s="838"/>
      <c r="U280" s="838"/>
      <c r="V280" s="838"/>
      <c r="W280" s="838"/>
      <c r="X280" s="838"/>
      <c r="Z280" s="875" t="str">
        <f>IFERROR(__xludf.DUMMYFUNCTION("IF($CR280="""","""",IFERROR(query({CarteirasAtivos},""select Col4 where Col4 is not null and Col1 = '""&amp;$CR280&amp;""' limit 1"")*CU280,""NC""))"),"")</f>
        <v/>
      </c>
      <c r="AA280" s="876" t="str">
        <f>IFERROR(__xludf.DUMMYFUNCTION("IF($CR280="""","""",IFERROR(query({CarteirasAtivos},""select Col6 where Col4 is not null and Col1 = '""&amp;$CR280&amp;""' limit 1""),""NC""))"),"")</f>
        <v/>
      </c>
      <c r="AB280" s="877"/>
      <c r="AC280" s="878" t="s">
        <v>123</v>
      </c>
      <c r="AD280" s="845" t="str">
        <f>IF($CR280="","",IFERROR(VLOOKUP($CR280,ativos.!$C$3:$R308,MATCH("cotacao",ativos.!$C$2:CY$2,0),FALSE)*$CU$5,"atualizar"))</f>
        <v/>
      </c>
      <c r="AE280" s="846" t="str">
        <f>IFERROR(__xludf.DUMMYFUNCTION("IF($CR280="""","""",IFERROR(AVERAGE(query({CarteirasAtivos;CarteirasAtivosEncerrados},""select Col5 where Col5 is not null and Col1 = '""&amp;$CR280&amp;""' and Col10='SIM'""))*CU280,""NC""))"),"")</f>
        <v/>
      </c>
      <c r="AF280" s="847" t="str">
        <f t="shared" si="1"/>
        <v/>
      </c>
      <c r="AG280" s="442"/>
      <c r="AH280" s="848" t="str">
        <f>IFERROR(__xludf.DUMMYFUNCTION("IF($CR280="""","""",IFERROR(GOOGLEFINANCE($CR280,""low52"")*CU280,""-""))"),"")</f>
        <v/>
      </c>
      <c r="AI280" s="848" t="str">
        <f>IFERROR(__xludf.DUMMYFUNCTION("IF($CR280="""","""",IFERROR(GOOGLEFINANCE($CR280,""high52"")*CU280,""-""))"),"")</f>
        <v/>
      </c>
      <c r="AJ280" s="849" t="s">
        <v>123</v>
      </c>
      <c r="AK280" s="850" t="str">
        <f>IFERROR(__xludf.DUMMYFUNCTION("IF($CR280="""","""",IFERROR(GOOGLEFINANCE($CR280,""changepct"")/100,""-""))"),"")</f>
        <v/>
      </c>
      <c r="AL280" s="851" t="str">
        <f>IFERROR(__xludf.DUMMYFUNCTION("IF($CR280="""","""",IFERROR(($AD280/(QUERY(GOOGLEFINANCE($CR280,""price"",TODAY()-7),""SELECT Col2 label Col2 ''"")*$CU280)-1),""-""))"),"")</f>
        <v/>
      </c>
      <c r="AM280" s="851" t="str">
        <f>IFERROR(__xludf.DUMMYFUNCTION("IF($CR280="""","""",IFERROR(($AD280/(QUERY(GOOGLEFINANCE($CR280,""price"",TODAY()-14),""SELECT Col2 label Col2 ''"")*$CU280)-1),""-""))"),"")</f>
        <v/>
      </c>
      <c r="AN280" s="851" t="str">
        <f>IFERROR(__xludf.DUMMYFUNCTION("IF($CR280="""","""",IFERROR(($AD280/(QUERY(GOOGLEFINANCE($CR280,""price"",TODAY()-28),""SELECT Col2 label Col2 ''"")*$CU280)-1),""-""))"),"")</f>
        <v/>
      </c>
      <c r="AO280" s="851" t="str">
        <f>IFERROR(__xludf.DUMMYFUNCTION("IF($CR280="""","""",IFERROR(($AD280/(QUERY(GOOGLEFINANCE($CR280,""price"",TODAY()-$AQ$5),""SELECT Col2 label Col2 ''"")*$CU280)-1),""-""))"),"")</f>
        <v/>
      </c>
      <c r="AP280" s="852" t="str">
        <f>IFERROR(__xludf.DUMMYFUNCTION("IF($CR280="""","""",IFERROR(SPARKLINE(query(GOOGLEFINANCE($CR280,""price"",TODAY()-$AQ$5,TODAY(),1),""select Col2 label Col2 ''""),IF($AP$7=""Gráfico de barras"",{""charttype"",""column"";""highcolor"",""red""},{""chartype"",""line""}))))"),"")</f>
        <v/>
      </c>
      <c r="AQ280" s="144"/>
      <c r="AR280" s="853"/>
      <c r="AS280" s="854" t="str">
        <f>IF($CR280="","",IF(NOT('alocação'!$D$1),"off",IFERROR(VLOOKUP(CR280,BalanceAtivos,3,0),"NC")))</f>
        <v/>
      </c>
      <c r="AT280" s="855" t="str">
        <f>IF($CR280="","",IF(NOT('alocação'!$D$1),"off",IFERROR(VLOOKUP($CR280,BalanceAtivos,4,0)*$CU$5,"NC")))</f>
        <v/>
      </c>
      <c r="AU280" s="856" t="str">
        <f>IF($CR280="","",IF(NOT('alocação'!$D$1),"off",IFERROR(VLOOKUP($CR280,BalanceAtivos,5,0),"-")))</f>
        <v/>
      </c>
      <c r="AV280" s="856" t="str">
        <f>IF($CR280="","",IF(NOT('alocação'!$D$1),"off",IFERROR(VLOOKUP($CR280,BalanceAtivos,6,0),"-")))</f>
        <v/>
      </c>
      <c r="AW280" s="857"/>
      <c r="AX280" s="858" t="str">
        <f>IF($CR280="","",IF($E280="","SP",IFERROR(VLOOKUP($CR280,AtivosDados,MATCH("pm_atual",portfolio.!$A$3:CY$3,0),0)*$CU$5,0)))</f>
        <v/>
      </c>
      <c r="AY280" s="859" t="str">
        <f t="shared" si="2"/>
        <v/>
      </c>
      <c r="AZ280" s="858" t="str">
        <f>IF($CR280="","",IF($E280="","SP",SUMIF(portfolio.!$A$4:$A308,$CR280,portfolio.!$O$4:$O308)*$CU$5))</f>
        <v/>
      </c>
      <c r="BA280" s="858" t="str">
        <f>IF($CR280="","",IF($E280="","SP",SUMIF(portfolio.!$A$4:$A308,$CR280,portfolio.!$AN$4:$AN308)*$CU$5))</f>
        <v/>
      </c>
      <c r="BB280" s="860" t="str">
        <f>IF($CR280="","",IF($E280="","-",IFERROR($BA280/'portfólio'!$DG$63,"")))</f>
        <v/>
      </c>
      <c r="BC280" s="861" t="str">
        <f>IF($CR280="","",IF($E280="","-",SUMIF(portfolio.!$A$4:$A308,$CR280,portfolio.!$J$4:$J308)))</f>
        <v/>
      </c>
      <c r="BD280" s="862" t="str">
        <f>IF($CR280="","",IF($E280="","SP",SUMIF(portfolio.!$A$4:$A308,$CR280,portfolio.!$AQ$4:$AQ308)*$CU$5))</f>
        <v/>
      </c>
      <c r="BE280" s="850" t="str">
        <f t="shared" si="3"/>
        <v/>
      </c>
      <c r="BF280" s="862" t="str">
        <f>IF($CR280="","",IF($E280="","-",SUMIF(portfolio.!$A$4:$A308,$CR280,portfolio.!$AX$4:$AX308)*$CU$5))</f>
        <v/>
      </c>
      <c r="BG280" s="545"/>
      <c r="BH280" s="879" t="s">
        <v>123</v>
      </c>
      <c r="BI280" s="880" t="s">
        <v>123</v>
      </c>
      <c r="BJ280" s="863" t="str">
        <f>IFERROR(__xludf.DUMMYFUNCTION("IF(NOT($BL$4),"""",IF($CR280="""","""",IFERROR(query({GOOGLEFINANCE($CR280,""price"",IF($BI280=""-"",TODAY()-($AQ$5+5),$BI280),TODAY()-1)},""Select max(Col2) where Col1 is not null label max(Col2) ''"")*CU280,""-"")))"),"")</f>
        <v/>
      </c>
      <c r="BK280" s="881" t="s">
        <v>123</v>
      </c>
      <c r="BL280" s="882" t="s">
        <v>123</v>
      </c>
      <c r="BM280" s="442"/>
      <c r="BN280" s="867" t="str">
        <f>IFERROR(__xludf.DUMMYFUNCTION("IF(CR280="""","""",IF(OR(C280=""AÇÃO"",C280=""BDR""),IFERROR(QUERY({fundamentus.!$A$3:$U308},$CX$67&amp;"" where Col1='""&amp;CR280&amp;""' limit 1"",0)),IF(C280=""FII"",IFERROR(QUERY({fundsexplorer.!$A$2:$Z308},$CY$67&amp;"" where Col1='""&amp;CR280&amp;""' limit 1"",0)),""""))"&amp;")"),"")</f>
        <v/>
      </c>
      <c r="BO280" s="867"/>
      <c r="BP280" s="867"/>
      <c r="BQ280" s="867"/>
      <c r="BR280" s="867"/>
      <c r="BS280" s="867"/>
      <c r="BT280" s="867"/>
      <c r="BU280" s="442"/>
      <c r="BV280" s="868" t="str">
        <f>IFERROR(__xludf.DUMMYFUNCTION("IF(OR(C280=""AÇÃO"",C280=""BDR""),IFERROR(GOOGLEFINANCE(CONCAT(""BVMF:"",CR280), ""marketcap"")/1000000,""NC""),"""")"),"")</f>
        <v/>
      </c>
      <c r="BW280" s="869" t="s">
        <v>123</v>
      </c>
      <c r="BX280" s="870" t="s">
        <v>123</v>
      </c>
      <c r="BY280" s="868" t="s">
        <v>123</v>
      </c>
      <c r="BZ280" s="870" t="s">
        <v>123</v>
      </c>
      <c r="CA280" s="868" t="s">
        <v>123</v>
      </c>
      <c r="CB280" s="868" t="s">
        <v>123</v>
      </c>
      <c r="CC280" s="868" t="s">
        <v>123</v>
      </c>
      <c r="CD280" s="868" t="str">
        <f>IFERROR(__xludf.DUMMYFUNCTION("IF(OR(C280=""AÇÃO"",C280=""BDR""),IFERROR(GOOGLEFINANCE(CONCAT(""BVMF:"",CR280), ""volumeavg"")/1000000,""NC""),"""")"),"")</f>
        <v/>
      </c>
      <c r="CE280" s="870" t="s">
        <v>123</v>
      </c>
      <c r="CF280" s="870" t="s">
        <v>123</v>
      </c>
      <c r="CG280" s="870" t="str">
        <f>IFERROR(__xludf.DUMMYFUNCTION("IF(OR(C280=""AÇÃO"",C280=""BDR""),IF(CF280=0,""SEM DY"",IFERROR(ImportXML(CONCAT(""http://www.guiainvest.com.br/raiox/default.aspx?sigla="",$CR280),""//*[@id='lbPayoutAtual']""),""NC"")),"""")"),"")</f>
        <v/>
      </c>
      <c r="CH280" s="870" t="s">
        <v>123</v>
      </c>
      <c r="CI280" s="545"/>
      <c r="CJ280" s="871" t="str">
        <f>IFERROR(__xludf.DUMMYFUNCTION("IF(OR(C280=""AÇÃO"",C280=""BDR""),IFERROR(GOOGLEFINANCE(CONCAT(""BVMF:"",CR280), ""eps""),""NC""),"""")"),"")</f>
        <v/>
      </c>
      <c r="CK280" s="442"/>
      <c r="CL280" s="871" t="str">
        <f>IFERROR(__xludf.DUMMYFUNCTION("IF(NOT($BL$4),"""",IF($CR280="""","""",IF($BC280="""","""",IFERROR(query({op.normal!$B$5:$F308},""select Col5, toDate(Col2) where Col1 =  '""&amp;$CR280&amp;""' and Col4 &gt; 0 and ((Col3 is null) or (Col3 = 'C')) and Col2 &gt;= date '""&amp;TEXT(TODAY()-$AQ$5,""yyyy-mm-dd"&amp;""")&amp;""' order by Col2 desc limit 1 label toDate(Col2) ''"")))))"),"")</f>
        <v/>
      </c>
      <c r="CM280" s="872"/>
      <c r="CN280" s="883" t="s">
        <v>123</v>
      </c>
      <c r="CO280" s="874" t="s">
        <v>123</v>
      </c>
      <c r="CP280" s="766"/>
      <c r="CQ280" s="791"/>
      <c r="CR280" s="791"/>
      <c r="CT280" s="791" t="s">
        <v>123</v>
      </c>
      <c r="CU280" s="791" t="str">
        <f>IFERROR(__xludf.DUMMYFUNCTION("IF(CR280="""","""",IF(CT280=$C$4,1,GOOGLEFINANCE(CT280&amp;$C$4)))"),"")</f>
        <v/>
      </c>
    </row>
    <row r="281" ht="22.5" customHeight="1">
      <c r="A281" s="837">
        <v>273.0</v>
      </c>
      <c r="B281" s="838" t="s">
        <v>123</v>
      </c>
      <c r="C281" s="838" t="s">
        <v>123</v>
      </c>
      <c r="D281" s="839" t="s">
        <v>123</v>
      </c>
      <c r="E281" s="839" t="s">
        <v>123</v>
      </c>
      <c r="F281" s="839" t="s">
        <v>123</v>
      </c>
      <c r="H281" s="884"/>
      <c r="I281" s="838"/>
      <c r="J281" s="838"/>
      <c r="K281" s="838"/>
      <c r="L281" s="838"/>
      <c r="M281" s="838"/>
      <c r="N281" s="838"/>
      <c r="O281" s="838"/>
      <c r="P281" s="838"/>
      <c r="Q281" s="838"/>
      <c r="R281" s="838"/>
      <c r="S281" s="838"/>
      <c r="T281" s="838"/>
      <c r="U281" s="838"/>
      <c r="V281" s="838"/>
      <c r="W281" s="838"/>
      <c r="X281" s="838"/>
      <c r="Z281" s="875" t="str">
        <f>IFERROR(__xludf.DUMMYFUNCTION("IF($CR281="""","""",IFERROR(query({CarteirasAtivos},""select Col4 where Col4 is not null and Col1 = '""&amp;$CR281&amp;""' limit 1"")*CU281,""NC""))"),"")</f>
        <v/>
      </c>
      <c r="AA281" s="876" t="str">
        <f>IFERROR(__xludf.DUMMYFUNCTION("IF($CR281="""","""",IFERROR(query({CarteirasAtivos},""select Col6 where Col4 is not null and Col1 = '""&amp;$CR281&amp;""' limit 1""),""NC""))"),"")</f>
        <v/>
      </c>
      <c r="AB281" s="877"/>
      <c r="AC281" s="878" t="s">
        <v>123</v>
      </c>
      <c r="AD281" s="845" t="str">
        <f>IF($CR281="","",IFERROR(VLOOKUP($CR281,ativos.!$C$3:$R308,MATCH("cotacao",ativos.!$C$2:CY$2,0),FALSE)*$CU$5,"atualizar"))</f>
        <v/>
      </c>
      <c r="AE281" s="846" t="str">
        <f>IFERROR(__xludf.DUMMYFUNCTION("IF($CR281="""","""",IFERROR(AVERAGE(query({CarteirasAtivos;CarteirasAtivosEncerrados},""select Col5 where Col5 is not null and Col1 = '""&amp;$CR281&amp;""' and Col10='SIM'""))*CU281,""NC""))"),"")</f>
        <v/>
      </c>
      <c r="AF281" s="847" t="str">
        <f t="shared" si="1"/>
        <v/>
      </c>
      <c r="AG281" s="442"/>
      <c r="AH281" s="848" t="str">
        <f>IFERROR(__xludf.DUMMYFUNCTION("IF($CR281="""","""",IFERROR(GOOGLEFINANCE($CR281,""low52"")*CU281,""-""))"),"")</f>
        <v/>
      </c>
      <c r="AI281" s="848" t="str">
        <f>IFERROR(__xludf.DUMMYFUNCTION("IF($CR281="""","""",IFERROR(GOOGLEFINANCE($CR281,""high52"")*CU281,""-""))"),"")</f>
        <v/>
      </c>
      <c r="AJ281" s="849" t="s">
        <v>123</v>
      </c>
      <c r="AK281" s="850" t="str">
        <f>IFERROR(__xludf.DUMMYFUNCTION("IF($CR281="""","""",IFERROR(GOOGLEFINANCE($CR281,""changepct"")/100,""-""))"),"")</f>
        <v/>
      </c>
      <c r="AL281" s="851" t="str">
        <f>IFERROR(__xludf.DUMMYFUNCTION("IF($CR281="""","""",IFERROR(($AD281/(QUERY(GOOGLEFINANCE($CR281,""price"",TODAY()-7),""SELECT Col2 label Col2 ''"")*$CU281)-1),""-""))"),"")</f>
        <v/>
      </c>
      <c r="AM281" s="851" t="str">
        <f>IFERROR(__xludf.DUMMYFUNCTION("IF($CR281="""","""",IFERROR(($AD281/(QUERY(GOOGLEFINANCE($CR281,""price"",TODAY()-14),""SELECT Col2 label Col2 ''"")*$CU281)-1),""-""))"),"")</f>
        <v/>
      </c>
      <c r="AN281" s="851" t="str">
        <f>IFERROR(__xludf.DUMMYFUNCTION("IF($CR281="""","""",IFERROR(($AD281/(QUERY(GOOGLEFINANCE($CR281,""price"",TODAY()-28),""SELECT Col2 label Col2 ''"")*$CU281)-1),""-""))"),"")</f>
        <v/>
      </c>
      <c r="AO281" s="851" t="str">
        <f>IFERROR(__xludf.DUMMYFUNCTION("IF($CR281="""","""",IFERROR(($AD281/(QUERY(GOOGLEFINANCE($CR281,""price"",TODAY()-$AQ$5),""SELECT Col2 label Col2 ''"")*$CU281)-1),""-""))"),"")</f>
        <v/>
      </c>
      <c r="AP281" s="852" t="str">
        <f>IFERROR(__xludf.DUMMYFUNCTION("IF($CR281="""","""",IFERROR(SPARKLINE(query(GOOGLEFINANCE($CR281,""price"",TODAY()-$AQ$5,TODAY(),1),""select Col2 label Col2 ''""),IF($AP$7=""Gráfico de barras"",{""charttype"",""column"";""highcolor"",""red""},{""chartype"",""line""}))))"),"")</f>
        <v/>
      </c>
      <c r="AQ281" s="144"/>
      <c r="AR281" s="853"/>
      <c r="AS281" s="854" t="str">
        <f>IF($CR281="","",IF(NOT('alocação'!$D$1),"off",IFERROR(VLOOKUP(CR281,BalanceAtivos,3,0),"NC")))</f>
        <v/>
      </c>
      <c r="AT281" s="855" t="str">
        <f>IF($CR281="","",IF(NOT('alocação'!$D$1),"off",IFERROR(VLOOKUP($CR281,BalanceAtivos,4,0)*$CU$5,"NC")))</f>
        <v/>
      </c>
      <c r="AU281" s="856" t="str">
        <f>IF($CR281="","",IF(NOT('alocação'!$D$1),"off",IFERROR(VLOOKUP($CR281,BalanceAtivos,5,0),"-")))</f>
        <v/>
      </c>
      <c r="AV281" s="856" t="str">
        <f>IF($CR281="","",IF(NOT('alocação'!$D$1),"off",IFERROR(VLOOKUP($CR281,BalanceAtivos,6,0),"-")))</f>
        <v/>
      </c>
      <c r="AW281" s="857"/>
      <c r="AX281" s="858" t="str">
        <f>IF($CR281="","",IF($E281="","SP",IFERROR(VLOOKUP($CR281,AtivosDados,MATCH("pm_atual",portfolio.!$A$3:CY$3,0),0)*$CU$5,0)))</f>
        <v/>
      </c>
      <c r="AY281" s="859" t="str">
        <f t="shared" si="2"/>
        <v/>
      </c>
      <c r="AZ281" s="858" t="str">
        <f>IF($CR281="","",IF($E281="","SP",SUMIF(portfolio.!$A$4:$A308,$CR281,portfolio.!$O$4:$O308)*$CU$5))</f>
        <v/>
      </c>
      <c r="BA281" s="858" t="str">
        <f>IF($CR281="","",IF($E281="","SP",SUMIF(portfolio.!$A$4:$A308,$CR281,portfolio.!$AN$4:$AN308)*$CU$5))</f>
        <v/>
      </c>
      <c r="BB281" s="860" t="str">
        <f>IF($CR281="","",IF($E281="","-",IFERROR($BA281/'portfólio'!$DG$63,"")))</f>
        <v/>
      </c>
      <c r="BC281" s="861" t="str">
        <f>IF($CR281="","",IF($E281="","-",SUMIF(portfolio.!$A$4:$A308,$CR281,portfolio.!$J$4:$J308)))</f>
        <v/>
      </c>
      <c r="BD281" s="862" t="str">
        <f>IF($CR281="","",IF($E281="","SP",SUMIF(portfolio.!$A$4:$A308,$CR281,portfolio.!$AQ$4:$AQ308)*$CU$5))</f>
        <v/>
      </c>
      <c r="BE281" s="850" t="str">
        <f t="shared" si="3"/>
        <v/>
      </c>
      <c r="BF281" s="862" t="str">
        <f>IF($CR281="","",IF($E281="","-",SUMIF(portfolio.!$A$4:$A308,$CR281,portfolio.!$AX$4:$AX308)*$CU$5))</f>
        <v/>
      </c>
      <c r="BG281" s="545"/>
      <c r="BH281" s="879" t="s">
        <v>123</v>
      </c>
      <c r="BI281" s="880" t="s">
        <v>123</v>
      </c>
      <c r="BJ281" s="863" t="str">
        <f>IFERROR(__xludf.DUMMYFUNCTION("IF(NOT($BL$4),"""",IF($CR281="""","""",IFERROR(query({GOOGLEFINANCE($CR281,""price"",IF($BI281=""-"",TODAY()-($AQ$5+5),$BI281),TODAY()-1)},""Select max(Col2) where Col1 is not null label max(Col2) ''"")*CU281,""-"")))"),"")</f>
        <v/>
      </c>
      <c r="BK281" s="881" t="s">
        <v>123</v>
      </c>
      <c r="BL281" s="882" t="s">
        <v>123</v>
      </c>
      <c r="BM281" s="442"/>
      <c r="BN281" s="867" t="str">
        <f>IFERROR(__xludf.DUMMYFUNCTION("IF(CR281="""","""",IF(OR(C281=""AÇÃO"",C281=""BDR""),IFERROR(QUERY({fundamentus.!$A$3:$U308},$CX$67&amp;"" where Col1='""&amp;CR281&amp;""' limit 1"",0)),IF(C281=""FII"",IFERROR(QUERY({fundsexplorer.!$A$2:$Z308},$CY$67&amp;"" where Col1='""&amp;CR281&amp;""' limit 1"",0)),""""))"&amp;")"),"")</f>
        <v/>
      </c>
      <c r="BO281" s="867"/>
      <c r="BP281" s="867"/>
      <c r="BQ281" s="867"/>
      <c r="BR281" s="867"/>
      <c r="BS281" s="867"/>
      <c r="BT281" s="867"/>
      <c r="BU281" s="442"/>
      <c r="BV281" s="868" t="str">
        <f>IFERROR(__xludf.DUMMYFUNCTION("IF(OR(C281=""AÇÃO"",C281=""BDR""),IFERROR(GOOGLEFINANCE(CONCAT(""BVMF:"",CR281), ""marketcap"")/1000000,""NC""),"""")"),"")</f>
        <v/>
      </c>
      <c r="BW281" s="869" t="s">
        <v>123</v>
      </c>
      <c r="BX281" s="870" t="s">
        <v>123</v>
      </c>
      <c r="BY281" s="868" t="s">
        <v>123</v>
      </c>
      <c r="BZ281" s="870" t="s">
        <v>123</v>
      </c>
      <c r="CA281" s="868" t="s">
        <v>123</v>
      </c>
      <c r="CB281" s="868" t="s">
        <v>123</v>
      </c>
      <c r="CC281" s="868" t="s">
        <v>123</v>
      </c>
      <c r="CD281" s="868" t="str">
        <f>IFERROR(__xludf.DUMMYFUNCTION("IF(OR(C281=""AÇÃO"",C281=""BDR""),IFERROR(GOOGLEFINANCE(CONCAT(""BVMF:"",CR281), ""volumeavg"")/1000000,""NC""),"""")"),"")</f>
        <v/>
      </c>
      <c r="CE281" s="870" t="s">
        <v>123</v>
      </c>
      <c r="CF281" s="870" t="s">
        <v>123</v>
      </c>
      <c r="CG281" s="870" t="str">
        <f>IFERROR(__xludf.DUMMYFUNCTION("IF(OR(C281=""AÇÃO"",C281=""BDR""),IF(CF281=0,""SEM DY"",IFERROR(ImportXML(CONCAT(""http://www.guiainvest.com.br/raiox/default.aspx?sigla="",$CR281),""//*[@id='lbPayoutAtual']""),""NC"")),"""")"),"")</f>
        <v/>
      </c>
      <c r="CH281" s="870" t="s">
        <v>123</v>
      </c>
      <c r="CI281" s="545"/>
      <c r="CJ281" s="871" t="str">
        <f>IFERROR(__xludf.DUMMYFUNCTION("IF(OR(C281=""AÇÃO"",C281=""BDR""),IFERROR(GOOGLEFINANCE(CONCAT(""BVMF:"",CR281), ""eps""),""NC""),"""")"),"")</f>
        <v/>
      </c>
      <c r="CK281" s="442"/>
      <c r="CL281" s="871" t="str">
        <f>IFERROR(__xludf.DUMMYFUNCTION("IF(NOT($BL$4),"""",IF($CR281="""","""",IF($BC281="""","""",IFERROR(query({op.normal!$B$5:$F308},""select Col5, toDate(Col2) where Col1 =  '""&amp;$CR281&amp;""' and Col4 &gt; 0 and ((Col3 is null) or (Col3 = 'C')) and Col2 &gt;= date '""&amp;TEXT(TODAY()-$AQ$5,""yyyy-mm-dd"&amp;""")&amp;""' order by Col2 desc limit 1 label toDate(Col2) ''"")))))"),"")</f>
        <v/>
      </c>
      <c r="CM281" s="872"/>
      <c r="CN281" s="883" t="s">
        <v>123</v>
      </c>
      <c r="CO281" s="874" t="s">
        <v>123</v>
      </c>
      <c r="CP281" s="766"/>
      <c r="CQ281" s="791"/>
      <c r="CR281" s="791"/>
      <c r="CT281" s="791" t="s">
        <v>123</v>
      </c>
      <c r="CU281" s="791" t="str">
        <f>IFERROR(__xludf.DUMMYFUNCTION("IF(CR281="""","""",IF(CT281=$C$4,1,GOOGLEFINANCE(CT281&amp;$C$4)))"),"")</f>
        <v/>
      </c>
    </row>
    <row r="282" ht="22.5" customHeight="1">
      <c r="A282" s="837">
        <v>274.0</v>
      </c>
      <c r="B282" s="838" t="s">
        <v>123</v>
      </c>
      <c r="C282" s="838" t="s">
        <v>123</v>
      </c>
      <c r="D282" s="839" t="s">
        <v>123</v>
      </c>
      <c r="E282" s="839" t="s">
        <v>123</v>
      </c>
      <c r="F282" s="839" t="s">
        <v>123</v>
      </c>
      <c r="H282" s="884"/>
      <c r="I282" s="838"/>
      <c r="J282" s="838"/>
      <c r="K282" s="838"/>
      <c r="L282" s="838"/>
      <c r="M282" s="838"/>
      <c r="N282" s="838"/>
      <c r="O282" s="838"/>
      <c r="P282" s="838"/>
      <c r="Q282" s="838"/>
      <c r="R282" s="838"/>
      <c r="S282" s="838"/>
      <c r="T282" s="838"/>
      <c r="U282" s="838"/>
      <c r="V282" s="838"/>
      <c r="W282" s="838"/>
      <c r="X282" s="838"/>
      <c r="Z282" s="875" t="str">
        <f>IFERROR(__xludf.DUMMYFUNCTION("IF($CR282="""","""",IFERROR(query({CarteirasAtivos},""select Col4 where Col4 is not null and Col1 = '""&amp;$CR282&amp;""' limit 1"")*CU282,""NC""))"),"")</f>
        <v/>
      </c>
      <c r="AA282" s="876" t="str">
        <f>IFERROR(__xludf.DUMMYFUNCTION("IF($CR282="""","""",IFERROR(query({CarteirasAtivos},""select Col6 where Col4 is not null and Col1 = '""&amp;$CR282&amp;""' limit 1""),""NC""))"),"")</f>
        <v/>
      </c>
      <c r="AB282" s="877"/>
      <c r="AC282" s="878" t="s">
        <v>123</v>
      </c>
      <c r="AD282" s="845" t="str">
        <f>IF($CR282="","",IFERROR(VLOOKUP($CR282,ativos.!$C$3:$R308,MATCH("cotacao",ativos.!$C$2:CY$2,0),FALSE)*$CU$5,"atualizar"))</f>
        <v/>
      </c>
      <c r="AE282" s="846" t="str">
        <f>IFERROR(__xludf.DUMMYFUNCTION("IF($CR282="""","""",IFERROR(AVERAGE(query({CarteirasAtivos;CarteirasAtivosEncerrados},""select Col5 where Col5 is not null and Col1 = '""&amp;$CR282&amp;""' and Col10='SIM'""))*CU282,""NC""))"),"")</f>
        <v/>
      </c>
      <c r="AF282" s="847" t="str">
        <f t="shared" si="1"/>
        <v/>
      </c>
      <c r="AG282" s="442"/>
      <c r="AH282" s="848" t="str">
        <f>IFERROR(__xludf.DUMMYFUNCTION("IF($CR282="""","""",IFERROR(GOOGLEFINANCE($CR282,""low52"")*CU282,""-""))"),"")</f>
        <v/>
      </c>
      <c r="AI282" s="848" t="str">
        <f>IFERROR(__xludf.DUMMYFUNCTION("IF($CR282="""","""",IFERROR(GOOGLEFINANCE($CR282,""high52"")*CU282,""-""))"),"")</f>
        <v/>
      </c>
      <c r="AJ282" s="849" t="s">
        <v>123</v>
      </c>
      <c r="AK282" s="850" t="str">
        <f>IFERROR(__xludf.DUMMYFUNCTION("IF($CR282="""","""",IFERROR(GOOGLEFINANCE($CR282,""changepct"")/100,""-""))"),"")</f>
        <v/>
      </c>
      <c r="AL282" s="851" t="str">
        <f>IFERROR(__xludf.DUMMYFUNCTION("IF($CR282="""","""",IFERROR(($AD282/(QUERY(GOOGLEFINANCE($CR282,""price"",TODAY()-7),""SELECT Col2 label Col2 ''"")*$CU282)-1),""-""))"),"")</f>
        <v/>
      </c>
      <c r="AM282" s="851" t="str">
        <f>IFERROR(__xludf.DUMMYFUNCTION("IF($CR282="""","""",IFERROR(($AD282/(QUERY(GOOGLEFINANCE($CR282,""price"",TODAY()-14),""SELECT Col2 label Col2 ''"")*$CU282)-1),""-""))"),"")</f>
        <v/>
      </c>
      <c r="AN282" s="851" t="str">
        <f>IFERROR(__xludf.DUMMYFUNCTION("IF($CR282="""","""",IFERROR(($AD282/(QUERY(GOOGLEFINANCE($CR282,""price"",TODAY()-28),""SELECT Col2 label Col2 ''"")*$CU282)-1),""-""))"),"")</f>
        <v/>
      </c>
      <c r="AO282" s="851" t="str">
        <f>IFERROR(__xludf.DUMMYFUNCTION("IF($CR282="""","""",IFERROR(($AD282/(QUERY(GOOGLEFINANCE($CR282,""price"",TODAY()-$AQ$5),""SELECT Col2 label Col2 ''"")*$CU282)-1),""-""))"),"")</f>
        <v/>
      </c>
      <c r="AP282" s="852" t="str">
        <f>IFERROR(__xludf.DUMMYFUNCTION("IF($CR282="""","""",IFERROR(SPARKLINE(query(GOOGLEFINANCE($CR282,""price"",TODAY()-$AQ$5,TODAY(),1),""select Col2 label Col2 ''""),IF($AP$7=""Gráfico de barras"",{""charttype"",""column"";""highcolor"",""red""},{""chartype"",""line""}))))"),"")</f>
        <v/>
      </c>
      <c r="AQ282" s="144"/>
      <c r="AR282" s="853"/>
      <c r="AS282" s="854" t="str">
        <f>IF($CR282="","",IF(NOT('alocação'!$D$1),"off",IFERROR(VLOOKUP(CR282,BalanceAtivos,3,0),"NC")))</f>
        <v/>
      </c>
      <c r="AT282" s="855" t="str">
        <f>IF($CR282="","",IF(NOT('alocação'!$D$1),"off",IFERROR(VLOOKUP($CR282,BalanceAtivos,4,0)*$CU$5,"NC")))</f>
        <v/>
      </c>
      <c r="AU282" s="856" t="str">
        <f>IF($CR282="","",IF(NOT('alocação'!$D$1),"off",IFERROR(VLOOKUP($CR282,BalanceAtivos,5,0),"-")))</f>
        <v/>
      </c>
      <c r="AV282" s="856" t="str">
        <f>IF($CR282="","",IF(NOT('alocação'!$D$1),"off",IFERROR(VLOOKUP($CR282,BalanceAtivos,6,0),"-")))</f>
        <v/>
      </c>
      <c r="AW282" s="857"/>
      <c r="AX282" s="858" t="str">
        <f>IF($CR282="","",IF($E282="","SP",IFERROR(VLOOKUP($CR282,AtivosDados,MATCH("pm_atual",portfolio.!$A$3:CY$3,0),0)*$CU$5,0)))</f>
        <v/>
      </c>
      <c r="AY282" s="859" t="str">
        <f t="shared" si="2"/>
        <v/>
      </c>
      <c r="AZ282" s="858" t="str">
        <f>IF($CR282="","",IF($E282="","SP",SUMIF(portfolio.!$A$4:$A308,$CR282,portfolio.!$O$4:$O308)*$CU$5))</f>
        <v/>
      </c>
      <c r="BA282" s="858" t="str">
        <f>IF($CR282="","",IF($E282="","SP",SUMIF(portfolio.!$A$4:$A308,$CR282,portfolio.!$AN$4:$AN308)*$CU$5))</f>
        <v/>
      </c>
      <c r="BB282" s="860" t="str">
        <f>IF($CR282="","",IF($E282="","-",IFERROR($BA282/'portfólio'!$DG$63,"")))</f>
        <v/>
      </c>
      <c r="BC282" s="861" t="str">
        <f>IF($CR282="","",IF($E282="","-",SUMIF(portfolio.!$A$4:$A308,$CR282,portfolio.!$J$4:$J308)))</f>
        <v/>
      </c>
      <c r="BD282" s="862" t="str">
        <f>IF($CR282="","",IF($E282="","SP",SUMIF(portfolio.!$A$4:$A308,$CR282,portfolio.!$AQ$4:$AQ308)*$CU$5))</f>
        <v/>
      </c>
      <c r="BE282" s="850" t="str">
        <f t="shared" si="3"/>
        <v/>
      </c>
      <c r="BF282" s="862" t="str">
        <f>IF($CR282="","",IF($E282="","-",SUMIF(portfolio.!$A$4:$A308,$CR282,portfolio.!$AX$4:$AX308)*$CU$5))</f>
        <v/>
      </c>
      <c r="BG282" s="545"/>
      <c r="BH282" s="879" t="s">
        <v>123</v>
      </c>
      <c r="BI282" s="880" t="s">
        <v>123</v>
      </c>
      <c r="BJ282" s="863" t="str">
        <f>IFERROR(__xludf.DUMMYFUNCTION("IF(NOT($BL$4),"""",IF($CR282="""","""",IFERROR(query({GOOGLEFINANCE($CR282,""price"",IF($BI282=""-"",TODAY()-($AQ$5+5),$BI282),TODAY()-1)},""Select max(Col2) where Col1 is not null label max(Col2) ''"")*CU282,""-"")))"),"")</f>
        <v/>
      </c>
      <c r="BK282" s="881" t="s">
        <v>123</v>
      </c>
      <c r="BL282" s="882" t="s">
        <v>123</v>
      </c>
      <c r="BM282" s="442"/>
      <c r="BN282" s="867" t="str">
        <f>IFERROR(__xludf.DUMMYFUNCTION("IF(CR282="""","""",IF(OR(C282=""AÇÃO"",C282=""BDR""),IFERROR(QUERY({fundamentus.!$A$3:$U308},$CX$67&amp;"" where Col1='""&amp;CR282&amp;""' limit 1"",0)),IF(C282=""FII"",IFERROR(QUERY({fundsexplorer.!$A$2:$Z308},$CY$67&amp;"" where Col1='""&amp;CR282&amp;""' limit 1"",0)),""""))"&amp;")"),"")</f>
        <v/>
      </c>
      <c r="BO282" s="867"/>
      <c r="BP282" s="867"/>
      <c r="BQ282" s="867"/>
      <c r="BR282" s="867"/>
      <c r="BS282" s="867"/>
      <c r="BT282" s="867"/>
      <c r="BU282" s="442"/>
      <c r="BV282" s="868" t="str">
        <f>IFERROR(__xludf.DUMMYFUNCTION("IF(OR(C282=""AÇÃO"",C282=""BDR""),IFERROR(GOOGLEFINANCE(CONCAT(""BVMF:"",CR282), ""marketcap"")/1000000,""NC""),"""")"),"")</f>
        <v/>
      </c>
      <c r="BW282" s="869" t="s">
        <v>123</v>
      </c>
      <c r="BX282" s="870" t="s">
        <v>123</v>
      </c>
      <c r="BY282" s="868" t="s">
        <v>123</v>
      </c>
      <c r="BZ282" s="870" t="s">
        <v>123</v>
      </c>
      <c r="CA282" s="868" t="s">
        <v>123</v>
      </c>
      <c r="CB282" s="868" t="s">
        <v>123</v>
      </c>
      <c r="CC282" s="868" t="s">
        <v>123</v>
      </c>
      <c r="CD282" s="868" t="str">
        <f>IFERROR(__xludf.DUMMYFUNCTION("IF(OR(C282=""AÇÃO"",C282=""BDR""),IFERROR(GOOGLEFINANCE(CONCAT(""BVMF:"",CR282), ""volumeavg"")/1000000,""NC""),"""")"),"")</f>
        <v/>
      </c>
      <c r="CE282" s="870" t="s">
        <v>123</v>
      </c>
      <c r="CF282" s="870" t="s">
        <v>123</v>
      </c>
      <c r="CG282" s="870" t="str">
        <f>IFERROR(__xludf.DUMMYFUNCTION("IF(OR(C282=""AÇÃO"",C282=""BDR""),IF(CF282=0,""SEM DY"",IFERROR(ImportXML(CONCAT(""http://www.guiainvest.com.br/raiox/default.aspx?sigla="",$CR282),""//*[@id='lbPayoutAtual']""),""NC"")),"""")"),"")</f>
        <v/>
      </c>
      <c r="CH282" s="870" t="s">
        <v>123</v>
      </c>
      <c r="CI282" s="545"/>
      <c r="CJ282" s="871" t="str">
        <f>IFERROR(__xludf.DUMMYFUNCTION("IF(OR(C282=""AÇÃO"",C282=""BDR""),IFERROR(GOOGLEFINANCE(CONCAT(""BVMF:"",CR282), ""eps""),""NC""),"""")"),"")</f>
        <v/>
      </c>
      <c r="CK282" s="442"/>
      <c r="CL282" s="871" t="str">
        <f>IFERROR(__xludf.DUMMYFUNCTION("IF(NOT($BL$4),"""",IF($CR282="""","""",IF($BC282="""","""",IFERROR(query({op.normal!$B$5:$F308},""select Col5, toDate(Col2) where Col1 =  '""&amp;$CR282&amp;""' and Col4 &gt; 0 and ((Col3 is null) or (Col3 = 'C')) and Col2 &gt;= date '""&amp;TEXT(TODAY()-$AQ$5,""yyyy-mm-dd"&amp;""")&amp;""' order by Col2 desc limit 1 label toDate(Col2) ''"")))))"),"")</f>
        <v/>
      </c>
      <c r="CM282" s="872"/>
      <c r="CN282" s="883" t="s">
        <v>123</v>
      </c>
      <c r="CO282" s="874" t="s">
        <v>123</v>
      </c>
      <c r="CP282" s="766"/>
      <c r="CQ282" s="791"/>
      <c r="CR282" s="791"/>
      <c r="CT282" s="791" t="s">
        <v>123</v>
      </c>
      <c r="CU282" s="791" t="str">
        <f>IFERROR(__xludf.DUMMYFUNCTION("IF(CR282="""","""",IF(CT282=$C$4,1,GOOGLEFINANCE(CT282&amp;$C$4)))"),"")</f>
        <v/>
      </c>
    </row>
    <row r="283" ht="22.5" customHeight="1">
      <c r="A283" s="837">
        <v>275.0</v>
      </c>
      <c r="B283" s="838" t="s">
        <v>123</v>
      </c>
      <c r="C283" s="838" t="s">
        <v>123</v>
      </c>
      <c r="D283" s="839" t="s">
        <v>123</v>
      </c>
      <c r="E283" s="839" t="s">
        <v>123</v>
      </c>
      <c r="F283" s="839" t="s">
        <v>123</v>
      </c>
      <c r="H283" s="884"/>
      <c r="I283" s="838"/>
      <c r="J283" s="838"/>
      <c r="K283" s="838"/>
      <c r="L283" s="838"/>
      <c r="M283" s="838"/>
      <c r="N283" s="838"/>
      <c r="O283" s="838"/>
      <c r="P283" s="838"/>
      <c r="Q283" s="838"/>
      <c r="R283" s="838"/>
      <c r="S283" s="838"/>
      <c r="T283" s="838"/>
      <c r="U283" s="838"/>
      <c r="V283" s="838"/>
      <c r="W283" s="838"/>
      <c r="X283" s="838"/>
      <c r="Z283" s="875" t="str">
        <f>IFERROR(__xludf.DUMMYFUNCTION("IF($CR283="""","""",IFERROR(query({CarteirasAtivos},""select Col4 where Col4 is not null and Col1 = '""&amp;$CR283&amp;""' limit 1"")*CU283,""NC""))"),"")</f>
        <v/>
      </c>
      <c r="AA283" s="876" t="str">
        <f>IFERROR(__xludf.DUMMYFUNCTION("IF($CR283="""","""",IFERROR(query({CarteirasAtivos},""select Col6 where Col4 is not null and Col1 = '""&amp;$CR283&amp;""' limit 1""),""NC""))"),"")</f>
        <v/>
      </c>
      <c r="AB283" s="877"/>
      <c r="AC283" s="878" t="s">
        <v>123</v>
      </c>
      <c r="AD283" s="845" t="str">
        <f>IF($CR283="","",IFERROR(VLOOKUP($CR283,ativos.!$C$3:$R308,MATCH("cotacao",ativos.!$C$2:CY$2,0),FALSE)*$CU$5,"atualizar"))</f>
        <v/>
      </c>
      <c r="AE283" s="846" t="str">
        <f>IFERROR(__xludf.DUMMYFUNCTION("IF($CR283="""","""",IFERROR(AVERAGE(query({CarteirasAtivos;CarteirasAtivosEncerrados},""select Col5 where Col5 is not null and Col1 = '""&amp;$CR283&amp;""' and Col10='SIM'""))*CU283,""NC""))"),"")</f>
        <v/>
      </c>
      <c r="AF283" s="847" t="str">
        <f t="shared" si="1"/>
        <v/>
      </c>
      <c r="AG283" s="442"/>
      <c r="AH283" s="848" t="str">
        <f>IFERROR(__xludf.DUMMYFUNCTION("IF($CR283="""","""",IFERROR(GOOGLEFINANCE($CR283,""low52"")*CU283,""-""))"),"")</f>
        <v/>
      </c>
      <c r="AI283" s="848" t="str">
        <f>IFERROR(__xludf.DUMMYFUNCTION("IF($CR283="""","""",IFERROR(GOOGLEFINANCE($CR283,""high52"")*CU283,""-""))"),"")</f>
        <v/>
      </c>
      <c r="AJ283" s="849" t="s">
        <v>123</v>
      </c>
      <c r="AK283" s="850" t="str">
        <f>IFERROR(__xludf.DUMMYFUNCTION("IF($CR283="""","""",IFERROR(GOOGLEFINANCE($CR283,""changepct"")/100,""-""))"),"")</f>
        <v/>
      </c>
      <c r="AL283" s="851" t="str">
        <f>IFERROR(__xludf.DUMMYFUNCTION("IF($CR283="""","""",IFERROR(($AD283/(QUERY(GOOGLEFINANCE($CR283,""price"",TODAY()-7),""SELECT Col2 label Col2 ''"")*$CU283)-1),""-""))"),"")</f>
        <v/>
      </c>
      <c r="AM283" s="851" t="str">
        <f>IFERROR(__xludf.DUMMYFUNCTION("IF($CR283="""","""",IFERROR(($AD283/(QUERY(GOOGLEFINANCE($CR283,""price"",TODAY()-14),""SELECT Col2 label Col2 ''"")*$CU283)-1),""-""))"),"")</f>
        <v/>
      </c>
      <c r="AN283" s="851" t="str">
        <f>IFERROR(__xludf.DUMMYFUNCTION("IF($CR283="""","""",IFERROR(($AD283/(QUERY(GOOGLEFINANCE($CR283,""price"",TODAY()-28),""SELECT Col2 label Col2 ''"")*$CU283)-1),""-""))"),"")</f>
        <v/>
      </c>
      <c r="AO283" s="851" t="str">
        <f>IFERROR(__xludf.DUMMYFUNCTION("IF($CR283="""","""",IFERROR(($AD283/(QUERY(GOOGLEFINANCE($CR283,""price"",TODAY()-$AQ$5),""SELECT Col2 label Col2 ''"")*$CU283)-1),""-""))"),"")</f>
        <v/>
      </c>
      <c r="AP283" s="852" t="str">
        <f>IFERROR(__xludf.DUMMYFUNCTION("IF($CR283="""","""",IFERROR(SPARKLINE(query(GOOGLEFINANCE($CR283,""price"",TODAY()-$AQ$5,TODAY(),1),""select Col2 label Col2 ''""),IF($AP$7=""Gráfico de barras"",{""charttype"",""column"";""highcolor"",""red""},{""chartype"",""line""}))))"),"")</f>
        <v/>
      </c>
      <c r="AQ283" s="144"/>
      <c r="AR283" s="853"/>
      <c r="AS283" s="854" t="str">
        <f>IF($CR283="","",IF(NOT('alocação'!$D$1),"off",IFERROR(VLOOKUP(CR283,BalanceAtivos,3,0),"NC")))</f>
        <v/>
      </c>
      <c r="AT283" s="855" t="str">
        <f>IF($CR283="","",IF(NOT('alocação'!$D$1),"off",IFERROR(VLOOKUP($CR283,BalanceAtivos,4,0)*$CU$5,"NC")))</f>
        <v/>
      </c>
      <c r="AU283" s="856" t="str">
        <f>IF($CR283="","",IF(NOT('alocação'!$D$1),"off",IFERROR(VLOOKUP($CR283,BalanceAtivos,5,0),"-")))</f>
        <v/>
      </c>
      <c r="AV283" s="856" t="str">
        <f>IF($CR283="","",IF(NOT('alocação'!$D$1),"off",IFERROR(VLOOKUP($CR283,BalanceAtivos,6,0),"-")))</f>
        <v/>
      </c>
      <c r="AW283" s="857"/>
      <c r="AX283" s="858" t="str">
        <f>IF($CR283="","",IF($E283="","SP",IFERROR(VLOOKUP($CR283,AtivosDados,MATCH("pm_atual",portfolio.!$A$3:CY$3,0),0)*$CU$5,0)))</f>
        <v/>
      </c>
      <c r="AY283" s="859" t="str">
        <f t="shared" si="2"/>
        <v/>
      </c>
      <c r="AZ283" s="858" t="str">
        <f>IF($CR283="","",IF($E283="","SP",SUMIF(portfolio.!$A$4:$A308,$CR283,portfolio.!$O$4:$O308)*$CU$5))</f>
        <v/>
      </c>
      <c r="BA283" s="858" t="str">
        <f>IF($CR283="","",IF($E283="","SP",SUMIF(portfolio.!$A$4:$A308,$CR283,portfolio.!$AN$4:$AN308)*$CU$5))</f>
        <v/>
      </c>
      <c r="BB283" s="860" t="str">
        <f>IF($CR283="","",IF($E283="","-",IFERROR($BA283/'portfólio'!$DG$63,"")))</f>
        <v/>
      </c>
      <c r="BC283" s="861" t="str">
        <f>IF($CR283="","",IF($E283="","-",SUMIF(portfolio.!$A$4:$A308,$CR283,portfolio.!$J$4:$J308)))</f>
        <v/>
      </c>
      <c r="BD283" s="862" t="str">
        <f>IF($CR283="","",IF($E283="","SP",SUMIF(portfolio.!$A$4:$A308,$CR283,portfolio.!$AQ$4:$AQ308)*$CU$5))</f>
        <v/>
      </c>
      <c r="BE283" s="850" t="str">
        <f t="shared" si="3"/>
        <v/>
      </c>
      <c r="BF283" s="862" t="str">
        <f>IF($CR283="","",IF($E283="","-",SUMIF(portfolio.!$A$4:$A308,$CR283,portfolio.!$AX$4:$AX308)*$CU$5))</f>
        <v/>
      </c>
      <c r="BG283" s="545"/>
      <c r="BH283" s="879" t="s">
        <v>123</v>
      </c>
      <c r="BI283" s="880" t="s">
        <v>123</v>
      </c>
      <c r="BJ283" s="863" t="str">
        <f>IFERROR(__xludf.DUMMYFUNCTION("IF(NOT($BL$4),"""",IF($CR283="""","""",IFERROR(query({GOOGLEFINANCE($CR283,""price"",IF($BI283=""-"",TODAY()-($AQ$5+5),$BI283),TODAY()-1)},""Select max(Col2) where Col1 is not null label max(Col2) ''"")*CU283,""-"")))"),"")</f>
        <v/>
      </c>
      <c r="BK283" s="881" t="s">
        <v>123</v>
      </c>
      <c r="BL283" s="882" t="s">
        <v>123</v>
      </c>
      <c r="BM283" s="442"/>
      <c r="BN283" s="867" t="str">
        <f>IFERROR(__xludf.DUMMYFUNCTION("IF(CR283="""","""",IF(OR(C283=""AÇÃO"",C283=""BDR""),IFERROR(QUERY({fundamentus.!$A$3:$U308},$CX$67&amp;"" where Col1='""&amp;CR283&amp;""' limit 1"",0)),IF(C283=""FII"",IFERROR(QUERY({fundsexplorer.!$A$2:$Z308},$CY$67&amp;"" where Col1='""&amp;CR283&amp;""' limit 1"",0)),""""))"&amp;")"),"")</f>
        <v/>
      </c>
      <c r="BO283" s="867"/>
      <c r="BP283" s="867"/>
      <c r="BQ283" s="867"/>
      <c r="BR283" s="867"/>
      <c r="BS283" s="867"/>
      <c r="BT283" s="867"/>
      <c r="BU283" s="442"/>
      <c r="BV283" s="868" t="str">
        <f>IFERROR(__xludf.DUMMYFUNCTION("IF(OR(C283=""AÇÃO"",C283=""BDR""),IFERROR(GOOGLEFINANCE(CONCAT(""BVMF:"",CR283), ""marketcap"")/1000000,""NC""),"""")"),"")</f>
        <v/>
      </c>
      <c r="BW283" s="869" t="s">
        <v>123</v>
      </c>
      <c r="BX283" s="870" t="s">
        <v>123</v>
      </c>
      <c r="BY283" s="868" t="s">
        <v>123</v>
      </c>
      <c r="BZ283" s="870" t="s">
        <v>123</v>
      </c>
      <c r="CA283" s="868" t="s">
        <v>123</v>
      </c>
      <c r="CB283" s="868" t="s">
        <v>123</v>
      </c>
      <c r="CC283" s="868" t="s">
        <v>123</v>
      </c>
      <c r="CD283" s="868" t="str">
        <f>IFERROR(__xludf.DUMMYFUNCTION("IF(OR(C283=""AÇÃO"",C283=""BDR""),IFERROR(GOOGLEFINANCE(CONCAT(""BVMF:"",CR283), ""volumeavg"")/1000000,""NC""),"""")"),"")</f>
        <v/>
      </c>
      <c r="CE283" s="870" t="s">
        <v>123</v>
      </c>
      <c r="CF283" s="870" t="s">
        <v>123</v>
      </c>
      <c r="CG283" s="870" t="str">
        <f>IFERROR(__xludf.DUMMYFUNCTION("IF(OR(C283=""AÇÃO"",C283=""BDR""),IF(CF283=0,""SEM DY"",IFERROR(ImportXML(CONCAT(""http://www.guiainvest.com.br/raiox/default.aspx?sigla="",$CR283),""//*[@id='lbPayoutAtual']""),""NC"")),"""")"),"")</f>
        <v/>
      </c>
      <c r="CH283" s="870" t="s">
        <v>123</v>
      </c>
      <c r="CI283" s="545"/>
      <c r="CJ283" s="871" t="str">
        <f>IFERROR(__xludf.DUMMYFUNCTION("IF(OR(C283=""AÇÃO"",C283=""BDR""),IFERROR(GOOGLEFINANCE(CONCAT(""BVMF:"",CR283), ""eps""),""NC""),"""")"),"")</f>
        <v/>
      </c>
      <c r="CK283" s="442"/>
      <c r="CL283" s="871" t="str">
        <f>IFERROR(__xludf.DUMMYFUNCTION("IF(NOT($BL$4),"""",IF($CR283="""","""",IF($BC283="""","""",IFERROR(query({op.normal!$B$5:$F308},""select Col5, toDate(Col2) where Col1 =  '""&amp;$CR283&amp;""' and Col4 &gt; 0 and ((Col3 is null) or (Col3 = 'C')) and Col2 &gt;= date '""&amp;TEXT(TODAY()-$AQ$5,""yyyy-mm-dd"&amp;""")&amp;""' order by Col2 desc limit 1 label toDate(Col2) ''"")))))"),"")</f>
        <v/>
      </c>
      <c r="CM283" s="872"/>
      <c r="CN283" s="883" t="s">
        <v>123</v>
      </c>
      <c r="CO283" s="874" t="s">
        <v>123</v>
      </c>
      <c r="CP283" s="766"/>
      <c r="CQ283" s="791"/>
      <c r="CR283" s="791"/>
      <c r="CT283" s="791" t="s">
        <v>123</v>
      </c>
      <c r="CU283" s="791" t="str">
        <f>IFERROR(__xludf.DUMMYFUNCTION("IF(CR283="""","""",IF(CT283=$C$4,1,GOOGLEFINANCE(CT283&amp;$C$4)))"),"")</f>
        <v/>
      </c>
    </row>
    <row r="284" ht="22.5" customHeight="1">
      <c r="A284" s="837">
        <v>276.0</v>
      </c>
      <c r="B284" s="838" t="s">
        <v>123</v>
      </c>
      <c r="C284" s="838" t="s">
        <v>123</v>
      </c>
      <c r="D284" s="839" t="s">
        <v>123</v>
      </c>
      <c r="E284" s="839" t="s">
        <v>123</v>
      </c>
      <c r="F284" s="839" t="s">
        <v>123</v>
      </c>
      <c r="H284" s="884"/>
      <c r="I284" s="838"/>
      <c r="J284" s="838"/>
      <c r="K284" s="838"/>
      <c r="L284" s="838"/>
      <c r="M284" s="838"/>
      <c r="N284" s="838"/>
      <c r="O284" s="838"/>
      <c r="P284" s="838"/>
      <c r="Q284" s="838"/>
      <c r="R284" s="838"/>
      <c r="S284" s="838"/>
      <c r="T284" s="838"/>
      <c r="U284" s="838"/>
      <c r="V284" s="838"/>
      <c r="W284" s="838"/>
      <c r="X284" s="838"/>
      <c r="Z284" s="875" t="str">
        <f>IFERROR(__xludf.DUMMYFUNCTION("IF($CR284="""","""",IFERROR(query({CarteirasAtivos},""select Col4 where Col4 is not null and Col1 = '""&amp;$CR284&amp;""' limit 1"")*CU284,""NC""))"),"")</f>
        <v/>
      </c>
      <c r="AA284" s="876" t="str">
        <f>IFERROR(__xludf.DUMMYFUNCTION("IF($CR284="""","""",IFERROR(query({CarteirasAtivos},""select Col6 where Col4 is not null and Col1 = '""&amp;$CR284&amp;""' limit 1""),""NC""))"),"")</f>
        <v/>
      </c>
      <c r="AB284" s="877"/>
      <c r="AC284" s="878" t="s">
        <v>123</v>
      </c>
      <c r="AD284" s="845" t="str">
        <f>IF($CR284="","",IFERROR(VLOOKUP($CR284,ativos.!$C$3:$R308,MATCH("cotacao",ativos.!$C$2:CY$2,0),FALSE)*$CU$5,"atualizar"))</f>
        <v/>
      </c>
      <c r="AE284" s="846" t="str">
        <f>IFERROR(__xludf.DUMMYFUNCTION("IF($CR284="""","""",IFERROR(AVERAGE(query({CarteirasAtivos;CarteirasAtivosEncerrados},""select Col5 where Col5 is not null and Col1 = '""&amp;$CR284&amp;""' and Col10='SIM'""))*CU284,""NC""))"),"")</f>
        <v/>
      </c>
      <c r="AF284" s="847" t="str">
        <f t="shared" si="1"/>
        <v/>
      </c>
      <c r="AG284" s="442"/>
      <c r="AH284" s="848" t="str">
        <f>IFERROR(__xludf.DUMMYFUNCTION("IF($CR284="""","""",IFERROR(GOOGLEFINANCE($CR284,""low52"")*CU284,""-""))"),"")</f>
        <v/>
      </c>
      <c r="AI284" s="848" t="str">
        <f>IFERROR(__xludf.DUMMYFUNCTION("IF($CR284="""","""",IFERROR(GOOGLEFINANCE($CR284,""high52"")*CU284,""-""))"),"")</f>
        <v/>
      </c>
      <c r="AJ284" s="849" t="s">
        <v>123</v>
      </c>
      <c r="AK284" s="850" t="str">
        <f>IFERROR(__xludf.DUMMYFUNCTION("IF($CR284="""","""",IFERROR(GOOGLEFINANCE($CR284,""changepct"")/100,""-""))"),"")</f>
        <v/>
      </c>
      <c r="AL284" s="851" t="str">
        <f>IFERROR(__xludf.DUMMYFUNCTION("IF($CR284="""","""",IFERROR(($AD284/(QUERY(GOOGLEFINANCE($CR284,""price"",TODAY()-7),""SELECT Col2 label Col2 ''"")*$CU284)-1),""-""))"),"")</f>
        <v/>
      </c>
      <c r="AM284" s="851" t="str">
        <f>IFERROR(__xludf.DUMMYFUNCTION("IF($CR284="""","""",IFERROR(($AD284/(QUERY(GOOGLEFINANCE($CR284,""price"",TODAY()-14),""SELECT Col2 label Col2 ''"")*$CU284)-1),""-""))"),"")</f>
        <v/>
      </c>
      <c r="AN284" s="851" t="str">
        <f>IFERROR(__xludf.DUMMYFUNCTION("IF($CR284="""","""",IFERROR(($AD284/(QUERY(GOOGLEFINANCE($CR284,""price"",TODAY()-28),""SELECT Col2 label Col2 ''"")*$CU284)-1),""-""))"),"")</f>
        <v/>
      </c>
      <c r="AO284" s="851" t="str">
        <f>IFERROR(__xludf.DUMMYFUNCTION("IF($CR284="""","""",IFERROR(($AD284/(QUERY(GOOGLEFINANCE($CR284,""price"",TODAY()-$AQ$5),""SELECT Col2 label Col2 ''"")*$CU284)-1),""-""))"),"")</f>
        <v/>
      </c>
      <c r="AP284" s="852" t="str">
        <f>IFERROR(__xludf.DUMMYFUNCTION("IF($CR284="""","""",IFERROR(SPARKLINE(query(GOOGLEFINANCE($CR284,""price"",TODAY()-$AQ$5,TODAY(),1),""select Col2 label Col2 ''""),IF($AP$7=""Gráfico de barras"",{""charttype"",""column"";""highcolor"",""red""},{""chartype"",""line""}))))"),"")</f>
        <v/>
      </c>
      <c r="AQ284" s="144"/>
      <c r="AR284" s="853"/>
      <c r="AS284" s="854" t="str">
        <f>IF($CR284="","",IF(NOT('alocação'!$D$1),"off",IFERROR(VLOOKUP(CR284,BalanceAtivos,3,0),"NC")))</f>
        <v/>
      </c>
      <c r="AT284" s="855" t="str">
        <f>IF($CR284="","",IF(NOT('alocação'!$D$1),"off",IFERROR(VLOOKUP($CR284,BalanceAtivos,4,0)*$CU$5,"NC")))</f>
        <v/>
      </c>
      <c r="AU284" s="856" t="str">
        <f>IF($CR284="","",IF(NOT('alocação'!$D$1),"off",IFERROR(VLOOKUP($CR284,BalanceAtivos,5,0),"-")))</f>
        <v/>
      </c>
      <c r="AV284" s="856" t="str">
        <f>IF($CR284="","",IF(NOT('alocação'!$D$1),"off",IFERROR(VLOOKUP($CR284,BalanceAtivos,6,0),"-")))</f>
        <v/>
      </c>
      <c r="AW284" s="857"/>
      <c r="AX284" s="858" t="str">
        <f>IF($CR284="","",IF($E284="","SP",IFERROR(VLOOKUP($CR284,AtivosDados,MATCH("pm_atual",portfolio.!$A$3:CY$3,0),0)*$CU$5,0)))</f>
        <v/>
      </c>
      <c r="AY284" s="859" t="str">
        <f t="shared" si="2"/>
        <v/>
      </c>
      <c r="AZ284" s="858" t="str">
        <f>IF($CR284="","",IF($E284="","SP",SUMIF(portfolio.!$A$4:$A308,$CR284,portfolio.!$O$4:$O308)*$CU$5))</f>
        <v/>
      </c>
      <c r="BA284" s="858" t="str">
        <f>IF($CR284="","",IF($E284="","SP",SUMIF(portfolio.!$A$4:$A308,$CR284,portfolio.!$AN$4:$AN308)*$CU$5))</f>
        <v/>
      </c>
      <c r="BB284" s="860" t="str">
        <f>IF($CR284="","",IF($E284="","-",IFERROR($BA284/'portfólio'!$DG$63,"")))</f>
        <v/>
      </c>
      <c r="BC284" s="861" t="str">
        <f>IF($CR284="","",IF($E284="","-",SUMIF(portfolio.!$A$4:$A308,$CR284,portfolio.!$J$4:$J308)))</f>
        <v/>
      </c>
      <c r="BD284" s="862" t="str">
        <f>IF($CR284="","",IF($E284="","SP",SUMIF(portfolio.!$A$4:$A308,$CR284,portfolio.!$AQ$4:$AQ308)*$CU$5))</f>
        <v/>
      </c>
      <c r="BE284" s="850" t="str">
        <f t="shared" si="3"/>
        <v/>
      </c>
      <c r="BF284" s="862" t="str">
        <f>IF($CR284="","",IF($E284="","-",SUMIF(portfolio.!$A$4:$A308,$CR284,portfolio.!$AX$4:$AX308)*$CU$5))</f>
        <v/>
      </c>
      <c r="BG284" s="545"/>
      <c r="BH284" s="879" t="s">
        <v>123</v>
      </c>
      <c r="BI284" s="880" t="s">
        <v>123</v>
      </c>
      <c r="BJ284" s="863" t="str">
        <f>IFERROR(__xludf.DUMMYFUNCTION("IF(NOT($BL$4),"""",IF($CR284="""","""",IFERROR(query({GOOGLEFINANCE($CR284,""price"",IF($BI284=""-"",TODAY()-($AQ$5+5),$BI284),TODAY()-1)},""Select max(Col2) where Col1 is not null label max(Col2) ''"")*CU284,""-"")))"),"")</f>
        <v/>
      </c>
      <c r="BK284" s="881" t="s">
        <v>123</v>
      </c>
      <c r="BL284" s="882" t="s">
        <v>123</v>
      </c>
      <c r="BM284" s="442"/>
      <c r="BN284" s="867" t="str">
        <f>IFERROR(__xludf.DUMMYFUNCTION("IF(CR284="""","""",IF(OR(C284=""AÇÃO"",C284=""BDR""),IFERROR(QUERY({fundamentus.!$A$3:$U308},$CX$67&amp;"" where Col1='""&amp;CR284&amp;""' limit 1"",0)),IF(C284=""FII"",IFERROR(QUERY({fundsexplorer.!$A$2:$Z308},$CY$67&amp;"" where Col1='""&amp;CR284&amp;""' limit 1"",0)),""""))"&amp;")"),"")</f>
        <v/>
      </c>
      <c r="BO284" s="867"/>
      <c r="BP284" s="867"/>
      <c r="BQ284" s="867"/>
      <c r="BR284" s="867"/>
      <c r="BS284" s="867"/>
      <c r="BT284" s="867"/>
      <c r="BU284" s="442"/>
      <c r="BV284" s="868" t="str">
        <f>IFERROR(__xludf.DUMMYFUNCTION("IF(OR(C284=""AÇÃO"",C284=""BDR""),IFERROR(GOOGLEFINANCE(CONCAT(""BVMF:"",CR284), ""marketcap"")/1000000,""NC""),"""")"),"")</f>
        <v/>
      </c>
      <c r="BW284" s="869" t="s">
        <v>123</v>
      </c>
      <c r="BX284" s="870" t="s">
        <v>123</v>
      </c>
      <c r="BY284" s="868" t="s">
        <v>123</v>
      </c>
      <c r="BZ284" s="870" t="s">
        <v>123</v>
      </c>
      <c r="CA284" s="868" t="s">
        <v>123</v>
      </c>
      <c r="CB284" s="868" t="s">
        <v>123</v>
      </c>
      <c r="CC284" s="868" t="s">
        <v>123</v>
      </c>
      <c r="CD284" s="868" t="str">
        <f>IFERROR(__xludf.DUMMYFUNCTION("IF(OR(C284=""AÇÃO"",C284=""BDR""),IFERROR(GOOGLEFINANCE(CONCAT(""BVMF:"",CR284), ""volumeavg"")/1000000,""NC""),"""")"),"")</f>
        <v/>
      </c>
      <c r="CE284" s="870" t="s">
        <v>123</v>
      </c>
      <c r="CF284" s="870" t="s">
        <v>123</v>
      </c>
      <c r="CG284" s="870" t="str">
        <f>IFERROR(__xludf.DUMMYFUNCTION("IF(OR(C284=""AÇÃO"",C284=""BDR""),IF(CF284=0,""SEM DY"",IFERROR(ImportXML(CONCAT(""http://www.guiainvest.com.br/raiox/default.aspx?sigla="",$CR284),""//*[@id='lbPayoutAtual']""),""NC"")),"""")"),"")</f>
        <v/>
      </c>
      <c r="CH284" s="870" t="s">
        <v>123</v>
      </c>
      <c r="CI284" s="545"/>
      <c r="CJ284" s="871" t="str">
        <f>IFERROR(__xludf.DUMMYFUNCTION("IF(OR(C284=""AÇÃO"",C284=""BDR""),IFERROR(GOOGLEFINANCE(CONCAT(""BVMF:"",CR284), ""eps""),""NC""),"""")"),"")</f>
        <v/>
      </c>
      <c r="CK284" s="442"/>
      <c r="CL284" s="871" t="str">
        <f>IFERROR(__xludf.DUMMYFUNCTION("IF(NOT($BL$4),"""",IF($CR284="""","""",IF($BC284="""","""",IFERROR(query({op.normal!$B$5:$F308},""select Col5, toDate(Col2) where Col1 =  '""&amp;$CR284&amp;""' and Col4 &gt; 0 and ((Col3 is null) or (Col3 = 'C')) and Col2 &gt;= date '""&amp;TEXT(TODAY()-$AQ$5,""yyyy-mm-dd"&amp;""")&amp;""' order by Col2 desc limit 1 label toDate(Col2) ''"")))))"),"")</f>
        <v/>
      </c>
      <c r="CM284" s="872"/>
      <c r="CN284" s="883" t="s">
        <v>123</v>
      </c>
      <c r="CO284" s="874" t="s">
        <v>123</v>
      </c>
      <c r="CP284" s="766"/>
      <c r="CQ284" s="791"/>
      <c r="CR284" s="791"/>
      <c r="CT284" s="791" t="s">
        <v>123</v>
      </c>
      <c r="CU284" s="791" t="str">
        <f>IFERROR(__xludf.DUMMYFUNCTION("IF(CR284="""","""",IF(CT284=$C$4,1,GOOGLEFINANCE(CT284&amp;$C$4)))"),"")</f>
        <v/>
      </c>
    </row>
    <row r="285" ht="22.5" customHeight="1">
      <c r="A285" s="837">
        <v>277.0</v>
      </c>
      <c r="B285" s="838" t="s">
        <v>123</v>
      </c>
      <c r="C285" s="838" t="s">
        <v>123</v>
      </c>
      <c r="D285" s="839" t="s">
        <v>123</v>
      </c>
      <c r="E285" s="839" t="s">
        <v>123</v>
      </c>
      <c r="F285" s="839" t="s">
        <v>123</v>
      </c>
      <c r="H285" s="884"/>
      <c r="I285" s="838"/>
      <c r="J285" s="838"/>
      <c r="K285" s="838"/>
      <c r="L285" s="838"/>
      <c r="M285" s="838"/>
      <c r="N285" s="838"/>
      <c r="O285" s="838"/>
      <c r="P285" s="838"/>
      <c r="Q285" s="838"/>
      <c r="R285" s="838"/>
      <c r="S285" s="838"/>
      <c r="T285" s="838"/>
      <c r="U285" s="838"/>
      <c r="V285" s="838"/>
      <c r="W285" s="838"/>
      <c r="X285" s="838"/>
      <c r="Z285" s="875" t="str">
        <f>IFERROR(__xludf.DUMMYFUNCTION("IF($CR285="""","""",IFERROR(query({CarteirasAtivos},""select Col4 where Col4 is not null and Col1 = '""&amp;$CR285&amp;""' limit 1"")*CU285,""NC""))"),"")</f>
        <v/>
      </c>
      <c r="AA285" s="876" t="str">
        <f>IFERROR(__xludf.DUMMYFUNCTION("IF($CR285="""","""",IFERROR(query({CarteirasAtivos},""select Col6 where Col4 is not null and Col1 = '""&amp;$CR285&amp;""' limit 1""),""NC""))"),"")</f>
        <v/>
      </c>
      <c r="AB285" s="877"/>
      <c r="AC285" s="878" t="s">
        <v>123</v>
      </c>
      <c r="AD285" s="845" t="str">
        <f>IF($CR285="","",IFERROR(VLOOKUP($CR285,ativos.!$C$3:$R308,MATCH("cotacao",ativos.!$C$2:CY$2,0),FALSE)*$CU$5,"atualizar"))</f>
        <v/>
      </c>
      <c r="AE285" s="846" t="str">
        <f>IFERROR(__xludf.DUMMYFUNCTION("IF($CR285="""","""",IFERROR(AVERAGE(query({CarteirasAtivos;CarteirasAtivosEncerrados},""select Col5 where Col5 is not null and Col1 = '""&amp;$CR285&amp;""' and Col10='SIM'""))*CU285,""NC""))"),"")</f>
        <v/>
      </c>
      <c r="AF285" s="847" t="str">
        <f t="shared" si="1"/>
        <v/>
      </c>
      <c r="AG285" s="442"/>
      <c r="AH285" s="848" t="str">
        <f>IFERROR(__xludf.DUMMYFUNCTION("IF($CR285="""","""",IFERROR(GOOGLEFINANCE($CR285,""low52"")*CU285,""-""))"),"")</f>
        <v/>
      </c>
      <c r="AI285" s="848" t="str">
        <f>IFERROR(__xludf.DUMMYFUNCTION("IF($CR285="""","""",IFERROR(GOOGLEFINANCE($CR285,""high52"")*CU285,""-""))"),"")</f>
        <v/>
      </c>
      <c r="AJ285" s="849" t="s">
        <v>123</v>
      </c>
      <c r="AK285" s="850" t="str">
        <f>IFERROR(__xludf.DUMMYFUNCTION("IF($CR285="""","""",IFERROR(GOOGLEFINANCE($CR285,""changepct"")/100,""-""))"),"")</f>
        <v/>
      </c>
      <c r="AL285" s="851" t="str">
        <f>IFERROR(__xludf.DUMMYFUNCTION("IF($CR285="""","""",IFERROR(($AD285/(QUERY(GOOGLEFINANCE($CR285,""price"",TODAY()-7),""SELECT Col2 label Col2 ''"")*$CU285)-1),""-""))"),"")</f>
        <v/>
      </c>
      <c r="AM285" s="851" t="str">
        <f>IFERROR(__xludf.DUMMYFUNCTION("IF($CR285="""","""",IFERROR(($AD285/(QUERY(GOOGLEFINANCE($CR285,""price"",TODAY()-14),""SELECT Col2 label Col2 ''"")*$CU285)-1),""-""))"),"")</f>
        <v/>
      </c>
      <c r="AN285" s="851" t="str">
        <f>IFERROR(__xludf.DUMMYFUNCTION("IF($CR285="""","""",IFERROR(($AD285/(QUERY(GOOGLEFINANCE($CR285,""price"",TODAY()-28),""SELECT Col2 label Col2 ''"")*$CU285)-1),""-""))"),"")</f>
        <v/>
      </c>
      <c r="AO285" s="851" t="str">
        <f>IFERROR(__xludf.DUMMYFUNCTION("IF($CR285="""","""",IFERROR(($AD285/(QUERY(GOOGLEFINANCE($CR285,""price"",TODAY()-$AQ$5),""SELECT Col2 label Col2 ''"")*$CU285)-1),""-""))"),"")</f>
        <v/>
      </c>
      <c r="AP285" s="852" t="str">
        <f>IFERROR(__xludf.DUMMYFUNCTION("IF($CR285="""","""",IFERROR(SPARKLINE(query(GOOGLEFINANCE($CR285,""price"",TODAY()-$AQ$5,TODAY(),1),""select Col2 label Col2 ''""),IF($AP$7=""Gráfico de barras"",{""charttype"",""column"";""highcolor"",""red""},{""chartype"",""line""}))))"),"")</f>
        <v/>
      </c>
      <c r="AQ285" s="144"/>
      <c r="AR285" s="853"/>
      <c r="AS285" s="854" t="str">
        <f>IF($CR285="","",IF(NOT('alocação'!$D$1),"off",IFERROR(VLOOKUP(CR285,BalanceAtivos,3,0),"NC")))</f>
        <v/>
      </c>
      <c r="AT285" s="855" t="str">
        <f>IF($CR285="","",IF(NOT('alocação'!$D$1),"off",IFERROR(VLOOKUP($CR285,BalanceAtivos,4,0)*$CU$5,"NC")))</f>
        <v/>
      </c>
      <c r="AU285" s="856" t="str">
        <f>IF($CR285="","",IF(NOT('alocação'!$D$1),"off",IFERROR(VLOOKUP($CR285,BalanceAtivos,5,0),"-")))</f>
        <v/>
      </c>
      <c r="AV285" s="856" t="str">
        <f>IF($CR285="","",IF(NOT('alocação'!$D$1),"off",IFERROR(VLOOKUP($CR285,BalanceAtivos,6,0),"-")))</f>
        <v/>
      </c>
      <c r="AW285" s="857"/>
      <c r="AX285" s="858" t="str">
        <f>IF($CR285="","",IF($E285="","SP",IFERROR(VLOOKUP($CR285,AtivosDados,MATCH("pm_atual",portfolio.!$A$3:CY$3,0),0)*$CU$5,0)))</f>
        <v/>
      </c>
      <c r="AY285" s="859" t="str">
        <f t="shared" si="2"/>
        <v/>
      </c>
      <c r="AZ285" s="858" t="str">
        <f>IF($CR285="","",IF($E285="","SP",SUMIF(portfolio.!$A$4:$A308,$CR285,portfolio.!$O$4:$O308)*$CU$5))</f>
        <v/>
      </c>
      <c r="BA285" s="858" t="str">
        <f>IF($CR285="","",IF($E285="","SP",SUMIF(portfolio.!$A$4:$A308,$CR285,portfolio.!$AN$4:$AN308)*$CU$5))</f>
        <v/>
      </c>
      <c r="BB285" s="860" t="str">
        <f>IF($CR285="","",IF($E285="","-",IFERROR($BA285/'portfólio'!$DG$63,"")))</f>
        <v/>
      </c>
      <c r="BC285" s="861" t="str">
        <f>IF($CR285="","",IF($E285="","-",SUMIF(portfolio.!$A$4:$A308,$CR285,portfolio.!$J$4:$J308)))</f>
        <v/>
      </c>
      <c r="BD285" s="862" t="str">
        <f>IF($CR285="","",IF($E285="","SP",SUMIF(portfolio.!$A$4:$A308,$CR285,portfolio.!$AQ$4:$AQ308)*$CU$5))</f>
        <v/>
      </c>
      <c r="BE285" s="850" t="str">
        <f t="shared" si="3"/>
        <v/>
      </c>
      <c r="BF285" s="862" t="str">
        <f>IF($CR285="","",IF($E285="","-",SUMIF(portfolio.!$A$4:$A308,$CR285,portfolio.!$AX$4:$AX308)*$CU$5))</f>
        <v/>
      </c>
      <c r="BG285" s="545"/>
      <c r="BH285" s="879" t="s">
        <v>123</v>
      </c>
      <c r="BI285" s="880" t="s">
        <v>123</v>
      </c>
      <c r="BJ285" s="863" t="str">
        <f>IFERROR(__xludf.DUMMYFUNCTION("IF(NOT($BL$4),"""",IF($CR285="""","""",IFERROR(query({GOOGLEFINANCE($CR285,""price"",IF($BI285=""-"",TODAY()-($AQ$5+5),$BI285),TODAY()-1)},""Select max(Col2) where Col1 is not null label max(Col2) ''"")*CU285,""-"")))"),"")</f>
        <v/>
      </c>
      <c r="BK285" s="881" t="s">
        <v>123</v>
      </c>
      <c r="BL285" s="882" t="s">
        <v>123</v>
      </c>
      <c r="BM285" s="442"/>
      <c r="BN285" s="867" t="str">
        <f>IFERROR(__xludf.DUMMYFUNCTION("IF(CR285="""","""",IF(OR(C285=""AÇÃO"",C285=""BDR""),IFERROR(QUERY({fundamentus.!$A$3:$U308},$CX$67&amp;"" where Col1='""&amp;CR285&amp;""' limit 1"",0)),IF(C285=""FII"",IFERROR(QUERY({fundsexplorer.!$A$2:$Z308},$CY$67&amp;"" where Col1='""&amp;CR285&amp;""' limit 1"",0)),""""))"&amp;")"),"")</f>
        <v/>
      </c>
      <c r="BO285" s="867"/>
      <c r="BP285" s="867"/>
      <c r="BQ285" s="867"/>
      <c r="BR285" s="867"/>
      <c r="BS285" s="867"/>
      <c r="BT285" s="867"/>
      <c r="BU285" s="442"/>
      <c r="BV285" s="868" t="str">
        <f>IFERROR(__xludf.DUMMYFUNCTION("IF(OR(C285=""AÇÃO"",C285=""BDR""),IFERROR(GOOGLEFINANCE(CONCAT(""BVMF:"",CR285), ""marketcap"")/1000000,""NC""),"""")"),"")</f>
        <v/>
      </c>
      <c r="BW285" s="869" t="s">
        <v>123</v>
      </c>
      <c r="BX285" s="870" t="s">
        <v>123</v>
      </c>
      <c r="BY285" s="868" t="s">
        <v>123</v>
      </c>
      <c r="BZ285" s="870" t="s">
        <v>123</v>
      </c>
      <c r="CA285" s="868" t="s">
        <v>123</v>
      </c>
      <c r="CB285" s="868" t="s">
        <v>123</v>
      </c>
      <c r="CC285" s="868" t="s">
        <v>123</v>
      </c>
      <c r="CD285" s="868" t="str">
        <f>IFERROR(__xludf.DUMMYFUNCTION("IF(OR(C285=""AÇÃO"",C285=""BDR""),IFERROR(GOOGLEFINANCE(CONCAT(""BVMF:"",CR285), ""volumeavg"")/1000000,""NC""),"""")"),"")</f>
        <v/>
      </c>
      <c r="CE285" s="870" t="s">
        <v>123</v>
      </c>
      <c r="CF285" s="870" t="s">
        <v>123</v>
      </c>
      <c r="CG285" s="870" t="str">
        <f>IFERROR(__xludf.DUMMYFUNCTION("IF(OR(C285=""AÇÃO"",C285=""BDR""),IF(CF285=0,""SEM DY"",IFERROR(ImportXML(CONCAT(""http://www.guiainvest.com.br/raiox/default.aspx?sigla="",$CR285),""//*[@id='lbPayoutAtual']""),""NC"")),"""")"),"")</f>
        <v/>
      </c>
      <c r="CH285" s="870" t="s">
        <v>123</v>
      </c>
      <c r="CI285" s="545"/>
      <c r="CJ285" s="871" t="str">
        <f>IFERROR(__xludf.DUMMYFUNCTION("IF(OR(C285=""AÇÃO"",C285=""BDR""),IFERROR(GOOGLEFINANCE(CONCAT(""BVMF:"",CR285), ""eps""),""NC""),"""")"),"")</f>
        <v/>
      </c>
      <c r="CK285" s="442"/>
      <c r="CL285" s="871" t="str">
        <f>IFERROR(__xludf.DUMMYFUNCTION("IF(NOT($BL$4),"""",IF($CR285="""","""",IF($BC285="""","""",IFERROR(query({op.normal!$B$5:$F308},""select Col5, toDate(Col2) where Col1 =  '""&amp;$CR285&amp;""' and Col4 &gt; 0 and ((Col3 is null) or (Col3 = 'C')) and Col2 &gt;= date '""&amp;TEXT(TODAY()-$AQ$5,""yyyy-mm-dd"&amp;""")&amp;""' order by Col2 desc limit 1 label toDate(Col2) ''"")))))"),"")</f>
        <v/>
      </c>
      <c r="CM285" s="872"/>
      <c r="CN285" s="883" t="s">
        <v>123</v>
      </c>
      <c r="CO285" s="874" t="s">
        <v>123</v>
      </c>
      <c r="CP285" s="766"/>
      <c r="CQ285" s="791"/>
      <c r="CR285" s="791"/>
      <c r="CT285" s="791" t="s">
        <v>123</v>
      </c>
      <c r="CU285" s="791" t="str">
        <f>IFERROR(__xludf.DUMMYFUNCTION("IF(CR285="""","""",IF(CT285=$C$4,1,GOOGLEFINANCE(CT285&amp;$C$4)))"),"")</f>
        <v/>
      </c>
    </row>
    <row r="286" ht="22.5" customHeight="1">
      <c r="A286" s="837">
        <v>278.0</v>
      </c>
      <c r="B286" s="838" t="s">
        <v>123</v>
      </c>
      <c r="C286" s="838" t="s">
        <v>123</v>
      </c>
      <c r="D286" s="839" t="s">
        <v>123</v>
      </c>
      <c r="E286" s="839" t="s">
        <v>123</v>
      </c>
      <c r="F286" s="839" t="s">
        <v>123</v>
      </c>
      <c r="H286" s="884"/>
      <c r="I286" s="838"/>
      <c r="J286" s="838"/>
      <c r="K286" s="838"/>
      <c r="L286" s="838"/>
      <c r="M286" s="838"/>
      <c r="N286" s="838"/>
      <c r="O286" s="838"/>
      <c r="P286" s="838"/>
      <c r="Q286" s="838"/>
      <c r="R286" s="838"/>
      <c r="S286" s="838"/>
      <c r="T286" s="838"/>
      <c r="U286" s="838"/>
      <c r="V286" s="838"/>
      <c r="W286" s="838"/>
      <c r="X286" s="838"/>
      <c r="Z286" s="875" t="str">
        <f>IFERROR(__xludf.DUMMYFUNCTION("IF($CR286="""","""",IFERROR(query({CarteirasAtivos},""select Col4 where Col4 is not null and Col1 = '""&amp;$CR286&amp;""' limit 1"")*CU286,""NC""))"),"")</f>
        <v/>
      </c>
      <c r="AA286" s="876" t="str">
        <f>IFERROR(__xludf.DUMMYFUNCTION("IF($CR286="""","""",IFERROR(query({CarteirasAtivos},""select Col6 where Col4 is not null and Col1 = '""&amp;$CR286&amp;""' limit 1""),""NC""))"),"")</f>
        <v/>
      </c>
      <c r="AB286" s="877"/>
      <c r="AC286" s="878" t="s">
        <v>123</v>
      </c>
      <c r="AD286" s="845" t="str">
        <f>IF($CR286="","",IFERROR(VLOOKUP($CR286,ativos.!$C$3:$R308,MATCH("cotacao",ativos.!$C$2:CY$2,0),FALSE)*$CU$5,"atualizar"))</f>
        <v/>
      </c>
      <c r="AE286" s="846" t="str">
        <f>IFERROR(__xludf.DUMMYFUNCTION("IF($CR286="""","""",IFERROR(AVERAGE(query({CarteirasAtivos;CarteirasAtivosEncerrados},""select Col5 where Col5 is not null and Col1 = '""&amp;$CR286&amp;""' and Col10='SIM'""))*CU286,""NC""))"),"")</f>
        <v/>
      </c>
      <c r="AF286" s="847" t="str">
        <f t="shared" si="1"/>
        <v/>
      </c>
      <c r="AG286" s="442"/>
      <c r="AH286" s="848" t="str">
        <f>IFERROR(__xludf.DUMMYFUNCTION("IF($CR286="""","""",IFERROR(GOOGLEFINANCE($CR286,""low52"")*CU286,""-""))"),"")</f>
        <v/>
      </c>
      <c r="AI286" s="848" t="str">
        <f>IFERROR(__xludf.DUMMYFUNCTION("IF($CR286="""","""",IFERROR(GOOGLEFINANCE($CR286,""high52"")*CU286,""-""))"),"")</f>
        <v/>
      </c>
      <c r="AJ286" s="849" t="s">
        <v>123</v>
      </c>
      <c r="AK286" s="850" t="str">
        <f>IFERROR(__xludf.DUMMYFUNCTION("IF($CR286="""","""",IFERROR(GOOGLEFINANCE($CR286,""changepct"")/100,""-""))"),"")</f>
        <v/>
      </c>
      <c r="AL286" s="851" t="str">
        <f>IFERROR(__xludf.DUMMYFUNCTION("IF($CR286="""","""",IFERROR(($AD286/(QUERY(GOOGLEFINANCE($CR286,""price"",TODAY()-7),""SELECT Col2 label Col2 ''"")*$CU286)-1),""-""))"),"")</f>
        <v/>
      </c>
      <c r="AM286" s="851" t="str">
        <f>IFERROR(__xludf.DUMMYFUNCTION("IF($CR286="""","""",IFERROR(($AD286/(QUERY(GOOGLEFINANCE($CR286,""price"",TODAY()-14),""SELECT Col2 label Col2 ''"")*$CU286)-1),""-""))"),"")</f>
        <v/>
      </c>
      <c r="AN286" s="851" t="str">
        <f>IFERROR(__xludf.DUMMYFUNCTION("IF($CR286="""","""",IFERROR(($AD286/(QUERY(GOOGLEFINANCE($CR286,""price"",TODAY()-28),""SELECT Col2 label Col2 ''"")*$CU286)-1),""-""))"),"")</f>
        <v/>
      </c>
      <c r="AO286" s="851" t="str">
        <f>IFERROR(__xludf.DUMMYFUNCTION("IF($CR286="""","""",IFERROR(($AD286/(QUERY(GOOGLEFINANCE($CR286,""price"",TODAY()-$AQ$5),""SELECT Col2 label Col2 ''"")*$CU286)-1),""-""))"),"")</f>
        <v/>
      </c>
      <c r="AP286" s="852" t="str">
        <f>IFERROR(__xludf.DUMMYFUNCTION("IF($CR286="""","""",IFERROR(SPARKLINE(query(GOOGLEFINANCE($CR286,""price"",TODAY()-$AQ$5,TODAY(),1),""select Col2 label Col2 ''""),IF($AP$7=""Gráfico de barras"",{""charttype"",""column"";""highcolor"",""red""},{""chartype"",""line""}))))"),"")</f>
        <v/>
      </c>
      <c r="AQ286" s="144"/>
      <c r="AR286" s="853"/>
      <c r="AS286" s="854" t="str">
        <f>IF($CR286="","",IF(NOT('alocação'!$D$1),"off",IFERROR(VLOOKUP(CR286,BalanceAtivos,3,0),"NC")))</f>
        <v/>
      </c>
      <c r="AT286" s="855" t="str">
        <f>IF($CR286="","",IF(NOT('alocação'!$D$1),"off",IFERROR(VLOOKUP($CR286,BalanceAtivos,4,0)*$CU$5,"NC")))</f>
        <v/>
      </c>
      <c r="AU286" s="856" t="str">
        <f>IF($CR286="","",IF(NOT('alocação'!$D$1),"off",IFERROR(VLOOKUP($CR286,BalanceAtivos,5,0),"-")))</f>
        <v/>
      </c>
      <c r="AV286" s="856" t="str">
        <f>IF($CR286="","",IF(NOT('alocação'!$D$1),"off",IFERROR(VLOOKUP($CR286,BalanceAtivos,6,0),"-")))</f>
        <v/>
      </c>
      <c r="AW286" s="857"/>
      <c r="AX286" s="858" t="str">
        <f>IF($CR286="","",IF($E286="","SP",IFERROR(VLOOKUP($CR286,AtivosDados,MATCH("pm_atual",portfolio.!$A$3:CY$3,0),0)*$CU$5,0)))</f>
        <v/>
      </c>
      <c r="AY286" s="859" t="str">
        <f t="shared" si="2"/>
        <v/>
      </c>
      <c r="AZ286" s="858" t="str">
        <f>IF($CR286="","",IF($E286="","SP",SUMIF(portfolio.!$A$4:$A308,$CR286,portfolio.!$O$4:$O308)*$CU$5))</f>
        <v/>
      </c>
      <c r="BA286" s="858" t="str">
        <f>IF($CR286="","",IF($E286="","SP",SUMIF(portfolio.!$A$4:$A308,$CR286,portfolio.!$AN$4:$AN308)*$CU$5))</f>
        <v/>
      </c>
      <c r="BB286" s="860" t="str">
        <f>IF($CR286="","",IF($E286="","-",IFERROR($BA286/'portfólio'!$DG$63,"")))</f>
        <v/>
      </c>
      <c r="BC286" s="861" t="str">
        <f>IF($CR286="","",IF($E286="","-",SUMIF(portfolio.!$A$4:$A308,$CR286,portfolio.!$J$4:$J308)))</f>
        <v/>
      </c>
      <c r="BD286" s="862" t="str">
        <f>IF($CR286="","",IF($E286="","SP",SUMIF(portfolio.!$A$4:$A308,$CR286,portfolio.!$AQ$4:$AQ308)*$CU$5))</f>
        <v/>
      </c>
      <c r="BE286" s="850" t="str">
        <f t="shared" si="3"/>
        <v/>
      </c>
      <c r="BF286" s="862" t="str">
        <f>IF($CR286="","",IF($E286="","-",SUMIF(portfolio.!$A$4:$A308,$CR286,portfolio.!$AX$4:$AX308)*$CU$5))</f>
        <v/>
      </c>
      <c r="BG286" s="545"/>
      <c r="BH286" s="879" t="s">
        <v>123</v>
      </c>
      <c r="BI286" s="880" t="s">
        <v>123</v>
      </c>
      <c r="BJ286" s="863" t="str">
        <f>IFERROR(__xludf.DUMMYFUNCTION("IF(NOT($BL$4),"""",IF($CR286="""","""",IFERROR(query({GOOGLEFINANCE($CR286,""price"",IF($BI286=""-"",TODAY()-($AQ$5+5),$BI286),TODAY()-1)},""Select max(Col2) where Col1 is not null label max(Col2) ''"")*CU286,""-"")))"),"")</f>
        <v/>
      </c>
      <c r="BK286" s="881" t="s">
        <v>123</v>
      </c>
      <c r="BL286" s="882" t="s">
        <v>123</v>
      </c>
      <c r="BM286" s="442"/>
      <c r="BN286" s="867" t="str">
        <f>IFERROR(__xludf.DUMMYFUNCTION("IF(CR286="""","""",IF(OR(C286=""AÇÃO"",C286=""BDR""),IFERROR(QUERY({fundamentus.!$A$3:$U308},$CX$67&amp;"" where Col1='""&amp;CR286&amp;""' limit 1"",0)),IF(C286=""FII"",IFERROR(QUERY({fundsexplorer.!$A$2:$Z308},$CY$67&amp;"" where Col1='""&amp;CR286&amp;""' limit 1"",0)),""""))"&amp;")"),"")</f>
        <v/>
      </c>
      <c r="BO286" s="867"/>
      <c r="BP286" s="867"/>
      <c r="BQ286" s="867"/>
      <c r="BR286" s="867"/>
      <c r="BS286" s="867"/>
      <c r="BT286" s="867"/>
      <c r="BU286" s="442"/>
      <c r="BV286" s="868" t="str">
        <f>IFERROR(__xludf.DUMMYFUNCTION("IF(OR(C286=""AÇÃO"",C286=""BDR""),IFERROR(GOOGLEFINANCE(CONCAT(""BVMF:"",CR286), ""marketcap"")/1000000,""NC""),"""")"),"")</f>
        <v/>
      </c>
      <c r="BW286" s="869" t="s">
        <v>123</v>
      </c>
      <c r="BX286" s="870" t="s">
        <v>123</v>
      </c>
      <c r="BY286" s="868" t="s">
        <v>123</v>
      </c>
      <c r="BZ286" s="870" t="s">
        <v>123</v>
      </c>
      <c r="CA286" s="868" t="s">
        <v>123</v>
      </c>
      <c r="CB286" s="868" t="s">
        <v>123</v>
      </c>
      <c r="CC286" s="868" t="s">
        <v>123</v>
      </c>
      <c r="CD286" s="868" t="str">
        <f>IFERROR(__xludf.DUMMYFUNCTION("IF(OR(C286=""AÇÃO"",C286=""BDR""),IFERROR(GOOGLEFINANCE(CONCAT(""BVMF:"",CR286), ""volumeavg"")/1000000,""NC""),"""")"),"")</f>
        <v/>
      </c>
      <c r="CE286" s="870" t="s">
        <v>123</v>
      </c>
      <c r="CF286" s="870" t="s">
        <v>123</v>
      </c>
      <c r="CG286" s="870" t="str">
        <f>IFERROR(__xludf.DUMMYFUNCTION("IF(OR(C286=""AÇÃO"",C286=""BDR""),IF(CF286=0,""SEM DY"",IFERROR(ImportXML(CONCAT(""http://www.guiainvest.com.br/raiox/default.aspx?sigla="",$CR286),""//*[@id='lbPayoutAtual']""),""NC"")),"""")"),"")</f>
        <v/>
      </c>
      <c r="CH286" s="870" t="s">
        <v>123</v>
      </c>
      <c r="CI286" s="545"/>
      <c r="CJ286" s="871" t="str">
        <f>IFERROR(__xludf.DUMMYFUNCTION("IF(OR(C286=""AÇÃO"",C286=""BDR""),IFERROR(GOOGLEFINANCE(CONCAT(""BVMF:"",CR286), ""eps""),""NC""),"""")"),"")</f>
        <v/>
      </c>
      <c r="CK286" s="442"/>
      <c r="CL286" s="871" t="str">
        <f>IFERROR(__xludf.DUMMYFUNCTION("IF(NOT($BL$4),"""",IF($CR286="""","""",IF($BC286="""","""",IFERROR(query({op.normal!$B$5:$F308},""select Col5, toDate(Col2) where Col1 =  '""&amp;$CR286&amp;""' and Col4 &gt; 0 and ((Col3 is null) or (Col3 = 'C')) and Col2 &gt;= date '""&amp;TEXT(TODAY()-$AQ$5,""yyyy-mm-dd"&amp;""")&amp;""' order by Col2 desc limit 1 label toDate(Col2) ''"")))))"),"")</f>
        <v/>
      </c>
      <c r="CM286" s="872"/>
      <c r="CN286" s="883" t="s">
        <v>123</v>
      </c>
      <c r="CO286" s="874" t="s">
        <v>123</v>
      </c>
      <c r="CP286" s="766"/>
      <c r="CQ286" s="791"/>
      <c r="CR286" s="791"/>
      <c r="CT286" s="791" t="s">
        <v>123</v>
      </c>
      <c r="CU286" s="791" t="str">
        <f>IFERROR(__xludf.DUMMYFUNCTION("IF(CR286="""","""",IF(CT286=$C$4,1,GOOGLEFINANCE(CT286&amp;$C$4)))"),"")</f>
        <v/>
      </c>
    </row>
    <row r="287" ht="22.5" customHeight="1">
      <c r="A287" s="837">
        <v>279.0</v>
      </c>
      <c r="B287" s="838" t="s">
        <v>123</v>
      </c>
      <c r="C287" s="838" t="s">
        <v>123</v>
      </c>
      <c r="D287" s="839" t="s">
        <v>123</v>
      </c>
      <c r="E287" s="839" t="s">
        <v>123</v>
      </c>
      <c r="F287" s="839" t="s">
        <v>123</v>
      </c>
      <c r="H287" s="884"/>
      <c r="I287" s="838"/>
      <c r="J287" s="838"/>
      <c r="K287" s="838"/>
      <c r="L287" s="838"/>
      <c r="M287" s="838"/>
      <c r="N287" s="838"/>
      <c r="O287" s="838"/>
      <c r="P287" s="838"/>
      <c r="Q287" s="838"/>
      <c r="R287" s="838"/>
      <c r="S287" s="838"/>
      <c r="T287" s="838"/>
      <c r="U287" s="838"/>
      <c r="V287" s="838"/>
      <c r="W287" s="838"/>
      <c r="X287" s="838"/>
      <c r="Z287" s="875" t="str">
        <f>IFERROR(__xludf.DUMMYFUNCTION("IF($CR287="""","""",IFERROR(query({CarteirasAtivos},""select Col4 where Col4 is not null and Col1 = '""&amp;$CR287&amp;""' limit 1"")*CU287,""NC""))"),"")</f>
        <v/>
      </c>
      <c r="AA287" s="876" t="str">
        <f>IFERROR(__xludf.DUMMYFUNCTION("IF($CR287="""","""",IFERROR(query({CarteirasAtivos},""select Col6 where Col4 is not null and Col1 = '""&amp;$CR287&amp;""' limit 1""),""NC""))"),"")</f>
        <v/>
      </c>
      <c r="AB287" s="877"/>
      <c r="AC287" s="878" t="s">
        <v>123</v>
      </c>
      <c r="AD287" s="845" t="str">
        <f>IF($CR287="","",IFERROR(VLOOKUP($CR287,ativos.!$C$3:$R308,MATCH("cotacao",ativos.!$C$2:CY$2,0),FALSE)*$CU$5,"atualizar"))</f>
        <v/>
      </c>
      <c r="AE287" s="846" t="str">
        <f>IFERROR(__xludf.DUMMYFUNCTION("IF($CR287="""","""",IFERROR(AVERAGE(query({CarteirasAtivos;CarteirasAtivosEncerrados},""select Col5 where Col5 is not null and Col1 = '""&amp;$CR287&amp;""' and Col10='SIM'""))*CU287,""NC""))"),"")</f>
        <v/>
      </c>
      <c r="AF287" s="847" t="str">
        <f t="shared" si="1"/>
        <v/>
      </c>
      <c r="AG287" s="442"/>
      <c r="AH287" s="848" t="str">
        <f>IFERROR(__xludf.DUMMYFUNCTION("IF($CR287="""","""",IFERROR(GOOGLEFINANCE($CR287,""low52"")*CU287,""-""))"),"")</f>
        <v/>
      </c>
      <c r="AI287" s="848" t="str">
        <f>IFERROR(__xludf.DUMMYFUNCTION("IF($CR287="""","""",IFERROR(GOOGLEFINANCE($CR287,""high52"")*CU287,""-""))"),"")</f>
        <v/>
      </c>
      <c r="AJ287" s="849" t="s">
        <v>123</v>
      </c>
      <c r="AK287" s="850" t="str">
        <f>IFERROR(__xludf.DUMMYFUNCTION("IF($CR287="""","""",IFERROR(GOOGLEFINANCE($CR287,""changepct"")/100,""-""))"),"")</f>
        <v/>
      </c>
      <c r="AL287" s="851" t="str">
        <f>IFERROR(__xludf.DUMMYFUNCTION("IF($CR287="""","""",IFERROR(($AD287/(QUERY(GOOGLEFINANCE($CR287,""price"",TODAY()-7),""SELECT Col2 label Col2 ''"")*$CU287)-1),""-""))"),"")</f>
        <v/>
      </c>
      <c r="AM287" s="851" t="str">
        <f>IFERROR(__xludf.DUMMYFUNCTION("IF($CR287="""","""",IFERROR(($AD287/(QUERY(GOOGLEFINANCE($CR287,""price"",TODAY()-14),""SELECT Col2 label Col2 ''"")*$CU287)-1),""-""))"),"")</f>
        <v/>
      </c>
      <c r="AN287" s="851" t="str">
        <f>IFERROR(__xludf.DUMMYFUNCTION("IF($CR287="""","""",IFERROR(($AD287/(QUERY(GOOGLEFINANCE($CR287,""price"",TODAY()-28),""SELECT Col2 label Col2 ''"")*$CU287)-1),""-""))"),"")</f>
        <v/>
      </c>
      <c r="AO287" s="851" t="str">
        <f>IFERROR(__xludf.DUMMYFUNCTION("IF($CR287="""","""",IFERROR(($AD287/(QUERY(GOOGLEFINANCE($CR287,""price"",TODAY()-$AQ$5),""SELECT Col2 label Col2 ''"")*$CU287)-1),""-""))"),"")</f>
        <v/>
      </c>
      <c r="AP287" s="852" t="str">
        <f>IFERROR(__xludf.DUMMYFUNCTION("IF($CR287="""","""",IFERROR(SPARKLINE(query(GOOGLEFINANCE($CR287,""price"",TODAY()-$AQ$5,TODAY(),1),""select Col2 label Col2 ''""),IF($AP$7=""Gráfico de barras"",{""charttype"",""column"";""highcolor"",""red""},{""chartype"",""line""}))))"),"")</f>
        <v/>
      </c>
      <c r="AQ287" s="144"/>
      <c r="AR287" s="853"/>
      <c r="AS287" s="854" t="str">
        <f>IF($CR287="","",IF(NOT('alocação'!$D$1),"off",IFERROR(VLOOKUP(CR287,BalanceAtivos,3,0),"NC")))</f>
        <v/>
      </c>
      <c r="AT287" s="855" t="str">
        <f>IF($CR287="","",IF(NOT('alocação'!$D$1),"off",IFERROR(VLOOKUP($CR287,BalanceAtivos,4,0)*$CU$5,"NC")))</f>
        <v/>
      </c>
      <c r="AU287" s="856" t="str">
        <f>IF($CR287="","",IF(NOT('alocação'!$D$1),"off",IFERROR(VLOOKUP($CR287,BalanceAtivos,5,0),"-")))</f>
        <v/>
      </c>
      <c r="AV287" s="856" t="str">
        <f>IF($CR287="","",IF(NOT('alocação'!$D$1),"off",IFERROR(VLOOKUP($CR287,BalanceAtivos,6,0),"-")))</f>
        <v/>
      </c>
      <c r="AW287" s="857"/>
      <c r="AX287" s="858" t="str">
        <f>IF($CR287="","",IF($E287="","SP",IFERROR(VLOOKUP($CR287,AtivosDados,MATCH("pm_atual",portfolio.!$A$3:CY$3,0),0)*$CU$5,0)))</f>
        <v/>
      </c>
      <c r="AY287" s="859" t="str">
        <f t="shared" si="2"/>
        <v/>
      </c>
      <c r="AZ287" s="858" t="str">
        <f>IF($CR287="","",IF($E287="","SP",SUMIF(portfolio.!$A$4:$A308,$CR287,portfolio.!$O$4:$O308)*$CU$5))</f>
        <v/>
      </c>
      <c r="BA287" s="858" t="str">
        <f>IF($CR287="","",IF($E287="","SP",SUMIF(portfolio.!$A$4:$A308,$CR287,portfolio.!$AN$4:$AN308)*$CU$5))</f>
        <v/>
      </c>
      <c r="BB287" s="860" t="str">
        <f>IF($CR287="","",IF($E287="","-",IFERROR($BA287/'portfólio'!$DG$63,"")))</f>
        <v/>
      </c>
      <c r="BC287" s="861" t="str">
        <f>IF($CR287="","",IF($E287="","-",SUMIF(portfolio.!$A$4:$A308,$CR287,portfolio.!$J$4:$J308)))</f>
        <v/>
      </c>
      <c r="BD287" s="862" t="str">
        <f>IF($CR287="","",IF($E287="","SP",SUMIF(portfolio.!$A$4:$A308,$CR287,portfolio.!$AQ$4:$AQ308)*$CU$5))</f>
        <v/>
      </c>
      <c r="BE287" s="850" t="str">
        <f t="shared" si="3"/>
        <v/>
      </c>
      <c r="BF287" s="862" t="str">
        <f>IF($CR287="","",IF($E287="","-",SUMIF(portfolio.!$A$4:$A308,$CR287,portfolio.!$AX$4:$AX308)*$CU$5))</f>
        <v/>
      </c>
      <c r="BG287" s="545"/>
      <c r="BH287" s="879" t="s">
        <v>123</v>
      </c>
      <c r="BI287" s="880" t="s">
        <v>123</v>
      </c>
      <c r="BJ287" s="863" t="str">
        <f>IFERROR(__xludf.DUMMYFUNCTION("IF(NOT($BL$4),"""",IF($CR287="""","""",IFERROR(query({GOOGLEFINANCE($CR287,""price"",IF($BI287=""-"",TODAY()-($AQ$5+5),$BI287),TODAY()-1)},""Select max(Col2) where Col1 is not null label max(Col2) ''"")*CU287,""-"")))"),"")</f>
        <v/>
      </c>
      <c r="BK287" s="881" t="s">
        <v>123</v>
      </c>
      <c r="BL287" s="882" t="s">
        <v>123</v>
      </c>
      <c r="BM287" s="442"/>
      <c r="BN287" s="867" t="str">
        <f>IFERROR(__xludf.DUMMYFUNCTION("IF(CR287="""","""",IF(OR(C287=""AÇÃO"",C287=""BDR""),IFERROR(QUERY({fundamentus.!$A$3:$U308},$CX$67&amp;"" where Col1='""&amp;CR287&amp;""' limit 1"",0)),IF(C287=""FII"",IFERROR(QUERY({fundsexplorer.!$A$2:$Z308},$CY$67&amp;"" where Col1='""&amp;CR287&amp;""' limit 1"",0)),""""))"&amp;")"),"")</f>
        <v/>
      </c>
      <c r="BO287" s="867"/>
      <c r="BP287" s="867"/>
      <c r="BQ287" s="867"/>
      <c r="BR287" s="867"/>
      <c r="BS287" s="867"/>
      <c r="BT287" s="867"/>
      <c r="BU287" s="442"/>
      <c r="BV287" s="868" t="str">
        <f>IFERROR(__xludf.DUMMYFUNCTION("IF(OR(C287=""AÇÃO"",C287=""BDR""),IFERROR(GOOGLEFINANCE(CONCAT(""BVMF:"",CR287), ""marketcap"")/1000000,""NC""),"""")"),"")</f>
        <v/>
      </c>
      <c r="BW287" s="869" t="s">
        <v>123</v>
      </c>
      <c r="BX287" s="870" t="s">
        <v>123</v>
      </c>
      <c r="BY287" s="868" t="s">
        <v>123</v>
      </c>
      <c r="BZ287" s="870" t="s">
        <v>123</v>
      </c>
      <c r="CA287" s="868" t="s">
        <v>123</v>
      </c>
      <c r="CB287" s="868" t="s">
        <v>123</v>
      </c>
      <c r="CC287" s="868" t="s">
        <v>123</v>
      </c>
      <c r="CD287" s="868" t="str">
        <f>IFERROR(__xludf.DUMMYFUNCTION("IF(OR(C287=""AÇÃO"",C287=""BDR""),IFERROR(GOOGLEFINANCE(CONCAT(""BVMF:"",CR287), ""volumeavg"")/1000000,""NC""),"""")"),"")</f>
        <v/>
      </c>
      <c r="CE287" s="870" t="s">
        <v>123</v>
      </c>
      <c r="CF287" s="870" t="s">
        <v>123</v>
      </c>
      <c r="CG287" s="870" t="str">
        <f>IFERROR(__xludf.DUMMYFUNCTION("IF(OR(C287=""AÇÃO"",C287=""BDR""),IF(CF287=0,""SEM DY"",IFERROR(ImportXML(CONCAT(""http://www.guiainvest.com.br/raiox/default.aspx?sigla="",$CR287),""//*[@id='lbPayoutAtual']""),""NC"")),"""")"),"")</f>
        <v/>
      </c>
      <c r="CH287" s="870" t="s">
        <v>123</v>
      </c>
      <c r="CI287" s="545"/>
      <c r="CJ287" s="871" t="str">
        <f>IFERROR(__xludf.DUMMYFUNCTION("IF(OR(C287=""AÇÃO"",C287=""BDR""),IFERROR(GOOGLEFINANCE(CONCAT(""BVMF:"",CR287), ""eps""),""NC""),"""")"),"")</f>
        <v/>
      </c>
      <c r="CK287" s="442"/>
      <c r="CL287" s="871" t="str">
        <f>IFERROR(__xludf.DUMMYFUNCTION("IF(NOT($BL$4),"""",IF($CR287="""","""",IF($BC287="""","""",IFERROR(query({op.normal!$B$5:$F308},""select Col5, toDate(Col2) where Col1 =  '""&amp;$CR287&amp;""' and Col4 &gt; 0 and ((Col3 is null) or (Col3 = 'C')) and Col2 &gt;= date '""&amp;TEXT(TODAY()-$AQ$5,""yyyy-mm-dd"&amp;""")&amp;""' order by Col2 desc limit 1 label toDate(Col2) ''"")))))"),"")</f>
        <v/>
      </c>
      <c r="CM287" s="872"/>
      <c r="CN287" s="883" t="s">
        <v>123</v>
      </c>
      <c r="CO287" s="874" t="s">
        <v>123</v>
      </c>
      <c r="CP287" s="766"/>
      <c r="CQ287" s="791"/>
      <c r="CR287" s="791"/>
      <c r="CT287" s="791" t="s">
        <v>123</v>
      </c>
      <c r="CU287" s="791" t="str">
        <f>IFERROR(__xludf.DUMMYFUNCTION("IF(CR287="""","""",IF(CT287=$C$4,1,GOOGLEFINANCE(CT287&amp;$C$4)))"),"")</f>
        <v/>
      </c>
    </row>
    <row r="288" ht="22.5" customHeight="1">
      <c r="A288" s="837">
        <v>280.0</v>
      </c>
      <c r="B288" s="838" t="s">
        <v>123</v>
      </c>
      <c r="C288" s="838" t="s">
        <v>123</v>
      </c>
      <c r="D288" s="839" t="s">
        <v>123</v>
      </c>
      <c r="E288" s="839" t="s">
        <v>123</v>
      </c>
      <c r="F288" s="839" t="s">
        <v>123</v>
      </c>
      <c r="H288" s="884"/>
      <c r="I288" s="838"/>
      <c r="J288" s="838"/>
      <c r="K288" s="838"/>
      <c r="L288" s="838"/>
      <c r="M288" s="838"/>
      <c r="N288" s="838"/>
      <c r="O288" s="838"/>
      <c r="P288" s="838"/>
      <c r="Q288" s="838"/>
      <c r="R288" s="838"/>
      <c r="S288" s="838"/>
      <c r="T288" s="838"/>
      <c r="U288" s="838"/>
      <c r="V288" s="838"/>
      <c r="W288" s="838"/>
      <c r="X288" s="838"/>
      <c r="Z288" s="875" t="str">
        <f>IFERROR(__xludf.DUMMYFUNCTION("IF($CR288="""","""",IFERROR(query({CarteirasAtivos},""select Col4 where Col4 is not null and Col1 = '""&amp;$CR288&amp;""' limit 1"")*CU288,""NC""))"),"")</f>
        <v/>
      </c>
      <c r="AA288" s="876" t="str">
        <f>IFERROR(__xludf.DUMMYFUNCTION("IF($CR288="""","""",IFERROR(query({CarteirasAtivos},""select Col6 where Col4 is not null and Col1 = '""&amp;$CR288&amp;""' limit 1""),""NC""))"),"")</f>
        <v/>
      </c>
      <c r="AB288" s="877"/>
      <c r="AC288" s="878" t="s">
        <v>123</v>
      </c>
      <c r="AD288" s="845" t="str">
        <f>IF($CR288="","",IFERROR(VLOOKUP($CR288,ativos.!$C$3:$R308,MATCH("cotacao",ativos.!$C$2:CY$2,0),FALSE)*$CU$5,"atualizar"))</f>
        <v/>
      </c>
      <c r="AE288" s="846" t="str">
        <f>IFERROR(__xludf.DUMMYFUNCTION("IF($CR288="""","""",IFERROR(AVERAGE(query({CarteirasAtivos;CarteirasAtivosEncerrados},""select Col5 where Col5 is not null and Col1 = '""&amp;$CR288&amp;""' and Col10='SIM'""))*CU288,""NC""))"),"")</f>
        <v/>
      </c>
      <c r="AF288" s="847" t="str">
        <f t="shared" si="1"/>
        <v/>
      </c>
      <c r="AG288" s="442"/>
      <c r="AH288" s="848" t="str">
        <f>IFERROR(__xludf.DUMMYFUNCTION("IF($CR288="""","""",IFERROR(GOOGLEFINANCE($CR288,""low52"")*CU288,""-""))"),"")</f>
        <v/>
      </c>
      <c r="AI288" s="848" t="str">
        <f>IFERROR(__xludf.DUMMYFUNCTION("IF($CR288="""","""",IFERROR(GOOGLEFINANCE($CR288,""high52"")*CU288,""-""))"),"")</f>
        <v/>
      </c>
      <c r="AJ288" s="849" t="s">
        <v>123</v>
      </c>
      <c r="AK288" s="850" t="str">
        <f>IFERROR(__xludf.DUMMYFUNCTION("IF($CR288="""","""",IFERROR(GOOGLEFINANCE($CR288,""changepct"")/100,""-""))"),"")</f>
        <v/>
      </c>
      <c r="AL288" s="851" t="str">
        <f>IFERROR(__xludf.DUMMYFUNCTION("IF($CR288="""","""",IFERROR(($AD288/(QUERY(GOOGLEFINANCE($CR288,""price"",TODAY()-7),""SELECT Col2 label Col2 ''"")*$CU288)-1),""-""))"),"")</f>
        <v/>
      </c>
      <c r="AM288" s="851" t="str">
        <f>IFERROR(__xludf.DUMMYFUNCTION("IF($CR288="""","""",IFERROR(($AD288/(QUERY(GOOGLEFINANCE($CR288,""price"",TODAY()-14),""SELECT Col2 label Col2 ''"")*$CU288)-1),""-""))"),"")</f>
        <v/>
      </c>
      <c r="AN288" s="851" t="str">
        <f>IFERROR(__xludf.DUMMYFUNCTION("IF($CR288="""","""",IFERROR(($AD288/(QUERY(GOOGLEFINANCE($CR288,""price"",TODAY()-28),""SELECT Col2 label Col2 ''"")*$CU288)-1),""-""))"),"")</f>
        <v/>
      </c>
      <c r="AO288" s="851" t="str">
        <f>IFERROR(__xludf.DUMMYFUNCTION("IF($CR288="""","""",IFERROR(($AD288/(QUERY(GOOGLEFINANCE($CR288,""price"",TODAY()-$AQ$5),""SELECT Col2 label Col2 ''"")*$CU288)-1),""-""))"),"")</f>
        <v/>
      </c>
      <c r="AP288" s="852" t="str">
        <f>IFERROR(__xludf.DUMMYFUNCTION("IF($CR288="""","""",IFERROR(SPARKLINE(query(GOOGLEFINANCE($CR288,""price"",TODAY()-$AQ$5,TODAY(),1),""select Col2 label Col2 ''""),IF($AP$7=""Gráfico de barras"",{""charttype"",""column"";""highcolor"",""red""},{""chartype"",""line""}))))"),"")</f>
        <v/>
      </c>
      <c r="AQ288" s="144"/>
      <c r="AR288" s="853"/>
      <c r="AS288" s="854" t="str">
        <f>IF($CR288="","",IF(NOT('alocação'!$D$1),"off",IFERROR(VLOOKUP(CR288,BalanceAtivos,3,0),"NC")))</f>
        <v/>
      </c>
      <c r="AT288" s="855" t="str">
        <f>IF($CR288="","",IF(NOT('alocação'!$D$1),"off",IFERROR(VLOOKUP($CR288,BalanceAtivos,4,0)*$CU$5,"NC")))</f>
        <v/>
      </c>
      <c r="AU288" s="856" t="str">
        <f>IF($CR288="","",IF(NOT('alocação'!$D$1),"off",IFERROR(VLOOKUP($CR288,BalanceAtivos,5,0),"-")))</f>
        <v/>
      </c>
      <c r="AV288" s="856" t="str">
        <f>IF($CR288="","",IF(NOT('alocação'!$D$1),"off",IFERROR(VLOOKUP($CR288,BalanceAtivos,6,0),"-")))</f>
        <v/>
      </c>
      <c r="AW288" s="857"/>
      <c r="AX288" s="858" t="str">
        <f>IF($CR288="","",IF($E288="","SP",IFERROR(VLOOKUP($CR288,AtivosDados,MATCH("pm_atual",portfolio.!$A$3:CY$3,0),0)*$CU$5,0)))</f>
        <v/>
      </c>
      <c r="AY288" s="859" t="str">
        <f t="shared" si="2"/>
        <v/>
      </c>
      <c r="AZ288" s="858" t="str">
        <f>IF($CR288="","",IF($E288="","SP",SUMIF(portfolio.!$A$4:$A308,$CR288,portfolio.!$O$4:$O308)*$CU$5))</f>
        <v/>
      </c>
      <c r="BA288" s="858" t="str">
        <f>IF($CR288="","",IF($E288="","SP",SUMIF(portfolio.!$A$4:$A308,$CR288,portfolio.!$AN$4:$AN308)*$CU$5))</f>
        <v/>
      </c>
      <c r="BB288" s="860" t="str">
        <f>IF($CR288="","",IF($E288="","-",IFERROR($BA288/'portfólio'!$DG$63,"")))</f>
        <v/>
      </c>
      <c r="BC288" s="861" t="str">
        <f>IF($CR288="","",IF($E288="","-",SUMIF(portfolio.!$A$4:$A308,$CR288,portfolio.!$J$4:$J308)))</f>
        <v/>
      </c>
      <c r="BD288" s="862" t="str">
        <f>IF($CR288="","",IF($E288="","SP",SUMIF(portfolio.!$A$4:$A308,$CR288,portfolio.!$AQ$4:$AQ308)*$CU$5))</f>
        <v/>
      </c>
      <c r="BE288" s="850" t="str">
        <f t="shared" si="3"/>
        <v/>
      </c>
      <c r="BF288" s="862" t="str">
        <f>IF($CR288="","",IF($E288="","-",SUMIF(portfolio.!$A$4:$A308,$CR288,portfolio.!$AX$4:$AX308)*$CU$5))</f>
        <v/>
      </c>
      <c r="BG288" s="545"/>
      <c r="BH288" s="879" t="s">
        <v>123</v>
      </c>
      <c r="BI288" s="880" t="s">
        <v>123</v>
      </c>
      <c r="BJ288" s="863" t="str">
        <f>IFERROR(__xludf.DUMMYFUNCTION("IF(NOT($BL$4),"""",IF($CR288="""","""",IFERROR(query({GOOGLEFINANCE($CR288,""price"",IF($BI288=""-"",TODAY()-($AQ$5+5),$BI288),TODAY()-1)},""Select max(Col2) where Col1 is not null label max(Col2) ''"")*CU288,""-"")))"),"")</f>
        <v/>
      </c>
      <c r="BK288" s="881" t="s">
        <v>123</v>
      </c>
      <c r="BL288" s="882" t="s">
        <v>123</v>
      </c>
      <c r="BM288" s="442"/>
      <c r="BN288" s="867" t="str">
        <f>IFERROR(__xludf.DUMMYFUNCTION("IF(CR288="""","""",IF(OR(C288=""AÇÃO"",C288=""BDR""),IFERROR(QUERY({fundamentus.!$A$3:$U308},$CX$67&amp;"" where Col1='""&amp;CR288&amp;""' limit 1"",0)),IF(C288=""FII"",IFERROR(QUERY({fundsexplorer.!$A$2:$Z308},$CY$67&amp;"" where Col1='""&amp;CR288&amp;""' limit 1"",0)),""""))"&amp;")"),"")</f>
        <v/>
      </c>
      <c r="BO288" s="867"/>
      <c r="BP288" s="867"/>
      <c r="BQ288" s="867"/>
      <c r="BR288" s="867"/>
      <c r="BS288" s="867"/>
      <c r="BT288" s="867"/>
      <c r="BU288" s="442"/>
      <c r="BV288" s="868" t="str">
        <f>IFERROR(__xludf.DUMMYFUNCTION("IF(OR(C288=""AÇÃO"",C288=""BDR""),IFERROR(GOOGLEFINANCE(CONCAT(""BVMF:"",CR288), ""marketcap"")/1000000,""NC""),"""")"),"")</f>
        <v/>
      </c>
      <c r="BW288" s="869" t="s">
        <v>123</v>
      </c>
      <c r="BX288" s="870" t="s">
        <v>123</v>
      </c>
      <c r="BY288" s="868" t="s">
        <v>123</v>
      </c>
      <c r="BZ288" s="870" t="s">
        <v>123</v>
      </c>
      <c r="CA288" s="868" t="s">
        <v>123</v>
      </c>
      <c r="CB288" s="868" t="s">
        <v>123</v>
      </c>
      <c r="CC288" s="868" t="s">
        <v>123</v>
      </c>
      <c r="CD288" s="868" t="str">
        <f>IFERROR(__xludf.DUMMYFUNCTION("IF(OR(C288=""AÇÃO"",C288=""BDR""),IFERROR(GOOGLEFINANCE(CONCAT(""BVMF:"",CR288), ""volumeavg"")/1000000,""NC""),"""")"),"")</f>
        <v/>
      </c>
      <c r="CE288" s="870" t="s">
        <v>123</v>
      </c>
      <c r="CF288" s="870" t="s">
        <v>123</v>
      </c>
      <c r="CG288" s="870" t="str">
        <f>IFERROR(__xludf.DUMMYFUNCTION("IF(OR(C288=""AÇÃO"",C288=""BDR""),IF(CF288=0,""SEM DY"",IFERROR(ImportXML(CONCAT(""http://www.guiainvest.com.br/raiox/default.aspx?sigla="",$CR288),""//*[@id='lbPayoutAtual']""),""NC"")),"""")"),"")</f>
        <v/>
      </c>
      <c r="CH288" s="870" t="s">
        <v>123</v>
      </c>
      <c r="CI288" s="545"/>
      <c r="CJ288" s="871" t="str">
        <f>IFERROR(__xludf.DUMMYFUNCTION("IF(OR(C288=""AÇÃO"",C288=""BDR""),IFERROR(GOOGLEFINANCE(CONCAT(""BVMF:"",CR288), ""eps""),""NC""),"""")"),"")</f>
        <v/>
      </c>
      <c r="CK288" s="442"/>
      <c r="CL288" s="871" t="str">
        <f>IFERROR(__xludf.DUMMYFUNCTION("IF(NOT($BL$4),"""",IF($CR288="""","""",IF($BC288="""","""",IFERROR(query({op.normal!$B$5:$F308},""select Col5, toDate(Col2) where Col1 =  '""&amp;$CR288&amp;""' and Col4 &gt; 0 and ((Col3 is null) or (Col3 = 'C')) and Col2 &gt;= date '""&amp;TEXT(TODAY()-$AQ$5,""yyyy-mm-dd"&amp;""")&amp;""' order by Col2 desc limit 1 label toDate(Col2) ''"")))))"),"")</f>
        <v/>
      </c>
      <c r="CM288" s="872"/>
      <c r="CN288" s="883" t="s">
        <v>123</v>
      </c>
      <c r="CO288" s="874" t="s">
        <v>123</v>
      </c>
      <c r="CP288" s="766"/>
      <c r="CQ288" s="791"/>
      <c r="CR288" s="791"/>
      <c r="CT288" s="791" t="s">
        <v>123</v>
      </c>
      <c r="CU288" s="791" t="str">
        <f>IFERROR(__xludf.DUMMYFUNCTION("IF(CR288="""","""",IF(CT288=$C$4,1,GOOGLEFINANCE(CT288&amp;$C$4)))"),"")</f>
        <v/>
      </c>
    </row>
    <row r="289" ht="22.5" customHeight="1">
      <c r="A289" s="837">
        <v>281.0</v>
      </c>
      <c r="B289" s="838" t="s">
        <v>123</v>
      </c>
      <c r="C289" s="838" t="s">
        <v>123</v>
      </c>
      <c r="D289" s="839" t="s">
        <v>123</v>
      </c>
      <c r="E289" s="839" t="s">
        <v>123</v>
      </c>
      <c r="F289" s="839" t="s">
        <v>123</v>
      </c>
      <c r="H289" s="884"/>
      <c r="I289" s="838"/>
      <c r="J289" s="838"/>
      <c r="K289" s="838"/>
      <c r="L289" s="838"/>
      <c r="M289" s="838"/>
      <c r="N289" s="838"/>
      <c r="O289" s="838"/>
      <c r="P289" s="838"/>
      <c r="Q289" s="838"/>
      <c r="R289" s="838"/>
      <c r="S289" s="838"/>
      <c r="T289" s="838"/>
      <c r="U289" s="838"/>
      <c r="V289" s="838"/>
      <c r="W289" s="838"/>
      <c r="X289" s="838"/>
      <c r="Z289" s="875" t="str">
        <f>IFERROR(__xludf.DUMMYFUNCTION("IF($CR289="""","""",IFERROR(query({CarteirasAtivos},""select Col4 where Col4 is not null and Col1 = '""&amp;$CR289&amp;""' limit 1"")*CU289,""NC""))"),"")</f>
        <v/>
      </c>
      <c r="AA289" s="876" t="str">
        <f>IFERROR(__xludf.DUMMYFUNCTION("IF($CR289="""","""",IFERROR(query({CarteirasAtivos},""select Col6 where Col4 is not null and Col1 = '""&amp;$CR289&amp;""' limit 1""),""NC""))"),"")</f>
        <v/>
      </c>
      <c r="AB289" s="877"/>
      <c r="AC289" s="878" t="s">
        <v>123</v>
      </c>
      <c r="AD289" s="845" t="str">
        <f>IF($CR289="","",IFERROR(VLOOKUP($CR289,ativos.!$C$3:$R308,MATCH("cotacao",ativos.!$C$2:CY$2,0),FALSE)*$CU$5,"atualizar"))</f>
        <v/>
      </c>
      <c r="AE289" s="846" t="str">
        <f>IFERROR(__xludf.DUMMYFUNCTION("IF($CR289="""","""",IFERROR(AVERAGE(query({CarteirasAtivos;CarteirasAtivosEncerrados},""select Col5 where Col5 is not null and Col1 = '""&amp;$CR289&amp;""' and Col10='SIM'""))*CU289,""NC""))"),"")</f>
        <v/>
      </c>
      <c r="AF289" s="847" t="str">
        <f t="shared" si="1"/>
        <v/>
      </c>
      <c r="AG289" s="442"/>
      <c r="AH289" s="848" t="str">
        <f>IFERROR(__xludf.DUMMYFUNCTION("IF($CR289="""","""",IFERROR(GOOGLEFINANCE($CR289,""low52"")*CU289,""-""))"),"")</f>
        <v/>
      </c>
      <c r="AI289" s="848" t="str">
        <f>IFERROR(__xludf.DUMMYFUNCTION("IF($CR289="""","""",IFERROR(GOOGLEFINANCE($CR289,""high52"")*CU289,""-""))"),"")</f>
        <v/>
      </c>
      <c r="AJ289" s="849" t="s">
        <v>123</v>
      </c>
      <c r="AK289" s="850" t="str">
        <f>IFERROR(__xludf.DUMMYFUNCTION("IF($CR289="""","""",IFERROR(GOOGLEFINANCE($CR289,""changepct"")/100,""-""))"),"")</f>
        <v/>
      </c>
      <c r="AL289" s="851" t="str">
        <f>IFERROR(__xludf.DUMMYFUNCTION("IF($CR289="""","""",IFERROR(($AD289/(QUERY(GOOGLEFINANCE($CR289,""price"",TODAY()-7),""SELECT Col2 label Col2 ''"")*$CU289)-1),""-""))"),"")</f>
        <v/>
      </c>
      <c r="AM289" s="851" t="str">
        <f>IFERROR(__xludf.DUMMYFUNCTION("IF($CR289="""","""",IFERROR(($AD289/(QUERY(GOOGLEFINANCE($CR289,""price"",TODAY()-14),""SELECT Col2 label Col2 ''"")*$CU289)-1),""-""))"),"")</f>
        <v/>
      </c>
      <c r="AN289" s="851" t="str">
        <f>IFERROR(__xludf.DUMMYFUNCTION("IF($CR289="""","""",IFERROR(($AD289/(QUERY(GOOGLEFINANCE($CR289,""price"",TODAY()-28),""SELECT Col2 label Col2 ''"")*$CU289)-1),""-""))"),"")</f>
        <v/>
      </c>
      <c r="AO289" s="851" t="str">
        <f>IFERROR(__xludf.DUMMYFUNCTION("IF($CR289="""","""",IFERROR(($AD289/(QUERY(GOOGLEFINANCE($CR289,""price"",TODAY()-$AQ$5),""SELECT Col2 label Col2 ''"")*$CU289)-1),""-""))"),"")</f>
        <v/>
      </c>
      <c r="AP289" s="852" t="str">
        <f>IFERROR(__xludf.DUMMYFUNCTION("IF($CR289="""","""",IFERROR(SPARKLINE(query(GOOGLEFINANCE($CR289,""price"",TODAY()-$AQ$5,TODAY(),1),""select Col2 label Col2 ''""),IF($AP$7=""Gráfico de barras"",{""charttype"",""column"";""highcolor"",""red""},{""chartype"",""line""}))))"),"")</f>
        <v/>
      </c>
      <c r="AQ289" s="144"/>
      <c r="AR289" s="853"/>
      <c r="AS289" s="854" t="str">
        <f>IF($CR289="","",IF(NOT('alocação'!$D$1),"off",IFERROR(VLOOKUP(CR289,BalanceAtivos,3,0),"NC")))</f>
        <v/>
      </c>
      <c r="AT289" s="855" t="str">
        <f>IF($CR289="","",IF(NOT('alocação'!$D$1),"off",IFERROR(VLOOKUP($CR289,BalanceAtivos,4,0)*$CU$5,"NC")))</f>
        <v/>
      </c>
      <c r="AU289" s="856" t="str">
        <f>IF($CR289="","",IF(NOT('alocação'!$D$1),"off",IFERROR(VLOOKUP($CR289,BalanceAtivos,5,0),"-")))</f>
        <v/>
      </c>
      <c r="AV289" s="856" t="str">
        <f>IF($CR289="","",IF(NOT('alocação'!$D$1),"off",IFERROR(VLOOKUP($CR289,BalanceAtivos,6,0),"-")))</f>
        <v/>
      </c>
      <c r="AW289" s="857"/>
      <c r="AX289" s="858" t="str">
        <f>IF($CR289="","",IF($E289="","SP",IFERROR(VLOOKUP($CR289,AtivosDados,MATCH("pm_atual",portfolio.!$A$3:CY$3,0),0)*$CU$5,0)))</f>
        <v/>
      </c>
      <c r="AY289" s="859" t="str">
        <f t="shared" si="2"/>
        <v/>
      </c>
      <c r="AZ289" s="858" t="str">
        <f>IF($CR289="","",IF($E289="","SP",SUMIF(portfolio.!$A$4:$A308,$CR289,portfolio.!$O$4:$O308)*$CU$5))</f>
        <v/>
      </c>
      <c r="BA289" s="858" t="str">
        <f>IF($CR289="","",IF($E289="","SP",SUMIF(portfolio.!$A$4:$A308,$CR289,portfolio.!$AN$4:$AN308)*$CU$5))</f>
        <v/>
      </c>
      <c r="BB289" s="860" t="str">
        <f>IF($CR289="","",IF($E289="","-",IFERROR($BA289/'portfólio'!$DG$63,"")))</f>
        <v/>
      </c>
      <c r="BC289" s="861" t="str">
        <f>IF($CR289="","",IF($E289="","-",SUMIF(portfolio.!$A$4:$A308,$CR289,portfolio.!$J$4:$J308)))</f>
        <v/>
      </c>
      <c r="BD289" s="862" t="str">
        <f>IF($CR289="","",IF($E289="","SP",SUMIF(portfolio.!$A$4:$A308,$CR289,portfolio.!$AQ$4:$AQ308)*$CU$5))</f>
        <v/>
      </c>
      <c r="BE289" s="850" t="str">
        <f t="shared" si="3"/>
        <v/>
      </c>
      <c r="BF289" s="862" t="str">
        <f>IF($CR289="","",IF($E289="","-",SUMIF(portfolio.!$A$4:$A308,$CR289,portfolio.!$AX$4:$AX308)*$CU$5))</f>
        <v/>
      </c>
      <c r="BG289" s="545"/>
      <c r="BH289" s="879" t="s">
        <v>123</v>
      </c>
      <c r="BI289" s="880" t="s">
        <v>123</v>
      </c>
      <c r="BJ289" s="863" t="str">
        <f>IFERROR(__xludf.DUMMYFUNCTION("IF(NOT($BL$4),"""",IF($CR289="""","""",IFERROR(query({GOOGLEFINANCE($CR289,""price"",IF($BI289=""-"",TODAY()-($AQ$5+5),$BI289),TODAY()-1)},""Select max(Col2) where Col1 is not null label max(Col2) ''"")*CU289,""-"")))"),"")</f>
        <v/>
      </c>
      <c r="BK289" s="881" t="s">
        <v>123</v>
      </c>
      <c r="BL289" s="882" t="s">
        <v>123</v>
      </c>
      <c r="BM289" s="442"/>
      <c r="BN289" s="867" t="str">
        <f>IFERROR(__xludf.DUMMYFUNCTION("IF(CR289="""","""",IF(OR(C289=""AÇÃO"",C289=""BDR""),IFERROR(QUERY({fundamentus.!$A$3:$U308},$CX$67&amp;"" where Col1='""&amp;CR289&amp;""' limit 1"",0)),IF(C289=""FII"",IFERROR(QUERY({fundsexplorer.!$A$2:$Z308},$CY$67&amp;"" where Col1='""&amp;CR289&amp;""' limit 1"",0)),""""))"&amp;")"),"")</f>
        <v/>
      </c>
      <c r="BO289" s="867"/>
      <c r="BP289" s="867"/>
      <c r="BQ289" s="867"/>
      <c r="BR289" s="867"/>
      <c r="BS289" s="867"/>
      <c r="BT289" s="867"/>
      <c r="BU289" s="442"/>
      <c r="BV289" s="868" t="str">
        <f>IFERROR(__xludf.DUMMYFUNCTION("IF(OR(C289=""AÇÃO"",C289=""BDR""),IFERROR(GOOGLEFINANCE(CONCAT(""BVMF:"",CR289), ""marketcap"")/1000000,""NC""),"""")"),"")</f>
        <v/>
      </c>
      <c r="BW289" s="869" t="s">
        <v>123</v>
      </c>
      <c r="BX289" s="870" t="s">
        <v>123</v>
      </c>
      <c r="BY289" s="868" t="s">
        <v>123</v>
      </c>
      <c r="BZ289" s="870" t="s">
        <v>123</v>
      </c>
      <c r="CA289" s="868" t="s">
        <v>123</v>
      </c>
      <c r="CB289" s="868" t="s">
        <v>123</v>
      </c>
      <c r="CC289" s="868" t="s">
        <v>123</v>
      </c>
      <c r="CD289" s="868" t="str">
        <f>IFERROR(__xludf.DUMMYFUNCTION("IF(OR(C289=""AÇÃO"",C289=""BDR""),IFERROR(GOOGLEFINANCE(CONCAT(""BVMF:"",CR289), ""volumeavg"")/1000000,""NC""),"""")"),"")</f>
        <v/>
      </c>
      <c r="CE289" s="870" t="s">
        <v>123</v>
      </c>
      <c r="CF289" s="870" t="s">
        <v>123</v>
      </c>
      <c r="CG289" s="870" t="str">
        <f>IFERROR(__xludf.DUMMYFUNCTION("IF(OR(C289=""AÇÃO"",C289=""BDR""),IF(CF289=0,""SEM DY"",IFERROR(ImportXML(CONCAT(""http://www.guiainvest.com.br/raiox/default.aspx?sigla="",$CR289),""//*[@id='lbPayoutAtual']""),""NC"")),"""")"),"")</f>
        <v/>
      </c>
      <c r="CH289" s="870" t="s">
        <v>123</v>
      </c>
      <c r="CI289" s="545"/>
      <c r="CJ289" s="871" t="str">
        <f>IFERROR(__xludf.DUMMYFUNCTION("IF(OR(C289=""AÇÃO"",C289=""BDR""),IFERROR(GOOGLEFINANCE(CONCAT(""BVMF:"",CR289), ""eps""),""NC""),"""")"),"")</f>
        <v/>
      </c>
      <c r="CK289" s="442"/>
      <c r="CL289" s="871" t="str">
        <f>IFERROR(__xludf.DUMMYFUNCTION("IF(NOT($BL$4),"""",IF($CR289="""","""",IF($BC289="""","""",IFERROR(query({op.normal!$B$5:$F308},""select Col5, toDate(Col2) where Col1 =  '""&amp;$CR289&amp;""' and Col4 &gt; 0 and ((Col3 is null) or (Col3 = 'C')) and Col2 &gt;= date '""&amp;TEXT(TODAY()-$AQ$5,""yyyy-mm-dd"&amp;""")&amp;""' order by Col2 desc limit 1 label toDate(Col2) ''"")))))"),"")</f>
        <v/>
      </c>
      <c r="CM289" s="872"/>
      <c r="CN289" s="883" t="s">
        <v>123</v>
      </c>
      <c r="CO289" s="874" t="s">
        <v>123</v>
      </c>
      <c r="CP289" s="766"/>
      <c r="CQ289" s="791"/>
      <c r="CR289" s="791"/>
      <c r="CT289" s="791" t="s">
        <v>123</v>
      </c>
      <c r="CU289" s="791" t="str">
        <f>IFERROR(__xludf.DUMMYFUNCTION("IF(CR289="""","""",IF(CT289=$C$4,1,GOOGLEFINANCE(CT289&amp;$C$4)))"),"")</f>
        <v/>
      </c>
    </row>
    <row r="290" ht="22.5" customHeight="1">
      <c r="A290" s="837">
        <v>282.0</v>
      </c>
      <c r="B290" s="838" t="s">
        <v>123</v>
      </c>
      <c r="C290" s="838" t="s">
        <v>123</v>
      </c>
      <c r="D290" s="839" t="s">
        <v>123</v>
      </c>
      <c r="E290" s="839" t="s">
        <v>123</v>
      </c>
      <c r="F290" s="839" t="s">
        <v>123</v>
      </c>
      <c r="H290" s="884"/>
      <c r="I290" s="838"/>
      <c r="J290" s="838"/>
      <c r="K290" s="838"/>
      <c r="L290" s="838"/>
      <c r="M290" s="838"/>
      <c r="N290" s="838"/>
      <c r="O290" s="838"/>
      <c r="P290" s="838"/>
      <c r="Q290" s="838"/>
      <c r="R290" s="838"/>
      <c r="S290" s="838"/>
      <c r="T290" s="838"/>
      <c r="U290" s="838"/>
      <c r="V290" s="838"/>
      <c r="W290" s="838"/>
      <c r="X290" s="838"/>
      <c r="Z290" s="875" t="str">
        <f>IFERROR(__xludf.DUMMYFUNCTION("IF($CR290="""","""",IFERROR(query({CarteirasAtivos},""select Col4 where Col4 is not null and Col1 = '""&amp;$CR290&amp;""' limit 1"")*CU290,""NC""))"),"")</f>
        <v/>
      </c>
      <c r="AA290" s="876" t="str">
        <f>IFERROR(__xludf.DUMMYFUNCTION("IF($CR290="""","""",IFERROR(query({CarteirasAtivos},""select Col6 where Col4 is not null and Col1 = '""&amp;$CR290&amp;""' limit 1""),""NC""))"),"")</f>
        <v/>
      </c>
      <c r="AB290" s="877"/>
      <c r="AC290" s="878" t="s">
        <v>123</v>
      </c>
      <c r="AD290" s="845" t="str">
        <f>IF($CR290="","",IFERROR(VLOOKUP($CR290,ativos.!$C$3:$R308,MATCH("cotacao",ativos.!$C$2:CY$2,0),FALSE)*$CU$5,"atualizar"))</f>
        <v/>
      </c>
      <c r="AE290" s="846" t="str">
        <f>IFERROR(__xludf.DUMMYFUNCTION("IF($CR290="""","""",IFERROR(AVERAGE(query({CarteirasAtivos;CarteirasAtivosEncerrados},""select Col5 where Col5 is not null and Col1 = '""&amp;$CR290&amp;""' and Col10='SIM'""))*CU290,""NC""))"),"")</f>
        <v/>
      </c>
      <c r="AF290" s="847" t="str">
        <f t="shared" si="1"/>
        <v/>
      </c>
      <c r="AG290" s="442"/>
      <c r="AH290" s="848" t="str">
        <f>IFERROR(__xludf.DUMMYFUNCTION("IF($CR290="""","""",IFERROR(GOOGLEFINANCE($CR290,""low52"")*CU290,""-""))"),"")</f>
        <v/>
      </c>
      <c r="AI290" s="848" t="str">
        <f>IFERROR(__xludf.DUMMYFUNCTION("IF($CR290="""","""",IFERROR(GOOGLEFINANCE($CR290,""high52"")*CU290,""-""))"),"")</f>
        <v/>
      </c>
      <c r="AJ290" s="849" t="s">
        <v>123</v>
      </c>
      <c r="AK290" s="850" t="str">
        <f>IFERROR(__xludf.DUMMYFUNCTION("IF($CR290="""","""",IFERROR(GOOGLEFINANCE($CR290,""changepct"")/100,""-""))"),"")</f>
        <v/>
      </c>
      <c r="AL290" s="851" t="str">
        <f>IFERROR(__xludf.DUMMYFUNCTION("IF($CR290="""","""",IFERROR(($AD290/(QUERY(GOOGLEFINANCE($CR290,""price"",TODAY()-7),""SELECT Col2 label Col2 ''"")*$CU290)-1),""-""))"),"")</f>
        <v/>
      </c>
      <c r="AM290" s="851" t="str">
        <f>IFERROR(__xludf.DUMMYFUNCTION("IF($CR290="""","""",IFERROR(($AD290/(QUERY(GOOGLEFINANCE($CR290,""price"",TODAY()-14),""SELECT Col2 label Col2 ''"")*$CU290)-1),""-""))"),"")</f>
        <v/>
      </c>
      <c r="AN290" s="851" t="str">
        <f>IFERROR(__xludf.DUMMYFUNCTION("IF($CR290="""","""",IFERROR(($AD290/(QUERY(GOOGLEFINANCE($CR290,""price"",TODAY()-28),""SELECT Col2 label Col2 ''"")*$CU290)-1),""-""))"),"")</f>
        <v/>
      </c>
      <c r="AO290" s="851" t="str">
        <f>IFERROR(__xludf.DUMMYFUNCTION("IF($CR290="""","""",IFERROR(($AD290/(QUERY(GOOGLEFINANCE($CR290,""price"",TODAY()-$AQ$5),""SELECT Col2 label Col2 ''"")*$CU290)-1),""-""))"),"")</f>
        <v/>
      </c>
      <c r="AP290" s="852" t="str">
        <f>IFERROR(__xludf.DUMMYFUNCTION("IF($CR290="""","""",IFERROR(SPARKLINE(query(GOOGLEFINANCE($CR290,""price"",TODAY()-$AQ$5,TODAY(),1),""select Col2 label Col2 ''""),IF($AP$7=""Gráfico de barras"",{""charttype"",""column"";""highcolor"",""red""},{""chartype"",""line""}))))"),"")</f>
        <v/>
      </c>
      <c r="AQ290" s="144"/>
      <c r="AR290" s="853"/>
      <c r="AS290" s="854" t="str">
        <f>IF($CR290="","",IF(NOT('alocação'!$D$1),"off",IFERROR(VLOOKUP(CR290,BalanceAtivos,3,0),"NC")))</f>
        <v/>
      </c>
      <c r="AT290" s="855" t="str">
        <f>IF($CR290="","",IF(NOT('alocação'!$D$1),"off",IFERROR(VLOOKUP($CR290,BalanceAtivos,4,0)*$CU$5,"NC")))</f>
        <v/>
      </c>
      <c r="AU290" s="856" t="str">
        <f>IF($CR290="","",IF(NOT('alocação'!$D$1),"off",IFERROR(VLOOKUP($CR290,BalanceAtivos,5,0),"-")))</f>
        <v/>
      </c>
      <c r="AV290" s="856" t="str">
        <f>IF($CR290="","",IF(NOT('alocação'!$D$1),"off",IFERROR(VLOOKUP($CR290,BalanceAtivos,6,0),"-")))</f>
        <v/>
      </c>
      <c r="AW290" s="857"/>
      <c r="AX290" s="858" t="str">
        <f>IF($CR290="","",IF($E290="","SP",IFERROR(VLOOKUP($CR290,AtivosDados,MATCH("pm_atual",portfolio.!$A$3:CY$3,0),0)*$CU$5,0)))</f>
        <v/>
      </c>
      <c r="AY290" s="859" t="str">
        <f t="shared" si="2"/>
        <v/>
      </c>
      <c r="AZ290" s="858" t="str">
        <f>IF($CR290="","",IF($E290="","SP",SUMIF(portfolio.!$A$4:$A308,$CR290,portfolio.!$O$4:$O308)*$CU$5))</f>
        <v/>
      </c>
      <c r="BA290" s="858" t="str">
        <f>IF($CR290="","",IF($E290="","SP",SUMIF(portfolio.!$A$4:$A308,$CR290,portfolio.!$AN$4:$AN308)*$CU$5))</f>
        <v/>
      </c>
      <c r="BB290" s="860" t="str">
        <f>IF($CR290="","",IF($E290="","-",IFERROR($BA290/'portfólio'!$DG$63,"")))</f>
        <v/>
      </c>
      <c r="BC290" s="861" t="str">
        <f>IF($CR290="","",IF($E290="","-",SUMIF(portfolio.!$A$4:$A308,$CR290,portfolio.!$J$4:$J308)))</f>
        <v/>
      </c>
      <c r="BD290" s="862" t="str">
        <f>IF($CR290="","",IF($E290="","SP",SUMIF(portfolio.!$A$4:$A308,$CR290,portfolio.!$AQ$4:$AQ308)*$CU$5))</f>
        <v/>
      </c>
      <c r="BE290" s="850" t="str">
        <f t="shared" si="3"/>
        <v/>
      </c>
      <c r="BF290" s="862" t="str">
        <f>IF($CR290="","",IF($E290="","-",SUMIF(portfolio.!$A$4:$A308,$CR290,portfolio.!$AX$4:$AX308)*$CU$5))</f>
        <v/>
      </c>
      <c r="BG290" s="545"/>
      <c r="BH290" s="879" t="s">
        <v>123</v>
      </c>
      <c r="BI290" s="880" t="s">
        <v>123</v>
      </c>
      <c r="BJ290" s="863" t="str">
        <f>IFERROR(__xludf.DUMMYFUNCTION("IF(NOT($BL$4),"""",IF($CR290="""","""",IFERROR(query({GOOGLEFINANCE($CR290,""price"",IF($BI290=""-"",TODAY()-($AQ$5+5),$BI290),TODAY()-1)},""Select max(Col2) where Col1 is not null label max(Col2) ''"")*CU290,""-"")))"),"")</f>
        <v/>
      </c>
      <c r="BK290" s="881" t="s">
        <v>123</v>
      </c>
      <c r="BL290" s="882" t="s">
        <v>123</v>
      </c>
      <c r="BM290" s="442"/>
      <c r="BN290" s="867" t="str">
        <f>IFERROR(__xludf.DUMMYFUNCTION("IF(CR290="""","""",IF(OR(C290=""AÇÃO"",C290=""BDR""),IFERROR(QUERY({fundamentus.!$A$3:$U308},$CX$67&amp;"" where Col1='""&amp;CR290&amp;""' limit 1"",0)),IF(C290=""FII"",IFERROR(QUERY({fundsexplorer.!$A$2:$Z308},$CY$67&amp;"" where Col1='""&amp;CR290&amp;""' limit 1"",0)),""""))"&amp;")"),"")</f>
        <v/>
      </c>
      <c r="BO290" s="867"/>
      <c r="BP290" s="867"/>
      <c r="BQ290" s="867"/>
      <c r="BR290" s="867"/>
      <c r="BS290" s="867"/>
      <c r="BT290" s="867"/>
      <c r="BU290" s="442"/>
      <c r="BV290" s="868" t="str">
        <f>IFERROR(__xludf.DUMMYFUNCTION("IF(OR(C290=""AÇÃO"",C290=""BDR""),IFERROR(GOOGLEFINANCE(CONCAT(""BVMF:"",CR290), ""marketcap"")/1000000,""NC""),"""")"),"")</f>
        <v/>
      </c>
      <c r="BW290" s="869" t="s">
        <v>123</v>
      </c>
      <c r="BX290" s="870" t="s">
        <v>123</v>
      </c>
      <c r="BY290" s="868" t="s">
        <v>123</v>
      </c>
      <c r="BZ290" s="870" t="s">
        <v>123</v>
      </c>
      <c r="CA290" s="868" t="s">
        <v>123</v>
      </c>
      <c r="CB290" s="868" t="s">
        <v>123</v>
      </c>
      <c r="CC290" s="868" t="s">
        <v>123</v>
      </c>
      <c r="CD290" s="868" t="str">
        <f>IFERROR(__xludf.DUMMYFUNCTION("IF(OR(C290=""AÇÃO"",C290=""BDR""),IFERROR(GOOGLEFINANCE(CONCAT(""BVMF:"",CR290), ""volumeavg"")/1000000,""NC""),"""")"),"")</f>
        <v/>
      </c>
      <c r="CE290" s="870" t="s">
        <v>123</v>
      </c>
      <c r="CF290" s="870" t="s">
        <v>123</v>
      </c>
      <c r="CG290" s="870" t="str">
        <f>IFERROR(__xludf.DUMMYFUNCTION("IF(OR(C290=""AÇÃO"",C290=""BDR""),IF(CF290=0,""SEM DY"",IFERROR(ImportXML(CONCAT(""http://www.guiainvest.com.br/raiox/default.aspx?sigla="",$CR290),""//*[@id='lbPayoutAtual']""),""NC"")),"""")"),"")</f>
        <v/>
      </c>
      <c r="CH290" s="870" t="s">
        <v>123</v>
      </c>
      <c r="CI290" s="545"/>
      <c r="CJ290" s="871" t="str">
        <f>IFERROR(__xludf.DUMMYFUNCTION("IF(OR(C290=""AÇÃO"",C290=""BDR""),IFERROR(GOOGLEFINANCE(CONCAT(""BVMF:"",CR290), ""eps""),""NC""),"""")"),"")</f>
        <v/>
      </c>
      <c r="CK290" s="442"/>
      <c r="CL290" s="871" t="str">
        <f>IFERROR(__xludf.DUMMYFUNCTION("IF(NOT($BL$4),"""",IF($CR290="""","""",IF($BC290="""","""",IFERROR(query({op.normal!$B$5:$F308},""select Col5, toDate(Col2) where Col1 =  '""&amp;$CR290&amp;""' and Col4 &gt; 0 and ((Col3 is null) or (Col3 = 'C')) and Col2 &gt;= date '""&amp;TEXT(TODAY()-$AQ$5,""yyyy-mm-dd"&amp;""")&amp;""' order by Col2 desc limit 1 label toDate(Col2) ''"")))))"),"")</f>
        <v/>
      </c>
      <c r="CM290" s="872"/>
      <c r="CN290" s="883" t="s">
        <v>123</v>
      </c>
      <c r="CO290" s="874" t="s">
        <v>123</v>
      </c>
      <c r="CP290" s="766"/>
      <c r="CQ290" s="791"/>
      <c r="CR290" s="791"/>
      <c r="CT290" s="791" t="s">
        <v>123</v>
      </c>
      <c r="CU290" s="791" t="str">
        <f>IFERROR(__xludf.DUMMYFUNCTION("IF(CR290="""","""",IF(CT290=$C$4,1,GOOGLEFINANCE(CT290&amp;$C$4)))"),"")</f>
        <v/>
      </c>
    </row>
    <row r="291" ht="22.5" customHeight="1">
      <c r="A291" s="837">
        <v>283.0</v>
      </c>
      <c r="B291" s="838" t="s">
        <v>123</v>
      </c>
      <c r="C291" s="838" t="s">
        <v>123</v>
      </c>
      <c r="D291" s="839" t="s">
        <v>123</v>
      </c>
      <c r="E291" s="839" t="s">
        <v>123</v>
      </c>
      <c r="F291" s="839" t="s">
        <v>123</v>
      </c>
      <c r="H291" s="884"/>
      <c r="I291" s="838"/>
      <c r="J291" s="838"/>
      <c r="K291" s="838"/>
      <c r="L291" s="838"/>
      <c r="M291" s="838"/>
      <c r="N291" s="838"/>
      <c r="O291" s="838"/>
      <c r="P291" s="838"/>
      <c r="Q291" s="838"/>
      <c r="R291" s="838"/>
      <c r="S291" s="838"/>
      <c r="T291" s="838"/>
      <c r="U291" s="838"/>
      <c r="V291" s="838"/>
      <c r="W291" s="838"/>
      <c r="X291" s="838"/>
      <c r="Z291" s="875" t="str">
        <f>IFERROR(__xludf.DUMMYFUNCTION("IF($CR291="""","""",IFERROR(query({CarteirasAtivos},""select Col4 where Col4 is not null and Col1 = '""&amp;$CR291&amp;""' limit 1"")*CU291,""NC""))"),"")</f>
        <v/>
      </c>
      <c r="AA291" s="876" t="str">
        <f>IFERROR(__xludf.DUMMYFUNCTION("IF($CR291="""","""",IFERROR(query({CarteirasAtivos},""select Col6 where Col4 is not null and Col1 = '""&amp;$CR291&amp;""' limit 1""),""NC""))"),"")</f>
        <v/>
      </c>
      <c r="AB291" s="877"/>
      <c r="AC291" s="878" t="s">
        <v>123</v>
      </c>
      <c r="AD291" s="845" t="str">
        <f>IF($CR291="","",IFERROR(VLOOKUP($CR291,ativos.!$C$3:$R308,MATCH("cotacao",ativos.!$C$2:CY$2,0),FALSE)*$CU$5,"atualizar"))</f>
        <v/>
      </c>
      <c r="AE291" s="846" t="str">
        <f>IFERROR(__xludf.DUMMYFUNCTION("IF($CR291="""","""",IFERROR(AVERAGE(query({CarteirasAtivos;CarteirasAtivosEncerrados},""select Col5 where Col5 is not null and Col1 = '""&amp;$CR291&amp;""' and Col10='SIM'""))*CU291,""NC""))"),"")</f>
        <v/>
      </c>
      <c r="AF291" s="847" t="str">
        <f t="shared" si="1"/>
        <v/>
      </c>
      <c r="AG291" s="442"/>
      <c r="AH291" s="848" t="str">
        <f>IFERROR(__xludf.DUMMYFUNCTION("IF($CR291="""","""",IFERROR(GOOGLEFINANCE($CR291,""low52"")*CU291,""-""))"),"")</f>
        <v/>
      </c>
      <c r="AI291" s="848" t="str">
        <f>IFERROR(__xludf.DUMMYFUNCTION("IF($CR291="""","""",IFERROR(GOOGLEFINANCE($CR291,""high52"")*CU291,""-""))"),"")</f>
        <v/>
      </c>
      <c r="AJ291" s="849" t="s">
        <v>123</v>
      </c>
      <c r="AK291" s="850" t="str">
        <f>IFERROR(__xludf.DUMMYFUNCTION("IF($CR291="""","""",IFERROR(GOOGLEFINANCE($CR291,""changepct"")/100,""-""))"),"")</f>
        <v/>
      </c>
      <c r="AL291" s="851" t="str">
        <f>IFERROR(__xludf.DUMMYFUNCTION("IF($CR291="""","""",IFERROR(($AD291/(QUERY(GOOGLEFINANCE($CR291,""price"",TODAY()-7),""SELECT Col2 label Col2 ''"")*$CU291)-1),""-""))"),"")</f>
        <v/>
      </c>
      <c r="AM291" s="851" t="str">
        <f>IFERROR(__xludf.DUMMYFUNCTION("IF($CR291="""","""",IFERROR(($AD291/(QUERY(GOOGLEFINANCE($CR291,""price"",TODAY()-14),""SELECT Col2 label Col2 ''"")*$CU291)-1),""-""))"),"")</f>
        <v/>
      </c>
      <c r="AN291" s="851" t="str">
        <f>IFERROR(__xludf.DUMMYFUNCTION("IF($CR291="""","""",IFERROR(($AD291/(QUERY(GOOGLEFINANCE($CR291,""price"",TODAY()-28),""SELECT Col2 label Col2 ''"")*$CU291)-1),""-""))"),"")</f>
        <v/>
      </c>
      <c r="AO291" s="851" t="str">
        <f>IFERROR(__xludf.DUMMYFUNCTION("IF($CR291="""","""",IFERROR(($AD291/(QUERY(GOOGLEFINANCE($CR291,""price"",TODAY()-$AQ$5),""SELECT Col2 label Col2 ''"")*$CU291)-1),""-""))"),"")</f>
        <v/>
      </c>
      <c r="AP291" s="852" t="str">
        <f>IFERROR(__xludf.DUMMYFUNCTION("IF($CR291="""","""",IFERROR(SPARKLINE(query(GOOGLEFINANCE($CR291,""price"",TODAY()-$AQ$5,TODAY(),1),""select Col2 label Col2 ''""),IF($AP$7=""Gráfico de barras"",{""charttype"",""column"";""highcolor"",""red""},{""chartype"",""line""}))))"),"")</f>
        <v/>
      </c>
      <c r="AQ291" s="144"/>
      <c r="AR291" s="853"/>
      <c r="AS291" s="854" t="str">
        <f>IF($CR291="","",IF(NOT('alocação'!$D$1),"off",IFERROR(VLOOKUP(CR291,BalanceAtivos,3,0),"NC")))</f>
        <v/>
      </c>
      <c r="AT291" s="855" t="str">
        <f>IF($CR291="","",IF(NOT('alocação'!$D$1),"off",IFERROR(VLOOKUP($CR291,BalanceAtivos,4,0)*$CU$5,"NC")))</f>
        <v/>
      </c>
      <c r="AU291" s="856" t="str">
        <f>IF($CR291="","",IF(NOT('alocação'!$D$1),"off",IFERROR(VLOOKUP($CR291,BalanceAtivos,5,0),"-")))</f>
        <v/>
      </c>
      <c r="AV291" s="856" t="str">
        <f>IF($CR291="","",IF(NOT('alocação'!$D$1),"off",IFERROR(VLOOKUP($CR291,BalanceAtivos,6,0),"-")))</f>
        <v/>
      </c>
      <c r="AW291" s="857"/>
      <c r="AX291" s="858" t="str">
        <f>IF($CR291="","",IF($E291="","SP",IFERROR(VLOOKUP($CR291,AtivosDados,MATCH("pm_atual",portfolio.!$A$3:CY$3,0),0)*$CU$5,0)))</f>
        <v/>
      </c>
      <c r="AY291" s="859" t="str">
        <f t="shared" si="2"/>
        <v/>
      </c>
      <c r="AZ291" s="858" t="str">
        <f>IF($CR291="","",IF($E291="","SP",SUMIF(portfolio.!$A$4:$A308,$CR291,portfolio.!$O$4:$O308)*$CU$5))</f>
        <v/>
      </c>
      <c r="BA291" s="858" t="str">
        <f>IF($CR291="","",IF($E291="","SP",SUMIF(portfolio.!$A$4:$A308,$CR291,portfolio.!$AN$4:$AN308)*$CU$5))</f>
        <v/>
      </c>
      <c r="BB291" s="860" t="str">
        <f>IF($CR291="","",IF($E291="","-",IFERROR($BA291/'portfólio'!$DG$63,"")))</f>
        <v/>
      </c>
      <c r="BC291" s="861" t="str">
        <f>IF($CR291="","",IF($E291="","-",SUMIF(portfolio.!$A$4:$A308,$CR291,portfolio.!$J$4:$J308)))</f>
        <v/>
      </c>
      <c r="BD291" s="862" t="str">
        <f>IF($CR291="","",IF($E291="","SP",SUMIF(portfolio.!$A$4:$A308,$CR291,portfolio.!$AQ$4:$AQ308)*$CU$5))</f>
        <v/>
      </c>
      <c r="BE291" s="850" t="str">
        <f t="shared" si="3"/>
        <v/>
      </c>
      <c r="BF291" s="862" t="str">
        <f>IF($CR291="","",IF($E291="","-",SUMIF(portfolio.!$A$4:$A308,$CR291,portfolio.!$AX$4:$AX308)*$CU$5))</f>
        <v/>
      </c>
      <c r="BG291" s="545"/>
      <c r="BH291" s="879" t="s">
        <v>123</v>
      </c>
      <c r="BI291" s="880" t="s">
        <v>123</v>
      </c>
      <c r="BJ291" s="863" t="str">
        <f>IFERROR(__xludf.DUMMYFUNCTION("IF(NOT($BL$4),"""",IF($CR291="""","""",IFERROR(query({GOOGLEFINANCE($CR291,""price"",IF($BI291=""-"",TODAY()-($AQ$5+5),$BI291),TODAY()-1)},""Select max(Col2) where Col1 is not null label max(Col2) ''"")*CU291,""-"")))"),"")</f>
        <v/>
      </c>
      <c r="BK291" s="881" t="s">
        <v>123</v>
      </c>
      <c r="BL291" s="882" t="s">
        <v>123</v>
      </c>
      <c r="BM291" s="442"/>
      <c r="BN291" s="867" t="str">
        <f>IFERROR(__xludf.DUMMYFUNCTION("IF(CR291="""","""",IF(OR(C291=""AÇÃO"",C291=""BDR""),IFERROR(QUERY({fundamentus.!$A$3:$U308},$CX$67&amp;"" where Col1='""&amp;CR291&amp;""' limit 1"",0)),IF(C291=""FII"",IFERROR(QUERY({fundsexplorer.!$A$2:$Z308},$CY$67&amp;"" where Col1='""&amp;CR291&amp;""' limit 1"",0)),""""))"&amp;")"),"")</f>
        <v/>
      </c>
      <c r="BO291" s="867"/>
      <c r="BP291" s="867"/>
      <c r="BQ291" s="867"/>
      <c r="BR291" s="867"/>
      <c r="BS291" s="867"/>
      <c r="BT291" s="867"/>
      <c r="BU291" s="442"/>
      <c r="BV291" s="868" t="str">
        <f>IFERROR(__xludf.DUMMYFUNCTION("IF(OR(C291=""AÇÃO"",C291=""BDR""),IFERROR(GOOGLEFINANCE(CONCAT(""BVMF:"",CR291), ""marketcap"")/1000000,""NC""),"""")"),"")</f>
        <v/>
      </c>
      <c r="BW291" s="869" t="s">
        <v>123</v>
      </c>
      <c r="BX291" s="870" t="s">
        <v>123</v>
      </c>
      <c r="BY291" s="868" t="s">
        <v>123</v>
      </c>
      <c r="BZ291" s="870" t="s">
        <v>123</v>
      </c>
      <c r="CA291" s="868" t="s">
        <v>123</v>
      </c>
      <c r="CB291" s="868" t="s">
        <v>123</v>
      </c>
      <c r="CC291" s="868" t="s">
        <v>123</v>
      </c>
      <c r="CD291" s="868" t="str">
        <f>IFERROR(__xludf.DUMMYFUNCTION("IF(OR(C291=""AÇÃO"",C291=""BDR""),IFERROR(GOOGLEFINANCE(CONCAT(""BVMF:"",CR291), ""volumeavg"")/1000000,""NC""),"""")"),"")</f>
        <v/>
      </c>
      <c r="CE291" s="870" t="s">
        <v>123</v>
      </c>
      <c r="CF291" s="870" t="s">
        <v>123</v>
      </c>
      <c r="CG291" s="870" t="str">
        <f>IFERROR(__xludf.DUMMYFUNCTION("IF(OR(C291=""AÇÃO"",C291=""BDR""),IF(CF291=0,""SEM DY"",IFERROR(ImportXML(CONCAT(""http://www.guiainvest.com.br/raiox/default.aspx?sigla="",$CR291),""//*[@id='lbPayoutAtual']""),""NC"")),"""")"),"")</f>
        <v/>
      </c>
      <c r="CH291" s="870" t="s">
        <v>123</v>
      </c>
      <c r="CI291" s="545"/>
      <c r="CJ291" s="871" t="str">
        <f>IFERROR(__xludf.DUMMYFUNCTION("IF(OR(C291=""AÇÃO"",C291=""BDR""),IFERROR(GOOGLEFINANCE(CONCAT(""BVMF:"",CR291), ""eps""),""NC""),"""")"),"")</f>
        <v/>
      </c>
      <c r="CK291" s="442"/>
      <c r="CL291" s="871" t="str">
        <f>IFERROR(__xludf.DUMMYFUNCTION("IF(NOT($BL$4),"""",IF($CR291="""","""",IF($BC291="""","""",IFERROR(query({op.normal!$B$5:$F308},""select Col5, toDate(Col2) where Col1 =  '""&amp;$CR291&amp;""' and Col4 &gt; 0 and ((Col3 is null) or (Col3 = 'C')) and Col2 &gt;= date '""&amp;TEXT(TODAY()-$AQ$5,""yyyy-mm-dd"&amp;""")&amp;""' order by Col2 desc limit 1 label toDate(Col2) ''"")))))"),"")</f>
        <v/>
      </c>
      <c r="CM291" s="872"/>
      <c r="CN291" s="883" t="s">
        <v>123</v>
      </c>
      <c r="CO291" s="874" t="s">
        <v>123</v>
      </c>
      <c r="CP291" s="766"/>
      <c r="CQ291" s="791"/>
      <c r="CR291" s="791"/>
      <c r="CT291" s="791" t="s">
        <v>123</v>
      </c>
      <c r="CU291" s="791" t="str">
        <f>IFERROR(__xludf.DUMMYFUNCTION("IF(CR291="""","""",IF(CT291=$C$4,1,GOOGLEFINANCE(CT291&amp;$C$4)))"),"")</f>
        <v/>
      </c>
    </row>
    <row r="292" ht="22.5" customHeight="1">
      <c r="A292" s="837">
        <v>284.0</v>
      </c>
      <c r="B292" s="838" t="s">
        <v>123</v>
      </c>
      <c r="C292" s="838" t="s">
        <v>123</v>
      </c>
      <c r="D292" s="839" t="s">
        <v>123</v>
      </c>
      <c r="E292" s="839" t="s">
        <v>123</v>
      </c>
      <c r="F292" s="839" t="s">
        <v>123</v>
      </c>
      <c r="H292" s="884"/>
      <c r="I292" s="838"/>
      <c r="J292" s="838"/>
      <c r="K292" s="838"/>
      <c r="L292" s="838"/>
      <c r="M292" s="838"/>
      <c r="N292" s="838"/>
      <c r="O292" s="838"/>
      <c r="P292" s="838"/>
      <c r="Q292" s="838"/>
      <c r="R292" s="838"/>
      <c r="S292" s="838"/>
      <c r="T292" s="838"/>
      <c r="U292" s="838"/>
      <c r="V292" s="838"/>
      <c r="W292" s="838"/>
      <c r="X292" s="838"/>
      <c r="Z292" s="875" t="str">
        <f>IFERROR(__xludf.DUMMYFUNCTION("IF($CR292="""","""",IFERROR(query({CarteirasAtivos},""select Col4 where Col4 is not null and Col1 = '""&amp;$CR292&amp;""' limit 1"")*CU292,""NC""))"),"")</f>
        <v/>
      </c>
      <c r="AA292" s="876" t="str">
        <f>IFERROR(__xludf.DUMMYFUNCTION("IF($CR292="""","""",IFERROR(query({CarteirasAtivos},""select Col6 where Col4 is not null and Col1 = '""&amp;$CR292&amp;""' limit 1""),""NC""))"),"")</f>
        <v/>
      </c>
      <c r="AB292" s="877"/>
      <c r="AC292" s="878" t="s">
        <v>123</v>
      </c>
      <c r="AD292" s="845" t="str">
        <f>IF($CR292="","",IFERROR(VLOOKUP($CR292,ativos.!$C$3:$R308,MATCH("cotacao",ativos.!$C$2:CY$2,0),FALSE)*$CU$5,"atualizar"))</f>
        <v/>
      </c>
      <c r="AE292" s="846" t="str">
        <f>IFERROR(__xludf.DUMMYFUNCTION("IF($CR292="""","""",IFERROR(AVERAGE(query({CarteirasAtivos;CarteirasAtivosEncerrados},""select Col5 where Col5 is not null and Col1 = '""&amp;$CR292&amp;""' and Col10='SIM'""))*CU292,""NC""))"),"")</f>
        <v/>
      </c>
      <c r="AF292" s="847" t="str">
        <f t="shared" si="1"/>
        <v/>
      </c>
      <c r="AG292" s="442"/>
      <c r="AH292" s="848" t="str">
        <f>IFERROR(__xludf.DUMMYFUNCTION("IF($CR292="""","""",IFERROR(GOOGLEFINANCE($CR292,""low52"")*CU292,""-""))"),"")</f>
        <v/>
      </c>
      <c r="AI292" s="848" t="str">
        <f>IFERROR(__xludf.DUMMYFUNCTION("IF($CR292="""","""",IFERROR(GOOGLEFINANCE($CR292,""high52"")*CU292,""-""))"),"")</f>
        <v/>
      </c>
      <c r="AJ292" s="849" t="s">
        <v>123</v>
      </c>
      <c r="AK292" s="850" t="str">
        <f>IFERROR(__xludf.DUMMYFUNCTION("IF($CR292="""","""",IFERROR(GOOGLEFINANCE($CR292,""changepct"")/100,""-""))"),"")</f>
        <v/>
      </c>
      <c r="AL292" s="851" t="str">
        <f>IFERROR(__xludf.DUMMYFUNCTION("IF($CR292="""","""",IFERROR(($AD292/(QUERY(GOOGLEFINANCE($CR292,""price"",TODAY()-7),""SELECT Col2 label Col2 ''"")*$CU292)-1),""-""))"),"")</f>
        <v/>
      </c>
      <c r="AM292" s="851" t="str">
        <f>IFERROR(__xludf.DUMMYFUNCTION("IF($CR292="""","""",IFERROR(($AD292/(QUERY(GOOGLEFINANCE($CR292,""price"",TODAY()-14),""SELECT Col2 label Col2 ''"")*$CU292)-1),""-""))"),"")</f>
        <v/>
      </c>
      <c r="AN292" s="851" t="str">
        <f>IFERROR(__xludf.DUMMYFUNCTION("IF($CR292="""","""",IFERROR(($AD292/(QUERY(GOOGLEFINANCE($CR292,""price"",TODAY()-28),""SELECT Col2 label Col2 ''"")*$CU292)-1),""-""))"),"")</f>
        <v/>
      </c>
      <c r="AO292" s="851" t="str">
        <f>IFERROR(__xludf.DUMMYFUNCTION("IF($CR292="""","""",IFERROR(($AD292/(QUERY(GOOGLEFINANCE($CR292,""price"",TODAY()-$AQ$5),""SELECT Col2 label Col2 ''"")*$CU292)-1),""-""))"),"")</f>
        <v/>
      </c>
      <c r="AP292" s="852" t="str">
        <f>IFERROR(__xludf.DUMMYFUNCTION("IF($CR292="""","""",IFERROR(SPARKLINE(query(GOOGLEFINANCE($CR292,""price"",TODAY()-$AQ$5,TODAY(),1),""select Col2 label Col2 ''""),IF($AP$7=""Gráfico de barras"",{""charttype"",""column"";""highcolor"",""red""},{""chartype"",""line""}))))"),"")</f>
        <v/>
      </c>
      <c r="AQ292" s="144"/>
      <c r="AR292" s="853"/>
      <c r="AS292" s="854" t="str">
        <f>IF($CR292="","",IF(NOT('alocação'!$D$1),"off",IFERROR(VLOOKUP(CR292,BalanceAtivos,3,0),"NC")))</f>
        <v/>
      </c>
      <c r="AT292" s="855" t="str">
        <f>IF($CR292="","",IF(NOT('alocação'!$D$1),"off",IFERROR(VLOOKUP($CR292,BalanceAtivos,4,0)*$CU$5,"NC")))</f>
        <v/>
      </c>
      <c r="AU292" s="856" t="str">
        <f>IF($CR292="","",IF(NOT('alocação'!$D$1),"off",IFERROR(VLOOKUP($CR292,BalanceAtivos,5,0),"-")))</f>
        <v/>
      </c>
      <c r="AV292" s="856" t="str">
        <f>IF($CR292="","",IF(NOT('alocação'!$D$1),"off",IFERROR(VLOOKUP($CR292,BalanceAtivos,6,0),"-")))</f>
        <v/>
      </c>
      <c r="AW292" s="857"/>
      <c r="AX292" s="858" t="str">
        <f>IF($CR292="","",IF($E292="","SP",IFERROR(VLOOKUP($CR292,AtivosDados,MATCH("pm_atual",portfolio.!$A$3:CY$3,0),0)*$CU$5,0)))</f>
        <v/>
      </c>
      <c r="AY292" s="859" t="str">
        <f t="shared" si="2"/>
        <v/>
      </c>
      <c r="AZ292" s="858" t="str">
        <f>IF($CR292="","",IF($E292="","SP",SUMIF(portfolio.!$A$4:$A308,$CR292,portfolio.!$O$4:$O308)*$CU$5))</f>
        <v/>
      </c>
      <c r="BA292" s="858" t="str">
        <f>IF($CR292="","",IF($E292="","SP",SUMIF(portfolio.!$A$4:$A308,$CR292,portfolio.!$AN$4:$AN308)*$CU$5))</f>
        <v/>
      </c>
      <c r="BB292" s="860" t="str">
        <f>IF($CR292="","",IF($E292="","-",IFERROR($BA292/'portfólio'!$DG$63,"")))</f>
        <v/>
      </c>
      <c r="BC292" s="861" t="str">
        <f>IF($CR292="","",IF($E292="","-",SUMIF(portfolio.!$A$4:$A308,$CR292,portfolio.!$J$4:$J308)))</f>
        <v/>
      </c>
      <c r="BD292" s="862" t="str">
        <f>IF($CR292="","",IF($E292="","SP",SUMIF(portfolio.!$A$4:$A308,$CR292,portfolio.!$AQ$4:$AQ308)*$CU$5))</f>
        <v/>
      </c>
      <c r="BE292" s="850" t="str">
        <f t="shared" si="3"/>
        <v/>
      </c>
      <c r="BF292" s="862" t="str">
        <f>IF($CR292="","",IF($E292="","-",SUMIF(portfolio.!$A$4:$A308,$CR292,portfolio.!$AX$4:$AX308)*$CU$5))</f>
        <v/>
      </c>
      <c r="BG292" s="545"/>
      <c r="BH292" s="879" t="s">
        <v>123</v>
      </c>
      <c r="BI292" s="880" t="s">
        <v>123</v>
      </c>
      <c r="BJ292" s="863" t="str">
        <f>IFERROR(__xludf.DUMMYFUNCTION("IF(NOT($BL$4),"""",IF($CR292="""","""",IFERROR(query({GOOGLEFINANCE($CR292,""price"",IF($BI292=""-"",TODAY()-($AQ$5+5),$BI292),TODAY()-1)},""Select max(Col2) where Col1 is not null label max(Col2) ''"")*CU292,""-"")))"),"")</f>
        <v/>
      </c>
      <c r="BK292" s="881" t="s">
        <v>123</v>
      </c>
      <c r="BL292" s="882" t="s">
        <v>123</v>
      </c>
      <c r="BM292" s="442"/>
      <c r="BN292" s="867" t="str">
        <f>IFERROR(__xludf.DUMMYFUNCTION("IF(CR292="""","""",IF(OR(C292=""AÇÃO"",C292=""BDR""),IFERROR(QUERY({fundamentus.!$A$3:$U308},$CX$67&amp;"" where Col1='""&amp;CR292&amp;""' limit 1"",0)),IF(C292=""FII"",IFERROR(QUERY({fundsexplorer.!$A$2:$Z308},$CY$67&amp;"" where Col1='""&amp;CR292&amp;""' limit 1"",0)),""""))"&amp;")"),"")</f>
        <v/>
      </c>
      <c r="BO292" s="867"/>
      <c r="BP292" s="867"/>
      <c r="BQ292" s="867"/>
      <c r="BR292" s="867"/>
      <c r="BS292" s="867"/>
      <c r="BT292" s="867"/>
      <c r="BU292" s="442"/>
      <c r="BV292" s="868" t="str">
        <f>IFERROR(__xludf.DUMMYFUNCTION("IF(OR(C292=""AÇÃO"",C292=""BDR""),IFERROR(GOOGLEFINANCE(CONCAT(""BVMF:"",CR292), ""marketcap"")/1000000,""NC""),"""")"),"")</f>
        <v/>
      </c>
      <c r="BW292" s="869" t="s">
        <v>123</v>
      </c>
      <c r="BX292" s="870" t="s">
        <v>123</v>
      </c>
      <c r="BY292" s="868" t="s">
        <v>123</v>
      </c>
      <c r="BZ292" s="870" t="s">
        <v>123</v>
      </c>
      <c r="CA292" s="868" t="s">
        <v>123</v>
      </c>
      <c r="CB292" s="868" t="s">
        <v>123</v>
      </c>
      <c r="CC292" s="868" t="s">
        <v>123</v>
      </c>
      <c r="CD292" s="868" t="str">
        <f>IFERROR(__xludf.DUMMYFUNCTION("IF(OR(C292=""AÇÃO"",C292=""BDR""),IFERROR(GOOGLEFINANCE(CONCAT(""BVMF:"",CR292), ""volumeavg"")/1000000,""NC""),"""")"),"")</f>
        <v/>
      </c>
      <c r="CE292" s="870" t="s">
        <v>123</v>
      </c>
      <c r="CF292" s="870" t="s">
        <v>123</v>
      </c>
      <c r="CG292" s="870" t="str">
        <f>IFERROR(__xludf.DUMMYFUNCTION("IF(OR(C292=""AÇÃO"",C292=""BDR""),IF(CF292=0,""SEM DY"",IFERROR(ImportXML(CONCAT(""http://www.guiainvest.com.br/raiox/default.aspx?sigla="",$CR292),""//*[@id='lbPayoutAtual']""),""NC"")),"""")"),"")</f>
        <v/>
      </c>
      <c r="CH292" s="870" t="s">
        <v>123</v>
      </c>
      <c r="CI292" s="545"/>
      <c r="CJ292" s="871" t="str">
        <f>IFERROR(__xludf.DUMMYFUNCTION("IF(OR(C292=""AÇÃO"",C292=""BDR""),IFERROR(GOOGLEFINANCE(CONCAT(""BVMF:"",CR292), ""eps""),""NC""),"""")"),"")</f>
        <v/>
      </c>
      <c r="CK292" s="442"/>
      <c r="CL292" s="871" t="str">
        <f>IFERROR(__xludf.DUMMYFUNCTION("IF(NOT($BL$4),"""",IF($CR292="""","""",IF($BC292="""","""",IFERROR(query({op.normal!$B$5:$F308},""select Col5, toDate(Col2) where Col1 =  '""&amp;$CR292&amp;""' and Col4 &gt; 0 and ((Col3 is null) or (Col3 = 'C')) and Col2 &gt;= date '""&amp;TEXT(TODAY()-$AQ$5,""yyyy-mm-dd"&amp;""")&amp;""' order by Col2 desc limit 1 label toDate(Col2) ''"")))))"),"")</f>
        <v/>
      </c>
      <c r="CM292" s="872"/>
      <c r="CN292" s="883" t="s">
        <v>123</v>
      </c>
      <c r="CO292" s="874" t="s">
        <v>123</v>
      </c>
      <c r="CP292" s="766"/>
      <c r="CQ292" s="791"/>
      <c r="CR292" s="791"/>
      <c r="CT292" s="791" t="s">
        <v>123</v>
      </c>
      <c r="CU292" s="791" t="str">
        <f>IFERROR(__xludf.DUMMYFUNCTION("IF(CR292="""","""",IF(CT292=$C$4,1,GOOGLEFINANCE(CT292&amp;$C$4)))"),"")</f>
        <v/>
      </c>
    </row>
    <row r="293" ht="22.5" customHeight="1">
      <c r="A293" s="837">
        <v>285.0</v>
      </c>
      <c r="B293" s="838" t="s">
        <v>123</v>
      </c>
      <c r="C293" s="838" t="s">
        <v>123</v>
      </c>
      <c r="D293" s="839" t="s">
        <v>123</v>
      </c>
      <c r="E293" s="839" t="s">
        <v>123</v>
      </c>
      <c r="F293" s="839" t="s">
        <v>123</v>
      </c>
      <c r="H293" s="884"/>
      <c r="I293" s="838"/>
      <c r="J293" s="838"/>
      <c r="K293" s="838"/>
      <c r="L293" s="838"/>
      <c r="M293" s="838"/>
      <c r="N293" s="838"/>
      <c r="O293" s="838"/>
      <c r="P293" s="838"/>
      <c r="Q293" s="838"/>
      <c r="R293" s="838"/>
      <c r="S293" s="838"/>
      <c r="T293" s="838"/>
      <c r="U293" s="838"/>
      <c r="V293" s="838"/>
      <c r="W293" s="838"/>
      <c r="X293" s="838"/>
      <c r="Z293" s="875" t="str">
        <f>IFERROR(__xludf.DUMMYFUNCTION("IF($CR293="""","""",IFERROR(query({CarteirasAtivos},""select Col4 where Col4 is not null and Col1 = '""&amp;$CR293&amp;""' limit 1"")*CU293,""NC""))"),"")</f>
        <v/>
      </c>
      <c r="AA293" s="876" t="str">
        <f>IFERROR(__xludf.DUMMYFUNCTION("IF($CR293="""","""",IFERROR(query({CarteirasAtivos},""select Col6 where Col4 is not null and Col1 = '""&amp;$CR293&amp;""' limit 1""),""NC""))"),"")</f>
        <v/>
      </c>
      <c r="AB293" s="877"/>
      <c r="AC293" s="878" t="s">
        <v>123</v>
      </c>
      <c r="AD293" s="845" t="str">
        <f>IF($CR293="","",IFERROR(VLOOKUP($CR293,ativos.!$C$3:$R308,MATCH("cotacao",ativos.!$C$2:CY$2,0),FALSE)*$CU$5,"atualizar"))</f>
        <v/>
      </c>
      <c r="AE293" s="846" t="str">
        <f>IFERROR(__xludf.DUMMYFUNCTION("IF($CR293="""","""",IFERROR(AVERAGE(query({CarteirasAtivos;CarteirasAtivosEncerrados},""select Col5 where Col5 is not null and Col1 = '""&amp;$CR293&amp;""' and Col10='SIM'""))*CU293,""NC""))"),"")</f>
        <v/>
      </c>
      <c r="AF293" s="847" t="str">
        <f t="shared" si="1"/>
        <v/>
      </c>
      <c r="AG293" s="442"/>
      <c r="AH293" s="848" t="str">
        <f>IFERROR(__xludf.DUMMYFUNCTION("IF($CR293="""","""",IFERROR(GOOGLEFINANCE($CR293,""low52"")*CU293,""-""))"),"")</f>
        <v/>
      </c>
      <c r="AI293" s="848" t="str">
        <f>IFERROR(__xludf.DUMMYFUNCTION("IF($CR293="""","""",IFERROR(GOOGLEFINANCE($CR293,""high52"")*CU293,""-""))"),"")</f>
        <v/>
      </c>
      <c r="AJ293" s="849" t="s">
        <v>123</v>
      </c>
      <c r="AK293" s="850" t="str">
        <f>IFERROR(__xludf.DUMMYFUNCTION("IF($CR293="""","""",IFERROR(GOOGLEFINANCE($CR293,""changepct"")/100,""-""))"),"")</f>
        <v/>
      </c>
      <c r="AL293" s="851" t="str">
        <f>IFERROR(__xludf.DUMMYFUNCTION("IF($CR293="""","""",IFERROR(($AD293/(QUERY(GOOGLEFINANCE($CR293,""price"",TODAY()-7),""SELECT Col2 label Col2 ''"")*$CU293)-1),""-""))"),"")</f>
        <v/>
      </c>
      <c r="AM293" s="851" t="str">
        <f>IFERROR(__xludf.DUMMYFUNCTION("IF($CR293="""","""",IFERROR(($AD293/(QUERY(GOOGLEFINANCE($CR293,""price"",TODAY()-14),""SELECT Col2 label Col2 ''"")*$CU293)-1),""-""))"),"")</f>
        <v/>
      </c>
      <c r="AN293" s="851" t="str">
        <f>IFERROR(__xludf.DUMMYFUNCTION("IF($CR293="""","""",IFERROR(($AD293/(QUERY(GOOGLEFINANCE($CR293,""price"",TODAY()-28),""SELECT Col2 label Col2 ''"")*$CU293)-1),""-""))"),"")</f>
        <v/>
      </c>
      <c r="AO293" s="851" t="str">
        <f>IFERROR(__xludf.DUMMYFUNCTION("IF($CR293="""","""",IFERROR(($AD293/(QUERY(GOOGLEFINANCE($CR293,""price"",TODAY()-$AQ$5),""SELECT Col2 label Col2 ''"")*$CU293)-1),""-""))"),"")</f>
        <v/>
      </c>
      <c r="AP293" s="852" t="str">
        <f>IFERROR(__xludf.DUMMYFUNCTION("IF($CR293="""","""",IFERROR(SPARKLINE(query(GOOGLEFINANCE($CR293,""price"",TODAY()-$AQ$5,TODAY(),1),""select Col2 label Col2 ''""),IF($AP$7=""Gráfico de barras"",{""charttype"",""column"";""highcolor"",""red""},{""chartype"",""line""}))))"),"")</f>
        <v/>
      </c>
      <c r="AQ293" s="144"/>
      <c r="AR293" s="853"/>
      <c r="AS293" s="854" t="str">
        <f>IF($CR293="","",IF(NOT('alocação'!$D$1),"off",IFERROR(VLOOKUP(CR293,BalanceAtivos,3,0),"NC")))</f>
        <v/>
      </c>
      <c r="AT293" s="855" t="str">
        <f>IF($CR293="","",IF(NOT('alocação'!$D$1),"off",IFERROR(VLOOKUP($CR293,BalanceAtivos,4,0)*$CU$5,"NC")))</f>
        <v/>
      </c>
      <c r="AU293" s="856" t="str">
        <f>IF($CR293="","",IF(NOT('alocação'!$D$1),"off",IFERROR(VLOOKUP($CR293,BalanceAtivos,5,0),"-")))</f>
        <v/>
      </c>
      <c r="AV293" s="856" t="str">
        <f>IF($CR293="","",IF(NOT('alocação'!$D$1),"off",IFERROR(VLOOKUP($CR293,BalanceAtivos,6,0),"-")))</f>
        <v/>
      </c>
      <c r="AW293" s="857"/>
      <c r="AX293" s="858" t="str">
        <f>IF($CR293="","",IF($E293="","SP",IFERROR(VLOOKUP($CR293,AtivosDados,MATCH("pm_atual",portfolio.!$A$3:CY$3,0),0)*$CU$5,0)))</f>
        <v/>
      </c>
      <c r="AY293" s="859" t="str">
        <f t="shared" si="2"/>
        <v/>
      </c>
      <c r="AZ293" s="858" t="str">
        <f>IF($CR293="","",IF($E293="","SP",SUMIF(portfolio.!$A$4:$A308,$CR293,portfolio.!$O$4:$O308)*$CU$5))</f>
        <v/>
      </c>
      <c r="BA293" s="858" t="str">
        <f>IF($CR293="","",IF($E293="","SP",SUMIF(portfolio.!$A$4:$A308,$CR293,portfolio.!$AN$4:$AN308)*$CU$5))</f>
        <v/>
      </c>
      <c r="BB293" s="860" t="str">
        <f>IF($CR293="","",IF($E293="","-",IFERROR($BA293/'portfólio'!$DG$63,"")))</f>
        <v/>
      </c>
      <c r="BC293" s="861" t="str">
        <f>IF($CR293="","",IF($E293="","-",SUMIF(portfolio.!$A$4:$A308,$CR293,portfolio.!$J$4:$J308)))</f>
        <v/>
      </c>
      <c r="BD293" s="862" t="str">
        <f>IF($CR293="","",IF($E293="","SP",SUMIF(portfolio.!$A$4:$A308,$CR293,portfolio.!$AQ$4:$AQ308)*$CU$5))</f>
        <v/>
      </c>
      <c r="BE293" s="850" t="str">
        <f t="shared" si="3"/>
        <v/>
      </c>
      <c r="BF293" s="862" t="str">
        <f>IF($CR293="","",IF($E293="","-",SUMIF(portfolio.!$A$4:$A308,$CR293,portfolio.!$AX$4:$AX308)*$CU$5))</f>
        <v/>
      </c>
      <c r="BG293" s="545"/>
      <c r="BH293" s="879" t="s">
        <v>123</v>
      </c>
      <c r="BI293" s="880" t="s">
        <v>123</v>
      </c>
      <c r="BJ293" s="863" t="str">
        <f>IFERROR(__xludf.DUMMYFUNCTION("IF(NOT($BL$4),"""",IF($CR293="""","""",IFERROR(query({GOOGLEFINANCE($CR293,""price"",IF($BI293=""-"",TODAY()-($AQ$5+5),$BI293),TODAY()-1)},""Select max(Col2) where Col1 is not null label max(Col2) ''"")*CU293,""-"")))"),"")</f>
        <v/>
      </c>
      <c r="BK293" s="881" t="s">
        <v>123</v>
      </c>
      <c r="BL293" s="882" t="s">
        <v>123</v>
      </c>
      <c r="BM293" s="442"/>
      <c r="BN293" s="867" t="str">
        <f>IFERROR(__xludf.DUMMYFUNCTION("IF(CR293="""","""",IF(OR(C293=""AÇÃO"",C293=""BDR""),IFERROR(QUERY({fundamentus.!$A$3:$U308},$CX$67&amp;"" where Col1='""&amp;CR293&amp;""' limit 1"",0)),IF(C293=""FII"",IFERROR(QUERY({fundsexplorer.!$A$2:$Z308},$CY$67&amp;"" where Col1='""&amp;CR293&amp;""' limit 1"",0)),""""))"&amp;")"),"")</f>
        <v/>
      </c>
      <c r="BO293" s="867"/>
      <c r="BP293" s="867"/>
      <c r="BQ293" s="867"/>
      <c r="BR293" s="867"/>
      <c r="BS293" s="867"/>
      <c r="BT293" s="867"/>
      <c r="BU293" s="442"/>
      <c r="BV293" s="868" t="str">
        <f>IFERROR(__xludf.DUMMYFUNCTION("IF(OR(C293=""AÇÃO"",C293=""BDR""),IFERROR(GOOGLEFINANCE(CONCAT(""BVMF:"",CR293), ""marketcap"")/1000000,""NC""),"""")"),"")</f>
        <v/>
      </c>
      <c r="BW293" s="869" t="s">
        <v>123</v>
      </c>
      <c r="BX293" s="870" t="s">
        <v>123</v>
      </c>
      <c r="BY293" s="868" t="s">
        <v>123</v>
      </c>
      <c r="BZ293" s="870" t="s">
        <v>123</v>
      </c>
      <c r="CA293" s="868" t="s">
        <v>123</v>
      </c>
      <c r="CB293" s="868" t="s">
        <v>123</v>
      </c>
      <c r="CC293" s="868" t="s">
        <v>123</v>
      </c>
      <c r="CD293" s="868" t="str">
        <f>IFERROR(__xludf.DUMMYFUNCTION("IF(OR(C293=""AÇÃO"",C293=""BDR""),IFERROR(GOOGLEFINANCE(CONCAT(""BVMF:"",CR293), ""volumeavg"")/1000000,""NC""),"""")"),"")</f>
        <v/>
      </c>
      <c r="CE293" s="870" t="s">
        <v>123</v>
      </c>
      <c r="CF293" s="870" t="s">
        <v>123</v>
      </c>
      <c r="CG293" s="870" t="str">
        <f>IFERROR(__xludf.DUMMYFUNCTION("IF(OR(C293=""AÇÃO"",C293=""BDR""),IF(CF293=0,""SEM DY"",IFERROR(ImportXML(CONCAT(""http://www.guiainvest.com.br/raiox/default.aspx?sigla="",$CR293),""//*[@id='lbPayoutAtual']""),""NC"")),"""")"),"")</f>
        <v/>
      </c>
      <c r="CH293" s="870" t="s">
        <v>123</v>
      </c>
      <c r="CI293" s="545"/>
      <c r="CJ293" s="871" t="str">
        <f>IFERROR(__xludf.DUMMYFUNCTION("IF(OR(C293=""AÇÃO"",C293=""BDR""),IFERROR(GOOGLEFINANCE(CONCAT(""BVMF:"",CR293), ""eps""),""NC""),"""")"),"")</f>
        <v/>
      </c>
      <c r="CK293" s="442"/>
      <c r="CL293" s="871" t="str">
        <f>IFERROR(__xludf.DUMMYFUNCTION("IF(NOT($BL$4),"""",IF($CR293="""","""",IF($BC293="""","""",IFERROR(query({op.normal!$B$5:$F308},""select Col5, toDate(Col2) where Col1 =  '""&amp;$CR293&amp;""' and Col4 &gt; 0 and ((Col3 is null) or (Col3 = 'C')) and Col2 &gt;= date '""&amp;TEXT(TODAY()-$AQ$5,""yyyy-mm-dd"&amp;""")&amp;""' order by Col2 desc limit 1 label toDate(Col2) ''"")))))"),"")</f>
        <v/>
      </c>
      <c r="CM293" s="872"/>
      <c r="CN293" s="883" t="s">
        <v>123</v>
      </c>
      <c r="CO293" s="874" t="s">
        <v>123</v>
      </c>
      <c r="CP293" s="766"/>
      <c r="CQ293" s="791"/>
      <c r="CR293" s="791"/>
      <c r="CT293" s="791" t="s">
        <v>123</v>
      </c>
      <c r="CU293" s="791" t="str">
        <f>IFERROR(__xludf.DUMMYFUNCTION("IF(CR293="""","""",IF(CT293=$C$4,1,GOOGLEFINANCE(CT293&amp;$C$4)))"),"")</f>
        <v/>
      </c>
    </row>
    <row r="294" ht="22.5" customHeight="1">
      <c r="A294" s="837">
        <v>286.0</v>
      </c>
      <c r="B294" s="838" t="s">
        <v>123</v>
      </c>
      <c r="C294" s="838" t="s">
        <v>123</v>
      </c>
      <c r="D294" s="839" t="s">
        <v>123</v>
      </c>
      <c r="E294" s="839" t="s">
        <v>123</v>
      </c>
      <c r="F294" s="839" t="s">
        <v>123</v>
      </c>
      <c r="H294" s="884"/>
      <c r="I294" s="838"/>
      <c r="J294" s="838"/>
      <c r="K294" s="838"/>
      <c r="L294" s="838"/>
      <c r="M294" s="838"/>
      <c r="N294" s="838"/>
      <c r="O294" s="838"/>
      <c r="P294" s="838"/>
      <c r="Q294" s="838"/>
      <c r="R294" s="838"/>
      <c r="S294" s="838"/>
      <c r="T294" s="838"/>
      <c r="U294" s="838"/>
      <c r="V294" s="838"/>
      <c r="W294" s="838"/>
      <c r="X294" s="838"/>
      <c r="Z294" s="875" t="str">
        <f>IFERROR(__xludf.DUMMYFUNCTION("IF($CR294="""","""",IFERROR(query({CarteirasAtivos},""select Col4 where Col4 is not null and Col1 = '""&amp;$CR294&amp;""' limit 1"")*CU294,""NC""))"),"")</f>
        <v/>
      </c>
      <c r="AA294" s="876" t="str">
        <f>IFERROR(__xludf.DUMMYFUNCTION("IF($CR294="""","""",IFERROR(query({CarteirasAtivos},""select Col6 where Col4 is not null and Col1 = '""&amp;$CR294&amp;""' limit 1""),""NC""))"),"")</f>
        <v/>
      </c>
      <c r="AB294" s="877"/>
      <c r="AC294" s="878" t="s">
        <v>123</v>
      </c>
      <c r="AD294" s="845" t="str">
        <f>IF($CR294="","",IFERROR(VLOOKUP($CR294,ativos.!$C$3:$R308,MATCH("cotacao",ativos.!$C$2:CY$2,0),FALSE)*$CU$5,"atualizar"))</f>
        <v/>
      </c>
      <c r="AE294" s="846" t="str">
        <f>IFERROR(__xludf.DUMMYFUNCTION("IF($CR294="""","""",IFERROR(AVERAGE(query({CarteirasAtivos;CarteirasAtivosEncerrados},""select Col5 where Col5 is not null and Col1 = '""&amp;$CR294&amp;""' and Col10='SIM'""))*CU294,""NC""))"),"")</f>
        <v/>
      </c>
      <c r="AF294" s="847" t="str">
        <f t="shared" si="1"/>
        <v/>
      </c>
      <c r="AG294" s="442"/>
      <c r="AH294" s="848" t="str">
        <f>IFERROR(__xludf.DUMMYFUNCTION("IF($CR294="""","""",IFERROR(GOOGLEFINANCE($CR294,""low52"")*CU294,""-""))"),"")</f>
        <v/>
      </c>
      <c r="AI294" s="848" t="str">
        <f>IFERROR(__xludf.DUMMYFUNCTION("IF($CR294="""","""",IFERROR(GOOGLEFINANCE($CR294,""high52"")*CU294,""-""))"),"")</f>
        <v/>
      </c>
      <c r="AJ294" s="849" t="s">
        <v>123</v>
      </c>
      <c r="AK294" s="850" t="str">
        <f>IFERROR(__xludf.DUMMYFUNCTION("IF($CR294="""","""",IFERROR(GOOGLEFINANCE($CR294,""changepct"")/100,""-""))"),"")</f>
        <v/>
      </c>
      <c r="AL294" s="851" t="str">
        <f>IFERROR(__xludf.DUMMYFUNCTION("IF($CR294="""","""",IFERROR(($AD294/(QUERY(GOOGLEFINANCE($CR294,""price"",TODAY()-7),""SELECT Col2 label Col2 ''"")*$CU294)-1),""-""))"),"")</f>
        <v/>
      </c>
      <c r="AM294" s="851" t="str">
        <f>IFERROR(__xludf.DUMMYFUNCTION("IF($CR294="""","""",IFERROR(($AD294/(QUERY(GOOGLEFINANCE($CR294,""price"",TODAY()-14),""SELECT Col2 label Col2 ''"")*$CU294)-1),""-""))"),"")</f>
        <v/>
      </c>
      <c r="AN294" s="851" t="str">
        <f>IFERROR(__xludf.DUMMYFUNCTION("IF($CR294="""","""",IFERROR(($AD294/(QUERY(GOOGLEFINANCE($CR294,""price"",TODAY()-28),""SELECT Col2 label Col2 ''"")*$CU294)-1),""-""))"),"")</f>
        <v/>
      </c>
      <c r="AO294" s="851" t="str">
        <f>IFERROR(__xludf.DUMMYFUNCTION("IF($CR294="""","""",IFERROR(($AD294/(QUERY(GOOGLEFINANCE($CR294,""price"",TODAY()-$AQ$5),""SELECT Col2 label Col2 ''"")*$CU294)-1),""-""))"),"")</f>
        <v/>
      </c>
      <c r="AP294" s="852" t="str">
        <f>IFERROR(__xludf.DUMMYFUNCTION("IF($CR294="""","""",IFERROR(SPARKLINE(query(GOOGLEFINANCE($CR294,""price"",TODAY()-$AQ$5,TODAY(),1),""select Col2 label Col2 ''""),IF($AP$7=""Gráfico de barras"",{""charttype"",""column"";""highcolor"",""red""},{""chartype"",""line""}))))"),"")</f>
        <v/>
      </c>
      <c r="AQ294" s="144"/>
      <c r="AR294" s="853"/>
      <c r="AS294" s="854" t="str">
        <f>IF($CR294="","",IF(NOT('alocação'!$D$1),"off",IFERROR(VLOOKUP(CR294,BalanceAtivos,3,0),"NC")))</f>
        <v/>
      </c>
      <c r="AT294" s="855" t="str">
        <f>IF($CR294="","",IF(NOT('alocação'!$D$1),"off",IFERROR(VLOOKUP($CR294,BalanceAtivos,4,0)*$CU$5,"NC")))</f>
        <v/>
      </c>
      <c r="AU294" s="856" t="str">
        <f>IF($CR294="","",IF(NOT('alocação'!$D$1),"off",IFERROR(VLOOKUP($CR294,BalanceAtivos,5,0),"-")))</f>
        <v/>
      </c>
      <c r="AV294" s="856" t="str">
        <f>IF($CR294="","",IF(NOT('alocação'!$D$1),"off",IFERROR(VLOOKUP($CR294,BalanceAtivos,6,0),"-")))</f>
        <v/>
      </c>
      <c r="AW294" s="857"/>
      <c r="AX294" s="858" t="str">
        <f>IF($CR294="","",IF($E294="","SP",IFERROR(VLOOKUP($CR294,AtivosDados,MATCH("pm_atual",portfolio.!$A$3:CY$3,0),0)*$CU$5,0)))</f>
        <v/>
      </c>
      <c r="AY294" s="859" t="str">
        <f t="shared" si="2"/>
        <v/>
      </c>
      <c r="AZ294" s="858" t="str">
        <f>IF($CR294="","",IF($E294="","SP",SUMIF(portfolio.!$A$4:$A308,$CR294,portfolio.!$O$4:$O308)*$CU$5))</f>
        <v/>
      </c>
      <c r="BA294" s="858" t="str">
        <f>IF($CR294="","",IF($E294="","SP",SUMIF(portfolio.!$A$4:$A308,$CR294,portfolio.!$AN$4:$AN308)*$CU$5))</f>
        <v/>
      </c>
      <c r="BB294" s="860" t="str">
        <f>IF($CR294="","",IF($E294="","-",IFERROR($BA294/'portfólio'!$DG$63,"")))</f>
        <v/>
      </c>
      <c r="BC294" s="861" t="str">
        <f>IF($CR294="","",IF($E294="","-",SUMIF(portfolio.!$A$4:$A308,$CR294,portfolio.!$J$4:$J308)))</f>
        <v/>
      </c>
      <c r="BD294" s="862" t="str">
        <f>IF($CR294="","",IF($E294="","SP",SUMIF(portfolio.!$A$4:$A308,$CR294,portfolio.!$AQ$4:$AQ308)*$CU$5))</f>
        <v/>
      </c>
      <c r="BE294" s="850" t="str">
        <f t="shared" si="3"/>
        <v/>
      </c>
      <c r="BF294" s="862" t="str">
        <f>IF($CR294="","",IF($E294="","-",SUMIF(portfolio.!$A$4:$A308,$CR294,portfolio.!$AX$4:$AX308)*$CU$5))</f>
        <v/>
      </c>
      <c r="BG294" s="545"/>
      <c r="BH294" s="879" t="s">
        <v>123</v>
      </c>
      <c r="BI294" s="880" t="s">
        <v>123</v>
      </c>
      <c r="BJ294" s="863" t="str">
        <f>IFERROR(__xludf.DUMMYFUNCTION("IF(NOT($BL$4),"""",IF($CR294="""","""",IFERROR(query({GOOGLEFINANCE($CR294,""price"",IF($BI294=""-"",TODAY()-($AQ$5+5),$BI294),TODAY()-1)},""Select max(Col2) where Col1 is not null label max(Col2) ''"")*CU294,""-"")))"),"")</f>
        <v/>
      </c>
      <c r="BK294" s="881" t="s">
        <v>123</v>
      </c>
      <c r="BL294" s="882" t="s">
        <v>123</v>
      </c>
      <c r="BM294" s="442"/>
      <c r="BN294" s="867" t="str">
        <f>IFERROR(__xludf.DUMMYFUNCTION("IF(CR294="""","""",IF(OR(C294=""AÇÃO"",C294=""BDR""),IFERROR(QUERY({fundamentus.!$A$3:$U308},$CX$67&amp;"" where Col1='""&amp;CR294&amp;""' limit 1"",0)),IF(C294=""FII"",IFERROR(QUERY({fundsexplorer.!$A$2:$Z308},$CY$67&amp;"" where Col1='""&amp;CR294&amp;""' limit 1"",0)),""""))"&amp;")"),"")</f>
        <v/>
      </c>
      <c r="BO294" s="867"/>
      <c r="BP294" s="867"/>
      <c r="BQ294" s="867"/>
      <c r="BR294" s="867"/>
      <c r="BS294" s="867"/>
      <c r="BT294" s="867"/>
      <c r="BU294" s="442"/>
      <c r="BV294" s="868" t="str">
        <f>IFERROR(__xludf.DUMMYFUNCTION("IF(OR(C294=""AÇÃO"",C294=""BDR""),IFERROR(GOOGLEFINANCE(CONCAT(""BVMF:"",CR294), ""marketcap"")/1000000,""NC""),"""")"),"")</f>
        <v/>
      </c>
      <c r="BW294" s="869" t="s">
        <v>123</v>
      </c>
      <c r="BX294" s="870" t="s">
        <v>123</v>
      </c>
      <c r="BY294" s="868" t="s">
        <v>123</v>
      </c>
      <c r="BZ294" s="870" t="s">
        <v>123</v>
      </c>
      <c r="CA294" s="868" t="s">
        <v>123</v>
      </c>
      <c r="CB294" s="868" t="s">
        <v>123</v>
      </c>
      <c r="CC294" s="868" t="s">
        <v>123</v>
      </c>
      <c r="CD294" s="868" t="str">
        <f>IFERROR(__xludf.DUMMYFUNCTION("IF(OR(C294=""AÇÃO"",C294=""BDR""),IFERROR(GOOGLEFINANCE(CONCAT(""BVMF:"",CR294), ""volumeavg"")/1000000,""NC""),"""")"),"")</f>
        <v/>
      </c>
      <c r="CE294" s="870" t="s">
        <v>123</v>
      </c>
      <c r="CF294" s="870" t="s">
        <v>123</v>
      </c>
      <c r="CG294" s="870" t="str">
        <f>IFERROR(__xludf.DUMMYFUNCTION("IF(OR(C294=""AÇÃO"",C294=""BDR""),IF(CF294=0,""SEM DY"",IFERROR(ImportXML(CONCAT(""http://www.guiainvest.com.br/raiox/default.aspx?sigla="",$CR294),""//*[@id='lbPayoutAtual']""),""NC"")),"""")"),"")</f>
        <v/>
      </c>
      <c r="CH294" s="870" t="s">
        <v>123</v>
      </c>
      <c r="CI294" s="545"/>
      <c r="CJ294" s="871" t="str">
        <f>IFERROR(__xludf.DUMMYFUNCTION("IF(OR(C294=""AÇÃO"",C294=""BDR""),IFERROR(GOOGLEFINANCE(CONCAT(""BVMF:"",CR294), ""eps""),""NC""),"""")"),"")</f>
        <v/>
      </c>
      <c r="CK294" s="442"/>
      <c r="CL294" s="871" t="str">
        <f>IFERROR(__xludf.DUMMYFUNCTION("IF(NOT($BL$4),"""",IF($CR294="""","""",IF($BC294="""","""",IFERROR(query({op.normal!$B$5:$F308},""select Col5, toDate(Col2) where Col1 =  '""&amp;$CR294&amp;""' and Col4 &gt; 0 and ((Col3 is null) or (Col3 = 'C')) and Col2 &gt;= date '""&amp;TEXT(TODAY()-$AQ$5,""yyyy-mm-dd"&amp;""")&amp;""' order by Col2 desc limit 1 label toDate(Col2) ''"")))))"),"")</f>
        <v/>
      </c>
      <c r="CM294" s="872"/>
      <c r="CN294" s="883" t="s">
        <v>123</v>
      </c>
      <c r="CO294" s="874" t="s">
        <v>123</v>
      </c>
      <c r="CP294" s="766"/>
      <c r="CQ294" s="791"/>
      <c r="CR294" s="791"/>
      <c r="CT294" s="791" t="s">
        <v>123</v>
      </c>
      <c r="CU294" s="791" t="str">
        <f>IFERROR(__xludf.DUMMYFUNCTION("IF(CR294="""","""",IF(CT294=$C$4,1,GOOGLEFINANCE(CT294&amp;$C$4)))"),"")</f>
        <v/>
      </c>
    </row>
    <row r="295" ht="22.5" customHeight="1">
      <c r="A295" s="837">
        <v>287.0</v>
      </c>
      <c r="B295" s="838" t="s">
        <v>123</v>
      </c>
      <c r="C295" s="838" t="s">
        <v>123</v>
      </c>
      <c r="D295" s="839" t="s">
        <v>123</v>
      </c>
      <c r="E295" s="839" t="s">
        <v>123</v>
      </c>
      <c r="F295" s="839" t="s">
        <v>123</v>
      </c>
      <c r="H295" s="884"/>
      <c r="I295" s="838"/>
      <c r="J295" s="838"/>
      <c r="K295" s="838"/>
      <c r="L295" s="838"/>
      <c r="M295" s="838"/>
      <c r="N295" s="838"/>
      <c r="O295" s="838"/>
      <c r="P295" s="838"/>
      <c r="Q295" s="838"/>
      <c r="R295" s="838"/>
      <c r="S295" s="838"/>
      <c r="T295" s="838"/>
      <c r="U295" s="838"/>
      <c r="V295" s="838"/>
      <c r="W295" s="838"/>
      <c r="X295" s="838"/>
      <c r="Z295" s="875" t="str">
        <f>IFERROR(__xludf.DUMMYFUNCTION("IF($CR295="""","""",IFERROR(query({CarteirasAtivos},""select Col4 where Col4 is not null and Col1 = '""&amp;$CR295&amp;""' limit 1"")*CU295,""NC""))"),"")</f>
        <v/>
      </c>
      <c r="AA295" s="876" t="str">
        <f>IFERROR(__xludf.DUMMYFUNCTION("IF($CR295="""","""",IFERROR(query({CarteirasAtivos},""select Col6 where Col4 is not null and Col1 = '""&amp;$CR295&amp;""' limit 1""),""NC""))"),"")</f>
        <v/>
      </c>
      <c r="AB295" s="877"/>
      <c r="AC295" s="878" t="s">
        <v>123</v>
      </c>
      <c r="AD295" s="845" t="str">
        <f>IF($CR295="","",IFERROR(VLOOKUP($CR295,ativos.!$C$3:$R308,MATCH("cotacao",ativos.!$C$2:CY$2,0),FALSE)*$CU$5,"atualizar"))</f>
        <v/>
      </c>
      <c r="AE295" s="846" t="str">
        <f>IFERROR(__xludf.DUMMYFUNCTION("IF($CR295="""","""",IFERROR(AVERAGE(query({CarteirasAtivos;CarteirasAtivosEncerrados},""select Col5 where Col5 is not null and Col1 = '""&amp;$CR295&amp;""' and Col10='SIM'""))*CU295,""NC""))"),"")</f>
        <v/>
      </c>
      <c r="AF295" s="847" t="str">
        <f t="shared" si="1"/>
        <v/>
      </c>
      <c r="AG295" s="442"/>
      <c r="AH295" s="848" t="str">
        <f>IFERROR(__xludf.DUMMYFUNCTION("IF($CR295="""","""",IFERROR(GOOGLEFINANCE($CR295,""low52"")*CU295,""-""))"),"")</f>
        <v/>
      </c>
      <c r="AI295" s="848" t="str">
        <f>IFERROR(__xludf.DUMMYFUNCTION("IF($CR295="""","""",IFERROR(GOOGLEFINANCE($CR295,""high52"")*CU295,""-""))"),"")</f>
        <v/>
      </c>
      <c r="AJ295" s="849" t="s">
        <v>123</v>
      </c>
      <c r="AK295" s="850" t="str">
        <f>IFERROR(__xludf.DUMMYFUNCTION("IF($CR295="""","""",IFERROR(GOOGLEFINANCE($CR295,""changepct"")/100,""-""))"),"")</f>
        <v/>
      </c>
      <c r="AL295" s="851" t="str">
        <f>IFERROR(__xludf.DUMMYFUNCTION("IF($CR295="""","""",IFERROR(($AD295/(QUERY(GOOGLEFINANCE($CR295,""price"",TODAY()-7),""SELECT Col2 label Col2 ''"")*$CU295)-1),""-""))"),"")</f>
        <v/>
      </c>
      <c r="AM295" s="851" t="str">
        <f>IFERROR(__xludf.DUMMYFUNCTION("IF($CR295="""","""",IFERROR(($AD295/(QUERY(GOOGLEFINANCE($CR295,""price"",TODAY()-14),""SELECT Col2 label Col2 ''"")*$CU295)-1),""-""))"),"")</f>
        <v/>
      </c>
      <c r="AN295" s="851" t="str">
        <f>IFERROR(__xludf.DUMMYFUNCTION("IF($CR295="""","""",IFERROR(($AD295/(QUERY(GOOGLEFINANCE($CR295,""price"",TODAY()-28),""SELECT Col2 label Col2 ''"")*$CU295)-1),""-""))"),"")</f>
        <v/>
      </c>
      <c r="AO295" s="851" t="str">
        <f>IFERROR(__xludf.DUMMYFUNCTION("IF($CR295="""","""",IFERROR(($AD295/(QUERY(GOOGLEFINANCE($CR295,""price"",TODAY()-$AQ$5),""SELECT Col2 label Col2 ''"")*$CU295)-1),""-""))"),"")</f>
        <v/>
      </c>
      <c r="AP295" s="852" t="str">
        <f>IFERROR(__xludf.DUMMYFUNCTION("IF($CR295="""","""",IFERROR(SPARKLINE(query(GOOGLEFINANCE($CR295,""price"",TODAY()-$AQ$5,TODAY(),1),""select Col2 label Col2 ''""),IF($AP$7=""Gráfico de barras"",{""charttype"",""column"";""highcolor"",""red""},{""chartype"",""line""}))))"),"")</f>
        <v/>
      </c>
      <c r="AQ295" s="144"/>
      <c r="AR295" s="853"/>
      <c r="AS295" s="854" t="str">
        <f>IF($CR295="","",IF(NOT('alocação'!$D$1),"off",IFERROR(VLOOKUP(CR295,BalanceAtivos,3,0),"NC")))</f>
        <v/>
      </c>
      <c r="AT295" s="855" t="str">
        <f>IF($CR295="","",IF(NOT('alocação'!$D$1),"off",IFERROR(VLOOKUP($CR295,BalanceAtivos,4,0)*$CU$5,"NC")))</f>
        <v/>
      </c>
      <c r="AU295" s="856" t="str">
        <f>IF($CR295="","",IF(NOT('alocação'!$D$1),"off",IFERROR(VLOOKUP($CR295,BalanceAtivos,5,0),"-")))</f>
        <v/>
      </c>
      <c r="AV295" s="856" t="str">
        <f>IF($CR295="","",IF(NOT('alocação'!$D$1),"off",IFERROR(VLOOKUP($CR295,BalanceAtivos,6,0),"-")))</f>
        <v/>
      </c>
      <c r="AW295" s="857"/>
      <c r="AX295" s="858" t="str">
        <f>IF($CR295="","",IF($E295="","SP",IFERROR(VLOOKUP($CR295,AtivosDados,MATCH("pm_atual",portfolio.!$A$3:CY$3,0),0)*$CU$5,0)))</f>
        <v/>
      </c>
      <c r="AY295" s="859" t="str">
        <f t="shared" si="2"/>
        <v/>
      </c>
      <c r="AZ295" s="858" t="str">
        <f>IF($CR295="","",IF($E295="","SP",SUMIF(portfolio.!$A$4:$A308,$CR295,portfolio.!$O$4:$O308)*$CU$5))</f>
        <v/>
      </c>
      <c r="BA295" s="858" t="str">
        <f>IF($CR295="","",IF($E295="","SP",SUMIF(portfolio.!$A$4:$A308,$CR295,portfolio.!$AN$4:$AN308)*$CU$5))</f>
        <v/>
      </c>
      <c r="BB295" s="860" t="str">
        <f>IF($CR295="","",IF($E295="","-",IFERROR($BA295/'portfólio'!$DG$63,"")))</f>
        <v/>
      </c>
      <c r="BC295" s="861" t="str">
        <f>IF($CR295="","",IF($E295="","-",SUMIF(portfolio.!$A$4:$A308,$CR295,portfolio.!$J$4:$J308)))</f>
        <v/>
      </c>
      <c r="BD295" s="862" t="str">
        <f>IF($CR295="","",IF($E295="","SP",SUMIF(portfolio.!$A$4:$A308,$CR295,portfolio.!$AQ$4:$AQ308)*$CU$5))</f>
        <v/>
      </c>
      <c r="BE295" s="850" t="str">
        <f t="shared" si="3"/>
        <v/>
      </c>
      <c r="BF295" s="862" t="str">
        <f>IF($CR295="","",IF($E295="","-",SUMIF(portfolio.!$A$4:$A308,$CR295,portfolio.!$AX$4:$AX308)*$CU$5))</f>
        <v/>
      </c>
      <c r="BG295" s="545"/>
      <c r="BH295" s="879" t="s">
        <v>123</v>
      </c>
      <c r="BI295" s="880" t="s">
        <v>123</v>
      </c>
      <c r="BJ295" s="863" t="str">
        <f>IFERROR(__xludf.DUMMYFUNCTION("IF(NOT($BL$4),"""",IF($CR295="""","""",IFERROR(query({GOOGLEFINANCE($CR295,""price"",IF($BI295=""-"",TODAY()-($AQ$5+5),$BI295),TODAY()-1)},""Select max(Col2) where Col1 is not null label max(Col2) ''"")*CU295,""-"")))"),"")</f>
        <v/>
      </c>
      <c r="BK295" s="881" t="s">
        <v>123</v>
      </c>
      <c r="BL295" s="882" t="s">
        <v>123</v>
      </c>
      <c r="BM295" s="442"/>
      <c r="BN295" s="867" t="str">
        <f>IFERROR(__xludf.DUMMYFUNCTION("IF(CR295="""","""",IF(OR(C295=""AÇÃO"",C295=""BDR""),IFERROR(QUERY({fundamentus.!$A$3:$U308},$CX$67&amp;"" where Col1='""&amp;CR295&amp;""' limit 1"",0)),IF(C295=""FII"",IFERROR(QUERY({fundsexplorer.!$A$2:$Z308},$CY$67&amp;"" where Col1='""&amp;CR295&amp;""' limit 1"",0)),""""))"&amp;")"),"")</f>
        <v/>
      </c>
      <c r="BO295" s="867"/>
      <c r="BP295" s="867"/>
      <c r="BQ295" s="867"/>
      <c r="BR295" s="867"/>
      <c r="BS295" s="867"/>
      <c r="BT295" s="867"/>
      <c r="BU295" s="442"/>
      <c r="BV295" s="868" t="str">
        <f>IFERROR(__xludf.DUMMYFUNCTION("IF(OR(C295=""AÇÃO"",C295=""BDR""),IFERROR(GOOGLEFINANCE(CONCAT(""BVMF:"",CR295), ""marketcap"")/1000000,""NC""),"""")"),"")</f>
        <v/>
      </c>
      <c r="BW295" s="869" t="s">
        <v>123</v>
      </c>
      <c r="BX295" s="870" t="s">
        <v>123</v>
      </c>
      <c r="BY295" s="868" t="s">
        <v>123</v>
      </c>
      <c r="BZ295" s="870" t="s">
        <v>123</v>
      </c>
      <c r="CA295" s="868" t="s">
        <v>123</v>
      </c>
      <c r="CB295" s="868" t="s">
        <v>123</v>
      </c>
      <c r="CC295" s="868" t="s">
        <v>123</v>
      </c>
      <c r="CD295" s="868" t="str">
        <f>IFERROR(__xludf.DUMMYFUNCTION("IF(OR(C295=""AÇÃO"",C295=""BDR""),IFERROR(GOOGLEFINANCE(CONCAT(""BVMF:"",CR295), ""volumeavg"")/1000000,""NC""),"""")"),"")</f>
        <v/>
      </c>
      <c r="CE295" s="870" t="s">
        <v>123</v>
      </c>
      <c r="CF295" s="870" t="s">
        <v>123</v>
      </c>
      <c r="CG295" s="870" t="str">
        <f>IFERROR(__xludf.DUMMYFUNCTION("IF(OR(C295=""AÇÃO"",C295=""BDR""),IF(CF295=0,""SEM DY"",IFERROR(ImportXML(CONCAT(""http://www.guiainvest.com.br/raiox/default.aspx?sigla="",$CR295),""//*[@id='lbPayoutAtual']""),""NC"")),"""")"),"")</f>
        <v/>
      </c>
      <c r="CH295" s="870" t="s">
        <v>123</v>
      </c>
      <c r="CI295" s="545"/>
      <c r="CJ295" s="871" t="str">
        <f>IFERROR(__xludf.DUMMYFUNCTION("IF(OR(C295=""AÇÃO"",C295=""BDR""),IFERROR(GOOGLEFINANCE(CONCAT(""BVMF:"",CR295), ""eps""),""NC""),"""")"),"")</f>
        <v/>
      </c>
      <c r="CK295" s="442"/>
      <c r="CL295" s="871" t="str">
        <f>IFERROR(__xludf.DUMMYFUNCTION("IF(NOT($BL$4),"""",IF($CR295="""","""",IF($BC295="""","""",IFERROR(query({op.normal!$B$5:$F308},""select Col5, toDate(Col2) where Col1 =  '""&amp;$CR295&amp;""' and Col4 &gt; 0 and ((Col3 is null) or (Col3 = 'C')) and Col2 &gt;= date '""&amp;TEXT(TODAY()-$AQ$5,""yyyy-mm-dd"&amp;""")&amp;""' order by Col2 desc limit 1 label toDate(Col2) ''"")))))"),"")</f>
        <v/>
      </c>
      <c r="CM295" s="872"/>
      <c r="CN295" s="883" t="s">
        <v>123</v>
      </c>
      <c r="CO295" s="874" t="s">
        <v>123</v>
      </c>
      <c r="CP295" s="766"/>
      <c r="CQ295" s="791"/>
      <c r="CR295" s="791"/>
      <c r="CT295" s="791" t="s">
        <v>123</v>
      </c>
      <c r="CU295" s="791" t="str">
        <f>IFERROR(__xludf.DUMMYFUNCTION("IF(CR295="""","""",IF(CT295=$C$4,1,GOOGLEFINANCE(CT295&amp;$C$4)))"),"")</f>
        <v/>
      </c>
    </row>
    <row r="296" ht="22.5" customHeight="1">
      <c r="A296" s="837">
        <v>288.0</v>
      </c>
      <c r="B296" s="838" t="s">
        <v>123</v>
      </c>
      <c r="C296" s="838" t="s">
        <v>123</v>
      </c>
      <c r="D296" s="839" t="s">
        <v>123</v>
      </c>
      <c r="E296" s="839" t="s">
        <v>123</v>
      </c>
      <c r="F296" s="839" t="s">
        <v>123</v>
      </c>
      <c r="H296" s="884"/>
      <c r="I296" s="838"/>
      <c r="J296" s="838"/>
      <c r="K296" s="838"/>
      <c r="L296" s="838"/>
      <c r="M296" s="838"/>
      <c r="N296" s="838"/>
      <c r="O296" s="838"/>
      <c r="P296" s="838"/>
      <c r="Q296" s="838"/>
      <c r="R296" s="838"/>
      <c r="S296" s="838"/>
      <c r="T296" s="838"/>
      <c r="U296" s="838"/>
      <c r="V296" s="838"/>
      <c r="W296" s="838"/>
      <c r="X296" s="838"/>
      <c r="Z296" s="875" t="str">
        <f>IFERROR(__xludf.DUMMYFUNCTION("IF($CR296="""","""",IFERROR(query({CarteirasAtivos},""select Col4 where Col4 is not null and Col1 = '""&amp;$CR296&amp;""' limit 1"")*CU296,""NC""))"),"")</f>
        <v/>
      </c>
      <c r="AA296" s="876" t="str">
        <f>IFERROR(__xludf.DUMMYFUNCTION("IF($CR296="""","""",IFERROR(query({CarteirasAtivos},""select Col6 where Col4 is not null and Col1 = '""&amp;$CR296&amp;""' limit 1""),""NC""))"),"")</f>
        <v/>
      </c>
      <c r="AB296" s="877"/>
      <c r="AC296" s="878" t="s">
        <v>123</v>
      </c>
      <c r="AD296" s="845" t="str">
        <f>IF($CR296="","",IFERROR(VLOOKUP($CR296,ativos.!$C$3:$R308,MATCH("cotacao",ativos.!$C$2:CY$2,0),FALSE)*$CU$5,"atualizar"))</f>
        <v/>
      </c>
      <c r="AE296" s="846" t="str">
        <f>IFERROR(__xludf.DUMMYFUNCTION("IF($CR296="""","""",IFERROR(AVERAGE(query({CarteirasAtivos;CarteirasAtivosEncerrados},""select Col5 where Col5 is not null and Col1 = '""&amp;$CR296&amp;""' and Col10='SIM'""))*CU296,""NC""))"),"")</f>
        <v/>
      </c>
      <c r="AF296" s="847" t="str">
        <f t="shared" si="1"/>
        <v/>
      </c>
      <c r="AG296" s="442"/>
      <c r="AH296" s="848" t="str">
        <f>IFERROR(__xludf.DUMMYFUNCTION("IF($CR296="""","""",IFERROR(GOOGLEFINANCE($CR296,""low52"")*CU296,""-""))"),"")</f>
        <v/>
      </c>
      <c r="AI296" s="848" t="str">
        <f>IFERROR(__xludf.DUMMYFUNCTION("IF($CR296="""","""",IFERROR(GOOGLEFINANCE($CR296,""high52"")*CU296,""-""))"),"")</f>
        <v/>
      </c>
      <c r="AJ296" s="849" t="s">
        <v>123</v>
      </c>
      <c r="AK296" s="850" t="str">
        <f>IFERROR(__xludf.DUMMYFUNCTION("IF($CR296="""","""",IFERROR(GOOGLEFINANCE($CR296,""changepct"")/100,""-""))"),"")</f>
        <v/>
      </c>
      <c r="AL296" s="851" t="str">
        <f>IFERROR(__xludf.DUMMYFUNCTION("IF($CR296="""","""",IFERROR(($AD296/(QUERY(GOOGLEFINANCE($CR296,""price"",TODAY()-7),""SELECT Col2 label Col2 ''"")*$CU296)-1),""-""))"),"")</f>
        <v/>
      </c>
      <c r="AM296" s="851" t="str">
        <f>IFERROR(__xludf.DUMMYFUNCTION("IF($CR296="""","""",IFERROR(($AD296/(QUERY(GOOGLEFINANCE($CR296,""price"",TODAY()-14),""SELECT Col2 label Col2 ''"")*$CU296)-1),""-""))"),"")</f>
        <v/>
      </c>
      <c r="AN296" s="851" t="str">
        <f>IFERROR(__xludf.DUMMYFUNCTION("IF($CR296="""","""",IFERROR(($AD296/(QUERY(GOOGLEFINANCE($CR296,""price"",TODAY()-28),""SELECT Col2 label Col2 ''"")*$CU296)-1),""-""))"),"")</f>
        <v/>
      </c>
      <c r="AO296" s="851" t="str">
        <f>IFERROR(__xludf.DUMMYFUNCTION("IF($CR296="""","""",IFERROR(($AD296/(QUERY(GOOGLEFINANCE($CR296,""price"",TODAY()-$AQ$5),""SELECT Col2 label Col2 ''"")*$CU296)-1),""-""))"),"")</f>
        <v/>
      </c>
      <c r="AP296" s="852" t="str">
        <f>IFERROR(__xludf.DUMMYFUNCTION("IF($CR296="""","""",IFERROR(SPARKLINE(query(GOOGLEFINANCE($CR296,""price"",TODAY()-$AQ$5,TODAY(),1),""select Col2 label Col2 ''""),IF($AP$7=""Gráfico de barras"",{""charttype"",""column"";""highcolor"",""red""},{""chartype"",""line""}))))"),"")</f>
        <v/>
      </c>
      <c r="AQ296" s="144"/>
      <c r="AR296" s="853"/>
      <c r="AS296" s="854" t="str">
        <f>IF($CR296="","",IF(NOT('alocação'!$D$1),"off",IFERROR(VLOOKUP(CR296,BalanceAtivos,3,0),"NC")))</f>
        <v/>
      </c>
      <c r="AT296" s="855" t="str">
        <f>IF($CR296="","",IF(NOT('alocação'!$D$1),"off",IFERROR(VLOOKUP($CR296,BalanceAtivos,4,0)*$CU$5,"NC")))</f>
        <v/>
      </c>
      <c r="AU296" s="856" t="str">
        <f>IF($CR296="","",IF(NOT('alocação'!$D$1),"off",IFERROR(VLOOKUP($CR296,BalanceAtivos,5,0),"-")))</f>
        <v/>
      </c>
      <c r="AV296" s="856" t="str">
        <f>IF($CR296="","",IF(NOT('alocação'!$D$1),"off",IFERROR(VLOOKUP($CR296,BalanceAtivos,6,0),"-")))</f>
        <v/>
      </c>
      <c r="AW296" s="857"/>
      <c r="AX296" s="858" t="str">
        <f>IF($CR296="","",IF($E296="","SP",IFERROR(VLOOKUP($CR296,AtivosDados,MATCH("pm_atual",portfolio.!$A$3:CY$3,0),0)*$CU$5,0)))</f>
        <v/>
      </c>
      <c r="AY296" s="859" t="str">
        <f t="shared" si="2"/>
        <v/>
      </c>
      <c r="AZ296" s="858" t="str">
        <f>IF($CR296="","",IF($E296="","SP",SUMIF(portfolio.!$A$4:$A308,$CR296,portfolio.!$O$4:$O308)*$CU$5))</f>
        <v/>
      </c>
      <c r="BA296" s="858" t="str">
        <f>IF($CR296="","",IF($E296="","SP",SUMIF(portfolio.!$A$4:$A308,$CR296,portfolio.!$AN$4:$AN308)*$CU$5))</f>
        <v/>
      </c>
      <c r="BB296" s="860" t="str">
        <f>IF($CR296="","",IF($E296="","-",IFERROR($BA296/'portfólio'!$DG$63,"")))</f>
        <v/>
      </c>
      <c r="BC296" s="861" t="str">
        <f>IF($CR296="","",IF($E296="","-",SUMIF(portfolio.!$A$4:$A308,$CR296,portfolio.!$J$4:$J308)))</f>
        <v/>
      </c>
      <c r="BD296" s="862" t="str">
        <f>IF($CR296="","",IF($E296="","SP",SUMIF(portfolio.!$A$4:$A308,$CR296,portfolio.!$AQ$4:$AQ308)*$CU$5))</f>
        <v/>
      </c>
      <c r="BE296" s="850" t="str">
        <f t="shared" si="3"/>
        <v/>
      </c>
      <c r="BF296" s="862" t="str">
        <f>IF($CR296="","",IF($E296="","-",SUMIF(portfolio.!$A$4:$A308,$CR296,portfolio.!$AX$4:$AX308)*$CU$5))</f>
        <v/>
      </c>
      <c r="BG296" s="545"/>
      <c r="BH296" s="879" t="s">
        <v>123</v>
      </c>
      <c r="BI296" s="880" t="s">
        <v>123</v>
      </c>
      <c r="BJ296" s="863" t="str">
        <f>IFERROR(__xludf.DUMMYFUNCTION("IF(NOT($BL$4),"""",IF($CR296="""","""",IFERROR(query({GOOGLEFINANCE($CR296,""price"",IF($BI296=""-"",TODAY()-($AQ$5+5),$BI296),TODAY()-1)},""Select max(Col2) where Col1 is not null label max(Col2) ''"")*CU296,""-"")))"),"")</f>
        <v/>
      </c>
      <c r="BK296" s="881" t="s">
        <v>123</v>
      </c>
      <c r="BL296" s="882" t="s">
        <v>123</v>
      </c>
      <c r="BM296" s="442"/>
      <c r="BN296" s="867" t="str">
        <f>IFERROR(__xludf.DUMMYFUNCTION("IF(CR296="""","""",IF(OR(C296=""AÇÃO"",C296=""BDR""),IFERROR(QUERY({fundamentus.!$A$3:$U308},$CX$67&amp;"" where Col1='""&amp;CR296&amp;""' limit 1"",0)),IF(C296=""FII"",IFERROR(QUERY({fundsexplorer.!$A$2:$Z308},$CY$67&amp;"" where Col1='""&amp;CR296&amp;""' limit 1"",0)),""""))"&amp;")"),"")</f>
        <v/>
      </c>
      <c r="BO296" s="867"/>
      <c r="BP296" s="867"/>
      <c r="BQ296" s="867"/>
      <c r="BR296" s="867"/>
      <c r="BS296" s="867"/>
      <c r="BT296" s="867"/>
      <c r="BU296" s="442"/>
      <c r="BV296" s="868" t="str">
        <f>IFERROR(__xludf.DUMMYFUNCTION("IF(OR(C296=""AÇÃO"",C296=""BDR""),IFERROR(GOOGLEFINANCE(CONCAT(""BVMF:"",CR296), ""marketcap"")/1000000,""NC""),"""")"),"")</f>
        <v/>
      </c>
      <c r="BW296" s="869" t="s">
        <v>123</v>
      </c>
      <c r="BX296" s="870" t="s">
        <v>123</v>
      </c>
      <c r="BY296" s="868" t="s">
        <v>123</v>
      </c>
      <c r="BZ296" s="870" t="s">
        <v>123</v>
      </c>
      <c r="CA296" s="868" t="s">
        <v>123</v>
      </c>
      <c r="CB296" s="868" t="s">
        <v>123</v>
      </c>
      <c r="CC296" s="868" t="s">
        <v>123</v>
      </c>
      <c r="CD296" s="868" t="str">
        <f>IFERROR(__xludf.DUMMYFUNCTION("IF(OR(C296=""AÇÃO"",C296=""BDR""),IFERROR(GOOGLEFINANCE(CONCAT(""BVMF:"",CR296), ""volumeavg"")/1000000,""NC""),"""")"),"")</f>
        <v/>
      </c>
      <c r="CE296" s="870" t="s">
        <v>123</v>
      </c>
      <c r="CF296" s="870" t="s">
        <v>123</v>
      </c>
      <c r="CG296" s="870" t="str">
        <f>IFERROR(__xludf.DUMMYFUNCTION("IF(OR(C296=""AÇÃO"",C296=""BDR""),IF(CF296=0,""SEM DY"",IFERROR(ImportXML(CONCAT(""http://www.guiainvest.com.br/raiox/default.aspx?sigla="",$CR296),""//*[@id='lbPayoutAtual']""),""NC"")),"""")"),"")</f>
        <v/>
      </c>
      <c r="CH296" s="870" t="s">
        <v>123</v>
      </c>
      <c r="CI296" s="545"/>
      <c r="CJ296" s="871" t="str">
        <f>IFERROR(__xludf.DUMMYFUNCTION("IF(OR(C296=""AÇÃO"",C296=""BDR""),IFERROR(GOOGLEFINANCE(CONCAT(""BVMF:"",CR296), ""eps""),""NC""),"""")"),"")</f>
        <v/>
      </c>
      <c r="CK296" s="442"/>
      <c r="CL296" s="871" t="str">
        <f>IFERROR(__xludf.DUMMYFUNCTION("IF(NOT($BL$4),"""",IF($CR296="""","""",IF($BC296="""","""",IFERROR(query({op.normal!$B$5:$F308},""select Col5, toDate(Col2) where Col1 =  '""&amp;$CR296&amp;""' and Col4 &gt; 0 and ((Col3 is null) or (Col3 = 'C')) and Col2 &gt;= date '""&amp;TEXT(TODAY()-$AQ$5,""yyyy-mm-dd"&amp;""")&amp;""' order by Col2 desc limit 1 label toDate(Col2) ''"")))))"),"")</f>
        <v/>
      </c>
      <c r="CM296" s="872"/>
      <c r="CN296" s="883" t="s">
        <v>123</v>
      </c>
      <c r="CO296" s="874" t="s">
        <v>123</v>
      </c>
      <c r="CP296" s="766"/>
      <c r="CQ296" s="791"/>
      <c r="CR296" s="791"/>
      <c r="CT296" s="791" t="s">
        <v>123</v>
      </c>
      <c r="CU296" s="791" t="str">
        <f>IFERROR(__xludf.DUMMYFUNCTION("IF(CR296="""","""",IF(CT296=$C$4,1,GOOGLEFINANCE(CT296&amp;$C$4)))"),"")</f>
        <v/>
      </c>
    </row>
    <row r="297" ht="22.5" customHeight="1">
      <c r="A297" s="837">
        <v>289.0</v>
      </c>
      <c r="B297" s="838" t="s">
        <v>123</v>
      </c>
      <c r="C297" s="838" t="s">
        <v>123</v>
      </c>
      <c r="D297" s="839" t="s">
        <v>123</v>
      </c>
      <c r="E297" s="839" t="s">
        <v>123</v>
      </c>
      <c r="F297" s="839" t="s">
        <v>123</v>
      </c>
      <c r="H297" s="884"/>
      <c r="I297" s="838"/>
      <c r="J297" s="838"/>
      <c r="K297" s="838"/>
      <c r="L297" s="838"/>
      <c r="M297" s="838"/>
      <c r="N297" s="838"/>
      <c r="O297" s="838"/>
      <c r="P297" s="838"/>
      <c r="Q297" s="838"/>
      <c r="R297" s="838"/>
      <c r="S297" s="838"/>
      <c r="T297" s="838"/>
      <c r="U297" s="838"/>
      <c r="V297" s="838"/>
      <c r="W297" s="838"/>
      <c r="X297" s="838"/>
      <c r="Z297" s="875" t="str">
        <f>IFERROR(__xludf.DUMMYFUNCTION("IF($CR297="""","""",IFERROR(query({CarteirasAtivos},""select Col4 where Col4 is not null and Col1 = '""&amp;$CR297&amp;""' limit 1"")*CU297,""NC""))"),"")</f>
        <v/>
      </c>
      <c r="AA297" s="876" t="str">
        <f>IFERROR(__xludf.DUMMYFUNCTION("IF($CR297="""","""",IFERROR(query({CarteirasAtivos},""select Col6 where Col4 is not null and Col1 = '""&amp;$CR297&amp;""' limit 1""),""NC""))"),"")</f>
        <v/>
      </c>
      <c r="AB297" s="877"/>
      <c r="AC297" s="878" t="s">
        <v>123</v>
      </c>
      <c r="AD297" s="845" t="str">
        <f>IF($CR297="","",IFERROR(VLOOKUP($CR297,ativos.!$C$3:$R308,MATCH("cotacao",ativos.!$C$2:CY$2,0),FALSE)*$CU$5,"atualizar"))</f>
        <v/>
      </c>
      <c r="AE297" s="846" t="str">
        <f>IFERROR(__xludf.DUMMYFUNCTION("IF($CR297="""","""",IFERROR(AVERAGE(query({CarteirasAtivos;CarteirasAtivosEncerrados},""select Col5 where Col5 is not null and Col1 = '""&amp;$CR297&amp;""' and Col10='SIM'""))*CU297,""NC""))"),"")</f>
        <v/>
      </c>
      <c r="AF297" s="847" t="str">
        <f t="shared" si="1"/>
        <v/>
      </c>
      <c r="AG297" s="442"/>
      <c r="AH297" s="848" t="str">
        <f>IFERROR(__xludf.DUMMYFUNCTION("IF($CR297="""","""",IFERROR(GOOGLEFINANCE($CR297,""low52"")*CU297,""-""))"),"")</f>
        <v/>
      </c>
      <c r="AI297" s="848" t="str">
        <f>IFERROR(__xludf.DUMMYFUNCTION("IF($CR297="""","""",IFERROR(GOOGLEFINANCE($CR297,""high52"")*CU297,""-""))"),"")</f>
        <v/>
      </c>
      <c r="AJ297" s="849" t="s">
        <v>123</v>
      </c>
      <c r="AK297" s="850" t="str">
        <f>IFERROR(__xludf.DUMMYFUNCTION("IF($CR297="""","""",IFERROR(GOOGLEFINANCE($CR297,""changepct"")/100,""-""))"),"")</f>
        <v/>
      </c>
      <c r="AL297" s="851" t="str">
        <f>IFERROR(__xludf.DUMMYFUNCTION("IF($CR297="""","""",IFERROR(($AD297/(QUERY(GOOGLEFINANCE($CR297,""price"",TODAY()-7),""SELECT Col2 label Col2 ''"")*$CU297)-1),""-""))"),"")</f>
        <v/>
      </c>
      <c r="AM297" s="851" t="str">
        <f>IFERROR(__xludf.DUMMYFUNCTION("IF($CR297="""","""",IFERROR(($AD297/(QUERY(GOOGLEFINANCE($CR297,""price"",TODAY()-14),""SELECT Col2 label Col2 ''"")*$CU297)-1),""-""))"),"")</f>
        <v/>
      </c>
      <c r="AN297" s="851" t="str">
        <f>IFERROR(__xludf.DUMMYFUNCTION("IF($CR297="""","""",IFERROR(($AD297/(QUERY(GOOGLEFINANCE($CR297,""price"",TODAY()-28),""SELECT Col2 label Col2 ''"")*$CU297)-1),""-""))"),"")</f>
        <v/>
      </c>
      <c r="AO297" s="851" t="str">
        <f>IFERROR(__xludf.DUMMYFUNCTION("IF($CR297="""","""",IFERROR(($AD297/(QUERY(GOOGLEFINANCE($CR297,""price"",TODAY()-$AQ$5),""SELECT Col2 label Col2 ''"")*$CU297)-1),""-""))"),"")</f>
        <v/>
      </c>
      <c r="AP297" s="852" t="str">
        <f>IFERROR(__xludf.DUMMYFUNCTION("IF($CR297="""","""",IFERROR(SPARKLINE(query(GOOGLEFINANCE($CR297,""price"",TODAY()-$AQ$5,TODAY(),1),""select Col2 label Col2 ''""),IF($AP$7=""Gráfico de barras"",{""charttype"",""column"";""highcolor"",""red""},{""chartype"",""line""}))))"),"")</f>
        <v/>
      </c>
      <c r="AQ297" s="144"/>
      <c r="AR297" s="853"/>
      <c r="AS297" s="854" t="str">
        <f>IF($CR297="","",IF(NOT('alocação'!$D$1),"off",IFERROR(VLOOKUP(CR297,BalanceAtivos,3,0),"NC")))</f>
        <v/>
      </c>
      <c r="AT297" s="855" t="str">
        <f>IF($CR297="","",IF(NOT('alocação'!$D$1),"off",IFERROR(VLOOKUP($CR297,BalanceAtivos,4,0)*$CU$5,"NC")))</f>
        <v/>
      </c>
      <c r="AU297" s="856" t="str">
        <f>IF($CR297="","",IF(NOT('alocação'!$D$1),"off",IFERROR(VLOOKUP($CR297,BalanceAtivos,5,0),"-")))</f>
        <v/>
      </c>
      <c r="AV297" s="856" t="str">
        <f>IF($CR297="","",IF(NOT('alocação'!$D$1),"off",IFERROR(VLOOKUP($CR297,BalanceAtivos,6,0),"-")))</f>
        <v/>
      </c>
      <c r="AW297" s="857"/>
      <c r="AX297" s="858" t="str">
        <f>IF($CR297="","",IF($E297="","SP",IFERROR(VLOOKUP($CR297,AtivosDados,MATCH("pm_atual",portfolio.!$A$3:CY$3,0),0)*$CU$5,0)))</f>
        <v/>
      </c>
      <c r="AY297" s="859" t="str">
        <f t="shared" si="2"/>
        <v/>
      </c>
      <c r="AZ297" s="858" t="str">
        <f>IF($CR297="","",IF($E297="","SP",SUMIF(portfolio.!$A$4:$A308,$CR297,portfolio.!$O$4:$O308)*$CU$5))</f>
        <v/>
      </c>
      <c r="BA297" s="858" t="str">
        <f>IF($CR297="","",IF($E297="","SP",SUMIF(portfolio.!$A$4:$A308,$CR297,portfolio.!$AN$4:$AN308)*$CU$5))</f>
        <v/>
      </c>
      <c r="BB297" s="860" t="str">
        <f>IF($CR297="","",IF($E297="","-",IFERROR($BA297/'portfólio'!$DG$63,"")))</f>
        <v/>
      </c>
      <c r="BC297" s="861" t="str">
        <f>IF($CR297="","",IF($E297="","-",SUMIF(portfolio.!$A$4:$A308,$CR297,portfolio.!$J$4:$J308)))</f>
        <v/>
      </c>
      <c r="BD297" s="862" t="str">
        <f>IF($CR297="","",IF($E297="","SP",SUMIF(portfolio.!$A$4:$A308,$CR297,portfolio.!$AQ$4:$AQ308)*$CU$5))</f>
        <v/>
      </c>
      <c r="BE297" s="850" t="str">
        <f t="shared" si="3"/>
        <v/>
      </c>
      <c r="BF297" s="862" t="str">
        <f>IF($CR297="","",IF($E297="","-",SUMIF(portfolio.!$A$4:$A308,$CR297,portfolio.!$AX$4:$AX308)*$CU$5))</f>
        <v/>
      </c>
      <c r="BG297" s="545"/>
      <c r="BH297" s="879" t="s">
        <v>123</v>
      </c>
      <c r="BI297" s="880" t="s">
        <v>123</v>
      </c>
      <c r="BJ297" s="863" t="str">
        <f>IFERROR(__xludf.DUMMYFUNCTION("IF(NOT($BL$4),"""",IF($CR297="""","""",IFERROR(query({GOOGLEFINANCE($CR297,""price"",IF($BI297=""-"",TODAY()-($AQ$5+5),$BI297),TODAY()-1)},""Select max(Col2) where Col1 is not null label max(Col2) ''"")*CU297,""-"")))"),"")</f>
        <v/>
      </c>
      <c r="BK297" s="881" t="s">
        <v>123</v>
      </c>
      <c r="BL297" s="882" t="s">
        <v>123</v>
      </c>
      <c r="BM297" s="442"/>
      <c r="BN297" s="867" t="str">
        <f>IFERROR(__xludf.DUMMYFUNCTION("IF(CR297="""","""",IF(OR(C297=""AÇÃO"",C297=""BDR""),IFERROR(QUERY({fundamentus.!$A$3:$U308},$CX$67&amp;"" where Col1='""&amp;CR297&amp;""' limit 1"",0)),IF(C297=""FII"",IFERROR(QUERY({fundsexplorer.!$A$2:$Z308},$CY$67&amp;"" where Col1='""&amp;CR297&amp;""' limit 1"",0)),""""))"&amp;")"),"")</f>
        <v/>
      </c>
      <c r="BO297" s="867"/>
      <c r="BP297" s="867"/>
      <c r="BQ297" s="867"/>
      <c r="BR297" s="867"/>
      <c r="BS297" s="867"/>
      <c r="BT297" s="867"/>
      <c r="BU297" s="442"/>
      <c r="BV297" s="868" t="str">
        <f>IFERROR(__xludf.DUMMYFUNCTION("IF(OR(C297=""AÇÃO"",C297=""BDR""),IFERROR(GOOGLEFINANCE(CONCAT(""BVMF:"",CR297), ""marketcap"")/1000000,""NC""),"""")"),"")</f>
        <v/>
      </c>
      <c r="BW297" s="869" t="s">
        <v>123</v>
      </c>
      <c r="BX297" s="870" t="s">
        <v>123</v>
      </c>
      <c r="BY297" s="868" t="s">
        <v>123</v>
      </c>
      <c r="BZ297" s="870" t="s">
        <v>123</v>
      </c>
      <c r="CA297" s="868" t="s">
        <v>123</v>
      </c>
      <c r="CB297" s="868" t="s">
        <v>123</v>
      </c>
      <c r="CC297" s="868" t="s">
        <v>123</v>
      </c>
      <c r="CD297" s="868" t="str">
        <f>IFERROR(__xludf.DUMMYFUNCTION("IF(OR(C297=""AÇÃO"",C297=""BDR""),IFERROR(GOOGLEFINANCE(CONCAT(""BVMF:"",CR297), ""volumeavg"")/1000000,""NC""),"""")"),"")</f>
        <v/>
      </c>
      <c r="CE297" s="870" t="s">
        <v>123</v>
      </c>
      <c r="CF297" s="870" t="s">
        <v>123</v>
      </c>
      <c r="CG297" s="870" t="str">
        <f>IFERROR(__xludf.DUMMYFUNCTION("IF(OR(C297=""AÇÃO"",C297=""BDR""),IF(CF297=0,""SEM DY"",IFERROR(ImportXML(CONCAT(""http://www.guiainvest.com.br/raiox/default.aspx?sigla="",$CR297),""//*[@id='lbPayoutAtual']""),""NC"")),"""")"),"")</f>
        <v/>
      </c>
      <c r="CH297" s="870" t="s">
        <v>123</v>
      </c>
      <c r="CI297" s="545"/>
      <c r="CJ297" s="871" t="str">
        <f>IFERROR(__xludf.DUMMYFUNCTION("IF(OR(C297=""AÇÃO"",C297=""BDR""),IFERROR(GOOGLEFINANCE(CONCAT(""BVMF:"",CR297), ""eps""),""NC""),"""")"),"")</f>
        <v/>
      </c>
      <c r="CK297" s="442"/>
      <c r="CL297" s="871" t="str">
        <f>IFERROR(__xludf.DUMMYFUNCTION("IF(NOT($BL$4),"""",IF($CR297="""","""",IF($BC297="""","""",IFERROR(query({op.normal!$B$5:$F308},""select Col5, toDate(Col2) where Col1 =  '""&amp;$CR297&amp;""' and Col4 &gt; 0 and ((Col3 is null) or (Col3 = 'C')) and Col2 &gt;= date '""&amp;TEXT(TODAY()-$AQ$5,""yyyy-mm-dd"&amp;""")&amp;""' order by Col2 desc limit 1 label toDate(Col2) ''"")))))"),"")</f>
        <v/>
      </c>
      <c r="CM297" s="872"/>
      <c r="CN297" s="883" t="s">
        <v>123</v>
      </c>
      <c r="CO297" s="874" t="s">
        <v>123</v>
      </c>
      <c r="CP297" s="766"/>
      <c r="CQ297" s="791"/>
      <c r="CR297" s="791"/>
      <c r="CT297" s="791" t="s">
        <v>123</v>
      </c>
      <c r="CU297" s="791" t="str">
        <f>IFERROR(__xludf.DUMMYFUNCTION("IF(CR297="""","""",IF(CT297=$C$4,1,GOOGLEFINANCE(CT297&amp;$C$4)))"),"")</f>
        <v/>
      </c>
    </row>
    <row r="298" ht="22.5" customHeight="1">
      <c r="A298" s="837">
        <v>290.0</v>
      </c>
      <c r="B298" s="838" t="s">
        <v>123</v>
      </c>
      <c r="C298" s="838" t="s">
        <v>123</v>
      </c>
      <c r="D298" s="839" t="s">
        <v>123</v>
      </c>
      <c r="E298" s="839" t="s">
        <v>123</v>
      </c>
      <c r="F298" s="839" t="s">
        <v>123</v>
      </c>
      <c r="H298" s="884"/>
      <c r="I298" s="838"/>
      <c r="J298" s="838"/>
      <c r="K298" s="838"/>
      <c r="L298" s="838"/>
      <c r="M298" s="838"/>
      <c r="N298" s="838"/>
      <c r="O298" s="838"/>
      <c r="P298" s="838"/>
      <c r="Q298" s="838"/>
      <c r="R298" s="838"/>
      <c r="S298" s="838"/>
      <c r="T298" s="838"/>
      <c r="U298" s="838"/>
      <c r="V298" s="838"/>
      <c r="W298" s="838"/>
      <c r="X298" s="838"/>
      <c r="Z298" s="875" t="str">
        <f>IFERROR(__xludf.DUMMYFUNCTION("IF($CR298="""","""",IFERROR(query({CarteirasAtivos},""select Col4 where Col4 is not null and Col1 = '""&amp;$CR298&amp;""' limit 1"")*CU298,""NC""))"),"")</f>
        <v/>
      </c>
      <c r="AA298" s="876" t="str">
        <f>IFERROR(__xludf.DUMMYFUNCTION("IF($CR298="""","""",IFERROR(query({CarteirasAtivos},""select Col6 where Col4 is not null and Col1 = '""&amp;$CR298&amp;""' limit 1""),""NC""))"),"")</f>
        <v/>
      </c>
      <c r="AB298" s="877"/>
      <c r="AC298" s="878" t="s">
        <v>123</v>
      </c>
      <c r="AD298" s="845" t="str">
        <f>IF($CR298="","",IFERROR(VLOOKUP($CR298,ativos.!$C$3:$R308,MATCH("cotacao",ativos.!$C$2:CY$2,0),FALSE)*$CU$5,"atualizar"))</f>
        <v/>
      </c>
      <c r="AE298" s="846" t="str">
        <f>IFERROR(__xludf.DUMMYFUNCTION("IF($CR298="""","""",IFERROR(AVERAGE(query({CarteirasAtivos;CarteirasAtivosEncerrados},""select Col5 where Col5 is not null and Col1 = '""&amp;$CR298&amp;""' and Col10='SIM'""))*CU298,""NC""))"),"")</f>
        <v/>
      </c>
      <c r="AF298" s="847" t="str">
        <f t="shared" si="1"/>
        <v/>
      </c>
      <c r="AG298" s="442"/>
      <c r="AH298" s="848" t="str">
        <f>IFERROR(__xludf.DUMMYFUNCTION("IF($CR298="""","""",IFERROR(GOOGLEFINANCE($CR298,""low52"")*CU298,""-""))"),"")</f>
        <v/>
      </c>
      <c r="AI298" s="848" t="str">
        <f>IFERROR(__xludf.DUMMYFUNCTION("IF($CR298="""","""",IFERROR(GOOGLEFINANCE($CR298,""high52"")*CU298,""-""))"),"")</f>
        <v/>
      </c>
      <c r="AJ298" s="849" t="s">
        <v>123</v>
      </c>
      <c r="AK298" s="850" t="str">
        <f>IFERROR(__xludf.DUMMYFUNCTION("IF($CR298="""","""",IFERROR(GOOGLEFINANCE($CR298,""changepct"")/100,""-""))"),"")</f>
        <v/>
      </c>
      <c r="AL298" s="851" t="str">
        <f>IFERROR(__xludf.DUMMYFUNCTION("IF($CR298="""","""",IFERROR(($AD298/(QUERY(GOOGLEFINANCE($CR298,""price"",TODAY()-7),""SELECT Col2 label Col2 ''"")*$CU298)-1),""-""))"),"")</f>
        <v/>
      </c>
      <c r="AM298" s="851" t="str">
        <f>IFERROR(__xludf.DUMMYFUNCTION("IF($CR298="""","""",IFERROR(($AD298/(QUERY(GOOGLEFINANCE($CR298,""price"",TODAY()-14),""SELECT Col2 label Col2 ''"")*$CU298)-1),""-""))"),"")</f>
        <v/>
      </c>
      <c r="AN298" s="851" t="str">
        <f>IFERROR(__xludf.DUMMYFUNCTION("IF($CR298="""","""",IFERROR(($AD298/(QUERY(GOOGLEFINANCE($CR298,""price"",TODAY()-28),""SELECT Col2 label Col2 ''"")*$CU298)-1),""-""))"),"")</f>
        <v/>
      </c>
      <c r="AO298" s="851" t="str">
        <f>IFERROR(__xludf.DUMMYFUNCTION("IF($CR298="""","""",IFERROR(($AD298/(QUERY(GOOGLEFINANCE($CR298,""price"",TODAY()-$AQ$5),""SELECT Col2 label Col2 ''"")*$CU298)-1),""-""))"),"")</f>
        <v/>
      </c>
      <c r="AP298" s="852" t="str">
        <f>IFERROR(__xludf.DUMMYFUNCTION("IF($CR298="""","""",IFERROR(SPARKLINE(query(GOOGLEFINANCE($CR298,""price"",TODAY()-$AQ$5,TODAY(),1),""select Col2 label Col2 ''""),IF($AP$7=""Gráfico de barras"",{""charttype"",""column"";""highcolor"",""red""},{""chartype"",""line""}))))"),"")</f>
        <v/>
      </c>
      <c r="AQ298" s="144"/>
      <c r="AR298" s="853"/>
      <c r="AS298" s="854" t="str">
        <f>IF($CR298="","",IF(NOT('alocação'!$D$1),"off",IFERROR(VLOOKUP(CR298,BalanceAtivos,3,0),"NC")))</f>
        <v/>
      </c>
      <c r="AT298" s="855" t="str">
        <f>IF($CR298="","",IF(NOT('alocação'!$D$1),"off",IFERROR(VLOOKUP($CR298,BalanceAtivos,4,0)*$CU$5,"NC")))</f>
        <v/>
      </c>
      <c r="AU298" s="856" t="str">
        <f>IF($CR298="","",IF(NOT('alocação'!$D$1),"off",IFERROR(VLOOKUP($CR298,BalanceAtivos,5,0),"-")))</f>
        <v/>
      </c>
      <c r="AV298" s="856" t="str">
        <f>IF($CR298="","",IF(NOT('alocação'!$D$1),"off",IFERROR(VLOOKUP($CR298,BalanceAtivos,6,0),"-")))</f>
        <v/>
      </c>
      <c r="AW298" s="857"/>
      <c r="AX298" s="858" t="str">
        <f>IF($CR298="","",IF($E298="","SP",IFERROR(VLOOKUP($CR298,AtivosDados,MATCH("pm_atual",portfolio.!$A$3:CY$3,0),0)*$CU$5,0)))</f>
        <v/>
      </c>
      <c r="AY298" s="859" t="str">
        <f t="shared" si="2"/>
        <v/>
      </c>
      <c r="AZ298" s="858" t="str">
        <f>IF($CR298="","",IF($E298="","SP",SUMIF(portfolio.!$A$4:$A308,$CR298,portfolio.!$O$4:$O308)*$CU$5))</f>
        <v/>
      </c>
      <c r="BA298" s="858" t="str">
        <f>IF($CR298="","",IF($E298="","SP",SUMIF(portfolio.!$A$4:$A308,$CR298,portfolio.!$AN$4:$AN308)*$CU$5))</f>
        <v/>
      </c>
      <c r="BB298" s="860" t="str">
        <f>IF($CR298="","",IF($E298="","-",IFERROR($BA298/'portfólio'!$DG$63,"")))</f>
        <v/>
      </c>
      <c r="BC298" s="861" t="str">
        <f>IF($CR298="","",IF($E298="","-",SUMIF(portfolio.!$A$4:$A308,$CR298,portfolio.!$J$4:$J308)))</f>
        <v/>
      </c>
      <c r="BD298" s="862" t="str">
        <f>IF($CR298="","",IF($E298="","SP",SUMIF(portfolio.!$A$4:$A308,$CR298,portfolio.!$AQ$4:$AQ308)*$CU$5))</f>
        <v/>
      </c>
      <c r="BE298" s="850" t="str">
        <f t="shared" si="3"/>
        <v/>
      </c>
      <c r="BF298" s="862" t="str">
        <f>IF($CR298="","",IF($E298="","-",SUMIF(portfolio.!$A$4:$A308,$CR298,portfolio.!$AX$4:$AX308)*$CU$5))</f>
        <v/>
      </c>
      <c r="BG298" s="545"/>
      <c r="BH298" s="879" t="s">
        <v>123</v>
      </c>
      <c r="BI298" s="880" t="s">
        <v>123</v>
      </c>
      <c r="BJ298" s="863" t="str">
        <f>IFERROR(__xludf.DUMMYFUNCTION("IF(NOT($BL$4),"""",IF($CR298="""","""",IFERROR(query({GOOGLEFINANCE($CR298,""price"",IF($BI298=""-"",TODAY()-($AQ$5+5),$BI298),TODAY()-1)},""Select max(Col2) where Col1 is not null label max(Col2) ''"")*CU298,""-"")))"),"")</f>
        <v/>
      </c>
      <c r="BK298" s="881" t="s">
        <v>123</v>
      </c>
      <c r="BL298" s="882" t="s">
        <v>123</v>
      </c>
      <c r="BM298" s="442"/>
      <c r="BN298" s="867" t="str">
        <f>IFERROR(__xludf.DUMMYFUNCTION("IF(CR298="""","""",IF(OR(C298=""AÇÃO"",C298=""BDR""),IFERROR(QUERY({fundamentus.!$A$3:$U308},$CX$67&amp;"" where Col1='""&amp;CR298&amp;""' limit 1"",0)),IF(C298=""FII"",IFERROR(QUERY({fundsexplorer.!$A$2:$Z308},$CY$67&amp;"" where Col1='""&amp;CR298&amp;""' limit 1"",0)),""""))"&amp;")"),"")</f>
        <v/>
      </c>
      <c r="BO298" s="867"/>
      <c r="BP298" s="867"/>
      <c r="BQ298" s="867"/>
      <c r="BR298" s="867"/>
      <c r="BS298" s="867"/>
      <c r="BT298" s="867"/>
      <c r="BU298" s="442"/>
      <c r="BV298" s="868" t="str">
        <f>IFERROR(__xludf.DUMMYFUNCTION("IF(OR(C298=""AÇÃO"",C298=""BDR""),IFERROR(GOOGLEFINANCE(CONCAT(""BVMF:"",CR298), ""marketcap"")/1000000,""NC""),"""")"),"")</f>
        <v/>
      </c>
      <c r="BW298" s="869" t="s">
        <v>123</v>
      </c>
      <c r="BX298" s="870" t="s">
        <v>123</v>
      </c>
      <c r="BY298" s="868" t="s">
        <v>123</v>
      </c>
      <c r="BZ298" s="870" t="s">
        <v>123</v>
      </c>
      <c r="CA298" s="868" t="s">
        <v>123</v>
      </c>
      <c r="CB298" s="868" t="s">
        <v>123</v>
      </c>
      <c r="CC298" s="868" t="s">
        <v>123</v>
      </c>
      <c r="CD298" s="868" t="str">
        <f>IFERROR(__xludf.DUMMYFUNCTION("IF(OR(C298=""AÇÃO"",C298=""BDR""),IFERROR(GOOGLEFINANCE(CONCAT(""BVMF:"",CR298), ""volumeavg"")/1000000,""NC""),"""")"),"")</f>
        <v/>
      </c>
      <c r="CE298" s="870" t="s">
        <v>123</v>
      </c>
      <c r="CF298" s="870" t="s">
        <v>123</v>
      </c>
      <c r="CG298" s="870" t="str">
        <f>IFERROR(__xludf.DUMMYFUNCTION("IF(OR(C298=""AÇÃO"",C298=""BDR""),IF(CF298=0,""SEM DY"",IFERROR(ImportXML(CONCAT(""http://www.guiainvest.com.br/raiox/default.aspx?sigla="",$CR298),""//*[@id='lbPayoutAtual']""),""NC"")),"""")"),"")</f>
        <v/>
      </c>
      <c r="CH298" s="870" t="s">
        <v>123</v>
      </c>
      <c r="CI298" s="545"/>
      <c r="CJ298" s="871" t="str">
        <f>IFERROR(__xludf.DUMMYFUNCTION("IF(OR(C298=""AÇÃO"",C298=""BDR""),IFERROR(GOOGLEFINANCE(CONCAT(""BVMF:"",CR298), ""eps""),""NC""),"""")"),"")</f>
        <v/>
      </c>
      <c r="CK298" s="442"/>
      <c r="CL298" s="871" t="str">
        <f>IFERROR(__xludf.DUMMYFUNCTION("IF(NOT($BL$4),"""",IF($CR298="""","""",IF($BC298="""","""",IFERROR(query({op.normal!$B$5:$F308},""select Col5, toDate(Col2) where Col1 =  '""&amp;$CR298&amp;""' and Col4 &gt; 0 and ((Col3 is null) or (Col3 = 'C')) and Col2 &gt;= date '""&amp;TEXT(TODAY()-$AQ$5,""yyyy-mm-dd"&amp;""")&amp;""' order by Col2 desc limit 1 label toDate(Col2) ''"")))))"),"")</f>
        <v/>
      </c>
      <c r="CM298" s="872"/>
      <c r="CN298" s="883" t="s">
        <v>123</v>
      </c>
      <c r="CO298" s="874" t="s">
        <v>123</v>
      </c>
      <c r="CP298" s="766"/>
      <c r="CQ298" s="791"/>
      <c r="CR298" s="791"/>
      <c r="CT298" s="791" t="s">
        <v>123</v>
      </c>
      <c r="CU298" s="791" t="str">
        <f>IFERROR(__xludf.DUMMYFUNCTION("IF(CR298="""","""",IF(CT298=$C$4,1,GOOGLEFINANCE(CT298&amp;$C$4)))"),"")</f>
        <v/>
      </c>
    </row>
    <row r="299" ht="22.5" customHeight="1">
      <c r="A299" s="837">
        <v>291.0</v>
      </c>
      <c r="B299" s="838" t="s">
        <v>123</v>
      </c>
      <c r="C299" s="838" t="s">
        <v>123</v>
      </c>
      <c r="D299" s="839" t="s">
        <v>123</v>
      </c>
      <c r="E299" s="839" t="s">
        <v>123</v>
      </c>
      <c r="F299" s="839" t="s">
        <v>123</v>
      </c>
      <c r="H299" s="884"/>
      <c r="I299" s="838"/>
      <c r="J299" s="838"/>
      <c r="K299" s="838"/>
      <c r="L299" s="838"/>
      <c r="M299" s="838"/>
      <c r="N299" s="838"/>
      <c r="O299" s="838"/>
      <c r="P299" s="838"/>
      <c r="Q299" s="838"/>
      <c r="R299" s="838"/>
      <c r="S299" s="838"/>
      <c r="T299" s="838"/>
      <c r="U299" s="838"/>
      <c r="V299" s="838"/>
      <c r="W299" s="838"/>
      <c r="X299" s="838"/>
      <c r="Z299" s="875" t="str">
        <f>IFERROR(__xludf.DUMMYFUNCTION("IF($CR299="""","""",IFERROR(query({CarteirasAtivos},""select Col4 where Col4 is not null and Col1 = '""&amp;$CR299&amp;""' limit 1"")*CU299,""NC""))"),"")</f>
        <v/>
      </c>
      <c r="AA299" s="876" t="str">
        <f>IFERROR(__xludf.DUMMYFUNCTION("IF($CR299="""","""",IFERROR(query({CarteirasAtivos},""select Col6 where Col4 is not null and Col1 = '""&amp;$CR299&amp;""' limit 1""),""NC""))"),"")</f>
        <v/>
      </c>
      <c r="AB299" s="877"/>
      <c r="AC299" s="878" t="s">
        <v>123</v>
      </c>
      <c r="AD299" s="845" t="str">
        <f>IF($CR299="","",IFERROR(VLOOKUP($CR299,ativos.!$C$3:$R308,MATCH("cotacao",ativos.!$C$2:CY$2,0),FALSE)*$CU$5,"atualizar"))</f>
        <v/>
      </c>
      <c r="AE299" s="846" t="str">
        <f>IFERROR(__xludf.DUMMYFUNCTION("IF($CR299="""","""",IFERROR(AVERAGE(query({CarteirasAtivos;CarteirasAtivosEncerrados},""select Col5 where Col5 is not null and Col1 = '""&amp;$CR299&amp;""' and Col10='SIM'""))*CU299,""NC""))"),"")</f>
        <v/>
      </c>
      <c r="AF299" s="847" t="str">
        <f t="shared" si="1"/>
        <v/>
      </c>
      <c r="AG299" s="442"/>
      <c r="AH299" s="848" t="str">
        <f>IFERROR(__xludf.DUMMYFUNCTION("IF($CR299="""","""",IFERROR(GOOGLEFINANCE($CR299,""low52"")*CU299,""-""))"),"")</f>
        <v/>
      </c>
      <c r="AI299" s="848" t="str">
        <f>IFERROR(__xludf.DUMMYFUNCTION("IF($CR299="""","""",IFERROR(GOOGLEFINANCE($CR299,""high52"")*CU299,""-""))"),"")</f>
        <v/>
      </c>
      <c r="AJ299" s="849" t="s">
        <v>123</v>
      </c>
      <c r="AK299" s="850" t="str">
        <f>IFERROR(__xludf.DUMMYFUNCTION("IF($CR299="""","""",IFERROR(GOOGLEFINANCE($CR299,""changepct"")/100,""-""))"),"")</f>
        <v/>
      </c>
      <c r="AL299" s="851" t="str">
        <f>IFERROR(__xludf.DUMMYFUNCTION("IF($CR299="""","""",IFERROR(($AD299/(QUERY(GOOGLEFINANCE($CR299,""price"",TODAY()-7),""SELECT Col2 label Col2 ''"")*$CU299)-1),""-""))"),"")</f>
        <v/>
      </c>
      <c r="AM299" s="851" t="str">
        <f>IFERROR(__xludf.DUMMYFUNCTION("IF($CR299="""","""",IFERROR(($AD299/(QUERY(GOOGLEFINANCE($CR299,""price"",TODAY()-14),""SELECT Col2 label Col2 ''"")*$CU299)-1),""-""))"),"")</f>
        <v/>
      </c>
      <c r="AN299" s="851" t="str">
        <f>IFERROR(__xludf.DUMMYFUNCTION("IF($CR299="""","""",IFERROR(($AD299/(QUERY(GOOGLEFINANCE($CR299,""price"",TODAY()-28),""SELECT Col2 label Col2 ''"")*$CU299)-1),""-""))"),"")</f>
        <v/>
      </c>
      <c r="AO299" s="851" t="str">
        <f>IFERROR(__xludf.DUMMYFUNCTION("IF($CR299="""","""",IFERROR(($AD299/(QUERY(GOOGLEFINANCE($CR299,""price"",TODAY()-$AQ$5),""SELECT Col2 label Col2 ''"")*$CU299)-1),""-""))"),"")</f>
        <v/>
      </c>
      <c r="AP299" s="852" t="str">
        <f>IFERROR(__xludf.DUMMYFUNCTION("IF($CR299="""","""",IFERROR(SPARKLINE(query(GOOGLEFINANCE($CR299,""price"",TODAY()-$AQ$5,TODAY(),1),""select Col2 label Col2 ''""),IF($AP$7=""Gráfico de barras"",{""charttype"",""column"";""highcolor"",""red""},{""chartype"",""line""}))))"),"")</f>
        <v/>
      </c>
      <c r="AQ299" s="144"/>
      <c r="AR299" s="853"/>
      <c r="AS299" s="854" t="str">
        <f>IF($CR299="","",IF(NOT('alocação'!$D$1),"off",IFERROR(VLOOKUP(CR299,BalanceAtivos,3,0),"NC")))</f>
        <v/>
      </c>
      <c r="AT299" s="855" t="str">
        <f>IF($CR299="","",IF(NOT('alocação'!$D$1),"off",IFERROR(VLOOKUP($CR299,BalanceAtivos,4,0)*$CU$5,"NC")))</f>
        <v/>
      </c>
      <c r="AU299" s="856" t="str">
        <f>IF($CR299="","",IF(NOT('alocação'!$D$1),"off",IFERROR(VLOOKUP($CR299,BalanceAtivos,5,0),"-")))</f>
        <v/>
      </c>
      <c r="AV299" s="856" t="str">
        <f>IF($CR299="","",IF(NOT('alocação'!$D$1),"off",IFERROR(VLOOKUP($CR299,BalanceAtivos,6,0),"-")))</f>
        <v/>
      </c>
      <c r="AW299" s="857"/>
      <c r="AX299" s="858" t="str">
        <f>IF($CR299="","",IF($E299="","SP",IFERROR(VLOOKUP($CR299,AtivosDados,MATCH("pm_atual",portfolio.!$A$3:CY$3,0),0)*$CU$5,0)))</f>
        <v/>
      </c>
      <c r="AY299" s="859" t="str">
        <f t="shared" si="2"/>
        <v/>
      </c>
      <c r="AZ299" s="858" t="str">
        <f>IF($CR299="","",IF($E299="","SP",SUMIF(portfolio.!$A$4:$A308,$CR299,portfolio.!$O$4:$O308)*$CU$5))</f>
        <v/>
      </c>
      <c r="BA299" s="858" t="str">
        <f>IF($CR299="","",IF($E299="","SP",SUMIF(portfolio.!$A$4:$A308,$CR299,portfolio.!$AN$4:$AN308)*$CU$5))</f>
        <v/>
      </c>
      <c r="BB299" s="860" t="str">
        <f>IF($CR299="","",IF($E299="","-",IFERROR($BA299/'portfólio'!$DG$63,"")))</f>
        <v/>
      </c>
      <c r="BC299" s="861" t="str">
        <f>IF($CR299="","",IF($E299="","-",SUMIF(portfolio.!$A$4:$A308,$CR299,portfolio.!$J$4:$J308)))</f>
        <v/>
      </c>
      <c r="BD299" s="862" t="str">
        <f>IF($CR299="","",IF($E299="","SP",SUMIF(portfolio.!$A$4:$A308,$CR299,portfolio.!$AQ$4:$AQ308)*$CU$5))</f>
        <v/>
      </c>
      <c r="BE299" s="850" t="str">
        <f t="shared" si="3"/>
        <v/>
      </c>
      <c r="BF299" s="862" t="str">
        <f>IF($CR299="","",IF($E299="","-",SUMIF(portfolio.!$A$4:$A308,$CR299,portfolio.!$AX$4:$AX308)*$CU$5))</f>
        <v/>
      </c>
      <c r="BG299" s="545"/>
      <c r="BH299" s="879" t="s">
        <v>123</v>
      </c>
      <c r="BI299" s="880" t="s">
        <v>123</v>
      </c>
      <c r="BJ299" s="863" t="str">
        <f>IFERROR(__xludf.DUMMYFUNCTION("IF(NOT($BL$4),"""",IF($CR299="""","""",IFERROR(query({GOOGLEFINANCE($CR299,""price"",IF($BI299=""-"",TODAY()-($AQ$5+5),$BI299),TODAY()-1)},""Select max(Col2) where Col1 is not null label max(Col2) ''"")*CU299,""-"")))"),"")</f>
        <v/>
      </c>
      <c r="BK299" s="881" t="s">
        <v>123</v>
      </c>
      <c r="BL299" s="882" t="s">
        <v>123</v>
      </c>
      <c r="BM299" s="442"/>
      <c r="BN299" s="867" t="str">
        <f>IFERROR(__xludf.DUMMYFUNCTION("IF(CR299="""","""",IF(OR(C299=""AÇÃO"",C299=""BDR""),IFERROR(QUERY({fundamentus.!$A$3:$U308},$CX$67&amp;"" where Col1='""&amp;CR299&amp;""' limit 1"",0)),IF(C299=""FII"",IFERROR(QUERY({fundsexplorer.!$A$2:$Z308},$CY$67&amp;"" where Col1='""&amp;CR299&amp;""' limit 1"",0)),""""))"&amp;")"),"")</f>
        <v/>
      </c>
      <c r="BO299" s="867"/>
      <c r="BP299" s="867"/>
      <c r="BQ299" s="867"/>
      <c r="BR299" s="867"/>
      <c r="BS299" s="867"/>
      <c r="BT299" s="867"/>
      <c r="BU299" s="442"/>
      <c r="BV299" s="868" t="str">
        <f>IFERROR(__xludf.DUMMYFUNCTION("IF(OR(C299=""AÇÃO"",C299=""BDR""),IFERROR(GOOGLEFINANCE(CONCAT(""BVMF:"",CR299), ""marketcap"")/1000000,""NC""),"""")"),"")</f>
        <v/>
      </c>
      <c r="BW299" s="869" t="s">
        <v>123</v>
      </c>
      <c r="BX299" s="870" t="s">
        <v>123</v>
      </c>
      <c r="BY299" s="868" t="s">
        <v>123</v>
      </c>
      <c r="BZ299" s="870" t="s">
        <v>123</v>
      </c>
      <c r="CA299" s="868" t="s">
        <v>123</v>
      </c>
      <c r="CB299" s="868" t="s">
        <v>123</v>
      </c>
      <c r="CC299" s="868" t="s">
        <v>123</v>
      </c>
      <c r="CD299" s="868" t="str">
        <f>IFERROR(__xludf.DUMMYFUNCTION("IF(OR(C299=""AÇÃO"",C299=""BDR""),IFERROR(GOOGLEFINANCE(CONCAT(""BVMF:"",CR299), ""volumeavg"")/1000000,""NC""),"""")"),"")</f>
        <v/>
      </c>
      <c r="CE299" s="870" t="s">
        <v>123</v>
      </c>
      <c r="CF299" s="870" t="s">
        <v>123</v>
      </c>
      <c r="CG299" s="870" t="str">
        <f>IFERROR(__xludf.DUMMYFUNCTION("IF(OR(C299=""AÇÃO"",C299=""BDR""),IF(CF299=0,""SEM DY"",IFERROR(ImportXML(CONCAT(""http://www.guiainvest.com.br/raiox/default.aspx?sigla="",$CR299),""//*[@id='lbPayoutAtual']""),""NC"")),"""")"),"")</f>
        <v/>
      </c>
      <c r="CH299" s="870" t="s">
        <v>123</v>
      </c>
      <c r="CI299" s="545"/>
      <c r="CJ299" s="871" t="str">
        <f>IFERROR(__xludf.DUMMYFUNCTION("IF(OR(C299=""AÇÃO"",C299=""BDR""),IFERROR(GOOGLEFINANCE(CONCAT(""BVMF:"",CR299), ""eps""),""NC""),"""")"),"")</f>
        <v/>
      </c>
      <c r="CK299" s="442"/>
      <c r="CL299" s="871" t="str">
        <f>IFERROR(__xludf.DUMMYFUNCTION("IF(NOT($BL$4),"""",IF($CR299="""","""",IF($BC299="""","""",IFERROR(query({op.normal!$B$5:$F308},""select Col5, toDate(Col2) where Col1 =  '""&amp;$CR299&amp;""' and Col4 &gt; 0 and ((Col3 is null) or (Col3 = 'C')) and Col2 &gt;= date '""&amp;TEXT(TODAY()-$AQ$5,""yyyy-mm-dd"&amp;""")&amp;""' order by Col2 desc limit 1 label toDate(Col2) ''"")))))"),"")</f>
        <v/>
      </c>
      <c r="CM299" s="872"/>
      <c r="CN299" s="883" t="s">
        <v>123</v>
      </c>
      <c r="CO299" s="874" t="s">
        <v>123</v>
      </c>
      <c r="CP299" s="766"/>
      <c r="CQ299" s="791"/>
      <c r="CR299" s="791"/>
      <c r="CT299" s="791" t="s">
        <v>123</v>
      </c>
      <c r="CU299" s="791" t="str">
        <f>IFERROR(__xludf.DUMMYFUNCTION("IF(CR299="""","""",IF(CT299=$C$4,1,GOOGLEFINANCE(CT299&amp;$C$4)))"),"")</f>
        <v/>
      </c>
    </row>
    <row r="300" ht="22.5" customHeight="1">
      <c r="A300" s="837">
        <v>292.0</v>
      </c>
      <c r="B300" s="838" t="s">
        <v>123</v>
      </c>
      <c r="C300" s="838" t="s">
        <v>123</v>
      </c>
      <c r="D300" s="839" t="s">
        <v>123</v>
      </c>
      <c r="E300" s="839" t="s">
        <v>123</v>
      </c>
      <c r="F300" s="839" t="s">
        <v>123</v>
      </c>
      <c r="H300" s="884"/>
      <c r="I300" s="838"/>
      <c r="J300" s="838"/>
      <c r="K300" s="838"/>
      <c r="L300" s="838"/>
      <c r="M300" s="838"/>
      <c r="N300" s="838"/>
      <c r="O300" s="838"/>
      <c r="P300" s="838"/>
      <c r="Q300" s="838"/>
      <c r="R300" s="838"/>
      <c r="S300" s="838"/>
      <c r="T300" s="838"/>
      <c r="U300" s="838"/>
      <c r="V300" s="838"/>
      <c r="W300" s="838"/>
      <c r="X300" s="838"/>
      <c r="Z300" s="875" t="str">
        <f>IFERROR(__xludf.DUMMYFUNCTION("IF($CR300="""","""",IFERROR(query({CarteirasAtivos},""select Col4 where Col4 is not null and Col1 = '""&amp;$CR300&amp;""' limit 1"")*CU300,""NC""))"),"")</f>
        <v/>
      </c>
      <c r="AA300" s="876" t="str">
        <f>IFERROR(__xludf.DUMMYFUNCTION("IF($CR300="""","""",IFERROR(query({CarteirasAtivos},""select Col6 where Col4 is not null and Col1 = '""&amp;$CR300&amp;""' limit 1""),""NC""))"),"")</f>
        <v/>
      </c>
      <c r="AB300" s="877"/>
      <c r="AC300" s="878" t="s">
        <v>123</v>
      </c>
      <c r="AD300" s="845" t="str">
        <f>IF($CR300="","",IFERROR(VLOOKUP($CR300,ativos.!$C$3:$R308,MATCH("cotacao",ativos.!$C$2:CY$2,0),FALSE)*$CU$5,"atualizar"))</f>
        <v/>
      </c>
      <c r="AE300" s="846" t="str">
        <f>IFERROR(__xludf.DUMMYFUNCTION("IF($CR300="""","""",IFERROR(AVERAGE(query({CarteirasAtivos;CarteirasAtivosEncerrados},""select Col5 where Col5 is not null and Col1 = '""&amp;$CR300&amp;""' and Col10='SIM'""))*CU300,""NC""))"),"")</f>
        <v/>
      </c>
      <c r="AF300" s="847" t="str">
        <f t="shared" si="1"/>
        <v/>
      </c>
      <c r="AG300" s="442"/>
      <c r="AH300" s="848" t="str">
        <f>IFERROR(__xludf.DUMMYFUNCTION("IF($CR300="""","""",IFERROR(GOOGLEFINANCE($CR300,""low52"")*CU300,""-""))"),"")</f>
        <v/>
      </c>
      <c r="AI300" s="848" t="str">
        <f>IFERROR(__xludf.DUMMYFUNCTION("IF($CR300="""","""",IFERROR(GOOGLEFINANCE($CR300,""high52"")*CU300,""-""))"),"")</f>
        <v/>
      </c>
      <c r="AJ300" s="849" t="s">
        <v>123</v>
      </c>
      <c r="AK300" s="850" t="str">
        <f>IFERROR(__xludf.DUMMYFUNCTION("IF($CR300="""","""",IFERROR(GOOGLEFINANCE($CR300,""changepct"")/100,""-""))"),"")</f>
        <v/>
      </c>
      <c r="AL300" s="851" t="str">
        <f>IFERROR(__xludf.DUMMYFUNCTION("IF($CR300="""","""",IFERROR(($AD300/(QUERY(GOOGLEFINANCE($CR300,""price"",TODAY()-7),""SELECT Col2 label Col2 ''"")*$CU300)-1),""-""))"),"")</f>
        <v/>
      </c>
      <c r="AM300" s="851" t="str">
        <f>IFERROR(__xludf.DUMMYFUNCTION("IF($CR300="""","""",IFERROR(($AD300/(QUERY(GOOGLEFINANCE($CR300,""price"",TODAY()-14),""SELECT Col2 label Col2 ''"")*$CU300)-1),""-""))"),"")</f>
        <v/>
      </c>
      <c r="AN300" s="851" t="str">
        <f>IFERROR(__xludf.DUMMYFUNCTION("IF($CR300="""","""",IFERROR(($AD300/(QUERY(GOOGLEFINANCE($CR300,""price"",TODAY()-28),""SELECT Col2 label Col2 ''"")*$CU300)-1),""-""))"),"")</f>
        <v/>
      </c>
      <c r="AO300" s="851" t="str">
        <f>IFERROR(__xludf.DUMMYFUNCTION("IF($CR300="""","""",IFERROR(($AD300/(QUERY(GOOGLEFINANCE($CR300,""price"",TODAY()-$AQ$5),""SELECT Col2 label Col2 ''"")*$CU300)-1),""-""))"),"")</f>
        <v/>
      </c>
      <c r="AP300" s="852" t="str">
        <f>IFERROR(__xludf.DUMMYFUNCTION("IF($CR300="""","""",IFERROR(SPARKLINE(query(GOOGLEFINANCE($CR300,""price"",TODAY()-$AQ$5,TODAY(),1),""select Col2 label Col2 ''""),IF($AP$7=""Gráfico de barras"",{""charttype"",""column"";""highcolor"",""red""},{""chartype"",""line""}))))"),"")</f>
        <v/>
      </c>
      <c r="AQ300" s="144"/>
      <c r="AR300" s="853"/>
      <c r="AS300" s="854" t="str">
        <f>IF($CR300="","",IF(NOT('alocação'!$D$1),"off",IFERROR(VLOOKUP(CR300,BalanceAtivos,3,0),"NC")))</f>
        <v/>
      </c>
      <c r="AT300" s="855" t="str">
        <f>IF($CR300="","",IF(NOT('alocação'!$D$1),"off",IFERROR(VLOOKUP($CR300,BalanceAtivos,4,0)*$CU$5,"NC")))</f>
        <v/>
      </c>
      <c r="AU300" s="856" t="str">
        <f>IF($CR300="","",IF(NOT('alocação'!$D$1),"off",IFERROR(VLOOKUP($CR300,BalanceAtivos,5,0),"-")))</f>
        <v/>
      </c>
      <c r="AV300" s="856" t="str">
        <f>IF($CR300="","",IF(NOT('alocação'!$D$1),"off",IFERROR(VLOOKUP($CR300,BalanceAtivos,6,0),"-")))</f>
        <v/>
      </c>
      <c r="AW300" s="857"/>
      <c r="AX300" s="858" t="str">
        <f>IF($CR300="","",IF($E300="","SP",IFERROR(VLOOKUP($CR300,AtivosDados,MATCH("pm_atual",portfolio.!$A$3:CY$3,0),0)*$CU$5,0)))</f>
        <v/>
      </c>
      <c r="AY300" s="859" t="str">
        <f t="shared" si="2"/>
        <v/>
      </c>
      <c r="AZ300" s="858" t="str">
        <f>IF($CR300="","",IF($E300="","SP",SUMIF(portfolio.!$A$4:$A308,$CR300,portfolio.!$O$4:$O308)*$CU$5))</f>
        <v/>
      </c>
      <c r="BA300" s="858" t="str">
        <f>IF($CR300="","",IF($E300="","SP",SUMIF(portfolio.!$A$4:$A308,$CR300,portfolio.!$AN$4:$AN308)*$CU$5))</f>
        <v/>
      </c>
      <c r="BB300" s="860" t="str">
        <f>IF($CR300="","",IF($E300="","-",IFERROR($BA300/'portfólio'!$DG$63,"")))</f>
        <v/>
      </c>
      <c r="BC300" s="861" t="str">
        <f>IF($CR300="","",IF($E300="","-",SUMIF(portfolio.!$A$4:$A308,$CR300,portfolio.!$J$4:$J308)))</f>
        <v/>
      </c>
      <c r="BD300" s="862" t="str">
        <f>IF($CR300="","",IF($E300="","SP",SUMIF(portfolio.!$A$4:$A308,$CR300,portfolio.!$AQ$4:$AQ308)*$CU$5))</f>
        <v/>
      </c>
      <c r="BE300" s="850" t="str">
        <f t="shared" si="3"/>
        <v/>
      </c>
      <c r="BF300" s="862" t="str">
        <f>IF($CR300="","",IF($E300="","-",SUMIF(portfolio.!$A$4:$A308,$CR300,portfolio.!$AX$4:$AX308)*$CU$5))</f>
        <v/>
      </c>
      <c r="BG300" s="545"/>
      <c r="BH300" s="879" t="s">
        <v>123</v>
      </c>
      <c r="BI300" s="880" t="s">
        <v>123</v>
      </c>
      <c r="BJ300" s="863" t="str">
        <f>IFERROR(__xludf.DUMMYFUNCTION("IF(NOT($BL$4),"""",IF($CR300="""","""",IFERROR(query({GOOGLEFINANCE($CR300,""price"",IF($BI300=""-"",TODAY()-($AQ$5+5),$BI300),TODAY()-1)},""Select max(Col2) where Col1 is not null label max(Col2) ''"")*CU300,""-"")))"),"")</f>
        <v/>
      </c>
      <c r="BK300" s="881" t="s">
        <v>123</v>
      </c>
      <c r="BL300" s="882" t="s">
        <v>123</v>
      </c>
      <c r="BM300" s="442"/>
      <c r="BN300" s="867" t="str">
        <f>IFERROR(__xludf.DUMMYFUNCTION("IF(CR300="""","""",IF(OR(C300=""AÇÃO"",C300=""BDR""),IFERROR(QUERY({fundamentus.!$A$3:$U308},$CX$67&amp;"" where Col1='""&amp;CR300&amp;""' limit 1"",0)),IF(C300=""FII"",IFERROR(QUERY({fundsexplorer.!$A$2:$Z308},$CY$67&amp;"" where Col1='""&amp;CR300&amp;""' limit 1"",0)),""""))"&amp;")"),"")</f>
        <v/>
      </c>
      <c r="BO300" s="867"/>
      <c r="BP300" s="867"/>
      <c r="BQ300" s="867"/>
      <c r="BR300" s="867"/>
      <c r="BS300" s="867"/>
      <c r="BT300" s="867"/>
      <c r="BU300" s="442"/>
      <c r="BV300" s="868" t="str">
        <f>IFERROR(__xludf.DUMMYFUNCTION("IF(OR(C300=""AÇÃO"",C300=""BDR""),IFERROR(GOOGLEFINANCE(CONCAT(""BVMF:"",CR300), ""marketcap"")/1000000,""NC""),"""")"),"")</f>
        <v/>
      </c>
      <c r="BW300" s="869" t="s">
        <v>123</v>
      </c>
      <c r="BX300" s="870" t="s">
        <v>123</v>
      </c>
      <c r="BY300" s="868" t="s">
        <v>123</v>
      </c>
      <c r="BZ300" s="870" t="s">
        <v>123</v>
      </c>
      <c r="CA300" s="868" t="s">
        <v>123</v>
      </c>
      <c r="CB300" s="868" t="s">
        <v>123</v>
      </c>
      <c r="CC300" s="868" t="s">
        <v>123</v>
      </c>
      <c r="CD300" s="868" t="str">
        <f>IFERROR(__xludf.DUMMYFUNCTION("IF(OR(C300=""AÇÃO"",C300=""BDR""),IFERROR(GOOGLEFINANCE(CONCAT(""BVMF:"",CR300), ""volumeavg"")/1000000,""NC""),"""")"),"")</f>
        <v/>
      </c>
      <c r="CE300" s="870" t="s">
        <v>123</v>
      </c>
      <c r="CF300" s="870" t="s">
        <v>123</v>
      </c>
      <c r="CG300" s="870" t="str">
        <f>IFERROR(__xludf.DUMMYFUNCTION("IF(OR(C300=""AÇÃO"",C300=""BDR""),IF(CF300=0,""SEM DY"",IFERROR(ImportXML(CONCAT(""http://www.guiainvest.com.br/raiox/default.aspx?sigla="",$CR300),""//*[@id='lbPayoutAtual']""),""NC"")),"""")"),"")</f>
        <v/>
      </c>
      <c r="CH300" s="870" t="s">
        <v>123</v>
      </c>
      <c r="CI300" s="545"/>
      <c r="CJ300" s="871" t="str">
        <f>IFERROR(__xludf.DUMMYFUNCTION("IF(OR(C300=""AÇÃO"",C300=""BDR""),IFERROR(GOOGLEFINANCE(CONCAT(""BVMF:"",CR300), ""eps""),""NC""),"""")"),"")</f>
        <v/>
      </c>
      <c r="CK300" s="442"/>
      <c r="CL300" s="871" t="str">
        <f>IFERROR(__xludf.DUMMYFUNCTION("IF(NOT($BL$4),"""",IF($CR300="""","""",IF($BC300="""","""",IFERROR(query({op.normal!$B$5:$F308},""select Col5, toDate(Col2) where Col1 =  '""&amp;$CR300&amp;""' and Col4 &gt; 0 and ((Col3 is null) or (Col3 = 'C')) and Col2 &gt;= date '""&amp;TEXT(TODAY()-$AQ$5,""yyyy-mm-dd"&amp;""")&amp;""' order by Col2 desc limit 1 label toDate(Col2) ''"")))))"),"")</f>
        <v/>
      </c>
      <c r="CM300" s="872"/>
      <c r="CN300" s="883" t="s">
        <v>123</v>
      </c>
      <c r="CO300" s="874" t="s">
        <v>123</v>
      </c>
      <c r="CP300" s="766"/>
      <c r="CQ300" s="791"/>
      <c r="CR300" s="791"/>
      <c r="CT300" s="791" t="s">
        <v>123</v>
      </c>
      <c r="CU300" s="791" t="str">
        <f>IFERROR(__xludf.DUMMYFUNCTION("IF(CR300="""","""",IF(CT300=$C$4,1,GOOGLEFINANCE(CT300&amp;$C$4)))"),"")</f>
        <v/>
      </c>
    </row>
    <row r="301" ht="22.5" customHeight="1">
      <c r="A301" s="837">
        <v>293.0</v>
      </c>
      <c r="B301" s="838" t="s">
        <v>123</v>
      </c>
      <c r="C301" s="838" t="s">
        <v>123</v>
      </c>
      <c r="D301" s="839" t="s">
        <v>123</v>
      </c>
      <c r="E301" s="839" t="s">
        <v>123</v>
      </c>
      <c r="F301" s="839" t="s">
        <v>123</v>
      </c>
      <c r="H301" s="884"/>
      <c r="I301" s="838"/>
      <c r="J301" s="838"/>
      <c r="K301" s="838"/>
      <c r="L301" s="838"/>
      <c r="M301" s="838"/>
      <c r="N301" s="838"/>
      <c r="O301" s="838"/>
      <c r="P301" s="838"/>
      <c r="Q301" s="838"/>
      <c r="R301" s="838"/>
      <c r="S301" s="838"/>
      <c r="T301" s="838"/>
      <c r="U301" s="838"/>
      <c r="V301" s="838"/>
      <c r="W301" s="838"/>
      <c r="X301" s="838"/>
      <c r="Z301" s="875" t="str">
        <f>IFERROR(__xludf.DUMMYFUNCTION("IF($CR301="""","""",IFERROR(query({CarteirasAtivos},""select Col4 where Col4 is not null and Col1 = '""&amp;$CR301&amp;""' limit 1"")*CU301,""NC""))"),"")</f>
        <v/>
      </c>
      <c r="AA301" s="876" t="str">
        <f>IFERROR(__xludf.DUMMYFUNCTION("IF($CR301="""","""",IFERROR(query({CarteirasAtivos},""select Col6 where Col4 is not null and Col1 = '""&amp;$CR301&amp;""' limit 1""),""NC""))"),"")</f>
        <v/>
      </c>
      <c r="AB301" s="877"/>
      <c r="AC301" s="878" t="s">
        <v>123</v>
      </c>
      <c r="AD301" s="845" t="str">
        <f>IF($CR301="","",IFERROR(VLOOKUP($CR301,ativos.!$C$3:$R308,MATCH("cotacao",ativos.!$C$2:CY$2,0),FALSE)*$CU$5,"atualizar"))</f>
        <v/>
      </c>
      <c r="AE301" s="846" t="str">
        <f>IFERROR(__xludf.DUMMYFUNCTION("IF($CR301="""","""",IFERROR(AVERAGE(query({CarteirasAtivos;CarteirasAtivosEncerrados},""select Col5 where Col5 is not null and Col1 = '""&amp;$CR301&amp;""' and Col10='SIM'""))*CU301,""NC""))"),"")</f>
        <v/>
      </c>
      <c r="AF301" s="847" t="str">
        <f t="shared" si="1"/>
        <v/>
      </c>
      <c r="AG301" s="442"/>
      <c r="AH301" s="848" t="str">
        <f>IFERROR(__xludf.DUMMYFUNCTION("IF($CR301="""","""",IFERROR(GOOGLEFINANCE($CR301,""low52"")*CU301,""-""))"),"")</f>
        <v/>
      </c>
      <c r="AI301" s="848" t="str">
        <f>IFERROR(__xludf.DUMMYFUNCTION("IF($CR301="""","""",IFERROR(GOOGLEFINANCE($CR301,""high52"")*CU301,""-""))"),"")</f>
        <v/>
      </c>
      <c r="AJ301" s="849" t="s">
        <v>123</v>
      </c>
      <c r="AK301" s="850" t="str">
        <f>IFERROR(__xludf.DUMMYFUNCTION("IF($CR301="""","""",IFERROR(GOOGLEFINANCE($CR301,""changepct"")/100,""-""))"),"")</f>
        <v/>
      </c>
      <c r="AL301" s="851" t="str">
        <f>IFERROR(__xludf.DUMMYFUNCTION("IF($CR301="""","""",IFERROR(($AD301/(QUERY(GOOGLEFINANCE($CR301,""price"",TODAY()-7),""SELECT Col2 label Col2 ''"")*$CU301)-1),""-""))"),"")</f>
        <v/>
      </c>
      <c r="AM301" s="851" t="str">
        <f>IFERROR(__xludf.DUMMYFUNCTION("IF($CR301="""","""",IFERROR(($AD301/(QUERY(GOOGLEFINANCE($CR301,""price"",TODAY()-14),""SELECT Col2 label Col2 ''"")*$CU301)-1),""-""))"),"")</f>
        <v/>
      </c>
      <c r="AN301" s="851" t="str">
        <f>IFERROR(__xludf.DUMMYFUNCTION("IF($CR301="""","""",IFERROR(($AD301/(QUERY(GOOGLEFINANCE($CR301,""price"",TODAY()-28),""SELECT Col2 label Col2 ''"")*$CU301)-1),""-""))"),"")</f>
        <v/>
      </c>
      <c r="AO301" s="851" t="str">
        <f>IFERROR(__xludf.DUMMYFUNCTION("IF($CR301="""","""",IFERROR(($AD301/(QUERY(GOOGLEFINANCE($CR301,""price"",TODAY()-$AQ$5),""SELECT Col2 label Col2 ''"")*$CU301)-1),""-""))"),"")</f>
        <v/>
      </c>
      <c r="AP301" s="852" t="str">
        <f>IFERROR(__xludf.DUMMYFUNCTION("IF($CR301="""","""",IFERROR(SPARKLINE(query(GOOGLEFINANCE($CR301,""price"",TODAY()-$AQ$5,TODAY(),1),""select Col2 label Col2 ''""),IF($AP$7=""Gráfico de barras"",{""charttype"",""column"";""highcolor"",""red""},{""chartype"",""line""}))))"),"")</f>
        <v/>
      </c>
      <c r="AQ301" s="144"/>
      <c r="AR301" s="853"/>
      <c r="AS301" s="854" t="str">
        <f>IF($CR301="","",IF(NOT('alocação'!$D$1),"off",IFERROR(VLOOKUP(CR301,BalanceAtivos,3,0),"NC")))</f>
        <v/>
      </c>
      <c r="AT301" s="855" t="str">
        <f>IF($CR301="","",IF(NOT('alocação'!$D$1),"off",IFERROR(VLOOKUP($CR301,BalanceAtivos,4,0)*$CU$5,"NC")))</f>
        <v/>
      </c>
      <c r="AU301" s="856" t="str">
        <f>IF($CR301="","",IF(NOT('alocação'!$D$1),"off",IFERROR(VLOOKUP($CR301,BalanceAtivos,5,0),"-")))</f>
        <v/>
      </c>
      <c r="AV301" s="856" t="str">
        <f>IF($CR301="","",IF(NOT('alocação'!$D$1),"off",IFERROR(VLOOKUP($CR301,BalanceAtivos,6,0),"-")))</f>
        <v/>
      </c>
      <c r="AW301" s="857"/>
      <c r="AX301" s="858" t="str">
        <f>IF($CR301="","",IF($E301="","SP",IFERROR(VLOOKUP($CR301,AtivosDados,MATCH("pm_atual",portfolio.!$A$3:CY$3,0),0)*$CU$5,0)))</f>
        <v/>
      </c>
      <c r="AY301" s="859" t="str">
        <f t="shared" si="2"/>
        <v/>
      </c>
      <c r="AZ301" s="858" t="str">
        <f>IF($CR301="","",IF($E301="","SP",SUMIF(portfolio.!$A$4:$A308,$CR301,portfolio.!$O$4:$O308)*$CU$5))</f>
        <v/>
      </c>
      <c r="BA301" s="858" t="str">
        <f>IF($CR301="","",IF($E301="","SP",SUMIF(portfolio.!$A$4:$A308,$CR301,portfolio.!$AN$4:$AN308)*$CU$5))</f>
        <v/>
      </c>
      <c r="BB301" s="860" t="str">
        <f>IF($CR301="","",IF($E301="","-",IFERROR($BA301/'portfólio'!$DG$63,"")))</f>
        <v/>
      </c>
      <c r="BC301" s="861" t="str">
        <f>IF($CR301="","",IF($E301="","-",SUMIF(portfolio.!$A$4:$A308,$CR301,portfolio.!$J$4:$J308)))</f>
        <v/>
      </c>
      <c r="BD301" s="862" t="str">
        <f>IF($CR301="","",IF($E301="","SP",SUMIF(portfolio.!$A$4:$A308,$CR301,portfolio.!$AQ$4:$AQ308)*$CU$5))</f>
        <v/>
      </c>
      <c r="BE301" s="850" t="str">
        <f t="shared" si="3"/>
        <v/>
      </c>
      <c r="BF301" s="862" t="str">
        <f>IF($CR301="","",IF($E301="","-",SUMIF(portfolio.!$A$4:$A308,$CR301,portfolio.!$AX$4:$AX308)*$CU$5))</f>
        <v/>
      </c>
      <c r="BG301" s="545"/>
      <c r="BH301" s="879" t="s">
        <v>123</v>
      </c>
      <c r="BI301" s="880" t="s">
        <v>123</v>
      </c>
      <c r="BJ301" s="863" t="str">
        <f>IFERROR(__xludf.DUMMYFUNCTION("IF(NOT($BL$4),"""",IF($CR301="""","""",IFERROR(query({GOOGLEFINANCE($CR301,""price"",IF($BI301=""-"",TODAY()-($AQ$5+5),$BI301),TODAY()-1)},""Select max(Col2) where Col1 is not null label max(Col2) ''"")*CU301,""-"")))"),"")</f>
        <v/>
      </c>
      <c r="BK301" s="881" t="s">
        <v>123</v>
      </c>
      <c r="BL301" s="882" t="s">
        <v>123</v>
      </c>
      <c r="BM301" s="442"/>
      <c r="BN301" s="867" t="str">
        <f>IFERROR(__xludf.DUMMYFUNCTION("IF(CR301="""","""",IF(OR(C301=""AÇÃO"",C301=""BDR""),IFERROR(QUERY({fundamentus.!$A$3:$U308},$CX$67&amp;"" where Col1='""&amp;CR301&amp;""' limit 1"",0)),IF(C301=""FII"",IFERROR(QUERY({fundsexplorer.!$A$2:$Z308},$CY$67&amp;"" where Col1='""&amp;CR301&amp;""' limit 1"",0)),""""))"&amp;")"),"")</f>
        <v/>
      </c>
      <c r="BO301" s="867"/>
      <c r="BP301" s="867"/>
      <c r="BQ301" s="867"/>
      <c r="BR301" s="867"/>
      <c r="BS301" s="867"/>
      <c r="BT301" s="867"/>
      <c r="BU301" s="442"/>
      <c r="BV301" s="868" t="str">
        <f>IFERROR(__xludf.DUMMYFUNCTION("IF(OR(C301=""AÇÃO"",C301=""BDR""),IFERROR(GOOGLEFINANCE(CONCAT(""BVMF:"",CR301), ""marketcap"")/1000000,""NC""),"""")"),"")</f>
        <v/>
      </c>
      <c r="BW301" s="869" t="s">
        <v>123</v>
      </c>
      <c r="BX301" s="870" t="s">
        <v>123</v>
      </c>
      <c r="BY301" s="868" t="s">
        <v>123</v>
      </c>
      <c r="BZ301" s="870" t="s">
        <v>123</v>
      </c>
      <c r="CA301" s="868" t="s">
        <v>123</v>
      </c>
      <c r="CB301" s="868" t="s">
        <v>123</v>
      </c>
      <c r="CC301" s="868" t="s">
        <v>123</v>
      </c>
      <c r="CD301" s="868" t="str">
        <f>IFERROR(__xludf.DUMMYFUNCTION("IF(OR(C301=""AÇÃO"",C301=""BDR""),IFERROR(GOOGLEFINANCE(CONCAT(""BVMF:"",CR301), ""volumeavg"")/1000000,""NC""),"""")"),"")</f>
        <v/>
      </c>
      <c r="CE301" s="870" t="s">
        <v>123</v>
      </c>
      <c r="CF301" s="870" t="s">
        <v>123</v>
      </c>
      <c r="CG301" s="870" t="str">
        <f>IFERROR(__xludf.DUMMYFUNCTION("IF(OR(C301=""AÇÃO"",C301=""BDR""),IF(CF301=0,""SEM DY"",IFERROR(ImportXML(CONCAT(""http://www.guiainvest.com.br/raiox/default.aspx?sigla="",$CR301),""//*[@id='lbPayoutAtual']""),""NC"")),"""")"),"")</f>
        <v/>
      </c>
      <c r="CH301" s="870" t="s">
        <v>123</v>
      </c>
      <c r="CI301" s="545"/>
      <c r="CJ301" s="871" t="str">
        <f>IFERROR(__xludf.DUMMYFUNCTION("IF(OR(C301=""AÇÃO"",C301=""BDR""),IFERROR(GOOGLEFINANCE(CONCAT(""BVMF:"",CR301), ""eps""),""NC""),"""")"),"")</f>
        <v/>
      </c>
      <c r="CK301" s="442"/>
      <c r="CL301" s="871" t="str">
        <f>IFERROR(__xludf.DUMMYFUNCTION("IF(NOT($BL$4),"""",IF($CR301="""","""",IF($BC301="""","""",IFERROR(query({op.normal!$B$5:$F308},""select Col5, toDate(Col2) where Col1 =  '""&amp;$CR301&amp;""' and Col4 &gt; 0 and ((Col3 is null) or (Col3 = 'C')) and Col2 &gt;= date '""&amp;TEXT(TODAY()-$AQ$5,""yyyy-mm-dd"&amp;""")&amp;""' order by Col2 desc limit 1 label toDate(Col2) ''"")))))"),"")</f>
        <v/>
      </c>
      <c r="CM301" s="872"/>
      <c r="CN301" s="883" t="s">
        <v>123</v>
      </c>
      <c r="CO301" s="874" t="s">
        <v>123</v>
      </c>
      <c r="CP301" s="766"/>
      <c r="CQ301" s="791"/>
      <c r="CR301" s="791"/>
      <c r="CT301" s="791" t="s">
        <v>123</v>
      </c>
      <c r="CU301" s="791" t="str">
        <f>IFERROR(__xludf.DUMMYFUNCTION("IF(CR301="""","""",IF(CT301=$C$4,1,GOOGLEFINANCE(CT301&amp;$C$4)))"),"")</f>
        <v/>
      </c>
    </row>
    <row r="302" ht="22.5" customHeight="1">
      <c r="A302" s="837">
        <v>294.0</v>
      </c>
      <c r="B302" s="838" t="s">
        <v>123</v>
      </c>
      <c r="C302" s="838" t="s">
        <v>123</v>
      </c>
      <c r="D302" s="839" t="s">
        <v>123</v>
      </c>
      <c r="E302" s="839" t="s">
        <v>123</v>
      </c>
      <c r="F302" s="839" t="s">
        <v>123</v>
      </c>
      <c r="H302" s="884"/>
      <c r="I302" s="838"/>
      <c r="J302" s="838"/>
      <c r="K302" s="838"/>
      <c r="L302" s="838"/>
      <c r="M302" s="838"/>
      <c r="N302" s="838"/>
      <c r="O302" s="838"/>
      <c r="P302" s="838"/>
      <c r="Q302" s="838"/>
      <c r="R302" s="838"/>
      <c r="S302" s="838"/>
      <c r="T302" s="838"/>
      <c r="U302" s="838"/>
      <c r="V302" s="838"/>
      <c r="W302" s="838"/>
      <c r="X302" s="838"/>
      <c r="Z302" s="875" t="str">
        <f>IFERROR(__xludf.DUMMYFUNCTION("IF($CR302="""","""",IFERROR(query({CarteirasAtivos},""select Col4 where Col4 is not null and Col1 = '""&amp;$CR302&amp;""' limit 1"")*CU302,""NC""))"),"")</f>
        <v/>
      </c>
      <c r="AA302" s="876" t="str">
        <f>IFERROR(__xludf.DUMMYFUNCTION("IF($CR302="""","""",IFERROR(query({CarteirasAtivos},""select Col6 where Col4 is not null and Col1 = '""&amp;$CR302&amp;""' limit 1""),""NC""))"),"")</f>
        <v/>
      </c>
      <c r="AB302" s="877"/>
      <c r="AC302" s="878" t="s">
        <v>123</v>
      </c>
      <c r="AD302" s="845" t="str">
        <f>IF($CR302="","",IFERROR(VLOOKUP($CR302,ativos.!$C$3:$R308,MATCH("cotacao",ativos.!$C$2:CY$2,0),FALSE)*$CU$5,"atualizar"))</f>
        <v/>
      </c>
      <c r="AE302" s="846" t="str">
        <f>IFERROR(__xludf.DUMMYFUNCTION("IF($CR302="""","""",IFERROR(AVERAGE(query({CarteirasAtivos;CarteirasAtivosEncerrados},""select Col5 where Col5 is not null and Col1 = '""&amp;$CR302&amp;""' and Col10='SIM'""))*CU302,""NC""))"),"")</f>
        <v/>
      </c>
      <c r="AF302" s="847" t="str">
        <f t="shared" si="1"/>
        <v/>
      </c>
      <c r="AG302" s="442"/>
      <c r="AH302" s="848" t="str">
        <f>IFERROR(__xludf.DUMMYFUNCTION("IF($CR302="""","""",IFERROR(GOOGLEFINANCE($CR302,""low52"")*CU302,""-""))"),"")</f>
        <v/>
      </c>
      <c r="AI302" s="848" t="str">
        <f>IFERROR(__xludf.DUMMYFUNCTION("IF($CR302="""","""",IFERROR(GOOGLEFINANCE($CR302,""high52"")*CU302,""-""))"),"")</f>
        <v/>
      </c>
      <c r="AJ302" s="849" t="s">
        <v>123</v>
      </c>
      <c r="AK302" s="850" t="str">
        <f>IFERROR(__xludf.DUMMYFUNCTION("IF($CR302="""","""",IFERROR(GOOGLEFINANCE($CR302,""changepct"")/100,""-""))"),"")</f>
        <v/>
      </c>
      <c r="AL302" s="851" t="str">
        <f>IFERROR(__xludf.DUMMYFUNCTION("IF($CR302="""","""",IFERROR(($AD302/(QUERY(GOOGLEFINANCE($CR302,""price"",TODAY()-7),""SELECT Col2 label Col2 ''"")*$CU302)-1),""-""))"),"")</f>
        <v/>
      </c>
      <c r="AM302" s="851" t="str">
        <f>IFERROR(__xludf.DUMMYFUNCTION("IF($CR302="""","""",IFERROR(($AD302/(QUERY(GOOGLEFINANCE($CR302,""price"",TODAY()-14),""SELECT Col2 label Col2 ''"")*$CU302)-1),""-""))"),"")</f>
        <v/>
      </c>
      <c r="AN302" s="851" t="str">
        <f>IFERROR(__xludf.DUMMYFUNCTION("IF($CR302="""","""",IFERROR(($AD302/(QUERY(GOOGLEFINANCE($CR302,""price"",TODAY()-28),""SELECT Col2 label Col2 ''"")*$CU302)-1),""-""))"),"")</f>
        <v/>
      </c>
      <c r="AO302" s="851" t="str">
        <f>IFERROR(__xludf.DUMMYFUNCTION("IF($CR302="""","""",IFERROR(($AD302/(QUERY(GOOGLEFINANCE($CR302,""price"",TODAY()-$AQ$5),""SELECT Col2 label Col2 ''"")*$CU302)-1),""-""))"),"")</f>
        <v/>
      </c>
      <c r="AP302" s="852" t="str">
        <f>IFERROR(__xludf.DUMMYFUNCTION("IF($CR302="""","""",IFERROR(SPARKLINE(query(GOOGLEFINANCE($CR302,""price"",TODAY()-$AQ$5,TODAY(),1),""select Col2 label Col2 ''""),IF($AP$7=""Gráfico de barras"",{""charttype"",""column"";""highcolor"",""red""},{""chartype"",""line""}))))"),"")</f>
        <v/>
      </c>
      <c r="AQ302" s="144"/>
      <c r="AR302" s="853"/>
      <c r="AS302" s="854" t="str">
        <f>IF($CR302="","",IF(NOT('alocação'!$D$1),"off",IFERROR(VLOOKUP(CR302,BalanceAtivos,3,0),"NC")))</f>
        <v/>
      </c>
      <c r="AT302" s="855" t="str">
        <f>IF($CR302="","",IF(NOT('alocação'!$D$1),"off",IFERROR(VLOOKUP($CR302,BalanceAtivos,4,0)*$CU$5,"NC")))</f>
        <v/>
      </c>
      <c r="AU302" s="856" t="str">
        <f>IF($CR302="","",IF(NOT('alocação'!$D$1),"off",IFERROR(VLOOKUP($CR302,BalanceAtivos,5,0),"-")))</f>
        <v/>
      </c>
      <c r="AV302" s="856" t="str">
        <f>IF($CR302="","",IF(NOT('alocação'!$D$1),"off",IFERROR(VLOOKUP($CR302,BalanceAtivos,6,0),"-")))</f>
        <v/>
      </c>
      <c r="AW302" s="857"/>
      <c r="AX302" s="858" t="str">
        <f>IF($CR302="","",IF($E302="","SP",IFERROR(VLOOKUP($CR302,AtivosDados,MATCH("pm_atual",portfolio.!$A$3:CY$3,0),0)*$CU$5,0)))</f>
        <v/>
      </c>
      <c r="AY302" s="859" t="str">
        <f t="shared" si="2"/>
        <v/>
      </c>
      <c r="AZ302" s="858" t="str">
        <f>IF($CR302="","",IF($E302="","SP",SUMIF(portfolio.!$A$4:$A308,$CR302,portfolio.!$O$4:$O308)*$CU$5))</f>
        <v/>
      </c>
      <c r="BA302" s="858" t="str">
        <f>IF($CR302="","",IF($E302="","SP",SUMIF(portfolio.!$A$4:$A308,$CR302,portfolio.!$AN$4:$AN308)*$CU$5))</f>
        <v/>
      </c>
      <c r="BB302" s="860" t="str">
        <f>IF($CR302="","",IF($E302="","-",IFERROR($BA302/'portfólio'!$DG$63,"")))</f>
        <v/>
      </c>
      <c r="BC302" s="861" t="str">
        <f>IF($CR302="","",IF($E302="","-",SUMIF(portfolio.!$A$4:$A308,$CR302,portfolio.!$J$4:$J308)))</f>
        <v/>
      </c>
      <c r="BD302" s="862" t="str">
        <f>IF($CR302="","",IF($E302="","SP",SUMIF(portfolio.!$A$4:$A308,$CR302,portfolio.!$AQ$4:$AQ308)*$CU$5))</f>
        <v/>
      </c>
      <c r="BE302" s="850" t="str">
        <f t="shared" si="3"/>
        <v/>
      </c>
      <c r="BF302" s="862" t="str">
        <f>IF($CR302="","",IF($E302="","-",SUMIF(portfolio.!$A$4:$A308,$CR302,portfolio.!$AX$4:$AX308)*$CU$5))</f>
        <v/>
      </c>
      <c r="BG302" s="545"/>
      <c r="BH302" s="879" t="s">
        <v>123</v>
      </c>
      <c r="BI302" s="880" t="s">
        <v>123</v>
      </c>
      <c r="BJ302" s="863" t="str">
        <f>IFERROR(__xludf.DUMMYFUNCTION("IF(NOT($BL$4),"""",IF($CR302="""","""",IFERROR(query({GOOGLEFINANCE($CR302,""price"",IF($BI302=""-"",TODAY()-($AQ$5+5),$BI302),TODAY()-1)},""Select max(Col2) where Col1 is not null label max(Col2) ''"")*CU302,""-"")))"),"")</f>
        <v/>
      </c>
      <c r="BK302" s="881" t="s">
        <v>123</v>
      </c>
      <c r="BL302" s="882" t="s">
        <v>123</v>
      </c>
      <c r="BM302" s="442"/>
      <c r="BN302" s="867" t="str">
        <f>IFERROR(__xludf.DUMMYFUNCTION("IF(CR302="""","""",IF(OR(C302=""AÇÃO"",C302=""BDR""),IFERROR(QUERY({fundamentus.!$A$3:$U308},$CX$67&amp;"" where Col1='""&amp;CR302&amp;""' limit 1"",0)),IF(C302=""FII"",IFERROR(QUERY({fundsexplorer.!$A$2:$Z308},$CY$67&amp;"" where Col1='""&amp;CR302&amp;""' limit 1"",0)),""""))"&amp;")"),"")</f>
        <v/>
      </c>
      <c r="BO302" s="867"/>
      <c r="BP302" s="867"/>
      <c r="BQ302" s="867"/>
      <c r="BR302" s="867"/>
      <c r="BS302" s="867"/>
      <c r="BT302" s="867"/>
      <c r="BU302" s="442"/>
      <c r="BV302" s="868" t="str">
        <f>IFERROR(__xludf.DUMMYFUNCTION("IF(OR(C302=""AÇÃO"",C302=""BDR""),IFERROR(GOOGLEFINANCE(CONCAT(""BVMF:"",CR302), ""marketcap"")/1000000,""NC""),"""")"),"")</f>
        <v/>
      </c>
      <c r="BW302" s="869" t="s">
        <v>123</v>
      </c>
      <c r="BX302" s="870" t="s">
        <v>123</v>
      </c>
      <c r="BY302" s="868" t="s">
        <v>123</v>
      </c>
      <c r="BZ302" s="870" t="s">
        <v>123</v>
      </c>
      <c r="CA302" s="868" t="s">
        <v>123</v>
      </c>
      <c r="CB302" s="868" t="s">
        <v>123</v>
      </c>
      <c r="CC302" s="868" t="s">
        <v>123</v>
      </c>
      <c r="CD302" s="868" t="str">
        <f>IFERROR(__xludf.DUMMYFUNCTION("IF(OR(C302=""AÇÃO"",C302=""BDR""),IFERROR(GOOGLEFINANCE(CONCAT(""BVMF:"",CR302), ""volumeavg"")/1000000,""NC""),"""")"),"")</f>
        <v/>
      </c>
      <c r="CE302" s="870" t="s">
        <v>123</v>
      </c>
      <c r="CF302" s="870" t="s">
        <v>123</v>
      </c>
      <c r="CG302" s="870" t="str">
        <f>IFERROR(__xludf.DUMMYFUNCTION("IF(OR(C302=""AÇÃO"",C302=""BDR""),IF(CF302=0,""SEM DY"",IFERROR(ImportXML(CONCAT(""http://www.guiainvest.com.br/raiox/default.aspx?sigla="",$CR302),""//*[@id='lbPayoutAtual']""),""NC"")),"""")"),"")</f>
        <v/>
      </c>
      <c r="CH302" s="870" t="s">
        <v>123</v>
      </c>
      <c r="CI302" s="545"/>
      <c r="CJ302" s="871" t="str">
        <f>IFERROR(__xludf.DUMMYFUNCTION("IF(OR(C302=""AÇÃO"",C302=""BDR""),IFERROR(GOOGLEFINANCE(CONCAT(""BVMF:"",CR302), ""eps""),""NC""),"""")"),"")</f>
        <v/>
      </c>
      <c r="CK302" s="442"/>
      <c r="CL302" s="871" t="str">
        <f>IFERROR(__xludf.DUMMYFUNCTION("IF(NOT($BL$4),"""",IF($CR302="""","""",IF($BC302="""","""",IFERROR(query({op.normal!$B$5:$F308},""select Col5, toDate(Col2) where Col1 =  '""&amp;$CR302&amp;""' and Col4 &gt; 0 and ((Col3 is null) or (Col3 = 'C')) and Col2 &gt;= date '""&amp;TEXT(TODAY()-$AQ$5,""yyyy-mm-dd"&amp;""")&amp;""' order by Col2 desc limit 1 label toDate(Col2) ''"")))))"),"")</f>
        <v/>
      </c>
      <c r="CM302" s="872"/>
      <c r="CN302" s="883" t="s">
        <v>123</v>
      </c>
      <c r="CO302" s="874" t="s">
        <v>123</v>
      </c>
      <c r="CP302" s="766"/>
      <c r="CQ302" s="791"/>
      <c r="CR302" s="791"/>
      <c r="CT302" s="791" t="s">
        <v>123</v>
      </c>
      <c r="CU302" s="791" t="str">
        <f>IFERROR(__xludf.DUMMYFUNCTION("IF(CR302="""","""",IF(CT302=$C$4,1,GOOGLEFINANCE(CT302&amp;$C$4)))"),"")</f>
        <v/>
      </c>
    </row>
    <row r="303" ht="22.5" customHeight="1">
      <c r="A303" s="837">
        <v>295.0</v>
      </c>
      <c r="B303" s="838" t="s">
        <v>123</v>
      </c>
      <c r="C303" s="838" t="s">
        <v>123</v>
      </c>
      <c r="D303" s="839" t="s">
        <v>123</v>
      </c>
      <c r="E303" s="839" t="s">
        <v>123</v>
      </c>
      <c r="F303" s="839" t="s">
        <v>123</v>
      </c>
      <c r="H303" s="884"/>
      <c r="I303" s="838"/>
      <c r="J303" s="838"/>
      <c r="K303" s="838"/>
      <c r="L303" s="838"/>
      <c r="M303" s="838"/>
      <c r="N303" s="838"/>
      <c r="O303" s="838"/>
      <c r="P303" s="838"/>
      <c r="Q303" s="838"/>
      <c r="R303" s="838"/>
      <c r="S303" s="838"/>
      <c r="T303" s="838"/>
      <c r="U303" s="838"/>
      <c r="V303" s="838"/>
      <c r="W303" s="838"/>
      <c r="X303" s="838"/>
      <c r="Z303" s="875" t="str">
        <f>IFERROR(__xludf.DUMMYFUNCTION("IF($CR303="""","""",IFERROR(query({CarteirasAtivos},""select Col4 where Col4 is not null and Col1 = '""&amp;$CR303&amp;""' limit 1"")*CU303,""NC""))"),"")</f>
        <v/>
      </c>
      <c r="AA303" s="876" t="str">
        <f>IFERROR(__xludf.DUMMYFUNCTION("IF($CR303="""","""",IFERROR(query({CarteirasAtivos},""select Col6 where Col4 is not null and Col1 = '""&amp;$CR303&amp;""' limit 1""),""NC""))"),"")</f>
        <v/>
      </c>
      <c r="AB303" s="877"/>
      <c r="AC303" s="878" t="s">
        <v>123</v>
      </c>
      <c r="AD303" s="845" t="str">
        <f>IF($CR303="","",IFERROR(VLOOKUP($CR303,ativos.!$C$3:$R308,MATCH("cotacao",ativos.!$C$2:CY$2,0),FALSE)*$CU$5,"atualizar"))</f>
        <v/>
      </c>
      <c r="AE303" s="846" t="str">
        <f>IFERROR(__xludf.DUMMYFUNCTION("IF($CR303="""","""",IFERROR(AVERAGE(query({CarteirasAtivos;CarteirasAtivosEncerrados},""select Col5 where Col5 is not null and Col1 = '""&amp;$CR303&amp;""' and Col10='SIM'""))*CU303,""NC""))"),"")</f>
        <v/>
      </c>
      <c r="AF303" s="847" t="str">
        <f t="shared" si="1"/>
        <v/>
      </c>
      <c r="AG303" s="442"/>
      <c r="AH303" s="848" t="str">
        <f>IFERROR(__xludf.DUMMYFUNCTION("IF($CR303="""","""",IFERROR(GOOGLEFINANCE($CR303,""low52"")*CU303,""-""))"),"")</f>
        <v/>
      </c>
      <c r="AI303" s="848" t="str">
        <f>IFERROR(__xludf.DUMMYFUNCTION("IF($CR303="""","""",IFERROR(GOOGLEFINANCE($CR303,""high52"")*CU303,""-""))"),"")</f>
        <v/>
      </c>
      <c r="AJ303" s="849" t="s">
        <v>123</v>
      </c>
      <c r="AK303" s="850" t="str">
        <f>IFERROR(__xludf.DUMMYFUNCTION("IF($CR303="""","""",IFERROR(GOOGLEFINANCE($CR303,""changepct"")/100,""-""))"),"")</f>
        <v/>
      </c>
      <c r="AL303" s="851" t="str">
        <f>IFERROR(__xludf.DUMMYFUNCTION("IF($CR303="""","""",IFERROR(($AD303/(QUERY(GOOGLEFINANCE($CR303,""price"",TODAY()-7),""SELECT Col2 label Col2 ''"")*$CU303)-1),""-""))"),"")</f>
        <v/>
      </c>
      <c r="AM303" s="851" t="str">
        <f>IFERROR(__xludf.DUMMYFUNCTION("IF($CR303="""","""",IFERROR(($AD303/(QUERY(GOOGLEFINANCE($CR303,""price"",TODAY()-14),""SELECT Col2 label Col2 ''"")*$CU303)-1),""-""))"),"")</f>
        <v/>
      </c>
      <c r="AN303" s="851" t="str">
        <f>IFERROR(__xludf.DUMMYFUNCTION("IF($CR303="""","""",IFERROR(($AD303/(QUERY(GOOGLEFINANCE($CR303,""price"",TODAY()-28),""SELECT Col2 label Col2 ''"")*$CU303)-1),""-""))"),"")</f>
        <v/>
      </c>
      <c r="AO303" s="851" t="str">
        <f>IFERROR(__xludf.DUMMYFUNCTION("IF($CR303="""","""",IFERROR(($AD303/(QUERY(GOOGLEFINANCE($CR303,""price"",TODAY()-$AQ$5),""SELECT Col2 label Col2 ''"")*$CU303)-1),""-""))"),"")</f>
        <v/>
      </c>
      <c r="AP303" s="852" t="str">
        <f>IFERROR(__xludf.DUMMYFUNCTION("IF($CR303="""","""",IFERROR(SPARKLINE(query(GOOGLEFINANCE($CR303,""price"",TODAY()-$AQ$5,TODAY(),1),""select Col2 label Col2 ''""),IF($AP$7=""Gráfico de barras"",{""charttype"",""column"";""highcolor"",""red""},{""chartype"",""line""}))))"),"")</f>
        <v/>
      </c>
      <c r="AQ303" s="144"/>
      <c r="AR303" s="853"/>
      <c r="AS303" s="854" t="str">
        <f>IF($CR303="","",IF(NOT('alocação'!$D$1),"off",IFERROR(VLOOKUP(CR303,BalanceAtivos,3,0),"NC")))</f>
        <v/>
      </c>
      <c r="AT303" s="855" t="str">
        <f>IF($CR303="","",IF(NOT('alocação'!$D$1),"off",IFERROR(VLOOKUP($CR303,BalanceAtivos,4,0)*$CU$5,"NC")))</f>
        <v/>
      </c>
      <c r="AU303" s="856" t="str">
        <f>IF($CR303="","",IF(NOT('alocação'!$D$1),"off",IFERROR(VLOOKUP($CR303,BalanceAtivos,5,0),"-")))</f>
        <v/>
      </c>
      <c r="AV303" s="856" t="str">
        <f>IF($CR303="","",IF(NOT('alocação'!$D$1),"off",IFERROR(VLOOKUP($CR303,BalanceAtivos,6,0),"-")))</f>
        <v/>
      </c>
      <c r="AW303" s="857"/>
      <c r="AX303" s="858" t="str">
        <f>IF($CR303="","",IF($E303="","SP",IFERROR(VLOOKUP($CR303,AtivosDados,MATCH("pm_atual",portfolio.!$A$3:CY$3,0),0)*$CU$5,0)))</f>
        <v/>
      </c>
      <c r="AY303" s="859" t="str">
        <f t="shared" si="2"/>
        <v/>
      </c>
      <c r="AZ303" s="858" t="str">
        <f>IF($CR303="","",IF($E303="","SP",SUMIF(portfolio.!$A$4:$A308,$CR303,portfolio.!$O$4:$O308)*$CU$5))</f>
        <v/>
      </c>
      <c r="BA303" s="858" t="str">
        <f>IF($CR303="","",IF($E303="","SP",SUMIF(portfolio.!$A$4:$A308,$CR303,portfolio.!$AN$4:$AN308)*$CU$5))</f>
        <v/>
      </c>
      <c r="BB303" s="860" t="str">
        <f>IF($CR303="","",IF($E303="","-",IFERROR($BA303/'portfólio'!$DG$63,"")))</f>
        <v/>
      </c>
      <c r="BC303" s="861" t="str">
        <f>IF($CR303="","",IF($E303="","-",SUMIF(portfolio.!$A$4:$A308,$CR303,portfolio.!$J$4:$J308)))</f>
        <v/>
      </c>
      <c r="BD303" s="862" t="str">
        <f>IF($CR303="","",IF($E303="","SP",SUMIF(portfolio.!$A$4:$A308,$CR303,portfolio.!$AQ$4:$AQ308)*$CU$5))</f>
        <v/>
      </c>
      <c r="BE303" s="850" t="str">
        <f t="shared" si="3"/>
        <v/>
      </c>
      <c r="BF303" s="862" t="str">
        <f>IF($CR303="","",IF($E303="","-",SUMIF(portfolio.!$A$4:$A308,$CR303,portfolio.!$AX$4:$AX308)*$CU$5))</f>
        <v/>
      </c>
      <c r="BG303" s="545"/>
      <c r="BH303" s="879" t="s">
        <v>123</v>
      </c>
      <c r="BI303" s="880" t="s">
        <v>123</v>
      </c>
      <c r="BJ303" s="863" t="str">
        <f>IFERROR(__xludf.DUMMYFUNCTION("IF(NOT($BL$4),"""",IF($CR303="""","""",IFERROR(query({GOOGLEFINANCE($CR303,""price"",IF($BI303=""-"",TODAY()-($AQ$5+5),$BI303),TODAY()-1)},""Select max(Col2) where Col1 is not null label max(Col2) ''"")*CU303,""-"")))"),"")</f>
        <v/>
      </c>
      <c r="BK303" s="881" t="s">
        <v>123</v>
      </c>
      <c r="BL303" s="882" t="s">
        <v>123</v>
      </c>
      <c r="BM303" s="442"/>
      <c r="BN303" s="867" t="str">
        <f>IFERROR(__xludf.DUMMYFUNCTION("IF(CR303="""","""",IF(OR(C303=""AÇÃO"",C303=""BDR""),IFERROR(QUERY({fundamentus.!$A$3:$U308},$CX$67&amp;"" where Col1='""&amp;CR303&amp;""' limit 1"",0)),IF(C303=""FII"",IFERROR(QUERY({fundsexplorer.!$A$2:$Z308},$CY$67&amp;"" where Col1='""&amp;CR303&amp;""' limit 1"",0)),""""))"&amp;")"),"")</f>
        <v/>
      </c>
      <c r="BO303" s="867"/>
      <c r="BP303" s="867"/>
      <c r="BQ303" s="867"/>
      <c r="BR303" s="867"/>
      <c r="BS303" s="867"/>
      <c r="BT303" s="867"/>
      <c r="BU303" s="442"/>
      <c r="BV303" s="868" t="str">
        <f>IFERROR(__xludf.DUMMYFUNCTION("IF(OR(C303=""AÇÃO"",C303=""BDR""),IFERROR(GOOGLEFINANCE(CONCAT(""BVMF:"",CR303), ""marketcap"")/1000000,""NC""),"""")"),"")</f>
        <v/>
      </c>
      <c r="BW303" s="869" t="s">
        <v>123</v>
      </c>
      <c r="BX303" s="870" t="s">
        <v>123</v>
      </c>
      <c r="BY303" s="868" t="s">
        <v>123</v>
      </c>
      <c r="BZ303" s="870" t="s">
        <v>123</v>
      </c>
      <c r="CA303" s="868" t="s">
        <v>123</v>
      </c>
      <c r="CB303" s="868" t="s">
        <v>123</v>
      </c>
      <c r="CC303" s="868" t="s">
        <v>123</v>
      </c>
      <c r="CD303" s="868" t="str">
        <f>IFERROR(__xludf.DUMMYFUNCTION("IF(OR(C303=""AÇÃO"",C303=""BDR""),IFERROR(GOOGLEFINANCE(CONCAT(""BVMF:"",CR303), ""volumeavg"")/1000000,""NC""),"""")"),"")</f>
        <v/>
      </c>
      <c r="CE303" s="870" t="s">
        <v>123</v>
      </c>
      <c r="CF303" s="870" t="s">
        <v>123</v>
      </c>
      <c r="CG303" s="870" t="str">
        <f>IFERROR(__xludf.DUMMYFUNCTION("IF(OR(C303=""AÇÃO"",C303=""BDR""),IF(CF303=0,""SEM DY"",IFERROR(ImportXML(CONCAT(""http://www.guiainvest.com.br/raiox/default.aspx?sigla="",$CR303),""//*[@id='lbPayoutAtual']""),""NC"")),"""")"),"")</f>
        <v/>
      </c>
      <c r="CH303" s="870" t="s">
        <v>123</v>
      </c>
      <c r="CI303" s="545"/>
      <c r="CJ303" s="871" t="str">
        <f>IFERROR(__xludf.DUMMYFUNCTION("IF(OR(C303=""AÇÃO"",C303=""BDR""),IFERROR(GOOGLEFINANCE(CONCAT(""BVMF:"",CR303), ""eps""),""NC""),"""")"),"")</f>
        <v/>
      </c>
      <c r="CK303" s="442"/>
      <c r="CL303" s="871" t="str">
        <f>IFERROR(__xludf.DUMMYFUNCTION("IF(NOT($BL$4),"""",IF($CR303="""","""",IF($BC303="""","""",IFERROR(query({op.normal!$B$5:$F308},""select Col5, toDate(Col2) where Col1 =  '""&amp;$CR303&amp;""' and Col4 &gt; 0 and ((Col3 is null) or (Col3 = 'C')) and Col2 &gt;= date '""&amp;TEXT(TODAY()-$AQ$5,""yyyy-mm-dd"&amp;""")&amp;""' order by Col2 desc limit 1 label toDate(Col2) ''"")))))"),"")</f>
        <v/>
      </c>
      <c r="CM303" s="872"/>
      <c r="CN303" s="883" t="s">
        <v>123</v>
      </c>
      <c r="CO303" s="874" t="s">
        <v>123</v>
      </c>
      <c r="CP303" s="766"/>
      <c r="CQ303" s="791"/>
      <c r="CR303" s="791"/>
      <c r="CT303" s="791" t="s">
        <v>123</v>
      </c>
      <c r="CU303" s="791" t="str">
        <f>IFERROR(__xludf.DUMMYFUNCTION("IF(CR303="""","""",IF(CT303=$C$4,1,GOOGLEFINANCE(CT303&amp;$C$4)))"),"")</f>
        <v/>
      </c>
    </row>
    <row r="304" ht="22.5" customHeight="1">
      <c r="A304" s="837">
        <v>296.0</v>
      </c>
      <c r="B304" s="838" t="s">
        <v>123</v>
      </c>
      <c r="C304" s="838" t="s">
        <v>123</v>
      </c>
      <c r="D304" s="839" t="s">
        <v>123</v>
      </c>
      <c r="E304" s="839" t="s">
        <v>123</v>
      </c>
      <c r="F304" s="839" t="s">
        <v>123</v>
      </c>
      <c r="H304" s="884"/>
      <c r="I304" s="838"/>
      <c r="J304" s="838"/>
      <c r="K304" s="838"/>
      <c r="L304" s="838"/>
      <c r="M304" s="838"/>
      <c r="N304" s="838"/>
      <c r="O304" s="838"/>
      <c r="P304" s="838"/>
      <c r="Q304" s="838"/>
      <c r="R304" s="838"/>
      <c r="S304" s="838"/>
      <c r="T304" s="838"/>
      <c r="U304" s="838"/>
      <c r="V304" s="838"/>
      <c r="W304" s="838"/>
      <c r="X304" s="838"/>
      <c r="Z304" s="875" t="str">
        <f>IFERROR(__xludf.DUMMYFUNCTION("IF($CR304="""","""",IFERROR(query({CarteirasAtivos},""select Col4 where Col4 is not null and Col1 = '""&amp;$CR304&amp;""' limit 1"")*CU304,""NC""))"),"")</f>
        <v/>
      </c>
      <c r="AA304" s="876" t="str">
        <f>IFERROR(__xludf.DUMMYFUNCTION("IF($CR304="""","""",IFERROR(query({CarteirasAtivos},""select Col6 where Col4 is not null and Col1 = '""&amp;$CR304&amp;""' limit 1""),""NC""))"),"")</f>
        <v/>
      </c>
      <c r="AB304" s="877"/>
      <c r="AC304" s="878" t="s">
        <v>123</v>
      </c>
      <c r="AD304" s="845" t="str">
        <f>IF($CR304="","",IFERROR(VLOOKUP($CR304,ativos.!$C$3:$R308,MATCH("cotacao",ativos.!$C$2:CY$2,0),FALSE)*$CU$5,"atualizar"))</f>
        <v/>
      </c>
      <c r="AE304" s="846" t="str">
        <f>IFERROR(__xludf.DUMMYFUNCTION("IF($CR304="""","""",IFERROR(AVERAGE(query({CarteirasAtivos;CarteirasAtivosEncerrados},""select Col5 where Col5 is not null and Col1 = '""&amp;$CR304&amp;""' and Col10='SIM'""))*CU304,""NC""))"),"")</f>
        <v/>
      </c>
      <c r="AF304" s="847" t="str">
        <f t="shared" si="1"/>
        <v/>
      </c>
      <c r="AG304" s="442"/>
      <c r="AH304" s="848" t="str">
        <f>IFERROR(__xludf.DUMMYFUNCTION("IF($CR304="""","""",IFERROR(GOOGLEFINANCE($CR304,""low52"")*CU304,""-""))"),"")</f>
        <v/>
      </c>
      <c r="AI304" s="848" t="str">
        <f>IFERROR(__xludf.DUMMYFUNCTION("IF($CR304="""","""",IFERROR(GOOGLEFINANCE($CR304,""high52"")*CU304,""-""))"),"")</f>
        <v/>
      </c>
      <c r="AJ304" s="849" t="s">
        <v>123</v>
      </c>
      <c r="AK304" s="850" t="str">
        <f>IFERROR(__xludf.DUMMYFUNCTION("IF($CR304="""","""",IFERROR(GOOGLEFINANCE($CR304,""changepct"")/100,""-""))"),"")</f>
        <v/>
      </c>
      <c r="AL304" s="851" t="str">
        <f>IFERROR(__xludf.DUMMYFUNCTION("IF($CR304="""","""",IFERROR(($AD304/(QUERY(GOOGLEFINANCE($CR304,""price"",TODAY()-7),""SELECT Col2 label Col2 ''"")*$CU304)-1),""-""))"),"")</f>
        <v/>
      </c>
      <c r="AM304" s="851" t="str">
        <f>IFERROR(__xludf.DUMMYFUNCTION("IF($CR304="""","""",IFERROR(($AD304/(QUERY(GOOGLEFINANCE($CR304,""price"",TODAY()-14),""SELECT Col2 label Col2 ''"")*$CU304)-1),""-""))"),"")</f>
        <v/>
      </c>
      <c r="AN304" s="851" t="str">
        <f>IFERROR(__xludf.DUMMYFUNCTION("IF($CR304="""","""",IFERROR(($AD304/(QUERY(GOOGLEFINANCE($CR304,""price"",TODAY()-28),""SELECT Col2 label Col2 ''"")*$CU304)-1),""-""))"),"")</f>
        <v/>
      </c>
      <c r="AO304" s="851" t="str">
        <f>IFERROR(__xludf.DUMMYFUNCTION("IF($CR304="""","""",IFERROR(($AD304/(QUERY(GOOGLEFINANCE($CR304,""price"",TODAY()-$AQ$5),""SELECT Col2 label Col2 ''"")*$CU304)-1),""-""))"),"")</f>
        <v/>
      </c>
      <c r="AP304" s="852" t="str">
        <f>IFERROR(__xludf.DUMMYFUNCTION("IF($CR304="""","""",IFERROR(SPARKLINE(query(GOOGLEFINANCE($CR304,""price"",TODAY()-$AQ$5,TODAY(),1),""select Col2 label Col2 ''""),IF($AP$7=""Gráfico de barras"",{""charttype"",""column"";""highcolor"",""red""},{""chartype"",""line""}))))"),"")</f>
        <v/>
      </c>
      <c r="AQ304" s="144"/>
      <c r="AR304" s="853"/>
      <c r="AS304" s="854" t="str">
        <f>IF($CR304="","",IF(NOT('alocação'!$D$1),"off",IFERROR(VLOOKUP(CR304,BalanceAtivos,3,0),"NC")))</f>
        <v/>
      </c>
      <c r="AT304" s="855" t="str">
        <f>IF($CR304="","",IF(NOT('alocação'!$D$1),"off",IFERROR(VLOOKUP($CR304,BalanceAtivos,4,0)*$CU$5,"NC")))</f>
        <v/>
      </c>
      <c r="AU304" s="856" t="str">
        <f>IF($CR304="","",IF(NOT('alocação'!$D$1),"off",IFERROR(VLOOKUP($CR304,BalanceAtivos,5,0),"-")))</f>
        <v/>
      </c>
      <c r="AV304" s="856" t="str">
        <f>IF($CR304="","",IF(NOT('alocação'!$D$1),"off",IFERROR(VLOOKUP($CR304,BalanceAtivos,6,0),"-")))</f>
        <v/>
      </c>
      <c r="AW304" s="857"/>
      <c r="AX304" s="858" t="str">
        <f>IF($CR304="","",IF($E304="","SP",IFERROR(VLOOKUP($CR304,AtivosDados,MATCH("pm_atual",portfolio.!$A$3:CY$3,0),0)*$CU$5,0)))</f>
        <v/>
      </c>
      <c r="AY304" s="859" t="str">
        <f t="shared" si="2"/>
        <v/>
      </c>
      <c r="AZ304" s="858" t="str">
        <f>IF($CR304="","",IF($E304="","SP",SUMIF(portfolio.!$A$4:$A308,$CR304,portfolio.!$O$4:$O308)*$CU$5))</f>
        <v/>
      </c>
      <c r="BA304" s="858" t="str">
        <f>IF($CR304="","",IF($E304="","SP",SUMIF(portfolio.!$A$4:$A308,$CR304,portfolio.!$AN$4:$AN308)*$CU$5))</f>
        <v/>
      </c>
      <c r="BB304" s="860" t="str">
        <f>IF($CR304="","",IF($E304="","-",IFERROR($BA304/'portfólio'!$DG$63,"")))</f>
        <v/>
      </c>
      <c r="BC304" s="861" t="str">
        <f>IF($CR304="","",IF($E304="","-",SUMIF(portfolio.!$A$4:$A308,$CR304,portfolio.!$J$4:$J308)))</f>
        <v/>
      </c>
      <c r="BD304" s="862" t="str">
        <f>IF($CR304="","",IF($E304="","SP",SUMIF(portfolio.!$A$4:$A308,$CR304,portfolio.!$AQ$4:$AQ308)*$CU$5))</f>
        <v/>
      </c>
      <c r="BE304" s="850" t="str">
        <f t="shared" si="3"/>
        <v/>
      </c>
      <c r="BF304" s="862" t="str">
        <f>IF($CR304="","",IF($E304="","-",SUMIF(portfolio.!$A$4:$A308,$CR304,portfolio.!$AX$4:$AX308)*$CU$5))</f>
        <v/>
      </c>
      <c r="BG304" s="545"/>
      <c r="BH304" s="879" t="s">
        <v>123</v>
      </c>
      <c r="BI304" s="880" t="s">
        <v>123</v>
      </c>
      <c r="BJ304" s="863" t="str">
        <f>IFERROR(__xludf.DUMMYFUNCTION("IF(NOT($BL$4),"""",IF($CR304="""","""",IFERROR(query({GOOGLEFINANCE($CR304,""price"",IF($BI304=""-"",TODAY()-($AQ$5+5),$BI304),TODAY()-1)},""Select max(Col2) where Col1 is not null label max(Col2) ''"")*CU304,""-"")))"),"")</f>
        <v/>
      </c>
      <c r="BK304" s="881" t="s">
        <v>123</v>
      </c>
      <c r="BL304" s="882" t="s">
        <v>123</v>
      </c>
      <c r="BM304" s="442"/>
      <c r="BN304" s="867" t="str">
        <f>IFERROR(__xludf.DUMMYFUNCTION("IF(CR304="""","""",IF(OR(C304=""AÇÃO"",C304=""BDR""),IFERROR(QUERY({fundamentus.!$A$3:$U308},$CX$67&amp;"" where Col1='""&amp;CR304&amp;""' limit 1"",0)),IF(C304=""FII"",IFERROR(QUERY({fundsexplorer.!$A$2:$Z308},$CY$67&amp;"" where Col1='""&amp;CR304&amp;""' limit 1"",0)),""""))"&amp;")"),"")</f>
        <v/>
      </c>
      <c r="BO304" s="867"/>
      <c r="BP304" s="867"/>
      <c r="BQ304" s="867"/>
      <c r="BR304" s="867"/>
      <c r="BS304" s="867"/>
      <c r="BT304" s="867"/>
      <c r="BU304" s="442"/>
      <c r="BV304" s="868" t="str">
        <f>IFERROR(__xludf.DUMMYFUNCTION("IF(OR(C304=""AÇÃO"",C304=""BDR""),IFERROR(GOOGLEFINANCE(CONCAT(""BVMF:"",CR304), ""marketcap"")/1000000,""NC""),"""")"),"")</f>
        <v/>
      </c>
      <c r="BW304" s="869" t="s">
        <v>123</v>
      </c>
      <c r="BX304" s="870" t="s">
        <v>123</v>
      </c>
      <c r="BY304" s="868" t="s">
        <v>123</v>
      </c>
      <c r="BZ304" s="870" t="s">
        <v>123</v>
      </c>
      <c r="CA304" s="868" t="s">
        <v>123</v>
      </c>
      <c r="CB304" s="868" t="s">
        <v>123</v>
      </c>
      <c r="CC304" s="868" t="s">
        <v>123</v>
      </c>
      <c r="CD304" s="868" t="str">
        <f>IFERROR(__xludf.DUMMYFUNCTION("IF(OR(C304=""AÇÃO"",C304=""BDR""),IFERROR(GOOGLEFINANCE(CONCAT(""BVMF:"",CR304), ""volumeavg"")/1000000,""NC""),"""")"),"")</f>
        <v/>
      </c>
      <c r="CE304" s="870" t="s">
        <v>123</v>
      </c>
      <c r="CF304" s="870" t="s">
        <v>123</v>
      </c>
      <c r="CG304" s="870" t="str">
        <f>IFERROR(__xludf.DUMMYFUNCTION("IF(OR(C304=""AÇÃO"",C304=""BDR""),IF(CF304=0,""SEM DY"",IFERROR(ImportXML(CONCAT(""http://www.guiainvest.com.br/raiox/default.aspx?sigla="",$CR304),""//*[@id='lbPayoutAtual']""),""NC"")),"""")"),"")</f>
        <v/>
      </c>
      <c r="CH304" s="870" t="s">
        <v>123</v>
      </c>
      <c r="CI304" s="545"/>
      <c r="CJ304" s="871" t="str">
        <f>IFERROR(__xludf.DUMMYFUNCTION("IF(OR(C304=""AÇÃO"",C304=""BDR""),IFERROR(GOOGLEFINANCE(CONCAT(""BVMF:"",CR304), ""eps""),""NC""),"""")"),"")</f>
        <v/>
      </c>
      <c r="CK304" s="442"/>
      <c r="CL304" s="871" t="str">
        <f>IFERROR(__xludf.DUMMYFUNCTION("IF(NOT($BL$4),"""",IF($CR304="""","""",IF($BC304="""","""",IFERROR(query({op.normal!$B$5:$F308},""select Col5, toDate(Col2) where Col1 =  '""&amp;$CR304&amp;""' and Col4 &gt; 0 and ((Col3 is null) or (Col3 = 'C')) and Col2 &gt;= date '""&amp;TEXT(TODAY()-$AQ$5,""yyyy-mm-dd"&amp;""")&amp;""' order by Col2 desc limit 1 label toDate(Col2) ''"")))))"),"")</f>
        <v/>
      </c>
      <c r="CM304" s="872"/>
      <c r="CN304" s="883" t="s">
        <v>123</v>
      </c>
      <c r="CO304" s="874" t="s">
        <v>123</v>
      </c>
      <c r="CP304" s="766"/>
      <c r="CQ304" s="791"/>
      <c r="CR304" s="791"/>
      <c r="CT304" s="791" t="s">
        <v>123</v>
      </c>
      <c r="CU304" s="791" t="str">
        <f>IFERROR(__xludf.DUMMYFUNCTION("IF(CR304="""","""",IF(CT304=$C$4,1,GOOGLEFINANCE(CT304&amp;$C$4)))"),"")</f>
        <v/>
      </c>
    </row>
    <row r="305" ht="22.5" customHeight="1">
      <c r="A305" s="837">
        <v>297.0</v>
      </c>
      <c r="B305" s="838" t="s">
        <v>123</v>
      </c>
      <c r="C305" s="838" t="s">
        <v>123</v>
      </c>
      <c r="D305" s="839" t="s">
        <v>123</v>
      </c>
      <c r="E305" s="839" t="s">
        <v>123</v>
      </c>
      <c r="F305" s="839" t="s">
        <v>123</v>
      </c>
      <c r="H305" s="884"/>
      <c r="I305" s="838"/>
      <c r="J305" s="838"/>
      <c r="K305" s="838"/>
      <c r="L305" s="838"/>
      <c r="M305" s="838"/>
      <c r="N305" s="838"/>
      <c r="O305" s="838"/>
      <c r="P305" s="838"/>
      <c r="Q305" s="838"/>
      <c r="R305" s="838"/>
      <c r="S305" s="838"/>
      <c r="T305" s="838"/>
      <c r="U305" s="838"/>
      <c r="V305" s="838"/>
      <c r="W305" s="838"/>
      <c r="X305" s="838"/>
      <c r="Z305" s="875" t="str">
        <f>IFERROR(__xludf.DUMMYFUNCTION("IF($CR305="""","""",IFERROR(query({CarteirasAtivos},""select Col4 where Col4 is not null and Col1 = '""&amp;$CR305&amp;""' limit 1"")*CU305,""NC""))"),"")</f>
        <v/>
      </c>
      <c r="AA305" s="876" t="str">
        <f>IFERROR(__xludf.DUMMYFUNCTION("IF($CR305="""","""",IFERROR(query({CarteirasAtivos},""select Col6 where Col4 is not null and Col1 = '""&amp;$CR305&amp;""' limit 1""),""NC""))"),"")</f>
        <v/>
      </c>
      <c r="AB305" s="877"/>
      <c r="AC305" s="878" t="s">
        <v>123</v>
      </c>
      <c r="AD305" s="845" t="str">
        <f>IF($CR305="","",IFERROR(VLOOKUP($CR305,ativos.!$C$3:$R308,MATCH("cotacao",ativos.!$C$2:CY$2,0),FALSE)*$CU$5,"atualizar"))</f>
        <v/>
      </c>
      <c r="AE305" s="846" t="str">
        <f>IFERROR(__xludf.DUMMYFUNCTION("IF($CR305="""","""",IFERROR(AVERAGE(query({CarteirasAtivos;CarteirasAtivosEncerrados},""select Col5 where Col5 is not null and Col1 = '""&amp;$CR305&amp;""' and Col10='SIM'""))*CU305,""NC""))"),"")</f>
        <v/>
      </c>
      <c r="AF305" s="847" t="str">
        <f t="shared" si="1"/>
        <v/>
      </c>
      <c r="AG305" s="442"/>
      <c r="AH305" s="848" t="str">
        <f>IFERROR(__xludf.DUMMYFUNCTION("IF($CR305="""","""",IFERROR(GOOGLEFINANCE($CR305,""low52"")*CU305,""-""))"),"")</f>
        <v/>
      </c>
      <c r="AI305" s="848" t="str">
        <f>IFERROR(__xludf.DUMMYFUNCTION("IF($CR305="""","""",IFERROR(GOOGLEFINANCE($CR305,""high52"")*CU305,""-""))"),"")</f>
        <v/>
      </c>
      <c r="AJ305" s="849" t="s">
        <v>123</v>
      </c>
      <c r="AK305" s="850" t="str">
        <f>IFERROR(__xludf.DUMMYFUNCTION("IF($CR305="""","""",IFERROR(GOOGLEFINANCE($CR305,""changepct"")/100,""-""))"),"")</f>
        <v/>
      </c>
      <c r="AL305" s="851" t="str">
        <f>IFERROR(__xludf.DUMMYFUNCTION("IF($CR305="""","""",IFERROR(($AD305/(QUERY(GOOGLEFINANCE($CR305,""price"",TODAY()-7),""SELECT Col2 label Col2 ''"")*$CU305)-1),""-""))"),"")</f>
        <v/>
      </c>
      <c r="AM305" s="851" t="str">
        <f>IFERROR(__xludf.DUMMYFUNCTION("IF($CR305="""","""",IFERROR(($AD305/(QUERY(GOOGLEFINANCE($CR305,""price"",TODAY()-14),""SELECT Col2 label Col2 ''"")*$CU305)-1),""-""))"),"")</f>
        <v/>
      </c>
      <c r="AN305" s="851" t="str">
        <f>IFERROR(__xludf.DUMMYFUNCTION("IF($CR305="""","""",IFERROR(($AD305/(QUERY(GOOGLEFINANCE($CR305,""price"",TODAY()-28),""SELECT Col2 label Col2 ''"")*$CU305)-1),""-""))"),"")</f>
        <v/>
      </c>
      <c r="AO305" s="851" t="str">
        <f>IFERROR(__xludf.DUMMYFUNCTION("IF($CR305="""","""",IFERROR(($AD305/(QUERY(GOOGLEFINANCE($CR305,""price"",TODAY()-$AQ$5),""SELECT Col2 label Col2 ''"")*$CU305)-1),""-""))"),"")</f>
        <v/>
      </c>
      <c r="AP305" s="852" t="str">
        <f>IFERROR(__xludf.DUMMYFUNCTION("IF($CR305="""","""",IFERROR(SPARKLINE(query(GOOGLEFINANCE($CR305,""price"",TODAY()-$AQ$5,TODAY(),1),""select Col2 label Col2 ''""),IF($AP$7=""Gráfico de barras"",{""charttype"",""column"";""highcolor"",""red""},{""chartype"",""line""}))))"),"")</f>
        <v/>
      </c>
      <c r="AQ305" s="144"/>
      <c r="AR305" s="853"/>
      <c r="AS305" s="854" t="str">
        <f>IF($CR305="","",IF(NOT('alocação'!$D$1),"off",IFERROR(VLOOKUP(CR305,BalanceAtivos,3,0),"NC")))</f>
        <v/>
      </c>
      <c r="AT305" s="855" t="str">
        <f>IF($CR305="","",IF(NOT('alocação'!$D$1),"off",IFERROR(VLOOKUP($CR305,BalanceAtivos,4,0)*$CU$5,"NC")))</f>
        <v/>
      </c>
      <c r="AU305" s="856" t="str">
        <f>IF($CR305="","",IF(NOT('alocação'!$D$1),"off",IFERROR(VLOOKUP($CR305,BalanceAtivos,5,0),"-")))</f>
        <v/>
      </c>
      <c r="AV305" s="856" t="str">
        <f>IF($CR305="","",IF(NOT('alocação'!$D$1),"off",IFERROR(VLOOKUP($CR305,BalanceAtivos,6,0),"-")))</f>
        <v/>
      </c>
      <c r="AW305" s="857"/>
      <c r="AX305" s="858" t="str">
        <f>IF($CR305="","",IF($E305="","SP",IFERROR(VLOOKUP($CR305,AtivosDados,MATCH("pm_atual",portfolio.!$A$3:CY$3,0),0)*$CU$5,0)))</f>
        <v/>
      </c>
      <c r="AY305" s="859" t="str">
        <f t="shared" si="2"/>
        <v/>
      </c>
      <c r="AZ305" s="858" t="str">
        <f>IF($CR305="","",IF($E305="","SP",SUMIF(portfolio.!$A$4:$A308,$CR305,portfolio.!$O$4:$O308)*$CU$5))</f>
        <v/>
      </c>
      <c r="BA305" s="858" t="str">
        <f>IF($CR305="","",IF($E305="","SP",SUMIF(portfolio.!$A$4:$A308,$CR305,portfolio.!$AN$4:$AN308)*$CU$5))</f>
        <v/>
      </c>
      <c r="BB305" s="860" t="str">
        <f>IF($CR305="","",IF($E305="","-",IFERROR($BA305/'portfólio'!$DG$63,"")))</f>
        <v/>
      </c>
      <c r="BC305" s="861" t="str">
        <f>IF($CR305="","",IF($E305="","-",SUMIF(portfolio.!$A$4:$A308,$CR305,portfolio.!$J$4:$J308)))</f>
        <v/>
      </c>
      <c r="BD305" s="862" t="str">
        <f>IF($CR305="","",IF($E305="","SP",SUMIF(portfolio.!$A$4:$A308,$CR305,portfolio.!$AQ$4:$AQ308)*$CU$5))</f>
        <v/>
      </c>
      <c r="BE305" s="850" t="str">
        <f t="shared" si="3"/>
        <v/>
      </c>
      <c r="BF305" s="862" t="str">
        <f>IF($CR305="","",IF($E305="","-",SUMIF(portfolio.!$A$4:$A308,$CR305,portfolio.!$AX$4:$AX308)*$CU$5))</f>
        <v/>
      </c>
      <c r="BG305" s="545"/>
      <c r="BH305" s="879" t="s">
        <v>123</v>
      </c>
      <c r="BI305" s="880" t="s">
        <v>123</v>
      </c>
      <c r="BJ305" s="863" t="str">
        <f>IFERROR(__xludf.DUMMYFUNCTION("IF(NOT($BL$4),"""",IF($CR305="""","""",IFERROR(query({GOOGLEFINANCE($CR305,""price"",IF($BI305=""-"",TODAY()-($AQ$5+5),$BI305),TODAY()-1)},""Select max(Col2) where Col1 is not null label max(Col2) ''"")*CU305,""-"")))"),"")</f>
        <v/>
      </c>
      <c r="BK305" s="881" t="s">
        <v>123</v>
      </c>
      <c r="BL305" s="882" t="s">
        <v>123</v>
      </c>
      <c r="BM305" s="442"/>
      <c r="BN305" s="867" t="str">
        <f>IFERROR(__xludf.DUMMYFUNCTION("IF(CR305="""","""",IF(OR(C305=""AÇÃO"",C305=""BDR""),IFERROR(QUERY({fundamentus.!$A$3:$U308},$CX$67&amp;"" where Col1='""&amp;CR305&amp;""' limit 1"",0)),IF(C305=""FII"",IFERROR(QUERY({fundsexplorer.!$A$2:$Z308},$CY$67&amp;"" where Col1='""&amp;CR305&amp;""' limit 1"",0)),""""))"&amp;")"),"")</f>
        <v/>
      </c>
      <c r="BO305" s="867"/>
      <c r="BP305" s="867"/>
      <c r="BQ305" s="867"/>
      <c r="BR305" s="867"/>
      <c r="BS305" s="867"/>
      <c r="BT305" s="867"/>
      <c r="BU305" s="442"/>
      <c r="BV305" s="868" t="str">
        <f>IFERROR(__xludf.DUMMYFUNCTION("IF(OR(C305=""AÇÃO"",C305=""BDR""),IFERROR(GOOGLEFINANCE(CONCAT(""BVMF:"",CR305), ""marketcap"")/1000000,""NC""),"""")"),"")</f>
        <v/>
      </c>
      <c r="BW305" s="869" t="s">
        <v>123</v>
      </c>
      <c r="BX305" s="870" t="s">
        <v>123</v>
      </c>
      <c r="BY305" s="868" t="s">
        <v>123</v>
      </c>
      <c r="BZ305" s="870" t="s">
        <v>123</v>
      </c>
      <c r="CA305" s="868" t="s">
        <v>123</v>
      </c>
      <c r="CB305" s="868" t="s">
        <v>123</v>
      </c>
      <c r="CC305" s="868" t="s">
        <v>123</v>
      </c>
      <c r="CD305" s="868" t="str">
        <f>IFERROR(__xludf.DUMMYFUNCTION("IF(OR(C305=""AÇÃO"",C305=""BDR""),IFERROR(GOOGLEFINANCE(CONCAT(""BVMF:"",CR305), ""volumeavg"")/1000000,""NC""),"""")"),"")</f>
        <v/>
      </c>
      <c r="CE305" s="870" t="s">
        <v>123</v>
      </c>
      <c r="CF305" s="870" t="s">
        <v>123</v>
      </c>
      <c r="CG305" s="870" t="str">
        <f>IFERROR(__xludf.DUMMYFUNCTION("IF(OR(C305=""AÇÃO"",C305=""BDR""),IF(CF305=0,""SEM DY"",IFERROR(ImportXML(CONCAT(""http://www.guiainvest.com.br/raiox/default.aspx?sigla="",$CR305),""//*[@id='lbPayoutAtual']""),""NC"")),"""")"),"")</f>
        <v/>
      </c>
      <c r="CH305" s="870" t="s">
        <v>123</v>
      </c>
      <c r="CI305" s="545"/>
      <c r="CJ305" s="871" t="str">
        <f>IFERROR(__xludf.DUMMYFUNCTION("IF(OR(C305=""AÇÃO"",C305=""BDR""),IFERROR(GOOGLEFINANCE(CONCAT(""BVMF:"",CR305), ""eps""),""NC""),"""")"),"")</f>
        <v/>
      </c>
      <c r="CK305" s="442"/>
      <c r="CL305" s="871" t="str">
        <f>IFERROR(__xludf.DUMMYFUNCTION("IF(NOT($BL$4),"""",IF($CR305="""","""",IF($BC305="""","""",IFERROR(query({op.normal!$B$5:$F308},""select Col5, toDate(Col2) where Col1 =  '""&amp;$CR305&amp;""' and Col4 &gt; 0 and ((Col3 is null) or (Col3 = 'C')) and Col2 &gt;= date '""&amp;TEXT(TODAY()-$AQ$5,""yyyy-mm-dd"&amp;""")&amp;""' order by Col2 desc limit 1 label toDate(Col2) ''"")))))"),"")</f>
        <v/>
      </c>
      <c r="CM305" s="872"/>
      <c r="CN305" s="883" t="s">
        <v>123</v>
      </c>
      <c r="CO305" s="874" t="s">
        <v>123</v>
      </c>
      <c r="CP305" s="766"/>
      <c r="CQ305" s="791"/>
      <c r="CR305" s="791"/>
      <c r="CT305" s="791" t="s">
        <v>123</v>
      </c>
      <c r="CU305" s="791" t="str">
        <f>IFERROR(__xludf.DUMMYFUNCTION("IF(CR305="""","""",IF(CT305=$C$4,1,GOOGLEFINANCE(CT305&amp;$C$4)))"),"")</f>
        <v/>
      </c>
    </row>
    <row r="306" ht="22.5" customHeight="1">
      <c r="A306" s="837">
        <v>298.0</v>
      </c>
      <c r="B306" s="838" t="s">
        <v>123</v>
      </c>
      <c r="C306" s="838" t="s">
        <v>123</v>
      </c>
      <c r="D306" s="839" t="s">
        <v>123</v>
      </c>
      <c r="E306" s="839" t="s">
        <v>123</v>
      </c>
      <c r="F306" s="839" t="s">
        <v>123</v>
      </c>
      <c r="H306" s="884"/>
      <c r="I306" s="838"/>
      <c r="J306" s="838"/>
      <c r="K306" s="838"/>
      <c r="L306" s="838"/>
      <c r="M306" s="838"/>
      <c r="N306" s="838"/>
      <c r="O306" s="838"/>
      <c r="P306" s="838"/>
      <c r="Q306" s="838"/>
      <c r="R306" s="838"/>
      <c r="S306" s="838"/>
      <c r="T306" s="838"/>
      <c r="U306" s="838"/>
      <c r="V306" s="838"/>
      <c r="W306" s="838"/>
      <c r="X306" s="838"/>
      <c r="Z306" s="875" t="str">
        <f>IFERROR(__xludf.DUMMYFUNCTION("IF($CR306="""","""",IFERROR(query({CarteirasAtivos},""select Col4 where Col4 is not null and Col1 = '""&amp;$CR306&amp;""' limit 1"")*CU306,""NC""))"),"")</f>
        <v/>
      </c>
      <c r="AA306" s="876" t="str">
        <f>IFERROR(__xludf.DUMMYFUNCTION("IF($CR306="""","""",IFERROR(query({CarteirasAtivos},""select Col6 where Col4 is not null and Col1 = '""&amp;$CR306&amp;""' limit 1""),""NC""))"),"")</f>
        <v/>
      </c>
      <c r="AB306" s="877"/>
      <c r="AC306" s="878" t="s">
        <v>123</v>
      </c>
      <c r="AD306" s="845" t="str">
        <f>IF($CR306="","",IFERROR(VLOOKUP($CR306,ativos.!$C$3:$R308,MATCH("cotacao",ativos.!$C$2:CY$2,0),FALSE)*$CU$5,"atualizar"))</f>
        <v/>
      </c>
      <c r="AE306" s="846" t="str">
        <f>IFERROR(__xludf.DUMMYFUNCTION("IF($CR306="""","""",IFERROR(AVERAGE(query({CarteirasAtivos;CarteirasAtivosEncerrados},""select Col5 where Col5 is not null and Col1 = '""&amp;$CR306&amp;""' and Col10='SIM'""))*CU306,""NC""))"),"")</f>
        <v/>
      </c>
      <c r="AF306" s="847" t="str">
        <f t="shared" si="1"/>
        <v/>
      </c>
      <c r="AG306" s="442"/>
      <c r="AH306" s="848" t="str">
        <f>IFERROR(__xludf.DUMMYFUNCTION("IF($CR306="""","""",IFERROR(GOOGLEFINANCE($CR306,""low52"")*CU306,""-""))"),"")</f>
        <v/>
      </c>
      <c r="AI306" s="848" t="str">
        <f>IFERROR(__xludf.DUMMYFUNCTION("IF($CR306="""","""",IFERROR(GOOGLEFINANCE($CR306,""high52"")*CU306,""-""))"),"")</f>
        <v/>
      </c>
      <c r="AJ306" s="849" t="s">
        <v>123</v>
      </c>
      <c r="AK306" s="850" t="str">
        <f>IFERROR(__xludf.DUMMYFUNCTION("IF($CR306="""","""",IFERROR(GOOGLEFINANCE($CR306,""changepct"")/100,""-""))"),"")</f>
        <v/>
      </c>
      <c r="AL306" s="851" t="str">
        <f>IFERROR(__xludf.DUMMYFUNCTION("IF($CR306="""","""",IFERROR(($AD306/(QUERY(GOOGLEFINANCE($CR306,""price"",TODAY()-7),""SELECT Col2 label Col2 ''"")*$CU306)-1),""-""))"),"")</f>
        <v/>
      </c>
      <c r="AM306" s="851" t="str">
        <f>IFERROR(__xludf.DUMMYFUNCTION("IF($CR306="""","""",IFERROR(($AD306/(QUERY(GOOGLEFINANCE($CR306,""price"",TODAY()-14),""SELECT Col2 label Col2 ''"")*$CU306)-1),""-""))"),"")</f>
        <v/>
      </c>
      <c r="AN306" s="851" t="str">
        <f>IFERROR(__xludf.DUMMYFUNCTION("IF($CR306="""","""",IFERROR(($AD306/(QUERY(GOOGLEFINANCE($CR306,""price"",TODAY()-28),""SELECT Col2 label Col2 ''"")*$CU306)-1),""-""))"),"")</f>
        <v/>
      </c>
      <c r="AO306" s="851" t="str">
        <f>IFERROR(__xludf.DUMMYFUNCTION("IF($CR306="""","""",IFERROR(($AD306/(QUERY(GOOGLEFINANCE($CR306,""price"",TODAY()-$AQ$5),""SELECT Col2 label Col2 ''"")*$CU306)-1),""-""))"),"")</f>
        <v/>
      </c>
      <c r="AP306" s="852" t="str">
        <f>IFERROR(__xludf.DUMMYFUNCTION("IF($CR306="""","""",IFERROR(SPARKLINE(query(GOOGLEFINANCE($CR306,""price"",TODAY()-$AQ$5,TODAY(),1),""select Col2 label Col2 ''""),IF($AP$7=""Gráfico de barras"",{""charttype"",""column"";""highcolor"",""red""},{""chartype"",""line""}))))"),"")</f>
        <v/>
      </c>
      <c r="AQ306" s="144"/>
      <c r="AR306" s="853"/>
      <c r="AS306" s="854" t="str">
        <f>IF($CR306="","",IF(NOT('alocação'!$D$1),"off",IFERROR(VLOOKUP(CR306,BalanceAtivos,3,0),"NC")))</f>
        <v/>
      </c>
      <c r="AT306" s="855" t="str">
        <f>IF($CR306="","",IF(NOT('alocação'!$D$1),"off",IFERROR(VLOOKUP($CR306,BalanceAtivos,4,0)*$CU$5,"NC")))</f>
        <v/>
      </c>
      <c r="AU306" s="856" t="str">
        <f>IF($CR306="","",IF(NOT('alocação'!$D$1),"off",IFERROR(VLOOKUP($CR306,BalanceAtivos,5,0),"-")))</f>
        <v/>
      </c>
      <c r="AV306" s="856" t="str">
        <f>IF($CR306="","",IF(NOT('alocação'!$D$1),"off",IFERROR(VLOOKUP($CR306,BalanceAtivos,6,0),"-")))</f>
        <v/>
      </c>
      <c r="AW306" s="857"/>
      <c r="AX306" s="858" t="str">
        <f>IF($CR306="","",IF($E306="","SP",IFERROR(VLOOKUP($CR306,AtivosDados,MATCH("pm_atual",portfolio.!$A$3:CY$3,0),0)*$CU$5,0)))</f>
        <v/>
      </c>
      <c r="AY306" s="859" t="str">
        <f t="shared" si="2"/>
        <v/>
      </c>
      <c r="AZ306" s="858" t="str">
        <f>IF($CR306="","",IF($E306="","SP",SUMIF(portfolio.!$A$4:$A308,$CR306,portfolio.!$O$4:$O308)*$CU$5))</f>
        <v/>
      </c>
      <c r="BA306" s="858" t="str">
        <f>IF($CR306="","",IF($E306="","SP",SUMIF(portfolio.!$A$4:$A308,$CR306,portfolio.!$AN$4:$AN308)*$CU$5))</f>
        <v/>
      </c>
      <c r="BB306" s="860" t="str">
        <f>IF($CR306="","",IF($E306="","-",IFERROR($BA306/'portfólio'!$DG$63,"")))</f>
        <v/>
      </c>
      <c r="BC306" s="861" t="str">
        <f>IF($CR306="","",IF($E306="","-",SUMIF(portfolio.!$A$4:$A308,$CR306,portfolio.!$J$4:$J308)))</f>
        <v/>
      </c>
      <c r="BD306" s="862" t="str">
        <f>IF($CR306="","",IF($E306="","SP",SUMIF(portfolio.!$A$4:$A308,$CR306,portfolio.!$AQ$4:$AQ308)*$CU$5))</f>
        <v/>
      </c>
      <c r="BE306" s="850" t="str">
        <f t="shared" si="3"/>
        <v/>
      </c>
      <c r="BF306" s="862" t="str">
        <f>IF($CR306="","",IF($E306="","-",SUMIF(portfolio.!$A$4:$A308,$CR306,portfolio.!$AX$4:$AX308)*$CU$5))</f>
        <v/>
      </c>
      <c r="BG306" s="545"/>
      <c r="BH306" s="879" t="s">
        <v>123</v>
      </c>
      <c r="BI306" s="880" t="s">
        <v>123</v>
      </c>
      <c r="BJ306" s="863" t="str">
        <f>IFERROR(__xludf.DUMMYFUNCTION("IF(NOT($BL$4),"""",IF($CR306="""","""",IFERROR(query({GOOGLEFINANCE($CR306,""price"",IF($BI306=""-"",TODAY()-($AQ$5+5),$BI306),TODAY()-1)},""Select max(Col2) where Col1 is not null label max(Col2) ''"")*CU306,""-"")))"),"")</f>
        <v/>
      </c>
      <c r="BK306" s="881" t="s">
        <v>123</v>
      </c>
      <c r="BL306" s="882" t="s">
        <v>123</v>
      </c>
      <c r="BM306" s="442"/>
      <c r="BN306" s="867" t="str">
        <f>IFERROR(__xludf.DUMMYFUNCTION("IF(CR306="""","""",IF(OR(C306=""AÇÃO"",C306=""BDR""),IFERROR(QUERY({fundamentus.!$A$3:$U308},$CX$67&amp;"" where Col1='""&amp;CR306&amp;""' limit 1"",0)),IF(C306=""FII"",IFERROR(QUERY({fundsexplorer.!$A$2:$Z308},$CY$67&amp;"" where Col1='""&amp;CR306&amp;""' limit 1"",0)),""""))"&amp;")"),"")</f>
        <v/>
      </c>
      <c r="BO306" s="867"/>
      <c r="BP306" s="867"/>
      <c r="BQ306" s="867"/>
      <c r="BR306" s="867"/>
      <c r="BS306" s="867"/>
      <c r="BT306" s="867"/>
      <c r="BU306" s="442"/>
      <c r="BV306" s="868" t="str">
        <f>IFERROR(__xludf.DUMMYFUNCTION("IF(OR(C306=""AÇÃO"",C306=""BDR""),IFERROR(GOOGLEFINANCE(CONCAT(""BVMF:"",CR306), ""marketcap"")/1000000,""NC""),"""")"),"")</f>
        <v/>
      </c>
      <c r="BW306" s="869" t="s">
        <v>123</v>
      </c>
      <c r="BX306" s="870" t="s">
        <v>123</v>
      </c>
      <c r="BY306" s="868" t="s">
        <v>123</v>
      </c>
      <c r="BZ306" s="870" t="s">
        <v>123</v>
      </c>
      <c r="CA306" s="868" t="s">
        <v>123</v>
      </c>
      <c r="CB306" s="868" t="s">
        <v>123</v>
      </c>
      <c r="CC306" s="868" t="s">
        <v>123</v>
      </c>
      <c r="CD306" s="868" t="str">
        <f>IFERROR(__xludf.DUMMYFUNCTION("IF(OR(C306=""AÇÃO"",C306=""BDR""),IFERROR(GOOGLEFINANCE(CONCAT(""BVMF:"",CR306), ""volumeavg"")/1000000,""NC""),"""")"),"")</f>
        <v/>
      </c>
      <c r="CE306" s="870" t="s">
        <v>123</v>
      </c>
      <c r="CF306" s="870" t="s">
        <v>123</v>
      </c>
      <c r="CG306" s="870" t="str">
        <f>IFERROR(__xludf.DUMMYFUNCTION("IF(OR(C306=""AÇÃO"",C306=""BDR""),IF(CF306=0,""SEM DY"",IFERROR(ImportXML(CONCAT(""http://www.guiainvest.com.br/raiox/default.aspx?sigla="",$CR306),""//*[@id='lbPayoutAtual']""),""NC"")),"""")"),"")</f>
        <v/>
      </c>
      <c r="CH306" s="870" t="s">
        <v>123</v>
      </c>
      <c r="CI306" s="545"/>
      <c r="CJ306" s="871" t="str">
        <f>IFERROR(__xludf.DUMMYFUNCTION("IF(OR(C306=""AÇÃO"",C306=""BDR""),IFERROR(GOOGLEFINANCE(CONCAT(""BVMF:"",CR306), ""eps""),""NC""),"""")"),"")</f>
        <v/>
      </c>
      <c r="CK306" s="442"/>
      <c r="CL306" s="871" t="str">
        <f>IFERROR(__xludf.DUMMYFUNCTION("IF(NOT($BL$4),"""",IF($CR306="""","""",IF($BC306="""","""",IFERROR(query({op.normal!$B$5:$F308},""select Col5, toDate(Col2) where Col1 =  '""&amp;$CR306&amp;""' and Col4 &gt; 0 and ((Col3 is null) or (Col3 = 'C')) and Col2 &gt;= date '""&amp;TEXT(TODAY()-$AQ$5,""yyyy-mm-dd"&amp;""")&amp;""' order by Col2 desc limit 1 label toDate(Col2) ''"")))))"),"")</f>
        <v/>
      </c>
      <c r="CM306" s="872"/>
      <c r="CN306" s="883" t="s">
        <v>123</v>
      </c>
      <c r="CO306" s="874" t="s">
        <v>123</v>
      </c>
      <c r="CP306" s="766"/>
      <c r="CQ306" s="791"/>
      <c r="CR306" s="791"/>
      <c r="CT306" s="791" t="s">
        <v>123</v>
      </c>
      <c r="CU306" s="791" t="str">
        <f>IFERROR(__xludf.DUMMYFUNCTION("IF(CR306="""","""",IF(CT306=$C$4,1,GOOGLEFINANCE(CT306&amp;$C$4)))"),"")</f>
        <v/>
      </c>
    </row>
    <row r="307" ht="22.5" customHeight="1">
      <c r="A307" s="837">
        <v>299.0</v>
      </c>
      <c r="B307" s="838" t="s">
        <v>123</v>
      </c>
      <c r="C307" s="838" t="s">
        <v>123</v>
      </c>
      <c r="D307" s="839" t="s">
        <v>123</v>
      </c>
      <c r="E307" s="839" t="s">
        <v>123</v>
      </c>
      <c r="F307" s="839" t="s">
        <v>123</v>
      </c>
      <c r="H307" s="884"/>
      <c r="I307" s="838"/>
      <c r="J307" s="838"/>
      <c r="K307" s="838"/>
      <c r="L307" s="838"/>
      <c r="M307" s="838"/>
      <c r="N307" s="838"/>
      <c r="O307" s="838"/>
      <c r="P307" s="838"/>
      <c r="Q307" s="838"/>
      <c r="R307" s="838"/>
      <c r="S307" s="838"/>
      <c r="T307" s="838"/>
      <c r="U307" s="838"/>
      <c r="V307" s="838"/>
      <c r="W307" s="838"/>
      <c r="X307" s="838"/>
      <c r="Z307" s="875" t="str">
        <f>IFERROR(__xludf.DUMMYFUNCTION("IF($CR307="""","""",IFERROR(query({CarteirasAtivos},""select Col4 where Col4 is not null and Col1 = '""&amp;$CR307&amp;""' limit 1"")*CU307,""NC""))"),"")</f>
        <v/>
      </c>
      <c r="AA307" s="876" t="str">
        <f>IFERROR(__xludf.DUMMYFUNCTION("IF($CR307="""","""",IFERROR(query({CarteirasAtivos},""select Col6 where Col4 is not null and Col1 = '""&amp;$CR307&amp;""' limit 1""),""NC""))"),"")</f>
        <v/>
      </c>
      <c r="AB307" s="877"/>
      <c r="AC307" s="878" t="s">
        <v>123</v>
      </c>
      <c r="AD307" s="845" t="str">
        <f>IF($CR307="","",IFERROR(VLOOKUP($CR307,ativos.!$C$3:$R308,MATCH("cotacao",ativos.!$C$2:CY$2,0),FALSE)*$CU$5,"atualizar"))</f>
        <v/>
      </c>
      <c r="AE307" s="846" t="str">
        <f>IFERROR(__xludf.DUMMYFUNCTION("IF($CR307="""","""",IFERROR(AVERAGE(query({CarteirasAtivos;CarteirasAtivosEncerrados},""select Col5 where Col5 is not null and Col1 = '""&amp;$CR307&amp;""' and Col10='SIM'""))*CU307,""NC""))"),"")</f>
        <v/>
      </c>
      <c r="AF307" s="847" t="str">
        <f t="shared" si="1"/>
        <v/>
      </c>
      <c r="AG307" s="442"/>
      <c r="AH307" s="848" t="str">
        <f>IFERROR(__xludf.DUMMYFUNCTION("IF($CR307="""","""",IFERROR(GOOGLEFINANCE($CR307,""low52"")*CU307,""-""))"),"")</f>
        <v/>
      </c>
      <c r="AI307" s="848" t="str">
        <f>IFERROR(__xludf.DUMMYFUNCTION("IF($CR307="""","""",IFERROR(GOOGLEFINANCE($CR307,""high52"")*CU307,""-""))"),"")</f>
        <v/>
      </c>
      <c r="AJ307" s="849" t="s">
        <v>123</v>
      </c>
      <c r="AK307" s="850" t="str">
        <f>IFERROR(__xludf.DUMMYFUNCTION("IF($CR307="""","""",IFERROR(GOOGLEFINANCE($CR307,""changepct"")/100,""-""))"),"")</f>
        <v/>
      </c>
      <c r="AL307" s="851" t="str">
        <f>IFERROR(__xludf.DUMMYFUNCTION("IF($CR307="""","""",IFERROR(($AD307/(QUERY(GOOGLEFINANCE($CR307,""price"",TODAY()-7),""SELECT Col2 label Col2 ''"")*$CU307)-1),""-""))"),"")</f>
        <v/>
      </c>
      <c r="AM307" s="851" t="str">
        <f>IFERROR(__xludf.DUMMYFUNCTION("IF($CR307="""","""",IFERROR(($AD307/(QUERY(GOOGLEFINANCE($CR307,""price"",TODAY()-14),""SELECT Col2 label Col2 ''"")*$CU307)-1),""-""))"),"")</f>
        <v/>
      </c>
      <c r="AN307" s="851" t="str">
        <f>IFERROR(__xludf.DUMMYFUNCTION("IF($CR307="""","""",IFERROR(($AD307/(QUERY(GOOGLEFINANCE($CR307,""price"",TODAY()-28),""SELECT Col2 label Col2 ''"")*$CU307)-1),""-""))"),"")</f>
        <v/>
      </c>
      <c r="AO307" s="851" t="str">
        <f>IFERROR(__xludf.DUMMYFUNCTION("IF($CR307="""","""",IFERROR(($AD307/(QUERY(GOOGLEFINANCE($CR307,""price"",TODAY()-$AQ$5),""SELECT Col2 label Col2 ''"")*$CU307)-1),""-""))"),"")</f>
        <v/>
      </c>
      <c r="AP307" s="852" t="str">
        <f>IFERROR(__xludf.DUMMYFUNCTION("IF($CR307="""","""",IFERROR(SPARKLINE(query(GOOGLEFINANCE($CR307,""price"",TODAY()-$AQ$5,TODAY(),1),""select Col2 label Col2 ''""),IF($AP$7=""Gráfico de barras"",{""charttype"",""column"";""highcolor"",""red""},{""chartype"",""line""}))))"),"")</f>
        <v/>
      </c>
      <c r="AQ307" s="144"/>
      <c r="AR307" s="853"/>
      <c r="AS307" s="854" t="str">
        <f>IF($CR307="","",IF(NOT('alocação'!$D$1),"off",IFERROR(VLOOKUP(CR307,BalanceAtivos,3,0),"NC")))</f>
        <v/>
      </c>
      <c r="AT307" s="855" t="str">
        <f>IF($CR307="","",IF(NOT('alocação'!$D$1),"off",IFERROR(VLOOKUP($CR307,BalanceAtivos,4,0)*$CU$5,"NC")))</f>
        <v/>
      </c>
      <c r="AU307" s="856" t="str">
        <f>IF($CR307="","",IF(NOT('alocação'!$D$1),"off",IFERROR(VLOOKUP($CR307,BalanceAtivos,5,0),"-")))</f>
        <v/>
      </c>
      <c r="AV307" s="856" t="str">
        <f>IF($CR307="","",IF(NOT('alocação'!$D$1),"off",IFERROR(VLOOKUP($CR307,BalanceAtivos,6,0),"-")))</f>
        <v/>
      </c>
      <c r="AW307" s="857"/>
      <c r="AX307" s="858" t="str">
        <f>IF($CR307="","",IF($E307="","SP",IFERROR(VLOOKUP($CR307,AtivosDados,MATCH("pm_atual",portfolio.!$A$3:CY$3,0),0)*$CU$5,0)))</f>
        <v/>
      </c>
      <c r="AY307" s="859" t="str">
        <f t="shared" si="2"/>
        <v/>
      </c>
      <c r="AZ307" s="858" t="str">
        <f>IF($CR307="","",IF($E307="","SP",SUMIF(portfolio.!$A$4:$A308,$CR307,portfolio.!$O$4:$O308)*$CU$5))</f>
        <v/>
      </c>
      <c r="BA307" s="858" t="str">
        <f>IF($CR307="","",IF($E307="","SP",SUMIF(portfolio.!$A$4:$A308,$CR307,portfolio.!$AN$4:$AN308)*$CU$5))</f>
        <v/>
      </c>
      <c r="BB307" s="860" t="str">
        <f>IF($CR307="","",IF($E307="","-",IFERROR($BA307/'portfólio'!$DG$63,"")))</f>
        <v/>
      </c>
      <c r="BC307" s="861" t="str">
        <f>IF($CR307="","",IF($E307="","-",SUMIF(portfolio.!$A$4:$A308,$CR307,portfolio.!$J$4:$J308)))</f>
        <v/>
      </c>
      <c r="BD307" s="862" t="str">
        <f>IF($CR307="","",IF($E307="","SP",SUMIF(portfolio.!$A$4:$A308,$CR307,portfolio.!$AQ$4:$AQ308)*$CU$5))</f>
        <v/>
      </c>
      <c r="BE307" s="850" t="str">
        <f t="shared" si="3"/>
        <v/>
      </c>
      <c r="BF307" s="862" t="str">
        <f>IF($CR307="","",IF($E307="","-",SUMIF(portfolio.!$A$4:$A308,$CR307,portfolio.!$AX$4:$AX308)*$CU$5))</f>
        <v/>
      </c>
      <c r="BG307" s="545"/>
      <c r="BH307" s="879" t="s">
        <v>123</v>
      </c>
      <c r="BI307" s="880" t="s">
        <v>123</v>
      </c>
      <c r="BJ307" s="863" t="str">
        <f>IFERROR(__xludf.DUMMYFUNCTION("IF(NOT($BL$4),"""",IF($CR307="""","""",IFERROR(query({GOOGLEFINANCE($CR307,""price"",IF($BI307=""-"",TODAY()-($AQ$5+5),$BI307),TODAY()-1)},""Select max(Col2) where Col1 is not null label max(Col2) ''"")*CU307,""-"")))"),"")</f>
        <v/>
      </c>
      <c r="BK307" s="881" t="s">
        <v>123</v>
      </c>
      <c r="BL307" s="882" t="s">
        <v>123</v>
      </c>
      <c r="BM307" s="442"/>
      <c r="BN307" s="867" t="str">
        <f>IFERROR(__xludf.DUMMYFUNCTION("IF(CR307="""","""",IF(OR(C307=""AÇÃO"",C307=""BDR""),IFERROR(QUERY({fundamentus.!$A$3:$U308},$CX$67&amp;"" where Col1='""&amp;CR307&amp;""' limit 1"",0)),IF(C307=""FII"",IFERROR(QUERY({fundsexplorer.!$A$2:$Z308},$CY$67&amp;"" where Col1='""&amp;CR307&amp;""' limit 1"",0)),""""))"&amp;")"),"")</f>
        <v/>
      </c>
      <c r="BO307" s="867"/>
      <c r="BP307" s="867"/>
      <c r="BQ307" s="867"/>
      <c r="BR307" s="867"/>
      <c r="BS307" s="867"/>
      <c r="BT307" s="867"/>
      <c r="BU307" s="442"/>
      <c r="BV307" s="868" t="str">
        <f>IFERROR(__xludf.DUMMYFUNCTION("IF(OR(C307=""AÇÃO"",C307=""BDR""),IFERROR(GOOGLEFINANCE(CONCAT(""BVMF:"",CR307), ""marketcap"")/1000000,""NC""),"""")"),"")</f>
        <v/>
      </c>
      <c r="BW307" s="869" t="s">
        <v>123</v>
      </c>
      <c r="BX307" s="870" t="s">
        <v>123</v>
      </c>
      <c r="BY307" s="868" t="s">
        <v>123</v>
      </c>
      <c r="BZ307" s="870" t="s">
        <v>123</v>
      </c>
      <c r="CA307" s="868" t="s">
        <v>123</v>
      </c>
      <c r="CB307" s="868" t="s">
        <v>123</v>
      </c>
      <c r="CC307" s="868" t="s">
        <v>123</v>
      </c>
      <c r="CD307" s="868" t="str">
        <f>IFERROR(__xludf.DUMMYFUNCTION("IF(OR(C307=""AÇÃO"",C307=""BDR""),IFERROR(GOOGLEFINANCE(CONCAT(""BVMF:"",CR307), ""volumeavg"")/1000000,""NC""),"""")"),"")</f>
        <v/>
      </c>
      <c r="CE307" s="870" t="s">
        <v>123</v>
      </c>
      <c r="CF307" s="870" t="s">
        <v>123</v>
      </c>
      <c r="CG307" s="870" t="str">
        <f>IFERROR(__xludf.DUMMYFUNCTION("IF(OR(C307=""AÇÃO"",C307=""BDR""),IF(CF307=0,""SEM DY"",IFERROR(ImportXML(CONCAT(""http://www.guiainvest.com.br/raiox/default.aspx?sigla="",$CR307),""//*[@id='lbPayoutAtual']""),""NC"")),"""")"),"")</f>
        <v/>
      </c>
      <c r="CH307" s="870" t="s">
        <v>123</v>
      </c>
      <c r="CI307" s="545"/>
      <c r="CJ307" s="871" t="str">
        <f>IFERROR(__xludf.DUMMYFUNCTION("IF(OR(C307=""AÇÃO"",C307=""BDR""),IFERROR(GOOGLEFINANCE(CONCAT(""BVMF:"",CR307), ""eps""),""NC""),"""")"),"")</f>
        <v/>
      </c>
      <c r="CK307" s="442"/>
      <c r="CL307" s="871" t="str">
        <f>IFERROR(__xludf.DUMMYFUNCTION("IF(NOT($BL$4),"""",IF($CR307="""","""",IF($BC307="""","""",IFERROR(query({op.normal!$B$5:$F308},""select Col5, toDate(Col2) where Col1 =  '""&amp;$CR307&amp;""' and Col4 &gt; 0 and ((Col3 is null) or (Col3 = 'C')) and Col2 &gt;= date '""&amp;TEXT(TODAY()-$AQ$5,""yyyy-mm-dd"&amp;""")&amp;""' order by Col2 desc limit 1 label toDate(Col2) ''"")))))"),"")</f>
        <v/>
      </c>
      <c r="CM307" s="872"/>
      <c r="CN307" s="883" t="s">
        <v>123</v>
      </c>
      <c r="CO307" s="874" t="s">
        <v>123</v>
      </c>
      <c r="CP307" s="766"/>
      <c r="CQ307" s="791"/>
      <c r="CR307" s="791"/>
      <c r="CT307" s="791" t="s">
        <v>123</v>
      </c>
      <c r="CU307" s="791" t="str">
        <f>IFERROR(__xludf.DUMMYFUNCTION("IF(CR307="""","""",IF(CT307=$C$4,1,GOOGLEFINANCE(CT307&amp;$C$4)))"),"")</f>
        <v/>
      </c>
    </row>
    <row r="308" ht="22.5" customHeight="1">
      <c r="A308" s="837">
        <v>300.0</v>
      </c>
      <c r="B308" s="838" t="s">
        <v>123</v>
      </c>
      <c r="C308" s="838" t="s">
        <v>123</v>
      </c>
      <c r="D308" s="839" t="s">
        <v>123</v>
      </c>
      <c r="E308" s="839" t="s">
        <v>123</v>
      </c>
      <c r="F308" s="839" t="s">
        <v>123</v>
      </c>
      <c r="H308" s="884"/>
      <c r="I308" s="838"/>
      <c r="J308" s="838"/>
      <c r="K308" s="838"/>
      <c r="L308" s="838"/>
      <c r="M308" s="838"/>
      <c r="N308" s="838"/>
      <c r="O308" s="838"/>
      <c r="P308" s="838"/>
      <c r="Q308" s="838"/>
      <c r="R308" s="838"/>
      <c r="S308" s="838"/>
      <c r="T308" s="838"/>
      <c r="U308" s="838"/>
      <c r="V308" s="838"/>
      <c r="W308" s="838"/>
      <c r="X308" s="838"/>
      <c r="Z308" s="875" t="str">
        <f>IFERROR(__xludf.DUMMYFUNCTION("IF($CR308="""","""",IFERROR(query({CarteirasAtivos},""select Col4 where Col4 is not null and Col1 = '""&amp;$CR308&amp;""' limit 1"")*CU308,""NC""))"),"")</f>
        <v/>
      </c>
      <c r="AA308" s="876" t="str">
        <f>IFERROR(__xludf.DUMMYFUNCTION("IF($CR308="""","""",IFERROR(query({CarteirasAtivos},""select Col6 where Col4 is not null and Col1 = '""&amp;$CR308&amp;""' limit 1""),""NC""))"),"")</f>
        <v/>
      </c>
      <c r="AB308" s="877"/>
      <c r="AC308" s="878" t="s">
        <v>123</v>
      </c>
      <c r="AD308" s="845" t="str">
        <f>IF($CR308="","",IFERROR(VLOOKUP($CR308,ativos.!$C$3:$R308,MATCH("cotacao",ativos.!$C$2:CY$2,0),FALSE)*$CU$5,"atualizar"))</f>
        <v/>
      </c>
      <c r="AE308" s="846" t="str">
        <f>IFERROR(__xludf.DUMMYFUNCTION("IF($CR308="""","""",IFERROR(AVERAGE(query({CarteirasAtivos;CarteirasAtivosEncerrados},""select Col5 where Col5 is not null and Col1 = '""&amp;$CR308&amp;""' and Col10='SIM'""))*CU308,""NC""))"),"")</f>
        <v/>
      </c>
      <c r="AF308" s="847" t="str">
        <f t="shared" si="1"/>
        <v/>
      </c>
      <c r="AG308" s="442"/>
      <c r="AH308" s="848" t="str">
        <f>IFERROR(__xludf.DUMMYFUNCTION("IF($CR308="""","""",IFERROR(GOOGLEFINANCE($CR308,""low52"")*CU308,""-""))"),"")</f>
        <v/>
      </c>
      <c r="AI308" s="848" t="str">
        <f>IFERROR(__xludf.DUMMYFUNCTION("IF($CR308="""","""",IFERROR(GOOGLEFINANCE($CR308,""high52"")*CU308,""-""))"),"")</f>
        <v/>
      </c>
      <c r="AJ308" s="849" t="s">
        <v>123</v>
      </c>
      <c r="AK308" s="850" t="str">
        <f>IFERROR(__xludf.DUMMYFUNCTION("IF($CR308="""","""",IFERROR(GOOGLEFINANCE($CR308,""changepct"")/100,""-""))"),"")</f>
        <v/>
      </c>
      <c r="AL308" s="851" t="str">
        <f>IFERROR(__xludf.DUMMYFUNCTION("IF($CR308="""","""",IFERROR(($AD308/(QUERY(GOOGLEFINANCE($CR308,""price"",TODAY()-7),""SELECT Col2 label Col2 ''"")*$CU308)-1),""-""))"),"")</f>
        <v/>
      </c>
      <c r="AM308" s="851" t="str">
        <f>IFERROR(__xludf.DUMMYFUNCTION("IF($CR308="""","""",IFERROR(($AD308/(QUERY(GOOGLEFINANCE($CR308,""price"",TODAY()-14),""SELECT Col2 label Col2 ''"")*$CU308)-1),""-""))"),"")</f>
        <v/>
      </c>
      <c r="AN308" s="851" t="str">
        <f>IFERROR(__xludf.DUMMYFUNCTION("IF($CR308="""","""",IFERROR(($AD308/(QUERY(GOOGLEFINANCE($CR308,""price"",TODAY()-28),""SELECT Col2 label Col2 ''"")*$CU308)-1),""-""))"),"")</f>
        <v/>
      </c>
      <c r="AO308" s="851" t="str">
        <f>IFERROR(__xludf.DUMMYFUNCTION("IF($CR308="""","""",IFERROR(($AD308/(QUERY(GOOGLEFINANCE($CR308,""price"",TODAY()-$AQ$5),""SELECT Col2 label Col2 ''"")*$CU308)-1),""-""))"),"")</f>
        <v/>
      </c>
      <c r="AP308" s="852" t="str">
        <f>IFERROR(__xludf.DUMMYFUNCTION("IF($CR308="""","""",IFERROR(SPARKLINE(query(GOOGLEFINANCE($CR308,""price"",TODAY()-$AQ$5,TODAY(),1),""select Col2 label Col2 ''""),IF($AP$7=""Gráfico de barras"",{""charttype"",""column"";""highcolor"",""red""},{""chartype"",""line""}))))"),"")</f>
        <v/>
      </c>
      <c r="AQ308" s="144"/>
      <c r="AR308" s="853"/>
      <c r="AS308" s="854" t="str">
        <f>IF($CR308="","",IF(NOT('alocação'!$D$1),"off",IFERROR(VLOOKUP(CR308,BalanceAtivos,3,0),"NC")))</f>
        <v/>
      </c>
      <c r="AT308" s="855" t="str">
        <f>IF($CR308="","",IF(NOT('alocação'!$D$1),"off",IFERROR(VLOOKUP($CR308,BalanceAtivos,4,0)*$CU$5,"NC")))</f>
        <v/>
      </c>
      <c r="AU308" s="856" t="str">
        <f>IF($CR308="","",IF(NOT('alocação'!$D$1),"off",IFERROR(VLOOKUP($CR308,BalanceAtivos,5,0),"-")))</f>
        <v/>
      </c>
      <c r="AV308" s="856" t="str">
        <f>IF($CR308="","",IF(NOT('alocação'!$D$1),"off",IFERROR(VLOOKUP($CR308,BalanceAtivos,6,0),"-")))</f>
        <v/>
      </c>
      <c r="AW308" s="857"/>
      <c r="AX308" s="858" t="str">
        <f>IF($CR308="","",IF($E308="","SP",IFERROR(VLOOKUP($CR308,AtivosDados,MATCH("pm_atual",portfolio.!$A$3:CY$3,0),0)*$CU$5,0)))</f>
        <v/>
      </c>
      <c r="AY308" s="859" t="str">
        <f t="shared" si="2"/>
        <v/>
      </c>
      <c r="AZ308" s="858" t="str">
        <f>IF($CR308="","",IF($E308="","SP",SUMIF(portfolio.!$A$4:$A308,$CR308,portfolio.!$O$4:$O308)*$CU$5))</f>
        <v/>
      </c>
      <c r="BA308" s="858" t="str">
        <f>IF($CR308="","",IF($E308="","SP",SUMIF(portfolio.!$A$4:$A308,$CR308,portfolio.!$AN$4:$AN308)*$CU$5))</f>
        <v/>
      </c>
      <c r="BB308" s="860" t="str">
        <f>IF($CR308="","",IF($E308="","-",IFERROR($BA308/'portfólio'!$DG$63,"")))</f>
        <v/>
      </c>
      <c r="BC308" s="861" t="str">
        <f>IF($CR308="","",IF($E308="","-",SUMIF(portfolio.!$A$4:$A308,$CR308,portfolio.!$J$4:$J308)))</f>
        <v/>
      </c>
      <c r="BD308" s="862" t="str">
        <f>IF($CR308="","",IF($E308="","SP",SUMIF(portfolio.!$A$4:$A308,$CR308,portfolio.!$AQ$4:$AQ308)*$CU$5))</f>
        <v/>
      </c>
      <c r="BE308" s="850" t="str">
        <f t="shared" si="3"/>
        <v/>
      </c>
      <c r="BF308" s="862" t="str">
        <f>IF($CR308="","",IF($E308="","-",SUMIF(portfolio.!$A$4:$A308,$CR308,portfolio.!$AX$4:$AX308)*$CU$5))</f>
        <v/>
      </c>
      <c r="BG308" s="545"/>
      <c r="BH308" s="879" t="s">
        <v>123</v>
      </c>
      <c r="BI308" s="880" t="s">
        <v>123</v>
      </c>
      <c r="BJ308" s="863" t="str">
        <f>IFERROR(__xludf.DUMMYFUNCTION("IF(NOT($BL$4),"""",IF($CR308="""","""",IFERROR(query({GOOGLEFINANCE($CR308,""price"",IF($BI308=""-"",TODAY()-($AQ$5+5),$BI308),TODAY()-1)},""Select max(Col2) where Col1 is not null label max(Col2) ''"")*CU308,""-"")))"),"")</f>
        <v/>
      </c>
      <c r="BK308" s="881" t="s">
        <v>123</v>
      </c>
      <c r="BL308" s="882" t="s">
        <v>123</v>
      </c>
      <c r="BM308" s="442"/>
      <c r="BN308" s="867" t="str">
        <f>IFERROR(__xludf.DUMMYFUNCTION("IF(CR308="""","""",IF(OR(C308=""AÇÃO"",C308=""BDR""),IFERROR(QUERY({fundamentus.!$A$3:$U308},$CX$67&amp;"" where Col1='""&amp;CR308&amp;""' limit 1"",0)),IF(C308=""FII"",IFERROR(QUERY({fundsexplorer.!$A$2:$Z308},$CY$67&amp;"" where Col1='""&amp;CR308&amp;""' limit 1"",0)),""""))"&amp;")"),"")</f>
        <v/>
      </c>
      <c r="BO308" s="867"/>
      <c r="BP308" s="867"/>
      <c r="BQ308" s="867"/>
      <c r="BR308" s="867"/>
      <c r="BS308" s="867"/>
      <c r="BT308" s="867"/>
      <c r="BU308" s="442"/>
      <c r="BV308" s="868" t="str">
        <f>IFERROR(__xludf.DUMMYFUNCTION("IF(OR(C308=""AÇÃO"",C308=""BDR""),IFERROR(GOOGLEFINANCE(CONCAT(""BVMF:"",CR308), ""marketcap"")/1000000,""NC""),"""")"),"")</f>
        <v/>
      </c>
      <c r="BW308" s="869" t="s">
        <v>123</v>
      </c>
      <c r="BX308" s="870" t="s">
        <v>123</v>
      </c>
      <c r="BY308" s="868" t="s">
        <v>123</v>
      </c>
      <c r="BZ308" s="870" t="s">
        <v>123</v>
      </c>
      <c r="CA308" s="868" t="s">
        <v>123</v>
      </c>
      <c r="CB308" s="868" t="s">
        <v>123</v>
      </c>
      <c r="CC308" s="868" t="s">
        <v>123</v>
      </c>
      <c r="CD308" s="868" t="str">
        <f>IFERROR(__xludf.DUMMYFUNCTION("IF(OR(C308=""AÇÃO"",C308=""BDR""),IFERROR(GOOGLEFINANCE(CONCAT(""BVMF:"",CR308), ""volumeavg"")/1000000,""NC""),"""")"),"")</f>
        <v/>
      </c>
      <c r="CE308" s="870" t="s">
        <v>123</v>
      </c>
      <c r="CF308" s="870" t="s">
        <v>123</v>
      </c>
      <c r="CG308" s="870" t="str">
        <f>IFERROR(__xludf.DUMMYFUNCTION("IF(OR(C308=""AÇÃO"",C308=""BDR""),IF(CF308=0,""SEM DY"",IFERROR(ImportXML(CONCAT(""http://www.guiainvest.com.br/raiox/default.aspx?sigla="",$CR308),""//*[@id='lbPayoutAtual']""),""NC"")),"""")"),"")</f>
        <v/>
      </c>
      <c r="CH308" s="870" t="s">
        <v>123</v>
      </c>
      <c r="CI308" s="545"/>
      <c r="CJ308" s="871" t="str">
        <f>IFERROR(__xludf.DUMMYFUNCTION("IF(OR(C308=""AÇÃO"",C308=""BDR""),IFERROR(GOOGLEFINANCE(CONCAT(""BVMF:"",CR308), ""eps""),""NC""),"""")"),"")</f>
        <v/>
      </c>
      <c r="CK308" s="442"/>
      <c r="CL308" s="871" t="str">
        <f>IFERROR(__xludf.DUMMYFUNCTION("IF(NOT($BL$4),"""",IF($CR308="""","""",IF($BC308="""","""",IFERROR(query({op.normal!$B$5:$F308},""select Col5, toDate(Col2) where Col1 =  '""&amp;$CR308&amp;""' and Col4 &gt; 0 and ((Col3 is null) or (Col3 = 'C')) and Col2 &gt;= date '""&amp;TEXT(TODAY()-$AQ$5,""yyyy-mm-dd"&amp;""")&amp;""' order by Col2 desc limit 1 label toDate(Col2) ''"")))))"),"")</f>
        <v/>
      </c>
      <c r="CM308" s="872"/>
      <c r="CN308" s="883" t="s">
        <v>123</v>
      </c>
      <c r="CO308" s="874" t="s">
        <v>123</v>
      </c>
      <c r="CP308" s="766"/>
      <c r="CQ308" s="791"/>
      <c r="CR308" s="791"/>
      <c r="CT308" s="791" t="s">
        <v>123</v>
      </c>
      <c r="CU308" s="791" t="str">
        <f>IFERROR(__xludf.DUMMYFUNCTION("IF(CR308="""","""",IF(CT308=$C$4,1,GOOGLEFINANCE(CT308&amp;$C$4)))"),"")</f>
        <v/>
      </c>
    </row>
  </sheetData>
  <mergeCells count="413">
    <mergeCell ref="AP44:AQ44"/>
    <mergeCell ref="AP45:AQ45"/>
    <mergeCell ref="AP46:AQ46"/>
    <mergeCell ref="AP47:AQ47"/>
    <mergeCell ref="AP48:AQ48"/>
    <mergeCell ref="AP49:AQ49"/>
    <mergeCell ref="AP50:AQ50"/>
    <mergeCell ref="AP51:AQ51"/>
    <mergeCell ref="AP52:AQ52"/>
    <mergeCell ref="AP53:AQ53"/>
    <mergeCell ref="AP54:AQ54"/>
    <mergeCell ref="AP55:AQ55"/>
    <mergeCell ref="AP56:AQ56"/>
    <mergeCell ref="AP57:AQ57"/>
    <mergeCell ref="AP58:AQ58"/>
    <mergeCell ref="AP59:AQ59"/>
    <mergeCell ref="AP60:AQ60"/>
    <mergeCell ref="AP61:AQ61"/>
    <mergeCell ref="AP62:AQ62"/>
    <mergeCell ref="AP63:AQ63"/>
    <mergeCell ref="AP64:AQ64"/>
    <mergeCell ref="AP65:AQ65"/>
    <mergeCell ref="AP66:AQ66"/>
    <mergeCell ref="AP67:AQ67"/>
    <mergeCell ref="AP68:AQ68"/>
    <mergeCell ref="AP69:AQ69"/>
    <mergeCell ref="AP70:AQ70"/>
    <mergeCell ref="AP71:AQ71"/>
    <mergeCell ref="AP72:AQ72"/>
    <mergeCell ref="AP73:AQ73"/>
    <mergeCell ref="AP74:AQ74"/>
    <mergeCell ref="AP75:AQ75"/>
    <mergeCell ref="AP76:AQ76"/>
    <mergeCell ref="AP77:AQ77"/>
    <mergeCell ref="AP78:AQ78"/>
    <mergeCell ref="AP79:AQ79"/>
    <mergeCell ref="AP80:AQ80"/>
    <mergeCell ref="AP81:AQ81"/>
    <mergeCell ref="AP82:AQ82"/>
    <mergeCell ref="AP83:AQ83"/>
    <mergeCell ref="AP84:AQ84"/>
    <mergeCell ref="AP85:AQ85"/>
    <mergeCell ref="AP86:AQ86"/>
    <mergeCell ref="AP87:AQ87"/>
    <mergeCell ref="AP88:AQ88"/>
    <mergeCell ref="AP89:AQ89"/>
    <mergeCell ref="AP90:AQ90"/>
    <mergeCell ref="AP91:AQ91"/>
    <mergeCell ref="AP92:AQ92"/>
    <mergeCell ref="AP93:AQ93"/>
    <mergeCell ref="AP94:AQ94"/>
    <mergeCell ref="AP95:AQ95"/>
    <mergeCell ref="AP96:AQ96"/>
    <mergeCell ref="AP97:AQ97"/>
    <mergeCell ref="AP98:AQ98"/>
    <mergeCell ref="AP99:AQ99"/>
    <mergeCell ref="AP100:AQ100"/>
    <mergeCell ref="AP101:AQ101"/>
    <mergeCell ref="AP102:AQ102"/>
    <mergeCell ref="AP103:AQ103"/>
    <mergeCell ref="AP104:AQ104"/>
    <mergeCell ref="AP105:AQ105"/>
    <mergeCell ref="AP106:AQ106"/>
    <mergeCell ref="AP107:AQ107"/>
    <mergeCell ref="AP108:AQ108"/>
    <mergeCell ref="AP109:AQ109"/>
    <mergeCell ref="AP110:AQ110"/>
    <mergeCell ref="AP111:AQ111"/>
    <mergeCell ref="AP112:AQ112"/>
    <mergeCell ref="AP113:AQ113"/>
    <mergeCell ref="AP114:AQ114"/>
    <mergeCell ref="AP115:AQ115"/>
    <mergeCell ref="AP116:AQ116"/>
    <mergeCell ref="AP117:AQ117"/>
    <mergeCell ref="AP118:AQ118"/>
    <mergeCell ref="AP119:AQ119"/>
    <mergeCell ref="AP120:AQ120"/>
    <mergeCell ref="AP121:AQ121"/>
    <mergeCell ref="AP122:AQ122"/>
    <mergeCell ref="AP123:AQ123"/>
    <mergeCell ref="AP124:AQ124"/>
    <mergeCell ref="AP125:AQ125"/>
    <mergeCell ref="AP126:AQ126"/>
    <mergeCell ref="AP127:AQ127"/>
    <mergeCell ref="AP128:AQ128"/>
    <mergeCell ref="AP129:AQ129"/>
    <mergeCell ref="AP130:AQ130"/>
    <mergeCell ref="AP131:AQ131"/>
    <mergeCell ref="AP132:AQ132"/>
    <mergeCell ref="AP133:AQ133"/>
    <mergeCell ref="AP134:AQ134"/>
    <mergeCell ref="AP135:AQ135"/>
    <mergeCell ref="AP136:AQ136"/>
    <mergeCell ref="AP137:AQ137"/>
    <mergeCell ref="AP138:AQ138"/>
    <mergeCell ref="AP139:AQ139"/>
    <mergeCell ref="AP140:AQ140"/>
    <mergeCell ref="AP141:AQ141"/>
    <mergeCell ref="AP142:AQ142"/>
    <mergeCell ref="AP143:AQ143"/>
    <mergeCell ref="AP144:AQ144"/>
    <mergeCell ref="AP145:AQ145"/>
    <mergeCell ref="AP146:AQ146"/>
    <mergeCell ref="AP147:AQ147"/>
    <mergeCell ref="AP148:AQ148"/>
    <mergeCell ref="AP149:AQ149"/>
    <mergeCell ref="AP150:AQ150"/>
    <mergeCell ref="AP151:AQ151"/>
    <mergeCell ref="AP152:AQ152"/>
    <mergeCell ref="AP153:AQ153"/>
    <mergeCell ref="AP154:AQ154"/>
    <mergeCell ref="AP155:AQ155"/>
    <mergeCell ref="AP156:AQ156"/>
    <mergeCell ref="AP157:AQ157"/>
    <mergeCell ref="AP158:AQ158"/>
    <mergeCell ref="AP159:AQ159"/>
    <mergeCell ref="AP160:AQ160"/>
    <mergeCell ref="AP161:AQ161"/>
    <mergeCell ref="AP162:AQ162"/>
    <mergeCell ref="AP163:AQ163"/>
    <mergeCell ref="AP164:AQ164"/>
    <mergeCell ref="AP165:AQ165"/>
    <mergeCell ref="AP166:AQ166"/>
    <mergeCell ref="AP167:AQ167"/>
    <mergeCell ref="AP168:AQ168"/>
    <mergeCell ref="AP169:AQ169"/>
    <mergeCell ref="AP170:AQ170"/>
    <mergeCell ref="AP171:AQ171"/>
    <mergeCell ref="AP172:AQ172"/>
    <mergeCell ref="AP173:AQ173"/>
    <mergeCell ref="AP174:AQ174"/>
    <mergeCell ref="AP175:AQ175"/>
    <mergeCell ref="AP176:AQ176"/>
    <mergeCell ref="AP177:AQ177"/>
    <mergeCell ref="AP178:AQ178"/>
    <mergeCell ref="AP179:AQ179"/>
    <mergeCell ref="AP180:AQ180"/>
    <mergeCell ref="AP181:AQ181"/>
    <mergeCell ref="AP182:AQ182"/>
    <mergeCell ref="AP183:AQ183"/>
    <mergeCell ref="AP184:AQ184"/>
    <mergeCell ref="AP185:AQ185"/>
    <mergeCell ref="AP186:AQ186"/>
    <mergeCell ref="AP187:AQ187"/>
    <mergeCell ref="AP188:AQ188"/>
    <mergeCell ref="AP189:AQ189"/>
    <mergeCell ref="AP190:AQ190"/>
    <mergeCell ref="AP191:AQ191"/>
    <mergeCell ref="AP192:AQ192"/>
    <mergeCell ref="AP193:AQ193"/>
    <mergeCell ref="AP194:AQ194"/>
    <mergeCell ref="AP195:AQ195"/>
    <mergeCell ref="AP196:AQ196"/>
    <mergeCell ref="AP197:AQ197"/>
    <mergeCell ref="AP198:AQ198"/>
    <mergeCell ref="AP199:AQ199"/>
    <mergeCell ref="AP200:AQ200"/>
    <mergeCell ref="AP201:AQ201"/>
    <mergeCell ref="AP202:AQ202"/>
    <mergeCell ref="AP203:AQ203"/>
    <mergeCell ref="AP204:AQ204"/>
    <mergeCell ref="AP205:AQ205"/>
    <mergeCell ref="AP206:AQ206"/>
    <mergeCell ref="AP207:AQ207"/>
    <mergeCell ref="AP208:AQ208"/>
    <mergeCell ref="AP209:AQ209"/>
    <mergeCell ref="AP210:AQ210"/>
    <mergeCell ref="AP211:AQ211"/>
    <mergeCell ref="AP212:AQ212"/>
    <mergeCell ref="AP213:AQ213"/>
    <mergeCell ref="AP214:AQ214"/>
    <mergeCell ref="AP215:AQ215"/>
    <mergeCell ref="AP216:AQ216"/>
    <mergeCell ref="AP217:AQ217"/>
    <mergeCell ref="AP218:AQ218"/>
    <mergeCell ref="AP219:AQ219"/>
    <mergeCell ref="AP220:AQ220"/>
    <mergeCell ref="AP221:AQ221"/>
    <mergeCell ref="AP222:AQ222"/>
    <mergeCell ref="AP223:AQ223"/>
    <mergeCell ref="AP224:AQ224"/>
    <mergeCell ref="AP225:AQ225"/>
    <mergeCell ref="AP226:AQ226"/>
    <mergeCell ref="AP227:AQ227"/>
    <mergeCell ref="AP228:AQ228"/>
    <mergeCell ref="AP229:AQ229"/>
    <mergeCell ref="AP230:AQ230"/>
    <mergeCell ref="AP231:AQ231"/>
    <mergeCell ref="AP232:AQ232"/>
    <mergeCell ref="AP233:AQ233"/>
    <mergeCell ref="AP234:AQ234"/>
    <mergeCell ref="AP235:AQ235"/>
    <mergeCell ref="AP236:AQ236"/>
    <mergeCell ref="AP237:AQ237"/>
    <mergeCell ref="AP238:AQ238"/>
    <mergeCell ref="AP239:AQ239"/>
    <mergeCell ref="AP289:AQ289"/>
    <mergeCell ref="AP290:AQ290"/>
    <mergeCell ref="AP291:AQ291"/>
    <mergeCell ref="AP292:AQ292"/>
    <mergeCell ref="AP293:AQ293"/>
    <mergeCell ref="AP294:AQ294"/>
    <mergeCell ref="AP295:AQ295"/>
    <mergeCell ref="AP303:AQ303"/>
    <mergeCell ref="AP304:AQ304"/>
    <mergeCell ref="AP305:AQ305"/>
    <mergeCell ref="AP306:AQ306"/>
    <mergeCell ref="AP307:AQ307"/>
    <mergeCell ref="AP308:AQ308"/>
    <mergeCell ref="AP296:AQ296"/>
    <mergeCell ref="AP297:AQ297"/>
    <mergeCell ref="AP298:AQ298"/>
    <mergeCell ref="AP299:AQ299"/>
    <mergeCell ref="AP300:AQ300"/>
    <mergeCell ref="AP301:AQ301"/>
    <mergeCell ref="AP302:AQ302"/>
    <mergeCell ref="AP240:AQ240"/>
    <mergeCell ref="AP241:AQ241"/>
    <mergeCell ref="AP242:AQ242"/>
    <mergeCell ref="AP243:AQ243"/>
    <mergeCell ref="AP244:AQ244"/>
    <mergeCell ref="AP245:AQ245"/>
    <mergeCell ref="AP246:AQ246"/>
    <mergeCell ref="AP247:AQ247"/>
    <mergeCell ref="AP248:AQ248"/>
    <mergeCell ref="AP249:AQ249"/>
    <mergeCell ref="AP250:AQ250"/>
    <mergeCell ref="AP251:AQ251"/>
    <mergeCell ref="AP252:AQ252"/>
    <mergeCell ref="AP253:AQ253"/>
    <mergeCell ref="AP254:AQ254"/>
    <mergeCell ref="AP255:AQ255"/>
    <mergeCell ref="AP256:AQ256"/>
    <mergeCell ref="AP257:AQ257"/>
    <mergeCell ref="AP258:AQ258"/>
    <mergeCell ref="AP259:AQ259"/>
    <mergeCell ref="AP260:AQ260"/>
    <mergeCell ref="AP261:AQ261"/>
    <mergeCell ref="AP262:AQ262"/>
    <mergeCell ref="AP263:AQ263"/>
    <mergeCell ref="AP264:AQ264"/>
    <mergeCell ref="AP265:AQ265"/>
    <mergeCell ref="AP266:AQ266"/>
    <mergeCell ref="AP267:AQ267"/>
    <mergeCell ref="AP268:AQ268"/>
    <mergeCell ref="AP269:AQ269"/>
    <mergeCell ref="AP270:AQ270"/>
    <mergeCell ref="AP271:AQ271"/>
    <mergeCell ref="AP272:AQ272"/>
    <mergeCell ref="AP273:AQ273"/>
    <mergeCell ref="AP274:AQ274"/>
    <mergeCell ref="AP275:AQ275"/>
    <mergeCell ref="AP276:AQ276"/>
    <mergeCell ref="AP277:AQ277"/>
    <mergeCell ref="AP278:AQ278"/>
    <mergeCell ref="AP279:AQ279"/>
    <mergeCell ref="AP280:AQ280"/>
    <mergeCell ref="AP281:AQ281"/>
    <mergeCell ref="AP282:AQ282"/>
    <mergeCell ref="AP283:AQ283"/>
    <mergeCell ref="AP284:AQ284"/>
    <mergeCell ref="AP285:AQ285"/>
    <mergeCell ref="AP286:AQ286"/>
    <mergeCell ref="AP287:AQ287"/>
    <mergeCell ref="AP288:AQ288"/>
    <mergeCell ref="BZ5:BZ7"/>
    <mergeCell ref="CA5:CA7"/>
    <mergeCell ref="BR5:BR6"/>
    <mergeCell ref="BS5:BS6"/>
    <mergeCell ref="BT5:BT6"/>
    <mergeCell ref="BV5:BV7"/>
    <mergeCell ref="BW5:BW7"/>
    <mergeCell ref="BX5:BX7"/>
    <mergeCell ref="BY5:BY7"/>
    <mergeCell ref="CB5:CB7"/>
    <mergeCell ref="CC5:CC7"/>
    <mergeCell ref="CD5:CD7"/>
    <mergeCell ref="CE5:CE7"/>
    <mergeCell ref="CF5:CF7"/>
    <mergeCell ref="CG5:CG7"/>
    <mergeCell ref="CH5:CH7"/>
    <mergeCell ref="CL5:CM5"/>
    <mergeCell ref="CL6:CM7"/>
    <mergeCell ref="CU7:CU8"/>
    <mergeCell ref="CW8:CY8"/>
    <mergeCell ref="CJ5:CJ8"/>
    <mergeCell ref="CN5:CN8"/>
    <mergeCell ref="CO5:CO8"/>
    <mergeCell ref="CQ5:CQ7"/>
    <mergeCell ref="CR5:CR7"/>
    <mergeCell ref="CT5:CT8"/>
    <mergeCell ref="CU5:CU6"/>
    <mergeCell ref="N5:N7"/>
    <mergeCell ref="O5:O7"/>
    <mergeCell ref="P5:P7"/>
    <mergeCell ref="Q5:Q7"/>
    <mergeCell ref="R5:R7"/>
    <mergeCell ref="S5:S7"/>
    <mergeCell ref="T5:T7"/>
    <mergeCell ref="H1:H2"/>
    <mergeCell ref="H5:H8"/>
    <mergeCell ref="I5:I8"/>
    <mergeCell ref="J5:J7"/>
    <mergeCell ref="K5:K7"/>
    <mergeCell ref="L5:L7"/>
    <mergeCell ref="M5:M7"/>
    <mergeCell ref="AJ5:AJ6"/>
    <mergeCell ref="AJ7:AJ8"/>
    <mergeCell ref="AK7:AK8"/>
    <mergeCell ref="AL7:AL8"/>
    <mergeCell ref="AM7:AM8"/>
    <mergeCell ref="AN7:AN8"/>
    <mergeCell ref="AC5:AC8"/>
    <mergeCell ref="AE5:AE8"/>
    <mergeCell ref="AF5:AF8"/>
    <mergeCell ref="AH5:AH8"/>
    <mergeCell ref="AI5:AI8"/>
    <mergeCell ref="AK5:AO6"/>
    <mergeCell ref="AD6:AD8"/>
    <mergeCell ref="AO7:AO8"/>
    <mergeCell ref="AY7:AY8"/>
    <mergeCell ref="AZ7:AZ8"/>
    <mergeCell ref="BA7:BA8"/>
    <mergeCell ref="BB7:BB8"/>
    <mergeCell ref="BC7:BC8"/>
    <mergeCell ref="BD7:BD8"/>
    <mergeCell ref="BN5:BN6"/>
    <mergeCell ref="BN7:BN8"/>
    <mergeCell ref="BO7:BO8"/>
    <mergeCell ref="BP7:BP8"/>
    <mergeCell ref="BH7:BI8"/>
    <mergeCell ref="BK8:BL8"/>
    <mergeCell ref="BH5:BH6"/>
    <mergeCell ref="BI5:BI6"/>
    <mergeCell ref="BJ5:BJ8"/>
    <mergeCell ref="BO5:BO6"/>
    <mergeCell ref="BP5:BP6"/>
    <mergeCell ref="BQ5:BQ6"/>
    <mergeCell ref="BQ7:BQ8"/>
    <mergeCell ref="AH4:AQ4"/>
    <mergeCell ref="AS4:AV4"/>
    <mergeCell ref="AX4:BF4"/>
    <mergeCell ref="BH4:BK4"/>
    <mergeCell ref="BN4:BT4"/>
    <mergeCell ref="BV4:CH4"/>
    <mergeCell ref="B1:F2"/>
    <mergeCell ref="I1:X2"/>
    <mergeCell ref="Z1:BL2"/>
    <mergeCell ref="D4:F4"/>
    <mergeCell ref="Z4:AC4"/>
    <mergeCell ref="AE4:AF4"/>
    <mergeCell ref="E5:F5"/>
    <mergeCell ref="U5:U7"/>
    <mergeCell ref="V5:V7"/>
    <mergeCell ref="W5:W7"/>
    <mergeCell ref="X5:X7"/>
    <mergeCell ref="Z5:Z8"/>
    <mergeCell ref="AA5:AA8"/>
    <mergeCell ref="AB5:AB8"/>
    <mergeCell ref="BK6:BK7"/>
    <mergeCell ref="BL6:BL7"/>
    <mergeCell ref="BR7:BR8"/>
    <mergeCell ref="BS7:BS8"/>
    <mergeCell ref="BT7:BT8"/>
    <mergeCell ref="B7:C8"/>
    <mergeCell ref="D7:D8"/>
    <mergeCell ref="F7:F8"/>
    <mergeCell ref="BE7:BE8"/>
    <mergeCell ref="BF7:BF8"/>
    <mergeCell ref="AV5:AV8"/>
    <mergeCell ref="AX7:AX8"/>
    <mergeCell ref="AP5:AP6"/>
    <mergeCell ref="AQ5:AQ6"/>
    <mergeCell ref="AS5:AT7"/>
    <mergeCell ref="AU5:AU8"/>
    <mergeCell ref="AX5:BC6"/>
    <mergeCell ref="BD5:BF6"/>
    <mergeCell ref="AP7:AQ8"/>
    <mergeCell ref="AP9:AQ9"/>
    <mergeCell ref="AP10:AQ10"/>
    <mergeCell ref="AP11:AQ11"/>
    <mergeCell ref="AP12:AQ12"/>
    <mergeCell ref="AP13:AQ13"/>
    <mergeCell ref="AP14:AQ14"/>
    <mergeCell ref="AP15:AQ15"/>
    <mergeCell ref="AP16:AQ16"/>
    <mergeCell ref="AP17:AQ17"/>
    <mergeCell ref="AP18:AQ18"/>
    <mergeCell ref="AP19:AQ19"/>
    <mergeCell ref="AP20:AQ20"/>
    <mergeCell ref="AP21:AQ21"/>
    <mergeCell ref="AP22:AQ22"/>
    <mergeCell ref="AP23:AQ23"/>
    <mergeCell ref="AP24:AQ24"/>
    <mergeCell ref="AP25:AQ25"/>
    <mergeCell ref="AP26:AQ26"/>
    <mergeCell ref="AP27:AQ27"/>
    <mergeCell ref="AP28:AQ28"/>
    <mergeCell ref="AP29:AQ29"/>
    <mergeCell ref="AP30:AQ30"/>
    <mergeCell ref="AP31:AQ31"/>
    <mergeCell ref="AP32:AQ32"/>
    <mergeCell ref="AP33:AQ33"/>
    <mergeCell ref="AP34:AQ34"/>
    <mergeCell ref="AP35:AQ35"/>
    <mergeCell ref="AP36:AQ36"/>
    <mergeCell ref="AP37:AQ37"/>
    <mergeCell ref="AP38:AQ38"/>
    <mergeCell ref="AP39:AQ39"/>
    <mergeCell ref="AP40:AQ40"/>
    <mergeCell ref="AP41:AQ41"/>
    <mergeCell ref="AP42:AQ42"/>
    <mergeCell ref="AP43:AQ43"/>
  </mergeCells>
  <conditionalFormatting sqref="B9:B308">
    <cfRule type="expression" dxfId="1" priority="1" stopIfTrue="1">
      <formula>$CO9:$CO308&lt;&gt;""</formula>
    </cfRule>
  </conditionalFormatting>
  <conditionalFormatting sqref="C9:C308">
    <cfRule type="cellIs" dxfId="5" priority="2" stopIfTrue="1" operator="equal">
      <formula>0</formula>
    </cfRule>
  </conditionalFormatting>
  <conditionalFormatting sqref="C9:C308">
    <cfRule type="expression" dxfId="25" priority="3" stopIfTrue="1">
      <formula>IF(OR(C9="ETF",C9="FIA",C9="FIP",C9="FIP IE"),TRUE)</formula>
    </cfRule>
  </conditionalFormatting>
  <conditionalFormatting sqref="C9:C308">
    <cfRule type="cellIs" dxfId="43" priority="4" stopIfTrue="1" operator="equal">
      <formula>"FII"</formula>
    </cfRule>
  </conditionalFormatting>
  <conditionalFormatting sqref="C9:C308">
    <cfRule type="cellIs" dxfId="44" priority="5" stopIfTrue="1" operator="equal">
      <formula>0</formula>
    </cfRule>
  </conditionalFormatting>
  <conditionalFormatting sqref="C9:C308">
    <cfRule type="cellIs" dxfId="45" priority="6" stopIfTrue="1" operator="equal">
      <formula>0</formula>
    </cfRule>
  </conditionalFormatting>
  <conditionalFormatting sqref="C9:C308">
    <cfRule type="expression" dxfId="46" priority="7" stopIfTrue="1">
      <formula>IF(OR(C9="STOCK",C9="REIT"),TRUE)</formula>
    </cfRule>
  </conditionalFormatting>
  <conditionalFormatting sqref="C9:C308">
    <cfRule type="expression" dxfId="1" priority="8" stopIfTrue="1">
      <formula>IF(OR(C9="CRIPTO",C9="TOKEN"),TRUE)</formula>
    </cfRule>
  </conditionalFormatting>
  <conditionalFormatting sqref="C9:C308">
    <cfRule type="notContainsBlanks" dxfId="42" priority="9" stopIfTrue="1">
      <formula>LEN(TRIM(C9))&gt;0</formula>
    </cfRule>
  </conditionalFormatting>
  <conditionalFormatting sqref="BX9:BX308">
    <cfRule type="cellIs" dxfId="52" priority="10" stopIfTrue="1" operator="greaterThan">
      <formula>0.15</formula>
    </cfRule>
  </conditionalFormatting>
  <conditionalFormatting sqref="BX9:BX308">
    <cfRule type="cellIs" dxfId="1" priority="11" stopIfTrue="1" operator="between">
      <formula>0</formula>
      <formula>0.1</formula>
    </cfRule>
  </conditionalFormatting>
  <conditionalFormatting sqref="BY9:BY308">
    <cfRule type="cellIs" dxfId="52" priority="12" stopIfTrue="1" operator="lessThan">
      <formula>0.5</formula>
    </cfRule>
  </conditionalFormatting>
  <conditionalFormatting sqref="BY9:BY308">
    <cfRule type="cellIs" dxfId="1" priority="13" stopIfTrue="1" operator="greaterThanOrEqual">
      <formula>0.75</formula>
    </cfRule>
  </conditionalFormatting>
  <conditionalFormatting sqref="BZ9:BZ308">
    <cfRule type="cellIs" dxfId="52" priority="14" stopIfTrue="1" operator="greaterThan">
      <formula>0.05</formula>
    </cfRule>
  </conditionalFormatting>
  <conditionalFormatting sqref="BZ9:BZ308">
    <cfRule type="cellIs" dxfId="1" priority="15" stopIfTrue="1" operator="between">
      <formula>0</formula>
      <formula>0.05</formula>
    </cfRule>
  </conditionalFormatting>
  <conditionalFormatting sqref="CA9:CA308">
    <cfRule type="cellIs" dxfId="52" priority="16" stopIfTrue="1" operator="lessThan">
      <formula>2</formula>
    </cfRule>
  </conditionalFormatting>
  <conditionalFormatting sqref="CA9:CA308">
    <cfRule type="cellIs" dxfId="1" priority="17" stopIfTrue="1" operator="greaterThanOrEqual">
      <formula>2</formula>
    </cfRule>
  </conditionalFormatting>
  <conditionalFormatting sqref="CB9:CB308">
    <cfRule type="cellIs" dxfId="52" priority="18" stopIfTrue="1" operator="between">
      <formula>0</formula>
      <formula>15</formula>
    </cfRule>
  </conditionalFormatting>
  <conditionalFormatting sqref="CB9:CB308">
    <cfRule type="cellIs" dxfId="53" priority="19" stopIfTrue="1" operator="between">
      <formula>15</formula>
      <formula>20</formula>
    </cfRule>
  </conditionalFormatting>
  <conditionalFormatting sqref="CB9:CB308">
    <cfRule type="cellIs" dxfId="1" priority="20" stopIfTrue="1" operator="greaterThanOrEqual">
      <formula>20</formula>
    </cfRule>
  </conditionalFormatting>
  <conditionalFormatting sqref="CD9:CD308">
    <cfRule type="cellIs" dxfId="52" priority="21" stopIfTrue="1" operator="greaterThan">
      <formula>1</formula>
    </cfRule>
  </conditionalFormatting>
  <conditionalFormatting sqref="CD9:CD308">
    <cfRule type="cellIs" dxfId="1" priority="22" stopIfTrue="1" operator="lessThanOrEqual">
      <formula>1</formula>
    </cfRule>
  </conditionalFormatting>
  <conditionalFormatting sqref="CF9:CF308">
    <cfRule type="cellIs" dxfId="52" priority="23" stopIfTrue="1" operator="greaterThan">
      <formula>0.06</formula>
    </cfRule>
  </conditionalFormatting>
  <conditionalFormatting sqref="CF9:CF308">
    <cfRule type="cellIs" dxfId="1" priority="24" stopIfTrue="1" operator="lessThanOrEqual">
      <formula>0.04</formula>
    </cfRule>
  </conditionalFormatting>
  <conditionalFormatting sqref="CC9:CC308">
    <cfRule type="cellIs" dxfId="52" priority="25" stopIfTrue="1" operator="between">
      <formula>0</formula>
      <formula>22.5</formula>
    </cfRule>
  </conditionalFormatting>
  <conditionalFormatting sqref="CC9:CC308">
    <cfRule type="cellIs" dxfId="1" priority="26" stopIfTrue="1" operator="greaterThanOrEqual">
      <formula>22.5</formula>
    </cfRule>
  </conditionalFormatting>
  <conditionalFormatting sqref="CG9:CG308">
    <cfRule type="cellIs" dxfId="54" priority="27" stopIfTrue="1" operator="lessThanOrEqual">
      <formula>0</formula>
    </cfRule>
  </conditionalFormatting>
  <conditionalFormatting sqref="CG9:CG308">
    <cfRule type="cellIs" dxfId="52" priority="28" stopIfTrue="1" operator="between">
      <formula>0</formula>
      <formula>0.6</formula>
    </cfRule>
  </conditionalFormatting>
  <conditionalFormatting sqref="CG9:CG308">
    <cfRule type="cellIs" dxfId="55" priority="29" stopIfTrue="1" operator="between">
      <formula>0.6</formula>
      <formula>0.9</formula>
    </cfRule>
  </conditionalFormatting>
  <conditionalFormatting sqref="CG9:CG308">
    <cfRule type="cellIs" dxfId="1" priority="30" stopIfTrue="1" operator="greaterThanOrEqual">
      <formula>0.9</formula>
    </cfRule>
  </conditionalFormatting>
  <conditionalFormatting sqref="BY9:BY308">
    <cfRule type="cellIs" dxfId="55" priority="31" stopIfTrue="1" operator="between">
      <formula>0.5</formula>
      <formula>0.75</formula>
    </cfRule>
  </conditionalFormatting>
  <conditionalFormatting sqref="BX9:BX308">
    <cfRule type="cellIs" dxfId="55" priority="32" stopIfTrue="1" operator="between">
      <formula>0.1</formula>
      <formula>0.15</formula>
    </cfRule>
  </conditionalFormatting>
  <conditionalFormatting sqref="CH9:CH308">
    <cfRule type="cellIs" dxfId="52" priority="33" stopIfTrue="1" operator="greaterThan">
      <formula>$CN$2</formula>
    </cfRule>
  </conditionalFormatting>
  <conditionalFormatting sqref="CH9:CH308">
    <cfRule type="cellIs" dxfId="1" priority="34" stopIfTrue="1" operator="between">
      <formula>0</formula>
      <formula>$CN$2</formula>
    </cfRule>
  </conditionalFormatting>
  <conditionalFormatting sqref="CG9:CG308">
    <cfRule type="cellIs" dxfId="5" priority="35" stopIfTrue="1" operator="equal">
      <formula>"SEM DY"</formula>
    </cfRule>
  </conditionalFormatting>
  <conditionalFormatting sqref="CB9:CB308">
    <cfRule type="cellIs" dxfId="42" priority="36" stopIfTrue="1" operator="lessThanOrEqual">
      <formula>0</formula>
    </cfRule>
  </conditionalFormatting>
  <conditionalFormatting sqref="BX9:BX308">
    <cfRule type="cellIs" dxfId="42" priority="37" stopIfTrue="1" operator="lessThan">
      <formula>0</formula>
    </cfRule>
  </conditionalFormatting>
  <conditionalFormatting sqref="BZ9:BZ308">
    <cfRule type="cellIs" dxfId="42" priority="38" stopIfTrue="1" operator="lessThan">
      <formula>0</formula>
    </cfRule>
  </conditionalFormatting>
  <conditionalFormatting sqref="CH9:CH308">
    <cfRule type="cellIs" dxfId="42" priority="39" stopIfTrue="1" operator="lessThan">
      <formula>0</formula>
    </cfRule>
  </conditionalFormatting>
  <conditionalFormatting sqref="CC9:CC308">
    <cfRule type="cellIs" dxfId="42" priority="40" stopIfTrue="1" operator="lessThan">
      <formula>0</formula>
    </cfRule>
  </conditionalFormatting>
  <conditionalFormatting sqref="CC9:CC308">
    <cfRule type="notContainsBlanks" dxfId="56" priority="41" stopIfTrue="1">
      <formula>LEN(TRIM(CC9))&gt;0</formula>
    </cfRule>
  </conditionalFormatting>
  <conditionalFormatting sqref="CE9:CE308">
    <cfRule type="cellIs" dxfId="1" priority="42" stopIfTrue="1" operator="between">
      <formula>0</formula>
      <formula>0.05</formula>
    </cfRule>
  </conditionalFormatting>
  <conditionalFormatting sqref="CE9:CE308">
    <cfRule type="cellIs" dxfId="52" priority="43" stopIfTrue="1" operator="greaterThanOrEqual">
      <formula>0.05</formula>
    </cfRule>
  </conditionalFormatting>
  <conditionalFormatting sqref="CE9:CE308">
    <cfRule type="cellIs" dxfId="42" priority="44" stopIfTrue="1" operator="lessThan">
      <formula>0</formula>
    </cfRule>
  </conditionalFormatting>
  <conditionalFormatting sqref="CF9:CF308">
    <cfRule type="cellIs" dxfId="55" priority="45" stopIfTrue="1" operator="between">
      <formula>0.04</formula>
      <formula>0.06</formula>
    </cfRule>
  </conditionalFormatting>
  <conditionalFormatting sqref="BW9:BW308">
    <cfRule type="cellIs" dxfId="52" priority="46" stopIfTrue="1" operator="greaterThan">
      <formula>1.5</formula>
    </cfRule>
  </conditionalFormatting>
  <conditionalFormatting sqref="BW9:BW308">
    <cfRule type="cellIs" dxfId="1" priority="47" stopIfTrue="1" operator="lessThanOrEqual">
      <formula>1.5</formula>
    </cfRule>
  </conditionalFormatting>
  <conditionalFormatting sqref="BW9:BW308 CD9:CD308">
    <cfRule type="notContainsBlanks" dxfId="57" priority="48" stopIfTrue="1">
      <formula>LEN(TRIM(BW9))&gt;0</formula>
    </cfRule>
  </conditionalFormatting>
  <conditionalFormatting sqref="BV9:BV308">
    <cfRule type="cellIs" dxfId="52" priority="49" stopIfTrue="1" operator="greaterThan">
      <formula>500</formula>
    </cfRule>
  </conditionalFormatting>
  <conditionalFormatting sqref="BV9:BV308">
    <cfRule type="cellIs" dxfId="1" priority="50" stopIfTrue="1" operator="lessThanOrEqual">
      <formula>500</formula>
    </cfRule>
  </conditionalFormatting>
  <conditionalFormatting sqref="BV9:BV308">
    <cfRule type="notContainsBlanks" dxfId="58" priority="51" stopIfTrue="1">
      <formula>LEN(TRIM(BV9))&gt;0</formula>
    </cfRule>
  </conditionalFormatting>
  <conditionalFormatting sqref="BK9:BL308">
    <cfRule type="containsBlanks" dxfId="11" priority="52" stopIfTrue="1">
      <formula>LEN(TRIM(BK9))=0</formula>
    </cfRule>
  </conditionalFormatting>
  <conditionalFormatting sqref="BK9:BL308">
    <cfRule type="cellIs" dxfId="59" priority="53" stopIfTrue="1" operator="equal">
      <formula>"-"</formula>
    </cfRule>
  </conditionalFormatting>
  <conditionalFormatting sqref="BK9:BL308">
    <cfRule type="expression" dxfId="60" priority="54" stopIfTrue="1">
      <formula>$BL9&lt;=0</formula>
    </cfRule>
  </conditionalFormatting>
  <conditionalFormatting sqref="BK9:BL308">
    <cfRule type="expression" dxfId="61" priority="55" stopIfTrue="1">
      <formula>AND($BL9&gt;0,$BL9&lt;$CN9/2)</formula>
    </cfRule>
  </conditionalFormatting>
  <conditionalFormatting sqref="BK9:BL308">
    <cfRule type="expression" dxfId="62" priority="56" stopIfTrue="1">
      <formula>AND($BL9&gt;=$CN9*0.5,$BL9&lt;$CN9*0.75)</formula>
    </cfRule>
  </conditionalFormatting>
  <conditionalFormatting sqref="BK9:BL308">
    <cfRule type="expression" dxfId="63" priority="57" stopIfTrue="1">
      <formula>AND($BL9&gt;=$CN9*0.75,$BL9&lt;$CN9)</formula>
    </cfRule>
  </conditionalFormatting>
  <conditionalFormatting sqref="BK9:BL308">
    <cfRule type="expression" dxfId="64" priority="58" stopIfTrue="1">
      <formula>$BL9&gt;=$CN9</formula>
    </cfRule>
  </conditionalFormatting>
  <conditionalFormatting sqref="AE9:AF308">
    <cfRule type="expression" dxfId="59" priority="59" stopIfTrue="1">
      <formula>($AE9="NC")</formula>
    </cfRule>
  </conditionalFormatting>
  <conditionalFormatting sqref="AE9:AF308">
    <cfRule type="expression" dxfId="14" priority="60" stopIfTrue="1">
      <formula>$AF9&lt;0</formula>
    </cfRule>
  </conditionalFormatting>
  <conditionalFormatting sqref="AE9:AF308">
    <cfRule type="expression" dxfId="65" priority="61" stopIfTrue="1">
      <formula>$AF9&gt;0</formula>
    </cfRule>
  </conditionalFormatting>
  <conditionalFormatting sqref="AP9:AP308">
    <cfRule type="cellIs" dxfId="66" priority="62" stopIfTrue="1" operator="equal">
      <formula>0</formula>
    </cfRule>
  </conditionalFormatting>
  <conditionalFormatting sqref="AO9:AO308">
    <cfRule type="cellIs" dxfId="2" priority="63" stopIfTrue="1" operator="lessThan">
      <formula>0</formula>
    </cfRule>
  </conditionalFormatting>
  <conditionalFormatting sqref="AO9:AO308">
    <cfRule type="cellIs" dxfId="3" priority="64" stopIfTrue="1" operator="greaterThanOrEqual">
      <formula>0</formula>
    </cfRule>
  </conditionalFormatting>
  <conditionalFormatting sqref="BE9:BE308">
    <cfRule type="cellIs" dxfId="12" priority="65" stopIfTrue="1" operator="lessThanOrEqual">
      <formula>-0.1</formula>
    </cfRule>
  </conditionalFormatting>
  <conditionalFormatting sqref="BE9:BE308">
    <cfRule type="cellIs" dxfId="13" priority="66" stopIfTrue="1" operator="lessThanOrEqual">
      <formula>-0.05</formula>
    </cfRule>
  </conditionalFormatting>
  <conditionalFormatting sqref="BD9:BF308">
    <cfRule type="cellIs" dxfId="14" priority="67" stopIfTrue="1" operator="lessThan">
      <formula>0</formula>
    </cfRule>
  </conditionalFormatting>
  <conditionalFormatting sqref="BD9:BF308">
    <cfRule type="cellIs" dxfId="67" priority="68" stopIfTrue="1" operator="greaterThan">
      <formula>0</formula>
    </cfRule>
  </conditionalFormatting>
  <conditionalFormatting sqref="F9:F308">
    <cfRule type="cellIs" dxfId="68" priority="69" stopIfTrue="1" operator="equal">
      <formula>2</formula>
    </cfRule>
  </conditionalFormatting>
  <conditionalFormatting sqref="F9:F308">
    <cfRule type="cellIs" dxfId="69" priority="70" stopIfTrue="1" operator="greaterThanOrEqual">
      <formula>3</formula>
    </cfRule>
  </conditionalFormatting>
  <conditionalFormatting sqref="D9:E308">
    <cfRule type="containsText" dxfId="70" priority="71" stopIfTrue="1" operator="containsText" text="SIM">
      <formula>NOT(ISERROR(SEARCH(("SIM"),(D9))))</formula>
    </cfRule>
  </conditionalFormatting>
  <conditionalFormatting sqref="F9:F308">
    <cfRule type="cellIs" dxfId="71" priority="72" stopIfTrue="1" operator="equal">
      <formula>1</formula>
    </cfRule>
  </conditionalFormatting>
  <conditionalFormatting sqref="F9:F308">
    <cfRule type="cellIs" dxfId="72" priority="73" stopIfTrue="1" operator="equal">
      <formula>0</formula>
    </cfRule>
  </conditionalFormatting>
  <conditionalFormatting sqref="Z9:AB308">
    <cfRule type="expression" dxfId="59" priority="74" stopIfTrue="1">
      <formula>($Z9="NC")</formula>
    </cfRule>
  </conditionalFormatting>
  <conditionalFormatting sqref="Z9:AB308">
    <cfRule type="expression" dxfId="65" priority="75" stopIfTrue="1">
      <formula>and($AB9&gt;=0,$AB9&lt;1)</formula>
    </cfRule>
  </conditionalFormatting>
  <conditionalFormatting sqref="Z9:AB308">
    <cfRule type="expression" dxfId="14" priority="76" stopIfTrue="1">
      <formula>$AB9&lt;0</formula>
    </cfRule>
  </conditionalFormatting>
  <conditionalFormatting sqref="Z9:AB308">
    <cfRule type="expression" dxfId="67" priority="77" stopIfTrue="1">
      <formula>$AB9&gt;=1</formula>
    </cfRule>
  </conditionalFormatting>
  <conditionalFormatting sqref="AK9:AO308">
    <cfRule type="cellIs" dxfId="65" priority="78" stopIfTrue="1" operator="greaterThan">
      <formula>0</formula>
    </cfRule>
  </conditionalFormatting>
  <conditionalFormatting sqref="AK9:AO308">
    <cfRule type="cellIs" dxfId="14" priority="79" stopIfTrue="1" operator="lessThanOrEqual">
      <formula>0</formula>
    </cfRule>
  </conditionalFormatting>
  <conditionalFormatting sqref="AC9:AC308">
    <cfRule type="expression" dxfId="73" priority="80" stopIfTrue="1">
      <formula>datedif(AA9,today(),"M")&gt;=24</formula>
    </cfRule>
  </conditionalFormatting>
  <conditionalFormatting sqref="AC9:AC308">
    <cfRule type="expression" dxfId="74" priority="81" stopIfTrue="1">
      <formula>datedif(AA9,today(),"M")&gt;=18</formula>
    </cfRule>
  </conditionalFormatting>
  <conditionalFormatting sqref="AC9:AC308">
    <cfRule type="expression" dxfId="75" priority="82" stopIfTrue="1">
      <formula>datedif(AA9,today(),"M")&gt;=12</formula>
    </cfRule>
  </conditionalFormatting>
  <conditionalFormatting sqref="AC9:AC308">
    <cfRule type="expression" dxfId="76" priority="83" stopIfTrue="1">
      <formula>datedif(AA9,today(),"M")&gt;=6</formula>
    </cfRule>
  </conditionalFormatting>
  <conditionalFormatting sqref="AC9:AC308">
    <cfRule type="expression" dxfId="77" priority="84" stopIfTrue="1">
      <formula>datedif(AA9,today(),"M")&gt;=0</formula>
    </cfRule>
  </conditionalFormatting>
  <conditionalFormatting sqref="AS9:AV308 AZ9:BC308">
    <cfRule type="expression" dxfId="65" priority="85" stopIfTrue="1">
      <formula>IF($AU9="Comprar",TRUE)</formula>
    </cfRule>
  </conditionalFormatting>
  <conditionalFormatting sqref="AS9:AV308 AZ9:BC308">
    <cfRule type="expression" dxfId="14" priority="86" stopIfTrue="1">
      <formula>IF($AU9="Vender",TRUE)</formula>
    </cfRule>
  </conditionalFormatting>
  <conditionalFormatting sqref="B9:B308 J9:X308">
    <cfRule type="notContainsBlanks" dxfId="35" priority="87" stopIfTrue="1">
      <formula>LEN(TRIM(B9))&gt;0</formula>
    </cfRule>
  </conditionalFormatting>
  <conditionalFormatting sqref="BN9:BT308">
    <cfRule type="expression" dxfId="78" priority="88" stopIfTrue="1">
      <formula>IF($C9="FII",TRUE)</formula>
    </cfRule>
  </conditionalFormatting>
  <conditionalFormatting sqref="BN9:BT308">
    <cfRule type="notContainsBlanks" dxfId="4" priority="89" stopIfTrue="1">
      <formula>LEN(TRIM(BN9))&gt;0</formula>
    </cfRule>
  </conditionalFormatting>
  <conditionalFormatting sqref="AX9:AX308">
    <cfRule type="cellIs" dxfId="79" priority="90" stopIfTrue="1" operator="notEqual">
      <formula>0</formula>
    </cfRule>
  </conditionalFormatting>
  <conditionalFormatting sqref="BH9:BJ308">
    <cfRule type="cellIs" dxfId="59" priority="91" stopIfTrue="1" operator="equal">
      <formula>"SC"</formula>
    </cfRule>
  </conditionalFormatting>
  <conditionalFormatting sqref="BH9:BJ308">
    <cfRule type="cellIs" dxfId="59" priority="92" stopIfTrue="1" operator="equal">
      <formula>"-"</formula>
    </cfRule>
  </conditionalFormatting>
  <dataValidations>
    <dataValidation type="list" allowBlank="1" sqref="J8:X8">
      <formula1>"Ligado,Desligado"</formula1>
    </dataValidation>
    <dataValidation type="list" allowBlank="1" sqref="AP7">
      <formula1>"Gráfico de barras,Gráfico de linha"</formula1>
    </dataValidation>
    <dataValidation type="list" allowBlank="1" sqref="C5">
      <formula1>"Ranking,Alfabética"</formula1>
    </dataValidation>
    <dataValidation type="list" allowBlank="1" sqref="E5">
      <formula1>"Abertos,Encerrados,Todos"</formula1>
    </dataValidation>
    <dataValidation type="list" allowBlank="1" sqref="BN5:BT5">
      <formula1>$CX$11:$CX$29</formula1>
    </dataValidation>
    <dataValidation type="list" allowBlank="1" sqref="C4">
      <formula1>"BRL,USD,AUD,CAD,CHF,EUR,GBP,GBX,HKD,JPY,SGD"</formula1>
    </dataValidation>
    <dataValidation type="list" allowBlank="1" sqref="BN7:BT7">
      <formula1>$CX$34:$CX$56</formula1>
    </dataValidation>
  </dataValidations>
  <drawing r:id="rId2"/>
  <legacyDrawing r:id="rId3"/>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9900"/>
    <outlinePr summaryBelow="0" summaryRight="0"/>
  </sheetPr>
  <sheetViews>
    <sheetView showGridLines="0" workbookViewId="0"/>
  </sheetViews>
  <sheetFormatPr customHeight="1" defaultColWidth="15.13" defaultRowHeight="15.75" outlineLevelCol="1" outlineLevelRow="1"/>
  <cols>
    <col customWidth="1" min="1" max="1" width="2.63"/>
    <col customWidth="1" min="2" max="2" width="15.13"/>
    <col customWidth="1" min="3" max="5" width="12.63"/>
    <col customWidth="1" min="6" max="8" width="8.63"/>
    <col customWidth="1" min="9" max="9" width="1.13"/>
    <col customWidth="1" min="10" max="10" width="6.0"/>
    <col customWidth="1" min="11" max="11" width="17.0"/>
    <col customWidth="1" min="12" max="12" width="7.63"/>
    <col collapsed="1" customWidth="1" min="13" max="13" width="7.63"/>
    <col customWidth="1" hidden="1" min="14" max="14" width="1.13" outlineLevel="1"/>
    <col customWidth="1" hidden="1" min="15" max="15" width="12.63" outlineLevel="1"/>
    <col customWidth="1" hidden="1" min="16" max="16" width="6.0" outlineLevel="1"/>
    <col customWidth="1" hidden="1" min="17" max="17" width="12.63" outlineLevel="1"/>
    <col customWidth="1" min="18" max="18" width="1.13"/>
    <col customWidth="1" hidden="1" min="19" max="19" width="8.5"/>
    <col customWidth="1" hidden="1" min="20" max="20" width="3.38"/>
    <col customWidth="1" hidden="1" min="21" max="21" width="8.75"/>
    <col customWidth="1" hidden="1" min="22" max="22" width="9.38"/>
    <col customWidth="1" hidden="1" min="23" max="23" width="8.75"/>
    <col customWidth="1" hidden="1" min="24" max="24" width="3.38"/>
    <col customWidth="1" hidden="1" min="25" max="29" width="9.63"/>
    <col customWidth="1" hidden="1" min="30" max="30" width="3.25"/>
    <col customWidth="1" hidden="1" min="31" max="34" width="9.63"/>
    <col customWidth="1" hidden="1" min="35" max="35" width="3.25"/>
    <col customWidth="1" hidden="1" min="36" max="39" width="9.0"/>
    <col customWidth="1" hidden="1" min="40" max="40" width="21.88"/>
    <col customWidth="1" hidden="1" min="41" max="41" width="3.5"/>
    <col customWidth="1" hidden="1" min="42" max="53" width="8.5"/>
    <col customWidth="1" hidden="1" min="54" max="54" width="3.38"/>
    <col customWidth="1" hidden="1" min="55" max="60" width="8.5"/>
    <col customWidth="1" hidden="1" min="61" max="61" width="7.13"/>
    <col customWidth="1" hidden="1" min="62" max="62" width="1.88"/>
    <col customWidth="1" hidden="1" min="63" max="70" width="8.38"/>
    <col customWidth="1" hidden="1" min="71" max="71" width="16.0"/>
    <col customWidth="1" hidden="1" min="72" max="74" width="8.38"/>
    <col customWidth="1" hidden="1" min="75" max="75" width="2.0"/>
  </cols>
  <sheetData>
    <row r="1" ht="22.5" customHeight="1">
      <c r="A1" s="581"/>
      <c r="B1" s="886" t="str">
        <f>HYPERLINK("bit.ly/dlombelloplanilhas","dlombello®planilhas "&amp;leiame!B6)</f>
        <v>dlombello®planilhas v6.4.02</v>
      </c>
      <c r="C1" s="217"/>
      <c r="D1" s="124" t="b">
        <v>0</v>
      </c>
      <c r="E1" s="887" t="s">
        <v>609</v>
      </c>
      <c r="R1" s="888"/>
      <c r="S1" s="889"/>
      <c r="T1" s="890"/>
      <c r="U1" s="890"/>
      <c r="V1" s="890"/>
      <c r="W1" s="891"/>
      <c r="X1" s="890"/>
      <c r="Y1" s="892" t="s">
        <v>610</v>
      </c>
      <c r="AA1" s="893" t="s">
        <v>611</v>
      </c>
      <c r="AB1" s="894"/>
      <c r="AC1" s="895"/>
      <c r="AD1" s="895"/>
      <c r="AE1" s="895"/>
      <c r="AF1" s="895"/>
      <c r="AG1" s="895"/>
      <c r="AH1" s="895"/>
      <c r="AI1" s="895"/>
      <c r="AJ1" s="895"/>
      <c r="AK1" s="895"/>
      <c r="AL1" s="895"/>
      <c r="AM1" s="895"/>
      <c r="AN1" s="896"/>
      <c r="AO1" s="896"/>
      <c r="AP1" s="897"/>
      <c r="AQ1" s="898"/>
      <c r="AR1" s="899"/>
      <c r="AS1" s="899"/>
      <c r="AT1" s="900"/>
      <c r="AU1" s="900"/>
      <c r="AV1" s="900"/>
      <c r="AW1" s="899"/>
      <c r="AX1" s="899"/>
      <c r="AY1" s="899"/>
      <c r="AZ1" s="897"/>
      <c r="BA1" s="897"/>
      <c r="BB1" s="901"/>
      <c r="BC1" s="902"/>
      <c r="BD1" s="902"/>
      <c r="BE1" s="903"/>
      <c r="BF1" s="903"/>
      <c r="BG1" s="902"/>
      <c r="BH1" s="904"/>
      <c r="BI1" s="905"/>
      <c r="BJ1" s="906"/>
      <c r="BK1" s="907" t="s">
        <v>612</v>
      </c>
      <c r="BL1" s="908" t="s">
        <v>613</v>
      </c>
      <c r="BM1" s="909"/>
      <c r="BN1" s="909"/>
      <c r="BO1" s="909"/>
      <c r="BP1" s="721"/>
      <c r="BQ1" s="910"/>
      <c r="BR1" s="910"/>
      <c r="BS1" s="911"/>
      <c r="BT1" s="910"/>
      <c r="BU1" s="910"/>
      <c r="BV1" s="912"/>
      <c r="BW1" s="912"/>
    </row>
    <row r="2" ht="13.5" customHeight="1">
      <c r="A2" s="581"/>
      <c r="B2" s="230"/>
      <c r="C2" s="231"/>
      <c r="S2" s="889"/>
      <c r="T2" s="890"/>
      <c r="U2" s="890"/>
      <c r="V2" s="890"/>
      <c r="W2" s="891"/>
      <c r="X2" s="891"/>
      <c r="Y2" s="891"/>
      <c r="Z2" s="891"/>
      <c r="AA2" s="891"/>
      <c r="AB2" s="895"/>
      <c r="AC2" s="895"/>
      <c r="AD2" s="895"/>
      <c r="AE2" s="895"/>
      <c r="AF2" s="895"/>
      <c r="AG2" s="895"/>
      <c r="AH2" s="895"/>
      <c r="AI2" s="895"/>
      <c r="AJ2" s="895"/>
      <c r="AK2" s="895"/>
      <c r="AL2" s="895"/>
      <c r="AM2" s="895"/>
      <c r="AN2" s="896"/>
      <c r="AO2" s="896"/>
      <c r="AP2" s="897"/>
      <c r="AQ2" s="898"/>
      <c r="AR2" s="899"/>
      <c r="AS2" s="899"/>
      <c r="AT2" s="900"/>
      <c r="AU2" s="900"/>
      <c r="AV2" s="900"/>
      <c r="AW2" s="899"/>
      <c r="AX2" s="899"/>
      <c r="AY2" s="899"/>
      <c r="AZ2" s="897"/>
      <c r="BA2" s="897"/>
      <c r="BB2" s="901"/>
      <c r="BC2" s="902"/>
      <c r="BD2" s="902"/>
      <c r="BE2" s="903"/>
      <c r="BF2" s="903"/>
      <c r="BG2" s="902"/>
      <c r="BH2" s="904"/>
      <c r="BI2" s="905"/>
      <c r="BJ2" s="906"/>
      <c r="BK2" s="907" t="s">
        <v>614</v>
      </c>
      <c r="BL2" s="908" t="s">
        <v>615</v>
      </c>
      <c r="BM2" s="909"/>
      <c r="BN2" s="909"/>
      <c r="BO2" s="909"/>
      <c r="BP2" s="721"/>
      <c r="BQ2" s="910"/>
      <c r="BR2" s="910"/>
      <c r="BS2" s="911"/>
      <c r="BT2" s="910"/>
      <c r="BU2" s="910"/>
      <c r="BV2" s="912"/>
      <c r="BW2" s="912"/>
    </row>
    <row r="3" ht="6.0" customHeight="1" collapsed="1">
      <c r="A3" s="581"/>
      <c r="B3" s="913"/>
      <c r="C3" s="913"/>
      <c r="G3" s="913"/>
      <c r="H3" s="913"/>
      <c r="S3" s="889"/>
      <c r="T3" s="890"/>
      <c r="U3" s="890"/>
      <c r="V3" s="890"/>
      <c r="W3" s="891"/>
      <c r="X3" s="891"/>
      <c r="Y3" s="891"/>
      <c r="Z3" s="891"/>
      <c r="AA3" s="891"/>
      <c r="AB3" s="895"/>
      <c r="AC3" s="895"/>
      <c r="AD3" s="895"/>
      <c r="AE3" s="895"/>
      <c r="AF3" s="895"/>
      <c r="AG3" s="895"/>
      <c r="AH3" s="895"/>
      <c r="AI3" s="895"/>
      <c r="AJ3" s="895"/>
      <c r="AK3" s="895"/>
      <c r="AL3" s="895"/>
      <c r="AM3" s="895"/>
      <c r="AN3" s="896"/>
      <c r="AO3" s="896"/>
      <c r="AP3" s="897"/>
      <c r="AQ3" s="898"/>
      <c r="AR3" s="899"/>
      <c r="AS3" s="899"/>
      <c r="AT3" s="900"/>
      <c r="AU3" s="900"/>
      <c r="AV3" s="900"/>
      <c r="AW3" s="899"/>
      <c r="AX3" s="899"/>
      <c r="AY3" s="899"/>
      <c r="AZ3" s="897"/>
      <c r="BA3" s="897"/>
      <c r="BB3" s="901"/>
      <c r="BC3" s="902"/>
      <c r="BD3" s="902"/>
      <c r="BE3" s="903"/>
      <c r="BF3" s="903"/>
      <c r="BG3" s="902"/>
      <c r="BH3" s="904"/>
      <c r="BI3" s="905"/>
      <c r="BJ3" s="906"/>
      <c r="BK3" s="914"/>
      <c r="BL3" s="910"/>
      <c r="BM3" s="914"/>
      <c r="BN3" s="910"/>
      <c r="BO3" s="910"/>
      <c r="BP3" s="910"/>
      <c r="BQ3" s="910"/>
      <c r="BR3" s="910"/>
      <c r="BS3" s="911"/>
      <c r="BT3" s="910"/>
      <c r="BU3" s="910"/>
      <c r="BV3" s="912"/>
      <c r="BW3" s="912"/>
    </row>
    <row r="4" ht="17.25" hidden="1" customHeight="1" outlineLevel="1">
      <c r="A4" s="581"/>
      <c r="B4" s="915" t="s">
        <v>104</v>
      </c>
      <c r="C4" s="916"/>
      <c r="D4" s="917" t="s">
        <v>616</v>
      </c>
      <c r="E4" s="918"/>
      <c r="F4" s="919" t="s">
        <v>617</v>
      </c>
      <c r="G4" s="919" t="str">
        <f>"ajuste ("&amp;'config.parâmetros'!B8&amp;")"</f>
        <v>ajuste (BRL)</v>
      </c>
      <c r="H4" s="920"/>
      <c r="J4" s="915" t="s">
        <v>216</v>
      </c>
      <c r="K4" s="919" t="s">
        <v>112</v>
      </c>
      <c r="L4" s="919" t="s">
        <v>131</v>
      </c>
      <c r="M4" s="921"/>
      <c r="O4" s="915" t="s">
        <v>352</v>
      </c>
      <c r="P4" s="919" t="s">
        <v>144</v>
      </c>
      <c r="Q4" s="921"/>
      <c r="S4" s="889"/>
      <c r="T4" s="890"/>
      <c r="U4" s="890"/>
      <c r="V4" s="890"/>
      <c r="W4" s="891"/>
      <c r="X4" s="890"/>
      <c r="Y4" s="922" t="s">
        <v>146</v>
      </c>
      <c r="Z4" s="922" t="s">
        <v>618</v>
      </c>
      <c r="AA4" s="897"/>
      <c r="AB4" s="895"/>
      <c r="AC4" s="895"/>
      <c r="AD4" s="895"/>
      <c r="AE4" s="895"/>
      <c r="AF4" s="895"/>
      <c r="AG4" s="895"/>
      <c r="AH4" s="895"/>
      <c r="AI4" s="895"/>
      <c r="AJ4" s="895"/>
      <c r="AK4" s="895"/>
      <c r="AL4" s="895"/>
      <c r="AM4" s="895"/>
      <c r="AN4" s="896"/>
      <c r="AO4" s="896"/>
      <c r="AP4" s="897"/>
      <c r="AQ4" s="898"/>
      <c r="AR4" s="899"/>
      <c r="AS4" s="899"/>
      <c r="AT4" s="900"/>
      <c r="AU4" s="900"/>
      <c r="AV4" s="900"/>
      <c r="AW4" s="899"/>
      <c r="AX4" s="899"/>
      <c r="AY4" s="899"/>
      <c r="AZ4" s="897"/>
      <c r="BA4" s="897"/>
      <c r="BB4" s="901"/>
      <c r="BC4" s="902"/>
      <c r="BD4" s="902"/>
      <c r="BE4" s="903"/>
      <c r="BF4" s="903"/>
      <c r="BG4" s="902"/>
      <c r="BH4" s="904"/>
      <c r="BI4" s="905"/>
      <c r="BJ4" s="906"/>
      <c r="BK4" s="914"/>
      <c r="BL4" s="910"/>
      <c r="BM4" s="914"/>
      <c r="BN4" s="910"/>
      <c r="BO4" s="910"/>
      <c r="BP4" s="910"/>
      <c r="BQ4" s="910"/>
      <c r="BR4" s="910"/>
      <c r="BS4" s="911"/>
      <c r="BT4" s="910"/>
      <c r="BU4" s="910"/>
      <c r="BV4" s="912"/>
      <c r="BW4" s="912"/>
    </row>
    <row r="5" hidden="1" outlineLevel="1">
      <c r="A5" s="581"/>
      <c r="B5" s="923" t="s">
        <v>73</v>
      </c>
      <c r="C5" s="721"/>
      <c r="D5" s="924" t="str">
        <f>IF(OR(NOT(config.books!$BU$1),NOT(S20)),"",config.books!D5)</f>
        <v/>
      </c>
      <c r="E5" s="925" t="str">
        <f>IF(OR(NOT(config.books!$BU$1),NOT(S20)),"",config.books!BP18)</f>
        <v/>
      </c>
      <c r="F5" s="926"/>
      <c r="G5" s="927"/>
      <c r="H5" s="928"/>
      <c r="I5" s="929"/>
      <c r="J5" s="930" t="str">
        <f>IF(OR(NOT(config.books!$BU$1),NOT(S20)),"",1)</f>
        <v/>
      </c>
      <c r="K5" s="931" t="str">
        <f>IF(OR(NOT(config.books!$BU$1),NOT(S20)),"",config.books!BP18)</f>
        <v/>
      </c>
      <c r="L5" s="927" t="str">
        <f>IF(OR(NOT(config.books!$BU$1),NOT(S20)),"",config.books!BO18)</f>
        <v/>
      </c>
      <c r="M5" s="928"/>
      <c r="O5" s="932" t="str">
        <f>IF(OR(NOT(config.books!$BU$1),NOT(S20)),"",config.books!BN18)</f>
        <v/>
      </c>
      <c r="P5" s="933" t="s">
        <v>216</v>
      </c>
      <c r="Q5" s="934" t="str">
        <f>IF(OR(NOT(config.books!$BU$1),NOT(S20)),"",config.books!BV18)</f>
        <v/>
      </c>
      <c r="S5" s="889"/>
      <c r="T5" s="890"/>
      <c r="U5" s="890"/>
      <c r="V5" s="890"/>
      <c r="W5" s="891"/>
      <c r="X5" s="890"/>
      <c r="Y5" s="935" t="s">
        <v>619</v>
      </c>
      <c r="Z5" s="936" t="str">
        <f>" order by Col1"</f>
        <v> order by Col1</v>
      </c>
      <c r="AA5" s="897"/>
      <c r="AB5" s="895"/>
      <c r="AC5" s="895"/>
      <c r="AD5" s="895"/>
      <c r="AE5" s="895"/>
      <c r="AF5" s="895"/>
      <c r="AG5" s="895"/>
      <c r="AH5" s="895"/>
      <c r="AI5" s="895"/>
      <c r="AJ5" s="895"/>
      <c r="AK5" s="895"/>
      <c r="AL5" s="895"/>
      <c r="AM5" s="895"/>
      <c r="AN5" s="896"/>
      <c r="AO5" s="896"/>
      <c r="AP5" s="897"/>
      <c r="AQ5" s="898"/>
      <c r="AR5" s="899"/>
      <c r="AS5" s="899"/>
      <c r="AT5" s="900"/>
      <c r="AU5" s="900"/>
      <c r="AV5" s="900"/>
      <c r="AW5" s="899"/>
      <c r="AX5" s="899"/>
      <c r="AY5" s="899"/>
      <c r="AZ5" s="897"/>
      <c r="BA5" s="897"/>
      <c r="BB5" s="901"/>
      <c r="BC5" s="902"/>
      <c r="BD5" s="902"/>
      <c r="BE5" s="903"/>
      <c r="BF5" s="903"/>
      <c r="BG5" s="902"/>
      <c r="BH5" s="904"/>
      <c r="BI5" s="905"/>
      <c r="BJ5" s="906"/>
      <c r="BK5" s="914"/>
      <c r="BL5" s="910"/>
      <c r="BM5" s="914"/>
      <c r="BN5" s="910"/>
      <c r="BO5" s="910"/>
      <c r="BP5" s="910"/>
      <c r="BQ5" s="910"/>
      <c r="BR5" s="910"/>
      <c r="BS5" s="911"/>
      <c r="BT5" s="910"/>
      <c r="BU5" s="910"/>
      <c r="BV5" s="912"/>
      <c r="BW5" s="912"/>
    </row>
    <row r="6" hidden="1" outlineLevel="1">
      <c r="A6" s="581"/>
      <c r="B6" s="937" t="str">
        <f>IFERROR(__xludf.DUMMYFUNCTION("IF(OR(NOT(config.books!$BU$1),NOT(S20)),"""",QUERY({config.books!BN5:BV14;config.books!BN22:BV24},""select Col2,' ',Col3 where Col1 is not null and (Col5&gt;0 or Col3&gt;0) order by Col9 label ' ' ''""))"),"")</f>
        <v/>
      </c>
      <c r="C6" s="721"/>
      <c r="D6" s="938"/>
      <c r="E6" s="939" t="str">
        <f t="shared" ref="E6:E17" si="1">IF(B6="","",$E$5*D6)</f>
        <v/>
      </c>
      <c r="F6" s="940" t="str">
        <f t="shared" ref="F6:F17" si="2">IF(OR(B6="",B6="RENDA FIXA",B6="RENDA VARIÁVEL",B6="FALTA BOOK"),"",IF(G6&gt;0,"Comprar",IF(G6&lt;0,"Vender","")))</f>
        <v/>
      </c>
      <c r="G6" s="941" t="str">
        <f t="shared" ref="G6:G17" si="3">IF(B6="","",E6-K6)</f>
        <v/>
      </c>
      <c r="H6" s="721"/>
      <c r="I6" s="942"/>
      <c r="J6" s="943" t="str">
        <f>IFERROR(__xludf.DUMMYFUNCTION("IF(OR(NOT(config.books!$BU$1),NOT(S20)),"""",QUERY({config.books!BN5:BX14;config.books!BN22:BX24},""select Col6, Col5, Col11,' ', '  ', Col4, Col8, Col7 where Col1 is not null and (Col5&gt;0 or Col3&gt;0) order by Col9 label ' ' '','  ' ''""))"),"")</f>
        <v/>
      </c>
      <c r="K6" s="944"/>
      <c r="L6" s="945"/>
      <c r="M6" s="946"/>
      <c r="O6" s="947"/>
      <c r="P6" s="947"/>
      <c r="Q6" s="947"/>
      <c r="S6" s="889"/>
      <c r="T6" s="890"/>
      <c r="U6" s="890"/>
      <c r="V6" s="890"/>
      <c r="W6" s="891"/>
      <c r="X6" s="890"/>
      <c r="Y6" s="935" t="s">
        <v>620</v>
      </c>
      <c r="Z6" s="936" t="str">
        <f>" order by Col4 desc,Col5"</f>
        <v> order by Col4 desc,Col5</v>
      </c>
      <c r="AA6" s="897"/>
      <c r="AB6" s="895"/>
      <c r="AC6" s="895"/>
      <c r="AD6" s="895"/>
      <c r="AE6" s="895"/>
      <c r="AF6" s="895"/>
      <c r="AG6" s="895"/>
      <c r="AH6" s="895"/>
      <c r="AI6" s="895"/>
      <c r="AJ6" s="895"/>
      <c r="AK6" s="895"/>
      <c r="AL6" s="895"/>
      <c r="AM6" s="895"/>
      <c r="AN6" s="896"/>
      <c r="AO6" s="896"/>
      <c r="AP6" s="897"/>
      <c r="AQ6" s="898"/>
      <c r="AR6" s="899"/>
      <c r="AS6" s="899"/>
      <c r="AT6" s="900"/>
      <c r="AU6" s="900"/>
      <c r="AV6" s="900"/>
      <c r="AW6" s="899"/>
      <c r="AX6" s="899"/>
      <c r="AY6" s="899"/>
      <c r="AZ6" s="897"/>
      <c r="BA6" s="897"/>
      <c r="BB6" s="901"/>
      <c r="BC6" s="902"/>
      <c r="BD6" s="902"/>
      <c r="BE6" s="903"/>
      <c r="BF6" s="903"/>
      <c r="BG6" s="902"/>
      <c r="BH6" s="904"/>
      <c r="BI6" s="905"/>
      <c r="BJ6" s="906"/>
      <c r="BK6" s="914"/>
      <c r="BL6" s="910"/>
      <c r="BM6" s="914"/>
      <c r="BN6" s="910"/>
      <c r="BO6" s="910"/>
      <c r="BP6" s="910"/>
      <c r="BQ6" s="910"/>
      <c r="BR6" s="910"/>
      <c r="BS6" s="911"/>
      <c r="BT6" s="910"/>
      <c r="BU6" s="910"/>
      <c r="BV6" s="912"/>
      <c r="BW6" s="912"/>
    </row>
    <row r="7" hidden="1" outlineLevel="1">
      <c r="A7" s="581"/>
      <c r="B7" s="937"/>
      <c r="C7" s="721"/>
      <c r="D7" s="938"/>
      <c r="E7" s="939" t="str">
        <f t="shared" si="1"/>
        <v/>
      </c>
      <c r="F7" s="940" t="str">
        <f t="shared" si="2"/>
        <v/>
      </c>
      <c r="G7" s="941" t="str">
        <f t="shared" si="3"/>
        <v/>
      </c>
      <c r="H7" s="721"/>
      <c r="I7" s="942"/>
      <c r="J7" s="943"/>
      <c r="K7" s="944"/>
      <c r="L7" s="945"/>
      <c r="M7" s="946"/>
      <c r="O7" s="947"/>
      <c r="P7" s="947"/>
      <c r="Q7" s="947"/>
      <c r="S7" s="889"/>
      <c r="T7" s="890"/>
      <c r="U7" s="890"/>
      <c r="V7" s="890"/>
      <c r="W7" s="891"/>
      <c r="X7" s="890"/>
      <c r="Y7" s="935" t="s">
        <v>621</v>
      </c>
      <c r="Z7" s="936" t="str">
        <f>" order by Col20 desc"</f>
        <v> order by Col20 desc</v>
      </c>
      <c r="AA7" s="897"/>
      <c r="AB7" s="895"/>
      <c r="AC7" s="895"/>
      <c r="AD7" s="895"/>
      <c r="AE7" s="895"/>
      <c r="AF7" s="895"/>
      <c r="AG7" s="895"/>
      <c r="AH7" s="895"/>
      <c r="AI7" s="895"/>
      <c r="AJ7" s="895"/>
      <c r="AK7" s="895"/>
      <c r="AL7" s="895"/>
      <c r="AM7" s="895"/>
      <c r="AN7" s="896"/>
      <c r="AO7" s="896"/>
      <c r="AP7" s="897"/>
      <c r="AQ7" s="898"/>
      <c r="AR7" s="899"/>
      <c r="AS7" s="899"/>
      <c r="AT7" s="900"/>
      <c r="AU7" s="900"/>
      <c r="AV7" s="900"/>
      <c r="AW7" s="899"/>
      <c r="AX7" s="899"/>
      <c r="AY7" s="899"/>
      <c r="AZ7" s="897"/>
      <c r="BA7" s="897"/>
      <c r="BB7" s="901"/>
      <c r="BC7" s="902"/>
      <c r="BD7" s="902"/>
      <c r="BE7" s="903"/>
      <c r="BF7" s="903"/>
      <c r="BG7" s="902"/>
      <c r="BH7" s="904"/>
      <c r="BI7" s="905"/>
      <c r="BJ7" s="906"/>
      <c r="BK7" s="914"/>
      <c r="BL7" s="910"/>
      <c r="BM7" s="914"/>
      <c r="BN7" s="910"/>
      <c r="BO7" s="910"/>
      <c r="BP7" s="910"/>
      <c r="BQ7" s="910"/>
      <c r="BR7" s="910"/>
      <c r="BS7" s="911"/>
      <c r="BT7" s="910"/>
      <c r="BU7" s="910"/>
      <c r="BV7" s="912"/>
      <c r="BW7" s="912"/>
    </row>
    <row r="8" hidden="1" outlineLevel="1">
      <c r="A8" s="581"/>
      <c r="B8" s="937"/>
      <c r="C8" s="721"/>
      <c r="D8" s="938"/>
      <c r="E8" s="939" t="str">
        <f t="shared" si="1"/>
        <v/>
      </c>
      <c r="F8" s="940" t="str">
        <f t="shared" si="2"/>
        <v/>
      </c>
      <c r="G8" s="941" t="str">
        <f t="shared" si="3"/>
        <v/>
      </c>
      <c r="H8" s="721"/>
      <c r="I8" s="942"/>
      <c r="J8" s="943"/>
      <c r="K8" s="944"/>
      <c r="L8" s="945"/>
      <c r="M8" s="946"/>
      <c r="O8" s="947"/>
      <c r="P8" s="947"/>
      <c r="Q8" s="947"/>
      <c r="S8" s="889"/>
      <c r="T8" s="890"/>
      <c r="U8" s="890"/>
      <c r="V8" s="890"/>
      <c r="W8" s="891"/>
      <c r="X8" s="890"/>
      <c r="Y8" s="936"/>
      <c r="Z8" s="936"/>
      <c r="AA8" s="897"/>
      <c r="AB8" s="895"/>
      <c r="AC8" s="895"/>
      <c r="AD8" s="895"/>
      <c r="AE8" s="895"/>
      <c r="AF8" s="895"/>
      <c r="AG8" s="895"/>
      <c r="AH8" s="895"/>
      <c r="AI8" s="895"/>
      <c r="AJ8" s="895"/>
      <c r="AK8" s="895"/>
      <c r="AL8" s="895"/>
      <c r="AM8" s="895"/>
      <c r="AN8" s="896"/>
      <c r="AO8" s="896"/>
      <c r="AP8" s="897"/>
      <c r="AQ8" s="898"/>
      <c r="AR8" s="899"/>
      <c r="AS8" s="899"/>
      <c r="AT8" s="900"/>
      <c r="AU8" s="900"/>
      <c r="AV8" s="900"/>
      <c r="AW8" s="899"/>
      <c r="AX8" s="899"/>
      <c r="AY8" s="899"/>
      <c r="AZ8" s="897"/>
      <c r="BA8" s="897"/>
      <c r="BB8" s="901"/>
      <c r="BC8" s="902"/>
      <c r="BD8" s="902"/>
      <c r="BE8" s="903"/>
      <c r="BF8" s="903"/>
      <c r="BG8" s="902"/>
      <c r="BH8" s="904"/>
      <c r="BI8" s="905"/>
      <c r="BJ8" s="906"/>
      <c r="BK8" s="914"/>
      <c r="BL8" s="910"/>
      <c r="BM8" s="914"/>
      <c r="BN8" s="910"/>
      <c r="BO8" s="910"/>
      <c r="BP8" s="910"/>
      <c r="BQ8" s="910"/>
      <c r="BR8" s="910"/>
      <c r="BS8" s="911"/>
      <c r="BT8" s="910"/>
      <c r="BU8" s="910"/>
      <c r="BV8" s="912"/>
      <c r="BW8" s="912"/>
    </row>
    <row r="9" hidden="1" outlineLevel="1">
      <c r="A9" s="581"/>
      <c r="B9" s="937"/>
      <c r="C9" s="721"/>
      <c r="D9" s="938"/>
      <c r="E9" s="939" t="str">
        <f t="shared" si="1"/>
        <v/>
      </c>
      <c r="F9" s="940" t="str">
        <f t="shared" si="2"/>
        <v/>
      </c>
      <c r="G9" s="941" t="str">
        <f t="shared" si="3"/>
        <v/>
      </c>
      <c r="H9" s="721"/>
      <c r="I9" s="942"/>
      <c r="J9" s="943"/>
      <c r="K9" s="944"/>
      <c r="L9" s="945"/>
      <c r="M9" s="946"/>
      <c r="O9" s="947"/>
      <c r="P9" s="947"/>
      <c r="Q9" s="947"/>
      <c r="S9" s="889"/>
      <c r="T9" s="890"/>
      <c r="U9" s="890"/>
      <c r="V9" s="890"/>
      <c r="W9" s="891"/>
      <c r="X9" s="890"/>
      <c r="Y9" s="936"/>
      <c r="Z9" s="936"/>
      <c r="AA9" s="897"/>
      <c r="AB9" s="895"/>
      <c r="AC9" s="895"/>
      <c r="AD9" s="895"/>
      <c r="AE9" s="895"/>
      <c r="AF9" s="895"/>
      <c r="AG9" s="895"/>
      <c r="AH9" s="895"/>
      <c r="AI9" s="895"/>
      <c r="AJ9" s="895"/>
      <c r="AK9" s="895"/>
      <c r="AL9" s="895"/>
      <c r="AM9" s="895"/>
      <c r="AN9" s="896"/>
      <c r="AO9" s="896"/>
      <c r="AP9" s="897"/>
      <c r="AQ9" s="898"/>
      <c r="AR9" s="899"/>
      <c r="AS9" s="899"/>
      <c r="AT9" s="900"/>
      <c r="AU9" s="900"/>
      <c r="AV9" s="900"/>
      <c r="AW9" s="899"/>
      <c r="AX9" s="899"/>
      <c r="AY9" s="899"/>
      <c r="AZ9" s="897"/>
      <c r="BA9" s="897"/>
      <c r="BB9" s="901"/>
      <c r="BC9" s="902"/>
      <c r="BD9" s="902"/>
      <c r="BE9" s="903"/>
      <c r="BF9" s="903"/>
      <c r="BG9" s="902"/>
      <c r="BH9" s="904"/>
      <c r="BI9" s="905"/>
      <c r="BJ9" s="906"/>
      <c r="BK9" s="914"/>
      <c r="BL9" s="910"/>
      <c r="BM9" s="914"/>
      <c r="BN9" s="910"/>
      <c r="BO9" s="910"/>
      <c r="BP9" s="910"/>
      <c r="BQ9" s="910"/>
      <c r="BR9" s="910"/>
      <c r="BS9" s="911"/>
      <c r="BT9" s="910"/>
      <c r="BU9" s="910"/>
      <c r="BV9" s="912"/>
      <c r="BW9" s="912"/>
    </row>
    <row r="10" hidden="1" outlineLevel="1">
      <c r="A10" s="581"/>
      <c r="B10" s="937"/>
      <c r="C10" s="721"/>
      <c r="D10" s="938"/>
      <c r="E10" s="939" t="str">
        <f t="shared" si="1"/>
        <v/>
      </c>
      <c r="F10" s="940" t="str">
        <f t="shared" si="2"/>
        <v/>
      </c>
      <c r="G10" s="941" t="str">
        <f t="shared" si="3"/>
        <v/>
      </c>
      <c r="H10" s="721"/>
      <c r="I10" s="942"/>
      <c r="J10" s="943"/>
      <c r="K10" s="944"/>
      <c r="L10" s="945"/>
      <c r="M10" s="946"/>
      <c r="O10" s="947"/>
      <c r="P10" s="947"/>
      <c r="Q10" s="947"/>
      <c r="S10" s="889"/>
      <c r="T10" s="890"/>
      <c r="U10" s="890"/>
      <c r="V10" s="890"/>
      <c r="W10" s="891"/>
      <c r="X10" s="890"/>
      <c r="Y10" s="936"/>
      <c r="Z10" s="936"/>
      <c r="AA10" s="897"/>
      <c r="AB10" s="895"/>
      <c r="AC10" s="895"/>
      <c r="AD10" s="895"/>
      <c r="AE10" s="895"/>
      <c r="AF10" s="895"/>
      <c r="AG10" s="895"/>
      <c r="AH10" s="895"/>
      <c r="AI10" s="895"/>
      <c r="AJ10" s="895"/>
      <c r="AK10" s="895"/>
      <c r="AL10" s="895"/>
      <c r="AM10" s="895"/>
      <c r="AN10" s="896"/>
      <c r="AO10" s="896"/>
      <c r="AP10" s="897"/>
      <c r="AQ10" s="898"/>
      <c r="AR10" s="899"/>
      <c r="AS10" s="899"/>
      <c r="AT10" s="900"/>
      <c r="AU10" s="900"/>
      <c r="AV10" s="900"/>
      <c r="AW10" s="899"/>
      <c r="AX10" s="899"/>
      <c r="AY10" s="899"/>
      <c r="AZ10" s="897"/>
      <c r="BA10" s="897"/>
      <c r="BB10" s="901"/>
      <c r="BC10" s="902"/>
      <c r="BD10" s="902"/>
      <c r="BE10" s="903"/>
      <c r="BF10" s="903"/>
      <c r="BG10" s="902"/>
      <c r="BH10" s="904"/>
      <c r="BI10" s="905"/>
      <c r="BJ10" s="906"/>
      <c r="BK10" s="914"/>
      <c r="BL10" s="910"/>
      <c r="BM10" s="914"/>
      <c r="BN10" s="910"/>
      <c r="BO10" s="910"/>
      <c r="BP10" s="910"/>
      <c r="BQ10" s="910"/>
      <c r="BR10" s="910"/>
      <c r="BS10" s="911"/>
      <c r="BT10" s="910"/>
      <c r="BU10" s="910"/>
      <c r="BV10" s="912"/>
      <c r="BW10" s="912"/>
    </row>
    <row r="11" hidden="1" outlineLevel="1">
      <c r="A11" s="581"/>
      <c r="B11" s="937"/>
      <c r="C11" s="721"/>
      <c r="D11" s="938"/>
      <c r="E11" s="939" t="str">
        <f t="shared" si="1"/>
        <v/>
      </c>
      <c r="F11" s="940" t="str">
        <f t="shared" si="2"/>
        <v/>
      </c>
      <c r="G11" s="941" t="str">
        <f t="shared" si="3"/>
        <v/>
      </c>
      <c r="H11" s="721"/>
      <c r="I11" s="942"/>
      <c r="J11" s="943"/>
      <c r="K11" s="944"/>
      <c r="L11" s="945"/>
      <c r="M11" s="946"/>
      <c r="O11" s="947"/>
      <c r="P11" s="947"/>
      <c r="Q11" s="947"/>
      <c r="S11" s="889"/>
      <c r="T11" s="890"/>
      <c r="U11" s="890"/>
      <c r="V11" s="890"/>
      <c r="W11" s="891"/>
      <c r="X11" s="890"/>
      <c r="Y11" s="936"/>
      <c r="Z11" s="936"/>
      <c r="AA11" s="897"/>
      <c r="AB11" s="895"/>
      <c r="AC11" s="895"/>
      <c r="AD11" s="895"/>
      <c r="AE11" s="895"/>
      <c r="AF11" s="895"/>
      <c r="AG11" s="895"/>
      <c r="AH11" s="895"/>
      <c r="AI11" s="895"/>
      <c r="AJ11" s="895"/>
      <c r="AK11" s="895"/>
      <c r="AL11" s="895"/>
      <c r="AM11" s="895"/>
      <c r="AN11" s="896"/>
      <c r="AO11" s="896"/>
      <c r="AP11" s="897"/>
      <c r="AQ11" s="898"/>
      <c r="AR11" s="899"/>
      <c r="AS11" s="899"/>
      <c r="AT11" s="900"/>
      <c r="AU11" s="900"/>
      <c r="AV11" s="900"/>
      <c r="AW11" s="899"/>
      <c r="AX11" s="899"/>
      <c r="AY11" s="899"/>
      <c r="AZ11" s="897"/>
      <c r="BA11" s="897"/>
      <c r="BB11" s="901"/>
      <c r="BC11" s="902"/>
      <c r="BD11" s="902"/>
      <c r="BE11" s="903"/>
      <c r="BF11" s="903"/>
      <c r="BG11" s="902"/>
      <c r="BH11" s="904"/>
      <c r="BI11" s="905"/>
      <c r="BJ11" s="906"/>
      <c r="BK11" s="914"/>
      <c r="BL11" s="910"/>
      <c r="BM11" s="914"/>
      <c r="BN11" s="910"/>
      <c r="BO11" s="910"/>
      <c r="BP11" s="910"/>
      <c r="BQ11" s="910"/>
      <c r="BR11" s="910"/>
      <c r="BS11" s="911"/>
      <c r="BT11" s="910"/>
      <c r="BU11" s="910"/>
      <c r="BV11" s="912"/>
      <c r="BW11" s="912"/>
    </row>
    <row r="12" hidden="1" outlineLevel="1">
      <c r="A12" s="581"/>
      <c r="B12" s="937"/>
      <c r="C12" s="721"/>
      <c r="D12" s="938"/>
      <c r="E12" s="939" t="str">
        <f t="shared" si="1"/>
        <v/>
      </c>
      <c r="F12" s="940" t="str">
        <f t="shared" si="2"/>
        <v/>
      </c>
      <c r="G12" s="941" t="str">
        <f t="shared" si="3"/>
        <v/>
      </c>
      <c r="H12" s="721"/>
      <c r="I12" s="942"/>
      <c r="J12" s="943"/>
      <c r="K12" s="944"/>
      <c r="L12" s="945"/>
      <c r="M12" s="946"/>
      <c r="O12" s="947"/>
      <c r="P12" s="947"/>
      <c r="Q12" s="947"/>
      <c r="S12" s="889"/>
      <c r="T12" s="890"/>
      <c r="U12" s="890"/>
      <c r="V12" s="890"/>
      <c r="W12" s="891"/>
      <c r="X12" s="890"/>
      <c r="Y12" s="936"/>
      <c r="Z12" s="936"/>
      <c r="AA12" s="897"/>
      <c r="AB12" s="895"/>
      <c r="AC12" s="895"/>
      <c r="AD12" s="895"/>
      <c r="AE12" s="895"/>
      <c r="AF12" s="895"/>
      <c r="AG12" s="895"/>
      <c r="AH12" s="895"/>
      <c r="AI12" s="895"/>
      <c r="AJ12" s="895"/>
      <c r="AK12" s="895"/>
      <c r="AL12" s="895"/>
      <c r="AM12" s="895"/>
      <c r="AN12" s="896"/>
      <c r="AO12" s="896"/>
      <c r="AP12" s="897"/>
      <c r="AQ12" s="898"/>
      <c r="AR12" s="899"/>
      <c r="AS12" s="899"/>
      <c r="AT12" s="900"/>
      <c r="AU12" s="900"/>
      <c r="AV12" s="900"/>
      <c r="AW12" s="899"/>
      <c r="AX12" s="899"/>
      <c r="AY12" s="899"/>
      <c r="AZ12" s="897"/>
      <c r="BA12" s="897"/>
      <c r="BB12" s="901"/>
      <c r="BC12" s="902"/>
      <c r="BD12" s="902"/>
      <c r="BE12" s="903"/>
      <c r="BF12" s="903"/>
      <c r="BG12" s="902"/>
      <c r="BH12" s="904"/>
      <c r="BI12" s="905"/>
      <c r="BJ12" s="906"/>
      <c r="BK12" s="914"/>
      <c r="BL12" s="910"/>
      <c r="BM12" s="914"/>
      <c r="BN12" s="910"/>
      <c r="BO12" s="910"/>
      <c r="BP12" s="910"/>
      <c r="BQ12" s="910"/>
      <c r="BR12" s="910"/>
      <c r="BS12" s="911"/>
      <c r="BT12" s="910"/>
      <c r="BU12" s="910"/>
      <c r="BV12" s="912"/>
      <c r="BW12" s="912"/>
    </row>
    <row r="13" hidden="1" outlineLevel="1">
      <c r="A13" s="581"/>
      <c r="B13" s="937"/>
      <c r="C13" s="721"/>
      <c r="D13" s="938"/>
      <c r="E13" s="939" t="str">
        <f t="shared" si="1"/>
        <v/>
      </c>
      <c r="F13" s="940" t="str">
        <f t="shared" si="2"/>
        <v/>
      </c>
      <c r="G13" s="941" t="str">
        <f t="shared" si="3"/>
        <v/>
      </c>
      <c r="H13" s="721"/>
      <c r="I13" s="942"/>
      <c r="J13" s="943"/>
      <c r="K13" s="944"/>
      <c r="L13" s="945"/>
      <c r="M13" s="946"/>
      <c r="O13" s="947"/>
      <c r="P13" s="947"/>
      <c r="Q13" s="947"/>
      <c r="S13" s="889"/>
      <c r="T13" s="890"/>
      <c r="U13" s="890"/>
      <c r="V13" s="890"/>
      <c r="W13" s="891"/>
      <c r="X13" s="890"/>
      <c r="Y13" s="936"/>
      <c r="Z13" s="936"/>
      <c r="AA13" s="897"/>
      <c r="AB13" s="895"/>
      <c r="AC13" s="895"/>
      <c r="AD13" s="895"/>
      <c r="AE13" s="895"/>
      <c r="AF13" s="895"/>
      <c r="AG13" s="895"/>
      <c r="AH13" s="895"/>
      <c r="AI13" s="895"/>
      <c r="AJ13" s="895"/>
      <c r="AK13" s="895"/>
      <c r="AL13" s="895"/>
      <c r="AM13" s="895"/>
      <c r="AN13" s="896"/>
      <c r="AO13" s="896"/>
      <c r="AP13" s="897"/>
      <c r="AQ13" s="898"/>
      <c r="AR13" s="899"/>
      <c r="AS13" s="899"/>
      <c r="AT13" s="900"/>
      <c r="AU13" s="900"/>
      <c r="AV13" s="900"/>
      <c r="AW13" s="899"/>
      <c r="AX13" s="899"/>
      <c r="AY13" s="899"/>
      <c r="AZ13" s="897"/>
      <c r="BA13" s="897"/>
      <c r="BB13" s="901"/>
      <c r="BC13" s="902"/>
      <c r="BD13" s="902"/>
      <c r="BE13" s="903"/>
      <c r="BF13" s="903"/>
      <c r="BG13" s="902"/>
      <c r="BH13" s="904"/>
      <c r="BI13" s="905"/>
      <c r="BJ13" s="906"/>
      <c r="BK13" s="914"/>
      <c r="BL13" s="910"/>
      <c r="BM13" s="914"/>
      <c r="BN13" s="910"/>
      <c r="BO13" s="910"/>
      <c r="BP13" s="910"/>
      <c r="BQ13" s="910"/>
      <c r="BR13" s="910"/>
      <c r="BS13" s="911"/>
      <c r="BT13" s="910"/>
      <c r="BU13" s="948" t="s">
        <v>622</v>
      </c>
      <c r="BV13" s="912"/>
      <c r="BW13" s="912"/>
    </row>
    <row r="14" hidden="1" outlineLevel="1">
      <c r="A14" s="581"/>
      <c r="B14" s="937"/>
      <c r="C14" s="721"/>
      <c r="D14" s="938"/>
      <c r="E14" s="939" t="str">
        <f t="shared" si="1"/>
        <v/>
      </c>
      <c r="F14" s="940" t="str">
        <f t="shared" si="2"/>
        <v/>
      </c>
      <c r="G14" s="941" t="str">
        <f t="shared" si="3"/>
        <v/>
      </c>
      <c r="H14" s="721"/>
      <c r="I14" s="942"/>
      <c r="J14" s="943"/>
      <c r="K14" s="944"/>
      <c r="L14" s="945"/>
      <c r="M14" s="946"/>
      <c r="O14" s="947"/>
      <c r="P14" s="947"/>
      <c r="Q14" s="947"/>
      <c r="S14" s="889"/>
      <c r="T14" s="890"/>
      <c r="U14" s="890"/>
      <c r="V14" s="890"/>
      <c r="W14" s="891"/>
      <c r="X14" s="890"/>
      <c r="Y14" s="936"/>
      <c r="Z14" s="936"/>
      <c r="AA14" s="897"/>
      <c r="AB14" s="895"/>
      <c r="AC14" s="895"/>
      <c r="AD14" s="895"/>
      <c r="AE14" s="895"/>
      <c r="AF14" s="895"/>
      <c r="AG14" s="895"/>
      <c r="AH14" s="895"/>
      <c r="AI14" s="895"/>
      <c r="AJ14" s="895"/>
      <c r="AK14" s="895"/>
      <c r="AL14" s="895"/>
      <c r="AM14" s="895"/>
      <c r="AN14" s="896"/>
      <c r="AO14" s="896"/>
      <c r="AP14" s="897"/>
      <c r="AQ14" s="898"/>
      <c r="AR14" s="899"/>
      <c r="AS14" s="899"/>
      <c r="AT14" s="900"/>
      <c r="AU14" s="900"/>
      <c r="AV14" s="900"/>
      <c r="AW14" s="899"/>
      <c r="AX14" s="899"/>
      <c r="AY14" s="899"/>
      <c r="AZ14" s="897"/>
      <c r="BA14" s="897"/>
      <c r="BB14" s="901"/>
      <c r="BC14" s="902"/>
      <c r="BD14" s="902"/>
      <c r="BE14" s="903"/>
      <c r="BF14" s="903"/>
      <c r="BG14" s="902"/>
      <c r="BH14" s="904"/>
      <c r="BI14" s="905"/>
      <c r="BJ14" s="906"/>
      <c r="BK14" s="914"/>
      <c r="BL14" s="910"/>
      <c r="BM14" s="914"/>
      <c r="BN14" s="910"/>
      <c r="BO14" s="910"/>
      <c r="BP14" s="910"/>
      <c r="BQ14" s="910"/>
      <c r="BR14" s="910"/>
      <c r="BS14" s="911"/>
      <c r="BT14" s="910"/>
      <c r="BU14" s="949" t="s">
        <v>117</v>
      </c>
      <c r="BV14" s="912"/>
      <c r="BW14" s="912"/>
    </row>
    <row r="15" hidden="1" outlineLevel="1">
      <c r="A15" s="581"/>
      <c r="B15" s="937"/>
      <c r="C15" s="721"/>
      <c r="D15" s="938"/>
      <c r="E15" s="939" t="str">
        <f t="shared" si="1"/>
        <v/>
      </c>
      <c r="F15" s="940" t="str">
        <f t="shared" si="2"/>
        <v/>
      </c>
      <c r="G15" s="941" t="str">
        <f t="shared" si="3"/>
        <v/>
      </c>
      <c r="H15" s="721"/>
      <c r="I15" s="942"/>
      <c r="J15" s="943"/>
      <c r="K15" s="944"/>
      <c r="L15" s="945"/>
      <c r="M15" s="946"/>
      <c r="O15" s="947"/>
      <c r="P15" s="947"/>
      <c r="Q15" s="947"/>
      <c r="S15" s="889"/>
      <c r="T15" s="890"/>
      <c r="U15" s="890"/>
      <c r="V15" s="890"/>
      <c r="W15" s="891"/>
      <c r="X15" s="890"/>
      <c r="Y15" s="936"/>
      <c r="Z15" s="936"/>
      <c r="AA15" s="897"/>
      <c r="AB15" s="895"/>
      <c r="AC15" s="895"/>
      <c r="AD15" s="895"/>
      <c r="AE15" s="895"/>
      <c r="AF15" s="895"/>
      <c r="AG15" s="895"/>
      <c r="AH15" s="895"/>
      <c r="AI15" s="895"/>
      <c r="AJ15" s="895"/>
      <c r="AK15" s="895"/>
      <c r="AL15" s="895"/>
      <c r="AM15" s="895"/>
      <c r="AN15" s="896"/>
      <c r="AO15" s="896"/>
      <c r="AP15" s="897"/>
      <c r="AQ15" s="898"/>
      <c r="AR15" s="899"/>
      <c r="AS15" s="899"/>
      <c r="AT15" s="900"/>
      <c r="AU15" s="900"/>
      <c r="AV15" s="900"/>
      <c r="AW15" s="899"/>
      <c r="AX15" s="899"/>
      <c r="AY15" s="899"/>
      <c r="AZ15" s="897"/>
      <c r="BA15" s="897"/>
      <c r="BB15" s="901"/>
      <c r="BC15" s="902"/>
      <c r="BD15" s="902"/>
      <c r="BE15" s="903"/>
      <c r="BF15" s="903"/>
      <c r="BG15" s="902"/>
      <c r="BH15" s="904"/>
      <c r="BI15" s="905"/>
      <c r="BJ15" s="906"/>
      <c r="BK15" s="914"/>
      <c r="BL15" s="910"/>
      <c r="BM15" s="914"/>
      <c r="BN15" s="910"/>
      <c r="BO15" s="910"/>
      <c r="BP15" s="910"/>
      <c r="BQ15" s="910"/>
      <c r="BR15" s="910"/>
      <c r="BS15" s="911"/>
      <c r="BT15" s="910"/>
      <c r="BU15" s="949" t="s">
        <v>499</v>
      </c>
      <c r="BV15" s="912"/>
      <c r="BW15" s="912"/>
    </row>
    <row r="16" hidden="1" outlineLevel="1">
      <c r="A16" s="581"/>
      <c r="B16" s="937"/>
      <c r="C16" s="721"/>
      <c r="D16" s="938"/>
      <c r="E16" s="939" t="str">
        <f t="shared" si="1"/>
        <v/>
      </c>
      <c r="F16" s="940" t="str">
        <f t="shared" si="2"/>
        <v/>
      </c>
      <c r="G16" s="941" t="str">
        <f t="shared" si="3"/>
        <v/>
      </c>
      <c r="H16" s="721"/>
      <c r="I16" s="942"/>
      <c r="J16" s="943"/>
      <c r="K16" s="944"/>
      <c r="L16" s="945"/>
      <c r="M16" s="946"/>
      <c r="O16" s="947"/>
      <c r="P16" s="947"/>
      <c r="Q16" s="947"/>
      <c r="S16" s="889"/>
      <c r="T16" s="890"/>
      <c r="U16" s="890"/>
      <c r="V16" s="890">
        <f>IFERROR(FIND("(A)",P25),0)</f>
        <v>0</v>
      </c>
      <c r="W16" s="891"/>
      <c r="X16" s="890"/>
      <c r="Y16" s="936"/>
      <c r="Z16" s="936"/>
      <c r="AA16" s="897"/>
      <c r="AB16" s="895"/>
      <c r="AC16" s="895"/>
      <c r="AD16" s="895"/>
      <c r="AE16" s="895"/>
      <c r="AF16" s="895"/>
      <c r="AG16" s="895"/>
      <c r="AH16" s="895"/>
      <c r="AI16" s="895"/>
      <c r="AJ16" s="895"/>
      <c r="AK16" s="895"/>
      <c r="AL16" s="895"/>
      <c r="AM16" s="895"/>
      <c r="AN16" s="896"/>
      <c r="AO16" s="896"/>
      <c r="AP16" s="897"/>
      <c r="AQ16" s="898"/>
      <c r="AR16" s="899"/>
      <c r="AS16" s="899"/>
      <c r="AT16" s="900"/>
      <c r="AU16" s="900"/>
      <c r="AV16" s="900"/>
      <c r="AW16" s="899"/>
      <c r="AX16" s="899"/>
      <c r="AY16" s="899"/>
      <c r="AZ16" s="897"/>
      <c r="BA16" s="897"/>
      <c r="BB16" s="901"/>
      <c r="BC16" s="902"/>
      <c r="BD16" s="902"/>
      <c r="BE16" s="903"/>
      <c r="BF16" s="903"/>
      <c r="BG16" s="902"/>
      <c r="BH16" s="904"/>
      <c r="BI16" s="905"/>
      <c r="BJ16" s="906"/>
      <c r="BK16" s="914"/>
      <c r="BL16" s="910"/>
      <c r="BM16" s="914"/>
      <c r="BN16" s="910"/>
      <c r="BO16" s="910"/>
      <c r="BP16" s="910"/>
      <c r="BQ16" s="910"/>
      <c r="BR16" s="910"/>
      <c r="BS16" s="911"/>
      <c r="BT16" s="910"/>
      <c r="BU16" s="949" t="s">
        <v>623</v>
      </c>
      <c r="BV16" s="912"/>
      <c r="BW16" s="912"/>
    </row>
    <row r="17" hidden="1" outlineLevel="1">
      <c r="A17" s="581"/>
      <c r="B17" s="937"/>
      <c r="C17" s="721"/>
      <c r="D17" s="938"/>
      <c r="E17" s="939" t="str">
        <f t="shared" si="1"/>
        <v/>
      </c>
      <c r="F17" s="940" t="str">
        <f t="shared" si="2"/>
        <v/>
      </c>
      <c r="G17" s="941" t="str">
        <f t="shared" si="3"/>
        <v/>
      </c>
      <c r="H17" s="721"/>
      <c r="I17" s="942"/>
      <c r="J17" s="943"/>
      <c r="K17" s="944"/>
      <c r="L17" s="945"/>
      <c r="M17" s="946"/>
      <c r="O17" s="947"/>
      <c r="P17" s="947"/>
      <c r="Q17" s="947"/>
      <c r="S17" s="889"/>
      <c r="T17" s="890"/>
      <c r="U17" s="890"/>
      <c r="V17" s="890"/>
      <c r="W17" s="891"/>
      <c r="X17" s="890"/>
      <c r="Y17" s="936"/>
      <c r="Z17" s="936"/>
      <c r="AA17" s="897"/>
      <c r="AB17" s="895"/>
      <c r="AC17" s="895"/>
      <c r="AD17" s="895"/>
      <c r="AE17" s="895"/>
      <c r="AF17" s="895"/>
      <c r="AG17" s="895"/>
      <c r="AH17" s="895"/>
      <c r="AI17" s="895"/>
      <c r="AJ17" s="895"/>
      <c r="AK17" s="895"/>
      <c r="AL17" s="895"/>
      <c r="AM17" s="895"/>
      <c r="AN17" s="896"/>
      <c r="AO17" s="896"/>
      <c r="AP17" s="897"/>
      <c r="AQ17" s="898"/>
      <c r="AR17" s="899"/>
      <c r="AS17" s="899"/>
      <c r="AT17" s="900"/>
      <c r="AU17" s="900"/>
      <c r="AV17" s="900"/>
      <c r="AW17" s="899"/>
      <c r="AX17" s="899"/>
      <c r="AY17" s="899"/>
      <c r="AZ17" s="897"/>
      <c r="BA17" s="897"/>
      <c r="BB17" s="901"/>
      <c r="BC17" s="902"/>
      <c r="BD17" s="902"/>
      <c r="BE17" s="903"/>
      <c r="BF17" s="903"/>
      <c r="BG17" s="902"/>
      <c r="BH17" s="904"/>
      <c r="BI17" s="905"/>
      <c r="BJ17" s="906"/>
      <c r="BK17" s="914"/>
      <c r="BL17" s="910"/>
      <c r="BM17" s="914"/>
      <c r="BN17" s="910"/>
      <c r="BO17" s="910"/>
      <c r="BP17" s="910"/>
      <c r="BQ17" s="910"/>
      <c r="BR17" s="910">
        <f>IFERROR(MATCH(BI28,$BU$14:$BU$17,0),0)</f>
        <v>0</v>
      </c>
      <c r="BS17" s="911"/>
      <c r="BT17" s="910"/>
      <c r="BU17" s="907"/>
      <c r="BV17" s="912"/>
      <c r="BW17" s="912"/>
    </row>
    <row r="18" ht="6.75" hidden="1" customHeight="1" outlineLevel="1">
      <c r="A18" s="581"/>
      <c r="B18" s="913"/>
      <c r="C18" s="913"/>
      <c r="D18" s="950"/>
      <c r="E18" s="913"/>
      <c r="F18" s="913"/>
      <c r="G18" s="913"/>
      <c r="H18" s="913"/>
      <c r="S18" s="889"/>
      <c r="T18" s="890"/>
      <c r="U18" s="890"/>
      <c r="V18" s="890"/>
      <c r="W18" s="891"/>
      <c r="X18" s="890"/>
      <c r="AA18" s="897"/>
      <c r="AB18" s="895"/>
      <c r="AC18" s="895"/>
      <c r="AD18" s="895"/>
      <c r="AE18" s="895"/>
      <c r="AF18" s="895"/>
      <c r="AG18" s="895"/>
      <c r="AH18" s="895"/>
      <c r="AI18" s="895"/>
      <c r="AJ18" s="895"/>
      <c r="AK18" s="895"/>
      <c r="AL18" s="895"/>
      <c r="AM18" s="895"/>
      <c r="AN18" s="896"/>
      <c r="AO18" s="896"/>
      <c r="AP18" s="897"/>
      <c r="AQ18" s="898"/>
      <c r="AR18" s="899"/>
      <c r="AS18" s="899"/>
      <c r="AT18" s="900"/>
      <c r="AU18" s="900"/>
      <c r="AV18" s="900"/>
      <c r="AW18" s="899"/>
      <c r="AX18" s="899"/>
      <c r="AY18" s="899"/>
      <c r="AZ18" s="897"/>
      <c r="BA18" s="897"/>
      <c r="BB18" s="901"/>
      <c r="BC18" s="902"/>
      <c r="BD18" s="902"/>
      <c r="BE18" s="903"/>
      <c r="BF18" s="903"/>
      <c r="BG18" s="902"/>
      <c r="BH18" s="904"/>
      <c r="BI18" s="905"/>
      <c r="BJ18" s="906"/>
      <c r="BK18" s="914"/>
      <c r="BL18" s="910"/>
      <c r="BM18" s="914"/>
      <c r="BN18" s="910"/>
      <c r="BO18" s="910"/>
      <c r="BP18" s="910"/>
      <c r="BQ18" s="910"/>
      <c r="BR18" s="910"/>
      <c r="BS18" s="911"/>
      <c r="BT18" s="910"/>
      <c r="BU18" s="910"/>
      <c r="BV18" s="910"/>
      <c r="BW18" s="910"/>
    </row>
    <row r="19" ht="17.25" customHeight="1">
      <c r="A19" s="294"/>
      <c r="B19" s="951" t="str">
        <f>IF(OR(AU20=1,NOT(S20)),"BALANCEAMENTO DOS ATIVOS SELECIONADOS",IF(IFERROR(MATCH(TRUE,J23:J42,0),0)=0,"SELECIONE UMA LISTA DE ATIVOS","ATIVOS SELECIONADOS REPRESENTAM "&amp;(L27*100)&amp;"% DO PORTFÓLIO"))</f>
        <v>BALANCEAMENTO DOS ATIVOS SELECIONADOS</v>
      </c>
      <c r="C19" s="952"/>
      <c r="D19" s="952"/>
      <c r="E19" s="953"/>
      <c r="F19" s="588" t="s">
        <v>624</v>
      </c>
      <c r="H19" s="954" t="b">
        <v>0</v>
      </c>
      <c r="J19" s="955" t="s">
        <v>625</v>
      </c>
      <c r="K19" s="50"/>
      <c r="L19" s="50"/>
      <c r="M19" s="50"/>
      <c r="N19" s="50"/>
      <c r="O19" s="50"/>
      <c r="P19" s="50"/>
      <c r="Q19" s="51"/>
      <c r="S19" s="935" t="s">
        <v>472</v>
      </c>
      <c r="T19" s="890"/>
      <c r="U19" s="956" t="s">
        <v>626</v>
      </c>
      <c r="V19" s="957" t="str">
        <f>IFERROR(__xludf.DUMMYFUNCTION(""" (Col2 = '""&amp;join(""' or Col2 = '"",K28:K42)&amp;""') """)," (Col2 = '' or Col2 = '' or Col2 = '' or Col2 = '' or Col2 = '' or Col2 = '' or Col2 = '' or Col2 = '' or Col2 = '' or Col2 = '' or Col2 = '' or Col2 = '' or Col2 = '' or Col2 = '' or Col2 = '') ")</f>
        <v> (Col2 = '' or Col2 = '' or Col2 = '' or Col2 = '' or Col2 = '' or Col2 = '' or Col2 = '' or Col2 = '' or Col2 = '' or Col2 = '' or Col2 = '' or Col2 = '' or Col2 = '' or Col2 = '' or Col2 = '') </v>
      </c>
      <c r="W19" s="891"/>
      <c r="X19" s="890"/>
      <c r="Y19" s="958">
        <f>IF(Q27=Z19,1,Y20)</f>
        <v>0</v>
      </c>
      <c r="Z19" s="935" t="s">
        <v>627</v>
      </c>
      <c r="AA19" s="897"/>
      <c r="AB19" s="895"/>
      <c r="AC19" s="895"/>
      <c r="AD19" s="895"/>
      <c r="AE19" s="895"/>
      <c r="AF19" s="895"/>
      <c r="AG19" s="895"/>
      <c r="AH19" s="895"/>
      <c r="AI19" s="895"/>
      <c r="AJ19" s="895"/>
      <c r="AK19" s="895"/>
      <c r="AL19" s="895"/>
      <c r="AM19" s="895"/>
      <c r="AN19" s="896"/>
      <c r="AO19" s="896"/>
      <c r="AP19" s="897"/>
      <c r="AQ19" s="959"/>
      <c r="AR19" s="899"/>
      <c r="AS19" s="899"/>
      <c r="AT19" s="900"/>
      <c r="AU19" s="900"/>
      <c r="AV19" s="900"/>
      <c r="AW19" s="899"/>
      <c r="AX19" s="899"/>
      <c r="AY19" s="899"/>
      <c r="AZ19" s="897"/>
      <c r="BA19" s="897"/>
      <c r="BB19" s="901"/>
      <c r="BC19" s="902"/>
      <c r="BD19" s="902"/>
      <c r="BE19" s="903"/>
      <c r="BF19" s="903"/>
      <c r="BG19" s="902"/>
      <c r="BH19" s="904"/>
      <c r="BI19" s="905"/>
      <c r="BJ19" s="906"/>
      <c r="BK19" s="960" t="s">
        <v>628</v>
      </c>
      <c r="BL19" s="960" t="str">
        <f>IF(NOT(H20),"??",IF(E20&gt;0,"Vender",IF(E20&lt;0,"Comprar","??")))</f>
        <v>??</v>
      </c>
      <c r="BM19" s="961"/>
      <c r="BN19" s="910"/>
      <c r="BO19" s="910"/>
      <c r="BP19" s="910"/>
      <c r="BQ19" s="910"/>
      <c r="BR19" s="910"/>
      <c r="BS19" s="911"/>
      <c r="BT19" s="910"/>
      <c r="BU19" s="910"/>
      <c r="BV19" s="910"/>
      <c r="BW19" s="910"/>
    </row>
    <row r="20" ht="17.25" customHeight="1">
      <c r="A20" s="294" t="s">
        <v>629</v>
      </c>
      <c r="B20" s="592" t="s">
        <v>630</v>
      </c>
      <c r="C20" s="962">
        <f>IF(J23,O23,IF(J24,O24,W22))</f>
        <v>0</v>
      </c>
      <c r="D20" s="963" t="str">
        <f>"aporte ("&amp;'config.parâmetros'!B8&amp;"):"</f>
        <v>aporte (BRL):</v>
      </c>
      <c r="E20" s="964"/>
      <c r="F20" s="965" t="str">
        <f>IF(E20=0,"apenas comprar/vender:",IF(E20&gt;0,"apenas comprar:","apenas vender:"))</f>
        <v>apenas comprar/vender:</v>
      </c>
      <c r="G20" s="50"/>
      <c r="H20" s="954" t="b">
        <v>0</v>
      </c>
      <c r="J20" s="113"/>
      <c r="Q20" s="83"/>
      <c r="S20" s="935" t="b">
        <f>AND($D$1,ConfigOn)</f>
        <v>0</v>
      </c>
      <c r="T20" s="890"/>
      <c r="U20" s="935" t="b">
        <f>OR(J23,J24)</f>
        <v>0</v>
      </c>
      <c r="V20" s="957" t="str">
        <f>IFERROR(__xludf.DUMMYFUNCTION("IF(J27,V19,IFERROR("" (Col2 = '""&amp;join(""' or Col2 = '"",filter(K28:K42, U24:U38))&amp;""') ""))")," (Col2 = '' or Col2 = '' or Col2 = '' or Col2 = '' or Col2 = '' or Col2 = '' or Col2 = '' or Col2 = '' or Col2 = '' or Col2 = '' or Col2 = '' or Col2 = '' or Col2 = '' or Col2 = '' or Col2 = '') ")</f>
        <v> (Col2 = '' or Col2 = '' or Col2 = '' or Col2 = '' or Col2 = '' or Col2 = '' or Col2 = '' or Col2 = '' or Col2 = '' or Col2 = '' or Col2 = '' or Col2 = '' or Col2 = '' or Col2 = '' or Col2 = '') </v>
      </c>
      <c r="W20" s="891"/>
      <c r="X20" s="890"/>
      <c r="Y20" s="936">
        <f>IFERROR(O27/SUM(O28:O42),0)</f>
        <v>0</v>
      </c>
      <c r="Z20" s="935" t="s">
        <v>631</v>
      </c>
      <c r="AA20" s="936">
        <f>COUNTA(Y24:Y623)</f>
        <v>1</v>
      </c>
      <c r="AB20" s="895"/>
      <c r="AC20" s="895"/>
      <c r="AD20" s="895"/>
      <c r="AE20" s="895"/>
      <c r="AF20" s="895"/>
      <c r="AG20" s="895"/>
      <c r="AH20" s="895"/>
      <c r="AI20" s="895"/>
      <c r="AJ20" s="895"/>
      <c r="AK20" s="895"/>
      <c r="AL20" s="895"/>
      <c r="AM20" s="895"/>
      <c r="AN20" s="896"/>
      <c r="AO20" s="896"/>
      <c r="AP20" s="935" t="s">
        <v>632</v>
      </c>
      <c r="AQ20" s="949">
        <f>'portfólio'!BT81</f>
        <v>5.19280091</v>
      </c>
      <c r="AR20" s="899"/>
      <c r="AS20" s="899"/>
      <c r="AT20" s="966" t="s">
        <v>633</v>
      </c>
      <c r="AU20" s="967">
        <f>ROUND(SUM(AT24:AT623),4)</f>
        <v>0</v>
      </c>
      <c r="AV20" s="907">
        <f>SUM(AU24:AU623)</f>
        <v>0</v>
      </c>
      <c r="AW20" s="899"/>
      <c r="AX20" s="899"/>
      <c r="AY20" s="899"/>
      <c r="AZ20" s="893" t="s">
        <v>634</v>
      </c>
      <c r="BA20" s="897"/>
      <c r="BB20" s="901"/>
      <c r="BC20" s="902"/>
      <c r="BD20" s="902"/>
      <c r="BE20" s="907">
        <f t="shared" ref="BE20:BF20" si="4">SUM(BE24:BE623)</f>
        <v>0</v>
      </c>
      <c r="BF20" s="907">
        <f t="shared" si="4"/>
        <v>0</v>
      </c>
      <c r="BG20" s="902"/>
      <c r="BH20" s="904"/>
      <c r="BI20" s="905"/>
      <c r="BJ20" s="906"/>
      <c r="BK20" s="907">
        <f t="shared" ref="BK20:BL20" si="5">SUM(BK24:BK623)</f>
        <v>0</v>
      </c>
      <c r="BL20" s="907">
        <f t="shared" si="5"/>
        <v>0</v>
      </c>
      <c r="BM20" s="907">
        <f>BE20-BK20</f>
        <v>0</v>
      </c>
      <c r="BN20" s="910"/>
      <c r="BO20" s="907">
        <f>SUM(BO24:BO623)</f>
        <v>0</v>
      </c>
      <c r="BP20" s="907" t="str">
        <f>E20</f>
        <v/>
      </c>
      <c r="BQ20" s="910"/>
      <c r="BR20" s="968"/>
      <c r="BS20" s="911"/>
      <c r="BT20" s="910"/>
      <c r="BU20" s="910"/>
      <c r="BV20" s="910"/>
      <c r="BW20" s="910"/>
    </row>
    <row r="21" ht="17.25" hidden="1" customHeight="1">
      <c r="A21" s="581"/>
      <c r="B21" s="913"/>
      <c r="C21" s="913"/>
      <c r="D21" s="950"/>
      <c r="E21" s="913"/>
      <c r="F21" s="913"/>
      <c r="G21" s="913"/>
      <c r="H21" s="913"/>
      <c r="S21" s="889"/>
      <c r="T21" s="890"/>
      <c r="U21" s="890"/>
      <c r="V21" s="890"/>
      <c r="W21" s="891"/>
      <c r="X21" s="890"/>
      <c r="Y21" s="897"/>
      <c r="Z21" s="897"/>
      <c r="AA21" s="897"/>
      <c r="AB21" s="897"/>
      <c r="AC21" s="897"/>
      <c r="AD21" s="896"/>
      <c r="AE21" s="897"/>
      <c r="AF21" s="897"/>
      <c r="AG21" s="897"/>
      <c r="AH21" s="897"/>
      <c r="AI21" s="896"/>
      <c r="AJ21" s="896"/>
      <c r="AK21" s="896"/>
      <c r="AL21" s="896"/>
      <c r="AM21" s="896"/>
      <c r="AN21" s="896"/>
      <c r="AO21" s="896"/>
      <c r="AP21" s="897"/>
      <c r="AQ21" s="898"/>
      <c r="AR21" s="899"/>
      <c r="AS21" s="899"/>
      <c r="AT21" s="900"/>
      <c r="AU21" s="900"/>
      <c r="AV21" s="900"/>
      <c r="AW21" s="899"/>
      <c r="AX21" s="899"/>
      <c r="AY21" s="899"/>
      <c r="AZ21" s="897"/>
      <c r="BA21" s="897"/>
      <c r="BB21" s="901"/>
      <c r="BC21" s="902"/>
      <c r="BD21" s="902"/>
      <c r="BE21" s="903"/>
      <c r="BF21" s="903"/>
      <c r="BG21" s="902"/>
      <c r="BH21" s="904"/>
      <c r="BI21" s="905"/>
      <c r="BJ21" s="906"/>
      <c r="BK21" s="914"/>
      <c r="BL21" s="910"/>
      <c r="BM21" s="914"/>
      <c r="BN21" s="910"/>
      <c r="BO21" s="910"/>
      <c r="BP21" s="910"/>
      <c r="BQ21" s="910"/>
      <c r="BR21" s="910"/>
      <c r="BS21" s="911"/>
      <c r="BT21" s="910"/>
      <c r="BU21" s="910"/>
      <c r="BV21" s="912"/>
      <c r="BW21" s="912"/>
    </row>
    <row r="22" ht="17.25" customHeight="1">
      <c r="A22" s="294"/>
      <c r="B22" s="772" t="s">
        <v>379</v>
      </c>
      <c r="C22" s="969" t="s">
        <v>619</v>
      </c>
      <c r="D22" s="965" t="s">
        <v>635</v>
      </c>
      <c r="E22" s="51"/>
      <c r="F22" s="965" t="s">
        <v>636</v>
      </c>
      <c r="G22" s="51"/>
      <c r="H22" s="970">
        <v>0.0</v>
      </c>
      <c r="J22" s="965" t="s">
        <v>72</v>
      </c>
      <c r="K22" s="50"/>
      <c r="L22" s="50"/>
      <c r="M22" s="50"/>
      <c r="N22" s="50"/>
      <c r="O22" s="592" t="s">
        <v>637</v>
      </c>
      <c r="P22" s="592" t="s">
        <v>638</v>
      </c>
      <c r="Q22" s="971" t="s">
        <v>639</v>
      </c>
      <c r="S22" s="889"/>
      <c r="T22" s="890"/>
      <c r="U22" s="890"/>
      <c r="V22" s="957" t="str">
        <f>IF(AND(V20="",U20=FALSE),"Col2 = ''",V20)</f>
        <v> (Col2 = '' or Col2 = '' or Col2 = '' or Col2 = '' or Col2 = '' or Col2 = '' or Col2 = '' or Col2 = '' or Col2 = '' or Col2 = '' or Col2 = '' or Col2 = '' or Col2 = '' or Col2 = '' or Col2 = '') </v>
      </c>
      <c r="W22" s="949">
        <f>SUM(W24:W623)</f>
        <v>0</v>
      </c>
      <c r="X22" s="890"/>
      <c r="Y22" s="972" t="s">
        <v>640</v>
      </c>
      <c r="Z22" s="909"/>
      <c r="AA22" s="909"/>
      <c r="AB22" s="721"/>
      <c r="AC22" s="973"/>
      <c r="AD22" s="896"/>
      <c r="AE22" s="972" t="s">
        <v>641</v>
      </c>
      <c r="AF22" s="909"/>
      <c r="AG22" s="909"/>
      <c r="AH22" s="721"/>
      <c r="AI22" s="896"/>
      <c r="AJ22" s="972" t="s">
        <v>642</v>
      </c>
      <c r="AK22" s="909"/>
      <c r="AL22" s="909"/>
      <c r="AM22" s="909"/>
      <c r="AN22" s="974"/>
      <c r="AO22" s="896"/>
      <c r="AP22" s="972" t="s">
        <v>643</v>
      </c>
      <c r="AQ22" s="909"/>
      <c r="AR22" s="909"/>
      <c r="AS22" s="909"/>
      <c r="AT22" s="909"/>
      <c r="AU22" s="909"/>
      <c r="AV22" s="909"/>
      <c r="AW22" s="909"/>
      <c r="AX22" s="909"/>
      <c r="AY22" s="909"/>
      <c r="AZ22" s="909"/>
      <c r="BA22" s="721"/>
      <c r="BB22" s="901"/>
      <c r="BC22" s="972" t="s">
        <v>644</v>
      </c>
      <c r="BD22" s="909"/>
      <c r="BE22" s="909"/>
      <c r="BF22" s="909"/>
      <c r="BG22" s="909"/>
      <c r="BH22" s="909"/>
      <c r="BI22" s="721"/>
      <c r="BJ22" s="975"/>
      <c r="BK22" s="976" t="s">
        <v>645</v>
      </c>
      <c r="BL22" s="721"/>
      <c r="BM22" s="976" t="s">
        <v>646</v>
      </c>
      <c r="BN22" s="721"/>
      <c r="BO22" s="977" t="s">
        <v>647</v>
      </c>
      <c r="BP22" s="909"/>
      <c r="BQ22" s="721"/>
      <c r="BR22" s="977" t="s">
        <v>648</v>
      </c>
      <c r="BS22" s="909"/>
      <c r="BT22" s="909"/>
      <c r="BU22" s="721"/>
      <c r="BV22" s="978"/>
      <c r="BW22" s="978"/>
    </row>
    <row r="23" ht="17.25" customHeight="1">
      <c r="A23" s="294"/>
      <c r="B23" s="592" t="s">
        <v>188</v>
      </c>
      <c r="C23" s="592" t="s">
        <v>637</v>
      </c>
      <c r="D23" s="592" t="s">
        <v>649</v>
      </c>
      <c r="E23" s="592" t="s">
        <v>431</v>
      </c>
      <c r="F23" s="592" t="s">
        <v>617</v>
      </c>
      <c r="G23" s="592" t="s">
        <v>650</v>
      </c>
      <c r="H23" s="592" t="s">
        <v>651</v>
      </c>
      <c r="J23" s="979" t="b">
        <v>0</v>
      </c>
      <c r="K23" s="980" t="s">
        <v>652</v>
      </c>
      <c r="L23" s="170"/>
      <c r="M23" s="170"/>
      <c r="N23" s="170"/>
      <c r="O23" s="981" t="str">
        <f>IF(S20,'portfólio'!DG63,"")</f>
        <v/>
      </c>
      <c r="P23" s="982" t="str">
        <f>if(S20,1,"")</f>
        <v/>
      </c>
      <c r="Q23" s="983" t="str">
        <f>IF(S20,O23-O27,"")</f>
        <v/>
      </c>
      <c r="S23" s="935" t="s">
        <v>208</v>
      </c>
      <c r="T23" s="890"/>
      <c r="U23" s="935" t="s">
        <v>387</v>
      </c>
      <c r="V23" s="935" t="s">
        <v>653</v>
      </c>
      <c r="W23" s="949" t="s">
        <v>654</v>
      </c>
      <c r="X23" s="890"/>
      <c r="Y23" s="935" t="s">
        <v>206</v>
      </c>
      <c r="Z23" s="966" t="s">
        <v>655</v>
      </c>
      <c r="AA23" s="949" t="s">
        <v>656</v>
      </c>
      <c r="AB23" s="949" t="s">
        <v>657</v>
      </c>
      <c r="AC23" s="949" t="s">
        <v>658</v>
      </c>
      <c r="AD23" s="896"/>
      <c r="AE23" s="935" t="s">
        <v>206</v>
      </c>
      <c r="AF23" s="966" t="s">
        <v>655</v>
      </c>
      <c r="AG23" s="949" t="s">
        <v>656</v>
      </c>
      <c r="AH23" s="949" t="s">
        <v>657</v>
      </c>
      <c r="AI23" s="896"/>
      <c r="AJ23" s="935" t="s">
        <v>206</v>
      </c>
      <c r="AK23" s="966" t="s">
        <v>655</v>
      </c>
      <c r="AL23" s="949" t="s">
        <v>656</v>
      </c>
      <c r="AM23" s="949" t="s">
        <v>657</v>
      </c>
      <c r="AN23" s="949" t="s">
        <v>659</v>
      </c>
      <c r="AO23" s="896"/>
      <c r="AP23" s="935" t="s">
        <v>206</v>
      </c>
      <c r="AQ23" s="984" t="s">
        <v>655</v>
      </c>
      <c r="AR23" s="949" t="s">
        <v>656</v>
      </c>
      <c r="AS23" s="949" t="s">
        <v>657</v>
      </c>
      <c r="AT23" s="949" t="s">
        <v>660</v>
      </c>
      <c r="AU23" s="966" t="s">
        <v>661</v>
      </c>
      <c r="AV23" s="966" t="s">
        <v>662</v>
      </c>
      <c r="AW23" s="949" t="s">
        <v>663</v>
      </c>
      <c r="AX23" s="949" t="s">
        <v>664</v>
      </c>
      <c r="AY23" s="949" t="s">
        <v>665</v>
      </c>
      <c r="AZ23" s="935" t="s">
        <v>666</v>
      </c>
      <c r="BA23" s="935" t="s">
        <v>208</v>
      </c>
      <c r="BB23" s="901"/>
      <c r="BC23" s="985" t="s">
        <v>206</v>
      </c>
      <c r="BD23" s="935" t="s">
        <v>666</v>
      </c>
      <c r="BE23" s="949" t="s">
        <v>667</v>
      </c>
      <c r="BF23" s="986" t="s">
        <v>289</v>
      </c>
      <c r="BG23" s="935" t="s">
        <v>668</v>
      </c>
      <c r="BH23" s="949" t="s">
        <v>665</v>
      </c>
      <c r="BI23" s="935" t="s">
        <v>208</v>
      </c>
      <c r="BJ23" s="975"/>
      <c r="BK23" s="907" t="s">
        <v>669</v>
      </c>
      <c r="BL23" s="907" t="s">
        <v>670</v>
      </c>
      <c r="BM23" s="907" t="s">
        <v>671</v>
      </c>
      <c r="BN23" s="907" t="s">
        <v>612</v>
      </c>
      <c r="BO23" s="949" t="s">
        <v>672</v>
      </c>
      <c r="BP23" s="907" t="s">
        <v>673</v>
      </c>
      <c r="BQ23" s="907" t="s">
        <v>614</v>
      </c>
      <c r="BR23" s="960" t="s">
        <v>674</v>
      </c>
      <c r="BS23" s="987" t="s">
        <v>675</v>
      </c>
      <c r="BT23" s="960" t="s">
        <v>668</v>
      </c>
      <c r="BU23" s="907" t="s">
        <v>676</v>
      </c>
      <c r="BV23" s="949" t="s">
        <v>677</v>
      </c>
      <c r="BW23" s="978"/>
    </row>
    <row r="24">
      <c r="A24" s="624">
        <v>1.0</v>
      </c>
      <c r="B24" s="988" t="str">
        <f>IFERROR(__xludf.DUMMYFUNCTION("IF(NOT($S$20),"""",IFERROR(QUERY({BC24:BV623},""select Col1,Col4,Col17,Col16,Col18,Col19,Col20 where Col1 is not null and (Col3&lt;&gt;0 or Col4&gt;0)""&amp;IFERROR(VLOOKUP($C$22,$Y$5:$Z$7,2, FALSE)))))"),"")</f>
        <v/>
      </c>
      <c r="C24" s="989"/>
      <c r="D24" s="851"/>
      <c r="E24" s="990"/>
      <c r="F24" s="991"/>
      <c r="G24" s="991"/>
      <c r="H24" s="992"/>
      <c r="I24" s="993"/>
      <c r="J24" s="994" t="b">
        <v>0</v>
      </c>
      <c r="K24" s="995" t="s">
        <v>678</v>
      </c>
      <c r="L24" s="50"/>
      <c r="M24" s="50"/>
      <c r="N24" s="50"/>
      <c r="O24" s="996" t="str">
        <f>IFERROR(__xludf.DUMMYFUNCTION("IF(S20,IFERROR(QUERY({AtivosDados},""Select sum(Col""&amp;MATCH(""vlr_mercado"",portfolio.!$A$3:BW$3,0)&amp;"") where Col""&amp;MATCH(""classe"",portfolio.!$A$3:BW$3,0)&amp;"" = '""&amp;join(""' or Col""&amp;MATCH(""classe"",portfolio.!$A$3:BW$3,0)&amp;"" = '"",unique(IFERROR(query("&amp;"{ativos.!C3:O623} ,""select ""&amp;""Col""&amp;MATCH(""classe"",ativos.!$C$2:BW$2,0)&amp;"" where (""&amp;""Col""&amp;MATCH(""ativo"",ativos.!$C$2:BW$2,0)&amp;"" = '""&amp;join(""' or ""&amp;""Col""&amp;MATCH(""ativo"",ativos.!$C$2:BW$2,0)&amp;"" like '"",unique({filter(carteiras.!A4:A623,carte"&amp;"iras.!A4:A623&lt;&gt;"""");filter(carteiras.!N4:N623,carteiras.!N4:N623&lt;&gt;"""")}))&amp;""') "",0))))&amp;""' label sum(Col""&amp;MATCH(""vlr_mercado"",portfolio.!$A$3:BW$3,0)&amp;"") ''""),0),"""")"),"")</f>
        <v/>
      </c>
      <c r="P24" s="997" t="str">
        <f>if(S20,O24/O23,"")</f>
        <v/>
      </c>
      <c r="Q24" s="983" t="str">
        <f>IF(S20,O24-O27,"")</f>
        <v/>
      </c>
      <c r="R24" s="993"/>
      <c r="S24" s="936" t="str">
        <f>IFERROR(__xludf.DUMMYFUNCTION("IF(NOT($S$20),"""",IFERROR(QUERY({BC24:BV623},""select Col7 where Col1 is not null and (Col3&lt;&gt;0 or Col4&gt;0)""&amp;IFERROR(VLOOKUP($C$22,$Y$5:$Z$7,2, FALSE)))))"),"")</f>
        <v/>
      </c>
      <c r="T24" s="998"/>
      <c r="U24" s="935" t="str">
        <f t="array" ref="U24">IF(AND(S20,NOT(U20)),J28:J42,"")</f>
        <v/>
      </c>
      <c r="V24" s="935" t="str">
        <f>IFERROR(__xludf.DUMMYFUNCTION("IF(AND(S20,NOT(U20)),unique(IFERROR(query({CarteirasAtivos;CarteirasAtivosEncerrados},""Select Col1 where Col1 is not null""&amp;IF(V22="""","""","" and ""&amp;V22)&amp;"" order by Col1"",0 ))),"""")"),"")</f>
        <v/>
      </c>
      <c r="W24" s="949" t="str">
        <f>IF(AND($S$20,NOT($U$20)),IF($V24:$V623="","",SUMIF(portfolio.!$A$4:$A623,V24,portfolio.!$AN$4:$AN623)),"")</f>
        <v/>
      </c>
      <c r="X24" s="998"/>
      <c r="Y24" s="936" t="str">
        <f>IFERROR(__xludf.DUMMYFUNCTION("IF(NOT($S$20),"""",IFERROR(query({portfolio.!A4:D623},""select Col1 where Col1 is not null ""&amp;IF(NOT(AE24=""""),""and (not (Col1 = '""&amp;join(""' or Col1 = '"",filter($AE$24:$AE623,$AE$24:$AE623&lt;&gt;""""))&amp;""'))"","""")&amp;IF(AND(J24,NOT(J23)),"" and (Col4 = '""&amp;"&amp;"join(""' or Col4 = '"",unique(IFERROR(query({ativos.!C3:O623} ,""select ""&amp;""Col""&amp;MATCH(""classe"",ativos.!$C$2:BW$2,0)&amp;"" where (""&amp;""Col""&amp;MATCH(""ativo"",ativos.!$C$2:BW$2,0)&amp;"" = '""&amp;join(""' or ""&amp;""Col""&amp;MATCH(""ativo"",ativos.!$C$2:BW$2,0)&amp;"" like"&amp;" '"",unique({filter(carteiras.!A4:A623,carteiras.!A4:A623&lt;&gt;"""");filter(carteiras.!N4:N623,carteiras.!N4:N623&lt;&gt;"""")}))&amp;""') "",0))))&amp;""')"",""""))))"),"")</f>
        <v/>
      </c>
      <c r="Z24" s="936" t="str">
        <f t="array" ref="Z24:Z623">IF($Y24:$Y623="","",IFERROR(1/$AA$20,0))</f>
        <v/>
      </c>
      <c r="AA24" s="936" t="str">
        <f t="array" ref="AA24:AA623">IF($Y24:$Y623="","",0)</f>
        <v/>
      </c>
      <c r="AB24" s="936" t="str">
        <f t="array" ref="AB24:AB623">IF($Y24:$Y623="","",1-$L$27)</f>
        <v/>
      </c>
      <c r="AC24" s="907" t="str">
        <f t="array" ref="AC24:AC623">IF($Y24:$Y623="","",IFERROR(VLOOKUP($Y24:$Y623,AtivosDados,MATCH("vlr_mercado",portfolio.!$A$3:BW$3,0),0),0))</f>
        <v/>
      </c>
      <c r="AD24" s="999"/>
      <c r="AE24" s="936" t="str">
        <f>IFERROR(__xludf.DUMMYFUNCTION("IF(NOT($S$20),"""",IFERROR(QUERY({CarteirasAtivos;CarteirasAtivosEncerrados},""select Col1,Col8,Col5,Col9 where Col1 is not null order by Col1"")))"),"")</f>
        <v/>
      </c>
      <c r="AF24" s="936"/>
      <c r="AG24" s="936"/>
      <c r="AH24" s="936"/>
      <c r="AI24" s="999"/>
      <c r="AJ24" s="935" t="str">
        <f>IFERROR(__xludf.DUMMYFUNCTION("IF(NOT($S$20),"""",IF(NOT(U20),IFERROR(QUERY({CarteirasAtivos;CarteirasAtivosEncerrados},""select Col1,Col8,Col5 where Col1 is not null and ""&amp;V22&amp;"" and (Col1 = '""&amp;join(""' or Col1 = '"",filter(V24:V623,V24:V623&lt;&gt;""""))&amp;""') order by Col1"")),""""))"),"")</f>
        <v/>
      </c>
      <c r="AK24" s="966"/>
      <c r="AL24" s="949"/>
      <c r="AM24" s="949" t="str">
        <f t="array" ref="AM24:AM623">IF(AN24:AN623="","",VLOOKUP(AN24:AN623,$K$28:$M$42,3,FALSE))</f>
        <v/>
      </c>
      <c r="AN24" s="949" t="str">
        <f>IFERROR(__xludf.DUMMYFUNCTION("IF(NOT($S$20),"""",IF(NOT(U20),IFERROR(QUERY({CarteirasAtivos;CarteirasAtivosEncerrados},""select Col2 where Col1 is not null and ""&amp;V22&amp;"" and (Col1 = '""&amp;join(""' or Col1 = '"",filter(V24:V623,V24:V623&lt;&gt;""""))&amp;""') order by Col1"")),""""))"),"")</f>
        <v/>
      </c>
      <c r="AO24" s="999"/>
      <c r="AP24" s="936" t="str">
        <f>IFERROR(__xludf.DUMMYFUNCTION("IF(NOT($S$20),"""",IFERROR(QUERY(IF(U20,{Y24:AB623;AE24:AH623},{AJ24:AM623}),""select Col1,Col2,Col3,Col4 where Col1 is not null order by Col1"")))"),"")</f>
        <v/>
      </c>
      <c r="AQ24" s="987"/>
      <c r="AR24" s="907"/>
      <c r="AS24" s="907"/>
      <c r="AT24" s="967" t="str">
        <f t="array" ref="AT24:AT623">IF(AP24:AP623="","",AQ24:AQ623*AS24:AS623)</f>
        <v/>
      </c>
      <c r="AU24" s="967" t="str">
        <f t="array" ref="AU24:AU623">IF(AP24:AP623="","",AT24:AT623*AZ24:AZ623)</f>
        <v/>
      </c>
      <c r="AV24" s="967" t="str">
        <f t="array" ref="AV24:AV623">IF(AP24:AP623="","",IFERROR(AU24:AU623/$AV$20,0))</f>
        <v/>
      </c>
      <c r="AW24" s="907" t="str">
        <f t="array" ref="AW24:AW623">IF($AP24:$AP623="","",$C$20*$AT24:$AT623+$E$20*$AV24:$AV623)</f>
        <v/>
      </c>
      <c r="AX24" s="907" t="str">
        <f t="array" ref="AX24:AX623">IF(ISNUMBER(VALUE(RIGHT(AP24:AP623))),IF(AR24:AR623&gt;0,AR24:AR623,AY24:AY623),IF(AR24:AR623&gt;0,AR24:AR623*$AQ$20,AY24:AY623))</f>
        <v/>
      </c>
      <c r="AY24" s="907" t="str">
        <f t="array" ref="AY24:AY623">IF($AP24:AP623="","",VLOOKUP(AP24:AP623,ativos.!$C$3:$R623,MATCH("cotacao",ativos.!$C$2:BW$2,0),FALSE))</f>
        <v/>
      </c>
      <c r="AZ24" s="936" t="str">
        <f t="array" ref="AZ24:AZ623">IF($AP24:$AP623="","",IF($E$20&lt;0,1,IF($H$19,IFERROR(IF($AX24:$AX623&gt;=$AY24:$AY623,1,0),0),1)))</f>
        <v/>
      </c>
      <c r="BA24" s="935" t="str">
        <f t="array" ref="BA24:BA623">IF($AP24:AP623="","",VLOOKUP(AP24:AP623,ativos.!$C$3:$R623,MATCH("classe",ativos.!$C$2:BW$2,0),FALSE))</f>
        <v/>
      </c>
      <c r="BB24" s="1000"/>
      <c r="BC24" s="1001" t="str">
        <f>IFERROR(__xludf.DUMMYFUNCTION("IF(NOT($S$20),"""",IFERROR(QUERY({$AP24:$AZ623},""select Col1,sum(Col11),sum(Col8) where Col1 is not null group by Col1 label sum(Col11) '',sum(Col8) ''"")))"),"")</f>
        <v/>
      </c>
      <c r="BD24" s="936"/>
      <c r="BE24" s="907"/>
      <c r="BF24" s="1002" t="str">
        <f>IF($BC24="","",SUMIF(portfolio.!$A$4:$A623,BC24,portfolio.!$AN$4:$AN623))</f>
        <v/>
      </c>
      <c r="BG24" s="936" t="str">
        <f t="array" ref="BG24:BG623">IF($BC24:$BC623="","",IF($BD24:$BD623=0,"Aguardar",IF($BF24:$BF623&gt;$BE24:$BE623,"Vender","Comprar")))</f>
        <v/>
      </c>
      <c r="BH24" s="907" t="str">
        <f t="array" ref="BH24:BH623">IF($BC24:$BC623="","",IFERROR(VLOOKUP($BC24:$BC623,$AP24:BA623,10,0),0))</f>
        <v/>
      </c>
      <c r="BI24" s="935" t="str">
        <f t="array" ref="BI24:BI623">IF($BC24:BC623="","",VLOOKUP(BC24:BC623,ativos.!$C$3:$R623,MATCH("classe",ativos.!$C$2:BW$2,0),FALSE))</f>
        <v/>
      </c>
      <c r="BJ24" s="1003"/>
      <c r="BK24" s="907" t="str">
        <f t="array" ref="BK24:BK623">IF(BC24:BC623="","",IF(BG24:BG623="Aguardar",BF24:BF623,IF(BG24:BG623=$BL$19,BF24:BF623,"")))</f>
        <v/>
      </c>
      <c r="BL24" s="907" t="str">
        <f t="array" ref="BL24:BL623">IF(BC24:BC623="","",IF(BK24:BK623="",IF($BL$19="Comprar",BF24:BF623-BE24:BE623,BE24:BE623),""))</f>
        <v/>
      </c>
      <c r="BM24" s="907" t="str">
        <f t="array" ref="BM24:BM623">IF(BC24:BC623="","",IFERROR(IF(BL24:BL623="","",(BL24:BL623/$BL$20)*$BM$20),0))</f>
        <v/>
      </c>
      <c r="BN24" s="1004" t="str">
        <f t="array" ref="BN24:BN623">IF(BC24:BC623="","",BK24:BK623+BM24:BM623)</f>
        <v/>
      </c>
      <c r="BO24" s="907" t="str">
        <f t="shared" ref="BO24:BO623" si="6">IF($BL$19="??","",IF(BK24="",IF($BL$19="Vender",IF(BN24-BF24&lt;0,0,BN24-BF24),IF(BN24-BF24&gt;0,0,BN24-BF24)),""))</f>
        <v/>
      </c>
      <c r="BP24" s="907" t="str">
        <f t="shared" ref="BP24:BP623" si="7">IF(BC24="","",IFERROR((BO24/$BO$20)*$BP$20,""))</f>
        <v/>
      </c>
      <c r="BQ24" s="907" t="str">
        <f t="shared" ref="BQ24:BQ623" si="8">IF(BC24="","",BP24+BF24)</f>
        <v/>
      </c>
      <c r="BR24" s="1004" t="str">
        <f t="shared" ref="BR24:BR623" si="9">IF(AND($H$20,$BP$20&lt;&gt;0),BQ24,BN24)</f>
        <v/>
      </c>
      <c r="BS24" s="1005" t="str">
        <f t="shared" ref="BS24:BS623" si="10">IF($BC24="","",IF(LEFT($D$23,7)="% atual",TEXT(BF24/$BF$20,"##0.00%"),"")&amp;" ► "&amp;IF(RIGHT($D$23,4)="alvo",TEXT(IFERROR($BR24/($C$20+$E$20),0),"##0.00%"),""))</f>
        <v/>
      </c>
      <c r="BT24" s="1006" t="str">
        <f t="array" ref="BT24:BT623">IF($BC24:$BC623="","",IF($BF24:$BF623=$BR24:$BR623,"Aguardar",IF(BF24:BF623&gt;BR24:BR623,"Vender",IF($BD24:$BD623=0,"Aguardar","Comprar"))))</f>
        <v/>
      </c>
      <c r="BU24" s="1002" t="str">
        <f t="array" ref="BU24:BU623">IF($BC24:$BC623="","",IFERROR(IF($BT24:$BT623="Aguardar","",IF(IFERROR(MATCH(BI24:BI623,$BU$14:$BU$17,0),0)&gt;0,TEXT(ROUND(($BR24:$BR623-$BF24:$BF623)/$BH24:$BH623,0),"###,##0"),TEXT(($BR24:$BR623-$BF24:$BF623)/$BH24:$BH623,"###,##0.00"))),"??"))</f>
        <v/>
      </c>
      <c r="BV24" s="1006" t="str">
        <f t="array" ref="BV24:BV623">IF($BC24:$BC623="","",BR24:BR623-BF24:BF623)</f>
        <v/>
      </c>
      <c r="BW24" s="1007"/>
    </row>
    <row r="25">
      <c r="A25" s="624">
        <v>2.0</v>
      </c>
      <c r="B25" s="1008"/>
      <c r="C25" s="989"/>
      <c r="D25" s="851"/>
      <c r="E25" s="990"/>
      <c r="F25" s="991"/>
      <c r="G25" s="991"/>
      <c r="H25" s="992"/>
      <c r="I25" s="993"/>
      <c r="J25" s="1009" t="s">
        <v>679</v>
      </c>
      <c r="K25" s="170"/>
      <c r="L25" s="170"/>
      <c r="M25" s="170"/>
      <c r="N25" s="993"/>
      <c r="O25" s="1010" t="s">
        <v>680</v>
      </c>
      <c r="P25" s="1011" t="s">
        <v>681</v>
      </c>
      <c r="Q25" s="1012"/>
      <c r="R25" s="993"/>
      <c r="S25" s="936"/>
      <c r="T25" s="998"/>
      <c r="U25" s="935"/>
      <c r="V25" s="935"/>
      <c r="W25" s="949" t="str">
        <f>IF(AND($S$20,NOT($U$20)),IF($V25:$V623="","",SUMIF(portfolio.!$A$4:$A623,V25,portfolio.!$AN$4:$AN623)),"")</f>
        <v/>
      </c>
      <c r="X25" s="998"/>
      <c r="Y25" s="936"/>
      <c r="Z25" s="936" t="s">
        <v>123</v>
      </c>
      <c r="AA25" s="936" t="s">
        <v>123</v>
      </c>
      <c r="AB25" s="936" t="s">
        <v>123</v>
      </c>
      <c r="AC25" s="907" t="s">
        <v>123</v>
      </c>
      <c r="AD25" s="999"/>
      <c r="AE25" s="936"/>
      <c r="AF25" s="936"/>
      <c r="AG25" s="936"/>
      <c r="AH25" s="936"/>
      <c r="AI25" s="999"/>
      <c r="AJ25" s="935"/>
      <c r="AK25" s="966"/>
      <c r="AL25" s="949"/>
      <c r="AM25" s="949" t="s">
        <v>123</v>
      </c>
      <c r="AN25" s="949"/>
      <c r="AO25" s="999"/>
      <c r="AP25" s="936"/>
      <c r="AQ25" s="987"/>
      <c r="AR25" s="907"/>
      <c r="AS25" s="907"/>
      <c r="AT25" s="967" t="s">
        <v>123</v>
      </c>
      <c r="AU25" s="967" t="s">
        <v>123</v>
      </c>
      <c r="AV25" s="967" t="s">
        <v>123</v>
      </c>
      <c r="AW25" s="907" t="s">
        <v>123</v>
      </c>
      <c r="AX25" s="907" t="s">
        <v>123</v>
      </c>
      <c r="AY25" s="907" t="s">
        <v>123</v>
      </c>
      <c r="AZ25" s="936" t="s">
        <v>123</v>
      </c>
      <c r="BA25" s="935" t="s">
        <v>123</v>
      </c>
      <c r="BB25" s="1000"/>
      <c r="BC25" s="1001"/>
      <c r="BD25" s="936"/>
      <c r="BE25" s="907"/>
      <c r="BF25" s="1002" t="str">
        <f>IF($BC25="","",SUMIF(portfolio.!$A$4:$A623,BC25,portfolio.!$AN$4:$AN623))</f>
        <v/>
      </c>
      <c r="BG25" s="936" t="s">
        <v>123</v>
      </c>
      <c r="BH25" s="907" t="s">
        <v>123</v>
      </c>
      <c r="BI25" s="935" t="s">
        <v>123</v>
      </c>
      <c r="BJ25" s="1003"/>
      <c r="BK25" s="907" t="s">
        <v>123</v>
      </c>
      <c r="BL25" s="907" t="s">
        <v>123</v>
      </c>
      <c r="BM25" s="907" t="s">
        <v>123</v>
      </c>
      <c r="BN25" s="1004" t="s">
        <v>123</v>
      </c>
      <c r="BO25" s="907" t="str">
        <f t="shared" si="6"/>
        <v/>
      </c>
      <c r="BP25" s="907" t="str">
        <f t="shared" si="7"/>
        <v/>
      </c>
      <c r="BQ25" s="907" t="str">
        <f t="shared" si="8"/>
        <v/>
      </c>
      <c r="BR25" s="1004" t="str">
        <f t="shared" si="9"/>
        <v/>
      </c>
      <c r="BS25" s="1005" t="str">
        <f t="shared" si="10"/>
        <v/>
      </c>
      <c r="BT25" s="1006" t="s">
        <v>123</v>
      </c>
      <c r="BU25" s="1002" t="s">
        <v>123</v>
      </c>
      <c r="BV25" s="1006" t="s">
        <v>123</v>
      </c>
      <c r="BW25" s="1007"/>
    </row>
    <row r="26">
      <c r="A26" s="624">
        <v>3.0</v>
      </c>
      <c r="B26" s="1008"/>
      <c r="C26" s="989"/>
      <c r="D26" s="851"/>
      <c r="E26" s="990"/>
      <c r="F26" s="991"/>
      <c r="G26" s="991"/>
      <c r="H26" s="992"/>
      <c r="I26" s="993"/>
      <c r="J26" s="965" t="s">
        <v>682</v>
      </c>
      <c r="K26" s="51"/>
      <c r="L26" s="965" t="s">
        <v>683</v>
      </c>
      <c r="M26" s="219"/>
      <c r="N26" s="993"/>
      <c r="O26" s="971" t="s">
        <v>637</v>
      </c>
      <c r="P26" s="1013" t="s">
        <v>638</v>
      </c>
      <c r="Q26" s="1014" t="s">
        <v>651</v>
      </c>
      <c r="R26" s="993"/>
      <c r="S26" s="936"/>
      <c r="T26" s="998"/>
      <c r="U26" s="935"/>
      <c r="V26" s="935"/>
      <c r="W26" s="949" t="str">
        <f>IF(AND($S$20,NOT($U$20)),IF($V26:$V623="","",SUMIF(portfolio.!$A$4:$A623,V26,portfolio.!$AN$4:$AN623)),"")</f>
        <v/>
      </c>
      <c r="X26" s="998"/>
      <c r="Y26" s="936"/>
      <c r="Z26" s="936" t="s">
        <v>123</v>
      </c>
      <c r="AA26" s="936" t="s">
        <v>123</v>
      </c>
      <c r="AB26" s="936" t="s">
        <v>123</v>
      </c>
      <c r="AC26" s="907" t="s">
        <v>123</v>
      </c>
      <c r="AD26" s="999"/>
      <c r="AE26" s="936"/>
      <c r="AF26" s="936"/>
      <c r="AG26" s="936"/>
      <c r="AH26" s="936"/>
      <c r="AI26" s="999"/>
      <c r="AJ26" s="935"/>
      <c r="AK26" s="966"/>
      <c r="AL26" s="949"/>
      <c r="AM26" s="949" t="s">
        <v>123</v>
      </c>
      <c r="AN26" s="949"/>
      <c r="AO26" s="999"/>
      <c r="AP26" s="936"/>
      <c r="AQ26" s="987"/>
      <c r="AR26" s="907"/>
      <c r="AS26" s="907"/>
      <c r="AT26" s="967" t="s">
        <v>123</v>
      </c>
      <c r="AU26" s="967" t="s">
        <v>123</v>
      </c>
      <c r="AV26" s="967" t="s">
        <v>123</v>
      </c>
      <c r="AW26" s="907" t="s">
        <v>123</v>
      </c>
      <c r="AX26" s="907" t="s">
        <v>123</v>
      </c>
      <c r="AY26" s="907" t="s">
        <v>123</v>
      </c>
      <c r="AZ26" s="936" t="s">
        <v>123</v>
      </c>
      <c r="BA26" s="935" t="s">
        <v>123</v>
      </c>
      <c r="BB26" s="1000"/>
      <c r="BC26" s="1001"/>
      <c r="BD26" s="936"/>
      <c r="BE26" s="907"/>
      <c r="BF26" s="1002" t="str">
        <f>IF($BC26="","",SUMIF(portfolio.!$A$4:$A623,BC26,portfolio.!$AN$4:$AN623))</f>
        <v/>
      </c>
      <c r="BG26" s="936" t="s">
        <v>123</v>
      </c>
      <c r="BH26" s="907" t="s">
        <v>123</v>
      </c>
      <c r="BI26" s="935" t="s">
        <v>123</v>
      </c>
      <c r="BJ26" s="1003"/>
      <c r="BK26" s="907" t="s">
        <v>123</v>
      </c>
      <c r="BL26" s="907" t="s">
        <v>123</v>
      </c>
      <c r="BM26" s="907" t="s">
        <v>123</v>
      </c>
      <c r="BN26" s="1004" t="s">
        <v>123</v>
      </c>
      <c r="BO26" s="907" t="str">
        <f t="shared" si="6"/>
        <v/>
      </c>
      <c r="BP26" s="907" t="str">
        <f t="shared" si="7"/>
        <v/>
      </c>
      <c r="BQ26" s="907" t="str">
        <f t="shared" si="8"/>
        <v/>
      </c>
      <c r="BR26" s="1004" t="str">
        <f t="shared" si="9"/>
        <v/>
      </c>
      <c r="BS26" s="1005" t="str">
        <f t="shared" si="10"/>
        <v/>
      </c>
      <c r="BT26" s="1006" t="s">
        <v>123</v>
      </c>
      <c r="BU26" s="1002" t="s">
        <v>123</v>
      </c>
      <c r="BV26" s="1006" t="s">
        <v>123</v>
      </c>
      <c r="BW26" s="1007"/>
    </row>
    <row r="27">
      <c r="A27" s="624">
        <v>4.0</v>
      </c>
      <c r="B27" s="1008"/>
      <c r="C27" s="989"/>
      <c r="D27" s="851"/>
      <c r="E27" s="990"/>
      <c r="F27" s="991"/>
      <c r="G27" s="991"/>
      <c r="H27" s="992"/>
      <c r="I27" s="993"/>
      <c r="J27" s="979" t="b">
        <v>1</v>
      </c>
      <c r="K27" s="1015" t="s">
        <v>684</v>
      </c>
      <c r="L27" s="1016">
        <f t="shared" ref="L27:M27" si="11">SUM(L28:L42)</f>
        <v>0</v>
      </c>
      <c r="M27" s="1016">
        <f t="shared" si="11"/>
        <v>0</v>
      </c>
      <c r="N27" s="993"/>
      <c r="O27" s="1017" t="str">
        <f>IFERROR(__xludf.DUMMYFUNCTION("IF(S20,IFERROR(QUERY({AtivosDados},""Select sum(Col""&amp;MATCH(""vlr_mercado"",portfolio.!$A$3:BW$3,0)&amp;"") where Col""&amp;MATCH(""ativo"",portfolio.!$A$3:BW$3,0)&amp;"" = '""&amp;join(""' or Col""&amp;MATCH(""ativo"",portfolio.!$A$3:BW$3,0)&amp;"" = '"",filter(AE24:AE623,AE24:"&amp;"AE623&lt;&gt;""""))&amp;""' label sum(Col""&amp;MATCH(""vlr_mercado"",portfolio.!$A$3:BW$3,0)&amp;"") ''""),0),"""")"),"")</f>
        <v/>
      </c>
      <c r="P27" s="1016" t="str">
        <f>IF(S20,O27/O23,"")</f>
        <v/>
      </c>
      <c r="Q27" s="1018" t="s">
        <v>631</v>
      </c>
      <c r="R27" s="993"/>
      <c r="S27" s="936"/>
      <c r="T27" s="998"/>
      <c r="U27" s="935"/>
      <c r="V27" s="935"/>
      <c r="W27" s="949" t="str">
        <f>IF(AND($S$20,NOT($U$20)),IF($V27:$V623="","",SUMIF(portfolio.!$A$4:$A623,V27,portfolio.!$AN$4:$AN623)),"")</f>
        <v/>
      </c>
      <c r="X27" s="998"/>
      <c r="Y27" s="936"/>
      <c r="Z27" s="936" t="s">
        <v>123</v>
      </c>
      <c r="AA27" s="936" t="s">
        <v>123</v>
      </c>
      <c r="AB27" s="936" t="s">
        <v>123</v>
      </c>
      <c r="AC27" s="907" t="s">
        <v>123</v>
      </c>
      <c r="AD27" s="999"/>
      <c r="AE27" s="936"/>
      <c r="AF27" s="936"/>
      <c r="AG27" s="936"/>
      <c r="AH27" s="936"/>
      <c r="AI27" s="999"/>
      <c r="AJ27" s="935"/>
      <c r="AK27" s="966"/>
      <c r="AL27" s="949"/>
      <c r="AM27" s="949" t="s">
        <v>123</v>
      </c>
      <c r="AN27" s="949"/>
      <c r="AO27" s="999"/>
      <c r="AP27" s="936"/>
      <c r="AQ27" s="987"/>
      <c r="AR27" s="907"/>
      <c r="AS27" s="907"/>
      <c r="AT27" s="967" t="s">
        <v>123</v>
      </c>
      <c r="AU27" s="967" t="s">
        <v>123</v>
      </c>
      <c r="AV27" s="967" t="s">
        <v>123</v>
      </c>
      <c r="AW27" s="907" t="s">
        <v>123</v>
      </c>
      <c r="AX27" s="907" t="s">
        <v>123</v>
      </c>
      <c r="AY27" s="907" t="s">
        <v>123</v>
      </c>
      <c r="AZ27" s="936" t="s">
        <v>123</v>
      </c>
      <c r="BA27" s="935" t="s">
        <v>123</v>
      </c>
      <c r="BB27" s="1000"/>
      <c r="BC27" s="1001"/>
      <c r="BD27" s="936"/>
      <c r="BE27" s="907"/>
      <c r="BF27" s="1002" t="str">
        <f>IF($BC27="","",SUMIF(portfolio.!$A$4:$A623,BC27,portfolio.!$AN$4:$AN623))</f>
        <v/>
      </c>
      <c r="BG27" s="936" t="s">
        <v>123</v>
      </c>
      <c r="BH27" s="907" t="s">
        <v>123</v>
      </c>
      <c r="BI27" s="935" t="s">
        <v>123</v>
      </c>
      <c r="BJ27" s="1003"/>
      <c r="BK27" s="907" t="s">
        <v>123</v>
      </c>
      <c r="BL27" s="907" t="s">
        <v>123</v>
      </c>
      <c r="BM27" s="907" t="s">
        <v>123</v>
      </c>
      <c r="BN27" s="1004" t="s">
        <v>123</v>
      </c>
      <c r="BO27" s="907" t="str">
        <f t="shared" si="6"/>
        <v/>
      </c>
      <c r="BP27" s="907" t="str">
        <f t="shared" si="7"/>
        <v/>
      </c>
      <c r="BQ27" s="907" t="str">
        <f t="shared" si="8"/>
        <v/>
      </c>
      <c r="BR27" s="1004" t="str">
        <f t="shared" si="9"/>
        <v/>
      </c>
      <c r="BS27" s="1005" t="str">
        <f t="shared" si="10"/>
        <v/>
      </c>
      <c r="BT27" s="1006" t="s">
        <v>123</v>
      </c>
      <c r="BU27" s="1002" t="s">
        <v>123</v>
      </c>
      <c r="BV27" s="1006" t="s">
        <v>123</v>
      </c>
      <c r="BW27" s="1007"/>
    </row>
    <row r="28">
      <c r="A28" s="624">
        <v>5.0</v>
      </c>
      <c r="B28" s="1008"/>
      <c r="C28" s="989"/>
      <c r="D28" s="851"/>
      <c r="E28" s="990"/>
      <c r="F28" s="991"/>
      <c r="G28" s="991"/>
      <c r="H28" s="992"/>
      <c r="I28" s="993"/>
      <c r="J28" s="1019" t="b">
        <v>0</v>
      </c>
      <c r="K28" s="1020" t="str">
        <f>IFERROR(__xludf.DUMMYFUNCTION("IF(S20,QUERY({config.carteiras!C9:D23},""select Col1,Col2""),"""")"),"")</f>
        <v/>
      </c>
      <c r="L28" s="1021"/>
      <c r="M28" s="1021" t="str">
        <f t="shared" ref="M28:M42" si="12">IF($S$20,IF($U$20,L28,IF($J$27,IFERROR(L28/$L$27,""),IF(J28,IFERROR(L28/$L$43,0),0))),"")</f>
        <v/>
      </c>
      <c r="N28" s="993"/>
      <c r="O28" s="944" t="str">
        <f>IFERROR(VLOOKUP(K28,carteiras..!$B$2:$I$16,3,FALSE),"")</f>
        <v/>
      </c>
      <c r="P28" s="943" t="str">
        <f t="shared" ref="P28:P42" si="13">IF(O28="","",IF(IFERROR(FIND("(A)",$P$25),0)&gt;0,O28/$O$23,IF(IFERROR(FIND("(B)",$P$25),0)&gt;0,O28/$O$24,IF(IFERROR(FIND("(C)",$P$25),0)&gt;0,O28/$O$27*$L$27,0)))*$Y$19)</f>
        <v/>
      </c>
      <c r="Q28" s="944" t="str">
        <f t="shared" ref="Q28:Q42" si="14">IF($S$20,(L28-P28)*IF(IFERROR(FIND("(A)",$P$25),0)&gt;0,$O$23,IF(IFERROR(FIND("(B)",$P$25),0)&gt;0,$O$24,IF(IFERROR(FIND("(C)",$P$25),0)&gt;0,$O$27,0))),"")</f>
        <v/>
      </c>
      <c r="R28" s="993"/>
      <c r="S28" s="936"/>
      <c r="T28" s="998"/>
      <c r="U28" s="935"/>
      <c r="V28" s="935"/>
      <c r="W28" s="949" t="str">
        <f>IF(AND($S$20,NOT($U$20)),IF($V28:$V623="","",SUMIF(portfolio.!$A$4:$A623,V28,portfolio.!$AN$4:$AN623)),"")</f>
        <v/>
      </c>
      <c r="X28" s="998"/>
      <c r="Y28" s="936"/>
      <c r="Z28" s="936" t="s">
        <v>123</v>
      </c>
      <c r="AA28" s="936" t="s">
        <v>123</v>
      </c>
      <c r="AB28" s="936" t="s">
        <v>123</v>
      </c>
      <c r="AC28" s="907" t="s">
        <v>123</v>
      </c>
      <c r="AD28" s="999"/>
      <c r="AE28" s="936"/>
      <c r="AF28" s="936"/>
      <c r="AG28" s="936"/>
      <c r="AH28" s="936"/>
      <c r="AI28" s="999"/>
      <c r="AJ28" s="935"/>
      <c r="AK28" s="966"/>
      <c r="AL28" s="949"/>
      <c r="AM28" s="949" t="s">
        <v>123</v>
      </c>
      <c r="AN28" s="949"/>
      <c r="AO28" s="999"/>
      <c r="AP28" s="936"/>
      <c r="AQ28" s="987"/>
      <c r="AR28" s="907"/>
      <c r="AS28" s="907"/>
      <c r="AT28" s="967" t="s">
        <v>123</v>
      </c>
      <c r="AU28" s="967" t="s">
        <v>123</v>
      </c>
      <c r="AV28" s="967" t="s">
        <v>123</v>
      </c>
      <c r="AW28" s="907" t="s">
        <v>123</v>
      </c>
      <c r="AX28" s="907" t="s">
        <v>123</v>
      </c>
      <c r="AY28" s="907" t="s">
        <v>123</v>
      </c>
      <c r="AZ28" s="936" t="s">
        <v>123</v>
      </c>
      <c r="BA28" s="935" t="s">
        <v>123</v>
      </c>
      <c r="BB28" s="1000"/>
      <c r="BC28" s="1001"/>
      <c r="BD28" s="936"/>
      <c r="BE28" s="907"/>
      <c r="BF28" s="1002" t="str">
        <f>IF($BC28="","",SUMIF(portfolio.!$A$4:$A623,BC28,portfolio.!$AN$4:$AN623))</f>
        <v/>
      </c>
      <c r="BG28" s="936" t="s">
        <v>123</v>
      </c>
      <c r="BH28" s="907" t="s">
        <v>123</v>
      </c>
      <c r="BI28" s="935" t="s">
        <v>123</v>
      </c>
      <c r="BJ28" s="1003"/>
      <c r="BK28" s="907" t="s">
        <v>123</v>
      </c>
      <c r="BL28" s="907" t="s">
        <v>123</v>
      </c>
      <c r="BM28" s="907" t="s">
        <v>123</v>
      </c>
      <c r="BN28" s="1004" t="s">
        <v>123</v>
      </c>
      <c r="BO28" s="907" t="str">
        <f t="shared" si="6"/>
        <v/>
      </c>
      <c r="BP28" s="907" t="str">
        <f t="shared" si="7"/>
        <v/>
      </c>
      <c r="BQ28" s="907" t="str">
        <f t="shared" si="8"/>
        <v/>
      </c>
      <c r="BR28" s="1004" t="str">
        <f t="shared" si="9"/>
        <v/>
      </c>
      <c r="BS28" s="1005" t="str">
        <f t="shared" si="10"/>
        <v/>
      </c>
      <c r="BT28" s="1006" t="s">
        <v>123</v>
      </c>
      <c r="BU28" s="1002" t="s">
        <v>123</v>
      </c>
      <c r="BV28" s="1006" t="s">
        <v>123</v>
      </c>
      <c r="BW28" s="1007"/>
    </row>
    <row r="29">
      <c r="A29" s="624">
        <v>6.0</v>
      </c>
      <c r="B29" s="1008"/>
      <c r="C29" s="989"/>
      <c r="D29" s="851"/>
      <c r="E29" s="990"/>
      <c r="F29" s="991"/>
      <c r="G29" s="991"/>
      <c r="H29" s="992"/>
      <c r="I29" s="993"/>
      <c r="J29" s="1019" t="b">
        <v>0</v>
      </c>
      <c r="K29" s="1020"/>
      <c r="L29" s="1021"/>
      <c r="M29" s="1021" t="str">
        <f t="shared" si="12"/>
        <v/>
      </c>
      <c r="N29" s="993"/>
      <c r="O29" s="944" t="str">
        <f>IFERROR(VLOOKUP(K29,carteiras..!$B$2:$I$16,3,FALSE),"")</f>
        <v/>
      </c>
      <c r="P29" s="943" t="str">
        <f t="shared" si="13"/>
        <v/>
      </c>
      <c r="Q29" s="944" t="str">
        <f t="shared" si="14"/>
        <v/>
      </c>
      <c r="R29" s="993"/>
      <c r="S29" s="936"/>
      <c r="T29" s="998"/>
      <c r="U29" s="935"/>
      <c r="V29" s="935"/>
      <c r="W29" s="949" t="str">
        <f>IF(AND($S$20,NOT($U$20)),IF($V29:$V623="","",SUMIF(portfolio.!$A$4:$A623,V29,portfolio.!$AN$4:$AN623)),"")</f>
        <v/>
      </c>
      <c r="X29" s="998"/>
      <c r="Y29" s="936"/>
      <c r="Z29" s="936" t="s">
        <v>123</v>
      </c>
      <c r="AA29" s="936" t="s">
        <v>123</v>
      </c>
      <c r="AB29" s="936" t="s">
        <v>123</v>
      </c>
      <c r="AC29" s="907" t="s">
        <v>123</v>
      </c>
      <c r="AD29" s="999"/>
      <c r="AE29" s="936"/>
      <c r="AF29" s="936"/>
      <c r="AG29" s="936"/>
      <c r="AH29" s="936"/>
      <c r="AI29" s="999"/>
      <c r="AJ29" s="935"/>
      <c r="AK29" s="966"/>
      <c r="AL29" s="949"/>
      <c r="AM29" s="949" t="s">
        <v>123</v>
      </c>
      <c r="AN29" s="949"/>
      <c r="AO29" s="999"/>
      <c r="AP29" s="936"/>
      <c r="AQ29" s="987"/>
      <c r="AR29" s="907"/>
      <c r="AS29" s="907"/>
      <c r="AT29" s="967" t="s">
        <v>123</v>
      </c>
      <c r="AU29" s="967" t="s">
        <v>123</v>
      </c>
      <c r="AV29" s="967" t="s">
        <v>123</v>
      </c>
      <c r="AW29" s="907" t="s">
        <v>123</v>
      </c>
      <c r="AX29" s="907" t="s">
        <v>123</v>
      </c>
      <c r="AY29" s="907" t="s">
        <v>123</v>
      </c>
      <c r="AZ29" s="936" t="s">
        <v>123</v>
      </c>
      <c r="BA29" s="935" t="s">
        <v>123</v>
      </c>
      <c r="BB29" s="1000"/>
      <c r="BC29" s="1001"/>
      <c r="BD29" s="936"/>
      <c r="BE29" s="907"/>
      <c r="BF29" s="1002" t="str">
        <f>IF($BC29="","",SUMIF(portfolio.!$A$4:$A623,BC29,portfolio.!$AN$4:$AN623))</f>
        <v/>
      </c>
      <c r="BG29" s="936" t="s">
        <v>123</v>
      </c>
      <c r="BH29" s="907" t="s">
        <v>123</v>
      </c>
      <c r="BI29" s="935" t="s">
        <v>123</v>
      </c>
      <c r="BJ29" s="1003"/>
      <c r="BK29" s="907" t="s">
        <v>123</v>
      </c>
      <c r="BL29" s="907" t="s">
        <v>123</v>
      </c>
      <c r="BM29" s="907" t="s">
        <v>123</v>
      </c>
      <c r="BN29" s="1004" t="s">
        <v>123</v>
      </c>
      <c r="BO29" s="907" t="str">
        <f t="shared" si="6"/>
        <v/>
      </c>
      <c r="BP29" s="907" t="str">
        <f t="shared" si="7"/>
        <v/>
      </c>
      <c r="BQ29" s="907" t="str">
        <f t="shared" si="8"/>
        <v/>
      </c>
      <c r="BR29" s="1004" t="str">
        <f t="shared" si="9"/>
        <v/>
      </c>
      <c r="BS29" s="1005" t="str">
        <f t="shared" si="10"/>
        <v/>
      </c>
      <c r="BT29" s="1006" t="s">
        <v>123</v>
      </c>
      <c r="BU29" s="1002" t="s">
        <v>123</v>
      </c>
      <c r="BV29" s="1006" t="s">
        <v>123</v>
      </c>
      <c r="BW29" s="1007"/>
    </row>
    <row r="30">
      <c r="A30" s="624">
        <v>7.0</v>
      </c>
      <c r="B30" s="1008"/>
      <c r="C30" s="989"/>
      <c r="D30" s="851"/>
      <c r="E30" s="990"/>
      <c r="F30" s="991"/>
      <c r="G30" s="991"/>
      <c r="H30" s="992"/>
      <c r="I30" s="993"/>
      <c r="J30" s="1019" t="b">
        <v>0</v>
      </c>
      <c r="K30" s="1020"/>
      <c r="L30" s="1021"/>
      <c r="M30" s="1021" t="str">
        <f t="shared" si="12"/>
        <v/>
      </c>
      <c r="N30" s="993"/>
      <c r="O30" s="944" t="str">
        <f>IFERROR(VLOOKUP(K30,carteiras..!$B$2:$I$16,3,FALSE),"")</f>
        <v/>
      </c>
      <c r="P30" s="943" t="str">
        <f t="shared" si="13"/>
        <v/>
      </c>
      <c r="Q30" s="944" t="str">
        <f t="shared" si="14"/>
        <v/>
      </c>
      <c r="R30" s="993"/>
      <c r="S30" s="936"/>
      <c r="T30" s="998"/>
      <c r="U30" s="935"/>
      <c r="V30" s="935"/>
      <c r="W30" s="949" t="str">
        <f>IF(AND($S$20,NOT($U$20)),IF($V30:$V623="","",SUMIF(portfolio.!$A$4:$A623,V30,portfolio.!$AN$4:$AN623)),"")</f>
        <v/>
      </c>
      <c r="X30" s="998"/>
      <c r="Y30" s="936"/>
      <c r="Z30" s="936" t="s">
        <v>123</v>
      </c>
      <c r="AA30" s="936" t="s">
        <v>123</v>
      </c>
      <c r="AB30" s="936" t="s">
        <v>123</v>
      </c>
      <c r="AC30" s="907" t="s">
        <v>123</v>
      </c>
      <c r="AD30" s="999"/>
      <c r="AE30" s="936"/>
      <c r="AF30" s="936"/>
      <c r="AG30" s="936"/>
      <c r="AH30" s="936"/>
      <c r="AI30" s="999"/>
      <c r="AJ30" s="935"/>
      <c r="AK30" s="966"/>
      <c r="AL30" s="949"/>
      <c r="AM30" s="949" t="s">
        <v>123</v>
      </c>
      <c r="AN30" s="949"/>
      <c r="AO30" s="999"/>
      <c r="AP30" s="936"/>
      <c r="AQ30" s="987"/>
      <c r="AR30" s="907"/>
      <c r="AS30" s="907"/>
      <c r="AT30" s="967" t="s">
        <v>123</v>
      </c>
      <c r="AU30" s="967" t="s">
        <v>123</v>
      </c>
      <c r="AV30" s="967" t="s">
        <v>123</v>
      </c>
      <c r="AW30" s="907" t="s">
        <v>123</v>
      </c>
      <c r="AX30" s="907" t="s">
        <v>123</v>
      </c>
      <c r="AY30" s="907" t="s">
        <v>123</v>
      </c>
      <c r="AZ30" s="936" t="s">
        <v>123</v>
      </c>
      <c r="BA30" s="935" t="s">
        <v>123</v>
      </c>
      <c r="BB30" s="1000"/>
      <c r="BC30" s="1001"/>
      <c r="BD30" s="936"/>
      <c r="BE30" s="907"/>
      <c r="BF30" s="1002" t="str">
        <f>IF($BC30="","",SUMIF(portfolio.!$A$4:$A623,BC30,portfolio.!$AN$4:$AN623))</f>
        <v/>
      </c>
      <c r="BG30" s="936" t="s">
        <v>123</v>
      </c>
      <c r="BH30" s="907" t="s">
        <v>123</v>
      </c>
      <c r="BI30" s="935" t="s">
        <v>123</v>
      </c>
      <c r="BJ30" s="1003"/>
      <c r="BK30" s="907" t="s">
        <v>123</v>
      </c>
      <c r="BL30" s="907" t="s">
        <v>123</v>
      </c>
      <c r="BM30" s="907" t="s">
        <v>123</v>
      </c>
      <c r="BN30" s="1004" t="s">
        <v>123</v>
      </c>
      <c r="BO30" s="907" t="str">
        <f t="shared" si="6"/>
        <v/>
      </c>
      <c r="BP30" s="907" t="str">
        <f t="shared" si="7"/>
        <v/>
      </c>
      <c r="BQ30" s="907" t="str">
        <f t="shared" si="8"/>
        <v/>
      </c>
      <c r="BR30" s="1004" t="str">
        <f t="shared" si="9"/>
        <v/>
      </c>
      <c r="BS30" s="1005" t="str">
        <f t="shared" si="10"/>
        <v/>
      </c>
      <c r="BT30" s="1006" t="s">
        <v>123</v>
      </c>
      <c r="BU30" s="1002" t="s">
        <v>123</v>
      </c>
      <c r="BV30" s="1006" t="s">
        <v>123</v>
      </c>
      <c r="BW30" s="1007"/>
    </row>
    <row r="31">
      <c r="A31" s="624">
        <v>8.0</v>
      </c>
      <c r="B31" s="1008"/>
      <c r="C31" s="989"/>
      <c r="D31" s="851"/>
      <c r="E31" s="990"/>
      <c r="F31" s="991"/>
      <c r="G31" s="991"/>
      <c r="H31" s="992"/>
      <c r="I31" s="993"/>
      <c r="J31" s="1019" t="b">
        <v>0</v>
      </c>
      <c r="K31" s="1020"/>
      <c r="L31" s="1021"/>
      <c r="M31" s="1021" t="str">
        <f t="shared" si="12"/>
        <v/>
      </c>
      <c r="N31" s="993"/>
      <c r="O31" s="944" t="str">
        <f>IFERROR(VLOOKUP(K31,carteiras..!$B$2:$I$16,3,FALSE),"")</f>
        <v/>
      </c>
      <c r="P31" s="943" t="str">
        <f t="shared" si="13"/>
        <v/>
      </c>
      <c r="Q31" s="944" t="str">
        <f t="shared" si="14"/>
        <v/>
      </c>
      <c r="R31" s="993"/>
      <c r="S31" s="936"/>
      <c r="T31" s="998"/>
      <c r="U31" s="935"/>
      <c r="V31" s="935"/>
      <c r="W31" s="949" t="str">
        <f>IF(AND($S$20,NOT($U$20)),IF($V31:$V623="","",SUMIF(portfolio.!$A$4:$A623,V31,portfolio.!$AN$4:$AN623)),"")</f>
        <v/>
      </c>
      <c r="X31" s="998"/>
      <c r="Y31" s="936"/>
      <c r="Z31" s="936" t="s">
        <v>123</v>
      </c>
      <c r="AA31" s="936" t="s">
        <v>123</v>
      </c>
      <c r="AB31" s="936" t="s">
        <v>123</v>
      </c>
      <c r="AC31" s="907" t="s">
        <v>123</v>
      </c>
      <c r="AD31" s="999"/>
      <c r="AE31" s="936"/>
      <c r="AF31" s="936"/>
      <c r="AG31" s="936"/>
      <c r="AH31" s="936"/>
      <c r="AI31" s="999"/>
      <c r="AJ31" s="935"/>
      <c r="AK31" s="966"/>
      <c r="AL31" s="949"/>
      <c r="AM31" s="949" t="s">
        <v>123</v>
      </c>
      <c r="AN31" s="949"/>
      <c r="AO31" s="999"/>
      <c r="AP31" s="936"/>
      <c r="AQ31" s="987"/>
      <c r="AR31" s="907"/>
      <c r="AS31" s="907"/>
      <c r="AT31" s="967" t="s">
        <v>123</v>
      </c>
      <c r="AU31" s="967" t="s">
        <v>123</v>
      </c>
      <c r="AV31" s="967" t="s">
        <v>123</v>
      </c>
      <c r="AW31" s="907" t="s">
        <v>123</v>
      </c>
      <c r="AX31" s="907" t="s">
        <v>123</v>
      </c>
      <c r="AY31" s="907" t="s">
        <v>123</v>
      </c>
      <c r="AZ31" s="936" t="s">
        <v>123</v>
      </c>
      <c r="BA31" s="935" t="s">
        <v>123</v>
      </c>
      <c r="BB31" s="1000"/>
      <c r="BC31" s="1001"/>
      <c r="BD31" s="936"/>
      <c r="BE31" s="907"/>
      <c r="BF31" s="1002" t="str">
        <f>IF($BC31="","",SUMIF(portfolio.!$A$4:$A623,BC31,portfolio.!$AN$4:$AN623))</f>
        <v/>
      </c>
      <c r="BG31" s="936" t="s">
        <v>123</v>
      </c>
      <c r="BH31" s="907" t="s">
        <v>123</v>
      </c>
      <c r="BI31" s="935" t="s">
        <v>123</v>
      </c>
      <c r="BJ31" s="1003"/>
      <c r="BK31" s="907" t="s">
        <v>123</v>
      </c>
      <c r="BL31" s="907" t="s">
        <v>123</v>
      </c>
      <c r="BM31" s="907" t="s">
        <v>123</v>
      </c>
      <c r="BN31" s="1004" t="s">
        <v>123</v>
      </c>
      <c r="BO31" s="907" t="str">
        <f t="shared" si="6"/>
        <v/>
      </c>
      <c r="BP31" s="907" t="str">
        <f t="shared" si="7"/>
        <v/>
      </c>
      <c r="BQ31" s="907" t="str">
        <f t="shared" si="8"/>
        <v/>
      </c>
      <c r="BR31" s="1004" t="str">
        <f t="shared" si="9"/>
        <v/>
      </c>
      <c r="BS31" s="1005" t="str">
        <f t="shared" si="10"/>
        <v/>
      </c>
      <c r="BT31" s="1006" t="s">
        <v>123</v>
      </c>
      <c r="BU31" s="1002" t="s">
        <v>123</v>
      </c>
      <c r="BV31" s="1006" t="s">
        <v>123</v>
      </c>
      <c r="BW31" s="1007"/>
    </row>
    <row r="32">
      <c r="A32" s="624">
        <v>9.0</v>
      </c>
      <c r="B32" s="1008"/>
      <c r="C32" s="989"/>
      <c r="D32" s="851"/>
      <c r="E32" s="990"/>
      <c r="F32" s="991"/>
      <c r="G32" s="991"/>
      <c r="H32" s="992"/>
      <c r="I32" s="993"/>
      <c r="J32" s="1019" t="b">
        <v>0</v>
      </c>
      <c r="K32" s="1020"/>
      <c r="L32" s="1021"/>
      <c r="M32" s="1021" t="str">
        <f t="shared" si="12"/>
        <v/>
      </c>
      <c r="N32" s="993"/>
      <c r="O32" s="944" t="str">
        <f>IFERROR(VLOOKUP(K32,carteiras..!$B$2:$I$16,3,FALSE),"")</f>
        <v/>
      </c>
      <c r="P32" s="943" t="str">
        <f t="shared" si="13"/>
        <v/>
      </c>
      <c r="Q32" s="944" t="str">
        <f t="shared" si="14"/>
        <v/>
      </c>
      <c r="R32" s="993"/>
      <c r="S32" s="936"/>
      <c r="T32" s="998"/>
      <c r="U32" s="935"/>
      <c r="V32" s="935"/>
      <c r="W32" s="949" t="str">
        <f>IF(AND($S$20,NOT($U$20)),IF($V32:$V623="","",SUMIF(portfolio.!$A$4:$A623,V32,portfolio.!$AN$4:$AN623)),"")</f>
        <v/>
      </c>
      <c r="X32" s="998"/>
      <c r="Y32" s="936"/>
      <c r="Z32" s="936" t="s">
        <v>123</v>
      </c>
      <c r="AA32" s="936" t="s">
        <v>123</v>
      </c>
      <c r="AB32" s="936" t="s">
        <v>123</v>
      </c>
      <c r="AC32" s="907" t="s">
        <v>123</v>
      </c>
      <c r="AD32" s="999"/>
      <c r="AE32" s="936"/>
      <c r="AF32" s="936"/>
      <c r="AG32" s="936"/>
      <c r="AH32" s="936"/>
      <c r="AI32" s="999"/>
      <c r="AJ32" s="935"/>
      <c r="AK32" s="966"/>
      <c r="AL32" s="949"/>
      <c r="AM32" s="949" t="s">
        <v>123</v>
      </c>
      <c r="AN32" s="949"/>
      <c r="AO32" s="999"/>
      <c r="AP32" s="936"/>
      <c r="AQ32" s="987"/>
      <c r="AR32" s="907"/>
      <c r="AS32" s="907"/>
      <c r="AT32" s="967" t="s">
        <v>123</v>
      </c>
      <c r="AU32" s="967" t="s">
        <v>123</v>
      </c>
      <c r="AV32" s="967" t="s">
        <v>123</v>
      </c>
      <c r="AW32" s="907" t="s">
        <v>123</v>
      </c>
      <c r="AX32" s="907" t="s">
        <v>123</v>
      </c>
      <c r="AY32" s="907" t="s">
        <v>123</v>
      </c>
      <c r="AZ32" s="936" t="s">
        <v>123</v>
      </c>
      <c r="BA32" s="935" t="s">
        <v>123</v>
      </c>
      <c r="BB32" s="1000"/>
      <c r="BC32" s="1001"/>
      <c r="BD32" s="936"/>
      <c r="BE32" s="907"/>
      <c r="BF32" s="1002" t="str">
        <f>IF($BC32="","",SUMIF(portfolio.!$A$4:$A623,BC32,portfolio.!$AN$4:$AN623))</f>
        <v/>
      </c>
      <c r="BG32" s="936" t="s">
        <v>123</v>
      </c>
      <c r="BH32" s="907" t="s">
        <v>123</v>
      </c>
      <c r="BI32" s="935" t="s">
        <v>123</v>
      </c>
      <c r="BJ32" s="1003"/>
      <c r="BK32" s="907" t="s">
        <v>123</v>
      </c>
      <c r="BL32" s="907" t="s">
        <v>123</v>
      </c>
      <c r="BM32" s="907" t="s">
        <v>123</v>
      </c>
      <c r="BN32" s="1004" t="s">
        <v>123</v>
      </c>
      <c r="BO32" s="907" t="str">
        <f t="shared" si="6"/>
        <v/>
      </c>
      <c r="BP32" s="907" t="str">
        <f t="shared" si="7"/>
        <v/>
      </c>
      <c r="BQ32" s="907" t="str">
        <f t="shared" si="8"/>
        <v/>
      </c>
      <c r="BR32" s="1004" t="str">
        <f t="shared" si="9"/>
        <v/>
      </c>
      <c r="BS32" s="1005" t="str">
        <f t="shared" si="10"/>
        <v/>
      </c>
      <c r="BT32" s="1006" t="s">
        <v>123</v>
      </c>
      <c r="BU32" s="1002" t="s">
        <v>123</v>
      </c>
      <c r="BV32" s="1006" t="s">
        <v>123</v>
      </c>
      <c r="BW32" s="1007"/>
    </row>
    <row r="33">
      <c r="A33" s="624">
        <v>10.0</v>
      </c>
      <c r="B33" s="1008"/>
      <c r="C33" s="989"/>
      <c r="D33" s="851"/>
      <c r="E33" s="990"/>
      <c r="F33" s="991"/>
      <c r="G33" s="991"/>
      <c r="H33" s="992"/>
      <c r="I33" s="993"/>
      <c r="J33" s="1019" t="b">
        <v>0</v>
      </c>
      <c r="K33" s="1020"/>
      <c r="L33" s="1021"/>
      <c r="M33" s="1021" t="str">
        <f t="shared" si="12"/>
        <v/>
      </c>
      <c r="N33" s="993"/>
      <c r="O33" s="944" t="str">
        <f>IFERROR(VLOOKUP(K33,carteiras..!$B$2:$I$16,3,FALSE),"")</f>
        <v/>
      </c>
      <c r="P33" s="943" t="str">
        <f t="shared" si="13"/>
        <v/>
      </c>
      <c r="Q33" s="944" t="str">
        <f t="shared" si="14"/>
        <v/>
      </c>
      <c r="R33" s="993"/>
      <c r="S33" s="936"/>
      <c r="T33" s="998"/>
      <c r="U33" s="935"/>
      <c r="V33" s="935"/>
      <c r="W33" s="949" t="str">
        <f>IF(AND($S$20,NOT($U$20)),IF($V33:$V623="","",SUMIF(portfolio.!$A$4:$A623,V33,portfolio.!$AN$4:$AN623)),"")</f>
        <v/>
      </c>
      <c r="X33" s="998"/>
      <c r="Y33" s="936"/>
      <c r="Z33" s="936" t="s">
        <v>123</v>
      </c>
      <c r="AA33" s="936" t="s">
        <v>123</v>
      </c>
      <c r="AB33" s="936" t="s">
        <v>123</v>
      </c>
      <c r="AC33" s="907" t="s">
        <v>123</v>
      </c>
      <c r="AD33" s="999"/>
      <c r="AE33" s="936"/>
      <c r="AF33" s="936"/>
      <c r="AG33" s="936"/>
      <c r="AH33" s="936"/>
      <c r="AI33" s="999"/>
      <c r="AJ33" s="935"/>
      <c r="AK33" s="966"/>
      <c r="AL33" s="949"/>
      <c r="AM33" s="949" t="s">
        <v>123</v>
      </c>
      <c r="AN33" s="949"/>
      <c r="AO33" s="999"/>
      <c r="AP33" s="936"/>
      <c r="AQ33" s="987"/>
      <c r="AR33" s="907"/>
      <c r="AS33" s="907"/>
      <c r="AT33" s="967" t="s">
        <v>123</v>
      </c>
      <c r="AU33" s="967" t="s">
        <v>123</v>
      </c>
      <c r="AV33" s="967" t="s">
        <v>123</v>
      </c>
      <c r="AW33" s="907" t="s">
        <v>123</v>
      </c>
      <c r="AX33" s="907" t="s">
        <v>123</v>
      </c>
      <c r="AY33" s="907" t="s">
        <v>123</v>
      </c>
      <c r="AZ33" s="936" t="s">
        <v>123</v>
      </c>
      <c r="BA33" s="935" t="s">
        <v>123</v>
      </c>
      <c r="BB33" s="1000"/>
      <c r="BC33" s="1001"/>
      <c r="BD33" s="936"/>
      <c r="BE33" s="907"/>
      <c r="BF33" s="1002" t="str">
        <f>IF($BC33="","",SUMIF(portfolio.!$A$4:$A623,BC33,portfolio.!$AN$4:$AN623))</f>
        <v/>
      </c>
      <c r="BG33" s="936" t="s">
        <v>123</v>
      </c>
      <c r="BH33" s="907" t="s">
        <v>123</v>
      </c>
      <c r="BI33" s="935" t="s">
        <v>123</v>
      </c>
      <c r="BJ33" s="1003"/>
      <c r="BK33" s="907" t="s">
        <v>123</v>
      </c>
      <c r="BL33" s="907" t="s">
        <v>123</v>
      </c>
      <c r="BM33" s="907" t="s">
        <v>123</v>
      </c>
      <c r="BN33" s="1004" t="s">
        <v>123</v>
      </c>
      <c r="BO33" s="907" t="str">
        <f t="shared" si="6"/>
        <v/>
      </c>
      <c r="BP33" s="907" t="str">
        <f t="shared" si="7"/>
        <v/>
      </c>
      <c r="BQ33" s="907" t="str">
        <f t="shared" si="8"/>
        <v/>
      </c>
      <c r="BR33" s="1004" t="str">
        <f t="shared" si="9"/>
        <v/>
      </c>
      <c r="BS33" s="1005" t="str">
        <f t="shared" si="10"/>
        <v/>
      </c>
      <c r="BT33" s="1006" t="s">
        <v>123</v>
      </c>
      <c r="BU33" s="1002" t="s">
        <v>123</v>
      </c>
      <c r="BV33" s="1006" t="s">
        <v>123</v>
      </c>
      <c r="BW33" s="1007"/>
    </row>
    <row r="34">
      <c r="A34" s="624">
        <v>11.0</v>
      </c>
      <c r="B34" s="1008"/>
      <c r="C34" s="989"/>
      <c r="D34" s="851"/>
      <c r="E34" s="990"/>
      <c r="F34" s="991"/>
      <c r="G34" s="991"/>
      <c r="H34" s="992"/>
      <c r="I34" s="993"/>
      <c r="J34" s="1019" t="b">
        <v>0</v>
      </c>
      <c r="K34" s="1020"/>
      <c r="L34" s="1021"/>
      <c r="M34" s="1021" t="str">
        <f t="shared" si="12"/>
        <v/>
      </c>
      <c r="N34" s="993"/>
      <c r="O34" s="944" t="str">
        <f>IFERROR(VLOOKUP(K34,carteiras..!$B$2:$I$16,3,FALSE),"")</f>
        <v/>
      </c>
      <c r="P34" s="943" t="str">
        <f t="shared" si="13"/>
        <v/>
      </c>
      <c r="Q34" s="944" t="str">
        <f t="shared" si="14"/>
        <v/>
      </c>
      <c r="R34" s="993"/>
      <c r="S34" s="936"/>
      <c r="T34" s="998"/>
      <c r="U34" s="935"/>
      <c r="V34" s="935"/>
      <c r="W34" s="949" t="str">
        <f>IF(AND($S$20,NOT($U$20)),IF($V34:$V623="","",SUMIF(portfolio.!$A$4:$A623,V34,portfolio.!$AN$4:$AN623)),"")</f>
        <v/>
      </c>
      <c r="X34" s="998"/>
      <c r="Y34" s="936"/>
      <c r="Z34" s="936" t="s">
        <v>123</v>
      </c>
      <c r="AA34" s="936" t="s">
        <v>123</v>
      </c>
      <c r="AB34" s="936" t="s">
        <v>123</v>
      </c>
      <c r="AC34" s="907" t="s">
        <v>123</v>
      </c>
      <c r="AD34" s="999"/>
      <c r="AE34" s="936"/>
      <c r="AF34" s="936"/>
      <c r="AG34" s="936"/>
      <c r="AH34" s="936"/>
      <c r="AI34" s="999"/>
      <c r="AJ34" s="935"/>
      <c r="AK34" s="966"/>
      <c r="AL34" s="949"/>
      <c r="AM34" s="949" t="s">
        <v>123</v>
      </c>
      <c r="AN34" s="949"/>
      <c r="AO34" s="999"/>
      <c r="AP34" s="936"/>
      <c r="AQ34" s="987"/>
      <c r="AR34" s="907"/>
      <c r="AS34" s="907"/>
      <c r="AT34" s="967" t="s">
        <v>123</v>
      </c>
      <c r="AU34" s="967" t="s">
        <v>123</v>
      </c>
      <c r="AV34" s="967" t="s">
        <v>123</v>
      </c>
      <c r="AW34" s="907" t="s">
        <v>123</v>
      </c>
      <c r="AX34" s="907" t="s">
        <v>123</v>
      </c>
      <c r="AY34" s="907" t="s">
        <v>123</v>
      </c>
      <c r="AZ34" s="936" t="s">
        <v>123</v>
      </c>
      <c r="BA34" s="935" t="s">
        <v>123</v>
      </c>
      <c r="BB34" s="1000"/>
      <c r="BC34" s="1001"/>
      <c r="BD34" s="936"/>
      <c r="BE34" s="907"/>
      <c r="BF34" s="1002" t="str">
        <f>IF($BC34="","",SUMIF(portfolio.!$A$4:$A623,BC34,portfolio.!$AN$4:$AN623))</f>
        <v/>
      </c>
      <c r="BG34" s="936" t="s">
        <v>123</v>
      </c>
      <c r="BH34" s="907" t="s">
        <v>123</v>
      </c>
      <c r="BI34" s="935" t="s">
        <v>123</v>
      </c>
      <c r="BJ34" s="1003"/>
      <c r="BK34" s="907" t="s">
        <v>123</v>
      </c>
      <c r="BL34" s="907" t="s">
        <v>123</v>
      </c>
      <c r="BM34" s="907" t="s">
        <v>123</v>
      </c>
      <c r="BN34" s="1004" t="s">
        <v>123</v>
      </c>
      <c r="BO34" s="907" t="str">
        <f t="shared" si="6"/>
        <v/>
      </c>
      <c r="BP34" s="907" t="str">
        <f t="shared" si="7"/>
        <v/>
      </c>
      <c r="BQ34" s="907" t="str">
        <f t="shared" si="8"/>
        <v/>
      </c>
      <c r="BR34" s="1004" t="str">
        <f t="shared" si="9"/>
        <v/>
      </c>
      <c r="BS34" s="1005" t="str">
        <f t="shared" si="10"/>
        <v/>
      </c>
      <c r="BT34" s="1006" t="s">
        <v>123</v>
      </c>
      <c r="BU34" s="1002" t="s">
        <v>123</v>
      </c>
      <c r="BV34" s="1006" t="s">
        <v>123</v>
      </c>
      <c r="BW34" s="1007"/>
    </row>
    <row r="35">
      <c r="A35" s="624">
        <v>12.0</v>
      </c>
      <c r="B35" s="1008"/>
      <c r="C35" s="989"/>
      <c r="D35" s="851"/>
      <c r="E35" s="990"/>
      <c r="F35" s="991"/>
      <c r="G35" s="991"/>
      <c r="H35" s="992"/>
      <c r="I35" s="993"/>
      <c r="J35" s="1019" t="b">
        <v>0</v>
      </c>
      <c r="K35" s="1020"/>
      <c r="L35" s="1021"/>
      <c r="M35" s="1021" t="str">
        <f t="shared" si="12"/>
        <v/>
      </c>
      <c r="N35" s="993"/>
      <c r="O35" s="944" t="str">
        <f>IFERROR(VLOOKUP(K35,carteiras..!$B$2:$I$16,3,FALSE),"")</f>
        <v/>
      </c>
      <c r="P35" s="943" t="str">
        <f t="shared" si="13"/>
        <v/>
      </c>
      <c r="Q35" s="944" t="str">
        <f t="shared" si="14"/>
        <v/>
      </c>
      <c r="R35" s="993"/>
      <c r="S35" s="936"/>
      <c r="T35" s="998"/>
      <c r="U35" s="935"/>
      <c r="V35" s="935"/>
      <c r="W35" s="949" t="str">
        <f>IF(AND($S$20,NOT($U$20)),IF($V35:$V623="","",SUMIF(portfolio.!$A$4:$A623,V35,portfolio.!$AN$4:$AN623)),"")</f>
        <v/>
      </c>
      <c r="X35" s="998"/>
      <c r="Y35" s="936"/>
      <c r="Z35" s="936" t="s">
        <v>123</v>
      </c>
      <c r="AA35" s="936" t="s">
        <v>123</v>
      </c>
      <c r="AB35" s="936" t="s">
        <v>123</v>
      </c>
      <c r="AC35" s="907" t="s">
        <v>123</v>
      </c>
      <c r="AD35" s="999"/>
      <c r="AE35" s="936"/>
      <c r="AF35" s="936"/>
      <c r="AG35" s="936"/>
      <c r="AH35" s="936"/>
      <c r="AI35" s="999"/>
      <c r="AJ35" s="935"/>
      <c r="AK35" s="966"/>
      <c r="AL35" s="949"/>
      <c r="AM35" s="949" t="s">
        <v>123</v>
      </c>
      <c r="AN35" s="949"/>
      <c r="AO35" s="999"/>
      <c r="AP35" s="936"/>
      <c r="AQ35" s="987"/>
      <c r="AR35" s="907"/>
      <c r="AS35" s="907"/>
      <c r="AT35" s="967" t="s">
        <v>123</v>
      </c>
      <c r="AU35" s="967" t="s">
        <v>123</v>
      </c>
      <c r="AV35" s="967" t="s">
        <v>123</v>
      </c>
      <c r="AW35" s="907" t="s">
        <v>123</v>
      </c>
      <c r="AX35" s="907" t="s">
        <v>123</v>
      </c>
      <c r="AY35" s="907" t="s">
        <v>123</v>
      </c>
      <c r="AZ35" s="936" t="s">
        <v>123</v>
      </c>
      <c r="BA35" s="935" t="s">
        <v>123</v>
      </c>
      <c r="BB35" s="1000"/>
      <c r="BC35" s="1001"/>
      <c r="BD35" s="936"/>
      <c r="BE35" s="907"/>
      <c r="BF35" s="1002" t="str">
        <f>IF($BC35="","",SUMIF(portfolio.!$A$4:$A623,BC35,portfolio.!$AN$4:$AN623))</f>
        <v/>
      </c>
      <c r="BG35" s="936" t="s">
        <v>123</v>
      </c>
      <c r="BH35" s="907" t="s">
        <v>123</v>
      </c>
      <c r="BI35" s="935" t="s">
        <v>123</v>
      </c>
      <c r="BJ35" s="1003"/>
      <c r="BK35" s="907" t="s">
        <v>123</v>
      </c>
      <c r="BL35" s="907" t="s">
        <v>123</v>
      </c>
      <c r="BM35" s="907" t="s">
        <v>123</v>
      </c>
      <c r="BN35" s="1004" t="s">
        <v>123</v>
      </c>
      <c r="BO35" s="907" t="str">
        <f t="shared" si="6"/>
        <v/>
      </c>
      <c r="BP35" s="907" t="str">
        <f t="shared" si="7"/>
        <v/>
      </c>
      <c r="BQ35" s="907" t="str">
        <f t="shared" si="8"/>
        <v/>
      </c>
      <c r="BR35" s="1004" t="str">
        <f t="shared" si="9"/>
        <v/>
      </c>
      <c r="BS35" s="1005" t="str">
        <f t="shared" si="10"/>
        <v/>
      </c>
      <c r="BT35" s="1006" t="s">
        <v>123</v>
      </c>
      <c r="BU35" s="1002" t="s">
        <v>123</v>
      </c>
      <c r="BV35" s="1006" t="s">
        <v>123</v>
      </c>
      <c r="BW35" s="1007"/>
    </row>
    <row r="36">
      <c r="A36" s="624">
        <v>13.0</v>
      </c>
      <c r="B36" s="1008"/>
      <c r="C36" s="989"/>
      <c r="D36" s="851"/>
      <c r="E36" s="990"/>
      <c r="F36" s="991"/>
      <c r="G36" s="991"/>
      <c r="H36" s="992"/>
      <c r="I36" s="993"/>
      <c r="J36" s="1019" t="b">
        <v>0</v>
      </c>
      <c r="K36" s="1020"/>
      <c r="L36" s="1021"/>
      <c r="M36" s="1021" t="str">
        <f t="shared" si="12"/>
        <v/>
      </c>
      <c r="N36" s="993"/>
      <c r="O36" s="944" t="str">
        <f>IFERROR(VLOOKUP(K36,carteiras..!$B$2:$I$16,3,FALSE),"")</f>
        <v/>
      </c>
      <c r="P36" s="943" t="str">
        <f t="shared" si="13"/>
        <v/>
      </c>
      <c r="Q36" s="944" t="str">
        <f t="shared" si="14"/>
        <v/>
      </c>
      <c r="R36" s="993"/>
      <c r="S36" s="936"/>
      <c r="T36" s="998"/>
      <c r="U36" s="935"/>
      <c r="V36" s="935"/>
      <c r="W36" s="949" t="str">
        <f>IF(AND($S$20,NOT($U$20)),IF($V36:$V623="","",SUMIF(portfolio.!$A$4:$A623,V36,portfolio.!$AN$4:$AN623)),"")</f>
        <v/>
      </c>
      <c r="X36" s="998"/>
      <c r="Y36" s="936"/>
      <c r="Z36" s="936" t="s">
        <v>123</v>
      </c>
      <c r="AA36" s="936" t="s">
        <v>123</v>
      </c>
      <c r="AB36" s="936" t="s">
        <v>123</v>
      </c>
      <c r="AC36" s="907" t="s">
        <v>123</v>
      </c>
      <c r="AD36" s="999"/>
      <c r="AE36" s="936"/>
      <c r="AF36" s="936"/>
      <c r="AG36" s="936"/>
      <c r="AH36" s="936"/>
      <c r="AI36" s="999"/>
      <c r="AJ36" s="935"/>
      <c r="AK36" s="966"/>
      <c r="AL36" s="949"/>
      <c r="AM36" s="949" t="s">
        <v>123</v>
      </c>
      <c r="AN36" s="949"/>
      <c r="AO36" s="999"/>
      <c r="AP36" s="936"/>
      <c r="AQ36" s="987"/>
      <c r="AR36" s="907"/>
      <c r="AS36" s="907"/>
      <c r="AT36" s="967" t="s">
        <v>123</v>
      </c>
      <c r="AU36" s="967" t="s">
        <v>123</v>
      </c>
      <c r="AV36" s="967" t="s">
        <v>123</v>
      </c>
      <c r="AW36" s="907" t="s">
        <v>123</v>
      </c>
      <c r="AX36" s="907" t="s">
        <v>123</v>
      </c>
      <c r="AY36" s="907" t="s">
        <v>123</v>
      </c>
      <c r="AZ36" s="936" t="s">
        <v>123</v>
      </c>
      <c r="BA36" s="935" t="s">
        <v>123</v>
      </c>
      <c r="BB36" s="1000"/>
      <c r="BC36" s="1001"/>
      <c r="BD36" s="936"/>
      <c r="BE36" s="907"/>
      <c r="BF36" s="1002" t="str">
        <f>IF($BC36="","",SUMIF(portfolio.!$A$4:$A623,BC36,portfolio.!$AN$4:$AN623))</f>
        <v/>
      </c>
      <c r="BG36" s="936" t="s">
        <v>123</v>
      </c>
      <c r="BH36" s="907" t="s">
        <v>123</v>
      </c>
      <c r="BI36" s="935" t="s">
        <v>123</v>
      </c>
      <c r="BJ36" s="1003"/>
      <c r="BK36" s="907" t="s">
        <v>123</v>
      </c>
      <c r="BL36" s="907" t="s">
        <v>123</v>
      </c>
      <c r="BM36" s="907" t="s">
        <v>123</v>
      </c>
      <c r="BN36" s="1004" t="s">
        <v>123</v>
      </c>
      <c r="BO36" s="907" t="str">
        <f t="shared" si="6"/>
        <v/>
      </c>
      <c r="BP36" s="907" t="str">
        <f t="shared" si="7"/>
        <v/>
      </c>
      <c r="BQ36" s="907" t="str">
        <f t="shared" si="8"/>
        <v/>
      </c>
      <c r="BR36" s="1004" t="str">
        <f t="shared" si="9"/>
        <v/>
      </c>
      <c r="BS36" s="1005" t="str">
        <f t="shared" si="10"/>
        <v/>
      </c>
      <c r="BT36" s="1006" t="s">
        <v>123</v>
      </c>
      <c r="BU36" s="1002" t="s">
        <v>123</v>
      </c>
      <c r="BV36" s="1006" t="s">
        <v>123</v>
      </c>
      <c r="BW36" s="1007"/>
    </row>
    <row r="37">
      <c r="A37" s="624">
        <v>14.0</v>
      </c>
      <c r="B37" s="1008"/>
      <c r="C37" s="989"/>
      <c r="D37" s="851"/>
      <c r="E37" s="990"/>
      <c r="F37" s="991"/>
      <c r="G37" s="991"/>
      <c r="H37" s="992"/>
      <c r="I37" s="993"/>
      <c r="J37" s="1019" t="b">
        <v>0</v>
      </c>
      <c r="K37" s="1020"/>
      <c r="L37" s="1021"/>
      <c r="M37" s="1021" t="str">
        <f t="shared" si="12"/>
        <v/>
      </c>
      <c r="N37" s="993"/>
      <c r="O37" s="944" t="str">
        <f>IFERROR(VLOOKUP(K37,carteiras..!$B$2:$I$16,3,FALSE),"")</f>
        <v/>
      </c>
      <c r="P37" s="943" t="str">
        <f t="shared" si="13"/>
        <v/>
      </c>
      <c r="Q37" s="944" t="str">
        <f t="shared" si="14"/>
        <v/>
      </c>
      <c r="R37" s="993"/>
      <c r="S37" s="936"/>
      <c r="T37" s="998"/>
      <c r="U37" s="935"/>
      <c r="V37" s="935"/>
      <c r="W37" s="949" t="str">
        <f>IF(AND($S$20,NOT($U$20)),IF($V37:$V623="","",SUMIF(portfolio.!$A$4:$A623,V37,portfolio.!$AN$4:$AN623)),"")</f>
        <v/>
      </c>
      <c r="X37" s="998"/>
      <c r="Y37" s="936"/>
      <c r="Z37" s="936" t="s">
        <v>123</v>
      </c>
      <c r="AA37" s="936" t="s">
        <v>123</v>
      </c>
      <c r="AB37" s="936" t="s">
        <v>123</v>
      </c>
      <c r="AC37" s="907" t="s">
        <v>123</v>
      </c>
      <c r="AD37" s="999"/>
      <c r="AE37" s="936"/>
      <c r="AF37" s="936"/>
      <c r="AG37" s="936"/>
      <c r="AH37" s="936"/>
      <c r="AI37" s="999"/>
      <c r="AJ37" s="935"/>
      <c r="AK37" s="966"/>
      <c r="AL37" s="949"/>
      <c r="AM37" s="949" t="s">
        <v>123</v>
      </c>
      <c r="AN37" s="949"/>
      <c r="AO37" s="999"/>
      <c r="AP37" s="936"/>
      <c r="AQ37" s="987"/>
      <c r="AR37" s="907"/>
      <c r="AS37" s="907"/>
      <c r="AT37" s="967" t="s">
        <v>123</v>
      </c>
      <c r="AU37" s="967" t="s">
        <v>123</v>
      </c>
      <c r="AV37" s="967" t="s">
        <v>123</v>
      </c>
      <c r="AW37" s="907" t="s">
        <v>123</v>
      </c>
      <c r="AX37" s="907" t="s">
        <v>123</v>
      </c>
      <c r="AY37" s="907" t="s">
        <v>123</v>
      </c>
      <c r="AZ37" s="936" t="s">
        <v>123</v>
      </c>
      <c r="BA37" s="935" t="s">
        <v>123</v>
      </c>
      <c r="BB37" s="1000"/>
      <c r="BC37" s="1001"/>
      <c r="BD37" s="936"/>
      <c r="BE37" s="907"/>
      <c r="BF37" s="1002" t="str">
        <f>IF($BC37="","",SUMIF(portfolio.!$A$4:$A623,BC37,portfolio.!$AN$4:$AN623))</f>
        <v/>
      </c>
      <c r="BG37" s="936" t="s">
        <v>123</v>
      </c>
      <c r="BH37" s="907" t="s">
        <v>123</v>
      </c>
      <c r="BI37" s="935" t="s">
        <v>123</v>
      </c>
      <c r="BJ37" s="1003"/>
      <c r="BK37" s="907" t="s">
        <v>123</v>
      </c>
      <c r="BL37" s="907" t="s">
        <v>123</v>
      </c>
      <c r="BM37" s="907" t="s">
        <v>123</v>
      </c>
      <c r="BN37" s="1004" t="s">
        <v>123</v>
      </c>
      <c r="BO37" s="907" t="str">
        <f t="shared" si="6"/>
        <v/>
      </c>
      <c r="BP37" s="907" t="str">
        <f t="shared" si="7"/>
        <v/>
      </c>
      <c r="BQ37" s="907" t="str">
        <f t="shared" si="8"/>
        <v/>
      </c>
      <c r="BR37" s="1004" t="str">
        <f t="shared" si="9"/>
        <v/>
      </c>
      <c r="BS37" s="1005" t="str">
        <f t="shared" si="10"/>
        <v/>
      </c>
      <c r="BT37" s="1006" t="s">
        <v>123</v>
      </c>
      <c r="BU37" s="1002" t="s">
        <v>123</v>
      </c>
      <c r="BV37" s="1006" t="s">
        <v>123</v>
      </c>
      <c r="BW37" s="1007"/>
    </row>
    <row r="38">
      <c r="A38" s="624">
        <v>15.0</v>
      </c>
      <c r="B38" s="1008"/>
      <c r="C38" s="989"/>
      <c r="D38" s="851"/>
      <c r="E38" s="990"/>
      <c r="F38" s="991"/>
      <c r="G38" s="991"/>
      <c r="H38" s="992"/>
      <c r="I38" s="993"/>
      <c r="J38" s="1019" t="b">
        <v>0</v>
      </c>
      <c r="K38" s="1020"/>
      <c r="L38" s="1021"/>
      <c r="M38" s="1021" t="str">
        <f t="shared" si="12"/>
        <v/>
      </c>
      <c r="N38" s="993"/>
      <c r="O38" s="944" t="str">
        <f>IFERROR(VLOOKUP(K38,carteiras..!$B$2:$I$16,3,FALSE),"")</f>
        <v/>
      </c>
      <c r="P38" s="943" t="str">
        <f t="shared" si="13"/>
        <v/>
      </c>
      <c r="Q38" s="944" t="str">
        <f t="shared" si="14"/>
        <v/>
      </c>
      <c r="R38" s="993"/>
      <c r="S38" s="936"/>
      <c r="T38" s="998"/>
      <c r="U38" s="935"/>
      <c r="V38" s="935"/>
      <c r="W38" s="949" t="str">
        <f>IF(AND($S$20,NOT($U$20)),IF($V38:$V623="","",SUMIF(portfolio.!$A$4:$A623,V38,portfolio.!$AN$4:$AN623)),"")</f>
        <v/>
      </c>
      <c r="X38" s="998"/>
      <c r="Y38" s="936"/>
      <c r="Z38" s="936" t="s">
        <v>123</v>
      </c>
      <c r="AA38" s="936" t="s">
        <v>123</v>
      </c>
      <c r="AB38" s="936" t="s">
        <v>123</v>
      </c>
      <c r="AC38" s="907" t="s">
        <v>123</v>
      </c>
      <c r="AD38" s="999"/>
      <c r="AE38" s="936"/>
      <c r="AF38" s="936"/>
      <c r="AG38" s="936"/>
      <c r="AH38" s="936"/>
      <c r="AI38" s="999"/>
      <c r="AJ38" s="935"/>
      <c r="AK38" s="966"/>
      <c r="AL38" s="949"/>
      <c r="AM38" s="949" t="s">
        <v>123</v>
      </c>
      <c r="AN38" s="949"/>
      <c r="AO38" s="999"/>
      <c r="AP38" s="936"/>
      <c r="AQ38" s="987"/>
      <c r="AR38" s="907"/>
      <c r="AS38" s="907"/>
      <c r="AT38" s="967" t="s">
        <v>123</v>
      </c>
      <c r="AU38" s="967" t="s">
        <v>123</v>
      </c>
      <c r="AV38" s="967" t="s">
        <v>123</v>
      </c>
      <c r="AW38" s="907" t="s">
        <v>123</v>
      </c>
      <c r="AX38" s="907" t="s">
        <v>123</v>
      </c>
      <c r="AY38" s="907" t="s">
        <v>123</v>
      </c>
      <c r="AZ38" s="936" t="s">
        <v>123</v>
      </c>
      <c r="BA38" s="935" t="s">
        <v>123</v>
      </c>
      <c r="BB38" s="1000"/>
      <c r="BC38" s="1001"/>
      <c r="BD38" s="936"/>
      <c r="BE38" s="907"/>
      <c r="BF38" s="1002" t="str">
        <f>IF($BC38="","",SUMIF(portfolio.!$A$4:$A623,BC38,portfolio.!$AN$4:$AN623))</f>
        <v/>
      </c>
      <c r="BG38" s="936" t="s">
        <v>123</v>
      </c>
      <c r="BH38" s="907" t="s">
        <v>123</v>
      </c>
      <c r="BI38" s="935" t="s">
        <v>123</v>
      </c>
      <c r="BJ38" s="1003"/>
      <c r="BK38" s="907" t="s">
        <v>123</v>
      </c>
      <c r="BL38" s="907" t="s">
        <v>123</v>
      </c>
      <c r="BM38" s="907" t="s">
        <v>123</v>
      </c>
      <c r="BN38" s="1004" t="s">
        <v>123</v>
      </c>
      <c r="BO38" s="907" t="str">
        <f t="shared" si="6"/>
        <v/>
      </c>
      <c r="BP38" s="907" t="str">
        <f t="shared" si="7"/>
        <v/>
      </c>
      <c r="BQ38" s="907" t="str">
        <f t="shared" si="8"/>
        <v/>
      </c>
      <c r="BR38" s="1004" t="str">
        <f t="shared" si="9"/>
        <v/>
      </c>
      <c r="BS38" s="1005" t="str">
        <f t="shared" si="10"/>
        <v/>
      </c>
      <c r="BT38" s="1006" t="s">
        <v>123</v>
      </c>
      <c r="BU38" s="1002" t="s">
        <v>123</v>
      </c>
      <c r="BV38" s="1006" t="s">
        <v>123</v>
      </c>
      <c r="BW38" s="1007"/>
    </row>
    <row r="39">
      <c r="A39" s="624">
        <v>16.0</v>
      </c>
      <c r="B39" s="1008"/>
      <c r="C39" s="989"/>
      <c r="D39" s="851"/>
      <c r="E39" s="990"/>
      <c r="F39" s="991"/>
      <c r="G39" s="1022"/>
      <c r="H39" s="992"/>
      <c r="I39" s="993"/>
      <c r="J39" s="1019" t="b">
        <v>0</v>
      </c>
      <c r="K39" s="1020"/>
      <c r="L39" s="1021"/>
      <c r="M39" s="1021" t="str">
        <f t="shared" si="12"/>
        <v/>
      </c>
      <c r="N39" s="993"/>
      <c r="O39" s="944" t="str">
        <f>IFERROR(VLOOKUP(K39,carteiras..!$B$2:$I$16,3,FALSE),"")</f>
        <v/>
      </c>
      <c r="P39" s="943" t="str">
        <f t="shared" si="13"/>
        <v/>
      </c>
      <c r="Q39" s="944" t="str">
        <f t="shared" si="14"/>
        <v/>
      </c>
      <c r="R39" s="993"/>
      <c r="S39" s="936"/>
      <c r="T39" s="998"/>
      <c r="U39" s="935"/>
      <c r="V39" s="935"/>
      <c r="W39" s="949" t="str">
        <f>IF(AND($S$20,NOT($U$20)),IF($V39:$V623="","",SUMIF(portfolio.!$A$4:$A623,V39,portfolio.!$AN$4:$AN623)),"")</f>
        <v/>
      </c>
      <c r="X39" s="998"/>
      <c r="Y39" s="936"/>
      <c r="Z39" s="936" t="s">
        <v>123</v>
      </c>
      <c r="AA39" s="936" t="s">
        <v>123</v>
      </c>
      <c r="AB39" s="936" t="s">
        <v>123</v>
      </c>
      <c r="AC39" s="907" t="s">
        <v>123</v>
      </c>
      <c r="AD39" s="999"/>
      <c r="AE39" s="936"/>
      <c r="AF39" s="936"/>
      <c r="AG39" s="936"/>
      <c r="AH39" s="936"/>
      <c r="AI39" s="999"/>
      <c r="AJ39" s="935"/>
      <c r="AK39" s="966"/>
      <c r="AL39" s="949"/>
      <c r="AM39" s="949" t="s">
        <v>123</v>
      </c>
      <c r="AN39" s="949"/>
      <c r="AO39" s="999"/>
      <c r="AP39" s="936"/>
      <c r="AQ39" s="987"/>
      <c r="AR39" s="907"/>
      <c r="AS39" s="907"/>
      <c r="AT39" s="967" t="s">
        <v>123</v>
      </c>
      <c r="AU39" s="967" t="s">
        <v>123</v>
      </c>
      <c r="AV39" s="967" t="s">
        <v>123</v>
      </c>
      <c r="AW39" s="907" t="s">
        <v>123</v>
      </c>
      <c r="AX39" s="907" t="s">
        <v>123</v>
      </c>
      <c r="AY39" s="907" t="s">
        <v>123</v>
      </c>
      <c r="AZ39" s="936" t="s">
        <v>123</v>
      </c>
      <c r="BA39" s="935" t="s">
        <v>123</v>
      </c>
      <c r="BB39" s="1000"/>
      <c r="BC39" s="1001"/>
      <c r="BD39" s="936"/>
      <c r="BE39" s="907"/>
      <c r="BF39" s="1002" t="str">
        <f>IF($BC39="","",SUMIF(portfolio.!$A$4:$A623,BC39,portfolio.!$AN$4:$AN623))</f>
        <v/>
      </c>
      <c r="BG39" s="936" t="s">
        <v>123</v>
      </c>
      <c r="BH39" s="907" t="s">
        <v>123</v>
      </c>
      <c r="BI39" s="935" t="s">
        <v>123</v>
      </c>
      <c r="BJ39" s="1003"/>
      <c r="BK39" s="907" t="s">
        <v>123</v>
      </c>
      <c r="BL39" s="907" t="s">
        <v>123</v>
      </c>
      <c r="BM39" s="907" t="s">
        <v>123</v>
      </c>
      <c r="BN39" s="1004" t="s">
        <v>123</v>
      </c>
      <c r="BO39" s="907" t="str">
        <f t="shared" si="6"/>
        <v/>
      </c>
      <c r="BP39" s="907" t="str">
        <f t="shared" si="7"/>
        <v/>
      </c>
      <c r="BQ39" s="907" t="str">
        <f t="shared" si="8"/>
        <v/>
      </c>
      <c r="BR39" s="1004" t="str">
        <f t="shared" si="9"/>
        <v/>
      </c>
      <c r="BS39" s="1005" t="str">
        <f t="shared" si="10"/>
        <v/>
      </c>
      <c r="BT39" s="1006" t="s">
        <v>123</v>
      </c>
      <c r="BU39" s="1002" t="s">
        <v>123</v>
      </c>
      <c r="BV39" s="1006" t="s">
        <v>123</v>
      </c>
      <c r="BW39" s="1007"/>
    </row>
    <row r="40">
      <c r="A40" s="624">
        <v>17.0</v>
      </c>
      <c r="B40" s="1008"/>
      <c r="C40" s="989"/>
      <c r="D40" s="851"/>
      <c r="E40" s="990"/>
      <c r="F40" s="991"/>
      <c r="G40" s="991"/>
      <c r="H40" s="992"/>
      <c r="I40" s="993"/>
      <c r="J40" s="1019" t="b">
        <v>0</v>
      </c>
      <c r="K40" s="1020"/>
      <c r="L40" s="1021"/>
      <c r="M40" s="1021" t="str">
        <f t="shared" si="12"/>
        <v/>
      </c>
      <c r="N40" s="993"/>
      <c r="O40" s="944" t="str">
        <f>IFERROR(VLOOKUP(K40,carteiras..!$B$2:$I$16,3,FALSE),"")</f>
        <v/>
      </c>
      <c r="P40" s="943" t="str">
        <f t="shared" si="13"/>
        <v/>
      </c>
      <c r="Q40" s="944" t="str">
        <f t="shared" si="14"/>
        <v/>
      </c>
      <c r="R40" s="993"/>
      <c r="S40" s="936"/>
      <c r="T40" s="998"/>
      <c r="U40" s="935"/>
      <c r="V40" s="935"/>
      <c r="W40" s="949" t="str">
        <f>IF(AND($S$20,NOT($U$20)),IF($V40:$V623="","",SUMIF(portfolio.!$A$4:$A623,V40,portfolio.!$AN$4:$AN623)),"")</f>
        <v/>
      </c>
      <c r="X40" s="998"/>
      <c r="Y40" s="936"/>
      <c r="Z40" s="936" t="s">
        <v>123</v>
      </c>
      <c r="AA40" s="936" t="s">
        <v>123</v>
      </c>
      <c r="AB40" s="936" t="s">
        <v>123</v>
      </c>
      <c r="AC40" s="907" t="s">
        <v>123</v>
      </c>
      <c r="AD40" s="999"/>
      <c r="AE40" s="936"/>
      <c r="AF40" s="936"/>
      <c r="AG40" s="936"/>
      <c r="AH40" s="936"/>
      <c r="AI40" s="999"/>
      <c r="AJ40" s="935"/>
      <c r="AK40" s="966"/>
      <c r="AL40" s="949"/>
      <c r="AM40" s="949" t="s">
        <v>123</v>
      </c>
      <c r="AN40" s="949"/>
      <c r="AO40" s="999"/>
      <c r="AP40" s="936"/>
      <c r="AQ40" s="987"/>
      <c r="AR40" s="907"/>
      <c r="AS40" s="907"/>
      <c r="AT40" s="967" t="s">
        <v>123</v>
      </c>
      <c r="AU40" s="967" t="s">
        <v>123</v>
      </c>
      <c r="AV40" s="967" t="s">
        <v>123</v>
      </c>
      <c r="AW40" s="907" t="s">
        <v>123</v>
      </c>
      <c r="AX40" s="907" t="s">
        <v>123</v>
      </c>
      <c r="AY40" s="907" t="s">
        <v>123</v>
      </c>
      <c r="AZ40" s="936" t="s">
        <v>123</v>
      </c>
      <c r="BA40" s="935" t="s">
        <v>123</v>
      </c>
      <c r="BB40" s="1000"/>
      <c r="BC40" s="1001"/>
      <c r="BD40" s="936"/>
      <c r="BE40" s="907"/>
      <c r="BF40" s="1002" t="str">
        <f>IF($BC40="","",SUMIF(portfolio.!$A$4:$A623,BC40,portfolio.!$AN$4:$AN623))</f>
        <v/>
      </c>
      <c r="BG40" s="936" t="s">
        <v>123</v>
      </c>
      <c r="BH40" s="907" t="s">
        <v>123</v>
      </c>
      <c r="BI40" s="935" t="s">
        <v>123</v>
      </c>
      <c r="BJ40" s="1003"/>
      <c r="BK40" s="907" t="s">
        <v>123</v>
      </c>
      <c r="BL40" s="907" t="s">
        <v>123</v>
      </c>
      <c r="BM40" s="907" t="s">
        <v>123</v>
      </c>
      <c r="BN40" s="1004" t="s">
        <v>123</v>
      </c>
      <c r="BO40" s="907" t="str">
        <f t="shared" si="6"/>
        <v/>
      </c>
      <c r="BP40" s="907" t="str">
        <f t="shared" si="7"/>
        <v/>
      </c>
      <c r="BQ40" s="907" t="str">
        <f t="shared" si="8"/>
        <v/>
      </c>
      <c r="BR40" s="1004" t="str">
        <f t="shared" si="9"/>
        <v/>
      </c>
      <c r="BS40" s="1005" t="str">
        <f t="shared" si="10"/>
        <v/>
      </c>
      <c r="BT40" s="1006" t="s">
        <v>123</v>
      </c>
      <c r="BU40" s="1002" t="s">
        <v>123</v>
      </c>
      <c r="BV40" s="1006" t="s">
        <v>123</v>
      </c>
      <c r="BW40" s="1007"/>
    </row>
    <row r="41">
      <c r="A41" s="624">
        <v>18.0</v>
      </c>
      <c r="B41" s="1008"/>
      <c r="C41" s="989"/>
      <c r="D41" s="851"/>
      <c r="E41" s="990"/>
      <c r="F41" s="991"/>
      <c r="G41" s="991"/>
      <c r="H41" s="992"/>
      <c r="I41" s="993"/>
      <c r="J41" s="1019" t="b">
        <v>0</v>
      </c>
      <c r="K41" s="1020"/>
      <c r="L41" s="1021"/>
      <c r="M41" s="1021" t="str">
        <f t="shared" si="12"/>
        <v/>
      </c>
      <c r="N41" s="993"/>
      <c r="O41" s="944" t="str">
        <f>IFERROR(VLOOKUP(K41,carteiras..!$B$2:$I$16,3,FALSE),"")</f>
        <v/>
      </c>
      <c r="P41" s="943" t="str">
        <f t="shared" si="13"/>
        <v/>
      </c>
      <c r="Q41" s="944" t="str">
        <f t="shared" si="14"/>
        <v/>
      </c>
      <c r="R41" s="993"/>
      <c r="S41" s="936"/>
      <c r="T41" s="998"/>
      <c r="U41" s="935"/>
      <c r="V41" s="935"/>
      <c r="W41" s="949" t="str">
        <f>IF(AND($S$20,NOT($U$20)),IF($V41:$V623="","",SUMIF(portfolio.!$A$4:$A623,V41,portfolio.!$AN$4:$AN623)),"")</f>
        <v/>
      </c>
      <c r="X41" s="998"/>
      <c r="Y41" s="936"/>
      <c r="Z41" s="936" t="s">
        <v>123</v>
      </c>
      <c r="AA41" s="936" t="s">
        <v>123</v>
      </c>
      <c r="AB41" s="936" t="s">
        <v>123</v>
      </c>
      <c r="AC41" s="907" t="s">
        <v>123</v>
      </c>
      <c r="AD41" s="999"/>
      <c r="AE41" s="936"/>
      <c r="AF41" s="936"/>
      <c r="AG41" s="936"/>
      <c r="AH41" s="936"/>
      <c r="AI41" s="999"/>
      <c r="AJ41" s="935"/>
      <c r="AK41" s="966"/>
      <c r="AL41" s="949"/>
      <c r="AM41" s="949" t="s">
        <v>123</v>
      </c>
      <c r="AN41" s="949"/>
      <c r="AO41" s="999"/>
      <c r="AP41" s="936"/>
      <c r="AQ41" s="987"/>
      <c r="AR41" s="907"/>
      <c r="AS41" s="907"/>
      <c r="AT41" s="967" t="s">
        <v>123</v>
      </c>
      <c r="AU41" s="967" t="s">
        <v>123</v>
      </c>
      <c r="AV41" s="967" t="s">
        <v>123</v>
      </c>
      <c r="AW41" s="907" t="s">
        <v>123</v>
      </c>
      <c r="AX41" s="907" t="s">
        <v>123</v>
      </c>
      <c r="AY41" s="907" t="s">
        <v>123</v>
      </c>
      <c r="AZ41" s="936" t="s">
        <v>123</v>
      </c>
      <c r="BA41" s="935" t="s">
        <v>123</v>
      </c>
      <c r="BB41" s="1000"/>
      <c r="BC41" s="1001"/>
      <c r="BD41" s="936"/>
      <c r="BE41" s="907"/>
      <c r="BF41" s="1002" t="str">
        <f>IF($BC41="","",SUMIF(portfolio.!$A$4:$A623,BC41,portfolio.!$AN$4:$AN623))</f>
        <v/>
      </c>
      <c r="BG41" s="936" t="s">
        <v>123</v>
      </c>
      <c r="BH41" s="907" t="s">
        <v>123</v>
      </c>
      <c r="BI41" s="935" t="s">
        <v>123</v>
      </c>
      <c r="BJ41" s="1003"/>
      <c r="BK41" s="907" t="s">
        <v>123</v>
      </c>
      <c r="BL41" s="907" t="s">
        <v>123</v>
      </c>
      <c r="BM41" s="907" t="s">
        <v>123</v>
      </c>
      <c r="BN41" s="1004" t="s">
        <v>123</v>
      </c>
      <c r="BO41" s="907" t="str">
        <f t="shared" si="6"/>
        <v/>
      </c>
      <c r="BP41" s="907" t="str">
        <f t="shared" si="7"/>
        <v/>
      </c>
      <c r="BQ41" s="907" t="str">
        <f t="shared" si="8"/>
        <v/>
      </c>
      <c r="BR41" s="1004" t="str">
        <f t="shared" si="9"/>
        <v/>
      </c>
      <c r="BS41" s="1005" t="str">
        <f t="shared" si="10"/>
        <v/>
      </c>
      <c r="BT41" s="1006" t="s">
        <v>123</v>
      </c>
      <c r="BU41" s="1002" t="s">
        <v>123</v>
      </c>
      <c r="BV41" s="1006" t="s">
        <v>123</v>
      </c>
      <c r="BW41" s="1007"/>
    </row>
    <row r="42">
      <c r="A42" s="624">
        <v>19.0</v>
      </c>
      <c r="B42" s="1008"/>
      <c r="C42" s="989"/>
      <c r="D42" s="851"/>
      <c r="E42" s="990"/>
      <c r="F42" s="991"/>
      <c r="G42" s="991"/>
      <c r="H42" s="992"/>
      <c r="I42" s="993"/>
      <c r="J42" s="1023" t="b">
        <v>0</v>
      </c>
      <c r="K42" s="1020"/>
      <c r="L42" s="1021"/>
      <c r="M42" s="1021" t="str">
        <f t="shared" si="12"/>
        <v/>
      </c>
      <c r="N42" s="993"/>
      <c r="O42" s="944" t="str">
        <f>IFERROR(VLOOKUP(K42,carteiras..!$B$2:$I$16,3,FALSE),"")</f>
        <v/>
      </c>
      <c r="P42" s="943" t="str">
        <f t="shared" si="13"/>
        <v/>
      </c>
      <c r="Q42" s="944" t="str">
        <f t="shared" si="14"/>
        <v/>
      </c>
      <c r="R42" s="993"/>
      <c r="S42" s="936"/>
      <c r="T42" s="998"/>
      <c r="U42" s="935"/>
      <c r="V42" s="935"/>
      <c r="W42" s="949" t="str">
        <f>IF(AND($S$20,NOT($U$20)),IF($V42:$V623="","",SUMIF(portfolio.!$A$4:$A623,V42,portfolio.!$AN$4:$AN623)),"")</f>
        <v/>
      </c>
      <c r="X42" s="998"/>
      <c r="Y42" s="936"/>
      <c r="Z42" s="936" t="s">
        <v>123</v>
      </c>
      <c r="AA42" s="936" t="s">
        <v>123</v>
      </c>
      <c r="AB42" s="936" t="s">
        <v>123</v>
      </c>
      <c r="AC42" s="907" t="s">
        <v>123</v>
      </c>
      <c r="AD42" s="999"/>
      <c r="AE42" s="936"/>
      <c r="AF42" s="936"/>
      <c r="AG42" s="936"/>
      <c r="AH42" s="936"/>
      <c r="AI42" s="999"/>
      <c r="AJ42" s="935"/>
      <c r="AK42" s="966"/>
      <c r="AL42" s="949"/>
      <c r="AM42" s="949" t="s">
        <v>123</v>
      </c>
      <c r="AN42" s="949"/>
      <c r="AO42" s="999"/>
      <c r="AP42" s="936"/>
      <c r="AQ42" s="987"/>
      <c r="AR42" s="907"/>
      <c r="AS42" s="907"/>
      <c r="AT42" s="967" t="s">
        <v>123</v>
      </c>
      <c r="AU42" s="967" t="s">
        <v>123</v>
      </c>
      <c r="AV42" s="967" t="s">
        <v>123</v>
      </c>
      <c r="AW42" s="907" t="s">
        <v>123</v>
      </c>
      <c r="AX42" s="907" t="s">
        <v>123</v>
      </c>
      <c r="AY42" s="907" t="s">
        <v>123</v>
      </c>
      <c r="AZ42" s="936" t="s">
        <v>123</v>
      </c>
      <c r="BA42" s="935" t="s">
        <v>123</v>
      </c>
      <c r="BB42" s="1000"/>
      <c r="BC42" s="1001"/>
      <c r="BD42" s="936"/>
      <c r="BE42" s="907"/>
      <c r="BF42" s="1002" t="str">
        <f>IF($BC42="","",SUMIF(portfolio.!$A$4:$A623,BC42,portfolio.!$AN$4:$AN623))</f>
        <v/>
      </c>
      <c r="BG42" s="936" t="s">
        <v>123</v>
      </c>
      <c r="BH42" s="907" t="s">
        <v>123</v>
      </c>
      <c r="BI42" s="935" t="s">
        <v>123</v>
      </c>
      <c r="BJ42" s="1003"/>
      <c r="BK42" s="907" t="s">
        <v>123</v>
      </c>
      <c r="BL42" s="907" t="s">
        <v>123</v>
      </c>
      <c r="BM42" s="907" t="s">
        <v>123</v>
      </c>
      <c r="BN42" s="1004" t="s">
        <v>123</v>
      </c>
      <c r="BO42" s="907" t="str">
        <f t="shared" si="6"/>
        <v/>
      </c>
      <c r="BP42" s="907" t="str">
        <f t="shared" si="7"/>
        <v/>
      </c>
      <c r="BQ42" s="907" t="str">
        <f t="shared" si="8"/>
        <v/>
      </c>
      <c r="BR42" s="1004" t="str">
        <f t="shared" si="9"/>
        <v/>
      </c>
      <c r="BS42" s="1005" t="str">
        <f t="shared" si="10"/>
        <v/>
      </c>
      <c r="BT42" s="1006" t="s">
        <v>123</v>
      </c>
      <c r="BU42" s="1002" t="s">
        <v>123</v>
      </c>
      <c r="BV42" s="1006" t="s">
        <v>123</v>
      </c>
      <c r="BW42" s="1007"/>
    </row>
    <row r="43">
      <c r="A43" s="624">
        <v>20.0</v>
      </c>
      <c r="B43" s="1008"/>
      <c r="C43" s="989"/>
      <c r="D43" s="851"/>
      <c r="E43" s="990"/>
      <c r="F43" s="991"/>
      <c r="G43" s="991"/>
      <c r="H43" s="992"/>
      <c r="I43" s="993"/>
      <c r="L43" s="1024">
        <f>SUMIF(J28:J42,true,L28:L42)</f>
        <v>0</v>
      </c>
      <c r="N43" s="993"/>
      <c r="O43" s="993"/>
      <c r="P43" s="993"/>
      <c r="Q43" s="993"/>
      <c r="R43" s="993"/>
      <c r="S43" s="936"/>
      <c r="T43" s="998"/>
      <c r="U43" s="935"/>
      <c r="V43" s="935"/>
      <c r="W43" s="949" t="str">
        <f>IF(AND($S$20,NOT($U$20)),IF($V43:$V623="","",SUMIF(portfolio.!$A$4:$A623,V43,portfolio.!$AN$4:$AN623)),"")</f>
        <v/>
      </c>
      <c r="X43" s="998"/>
      <c r="Y43" s="936"/>
      <c r="Z43" s="936" t="s">
        <v>123</v>
      </c>
      <c r="AA43" s="936" t="s">
        <v>123</v>
      </c>
      <c r="AB43" s="936" t="s">
        <v>123</v>
      </c>
      <c r="AC43" s="907" t="s">
        <v>123</v>
      </c>
      <c r="AD43" s="999"/>
      <c r="AE43" s="936"/>
      <c r="AF43" s="936"/>
      <c r="AG43" s="936"/>
      <c r="AH43" s="936"/>
      <c r="AI43" s="999"/>
      <c r="AJ43" s="935"/>
      <c r="AK43" s="966"/>
      <c r="AL43" s="949"/>
      <c r="AM43" s="949" t="s">
        <v>123</v>
      </c>
      <c r="AN43" s="949"/>
      <c r="AO43" s="999"/>
      <c r="AP43" s="936"/>
      <c r="AQ43" s="987"/>
      <c r="AR43" s="907"/>
      <c r="AS43" s="907"/>
      <c r="AT43" s="967" t="s">
        <v>123</v>
      </c>
      <c r="AU43" s="967" t="s">
        <v>123</v>
      </c>
      <c r="AV43" s="967" t="s">
        <v>123</v>
      </c>
      <c r="AW43" s="907" t="s">
        <v>123</v>
      </c>
      <c r="AX43" s="907" t="s">
        <v>123</v>
      </c>
      <c r="AY43" s="907" t="s">
        <v>123</v>
      </c>
      <c r="AZ43" s="936" t="s">
        <v>123</v>
      </c>
      <c r="BA43" s="935" t="s">
        <v>123</v>
      </c>
      <c r="BB43" s="1000"/>
      <c r="BC43" s="1001"/>
      <c r="BD43" s="936"/>
      <c r="BE43" s="907"/>
      <c r="BF43" s="1002" t="str">
        <f>IF($BC43="","",SUMIF(portfolio.!$A$4:$A623,BC43,portfolio.!$AN$4:$AN623))</f>
        <v/>
      </c>
      <c r="BG43" s="936" t="s">
        <v>123</v>
      </c>
      <c r="BH43" s="907" t="s">
        <v>123</v>
      </c>
      <c r="BI43" s="935" t="s">
        <v>123</v>
      </c>
      <c r="BJ43" s="1003"/>
      <c r="BK43" s="907" t="s">
        <v>123</v>
      </c>
      <c r="BL43" s="907" t="s">
        <v>123</v>
      </c>
      <c r="BM43" s="907" t="s">
        <v>123</v>
      </c>
      <c r="BN43" s="1004" t="s">
        <v>123</v>
      </c>
      <c r="BO43" s="907" t="str">
        <f t="shared" si="6"/>
        <v/>
      </c>
      <c r="BP43" s="907" t="str">
        <f t="shared" si="7"/>
        <v/>
      </c>
      <c r="BQ43" s="907" t="str">
        <f t="shared" si="8"/>
        <v/>
      </c>
      <c r="BR43" s="1004" t="str">
        <f t="shared" si="9"/>
        <v/>
      </c>
      <c r="BS43" s="1005" t="str">
        <f t="shared" si="10"/>
        <v/>
      </c>
      <c r="BT43" s="1006" t="s">
        <v>123</v>
      </c>
      <c r="BU43" s="1002" t="s">
        <v>123</v>
      </c>
      <c r="BV43" s="1006" t="s">
        <v>123</v>
      </c>
      <c r="BW43" s="1007"/>
    </row>
    <row r="44">
      <c r="A44" s="624">
        <v>21.0</v>
      </c>
      <c r="B44" s="1008"/>
      <c r="C44" s="989"/>
      <c r="D44" s="851"/>
      <c r="E44" s="990"/>
      <c r="F44" s="991"/>
      <c r="G44" s="991"/>
      <c r="H44" s="992"/>
      <c r="I44" s="993"/>
      <c r="J44" s="993"/>
      <c r="K44" s="993"/>
      <c r="L44" s="993"/>
      <c r="M44" s="993"/>
      <c r="N44" s="993"/>
      <c r="O44" s="993"/>
      <c r="P44" s="993"/>
      <c r="Q44" s="993"/>
      <c r="R44" s="993"/>
      <c r="S44" s="936"/>
      <c r="T44" s="998"/>
      <c r="U44" s="935"/>
      <c r="V44" s="935"/>
      <c r="W44" s="949" t="str">
        <f>IF(AND($S$20,NOT($U$20)),IF($V44:$V623="","",SUMIF(portfolio.!$A$4:$A623,V44,portfolio.!$AN$4:$AN623)),"")</f>
        <v/>
      </c>
      <c r="X44" s="998"/>
      <c r="Y44" s="936"/>
      <c r="Z44" s="936" t="s">
        <v>123</v>
      </c>
      <c r="AA44" s="936" t="s">
        <v>123</v>
      </c>
      <c r="AB44" s="936" t="s">
        <v>123</v>
      </c>
      <c r="AC44" s="907" t="s">
        <v>123</v>
      </c>
      <c r="AD44" s="999"/>
      <c r="AE44" s="936"/>
      <c r="AF44" s="936"/>
      <c r="AG44" s="936"/>
      <c r="AH44" s="936"/>
      <c r="AI44" s="999"/>
      <c r="AJ44" s="935"/>
      <c r="AK44" s="966"/>
      <c r="AL44" s="949"/>
      <c r="AM44" s="949" t="s">
        <v>123</v>
      </c>
      <c r="AN44" s="949"/>
      <c r="AO44" s="999"/>
      <c r="AP44" s="936"/>
      <c r="AQ44" s="987"/>
      <c r="AR44" s="907"/>
      <c r="AS44" s="907"/>
      <c r="AT44" s="967" t="s">
        <v>123</v>
      </c>
      <c r="AU44" s="967" t="s">
        <v>123</v>
      </c>
      <c r="AV44" s="967" t="s">
        <v>123</v>
      </c>
      <c r="AW44" s="907" t="s">
        <v>123</v>
      </c>
      <c r="AX44" s="907" t="s">
        <v>123</v>
      </c>
      <c r="AY44" s="907" t="s">
        <v>123</v>
      </c>
      <c r="AZ44" s="936" t="s">
        <v>123</v>
      </c>
      <c r="BA44" s="935" t="s">
        <v>123</v>
      </c>
      <c r="BB44" s="1000"/>
      <c r="BC44" s="1001"/>
      <c r="BD44" s="936"/>
      <c r="BE44" s="907"/>
      <c r="BF44" s="1002" t="str">
        <f>IF($BC44="","",SUMIF(portfolio.!$A$4:$A623,BC44,portfolio.!$AN$4:$AN623))</f>
        <v/>
      </c>
      <c r="BG44" s="936" t="s">
        <v>123</v>
      </c>
      <c r="BH44" s="907" t="s">
        <v>123</v>
      </c>
      <c r="BI44" s="935" t="s">
        <v>123</v>
      </c>
      <c r="BJ44" s="1003"/>
      <c r="BK44" s="907" t="s">
        <v>123</v>
      </c>
      <c r="BL44" s="907" t="s">
        <v>123</v>
      </c>
      <c r="BM44" s="907" t="s">
        <v>123</v>
      </c>
      <c r="BN44" s="1004" t="s">
        <v>123</v>
      </c>
      <c r="BO44" s="907" t="str">
        <f t="shared" si="6"/>
        <v/>
      </c>
      <c r="BP44" s="907" t="str">
        <f t="shared" si="7"/>
        <v/>
      </c>
      <c r="BQ44" s="907" t="str">
        <f t="shared" si="8"/>
        <v/>
      </c>
      <c r="BR44" s="1004" t="str">
        <f t="shared" si="9"/>
        <v/>
      </c>
      <c r="BS44" s="1005" t="str">
        <f t="shared" si="10"/>
        <v/>
      </c>
      <c r="BT44" s="1006" t="s">
        <v>123</v>
      </c>
      <c r="BU44" s="1002" t="s">
        <v>123</v>
      </c>
      <c r="BV44" s="1006" t="s">
        <v>123</v>
      </c>
      <c r="BW44" s="1007"/>
    </row>
    <row r="45">
      <c r="A45" s="624">
        <v>22.0</v>
      </c>
      <c r="B45" s="1008"/>
      <c r="C45" s="989"/>
      <c r="D45" s="851"/>
      <c r="E45" s="990"/>
      <c r="F45" s="991"/>
      <c r="G45" s="991"/>
      <c r="H45" s="992"/>
      <c r="I45" s="993"/>
      <c r="J45" s="993"/>
      <c r="K45" s="993"/>
      <c r="L45" s="993"/>
      <c r="M45" s="993"/>
      <c r="N45" s="993"/>
      <c r="O45" s="993"/>
      <c r="P45" s="993"/>
      <c r="Q45" s="993"/>
      <c r="R45" s="993"/>
      <c r="S45" s="936"/>
      <c r="T45" s="998"/>
      <c r="U45" s="935"/>
      <c r="V45" s="935"/>
      <c r="W45" s="949" t="str">
        <f>IF(AND($S$20,NOT($U$20)),IF($V45:$V623="","",SUMIF(portfolio.!$A$4:$A623,V45,portfolio.!$AN$4:$AN623)),"")</f>
        <v/>
      </c>
      <c r="X45" s="998"/>
      <c r="Y45" s="936"/>
      <c r="Z45" s="936" t="s">
        <v>123</v>
      </c>
      <c r="AA45" s="936" t="s">
        <v>123</v>
      </c>
      <c r="AB45" s="936" t="s">
        <v>123</v>
      </c>
      <c r="AC45" s="907" t="s">
        <v>123</v>
      </c>
      <c r="AD45" s="999"/>
      <c r="AE45" s="936"/>
      <c r="AF45" s="936"/>
      <c r="AG45" s="936"/>
      <c r="AH45" s="936"/>
      <c r="AI45" s="999"/>
      <c r="AJ45" s="935"/>
      <c r="AK45" s="966"/>
      <c r="AL45" s="949"/>
      <c r="AM45" s="949" t="s">
        <v>123</v>
      </c>
      <c r="AN45" s="949"/>
      <c r="AO45" s="999"/>
      <c r="AP45" s="936"/>
      <c r="AQ45" s="987"/>
      <c r="AR45" s="907"/>
      <c r="AS45" s="907"/>
      <c r="AT45" s="967" t="s">
        <v>123</v>
      </c>
      <c r="AU45" s="967" t="s">
        <v>123</v>
      </c>
      <c r="AV45" s="967" t="s">
        <v>123</v>
      </c>
      <c r="AW45" s="907" t="s">
        <v>123</v>
      </c>
      <c r="AX45" s="907" t="s">
        <v>123</v>
      </c>
      <c r="AY45" s="907" t="s">
        <v>123</v>
      </c>
      <c r="AZ45" s="936" t="s">
        <v>123</v>
      </c>
      <c r="BA45" s="935" t="s">
        <v>123</v>
      </c>
      <c r="BB45" s="1000"/>
      <c r="BC45" s="1001"/>
      <c r="BD45" s="936"/>
      <c r="BE45" s="907"/>
      <c r="BF45" s="1002" t="str">
        <f>IF($BC45="","",SUMIF(portfolio.!$A$4:$A623,BC45,portfolio.!$AN$4:$AN623))</f>
        <v/>
      </c>
      <c r="BG45" s="936" t="s">
        <v>123</v>
      </c>
      <c r="BH45" s="907" t="s">
        <v>123</v>
      </c>
      <c r="BI45" s="935" t="s">
        <v>123</v>
      </c>
      <c r="BJ45" s="1003"/>
      <c r="BK45" s="907" t="s">
        <v>123</v>
      </c>
      <c r="BL45" s="907" t="s">
        <v>123</v>
      </c>
      <c r="BM45" s="907" t="s">
        <v>123</v>
      </c>
      <c r="BN45" s="1004" t="s">
        <v>123</v>
      </c>
      <c r="BO45" s="907" t="str">
        <f t="shared" si="6"/>
        <v/>
      </c>
      <c r="BP45" s="907" t="str">
        <f t="shared" si="7"/>
        <v/>
      </c>
      <c r="BQ45" s="907" t="str">
        <f t="shared" si="8"/>
        <v/>
      </c>
      <c r="BR45" s="1004" t="str">
        <f t="shared" si="9"/>
        <v/>
      </c>
      <c r="BS45" s="1005" t="str">
        <f t="shared" si="10"/>
        <v/>
      </c>
      <c r="BT45" s="1006" t="s">
        <v>123</v>
      </c>
      <c r="BU45" s="1002" t="s">
        <v>123</v>
      </c>
      <c r="BV45" s="1006" t="s">
        <v>123</v>
      </c>
      <c r="BW45" s="1007"/>
    </row>
    <row r="46">
      <c r="A46" s="624">
        <v>23.0</v>
      </c>
      <c r="B46" s="1008"/>
      <c r="C46" s="989"/>
      <c r="D46" s="851"/>
      <c r="E46" s="990"/>
      <c r="F46" s="991"/>
      <c r="G46" s="991"/>
      <c r="H46" s="992"/>
      <c r="I46" s="993"/>
      <c r="J46" s="993"/>
      <c r="K46" s="993"/>
      <c r="L46" s="993"/>
      <c r="M46" s="993"/>
      <c r="N46" s="993"/>
      <c r="O46" s="993"/>
      <c r="P46" s="993"/>
      <c r="Q46" s="993"/>
      <c r="R46" s="993"/>
      <c r="S46" s="936"/>
      <c r="T46" s="998"/>
      <c r="U46" s="935"/>
      <c r="V46" s="935"/>
      <c r="W46" s="949" t="str">
        <f>IF(AND($S$20,NOT($U$20)),IF($V46:$V623="","",SUMIF(portfolio.!$A$4:$A623,V46,portfolio.!$AN$4:$AN623)),"")</f>
        <v/>
      </c>
      <c r="X46" s="998"/>
      <c r="Y46" s="936"/>
      <c r="Z46" s="936" t="s">
        <v>123</v>
      </c>
      <c r="AA46" s="936" t="s">
        <v>123</v>
      </c>
      <c r="AB46" s="936" t="s">
        <v>123</v>
      </c>
      <c r="AC46" s="907" t="s">
        <v>123</v>
      </c>
      <c r="AD46" s="999"/>
      <c r="AE46" s="936"/>
      <c r="AF46" s="936"/>
      <c r="AG46" s="936"/>
      <c r="AH46" s="936"/>
      <c r="AI46" s="999"/>
      <c r="AJ46" s="935"/>
      <c r="AK46" s="966"/>
      <c r="AL46" s="949"/>
      <c r="AM46" s="949" t="s">
        <v>123</v>
      </c>
      <c r="AN46" s="949"/>
      <c r="AO46" s="999"/>
      <c r="AP46" s="936"/>
      <c r="AQ46" s="987"/>
      <c r="AR46" s="907"/>
      <c r="AS46" s="907"/>
      <c r="AT46" s="967" t="s">
        <v>123</v>
      </c>
      <c r="AU46" s="967" t="s">
        <v>123</v>
      </c>
      <c r="AV46" s="967" t="s">
        <v>123</v>
      </c>
      <c r="AW46" s="907" t="s">
        <v>123</v>
      </c>
      <c r="AX46" s="907" t="s">
        <v>123</v>
      </c>
      <c r="AY46" s="907" t="s">
        <v>123</v>
      </c>
      <c r="AZ46" s="936" t="s">
        <v>123</v>
      </c>
      <c r="BA46" s="935" t="s">
        <v>123</v>
      </c>
      <c r="BB46" s="1000"/>
      <c r="BC46" s="1001"/>
      <c r="BD46" s="936"/>
      <c r="BE46" s="907"/>
      <c r="BF46" s="1002" t="str">
        <f>IF($BC46="","",SUMIF(portfolio.!$A$4:$A623,BC46,portfolio.!$AN$4:$AN623))</f>
        <v/>
      </c>
      <c r="BG46" s="936" t="s">
        <v>123</v>
      </c>
      <c r="BH46" s="907" t="s">
        <v>123</v>
      </c>
      <c r="BI46" s="935" t="s">
        <v>123</v>
      </c>
      <c r="BJ46" s="1003"/>
      <c r="BK46" s="907" t="s">
        <v>123</v>
      </c>
      <c r="BL46" s="907" t="s">
        <v>123</v>
      </c>
      <c r="BM46" s="907" t="s">
        <v>123</v>
      </c>
      <c r="BN46" s="1004" t="s">
        <v>123</v>
      </c>
      <c r="BO46" s="907" t="str">
        <f t="shared" si="6"/>
        <v/>
      </c>
      <c r="BP46" s="907" t="str">
        <f t="shared" si="7"/>
        <v/>
      </c>
      <c r="BQ46" s="907" t="str">
        <f t="shared" si="8"/>
        <v/>
      </c>
      <c r="BR46" s="1004" t="str">
        <f t="shared" si="9"/>
        <v/>
      </c>
      <c r="BS46" s="1005" t="str">
        <f t="shared" si="10"/>
        <v/>
      </c>
      <c r="BT46" s="1006" t="s">
        <v>123</v>
      </c>
      <c r="BU46" s="1002" t="s">
        <v>123</v>
      </c>
      <c r="BV46" s="1006" t="s">
        <v>123</v>
      </c>
      <c r="BW46" s="1007"/>
    </row>
    <row r="47">
      <c r="A47" s="624">
        <v>24.0</v>
      </c>
      <c r="B47" s="1008"/>
      <c r="C47" s="989"/>
      <c r="D47" s="851"/>
      <c r="E47" s="990"/>
      <c r="F47" s="991"/>
      <c r="G47" s="991"/>
      <c r="H47" s="992"/>
      <c r="I47" s="993"/>
      <c r="J47" s="993"/>
      <c r="K47" s="993"/>
      <c r="L47" s="993"/>
      <c r="M47" s="993"/>
      <c r="N47" s="993"/>
      <c r="O47" s="993"/>
      <c r="P47" s="993"/>
      <c r="Q47" s="993"/>
      <c r="R47" s="993"/>
      <c r="S47" s="936"/>
      <c r="T47" s="998"/>
      <c r="U47" s="935"/>
      <c r="V47" s="935"/>
      <c r="W47" s="949" t="str">
        <f>IF(AND($S$20,NOT($U$20)),IF($V47:$V623="","",SUMIF(portfolio.!$A$4:$A623,V47,portfolio.!$AN$4:$AN623)),"")</f>
        <v/>
      </c>
      <c r="X47" s="998"/>
      <c r="Y47" s="936"/>
      <c r="Z47" s="936" t="s">
        <v>123</v>
      </c>
      <c r="AA47" s="936" t="s">
        <v>123</v>
      </c>
      <c r="AB47" s="936" t="s">
        <v>123</v>
      </c>
      <c r="AC47" s="907" t="s">
        <v>123</v>
      </c>
      <c r="AD47" s="999"/>
      <c r="AE47" s="936"/>
      <c r="AF47" s="936"/>
      <c r="AG47" s="936"/>
      <c r="AH47" s="936"/>
      <c r="AI47" s="999"/>
      <c r="AJ47" s="935"/>
      <c r="AK47" s="966"/>
      <c r="AL47" s="949"/>
      <c r="AM47" s="949" t="s">
        <v>123</v>
      </c>
      <c r="AN47" s="949"/>
      <c r="AO47" s="999"/>
      <c r="AP47" s="936"/>
      <c r="AQ47" s="987"/>
      <c r="AR47" s="907"/>
      <c r="AS47" s="907"/>
      <c r="AT47" s="967" t="s">
        <v>123</v>
      </c>
      <c r="AU47" s="967" t="s">
        <v>123</v>
      </c>
      <c r="AV47" s="967" t="s">
        <v>123</v>
      </c>
      <c r="AW47" s="907" t="s">
        <v>123</v>
      </c>
      <c r="AX47" s="907" t="s">
        <v>123</v>
      </c>
      <c r="AY47" s="907" t="s">
        <v>123</v>
      </c>
      <c r="AZ47" s="936" t="s">
        <v>123</v>
      </c>
      <c r="BA47" s="935" t="s">
        <v>123</v>
      </c>
      <c r="BB47" s="1000"/>
      <c r="BC47" s="1001"/>
      <c r="BD47" s="936"/>
      <c r="BE47" s="907"/>
      <c r="BF47" s="1002" t="str">
        <f>IF($BC47="","",SUMIF(portfolio.!$A$4:$A623,BC47,portfolio.!$AN$4:$AN623))</f>
        <v/>
      </c>
      <c r="BG47" s="936" t="s">
        <v>123</v>
      </c>
      <c r="BH47" s="907" t="s">
        <v>123</v>
      </c>
      <c r="BI47" s="935" t="s">
        <v>123</v>
      </c>
      <c r="BJ47" s="1003"/>
      <c r="BK47" s="907" t="s">
        <v>123</v>
      </c>
      <c r="BL47" s="907" t="s">
        <v>123</v>
      </c>
      <c r="BM47" s="907" t="s">
        <v>123</v>
      </c>
      <c r="BN47" s="1004" t="s">
        <v>123</v>
      </c>
      <c r="BO47" s="907" t="str">
        <f t="shared" si="6"/>
        <v/>
      </c>
      <c r="BP47" s="907" t="str">
        <f t="shared" si="7"/>
        <v/>
      </c>
      <c r="BQ47" s="907" t="str">
        <f t="shared" si="8"/>
        <v/>
      </c>
      <c r="BR47" s="1004" t="str">
        <f t="shared" si="9"/>
        <v/>
      </c>
      <c r="BS47" s="1005" t="str">
        <f t="shared" si="10"/>
        <v/>
      </c>
      <c r="BT47" s="1006" t="s">
        <v>123</v>
      </c>
      <c r="BU47" s="1002" t="s">
        <v>123</v>
      </c>
      <c r="BV47" s="1006" t="s">
        <v>123</v>
      </c>
      <c r="BW47" s="1007"/>
    </row>
    <row r="48">
      <c r="A48" s="624">
        <v>25.0</v>
      </c>
      <c r="B48" s="1008"/>
      <c r="C48" s="989"/>
      <c r="D48" s="851"/>
      <c r="E48" s="990"/>
      <c r="F48" s="991"/>
      <c r="G48" s="991"/>
      <c r="H48" s="992"/>
      <c r="I48" s="993"/>
      <c r="J48" s="993"/>
      <c r="K48" s="993"/>
      <c r="L48" s="993"/>
      <c r="M48" s="993"/>
      <c r="N48" s="993"/>
      <c r="O48" s="993"/>
      <c r="P48" s="993"/>
      <c r="Q48" s="993"/>
      <c r="R48" s="993"/>
      <c r="S48" s="936"/>
      <c r="T48" s="998"/>
      <c r="U48" s="935"/>
      <c r="V48" s="935"/>
      <c r="W48" s="949" t="str">
        <f>IF(AND($S$20,NOT($U$20)),IF($V48:$V623="","",SUMIF(portfolio.!$A$4:$A623,V48,portfolio.!$AN$4:$AN623)),"")</f>
        <v/>
      </c>
      <c r="X48" s="998"/>
      <c r="Y48" s="936"/>
      <c r="Z48" s="936" t="s">
        <v>123</v>
      </c>
      <c r="AA48" s="936" t="s">
        <v>123</v>
      </c>
      <c r="AB48" s="936" t="s">
        <v>123</v>
      </c>
      <c r="AC48" s="907" t="s">
        <v>123</v>
      </c>
      <c r="AD48" s="999"/>
      <c r="AE48" s="936"/>
      <c r="AF48" s="936"/>
      <c r="AG48" s="936"/>
      <c r="AH48" s="936"/>
      <c r="AI48" s="999"/>
      <c r="AJ48" s="935"/>
      <c r="AK48" s="966"/>
      <c r="AL48" s="949"/>
      <c r="AM48" s="949" t="s">
        <v>123</v>
      </c>
      <c r="AN48" s="949"/>
      <c r="AO48" s="999"/>
      <c r="AP48" s="936"/>
      <c r="AQ48" s="987"/>
      <c r="AR48" s="907"/>
      <c r="AS48" s="907"/>
      <c r="AT48" s="967" t="s">
        <v>123</v>
      </c>
      <c r="AU48" s="967" t="s">
        <v>123</v>
      </c>
      <c r="AV48" s="967" t="s">
        <v>123</v>
      </c>
      <c r="AW48" s="907" t="s">
        <v>123</v>
      </c>
      <c r="AX48" s="907" t="s">
        <v>123</v>
      </c>
      <c r="AY48" s="907" t="s">
        <v>123</v>
      </c>
      <c r="AZ48" s="936" t="s">
        <v>123</v>
      </c>
      <c r="BA48" s="935" t="s">
        <v>123</v>
      </c>
      <c r="BB48" s="1000"/>
      <c r="BC48" s="1001"/>
      <c r="BD48" s="936"/>
      <c r="BE48" s="907"/>
      <c r="BF48" s="1002" t="str">
        <f>IF($BC48="","",SUMIF(portfolio.!$A$4:$A623,BC48,portfolio.!$AN$4:$AN623))</f>
        <v/>
      </c>
      <c r="BG48" s="936" t="s">
        <v>123</v>
      </c>
      <c r="BH48" s="907" t="s">
        <v>123</v>
      </c>
      <c r="BI48" s="935" t="s">
        <v>123</v>
      </c>
      <c r="BJ48" s="1003"/>
      <c r="BK48" s="907" t="s">
        <v>123</v>
      </c>
      <c r="BL48" s="907" t="s">
        <v>123</v>
      </c>
      <c r="BM48" s="907" t="s">
        <v>123</v>
      </c>
      <c r="BN48" s="1004" t="s">
        <v>123</v>
      </c>
      <c r="BO48" s="907" t="str">
        <f t="shared" si="6"/>
        <v/>
      </c>
      <c r="BP48" s="907" t="str">
        <f t="shared" si="7"/>
        <v/>
      </c>
      <c r="BQ48" s="907" t="str">
        <f t="shared" si="8"/>
        <v/>
      </c>
      <c r="BR48" s="1004" t="str">
        <f t="shared" si="9"/>
        <v/>
      </c>
      <c r="BS48" s="1005" t="str">
        <f t="shared" si="10"/>
        <v/>
      </c>
      <c r="BT48" s="1006" t="s">
        <v>123</v>
      </c>
      <c r="BU48" s="1002" t="s">
        <v>123</v>
      </c>
      <c r="BV48" s="1006" t="s">
        <v>123</v>
      </c>
      <c r="BW48" s="1007"/>
    </row>
    <row r="49">
      <c r="A49" s="624">
        <v>26.0</v>
      </c>
      <c r="B49" s="1008"/>
      <c r="C49" s="989"/>
      <c r="D49" s="851"/>
      <c r="E49" s="990"/>
      <c r="F49" s="991"/>
      <c r="G49" s="991"/>
      <c r="H49" s="992"/>
      <c r="I49" s="993"/>
      <c r="J49" s="993"/>
      <c r="K49" s="993"/>
      <c r="L49" s="993"/>
      <c r="M49" s="993"/>
      <c r="N49" s="993"/>
      <c r="O49" s="993"/>
      <c r="P49" s="993"/>
      <c r="Q49" s="993"/>
      <c r="R49" s="993"/>
      <c r="S49" s="936"/>
      <c r="T49" s="998"/>
      <c r="U49" s="935"/>
      <c r="V49" s="935"/>
      <c r="W49" s="949" t="str">
        <f>IF(AND($S$20,NOT($U$20)),IF($V49:$V623="","",SUMIF(portfolio.!$A$4:$A623,V49,portfolio.!$AN$4:$AN623)),"")</f>
        <v/>
      </c>
      <c r="X49" s="998"/>
      <c r="Y49" s="936"/>
      <c r="Z49" s="936" t="s">
        <v>123</v>
      </c>
      <c r="AA49" s="936" t="s">
        <v>123</v>
      </c>
      <c r="AB49" s="936" t="s">
        <v>123</v>
      </c>
      <c r="AC49" s="907" t="s">
        <v>123</v>
      </c>
      <c r="AD49" s="999"/>
      <c r="AE49" s="936"/>
      <c r="AF49" s="936"/>
      <c r="AG49" s="936"/>
      <c r="AH49" s="936"/>
      <c r="AI49" s="999"/>
      <c r="AJ49" s="935"/>
      <c r="AK49" s="966"/>
      <c r="AL49" s="949"/>
      <c r="AM49" s="949" t="s">
        <v>123</v>
      </c>
      <c r="AN49" s="949"/>
      <c r="AO49" s="999"/>
      <c r="AP49" s="936"/>
      <c r="AQ49" s="987"/>
      <c r="AR49" s="907"/>
      <c r="AS49" s="907"/>
      <c r="AT49" s="967" t="s">
        <v>123</v>
      </c>
      <c r="AU49" s="967" t="s">
        <v>123</v>
      </c>
      <c r="AV49" s="967" t="s">
        <v>123</v>
      </c>
      <c r="AW49" s="907" t="s">
        <v>123</v>
      </c>
      <c r="AX49" s="907" t="s">
        <v>123</v>
      </c>
      <c r="AY49" s="907" t="s">
        <v>123</v>
      </c>
      <c r="AZ49" s="936" t="s">
        <v>123</v>
      </c>
      <c r="BA49" s="935" t="s">
        <v>123</v>
      </c>
      <c r="BB49" s="1000"/>
      <c r="BC49" s="1001"/>
      <c r="BD49" s="936"/>
      <c r="BE49" s="907"/>
      <c r="BF49" s="1002" t="str">
        <f>IF($BC49="","",SUMIF(portfolio.!$A$4:$A623,BC49,portfolio.!$AN$4:$AN623))</f>
        <v/>
      </c>
      <c r="BG49" s="936" t="s">
        <v>123</v>
      </c>
      <c r="BH49" s="907" t="s">
        <v>123</v>
      </c>
      <c r="BI49" s="935" t="s">
        <v>123</v>
      </c>
      <c r="BJ49" s="1003"/>
      <c r="BK49" s="907" t="s">
        <v>123</v>
      </c>
      <c r="BL49" s="907" t="s">
        <v>123</v>
      </c>
      <c r="BM49" s="907" t="s">
        <v>123</v>
      </c>
      <c r="BN49" s="1004" t="s">
        <v>123</v>
      </c>
      <c r="BO49" s="907" t="str">
        <f t="shared" si="6"/>
        <v/>
      </c>
      <c r="BP49" s="907" t="str">
        <f t="shared" si="7"/>
        <v/>
      </c>
      <c r="BQ49" s="907" t="str">
        <f t="shared" si="8"/>
        <v/>
      </c>
      <c r="BR49" s="1004" t="str">
        <f t="shared" si="9"/>
        <v/>
      </c>
      <c r="BS49" s="1005" t="str">
        <f t="shared" si="10"/>
        <v/>
      </c>
      <c r="BT49" s="1006" t="s">
        <v>123</v>
      </c>
      <c r="BU49" s="1002" t="s">
        <v>123</v>
      </c>
      <c r="BV49" s="1006" t="s">
        <v>123</v>
      </c>
      <c r="BW49" s="1007"/>
    </row>
    <row r="50">
      <c r="A50" s="624">
        <v>27.0</v>
      </c>
      <c r="B50" s="1008"/>
      <c r="C50" s="989"/>
      <c r="D50" s="851"/>
      <c r="E50" s="990"/>
      <c r="F50" s="991"/>
      <c r="G50" s="991"/>
      <c r="H50" s="992"/>
      <c r="I50" s="993"/>
      <c r="J50" s="993"/>
      <c r="K50" s="993"/>
      <c r="L50" s="993"/>
      <c r="M50" s="993"/>
      <c r="N50" s="993"/>
      <c r="O50" s="993"/>
      <c r="P50" s="993"/>
      <c r="Q50" s="993"/>
      <c r="R50" s="993"/>
      <c r="S50" s="936"/>
      <c r="T50" s="998"/>
      <c r="U50" s="935"/>
      <c r="V50" s="935"/>
      <c r="W50" s="949" t="str">
        <f>IF(AND($S$20,NOT($U$20)),IF($V50:$V623="","",SUMIF(portfolio.!$A$4:$A623,V50,portfolio.!$AN$4:$AN623)),"")</f>
        <v/>
      </c>
      <c r="X50" s="998"/>
      <c r="Y50" s="936"/>
      <c r="Z50" s="936" t="s">
        <v>123</v>
      </c>
      <c r="AA50" s="936" t="s">
        <v>123</v>
      </c>
      <c r="AB50" s="936" t="s">
        <v>123</v>
      </c>
      <c r="AC50" s="907" t="s">
        <v>123</v>
      </c>
      <c r="AD50" s="999"/>
      <c r="AE50" s="936"/>
      <c r="AF50" s="936"/>
      <c r="AG50" s="936"/>
      <c r="AH50" s="936"/>
      <c r="AI50" s="999"/>
      <c r="AJ50" s="935"/>
      <c r="AK50" s="966"/>
      <c r="AL50" s="949"/>
      <c r="AM50" s="949" t="s">
        <v>123</v>
      </c>
      <c r="AN50" s="949"/>
      <c r="AO50" s="999"/>
      <c r="AP50" s="936"/>
      <c r="AQ50" s="987"/>
      <c r="AR50" s="907"/>
      <c r="AS50" s="907"/>
      <c r="AT50" s="967" t="s">
        <v>123</v>
      </c>
      <c r="AU50" s="967" t="s">
        <v>123</v>
      </c>
      <c r="AV50" s="967" t="s">
        <v>123</v>
      </c>
      <c r="AW50" s="907" t="s">
        <v>123</v>
      </c>
      <c r="AX50" s="907" t="s">
        <v>123</v>
      </c>
      <c r="AY50" s="907" t="s">
        <v>123</v>
      </c>
      <c r="AZ50" s="936" t="s">
        <v>123</v>
      </c>
      <c r="BA50" s="935" t="s">
        <v>123</v>
      </c>
      <c r="BB50" s="1000"/>
      <c r="BC50" s="1001"/>
      <c r="BD50" s="936"/>
      <c r="BE50" s="907"/>
      <c r="BF50" s="1002" t="str">
        <f>IF($BC50="","",SUMIF(portfolio.!$A$4:$A623,BC50,portfolio.!$AN$4:$AN623))</f>
        <v/>
      </c>
      <c r="BG50" s="936" t="s">
        <v>123</v>
      </c>
      <c r="BH50" s="907" t="s">
        <v>123</v>
      </c>
      <c r="BI50" s="935" t="s">
        <v>123</v>
      </c>
      <c r="BJ50" s="1003"/>
      <c r="BK50" s="907" t="s">
        <v>123</v>
      </c>
      <c r="BL50" s="907" t="s">
        <v>123</v>
      </c>
      <c r="BM50" s="907" t="s">
        <v>123</v>
      </c>
      <c r="BN50" s="1004" t="s">
        <v>123</v>
      </c>
      <c r="BO50" s="907" t="str">
        <f t="shared" si="6"/>
        <v/>
      </c>
      <c r="BP50" s="907" t="str">
        <f t="shared" si="7"/>
        <v/>
      </c>
      <c r="BQ50" s="907" t="str">
        <f t="shared" si="8"/>
        <v/>
      </c>
      <c r="BR50" s="1004" t="str">
        <f t="shared" si="9"/>
        <v/>
      </c>
      <c r="BS50" s="1005" t="str">
        <f t="shared" si="10"/>
        <v/>
      </c>
      <c r="BT50" s="1006" t="s">
        <v>123</v>
      </c>
      <c r="BU50" s="1002" t="s">
        <v>123</v>
      </c>
      <c r="BV50" s="1006" t="s">
        <v>123</v>
      </c>
      <c r="BW50" s="1007"/>
    </row>
    <row r="51">
      <c r="A51" s="624">
        <v>28.0</v>
      </c>
      <c r="B51" s="1008"/>
      <c r="C51" s="989"/>
      <c r="D51" s="851"/>
      <c r="E51" s="990"/>
      <c r="F51" s="991"/>
      <c r="G51" s="991"/>
      <c r="H51" s="992"/>
      <c r="I51" s="993"/>
      <c r="J51" s="993"/>
      <c r="K51" s="993"/>
      <c r="L51" s="993"/>
      <c r="M51" s="993"/>
      <c r="N51" s="993"/>
      <c r="O51" s="993"/>
      <c r="P51" s="993"/>
      <c r="Q51" s="993"/>
      <c r="R51" s="993"/>
      <c r="S51" s="936"/>
      <c r="T51" s="998"/>
      <c r="U51" s="935"/>
      <c r="V51" s="935"/>
      <c r="W51" s="949" t="str">
        <f>IF(AND($S$20,NOT($U$20)),IF($V51:$V623="","",SUMIF(portfolio.!$A$4:$A623,V51,portfolio.!$AN$4:$AN623)),"")</f>
        <v/>
      </c>
      <c r="X51" s="998"/>
      <c r="Y51" s="936"/>
      <c r="Z51" s="936" t="s">
        <v>123</v>
      </c>
      <c r="AA51" s="936" t="s">
        <v>123</v>
      </c>
      <c r="AB51" s="936" t="s">
        <v>123</v>
      </c>
      <c r="AC51" s="907" t="s">
        <v>123</v>
      </c>
      <c r="AD51" s="999"/>
      <c r="AE51" s="936"/>
      <c r="AF51" s="936"/>
      <c r="AG51" s="936"/>
      <c r="AH51" s="936"/>
      <c r="AI51" s="999"/>
      <c r="AJ51" s="935"/>
      <c r="AK51" s="966"/>
      <c r="AL51" s="949"/>
      <c r="AM51" s="949" t="s">
        <v>123</v>
      </c>
      <c r="AN51" s="949"/>
      <c r="AO51" s="999"/>
      <c r="AP51" s="936"/>
      <c r="AQ51" s="987"/>
      <c r="AR51" s="907"/>
      <c r="AS51" s="907"/>
      <c r="AT51" s="967" t="s">
        <v>123</v>
      </c>
      <c r="AU51" s="967" t="s">
        <v>123</v>
      </c>
      <c r="AV51" s="967" t="s">
        <v>123</v>
      </c>
      <c r="AW51" s="907" t="s">
        <v>123</v>
      </c>
      <c r="AX51" s="907" t="s">
        <v>123</v>
      </c>
      <c r="AY51" s="907" t="s">
        <v>123</v>
      </c>
      <c r="AZ51" s="936" t="s">
        <v>123</v>
      </c>
      <c r="BA51" s="935" t="s">
        <v>123</v>
      </c>
      <c r="BB51" s="1000"/>
      <c r="BC51" s="1001"/>
      <c r="BD51" s="936"/>
      <c r="BE51" s="907"/>
      <c r="BF51" s="1002" t="str">
        <f>IF($BC51="","",SUMIF(portfolio.!$A$4:$A623,BC51,portfolio.!$AN$4:$AN623))</f>
        <v/>
      </c>
      <c r="BG51" s="936" t="s">
        <v>123</v>
      </c>
      <c r="BH51" s="907" t="s">
        <v>123</v>
      </c>
      <c r="BI51" s="935" t="s">
        <v>123</v>
      </c>
      <c r="BJ51" s="1003"/>
      <c r="BK51" s="907" t="s">
        <v>123</v>
      </c>
      <c r="BL51" s="907" t="s">
        <v>123</v>
      </c>
      <c r="BM51" s="907" t="s">
        <v>123</v>
      </c>
      <c r="BN51" s="1004" t="s">
        <v>123</v>
      </c>
      <c r="BO51" s="907" t="str">
        <f t="shared" si="6"/>
        <v/>
      </c>
      <c r="BP51" s="907" t="str">
        <f t="shared" si="7"/>
        <v/>
      </c>
      <c r="BQ51" s="907" t="str">
        <f t="shared" si="8"/>
        <v/>
      </c>
      <c r="BR51" s="1004" t="str">
        <f t="shared" si="9"/>
        <v/>
      </c>
      <c r="BS51" s="1005" t="str">
        <f t="shared" si="10"/>
        <v/>
      </c>
      <c r="BT51" s="1006" t="s">
        <v>123</v>
      </c>
      <c r="BU51" s="1002" t="s">
        <v>123</v>
      </c>
      <c r="BV51" s="1006" t="s">
        <v>123</v>
      </c>
      <c r="BW51" s="1007"/>
    </row>
    <row r="52">
      <c r="A52" s="624">
        <v>29.0</v>
      </c>
      <c r="B52" s="1008"/>
      <c r="C52" s="989"/>
      <c r="D52" s="851"/>
      <c r="E52" s="990"/>
      <c r="F52" s="991"/>
      <c r="G52" s="991"/>
      <c r="H52" s="992"/>
      <c r="I52" s="993"/>
      <c r="J52" s="993"/>
      <c r="K52" s="993"/>
      <c r="L52" s="993"/>
      <c r="M52" s="993"/>
      <c r="N52" s="993"/>
      <c r="O52" s="993"/>
      <c r="P52" s="993"/>
      <c r="Q52" s="993"/>
      <c r="R52" s="993"/>
      <c r="S52" s="936"/>
      <c r="T52" s="998"/>
      <c r="U52" s="935"/>
      <c r="V52" s="935"/>
      <c r="W52" s="949" t="str">
        <f>IF(AND($S$20,NOT($U$20)),IF($V52:$V623="","",SUMIF(portfolio.!$A$4:$A623,V52,portfolio.!$AN$4:$AN623)),"")</f>
        <v/>
      </c>
      <c r="X52" s="998"/>
      <c r="Y52" s="936"/>
      <c r="Z52" s="936" t="s">
        <v>123</v>
      </c>
      <c r="AA52" s="936" t="s">
        <v>123</v>
      </c>
      <c r="AB52" s="936" t="s">
        <v>123</v>
      </c>
      <c r="AC52" s="907" t="s">
        <v>123</v>
      </c>
      <c r="AD52" s="999"/>
      <c r="AE52" s="936"/>
      <c r="AF52" s="936"/>
      <c r="AG52" s="936"/>
      <c r="AH52" s="936"/>
      <c r="AI52" s="999"/>
      <c r="AJ52" s="935"/>
      <c r="AK52" s="966"/>
      <c r="AL52" s="949"/>
      <c r="AM52" s="949" t="s">
        <v>123</v>
      </c>
      <c r="AN52" s="949"/>
      <c r="AO52" s="999"/>
      <c r="AP52" s="936"/>
      <c r="AQ52" s="987"/>
      <c r="AR52" s="907"/>
      <c r="AS52" s="907"/>
      <c r="AT52" s="967" t="s">
        <v>123</v>
      </c>
      <c r="AU52" s="967" t="s">
        <v>123</v>
      </c>
      <c r="AV52" s="967" t="s">
        <v>123</v>
      </c>
      <c r="AW52" s="907" t="s">
        <v>123</v>
      </c>
      <c r="AX52" s="907" t="s">
        <v>123</v>
      </c>
      <c r="AY52" s="907" t="s">
        <v>123</v>
      </c>
      <c r="AZ52" s="936" t="s">
        <v>123</v>
      </c>
      <c r="BA52" s="935" t="s">
        <v>123</v>
      </c>
      <c r="BB52" s="1000"/>
      <c r="BC52" s="1001"/>
      <c r="BD52" s="936"/>
      <c r="BE52" s="907"/>
      <c r="BF52" s="1002" t="str">
        <f>IF($BC52="","",SUMIF(portfolio.!$A$4:$A623,BC52,portfolio.!$AN$4:$AN623))</f>
        <v/>
      </c>
      <c r="BG52" s="936" t="s">
        <v>123</v>
      </c>
      <c r="BH52" s="907" t="s">
        <v>123</v>
      </c>
      <c r="BI52" s="935" t="s">
        <v>123</v>
      </c>
      <c r="BJ52" s="1003"/>
      <c r="BK52" s="907" t="s">
        <v>123</v>
      </c>
      <c r="BL52" s="907" t="s">
        <v>123</v>
      </c>
      <c r="BM52" s="907" t="s">
        <v>123</v>
      </c>
      <c r="BN52" s="1004" t="s">
        <v>123</v>
      </c>
      <c r="BO52" s="907" t="str">
        <f t="shared" si="6"/>
        <v/>
      </c>
      <c r="BP52" s="907" t="str">
        <f t="shared" si="7"/>
        <v/>
      </c>
      <c r="BQ52" s="907" t="str">
        <f t="shared" si="8"/>
        <v/>
      </c>
      <c r="BR52" s="1004" t="str">
        <f t="shared" si="9"/>
        <v/>
      </c>
      <c r="BS52" s="1005" t="str">
        <f t="shared" si="10"/>
        <v/>
      </c>
      <c r="BT52" s="1006" t="s">
        <v>123</v>
      </c>
      <c r="BU52" s="1002" t="s">
        <v>123</v>
      </c>
      <c r="BV52" s="1006" t="s">
        <v>123</v>
      </c>
      <c r="BW52" s="1007"/>
    </row>
    <row r="53">
      <c r="A53" s="624">
        <v>30.0</v>
      </c>
      <c r="B53" s="1008"/>
      <c r="C53" s="989"/>
      <c r="D53" s="851"/>
      <c r="E53" s="990"/>
      <c r="F53" s="991"/>
      <c r="G53" s="991"/>
      <c r="H53" s="992"/>
      <c r="I53" s="993"/>
      <c r="J53" s="993"/>
      <c r="K53" s="993"/>
      <c r="L53" s="993"/>
      <c r="M53" s="993"/>
      <c r="N53" s="993"/>
      <c r="O53" s="993"/>
      <c r="P53" s="993"/>
      <c r="Q53" s="993"/>
      <c r="R53" s="993"/>
      <c r="S53" s="936"/>
      <c r="T53" s="998"/>
      <c r="U53" s="935"/>
      <c r="V53" s="935"/>
      <c r="W53" s="949" t="str">
        <f>IF(AND($S$20,NOT($U$20)),IF($V53:$V623="","",SUMIF(portfolio.!$A$4:$A623,V53,portfolio.!$AN$4:$AN623)),"")</f>
        <v/>
      </c>
      <c r="X53" s="998"/>
      <c r="Y53" s="936"/>
      <c r="Z53" s="936" t="s">
        <v>123</v>
      </c>
      <c r="AA53" s="936" t="s">
        <v>123</v>
      </c>
      <c r="AB53" s="936" t="s">
        <v>123</v>
      </c>
      <c r="AC53" s="907" t="s">
        <v>123</v>
      </c>
      <c r="AD53" s="999"/>
      <c r="AE53" s="936"/>
      <c r="AF53" s="936"/>
      <c r="AG53" s="936"/>
      <c r="AH53" s="936"/>
      <c r="AI53" s="999"/>
      <c r="AJ53" s="935"/>
      <c r="AK53" s="966"/>
      <c r="AL53" s="949"/>
      <c r="AM53" s="949" t="s">
        <v>123</v>
      </c>
      <c r="AN53" s="949"/>
      <c r="AO53" s="999"/>
      <c r="AP53" s="936"/>
      <c r="AQ53" s="987"/>
      <c r="AR53" s="907"/>
      <c r="AS53" s="907"/>
      <c r="AT53" s="967" t="s">
        <v>123</v>
      </c>
      <c r="AU53" s="967" t="s">
        <v>123</v>
      </c>
      <c r="AV53" s="967" t="s">
        <v>123</v>
      </c>
      <c r="AW53" s="907" t="s">
        <v>123</v>
      </c>
      <c r="AX53" s="907" t="s">
        <v>123</v>
      </c>
      <c r="AY53" s="907" t="s">
        <v>123</v>
      </c>
      <c r="AZ53" s="936" t="s">
        <v>123</v>
      </c>
      <c r="BA53" s="935" t="s">
        <v>123</v>
      </c>
      <c r="BB53" s="1000"/>
      <c r="BC53" s="1001"/>
      <c r="BD53" s="936"/>
      <c r="BE53" s="907"/>
      <c r="BF53" s="1002" t="str">
        <f>IF($BC53="","",SUMIF(portfolio.!$A$4:$A623,BC53,portfolio.!$AN$4:$AN623))</f>
        <v/>
      </c>
      <c r="BG53" s="936" t="s">
        <v>123</v>
      </c>
      <c r="BH53" s="907" t="s">
        <v>123</v>
      </c>
      <c r="BI53" s="935" t="s">
        <v>123</v>
      </c>
      <c r="BJ53" s="1003"/>
      <c r="BK53" s="907" t="s">
        <v>123</v>
      </c>
      <c r="BL53" s="907" t="s">
        <v>123</v>
      </c>
      <c r="BM53" s="907" t="s">
        <v>123</v>
      </c>
      <c r="BN53" s="1004" t="s">
        <v>123</v>
      </c>
      <c r="BO53" s="907" t="str">
        <f t="shared" si="6"/>
        <v/>
      </c>
      <c r="BP53" s="907" t="str">
        <f t="shared" si="7"/>
        <v/>
      </c>
      <c r="BQ53" s="907" t="str">
        <f t="shared" si="8"/>
        <v/>
      </c>
      <c r="BR53" s="1004" t="str">
        <f t="shared" si="9"/>
        <v/>
      </c>
      <c r="BS53" s="1005" t="str">
        <f t="shared" si="10"/>
        <v/>
      </c>
      <c r="BT53" s="1006" t="s">
        <v>123</v>
      </c>
      <c r="BU53" s="1002" t="s">
        <v>123</v>
      </c>
      <c r="BV53" s="1006" t="s">
        <v>123</v>
      </c>
      <c r="BW53" s="1007"/>
    </row>
    <row r="54">
      <c r="A54" s="624">
        <v>31.0</v>
      </c>
      <c r="B54" s="1008"/>
      <c r="C54" s="989"/>
      <c r="D54" s="851"/>
      <c r="E54" s="990"/>
      <c r="F54" s="991"/>
      <c r="G54" s="991"/>
      <c r="H54" s="992"/>
      <c r="I54" s="993"/>
      <c r="J54" s="993"/>
      <c r="K54" s="993"/>
      <c r="L54" s="993"/>
      <c r="M54" s="993"/>
      <c r="N54" s="993"/>
      <c r="O54" s="993"/>
      <c r="P54" s="993"/>
      <c r="Q54" s="993"/>
      <c r="R54" s="993"/>
      <c r="S54" s="936"/>
      <c r="T54" s="998"/>
      <c r="U54" s="935"/>
      <c r="V54" s="935"/>
      <c r="W54" s="949" t="str">
        <f>IF(AND($S$20,NOT($U$20)),IF($V54:$V623="","",SUMIF(portfolio.!$A$4:$A623,V54,portfolio.!$AN$4:$AN623)),"")</f>
        <v/>
      </c>
      <c r="X54" s="998"/>
      <c r="Y54" s="936"/>
      <c r="Z54" s="936" t="s">
        <v>123</v>
      </c>
      <c r="AA54" s="936" t="s">
        <v>123</v>
      </c>
      <c r="AB54" s="936" t="s">
        <v>123</v>
      </c>
      <c r="AC54" s="907" t="s">
        <v>123</v>
      </c>
      <c r="AD54" s="999"/>
      <c r="AE54" s="936"/>
      <c r="AF54" s="936"/>
      <c r="AG54" s="936"/>
      <c r="AH54" s="936"/>
      <c r="AI54" s="999"/>
      <c r="AJ54" s="935"/>
      <c r="AK54" s="966"/>
      <c r="AL54" s="949"/>
      <c r="AM54" s="949" t="s">
        <v>123</v>
      </c>
      <c r="AN54" s="949"/>
      <c r="AO54" s="999"/>
      <c r="AP54" s="936"/>
      <c r="AQ54" s="987"/>
      <c r="AR54" s="907"/>
      <c r="AS54" s="907"/>
      <c r="AT54" s="967" t="s">
        <v>123</v>
      </c>
      <c r="AU54" s="967" t="s">
        <v>123</v>
      </c>
      <c r="AV54" s="967" t="s">
        <v>123</v>
      </c>
      <c r="AW54" s="907" t="s">
        <v>123</v>
      </c>
      <c r="AX54" s="907" t="s">
        <v>123</v>
      </c>
      <c r="AY54" s="907" t="s">
        <v>123</v>
      </c>
      <c r="AZ54" s="936" t="s">
        <v>123</v>
      </c>
      <c r="BA54" s="935" t="s">
        <v>123</v>
      </c>
      <c r="BB54" s="1000"/>
      <c r="BC54" s="1001"/>
      <c r="BD54" s="936"/>
      <c r="BE54" s="907"/>
      <c r="BF54" s="1002" t="str">
        <f>IF($BC54="","",SUMIF(portfolio.!$A$4:$A623,BC54,portfolio.!$AN$4:$AN623))</f>
        <v/>
      </c>
      <c r="BG54" s="936" t="s">
        <v>123</v>
      </c>
      <c r="BH54" s="907" t="s">
        <v>123</v>
      </c>
      <c r="BI54" s="935" t="s">
        <v>123</v>
      </c>
      <c r="BJ54" s="1003"/>
      <c r="BK54" s="907" t="s">
        <v>123</v>
      </c>
      <c r="BL54" s="907" t="s">
        <v>123</v>
      </c>
      <c r="BM54" s="907" t="s">
        <v>123</v>
      </c>
      <c r="BN54" s="1004" t="s">
        <v>123</v>
      </c>
      <c r="BO54" s="907" t="str">
        <f t="shared" si="6"/>
        <v/>
      </c>
      <c r="BP54" s="907" t="str">
        <f t="shared" si="7"/>
        <v/>
      </c>
      <c r="BQ54" s="907" t="str">
        <f t="shared" si="8"/>
        <v/>
      </c>
      <c r="BR54" s="1004" t="str">
        <f t="shared" si="9"/>
        <v/>
      </c>
      <c r="BS54" s="1005" t="str">
        <f t="shared" si="10"/>
        <v/>
      </c>
      <c r="BT54" s="1006" t="s">
        <v>123</v>
      </c>
      <c r="BU54" s="1002" t="s">
        <v>123</v>
      </c>
      <c r="BV54" s="1006" t="s">
        <v>123</v>
      </c>
      <c r="BW54" s="1007"/>
    </row>
    <row r="55">
      <c r="A55" s="624">
        <v>32.0</v>
      </c>
      <c r="B55" s="1008"/>
      <c r="C55" s="989"/>
      <c r="D55" s="851"/>
      <c r="E55" s="990"/>
      <c r="F55" s="991"/>
      <c r="G55" s="991"/>
      <c r="H55" s="992"/>
      <c r="I55" s="993"/>
      <c r="J55" s="993"/>
      <c r="K55" s="993"/>
      <c r="L55" s="993"/>
      <c r="M55" s="993"/>
      <c r="N55" s="993"/>
      <c r="O55" s="993"/>
      <c r="P55" s="993"/>
      <c r="Q55" s="993"/>
      <c r="R55" s="993"/>
      <c r="S55" s="936"/>
      <c r="T55" s="998"/>
      <c r="U55" s="935"/>
      <c r="V55" s="935"/>
      <c r="W55" s="949" t="str">
        <f>IF(AND($S$20,NOT($U$20)),IF($V55:$V623="","",SUMIF(portfolio.!$A$4:$A623,V55,portfolio.!$AN$4:$AN623)),"")</f>
        <v/>
      </c>
      <c r="X55" s="998"/>
      <c r="Y55" s="936"/>
      <c r="Z55" s="936" t="s">
        <v>123</v>
      </c>
      <c r="AA55" s="936" t="s">
        <v>123</v>
      </c>
      <c r="AB55" s="936" t="s">
        <v>123</v>
      </c>
      <c r="AC55" s="907" t="s">
        <v>123</v>
      </c>
      <c r="AD55" s="999"/>
      <c r="AE55" s="936"/>
      <c r="AF55" s="936"/>
      <c r="AG55" s="936"/>
      <c r="AH55" s="936"/>
      <c r="AI55" s="999"/>
      <c r="AJ55" s="935"/>
      <c r="AK55" s="966"/>
      <c r="AL55" s="949"/>
      <c r="AM55" s="949" t="s">
        <v>123</v>
      </c>
      <c r="AN55" s="949"/>
      <c r="AO55" s="999"/>
      <c r="AP55" s="936"/>
      <c r="AQ55" s="987"/>
      <c r="AR55" s="907"/>
      <c r="AS55" s="907"/>
      <c r="AT55" s="967" t="s">
        <v>123</v>
      </c>
      <c r="AU55" s="967" t="s">
        <v>123</v>
      </c>
      <c r="AV55" s="967" t="s">
        <v>123</v>
      </c>
      <c r="AW55" s="907" t="s">
        <v>123</v>
      </c>
      <c r="AX55" s="907" t="s">
        <v>123</v>
      </c>
      <c r="AY55" s="907" t="s">
        <v>123</v>
      </c>
      <c r="AZ55" s="936" t="s">
        <v>123</v>
      </c>
      <c r="BA55" s="935" t="s">
        <v>123</v>
      </c>
      <c r="BB55" s="1000"/>
      <c r="BC55" s="1001"/>
      <c r="BD55" s="936"/>
      <c r="BE55" s="907"/>
      <c r="BF55" s="1002" t="str">
        <f>IF($BC55="","",SUMIF(portfolio.!$A$4:$A623,BC55,portfolio.!$AN$4:$AN623))</f>
        <v/>
      </c>
      <c r="BG55" s="936" t="s">
        <v>123</v>
      </c>
      <c r="BH55" s="907" t="s">
        <v>123</v>
      </c>
      <c r="BI55" s="935" t="s">
        <v>123</v>
      </c>
      <c r="BJ55" s="1003"/>
      <c r="BK55" s="907" t="s">
        <v>123</v>
      </c>
      <c r="BL55" s="907" t="s">
        <v>123</v>
      </c>
      <c r="BM55" s="907" t="s">
        <v>123</v>
      </c>
      <c r="BN55" s="1004" t="s">
        <v>123</v>
      </c>
      <c r="BO55" s="907" t="str">
        <f t="shared" si="6"/>
        <v/>
      </c>
      <c r="BP55" s="907" t="str">
        <f t="shared" si="7"/>
        <v/>
      </c>
      <c r="BQ55" s="907" t="str">
        <f t="shared" si="8"/>
        <v/>
      </c>
      <c r="BR55" s="1004" t="str">
        <f t="shared" si="9"/>
        <v/>
      </c>
      <c r="BS55" s="1005" t="str">
        <f t="shared" si="10"/>
        <v/>
      </c>
      <c r="BT55" s="1006" t="s">
        <v>123</v>
      </c>
      <c r="BU55" s="1002" t="s">
        <v>123</v>
      </c>
      <c r="BV55" s="1006" t="s">
        <v>123</v>
      </c>
      <c r="BW55" s="1007"/>
    </row>
    <row r="56">
      <c r="A56" s="624">
        <v>33.0</v>
      </c>
      <c r="B56" s="1008"/>
      <c r="C56" s="989"/>
      <c r="D56" s="851"/>
      <c r="E56" s="990"/>
      <c r="F56" s="991"/>
      <c r="G56" s="991"/>
      <c r="H56" s="992"/>
      <c r="I56" s="993"/>
      <c r="J56" s="993"/>
      <c r="K56" s="993"/>
      <c r="L56" s="993"/>
      <c r="M56" s="993"/>
      <c r="N56" s="993"/>
      <c r="O56" s="993"/>
      <c r="P56" s="993"/>
      <c r="Q56" s="993"/>
      <c r="R56" s="993"/>
      <c r="S56" s="936"/>
      <c r="T56" s="998"/>
      <c r="U56" s="935"/>
      <c r="V56" s="935"/>
      <c r="W56" s="949" t="str">
        <f>IF(AND($S$20,NOT($U$20)),IF($V56:$V623="","",SUMIF(portfolio.!$A$4:$A623,V56,portfolio.!$AN$4:$AN623)),"")</f>
        <v/>
      </c>
      <c r="X56" s="998"/>
      <c r="Y56" s="936"/>
      <c r="Z56" s="936" t="s">
        <v>123</v>
      </c>
      <c r="AA56" s="936" t="s">
        <v>123</v>
      </c>
      <c r="AB56" s="936" t="s">
        <v>123</v>
      </c>
      <c r="AC56" s="907" t="s">
        <v>123</v>
      </c>
      <c r="AD56" s="999"/>
      <c r="AE56" s="936"/>
      <c r="AF56" s="936"/>
      <c r="AG56" s="936"/>
      <c r="AH56" s="936"/>
      <c r="AI56" s="999"/>
      <c r="AJ56" s="935"/>
      <c r="AK56" s="966"/>
      <c r="AL56" s="949"/>
      <c r="AM56" s="949" t="s">
        <v>123</v>
      </c>
      <c r="AN56" s="949"/>
      <c r="AO56" s="999"/>
      <c r="AP56" s="936"/>
      <c r="AQ56" s="987"/>
      <c r="AR56" s="907"/>
      <c r="AS56" s="907"/>
      <c r="AT56" s="967" t="s">
        <v>123</v>
      </c>
      <c r="AU56" s="967" t="s">
        <v>123</v>
      </c>
      <c r="AV56" s="967" t="s">
        <v>123</v>
      </c>
      <c r="AW56" s="907" t="s">
        <v>123</v>
      </c>
      <c r="AX56" s="907" t="s">
        <v>123</v>
      </c>
      <c r="AY56" s="907" t="s">
        <v>123</v>
      </c>
      <c r="AZ56" s="936" t="s">
        <v>123</v>
      </c>
      <c r="BA56" s="935" t="s">
        <v>123</v>
      </c>
      <c r="BB56" s="1000"/>
      <c r="BC56" s="1001"/>
      <c r="BD56" s="936"/>
      <c r="BE56" s="907"/>
      <c r="BF56" s="1002" t="str">
        <f>IF($BC56="","",SUMIF(portfolio.!$A$4:$A623,BC56,portfolio.!$AN$4:$AN623))</f>
        <v/>
      </c>
      <c r="BG56" s="936" t="s">
        <v>123</v>
      </c>
      <c r="BH56" s="907" t="s">
        <v>123</v>
      </c>
      <c r="BI56" s="935" t="s">
        <v>123</v>
      </c>
      <c r="BJ56" s="1003"/>
      <c r="BK56" s="907" t="s">
        <v>123</v>
      </c>
      <c r="BL56" s="907" t="s">
        <v>123</v>
      </c>
      <c r="BM56" s="907" t="s">
        <v>123</v>
      </c>
      <c r="BN56" s="1004" t="s">
        <v>123</v>
      </c>
      <c r="BO56" s="907" t="str">
        <f t="shared" si="6"/>
        <v/>
      </c>
      <c r="BP56" s="907" t="str">
        <f t="shared" si="7"/>
        <v/>
      </c>
      <c r="BQ56" s="907" t="str">
        <f t="shared" si="8"/>
        <v/>
      </c>
      <c r="BR56" s="1004" t="str">
        <f t="shared" si="9"/>
        <v/>
      </c>
      <c r="BS56" s="1005" t="str">
        <f t="shared" si="10"/>
        <v/>
      </c>
      <c r="BT56" s="1006" t="s">
        <v>123</v>
      </c>
      <c r="BU56" s="1002" t="s">
        <v>123</v>
      </c>
      <c r="BV56" s="1006" t="s">
        <v>123</v>
      </c>
      <c r="BW56" s="1007"/>
    </row>
    <row r="57">
      <c r="A57" s="624">
        <v>34.0</v>
      </c>
      <c r="B57" s="1008"/>
      <c r="C57" s="989"/>
      <c r="D57" s="851"/>
      <c r="E57" s="990"/>
      <c r="F57" s="991"/>
      <c r="G57" s="991"/>
      <c r="H57" s="992"/>
      <c r="I57" s="993"/>
      <c r="J57" s="993"/>
      <c r="K57" s="993"/>
      <c r="L57" s="993"/>
      <c r="M57" s="993"/>
      <c r="N57" s="993"/>
      <c r="O57" s="993"/>
      <c r="P57" s="993"/>
      <c r="Q57" s="993"/>
      <c r="R57" s="993"/>
      <c r="S57" s="936"/>
      <c r="T57" s="998"/>
      <c r="U57" s="935"/>
      <c r="V57" s="935"/>
      <c r="W57" s="949" t="str">
        <f>IF(AND($S$20,NOT($U$20)),IF($V57:$V623="","",SUMIF(portfolio.!$A$4:$A623,V57,portfolio.!$AN$4:$AN623)),"")</f>
        <v/>
      </c>
      <c r="X57" s="998"/>
      <c r="Y57" s="936"/>
      <c r="Z57" s="936" t="s">
        <v>123</v>
      </c>
      <c r="AA57" s="936" t="s">
        <v>123</v>
      </c>
      <c r="AB57" s="936" t="s">
        <v>123</v>
      </c>
      <c r="AC57" s="907" t="s">
        <v>123</v>
      </c>
      <c r="AD57" s="999"/>
      <c r="AE57" s="936"/>
      <c r="AF57" s="936"/>
      <c r="AG57" s="936"/>
      <c r="AH57" s="936"/>
      <c r="AI57" s="999"/>
      <c r="AJ57" s="935"/>
      <c r="AK57" s="966"/>
      <c r="AL57" s="949"/>
      <c r="AM57" s="949" t="s">
        <v>123</v>
      </c>
      <c r="AN57" s="949"/>
      <c r="AO57" s="999"/>
      <c r="AP57" s="936"/>
      <c r="AQ57" s="987"/>
      <c r="AR57" s="907"/>
      <c r="AS57" s="907"/>
      <c r="AT57" s="967" t="s">
        <v>123</v>
      </c>
      <c r="AU57" s="967" t="s">
        <v>123</v>
      </c>
      <c r="AV57" s="967" t="s">
        <v>123</v>
      </c>
      <c r="AW57" s="907" t="s">
        <v>123</v>
      </c>
      <c r="AX57" s="907" t="s">
        <v>123</v>
      </c>
      <c r="AY57" s="907" t="s">
        <v>123</v>
      </c>
      <c r="AZ57" s="936" t="s">
        <v>123</v>
      </c>
      <c r="BA57" s="935" t="s">
        <v>123</v>
      </c>
      <c r="BB57" s="1000"/>
      <c r="BC57" s="1001"/>
      <c r="BD57" s="936"/>
      <c r="BE57" s="907"/>
      <c r="BF57" s="1002" t="str">
        <f>IF($BC57="","",SUMIF(portfolio.!$A$4:$A623,BC57,portfolio.!$AN$4:$AN623))</f>
        <v/>
      </c>
      <c r="BG57" s="936" t="s">
        <v>123</v>
      </c>
      <c r="BH57" s="907" t="s">
        <v>123</v>
      </c>
      <c r="BI57" s="935" t="s">
        <v>123</v>
      </c>
      <c r="BJ57" s="1003"/>
      <c r="BK57" s="907" t="s">
        <v>123</v>
      </c>
      <c r="BL57" s="907" t="s">
        <v>123</v>
      </c>
      <c r="BM57" s="907" t="s">
        <v>123</v>
      </c>
      <c r="BN57" s="1004" t="s">
        <v>123</v>
      </c>
      <c r="BO57" s="907" t="str">
        <f t="shared" si="6"/>
        <v/>
      </c>
      <c r="BP57" s="907" t="str">
        <f t="shared" si="7"/>
        <v/>
      </c>
      <c r="BQ57" s="907" t="str">
        <f t="shared" si="8"/>
        <v/>
      </c>
      <c r="BR57" s="1004" t="str">
        <f t="shared" si="9"/>
        <v/>
      </c>
      <c r="BS57" s="1005" t="str">
        <f t="shared" si="10"/>
        <v/>
      </c>
      <c r="BT57" s="1006" t="s">
        <v>123</v>
      </c>
      <c r="BU57" s="1002" t="s">
        <v>123</v>
      </c>
      <c r="BV57" s="1006" t="s">
        <v>123</v>
      </c>
      <c r="BW57" s="1007"/>
    </row>
    <row r="58">
      <c r="A58" s="624">
        <v>35.0</v>
      </c>
      <c r="B58" s="1008"/>
      <c r="C58" s="989"/>
      <c r="D58" s="851"/>
      <c r="E58" s="990"/>
      <c r="F58" s="991"/>
      <c r="G58" s="991"/>
      <c r="H58" s="992"/>
      <c r="I58" s="993"/>
      <c r="J58" s="993"/>
      <c r="K58" s="993"/>
      <c r="L58" s="993"/>
      <c r="M58" s="993"/>
      <c r="N58" s="993"/>
      <c r="O58" s="993"/>
      <c r="P58" s="993"/>
      <c r="Q58" s="993"/>
      <c r="R58" s="993"/>
      <c r="S58" s="936"/>
      <c r="T58" s="998"/>
      <c r="U58" s="935"/>
      <c r="V58" s="935"/>
      <c r="W58" s="949" t="str">
        <f>IF(AND($S$20,NOT($U$20)),IF($V58:$V623="","",SUMIF(portfolio.!$A$4:$A623,V58,portfolio.!$AN$4:$AN623)),"")</f>
        <v/>
      </c>
      <c r="X58" s="998"/>
      <c r="Y58" s="936"/>
      <c r="Z58" s="936" t="s">
        <v>123</v>
      </c>
      <c r="AA58" s="936" t="s">
        <v>123</v>
      </c>
      <c r="AB58" s="936" t="s">
        <v>123</v>
      </c>
      <c r="AC58" s="907" t="s">
        <v>123</v>
      </c>
      <c r="AD58" s="999"/>
      <c r="AE58" s="936"/>
      <c r="AF58" s="936"/>
      <c r="AG58" s="936"/>
      <c r="AH58" s="936"/>
      <c r="AI58" s="999"/>
      <c r="AJ58" s="935"/>
      <c r="AK58" s="966"/>
      <c r="AL58" s="949"/>
      <c r="AM58" s="949" t="s">
        <v>123</v>
      </c>
      <c r="AN58" s="949"/>
      <c r="AO58" s="999"/>
      <c r="AP58" s="936"/>
      <c r="AQ58" s="987"/>
      <c r="AR58" s="907"/>
      <c r="AS58" s="907"/>
      <c r="AT58" s="967" t="s">
        <v>123</v>
      </c>
      <c r="AU58" s="967" t="s">
        <v>123</v>
      </c>
      <c r="AV58" s="967" t="s">
        <v>123</v>
      </c>
      <c r="AW58" s="907" t="s">
        <v>123</v>
      </c>
      <c r="AX58" s="907" t="s">
        <v>123</v>
      </c>
      <c r="AY58" s="907" t="s">
        <v>123</v>
      </c>
      <c r="AZ58" s="936" t="s">
        <v>123</v>
      </c>
      <c r="BA58" s="935" t="s">
        <v>123</v>
      </c>
      <c r="BB58" s="1000"/>
      <c r="BC58" s="1001"/>
      <c r="BD58" s="936"/>
      <c r="BE58" s="907"/>
      <c r="BF58" s="1002" t="str">
        <f>IF($BC58="","",SUMIF(portfolio.!$A$4:$A623,BC58,portfolio.!$AN$4:$AN623))</f>
        <v/>
      </c>
      <c r="BG58" s="936" t="s">
        <v>123</v>
      </c>
      <c r="BH58" s="907" t="s">
        <v>123</v>
      </c>
      <c r="BI58" s="935" t="s">
        <v>123</v>
      </c>
      <c r="BJ58" s="1003"/>
      <c r="BK58" s="907" t="s">
        <v>123</v>
      </c>
      <c r="BL58" s="907" t="s">
        <v>123</v>
      </c>
      <c r="BM58" s="907" t="s">
        <v>123</v>
      </c>
      <c r="BN58" s="1004" t="s">
        <v>123</v>
      </c>
      <c r="BO58" s="907" t="str">
        <f t="shared" si="6"/>
        <v/>
      </c>
      <c r="BP58" s="907" t="str">
        <f t="shared" si="7"/>
        <v/>
      </c>
      <c r="BQ58" s="907" t="str">
        <f t="shared" si="8"/>
        <v/>
      </c>
      <c r="BR58" s="1004" t="str">
        <f t="shared" si="9"/>
        <v/>
      </c>
      <c r="BS58" s="1005" t="str">
        <f t="shared" si="10"/>
        <v/>
      </c>
      <c r="BT58" s="1006" t="s">
        <v>123</v>
      </c>
      <c r="BU58" s="1002" t="s">
        <v>123</v>
      </c>
      <c r="BV58" s="1006" t="s">
        <v>123</v>
      </c>
      <c r="BW58" s="1007"/>
    </row>
    <row r="59">
      <c r="A59" s="624">
        <v>36.0</v>
      </c>
      <c r="B59" s="1008"/>
      <c r="C59" s="989"/>
      <c r="D59" s="851"/>
      <c r="E59" s="990"/>
      <c r="F59" s="991"/>
      <c r="G59" s="991"/>
      <c r="H59" s="992"/>
      <c r="I59" s="993"/>
      <c r="J59" s="993"/>
      <c r="K59" s="993"/>
      <c r="L59" s="993"/>
      <c r="M59" s="993"/>
      <c r="N59" s="993"/>
      <c r="O59" s="993"/>
      <c r="P59" s="993"/>
      <c r="Q59" s="993"/>
      <c r="R59" s="993"/>
      <c r="S59" s="936"/>
      <c r="T59" s="998"/>
      <c r="U59" s="935"/>
      <c r="V59" s="935"/>
      <c r="W59" s="949" t="str">
        <f>IF(AND($S$20,NOT($U$20)),IF($V59:$V623="","",SUMIF(portfolio.!$A$4:$A623,V59,portfolio.!$AN$4:$AN623)),"")</f>
        <v/>
      </c>
      <c r="X59" s="998"/>
      <c r="Y59" s="936"/>
      <c r="Z59" s="936" t="s">
        <v>123</v>
      </c>
      <c r="AA59" s="936" t="s">
        <v>123</v>
      </c>
      <c r="AB59" s="936" t="s">
        <v>123</v>
      </c>
      <c r="AC59" s="907" t="s">
        <v>123</v>
      </c>
      <c r="AD59" s="999"/>
      <c r="AE59" s="936"/>
      <c r="AF59" s="936"/>
      <c r="AG59" s="936"/>
      <c r="AH59" s="936"/>
      <c r="AI59" s="999"/>
      <c r="AJ59" s="935"/>
      <c r="AK59" s="966"/>
      <c r="AL59" s="949"/>
      <c r="AM59" s="949" t="s">
        <v>123</v>
      </c>
      <c r="AN59" s="949"/>
      <c r="AO59" s="999"/>
      <c r="AP59" s="936"/>
      <c r="AQ59" s="987"/>
      <c r="AR59" s="907"/>
      <c r="AS59" s="907"/>
      <c r="AT59" s="967" t="s">
        <v>123</v>
      </c>
      <c r="AU59" s="967" t="s">
        <v>123</v>
      </c>
      <c r="AV59" s="967" t="s">
        <v>123</v>
      </c>
      <c r="AW59" s="907" t="s">
        <v>123</v>
      </c>
      <c r="AX59" s="907" t="s">
        <v>123</v>
      </c>
      <c r="AY59" s="907" t="s">
        <v>123</v>
      </c>
      <c r="AZ59" s="936" t="s">
        <v>123</v>
      </c>
      <c r="BA59" s="935" t="s">
        <v>123</v>
      </c>
      <c r="BB59" s="1000"/>
      <c r="BC59" s="1001"/>
      <c r="BD59" s="936"/>
      <c r="BE59" s="907"/>
      <c r="BF59" s="1002" t="str">
        <f>IF($BC59="","",SUMIF(portfolio.!$A$4:$A623,BC59,portfolio.!$AN$4:$AN623))</f>
        <v/>
      </c>
      <c r="BG59" s="936" t="s">
        <v>123</v>
      </c>
      <c r="BH59" s="907" t="s">
        <v>123</v>
      </c>
      <c r="BI59" s="935" t="s">
        <v>123</v>
      </c>
      <c r="BJ59" s="1003"/>
      <c r="BK59" s="907" t="s">
        <v>123</v>
      </c>
      <c r="BL59" s="907" t="s">
        <v>123</v>
      </c>
      <c r="BM59" s="907" t="s">
        <v>123</v>
      </c>
      <c r="BN59" s="1004" t="s">
        <v>123</v>
      </c>
      <c r="BO59" s="907" t="str">
        <f t="shared" si="6"/>
        <v/>
      </c>
      <c r="BP59" s="907" t="str">
        <f t="shared" si="7"/>
        <v/>
      </c>
      <c r="BQ59" s="907" t="str">
        <f t="shared" si="8"/>
        <v/>
      </c>
      <c r="BR59" s="1004" t="str">
        <f t="shared" si="9"/>
        <v/>
      </c>
      <c r="BS59" s="1005" t="str">
        <f t="shared" si="10"/>
        <v/>
      </c>
      <c r="BT59" s="1006" t="s">
        <v>123</v>
      </c>
      <c r="BU59" s="1002" t="s">
        <v>123</v>
      </c>
      <c r="BV59" s="1006" t="s">
        <v>123</v>
      </c>
      <c r="BW59" s="1007"/>
    </row>
    <row r="60">
      <c r="A60" s="624">
        <v>37.0</v>
      </c>
      <c r="B60" s="1008"/>
      <c r="C60" s="989"/>
      <c r="D60" s="851"/>
      <c r="E60" s="990"/>
      <c r="F60" s="991"/>
      <c r="G60" s="991"/>
      <c r="H60" s="992"/>
      <c r="I60" s="993"/>
      <c r="J60" s="993"/>
      <c r="K60" s="993"/>
      <c r="L60" s="993"/>
      <c r="M60" s="993"/>
      <c r="N60" s="993"/>
      <c r="O60" s="993"/>
      <c r="P60" s="993"/>
      <c r="Q60" s="993"/>
      <c r="R60" s="993"/>
      <c r="S60" s="936"/>
      <c r="T60" s="998"/>
      <c r="U60" s="935"/>
      <c r="V60" s="935"/>
      <c r="W60" s="949" t="str">
        <f>IF(AND($S$20,NOT($U$20)),IF($V60:$V623="","",SUMIF(portfolio.!$A$4:$A623,V60,portfolio.!$AN$4:$AN623)),"")</f>
        <v/>
      </c>
      <c r="X60" s="998"/>
      <c r="Y60" s="936"/>
      <c r="Z60" s="936" t="s">
        <v>123</v>
      </c>
      <c r="AA60" s="936" t="s">
        <v>123</v>
      </c>
      <c r="AB60" s="936" t="s">
        <v>123</v>
      </c>
      <c r="AC60" s="907" t="s">
        <v>123</v>
      </c>
      <c r="AD60" s="999"/>
      <c r="AE60" s="936"/>
      <c r="AF60" s="936"/>
      <c r="AG60" s="936"/>
      <c r="AH60" s="936"/>
      <c r="AI60" s="999"/>
      <c r="AJ60" s="935"/>
      <c r="AK60" s="966"/>
      <c r="AL60" s="949"/>
      <c r="AM60" s="949" t="s">
        <v>123</v>
      </c>
      <c r="AN60" s="949"/>
      <c r="AO60" s="999"/>
      <c r="AP60" s="936"/>
      <c r="AQ60" s="987"/>
      <c r="AR60" s="907"/>
      <c r="AS60" s="907"/>
      <c r="AT60" s="967" t="s">
        <v>123</v>
      </c>
      <c r="AU60" s="967" t="s">
        <v>123</v>
      </c>
      <c r="AV60" s="967" t="s">
        <v>123</v>
      </c>
      <c r="AW60" s="907" t="s">
        <v>123</v>
      </c>
      <c r="AX60" s="907" t="s">
        <v>123</v>
      </c>
      <c r="AY60" s="907" t="s">
        <v>123</v>
      </c>
      <c r="AZ60" s="936" t="s">
        <v>123</v>
      </c>
      <c r="BA60" s="935" t="s">
        <v>123</v>
      </c>
      <c r="BB60" s="1000"/>
      <c r="BC60" s="1001"/>
      <c r="BD60" s="936"/>
      <c r="BE60" s="907"/>
      <c r="BF60" s="1002" t="str">
        <f>IF($BC60="","",SUMIF(portfolio.!$A$4:$A623,BC60,portfolio.!$AN$4:$AN623))</f>
        <v/>
      </c>
      <c r="BG60" s="936" t="s">
        <v>123</v>
      </c>
      <c r="BH60" s="907" t="s">
        <v>123</v>
      </c>
      <c r="BI60" s="935" t="s">
        <v>123</v>
      </c>
      <c r="BJ60" s="1003"/>
      <c r="BK60" s="907" t="s">
        <v>123</v>
      </c>
      <c r="BL60" s="907" t="s">
        <v>123</v>
      </c>
      <c r="BM60" s="907" t="s">
        <v>123</v>
      </c>
      <c r="BN60" s="1004" t="s">
        <v>123</v>
      </c>
      <c r="BO60" s="907" t="str">
        <f t="shared" si="6"/>
        <v/>
      </c>
      <c r="BP60" s="907" t="str">
        <f t="shared" si="7"/>
        <v/>
      </c>
      <c r="BQ60" s="907" t="str">
        <f t="shared" si="8"/>
        <v/>
      </c>
      <c r="BR60" s="1004" t="str">
        <f t="shared" si="9"/>
        <v/>
      </c>
      <c r="BS60" s="1005" t="str">
        <f t="shared" si="10"/>
        <v/>
      </c>
      <c r="BT60" s="1006" t="s">
        <v>123</v>
      </c>
      <c r="BU60" s="1002" t="s">
        <v>123</v>
      </c>
      <c r="BV60" s="1006" t="s">
        <v>123</v>
      </c>
      <c r="BW60" s="1007"/>
    </row>
    <row r="61">
      <c r="A61" s="624">
        <v>38.0</v>
      </c>
      <c r="B61" s="1008"/>
      <c r="C61" s="989"/>
      <c r="D61" s="851"/>
      <c r="E61" s="990"/>
      <c r="F61" s="991"/>
      <c r="G61" s="991"/>
      <c r="H61" s="992"/>
      <c r="I61" s="993"/>
      <c r="J61" s="993"/>
      <c r="K61" s="993"/>
      <c r="L61" s="993"/>
      <c r="M61" s="993"/>
      <c r="N61" s="993"/>
      <c r="O61" s="993"/>
      <c r="P61" s="993"/>
      <c r="Q61" s="993"/>
      <c r="R61" s="993"/>
      <c r="S61" s="936"/>
      <c r="T61" s="998"/>
      <c r="U61" s="935"/>
      <c r="V61" s="935"/>
      <c r="W61" s="949" t="str">
        <f>IF(AND($S$20,NOT($U$20)),IF($V61:$V623="","",SUMIF(portfolio.!$A$4:$A623,V61,portfolio.!$AN$4:$AN623)),"")</f>
        <v/>
      </c>
      <c r="X61" s="998"/>
      <c r="Y61" s="936"/>
      <c r="Z61" s="936" t="s">
        <v>123</v>
      </c>
      <c r="AA61" s="936" t="s">
        <v>123</v>
      </c>
      <c r="AB61" s="936" t="s">
        <v>123</v>
      </c>
      <c r="AC61" s="907" t="s">
        <v>123</v>
      </c>
      <c r="AD61" s="999"/>
      <c r="AE61" s="936"/>
      <c r="AF61" s="936"/>
      <c r="AG61" s="936"/>
      <c r="AH61" s="936"/>
      <c r="AI61" s="999"/>
      <c r="AJ61" s="935"/>
      <c r="AK61" s="966"/>
      <c r="AL61" s="949"/>
      <c r="AM61" s="949" t="s">
        <v>123</v>
      </c>
      <c r="AN61" s="949"/>
      <c r="AO61" s="999"/>
      <c r="AP61" s="936"/>
      <c r="AQ61" s="987"/>
      <c r="AR61" s="907"/>
      <c r="AS61" s="907"/>
      <c r="AT61" s="967" t="s">
        <v>123</v>
      </c>
      <c r="AU61" s="967" t="s">
        <v>123</v>
      </c>
      <c r="AV61" s="967" t="s">
        <v>123</v>
      </c>
      <c r="AW61" s="907" t="s">
        <v>123</v>
      </c>
      <c r="AX61" s="907" t="s">
        <v>123</v>
      </c>
      <c r="AY61" s="907" t="s">
        <v>123</v>
      </c>
      <c r="AZ61" s="936" t="s">
        <v>123</v>
      </c>
      <c r="BA61" s="935" t="s">
        <v>123</v>
      </c>
      <c r="BB61" s="1000"/>
      <c r="BC61" s="1001"/>
      <c r="BD61" s="936"/>
      <c r="BE61" s="907"/>
      <c r="BF61" s="1002" t="str">
        <f>IF($BC61="","",SUMIF(portfolio.!$A$4:$A623,BC61,portfolio.!$AN$4:$AN623))</f>
        <v/>
      </c>
      <c r="BG61" s="936" t="s">
        <v>123</v>
      </c>
      <c r="BH61" s="907" t="s">
        <v>123</v>
      </c>
      <c r="BI61" s="935" t="s">
        <v>123</v>
      </c>
      <c r="BJ61" s="1003"/>
      <c r="BK61" s="907" t="s">
        <v>123</v>
      </c>
      <c r="BL61" s="907" t="s">
        <v>123</v>
      </c>
      <c r="BM61" s="907" t="s">
        <v>123</v>
      </c>
      <c r="BN61" s="1004" t="s">
        <v>123</v>
      </c>
      <c r="BO61" s="907" t="str">
        <f t="shared" si="6"/>
        <v/>
      </c>
      <c r="BP61" s="907" t="str">
        <f t="shared" si="7"/>
        <v/>
      </c>
      <c r="BQ61" s="907" t="str">
        <f t="shared" si="8"/>
        <v/>
      </c>
      <c r="BR61" s="1004" t="str">
        <f t="shared" si="9"/>
        <v/>
      </c>
      <c r="BS61" s="1005" t="str">
        <f t="shared" si="10"/>
        <v/>
      </c>
      <c r="BT61" s="1006" t="s">
        <v>123</v>
      </c>
      <c r="BU61" s="1002" t="s">
        <v>123</v>
      </c>
      <c r="BV61" s="1006" t="s">
        <v>123</v>
      </c>
      <c r="BW61" s="1007"/>
    </row>
    <row r="62">
      <c r="A62" s="624">
        <v>39.0</v>
      </c>
      <c r="B62" s="1008"/>
      <c r="C62" s="989"/>
      <c r="D62" s="851"/>
      <c r="E62" s="990"/>
      <c r="F62" s="991"/>
      <c r="G62" s="991"/>
      <c r="H62" s="992"/>
      <c r="I62" s="993"/>
      <c r="J62" s="993"/>
      <c r="K62" s="993"/>
      <c r="L62" s="993"/>
      <c r="M62" s="993"/>
      <c r="N62" s="993"/>
      <c r="O62" s="993"/>
      <c r="P62" s="993"/>
      <c r="Q62" s="993"/>
      <c r="R62" s="993"/>
      <c r="S62" s="936"/>
      <c r="T62" s="998"/>
      <c r="U62" s="935"/>
      <c r="V62" s="935"/>
      <c r="W62" s="949" t="str">
        <f>IF(AND($S$20,NOT($U$20)),IF($V62:$V623="","",SUMIF(portfolio.!$A$4:$A623,V62,portfolio.!$AN$4:$AN623)),"")</f>
        <v/>
      </c>
      <c r="X62" s="998"/>
      <c r="Y62" s="936"/>
      <c r="Z62" s="936" t="s">
        <v>123</v>
      </c>
      <c r="AA62" s="936" t="s">
        <v>123</v>
      </c>
      <c r="AB62" s="936" t="s">
        <v>123</v>
      </c>
      <c r="AC62" s="907" t="s">
        <v>123</v>
      </c>
      <c r="AD62" s="999"/>
      <c r="AE62" s="936"/>
      <c r="AF62" s="936"/>
      <c r="AG62" s="936"/>
      <c r="AH62" s="936"/>
      <c r="AI62" s="999"/>
      <c r="AJ62" s="935"/>
      <c r="AK62" s="966"/>
      <c r="AL62" s="949"/>
      <c r="AM62" s="949" t="s">
        <v>123</v>
      </c>
      <c r="AN62" s="949"/>
      <c r="AO62" s="999"/>
      <c r="AP62" s="936"/>
      <c r="AQ62" s="987"/>
      <c r="AR62" s="907"/>
      <c r="AS62" s="907"/>
      <c r="AT62" s="967" t="s">
        <v>123</v>
      </c>
      <c r="AU62" s="967" t="s">
        <v>123</v>
      </c>
      <c r="AV62" s="967" t="s">
        <v>123</v>
      </c>
      <c r="AW62" s="907" t="s">
        <v>123</v>
      </c>
      <c r="AX62" s="907" t="s">
        <v>123</v>
      </c>
      <c r="AY62" s="907" t="s">
        <v>123</v>
      </c>
      <c r="AZ62" s="936" t="s">
        <v>123</v>
      </c>
      <c r="BA62" s="935" t="s">
        <v>123</v>
      </c>
      <c r="BB62" s="1000"/>
      <c r="BC62" s="1001"/>
      <c r="BD62" s="936"/>
      <c r="BE62" s="907"/>
      <c r="BF62" s="1002" t="str">
        <f>IF($BC62="","",SUMIF(portfolio.!$A$4:$A623,BC62,portfolio.!$AN$4:$AN623))</f>
        <v/>
      </c>
      <c r="BG62" s="936" t="s">
        <v>123</v>
      </c>
      <c r="BH62" s="907" t="s">
        <v>123</v>
      </c>
      <c r="BI62" s="935" t="s">
        <v>123</v>
      </c>
      <c r="BJ62" s="1003"/>
      <c r="BK62" s="907" t="s">
        <v>123</v>
      </c>
      <c r="BL62" s="907" t="s">
        <v>123</v>
      </c>
      <c r="BM62" s="907" t="s">
        <v>123</v>
      </c>
      <c r="BN62" s="1004" t="s">
        <v>123</v>
      </c>
      <c r="BO62" s="907" t="str">
        <f t="shared" si="6"/>
        <v/>
      </c>
      <c r="BP62" s="907" t="str">
        <f t="shared" si="7"/>
        <v/>
      </c>
      <c r="BQ62" s="907" t="str">
        <f t="shared" si="8"/>
        <v/>
      </c>
      <c r="BR62" s="1004" t="str">
        <f t="shared" si="9"/>
        <v/>
      </c>
      <c r="BS62" s="1005" t="str">
        <f t="shared" si="10"/>
        <v/>
      </c>
      <c r="BT62" s="1006" t="s">
        <v>123</v>
      </c>
      <c r="BU62" s="1002" t="s">
        <v>123</v>
      </c>
      <c r="BV62" s="1006" t="s">
        <v>123</v>
      </c>
      <c r="BW62" s="1007"/>
    </row>
    <row r="63">
      <c r="A63" s="624">
        <v>40.0</v>
      </c>
      <c r="B63" s="1008"/>
      <c r="C63" s="989"/>
      <c r="D63" s="851"/>
      <c r="E63" s="990"/>
      <c r="F63" s="991"/>
      <c r="G63" s="991"/>
      <c r="H63" s="992"/>
      <c r="I63" s="993"/>
      <c r="J63" s="993"/>
      <c r="K63" s="993"/>
      <c r="L63" s="993"/>
      <c r="M63" s="993"/>
      <c r="N63" s="993"/>
      <c r="O63" s="993"/>
      <c r="P63" s="993"/>
      <c r="Q63" s="993"/>
      <c r="R63" s="993"/>
      <c r="S63" s="936"/>
      <c r="T63" s="998"/>
      <c r="U63" s="935"/>
      <c r="V63" s="935"/>
      <c r="W63" s="949" t="str">
        <f>IF(AND($S$20,NOT($U$20)),IF($V63:$V623="","",SUMIF(portfolio.!$A$4:$A623,V63,portfolio.!$AN$4:$AN623)),"")</f>
        <v/>
      </c>
      <c r="X63" s="998"/>
      <c r="Y63" s="936"/>
      <c r="Z63" s="936" t="s">
        <v>123</v>
      </c>
      <c r="AA63" s="936" t="s">
        <v>123</v>
      </c>
      <c r="AB63" s="936" t="s">
        <v>123</v>
      </c>
      <c r="AC63" s="907" t="s">
        <v>123</v>
      </c>
      <c r="AD63" s="999"/>
      <c r="AE63" s="936"/>
      <c r="AF63" s="936"/>
      <c r="AG63" s="936"/>
      <c r="AH63" s="936"/>
      <c r="AI63" s="999"/>
      <c r="AJ63" s="935"/>
      <c r="AK63" s="966"/>
      <c r="AL63" s="949"/>
      <c r="AM63" s="949" t="s">
        <v>123</v>
      </c>
      <c r="AN63" s="949"/>
      <c r="AO63" s="999"/>
      <c r="AP63" s="936"/>
      <c r="AQ63" s="987"/>
      <c r="AR63" s="907"/>
      <c r="AS63" s="907"/>
      <c r="AT63" s="967" t="s">
        <v>123</v>
      </c>
      <c r="AU63" s="967" t="s">
        <v>123</v>
      </c>
      <c r="AV63" s="967" t="s">
        <v>123</v>
      </c>
      <c r="AW63" s="907" t="s">
        <v>123</v>
      </c>
      <c r="AX63" s="907" t="s">
        <v>123</v>
      </c>
      <c r="AY63" s="907" t="s">
        <v>123</v>
      </c>
      <c r="AZ63" s="936" t="s">
        <v>123</v>
      </c>
      <c r="BA63" s="935" t="s">
        <v>123</v>
      </c>
      <c r="BB63" s="1000"/>
      <c r="BC63" s="1001"/>
      <c r="BD63" s="936"/>
      <c r="BE63" s="907"/>
      <c r="BF63" s="1002" t="str">
        <f>IF($BC63="","",SUMIF(portfolio.!$A$4:$A623,BC63,portfolio.!$AN$4:$AN623))</f>
        <v/>
      </c>
      <c r="BG63" s="936" t="s">
        <v>123</v>
      </c>
      <c r="BH63" s="907" t="s">
        <v>123</v>
      </c>
      <c r="BI63" s="935" t="s">
        <v>123</v>
      </c>
      <c r="BJ63" s="1003"/>
      <c r="BK63" s="907" t="s">
        <v>123</v>
      </c>
      <c r="BL63" s="907" t="s">
        <v>123</v>
      </c>
      <c r="BM63" s="907" t="s">
        <v>123</v>
      </c>
      <c r="BN63" s="1004" t="s">
        <v>123</v>
      </c>
      <c r="BO63" s="907" t="str">
        <f t="shared" si="6"/>
        <v/>
      </c>
      <c r="BP63" s="907" t="str">
        <f t="shared" si="7"/>
        <v/>
      </c>
      <c r="BQ63" s="907" t="str">
        <f t="shared" si="8"/>
        <v/>
      </c>
      <c r="BR63" s="1004" t="str">
        <f t="shared" si="9"/>
        <v/>
      </c>
      <c r="BS63" s="1005" t="str">
        <f t="shared" si="10"/>
        <v/>
      </c>
      <c r="BT63" s="1006" t="s">
        <v>123</v>
      </c>
      <c r="BU63" s="1002" t="s">
        <v>123</v>
      </c>
      <c r="BV63" s="1006" t="s">
        <v>123</v>
      </c>
      <c r="BW63" s="1007"/>
    </row>
    <row r="64">
      <c r="A64" s="624">
        <v>41.0</v>
      </c>
      <c r="B64" s="1008"/>
      <c r="C64" s="989"/>
      <c r="D64" s="851"/>
      <c r="E64" s="990"/>
      <c r="F64" s="991"/>
      <c r="G64" s="991"/>
      <c r="H64" s="992"/>
      <c r="I64" s="993"/>
      <c r="J64" s="993"/>
      <c r="K64" s="993"/>
      <c r="L64" s="993"/>
      <c r="M64" s="993"/>
      <c r="N64" s="993"/>
      <c r="O64" s="993"/>
      <c r="P64" s="993"/>
      <c r="Q64" s="993"/>
      <c r="R64" s="993"/>
      <c r="S64" s="936"/>
      <c r="T64" s="998"/>
      <c r="U64" s="935"/>
      <c r="V64" s="935"/>
      <c r="W64" s="949" t="str">
        <f>IF(AND($S$20,NOT($U$20)),IF($V64:$V623="","",SUMIF(portfolio.!$A$4:$A623,V64,portfolio.!$AN$4:$AN623)),"")</f>
        <v/>
      </c>
      <c r="X64" s="998"/>
      <c r="Y64" s="936"/>
      <c r="Z64" s="936" t="s">
        <v>123</v>
      </c>
      <c r="AA64" s="936" t="s">
        <v>123</v>
      </c>
      <c r="AB64" s="936" t="s">
        <v>123</v>
      </c>
      <c r="AC64" s="907" t="s">
        <v>123</v>
      </c>
      <c r="AD64" s="999"/>
      <c r="AE64" s="936"/>
      <c r="AF64" s="936"/>
      <c r="AG64" s="936"/>
      <c r="AH64" s="936"/>
      <c r="AI64" s="999"/>
      <c r="AJ64" s="935"/>
      <c r="AK64" s="966"/>
      <c r="AL64" s="949"/>
      <c r="AM64" s="949" t="s">
        <v>123</v>
      </c>
      <c r="AN64" s="949"/>
      <c r="AO64" s="999"/>
      <c r="AP64" s="936"/>
      <c r="AQ64" s="987"/>
      <c r="AR64" s="907"/>
      <c r="AS64" s="907"/>
      <c r="AT64" s="967" t="s">
        <v>123</v>
      </c>
      <c r="AU64" s="967" t="s">
        <v>123</v>
      </c>
      <c r="AV64" s="967" t="s">
        <v>123</v>
      </c>
      <c r="AW64" s="907" t="s">
        <v>123</v>
      </c>
      <c r="AX64" s="907" t="s">
        <v>123</v>
      </c>
      <c r="AY64" s="907" t="s">
        <v>123</v>
      </c>
      <c r="AZ64" s="936" t="s">
        <v>123</v>
      </c>
      <c r="BA64" s="935" t="s">
        <v>123</v>
      </c>
      <c r="BB64" s="1000"/>
      <c r="BC64" s="1001"/>
      <c r="BD64" s="936"/>
      <c r="BE64" s="907"/>
      <c r="BF64" s="1002" t="str">
        <f>IF($BC64="","",SUMIF(portfolio.!$A$4:$A623,BC64,portfolio.!$AN$4:$AN623))</f>
        <v/>
      </c>
      <c r="BG64" s="936" t="s">
        <v>123</v>
      </c>
      <c r="BH64" s="907" t="s">
        <v>123</v>
      </c>
      <c r="BI64" s="935" t="s">
        <v>123</v>
      </c>
      <c r="BJ64" s="1003"/>
      <c r="BK64" s="907" t="s">
        <v>123</v>
      </c>
      <c r="BL64" s="907" t="s">
        <v>123</v>
      </c>
      <c r="BM64" s="907" t="s">
        <v>123</v>
      </c>
      <c r="BN64" s="1004" t="s">
        <v>123</v>
      </c>
      <c r="BO64" s="907" t="str">
        <f t="shared" si="6"/>
        <v/>
      </c>
      <c r="BP64" s="907" t="str">
        <f t="shared" si="7"/>
        <v/>
      </c>
      <c r="BQ64" s="907" t="str">
        <f t="shared" si="8"/>
        <v/>
      </c>
      <c r="BR64" s="1004" t="str">
        <f t="shared" si="9"/>
        <v/>
      </c>
      <c r="BS64" s="1005" t="str">
        <f t="shared" si="10"/>
        <v/>
      </c>
      <c r="BT64" s="1006" t="s">
        <v>123</v>
      </c>
      <c r="BU64" s="1002" t="s">
        <v>123</v>
      </c>
      <c r="BV64" s="1006" t="s">
        <v>123</v>
      </c>
      <c r="BW64" s="1007"/>
    </row>
    <row r="65">
      <c r="A65" s="624">
        <v>42.0</v>
      </c>
      <c r="B65" s="1008"/>
      <c r="C65" s="989"/>
      <c r="D65" s="851"/>
      <c r="E65" s="990"/>
      <c r="F65" s="991"/>
      <c r="G65" s="991"/>
      <c r="H65" s="992"/>
      <c r="I65" s="993"/>
      <c r="J65" s="993"/>
      <c r="K65" s="993"/>
      <c r="L65" s="993"/>
      <c r="M65" s="993"/>
      <c r="N65" s="993"/>
      <c r="O65" s="993"/>
      <c r="P65" s="993"/>
      <c r="Q65" s="993"/>
      <c r="R65" s="993"/>
      <c r="S65" s="936"/>
      <c r="T65" s="998"/>
      <c r="U65" s="935"/>
      <c r="V65" s="935"/>
      <c r="W65" s="949" t="str">
        <f>IF(AND($S$20,NOT($U$20)),IF($V65:$V623="","",SUMIF(portfolio.!$A$4:$A623,V65,portfolio.!$AN$4:$AN623)),"")</f>
        <v/>
      </c>
      <c r="X65" s="998"/>
      <c r="Y65" s="936"/>
      <c r="Z65" s="936" t="s">
        <v>123</v>
      </c>
      <c r="AA65" s="936" t="s">
        <v>123</v>
      </c>
      <c r="AB65" s="936" t="s">
        <v>123</v>
      </c>
      <c r="AC65" s="907" t="s">
        <v>123</v>
      </c>
      <c r="AD65" s="999"/>
      <c r="AE65" s="936"/>
      <c r="AF65" s="936"/>
      <c r="AG65" s="936"/>
      <c r="AH65" s="936"/>
      <c r="AI65" s="999"/>
      <c r="AJ65" s="935"/>
      <c r="AK65" s="966"/>
      <c r="AL65" s="949"/>
      <c r="AM65" s="949" t="s">
        <v>123</v>
      </c>
      <c r="AN65" s="949"/>
      <c r="AO65" s="999"/>
      <c r="AP65" s="936"/>
      <c r="AQ65" s="987"/>
      <c r="AR65" s="907"/>
      <c r="AS65" s="907"/>
      <c r="AT65" s="967" t="s">
        <v>123</v>
      </c>
      <c r="AU65" s="967" t="s">
        <v>123</v>
      </c>
      <c r="AV65" s="967" t="s">
        <v>123</v>
      </c>
      <c r="AW65" s="907" t="s">
        <v>123</v>
      </c>
      <c r="AX65" s="907" t="s">
        <v>123</v>
      </c>
      <c r="AY65" s="907" t="s">
        <v>123</v>
      </c>
      <c r="AZ65" s="936" t="s">
        <v>123</v>
      </c>
      <c r="BA65" s="935" t="s">
        <v>123</v>
      </c>
      <c r="BB65" s="1000"/>
      <c r="BC65" s="1001"/>
      <c r="BD65" s="936"/>
      <c r="BE65" s="907"/>
      <c r="BF65" s="1002" t="str">
        <f>IF($BC65="","",SUMIF(portfolio.!$A$4:$A623,BC65,portfolio.!$AN$4:$AN623))</f>
        <v/>
      </c>
      <c r="BG65" s="936" t="s">
        <v>123</v>
      </c>
      <c r="BH65" s="907" t="s">
        <v>123</v>
      </c>
      <c r="BI65" s="935" t="s">
        <v>123</v>
      </c>
      <c r="BJ65" s="1003"/>
      <c r="BK65" s="907" t="s">
        <v>123</v>
      </c>
      <c r="BL65" s="907" t="s">
        <v>123</v>
      </c>
      <c r="BM65" s="907" t="s">
        <v>123</v>
      </c>
      <c r="BN65" s="1004" t="s">
        <v>123</v>
      </c>
      <c r="BO65" s="907" t="str">
        <f t="shared" si="6"/>
        <v/>
      </c>
      <c r="BP65" s="907" t="str">
        <f t="shared" si="7"/>
        <v/>
      </c>
      <c r="BQ65" s="907" t="str">
        <f t="shared" si="8"/>
        <v/>
      </c>
      <c r="BR65" s="1004" t="str">
        <f t="shared" si="9"/>
        <v/>
      </c>
      <c r="BS65" s="1005" t="str">
        <f t="shared" si="10"/>
        <v/>
      </c>
      <c r="BT65" s="1006" t="s">
        <v>123</v>
      </c>
      <c r="BU65" s="1002" t="s">
        <v>123</v>
      </c>
      <c r="BV65" s="1006" t="s">
        <v>123</v>
      </c>
      <c r="BW65" s="1007"/>
    </row>
    <row r="66">
      <c r="A66" s="624">
        <v>43.0</v>
      </c>
      <c r="B66" s="1008"/>
      <c r="C66" s="989"/>
      <c r="D66" s="851"/>
      <c r="E66" s="990"/>
      <c r="F66" s="991"/>
      <c r="G66" s="991"/>
      <c r="H66" s="992"/>
      <c r="I66" s="993"/>
      <c r="J66" s="993"/>
      <c r="K66" s="993"/>
      <c r="L66" s="993"/>
      <c r="M66" s="993"/>
      <c r="N66" s="993"/>
      <c r="O66" s="993"/>
      <c r="P66" s="993"/>
      <c r="Q66" s="993"/>
      <c r="R66" s="993"/>
      <c r="S66" s="936"/>
      <c r="T66" s="998"/>
      <c r="U66" s="935"/>
      <c r="V66" s="935"/>
      <c r="W66" s="949" t="str">
        <f>IF(AND($S$20,NOT($U$20)),IF($V66:$V623="","",SUMIF(portfolio.!$A$4:$A623,V66,portfolio.!$AN$4:$AN623)),"")</f>
        <v/>
      </c>
      <c r="X66" s="998"/>
      <c r="Y66" s="936"/>
      <c r="Z66" s="936" t="s">
        <v>123</v>
      </c>
      <c r="AA66" s="936" t="s">
        <v>123</v>
      </c>
      <c r="AB66" s="936" t="s">
        <v>123</v>
      </c>
      <c r="AC66" s="907" t="s">
        <v>123</v>
      </c>
      <c r="AD66" s="999"/>
      <c r="AE66" s="936"/>
      <c r="AF66" s="936"/>
      <c r="AG66" s="936"/>
      <c r="AH66" s="936"/>
      <c r="AI66" s="999"/>
      <c r="AJ66" s="935"/>
      <c r="AK66" s="966"/>
      <c r="AL66" s="949"/>
      <c r="AM66" s="949" t="s">
        <v>123</v>
      </c>
      <c r="AN66" s="949"/>
      <c r="AO66" s="999"/>
      <c r="AP66" s="936"/>
      <c r="AQ66" s="987"/>
      <c r="AR66" s="907"/>
      <c r="AS66" s="907"/>
      <c r="AT66" s="967" t="s">
        <v>123</v>
      </c>
      <c r="AU66" s="967" t="s">
        <v>123</v>
      </c>
      <c r="AV66" s="967" t="s">
        <v>123</v>
      </c>
      <c r="AW66" s="907" t="s">
        <v>123</v>
      </c>
      <c r="AX66" s="907" t="s">
        <v>123</v>
      </c>
      <c r="AY66" s="907" t="s">
        <v>123</v>
      </c>
      <c r="AZ66" s="936" t="s">
        <v>123</v>
      </c>
      <c r="BA66" s="935" t="s">
        <v>123</v>
      </c>
      <c r="BB66" s="1000"/>
      <c r="BC66" s="1001"/>
      <c r="BD66" s="936"/>
      <c r="BE66" s="907"/>
      <c r="BF66" s="1002" t="str">
        <f>IF($BC66="","",SUMIF(portfolio.!$A$4:$A623,BC66,portfolio.!$AN$4:$AN623))</f>
        <v/>
      </c>
      <c r="BG66" s="936" t="s">
        <v>123</v>
      </c>
      <c r="BH66" s="907" t="s">
        <v>123</v>
      </c>
      <c r="BI66" s="935" t="s">
        <v>123</v>
      </c>
      <c r="BJ66" s="1003"/>
      <c r="BK66" s="907" t="s">
        <v>123</v>
      </c>
      <c r="BL66" s="907" t="s">
        <v>123</v>
      </c>
      <c r="BM66" s="907" t="s">
        <v>123</v>
      </c>
      <c r="BN66" s="1004" t="s">
        <v>123</v>
      </c>
      <c r="BO66" s="907" t="str">
        <f t="shared" si="6"/>
        <v/>
      </c>
      <c r="BP66" s="907" t="str">
        <f t="shared" si="7"/>
        <v/>
      </c>
      <c r="BQ66" s="907" t="str">
        <f t="shared" si="8"/>
        <v/>
      </c>
      <c r="BR66" s="1004" t="str">
        <f t="shared" si="9"/>
        <v/>
      </c>
      <c r="BS66" s="1005" t="str">
        <f t="shared" si="10"/>
        <v/>
      </c>
      <c r="BT66" s="1006" t="s">
        <v>123</v>
      </c>
      <c r="BU66" s="1002" t="s">
        <v>123</v>
      </c>
      <c r="BV66" s="1006" t="s">
        <v>123</v>
      </c>
      <c r="BW66" s="1007"/>
    </row>
    <row r="67">
      <c r="A67" s="624">
        <v>44.0</v>
      </c>
      <c r="B67" s="1008"/>
      <c r="C67" s="989"/>
      <c r="D67" s="851"/>
      <c r="E67" s="990"/>
      <c r="F67" s="991"/>
      <c r="G67" s="991"/>
      <c r="H67" s="992"/>
      <c r="I67" s="993"/>
      <c r="J67" s="993"/>
      <c r="K67" s="993"/>
      <c r="L67" s="993"/>
      <c r="M67" s="993"/>
      <c r="N67" s="993"/>
      <c r="O67" s="993"/>
      <c r="P67" s="993"/>
      <c r="Q67" s="993"/>
      <c r="R67" s="993"/>
      <c r="S67" s="936"/>
      <c r="T67" s="998"/>
      <c r="U67" s="935"/>
      <c r="V67" s="935"/>
      <c r="W67" s="949" t="str">
        <f>IF(AND($S$20,NOT($U$20)),IF($V67:$V623="","",SUMIF(portfolio.!$A$4:$A623,V67,portfolio.!$AN$4:$AN623)),"")</f>
        <v/>
      </c>
      <c r="X67" s="998"/>
      <c r="Y67" s="936"/>
      <c r="Z67" s="936" t="s">
        <v>123</v>
      </c>
      <c r="AA67" s="936" t="s">
        <v>123</v>
      </c>
      <c r="AB67" s="936" t="s">
        <v>123</v>
      </c>
      <c r="AC67" s="907" t="s">
        <v>123</v>
      </c>
      <c r="AD67" s="999"/>
      <c r="AE67" s="936"/>
      <c r="AF67" s="936"/>
      <c r="AG67" s="936"/>
      <c r="AH67" s="936"/>
      <c r="AI67" s="999"/>
      <c r="AJ67" s="935"/>
      <c r="AK67" s="966"/>
      <c r="AL67" s="949"/>
      <c r="AM67" s="949" t="s">
        <v>123</v>
      </c>
      <c r="AN67" s="949"/>
      <c r="AO67" s="999"/>
      <c r="AP67" s="936"/>
      <c r="AQ67" s="987"/>
      <c r="AR67" s="907"/>
      <c r="AS67" s="907"/>
      <c r="AT67" s="967" t="s">
        <v>123</v>
      </c>
      <c r="AU67" s="967" t="s">
        <v>123</v>
      </c>
      <c r="AV67" s="967" t="s">
        <v>123</v>
      </c>
      <c r="AW67" s="907" t="s">
        <v>123</v>
      </c>
      <c r="AX67" s="907" t="s">
        <v>123</v>
      </c>
      <c r="AY67" s="907" t="s">
        <v>123</v>
      </c>
      <c r="AZ67" s="936" t="s">
        <v>123</v>
      </c>
      <c r="BA67" s="935" t="s">
        <v>123</v>
      </c>
      <c r="BB67" s="1000"/>
      <c r="BC67" s="1001"/>
      <c r="BD67" s="936"/>
      <c r="BE67" s="907"/>
      <c r="BF67" s="1002" t="str">
        <f>IF($BC67="","",SUMIF(portfolio.!$A$4:$A623,BC67,portfolio.!$AN$4:$AN623))</f>
        <v/>
      </c>
      <c r="BG67" s="936" t="s">
        <v>123</v>
      </c>
      <c r="BH67" s="907" t="s">
        <v>123</v>
      </c>
      <c r="BI67" s="935" t="s">
        <v>123</v>
      </c>
      <c r="BJ67" s="1003"/>
      <c r="BK67" s="907" t="s">
        <v>123</v>
      </c>
      <c r="BL67" s="907" t="s">
        <v>123</v>
      </c>
      <c r="BM67" s="907" t="s">
        <v>123</v>
      </c>
      <c r="BN67" s="1004" t="s">
        <v>123</v>
      </c>
      <c r="BO67" s="907" t="str">
        <f t="shared" si="6"/>
        <v/>
      </c>
      <c r="BP67" s="907" t="str">
        <f t="shared" si="7"/>
        <v/>
      </c>
      <c r="BQ67" s="907" t="str">
        <f t="shared" si="8"/>
        <v/>
      </c>
      <c r="BR67" s="1004" t="str">
        <f t="shared" si="9"/>
        <v/>
      </c>
      <c r="BS67" s="1005" t="str">
        <f t="shared" si="10"/>
        <v/>
      </c>
      <c r="BT67" s="1006" t="s">
        <v>123</v>
      </c>
      <c r="BU67" s="1002" t="s">
        <v>123</v>
      </c>
      <c r="BV67" s="1006" t="s">
        <v>123</v>
      </c>
      <c r="BW67" s="1007"/>
    </row>
    <row r="68">
      <c r="A68" s="624">
        <v>45.0</v>
      </c>
      <c r="B68" s="1008"/>
      <c r="C68" s="989"/>
      <c r="D68" s="851"/>
      <c r="E68" s="990"/>
      <c r="F68" s="991"/>
      <c r="G68" s="991"/>
      <c r="H68" s="992"/>
      <c r="I68" s="993"/>
      <c r="J68" s="993"/>
      <c r="K68" s="993"/>
      <c r="L68" s="993"/>
      <c r="M68" s="993"/>
      <c r="N68" s="993"/>
      <c r="O68" s="993"/>
      <c r="P68" s="993"/>
      <c r="Q68" s="993"/>
      <c r="R68" s="993"/>
      <c r="S68" s="936"/>
      <c r="T68" s="998"/>
      <c r="U68" s="935"/>
      <c r="V68" s="935"/>
      <c r="W68" s="949" t="str">
        <f>IF(AND($S$20,NOT($U$20)),IF($V68:$V623="","",SUMIF(portfolio.!$A$4:$A623,V68,portfolio.!$AN$4:$AN623)),"")</f>
        <v/>
      </c>
      <c r="X68" s="998"/>
      <c r="Y68" s="936"/>
      <c r="Z68" s="936" t="s">
        <v>123</v>
      </c>
      <c r="AA68" s="936" t="s">
        <v>123</v>
      </c>
      <c r="AB68" s="936" t="s">
        <v>123</v>
      </c>
      <c r="AC68" s="907" t="s">
        <v>123</v>
      </c>
      <c r="AD68" s="999"/>
      <c r="AE68" s="936"/>
      <c r="AF68" s="936"/>
      <c r="AG68" s="936"/>
      <c r="AH68" s="936"/>
      <c r="AI68" s="999"/>
      <c r="AJ68" s="935"/>
      <c r="AK68" s="966"/>
      <c r="AL68" s="949"/>
      <c r="AM68" s="949" t="s">
        <v>123</v>
      </c>
      <c r="AN68" s="949"/>
      <c r="AO68" s="999"/>
      <c r="AP68" s="936"/>
      <c r="AQ68" s="987"/>
      <c r="AR68" s="907"/>
      <c r="AS68" s="907"/>
      <c r="AT68" s="967" t="s">
        <v>123</v>
      </c>
      <c r="AU68" s="967" t="s">
        <v>123</v>
      </c>
      <c r="AV68" s="967" t="s">
        <v>123</v>
      </c>
      <c r="AW68" s="907" t="s">
        <v>123</v>
      </c>
      <c r="AX68" s="907" t="s">
        <v>123</v>
      </c>
      <c r="AY68" s="907" t="s">
        <v>123</v>
      </c>
      <c r="AZ68" s="936" t="s">
        <v>123</v>
      </c>
      <c r="BA68" s="935" t="s">
        <v>123</v>
      </c>
      <c r="BB68" s="1000"/>
      <c r="BC68" s="1001"/>
      <c r="BD68" s="936"/>
      <c r="BE68" s="907"/>
      <c r="BF68" s="1002" t="str">
        <f>IF($BC68="","",SUMIF(portfolio.!$A$4:$A623,BC68,portfolio.!$AN$4:$AN623))</f>
        <v/>
      </c>
      <c r="BG68" s="936" t="s">
        <v>123</v>
      </c>
      <c r="BH68" s="907" t="s">
        <v>123</v>
      </c>
      <c r="BI68" s="935" t="s">
        <v>123</v>
      </c>
      <c r="BJ68" s="1003"/>
      <c r="BK68" s="907" t="s">
        <v>123</v>
      </c>
      <c r="BL68" s="907" t="s">
        <v>123</v>
      </c>
      <c r="BM68" s="907" t="s">
        <v>123</v>
      </c>
      <c r="BN68" s="1004" t="s">
        <v>123</v>
      </c>
      <c r="BO68" s="907" t="str">
        <f t="shared" si="6"/>
        <v/>
      </c>
      <c r="BP68" s="907" t="str">
        <f t="shared" si="7"/>
        <v/>
      </c>
      <c r="BQ68" s="907" t="str">
        <f t="shared" si="8"/>
        <v/>
      </c>
      <c r="BR68" s="1004" t="str">
        <f t="shared" si="9"/>
        <v/>
      </c>
      <c r="BS68" s="1005" t="str">
        <f t="shared" si="10"/>
        <v/>
      </c>
      <c r="BT68" s="1006" t="s">
        <v>123</v>
      </c>
      <c r="BU68" s="1002" t="s">
        <v>123</v>
      </c>
      <c r="BV68" s="1006" t="s">
        <v>123</v>
      </c>
      <c r="BW68" s="1007"/>
    </row>
    <row r="69">
      <c r="A69" s="624">
        <v>46.0</v>
      </c>
      <c r="B69" s="1008"/>
      <c r="C69" s="989"/>
      <c r="D69" s="851"/>
      <c r="E69" s="990"/>
      <c r="F69" s="991"/>
      <c r="G69" s="991"/>
      <c r="H69" s="992"/>
      <c r="I69" s="993"/>
      <c r="J69" s="993"/>
      <c r="K69" s="993"/>
      <c r="L69" s="993"/>
      <c r="M69" s="993"/>
      <c r="N69" s="993"/>
      <c r="O69" s="993"/>
      <c r="P69" s="993"/>
      <c r="Q69" s="993"/>
      <c r="R69" s="993"/>
      <c r="S69" s="936"/>
      <c r="T69" s="998"/>
      <c r="U69" s="935"/>
      <c r="V69" s="935"/>
      <c r="W69" s="949" t="str">
        <f>IF(AND($S$20,NOT($U$20)),IF($V69:$V623="","",SUMIF(portfolio.!$A$4:$A623,V69,portfolio.!$AN$4:$AN623)),"")</f>
        <v/>
      </c>
      <c r="X69" s="998"/>
      <c r="Y69" s="936"/>
      <c r="Z69" s="936" t="s">
        <v>123</v>
      </c>
      <c r="AA69" s="936" t="s">
        <v>123</v>
      </c>
      <c r="AB69" s="936" t="s">
        <v>123</v>
      </c>
      <c r="AC69" s="907" t="s">
        <v>123</v>
      </c>
      <c r="AD69" s="999"/>
      <c r="AE69" s="936"/>
      <c r="AF69" s="936"/>
      <c r="AG69" s="936"/>
      <c r="AH69" s="936"/>
      <c r="AI69" s="999"/>
      <c r="AJ69" s="935"/>
      <c r="AK69" s="966"/>
      <c r="AL69" s="949"/>
      <c r="AM69" s="949" t="s">
        <v>123</v>
      </c>
      <c r="AN69" s="949"/>
      <c r="AO69" s="999"/>
      <c r="AP69" s="936"/>
      <c r="AQ69" s="987"/>
      <c r="AR69" s="907"/>
      <c r="AS69" s="907"/>
      <c r="AT69" s="967" t="s">
        <v>123</v>
      </c>
      <c r="AU69" s="967" t="s">
        <v>123</v>
      </c>
      <c r="AV69" s="967" t="s">
        <v>123</v>
      </c>
      <c r="AW69" s="907" t="s">
        <v>123</v>
      </c>
      <c r="AX69" s="907" t="s">
        <v>123</v>
      </c>
      <c r="AY69" s="907" t="s">
        <v>123</v>
      </c>
      <c r="AZ69" s="936" t="s">
        <v>123</v>
      </c>
      <c r="BA69" s="935" t="s">
        <v>123</v>
      </c>
      <c r="BB69" s="1000"/>
      <c r="BC69" s="1001"/>
      <c r="BD69" s="936"/>
      <c r="BE69" s="907"/>
      <c r="BF69" s="1002" t="str">
        <f>IF($BC69="","",SUMIF(portfolio.!$A$4:$A623,BC69,portfolio.!$AN$4:$AN623))</f>
        <v/>
      </c>
      <c r="BG69" s="936" t="s">
        <v>123</v>
      </c>
      <c r="BH69" s="907" t="s">
        <v>123</v>
      </c>
      <c r="BI69" s="935" t="s">
        <v>123</v>
      </c>
      <c r="BJ69" s="1003"/>
      <c r="BK69" s="907" t="s">
        <v>123</v>
      </c>
      <c r="BL69" s="907" t="s">
        <v>123</v>
      </c>
      <c r="BM69" s="907" t="s">
        <v>123</v>
      </c>
      <c r="BN69" s="1004" t="s">
        <v>123</v>
      </c>
      <c r="BO69" s="907" t="str">
        <f t="shared" si="6"/>
        <v/>
      </c>
      <c r="BP69" s="907" t="str">
        <f t="shared" si="7"/>
        <v/>
      </c>
      <c r="BQ69" s="907" t="str">
        <f t="shared" si="8"/>
        <v/>
      </c>
      <c r="BR69" s="1004" t="str">
        <f t="shared" si="9"/>
        <v/>
      </c>
      <c r="BS69" s="1005" t="str">
        <f t="shared" si="10"/>
        <v/>
      </c>
      <c r="BT69" s="1006" t="s">
        <v>123</v>
      </c>
      <c r="BU69" s="1002" t="s">
        <v>123</v>
      </c>
      <c r="BV69" s="1006" t="s">
        <v>123</v>
      </c>
      <c r="BW69" s="1007"/>
    </row>
    <row r="70">
      <c r="A70" s="624">
        <v>47.0</v>
      </c>
      <c r="B70" s="1008"/>
      <c r="C70" s="989"/>
      <c r="D70" s="851"/>
      <c r="E70" s="990"/>
      <c r="F70" s="991"/>
      <c r="G70" s="991"/>
      <c r="H70" s="992"/>
      <c r="I70" s="993"/>
      <c r="J70" s="993"/>
      <c r="K70" s="993"/>
      <c r="L70" s="993"/>
      <c r="M70" s="993"/>
      <c r="N70" s="993"/>
      <c r="O70" s="993"/>
      <c r="P70" s="993"/>
      <c r="Q70" s="993"/>
      <c r="R70" s="993"/>
      <c r="S70" s="936"/>
      <c r="T70" s="998"/>
      <c r="U70" s="935"/>
      <c r="V70" s="935"/>
      <c r="W70" s="949" t="str">
        <f>IF(AND($S$20,NOT($U$20)),IF($V70:$V623="","",SUMIF(portfolio.!$A$4:$A623,V70,portfolio.!$AN$4:$AN623)),"")</f>
        <v/>
      </c>
      <c r="X70" s="998"/>
      <c r="Y70" s="936"/>
      <c r="Z70" s="936" t="s">
        <v>123</v>
      </c>
      <c r="AA70" s="936" t="s">
        <v>123</v>
      </c>
      <c r="AB70" s="936" t="s">
        <v>123</v>
      </c>
      <c r="AC70" s="907" t="s">
        <v>123</v>
      </c>
      <c r="AD70" s="999"/>
      <c r="AE70" s="936"/>
      <c r="AF70" s="936"/>
      <c r="AG70" s="936"/>
      <c r="AH70" s="936"/>
      <c r="AI70" s="999"/>
      <c r="AJ70" s="935"/>
      <c r="AK70" s="966"/>
      <c r="AL70" s="949"/>
      <c r="AM70" s="949" t="s">
        <v>123</v>
      </c>
      <c r="AN70" s="949"/>
      <c r="AO70" s="999"/>
      <c r="AP70" s="936"/>
      <c r="AQ70" s="987"/>
      <c r="AR70" s="907"/>
      <c r="AS70" s="907"/>
      <c r="AT70" s="967" t="s">
        <v>123</v>
      </c>
      <c r="AU70" s="967" t="s">
        <v>123</v>
      </c>
      <c r="AV70" s="967" t="s">
        <v>123</v>
      </c>
      <c r="AW70" s="907" t="s">
        <v>123</v>
      </c>
      <c r="AX70" s="907" t="s">
        <v>123</v>
      </c>
      <c r="AY70" s="907" t="s">
        <v>123</v>
      </c>
      <c r="AZ70" s="936" t="s">
        <v>123</v>
      </c>
      <c r="BA70" s="935" t="s">
        <v>123</v>
      </c>
      <c r="BB70" s="1000"/>
      <c r="BC70" s="1001"/>
      <c r="BD70" s="936"/>
      <c r="BE70" s="907"/>
      <c r="BF70" s="1002" t="str">
        <f>IF($BC70="","",SUMIF(portfolio.!$A$4:$A623,BC70,portfolio.!$AN$4:$AN623))</f>
        <v/>
      </c>
      <c r="BG70" s="936" t="s">
        <v>123</v>
      </c>
      <c r="BH70" s="907" t="s">
        <v>123</v>
      </c>
      <c r="BI70" s="935" t="s">
        <v>123</v>
      </c>
      <c r="BJ70" s="1003"/>
      <c r="BK70" s="907" t="s">
        <v>123</v>
      </c>
      <c r="BL70" s="907" t="s">
        <v>123</v>
      </c>
      <c r="BM70" s="907" t="s">
        <v>123</v>
      </c>
      <c r="BN70" s="1004" t="s">
        <v>123</v>
      </c>
      <c r="BO70" s="907" t="str">
        <f t="shared" si="6"/>
        <v/>
      </c>
      <c r="BP70" s="907" t="str">
        <f t="shared" si="7"/>
        <v/>
      </c>
      <c r="BQ70" s="907" t="str">
        <f t="shared" si="8"/>
        <v/>
      </c>
      <c r="BR70" s="1004" t="str">
        <f t="shared" si="9"/>
        <v/>
      </c>
      <c r="BS70" s="1005" t="str">
        <f t="shared" si="10"/>
        <v/>
      </c>
      <c r="BT70" s="1006" t="s">
        <v>123</v>
      </c>
      <c r="BU70" s="1002" t="s">
        <v>123</v>
      </c>
      <c r="BV70" s="1006" t="s">
        <v>123</v>
      </c>
      <c r="BW70" s="1007"/>
    </row>
    <row r="71">
      <c r="A71" s="624">
        <v>48.0</v>
      </c>
      <c r="B71" s="1008"/>
      <c r="C71" s="989"/>
      <c r="D71" s="851"/>
      <c r="E71" s="990"/>
      <c r="F71" s="991"/>
      <c r="G71" s="991"/>
      <c r="H71" s="992"/>
      <c r="I71" s="993"/>
      <c r="J71" s="993"/>
      <c r="K71" s="993"/>
      <c r="L71" s="993"/>
      <c r="M71" s="993"/>
      <c r="N71" s="993"/>
      <c r="O71" s="993"/>
      <c r="P71" s="993"/>
      <c r="Q71" s="993"/>
      <c r="R71" s="993"/>
      <c r="S71" s="936"/>
      <c r="T71" s="998"/>
      <c r="U71" s="935"/>
      <c r="V71" s="935"/>
      <c r="W71" s="949" t="str">
        <f>IF(AND($S$20,NOT($U$20)),IF($V71:$V623="","",SUMIF(portfolio.!$A$4:$A623,V71,portfolio.!$AN$4:$AN623)),"")</f>
        <v/>
      </c>
      <c r="X71" s="998"/>
      <c r="Y71" s="936"/>
      <c r="Z71" s="936" t="s">
        <v>123</v>
      </c>
      <c r="AA71" s="936" t="s">
        <v>123</v>
      </c>
      <c r="AB71" s="936" t="s">
        <v>123</v>
      </c>
      <c r="AC71" s="907" t="s">
        <v>123</v>
      </c>
      <c r="AD71" s="999"/>
      <c r="AE71" s="936"/>
      <c r="AF71" s="936"/>
      <c r="AG71" s="936"/>
      <c r="AH71" s="936"/>
      <c r="AI71" s="999"/>
      <c r="AJ71" s="935"/>
      <c r="AK71" s="966"/>
      <c r="AL71" s="949"/>
      <c r="AM71" s="949" t="s">
        <v>123</v>
      </c>
      <c r="AN71" s="949"/>
      <c r="AO71" s="999"/>
      <c r="AP71" s="936"/>
      <c r="AQ71" s="987"/>
      <c r="AR71" s="907"/>
      <c r="AS71" s="907"/>
      <c r="AT71" s="967" t="s">
        <v>123</v>
      </c>
      <c r="AU71" s="967" t="s">
        <v>123</v>
      </c>
      <c r="AV71" s="967" t="s">
        <v>123</v>
      </c>
      <c r="AW71" s="907" t="s">
        <v>123</v>
      </c>
      <c r="AX71" s="907" t="s">
        <v>123</v>
      </c>
      <c r="AY71" s="907" t="s">
        <v>123</v>
      </c>
      <c r="AZ71" s="936" t="s">
        <v>123</v>
      </c>
      <c r="BA71" s="935" t="s">
        <v>123</v>
      </c>
      <c r="BB71" s="1000"/>
      <c r="BC71" s="1001"/>
      <c r="BD71" s="936"/>
      <c r="BE71" s="907"/>
      <c r="BF71" s="1002" t="str">
        <f>IF($BC71="","",SUMIF(portfolio.!$A$4:$A623,BC71,portfolio.!$AN$4:$AN623))</f>
        <v/>
      </c>
      <c r="BG71" s="936" t="s">
        <v>123</v>
      </c>
      <c r="BH71" s="907" t="s">
        <v>123</v>
      </c>
      <c r="BI71" s="935" t="s">
        <v>123</v>
      </c>
      <c r="BJ71" s="1003"/>
      <c r="BK71" s="907" t="s">
        <v>123</v>
      </c>
      <c r="BL71" s="907" t="s">
        <v>123</v>
      </c>
      <c r="BM71" s="907" t="s">
        <v>123</v>
      </c>
      <c r="BN71" s="1004" t="s">
        <v>123</v>
      </c>
      <c r="BO71" s="907" t="str">
        <f t="shared" si="6"/>
        <v/>
      </c>
      <c r="BP71" s="907" t="str">
        <f t="shared" si="7"/>
        <v/>
      </c>
      <c r="BQ71" s="907" t="str">
        <f t="shared" si="8"/>
        <v/>
      </c>
      <c r="BR71" s="1004" t="str">
        <f t="shared" si="9"/>
        <v/>
      </c>
      <c r="BS71" s="1005" t="str">
        <f t="shared" si="10"/>
        <v/>
      </c>
      <c r="BT71" s="1006" t="s">
        <v>123</v>
      </c>
      <c r="BU71" s="1002" t="s">
        <v>123</v>
      </c>
      <c r="BV71" s="1006" t="s">
        <v>123</v>
      </c>
      <c r="BW71" s="1007"/>
    </row>
    <row r="72">
      <c r="A72" s="624">
        <v>49.0</v>
      </c>
      <c r="B72" s="1008"/>
      <c r="C72" s="989"/>
      <c r="D72" s="851"/>
      <c r="E72" s="990"/>
      <c r="F72" s="991"/>
      <c r="G72" s="991"/>
      <c r="H72" s="992"/>
      <c r="I72" s="993"/>
      <c r="J72" s="993"/>
      <c r="K72" s="993"/>
      <c r="L72" s="993"/>
      <c r="M72" s="993"/>
      <c r="N72" s="993"/>
      <c r="O72" s="993"/>
      <c r="P72" s="993"/>
      <c r="Q72" s="993"/>
      <c r="R72" s="993"/>
      <c r="S72" s="936"/>
      <c r="T72" s="998"/>
      <c r="U72" s="935"/>
      <c r="V72" s="935"/>
      <c r="W72" s="949" t="str">
        <f>IF(AND($S$20,NOT($U$20)),IF($V72:$V623="","",SUMIF(portfolio.!$A$4:$A623,V72,portfolio.!$AN$4:$AN623)),"")</f>
        <v/>
      </c>
      <c r="X72" s="998"/>
      <c r="Y72" s="936"/>
      <c r="Z72" s="936" t="s">
        <v>123</v>
      </c>
      <c r="AA72" s="936" t="s">
        <v>123</v>
      </c>
      <c r="AB72" s="936" t="s">
        <v>123</v>
      </c>
      <c r="AC72" s="907" t="s">
        <v>123</v>
      </c>
      <c r="AD72" s="999"/>
      <c r="AE72" s="936"/>
      <c r="AF72" s="936"/>
      <c r="AG72" s="936"/>
      <c r="AH72" s="936"/>
      <c r="AI72" s="999"/>
      <c r="AJ72" s="935"/>
      <c r="AK72" s="966"/>
      <c r="AL72" s="949"/>
      <c r="AM72" s="949" t="s">
        <v>123</v>
      </c>
      <c r="AN72" s="949"/>
      <c r="AO72" s="999"/>
      <c r="AP72" s="936"/>
      <c r="AQ72" s="987"/>
      <c r="AR72" s="907"/>
      <c r="AS72" s="907"/>
      <c r="AT72" s="967" t="s">
        <v>123</v>
      </c>
      <c r="AU72" s="967" t="s">
        <v>123</v>
      </c>
      <c r="AV72" s="967" t="s">
        <v>123</v>
      </c>
      <c r="AW72" s="907" t="s">
        <v>123</v>
      </c>
      <c r="AX72" s="907" t="s">
        <v>123</v>
      </c>
      <c r="AY72" s="907" t="s">
        <v>123</v>
      </c>
      <c r="AZ72" s="936" t="s">
        <v>123</v>
      </c>
      <c r="BA72" s="935" t="s">
        <v>123</v>
      </c>
      <c r="BB72" s="1000"/>
      <c r="BC72" s="1001"/>
      <c r="BD72" s="936"/>
      <c r="BE72" s="907"/>
      <c r="BF72" s="1002" t="str">
        <f>IF($BC72="","",SUMIF(portfolio.!$A$4:$A623,BC72,portfolio.!$AN$4:$AN623))</f>
        <v/>
      </c>
      <c r="BG72" s="936" t="s">
        <v>123</v>
      </c>
      <c r="BH72" s="907" t="s">
        <v>123</v>
      </c>
      <c r="BI72" s="935" t="s">
        <v>123</v>
      </c>
      <c r="BJ72" s="1003"/>
      <c r="BK72" s="907" t="s">
        <v>123</v>
      </c>
      <c r="BL72" s="907" t="s">
        <v>123</v>
      </c>
      <c r="BM72" s="907" t="s">
        <v>123</v>
      </c>
      <c r="BN72" s="1004" t="s">
        <v>123</v>
      </c>
      <c r="BO72" s="907" t="str">
        <f t="shared" si="6"/>
        <v/>
      </c>
      <c r="BP72" s="907" t="str">
        <f t="shared" si="7"/>
        <v/>
      </c>
      <c r="BQ72" s="907" t="str">
        <f t="shared" si="8"/>
        <v/>
      </c>
      <c r="BR72" s="1004" t="str">
        <f t="shared" si="9"/>
        <v/>
      </c>
      <c r="BS72" s="1005" t="str">
        <f t="shared" si="10"/>
        <v/>
      </c>
      <c r="BT72" s="1006" t="s">
        <v>123</v>
      </c>
      <c r="BU72" s="1002" t="s">
        <v>123</v>
      </c>
      <c r="BV72" s="1006" t="s">
        <v>123</v>
      </c>
      <c r="BW72" s="1007"/>
    </row>
    <row r="73">
      <c r="A73" s="624">
        <v>50.0</v>
      </c>
      <c r="B73" s="1008"/>
      <c r="C73" s="989"/>
      <c r="D73" s="851"/>
      <c r="E73" s="990"/>
      <c r="F73" s="991"/>
      <c r="G73" s="991"/>
      <c r="H73" s="992"/>
      <c r="I73" s="993"/>
      <c r="J73" s="993"/>
      <c r="K73" s="993"/>
      <c r="L73" s="993"/>
      <c r="M73" s="993"/>
      <c r="N73" s="993"/>
      <c r="O73" s="993"/>
      <c r="P73" s="993"/>
      <c r="Q73" s="993"/>
      <c r="R73" s="993"/>
      <c r="S73" s="936"/>
      <c r="T73" s="998"/>
      <c r="U73" s="935"/>
      <c r="V73" s="935"/>
      <c r="W73" s="949" t="str">
        <f>IF(AND($S$20,NOT($U$20)),IF($V73:$V623="","",SUMIF(portfolio.!$A$4:$A623,V73,portfolio.!$AN$4:$AN623)),"")</f>
        <v/>
      </c>
      <c r="X73" s="998"/>
      <c r="Y73" s="936"/>
      <c r="Z73" s="936" t="s">
        <v>123</v>
      </c>
      <c r="AA73" s="936" t="s">
        <v>123</v>
      </c>
      <c r="AB73" s="936" t="s">
        <v>123</v>
      </c>
      <c r="AC73" s="907" t="s">
        <v>123</v>
      </c>
      <c r="AD73" s="999"/>
      <c r="AE73" s="936"/>
      <c r="AF73" s="936"/>
      <c r="AG73" s="936"/>
      <c r="AH73" s="936"/>
      <c r="AI73" s="999"/>
      <c r="AJ73" s="935"/>
      <c r="AK73" s="966"/>
      <c r="AL73" s="949"/>
      <c r="AM73" s="949" t="s">
        <v>123</v>
      </c>
      <c r="AN73" s="949"/>
      <c r="AO73" s="999"/>
      <c r="AP73" s="936"/>
      <c r="AQ73" s="987"/>
      <c r="AR73" s="907"/>
      <c r="AS73" s="907"/>
      <c r="AT73" s="967" t="s">
        <v>123</v>
      </c>
      <c r="AU73" s="967" t="s">
        <v>123</v>
      </c>
      <c r="AV73" s="967" t="s">
        <v>123</v>
      </c>
      <c r="AW73" s="907" t="s">
        <v>123</v>
      </c>
      <c r="AX73" s="907" t="s">
        <v>123</v>
      </c>
      <c r="AY73" s="907" t="s">
        <v>123</v>
      </c>
      <c r="AZ73" s="936" t="s">
        <v>123</v>
      </c>
      <c r="BA73" s="935" t="s">
        <v>123</v>
      </c>
      <c r="BB73" s="1000"/>
      <c r="BC73" s="1001"/>
      <c r="BD73" s="936"/>
      <c r="BE73" s="907"/>
      <c r="BF73" s="1002" t="str">
        <f>IF($BC73="","",SUMIF(portfolio.!$A$4:$A623,BC73,portfolio.!$AN$4:$AN623))</f>
        <v/>
      </c>
      <c r="BG73" s="936" t="s">
        <v>123</v>
      </c>
      <c r="BH73" s="907" t="s">
        <v>123</v>
      </c>
      <c r="BI73" s="935" t="s">
        <v>123</v>
      </c>
      <c r="BJ73" s="1003"/>
      <c r="BK73" s="907" t="s">
        <v>123</v>
      </c>
      <c r="BL73" s="907" t="s">
        <v>123</v>
      </c>
      <c r="BM73" s="907" t="s">
        <v>123</v>
      </c>
      <c r="BN73" s="1004" t="s">
        <v>123</v>
      </c>
      <c r="BO73" s="907" t="str">
        <f t="shared" si="6"/>
        <v/>
      </c>
      <c r="BP73" s="907" t="str">
        <f t="shared" si="7"/>
        <v/>
      </c>
      <c r="BQ73" s="907" t="str">
        <f t="shared" si="8"/>
        <v/>
      </c>
      <c r="BR73" s="1004" t="str">
        <f t="shared" si="9"/>
        <v/>
      </c>
      <c r="BS73" s="1005" t="str">
        <f t="shared" si="10"/>
        <v/>
      </c>
      <c r="BT73" s="1006" t="s">
        <v>123</v>
      </c>
      <c r="BU73" s="1002" t="s">
        <v>123</v>
      </c>
      <c r="BV73" s="1006" t="s">
        <v>123</v>
      </c>
      <c r="BW73" s="1007"/>
    </row>
    <row r="74">
      <c r="A74" s="624">
        <v>51.0</v>
      </c>
      <c r="B74" s="1008"/>
      <c r="C74" s="989"/>
      <c r="D74" s="851"/>
      <c r="E74" s="990"/>
      <c r="F74" s="991"/>
      <c r="G74" s="991"/>
      <c r="H74" s="992"/>
      <c r="I74" s="993"/>
      <c r="J74" s="993"/>
      <c r="K74" s="993"/>
      <c r="L74" s="993"/>
      <c r="M74" s="993"/>
      <c r="N74" s="993"/>
      <c r="O74" s="993"/>
      <c r="P74" s="993"/>
      <c r="Q74" s="993"/>
      <c r="R74" s="993"/>
      <c r="S74" s="936"/>
      <c r="T74" s="998"/>
      <c r="U74" s="935"/>
      <c r="V74" s="935"/>
      <c r="W74" s="949" t="str">
        <f>IF(AND($S$20,NOT($U$20)),IF($V74:$V623="","",SUMIF(portfolio.!$A$4:$A623,V74,portfolio.!$AN$4:$AN623)),"")</f>
        <v/>
      </c>
      <c r="X74" s="998"/>
      <c r="Y74" s="936"/>
      <c r="Z74" s="936" t="s">
        <v>123</v>
      </c>
      <c r="AA74" s="936" t="s">
        <v>123</v>
      </c>
      <c r="AB74" s="936" t="s">
        <v>123</v>
      </c>
      <c r="AC74" s="907" t="s">
        <v>123</v>
      </c>
      <c r="AD74" s="999"/>
      <c r="AE74" s="936"/>
      <c r="AF74" s="936"/>
      <c r="AG74" s="936"/>
      <c r="AH74" s="936"/>
      <c r="AI74" s="999"/>
      <c r="AJ74" s="935"/>
      <c r="AK74" s="966"/>
      <c r="AL74" s="949"/>
      <c r="AM74" s="949" t="s">
        <v>123</v>
      </c>
      <c r="AN74" s="949"/>
      <c r="AO74" s="999"/>
      <c r="AP74" s="936"/>
      <c r="AQ74" s="987"/>
      <c r="AR74" s="907"/>
      <c r="AS74" s="907"/>
      <c r="AT74" s="967" t="s">
        <v>123</v>
      </c>
      <c r="AU74" s="967" t="s">
        <v>123</v>
      </c>
      <c r="AV74" s="967" t="s">
        <v>123</v>
      </c>
      <c r="AW74" s="907" t="s">
        <v>123</v>
      </c>
      <c r="AX74" s="907" t="s">
        <v>123</v>
      </c>
      <c r="AY74" s="907" t="s">
        <v>123</v>
      </c>
      <c r="AZ74" s="936" t="s">
        <v>123</v>
      </c>
      <c r="BA74" s="935" t="s">
        <v>123</v>
      </c>
      <c r="BB74" s="1000"/>
      <c r="BC74" s="1001"/>
      <c r="BD74" s="936"/>
      <c r="BE74" s="907"/>
      <c r="BF74" s="1002" t="str">
        <f>IF($BC74="","",SUMIF(portfolio.!$A$4:$A623,BC74,portfolio.!$AN$4:$AN623))</f>
        <v/>
      </c>
      <c r="BG74" s="936" t="s">
        <v>123</v>
      </c>
      <c r="BH74" s="907" t="s">
        <v>123</v>
      </c>
      <c r="BI74" s="935" t="s">
        <v>123</v>
      </c>
      <c r="BJ74" s="1003"/>
      <c r="BK74" s="907" t="s">
        <v>123</v>
      </c>
      <c r="BL74" s="907" t="s">
        <v>123</v>
      </c>
      <c r="BM74" s="907" t="s">
        <v>123</v>
      </c>
      <c r="BN74" s="1004" t="s">
        <v>123</v>
      </c>
      <c r="BO74" s="907" t="str">
        <f t="shared" si="6"/>
        <v/>
      </c>
      <c r="BP74" s="907" t="str">
        <f t="shared" si="7"/>
        <v/>
      </c>
      <c r="BQ74" s="907" t="str">
        <f t="shared" si="8"/>
        <v/>
      </c>
      <c r="BR74" s="1004" t="str">
        <f t="shared" si="9"/>
        <v/>
      </c>
      <c r="BS74" s="1005" t="str">
        <f t="shared" si="10"/>
        <v/>
      </c>
      <c r="BT74" s="1006" t="s">
        <v>123</v>
      </c>
      <c r="BU74" s="1002" t="s">
        <v>123</v>
      </c>
      <c r="BV74" s="1006" t="s">
        <v>123</v>
      </c>
      <c r="BW74" s="1007"/>
    </row>
    <row r="75">
      <c r="A75" s="624">
        <v>52.0</v>
      </c>
      <c r="B75" s="1008"/>
      <c r="C75" s="989"/>
      <c r="D75" s="851"/>
      <c r="E75" s="990"/>
      <c r="F75" s="991"/>
      <c r="G75" s="991"/>
      <c r="H75" s="992"/>
      <c r="I75" s="993"/>
      <c r="J75" s="993"/>
      <c r="K75" s="993"/>
      <c r="L75" s="993"/>
      <c r="M75" s="993"/>
      <c r="N75" s="993"/>
      <c r="O75" s="993"/>
      <c r="P75" s="993"/>
      <c r="Q75" s="993"/>
      <c r="R75" s="993"/>
      <c r="S75" s="936"/>
      <c r="T75" s="998"/>
      <c r="U75" s="935"/>
      <c r="V75" s="935"/>
      <c r="W75" s="949" t="str">
        <f>IF(AND($S$20,NOT($U$20)),IF($V75:$V623="","",SUMIF(portfolio.!$A$4:$A623,V75,portfolio.!$AN$4:$AN623)),"")</f>
        <v/>
      </c>
      <c r="X75" s="998"/>
      <c r="Y75" s="936"/>
      <c r="Z75" s="936" t="s">
        <v>123</v>
      </c>
      <c r="AA75" s="936" t="s">
        <v>123</v>
      </c>
      <c r="AB75" s="936" t="s">
        <v>123</v>
      </c>
      <c r="AC75" s="907" t="s">
        <v>123</v>
      </c>
      <c r="AD75" s="999"/>
      <c r="AE75" s="936"/>
      <c r="AF75" s="936"/>
      <c r="AG75" s="936"/>
      <c r="AH75" s="936"/>
      <c r="AI75" s="999"/>
      <c r="AJ75" s="935"/>
      <c r="AK75" s="966"/>
      <c r="AL75" s="949"/>
      <c r="AM75" s="949" t="s">
        <v>123</v>
      </c>
      <c r="AN75" s="949"/>
      <c r="AO75" s="999"/>
      <c r="AP75" s="936"/>
      <c r="AQ75" s="987"/>
      <c r="AR75" s="907"/>
      <c r="AS75" s="907"/>
      <c r="AT75" s="967" t="s">
        <v>123</v>
      </c>
      <c r="AU75" s="967" t="s">
        <v>123</v>
      </c>
      <c r="AV75" s="967" t="s">
        <v>123</v>
      </c>
      <c r="AW75" s="907" t="s">
        <v>123</v>
      </c>
      <c r="AX75" s="907" t="s">
        <v>123</v>
      </c>
      <c r="AY75" s="907" t="s">
        <v>123</v>
      </c>
      <c r="AZ75" s="936" t="s">
        <v>123</v>
      </c>
      <c r="BA75" s="935" t="s">
        <v>123</v>
      </c>
      <c r="BB75" s="1000"/>
      <c r="BC75" s="1001"/>
      <c r="BD75" s="936"/>
      <c r="BE75" s="907"/>
      <c r="BF75" s="1002" t="str">
        <f>IF($BC75="","",SUMIF(portfolio.!$A$4:$A623,BC75,portfolio.!$AN$4:$AN623))</f>
        <v/>
      </c>
      <c r="BG75" s="936" t="s">
        <v>123</v>
      </c>
      <c r="BH75" s="907" t="s">
        <v>123</v>
      </c>
      <c r="BI75" s="935" t="s">
        <v>123</v>
      </c>
      <c r="BJ75" s="1003"/>
      <c r="BK75" s="907" t="s">
        <v>123</v>
      </c>
      <c r="BL75" s="907" t="s">
        <v>123</v>
      </c>
      <c r="BM75" s="907" t="s">
        <v>123</v>
      </c>
      <c r="BN75" s="1004" t="s">
        <v>123</v>
      </c>
      <c r="BO75" s="907" t="str">
        <f t="shared" si="6"/>
        <v/>
      </c>
      <c r="BP75" s="907" t="str">
        <f t="shared" si="7"/>
        <v/>
      </c>
      <c r="BQ75" s="907" t="str">
        <f t="shared" si="8"/>
        <v/>
      </c>
      <c r="BR75" s="1004" t="str">
        <f t="shared" si="9"/>
        <v/>
      </c>
      <c r="BS75" s="1005" t="str">
        <f t="shared" si="10"/>
        <v/>
      </c>
      <c r="BT75" s="1006" t="s">
        <v>123</v>
      </c>
      <c r="BU75" s="1002" t="s">
        <v>123</v>
      </c>
      <c r="BV75" s="1006" t="s">
        <v>123</v>
      </c>
      <c r="BW75" s="1007"/>
    </row>
    <row r="76">
      <c r="A76" s="624">
        <v>53.0</v>
      </c>
      <c r="B76" s="1008"/>
      <c r="C76" s="989"/>
      <c r="D76" s="851"/>
      <c r="E76" s="990"/>
      <c r="F76" s="991"/>
      <c r="G76" s="991"/>
      <c r="H76" s="992"/>
      <c r="I76" s="993"/>
      <c r="J76" s="993"/>
      <c r="K76" s="993"/>
      <c r="L76" s="993"/>
      <c r="M76" s="993"/>
      <c r="N76" s="993"/>
      <c r="O76" s="993"/>
      <c r="P76" s="993"/>
      <c r="Q76" s="993"/>
      <c r="R76" s="993"/>
      <c r="S76" s="936"/>
      <c r="T76" s="998"/>
      <c r="U76" s="935"/>
      <c r="V76" s="935"/>
      <c r="W76" s="949" t="str">
        <f>IF(AND($S$20,NOT($U$20)),IF($V76:$V623="","",SUMIF(portfolio.!$A$4:$A623,V76,portfolio.!$AN$4:$AN623)),"")</f>
        <v/>
      </c>
      <c r="X76" s="998"/>
      <c r="Y76" s="936"/>
      <c r="Z76" s="936" t="s">
        <v>123</v>
      </c>
      <c r="AA76" s="936" t="s">
        <v>123</v>
      </c>
      <c r="AB76" s="936" t="s">
        <v>123</v>
      </c>
      <c r="AC76" s="907" t="s">
        <v>123</v>
      </c>
      <c r="AD76" s="999"/>
      <c r="AE76" s="936"/>
      <c r="AF76" s="936"/>
      <c r="AG76" s="936"/>
      <c r="AH76" s="936"/>
      <c r="AI76" s="999"/>
      <c r="AJ76" s="935"/>
      <c r="AK76" s="966"/>
      <c r="AL76" s="949"/>
      <c r="AM76" s="949" t="s">
        <v>123</v>
      </c>
      <c r="AN76" s="949"/>
      <c r="AO76" s="999"/>
      <c r="AP76" s="936"/>
      <c r="AQ76" s="987"/>
      <c r="AR76" s="907"/>
      <c r="AS76" s="907"/>
      <c r="AT76" s="967" t="s">
        <v>123</v>
      </c>
      <c r="AU76" s="967" t="s">
        <v>123</v>
      </c>
      <c r="AV76" s="967" t="s">
        <v>123</v>
      </c>
      <c r="AW76" s="907" t="s">
        <v>123</v>
      </c>
      <c r="AX76" s="907" t="s">
        <v>123</v>
      </c>
      <c r="AY76" s="907" t="s">
        <v>123</v>
      </c>
      <c r="AZ76" s="936" t="s">
        <v>123</v>
      </c>
      <c r="BA76" s="935" t="s">
        <v>123</v>
      </c>
      <c r="BB76" s="1000"/>
      <c r="BC76" s="1001"/>
      <c r="BD76" s="936"/>
      <c r="BE76" s="907"/>
      <c r="BF76" s="1002" t="str">
        <f>IF($BC76="","",SUMIF(portfolio.!$A$4:$A623,BC76,portfolio.!$AN$4:$AN623))</f>
        <v/>
      </c>
      <c r="BG76" s="936" t="s">
        <v>123</v>
      </c>
      <c r="BH76" s="907" t="s">
        <v>123</v>
      </c>
      <c r="BI76" s="935" t="s">
        <v>123</v>
      </c>
      <c r="BJ76" s="1003"/>
      <c r="BK76" s="907" t="s">
        <v>123</v>
      </c>
      <c r="BL76" s="907" t="s">
        <v>123</v>
      </c>
      <c r="BM76" s="907" t="s">
        <v>123</v>
      </c>
      <c r="BN76" s="1004" t="s">
        <v>123</v>
      </c>
      <c r="BO76" s="907" t="str">
        <f t="shared" si="6"/>
        <v/>
      </c>
      <c r="BP76" s="907" t="str">
        <f t="shared" si="7"/>
        <v/>
      </c>
      <c r="BQ76" s="907" t="str">
        <f t="shared" si="8"/>
        <v/>
      </c>
      <c r="BR76" s="1004" t="str">
        <f t="shared" si="9"/>
        <v/>
      </c>
      <c r="BS76" s="1005" t="str">
        <f t="shared" si="10"/>
        <v/>
      </c>
      <c r="BT76" s="1006" t="s">
        <v>123</v>
      </c>
      <c r="BU76" s="1002" t="s">
        <v>123</v>
      </c>
      <c r="BV76" s="1006" t="s">
        <v>123</v>
      </c>
      <c r="BW76" s="1007"/>
    </row>
    <row r="77">
      <c r="A77" s="624">
        <v>54.0</v>
      </c>
      <c r="B77" s="1008"/>
      <c r="C77" s="989"/>
      <c r="D77" s="851"/>
      <c r="E77" s="990"/>
      <c r="F77" s="991"/>
      <c r="G77" s="991"/>
      <c r="H77" s="992"/>
      <c r="I77" s="993"/>
      <c r="J77" s="993"/>
      <c r="K77" s="993"/>
      <c r="L77" s="993"/>
      <c r="M77" s="993"/>
      <c r="N77" s="993"/>
      <c r="O77" s="993"/>
      <c r="P77" s="993"/>
      <c r="Q77" s="993"/>
      <c r="R77" s="993"/>
      <c r="S77" s="936"/>
      <c r="T77" s="998"/>
      <c r="U77" s="935"/>
      <c r="V77" s="935"/>
      <c r="W77" s="949" t="str">
        <f>IF(AND($S$20,NOT($U$20)),IF($V77:$V623="","",SUMIF(portfolio.!$A$4:$A623,V77,portfolio.!$AN$4:$AN623)),"")</f>
        <v/>
      </c>
      <c r="X77" s="998"/>
      <c r="Y77" s="936"/>
      <c r="Z77" s="936" t="s">
        <v>123</v>
      </c>
      <c r="AA77" s="936" t="s">
        <v>123</v>
      </c>
      <c r="AB77" s="936" t="s">
        <v>123</v>
      </c>
      <c r="AC77" s="907" t="s">
        <v>123</v>
      </c>
      <c r="AD77" s="999"/>
      <c r="AE77" s="936"/>
      <c r="AF77" s="936"/>
      <c r="AG77" s="936"/>
      <c r="AH77" s="936"/>
      <c r="AI77" s="999"/>
      <c r="AJ77" s="935"/>
      <c r="AK77" s="966"/>
      <c r="AL77" s="949"/>
      <c r="AM77" s="949" t="s">
        <v>123</v>
      </c>
      <c r="AN77" s="949"/>
      <c r="AO77" s="999"/>
      <c r="AP77" s="936"/>
      <c r="AQ77" s="987"/>
      <c r="AR77" s="907"/>
      <c r="AS77" s="907"/>
      <c r="AT77" s="967" t="s">
        <v>123</v>
      </c>
      <c r="AU77" s="967" t="s">
        <v>123</v>
      </c>
      <c r="AV77" s="967" t="s">
        <v>123</v>
      </c>
      <c r="AW77" s="907" t="s">
        <v>123</v>
      </c>
      <c r="AX77" s="907" t="s">
        <v>123</v>
      </c>
      <c r="AY77" s="907" t="s">
        <v>123</v>
      </c>
      <c r="AZ77" s="936" t="s">
        <v>123</v>
      </c>
      <c r="BA77" s="935" t="s">
        <v>123</v>
      </c>
      <c r="BB77" s="1000"/>
      <c r="BC77" s="1001"/>
      <c r="BD77" s="936"/>
      <c r="BE77" s="907"/>
      <c r="BF77" s="1002" t="str">
        <f>IF($BC77="","",SUMIF(portfolio.!$A$4:$A623,BC77,portfolio.!$AN$4:$AN623))</f>
        <v/>
      </c>
      <c r="BG77" s="936" t="s">
        <v>123</v>
      </c>
      <c r="BH77" s="907" t="s">
        <v>123</v>
      </c>
      <c r="BI77" s="935" t="s">
        <v>123</v>
      </c>
      <c r="BJ77" s="1003"/>
      <c r="BK77" s="907" t="s">
        <v>123</v>
      </c>
      <c r="BL77" s="907" t="s">
        <v>123</v>
      </c>
      <c r="BM77" s="907" t="s">
        <v>123</v>
      </c>
      <c r="BN77" s="1004" t="s">
        <v>123</v>
      </c>
      <c r="BO77" s="907" t="str">
        <f t="shared" si="6"/>
        <v/>
      </c>
      <c r="BP77" s="907" t="str">
        <f t="shared" si="7"/>
        <v/>
      </c>
      <c r="BQ77" s="907" t="str">
        <f t="shared" si="8"/>
        <v/>
      </c>
      <c r="BR77" s="1004" t="str">
        <f t="shared" si="9"/>
        <v/>
      </c>
      <c r="BS77" s="1005" t="str">
        <f t="shared" si="10"/>
        <v/>
      </c>
      <c r="BT77" s="1006" t="s">
        <v>123</v>
      </c>
      <c r="BU77" s="1002" t="s">
        <v>123</v>
      </c>
      <c r="BV77" s="1006" t="s">
        <v>123</v>
      </c>
      <c r="BW77" s="1007"/>
    </row>
    <row r="78">
      <c r="A78" s="624">
        <v>55.0</v>
      </c>
      <c r="B78" s="1008"/>
      <c r="C78" s="989"/>
      <c r="D78" s="851"/>
      <c r="E78" s="990"/>
      <c r="F78" s="991"/>
      <c r="G78" s="991"/>
      <c r="H78" s="992"/>
      <c r="I78" s="993"/>
      <c r="J78" s="993"/>
      <c r="K78" s="993"/>
      <c r="L78" s="993"/>
      <c r="M78" s="993"/>
      <c r="N78" s="993"/>
      <c r="O78" s="993"/>
      <c r="P78" s="993"/>
      <c r="Q78" s="993"/>
      <c r="R78" s="993"/>
      <c r="S78" s="936"/>
      <c r="T78" s="998"/>
      <c r="U78" s="935"/>
      <c r="V78" s="935"/>
      <c r="W78" s="949" t="str">
        <f>IF(AND($S$20,NOT($U$20)),IF($V78:$V623="","",SUMIF(portfolio.!$A$4:$A623,V78,portfolio.!$AN$4:$AN623)),"")</f>
        <v/>
      </c>
      <c r="X78" s="998"/>
      <c r="Y78" s="936"/>
      <c r="Z78" s="936" t="s">
        <v>123</v>
      </c>
      <c r="AA78" s="936" t="s">
        <v>123</v>
      </c>
      <c r="AB78" s="936" t="s">
        <v>123</v>
      </c>
      <c r="AC78" s="907" t="s">
        <v>123</v>
      </c>
      <c r="AD78" s="999"/>
      <c r="AE78" s="936"/>
      <c r="AF78" s="936"/>
      <c r="AG78" s="936"/>
      <c r="AH78" s="936"/>
      <c r="AI78" s="999"/>
      <c r="AJ78" s="935"/>
      <c r="AK78" s="966"/>
      <c r="AL78" s="949"/>
      <c r="AM78" s="949" t="s">
        <v>123</v>
      </c>
      <c r="AN78" s="949"/>
      <c r="AO78" s="999"/>
      <c r="AP78" s="936"/>
      <c r="AQ78" s="987"/>
      <c r="AR78" s="907"/>
      <c r="AS78" s="907"/>
      <c r="AT78" s="967" t="s">
        <v>123</v>
      </c>
      <c r="AU78" s="967" t="s">
        <v>123</v>
      </c>
      <c r="AV78" s="967" t="s">
        <v>123</v>
      </c>
      <c r="AW78" s="907" t="s">
        <v>123</v>
      </c>
      <c r="AX78" s="907" t="s">
        <v>123</v>
      </c>
      <c r="AY78" s="907" t="s">
        <v>123</v>
      </c>
      <c r="AZ78" s="936" t="s">
        <v>123</v>
      </c>
      <c r="BA78" s="935" t="s">
        <v>123</v>
      </c>
      <c r="BB78" s="1000"/>
      <c r="BC78" s="1001"/>
      <c r="BD78" s="936"/>
      <c r="BE78" s="907"/>
      <c r="BF78" s="1002" t="str">
        <f>IF($BC78="","",SUMIF(portfolio.!$A$4:$A623,BC78,portfolio.!$AN$4:$AN623))</f>
        <v/>
      </c>
      <c r="BG78" s="936" t="s">
        <v>123</v>
      </c>
      <c r="BH78" s="907" t="s">
        <v>123</v>
      </c>
      <c r="BI78" s="935" t="s">
        <v>123</v>
      </c>
      <c r="BJ78" s="1003"/>
      <c r="BK78" s="907" t="s">
        <v>123</v>
      </c>
      <c r="BL78" s="907" t="s">
        <v>123</v>
      </c>
      <c r="BM78" s="907" t="s">
        <v>123</v>
      </c>
      <c r="BN78" s="1004" t="s">
        <v>123</v>
      </c>
      <c r="BO78" s="907" t="str">
        <f t="shared" si="6"/>
        <v/>
      </c>
      <c r="BP78" s="907" t="str">
        <f t="shared" si="7"/>
        <v/>
      </c>
      <c r="BQ78" s="907" t="str">
        <f t="shared" si="8"/>
        <v/>
      </c>
      <c r="BR78" s="1004" t="str">
        <f t="shared" si="9"/>
        <v/>
      </c>
      <c r="BS78" s="1005" t="str">
        <f t="shared" si="10"/>
        <v/>
      </c>
      <c r="BT78" s="1006" t="s">
        <v>123</v>
      </c>
      <c r="BU78" s="1002" t="s">
        <v>123</v>
      </c>
      <c r="BV78" s="1006" t="s">
        <v>123</v>
      </c>
      <c r="BW78" s="1007"/>
    </row>
    <row r="79">
      <c r="A79" s="624">
        <v>56.0</v>
      </c>
      <c r="B79" s="1008"/>
      <c r="C79" s="989"/>
      <c r="D79" s="851"/>
      <c r="E79" s="990"/>
      <c r="F79" s="991"/>
      <c r="G79" s="991"/>
      <c r="H79" s="992"/>
      <c r="I79" s="993"/>
      <c r="J79" s="993"/>
      <c r="K79" s="993"/>
      <c r="L79" s="993"/>
      <c r="M79" s="993"/>
      <c r="N79" s="993"/>
      <c r="O79" s="993"/>
      <c r="P79" s="993"/>
      <c r="Q79" s="993"/>
      <c r="R79" s="993"/>
      <c r="S79" s="936"/>
      <c r="T79" s="998"/>
      <c r="U79" s="935"/>
      <c r="V79" s="935"/>
      <c r="W79" s="949" t="str">
        <f>IF(AND($S$20,NOT($U$20)),IF($V79:$V623="","",SUMIF(portfolio.!$A$4:$A623,V79,portfolio.!$AN$4:$AN623)),"")</f>
        <v/>
      </c>
      <c r="X79" s="998"/>
      <c r="Y79" s="936"/>
      <c r="Z79" s="936" t="s">
        <v>123</v>
      </c>
      <c r="AA79" s="936" t="s">
        <v>123</v>
      </c>
      <c r="AB79" s="936" t="s">
        <v>123</v>
      </c>
      <c r="AC79" s="907" t="s">
        <v>123</v>
      </c>
      <c r="AD79" s="999"/>
      <c r="AE79" s="936"/>
      <c r="AF79" s="936"/>
      <c r="AG79" s="936"/>
      <c r="AH79" s="936"/>
      <c r="AI79" s="999"/>
      <c r="AJ79" s="935"/>
      <c r="AK79" s="966"/>
      <c r="AL79" s="949"/>
      <c r="AM79" s="949" t="s">
        <v>123</v>
      </c>
      <c r="AN79" s="949"/>
      <c r="AO79" s="999"/>
      <c r="AP79" s="936"/>
      <c r="AQ79" s="987"/>
      <c r="AR79" s="907"/>
      <c r="AS79" s="907"/>
      <c r="AT79" s="967" t="s">
        <v>123</v>
      </c>
      <c r="AU79" s="967" t="s">
        <v>123</v>
      </c>
      <c r="AV79" s="967" t="s">
        <v>123</v>
      </c>
      <c r="AW79" s="907" t="s">
        <v>123</v>
      </c>
      <c r="AX79" s="907" t="s">
        <v>123</v>
      </c>
      <c r="AY79" s="907" t="s">
        <v>123</v>
      </c>
      <c r="AZ79" s="936" t="s">
        <v>123</v>
      </c>
      <c r="BA79" s="935" t="s">
        <v>123</v>
      </c>
      <c r="BB79" s="1000"/>
      <c r="BC79" s="1001"/>
      <c r="BD79" s="936"/>
      <c r="BE79" s="907"/>
      <c r="BF79" s="1002" t="str">
        <f>IF($BC79="","",SUMIF(portfolio.!$A$4:$A623,BC79,portfolio.!$AN$4:$AN623))</f>
        <v/>
      </c>
      <c r="BG79" s="936" t="s">
        <v>123</v>
      </c>
      <c r="BH79" s="907" t="s">
        <v>123</v>
      </c>
      <c r="BI79" s="935" t="s">
        <v>123</v>
      </c>
      <c r="BJ79" s="1003"/>
      <c r="BK79" s="907" t="s">
        <v>123</v>
      </c>
      <c r="BL79" s="907" t="s">
        <v>123</v>
      </c>
      <c r="BM79" s="907" t="s">
        <v>123</v>
      </c>
      <c r="BN79" s="1004" t="s">
        <v>123</v>
      </c>
      <c r="BO79" s="907" t="str">
        <f t="shared" si="6"/>
        <v/>
      </c>
      <c r="BP79" s="907" t="str">
        <f t="shared" si="7"/>
        <v/>
      </c>
      <c r="BQ79" s="907" t="str">
        <f t="shared" si="8"/>
        <v/>
      </c>
      <c r="BR79" s="1004" t="str">
        <f t="shared" si="9"/>
        <v/>
      </c>
      <c r="BS79" s="1005" t="str">
        <f t="shared" si="10"/>
        <v/>
      </c>
      <c r="BT79" s="1006" t="s">
        <v>123</v>
      </c>
      <c r="BU79" s="1002" t="s">
        <v>123</v>
      </c>
      <c r="BV79" s="1006" t="s">
        <v>123</v>
      </c>
      <c r="BW79" s="1007"/>
    </row>
    <row r="80">
      <c r="A80" s="624">
        <v>57.0</v>
      </c>
      <c r="B80" s="1008"/>
      <c r="C80" s="989"/>
      <c r="D80" s="851"/>
      <c r="E80" s="990"/>
      <c r="F80" s="991"/>
      <c r="G80" s="991"/>
      <c r="H80" s="992"/>
      <c r="I80" s="993"/>
      <c r="J80" s="993"/>
      <c r="K80" s="993"/>
      <c r="L80" s="993"/>
      <c r="M80" s="993"/>
      <c r="N80" s="993"/>
      <c r="O80" s="993"/>
      <c r="P80" s="993"/>
      <c r="Q80" s="993"/>
      <c r="R80" s="993"/>
      <c r="S80" s="936"/>
      <c r="T80" s="998"/>
      <c r="U80" s="935"/>
      <c r="V80" s="935"/>
      <c r="W80" s="949" t="str">
        <f>IF(AND($S$20,NOT($U$20)),IF($V80:$V623="","",SUMIF(portfolio.!$A$4:$A623,V80,portfolio.!$AN$4:$AN623)),"")</f>
        <v/>
      </c>
      <c r="X80" s="998"/>
      <c r="Y80" s="936"/>
      <c r="Z80" s="936" t="s">
        <v>123</v>
      </c>
      <c r="AA80" s="936" t="s">
        <v>123</v>
      </c>
      <c r="AB80" s="936" t="s">
        <v>123</v>
      </c>
      <c r="AC80" s="907" t="s">
        <v>123</v>
      </c>
      <c r="AD80" s="999"/>
      <c r="AE80" s="936"/>
      <c r="AF80" s="936"/>
      <c r="AG80" s="936"/>
      <c r="AH80" s="936"/>
      <c r="AI80" s="999"/>
      <c r="AJ80" s="935"/>
      <c r="AK80" s="966"/>
      <c r="AL80" s="949"/>
      <c r="AM80" s="949" t="s">
        <v>123</v>
      </c>
      <c r="AN80" s="949"/>
      <c r="AO80" s="999"/>
      <c r="AP80" s="936"/>
      <c r="AQ80" s="987"/>
      <c r="AR80" s="907"/>
      <c r="AS80" s="907"/>
      <c r="AT80" s="967" t="s">
        <v>123</v>
      </c>
      <c r="AU80" s="967" t="s">
        <v>123</v>
      </c>
      <c r="AV80" s="967" t="s">
        <v>123</v>
      </c>
      <c r="AW80" s="907" t="s">
        <v>123</v>
      </c>
      <c r="AX80" s="907" t="s">
        <v>123</v>
      </c>
      <c r="AY80" s="907" t="s">
        <v>123</v>
      </c>
      <c r="AZ80" s="936" t="s">
        <v>123</v>
      </c>
      <c r="BA80" s="935" t="s">
        <v>123</v>
      </c>
      <c r="BB80" s="1000"/>
      <c r="BC80" s="1001"/>
      <c r="BD80" s="936"/>
      <c r="BE80" s="907"/>
      <c r="BF80" s="1002" t="str">
        <f>IF($BC80="","",SUMIF(portfolio.!$A$4:$A623,BC80,portfolio.!$AN$4:$AN623))</f>
        <v/>
      </c>
      <c r="BG80" s="936" t="s">
        <v>123</v>
      </c>
      <c r="BH80" s="907" t="s">
        <v>123</v>
      </c>
      <c r="BI80" s="935" t="s">
        <v>123</v>
      </c>
      <c r="BJ80" s="1003"/>
      <c r="BK80" s="907" t="s">
        <v>123</v>
      </c>
      <c r="BL80" s="907" t="s">
        <v>123</v>
      </c>
      <c r="BM80" s="907" t="s">
        <v>123</v>
      </c>
      <c r="BN80" s="1004" t="s">
        <v>123</v>
      </c>
      <c r="BO80" s="907" t="str">
        <f t="shared" si="6"/>
        <v/>
      </c>
      <c r="BP80" s="907" t="str">
        <f t="shared" si="7"/>
        <v/>
      </c>
      <c r="BQ80" s="907" t="str">
        <f t="shared" si="8"/>
        <v/>
      </c>
      <c r="BR80" s="1004" t="str">
        <f t="shared" si="9"/>
        <v/>
      </c>
      <c r="BS80" s="1005" t="str">
        <f t="shared" si="10"/>
        <v/>
      </c>
      <c r="BT80" s="1006" t="s">
        <v>123</v>
      </c>
      <c r="BU80" s="1002" t="s">
        <v>123</v>
      </c>
      <c r="BV80" s="1006" t="s">
        <v>123</v>
      </c>
      <c r="BW80" s="1007"/>
    </row>
    <row r="81">
      <c r="A81" s="624">
        <v>58.0</v>
      </c>
      <c r="B81" s="1008"/>
      <c r="C81" s="989"/>
      <c r="D81" s="851"/>
      <c r="E81" s="990"/>
      <c r="F81" s="991"/>
      <c r="G81" s="991"/>
      <c r="H81" s="992"/>
      <c r="I81" s="993"/>
      <c r="J81" s="993"/>
      <c r="K81" s="993"/>
      <c r="L81" s="993"/>
      <c r="M81" s="993"/>
      <c r="N81" s="993"/>
      <c r="O81" s="993"/>
      <c r="P81" s="993"/>
      <c r="Q81" s="993"/>
      <c r="R81" s="993"/>
      <c r="S81" s="936"/>
      <c r="T81" s="998"/>
      <c r="U81" s="935"/>
      <c r="V81" s="935"/>
      <c r="W81" s="949" t="str">
        <f>IF(AND($S$20,NOT($U$20)),IF($V81:$V623="","",SUMIF(portfolio.!$A$4:$A623,V81,portfolio.!$AN$4:$AN623)),"")</f>
        <v/>
      </c>
      <c r="X81" s="998"/>
      <c r="Y81" s="936"/>
      <c r="Z81" s="936" t="s">
        <v>123</v>
      </c>
      <c r="AA81" s="936" t="s">
        <v>123</v>
      </c>
      <c r="AB81" s="936" t="s">
        <v>123</v>
      </c>
      <c r="AC81" s="907" t="s">
        <v>123</v>
      </c>
      <c r="AD81" s="999"/>
      <c r="AE81" s="936"/>
      <c r="AF81" s="936"/>
      <c r="AG81" s="936"/>
      <c r="AH81" s="936"/>
      <c r="AI81" s="999"/>
      <c r="AJ81" s="935"/>
      <c r="AK81" s="966"/>
      <c r="AL81" s="949"/>
      <c r="AM81" s="949" t="s">
        <v>123</v>
      </c>
      <c r="AN81" s="949"/>
      <c r="AO81" s="999"/>
      <c r="AP81" s="936"/>
      <c r="AQ81" s="987"/>
      <c r="AR81" s="907"/>
      <c r="AS81" s="907"/>
      <c r="AT81" s="967" t="s">
        <v>123</v>
      </c>
      <c r="AU81" s="967" t="s">
        <v>123</v>
      </c>
      <c r="AV81" s="967" t="s">
        <v>123</v>
      </c>
      <c r="AW81" s="907" t="s">
        <v>123</v>
      </c>
      <c r="AX81" s="907" t="s">
        <v>123</v>
      </c>
      <c r="AY81" s="907" t="s">
        <v>123</v>
      </c>
      <c r="AZ81" s="936" t="s">
        <v>123</v>
      </c>
      <c r="BA81" s="935" t="s">
        <v>123</v>
      </c>
      <c r="BB81" s="1000"/>
      <c r="BC81" s="1001"/>
      <c r="BD81" s="936"/>
      <c r="BE81" s="907"/>
      <c r="BF81" s="1002" t="str">
        <f>IF($BC81="","",SUMIF(portfolio.!$A$4:$A623,BC81,portfolio.!$AN$4:$AN623))</f>
        <v/>
      </c>
      <c r="BG81" s="936" t="s">
        <v>123</v>
      </c>
      <c r="BH81" s="907" t="s">
        <v>123</v>
      </c>
      <c r="BI81" s="935" t="s">
        <v>123</v>
      </c>
      <c r="BJ81" s="1003"/>
      <c r="BK81" s="907" t="s">
        <v>123</v>
      </c>
      <c r="BL81" s="907" t="s">
        <v>123</v>
      </c>
      <c r="BM81" s="907" t="s">
        <v>123</v>
      </c>
      <c r="BN81" s="1004" t="s">
        <v>123</v>
      </c>
      <c r="BO81" s="907" t="str">
        <f t="shared" si="6"/>
        <v/>
      </c>
      <c r="BP81" s="907" t="str">
        <f t="shared" si="7"/>
        <v/>
      </c>
      <c r="BQ81" s="907" t="str">
        <f t="shared" si="8"/>
        <v/>
      </c>
      <c r="BR81" s="1004" t="str">
        <f t="shared" si="9"/>
        <v/>
      </c>
      <c r="BS81" s="1005" t="str">
        <f t="shared" si="10"/>
        <v/>
      </c>
      <c r="BT81" s="1006" t="s">
        <v>123</v>
      </c>
      <c r="BU81" s="1002" t="s">
        <v>123</v>
      </c>
      <c r="BV81" s="1006" t="s">
        <v>123</v>
      </c>
      <c r="BW81" s="1007"/>
    </row>
    <row r="82">
      <c r="A82" s="624">
        <v>59.0</v>
      </c>
      <c r="B82" s="1008"/>
      <c r="C82" s="989"/>
      <c r="D82" s="851"/>
      <c r="E82" s="990"/>
      <c r="F82" s="991"/>
      <c r="G82" s="991"/>
      <c r="H82" s="992"/>
      <c r="I82" s="993"/>
      <c r="J82" s="993"/>
      <c r="K82" s="993"/>
      <c r="L82" s="993"/>
      <c r="M82" s="993"/>
      <c r="N82" s="993"/>
      <c r="O82" s="993"/>
      <c r="P82" s="993"/>
      <c r="Q82" s="993"/>
      <c r="R82" s="993"/>
      <c r="S82" s="936"/>
      <c r="T82" s="998"/>
      <c r="U82" s="935"/>
      <c r="V82" s="935"/>
      <c r="W82" s="949" t="str">
        <f>IF(AND($S$20,NOT($U$20)),IF($V82:$V623="","",SUMIF(portfolio.!$A$4:$A623,V82,portfolio.!$AN$4:$AN623)),"")</f>
        <v/>
      </c>
      <c r="X82" s="998"/>
      <c r="Y82" s="936"/>
      <c r="Z82" s="936" t="s">
        <v>123</v>
      </c>
      <c r="AA82" s="936" t="s">
        <v>123</v>
      </c>
      <c r="AB82" s="936" t="s">
        <v>123</v>
      </c>
      <c r="AC82" s="907" t="s">
        <v>123</v>
      </c>
      <c r="AD82" s="999"/>
      <c r="AE82" s="936"/>
      <c r="AF82" s="936"/>
      <c r="AG82" s="936"/>
      <c r="AH82" s="936"/>
      <c r="AI82" s="999"/>
      <c r="AJ82" s="935"/>
      <c r="AK82" s="966"/>
      <c r="AL82" s="949"/>
      <c r="AM82" s="949" t="s">
        <v>123</v>
      </c>
      <c r="AN82" s="949"/>
      <c r="AO82" s="999"/>
      <c r="AP82" s="936"/>
      <c r="AQ82" s="987"/>
      <c r="AR82" s="907"/>
      <c r="AS82" s="907"/>
      <c r="AT82" s="967" t="s">
        <v>123</v>
      </c>
      <c r="AU82" s="967" t="s">
        <v>123</v>
      </c>
      <c r="AV82" s="967" t="s">
        <v>123</v>
      </c>
      <c r="AW82" s="907" t="s">
        <v>123</v>
      </c>
      <c r="AX82" s="907" t="s">
        <v>123</v>
      </c>
      <c r="AY82" s="907" t="s">
        <v>123</v>
      </c>
      <c r="AZ82" s="936" t="s">
        <v>123</v>
      </c>
      <c r="BA82" s="935" t="s">
        <v>123</v>
      </c>
      <c r="BB82" s="1000"/>
      <c r="BC82" s="1001"/>
      <c r="BD82" s="936"/>
      <c r="BE82" s="907"/>
      <c r="BF82" s="1002" t="str">
        <f>IF($BC82="","",SUMIF(portfolio.!$A$4:$A623,BC82,portfolio.!$AN$4:$AN623))</f>
        <v/>
      </c>
      <c r="BG82" s="936" t="s">
        <v>123</v>
      </c>
      <c r="BH82" s="907" t="s">
        <v>123</v>
      </c>
      <c r="BI82" s="935" t="s">
        <v>123</v>
      </c>
      <c r="BJ82" s="1003"/>
      <c r="BK82" s="907" t="s">
        <v>123</v>
      </c>
      <c r="BL82" s="907" t="s">
        <v>123</v>
      </c>
      <c r="BM82" s="907" t="s">
        <v>123</v>
      </c>
      <c r="BN82" s="1004" t="s">
        <v>123</v>
      </c>
      <c r="BO82" s="907" t="str">
        <f t="shared" si="6"/>
        <v/>
      </c>
      <c r="BP82" s="907" t="str">
        <f t="shared" si="7"/>
        <v/>
      </c>
      <c r="BQ82" s="907" t="str">
        <f t="shared" si="8"/>
        <v/>
      </c>
      <c r="BR82" s="1004" t="str">
        <f t="shared" si="9"/>
        <v/>
      </c>
      <c r="BS82" s="1005" t="str">
        <f t="shared" si="10"/>
        <v/>
      </c>
      <c r="BT82" s="1006" t="s">
        <v>123</v>
      </c>
      <c r="BU82" s="1002" t="s">
        <v>123</v>
      </c>
      <c r="BV82" s="1006" t="s">
        <v>123</v>
      </c>
      <c r="BW82" s="1007"/>
    </row>
    <row r="83">
      <c r="A83" s="624">
        <v>60.0</v>
      </c>
      <c r="B83" s="1008"/>
      <c r="C83" s="989"/>
      <c r="D83" s="851"/>
      <c r="E83" s="990"/>
      <c r="F83" s="991"/>
      <c r="G83" s="991"/>
      <c r="H83" s="992"/>
      <c r="I83" s="993"/>
      <c r="J83" s="993"/>
      <c r="K83" s="993"/>
      <c r="L83" s="993"/>
      <c r="M83" s="993"/>
      <c r="N83" s="993"/>
      <c r="O83" s="993"/>
      <c r="P83" s="993"/>
      <c r="Q83" s="993"/>
      <c r="R83" s="993"/>
      <c r="S83" s="936"/>
      <c r="T83" s="998"/>
      <c r="U83" s="935"/>
      <c r="V83" s="935"/>
      <c r="W83" s="949" t="str">
        <f>IF(AND($S$20,NOT($U$20)),IF($V83:$V623="","",SUMIF(portfolio.!$A$4:$A623,V83,portfolio.!$AN$4:$AN623)),"")</f>
        <v/>
      </c>
      <c r="X83" s="998"/>
      <c r="Y83" s="936"/>
      <c r="Z83" s="936" t="s">
        <v>123</v>
      </c>
      <c r="AA83" s="936" t="s">
        <v>123</v>
      </c>
      <c r="AB83" s="936" t="s">
        <v>123</v>
      </c>
      <c r="AC83" s="907" t="s">
        <v>123</v>
      </c>
      <c r="AD83" s="999"/>
      <c r="AE83" s="936"/>
      <c r="AF83" s="936"/>
      <c r="AG83" s="936"/>
      <c r="AH83" s="936"/>
      <c r="AI83" s="999"/>
      <c r="AJ83" s="935"/>
      <c r="AK83" s="966"/>
      <c r="AL83" s="949"/>
      <c r="AM83" s="949" t="s">
        <v>123</v>
      </c>
      <c r="AN83" s="949"/>
      <c r="AO83" s="999"/>
      <c r="AP83" s="936"/>
      <c r="AQ83" s="987"/>
      <c r="AR83" s="907"/>
      <c r="AS83" s="907"/>
      <c r="AT83" s="967" t="s">
        <v>123</v>
      </c>
      <c r="AU83" s="967" t="s">
        <v>123</v>
      </c>
      <c r="AV83" s="967" t="s">
        <v>123</v>
      </c>
      <c r="AW83" s="907" t="s">
        <v>123</v>
      </c>
      <c r="AX83" s="907" t="s">
        <v>123</v>
      </c>
      <c r="AY83" s="907" t="s">
        <v>123</v>
      </c>
      <c r="AZ83" s="936" t="s">
        <v>123</v>
      </c>
      <c r="BA83" s="935" t="s">
        <v>123</v>
      </c>
      <c r="BB83" s="1000"/>
      <c r="BC83" s="1001"/>
      <c r="BD83" s="936"/>
      <c r="BE83" s="907"/>
      <c r="BF83" s="1002" t="str">
        <f>IF($BC83="","",SUMIF(portfolio.!$A$4:$A623,BC83,portfolio.!$AN$4:$AN623))</f>
        <v/>
      </c>
      <c r="BG83" s="936" t="s">
        <v>123</v>
      </c>
      <c r="BH83" s="907" t="s">
        <v>123</v>
      </c>
      <c r="BI83" s="935" t="s">
        <v>123</v>
      </c>
      <c r="BJ83" s="1003"/>
      <c r="BK83" s="907" t="s">
        <v>123</v>
      </c>
      <c r="BL83" s="907" t="s">
        <v>123</v>
      </c>
      <c r="BM83" s="907" t="s">
        <v>123</v>
      </c>
      <c r="BN83" s="1004" t="s">
        <v>123</v>
      </c>
      <c r="BO83" s="907" t="str">
        <f t="shared" si="6"/>
        <v/>
      </c>
      <c r="BP83" s="907" t="str">
        <f t="shared" si="7"/>
        <v/>
      </c>
      <c r="BQ83" s="907" t="str">
        <f t="shared" si="8"/>
        <v/>
      </c>
      <c r="BR83" s="1004" t="str">
        <f t="shared" si="9"/>
        <v/>
      </c>
      <c r="BS83" s="1005" t="str">
        <f t="shared" si="10"/>
        <v/>
      </c>
      <c r="BT83" s="1006" t="s">
        <v>123</v>
      </c>
      <c r="BU83" s="1002" t="s">
        <v>123</v>
      </c>
      <c r="BV83" s="1006" t="s">
        <v>123</v>
      </c>
      <c r="BW83" s="1007"/>
    </row>
    <row r="84">
      <c r="A84" s="624">
        <v>61.0</v>
      </c>
      <c r="B84" s="1008"/>
      <c r="C84" s="989"/>
      <c r="D84" s="851"/>
      <c r="E84" s="990"/>
      <c r="F84" s="991"/>
      <c r="G84" s="991"/>
      <c r="H84" s="992"/>
      <c r="I84" s="993"/>
      <c r="J84" s="993"/>
      <c r="K84" s="993"/>
      <c r="L84" s="993"/>
      <c r="M84" s="993"/>
      <c r="N84" s="993"/>
      <c r="O84" s="993"/>
      <c r="P84" s="993"/>
      <c r="Q84" s="993"/>
      <c r="R84" s="993"/>
      <c r="S84" s="936"/>
      <c r="T84" s="998"/>
      <c r="U84" s="935"/>
      <c r="V84" s="935"/>
      <c r="W84" s="949" t="str">
        <f>IF(AND($S$20,NOT($U$20)),IF($V84:$V623="","",SUMIF(portfolio.!$A$4:$A623,V84,portfolio.!$AN$4:$AN623)),"")</f>
        <v/>
      </c>
      <c r="X84" s="998"/>
      <c r="Y84" s="936"/>
      <c r="Z84" s="936" t="s">
        <v>123</v>
      </c>
      <c r="AA84" s="936" t="s">
        <v>123</v>
      </c>
      <c r="AB84" s="936" t="s">
        <v>123</v>
      </c>
      <c r="AC84" s="907" t="s">
        <v>123</v>
      </c>
      <c r="AD84" s="999"/>
      <c r="AE84" s="936"/>
      <c r="AF84" s="936"/>
      <c r="AG84" s="936"/>
      <c r="AH84" s="936"/>
      <c r="AI84" s="999"/>
      <c r="AJ84" s="935"/>
      <c r="AK84" s="966"/>
      <c r="AL84" s="949"/>
      <c r="AM84" s="949" t="s">
        <v>123</v>
      </c>
      <c r="AN84" s="949"/>
      <c r="AO84" s="999"/>
      <c r="AP84" s="936"/>
      <c r="AQ84" s="987"/>
      <c r="AR84" s="907"/>
      <c r="AS84" s="907"/>
      <c r="AT84" s="967" t="s">
        <v>123</v>
      </c>
      <c r="AU84" s="967" t="s">
        <v>123</v>
      </c>
      <c r="AV84" s="967" t="s">
        <v>123</v>
      </c>
      <c r="AW84" s="907" t="s">
        <v>123</v>
      </c>
      <c r="AX84" s="907" t="s">
        <v>123</v>
      </c>
      <c r="AY84" s="907" t="s">
        <v>123</v>
      </c>
      <c r="AZ84" s="936" t="s">
        <v>123</v>
      </c>
      <c r="BA84" s="935" t="s">
        <v>123</v>
      </c>
      <c r="BB84" s="1000"/>
      <c r="BC84" s="1001"/>
      <c r="BD84" s="936"/>
      <c r="BE84" s="907"/>
      <c r="BF84" s="1002" t="str">
        <f>IF($BC84="","",SUMIF(portfolio.!$A$4:$A623,BC84,portfolio.!$AN$4:$AN623))</f>
        <v/>
      </c>
      <c r="BG84" s="936" t="s">
        <v>123</v>
      </c>
      <c r="BH84" s="907" t="s">
        <v>123</v>
      </c>
      <c r="BI84" s="935" t="s">
        <v>123</v>
      </c>
      <c r="BJ84" s="1003"/>
      <c r="BK84" s="907" t="s">
        <v>123</v>
      </c>
      <c r="BL84" s="907" t="s">
        <v>123</v>
      </c>
      <c r="BM84" s="907" t="s">
        <v>123</v>
      </c>
      <c r="BN84" s="1004" t="s">
        <v>123</v>
      </c>
      <c r="BO84" s="907" t="str">
        <f t="shared" si="6"/>
        <v/>
      </c>
      <c r="BP84" s="907" t="str">
        <f t="shared" si="7"/>
        <v/>
      </c>
      <c r="BQ84" s="907" t="str">
        <f t="shared" si="8"/>
        <v/>
      </c>
      <c r="BR84" s="1004" t="str">
        <f t="shared" si="9"/>
        <v/>
      </c>
      <c r="BS84" s="1005" t="str">
        <f t="shared" si="10"/>
        <v/>
      </c>
      <c r="BT84" s="1006" t="s">
        <v>123</v>
      </c>
      <c r="BU84" s="1002" t="s">
        <v>123</v>
      </c>
      <c r="BV84" s="1006" t="s">
        <v>123</v>
      </c>
      <c r="BW84" s="1007"/>
    </row>
    <row r="85">
      <c r="A85" s="624">
        <v>62.0</v>
      </c>
      <c r="B85" s="1008"/>
      <c r="C85" s="989"/>
      <c r="D85" s="851"/>
      <c r="E85" s="990"/>
      <c r="F85" s="991"/>
      <c r="G85" s="991"/>
      <c r="H85" s="992"/>
      <c r="I85" s="993"/>
      <c r="J85" s="993"/>
      <c r="K85" s="993"/>
      <c r="L85" s="993"/>
      <c r="M85" s="993"/>
      <c r="N85" s="993"/>
      <c r="O85" s="993"/>
      <c r="P85" s="993"/>
      <c r="Q85" s="993"/>
      <c r="R85" s="993"/>
      <c r="S85" s="936"/>
      <c r="T85" s="998"/>
      <c r="U85" s="935"/>
      <c r="V85" s="935"/>
      <c r="W85" s="949" t="str">
        <f>IF(AND($S$20,NOT($U$20)),IF($V85:$V623="","",SUMIF(portfolio.!$A$4:$A623,V85,portfolio.!$AN$4:$AN623)),"")</f>
        <v/>
      </c>
      <c r="X85" s="998"/>
      <c r="Y85" s="936"/>
      <c r="Z85" s="936" t="s">
        <v>123</v>
      </c>
      <c r="AA85" s="936" t="s">
        <v>123</v>
      </c>
      <c r="AB85" s="936" t="s">
        <v>123</v>
      </c>
      <c r="AC85" s="907" t="s">
        <v>123</v>
      </c>
      <c r="AD85" s="999"/>
      <c r="AE85" s="936"/>
      <c r="AF85" s="936"/>
      <c r="AG85" s="936"/>
      <c r="AH85" s="936"/>
      <c r="AI85" s="999"/>
      <c r="AJ85" s="935"/>
      <c r="AK85" s="966"/>
      <c r="AL85" s="949"/>
      <c r="AM85" s="949" t="s">
        <v>123</v>
      </c>
      <c r="AN85" s="949"/>
      <c r="AO85" s="999"/>
      <c r="AP85" s="936"/>
      <c r="AQ85" s="987"/>
      <c r="AR85" s="907"/>
      <c r="AS85" s="907"/>
      <c r="AT85" s="967" t="s">
        <v>123</v>
      </c>
      <c r="AU85" s="967" t="s">
        <v>123</v>
      </c>
      <c r="AV85" s="967" t="s">
        <v>123</v>
      </c>
      <c r="AW85" s="907" t="s">
        <v>123</v>
      </c>
      <c r="AX85" s="907" t="s">
        <v>123</v>
      </c>
      <c r="AY85" s="907" t="s">
        <v>123</v>
      </c>
      <c r="AZ85" s="936" t="s">
        <v>123</v>
      </c>
      <c r="BA85" s="935" t="s">
        <v>123</v>
      </c>
      <c r="BB85" s="1000"/>
      <c r="BC85" s="1001"/>
      <c r="BD85" s="936"/>
      <c r="BE85" s="907"/>
      <c r="BF85" s="1002" t="str">
        <f>IF($BC85="","",SUMIF(portfolio.!$A$4:$A623,BC85,portfolio.!$AN$4:$AN623))</f>
        <v/>
      </c>
      <c r="BG85" s="936" t="s">
        <v>123</v>
      </c>
      <c r="BH85" s="907" t="s">
        <v>123</v>
      </c>
      <c r="BI85" s="935" t="s">
        <v>123</v>
      </c>
      <c r="BJ85" s="1003"/>
      <c r="BK85" s="907" t="s">
        <v>123</v>
      </c>
      <c r="BL85" s="907" t="s">
        <v>123</v>
      </c>
      <c r="BM85" s="907" t="s">
        <v>123</v>
      </c>
      <c r="BN85" s="1004" t="s">
        <v>123</v>
      </c>
      <c r="BO85" s="907" t="str">
        <f t="shared" si="6"/>
        <v/>
      </c>
      <c r="BP85" s="907" t="str">
        <f t="shared" si="7"/>
        <v/>
      </c>
      <c r="BQ85" s="907" t="str">
        <f t="shared" si="8"/>
        <v/>
      </c>
      <c r="BR85" s="1004" t="str">
        <f t="shared" si="9"/>
        <v/>
      </c>
      <c r="BS85" s="1005" t="str">
        <f t="shared" si="10"/>
        <v/>
      </c>
      <c r="BT85" s="1006" t="s">
        <v>123</v>
      </c>
      <c r="BU85" s="1002" t="s">
        <v>123</v>
      </c>
      <c r="BV85" s="1006" t="s">
        <v>123</v>
      </c>
      <c r="BW85" s="1007"/>
    </row>
    <row r="86">
      <c r="A86" s="624">
        <v>63.0</v>
      </c>
      <c r="B86" s="1008"/>
      <c r="C86" s="989"/>
      <c r="D86" s="851"/>
      <c r="E86" s="990"/>
      <c r="F86" s="991"/>
      <c r="G86" s="991"/>
      <c r="H86" s="992"/>
      <c r="I86" s="993"/>
      <c r="J86" s="993"/>
      <c r="K86" s="993"/>
      <c r="L86" s="993"/>
      <c r="M86" s="993"/>
      <c r="N86" s="993"/>
      <c r="O86" s="993"/>
      <c r="P86" s="993"/>
      <c r="Q86" s="993"/>
      <c r="R86" s="993"/>
      <c r="S86" s="936"/>
      <c r="T86" s="998"/>
      <c r="U86" s="935"/>
      <c r="V86" s="935"/>
      <c r="W86" s="949" t="str">
        <f>IF(AND($S$20,NOT($U$20)),IF($V86:$V623="","",SUMIF(portfolio.!$A$4:$A623,V86,portfolio.!$AN$4:$AN623)),"")</f>
        <v/>
      </c>
      <c r="X86" s="998"/>
      <c r="Y86" s="936"/>
      <c r="Z86" s="936" t="s">
        <v>123</v>
      </c>
      <c r="AA86" s="936" t="s">
        <v>123</v>
      </c>
      <c r="AB86" s="936" t="s">
        <v>123</v>
      </c>
      <c r="AC86" s="907" t="s">
        <v>123</v>
      </c>
      <c r="AD86" s="999"/>
      <c r="AE86" s="936"/>
      <c r="AF86" s="936"/>
      <c r="AG86" s="936"/>
      <c r="AH86" s="936"/>
      <c r="AI86" s="999"/>
      <c r="AJ86" s="935"/>
      <c r="AK86" s="966"/>
      <c r="AL86" s="949"/>
      <c r="AM86" s="949" t="s">
        <v>123</v>
      </c>
      <c r="AN86" s="949"/>
      <c r="AO86" s="999"/>
      <c r="AP86" s="936"/>
      <c r="AQ86" s="987"/>
      <c r="AR86" s="907"/>
      <c r="AS86" s="907"/>
      <c r="AT86" s="967" t="s">
        <v>123</v>
      </c>
      <c r="AU86" s="967" t="s">
        <v>123</v>
      </c>
      <c r="AV86" s="967" t="s">
        <v>123</v>
      </c>
      <c r="AW86" s="907" t="s">
        <v>123</v>
      </c>
      <c r="AX86" s="907" t="s">
        <v>123</v>
      </c>
      <c r="AY86" s="907" t="s">
        <v>123</v>
      </c>
      <c r="AZ86" s="936" t="s">
        <v>123</v>
      </c>
      <c r="BA86" s="935" t="s">
        <v>123</v>
      </c>
      <c r="BB86" s="1000"/>
      <c r="BC86" s="1001"/>
      <c r="BD86" s="936"/>
      <c r="BE86" s="907"/>
      <c r="BF86" s="1002" t="str">
        <f>IF($BC86="","",SUMIF(portfolio.!$A$4:$A623,BC86,portfolio.!$AN$4:$AN623))</f>
        <v/>
      </c>
      <c r="BG86" s="936" t="s">
        <v>123</v>
      </c>
      <c r="BH86" s="907" t="s">
        <v>123</v>
      </c>
      <c r="BI86" s="935" t="s">
        <v>123</v>
      </c>
      <c r="BJ86" s="1003"/>
      <c r="BK86" s="907" t="s">
        <v>123</v>
      </c>
      <c r="BL86" s="907" t="s">
        <v>123</v>
      </c>
      <c r="BM86" s="907" t="s">
        <v>123</v>
      </c>
      <c r="BN86" s="1004" t="s">
        <v>123</v>
      </c>
      <c r="BO86" s="907" t="str">
        <f t="shared" si="6"/>
        <v/>
      </c>
      <c r="BP86" s="907" t="str">
        <f t="shared" si="7"/>
        <v/>
      </c>
      <c r="BQ86" s="907" t="str">
        <f t="shared" si="8"/>
        <v/>
      </c>
      <c r="BR86" s="1004" t="str">
        <f t="shared" si="9"/>
        <v/>
      </c>
      <c r="BS86" s="1005" t="str">
        <f t="shared" si="10"/>
        <v/>
      </c>
      <c r="BT86" s="1006" t="s">
        <v>123</v>
      </c>
      <c r="BU86" s="1002" t="s">
        <v>123</v>
      </c>
      <c r="BV86" s="1006" t="s">
        <v>123</v>
      </c>
      <c r="BW86" s="1007"/>
    </row>
    <row r="87">
      <c r="A87" s="624">
        <v>64.0</v>
      </c>
      <c r="B87" s="1008"/>
      <c r="C87" s="989"/>
      <c r="D87" s="851"/>
      <c r="E87" s="990"/>
      <c r="F87" s="991"/>
      <c r="G87" s="991"/>
      <c r="H87" s="992"/>
      <c r="I87" s="993"/>
      <c r="J87" s="993"/>
      <c r="K87" s="993"/>
      <c r="L87" s="993"/>
      <c r="M87" s="993"/>
      <c r="N87" s="993"/>
      <c r="O87" s="993"/>
      <c r="P87" s="993"/>
      <c r="Q87" s="993"/>
      <c r="R87" s="993"/>
      <c r="S87" s="936"/>
      <c r="T87" s="998"/>
      <c r="U87" s="935"/>
      <c r="V87" s="935"/>
      <c r="W87" s="949" t="str">
        <f>IF(AND($S$20,NOT($U$20)),IF($V87:$V623="","",SUMIF(portfolio.!$A$4:$A623,V87,portfolio.!$AN$4:$AN623)),"")</f>
        <v/>
      </c>
      <c r="X87" s="998"/>
      <c r="Y87" s="936"/>
      <c r="Z87" s="936" t="s">
        <v>123</v>
      </c>
      <c r="AA87" s="936" t="s">
        <v>123</v>
      </c>
      <c r="AB87" s="936" t="s">
        <v>123</v>
      </c>
      <c r="AC87" s="907" t="s">
        <v>123</v>
      </c>
      <c r="AD87" s="999"/>
      <c r="AE87" s="936"/>
      <c r="AF87" s="936"/>
      <c r="AG87" s="936"/>
      <c r="AH87" s="936"/>
      <c r="AI87" s="999"/>
      <c r="AJ87" s="935"/>
      <c r="AK87" s="966"/>
      <c r="AL87" s="949"/>
      <c r="AM87" s="949" t="s">
        <v>123</v>
      </c>
      <c r="AN87" s="949"/>
      <c r="AO87" s="999"/>
      <c r="AP87" s="936"/>
      <c r="AQ87" s="987"/>
      <c r="AR87" s="907"/>
      <c r="AS87" s="907"/>
      <c r="AT87" s="967" t="s">
        <v>123</v>
      </c>
      <c r="AU87" s="967" t="s">
        <v>123</v>
      </c>
      <c r="AV87" s="967" t="s">
        <v>123</v>
      </c>
      <c r="AW87" s="907" t="s">
        <v>123</v>
      </c>
      <c r="AX87" s="907" t="s">
        <v>123</v>
      </c>
      <c r="AY87" s="907" t="s">
        <v>123</v>
      </c>
      <c r="AZ87" s="936" t="s">
        <v>123</v>
      </c>
      <c r="BA87" s="935" t="s">
        <v>123</v>
      </c>
      <c r="BB87" s="1000"/>
      <c r="BC87" s="1001"/>
      <c r="BD87" s="936"/>
      <c r="BE87" s="907"/>
      <c r="BF87" s="1002" t="str">
        <f>IF($BC87="","",SUMIF(portfolio.!$A$4:$A623,BC87,portfolio.!$AN$4:$AN623))</f>
        <v/>
      </c>
      <c r="BG87" s="936" t="s">
        <v>123</v>
      </c>
      <c r="BH87" s="907" t="s">
        <v>123</v>
      </c>
      <c r="BI87" s="935" t="s">
        <v>123</v>
      </c>
      <c r="BJ87" s="1003"/>
      <c r="BK87" s="907" t="s">
        <v>123</v>
      </c>
      <c r="BL87" s="907" t="s">
        <v>123</v>
      </c>
      <c r="BM87" s="907" t="s">
        <v>123</v>
      </c>
      <c r="BN87" s="1004" t="s">
        <v>123</v>
      </c>
      <c r="BO87" s="907" t="str">
        <f t="shared" si="6"/>
        <v/>
      </c>
      <c r="BP87" s="907" t="str">
        <f t="shared" si="7"/>
        <v/>
      </c>
      <c r="BQ87" s="907" t="str">
        <f t="shared" si="8"/>
        <v/>
      </c>
      <c r="BR87" s="1004" t="str">
        <f t="shared" si="9"/>
        <v/>
      </c>
      <c r="BS87" s="1005" t="str">
        <f t="shared" si="10"/>
        <v/>
      </c>
      <c r="BT87" s="1006" t="s">
        <v>123</v>
      </c>
      <c r="BU87" s="1002" t="s">
        <v>123</v>
      </c>
      <c r="BV87" s="1006" t="s">
        <v>123</v>
      </c>
      <c r="BW87" s="1007"/>
    </row>
    <row r="88">
      <c r="A88" s="624">
        <v>65.0</v>
      </c>
      <c r="B88" s="1008"/>
      <c r="C88" s="989"/>
      <c r="D88" s="851"/>
      <c r="E88" s="990"/>
      <c r="F88" s="991"/>
      <c r="G88" s="991"/>
      <c r="H88" s="992"/>
      <c r="I88" s="993"/>
      <c r="J88" s="993"/>
      <c r="K88" s="993"/>
      <c r="L88" s="993"/>
      <c r="M88" s="993"/>
      <c r="N88" s="993"/>
      <c r="O88" s="993"/>
      <c r="P88" s="993"/>
      <c r="Q88" s="993"/>
      <c r="R88" s="993"/>
      <c r="S88" s="936"/>
      <c r="T88" s="998"/>
      <c r="U88" s="935"/>
      <c r="V88" s="935"/>
      <c r="W88" s="949" t="str">
        <f>IF(AND($S$20,NOT($U$20)),IF($V88:$V623="","",SUMIF(portfolio.!$A$4:$A623,V88,portfolio.!$AN$4:$AN623)),"")</f>
        <v/>
      </c>
      <c r="X88" s="998"/>
      <c r="Y88" s="936"/>
      <c r="Z88" s="936" t="s">
        <v>123</v>
      </c>
      <c r="AA88" s="936" t="s">
        <v>123</v>
      </c>
      <c r="AB88" s="936" t="s">
        <v>123</v>
      </c>
      <c r="AC88" s="907" t="s">
        <v>123</v>
      </c>
      <c r="AD88" s="999"/>
      <c r="AE88" s="936"/>
      <c r="AF88" s="936"/>
      <c r="AG88" s="936"/>
      <c r="AH88" s="936"/>
      <c r="AI88" s="999"/>
      <c r="AJ88" s="935"/>
      <c r="AK88" s="966"/>
      <c r="AL88" s="949"/>
      <c r="AM88" s="949" t="s">
        <v>123</v>
      </c>
      <c r="AN88" s="949"/>
      <c r="AO88" s="999"/>
      <c r="AP88" s="936"/>
      <c r="AQ88" s="987"/>
      <c r="AR88" s="907"/>
      <c r="AS88" s="907"/>
      <c r="AT88" s="967" t="s">
        <v>123</v>
      </c>
      <c r="AU88" s="967" t="s">
        <v>123</v>
      </c>
      <c r="AV88" s="967" t="s">
        <v>123</v>
      </c>
      <c r="AW88" s="907" t="s">
        <v>123</v>
      </c>
      <c r="AX88" s="907" t="s">
        <v>123</v>
      </c>
      <c r="AY88" s="907" t="s">
        <v>123</v>
      </c>
      <c r="AZ88" s="936" t="s">
        <v>123</v>
      </c>
      <c r="BA88" s="935" t="s">
        <v>123</v>
      </c>
      <c r="BB88" s="1000"/>
      <c r="BC88" s="1001"/>
      <c r="BD88" s="936"/>
      <c r="BE88" s="907"/>
      <c r="BF88" s="1002" t="str">
        <f>IF($BC88="","",SUMIF(portfolio.!$A$4:$A623,BC88,portfolio.!$AN$4:$AN623))</f>
        <v/>
      </c>
      <c r="BG88" s="936" t="s">
        <v>123</v>
      </c>
      <c r="BH88" s="907" t="s">
        <v>123</v>
      </c>
      <c r="BI88" s="935" t="s">
        <v>123</v>
      </c>
      <c r="BJ88" s="1003"/>
      <c r="BK88" s="907" t="s">
        <v>123</v>
      </c>
      <c r="BL88" s="907" t="s">
        <v>123</v>
      </c>
      <c r="BM88" s="907" t="s">
        <v>123</v>
      </c>
      <c r="BN88" s="1004" t="s">
        <v>123</v>
      </c>
      <c r="BO88" s="907" t="str">
        <f t="shared" si="6"/>
        <v/>
      </c>
      <c r="BP88" s="907" t="str">
        <f t="shared" si="7"/>
        <v/>
      </c>
      <c r="BQ88" s="907" t="str">
        <f t="shared" si="8"/>
        <v/>
      </c>
      <c r="BR88" s="1004" t="str">
        <f t="shared" si="9"/>
        <v/>
      </c>
      <c r="BS88" s="1005" t="str">
        <f t="shared" si="10"/>
        <v/>
      </c>
      <c r="BT88" s="1006" t="s">
        <v>123</v>
      </c>
      <c r="BU88" s="1002" t="s">
        <v>123</v>
      </c>
      <c r="BV88" s="1006" t="s">
        <v>123</v>
      </c>
      <c r="BW88" s="1007"/>
    </row>
    <row r="89">
      <c r="A89" s="624">
        <v>66.0</v>
      </c>
      <c r="B89" s="1008"/>
      <c r="C89" s="989"/>
      <c r="D89" s="851"/>
      <c r="E89" s="990"/>
      <c r="F89" s="991"/>
      <c r="G89" s="991"/>
      <c r="H89" s="992"/>
      <c r="I89" s="993"/>
      <c r="J89" s="993"/>
      <c r="K89" s="993"/>
      <c r="L89" s="993"/>
      <c r="M89" s="993"/>
      <c r="N89" s="993"/>
      <c r="O89" s="993"/>
      <c r="P89" s="993"/>
      <c r="Q89" s="993"/>
      <c r="R89" s="993"/>
      <c r="S89" s="936"/>
      <c r="T89" s="998"/>
      <c r="U89" s="935"/>
      <c r="V89" s="935"/>
      <c r="W89" s="949" t="str">
        <f>IF(AND($S$20,NOT($U$20)),IF($V89:$V623="","",SUMIF(portfolio.!$A$4:$A623,V89,portfolio.!$AN$4:$AN623)),"")</f>
        <v/>
      </c>
      <c r="X89" s="998"/>
      <c r="Y89" s="936"/>
      <c r="Z89" s="936" t="s">
        <v>123</v>
      </c>
      <c r="AA89" s="936" t="s">
        <v>123</v>
      </c>
      <c r="AB89" s="936" t="s">
        <v>123</v>
      </c>
      <c r="AC89" s="907" t="s">
        <v>123</v>
      </c>
      <c r="AD89" s="999"/>
      <c r="AE89" s="936"/>
      <c r="AF89" s="936"/>
      <c r="AG89" s="936"/>
      <c r="AH89" s="936"/>
      <c r="AI89" s="999"/>
      <c r="AJ89" s="935"/>
      <c r="AK89" s="966"/>
      <c r="AL89" s="949"/>
      <c r="AM89" s="949" t="s">
        <v>123</v>
      </c>
      <c r="AN89" s="949"/>
      <c r="AO89" s="999"/>
      <c r="AP89" s="936"/>
      <c r="AQ89" s="987"/>
      <c r="AR89" s="907"/>
      <c r="AS89" s="907"/>
      <c r="AT89" s="967" t="s">
        <v>123</v>
      </c>
      <c r="AU89" s="967" t="s">
        <v>123</v>
      </c>
      <c r="AV89" s="967" t="s">
        <v>123</v>
      </c>
      <c r="AW89" s="907" t="s">
        <v>123</v>
      </c>
      <c r="AX89" s="907" t="s">
        <v>123</v>
      </c>
      <c r="AY89" s="907" t="s">
        <v>123</v>
      </c>
      <c r="AZ89" s="936" t="s">
        <v>123</v>
      </c>
      <c r="BA89" s="935" t="s">
        <v>123</v>
      </c>
      <c r="BB89" s="1000"/>
      <c r="BC89" s="1001"/>
      <c r="BD89" s="936"/>
      <c r="BE89" s="907"/>
      <c r="BF89" s="1002" t="str">
        <f>IF($BC89="","",SUMIF(portfolio.!$A$4:$A623,BC89,portfolio.!$AN$4:$AN623))</f>
        <v/>
      </c>
      <c r="BG89" s="936" t="s">
        <v>123</v>
      </c>
      <c r="BH89" s="907" t="s">
        <v>123</v>
      </c>
      <c r="BI89" s="935" t="s">
        <v>123</v>
      </c>
      <c r="BJ89" s="1003"/>
      <c r="BK89" s="907" t="s">
        <v>123</v>
      </c>
      <c r="BL89" s="907" t="s">
        <v>123</v>
      </c>
      <c r="BM89" s="907" t="s">
        <v>123</v>
      </c>
      <c r="BN89" s="1004" t="s">
        <v>123</v>
      </c>
      <c r="BO89" s="907" t="str">
        <f t="shared" si="6"/>
        <v/>
      </c>
      <c r="BP89" s="907" t="str">
        <f t="shared" si="7"/>
        <v/>
      </c>
      <c r="BQ89" s="907" t="str">
        <f t="shared" si="8"/>
        <v/>
      </c>
      <c r="BR89" s="1004" t="str">
        <f t="shared" si="9"/>
        <v/>
      </c>
      <c r="BS89" s="1005" t="str">
        <f t="shared" si="10"/>
        <v/>
      </c>
      <c r="BT89" s="1006" t="s">
        <v>123</v>
      </c>
      <c r="BU89" s="1002" t="s">
        <v>123</v>
      </c>
      <c r="BV89" s="1006" t="s">
        <v>123</v>
      </c>
      <c r="BW89" s="1007"/>
    </row>
    <row r="90">
      <c r="A90" s="624">
        <v>67.0</v>
      </c>
      <c r="B90" s="1008"/>
      <c r="C90" s="989"/>
      <c r="D90" s="851"/>
      <c r="E90" s="990"/>
      <c r="F90" s="991"/>
      <c r="G90" s="991"/>
      <c r="H90" s="992"/>
      <c r="I90" s="993"/>
      <c r="J90" s="993"/>
      <c r="K90" s="993"/>
      <c r="L90" s="993"/>
      <c r="M90" s="993"/>
      <c r="N90" s="993"/>
      <c r="O90" s="993"/>
      <c r="P90" s="993"/>
      <c r="Q90" s="993"/>
      <c r="R90" s="993"/>
      <c r="S90" s="936"/>
      <c r="T90" s="998"/>
      <c r="U90" s="935"/>
      <c r="V90" s="935"/>
      <c r="W90" s="949" t="str">
        <f>IF(AND($S$20,NOT($U$20)),IF($V90:$V623="","",SUMIF(portfolio.!$A$4:$A623,V90,portfolio.!$AN$4:$AN623)),"")</f>
        <v/>
      </c>
      <c r="X90" s="998"/>
      <c r="Y90" s="936"/>
      <c r="Z90" s="936" t="s">
        <v>123</v>
      </c>
      <c r="AA90" s="936" t="s">
        <v>123</v>
      </c>
      <c r="AB90" s="936" t="s">
        <v>123</v>
      </c>
      <c r="AC90" s="907" t="s">
        <v>123</v>
      </c>
      <c r="AD90" s="999"/>
      <c r="AE90" s="936"/>
      <c r="AF90" s="936"/>
      <c r="AG90" s="936"/>
      <c r="AH90" s="936"/>
      <c r="AI90" s="999"/>
      <c r="AJ90" s="935"/>
      <c r="AK90" s="966"/>
      <c r="AL90" s="949"/>
      <c r="AM90" s="949" t="s">
        <v>123</v>
      </c>
      <c r="AN90" s="949"/>
      <c r="AO90" s="999"/>
      <c r="AP90" s="936"/>
      <c r="AQ90" s="987"/>
      <c r="AR90" s="907"/>
      <c r="AS90" s="907"/>
      <c r="AT90" s="967" t="s">
        <v>123</v>
      </c>
      <c r="AU90" s="967" t="s">
        <v>123</v>
      </c>
      <c r="AV90" s="967" t="s">
        <v>123</v>
      </c>
      <c r="AW90" s="907" t="s">
        <v>123</v>
      </c>
      <c r="AX90" s="907" t="s">
        <v>123</v>
      </c>
      <c r="AY90" s="907" t="s">
        <v>123</v>
      </c>
      <c r="AZ90" s="936" t="s">
        <v>123</v>
      </c>
      <c r="BA90" s="935" t="s">
        <v>123</v>
      </c>
      <c r="BB90" s="1000"/>
      <c r="BC90" s="1001"/>
      <c r="BD90" s="936"/>
      <c r="BE90" s="907"/>
      <c r="BF90" s="1002" t="str">
        <f>IF($BC90="","",SUMIF(portfolio.!$A$4:$A623,BC90,portfolio.!$AN$4:$AN623))</f>
        <v/>
      </c>
      <c r="BG90" s="936" t="s">
        <v>123</v>
      </c>
      <c r="BH90" s="907" t="s">
        <v>123</v>
      </c>
      <c r="BI90" s="935" t="s">
        <v>123</v>
      </c>
      <c r="BJ90" s="1003"/>
      <c r="BK90" s="907" t="s">
        <v>123</v>
      </c>
      <c r="BL90" s="907" t="s">
        <v>123</v>
      </c>
      <c r="BM90" s="907" t="s">
        <v>123</v>
      </c>
      <c r="BN90" s="1004" t="s">
        <v>123</v>
      </c>
      <c r="BO90" s="907" t="str">
        <f t="shared" si="6"/>
        <v/>
      </c>
      <c r="BP90" s="907" t="str">
        <f t="shared" si="7"/>
        <v/>
      </c>
      <c r="BQ90" s="907" t="str">
        <f t="shared" si="8"/>
        <v/>
      </c>
      <c r="BR90" s="1004" t="str">
        <f t="shared" si="9"/>
        <v/>
      </c>
      <c r="BS90" s="1005" t="str">
        <f t="shared" si="10"/>
        <v/>
      </c>
      <c r="BT90" s="1006" t="s">
        <v>123</v>
      </c>
      <c r="BU90" s="1002" t="s">
        <v>123</v>
      </c>
      <c r="BV90" s="1006" t="s">
        <v>123</v>
      </c>
      <c r="BW90" s="1007"/>
    </row>
    <row r="91">
      <c r="A91" s="624">
        <v>68.0</v>
      </c>
      <c r="B91" s="1008"/>
      <c r="C91" s="989"/>
      <c r="D91" s="851"/>
      <c r="E91" s="990"/>
      <c r="F91" s="991"/>
      <c r="G91" s="991"/>
      <c r="H91" s="992"/>
      <c r="I91" s="993"/>
      <c r="J91" s="993"/>
      <c r="K91" s="993"/>
      <c r="L91" s="993"/>
      <c r="M91" s="993"/>
      <c r="N91" s="993"/>
      <c r="O91" s="993"/>
      <c r="P91" s="993"/>
      <c r="Q91" s="993"/>
      <c r="R91" s="993"/>
      <c r="S91" s="936"/>
      <c r="T91" s="998"/>
      <c r="U91" s="935"/>
      <c r="V91" s="935"/>
      <c r="W91" s="949" t="str">
        <f>IF(AND($S$20,NOT($U$20)),IF($V91:$V623="","",SUMIF(portfolio.!$A$4:$A623,V91,portfolio.!$AN$4:$AN623)),"")</f>
        <v/>
      </c>
      <c r="X91" s="998"/>
      <c r="Y91" s="936"/>
      <c r="Z91" s="936" t="s">
        <v>123</v>
      </c>
      <c r="AA91" s="936" t="s">
        <v>123</v>
      </c>
      <c r="AB91" s="936" t="s">
        <v>123</v>
      </c>
      <c r="AC91" s="907" t="s">
        <v>123</v>
      </c>
      <c r="AD91" s="999"/>
      <c r="AE91" s="936"/>
      <c r="AF91" s="936"/>
      <c r="AG91" s="936"/>
      <c r="AH91" s="936"/>
      <c r="AI91" s="999"/>
      <c r="AJ91" s="935"/>
      <c r="AK91" s="966"/>
      <c r="AL91" s="949"/>
      <c r="AM91" s="949" t="s">
        <v>123</v>
      </c>
      <c r="AN91" s="949"/>
      <c r="AO91" s="999"/>
      <c r="AP91" s="936"/>
      <c r="AQ91" s="987"/>
      <c r="AR91" s="907"/>
      <c r="AS91" s="907"/>
      <c r="AT91" s="967" t="s">
        <v>123</v>
      </c>
      <c r="AU91" s="967" t="s">
        <v>123</v>
      </c>
      <c r="AV91" s="967" t="s">
        <v>123</v>
      </c>
      <c r="AW91" s="907" t="s">
        <v>123</v>
      </c>
      <c r="AX91" s="907" t="s">
        <v>123</v>
      </c>
      <c r="AY91" s="907" t="s">
        <v>123</v>
      </c>
      <c r="AZ91" s="936" t="s">
        <v>123</v>
      </c>
      <c r="BA91" s="935" t="s">
        <v>123</v>
      </c>
      <c r="BB91" s="1000"/>
      <c r="BC91" s="1001"/>
      <c r="BD91" s="936"/>
      <c r="BE91" s="907"/>
      <c r="BF91" s="1002" t="str">
        <f>IF($BC91="","",SUMIF(portfolio.!$A$4:$A623,BC91,portfolio.!$AN$4:$AN623))</f>
        <v/>
      </c>
      <c r="BG91" s="936" t="s">
        <v>123</v>
      </c>
      <c r="BH91" s="907" t="s">
        <v>123</v>
      </c>
      <c r="BI91" s="935" t="s">
        <v>123</v>
      </c>
      <c r="BJ91" s="1003"/>
      <c r="BK91" s="907" t="s">
        <v>123</v>
      </c>
      <c r="BL91" s="907" t="s">
        <v>123</v>
      </c>
      <c r="BM91" s="907" t="s">
        <v>123</v>
      </c>
      <c r="BN91" s="1004" t="s">
        <v>123</v>
      </c>
      <c r="BO91" s="907" t="str">
        <f t="shared" si="6"/>
        <v/>
      </c>
      <c r="BP91" s="907" t="str">
        <f t="shared" si="7"/>
        <v/>
      </c>
      <c r="BQ91" s="907" t="str">
        <f t="shared" si="8"/>
        <v/>
      </c>
      <c r="BR91" s="1004" t="str">
        <f t="shared" si="9"/>
        <v/>
      </c>
      <c r="BS91" s="1005" t="str">
        <f t="shared" si="10"/>
        <v/>
      </c>
      <c r="BT91" s="1006" t="s">
        <v>123</v>
      </c>
      <c r="BU91" s="1002" t="s">
        <v>123</v>
      </c>
      <c r="BV91" s="1006" t="s">
        <v>123</v>
      </c>
      <c r="BW91" s="1007"/>
    </row>
    <row r="92">
      <c r="A92" s="624">
        <v>69.0</v>
      </c>
      <c r="B92" s="1008"/>
      <c r="C92" s="989"/>
      <c r="D92" s="851"/>
      <c r="E92" s="990"/>
      <c r="F92" s="991"/>
      <c r="G92" s="991"/>
      <c r="H92" s="992"/>
      <c r="I92" s="993"/>
      <c r="J92" s="993"/>
      <c r="K92" s="993"/>
      <c r="L92" s="993"/>
      <c r="M92" s="993"/>
      <c r="N92" s="993"/>
      <c r="O92" s="993"/>
      <c r="P92" s="993"/>
      <c r="Q92" s="993"/>
      <c r="R92" s="993"/>
      <c r="S92" s="936"/>
      <c r="T92" s="998"/>
      <c r="U92" s="935"/>
      <c r="V92" s="935"/>
      <c r="W92" s="949" t="str">
        <f>IF(AND($S$20,NOT($U$20)),IF($V92:$V623="","",SUMIF(portfolio.!$A$4:$A623,V92,portfolio.!$AN$4:$AN623)),"")</f>
        <v/>
      </c>
      <c r="X92" s="998"/>
      <c r="Y92" s="936"/>
      <c r="Z92" s="936" t="s">
        <v>123</v>
      </c>
      <c r="AA92" s="936" t="s">
        <v>123</v>
      </c>
      <c r="AB92" s="936" t="s">
        <v>123</v>
      </c>
      <c r="AC92" s="907" t="s">
        <v>123</v>
      </c>
      <c r="AD92" s="999"/>
      <c r="AE92" s="936"/>
      <c r="AF92" s="936"/>
      <c r="AG92" s="936"/>
      <c r="AH92" s="936"/>
      <c r="AI92" s="999"/>
      <c r="AJ92" s="935"/>
      <c r="AK92" s="966"/>
      <c r="AL92" s="949"/>
      <c r="AM92" s="949" t="s">
        <v>123</v>
      </c>
      <c r="AN92" s="949"/>
      <c r="AO92" s="999"/>
      <c r="AP92" s="936"/>
      <c r="AQ92" s="987"/>
      <c r="AR92" s="907"/>
      <c r="AS92" s="907"/>
      <c r="AT92" s="967" t="s">
        <v>123</v>
      </c>
      <c r="AU92" s="967" t="s">
        <v>123</v>
      </c>
      <c r="AV92" s="967" t="s">
        <v>123</v>
      </c>
      <c r="AW92" s="907" t="s">
        <v>123</v>
      </c>
      <c r="AX92" s="907" t="s">
        <v>123</v>
      </c>
      <c r="AY92" s="907" t="s">
        <v>123</v>
      </c>
      <c r="AZ92" s="936" t="s">
        <v>123</v>
      </c>
      <c r="BA92" s="935" t="s">
        <v>123</v>
      </c>
      <c r="BB92" s="1000"/>
      <c r="BC92" s="1001"/>
      <c r="BD92" s="936"/>
      <c r="BE92" s="907"/>
      <c r="BF92" s="1002" t="str">
        <f>IF($BC92="","",SUMIF(portfolio.!$A$4:$A623,BC92,portfolio.!$AN$4:$AN623))</f>
        <v/>
      </c>
      <c r="BG92" s="936" t="s">
        <v>123</v>
      </c>
      <c r="BH92" s="907" t="s">
        <v>123</v>
      </c>
      <c r="BI92" s="935" t="s">
        <v>123</v>
      </c>
      <c r="BJ92" s="1003"/>
      <c r="BK92" s="907" t="s">
        <v>123</v>
      </c>
      <c r="BL92" s="907" t="s">
        <v>123</v>
      </c>
      <c r="BM92" s="907" t="s">
        <v>123</v>
      </c>
      <c r="BN92" s="1004" t="s">
        <v>123</v>
      </c>
      <c r="BO92" s="907" t="str">
        <f t="shared" si="6"/>
        <v/>
      </c>
      <c r="BP92" s="907" t="str">
        <f t="shared" si="7"/>
        <v/>
      </c>
      <c r="BQ92" s="907" t="str">
        <f t="shared" si="8"/>
        <v/>
      </c>
      <c r="BR92" s="1004" t="str">
        <f t="shared" si="9"/>
        <v/>
      </c>
      <c r="BS92" s="1005" t="str">
        <f t="shared" si="10"/>
        <v/>
      </c>
      <c r="BT92" s="1006" t="s">
        <v>123</v>
      </c>
      <c r="BU92" s="1002" t="s">
        <v>123</v>
      </c>
      <c r="BV92" s="1006" t="s">
        <v>123</v>
      </c>
      <c r="BW92" s="1007"/>
    </row>
    <row r="93">
      <c r="A93" s="624">
        <v>70.0</v>
      </c>
      <c r="B93" s="1008"/>
      <c r="C93" s="989"/>
      <c r="D93" s="851"/>
      <c r="E93" s="990"/>
      <c r="F93" s="991"/>
      <c r="G93" s="991"/>
      <c r="H93" s="992"/>
      <c r="I93" s="993"/>
      <c r="J93" s="993"/>
      <c r="K93" s="993"/>
      <c r="L93" s="993"/>
      <c r="M93" s="993"/>
      <c r="N93" s="993"/>
      <c r="O93" s="993"/>
      <c r="P93" s="993"/>
      <c r="Q93" s="993"/>
      <c r="R93" s="993"/>
      <c r="S93" s="936"/>
      <c r="T93" s="998"/>
      <c r="U93" s="935"/>
      <c r="V93" s="935"/>
      <c r="W93" s="949" t="str">
        <f>IF(AND($S$20,NOT($U$20)),IF($V93:$V623="","",SUMIF(portfolio.!$A$4:$A623,V93,portfolio.!$AN$4:$AN623)),"")</f>
        <v/>
      </c>
      <c r="X93" s="998"/>
      <c r="Y93" s="936"/>
      <c r="Z93" s="936" t="s">
        <v>123</v>
      </c>
      <c r="AA93" s="936" t="s">
        <v>123</v>
      </c>
      <c r="AB93" s="936" t="s">
        <v>123</v>
      </c>
      <c r="AC93" s="907" t="s">
        <v>123</v>
      </c>
      <c r="AD93" s="999"/>
      <c r="AE93" s="936"/>
      <c r="AF93" s="936"/>
      <c r="AG93" s="936"/>
      <c r="AH93" s="936"/>
      <c r="AI93" s="999"/>
      <c r="AJ93" s="935"/>
      <c r="AK93" s="966"/>
      <c r="AL93" s="949"/>
      <c r="AM93" s="949" t="s">
        <v>123</v>
      </c>
      <c r="AN93" s="949"/>
      <c r="AO93" s="999"/>
      <c r="AP93" s="936"/>
      <c r="AQ93" s="987"/>
      <c r="AR93" s="907"/>
      <c r="AS93" s="907"/>
      <c r="AT93" s="967" t="s">
        <v>123</v>
      </c>
      <c r="AU93" s="967" t="s">
        <v>123</v>
      </c>
      <c r="AV93" s="967" t="s">
        <v>123</v>
      </c>
      <c r="AW93" s="907" t="s">
        <v>123</v>
      </c>
      <c r="AX93" s="907" t="s">
        <v>123</v>
      </c>
      <c r="AY93" s="907" t="s">
        <v>123</v>
      </c>
      <c r="AZ93" s="936" t="s">
        <v>123</v>
      </c>
      <c r="BA93" s="935" t="s">
        <v>123</v>
      </c>
      <c r="BB93" s="1000"/>
      <c r="BC93" s="1001"/>
      <c r="BD93" s="936"/>
      <c r="BE93" s="907"/>
      <c r="BF93" s="1002" t="str">
        <f>IF($BC93="","",SUMIF(portfolio.!$A$4:$A623,BC93,portfolio.!$AN$4:$AN623))</f>
        <v/>
      </c>
      <c r="BG93" s="936" t="s">
        <v>123</v>
      </c>
      <c r="BH93" s="907" t="s">
        <v>123</v>
      </c>
      <c r="BI93" s="935" t="s">
        <v>123</v>
      </c>
      <c r="BJ93" s="1003"/>
      <c r="BK93" s="907" t="s">
        <v>123</v>
      </c>
      <c r="BL93" s="907" t="s">
        <v>123</v>
      </c>
      <c r="BM93" s="907" t="s">
        <v>123</v>
      </c>
      <c r="BN93" s="1004" t="s">
        <v>123</v>
      </c>
      <c r="BO93" s="907" t="str">
        <f t="shared" si="6"/>
        <v/>
      </c>
      <c r="BP93" s="907" t="str">
        <f t="shared" si="7"/>
        <v/>
      </c>
      <c r="BQ93" s="907" t="str">
        <f t="shared" si="8"/>
        <v/>
      </c>
      <c r="BR93" s="1004" t="str">
        <f t="shared" si="9"/>
        <v/>
      </c>
      <c r="BS93" s="1005" t="str">
        <f t="shared" si="10"/>
        <v/>
      </c>
      <c r="BT93" s="1006" t="s">
        <v>123</v>
      </c>
      <c r="BU93" s="1002" t="s">
        <v>123</v>
      </c>
      <c r="BV93" s="1006" t="s">
        <v>123</v>
      </c>
      <c r="BW93" s="1007"/>
    </row>
    <row r="94">
      <c r="A94" s="624">
        <v>71.0</v>
      </c>
      <c r="B94" s="1008"/>
      <c r="C94" s="989"/>
      <c r="D94" s="851"/>
      <c r="E94" s="990"/>
      <c r="F94" s="991"/>
      <c r="G94" s="991"/>
      <c r="H94" s="992"/>
      <c r="I94" s="993"/>
      <c r="J94" s="993"/>
      <c r="K94" s="993"/>
      <c r="L94" s="993"/>
      <c r="M94" s="993"/>
      <c r="N94" s="993"/>
      <c r="O94" s="993"/>
      <c r="P94" s="993"/>
      <c r="Q94" s="993"/>
      <c r="R94" s="993"/>
      <c r="S94" s="936"/>
      <c r="T94" s="998"/>
      <c r="U94" s="935"/>
      <c r="V94" s="935"/>
      <c r="W94" s="949" t="str">
        <f>IF(AND($S$20,NOT($U$20)),IF($V94:$V623="","",SUMIF(portfolio.!$A$4:$A623,V94,portfolio.!$AN$4:$AN623)),"")</f>
        <v/>
      </c>
      <c r="X94" s="998"/>
      <c r="Y94" s="936"/>
      <c r="Z94" s="936" t="s">
        <v>123</v>
      </c>
      <c r="AA94" s="936" t="s">
        <v>123</v>
      </c>
      <c r="AB94" s="936" t="s">
        <v>123</v>
      </c>
      <c r="AC94" s="907" t="s">
        <v>123</v>
      </c>
      <c r="AD94" s="999"/>
      <c r="AE94" s="936"/>
      <c r="AF94" s="936"/>
      <c r="AG94" s="936"/>
      <c r="AH94" s="936"/>
      <c r="AI94" s="999"/>
      <c r="AJ94" s="935"/>
      <c r="AK94" s="966"/>
      <c r="AL94" s="949"/>
      <c r="AM94" s="949" t="s">
        <v>123</v>
      </c>
      <c r="AN94" s="949"/>
      <c r="AO94" s="999"/>
      <c r="AP94" s="936"/>
      <c r="AQ94" s="987"/>
      <c r="AR94" s="907"/>
      <c r="AS94" s="907"/>
      <c r="AT94" s="967" t="s">
        <v>123</v>
      </c>
      <c r="AU94" s="967" t="s">
        <v>123</v>
      </c>
      <c r="AV94" s="967" t="s">
        <v>123</v>
      </c>
      <c r="AW94" s="907" t="s">
        <v>123</v>
      </c>
      <c r="AX94" s="907" t="s">
        <v>123</v>
      </c>
      <c r="AY94" s="907" t="s">
        <v>123</v>
      </c>
      <c r="AZ94" s="936" t="s">
        <v>123</v>
      </c>
      <c r="BA94" s="935" t="s">
        <v>123</v>
      </c>
      <c r="BB94" s="1000"/>
      <c r="BC94" s="1001"/>
      <c r="BD94" s="936"/>
      <c r="BE94" s="907"/>
      <c r="BF94" s="1002" t="str">
        <f>IF($BC94="","",SUMIF(portfolio.!$A$4:$A623,BC94,portfolio.!$AN$4:$AN623))</f>
        <v/>
      </c>
      <c r="BG94" s="936" t="s">
        <v>123</v>
      </c>
      <c r="BH94" s="907" t="s">
        <v>123</v>
      </c>
      <c r="BI94" s="935" t="s">
        <v>123</v>
      </c>
      <c r="BJ94" s="1003"/>
      <c r="BK94" s="907" t="s">
        <v>123</v>
      </c>
      <c r="BL94" s="907" t="s">
        <v>123</v>
      </c>
      <c r="BM94" s="907" t="s">
        <v>123</v>
      </c>
      <c r="BN94" s="1004" t="s">
        <v>123</v>
      </c>
      <c r="BO94" s="907" t="str">
        <f t="shared" si="6"/>
        <v/>
      </c>
      <c r="BP94" s="907" t="str">
        <f t="shared" si="7"/>
        <v/>
      </c>
      <c r="BQ94" s="907" t="str">
        <f t="shared" si="8"/>
        <v/>
      </c>
      <c r="BR94" s="1004" t="str">
        <f t="shared" si="9"/>
        <v/>
      </c>
      <c r="BS94" s="1005" t="str">
        <f t="shared" si="10"/>
        <v/>
      </c>
      <c r="BT94" s="1006" t="s">
        <v>123</v>
      </c>
      <c r="BU94" s="1002" t="s">
        <v>123</v>
      </c>
      <c r="BV94" s="1006" t="s">
        <v>123</v>
      </c>
      <c r="BW94" s="1007"/>
    </row>
    <row r="95">
      <c r="A95" s="624">
        <v>72.0</v>
      </c>
      <c r="B95" s="1008"/>
      <c r="C95" s="989"/>
      <c r="D95" s="851"/>
      <c r="E95" s="990"/>
      <c r="F95" s="991"/>
      <c r="G95" s="991"/>
      <c r="H95" s="992"/>
      <c r="I95" s="993"/>
      <c r="J95" s="993"/>
      <c r="K95" s="993"/>
      <c r="L95" s="993"/>
      <c r="M95" s="993"/>
      <c r="N95" s="993"/>
      <c r="O95" s="993"/>
      <c r="P95" s="993"/>
      <c r="Q95" s="993"/>
      <c r="R95" s="993"/>
      <c r="S95" s="936"/>
      <c r="T95" s="998"/>
      <c r="U95" s="935"/>
      <c r="V95" s="935"/>
      <c r="W95" s="949" t="str">
        <f>IF(AND($S$20,NOT($U$20)),IF($V95:$V623="","",SUMIF(portfolio.!$A$4:$A623,V95,portfolio.!$AN$4:$AN623)),"")</f>
        <v/>
      </c>
      <c r="X95" s="998"/>
      <c r="Y95" s="936"/>
      <c r="Z95" s="936" t="s">
        <v>123</v>
      </c>
      <c r="AA95" s="936" t="s">
        <v>123</v>
      </c>
      <c r="AB95" s="936" t="s">
        <v>123</v>
      </c>
      <c r="AC95" s="907" t="s">
        <v>123</v>
      </c>
      <c r="AD95" s="999"/>
      <c r="AE95" s="936"/>
      <c r="AF95" s="936"/>
      <c r="AG95" s="936"/>
      <c r="AH95" s="936"/>
      <c r="AI95" s="999"/>
      <c r="AJ95" s="935"/>
      <c r="AK95" s="966"/>
      <c r="AL95" s="949"/>
      <c r="AM95" s="949" t="s">
        <v>123</v>
      </c>
      <c r="AN95" s="949"/>
      <c r="AO95" s="999"/>
      <c r="AP95" s="936"/>
      <c r="AQ95" s="987"/>
      <c r="AR95" s="907"/>
      <c r="AS95" s="907"/>
      <c r="AT95" s="967" t="s">
        <v>123</v>
      </c>
      <c r="AU95" s="967" t="s">
        <v>123</v>
      </c>
      <c r="AV95" s="967" t="s">
        <v>123</v>
      </c>
      <c r="AW95" s="907" t="s">
        <v>123</v>
      </c>
      <c r="AX95" s="907" t="s">
        <v>123</v>
      </c>
      <c r="AY95" s="907" t="s">
        <v>123</v>
      </c>
      <c r="AZ95" s="936" t="s">
        <v>123</v>
      </c>
      <c r="BA95" s="935" t="s">
        <v>123</v>
      </c>
      <c r="BB95" s="1000"/>
      <c r="BC95" s="1001"/>
      <c r="BD95" s="936"/>
      <c r="BE95" s="907"/>
      <c r="BF95" s="1002" t="str">
        <f>IF($BC95="","",SUMIF(portfolio.!$A$4:$A623,BC95,portfolio.!$AN$4:$AN623))</f>
        <v/>
      </c>
      <c r="BG95" s="936" t="s">
        <v>123</v>
      </c>
      <c r="BH95" s="907" t="s">
        <v>123</v>
      </c>
      <c r="BI95" s="935" t="s">
        <v>123</v>
      </c>
      <c r="BJ95" s="1003"/>
      <c r="BK95" s="907" t="s">
        <v>123</v>
      </c>
      <c r="BL95" s="907" t="s">
        <v>123</v>
      </c>
      <c r="BM95" s="907" t="s">
        <v>123</v>
      </c>
      <c r="BN95" s="1004" t="s">
        <v>123</v>
      </c>
      <c r="BO95" s="907" t="str">
        <f t="shared" si="6"/>
        <v/>
      </c>
      <c r="BP95" s="907" t="str">
        <f t="shared" si="7"/>
        <v/>
      </c>
      <c r="BQ95" s="907" t="str">
        <f t="shared" si="8"/>
        <v/>
      </c>
      <c r="BR95" s="1004" t="str">
        <f t="shared" si="9"/>
        <v/>
      </c>
      <c r="BS95" s="1005" t="str">
        <f t="shared" si="10"/>
        <v/>
      </c>
      <c r="BT95" s="1006" t="s">
        <v>123</v>
      </c>
      <c r="BU95" s="1002" t="s">
        <v>123</v>
      </c>
      <c r="BV95" s="1006" t="s">
        <v>123</v>
      </c>
      <c r="BW95" s="1007"/>
    </row>
    <row r="96">
      <c r="A96" s="624">
        <v>73.0</v>
      </c>
      <c r="B96" s="1008"/>
      <c r="C96" s="989"/>
      <c r="D96" s="851"/>
      <c r="E96" s="990"/>
      <c r="F96" s="991"/>
      <c r="G96" s="991"/>
      <c r="H96" s="992"/>
      <c r="I96" s="993"/>
      <c r="J96" s="993"/>
      <c r="K96" s="993"/>
      <c r="L96" s="993"/>
      <c r="M96" s="993"/>
      <c r="N96" s="993"/>
      <c r="O96" s="993"/>
      <c r="P96" s="993"/>
      <c r="Q96" s="993"/>
      <c r="R96" s="993"/>
      <c r="S96" s="936"/>
      <c r="T96" s="998"/>
      <c r="U96" s="935"/>
      <c r="V96" s="935"/>
      <c r="W96" s="949" t="str">
        <f>IF(AND($S$20,NOT($U$20)),IF($V96:$V623="","",SUMIF(portfolio.!$A$4:$A623,V96,portfolio.!$AN$4:$AN623)),"")</f>
        <v/>
      </c>
      <c r="X96" s="998"/>
      <c r="Y96" s="936"/>
      <c r="Z96" s="936" t="s">
        <v>123</v>
      </c>
      <c r="AA96" s="936" t="s">
        <v>123</v>
      </c>
      <c r="AB96" s="936" t="s">
        <v>123</v>
      </c>
      <c r="AC96" s="907" t="s">
        <v>123</v>
      </c>
      <c r="AD96" s="999"/>
      <c r="AE96" s="936"/>
      <c r="AF96" s="936"/>
      <c r="AG96" s="936"/>
      <c r="AH96" s="936"/>
      <c r="AI96" s="999"/>
      <c r="AJ96" s="935"/>
      <c r="AK96" s="966"/>
      <c r="AL96" s="949"/>
      <c r="AM96" s="949" t="s">
        <v>123</v>
      </c>
      <c r="AN96" s="949"/>
      <c r="AO96" s="999"/>
      <c r="AP96" s="936"/>
      <c r="AQ96" s="987"/>
      <c r="AR96" s="907"/>
      <c r="AS96" s="907"/>
      <c r="AT96" s="967" t="s">
        <v>123</v>
      </c>
      <c r="AU96" s="967" t="s">
        <v>123</v>
      </c>
      <c r="AV96" s="967" t="s">
        <v>123</v>
      </c>
      <c r="AW96" s="907" t="s">
        <v>123</v>
      </c>
      <c r="AX96" s="907" t="s">
        <v>123</v>
      </c>
      <c r="AY96" s="907" t="s">
        <v>123</v>
      </c>
      <c r="AZ96" s="936" t="s">
        <v>123</v>
      </c>
      <c r="BA96" s="935" t="s">
        <v>123</v>
      </c>
      <c r="BB96" s="1000"/>
      <c r="BC96" s="1001"/>
      <c r="BD96" s="936"/>
      <c r="BE96" s="907"/>
      <c r="BF96" s="1002" t="str">
        <f>IF($BC96="","",SUMIF(portfolio.!$A$4:$A623,BC96,portfolio.!$AN$4:$AN623))</f>
        <v/>
      </c>
      <c r="BG96" s="936" t="s">
        <v>123</v>
      </c>
      <c r="BH96" s="907" t="s">
        <v>123</v>
      </c>
      <c r="BI96" s="935" t="s">
        <v>123</v>
      </c>
      <c r="BJ96" s="1003"/>
      <c r="BK96" s="907" t="s">
        <v>123</v>
      </c>
      <c r="BL96" s="907" t="s">
        <v>123</v>
      </c>
      <c r="BM96" s="907" t="s">
        <v>123</v>
      </c>
      <c r="BN96" s="1004" t="s">
        <v>123</v>
      </c>
      <c r="BO96" s="907" t="str">
        <f t="shared" si="6"/>
        <v/>
      </c>
      <c r="BP96" s="907" t="str">
        <f t="shared" si="7"/>
        <v/>
      </c>
      <c r="BQ96" s="907" t="str">
        <f t="shared" si="8"/>
        <v/>
      </c>
      <c r="BR96" s="1004" t="str">
        <f t="shared" si="9"/>
        <v/>
      </c>
      <c r="BS96" s="1005" t="str">
        <f t="shared" si="10"/>
        <v/>
      </c>
      <c r="BT96" s="1006" t="s">
        <v>123</v>
      </c>
      <c r="BU96" s="1002" t="s">
        <v>123</v>
      </c>
      <c r="BV96" s="1006" t="s">
        <v>123</v>
      </c>
      <c r="BW96" s="1007"/>
    </row>
    <row r="97">
      <c r="A97" s="624">
        <v>74.0</v>
      </c>
      <c r="B97" s="1008"/>
      <c r="C97" s="989"/>
      <c r="D97" s="851"/>
      <c r="E97" s="990"/>
      <c r="F97" s="991"/>
      <c r="G97" s="991"/>
      <c r="H97" s="992"/>
      <c r="I97" s="993"/>
      <c r="J97" s="993"/>
      <c r="K97" s="993"/>
      <c r="L97" s="993"/>
      <c r="M97" s="993"/>
      <c r="N97" s="993"/>
      <c r="O97" s="993"/>
      <c r="P97" s="993"/>
      <c r="Q97" s="993"/>
      <c r="R97" s="993"/>
      <c r="S97" s="936"/>
      <c r="T97" s="998"/>
      <c r="U97" s="935"/>
      <c r="V97" s="935"/>
      <c r="W97" s="949" t="str">
        <f>IF(AND($S$20,NOT($U$20)),IF($V97:$V623="","",SUMIF(portfolio.!$A$4:$A623,V97,portfolio.!$AN$4:$AN623)),"")</f>
        <v/>
      </c>
      <c r="X97" s="998"/>
      <c r="Y97" s="936"/>
      <c r="Z97" s="936" t="s">
        <v>123</v>
      </c>
      <c r="AA97" s="936" t="s">
        <v>123</v>
      </c>
      <c r="AB97" s="936" t="s">
        <v>123</v>
      </c>
      <c r="AC97" s="907" t="s">
        <v>123</v>
      </c>
      <c r="AD97" s="999"/>
      <c r="AE97" s="936"/>
      <c r="AF97" s="936"/>
      <c r="AG97" s="936"/>
      <c r="AH97" s="936"/>
      <c r="AI97" s="999"/>
      <c r="AJ97" s="935"/>
      <c r="AK97" s="966"/>
      <c r="AL97" s="949"/>
      <c r="AM97" s="949" t="s">
        <v>123</v>
      </c>
      <c r="AN97" s="949"/>
      <c r="AO97" s="999"/>
      <c r="AP97" s="936"/>
      <c r="AQ97" s="987"/>
      <c r="AR97" s="907"/>
      <c r="AS97" s="907"/>
      <c r="AT97" s="967" t="s">
        <v>123</v>
      </c>
      <c r="AU97" s="967" t="s">
        <v>123</v>
      </c>
      <c r="AV97" s="967" t="s">
        <v>123</v>
      </c>
      <c r="AW97" s="907" t="s">
        <v>123</v>
      </c>
      <c r="AX97" s="907" t="s">
        <v>123</v>
      </c>
      <c r="AY97" s="907" t="s">
        <v>123</v>
      </c>
      <c r="AZ97" s="936" t="s">
        <v>123</v>
      </c>
      <c r="BA97" s="935" t="s">
        <v>123</v>
      </c>
      <c r="BB97" s="1000"/>
      <c r="BC97" s="1001"/>
      <c r="BD97" s="936"/>
      <c r="BE97" s="907"/>
      <c r="BF97" s="1002" t="str">
        <f>IF($BC97="","",SUMIF(portfolio.!$A$4:$A623,BC97,portfolio.!$AN$4:$AN623))</f>
        <v/>
      </c>
      <c r="BG97" s="936" t="s">
        <v>123</v>
      </c>
      <c r="BH97" s="907" t="s">
        <v>123</v>
      </c>
      <c r="BI97" s="935" t="s">
        <v>123</v>
      </c>
      <c r="BJ97" s="1003"/>
      <c r="BK97" s="907" t="s">
        <v>123</v>
      </c>
      <c r="BL97" s="907" t="s">
        <v>123</v>
      </c>
      <c r="BM97" s="907" t="s">
        <v>123</v>
      </c>
      <c r="BN97" s="1004" t="s">
        <v>123</v>
      </c>
      <c r="BO97" s="907" t="str">
        <f t="shared" si="6"/>
        <v/>
      </c>
      <c r="BP97" s="907" t="str">
        <f t="shared" si="7"/>
        <v/>
      </c>
      <c r="BQ97" s="907" t="str">
        <f t="shared" si="8"/>
        <v/>
      </c>
      <c r="BR97" s="1004" t="str">
        <f t="shared" si="9"/>
        <v/>
      </c>
      <c r="BS97" s="1005" t="str">
        <f t="shared" si="10"/>
        <v/>
      </c>
      <c r="BT97" s="1006" t="s">
        <v>123</v>
      </c>
      <c r="BU97" s="1002" t="s">
        <v>123</v>
      </c>
      <c r="BV97" s="1006" t="s">
        <v>123</v>
      </c>
      <c r="BW97" s="1007"/>
    </row>
    <row r="98">
      <c r="A98" s="624">
        <v>75.0</v>
      </c>
      <c r="B98" s="1008"/>
      <c r="C98" s="989"/>
      <c r="D98" s="851"/>
      <c r="E98" s="990"/>
      <c r="F98" s="991"/>
      <c r="G98" s="991"/>
      <c r="H98" s="992"/>
      <c r="I98" s="993"/>
      <c r="J98" s="993"/>
      <c r="K98" s="993"/>
      <c r="L98" s="993"/>
      <c r="M98" s="993"/>
      <c r="N98" s="993"/>
      <c r="O98" s="993"/>
      <c r="P98" s="993"/>
      <c r="Q98" s="993"/>
      <c r="R98" s="993"/>
      <c r="S98" s="936"/>
      <c r="T98" s="998"/>
      <c r="U98" s="935"/>
      <c r="V98" s="935"/>
      <c r="W98" s="949" t="str">
        <f>IF(AND($S$20,NOT($U$20)),IF($V98:$V623="","",SUMIF(portfolio.!$A$4:$A623,V98,portfolio.!$AN$4:$AN623)),"")</f>
        <v/>
      </c>
      <c r="X98" s="998"/>
      <c r="Y98" s="936"/>
      <c r="Z98" s="936" t="s">
        <v>123</v>
      </c>
      <c r="AA98" s="936" t="s">
        <v>123</v>
      </c>
      <c r="AB98" s="936" t="s">
        <v>123</v>
      </c>
      <c r="AC98" s="907" t="s">
        <v>123</v>
      </c>
      <c r="AD98" s="999"/>
      <c r="AE98" s="936"/>
      <c r="AF98" s="936"/>
      <c r="AG98" s="936"/>
      <c r="AH98" s="936"/>
      <c r="AI98" s="999"/>
      <c r="AJ98" s="935"/>
      <c r="AK98" s="966"/>
      <c r="AL98" s="949"/>
      <c r="AM98" s="949" t="s">
        <v>123</v>
      </c>
      <c r="AN98" s="949"/>
      <c r="AO98" s="999"/>
      <c r="AP98" s="936"/>
      <c r="AQ98" s="987"/>
      <c r="AR98" s="907"/>
      <c r="AS98" s="907"/>
      <c r="AT98" s="967" t="s">
        <v>123</v>
      </c>
      <c r="AU98" s="967" t="s">
        <v>123</v>
      </c>
      <c r="AV98" s="967" t="s">
        <v>123</v>
      </c>
      <c r="AW98" s="907" t="s">
        <v>123</v>
      </c>
      <c r="AX98" s="907" t="s">
        <v>123</v>
      </c>
      <c r="AY98" s="907" t="s">
        <v>123</v>
      </c>
      <c r="AZ98" s="936" t="s">
        <v>123</v>
      </c>
      <c r="BA98" s="935" t="s">
        <v>123</v>
      </c>
      <c r="BB98" s="1000"/>
      <c r="BC98" s="1001"/>
      <c r="BD98" s="936"/>
      <c r="BE98" s="907"/>
      <c r="BF98" s="1002" t="str">
        <f>IF($BC98="","",SUMIF(portfolio.!$A$4:$A623,BC98,portfolio.!$AN$4:$AN623))</f>
        <v/>
      </c>
      <c r="BG98" s="936" t="s">
        <v>123</v>
      </c>
      <c r="BH98" s="907" t="s">
        <v>123</v>
      </c>
      <c r="BI98" s="935" t="s">
        <v>123</v>
      </c>
      <c r="BJ98" s="1003"/>
      <c r="BK98" s="907" t="s">
        <v>123</v>
      </c>
      <c r="BL98" s="907" t="s">
        <v>123</v>
      </c>
      <c r="BM98" s="907" t="s">
        <v>123</v>
      </c>
      <c r="BN98" s="1004" t="s">
        <v>123</v>
      </c>
      <c r="BO98" s="907" t="str">
        <f t="shared" si="6"/>
        <v/>
      </c>
      <c r="BP98" s="907" t="str">
        <f t="shared" si="7"/>
        <v/>
      </c>
      <c r="BQ98" s="907" t="str">
        <f t="shared" si="8"/>
        <v/>
      </c>
      <c r="BR98" s="1004" t="str">
        <f t="shared" si="9"/>
        <v/>
      </c>
      <c r="BS98" s="1005" t="str">
        <f t="shared" si="10"/>
        <v/>
      </c>
      <c r="BT98" s="1006" t="s">
        <v>123</v>
      </c>
      <c r="BU98" s="1002" t="s">
        <v>123</v>
      </c>
      <c r="BV98" s="1006" t="s">
        <v>123</v>
      </c>
      <c r="BW98" s="1007"/>
    </row>
    <row r="99">
      <c r="A99" s="624">
        <v>76.0</v>
      </c>
      <c r="B99" s="1008"/>
      <c r="C99" s="989"/>
      <c r="D99" s="851"/>
      <c r="E99" s="990"/>
      <c r="F99" s="991"/>
      <c r="G99" s="991"/>
      <c r="H99" s="992"/>
      <c r="I99" s="993"/>
      <c r="J99" s="993"/>
      <c r="K99" s="993"/>
      <c r="L99" s="993"/>
      <c r="M99" s="993"/>
      <c r="N99" s="993"/>
      <c r="O99" s="993"/>
      <c r="P99" s="993"/>
      <c r="Q99" s="993"/>
      <c r="R99" s="993"/>
      <c r="S99" s="936"/>
      <c r="T99" s="998"/>
      <c r="U99" s="935"/>
      <c r="V99" s="935"/>
      <c r="W99" s="949" t="str">
        <f>IF(AND($S$20,NOT($U$20)),IF($V99:$V623="","",SUMIF(portfolio.!$A$4:$A623,V99,portfolio.!$AN$4:$AN623)),"")</f>
        <v/>
      </c>
      <c r="X99" s="998"/>
      <c r="Y99" s="936"/>
      <c r="Z99" s="936" t="s">
        <v>123</v>
      </c>
      <c r="AA99" s="936" t="s">
        <v>123</v>
      </c>
      <c r="AB99" s="936" t="s">
        <v>123</v>
      </c>
      <c r="AC99" s="907" t="s">
        <v>123</v>
      </c>
      <c r="AD99" s="999"/>
      <c r="AE99" s="936"/>
      <c r="AF99" s="936"/>
      <c r="AG99" s="936"/>
      <c r="AH99" s="936"/>
      <c r="AI99" s="999"/>
      <c r="AJ99" s="935"/>
      <c r="AK99" s="966"/>
      <c r="AL99" s="949"/>
      <c r="AM99" s="949" t="s">
        <v>123</v>
      </c>
      <c r="AN99" s="949"/>
      <c r="AO99" s="999"/>
      <c r="AP99" s="936"/>
      <c r="AQ99" s="987"/>
      <c r="AR99" s="907"/>
      <c r="AS99" s="907"/>
      <c r="AT99" s="967" t="s">
        <v>123</v>
      </c>
      <c r="AU99" s="967" t="s">
        <v>123</v>
      </c>
      <c r="AV99" s="967" t="s">
        <v>123</v>
      </c>
      <c r="AW99" s="907" t="s">
        <v>123</v>
      </c>
      <c r="AX99" s="907" t="s">
        <v>123</v>
      </c>
      <c r="AY99" s="907" t="s">
        <v>123</v>
      </c>
      <c r="AZ99" s="936" t="s">
        <v>123</v>
      </c>
      <c r="BA99" s="935" t="s">
        <v>123</v>
      </c>
      <c r="BB99" s="1000"/>
      <c r="BC99" s="1001"/>
      <c r="BD99" s="936"/>
      <c r="BE99" s="907"/>
      <c r="BF99" s="1002" t="str">
        <f>IF($BC99="","",SUMIF(portfolio.!$A$4:$A623,BC99,portfolio.!$AN$4:$AN623))</f>
        <v/>
      </c>
      <c r="BG99" s="936" t="s">
        <v>123</v>
      </c>
      <c r="BH99" s="907" t="s">
        <v>123</v>
      </c>
      <c r="BI99" s="935" t="s">
        <v>123</v>
      </c>
      <c r="BJ99" s="1003"/>
      <c r="BK99" s="907" t="s">
        <v>123</v>
      </c>
      <c r="BL99" s="907" t="s">
        <v>123</v>
      </c>
      <c r="BM99" s="907" t="s">
        <v>123</v>
      </c>
      <c r="BN99" s="1004" t="s">
        <v>123</v>
      </c>
      <c r="BO99" s="907" t="str">
        <f t="shared" si="6"/>
        <v/>
      </c>
      <c r="BP99" s="907" t="str">
        <f t="shared" si="7"/>
        <v/>
      </c>
      <c r="BQ99" s="907" t="str">
        <f t="shared" si="8"/>
        <v/>
      </c>
      <c r="BR99" s="1004" t="str">
        <f t="shared" si="9"/>
        <v/>
      </c>
      <c r="BS99" s="1005" t="str">
        <f t="shared" si="10"/>
        <v/>
      </c>
      <c r="BT99" s="1006" t="s">
        <v>123</v>
      </c>
      <c r="BU99" s="1002" t="s">
        <v>123</v>
      </c>
      <c r="BV99" s="1006" t="s">
        <v>123</v>
      </c>
      <c r="BW99" s="1007"/>
    </row>
    <row r="100">
      <c r="A100" s="624">
        <v>77.0</v>
      </c>
      <c r="B100" s="1008"/>
      <c r="C100" s="989"/>
      <c r="D100" s="851"/>
      <c r="E100" s="990"/>
      <c r="F100" s="991"/>
      <c r="G100" s="991"/>
      <c r="H100" s="992"/>
      <c r="I100" s="993"/>
      <c r="J100" s="993"/>
      <c r="K100" s="993"/>
      <c r="L100" s="993"/>
      <c r="M100" s="993"/>
      <c r="N100" s="993"/>
      <c r="O100" s="993"/>
      <c r="P100" s="993"/>
      <c r="Q100" s="993"/>
      <c r="R100" s="993"/>
      <c r="S100" s="936"/>
      <c r="T100" s="998"/>
      <c r="U100" s="935"/>
      <c r="V100" s="935"/>
      <c r="W100" s="949" t="str">
        <f>IF(AND($S$20,NOT($U$20)),IF($V100:$V623="","",SUMIF(portfolio.!$A$4:$A623,V100,portfolio.!$AN$4:$AN623)),"")</f>
        <v/>
      </c>
      <c r="X100" s="998"/>
      <c r="Y100" s="936"/>
      <c r="Z100" s="936" t="s">
        <v>123</v>
      </c>
      <c r="AA100" s="936" t="s">
        <v>123</v>
      </c>
      <c r="AB100" s="936" t="s">
        <v>123</v>
      </c>
      <c r="AC100" s="907" t="s">
        <v>123</v>
      </c>
      <c r="AD100" s="999"/>
      <c r="AE100" s="936"/>
      <c r="AF100" s="936"/>
      <c r="AG100" s="936"/>
      <c r="AH100" s="936"/>
      <c r="AI100" s="999"/>
      <c r="AJ100" s="935"/>
      <c r="AK100" s="966"/>
      <c r="AL100" s="949"/>
      <c r="AM100" s="949" t="s">
        <v>123</v>
      </c>
      <c r="AN100" s="949"/>
      <c r="AO100" s="999"/>
      <c r="AP100" s="936"/>
      <c r="AQ100" s="987"/>
      <c r="AR100" s="907"/>
      <c r="AS100" s="907"/>
      <c r="AT100" s="967" t="s">
        <v>123</v>
      </c>
      <c r="AU100" s="967" t="s">
        <v>123</v>
      </c>
      <c r="AV100" s="967" t="s">
        <v>123</v>
      </c>
      <c r="AW100" s="907" t="s">
        <v>123</v>
      </c>
      <c r="AX100" s="907" t="s">
        <v>123</v>
      </c>
      <c r="AY100" s="907" t="s">
        <v>123</v>
      </c>
      <c r="AZ100" s="936" t="s">
        <v>123</v>
      </c>
      <c r="BA100" s="935" t="s">
        <v>123</v>
      </c>
      <c r="BB100" s="1000"/>
      <c r="BC100" s="1001"/>
      <c r="BD100" s="936"/>
      <c r="BE100" s="907"/>
      <c r="BF100" s="1002" t="str">
        <f>IF($BC100="","",SUMIF(portfolio.!$A$4:$A623,BC100,portfolio.!$AN$4:$AN623))</f>
        <v/>
      </c>
      <c r="BG100" s="936" t="s">
        <v>123</v>
      </c>
      <c r="BH100" s="907" t="s">
        <v>123</v>
      </c>
      <c r="BI100" s="935" t="s">
        <v>123</v>
      </c>
      <c r="BJ100" s="1003"/>
      <c r="BK100" s="907" t="s">
        <v>123</v>
      </c>
      <c r="BL100" s="907" t="s">
        <v>123</v>
      </c>
      <c r="BM100" s="907" t="s">
        <v>123</v>
      </c>
      <c r="BN100" s="1004" t="s">
        <v>123</v>
      </c>
      <c r="BO100" s="907" t="str">
        <f t="shared" si="6"/>
        <v/>
      </c>
      <c r="BP100" s="907" t="str">
        <f t="shared" si="7"/>
        <v/>
      </c>
      <c r="BQ100" s="907" t="str">
        <f t="shared" si="8"/>
        <v/>
      </c>
      <c r="BR100" s="1004" t="str">
        <f t="shared" si="9"/>
        <v/>
      </c>
      <c r="BS100" s="1005" t="str">
        <f t="shared" si="10"/>
        <v/>
      </c>
      <c r="BT100" s="1006" t="s">
        <v>123</v>
      </c>
      <c r="BU100" s="1002" t="s">
        <v>123</v>
      </c>
      <c r="BV100" s="1006" t="s">
        <v>123</v>
      </c>
      <c r="BW100" s="1007"/>
    </row>
    <row r="101">
      <c r="A101" s="624">
        <v>78.0</v>
      </c>
      <c r="B101" s="1008"/>
      <c r="C101" s="989"/>
      <c r="D101" s="851"/>
      <c r="E101" s="990"/>
      <c r="F101" s="991"/>
      <c r="G101" s="991"/>
      <c r="H101" s="992"/>
      <c r="I101" s="993"/>
      <c r="J101" s="993"/>
      <c r="K101" s="993"/>
      <c r="L101" s="993"/>
      <c r="M101" s="993"/>
      <c r="N101" s="993"/>
      <c r="O101" s="993"/>
      <c r="P101" s="993"/>
      <c r="Q101" s="993"/>
      <c r="R101" s="993"/>
      <c r="S101" s="936"/>
      <c r="T101" s="998"/>
      <c r="U101" s="935"/>
      <c r="V101" s="935"/>
      <c r="W101" s="949" t="str">
        <f>IF(AND($S$20,NOT($U$20)),IF($V101:$V623="","",SUMIF(portfolio.!$A$4:$A623,V101,portfolio.!$AN$4:$AN623)),"")</f>
        <v/>
      </c>
      <c r="X101" s="998"/>
      <c r="Y101" s="936"/>
      <c r="Z101" s="936" t="s">
        <v>123</v>
      </c>
      <c r="AA101" s="936" t="s">
        <v>123</v>
      </c>
      <c r="AB101" s="936" t="s">
        <v>123</v>
      </c>
      <c r="AC101" s="907" t="s">
        <v>123</v>
      </c>
      <c r="AD101" s="999"/>
      <c r="AE101" s="936"/>
      <c r="AF101" s="936"/>
      <c r="AG101" s="936"/>
      <c r="AH101" s="936"/>
      <c r="AI101" s="999"/>
      <c r="AJ101" s="935"/>
      <c r="AK101" s="966"/>
      <c r="AL101" s="949"/>
      <c r="AM101" s="949" t="s">
        <v>123</v>
      </c>
      <c r="AN101" s="949"/>
      <c r="AO101" s="999"/>
      <c r="AP101" s="936"/>
      <c r="AQ101" s="987"/>
      <c r="AR101" s="907"/>
      <c r="AS101" s="907"/>
      <c r="AT101" s="967" t="s">
        <v>123</v>
      </c>
      <c r="AU101" s="967" t="s">
        <v>123</v>
      </c>
      <c r="AV101" s="967" t="s">
        <v>123</v>
      </c>
      <c r="AW101" s="907" t="s">
        <v>123</v>
      </c>
      <c r="AX101" s="907" t="s">
        <v>123</v>
      </c>
      <c r="AY101" s="907" t="s">
        <v>123</v>
      </c>
      <c r="AZ101" s="936" t="s">
        <v>123</v>
      </c>
      <c r="BA101" s="935" t="s">
        <v>123</v>
      </c>
      <c r="BB101" s="1000"/>
      <c r="BC101" s="1001"/>
      <c r="BD101" s="936"/>
      <c r="BE101" s="907"/>
      <c r="BF101" s="1002" t="str">
        <f>IF($BC101="","",SUMIF(portfolio.!$A$4:$A623,BC101,portfolio.!$AN$4:$AN623))</f>
        <v/>
      </c>
      <c r="BG101" s="936" t="s">
        <v>123</v>
      </c>
      <c r="BH101" s="907" t="s">
        <v>123</v>
      </c>
      <c r="BI101" s="935" t="s">
        <v>123</v>
      </c>
      <c r="BJ101" s="1003"/>
      <c r="BK101" s="907" t="s">
        <v>123</v>
      </c>
      <c r="BL101" s="907" t="s">
        <v>123</v>
      </c>
      <c r="BM101" s="907" t="s">
        <v>123</v>
      </c>
      <c r="BN101" s="1004" t="s">
        <v>123</v>
      </c>
      <c r="BO101" s="907" t="str">
        <f t="shared" si="6"/>
        <v/>
      </c>
      <c r="BP101" s="907" t="str">
        <f t="shared" si="7"/>
        <v/>
      </c>
      <c r="BQ101" s="907" t="str">
        <f t="shared" si="8"/>
        <v/>
      </c>
      <c r="BR101" s="1004" t="str">
        <f t="shared" si="9"/>
        <v/>
      </c>
      <c r="BS101" s="1005" t="str">
        <f t="shared" si="10"/>
        <v/>
      </c>
      <c r="BT101" s="1006" t="s">
        <v>123</v>
      </c>
      <c r="BU101" s="1002" t="s">
        <v>123</v>
      </c>
      <c r="BV101" s="1006" t="s">
        <v>123</v>
      </c>
      <c r="BW101" s="1007"/>
    </row>
    <row r="102">
      <c r="A102" s="624">
        <v>79.0</v>
      </c>
      <c r="B102" s="1008"/>
      <c r="C102" s="989"/>
      <c r="D102" s="851"/>
      <c r="E102" s="990"/>
      <c r="F102" s="991"/>
      <c r="G102" s="991"/>
      <c r="H102" s="992"/>
      <c r="I102" s="993"/>
      <c r="J102" s="993"/>
      <c r="K102" s="993"/>
      <c r="L102" s="993"/>
      <c r="M102" s="993"/>
      <c r="N102" s="993"/>
      <c r="O102" s="993"/>
      <c r="P102" s="993"/>
      <c r="Q102" s="993"/>
      <c r="R102" s="993"/>
      <c r="S102" s="936"/>
      <c r="T102" s="998"/>
      <c r="U102" s="935"/>
      <c r="V102" s="935"/>
      <c r="W102" s="949" t="str">
        <f>IF(AND($S$20,NOT($U$20)),IF($V102:$V623="","",SUMIF(portfolio.!$A$4:$A623,V102,portfolio.!$AN$4:$AN623)),"")</f>
        <v/>
      </c>
      <c r="X102" s="998"/>
      <c r="Y102" s="936"/>
      <c r="Z102" s="936" t="s">
        <v>123</v>
      </c>
      <c r="AA102" s="936" t="s">
        <v>123</v>
      </c>
      <c r="AB102" s="936" t="s">
        <v>123</v>
      </c>
      <c r="AC102" s="907" t="s">
        <v>123</v>
      </c>
      <c r="AD102" s="999"/>
      <c r="AE102" s="936"/>
      <c r="AF102" s="936"/>
      <c r="AG102" s="936"/>
      <c r="AH102" s="936"/>
      <c r="AI102" s="999"/>
      <c r="AJ102" s="935"/>
      <c r="AK102" s="966"/>
      <c r="AL102" s="949"/>
      <c r="AM102" s="949" t="s">
        <v>123</v>
      </c>
      <c r="AN102" s="949"/>
      <c r="AO102" s="999"/>
      <c r="AP102" s="936"/>
      <c r="AQ102" s="987"/>
      <c r="AR102" s="907"/>
      <c r="AS102" s="907"/>
      <c r="AT102" s="967" t="s">
        <v>123</v>
      </c>
      <c r="AU102" s="967" t="s">
        <v>123</v>
      </c>
      <c r="AV102" s="967" t="s">
        <v>123</v>
      </c>
      <c r="AW102" s="907" t="s">
        <v>123</v>
      </c>
      <c r="AX102" s="907" t="s">
        <v>123</v>
      </c>
      <c r="AY102" s="907" t="s">
        <v>123</v>
      </c>
      <c r="AZ102" s="936" t="s">
        <v>123</v>
      </c>
      <c r="BA102" s="935" t="s">
        <v>123</v>
      </c>
      <c r="BB102" s="1000"/>
      <c r="BC102" s="1001"/>
      <c r="BD102" s="936"/>
      <c r="BE102" s="907"/>
      <c r="BF102" s="1002" t="str">
        <f>IF($BC102="","",SUMIF(portfolio.!$A$4:$A623,BC102,portfolio.!$AN$4:$AN623))</f>
        <v/>
      </c>
      <c r="BG102" s="936" t="s">
        <v>123</v>
      </c>
      <c r="BH102" s="907" t="s">
        <v>123</v>
      </c>
      <c r="BI102" s="935" t="s">
        <v>123</v>
      </c>
      <c r="BJ102" s="1003"/>
      <c r="BK102" s="907" t="s">
        <v>123</v>
      </c>
      <c r="BL102" s="907" t="s">
        <v>123</v>
      </c>
      <c r="BM102" s="907" t="s">
        <v>123</v>
      </c>
      <c r="BN102" s="1004" t="s">
        <v>123</v>
      </c>
      <c r="BO102" s="907" t="str">
        <f t="shared" si="6"/>
        <v/>
      </c>
      <c r="BP102" s="907" t="str">
        <f t="shared" si="7"/>
        <v/>
      </c>
      <c r="BQ102" s="907" t="str">
        <f t="shared" si="8"/>
        <v/>
      </c>
      <c r="BR102" s="1004" t="str">
        <f t="shared" si="9"/>
        <v/>
      </c>
      <c r="BS102" s="1005" t="str">
        <f t="shared" si="10"/>
        <v/>
      </c>
      <c r="BT102" s="1006" t="s">
        <v>123</v>
      </c>
      <c r="BU102" s="1002" t="s">
        <v>123</v>
      </c>
      <c r="BV102" s="1006" t="s">
        <v>123</v>
      </c>
      <c r="BW102" s="1007"/>
    </row>
    <row r="103">
      <c r="A103" s="624">
        <v>80.0</v>
      </c>
      <c r="B103" s="1008"/>
      <c r="C103" s="989"/>
      <c r="D103" s="851"/>
      <c r="E103" s="990"/>
      <c r="F103" s="991"/>
      <c r="G103" s="991"/>
      <c r="H103" s="992"/>
      <c r="I103" s="993"/>
      <c r="J103" s="993"/>
      <c r="K103" s="993"/>
      <c r="L103" s="993"/>
      <c r="M103" s="993"/>
      <c r="N103" s="993"/>
      <c r="O103" s="993"/>
      <c r="P103" s="993"/>
      <c r="Q103" s="993"/>
      <c r="R103" s="993"/>
      <c r="S103" s="936"/>
      <c r="T103" s="998"/>
      <c r="U103" s="935"/>
      <c r="V103" s="935"/>
      <c r="W103" s="949" t="str">
        <f>IF(AND($S$20,NOT($U$20)),IF($V103:$V623="","",SUMIF(portfolio.!$A$4:$A623,V103,portfolio.!$AN$4:$AN623)),"")</f>
        <v/>
      </c>
      <c r="X103" s="998"/>
      <c r="Y103" s="936"/>
      <c r="Z103" s="936" t="s">
        <v>123</v>
      </c>
      <c r="AA103" s="936" t="s">
        <v>123</v>
      </c>
      <c r="AB103" s="936" t="s">
        <v>123</v>
      </c>
      <c r="AC103" s="907" t="s">
        <v>123</v>
      </c>
      <c r="AD103" s="999"/>
      <c r="AE103" s="936"/>
      <c r="AF103" s="936"/>
      <c r="AG103" s="936"/>
      <c r="AH103" s="936"/>
      <c r="AI103" s="999"/>
      <c r="AJ103" s="935"/>
      <c r="AK103" s="966"/>
      <c r="AL103" s="949"/>
      <c r="AM103" s="949" t="s">
        <v>123</v>
      </c>
      <c r="AN103" s="949"/>
      <c r="AO103" s="999"/>
      <c r="AP103" s="936"/>
      <c r="AQ103" s="987"/>
      <c r="AR103" s="907"/>
      <c r="AS103" s="907"/>
      <c r="AT103" s="967" t="s">
        <v>123</v>
      </c>
      <c r="AU103" s="967" t="s">
        <v>123</v>
      </c>
      <c r="AV103" s="967" t="s">
        <v>123</v>
      </c>
      <c r="AW103" s="907" t="s">
        <v>123</v>
      </c>
      <c r="AX103" s="907" t="s">
        <v>123</v>
      </c>
      <c r="AY103" s="907" t="s">
        <v>123</v>
      </c>
      <c r="AZ103" s="936" t="s">
        <v>123</v>
      </c>
      <c r="BA103" s="935" t="s">
        <v>123</v>
      </c>
      <c r="BB103" s="1000"/>
      <c r="BC103" s="1001"/>
      <c r="BD103" s="936"/>
      <c r="BE103" s="907"/>
      <c r="BF103" s="1002" t="str">
        <f>IF($BC103="","",SUMIF(portfolio.!$A$4:$A623,BC103,portfolio.!$AN$4:$AN623))</f>
        <v/>
      </c>
      <c r="BG103" s="936" t="s">
        <v>123</v>
      </c>
      <c r="BH103" s="907" t="s">
        <v>123</v>
      </c>
      <c r="BI103" s="935" t="s">
        <v>123</v>
      </c>
      <c r="BJ103" s="1003"/>
      <c r="BK103" s="907" t="s">
        <v>123</v>
      </c>
      <c r="BL103" s="907" t="s">
        <v>123</v>
      </c>
      <c r="BM103" s="907" t="s">
        <v>123</v>
      </c>
      <c r="BN103" s="1004" t="s">
        <v>123</v>
      </c>
      <c r="BO103" s="907" t="str">
        <f t="shared" si="6"/>
        <v/>
      </c>
      <c r="BP103" s="907" t="str">
        <f t="shared" si="7"/>
        <v/>
      </c>
      <c r="BQ103" s="907" t="str">
        <f t="shared" si="8"/>
        <v/>
      </c>
      <c r="BR103" s="1004" t="str">
        <f t="shared" si="9"/>
        <v/>
      </c>
      <c r="BS103" s="1005" t="str">
        <f t="shared" si="10"/>
        <v/>
      </c>
      <c r="BT103" s="1006" t="s">
        <v>123</v>
      </c>
      <c r="BU103" s="1002" t="s">
        <v>123</v>
      </c>
      <c r="BV103" s="1006" t="s">
        <v>123</v>
      </c>
      <c r="BW103" s="1007"/>
    </row>
    <row r="104">
      <c r="A104" s="624">
        <v>81.0</v>
      </c>
      <c r="B104" s="1008"/>
      <c r="C104" s="989"/>
      <c r="D104" s="851"/>
      <c r="E104" s="990"/>
      <c r="F104" s="991"/>
      <c r="G104" s="991"/>
      <c r="H104" s="992"/>
      <c r="I104" s="993"/>
      <c r="J104" s="993"/>
      <c r="K104" s="993"/>
      <c r="L104" s="993"/>
      <c r="M104" s="993"/>
      <c r="N104" s="993"/>
      <c r="O104" s="993"/>
      <c r="P104" s="993"/>
      <c r="Q104" s="993"/>
      <c r="R104" s="993"/>
      <c r="S104" s="936"/>
      <c r="T104" s="998"/>
      <c r="U104" s="935"/>
      <c r="V104" s="935"/>
      <c r="W104" s="949" t="str">
        <f>IF(AND($S$20,NOT($U$20)),IF($V104:$V623="","",SUMIF(portfolio.!$A$4:$A623,V104,portfolio.!$AN$4:$AN623)),"")</f>
        <v/>
      </c>
      <c r="X104" s="998"/>
      <c r="Y104" s="936"/>
      <c r="Z104" s="936" t="s">
        <v>123</v>
      </c>
      <c r="AA104" s="936" t="s">
        <v>123</v>
      </c>
      <c r="AB104" s="936" t="s">
        <v>123</v>
      </c>
      <c r="AC104" s="907" t="s">
        <v>123</v>
      </c>
      <c r="AD104" s="999"/>
      <c r="AE104" s="936"/>
      <c r="AF104" s="936"/>
      <c r="AG104" s="936"/>
      <c r="AH104" s="936"/>
      <c r="AI104" s="999"/>
      <c r="AJ104" s="935"/>
      <c r="AK104" s="966"/>
      <c r="AL104" s="949"/>
      <c r="AM104" s="949" t="s">
        <v>123</v>
      </c>
      <c r="AN104" s="949"/>
      <c r="AO104" s="999"/>
      <c r="AP104" s="936"/>
      <c r="AQ104" s="987"/>
      <c r="AR104" s="907"/>
      <c r="AS104" s="907"/>
      <c r="AT104" s="967" t="s">
        <v>123</v>
      </c>
      <c r="AU104" s="967" t="s">
        <v>123</v>
      </c>
      <c r="AV104" s="967" t="s">
        <v>123</v>
      </c>
      <c r="AW104" s="907" t="s">
        <v>123</v>
      </c>
      <c r="AX104" s="907" t="s">
        <v>123</v>
      </c>
      <c r="AY104" s="907" t="s">
        <v>123</v>
      </c>
      <c r="AZ104" s="936" t="s">
        <v>123</v>
      </c>
      <c r="BA104" s="935" t="s">
        <v>123</v>
      </c>
      <c r="BB104" s="1000"/>
      <c r="BC104" s="1001"/>
      <c r="BD104" s="936"/>
      <c r="BE104" s="907"/>
      <c r="BF104" s="1002" t="str">
        <f>IF($BC104="","",SUMIF(portfolio.!$A$4:$A623,BC104,portfolio.!$AN$4:$AN623))</f>
        <v/>
      </c>
      <c r="BG104" s="936" t="s">
        <v>123</v>
      </c>
      <c r="BH104" s="907" t="s">
        <v>123</v>
      </c>
      <c r="BI104" s="935" t="s">
        <v>123</v>
      </c>
      <c r="BJ104" s="1003"/>
      <c r="BK104" s="907" t="s">
        <v>123</v>
      </c>
      <c r="BL104" s="907" t="s">
        <v>123</v>
      </c>
      <c r="BM104" s="907" t="s">
        <v>123</v>
      </c>
      <c r="BN104" s="1004" t="s">
        <v>123</v>
      </c>
      <c r="BO104" s="907" t="str">
        <f t="shared" si="6"/>
        <v/>
      </c>
      <c r="BP104" s="907" t="str">
        <f t="shared" si="7"/>
        <v/>
      </c>
      <c r="BQ104" s="907" t="str">
        <f t="shared" si="8"/>
        <v/>
      </c>
      <c r="BR104" s="1004" t="str">
        <f t="shared" si="9"/>
        <v/>
      </c>
      <c r="BS104" s="1005" t="str">
        <f t="shared" si="10"/>
        <v/>
      </c>
      <c r="BT104" s="1006" t="s">
        <v>123</v>
      </c>
      <c r="BU104" s="1002" t="s">
        <v>123</v>
      </c>
      <c r="BV104" s="1006" t="s">
        <v>123</v>
      </c>
      <c r="BW104" s="1007"/>
    </row>
    <row r="105">
      <c r="A105" s="624">
        <v>82.0</v>
      </c>
      <c r="B105" s="1008"/>
      <c r="C105" s="989"/>
      <c r="D105" s="851"/>
      <c r="E105" s="990"/>
      <c r="F105" s="991"/>
      <c r="G105" s="991"/>
      <c r="H105" s="992"/>
      <c r="I105" s="993"/>
      <c r="J105" s="993"/>
      <c r="K105" s="993"/>
      <c r="L105" s="993"/>
      <c r="M105" s="993"/>
      <c r="N105" s="993"/>
      <c r="O105" s="993"/>
      <c r="P105" s="993"/>
      <c r="Q105" s="993"/>
      <c r="R105" s="993"/>
      <c r="S105" s="936"/>
      <c r="T105" s="998"/>
      <c r="U105" s="935"/>
      <c r="V105" s="935"/>
      <c r="W105" s="949" t="str">
        <f>IF(AND($S$20,NOT($U$20)),IF($V105:$V623="","",SUMIF(portfolio.!$A$4:$A623,V105,portfolio.!$AN$4:$AN623)),"")</f>
        <v/>
      </c>
      <c r="X105" s="998"/>
      <c r="Y105" s="936"/>
      <c r="Z105" s="936" t="s">
        <v>123</v>
      </c>
      <c r="AA105" s="936" t="s">
        <v>123</v>
      </c>
      <c r="AB105" s="936" t="s">
        <v>123</v>
      </c>
      <c r="AC105" s="907" t="s">
        <v>123</v>
      </c>
      <c r="AD105" s="999"/>
      <c r="AE105" s="936"/>
      <c r="AF105" s="936"/>
      <c r="AG105" s="936"/>
      <c r="AH105" s="936"/>
      <c r="AI105" s="999"/>
      <c r="AJ105" s="935"/>
      <c r="AK105" s="966"/>
      <c r="AL105" s="949"/>
      <c r="AM105" s="949" t="s">
        <v>123</v>
      </c>
      <c r="AN105" s="949"/>
      <c r="AO105" s="999"/>
      <c r="AP105" s="936"/>
      <c r="AQ105" s="987"/>
      <c r="AR105" s="907"/>
      <c r="AS105" s="907"/>
      <c r="AT105" s="967" t="s">
        <v>123</v>
      </c>
      <c r="AU105" s="967" t="s">
        <v>123</v>
      </c>
      <c r="AV105" s="967" t="s">
        <v>123</v>
      </c>
      <c r="AW105" s="907" t="s">
        <v>123</v>
      </c>
      <c r="AX105" s="907" t="s">
        <v>123</v>
      </c>
      <c r="AY105" s="907" t="s">
        <v>123</v>
      </c>
      <c r="AZ105" s="936" t="s">
        <v>123</v>
      </c>
      <c r="BA105" s="935" t="s">
        <v>123</v>
      </c>
      <c r="BB105" s="1000"/>
      <c r="BC105" s="1001"/>
      <c r="BD105" s="936"/>
      <c r="BE105" s="907"/>
      <c r="BF105" s="1002" t="str">
        <f>IF($BC105="","",SUMIF(portfolio.!$A$4:$A623,BC105,portfolio.!$AN$4:$AN623))</f>
        <v/>
      </c>
      <c r="BG105" s="936" t="s">
        <v>123</v>
      </c>
      <c r="BH105" s="907" t="s">
        <v>123</v>
      </c>
      <c r="BI105" s="935" t="s">
        <v>123</v>
      </c>
      <c r="BJ105" s="1003"/>
      <c r="BK105" s="907" t="s">
        <v>123</v>
      </c>
      <c r="BL105" s="907" t="s">
        <v>123</v>
      </c>
      <c r="BM105" s="907" t="s">
        <v>123</v>
      </c>
      <c r="BN105" s="1004" t="s">
        <v>123</v>
      </c>
      <c r="BO105" s="907" t="str">
        <f t="shared" si="6"/>
        <v/>
      </c>
      <c r="BP105" s="907" t="str">
        <f t="shared" si="7"/>
        <v/>
      </c>
      <c r="BQ105" s="907" t="str">
        <f t="shared" si="8"/>
        <v/>
      </c>
      <c r="BR105" s="1004" t="str">
        <f t="shared" si="9"/>
        <v/>
      </c>
      <c r="BS105" s="1005" t="str">
        <f t="shared" si="10"/>
        <v/>
      </c>
      <c r="BT105" s="1006" t="s">
        <v>123</v>
      </c>
      <c r="BU105" s="1002" t="s">
        <v>123</v>
      </c>
      <c r="BV105" s="1006" t="s">
        <v>123</v>
      </c>
      <c r="BW105" s="1007"/>
    </row>
    <row r="106">
      <c r="A106" s="624">
        <v>83.0</v>
      </c>
      <c r="B106" s="1008"/>
      <c r="C106" s="989"/>
      <c r="D106" s="851"/>
      <c r="E106" s="990"/>
      <c r="F106" s="991"/>
      <c r="G106" s="991"/>
      <c r="H106" s="992"/>
      <c r="I106" s="993"/>
      <c r="J106" s="993"/>
      <c r="K106" s="993"/>
      <c r="L106" s="993"/>
      <c r="M106" s="993"/>
      <c r="N106" s="993"/>
      <c r="O106" s="993"/>
      <c r="P106" s="993"/>
      <c r="Q106" s="993"/>
      <c r="R106" s="993"/>
      <c r="S106" s="936"/>
      <c r="T106" s="998"/>
      <c r="U106" s="935"/>
      <c r="V106" s="935"/>
      <c r="W106" s="949" t="str">
        <f>IF(AND($S$20,NOT($U$20)),IF($V106:$V623="","",SUMIF(portfolio.!$A$4:$A623,V106,portfolio.!$AN$4:$AN623)),"")</f>
        <v/>
      </c>
      <c r="X106" s="998"/>
      <c r="Y106" s="936"/>
      <c r="Z106" s="936" t="s">
        <v>123</v>
      </c>
      <c r="AA106" s="936" t="s">
        <v>123</v>
      </c>
      <c r="AB106" s="936" t="s">
        <v>123</v>
      </c>
      <c r="AC106" s="907" t="s">
        <v>123</v>
      </c>
      <c r="AD106" s="999"/>
      <c r="AE106" s="936"/>
      <c r="AF106" s="936"/>
      <c r="AG106" s="936"/>
      <c r="AH106" s="936"/>
      <c r="AI106" s="999"/>
      <c r="AJ106" s="935"/>
      <c r="AK106" s="966"/>
      <c r="AL106" s="949"/>
      <c r="AM106" s="949" t="s">
        <v>123</v>
      </c>
      <c r="AN106" s="949"/>
      <c r="AO106" s="999"/>
      <c r="AP106" s="936"/>
      <c r="AQ106" s="987"/>
      <c r="AR106" s="907"/>
      <c r="AS106" s="907"/>
      <c r="AT106" s="967" t="s">
        <v>123</v>
      </c>
      <c r="AU106" s="967" t="s">
        <v>123</v>
      </c>
      <c r="AV106" s="967" t="s">
        <v>123</v>
      </c>
      <c r="AW106" s="907" t="s">
        <v>123</v>
      </c>
      <c r="AX106" s="907" t="s">
        <v>123</v>
      </c>
      <c r="AY106" s="907" t="s">
        <v>123</v>
      </c>
      <c r="AZ106" s="936" t="s">
        <v>123</v>
      </c>
      <c r="BA106" s="935" t="s">
        <v>123</v>
      </c>
      <c r="BB106" s="1000"/>
      <c r="BC106" s="1001"/>
      <c r="BD106" s="936"/>
      <c r="BE106" s="907"/>
      <c r="BF106" s="1002" t="str">
        <f>IF($BC106="","",SUMIF(portfolio.!$A$4:$A623,BC106,portfolio.!$AN$4:$AN623))</f>
        <v/>
      </c>
      <c r="BG106" s="936" t="s">
        <v>123</v>
      </c>
      <c r="BH106" s="907" t="s">
        <v>123</v>
      </c>
      <c r="BI106" s="935" t="s">
        <v>123</v>
      </c>
      <c r="BJ106" s="1003"/>
      <c r="BK106" s="907" t="s">
        <v>123</v>
      </c>
      <c r="BL106" s="907" t="s">
        <v>123</v>
      </c>
      <c r="BM106" s="907" t="s">
        <v>123</v>
      </c>
      <c r="BN106" s="1004" t="s">
        <v>123</v>
      </c>
      <c r="BO106" s="907" t="str">
        <f t="shared" si="6"/>
        <v/>
      </c>
      <c r="BP106" s="907" t="str">
        <f t="shared" si="7"/>
        <v/>
      </c>
      <c r="BQ106" s="907" t="str">
        <f t="shared" si="8"/>
        <v/>
      </c>
      <c r="BR106" s="1004" t="str">
        <f t="shared" si="9"/>
        <v/>
      </c>
      <c r="BS106" s="1005" t="str">
        <f t="shared" si="10"/>
        <v/>
      </c>
      <c r="BT106" s="1006" t="s">
        <v>123</v>
      </c>
      <c r="BU106" s="1002" t="s">
        <v>123</v>
      </c>
      <c r="BV106" s="1006" t="s">
        <v>123</v>
      </c>
      <c r="BW106" s="1007"/>
    </row>
    <row r="107">
      <c r="A107" s="624">
        <v>84.0</v>
      </c>
      <c r="B107" s="1008"/>
      <c r="C107" s="989"/>
      <c r="D107" s="851"/>
      <c r="E107" s="990"/>
      <c r="F107" s="991"/>
      <c r="G107" s="991"/>
      <c r="H107" s="992"/>
      <c r="I107" s="993"/>
      <c r="J107" s="993"/>
      <c r="K107" s="993"/>
      <c r="L107" s="993"/>
      <c r="M107" s="993"/>
      <c r="N107" s="993"/>
      <c r="O107" s="993"/>
      <c r="P107" s="993"/>
      <c r="Q107" s="993"/>
      <c r="R107" s="993"/>
      <c r="S107" s="936"/>
      <c r="T107" s="998"/>
      <c r="U107" s="935"/>
      <c r="V107" s="935"/>
      <c r="W107" s="949" t="str">
        <f>IF(AND($S$20,NOT($U$20)),IF($V107:$V623="","",SUMIF(portfolio.!$A$4:$A623,V107,portfolio.!$AN$4:$AN623)),"")</f>
        <v/>
      </c>
      <c r="X107" s="998"/>
      <c r="Y107" s="936"/>
      <c r="Z107" s="936" t="s">
        <v>123</v>
      </c>
      <c r="AA107" s="936" t="s">
        <v>123</v>
      </c>
      <c r="AB107" s="936" t="s">
        <v>123</v>
      </c>
      <c r="AC107" s="907" t="s">
        <v>123</v>
      </c>
      <c r="AD107" s="999"/>
      <c r="AE107" s="936"/>
      <c r="AF107" s="936"/>
      <c r="AG107" s="936"/>
      <c r="AH107" s="936"/>
      <c r="AI107" s="999"/>
      <c r="AJ107" s="935"/>
      <c r="AK107" s="966"/>
      <c r="AL107" s="949"/>
      <c r="AM107" s="949" t="s">
        <v>123</v>
      </c>
      <c r="AN107" s="949"/>
      <c r="AO107" s="999"/>
      <c r="AP107" s="936"/>
      <c r="AQ107" s="987"/>
      <c r="AR107" s="907"/>
      <c r="AS107" s="907"/>
      <c r="AT107" s="967" t="s">
        <v>123</v>
      </c>
      <c r="AU107" s="967" t="s">
        <v>123</v>
      </c>
      <c r="AV107" s="967" t="s">
        <v>123</v>
      </c>
      <c r="AW107" s="907" t="s">
        <v>123</v>
      </c>
      <c r="AX107" s="907" t="s">
        <v>123</v>
      </c>
      <c r="AY107" s="907" t="s">
        <v>123</v>
      </c>
      <c r="AZ107" s="936" t="s">
        <v>123</v>
      </c>
      <c r="BA107" s="935" t="s">
        <v>123</v>
      </c>
      <c r="BB107" s="1000"/>
      <c r="BC107" s="1001"/>
      <c r="BD107" s="936"/>
      <c r="BE107" s="907"/>
      <c r="BF107" s="1002" t="str">
        <f>IF($BC107="","",SUMIF(portfolio.!$A$4:$A623,BC107,portfolio.!$AN$4:$AN623))</f>
        <v/>
      </c>
      <c r="BG107" s="936" t="s">
        <v>123</v>
      </c>
      <c r="BH107" s="907" t="s">
        <v>123</v>
      </c>
      <c r="BI107" s="935" t="s">
        <v>123</v>
      </c>
      <c r="BJ107" s="1003"/>
      <c r="BK107" s="907" t="s">
        <v>123</v>
      </c>
      <c r="BL107" s="907" t="s">
        <v>123</v>
      </c>
      <c r="BM107" s="907" t="s">
        <v>123</v>
      </c>
      <c r="BN107" s="1004" t="s">
        <v>123</v>
      </c>
      <c r="BO107" s="907" t="str">
        <f t="shared" si="6"/>
        <v/>
      </c>
      <c r="BP107" s="907" t="str">
        <f t="shared" si="7"/>
        <v/>
      </c>
      <c r="BQ107" s="907" t="str">
        <f t="shared" si="8"/>
        <v/>
      </c>
      <c r="BR107" s="1004" t="str">
        <f t="shared" si="9"/>
        <v/>
      </c>
      <c r="BS107" s="1005" t="str">
        <f t="shared" si="10"/>
        <v/>
      </c>
      <c r="BT107" s="1006" t="s">
        <v>123</v>
      </c>
      <c r="BU107" s="1002" t="s">
        <v>123</v>
      </c>
      <c r="BV107" s="1006" t="s">
        <v>123</v>
      </c>
      <c r="BW107" s="1007"/>
    </row>
    <row r="108">
      <c r="A108" s="624">
        <v>85.0</v>
      </c>
      <c r="B108" s="1008"/>
      <c r="C108" s="989"/>
      <c r="D108" s="851"/>
      <c r="E108" s="990"/>
      <c r="F108" s="991"/>
      <c r="G108" s="991"/>
      <c r="H108" s="992"/>
      <c r="I108" s="993"/>
      <c r="J108" s="993"/>
      <c r="K108" s="993"/>
      <c r="L108" s="993"/>
      <c r="M108" s="993"/>
      <c r="N108" s="993"/>
      <c r="O108" s="993"/>
      <c r="P108" s="993"/>
      <c r="Q108" s="993"/>
      <c r="R108" s="993"/>
      <c r="S108" s="936"/>
      <c r="T108" s="998"/>
      <c r="U108" s="935"/>
      <c r="V108" s="935"/>
      <c r="W108" s="949" t="str">
        <f>IF(AND($S$20,NOT($U$20)),IF($V108:$V623="","",SUMIF(portfolio.!$A$4:$A623,V108,portfolio.!$AN$4:$AN623)),"")</f>
        <v/>
      </c>
      <c r="X108" s="998"/>
      <c r="Y108" s="936"/>
      <c r="Z108" s="936" t="s">
        <v>123</v>
      </c>
      <c r="AA108" s="936" t="s">
        <v>123</v>
      </c>
      <c r="AB108" s="936" t="s">
        <v>123</v>
      </c>
      <c r="AC108" s="907" t="s">
        <v>123</v>
      </c>
      <c r="AD108" s="999"/>
      <c r="AE108" s="936"/>
      <c r="AF108" s="936"/>
      <c r="AG108" s="936"/>
      <c r="AH108" s="936"/>
      <c r="AI108" s="999"/>
      <c r="AJ108" s="935"/>
      <c r="AK108" s="966"/>
      <c r="AL108" s="949"/>
      <c r="AM108" s="949" t="s">
        <v>123</v>
      </c>
      <c r="AN108" s="949"/>
      <c r="AO108" s="999"/>
      <c r="AP108" s="936"/>
      <c r="AQ108" s="987"/>
      <c r="AR108" s="907"/>
      <c r="AS108" s="907"/>
      <c r="AT108" s="967" t="s">
        <v>123</v>
      </c>
      <c r="AU108" s="967" t="s">
        <v>123</v>
      </c>
      <c r="AV108" s="967" t="s">
        <v>123</v>
      </c>
      <c r="AW108" s="907" t="s">
        <v>123</v>
      </c>
      <c r="AX108" s="907" t="s">
        <v>123</v>
      </c>
      <c r="AY108" s="907" t="s">
        <v>123</v>
      </c>
      <c r="AZ108" s="936" t="s">
        <v>123</v>
      </c>
      <c r="BA108" s="935" t="s">
        <v>123</v>
      </c>
      <c r="BB108" s="1000"/>
      <c r="BC108" s="1001"/>
      <c r="BD108" s="936"/>
      <c r="BE108" s="907"/>
      <c r="BF108" s="1002" t="str">
        <f>IF($BC108="","",SUMIF(portfolio.!$A$4:$A623,BC108,portfolio.!$AN$4:$AN623))</f>
        <v/>
      </c>
      <c r="BG108" s="936" t="s">
        <v>123</v>
      </c>
      <c r="BH108" s="907" t="s">
        <v>123</v>
      </c>
      <c r="BI108" s="935" t="s">
        <v>123</v>
      </c>
      <c r="BJ108" s="1003"/>
      <c r="BK108" s="907" t="s">
        <v>123</v>
      </c>
      <c r="BL108" s="907" t="s">
        <v>123</v>
      </c>
      <c r="BM108" s="907" t="s">
        <v>123</v>
      </c>
      <c r="BN108" s="1004" t="s">
        <v>123</v>
      </c>
      <c r="BO108" s="907" t="str">
        <f t="shared" si="6"/>
        <v/>
      </c>
      <c r="BP108" s="907" t="str">
        <f t="shared" si="7"/>
        <v/>
      </c>
      <c r="BQ108" s="907" t="str">
        <f t="shared" si="8"/>
        <v/>
      </c>
      <c r="BR108" s="1004" t="str">
        <f t="shared" si="9"/>
        <v/>
      </c>
      <c r="BS108" s="1005" t="str">
        <f t="shared" si="10"/>
        <v/>
      </c>
      <c r="BT108" s="1006" t="s">
        <v>123</v>
      </c>
      <c r="BU108" s="1002" t="s">
        <v>123</v>
      </c>
      <c r="BV108" s="1006" t="s">
        <v>123</v>
      </c>
      <c r="BW108" s="1007"/>
    </row>
    <row r="109">
      <c r="A109" s="624">
        <v>86.0</v>
      </c>
      <c r="B109" s="1008"/>
      <c r="C109" s="989"/>
      <c r="D109" s="851"/>
      <c r="E109" s="990"/>
      <c r="F109" s="991"/>
      <c r="G109" s="991"/>
      <c r="H109" s="992"/>
      <c r="I109" s="993"/>
      <c r="J109" s="993"/>
      <c r="K109" s="993"/>
      <c r="L109" s="993"/>
      <c r="M109" s="993"/>
      <c r="N109" s="993"/>
      <c r="O109" s="993"/>
      <c r="P109" s="993"/>
      <c r="Q109" s="993"/>
      <c r="R109" s="993"/>
      <c r="S109" s="936"/>
      <c r="T109" s="998"/>
      <c r="U109" s="935"/>
      <c r="V109" s="935"/>
      <c r="W109" s="949" t="str">
        <f>IF(AND($S$20,NOT($U$20)),IF($V109:$V623="","",SUMIF(portfolio.!$A$4:$A623,V109,portfolio.!$AN$4:$AN623)),"")</f>
        <v/>
      </c>
      <c r="X109" s="998"/>
      <c r="Y109" s="936"/>
      <c r="Z109" s="936" t="s">
        <v>123</v>
      </c>
      <c r="AA109" s="936" t="s">
        <v>123</v>
      </c>
      <c r="AB109" s="936" t="s">
        <v>123</v>
      </c>
      <c r="AC109" s="907" t="s">
        <v>123</v>
      </c>
      <c r="AD109" s="999"/>
      <c r="AE109" s="936"/>
      <c r="AF109" s="936"/>
      <c r="AG109" s="936"/>
      <c r="AH109" s="936"/>
      <c r="AI109" s="999"/>
      <c r="AJ109" s="935"/>
      <c r="AK109" s="966"/>
      <c r="AL109" s="949"/>
      <c r="AM109" s="949" t="s">
        <v>123</v>
      </c>
      <c r="AN109" s="949"/>
      <c r="AO109" s="999"/>
      <c r="AP109" s="936"/>
      <c r="AQ109" s="987"/>
      <c r="AR109" s="907"/>
      <c r="AS109" s="907"/>
      <c r="AT109" s="967" t="s">
        <v>123</v>
      </c>
      <c r="AU109" s="967" t="s">
        <v>123</v>
      </c>
      <c r="AV109" s="967" t="s">
        <v>123</v>
      </c>
      <c r="AW109" s="907" t="s">
        <v>123</v>
      </c>
      <c r="AX109" s="907" t="s">
        <v>123</v>
      </c>
      <c r="AY109" s="907" t="s">
        <v>123</v>
      </c>
      <c r="AZ109" s="936" t="s">
        <v>123</v>
      </c>
      <c r="BA109" s="935" t="s">
        <v>123</v>
      </c>
      <c r="BB109" s="1000"/>
      <c r="BC109" s="1001"/>
      <c r="BD109" s="936"/>
      <c r="BE109" s="907"/>
      <c r="BF109" s="1002" t="str">
        <f>IF($BC109="","",SUMIF(portfolio.!$A$4:$A623,BC109,portfolio.!$AN$4:$AN623))</f>
        <v/>
      </c>
      <c r="BG109" s="936" t="s">
        <v>123</v>
      </c>
      <c r="BH109" s="907" t="s">
        <v>123</v>
      </c>
      <c r="BI109" s="935" t="s">
        <v>123</v>
      </c>
      <c r="BJ109" s="1003"/>
      <c r="BK109" s="907" t="s">
        <v>123</v>
      </c>
      <c r="BL109" s="907" t="s">
        <v>123</v>
      </c>
      <c r="BM109" s="907" t="s">
        <v>123</v>
      </c>
      <c r="BN109" s="1004" t="s">
        <v>123</v>
      </c>
      <c r="BO109" s="907" t="str">
        <f t="shared" si="6"/>
        <v/>
      </c>
      <c r="BP109" s="907" t="str">
        <f t="shared" si="7"/>
        <v/>
      </c>
      <c r="BQ109" s="907" t="str">
        <f t="shared" si="8"/>
        <v/>
      </c>
      <c r="BR109" s="1004" t="str">
        <f t="shared" si="9"/>
        <v/>
      </c>
      <c r="BS109" s="1005" t="str">
        <f t="shared" si="10"/>
        <v/>
      </c>
      <c r="BT109" s="1006" t="s">
        <v>123</v>
      </c>
      <c r="BU109" s="1002" t="s">
        <v>123</v>
      </c>
      <c r="BV109" s="1006" t="s">
        <v>123</v>
      </c>
      <c r="BW109" s="1007"/>
    </row>
    <row r="110">
      <c r="A110" s="624">
        <v>87.0</v>
      </c>
      <c r="B110" s="1008"/>
      <c r="C110" s="989"/>
      <c r="D110" s="851"/>
      <c r="E110" s="990"/>
      <c r="F110" s="991"/>
      <c r="G110" s="991"/>
      <c r="H110" s="992"/>
      <c r="I110" s="993"/>
      <c r="J110" s="993"/>
      <c r="K110" s="993"/>
      <c r="L110" s="993"/>
      <c r="M110" s="993"/>
      <c r="N110" s="993"/>
      <c r="O110" s="993"/>
      <c r="P110" s="993"/>
      <c r="Q110" s="993"/>
      <c r="R110" s="993"/>
      <c r="S110" s="936"/>
      <c r="T110" s="998"/>
      <c r="U110" s="935"/>
      <c r="V110" s="935"/>
      <c r="W110" s="949" t="str">
        <f>IF(AND($S$20,NOT($U$20)),IF($V110:$V623="","",SUMIF(portfolio.!$A$4:$A623,V110,portfolio.!$AN$4:$AN623)),"")</f>
        <v/>
      </c>
      <c r="X110" s="998"/>
      <c r="Y110" s="936"/>
      <c r="Z110" s="936" t="s">
        <v>123</v>
      </c>
      <c r="AA110" s="936" t="s">
        <v>123</v>
      </c>
      <c r="AB110" s="936" t="s">
        <v>123</v>
      </c>
      <c r="AC110" s="907" t="s">
        <v>123</v>
      </c>
      <c r="AD110" s="999"/>
      <c r="AE110" s="936"/>
      <c r="AF110" s="936"/>
      <c r="AG110" s="936"/>
      <c r="AH110" s="936"/>
      <c r="AI110" s="999"/>
      <c r="AJ110" s="935"/>
      <c r="AK110" s="966"/>
      <c r="AL110" s="949"/>
      <c r="AM110" s="949" t="s">
        <v>123</v>
      </c>
      <c r="AN110" s="949"/>
      <c r="AO110" s="999"/>
      <c r="AP110" s="936"/>
      <c r="AQ110" s="987"/>
      <c r="AR110" s="907"/>
      <c r="AS110" s="907"/>
      <c r="AT110" s="967" t="s">
        <v>123</v>
      </c>
      <c r="AU110" s="967" t="s">
        <v>123</v>
      </c>
      <c r="AV110" s="967" t="s">
        <v>123</v>
      </c>
      <c r="AW110" s="907" t="s">
        <v>123</v>
      </c>
      <c r="AX110" s="907" t="s">
        <v>123</v>
      </c>
      <c r="AY110" s="907" t="s">
        <v>123</v>
      </c>
      <c r="AZ110" s="936" t="s">
        <v>123</v>
      </c>
      <c r="BA110" s="935" t="s">
        <v>123</v>
      </c>
      <c r="BB110" s="1000"/>
      <c r="BC110" s="1001"/>
      <c r="BD110" s="936"/>
      <c r="BE110" s="907"/>
      <c r="BF110" s="1002" t="str">
        <f>IF($BC110="","",SUMIF(portfolio.!$A$4:$A623,BC110,portfolio.!$AN$4:$AN623))</f>
        <v/>
      </c>
      <c r="BG110" s="936" t="s">
        <v>123</v>
      </c>
      <c r="BH110" s="907" t="s">
        <v>123</v>
      </c>
      <c r="BI110" s="935" t="s">
        <v>123</v>
      </c>
      <c r="BJ110" s="1003"/>
      <c r="BK110" s="907" t="s">
        <v>123</v>
      </c>
      <c r="BL110" s="907" t="s">
        <v>123</v>
      </c>
      <c r="BM110" s="907" t="s">
        <v>123</v>
      </c>
      <c r="BN110" s="1004" t="s">
        <v>123</v>
      </c>
      <c r="BO110" s="907" t="str">
        <f t="shared" si="6"/>
        <v/>
      </c>
      <c r="BP110" s="907" t="str">
        <f t="shared" si="7"/>
        <v/>
      </c>
      <c r="BQ110" s="907" t="str">
        <f t="shared" si="8"/>
        <v/>
      </c>
      <c r="BR110" s="1004" t="str">
        <f t="shared" si="9"/>
        <v/>
      </c>
      <c r="BS110" s="1005" t="str">
        <f t="shared" si="10"/>
        <v/>
      </c>
      <c r="BT110" s="1006" t="s">
        <v>123</v>
      </c>
      <c r="BU110" s="1002" t="s">
        <v>123</v>
      </c>
      <c r="BV110" s="1006" t="s">
        <v>123</v>
      </c>
      <c r="BW110" s="1007"/>
    </row>
    <row r="111">
      <c r="A111" s="624">
        <v>88.0</v>
      </c>
      <c r="B111" s="1008"/>
      <c r="C111" s="989"/>
      <c r="D111" s="851"/>
      <c r="E111" s="990"/>
      <c r="F111" s="991"/>
      <c r="G111" s="991"/>
      <c r="H111" s="992"/>
      <c r="I111" s="993"/>
      <c r="J111" s="993"/>
      <c r="K111" s="993"/>
      <c r="L111" s="993"/>
      <c r="M111" s="993"/>
      <c r="N111" s="993"/>
      <c r="O111" s="993"/>
      <c r="P111" s="993"/>
      <c r="Q111" s="993"/>
      <c r="R111" s="993"/>
      <c r="S111" s="936"/>
      <c r="T111" s="998"/>
      <c r="U111" s="935"/>
      <c r="V111" s="935"/>
      <c r="W111" s="949" t="str">
        <f>IF(AND($S$20,NOT($U$20)),IF($V111:$V623="","",SUMIF(portfolio.!$A$4:$A623,V111,portfolio.!$AN$4:$AN623)),"")</f>
        <v/>
      </c>
      <c r="X111" s="998"/>
      <c r="Y111" s="936"/>
      <c r="Z111" s="936" t="s">
        <v>123</v>
      </c>
      <c r="AA111" s="936" t="s">
        <v>123</v>
      </c>
      <c r="AB111" s="936" t="s">
        <v>123</v>
      </c>
      <c r="AC111" s="907" t="s">
        <v>123</v>
      </c>
      <c r="AD111" s="999"/>
      <c r="AE111" s="936"/>
      <c r="AF111" s="936"/>
      <c r="AG111" s="936"/>
      <c r="AH111" s="936"/>
      <c r="AI111" s="999"/>
      <c r="AJ111" s="935"/>
      <c r="AK111" s="966"/>
      <c r="AL111" s="949"/>
      <c r="AM111" s="949" t="s">
        <v>123</v>
      </c>
      <c r="AN111" s="949"/>
      <c r="AO111" s="999"/>
      <c r="AP111" s="936"/>
      <c r="AQ111" s="987"/>
      <c r="AR111" s="907"/>
      <c r="AS111" s="907"/>
      <c r="AT111" s="967" t="s">
        <v>123</v>
      </c>
      <c r="AU111" s="967" t="s">
        <v>123</v>
      </c>
      <c r="AV111" s="967" t="s">
        <v>123</v>
      </c>
      <c r="AW111" s="907" t="s">
        <v>123</v>
      </c>
      <c r="AX111" s="907" t="s">
        <v>123</v>
      </c>
      <c r="AY111" s="907" t="s">
        <v>123</v>
      </c>
      <c r="AZ111" s="936" t="s">
        <v>123</v>
      </c>
      <c r="BA111" s="935" t="s">
        <v>123</v>
      </c>
      <c r="BB111" s="1000"/>
      <c r="BC111" s="1001"/>
      <c r="BD111" s="936"/>
      <c r="BE111" s="907"/>
      <c r="BF111" s="1002" t="str">
        <f>IF($BC111="","",SUMIF(portfolio.!$A$4:$A623,BC111,portfolio.!$AN$4:$AN623))</f>
        <v/>
      </c>
      <c r="BG111" s="936" t="s">
        <v>123</v>
      </c>
      <c r="BH111" s="907" t="s">
        <v>123</v>
      </c>
      <c r="BI111" s="935" t="s">
        <v>123</v>
      </c>
      <c r="BJ111" s="1003"/>
      <c r="BK111" s="907" t="s">
        <v>123</v>
      </c>
      <c r="BL111" s="907" t="s">
        <v>123</v>
      </c>
      <c r="BM111" s="907" t="s">
        <v>123</v>
      </c>
      <c r="BN111" s="1004" t="s">
        <v>123</v>
      </c>
      <c r="BO111" s="907" t="str">
        <f t="shared" si="6"/>
        <v/>
      </c>
      <c r="BP111" s="907" t="str">
        <f t="shared" si="7"/>
        <v/>
      </c>
      <c r="BQ111" s="907" t="str">
        <f t="shared" si="8"/>
        <v/>
      </c>
      <c r="BR111" s="1004" t="str">
        <f t="shared" si="9"/>
        <v/>
      </c>
      <c r="BS111" s="1005" t="str">
        <f t="shared" si="10"/>
        <v/>
      </c>
      <c r="BT111" s="1006" t="s">
        <v>123</v>
      </c>
      <c r="BU111" s="1002" t="s">
        <v>123</v>
      </c>
      <c r="BV111" s="1006" t="s">
        <v>123</v>
      </c>
      <c r="BW111" s="1007"/>
    </row>
    <row r="112">
      <c r="A112" s="624">
        <v>89.0</v>
      </c>
      <c r="B112" s="1008"/>
      <c r="C112" s="989"/>
      <c r="D112" s="851"/>
      <c r="E112" s="990"/>
      <c r="F112" s="991"/>
      <c r="G112" s="991"/>
      <c r="H112" s="992"/>
      <c r="I112" s="993"/>
      <c r="J112" s="993"/>
      <c r="K112" s="993"/>
      <c r="L112" s="993"/>
      <c r="M112" s="993"/>
      <c r="N112" s="993"/>
      <c r="O112" s="993"/>
      <c r="P112" s="993"/>
      <c r="Q112" s="993"/>
      <c r="R112" s="993"/>
      <c r="S112" s="936"/>
      <c r="T112" s="998"/>
      <c r="U112" s="935"/>
      <c r="V112" s="935"/>
      <c r="W112" s="949" t="str">
        <f>IF(AND($S$20,NOT($U$20)),IF($V112:$V623="","",SUMIF(portfolio.!$A$4:$A623,V112,portfolio.!$AN$4:$AN623)),"")</f>
        <v/>
      </c>
      <c r="X112" s="998"/>
      <c r="Y112" s="936"/>
      <c r="Z112" s="936" t="s">
        <v>123</v>
      </c>
      <c r="AA112" s="936" t="s">
        <v>123</v>
      </c>
      <c r="AB112" s="936" t="s">
        <v>123</v>
      </c>
      <c r="AC112" s="907" t="s">
        <v>123</v>
      </c>
      <c r="AD112" s="999"/>
      <c r="AE112" s="936"/>
      <c r="AF112" s="936"/>
      <c r="AG112" s="936"/>
      <c r="AH112" s="936"/>
      <c r="AI112" s="999"/>
      <c r="AJ112" s="935"/>
      <c r="AK112" s="966"/>
      <c r="AL112" s="949"/>
      <c r="AM112" s="949" t="s">
        <v>123</v>
      </c>
      <c r="AN112" s="949"/>
      <c r="AO112" s="999"/>
      <c r="AP112" s="936"/>
      <c r="AQ112" s="987"/>
      <c r="AR112" s="907"/>
      <c r="AS112" s="907"/>
      <c r="AT112" s="967" t="s">
        <v>123</v>
      </c>
      <c r="AU112" s="967" t="s">
        <v>123</v>
      </c>
      <c r="AV112" s="967" t="s">
        <v>123</v>
      </c>
      <c r="AW112" s="907" t="s">
        <v>123</v>
      </c>
      <c r="AX112" s="907" t="s">
        <v>123</v>
      </c>
      <c r="AY112" s="907" t="s">
        <v>123</v>
      </c>
      <c r="AZ112" s="936" t="s">
        <v>123</v>
      </c>
      <c r="BA112" s="935" t="s">
        <v>123</v>
      </c>
      <c r="BB112" s="1000"/>
      <c r="BC112" s="1001"/>
      <c r="BD112" s="936"/>
      <c r="BE112" s="907"/>
      <c r="BF112" s="1002" t="str">
        <f>IF($BC112="","",SUMIF(portfolio.!$A$4:$A623,BC112,portfolio.!$AN$4:$AN623))</f>
        <v/>
      </c>
      <c r="BG112" s="936" t="s">
        <v>123</v>
      </c>
      <c r="BH112" s="907" t="s">
        <v>123</v>
      </c>
      <c r="BI112" s="935" t="s">
        <v>123</v>
      </c>
      <c r="BJ112" s="1003"/>
      <c r="BK112" s="907" t="s">
        <v>123</v>
      </c>
      <c r="BL112" s="907" t="s">
        <v>123</v>
      </c>
      <c r="BM112" s="907" t="s">
        <v>123</v>
      </c>
      <c r="BN112" s="1004" t="s">
        <v>123</v>
      </c>
      <c r="BO112" s="907" t="str">
        <f t="shared" si="6"/>
        <v/>
      </c>
      <c r="BP112" s="907" t="str">
        <f t="shared" si="7"/>
        <v/>
      </c>
      <c r="BQ112" s="907" t="str">
        <f t="shared" si="8"/>
        <v/>
      </c>
      <c r="BR112" s="1004" t="str">
        <f t="shared" si="9"/>
        <v/>
      </c>
      <c r="BS112" s="1005" t="str">
        <f t="shared" si="10"/>
        <v/>
      </c>
      <c r="BT112" s="1006" t="s">
        <v>123</v>
      </c>
      <c r="BU112" s="1002" t="s">
        <v>123</v>
      </c>
      <c r="BV112" s="1006" t="s">
        <v>123</v>
      </c>
      <c r="BW112" s="1007"/>
    </row>
    <row r="113">
      <c r="A113" s="624">
        <v>90.0</v>
      </c>
      <c r="B113" s="1008"/>
      <c r="C113" s="989"/>
      <c r="D113" s="851"/>
      <c r="E113" s="990"/>
      <c r="F113" s="991"/>
      <c r="G113" s="991"/>
      <c r="H113" s="992"/>
      <c r="I113" s="993"/>
      <c r="J113" s="993"/>
      <c r="K113" s="993"/>
      <c r="L113" s="993"/>
      <c r="M113" s="993"/>
      <c r="N113" s="993"/>
      <c r="O113" s="993"/>
      <c r="P113" s="993"/>
      <c r="Q113" s="993"/>
      <c r="R113" s="993"/>
      <c r="S113" s="936"/>
      <c r="T113" s="998"/>
      <c r="U113" s="935"/>
      <c r="V113" s="935"/>
      <c r="W113" s="949" t="str">
        <f>IF(AND($S$20,NOT($U$20)),IF($V113:$V623="","",SUMIF(portfolio.!$A$4:$A623,V113,portfolio.!$AN$4:$AN623)),"")</f>
        <v/>
      </c>
      <c r="X113" s="998"/>
      <c r="Y113" s="936"/>
      <c r="Z113" s="936" t="s">
        <v>123</v>
      </c>
      <c r="AA113" s="936" t="s">
        <v>123</v>
      </c>
      <c r="AB113" s="936" t="s">
        <v>123</v>
      </c>
      <c r="AC113" s="907" t="s">
        <v>123</v>
      </c>
      <c r="AD113" s="999"/>
      <c r="AE113" s="936"/>
      <c r="AF113" s="936"/>
      <c r="AG113" s="936"/>
      <c r="AH113" s="936"/>
      <c r="AI113" s="999"/>
      <c r="AJ113" s="935"/>
      <c r="AK113" s="966"/>
      <c r="AL113" s="949"/>
      <c r="AM113" s="949" t="s">
        <v>123</v>
      </c>
      <c r="AN113" s="949"/>
      <c r="AO113" s="999"/>
      <c r="AP113" s="936"/>
      <c r="AQ113" s="987"/>
      <c r="AR113" s="907"/>
      <c r="AS113" s="907"/>
      <c r="AT113" s="967" t="s">
        <v>123</v>
      </c>
      <c r="AU113" s="967" t="s">
        <v>123</v>
      </c>
      <c r="AV113" s="967" t="s">
        <v>123</v>
      </c>
      <c r="AW113" s="907" t="s">
        <v>123</v>
      </c>
      <c r="AX113" s="907" t="s">
        <v>123</v>
      </c>
      <c r="AY113" s="907" t="s">
        <v>123</v>
      </c>
      <c r="AZ113" s="936" t="s">
        <v>123</v>
      </c>
      <c r="BA113" s="935" t="s">
        <v>123</v>
      </c>
      <c r="BB113" s="1000"/>
      <c r="BC113" s="1001"/>
      <c r="BD113" s="936"/>
      <c r="BE113" s="907"/>
      <c r="BF113" s="1002" t="str">
        <f>IF($BC113="","",SUMIF(portfolio.!$A$4:$A623,BC113,portfolio.!$AN$4:$AN623))</f>
        <v/>
      </c>
      <c r="BG113" s="936" t="s">
        <v>123</v>
      </c>
      <c r="BH113" s="907" t="s">
        <v>123</v>
      </c>
      <c r="BI113" s="935" t="s">
        <v>123</v>
      </c>
      <c r="BJ113" s="1003"/>
      <c r="BK113" s="907" t="s">
        <v>123</v>
      </c>
      <c r="BL113" s="907" t="s">
        <v>123</v>
      </c>
      <c r="BM113" s="907" t="s">
        <v>123</v>
      </c>
      <c r="BN113" s="1004" t="s">
        <v>123</v>
      </c>
      <c r="BO113" s="907" t="str">
        <f t="shared" si="6"/>
        <v/>
      </c>
      <c r="BP113" s="907" t="str">
        <f t="shared" si="7"/>
        <v/>
      </c>
      <c r="BQ113" s="907" t="str">
        <f t="shared" si="8"/>
        <v/>
      </c>
      <c r="BR113" s="1004" t="str">
        <f t="shared" si="9"/>
        <v/>
      </c>
      <c r="BS113" s="1005" t="str">
        <f t="shared" si="10"/>
        <v/>
      </c>
      <c r="BT113" s="1006" t="s">
        <v>123</v>
      </c>
      <c r="BU113" s="1002" t="s">
        <v>123</v>
      </c>
      <c r="BV113" s="1006" t="s">
        <v>123</v>
      </c>
      <c r="BW113" s="1007"/>
    </row>
    <row r="114">
      <c r="A114" s="624">
        <v>91.0</v>
      </c>
      <c r="B114" s="1008"/>
      <c r="C114" s="989"/>
      <c r="D114" s="851"/>
      <c r="E114" s="990"/>
      <c r="F114" s="991"/>
      <c r="G114" s="991"/>
      <c r="H114" s="992"/>
      <c r="I114" s="993"/>
      <c r="J114" s="993"/>
      <c r="K114" s="993"/>
      <c r="L114" s="993"/>
      <c r="M114" s="993"/>
      <c r="N114" s="993"/>
      <c r="O114" s="993"/>
      <c r="P114" s="993"/>
      <c r="Q114" s="993"/>
      <c r="R114" s="993"/>
      <c r="S114" s="936"/>
      <c r="T114" s="998"/>
      <c r="U114" s="935"/>
      <c r="V114" s="935"/>
      <c r="W114" s="949" t="str">
        <f>IF(AND($S$20,NOT($U$20)),IF($V114:$V623="","",SUMIF(portfolio.!$A$4:$A623,V114,portfolio.!$AN$4:$AN623)),"")</f>
        <v/>
      </c>
      <c r="X114" s="998"/>
      <c r="Y114" s="936"/>
      <c r="Z114" s="936" t="s">
        <v>123</v>
      </c>
      <c r="AA114" s="936" t="s">
        <v>123</v>
      </c>
      <c r="AB114" s="936" t="s">
        <v>123</v>
      </c>
      <c r="AC114" s="907" t="s">
        <v>123</v>
      </c>
      <c r="AD114" s="999"/>
      <c r="AE114" s="936"/>
      <c r="AF114" s="936"/>
      <c r="AG114" s="936"/>
      <c r="AH114" s="936"/>
      <c r="AI114" s="999"/>
      <c r="AJ114" s="935"/>
      <c r="AK114" s="966"/>
      <c r="AL114" s="949"/>
      <c r="AM114" s="949" t="s">
        <v>123</v>
      </c>
      <c r="AN114" s="949"/>
      <c r="AO114" s="999"/>
      <c r="AP114" s="936"/>
      <c r="AQ114" s="987"/>
      <c r="AR114" s="907"/>
      <c r="AS114" s="907"/>
      <c r="AT114" s="967" t="s">
        <v>123</v>
      </c>
      <c r="AU114" s="967" t="s">
        <v>123</v>
      </c>
      <c r="AV114" s="967" t="s">
        <v>123</v>
      </c>
      <c r="AW114" s="907" t="s">
        <v>123</v>
      </c>
      <c r="AX114" s="907" t="s">
        <v>123</v>
      </c>
      <c r="AY114" s="907" t="s">
        <v>123</v>
      </c>
      <c r="AZ114" s="936" t="s">
        <v>123</v>
      </c>
      <c r="BA114" s="935" t="s">
        <v>123</v>
      </c>
      <c r="BB114" s="1000"/>
      <c r="BC114" s="1001"/>
      <c r="BD114" s="936"/>
      <c r="BE114" s="907"/>
      <c r="BF114" s="1002" t="str">
        <f>IF($BC114="","",SUMIF(portfolio.!$A$4:$A623,BC114,portfolio.!$AN$4:$AN623))</f>
        <v/>
      </c>
      <c r="BG114" s="936" t="s">
        <v>123</v>
      </c>
      <c r="BH114" s="907" t="s">
        <v>123</v>
      </c>
      <c r="BI114" s="935" t="s">
        <v>123</v>
      </c>
      <c r="BJ114" s="1003"/>
      <c r="BK114" s="907" t="s">
        <v>123</v>
      </c>
      <c r="BL114" s="907" t="s">
        <v>123</v>
      </c>
      <c r="BM114" s="907" t="s">
        <v>123</v>
      </c>
      <c r="BN114" s="1004" t="s">
        <v>123</v>
      </c>
      <c r="BO114" s="907" t="str">
        <f t="shared" si="6"/>
        <v/>
      </c>
      <c r="BP114" s="907" t="str">
        <f t="shared" si="7"/>
        <v/>
      </c>
      <c r="BQ114" s="907" t="str">
        <f t="shared" si="8"/>
        <v/>
      </c>
      <c r="BR114" s="1004" t="str">
        <f t="shared" si="9"/>
        <v/>
      </c>
      <c r="BS114" s="1005" t="str">
        <f t="shared" si="10"/>
        <v/>
      </c>
      <c r="BT114" s="1006" t="s">
        <v>123</v>
      </c>
      <c r="BU114" s="1002" t="s">
        <v>123</v>
      </c>
      <c r="BV114" s="1006" t="s">
        <v>123</v>
      </c>
      <c r="BW114" s="1007"/>
    </row>
    <row r="115">
      <c r="A115" s="624">
        <v>92.0</v>
      </c>
      <c r="B115" s="1008"/>
      <c r="C115" s="989"/>
      <c r="D115" s="851"/>
      <c r="E115" s="990"/>
      <c r="F115" s="991"/>
      <c r="G115" s="991"/>
      <c r="H115" s="992"/>
      <c r="I115" s="993"/>
      <c r="J115" s="993"/>
      <c r="K115" s="993"/>
      <c r="L115" s="993"/>
      <c r="M115" s="993"/>
      <c r="N115" s="993"/>
      <c r="O115" s="993"/>
      <c r="P115" s="993"/>
      <c r="Q115" s="993"/>
      <c r="R115" s="993"/>
      <c r="S115" s="936"/>
      <c r="T115" s="998"/>
      <c r="U115" s="935"/>
      <c r="V115" s="935"/>
      <c r="W115" s="949" t="str">
        <f>IF(AND($S$20,NOT($U$20)),IF($V115:$V623="","",SUMIF(portfolio.!$A$4:$A623,V115,portfolio.!$AN$4:$AN623)),"")</f>
        <v/>
      </c>
      <c r="X115" s="998"/>
      <c r="Y115" s="936"/>
      <c r="Z115" s="936" t="s">
        <v>123</v>
      </c>
      <c r="AA115" s="936" t="s">
        <v>123</v>
      </c>
      <c r="AB115" s="936" t="s">
        <v>123</v>
      </c>
      <c r="AC115" s="907" t="s">
        <v>123</v>
      </c>
      <c r="AD115" s="999"/>
      <c r="AE115" s="936"/>
      <c r="AF115" s="936"/>
      <c r="AG115" s="936"/>
      <c r="AH115" s="936"/>
      <c r="AI115" s="999"/>
      <c r="AJ115" s="935"/>
      <c r="AK115" s="966"/>
      <c r="AL115" s="949"/>
      <c r="AM115" s="949" t="s">
        <v>123</v>
      </c>
      <c r="AN115" s="949"/>
      <c r="AO115" s="999"/>
      <c r="AP115" s="936"/>
      <c r="AQ115" s="987"/>
      <c r="AR115" s="907"/>
      <c r="AS115" s="907"/>
      <c r="AT115" s="967" t="s">
        <v>123</v>
      </c>
      <c r="AU115" s="967" t="s">
        <v>123</v>
      </c>
      <c r="AV115" s="967" t="s">
        <v>123</v>
      </c>
      <c r="AW115" s="907" t="s">
        <v>123</v>
      </c>
      <c r="AX115" s="907" t="s">
        <v>123</v>
      </c>
      <c r="AY115" s="907" t="s">
        <v>123</v>
      </c>
      <c r="AZ115" s="936" t="s">
        <v>123</v>
      </c>
      <c r="BA115" s="935" t="s">
        <v>123</v>
      </c>
      <c r="BB115" s="1000"/>
      <c r="BC115" s="1001"/>
      <c r="BD115" s="936"/>
      <c r="BE115" s="907"/>
      <c r="BF115" s="1002" t="str">
        <f>IF($BC115="","",SUMIF(portfolio.!$A$4:$A623,BC115,portfolio.!$AN$4:$AN623))</f>
        <v/>
      </c>
      <c r="BG115" s="936" t="s">
        <v>123</v>
      </c>
      <c r="BH115" s="907" t="s">
        <v>123</v>
      </c>
      <c r="BI115" s="935" t="s">
        <v>123</v>
      </c>
      <c r="BJ115" s="1003"/>
      <c r="BK115" s="907" t="s">
        <v>123</v>
      </c>
      <c r="BL115" s="907" t="s">
        <v>123</v>
      </c>
      <c r="BM115" s="907" t="s">
        <v>123</v>
      </c>
      <c r="BN115" s="1004" t="s">
        <v>123</v>
      </c>
      <c r="BO115" s="907" t="str">
        <f t="shared" si="6"/>
        <v/>
      </c>
      <c r="BP115" s="907" t="str">
        <f t="shared" si="7"/>
        <v/>
      </c>
      <c r="BQ115" s="907" t="str">
        <f t="shared" si="8"/>
        <v/>
      </c>
      <c r="BR115" s="1004" t="str">
        <f t="shared" si="9"/>
        <v/>
      </c>
      <c r="BS115" s="1005" t="str">
        <f t="shared" si="10"/>
        <v/>
      </c>
      <c r="BT115" s="1006" t="s">
        <v>123</v>
      </c>
      <c r="BU115" s="1002" t="s">
        <v>123</v>
      </c>
      <c r="BV115" s="1006" t="s">
        <v>123</v>
      </c>
      <c r="BW115" s="1007"/>
    </row>
    <row r="116">
      <c r="A116" s="624">
        <v>93.0</v>
      </c>
      <c r="B116" s="1008"/>
      <c r="C116" s="989"/>
      <c r="D116" s="851"/>
      <c r="E116" s="990"/>
      <c r="F116" s="991"/>
      <c r="G116" s="991"/>
      <c r="H116" s="992"/>
      <c r="I116" s="993"/>
      <c r="J116" s="993"/>
      <c r="K116" s="993"/>
      <c r="L116" s="993"/>
      <c r="M116" s="993"/>
      <c r="N116" s="993"/>
      <c r="O116" s="993"/>
      <c r="P116" s="993"/>
      <c r="Q116" s="993"/>
      <c r="R116" s="993"/>
      <c r="S116" s="936"/>
      <c r="T116" s="998"/>
      <c r="U116" s="935"/>
      <c r="V116" s="935"/>
      <c r="W116" s="949" t="str">
        <f>IF(AND($S$20,NOT($U$20)),IF($V116:$V623="","",SUMIF(portfolio.!$A$4:$A623,V116,portfolio.!$AN$4:$AN623)),"")</f>
        <v/>
      </c>
      <c r="X116" s="998"/>
      <c r="Y116" s="936"/>
      <c r="Z116" s="936" t="s">
        <v>123</v>
      </c>
      <c r="AA116" s="936" t="s">
        <v>123</v>
      </c>
      <c r="AB116" s="936" t="s">
        <v>123</v>
      </c>
      <c r="AC116" s="907" t="s">
        <v>123</v>
      </c>
      <c r="AD116" s="999"/>
      <c r="AE116" s="936"/>
      <c r="AF116" s="936"/>
      <c r="AG116" s="936"/>
      <c r="AH116" s="936"/>
      <c r="AI116" s="999"/>
      <c r="AJ116" s="935"/>
      <c r="AK116" s="966"/>
      <c r="AL116" s="949"/>
      <c r="AM116" s="949" t="s">
        <v>123</v>
      </c>
      <c r="AN116" s="949"/>
      <c r="AO116" s="999"/>
      <c r="AP116" s="936"/>
      <c r="AQ116" s="987"/>
      <c r="AR116" s="907"/>
      <c r="AS116" s="907"/>
      <c r="AT116" s="967" t="s">
        <v>123</v>
      </c>
      <c r="AU116" s="967" t="s">
        <v>123</v>
      </c>
      <c r="AV116" s="967" t="s">
        <v>123</v>
      </c>
      <c r="AW116" s="907" t="s">
        <v>123</v>
      </c>
      <c r="AX116" s="907" t="s">
        <v>123</v>
      </c>
      <c r="AY116" s="907" t="s">
        <v>123</v>
      </c>
      <c r="AZ116" s="936" t="s">
        <v>123</v>
      </c>
      <c r="BA116" s="935" t="s">
        <v>123</v>
      </c>
      <c r="BB116" s="1000"/>
      <c r="BC116" s="1001"/>
      <c r="BD116" s="936"/>
      <c r="BE116" s="907"/>
      <c r="BF116" s="1002" t="str">
        <f>IF($BC116="","",SUMIF(portfolio.!$A$4:$A623,BC116,portfolio.!$AN$4:$AN623))</f>
        <v/>
      </c>
      <c r="BG116" s="936" t="s">
        <v>123</v>
      </c>
      <c r="BH116" s="907" t="s">
        <v>123</v>
      </c>
      <c r="BI116" s="935" t="s">
        <v>123</v>
      </c>
      <c r="BJ116" s="1003"/>
      <c r="BK116" s="907" t="s">
        <v>123</v>
      </c>
      <c r="BL116" s="907" t="s">
        <v>123</v>
      </c>
      <c r="BM116" s="907" t="s">
        <v>123</v>
      </c>
      <c r="BN116" s="1004" t="s">
        <v>123</v>
      </c>
      <c r="BO116" s="907" t="str">
        <f t="shared" si="6"/>
        <v/>
      </c>
      <c r="BP116" s="907" t="str">
        <f t="shared" si="7"/>
        <v/>
      </c>
      <c r="BQ116" s="907" t="str">
        <f t="shared" si="8"/>
        <v/>
      </c>
      <c r="BR116" s="1004" t="str">
        <f t="shared" si="9"/>
        <v/>
      </c>
      <c r="BS116" s="1005" t="str">
        <f t="shared" si="10"/>
        <v/>
      </c>
      <c r="BT116" s="1006" t="s">
        <v>123</v>
      </c>
      <c r="BU116" s="1002" t="s">
        <v>123</v>
      </c>
      <c r="BV116" s="1006" t="s">
        <v>123</v>
      </c>
      <c r="BW116" s="1007"/>
    </row>
    <row r="117">
      <c r="A117" s="624">
        <v>94.0</v>
      </c>
      <c r="B117" s="1008"/>
      <c r="C117" s="989"/>
      <c r="D117" s="851"/>
      <c r="E117" s="990"/>
      <c r="F117" s="991"/>
      <c r="G117" s="991"/>
      <c r="H117" s="992"/>
      <c r="I117" s="993"/>
      <c r="J117" s="993"/>
      <c r="K117" s="993"/>
      <c r="L117" s="993"/>
      <c r="M117" s="993"/>
      <c r="N117" s="993"/>
      <c r="O117" s="993"/>
      <c r="P117" s="993"/>
      <c r="Q117" s="993"/>
      <c r="R117" s="993"/>
      <c r="S117" s="936"/>
      <c r="T117" s="998"/>
      <c r="U117" s="935"/>
      <c r="V117" s="935"/>
      <c r="W117" s="949" t="str">
        <f>IF(AND($S$20,NOT($U$20)),IF($V117:$V623="","",SUMIF(portfolio.!$A$4:$A623,V117,portfolio.!$AN$4:$AN623)),"")</f>
        <v/>
      </c>
      <c r="X117" s="998"/>
      <c r="Y117" s="936"/>
      <c r="Z117" s="936" t="s">
        <v>123</v>
      </c>
      <c r="AA117" s="936" t="s">
        <v>123</v>
      </c>
      <c r="AB117" s="936" t="s">
        <v>123</v>
      </c>
      <c r="AC117" s="907" t="s">
        <v>123</v>
      </c>
      <c r="AD117" s="999"/>
      <c r="AE117" s="936"/>
      <c r="AF117" s="936"/>
      <c r="AG117" s="936"/>
      <c r="AH117" s="936"/>
      <c r="AI117" s="999"/>
      <c r="AJ117" s="935"/>
      <c r="AK117" s="966"/>
      <c r="AL117" s="949"/>
      <c r="AM117" s="949" t="s">
        <v>123</v>
      </c>
      <c r="AN117" s="949"/>
      <c r="AO117" s="999"/>
      <c r="AP117" s="936"/>
      <c r="AQ117" s="987"/>
      <c r="AR117" s="907"/>
      <c r="AS117" s="907"/>
      <c r="AT117" s="967" t="s">
        <v>123</v>
      </c>
      <c r="AU117" s="967" t="s">
        <v>123</v>
      </c>
      <c r="AV117" s="967" t="s">
        <v>123</v>
      </c>
      <c r="AW117" s="907" t="s">
        <v>123</v>
      </c>
      <c r="AX117" s="907" t="s">
        <v>123</v>
      </c>
      <c r="AY117" s="907" t="s">
        <v>123</v>
      </c>
      <c r="AZ117" s="936" t="s">
        <v>123</v>
      </c>
      <c r="BA117" s="935" t="s">
        <v>123</v>
      </c>
      <c r="BB117" s="1000"/>
      <c r="BC117" s="1001"/>
      <c r="BD117" s="936"/>
      <c r="BE117" s="907"/>
      <c r="BF117" s="1002" t="str">
        <f>IF($BC117="","",SUMIF(portfolio.!$A$4:$A623,BC117,portfolio.!$AN$4:$AN623))</f>
        <v/>
      </c>
      <c r="BG117" s="936" t="s">
        <v>123</v>
      </c>
      <c r="BH117" s="907" t="s">
        <v>123</v>
      </c>
      <c r="BI117" s="935" t="s">
        <v>123</v>
      </c>
      <c r="BJ117" s="1003"/>
      <c r="BK117" s="907" t="s">
        <v>123</v>
      </c>
      <c r="BL117" s="907" t="s">
        <v>123</v>
      </c>
      <c r="BM117" s="907" t="s">
        <v>123</v>
      </c>
      <c r="BN117" s="1004" t="s">
        <v>123</v>
      </c>
      <c r="BO117" s="907" t="str">
        <f t="shared" si="6"/>
        <v/>
      </c>
      <c r="BP117" s="907" t="str">
        <f t="shared" si="7"/>
        <v/>
      </c>
      <c r="BQ117" s="907" t="str">
        <f t="shared" si="8"/>
        <v/>
      </c>
      <c r="BR117" s="1004" t="str">
        <f t="shared" si="9"/>
        <v/>
      </c>
      <c r="BS117" s="1005" t="str">
        <f t="shared" si="10"/>
        <v/>
      </c>
      <c r="BT117" s="1006" t="s">
        <v>123</v>
      </c>
      <c r="BU117" s="1002" t="s">
        <v>123</v>
      </c>
      <c r="BV117" s="1006" t="s">
        <v>123</v>
      </c>
      <c r="BW117" s="1007"/>
    </row>
    <row r="118">
      <c r="A118" s="624">
        <v>95.0</v>
      </c>
      <c r="B118" s="1008"/>
      <c r="C118" s="989"/>
      <c r="D118" s="851"/>
      <c r="E118" s="990"/>
      <c r="F118" s="991"/>
      <c r="G118" s="991"/>
      <c r="H118" s="992"/>
      <c r="I118" s="993"/>
      <c r="J118" s="993"/>
      <c r="K118" s="993"/>
      <c r="L118" s="993"/>
      <c r="M118" s="993"/>
      <c r="N118" s="993"/>
      <c r="O118" s="993"/>
      <c r="P118" s="993"/>
      <c r="Q118" s="993"/>
      <c r="R118" s="993"/>
      <c r="S118" s="936"/>
      <c r="T118" s="998"/>
      <c r="U118" s="935"/>
      <c r="V118" s="935"/>
      <c r="W118" s="949" t="str">
        <f>IF(AND($S$20,NOT($U$20)),IF($V118:$V623="","",SUMIF(portfolio.!$A$4:$A623,V118,portfolio.!$AN$4:$AN623)),"")</f>
        <v/>
      </c>
      <c r="X118" s="998"/>
      <c r="Y118" s="936"/>
      <c r="Z118" s="936" t="s">
        <v>123</v>
      </c>
      <c r="AA118" s="936" t="s">
        <v>123</v>
      </c>
      <c r="AB118" s="936" t="s">
        <v>123</v>
      </c>
      <c r="AC118" s="907" t="s">
        <v>123</v>
      </c>
      <c r="AD118" s="999"/>
      <c r="AE118" s="936"/>
      <c r="AF118" s="936"/>
      <c r="AG118" s="936"/>
      <c r="AH118" s="936"/>
      <c r="AI118" s="999"/>
      <c r="AJ118" s="935"/>
      <c r="AK118" s="966"/>
      <c r="AL118" s="949"/>
      <c r="AM118" s="949" t="s">
        <v>123</v>
      </c>
      <c r="AN118" s="949"/>
      <c r="AO118" s="999"/>
      <c r="AP118" s="936"/>
      <c r="AQ118" s="987"/>
      <c r="AR118" s="907"/>
      <c r="AS118" s="907"/>
      <c r="AT118" s="967" t="s">
        <v>123</v>
      </c>
      <c r="AU118" s="967" t="s">
        <v>123</v>
      </c>
      <c r="AV118" s="967" t="s">
        <v>123</v>
      </c>
      <c r="AW118" s="907" t="s">
        <v>123</v>
      </c>
      <c r="AX118" s="907" t="s">
        <v>123</v>
      </c>
      <c r="AY118" s="907" t="s">
        <v>123</v>
      </c>
      <c r="AZ118" s="936" t="s">
        <v>123</v>
      </c>
      <c r="BA118" s="935" t="s">
        <v>123</v>
      </c>
      <c r="BB118" s="1000"/>
      <c r="BC118" s="1001"/>
      <c r="BD118" s="936"/>
      <c r="BE118" s="907"/>
      <c r="BF118" s="1002" t="str">
        <f>IF($BC118="","",SUMIF(portfolio.!$A$4:$A623,BC118,portfolio.!$AN$4:$AN623))</f>
        <v/>
      </c>
      <c r="BG118" s="936" t="s">
        <v>123</v>
      </c>
      <c r="BH118" s="907" t="s">
        <v>123</v>
      </c>
      <c r="BI118" s="935" t="s">
        <v>123</v>
      </c>
      <c r="BJ118" s="1003"/>
      <c r="BK118" s="907" t="s">
        <v>123</v>
      </c>
      <c r="BL118" s="907" t="s">
        <v>123</v>
      </c>
      <c r="BM118" s="907" t="s">
        <v>123</v>
      </c>
      <c r="BN118" s="1004" t="s">
        <v>123</v>
      </c>
      <c r="BO118" s="907" t="str">
        <f t="shared" si="6"/>
        <v/>
      </c>
      <c r="BP118" s="907" t="str">
        <f t="shared" si="7"/>
        <v/>
      </c>
      <c r="BQ118" s="907" t="str">
        <f t="shared" si="8"/>
        <v/>
      </c>
      <c r="BR118" s="1004" t="str">
        <f t="shared" si="9"/>
        <v/>
      </c>
      <c r="BS118" s="1005" t="str">
        <f t="shared" si="10"/>
        <v/>
      </c>
      <c r="BT118" s="1006" t="s">
        <v>123</v>
      </c>
      <c r="BU118" s="1002" t="s">
        <v>123</v>
      </c>
      <c r="BV118" s="1006" t="s">
        <v>123</v>
      </c>
      <c r="BW118" s="1007"/>
    </row>
    <row r="119">
      <c r="A119" s="624">
        <v>96.0</v>
      </c>
      <c r="B119" s="1008"/>
      <c r="C119" s="989"/>
      <c r="D119" s="851"/>
      <c r="E119" s="990"/>
      <c r="F119" s="991"/>
      <c r="G119" s="991"/>
      <c r="H119" s="992"/>
      <c r="I119" s="993"/>
      <c r="J119" s="993"/>
      <c r="K119" s="993"/>
      <c r="L119" s="993"/>
      <c r="M119" s="993"/>
      <c r="N119" s="993"/>
      <c r="O119" s="993"/>
      <c r="P119" s="993"/>
      <c r="Q119" s="993"/>
      <c r="R119" s="993"/>
      <c r="S119" s="936"/>
      <c r="T119" s="998"/>
      <c r="U119" s="935"/>
      <c r="V119" s="935"/>
      <c r="W119" s="949" t="str">
        <f>IF(AND($S$20,NOT($U$20)),IF($V119:$V623="","",SUMIF(portfolio.!$A$4:$A623,V119,portfolio.!$AN$4:$AN623)),"")</f>
        <v/>
      </c>
      <c r="X119" s="998"/>
      <c r="Y119" s="936"/>
      <c r="Z119" s="936" t="s">
        <v>123</v>
      </c>
      <c r="AA119" s="936" t="s">
        <v>123</v>
      </c>
      <c r="AB119" s="936" t="s">
        <v>123</v>
      </c>
      <c r="AC119" s="907" t="s">
        <v>123</v>
      </c>
      <c r="AD119" s="999"/>
      <c r="AE119" s="936"/>
      <c r="AF119" s="936"/>
      <c r="AG119" s="936"/>
      <c r="AH119" s="936"/>
      <c r="AI119" s="999"/>
      <c r="AJ119" s="935"/>
      <c r="AK119" s="966"/>
      <c r="AL119" s="949"/>
      <c r="AM119" s="949" t="s">
        <v>123</v>
      </c>
      <c r="AN119" s="949"/>
      <c r="AO119" s="999"/>
      <c r="AP119" s="936"/>
      <c r="AQ119" s="987"/>
      <c r="AR119" s="907"/>
      <c r="AS119" s="907"/>
      <c r="AT119" s="967" t="s">
        <v>123</v>
      </c>
      <c r="AU119" s="967" t="s">
        <v>123</v>
      </c>
      <c r="AV119" s="967" t="s">
        <v>123</v>
      </c>
      <c r="AW119" s="907" t="s">
        <v>123</v>
      </c>
      <c r="AX119" s="907" t="s">
        <v>123</v>
      </c>
      <c r="AY119" s="907" t="s">
        <v>123</v>
      </c>
      <c r="AZ119" s="936" t="s">
        <v>123</v>
      </c>
      <c r="BA119" s="935" t="s">
        <v>123</v>
      </c>
      <c r="BB119" s="1000"/>
      <c r="BC119" s="1001"/>
      <c r="BD119" s="936"/>
      <c r="BE119" s="907"/>
      <c r="BF119" s="1002" t="str">
        <f>IF($BC119="","",SUMIF(portfolio.!$A$4:$A623,BC119,portfolio.!$AN$4:$AN623))</f>
        <v/>
      </c>
      <c r="BG119" s="936" t="s">
        <v>123</v>
      </c>
      <c r="BH119" s="907" t="s">
        <v>123</v>
      </c>
      <c r="BI119" s="935" t="s">
        <v>123</v>
      </c>
      <c r="BJ119" s="1003"/>
      <c r="BK119" s="907" t="s">
        <v>123</v>
      </c>
      <c r="BL119" s="907" t="s">
        <v>123</v>
      </c>
      <c r="BM119" s="907" t="s">
        <v>123</v>
      </c>
      <c r="BN119" s="1004" t="s">
        <v>123</v>
      </c>
      <c r="BO119" s="907" t="str">
        <f t="shared" si="6"/>
        <v/>
      </c>
      <c r="BP119" s="907" t="str">
        <f t="shared" si="7"/>
        <v/>
      </c>
      <c r="BQ119" s="907" t="str">
        <f t="shared" si="8"/>
        <v/>
      </c>
      <c r="BR119" s="1004" t="str">
        <f t="shared" si="9"/>
        <v/>
      </c>
      <c r="BS119" s="1005" t="str">
        <f t="shared" si="10"/>
        <v/>
      </c>
      <c r="BT119" s="1006" t="s">
        <v>123</v>
      </c>
      <c r="BU119" s="1002" t="s">
        <v>123</v>
      </c>
      <c r="BV119" s="1006" t="s">
        <v>123</v>
      </c>
      <c r="BW119" s="1007"/>
    </row>
    <row r="120">
      <c r="A120" s="624">
        <v>97.0</v>
      </c>
      <c r="B120" s="1008"/>
      <c r="C120" s="989"/>
      <c r="D120" s="851"/>
      <c r="E120" s="990"/>
      <c r="F120" s="991"/>
      <c r="G120" s="991"/>
      <c r="H120" s="992"/>
      <c r="I120" s="993"/>
      <c r="J120" s="993"/>
      <c r="K120" s="993"/>
      <c r="L120" s="993"/>
      <c r="M120" s="993"/>
      <c r="N120" s="993"/>
      <c r="O120" s="993"/>
      <c r="P120" s="993"/>
      <c r="Q120" s="993"/>
      <c r="R120" s="993"/>
      <c r="S120" s="936"/>
      <c r="T120" s="998"/>
      <c r="U120" s="935"/>
      <c r="V120" s="935"/>
      <c r="W120" s="949" t="str">
        <f>IF(AND($S$20,NOT($U$20)),IF($V120:$V623="","",SUMIF(portfolio.!$A$4:$A623,V120,portfolio.!$AN$4:$AN623)),"")</f>
        <v/>
      </c>
      <c r="X120" s="998"/>
      <c r="Y120" s="936"/>
      <c r="Z120" s="936" t="s">
        <v>123</v>
      </c>
      <c r="AA120" s="936" t="s">
        <v>123</v>
      </c>
      <c r="AB120" s="936" t="s">
        <v>123</v>
      </c>
      <c r="AC120" s="907" t="s">
        <v>123</v>
      </c>
      <c r="AD120" s="999"/>
      <c r="AE120" s="936"/>
      <c r="AF120" s="936"/>
      <c r="AG120" s="936"/>
      <c r="AH120" s="936"/>
      <c r="AI120" s="999"/>
      <c r="AJ120" s="935"/>
      <c r="AK120" s="966"/>
      <c r="AL120" s="949"/>
      <c r="AM120" s="949" t="s">
        <v>123</v>
      </c>
      <c r="AN120" s="949"/>
      <c r="AO120" s="999"/>
      <c r="AP120" s="936"/>
      <c r="AQ120" s="987"/>
      <c r="AR120" s="907"/>
      <c r="AS120" s="907"/>
      <c r="AT120" s="967" t="s">
        <v>123</v>
      </c>
      <c r="AU120" s="967" t="s">
        <v>123</v>
      </c>
      <c r="AV120" s="967" t="s">
        <v>123</v>
      </c>
      <c r="AW120" s="907" t="s">
        <v>123</v>
      </c>
      <c r="AX120" s="907" t="s">
        <v>123</v>
      </c>
      <c r="AY120" s="907" t="s">
        <v>123</v>
      </c>
      <c r="AZ120" s="936" t="s">
        <v>123</v>
      </c>
      <c r="BA120" s="935" t="s">
        <v>123</v>
      </c>
      <c r="BB120" s="1000"/>
      <c r="BC120" s="1001"/>
      <c r="BD120" s="936"/>
      <c r="BE120" s="907"/>
      <c r="BF120" s="1002" t="str">
        <f>IF($BC120="","",SUMIF(portfolio.!$A$4:$A623,BC120,portfolio.!$AN$4:$AN623))</f>
        <v/>
      </c>
      <c r="BG120" s="936" t="s">
        <v>123</v>
      </c>
      <c r="BH120" s="907" t="s">
        <v>123</v>
      </c>
      <c r="BI120" s="935" t="s">
        <v>123</v>
      </c>
      <c r="BJ120" s="1003"/>
      <c r="BK120" s="907" t="s">
        <v>123</v>
      </c>
      <c r="BL120" s="907" t="s">
        <v>123</v>
      </c>
      <c r="BM120" s="907" t="s">
        <v>123</v>
      </c>
      <c r="BN120" s="1004" t="s">
        <v>123</v>
      </c>
      <c r="BO120" s="907" t="str">
        <f t="shared" si="6"/>
        <v/>
      </c>
      <c r="BP120" s="907" t="str">
        <f t="shared" si="7"/>
        <v/>
      </c>
      <c r="BQ120" s="907" t="str">
        <f t="shared" si="8"/>
        <v/>
      </c>
      <c r="BR120" s="1004" t="str">
        <f t="shared" si="9"/>
        <v/>
      </c>
      <c r="BS120" s="1005" t="str">
        <f t="shared" si="10"/>
        <v/>
      </c>
      <c r="BT120" s="1006" t="s">
        <v>123</v>
      </c>
      <c r="BU120" s="1002" t="s">
        <v>123</v>
      </c>
      <c r="BV120" s="1006" t="s">
        <v>123</v>
      </c>
      <c r="BW120" s="1007"/>
    </row>
    <row r="121">
      <c r="A121" s="624">
        <v>98.0</v>
      </c>
      <c r="B121" s="1008"/>
      <c r="C121" s="989"/>
      <c r="D121" s="851"/>
      <c r="E121" s="990"/>
      <c r="F121" s="991"/>
      <c r="G121" s="991"/>
      <c r="H121" s="992"/>
      <c r="I121" s="993"/>
      <c r="J121" s="993"/>
      <c r="K121" s="993"/>
      <c r="L121" s="993"/>
      <c r="M121" s="993"/>
      <c r="N121" s="993"/>
      <c r="O121" s="993"/>
      <c r="P121" s="993"/>
      <c r="Q121" s="993"/>
      <c r="R121" s="993"/>
      <c r="S121" s="936"/>
      <c r="T121" s="998"/>
      <c r="U121" s="935"/>
      <c r="V121" s="935"/>
      <c r="W121" s="949" t="str">
        <f>IF(AND($S$20,NOT($U$20)),IF($V121:$V623="","",SUMIF(portfolio.!$A$4:$A623,V121,portfolio.!$AN$4:$AN623)),"")</f>
        <v/>
      </c>
      <c r="X121" s="998"/>
      <c r="Y121" s="936"/>
      <c r="Z121" s="936" t="s">
        <v>123</v>
      </c>
      <c r="AA121" s="936" t="s">
        <v>123</v>
      </c>
      <c r="AB121" s="936" t="s">
        <v>123</v>
      </c>
      <c r="AC121" s="907" t="s">
        <v>123</v>
      </c>
      <c r="AD121" s="999"/>
      <c r="AE121" s="936"/>
      <c r="AF121" s="936"/>
      <c r="AG121" s="936"/>
      <c r="AH121" s="936"/>
      <c r="AI121" s="999"/>
      <c r="AJ121" s="935"/>
      <c r="AK121" s="966"/>
      <c r="AL121" s="949"/>
      <c r="AM121" s="949" t="s">
        <v>123</v>
      </c>
      <c r="AN121" s="949"/>
      <c r="AO121" s="999"/>
      <c r="AP121" s="936"/>
      <c r="AQ121" s="987"/>
      <c r="AR121" s="907"/>
      <c r="AS121" s="907"/>
      <c r="AT121" s="967" t="s">
        <v>123</v>
      </c>
      <c r="AU121" s="967" t="s">
        <v>123</v>
      </c>
      <c r="AV121" s="967" t="s">
        <v>123</v>
      </c>
      <c r="AW121" s="907" t="s">
        <v>123</v>
      </c>
      <c r="AX121" s="907" t="s">
        <v>123</v>
      </c>
      <c r="AY121" s="907" t="s">
        <v>123</v>
      </c>
      <c r="AZ121" s="936" t="s">
        <v>123</v>
      </c>
      <c r="BA121" s="935" t="s">
        <v>123</v>
      </c>
      <c r="BB121" s="1000"/>
      <c r="BC121" s="1001"/>
      <c r="BD121" s="936"/>
      <c r="BE121" s="907"/>
      <c r="BF121" s="1002" t="str">
        <f>IF($BC121="","",SUMIF(portfolio.!$A$4:$A623,BC121,portfolio.!$AN$4:$AN623))</f>
        <v/>
      </c>
      <c r="BG121" s="936" t="s">
        <v>123</v>
      </c>
      <c r="BH121" s="907" t="s">
        <v>123</v>
      </c>
      <c r="BI121" s="935" t="s">
        <v>123</v>
      </c>
      <c r="BJ121" s="1003"/>
      <c r="BK121" s="907" t="s">
        <v>123</v>
      </c>
      <c r="BL121" s="907" t="s">
        <v>123</v>
      </c>
      <c r="BM121" s="907" t="s">
        <v>123</v>
      </c>
      <c r="BN121" s="1004" t="s">
        <v>123</v>
      </c>
      <c r="BO121" s="907" t="str">
        <f t="shared" si="6"/>
        <v/>
      </c>
      <c r="BP121" s="907" t="str">
        <f t="shared" si="7"/>
        <v/>
      </c>
      <c r="BQ121" s="907" t="str">
        <f t="shared" si="8"/>
        <v/>
      </c>
      <c r="BR121" s="1004" t="str">
        <f t="shared" si="9"/>
        <v/>
      </c>
      <c r="BS121" s="1005" t="str">
        <f t="shared" si="10"/>
        <v/>
      </c>
      <c r="BT121" s="1006" t="s">
        <v>123</v>
      </c>
      <c r="BU121" s="1002" t="s">
        <v>123</v>
      </c>
      <c r="BV121" s="1006" t="s">
        <v>123</v>
      </c>
      <c r="BW121" s="1007"/>
    </row>
    <row r="122">
      <c r="A122" s="624">
        <v>99.0</v>
      </c>
      <c r="B122" s="1008"/>
      <c r="C122" s="989"/>
      <c r="D122" s="851"/>
      <c r="E122" s="990"/>
      <c r="F122" s="991"/>
      <c r="G122" s="991"/>
      <c r="H122" s="992"/>
      <c r="I122" s="993"/>
      <c r="J122" s="993"/>
      <c r="K122" s="993"/>
      <c r="L122" s="993"/>
      <c r="M122" s="993"/>
      <c r="N122" s="993"/>
      <c r="O122" s="993"/>
      <c r="P122" s="993"/>
      <c r="Q122" s="993"/>
      <c r="R122" s="993"/>
      <c r="S122" s="936"/>
      <c r="T122" s="998"/>
      <c r="U122" s="935"/>
      <c r="V122" s="935"/>
      <c r="W122" s="949" t="str">
        <f>IF(AND($S$20,NOT($U$20)),IF($V122:$V623="","",SUMIF(portfolio.!$A$4:$A623,V122,portfolio.!$AN$4:$AN623)),"")</f>
        <v/>
      </c>
      <c r="X122" s="998"/>
      <c r="Y122" s="936"/>
      <c r="Z122" s="936" t="s">
        <v>123</v>
      </c>
      <c r="AA122" s="936" t="s">
        <v>123</v>
      </c>
      <c r="AB122" s="936" t="s">
        <v>123</v>
      </c>
      <c r="AC122" s="907" t="s">
        <v>123</v>
      </c>
      <c r="AD122" s="999"/>
      <c r="AE122" s="936"/>
      <c r="AF122" s="936"/>
      <c r="AG122" s="936"/>
      <c r="AH122" s="936"/>
      <c r="AI122" s="999"/>
      <c r="AJ122" s="935"/>
      <c r="AK122" s="966"/>
      <c r="AL122" s="949"/>
      <c r="AM122" s="949" t="s">
        <v>123</v>
      </c>
      <c r="AN122" s="949"/>
      <c r="AO122" s="999"/>
      <c r="AP122" s="936"/>
      <c r="AQ122" s="987"/>
      <c r="AR122" s="907"/>
      <c r="AS122" s="907"/>
      <c r="AT122" s="967" t="s">
        <v>123</v>
      </c>
      <c r="AU122" s="967" t="s">
        <v>123</v>
      </c>
      <c r="AV122" s="967" t="s">
        <v>123</v>
      </c>
      <c r="AW122" s="907" t="s">
        <v>123</v>
      </c>
      <c r="AX122" s="907" t="s">
        <v>123</v>
      </c>
      <c r="AY122" s="907" t="s">
        <v>123</v>
      </c>
      <c r="AZ122" s="936" t="s">
        <v>123</v>
      </c>
      <c r="BA122" s="935" t="s">
        <v>123</v>
      </c>
      <c r="BB122" s="1000"/>
      <c r="BC122" s="1001"/>
      <c r="BD122" s="936"/>
      <c r="BE122" s="907"/>
      <c r="BF122" s="1002" t="str">
        <f>IF($BC122="","",SUMIF(portfolio.!$A$4:$A623,BC122,portfolio.!$AN$4:$AN623))</f>
        <v/>
      </c>
      <c r="BG122" s="936" t="s">
        <v>123</v>
      </c>
      <c r="BH122" s="907" t="s">
        <v>123</v>
      </c>
      <c r="BI122" s="935" t="s">
        <v>123</v>
      </c>
      <c r="BJ122" s="1003"/>
      <c r="BK122" s="907" t="s">
        <v>123</v>
      </c>
      <c r="BL122" s="907" t="s">
        <v>123</v>
      </c>
      <c r="BM122" s="907" t="s">
        <v>123</v>
      </c>
      <c r="BN122" s="1004" t="s">
        <v>123</v>
      </c>
      <c r="BO122" s="907" t="str">
        <f t="shared" si="6"/>
        <v/>
      </c>
      <c r="BP122" s="907" t="str">
        <f t="shared" si="7"/>
        <v/>
      </c>
      <c r="BQ122" s="907" t="str">
        <f t="shared" si="8"/>
        <v/>
      </c>
      <c r="BR122" s="1004" t="str">
        <f t="shared" si="9"/>
        <v/>
      </c>
      <c r="BS122" s="1005" t="str">
        <f t="shared" si="10"/>
        <v/>
      </c>
      <c r="BT122" s="1006" t="s">
        <v>123</v>
      </c>
      <c r="BU122" s="1002" t="s">
        <v>123</v>
      </c>
      <c r="BV122" s="1006" t="s">
        <v>123</v>
      </c>
      <c r="BW122" s="1007"/>
    </row>
    <row r="123">
      <c r="A123" s="624">
        <v>100.0</v>
      </c>
      <c r="B123" s="1008"/>
      <c r="C123" s="989"/>
      <c r="D123" s="851"/>
      <c r="E123" s="990"/>
      <c r="F123" s="991"/>
      <c r="G123" s="991"/>
      <c r="H123" s="992"/>
      <c r="I123" s="993"/>
      <c r="J123" s="993"/>
      <c r="K123" s="993"/>
      <c r="L123" s="993"/>
      <c r="M123" s="993"/>
      <c r="N123" s="993"/>
      <c r="O123" s="993"/>
      <c r="P123" s="993"/>
      <c r="Q123" s="993"/>
      <c r="R123" s="993"/>
      <c r="S123" s="936"/>
      <c r="T123" s="998"/>
      <c r="U123" s="935"/>
      <c r="V123" s="935"/>
      <c r="W123" s="949" t="str">
        <f>IF(AND($S$20,NOT($U$20)),IF($V123:$V623="","",SUMIF(portfolio.!$A$4:$A623,V123,portfolio.!$AN$4:$AN623)),"")</f>
        <v/>
      </c>
      <c r="X123" s="998"/>
      <c r="Y123" s="936"/>
      <c r="Z123" s="936" t="s">
        <v>123</v>
      </c>
      <c r="AA123" s="936" t="s">
        <v>123</v>
      </c>
      <c r="AB123" s="936" t="s">
        <v>123</v>
      </c>
      <c r="AC123" s="907" t="s">
        <v>123</v>
      </c>
      <c r="AD123" s="999"/>
      <c r="AE123" s="936"/>
      <c r="AF123" s="936"/>
      <c r="AG123" s="936"/>
      <c r="AH123" s="936"/>
      <c r="AI123" s="999"/>
      <c r="AJ123" s="935"/>
      <c r="AK123" s="966"/>
      <c r="AL123" s="949"/>
      <c r="AM123" s="949" t="s">
        <v>123</v>
      </c>
      <c r="AN123" s="949"/>
      <c r="AO123" s="999"/>
      <c r="AP123" s="936"/>
      <c r="AQ123" s="987"/>
      <c r="AR123" s="907"/>
      <c r="AS123" s="907"/>
      <c r="AT123" s="967" t="s">
        <v>123</v>
      </c>
      <c r="AU123" s="967" t="s">
        <v>123</v>
      </c>
      <c r="AV123" s="967" t="s">
        <v>123</v>
      </c>
      <c r="AW123" s="907" t="s">
        <v>123</v>
      </c>
      <c r="AX123" s="907" t="s">
        <v>123</v>
      </c>
      <c r="AY123" s="907" t="s">
        <v>123</v>
      </c>
      <c r="AZ123" s="936" t="s">
        <v>123</v>
      </c>
      <c r="BA123" s="935" t="s">
        <v>123</v>
      </c>
      <c r="BB123" s="1000"/>
      <c r="BC123" s="1001"/>
      <c r="BD123" s="936"/>
      <c r="BE123" s="907"/>
      <c r="BF123" s="1002" t="str">
        <f>IF($BC123="","",SUMIF(portfolio.!$A$4:$A623,BC123,portfolio.!$AN$4:$AN623))</f>
        <v/>
      </c>
      <c r="BG123" s="936" t="s">
        <v>123</v>
      </c>
      <c r="BH123" s="907" t="s">
        <v>123</v>
      </c>
      <c r="BI123" s="935" t="s">
        <v>123</v>
      </c>
      <c r="BJ123" s="1003"/>
      <c r="BK123" s="907" t="s">
        <v>123</v>
      </c>
      <c r="BL123" s="907" t="s">
        <v>123</v>
      </c>
      <c r="BM123" s="907" t="s">
        <v>123</v>
      </c>
      <c r="BN123" s="1004" t="s">
        <v>123</v>
      </c>
      <c r="BO123" s="907" t="str">
        <f t="shared" si="6"/>
        <v/>
      </c>
      <c r="BP123" s="907" t="str">
        <f t="shared" si="7"/>
        <v/>
      </c>
      <c r="BQ123" s="907" t="str">
        <f t="shared" si="8"/>
        <v/>
      </c>
      <c r="BR123" s="1004" t="str">
        <f t="shared" si="9"/>
        <v/>
      </c>
      <c r="BS123" s="1005" t="str">
        <f t="shared" si="10"/>
        <v/>
      </c>
      <c r="BT123" s="1006" t="s">
        <v>123</v>
      </c>
      <c r="BU123" s="1002" t="s">
        <v>123</v>
      </c>
      <c r="BV123" s="1006" t="s">
        <v>123</v>
      </c>
      <c r="BW123" s="1007"/>
    </row>
    <row r="124">
      <c r="A124" s="624">
        <v>101.0</v>
      </c>
      <c r="B124" s="1008"/>
      <c r="C124" s="989"/>
      <c r="D124" s="851"/>
      <c r="E124" s="990"/>
      <c r="F124" s="991"/>
      <c r="G124" s="991"/>
      <c r="H124" s="992"/>
      <c r="I124" s="993"/>
      <c r="J124" s="993"/>
      <c r="K124" s="993"/>
      <c r="L124" s="993"/>
      <c r="M124" s="993"/>
      <c r="N124" s="993"/>
      <c r="O124" s="993"/>
      <c r="P124" s="993"/>
      <c r="Q124" s="993"/>
      <c r="R124" s="993"/>
      <c r="S124" s="936"/>
      <c r="T124" s="998"/>
      <c r="U124" s="935"/>
      <c r="V124" s="935"/>
      <c r="W124" s="949" t="str">
        <f>IF(AND($S$20,NOT($U$20)),IF($V124:$V623="","",SUMIF(portfolio.!$A$4:$A623,V124,portfolio.!$AN$4:$AN623)),"")</f>
        <v/>
      </c>
      <c r="X124" s="998"/>
      <c r="Y124" s="936"/>
      <c r="Z124" s="936" t="s">
        <v>123</v>
      </c>
      <c r="AA124" s="936" t="s">
        <v>123</v>
      </c>
      <c r="AB124" s="936" t="s">
        <v>123</v>
      </c>
      <c r="AC124" s="907" t="s">
        <v>123</v>
      </c>
      <c r="AD124" s="999"/>
      <c r="AE124" s="936"/>
      <c r="AF124" s="936"/>
      <c r="AG124" s="936"/>
      <c r="AH124" s="936"/>
      <c r="AI124" s="999"/>
      <c r="AJ124" s="935"/>
      <c r="AK124" s="966"/>
      <c r="AL124" s="949"/>
      <c r="AM124" s="949" t="s">
        <v>123</v>
      </c>
      <c r="AN124" s="949"/>
      <c r="AO124" s="999"/>
      <c r="AP124" s="936"/>
      <c r="AQ124" s="987"/>
      <c r="AR124" s="907"/>
      <c r="AS124" s="907"/>
      <c r="AT124" s="967" t="s">
        <v>123</v>
      </c>
      <c r="AU124" s="967" t="s">
        <v>123</v>
      </c>
      <c r="AV124" s="967" t="s">
        <v>123</v>
      </c>
      <c r="AW124" s="907" t="s">
        <v>123</v>
      </c>
      <c r="AX124" s="907" t="s">
        <v>123</v>
      </c>
      <c r="AY124" s="907" t="s">
        <v>123</v>
      </c>
      <c r="AZ124" s="936" t="s">
        <v>123</v>
      </c>
      <c r="BA124" s="935" t="s">
        <v>123</v>
      </c>
      <c r="BB124" s="1000"/>
      <c r="BC124" s="1001"/>
      <c r="BD124" s="936"/>
      <c r="BE124" s="907"/>
      <c r="BF124" s="1002" t="str">
        <f>IF($BC124="","",SUMIF(portfolio.!$A$4:$A623,BC124,portfolio.!$AN$4:$AN623))</f>
        <v/>
      </c>
      <c r="BG124" s="936" t="s">
        <v>123</v>
      </c>
      <c r="BH124" s="907" t="s">
        <v>123</v>
      </c>
      <c r="BI124" s="935" t="s">
        <v>123</v>
      </c>
      <c r="BJ124" s="1003"/>
      <c r="BK124" s="907" t="s">
        <v>123</v>
      </c>
      <c r="BL124" s="907" t="s">
        <v>123</v>
      </c>
      <c r="BM124" s="907" t="s">
        <v>123</v>
      </c>
      <c r="BN124" s="1004" t="s">
        <v>123</v>
      </c>
      <c r="BO124" s="907" t="str">
        <f t="shared" si="6"/>
        <v/>
      </c>
      <c r="BP124" s="907" t="str">
        <f t="shared" si="7"/>
        <v/>
      </c>
      <c r="BQ124" s="907" t="str">
        <f t="shared" si="8"/>
        <v/>
      </c>
      <c r="BR124" s="1004" t="str">
        <f t="shared" si="9"/>
        <v/>
      </c>
      <c r="BS124" s="1005" t="str">
        <f t="shared" si="10"/>
        <v/>
      </c>
      <c r="BT124" s="1006" t="s">
        <v>123</v>
      </c>
      <c r="BU124" s="1002" t="s">
        <v>123</v>
      </c>
      <c r="BV124" s="1006" t="s">
        <v>123</v>
      </c>
      <c r="BW124" s="1007"/>
    </row>
    <row r="125">
      <c r="A125" s="624">
        <v>102.0</v>
      </c>
      <c r="B125" s="1008"/>
      <c r="C125" s="989"/>
      <c r="D125" s="851"/>
      <c r="E125" s="990"/>
      <c r="F125" s="991"/>
      <c r="G125" s="991"/>
      <c r="H125" s="992"/>
      <c r="I125" s="993"/>
      <c r="J125" s="993"/>
      <c r="K125" s="993"/>
      <c r="L125" s="993"/>
      <c r="M125" s="993"/>
      <c r="N125" s="993"/>
      <c r="O125" s="993"/>
      <c r="P125" s="993"/>
      <c r="Q125" s="993"/>
      <c r="R125" s="993"/>
      <c r="S125" s="936"/>
      <c r="T125" s="998"/>
      <c r="U125" s="935"/>
      <c r="V125" s="935"/>
      <c r="W125" s="949" t="str">
        <f>IF(AND($S$20,NOT($U$20)),IF($V125:$V623="","",SUMIF(portfolio.!$A$4:$A623,V125,portfolio.!$AN$4:$AN623)),"")</f>
        <v/>
      </c>
      <c r="X125" s="998"/>
      <c r="Y125" s="936"/>
      <c r="Z125" s="936" t="s">
        <v>123</v>
      </c>
      <c r="AA125" s="936" t="s">
        <v>123</v>
      </c>
      <c r="AB125" s="936" t="s">
        <v>123</v>
      </c>
      <c r="AC125" s="907" t="s">
        <v>123</v>
      </c>
      <c r="AD125" s="999"/>
      <c r="AE125" s="936"/>
      <c r="AF125" s="936"/>
      <c r="AG125" s="936"/>
      <c r="AH125" s="936"/>
      <c r="AI125" s="999"/>
      <c r="AJ125" s="935"/>
      <c r="AK125" s="966"/>
      <c r="AL125" s="949"/>
      <c r="AM125" s="949" t="s">
        <v>123</v>
      </c>
      <c r="AN125" s="949"/>
      <c r="AO125" s="999"/>
      <c r="AP125" s="936"/>
      <c r="AQ125" s="987"/>
      <c r="AR125" s="907"/>
      <c r="AS125" s="907"/>
      <c r="AT125" s="967" t="s">
        <v>123</v>
      </c>
      <c r="AU125" s="967" t="s">
        <v>123</v>
      </c>
      <c r="AV125" s="967" t="s">
        <v>123</v>
      </c>
      <c r="AW125" s="907" t="s">
        <v>123</v>
      </c>
      <c r="AX125" s="907" t="s">
        <v>123</v>
      </c>
      <c r="AY125" s="907" t="s">
        <v>123</v>
      </c>
      <c r="AZ125" s="936" t="s">
        <v>123</v>
      </c>
      <c r="BA125" s="935" t="s">
        <v>123</v>
      </c>
      <c r="BB125" s="1000"/>
      <c r="BC125" s="1001"/>
      <c r="BD125" s="936"/>
      <c r="BE125" s="907"/>
      <c r="BF125" s="1002" t="str">
        <f>IF($BC125="","",SUMIF(portfolio.!$A$4:$A623,BC125,portfolio.!$AN$4:$AN623))</f>
        <v/>
      </c>
      <c r="BG125" s="936" t="s">
        <v>123</v>
      </c>
      <c r="BH125" s="907" t="s">
        <v>123</v>
      </c>
      <c r="BI125" s="935" t="s">
        <v>123</v>
      </c>
      <c r="BJ125" s="1003"/>
      <c r="BK125" s="907" t="s">
        <v>123</v>
      </c>
      <c r="BL125" s="907" t="s">
        <v>123</v>
      </c>
      <c r="BM125" s="907" t="s">
        <v>123</v>
      </c>
      <c r="BN125" s="1004" t="s">
        <v>123</v>
      </c>
      <c r="BO125" s="907" t="str">
        <f t="shared" si="6"/>
        <v/>
      </c>
      <c r="BP125" s="907" t="str">
        <f t="shared" si="7"/>
        <v/>
      </c>
      <c r="BQ125" s="907" t="str">
        <f t="shared" si="8"/>
        <v/>
      </c>
      <c r="BR125" s="1004" t="str">
        <f t="shared" si="9"/>
        <v/>
      </c>
      <c r="BS125" s="1005" t="str">
        <f t="shared" si="10"/>
        <v/>
      </c>
      <c r="BT125" s="1006" t="s">
        <v>123</v>
      </c>
      <c r="BU125" s="1002" t="s">
        <v>123</v>
      </c>
      <c r="BV125" s="1006" t="s">
        <v>123</v>
      </c>
      <c r="BW125" s="1007"/>
    </row>
    <row r="126">
      <c r="A126" s="624">
        <v>103.0</v>
      </c>
      <c r="B126" s="1008"/>
      <c r="C126" s="989"/>
      <c r="D126" s="851"/>
      <c r="E126" s="990"/>
      <c r="F126" s="991"/>
      <c r="G126" s="991"/>
      <c r="H126" s="992"/>
      <c r="I126" s="993"/>
      <c r="J126" s="993"/>
      <c r="K126" s="993"/>
      <c r="L126" s="993"/>
      <c r="M126" s="993"/>
      <c r="N126" s="993"/>
      <c r="O126" s="993"/>
      <c r="P126" s="993"/>
      <c r="Q126" s="993"/>
      <c r="R126" s="993"/>
      <c r="S126" s="936"/>
      <c r="T126" s="998"/>
      <c r="U126" s="935"/>
      <c r="V126" s="935"/>
      <c r="W126" s="949" t="str">
        <f>IF(AND($S$20,NOT($U$20)),IF($V126:$V623="","",SUMIF(portfolio.!$A$4:$A623,V126,portfolio.!$AN$4:$AN623)),"")</f>
        <v/>
      </c>
      <c r="X126" s="998"/>
      <c r="Y126" s="936"/>
      <c r="Z126" s="936" t="s">
        <v>123</v>
      </c>
      <c r="AA126" s="936" t="s">
        <v>123</v>
      </c>
      <c r="AB126" s="936" t="s">
        <v>123</v>
      </c>
      <c r="AC126" s="907" t="s">
        <v>123</v>
      </c>
      <c r="AD126" s="999"/>
      <c r="AE126" s="936"/>
      <c r="AF126" s="936"/>
      <c r="AG126" s="936"/>
      <c r="AH126" s="936"/>
      <c r="AI126" s="999"/>
      <c r="AJ126" s="935"/>
      <c r="AK126" s="966"/>
      <c r="AL126" s="949"/>
      <c r="AM126" s="949" t="s">
        <v>123</v>
      </c>
      <c r="AN126" s="949"/>
      <c r="AO126" s="999"/>
      <c r="AP126" s="936"/>
      <c r="AQ126" s="987"/>
      <c r="AR126" s="907"/>
      <c r="AS126" s="907"/>
      <c r="AT126" s="967" t="s">
        <v>123</v>
      </c>
      <c r="AU126" s="967" t="s">
        <v>123</v>
      </c>
      <c r="AV126" s="967" t="s">
        <v>123</v>
      </c>
      <c r="AW126" s="907" t="s">
        <v>123</v>
      </c>
      <c r="AX126" s="907" t="s">
        <v>123</v>
      </c>
      <c r="AY126" s="907" t="s">
        <v>123</v>
      </c>
      <c r="AZ126" s="936" t="s">
        <v>123</v>
      </c>
      <c r="BA126" s="935" t="s">
        <v>123</v>
      </c>
      <c r="BB126" s="1000"/>
      <c r="BC126" s="1001"/>
      <c r="BD126" s="936"/>
      <c r="BE126" s="907"/>
      <c r="BF126" s="1002" t="str">
        <f>IF($BC126="","",SUMIF(portfolio.!$A$4:$A623,BC126,portfolio.!$AN$4:$AN623))</f>
        <v/>
      </c>
      <c r="BG126" s="936" t="s">
        <v>123</v>
      </c>
      <c r="BH126" s="907" t="s">
        <v>123</v>
      </c>
      <c r="BI126" s="935" t="s">
        <v>123</v>
      </c>
      <c r="BJ126" s="1003"/>
      <c r="BK126" s="907" t="s">
        <v>123</v>
      </c>
      <c r="BL126" s="907" t="s">
        <v>123</v>
      </c>
      <c r="BM126" s="907" t="s">
        <v>123</v>
      </c>
      <c r="BN126" s="1004" t="s">
        <v>123</v>
      </c>
      <c r="BO126" s="907" t="str">
        <f t="shared" si="6"/>
        <v/>
      </c>
      <c r="BP126" s="907" t="str">
        <f t="shared" si="7"/>
        <v/>
      </c>
      <c r="BQ126" s="907" t="str">
        <f t="shared" si="8"/>
        <v/>
      </c>
      <c r="BR126" s="1004" t="str">
        <f t="shared" si="9"/>
        <v/>
      </c>
      <c r="BS126" s="1005" t="str">
        <f t="shared" si="10"/>
        <v/>
      </c>
      <c r="BT126" s="1006" t="s">
        <v>123</v>
      </c>
      <c r="BU126" s="1002" t="s">
        <v>123</v>
      </c>
      <c r="BV126" s="1006" t="s">
        <v>123</v>
      </c>
      <c r="BW126" s="1007"/>
    </row>
    <row r="127">
      <c r="A127" s="624">
        <v>104.0</v>
      </c>
      <c r="B127" s="1008"/>
      <c r="C127" s="989"/>
      <c r="D127" s="851"/>
      <c r="E127" s="990"/>
      <c r="F127" s="991"/>
      <c r="G127" s="991"/>
      <c r="H127" s="992"/>
      <c r="I127" s="993"/>
      <c r="J127" s="993"/>
      <c r="K127" s="993"/>
      <c r="L127" s="993"/>
      <c r="M127" s="993"/>
      <c r="N127" s="993"/>
      <c r="O127" s="993"/>
      <c r="P127" s="993"/>
      <c r="Q127" s="993"/>
      <c r="R127" s="993"/>
      <c r="S127" s="936"/>
      <c r="T127" s="998"/>
      <c r="U127" s="935"/>
      <c r="V127" s="935"/>
      <c r="W127" s="949" t="str">
        <f>IF(AND($S$20,NOT($U$20)),IF($V127:$V623="","",SUMIF(portfolio.!$A$4:$A623,V127,portfolio.!$AN$4:$AN623)),"")</f>
        <v/>
      </c>
      <c r="X127" s="998"/>
      <c r="Y127" s="936"/>
      <c r="Z127" s="936" t="s">
        <v>123</v>
      </c>
      <c r="AA127" s="936" t="s">
        <v>123</v>
      </c>
      <c r="AB127" s="936" t="s">
        <v>123</v>
      </c>
      <c r="AC127" s="907" t="s">
        <v>123</v>
      </c>
      <c r="AD127" s="999"/>
      <c r="AE127" s="936"/>
      <c r="AF127" s="936"/>
      <c r="AG127" s="936"/>
      <c r="AH127" s="936"/>
      <c r="AI127" s="999"/>
      <c r="AJ127" s="935"/>
      <c r="AK127" s="966"/>
      <c r="AL127" s="949"/>
      <c r="AM127" s="949" t="s">
        <v>123</v>
      </c>
      <c r="AN127" s="949"/>
      <c r="AO127" s="999"/>
      <c r="AP127" s="936"/>
      <c r="AQ127" s="987"/>
      <c r="AR127" s="907"/>
      <c r="AS127" s="907"/>
      <c r="AT127" s="967" t="s">
        <v>123</v>
      </c>
      <c r="AU127" s="967" t="s">
        <v>123</v>
      </c>
      <c r="AV127" s="967" t="s">
        <v>123</v>
      </c>
      <c r="AW127" s="907" t="s">
        <v>123</v>
      </c>
      <c r="AX127" s="907" t="s">
        <v>123</v>
      </c>
      <c r="AY127" s="907" t="s">
        <v>123</v>
      </c>
      <c r="AZ127" s="936" t="s">
        <v>123</v>
      </c>
      <c r="BA127" s="935" t="s">
        <v>123</v>
      </c>
      <c r="BB127" s="1000"/>
      <c r="BC127" s="1001"/>
      <c r="BD127" s="936"/>
      <c r="BE127" s="907"/>
      <c r="BF127" s="1002" t="str">
        <f>IF($BC127="","",SUMIF(portfolio.!$A$4:$A623,BC127,portfolio.!$AN$4:$AN623))</f>
        <v/>
      </c>
      <c r="BG127" s="936" t="s">
        <v>123</v>
      </c>
      <c r="BH127" s="907" t="s">
        <v>123</v>
      </c>
      <c r="BI127" s="935" t="s">
        <v>123</v>
      </c>
      <c r="BJ127" s="1003"/>
      <c r="BK127" s="907" t="s">
        <v>123</v>
      </c>
      <c r="BL127" s="907" t="s">
        <v>123</v>
      </c>
      <c r="BM127" s="907" t="s">
        <v>123</v>
      </c>
      <c r="BN127" s="1004" t="s">
        <v>123</v>
      </c>
      <c r="BO127" s="907" t="str">
        <f t="shared" si="6"/>
        <v/>
      </c>
      <c r="BP127" s="907" t="str">
        <f t="shared" si="7"/>
        <v/>
      </c>
      <c r="BQ127" s="907" t="str">
        <f t="shared" si="8"/>
        <v/>
      </c>
      <c r="BR127" s="1004" t="str">
        <f t="shared" si="9"/>
        <v/>
      </c>
      <c r="BS127" s="1005" t="str">
        <f t="shared" si="10"/>
        <v/>
      </c>
      <c r="BT127" s="1006" t="s">
        <v>123</v>
      </c>
      <c r="BU127" s="1002" t="s">
        <v>123</v>
      </c>
      <c r="BV127" s="1006" t="s">
        <v>123</v>
      </c>
      <c r="BW127" s="1007"/>
    </row>
    <row r="128">
      <c r="A128" s="624">
        <v>105.0</v>
      </c>
      <c r="B128" s="1008"/>
      <c r="C128" s="989"/>
      <c r="D128" s="851"/>
      <c r="E128" s="990"/>
      <c r="F128" s="991"/>
      <c r="G128" s="991"/>
      <c r="H128" s="992"/>
      <c r="I128" s="993"/>
      <c r="J128" s="993"/>
      <c r="K128" s="993"/>
      <c r="L128" s="993"/>
      <c r="M128" s="993"/>
      <c r="N128" s="993"/>
      <c r="O128" s="993"/>
      <c r="P128" s="993"/>
      <c r="Q128" s="993"/>
      <c r="R128" s="993"/>
      <c r="S128" s="936"/>
      <c r="T128" s="998"/>
      <c r="U128" s="935"/>
      <c r="V128" s="935"/>
      <c r="W128" s="949" t="str">
        <f>IF(AND($S$20,NOT($U$20)),IF($V128:$V623="","",SUMIF(portfolio.!$A$4:$A623,V128,portfolio.!$AN$4:$AN623)),"")</f>
        <v/>
      </c>
      <c r="X128" s="998"/>
      <c r="Y128" s="936"/>
      <c r="Z128" s="936" t="s">
        <v>123</v>
      </c>
      <c r="AA128" s="936" t="s">
        <v>123</v>
      </c>
      <c r="AB128" s="936" t="s">
        <v>123</v>
      </c>
      <c r="AC128" s="907" t="s">
        <v>123</v>
      </c>
      <c r="AD128" s="999"/>
      <c r="AE128" s="936"/>
      <c r="AF128" s="936"/>
      <c r="AG128" s="936"/>
      <c r="AH128" s="936"/>
      <c r="AI128" s="999"/>
      <c r="AJ128" s="935"/>
      <c r="AK128" s="966"/>
      <c r="AL128" s="949"/>
      <c r="AM128" s="949" t="s">
        <v>123</v>
      </c>
      <c r="AN128" s="949"/>
      <c r="AO128" s="999"/>
      <c r="AP128" s="936"/>
      <c r="AQ128" s="987"/>
      <c r="AR128" s="907"/>
      <c r="AS128" s="907"/>
      <c r="AT128" s="967" t="s">
        <v>123</v>
      </c>
      <c r="AU128" s="967" t="s">
        <v>123</v>
      </c>
      <c r="AV128" s="967" t="s">
        <v>123</v>
      </c>
      <c r="AW128" s="907" t="s">
        <v>123</v>
      </c>
      <c r="AX128" s="907" t="s">
        <v>123</v>
      </c>
      <c r="AY128" s="907" t="s">
        <v>123</v>
      </c>
      <c r="AZ128" s="936" t="s">
        <v>123</v>
      </c>
      <c r="BA128" s="935" t="s">
        <v>123</v>
      </c>
      <c r="BB128" s="1000"/>
      <c r="BC128" s="1001"/>
      <c r="BD128" s="936"/>
      <c r="BE128" s="907"/>
      <c r="BF128" s="1002" t="str">
        <f>IF($BC128="","",SUMIF(portfolio.!$A$4:$A623,BC128,portfolio.!$AN$4:$AN623))</f>
        <v/>
      </c>
      <c r="BG128" s="936" t="s">
        <v>123</v>
      </c>
      <c r="BH128" s="907" t="s">
        <v>123</v>
      </c>
      <c r="BI128" s="935" t="s">
        <v>123</v>
      </c>
      <c r="BJ128" s="1003"/>
      <c r="BK128" s="907" t="s">
        <v>123</v>
      </c>
      <c r="BL128" s="907" t="s">
        <v>123</v>
      </c>
      <c r="BM128" s="907" t="s">
        <v>123</v>
      </c>
      <c r="BN128" s="1004" t="s">
        <v>123</v>
      </c>
      <c r="BO128" s="907" t="str">
        <f t="shared" si="6"/>
        <v/>
      </c>
      <c r="BP128" s="907" t="str">
        <f t="shared" si="7"/>
        <v/>
      </c>
      <c r="BQ128" s="907" t="str">
        <f t="shared" si="8"/>
        <v/>
      </c>
      <c r="BR128" s="1004" t="str">
        <f t="shared" si="9"/>
        <v/>
      </c>
      <c r="BS128" s="1005" t="str">
        <f t="shared" si="10"/>
        <v/>
      </c>
      <c r="BT128" s="1006" t="s">
        <v>123</v>
      </c>
      <c r="BU128" s="1002" t="s">
        <v>123</v>
      </c>
      <c r="BV128" s="1006" t="s">
        <v>123</v>
      </c>
      <c r="BW128" s="1007"/>
    </row>
    <row r="129">
      <c r="A129" s="624">
        <v>106.0</v>
      </c>
      <c r="B129" s="1008"/>
      <c r="C129" s="989"/>
      <c r="D129" s="851"/>
      <c r="E129" s="990"/>
      <c r="F129" s="991"/>
      <c r="G129" s="991"/>
      <c r="H129" s="992"/>
      <c r="I129" s="993"/>
      <c r="J129" s="993"/>
      <c r="K129" s="993"/>
      <c r="L129" s="993"/>
      <c r="M129" s="993"/>
      <c r="N129" s="993"/>
      <c r="O129" s="993"/>
      <c r="P129" s="993"/>
      <c r="Q129" s="993"/>
      <c r="R129" s="993"/>
      <c r="S129" s="936"/>
      <c r="T129" s="998"/>
      <c r="U129" s="935"/>
      <c r="V129" s="935"/>
      <c r="W129" s="949" t="str">
        <f>IF(AND($S$20,NOT($U$20)),IF($V129:$V623="","",SUMIF(portfolio.!$A$4:$A623,V129,portfolio.!$AN$4:$AN623)),"")</f>
        <v/>
      </c>
      <c r="X129" s="998"/>
      <c r="Y129" s="936"/>
      <c r="Z129" s="936" t="s">
        <v>123</v>
      </c>
      <c r="AA129" s="936" t="s">
        <v>123</v>
      </c>
      <c r="AB129" s="936" t="s">
        <v>123</v>
      </c>
      <c r="AC129" s="907" t="s">
        <v>123</v>
      </c>
      <c r="AD129" s="999"/>
      <c r="AE129" s="936"/>
      <c r="AF129" s="936"/>
      <c r="AG129" s="936"/>
      <c r="AH129" s="936"/>
      <c r="AI129" s="999"/>
      <c r="AJ129" s="935"/>
      <c r="AK129" s="966"/>
      <c r="AL129" s="949"/>
      <c r="AM129" s="949" t="s">
        <v>123</v>
      </c>
      <c r="AN129" s="949"/>
      <c r="AO129" s="999"/>
      <c r="AP129" s="936"/>
      <c r="AQ129" s="987"/>
      <c r="AR129" s="907"/>
      <c r="AS129" s="907"/>
      <c r="AT129" s="967" t="s">
        <v>123</v>
      </c>
      <c r="AU129" s="967" t="s">
        <v>123</v>
      </c>
      <c r="AV129" s="967" t="s">
        <v>123</v>
      </c>
      <c r="AW129" s="907" t="s">
        <v>123</v>
      </c>
      <c r="AX129" s="907" t="s">
        <v>123</v>
      </c>
      <c r="AY129" s="907" t="s">
        <v>123</v>
      </c>
      <c r="AZ129" s="936" t="s">
        <v>123</v>
      </c>
      <c r="BA129" s="935" t="s">
        <v>123</v>
      </c>
      <c r="BB129" s="1000"/>
      <c r="BC129" s="1001"/>
      <c r="BD129" s="936"/>
      <c r="BE129" s="907"/>
      <c r="BF129" s="1002" t="str">
        <f>IF($BC129="","",SUMIF(portfolio.!$A$4:$A623,BC129,portfolio.!$AN$4:$AN623))</f>
        <v/>
      </c>
      <c r="BG129" s="936" t="s">
        <v>123</v>
      </c>
      <c r="BH129" s="907" t="s">
        <v>123</v>
      </c>
      <c r="BI129" s="935" t="s">
        <v>123</v>
      </c>
      <c r="BJ129" s="1003"/>
      <c r="BK129" s="907" t="s">
        <v>123</v>
      </c>
      <c r="BL129" s="907" t="s">
        <v>123</v>
      </c>
      <c r="BM129" s="907" t="s">
        <v>123</v>
      </c>
      <c r="BN129" s="1004" t="s">
        <v>123</v>
      </c>
      <c r="BO129" s="907" t="str">
        <f t="shared" si="6"/>
        <v/>
      </c>
      <c r="BP129" s="907" t="str">
        <f t="shared" si="7"/>
        <v/>
      </c>
      <c r="BQ129" s="907" t="str">
        <f t="shared" si="8"/>
        <v/>
      </c>
      <c r="BR129" s="1004" t="str">
        <f t="shared" si="9"/>
        <v/>
      </c>
      <c r="BS129" s="1005" t="str">
        <f t="shared" si="10"/>
        <v/>
      </c>
      <c r="BT129" s="1006" t="s">
        <v>123</v>
      </c>
      <c r="BU129" s="1002" t="s">
        <v>123</v>
      </c>
      <c r="BV129" s="1006" t="s">
        <v>123</v>
      </c>
      <c r="BW129" s="1007"/>
    </row>
    <row r="130">
      <c r="A130" s="624">
        <v>107.0</v>
      </c>
      <c r="B130" s="1008"/>
      <c r="C130" s="989"/>
      <c r="D130" s="851"/>
      <c r="E130" s="990"/>
      <c r="F130" s="991"/>
      <c r="G130" s="991"/>
      <c r="H130" s="992"/>
      <c r="I130" s="993"/>
      <c r="J130" s="993"/>
      <c r="K130" s="993"/>
      <c r="L130" s="993"/>
      <c r="M130" s="993"/>
      <c r="N130" s="993"/>
      <c r="O130" s="993"/>
      <c r="P130" s="993"/>
      <c r="Q130" s="993"/>
      <c r="R130" s="993"/>
      <c r="S130" s="936"/>
      <c r="T130" s="998"/>
      <c r="U130" s="935"/>
      <c r="V130" s="935"/>
      <c r="W130" s="949" t="str">
        <f>IF(AND($S$20,NOT($U$20)),IF($V130:$V623="","",SUMIF(portfolio.!$A$4:$A623,V130,portfolio.!$AN$4:$AN623)),"")</f>
        <v/>
      </c>
      <c r="X130" s="998"/>
      <c r="Y130" s="936"/>
      <c r="Z130" s="936" t="s">
        <v>123</v>
      </c>
      <c r="AA130" s="936" t="s">
        <v>123</v>
      </c>
      <c r="AB130" s="936" t="s">
        <v>123</v>
      </c>
      <c r="AC130" s="907" t="s">
        <v>123</v>
      </c>
      <c r="AD130" s="999"/>
      <c r="AE130" s="936"/>
      <c r="AF130" s="936"/>
      <c r="AG130" s="936"/>
      <c r="AH130" s="936"/>
      <c r="AI130" s="999"/>
      <c r="AJ130" s="935"/>
      <c r="AK130" s="966"/>
      <c r="AL130" s="949"/>
      <c r="AM130" s="949" t="s">
        <v>123</v>
      </c>
      <c r="AN130" s="949"/>
      <c r="AO130" s="999"/>
      <c r="AP130" s="936"/>
      <c r="AQ130" s="987"/>
      <c r="AR130" s="907"/>
      <c r="AS130" s="907"/>
      <c r="AT130" s="967" t="s">
        <v>123</v>
      </c>
      <c r="AU130" s="967" t="s">
        <v>123</v>
      </c>
      <c r="AV130" s="967" t="s">
        <v>123</v>
      </c>
      <c r="AW130" s="907" t="s">
        <v>123</v>
      </c>
      <c r="AX130" s="907" t="s">
        <v>123</v>
      </c>
      <c r="AY130" s="907" t="s">
        <v>123</v>
      </c>
      <c r="AZ130" s="936" t="s">
        <v>123</v>
      </c>
      <c r="BA130" s="935" t="s">
        <v>123</v>
      </c>
      <c r="BB130" s="1000"/>
      <c r="BC130" s="1001"/>
      <c r="BD130" s="936"/>
      <c r="BE130" s="907"/>
      <c r="BF130" s="1002" t="str">
        <f>IF($BC130="","",SUMIF(portfolio.!$A$4:$A623,BC130,portfolio.!$AN$4:$AN623))</f>
        <v/>
      </c>
      <c r="BG130" s="936" t="s">
        <v>123</v>
      </c>
      <c r="BH130" s="907" t="s">
        <v>123</v>
      </c>
      <c r="BI130" s="935" t="s">
        <v>123</v>
      </c>
      <c r="BJ130" s="1003"/>
      <c r="BK130" s="907" t="s">
        <v>123</v>
      </c>
      <c r="BL130" s="907" t="s">
        <v>123</v>
      </c>
      <c r="BM130" s="907" t="s">
        <v>123</v>
      </c>
      <c r="BN130" s="1004" t="s">
        <v>123</v>
      </c>
      <c r="BO130" s="907" t="str">
        <f t="shared" si="6"/>
        <v/>
      </c>
      <c r="BP130" s="907" t="str">
        <f t="shared" si="7"/>
        <v/>
      </c>
      <c r="BQ130" s="907" t="str">
        <f t="shared" si="8"/>
        <v/>
      </c>
      <c r="BR130" s="1004" t="str">
        <f t="shared" si="9"/>
        <v/>
      </c>
      <c r="BS130" s="1005" t="str">
        <f t="shared" si="10"/>
        <v/>
      </c>
      <c r="BT130" s="1006" t="s">
        <v>123</v>
      </c>
      <c r="BU130" s="1002" t="s">
        <v>123</v>
      </c>
      <c r="BV130" s="1006" t="s">
        <v>123</v>
      </c>
      <c r="BW130" s="1007"/>
    </row>
    <row r="131">
      <c r="A131" s="624">
        <v>108.0</v>
      </c>
      <c r="B131" s="1008"/>
      <c r="C131" s="989"/>
      <c r="D131" s="851"/>
      <c r="E131" s="990"/>
      <c r="F131" s="991"/>
      <c r="G131" s="991"/>
      <c r="H131" s="992"/>
      <c r="I131" s="993"/>
      <c r="J131" s="993"/>
      <c r="K131" s="993"/>
      <c r="L131" s="993"/>
      <c r="M131" s="993"/>
      <c r="N131" s="993"/>
      <c r="O131" s="993"/>
      <c r="P131" s="993"/>
      <c r="Q131" s="993"/>
      <c r="R131" s="993"/>
      <c r="S131" s="936"/>
      <c r="T131" s="998"/>
      <c r="U131" s="935"/>
      <c r="V131" s="935"/>
      <c r="W131" s="949" t="str">
        <f>IF(AND($S$20,NOT($U$20)),IF($V131:$V623="","",SUMIF(portfolio.!$A$4:$A623,V131,portfolio.!$AN$4:$AN623)),"")</f>
        <v/>
      </c>
      <c r="X131" s="998"/>
      <c r="Y131" s="936"/>
      <c r="Z131" s="936" t="s">
        <v>123</v>
      </c>
      <c r="AA131" s="936" t="s">
        <v>123</v>
      </c>
      <c r="AB131" s="936" t="s">
        <v>123</v>
      </c>
      <c r="AC131" s="907" t="s">
        <v>123</v>
      </c>
      <c r="AD131" s="999"/>
      <c r="AE131" s="936"/>
      <c r="AF131" s="936"/>
      <c r="AG131" s="936"/>
      <c r="AH131" s="936"/>
      <c r="AI131" s="999"/>
      <c r="AJ131" s="935"/>
      <c r="AK131" s="966"/>
      <c r="AL131" s="949"/>
      <c r="AM131" s="949" t="s">
        <v>123</v>
      </c>
      <c r="AN131" s="949"/>
      <c r="AO131" s="999"/>
      <c r="AP131" s="936"/>
      <c r="AQ131" s="987"/>
      <c r="AR131" s="907"/>
      <c r="AS131" s="907"/>
      <c r="AT131" s="967" t="s">
        <v>123</v>
      </c>
      <c r="AU131" s="967" t="s">
        <v>123</v>
      </c>
      <c r="AV131" s="967" t="s">
        <v>123</v>
      </c>
      <c r="AW131" s="907" t="s">
        <v>123</v>
      </c>
      <c r="AX131" s="907" t="s">
        <v>123</v>
      </c>
      <c r="AY131" s="907" t="s">
        <v>123</v>
      </c>
      <c r="AZ131" s="936" t="s">
        <v>123</v>
      </c>
      <c r="BA131" s="935" t="s">
        <v>123</v>
      </c>
      <c r="BB131" s="1000"/>
      <c r="BC131" s="1001"/>
      <c r="BD131" s="936"/>
      <c r="BE131" s="907"/>
      <c r="BF131" s="1002" t="str">
        <f>IF($BC131="","",SUMIF(portfolio.!$A$4:$A623,BC131,portfolio.!$AN$4:$AN623))</f>
        <v/>
      </c>
      <c r="BG131" s="936" t="s">
        <v>123</v>
      </c>
      <c r="BH131" s="907" t="s">
        <v>123</v>
      </c>
      <c r="BI131" s="935" t="s">
        <v>123</v>
      </c>
      <c r="BJ131" s="1003"/>
      <c r="BK131" s="907" t="s">
        <v>123</v>
      </c>
      <c r="BL131" s="907" t="s">
        <v>123</v>
      </c>
      <c r="BM131" s="907" t="s">
        <v>123</v>
      </c>
      <c r="BN131" s="1004" t="s">
        <v>123</v>
      </c>
      <c r="BO131" s="907" t="str">
        <f t="shared" si="6"/>
        <v/>
      </c>
      <c r="BP131" s="907" t="str">
        <f t="shared" si="7"/>
        <v/>
      </c>
      <c r="BQ131" s="907" t="str">
        <f t="shared" si="8"/>
        <v/>
      </c>
      <c r="BR131" s="1004" t="str">
        <f t="shared" si="9"/>
        <v/>
      </c>
      <c r="BS131" s="1005" t="str">
        <f t="shared" si="10"/>
        <v/>
      </c>
      <c r="BT131" s="1006" t="s">
        <v>123</v>
      </c>
      <c r="BU131" s="1002" t="s">
        <v>123</v>
      </c>
      <c r="BV131" s="1006" t="s">
        <v>123</v>
      </c>
      <c r="BW131" s="1007"/>
    </row>
    <row r="132">
      <c r="A132" s="624">
        <v>109.0</v>
      </c>
      <c r="B132" s="1008"/>
      <c r="C132" s="989"/>
      <c r="D132" s="851"/>
      <c r="E132" s="990"/>
      <c r="F132" s="991"/>
      <c r="G132" s="991"/>
      <c r="H132" s="992"/>
      <c r="I132" s="993"/>
      <c r="J132" s="993"/>
      <c r="K132" s="993"/>
      <c r="L132" s="993"/>
      <c r="M132" s="993"/>
      <c r="N132" s="993"/>
      <c r="O132" s="993"/>
      <c r="P132" s="993"/>
      <c r="Q132" s="993"/>
      <c r="R132" s="993"/>
      <c r="S132" s="936"/>
      <c r="T132" s="998"/>
      <c r="U132" s="935"/>
      <c r="V132" s="935"/>
      <c r="W132" s="949" t="str">
        <f>IF(AND($S$20,NOT($U$20)),IF($V132:$V623="","",SUMIF(portfolio.!$A$4:$A623,V132,portfolio.!$AN$4:$AN623)),"")</f>
        <v/>
      </c>
      <c r="X132" s="998"/>
      <c r="Y132" s="936"/>
      <c r="Z132" s="936" t="s">
        <v>123</v>
      </c>
      <c r="AA132" s="936" t="s">
        <v>123</v>
      </c>
      <c r="AB132" s="936" t="s">
        <v>123</v>
      </c>
      <c r="AC132" s="907" t="s">
        <v>123</v>
      </c>
      <c r="AD132" s="999"/>
      <c r="AE132" s="936"/>
      <c r="AF132" s="936"/>
      <c r="AG132" s="936"/>
      <c r="AH132" s="936"/>
      <c r="AI132" s="999"/>
      <c r="AJ132" s="935"/>
      <c r="AK132" s="966"/>
      <c r="AL132" s="949"/>
      <c r="AM132" s="949" t="s">
        <v>123</v>
      </c>
      <c r="AN132" s="949"/>
      <c r="AO132" s="999"/>
      <c r="AP132" s="936"/>
      <c r="AQ132" s="987"/>
      <c r="AR132" s="907"/>
      <c r="AS132" s="907"/>
      <c r="AT132" s="967" t="s">
        <v>123</v>
      </c>
      <c r="AU132" s="967" t="s">
        <v>123</v>
      </c>
      <c r="AV132" s="967" t="s">
        <v>123</v>
      </c>
      <c r="AW132" s="907" t="s">
        <v>123</v>
      </c>
      <c r="AX132" s="907" t="s">
        <v>123</v>
      </c>
      <c r="AY132" s="907" t="s">
        <v>123</v>
      </c>
      <c r="AZ132" s="936" t="s">
        <v>123</v>
      </c>
      <c r="BA132" s="935" t="s">
        <v>123</v>
      </c>
      <c r="BB132" s="1000"/>
      <c r="BC132" s="1001"/>
      <c r="BD132" s="936"/>
      <c r="BE132" s="907"/>
      <c r="BF132" s="1002" t="str">
        <f>IF($BC132="","",SUMIF(portfolio.!$A$4:$A623,BC132,portfolio.!$AN$4:$AN623))</f>
        <v/>
      </c>
      <c r="BG132" s="936" t="s">
        <v>123</v>
      </c>
      <c r="BH132" s="907" t="s">
        <v>123</v>
      </c>
      <c r="BI132" s="935" t="s">
        <v>123</v>
      </c>
      <c r="BJ132" s="1003"/>
      <c r="BK132" s="907" t="s">
        <v>123</v>
      </c>
      <c r="BL132" s="907" t="s">
        <v>123</v>
      </c>
      <c r="BM132" s="907" t="s">
        <v>123</v>
      </c>
      <c r="BN132" s="1004" t="s">
        <v>123</v>
      </c>
      <c r="BO132" s="907" t="str">
        <f t="shared" si="6"/>
        <v/>
      </c>
      <c r="BP132" s="907" t="str">
        <f t="shared" si="7"/>
        <v/>
      </c>
      <c r="BQ132" s="907" t="str">
        <f t="shared" si="8"/>
        <v/>
      </c>
      <c r="BR132" s="1004" t="str">
        <f t="shared" si="9"/>
        <v/>
      </c>
      <c r="BS132" s="1005" t="str">
        <f t="shared" si="10"/>
        <v/>
      </c>
      <c r="BT132" s="1006" t="s">
        <v>123</v>
      </c>
      <c r="BU132" s="1002" t="s">
        <v>123</v>
      </c>
      <c r="BV132" s="1006" t="s">
        <v>123</v>
      </c>
      <c r="BW132" s="1007"/>
    </row>
    <row r="133">
      <c r="A133" s="624">
        <v>110.0</v>
      </c>
      <c r="B133" s="1008"/>
      <c r="C133" s="989"/>
      <c r="D133" s="851"/>
      <c r="E133" s="990"/>
      <c r="F133" s="991"/>
      <c r="G133" s="991"/>
      <c r="H133" s="992"/>
      <c r="I133" s="993"/>
      <c r="J133" s="993"/>
      <c r="K133" s="993"/>
      <c r="L133" s="993"/>
      <c r="M133" s="993"/>
      <c r="N133" s="993"/>
      <c r="O133" s="993"/>
      <c r="P133" s="993"/>
      <c r="Q133" s="993"/>
      <c r="R133" s="993"/>
      <c r="S133" s="936"/>
      <c r="T133" s="998"/>
      <c r="U133" s="935"/>
      <c r="V133" s="935"/>
      <c r="W133" s="949" t="str">
        <f>IF(AND($S$20,NOT($U$20)),IF($V133:$V623="","",SUMIF(portfolio.!$A$4:$A623,V133,portfolio.!$AN$4:$AN623)),"")</f>
        <v/>
      </c>
      <c r="X133" s="998"/>
      <c r="Y133" s="936"/>
      <c r="Z133" s="936" t="s">
        <v>123</v>
      </c>
      <c r="AA133" s="936" t="s">
        <v>123</v>
      </c>
      <c r="AB133" s="936" t="s">
        <v>123</v>
      </c>
      <c r="AC133" s="907" t="s">
        <v>123</v>
      </c>
      <c r="AD133" s="999"/>
      <c r="AE133" s="936"/>
      <c r="AF133" s="936"/>
      <c r="AG133" s="936"/>
      <c r="AH133" s="936"/>
      <c r="AI133" s="999"/>
      <c r="AJ133" s="935"/>
      <c r="AK133" s="966"/>
      <c r="AL133" s="949"/>
      <c r="AM133" s="949" t="s">
        <v>123</v>
      </c>
      <c r="AN133" s="949"/>
      <c r="AO133" s="999"/>
      <c r="AP133" s="936"/>
      <c r="AQ133" s="987"/>
      <c r="AR133" s="907"/>
      <c r="AS133" s="907"/>
      <c r="AT133" s="967" t="s">
        <v>123</v>
      </c>
      <c r="AU133" s="967" t="s">
        <v>123</v>
      </c>
      <c r="AV133" s="967" t="s">
        <v>123</v>
      </c>
      <c r="AW133" s="907" t="s">
        <v>123</v>
      </c>
      <c r="AX133" s="907" t="s">
        <v>123</v>
      </c>
      <c r="AY133" s="907" t="s">
        <v>123</v>
      </c>
      <c r="AZ133" s="936" t="s">
        <v>123</v>
      </c>
      <c r="BA133" s="935" t="s">
        <v>123</v>
      </c>
      <c r="BB133" s="1000"/>
      <c r="BC133" s="1001"/>
      <c r="BD133" s="936"/>
      <c r="BE133" s="907"/>
      <c r="BF133" s="1002" t="str">
        <f>IF($BC133="","",SUMIF(portfolio.!$A$4:$A623,BC133,portfolio.!$AN$4:$AN623))</f>
        <v/>
      </c>
      <c r="BG133" s="936" t="s">
        <v>123</v>
      </c>
      <c r="BH133" s="907" t="s">
        <v>123</v>
      </c>
      <c r="BI133" s="935" t="s">
        <v>123</v>
      </c>
      <c r="BJ133" s="1003"/>
      <c r="BK133" s="907" t="s">
        <v>123</v>
      </c>
      <c r="BL133" s="907" t="s">
        <v>123</v>
      </c>
      <c r="BM133" s="907" t="s">
        <v>123</v>
      </c>
      <c r="BN133" s="1004" t="s">
        <v>123</v>
      </c>
      <c r="BO133" s="907" t="str">
        <f t="shared" si="6"/>
        <v/>
      </c>
      <c r="BP133" s="907" t="str">
        <f t="shared" si="7"/>
        <v/>
      </c>
      <c r="BQ133" s="907" t="str">
        <f t="shared" si="8"/>
        <v/>
      </c>
      <c r="BR133" s="1004" t="str">
        <f t="shared" si="9"/>
        <v/>
      </c>
      <c r="BS133" s="1005" t="str">
        <f t="shared" si="10"/>
        <v/>
      </c>
      <c r="BT133" s="1006" t="s">
        <v>123</v>
      </c>
      <c r="BU133" s="1002" t="s">
        <v>123</v>
      </c>
      <c r="BV133" s="1006" t="s">
        <v>123</v>
      </c>
      <c r="BW133" s="1007"/>
    </row>
    <row r="134">
      <c r="A134" s="624">
        <v>111.0</v>
      </c>
      <c r="B134" s="1008"/>
      <c r="C134" s="989"/>
      <c r="D134" s="851"/>
      <c r="E134" s="990"/>
      <c r="F134" s="991"/>
      <c r="G134" s="991"/>
      <c r="H134" s="992"/>
      <c r="I134" s="993"/>
      <c r="J134" s="993"/>
      <c r="K134" s="993"/>
      <c r="L134" s="993"/>
      <c r="M134" s="993"/>
      <c r="N134" s="993"/>
      <c r="O134" s="993"/>
      <c r="P134" s="993"/>
      <c r="Q134" s="993"/>
      <c r="R134" s="993"/>
      <c r="S134" s="936"/>
      <c r="T134" s="998"/>
      <c r="U134" s="935"/>
      <c r="V134" s="935"/>
      <c r="W134" s="949" t="str">
        <f>IF(AND($S$20,NOT($U$20)),IF($V134:$V623="","",SUMIF(portfolio.!$A$4:$A623,V134,portfolio.!$AN$4:$AN623)),"")</f>
        <v/>
      </c>
      <c r="X134" s="998"/>
      <c r="Y134" s="936"/>
      <c r="Z134" s="936" t="s">
        <v>123</v>
      </c>
      <c r="AA134" s="936" t="s">
        <v>123</v>
      </c>
      <c r="AB134" s="936" t="s">
        <v>123</v>
      </c>
      <c r="AC134" s="907" t="s">
        <v>123</v>
      </c>
      <c r="AD134" s="999"/>
      <c r="AE134" s="936"/>
      <c r="AF134" s="936"/>
      <c r="AG134" s="936"/>
      <c r="AH134" s="936"/>
      <c r="AI134" s="999"/>
      <c r="AJ134" s="935"/>
      <c r="AK134" s="966"/>
      <c r="AL134" s="949"/>
      <c r="AM134" s="949" t="s">
        <v>123</v>
      </c>
      <c r="AN134" s="949"/>
      <c r="AO134" s="999"/>
      <c r="AP134" s="936"/>
      <c r="AQ134" s="987"/>
      <c r="AR134" s="907"/>
      <c r="AS134" s="907"/>
      <c r="AT134" s="967" t="s">
        <v>123</v>
      </c>
      <c r="AU134" s="967" t="s">
        <v>123</v>
      </c>
      <c r="AV134" s="967" t="s">
        <v>123</v>
      </c>
      <c r="AW134" s="907" t="s">
        <v>123</v>
      </c>
      <c r="AX134" s="907" t="s">
        <v>123</v>
      </c>
      <c r="AY134" s="907" t="s">
        <v>123</v>
      </c>
      <c r="AZ134" s="936" t="s">
        <v>123</v>
      </c>
      <c r="BA134" s="935" t="s">
        <v>123</v>
      </c>
      <c r="BB134" s="1000"/>
      <c r="BC134" s="1001"/>
      <c r="BD134" s="936"/>
      <c r="BE134" s="907"/>
      <c r="BF134" s="1002" t="str">
        <f>IF($BC134="","",SUMIF(portfolio.!$A$4:$A623,BC134,portfolio.!$AN$4:$AN623))</f>
        <v/>
      </c>
      <c r="BG134" s="936" t="s">
        <v>123</v>
      </c>
      <c r="BH134" s="907" t="s">
        <v>123</v>
      </c>
      <c r="BI134" s="935" t="s">
        <v>123</v>
      </c>
      <c r="BJ134" s="1003"/>
      <c r="BK134" s="907" t="s">
        <v>123</v>
      </c>
      <c r="BL134" s="907" t="s">
        <v>123</v>
      </c>
      <c r="BM134" s="907" t="s">
        <v>123</v>
      </c>
      <c r="BN134" s="1004" t="s">
        <v>123</v>
      </c>
      <c r="BO134" s="907" t="str">
        <f t="shared" si="6"/>
        <v/>
      </c>
      <c r="BP134" s="907" t="str">
        <f t="shared" si="7"/>
        <v/>
      </c>
      <c r="BQ134" s="907" t="str">
        <f t="shared" si="8"/>
        <v/>
      </c>
      <c r="BR134" s="1004" t="str">
        <f t="shared" si="9"/>
        <v/>
      </c>
      <c r="BS134" s="1005" t="str">
        <f t="shared" si="10"/>
        <v/>
      </c>
      <c r="BT134" s="1006" t="s">
        <v>123</v>
      </c>
      <c r="BU134" s="1002" t="s">
        <v>123</v>
      </c>
      <c r="BV134" s="1006" t="s">
        <v>123</v>
      </c>
      <c r="BW134" s="1007"/>
    </row>
    <row r="135">
      <c r="A135" s="624">
        <v>112.0</v>
      </c>
      <c r="B135" s="1008"/>
      <c r="C135" s="989"/>
      <c r="D135" s="851"/>
      <c r="E135" s="990"/>
      <c r="F135" s="991"/>
      <c r="G135" s="991"/>
      <c r="H135" s="992"/>
      <c r="I135" s="993"/>
      <c r="J135" s="993"/>
      <c r="K135" s="993"/>
      <c r="L135" s="993"/>
      <c r="M135" s="993"/>
      <c r="N135" s="993"/>
      <c r="O135" s="993"/>
      <c r="P135" s="993"/>
      <c r="Q135" s="993"/>
      <c r="R135" s="993"/>
      <c r="S135" s="936"/>
      <c r="T135" s="998"/>
      <c r="U135" s="935"/>
      <c r="V135" s="935"/>
      <c r="W135" s="949" t="str">
        <f>IF(AND($S$20,NOT($U$20)),IF($V135:$V623="","",SUMIF(portfolio.!$A$4:$A623,V135,portfolio.!$AN$4:$AN623)),"")</f>
        <v/>
      </c>
      <c r="X135" s="998"/>
      <c r="Y135" s="936"/>
      <c r="Z135" s="936" t="s">
        <v>123</v>
      </c>
      <c r="AA135" s="936" t="s">
        <v>123</v>
      </c>
      <c r="AB135" s="936" t="s">
        <v>123</v>
      </c>
      <c r="AC135" s="907" t="s">
        <v>123</v>
      </c>
      <c r="AD135" s="999"/>
      <c r="AE135" s="936"/>
      <c r="AF135" s="936"/>
      <c r="AG135" s="936"/>
      <c r="AH135" s="936"/>
      <c r="AI135" s="999"/>
      <c r="AJ135" s="935"/>
      <c r="AK135" s="966"/>
      <c r="AL135" s="949"/>
      <c r="AM135" s="949" t="s">
        <v>123</v>
      </c>
      <c r="AN135" s="949"/>
      <c r="AO135" s="999"/>
      <c r="AP135" s="936"/>
      <c r="AQ135" s="987"/>
      <c r="AR135" s="907"/>
      <c r="AS135" s="907"/>
      <c r="AT135" s="967" t="s">
        <v>123</v>
      </c>
      <c r="AU135" s="967" t="s">
        <v>123</v>
      </c>
      <c r="AV135" s="967" t="s">
        <v>123</v>
      </c>
      <c r="AW135" s="907" t="s">
        <v>123</v>
      </c>
      <c r="AX135" s="907" t="s">
        <v>123</v>
      </c>
      <c r="AY135" s="907" t="s">
        <v>123</v>
      </c>
      <c r="AZ135" s="936" t="s">
        <v>123</v>
      </c>
      <c r="BA135" s="935" t="s">
        <v>123</v>
      </c>
      <c r="BB135" s="1000"/>
      <c r="BC135" s="1001"/>
      <c r="BD135" s="936"/>
      <c r="BE135" s="907"/>
      <c r="BF135" s="1002" t="str">
        <f>IF($BC135="","",SUMIF(portfolio.!$A$4:$A623,BC135,portfolio.!$AN$4:$AN623))</f>
        <v/>
      </c>
      <c r="BG135" s="936" t="s">
        <v>123</v>
      </c>
      <c r="BH135" s="907" t="s">
        <v>123</v>
      </c>
      <c r="BI135" s="935" t="s">
        <v>123</v>
      </c>
      <c r="BJ135" s="1003"/>
      <c r="BK135" s="907" t="s">
        <v>123</v>
      </c>
      <c r="BL135" s="907" t="s">
        <v>123</v>
      </c>
      <c r="BM135" s="907" t="s">
        <v>123</v>
      </c>
      <c r="BN135" s="1004" t="s">
        <v>123</v>
      </c>
      <c r="BO135" s="907" t="str">
        <f t="shared" si="6"/>
        <v/>
      </c>
      <c r="BP135" s="907" t="str">
        <f t="shared" si="7"/>
        <v/>
      </c>
      <c r="BQ135" s="907" t="str">
        <f t="shared" si="8"/>
        <v/>
      </c>
      <c r="BR135" s="1004" t="str">
        <f t="shared" si="9"/>
        <v/>
      </c>
      <c r="BS135" s="1005" t="str">
        <f t="shared" si="10"/>
        <v/>
      </c>
      <c r="BT135" s="1006" t="s">
        <v>123</v>
      </c>
      <c r="BU135" s="1002" t="s">
        <v>123</v>
      </c>
      <c r="BV135" s="1006" t="s">
        <v>123</v>
      </c>
      <c r="BW135" s="1007"/>
    </row>
    <row r="136">
      <c r="A136" s="624">
        <v>113.0</v>
      </c>
      <c r="B136" s="1008"/>
      <c r="C136" s="989"/>
      <c r="D136" s="851"/>
      <c r="E136" s="990"/>
      <c r="F136" s="991"/>
      <c r="G136" s="991"/>
      <c r="H136" s="992"/>
      <c r="I136" s="993"/>
      <c r="J136" s="993"/>
      <c r="K136" s="993"/>
      <c r="L136" s="993"/>
      <c r="M136" s="993"/>
      <c r="N136" s="993"/>
      <c r="O136" s="993"/>
      <c r="P136" s="993"/>
      <c r="Q136" s="993"/>
      <c r="R136" s="993"/>
      <c r="S136" s="936"/>
      <c r="T136" s="998"/>
      <c r="U136" s="935"/>
      <c r="V136" s="935"/>
      <c r="W136" s="949" t="str">
        <f>IF(AND($S$20,NOT($U$20)),IF($V136:$V623="","",SUMIF(portfolio.!$A$4:$A623,V136,portfolio.!$AN$4:$AN623)),"")</f>
        <v/>
      </c>
      <c r="X136" s="998"/>
      <c r="Y136" s="936"/>
      <c r="Z136" s="936" t="s">
        <v>123</v>
      </c>
      <c r="AA136" s="936" t="s">
        <v>123</v>
      </c>
      <c r="AB136" s="936" t="s">
        <v>123</v>
      </c>
      <c r="AC136" s="907" t="s">
        <v>123</v>
      </c>
      <c r="AD136" s="999"/>
      <c r="AE136" s="936"/>
      <c r="AF136" s="936"/>
      <c r="AG136" s="936"/>
      <c r="AH136" s="936"/>
      <c r="AI136" s="999"/>
      <c r="AJ136" s="935"/>
      <c r="AK136" s="966"/>
      <c r="AL136" s="949"/>
      <c r="AM136" s="949" t="s">
        <v>123</v>
      </c>
      <c r="AN136" s="949"/>
      <c r="AO136" s="999"/>
      <c r="AP136" s="936"/>
      <c r="AQ136" s="987"/>
      <c r="AR136" s="907"/>
      <c r="AS136" s="907"/>
      <c r="AT136" s="967" t="s">
        <v>123</v>
      </c>
      <c r="AU136" s="967" t="s">
        <v>123</v>
      </c>
      <c r="AV136" s="967" t="s">
        <v>123</v>
      </c>
      <c r="AW136" s="907" t="s">
        <v>123</v>
      </c>
      <c r="AX136" s="907" t="s">
        <v>123</v>
      </c>
      <c r="AY136" s="907" t="s">
        <v>123</v>
      </c>
      <c r="AZ136" s="936" t="s">
        <v>123</v>
      </c>
      <c r="BA136" s="935" t="s">
        <v>123</v>
      </c>
      <c r="BB136" s="1000"/>
      <c r="BC136" s="1001"/>
      <c r="BD136" s="936"/>
      <c r="BE136" s="907"/>
      <c r="BF136" s="1002" t="str">
        <f>IF($BC136="","",SUMIF(portfolio.!$A$4:$A623,BC136,portfolio.!$AN$4:$AN623))</f>
        <v/>
      </c>
      <c r="BG136" s="936" t="s">
        <v>123</v>
      </c>
      <c r="BH136" s="907" t="s">
        <v>123</v>
      </c>
      <c r="BI136" s="935" t="s">
        <v>123</v>
      </c>
      <c r="BJ136" s="1003"/>
      <c r="BK136" s="907" t="s">
        <v>123</v>
      </c>
      <c r="BL136" s="907" t="s">
        <v>123</v>
      </c>
      <c r="BM136" s="907" t="s">
        <v>123</v>
      </c>
      <c r="BN136" s="1004" t="s">
        <v>123</v>
      </c>
      <c r="BO136" s="907" t="str">
        <f t="shared" si="6"/>
        <v/>
      </c>
      <c r="BP136" s="907" t="str">
        <f t="shared" si="7"/>
        <v/>
      </c>
      <c r="BQ136" s="907" t="str">
        <f t="shared" si="8"/>
        <v/>
      </c>
      <c r="BR136" s="1004" t="str">
        <f t="shared" si="9"/>
        <v/>
      </c>
      <c r="BS136" s="1005" t="str">
        <f t="shared" si="10"/>
        <v/>
      </c>
      <c r="BT136" s="1006" t="s">
        <v>123</v>
      </c>
      <c r="BU136" s="1002" t="s">
        <v>123</v>
      </c>
      <c r="BV136" s="1006" t="s">
        <v>123</v>
      </c>
      <c r="BW136" s="1007"/>
    </row>
    <row r="137">
      <c r="A137" s="624">
        <v>114.0</v>
      </c>
      <c r="B137" s="1008"/>
      <c r="C137" s="989"/>
      <c r="D137" s="851"/>
      <c r="E137" s="990"/>
      <c r="F137" s="991"/>
      <c r="G137" s="991"/>
      <c r="H137" s="992"/>
      <c r="I137" s="993"/>
      <c r="J137" s="993"/>
      <c r="K137" s="993"/>
      <c r="L137" s="993"/>
      <c r="M137" s="993"/>
      <c r="N137" s="993"/>
      <c r="O137" s="993"/>
      <c r="P137" s="993"/>
      <c r="Q137" s="993"/>
      <c r="R137" s="993"/>
      <c r="S137" s="936"/>
      <c r="T137" s="998"/>
      <c r="U137" s="935"/>
      <c r="V137" s="935"/>
      <c r="W137" s="949" t="str">
        <f>IF(AND($S$20,NOT($U$20)),IF($V137:$V623="","",SUMIF(portfolio.!$A$4:$A623,V137,portfolio.!$AN$4:$AN623)),"")</f>
        <v/>
      </c>
      <c r="X137" s="998"/>
      <c r="Y137" s="936"/>
      <c r="Z137" s="936" t="s">
        <v>123</v>
      </c>
      <c r="AA137" s="936" t="s">
        <v>123</v>
      </c>
      <c r="AB137" s="936" t="s">
        <v>123</v>
      </c>
      <c r="AC137" s="907" t="s">
        <v>123</v>
      </c>
      <c r="AD137" s="999"/>
      <c r="AE137" s="936"/>
      <c r="AF137" s="936"/>
      <c r="AG137" s="936"/>
      <c r="AH137" s="936"/>
      <c r="AI137" s="999"/>
      <c r="AJ137" s="935"/>
      <c r="AK137" s="966"/>
      <c r="AL137" s="949"/>
      <c r="AM137" s="949" t="s">
        <v>123</v>
      </c>
      <c r="AN137" s="949"/>
      <c r="AO137" s="999"/>
      <c r="AP137" s="936"/>
      <c r="AQ137" s="987"/>
      <c r="AR137" s="907"/>
      <c r="AS137" s="907"/>
      <c r="AT137" s="967" t="s">
        <v>123</v>
      </c>
      <c r="AU137" s="967" t="s">
        <v>123</v>
      </c>
      <c r="AV137" s="967" t="s">
        <v>123</v>
      </c>
      <c r="AW137" s="907" t="s">
        <v>123</v>
      </c>
      <c r="AX137" s="907" t="s">
        <v>123</v>
      </c>
      <c r="AY137" s="907" t="s">
        <v>123</v>
      </c>
      <c r="AZ137" s="936" t="s">
        <v>123</v>
      </c>
      <c r="BA137" s="935" t="s">
        <v>123</v>
      </c>
      <c r="BB137" s="1000"/>
      <c r="BC137" s="1001"/>
      <c r="BD137" s="936"/>
      <c r="BE137" s="907"/>
      <c r="BF137" s="1002" t="str">
        <f>IF($BC137="","",SUMIF(portfolio.!$A$4:$A623,BC137,portfolio.!$AN$4:$AN623))</f>
        <v/>
      </c>
      <c r="BG137" s="936" t="s">
        <v>123</v>
      </c>
      <c r="BH137" s="907" t="s">
        <v>123</v>
      </c>
      <c r="BI137" s="935" t="s">
        <v>123</v>
      </c>
      <c r="BJ137" s="1003"/>
      <c r="BK137" s="907" t="s">
        <v>123</v>
      </c>
      <c r="BL137" s="907" t="s">
        <v>123</v>
      </c>
      <c r="BM137" s="907" t="s">
        <v>123</v>
      </c>
      <c r="BN137" s="1004" t="s">
        <v>123</v>
      </c>
      <c r="BO137" s="907" t="str">
        <f t="shared" si="6"/>
        <v/>
      </c>
      <c r="BP137" s="907" t="str">
        <f t="shared" si="7"/>
        <v/>
      </c>
      <c r="BQ137" s="907" t="str">
        <f t="shared" si="8"/>
        <v/>
      </c>
      <c r="BR137" s="1004" t="str">
        <f t="shared" si="9"/>
        <v/>
      </c>
      <c r="BS137" s="1005" t="str">
        <f t="shared" si="10"/>
        <v/>
      </c>
      <c r="BT137" s="1006" t="s">
        <v>123</v>
      </c>
      <c r="BU137" s="1002" t="s">
        <v>123</v>
      </c>
      <c r="BV137" s="1006" t="s">
        <v>123</v>
      </c>
      <c r="BW137" s="1007"/>
    </row>
    <row r="138">
      <c r="A138" s="624">
        <v>115.0</v>
      </c>
      <c r="B138" s="1008"/>
      <c r="C138" s="989"/>
      <c r="D138" s="851"/>
      <c r="E138" s="990"/>
      <c r="F138" s="991"/>
      <c r="G138" s="991"/>
      <c r="H138" s="992"/>
      <c r="I138" s="993"/>
      <c r="J138" s="993"/>
      <c r="K138" s="993"/>
      <c r="L138" s="993"/>
      <c r="M138" s="993"/>
      <c r="N138" s="993"/>
      <c r="O138" s="993"/>
      <c r="P138" s="993"/>
      <c r="Q138" s="993"/>
      <c r="R138" s="993"/>
      <c r="S138" s="936"/>
      <c r="T138" s="998"/>
      <c r="U138" s="935"/>
      <c r="V138" s="935"/>
      <c r="W138" s="949" t="str">
        <f>IF(AND($S$20,NOT($U$20)),IF($V138:$V623="","",SUMIF(portfolio.!$A$4:$A623,V138,portfolio.!$AN$4:$AN623)),"")</f>
        <v/>
      </c>
      <c r="X138" s="998"/>
      <c r="Y138" s="936"/>
      <c r="Z138" s="936" t="s">
        <v>123</v>
      </c>
      <c r="AA138" s="936" t="s">
        <v>123</v>
      </c>
      <c r="AB138" s="936" t="s">
        <v>123</v>
      </c>
      <c r="AC138" s="907" t="s">
        <v>123</v>
      </c>
      <c r="AD138" s="999"/>
      <c r="AE138" s="936"/>
      <c r="AF138" s="936"/>
      <c r="AG138" s="936"/>
      <c r="AH138" s="936"/>
      <c r="AI138" s="999"/>
      <c r="AJ138" s="935"/>
      <c r="AK138" s="966"/>
      <c r="AL138" s="949"/>
      <c r="AM138" s="949" t="s">
        <v>123</v>
      </c>
      <c r="AN138" s="949"/>
      <c r="AO138" s="999"/>
      <c r="AP138" s="936"/>
      <c r="AQ138" s="987"/>
      <c r="AR138" s="907"/>
      <c r="AS138" s="907"/>
      <c r="AT138" s="967" t="s">
        <v>123</v>
      </c>
      <c r="AU138" s="967" t="s">
        <v>123</v>
      </c>
      <c r="AV138" s="967" t="s">
        <v>123</v>
      </c>
      <c r="AW138" s="907" t="s">
        <v>123</v>
      </c>
      <c r="AX138" s="907" t="s">
        <v>123</v>
      </c>
      <c r="AY138" s="907" t="s">
        <v>123</v>
      </c>
      <c r="AZ138" s="936" t="s">
        <v>123</v>
      </c>
      <c r="BA138" s="935" t="s">
        <v>123</v>
      </c>
      <c r="BB138" s="1000"/>
      <c r="BC138" s="1001"/>
      <c r="BD138" s="936"/>
      <c r="BE138" s="907"/>
      <c r="BF138" s="1002" t="str">
        <f>IF($BC138="","",SUMIF(portfolio.!$A$4:$A623,BC138,portfolio.!$AN$4:$AN623))</f>
        <v/>
      </c>
      <c r="BG138" s="936" t="s">
        <v>123</v>
      </c>
      <c r="BH138" s="907" t="s">
        <v>123</v>
      </c>
      <c r="BI138" s="935" t="s">
        <v>123</v>
      </c>
      <c r="BJ138" s="1003"/>
      <c r="BK138" s="907" t="s">
        <v>123</v>
      </c>
      <c r="BL138" s="907" t="s">
        <v>123</v>
      </c>
      <c r="BM138" s="907" t="s">
        <v>123</v>
      </c>
      <c r="BN138" s="1004" t="s">
        <v>123</v>
      </c>
      <c r="BO138" s="907" t="str">
        <f t="shared" si="6"/>
        <v/>
      </c>
      <c r="BP138" s="907" t="str">
        <f t="shared" si="7"/>
        <v/>
      </c>
      <c r="BQ138" s="907" t="str">
        <f t="shared" si="8"/>
        <v/>
      </c>
      <c r="BR138" s="1004" t="str">
        <f t="shared" si="9"/>
        <v/>
      </c>
      <c r="BS138" s="1005" t="str">
        <f t="shared" si="10"/>
        <v/>
      </c>
      <c r="BT138" s="1006" t="s">
        <v>123</v>
      </c>
      <c r="BU138" s="1002" t="s">
        <v>123</v>
      </c>
      <c r="BV138" s="1006" t="s">
        <v>123</v>
      </c>
      <c r="BW138" s="1007"/>
    </row>
    <row r="139">
      <c r="A139" s="624">
        <v>116.0</v>
      </c>
      <c r="B139" s="1008"/>
      <c r="C139" s="989"/>
      <c r="D139" s="851"/>
      <c r="E139" s="990"/>
      <c r="F139" s="991"/>
      <c r="G139" s="991"/>
      <c r="H139" s="992"/>
      <c r="I139" s="993"/>
      <c r="J139" s="993"/>
      <c r="K139" s="993"/>
      <c r="L139" s="993"/>
      <c r="M139" s="993"/>
      <c r="N139" s="993"/>
      <c r="O139" s="993"/>
      <c r="P139" s="993"/>
      <c r="Q139" s="993"/>
      <c r="R139" s="993"/>
      <c r="S139" s="936"/>
      <c r="T139" s="998"/>
      <c r="U139" s="935"/>
      <c r="V139" s="935"/>
      <c r="W139" s="949" t="str">
        <f>IF(AND($S$20,NOT($U$20)),IF($V139:$V623="","",SUMIF(portfolio.!$A$4:$A623,V139,portfolio.!$AN$4:$AN623)),"")</f>
        <v/>
      </c>
      <c r="X139" s="998"/>
      <c r="Y139" s="936"/>
      <c r="Z139" s="936" t="s">
        <v>123</v>
      </c>
      <c r="AA139" s="936" t="s">
        <v>123</v>
      </c>
      <c r="AB139" s="936" t="s">
        <v>123</v>
      </c>
      <c r="AC139" s="907" t="s">
        <v>123</v>
      </c>
      <c r="AD139" s="999"/>
      <c r="AE139" s="936"/>
      <c r="AF139" s="936"/>
      <c r="AG139" s="936"/>
      <c r="AH139" s="936"/>
      <c r="AI139" s="999"/>
      <c r="AJ139" s="935"/>
      <c r="AK139" s="966"/>
      <c r="AL139" s="949"/>
      <c r="AM139" s="949" t="s">
        <v>123</v>
      </c>
      <c r="AN139" s="949"/>
      <c r="AO139" s="999"/>
      <c r="AP139" s="936"/>
      <c r="AQ139" s="987"/>
      <c r="AR139" s="907"/>
      <c r="AS139" s="907"/>
      <c r="AT139" s="967" t="s">
        <v>123</v>
      </c>
      <c r="AU139" s="967" t="s">
        <v>123</v>
      </c>
      <c r="AV139" s="967" t="s">
        <v>123</v>
      </c>
      <c r="AW139" s="907" t="s">
        <v>123</v>
      </c>
      <c r="AX139" s="907" t="s">
        <v>123</v>
      </c>
      <c r="AY139" s="907" t="s">
        <v>123</v>
      </c>
      <c r="AZ139" s="936" t="s">
        <v>123</v>
      </c>
      <c r="BA139" s="935" t="s">
        <v>123</v>
      </c>
      <c r="BB139" s="1000"/>
      <c r="BC139" s="1001"/>
      <c r="BD139" s="936"/>
      <c r="BE139" s="907"/>
      <c r="BF139" s="1002" t="str">
        <f>IF($BC139="","",SUMIF(portfolio.!$A$4:$A623,BC139,portfolio.!$AN$4:$AN623))</f>
        <v/>
      </c>
      <c r="BG139" s="936" t="s">
        <v>123</v>
      </c>
      <c r="BH139" s="907" t="s">
        <v>123</v>
      </c>
      <c r="BI139" s="935" t="s">
        <v>123</v>
      </c>
      <c r="BJ139" s="1003"/>
      <c r="BK139" s="907" t="s">
        <v>123</v>
      </c>
      <c r="BL139" s="907" t="s">
        <v>123</v>
      </c>
      <c r="BM139" s="907" t="s">
        <v>123</v>
      </c>
      <c r="BN139" s="1004" t="s">
        <v>123</v>
      </c>
      <c r="BO139" s="907" t="str">
        <f t="shared" si="6"/>
        <v/>
      </c>
      <c r="BP139" s="907" t="str">
        <f t="shared" si="7"/>
        <v/>
      </c>
      <c r="BQ139" s="907" t="str">
        <f t="shared" si="8"/>
        <v/>
      </c>
      <c r="BR139" s="1004" t="str">
        <f t="shared" si="9"/>
        <v/>
      </c>
      <c r="BS139" s="1005" t="str">
        <f t="shared" si="10"/>
        <v/>
      </c>
      <c r="BT139" s="1006" t="s">
        <v>123</v>
      </c>
      <c r="BU139" s="1002" t="s">
        <v>123</v>
      </c>
      <c r="BV139" s="1006" t="s">
        <v>123</v>
      </c>
      <c r="BW139" s="1007"/>
    </row>
    <row r="140">
      <c r="A140" s="624">
        <v>117.0</v>
      </c>
      <c r="B140" s="1008"/>
      <c r="C140" s="989"/>
      <c r="D140" s="851"/>
      <c r="E140" s="990"/>
      <c r="F140" s="991"/>
      <c r="G140" s="991"/>
      <c r="H140" s="992"/>
      <c r="I140" s="993"/>
      <c r="J140" s="993"/>
      <c r="K140" s="993"/>
      <c r="L140" s="993"/>
      <c r="M140" s="993"/>
      <c r="N140" s="993"/>
      <c r="O140" s="993"/>
      <c r="P140" s="993"/>
      <c r="Q140" s="993"/>
      <c r="R140" s="993"/>
      <c r="S140" s="936"/>
      <c r="T140" s="998"/>
      <c r="U140" s="935"/>
      <c r="V140" s="935"/>
      <c r="W140" s="949" t="str">
        <f>IF(AND($S$20,NOT($U$20)),IF($V140:$V623="","",SUMIF(portfolio.!$A$4:$A623,V140,portfolio.!$AN$4:$AN623)),"")</f>
        <v/>
      </c>
      <c r="X140" s="998"/>
      <c r="Y140" s="936"/>
      <c r="Z140" s="936" t="s">
        <v>123</v>
      </c>
      <c r="AA140" s="936" t="s">
        <v>123</v>
      </c>
      <c r="AB140" s="936" t="s">
        <v>123</v>
      </c>
      <c r="AC140" s="907" t="s">
        <v>123</v>
      </c>
      <c r="AD140" s="999"/>
      <c r="AE140" s="936"/>
      <c r="AF140" s="936"/>
      <c r="AG140" s="936"/>
      <c r="AH140" s="936"/>
      <c r="AI140" s="999"/>
      <c r="AJ140" s="935"/>
      <c r="AK140" s="966"/>
      <c r="AL140" s="949"/>
      <c r="AM140" s="949" t="s">
        <v>123</v>
      </c>
      <c r="AN140" s="949"/>
      <c r="AO140" s="999"/>
      <c r="AP140" s="936"/>
      <c r="AQ140" s="987"/>
      <c r="AR140" s="907"/>
      <c r="AS140" s="907"/>
      <c r="AT140" s="967" t="s">
        <v>123</v>
      </c>
      <c r="AU140" s="967" t="s">
        <v>123</v>
      </c>
      <c r="AV140" s="967" t="s">
        <v>123</v>
      </c>
      <c r="AW140" s="907" t="s">
        <v>123</v>
      </c>
      <c r="AX140" s="907" t="s">
        <v>123</v>
      </c>
      <c r="AY140" s="907" t="s">
        <v>123</v>
      </c>
      <c r="AZ140" s="936" t="s">
        <v>123</v>
      </c>
      <c r="BA140" s="935" t="s">
        <v>123</v>
      </c>
      <c r="BB140" s="1000"/>
      <c r="BC140" s="1001"/>
      <c r="BD140" s="936"/>
      <c r="BE140" s="907"/>
      <c r="BF140" s="1002" t="str">
        <f>IF($BC140="","",SUMIF(portfolio.!$A$4:$A623,BC140,portfolio.!$AN$4:$AN623))</f>
        <v/>
      </c>
      <c r="BG140" s="936" t="s">
        <v>123</v>
      </c>
      <c r="BH140" s="907" t="s">
        <v>123</v>
      </c>
      <c r="BI140" s="935" t="s">
        <v>123</v>
      </c>
      <c r="BJ140" s="1003"/>
      <c r="BK140" s="907" t="s">
        <v>123</v>
      </c>
      <c r="BL140" s="907" t="s">
        <v>123</v>
      </c>
      <c r="BM140" s="907" t="s">
        <v>123</v>
      </c>
      <c r="BN140" s="1004" t="s">
        <v>123</v>
      </c>
      <c r="BO140" s="907" t="str">
        <f t="shared" si="6"/>
        <v/>
      </c>
      <c r="BP140" s="907" t="str">
        <f t="shared" si="7"/>
        <v/>
      </c>
      <c r="BQ140" s="907" t="str">
        <f t="shared" si="8"/>
        <v/>
      </c>
      <c r="BR140" s="1004" t="str">
        <f t="shared" si="9"/>
        <v/>
      </c>
      <c r="BS140" s="1005" t="str">
        <f t="shared" si="10"/>
        <v/>
      </c>
      <c r="BT140" s="1006" t="s">
        <v>123</v>
      </c>
      <c r="BU140" s="1002" t="s">
        <v>123</v>
      </c>
      <c r="BV140" s="1006" t="s">
        <v>123</v>
      </c>
      <c r="BW140" s="1007"/>
    </row>
    <row r="141">
      <c r="A141" s="624">
        <v>118.0</v>
      </c>
      <c r="B141" s="1008"/>
      <c r="C141" s="989"/>
      <c r="D141" s="851"/>
      <c r="E141" s="990"/>
      <c r="F141" s="991"/>
      <c r="G141" s="991"/>
      <c r="H141" s="992"/>
      <c r="I141" s="993"/>
      <c r="J141" s="993"/>
      <c r="K141" s="993"/>
      <c r="L141" s="993"/>
      <c r="M141" s="993"/>
      <c r="N141" s="993"/>
      <c r="O141" s="993"/>
      <c r="P141" s="993"/>
      <c r="Q141" s="993"/>
      <c r="R141" s="993"/>
      <c r="S141" s="936"/>
      <c r="T141" s="998"/>
      <c r="U141" s="935"/>
      <c r="V141" s="935"/>
      <c r="W141" s="949" t="str">
        <f>IF(AND($S$20,NOT($U$20)),IF($V141:$V623="","",SUMIF(portfolio.!$A$4:$A623,V141,portfolio.!$AN$4:$AN623)),"")</f>
        <v/>
      </c>
      <c r="X141" s="998"/>
      <c r="Y141" s="936"/>
      <c r="Z141" s="936" t="s">
        <v>123</v>
      </c>
      <c r="AA141" s="936" t="s">
        <v>123</v>
      </c>
      <c r="AB141" s="936" t="s">
        <v>123</v>
      </c>
      <c r="AC141" s="907" t="s">
        <v>123</v>
      </c>
      <c r="AD141" s="999"/>
      <c r="AE141" s="936"/>
      <c r="AF141" s="936"/>
      <c r="AG141" s="936"/>
      <c r="AH141" s="936"/>
      <c r="AI141" s="999"/>
      <c r="AJ141" s="935"/>
      <c r="AK141" s="966"/>
      <c r="AL141" s="949"/>
      <c r="AM141" s="949" t="s">
        <v>123</v>
      </c>
      <c r="AN141" s="949"/>
      <c r="AO141" s="999"/>
      <c r="AP141" s="936"/>
      <c r="AQ141" s="987"/>
      <c r="AR141" s="907"/>
      <c r="AS141" s="907"/>
      <c r="AT141" s="967" t="s">
        <v>123</v>
      </c>
      <c r="AU141" s="967" t="s">
        <v>123</v>
      </c>
      <c r="AV141" s="967" t="s">
        <v>123</v>
      </c>
      <c r="AW141" s="907" t="s">
        <v>123</v>
      </c>
      <c r="AX141" s="907" t="s">
        <v>123</v>
      </c>
      <c r="AY141" s="907" t="s">
        <v>123</v>
      </c>
      <c r="AZ141" s="936" t="s">
        <v>123</v>
      </c>
      <c r="BA141" s="935" t="s">
        <v>123</v>
      </c>
      <c r="BB141" s="1000"/>
      <c r="BC141" s="1001"/>
      <c r="BD141" s="936"/>
      <c r="BE141" s="907"/>
      <c r="BF141" s="1002" t="str">
        <f>IF($BC141="","",SUMIF(portfolio.!$A$4:$A623,BC141,portfolio.!$AN$4:$AN623))</f>
        <v/>
      </c>
      <c r="BG141" s="936" t="s">
        <v>123</v>
      </c>
      <c r="BH141" s="907" t="s">
        <v>123</v>
      </c>
      <c r="BI141" s="935" t="s">
        <v>123</v>
      </c>
      <c r="BJ141" s="1003"/>
      <c r="BK141" s="907" t="s">
        <v>123</v>
      </c>
      <c r="BL141" s="907" t="s">
        <v>123</v>
      </c>
      <c r="BM141" s="907" t="s">
        <v>123</v>
      </c>
      <c r="BN141" s="1004" t="s">
        <v>123</v>
      </c>
      <c r="BO141" s="907" t="str">
        <f t="shared" si="6"/>
        <v/>
      </c>
      <c r="BP141" s="907" t="str">
        <f t="shared" si="7"/>
        <v/>
      </c>
      <c r="BQ141" s="907" t="str">
        <f t="shared" si="8"/>
        <v/>
      </c>
      <c r="BR141" s="1004" t="str">
        <f t="shared" si="9"/>
        <v/>
      </c>
      <c r="BS141" s="1005" t="str">
        <f t="shared" si="10"/>
        <v/>
      </c>
      <c r="BT141" s="1006" t="s">
        <v>123</v>
      </c>
      <c r="BU141" s="1002" t="s">
        <v>123</v>
      </c>
      <c r="BV141" s="1006" t="s">
        <v>123</v>
      </c>
      <c r="BW141" s="1007"/>
    </row>
    <row r="142">
      <c r="A142" s="624">
        <v>119.0</v>
      </c>
      <c r="B142" s="1008"/>
      <c r="C142" s="989"/>
      <c r="D142" s="851"/>
      <c r="E142" s="990"/>
      <c r="F142" s="991"/>
      <c r="G142" s="991"/>
      <c r="H142" s="992"/>
      <c r="I142" s="993"/>
      <c r="J142" s="993"/>
      <c r="K142" s="993"/>
      <c r="L142" s="993"/>
      <c r="M142" s="993"/>
      <c r="N142" s="993"/>
      <c r="O142" s="993"/>
      <c r="P142" s="993"/>
      <c r="Q142" s="993"/>
      <c r="R142" s="993"/>
      <c r="S142" s="936"/>
      <c r="T142" s="998"/>
      <c r="U142" s="935"/>
      <c r="V142" s="935"/>
      <c r="W142" s="949" t="str">
        <f>IF(AND($S$20,NOT($U$20)),IF($V142:$V623="","",SUMIF(portfolio.!$A$4:$A623,V142,portfolio.!$AN$4:$AN623)),"")</f>
        <v/>
      </c>
      <c r="X142" s="998"/>
      <c r="Y142" s="936"/>
      <c r="Z142" s="936" t="s">
        <v>123</v>
      </c>
      <c r="AA142" s="936" t="s">
        <v>123</v>
      </c>
      <c r="AB142" s="936" t="s">
        <v>123</v>
      </c>
      <c r="AC142" s="907" t="s">
        <v>123</v>
      </c>
      <c r="AD142" s="999"/>
      <c r="AE142" s="936"/>
      <c r="AF142" s="936"/>
      <c r="AG142" s="936"/>
      <c r="AH142" s="936"/>
      <c r="AI142" s="999"/>
      <c r="AJ142" s="935"/>
      <c r="AK142" s="966"/>
      <c r="AL142" s="949"/>
      <c r="AM142" s="949" t="s">
        <v>123</v>
      </c>
      <c r="AN142" s="949"/>
      <c r="AO142" s="999"/>
      <c r="AP142" s="936"/>
      <c r="AQ142" s="987"/>
      <c r="AR142" s="907"/>
      <c r="AS142" s="907"/>
      <c r="AT142" s="967" t="s">
        <v>123</v>
      </c>
      <c r="AU142" s="967" t="s">
        <v>123</v>
      </c>
      <c r="AV142" s="967" t="s">
        <v>123</v>
      </c>
      <c r="AW142" s="907" t="s">
        <v>123</v>
      </c>
      <c r="AX142" s="907" t="s">
        <v>123</v>
      </c>
      <c r="AY142" s="907" t="s">
        <v>123</v>
      </c>
      <c r="AZ142" s="936" t="s">
        <v>123</v>
      </c>
      <c r="BA142" s="935" t="s">
        <v>123</v>
      </c>
      <c r="BB142" s="1000"/>
      <c r="BC142" s="1001"/>
      <c r="BD142" s="936"/>
      <c r="BE142" s="907"/>
      <c r="BF142" s="1002" t="str">
        <f>IF($BC142="","",SUMIF(portfolio.!$A$4:$A623,BC142,portfolio.!$AN$4:$AN623))</f>
        <v/>
      </c>
      <c r="BG142" s="936" t="s">
        <v>123</v>
      </c>
      <c r="BH142" s="907" t="s">
        <v>123</v>
      </c>
      <c r="BI142" s="935" t="s">
        <v>123</v>
      </c>
      <c r="BJ142" s="1003"/>
      <c r="BK142" s="907" t="s">
        <v>123</v>
      </c>
      <c r="BL142" s="907" t="s">
        <v>123</v>
      </c>
      <c r="BM142" s="907" t="s">
        <v>123</v>
      </c>
      <c r="BN142" s="1004" t="s">
        <v>123</v>
      </c>
      <c r="BO142" s="907" t="str">
        <f t="shared" si="6"/>
        <v/>
      </c>
      <c r="BP142" s="907" t="str">
        <f t="shared" si="7"/>
        <v/>
      </c>
      <c r="BQ142" s="907" t="str">
        <f t="shared" si="8"/>
        <v/>
      </c>
      <c r="BR142" s="1004" t="str">
        <f t="shared" si="9"/>
        <v/>
      </c>
      <c r="BS142" s="1005" t="str">
        <f t="shared" si="10"/>
        <v/>
      </c>
      <c r="BT142" s="1006" t="s">
        <v>123</v>
      </c>
      <c r="BU142" s="1002" t="s">
        <v>123</v>
      </c>
      <c r="BV142" s="1006" t="s">
        <v>123</v>
      </c>
      <c r="BW142" s="1007"/>
    </row>
    <row r="143">
      <c r="A143" s="624">
        <v>120.0</v>
      </c>
      <c r="B143" s="1008"/>
      <c r="C143" s="989"/>
      <c r="D143" s="851"/>
      <c r="E143" s="990"/>
      <c r="F143" s="991"/>
      <c r="G143" s="991"/>
      <c r="H143" s="992"/>
      <c r="I143" s="993"/>
      <c r="J143" s="993"/>
      <c r="K143" s="993"/>
      <c r="L143" s="993"/>
      <c r="M143" s="993"/>
      <c r="N143" s="993"/>
      <c r="O143" s="993"/>
      <c r="P143" s="993"/>
      <c r="Q143" s="993"/>
      <c r="R143" s="993"/>
      <c r="S143" s="936"/>
      <c r="T143" s="998"/>
      <c r="U143" s="935"/>
      <c r="V143" s="935"/>
      <c r="W143" s="949" t="str">
        <f>IF(AND($S$20,NOT($U$20)),IF($V143:$V623="","",SUMIF(portfolio.!$A$4:$A623,V143,portfolio.!$AN$4:$AN623)),"")</f>
        <v/>
      </c>
      <c r="X143" s="998"/>
      <c r="Y143" s="936"/>
      <c r="Z143" s="936" t="s">
        <v>123</v>
      </c>
      <c r="AA143" s="936" t="s">
        <v>123</v>
      </c>
      <c r="AB143" s="936" t="s">
        <v>123</v>
      </c>
      <c r="AC143" s="907" t="s">
        <v>123</v>
      </c>
      <c r="AD143" s="999"/>
      <c r="AE143" s="936"/>
      <c r="AF143" s="936"/>
      <c r="AG143" s="936"/>
      <c r="AH143" s="936"/>
      <c r="AI143" s="999"/>
      <c r="AJ143" s="935"/>
      <c r="AK143" s="966"/>
      <c r="AL143" s="949"/>
      <c r="AM143" s="949" t="s">
        <v>123</v>
      </c>
      <c r="AN143" s="949"/>
      <c r="AO143" s="999"/>
      <c r="AP143" s="936"/>
      <c r="AQ143" s="987"/>
      <c r="AR143" s="907"/>
      <c r="AS143" s="907"/>
      <c r="AT143" s="967" t="s">
        <v>123</v>
      </c>
      <c r="AU143" s="967" t="s">
        <v>123</v>
      </c>
      <c r="AV143" s="967" t="s">
        <v>123</v>
      </c>
      <c r="AW143" s="907" t="s">
        <v>123</v>
      </c>
      <c r="AX143" s="907" t="s">
        <v>123</v>
      </c>
      <c r="AY143" s="907" t="s">
        <v>123</v>
      </c>
      <c r="AZ143" s="936" t="s">
        <v>123</v>
      </c>
      <c r="BA143" s="935" t="s">
        <v>123</v>
      </c>
      <c r="BB143" s="1000"/>
      <c r="BC143" s="1001"/>
      <c r="BD143" s="936"/>
      <c r="BE143" s="907"/>
      <c r="BF143" s="1002" t="str">
        <f>IF($BC143="","",SUMIF(portfolio.!$A$4:$A623,BC143,portfolio.!$AN$4:$AN623))</f>
        <v/>
      </c>
      <c r="BG143" s="936" t="s">
        <v>123</v>
      </c>
      <c r="BH143" s="907" t="s">
        <v>123</v>
      </c>
      <c r="BI143" s="935" t="s">
        <v>123</v>
      </c>
      <c r="BJ143" s="1003"/>
      <c r="BK143" s="907" t="s">
        <v>123</v>
      </c>
      <c r="BL143" s="907" t="s">
        <v>123</v>
      </c>
      <c r="BM143" s="907" t="s">
        <v>123</v>
      </c>
      <c r="BN143" s="1004" t="s">
        <v>123</v>
      </c>
      <c r="BO143" s="907" t="str">
        <f t="shared" si="6"/>
        <v/>
      </c>
      <c r="BP143" s="907" t="str">
        <f t="shared" si="7"/>
        <v/>
      </c>
      <c r="BQ143" s="907" t="str">
        <f t="shared" si="8"/>
        <v/>
      </c>
      <c r="BR143" s="1004" t="str">
        <f t="shared" si="9"/>
        <v/>
      </c>
      <c r="BS143" s="1005" t="str">
        <f t="shared" si="10"/>
        <v/>
      </c>
      <c r="BT143" s="1006" t="s">
        <v>123</v>
      </c>
      <c r="BU143" s="1002" t="s">
        <v>123</v>
      </c>
      <c r="BV143" s="1006" t="s">
        <v>123</v>
      </c>
      <c r="BW143" s="1007"/>
    </row>
    <row r="144">
      <c r="A144" s="624">
        <v>121.0</v>
      </c>
      <c r="B144" s="1008"/>
      <c r="C144" s="989"/>
      <c r="D144" s="851"/>
      <c r="E144" s="990"/>
      <c r="F144" s="991"/>
      <c r="G144" s="991"/>
      <c r="H144" s="992"/>
      <c r="I144" s="993"/>
      <c r="J144" s="993"/>
      <c r="K144" s="993"/>
      <c r="L144" s="993"/>
      <c r="M144" s="993"/>
      <c r="N144" s="993"/>
      <c r="O144" s="993"/>
      <c r="P144" s="993"/>
      <c r="Q144" s="993"/>
      <c r="R144" s="993"/>
      <c r="S144" s="936"/>
      <c r="T144" s="998"/>
      <c r="U144" s="935"/>
      <c r="V144" s="935"/>
      <c r="W144" s="949" t="str">
        <f>IF(AND($S$20,NOT($U$20)),IF($V144:$V623="","",SUMIF(portfolio.!$A$4:$A623,V144,portfolio.!$AN$4:$AN623)),"")</f>
        <v/>
      </c>
      <c r="X144" s="998"/>
      <c r="Y144" s="936"/>
      <c r="Z144" s="936" t="s">
        <v>123</v>
      </c>
      <c r="AA144" s="936" t="s">
        <v>123</v>
      </c>
      <c r="AB144" s="936" t="s">
        <v>123</v>
      </c>
      <c r="AC144" s="907" t="s">
        <v>123</v>
      </c>
      <c r="AD144" s="999"/>
      <c r="AE144" s="936"/>
      <c r="AF144" s="936"/>
      <c r="AG144" s="936"/>
      <c r="AH144" s="936"/>
      <c r="AI144" s="999"/>
      <c r="AJ144" s="935"/>
      <c r="AK144" s="966"/>
      <c r="AL144" s="949"/>
      <c r="AM144" s="949" t="s">
        <v>123</v>
      </c>
      <c r="AN144" s="949"/>
      <c r="AO144" s="999"/>
      <c r="AP144" s="936"/>
      <c r="AQ144" s="987"/>
      <c r="AR144" s="907"/>
      <c r="AS144" s="907"/>
      <c r="AT144" s="967" t="s">
        <v>123</v>
      </c>
      <c r="AU144" s="967" t="s">
        <v>123</v>
      </c>
      <c r="AV144" s="967" t="s">
        <v>123</v>
      </c>
      <c r="AW144" s="907" t="s">
        <v>123</v>
      </c>
      <c r="AX144" s="907" t="s">
        <v>123</v>
      </c>
      <c r="AY144" s="907" t="s">
        <v>123</v>
      </c>
      <c r="AZ144" s="936" t="s">
        <v>123</v>
      </c>
      <c r="BA144" s="935" t="s">
        <v>123</v>
      </c>
      <c r="BB144" s="1000"/>
      <c r="BC144" s="1001"/>
      <c r="BD144" s="936"/>
      <c r="BE144" s="907"/>
      <c r="BF144" s="1002" t="str">
        <f>IF($BC144="","",SUMIF(portfolio.!$A$4:$A623,BC144,portfolio.!$AN$4:$AN623))</f>
        <v/>
      </c>
      <c r="BG144" s="936" t="s">
        <v>123</v>
      </c>
      <c r="BH144" s="907" t="s">
        <v>123</v>
      </c>
      <c r="BI144" s="935" t="s">
        <v>123</v>
      </c>
      <c r="BJ144" s="1003"/>
      <c r="BK144" s="907" t="s">
        <v>123</v>
      </c>
      <c r="BL144" s="907" t="s">
        <v>123</v>
      </c>
      <c r="BM144" s="907" t="s">
        <v>123</v>
      </c>
      <c r="BN144" s="1004" t="s">
        <v>123</v>
      </c>
      <c r="BO144" s="907" t="str">
        <f t="shared" si="6"/>
        <v/>
      </c>
      <c r="BP144" s="907" t="str">
        <f t="shared" si="7"/>
        <v/>
      </c>
      <c r="BQ144" s="907" t="str">
        <f t="shared" si="8"/>
        <v/>
      </c>
      <c r="BR144" s="1004" t="str">
        <f t="shared" si="9"/>
        <v/>
      </c>
      <c r="BS144" s="1005" t="str">
        <f t="shared" si="10"/>
        <v/>
      </c>
      <c r="BT144" s="1006" t="s">
        <v>123</v>
      </c>
      <c r="BU144" s="1002" t="s">
        <v>123</v>
      </c>
      <c r="BV144" s="1006" t="s">
        <v>123</v>
      </c>
      <c r="BW144" s="1007"/>
    </row>
    <row r="145">
      <c r="A145" s="624">
        <v>122.0</v>
      </c>
      <c r="B145" s="1008"/>
      <c r="C145" s="989"/>
      <c r="D145" s="851"/>
      <c r="E145" s="990"/>
      <c r="F145" s="991"/>
      <c r="G145" s="991"/>
      <c r="H145" s="992"/>
      <c r="I145" s="993"/>
      <c r="J145" s="993"/>
      <c r="K145" s="993"/>
      <c r="L145" s="993"/>
      <c r="M145" s="993"/>
      <c r="N145" s="993"/>
      <c r="O145" s="993"/>
      <c r="P145" s="993"/>
      <c r="Q145" s="993"/>
      <c r="R145" s="993"/>
      <c r="S145" s="936"/>
      <c r="T145" s="998"/>
      <c r="U145" s="935"/>
      <c r="V145" s="935"/>
      <c r="W145" s="949" t="str">
        <f>IF(AND($S$20,NOT($U$20)),IF($V145:$V623="","",SUMIF(portfolio.!$A$4:$A623,V145,portfolio.!$AN$4:$AN623)),"")</f>
        <v/>
      </c>
      <c r="X145" s="998"/>
      <c r="Y145" s="936"/>
      <c r="Z145" s="936" t="s">
        <v>123</v>
      </c>
      <c r="AA145" s="936" t="s">
        <v>123</v>
      </c>
      <c r="AB145" s="936" t="s">
        <v>123</v>
      </c>
      <c r="AC145" s="907" t="s">
        <v>123</v>
      </c>
      <c r="AD145" s="999"/>
      <c r="AE145" s="936"/>
      <c r="AF145" s="936"/>
      <c r="AG145" s="936"/>
      <c r="AH145" s="936"/>
      <c r="AI145" s="999"/>
      <c r="AJ145" s="935"/>
      <c r="AK145" s="966"/>
      <c r="AL145" s="949"/>
      <c r="AM145" s="949" t="s">
        <v>123</v>
      </c>
      <c r="AN145" s="949"/>
      <c r="AO145" s="999"/>
      <c r="AP145" s="936"/>
      <c r="AQ145" s="987"/>
      <c r="AR145" s="907"/>
      <c r="AS145" s="907"/>
      <c r="AT145" s="967" t="s">
        <v>123</v>
      </c>
      <c r="AU145" s="967" t="s">
        <v>123</v>
      </c>
      <c r="AV145" s="967" t="s">
        <v>123</v>
      </c>
      <c r="AW145" s="907" t="s">
        <v>123</v>
      </c>
      <c r="AX145" s="907" t="s">
        <v>123</v>
      </c>
      <c r="AY145" s="907" t="s">
        <v>123</v>
      </c>
      <c r="AZ145" s="936" t="s">
        <v>123</v>
      </c>
      <c r="BA145" s="935" t="s">
        <v>123</v>
      </c>
      <c r="BB145" s="1000"/>
      <c r="BC145" s="1001"/>
      <c r="BD145" s="936"/>
      <c r="BE145" s="907"/>
      <c r="BF145" s="1002" t="str">
        <f>IF($BC145="","",SUMIF(portfolio.!$A$4:$A623,BC145,portfolio.!$AN$4:$AN623))</f>
        <v/>
      </c>
      <c r="BG145" s="936" t="s">
        <v>123</v>
      </c>
      <c r="BH145" s="907" t="s">
        <v>123</v>
      </c>
      <c r="BI145" s="935" t="s">
        <v>123</v>
      </c>
      <c r="BJ145" s="1003"/>
      <c r="BK145" s="907" t="s">
        <v>123</v>
      </c>
      <c r="BL145" s="907" t="s">
        <v>123</v>
      </c>
      <c r="BM145" s="907" t="s">
        <v>123</v>
      </c>
      <c r="BN145" s="1004" t="s">
        <v>123</v>
      </c>
      <c r="BO145" s="907" t="str">
        <f t="shared" si="6"/>
        <v/>
      </c>
      <c r="BP145" s="907" t="str">
        <f t="shared" si="7"/>
        <v/>
      </c>
      <c r="BQ145" s="907" t="str">
        <f t="shared" si="8"/>
        <v/>
      </c>
      <c r="BR145" s="1004" t="str">
        <f t="shared" si="9"/>
        <v/>
      </c>
      <c r="BS145" s="1005" t="str">
        <f t="shared" si="10"/>
        <v/>
      </c>
      <c r="BT145" s="1006" t="s">
        <v>123</v>
      </c>
      <c r="BU145" s="1002" t="s">
        <v>123</v>
      </c>
      <c r="BV145" s="1006" t="s">
        <v>123</v>
      </c>
      <c r="BW145" s="1007"/>
    </row>
    <row r="146">
      <c r="A146" s="624">
        <v>123.0</v>
      </c>
      <c r="B146" s="1008"/>
      <c r="C146" s="989"/>
      <c r="D146" s="851"/>
      <c r="E146" s="990"/>
      <c r="F146" s="991"/>
      <c r="G146" s="991"/>
      <c r="H146" s="992"/>
      <c r="I146" s="993"/>
      <c r="J146" s="993"/>
      <c r="K146" s="993"/>
      <c r="L146" s="993"/>
      <c r="M146" s="993"/>
      <c r="N146" s="993"/>
      <c r="O146" s="993"/>
      <c r="P146" s="993"/>
      <c r="Q146" s="993"/>
      <c r="R146" s="993"/>
      <c r="S146" s="936"/>
      <c r="T146" s="998"/>
      <c r="U146" s="935"/>
      <c r="V146" s="935"/>
      <c r="W146" s="949" t="str">
        <f>IF(AND($S$20,NOT($U$20)),IF($V146:$V623="","",SUMIF(portfolio.!$A$4:$A623,V146,portfolio.!$AN$4:$AN623)),"")</f>
        <v/>
      </c>
      <c r="X146" s="998"/>
      <c r="Y146" s="936"/>
      <c r="Z146" s="936" t="s">
        <v>123</v>
      </c>
      <c r="AA146" s="936" t="s">
        <v>123</v>
      </c>
      <c r="AB146" s="936" t="s">
        <v>123</v>
      </c>
      <c r="AC146" s="907" t="s">
        <v>123</v>
      </c>
      <c r="AD146" s="999"/>
      <c r="AE146" s="936"/>
      <c r="AF146" s="936"/>
      <c r="AG146" s="936"/>
      <c r="AH146" s="936"/>
      <c r="AI146" s="999"/>
      <c r="AJ146" s="935"/>
      <c r="AK146" s="966"/>
      <c r="AL146" s="949"/>
      <c r="AM146" s="949" t="s">
        <v>123</v>
      </c>
      <c r="AN146" s="949"/>
      <c r="AO146" s="999"/>
      <c r="AP146" s="936"/>
      <c r="AQ146" s="987"/>
      <c r="AR146" s="907"/>
      <c r="AS146" s="907"/>
      <c r="AT146" s="967" t="s">
        <v>123</v>
      </c>
      <c r="AU146" s="967" t="s">
        <v>123</v>
      </c>
      <c r="AV146" s="967" t="s">
        <v>123</v>
      </c>
      <c r="AW146" s="907" t="s">
        <v>123</v>
      </c>
      <c r="AX146" s="907" t="s">
        <v>123</v>
      </c>
      <c r="AY146" s="907" t="s">
        <v>123</v>
      </c>
      <c r="AZ146" s="936" t="s">
        <v>123</v>
      </c>
      <c r="BA146" s="935" t="s">
        <v>123</v>
      </c>
      <c r="BB146" s="1000"/>
      <c r="BC146" s="1001"/>
      <c r="BD146" s="936"/>
      <c r="BE146" s="907"/>
      <c r="BF146" s="1002" t="str">
        <f>IF($BC146="","",SUMIF(portfolio.!$A$4:$A623,BC146,portfolio.!$AN$4:$AN623))</f>
        <v/>
      </c>
      <c r="BG146" s="936" t="s">
        <v>123</v>
      </c>
      <c r="BH146" s="907" t="s">
        <v>123</v>
      </c>
      <c r="BI146" s="935" t="s">
        <v>123</v>
      </c>
      <c r="BJ146" s="1003"/>
      <c r="BK146" s="907" t="s">
        <v>123</v>
      </c>
      <c r="BL146" s="907" t="s">
        <v>123</v>
      </c>
      <c r="BM146" s="907" t="s">
        <v>123</v>
      </c>
      <c r="BN146" s="1004" t="s">
        <v>123</v>
      </c>
      <c r="BO146" s="907" t="str">
        <f t="shared" si="6"/>
        <v/>
      </c>
      <c r="BP146" s="907" t="str">
        <f t="shared" si="7"/>
        <v/>
      </c>
      <c r="BQ146" s="907" t="str">
        <f t="shared" si="8"/>
        <v/>
      </c>
      <c r="BR146" s="1004" t="str">
        <f t="shared" si="9"/>
        <v/>
      </c>
      <c r="BS146" s="1005" t="str">
        <f t="shared" si="10"/>
        <v/>
      </c>
      <c r="BT146" s="1006" t="s">
        <v>123</v>
      </c>
      <c r="BU146" s="1002" t="s">
        <v>123</v>
      </c>
      <c r="BV146" s="1006" t="s">
        <v>123</v>
      </c>
      <c r="BW146" s="1007"/>
    </row>
    <row r="147">
      <c r="A147" s="624">
        <v>124.0</v>
      </c>
      <c r="B147" s="1008"/>
      <c r="C147" s="989"/>
      <c r="D147" s="851"/>
      <c r="E147" s="990"/>
      <c r="F147" s="991"/>
      <c r="G147" s="991"/>
      <c r="H147" s="992"/>
      <c r="I147" s="993"/>
      <c r="J147" s="993"/>
      <c r="K147" s="993"/>
      <c r="L147" s="993"/>
      <c r="M147" s="993"/>
      <c r="N147" s="993"/>
      <c r="O147" s="993"/>
      <c r="P147" s="993"/>
      <c r="Q147" s="993"/>
      <c r="R147" s="993"/>
      <c r="S147" s="936"/>
      <c r="T147" s="998"/>
      <c r="U147" s="935"/>
      <c r="V147" s="935"/>
      <c r="W147" s="949" t="str">
        <f>IF(AND($S$20,NOT($U$20)),IF($V147:$V623="","",SUMIF(portfolio.!$A$4:$A623,V147,portfolio.!$AN$4:$AN623)),"")</f>
        <v/>
      </c>
      <c r="X147" s="998"/>
      <c r="Y147" s="936"/>
      <c r="Z147" s="936" t="s">
        <v>123</v>
      </c>
      <c r="AA147" s="936" t="s">
        <v>123</v>
      </c>
      <c r="AB147" s="936" t="s">
        <v>123</v>
      </c>
      <c r="AC147" s="907" t="s">
        <v>123</v>
      </c>
      <c r="AD147" s="999"/>
      <c r="AE147" s="936"/>
      <c r="AF147" s="936"/>
      <c r="AG147" s="936"/>
      <c r="AH147" s="936"/>
      <c r="AI147" s="999"/>
      <c r="AJ147" s="935"/>
      <c r="AK147" s="966"/>
      <c r="AL147" s="949"/>
      <c r="AM147" s="949" t="s">
        <v>123</v>
      </c>
      <c r="AN147" s="949"/>
      <c r="AO147" s="999"/>
      <c r="AP147" s="936"/>
      <c r="AQ147" s="987"/>
      <c r="AR147" s="907"/>
      <c r="AS147" s="907"/>
      <c r="AT147" s="967" t="s">
        <v>123</v>
      </c>
      <c r="AU147" s="967" t="s">
        <v>123</v>
      </c>
      <c r="AV147" s="967" t="s">
        <v>123</v>
      </c>
      <c r="AW147" s="907" t="s">
        <v>123</v>
      </c>
      <c r="AX147" s="907" t="s">
        <v>123</v>
      </c>
      <c r="AY147" s="907" t="s">
        <v>123</v>
      </c>
      <c r="AZ147" s="936" t="s">
        <v>123</v>
      </c>
      <c r="BA147" s="935" t="s">
        <v>123</v>
      </c>
      <c r="BB147" s="1000"/>
      <c r="BC147" s="1001"/>
      <c r="BD147" s="936"/>
      <c r="BE147" s="907"/>
      <c r="BF147" s="1002" t="str">
        <f>IF($BC147="","",SUMIF(portfolio.!$A$4:$A623,BC147,portfolio.!$AN$4:$AN623))</f>
        <v/>
      </c>
      <c r="BG147" s="936" t="s">
        <v>123</v>
      </c>
      <c r="BH147" s="907" t="s">
        <v>123</v>
      </c>
      <c r="BI147" s="935" t="s">
        <v>123</v>
      </c>
      <c r="BJ147" s="1003"/>
      <c r="BK147" s="907" t="s">
        <v>123</v>
      </c>
      <c r="BL147" s="907" t="s">
        <v>123</v>
      </c>
      <c r="BM147" s="907" t="s">
        <v>123</v>
      </c>
      <c r="BN147" s="1004" t="s">
        <v>123</v>
      </c>
      <c r="BO147" s="907" t="str">
        <f t="shared" si="6"/>
        <v/>
      </c>
      <c r="BP147" s="907" t="str">
        <f t="shared" si="7"/>
        <v/>
      </c>
      <c r="BQ147" s="907" t="str">
        <f t="shared" si="8"/>
        <v/>
      </c>
      <c r="BR147" s="1004" t="str">
        <f t="shared" si="9"/>
        <v/>
      </c>
      <c r="BS147" s="1005" t="str">
        <f t="shared" si="10"/>
        <v/>
      </c>
      <c r="BT147" s="1006" t="s">
        <v>123</v>
      </c>
      <c r="BU147" s="1002" t="s">
        <v>123</v>
      </c>
      <c r="BV147" s="1006" t="s">
        <v>123</v>
      </c>
      <c r="BW147" s="1007"/>
    </row>
    <row r="148">
      <c r="A148" s="624">
        <v>125.0</v>
      </c>
      <c r="B148" s="1008"/>
      <c r="C148" s="989"/>
      <c r="D148" s="851"/>
      <c r="E148" s="990"/>
      <c r="F148" s="991"/>
      <c r="G148" s="991"/>
      <c r="H148" s="992"/>
      <c r="I148" s="993"/>
      <c r="J148" s="993"/>
      <c r="K148" s="993"/>
      <c r="L148" s="993"/>
      <c r="M148" s="993"/>
      <c r="N148" s="993"/>
      <c r="O148" s="993"/>
      <c r="P148" s="993"/>
      <c r="Q148" s="993"/>
      <c r="R148" s="993"/>
      <c r="S148" s="936"/>
      <c r="T148" s="998"/>
      <c r="U148" s="935"/>
      <c r="V148" s="935"/>
      <c r="W148" s="949" t="str">
        <f>IF(AND($S$20,NOT($U$20)),IF($V148:$V623="","",SUMIF(portfolio.!$A$4:$A623,V148,portfolio.!$AN$4:$AN623)),"")</f>
        <v/>
      </c>
      <c r="X148" s="998"/>
      <c r="Y148" s="936"/>
      <c r="Z148" s="936" t="s">
        <v>123</v>
      </c>
      <c r="AA148" s="936" t="s">
        <v>123</v>
      </c>
      <c r="AB148" s="936" t="s">
        <v>123</v>
      </c>
      <c r="AC148" s="907" t="s">
        <v>123</v>
      </c>
      <c r="AD148" s="999"/>
      <c r="AE148" s="936"/>
      <c r="AF148" s="936"/>
      <c r="AG148" s="936"/>
      <c r="AH148" s="936"/>
      <c r="AI148" s="999"/>
      <c r="AJ148" s="935"/>
      <c r="AK148" s="966"/>
      <c r="AL148" s="949"/>
      <c r="AM148" s="949" t="s">
        <v>123</v>
      </c>
      <c r="AN148" s="949"/>
      <c r="AO148" s="999"/>
      <c r="AP148" s="936"/>
      <c r="AQ148" s="987"/>
      <c r="AR148" s="907"/>
      <c r="AS148" s="907"/>
      <c r="AT148" s="967" t="s">
        <v>123</v>
      </c>
      <c r="AU148" s="967" t="s">
        <v>123</v>
      </c>
      <c r="AV148" s="967" t="s">
        <v>123</v>
      </c>
      <c r="AW148" s="907" t="s">
        <v>123</v>
      </c>
      <c r="AX148" s="907" t="s">
        <v>123</v>
      </c>
      <c r="AY148" s="907" t="s">
        <v>123</v>
      </c>
      <c r="AZ148" s="936" t="s">
        <v>123</v>
      </c>
      <c r="BA148" s="935" t="s">
        <v>123</v>
      </c>
      <c r="BB148" s="1000"/>
      <c r="BC148" s="1001"/>
      <c r="BD148" s="936"/>
      <c r="BE148" s="907"/>
      <c r="BF148" s="1002" t="str">
        <f>IF($BC148="","",SUMIF(portfolio.!$A$4:$A623,BC148,portfolio.!$AN$4:$AN623))</f>
        <v/>
      </c>
      <c r="BG148" s="936" t="s">
        <v>123</v>
      </c>
      <c r="BH148" s="907" t="s">
        <v>123</v>
      </c>
      <c r="BI148" s="935" t="s">
        <v>123</v>
      </c>
      <c r="BJ148" s="1003"/>
      <c r="BK148" s="907" t="s">
        <v>123</v>
      </c>
      <c r="BL148" s="907" t="s">
        <v>123</v>
      </c>
      <c r="BM148" s="907" t="s">
        <v>123</v>
      </c>
      <c r="BN148" s="1004" t="s">
        <v>123</v>
      </c>
      <c r="BO148" s="907" t="str">
        <f t="shared" si="6"/>
        <v/>
      </c>
      <c r="BP148" s="907" t="str">
        <f t="shared" si="7"/>
        <v/>
      </c>
      <c r="BQ148" s="907" t="str">
        <f t="shared" si="8"/>
        <v/>
      </c>
      <c r="BR148" s="1004" t="str">
        <f t="shared" si="9"/>
        <v/>
      </c>
      <c r="BS148" s="1005" t="str">
        <f t="shared" si="10"/>
        <v/>
      </c>
      <c r="BT148" s="1006" t="s">
        <v>123</v>
      </c>
      <c r="BU148" s="1002" t="s">
        <v>123</v>
      </c>
      <c r="BV148" s="1006" t="s">
        <v>123</v>
      </c>
      <c r="BW148" s="1007"/>
    </row>
    <row r="149">
      <c r="A149" s="624">
        <v>126.0</v>
      </c>
      <c r="B149" s="1008"/>
      <c r="C149" s="989"/>
      <c r="D149" s="851"/>
      <c r="E149" s="990"/>
      <c r="F149" s="991"/>
      <c r="G149" s="991"/>
      <c r="H149" s="992"/>
      <c r="I149" s="993"/>
      <c r="J149" s="993"/>
      <c r="K149" s="993"/>
      <c r="L149" s="993"/>
      <c r="M149" s="993"/>
      <c r="N149" s="993"/>
      <c r="O149" s="993"/>
      <c r="P149" s="993"/>
      <c r="Q149" s="993"/>
      <c r="R149" s="993"/>
      <c r="S149" s="936"/>
      <c r="T149" s="998"/>
      <c r="U149" s="935"/>
      <c r="V149" s="935"/>
      <c r="W149" s="949" t="str">
        <f>IF(AND($S$20,NOT($U$20)),IF($V149:$V623="","",SUMIF(portfolio.!$A$4:$A623,V149,portfolio.!$AN$4:$AN623)),"")</f>
        <v/>
      </c>
      <c r="X149" s="998"/>
      <c r="Y149" s="936"/>
      <c r="Z149" s="936" t="s">
        <v>123</v>
      </c>
      <c r="AA149" s="936" t="s">
        <v>123</v>
      </c>
      <c r="AB149" s="936" t="s">
        <v>123</v>
      </c>
      <c r="AC149" s="907" t="s">
        <v>123</v>
      </c>
      <c r="AD149" s="999"/>
      <c r="AE149" s="936"/>
      <c r="AF149" s="936"/>
      <c r="AG149" s="936"/>
      <c r="AH149" s="936"/>
      <c r="AI149" s="999"/>
      <c r="AJ149" s="935"/>
      <c r="AK149" s="966"/>
      <c r="AL149" s="949"/>
      <c r="AM149" s="949" t="s">
        <v>123</v>
      </c>
      <c r="AN149" s="949"/>
      <c r="AO149" s="999"/>
      <c r="AP149" s="936"/>
      <c r="AQ149" s="987"/>
      <c r="AR149" s="907"/>
      <c r="AS149" s="907"/>
      <c r="AT149" s="967" t="s">
        <v>123</v>
      </c>
      <c r="AU149" s="967" t="s">
        <v>123</v>
      </c>
      <c r="AV149" s="967" t="s">
        <v>123</v>
      </c>
      <c r="AW149" s="907" t="s">
        <v>123</v>
      </c>
      <c r="AX149" s="907" t="s">
        <v>123</v>
      </c>
      <c r="AY149" s="907" t="s">
        <v>123</v>
      </c>
      <c r="AZ149" s="936" t="s">
        <v>123</v>
      </c>
      <c r="BA149" s="935" t="s">
        <v>123</v>
      </c>
      <c r="BB149" s="1000"/>
      <c r="BC149" s="1001"/>
      <c r="BD149" s="936"/>
      <c r="BE149" s="907"/>
      <c r="BF149" s="1002" t="str">
        <f>IF($BC149="","",SUMIF(portfolio.!$A$4:$A623,BC149,portfolio.!$AN$4:$AN623))</f>
        <v/>
      </c>
      <c r="BG149" s="936" t="s">
        <v>123</v>
      </c>
      <c r="BH149" s="907" t="s">
        <v>123</v>
      </c>
      <c r="BI149" s="935" t="s">
        <v>123</v>
      </c>
      <c r="BJ149" s="1003"/>
      <c r="BK149" s="907" t="s">
        <v>123</v>
      </c>
      <c r="BL149" s="907" t="s">
        <v>123</v>
      </c>
      <c r="BM149" s="907" t="s">
        <v>123</v>
      </c>
      <c r="BN149" s="1004" t="s">
        <v>123</v>
      </c>
      <c r="BO149" s="907" t="str">
        <f t="shared" si="6"/>
        <v/>
      </c>
      <c r="BP149" s="907" t="str">
        <f t="shared" si="7"/>
        <v/>
      </c>
      <c r="BQ149" s="907" t="str">
        <f t="shared" si="8"/>
        <v/>
      </c>
      <c r="BR149" s="1004" t="str">
        <f t="shared" si="9"/>
        <v/>
      </c>
      <c r="BS149" s="1005" t="str">
        <f t="shared" si="10"/>
        <v/>
      </c>
      <c r="BT149" s="1006" t="s">
        <v>123</v>
      </c>
      <c r="BU149" s="1002" t="s">
        <v>123</v>
      </c>
      <c r="BV149" s="1006" t="s">
        <v>123</v>
      </c>
      <c r="BW149" s="1007"/>
    </row>
    <row r="150">
      <c r="A150" s="624">
        <v>127.0</v>
      </c>
      <c r="B150" s="1008"/>
      <c r="C150" s="989"/>
      <c r="D150" s="851"/>
      <c r="E150" s="990"/>
      <c r="F150" s="991"/>
      <c r="G150" s="991"/>
      <c r="H150" s="992"/>
      <c r="I150" s="993"/>
      <c r="J150" s="993"/>
      <c r="K150" s="993"/>
      <c r="L150" s="993"/>
      <c r="M150" s="993"/>
      <c r="N150" s="993"/>
      <c r="O150" s="993"/>
      <c r="P150" s="993"/>
      <c r="Q150" s="993"/>
      <c r="R150" s="993"/>
      <c r="S150" s="936"/>
      <c r="T150" s="998"/>
      <c r="U150" s="935"/>
      <c r="V150" s="935"/>
      <c r="W150" s="949" t="str">
        <f>IF(AND($S$20,NOT($U$20)),IF($V150:$V623="","",SUMIF(portfolio.!$A$4:$A623,V150,portfolio.!$AN$4:$AN623)),"")</f>
        <v/>
      </c>
      <c r="X150" s="998"/>
      <c r="Y150" s="936"/>
      <c r="Z150" s="936" t="s">
        <v>123</v>
      </c>
      <c r="AA150" s="936" t="s">
        <v>123</v>
      </c>
      <c r="AB150" s="936" t="s">
        <v>123</v>
      </c>
      <c r="AC150" s="907" t="s">
        <v>123</v>
      </c>
      <c r="AD150" s="999"/>
      <c r="AE150" s="936"/>
      <c r="AF150" s="936"/>
      <c r="AG150" s="936"/>
      <c r="AH150" s="936"/>
      <c r="AI150" s="999"/>
      <c r="AJ150" s="935"/>
      <c r="AK150" s="966"/>
      <c r="AL150" s="949"/>
      <c r="AM150" s="949" t="s">
        <v>123</v>
      </c>
      <c r="AN150" s="949"/>
      <c r="AO150" s="999"/>
      <c r="AP150" s="936"/>
      <c r="AQ150" s="987"/>
      <c r="AR150" s="907"/>
      <c r="AS150" s="907"/>
      <c r="AT150" s="967" t="s">
        <v>123</v>
      </c>
      <c r="AU150" s="967" t="s">
        <v>123</v>
      </c>
      <c r="AV150" s="967" t="s">
        <v>123</v>
      </c>
      <c r="AW150" s="907" t="s">
        <v>123</v>
      </c>
      <c r="AX150" s="907" t="s">
        <v>123</v>
      </c>
      <c r="AY150" s="907" t="s">
        <v>123</v>
      </c>
      <c r="AZ150" s="936" t="s">
        <v>123</v>
      </c>
      <c r="BA150" s="935" t="s">
        <v>123</v>
      </c>
      <c r="BB150" s="1000"/>
      <c r="BC150" s="1001"/>
      <c r="BD150" s="936"/>
      <c r="BE150" s="907"/>
      <c r="BF150" s="1002" t="str">
        <f>IF($BC150="","",SUMIF(portfolio.!$A$4:$A623,BC150,portfolio.!$AN$4:$AN623))</f>
        <v/>
      </c>
      <c r="BG150" s="936" t="s">
        <v>123</v>
      </c>
      <c r="BH150" s="907" t="s">
        <v>123</v>
      </c>
      <c r="BI150" s="935" t="s">
        <v>123</v>
      </c>
      <c r="BJ150" s="1003"/>
      <c r="BK150" s="907" t="s">
        <v>123</v>
      </c>
      <c r="BL150" s="907" t="s">
        <v>123</v>
      </c>
      <c r="BM150" s="907" t="s">
        <v>123</v>
      </c>
      <c r="BN150" s="1004" t="s">
        <v>123</v>
      </c>
      <c r="BO150" s="907" t="str">
        <f t="shared" si="6"/>
        <v/>
      </c>
      <c r="BP150" s="907" t="str">
        <f t="shared" si="7"/>
        <v/>
      </c>
      <c r="BQ150" s="907" t="str">
        <f t="shared" si="8"/>
        <v/>
      </c>
      <c r="BR150" s="1004" t="str">
        <f t="shared" si="9"/>
        <v/>
      </c>
      <c r="BS150" s="1005" t="str">
        <f t="shared" si="10"/>
        <v/>
      </c>
      <c r="BT150" s="1006" t="s">
        <v>123</v>
      </c>
      <c r="BU150" s="1002" t="s">
        <v>123</v>
      </c>
      <c r="BV150" s="1006" t="s">
        <v>123</v>
      </c>
      <c r="BW150" s="1007"/>
    </row>
    <row r="151">
      <c r="A151" s="624">
        <v>128.0</v>
      </c>
      <c r="B151" s="1008"/>
      <c r="C151" s="989"/>
      <c r="D151" s="851"/>
      <c r="E151" s="990"/>
      <c r="F151" s="991"/>
      <c r="G151" s="991"/>
      <c r="H151" s="992"/>
      <c r="I151" s="993"/>
      <c r="J151" s="993"/>
      <c r="K151" s="993"/>
      <c r="L151" s="993"/>
      <c r="M151" s="993"/>
      <c r="N151" s="993"/>
      <c r="O151" s="993"/>
      <c r="P151" s="993"/>
      <c r="Q151" s="993"/>
      <c r="R151" s="993"/>
      <c r="S151" s="936"/>
      <c r="T151" s="998"/>
      <c r="U151" s="935"/>
      <c r="V151" s="935"/>
      <c r="W151" s="949" t="str">
        <f>IF(AND($S$20,NOT($U$20)),IF($V151:$V623="","",SUMIF(portfolio.!$A$4:$A623,V151,portfolio.!$AN$4:$AN623)),"")</f>
        <v/>
      </c>
      <c r="X151" s="998"/>
      <c r="Y151" s="936"/>
      <c r="Z151" s="936" t="s">
        <v>123</v>
      </c>
      <c r="AA151" s="936" t="s">
        <v>123</v>
      </c>
      <c r="AB151" s="936" t="s">
        <v>123</v>
      </c>
      <c r="AC151" s="907" t="s">
        <v>123</v>
      </c>
      <c r="AD151" s="999"/>
      <c r="AE151" s="936"/>
      <c r="AF151" s="936"/>
      <c r="AG151" s="936"/>
      <c r="AH151" s="936"/>
      <c r="AI151" s="999"/>
      <c r="AJ151" s="935"/>
      <c r="AK151" s="966"/>
      <c r="AL151" s="949"/>
      <c r="AM151" s="949" t="s">
        <v>123</v>
      </c>
      <c r="AN151" s="949"/>
      <c r="AO151" s="999"/>
      <c r="AP151" s="936"/>
      <c r="AQ151" s="987"/>
      <c r="AR151" s="907"/>
      <c r="AS151" s="907"/>
      <c r="AT151" s="967" t="s">
        <v>123</v>
      </c>
      <c r="AU151" s="967" t="s">
        <v>123</v>
      </c>
      <c r="AV151" s="967" t="s">
        <v>123</v>
      </c>
      <c r="AW151" s="907" t="s">
        <v>123</v>
      </c>
      <c r="AX151" s="907" t="s">
        <v>123</v>
      </c>
      <c r="AY151" s="907" t="s">
        <v>123</v>
      </c>
      <c r="AZ151" s="936" t="s">
        <v>123</v>
      </c>
      <c r="BA151" s="935" t="s">
        <v>123</v>
      </c>
      <c r="BB151" s="1000"/>
      <c r="BC151" s="1001"/>
      <c r="BD151" s="936"/>
      <c r="BE151" s="907"/>
      <c r="BF151" s="1002" t="str">
        <f>IF($BC151="","",SUMIF(portfolio.!$A$4:$A623,BC151,portfolio.!$AN$4:$AN623))</f>
        <v/>
      </c>
      <c r="BG151" s="936" t="s">
        <v>123</v>
      </c>
      <c r="BH151" s="907" t="s">
        <v>123</v>
      </c>
      <c r="BI151" s="935" t="s">
        <v>123</v>
      </c>
      <c r="BJ151" s="1003"/>
      <c r="BK151" s="907" t="s">
        <v>123</v>
      </c>
      <c r="BL151" s="907" t="s">
        <v>123</v>
      </c>
      <c r="BM151" s="907" t="s">
        <v>123</v>
      </c>
      <c r="BN151" s="1004" t="s">
        <v>123</v>
      </c>
      <c r="BO151" s="907" t="str">
        <f t="shared" si="6"/>
        <v/>
      </c>
      <c r="BP151" s="907" t="str">
        <f t="shared" si="7"/>
        <v/>
      </c>
      <c r="BQ151" s="907" t="str">
        <f t="shared" si="8"/>
        <v/>
      </c>
      <c r="BR151" s="1004" t="str">
        <f t="shared" si="9"/>
        <v/>
      </c>
      <c r="BS151" s="1005" t="str">
        <f t="shared" si="10"/>
        <v/>
      </c>
      <c r="BT151" s="1006" t="s">
        <v>123</v>
      </c>
      <c r="BU151" s="1002" t="s">
        <v>123</v>
      </c>
      <c r="BV151" s="1006" t="s">
        <v>123</v>
      </c>
      <c r="BW151" s="1007"/>
    </row>
    <row r="152">
      <c r="A152" s="624">
        <v>129.0</v>
      </c>
      <c r="B152" s="1008"/>
      <c r="C152" s="989"/>
      <c r="D152" s="851"/>
      <c r="E152" s="990"/>
      <c r="F152" s="991"/>
      <c r="G152" s="991"/>
      <c r="H152" s="992"/>
      <c r="I152" s="993"/>
      <c r="J152" s="993"/>
      <c r="K152" s="993"/>
      <c r="L152" s="993"/>
      <c r="M152" s="993"/>
      <c r="N152" s="993"/>
      <c r="O152" s="993"/>
      <c r="P152" s="993"/>
      <c r="Q152" s="993"/>
      <c r="R152" s="993"/>
      <c r="S152" s="936"/>
      <c r="T152" s="998"/>
      <c r="U152" s="935"/>
      <c r="V152" s="935"/>
      <c r="W152" s="949" t="str">
        <f>IF(AND($S$20,NOT($U$20)),IF($V152:$V623="","",SUMIF(portfolio.!$A$4:$A623,V152,portfolio.!$AN$4:$AN623)),"")</f>
        <v/>
      </c>
      <c r="X152" s="998"/>
      <c r="Y152" s="936"/>
      <c r="Z152" s="936" t="s">
        <v>123</v>
      </c>
      <c r="AA152" s="936" t="s">
        <v>123</v>
      </c>
      <c r="AB152" s="936" t="s">
        <v>123</v>
      </c>
      <c r="AC152" s="907" t="s">
        <v>123</v>
      </c>
      <c r="AD152" s="999"/>
      <c r="AE152" s="936"/>
      <c r="AF152" s="936"/>
      <c r="AG152" s="936"/>
      <c r="AH152" s="936"/>
      <c r="AI152" s="999"/>
      <c r="AJ152" s="935"/>
      <c r="AK152" s="966"/>
      <c r="AL152" s="949"/>
      <c r="AM152" s="949" t="s">
        <v>123</v>
      </c>
      <c r="AN152" s="949"/>
      <c r="AO152" s="999"/>
      <c r="AP152" s="936"/>
      <c r="AQ152" s="987"/>
      <c r="AR152" s="907"/>
      <c r="AS152" s="907"/>
      <c r="AT152" s="967" t="s">
        <v>123</v>
      </c>
      <c r="AU152" s="967" t="s">
        <v>123</v>
      </c>
      <c r="AV152" s="967" t="s">
        <v>123</v>
      </c>
      <c r="AW152" s="907" t="s">
        <v>123</v>
      </c>
      <c r="AX152" s="907" t="s">
        <v>123</v>
      </c>
      <c r="AY152" s="907" t="s">
        <v>123</v>
      </c>
      <c r="AZ152" s="936" t="s">
        <v>123</v>
      </c>
      <c r="BA152" s="935" t="s">
        <v>123</v>
      </c>
      <c r="BB152" s="1000"/>
      <c r="BC152" s="1001"/>
      <c r="BD152" s="936"/>
      <c r="BE152" s="907"/>
      <c r="BF152" s="1002" t="str">
        <f>IF($BC152="","",SUMIF(portfolio.!$A$4:$A623,BC152,portfolio.!$AN$4:$AN623))</f>
        <v/>
      </c>
      <c r="BG152" s="936" t="s">
        <v>123</v>
      </c>
      <c r="BH152" s="907" t="s">
        <v>123</v>
      </c>
      <c r="BI152" s="935" t="s">
        <v>123</v>
      </c>
      <c r="BJ152" s="1003"/>
      <c r="BK152" s="907" t="s">
        <v>123</v>
      </c>
      <c r="BL152" s="907" t="s">
        <v>123</v>
      </c>
      <c r="BM152" s="907" t="s">
        <v>123</v>
      </c>
      <c r="BN152" s="1004" t="s">
        <v>123</v>
      </c>
      <c r="BO152" s="907" t="str">
        <f t="shared" si="6"/>
        <v/>
      </c>
      <c r="BP152" s="907" t="str">
        <f t="shared" si="7"/>
        <v/>
      </c>
      <c r="BQ152" s="907" t="str">
        <f t="shared" si="8"/>
        <v/>
      </c>
      <c r="BR152" s="1004" t="str">
        <f t="shared" si="9"/>
        <v/>
      </c>
      <c r="BS152" s="1005" t="str">
        <f t="shared" si="10"/>
        <v/>
      </c>
      <c r="BT152" s="1006" t="s">
        <v>123</v>
      </c>
      <c r="BU152" s="1002" t="s">
        <v>123</v>
      </c>
      <c r="BV152" s="1006" t="s">
        <v>123</v>
      </c>
      <c r="BW152" s="1007"/>
    </row>
    <row r="153">
      <c r="A153" s="624">
        <v>130.0</v>
      </c>
      <c r="B153" s="1008"/>
      <c r="C153" s="989"/>
      <c r="D153" s="851"/>
      <c r="E153" s="990"/>
      <c r="F153" s="991"/>
      <c r="G153" s="991"/>
      <c r="H153" s="992"/>
      <c r="I153" s="993"/>
      <c r="J153" s="993"/>
      <c r="K153" s="993"/>
      <c r="L153" s="993"/>
      <c r="M153" s="993"/>
      <c r="N153" s="993"/>
      <c r="O153" s="993"/>
      <c r="P153" s="993"/>
      <c r="Q153" s="993"/>
      <c r="R153" s="993"/>
      <c r="S153" s="936"/>
      <c r="T153" s="998"/>
      <c r="U153" s="935"/>
      <c r="V153" s="935"/>
      <c r="W153" s="949" t="str">
        <f>IF(AND($S$20,NOT($U$20)),IF($V153:$V623="","",SUMIF(portfolio.!$A$4:$A623,V153,portfolio.!$AN$4:$AN623)),"")</f>
        <v/>
      </c>
      <c r="X153" s="998"/>
      <c r="Y153" s="936"/>
      <c r="Z153" s="936" t="s">
        <v>123</v>
      </c>
      <c r="AA153" s="936" t="s">
        <v>123</v>
      </c>
      <c r="AB153" s="936" t="s">
        <v>123</v>
      </c>
      <c r="AC153" s="907" t="s">
        <v>123</v>
      </c>
      <c r="AD153" s="999"/>
      <c r="AE153" s="936"/>
      <c r="AF153" s="936"/>
      <c r="AG153" s="936"/>
      <c r="AH153" s="936"/>
      <c r="AI153" s="999"/>
      <c r="AJ153" s="935"/>
      <c r="AK153" s="966"/>
      <c r="AL153" s="949"/>
      <c r="AM153" s="949" t="s">
        <v>123</v>
      </c>
      <c r="AN153" s="949"/>
      <c r="AO153" s="999"/>
      <c r="AP153" s="936"/>
      <c r="AQ153" s="987"/>
      <c r="AR153" s="907"/>
      <c r="AS153" s="907"/>
      <c r="AT153" s="967" t="s">
        <v>123</v>
      </c>
      <c r="AU153" s="967" t="s">
        <v>123</v>
      </c>
      <c r="AV153" s="967" t="s">
        <v>123</v>
      </c>
      <c r="AW153" s="907" t="s">
        <v>123</v>
      </c>
      <c r="AX153" s="907" t="s">
        <v>123</v>
      </c>
      <c r="AY153" s="907" t="s">
        <v>123</v>
      </c>
      <c r="AZ153" s="936" t="s">
        <v>123</v>
      </c>
      <c r="BA153" s="935" t="s">
        <v>123</v>
      </c>
      <c r="BB153" s="1000"/>
      <c r="BC153" s="1001"/>
      <c r="BD153" s="936"/>
      <c r="BE153" s="907"/>
      <c r="BF153" s="1002" t="str">
        <f>IF($BC153="","",SUMIF(portfolio.!$A$4:$A623,BC153,portfolio.!$AN$4:$AN623))</f>
        <v/>
      </c>
      <c r="BG153" s="936" t="s">
        <v>123</v>
      </c>
      <c r="BH153" s="907" t="s">
        <v>123</v>
      </c>
      <c r="BI153" s="935" t="s">
        <v>123</v>
      </c>
      <c r="BJ153" s="1003"/>
      <c r="BK153" s="907" t="s">
        <v>123</v>
      </c>
      <c r="BL153" s="907" t="s">
        <v>123</v>
      </c>
      <c r="BM153" s="907" t="s">
        <v>123</v>
      </c>
      <c r="BN153" s="1004" t="s">
        <v>123</v>
      </c>
      <c r="BO153" s="907" t="str">
        <f t="shared" si="6"/>
        <v/>
      </c>
      <c r="BP153" s="907" t="str">
        <f t="shared" si="7"/>
        <v/>
      </c>
      <c r="BQ153" s="907" t="str">
        <f t="shared" si="8"/>
        <v/>
      </c>
      <c r="BR153" s="1004" t="str">
        <f t="shared" si="9"/>
        <v/>
      </c>
      <c r="BS153" s="1005" t="str">
        <f t="shared" si="10"/>
        <v/>
      </c>
      <c r="BT153" s="1006" t="s">
        <v>123</v>
      </c>
      <c r="BU153" s="1002" t="s">
        <v>123</v>
      </c>
      <c r="BV153" s="1006" t="s">
        <v>123</v>
      </c>
      <c r="BW153" s="1007"/>
    </row>
    <row r="154">
      <c r="A154" s="624">
        <v>131.0</v>
      </c>
      <c r="B154" s="1008"/>
      <c r="C154" s="989"/>
      <c r="D154" s="851"/>
      <c r="E154" s="990"/>
      <c r="F154" s="991"/>
      <c r="G154" s="991"/>
      <c r="H154" s="992"/>
      <c r="I154" s="993"/>
      <c r="J154" s="993"/>
      <c r="K154" s="993"/>
      <c r="L154" s="993"/>
      <c r="M154" s="993"/>
      <c r="N154" s="993"/>
      <c r="O154" s="993"/>
      <c r="P154" s="993"/>
      <c r="Q154" s="993"/>
      <c r="R154" s="993"/>
      <c r="S154" s="936"/>
      <c r="T154" s="998"/>
      <c r="U154" s="935"/>
      <c r="V154" s="935"/>
      <c r="W154" s="949" t="str">
        <f>IF(AND($S$20,NOT($U$20)),IF($V154:$V623="","",SUMIF(portfolio.!$A$4:$A623,V154,portfolio.!$AN$4:$AN623)),"")</f>
        <v/>
      </c>
      <c r="X154" s="998"/>
      <c r="Y154" s="936"/>
      <c r="Z154" s="936" t="s">
        <v>123</v>
      </c>
      <c r="AA154" s="936" t="s">
        <v>123</v>
      </c>
      <c r="AB154" s="936" t="s">
        <v>123</v>
      </c>
      <c r="AC154" s="907" t="s">
        <v>123</v>
      </c>
      <c r="AD154" s="999"/>
      <c r="AE154" s="936"/>
      <c r="AF154" s="936"/>
      <c r="AG154" s="936"/>
      <c r="AH154" s="936"/>
      <c r="AI154" s="999"/>
      <c r="AJ154" s="935"/>
      <c r="AK154" s="966"/>
      <c r="AL154" s="949"/>
      <c r="AM154" s="949" t="s">
        <v>123</v>
      </c>
      <c r="AN154" s="949"/>
      <c r="AO154" s="999"/>
      <c r="AP154" s="936"/>
      <c r="AQ154" s="987"/>
      <c r="AR154" s="907"/>
      <c r="AS154" s="907"/>
      <c r="AT154" s="967" t="s">
        <v>123</v>
      </c>
      <c r="AU154" s="967" t="s">
        <v>123</v>
      </c>
      <c r="AV154" s="967" t="s">
        <v>123</v>
      </c>
      <c r="AW154" s="907" t="s">
        <v>123</v>
      </c>
      <c r="AX154" s="907" t="s">
        <v>123</v>
      </c>
      <c r="AY154" s="907" t="s">
        <v>123</v>
      </c>
      <c r="AZ154" s="936" t="s">
        <v>123</v>
      </c>
      <c r="BA154" s="935" t="s">
        <v>123</v>
      </c>
      <c r="BB154" s="1000"/>
      <c r="BC154" s="1001"/>
      <c r="BD154" s="936"/>
      <c r="BE154" s="907"/>
      <c r="BF154" s="1002" t="str">
        <f>IF($BC154="","",SUMIF(portfolio.!$A$4:$A623,BC154,portfolio.!$AN$4:$AN623))</f>
        <v/>
      </c>
      <c r="BG154" s="936" t="s">
        <v>123</v>
      </c>
      <c r="BH154" s="907" t="s">
        <v>123</v>
      </c>
      <c r="BI154" s="935" t="s">
        <v>123</v>
      </c>
      <c r="BJ154" s="1003"/>
      <c r="BK154" s="907" t="s">
        <v>123</v>
      </c>
      <c r="BL154" s="907" t="s">
        <v>123</v>
      </c>
      <c r="BM154" s="907" t="s">
        <v>123</v>
      </c>
      <c r="BN154" s="1004" t="s">
        <v>123</v>
      </c>
      <c r="BO154" s="907" t="str">
        <f t="shared" si="6"/>
        <v/>
      </c>
      <c r="BP154" s="907" t="str">
        <f t="shared" si="7"/>
        <v/>
      </c>
      <c r="BQ154" s="907" t="str">
        <f t="shared" si="8"/>
        <v/>
      </c>
      <c r="BR154" s="1004" t="str">
        <f t="shared" si="9"/>
        <v/>
      </c>
      <c r="BS154" s="1005" t="str">
        <f t="shared" si="10"/>
        <v/>
      </c>
      <c r="BT154" s="1006" t="s">
        <v>123</v>
      </c>
      <c r="BU154" s="1002" t="s">
        <v>123</v>
      </c>
      <c r="BV154" s="1006" t="s">
        <v>123</v>
      </c>
      <c r="BW154" s="1007"/>
    </row>
    <row r="155">
      <c r="A155" s="624">
        <v>132.0</v>
      </c>
      <c r="B155" s="1008"/>
      <c r="C155" s="989"/>
      <c r="D155" s="851"/>
      <c r="E155" s="990"/>
      <c r="F155" s="991"/>
      <c r="G155" s="991"/>
      <c r="H155" s="992"/>
      <c r="I155" s="993"/>
      <c r="J155" s="993"/>
      <c r="K155" s="993"/>
      <c r="L155" s="993"/>
      <c r="M155" s="993"/>
      <c r="N155" s="993"/>
      <c r="O155" s="993"/>
      <c r="P155" s="993"/>
      <c r="Q155" s="993"/>
      <c r="R155" s="993"/>
      <c r="S155" s="936"/>
      <c r="T155" s="998"/>
      <c r="U155" s="935"/>
      <c r="V155" s="935"/>
      <c r="W155" s="949" t="str">
        <f>IF(AND($S$20,NOT($U$20)),IF($V155:$V623="","",SUMIF(portfolio.!$A$4:$A623,V155,portfolio.!$AN$4:$AN623)),"")</f>
        <v/>
      </c>
      <c r="X155" s="998"/>
      <c r="Y155" s="936"/>
      <c r="Z155" s="936" t="s">
        <v>123</v>
      </c>
      <c r="AA155" s="936" t="s">
        <v>123</v>
      </c>
      <c r="AB155" s="936" t="s">
        <v>123</v>
      </c>
      <c r="AC155" s="907" t="s">
        <v>123</v>
      </c>
      <c r="AD155" s="999"/>
      <c r="AE155" s="936"/>
      <c r="AF155" s="936"/>
      <c r="AG155" s="936"/>
      <c r="AH155" s="936"/>
      <c r="AI155" s="999"/>
      <c r="AJ155" s="935"/>
      <c r="AK155" s="966"/>
      <c r="AL155" s="949"/>
      <c r="AM155" s="949" t="s">
        <v>123</v>
      </c>
      <c r="AN155" s="949"/>
      <c r="AO155" s="999"/>
      <c r="AP155" s="936"/>
      <c r="AQ155" s="987"/>
      <c r="AR155" s="907"/>
      <c r="AS155" s="907"/>
      <c r="AT155" s="967" t="s">
        <v>123</v>
      </c>
      <c r="AU155" s="967" t="s">
        <v>123</v>
      </c>
      <c r="AV155" s="967" t="s">
        <v>123</v>
      </c>
      <c r="AW155" s="907" t="s">
        <v>123</v>
      </c>
      <c r="AX155" s="907" t="s">
        <v>123</v>
      </c>
      <c r="AY155" s="907" t="s">
        <v>123</v>
      </c>
      <c r="AZ155" s="936" t="s">
        <v>123</v>
      </c>
      <c r="BA155" s="935" t="s">
        <v>123</v>
      </c>
      <c r="BB155" s="1000"/>
      <c r="BC155" s="1001"/>
      <c r="BD155" s="936"/>
      <c r="BE155" s="907"/>
      <c r="BF155" s="1002" t="str">
        <f>IF($BC155="","",SUMIF(portfolio.!$A$4:$A623,BC155,portfolio.!$AN$4:$AN623))</f>
        <v/>
      </c>
      <c r="BG155" s="936" t="s">
        <v>123</v>
      </c>
      <c r="BH155" s="907" t="s">
        <v>123</v>
      </c>
      <c r="BI155" s="935" t="s">
        <v>123</v>
      </c>
      <c r="BJ155" s="1003"/>
      <c r="BK155" s="907" t="s">
        <v>123</v>
      </c>
      <c r="BL155" s="907" t="s">
        <v>123</v>
      </c>
      <c r="BM155" s="907" t="s">
        <v>123</v>
      </c>
      <c r="BN155" s="1004" t="s">
        <v>123</v>
      </c>
      <c r="BO155" s="907" t="str">
        <f t="shared" si="6"/>
        <v/>
      </c>
      <c r="BP155" s="907" t="str">
        <f t="shared" si="7"/>
        <v/>
      </c>
      <c r="BQ155" s="907" t="str">
        <f t="shared" si="8"/>
        <v/>
      </c>
      <c r="BR155" s="1004" t="str">
        <f t="shared" si="9"/>
        <v/>
      </c>
      <c r="BS155" s="1005" t="str">
        <f t="shared" si="10"/>
        <v/>
      </c>
      <c r="BT155" s="1006" t="s">
        <v>123</v>
      </c>
      <c r="BU155" s="1002" t="s">
        <v>123</v>
      </c>
      <c r="BV155" s="1006" t="s">
        <v>123</v>
      </c>
      <c r="BW155" s="1007"/>
    </row>
    <row r="156">
      <c r="A156" s="624">
        <v>133.0</v>
      </c>
      <c r="B156" s="1008"/>
      <c r="C156" s="989"/>
      <c r="D156" s="851"/>
      <c r="E156" s="990"/>
      <c r="F156" s="991"/>
      <c r="G156" s="991"/>
      <c r="H156" s="992"/>
      <c r="I156" s="993"/>
      <c r="J156" s="993"/>
      <c r="K156" s="993"/>
      <c r="L156" s="993"/>
      <c r="M156" s="993"/>
      <c r="N156" s="993"/>
      <c r="O156" s="993"/>
      <c r="P156" s="993"/>
      <c r="Q156" s="993"/>
      <c r="R156" s="993"/>
      <c r="S156" s="936"/>
      <c r="T156" s="998"/>
      <c r="U156" s="935"/>
      <c r="V156" s="935"/>
      <c r="W156" s="949" t="str">
        <f>IF(AND($S$20,NOT($U$20)),IF($V156:$V623="","",SUMIF(portfolio.!$A$4:$A623,V156,portfolio.!$AN$4:$AN623)),"")</f>
        <v/>
      </c>
      <c r="X156" s="998"/>
      <c r="Y156" s="936"/>
      <c r="Z156" s="936" t="s">
        <v>123</v>
      </c>
      <c r="AA156" s="936" t="s">
        <v>123</v>
      </c>
      <c r="AB156" s="936" t="s">
        <v>123</v>
      </c>
      <c r="AC156" s="907" t="s">
        <v>123</v>
      </c>
      <c r="AD156" s="999"/>
      <c r="AE156" s="936"/>
      <c r="AF156" s="936"/>
      <c r="AG156" s="936"/>
      <c r="AH156" s="936"/>
      <c r="AI156" s="999"/>
      <c r="AJ156" s="935"/>
      <c r="AK156" s="966"/>
      <c r="AL156" s="949"/>
      <c r="AM156" s="949" t="s">
        <v>123</v>
      </c>
      <c r="AN156" s="949"/>
      <c r="AO156" s="999"/>
      <c r="AP156" s="936"/>
      <c r="AQ156" s="987"/>
      <c r="AR156" s="907"/>
      <c r="AS156" s="907"/>
      <c r="AT156" s="967" t="s">
        <v>123</v>
      </c>
      <c r="AU156" s="967" t="s">
        <v>123</v>
      </c>
      <c r="AV156" s="967" t="s">
        <v>123</v>
      </c>
      <c r="AW156" s="907" t="s">
        <v>123</v>
      </c>
      <c r="AX156" s="907" t="s">
        <v>123</v>
      </c>
      <c r="AY156" s="907" t="s">
        <v>123</v>
      </c>
      <c r="AZ156" s="936" t="s">
        <v>123</v>
      </c>
      <c r="BA156" s="935" t="s">
        <v>123</v>
      </c>
      <c r="BB156" s="1000"/>
      <c r="BC156" s="1001"/>
      <c r="BD156" s="936"/>
      <c r="BE156" s="907"/>
      <c r="BF156" s="1002" t="str">
        <f>IF($BC156="","",SUMIF(portfolio.!$A$4:$A623,BC156,portfolio.!$AN$4:$AN623))</f>
        <v/>
      </c>
      <c r="BG156" s="936" t="s">
        <v>123</v>
      </c>
      <c r="BH156" s="907" t="s">
        <v>123</v>
      </c>
      <c r="BI156" s="935" t="s">
        <v>123</v>
      </c>
      <c r="BJ156" s="1003"/>
      <c r="BK156" s="907" t="s">
        <v>123</v>
      </c>
      <c r="BL156" s="907" t="s">
        <v>123</v>
      </c>
      <c r="BM156" s="907" t="s">
        <v>123</v>
      </c>
      <c r="BN156" s="1004" t="s">
        <v>123</v>
      </c>
      <c r="BO156" s="907" t="str">
        <f t="shared" si="6"/>
        <v/>
      </c>
      <c r="BP156" s="907" t="str">
        <f t="shared" si="7"/>
        <v/>
      </c>
      <c r="BQ156" s="907" t="str">
        <f t="shared" si="8"/>
        <v/>
      </c>
      <c r="BR156" s="1004" t="str">
        <f t="shared" si="9"/>
        <v/>
      </c>
      <c r="BS156" s="1005" t="str">
        <f t="shared" si="10"/>
        <v/>
      </c>
      <c r="BT156" s="1006" t="s">
        <v>123</v>
      </c>
      <c r="BU156" s="1002" t="s">
        <v>123</v>
      </c>
      <c r="BV156" s="1006" t="s">
        <v>123</v>
      </c>
      <c r="BW156" s="1007"/>
    </row>
    <row r="157">
      <c r="A157" s="624">
        <v>134.0</v>
      </c>
      <c r="B157" s="1008"/>
      <c r="C157" s="989"/>
      <c r="D157" s="851"/>
      <c r="E157" s="990"/>
      <c r="F157" s="991"/>
      <c r="G157" s="991"/>
      <c r="H157" s="992"/>
      <c r="I157" s="993"/>
      <c r="J157" s="993"/>
      <c r="K157" s="993"/>
      <c r="L157" s="993"/>
      <c r="M157" s="993"/>
      <c r="N157" s="993"/>
      <c r="O157" s="993"/>
      <c r="P157" s="993"/>
      <c r="Q157" s="993"/>
      <c r="R157" s="993"/>
      <c r="S157" s="936"/>
      <c r="T157" s="998"/>
      <c r="U157" s="935"/>
      <c r="V157" s="935"/>
      <c r="W157" s="949" t="str">
        <f>IF(AND($S$20,NOT($U$20)),IF($V157:$V623="","",SUMIF(portfolio.!$A$4:$A623,V157,portfolio.!$AN$4:$AN623)),"")</f>
        <v/>
      </c>
      <c r="X157" s="998"/>
      <c r="Y157" s="936"/>
      <c r="Z157" s="936" t="s">
        <v>123</v>
      </c>
      <c r="AA157" s="936" t="s">
        <v>123</v>
      </c>
      <c r="AB157" s="936" t="s">
        <v>123</v>
      </c>
      <c r="AC157" s="907" t="s">
        <v>123</v>
      </c>
      <c r="AD157" s="999"/>
      <c r="AE157" s="936"/>
      <c r="AF157" s="936"/>
      <c r="AG157" s="936"/>
      <c r="AH157" s="936"/>
      <c r="AI157" s="999"/>
      <c r="AJ157" s="935"/>
      <c r="AK157" s="966"/>
      <c r="AL157" s="949"/>
      <c r="AM157" s="949" t="s">
        <v>123</v>
      </c>
      <c r="AN157" s="949"/>
      <c r="AO157" s="999"/>
      <c r="AP157" s="936"/>
      <c r="AQ157" s="987"/>
      <c r="AR157" s="907"/>
      <c r="AS157" s="907"/>
      <c r="AT157" s="967" t="s">
        <v>123</v>
      </c>
      <c r="AU157" s="967" t="s">
        <v>123</v>
      </c>
      <c r="AV157" s="967" t="s">
        <v>123</v>
      </c>
      <c r="AW157" s="907" t="s">
        <v>123</v>
      </c>
      <c r="AX157" s="907" t="s">
        <v>123</v>
      </c>
      <c r="AY157" s="907" t="s">
        <v>123</v>
      </c>
      <c r="AZ157" s="936" t="s">
        <v>123</v>
      </c>
      <c r="BA157" s="935" t="s">
        <v>123</v>
      </c>
      <c r="BB157" s="1000"/>
      <c r="BC157" s="1001"/>
      <c r="BD157" s="936"/>
      <c r="BE157" s="907"/>
      <c r="BF157" s="1002" t="str">
        <f>IF($BC157="","",SUMIF(portfolio.!$A$4:$A623,BC157,portfolio.!$AN$4:$AN623))</f>
        <v/>
      </c>
      <c r="BG157" s="936" t="s">
        <v>123</v>
      </c>
      <c r="BH157" s="907" t="s">
        <v>123</v>
      </c>
      <c r="BI157" s="935" t="s">
        <v>123</v>
      </c>
      <c r="BJ157" s="1003"/>
      <c r="BK157" s="907" t="s">
        <v>123</v>
      </c>
      <c r="BL157" s="907" t="s">
        <v>123</v>
      </c>
      <c r="BM157" s="907" t="s">
        <v>123</v>
      </c>
      <c r="BN157" s="1004" t="s">
        <v>123</v>
      </c>
      <c r="BO157" s="907" t="str">
        <f t="shared" si="6"/>
        <v/>
      </c>
      <c r="BP157" s="907" t="str">
        <f t="shared" si="7"/>
        <v/>
      </c>
      <c r="BQ157" s="907" t="str">
        <f t="shared" si="8"/>
        <v/>
      </c>
      <c r="BR157" s="1004" t="str">
        <f t="shared" si="9"/>
        <v/>
      </c>
      <c r="BS157" s="1005" t="str">
        <f t="shared" si="10"/>
        <v/>
      </c>
      <c r="BT157" s="1006" t="s">
        <v>123</v>
      </c>
      <c r="BU157" s="1002" t="s">
        <v>123</v>
      </c>
      <c r="BV157" s="1006" t="s">
        <v>123</v>
      </c>
      <c r="BW157" s="1007"/>
    </row>
    <row r="158">
      <c r="A158" s="624">
        <v>135.0</v>
      </c>
      <c r="B158" s="1008"/>
      <c r="C158" s="989"/>
      <c r="D158" s="851"/>
      <c r="E158" s="990"/>
      <c r="F158" s="991"/>
      <c r="G158" s="991"/>
      <c r="H158" s="992"/>
      <c r="I158" s="993"/>
      <c r="J158" s="993"/>
      <c r="K158" s="993"/>
      <c r="L158" s="993"/>
      <c r="M158" s="993"/>
      <c r="N158" s="993"/>
      <c r="O158" s="993"/>
      <c r="P158" s="993"/>
      <c r="Q158" s="993"/>
      <c r="R158" s="993"/>
      <c r="S158" s="936"/>
      <c r="T158" s="998"/>
      <c r="U158" s="935"/>
      <c r="V158" s="935"/>
      <c r="W158" s="949" t="str">
        <f>IF(AND($S$20,NOT($U$20)),IF($V158:$V623="","",SUMIF(portfolio.!$A$4:$A623,V158,portfolio.!$AN$4:$AN623)),"")</f>
        <v/>
      </c>
      <c r="X158" s="998"/>
      <c r="Y158" s="936"/>
      <c r="Z158" s="936" t="s">
        <v>123</v>
      </c>
      <c r="AA158" s="936" t="s">
        <v>123</v>
      </c>
      <c r="AB158" s="936" t="s">
        <v>123</v>
      </c>
      <c r="AC158" s="907" t="s">
        <v>123</v>
      </c>
      <c r="AD158" s="999"/>
      <c r="AE158" s="936"/>
      <c r="AF158" s="936"/>
      <c r="AG158" s="936"/>
      <c r="AH158" s="936"/>
      <c r="AI158" s="999"/>
      <c r="AJ158" s="935"/>
      <c r="AK158" s="966"/>
      <c r="AL158" s="949"/>
      <c r="AM158" s="949" t="s">
        <v>123</v>
      </c>
      <c r="AN158" s="949"/>
      <c r="AO158" s="999"/>
      <c r="AP158" s="936"/>
      <c r="AQ158" s="987"/>
      <c r="AR158" s="907"/>
      <c r="AS158" s="907"/>
      <c r="AT158" s="967" t="s">
        <v>123</v>
      </c>
      <c r="AU158" s="967" t="s">
        <v>123</v>
      </c>
      <c r="AV158" s="967" t="s">
        <v>123</v>
      </c>
      <c r="AW158" s="907" t="s">
        <v>123</v>
      </c>
      <c r="AX158" s="907" t="s">
        <v>123</v>
      </c>
      <c r="AY158" s="907" t="s">
        <v>123</v>
      </c>
      <c r="AZ158" s="936" t="s">
        <v>123</v>
      </c>
      <c r="BA158" s="935" t="s">
        <v>123</v>
      </c>
      <c r="BB158" s="1000"/>
      <c r="BC158" s="1001"/>
      <c r="BD158" s="936"/>
      <c r="BE158" s="907"/>
      <c r="BF158" s="1002" t="str">
        <f>IF($BC158="","",SUMIF(portfolio.!$A$4:$A623,BC158,portfolio.!$AN$4:$AN623))</f>
        <v/>
      </c>
      <c r="BG158" s="936" t="s">
        <v>123</v>
      </c>
      <c r="BH158" s="907" t="s">
        <v>123</v>
      </c>
      <c r="BI158" s="935" t="s">
        <v>123</v>
      </c>
      <c r="BJ158" s="1003"/>
      <c r="BK158" s="907" t="s">
        <v>123</v>
      </c>
      <c r="BL158" s="907" t="s">
        <v>123</v>
      </c>
      <c r="BM158" s="907" t="s">
        <v>123</v>
      </c>
      <c r="BN158" s="1004" t="s">
        <v>123</v>
      </c>
      <c r="BO158" s="907" t="str">
        <f t="shared" si="6"/>
        <v/>
      </c>
      <c r="BP158" s="907" t="str">
        <f t="shared" si="7"/>
        <v/>
      </c>
      <c r="BQ158" s="907" t="str">
        <f t="shared" si="8"/>
        <v/>
      </c>
      <c r="BR158" s="1004" t="str">
        <f t="shared" si="9"/>
        <v/>
      </c>
      <c r="BS158" s="1005" t="str">
        <f t="shared" si="10"/>
        <v/>
      </c>
      <c r="BT158" s="1006" t="s">
        <v>123</v>
      </c>
      <c r="BU158" s="1002" t="s">
        <v>123</v>
      </c>
      <c r="BV158" s="1006" t="s">
        <v>123</v>
      </c>
      <c r="BW158" s="1007"/>
    </row>
    <row r="159">
      <c r="A159" s="624">
        <v>136.0</v>
      </c>
      <c r="B159" s="1008"/>
      <c r="C159" s="989"/>
      <c r="D159" s="851"/>
      <c r="E159" s="990"/>
      <c r="F159" s="991"/>
      <c r="G159" s="991"/>
      <c r="H159" s="992"/>
      <c r="I159" s="993"/>
      <c r="J159" s="993"/>
      <c r="K159" s="993"/>
      <c r="L159" s="993"/>
      <c r="M159" s="993"/>
      <c r="N159" s="993"/>
      <c r="O159" s="993"/>
      <c r="P159" s="993"/>
      <c r="Q159" s="993"/>
      <c r="R159" s="993"/>
      <c r="S159" s="936"/>
      <c r="T159" s="998"/>
      <c r="U159" s="935"/>
      <c r="V159" s="935"/>
      <c r="W159" s="949" t="str">
        <f>IF(AND($S$20,NOT($U$20)),IF($V159:$V623="","",SUMIF(portfolio.!$A$4:$A623,V159,portfolio.!$AN$4:$AN623)),"")</f>
        <v/>
      </c>
      <c r="X159" s="998"/>
      <c r="Y159" s="936"/>
      <c r="Z159" s="936" t="s">
        <v>123</v>
      </c>
      <c r="AA159" s="936" t="s">
        <v>123</v>
      </c>
      <c r="AB159" s="936" t="s">
        <v>123</v>
      </c>
      <c r="AC159" s="907" t="s">
        <v>123</v>
      </c>
      <c r="AD159" s="999"/>
      <c r="AE159" s="936"/>
      <c r="AF159" s="936"/>
      <c r="AG159" s="936"/>
      <c r="AH159" s="936"/>
      <c r="AI159" s="999"/>
      <c r="AJ159" s="935"/>
      <c r="AK159" s="966"/>
      <c r="AL159" s="949"/>
      <c r="AM159" s="949" t="s">
        <v>123</v>
      </c>
      <c r="AN159" s="949"/>
      <c r="AO159" s="999"/>
      <c r="AP159" s="936"/>
      <c r="AQ159" s="987"/>
      <c r="AR159" s="907"/>
      <c r="AS159" s="907"/>
      <c r="AT159" s="967" t="s">
        <v>123</v>
      </c>
      <c r="AU159" s="967" t="s">
        <v>123</v>
      </c>
      <c r="AV159" s="967" t="s">
        <v>123</v>
      </c>
      <c r="AW159" s="907" t="s">
        <v>123</v>
      </c>
      <c r="AX159" s="907" t="s">
        <v>123</v>
      </c>
      <c r="AY159" s="907" t="s">
        <v>123</v>
      </c>
      <c r="AZ159" s="936" t="s">
        <v>123</v>
      </c>
      <c r="BA159" s="935" t="s">
        <v>123</v>
      </c>
      <c r="BB159" s="1000"/>
      <c r="BC159" s="1001"/>
      <c r="BD159" s="936"/>
      <c r="BE159" s="907"/>
      <c r="BF159" s="1002" t="str">
        <f>IF($BC159="","",SUMIF(portfolio.!$A$4:$A623,BC159,portfolio.!$AN$4:$AN623))</f>
        <v/>
      </c>
      <c r="BG159" s="936" t="s">
        <v>123</v>
      </c>
      <c r="BH159" s="907" t="s">
        <v>123</v>
      </c>
      <c r="BI159" s="935" t="s">
        <v>123</v>
      </c>
      <c r="BJ159" s="1003"/>
      <c r="BK159" s="907" t="s">
        <v>123</v>
      </c>
      <c r="BL159" s="907" t="s">
        <v>123</v>
      </c>
      <c r="BM159" s="907" t="s">
        <v>123</v>
      </c>
      <c r="BN159" s="1004" t="s">
        <v>123</v>
      </c>
      <c r="BO159" s="907" t="str">
        <f t="shared" si="6"/>
        <v/>
      </c>
      <c r="BP159" s="907" t="str">
        <f t="shared" si="7"/>
        <v/>
      </c>
      <c r="BQ159" s="907" t="str">
        <f t="shared" si="8"/>
        <v/>
      </c>
      <c r="BR159" s="1004" t="str">
        <f t="shared" si="9"/>
        <v/>
      </c>
      <c r="BS159" s="1005" t="str">
        <f t="shared" si="10"/>
        <v/>
      </c>
      <c r="BT159" s="1006" t="s">
        <v>123</v>
      </c>
      <c r="BU159" s="1002" t="s">
        <v>123</v>
      </c>
      <c r="BV159" s="1006" t="s">
        <v>123</v>
      </c>
      <c r="BW159" s="1007"/>
    </row>
    <row r="160">
      <c r="A160" s="624">
        <v>137.0</v>
      </c>
      <c r="B160" s="1008"/>
      <c r="C160" s="989"/>
      <c r="D160" s="851"/>
      <c r="E160" s="990"/>
      <c r="F160" s="991"/>
      <c r="G160" s="991"/>
      <c r="H160" s="992"/>
      <c r="I160" s="993"/>
      <c r="J160" s="993"/>
      <c r="K160" s="993"/>
      <c r="L160" s="993"/>
      <c r="M160" s="993"/>
      <c r="N160" s="993"/>
      <c r="O160" s="993"/>
      <c r="P160" s="993"/>
      <c r="Q160" s="993"/>
      <c r="R160" s="993"/>
      <c r="S160" s="936"/>
      <c r="T160" s="998"/>
      <c r="U160" s="935"/>
      <c r="V160" s="935"/>
      <c r="W160" s="949" t="str">
        <f>IF(AND($S$20,NOT($U$20)),IF($V160:$V623="","",SUMIF(portfolio.!$A$4:$A623,V160,portfolio.!$AN$4:$AN623)),"")</f>
        <v/>
      </c>
      <c r="X160" s="998"/>
      <c r="Y160" s="936"/>
      <c r="Z160" s="936" t="s">
        <v>123</v>
      </c>
      <c r="AA160" s="936" t="s">
        <v>123</v>
      </c>
      <c r="AB160" s="936" t="s">
        <v>123</v>
      </c>
      <c r="AC160" s="907" t="s">
        <v>123</v>
      </c>
      <c r="AD160" s="999"/>
      <c r="AE160" s="936"/>
      <c r="AF160" s="936"/>
      <c r="AG160" s="936"/>
      <c r="AH160" s="936"/>
      <c r="AI160" s="999"/>
      <c r="AJ160" s="935"/>
      <c r="AK160" s="966"/>
      <c r="AL160" s="949"/>
      <c r="AM160" s="949" t="s">
        <v>123</v>
      </c>
      <c r="AN160" s="949"/>
      <c r="AO160" s="999"/>
      <c r="AP160" s="936"/>
      <c r="AQ160" s="987"/>
      <c r="AR160" s="907"/>
      <c r="AS160" s="907"/>
      <c r="AT160" s="967" t="s">
        <v>123</v>
      </c>
      <c r="AU160" s="967" t="s">
        <v>123</v>
      </c>
      <c r="AV160" s="967" t="s">
        <v>123</v>
      </c>
      <c r="AW160" s="907" t="s">
        <v>123</v>
      </c>
      <c r="AX160" s="907" t="s">
        <v>123</v>
      </c>
      <c r="AY160" s="907" t="s">
        <v>123</v>
      </c>
      <c r="AZ160" s="936" t="s">
        <v>123</v>
      </c>
      <c r="BA160" s="935" t="s">
        <v>123</v>
      </c>
      <c r="BB160" s="1000"/>
      <c r="BC160" s="1001"/>
      <c r="BD160" s="936"/>
      <c r="BE160" s="907"/>
      <c r="BF160" s="1002" t="str">
        <f>IF($BC160="","",SUMIF(portfolio.!$A$4:$A623,BC160,portfolio.!$AN$4:$AN623))</f>
        <v/>
      </c>
      <c r="BG160" s="936" t="s">
        <v>123</v>
      </c>
      <c r="BH160" s="907" t="s">
        <v>123</v>
      </c>
      <c r="BI160" s="935" t="s">
        <v>123</v>
      </c>
      <c r="BJ160" s="1003"/>
      <c r="BK160" s="907" t="s">
        <v>123</v>
      </c>
      <c r="BL160" s="907" t="s">
        <v>123</v>
      </c>
      <c r="BM160" s="907" t="s">
        <v>123</v>
      </c>
      <c r="BN160" s="1004" t="s">
        <v>123</v>
      </c>
      <c r="BO160" s="907" t="str">
        <f t="shared" si="6"/>
        <v/>
      </c>
      <c r="BP160" s="907" t="str">
        <f t="shared" si="7"/>
        <v/>
      </c>
      <c r="BQ160" s="907" t="str">
        <f t="shared" si="8"/>
        <v/>
      </c>
      <c r="BR160" s="1004" t="str">
        <f t="shared" si="9"/>
        <v/>
      </c>
      <c r="BS160" s="1005" t="str">
        <f t="shared" si="10"/>
        <v/>
      </c>
      <c r="BT160" s="1006" t="s">
        <v>123</v>
      </c>
      <c r="BU160" s="1002" t="s">
        <v>123</v>
      </c>
      <c r="BV160" s="1006" t="s">
        <v>123</v>
      </c>
      <c r="BW160" s="1007"/>
    </row>
    <row r="161">
      <c r="A161" s="624">
        <v>138.0</v>
      </c>
      <c r="B161" s="1008"/>
      <c r="C161" s="989"/>
      <c r="D161" s="851"/>
      <c r="E161" s="990"/>
      <c r="F161" s="991"/>
      <c r="G161" s="991"/>
      <c r="H161" s="992"/>
      <c r="I161" s="993"/>
      <c r="J161" s="993"/>
      <c r="K161" s="993"/>
      <c r="L161" s="993"/>
      <c r="M161" s="993"/>
      <c r="N161" s="993"/>
      <c r="O161" s="993"/>
      <c r="P161" s="993"/>
      <c r="Q161" s="993"/>
      <c r="R161" s="993"/>
      <c r="S161" s="936"/>
      <c r="T161" s="998"/>
      <c r="U161" s="935"/>
      <c r="V161" s="935"/>
      <c r="W161" s="949" t="str">
        <f>IF(AND($S$20,NOT($U$20)),IF($V161:$V623="","",SUMIF(portfolio.!$A$4:$A623,V161,portfolio.!$AN$4:$AN623)),"")</f>
        <v/>
      </c>
      <c r="X161" s="998"/>
      <c r="Y161" s="936"/>
      <c r="Z161" s="936" t="s">
        <v>123</v>
      </c>
      <c r="AA161" s="936" t="s">
        <v>123</v>
      </c>
      <c r="AB161" s="936" t="s">
        <v>123</v>
      </c>
      <c r="AC161" s="907" t="s">
        <v>123</v>
      </c>
      <c r="AD161" s="999"/>
      <c r="AE161" s="936"/>
      <c r="AF161" s="936"/>
      <c r="AG161" s="936"/>
      <c r="AH161" s="936"/>
      <c r="AI161" s="999"/>
      <c r="AJ161" s="935"/>
      <c r="AK161" s="966"/>
      <c r="AL161" s="949"/>
      <c r="AM161" s="949" t="s">
        <v>123</v>
      </c>
      <c r="AN161" s="949"/>
      <c r="AO161" s="999"/>
      <c r="AP161" s="936"/>
      <c r="AQ161" s="987"/>
      <c r="AR161" s="907"/>
      <c r="AS161" s="907"/>
      <c r="AT161" s="967" t="s">
        <v>123</v>
      </c>
      <c r="AU161" s="967" t="s">
        <v>123</v>
      </c>
      <c r="AV161" s="967" t="s">
        <v>123</v>
      </c>
      <c r="AW161" s="907" t="s">
        <v>123</v>
      </c>
      <c r="AX161" s="907" t="s">
        <v>123</v>
      </c>
      <c r="AY161" s="907" t="s">
        <v>123</v>
      </c>
      <c r="AZ161" s="936" t="s">
        <v>123</v>
      </c>
      <c r="BA161" s="935" t="s">
        <v>123</v>
      </c>
      <c r="BB161" s="1000"/>
      <c r="BC161" s="1001"/>
      <c r="BD161" s="936"/>
      <c r="BE161" s="907"/>
      <c r="BF161" s="1002" t="str">
        <f>IF($BC161="","",SUMIF(portfolio.!$A$4:$A623,BC161,portfolio.!$AN$4:$AN623))</f>
        <v/>
      </c>
      <c r="BG161" s="936" t="s">
        <v>123</v>
      </c>
      <c r="BH161" s="907" t="s">
        <v>123</v>
      </c>
      <c r="BI161" s="935" t="s">
        <v>123</v>
      </c>
      <c r="BJ161" s="1003"/>
      <c r="BK161" s="907" t="s">
        <v>123</v>
      </c>
      <c r="BL161" s="907" t="s">
        <v>123</v>
      </c>
      <c r="BM161" s="907" t="s">
        <v>123</v>
      </c>
      <c r="BN161" s="1004" t="s">
        <v>123</v>
      </c>
      <c r="BO161" s="907" t="str">
        <f t="shared" si="6"/>
        <v/>
      </c>
      <c r="BP161" s="907" t="str">
        <f t="shared" si="7"/>
        <v/>
      </c>
      <c r="BQ161" s="907" t="str">
        <f t="shared" si="8"/>
        <v/>
      </c>
      <c r="BR161" s="1004" t="str">
        <f t="shared" si="9"/>
        <v/>
      </c>
      <c r="BS161" s="1005" t="str">
        <f t="shared" si="10"/>
        <v/>
      </c>
      <c r="BT161" s="1006" t="s">
        <v>123</v>
      </c>
      <c r="BU161" s="1002" t="s">
        <v>123</v>
      </c>
      <c r="BV161" s="1006" t="s">
        <v>123</v>
      </c>
      <c r="BW161" s="1007"/>
    </row>
    <row r="162">
      <c r="A162" s="624">
        <v>139.0</v>
      </c>
      <c r="B162" s="1008"/>
      <c r="C162" s="989"/>
      <c r="D162" s="851"/>
      <c r="E162" s="990"/>
      <c r="F162" s="991"/>
      <c r="G162" s="991"/>
      <c r="H162" s="992"/>
      <c r="I162" s="993"/>
      <c r="J162" s="993"/>
      <c r="K162" s="993"/>
      <c r="L162" s="993"/>
      <c r="M162" s="993"/>
      <c r="N162" s="993"/>
      <c r="O162" s="993"/>
      <c r="P162" s="993"/>
      <c r="Q162" s="993"/>
      <c r="R162" s="993"/>
      <c r="S162" s="936"/>
      <c r="T162" s="998"/>
      <c r="U162" s="935"/>
      <c r="V162" s="935"/>
      <c r="W162" s="949" t="str">
        <f>IF(AND($S$20,NOT($U$20)),IF($V162:$V623="","",SUMIF(portfolio.!$A$4:$A623,V162,portfolio.!$AN$4:$AN623)),"")</f>
        <v/>
      </c>
      <c r="X162" s="998"/>
      <c r="Y162" s="936"/>
      <c r="Z162" s="936" t="s">
        <v>123</v>
      </c>
      <c r="AA162" s="936" t="s">
        <v>123</v>
      </c>
      <c r="AB162" s="936" t="s">
        <v>123</v>
      </c>
      <c r="AC162" s="907" t="s">
        <v>123</v>
      </c>
      <c r="AD162" s="999"/>
      <c r="AE162" s="936"/>
      <c r="AF162" s="936"/>
      <c r="AG162" s="936"/>
      <c r="AH162" s="936"/>
      <c r="AI162" s="999"/>
      <c r="AJ162" s="935"/>
      <c r="AK162" s="966"/>
      <c r="AL162" s="949"/>
      <c r="AM162" s="949" t="s">
        <v>123</v>
      </c>
      <c r="AN162" s="949"/>
      <c r="AO162" s="999"/>
      <c r="AP162" s="936"/>
      <c r="AQ162" s="987"/>
      <c r="AR162" s="907"/>
      <c r="AS162" s="907"/>
      <c r="AT162" s="967" t="s">
        <v>123</v>
      </c>
      <c r="AU162" s="967" t="s">
        <v>123</v>
      </c>
      <c r="AV162" s="967" t="s">
        <v>123</v>
      </c>
      <c r="AW162" s="907" t="s">
        <v>123</v>
      </c>
      <c r="AX162" s="907" t="s">
        <v>123</v>
      </c>
      <c r="AY162" s="907" t="s">
        <v>123</v>
      </c>
      <c r="AZ162" s="936" t="s">
        <v>123</v>
      </c>
      <c r="BA162" s="935" t="s">
        <v>123</v>
      </c>
      <c r="BB162" s="1000"/>
      <c r="BC162" s="1001"/>
      <c r="BD162" s="936"/>
      <c r="BE162" s="907"/>
      <c r="BF162" s="1002" t="str">
        <f>IF($BC162="","",SUMIF(portfolio.!$A$4:$A623,BC162,portfolio.!$AN$4:$AN623))</f>
        <v/>
      </c>
      <c r="BG162" s="936" t="s">
        <v>123</v>
      </c>
      <c r="BH162" s="907" t="s">
        <v>123</v>
      </c>
      <c r="BI162" s="935" t="s">
        <v>123</v>
      </c>
      <c r="BJ162" s="1003"/>
      <c r="BK162" s="907" t="s">
        <v>123</v>
      </c>
      <c r="BL162" s="907" t="s">
        <v>123</v>
      </c>
      <c r="BM162" s="907" t="s">
        <v>123</v>
      </c>
      <c r="BN162" s="1004" t="s">
        <v>123</v>
      </c>
      <c r="BO162" s="907" t="str">
        <f t="shared" si="6"/>
        <v/>
      </c>
      <c r="BP162" s="907" t="str">
        <f t="shared" si="7"/>
        <v/>
      </c>
      <c r="BQ162" s="907" t="str">
        <f t="shared" si="8"/>
        <v/>
      </c>
      <c r="BR162" s="1004" t="str">
        <f t="shared" si="9"/>
        <v/>
      </c>
      <c r="BS162" s="1005" t="str">
        <f t="shared" si="10"/>
        <v/>
      </c>
      <c r="BT162" s="1006" t="s">
        <v>123</v>
      </c>
      <c r="BU162" s="1002" t="s">
        <v>123</v>
      </c>
      <c r="BV162" s="1006" t="s">
        <v>123</v>
      </c>
      <c r="BW162" s="1007"/>
    </row>
    <row r="163">
      <c r="A163" s="624">
        <v>140.0</v>
      </c>
      <c r="B163" s="1008"/>
      <c r="C163" s="989"/>
      <c r="D163" s="851"/>
      <c r="E163" s="990"/>
      <c r="F163" s="991"/>
      <c r="G163" s="991"/>
      <c r="H163" s="992"/>
      <c r="I163" s="993"/>
      <c r="J163" s="993"/>
      <c r="K163" s="993"/>
      <c r="L163" s="993"/>
      <c r="M163" s="993"/>
      <c r="N163" s="993"/>
      <c r="O163" s="993"/>
      <c r="P163" s="993"/>
      <c r="Q163" s="993"/>
      <c r="R163" s="993"/>
      <c r="S163" s="936"/>
      <c r="T163" s="998"/>
      <c r="U163" s="935"/>
      <c r="V163" s="935"/>
      <c r="W163" s="949" t="str">
        <f>IF(AND($S$20,NOT($U$20)),IF($V163:$V623="","",SUMIF(portfolio.!$A$4:$A623,V163,portfolio.!$AN$4:$AN623)),"")</f>
        <v/>
      </c>
      <c r="X163" s="998"/>
      <c r="Y163" s="936"/>
      <c r="Z163" s="936" t="s">
        <v>123</v>
      </c>
      <c r="AA163" s="936" t="s">
        <v>123</v>
      </c>
      <c r="AB163" s="936" t="s">
        <v>123</v>
      </c>
      <c r="AC163" s="907" t="s">
        <v>123</v>
      </c>
      <c r="AD163" s="999"/>
      <c r="AE163" s="936"/>
      <c r="AF163" s="936"/>
      <c r="AG163" s="936"/>
      <c r="AH163" s="936"/>
      <c r="AI163" s="999"/>
      <c r="AJ163" s="935"/>
      <c r="AK163" s="966"/>
      <c r="AL163" s="949"/>
      <c r="AM163" s="949" t="s">
        <v>123</v>
      </c>
      <c r="AN163" s="949"/>
      <c r="AO163" s="999"/>
      <c r="AP163" s="936"/>
      <c r="AQ163" s="987"/>
      <c r="AR163" s="907"/>
      <c r="AS163" s="907"/>
      <c r="AT163" s="967" t="s">
        <v>123</v>
      </c>
      <c r="AU163" s="967" t="s">
        <v>123</v>
      </c>
      <c r="AV163" s="967" t="s">
        <v>123</v>
      </c>
      <c r="AW163" s="907" t="s">
        <v>123</v>
      </c>
      <c r="AX163" s="907" t="s">
        <v>123</v>
      </c>
      <c r="AY163" s="907" t="s">
        <v>123</v>
      </c>
      <c r="AZ163" s="936" t="s">
        <v>123</v>
      </c>
      <c r="BA163" s="935" t="s">
        <v>123</v>
      </c>
      <c r="BB163" s="1000"/>
      <c r="BC163" s="1001"/>
      <c r="BD163" s="936"/>
      <c r="BE163" s="907"/>
      <c r="BF163" s="1002" t="str">
        <f>IF($BC163="","",SUMIF(portfolio.!$A$4:$A623,BC163,portfolio.!$AN$4:$AN623))</f>
        <v/>
      </c>
      <c r="BG163" s="936" t="s">
        <v>123</v>
      </c>
      <c r="BH163" s="907" t="s">
        <v>123</v>
      </c>
      <c r="BI163" s="935" t="s">
        <v>123</v>
      </c>
      <c r="BJ163" s="1003"/>
      <c r="BK163" s="907" t="s">
        <v>123</v>
      </c>
      <c r="BL163" s="907" t="s">
        <v>123</v>
      </c>
      <c r="BM163" s="907" t="s">
        <v>123</v>
      </c>
      <c r="BN163" s="1004" t="s">
        <v>123</v>
      </c>
      <c r="BO163" s="907" t="str">
        <f t="shared" si="6"/>
        <v/>
      </c>
      <c r="BP163" s="907" t="str">
        <f t="shared" si="7"/>
        <v/>
      </c>
      <c r="BQ163" s="907" t="str">
        <f t="shared" si="8"/>
        <v/>
      </c>
      <c r="BR163" s="1004" t="str">
        <f t="shared" si="9"/>
        <v/>
      </c>
      <c r="BS163" s="1005" t="str">
        <f t="shared" si="10"/>
        <v/>
      </c>
      <c r="BT163" s="1006" t="s">
        <v>123</v>
      </c>
      <c r="BU163" s="1002" t="s">
        <v>123</v>
      </c>
      <c r="BV163" s="1006" t="s">
        <v>123</v>
      </c>
      <c r="BW163" s="1007"/>
    </row>
    <row r="164">
      <c r="A164" s="624">
        <v>141.0</v>
      </c>
      <c r="B164" s="1008"/>
      <c r="C164" s="989"/>
      <c r="D164" s="851"/>
      <c r="E164" s="990"/>
      <c r="F164" s="991"/>
      <c r="G164" s="991"/>
      <c r="H164" s="992"/>
      <c r="I164" s="993"/>
      <c r="J164" s="993"/>
      <c r="K164" s="993"/>
      <c r="L164" s="993"/>
      <c r="M164" s="993"/>
      <c r="N164" s="993"/>
      <c r="O164" s="993"/>
      <c r="P164" s="993"/>
      <c r="Q164" s="993"/>
      <c r="R164" s="993"/>
      <c r="S164" s="936"/>
      <c r="T164" s="998"/>
      <c r="U164" s="935"/>
      <c r="V164" s="935"/>
      <c r="W164" s="949" t="str">
        <f>IF(AND($S$20,NOT($U$20)),IF($V164:$V623="","",SUMIF(portfolio.!$A$4:$A623,V164,portfolio.!$AN$4:$AN623)),"")</f>
        <v/>
      </c>
      <c r="X164" s="998"/>
      <c r="Y164" s="936"/>
      <c r="Z164" s="936" t="s">
        <v>123</v>
      </c>
      <c r="AA164" s="936" t="s">
        <v>123</v>
      </c>
      <c r="AB164" s="936" t="s">
        <v>123</v>
      </c>
      <c r="AC164" s="907" t="s">
        <v>123</v>
      </c>
      <c r="AD164" s="999"/>
      <c r="AE164" s="936"/>
      <c r="AF164" s="936"/>
      <c r="AG164" s="936"/>
      <c r="AH164" s="936"/>
      <c r="AI164" s="999"/>
      <c r="AJ164" s="935"/>
      <c r="AK164" s="966"/>
      <c r="AL164" s="949"/>
      <c r="AM164" s="949" t="s">
        <v>123</v>
      </c>
      <c r="AN164" s="949"/>
      <c r="AO164" s="999"/>
      <c r="AP164" s="936"/>
      <c r="AQ164" s="987"/>
      <c r="AR164" s="907"/>
      <c r="AS164" s="907"/>
      <c r="AT164" s="967" t="s">
        <v>123</v>
      </c>
      <c r="AU164" s="967" t="s">
        <v>123</v>
      </c>
      <c r="AV164" s="967" t="s">
        <v>123</v>
      </c>
      <c r="AW164" s="907" t="s">
        <v>123</v>
      </c>
      <c r="AX164" s="907" t="s">
        <v>123</v>
      </c>
      <c r="AY164" s="907" t="s">
        <v>123</v>
      </c>
      <c r="AZ164" s="936" t="s">
        <v>123</v>
      </c>
      <c r="BA164" s="935" t="s">
        <v>123</v>
      </c>
      <c r="BB164" s="1000"/>
      <c r="BC164" s="1001"/>
      <c r="BD164" s="936"/>
      <c r="BE164" s="907"/>
      <c r="BF164" s="1002" t="str">
        <f>IF($BC164="","",SUMIF(portfolio.!$A$4:$A623,BC164,portfolio.!$AN$4:$AN623))</f>
        <v/>
      </c>
      <c r="BG164" s="936" t="s">
        <v>123</v>
      </c>
      <c r="BH164" s="907" t="s">
        <v>123</v>
      </c>
      <c r="BI164" s="935" t="s">
        <v>123</v>
      </c>
      <c r="BJ164" s="1003"/>
      <c r="BK164" s="907" t="s">
        <v>123</v>
      </c>
      <c r="BL164" s="907" t="s">
        <v>123</v>
      </c>
      <c r="BM164" s="907" t="s">
        <v>123</v>
      </c>
      <c r="BN164" s="1004" t="s">
        <v>123</v>
      </c>
      <c r="BO164" s="907" t="str">
        <f t="shared" si="6"/>
        <v/>
      </c>
      <c r="BP164" s="907" t="str">
        <f t="shared" si="7"/>
        <v/>
      </c>
      <c r="BQ164" s="907" t="str">
        <f t="shared" si="8"/>
        <v/>
      </c>
      <c r="BR164" s="1004" t="str">
        <f t="shared" si="9"/>
        <v/>
      </c>
      <c r="BS164" s="1005" t="str">
        <f t="shared" si="10"/>
        <v/>
      </c>
      <c r="BT164" s="1006" t="s">
        <v>123</v>
      </c>
      <c r="BU164" s="1002" t="s">
        <v>123</v>
      </c>
      <c r="BV164" s="1006" t="s">
        <v>123</v>
      </c>
      <c r="BW164" s="1007"/>
    </row>
    <row r="165">
      <c r="A165" s="624">
        <v>142.0</v>
      </c>
      <c r="B165" s="1008"/>
      <c r="C165" s="989"/>
      <c r="D165" s="851"/>
      <c r="E165" s="990"/>
      <c r="F165" s="991"/>
      <c r="G165" s="991"/>
      <c r="H165" s="992"/>
      <c r="I165" s="993"/>
      <c r="J165" s="993"/>
      <c r="K165" s="993"/>
      <c r="L165" s="993"/>
      <c r="M165" s="993"/>
      <c r="N165" s="993"/>
      <c r="O165" s="993"/>
      <c r="P165" s="993"/>
      <c r="Q165" s="993"/>
      <c r="R165" s="993"/>
      <c r="S165" s="936"/>
      <c r="T165" s="998"/>
      <c r="U165" s="935"/>
      <c r="V165" s="935"/>
      <c r="W165" s="949" t="str">
        <f>IF(AND($S$20,NOT($U$20)),IF($V165:$V623="","",SUMIF(portfolio.!$A$4:$A623,V165,portfolio.!$AN$4:$AN623)),"")</f>
        <v/>
      </c>
      <c r="X165" s="998"/>
      <c r="Y165" s="936"/>
      <c r="Z165" s="936" t="s">
        <v>123</v>
      </c>
      <c r="AA165" s="936" t="s">
        <v>123</v>
      </c>
      <c r="AB165" s="936" t="s">
        <v>123</v>
      </c>
      <c r="AC165" s="907" t="s">
        <v>123</v>
      </c>
      <c r="AD165" s="999"/>
      <c r="AE165" s="936"/>
      <c r="AF165" s="936"/>
      <c r="AG165" s="936"/>
      <c r="AH165" s="936"/>
      <c r="AI165" s="999"/>
      <c r="AJ165" s="935"/>
      <c r="AK165" s="966"/>
      <c r="AL165" s="949"/>
      <c r="AM165" s="949" t="s">
        <v>123</v>
      </c>
      <c r="AN165" s="949"/>
      <c r="AO165" s="999"/>
      <c r="AP165" s="936"/>
      <c r="AQ165" s="987"/>
      <c r="AR165" s="907"/>
      <c r="AS165" s="907"/>
      <c r="AT165" s="967" t="s">
        <v>123</v>
      </c>
      <c r="AU165" s="967" t="s">
        <v>123</v>
      </c>
      <c r="AV165" s="967" t="s">
        <v>123</v>
      </c>
      <c r="AW165" s="907" t="s">
        <v>123</v>
      </c>
      <c r="AX165" s="907" t="s">
        <v>123</v>
      </c>
      <c r="AY165" s="907" t="s">
        <v>123</v>
      </c>
      <c r="AZ165" s="936" t="s">
        <v>123</v>
      </c>
      <c r="BA165" s="935" t="s">
        <v>123</v>
      </c>
      <c r="BB165" s="1000"/>
      <c r="BC165" s="1001"/>
      <c r="BD165" s="936"/>
      <c r="BE165" s="907"/>
      <c r="BF165" s="1002" t="str">
        <f>IF($BC165="","",SUMIF(portfolio.!$A$4:$A623,BC165,portfolio.!$AN$4:$AN623))</f>
        <v/>
      </c>
      <c r="BG165" s="936" t="s">
        <v>123</v>
      </c>
      <c r="BH165" s="907" t="s">
        <v>123</v>
      </c>
      <c r="BI165" s="935" t="s">
        <v>123</v>
      </c>
      <c r="BJ165" s="1003"/>
      <c r="BK165" s="907" t="s">
        <v>123</v>
      </c>
      <c r="BL165" s="907" t="s">
        <v>123</v>
      </c>
      <c r="BM165" s="907" t="s">
        <v>123</v>
      </c>
      <c r="BN165" s="1004" t="s">
        <v>123</v>
      </c>
      <c r="BO165" s="907" t="str">
        <f t="shared" si="6"/>
        <v/>
      </c>
      <c r="BP165" s="907" t="str">
        <f t="shared" si="7"/>
        <v/>
      </c>
      <c r="BQ165" s="907" t="str">
        <f t="shared" si="8"/>
        <v/>
      </c>
      <c r="BR165" s="1004" t="str">
        <f t="shared" si="9"/>
        <v/>
      </c>
      <c r="BS165" s="1005" t="str">
        <f t="shared" si="10"/>
        <v/>
      </c>
      <c r="BT165" s="1006" t="s">
        <v>123</v>
      </c>
      <c r="BU165" s="1002" t="s">
        <v>123</v>
      </c>
      <c r="BV165" s="1006" t="s">
        <v>123</v>
      </c>
      <c r="BW165" s="1007"/>
    </row>
    <row r="166">
      <c r="A166" s="624">
        <v>143.0</v>
      </c>
      <c r="B166" s="1008"/>
      <c r="C166" s="989"/>
      <c r="D166" s="851"/>
      <c r="E166" s="990"/>
      <c r="F166" s="991"/>
      <c r="G166" s="991"/>
      <c r="H166" s="992"/>
      <c r="I166" s="993"/>
      <c r="J166" s="993"/>
      <c r="K166" s="993"/>
      <c r="L166" s="993"/>
      <c r="M166" s="993"/>
      <c r="N166" s="993"/>
      <c r="O166" s="993"/>
      <c r="P166" s="993"/>
      <c r="Q166" s="993"/>
      <c r="R166" s="993"/>
      <c r="S166" s="936"/>
      <c r="T166" s="998"/>
      <c r="U166" s="935"/>
      <c r="V166" s="935"/>
      <c r="W166" s="949" t="str">
        <f>IF(AND($S$20,NOT($U$20)),IF($V166:$V623="","",SUMIF(portfolio.!$A$4:$A623,V166,portfolio.!$AN$4:$AN623)),"")</f>
        <v/>
      </c>
      <c r="X166" s="998"/>
      <c r="Y166" s="936"/>
      <c r="Z166" s="936" t="s">
        <v>123</v>
      </c>
      <c r="AA166" s="936" t="s">
        <v>123</v>
      </c>
      <c r="AB166" s="936" t="s">
        <v>123</v>
      </c>
      <c r="AC166" s="907" t="s">
        <v>123</v>
      </c>
      <c r="AD166" s="999"/>
      <c r="AE166" s="936"/>
      <c r="AF166" s="936"/>
      <c r="AG166" s="936"/>
      <c r="AH166" s="936"/>
      <c r="AI166" s="999"/>
      <c r="AJ166" s="935"/>
      <c r="AK166" s="966"/>
      <c r="AL166" s="949"/>
      <c r="AM166" s="949" t="s">
        <v>123</v>
      </c>
      <c r="AN166" s="949"/>
      <c r="AO166" s="999"/>
      <c r="AP166" s="936"/>
      <c r="AQ166" s="987"/>
      <c r="AR166" s="907"/>
      <c r="AS166" s="907"/>
      <c r="AT166" s="967" t="s">
        <v>123</v>
      </c>
      <c r="AU166" s="967" t="s">
        <v>123</v>
      </c>
      <c r="AV166" s="967" t="s">
        <v>123</v>
      </c>
      <c r="AW166" s="907" t="s">
        <v>123</v>
      </c>
      <c r="AX166" s="907" t="s">
        <v>123</v>
      </c>
      <c r="AY166" s="907" t="s">
        <v>123</v>
      </c>
      <c r="AZ166" s="936" t="s">
        <v>123</v>
      </c>
      <c r="BA166" s="935" t="s">
        <v>123</v>
      </c>
      <c r="BB166" s="1000"/>
      <c r="BC166" s="1001"/>
      <c r="BD166" s="936"/>
      <c r="BE166" s="907"/>
      <c r="BF166" s="1002" t="str">
        <f>IF($BC166="","",SUMIF(portfolio.!$A$4:$A623,BC166,portfolio.!$AN$4:$AN623))</f>
        <v/>
      </c>
      <c r="BG166" s="936" t="s">
        <v>123</v>
      </c>
      <c r="BH166" s="907" t="s">
        <v>123</v>
      </c>
      <c r="BI166" s="935" t="s">
        <v>123</v>
      </c>
      <c r="BJ166" s="1003"/>
      <c r="BK166" s="907" t="s">
        <v>123</v>
      </c>
      <c r="BL166" s="907" t="s">
        <v>123</v>
      </c>
      <c r="BM166" s="907" t="s">
        <v>123</v>
      </c>
      <c r="BN166" s="1004" t="s">
        <v>123</v>
      </c>
      <c r="BO166" s="907" t="str">
        <f t="shared" si="6"/>
        <v/>
      </c>
      <c r="BP166" s="907" t="str">
        <f t="shared" si="7"/>
        <v/>
      </c>
      <c r="BQ166" s="907" t="str">
        <f t="shared" si="8"/>
        <v/>
      </c>
      <c r="BR166" s="1004" t="str">
        <f t="shared" si="9"/>
        <v/>
      </c>
      <c r="BS166" s="1005" t="str">
        <f t="shared" si="10"/>
        <v/>
      </c>
      <c r="BT166" s="1006" t="s">
        <v>123</v>
      </c>
      <c r="BU166" s="1002" t="s">
        <v>123</v>
      </c>
      <c r="BV166" s="1006" t="s">
        <v>123</v>
      </c>
      <c r="BW166" s="1007"/>
    </row>
    <row r="167">
      <c r="A167" s="624">
        <v>144.0</v>
      </c>
      <c r="B167" s="1008"/>
      <c r="C167" s="989"/>
      <c r="D167" s="851"/>
      <c r="E167" s="990"/>
      <c r="F167" s="991"/>
      <c r="G167" s="991"/>
      <c r="H167" s="992"/>
      <c r="I167" s="993"/>
      <c r="J167" s="993"/>
      <c r="K167" s="993"/>
      <c r="L167" s="993"/>
      <c r="M167" s="993"/>
      <c r="N167" s="993"/>
      <c r="O167" s="993"/>
      <c r="P167" s="993"/>
      <c r="Q167" s="993"/>
      <c r="R167" s="993"/>
      <c r="S167" s="936"/>
      <c r="T167" s="998"/>
      <c r="U167" s="935"/>
      <c r="V167" s="935"/>
      <c r="W167" s="949" t="str">
        <f>IF(AND($S$20,NOT($U$20)),IF($V167:$V623="","",SUMIF(portfolio.!$A$4:$A623,V167,portfolio.!$AN$4:$AN623)),"")</f>
        <v/>
      </c>
      <c r="X167" s="998"/>
      <c r="Y167" s="936"/>
      <c r="Z167" s="936" t="s">
        <v>123</v>
      </c>
      <c r="AA167" s="936" t="s">
        <v>123</v>
      </c>
      <c r="AB167" s="936" t="s">
        <v>123</v>
      </c>
      <c r="AC167" s="907" t="s">
        <v>123</v>
      </c>
      <c r="AD167" s="999"/>
      <c r="AE167" s="936"/>
      <c r="AF167" s="936"/>
      <c r="AG167" s="936"/>
      <c r="AH167" s="936"/>
      <c r="AI167" s="999"/>
      <c r="AJ167" s="935"/>
      <c r="AK167" s="966"/>
      <c r="AL167" s="949"/>
      <c r="AM167" s="949" t="s">
        <v>123</v>
      </c>
      <c r="AN167" s="949"/>
      <c r="AO167" s="999"/>
      <c r="AP167" s="936"/>
      <c r="AQ167" s="987"/>
      <c r="AR167" s="907"/>
      <c r="AS167" s="907"/>
      <c r="AT167" s="967" t="s">
        <v>123</v>
      </c>
      <c r="AU167" s="967" t="s">
        <v>123</v>
      </c>
      <c r="AV167" s="967" t="s">
        <v>123</v>
      </c>
      <c r="AW167" s="907" t="s">
        <v>123</v>
      </c>
      <c r="AX167" s="907" t="s">
        <v>123</v>
      </c>
      <c r="AY167" s="907" t="s">
        <v>123</v>
      </c>
      <c r="AZ167" s="936" t="s">
        <v>123</v>
      </c>
      <c r="BA167" s="935" t="s">
        <v>123</v>
      </c>
      <c r="BB167" s="1000"/>
      <c r="BC167" s="1001"/>
      <c r="BD167" s="936"/>
      <c r="BE167" s="907"/>
      <c r="BF167" s="1002" t="str">
        <f>IF($BC167="","",SUMIF(portfolio.!$A$4:$A623,BC167,portfolio.!$AN$4:$AN623))</f>
        <v/>
      </c>
      <c r="BG167" s="936" t="s">
        <v>123</v>
      </c>
      <c r="BH167" s="907" t="s">
        <v>123</v>
      </c>
      <c r="BI167" s="935" t="s">
        <v>123</v>
      </c>
      <c r="BJ167" s="1003"/>
      <c r="BK167" s="907" t="s">
        <v>123</v>
      </c>
      <c r="BL167" s="907" t="s">
        <v>123</v>
      </c>
      <c r="BM167" s="907" t="s">
        <v>123</v>
      </c>
      <c r="BN167" s="1004" t="s">
        <v>123</v>
      </c>
      <c r="BO167" s="907" t="str">
        <f t="shared" si="6"/>
        <v/>
      </c>
      <c r="BP167" s="907" t="str">
        <f t="shared" si="7"/>
        <v/>
      </c>
      <c r="BQ167" s="907" t="str">
        <f t="shared" si="8"/>
        <v/>
      </c>
      <c r="BR167" s="1004" t="str">
        <f t="shared" si="9"/>
        <v/>
      </c>
      <c r="BS167" s="1005" t="str">
        <f t="shared" si="10"/>
        <v/>
      </c>
      <c r="BT167" s="1006" t="s">
        <v>123</v>
      </c>
      <c r="BU167" s="1002" t="s">
        <v>123</v>
      </c>
      <c r="BV167" s="1006" t="s">
        <v>123</v>
      </c>
      <c r="BW167" s="1007"/>
    </row>
    <row r="168">
      <c r="A168" s="624">
        <v>145.0</v>
      </c>
      <c r="B168" s="1008"/>
      <c r="C168" s="989"/>
      <c r="D168" s="851"/>
      <c r="E168" s="990"/>
      <c r="F168" s="991"/>
      <c r="G168" s="991"/>
      <c r="H168" s="992"/>
      <c r="I168" s="993"/>
      <c r="J168" s="993"/>
      <c r="K168" s="993"/>
      <c r="L168" s="993"/>
      <c r="M168" s="993"/>
      <c r="N168" s="993"/>
      <c r="O168" s="993"/>
      <c r="P168" s="993"/>
      <c r="Q168" s="993"/>
      <c r="R168" s="993"/>
      <c r="S168" s="936"/>
      <c r="T168" s="998"/>
      <c r="U168" s="935"/>
      <c r="V168" s="935"/>
      <c r="W168" s="949" t="str">
        <f>IF(AND($S$20,NOT($U$20)),IF($V168:$V623="","",SUMIF(portfolio.!$A$4:$A623,V168,portfolio.!$AN$4:$AN623)),"")</f>
        <v/>
      </c>
      <c r="X168" s="998"/>
      <c r="Y168" s="936"/>
      <c r="Z168" s="936" t="s">
        <v>123</v>
      </c>
      <c r="AA168" s="936" t="s">
        <v>123</v>
      </c>
      <c r="AB168" s="936" t="s">
        <v>123</v>
      </c>
      <c r="AC168" s="907" t="s">
        <v>123</v>
      </c>
      <c r="AD168" s="999"/>
      <c r="AE168" s="936"/>
      <c r="AF168" s="936"/>
      <c r="AG168" s="936"/>
      <c r="AH168" s="936"/>
      <c r="AI168" s="999"/>
      <c r="AJ168" s="935"/>
      <c r="AK168" s="966"/>
      <c r="AL168" s="949"/>
      <c r="AM168" s="949" t="s">
        <v>123</v>
      </c>
      <c r="AN168" s="949"/>
      <c r="AO168" s="999"/>
      <c r="AP168" s="936"/>
      <c r="AQ168" s="987"/>
      <c r="AR168" s="907"/>
      <c r="AS168" s="907"/>
      <c r="AT168" s="967" t="s">
        <v>123</v>
      </c>
      <c r="AU168" s="967" t="s">
        <v>123</v>
      </c>
      <c r="AV168" s="967" t="s">
        <v>123</v>
      </c>
      <c r="AW168" s="907" t="s">
        <v>123</v>
      </c>
      <c r="AX168" s="907" t="s">
        <v>123</v>
      </c>
      <c r="AY168" s="907" t="s">
        <v>123</v>
      </c>
      <c r="AZ168" s="936" t="s">
        <v>123</v>
      </c>
      <c r="BA168" s="935" t="s">
        <v>123</v>
      </c>
      <c r="BB168" s="1000"/>
      <c r="BC168" s="1001"/>
      <c r="BD168" s="936"/>
      <c r="BE168" s="907"/>
      <c r="BF168" s="1002" t="str">
        <f>IF($BC168="","",SUMIF(portfolio.!$A$4:$A623,BC168,portfolio.!$AN$4:$AN623))</f>
        <v/>
      </c>
      <c r="BG168" s="936" t="s">
        <v>123</v>
      </c>
      <c r="BH168" s="907" t="s">
        <v>123</v>
      </c>
      <c r="BI168" s="935" t="s">
        <v>123</v>
      </c>
      <c r="BJ168" s="1003"/>
      <c r="BK168" s="907" t="s">
        <v>123</v>
      </c>
      <c r="BL168" s="907" t="s">
        <v>123</v>
      </c>
      <c r="BM168" s="907" t="s">
        <v>123</v>
      </c>
      <c r="BN168" s="1004" t="s">
        <v>123</v>
      </c>
      <c r="BO168" s="907" t="str">
        <f t="shared" si="6"/>
        <v/>
      </c>
      <c r="BP168" s="907" t="str">
        <f t="shared" si="7"/>
        <v/>
      </c>
      <c r="BQ168" s="907" t="str">
        <f t="shared" si="8"/>
        <v/>
      </c>
      <c r="BR168" s="1004" t="str">
        <f t="shared" si="9"/>
        <v/>
      </c>
      <c r="BS168" s="1005" t="str">
        <f t="shared" si="10"/>
        <v/>
      </c>
      <c r="BT168" s="1006" t="s">
        <v>123</v>
      </c>
      <c r="BU168" s="1002" t="s">
        <v>123</v>
      </c>
      <c r="BV168" s="1006" t="s">
        <v>123</v>
      </c>
      <c r="BW168" s="1007"/>
    </row>
    <row r="169">
      <c r="A169" s="624">
        <v>146.0</v>
      </c>
      <c r="B169" s="1008"/>
      <c r="C169" s="989"/>
      <c r="D169" s="851"/>
      <c r="E169" s="990"/>
      <c r="F169" s="991"/>
      <c r="G169" s="991"/>
      <c r="H169" s="992"/>
      <c r="I169" s="993"/>
      <c r="J169" s="993"/>
      <c r="K169" s="993"/>
      <c r="L169" s="993"/>
      <c r="M169" s="993"/>
      <c r="N169" s="993"/>
      <c r="O169" s="993"/>
      <c r="P169" s="993"/>
      <c r="Q169" s="993"/>
      <c r="R169" s="993"/>
      <c r="S169" s="936"/>
      <c r="T169" s="998"/>
      <c r="U169" s="935"/>
      <c r="V169" s="935"/>
      <c r="W169" s="949" t="str">
        <f>IF(AND($S$20,NOT($U$20)),IF($V169:$V623="","",SUMIF(portfolio.!$A$4:$A623,V169,portfolio.!$AN$4:$AN623)),"")</f>
        <v/>
      </c>
      <c r="X169" s="998"/>
      <c r="Y169" s="936"/>
      <c r="Z169" s="936" t="s">
        <v>123</v>
      </c>
      <c r="AA169" s="936" t="s">
        <v>123</v>
      </c>
      <c r="AB169" s="936" t="s">
        <v>123</v>
      </c>
      <c r="AC169" s="907" t="s">
        <v>123</v>
      </c>
      <c r="AD169" s="999"/>
      <c r="AE169" s="936"/>
      <c r="AF169" s="936"/>
      <c r="AG169" s="936"/>
      <c r="AH169" s="936"/>
      <c r="AI169" s="999"/>
      <c r="AJ169" s="935"/>
      <c r="AK169" s="966"/>
      <c r="AL169" s="949"/>
      <c r="AM169" s="949" t="s">
        <v>123</v>
      </c>
      <c r="AN169" s="949"/>
      <c r="AO169" s="999"/>
      <c r="AP169" s="936"/>
      <c r="AQ169" s="987"/>
      <c r="AR169" s="907"/>
      <c r="AS169" s="907"/>
      <c r="AT169" s="967" t="s">
        <v>123</v>
      </c>
      <c r="AU169" s="967" t="s">
        <v>123</v>
      </c>
      <c r="AV169" s="967" t="s">
        <v>123</v>
      </c>
      <c r="AW169" s="907" t="s">
        <v>123</v>
      </c>
      <c r="AX169" s="907" t="s">
        <v>123</v>
      </c>
      <c r="AY169" s="907" t="s">
        <v>123</v>
      </c>
      <c r="AZ169" s="936" t="s">
        <v>123</v>
      </c>
      <c r="BA169" s="935" t="s">
        <v>123</v>
      </c>
      <c r="BB169" s="1000"/>
      <c r="BC169" s="1001"/>
      <c r="BD169" s="936"/>
      <c r="BE169" s="907"/>
      <c r="BF169" s="1002" t="str">
        <f>IF($BC169="","",SUMIF(portfolio.!$A$4:$A623,BC169,portfolio.!$AN$4:$AN623))</f>
        <v/>
      </c>
      <c r="BG169" s="936" t="s">
        <v>123</v>
      </c>
      <c r="BH169" s="907" t="s">
        <v>123</v>
      </c>
      <c r="BI169" s="935" t="s">
        <v>123</v>
      </c>
      <c r="BJ169" s="1003"/>
      <c r="BK169" s="907" t="s">
        <v>123</v>
      </c>
      <c r="BL169" s="907" t="s">
        <v>123</v>
      </c>
      <c r="BM169" s="907" t="s">
        <v>123</v>
      </c>
      <c r="BN169" s="1004" t="s">
        <v>123</v>
      </c>
      <c r="BO169" s="907" t="str">
        <f t="shared" si="6"/>
        <v/>
      </c>
      <c r="BP169" s="907" t="str">
        <f t="shared" si="7"/>
        <v/>
      </c>
      <c r="BQ169" s="907" t="str">
        <f t="shared" si="8"/>
        <v/>
      </c>
      <c r="BR169" s="1004" t="str">
        <f t="shared" si="9"/>
        <v/>
      </c>
      <c r="BS169" s="1005" t="str">
        <f t="shared" si="10"/>
        <v/>
      </c>
      <c r="BT169" s="1006" t="s">
        <v>123</v>
      </c>
      <c r="BU169" s="1002" t="s">
        <v>123</v>
      </c>
      <c r="BV169" s="1006" t="s">
        <v>123</v>
      </c>
      <c r="BW169" s="1007"/>
    </row>
    <row r="170">
      <c r="A170" s="624">
        <v>147.0</v>
      </c>
      <c r="B170" s="1008"/>
      <c r="C170" s="989"/>
      <c r="D170" s="851"/>
      <c r="E170" s="990"/>
      <c r="F170" s="991"/>
      <c r="G170" s="991"/>
      <c r="H170" s="992"/>
      <c r="I170" s="993"/>
      <c r="J170" s="993"/>
      <c r="K170" s="993"/>
      <c r="L170" s="993"/>
      <c r="M170" s="993"/>
      <c r="N170" s="993"/>
      <c r="O170" s="993"/>
      <c r="P170" s="993"/>
      <c r="Q170" s="993"/>
      <c r="R170" s="993"/>
      <c r="S170" s="936"/>
      <c r="T170" s="998"/>
      <c r="U170" s="935"/>
      <c r="V170" s="935"/>
      <c r="W170" s="949" t="str">
        <f>IF(AND($S$20,NOT($U$20)),IF($V170:$V623="","",SUMIF(portfolio.!$A$4:$A623,V170,portfolio.!$AN$4:$AN623)),"")</f>
        <v/>
      </c>
      <c r="X170" s="998"/>
      <c r="Y170" s="936"/>
      <c r="Z170" s="936" t="s">
        <v>123</v>
      </c>
      <c r="AA170" s="936" t="s">
        <v>123</v>
      </c>
      <c r="AB170" s="936" t="s">
        <v>123</v>
      </c>
      <c r="AC170" s="907" t="s">
        <v>123</v>
      </c>
      <c r="AD170" s="999"/>
      <c r="AE170" s="936"/>
      <c r="AF170" s="936"/>
      <c r="AG170" s="936"/>
      <c r="AH170" s="936"/>
      <c r="AI170" s="999"/>
      <c r="AJ170" s="935"/>
      <c r="AK170" s="966"/>
      <c r="AL170" s="949"/>
      <c r="AM170" s="949" t="s">
        <v>123</v>
      </c>
      <c r="AN170" s="949"/>
      <c r="AO170" s="999"/>
      <c r="AP170" s="936"/>
      <c r="AQ170" s="987"/>
      <c r="AR170" s="907"/>
      <c r="AS170" s="907"/>
      <c r="AT170" s="967" t="s">
        <v>123</v>
      </c>
      <c r="AU170" s="967" t="s">
        <v>123</v>
      </c>
      <c r="AV170" s="967" t="s">
        <v>123</v>
      </c>
      <c r="AW170" s="907" t="s">
        <v>123</v>
      </c>
      <c r="AX170" s="907" t="s">
        <v>123</v>
      </c>
      <c r="AY170" s="907" t="s">
        <v>123</v>
      </c>
      <c r="AZ170" s="936" t="s">
        <v>123</v>
      </c>
      <c r="BA170" s="935" t="s">
        <v>123</v>
      </c>
      <c r="BB170" s="1000"/>
      <c r="BC170" s="1001"/>
      <c r="BD170" s="936"/>
      <c r="BE170" s="907"/>
      <c r="BF170" s="1002" t="str">
        <f>IF($BC170="","",SUMIF(portfolio.!$A$4:$A623,BC170,portfolio.!$AN$4:$AN623))</f>
        <v/>
      </c>
      <c r="BG170" s="936" t="s">
        <v>123</v>
      </c>
      <c r="BH170" s="907" t="s">
        <v>123</v>
      </c>
      <c r="BI170" s="935" t="s">
        <v>123</v>
      </c>
      <c r="BJ170" s="1003"/>
      <c r="BK170" s="907" t="s">
        <v>123</v>
      </c>
      <c r="BL170" s="907" t="s">
        <v>123</v>
      </c>
      <c r="BM170" s="907" t="s">
        <v>123</v>
      </c>
      <c r="BN170" s="1004" t="s">
        <v>123</v>
      </c>
      <c r="BO170" s="907" t="str">
        <f t="shared" si="6"/>
        <v/>
      </c>
      <c r="BP170" s="907" t="str">
        <f t="shared" si="7"/>
        <v/>
      </c>
      <c r="BQ170" s="907" t="str">
        <f t="shared" si="8"/>
        <v/>
      </c>
      <c r="BR170" s="1004" t="str">
        <f t="shared" si="9"/>
        <v/>
      </c>
      <c r="BS170" s="1005" t="str">
        <f t="shared" si="10"/>
        <v/>
      </c>
      <c r="BT170" s="1006" t="s">
        <v>123</v>
      </c>
      <c r="BU170" s="1002" t="s">
        <v>123</v>
      </c>
      <c r="BV170" s="1006" t="s">
        <v>123</v>
      </c>
      <c r="BW170" s="1007"/>
    </row>
    <row r="171">
      <c r="A171" s="624">
        <v>148.0</v>
      </c>
      <c r="B171" s="1008"/>
      <c r="C171" s="989"/>
      <c r="D171" s="851"/>
      <c r="E171" s="990"/>
      <c r="F171" s="991"/>
      <c r="G171" s="991"/>
      <c r="H171" s="992"/>
      <c r="I171" s="993"/>
      <c r="J171" s="993"/>
      <c r="K171" s="993"/>
      <c r="L171" s="993"/>
      <c r="M171" s="993"/>
      <c r="N171" s="993"/>
      <c r="O171" s="993"/>
      <c r="P171" s="993"/>
      <c r="Q171" s="993"/>
      <c r="R171" s="993"/>
      <c r="S171" s="936"/>
      <c r="T171" s="998"/>
      <c r="U171" s="935"/>
      <c r="V171" s="935"/>
      <c r="W171" s="949" t="str">
        <f>IF(AND($S$20,NOT($U$20)),IF($V171:$V623="","",SUMIF(portfolio.!$A$4:$A623,V171,portfolio.!$AN$4:$AN623)),"")</f>
        <v/>
      </c>
      <c r="X171" s="998"/>
      <c r="Y171" s="936"/>
      <c r="Z171" s="936" t="s">
        <v>123</v>
      </c>
      <c r="AA171" s="936" t="s">
        <v>123</v>
      </c>
      <c r="AB171" s="936" t="s">
        <v>123</v>
      </c>
      <c r="AC171" s="907" t="s">
        <v>123</v>
      </c>
      <c r="AD171" s="999"/>
      <c r="AE171" s="936"/>
      <c r="AF171" s="936"/>
      <c r="AG171" s="936"/>
      <c r="AH171" s="936"/>
      <c r="AI171" s="999"/>
      <c r="AJ171" s="935"/>
      <c r="AK171" s="966"/>
      <c r="AL171" s="949"/>
      <c r="AM171" s="949" t="s">
        <v>123</v>
      </c>
      <c r="AN171" s="949"/>
      <c r="AO171" s="999"/>
      <c r="AP171" s="936"/>
      <c r="AQ171" s="987"/>
      <c r="AR171" s="907"/>
      <c r="AS171" s="907"/>
      <c r="AT171" s="967" t="s">
        <v>123</v>
      </c>
      <c r="AU171" s="967" t="s">
        <v>123</v>
      </c>
      <c r="AV171" s="967" t="s">
        <v>123</v>
      </c>
      <c r="AW171" s="907" t="s">
        <v>123</v>
      </c>
      <c r="AX171" s="907" t="s">
        <v>123</v>
      </c>
      <c r="AY171" s="907" t="s">
        <v>123</v>
      </c>
      <c r="AZ171" s="936" t="s">
        <v>123</v>
      </c>
      <c r="BA171" s="935" t="s">
        <v>123</v>
      </c>
      <c r="BB171" s="1000"/>
      <c r="BC171" s="1001"/>
      <c r="BD171" s="936"/>
      <c r="BE171" s="907"/>
      <c r="BF171" s="1002" t="str">
        <f>IF($BC171="","",SUMIF(portfolio.!$A$4:$A623,BC171,portfolio.!$AN$4:$AN623))</f>
        <v/>
      </c>
      <c r="BG171" s="936" t="s">
        <v>123</v>
      </c>
      <c r="BH171" s="907" t="s">
        <v>123</v>
      </c>
      <c r="BI171" s="935" t="s">
        <v>123</v>
      </c>
      <c r="BJ171" s="1003"/>
      <c r="BK171" s="907" t="s">
        <v>123</v>
      </c>
      <c r="BL171" s="907" t="s">
        <v>123</v>
      </c>
      <c r="BM171" s="907" t="s">
        <v>123</v>
      </c>
      <c r="BN171" s="1004" t="s">
        <v>123</v>
      </c>
      <c r="BO171" s="907" t="str">
        <f t="shared" si="6"/>
        <v/>
      </c>
      <c r="BP171" s="907" t="str">
        <f t="shared" si="7"/>
        <v/>
      </c>
      <c r="BQ171" s="907" t="str">
        <f t="shared" si="8"/>
        <v/>
      </c>
      <c r="BR171" s="1004" t="str">
        <f t="shared" si="9"/>
        <v/>
      </c>
      <c r="BS171" s="1005" t="str">
        <f t="shared" si="10"/>
        <v/>
      </c>
      <c r="BT171" s="1006" t="s">
        <v>123</v>
      </c>
      <c r="BU171" s="1002" t="s">
        <v>123</v>
      </c>
      <c r="BV171" s="1006" t="s">
        <v>123</v>
      </c>
      <c r="BW171" s="1007"/>
    </row>
    <row r="172">
      <c r="A172" s="624">
        <v>149.0</v>
      </c>
      <c r="B172" s="1008"/>
      <c r="C172" s="989"/>
      <c r="D172" s="851"/>
      <c r="E172" s="990"/>
      <c r="F172" s="991"/>
      <c r="G172" s="991"/>
      <c r="H172" s="992"/>
      <c r="I172" s="993"/>
      <c r="J172" s="993"/>
      <c r="K172" s="993"/>
      <c r="L172" s="993"/>
      <c r="M172" s="993"/>
      <c r="N172" s="993"/>
      <c r="O172" s="993"/>
      <c r="P172" s="993"/>
      <c r="Q172" s="993"/>
      <c r="R172" s="993"/>
      <c r="S172" s="936"/>
      <c r="T172" s="998"/>
      <c r="U172" s="935"/>
      <c r="V172" s="935"/>
      <c r="W172" s="949" t="str">
        <f>IF(AND($S$20,NOT($U$20)),IF($V172:$V623="","",SUMIF(portfolio.!$A$4:$A623,V172,portfolio.!$AN$4:$AN623)),"")</f>
        <v/>
      </c>
      <c r="X172" s="998"/>
      <c r="Y172" s="936"/>
      <c r="Z172" s="936" t="s">
        <v>123</v>
      </c>
      <c r="AA172" s="936" t="s">
        <v>123</v>
      </c>
      <c r="AB172" s="936" t="s">
        <v>123</v>
      </c>
      <c r="AC172" s="907" t="s">
        <v>123</v>
      </c>
      <c r="AD172" s="999"/>
      <c r="AE172" s="936"/>
      <c r="AF172" s="936"/>
      <c r="AG172" s="936"/>
      <c r="AH172" s="936"/>
      <c r="AI172" s="999"/>
      <c r="AJ172" s="935"/>
      <c r="AK172" s="966"/>
      <c r="AL172" s="949"/>
      <c r="AM172" s="949" t="s">
        <v>123</v>
      </c>
      <c r="AN172" s="949"/>
      <c r="AO172" s="999"/>
      <c r="AP172" s="936"/>
      <c r="AQ172" s="987"/>
      <c r="AR172" s="907"/>
      <c r="AS172" s="907"/>
      <c r="AT172" s="967" t="s">
        <v>123</v>
      </c>
      <c r="AU172" s="967" t="s">
        <v>123</v>
      </c>
      <c r="AV172" s="967" t="s">
        <v>123</v>
      </c>
      <c r="AW172" s="907" t="s">
        <v>123</v>
      </c>
      <c r="AX172" s="907" t="s">
        <v>123</v>
      </c>
      <c r="AY172" s="907" t="s">
        <v>123</v>
      </c>
      <c r="AZ172" s="936" t="s">
        <v>123</v>
      </c>
      <c r="BA172" s="935" t="s">
        <v>123</v>
      </c>
      <c r="BB172" s="1000"/>
      <c r="BC172" s="1001"/>
      <c r="BD172" s="936"/>
      <c r="BE172" s="907"/>
      <c r="BF172" s="1002" t="str">
        <f>IF($BC172="","",SUMIF(portfolio.!$A$4:$A623,BC172,portfolio.!$AN$4:$AN623))</f>
        <v/>
      </c>
      <c r="BG172" s="936" t="s">
        <v>123</v>
      </c>
      <c r="BH172" s="907" t="s">
        <v>123</v>
      </c>
      <c r="BI172" s="935" t="s">
        <v>123</v>
      </c>
      <c r="BJ172" s="1003"/>
      <c r="BK172" s="907" t="s">
        <v>123</v>
      </c>
      <c r="BL172" s="907" t="s">
        <v>123</v>
      </c>
      <c r="BM172" s="907" t="s">
        <v>123</v>
      </c>
      <c r="BN172" s="1004" t="s">
        <v>123</v>
      </c>
      <c r="BO172" s="907" t="str">
        <f t="shared" si="6"/>
        <v/>
      </c>
      <c r="BP172" s="907" t="str">
        <f t="shared" si="7"/>
        <v/>
      </c>
      <c r="BQ172" s="907" t="str">
        <f t="shared" si="8"/>
        <v/>
      </c>
      <c r="BR172" s="1004" t="str">
        <f t="shared" si="9"/>
        <v/>
      </c>
      <c r="BS172" s="1005" t="str">
        <f t="shared" si="10"/>
        <v/>
      </c>
      <c r="BT172" s="1006" t="s">
        <v>123</v>
      </c>
      <c r="BU172" s="1002" t="s">
        <v>123</v>
      </c>
      <c r="BV172" s="1006" t="s">
        <v>123</v>
      </c>
      <c r="BW172" s="1007"/>
    </row>
    <row r="173">
      <c r="A173" s="624">
        <v>150.0</v>
      </c>
      <c r="B173" s="1008"/>
      <c r="C173" s="989"/>
      <c r="D173" s="851"/>
      <c r="E173" s="990"/>
      <c r="F173" s="991"/>
      <c r="G173" s="991"/>
      <c r="H173" s="992"/>
      <c r="I173" s="993"/>
      <c r="J173" s="993"/>
      <c r="K173" s="993"/>
      <c r="L173" s="993"/>
      <c r="M173" s="993"/>
      <c r="N173" s="993"/>
      <c r="O173" s="993"/>
      <c r="P173" s="993"/>
      <c r="Q173" s="993"/>
      <c r="R173" s="993"/>
      <c r="S173" s="936"/>
      <c r="T173" s="998"/>
      <c r="U173" s="935"/>
      <c r="V173" s="935"/>
      <c r="W173" s="949" t="str">
        <f>IF(AND($S$20,NOT($U$20)),IF($V173:$V623="","",SUMIF(portfolio.!$A$4:$A623,V173,portfolio.!$AN$4:$AN623)),"")</f>
        <v/>
      </c>
      <c r="X173" s="998"/>
      <c r="Y173" s="936"/>
      <c r="Z173" s="936" t="s">
        <v>123</v>
      </c>
      <c r="AA173" s="936" t="s">
        <v>123</v>
      </c>
      <c r="AB173" s="936" t="s">
        <v>123</v>
      </c>
      <c r="AC173" s="907" t="s">
        <v>123</v>
      </c>
      <c r="AD173" s="999"/>
      <c r="AE173" s="936"/>
      <c r="AF173" s="936"/>
      <c r="AG173" s="936"/>
      <c r="AH173" s="936"/>
      <c r="AI173" s="999"/>
      <c r="AJ173" s="935"/>
      <c r="AK173" s="966"/>
      <c r="AL173" s="949"/>
      <c r="AM173" s="949" t="s">
        <v>123</v>
      </c>
      <c r="AN173" s="949"/>
      <c r="AO173" s="999"/>
      <c r="AP173" s="936"/>
      <c r="AQ173" s="987"/>
      <c r="AR173" s="907"/>
      <c r="AS173" s="907"/>
      <c r="AT173" s="967" t="s">
        <v>123</v>
      </c>
      <c r="AU173" s="967" t="s">
        <v>123</v>
      </c>
      <c r="AV173" s="967" t="s">
        <v>123</v>
      </c>
      <c r="AW173" s="907" t="s">
        <v>123</v>
      </c>
      <c r="AX173" s="907" t="s">
        <v>123</v>
      </c>
      <c r="AY173" s="907" t="s">
        <v>123</v>
      </c>
      <c r="AZ173" s="936" t="s">
        <v>123</v>
      </c>
      <c r="BA173" s="935" t="s">
        <v>123</v>
      </c>
      <c r="BB173" s="1000"/>
      <c r="BC173" s="1001"/>
      <c r="BD173" s="936"/>
      <c r="BE173" s="907"/>
      <c r="BF173" s="1002" t="str">
        <f>IF($BC173="","",SUMIF(portfolio.!$A$4:$A623,BC173,portfolio.!$AN$4:$AN623))</f>
        <v/>
      </c>
      <c r="BG173" s="936" t="s">
        <v>123</v>
      </c>
      <c r="BH173" s="907" t="s">
        <v>123</v>
      </c>
      <c r="BI173" s="935" t="s">
        <v>123</v>
      </c>
      <c r="BJ173" s="1003"/>
      <c r="BK173" s="907" t="s">
        <v>123</v>
      </c>
      <c r="BL173" s="907" t="s">
        <v>123</v>
      </c>
      <c r="BM173" s="907" t="s">
        <v>123</v>
      </c>
      <c r="BN173" s="1004" t="s">
        <v>123</v>
      </c>
      <c r="BO173" s="907" t="str">
        <f t="shared" si="6"/>
        <v/>
      </c>
      <c r="BP173" s="907" t="str">
        <f t="shared" si="7"/>
        <v/>
      </c>
      <c r="BQ173" s="907" t="str">
        <f t="shared" si="8"/>
        <v/>
      </c>
      <c r="BR173" s="1004" t="str">
        <f t="shared" si="9"/>
        <v/>
      </c>
      <c r="BS173" s="1005" t="str">
        <f t="shared" si="10"/>
        <v/>
      </c>
      <c r="BT173" s="1006" t="s">
        <v>123</v>
      </c>
      <c r="BU173" s="1002" t="s">
        <v>123</v>
      </c>
      <c r="BV173" s="1006" t="s">
        <v>123</v>
      </c>
      <c r="BW173" s="1007"/>
    </row>
    <row r="174">
      <c r="A174" s="624">
        <v>151.0</v>
      </c>
      <c r="B174" s="1008"/>
      <c r="C174" s="989"/>
      <c r="D174" s="851"/>
      <c r="E174" s="990"/>
      <c r="F174" s="991"/>
      <c r="G174" s="991"/>
      <c r="H174" s="992"/>
      <c r="I174" s="993"/>
      <c r="J174" s="993"/>
      <c r="K174" s="993"/>
      <c r="L174" s="993"/>
      <c r="M174" s="993"/>
      <c r="N174" s="993"/>
      <c r="O174" s="993"/>
      <c r="P174" s="993"/>
      <c r="Q174" s="993"/>
      <c r="R174" s="993"/>
      <c r="S174" s="936"/>
      <c r="T174" s="998"/>
      <c r="U174" s="935"/>
      <c r="V174" s="935"/>
      <c r="W174" s="949" t="str">
        <f>IF(AND($S$20,NOT($U$20)),IF($V174:$V623="","",SUMIF(portfolio.!$A$4:$A623,V174,portfolio.!$AN$4:$AN623)),"")</f>
        <v/>
      </c>
      <c r="X174" s="998"/>
      <c r="Y174" s="936"/>
      <c r="Z174" s="936" t="s">
        <v>123</v>
      </c>
      <c r="AA174" s="936" t="s">
        <v>123</v>
      </c>
      <c r="AB174" s="936" t="s">
        <v>123</v>
      </c>
      <c r="AC174" s="907" t="s">
        <v>123</v>
      </c>
      <c r="AD174" s="999"/>
      <c r="AE174" s="936"/>
      <c r="AF174" s="936"/>
      <c r="AG174" s="936"/>
      <c r="AH174" s="936"/>
      <c r="AI174" s="999"/>
      <c r="AJ174" s="935"/>
      <c r="AK174" s="966"/>
      <c r="AL174" s="949"/>
      <c r="AM174" s="949" t="s">
        <v>123</v>
      </c>
      <c r="AN174" s="949"/>
      <c r="AO174" s="999"/>
      <c r="AP174" s="936"/>
      <c r="AQ174" s="987"/>
      <c r="AR174" s="907"/>
      <c r="AS174" s="907"/>
      <c r="AT174" s="967" t="s">
        <v>123</v>
      </c>
      <c r="AU174" s="967" t="s">
        <v>123</v>
      </c>
      <c r="AV174" s="967" t="s">
        <v>123</v>
      </c>
      <c r="AW174" s="907" t="s">
        <v>123</v>
      </c>
      <c r="AX174" s="907" t="s">
        <v>123</v>
      </c>
      <c r="AY174" s="907" t="s">
        <v>123</v>
      </c>
      <c r="AZ174" s="936" t="s">
        <v>123</v>
      </c>
      <c r="BA174" s="935" t="s">
        <v>123</v>
      </c>
      <c r="BB174" s="1000"/>
      <c r="BC174" s="1001"/>
      <c r="BD174" s="936"/>
      <c r="BE174" s="907"/>
      <c r="BF174" s="1002" t="str">
        <f>IF($BC174="","",SUMIF(portfolio.!$A$4:$A623,BC174,portfolio.!$AN$4:$AN623))</f>
        <v/>
      </c>
      <c r="BG174" s="936" t="s">
        <v>123</v>
      </c>
      <c r="BH174" s="907" t="s">
        <v>123</v>
      </c>
      <c r="BI174" s="935" t="s">
        <v>123</v>
      </c>
      <c r="BJ174" s="1003"/>
      <c r="BK174" s="907" t="s">
        <v>123</v>
      </c>
      <c r="BL174" s="907" t="s">
        <v>123</v>
      </c>
      <c r="BM174" s="907" t="s">
        <v>123</v>
      </c>
      <c r="BN174" s="1004" t="s">
        <v>123</v>
      </c>
      <c r="BO174" s="907" t="str">
        <f t="shared" si="6"/>
        <v/>
      </c>
      <c r="BP174" s="907" t="str">
        <f t="shared" si="7"/>
        <v/>
      </c>
      <c r="BQ174" s="907" t="str">
        <f t="shared" si="8"/>
        <v/>
      </c>
      <c r="BR174" s="1004" t="str">
        <f t="shared" si="9"/>
        <v/>
      </c>
      <c r="BS174" s="1005" t="str">
        <f t="shared" si="10"/>
        <v/>
      </c>
      <c r="BT174" s="1006" t="s">
        <v>123</v>
      </c>
      <c r="BU174" s="1002" t="s">
        <v>123</v>
      </c>
      <c r="BV174" s="1006" t="s">
        <v>123</v>
      </c>
      <c r="BW174" s="1007"/>
    </row>
    <row r="175">
      <c r="A175" s="624">
        <v>152.0</v>
      </c>
      <c r="B175" s="1008"/>
      <c r="C175" s="989"/>
      <c r="D175" s="851"/>
      <c r="E175" s="990"/>
      <c r="F175" s="991"/>
      <c r="G175" s="991"/>
      <c r="H175" s="992"/>
      <c r="I175" s="993"/>
      <c r="J175" s="993"/>
      <c r="K175" s="993"/>
      <c r="L175" s="993"/>
      <c r="M175" s="993"/>
      <c r="N175" s="993"/>
      <c r="O175" s="993"/>
      <c r="P175" s="993"/>
      <c r="Q175" s="993"/>
      <c r="R175" s="993"/>
      <c r="S175" s="936"/>
      <c r="T175" s="998"/>
      <c r="U175" s="935"/>
      <c r="V175" s="935"/>
      <c r="W175" s="949" t="str">
        <f>IF(AND($S$20,NOT($U$20)),IF($V175:$V623="","",SUMIF(portfolio.!$A$4:$A623,V175,portfolio.!$AN$4:$AN623)),"")</f>
        <v/>
      </c>
      <c r="X175" s="998"/>
      <c r="Y175" s="936"/>
      <c r="Z175" s="936" t="s">
        <v>123</v>
      </c>
      <c r="AA175" s="936" t="s">
        <v>123</v>
      </c>
      <c r="AB175" s="936" t="s">
        <v>123</v>
      </c>
      <c r="AC175" s="907" t="s">
        <v>123</v>
      </c>
      <c r="AD175" s="999"/>
      <c r="AE175" s="936"/>
      <c r="AF175" s="936"/>
      <c r="AG175" s="936"/>
      <c r="AH175" s="936"/>
      <c r="AI175" s="999"/>
      <c r="AJ175" s="935"/>
      <c r="AK175" s="966"/>
      <c r="AL175" s="949"/>
      <c r="AM175" s="949" t="s">
        <v>123</v>
      </c>
      <c r="AN175" s="949"/>
      <c r="AO175" s="999"/>
      <c r="AP175" s="936"/>
      <c r="AQ175" s="987"/>
      <c r="AR175" s="907"/>
      <c r="AS175" s="907"/>
      <c r="AT175" s="967" t="s">
        <v>123</v>
      </c>
      <c r="AU175" s="967" t="s">
        <v>123</v>
      </c>
      <c r="AV175" s="967" t="s">
        <v>123</v>
      </c>
      <c r="AW175" s="907" t="s">
        <v>123</v>
      </c>
      <c r="AX175" s="907" t="s">
        <v>123</v>
      </c>
      <c r="AY175" s="907" t="s">
        <v>123</v>
      </c>
      <c r="AZ175" s="936" t="s">
        <v>123</v>
      </c>
      <c r="BA175" s="935" t="s">
        <v>123</v>
      </c>
      <c r="BB175" s="1000"/>
      <c r="BC175" s="1001"/>
      <c r="BD175" s="936"/>
      <c r="BE175" s="907"/>
      <c r="BF175" s="1002" t="str">
        <f>IF($BC175="","",SUMIF(portfolio.!$A$4:$A623,BC175,portfolio.!$AN$4:$AN623))</f>
        <v/>
      </c>
      <c r="BG175" s="936" t="s">
        <v>123</v>
      </c>
      <c r="BH175" s="907" t="s">
        <v>123</v>
      </c>
      <c r="BI175" s="935" t="s">
        <v>123</v>
      </c>
      <c r="BJ175" s="1003"/>
      <c r="BK175" s="907" t="s">
        <v>123</v>
      </c>
      <c r="BL175" s="907" t="s">
        <v>123</v>
      </c>
      <c r="BM175" s="907" t="s">
        <v>123</v>
      </c>
      <c r="BN175" s="1004" t="s">
        <v>123</v>
      </c>
      <c r="BO175" s="907" t="str">
        <f t="shared" si="6"/>
        <v/>
      </c>
      <c r="BP175" s="907" t="str">
        <f t="shared" si="7"/>
        <v/>
      </c>
      <c r="BQ175" s="907" t="str">
        <f t="shared" si="8"/>
        <v/>
      </c>
      <c r="BR175" s="1004" t="str">
        <f t="shared" si="9"/>
        <v/>
      </c>
      <c r="BS175" s="1005" t="str">
        <f t="shared" si="10"/>
        <v/>
      </c>
      <c r="BT175" s="1006" t="s">
        <v>123</v>
      </c>
      <c r="BU175" s="1002" t="s">
        <v>123</v>
      </c>
      <c r="BV175" s="1006" t="s">
        <v>123</v>
      </c>
      <c r="BW175" s="1007"/>
    </row>
    <row r="176">
      <c r="A176" s="624">
        <v>153.0</v>
      </c>
      <c r="B176" s="1008"/>
      <c r="C176" s="989"/>
      <c r="D176" s="851"/>
      <c r="E176" s="990"/>
      <c r="F176" s="991"/>
      <c r="G176" s="991"/>
      <c r="H176" s="992"/>
      <c r="I176" s="993"/>
      <c r="J176" s="993"/>
      <c r="K176" s="993"/>
      <c r="L176" s="993"/>
      <c r="M176" s="993"/>
      <c r="N176" s="993"/>
      <c r="O176" s="993"/>
      <c r="P176" s="993"/>
      <c r="Q176" s="993"/>
      <c r="R176" s="993"/>
      <c r="S176" s="936"/>
      <c r="T176" s="998"/>
      <c r="U176" s="935"/>
      <c r="V176" s="935"/>
      <c r="W176" s="949" t="str">
        <f>IF(AND($S$20,NOT($U$20)),IF($V176:$V623="","",SUMIF(portfolio.!$A$4:$A623,V176,portfolio.!$AN$4:$AN623)),"")</f>
        <v/>
      </c>
      <c r="X176" s="998"/>
      <c r="Y176" s="936"/>
      <c r="Z176" s="936" t="s">
        <v>123</v>
      </c>
      <c r="AA176" s="936" t="s">
        <v>123</v>
      </c>
      <c r="AB176" s="936" t="s">
        <v>123</v>
      </c>
      <c r="AC176" s="907" t="s">
        <v>123</v>
      </c>
      <c r="AD176" s="999"/>
      <c r="AE176" s="936"/>
      <c r="AF176" s="936"/>
      <c r="AG176" s="936"/>
      <c r="AH176" s="936"/>
      <c r="AI176" s="999"/>
      <c r="AJ176" s="935"/>
      <c r="AK176" s="966"/>
      <c r="AL176" s="949"/>
      <c r="AM176" s="949" t="s">
        <v>123</v>
      </c>
      <c r="AN176" s="949"/>
      <c r="AO176" s="999"/>
      <c r="AP176" s="936"/>
      <c r="AQ176" s="987"/>
      <c r="AR176" s="907"/>
      <c r="AS176" s="907"/>
      <c r="AT176" s="967" t="s">
        <v>123</v>
      </c>
      <c r="AU176" s="967" t="s">
        <v>123</v>
      </c>
      <c r="AV176" s="967" t="s">
        <v>123</v>
      </c>
      <c r="AW176" s="907" t="s">
        <v>123</v>
      </c>
      <c r="AX176" s="907" t="s">
        <v>123</v>
      </c>
      <c r="AY176" s="907" t="s">
        <v>123</v>
      </c>
      <c r="AZ176" s="936" t="s">
        <v>123</v>
      </c>
      <c r="BA176" s="935" t="s">
        <v>123</v>
      </c>
      <c r="BB176" s="1000"/>
      <c r="BC176" s="1001"/>
      <c r="BD176" s="936"/>
      <c r="BE176" s="907"/>
      <c r="BF176" s="1002" t="str">
        <f>IF($BC176="","",SUMIF(portfolio.!$A$4:$A623,BC176,portfolio.!$AN$4:$AN623))</f>
        <v/>
      </c>
      <c r="BG176" s="936" t="s">
        <v>123</v>
      </c>
      <c r="BH176" s="907" t="s">
        <v>123</v>
      </c>
      <c r="BI176" s="935" t="s">
        <v>123</v>
      </c>
      <c r="BJ176" s="1003"/>
      <c r="BK176" s="907" t="s">
        <v>123</v>
      </c>
      <c r="BL176" s="907" t="s">
        <v>123</v>
      </c>
      <c r="BM176" s="907" t="s">
        <v>123</v>
      </c>
      <c r="BN176" s="1004" t="s">
        <v>123</v>
      </c>
      <c r="BO176" s="907" t="str">
        <f t="shared" si="6"/>
        <v/>
      </c>
      <c r="BP176" s="907" t="str">
        <f t="shared" si="7"/>
        <v/>
      </c>
      <c r="BQ176" s="907" t="str">
        <f t="shared" si="8"/>
        <v/>
      </c>
      <c r="BR176" s="1004" t="str">
        <f t="shared" si="9"/>
        <v/>
      </c>
      <c r="BS176" s="1005" t="str">
        <f t="shared" si="10"/>
        <v/>
      </c>
      <c r="BT176" s="1006" t="s">
        <v>123</v>
      </c>
      <c r="BU176" s="1002" t="s">
        <v>123</v>
      </c>
      <c r="BV176" s="1006" t="s">
        <v>123</v>
      </c>
      <c r="BW176" s="1007"/>
    </row>
    <row r="177">
      <c r="A177" s="624">
        <v>154.0</v>
      </c>
      <c r="B177" s="1008"/>
      <c r="C177" s="989"/>
      <c r="D177" s="851"/>
      <c r="E177" s="990"/>
      <c r="F177" s="991"/>
      <c r="G177" s="991"/>
      <c r="H177" s="992"/>
      <c r="I177" s="993"/>
      <c r="J177" s="993"/>
      <c r="K177" s="993"/>
      <c r="L177" s="993"/>
      <c r="M177" s="993"/>
      <c r="N177" s="993"/>
      <c r="O177" s="993"/>
      <c r="P177" s="993"/>
      <c r="Q177" s="993"/>
      <c r="R177" s="993"/>
      <c r="S177" s="936"/>
      <c r="T177" s="998"/>
      <c r="U177" s="935"/>
      <c r="V177" s="935"/>
      <c r="W177" s="949" t="str">
        <f>IF(AND($S$20,NOT($U$20)),IF($V177:$V623="","",SUMIF(portfolio.!$A$4:$A623,V177,portfolio.!$AN$4:$AN623)),"")</f>
        <v/>
      </c>
      <c r="X177" s="998"/>
      <c r="Y177" s="936"/>
      <c r="Z177" s="936" t="s">
        <v>123</v>
      </c>
      <c r="AA177" s="936" t="s">
        <v>123</v>
      </c>
      <c r="AB177" s="936" t="s">
        <v>123</v>
      </c>
      <c r="AC177" s="907" t="s">
        <v>123</v>
      </c>
      <c r="AD177" s="999"/>
      <c r="AE177" s="936"/>
      <c r="AF177" s="936"/>
      <c r="AG177" s="936"/>
      <c r="AH177" s="936"/>
      <c r="AI177" s="999"/>
      <c r="AJ177" s="935"/>
      <c r="AK177" s="966"/>
      <c r="AL177" s="949"/>
      <c r="AM177" s="949" t="s">
        <v>123</v>
      </c>
      <c r="AN177" s="949"/>
      <c r="AO177" s="999"/>
      <c r="AP177" s="936"/>
      <c r="AQ177" s="987"/>
      <c r="AR177" s="907"/>
      <c r="AS177" s="907"/>
      <c r="AT177" s="967" t="s">
        <v>123</v>
      </c>
      <c r="AU177" s="967" t="s">
        <v>123</v>
      </c>
      <c r="AV177" s="967" t="s">
        <v>123</v>
      </c>
      <c r="AW177" s="907" t="s">
        <v>123</v>
      </c>
      <c r="AX177" s="907" t="s">
        <v>123</v>
      </c>
      <c r="AY177" s="907" t="s">
        <v>123</v>
      </c>
      <c r="AZ177" s="936" t="s">
        <v>123</v>
      </c>
      <c r="BA177" s="935" t="s">
        <v>123</v>
      </c>
      <c r="BB177" s="1000"/>
      <c r="BC177" s="1001"/>
      <c r="BD177" s="936"/>
      <c r="BE177" s="907"/>
      <c r="BF177" s="1002" t="str">
        <f>IF($BC177="","",SUMIF(portfolio.!$A$4:$A623,BC177,portfolio.!$AN$4:$AN623))</f>
        <v/>
      </c>
      <c r="BG177" s="936" t="s">
        <v>123</v>
      </c>
      <c r="BH177" s="907" t="s">
        <v>123</v>
      </c>
      <c r="BI177" s="935" t="s">
        <v>123</v>
      </c>
      <c r="BJ177" s="1003"/>
      <c r="BK177" s="907" t="s">
        <v>123</v>
      </c>
      <c r="BL177" s="907" t="s">
        <v>123</v>
      </c>
      <c r="BM177" s="907" t="s">
        <v>123</v>
      </c>
      <c r="BN177" s="1004" t="s">
        <v>123</v>
      </c>
      <c r="BO177" s="907" t="str">
        <f t="shared" si="6"/>
        <v/>
      </c>
      <c r="BP177" s="907" t="str">
        <f t="shared" si="7"/>
        <v/>
      </c>
      <c r="BQ177" s="907" t="str">
        <f t="shared" si="8"/>
        <v/>
      </c>
      <c r="BR177" s="1004" t="str">
        <f t="shared" si="9"/>
        <v/>
      </c>
      <c r="BS177" s="1005" t="str">
        <f t="shared" si="10"/>
        <v/>
      </c>
      <c r="BT177" s="1006" t="s">
        <v>123</v>
      </c>
      <c r="BU177" s="1002" t="s">
        <v>123</v>
      </c>
      <c r="BV177" s="1006" t="s">
        <v>123</v>
      </c>
      <c r="BW177" s="1007"/>
    </row>
    <row r="178">
      <c r="A178" s="624">
        <v>155.0</v>
      </c>
      <c r="B178" s="1008"/>
      <c r="C178" s="989"/>
      <c r="D178" s="851"/>
      <c r="E178" s="990"/>
      <c r="F178" s="991"/>
      <c r="G178" s="991"/>
      <c r="H178" s="992"/>
      <c r="I178" s="993"/>
      <c r="J178" s="993"/>
      <c r="K178" s="993"/>
      <c r="L178" s="993"/>
      <c r="M178" s="993"/>
      <c r="N178" s="993"/>
      <c r="O178" s="993"/>
      <c r="P178" s="993"/>
      <c r="Q178" s="993"/>
      <c r="R178" s="993"/>
      <c r="S178" s="936"/>
      <c r="T178" s="998"/>
      <c r="U178" s="935"/>
      <c r="V178" s="935"/>
      <c r="W178" s="949" t="str">
        <f>IF(AND($S$20,NOT($U$20)),IF($V178:$V623="","",SUMIF(portfolio.!$A$4:$A623,V178,portfolio.!$AN$4:$AN623)),"")</f>
        <v/>
      </c>
      <c r="X178" s="998"/>
      <c r="Y178" s="936"/>
      <c r="Z178" s="936" t="s">
        <v>123</v>
      </c>
      <c r="AA178" s="936" t="s">
        <v>123</v>
      </c>
      <c r="AB178" s="936" t="s">
        <v>123</v>
      </c>
      <c r="AC178" s="907" t="s">
        <v>123</v>
      </c>
      <c r="AD178" s="999"/>
      <c r="AE178" s="936"/>
      <c r="AF178" s="936"/>
      <c r="AG178" s="936"/>
      <c r="AH178" s="936"/>
      <c r="AI178" s="999"/>
      <c r="AJ178" s="935"/>
      <c r="AK178" s="966"/>
      <c r="AL178" s="949"/>
      <c r="AM178" s="949" t="s">
        <v>123</v>
      </c>
      <c r="AN178" s="949"/>
      <c r="AO178" s="999"/>
      <c r="AP178" s="936"/>
      <c r="AQ178" s="987"/>
      <c r="AR178" s="907"/>
      <c r="AS178" s="907"/>
      <c r="AT178" s="967" t="s">
        <v>123</v>
      </c>
      <c r="AU178" s="967" t="s">
        <v>123</v>
      </c>
      <c r="AV178" s="967" t="s">
        <v>123</v>
      </c>
      <c r="AW178" s="907" t="s">
        <v>123</v>
      </c>
      <c r="AX178" s="907" t="s">
        <v>123</v>
      </c>
      <c r="AY178" s="907" t="s">
        <v>123</v>
      </c>
      <c r="AZ178" s="936" t="s">
        <v>123</v>
      </c>
      <c r="BA178" s="935" t="s">
        <v>123</v>
      </c>
      <c r="BB178" s="1000"/>
      <c r="BC178" s="1001"/>
      <c r="BD178" s="936"/>
      <c r="BE178" s="907"/>
      <c r="BF178" s="1002" t="str">
        <f>IF($BC178="","",SUMIF(portfolio.!$A$4:$A623,BC178,portfolio.!$AN$4:$AN623))</f>
        <v/>
      </c>
      <c r="BG178" s="936" t="s">
        <v>123</v>
      </c>
      <c r="BH178" s="907" t="s">
        <v>123</v>
      </c>
      <c r="BI178" s="935" t="s">
        <v>123</v>
      </c>
      <c r="BJ178" s="1003"/>
      <c r="BK178" s="907" t="s">
        <v>123</v>
      </c>
      <c r="BL178" s="907" t="s">
        <v>123</v>
      </c>
      <c r="BM178" s="907" t="s">
        <v>123</v>
      </c>
      <c r="BN178" s="1004" t="s">
        <v>123</v>
      </c>
      <c r="BO178" s="907" t="str">
        <f t="shared" si="6"/>
        <v/>
      </c>
      <c r="BP178" s="907" t="str">
        <f t="shared" si="7"/>
        <v/>
      </c>
      <c r="BQ178" s="907" t="str">
        <f t="shared" si="8"/>
        <v/>
      </c>
      <c r="BR178" s="1004" t="str">
        <f t="shared" si="9"/>
        <v/>
      </c>
      <c r="BS178" s="1005" t="str">
        <f t="shared" si="10"/>
        <v/>
      </c>
      <c r="BT178" s="1006" t="s">
        <v>123</v>
      </c>
      <c r="BU178" s="1002" t="s">
        <v>123</v>
      </c>
      <c r="BV178" s="1006" t="s">
        <v>123</v>
      </c>
      <c r="BW178" s="1007"/>
    </row>
    <row r="179">
      <c r="A179" s="624">
        <v>156.0</v>
      </c>
      <c r="B179" s="1008"/>
      <c r="C179" s="989"/>
      <c r="D179" s="851"/>
      <c r="E179" s="990"/>
      <c r="F179" s="991"/>
      <c r="G179" s="991"/>
      <c r="H179" s="992"/>
      <c r="I179" s="993"/>
      <c r="J179" s="993"/>
      <c r="K179" s="993"/>
      <c r="L179" s="993"/>
      <c r="M179" s="993"/>
      <c r="N179" s="993"/>
      <c r="O179" s="993"/>
      <c r="P179" s="993"/>
      <c r="Q179" s="993"/>
      <c r="R179" s="993"/>
      <c r="S179" s="936"/>
      <c r="T179" s="998"/>
      <c r="U179" s="935"/>
      <c r="V179" s="935"/>
      <c r="W179" s="949" t="str">
        <f>IF(AND($S$20,NOT($U$20)),IF($V179:$V623="","",SUMIF(portfolio.!$A$4:$A623,V179,portfolio.!$AN$4:$AN623)),"")</f>
        <v/>
      </c>
      <c r="X179" s="998"/>
      <c r="Y179" s="936"/>
      <c r="Z179" s="936" t="s">
        <v>123</v>
      </c>
      <c r="AA179" s="936" t="s">
        <v>123</v>
      </c>
      <c r="AB179" s="936" t="s">
        <v>123</v>
      </c>
      <c r="AC179" s="907" t="s">
        <v>123</v>
      </c>
      <c r="AD179" s="999"/>
      <c r="AE179" s="936"/>
      <c r="AF179" s="936"/>
      <c r="AG179" s="936"/>
      <c r="AH179" s="936"/>
      <c r="AI179" s="999"/>
      <c r="AJ179" s="935"/>
      <c r="AK179" s="966"/>
      <c r="AL179" s="949"/>
      <c r="AM179" s="949" t="s">
        <v>123</v>
      </c>
      <c r="AN179" s="949"/>
      <c r="AO179" s="999"/>
      <c r="AP179" s="936"/>
      <c r="AQ179" s="987"/>
      <c r="AR179" s="907"/>
      <c r="AS179" s="907"/>
      <c r="AT179" s="967" t="s">
        <v>123</v>
      </c>
      <c r="AU179" s="967" t="s">
        <v>123</v>
      </c>
      <c r="AV179" s="967" t="s">
        <v>123</v>
      </c>
      <c r="AW179" s="907" t="s">
        <v>123</v>
      </c>
      <c r="AX179" s="907" t="s">
        <v>123</v>
      </c>
      <c r="AY179" s="907" t="s">
        <v>123</v>
      </c>
      <c r="AZ179" s="936" t="s">
        <v>123</v>
      </c>
      <c r="BA179" s="935" t="s">
        <v>123</v>
      </c>
      <c r="BB179" s="1000"/>
      <c r="BC179" s="1001"/>
      <c r="BD179" s="936"/>
      <c r="BE179" s="907"/>
      <c r="BF179" s="1002" t="str">
        <f>IF($BC179="","",SUMIF(portfolio.!$A$4:$A623,BC179,portfolio.!$AN$4:$AN623))</f>
        <v/>
      </c>
      <c r="BG179" s="936" t="s">
        <v>123</v>
      </c>
      <c r="BH179" s="907" t="s">
        <v>123</v>
      </c>
      <c r="BI179" s="935" t="s">
        <v>123</v>
      </c>
      <c r="BJ179" s="1003"/>
      <c r="BK179" s="907" t="s">
        <v>123</v>
      </c>
      <c r="BL179" s="907" t="s">
        <v>123</v>
      </c>
      <c r="BM179" s="907" t="s">
        <v>123</v>
      </c>
      <c r="BN179" s="1004" t="s">
        <v>123</v>
      </c>
      <c r="BO179" s="907" t="str">
        <f t="shared" si="6"/>
        <v/>
      </c>
      <c r="BP179" s="907" t="str">
        <f t="shared" si="7"/>
        <v/>
      </c>
      <c r="BQ179" s="907" t="str">
        <f t="shared" si="8"/>
        <v/>
      </c>
      <c r="BR179" s="1004" t="str">
        <f t="shared" si="9"/>
        <v/>
      </c>
      <c r="BS179" s="1005" t="str">
        <f t="shared" si="10"/>
        <v/>
      </c>
      <c r="BT179" s="1006" t="s">
        <v>123</v>
      </c>
      <c r="BU179" s="1002" t="s">
        <v>123</v>
      </c>
      <c r="BV179" s="1006" t="s">
        <v>123</v>
      </c>
      <c r="BW179" s="1007"/>
    </row>
    <row r="180">
      <c r="A180" s="624">
        <v>157.0</v>
      </c>
      <c r="B180" s="1008"/>
      <c r="C180" s="989"/>
      <c r="D180" s="851"/>
      <c r="E180" s="990"/>
      <c r="F180" s="991"/>
      <c r="G180" s="991"/>
      <c r="H180" s="992"/>
      <c r="I180" s="993"/>
      <c r="J180" s="993"/>
      <c r="K180" s="993"/>
      <c r="L180" s="993"/>
      <c r="M180" s="993"/>
      <c r="N180" s="993"/>
      <c r="O180" s="993"/>
      <c r="P180" s="993"/>
      <c r="Q180" s="993"/>
      <c r="R180" s="993"/>
      <c r="S180" s="936"/>
      <c r="T180" s="998"/>
      <c r="U180" s="935"/>
      <c r="V180" s="935"/>
      <c r="W180" s="949" t="str">
        <f>IF(AND($S$20,NOT($U$20)),IF($V180:$V623="","",SUMIF(portfolio.!$A$4:$A623,V180,portfolio.!$AN$4:$AN623)),"")</f>
        <v/>
      </c>
      <c r="X180" s="998"/>
      <c r="Y180" s="936"/>
      <c r="Z180" s="936" t="s">
        <v>123</v>
      </c>
      <c r="AA180" s="936" t="s">
        <v>123</v>
      </c>
      <c r="AB180" s="936" t="s">
        <v>123</v>
      </c>
      <c r="AC180" s="907" t="s">
        <v>123</v>
      </c>
      <c r="AD180" s="999"/>
      <c r="AE180" s="936"/>
      <c r="AF180" s="936"/>
      <c r="AG180" s="936"/>
      <c r="AH180" s="936"/>
      <c r="AI180" s="999"/>
      <c r="AJ180" s="935"/>
      <c r="AK180" s="966"/>
      <c r="AL180" s="949"/>
      <c r="AM180" s="949" t="s">
        <v>123</v>
      </c>
      <c r="AN180" s="949"/>
      <c r="AO180" s="999"/>
      <c r="AP180" s="936"/>
      <c r="AQ180" s="987"/>
      <c r="AR180" s="907"/>
      <c r="AS180" s="907"/>
      <c r="AT180" s="967" t="s">
        <v>123</v>
      </c>
      <c r="AU180" s="967" t="s">
        <v>123</v>
      </c>
      <c r="AV180" s="967" t="s">
        <v>123</v>
      </c>
      <c r="AW180" s="907" t="s">
        <v>123</v>
      </c>
      <c r="AX180" s="907" t="s">
        <v>123</v>
      </c>
      <c r="AY180" s="907" t="s">
        <v>123</v>
      </c>
      <c r="AZ180" s="936" t="s">
        <v>123</v>
      </c>
      <c r="BA180" s="935" t="s">
        <v>123</v>
      </c>
      <c r="BB180" s="1000"/>
      <c r="BC180" s="1001"/>
      <c r="BD180" s="936"/>
      <c r="BE180" s="907"/>
      <c r="BF180" s="1002" t="str">
        <f>IF($BC180="","",SUMIF(portfolio.!$A$4:$A623,BC180,portfolio.!$AN$4:$AN623))</f>
        <v/>
      </c>
      <c r="BG180" s="936" t="s">
        <v>123</v>
      </c>
      <c r="BH180" s="907" t="s">
        <v>123</v>
      </c>
      <c r="BI180" s="935" t="s">
        <v>123</v>
      </c>
      <c r="BJ180" s="1003"/>
      <c r="BK180" s="907" t="s">
        <v>123</v>
      </c>
      <c r="BL180" s="907" t="s">
        <v>123</v>
      </c>
      <c r="BM180" s="907" t="s">
        <v>123</v>
      </c>
      <c r="BN180" s="1004" t="s">
        <v>123</v>
      </c>
      <c r="BO180" s="907" t="str">
        <f t="shared" si="6"/>
        <v/>
      </c>
      <c r="BP180" s="907" t="str">
        <f t="shared" si="7"/>
        <v/>
      </c>
      <c r="BQ180" s="907" t="str">
        <f t="shared" si="8"/>
        <v/>
      </c>
      <c r="BR180" s="1004" t="str">
        <f t="shared" si="9"/>
        <v/>
      </c>
      <c r="BS180" s="1005" t="str">
        <f t="shared" si="10"/>
        <v/>
      </c>
      <c r="BT180" s="1006" t="s">
        <v>123</v>
      </c>
      <c r="BU180" s="1002" t="s">
        <v>123</v>
      </c>
      <c r="BV180" s="1006" t="s">
        <v>123</v>
      </c>
      <c r="BW180" s="1007"/>
    </row>
    <row r="181">
      <c r="A181" s="624">
        <v>158.0</v>
      </c>
      <c r="B181" s="1008"/>
      <c r="C181" s="989"/>
      <c r="D181" s="851"/>
      <c r="E181" s="990"/>
      <c r="F181" s="991"/>
      <c r="G181" s="991"/>
      <c r="H181" s="992"/>
      <c r="I181" s="993"/>
      <c r="J181" s="993"/>
      <c r="K181" s="993"/>
      <c r="L181" s="993"/>
      <c r="M181" s="993"/>
      <c r="N181" s="993"/>
      <c r="O181" s="993"/>
      <c r="P181" s="993"/>
      <c r="Q181" s="993"/>
      <c r="R181" s="993"/>
      <c r="S181" s="936"/>
      <c r="T181" s="998"/>
      <c r="U181" s="935"/>
      <c r="V181" s="935"/>
      <c r="W181" s="949" t="str">
        <f>IF(AND($S$20,NOT($U$20)),IF($V181:$V623="","",SUMIF(portfolio.!$A$4:$A623,V181,portfolio.!$AN$4:$AN623)),"")</f>
        <v/>
      </c>
      <c r="X181" s="998"/>
      <c r="Y181" s="936"/>
      <c r="Z181" s="936" t="s">
        <v>123</v>
      </c>
      <c r="AA181" s="936" t="s">
        <v>123</v>
      </c>
      <c r="AB181" s="936" t="s">
        <v>123</v>
      </c>
      <c r="AC181" s="907" t="s">
        <v>123</v>
      </c>
      <c r="AD181" s="999"/>
      <c r="AE181" s="936"/>
      <c r="AF181" s="936"/>
      <c r="AG181" s="936"/>
      <c r="AH181" s="936"/>
      <c r="AI181" s="999"/>
      <c r="AJ181" s="935"/>
      <c r="AK181" s="966"/>
      <c r="AL181" s="949"/>
      <c r="AM181" s="949" t="s">
        <v>123</v>
      </c>
      <c r="AN181" s="949"/>
      <c r="AO181" s="999"/>
      <c r="AP181" s="936"/>
      <c r="AQ181" s="987"/>
      <c r="AR181" s="907"/>
      <c r="AS181" s="907"/>
      <c r="AT181" s="967" t="s">
        <v>123</v>
      </c>
      <c r="AU181" s="967" t="s">
        <v>123</v>
      </c>
      <c r="AV181" s="967" t="s">
        <v>123</v>
      </c>
      <c r="AW181" s="907" t="s">
        <v>123</v>
      </c>
      <c r="AX181" s="907" t="s">
        <v>123</v>
      </c>
      <c r="AY181" s="907" t="s">
        <v>123</v>
      </c>
      <c r="AZ181" s="936" t="s">
        <v>123</v>
      </c>
      <c r="BA181" s="935" t="s">
        <v>123</v>
      </c>
      <c r="BB181" s="1000"/>
      <c r="BC181" s="1001"/>
      <c r="BD181" s="936"/>
      <c r="BE181" s="907"/>
      <c r="BF181" s="1002" t="str">
        <f>IF($BC181="","",SUMIF(portfolio.!$A$4:$A623,BC181,portfolio.!$AN$4:$AN623))</f>
        <v/>
      </c>
      <c r="BG181" s="936" t="s">
        <v>123</v>
      </c>
      <c r="BH181" s="907" t="s">
        <v>123</v>
      </c>
      <c r="BI181" s="935" t="s">
        <v>123</v>
      </c>
      <c r="BJ181" s="1003"/>
      <c r="BK181" s="907" t="s">
        <v>123</v>
      </c>
      <c r="BL181" s="907" t="s">
        <v>123</v>
      </c>
      <c r="BM181" s="907" t="s">
        <v>123</v>
      </c>
      <c r="BN181" s="1004" t="s">
        <v>123</v>
      </c>
      <c r="BO181" s="907" t="str">
        <f t="shared" si="6"/>
        <v/>
      </c>
      <c r="BP181" s="907" t="str">
        <f t="shared" si="7"/>
        <v/>
      </c>
      <c r="BQ181" s="907" t="str">
        <f t="shared" si="8"/>
        <v/>
      </c>
      <c r="BR181" s="1004" t="str">
        <f t="shared" si="9"/>
        <v/>
      </c>
      <c r="BS181" s="1005" t="str">
        <f t="shared" si="10"/>
        <v/>
      </c>
      <c r="BT181" s="1006" t="s">
        <v>123</v>
      </c>
      <c r="BU181" s="1002" t="s">
        <v>123</v>
      </c>
      <c r="BV181" s="1006" t="s">
        <v>123</v>
      </c>
      <c r="BW181" s="1007"/>
    </row>
    <row r="182">
      <c r="A182" s="624">
        <v>159.0</v>
      </c>
      <c r="B182" s="1008"/>
      <c r="C182" s="989"/>
      <c r="D182" s="851"/>
      <c r="E182" s="990"/>
      <c r="F182" s="991"/>
      <c r="G182" s="991"/>
      <c r="H182" s="992"/>
      <c r="I182" s="993"/>
      <c r="J182" s="993"/>
      <c r="K182" s="993"/>
      <c r="L182" s="993"/>
      <c r="M182" s="993"/>
      <c r="N182" s="993"/>
      <c r="O182" s="993"/>
      <c r="P182" s="993"/>
      <c r="Q182" s="993"/>
      <c r="R182" s="993"/>
      <c r="S182" s="936"/>
      <c r="T182" s="998"/>
      <c r="U182" s="935"/>
      <c r="V182" s="935"/>
      <c r="W182" s="949" t="str">
        <f>IF(AND($S$20,NOT($U$20)),IF($V182:$V623="","",SUMIF(portfolio.!$A$4:$A623,V182,portfolio.!$AN$4:$AN623)),"")</f>
        <v/>
      </c>
      <c r="X182" s="998"/>
      <c r="Y182" s="936"/>
      <c r="Z182" s="936" t="s">
        <v>123</v>
      </c>
      <c r="AA182" s="936" t="s">
        <v>123</v>
      </c>
      <c r="AB182" s="936" t="s">
        <v>123</v>
      </c>
      <c r="AC182" s="907" t="s">
        <v>123</v>
      </c>
      <c r="AD182" s="999"/>
      <c r="AE182" s="936"/>
      <c r="AF182" s="936"/>
      <c r="AG182" s="936"/>
      <c r="AH182" s="936"/>
      <c r="AI182" s="999"/>
      <c r="AJ182" s="935"/>
      <c r="AK182" s="966"/>
      <c r="AL182" s="949"/>
      <c r="AM182" s="949" t="s">
        <v>123</v>
      </c>
      <c r="AN182" s="949"/>
      <c r="AO182" s="999"/>
      <c r="AP182" s="936"/>
      <c r="AQ182" s="987"/>
      <c r="AR182" s="907"/>
      <c r="AS182" s="907"/>
      <c r="AT182" s="967" t="s">
        <v>123</v>
      </c>
      <c r="AU182" s="967" t="s">
        <v>123</v>
      </c>
      <c r="AV182" s="967" t="s">
        <v>123</v>
      </c>
      <c r="AW182" s="907" t="s">
        <v>123</v>
      </c>
      <c r="AX182" s="907" t="s">
        <v>123</v>
      </c>
      <c r="AY182" s="907" t="s">
        <v>123</v>
      </c>
      <c r="AZ182" s="936" t="s">
        <v>123</v>
      </c>
      <c r="BA182" s="935" t="s">
        <v>123</v>
      </c>
      <c r="BB182" s="1000"/>
      <c r="BC182" s="1001"/>
      <c r="BD182" s="936"/>
      <c r="BE182" s="907"/>
      <c r="BF182" s="1002" t="str">
        <f>IF($BC182="","",SUMIF(portfolio.!$A$4:$A623,BC182,portfolio.!$AN$4:$AN623))</f>
        <v/>
      </c>
      <c r="BG182" s="936" t="s">
        <v>123</v>
      </c>
      <c r="BH182" s="907" t="s">
        <v>123</v>
      </c>
      <c r="BI182" s="935" t="s">
        <v>123</v>
      </c>
      <c r="BJ182" s="1003"/>
      <c r="BK182" s="907" t="s">
        <v>123</v>
      </c>
      <c r="BL182" s="907" t="s">
        <v>123</v>
      </c>
      <c r="BM182" s="907" t="s">
        <v>123</v>
      </c>
      <c r="BN182" s="1004" t="s">
        <v>123</v>
      </c>
      <c r="BO182" s="907" t="str">
        <f t="shared" si="6"/>
        <v/>
      </c>
      <c r="BP182" s="907" t="str">
        <f t="shared" si="7"/>
        <v/>
      </c>
      <c r="BQ182" s="907" t="str">
        <f t="shared" si="8"/>
        <v/>
      </c>
      <c r="BR182" s="1004" t="str">
        <f t="shared" si="9"/>
        <v/>
      </c>
      <c r="BS182" s="1005" t="str">
        <f t="shared" si="10"/>
        <v/>
      </c>
      <c r="BT182" s="1006" t="s">
        <v>123</v>
      </c>
      <c r="BU182" s="1002" t="s">
        <v>123</v>
      </c>
      <c r="BV182" s="1006" t="s">
        <v>123</v>
      </c>
      <c r="BW182" s="1007"/>
    </row>
    <row r="183">
      <c r="A183" s="624">
        <v>160.0</v>
      </c>
      <c r="B183" s="1008"/>
      <c r="C183" s="989"/>
      <c r="D183" s="851"/>
      <c r="E183" s="990"/>
      <c r="F183" s="991"/>
      <c r="G183" s="991"/>
      <c r="H183" s="992"/>
      <c r="I183" s="993"/>
      <c r="J183" s="993"/>
      <c r="K183" s="993"/>
      <c r="L183" s="993"/>
      <c r="M183" s="993"/>
      <c r="N183" s="993"/>
      <c r="O183" s="993"/>
      <c r="P183" s="993"/>
      <c r="Q183" s="993"/>
      <c r="R183" s="993"/>
      <c r="S183" s="936"/>
      <c r="T183" s="998"/>
      <c r="U183" s="935"/>
      <c r="V183" s="935"/>
      <c r="W183" s="949" t="str">
        <f>IF(AND($S$20,NOT($U$20)),IF($V183:$V623="","",SUMIF(portfolio.!$A$4:$A623,V183,portfolio.!$AN$4:$AN623)),"")</f>
        <v/>
      </c>
      <c r="X183" s="998"/>
      <c r="Y183" s="936"/>
      <c r="Z183" s="936" t="s">
        <v>123</v>
      </c>
      <c r="AA183" s="936" t="s">
        <v>123</v>
      </c>
      <c r="AB183" s="936" t="s">
        <v>123</v>
      </c>
      <c r="AC183" s="907" t="s">
        <v>123</v>
      </c>
      <c r="AD183" s="999"/>
      <c r="AE183" s="936"/>
      <c r="AF183" s="936"/>
      <c r="AG183" s="936"/>
      <c r="AH183" s="936"/>
      <c r="AI183" s="999"/>
      <c r="AJ183" s="935"/>
      <c r="AK183" s="966"/>
      <c r="AL183" s="949"/>
      <c r="AM183" s="949" t="s">
        <v>123</v>
      </c>
      <c r="AN183" s="949"/>
      <c r="AO183" s="999"/>
      <c r="AP183" s="936"/>
      <c r="AQ183" s="987"/>
      <c r="AR183" s="907"/>
      <c r="AS183" s="907"/>
      <c r="AT183" s="967" t="s">
        <v>123</v>
      </c>
      <c r="AU183" s="967" t="s">
        <v>123</v>
      </c>
      <c r="AV183" s="967" t="s">
        <v>123</v>
      </c>
      <c r="AW183" s="907" t="s">
        <v>123</v>
      </c>
      <c r="AX183" s="907" t="s">
        <v>123</v>
      </c>
      <c r="AY183" s="907" t="s">
        <v>123</v>
      </c>
      <c r="AZ183" s="936" t="s">
        <v>123</v>
      </c>
      <c r="BA183" s="935" t="s">
        <v>123</v>
      </c>
      <c r="BB183" s="1000"/>
      <c r="BC183" s="1001"/>
      <c r="BD183" s="936"/>
      <c r="BE183" s="907"/>
      <c r="BF183" s="1002" t="str">
        <f>IF($BC183="","",SUMIF(portfolio.!$A$4:$A623,BC183,portfolio.!$AN$4:$AN623))</f>
        <v/>
      </c>
      <c r="BG183" s="936" t="s">
        <v>123</v>
      </c>
      <c r="BH183" s="907" t="s">
        <v>123</v>
      </c>
      <c r="BI183" s="935" t="s">
        <v>123</v>
      </c>
      <c r="BJ183" s="1003"/>
      <c r="BK183" s="907" t="s">
        <v>123</v>
      </c>
      <c r="BL183" s="907" t="s">
        <v>123</v>
      </c>
      <c r="BM183" s="907" t="s">
        <v>123</v>
      </c>
      <c r="BN183" s="1004" t="s">
        <v>123</v>
      </c>
      <c r="BO183" s="907" t="str">
        <f t="shared" si="6"/>
        <v/>
      </c>
      <c r="BP183" s="907" t="str">
        <f t="shared" si="7"/>
        <v/>
      </c>
      <c r="BQ183" s="907" t="str">
        <f t="shared" si="8"/>
        <v/>
      </c>
      <c r="BR183" s="1004" t="str">
        <f t="shared" si="9"/>
        <v/>
      </c>
      <c r="BS183" s="1005" t="str">
        <f t="shared" si="10"/>
        <v/>
      </c>
      <c r="BT183" s="1006" t="s">
        <v>123</v>
      </c>
      <c r="BU183" s="1002" t="s">
        <v>123</v>
      </c>
      <c r="BV183" s="1006" t="s">
        <v>123</v>
      </c>
      <c r="BW183" s="1007"/>
    </row>
    <row r="184">
      <c r="A184" s="624">
        <v>161.0</v>
      </c>
      <c r="B184" s="1008"/>
      <c r="C184" s="989"/>
      <c r="D184" s="851"/>
      <c r="E184" s="990"/>
      <c r="F184" s="991"/>
      <c r="G184" s="991"/>
      <c r="H184" s="992"/>
      <c r="I184" s="993"/>
      <c r="J184" s="993"/>
      <c r="K184" s="993"/>
      <c r="L184" s="993"/>
      <c r="M184" s="993"/>
      <c r="N184" s="993"/>
      <c r="O184" s="993"/>
      <c r="P184" s="993"/>
      <c r="Q184" s="993"/>
      <c r="R184" s="993"/>
      <c r="S184" s="936"/>
      <c r="T184" s="998"/>
      <c r="U184" s="935"/>
      <c r="V184" s="935"/>
      <c r="W184" s="949" t="str">
        <f>IF(AND($S$20,NOT($U$20)),IF($V184:$V623="","",SUMIF(portfolio.!$A$4:$A623,V184,portfolio.!$AN$4:$AN623)),"")</f>
        <v/>
      </c>
      <c r="X184" s="998"/>
      <c r="Y184" s="936"/>
      <c r="Z184" s="936" t="s">
        <v>123</v>
      </c>
      <c r="AA184" s="936" t="s">
        <v>123</v>
      </c>
      <c r="AB184" s="936" t="s">
        <v>123</v>
      </c>
      <c r="AC184" s="907" t="s">
        <v>123</v>
      </c>
      <c r="AD184" s="999"/>
      <c r="AE184" s="936"/>
      <c r="AF184" s="936"/>
      <c r="AG184" s="936"/>
      <c r="AH184" s="936"/>
      <c r="AI184" s="999"/>
      <c r="AJ184" s="935"/>
      <c r="AK184" s="966"/>
      <c r="AL184" s="949"/>
      <c r="AM184" s="949" t="s">
        <v>123</v>
      </c>
      <c r="AN184" s="949"/>
      <c r="AO184" s="999"/>
      <c r="AP184" s="936"/>
      <c r="AQ184" s="987"/>
      <c r="AR184" s="907"/>
      <c r="AS184" s="907"/>
      <c r="AT184" s="967" t="s">
        <v>123</v>
      </c>
      <c r="AU184" s="967" t="s">
        <v>123</v>
      </c>
      <c r="AV184" s="967" t="s">
        <v>123</v>
      </c>
      <c r="AW184" s="907" t="s">
        <v>123</v>
      </c>
      <c r="AX184" s="907" t="s">
        <v>123</v>
      </c>
      <c r="AY184" s="907" t="s">
        <v>123</v>
      </c>
      <c r="AZ184" s="936" t="s">
        <v>123</v>
      </c>
      <c r="BA184" s="935" t="s">
        <v>123</v>
      </c>
      <c r="BB184" s="1000"/>
      <c r="BC184" s="1001"/>
      <c r="BD184" s="936"/>
      <c r="BE184" s="907"/>
      <c r="BF184" s="1002" t="str">
        <f>IF($BC184="","",SUMIF(portfolio.!$A$4:$A623,BC184,portfolio.!$AN$4:$AN623))</f>
        <v/>
      </c>
      <c r="BG184" s="936" t="s">
        <v>123</v>
      </c>
      <c r="BH184" s="907" t="s">
        <v>123</v>
      </c>
      <c r="BI184" s="935" t="s">
        <v>123</v>
      </c>
      <c r="BJ184" s="1003"/>
      <c r="BK184" s="907" t="s">
        <v>123</v>
      </c>
      <c r="BL184" s="907" t="s">
        <v>123</v>
      </c>
      <c r="BM184" s="907" t="s">
        <v>123</v>
      </c>
      <c r="BN184" s="1004" t="s">
        <v>123</v>
      </c>
      <c r="BO184" s="907" t="str">
        <f t="shared" si="6"/>
        <v/>
      </c>
      <c r="BP184" s="907" t="str">
        <f t="shared" si="7"/>
        <v/>
      </c>
      <c r="BQ184" s="907" t="str">
        <f t="shared" si="8"/>
        <v/>
      </c>
      <c r="BR184" s="1004" t="str">
        <f t="shared" si="9"/>
        <v/>
      </c>
      <c r="BS184" s="1005" t="str">
        <f t="shared" si="10"/>
        <v/>
      </c>
      <c r="BT184" s="1006" t="s">
        <v>123</v>
      </c>
      <c r="BU184" s="1002" t="s">
        <v>123</v>
      </c>
      <c r="BV184" s="1006" t="s">
        <v>123</v>
      </c>
      <c r="BW184" s="1007"/>
    </row>
    <row r="185">
      <c r="A185" s="624">
        <v>162.0</v>
      </c>
      <c r="B185" s="1008"/>
      <c r="C185" s="989"/>
      <c r="D185" s="851"/>
      <c r="E185" s="990"/>
      <c r="F185" s="991"/>
      <c r="G185" s="991"/>
      <c r="H185" s="992"/>
      <c r="I185" s="993"/>
      <c r="J185" s="993"/>
      <c r="K185" s="993"/>
      <c r="L185" s="993"/>
      <c r="M185" s="993"/>
      <c r="N185" s="993"/>
      <c r="O185" s="993"/>
      <c r="P185" s="993"/>
      <c r="Q185" s="993"/>
      <c r="R185" s="993"/>
      <c r="S185" s="936"/>
      <c r="T185" s="998"/>
      <c r="U185" s="935"/>
      <c r="V185" s="935"/>
      <c r="W185" s="949" t="str">
        <f>IF(AND($S$20,NOT($U$20)),IF($V185:$V623="","",SUMIF(portfolio.!$A$4:$A623,V185,portfolio.!$AN$4:$AN623)),"")</f>
        <v/>
      </c>
      <c r="X185" s="998"/>
      <c r="Y185" s="936"/>
      <c r="Z185" s="936" t="s">
        <v>123</v>
      </c>
      <c r="AA185" s="936" t="s">
        <v>123</v>
      </c>
      <c r="AB185" s="936" t="s">
        <v>123</v>
      </c>
      <c r="AC185" s="907" t="s">
        <v>123</v>
      </c>
      <c r="AD185" s="999"/>
      <c r="AE185" s="936"/>
      <c r="AF185" s="936"/>
      <c r="AG185" s="936"/>
      <c r="AH185" s="936"/>
      <c r="AI185" s="999"/>
      <c r="AJ185" s="935"/>
      <c r="AK185" s="966"/>
      <c r="AL185" s="949"/>
      <c r="AM185" s="949" t="s">
        <v>123</v>
      </c>
      <c r="AN185" s="949"/>
      <c r="AO185" s="999"/>
      <c r="AP185" s="936"/>
      <c r="AQ185" s="987"/>
      <c r="AR185" s="907"/>
      <c r="AS185" s="907"/>
      <c r="AT185" s="967" t="s">
        <v>123</v>
      </c>
      <c r="AU185" s="967" t="s">
        <v>123</v>
      </c>
      <c r="AV185" s="967" t="s">
        <v>123</v>
      </c>
      <c r="AW185" s="907" t="s">
        <v>123</v>
      </c>
      <c r="AX185" s="907" t="s">
        <v>123</v>
      </c>
      <c r="AY185" s="907" t="s">
        <v>123</v>
      </c>
      <c r="AZ185" s="936" t="s">
        <v>123</v>
      </c>
      <c r="BA185" s="935" t="s">
        <v>123</v>
      </c>
      <c r="BB185" s="1000"/>
      <c r="BC185" s="1001"/>
      <c r="BD185" s="936"/>
      <c r="BE185" s="907"/>
      <c r="BF185" s="1002" t="str">
        <f>IF($BC185="","",SUMIF(portfolio.!$A$4:$A623,BC185,portfolio.!$AN$4:$AN623))</f>
        <v/>
      </c>
      <c r="BG185" s="936" t="s">
        <v>123</v>
      </c>
      <c r="BH185" s="907" t="s">
        <v>123</v>
      </c>
      <c r="BI185" s="935" t="s">
        <v>123</v>
      </c>
      <c r="BJ185" s="1003"/>
      <c r="BK185" s="907" t="s">
        <v>123</v>
      </c>
      <c r="BL185" s="907" t="s">
        <v>123</v>
      </c>
      <c r="BM185" s="907" t="s">
        <v>123</v>
      </c>
      <c r="BN185" s="1004" t="s">
        <v>123</v>
      </c>
      <c r="BO185" s="907" t="str">
        <f t="shared" si="6"/>
        <v/>
      </c>
      <c r="BP185" s="907" t="str">
        <f t="shared" si="7"/>
        <v/>
      </c>
      <c r="BQ185" s="907" t="str">
        <f t="shared" si="8"/>
        <v/>
      </c>
      <c r="BR185" s="1004" t="str">
        <f t="shared" si="9"/>
        <v/>
      </c>
      <c r="BS185" s="1005" t="str">
        <f t="shared" si="10"/>
        <v/>
      </c>
      <c r="BT185" s="1006" t="s">
        <v>123</v>
      </c>
      <c r="BU185" s="1002" t="s">
        <v>123</v>
      </c>
      <c r="BV185" s="1006" t="s">
        <v>123</v>
      </c>
      <c r="BW185" s="1007"/>
    </row>
    <row r="186">
      <c r="A186" s="624">
        <v>163.0</v>
      </c>
      <c r="B186" s="1008"/>
      <c r="C186" s="989"/>
      <c r="D186" s="851"/>
      <c r="E186" s="990"/>
      <c r="F186" s="991"/>
      <c r="G186" s="991"/>
      <c r="H186" s="992"/>
      <c r="I186" s="993"/>
      <c r="J186" s="993"/>
      <c r="K186" s="993"/>
      <c r="L186" s="993"/>
      <c r="M186" s="993"/>
      <c r="N186" s="993"/>
      <c r="O186" s="993"/>
      <c r="P186" s="993"/>
      <c r="Q186" s="993"/>
      <c r="R186" s="993"/>
      <c r="S186" s="936"/>
      <c r="T186" s="998"/>
      <c r="U186" s="935"/>
      <c r="V186" s="935"/>
      <c r="W186" s="949" t="str">
        <f>IF(AND($S$20,NOT($U$20)),IF($V186:$V623="","",SUMIF(portfolio.!$A$4:$A623,V186,portfolio.!$AN$4:$AN623)),"")</f>
        <v/>
      </c>
      <c r="X186" s="998"/>
      <c r="Y186" s="936"/>
      <c r="Z186" s="936" t="s">
        <v>123</v>
      </c>
      <c r="AA186" s="936" t="s">
        <v>123</v>
      </c>
      <c r="AB186" s="936" t="s">
        <v>123</v>
      </c>
      <c r="AC186" s="907" t="s">
        <v>123</v>
      </c>
      <c r="AD186" s="999"/>
      <c r="AE186" s="936"/>
      <c r="AF186" s="936"/>
      <c r="AG186" s="936"/>
      <c r="AH186" s="936"/>
      <c r="AI186" s="999"/>
      <c r="AJ186" s="935"/>
      <c r="AK186" s="966"/>
      <c r="AL186" s="949"/>
      <c r="AM186" s="949" t="s">
        <v>123</v>
      </c>
      <c r="AN186" s="949"/>
      <c r="AO186" s="999"/>
      <c r="AP186" s="936"/>
      <c r="AQ186" s="987"/>
      <c r="AR186" s="907"/>
      <c r="AS186" s="907"/>
      <c r="AT186" s="967" t="s">
        <v>123</v>
      </c>
      <c r="AU186" s="967" t="s">
        <v>123</v>
      </c>
      <c r="AV186" s="967" t="s">
        <v>123</v>
      </c>
      <c r="AW186" s="907" t="s">
        <v>123</v>
      </c>
      <c r="AX186" s="907" t="s">
        <v>123</v>
      </c>
      <c r="AY186" s="907" t="s">
        <v>123</v>
      </c>
      <c r="AZ186" s="936" t="s">
        <v>123</v>
      </c>
      <c r="BA186" s="935" t="s">
        <v>123</v>
      </c>
      <c r="BB186" s="1000"/>
      <c r="BC186" s="1001"/>
      <c r="BD186" s="936"/>
      <c r="BE186" s="907"/>
      <c r="BF186" s="1002" t="str">
        <f>IF($BC186="","",SUMIF(portfolio.!$A$4:$A623,BC186,portfolio.!$AN$4:$AN623))</f>
        <v/>
      </c>
      <c r="BG186" s="936" t="s">
        <v>123</v>
      </c>
      <c r="BH186" s="907" t="s">
        <v>123</v>
      </c>
      <c r="BI186" s="935" t="s">
        <v>123</v>
      </c>
      <c r="BJ186" s="1003"/>
      <c r="BK186" s="907" t="s">
        <v>123</v>
      </c>
      <c r="BL186" s="907" t="s">
        <v>123</v>
      </c>
      <c r="BM186" s="907" t="s">
        <v>123</v>
      </c>
      <c r="BN186" s="1004" t="s">
        <v>123</v>
      </c>
      <c r="BO186" s="907" t="str">
        <f t="shared" si="6"/>
        <v/>
      </c>
      <c r="BP186" s="907" t="str">
        <f t="shared" si="7"/>
        <v/>
      </c>
      <c r="BQ186" s="907" t="str">
        <f t="shared" si="8"/>
        <v/>
      </c>
      <c r="BR186" s="1004" t="str">
        <f t="shared" si="9"/>
        <v/>
      </c>
      <c r="BS186" s="1005" t="str">
        <f t="shared" si="10"/>
        <v/>
      </c>
      <c r="BT186" s="1006" t="s">
        <v>123</v>
      </c>
      <c r="BU186" s="1002" t="s">
        <v>123</v>
      </c>
      <c r="BV186" s="1006" t="s">
        <v>123</v>
      </c>
      <c r="BW186" s="1007"/>
    </row>
    <row r="187">
      <c r="A187" s="624">
        <v>164.0</v>
      </c>
      <c r="B187" s="1008"/>
      <c r="C187" s="989"/>
      <c r="D187" s="851"/>
      <c r="E187" s="990"/>
      <c r="F187" s="991"/>
      <c r="G187" s="991"/>
      <c r="H187" s="992"/>
      <c r="I187" s="993"/>
      <c r="J187" s="993"/>
      <c r="K187" s="993"/>
      <c r="L187" s="993"/>
      <c r="M187" s="993"/>
      <c r="N187" s="993"/>
      <c r="O187" s="993"/>
      <c r="P187" s="993"/>
      <c r="Q187" s="993"/>
      <c r="R187" s="993"/>
      <c r="S187" s="936"/>
      <c r="T187" s="998"/>
      <c r="U187" s="935"/>
      <c r="V187" s="935"/>
      <c r="W187" s="949" t="str">
        <f>IF(AND($S$20,NOT($U$20)),IF($V187:$V623="","",SUMIF(portfolio.!$A$4:$A623,V187,portfolio.!$AN$4:$AN623)),"")</f>
        <v/>
      </c>
      <c r="X187" s="998"/>
      <c r="Y187" s="936"/>
      <c r="Z187" s="936" t="s">
        <v>123</v>
      </c>
      <c r="AA187" s="936" t="s">
        <v>123</v>
      </c>
      <c r="AB187" s="936" t="s">
        <v>123</v>
      </c>
      <c r="AC187" s="907" t="s">
        <v>123</v>
      </c>
      <c r="AD187" s="999"/>
      <c r="AE187" s="936"/>
      <c r="AF187" s="936"/>
      <c r="AG187" s="936"/>
      <c r="AH187" s="936"/>
      <c r="AI187" s="999"/>
      <c r="AJ187" s="935"/>
      <c r="AK187" s="966"/>
      <c r="AL187" s="949"/>
      <c r="AM187" s="949" t="s">
        <v>123</v>
      </c>
      <c r="AN187" s="949"/>
      <c r="AO187" s="999"/>
      <c r="AP187" s="936"/>
      <c r="AQ187" s="987"/>
      <c r="AR187" s="907"/>
      <c r="AS187" s="907"/>
      <c r="AT187" s="967" t="s">
        <v>123</v>
      </c>
      <c r="AU187" s="967" t="s">
        <v>123</v>
      </c>
      <c r="AV187" s="967" t="s">
        <v>123</v>
      </c>
      <c r="AW187" s="907" t="s">
        <v>123</v>
      </c>
      <c r="AX187" s="907" t="s">
        <v>123</v>
      </c>
      <c r="AY187" s="907" t="s">
        <v>123</v>
      </c>
      <c r="AZ187" s="936" t="s">
        <v>123</v>
      </c>
      <c r="BA187" s="935" t="s">
        <v>123</v>
      </c>
      <c r="BB187" s="1000"/>
      <c r="BC187" s="1001"/>
      <c r="BD187" s="936"/>
      <c r="BE187" s="907"/>
      <c r="BF187" s="1002" t="str">
        <f>IF($BC187="","",SUMIF(portfolio.!$A$4:$A623,BC187,portfolio.!$AN$4:$AN623))</f>
        <v/>
      </c>
      <c r="BG187" s="936" t="s">
        <v>123</v>
      </c>
      <c r="BH187" s="907" t="s">
        <v>123</v>
      </c>
      <c r="BI187" s="935" t="s">
        <v>123</v>
      </c>
      <c r="BJ187" s="1003"/>
      <c r="BK187" s="907" t="s">
        <v>123</v>
      </c>
      <c r="BL187" s="907" t="s">
        <v>123</v>
      </c>
      <c r="BM187" s="907" t="s">
        <v>123</v>
      </c>
      <c r="BN187" s="1004" t="s">
        <v>123</v>
      </c>
      <c r="BO187" s="907" t="str">
        <f t="shared" si="6"/>
        <v/>
      </c>
      <c r="BP187" s="907" t="str">
        <f t="shared" si="7"/>
        <v/>
      </c>
      <c r="BQ187" s="907" t="str">
        <f t="shared" si="8"/>
        <v/>
      </c>
      <c r="BR187" s="1004" t="str">
        <f t="shared" si="9"/>
        <v/>
      </c>
      <c r="BS187" s="1005" t="str">
        <f t="shared" si="10"/>
        <v/>
      </c>
      <c r="BT187" s="1006" t="s">
        <v>123</v>
      </c>
      <c r="BU187" s="1002" t="s">
        <v>123</v>
      </c>
      <c r="BV187" s="1006" t="s">
        <v>123</v>
      </c>
      <c r="BW187" s="1007"/>
    </row>
    <row r="188">
      <c r="A188" s="624">
        <v>165.0</v>
      </c>
      <c r="B188" s="1008"/>
      <c r="C188" s="989"/>
      <c r="D188" s="851"/>
      <c r="E188" s="990"/>
      <c r="F188" s="991"/>
      <c r="G188" s="991"/>
      <c r="H188" s="992"/>
      <c r="I188" s="993"/>
      <c r="J188" s="993"/>
      <c r="K188" s="993"/>
      <c r="L188" s="993"/>
      <c r="M188" s="993"/>
      <c r="N188" s="993"/>
      <c r="O188" s="993"/>
      <c r="P188" s="993"/>
      <c r="Q188" s="993"/>
      <c r="R188" s="993"/>
      <c r="S188" s="936"/>
      <c r="T188" s="998"/>
      <c r="U188" s="935"/>
      <c r="V188" s="935"/>
      <c r="W188" s="949" t="str">
        <f>IF(AND($S$20,NOT($U$20)),IF($V188:$V623="","",SUMIF(portfolio.!$A$4:$A623,V188,portfolio.!$AN$4:$AN623)),"")</f>
        <v/>
      </c>
      <c r="X188" s="998"/>
      <c r="Y188" s="936"/>
      <c r="Z188" s="936" t="s">
        <v>123</v>
      </c>
      <c r="AA188" s="936" t="s">
        <v>123</v>
      </c>
      <c r="AB188" s="936" t="s">
        <v>123</v>
      </c>
      <c r="AC188" s="907" t="s">
        <v>123</v>
      </c>
      <c r="AD188" s="999"/>
      <c r="AE188" s="936"/>
      <c r="AF188" s="936"/>
      <c r="AG188" s="936"/>
      <c r="AH188" s="936"/>
      <c r="AI188" s="999"/>
      <c r="AJ188" s="935"/>
      <c r="AK188" s="966"/>
      <c r="AL188" s="949"/>
      <c r="AM188" s="949" t="s">
        <v>123</v>
      </c>
      <c r="AN188" s="949"/>
      <c r="AO188" s="999"/>
      <c r="AP188" s="936"/>
      <c r="AQ188" s="987"/>
      <c r="AR188" s="907"/>
      <c r="AS188" s="907"/>
      <c r="AT188" s="967" t="s">
        <v>123</v>
      </c>
      <c r="AU188" s="967" t="s">
        <v>123</v>
      </c>
      <c r="AV188" s="967" t="s">
        <v>123</v>
      </c>
      <c r="AW188" s="907" t="s">
        <v>123</v>
      </c>
      <c r="AX188" s="907" t="s">
        <v>123</v>
      </c>
      <c r="AY188" s="907" t="s">
        <v>123</v>
      </c>
      <c r="AZ188" s="936" t="s">
        <v>123</v>
      </c>
      <c r="BA188" s="935" t="s">
        <v>123</v>
      </c>
      <c r="BB188" s="1000"/>
      <c r="BC188" s="1001"/>
      <c r="BD188" s="936"/>
      <c r="BE188" s="907"/>
      <c r="BF188" s="1002" t="str">
        <f>IF($BC188="","",SUMIF(portfolio.!$A$4:$A623,BC188,portfolio.!$AN$4:$AN623))</f>
        <v/>
      </c>
      <c r="BG188" s="936" t="s">
        <v>123</v>
      </c>
      <c r="BH188" s="907" t="s">
        <v>123</v>
      </c>
      <c r="BI188" s="935" t="s">
        <v>123</v>
      </c>
      <c r="BJ188" s="1003"/>
      <c r="BK188" s="907" t="s">
        <v>123</v>
      </c>
      <c r="BL188" s="907" t="s">
        <v>123</v>
      </c>
      <c r="BM188" s="907" t="s">
        <v>123</v>
      </c>
      <c r="BN188" s="1004" t="s">
        <v>123</v>
      </c>
      <c r="BO188" s="907" t="str">
        <f t="shared" si="6"/>
        <v/>
      </c>
      <c r="BP188" s="907" t="str">
        <f t="shared" si="7"/>
        <v/>
      </c>
      <c r="BQ188" s="907" t="str">
        <f t="shared" si="8"/>
        <v/>
      </c>
      <c r="BR188" s="1004" t="str">
        <f t="shared" si="9"/>
        <v/>
      </c>
      <c r="BS188" s="1005" t="str">
        <f t="shared" si="10"/>
        <v/>
      </c>
      <c r="BT188" s="1006" t="s">
        <v>123</v>
      </c>
      <c r="BU188" s="1002" t="s">
        <v>123</v>
      </c>
      <c r="BV188" s="1006" t="s">
        <v>123</v>
      </c>
      <c r="BW188" s="1007"/>
    </row>
    <row r="189">
      <c r="A189" s="624">
        <v>166.0</v>
      </c>
      <c r="B189" s="1008"/>
      <c r="C189" s="989"/>
      <c r="D189" s="851"/>
      <c r="E189" s="990"/>
      <c r="F189" s="991"/>
      <c r="G189" s="991"/>
      <c r="H189" s="992"/>
      <c r="I189" s="993"/>
      <c r="J189" s="993"/>
      <c r="K189" s="993"/>
      <c r="L189" s="993"/>
      <c r="M189" s="993"/>
      <c r="N189" s="993"/>
      <c r="O189" s="993"/>
      <c r="P189" s="993"/>
      <c r="Q189" s="993"/>
      <c r="R189" s="993"/>
      <c r="S189" s="936"/>
      <c r="T189" s="998"/>
      <c r="U189" s="935"/>
      <c r="V189" s="935"/>
      <c r="W189" s="949" t="str">
        <f>IF(AND($S$20,NOT($U$20)),IF($V189:$V623="","",SUMIF(portfolio.!$A$4:$A623,V189,portfolio.!$AN$4:$AN623)),"")</f>
        <v/>
      </c>
      <c r="X189" s="998"/>
      <c r="Y189" s="936"/>
      <c r="Z189" s="936" t="s">
        <v>123</v>
      </c>
      <c r="AA189" s="936" t="s">
        <v>123</v>
      </c>
      <c r="AB189" s="936" t="s">
        <v>123</v>
      </c>
      <c r="AC189" s="907" t="s">
        <v>123</v>
      </c>
      <c r="AD189" s="999"/>
      <c r="AE189" s="936"/>
      <c r="AF189" s="936"/>
      <c r="AG189" s="936"/>
      <c r="AH189" s="936"/>
      <c r="AI189" s="999"/>
      <c r="AJ189" s="935"/>
      <c r="AK189" s="966"/>
      <c r="AL189" s="949"/>
      <c r="AM189" s="949" t="s">
        <v>123</v>
      </c>
      <c r="AN189" s="949"/>
      <c r="AO189" s="999"/>
      <c r="AP189" s="936"/>
      <c r="AQ189" s="987"/>
      <c r="AR189" s="907"/>
      <c r="AS189" s="907"/>
      <c r="AT189" s="967" t="s">
        <v>123</v>
      </c>
      <c r="AU189" s="967" t="s">
        <v>123</v>
      </c>
      <c r="AV189" s="967" t="s">
        <v>123</v>
      </c>
      <c r="AW189" s="907" t="s">
        <v>123</v>
      </c>
      <c r="AX189" s="907" t="s">
        <v>123</v>
      </c>
      <c r="AY189" s="907" t="s">
        <v>123</v>
      </c>
      <c r="AZ189" s="936" t="s">
        <v>123</v>
      </c>
      <c r="BA189" s="935" t="s">
        <v>123</v>
      </c>
      <c r="BB189" s="1000"/>
      <c r="BC189" s="1001"/>
      <c r="BD189" s="936"/>
      <c r="BE189" s="907"/>
      <c r="BF189" s="1002" t="str">
        <f>IF($BC189="","",SUMIF(portfolio.!$A$4:$A623,BC189,portfolio.!$AN$4:$AN623))</f>
        <v/>
      </c>
      <c r="BG189" s="936" t="s">
        <v>123</v>
      </c>
      <c r="BH189" s="907" t="s">
        <v>123</v>
      </c>
      <c r="BI189" s="935" t="s">
        <v>123</v>
      </c>
      <c r="BJ189" s="1003"/>
      <c r="BK189" s="907" t="s">
        <v>123</v>
      </c>
      <c r="BL189" s="907" t="s">
        <v>123</v>
      </c>
      <c r="BM189" s="907" t="s">
        <v>123</v>
      </c>
      <c r="BN189" s="1004" t="s">
        <v>123</v>
      </c>
      <c r="BO189" s="907" t="str">
        <f t="shared" si="6"/>
        <v/>
      </c>
      <c r="BP189" s="907" t="str">
        <f t="shared" si="7"/>
        <v/>
      </c>
      <c r="BQ189" s="907" t="str">
        <f t="shared" si="8"/>
        <v/>
      </c>
      <c r="BR189" s="1004" t="str">
        <f t="shared" si="9"/>
        <v/>
      </c>
      <c r="BS189" s="1005" t="str">
        <f t="shared" si="10"/>
        <v/>
      </c>
      <c r="BT189" s="1006" t="s">
        <v>123</v>
      </c>
      <c r="BU189" s="1002" t="s">
        <v>123</v>
      </c>
      <c r="BV189" s="1006" t="s">
        <v>123</v>
      </c>
      <c r="BW189" s="1007"/>
    </row>
    <row r="190">
      <c r="A190" s="624">
        <v>167.0</v>
      </c>
      <c r="B190" s="1008"/>
      <c r="C190" s="989"/>
      <c r="D190" s="851"/>
      <c r="E190" s="990"/>
      <c r="F190" s="991"/>
      <c r="G190" s="991"/>
      <c r="H190" s="992"/>
      <c r="I190" s="993"/>
      <c r="J190" s="993"/>
      <c r="K190" s="993"/>
      <c r="L190" s="993"/>
      <c r="M190" s="993"/>
      <c r="N190" s="993"/>
      <c r="O190" s="993"/>
      <c r="P190" s="993"/>
      <c r="Q190" s="993"/>
      <c r="R190" s="993"/>
      <c r="S190" s="936"/>
      <c r="T190" s="998"/>
      <c r="U190" s="935"/>
      <c r="V190" s="935"/>
      <c r="W190" s="949" t="str">
        <f>IF(AND($S$20,NOT($U$20)),IF($V190:$V623="","",SUMIF(portfolio.!$A$4:$A623,V190,portfolio.!$AN$4:$AN623)),"")</f>
        <v/>
      </c>
      <c r="X190" s="998"/>
      <c r="Y190" s="936"/>
      <c r="Z190" s="936" t="s">
        <v>123</v>
      </c>
      <c r="AA190" s="936" t="s">
        <v>123</v>
      </c>
      <c r="AB190" s="936" t="s">
        <v>123</v>
      </c>
      <c r="AC190" s="907" t="s">
        <v>123</v>
      </c>
      <c r="AD190" s="999"/>
      <c r="AE190" s="936"/>
      <c r="AF190" s="936"/>
      <c r="AG190" s="936"/>
      <c r="AH190" s="936"/>
      <c r="AI190" s="999"/>
      <c r="AJ190" s="935"/>
      <c r="AK190" s="966"/>
      <c r="AL190" s="949"/>
      <c r="AM190" s="949" t="s">
        <v>123</v>
      </c>
      <c r="AN190" s="949"/>
      <c r="AO190" s="999"/>
      <c r="AP190" s="936"/>
      <c r="AQ190" s="987"/>
      <c r="AR190" s="907"/>
      <c r="AS190" s="907"/>
      <c r="AT190" s="967" t="s">
        <v>123</v>
      </c>
      <c r="AU190" s="967" t="s">
        <v>123</v>
      </c>
      <c r="AV190" s="967" t="s">
        <v>123</v>
      </c>
      <c r="AW190" s="907" t="s">
        <v>123</v>
      </c>
      <c r="AX190" s="907" t="s">
        <v>123</v>
      </c>
      <c r="AY190" s="907" t="s">
        <v>123</v>
      </c>
      <c r="AZ190" s="936" t="s">
        <v>123</v>
      </c>
      <c r="BA190" s="935" t="s">
        <v>123</v>
      </c>
      <c r="BB190" s="1000"/>
      <c r="BC190" s="1001"/>
      <c r="BD190" s="936"/>
      <c r="BE190" s="907"/>
      <c r="BF190" s="1002" t="str">
        <f>IF($BC190="","",SUMIF(portfolio.!$A$4:$A623,BC190,portfolio.!$AN$4:$AN623))</f>
        <v/>
      </c>
      <c r="BG190" s="936" t="s">
        <v>123</v>
      </c>
      <c r="BH190" s="907" t="s">
        <v>123</v>
      </c>
      <c r="BI190" s="935" t="s">
        <v>123</v>
      </c>
      <c r="BJ190" s="1003"/>
      <c r="BK190" s="907" t="s">
        <v>123</v>
      </c>
      <c r="BL190" s="907" t="s">
        <v>123</v>
      </c>
      <c r="BM190" s="907" t="s">
        <v>123</v>
      </c>
      <c r="BN190" s="1004" t="s">
        <v>123</v>
      </c>
      <c r="BO190" s="907" t="str">
        <f t="shared" si="6"/>
        <v/>
      </c>
      <c r="BP190" s="907" t="str">
        <f t="shared" si="7"/>
        <v/>
      </c>
      <c r="BQ190" s="907" t="str">
        <f t="shared" si="8"/>
        <v/>
      </c>
      <c r="BR190" s="1004" t="str">
        <f t="shared" si="9"/>
        <v/>
      </c>
      <c r="BS190" s="1005" t="str">
        <f t="shared" si="10"/>
        <v/>
      </c>
      <c r="BT190" s="1006" t="s">
        <v>123</v>
      </c>
      <c r="BU190" s="1002" t="s">
        <v>123</v>
      </c>
      <c r="BV190" s="1006" t="s">
        <v>123</v>
      </c>
      <c r="BW190" s="1007"/>
    </row>
    <row r="191">
      <c r="A191" s="624">
        <v>168.0</v>
      </c>
      <c r="B191" s="1008"/>
      <c r="C191" s="989"/>
      <c r="D191" s="851"/>
      <c r="E191" s="990"/>
      <c r="F191" s="991"/>
      <c r="G191" s="991"/>
      <c r="H191" s="992"/>
      <c r="I191" s="993"/>
      <c r="J191" s="993"/>
      <c r="K191" s="993"/>
      <c r="L191" s="993"/>
      <c r="M191" s="993"/>
      <c r="N191" s="993"/>
      <c r="O191" s="993"/>
      <c r="P191" s="993"/>
      <c r="Q191" s="993"/>
      <c r="R191" s="993"/>
      <c r="S191" s="936"/>
      <c r="T191" s="998"/>
      <c r="U191" s="935"/>
      <c r="V191" s="935"/>
      <c r="W191" s="949" t="str">
        <f>IF(AND($S$20,NOT($U$20)),IF($V191:$V623="","",SUMIF(portfolio.!$A$4:$A623,V191,portfolio.!$AN$4:$AN623)),"")</f>
        <v/>
      </c>
      <c r="X191" s="998"/>
      <c r="Y191" s="936"/>
      <c r="Z191" s="936" t="s">
        <v>123</v>
      </c>
      <c r="AA191" s="936" t="s">
        <v>123</v>
      </c>
      <c r="AB191" s="936" t="s">
        <v>123</v>
      </c>
      <c r="AC191" s="907" t="s">
        <v>123</v>
      </c>
      <c r="AD191" s="999"/>
      <c r="AE191" s="936"/>
      <c r="AF191" s="936"/>
      <c r="AG191" s="936"/>
      <c r="AH191" s="936"/>
      <c r="AI191" s="999"/>
      <c r="AJ191" s="935"/>
      <c r="AK191" s="966"/>
      <c r="AL191" s="949"/>
      <c r="AM191" s="949" t="s">
        <v>123</v>
      </c>
      <c r="AN191" s="949"/>
      <c r="AO191" s="999"/>
      <c r="AP191" s="936"/>
      <c r="AQ191" s="987"/>
      <c r="AR191" s="907"/>
      <c r="AS191" s="907"/>
      <c r="AT191" s="967" t="s">
        <v>123</v>
      </c>
      <c r="AU191" s="967" t="s">
        <v>123</v>
      </c>
      <c r="AV191" s="967" t="s">
        <v>123</v>
      </c>
      <c r="AW191" s="907" t="s">
        <v>123</v>
      </c>
      <c r="AX191" s="907" t="s">
        <v>123</v>
      </c>
      <c r="AY191" s="907" t="s">
        <v>123</v>
      </c>
      <c r="AZ191" s="936" t="s">
        <v>123</v>
      </c>
      <c r="BA191" s="935" t="s">
        <v>123</v>
      </c>
      <c r="BB191" s="1000"/>
      <c r="BC191" s="1001"/>
      <c r="BD191" s="936"/>
      <c r="BE191" s="907"/>
      <c r="BF191" s="1002" t="str">
        <f>IF($BC191="","",SUMIF(portfolio.!$A$4:$A623,BC191,portfolio.!$AN$4:$AN623))</f>
        <v/>
      </c>
      <c r="BG191" s="936" t="s">
        <v>123</v>
      </c>
      <c r="BH191" s="907" t="s">
        <v>123</v>
      </c>
      <c r="BI191" s="935" t="s">
        <v>123</v>
      </c>
      <c r="BJ191" s="1003"/>
      <c r="BK191" s="907" t="s">
        <v>123</v>
      </c>
      <c r="BL191" s="907" t="s">
        <v>123</v>
      </c>
      <c r="BM191" s="907" t="s">
        <v>123</v>
      </c>
      <c r="BN191" s="1004" t="s">
        <v>123</v>
      </c>
      <c r="BO191" s="907" t="str">
        <f t="shared" si="6"/>
        <v/>
      </c>
      <c r="BP191" s="907" t="str">
        <f t="shared" si="7"/>
        <v/>
      </c>
      <c r="BQ191" s="907" t="str">
        <f t="shared" si="8"/>
        <v/>
      </c>
      <c r="BR191" s="1004" t="str">
        <f t="shared" si="9"/>
        <v/>
      </c>
      <c r="BS191" s="1005" t="str">
        <f t="shared" si="10"/>
        <v/>
      </c>
      <c r="BT191" s="1006" t="s">
        <v>123</v>
      </c>
      <c r="BU191" s="1002" t="s">
        <v>123</v>
      </c>
      <c r="BV191" s="1006" t="s">
        <v>123</v>
      </c>
      <c r="BW191" s="1007"/>
    </row>
    <row r="192">
      <c r="A192" s="624">
        <v>169.0</v>
      </c>
      <c r="B192" s="1008"/>
      <c r="C192" s="989"/>
      <c r="D192" s="851"/>
      <c r="E192" s="990"/>
      <c r="F192" s="991"/>
      <c r="G192" s="991"/>
      <c r="H192" s="992"/>
      <c r="I192" s="993"/>
      <c r="J192" s="993"/>
      <c r="K192" s="993"/>
      <c r="L192" s="993"/>
      <c r="M192" s="993"/>
      <c r="N192" s="993"/>
      <c r="O192" s="993"/>
      <c r="P192" s="993"/>
      <c r="Q192" s="993"/>
      <c r="R192" s="993"/>
      <c r="S192" s="936"/>
      <c r="T192" s="998"/>
      <c r="U192" s="935"/>
      <c r="V192" s="935"/>
      <c r="W192" s="949" t="str">
        <f>IF(AND($S$20,NOT($U$20)),IF($V192:$V623="","",SUMIF(portfolio.!$A$4:$A623,V192,portfolio.!$AN$4:$AN623)),"")</f>
        <v/>
      </c>
      <c r="X192" s="998"/>
      <c r="Y192" s="936"/>
      <c r="Z192" s="936" t="s">
        <v>123</v>
      </c>
      <c r="AA192" s="936" t="s">
        <v>123</v>
      </c>
      <c r="AB192" s="936" t="s">
        <v>123</v>
      </c>
      <c r="AC192" s="907" t="s">
        <v>123</v>
      </c>
      <c r="AD192" s="999"/>
      <c r="AE192" s="936"/>
      <c r="AF192" s="936"/>
      <c r="AG192" s="936"/>
      <c r="AH192" s="936"/>
      <c r="AI192" s="999"/>
      <c r="AJ192" s="935"/>
      <c r="AK192" s="966"/>
      <c r="AL192" s="949"/>
      <c r="AM192" s="949" t="s">
        <v>123</v>
      </c>
      <c r="AN192" s="949"/>
      <c r="AO192" s="999"/>
      <c r="AP192" s="936"/>
      <c r="AQ192" s="987"/>
      <c r="AR192" s="907"/>
      <c r="AS192" s="907"/>
      <c r="AT192" s="967" t="s">
        <v>123</v>
      </c>
      <c r="AU192" s="967" t="s">
        <v>123</v>
      </c>
      <c r="AV192" s="967" t="s">
        <v>123</v>
      </c>
      <c r="AW192" s="907" t="s">
        <v>123</v>
      </c>
      <c r="AX192" s="907" t="s">
        <v>123</v>
      </c>
      <c r="AY192" s="907" t="s">
        <v>123</v>
      </c>
      <c r="AZ192" s="936" t="s">
        <v>123</v>
      </c>
      <c r="BA192" s="935" t="s">
        <v>123</v>
      </c>
      <c r="BB192" s="1000"/>
      <c r="BC192" s="1001"/>
      <c r="BD192" s="936"/>
      <c r="BE192" s="907"/>
      <c r="BF192" s="1002" t="str">
        <f>IF($BC192="","",SUMIF(portfolio.!$A$4:$A623,BC192,portfolio.!$AN$4:$AN623))</f>
        <v/>
      </c>
      <c r="BG192" s="936" t="s">
        <v>123</v>
      </c>
      <c r="BH192" s="907" t="s">
        <v>123</v>
      </c>
      <c r="BI192" s="935" t="s">
        <v>123</v>
      </c>
      <c r="BJ192" s="1003"/>
      <c r="BK192" s="907" t="s">
        <v>123</v>
      </c>
      <c r="BL192" s="907" t="s">
        <v>123</v>
      </c>
      <c r="BM192" s="907" t="s">
        <v>123</v>
      </c>
      <c r="BN192" s="1004" t="s">
        <v>123</v>
      </c>
      <c r="BO192" s="907" t="str">
        <f t="shared" si="6"/>
        <v/>
      </c>
      <c r="BP192" s="907" t="str">
        <f t="shared" si="7"/>
        <v/>
      </c>
      <c r="BQ192" s="907" t="str">
        <f t="shared" si="8"/>
        <v/>
      </c>
      <c r="BR192" s="1004" t="str">
        <f t="shared" si="9"/>
        <v/>
      </c>
      <c r="BS192" s="1005" t="str">
        <f t="shared" si="10"/>
        <v/>
      </c>
      <c r="BT192" s="1006" t="s">
        <v>123</v>
      </c>
      <c r="BU192" s="1002" t="s">
        <v>123</v>
      </c>
      <c r="BV192" s="1006" t="s">
        <v>123</v>
      </c>
      <c r="BW192" s="1007"/>
    </row>
    <row r="193">
      <c r="A193" s="624">
        <v>170.0</v>
      </c>
      <c r="B193" s="1008"/>
      <c r="C193" s="989"/>
      <c r="D193" s="851"/>
      <c r="E193" s="990"/>
      <c r="F193" s="991"/>
      <c r="G193" s="991"/>
      <c r="H193" s="992"/>
      <c r="I193" s="993"/>
      <c r="J193" s="993"/>
      <c r="K193" s="993"/>
      <c r="L193" s="993"/>
      <c r="M193" s="993"/>
      <c r="N193" s="993"/>
      <c r="O193" s="993"/>
      <c r="P193" s="993"/>
      <c r="Q193" s="993"/>
      <c r="R193" s="993"/>
      <c r="S193" s="936"/>
      <c r="T193" s="998"/>
      <c r="U193" s="935"/>
      <c r="V193" s="935"/>
      <c r="W193" s="949" t="str">
        <f>IF(AND($S$20,NOT($U$20)),IF($V193:$V623="","",SUMIF(portfolio.!$A$4:$A623,V193,portfolio.!$AN$4:$AN623)),"")</f>
        <v/>
      </c>
      <c r="X193" s="998"/>
      <c r="Y193" s="936"/>
      <c r="Z193" s="936" t="s">
        <v>123</v>
      </c>
      <c r="AA193" s="936" t="s">
        <v>123</v>
      </c>
      <c r="AB193" s="936" t="s">
        <v>123</v>
      </c>
      <c r="AC193" s="907" t="s">
        <v>123</v>
      </c>
      <c r="AD193" s="999"/>
      <c r="AE193" s="936"/>
      <c r="AF193" s="936"/>
      <c r="AG193" s="936"/>
      <c r="AH193" s="936"/>
      <c r="AI193" s="999"/>
      <c r="AJ193" s="935"/>
      <c r="AK193" s="966"/>
      <c r="AL193" s="949"/>
      <c r="AM193" s="949" t="s">
        <v>123</v>
      </c>
      <c r="AN193" s="949"/>
      <c r="AO193" s="999"/>
      <c r="AP193" s="936"/>
      <c r="AQ193" s="987"/>
      <c r="AR193" s="907"/>
      <c r="AS193" s="907"/>
      <c r="AT193" s="967" t="s">
        <v>123</v>
      </c>
      <c r="AU193" s="967" t="s">
        <v>123</v>
      </c>
      <c r="AV193" s="967" t="s">
        <v>123</v>
      </c>
      <c r="AW193" s="907" t="s">
        <v>123</v>
      </c>
      <c r="AX193" s="907" t="s">
        <v>123</v>
      </c>
      <c r="AY193" s="907" t="s">
        <v>123</v>
      </c>
      <c r="AZ193" s="936" t="s">
        <v>123</v>
      </c>
      <c r="BA193" s="935" t="s">
        <v>123</v>
      </c>
      <c r="BB193" s="1000"/>
      <c r="BC193" s="1001"/>
      <c r="BD193" s="936"/>
      <c r="BE193" s="907"/>
      <c r="BF193" s="1002" t="str">
        <f>IF($BC193="","",SUMIF(portfolio.!$A$4:$A623,BC193,portfolio.!$AN$4:$AN623))</f>
        <v/>
      </c>
      <c r="BG193" s="936" t="s">
        <v>123</v>
      </c>
      <c r="BH193" s="907" t="s">
        <v>123</v>
      </c>
      <c r="BI193" s="935" t="s">
        <v>123</v>
      </c>
      <c r="BJ193" s="1003"/>
      <c r="BK193" s="907" t="s">
        <v>123</v>
      </c>
      <c r="BL193" s="907" t="s">
        <v>123</v>
      </c>
      <c r="BM193" s="907" t="s">
        <v>123</v>
      </c>
      <c r="BN193" s="1004" t="s">
        <v>123</v>
      </c>
      <c r="BO193" s="907" t="str">
        <f t="shared" si="6"/>
        <v/>
      </c>
      <c r="BP193" s="907" t="str">
        <f t="shared" si="7"/>
        <v/>
      </c>
      <c r="BQ193" s="907" t="str">
        <f t="shared" si="8"/>
        <v/>
      </c>
      <c r="BR193" s="1004" t="str">
        <f t="shared" si="9"/>
        <v/>
      </c>
      <c r="BS193" s="1005" t="str">
        <f t="shared" si="10"/>
        <v/>
      </c>
      <c r="BT193" s="1006" t="s">
        <v>123</v>
      </c>
      <c r="BU193" s="1002" t="s">
        <v>123</v>
      </c>
      <c r="BV193" s="1006" t="s">
        <v>123</v>
      </c>
      <c r="BW193" s="1007"/>
    </row>
    <row r="194">
      <c r="A194" s="624">
        <v>171.0</v>
      </c>
      <c r="B194" s="1008"/>
      <c r="C194" s="989"/>
      <c r="D194" s="851"/>
      <c r="E194" s="990"/>
      <c r="F194" s="991"/>
      <c r="G194" s="991"/>
      <c r="H194" s="992"/>
      <c r="I194" s="993"/>
      <c r="J194" s="993"/>
      <c r="K194" s="993"/>
      <c r="L194" s="993"/>
      <c r="M194" s="993"/>
      <c r="N194" s="993"/>
      <c r="O194" s="993"/>
      <c r="P194" s="993"/>
      <c r="Q194" s="993"/>
      <c r="R194" s="993"/>
      <c r="S194" s="936"/>
      <c r="T194" s="998"/>
      <c r="U194" s="935"/>
      <c r="V194" s="935"/>
      <c r="W194" s="949" t="str">
        <f>IF(AND($S$20,NOT($U$20)),IF($V194:$V623="","",SUMIF(portfolio.!$A$4:$A623,V194,portfolio.!$AN$4:$AN623)),"")</f>
        <v/>
      </c>
      <c r="X194" s="998"/>
      <c r="Y194" s="936"/>
      <c r="Z194" s="936" t="s">
        <v>123</v>
      </c>
      <c r="AA194" s="936" t="s">
        <v>123</v>
      </c>
      <c r="AB194" s="936" t="s">
        <v>123</v>
      </c>
      <c r="AC194" s="907" t="s">
        <v>123</v>
      </c>
      <c r="AD194" s="999"/>
      <c r="AE194" s="936"/>
      <c r="AF194" s="936"/>
      <c r="AG194" s="936"/>
      <c r="AH194" s="936"/>
      <c r="AI194" s="999"/>
      <c r="AJ194" s="935"/>
      <c r="AK194" s="966"/>
      <c r="AL194" s="949"/>
      <c r="AM194" s="949" t="s">
        <v>123</v>
      </c>
      <c r="AN194" s="949"/>
      <c r="AO194" s="999"/>
      <c r="AP194" s="936"/>
      <c r="AQ194" s="987"/>
      <c r="AR194" s="907"/>
      <c r="AS194" s="907"/>
      <c r="AT194" s="967" t="s">
        <v>123</v>
      </c>
      <c r="AU194" s="967" t="s">
        <v>123</v>
      </c>
      <c r="AV194" s="967" t="s">
        <v>123</v>
      </c>
      <c r="AW194" s="907" t="s">
        <v>123</v>
      </c>
      <c r="AX194" s="907" t="s">
        <v>123</v>
      </c>
      <c r="AY194" s="907" t="s">
        <v>123</v>
      </c>
      <c r="AZ194" s="936" t="s">
        <v>123</v>
      </c>
      <c r="BA194" s="935" t="s">
        <v>123</v>
      </c>
      <c r="BB194" s="1000"/>
      <c r="BC194" s="1001"/>
      <c r="BD194" s="936"/>
      <c r="BE194" s="907"/>
      <c r="BF194" s="1002" t="str">
        <f>IF($BC194="","",SUMIF(portfolio.!$A$4:$A623,BC194,portfolio.!$AN$4:$AN623))</f>
        <v/>
      </c>
      <c r="BG194" s="936" t="s">
        <v>123</v>
      </c>
      <c r="BH194" s="907" t="s">
        <v>123</v>
      </c>
      <c r="BI194" s="935" t="s">
        <v>123</v>
      </c>
      <c r="BJ194" s="1003"/>
      <c r="BK194" s="907" t="s">
        <v>123</v>
      </c>
      <c r="BL194" s="907" t="s">
        <v>123</v>
      </c>
      <c r="BM194" s="907" t="s">
        <v>123</v>
      </c>
      <c r="BN194" s="1004" t="s">
        <v>123</v>
      </c>
      <c r="BO194" s="907" t="str">
        <f t="shared" si="6"/>
        <v/>
      </c>
      <c r="BP194" s="907" t="str">
        <f t="shared" si="7"/>
        <v/>
      </c>
      <c r="BQ194" s="907" t="str">
        <f t="shared" si="8"/>
        <v/>
      </c>
      <c r="BR194" s="1004" t="str">
        <f t="shared" si="9"/>
        <v/>
      </c>
      <c r="BS194" s="1005" t="str">
        <f t="shared" si="10"/>
        <v/>
      </c>
      <c r="BT194" s="1006" t="s">
        <v>123</v>
      </c>
      <c r="BU194" s="1002" t="s">
        <v>123</v>
      </c>
      <c r="BV194" s="1006" t="s">
        <v>123</v>
      </c>
      <c r="BW194" s="1007"/>
    </row>
    <row r="195">
      <c r="A195" s="624">
        <v>172.0</v>
      </c>
      <c r="B195" s="1008"/>
      <c r="C195" s="989"/>
      <c r="D195" s="851"/>
      <c r="E195" s="990"/>
      <c r="F195" s="991"/>
      <c r="G195" s="991"/>
      <c r="H195" s="992"/>
      <c r="I195" s="993"/>
      <c r="J195" s="993"/>
      <c r="K195" s="993"/>
      <c r="L195" s="993"/>
      <c r="M195" s="993"/>
      <c r="N195" s="993"/>
      <c r="O195" s="993"/>
      <c r="P195" s="993"/>
      <c r="Q195" s="993"/>
      <c r="R195" s="993"/>
      <c r="S195" s="936"/>
      <c r="T195" s="998"/>
      <c r="U195" s="935"/>
      <c r="V195" s="935"/>
      <c r="W195" s="949" t="str">
        <f>IF(AND($S$20,NOT($U$20)),IF($V195:$V623="","",SUMIF(portfolio.!$A$4:$A623,V195,portfolio.!$AN$4:$AN623)),"")</f>
        <v/>
      </c>
      <c r="X195" s="998"/>
      <c r="Y195" s="936"/>
      <c r="Z195" s="936" t="s">
        <v>123</v>
      </c>
      <c r="AA195" s="936" t="s">
        <v>123</v>
      </c>
      <c r="AB195" s="936" t="s">
        <v>123</v>
      </c>
      <c r="AC195" s="907" t="s">
        <v>123</v>
      </c>
      <c r="AD195" s="999"/>
      <c r="AE195" s="936"/>
      <c r="AF195" s="936"/>
      <c r="AG195" s="936"/>
      <c r="AH195" s="936"/>
      <c r="AI195" s="999"/>
      <c r="AJ195" s="935"/>
      <c r="AK195" s="966"/>
      <c r="AL195" s="949"/>
      <c r="AM195" s="949" t="s">
        <v>123</v>
      </c>
      <c r="AN195" s="949"/>
      <c r="AO195" s="999"/>
      <c r="AP195" s="936"/>
      <c r="AQ195" s="987"/>
      <c r="AR195" s="907"/>
      <c r="AS195" s="907"/>
      <c r="AT195" s="967" t="s">
        <v>123</v>
      </c>
      <c r="AU195" s="967" t="s">
        <v>123</v>
      </c>
      <c r="AV195" s="967" t="s">
        <v>123</v>
      </c>
      <c r="AW195" s="907" t="s">
        <v>123</v>
      </c>
      <c r="AX195" s="907" t="s">
        <v>123</v>
      </c>
      <c r="AY195" s="907" t="s">
        <v>123</v>
      </c>
      <c r="AZ195" s="936" t="s">
        <v>123</v>
      </c>
      <c r="BA195" s="935" t="s">
        <v>123</v>
      </c>
      <c r="BB195" s="1000"/>
      <c r="BC195" s="1001"/>
      <c r="BD195" s="936"/>
      <c r="BE195" s="907"/>
      <c r="BF195" s="1002" t="str">
        <f>IF($BC195="","",SUMIF(portfolio.!$A$4:$A623,BC195,portfolio.!$AN$4:$AN623))</f>
        <v/>
      </c>
      <c r="BG195" s="936" t="s">
        <v>123</v>
      </c>
      <c r="BH195" s="907" t="s">
        <v>123</v>
      </c>
      <c r="BI195" s="935" t="s">
        <v>123</v>
      </c>
      <c r="BJ195" s="1003"/>
      <c r="BK195" s="907" t="s">
        <v>123</v>
      </c>
      <c r="BL195" s="907" t="s">
        <v>123</v>
      </c>
      <c r="BM195" s="907" t="s">
        <v>123</v>
      </c>
      <c r="BN195" s="1004" t="s">
        <v>123</v>
      </c>
      <c r="BO195" s="907" t="str">
        <f t="shared" si="6"/>
        <v/>
      </c>
      <c r="BP195" s="907" t="str">
        <f t="shared" si="7"/>
        <v/>
      </c>
      <c r="BQ195" s="907" t="str">
        <f t="shared" si="8"/>
        <v/>
      </c>
      <c r="BR195" s="1004" t="str">
        <f t="shared" si="9"/>
        <v/>
      </c>
      <c r="BS195" s="1005" t="str">
        <f t="shared" si="10"/>
        <v/>
      </c>
      <c r="BT195" s="1006" t="s">
        <v>123</v>
      </c>
      <c r="BU195" s="1002" t="s">
        <v>123</v>
      </c>
      <c r="BV195" s="1006" t="s">
        <v>123</v>
      </c>
      <c r="BW195" s="1007"/>
    </row>
    <row r="196">
      <c r="A196" s="624">
        <v>173.0</v>
      </c>
      <c r="B196" s="1008"/>
      <c r="C196" s="989"/>
      <c r="D196" s="851"/>
      <c r="E196" s="990"/>
      <c r="F196" s="991"/>
      <c r="G196" s="991"/>
      <c r="H196" s="992"/>
      <c r="I196" s="993"/>
      <c r="J196" s="993"/>
      <c r="K196" s="993"/>
      <c r="L196" s="993"/>
      <c r="M196" s="993"/>
      <c r="N196" s="993"/>
      <c r="O196" s="993"/>
      <c r="P196" s="993"/>
      <c r="Q196" s="993"/>
      <c r="R196" s="993"/>
      <c r="S196" s="936"/>
      <c r="T196" s="998"/>
      <c r="U196" s="935"/>
      <c r="V196" s="935"/>
      <c r="W196" s="949" t="str">
        <f>IF(AND($S$20,NOT($U$20)),IF($V196:$V623="","",SUMIF(portfolio.!$A$4:$A623,V196,portfolio.!$AN$4:$AN623)),"")</f>
        <v/>
      </c>
      <c r="X196" s="998"/>
      <c r="Y196" s="936"/>
      <c r="Z196" s="936" t="s">
        <v>123</v>
      </c>
      <c r="AA196" s="936" t="s">
        <v>123</v>
      </c>
      <c r="AB196" s="936" t="s">
        <v>123</v>
      </c>
      <c r="AC196" s="907" t="s">
        <v>123</v>
      </c>
      <c r="AD196" s="999"/>
      <c r="AE196" s="936"/>
      <c r="AF196" s="936"/>
      <c r="AG196" s="936"/>
      <c r="AH196" s="936"/>
      <c r="AI196" s="999"/>
      <c r="AJ196" s="935"/>
      <c r="AK196" s="966"/>
      <c r="AL196" s="949"/>
      <c r="AM196" s="949" t="s">
        <v>123</v>
      </c>
      <c r="AN196" s="949"/>
      <c r="AO196" s="999"/>
      <c r="AP196" s="936"/>
      <c r="AQ196" s="987"/>
      <c r="AR196" s="907"/>
      <c r="AS196" s="907"/>
      <c r="AT196" s="967" t="s">
        <v>123</v>
      </c>
      <c r="AU196" s="967" t="s">
        <v>123</v>
      </c>
      <c r="AV196" s="967" t="s">
        <v>123</v>
      </c>
      <c r="AW196" s="907" t="s">
        <v>123</v>
      </c>
      <c r="AX196" s="907" t="s">
        <v>123</v>
      </c>
      <c r="AY196" s="907" t="s">
        <v>123</v>
      </c>
      <c r="AZ196" s="936" t="s">
        <v>123</v>
      </c>
      <c r="BA196" s="935" t="s">
        <v>123</v>
      </c>
      <c r="BB196" s="1000"/>
      <c r="BC196" s="1001"/>
      <c r="BD196" s="936"/>
      <c r="BE196" s="907"/>
      <c r="BF196" s="1002" t="str">
        <f>IF($BC196="","",SUMIF(portfolio.!$A$4:$A623,BC196,portfolio.!$AN$4:$AN623))</f>
        <v/>
      </c>
      <c r="BG196" s="936" t="s">
        <v>123</v>
      </c>
      <c r="BH196" s="907" t="s">
        <v>123</v>
      </c>
      <c r="BI196" s="935" t="s">
        <v>123</v>
      </c>
      <c r="BJ196" s="1003"/>
      <c r="BK196" s="907" t="s">
        <v>123</v>
      </c>
      <c r="BL196" s="907" t="s">
        <v>123</v>
      </c>
      <c r="BM196" s="907" t="s">
        <v>123</v>
      </c>
      <c r="BN196" s="1004" t="s">
        <v>123</v>
      </c>
      <c r="BO196" s="907" t="str">
        <f t="shared" si="6"/>
        <v/>
      </c>
      <c r="BP196" s="907" t="str">
        <f t="shared" si="7"/>
        <v/>
      </c>
      <c r="BQ196" s="907" t="str">
        <f t="shared" si="8"/>
        <v/>
      </c>
      <c r="BR196" s="1004" t="str">
        <f t="shared" si="9"/>
        <v/>
      </c>
      <c r="BS196" s="1005" t="str">
        <f t="shared" si="10"/>
        <v/>
      </c>
      <c r="BT196" s="1006" t="s">
        <v>123</v>
      </c>
      <c r="BU196" s="1002" t="s">
        <v>123</v>
      </c>
      <c r="BV196" s="1006" t="s">
        <v>123</v>
      </c>
      <c r="BW196" s="1007"/>
    </row>
    <row r="197">
      <c r="A197" s="624">
        <v>174.0</v>
      </c>
      <c r="B197" s="1008"/>
      <c r="C197" s="989"/>
      <c r="D197" s="851"/>
      <c r="E197" s="990"/>
      <c r="F197" s="991"/>
      <c r="G197" s="991"/>
      <c r="H197" s="992"/>
      <c r="I197" s="993"/>
      <c r="J197" s="993"/>
      <c r="K197" s="993"/>
      <c r="L197" s="993"/>
      <c r="M197" s="993"/>
      <c r="N197" s="993"/>
      <c r="O197" s="993"/>
      <c r="P197" s="993"/>
      <c r="Q197" s="993"/>
      <c r="R197" s="993"/>
      <c r="S197" s="936"/>
      <c r="T197" s="998"/>
      <c r="U197" s="935"/>
      <c r="V197" s="935"/>
      <c r="W197" s="949" t="str">
        <f>IF(AND($S$20,NOT($U$20)),IF($V197:$V623="","",SUMIF(portfolio.!$A$4:$A623,V197,portfolio.!$AN$4:$AN623)),"")</f>
        <v/>
      </c>
      <c r="X197" s="998"/>
      <c r="Y197" s="936"/>
      <c r="Z197" s="936" t="s">
        <v>123</v>
      </c>
      <c r="AA197" s="936" t="s">
        <v>123</v>
      </c>
      <c r="AB197" s="936" t="s">
        <v>123</v>
      </c>
      <c r="AC197" s="907" t="s">
        <v>123</v>
      </c>
      <c r="AD197" s="999"/>
      <c r="AE197" s="936"/>
      <c r="AF197" s="936"/>
      <c r="AG197" s="936"/>
      <c r="AH197" s="936"/>
      <c r="AI197" s="999"/>
      <c r="AJ197" s="935"/>
      <c r="AK197" s="966"/>
      <c r="AL197" s="949"/>
      <c r="AM197" s="949" t="s">
        <v>123</v>
      </c>
      <c r="AN197" s="949"/>
      <c r="AO197" s="999"/>
      <c r="AP197" s="936"/>
      <c r="AQ197" s="987"/>
      <c r="AR197" s="907"/>
      <c r="AS197" s="907"/>
      <c r="AT197" s="967" t="s">
        <v>123</v>
      </c>
      <c r="AU197" s="967" t="s">
        <v>123</v>
      </c>
      <c r="AV197" s="967" t="s">
        <v>123</v>
      </c>
      <c r="AW197" s="907" t="s">
        <v>123</v>
      </c>
      <c r="AX197" s="907" t="s">
        <v>123</v>
      </c>
      <c r="AY197" s="907" t="s">
        <v>123</v>
      </c>
      <c r="AZ197" s="936" t="s">
        <v>123</v>
      </c>
      <c r="BA197" s="935" t="s">
        <v>123</v>
      </c>
      <c r="BB197" s="1000"/>
      <c r="BC197" s="1001"/>
      <c r="BD197" s="936"/>
      <c r="BE197" s="907"/>
      <c r="BF197" s="1002" t="str">
        <f>IF($BC197="","",SUMIF(portfolio.!$A$4:$A623,BC197,portfolio.!$AN$4:$AN623))</f>
        <v/>
      </c>
      <c r="BG197" s="936" t="s">
        <v>123</v>
      </c>
      <c r="BH197" s="907" t="s">
        <v>123</v>
      </c>
      <c r="BI197" s="935" t="s">
        <v>123</v>
      </c>
      <c r="BJ197" s="1003"/>
      <c r="BK197" s="907" t="s">
        <v>123</v>
      </c>
      <c r="BL197" s="907" t="s">
        <v>123</v>
      </c>
      <c r="BM197" s="907" t="s">
        <v>123</v>
      </c>
      <c r="BN197" s="1004" t="s">
        <v>123</v>
      </c>
      <c r="BO197" s="907" t="str">
        <f t="shared" si="6"/>
        <v/>
      </c>
      <c r="BP197" s="907" t="str">
        <f t="shared" si="7"/>
        <v/>
      </c>
      <c r="BQ197" s="907" t="str">
        <f t="shared" si="8"/>
        <v/>
      </c>
      <c r="BR197" s="1004" t="str">
        <f t="shared" si="9"/>
        <v/>
      </c>
      <c r="BS197" s="1005" t="str">
        <f t="shared" si="10"/>
        <v/>
      </c>
      <c r="BT197" s="1006" t="s">
        <v>123</v>
      </c>
      <c r="BU197" s="1002" t="s">
        <v>123</v>
      </c>
      <c r="BV197" s="1006" t="s">
        <v>123</v>
      </c>
      <c r="BW197" s="1007"/>
    </row>
    <row r="198">
      <c r="A198" s="624">
        <v>175.0</v>
      </c>
      <c r="B198" s="1008"/>
      <c r="C198" s="989"/>
      <c r="D198" s="851"/>
      <c r="E198" s="990"/>
      <c r="F198" s="991"/>
      <c r="G198" s="991"/>
      <c r="H198" s="992"/>
      <c r="I198" s="993"/>
      <c r="J198" s="993"/>
      <c r="K198" s="993"/>
      <c r="L198" s="993"/>
      <c r="M198" s="993"/>
      <c r="N198" s="993"/>
      <c r="O198" s="993"/>
      <c r="P198" s="993"/>
      <c r="Q198" s="993"/>
      <c r="R198" s="993"/>
      <c r="S198" s="936"/>
      <c r="T198" s="998"/>
      <c r="U198" s="935"/>
      <c r="V198" s="935"/>
      <c r="W198" s="949" t="str">
        <f>IF(AND($S$20,NOT($U$20)),IF($V198:$V623="","",SUMIF(portfolio.!$A$4:$A623,V198,portfolio.!$AN$4:$AN623)),"")</f>
        <v/>
      </c>
      <c r="X198" s="998"/>
      <c r="Y198" s="936"/>
      <c r="Z198" s="936" t="s">
        <v>123</v>
      </c>
      <c r="AA198" s="936" t="s">
        <v>123</v>
      </c>
      <c r="AB198" s="936" t="s">
        <v>123</v>
      </c>
      <c r="AC198" s="907" t="s">
        <v>123</v>
      </c>
      <c r="AD198" s="999"/>
      <c r="AE198" s="936"/>
      <c r="AF198" s="936"/>
      <c r="AG198" s="936"/>
      <c r="AH198" s="936"/>
      <c r="AI198" s="999"/>
      <c r="AJ198" s="935"/>
      <c r="AK198" s="966"/>
      <c r="AL198" s="949"/>
      <c r="AM198" s="949" t="s">
        <v>123</v>
      </c>
      <c r="AN198" s="949"/>
      <c r="AO198" s="999"/>
      <c r="AP198" s="936"/>
      <c r="AQ198" s="987"/>
      <c r="AR198" s="907"/>
      <c r="AS198" s="907"/>
      <c r="AT198" s="967" t="s">
        <v>123</v>
      </c>
      <c r="AU198" s="967" t="s">
        <v>123</v>
      </c>
      <c r="AV198" s="967" t="s">
        <v>123</v>
      </c>
      <c r="AW198" s="907" t="s">
        <v>123</v>
      </c>
      <c r="AX198" s="907" t="s">
        <v>123</v>
      </c>
      <c r="AY198" s="907" t="s">
        <v>123</v>
      </c>
      <c r="AZ198" s="936" t="s">
        <v>123</v>
      </c>
      <c r="BA198" s="935" t="s">
        <v>123</v>
      </c>
      <c r="BB198" s="1000"/>
      <c r="BC198" s="1001"/>
      <c r="BD198" s="936"/>
      <c r="BE198" s="907"/>
      <c r="BF198" s="1002" t="str">
        <f>IF($BC198="","",SUMIF(portfolio.!$A$4:$A623,BC198,portfolio.!$AN$4:$AN623))</f>
        <v/>
      </c>
      <c r="BG198" s="936" t="s">
        <v>123</v>
      </c>
      <c r="BH198" s="907" t="s">
        <v>123</v>
      </c>
      <c r="BI198" s="935" t="s">
        <v>123</v>
      </c>
      <c r="BJ198" s="1003"/>
      <c r="BK198" s="907" t="s">
        <v>123</v>
      </c>
      <c r="BL198" s="907" t="s">
        <v>123</v>
      </c>
      <c r="BM198" s="907" t="s">
        <v>123</v>
      </c>
      <c r="BN198" s="1004" t="s">
        <v>123</v>
      </c>
      <c r="BO198" s="907" t="str">
        <f t="shared" si="6"/>
        <v/>
      </c>
      <c r="BP198" s="907" t="str">
        <f t="shared" si="7"/>
        <v/>
      </c>
      <c r="BQ198" s="907" t="str">
        <f t="shared" si="8"/>
        <v/>
      </c>
      <c r="BR198" s="1004" t="str">
        <f t="shared" si="9"/>
        <v/>
      </c>
      <c r="BS198" s="1005" t="str">
        <f t="shared" si="10"/>
        <v/>
      </c>
      <c r="BT198" s="1006" t="s">
        <v>123</v>
      </c>
      <c r="BU198" s="1002" t="s">
        <v>123</v>
      </c>
      <c r="BV198" s="1006" t="s">
        <v>123</v>
      </c>
      <c r="BW198" s="1007"/>
    </row>
    <row r="199">
      <c r="A199" s="624">
        <v>176.0</v>
      </c>
      <c r="B199" s="1008"/>
      <c r="C199" s="989"/>
      <c r="D199" s="851"/>
      <c r="E199" s="990"/>
      <c r="F199" s="991"/>
      <c r="G199" s="991"/>
      <c r="H199" s="992"/>
      <c r="I199" s="993"/>
      <c r="J199" s="993"/>
      <c r="K199" s="993"/>
      <c r="L199" s="993"/>
      <c r="M199" s="993"/>
      <c r="N199" s="993"/>
      <c r="O199" s="993"/>
      <c r="P199" s="993"/>
      <c r="Q199" s="993"/>
      <c r="R199" s="993"/>
      <c r="S199" s="936"/>
      <c r="T199" s="998"/>
      <c r="U199" s="935"/>
      <c r="V199" s="935"/>
      <c r="W199" s="949" t="str">
        <f>IF(AND($S$20,NOT($U$20)),IF($V199:$V623="","",SUMIF(portfolio.!$A$4:$A623,V199,portfolio.!$AN$4:$AN623)),"")</f>
        <v/>
      </c>
      <c r="X199" s="998"/>
      <c r="Y199" s="936"/>
      <c r="Z199" s="936" t="s">
        <v>123</v>
      </c>
      <c r="AA199" s="936" t="s">
        <v>123</v>
      </c>
      <c r="AB199" s="936" t="s">
        <v>123</v>
      </c>
      <c r="AC199" s="907" t="s">
        <v>123</v>
      </c>
      <c r="AD199" s="999"/>
      <c r="AE199" s="936"/>
      <c r="AF199" s="936"/>
      <c r="AG199" s="936"/>
      <c r="AH199" s="936"/>
      <c r="AI199" s="999"/>
      <c r="AJ199" s="935"/>
      <c r="AK199" s="966"/>
      <c r="AL199" s="949"/>
      <c r="AM199" s="949" t="s">
        <v>123</v>
      </c>
      <c r="AN199" s="949"/>
      <c r="AO199" s="999"/>
      <c r="AP199" s="936"/>
      <c r="AQ199" s="987"/>
      <c r="AR199" s="907"/>
      <c r="AS199" s="907"/>
      <c r="AT199" s="967" t="s">
        <v>123</v>
      </c>
      <c r="AU199" s="967" t="s">
        <v>123</v>
      </c>
      <c r="AV199" s="967" t="s">
        <v>123</v>
      </c>
      <c r="AW199" s="907" t="s">
        <v>123</v>
      </c>
      <c r="AX199" s="907" t="s">
        <v>123</v>
      </c>
      <c r="AY199" s="907" t="s">
        <v>123</v>
      </c>
      <c r="AZ199" s="936" t="s">
        <v>123</v>
      </c>
      <c r="BA199" s="935" t="s">
        <v>123</v>
      </c>
      <c r="BB199" s="1000"/>
      <c r="BC199" s="1001"/>
      <c r="BD199" s="936"/>
      <c r="BE199" s="907"/>
      <c r="BF199" s="1002" t="str">
        <f>IF($BC199="","",SUMIF(portfolio.!$A$4:$A623,BC199,portfolio.!$AN$4:$AN623))</f>
        <v/>
      </c>
      <c r="BG199" s="936" t="s">
        <v>123</v>
      </c>
      <c r="BH199" s="907" t="s">
        <v>123</v>
      </c>
      <c r="BI199" s="935" t="s">
        <v>123</v>
      </c>
      <c r="BJ199" s="1003"/>
      <c r="BK199" s="907" t="s">
        <v>123</v>
      </c>
      <c r="BL199" s="907" t="s">
        <v>123</v>
      </c>
      <c r="BM199" s="907" t="s">
        <v>123</v>
      </c>
      <c r="BN199" s="1004" t="s">
        <v>123</v>
      </c>
      <c r="BO199" s="907" t="str">
        <f t="shared" si="6"/>
        <v/>
      </c>
      <c r="BP199" s="907" t="str">
        <f t="shared" si="7"/>
        <v/>
      </c>
      <c r="BQ199" s="907" t="str">
        <f t="shared" si="8"/>
        <v/>
      </c>
      <c r="BR199" s="1004" t="str">
        <f t="shared" si="9"/>
        <v/>
      </c>
      <c r="BS199" s="1005" t="str">
        <f t="shared" si="10"/>
        <v/>
      </c>
      <c r="BT199" s="1006" t="s">
        <v>123</v>
      </c>
      <c r="BU199" s="1002" t="s">
        <v>123</v>
      </c>
      <c r="BV199" s="1006" t="s">
        <v>123</v>
      </c>
      <c r="BW199" s="1007"/>
    </row>
    <row r="200">
      <c r="A200" s="624">
        <v>177.0</v>
      </c>
      <c r="B200" s="1008"/>
      <c r="C200" s="989"/>
      <c r="D200" s="851"/>
      <c r="E200" s="990"/>
      <c r="F200" s="991"/>
      <c r="G200" s="991"/>
      <c r="H200" s="992"/>
      <c r="I200" s="993"/>
      <c r="J200" s="993"/>
      <c r="K200" s="993"/>
      <c r="L200" s="993"/>
      <c r="M200" s="993"/>
      <c r="N200" s="993"/>
      <c r="O200" s="993"/>
      <c r="P200" s="993"/>
      <c r="Q200" s="993"/>
      <c r="R200" s="993"/>
      <c r="S200" s="936"/>
      <c r="T200" s="998"/>
      <c r="U200" s="935"/>
      <c r="V200" s="935"/>
      <c r="W200" s="949" t="str">
        <f>IF(AND($S$20,NOT($U$20)),IF($V200:$V623="","",SUMIF(portfolio.!$A$4:$A623,V200,portfolio.!$AN$4:$AN623)),"")</f>
        <v/>
      </c>
      <c r="X200" s="998"/>
      <c r="Y200" s="936"/>
      <c r="Z200" s="936" t="s">
        <v>123</v>
      </c>
      <c r="AA200" s="936" t="s">
        <v>123</v>
      </c>
      <c r="AB200" s="936" t="s">
        <v>123</v>
      </c>
      <c r="AC200" s="907" t="s">
        <v>123</v>
      </c>
      <c r="AD200" s="999"/>
      <c r="AE200" s="936"/>
      <c r="AF200" s="936"/>
      <c r="AG200" s="936"/>
      <c r="AH200" s="936"/>
      <c r="AI200" s="999"/>
      <c r="AJ200" s="935"/>
      <c r="AK200" s="966"/>
      <c r="AL200" s="949"/>
      <c r="AM200" s="949" t="s">
        <v>123</v>
      </c>
      <c r="AN200" s="949"/>
      <c r="AO200" s="999"/>
      <c r="AP200" s="936"/>
      <c r="AQ200" s="987"/>
      <c r="AR200" s="907"/>
      <c r="AS200" s="907"/>
      <c r="AT200" s="967" t="s">
        <v>123</v>
      </c>
      <c r="AU200" s="967" t="s">
        <v>123</v>
      </c>
      <c r="AV200" s="967" t="s">
        <v>123</v>
      </c>
      <c r="AW200" s="907" t="s">
        <v>123</v>
      </c>
      <c r="AX200" s="907" t="s">
        <v>123</v>
      </c>
      <c r="AY200" s="907" t="s">
        <v>123</v>
      </c>
      <c r="AZ200" s="936" t="s">
        <v>123</v>
      </c>
      <c r="BA200" s="935" t="s">
        <v>123</v>
      </c>
      <c r="BB200" s="1000"/>
      <c r="BC200" s="1001"/>
      <c r="BD200" s="936"/>
      <c r="BE200" s="907"/>
      <c r="BF200" s="1002" t="str">
        <f>IF($BC200="","",SUMIF(portfolio.!$A$4:$A623,BC200,portfolio.!$AN$4:$AN623))</f>
        <v/>
      </c>
      <c r="BG200" s="936" t="s">
        <v>123</v>
      </c>
      <c r="BH200" s="907" t="s">
        <v>123</v>
      </c>
      <c r="BI200" s="935" t="s">
        <v>123</v>
      </c>
      <c r="BJ200" s="1003"/>
      <c r="BK200" s="907" t="s">
        <v>123</v>
      </c>
      <c r="BL200" s="907" t="s">
        <v>123</v>
      </c>
      <c r="BM200" s="907" t="s">
        <v>123</v>
      </c>
      <c r="BN200" s="1004" t="s">
        <v>123</v>
      </c>
      <c r="BO200" s="907" t="str">
        <f t="shared" si="6"/>
        <v/>
      </c>
      <c r="BP200" s="907" t="str">
        <f t="shared" si="7"/>
        <v/>
      </c>
      <c r="BQ200" s="907" t="str">
        <f t="shared" si="8"/>
        <v/>
      </c>
      <c r="BR200" s="1004" t="str">
        <f t="shared" si="9"/>
        <v/>
      </c>
      <c r="BS200" s="1005" t="str">
        <f t="shared" si="10"/>
        <v/>
      </c>
      <c r="BT200" s="1006" t="s">
        <v>123</v>
      </c>
      <c r="BU200" s="1002" t="s">
        <v>123</v>
      </c>
      <c r="BV200" s="1006" t="s">
        <v>123</v>
      </c>
      <c r="BW200" s="1007"/>
    </row>
    <row r="201">
      <c r="A201" s="624">
        <v>178.0</v>
      </c>
      <c r="B201" s="1008"/>
      <c r="C201" s="989"/>
      <c r="D201" s="851"/>
      <c r="E201" s="990"/>
      <c r="F201" s="991"/>
      <c r="G201" s="991"/>
      <c r="H201" s="992"/>
      <c r="I201" s="993"/>
      <c r="J201" s="993"/>
      <c r="K201" s="993"/>
      <c r="L201" s="993"/>
      <c r="M201" s="993"/>
      <c r="N201" s="993"/>
      <c r="O201" s="993"/>
      <c r="P201" s="993"/>
      <c r="Q201" s="993"/>
      <c r="R201" s="993"/>
      <c r="S201" s="936"/>
      <c r="T201" s="998"/>
      <c r="U201" s="935"/>
      <c r="V201" s="935"/>
      <c r="W201" s="949" t="str">
        <f>IF(AND($S$20,NOT($U$20)),IF($V201:$V623="","",SUMIF(portfolio.!$A$4:$A623,V201,portfolio.!$AN$4:$AN623)),"")</f>
        <v/>
      </c>
      <c r="X201" s="998"/>
      <c r="Y201" s="936"/>
      <c r="Z201" s="936" t="s">
        <v>123</v>
      </c>
      <c r="AA201" s="936" t="s">
        <v>123</v>
      </c>
      <c r="AB201" s="936" t="s">
        <v>123</v>
      </c>
      <c r="AC201" s="907" t="s">
        <v>123</v>
      </c>
      <c r="AD201" s="999"/>
      <c r="AE201" s="936"/>
      <c r="AF201" s="936"/>
      <c r="AG201" s="936"/>
      <c r="AH201" s="936"/>
      <c r="AI201" s="999"/>
      <c r="AJ201" s="935"/>
      <c r="AK201" s="966"/>
      <c r="AL201" s="949"/>
      <c r="AM201" s="949" t="s">
        <v>123</v>
      </c>
      <c r="AN201" s="949"/>
      <c r="AO201" s="999"/>
      <c r="AP201" s="936"/>
      <c r="AQ201" s="987"/>
      <c r="AR201" s="907"/>
      <c r="AS201" s="907"/>
      <c r="AT201" s="967" t="s">
        <v>123</v>
      </c>
      <c r="AU201" s="967" t="s">
        <v>123</v>
      </c>
      <c r="AV201" s="967" t="s">
        <v>123</v>
      </c>
      <c r="AW201" s="907" t="s">
        <v>123</v>
      </c>
      <c r="AX201" s="907" t="s">
        <v>123</v>
      </c>
      <c r="AY201" s="907" t="s">
        <v>123</v>
      </c>
      <c r="AZ201" s="936" t="s">
        <v>123</v>
      </c>
      <c r="BA201" s="935" t="s">
        <v>123</v>
      </c>
      <c r="BB201" s="1000"/>
      <c r="BC201" s="1001"/>
      <c r="BD201" s="936"/>
      <c r="BE201" s="907"/>
      <c r="BF201" s="1002" t="str">
        <f>IF($BC201="","",SUMIF(portfolio.!$A$4:$A623,BC201,portfolio.!$AN$4:$AN623))</f>
        <v/>
      </c>
      <c r="BG201" s="936" t="s">
        <v>123</v>
      </c>
      <c r="BH201" s="907" t="s">
        <v>123</v>
      </c>
      <c r="BI201" s="935" t="s">
        <v>123</v>
      </c>
      <c r="BJ201" s="1003"/>
      <c r="BK201" s="907" t="s">
        <v>123</v>
      </c>
      <c r="BL201" s="907" t="s">
        <v>123</v>
      </c>
      <c r="BM201" s="907" t="s">
        <v>123</v>
      </c>
      <c r="BN201" s="1004" t="s">
        <v>123</v>
      </c>
      <c r="BO201" s="907" t="str">
        <f t="shared" si="6"/>
        <v/>
      </c>
      <c r="BP201" s="907" t="str">
        <f t="shared" si="7"/>
        <v/>
      </c>
      <c r="BQ201" s="907" t="str">
        <f t="shared" si="8"/>
        <v/>
      </c>
      <c r="BR201" s="1004" t="str">
        <f t="shared" si="9"/>
        <v/>
      </c>
      <c r="BS201" s="1005" t="str">
        <f t="shared" si="10"/>
        <v/>
      </c>
      <c r="BT201" s="1006" t="s">
        <v>123</v>
      </c>
      <c r="BU201" s="1002" t="s">
        <v>123</v>
      </c>
      <c r="BV201" s="1006" t="s">
        <v>123</v>
      </c>
      <c r="BW201" s="1007"/>
    </row>
    <row r="202">
      <c r="A202" s="624">
        <v>179.0</v>
      </c>
      <c r="B202" s="1008"/>
      <c r="C202" s="989"/>
      <c r="D202" s="851"/>
      <c r="E202" s="990"/>
      <c r="F202" s="991"/>
      <c r="G202" s="991"/>
      <c r="H202" s="992"/>
      <c r="I202" s="993"/>
      <c r="J202" s="993"/>
      <c r="K202" s="993"/>
      <c r="L202" s="993"/>
      <c r="M202" s="993"/>
      <c r="N202" s="993"/>
      <c r="O202" s="993"/>
      <c r="P202" s="993"/>
      <c r="Q202" s="993"/>
      <c r="R202" s="993"/>
      <c r="S202" s="936"/>
      <c r="T202" s="998"/>
      <c r="U202" s="935"/>
      <c r="V202" s="935"/>
      <c r="W202" s="949" t="str">
        <f>IF(AND($S$20,NOT($U$20)),IF($V202:$V623="","",SUMIF(portfolio.!$A$4:$A623,V202,portfolio.!$AN$4:$AN623)),"")</f>
        <v/>
      </c>
      <c r="X202" s="998"/>
      <c r="Y202" s="936"/>
      <c r="Z202" s="936" t="s">
        <v>123</v>
      </c>
      <c r="AA202" s="936" t="s">
        <v>123</v>
      </c>
      <c r="AB202" s="936" t="s">
        <v>123</v>
      </c>
      <c r="AC202" s="907" t="s">
        <v>123</v>
      </c>
      <c r="AD202" s="999"/>
      <c r="AE202" s="936"/>
      <c r="AF202" s="936"/>
      <c r="AG202" s="936"/>
      <c r="AH202" s="936"/>
      <c r="AI202" s="999"/>
      <c r="AJ202" s="935"/>
      <c r="AK202" s="966"/>
      <c r="AL202" s="949"/>
      <c r="AM202" s="949" t="s">
        <v>123</v>
      </c>
      <c r="AN202" s="949"/>
      <c r="AO202" s="999"/>
      <c r="AP202" s="936"/>
      <c r="AQ202" s="987"/>
      <c r="AR202" s="907"/>
      <c r="AS202" s="907"/>
      <c r="AT202" s="967" t="s">
        <v>123</v>
      </c>
      <c r="AU202" s="967" t="s">
        <v>123</v>
      </c>
      <c r="AV202" s="967" t="s">
        <v>123</v>
      </c>
      <c r="AW202" s="907" t="s">
        <v>123</v>
      </c>
      <c r="AX202" s="907" t="s">
        <v>123</v>
      </c>
      <c r="AY202" s="907" t="s">
        <v>123</v>
      </c>
      <c r="AZ202" s="936" t="s">
        <v>123</v>
      </c>
      <c r="BA202" s="935" t="s">
        <v>123</v>
      </c>
      <c r="BB202" s="1000"/>
      <c r="BC202" s="1001"/>
      <c r="BD202" s="936"/>
      <c r="BE202" s="907"/>
      <c r="BF202" s="1002" t="str">
        <f>IF($BC202="","",SUMIF(portfolio.!$A$4:$A623,BC202,portfolio.!$AN$4:$AN623))</f>
        <v/>
      </c>
      <c r="BG202" s="936" t="s">
        <v>123</v>
      </c>
      <c r="BH202" s="907" t="s">
        <v>123</v>
      </c>
      <c r="BI202" s="935" t="s">
        <v>123</v>
      </c>
      <c r="BJ202" s="1003"/>
      <c r="BK202" s="907" t="s">
        <v>123</v>
      </c>
      <c r="BL202" s="907" t="s">
        <v>123</v>
      </c>
      <c r="BM202" s="907" t="s">
        <v>123</v>
      </c>
      <c r="BN202" s="1004" t="s">
        <v>123</v>
      </c>
      <c r="BO202" s="907" t="str">
        <f t="shared" si="6"/>
        <v/>
      </c>
      <c r="BP202" s="907" t="str">
        <f t="shared" si="7"/>
        <v/>
      </c>
      <c r="BQ202" s="907" t="str">
        <f t="shared" si="8"/>
        <v/>
      </c>
      <c r="BR202" s="1004" t="str">
        <f t="shared" si="9"/>
        <v/>
      </c>
      <c r="BS202" s="1005" t="str">
        <f t="shared" si="10"/>
        <v/>
      </c>
      <c r="BT202" s="1006" t="s">
        <v>123</v>
      </c>
      <c r="BU202" s="1002" t="s">
        <v>123</v>
      </c>
      <c r="BV202" s="1006" t="s">
        <v>123</v>
      </c>
      <c r="BW202" s="1007"/>
    </row>
    <row r="203">
      <c r="A203" s="624">
        <v>180.0</v>
      </c>
      <c r="B203" s="1008"/>
      <c r="C203" s="989"/>
      <c r="D203" s="851"/>
      <c r="E203" s="990"/>
      <c r="F203" s="991"/>
      <c r="G203" s="991"/>
      <c r="H203" s="992"/>
      <c r="I203" s="993"/>
      <c r="J203" s="993"/>
      <c r="K203" s="993"/>
      <c r="L203" s="993"/>
      <c r="M203" s="993"/>
      <c r="N203" s="993"/>
      <c r="O203" s="993"/>
      <c r="P203" s="993"/>
      <c r="Q203" s="993"/>
      <c r="R203" s="993"/>
      <c r="S203" s="936"/>
      <c r="T203" s="998"/>
      <c r="U203" s="935"/>
      <c r="V203" s="935"/>
      <c r="W203" s="949" t="str">
        <f>IF(AND($S$20,NOT($U$20)),IF($V203:$V623="","",SUMIF(portfolio.!$A$4:$A623,V203,portfolio.!$AN$4:$AN623)),"")</f>
        <v/>
      </c>
      <c r="X203" s="998"/>
      <c r="Y203" s="936"/>
      <c r="Z203" s="936" t="s">
        <v>123</v>
      </c>
      <c r="AA203" s="936" t="s">
        <v>123</v>
      </c>
      <c r="AB203" s="936" t="s">
        <v>123</v>
      </c>
      <c r="AC203" s="907" t="s">
        <v>123</v>
      </c>
      <c r="AD203" s="999"/>
      <c r="AE203" s="936"/>
      <c r="AF203" s="936"/>
      <c r="AG203" s="936"/>
      <c r="AH203" s="936"/>
      <c r="AI203" s="999"/>
      <c r="AJ203" s="935"/>
      <c r="AK203" s="966"/>
      <c r="AL203" s="949"/>
      <c r="AM203" s="949" t="s">
        <v>123</v>
      </c>
      <c r="AN203" s="949"/>
      <c r="AO203" s="999"/>
      <c r="AP203" s="936"/>
      <c r="AQ203" s="987"/>
      <c r="AR203" s="907"/>
      <c r="AS203" s="907"/>
      <c r="AT203" s="967" t="s">
        <v>123</v>
      </c>
      <c r="AU203" s="967" t="s">
        <v>123</v>
      </c>
      <c r="AV203" s="967" t="s">
        <v>123</v>
      </c>
      <c r="AW203" s="907" t="s">
        <v>123</v>
      </c>
      <c r="AX203" s="907" t="s">
        <v>123</v>
      </c>
      <c r="AY203" s="907" t="s">
        <v>123</v>
      </c>
      <c r="AZ203" s="936" t="s">
        <v>123</v>
      </c>
      <c r="BA203" s="935" t="s">
        <v>123</v>
      </c>
      <c r="BB203" s="1000"/>
      <c r="BC203" s="1001"/>
      <c r="BD203" s="936"/>
      <c r="BE203" s="907"/>
      <c r="BF203" s="1002" t="str">
        <f>IF($BC203="","",SUMIF(portfolio.!$A$4:$A623,BC203,portfolio.!$AN$4:$AN623))</f>
        <v/>
      </c>
      <c r="BG203" s="936" t="s">
        <v>123</v>
      </c>
      <c r="BH203" s="907" t="s">
        <v>123</v>
      </c>
      <c r="BI203" s="935" t="s">
        <v>123</v>
      </c>
      <c r="BJ203" s="1003"/>
      <c r="BK203" s="907" t="s">
        <v>123</v>
      </c>
      <c r="BL203" s="907" t="s">
        <v>123</v>
      </c>
      <c r="BM203" s="907" t="s">
        <v>123</v>
      </c>
      <c r="BN203" s="1004" t="s">
        <v>123</v>
      </c>
      <c r="BO203" s="907" t="str">
        <f t="shared" si="6"/>
        <v/>
      </c>
      <c r="BP203" s="907" t="str">
        <f t="shared" si="7"/>
        <v/>
      </c>
      <c r="BQ203" s="907" t="str">
        <f t="shared" si="8"/>
        <v/>
      </c>
      <c r="BR203" s="1004" t="str">
        <f t="shared" si="9"/>
        <v/>
      </c>
      <c r="BS203" s="1005" t="str">
        <f t="shared" si="10"/>
        <v/>
      </c>
      <c r="BT203" s="1006" t="s">
        <v>123</v>
      </c>
      <c r="BU203" s="1002" t="s">
        <v>123</v>
      </c>
      <c r="BV203" s="1006" t="s">
        <v>123</v>
      </c>
      <c r="BW203" s="1007"/>
    </row>
    <row r="204">
      <c r="A204" s="624">
        <v>181.0</v>
      </c>
      <c r="B204" s="1008"/>
      <c r="C204" s="989"/>
      <c r="D204" s="851"/>
      <c r="E204" s="990"/>
      <c r="F204" s="991"/>
      <c r="G204" s="991"/>
      <c r="H204" s="992"/>
      <c r="I204" s="993"/>
      <c r="J204" s="993"/>
      <c r="K204" s="993"/>
      <c r="L204" s="993"/>
      <c r="M204" s="993"/>
      <c r="N204" s="993"/>
      <c r="O204" s="993"/>
      <c r="P204" s="993"/>
      <c r="Q204" s="993"/>
      <c r="R204" s="993"/>
      <c r="S204" s="936"/>
      <c r="T204" s="998"/>
      <c r="U204" s="935"/>
      <c r="V204" s="935"/>
      <c r="W204" s="949" t="str">
        <f>IF(AND($S$20,NOT($U$20)),IF($V204:$V623="","",SUMIF(portfolio.!$A$4:$A623,V204,portfolio.!$AN$4:$AN623)),"")</f>
        <v/>
      </c>
      <c r="X204" s="998"/>
      <c r="Y204" s="936"/>
      <c r="Z204" s="936" t="s">
        <v>123</v>
      </c>
      <c r="AA204" s="936" t="s">
        <v>123</v>
      </c>
      <c r="AB204" s="936" t="s">
        <v>123</v>
      </c>
      <c r="AC204" s="907" t="s">
        <v>123</v>
      </c>
      <c r="AD204" s="999"/>
      <c r="AE204" s="936"/>
      <c r="AF204" s="936"/>
      <c r="AG204" s="936"/>
      <c r="AH204" s="936"/>
      <c r="AI204" s="999"/>
      <c r="AJ204" s="935"/>
      <c r="AK204" s="966"/>
      <c r="AL204" s="949"/>
      <c r="AM204" s="949" t="s">
        <v>123</v>
      </c>
      <c r="AN204" s="949"/>
      <c r="AO204" s="999"/>
      <c r="AP204" s="936"/>
      <c r="AQ204" s="987"/>
      <c r="AR204" s="907"/>
      <c r="AS204" s="907"/>
      <c r="AT204" s="967" t="s">
        <v>123</v>
      </c>
      <c r="AU204" s="967" t="s">
        <v>123</v>
      </c>
      <c r="AV204" s="967" t="s">
        <v>123</v>
      </c>
      <c r="AW204" s="907" t="s">
        <v>123</v>
      </c>
      <c r="AX204" s="907" t="s">
        <v>123</v>
      </c>
      <c r="AY204" s="907" t="s">
        <v>123</v>
      </c>
      <c r="AZ204" s="936" t="s">
        <v>123</v>
      </c>
      <c r="BA204" s="935" t="s">
        <v>123</v>
      </c>
      <c r="BB204" s="1000"/>
      <c r="BC204" s="1001"/>
      <c r="BD204" s="936"/>
      <c r="BE204" s="907"/>
      <c r="BF204" s="1002" t="str">
        <f>IF($BC204="","",SUMIF(portfolio.!$A$4:$A623,BC204,portfolio.!$AN$4:$AN623))</f>
        <v/>
      </c>
      <c r="BG204" s="936" t="s">
        <v>123</v>
      </c>
      <c r="BH204" s="907" t="s">
        <v>123</v>
      </c>
      <c r="BI204" s="935" t="s">
        <v>123</v>
      </c>
      <c r="BJ204" s="1003"/>
      <c r="BK204" s="907" t="s">
        <v>123</v>
      </c>
      <c r="BL204" s="907" t="s">
        <v>123</v>
      </c>
      <c r="BM204" s="907" t="s">
        <v>123</v>
      </c>
      <c r="BN204" s="1004" t="s">
        <v>123</v>
      </c>
      <c r="BO204" s="907" t="str">
        <f t="shared" si="6"/>
        <v/>
      </c>
      <c r="BP204" s="907" t="str">
        <f t="shared" si="7"/>
        <v/>
      </c>
      <c r="BQ204" s="907" t="str">
        <f t="shared" si="8"/>
        <v/>
      </c>
      <c r="BR204" s="1004" t="str">
        <f t="shared" si="9"/>
        <v/>
      </c>
      <c r="BS204" s="1005" t="str">
        <f t="shared" si="10"/>
        <v/>
      </c>
      <c r="BT204" s="1006" t="s">
        <v>123</v>
      </c>
      <c r="BU204" s="1002" t="s">
        <v>123</v>
      </c>
      <c r="BV204" s="1006" t="s">
        <v>123</v>
      </c>
      <c r="BW204" s="1007"/>
    </row>
    <row r="205">
      <c r="A205" s="624">
        <v>182.0</v>
      </c>
      <c r="B205" s="1008"/>
      <c r="C205" s="989"/>
      <c r="D205" s="851"/>
      <c r="E205" s="990"/>
      <c r="F205" s="991"/>
      <c r="G205" s="991"/>
      <c r="H205" s="992"/>
      <c r="I205" s="993"/>
      <c r="J205" s="993"/>
      <c r="K205" s="993"/>
      <c r="L205" s="993"/>
      <c r="M205" s="993"/>
      <c r="N205" s="993"/>
      <c r="O205" s="993"/>
      <c r="P205" s="993"/>
      <c r="Q205" s="993"/>
      <c r="R205" s="993"/>
      <c r="S205" s="936"/>
      <c r="T205" s="998"/>
      <c r="U205" s="935"/>
      <c r="V205" s="935"/>
      <c r="W205" s="949" t="str">
        <f>IF(AND($S$20,NOT($U$20)),IF($V205:$V623="","",SUMIF(portfolio.!$A$4:$A623,V205,portfolio.!$AN$4:$AN623)),"")</f>
        <v/>
      </c>
      <c r="X205" s="998"/>
      <c r="Y205" s="936"/>
      <c r="Z205" s="936" t="s">
        <v>123</v>
      </c>
      <c r="AA205" s="936" t="s">
        <v>123</v>
      </c>
      <c r="AB205" s="936" t="s">
        <v>123</v>
      </c>
      <c r="AC205" s="907" t="s">
        <v>123</v>
      </c>
      <c r="AD205" s="999"/>
      <c r="AE205" s="936"/>
      <c r="AF205" s="936"/>
      <c r="AG205" s="936"/>
      <c r="AH205" s="936"/>
      <c r="AI205" s="999"/>
      <c r="AJ205" s="935"/>
      <c r="AK205" s="966"/>
      <c r="AL205" s="949"/>
      <c r="AM205" s="949" t="s">
        <v>123</v>
      </c>
      <c r="AN205" s="949"/>
      <c r="AO205" s="999"/>
      <c r="AP205" s="936"/>
      <c r="AQ205" s="987"/>
      <c r="AR205" s="907"/>
      <c r="AS205" s="907"/>
      <c r="AT205" s="967" t="s">
        <v>123</v>
      </c>
      <c r="AU205" s="967" t="s">
        <v>123</v>
      </c>
      <c r="AV205" s="967" t="s">
        <v>123</v>
      </c>
      <c r="AW205" s="907" t="s">
        <v>123</v>
      </c>
      <c r="AX205" s="907" t="s">
        <v>123</v>
      </c>
      <c r="AY205" s="907" t="s">
        <v>123</v>
      </c>
      <c r="AZ205" s="936" t="s">
        <v>123</v>
      </c>
      <c r="BA205" s="935" t="s">
        <v>123</v>
      </c>
      <c r="BB205" s="1000"/>
      <c r="BC205" s="1001"/>
      <c r="BD205" s="936"/>
      <c r="BE205" s="907"/>
      <c r="BF205" s="1002" t="str">
        <f>IF($BC205="","",SUMIF(portfolio.!$A$4:$A623,BC205,portfolio.!$AN$4:$AN623))</f>
        <v/>
      </c>
      <c r="BG205" s="936" t="s">
        <v>123</v>
      </c>
      <c r="BH205" s="907" t="s">
        <v>123</v>
      </c>
      <c r="BI205" s="935" t="s">
        <v>123</v>
      </c>
      <c r="BJ205" s="1003"/>
      <c r="BK205" s="907" t="s">
        <v>123</v>
      </c>
      <c r="BL205" s="907" t="s">
        <v>123</v>
      </c>
      <c r="BM205" s="907" t="s">
        <v>123</v>
      </c>
      <c r="BN205" s="1004" t="s">
        <v>123</v>
      </c>
      <c r="BO205" s="907" t="str">
        <f t="shared" si="6"/>
        <v/>
      </c>
      <c r="BP205" s="907" t="str">
        <f t="shared" si="7"/>
        <v/>
      </c>
      <c r="BQ205" s="907" t="str">
        <f t="shared" si="8"/>
        <v/>
      </c>
      <c r="BR205" s="1004" t="str">
        <f t="shared" si="9"/>
        <v/>
      </c>
      <c r="BS205" s="1005" t="str">
        <f t="shared" si="10"/>
        <v/>
      </c>
      <c r="BT205" s="1006" t="s">
        <v>123</v>
      </c>
      <c r="BU205" s="1002" t="s">
        <v>123</v>
      </c>
      <c r="BV205" s="1006" t="s">
        <v>123</v>
      </c>
      <c r="BW205" s="1007"/>
    </row>
    <row r="206">
      <c r="A206" s="624">
        <v>183.0</v>
      </c>
      <c r="B206" s="1008"/>
      <c r="C206" s="989"/>
      <c r="D206" s="851"/>
      <c r="E206" s="990"/>
      <c r="F206" s="991"/>
      <c r="G206" s="991"/>
      <c r="H206" s="992"/>
      <c r="I206" s="993"/>
      <c r="J206" s="993"/>
      <c r="K206" s="993"/>
      <c r="L206" s="993"/>
      <c r="M206" s="993"/>
      <c r="N206" s="993"/>
      <c r="O206" s="993"/>
      <c r="P206" s="993"/>
      <c r="Q206" s="993"/>
      <c r="R206" s="993"/>
      <c r="S206" s="936"/>
      <c r="T206" s="998"/>
      <c r="U206" s="935"/>
      <c r="V206" s="935"/>
      <c r="W206" s="949" t="str">
        <f>IF(AND($S$20,NOT($U$20)),IF($V206:$V623="","",SUMIF(portfolio.!$A$4:$A623,V206,portfolio.!$AN$4:$AN623)),"")</f>
        <v/>
      </c>
      <c r="X206" s="998"/>
      <c r="Y206" s="936"/>
      <c r="Z206" s="936" t="s">
        <v>123</v>
      </c>
      <c r="AA206" s="936" t="s">
        <v>123</v>
      </c>
      <c r="AB206" s="936" t="s">
        <v>123</v>
      </c>
      <c r="AC206" s="907" t="s">
        <v>123</v>
      </c>
      <c r="AD206" s="999"/>
      <c r="AE206" s="936"/>
      <c r="AF206" s="936"/>
      <c r="AG206" s="936"/>
      <c r="AH206" s="936"/>
      <c r="AI206" s="999"/>
      <c r="AJ206" s="935"/>
      <c r="AK206" s="966"/>
      <c r="AL206" s="949"/>
      <c r="AM206" s="949" t="s">
        <v>123</v>
      </c>
      <c r="AN206" s="949"/>
      <c r="AO206" s="999"/>
      <c r="AP206" s="936"/>
      <c r="AQ206" s="987"/>
      <c r="AR206" s="907"/>
      <c r="AS206" s="907"/>
      <c r="AT206" s="967" t="s">
        <v>123</v>
      </c>
      <c r="AU206" s="967" t="s">
        <v>123</v>
      </c>
      <c r="AV206" s="967" t="s">
        <v>123</v>
      </c>
      <c r="AW206" s="907" t="s">
        <v>123</v>
      </c>
      <c r="AX206" s="907" t="s">
        <v>123</v>
      </c>
      <c r="AY206" s="907" t="s">
        <v>123</v>
      </c>
      <c r="AZ206" s="936" t="s">
        <v>123</v>
      </c>
      <c r="BA206" s="935" t="s">
        <v>123</v>
      </c>
      <c r="BB206" s="1000"/>
      <c r="BC206" s="1001"/>
      <c r="BD206" s="936"/>
      <c r="BE206" s="907"/>
      <c r="BF206" s="1002" t="str">
        <f>IF($BC206="","",SUMIF(portfolio.!$A$4:$A623,BC206,portfolio.!$AN$4:$AN623))</f>
        <v/>
      </c>
      <c r="BG206" s="936" t="s">
        <v>123</v>
      </c>
      <c r="BH206" s="907" t="s">
        <v>123</v>
      </c>
      <c r="BI206" s="935" t="s">
        <v>123</v>
      </c>
      <c r="BJ206" s="1003"/>
      <c r="BK206" s="907" t="s">
        <v>123</v>
      </c>
      <c r="BL206" s="907" t="s">
        <v>123</v>
      </c>
      <c r="BM206" s="907" t="s">
        <v>123</v>
      </c>
      <c r="BN206" s="1004" t="s">
        <v>123</v>
      </c>
      <c r="BO206" s="907" t="str">
        <f t="shared" si="6"/>
        <v/>
      </c>
      <c r="BP206" s="907" t="str">
        <f t="shared" si="7"/>
        <v/>
      </c>
      <c r="BQ206" s="907" t="str">
        <f t="shared" si="8"/>
        <v/>
      </c>
      <c r="BR206" s="1004" t="str">
        <f t="shared" si="9"/>
        <v/>
      </c>
      <c r="BS206" s="1005" t="str">
        <f t="shared" si="10"/>
        <v/>
      </c>
      <c r="BT206" s="1006" t="s">
        <v>123</v>
      </c>
      <c r="BU206" s="1002" t="s">
        <v>123</v>
      </c>
      <c r="BV206" s="1006" t="s">
        <v>123</v>
      </c>
      <c r="BW206" s="1007"/>
    </row>
    <row r="207">
      <c r="A207" s="624">
        <v>184.0</v>
      </c>
      <c r="B207" s="1008"/>
      <c r="C207" s="989"/>
      <c r="D207" s="851"/>
      <c r="E207" s="990"/>
      <c r="F207" s="991"/>
      <c r="G207" s="991"/>
      <c r="H207" s="992"/>
      <c r="I207" s="993"/>
      <c r="J207" s="993"/>
      <c r="K207" s="993"/>
      <c r="L207" s="993"/>
      <c r="M207" s="993"/>
      <c r="N207" s="993"/>
      <c r="O207" s="993"/>
      <c r="P207" s="993"/>
      <c r="Q207" s="993"/>
      <c r="R207" s="993"/>
      <c r="S207" s="936"/>
      <c r="T207" s="998"/>
      <c r="U207" s="935"/>
      <c r="V207" s="935"/>
      <c r="W207" s="949" t="str">
        <f>IF(AND($S$20,NOT($U$20)),IF($V207:$V623="","",SUMIF(portfolio.!$A$4:$A623,V207,portfolio.!$AN$4:$AN623)),"")</f>
        <v/>
      </c>
      <c r="X207" s="998"/>
      <c r="Y207" s="936"/>
      <c r="Z207" s="936" t="s">
        <v>123</v>
      </c>
      <c r="AA207" s="936" t="s">
        <v>123</v>
      </c>
      <c r="AB207" s="936" t="s">
        <v>123</v>
      </c>
      <c r="AC207" s="907" t="s">
        <v>123</v>
      </c>
      <c r="AD207" s="999"/>
      <c r="AE207" s="936"/>
      <c r="AF207" s="936"/>
      <c r="AG207" s="936"/>
      <c r="AH207" s="936"/>
      <c r="AI207" s="999"/>
      <c r="AJ207" s="935"/>
      <c r="AK207" s="966"/>
      <c r="AL207" s="949"/>
      <c r="AM207" s="949" t="s">
        <v>123</v>
      </c>
      <c r="AN207" s="949"/>
      <c r="AO207" s="999"/>
      <c r="AP207" s="936"/>
      <c r="AQ207" s="987"/>
      <c r="AR207" s="907"/>
      <c r="AS207" s="907"/>
      <c r="AT207" s="967" t="s">
        <v>123</v>
      </c>
      <c r="AU207" s="967" t="s">
        <v>123</v>
      </c>
      <c r="AV207" s="967" t="s">
        <v>123</v>
      </c>
      <c r="AW207" s="907" t="s">
        <v>123</v>
      </c>
      <c r="AX207" s="907" t="s">
        <v>123</v>
      </c>
      <c r="AY207" s="907" t="s">
        <v>123</v>
      </c>
      <c r="AZ207" s="936" t="s">
        <v>123</v>
      </c>
      <c r="BA207" s="935" t="s">
        <v>123</v>
      </c>
      <c r="BB207" s="1000"/>
      <c r="BC207" s="1001"/>
      <c r="BD207" s="936"/>
      <c r="BE207" s="907"/>
      <c r="BF207" s="1002" t="str">
        <f>IF($BC207="","",SUMIF(portfolio.!$A$4:$A623,BC207,portfolio.!$AN$4:$AN623))</f>
        <v/>
      </c>
      <c r="BG207" s="936" t="s">
        <v>123</v>
      </c>
      <c r="BH207" s="907" t="s">
        <v>123</v>
      </c>
      <c r="BI207" s="935" t="s">
        <v>123</v>
      </c>
      <c r="BJ207" s="1003"/>
      <c r="BK207" s="907" t="s">
        <v>123</v>
      </c>
      <c r="BL207" s="907" t="s">
        <v>123</v>
      </c>
      <c r="BM207" s="907" t="s">
        <v>123</v>
      </c>
      <c r="BN207" s="1004" t="s">
        <v>123</v>
      </c>
      <c r="BO207" s="907" t="str">
        <f t="shared" si="6"/>
        <v/>
      </c>
      <c r="BP207" s="907" t="str">
        <f t="shared" si="7"/>
        <v/>
      </c>
      <c r="BQ207" s="907" t="str">
        <f t="shared" si="8"/>
        <v/>
      </c>
      <c r="BR207" s="1004" t="str">
        <f t="shared" si="9"/>
        <v/>
      </c>
      <c r="BS207" s="1005" t="str">
        <f t="shared" si="10"/>
        <v/>
      </c>
      <c r="BT207" s="1006" t="s">
        <v>123</v>
      </c>
      <c r="BU207" s="1002" t="s">
        <v>123</v>
      </c>
      <c r="BV207" s="1006" t="s">
        <v>123</v>
      </c>
      <c r="BW207" s="1007"/>
    </row>
    <row r="208">
      <c r="A208" s="624">
        <v>185.0</v>
      </c>
      <c r="B208" s="1008"/>
      <c r="C208" s="989"/>
      <c r="D208" s="851"/>
      <c r="E208" s="990"/>
      <c r="F208" s="991"/>
      <c r="G208" s="991"/>
      <c r="H208" s="992"/>
      <c r="I208" s="993"/>
      <c r="J208" s="993"/>
      <c r="K208" s="993"/>
      <c r="L208" s="993"/>
      <c r="M208" s="993"/>
      <c r="N208" s="993"/>
      <c r="O208" s="993"/>
      <c r="P208" s="993"/>
      <c r="Q208" s="993"/>
      <c r="R208" s="993"/>
      <c r="S208" s="936"/>
      <c r="T208" s="998"/>
      <c r="U208" s="935"/>
      <c r="V208" s="935"/>
      <c r="W208" s="949" t="str">
        <f>IF(AND($S$20,NOT($U$20)),IF($V208:$V623="","",SUMIF(portfolio.!$A$4:$A623,V208,portfolio.!$AN$4:$AN623)),"")</f>
        <v/>
      </c>
      <c r="X208" s="998"/>
      <c r="Y208" s="936"/>
      <c r="Z208" s="936" t="s">
        <v>123</v>
      </c>
      <c r="AA208" s="936" t="s">
        <v>123</v>
      </c>
      <c r="AB208" s="936" t="s">
        <v>123</v>
      </c>
      <c r="AC208" s="907" t="s">
        <v>123</v>
      </c>
      <c r="AD208" s="999"/>
      <c r="AE208" s="936"/>
      <c r="AF208" s="936"/>
      <c r="AG208" s="936"/>
      <c r="AH208" s="936"/>
      <c r="AI208" s="999"/>
      <c r="AJ208" s="935"/>
      <c r="AK208" s="966"/>
      <c r="AL208" s="949"/>
      <c r="AM208" s="949" t="s">
        <v>123</v>
      </c>
      <c r="AN208" s="949"/>
      <c r="AO208" s="999"/>
      <c r="AP208" s="936"/>
      <c r="AQ208" s="987"/>
      <c r="AR208" s="907"/>
      <c r="AS208" s="907"/>
      <c r="AT208" s="967" t="s">
        <v>123</v>
      </c>
      <c r="AU208" s="967" t="s">
        <v>123</v>
      </c>
      <c r="AV208" s="967" t="s">
        <v>123</v>
      </c>
      <c r="AW208" s="907" t="s">
        <v>123</v>
      </c>
      <c r="AX208" s="907" t="s">
        <v>123</v>
      </c>
      <c r="AY208" s="907" t="s">
        <v>123</v>
      </c>
      <c r="AZ208" s="936" t="s">
        <v>123</v>
      </c>
      <c r="BA208" s="935" t="s">
        <v>123</v>
      </c>
      <c r="BB208" s="1000"/>
      <c r="BC208" s="1001"/>
      <c r="BD208" s="936"/>
      <c r="BE208" s="907"/>
      <c r="BF208" s="1002" t="str">
        <f>IF($BC208="","",SUMIF(portfolio.!$A$4:$A623,BC208,portfolio.!$AN$4:$AN623))</f>
        <v/>
      </c>
      <c r="BG208" s="936" t="s">
        <v>123</v>
      </c>
      <c r="BH208" s="907" t="s">
        <v>123</v>
      </c>
      <c r="BI208" s="935" t="s">
        <v>123</v>
      </c>
      <c r="BJ208" s="1003"/>
      <c r="BK208" s="907" t="s">
        <v>123</v>
      </c>
      <c r="BL208" s="907" t="s">
        <v>123</v>
      </c>
      <c r="BM208" s="907" t="s">
        <v>123</v>
      </c>
      <c r="BN208" s="1004" t="s">
        <v>123</v>
      </c>
      <c r="BO208" s="907" t="str">
        <f t="shared" si="6"/>
        <v/>
      </c>
      <c r="BP208" s="907" t="str">
        <f t="shared" si="7"/>
        <v/>
      </c>
      <c r="BQ208" s="907" t="str">
        <f t="shared" si="8"/>
        <v/>
      </c>
      <c r="BR208" s="1004" t="str">
        <f t="shared" si="9"/>
        <v/>
      </c>
      <c r="BS208" s="1005" t="str">
        <f t="shared" si="10"/>
        <v/>
      </c>
      <c r="BT208" s="1006" t="s">
        <v>123</v>
      </c>
      <c r="BU208" s="1002" t="s">
        <v>123</v>
      </c>
      <c r="BV208" s="1006" t="s">
        <v>123</v>
      </c>
      <c r="BW208" s="1007"/>
    </row>
    <row r="209">
      <c r="A209" s="624">
        <v>186.0</v>
      </c>
      <c r="B209" s="1008"/>
      <c r="C209" s="989"/>
      <c r="D209" s="851"/>
      <c r="E209" s="990"/>
      <c r="F209" s="991"/>
      <c r="G209" s="991"/>
      <c r="H209" s="992"/>
      <c r="I209" s="993"/>
      <c r="J209" s="993"/>
      <c r="K209" s="993"/>
      <c r="L209" s="993"/>
      <c r="M209" s="993"/>
      <c r="N209" s="993"/>
      <c r="O209" s="993"/>
      <c r="P209" s="993"/>
      <c r="Q209" s="993"/>
      <c r="R209" s="993"/>
      <c r="S209" s="936"/>
      <c r="T209" s="998"/>
      <c r="U209" s="935"/>
      <c r="V209" s="935"/>
      <c r="W209" s="949" t="str">
        <f>IF(AND($S$20,NOT($U$20)),IF($V209:$V623="","",SUMIF(portfolio.!$A$4:$A623,V209,portfolio.!$AN$4:$AN623)),"")</f>
        <v/>
      </c>
      <c r="X209" s="998"/>
      <c r="Y209" s="936"/>
      <c r="Z209" s="936" t="s">
        <v>123</v>
      </c>
      <c r="AA209" s="936" t="s">
        <v>123</v>
      </c>
      <c r="AB209" s="936" t="s">
        <v>123</v>
      </c>
      <c r="AC209" s="907" t="s">
        <v>123</v>
      </c>
      <c r="AD209" s="999"/>
      <c r="AE209" s="936"/>
      <c r="AF209" s="936"/>
      <c r="AG209" s="936"/>
      <c r="AH209" s="936"/>
      <c r="AI209" s="999"/>
      <c r="AJ209" s="935"/>
      <c r="AK209" s="966"/>
      <c r="AL209" s="949"/>
      <c r="AM209" s="949" t="s">
        <v>123</v>
      </c>
      <c r="AN209" s="949"/>
      <c r="AO209" s="999"/>
      <c r="AP209" s="936"/>
      <c r="AQ209" s="987"/>
      <c r="AR209" s="907"/>
      <c r="AS209" s="907"/>
      <c r="AT209" s="967" t="s">
        <v>123</v>
      </c>
      <c r="AU209" s="967" t="s">
        <v>123</v>
      </c>
      <c r="AV209" s="967" t="s">
        <v>123</v>
      </c>
      <c r="AW209" s="907" t="s">
        <v>123</v>
      </c>
      <c r="AX209" s="907" t="s">
        <v>123</v>
      </c>
      <c r="AY209" s="907" t="s">
        <v>123</v>
      </c>
      <c r="AZ209" s="936" t="s">
        <v>123</v>
      </c>
      <c r="BA209" s="935" t="s">
        <v>123</v>
      </c>
      <c r="BB209" s="1000"/>
      <c r="BC209" s="1001"/>
      <c r="BD209" s="936"/>
      <c r="BE209" s="907"/>
      <c r="BF209" s="1002" t="str">
        <f>IF($BC209="","",SUMIF(portfolio.!$A$4:$A623,BC209,portfolio.!$AN$4:$AN623))</f>
        <v/>
      </c>
      <c r="BG209" s="936" t="s">
        <v>123</v>
      </c>
      <c r="BH209" s="907" t="s">
        <v>123</v>
      </c>
      <c r="BI209" s="935" t="s">
        <v>123</v>
      </c>
      <c r="BJ209" s="1003"/>
      <c r="BK209" s="907" t="s">
        <v>123</v>
      </c>
      <c r="BL209" s="907" t="s">
        <v>123</v>
      </c>
      <c r="BM209" s="907" t="s">
        <v>123</v>
      </c>
      <c r="BN209" s="1004" t="s">
        <v>123</v>
      </c>
      <c r="BO209" s="907" t="str">
        <f t="shared" si="6"/>
        <v/>
      </c>
      <c r="BP209" s="907" t="str">
        <f t="shared" si="7"/>
        <v/>
      </c>
      <c r="BQ209" s="907" t="str">
        <f t="shared" si="8"/>
        <v/>
      </c>
      <c r="BR209" s="1004" t="str">
        <f t="shared" si="9"/>
        <v/>
      </c>
      <c r="BS209" s="1005" t="str">
        <f t="shared" si="10"/>
        <v/>
      </c>
      <c r="BT209" s="1006" t="s">
        <v>123</v>
      </c>
      <c r="BU209" s="1002" t="s">
        <v>123</v>
      </c>
      <c r="BV209" s="1006" t="s">
        <v>123</v>
      </c>
      <c r="BW209" s="1007"/>
    </row>
    <row r="210">
      <c r="A210" s="624">
        <v>187.0</v>
      </c>
      <c r="B210" s="1008"/>
      <c r="C210" s="989"/>
      <c r="D210" s="851"/>
      <c r="E210" s="990"/>
      <c r="F210" s="991"/>
      <c r="G210" s="991"/>
      <c r="H210" s="992"/>
      <c r="I210" s="993"/>
      <c r="J210" s="993"/>
      <c r="K210" s="993"/>
      <c r="L210" s="993"/>
      <c r="M210" s="993"/>
      <c r="N210" s="993"/>
      <c r="O210" s="993"/>
      <c r="P210" s="993"/>
      <c r="Q210" s="993"/>
      <c r="R210" s="993"/>
      <c r="S210" s="936"/>
      <c r="T210" s="998"/>
      <c r="U210" s="935"/>
      <c r="V210" s="935"/>
      <c r="W210" s="949" t="str">
        <f>IF(AND($S$20,NOT($U$20)),IF($V210:$V623="","",SUMIF(portfolio.!$A$4:$A623,V210,portfolio.!$AN$4:$AN623)),"")</f>
        <v/>
      </c>
      <c r="X210" s="998"/>
      <c r="Y210" s="936"/>
      <c r="Z210" s="936" t="s">
        <v>123</v>
      </c>
      <c r="AA210" s="936" t="s">
        <v>123</v>
      </c>
      <c r="AB210" s="936" t="s">
        <v>123</v>
      </c>
      <c r="AC210" s="907" t="s">
        <v>123</v>
      </c>
      <c r="AD210" s="999"/>
      <c r="AE210" s="936"/>
      <c r="AF210" s="936"/>
      <c r="AG210" s="936"/>
      <c r="AH210" s="936"/>
      <c r="AI210" s="999"/>
      <c r="AJ210" s="935"/>
      <c r="AK210" s="966"/>
      <c r="AL210" s="949"/>
      <c r="AM210" s="949" t="s">
        <v>123</v>
      </c>
      <c r="AN210" s="949"/>
      <c r="AO210" s="999"/>
      <c r="AP210" s="936"/>
      <c r="AQ210" s="987"/>
      <c r="AR210" s="907"/>
      <c r="AS210" s="907"/>
      <c r="AT210" s="967" t="s">
        <v>123</v>
      </c>
      <c r="AU210" s="967" t="s">
        <v>123</v>
      </c>
      <c r="AV210" s="967" t="s">
        <v>123</v>
      </c>
      <c r="AW210" s="907" t="s">
        <v>123</v>
      </c>
      <c r="AX210" s="907" t="s">
        <v>123</v>
      </c>
      <c r="AY210" s="907" t="s">
        <v>123</v>
      </c>
      <c r="AZ210" s="936" t="s">
        <v>123</v>
      </c>
      <c r="BA210" s="935" t="s">
        <v>123</v>
      </c>
      <c r="BB210" s="1000"/>
      <c r="BC210" s="1001"/>
      <c r="BD210" s="936"/>
      <c r="BE210" s="907"/>
      <c r="BF210" s="1002" t="str">
        <f>IF($BC210="","",SUMIF(portfolio.!$A$4:$A623,BC210,portfolio.!$AN$4:$AN623))</f>
        <v/>
      </c>
      <c r="BG210" s="936" t="s">
        <v>123</v>
      </c>
      <c r="BH210" s="907" t="s">
        <v>123</v>
      </c>
      <c r="BI210" s="935" t="s">
        <v>123</v>
      </c>
      <c r="BJ210" s="1003"/>
      <c r="BK210" s="907" t="s">
        <v>123</v>
      </c>
      <c r="BL210" s="907" t="s">
        <v>123</v>
      </c>
      <c r="BM210" s="907" t="s">
        <v>123</v>
      </c>
      <c r="BN210" s="1004" t="s">
        <v>123</v>
      </c>
      <c r="BO210" s="907" t="str">
        <f t="shared" si="6"/>
        <v/>
      </c>
      <c r="BP210" s="907" t="str">
        <f t="shared" si="7"/>
        <v/>
      </c>
      <c r="BQ210" s="907" t="str">
        <f t="shared" si="8"/>
        <v/>
      </c>
      <c r="BR210" s="1004" t="str">
        <f t="shared" si="9"/>
        <v/>
      </c>
      <c r="BS210" s="1005" t="str">
        <f t="shared" si="10"/>
        <v/>
      </c>
      <c r="BT210" s="1006" t="s">
        <v>123</v>
      </c>
      <c r="BU210" s="1002" t="s">
        <v>123</v>
      </c>
      <c r="BV210" s="1006" t="s">
        <v>123</v>
      </c>
      <c r="BW210" s="1007"/>
    </row>
    <row r="211">
      <c r="A211" s="624">
        <v>188.0</v>
      </c>
      <c r="B211" s="1008"/>
      <c r="C211" s="989"/>
      <c r="D211" s="851"/>
      <c r="E211" s="990"/>
      <c r="F211" s="991"/>
      <c r="G211" s="991"/>
      <c r="H211" s="992"/>
      <c r="I211" s="993"/>
      <c r="J211" s="993"/>
      <c r="K211" s="993"/>
      <c r="L211" s="993"/>
      <c r="M211" s="993"/>
      <c r="N211" s="993"/>
      <c r="O211" s="993"/>
      <c r="P211" s="993"/>
      <c r="Q211" s="993"/>
      <c r="R211" s="993"/>
      <c r="S211" s="936"/>
      <c r="T211" s="998"/>
      <c r="U211" s="935"/>
      <c r="V211" s="935"/>
      <c r="W211" s="949" t="str">
        <f>IF(AND($S$20,NOT($U$20)),IF($V211:$V623="","",SUMIF(portfolio.!$A$4:$A623,V211,portfolio.!$AN$4:$AN623)),"")</f>
        <v/>
      </c>
      <c r="X211" s="998"/>
      <c r="Y211" s="936"/>
      <c r="Z211" s="936" t="s">
        <v>123</v>
      </c>
      <c r="AA211" s="936" t="s">
        <v>123</v>
      </c>
      <c r="AB211" s="936" t="s">
        <v>123</v>
      </c>
      <c r="AC211" s="907" t="s">
        <v>123</v>
      </c>
      <c r="AD211" s="999"/>
      <c r="AE211" s="936"/>
      <c r="AF211" s="936"/>
      <c r="AG211" s="936"/>
      <c r="AH211" s="936"/>
      <c r="AI211" s="999"/>
      <c r="AJ211" s="935"/>
      <c r="AK211" s="966"/>
      <c r="AL211" s="949"/>
      <c r="AM211" s="949" t="s">
        <v>123</v>
      </c>
      <c r="AN211" s="949"/>
      <c r="AO211" s="999"/>
      <c r="AP211" s="936"/>
      <c r="AQ211" s="987"/>
      <c r="AR211" s="907"/>
      <c r="AS211" s="907"/>
      <c r="AT211" s="967" t="s">
        <v>123</v>
      </c>
      <c r="AU211" s="967" t="s">
        <v>123</v>
      </c>
      <c r="AV211" s="967" t="s">
        <v>123</v>
      </c>
      <c r="AW211" s="907" t="s">
        <v>123</v>
      </c>
      <c r="AX211" s="907" t="s">
        <v>123</v>
      </c>
      <c r="AY211" s="907" t="s">
        <v>123</v>
      </c>
      <c r="AZ211" s="936" t="s">
        <v>123</v>
      </c>
      <c r="BA211" s="935" t="s">
        <v>123</v>
      </c>
      <c r="BB211" s="1000"/>
      <c r="BC211" s="1001"/>
      <c r="BD211" s="936"/>
      <c r="BE211" s="907"/>
      <c r="BF211" s="1002" t="str">
        <f>IF($BC211="","",SUMIF(portfolio.!$A$4:$A623,BC211,portfolio.!$AN$4:$AN623))</f>
        <v/>
      </c>
      <c r="BG211" s="936" t="s">
        <v>123</v>
      </c>
      <c r="BH211" s="907" t="s">
        <v>123</v>
      </c>
      <c r="BI211" s="935" t="s">
        <v>123</v>
      </c>
      <c r="BJ211" s="1003"/>
      <c r="BK211" s="907" t="s">
        <v>123</v>
      </c>
      <c r="BL211" s="907" t="s">
        <v>123</v>
      </c>
      <c r="BM211" s="907" t="s">
        <v>123</v>
      </c>
      <c r="BN211" s="1004" t="s">
        <v>123</v>
      </c>
      <c r="BO211" s="907" t="str">
        <f t="shared" si="6"/>
        <v/>
      </c>
      <c r="BP211" s="907" t="str">
        <f t="shared" si="7"/>
        <v/>
      </c>
      <c r="BQ211" s="907" t="str">
        <f t="shared" si="8"/>
        <v/>
      </c>
      <c r="BR211" s="1004" t="str">
        <f t="shared" si="9"/>
        <v/>
      </c>
      <c r="BS211" s="1005" t="str">
        <f t="shared" si="10"/>
        <v/>
      </c>
      <c r="BT211" s="1006" t="s">
        <v>123</v>
      </c>
      <c r="BU211" s="1002" t="s">
        <v>123</v>
      </c>
      <c r="BV211" s="1006" t="s">
        <v>123</v>
      </c>
      <c r="BW211" s="1007"/>
    </row>
    <row r="212">
      <c r="A212" s="624">
        <v>189.0</v>
      </c>
      <c r="B212" s="1008"/>
      <c r="C212" s="989"/>
      <c r="D212" s="851"/>
      <c r="E212" s="990"/>
      <c r="F212" s="991"/>
      <c r="G212" s="991"/>
      <c r="H212" s="992"/>
      <c r="I212" s="993"/>
      <c r="J212" s="993"/>
      <c r="K212" s="993"/>
      <c r="L212" s="993"/>
      <c r="M212" s="993"/>
      <c r="N212" s="993"/>
      <c r="O212" s="993"/>
      <c r="P212" s="993"/>
      <c r="Q212" s="993"/>
      <c r="R212" s="993"/>
      <c r="S212" s="936"/>
      <c r="T212" s="998"/>
      <c r="U212" s="935"/>
      <c r="V212" s="935"/>
      <c r="W212" s="949" t="str">
        <f>IF(AND($S$20,NOT($U$20)),IF($V212:$V623="","",SUMIF(portfolio.!$A$4:$A623,V212,portfolio.!$AN$4:$AN623)),"")</f>
        <v/>
      </c>
      <c r="X212" s="998"/>
      <c r="Y212" s="936"/>
      <c r="Z212" s="936" t="s">
        <v>123</v>
      </c>
      <c r="AA212" s="936" t="s">
        <v>123</v>
      </c>
      <c r="AB212" s="936" t="s">
        <v>123</v>
      </c>
      <c r="AC212" s="907" t="s">
        <v>123</v>
      </c>
      <c r="AD212" s="999"/>
      <c r="AE212" s="936"/>
      <c r="AF212" s="936"/>
      <c r="AG212" s="936"/>
      <c r="AH212" s="936"/>
      <c r="AI212" s="999"/>
      <c r="AJ212" s="935"/>
      <c r="AK212" s="966"/>
      <c r="AL212" s="949"/>
      <c r="AM212" s="949" t="s">
        <v>123</v>
      </c>
      <c r="AN212" s="949"/>
      <c r="AO212" s="999"/>
      <c r="AP212" s="936"/>
      <c r="AQ212" s="987"/>
      <c r="AR212" s="907"/>
      <c r="AS212" s="907"/>
      <c r="AT212" s="967" t="s">
        <v>123</v>
      </c>
      <c r="AU212" s="967" t="s">
        <v>123</v>
      </c>
      <c r="AV212" s="967" t="s">
        <v>123</v>
      </c>
      <c r="AW212" s="907" t="s">
        <v>123</v>
      </c>
      <c r="AX212" s="907" t="s">
        <v>123</v>
      </c>
      <c r="AY212" s="907" t="s">
        <v>123</v>
      </c>
      <c r="AZ212" s="936" t="s">
        <v>123</v>
      </c>
      <c r="BA212" s="935" t="s">
        <v>123</v>
      </c>
      <c r="BB212" s="1000"/>
      <c r="BC212" s="1001"/>
      <c r="BD212" s="936"/>
      <c r="BE212" s="907"/>
      <c r="BF212" s="1002" t="str">
        <f>IF($BC212="","",SUMIF(portfolio.!$A$4:$A623,BC212,portfolio.!$AN$4:$AN623))</f>
        <v/>
      </c>
      <c r="BG212" s="936" t="s">
        <v>123</v>
      </c>
      <c r="BH212" s="907" t="s">
        <v>123</v>
      </c>
      <c r="BI212" s="935" t="s">
        <v>123</v>
      </c>
      <c r="BJ212" s="1003"/>
      <c r="BK212" s="907" t="s">
        <v>123</v>
      </c>
      <c r="BL212" s="907" t="s">
        <v>123</v>
      </c>
      <c r="BM212" s="907" t="s">
        <v>123</v>
      </c>
      <c r="BN212" s="1004" t="s">
        <v>123</v>
      </c>
      <c r="BO212" s="907" t="str">
        <f t="shared" si="6"/>
        <v/>
      </c>
      <c r="BP212" s="907" t="str">
        <f t="shared" si="7"/>
        <v/>
      </c>
      <c r="BQ212" s="907" t="str">
        <f t="shared" si="8"/>
        <v/>
      </c>
      <c r="BR212" s="1004" t="str">
        <f t="shared" si="9"/>
        <v/>
      </c>
      <c r="BS212" s="1005" t="str">
        <f t="shared" si="10"/>
        <v/>
      </c>
      <c r="BT212" s="1006" t="s">
        <v>123</v>
      </c>
      <c r="BU212" s="1002" t="s">
        <v>123</v>
      </c>
      <c r="BV212" s="1006" t="s">
        <v>123</v>
      </c>
      <c r="BW212" s="1007"/>
    </row>
    <row r="213">
      <c r="A213" s="624">
        <v>190.0</v>
      </c>
      <c r="B213" s="1008"/>
      <c r="C213" s="989"/>
      <c r="D213" s="851"/>
      <c r="E213" s="990"/>
      <c r="F213" s="991"/>
      <c r="G213" s="991"/>
      <c r="H213" s="992"/>
      <c r="I213" s="993"/>
      <c r="J213" s="993"/>
      <c r="K213" s="993"/>
      <c r="L213" s="993"/>
      <c r="M213" s="993"/>
      <c r="N213" s="993"/>
      <c r="O213" s="993"/>
      <c r="P213" s="993"/>
      <c r="Q213" s="993"/>
      <c r="R213" s="993"/>
      <c r="S213" s="936"/>
      <c r="T213" s="998"/>
      <c r="U213" s="935"/>
      <c r="V213" s="935"/>
      <c r="W213" s="949" t="str">
        <f>IF(AND($S$20,NOT($U$20)),IF($V213:$V623="","",SUMIF(portfolio.!$A$4:$A623,V213,portfolio.!$AN$4:$AN623)),"")</f>
        <v/>
      </c>
      <c r="X213" s="998"/>
      <c r="Y213" s="936"/>
      <c r="Z213" s="936" t="s">
        <v>123</v>
      </c>
      <c r="AA213" s="936" t="s">
        <v>123</v>
      </c>
      <c r="AB213" s="936" t="s">
        <v>123</v>
      </c>
      <c r="AC213" s="907" t="s">
        <v>123</v>
      </c>
      <c r="AD213" s="999"/>
      <c r="AE213" s="936"/>
      <c r="AF213" s="936"/>
      <c r="AG213" s="936"/>
      <c r="AH213" s="936"/>
      <c r="AI213" s="999"/>
      <c r="AJ213" s="935"/>
      <c r="AK213" s="966"/>
      <c r="AL213" s="949"/>
      <c r="AM213" s="949" t="s">
        <v>123</v>
      </c>
      <c r="AN213" s="949"/>
      <c r="AO213" s="999"/>
      <c r="AP213" s="936"/>
      <c r="AQ213" s="987"/>
      <c r="AR213" s="907"/>
      <c r="AS213" s="907"/>
      <c r="AT213" s="967" t="s">
        <v>123</v>
      </c>
      <c r="AU213" s="967" t="s">
        <v>123</v>
      </c>
      <c r="AV213" s="967" t="s">
        <v>123</v>
      </c>
      <c r="AW213" s="907" t="s">
        <v>123</v>
      </c>
      <c r="AX213" s="907" t="s">
        <v>123</v>
      </c>
      <c r="AY213" s="907" t="s">
        <v>123</v>
      </c>
      <c r="AZ213" s="936" t="s">
        <v>123</v>
      </c>
      <c r="BA213" s="935" t="s">
        <v>123</v>
      </c>
      <c r="BB213" s="1000"/>
      <c r="BC213" s="1001"/>
      <c r="BD213" s="936"/>
      <c r="BE213" s="907"/>
      <c r="BF213" s="1002" t="str">
        <f>IF($BC213="","",SUMIF(portfolio.!$A$4:$A623,BC213,portfolio.!$AN$4:$AN623))</f>
        <v/>
      </c>
      <c r="BG213" s="936" t="s">
        <v>123</v>
      </c>
      <c r="BH213" s="907" t="s">
        <v>123</v>
      </c>
      <c r="BI213" s="935" t="s">
        <v>123</v>
      </c>
      <c r="BJ213" s="1003"/>
      <c r="BK213" s="907" t="s">
        <v>123</v>
      </c>
      <c r="BL213" s="907" t="s">
        <v>123</v>
      </c>
      <c r="BM213" s="907" t="s">
        <v>123</v>
      </c>
      <c r="BN213" s="1004" t="s">
        <v>123</v>
      </c>
      <c r="BO213" s="907" t="str">
        <f t="shared" si="6"/>
        <v/>
      </c>
      <c r="BP213" s="907" t="str">
        <f t="shared" si="7"/>
        <v/>
      </c>
      <c r="BQ213" s="907" t="str">
        <f t="shared" si="8"/>
        <v/>
      </c>
      <c r="BR213" s="1004" t="str">
        <f t="shared" si="9"/>
        <v/>
      </c>
      <c r="BS213" s="1005" t="str">
        <f t="shared" si="10"/>
        <v/>
      </c>
      <c r="BT213" s="1006" t="s">
        <v>123</v>
      </c>
      <c r="BU213" s="1002" t="s">
        <v>123</v>
      </c>
      <c r="BV213" s="1006" t="s">
        <v>123</v>
      </c>
      <c r="BW213" s="1007"/>
    </row>
    <row r="214">
      <c r="A214" s="624">
        <v>191.0</v>
      </c>
      <c r="B214" s="1008"/>
      <c r="C214" s="989"/>
      <c r="D214" s="851"/>
      <c r="E214" s="990"/>
      <c r="F214" s="991"/>
      <c r="G214" s="991"/>
      <c r="H214" s="992"/>
      <c r="I214" s="993"/>
      <c r="J214" s="993"/>
      <c r="K214" s="993"/>
      <c r="L214" s="993"/>
      <c r="M214" s="993"/>
      <c r="N214" s="993"/>
      <c r="O214" s="993"/>
      <c r="P214" s="993"/>
      <c r="Q214" s="993"/>
      <c r="R214" s="993"/>
      <c r="S214" s="936"/>
      <c r="T214" s="998"/>
      <c r="U214" s="935"/>
      <c r="V214" s="935"/>
      <c r="W214" s="949" t="str">
        <f>IF(AND($S$20,NOT($U$20)),IF($V214:$V623="","",SUMIF(portfolio.!$A$4:$A623,V214,portfolio.!$AN$4:$AN623)),"")</f>
        <v/>
      </c>
      <c r="X214" s="998"/>
      <c r="Y214" s="936"/>
      <c r="Z214" s="936" t="s">
        <v>123</v>
      </c>
      <c r="AA214" s="936" t="s">
        <v>123</v>
      </c>
      <c r="AB214" s="936" t="s">
        <v>123</v>
      </c>
      <c r="AC214" s="907" t="s">
        <v>123</v>
      </c>
      <c r="AD214" s="999"/>
      <c r="AE214" s="936"/>
      <c r="AF214" s="936"/>
      <c r="AG214" s="936"/>
      <c r="AH214" s="936"/>
      <c r="AI214" s="999"/>
      <c r="AJ214" s="935"/>
      <c r="AK214" s="966"/>
      <c r="AL214" s="949"/>
      <c r="AM214" s="949" t="s">
        <v>123</v>
      </c>
      <c r="AN214" s="949"/>
      <c r="AO214" s="999"/>
      <c r="AP214" s="936"/>
      <c r="AQ214" s="987"/>
      <c r="AR214" s="907"/>
      <c r="AS214" s="907"/>
      <c r="AT214" s="967" t="s">
        <v>123</v>
      </c>
      <c r="AU214" s="967" t="s">
        <v>123</v>
      </c>
      <c r="AV214" s="967" t="s">
        <v>123</v>
      </c>
      <c r="AW214" s="907" t="s">
        <v>123</v>
      </c>
      <c r="AX214" s="907" t="s">
        <v>123</v>
      </c>
      <c r="AY214" s="907" t="s">
        <v>123</v>
      </c>
      <c r="AZ214" s="936" t="s">
        <v>123</v>
      </c>
      <c r="BA214" s="935" t="s">
        <v>123</v>
      </c>
      <c r="BB214" s="1000"/>
      <c r="BC214" s="1001"/>
      <c r="BD214" s="936"/>
      <c r="BE214" s="907"/>
      <c r="BF214" s="1002" t="str">
        <f>IF($BC214="","",SUMIF(portfolio.!$A$4:$A623,BC214,portfolio.!$AN$4:$AN623))</f>
        <v/>
      </c>
      <c r="BG214" s="936" t="s">
        <v>123</v>
      </c>
      <c r="BH214" s="907" t="s">
        <v>123</v>
      </c>
      <c r="BI214" s="935" t="s">
        <v>123</v>
      </c>
      <c r="BJ214" s="1003"/>
      <c r="BK214" s="907" t="s">
        <v>123</v>
      </c>
      <c r="BL214" s="907" t="s">
        <v>123</v>
      </c>
      <c r="BM214" s="907" t="s">
        <v>123</v>
      </c>
      <c r="BN214" s="1004" t="s">
        <v>123</v>
      </c>
      <c r="BO214" s="907" t="str">
        <f t="shared" si="6"/>
        <v/>
      </c>
      <c r="BP214" s="907" t="str">
        <f t="shared" si="7"/>
        <v/>
      </c>
      <c r="BQ214" s="907" t="str">
        <f t="shared" si="8"/>
        <v/>
      </c>
      <c r="BR214" s="1004" t="str">
        <f t="shared" si="9"/>
        <v/>
      </c>
      <c r="BS214" s="1005" t="str">
        <f t="shared" si="10"/>
        <v/>
      </c>
      <c r="BT214" s="1006" t="s">
        <v>123</v>
      </c>
      <c r="BU214" s="1002" t="s">
        <v>123</v>
      </c>
      <c r="BV214" s="1006" t="s">
        <v>123</v>
      </c>
      <c r="BW214" s="1007"/>
    </row>
    <row r="215">
      <c r="A215" s="624">
        <v>192.0</v>
      </c>
      <c r="B215" s="1008"/>
      <c r="C215" s="989"/>
      <c r="D215" s="851"/>
      <c r="E215" s="990"/>
      <c r="F215" s="991"/>
      <c r="G215" s="991"/>
      <c r="H215" s="992"/>
      <c r="I215" s="993"/>
      <c r="J215" s="993"/>
      <c r="K215" s="993"/>
      <c r="L215" s="993"/>
      <c r="M215" s="993"/>
      <c r="N215" s="993"/>
      <c r="O215" s="993"/>
      <c r="P215" s="993"/>
      <c r="Q215" s="993"/>
      <c r="R215" s="993"/>
      <c r="S215" s="936"/>
      <c r="T215" s="998"/>
      <c r="U215" s="935"/>
      <c r="V215" s="935"/>
      <c r="W215" s="949" t="str">
        <f>IF(AND($S$20,NOT($U$20)),IF($V215:$V623="","",SUMIF(portfolio.!$A$4:$A623,V215,portfolio.!$AN$4:$AN623)),"")</f>
        <v/>
      </c>
      <c r="X215" s="998"/>
      <c r="Y215" s="936"/>
      <c r="Z215" s="936" t="s">
        <v>123</v>
      </c>
      <c r="AA215" s="936" t="s">
        <v>123</v>
      </c>
      <c r="AB215" s="936" t="s">
        <v>123</v>
      </c>
      <c r="AC215" s="907" t="s">
        <v>123</v>
      </c>
      <c r="AD215" s="999"/>
      <c r="AE215" s="936"/>
      <c r="AF215" s="936"/>
      <c r="AG215" s="936"/>
      <c r="AH215" s="936"/>
      <c r="AI215" s="999"/>
      <c r="AJ215" s="935"/>
      <c r="AK215" s="966"/>
      <c r="AL215" s="949"/>
      <c r="AM215" s="949" t="s">
        <v>123</v>
      </c>
      <c r="AN215" s="949"/>
      <c r="AO215" s="999"/>
      <c r="AP215" s="936"/>
      <c r="AQ215" s="987"/>
      <c r="AR215" s="907"/>
      <c r="AS215" s="907"/>
      <c r="AT215" s="967" t="s">
        <v>123</v>
      </c>
      <c r="AU215" s="967" t="s">
        <v>123</v>
      </c>
      <c r="AV215" s="967" t="s">
        <v>123</v>
      </c>
      <c r="AW215" s="907" t="s">
        <v>123</v>
      </c>
      <c r="AX215" s="907" t="s">
        <v>123</v>
      </c>
      <c r="AY215" s="907" t="s">
        <v>123</v>
      </c>
      <c r="AZ215" s="936" t="s">
        <v>123</v>
      </c>
      <c r="BA215" s="935" t="s">
        <v>123</v>
      </c>
      <c r="BB215" s="1000"/>
      <c r="BC215" s="1001"/>
      <c r="BD215" s="936"/>
      <c r="BE215" s="907"/>
      <c r="BF215" s="1002" t="str">
        <f>IF($BC215="","",SUMIF(portfolio.!$A$4:$A623,BC215,portfolio.!$AN$4:$AN623))</f>
        <v/>
      </c>
      <c r="BG215" s="936" t="s">
        <v>123</v>
      </c>
      <c r="BH215" s="907" t="s">
        <v>123</v>
      </c>
      <c r="BI215" s="935" t="s">
        <v>123</v>
      </c>
      <c r="BJ215" s="1003"/>
      <c r="BK215" s="907" t="s">
        <v>123</v>
      </c>
      <c r="BL215" s="907" t="s">
        <v>123</v>
      </c>
      <c r="BM215" s="907" t="s">
        <v>123</v>
      </c>
      <c r="BN215" s="1004" t="s">
        <v>123</v>
      </c>
      <c r="BO215" s="907" t="str">
        <f t="shared" si="6"/>
        <v/>
      </c>
      <c r="BP215" s="907" t="str">
        <f t="shared" si="7"/>
        <v/>
      </c>
      <c r="BQ215" s="907" t="str">
        <f t="shared" si="8"/>
        <v/>
      </c>
      <c r="BR215" s="1004" t="str">
        <f t="shared" si="9"/>
        <v/>
      </c>
      <c r="BS215" s="1005" t="str">
        <f t="shared" si="10"/>
        <v/>
      </c>
      <c r="BT215" s="1006" t="s">
        <v>123</v>
      </c>
      <c r="BU215" s="1002" t="s">
        <v>123</v>
      </c>
      <c r="BV215" s="1006" t="s">
        <v>123</v>
      </c>
      <c r="BW215" s="1007"/>
    </row>
    <row r="216">
      <c r="A216" s="624">
        <v>193.0</v>
      </c>
      <c r="B216" s="1008"/>
      <c r="C216" s="989"/>
      <c r="D216" s="851"/>
      <c r="E216" s="990"/>
      <c r="F216" s="991"/>
      <c r="G216" s="991"/>
      <c r="H216" s="992"/>
      <c r="I216" s="993"/>
      <c r="J216" s="993"/>
      <c r="K216" s="993"/>
      <c r="L216" s="993"/>
      <c r="M216" s="993"/>
      <c r="N216" s="993"/>
      <c r="O216" s="993"/>
      <c r="P216" s="993"/>
      <c r="Q216" s="993"/>
      <c r="R216" s="993"/>
      <c r="S216" s="936"/>
      <c r="T216" s="998"/>
      <c r="U216" s="935"/>
      <c r="V216" s="935"/>
      <c r="W216" s="949" t="str">
        <f>IF(AND($S$20,NOT($U$20)),IF($V216:$V623="","",SUMIF(portfolio.!$A$4:$A623,V216,portfolio.!$AN$4:$AN623)),"")</f>
        <v/>
      </c>
      <c r="X216" s="998"/>
      <c r="Y216" s="936"/>
      <c r="Z216" s="936" t="s">
        <v>123</v>
      </c>
      <c r="AA216" s="936" t="s">
        <v>123</v>
      </c>
      <c r="AB216" s="936" t="s">
        <v>123</v>
      </c>
      <c r="AC216" s="907" t="s">
        <v>123</v>
      </c>
      <c r="AD216" s="999"/>
      <c r="AE216" s="936"/>
      <c r="AF216" s="936"/>
      <c r="AG216" s="936"/>
      <c r="AH216" s="936"/>
      <c r="AI216" s="999"/>
      <c r="AJ216" s="935"/>
      <c r="AK216" s="966"/>
      <c r="AL216" s="949"/>
      <c r="AM216" s="949" t="s">
        <v>123</v>
      </c>
      <c r="AN216" s="949"/>
      <c r="AO216" s="999"/>
      <c r="AP216" s="936"/>
      <c r="AQ216" s="987"/>
      <c r="AR216" s="907"/>
      <c r="AS216" s="907"/>
      <c r="AT216" s="967" t="s">
        <v>123</v>
      </c>
      <c r="AU216" s="967" t="s">
        <v>123</v>
      </c>
      <c r="AV216" s="967" t="s">
        <v>123</v>
      </c>
      <c r="AW216" s="907" t="s">
        <v>123</v>
      </c>
      <c r="AX216" s="907" t="s">
        <v>123</v>
      </c>
      <c r="AY216" s="907" t="s">
        <v>123</v>
      </c>
      <c r="AZ216" s="936" t="s">
        <v>123</v>
      </c>
      <c r="BA216" s="935" t="s">
        <v>123</v>
      </c>
      <c r="BB216" s="1000"/>
      <c r="BC216" s="1001"/>
      <c r="BD216" s="936"/>
      <c r="BE216" s="907"/>
      <c r="BF216" s="1002" t="str">
        <f>IF($BC216="","",SUMIF(portfolio.!$A$4:$A623,BC216,portfolio.!$AN$4:$AN623))</f>
        <v/>
      </c>
      <c r="BG216" s="936" t="s">
        <v>123</v>
      </c>
      <c r="BH216" s="907" t="s">
        <v>123</v>
      </c>
      <c r="BI216" s="935" t="s">
        <v>123</v>
      </c>
      <c r="BJ216" s="1003"/>
      <c r="BK216" s="907" t="s">
        <v>123</v>
      </c>
      <c r="BL216" s="907" t="s">
        <v>123</v>
      </c>
      <c r="BM216" s="907" t="s">
        <v>123</v>
      </c>
      <c r="BN216" s="1004" t="s">
        <v>123</v>
      </c>
      <c r="BO216" s="907" t="str">
        <f t="shared" si="6"/>
        <v/>
      </c>
      <c r="BP216" s="907" t="str">
        <f t="shared" si="7"/>
        <v/>
      </c>
      <c r="BQ216" s="907" t="str">
        <f t="shared" si="8"/>
        <v/>
      </c>
      <c r="BR216" s="1004" t="str">
        <f t="shared" si="9"/>
        <v/>
      </c>
      <c r="BS216" s="1005" t="str">
        <f t="shared" si="10"/>
        <v/>
      </c>
      <c r="BT216" s="1006" t="s">
        <v>123</v>
      </c>
      <c r="BU216" s="1002" t="s">
        <v>123</v>
      </c>
      <c r="BV216" s="1006" t="s">
        <v>123</v>
      </c>
      <c r="BW216" s="1007"/>
    </row>
    <row r="217">
      <c r="A217" s="624">
        <v>194.0</v>
      </c>
      <c r="B217" s="1008"/>
      <c r="C217" s="989"/>
      <c r="D217" s="851"/>
      <c r="E217" s="990"/>
      <c r="F217" s="991"/>
      <c r="G217" s="991"/>
      <c r="H217" s="992"/>
      <c r="I217" s="993"/>
      <c r="J217" s="993"/>
      <c r="K217" s="993"/>
      <c r="L217" s="993"/>
      <c r="M217" s="993"/>
      <c r="N217" s="993"/>
      <c r="O217" s="993"/>
      <c r="P217" s="993"/>
      <c r="Q217" s="993"/>
      <c r="R217" s="993"/>
      <c r="S217" s="936"/>
      <c r="T217" s="998"/>
      <c r="U217" s="935"/>
      <c r="V217" s="935"/>
      <c r="W217" s="949" t="str">
        <f>IF(AND($S$20,NOT($U$20)),IF($V217:$V623="","",SUMIF(portfolio.!$A$4:$A623,V217,portfolio.!$AN$4:$AN623)),"")</f>
        <v/>
      </c>
      <c r="X217" s="998"/>
      <c r="Y217" s="936"/>
      <c r="Z217" s="936" t="s">
        <v>123</v>
      </c>
      <c r="AA217" s="936" t="s">
        <v>123</v>
      </c>
      <c r="AB217" s="936" t="s">
        <v>123</v>
      </c>
      <c r="AC217" s="907" t="s">
        <v>123</v>
      </c>
      <c r="AD217" s="999"/>
      <c r="AE217" s="936"/>
      <c r="AF217" s="936"/>
      <c r="AG217" s="936"/>
      <c r="AH217" s="936"/>
      <c r="AI217" s="999"/>
      <c r="AJ217" s="935"/>
      <c r="AK217" s="966"/>
      <c r="AL217" s="949"/>
      <c r="AM217" s="949" t="s">
        <v>123</v>
      </c>
      <c r="AN217" s="949"/>
      <c r="AO217" s="999"/>
      <c r="AP217" s="936"/>
      <c r="AQ217" s="987"/>
      <c r="AR217" s="907"/>
      <c r="AS217" s="907"/>
      <c r="AT217" s="967" t="s">
        <v>123</v>
      </c>
      <c r="AU217" s="967" t="s">
        <v>123</v>
      </c>
      <c r="AV217" s="967" t="s">
        <v>123</v>
      </c>
      <c r="AW217" s="907" t="s">
        <v>123</v>
      </c>
      <c r="AX217" s="907" t="s">
        <v>123</v>
      </c>
      <c r="AY217" s="907" t="s">
        <v>123</v>
      </c>
      <c r="AZ217" s="936" t="s">
        <v>123</v>
      </c>
      <c r="BA217" s="935" t="s">
        <v>123</v>
      </c>
      <c r="BB217" s="1000"/>
      <c r="BC217" s="1001"/>
      <c r="BD217" s="936"/>
      <c r="BE217" s="907"/>
      <c r="BF217" s="1002" t="str">
        <f>IF($BC217="","",SUMIF(portfolio.!$A$4:$A623,BC217,portfolio.!$AN$4:$AN623))</f>
        <v/>
      </c>
      <c r="BG217" s="936" t="s">
        <v>123</v>
      </c>
      <c r="BH217" s="907" t="s">
        <v>123</v>
      </c>
      <c r="BI217" s="935" t="s">
        <v>123</v>
      </c>
      <c r="BJ217" s="1003"/>
      <c r="BK217" s="907" t="s">
        <v>123</v>
      </c>
      <c r="BL217" s="907" t="s">
        <v>123</v>
      </c>
      <c r="BM217" s="907" t="s">
        <v>123</v>
      </c>
      <c r="BN217" s="1004" t="s">
        <v>123</v>
      </c>
      <c r="BO217" s="907" t="str">
        <f t="shared" si="6"/>
        <v/>
      </c>
      <c r="BP217" s="907" t="str">
        <f t="shared" si="7"/>
        <v/>
      </c>
      <c r="BQ217" s="907" t="str">
        <f t="shared" si="8"/>
        <v/>
      </c>
      <c r="BR217" s="1004" t="str">
        <f t="shared" si="9"/>
        <v/>
      </c>
      <c r="BS217" s="1005" t="str">
        <f t="shared" si="10"/>
        <v/>
      </c>
      <c r="BT217" s="1006" t="s">
        <v>123</v>
      </c>
      <c r="BU217" s="1002" t="s">
        <v>123</v>
      </c>
      <c r="BV217" s="1006" t="s">
        <v>123</v>
      </c>
      <c r="BW217" s="1007"/>
    </row>
    <row r="218">
      <c r="A218" s="624">
        <v>195.0</v>
      </c>
      <c r="B218" s="1008"/>
      <c r="C218" s="989"/>
      <c r="D218" s="851"/>
      <c r="E218" s="990"/>
      <c r="F218" s="991"/>
      <c r="G218" s="991"/>
      <c r="H218" s="992"/>
      <c r="I218" s="993"/>
      <c r="J218" s="993"/>
      <c r="K218" s="993"/>
      <c r="L218" s="993"/>
      <c r="M218" s="993"/>
      <c r="N218" s="993"/>
      <c r="O218" s="993"/>
      <c r="P218" s="993"/>
      <c r="Q218" s="993"/>
      <c r="R218" s="993"/>
      <c r="S218" s="936"/>
      <c r="T218" s="998"/>
      <c r="U218" s="935"/>
      <c r="V218" s="935"/>
      <c r="W218" s="949" t="str">
        <f>IF(AND($S$20,NOT($U$20)),IF($V218:$V623="","",SUMIF(portfolio.!$A$4:$A623,V218,portfolio.!$AN$4:$AN623)),"")</f>
        <v/>
      </c>
      <c r="X218" s="998"/>
      <c r="Y218" s="936"/>
      <c r="Z218" s="936" t="s">
        <v>123</v>
      </c>
      <c r="AA218" s="936" t="s">
        <v>123</v>
      </c>
      <c r="AB218" s="936" t="s">
        <v>123</v>
      </c>
      <c r="AC218" s="907" t="s">
        <v>123</v>
      </c>
      <c r="AD218" s="999"/>
      <c r="AE218" s="936"/>
      <c r="AF218" s="936"/>
      <c r="AG218" s="936"/>
      <c r="AH218" s="936"/>
      <c r="AI218" s="999"/>
      <c r="AJ218" s="935"/>
      <c r="AK218" s="966"/>
      <c r="AL218" s="949"/>
      <c r="AM218" s="949" t="s">
        <v>123</v>
      </c>
      <c r="AN218" s="949"/>
      <c r="AO218" s="999"/>
      <c r="AP218" s="936"/>
      <c r="AQ218" s="987"/>
      <c r="AR218" s="907"/>
      <c r="AS218" s="907"/>
      <c r="AT218" s="967" t="s">
        <v>123</v>
      </c>
      <c r="AU218" s="967" t="s">
        <v>123</v>
      </c>
      <c r="AV218" s="967" t="s">
        <v>123</v>
      </c>
      <c r="AW218" s="907" t="s">
        <v>123</v>
      </c>
      <c r="AX218" s="907" t="s">
        <v>123</v>
      </c>
      <c r="AY218" s="907" t="s">
        <v>123</v>
      </c>
      <c r="AZ218" s="936" t="s">
        <v>123</v>
      </c>
      <c r="BA218" s="935" t="s">
        <v>123</v>
      </c>
      <c r="BB218" s="1000"/>
      <c r="BC218" s="1001"/>
      <c r="BD218" s="936"/>
      <c r="BE218" s="907"/>
      <c r="BF218" s="1002" t="str">
        <f>IF($BC218="","",SUMIF(portfolio.!$A$4:$A623,BC218,portfolio.!$AN$4:$AN623))</f>
        <v/>
      </c>
      <c r="BG218" s="936" t="s">
        <v>123</v>
      </c>
      <c r="BH218" s="907" t="s">
        <v>123</v>
      </c>
      <c r="BI218" s="935" t="s">
        <v>123</v>
      </c>
      <c r="BJ218" s="1003"/>
      <c r="BK218" s="907" t="s">
        <v>123</v>
      </c>
      <c r="BL218" s="907" t="s">
        <v>123</v>
      </c>
      <c r="BM218" s="907" t="s">
        <v>123</v>
      </c>
      <c r="BN218" s="1004" t="s">
        <v>123</v>
      </c>
      <c r="BO218" s="907" t="str">
        <f t="shared" si="6"/>
        <v/>
      </c>
      <c r="BP218" s="907" t="str">
        <f t="shared" si="7"/>
        <v/>
      </c>
      <c r="BQ218" s="907" t="str">
        <f t="shared" si="8"/>
        <v/>
      </c>
      <c r="BR218" s="1004" t="str">
        <f t="shared" si="9"/>
        <v/>
      </c>
      <c r="BS218" s="1005" t="str">
        <f t="shared" si="10"/>
        <v/>
      </c>
      <c r="BT218" s="1006" t="s">
        <v>123</v>
      </c>
      <c r="BU218" s="1002" t="s">
        <v>123</v>
      </c>
      <c r="BV218" s="1006" t="s">
        <v>123</v>
      </c>
      <c r="BW218" s="1007"/>
    </row>
    <row r="219">
      <c r="A219" s="624">
        <v>196.0</v>
      </c>
      <c r="B219" s="1008"/>
      <c r="C219" s="989"/>
      <c r="D219" s="851"/>
      <c r="E219" s="990"/>
      <c r="F219" s="991"/>
      <c r="G219" s="991"/>
      <c r="H219" s="992"/>
      <c r="I219" s="993"/>
      <c r="J219" s="993"/>
      <c r="K219" s="993"/>
      <c r="L219" s="993"/>
      <c r="M219" s="993"/>
      <c r="N219" s="993"/>
      <c r="O219" s="993"/>
      <c r="P219" s="993"/>
      <c r="Q219" s="993"/>
      <c r="R219" s="993"/>
      <c r="S219" s="936"/>
      <c r="T219" s="998"/>
      <c r="U219" s="935"/>
      <c r="V219" s="935"/>
      <c r="W219" s="949" t="str">
        <f>IF(AND($S$20,NOT($U$20)),IF($V219:$V623="","",SUMIF(portfolio.!$A$4:$A623,V219,portfolio.!$AN$4:$AN623)),"")</f>
        <v/>
      </c>
      <c r="X219" s="998"/>
      <c r="Y219" s="936"/>
      <c r="Z219" s="936" t="s">
        <v>123</v>
      </c>
      <c r="AA219" s="936" t="s">
        <v>123</v>
      </c>
      <c r="AB219" s="936" t="s">
        <v>123</v>
      </c>
      <c r="AC219" s="907" t="s">
        <v>123</v>
      </c>
      <c r="AD219" s="999"/>
      <c r="AE219" s="936"/>
      <c r="AF219" s="936"/>
      <c r="AG219" s="936"/>
      <c r="AH219" s="936"/>
      <c r="AI219" s="999"/>
      <c r="AJ219" s="935"/>
      <c r="AK219" s="966"/>
      <c r="AL219" s="949"/>
      <c r="AM219" s="949" t="s">
        <v>123</v>
      </c>
      <c r="AN219" s="949"/>
      <c r="AO219" s="999"/>
      <c r="AP219" s="936"/>
      <c r="AQ219" s="987"/>
      <c r="AR219" s="907"/>
      <c r="AS219" s="907"/>
      <c r="AT219" s="967" t="s">
        <v>123</v>
      </c>
      <c r="AU219" s="967" t="s">
        <v>123</v>
      </c>
      <c r="AV219" s="967" t="s">
        <v>123</v>
      </c>
      <c r="AW219" s="907" t="s">
        <v>123</v>
      </c>
      <c r="AX219" s="907" t="s">
        <v>123</v>
      </c>
      <c r="AY219" s="907" t="s">
        <v>123</v>
      </c>
      <c r="AZ219" s="936" t="s">
        <v>123</v>
      </c>
      <c r="BA219" s="935" t="s">
        <v>123</v>
      </c>
      <c r="BB219" s="1000"/>
      <c r="BC219" s="1001"/>
      <c r="BD219" s="936"/>
      <c r="BE219" s="907"/>
      <c r="BF219" s="1002" t="str">
        <f>IF($BC219="","",SUMIF(portfolio.!$A$4:$A623,BC219,portfolio.!$AN$4:$AN623))</f>
        <v/>
      </c>
      <c r="BG219" s="936" t="s">
        <v>123</v>
      </c>
      <c r="BH219" s="907" t="s">
        <v>123</v>
      </c>
      <c r="BI219" s="935" t="s">
        <v>123</v>
      </c>
      <c r="BJ219" s="1003"/>
      <c r="BK219" s="907" t="s">
        <v>123</v>
      </c>
      <c r="BL219" s="907" t="s">
        <v>123</v>
      </c>
      <c r="BM219" s="907" t="s">
        <v>123</v>
      </c>
      <c r="BN219" s="1004" t="s">
        <v>123</v>
      </c>
      <c r="BO219" s="907" t="str">
        <f t="shared" si="6"/>
        <v/>
      </c>
      <c r="BP219" s="907" t="str">
        <f t="shared" si="7"/>
        <v/>
      </c>
      <c r="BQ219" s="907" t="str">
        <f t="shared" si="8"/>
        <v/>
      </c>
      <c r="BR219" s="1004" t="str">
        <f t="shared" si="9"/>
        <v/>
      </c>
      <c r="BS219" s="1005" t="str">
        <f t="shared" si="10"/>
        <v/>
      </c>
      <c r="BT219" s="1006" t="s">
        <v>123</v>
      </c>
      <c r="BU219" s="1002" t="s">
        <v>123</v>
      </c>
      <c r="BV219" s="1006" t="s">
        <v>123</v>
      </c>
      <c r="BW219" s="1007"/>
    </row>
    <row r="220">
      <c r="A220" s="624">
        <v>197.0</v>
      </c>
      <c r="B220" s="1008"/>
      <c r="C220" s="989"/>
      <c r="D220" s="851"/>
      <c r="E220" s="990"/>
      <c r="F220" s="991"/>
      <c r="G220" s="991"/>
      <c r="H220" s="992"/>
      <c r="I220" s="993"/>
      <c r="J220" s="993"/>
      <c r="K220" s="993"/>
      <c r="L220" s="993"/>
      <c r="M220" s="993"/>
      <c r="N220" s="993"/>
      <c r="O220" s="993"/>
      <c r="P220" s="993"/>
      <c r="Q220" s="993"/>
      <c r="R220" s="993"/>
      <c r="S220" s="936"/>
      <c r="T220" s="998"/>
      <c r="U220" s="935"/>
      <c r="V220" s="935"/>
      <c r="W220" s="949" t="str">
        <f>IF(AND($S$20,NOT($U$20)),IF($V220:$V623="","",SUMIF(portfolio.!$A$4:$A623,V220,portfolio.!$AN$4:$AN623)),"")</f>
        <v/>
      </c>
      <c r="X220" s="998"/>
      <c r="Y220" s="936"/>
      <c r="Z220" s="936" t="s">
        <v>123</v>
      </c>
      <c r="AA220" s="936" t="s">
        <v>123</v>
      </c>
      <c r="AB220" s="936" t="s">
        <v>123</v>
      </c>
      <c r="AC220" s="907" t="s">
        <v>123</v>
      </c>
      <c r="AD220" s="999"/>
      <c r="AE220" s="936"/>
      <c r="AF220" s="936"/>
      <c r="AG220" s="936"/>
      <c r="AH220" s="936"/>
      <c r="AI220" s="999"/>
      <c r="AJ220" s="935"/>
      <c r="AK220" s="966"/>
      <c r="AL220" s="949"/>
      <c r="AM220" s="949" t="s">
        <v>123</v>
      </c>
      <c r="AN220" s="949"/>
      <c r="AO220" s="999"/>
      <c r="AP220" s="936"/>
      <c r="AQ220" s="987"/>
      <c r="AR220" s="907"/>
      <c r="AS220" s="907"/>
      <c r="AT220" s="967" t="s">
        <v>123</v>
      </c>
      <c r="AU220" s="967" t="s">
        <v>123</v>
      </c>
      <c r="AV220" s="967" t="s">
        <v>123</v>
      </c>
      <c r="AW220" s="907" t="s">
        <v>123</v>
      </c>
      <c r="AX220" s="907" t="s">
        <v>123</v>
      </c>
      <c r="AY220" s="907" t="s">
        <v>123</v>
      </c>
      <c r="AZ220" s="936" t="s">
        <v>123</v>
      </c>
      <c r="BA220" s="935" t="s">
        <v>123</v>
      </c>
      <c r="BB220" s="1000"/>
      <c r="BC220" s="1001"/>
      <c r="BD220" s="936"/>
      <c r="BE220" s="907"/>
      <c r="BF220" s="1002" t="str">
        <f>IF($BC220="","",SUMIF(portfolio.!$A$4:$A623,BC220,portfolio.!$AN$4:$AN623))</f>
        <v/>
      </c>
      <c r="BG220" s="936" t="s">
        <v>123</v>
      </c>
      <c r="BH220" s="907" t="s">
        <v>123</v>
      </c>
      <c r="BI220" s="935" t="s">
        <v>123</v>
      </c>
      <c r="BJ220" s="1003"/>
      <c r="BK220" s="907" t="s">
        <v>123</v>
      </c>
      <c r="BL220" s="907" t="s">
        <v>123</v>
      </c>
      <c r="BM220" s="907" t="s">
        <v>123</v>
      </c>
      <c r="BN220" s="1004" t="s">
        <v>123</v>
      </c>
      <c r="BO220" s="907" t="str">
        <f t="shared" si="6"/>
        <v/>
      </c>
      <c r="BP220" s="907" t="str">
        <f t="shared" si="7"/>
        <v/>
      </c>
      <c r="BQ220" s="907" t="str">
        <f t="shared" si="8"/>
        <v/>
      </c>
      <c r="BR220" s="1004" t="str">
        <f t="shared" si="9"/>
        <v/>
      </c>
      <c r="BS220" s="1005" t="str">
        <f t="shared" si="10"/>
        <v/>
      </c>
      <c r="BT220" s="1006" t="s">
        <v>123</v>
      </c>
      <c r="BU220" s="1002" t="s">
        <v>123</v>
      </c>
      <c r="BV220" s="1006" t="s">
        <v>123</v>
      </c>
      <c r="BW220" s="1007"/>
    </row>
    <row r="221">
      <c r="A221" s="624">
        <v>198.0</v>
      </c>
      <c r="B221" s="1008"/>
      <c r="C221" s="989"/>
      <c r="D221" s="851"/>
      <c r="E221" s="990"/>
      <c r="F221" s="991"/>
      <c r="G221" s="991"/>
      <c r="H221" s="992"/>
      <c r="I221" s="993"/>
      <c r="J221" s="993"/>
      <c r="K221" s="993"/>
      <c r="L221" s="993"/>
      <c r="M221" s="993"/>
      <c r="N221" s="993"/>
      <c r="O221" s="993"/>
      <c r="P221" s="993"/>
      <c r="Q221" s="993"/>
      <c r="R221" s="993"/>
      <c r="S221" s="936"/>
      <c r="T221" s="998"/>
      <c r="U221" s="935"/>
      <c r="V221" s="935"/>
      <c r="W221" s="949" t="str">
        <f>IF(AND($S$20,NOT($U$20)),IF($V221:$V623="","",SUMIF(portfolio.!$A$4:$A623,V221,portfolio.!$AN$4:$AN623)),"")</f>
        <v/>
      </c>
      <c r="X221" s="998"/>
      <c r="Y221" s="936"/>
      <c r="Z221" s="936" t="s">
        <v>123</v>
      </c>
      <c r="AA221" s="936" t="s">
        <v>123</v>
      </c>
      <c r="AB221" s="936" t="s">
        <v>123</v>
      </c>
      <c r="AC221" s="907" t="s">
        <v>123</v>
      </c>
      <c r="AD221" s="999"/>
      <c r="AE221" s="936"/>
      <c r="AF221" s="936"/>
      <c r="AG221" s="936"/>
      <c r="AH221" s="936"/>
      <c r="AI221" s="999"/>
      <c r="AJ221" s="935"/>
      <c r="AK221" s="966"/>
      <c r="AL221" s="949"/>
      <c r="AM221" s="949" t="s">
        <v>123</v>
      </c>
      <c r="AN221" s="949"/>
      <c r="AO221" s="999"/>
      <c r="AP221" s="936"/>
      <c r="AQ221" s="987"/>
      <c r="AR221" s="907"/>
      <c r="AS221" s="907"/>
      <c r="AT221" s="967" t="s">
        <v>123</v>
      </c>
      <c r="AU221" s="967" t="s">
        <v>123</v>
      </c>
      <c r="AV221" s="967" t="s">
        <v>123</v>
      </c>
      <c r="AW221" s="907" t="s">
        <v>123</v>
      </c>
      <c r="AX221" s="907" t="s">
        <v>123</v>
      </c>
      <c r="AY221" s="907" t="s">
        <v>123</v>
      </c>
      <c r="AZ221" s="936" t="s">
        <v>123</v>
      </c>
      <c r="BA221" s="935" t="s">
        <v>123</v>
      </c>
      <c r="BB221" s="1000"/>
      <c r="BC221" s="1001"/>
      <c r="BD221" s="936"/>
      <c r="BE221" s="907"/>
      <c r="BF221" s="1002" t="str">
        <f>IF($BC221="","",SUMIF(portfolio.!$A$4:$A623,BC221,portfolio.!$AN$4:$AN623))</f>
        <v/>
      </c>
      <c r="BG221" s="936" t="s">
        <v>123</v>
      </c>
      <c r="BH221" s="907" t="s">
        <v>123</v>
      </c>
      <c r="BI221" s="935" t="s">
        <v>123</v>
      </c>
      <c r="BJ221" s="1003"/>
      <c r="BK221" s="907" t="s">
        <v>123</v>
      </c>
      <c r="BL221" s="907" t="s">
        <v>123</v>
      </c>
      <c r="BM221" s="907" t="s">
        <v>123</v>
      </c>
      <c r="BN221" s="1004" t="s">
        <v>123</v>
      </c>
      <c r="BO221" s="907" t="str">
        <f t="shared" si="6"/>
        <v/>
      </c>
      <c r="BP221" s="907" t="str">
        <f t="shared" si="7"/>
        <v/>
      </c>
      <c r="BQ221" s="907" t="str">
        <f t="shared" si="8"/>
        <v/>
      </c>
      <c r="BR221" s="1004" t="str">
        <f t="shared" si="9"/>
        <v/>
      </c>
      <c r="BS221" s="1005" t="str">
        <f t="shared" si="10"/>
        <v/>
      </c>
      <c r="BT221" s="1006" t="s">
        <v>123</v>
      </c>
      <c r="BU221" s="1002" t="s">
        <v>123</v>
      </c>
      <c r="BV221" s="1006" t="s">
        <v>123</v>
      </c>
      <c r="BW221" s="1007"/>
    </row>
    <row r="222">
      <c r="A222" s="624">
        <v>199.0</v>
      </c>
      <c r="B222" s="1008"/>
      <c r="C222" s="989"/>
      <c r="D222" s="851"/>
      <c r="E222" s="990"/>
      <c r="F222" s="991"/>
      <c r="G222" s="991"/>
      <c r="H222" s="992"/>
      <c r="I222" s="993"/>
      <c r="J222" s="993"/>
      <c r="K222" s="993"/>
      <c r="L222" s="993"/>
      <c r="M222" s="993"/>
      <c r="N222" s="993"/>
      <c r="O222" s="993"/>
      <c r="P222" s="993"/>
      <c r="Q222" s="993"/>
      <c r="R222" s="993"/>
      <c r="S222" s="936"/>
      <c r="T222" s="998"/>
      <c r="U222" s="935"/>
      <c r="V222" s="935"/>
      <c r="W222" s="949" t="str">
        <f>IF(AND($S$20,NOT($U$20)),IF($V222:$V623="","",SUMIF(portfolio.!$A$4:$A623,V222,portfolio.!$AN$4:$AN623)),"")</f>
        <v/>
      </c>
      <c r="X222" s="998"/>
      <c r="Y222" s="936"/>
      <c r="Z222" s="936" t="s">
        <v>123</v>
      </c>
      <c r="AA222" s="936" t="s">
        <v>123</v>
      </c>
      <c r="AB222" s="936" t="s">
        <v>123</v>
      </c>
      <c r="AC222" s="907" t="s">
        <v>123</v>
      </c>
      <c r="AD222" s="999"/>
      <c r="AE222" s="936"/>
      <c r="AF222" s="936"/>
      <c r="AG222" s="936"/>
      <c r="AH222" s="936"/>
      <c r="AI222" s="999"/>
      <c r="AJ222" s="935"/>
      <c r="AK222" s="966"/>
      <c r="AL222" s="949"/>
      <c r="AM222" s="949" t="s">
        <v>123</v>
      </c>
      <c r="AN222" s="949"/>
      <c r="AO222" s="999"/>
      <c r="AP222" s="936"/>
      <c r="AQ222" s="987"/>
      <c r="AR222" s="907"/>
      <c r="AS222" s="907"/>
      <c r="AT222" s="967" t="s">
        <v>123</v>
      </c>
      <c r="AU222" s="967" t="s">
        <v>123</v>
      </c>
      <c r="AV222" s="967" t="s">
        <v>123</v>
      </c>
      <c r="AW222" s="907" t="s">
        <v>123</v>
      </c>
      <c r="AX222" s="907" t="s">
        <v>123</v>
      </c>
      <c r="AY222" s="907" t="s">
        <v>123</v>
      </c>
      <c r="AZ222" s="936" t="s">
        <v>123</v>
      </c>
      <c r="BA222" s="935" t="s">
        <v>123</v>
      </c>
      <c r="BB222" s="1000"/>
      <c r="BC222" s="1001"/>
      <c r="BD222" s="936"/>
      <c r="BE222" s="907"/>
      <c r="BF222" s="1002" t="str">
        <f>IF($BC222="","",SUMIF(portfolio.!$A$4:$A623,BC222,portfolio.!$AN$4:$AN623))</f>
        <v/>
      </c>
      <c r="BG222" s="936" t="s">
        <v>123</v>
      </c>
      <c r="BH222" s="907" t="s">
        <v>123</v>
      </c>
      <c r="BI222" s="935" t="s">
        <v>123</v>
      </c>
      <c r="BJ222" s="1003"/>
      <c r="BK222" s="907" t="s">
        <v>123</v>
      </c>
      <c r="BL222" s="907" t="s">
        <v>123</v>
      </c>
      <c r="BM222" s="907" t="s">
        <v>123</v>
      </c>
      <c r="BN222" s="1004" t="s">
        <v>123</v>
      </c>
      <c r="BO222" s="907" t="str">
        <f t="shared" si="6"/>
        <v/>
      </c>
      <c r="BP222" s="907" t="str">
        <f t="shared" si="7"/>
        <v/>
      </c>
      <c r="BQ222" s="907" t="str">
        <f t="shared" si="8"/>
        <v/>
      </c>
      <c r="BR222" s="1004" t="str">
        <f t="shared" si="9"/>
        <v/>
      </c>
      <c r="BS222" s="1005" t="str">
        <f t="shared" si="10"/>
        <v/>
      </c>
      <c r="BT222" s="1006" t="s">
        <v>123</v>
      </c>
      <c r="BU222" s="1002" t="s">
        <v>123</v>
      </c>
      <c r="BV222" s="1006" t="s">
        <v>123</v>
      </c>
      <c r="BW222" s="1007"/>
    </row>
    <row r="223">
      <c r="A223" s="624">
        <v>200.0</v>
      </c>
      <c r="B223" s="1008"/>
      <c r="C223" s="989"/>
      <c r="D223" s="851"/>
      <c r="E223" s="990"/>
      <c r="F223" s="991"/>
      <c r="G223" s="991"/>
      <c r="H223" s="992"/>
      <c r="I223" s="993"/>
      <c r="J223" s="993"/>
      <c r="K223" s="993"/>
      <c r="L223" s="993"/>
      <c r="M223" s="993"/>
      <c r="N223" s="993"/>
      <c r="O223" s="993"/>
      <c r="P223" s="993"/>
      <c r="Q223" s="993"/>
      <c r="R223" s="993"/>
      <c r="S223" s="936"/>
      <c r="T223" s="998"/>
      <c r="U223" s="935"/>
      <c r="V223" s="935"/>
      <c r="W223" s="949" t="str">
        <f>IF(AND($S$20,NOT($U$20)),IF($V223:$V623="","",SUMIF(portfolio.!$A$4:$A623,V223,portfolio.!$AN$4:$AN623)),"")</f>
        <v/>
      </c>
      <c r="X223" s="998"/>
      <c r="Y223" s="936"/>
      <c r="Z223" s="936" t="s">
        <v>123</v>
      </c>
      <c r="AA223" s="936" t="s">
        <v>123</v>
      </c>
      <c r="AB223" s="936" t="s">
        <v>123</v>
      </c>
      <c r="AC223" s="907" t="s">
        <v>123</v>
      </c>
      <c r="AD223" s="999"/>
      <c r="AE223" s="936"/>
      <c r="AF223" s="936"/>
      <c r="AG223" s="936"/>
      <c r="AH223" s="936"/>
      <c r="AI223" s="999"/>
      <c r="AJ223" s="935"/>
      <c r="AK223" s="966"/>
      <c r="AL223" s="949"/>
      <c r="AM223" s="949" t="s">
        <v>123</v>
      </c>
      <c r="AN223" s="949"/>
      <c r="AO223" s="999"/>
      <c r="AP223" s="936"/>
      <c r="AQ223" s="987"/>
      <c r="AR223" s="907"/>
      <c r="AS223" s="907"/>
      <c r="AT223" s="967" t="s">
        <v>123</v>
      </c>
      <c r="AU223" s="967" t="s">
        <v>123</v>
      </c>
      <c r="AV223" s="967" t="s">
        <v>123</v>
      </c>
      <c r="AW223" s="907" t="s">
        <v>123</v>
      </c>
      <c r="AX223" s="907" t="s">
        <v>123</v>
      </c>
      <c r="AY223" s="907" t="s">
        <v>123</v>
      </c>
      <c r="AZ223" s="936" t="s">
        <v>123</v>
      </c>
      <c r="BA223" s="935" t="s">
        <v>123</v>
      </c>
      <c r="BB223" s="1000"/>
      <c r="BC223" s="1001"/>
      <c r="BD223" s="936"/>
      <c r="BE223" s="907"/>
      <c r="BF223" s="1002" t="str">
        <f>IF($BC223="","",SUMIF(portfolio.!$A$4:$A623,BC223,portfolio.!$AN$4:$AN623))</f>
        <v/>
      </c>
      <c r="BG223" s="936" t="s">
        <v>123</v>
      </c>
      <c r="BH223" s="907" t="s">
        <v>123</v>
      </c>
      <c r="BI223" s="935" t="s">
        <v>123</v>
      </c>
      <c r="BJ223" s="1003"/>
      <c r="BK223" s="907" t="s">
        <v>123</v>
      </c>
      <c r="BL223" s="907" t="s">
        <v>123</v>
      </c>
      <c r="BM223" s="907" t="s">
        <v>123</v>
      </c>
      <c r="BN223" s="1004" t="s">
        <v>123</v>
      </c>
      <c r="BO223" s="907" t="str">
        <f t="shared" si="6"/>
        <v/>
      </c>
      <c r="BP223" s="907" t="str">
        <f t="shared" si="7"/>
        <v/>
      </c>
      <c r="BQ223" s="907" t="str">
        <f t="shared" si="8"/>
        <v/>
      </c>
      <c r="BR223" s="1004" t="str">
        <f t="shared" si="9"/>
        <v/>
      </c>
      <c r="BS223" s="1005" t="str">
        <f t="shared" si="10"/>
        <v/>
      </c>
      <c r="BT223" s="1006" t="s">
        <v>123</v>
      </c>
      <c r="BU223" s="1002" t="s">
        <v>123</v>
      </c>
      <c r="BV223" s="1006" t="s">
        <v>123</v>
      </c>
      <c r="BW223" s="1007"/>
    </row>
    <row r="224">
      <c r="A224" s="624">
        <v>201.0</v>
      </c>
      <c r="B224" s="1008"/>
      <c r="C224" s="989"/>
      <c r="D224" s="851"/>
      <c r="E224" s="990"/>
      <c r="F224" s="991"/>
      <c r="G224" s="991"/>
      <c r="H224" s="992"/>
      <c r="I224" s="993"/>
      <c r="J224" s="993"/>
      <c r="K224" s="993"/>
      <c r="L224" s="993"/>
      <c r="M224" s="993"/>
      <c r="N224" s="993"/>
      <c r="O224" s="993"/>
      <c r="P224" s="993"/>
      <c r="Q224" s="993"/>
      <c r="R224" s="993"/>
      <c r="S224" s="936"/>
      <c r="T224" s="998"/>
      <c r="U224" s="935"/>
      <c r="V224" s="935"/>
      <c r="W224" s="949" t="str">
        <f>IF(AND($S$20,NOT($U$20)),IF($V224:$V623="","",SUMIF(portfolio.!$A$4:$A623,V224,portfolio.!$AN$4:$AN623)),"")</f>
        <v/>
      </c>
      <c r="X224" s="998"/>
      <c r="Y224" s="936"/>
      <c r="Z224" s="936" t="s">
        <v>123</v>
      </c>
      <c r="AA224" s="936" t="s">
        <v>123</v>
      </c>
      <c r="AB224" s="936" t="s">
        <v>123</v>
      </c>
      <c r="AC224" s="907" t="s">
        <v>123</v>
      </c>
      <c r="AD224" s="999"/>
      <c r="AE224" s="936"/>
      <c r="AF224" s="936"/>
      <c r="AG224" s="936"/>
      <c r="AH224" s="936"/>
      <c r="AI224" s="999"/>
      <c r="AJ224" s="935"/>
      <c r="AK224" s="966"/>
      <c r="AL224" s="949"/>
      <c r="AM224" s="949" t="s">
        <v>123</v>
      </c>
      <c r="AN224" s="949"/>
      <c r="AO224" s="999"/>
      <c r="AP224" s="936"/>
      <c r="AQ224" s="987"/>
      <c r="AR224" s="907"/>
      <c r="AS224" s="907"/>
      <c r="AT224" s="967" t="s">
        <v>123</v>
      </c>
      <c r="AU224" s="967" t="s">
        <v>123</v>
      </c>
      <c r="AV224" s="967" t="s">
        <v>123</v>
      </c>
      <c r="AW224" s="907" t="s">
        <v>123</v>
      </c>
      <c r="AX224" s="907" t="s">
        <v>123</v>
      </c>
      <c r="AY224" s="907" t="s">
        <v>123</v>
      </c>
      <c r="AZ224" s="936" t="s">
        <v>123</v>
      </c>
      <c r="BA224" s="935" t="s">
        <v>123</v>
      </c>
      <c r="BB224" s="1000"/>
      <c r="BC224" s="1001"/>
      <c r="BD224" s="936"/>
      <c r="BE224" s="907"/>
      <c r="BF224" s="1002" t="str">
        <f>IF($BC224="","",SUMIF(portfolio.!$A$4:$A623,BC224,portfolio.!$AN$4:$AN623))</f>
        <v/>
      </c>
      <c r="BG224" s="936" t="s">
        <v>123</v>
      </c>
      <c r="BH224" s="907" t="s">
        <v>123</v>
      </c>
      <c r="BI224" s="935" t="s">
        <v>123</v>
      </c>
      <c r="BJ224" s="1003"/>
      <c r="BK224" s="907" t="s">
        <v>123</v>
      </c>
      <c r="BL224" s="907" t="s">
        <v>123</v>
      </c>
      <c r="BM224" s="907" t="s">
        <v>123</v>
      </c>
      <c r="BN224" s="1004" t="s">
        <v>123</v>
      </c>
      <c r="BO224" s="907" t="str">
        <f t="shared" si="6"/>
        <v/>
      </c>
      <c r="BP224" s="907" t="str">
        <f t="shared" si="7"/>
        <v/>
      </c>
      <c r="BQ224" s="907" t="str">
        <f t="shared" si="8"/>
        <v/>
      </c>
      <c r="BR224" s="1004" t="str">
        <f t="shared" si="9"/>
        <v/>
      </c>
      <c r="BS224" s="1005" t="str">
        <f t="shared" si="10"/>
        <v/>
      </c>
      <c r="BT224" s="1006" t="s">
        <v>123</v>
      </c>
      <c r="BU224" s="1002" t="s">
        <v>123</v>
      </c>
      <c r="BV224" s="1006" t="s">
        <v>123</v>
      </c>
      <c r="BW224" s="1007"/>
    </row>
    <row r="225">
      <c r="A225" s="624">
        <v>202.0</v>
      </c>
      <c r="B225" s="1008"/>
      <c r="C225" s="989"/>
      <c r="D225" s="851"/>
      <c r="E225" s="990"/>
      <c r="F225" s="991"/>
      <c r="G225" s="991"/>
      <c r="H225" s="992"/>
      <c r="I225" s="993"/>
      <c r="J225" s="993"/>
      <c r="K225" s="993"/>
      <c r="L225" s="993"/>
      <c r="M225" s="993"/>
      <c r="N225" s="993"/>
      <c r="O225" s="993"/>
      <c r="P225" s="993"/>
      <c r="Q225" s="993"/>
      <c r="R225" s="993"/>
      <c r="S225" s="936"/>
      <c r="T225" s="998"/>
      <c r="U225" s="935"/>
      <c r="V225" s="935"/>
      <c r="W225" s="949" t="str">
        <f>IF(AND($S$20,NOT($U$20)),IF($V225:$V623="","",SUMIF(portfolio.!$A$4:$A623,V225,portfolio.!$AN$4:$AN623)),"")</f>
        <v/>
      </c>
      <c r="X225" s="998"/>
      <c r="Y225" s="936"/>
      <c r="Z225" s="936" t="s">
        <v>123</v>
      </c>
      <c r="AA225" s="936" t="s">
        <v>123</v>
      </c>
      <c r="AB225" s="936" t="s">
        <v>123</v>
      </c>
      <c r="AC225" s="907" t="s">
        <v>123</v>
      </c>
      <c r="AD225" s="999"/>
      <c r="AE225" s="936"/>
      <c r="AF225" s="936"/>
      <c r="AG225" s="936"/>
      <c r="AH225" s="936"/>
      <c r="AI225" s="999"/>
      <c r="AJ225" s="935"/>
      <c r="AK225" s="966"/>
      <c r="AL225" s="949"/>
      <c r="AM225" s="949" t="s">
        <v>123</v>
      </c>
      <c r="AN225" s="949"/>
      <c r="AO225" s="999"/>
      <c r="AP225" s="936"/>
      <c r="AQ225" s="987"/>
      <c r="AR225" s="907"/>
      <c r="AS225" s="907"/>
      <c r="AT225" s="967" t="s">
        <v>123</v>
      </c>
      <c r="AU225" s="967" t="s">
        <v>123</v>
      </c>
      <c r="AV225" s="967" t="s">
        <v>123</v>
      </c>
      <c r="AW225" s="907" t="s">
        <v>123</v>
      </c>
      <c r="AX225" s="907" t="s">
        <v>123</v>
      </c>
      <c r="AY225" s="907" t="s">
        <v>123</v>
      </c>
      <c r="AZ225" s="936" t="s">
        <v>123</v>
      </c>
      <c r="BA225" s="935" t="s">
        <v>123</v>
      </c>
      <c r="BB225" s="1000"/>
      <c r="BC225" s="1001"/>
      <c r="BD225" s="936"/>
      <c r="BE225" s="907"/>
      <c r="BF225" s="1002" t="str">
        <f>IF($BC225="","",SUMIF(portfolio.!$A$4:$A623,BC225,portfolio.!$AN$4:$AN623))</f>
        <v/>
      </c>
      <c r="BG225" s="936" t="s">
        <v>123</v>
      </c>
      <c r="BH225" s="907" t="s">
        <v>123</v>
      </c>
      <c r="BI225" s="935" t="s">
        <v>123</v>
      </c>
      <c r="BJ225" s="1003"/>
      <c r="BK225" s="907" t="s">
        <v>123</v>
      </c>
      <c r="BL225" s="907" t="s">
        <v>123</v>
      </c>
      <c r="BM225" s="907" t="s">
        <v>123</v>
      </c>
      <c r="BN225" s="1004" t="s">
        <v>123</v>
      </c>
      <c r="BO225" s="907" t="str">
        <f t="shared" si="6"/>
        <v/>
      </c>
      <c r="BP225" s="907" t="str">
        <f t="shared" si="7"/>
        <v/>
      </c>
      <c r="BQ225" s="907" t="str">
        <f t="shared" si="8"/>
        <v/>
      </c>
      <c r="BR225" s="1004" t="str">
        <f t="shared" si="9"/>
        <v/>
      </c>
      <c r="BS225" s="1005" t="str">
        <f t="shared" si="10"/>
        <v/>
      </c>
      <c r="BT225" s="1006" t="s">
        <v>123</v>
      </c>
      <c r="BU225" s="1002" t="s">
        <v>123</v>
      </c>
      <c r="BV225" s="1006" t="s">
        <v>123</v>
      </c>
      <c r="BW225" s="1007"/>
    </row>
    <row r="226">
      <c r="A226" s="624">
        <v>203.0</v>
      </c>
      <c r="B226" s="1008"/>
      <c r="C226" s="989"/>
      <c r="D226" s="851"/>
      <c r="E226" s="990"/>
      <c r="F226" s="991"/>
      <c r="G226" s="991"/>
      <c r="H226" s="992"/>
      <c r="I226" s="993"/>
      <c r="J226" s="993"/>
      <c r="K226" s="993"/>
      <c r="L226" s="993"/>
      <c r="M226" s="993"/>
      <c r="N226" s="993"/>
      <c r="O226" s="993"/>
      <c r="P226" s="993"/>
      <c r="Q226" s="993"/>
      <c r="R226" s="993"/>
      <c r="S226" s="936"/>
      <c r="T226" s="998"/>
      <c r="U226" s="935"/>
      <c r="V226" s="935"/>
      <c r="W226" s="949" t="str">
        <f>IF(AND($S$20,NOT($U$20)),IF($V226:$V623="","",SUMIF(portfolio.!$A$4:$A623,V226,portfolio.!$AN$4:$AN623)),"")</f>
        <v/>
      </c>
      <c r="X226" s="998"/>
      <c r="Y226" s="936"/>
      <c r="Z226" s="936" t="s">
        <v>123</v>
      </c>
      <c r="AA226" s="936" t="s">
        <v>123</v>
      </c>
      <c r="AB226" s="936" t="s">
        <v>123</v>
      </c>
      <c r="AC226" s="907" t="s">
        <v>123</v>
      </c>
      <c r="AD226" s="999"/>
      <c r="AE226" s="936"/>
      <c r="AF226" s="936"/>
      <c r="AG226" s="936"/>
      <c r="AH226" s="936"/>
      <c r="AI226" s="999"/>
      <c r="AJ226" s="935"/>
      <c r="AK226" s="966"/>
      <c r="AL226" s="949"/>
      <c r="AM226" s="949" t="s">
        <v>123</v>
      </c>
      <c r="AN226" s="949"/>
      <c r="AO226" s="999"/>
      <c r="AP226" s="936"/>
      <c r="AQ226" s="987"/>
      <c r="AR226" s="907"/>
      <c r="AS226" s="907"/>
      <c r="AT226" s="967" t="s">
        <v>123</v>
      </c>
      <c r="AU226" s="967" t="s">
        <v>123</v>
      </c>
      <c r="AV226" s="967" t="s">
        <v>123</v>
      </c>
      <c r="AW226" s="907" t="s">
        <v>123</v>
      </c>
      <c r="AX226" s="907" t="s">
        <v>123</v>
      </c>
      <c r="AY226" s="907" t="s">
        <v>123</v>
      </c>
      <c r="AZ226" s="936" t="s">
        <v>123</v>
      </c>
      <c r="BA226" s="935" t="s">
        <v>123</v>
      </c>
      <c r="BB226" s="1000"/>
      <c r="BC226" s="1001"/>
      <c r="BD226" s="936"/>
      <c r="BE226" s="907"/>
      <c r="BF226" s="1002" t="str">
        <f>IF($BC226="","",SUMIF(portfolio.!$A$4:$A623,BC226,portfolio.!$AN$4:$AN623))</f>
        <v/>
      </c>
      <c r="BG226" s="936" t="s">
        <v>123</v>
      </c>
      <c r="BH226" s="907" t="s">
        <v>123</v>
      </c>
      <c r="BI226" s="935" t="s">
        <v>123</v>
      </c>
      <c r="BJ226" s="1003"/>
      <c r="BK226" s="907" t="s">
        <v>123</v>
      </c>
      <c r="BL226" s="907" t="s">
        <v>123</v>
      </c>
      <c r="BM226" s="907" t="s">
        <v>123</v>
      </c>
      <c r="BN226" s="1004" t="s">
        <v>123</v>
      </c>
      <c r="BO226" s="907" t="str">
        <f t="shared" si="6"/>
        <v/>
      </c>
      <c r="BP226" s="907" t="str">
        <f t="shared" si="7"/>
        <v/>
      </c>
      <c r="BQ226" s="907" t="str">
        <f t="shared" si="8"/>
        <v/>
      </c>
      <c r="BR226" s="1004" t="str">
        <f t="shared" si="9"/>
        <v/>
      </c>
      <c r="BS226" s="1005" t="str">
        <f t="shared" si="10"/>
        <v/>
      </c>
      <c r="BT226" s="1006" t="s">
        <v>123</v>
      </c>
      <c r="BU226" s="1002" t="s">
        <v>123</v>
      </c>
      <c r="BV226" s="1006" t="s">
        <v>123</v>
      </c>
      <c r="BW226" s="1007"/>
    </row>
    <row r="227">
      <c r="A227" s="624">
        <v>204.0</v>
      </c>
      <c r="B227" s="1008"/>
      <c r="C227" s="989"/>
      <c r="D227" s="851"/>
      <c r="E227" s="990"/>
      <c r="F227" s="991"/>
      <c r="G227" s="991"/>
      <c r="H227" s="992"/>
      <c r="I227" s="993"/>
      <c r="J227" s="993"/>
      <c r="K227" s="993"/>
      <c r="L227" s="993"/>
      <c r="M227" s="993"/>
      <c r="N227" s="993"/>
      <c r="O227" s="993"/>
      <c r="P227" s="993"/>
      <c r="Q227" s="993"/>
      <c r="R227" s="993"/>
      <c r="S227" s="936"/>
      <c r="T227" s="998"/>
      <c r="U227" s="935"/>
      <c r="V227" s="935"/>
      <c r="W227" s="949" t="str">
        <f>IF(AND($S$20,NOT($U$20)),IF($V227:$V623="","",SUMIF(portfolio.!$A$4:$A623,V227,portfolio.!$AN$4:$AN623)),"")</f>
        <v/>
      </c>
      <c r="X227" s="998"/>
      <c r="Y227" s="936"/>
      <c r="Z227" s="936" t="s">
        <v>123</v>
      </c>
      <c r="AA227" s="936" t="s">
        <v>123</v>
      </c>
      <c r="AB227" s="936" t="s">
        <v>123</v>
      </c>
      <c r="AC227" s="907" t="s">
        <v>123</v>
      </c>
      <c r="AD227" s="999"/>
      <c r="AE227" s="936"/>
      <c r="AF227" s="936"/>
      <c r="AG227" s="936"/>
      <c r="AH227" s="936"/>
      <c r="AI227" s="999"/>
      <c r="AJ227" s="935"/>
      <c r="AK227" s="966"/>
      <c r="AL227" s="949"/>
      <c r="AM227" s="949" t="s">
        <v>123</v>
      </c>
      <c r="AN227" s="949"/>
      <c r="AO227" s="999"/>
      <c r="AP227" s="936"/>
      <c r="AQ227" s="987"/>
      <c r="AR227" s="907"/>
      <c r="AS227" s="907"/>
      <c r="AT227" s="967" t="s">
        <v>123</v>
      </c>
      <c r="AU227" s="967" t="s">
        <v>123</v>
      </c>
      <c r="AV227" s="967" t="s">
        <v>123</v>
      </c>
      <c r="AW227" s="907" t="s">
        <v>123</v>
      </c>
      <c r="AX227" s="907" t="s">
        <v>123</v>
      </c>
      <c r="AY227" s="907" t="s">
        <v>123</v>
      </c>
      <c r="AZ227" s="936" t="s">
        <v>123</v>
      </c>
      <c r="BA227" s="935" t="s">
        <v>123</v>
      </c>
      <c r="BB227" s="1000"/>
      <c r="BC227" s="1001"/>
      <c r="BD227" s="936"/>
      <c r="BE227" s="907"/>
      <c r="BF227" s="1002" t="str">
        <f>IF($BC227="","",SUMIF(portfolio.!$A$4:$A623,BC227,portfolio.!$AN$4:$AN623))</f>
        <v/>
      </c>
      <c r="BG227" s="936" t="s">
        <v>123</v>
      </c>
      <c r="BH227" s="907" t="s">
        <v>123</v>
      </c>
      <c r="BI227" s="935" t="s">
        <v>123</v>
      </c>
      <c r="BJ227" s="1003"/>
      <c r="BK227" s="907" t="s">
        <v>123</v>
      </c>
      <c r="BL227" s="907" t="s">
        <v>123</v>
      </c>
      <c r="BM227" s="907" t="s">
        <v>123</v>
      </c>
      <c r="BN227" s="1004" t="s">
        <v>123</v>
      </c>
      <c r="BO227" s="907" t="str">
        <f t="shared" si="6"/>
        <v/>
      </c>
      <c r="BP227" s="907" t="str">
        <f t="shared" si="7"/>
        <v/>
      </c>
      <c r="BQ227" s="907" t="str">
        <f t="shared" si="8"/>
        <v/>
      </c>
      <c r="BR227" s="1004" t="str">
        <f t="shared" si="9"/>
        <v/>
      </c>
      <c r="BS227" s="1005" t="str">
        <f t="shared" si="10"/>
        <v/>
      </c>
      <c r="BT227" s="1006" t="s">
        <v>123</v>
      </c>
      <c r="BU227" s="1002" t="s">
        <v>123</v>
      </c>
      <c r="BV227" s="1006" t="s">
        <v>123</v>
      </c>
      <c r="BW227" s="1007"/>
    </row>
    <row r="228">
      <c r="A228" s="624">
        <v>205.0</v>
      </c>
      <c r="B228" s="1008"/>
      <c r="C228" s="989"/>
      <c r="D228" s="851"/>
      <c r="E228" s="990"/>
      <c r="F228" s="991"/>
      <c r="G228" s="991"/>
      <c r="H228" s="992"/>
      <c r="I228" s="993"/>
      <c r="J228" s="993"/>
      <c r="K228" s="993"/>
      <c r="L228" s="993"/>
      <c r="M228" s="993"/>
      <c r="N228" s="993"/>
      <c r="O228" s="993"/>
      <c r="P228" s="993"/>
      <c r="Q228" s="993"/>
      <c r="R228" s="993"/>
      <c r="S228" s="936"/>
      <c r="T228" s="998"/>
      <c r="U228" s="935"/>
      <c r="V228" s="935"/>
      <c r="W228" s="949" t="str">
        <f>IF(AND($S$20,NOT($U$20)),IF($V228:$V623="","",SUMIF(portfolio.!$A$4:$A623,V228,portfolio.!$AN$4:$AN623)),"")</f>
        <v/>
      </c>
      <c r="X228" s="998"/>
      <c r="Y228" s="936"/>
      <c r="Z228" s="936" t="s">
        <v>123</v>
      </c>
      <c r="AA228" s="936" t="s">
        <v>123</v>
      </c>
      <c r="AB228" s="936" t="s">
        <v>123</v>
      </c>
      <c r="AC228" s="907" t="s">
        <v>123</v>
      </c>
      <c r="AD228" s="999"/>
      <c r="AE228" s="936"/>
      <c r="AF228" s="936"/>
      <c r="AG228" s="936"/>
      <c r="AH228" s="936"/>
      <c r="AI228" s="999"/>
      <c r="AJ228" s="935"/>
      <c r="AK228" s="966"/>
      <c r="AL228" s="949"/>
      <c r="AM228" s="949" t="s">
        <v>123</v>
      </c>
      <c r="AN228" s="949"/>
      <c r="AO228" s="999"/>
      <c r="AP228" s="936"/>
      <c r="AQ228" s="987"/>
      <c r="AR228" s="907"/>
      <c r="AS228" s="907"/>
      <c r="AT228" s="967" t="s">
        <v>123</v>
      </c>
      <c r="AU228" s="967" t="s">
        <v>123</v>
      </c>
      <c r="AV228" s="967" t="s">
        <v>123</v>
      </c>
      <c r="AW228" s="907" t="s">
        <v>123</v>
      </c>
      <c r="AX228" s="907" t="s">
        <v>123</v>
      </c>
      <c r="AY228" s="907" t="s">
        <v>123</v>
      </c>
      <c r="AZ228" s="936" t="s">
        <v>123</v>
      </c>
      <c r="BA228" s="935" t="s">
        <v>123</v>
      </c>
      <c r="BB228" s="1000"/>
      <c r="BC228" s="1001"/>
      <c r="BD228" s="936"/>
      <c r="BE228" s="907"/>
      <c r="BF228" s="1002" t="str">
        <f>IF($BC228="","",SUMIF(portfolio.!$A$4:$A623,BC228,portfolio.!$AN$4:$AN623))</f>
        <v/>
      </c>
      <c r="BG228" s="936" t="s">
        <v>123</v>
      </c>
      <c r="BH228" s="907" t="s">
        <v>123</v>
      </c>
      <c r="BI228" s="935" t="s">
        <v>123</v>
      </c>
      <c r="BJ228" s="1003"/>
      <c r="BK228" s="907" t="s">
        <v>123</v>
      </c>
      <c r="BL228" s="907" t="s">
        <v>123</v>
      </c>
      <c r="BM228" s="907" t="s">
        <v>123</v>
      </c>
      <c r="BN228" s="1004" t="s">
        <v>123</v>
      </c>
      <c r="BO228" s="907" t="str">
        <f t="shared" si="6"/>
        <v/>
      </c>
      <c r="BP228" s="907" t="str">
        <f t="shared" si="7"/>
        <v/>
      </c>
      <c r="BQ228" s="907" t="str">
        <f t="shared" si="8"/>
        <v/>
      </c>
      <c r="BR228" s="1004" t="str">
        <f t="shared" si="9"/>
        <v/>
      </c>
      <c r="BS228" s="1005" t="str">
        <f t="shared" si="10"/>
        <v/>
      </c>
      <c r="BT228" s="1006" t="s">
        <v>123</v>
      </c>
      <c r="BU228" s="1002" t="s">
        <v>123</v>
      </c>
      <c r="BV228" s="1006" t="s">
        <v>123</v>
      </c>
      <c r="BW228" s="1007"/>
    </row>
    <row r="229">
      <c r="A229" s="624">
        <v>206.0</v>
      </c>
      <c r="B229" s="1008"/>
      <c r="C229" s="989"/>
      <c r="D229" s="851"/>
      <c r="E229" s="990"/>
      <c r="F229" s="991"/>
      <c r="G229" s="991"/>
      <c r="H229" s="992"/>
      <c r="I229" s="993"/>
      <c r="J229" s="993"/>
      <c r="K229" s="993"/>
      <c r="L229" s="993"/>
      <c r="M229" s="993"/>
      <c r="N229" s="993"/>
      <c r="O229" s="993"/>
      <c r="P229" s="993"/>
      <c r="Q229" s="993"/>
      <c r="R229" s="993"/>
      <c r="S229" s="936"/>
      <c r="T229" s="998"/>
      <c r="U229" s="935"/>
      <c r="V229" s="935"/>
      <c r="W229" s="949" t="str">
        <f>IF(AND($S$20,NOT($U$20)),IF($V229:$V623="","",SUMIF(portfolio.!$A$4:$A623,V229,portfolio.!$AN$4:$AN623)),"")</f>
        <v/>
      </c>
      <c r="X229" s="998"/>
      <c r="Y229" s="936"/>
      <c r="Z229" s="936" t="s">
        <v>123</v>
      </c>
      <c r="AA229" s="936" t="s">
        <v>123</v>
      </c>
      <c r="AB229" s="936" t="s">
        <v>123</v>
      </c>
      <c r="AC229" s="907" t="s">
        <v>123</v>
      </c>
      <c r="AD229" s="999"/>
      <c r="AE229" s="936"/>
      <c r="AF229" s="936"/>
      <c r="AG229" s="936"/>
      <c r="AH229" s="936"/>
      <c r="AI229" s="999"/>
      <c r="AJ229" s="935"/>
      <c r="AK229" s="966"/>
      <c r="AL229" s="949"/>
      <c r="AM229" s="949" t="s">
        <v>123</v>
      </c>
      <c r="AN229" s="949"/>
      <c r="AO229" s="999"/>
      <c r="AP229" s="936"/>
      <c r="AQ229" s="987"/>
      <c r="AR229" s="907"/>
      <c r="AS229" s="907"/>
      <c r="AT229" s="967" t="s">
        <v>123</v>
      </c>
      <c r="AU229" s="967" t="s">
        <v>123</v>
      </c>
      <c r="AV229" s="967" t="s">
        <v>123</v>
      </c>
      <c r="AW229" s="907" t="s">
        <v>123</v>
      </c>
      <c r="AX229" s="907" t="s">
        <v>123</v>
      </c>
      <c r="AY229" s="907" t="s">
        <v>123</v>
      </c>
      <c r="AZ229" s="936" t="s">
        <v>123</v>
      </c>
      <c r="BA229" s="935" t="s">
        <v>123</v>
      </c>
      <c r="BB229" s="1000"/>
      <c r="BC229" s="1001"/>
      <c r="BD229" s="936"/>
      <c r="BE229" s="907"/>
      <c r="BF229" s="1002" t="str">
        <f>IF($BC229="","",SUMIF(portfolio.!$A$4:$A623,BC229,portfolio.!$AN$4:$AN623))</f>
        <v/>
      </c>
      <c r="BG229" s="936" t="s">
        <v>123</v>
      </c>
      <c r="BH229" s="907" t="s">
        <v>123</v>
      </c>
      <c r="BI229" s="935" t="s">
        <v>123</v>
      </c>
      <c r="BJ229" s="1003"/>
      <c r="BK229" s="907" t="s">
        <v>123</v>
      </c>
      <c r="BL229" s="907" t="s">
        <v>123</v>
      </c>
      <c r="BM229" s="907" t="s">
        <v>123</v>
      </c>
      <c r="BN229" s="1004" t="s">
        <v>123</v>
      </c>
      <c r="BO229" s="907" t="str">
        <f t="shared" si="6"/>
        <v/>
      </c>
      <c r="BP229" s="907" t="str">
        <f t="shared" si="7"/>
        <v/>
      </c>
      <c r="BQ229" s="907" t="str">
        <f t="shared" si="8"/>
        <v/>
      </c>
      <c r="BR229" s="1004" t="str">
        <f t="shared" si="9"/>
        <v/>
      </c>
      <c r="BS229" s="1005" t="str">
        <f t="shared" si="10"/>
        <v/>
      </c>
      <c r="BT229" s="1006" t="s">
        <v>123</v>
      </c>
      <c r="BU229" s="1002" t="s">
        <v>123</v>
      </c>
      <c r="BV229" s="1006" t="s">
        <v>123</v>
      </c>
      <c r="BW229" s="1007"/>
    </row>
    <row r="230">
      <c r="A230" s="624">
        <v>207.0</v>
      </c>
      <c r="B230" s="1008"/>
      <c r="C230" s="989"/>
      <c r="D230" s="851"/>
      <c r="E230" s="990"/>
      <c r="F230" s="991"/>
      <c r="G230" s="991"/>
      <c r="H230" s="992"/>
      <c r="I230" s="993"/>
      <c r="J230" s="993"/>
      <c r="K230" s="993"/>
      <c r="L230" s="993"/>
      <c r="M230" s="993"/>
      <c r="N230" s="993"/>
      <c r="O230" s="993"/>
      <c r="P230" s="993"/>
      <c r="Q230" s="993"/>
      <c r="R230" s="993"/>
      <c r="S230" s="936"/>
      <c r="T230" s="998"/>
      <c r="U230" s="935"/>
      <c r="V230" s="935"/>
      <c r="W230" s="949" t="str">
        <f>IF(AND($S$20,NOT($U$20)),IF($V230:$V623="","",SUMIF(portfolio.!$A$4:$A623,V230,portfolio.!$AN$4:$AN623)),"")</f>
        <v/>
      </c>
      <c r="X230" s="998"/>
      <c r="Y230" s="936"/>
      <c r="Z230" s="936" t="s">
        <v>123</v>
      </c>
      <c r="AA230" s="936" t="s">
        <v>123</v>
      </c>
      <c r="AB230" s="936" t="s">
        <v>123</v>
      </c>
      <c r="AC230" s="907" t="s">
        <v>123</v>
      </c>
      <c r="AD230" s="999"/>
      <c r="AE230" s="936"/>
      <c r="AF230" s="936"/>
      <c r="AG230" s="936"/>
      <c r="AH230" s="936"/>
      <c r="AI230" s="999"/>
      <c r="AJ230" s="935"/>
      <c r="AK230" s="966"/>
      <c r="AL230" s="949"/>
      <c r="AM230" s="949" t="s">
        <v>123</v>
      </c>
      <c r="AN230" s="949"/>
      <c r="AO230" s="999"/>
      <c r="AP230" s="936"/>
      <c r="AQ230" s="987"/>
      <c r="AR230" s="907"/>
      <c r="AS230" s="907"/>
      <c r="AT230" s="967" t="s">
        <v>123</v>
      </c>
      <c r="AU230" s="967" t="s">
        <v>123</v>
      </c>
      <c r="AV230" s="967" t="s">
        <v>123</v>
      </c>
      <c r="AW230" s="907" t="s">
        <v>123</v>
      </c>
      <c r="AX230" s="907" t="s">
        <v>123</v>
      </c>
      <c r="AY230" s="907" t="s">
        <v>123</v>
      </c>
      <c r="AZ230" s="936" t="s">
        <v>123</v>
      </c>
      <c r="BA230" s="935" t="s">
        <v>123</v>
      </c>
      <c r="BB230" s="1000"/>
      <c r="BC230" s="1001"/>
      <c r="BD230" s="936"/>
      <c r="BE230" s="907"/>
      <c r="BF230" s="1002" t="str">
        <f>IF($BC230="","",SUMIF(portfolio.!$A$4:$A623,BC230,portfolio.!$AN$4:$AN623))</f>
        <v/>
      </c>
      <c r="BG230" s="936" t="s">
        <v>123</v>
      </c>
      <c r="BH230" s="907" t="s">
        <v>123</v>
      </c>
      <c r="BI230" s="935" t="s">
        <v>123</v>
      </c>
      <c r="BJ230" s="1003"/>
      <c r="BK230" s="907" t="s">
        <v>123</v>
      </c>
      <c r="BL230" s="907" t="s">
        <v>123</v>
      </c>
      <c r="BM230" s="907" t="s">
        <v>123</v>
      </c>
      <c r="BN230" s="1004" t="s">
        <v>123</v>
      </c>
      <c r="BO230" s="907" t="str">
        <f t="shared" si="6"/>
        <v/>
      </c>
      <c r="BP230" s="907" t="str">
        <f t="shared" si="7"/>
        <v/>
      </c>
      <c r="BQ230" s="907" t="str">
        <f t="shared" si="8"/>
        <v/>
      </c>
      <c r="BR230" s="1004" t="str">
        <f t="shared" si="9"/>
        <v/>
      </c>
      <c r="BS230" s="1005" t="str">
        <f t="shared" si="10"/>
        <v/>
      </c>
      <c r="BT230" s="1006" t="s">
        <v>123</v>
      </c>
      <c r="BU230" s="1002" t="s">
        <v>123</v>
      </c>
      <c r="BV230" s="1006" t="s">
        <v>123</v>
      </c>
      <c r="BW230" s="1007"/>
    </row>
    <row r="231">
      <c r="A231" s="624">
        <v>208.0</v>
      </c>
      <c r="B231" s="1008"/>
      <c r="C231" s="989"/>
      <c r="D231" s="851"/>
      <c r="E231" s="990"/>
      <c r="F231" s="991"/>
      <c r="G231" s="991"/>
      <c r="H231" s="992"/>
      <c r="I231" s="993"/>
      <c r="J231" s="993"/>
      <c r="K231" s="993"/>
      <c r="L231" s="993"/>
      <c r="M231" s="993"/>
      <c r="N231" s="993"/>
      <c r="O231" s="993"/>
      <c r="P231" s="993"/>
      <c r="Q231" s="993"/>
      <c r="R231" s="993"/>
      <c r="S231" s="936"/>
      <c r="T231" s="998"/>
      <c r="U231" s="935"/>
      <c r="V231" s="935"/>
      <c r="W231" s="949" t="str">
        <f>IF(AND($S$20,NOT($U$20)),IF($V231:$V623="","",SUMIF(portfolio.!$A$4:$A623,V231,portfolio.!$AN$4:$AN623)),"")</f>
        <v/>
      </c>
      <c r="X231" s="998"/>
      <c r="Y231" s="936"/>
      <c r="Z231" s="936" t="s">
        <v>123</v>
      </c>
      <c r="AA231" s="936" t="s">
        <v>123</v>
      </c>
      <c r="AB231" s="936" t="s">
        <v>123</v>
      </c>
      <c r="AC231" s="907" t="s">
        <v>123</v>
      </c>
      <c r="AD231" s="999"/>
      <c r="AE231" s="936"/>
      <c r="AF231" s="936"/>
      <c r="AG231" s="936"/>
      <c r="AH231" s="936"/>
      <c r="AI231" s="999"/>
      <c r="AJ231" s="935"/>
      <c r="AK231" s="966"/>
      <c r="AL231" s="949"/>
      <c r="AM231" s="949" t="s">
        <v>123</v>
      </c>
      <c r="AN231" s="949"/>
      <c r="AO231" s="999"/>
      <c r="AP231" s="936"/>
      <c r="AQ231" s="987"/>
      <c r="AR231" s="907"/>
      <c r="AS231" s="907"/>
      <c r="AT231" s="967" t="s">
        <v>123</v>
      </c>
      <c r="AU231" s="967" t="s">
        <v>123</v>
      </c>
      <c r="AV231" s="967" t="s">
        <v>123</v>
      </c>
      <c r="AW231" s="907" t="s">
        <v>123</v>
      </c>
      <c r="AX231" s="907" t="s">
        <v>123</v>
      </c>
      <c r="AY231" s="907" t="s">
        <v>123</v>
      </c>
      <c r="AZ231" s="936" t="s">
        <v>123</v>
      </c>
      <c r="BA231" s="935" t="s">
        <v>123</v>
      </c>
      <c r="BB231" s="1000"/>
      <c r="BC231" s="1001"/>
      <c r="BD231" s="936"/>
      <c r="BE231" s="907"/>
      <c r="BF231" s="1002" t="str">
        <f>IF($BC231="","",SUMIF(portfolio.!$A$4:$A623,BC231,portfolio.!$AN$4:$AN623))</f>
        <v/>
      </c>
      <c r="BG231" s="936" t="s">
        <v>123</v>
      </c>
      <c r="BH231" s="907" t="s">
        <v>123</v>
      </c>
      <c r="BI231" s="935" t="s">
        <v>123</v>
      </c>
      <c r="BJ231" s="1003"/>
      <c r="BK231" s="907" t="s">
        <v>123</v>
      </c>
      <c r="BL231" s="907" t="s">
        <v>123</v>
      </c>
      <c r="BM231" s="907" t="s">
        <v>123</v>
      </c>
      <c r="BN231" s="1004" t="s">
        <v>123</v>
      </c>
      <c r="BO231" s="907" t="str">
        <f t="shared" si="6"/>
        <v/>
      </c>
      <c r="BP231" s="907" t="str">
        <f t="shared" si="7"/>
        <v/>
      </c>
      <c r="BQ231" s="907" t="str">
        <f t="shared" si="8"/>
        <v/>
      </c>
      <c r="BR231" s="1004" t="str">
        <f t="shared" si="9"/>
        <v/>
      </c>
      <c r="BS231" s="1005" t="str">
        <f t="shared" si="10"/>
        <v/>
      </c>
      <c r="BT231" s="1006" t="s">
        <v>123</v>
      </c>
      <c r="BU231" s="1002" t="s">
        <v>123</v>
      </c>
      <c r="BV231" s="1006" t="s">
        <v>123</v>
      </c>
      <c r="BW231" s="1007"/>
    </row>
    <row r="232">
      <c r="A232" s="624">
        <v>209.0</v>
      </c>
      <c r="B232" s="1008"/>
      <c r="C232" s="989"/>
      <c r="D232" s="851"/>
      <c r="E232" s="990"/>
      <c r="F232" s="991"/>
      <c r="G232" s="991"/>
      <c r="H232" s="992"/>
      <c r="I232" s="993"/>
      <c r="J232" s="993"/>
      <c r="K232" s="993"/>
      <c r="L232" s="993"/>
      <c r="M232" s="993"/>
      <c r="N232" s="993"/>
      <c r="O232" s="993"/>
      <c r="P232" s="993"/>
      <c r="Q232" s="993"/>
      <c r="R232" s="993"/>
      <c r="S232" s="936"/>
      <c r="T232" s="998"/>
      <c r="U232" s="935"/>
      <c r="V232" s="935"/>
      <c r="W232" s="949" t="str">
        <f>IF(AND($S$20,NOT($U$20)),IF($V232:$V623="","",SUMIF(portfolio.!$A$4:$A623,V232,portfolio.!$AN$4:$AN623)),"")</f>
        <v/>
      </c>
      <c r="X232" s="998"/>
      <c r="Y232" s="936"/>
      <c r="Z232" s="936" t="s">
        <v>123</v>
      </c>
      <c r="AA232" s="936" t="s">
        <v>123</v>
      </c>
      <c r="AB232" s="936" t="s">
        <v>123</v>
      </c>
      <c r="AC232" s="907" t="s">
        <v>123</v>
      </c>
      <c r="AD232" s="999"/>
      <c r="AE232" s="936"/>
      <c r="AF232" s="936"/>
      <c r="AG232" s="936"/>
      <c r="AH232" s="936"/>
      <c r="AI232" s="999"/>
      <c r="AJ232" s="935"/>
      <c r="AK232" s="966"/>
      <c r="AL232" s="949"/>
      <c r="AM232" s="949" t="s">
        <v>123</v>
      </c>
      <c r="AN232" s="949"/>
      <c r="AO232" s="999"/>
      <c r="AP232" s="936"/>
      <c r="AQ232" s="987"/>
      <c r="AR232" s="907"/>
      <c r="AS232" s="907"/>
      <c r="AT232" s="967" t="s">
        <v>123</v>
      </c>
      <c r="AU232" s="967" t="s">
        <v>123</v>
      </c>
      <c r="AV232" s="967" t="s">
        <v>123</v>
      </c>
      <c r="AW232" s="907" t="s">
        <v>123</v>
      </c>
      <c r="AX232" s="907" t="s">
        <v>123</v>
      </c>
      <c r="AY232" s="907" t="s">
        <v>123</v>
      </c>
      <c r="AZ232" s="936" t="s">
        <v>123</v>
      </c>
      <c r="BA232" s="935" t="s">
        <v>123</v>
      </c>
      <c r="BB232" s="1000"/>
      <c r="BC232" s="1001"/>
      <c r="BD232" s="936"/>
      <c r="BE232" s="907"/>
      <c r="BF232" s="1002" t="str">
        <f>IF($BC232="","",SUMIF(portfolio.!$A$4:$A623,BC232,portfolio.!$AN$4:$AN623))</f>
        <v/>
      </c>
      <c r="BG232" s="936" t="s">
        <v>123</v>
      </c>
      <c r="BH232" s="907" t="s">
        <v>123</v>
      </c>
      <c r="BI232" s="935" t="s">
        <v>123</v>
      </c>
      <c r="BJ232" s="1003"/>
      <c r="BK232" s="907" t="s">
        <v>123</v>
      </c>
      <c r="BL232" s="907" t="s">
        <v>123</v>
      </c>
      <c r="BM232" s="907" t="s">
        <v>123</v>
      </c>
      <c r="BN232" s="1004" t="s">
        <v>123</v>
      </c>
      <c r="BO232" s="907" t="str">
        <f t="shared" si="6"/>
        <v/>
      </c>
      <c r="BP232" s="907" t="str">
        <f t="shared" si="7"/>
        <v/>
      </c>
      <c r="BQ232" s="907" t="str">
        <f t="shared" si="8"/>
        <v/>
      </c>
      <c r="BR232" s="1004" t="str">
        <f t="shared" si="9"/>
        <v/>
      </c>
      <c r="BS232" s="1005" t="str">
        <f t="shared" si="10"/>
        <v/>
      </c>
      <c r="BT232" s="1006" t="s">
        <v>123</v>
      </c>
      <c r="BU232" s="1002" t="s">
        <v>123</v>
      </c>
      <c r="BV232" s="1006" t="s">
        <v>123</v>
      </c>
      <c r="BW232" s="1007"/>
    </row>
    <row r="233">
      <c r="A233" s="624">
        <v>210.0</v>
      </c>
      <c r="B233" s="1008"/>
      <c r="C233" s="989"/>
      <c r="D233" s="851"/>
      <c r="E233" s="990"/>
      <c r="F233" s="991"/>
      <c r="G233" s="991"/>
      <c r="H233" s="992"/>
      <c r="I233" s="993"/>
      <c r="J233" s="993"/>
      <c r="K233" s="993"/>
      <c r="L233" s="993"/>
      <c r="M233" s="993"/>
      <c r="N233" s="993"/>
      <c r="O233" s="993"/>
      <c r="P233" s="993"/>
      <c r="Q233" s="993"/>
      <c r="R233" s="993"/>
      <c r="S233" s="936"/>
      <c r="T233" s="998"/>
      <c r="U233" s="935"/>
      <c r="V233" s="935"/>
      <c r="W233" s="949" t="str">
        <f>IF(AND($S$20,NOT($U$20)),IF($V233:$V623="","",SUMIF(portfolio.!$A$4:$A623,V233,portfolio.!$AN$4:$AN623)),"")</f>
        <v/>
      </c>
      <c r="X233" s="998"/>
      <c r="Y233" s="936"/>
      <c r="Z233" s="936" t="s">
        <v>123</v>
      </c>
      <c r="AA233" s="936" t="s">
        <v>123</v>
      </c>
      <c r="AB233" s="936" t="s">
        <v>123</v>
      </c>
      <c r="AC233" s="907" t="s">
        <v>123</v>
      </c>
      <c r="AD233" s="999"/>
      <c r="AE233" s="936"/>
      <c r="AF233" s="936"/>
      <c r="AG233" s="936"/>
      <c r="AH233" s="936"/>
      <c r="AI233" s="999"/>
      <c r="AJ233" s="935"/>
      <c r="AK233" s="966"/>
      <c r="AL233" s="949"/>
      <c r="AM233" s="949" t="s">
        <v>123</v>
      </c>
      <c r="AN233" s="949"/>
      <c r="AO233" s="999"/>
      <c r="AP233" s="936"/>
      <c r="AQ233" s="987"/>
      <c r="AR233" s="907"/>
      <c r="AS233" s="907"/>
      <c r="AT233" s="967" t="s">
        <v>123</v>
      </c>
      <c r="AU233" s="967" t="s">
        <v>123</v>
      </c>
      <c r="AV233" s="967" t="s">
        <v>123</v>
      </c>
      <c r="AW233" s="907" t="s">
        <v>123</v>
      </c>
      <c r="AX233" s="907" t="s">
        <v>123</v>
      </c>
      <c r="AY233" s="907" t="s">
        <v>123</v>
      </c>
      <c r="AZ233" s="936" t="s">
        <v>123</v>
      </c>
      <c r="BA233" s="935" t="s">
        <v>123</v>
      </c>
      <c r="BB233" s="1000"/>
      <c r="BC233" s="1001"/>
      <c r="BD233" s="936"/>
      <c r="BE233" s="907"/>
      <c r="BF233" s="1002" t="str">
        <f>IF($BC233="","",SUMIF(portfolio.!$A$4:$A623,BC233,portfolio.!$AN$4:$AN623))</f>
        <v/>
      </c>
      <c r="BG233" s="936" t="s">
        <v>123</v>
      </c>
      <c r="BH233" s="907" t="s">
        <v>123</v>
      </c>
      <c r="BI233" s="935" t="s">
        <v>123</v>
      </c>
      <c r="BJ233" s="1003"/>
      <c r="BK233" s="907" t="s">
        <v>123</v>
      </c>
      <c r="BL233" s="907" t="s">
        <v>123</v>
      </c>
      <c r="BM233" s="907" t="s">
        <v>123</v>
      </c>
      <c r="BN233" s="1004" t="s">
        <v>123</v>
      </c>
      <c r="BO233" s="907" t="str">
        <f t="shared" si="6"/>
        <v/>
      </c>
      <c r="BP233" s="907" t="str">
        <f t="shared" si="7"/>
        <v/>
      </c>
      <c r="BQ233" s="907" t="str">
        <f t="shared" si="8"/>
        <v/>
      </c>
      <c r="BR233" s="1004" t="str">
        <f t="shared" si="9"/>
        <v/>
      </c>
      <c r="BS233" s="1005" t="str">
        <f t="shared" si="10"/>
        <v/>
      </c>
      <c r="BT233" s="1006" t="s">
        <v>123</v>
      </c>
      <c r="BU233" s="1002" t="s">
        <v>123</v>
      </c>
      <c r="BV233" s="1006" t="s">
        <v>123</v>
      </c>
      <c r="BW233" s="1007"/>
    </row>
    <row r="234">
      <c r="A234" s="624">
        <v>211.0</v>
      </c>
      <c r="B234" s="1008"/>
      <c r="C234" s="989"/>
      <c r="D234" s="851"/>
      <c r="E234" s="990"/>
      <c r="F234" s="991"/>
      <c r="G234" s="991"/>
      <c r="H234" s="992"/>
      <c r="I234" s="993"/>
      <c r="J234" s="993"/>
      <c r="K234" s="993"/>
      <c r="L234" s="993"/>
      <c r="M234" s="993"/>
      <c r="N234" s="993"/>
      <c r="O234" s="993"/>
      <c r="P234" s="993"/>
      <c r="Q234" s="993"/>
      <c r="R234" s="993"/>
      <c r="S234" s="936"/>
      <c r="T234" s="998"/>
      <c r="U234" s="935"/>
      <c r="V234" s="935"/>
      <c r="W234" s="949" t="str">
        <f>IF(AND($S$20,NOT($U$20)),IF($V234:$V623="","",SUMIF(portfolio.!$A$4:$A623,V234,portfolio.!$AN$4:$AN623)),"")</f>
        <v/>
      </c>
      <c r="X234" s="998"/>
      <c r="Y234" s="936"/>
      <c r="Z234" s="936" t="s">
        <v>123</v>
      </c>
      <c r="AA234" s="936" t="s">
        <v>123</v>
      </c>
      <c r="AB234" s="936" t="s">
        <v>123</v>
      </c>
      <c r="AC234" s="907" t="s">
        <v>123</v>
      </c>
      <c r="AD234" s="999"/>
      <c r="AE234" s="936"/>
      <c r="AF234" s="936"/>
      <c r="AG234" s="936"/>
      <c r="AH234" s="936"/>
      <c r="AI234" s="999"/>
      <c r="AJ234" s="935"/>
      <c r="AK234" s="966"/>
      <c r="AL234" s="949"/>
      <c r="AM234" s="949" t="s">
        <v>123</v>
      </c>
      <c r="AN234" s="949"/>
      <c r="AO234" s="999"/>
      <c r="AP234" s="936"/>
      <c r="AQ234" s="987"/>
      <c r="AR234" s="907"/>
      <c r="AS234" s="907"/>
      <c r="AT234" s="967" t="s">
        <v>123</v>
      </c>
      <c r="AU234" s="967" t="s">
        <v>123</v>
      </c>
      <c r="AV234" s="967" t="s">
        <v>123</v>
      </c>
      <c r="AW234" s="907" t="s">
        <v>123</v>
      </c>
      <c r="AX234" s="907" t="s">
        <v>123</v>
      </c>
      <c r="AY234" s="907" t="s">
        <v>123</v>
      </c>
      <c r="AZ234" s="936" t="s">
        <v>123</v>
      </c>
      <c r="BA234" s="935" t="s">
        <v>123</v>
      </c>
      <c r="BB234" s="1000"/>
      <c r="BC234" s="1001"/>
      <c r="BD234" s="936"/>
      <c r="BE234" s="907"/>
      <c r="BF234" s="1002" t="str">
        <f>IF($BC234="","",SUMIF(portfolio.!$A$4:$A623,BC234,portfolio.!$AN$4:$AN623))</f>
        <v/>
      </c>
      <c r="BG234" s="936" t="s">
        <v>123</v>
      </c>
      <c r="BH234" s="907" t="s">
        <v>123</v>
      </c>
      <c r="BI234" s="935" t="s">
        <v>123</v>
      </c>
      <c r="BJ234" s="1003"/>
      <c r="BK234" s="907" t="s">
        <v>123</v>
      </c>
      <c r="BL234" s="907" t="s">
        <v>123</v>
      </c>
      <c r="BM234" s="907" t="s">
        <v>123</v>
      </c>
      <c r="BN234" s="1004" t="s">
        <v>123</v>
      </c>
      <c r="BO234" s="907" t="str">
        <f t="shared" si="6"/>
        <v/>
      </c>
      <c r="BP234" s="907" t="str">
        <f t="shared" si="7"/>
        <v/>
      </c>
      <c r="BQ234" s="907" t="str">
        <f t="shared" si="8"/>
        <v/>
      </c>
      <c r="BR234" s="1004" t="str">
        <f t="shared" si="9"/>
        <v/>
      </c>
      <c r="BS234" s="1005" t="str">
        <f t="shared" si="10"/>
        <v/>
      </c>
      <c r="BT234" s="1006" t="s">
        <v>123</v>
      </c>
      <c r="BU234" s="1002" t="s">
        <v>123</v>
      </c>
      <c r="BV234" s="1006" t="s">
        <v>123</v>
      </c>
      <c r="BW234" s="1007"/>
    </row>
    <row r="235">
      <c r="A235" s="624">
        <v>212.0</v>
      </c>
      <c r="B235" s="1008"/>
      <c r="C235" s="989"/>
      <c r="D235" s="851"/>
      <c r="E235" s="990"/>
      <c r="F235" s="991"/>
      <c r="G235" s="991"/>
      <c r="H235" s="992"/>
      <c r="I235" s="993"/>
      <c r="J235" s="993"/>
      <c r="K235" s="993"/>
      <c r="L235" s="993"/>
      <c r="M235" s="993"/>
      <c r="N235" s="993"/>
      <c r="O235" s="993"/>
      <c r="P235" s="993"/>
      <c r="Q235" s="993"/>
      <c r="R235" s="993"/>
      <c r="S235" s="936"/>
      <c r="T235" s="998"/>
      <c r="U235" s="935"/>
      <c r="V235" s="935"/>
      <c r="W235" s="949" t="str">
        <f>IF(AND($S$20,NOT($U$20)),IF($V235:$V623="","",SUMIF(portfolio.!$A$4:$A623,V235,portfolio.!$AN$4:$AN623)),"")</f>
        <v/>
      </c>
      <c r="X235" s="998"/>
      <c r="Y235" s="936"/>
      <c r="Z235" s="936" t="s">
        <v>123</v>
      </c>
      <c r="AA235" s="936" t="s">
        <v>123</v>
      </c>
      <c r="AB235" s="936" t="s">
        <v>123</v>
      </c>
      <c r="AC235" s="907" t="s">
        <v>123</v>
      </c>
      <c r="AD235" s="999"/>
      <c r="AE235" s="936"/>
      <c r="AF235" s="936"/>
      <c r="AG235" s="936"/>
      <c r="AH235" s="936"/>
      <c r="AI235" s="999"/>
      <c r="AJ235" s="935"/>
      <c r="AK235" s="966"/>
      <c r="AL235" s="949"/>
      <c r="AM235" s="949" t="s">
        <v>123</v>
      </c>
      <c r="AN235" s="949"/>
      <c r="AO235" s="999"/>
      <c r="AP235" s="936"/>
      <c r="AQ235" s="987"/>
      <c r="AR235" s="907"/>
      <c r="AS235" s="907"/>
      <c r="AT235" s="967" t="s">
        <v>123</v>
      </c>
      <c r="AU235" s="967" t="s">
        <v>123</v>
      </c>
      <c r="AV235" s="967" t="s">
        <v>123</v>
      </c>
      <c r="AW235" s="907" t="s">
        <v>123</v>
      </c>
      <c r="AX235" s="907" t="s">
        <v>123</v>
      </c>
      <c r="AY235" s="907" t="s">
        <v>123</v>
      </c>
      <c r="AZ235" s="936" t="s">
        <v>123</v>
      </c>
      <c r="BA235" s="935" t="s">
        <v>123</v>
      </c>
      <c r="BB235" s="1000"/>
      <c r="BC235" s="1001"/>
      <c r="BD235" s="936"/>
      <c r="BE235" s="907"/>
      <c r="BF235" s="1002" t="str">
        <f>IF($BC235="","",SUMIF(portfolio.!$A$4:$A623,BC235,portfolio.!$AN$4:$AN623))</f>
        <v/>
      </c>
      <c r="BG235" s="936" t="s">
        <v>123</v>
      </c>
      <c r="BH235" s="907" t="s">
        <v>123</v>
      </c>
      <c r="BI235" s="935" t="s">
        <v>123</v>
      </c>
      <c r="BJ235" s="1003"/>
      <c r="BK235" s="907" t="s">
        <v>123</v>
      </c>
      <c r="BL235" s="907" t="s">
        <v>123</v>
      </c>
      <c r="BM235" s="907" t="s">
        <v>123</v>
      </c>
      <c r="BN235" s="1004" t="s">
        <v>123</v>
      </c>
      <c r="BO235" s="907" t="str">
        <f t="shared" si="6"/>
        <v/>
      </c>
      <c r="BP235" s="907" t="str">
        <f t="shared" si="7"/>
        <v/>
      </c>
      <c r="BQ235" s="907" t="str">
        <f t="shared" si="8"/>
        <v/>
      </c>
      <c r="BR235" s="1004" t="str">
        <f t="shared" si="9"/>
        <v/>
      </c>
      <c r="BS235" s="1005" t="str">
        <f t="shared" si="10"/>
        <v/>
      </c>
      <c r="BT235" s="1006" t="s">
        <v>123</v>
      </c>
      <c r="BU235" s="1002" t="s">
        <v>123</v>
      </c>
      <c r="BV235" s="1006" t="s">
        <v>123</v>
      </c>
      <c r="BW235" s="1007"/>
    </row>
    <row r="236">
      <c r="A236" s="624">
        <v>213.0</v>
      </c>
      <c r="B236" s="1008"/>
      <c r="C236" s="989"/>
      <c r="D236" s="851"/>
      <c r="E236" s="990"/>
      <c r="F236" s="991"/>
      <c r="G236" s="991"/>
      <c r="H236" s="992"/>
      <c r="I236" s="993"/>
      <c r="J236" s="993"/>
      <c r="K236" s="993"/>
      <c r="L236" s="993"/>
      <c r="M236" s="993"/>
      <c r="N236" s="993"/>
      <c r="O236" s="993"/>
      <c r="P236" s="993"/>
      <c r="Q236" s="993"/>
      <c r="R236" s="993"/>
      <c r="S236" s="936"/>
      <c r="T236" s="998"/>
      <c r="U236" s="935"/>
      <c r="V236" s="935"/>
      <c r="W236" s="949" t="str">
        <f>IF(AND($S$20,NOT($U$20)),IF($V236:$V623="","",SUMIF(portfolio.!$A$4:$A623,V236,portfolio.!$AN$4:$AN623)),"")</f>
        <v/>
      </c>
      <c r="X236" s="998"/>
      <c r="Y236" s="936"/>
      <c r="Z236" s="936" t="s">
        <v>123</v>
      </c>
      <c r="AA236" s="936" t="s">
        <v>123</v>
      </c>
      <c r="AB236" s="936" t="s">
        <v>123</v>
      </c>
      <c r="AC236" s="907" t="s">
        <v>123</v>
      </c>
      <c r="AD236" s="999"/>
      <c r="AE236" s="936"/>
      <c r="AF236" s="936"/>
      <c r="AG236" s="936"/>
      <c r="AH236" s="936"/>
      <c r="AI236" s="999"/>
      <c r="AJ236" s="935"/>
      <c r="AK236" s="966"/>
      <c r="AL236" s="949"/>
      <c r="AM236" s="949" t="s">
        <v>123</v>
      </c>
      <c r="AN236" s="949"/>
      <c r="AO236" s="999"/>
      <c r="AP236" s="936"/>
      <c r="AQ236" s="987"/>
      <c r="AR236" s="907"/>
      <c r="AS236" s="907"/>
      <c r="AT236" s="967" t="s">
        <v>123</v>
      </c>
      <c r="AU236" s="967" t="s">
        <v>123</v>
      </c>
      <c r="AV236" s="967" t="s">
        <v>123</v>
      </c>
      <c r="AW236" s="907" t="s">
        <v>123</v>
      </c>
      <c r="AX236" s="907" t="s">
        <v>123</v>
      </c>
      <c r="AY236" s="907" t="s">
        <v>123</v>
      </c>
      <c r="AZ236" s="936" t="s">
        <v>123</v>
      </c>
      <c r="BA236" s="935" t="s">
        <v>123</v>
      </c>
      <c r="BB236" s="1000"/>
      <c r="BC236" s="1001"/>
      <c r="BD236" s="936"/>
      <c r="BE236" s="907"/>
      <c r="BF236" s="1002" t="str">
        <f>IF($BC236="","",SUMIF(portfolio.!$A$4:$A623,BC236,portfolio.!$AN$4:$AN623))</f>
        <v/>
      </c>
      <c r="BG236" s="936" t="s">
        <v>123</v>
      </c>
      <c r="BH236" s="907" t="s">
        <v>123</v>
      </c>
      <c r="BI236" s="935" t="s">
        <v>123</v>
      </c>
      <c r="BJ236" s="1003"/>
      <c r="BK236" s="907" t="s">
        <v>123</v>
      </c>
      <c r="BL236" s="907" t="s">
        <v>123</v>
      </c>
      <c r="BM236" s="907" t="s">
        <v>123</v>
      </c>
      <c r="BN236" s="1004" t="s">
        <v>123</v>
      </c>
      <c r="BO236" s="907" t="str">
        <f t="shared" si="6"/>
        <v/>
      </c>
      <c r="BP236" s="907" t="str">
        <f t="shared" si="7"/>
        <v/>
      </c>
      <c r="BQ236" s="907" t="str">
        <f t="shared" si="8"/>
        <v/>
      </c>
      <c r="BR236" s="1004" t="str">
        <f t="shared" si="9"/>
        <v/>
      </c>
      <c r="BS236" s="1005" t="str">
        <f t="shared" si="10"/>
        <v/>
      </c>
      <c r="BT236" s="1006" t="s">
        <v>123</v>
      </c>
      <c r="BU236" s="1002" t="s">
        <v>123</v>
      </c>
      <c r="BV236" s="1006" t="s">
        <v>123</v>
      </c>
      <c r="BW236" s="1007"/>
    </row>
    <row r="237">
      <c r="A237" s="624">
        <v>214.0</v>
      </c>
      <c r="B237" s="1008"/>
      <c r="C237" s="989"/>
      <c r="D237" s="851"/>
      <c r="E237" s="990"/>
      <c r="F237" s="991"/>
      <c r="G237" s="991"/>
      <c r="H237" s="992"/>
      <c r="I237" s="993"/>
      <c r="J237" s="993"/>
      <c r="K237" s="993"/>
      <c r="L237" s="993"/>
      <c r="M237" s="993"/>
      <c r="N237" s="993"/>
      <c r="O237" s="993"/>
      <c r="P237" s="993"/>
      <c r="Q237" s="993"/>
      <c r="R237" s="993"/>
      <c r="S237" s="936"/>
      <c r="T237" s="998"/>
      <c r="U237" s="935"/>
      <c r="V237" s="935"/>
      <c r="W237" s="949" t="str">
        <f>IF(AND($S$20,NOT($U$20)),IF($V237:$V623="","",SUMIF(portfolio.!$A$4:$A623,V237,portfolio.!$AN$4:$AN623)),"")</f>
        <v/>
      </c>
      <c r="X237" s="998"/>
      <c r="Y237" s="936"/>
      <c r="Z237" s="936" t="s">
        <v>123</v>
      </c>
      <c r="AA237" s="936" t="s">
        <v>123</v>
      </c>
      <c r="AB237" s="936" t="s">
        <v>123</v>
      </c>
      <c r="AC237" s="907" t="s">
        <v>123</v>
      </c>
      <c r="AD237" s="999"/>
      <c r="AE237" s="936"/>
      <c r="AF237" s="936"/>
      <c r="AG237" s="936"/>
      <c r="AH237" s="936"/>
      <c r="AI237" s="999"/>
      <c r="AJ237" s="935"/>
      <c r="AK237" s="966"/>
      <c r="AL237" s="949"/>
      <c r="AM237" s="949" t="s">
        <v>123</v>
      </c>
      <c r="AN237" s="949"/>
      <c r="AO237" s="999"/>
      <c r="AP237" s="936"/>
      <c r="AQ237" s="987"/>
      <c r="AR237" s="907"/>
      <c r="AS237" s="907"/>
      <c r="AT237" s="967" t="s">
        <v>123</v>
      </c>
      <c r="AU237" s="967" t="s">
        <v>123</v>
      </c>
      <c r="AV237" s="967" t="s">
        <v>123</v>
      </c>
      <c r="AW237" s="907" t="s">
        <v>123</v>
      </c>
      <c r="AX237" s="907" t="s">
        <v>123</v>
      </c>
      <c r="AY237" s="907" t="s">
        <v>123</v>
      </c>
      <c r="AZ237" s="936" t="s">
        <v>123</v>
      </c>
      <c r="BA237" s="935" t="s">
        <v>123</v>
      </c>
      <c r="BB237" s="1000"/>
      <c r="BC237" s="1001"/>
      <c r="BD237" s="936"/>
      <c r="BE237" s="907"/>
      <c r="BF237" s="1002" t="str">
        <f>IF($BC237="","",SUMIF(portfolio.!$A$4:$A623,BC237,portfolio.!$AN$4:$AN623))</f>
        <v/>
      </c>
      <c r="BG237" s="936" t="s">
        <v>123</v>
      </c>
      <c r="BH237" s="907" t="s">
        <v>123</v>
      </c>
      <c r="BI237" s="935" t="s">
        <v>123</v>
      </c>
      <c r="BJ237" s="1003"/>
      <c r="BK237" s="907" t="s">
        <v>123</v>
      </c>
      <c r="BL237" s="907" t="s">
        <v>123</v>
      </c>
      <c r="BM237" s="907" t="s">
        <v>123</v>
      </c>
      <c r="BN237" s="1004" t="s">
        <v>123</v>
      </c>
      <c r="BO237" s="907" t="str">
        <f t="shared" si="6"/>
        <v/>
      </c>
      <c r="BP237" s="907" t="str">
        <f t="shared" si="7"/>
        <v/>
      </c>
      <c r="BQ237" s="907" t="str">
        <f t="shared" si="8"/>
        <v/>
      </c>
      <c r="BR237" s="1004" t="str">
        <f t="shared" si="9"/>
        <v/>
      </c>
      <c r="BS237" s="1005" t="str">
        <f t="shared" si="10"/>
        <v/>
      </c>
      <c r="BT237" s="1006" t="s">
        <v>123</v>
      </c>
      <c r="BU237" s="1002" t="s">
        <v>123</v>
      </c>
      <c r="BV237" s="1006" t="s">
        <v>123</v>
      </c>
      <c r="BW237" s="1007"/>
    </row>
    <row r="238">
      <c r="A238" s="624">
        <v>215.0</v>
      </c>
      <c r="B238" s="1008"/>
      <c r="C238" s="989"/>
      <c r="D238" s="851"/>
      <c r="E238" s="990"/>
      <c r="F238" s="991"/>
      <c r="G238" s="991"/>
      <c r="H238" s="992"/>
      <c r="I238" s="993"/>
      <c r="J238" s="993"/>
      <c r="K238" s="993"/>
      <c r="L238" s="993"/>
      <c r="M238" s="993"/>
      <c r="N238" s="993"/>
      <c r="O238" s="993"/>
      <c r="P238" s="993"/>
      <c r="Q238" s="993"/>
      <c r="R238" s="993"/>
      <c r="S238" s="936"/>
      <c r="T238" s="998"/>
      <c r="U238" s="935"/>
      <c r="V238" s="935"/>
      <c r="W238" s="949" t="str">
        <f>IF(AND($S$20,NOT($U$20)),IF($V238:$V623="","",SUMIF(portfolio.!$A$4:$A623,V238,portfolio.!$AN$4:$AN623)),"")</f>
        <v/>
      </c>
      <c r="X238" s="998"/>
      <c r="Y238" s="936"/>
      <c r="Z238" s="936" t="s">
        <v>123</v>
      </c>
      <c r="AA238" s="936" t="s">
        <v>123</v>
      </c>
      <c r="AB238" s="936" t="s">
        <v>123</v>
      </c>
      <c r="AC238" s="907" t="s">
        <v>123</v>
      </c>
      <c r="AD238" s="999"/>
      <c r="AE238" s="936"/>
      <c r="AF238" s="936"/>
      <c r="AG238" s="936"/>
      <c r="AH238" s="936"/>
      <c r="AI238" s="999"/>
      <c r="AJ238" s="935"/>
      <c r="AK238" s="966"/>
      <c r="AL238" s="949"/>
      <c r="AM238" s="949" t="s">
        <v>123</v>
      </c>
      <c r="AN238" s="949"/>
      <c r="AO238" s="999"/>
      <c r="AP238" s="936"/>
      <c r="AQ238" s="987"/>
      <c r="AR238" s="907"/>
      <c r="AS238" s="907"/>
      <c r="AT238" s="967" t="s">
        <v>123</v>
      </c>
      <c r="AU238" s="967" t="s">
        <v>123</v>
      </c>
      <c r="AV238" s="967" t="s">
        <v>123</v>
      </c>
      <c r="AW238" s="907" t="s">
        <v>123</v>
      </c>
      <c r="AX238" s="907" t="s">
        <v>123</v>
      </c>
      <c r="AY238" s="907" t="s">
        <v>123</v>
      </c>
      <c r="AZ238" s="936" t="s">
        <v>123</v>
      </c>
      <c r="BA238" s="935" t="s">
        <v>123</v>
      </c>
      <c r="BB238" s="1000"/>
      <c r="BC238" s="1001"/>
      <c r="BD238" s="936"/>
      <c r="BE238" s="907"/>
      <c r="BF238" s="1002" t="str">
        <f>IF($BC238="","",SUMIF(portfolio.!$A$4:$A623,BC238,portfolio.!$AN$4:$AN623))</f>
        <v/>
      </c>
      <c r="BG238" s="936" t="s">
        <v>123</v>
      </c>
      <c r="BH238" s="907" t="s">
        <v>123</v>
      </c>
      <c r="BI238" s="935" t="s">
        <v>123</v>
      </c>
      <c r="BJ238" s="1003"/>
      <c r="BK238" s="907" t="s">
        <v>123</v>
      </c>
      <c r="BL238" s="907" t="s">
        <v>123</v>
      </c>
      <c r="BM238" s="907" t="s">
        <v>123</v>
      </c>
      <c r="BN238" s="1004" t="s">
        <v>123</v>
      </c>
      <c r="BO238" s="907" t="str">
        <f t="shared" si="6"/>
        <v/>
      </c>
      <c r="BP238" s="907" t="str">
        <f t="shared" si="7"/>
        <v/>
      </c>
      <c r="BQ238" s="907" t="str">
        <f t="shared" si="8"/>
        <v/>
      </c>
      <c r="BR238" s="1004" t="str">
        <f t="shared" si="9"/>
        <v/>
      </c>
      <c r="BS238" s="1005" t="str">
        <f t="shared" si="10"/>
        <v/>
      </c>
      <c r="BT238" s="1006" t="s">
        <v>123</v>
      </c>
      <c r="BU238" s="1002" t="s">
        <v>123</v>
      </c>
      <c r="BV238" s="1006" t="s">
        <v>123</v>
      </c>
      <c r="BW238" s="1007"/>
    </row>
    <row r="239">
      <c r="A239" s="624">
        <v>216.0</v>
      </c>
      <c r="B239" s="1008"/>
      <c r="C239" s="989"/>
      <c r="D239" s="851"/>
      <c r="E239" s="990"/>
      <c r="F239" s="991"/>
      <c r="G239" s="991"/>
      <c r="H239" s="992"/>
      <c r="I239" s="993"/>
      <c r="J239" s="993"/>
      <c r="K239" s="993"/>
      <c r="L239" s="993"/>
      <c r="M239" s="993"/>
      <c r="N239" s="993"/>
      <c r="O239" s="993"/>
      <c r="P239" s="993"/>
      <c r="Q239" s="993"/>
      <c r="R239" s="993"/>
      <c r="S239" s="936"/>
      <c r="T239" s="998"/>
      <c r="U239" s="935"/>
      <c r="V239" s="935"/>
      <c r="W239" s="949" t="str">
        <f>IF(AND($S$20,NOT($U$20)),IF($V239:$V623="","",SUMIF(portfolio.!$A$4:$A623,V239,portfolio.!$AN$4:$AN623)),"")</f>
        <v/>
      </c>
      <c r="X239" s="998"/>
      <c r="Y239" s="936"/>
      <c r="Z239" s="936" t="s">
        <v>123</v>
      </c>
      <c r="AA239" s="936" t="s">
        <v>123</v>
      </c>
      <c r="AB239" s="936" t="s">
        <v>123</v>
      </c>
      <c r="AC239" s="907" t="s">
        <v>123</v>
      </c>
      <c r="AD239" s="999"/>
      <c r="AE239" s="936"/>
      <c r="AF239" s="936"/>
      <c r="AG239" s="936"/>
      <c r="AH239" s="936"/>
      <c r="AI239" s="999"/>
      <c r="AJ239" s="935"/>
      <c r="AK239" s="966"/>
      <c r="AL239" s="949"/>
      <c r="AM239" s="949" t="s">
        <v>123</v>
      </c>
      <c r="AN239" s="949"/>
      <c r="AO239" s="999"/>
      <c r="AP239" s="936"/>
      <c r="AQ239" s="987"/>
      <c r="AR239" s="907"/>
      <c r="AS239" s="907"/>
      <c r="AT239" s="967" t="s">
        <v>123</v>
      </c>
      <c r="AU239" s="967" t="s">
        <v>123</v>
      </c>
      <c r="AV239" s="967" t="s">
        <v>123</v>
      </c>
      <c r="AW239" s="907" t="s">
        <v>123</v>
      </c>
      <c r="AX239" s="907" t="s">
        <v>123</v>
      </c>
      <c r="AY239" s="907" t="s">
        <v>123</v>
      </c>
      <c r="AZ239" s="936" t="s">
        <v>123</v>
      </c>
      <c r="BA239" s="935" t="s">
        <v>123</v>
      </c>
      <c r="BB239" s="1000"/>
      <c r="BC239" s="1001"/>
      <c r="BD239" s="936"/>
      <c r="BE239" s="907"/>
      <c r="BF239" s="1002" t="str">
        <f>IF($BC239="","",SUMIF(portfolio.!$A$4:$A623,BC239,portfolio.!$AN$4:$AN623))</f>
        <v/>
      </c>
      <c r="BG239" s="936" t="s">
        <v>123</v>
      </c>
      <c r="BH239" s="907" t="s">
        <v>123</v>
      </c>
      <c r="BI239" s="935" t="s">
        <v>123</v>
      </c>
      <c r="BJ239" s="1003"/>
      <c r="BK239" s="907" t="s">
        <v>123</v>
      </c>
      <c r="BL239" s="907" t="s">
        <v>123</v>
      </c>
      <c r="BM239" s="907" t="s">
        <v>123</v>
      </c>
      <c r="BN239" s="1004" t="s">
        <v>123</v>
      </c>
      <c r="BO239" s="907" t="str">
        <f t="shared" si="6"/>
        <v/>
      </c>
      <c r="BP239" s="907" t="str">
        <f t="shared" si="7"/>
        <v/>
      </c>
      <c r="BQ239" s="907" t="str">
        <f t="shared" si="8"/>
        <v/>
      </c>
      <c r="BR239" s="1004" t="str">
        <f t="shared" si="9"/>
        <v/>
      </c>
      <c r="BS239" s="1005" t="str">
        <f t="shared" si="10"/>
        <v/>
      </c>
      <c r="BT239" s="1006" t="s">
        <v>123</v>
      </c>
      <c r="BU239" s="1002" t="s">
        <v>123</v>
      </c>
      <c r="BV239" s="1006" t="s">
        <v>123</v>
      </c>
      <c r="BW239" s="1007"/>
    </row>
    <row r="240">
      <c r="A240" s="624">
        <v>217.0</v>
      </c>
      <c r="B240" s="1008"/>
      <c r="C240" s="989"/>
      <c r="D240" s="851"/>
      <c r="E240" s="990"/>
      <c r="F240" s="991"/>
      <c r="G240" s="991"/>
      <c r="H240" s="992"/>
      <c r="I240" s="993"/>
      <c r="J240" s="993"/>
      <c r="K240" s="993"/>
      <c r="L240" s="993"/>
      <c r="M240" s="993"/>
      <c r="N240" s="993"/>
      <c r="O240" s="993"/>
      <c r="P240" s="993"/>
      <c r="Q240" s="993"/>
      <c r="R240" s="993"/>
      <c r="S240" s="936"/>
      <c r="T240" s="998"/>
      <c r="U240" s="935"/>
      <c r="V240" s="935"/>
      <c r="W240" s="949" t="str">
        <f>IF(AND($S$20,NOT($U$20)),IF($V240:$V623="","",SUMIF(portfolio.!$A$4:$A623,V240,portfolio.!$AN$4:$AN623)),"")</f>
        <v/>
      </c>
      <c r="X240" s="998"/>
      <c r="Y240" s="936"/>
      <c r="Z240" s="936" t="s">
        <v>123</v>
      </c>
      <c r="AA240" s="936" t="s">
        <v>123</v>
      </c>
      <c r="AB240" s="936" t="s">
        <v>123</v>
      </c>
      <c r="AC240" s="907" t="s">
        <v>123</v>
      </c>
      <c r="AD240" s="999"/>
      <c r="AE240" s="936"/>
      <c r="AF240" s="936"/>
      <c r="AG240" s="936"/>
      <c r="AH240" s="936"/>
      <c r="AI240" s="999"/>
      <c r="AJ240" s="935"/>
      <c r="AK240" s="966"/>
      <c r="AL240" s="949"/>
      <c r="AM240" s="949" t="s">
        <v>123</v>
      </c>
      <c r="AN240" s="949"/>
      <c r="AO240" s="999"/>
      <c r="AP240" s="936"/>
      <c r="AQ240" s="987"/>
      <c r="AR240" s="907"/>
      <c r="AS240" s="907"/>
      <c r="AT240" s="967" t="s">
        <v>123</v>
      </c>
      <c r="AU240" s="967" t="s">
        <v>123</v>
      </c>
      <c r="AV240" s="967" t="s">
        <v>123</v>
      </c>
      <c r="AW240" s="907" t="s">
        <v>123</v>
      </c>
      <c r="AX240" s="907" t="s">
        <v>123</v>
      </c>
      <c r="AY240" s="907" t="s">
        <v>123</v>
      </c>
      <c r="AZ240" s="936" t="s">
        <v>123</v>
      </c>
      <c r="BA240" s="935" t="s">
        <v>123</v>
      </c>
      <c r="BB240" s="1000"/>
      <c r="BC240" s="1001"/>
      <c r="BD240" s="936"/>
      <c r="BE240" s="907"/>
      <c r="BF240" s="1002" t="str">
        <f>IF($BC240="","",SUMIF(portfolio.!$A$4:$A623,BC240,portfolio.!$AN$4:$AN623))</f>
        <v/>
      </c>
      <c r="BG240" s="936" t="s">
        <v>123</v>
      </c>
      <c r="BH240" s="907" t="s">
        <v>123</v>
      </c>
      <c r="BI240" s="935" t="s">
        <v>123</v>
      </c>
      <c r="BJ240" s="1003"/>
      <c r="BK240" s="907" t="s">
        <v>123</v>
      </c>
      <c r="BL240" s="907" t="s">
        <v>123</v>
      </c>
      <c r="BM240" s="907" t="s">
        <v>123</v>
      </c>
      <c r="BN240" s="1004" t="s">
        <v>123</v>
      </c>
      <c r="BO240" s="907" t="str">
        <f t="shared" si="6"/>
        <v/>
      </c>
      <c r="BP240" s="907" t="str">
        <f t="shared" si="7"/>
        <v/>
      </c>
      <c r="BQ240" s="907" t="str">
        <f t="shared" si="8"/>
        <v/>
      </c>
      <c r="BR240" s="1004" t="str">
        <f t="shared" si="9"/>
        <v/>
      </c>
      <c r="BS240" s="1005" t="str">
        <f t="shared" si="10"/>
        <v/>
      </c>
      <c r="BT240" s="1006" t="s">
        <v>123</v>
      </c>
      <c r="BU240" s="1002" t="s">
        <v>123</v>
      </c>
      <c r="BV240" s="1006" t="s">
        <v>123</v>
      </c>
      <c r="BW240" s="1007"/>
    </row>
    <row r="241">
      <c r="A241" s="624">
        <v>218.0</v>
      </c>
      <c r="B241" s="1008"/>
      <c r="C241" s="989"/>
      <c r="D241" s="851"/>
      <c r="E241" s="990"/>
      <c r="F241" s="991"/>
      <c r="G241" s="991"/>
      <c r="H241" s="992"/>
      <c r="I241" s="993"/>
      <c r="J241" s="993"/>
      <c r="K241" s="993"/>
      <c r="L241" s="993"/>
      <c r="M241" s="993"/>
      <c r="N241" s="993"/>
      <c r="O241" s="993"/>
      <c r="P241" s="993"/>
      <c r="Q241" s="993"/>
      <c r="R241" s="993"/>
      <c r="S241" s="936"/>
      <c r="T241" s="998"/>
      <c r="U241" s="935"/>
      <c r="V241" s="935"/>
      <c r="W241" s="949" t="str">
        <f>IF(AND($S$20,NOT($U$20)),IF($V241:$V623="","",SUMIF(portfolio.!$A$4:$A623,V241,portfolio.!$AN$4:$AN623)),"")</f>
        <v/>
      </c>
      <c r="X241" s="998"/>
      <c r="Y241" s="936"/>
      <c r="Z241" s="936" t="s">
        <v>123</v>
      </c>
      <c r="AA241" s="936" t="s">
        <v>123</v>
      </c>
      <c r="AB241" s="936" t="s">
        <v>123</v>
      </c>
      <c r="AC241" s="907" t="s">
        <v>123</v>
      </c>
      <c r="AD241" s="999"/>
      <c r="AE241" s="936"/>
      <c r="AF241" s="936"/>
      <c r="AG241" s="936"/>
      <c r="AH241" s="936"/>
      <c r="AI241" s="999"/>
      <c r="AJ241" s="935"/>
      <c r="AK241" s="966"/>
      <c r="AL241" s="949"/>
      <c r="AM241" s="949" t="s">
        <v>123</v>
      </c>
      <c r="AN241" s="949"/>
      <c r="AO241" s="999"/>
      <c r="AP241" s="936"/>
      <c r="AQ241" s="987"/>
      <c r="AR241" s="907"/>
      <c r="AS241" s="907"/>
      <c r="AT241" s="967" t="s">
        <v>123</v>
      </c>
      <c r="AU241" s="967" t="s">
        <v>123</v>
      </c>
      <c r="AV241" s="967" t="s">
        <v>123</v>
      </c>
      <c r="AW241" s="907" t="s">
        <v>123</v>
      </c>
      <c r="AX241" s="907" t="s">
        <v>123</v>
      </c>
      <c r="AY241" s="907" t="s">
        <v>123</v>
      </c>
      <c r="AZ241" s="936" t="s">
        <v>123</v>
      </c>
      <c r="BA241" s="935" t="s">
        <v>123</v>
      </c>
      <c r="BB241" s="1000"/>
      <c r="BC241" s="1001"/>
      <c r="BD241" s="936"/>
      <c r="BE241" s="907"/>
      <c r="BF241" s="1002" t="str">
        <f>IF($BC241="","",SUMIF(portfolio.!$A$4:$A623,BC241,portfolio.!$AN$4:$AN623))</f>
        <v/>
      </c>
      <c r="BG241" s="936" t="s">
        <v>123</v>
      </c>
      <c r="BH241" s="907" t="s">
        <v>123</v>
      </c>
      <c r="BI241" s="935" t="s">
        <v>123</v>
      </c>
      <c r="BJ241" s="1003"/>
      <c r="BK241" s="907" t="s">
        <v>123</v>
      </c>
      <c r="BL241" s="907" t="s">
        <v>123</v>
      </c>
      <c r="BM241" s="907" t="s">
        <v>123</v>
      </c>
      <c r="BN241" s="1004" t="s">
        <v>123</v>
      </c>
      <c r="BO241" s="907" t="str">
        <f t="shared" si="6"/>
        <v/>
      </c>
      <c r="BP241" s="907" t="str">
        <f t="shared" si="7"/>
        <v/>
      </c>
      <c r="BQ241" s="907" t="str">
        <f t="shared" si="8"/>
        <v/>
      </c>
      <c r="BR241" s="1004" t="str">
        <f t="shared" si="9"/>
        <v/>
      </c>
      <c r="BS241" s="1005" t="str">
        <f t="shared" si="10"/>
        <v/>
      </c>
      <c r="BT241" s="1006" t="s">
        <v>123</v>
      </c>
      <c r="BU241" s="1002" t="s">
        <v>123</v>
      </c>
      <c r="BV241" s="1006" t="s">
        <v>123</v>
      </c>
      <c r="BW241" s="1007"/>
    </row>
    <row r="242">
      <c r="A242" s="624">
        <v>219.0</v>
      </c>
      <c r="B242" s="1008"/>
      <c r="C242" s="989"/>
      <c r="D242" s="851"/>
      <c r="E242" s="990"/>
      <c r="F242" s="991"/>
      <c r="G242" s="991"/>
      <c r="H242" s="992"/>
      <c r="I242" s="993"/>
      <c r="J242" s="993"/>
      <c r="K242" s="993"/>
      <c r="L242" s="993"/>
      <c r="M242" s="993"/>
      <c r="N242" s="993"/>
      <c r="O242" s="993"/>
      <c r="P242" s="993"/>
      <c r="Q242" s="993"/>
      <c r="R242" s="993"/>
      <c r="S242" s="936"/>
      <c r="T242" s="998"/>
      <c r="U242" s="935"/>
      <c r="V242" s="935"/>
      <c r="W242" s="949" t="str">
        <f>IF(AND($S$20,NOT($U$20)),IF($V242:$V623="","",SUMIF(portfolio.!$A$4:$A623,V242,portfolio.!$AN$4:$AN623)),"")</f>
        <v/>
      </c>
      <c r="X242" s="998"/>
      <c r="Y242" s="936"/>
      <c r="Z242" s="936" t="s">
        <v>123</v>
      </c>
      <c r="AA242" s="936" t="s">
        <v>123</v>
      </c>
      <c r="AB242" s="936" t="s">
        <v>123</v>
      </c>
      <c r="AC242" s="907" t="s">
        <v>123</v>
      </c>
      <c r="AD242" s="999"/>
      <c r="AE242" s="936"/>
      <c r="AF242" s="936"/>
      <c r="AG242" s="936"/>
      <c r="AH242" s="936"/>
      <c r="AI242" s="999"/>
      <c r="AJ242" s="935"/>
      <c r="AK242" s="966"/>
      <c r="AL242" s="949"/>
      <c r="AM242" s="949" t="s">
        <v>123</v>
      </c>
      <c r="AN242" s="949"/>
      <c r="AO242" s="999"/>
      <c r="AP242" s="936"/>
      <c r="AQ242" s="987"/>
      <c r="AR242" s="907"/>
      <c r="AS242" s="907"/>
      <c r="AT242" s="967" t="s">
        <v>123</v>
      </c>
      <c r="AU242" s="967" t="s">
        <v>123</v>
      </c>
      <c r="AV242" s="967" t="s">
        <v>123</v>
      </c>
      <c r="AW242" s="907" t="s">
        <v>123</v>
      </c>
      <c r="AX242" s="907" t="s">
        <v>123</v>
      </c>
      <c r="AY242" s="907" t="s">
        <v>123</v>
      </c>
      <c r="AZ242" s="936" t="s">
        <v>123</v>
      </c>
      <c r="BA242" s="935" t="s">
        <v>123</v>
      </c>
      <c r="BB242" s="1000"/>
      <c r="BC242" s="1001"/>
      <c r="BD242" s="936"/>
      <c r="BE242" s="907"/>
      <c r="BF242" s="1002" t="str">
        <f>IF($BC242="","",SUMIF(portfolio.!$A$4:$A623,BC242,portfolio.!$AN$4:$AN623))</f>
        <v/>
      </c>
      <c r="BG242" s="936" t="s">
        <v>123</v>
      </c>
      <c r="BH242" s="907" t="s">
        <v>123</v>
      </c>
      <c r="BI242" s="935" t="s">
        <v>123</v>
      </c>
      <c r="BJ242" s="1003"/>
      <c r="BK242" s="907" t="s">
        <v>123</v>
      </c>
      <c r="BL242" s="907" t="s">
        <v>123</v>
      </c>
      <c r="BM242" s="907" t="s">
        <v>123</v>
      </c>
      <c r="BN242" s="1004" t="s">
        <v>123</v>
      </c>
      <c r="BO242" s="907" t="str">
        <f t="shared" si="6"/>
        <v/>
      </c>
      <c r="BP242" s="907" t="str">
        <f t="shared" si="7"/>
        <v/>
      </c>
      <c r="BQ242" s="907" t="str">
        <f t="shared" si="8"/>
        <v/>
      </c>
      <c r="BR242" s="1004" t="str">
        <f t="shared" si="9"/>
        <v/>
      </c>
      <c r="BS242" s="1005" t="str">
        <f t="shared" si="10"/>
        <v/>
      </c>
      <c r="BT242" s="1006" t="s">
        <v>123</v>
      </c>
      <c r="BU242" s="1002" t="s">
        <v>123</v>
      </c>
      <c r="BV242" s="1006" t="s">
        <v>123</v>
      </c>
      <c r="BW242" s="1007"/>
    </row>
    <row r="243">
      <c r="A243" s="624">
        <v>220.0</v>
      </c>
      <c r="B243" s="1008"/>
      <c r="C243" s="989"/>
      <c r="D243" s="851"/>
      <c r="E243" s="990"/>
      <c r="F243" s="991"/>
      <c r="G243" s="991"/>
      <c r="H243" s="992"/>
      <c r="I243" s="993"/>
      <c r="J243" s="993"/>
      <c r="K243" s="993"/>
      <c r="L243" s="993"/>
      <c r="M243" s="993"/>
      <c r="N243" s="993"/>
      <c r="O243" s="993"/>
      <c r="P243" s="993"/>
      <c r="Q243" s="993"/>
      <c r="R243" s="993"/>
      <c r="S243" s="936"/>
      <c r="T243" s="998"/>
      <c r="U243" s="935"/>
      <c r="V243" s="935"/>
      <c r="W243" s="949" t="str">
        <f>IF(AND($S$20,NOT($U$20)),IF($V243:$V623="","",SUMIF(portfolio.!$A$4:$A623,V243,portfolio.!$AN$4:$AN623)),"")</f>
        <v/>
      </c>
      <c r="X243" s="998"/>
      <c r="Y243" s="936"/>
      <c r="Z243" s="936" t="s">
        <v>123</v>
      </c>
      <c r="AA243" s="936" t="s">
        <v>123</v>
      </c>
      <c r="AB243" s="936" t="s">
        <v>123</v>
      </c>
      <c r="AC243" s="907" t="s">
        <v>123</v>
      </c>
      <c r="AD243" s="999"/>
      <c r="AE243" s="936"/>
      <c r="AF243" s="936"/>
      <c r="AG243" s="936"/>
      <c r="AH243" s="936"/>
      <c r="AI243" s="999"/>
      <c r="AJ243" s="935"/>
      <c r="AK243" s="966"/>
      <c r="AL243" s="949"/>
      <c r="AM243" s="949" t="s">
        <v>123</v>
      </c>
      <c r="AN243" s="949"/>
      <c r="AO243" s="999"/>
      <c r="AP243" s="936"/>
      <c r="AQ243" s="987"/>
      <c r="AR243" s="907"/>
      <c r="AS243" s="907"/>
      <c r="AT243" s="967" t="s">
        <v>123</v>
      </c>
      <c r="AU243" s="967" t="s">
        <v>123</v>
      </c>
      <c r="AV243" s="967" t="s">
        <v>123</v>
      </c>
      <c r="AW243" s="907" t="s">
        <v>123</v>
      </c>
      <c r="AX243" s="907" t="s">
        <v>123</v>
      </c>
      <c r="AY243" s="907" t="s">
        <v>123</v>
      </c>
      <c r="AZ243" s="936" t="s">
        <v>123</v>
      </c>
      <c r="BA243" s="935" t="s">
        <v>123</v>
      </c>
      <c r="BB243" s="1000"/>
      <c r="BC243" s="1001"/>
      <c r="BD243" s="936"/>
      <c r="BE243" s="907"/>
      <c r="BF243" s="1002" t="str">
        <f>IF($BC243="","",SUMIF(portfolio.!$A$4:$A623,BC243,portfolio.!$AN$4:$AN623))</f>
        <v/>
      </c>
      <c r="BG243" s="936" t="s">
        <v>123</v>
      </c>
      <c r="BH243" s="907" t="s">
        <v>123</v>
      </c>
      <c r="BI243" s="935" t="s">
        <v>123</v>
      </c>
      <c r="BJ243" s="1003"/>
      <c r="BK243" s="907" t="s">
        <v>123</v>
      </c>
      <c r="BL243" s="907" t="s">
        <v>123</v>
      </c>
      <c r="BM243" s="907" t="s">
        <v>123</v>
      </c>
      <c r="BN243" s="1004" t="s">
        <v>123</v>
      </c>
      <c r="BO243" s="907" t="str">
        <f t="shared" si="6"/>
        <v/>
      </c>
      <c r="BP243" s="907" t="str">
        <f t="shared" si="7"/>
        <v/>
      </c>
      <c r="BQ243" s="907" t="str">
        <f t="shared" si="8"/>
        <v/>
      </c>
      <c r="BR243" s="1004" t="str">
        <f t="shared" si="9"/>
        <v/>
      </c>
      <c r="BS243" s="1005" t="str">
        <f t="shared" si="10"/>
        <v/>
      </c>
      <c r="BT243" s="1006" t="s">
        <v>123</v>
      </c>
      <c r="BU243" s="1002" t="s">
        <v>123</v>
      </c>
      <c r="BV243" s="1006" t="s">
        <v>123</v>
      </c>
      <c r="BW243" s="1007"/>
    </row>
    <row r="244">
      <c r="A244" s="624">
        <v>221.0</v>
      </c>
      <c r="B244" s="1008"/>
      <c r="C244" s="989"/>
      <c r="D244" s="851"/>
      <c r="E244" s="990"/>
      <c r="F244" s="991"/>
      <c r="G244" s="991"/>
      <c r="H244" s="992"/>
      <c r="I244" s="993"/>
      <c r="J244" s="993"/>
      <c r="K244" s="993"/>
      <c r="L244" s="993"/>
      <c r="M244" s="993"/>
      <c r="N244" s="993"/>
      <c r="O244" s="993"/>
      <c r="P244" s="993"/>
      <c r="Q244" s="993"/>
      <c r="R244" s="993"/>
      <c r="S244" s="936"/>
      <c r="T244" s="998"/>
      <c r="U244" s="935"/>
      <c r="V244" s="935"/>
      <c r="W244" s="949" t="str">
        <f>IF(AND($S$20,NOT($U$20)),IF($V244:$V623="","",SUMIF(portfolio.!$A$4:$A623,V244,portfolio.!$AN$4:$AN623)),"")</f>
        <v/>
      </c>
      <c r="X244" s="998"/>
      <c r="Y244" s="936"/>
      <c r="Z244" s="936" t="s">
        <v>123</v>
      </c>
      <c r="AA244" s="936" t="s">
        <v>123</v>
      </c>
      <c r="AB244" s="936" t="s">
        <v>123</v>
      </c>
      <c r="AC244" s="907" t="s">
        <v>123</v>
      </c>
      <c r="AD244" s="999"/>
      <c r="AE244" s="936"/>
      <c r="AF244" s="936"/>
      <c r="AG244" s="936"/>
      <c r="AH244" s="936"/>
      <c r="AI244" s="999"/>
      <c r="AJ244" s="935"/>
      <c r="AK244" s="966"/>
      <c r="AL244" s="949"/>
      <c r="AM244" s="949" t="s">
        <v>123</v>
      </c>
      <c r="AN244" s="949"/>
      <c r="AO244" s="999"/>
      <c r="AP244" s="936"/>
      <c r="AQ244" s="987"/>
      <c r="AR244" s="907"/>
      <c r="AS244" s="907"/>
      <c r="AT244" s="967" t="s">
        <v>123</v>
      </c>
      <c r="AU244" s="967" t="s">
        <v>123</v>
      </c>
      <c r="AV244" s="967" t="s">
        <v>123</v>
      </c>
      <c r="AW244" s="907" t="s">
        <v>123</v>
      </c>
      <c r="AX244" s="907" t="s">
        <v>123</v>
      </c>
      <c r="AY244" s="907" t="s">
        <v>123</v>
      </c>
      <c r="AZ244" s="936" t="s">
        <v>123</v>
      </c>
      <c r="BA244" s="935" t="s">
        <v>123</v>
      </c>
      <c r="BB244" s="1000"/>
      <c r="BC244" s="1001"/>
      <c r="BD244" s="936"/>
      <c r="BE244" s="907"/>
      <c r="BF244" s="1002" t="str">
        <f>IF($BC244="","",SUMIF(portfolio.!$A$4:$A623,BC244,portfolio.!$AN$4:$AN623))</f>
        <v/>
      </c>
      <c r="BG244" s="936" t="s">
        <v>123</v>
      </c>
      <c r="BH244" s="907" t="s">
        <v>123</v>
      </c>
      <c r="BI244" s="935" t="s">
        <v>123</v>
      </c>
      <c r="BJ244" s="1003"/>
      <c r="BK244" s="907" t="s">
        <v>123</v>
      </c>
      <c r="BL244" s="907" t="s">
        <v>123</v>
      </c>
      <c r="BM244" s="907" t="s">
        <v>123</v>
      </c>
      <c r="BN244" s="1004" t="s">
        <v>123</v>
      </c>
      <c r="BO244" s="907" t="str">
        <f t="shared" si="6"/>
        <v/>
      </c>
      <c r="BP244" s="907" t="str">
        <f t="shared" si="7"/>
        <v/>
      </c>
      <c r="BQ244" s="907" t="str">
        <f t="shared" si="8"/>
        <v/>
      </c>
      <c r="BR244" s="1004" t="str">
        <f t="shared" si="9"/>
        <v/>
      </c>
      <c r="BS244" s="1005" t="str">
        <f t="shared" si="10"/>
        <v/>
      </c>
      <c r="BT244" s="1006" t="s">
        <v>123</v>
      </c>
      <c r="BU244" s="1002" t="s">
        <v>123</v>
      </c>
      <c r="BV244" s="1006" t="s">
        <v>123</v>
      </c>
      <c r="BW244" s="1007"/>
    </row>
    <row r="245">
      <c r="A245" s="624">
        <v>222.0</v>
      </c>
      <c r="B245" s="1008"/>
      <c r="C245" s="989"/>
      <c r="D245" s="851"/>
      <c r="E245" s="990"/>
      <c r="F245" s="991"/>
      <c r="G245" s="991"/>
      <c r="H245" s="992"/>
      <c r="I245" s="993"/>
      <c r="J245" s="993"/>
      <c r="K245" s="993"/>
      <c r="L245" s="993"/>
      <c r="M245" s="993"/>
      <c r="N245" s="993"/>
      <c r="O245" s="993"/>
      <c r="P245" s="993"/>
      <c r="Q245" s="993"/>
      <c r="R245" s="993"/>
      <c r="S245" s="936"/>
      <c r="T245" s="998"/>
      <c r="U245" s="935"/>
      <c r="V245" s="935"/>
      <c r="W245" s="949" t="str">
        <f>IF(AND($S$20,NOT($U$20)),IF($V245:$V623="","",SUMIF(portfolio.!$A$4:$A623,V245,portfolio.!$AN$4:$AN623)),"")</f>
        <v/>
      </c>
      <c r="X245" s="998"/>
      <c r="Y245" s="936"/>
      <c r="Z245" s="936" t="s">
        <v>123</v>
      </c>
      <c r="AA245" s="936" t="s">
        <v>123</v>
      </c>
      <c r="AB245" s="936" t="s">
        <v>123</v>
      </c>
      <c r="AC245" s="907" t="s">
        <v>123</v>
      </c>
      <c r="AD245" s="999"/>
      <c r="AE245" s="936"/>
      <c r="AF245" s="936"/>
      <c r="AG245" s="936"/>
      <c r="AH245" s="936"/>
      <c r="AI245" s="999"/>
      <c r="AJ245" s="935"/>
      <c r="AK245" s="966"/>
      <c r="AL245" s="949"/>
      <c r="AM245" s="949" t="s">
        <v>123</v>
      </c>
      <c r="AN245" s="949"/>
      <c r="AO245" s="999"/>
      <c r="AP245" s="936"/>
      <c r="AQ245" s="987"/>
      <c r="AR245" s="907"/>
      <c r="AS245" s="907"/>
      <c r="AT245" s="967" t="s">
        <v>123</v>
      </c>
      <c r="AU245" s="967" t="s">
        <v>123</v>
      </c>
      <c r="AV245" s="967" t="s">
        <v>123</v>
      </c>
      <c r="AW245" s="907" t="s">
        <v>123</v>
      </c>
      <c r="AX245" s="907" t="s">
        <v>123</v>
      </c>
      <c r="AY245" s="907" t="s">
        <v>123</v>
      </c>
      <c r="AZ245" s="936" t="s">
        <v>123</v>
      </c>
      <c r="BA245" s="935" t="s">
        <v>123</v>
      </c>
      <c r="BB245" s="1000"/>
      <c r="BC245" s="1001"/>
      <c r="BD245" s="936"/>
      <c r="BE245" s="907"/>
      <c r="BF245" s="1002" t="str">
        <f>IF($BC245="","",SUMIF(portfolio.!$A$4:$A623,BC245,portfolio.!$AN$4:$AN623))</f>
        <v/>
      </c>
      <c r="BG245" s="936" t="s">
        <v>123</v>
      </c>
      <c r="BH245" s="907" t="s">
        <v>123</v>
      </c>
      <c r="BI245" s="935" t="s">
        <v>123</v>
      </c>
      <c r="BJ245" s="1003"/>
      <c r="BK245" s="907" t="s">
        <v>123</v>
      </c>
      <c r="BL245" s="907" t="s">
        <v>123</v>
      </c>
      <c r="BM245" s="907" t="s">
        <v>123</v>
      </c>
      <c r="BN245" s="1004" t="s">
        <v>123</v>
      </c>
      <c r="BO245" s="907" t="str">
        <f t="shared" si="6"/>
        <v/>
      </c>
      <c r="BP245" s="907" t="str">
        <f t="shared" si="7"/>
        <v/>
      </c>
      <c r="BQ245" s="907" t="str">
        <f t="shared" si="8"/>
        <v/>
      </c>
      <c r="BR245" s="1004" t="str">
        <f t="shared" si="9"/>
        <v/>
      </c>
      <c r="BS245" s="1005" t="str">
        <f t="shared" si="10"/>
        <v/>
      </c>
      <c r="BT245" s="1006" t="s">
        <v>123</v>
      </c>
      <c r="BU245" s="1002" t="s">
        <v>123</v>
      </c>
      <c r="BV245" s="1006" t="s">
        <v>123</v>
      </c>
      <c r="BW245" s="1007"/>
    </row>
    <row r="246">
      <c r="A246" s="624">
        <v>223.0</v>
      </c>
      <c r="B246" s="1008"/>
      <c r="C246" s="989"/>
      <c r="D246" s="851"/>
      <c r="E246" s="990"/>
      <c r="F246" s="991"/>
      <c r="G246" s="991"/>
      <c r="H246" s="992"/>
      <c r="I246" s="993"/>
      <c r="J246" s="993"/>
      <c r="K246" s="993"/>
      <c r="L246" s="993"/>
      <c r="M246" s="993"/>
      <c r="N246" s="993"/>
      <c r="O246" s="993"/>
      <c r="P246" s="993"/>
      <c r="Q246" s="993"/>
      <c r="R246" s="993"/>
      <c r="S246" s="936"/>
      <c r="T246" s="998"/>
      <c r="U246" s="935"/>
      <c r="V246" s="935"/>
      <c r="W246" s="949" t="str">
        <f>IF(AND($S$20,NOT($U$20)),IF($V246:$V623="","",SUMIF(portfolio.!$A$4:$A623,V246,portfolio.!$AN$4:$AN623)),"")</f>
        <v/>
      </c>
      <c r="X246" s="998"/>
      <c r="Y246" s="936"/>
      <c r="Z246" s="936" t="s">
        <v>123</v>
      </c>
      <c r="AA246" s="936" t="s">
        <v>123</v>
      </c>
      <c r="AB246" s="936" t="s">
        <v>123</v>
      </c>
      <c r="AC246" s="907" t="s">
        <v>123</v>
      </c>
      <c r="AD246" s="999"/>
      <c r="AE246" s="936"/>
      <c r="AF246" s="936"/>
      <c r="AG246" s="936"/>
      <c r="AH246" s="936"/>
      <c r="AI246" s="999"/>
      <c r="AJ246" s="935"/>
      <c r="AK246" s="966"/>
      <c r="AL246" s="949"/>
      <c r="AM246" s="949" t="s">
        <v>123</v>
      </c>
      <c r="AN246" s="949"/>
      <c r="AO246" s="999"/>
      <c r="AP246" s="936"/>
      <c r="AQ246" s="987"/>
      <c r="AR246" s="907"/>
      <c r="AS246" s="907"/>
      <c r="AT246" s="967" t="s">
        <v>123</v>
      </c>
      <c r="AU246" s="967" t="s">
        <v>123</v>
      </c>
      <c r="AV246" s="967" t="s">
        <v>123</v>
      </c>
      <c r="AW246" s="907" t="s">
        <v>123</v>
      </c>
      <c r="AX246" s="907" t="s">
        <v>123</v>
      </c>
      <c r="AY246" s="907" t="s">
        <v>123</v>
      </c>
      <c r="AZ246" s="936" t="s">
        <v>123</v>
      </c>
      <c r="BA246" s="935" t="s">
        <v>123</v>
      </c>
      <c r="BB246" s="1000"/>
      <c r="BC246" s="1001"/>
      <c r="BD246" s="936"/>
      <c r="BE246" s="907"/>
      <c r="BF246" s="1002" t="str">
        <f>IF($BC246="","",SUMIF(portfolio.!$A$4:$A623,BC246,portfolio.!$AN$4:$AN623))</f>
        <v/>
      </c>
      <c r="BG246" s="936" t="s">
        <v>123</v>
      </c>
      <c r="BH246" s="907" t="s">
        <v>123</v>
      </c>
      <c r="BI246" s="935" t="s">
        <v>123</v>
      </c>
      <c r="BJ246" s="1003"/>
      <c r="BK246" s="907" t="s">
        <v>123</v>
      </c>
      <c r="BL246" s="907" t="s">
        <v>123</v>
      </c>
      <c r="BM246" s="907" t="s">
        <v>123</v>
      </c>
      <c r="BN246" s="1004" t="s">
        <v>123</v>
      </c>
      <c r="BO246" s="907" t="str">
        <f t="shared" si="6"/>
        <v/>
      </c>
      <c r="BP246" s="907" t="str">
        <f t="shared" si="7"/>
        <v/>
      </c>
      <c r="BQ246" s="907" t="str">
        <f t="shared" si="8"/>
        <v/>
      </c>
      <c r="BR246" s="1004" t="str">
        <f t="shared" si="9"/>
        <v/>
      </c>
      <c r="BS246" s="1005" t="str">
        <f t="shared" si="10"/>
        <v/>
      </c>
      <c r="BT246" s="1006" t="s">
        <v>123</v>
      </c>
      <c r="BU246" s="1002" t="s">
        <v>123</v>
      </c>
      <c r="BV246" s="1006" t="s">
        <v>123</v>
      </c>
      <c r="BW246" s="1007"/>
    </row>
    <row r="247">
      <c r="A247" s="624">
        <v>224.0</v>
      </c>
      <c r="B247" s="1008"/>
      <c r="C247" s="989"/>
      <c r="D247" s="851"/>
      <c r="E247" s="990"/>
      <c r="F247" s="991"/>
      <c r="G247" s="991"/>
      <c r="H247" s="992"/>
      <c r="I247" s="993"/>
      <c r="J247" s="993"/>
      <c r="K247" s="993"/>
      <c r="L247" s="993"/>
      <c r="M247" s="993"/>
      <c r="N247" s="993"/>
      <c r="O247" s="993"/>
      <c r="P247" s="993"/>
      <c r="Q247" s="993"/>
      <c r="R247" s="993"/>
      <c r="S247" s="936"/>
      <c r="T247" s="998"/>
      <c r="U247" s="935"/>
      <c r="V247" s="935"/>
      <c r="W247" s="949" t="str">
        <f>IF(AND($S$20,NOT($U$20)),IF($V247:$V623="","",SUMIF(portfolio.!$A$4:$A623,V247,portfolio.!$AN$4:$AN623)),"")</f>
        <v/>
      </c>
      <c r="X247" s="998"/>
      <c r="Y247" s="936"/>
      <c r="Z247" s="936" t="s">
        <v>123</v>
      </c>
      <c r="AA247" s="936" t="s">
        <v>123</v>
      </c>
      <c r="AB247" s="936" t="s">
        <v>123</v>
      </c>
      <c r="AC247" s="907" t="s">
        <v>123</v>
      </c>
      <c r="AD247" s="999"/>
      <c r="AE247" s="936"/>
      <c r="AF247" s="936"/>
      <c r="AG247" s="936"/>
      <c r="AH247" s="936"/>
      <c r="AI247" s="999"/>
      <c r="AJ247" s="935"/>
      <c r="AK247" s="966"/>
      <c r="AL247" s="949"/>
      <c r="AM247" s="949" t="s">
        <v>123</v>
      </c>
      <c r="AN247" s="949"/>
      <c r="AO247" s="999"/>
      <c r="AP247" s="936"/>
      <c r="AQ247" s="987"/>
      <c r="AR247" s="907"/>
      <c r="AS247" s="907"/>
      <c r="AT247" s="967" t="s">
        <v>123</v>
      </c>
      <c r="AU247" s="967" t="s">
        <v>123</v>
      </c>
      <c r="AV247" s="967" t="s">
        <v>123</v>
      </c>
      <c r="AW247" s="907" t="s">
        <v>123</v>
      </c>
      <c r="AX247" s="907" t="s">
        <v>123</v>
      </c>
      <c r="AY247" s="907" t="s">
        <v>123</v>
      </c>
      <c r="AZ247" s="936" t="s">
        <v>123</v>
      </c>
      <c r="BA247" s="935" t="s">
        <v>123</v>
      </c>
      <c r="BB247" s="1000"/>
      <c r="BC247" s="1001"/>
      <c r="BD247" s="936"/>
      <c r="BE247" s="907"/>
      <c r="BF247" s="1002" t="str">
        <f>IF($BC247="","",SUMIF(portfolio.!$A$4:$A623,BC247,portfolio.!$AN$4:$AN623))</f>
        <v/>
      </c>
      <c r="BG247" s="936" t="s">
        <v>123</v>
      </c>
      <c r="BH247" s="907" t="s">
        <v>123</v>
      </c>
      <c r="BI247" s="935" t="s">
        <v>123</v>
      </c>
      <c r="BJ247" s="1003"/>
      <c r="BK247" s="907" t="s">
        <v>123</v>
      </c>
      <c r="BL247" s="907" t="s">
        <v>123</v>
      </c>
      <c r="BM247" s="907" t="s">
        <v>123</v>
      </c>
      <c r="BN247" s="1004" t="s">
        <v>123</v>
      </c>
      <c r="BO247" s="907" t="str">
        <f t="shared" si="6"/>
        <v/>
      </c>
      <c r="BP247" s="907" t="str">
        <f t="shared" si="7"/>
        <v/>
      </c>
      <c r="BQ247" s="907" t="str">
        <f t="shared" si="8"/>
        <v/>
      </c>
      <c r="BR247" s="1004" t="str">
        <f t="shared" si="9"/>
        <v/>
      </c>
      <c r="BS247" s="1005" t="str">
        <f t="shared" si="10"/>
        <v/>
      </c>
      <c r="BT247" s="1006" t="s">
        <v>123</v>
      </c>
      <c r="BU247" s="1002" t="s">
        <v>123</v>
      </c>
      <c r="BV247" s="1006" t="s">
        <v>123</v>
      </c>
      <c r="BW247" s="1007"/>
    </row>
    <row r="248">
      <c r="A248" s="624">
        <v>225.0</v>
      </c>
      <c r="B248" s="1008"/>
      <c r="C248" s="989"/>
      <c r="D248" s="851"/>
      <c r="E248" s="990"/>
      <c r="F248" s="991"/>
      <c r="G248" s="991"/>
      <c r="H248" s="992"/>
      <c r="I248" s="993"/>
      <c r="J248" s="993"/>
      <c r="K248" s="993"/>
      <c r="L248" s="993"/>
      <c r="M248" s="993"/>
      <c r="N248" s="993"/>
      <c r="O248" s="993"/>
      <c r="P248" s="993"/>
      <c r="Q248" s="993"/>
      <c r="R248" s="993"/>
      <c r="S248" s="936"/>
      <c r="T248" s="998"/>
      <c r="U248" s="935"/>
      <c r="V248" s="935"/>
      <c r="W248" s="949" t="str">
        <f>IF(AND($S$20,NOT($U$20)),IF($V248:$V623="","",SUMIF(portfolio.!$A$4:$A623,V248,portfolio.!$AN$4:$AN623)),"")</f>
        <v/>
      </c>
      <c r="X248" s="998"/>
      <c r="Y248" s="936"/>
      <c r="Z248" s="936" t="s">
        <v>123</v>
      </c>
      <c r="AA248" s="936" t="s">
        <v>123</v>
      </c>
      <c r="AB248" s="936" t="s">
        <v>123</v>
      </c>
      <c r="AC248" s="907" t="s">
        <v>123</v>
      </c>
      <c r="AD248" s="999"/>
      <c r="AE248" s="936"/>
      <c r="AF248" s="936"/>
      <c r="AG248" s="936"/>
      <c r="AH248" s="936"/>
      <c r="AI248" s="999"/>
      <c r="AJ248" s="935"/>
      <c r="AK248" s="966"/>
      <c r="AL248" s="949"/>
      <c r="AM248" s="949" t="s">
        <v>123</v>
      </c>
      <c r="AN248" s="949"/>
      <c r="AO248" s="999"/>
      <c r="AP248" s="936"/>
      <c r="AQ248" s="987"/>
      <c r="AR248" s="907"/>
      <c r="AS248" s="907"/>
      <c r="AT248" s="967" t="s">
        <v>123</v>
      </c>
      <c r="AU248" s="967" t="s">
        <v>123</v>
      </c>
      <c r="AV248" s="967" t="s">
        <v>123</v>
      </c>
      <c r="AW248" s="907" t="s">
        <v>123</v>
      </c>
      <c r="AX248" s="907" t="s">
        <v>123</v>
      </c>
      <c r="AY248" s="907" t="s">
        <v>123</v>
      </c>
      <c r="AZ248" s="936" t="s">
        <v>123</v>
      </c>
      <c r="BA248" s="935" t="s">
        <v>123</v>
      </c>
      <c r="BB248" s="1000"/>
      <c r="BC248" s="1001"/>
      <c r="BD248" s="936"/>
      <c r="BE248" s="907"/>
      <c r="BF248" s="1002" t="str">
        <f>IF($BC248="","",SUMIF(portfolio.!$A$4:$A623,BC248,portfolio.!$AN$4:$AN623))</f>
        <v/>
      </c>
      <c r="BG248" s="936" t="s">
        <v>123</v>
      </c>
      <c r="BH248" s="907" t="s">
        <v>123</v>
      </c>
      <c r="BI248" s="935" t="s">
        <v>123</v>
      </c>
      <c r="BJ248" s="1003"/>
      <c r="BK248" s="907" t="s">
        <v>123</v>
      </c>
      <c r="BL248" s="907" t="s">
        <v>123</v>
      </c>
      <c r="BM248" s="907" t="s">
        <v>123</v>
      </c>
      <c r="BN248" s="1004" t="s">
        <v>123</v>
      </c>
      <c r="BO248" s="907" t="str">
        <f t="shared" si="6"/>
        <v/>
      </c>
      <c r="BP248" s="907" t="str">
        <f t="shared" si="7"/>
        <v/>
      </c>
      <c r="BQ248" s="907" t="str">
        <f t="shared" si="8"/>
        <v/>
      </c>
      <c r="BR248" s="1004" t="str">
        <f t="shared" si="9"/>
        <v/>
      </c>
      <c r="BS248" s="1005" t="str">
        <f t="shared" si="10"/>
        <v/>
      </c>
      <c r="BT248" s="1006" t="s">
        <v>123</v>
      </c>
      <c r="BU248" s="1002" t="s">
        <v>123</v>
      </c>
      <c r="BV248" s="1006" t="s">
        <v>123</v>
      </c>
      <c r="BW248" s="1007"/>
    </row>
    <row r="249">
      <c r="A249" s="624">
        <v>226.0</v>
      </c>
      <c r="B249" s="1008"/>
      <c r="C249" s="989"/>
      <c r="D249" s="851"/>
      <c r="E249" s="990"/>
      <c r="F249" s="991"/>
      <c r="G249" s="991"/>
      <c r="H249" s="992"/>
      <c r="I249" s="993"/>
      <c r="J249" s="993"/>
      <c r="K249" s="993"/>
      <c r="L249" s="993"/>
      <c r="M249" s="993"/>
      <c r="N249" s="993"/>
      <c r="O249" s="993"/>
      <c r="P249" s="993"/>
      <c r="Q249" s="993"/>
      <c r="R249" s="993"/>
      <c r="S249" s="936"/>
      <c r="T249" s="998"/>
      <c r="U249" s="935"/>
      <c r="V249" s="935"/>
      <c r="W249" s="949" t="str">
        <f>IF(AND($S$20,NOT($U$20)),IF($V249:$V623="","",SUMIF(portfolio.!$A$4:$A623,V249,portfolio.!$AN$4:$AN623)),"")</f>
        <v/>
      </c>
      <c r="X249" s="998"/>
      <c r="Y249" s="936"/>
      <c r="Z249" s="936" t="s">
        <v>123</v>
      </c>
      <c r="AA249" s="936" t="s">
        <v>123</v>
      </c>
      <c r="AB249" s="936" t="s">
        <v>123</v>
      </c>
      <c r="AC249" s="907" t="s">
        <v>123</v>
      </c>
      <c r="AD249" s="999"/>
      <c r="AE249" s="936"/>
      <c r="AF249" s="936"/>
      <c r="AG249" s="936"/>
      <c r="AH249" s="936"/>
      <c r="AI249" s="999"/>
      <c r="AJ249" s="935"/>
      <c r="AK249" s="966"/>
      <c r="AL249" s="949"/>
      <c r="AM249" s="949" t="s">
        <v>123</v>
      </c>
      <c r="AN249" s="949"/>
      <c r="AO249" s="999"/>
      <c r="AP249" s="936"/>
      <c r="AQ249" s="987"/>
      <c r="AR249" s="907"/>
      <c r="AS249" s="907"/>
      <c r="AT249" s="967" t="s">
        <v>123</v>
      </c>
      <c r="AU249" s="967" t="s">
        <v>123</v>
      </c>
      <c r="AV249" s="967" t="s">
        <v>123</v>
      </c>
      <c r="AW249" s="907" t="s">
        <v>123</v>
      </c>
      <c r="AX249" s="907" t="s">
        <v>123</v>
      </c>
      <c r="AY249" s="907" t="s">
        <v>123</v>
      </c>
      <c r="AZ249" s="936" t="s">
        <v>123</v>
      </c>
      <c r="BA249" s="935" t="s">
        <v>123</v>
      </c>
      <c r="BB249" s="1000"/>
      <c r="BC249" s="1001"/>
      <c r="BD249" s="936"/>
      <c r="BE249" s="907"/>
      <c r="BF249" s="1002" t="str">
        <f>IF($BC249="","",SUMIF(portfolio.!$A$4:$A623,BC249,portfolio.!$AN$4:$AN623))</f>
        <v/>
      </c>
      <c r="BG249" s="936" t="s">
        <v>123</v>
      </c>
      <c r="BH249" s="907" t="s">
        <v>123</v>
      </c>
      <c r="BI249" s="935" t="s">
        <v>123</v>
      </c>
      <c r="BJ249" s="1003"/>
      <c r="BK249" s="907" t="s">
        <v>123</v>
      </c>
      <c r="BL249" s="907" t="s">
        <v>123</v>
      </c>
      <c r="BM249" s="907" t="s">
        <v>123</v>
      </c>
      <c r="BN249" s="1004" t="s">
        <v>123</v>
      </c>
      <c r="BO249" s="907" t="str">
        <f t="shared" si="6"/>
        <v/>
      </c>
      <c r="BP249" s="907" t="str">
        <f t="shared" si="7"/>
        <v/>
      </c>
      <c r="BQ249" s="907" t="str">
        <f t="shared" si="8"/>
        <v/>
      </c>
      <c r="BR249" s="1004" t="str">
        <f t="shared" si="9"/>
        <v/>
      </c>
      <c r="BS249" s="1005" t="str">
        <f t="shared" si="10"/>
        <v/>
      </c>
      <c r="BT249" s="1006" t="s">
        <v>123</v>
      </c>
      <c r="BU249" s="1002" t="s">
        <v>123</v>
      </c>
      <c r="BV249" s="1006" t="s">
        <v>123</v>
      </c>
      <c r="BW249" s="1007"/>
    </row>
    <row r="250">
      <c r="A250" s="624">
        <v>227.0</v>
      </c>
      <c r="B250" s="1008"/>
      <c r="C250" s="989"/>
      <c r="D250" s="851"/>
      <c r="E250" s="990"/>
      <c r="F250" s="991"/>
      <c r="G250" s="991"/>
      <c r="H250" s="992"/>
      <c r="I250" s="993"/>
      <c r="J250" s="993"/>
      <c r="K250" s="993"/>
      <c r="L250" s="993"/>
      <c r="M250" s="993"/>
      <c r="N250" s="993"/>
      <c r="O250" s="993"/>
      <c r="P250" s="993"/>
      <c r="Q250" s="993"/>
      <c r="R250" s="993"/>
      <c r="S250" s="936"/>
      <c r="T250" s="998"/>
      <c r="U250" s="935"/>
      <c r="V250" s="935"/>
      <c r="W250" s="949" t="str">
        <f>IF(AND($S$20,NOT($U$20)),IF($V250:$V623="","",SUMIF(portfolio.!$A$4:$A623,V250,portfolio.!$AN$4:$AN623)),"")</f>
        <v/>
      </c>
      <c r="X250" s="998"/>
      <c r="Y250" s="936"/>
      <c r="Z250" s="936" t="s">
        <v>123</v>
      </c>
      <c r="AA250" s="936" t="s">
        <v>123</v>
      </c>
      <c r="AB250" s="936" t="s">
        <v>123</v>
      </c>
      <c r="AC250" s="907" t="s">
        <v>123</v>
      </c>
      <c r="AD250" s="999"/>
      <c r="AE250" s="936"/>
      <c r="AF250" s="936"/>
      <c r="AG250" s="936"/>
      <c r="AH250" s="936"/>
      <c r="AI250" s="999"/>
      <c r="AJ250" s="935"/>
      <c r="AK250" s="966"/>
      <c r="AL250" s="949"/>
      <c r="AM250" s="949" t="s">
        <v>123</v>
      </c>
      <c r="AN250" s="949"/>
      <c r="AO250" s="999"/>
      <c r="AP250" s="936"/>
      <c r="AQ250" s="987"/>
      <c r="AR250" s="907"/>
      <c r="AS250" s="907"/>
      <c r="AT250" s="967" t="s">
        <v>123</v>
      </c>
      <c r="AU250" s="967" t="s">
        <v>123</v>
      </c>
      <c r="AV250" s="967" t="s">
        <v>123</v>
      </c>
      <c r="AW250" s="907" t="s">
        <v>123</v>
      </c>
      <c r="AX250" s="907" t="s">
        <v>123</v>
      </c>
      <c r="AY250" s="907" t="s">
        <v>123</v>
      </c>
      <c r="AZ250" s="936" t="s">
        <v>123</v>
      </c>
      <c r="BA250" s="935" t="s">
        <v>123</v>
      </c>
      <c r="BB250" s="1000"/>
      <c r="BC250" s="1001"/>
      <c r="BD250" s="936"/>
      <c r="BE250" s="907"/>
      <c r="BF250" s="1002" t="str">
        <f>IF($BC250="","",SUMIF(portfolio.!$A$4:$A623,BC250,portfolio.!$AN$4:$AN623))</f>
        <v/>
      </c>
      <c r="BG250" s="936" t="s">
        <v>123</v>
      </c>
      <c r="BH250" s="907" t="s">
        <v>123</v>
      </c>
      <c r="BI250" s="935" t="s">
        <v>123</v>
      </c>
      <c r="BJ250" s="1003"/>
      <c r="BK250" s="907" t="s">
        <v>123</v>
      </c>
      <c r="BL250" s="907" t="s">
        <v>123</v>
      </c>
      <c r="BM250" s="907" t="s">
        <v>123</v>
      </c>
      <c r="BN250" s="1004" t="s">
        <v>123</v>
      </c>
      <c r="BO250" s="907" t="str">
        <f t="shared" si="6"/>
        <v/>
      </c>
      <c r="BP250" s="907" t="str">
        <f t="shared" si="7"/>
        <v/>
      </c>
      <c r="BQ250" s="907" t="str">
        <f t="shared" si="8"/>
        <v/>
      </c>
      <c r="BR250" s="1004" t="str">
        <f t="shared" si="9"/>
        <v/>
      </c>
      <c r="BS250" s="1005" t="str">
        <f t="shared" si="10"/>
        <v/>
      </c>
      <c r="BT250" s="1006" t="s">
        <v>123</v>
      </c>
      <c r="BU250" s="1002" t="s">
        <v>123</v>
      </c>
      <c r="BV250" s="1006" t="s">
        <v>123</v>
      </c>
      <c r="BW250" s="1007"/>
    </row>
    <row r="251">
      <c r="A251" s="624">
        <v>228.0</v>
      </c>
      <c r="B251" s="1008"/>
      <c r="C251" s="989"/>
      <c r="D251" s="851"/>
      <c r="E251" s="990"/>
      <c r="F251" s="991"/>
      <c r="G251" s="991"/>
      <c r="H251" s="992"/>
      <c r="I251" s="993"/>
      <c r="J251" s="993"/>
      <c r="K251" s="993"/>
      <c r="L251" s="993"/>
      <c r="M251" s="993"/>
      <c r="N251" s="993"/>
      <c r="O251" s="993"/>
      <c r="P251" s="993"/>
      <c r="Q251" s="993"/>
      <c r="R251" s="993"/>
      <c r="S251" s="936"/>
      <c r="T251" s="998"/>
      <c r="U251" s="935"/>
      <c r="V251" s="935"/>
      <c r="W251" s="949" t="str">
        <f>IF(AND($S$20,NOT($U$20)),IF($V251:$V623="","",SUMIF(portfolio.!$A$4:$A623,V251,portfolio.!$AN$4:$AN623)),"")</f>
        <v/>
      </c>
      <c r="X251" s="998"/>
      <c r="Y251" s="936"/>
      <c r="Z251" s="936" t="s">
        <v>123</v>
      </c>
      <c r="AA251" s="936" t="s">
        <v>123</v>
      </c>
      <c r="AB251" s="936" t="s">
        <v>123</v>
      </c>
      <c r="AC251" s="907" t="s">
        <v>123</v>
      </c>
      <c r="AD251" s="999"/>
      <c r="AE251" s="936"/>
      <c r="AF251" s="936"/>
      <c r="AG251" s="936"/>
      <c r="AH251" s="936"/>
      <c r="AI251" s="999"/>
      <c r="AJ251" s="935"/>
      <c r="AK251" s="966"/>
      <c r="AL251" s="949"/>
      <c r="AM251" s="949" t="s">
        <v>123</v>
      </c>
      <c r="AN251" s="949"/>
      <c r="AO251" s="999"/>
      <c r="AP251" s="936"/>
      <c r="AQ251" s="987"/>
      <c r="AR251" s="907"/>
      <c r="AS251" s="907"/>
      <c r="AT251" s="967" t="s">
        <v>123</v>
      </c>
      <c r="AU251" s="967" t="s">
        <v>123</v>
      </c>
      <c r="AV251" s="967" t="s">
        <v>123</v>
      </c>
      <c r="AW251" s="907" t="s">
        <v>123</v>
      </c>
      <c r="AX251" s="907" t="s">
        <v>123</v>
      </c>
      <c r="AY251" s="907" t="s">
        <v>123</v>
      </c>
      <c r="AZ251" s="936" t="s">
        <v>123</v>
      </c>
      <c r="BA251" s="935" t="s">
        <v>123</v>
      </c>
      <c r="BB251" s="1000"/>
      <c r="BC251" s="1001"/>
      <c r="BD251" s="936"/>
      <c r="BE251" s="907"/>
      <c r="BF251" s="1002" t="str">
        <f>IF($BC251="","",SUMIF(portfolio.!$A$4:$A623,BC251,portfolio.!$AN$4:$AN623))</f>
        <v/>
      </c>
      <c r="BG251" s="936" t="s">
        <v>123</v>
      </c>
      <c r="BH251" s="907" t="s">
        <v>123</v>
      </c>
      <c r="BI251" s="935" t="s">
        <v>123</v>
      </c>
      <c r="BJ251" s="1003"/>
      <c r="BK251" s="907" t="s">
        <v>123</v>
      </c>
      <c r="BL251" s="907" t="s">
        <v>123</v>
      </c>
      <c r="BM251" s="907" t="s">
        <v>123</v>
      </c>
      <c r="BN251" s="1004" t="s">
        <v>123</v>
      </c>
      <c r="BO251" s="907" t="str">
        <f t="shared" si="6"/>
        <v/>
      </c>
      <c r="BP251" s="907" t="str">
        <f t="shared" si="7"/>
        <v/>
      </c>
      <c r="BQ251" s="907" t="str">
        <f t="shared" si="8"/>
        <v/>
      </c>
      <c r="BR251" s="1004" t="str">
        <f t="shared" si="9"/>
        <v/>
      </c>
      <c r="BS251" s="1005" t="str">
        <f t="shared" si="10"/>
        <v/>
      </c>
      <c r="BT251" s="1006" t="s">
        <v>123</v>
      </c>
      <c r="BU251" s="1002" t="s">
        <v>123</v>
      </c>
      <c r="BV251" s="1006" t="s">
        <v>123</v>
      </c>
      <c r="BW251" s="1007"/>
    </row>
    <row r="252">
      <c r="A252" s="624">
        <v>229.0</v>
      </c>
      <c r="B252" s="1008"/>
      <c r="C252" s="989"/>
      <c r="D252" s="851"/>
      <c r="E252" s="990"/>
      <c r="F252" s="991"/>
      <c r="G252" s="991"/>
      <c r="H252" s="992"/>
      <c r="I252" s="993"/>
      <c r="J252" s="993"/>
      <c r="K252" s="993"/>
      <c r="L252" s="993"/>
      <c r="M252" s="993"/>
      <c r="N252" s="993"/>
      <c r="O252" s="993"/>
      <c r="P252" s="993"/>
      <c r="Q252" s="993"/>
      <c r="R252" s="993"/>
      <c r="S252" s="936"/>
      <c r="T252" s="998"/>
      <c r="U252" s="935"/>
      <c r="V252" s="935"/>
      <c r="W252" s="949" t="str">
        <f>IF(AND($S$20,NOT($U$20)),IF($V252:$V623="","",SUMIF(portfolio.!$A$4:$A623,V252,portfolio.!$AN$4:$AN623)),"")</f>
        <v/>
      </c>
      <c r="X252" s="998"/>
      <c r="Y252" s="936"/>
      <c r="Z252" s="936" t="s">
        <v>123</v>
      </c>
      <c r="AA252" s="936" t="s">
        <v>123</v>
      </c>
      <c r="AB252" s="936" t="s">
        <v>123</v>
      </c>
      <c r="AC252" s="907" t="s">
        <v>123</v>
      </c>
      <c r="AD252" s="999"/>
      <c r="AE252" s="936"/>
      <c r="AF252" s="936"/>
      <c r="AG252" s="936"/>
      <c r="AH252" s="936"/>
      <c r="AI252" s="999"/>
      <c r="AJ252" s="935"/>
      <c r="AK252" s="966"/>
      <c r="AL252" s="949"/>
      <c r="AM252" s="949" t="s">
        <v>123</v>
      </c>
      <c r="AN252" s="949"/>
      <c r="AO252" s="999"/>
      <c r="AP252" s="936"/>
      <c r="AQ252" s="987"/>
      <c r="AR252" s="907"/>
      <c r="AS252" s="907"/>
      <c r="AT252" s="967" t="s">
        <v>123</v>
      </c>
      <c r="AU252" s="967" t="s">
        <v>123</v>
      </c>
      <c r="AV252" s="967" t="s">
        <v>123</v>
      </c>
      <c r="AW252" s="907" t="s">
        <v>123</v>
      </c>
      <c r="AX252" s="907" t="s">
        <v>123</v>
      </c>
      <c r="AY252" s="907" t="s">
        <v>123</v>
      </c>
      <c r="AZ252" s="936" t="s">
        <v>123</v>
      </c>
      <c r="BA252" s="935" t="s">
        <v>123</v>
      </c>
      <c r="BB252" s="1000"/>
      <c r="BC252" s="1001"/>
      <c r="BD252" s="936"/>
      <c r="BE252" s="907"/>
      <c r="BF252" s="1002" t="str">
        <f>IF($BC252="","",SUMIF(portfolio.!$A$4:$A623,BC252,portfolio.!$AN$4:$AN623))</f>
        <v/>
      </c>
      <c r="BG252" s="936" t="s">
        <v>123</v>
      </c>
      <c r="BH252" s="907" t="s">
        <v>123</v>
      </c>
      <c r="BI252" s="935" t="s">
        <v>123</v>
      </c>
      <c r="BJ252" s="1003"/>
      <c r="BK252" s="907" t="s">
        <v>123</v>
      </c>
      <c r="BL252" s="907" t="s">
        <v>123</v>
      </c>
      <c r="BM252" s="907" t="s">
        <v>123</v>
      </c>
      <c r="BN252" s="1004" t="s">
        <v>123</v>
      </c>
      <c r="BO252" s="907" t="str">
        <f t="shared" si="6"/>
        <v/>
      </c>
      <c r="BP252" s="907" t="str">
        <f t="shared" si="7"/>
        <v/>
      </c>
      <c r="BQ252" s="907" t="str">
        <f t="shared" si="8"/>
        <v/>
      </c>
      <c r="BR252" s="1004" t="str">
        <f t="shared" si="9"/>
        <v/>
      </c>
      <c r="BS252" s="1005" t="str">
        <f t="shared" si="10"/>
        <v/>
      </c>
      <c r="BT252" s="1006" t="s">
        <v>123</v>
      </c>
      <c r="BU252" s="1002" t="s">
        <v>123</v>
      </c>
      <c r="BV252" s="1006" t="s">
        <v>123</v>
      </c>
      <c r="BW252" s="1007"/>
    </row>
    <row r="253">
      <c r="A253" s="624">
        <v>230.0</v>
      </c>
      <c r="B253" s="1008"/>
      <c r="C253" s="989"/>
      <c r="D253" s="851"/>
      <c r="E253" s="990"/>
      <c r="F253" s="991"/>
      <c r="G253" s="991"/>
      <c r="H253" s="992"/>
      <c r="I253" s="993"/>
      <c r="J253" s="993"/>
      <c r="K253" s="993"/>
      <c r="L253" s="993"/>
      <c r="M253" s="993"/>
      <c r="N253" s="993"/>
      <c r="O253" s="993"/>
      <c r="P253" s="993"/>
      <c r="Q253" s="993"/>
      <c r="R253" s="993"/>
      <c r="S253" s="936"/>
      <c r="T253" s="998"/>
      <c r="U253" s="935"/>
      <c r="V253" s="935"/>
      <c r="W253" s="949" t="str">
        <f>IF(AND($S$20,NOT($U$20)),IF($V253:$V623="","",SUMIF(portfolio.!$A$4:$A623,V253,portfolio.!$AN$4:$AN623)),"")</f>
        <v/>
      </c>
      <c r="X253" s="998"/>
      <c r="Y253" s="936"/>
      <c r="Z253" s="936" t="s">
        <v>123</v>
      </c>
      <c r="AA253" s="936" t="s">
        <v>123</v>
      </c>
      <c r="AB253" s="936" t="s">
        <v>123</v>
      </c>
      <c r="AC253" s="907" t="s">
        <v>123</v>
      </c>
      <c r="AD253" s="999"/>
      <c r="AE253" s="936"/>
      <c r="AF253" s="936"/>
      <c r="AG253" s="936"/>
      <c r="AH253" s="936"/>
      <c r="AI253" s="999"/>
      <c r="AJ253" s="935"/>
      <c r="AK253" s="966"/>
      <c r="AL253" s="949"/>
      <c r="AM253" s="949" t="s">
        <v>123</v>
      </c>
      <c r="AN253" s="949"/>
      <c r="AO253" s="999"/>
      <c r="AP253" s="936"/>
      <c r="AQ253" s="987"/>
      <c r="AR253" s="907"/>
      <c r="AS253" s="907"/>
      <c r="AT253" s="967" t="s">
        <v>123</v>
      </c>
      <c r="AU253" s="967" t="s">
        <v>123</v>
      </c>
      <c r="AV253" s="967" t="s">
        <v>123</v>
      </c>
      <c r="AW253" s="907" t="s">
        <v>123</v>
      </c>
      <c r="AX253" s="907" t="s">
        <v>123</v>
      </c>
      <c r="AY253" s="907" t="s">
        <v>123</v>
      </c>
      <c r="AZ253" s="936" t="s">
        <v>123</v>
      </c>
      <c r="BA253" s="935" t="s">
        <v>123</v>
      </c>
      <c r="BB253" s="1000"/>
      <c r="BC253" s="1001"/>
      <c r="BD253" s="936"/>
      <c r="BE253" s="907"/>
      <c r="BF253" s="1002" t="str">
        <f>IF($BC253="","",SUMIF(portfolio.!$A$4:$A623,BC253,portfolio.!$AN$4:$AN623))</f>
        <v/>
      </c>
      <c r="BG253" s="936" t="s">
        <v>123</v>
      </c>
      <c r="BH253" s="907" t="s">
        <v>123</v>
      </c>
      <c r="BI253" s="935" t="s">
        <v>123</v>
      </c>
      <c r="BJ253" s="1003"/>
      <c r="BK253" s="907" t="s">
        <v>123</v>
      </c>
      <c r="BL253" s="907" t="s">
        <v>123</v>
      </c>
      <c r="BM253" s="907" t="s">
        <v>123</v>
      </c>
      <c r="BN253" s="1004" t="s">
        <v>123</v>
      </c>
      <c r="BO253" s="907" t="str">
        <f t="shared" si="6"/>
        <v/>
      </c>
      <c r="BP253" s="907" t="str">
        <f t="shared" si="7"/>
        <v/>
      </c>
      <c r="BQ253" s="907" t="str">
        <f t="shared" si="8"/>
        <v/>
      </c>
      <c r="BR253" s="1004" t="str">
        <f t="shared" si="9"/>
        <v/>
      </c>
      <c r="BS253" s="1005" t="str">
        <f t="shared" si="10"/>
        <v/>
      </c>
      <c r="BT253" s="1006" t="s">
        <v>123</v>
      </c>
      <c r="BU253" s="1002" t="s">
        <v>123</v>
      </c>
      <c r="BV253" s="1006" t="s">
        <v>123</v>
      </c>
      <c r="BW253" s="1007"/>
    </row>
    <row r="254">
      <c r="A254" s="624">
        <v>231.0</v>
      </c>
      <c r="B254" s="1008"/>
      <c r="C254" s="989"/>
      <c r="D254" s="851"/>
      <c r="E254" s="990"/>
      <c r="F254" s="991"/>
      <c r="G254" s="991"/>
      <c r="H254" s="992"/>
      <c r="I254" s="993"/>
      <c r="J254" s="993"/>
      <c r="K254" s="993"/>
      <c r="L254" s="993"/>
      <c r="M254" s="993"/>
      <c r="N254" s="993"/>
      <c r="O254" s="993"/>
      <c r="P254" s="993"/>
      <c r="Q254" s="993"/>
      <c r="R254" s="993"/>
      <c r="S254" s="936"/>
      <c r="T254" s="998"/>
      <c r="U254" s="935"/>
      <c r="V254" s="935"/>
      <c r="W254" s="949" t="str">
        <f>IF(AND($S$20,NOT($U$20)),IF($V254:$V623="","",SUMIF(portfolio.!$A$4:$A623,V254,portfolio.!$AN$4:$AN623)),"")</f>
        <v/>
      </c>
      <c r="X254" s="998"/>
      <c r="Y254" s="936"/>
      <c r="Z254" s="936" t="s">
        <v>123</v>
      </c>
      <c r="AA254" s="936" t="s">
        <v>123</v>
      </c>
      <c r="AB254" s="936" t="s">
        <v>123</v>
      </c>
      <c r="AC254" s="907" t="s">
        <v>123</v>
      </c>
      <c r="AD254" s="999"/>
      <c r="AE254" s="936"/>
      <c r="AF254" s="936"/>
      <c r="AG254" s="936"/>
      <c r="AH254" s="936"/>
      <c r="AI254" s="999"/>
      <c r="AJ254" s="935"/>
      <c r="AK254" s="966"/>
      <c r="AL254" s="949"/>
      <c r="AM254" s="949" t="s">
        <v>123</v>
      </c>
      <c r="AN254" s="949"/>
      <c r="AO254" s="999"/>
      <c r="AP254" s="936"/>
      <c r="AQ254" s="987"/>
      <c r="AR254" s="907"/>
      <c r="AS254" s="907"/>
      <c r="AT254" s="967" t="s">
        <v>123</v>
      </c>
      <c r="AU254" s="967" t="s">
        <v>123</v>
      </c>
      <c r="AV254" s="967" t="s">
        <v>123</v>
      </c>
      <c r="AW254" s="907" t="s">
        <v>123</v>
      </c>
      <c r="AX254" s="907" t="s">
        <v>123</v>
      </c>
      <c r="AY254" s="907" t="s">
        <v>123</v>
      </c>
      <c r="AZ254" s="936" t="s">
        <v>123</v>
      </c>
      <c r="BA254" s="935" t="s">
        <v>123</v>
      </c>
      <c r="BB254" s="1000"/>
      <c r="BC254" s="1001"/>
      <c r="BD254" s="936"/>
      <c r="BE254" s="907"/>
      <c r="BF254" s="1002" t="str">
        <f>IF($BC254="","",SUMIF(portfolio.!$A$4:$A623,BC254,portfolio.!$AN$4:$AN623))</f>
        <v/>
      </c>
      <c r="BG254" s="936" t="s">
        <v>123</v>
      </c>
      <c r="BH254" s="907" t="s">
        <v>123</v>
      </c>
      <c r="BI254" s="935" t="s">
        <v>123</v>
      </c>
      <c r="BJ254" s="1003"/>
      <c r="BK254" s="907" t="s">
        <v>123</v>
      </c>
      <c r="BL254" s="907" t="s">
        <v>123</v>
      </c>
      <c r="BM254" s="907" t="s">
        <v>123</v>
      </c>
      <c r="BN254" s="1004" t="s">
        <v>123</v>
      </c>
      <c r="BO254" s="907" t="str">
        <f t="shared" si="6"/>
        <v/>
      </c>
      <c r="BP254" s="907" t="str">
        <f t="shared" si="7"/>
        <v/>
      </c>
      <c r="BQ254" s="907" t="str">
        <f t="shared" si="8"/>
        <v/>
      </c>
      <c r="BR254" s="1004" t="str">
        <f t="shared" si="9"/>
        <v/>
      </c>
      <c r="BS254" s="1005" t="str">
        <f t="shared" si="10"/>
        <v/>
      </c>
      <c r="BT254" s="1006" t="s">
        <v>123</v>
      </c>
      <c r="BU254" s="1002" t="s">
        <v>123</v>
      </c>
      <c r="BV254" s="1006" t="s">
        <v>123</v>
      </c>
      <c r="BW254" s="1007"/>
    </row>
    <row r="255">
      <c r="A255" s="624">
        <v>232.0</v>
      </c>
      <c r="B255" s="1008"/>
      <c r="C255" s="989"/>
      <c r="D255" s="851"/>
      <c r="E255" s="990"/>
      <c r="F255" s="991"/>
      <c r="G255" s="991"/>
      <c r="H255" s="992"/>
      <c r="I255" s="993"/>
      <c r="J255" s="993"/>
      <c r="K255" s="993"/>
      <c r="L255" s="993"/>
      <c r="M255" s="993"/>
      <c r="N255" s="993"/>
      <c r="O255" s="993"/>
      <c r="P255" s="993"/>
      <c r="Q255" s="993"/>
      <c r="R255" s="993"/>
      <c r="S255" s="936"/>
      <c r="T255" s="998"/>
      <c r="U255" s="935"/>
      <c r="V255" s="935"/>
      <c r="W255" s="949" t="str">
        <f>IF(AND($S$20,NOT($U$20)),IF($V255:$V623="","",SUMIF(portfolio.!$A$4:$A623,V255,portfolio.!$AN$4:$AN623)),"")</f>
        <v/>
      </c>
      <c r="X255" s="998"/>
      <c r="Y255" s="936"/>
      <c r="Z255" s="936" t="s">
        <v>123</v>
      </c>
      <c r="AA255" s="936" t="s">
        <v>123</v>
      </c>
      <c r="AB255" s="936" t="s">
        <v>123</v>
      </c>
      <c r="AC255" s="907" t="s">
        <v>123</v>
      </c>
      <c r="AD255" s="999"/>
      <c r="AE255" s="936"/>
      <c r="AF255" s="936"/>
      <c r="AG255" s="936"/>
      <c r="AH255" s="936"/>
      <c r="AI255" s="999"/>
      <c r="AJ255" s="935"/>
      <c r="AK255" s="966"/>
      <c r="AL255" s="949"/>
      <c r="AM255" s="949" t="s">
        <v>123</v>
      </c>
      <c r="AN255" s="949"/>
      <c r="AO255" s="999"/>
      <c r="AP255" s="936"/>
      <c r="AQ255" s="987"/>
      <c r="AR255" s="907"/>
      <c r="AS255" s="907"/>
      <c r="AT255" s="967" t="s">
        <v>123</v>
      </c>
      <c r="AU255" s="967" t="s">
        <v>123</v>
      </c>
      <c r="AV255" s="967" t="s">
        <v>123</v>
      </c>
      <c r="AW255" s="907" t="s">
        <v>123</v>
      </c>
      <c r="AX255" s="907" t="s">
        <v>123</v>
      </c>
      <c r="AY255" s="907" t="s">
        <v>123</v>
      </c>
      <c r="AZ255" s="936" t="s">
        <v>123</v>
      </c>
      <c r="BA255" s="935" t="s">
        <v>123</v>
      </c>
      <c r="BB255" s="1000"/>
      <c r="BC255" s="1001"/>
      <c r="BD255" s="936"/>
      <c r="BE255" s="907"/>
      <c r="BF255" s="1002" t="str">
        <f>IF($BC255="","",SUMIF(portfolio.!$A$4:$A623,BC255,portfolio.!$AN$4:$AN623))</f>
        <v/>
      </c>
      <c r="BG255" s="936" t="s">
        <v>123</v>
      </c>
      <c r="BH255" s="907" t="s">
        <v>123</v>
      </c>
      <c r="BI255" s="935" t="s">
        <v>123</v>
      </c>
      <c r="BJ255" s="1003"/>
      <c r="BK255" s="907" t="s">
        <v>123</v>
      </c>
      <c r="BL255" s="907" t="s">
        <v>123</v>
      </c>
      <c r="BM255" s="907" t="s">
        <v>123</v>
      </c>
      <c r="BN255" s="1004" t="s">
        <v>123</v>
      </c>
      <c r="BO255" s="907" t="str">
        <f t="shared" si="6"/>
        <v/>
      </c>
      <c r="BP255" s="907" t="str">
        <f t="shared" si="7"/>
        <v/>
      </c>
      <c r="BQ255" s="907" t="str">
        <f t="shared" si="8"/>
        <v/>
      </c>
      <c r="BR255" s="1004" t="str">
        <f t="shared" si="9"/>
        <v/>
      </c>
      <c r="BS255" s="1005" t="str">
        <f t="shared" si="10"/>
        <v/>
      </c>
      <c r="BT255" s="1006" t="s">
        <v>123</v>
      </c>
      <c r="BU255" s="1002" t="s">
        <v>123</v>
      </c>
      <c r="BV255" s="1006" t="s">
        <v>123</v>
      </c>
      <c r="BW255" s="1007"/>
    </row>
    <row r="256">
      <c r="A256" s="624">
        <v>233.0</v>
      </c>
      <c r="B256" s="1008"/>
      <c r="C256" s="989"/>
      <c r="D256" s="851"/>
      <c r="E256" s="990"/>
      <c r="F256" s="991"/>
      <c r="G256" s="991"/>
      <c r="H256" s="992"/>
      <c r="I256" s="993"/>
      <c r="J256" s="993"/>
      <c r="K256" s="993"/>
      <c r="L256" s="993"/>
      <c r="M256" s="993"/>
      <c r="N256" s="993"/>
      <c r="O256" s="993"/>
      <c r="P256" s="993"/>
      <c r="Q256" s="993"/>
      <c r="R256" s="993"/>
      <c r="S256" s="936"/>
      <c r="T256" s="998"/>
      <c r="U256" s="935"/>
      <c r="V256" s="935"/>
      <c r="W256" s="949" t="str">
        <f>IF(AND($S$20,NOT($U$20)),IF($V256:$V623="","",SUMIF(portfolio.!$A$4:$A623,V256,portfolio.!$AN$4:$AN623)),"")</f>
        <v/>
      </c>
      <c r="X256" s="998"/>
      <c r="Y256" s="936"/>
      <c r="Z256" s="936" t="s">
        <v>123</v>
      </c>
      <c r="AA256" s="936" t="s">
        <v>123</v>
      </c>
      <c r="AB256" s="936" t="s">
        <v>123</v>
      </c>
      <c r="AC256" s="907" t="s">
        <v>123</v>
      </c>
      <c r="AD256" s="999"/>
      <c r="AE256" s="936"/>
      <c r="AF256" s="936"/>
      <c r="AG256" s="936"/>
      <c r="AH256" s="936"/>
      <c r="AI256" s="999"/>
      <c r="AJ256" s="935"/>
      <c r="AK256" s="966"/>
      <c r="AL256" s="949"/>
      <c r="AM256" s="949" t="s">
        <v>123</v>
      </c>
      <c r="AN256" s="949"/>
      <c r="AO256" s="999"/>
      <c r="AP256" s="936"/>
      <c r="AQ256" s="987"/>
      <c r="AR256" s="907"/>
      <c r="AS256" s="907"/>
      <c r="AT256" s="967" t="s">
        <v>123</v>
      </c>
      <c r="AU256" s="967" t="s">
        <v>123</v>
      </c>
      <c r="AV256" s="967" t="s">
        <v>123</v>
      </c>
      <c r="AW256" s="907" t="s">
        <v>123</v>
      </c>
      <c r="AX256" s="907" t="s">
        <v>123</v>
      </c>
      <c r="AY256" s="907" t="s">
        <v>123</v>
      </c>
      <c r="AZ256" s="936" t="s">
        <v>123</v>
      </c>
      <c r="BA256" s="935" t="s">
        <v>123</v>
      </c>
      <c r="BB256" s="1000"/>
      <c r="BC256" s="1001"/>
      <c r="BD256" s="936"/>
      <c r="BE256" s="907"/>
      <c r="BF256" s="1002" t="str">
        <f>IF($BC256="","",SUMIF(portfolio.!$A$4:$A623,BC256,portfolio.!$AN$4:$AN623))</f>
        <v/>
      </c>
      <c r="BG256" s="936" t="s">
        <v>123</v>
      </c>
      <c r="BH256" s="907" t="s">
        <v>123</v>
      </c>
      <c r="BI256" s="935" t="s">
        <v>123</v>
      </c>
      <c r="BJ256" s="1003"/>
      <c r="BK256" s="907" t="s">
        <v>123</v>
      </c>
      <c r="BL256" s="907" t="s">
        <v>123</v>
      </c>
      <c r="BM256" s="907" t="s">
        <v>123</v>
      </c>
      <c r="BN256" s="1004" t="s">
        <v>123</v>
      </c>
      <c r="BO256" s="907" t="str">
        <f t="shared" si="6"/>
        <v/>
      </c>
      <c r="BP256" s="907" t="str">
        <f t="shared" si="7"/>
        <v/>
      </c>
      <c r="BQ256" s="907" t="str">
        <f t="shared" si="8"/>
        <v/>
      </c>
      <c r="BR256" s="1004" t="str">
        <f t="shared" si="9"/>
        <v/>
      </c>
      <c r="BS256" s="1005" t="str">
        <f t="shared" si="10"/>
        <v/>
      </c>
      <c r="BT256" s="1006" t="s">
        <v>123</v>
      </c>
      <c r="BU256" s="1002" t="s">
        <v>123</v>
      </c>
      <c r="BV256" s="1006" t="s">
        <v>123</v>
      </c>
      <c r="BW256" s="1007"/>
    </row>
    <row r="257">
      <c r="A257" s="624">
        <v>234.0</v>
      </c>
      <c r="B257" s="1008"/>
      <c r="C257" s="989"/>
      <c r="D257" s="851"/>
      <c r="E257" s="990"/>
      <c r="F257" s="991"/>
      <c r="G257" s="991"/>
      <c r="H257" s="992"/>
      <c r="I257" s="993"/>
      <c r="J257" s="993"/>
      <c r="K257" s="993"/>
      <c r="L257" s="993"/>
      <c r="M257" s="993"/>
      <c r="N257" s="993"/>
      <c r="O257" s="993"/>
      <c r="P257" s="993"/>
      <c r="Q257" s="993"/>
      <c r="R257" s="993"/>
      <c r="S257" s="936"/>
      <c r="T257" s="998"/>
      <c r="U257" s="935"/>
      <c r="V257" s="935"/>
      <c r="W257" s="949" t="str">
        <f>IF(AND($S$20,NOT($U$20)),IF($V257:$V623="","",SUMIF(portfolio.!$A$4:$A623,V257,portfolio.!$AN$4:$AN623)),"")</f>
        <v/>
      </c>
      <c r="X257" s="998"/>
      <c r="Y257" s="936"/>
      <c r="Z257" s="936" t="s">
        <v>123</v>
      </c>
      <c r="AA257" s="936" t="s">
        <v>123</v>
      </c>
      <c r="AB257" s="936" t="s">
        <v>123</v>
      </c>
      <c r="AC257" s="907" t="s">
        <v>123</v>
      </c>
      <c r="AD257" s="999"/>
      <c r="AE257" s="936"/>
      <c r="AF257" s="936"/>
      <c r="AG257" s="936"/>
      <c r="AH257" s="936"/>
      <c r="AI257" s="999"/>
      <c r="AJ257" s="935"/>
      <c r="AK257" s="966"/>
      <c r="AL257" s="949"/>
      <c r="AM257" s="949" t="s">
        <v>123</v>
      </c>
      <c r="AN257" s="949"/>
      <c r="AO257" s="999"/>
      <c r="AP257" s="936"/>
      <c r="AQ257" s="987"/>
      <c r="AR257" s="907"/>
      <c r="AS257" s="907"/>
      <c r="AT257" s="967" t="s">
        <v>123</v>
      </c>
      <c r="AU257" s="967" t="s">
        <v>123</v>
      </c>
      <c r="AV257" s="967" t="s">
        <v>123</v>
      </c>
      <c r="AW257" s="907" t="s">
        <v>123</v>
      </c>
      <c r="AX257" s="907" t="s">
        <v>123</v>
      </c>
      <c r="AY257" s="907" t="s">
        <v>123</v>
      </c>
      <c r="AZ257" s="936" t="s">
        <v>123</v>
      </c>
      <c r="BA257" s="935" t="s">
        <v>123</v>
      </c>
      <c r="BB257" s="1000"/>
      <c r="BC257" s="1001"/>
      <c r="BD257" s="936"/>
      <c r="BE257" s="907"/>
      <c r="BF257" s="1002" t="str">
        <f>IF($BC257="","",SUMIF(portfolio.!$A$4:$A623,BC257,portfolio.!$AN$4:$AN623))</f>
        <v/>
      </c>
      <c r="BG257" s="936" t="s">
        <v>123</v>
      </c>
      <c r="BH257" s="907" t="s">
        <v>123</v>
      </c>
      <c r="BI257" s="935" t="s">
        <v>123</v>
      </c>
      <c r="BJ257" s="1003"/>
      <c r="BK257" s="907" t="s">
        <v>123</v>
      </c>
      <c r="BL257" s="907" t="s">
        <v>123</v>
      </c>
      <c r="BM257" s="907" t="s">
        <v>123</v>
      </c>
      <c r="BN257" s="1004" t="s">
        <v>123</v>
      </c>
      <c r="BO257" s="907" t="str">
        <f t="shared" si="6"/>
        <v/>
      </c>
      <c r="BP257" s="907" t="str">
        <f t="shared" si="7"/>
        <v/>
      </c>
      <c r="BQ257" s="907" t="str">
        <f t="shared" si="8"/>
        <v/>
      </c>
      <c r="BR257" s="1004" t="str">
        <f t="shared" si="9"/>
        <v/>
      </c>
      <c r="BS257" s="1005" t="str">
        <f t="shared" si="10"/>
        <v/>
      </c>
      <c r="BT257" s="1006" t="s">
        <v>123</v>
      </c>
      <c r="BU257" s="1002" t="s">
        <v>123</v>
      </c>
      <c r="BV257" s="1006" t="s">
        <v>123</v>
      </c>
      <c r="BW257" s="1007"/>
    </row>
    <row r="258">
      <c r="A258" s="624">
        <v>235.0</v>
      </c>
      <c r="B258" s="1008"/>
      <c r="C258" s="989"/>
      <c r="D258" s="851"/>
      <c r="E258" s="990"/>
      <c r="F258" s="991"/>
      <c r="G258" s="991"/>
      <c r="H258" s="992"/>
      <c r="I258" s="993"/>
      <c r="J258" s="993"/>
      <c r="K258" s="993"/>
      <c r="L258" s="993"/>
      <c r="M258" s="993"/>
      <c r="N258" s="993"/>
      <c r="O258" s="993"/>
      <c r="P258" s="993"/>
      <c r="Q258" s="993"/>
      <c r="R258" s="993"/>
      <c r="S258" s="936"/>
      <c r="T258" s="998"/>
      <c r="U258" s="935"/>
      <c r="V258" s="935"/>
      <c r="W258" s="949" t="str">
        <f>IF(AND($S$20,NOT($U$20)),IF($V258:$V623="","",SUMIF(portfolio.!$A$4:$A623,V258,portfolio.!$AN$4:$AN623)),"")</f>
        <v/>
      </c>
      <c r="X258" s="998"/>
      <c r="Y258" s="936"/>
      <c r="Z258" s="936" t="s">
        <v>123</v>
      </c>
      <c r="AA258" s="936" t="s">
        <v>123</v>
      </c>
      <c r="AB258" s="936" t="s">
        <v>123</v>
      </c>
      <c r="AC258" s="907" t="s">
        <v>123</v>
      </c>
      <c r="AD258" s="999"/>
      <c r="AE258" s="936"/>
      <c r="AF258" s="936"/>
      <c r="AG258" s="936"/>
      <c r="AH258" s="936"/>
      <c r="AI258" s="999"/>
      <c r="AJ258" s="935"/>
      <c r="AK258" s="966"/>
      <c r="AL258" s="949"/>
      <c r="AM258" s="949" t="s">
        <v>123</v>
      </c>
      <c r="AN258" s="949"/>
      <c r="AO258" s="999"/>
      <c r="AP258" s="936"/>
      <c r="AQ258" s="987"/>
      <c r="AR258" s="907"/>
      <c r="AS258" s="907"/>
      <c r="AT258" s="967" t="s">
        <v>123</v>
      </c>
      <c r="AU258" s="967" t="s">
        <v>123</v>
      </c>
      <c r="AV258" s="967" t="s">
        <v>123</v>
      </c>
      <c r="AW258" s="907" t="s">
        <v>123</v>
      </c>
      <c r="AX258" s="907" t="s">
        <v>123</v>
      </c>
      <c r="AY258" s="907" t="s">
        <v>123</v>
      </c>
      <c r="AZ258" s="936" t="s">
        <v>123</v>
      </c>
      <c r="BA258" s="935" t="s">
        <v>123</v>
      </c>
      <c r="BB258" s="1000"/>
      <c r="BC258" s="1001"/>
      <c r="BD258" s="936"/>
      <c r="BE258" s="907"/>
      <c r="BF258" s="1002" t="str">
        <f>IF($BC258="","",SUMIF(portfolio.!$A$4:$A623,BC258,portfolio.!$AN$4:$AN623))</f>
        <v/>
      </c>
      <c r="BG258" s="936" t="s">
        <v>123</v>
      </c>
      <c r="BH258" s="907" t="s">
        <v>123</v>
      </c>
      <c r="BI258" s="935" t="s">
        <v>123</v>
      </c>
      <c r="BJ258" s="1003"/>
      <c r="BK258" s="907" t="s">
        <v>123</v>
      </c>
      <c r="BL258" s="907" t="s">
        <v>123</v>
      </c>
      <c r="BM258" s="907" t="s">
        <v>123</v>
      </c>
      <c r="BN258" s="1004" t="s">
        <v>123</v>
      </c>
      <c r="BO258" s="907" t="str">
        <f t="shared" si="6"/>
        <v/>
      </c>
      <c r="BP258" s="907" t="str">
        <f t="shared" si="7"/>
        <v/>
      </c>
      <c r="BQ258" s="907" t="str">
        <f t="shared" si="8"/>
        <v/>
      </c>
      <c r="BR258" s="1004" t="str">
        <f t="shared" si="9"/>
        <v/>
      </c>
      <c r="BS258" s="1005" t="str">
        <f t="shared" si="10"/>
        <v/>
      </c>
      <c r="BT258" s="1006" t="s">
        <v>123</v>
      </c>
      <c r="BU258" s="1002" t="s">
        <v>123</v>
      </c>
      <c r="BV258" s="1006" t="s">
        <v>123</v>
      </c>
      <c r="BW258" s="1007"/>
    </row>
    <row r="259">
      <c r="A259" s="624">
        <v>236.0</v>
      </c>
      <c r="B259" s="1008"/>
      <c r="C259" s="989"/>
      <c r="D259" s="851"/>
      <c r="E259" s="990"/>
      <c r="F259" s="991"/>
      <c r="G259" s="991"/>
      <c r="H259" s="992"/>
      <c r="I259" s="993"/>
      <c r="J259" s="993"/>
      <c r="K259" s="993"/>
      <c r="L259" s="993"/>
      <c r="M259" s="993"/>
      <c r="N259" s="993"/>
      <c r="O259" s="993"/>
      <c r="P259" s="993"/>
      <c r="Q259" s="993"/>
      <c r="R259" s="993"/>
      <c r="S259" s="936"/>
      <c r="T259" s="998"/>
      <c r="U259" s="935"/>
      <c r="V259" s="935"/>
      <c r="W259" s="949" t="str">
        <f>IF(AND($S$20,NOT($U$20)),IF($V259:$V623="","",SUMIF(portfolio.!$A$4:$A623,V259,portfolio.!$AN$4:$AN623)),"")</f>
        <v/>
      </c>
      <c r="X259" s="998"/>
      <c r="Y259" s="936"/>
      <c r="Z259" s="936" t="s">
        <v>123</v>
      </c>
      <c r="AA259" s="936" t="s">
        <v>123</v>
      </c>
      <c r="AB259" s="936" t="s">
        <v>123</v>
      </c>
      <c r="AC259" s="907" t="s">
        <v>123</v>
      </c>
      <c r="AD259" s="999"/>
      <c r="AE259" s="936"/>
      <c r="AF259" s="936"/>
      <c r="AG259" s="936"/>
      <c r="AH259" s="936"/>
      <c r="AI259" s="999"/>
      <c r="AJ259" s="935"/>
      <c r="AK259" s="966"/>
      <c r="AL259" s="949"/>
      <c r="AM259" s="949" t="s">
        <v>123</v>
      </c>
      <c r="AN259" s="949"/>
      <c r="AO259" s="999"/>
      <c r="AP259" s="936"/>
      <c r="AQ259" s="987"/>
      <c r="AR259" s="907"/>
      <c r="AS259" s="907"/>
      <c r="AT259" s="967" t="s">
        <v>123</v>
      </c>
      <c r="AU259" s="967" t="s">
        <v>123</v>
      </c>
      <c r="AV259" s="967" t="s">
        <v>123</v>
      </c>
      <c r="AW259" s="907" t="s">
        <v>123</v>
      </c>
      <c r="AX259" s="907" t="s">
        <v>123</v>
      </c>
      <c r="AY259" s="907" t="s">
        <v>123</v>
      </c>
      <c r="AZ259" s="936" t="s">
        <v>123</v>
      </c>
      <c r="BA259" s="935" t="s">
        <v>123</v>
      </c>
      <c r="BB259" s="1000"/>
      <c r="BC259" s="1001"/>
      <c r="BD259" s="936"/>
      <c r="BE259" s="907"/>
      <c r="BF259" s="1002" t="str">
        <f>IF($BC259="","",SUMIF(portfolio.!$A$4:$A623,BC259,portfolio.!$AN$4:$AN623))</f>
        <v/>
      </c>
      <c r="BG259" s="936" t="s">
        <v>123</v>
      </c>
      <c r="BH259" s="907" t="s">
        <v>123</v>
      </c>
      <c r="BI259" s="935" t="s">
        <v>123</v>
      </c>
      <c r="BJ259" s="1003"/>
      <c r="BK259" s="907" t="s">
        <v>123</v>
      </c>
      <c r="BL259" s="907" t="s">
        <v>123</v>
      </c>
      <c r="BM259" s="907" t="s">
        <v>123</v>
      </c>
      <c r="BN259" s="1004" t="s">
        <v>123</v>
      </c>
      <c r="BO259" s="907" t="str">
        <f t="shared" si="6"/>
        <v/>
      </c>
      <c r="BP259" s="907" t="str">
        <f t="shared" si="7"/>
        <v/>
      </c>
      <c r="BQ259" s="907" t="str">
        <f t="shared" si="8"/>
        <v/>
      </c>
      <c r="BR259" s="1004" t="str">
        <f t="shared" si="9"/>
        <v/>
      </c>
      <c r="BS259" s="1005" t="str">
        <f t="shared" si="10"/>
        <v/>
      </c>
      <c r="BT259" s="1006" t="s">
        <v>123</v>
      </c>
      <c r="BU259" s="1002" t="s">
        <v>123</v>
      </c>
      <c r="BV259" s="1006" t="s">
        <v>123</v>
      </c>
      <c r="BW259" s="1007"/>
    </row>
    <row r="260">
      <c r="A260" s="624">
        <v>237.0</v>
      </c>
      <c r="B260" s="1008"/>
      <c r="C260" s="989"/>
      <c r="D260" s="851"/>
      <c r="E260" s="990"/>
      <c r="F260" s="991"/>
      <c r="G260" s="991"/>
      <c r="H260" s="992"/>
      <c r="I260" s="993"/>
      <c r="J260" s="993"/>
      <c r="K260" s="993"/>
      <c r="L260" s="993"/>
      <c r="M260" s="993"/>
      <c r="N260" s="993"/>
      <c r="O260" s="993"/>
      <c r="P260" s="993"/>
      <c r="Q260" s="993"/>
      <c r="R260" s="993"/>
      <c r="S260" s="936"/>
      <c r="T260" s="998"/>
      <c r="U260" s="935"/>
      <c r="V260" s="935"/>
      <c r="W260" s="949" t="str">
        <f>IF(AND($S$20,NOT($U$20)),IF($V260:$V623="","",SUMIF(portfolio.!$A$4:$A623,V260,portfolio.!$AN$4:$AN623)),"")</f>
        <v/>
      </c>
      <c r="X260" s="998"/>
      <c r="Y260" s="936"/>
      <c r="Z260" s="936" t="s">
        <v>123</v>
      </c>
      <c r="AA260" s="936" t="s">
        <v>123</v>
      </c>
      <c r="AB260" s="936" t="s">
        <v>123</v>
      </c>
      <c r="AC260" s="907" t="s">
        <v>123</v>
      </c>
      <c r="AD260" s="999"/>
      <c r="AE260" s="936"/>
      <c r="AF260" s="936"/>
      <c r="AG260" s="936"/>
      <c r="AH260" s="936"/>
      <c r="AI260" s="999"/>
      <c r="AJ260" s="935"/>
      <c r="AK260" s="966"/>
      <c r="AL260" s="949"/>
      <c r="AM260" s="949" t="s">
        <v>123</v>
      </c>
      <c r="AN260" s="949"/>
      <c r="AO260" s="999"/>
      <c r="AP260" s="936"/>
      <c r="AQ260" s="987"/>
      <c r="AR260" s="907"/>
      <c r="AS260" s="907"/>
      <c r="AT260" s="967" t="s">
        <v>123</v>
      </c>
      <c r="AU260" s="967" t="s">
        <v>123</v>
      </c>
      <c r="AV260" s="967" t="s">
        <v>123</v>
      </c>
      <c r="AW260" s="907" t="s">
        <v>123</v>
      </c>
      <c r="AX260" s="907" t="s">
        <v>123</v>
      </c>
      <c r="AY260" s="907" t="s">
        <v>123</v>
      </c>
      <c r="AZ260" s="936" t="s">
        <v>123</v>
      </c>
      <c r="BA260" s="935" t="s">
        <v>123</v>
      </c>
      <c r="BB260" s="1000"/>
      <c r="BC260" s="1001"/>
      <c r="BD260" s="936"/>
      <c r="BE260" s="907"/>
      <c r="BF260" s="1002" t="str">
        <f>IF($BC260="","",SUMIF(portfolio.!$A$4:$A623,BC260,portfolio.!$AN$4:$AN623))</f>
        <v/>
      </c>
      <c r="BG260" s="936" t="s">
        <v>123</v>
      </c>
      <c r="BH260" s="907" t="s">
        <v>123</v>
      </c>
      <c r="BI260" s="935" t="s">
        <v>123</v>
      </c>
      <c r="BJ260" s="1003"/>
      <c r="BK260" s="907" t="s">
        <v>123</v>
      </c>
      <c r="BL260" s="907" t="s">
        <v>123</v>
      </c>
      <c r="BM260" s="907" t="s">
        <v>123</v>
      </c>
      <c r="BN260" s="1004" t="s">
        <v>123</v>
      </c>
      <c r="BO260" s="907" t="str">
        <f t="shared" si="6"/>
        <v/>
      </c>
      <c r="BP260" s="907" t="str">
        <f t="shared" si="7"/>
        <v/>
      </c>
      <c r="BQ260" s="907" t="str">
        <f t="shared" si="8"/>
        <v/>
      </c>
      <c r="BR260" s="1004" t="str">
        <f t="shared" si="9"/>
        <v/>
      </c>
      <c r="BS260" s="1005" t="str">
        <f t="shared" si="10"/>
        <v/>
      </c>
      <c r="BT260" s="1006" t="s">
        <v>123</v>
      </c>
      <c r="BU260" s="1002" t="s">
        <v>123</v>
      </c>
      <c r="BV260" s="1006" t="s">
        <v>123</v>
      </c>
      <c r="BW260" s="1007"/>
    </row>
    <row r="261">
      <c r="A261" s="624">
        <v>238.0</v>
      </c>
      <c r="B261" s="1008"/>
      <c r="C261" s="989"/>
      <c r="D261" s="851"/>
      <c r="E261" s="990"/>
      <c r="F261" s="991"/>
      <c r="G261" s="991"/>
      <c r="H261" s="992"/>
      <c r="I261" s="993"/>
      <c r="J261" s="993"/>
      <c r="K261" s="993"/>
      <c r="L261" s="993"/>
      <c r="M261" s="993"/>
      <c r="N261" s="993"/>
      <c r="O261" s="993"/>
      <c r="P261" s="993"/>
      <c r="Q261" s="993"/>
      <c r="R261" s="993"/>
      <c r="S261" s="936"/>
      <c r="T261" s="998"/>
      <c r="U261" s="935"/>
      <c r="V261" s="935"/>
      <c r="W261" s="949" t="str">
        <f>IF(AND($S$20,NOT($U$20)),IF($V261:$V623="","",SUMIF(portfolio.!$A$4:$A623,V261,portfolio.!$AN$4:$AN623)),"")</f>
        <v/>
      </c>
      <c r="X261" s="998"/>
      <c r="Y261" s="936"/>
      <c r="Z261" s="936" t="s">
        <v>123</v>
      </c>
      <c r="AA261" s="936" t="s">
        <v>123</v>
      </c>
      <c r="AB261" s="936" t="s">
        <v>123</v>
      </c>
      <c r="AC261" s="907" t="s">
        <v>123</v>
      </c>
      <c r="AD261" s="999"/>
      <c r="AE261" s="936"/>
      <c r="AF261" s="936"/>
      <c r="AG261" s="936"/>
      <c r="AH261" s="936"/>
      <c r="AI261" s="999"/>
      <c r="AJ261" s="935"/>
      <c r="AK261" s="966"/>
      <c r="AL261" s="949"/>
      <c r="AM261" s="949" t="s">
        <v>123</v>
      </c>
      <c r="AN261" s="949"/>
      <c r="AO261" s="999"/>
      <c r="AP261" s="936"/>
      <c r="AQ261" s="987"/>
      <c r="AR261" s="907"/>
      <c r="AS261" s="907"/>
      <c r="AT261" s="967" t="s">
        <v>123</v>
      </c>
      <c r="AU261" s="967" t="s">
        <v>123</v>
      </c>
      <c r="AV261" s="967" t="s">
        <v>123</v>
      </c>
      <c r="AW261" s="907" t="s">
        <v>123</v>
      </c>
      <c r="AX261" s="907" t="s">
        <v>123</v>
      </c>
      <c r="AY261" s="907" t="s">
        <v>123</v>
      </c>
      <c r="AZ261" s="936" t="s">
        <v>123</v>
      </c>
      <c r="BA261" s="935" t="s">
        <v>123</v>
      </c>
      <c r="BB261" s="1000"/>
      <c r="BC261" s="1001"/>
      <c r="BD261" s="936"/>
      <c r="BE261" s="907"/>
      <c r="BF261" s="1002" t="str">
        <f>IF($BC261="","",SUMIF(portfolio.!$A$4:$A623,BC261,portfolio.!$AN$4:$AN623))</f>
        <v/>
      </c>
      <c r="BG261" s="936" t="s">
        <v>123</v>
      </c>
      <c r="BH261" s="907" t="s">
        <v>123</v>
      </c>
      <c r="BI261" s="935" t="s">
        <v>123</v>
      </c>
      <c r="BJ261" s="1003"/>
      <c r="BK261" s="907" t="s">
        <v>123</v>
      </c>
      <c r="BL261" s="907" t="s">
        <v>123</v>
      </c>
      <c r="BM261" s="907" t="s">
        <v>123</v>
      </c>
      <c r="BN261" s="1004" t="s">
        <v>123</v>
      </c>
      <c r="BO261" s="907" t="str">
        <f t="shared" si="6"/>
        <v/>
      </c>
      <c r="BP261" s="907" t="str">
        <f t="shared" si="7"/>
        <v/>
      </c>
      <c r="BQ261" s="907" t="str">
        <f t="shared" si="8"/>
        <v/>
      </c>
      <c r="BR261" s="1004" t="str">
        <f t="shared" si="9"/>
        <v/>
      </c>
      <c r="BS261" s="1005" t="str">
        <f t="shared" si="10"/>
        <v/>
      </c>
      <c r="BT261" s="1006" t="s">
        <v>123</v>
      </c>
      <c r="BU261" s="1002" t="s">
        <v>123</v>
      </c>
      <c r="BV261" s="1006" t="s">
        <v>123</v>
      </c>
      <c r="BW261" s="1007"/>
    </row>
    <row r="262">
      <c r="A262" s="624">
        <v>239.0</v>
      </c>
      <c r="B262" s="1008"/>
      <c r="C262" s="989"/>
      <c r="D262" s="851"/>
      <c r="E262" s="990"/>
      <c r="F262" s="991"/>
      <c r="G262" s="991"/>
      <c r="H262" s="992"/>
      <c r="I262" s="993"/>
      <c r="J262" s="993"/>
      <c r="K262" s="993"/>
      <c r="L262" s="993"/>
      <c r="M262" s="993"/>
      <c r="N262" s="993"/>
      <c r="O262" s="993"/>
      <c r="P262" s="993"/>
      <c r="Q262" s="993"/>
      <c r="R262" s="993"/>
      <c r="S262" s="936"/>
      <c r="T262" s="998"/>
      <c r="U262" s="935"/>
      <c r="V262" s="935"/>
      <c r="W262" s="949" t="str">
        <f>IF(AND($S$20,NOT($U$20)),IF($V262:$V623="","",SUMIF(portfolio.!$A$4:$A623,V262,portfolio.!$AN$4:$AN623)),"")</f>
        <v/>
      </c>
      <c r="X262" s="998"/>
      <c r="Y262" s="936"/>
      <c r="Z262" s="936" t="s">
        <v>123</v>
      </c>
      <c r="AA262" s="936" t="s">
        <v>123</v>
      </c>
      <c r="AB262" s="936" t="s">
        <v>123</v>
      </c>
      <c r="AC262" s="907" t="s">
        <v>123</v>
      </c>
      <c r="AD262" s="999"/>
      <c r="AE262" s="936"/>
      <c r="AF262" s="936"/>
      <c r="AG262" s="936"/>
      <c r="AH262" s="936"/>
      <c r="AI262" s="999"/>
      <c r="AJ262" s="935"/>
      <c r="AK262" s="966"/>
      <c r="AL262" s="949"/>
      <c r="AM262" s="949" t="s">
        <v>123</v>
      </c>
      <c r="AN262" s="949"/>
      <c r="AO262" s="999"/>
      <c r="AP262" s="936"/>
      <c r="AQ262" s="987"/>
      <c r="AR262" s="907"/>
      <c r="AS262" s="907"/>
      <c r="AT262" s="967" t="s">
        <v>123</v>
      </c>
      <c r="AU262" s="967" t="s">
        <v>123</v>
      </c>
      <c r="AV262" s="967" t="s">
        <v>123</v>
      </c>
      <c r="AW262" s="907" t="s">
        <v>123</v>
      </c>
      <c r="AX262" s="907" t="s">
        <v>123</v>
      </c>
      <c r="AY262" s="907" t="s">
        <v>123</v>
      </c>
      <c r="AZ262" s="936" t="s">
        <v>123</v>
      </c>
      <c r="BA262" s="935" t="s">
        <v>123</v>
      </c>
      <c r="BB262" s="1000"/>
      <c r="BC262" s="1001"/>
      <c r="BD262" s="936"/>
      <c r="BE262" s="907"/>
      <c r="BF262" s="1002" t="str">
        <f>IF($BC262="","",SUMIF(portfolio.!$A$4:$A623,BC262,portfolio.!$AN$4:$AN623))</f>
        <v/>
      </c>
      <c r="BG262" s="936" t="s">
        <v>123</v>
      </c>
      <c r="BH262" s="907" t="s">
        <v>123</v>
      </c>
      <c r="BI262" s="935" t="s">
        <v>123</v>
      </c>
      <c r="BJ262" s="1003"/>
      <c r="BK262" s="907" t="s">
        <v>123</v>
      </c>
      <c r="BL262" s="907" t="s">
        <v>123</v>
      </c>
      <c r="BM262" s="907" t="s">
        <v>123</v>
      </c>
      <c r="BN262" s="1004" t="s">
        <v>123</v>
      </c>
      <c r="BO262" s="907" t="str">
        <f t="shared" si="6"/>
        <v/>
      </c>
      <c r="BP262" s="907" t="str">
        <f t="shared" si="7"/>
        <v/>
      </c>
      <c r="BQ262" s="907" t="str">
        <f t="shared" si="8"/>
        <v/>
      </c>
      <c r="BR262" s="1004" t="str">
        <f t="shared" si="9"/>
        <v/>
      </c>
      <c r="BS262" s="1005" t="str">
        <f t="shared" si="10"/>
        <v/>
      </c>
      <c r="BT262" s="1006" t="s">
        <v>123</v>
      </c>
      <c r="BU262" s="1002" t="s">
        <v>123</v>
      </c>
      <c r="BV262" s="1006" t="s">
        <v>123</v>
      </c>
      <c r="BW262" s="1007"/>
    </row>
    <row r="263">
      <c r="A263" s="624">
        <v>240.0</v>
      </c>
      <c r="B263" s="1008"/>
      <c r="C263" s="989"/>
      <c r="D263" s="851"/>
      <c r="E263" s="990"/>
      <c r="F263" s="991"/>
      <c r="G263" s="991"/>
      <c r="H263" s="992"/>
      <c r="I263" s="993"/>
      <c r="J263" s="993"/>
      <c r="K263" s="993"/>
      <c r="L263" s="993"/>
      <c r="M263" s="993"/>
      <c r="N263" s="993"/>
      <c r="O263" s="993"/>
      <c r="P263" s="993"/>
      <c r="Q263" s="993"/>
      <c r="R263" s="993"/>
      <c r="S263" s="936"/>
      <c r="T263" s="998"/>
      <c r="U263" s="935"/>
      <c r="V263" s="935"/>
      <c r="W263" s="949" t="str">
        <f>IF(AND($S$20,NOT($U$20)),IF($V263:$V623="","",SUMIF(portfolio.!$A$4:$A623,V263,portfolio.!$AN$4:$AN623)),"")</f>
        <v/>
      </c>
      <c r="X263" s="998"/>
      <c r="Y263" s="936"/>
      <c r="Z263" s="936" t="s">
        <v>123</v>
      </c>
      <c r="AA263" s="936" t="s">
        <v>123</v>
      </c>
      <c r="AB263" s="936" t="s">
        <v>123</v>
      </c>
      <c r="AC263" s="907" t="s">
        <v>123</v>
      </c>
      <c r="AD263" s="999"/>
      <c r="AE263" s="936"/>
      <c r="AF263" s="936"/>
      <c r="AG263" s="936"/>
      <c r="AH263" s="936"/>
      <c r="AI263" s="999"/>
      <c r="AJ263" s="935"/>
      <c r="AK263" s="966"/>
      <c r="AL263" s="949"/>
      <c r="AM263" s="949" t="s">
        <v>123</v>
      </c>
      <c r="AN263" s="949"/>
      <c r="AO263" s="999"/>
      <c r="AP263" s="936"/>
      <c r="AQ263" s="987"/>
      <c r="AR263" s="907"/>
      <c r="AS263" s="907"/>
      <c r="AT263" s="967" t="s">
        <v>123</v>
      </c>
      <c r="AU263" s="967" t="s">
        <v>123</v>
      </c>
      <c r="AV263" s="967" t="s">
        <v>123</v>
      </c>
      <c r="AW263" s="907" t="s">
        <v>123</v>
      </c>
      <c r="AX263" s="907" t="s">
        <v>123</v>
      </c>
      <c r="AY263" s="907" t="s">
        <v>123</v>
      </c>
      <c r="AZ263" s="936" t="s">
        <v>123</v>
      </c>
      <c r="BA263" s="935" t="s">
        <v>123</v>
      </c>
      <c r="BB263" s="1000"/>
      <c r="BC263" s="1001"/>
      <c r="BD263" s="936"/>
      <c r="BE263" s="907"/>
      <c r="BF263" s="1002" t="str">
        <f>IF($BC263="","",SUMIF(portfolio.!$A$4:$A623,BC263,portfolio.!$AN$4:$AN623))</f>
        <v/>
      </c>
      <c r="BG263" s="936" t="s">
        <v>123</v>
      </c>
      <c r="BH263" s="907" t="s">
        <v>123</v>
      </c>
      <c r="BI263" s="935" t="s">
        <v>123</v>
      </c>
      <c r="BJ263" s="1003"/>
      <c r="BK263" s="907" t="s">
        <v>123</v>
      </c>
      <c r="BL263" s="907" t="s">
        <v>123</v>
      </c>
      <c r="BM263" s="907" t="s">
        <v>123</v>
      </c>
      <c r="BN263" s="1004" t="s">
        <v>123</v>
      </c>
      <c r="BO263" s="907" t="str">
        <f t="shared" si="6"/>
        <v/>
      </c>
      <c r="BP263" s="907" t="str">
        <f t="shared" si="7"/>
        <v/>
      </c>
      <c r="BQ263" s="907" t="str">
        <f t="shared" si="8"/>
        <v/>
      </c>
      <c r="BR263" s="1004" t="str">
        <f t="shared" si="9"/>
        <v/>
      </c>
      <c r="BS263" s="1005" t="str">
        <f t="shared" si="10"/>
        <v/>
      </c>
      <c r="BT263" s="1006" t="s">
        <v>123</v>
      </c>
      <c r="BU263" s="1002" t="s">
        <v>123</v>
      </c>
      <c r="BV263" s="1006" t="s">
        <v>123</v>
      </c>
      <c r="BW263" s="1007"/>
    </row>
    <row r="264">
      <c r="A264" s="624">
        <v>241.0</v>
      </c>
      <c r="B264" s="1008"/>
      <c r="C264" s="989"/>
      <c r="D264" s="851"/>
      <c r="E264" s="990"/>
      <c r="F264" s="991"/>
      <c r="G264" s="991"/>
      <c r="H264" s="992"/>
      <c r="I264" s="993"/>
      <c r="J264" s="993"/>
      <c r="K264" s="993"/>
      <c r="L264" s="993"/>
      <c r="M264" s="993"/>
      <c r="N264" s="993"/>
      <c r="O264" s="993"/>
      <c r="P264" s="993"/>
      <c r="Q264" s="993"/>
      <c r="R264" s="993"/>
      <c r="S264" s="936"/>
      <c r="T264" s="998"/>
      <c r="U264" s="935"/>
      <c r="V264" s="935"/>
      <c r="W264" s="949" t="str">
        <f>IF(AND($S$20,NOT($U$20)),IF($V264:$V623="","",SUMIF(portfolio.!$A$4:$A623,V264,portfolio.!$AN$4:$AN623)),"")</f>
        <v/>
      </c>
      <c r="X264" s="998"/>
      <c r="Y264" s="936"/>
      <c r="Z264" s="936" t="s">
        <v>123</v>
      </c>
      <c r="AA264" s="936" t="s">
        <v>123</v>
      </c>
      <c r="AB264" s="936" t="s">
        <v>123</v>
      </c>
      <c r="AC264" s="907" t="s">
        <v>123</v>
      </c>
      <c r="AD264" s="999"/>
      <c r="AE264" s="936"/>
      <c r="AF264" s="936"/>
      <c r="AG264" s="936"/>
      <c r="AH264" s="936"/>
      <c r="AI264" s="999"/>
      <c r="AJ264" s="935"/>
      <c r="AK264" s="966"/>
      <c r="AL264" s="949"/>
      <c r="AM264" s="949" t="s">
        <v>123</v>
      </c>
      <c r="AN264" s="949"/>
      <c r="AO264" s="999"/>
      <c r="AP264" s="936"/>
      <c r="AQ264" s="987"/>
      <c r="AR264" s="907"/>
      <c r="AS264" s="907"/>
      <c r="AT264" s="967" t="s">
        <v>123</v>
      </c>
      <c r="AU264" s="967" t="s">
        <v>123</v>
      </c>
      <c r="AV264" s="967" t="s">
        <v>123</v>
      </c>
      <c r="AW264" s="907" t="s">
        <v>123</v>
      </c>
      <c r="AX264" s="907" t="s">
        <v>123</v>
      </c>
      <c r="AY264" s="907" t="s">
        <v>123</v>
      </c>
      <c r="AZ264" s="936" t="s">
        <v>123</v>
      </c>
      <c r="BA264" s="935" t="s">
        <v>123</v>
      </c>
      <c r="BB264" s="1000"/>
      <c r="BC264" s="1001"/>
      <c r="BD264" s="936"/>
      <c r="BE264" s="907"/>
      <c r="BF264" s="1002" t="str">
        <f>IF($BC264="","",SUMIF(portfolio.!$A$4:$A623,BC264,portfolio.!$AN$4:$AN623))</f>
        <v/>
      </c>
      <c r="BG264" s="936" t="s">
        <v>123</v>
      </c>
      <c r="BH264" s="907" t="s">
        <v>123</v>
      </c>
      <c r="BI264" s="935" t="s">
        <v>123</v>
      </c>
      <c r="BJ264" s="1003"/>
      <c r="BK264" s="907" t="s">
        <v>123</v>
      </c>
      <c r="BL264" s="907" t="s">
        <v>123</v>
      </c>
      <c r="BM264" s="907" t="s">
        <v>123</v>
      </c>
      <c r="BN264" s="1004" t="s">
        <v>123</v>
      </c>
      <c r="BO264" s="907" t="str">
        <f t="shared" si="6"/>
        <v/>
      </c>
      <c r="BP264" s="907" t="str">
        <f t="shared" si="7"/>
        <v/>
      </c>
      <c r="BQ264" s="907" t="str">
        <f t="shared" si="8"/>
        <v/>
      </c>
      <c r="BR264" s="1004" t="str">
        <f t="shared" si="9"/>
        <v/>
      </c>
      <c r="BS264" s="1005" t="str">
        <f t="shared" si="10"/>
        <v/>
      </c>
      <c r="BT264" s="1006" t="s">
        <v>123</v>
      </c>
      <c r="BU264" s="1002" t="s">
        <v>123</v>
      </c>
      <c r="BV264" s="1006" t="s">
        <v>123</v>
      </c>
      <c r="BW264" s="1007"/>
    </row>
    <row r="265">
      <c r="A265" s="624">
        <v>242.0</v>
      </c>
      <c r="B265" s="1008"/>
      <c r="C265" s="989"/>
      <c r="D265" s="851"/>
      <c r="E265" s="990"/>
      <c r="F265" s="991"/>
      <c r="G265" s="991"/>
      <c r="H265" s="992"/>
      <c r="I265" s="993"/>
      <c r="J265" s="993"/>
      <c r="K265" s="993"/>
      <c r="L265" s="993"/>
      <c r="M265" s="993"/>
      <c r="N265" s="993"/>
      <c r="O265" s="993"/>
      <c r="P265" s="993"/>
      <c r="Q265" s="993"/>
      <c r="R265" s="993"/>
      <c r="S265" s="936"/>
      <c r="T265" s="998"/>
      <c r="U265" s="935"/>
      <c r="V265" s="935"/>
      <c r="W265" s="949" t="str">
        <f>IF(AND($S$20,NOT($U$20)),IF($V265:$V623="","",SUMIF(portfolio.!$A$4:$A623,V265,portfolio.!$AN$4:$AN623)),"")</f>
        <v/>
      </c>
      <c r="X265" s="998"/>
      <c r="Y265" s="936"/>
      <c r="Z265" s="936" t="s">
        <v>123</v>
      </c>
      <c r="AA265" s="936" t="s">
        <v>123</v>
      </c>
      <c r="AB265" s="936" t="s">
        <v>123</v>
      </c>
      <c r="AC265" s="907" t="s">
        <v>123</v>
      </c>
      <c r="AD265" s="999"/>
      <c r="AE265" s="936"/>
      <c r="AF265" s="936"/>
      <c r="AG265" s="936"/>
      <c r="AH265" s="936"/>
      <c r="AI265" s="999"/>
      <c r="AJ265" s="935"/>
      <c r="AK265" s="966"/>
      <c r="AL265" s="949"/>
      <c r="AM265" s="949" t="s">
        <v>123</v>
      </c>
      <c r="AN265" s="949"/>
      <c r="AO265" s="999"/>
      <c r="AP265" s="936"/>
      <c r="AQ265" s="987"/>
      <c r="AR265" s="907"/>
      <c r="AS265" s="907"/>
      <c r="AT265" s="967" t="s">
        <v>123</v>
      </c>
      <c r="AU265" s="967" t="s">
        <v>123</v>
      </c>
      <c r="AV265" s="967" t="s">
        <v>123</v>
      </c>
      <c r="AW265" s="907" t="s">
        <v>123</v>
      </c>
      <c r="AX265" s="907" t="s">
        <v>123</v>
      </c>
      <c r="AY265" s="907" t="s">
        <v>123</v>
      </c>
      <c r="AZ265" s="936" t="s">
        <v>123</v>
      </c>
      <c r="BA265" s="935" t="s">
        <v>123</v>
      </c>
      <c r="BB265" s="1000"/>
      <c r="BC265" s="1001"/>
      <c r="BD265" s="936"/>
      <c r="BE265" s="907"/>
      <c r="BF265" s="1002" t="str">
        <f>IF($BC265="","",SUMIF(portfolio.!$A$4:$A623,BC265,portfolio.!$AN$4:$AN623))</f>
        <v/>
      </c>
      <c r="BG265" s="936" t="s">
        <v>123</v>
      </c>
      <c r="BH265" s="907" t="s">
        <v>123</v>
      </c>
      <c r="BI265" s="935" t="s">
        <v>123</v>
      </c>
      <c r="BJ265" s="1003"/>
      <c r="BK265" s="907" t="s">
        <v>123</v>
      </c>
      <c r="BL265" s="907" t="s">
        <v>123</v>
      </c>
      <c r="BM265" s="907" t="s">
        <v>123</v>
      </c>
      <c r="BN265" s="1004" t="s">
        <v>123</v>
      </c>
      <c r="BO265" s="907" t="str">
        <f t="shared" si="6"/>
        <v/>
      </c>
      <c r="BP265" s="907" t="str">
        <f t="shared" si="7"/>
        <v/>
      </c>
      <c r="BQ265" s="907" t="str">
        <f t="shared" si="8"/>
        <v/>
      </c>
      <c r="BR265" s="1004" t="str">
        <f t="shared" si="9"/>
        <v/>
      </c>
      <c r="BS265" s="1005" t="str">
        <f t="shared" si="10"/>
        <v/>
      </c>
      <c r="BT265" s="1006" t="s">
        <v>123</v>
      </c>
      <c r="BU265" s="1002" t="s">
        <v>123</v>
      </c>
      <c r="BV265" s="1006" t="s">
        <v>123</v>
      </c>
      <c r="BW265" s="1007"/>
    </row>
    <row r="266">
      <c r="A266" s="624">
        <v>243.0</v>
      </c>
      <c r="B266" s="1008"/>
      <c r="C266" s="989"/>
      <c r="D266" s="851"/>
      <c r="E266" s="990"/>
      <c r="F266" s="991"/>
      <c r="G266" s="991"/>
      <c r="H266" s="992"/>
      <c r="I266" s="993"/>
      <c r="J266" s="993"/>
      <c r="K266" s="993"/>
      <c r="L266" s="993"/>
      <c r="M266" s="993"/>
      <c r="N266" s="993"/>
      <c r="O266" s="993"/>
      <c r="P266" s="993"/>
      <c r="Q266" s="993"/>
      <c r="R266" s="993"/>
      <c r="S266" s="936"/>
      <c r="T266" s="998"/>
      <c r="U266" s="935"/>
      <c r="V266" s="935"/>
      <c r="W266" s="949" t="str">
        <f>IF(AND($S$20,NOT($U$20)),IF($V266:$V623="","",SUMIF(portfolio.!$A$4:$A623,V266,portfolio.!$AN$4:$AN623)),"")</f>
        <v/>
      </c>
      <c r="X266" s="998"/>
      <c r="Y266" s="936"/>
      <c r="Z266" s="936" t="s">
        <v>123</v>
      </c>
      <c r="AA266" s="936" t="s">
        <v>123</v>
      </c>
      <c r="AB266" s="936" t="s">
        <v>123</v>
      </c>
      <c r="AC266" s="907" t="s">
        <v>123</v>
      </c>
      <c r="AD266" s="999"/>
      <c r="AE266" s="936"/>
      <c r="AF266" s="936"/>
      <c r="AG266" s="936"/>
      <c r="AH266" s="936"/>
      <c r="AI266" s="999"/>
      <c r="AJ266" s="935"/>
      <c r="AK266" s="966"/>
      <c r="AL266" s="949"/>
      <c r="AM266" s="949" t="s">
        <v>123</v>
      </c>
      <c r="AN266" s="949"/>
      <c r="AO266" s="999"/>
      <c r="AP266" s="936"/>
      <c r="AQ266" s="987"/>
      <c r="AR266" s="907"/>
      <c r="AS266" s="907"/>
      <c r="AT266" s="967" t="s">
        <v>123</v>
      </c>
      <c r="AU266" s="967" t="s">
        <v>123</v>
      </c>
      <c r="AV266" s="967" t="s">
        <v>123</v>
      </c>
      <c r="AW266" s="907" t="s">
        <v>123</v>
      </c>
      <c r="AX266" s="907" t="s">
        <v>123</v>
      </c>
      <c r="AY266" s="907" t="s">
        <v>123</v>
      </c>
      <c r="AZ266" s="936" t="s">
        <v>123</v>
      </c>
      <c r="BA266" s="935" t="s">
        <v>123</v>
      </c>
      <c r="BB266" s="1000"/>
      <c r="BC266" s="1001"/>
      <c r="BD266" s="936"/>
      <c r="BE266" s="907"/>
      <c r="BF266" s="1002" t="str">
        <f>IF($BC266="","",SUMIF(portfolio.!$A$4:$A623,BC266,portfolio.!$AN$4:$AN623))</f>
        <v/>
      </c>
      <c r="BG266" s="936" t="s">
        <v>123</v>
      </c>
      <c r="BH266" s="907" t="s">
        <v>123</v>
      </c>
      <c r="BI266" s="935" t="s">
        <v>123</v>
      </c>
      <c r="BJ266" s="1003"/>
      <c r="BK266" s="907" t="s">
        <v>123</v>
      </c>
      <c r="BL266" s="907" t="s">
        <v>123</v>
      </c>
      <c r="BM266" s="907" t="s">
        <v>123</v>
      </c>
      <c r="BN266" s="1004" t="s">
        <v>123</v>
      </c>
      <c r="BO266" s="907" t="str">
        <f t="shared" si="6"/>
        <v/>
      </c>
      <c r="BP266" s="907" t="str">
        <f t="shared" si="7"/>
        <v/>
      </c>
      <c r="BQ266" s="907" t="str">
        <f t="shared" si="8"/>
        <v/>
      </c>
      <c r="BR266" s="1004" t="str">
        <f t="shared" si="9"/>
        <v/>
      </c>
      <c r="BS266" s="1005" t="str">
        <f t="shared" si="10"/>
        <v/>
      </c>
      <c r="BT266" s="1006" t="s">
        <v>123</v>
      </c>
      <c r="BU266" s="1002" t="s">
        <v>123</v>
      </c>
      <c r="BV266" s="1006" t="s">
        <v>123</v>
      </c>
      <c r="BW266" s="1007"/>
    </row>
    <row r="267">
      <c r="A267" s="624">
        <v>244.0</v>
      </c>
      <c r="B267" s="1008"/>
      <c r="C267" s="989"/>
      <c r="D267" s="851"/>
      <c r="E267" s="990"/>
      <c r="F267" s="991"/>
      <c r="G267" s="991"/>
      <c r="H267" s="992"/>
      <c r="I267" s="993"/>
      <c r="J267" s="993"/>
      <c r="K267" s="993"/>
      <c r="L267" s="993"/>
      <c r="M267" s="993"/>
      <c r="N267" s="993"/>
      <c r="O267" s="993"/>
      <c r="P267" s="993"/>
      <c r="Q267" s="993"/>
      <c r="R267" s="993"/>
      <c r="S267" s="936"/>
      <c r="T267" s="998"/>
      <c r="U267" s="935"/>
      <c r="V267" s="935"/>
      <c r="W267" s="949" t="str">
        <f>IF(AND($S$20,NOT($U$20)),IF($V267:$V623="","",SUMIF(portfolio.!$A$4:$A623,V267,portfolio.!$AN$4:$AN623)),"")</f>
        <v/>
      </c>
      <c r="X267" s="998"/>
      <c r="Y267" s="936"/>
      <c r="Z267" s="936" t="s">
        <v>123</v>
      </c>
      <c r="AA267" s="936" t="s">
        <v>123</v>
      </c>
      <c r="AB267" s="936" t="s">
        <v>123</v>
      </c>
      <c r="AC267" s="907" t="s">
        <v>123</v>
      </c>
      <c r="AD267" s="999"/>
      <c r="AE267" s="936"/>
      <c r="AF267" s="936"/>
      <c r="AG267" s="936"/>
      <c r="AH267" s="936"/>
      <c r="AI267" s="999"/>
      <c r="AJ267" s="935"/>
      <c r="AK267" s="966"/>
      <c r="AL267" s="949"/>
      <c r="AM267" s="949" t="s">
        <v>123</v>
      </c>
      <c r="AN267" s="949"/>
      <c r="AO267" s="999"/>
      <c r="AP267" s="936"/>
      <c r="AQ267" s="987"/>
      <c r="AR267" s="907"/>
      <c r="AS267" s="907"/>
      <c r="AT267" s="967" t="s">
        <v>123</v>
      </c>
      <c r="AU267" s="967" t="s">
        <v>123</v>
      </c>
      <c r="AV267" s="967" t="s">
        <v>123</v>
      </c>
      <c r="AW267" s="907" t="s">
        <v>123</v>
      </c>
      <c r="AX267" s="907" t="s">
        <v>123</v>
      </c>
      <c r="AY267" s="907" t="s">
        <v>123</v>
      </c>
      <c r="AZ267" s="936" t="s">
        <v>123</v>
      </c>
      <c r="BA267" s="935" t="s">
        <v>123</v>
      </c>
      <c r="BB267" s="1000"/>
      <c r="BC267" s="1001"/>
      <c r="BD267" s="936"/>
      <c r="BE267" s="907"/>
      <c r="BF267" s="1002" t="str">
        <f>IF($BC267="","",SUMIF(portfolio.!$A$4:$A623,BC267,portfolio.!$AN$4:$AN623))</f>
        <v/>
      </c>
      <c r="BG267" s="936" t="s">
        <v>123</v>
      </c>
      <c r="BH267" s="907" t="s">
        <v>123</v>
      </c>
      <c r="BI267" s="935" t="s">
        <v>123</v>
      </c>
      <c r="BJ267" s="1003"/>
      <c r="BK267" s="907" t="s">
        <v>123</v>
      </c>
      <c r="BL267" s="907" t="s">
        <v>123</v>
      </c>
      <c r="BM267" s="907" t="s">
        <v>123</v>
      </c>
      <c r="BN267" s="1004" t="s">
        <v>123</v>
      </c>
      <c r="BO267" s="907" t="str">
        <f t="shared" si="6"/>
        <v/>
      </c>
      <c r="BP267" s="907" t="str">
        <f t="shared" si="7"/>
        <v/>
      </c>
      <c r="BQ267" s="907" t="str">
        <f t="shared" si="8"/>
        <v/>
      </c>
      <c r="BR267" s="1004" t="str">
        <f t="shared" si="9"/>
        <v/>
      </c>
      <c r="BS267" s="1005" t="str">
        <f t="shared" si="10"/>
        <v/>
      </c>
      <c r="BT267" s="1006" t="s">
        <v>123</v>
      </c>
      <c r="BU267" s="1002" t="s">
        <v>123</v>
      </c>
      <c r="BV267" s="1006" t="s">
        <v>123</v>
      </c>
      <c r="BW267" s="1007"/>
    </row>
    <row r="268">
      <c r="A268" s="624">
        <v>245.0</v>
      </c>
      <c r="B268" s="1008"/>
      <c r="C268" s="989"/>
      <c r="D268" s="851"/>
      <c r="E268" s="990"/>
      <c r="F268" s="991"/>
      <c r="G268" s="991"/>
      <c r="H268" s="992"/>
      <c r="I268" s="993"/>
      <c r="J268" s="993"/>
      <c r="K268" s="993"/>
      <c r="L268" s="993"/>
      <c r="M268" s="993"/>
      <c r="N268" s="993"/>
      <c r="O268" s="993"/>
      <c r="P268" s="993"/>
      <c r="Q268" s="993"/>
      <c r="R268" s="993"/>
      <c r="S268" s="936"/>
      <c r="T268" s="998"/>
      <c r="U268" s="935"/>
      <c r="V268" s="935"/>
      <c r="W268" s="949" t="str">
        <f>IF(AND($S$20,NOT($U$20)),IF($V268:$V623="","",SUMIF(portfolio.!$A$4:$A623,V268,portfolio.!$AN$4:$AN623)),"")</f>
        <v/>
      </c>
      <c r="X268" s="998"/>
      <c r="Y268" s="936"/>
      <c r="Z268" s="936" t="s">
        <v>123</v>
      </c>
      <c r="AA268" s="936" t="s">
        <v>123</v>
      </c>
      <c r="AB268" s="936" t="s">
        <v>123</v>
      </c>
      <c r="AC268" s="907" t="s">
        <v>123</v>
      </c>
      <c r="AD268" s="999"/>
      <c r="AE268" s="936"/>
      <c r="AF268" s="936"/>
      <c r="AG268" s="936"/>
      <c r="AH268" s="936"/>
      <c r="AI268" s="999"/>
      <c r="AJ268" s="935"/>
      <c r="AK268" s="966"/>
      <c r="AL268" s="949"/>
      <c r="AM268" s="949" t="s">
        <v>123</v>
      </c>
      <c r="AN268" s="949"/>
      <c r="AO268" s="999"/>
      <c r="AP268" s="936"/>
      <c r="AQ268" s="987"/>
      <c r="AR268" s="907"/>
      <c r="AS268" s="907"/>
      <c r="AT268" s="967" t="s">
        <v>123</v>
      </c>
      <c r="AU268" s="967" t="s">
        <v>123</v>
      </c>
      <c r="AV268" s="967" t="s">
        <v>123</v>
      </c>
      <c r="AW268" s="907" t="s">
        <v>123</v>
      </c>
      <c r="AX268" s="907" t="s">
        <v>123</v>
      </c>
      <c r="AY268" s="907" t="s">
        <v>123</v>
      </c>
      <c r="AZ268" s="936" t="s">
        <v>123</v>
      </c>
      <c r="BA268" s="935" t="s">
        <v>123</v>
      </c>
      <c r="BB268" s="1000"/>
      <c r="BC268" s="1001"/>
      <c r="BD268" s="936"/>
      <c r="BE268" s="907"/>
      <c r="BF268" s="1002" t="str">
        <f>IF($BC268="","",SUMIF(portfolio.!$A$4:$A623,BC268,portfolio.!$AN$4:$AN623))</f>
        <v/>
      </c>
      <c r="BG268" s="936" t="s">
        <v>123</v>
      </c>
      <c r="BH268" s="907" t="s">
        <v>123</v>
      </c>
      <c r="BI268" s="935" t="s">
        <v>123</v>
      </c>
      <c r="BJ268" s="1003"/>
      <c r="BK268" s="907" t="s">
        <v>123</v>
      </c>
      <c r="BL268" s="907" t="s">
        <v>123</v>
      </c>
      <c r="BM268" s="907" t="s">
        <v>123</v>
      </c>
      <c r="BN268" s="1004" t="s">
        <v>123</v>
      </c>
      <c r="BO268" s="907" t="str">
        <f t="shared" si="6"/>
        <v/>
      </c>
      <c r="BP268" s="907" t="str">
        <f t="shared" si="7"/>
        <v/>
      </c>
      <c r="BQ268" s="907" t="str">
        <f t="shared" si="8"/>
        <v/>
      </c>
      <c r="BR268" s="1004" t="str">
        <f t="shared" si="9"/>
        <v/>
      </c>
      <c r="BS268" s="1005" t="str">
        <f t="shared" si="10"/>
        <v/>
      </c>
      <c r="BT268" s="1006" t="s">
        <v>123</v>
      </c>
      <c r="BU268" s="1002" t="s">
        <v>123</v>
      </c>
      <c r="BV268" s="1006" t="s">
        <v>123</v>
      </c>
      <c r="BW268" s="1007"/>
    </row>
    <row r="269">
      <c r="A269" s="624">
        <v>246.0</v>
      </c>
      <c r="B269" s="1008"/>
      <c r="C269" s="989"/>
      <c r="D269" s="851"/>
      <c r="E269" s="990"/>
      <c r="F269" s="991"/>
      <c r="G269" s="991"/>
      <c r="H269" s="992"/>
      <c r="I269" s="993"/>
      <c r="J269" s="993"/>
      <c r="K269" s="993"/>
      <c r="L269" s="993"/>
      <c r="M269" s="993"/>
      <c r="N269" s="993"/>
      <c r="O269" s="993"/>
      <c r="P269" s="993"/>
      <c r="Q269" s="993"/>
      <c r="R269" s="993"/>
      <c r="S269" s="936"/>
      <c r="T269" s="998"/>
      <c r="U269" s="935"/>
      <c r="V269" s="935"/>
      <c r="W269" s="949" t="str">
        <f>IF(AND($S$20,NOT($U$20)),IF($V269:$V623="","",SUMIF(portfolio.!$A$4:$A623,V269,portfolio.!$AN$4:$AN623)),"")</f>
        <v/>
      </c>
      <c r="X269" s="998"/>
      <c r="Y269" s="936"/>
      <c r="Z269" s="936" t="s">
        <v>123</v>
      </c>
      <c r="AA269" s="936" t="s">
        <v>123</v>
      </c>
      <c r="AB269" s="936" t="s">
        <v>123</v>
      </c>
      <c r="AC269" s="907" t="s">
        <v>123</v>
      </c>
      <c r="AD269" s="999"/>
      <c r="AE269" s="936"/>
      <c r="AF269" s="936"/>
      <c r="AG269" s="936"/>
      <c r="AH269" s="936"/>
      <c r="AI269" s="999"/>
      <c r="AJ269" s="935"/>
      <c r="AK269" s="966"/>
      <c r="AL269" s="949"/>
      <c r="AM269" s="949" t="s">
        <v>123</v>
      </c>
      <c r="AN269" s="949"/>
      <c r="AO269" s="999"/>
      <c r="AP269" s="936"/>
      <c r="AQ269" s="987"/>
      <c r="AR269" s="907"/>
      <c r="AS269" s="907"/>
      <c r="AT269" s="967" t="s">
        <v>123</v>
      </c>
      <c r="AU269" s="967" t="s">
        <v>123</v>
      </c>
      <c r="AV269" s="967" t="s">
        <v>123</v>
      </c>
      <c r="AW269" s="907" t="s">
        <v>123</v>
      </c>
      <c r="AX269" s="907" t="s">
        <v>123</v>
      </c>
      <c r="AY269" s="907" t="s">
        <v>123</v>
      </c>
      <c r="AZ269" s="936" t="s">
        <v>123</v>
      </c>
      <c r="BA269" s="935" t="s">
        <v>123</v>
      </c>
      <c r="BB269" s="1000"/>
      <c r="BC269" s="1001"/>
      <c r="BD269" s="936"/>
      <c r="BE269" s="907"/>
      <c r="BF269" s="1002" t="str">
        <f>IF($BC269="","",SUMIF(portfolio.!$A$4:$A623,BC269,portfolio.!$AN$4:$AN623))</f>
        <v/>
      </c>
      <c r="BG269" s="936" t="s">
        <v>123</v>
      </c>
      <c r="BH269" s="907" t="s">
        <v>123</v>
      </c>
      <c r="BI269" s="935" t="s">
        <v>123</v>
      </c>
      <c r="BJ269" s="1003"/>
      <c r="BK269" s="907" t="s">
        <v>123</v>
      </c>
      <c r="BL269" s="907" t="s">
        <v>123</v>
      </c>
      <c r="BM269" s="907" t="s">
        <v>123</v>
      </c>
      <c r="BN269" s="1004" t="s">
        <v>123</v>
      </c>
      <c r="BO269" s="907" t="str">
        <f t="shared" si="6"/>
        <v/>
      </c>
      <c r="BP269" s="907" t="str">
        <f t="shared" si="7"/>
        <v/>
      </c>
      <c r="BQ269" s="907" t="str">
        <f t="shared" si="8"/>
        <v/>
      </c>
      <c r="BR269" s="1004" t="str">
        <f t="shared" si="9"/>
        <v/>
      </c>
      <c r="BS269" s="1005" t="str">
        <f t="shared" si="10"/>
        <v/>
      </c>
      <c r="BT269" s="1006" t="s">
        <v>123</v>
      </c>
      <c r="BU269" s="1002" t="s">
        <v>123</v>
      </c>
      <c r="BV269" s="1006" t="s">
        <v>123</v>
      </c>
      <c r="BW269" s="1007"/>
    </row>
    <row r="270">
      <c r="A270" s="624">
        <v>247.0</v>
      </c>
      <c r="B270" s="1008"/>
      <c r="C270" s="989"/>
      <c r="D270" s="851"/>
      <c r="E270" s="990"/>
      <c r="F270" s="991"/>
      <c r="G270" s="991"/>
      <c r="H270" s="992"/>
      <c r="I270" s="993"/>
      <c r="J270" s="993"/>
      <c r="K270" s="993"/>
      <c r="L270" s="993"/>
      <c r="M270" s="993"/>
      <c r="N270" s="993"/>
      <c r="O270" s="993"/>
      <c r="P270" s="993"/>
      <c r="Q270" s="993"/>
      <c r="R270" s="993"/>
      <c r="S270" s="936"/>
      <c r="T270" s="998"/>
      <c r="U270" s="935"/>
      <c r="V270" s="935"/>
      <c r="W270" s="949" t="str">
        <f>IF(AND($S$20,NOT($U$20)),IF($V270:$V623="","",SUMIF(portfolio.!$A$4:$A623,V270,portfolio.!$AN$4:$AN623)),"")</f>
        <v/>
      </c>
      <c r="X270" s="998"/>
      <c r="Y270" s="936"/>
      <c r="Z270" s="936" t="s">
        <v>123</v>
      </c>
      <c r="AA270" s="936" t="s">
        <v>123</v>
      </c>
      <c r="AB270" s="936" t="s">
        <v>123</v>
      </c>
      <c r="AC270" s="907" t="s">
        <v>123</v>
      </c>
      <c r="AD270" s="999"/>
      <c r="AE270" s="936"/>
      <c r="AF270" s="936"/>
      <c r="AG270" s="936"/>
      <c r="AH270" s="936"/>
      <c r="AI270" s="999"/>
      <c r="AJ270" s="935"/>
      <c r="AK270" s="966"/>
      <c r="AL270" s="949"/>
      <c r="AM270" s="949" t="s">
        <v>123</v>
      </c>
      <c r="AN270" s="949"/>
      <c r="AO270" s="999"/>
      <c r="AP270" s="936"/>
      <c r="AQ270" s="987"/>
      <c r="AR270" s="907"/>
      <c r="AS270" s="907"/>
      <c r="AT270" s="967" t="s">
        <v>123</v>
      </c>
      <c r="AU270" s="967" t="s">
        <v>123</v>
      </c>
      <c r="AV270" s="967" t="s">
        <v>123</v>
      </c>
      <c r="AW270" s="907" t="s">
        <v>123</v>
      </c>
      <c r="AX270" s="907" t="s">
        <v>123</v>
      </c>
      <c r="AY270" s="907" t="s">
        <v>123</v>
      </c>
      <c r="AZ270" s="936" t="s">
        <v>123</v>
      </c>
      <c r="BA270" s="935" t="s">
        <v>123</v>
      </c>
      <c r="BB270" s="1000"/>
      <c r="BC270" s="1001"/>
      <c r="BD270" s="936"/>
      <c r="BE270" s="907"/>
      <c r="BF270" s="1002" t="str">
        <f>IF($BC270="","",SUMIF(portfolio.!$A$4:$A623,BC270,portfolio.!$AN$4:$AN623))</f>
        <v/>
      </c>
      <c r="BG270" s="936" t="s">
        <v>123</v>
      </c>
      <c r="BH270" s="907" t="s">
        <v>123</v>
      </c>
      <c r="BI270" s="935" t="s">
        <v>123</v>
      </c>
      <c r="BJ270" s="1003"/>
      <c r="BK270" s="907" t="s">
        <v>123</v>
      </c>
      <c r="BL270" s="907" t="s">
        <v>123</v>
      </c>
      <c r="BM270" s="907" t="s">
        <v>123</v>
      </c>
      <c r="BN270" s="1004" t="s">
        <v>123</v>
      </c>
      <c r="BO270" s="907" t="str">
        <f t="shared" si="6"/>
        <v/>
      </c>
      <c r="BP270" s="907" t="str">
        <f t="shared" si="7"/>
        <v/>
      </c>
      <c r="BQ270" s="907" t="str">
        <f t="shared" si="8"/>
        <v/>
      </c>
      <c r="BR270" s="1004" t="str">
        <f t="shared" si="9"/>
        <v/>
      </c>
      <c r="BS270" s="1005" t="str">
        <f t="shared" si="10"/>
        <v/>
      </c>
      <c r="BT270" s="1006" t="s">
        <v>123</v>
      </c>
      <c r="BU270" s="1002" t="s">
        <v>123</v>
      </c>
      <c r="BV270" s="1006" t="s">
        <v>123</v>
      </c>
      <c r="BW270" s="1007"/>
    </row>
    <row r="271">
      <c r="A271" s="624">
        <v>248.0</v>
      </c>
      <c r="B271" s="1008"/>
      <c r="C271" s="989"/>
      <c r="D271" s="851"/>
      <c r="E271" s="990"/>
      <c r="F271" s="991"/>
      <c r="G271" s="991"/>
      <c r="H271" s="992"/>
      <c r="I271" s="993"/>
      <c r="J271" s="993"/>
      <c r="K271" s="993"/>
      <c r="L271" s="993"/>
      <c r="M271" s="993"/>
      <c r="N271" s="993"/>
      <c r="O271" s="993"/>
      <c r="P271" s="993"/>
      <c r="Q271" s="993"/>
      <c r="R271" s="993"/>
      <c r="S271" s="936"/>
      <c r="T271" s="998"/>
      <c r="U271" s="935"/>
      <c r="V271" s="935"/>
      <c r="W271" s="949" t="str">
        <f>IF(AND($S$20,NOT($U$20)),IF($V271:$V623="","",SUMIF(portfolio.!$A$4:$A623,V271,portfolio.!$AN$4:$AN623)),"")</f>
        <v/>
      </c>
      <c r="X271" s="998"/>
      <c r="Y271" s="936"/>
      <c r="Z271" s="936" t="s">
        <v>123</v>
      </c>
      <c r="AA271" s="936" t="s">
        <v>123</v>
      </c>
      <c r="AB271" s="936" t="s">
        <v>123</v>
      </c>
      <c r="AC271" s="907" t="s">
        <v>123</v>
      </c>
      <c r="AD271" s="999"/>
      <c r="AE271" s="936"/>
      <c r="AF271" s="936"/>
      <c r="AG271" s="936"/>
      <c r="AH271" s="936"/>
      <c r="AI271" s="999"/>
      <c r="AJ271" s="935"/>
      <c r="AK271" s="966"/>
      <c r="AL271" s="949"/>
      <c r="AM271" s="949" t="s">
        <v>123</v>
      </c>
      <c r="AN271" s="949"/>
      <c r="AO271" s="999"/>
      <c r="AP271" s="936"/>
      <c r="AQ271" s="987"/>
      <c r="AR271" s="907"/>
      <c r="AS271" s="907"/>
      <c r="AT271" s="967" t="s">
        <v>123</v>
      </c>
      <c r="AU271" s="967" t="s">
        <v>123</v>
      </c>
      <c r="AV271" s="967" t="s">
        <v>123</v>
      </c>
      <c r="AW271" s="907" t="s">
        <v>123</v>
      </c>
      <c r="AX271" s="907" t="s">
        <v>123</v>
      </c>
      <c r="AY271" s="907" t="s">
        <v>123</v>
      </c>
      <c r="AZ271" s="936" t="s">
        <v>123</v>
      </c>
      <c r="BA271" s="935" t="s">
        <v>123</v>
      </c>
      <c r="BB271" s="1000"/>
      <c r="BC271" s="1001"/>
      <c r="BD271" s="936"/>
      <c r="BE271" s="907"/>
      <c r="BF271" s="1002" t="str">
        <f>IF($BC271="","",SUMIF(portfolio.!$A$4:$A623,BC271,portfolio.!$AN$4:$AN623))</f>
        <v/>
      </c>
      <c r="BG271" s="936" t="s">
        <v>123</v>
      </c>
      <c r="BH271" s="907" t="s">
        <v>123</v>
      </c>
      <c r="BI271" s="935" t="s">
        <v>123</v>
      </c>
      <c r="BJ271" s="1003"/>
      <c r="BK271" s="907" t="s">
        <v>123</v>
      </c>
      <c r="BL271" s="907" t="s">
        <v>123</v>
      </c>
      <c r="BM271" s="907" t="s">
        <v>123</v>
      </c>
      <c r="BN271" s="1004" t="s">
        <v>123</v>
      </c>
      <c r="BO271" s="907" t="str">
        <f t="shared" si="6"/>
        <v/>
      </c>
      <c r="BP271" s="907" t="str">
        <f t="shared" si="7"/>
        <v/>
      </c>
      <c r="BQ271" s="907" t="str">
        <f t="shared" si="8"/>
        <v/>
      </c>
      <c r="BR271" s="1004" t="str">
        <f t="shared" si="9"/>
        <v/>
      </c>
      <c r="BS271" s="1005" t="str">
        <f t="shared" si="10"/>
        <v/>
      </c>
      <c r="BT271" s="1006" t="s">
        <v>123</v>
      </c>
      <c r="BU271" s="1002" t="s">
        <v>123</v>
      </c>
      <c r="BV271" s="1006" t="s">
        <v>123</v>
      </c>
      <c r="BW271" s="1007"/>
    </row>
    <row r="272">
      <c r="A272" s="624">
        <v>249.0</v>
      </c>
      <c r="B272" s="1008"/>
      <c r="C272" s="989"/>
      <c r="D272" s="851"/>
      <c r="E272" s="990"/>
      <c r="F272" s="991"/>
      <c r="G272" s="991"/>
      <c r="H272" s="992"/>
      <c r="I272" s="993"/>
      <c r="J272" s="993"/>
      <c r="K272" s="993"/>
      <c r="L272" s="993"/>
      <c r="M272" s="993"/>
      <c r="N272" s="993"/>
      <c r="O272" s="993"/>
      <c r="P272" s="993"/>
      <c r="Q272" s="993"/>
      <c r="R272" s="993"/>
      <c r="S272" s="936"/>
      <c r="T272" s="998"/>
      <c r="U272" s="935"/>
      <c r="V272" s="935"/>
      <c r="W272" s="949" t="str">
        <f>IF(AND($S$20,NOT($U$20)),IF($V272:$V623="","",SUMIF(portfolio.!$A$4:$A623,V272,portfolio.!$AN$4:$AN623)),"")</f>
        <v/>
      </c>
      <c r="X272" s="998"/>
      <c r="Y272" s="936"/>
      <c r="Z272" s="936" t="s">
        <v>123</v>
      </c>
      <c r="AA272" s="936" t="s">
        <v>123</v>
      </c>
      <c r="AB272" s="936" t="s">
        <v>123</v>
      </c>
      <c r="AC272" s="907" t="s">
        <v>123</v>
      </c>
      <c r="AD272" s="999"/>
      <c r="AE272" s="936"/>
      <c r="AF272" s="936"/>
      <c r="AG272" s="936"/>
      <c r="AH272" s="936"/>
      <c r="AI272" s="999"/>
      <c r="AJ272" s="935"/>
      <c r="AK272" s="966"/>
      <c r="AL272" s="949"/>
      <c r="AM272" s="949" t="s">
        <v>123</v>
      </c>
      <c r="AN272" s="949"/>
      <c r="AO272" s="999"/>
      <c r="AP272" s="936"/>
      <c r="AQ272" s="987"/>
      <c r="AR272" s="907"/>
      <c r="AS272" s="907"/>
      <c r="AT272" s="967" t="s">
        <v>123</v>
      </c>
      <c r="AU272" s="967" t="s">
        <v>123</v>
      </c>
      <c r="AV272" s="967" t="s">
        <v>123</v>
      </c>
      <c r="AW272" s="907" t="s">
        <v>123</v>
      </c>
      <c r="AX272" s="907" t="s">
        <v>123</v>
      </c>
      <c r="AY272" s="907" t="s">
        <v>123</v>
      </c>
      <c r="AZ272" s="936" t="s">
        <v>123</v>
      </c>
      <c r="BA272" s="935" t="s">
        <v>123</v>
      </c>
      <c r="BB272" s="1000"/>
      <c r="BC272" s="1001"/>
      <c r="BD272" s="936"/>
      <c r="BE272" s="907"/>
      <c r="BF272" s="1002" t="str">
        <f>IF($BC272="","",SUMIF(portfolio.!$A$4:$A623,BC272,portfolio.!$AN$4:$AN623))</f>
        <v/>
      </c>
      <c r="BG272" s="936" t="s">
        <v>123</v>
      </c>
      <c r="BH272" s="907" t="s">
        <v>123</v>
      </c>
      <c r="BI272" s="935" t="s">
        <v>123</v>
      </c>
      <c r="BJ272" s="1003"/>
      <c r="BK272" s="907" t="s">
        <v>123</v>
      </c>
      <c r="BL272" s="907" t="s">
        <v>123</v>
      </c>
      <c r="BM272" s="907" t="s">
        <v>123</v>
      </c>
      <c r="BN272" s="1004" t="s">
        <v>123</v>
      </c>
      <c r="BO272" s="907" t="str">
        <f t="shared" si="6"/>
        <v/>
      </c>
      <c r="BP272" s="907" t="str">
        <f t="shared" si="7"/>
        <v/>
      </c>
      <c r="BQ272" s="907" t="str">
        <f t="shared" si="8"/>
        <v/>
      </c>
      <c r="BR272" s="1004" t="str">
        <f t="shared" si="9"/>
        <v/>
      </c>
      <c r="BS272" s="1005" t="str">
        <f t="shared" si="10"/>
        <v/>
      </c>
      <c r="BT272" s="1006" t="s">
        <v>123</v>
      </c>
      <c r="BU272" s="1002" t="s">
        <v>123</v>
      </c>
      <c r="BV272" s="1006" t="s">
        <v>123</v>
      </c>
      <c r="BW272" s="1007"/>
    </row>
    <row r="273">
      <c r="A273" s="624">
        <v>250.0</v>
      </c>
      <c r="B273" s="1008"/>
      <c r="C273" s="989"/>
      <c r="D273" s="851"/>
      <c r="E273" s="990"/>
      <c r="F273" s="991"/>
      <c r="G273" s="991"/>
      <c r="H273" s="992"/>
      <c r="I273" s="993"/>
      <c r="J273" s="993"/>
      <c r="K273" s="993"/>
      <c r="L273" s="993"/>
      <c r="M273" s="993"/>
      <c r="N273" s="993"/>
      <c r="O273" s="993"/>
      <c r="P273" s="993"/>
      <c r="Q273" s="993"/>
      <c r="R273" s="993"/>
      <c r="S273" s="936"/>
      <c r="T273" s="998"/>
      <c r="U273" s="935"/>
      <c r="V273" s="935"/>
      <c r="W273" s="949" t="str">
        <f>IF(AND($S$20,NOT($U$20)),IF($V273:$V623="","",SUMIF(portfolio.!$A$4:$A623,V273,portfolio.!$AN$4:$AN623)),"")</f>
        <v/>
      </c>
      <c r="X273" s="998"/>
      <c r="Y273" s="936"/>
      <c r="Z273" s="936" t="s">
        <v>123</v>
      </c>
      <c r="AA273" s="936" t="s">
        <v>123</v>
      </c>
      <c r="AB273" s="936" t="s">
        <v>123</v>
      </c>
      <c r="AC273" s="907" t="s">
        <v>123</v>
      </c>
      <c r="AD273" s="999"/>
      <c r="AE273" s="936"/>
      <c r="AF273" s="936"/>
      <c r="AG273" s="936"/>
      <c r="AH273" s="936"/>
      <c r="AI273" s="999"/>
      <c r="AJ273" s="935"/>
      <c r="AK273" s="966"/>
      <c r="AL273" s="949"/>
      <c r="AM273" s="949" t="s">
        <v>123</v>
      </c>
      <c r="AN273" s="949"/>
      <c r="AO273" s="999"/>
      <c r="AP273" s="936"/>
      <c r="AQ273" s="987"/>
      <c r="AR273" s="907"/>
      <c r="AS273" s="907"/>
      <c r="AT273" s="967" t="s">
        <v>123</v>
      </c>
      <c r="AU273" s="967" t="s">
        <v>123</v>
      </c>
      <c r="AV273" s="967" t="s">
        <v>123</v>
      </c>
      <c r="AW273" s="907" t="s">
        <v>123</v>
      </c>
      <c r="AX273" s="907" t="s">
        <v>123</v>
      </c>
      <c r="AY273" s="907" t="s">
        <v>123</v>
      </c>
      <c r="AZ273" s="936" t="s">
        <v>123</v>
      </c>
      <c r="BA273" s="935" t="s">
        <v>123</v>
      </c>
      <c r="BB273" s="1000"/>
      <c r="BC273" s="1001"/>
      <c r="BD273" s="936"/>
      <c r="BE273" s="907"/>
      <c r="BF273" s="1002" t="str">
        <f>IF($BC273="","",SUMIF(portfolio.!$A$4:$A623,BC273,portfolio.!$AN$4:$AN623))</f>
        <v/>
      </c>
      <c r="BG273" s="936" t="s">
        <v>123</v>
      </c>
      <c r="BH273" s="907" t="s">
        <v>123</v>
      </c>
      <c r="BI273" s="935" t="s">
        <v>123</v>
      </c>
      <c r="BJ273" s="1003"/>
      <c r="BK273" s="907" t="s">
        <v>123</v>
      </c>
      <c r="BL273" s="907" t="s">
        <v>123</v>
      </c>
      <c r="BM273" s="907" t="s">
        <v>123</v>
      </c>
      <c r="BN273" s="1004" t="s">
        <v>123</v>
      </c>
      <c r="BO273" s="907" t="str">
        <f t="shared" si="6"/>
        <v/>
      </c>
      <c r="BP273" s="907" t="str">
        <f t="shared" si="7"/>
        <v/>
      </c>
      <c r="BQ273" s="907" t="str">
        <f t="shared" si="8"/>
        <v/>
      </c>
      <c r="BR273" s="1004" t="str">
        <f t="shared" si="9"/>
        <v/>
      </c>
      <c r="BS273" s="1005" t="str">
        <f t="shared" si="10"/>
        <v/>
      </c>
      <c r="BT273" s="1006" t="s">
        <v>123</v>
      </c>
      <c r="BU273" s="1002" t="s">
        <v>123</v>
      </c>
      <c r="BV273" s="1006" t="s">
        <v>123</v>
      </c>
      <c r="BW273" s="1007"/>
    </row>
    <row r="274">
      <c r="A274" s="624">
        <v>251.0</v>
      </c>
      <c r="B274" s="1008"/>
      <c r="C274" s="989"/>
      <c r="D274" s="851"/>
      <c r="E274" s="990"/>
      <c r="F274" s="991"/>
      <c r="G274" s="991"/>
      <c r="H274" s="992"/>
      <c r="I274" s="993"/>
      <c r="J274" s="993"/>
      <c r="K274" s="993"/>
      <c r="L274" s="993"/>
      <c r="M274" s="993"/>
      <c r="N274" s="993"/>
      <c r="O274" s="993"/>
      <c r="P274" s="993"/>
      <c r="Q274" s="993"/>
      <c r="R274" s="993"/>
      <c r="S274" s="936"/>
      <c r="T274" s="998"/>
      <c r="U274" s="935"/>
      <c r="V274" s="935"/>
      <c r="W274" s="949" t="str">
        <f>IF(AND($S$20,NOT($U$20)),IF($V274:$V623="","",SUMIF(portfolio.!$A$4:$A623,V274,portfolio.!$AN$4:$AN623)),"")</f>
        <v/>
      </c>
      <c r="X274" s="998"/>
      <c r="Y274" s="936"/>
      <c r="Z274" s="936" t="s">
        <v>123</v>
      </c>
      <c r="AA274" s="936" t="s">
        <v>123</v>
      </c>
      <c r="AB274" s="936" t="s">
        <v>123</v>
      </c>
      <c r="AC274" s="907" t="s">
        <v>123</v>
      </c>
      <c r="AD274" s="999"/>
      <c r="AE274" s="936"/>
      <c r="AF274" s="936"/>
      <c r="AG274" s="936"/>
      <c r="AH274" s="936"/>
      <c r="AI274" s="999"/>
      <c r="AJ274" s="935"/>
      <c r="AK274" s="966"/>
      <c r="AL274" s="949"/>
      <c r="AM274" s="949" t="s">
        <v>123</v>
      </c>
      <c r="AN274" s="949"/>
      <c r="AO274" s="999"/>
      <c r="AP274" s="936"/>
      <c r="AQ274" s="987"/>
      <c r="AR274" s="907"/>
      <c r="AS274" s="907"/>
      <c r="AT274" s="967" t="s">
        <v>123</v>
      </c>
      <c r="AU274" s="967" t="s">
        <v>123</v>
      </c>
      <c r="AV274" s="967" t="s">
        <v>123</v>
      </c>
      <c r="AW274" s="907" t="s">
        <v>123</v>
      </c>
      <c r="AX274" s="907" t="s">
        <v>123</v>
      </c>
      <c r="AY274" s="907" t="s">
        <v>123</v>
      </c>
      <c r="AZ274" s="936" t="s">
        <v>123</v>
      </c>
      <c r="BA274" s="935" t="s">
        <v>123</v>
      </c>
      <c r="BB274" s="1000"/>
      <c r="BC274" s="1001"/>
      <c r="BD274" s="936"/>
      <c r="BE274" s="907"/>
      <c r="BF274" s="1002" t="str">
        <f>IF($BC274="","",SUMIF(portfolio.!$A$4:$A623,BC274,portfolio.!$AN$4:$AN623))</f>
        <v/>
      </c>
      <c r="BG274" s="936" t="s">
        <v>123</v>
      </c>
      <c r="BH274" s="907" t="s">
        <v>123</v>
      </c>
      <c r="BI274" s="935" t="s">
        <v>123</v>
      </c>
      <c r="BJ274" s="1003"/>
      <c r="BK274" s="907" t="s">
        <v>123</v>
      </c>
      <c r="BL274" s="907" t="s">
        <v>123</v>
      </c>
      <c r="BM274" s="907" t="s">
        <v>123</v>
      </c>
      <c r="BN274" s="1004" t="s">
        <v>123</v>
      </c>
      <c r="BO274" s="907" t="str">
        <f t="shared" si="6"/>
        <v/>
      </c>
      <c r="BP274" s="907" t="str">
        <f t="shared" si="7"/>
        <v/>
      </c>
      <c r="BQ274" s="907" t="str">
        <f t="shared" si="8"/>
        <v/>
      </c>
      <c r="BR274" s="1004" t="str">
        <f t="shared" si="9"/>
        <v/>
      </c>
      <c r="BS274" s="1005" t="str">
        <f t="shared" si="10"/>
        <v/>
      </c>
      <c r="BT274" s="1006" t="s">
        <v>123</v>
      </c>
      <c r="BU274" s="1002" t="s">
        <v>123</v>
      </c>
      <c r="BV274" s="1006" t="s">
        <v>123</v>
      </c>
      <c r="BW274" s="1007"/>
    </row>
    <row r="275">
      <c r="A275" s="624">
        <v>252.0</v>
      </c>
      <c r="B275" s="1008"/>
      <c r="C275" s="989"/>
      <c r="D275" s="851"/>
      <c r="E275" s="990"/>
      <c r="F275" s="991"/>
      <c r="G275" s="991"/>
      <c r="H275" s="992"/>
      <c r="I275" s="993"/>
      <c r="J275" s="993"/>
      <c r="K275" s="993"/>
      <c r="L275" s="993"/>
      <c r="M275" s="993"/>
      <c r="N275" s="993"/>
      <c r="O275" s="993"/>
      <c r="P275" s="993"/>
      <c r="Q275" s="993"/>
      <c r="R275" s="993"/>
      <c r="S275" s="936"/>
      <c r="T275" s="998"/>
      <c r="U275" s="935"/>
      <c r="V275" s="935"/>
      <c r="W275" s="949" t="str">
        <f>IF(AND($S$20,NOT($U$20)),IF($V275:$V623="","",SUMIF(portfolio.!$A$4:$A623,V275,portfolio.!$AN$4:$AN623)),"")</f>
        <v/>
      </c>
      <c r="X275" s="998"/>
      <c r="Y275" s="936"/>
      <c r="Z275" s="936" t="s">
        <v>123</v>
      </c>
      <c r="AA275" s="936" t="s">
        <v>123</v>
      </c>
      <c r="AB275" s="936" t="s">
        <v>123</v>
      </c>
      <c r="AC275" s="907" t="s">
        <v>123</v>
      </c>
      <c r="AD275" s="999"/>
      <c r="AE275" s="936"/>
      <c r="AF275" s="936"/>
      <c r="AG275" s="936"/>
      <c r="AH275" s="936"/>
      <c r="AI275" s="999"/>
      <c r="AJ275" s="935"/>
      <c r="AK275" s="966"/>
      <c r="AL275" s="949"/>
      <c r="AM275" s="949" t="s">
        <v>123</v>
      </c>
      <c r="AN275" s="949"/>
      <c r="AO275" s="999"/>
      <c r="AP275" s="936"/>
      <c r="AQ275" s="987"/>
      <c r="AR275" s="907"/>
      <c r="AS275" s="907"/>
      <c r="AT275" s="967" t="s">
        <v>123</v>
      </c>
      <c r="AU275" s="967" t="s">
        <v>123</v>
      </c>
      <c r="AV275" s="967" t="s">
        <v>123</v>
      </c>
      <c r="AW275" s="907" t="s">
        <v>123</v>
      </c>
      <c r="AX275" s="907" t="s">
        <v>123</v>
      </c>
      <c r="AY275" s="907" t="s">
        <v>123</v>
      </c>
      <c r="AZ275" s="936" t="s">
        <v>123</v>
      </c>
      <c r="BA275" s="935" t="s">
        <v>123</v>
      </c>
      <c r="BB275" s="1000"/>
      <c r="BC275" s="1001"/>
      <c r="BD275" s="936"/>
      <c r="BE275" s="907"/>
      <c r="BF275" s="1002" t="str">
        <f>IF($BC275="","",SUMIF(portfolio.!$A$4:$A623,BC275,portfolio.!$AN$4:$AN623))</f>
        <v/>
      </c>
      <c r="BG275" s="936" t="s">
        <v>123</v>
      </c>
      <c r="BH275" s="907" t="s">
        <v>123</v>
      </c>
      <c r="BI275" s="935" t="s">
        <v>123</v>
      </c>
      <c r="BJ275" s="1003"/>
      <c r="BK275" s="907" t="s">
        <v>123</v>
      </c>
      <c r="BL275" s="907" t="s">
        <v>123</v>
      </c>
      <c r="BM275" s="907" t="s">
        <v>123</v>
      </c>
      <c r="BN275" s="1004" t="s">
        <v>123</v>
      </c>
      <c r="BO275" s="907" t="str">
        <f t="shared" si="6"/>
        <v/>
      </c>
      <c r="BP275" s="907" t="str">
        <f t="shared" si="7"/>
        <v/>
      </c>
      <c r="BQ275" s="907" t="str">
        <f t="shared" si="8"/>
        <v/>
      </c>
      <c r="BR275" s="1004" t="str">
        <f t="shared" si="9"/>
        <v/>
      </c>
      <c r="BS275" s="1005" t="str">
        <f t="shared" si="10"/>
        <v/>
      </c>
      <c r="BT275" s="1006" t="s">
        <v>123</v>
      </c>
      <c r="BU275" s="1002" t="s">
        <v>123</v>
      </c>
      <c r="BV275" s="1006" t="s">
        <v>123</v>
      </c>
      <c r="BW275" s="1007"/>
    </row>
    <row r="276">
      <c r="A276" s="624">
        <v>253.0</v>
      </c>
      <c r="B276" s="1008"/>
      <c r="C276" s="989"/>
      <c r="D276" s="851"/>
      <c r="E276" s="990"/>
      <c r="F276" s="991"/>
      <c r="G276" s="991"/>
      <c r="H276" s="992"/>
      <c r="I276" s="993"/>
      <c r="J276" s="993"/>
      <c r="K276" s="993"/>
      <c r="L276" s="993"/>
      <c r="M276" s="993"/>
      <c r="N276" s="993"/>
      <c r="O276" s="993"/>
      <c r="P276" s="993"/>
      <c r="Q276" s="993"/>
      <c r="R276" s="993"/>
      <c r="S276" s="936"/>
      <c r="T276" s="998"/>
      <c r="U276" s="935"/>
      <c r="V276" s="935"/>
      <c r="W276" s="949" t="str">
        <f>IF(AND($S$20,NOT($U$20)),IF($V276:$V623="","",SUMIF(portfolio.!$A$4:$A623,V276,portfolio.!$AN$4:$AN623)),"")</f>
        <v/>
      </c>
      <c r="X276" s="998"/>
      <c r="Y276" s="936"/>
      <c r="Z276" s="936" t="s">
        <v>123</v>
      </c>
      <c r="AA276" s="936" t="s">
        <v>123</v>
      </c>
      <c r="AB276" s="936" t="s">
        <v>123</v>
      </c>
      <c r="AC276" s="907" t="s">
        <v>123</v>
      </c>
      <c r="AD276" s="999"/>
      <c r="AE276" s="936"/>
      <c r="AF276" s="936"/>
      <c r="AG276" s="936"/>
      <c r="AH276" s="936"/>
      <c r="AI276" s="999"/>
      <c r="AJ276" s="935"/>
      <c r="AK276" s="966"/>
      <c r="AL276" s="949"/>
      <c r="AM276" s="949" t="s">
        <v>123</v>
      </c>
      <c r="AN276" s="949"/>
      <c r="AO276" s="999"/>
      <c r="AP276" s="936"/>
      <c r="AQ276" s="987"/>
      <c r="AR276" s="907"/>
      <c r="AS276" s="907"/>
      <c r="AT276" s="967" t="s">
        <v>123</v>
      </c>
      <c r="AU276" s="967" t="s">
        <v>123</v>
      </c>
      <c r="AV276" s="967" t="s">
        <v>123</v>
      </c>
      <c r="AW276" s="907" t="s">
        <v>123</v>
      </c>
      <c r="AX276" s="907" t="s">
        <v>123</v>
      </c>
      <c r="AY276" s="907" t="s">
        <v>123</v>
      </c>
      <c r="AZ276" s="936" t="s">
        <v>123</v>
      </c>
      <c r="BA276" s="935" t="s">
        <v>123</v>
      </c>
      <c r="BB276" s="1000"/>
      <c r="BC276" s="1001"/>
      <c r="BD276" s="936"/>
      <c r="BE276" s="907"/>
      <c r="BF276" s="1002" t="str">
        <f>IF($BC276="","",SUMIF(portfolio.!$A$4:$A623,BC276,portfolio.!$AN$4:$AN623))</f>
        <v/>
      </c>
      <c r="BG276" s="936" t="s">
        <v>123</v>
      </c>
      <c r="BH276" s="907" t="s">
        <v>123</v>
      </c>
      <c r="BI276" s="935" t="s">
        <v>123</v>
      </c>
      <c r="BJ276" s="1003"/>
      <c r="BK276" s="907" t="s">
        <v>123</v>
      </c>
      <c r="BL276" s="907" t="s">
        <v>123</v>
      </c>
      <c r="BM276" s="907" t="s">
        <v>123</v>
      </c>
      <c r="BN276" s="1004" t="s">
        <v>123</v>
      </c>
      <c r="BO276" s="907" t="str">
        <f t="shared" si="6"/>
        <v/>
      </c>
      <c r="BP276" s="907" t="str">
        <f t="shared" si="7"/>
        <v/>
      </c>
      <c r="BQ276" s="907" t="str">
        <f t="shared" si="8"/>
        <v/>
      </c>
      <c r="BR276" s="1004" t="str">
        <f t="shared" si="9"/>
        <v/>
      </c>
      <c r="BS276" s="1005" t="str">
        <f t="shared" si="10"/>
        <v/>
      </c>
      <c r="BT276" s="1006" t="s">
        <v>123</v>
      </c>
      <c r="BU276" s="1002" t="s">
        <v>123</v>
      </c>
      <c r="BV276" s="1006" t="s">
        <v>123</v>
      </c>
      <c r="BW276" s="1007"/>
    </row>
    <row r="277">
      <c r="A277" s="624">
        <v>254.0</v>
      </c>
      <c r="B277" s="1008"/>
      <c r="C277" s="989"/>
      <c r="D277" s="851"/>
      <c r="E277" s="990"/>
      <c r="F277" s="991"/>
      <c r="G277" s="991"/>
      <c r="H277" s="992"/>
      <c r="I277" s="993"/>
      <c r="J277" s="993"/>
      <c r="K277" s="993"/>
      <c r="L277" s="993"/>
      <c r="M277" s="993"/>
      <c r="N277" s="993"/>
      <c r="O277" s="993"/>
      <c r="P277" s="993"/>
      <c r="Q277" s="993"/>
      <c r="R277" s="993"/>
      <c r="S277" s="936"/>
      <c r="T277" s="998"/>
      <c r="U277" s="935"/>
      <c r="V277" s="935"/>
      <c r="W277" s="949" t="str">
        <f>IF(AND($S$20,NOT($U$20)),IF($V277:$V623="","",SUMIF(portfolio.!$A$4:$A623,V277,portfolio.!$AN$4:$AN623)),"")</f>
        <v/>
      </c>
      <c r="X277" s="998"/>
      <c r="Y277" s="936"/>
      <c r="Z277" s="936" t="s">
        <v>123</v>
      </c>
      <c r="AA277" s="936" t="s">
        <v>123</v>
      </c>
      <c r="AB277" s="936" t="s">
        <v>123</v>
      </c>
      <c r="AC277" s="907" t="s">
        <v>123</v>
      </c>
      <c r="AD277" s="999"/>
      <c r="AE277" s="936"/>
      <c r="AF277" s="936"/>
      <c r="AG277" s="936"/>
      <c r="AH277" s="936"/>
      <c r="AI277" s="999"/>
      <c r="AJ277" s="935"/>
      <c r="AK277" s="966"/>
      <c r="AL277" s="949"/>
      <c r="AM277" s="949" t="s">
        <v>123</v>
      </c>
      <c r="AN277" s="949"/>
      <c r="AO277" s="999"/>
      <c r="AP277" s="936"/>
      <c r="AQ277" s="987"/>
      <c r="AR277" s="907"/>
      <c r="AS277" s="907"/>
      <c r="AT277" s="967" t="s">
        <v>123</v>
      </c>
      <c r="AU277" s="967" t="s">
        <v>123</v>
      </c>
      <c r="AV277" s="967" t="s">
        <v>123</v>
      </c>
      <c r="AW277" s="907" t="s">
        <v>123</v>
      </c>
      <c r="AX277" s="907" t="s">
        <v>123</v>
      </c>
      <c r="AY277" s="907" t="s">
        <v>123</v>
      </c>
      <c r="AZ277" s="936" t="s">
        <v>123</v>
      </c>
      <c r="BA277" s="935" t="s">
        <v>123</v>
      </c>
      <c r="BB277" s="1000"/>
      <c r="BC277" s="1001"/>
      <c r="BD277" s="936"/>
      <c r="BE277" s="907"/>
      <c r="BF277" s="1002" t="str">
        <f>IF($BC277="","",SUMIF(portfolio.!$A$4:$A623,BC277,portfolio.!$AN$4:$AN623))</f>
        <v/>
      </c>
      <c r="BG277" s="936" t="s">
        <v>123</v>
      </c>
      <c r="BH277" s="907" t="s">
        <v>123</v>
      </c>
      <c r="BI277" s="935" t="s">
        <v>123</v>
      </c>
      <c r="BJ277" s="1003"/>
      <c r="BK277" s="907" t="s">
        <v>123</v>
      </c>
      <c r="BL277" s="907" t="s">
        <v>123</v>
      </c>
      <c r="BM277" s="907" t="s">
        <v>123</v>
      </c>
      <c r="BN277" s="1004" t="s">
        <v>123</v>
      </c>
      <c r="BO277" s="907" t="str">
        <f t="shared" si="6"/>
        <v/>
      </c>
      <c r="BP277" s="907" t="str">
        <f t="shared" si="7"/>
        <v/>
      </c>
      <c r="BQ277" s="907" t="str">
        <f t="shared" si="8"/>
        <v/>
      </c>
      <c r="BR277" s="1004" t="str">
        <f t="shared" si="9"/>
        <v/>
      </c>
      <c r="BS277" s="1005" t="str">
        <f t="shared" si="10"/>
        <v/>
      </c>
      <c r="BT277" s="1006" t="s">
        <v>123</v>
      </c>
      <c r="BU277" s="1002" t="s">
        <v>123</v>
      </c>
      <c r="BV277" s="1006" t="s">
        <v>123</v>
      </c>
      <c r="BW277" s="1007"/>
    </row>
    <row r="278">
      <c r="A278" s="624">
        <v>255.0</v>
      </c>
      <c r="B278" s="1008"/>
      <c r="C278" s="989"/>
      <c r="D278" s="851"/>
      <c r="E278" s="990"/>
      <c r="F278" s="991"/>
      <c r="G278" s="991"/>
      <c r="H278" s="992"/>
      <c r="I278" s="993"/>
      <c r="J278" s="993"/>
      <c r="K278" s="993"/>
      <c r="L278" s="993"/>
      <c r="M278" s="993"/>
      <c r="N278" s="993"/>
      <c r="O278" s="993"/>
      <c r="P278" s="993"/>
      <c r="Q278" s="993"/>
      <c r="R278" s="993"/>
      <c r="S278" s="936"/>
      <c r="T278" s="998"/>
      <c r="U278" s="935"/>
      <c r="V278" s="935"/>
      <c r="W278" s="949" t="str">
        <f>IF(AND($S$20,NOT($U$20)),IF($V278:$V623="","",SUMIF(portfolio.!$A$4:$A623,V278,portfolio.!$AN$4:$AN623)),"")</f>
        <v/>
      </c>
      <c r="X278" s="998"/>
      <c r="Y278" s="936"/>
      <c r="Z278" s="936" t="s">
        <v>123</v>
      </c>
      <c r="AA278" s="936" t="s">
        <v>123</v>
      </c>
      <c r="AB278" s="936" t="s">
        <v>123</v>
      </c>
      <c r="AC278" s="907" t="s">
        <v>123</v>
      </c>
      <c r="AD278" s="999"/>
      <c r="AE278" s="936"/>
      <c r="AF278" s="936"/>
      <c r="AG278" s="936"/>
      <c r="AH278" s="936"/>
      <c r="AI278" s="999"/>
      <c r="AJ278" s="935"/>
      <c r="AK278" s="966"/>
      <c r="AL278" s="949"/>
      <c r="AM278" s="949" t="s">
        <v>123</v>
      </c>
      <c r="AN278" s="949"/>
      <c r="AO278" s="999"/>
      <c r="AP278" s="936"/>
      <c r="AQ278" s="987"/>
      <c r="AR278" s="907"/>
      <c r="AS278" s="907"/>
      <c r="AT278" s="967" t="s">
        <v>123</v>
      </c>
      <c r="AU278" s="967" t="s">
        <v>123</v>
      </c>
      <c r="AV278" s="967" t="s">
        <v>123</v>
      </c>
      <c r="AW278" s="907" t="s">
        <v>123</v>
      </c>
      <c r="AX278" s="907" t="s">
        <v>123</v>
      </c>
      <c r="AY278" s="907" t="s">
        <v>123</v>
      </c>
      <c r="AZ278" s="936" t="s">
        <v>123</v>
      </c>
      <c r="BA278" s="935" t="s">
        <v>123</v>
      </c>
      <c r="BB278" s="1000"/>
      <c r="BC278" s="1001"/>
      <c r="BD278" s="936"/>
      <c r="BE278" s="907"/>
      <c r="BF278" s="1002" t="str">
        <f>IF($BC278="","",SUMIF(portfolio.!$A$4:$A623,BC278,portfolio.!$AN$4:$AN623))</f>
        <v/>
      </c>
      <c r="BG278" s="936" t="s">
        <v>123</v>
      </c>
      <c r="BH278" s="907" t="s">
        <v>123</v>
      </c>
      <c r="BI278" s="935" t="s">
        <v>123</v>
      </c>
      <c r="BJ278" s="1003"/>
      <c r="BK278" s="907" t="s">
        <v>123</v>
      </c>
      <c r="BL278" s="907" t="s">
        <v>123</v>
      </c>
      <c r="BM278" s="907" t="s">
        <v>123</v>
      </c>
      <c r="BN278" s="1004" t="s">
        <v>123</v>
      </c>
      <c r="BO278" s="907" t="str">
        <f t="shared" si="6"/>
        <v/>
      </c>
      <c r="BP278" s="907" t="str">
        <f t="shared" si="7"/>
        <v/>
      </c>
      <c r="BQ278" s="907" t="str">
        <f t="shared" si="8"/>
        <v/>
      </c>
      <c r="BR278" s="1004" t="str">
        <f t="shared" si="9"/>
        <v/>
      </c>
      <c r="BS278" s="1005" t="str">
        <f t="shared" si="10"/>
        <v/>
      </c>
      <c r="BT278" s="1006" t="s">
        <v>123</v>
      </c>
      <c r="BU278" s="1002" t="s">
        <v>123</v>
      </c>
      <c r="BV278" s="1006" t="s">
        <v>123</v>
      </c>
      <c r="BW278" s="1007"/>
    </row>
    <row r="279">
      <c r="A279" s="624">
        <v>256.0</v>
      </c>
      <c r="B279" s="1008"/>
      <c r="C279" s="989"/>
      <c r="D279" s="851"/>
      <c r="E279" s="990"/>
      <c r="F279" s="991"/>
      <c r="G279" s="991"/>
      <c r="H279" s="992"/>
      <c r="I279" s="993"/>
      <c r="J279" s="993"/>
      <c r="K279" s="993"/>
      <c r="L279" s="993"/>
      <c r="M279" s="993"/>
      <c r="N279" s="993"/>
      <c r="O279" s="993"/>
      <c r="P279" s="993"/>
      <c r="Q279" s="993"/>
      <c r="R279" s="993"/>
      <c r="S279" s="936"/>
      <c r="T279" s="998"/>
      <c r="U279" s="935"/>
      <c r="V279" s="935"/>
      <c r="W279" s="949" t="str">
        <f>IF(AND($S$20,NOT($U$20)),IF($V279:$V623="","",SUMIF(portfolio.!$A$4:$A623,V279,portfolio.!$AN$4:$AN623)),"")</f>
        <v/>
      </c>
      <c r="X279" s="998"/>
      <c r="Y279" s="936"/>
      <c r="Z279" s="936" t="s">
        <v>123</v>
      </c>
      <c r="AA279" s="936" t="s">
        <v>123</v>
      </c>
      <c r="AB279" s="936" t="s">
        <v>123</v>
      </c>
      <c r="AC279" s="907" t="s">
        <v>123</v>
      </c>
      <c r="AD279" s="999"/>
      <c r="AE279" s="936"/>
      <c r="AF279" s="936"/>
      <c r="AG279" s="936"/>
      <c r="AH279" s="936"/>
      <c r="AI279" s="999"/>
      <c r="AJ279" s="935"/>
      <c r="AK279" s="966"/>
      <c r="AL279" s="949"/>
      <c r="AM279" s="949" t="s">
        <v>123</v>
      </c>
      <c r="AN279" s="949"/>
      <c r="AO279" s="999"/>
      <c r="AP279" s="936"/>
      <c r="AQ279" s="987"/>
      <c r="AR279" s="907"/>
      <c r="AS279" s="907"/>
      <c r="AT279" s="967" t="s">
        <v>123</v>
      </c>
      <c r="AU279" s="967" t="s">
        <v>123</v>
      </c>
      <c r="AV279" s="967" t="s">
        <v>123</v>
      </c>
      <c r="AW279" s="907" t="s">
        <v>123</v>
      </c>
      <c r="AX279" s="907" t="s">
        <v>123</v>
      </c>
      <c r="AY279" s="907" t="s">
        <v>123</v>
      </c>
      <c r="AZ279" s="936" t="s">
        <v>123</v>
      </c>
      <c r="BA279" s="935" t="s">
        <v>123</v>
      </c>
      <c r="BB279" s="1000"/>
      <c r="BC279" s="1001"/>
      <c r="BD279" s="936"/>
      <c r="BE279" s="907"/>
      <c r="BF279" s="1002" t="str">
        <f>IF($BC279="","",SUMIF(portfolio.!$A$4:$A623,BC279,portfolio.!$AN$4:$AN623))</f>
        <v/>
      </c>
      <c r="BG279" s="936" t="s">
        <v>123</v>
      </c>
      <c r="BH279" s="907" t="s">
        <v>123</v>
      </c>
      <c r="BI279" s="935" t="s">
        <v>123</v>
      </c>
      <c r="BJ279" s="1003"/>
      <c r="BK279" s="907" t="s">
        <v>123</v>
      </c>
      <c r="BL279" s="907" t="s">
        <v>123</v>
      </c>
      <c r="BM279" s="907" t="s">
        <v>123</v>
      </c>
      <c r="BN279" s="1004" t="s">
        <v>123</v>
      </c>
      <c r="BO279" s="907" t="str">
        <f t="shared" si="6"/>
        <v/>
      </c>
      <c r="BP279" s="907" t="str">
        <f t="shared" si="7"/>
        <v/>
      </c>
      <c r="BQ279" s="907" t="str">
        <f t="shared" si="8"/>
        <v/>
      </c>
      <c r="BR279" s="1004" t="str">
        <f t="shared" si="9"/>
        <v/>
      </c>
      <c r="BS279" s="1005" t="str">
        <f t="shared" si="10"/>
        <v/>
      </c>
      <c r="BT279" s="1006" t="s">
        <v>123</v>
      </c>
      <c r="BU279" s="1002" t="s">
        <v>123</v>
      </c>
      <c r="BV279" s="1006" t="s">
        <v>123</v>
      </c>
      <c r="BW279" s="1007"/>
    </row>
    <row r="280">
      <c r="A280" s="624">
        <v>257.0</v>
      </c>
      <c r="B280" s="1008"/>
      <c r="C280" s="989"/>
      <c r="D280" s="851"/>
      <c r="E280" s="990"/>
      <c r="F280" s="991"/>
      <c r="G280" s="991"/>
      <c r="H280" s="992"/>
      <c r="I280" s="993"/>
      <c r="J280" s="993"/>
      <c r="K280" s="993"/>
      <c r="L280" s="993"/>
      <c r="M280" s="993"/>
      <c r="N280" s="993"/>
      <c r="O280" s="993"/>
      <c r="P280" s="993"/>
      <c r="Q280" s="993"/>
      <c r="R280" s="993"/>
      <c r="S280" s="936"/>
      <c r="T280" s="998"/>
      <c r="U280" s="935"/>
      <c r="V280" s="935"/>
      <c r="W280" s="949" t="str">
        <f>IF(AND($S$20,NOT($U$20)),IF($V280:$V623="","",SUMIF(portfolio.!$A$4:$A623,V280,portfolio.!$AN$4:$AN623)),"")</f>
        <v/>
      </c>
      <c r="X280" s="998"/>
      <c r="Y280" s="936"/>
      <c r="Z280" s="936" t="s">
        <v>123</v>
      </c>
      <c r="AA280" s="936" t="s">
        <v>123</v>
      </c>
      <c r="AB280" s="936" t="s">
        <v>123</v>
      </c>
      <c r="AC280" s="907" t="s">
        <v>123</v>
      </c>
      <c r="AD280" s="999"/>
      <c r="AE280" s="936"/>
      <c r="AF280" s="936"/>
      <c r="AG280" s="936"/>
      <c r="AH280" s="936"/>
      <c r="AI280" s="999"/>
      <c r="AJ280" s="935"/>
      <c r="AK280" s="966"/>
      <c r="AL280" s="949"/>
      <c r="AM280" s="949" t="s">
        <v>123</v>
      </c>
      <c r="AN280" s="949"/>
      <c r="AO280" s="999"/>
      <c r="AP280" s="936"/>
      <c r="AQ280" s="987"/>
      <c r="AR280" s="907"/>
      <c r="AS280" s="907"/>
      <c r="AT280" s="967" t="s">
        <v>123</v>
      </c>
      <c r="AU280" s="967" t="s">
        <v>123</v>
      </c>
      <c r="AV280" s="967" t="s">
        <v>123</v>
      </c>
      <c r="AW280" s="907" t="s">
        <v>123</v>
      </c>
      <c r="AX280" s="907" t="s">
        <v>123</v>
      </c>
      <c r="AY280" s="907" t="s">
        <v>123</v>
      </c>
      <c r="AZ280" s="936" t="s">
        <v>123</v>
      </c>
      <c r="BA280" s="935" t="s">
        <v>123</v>
      </c>
      <c r="BB280" s="1000"/>
      <c r="BC280" s="1001"/>
      <c r="BD280" s="936"/>
      <c r="BE280" s="907"/>
      <c r="BF280" s="1002" t="str">
        <f>IF($BC280="","",SUMIF(portfolio.!$A$4:$A623,BC280,portfolio.!$AN$4:$AN623))</f>
        <v/>
      </c>
      <c r="BG280" s="936" t="s">
        <v>123</v>
      </c>
      <c r="BH280" s="907" t="s">
        <v>123</v>
      </c>
      <c r="BI280" s="935" t="s">
        <v>123</v>
      </c>
      <c r="BJ280" s="1003"/>
      <c r="BK280" s="907" t="s">
        <v>123</v>
      </c>
      <c r="BL280" s="907" t="s">
        <v>123</v>
      </c>
      <c r="BM280" s="907" t="s">
        <v>123</v>
      </c>
      <c r="BN280" s="1004" t="s">
        <v>123</v>
      </c>
      <c r="BO280" s="907" t="str">
        <f t="shared" si="6"/>
        <v/>
      </c>
      <c r="BP280" s="907" t="str">
        <f t="shared" si="7"/>
        <v/>
      </c>
      <c r="BQ280" s="907" t="str">
        <f t="shared" si="8"/>
        <v/>
      </c>
      <c r="BR280" s="1004" t="str">
        <f t="shared" si="9"/>
        <v/>
      </c>
      <c r="BS280" s="1005" t="str">
        <f t="shared" si="10"/>
        <v/>
      </c>
      <c r="BT280" s="1006" t="s">
        <v>123</v>
      </c>
      <c r="BU280" s="1002" t="s">
        <v>123</v>
      </c>
      <c r="BV280" s="1006" t="s">
        <v>123</v>
      </c>
      <c r="BW280" s="1007"/>
    </row>
    <row r="281">
      <c r="A281" s="624">
        <v>258.0</v>
      </c>
      <c r="B281" s="1008"/>
      <c r="C281" s="989"/>
      <c r="D281" s="851"/>
      <c r="E281" s="990"/>
      <c r="F281" s="991"/>
      <c r="G281" s="991"/>
      <c r="H281" s="992"/>
      <c r="I281" s="993"/>
      <c r="J281" s="993"/>
      <c r="K281" s="993"/>
      <c r="L281" s="993"/>
      <c r="M281" s="993"/>
      <c r="N281" s="993"/>
      <c r="O281" s="993"/>
      <c r="P281" s="993"/>
      <c r="Q281" s="993"/>
      <c r="R281" s="993"/>
      <c r="S281" s="936"/>
      <c r="T281" s="998"/>
      <c r="U281" s="935"/>
      <c r="V281" s="935"/>
      <c r="W281" s="949" t="str">
        <f>IF(AND($S$20,NOT($U$20)),IF($V281:$V623="","",SUMIF(portfolio.!$A$4:$A623,V281,portfolio.!$AN$4:$AN623)),"")</f>
        <v/>
      </c>
      <c r="X281" s="998"/>
      <c r="Y281" s="936"/>
      <c r="Z281" s="936" t="s">
        <v>123</v>
      </c>
      <c r="AA281" s="936" t="s">
        <v>123</v>
      </c>
      <c r="AB281" s="936" t="s">
        <v>123</v>
      </c>
      <c r="AC281" s="907" t="s">
        <v>123</v>
      </c>
      <c r="AD281" s="999"/>
      <c r="AE281" s="936"/>
      <c r="AF281" s="936"/>
      <c r="AG281" s="936"/>
      <c r="AH281" s="936"/>
      <c r="AI281" s="999"/>
      <c r="AJ281" s="935"/>
      <c r="AK281" s="966"/>
      <c r="AL281" s="949"/>
      <c r="AM281" s="949" t="s">
        <v>123</v>
      </c>
      <c r="AN281" s="949"/>
      <c r="AO281" s="999"/>
      <c r="AP281" s="936"/>
      <c r="AQ281" s="987"/>
      <c r="AR281" s="907"/>
      <c r="AS281" s="907"/>
      <c r="AT281" s="967" t="s">
        <v>123</v>
      </c>
      <c r="AU281" s="967" t="s">
        <v>123</v>
      </c>
      <c r="AV281" s="967" t="s">
        <v>123</v>
      </c>
      <c r="AW281" s="907" t="s">
        <v>123</v>
      </c>
      <c r="AX281" s="907" t="s">
        <v>123</v>
      </c>
      <c r="AY281" s="907" t="s">
        <v>123</v>
      </c>
      <c r="AZ281" s="936" t="s">
        <v>123</v>
      </c>
      <c r="BA281" s="935" t="s">
        <v>123</v>
      </c>
      <c r="BB281" s="1000"/>
      <c r="BC281" s="1001"/>
      <c r="BD281" s="936"/>
      <c r="BE281" s="907"/>
      <c r="BF281" s="1002" t="str">
        <f>IF($BC281="","",SUMIF(portfolio.!$A$4:$A623,BC281,portfolio.!$AN$4:$AN623))</f>
        <v/>
      </c>
      <c r="BG281" s="936" t="s">
        <v>123</v>
      </c>
      <c r="BH281" s="907" t="s">
        <v>123</v>
      </c>
      <c r="BI281" s="935" t="s">
        <v>123</v>
      </c>
      <c r="BJ281" s="1003"/>
      <c r="BK281" s="907" t="s">
        <v>123</v>
      </c>
      <c r="BL281" s="907" t="s">
        <v>123</v>
      </c>
      <c r="BM281" s="907" t="s">
        <v>123</v>
      </c>
      <c r="BN281" s="1004" t="s">
        <v>123</v>
      </c>
      <c r="BO281" s="907" t="str">
        <f t="shared" si="6"/>
        <v/>
      </c>
      <c r="BP281" s="907" t="str">
        <f t="shared" si="7"/>
        <v/>
      </c>
      <c r="BQ281" s="907" t="str">
        <f t="shared" si="8"/>
        <v/>
      </c>
      <c r="BR281" s="1004" t="str">
        <f t="shared" si="9"/>
        <v/>
      </c>
      <c r="BS281" s="1005" t="str">
        <f t="shared" si="10"/>
        <v/>
      </c>
      <c r="BT281" s="1006" t="s">
        <v>123</v>
      </c>
      <c r="BU281" s="1002" t="s">
        <v>123</v>
      </c>
      <c r="BV281" s="1006" t="s">
        <v>123</v>
      </c>
      <c r="BW281" s="1007"/>
    </row>
    <row r="282">
      <c r="A282" s="624">
        <v>259.0</v>
      </c>
      <c r="B282" s="1008"/>
      <c r="C282" s="989"/>
      <c r="D282" s="851"/>
      <c r="E282" s="990"/>
      <c r="F282" s="991"/>
      <c r="G282" s="991"/>
      <c r="H282" s="992"/>
      <c r="I282" s="993"/>
      <c r="J282" s="993"/>
      <c r="K282" s="993"/>
      <c r="L282" s="993"/>
      <c r="M282" s="993"/>
      <c r="N282" s="993"/>
      <c r="O282" s="993"/>
      <c r="P282" s="993"/>
      <c r="Q282" s="993"/>
      <c r="R282" s="993"/>
      <c r="S282" s="936"/>
      <c r="T282" s="998"/>
      <c r="U282" s="935"/>
      <c r="V282" s="935"/>
      <c r="W282" s="949" t="str">
        <f>IF(AND($S$20,NOT($U$20)),IF($V282:$V623="","",SUMIF(portfolio.!$A$4:$A623,V282,portfolio.!$AN$4:$AN623)),"")</f>
        <v/>
      </c>
      <c r="X282" s="998"/>
      <c r="Y282" s="936"/>
      <c r="Z282" s="936" t="s">
        <v>123</v>
      </c>
      <c r="AA282" s="936" t="s">
        <v>123</v>
      </c>
      <c r="AB282" s="936" t="s">
        <v>123</v>
      </c>
      <c r="AC282" s="907" t="s">
        <v>123</v>
      </c>
      <c r="AD282" s="999"/>
      <c r="AE282" s="936"/>
      <c r="AF282" s="936"/>
      <c r="AG282" s="936"/>
      <c r="AH282" s="936"/>
      <c r="AI282" s="999"/>
      <c r="AJ282" s="935"/>
      <c r="AK282" s="966"/>
      <c r="AL282" s="949"/>
      <c r="AM282" s="949" t="s">
        <v>123</v>
      </c>
      <c r="AN282" s="949"/>
      <c r="AO282" s="999"/>
      <c r="AP282" s="936"/>
      <c r="AQ282" s="987"/>
      <c r="AR282" s="907"/>
      <c r="AS282" s="907"/>
      <c r="AT282" s="967" t="s">
        <v>123</v>
      </c>
      <c r="AU282" s="967" t="s">
        <v>123</v>
      </c>
      <c r="AV282" s="967" t="s">
        <v>123</v>
      </c>
      <c r="AW282" s="907" t="s">
        <v>123</v>
      </c>
      <c r="AX282" s="907" t="s">
        <v>123</v>
      </c>
      <c r="AY282" s="907" t="s">
        <v>123</v>
      </c>
      <c r="AZ282" s="936" t="s">
        <v>123</v>
      </c>
      <c r="BA282" s="935" t="s">
        <v>123</v>
      </c>
      <c r="BB282" s="1000"/>
      <c r="BC282" s="1001"/>
      <c r="BD282" s="936"/>
      <c r="BE282" s="907"/>
      <c r="BF282" s="1002" t="str">
        <f>IF($BC282="","",SUMIF(portfolio.!$A$4:$A623,BC282,portfolio.!$AN$4:$AN623))</f>
        <v/>
      </c>
      <c r="BG282" s="936" t="s">
        <v>123</v>
      </c>
      <c r="BH282" s="907" t="s">
        <v>123</v>
      </c>
      <c r="BI282" s="935" t="s">
        <v>123</v>
      </c>
      <c r="BJ282" s="1003"/>
      <c r="BK282" s="907" t="s">
        <v>123</v>
      </c>
      <c r="BL282" s="907" t="s">
        <v>123</v>
      </c>
      <c r="BM282" s="907" t="s">
        <v>123</v>
      </c>
      <c r="BN282" s="1004" t="s">
        <v>123</v>
      </c>
      <c r="BO282" s="907" t="str">
        <f t="shared" si="6"/>
        <v/>
      </c>
      <c r="BP282" s="907" t="str">
        <f t="shared" si="7"/>
        <v/>
      </c>
      <c r="BQ282" s="907" t="str">
        <f t="shared" si="8"/>
        <v/>
      </c>
      <c r="BR282" s="1004" t="str">
        <f t="shared" si="9"/>
        <v/>
      </c>
      <c r="BS282" s="1005" t="str">
        <f t="shared" si="10"/>
        <v/>
      </c>
      <c r="BT282" s="1006" t="s">
        <v>123</v>
      </c>
      <c r="BU282" s="1002" t="s">
        <v>123</v>
      </c>
      <c r="BV282" s="1006" t="s">
        <v>123</v>
      </c>
      <c r="BW282" s="1007"/>
    </row>
    <row r="283">
      <c r="A283" s="624">
        <v>260.0</v>
      </c>
      <c r="B283" s="1008"/>
      <c r="C283" s="989"/>
      <c r="D283" s="851"/>
      <c r="E283" s="990"/>
      <c r="F283" s="991"/>
      <c r="G283" s="991"/>
      <c r="H283" s="992"/>
      <c r="I283" s="993"/>
      <c r="J283" s="993"/>
      <c r="K283" s="993"/>
      <c r="L283" s="993"/>
      <c r="M283" s="993"/>
      <c r="N283" s="993"/>
      <c r="O283" s="993"/>
      <c r="P283" s="993"/>
      <c r="Q283" s="993"/>
      <c r="R283" s="993"/>
      <c r="S283" s="936"/>
      <c r="T283" s="998"/>
      <c r="U283" s="935"/>
      <c r="V283" s="935"/>
      <c r="W283" s="949" t="str">
        <f>IF(AND($S$20,NOT($U$20)),IF($V283:$V623="","",SUMIF(portfolio.!$A$4:$A623,V283,portfolio.!$AN$4:$AN623)),"")</f>
        <v/>
      </c>
      <c r="X283" s="998"/>
      <c r="Y283" s="936"/>
      <c r="Z283" s="936" t="s">
        <v>123</v>
      </c>
      <c r="AA283" s="936" t="s">
        <v>123</v>
      </c>
      <c r="AB283" s="936" t="s">
        <v>123</v>
      </c>
      <c r="AC283" s="907" t="s">
        <v>123</v>
      </c>
      <c r="AD283" s="999"/>
      <c r="AE283" s="936"/>
      <c r="AF283" s="936"/>
      <c r="AG283" s="936"/>
      <c r="AH283" s="936"/>
      <c r="AI283" s="999"/>
      <c r="AJ283" s="935"/>
      <c r="AK283" s="966"/>
      <c r="AL283" s="949"/>
      <c r="AM283" s="949" t="s">
        <v>123</v>
      </c>
      <c r="AN283" s="949"/>
      <c r="AO283" s="999"/>
      <c r="AP283" s="936"/>
      <c r="AQ283" s="987"/>
      <c r="AR283" s="907"/>
      <c r="AS283" s="907"/>
      <c r="AT283" s="967" t="s">
        <v>123</v>
      </c>
      <c r="AU283" s="967" t="s">
        <v>123</v>
      </c>
      <c r="AV283" s="967" t="s">
        <v>123</v>
      </c>
      <c r="AW283" s="907" t="s">
        <v>123</v>
      </c>
      <c r="AX283" s="907" t="s">
        <v>123</v>
      </c>
      <c r="AY283" s="907" t="s">
        <v>123</v>
      </c>
      <c r="AZ283" s="936" t="s">
        <v>123</v>
      </c>
      <c r="BA283" s="935" t="s">
        <v>123</v>
      </c>
      <c r="BB283" s="1000"/>
      <c r="BC283" s="1001"/>
      <c r="BD283" s="936"/>
      <c r="BE283" s="907"/>
      <c r="BF283" s="1002" t="str">
        <f>IF($BC283="","",SUMIF(portfolio.!$A$4:$A623,BC283,portfolio.!$AN$4:$AN623))</f>
        <v/>
      </c>
      <c r="BG283" s="936" t="s">
        <v>123</v>
      </c>
      <c r="BH283" s="907" t="s">
        <v>123</v>
      </c>
      <c r="BI283" s="935" t="s">
        <v>123</v>
      </c>
      <c r="BJ283" s="1003"/>
      <c r="BK283" s="907" t="s">
        <v>123</v>
      </c>
      <c r="BL283" s="907" t="s">
        <v>123</v>
      </c>
      <c r="BM283" s="907" t="s">
        <v>123</v>
      </c>
      <c r="BN283" s="1004" t="s">
        <v>123</v>
      </c>
      <c r="BO283" s="907" t="str">
        <f t="shared" si="6"/>
        <v/>
      </c>
      <c r="BP283" s="907" t="str">
        <f t="shared" si="7"/>
        <v/>
      </c>
      <c r="BQ283" s="907" t="str">
        <f t="shared" si="8"/>
        <v/>
      </c>
      <c r="BR283" s="1004" t="str">
        <f t="shared" si="9"/>
        <v/>
      </c>
      <c r="BS283" s="1005" t="str">
        <f t="shared" si="10"/>
        <v/>
      </c>
      <c r="BT283" s="1006" t="s">
        <v>123</v>
      </c>
      <c r="BU283" s="1002" t="s">
        <v>123</v>
      </c>
      <c r="BV283" s="1006" t="s">
        <v>123</v>
      </c>
      <c r="BW283" s="1007"/>
    </row>
    <row r="284">
      <c r="A284" s="624">
        <v>261.0</v>
      </c>
      <c r="B284" s="1008"/>
      <c r="C284" s="989"/>
      <c r="D284" s="851"/>
      <c r="E284" s="990"/>
      <c r="F284" s="991"/>
      <c r="G284" s="991"/>
      <c r="H284" s="992"/>
      <c r="I284" s="993"/>
      <c r="J284" s="993"/>
      <c r="K284" s="993"/>
      <c r="L284" s="993"/>
      <c r="M284" s="993"/>
      <c r="N284" s="993"/>
      <c r="O284" s="993"/>
      <c r="P284" s="993"/>
      <c r="Q284" s="993"/>
      <c r="R284" s="993"/>
      <c r="S284" s="936"/>
      <c r="T284" s="998"/>
      <c r="U284" s="935"/>
      <c r="V284" s="935"/>
      <c r="W284" s="949" t="str">
        <f>IF(AND($S$20,NOT($U$20)),IF($V284:$V623="","",SUMIF(portfolio.!$A$4:$A623,V284,portfolio.!$AN$4:$AN623)),"")</f>
        <v/>
      </c>
      <c r="X284" s="998"/>
      <c r="Y284" s="936"/>
      <c r="Z284" s="936" t="s">
        <v>123</v>
      </c>
      <c r="AA284" s="936" t="s">
        <v>123</v>
      </c>
      <c r="AB284" s="936" t="s">
        <v>123</v>
      </c>
      <c r="AC284" s="907" t="s">
        <v>123</v>
      </c>
      <c r="AD284" s="999"/>
      <c r="AE284" s="936"/>
      <c r="AF284" s="936"/>
      <c r="AG284" s="936"/>
      <c r="AH284" s="936"/>
      <c r="AI284" s="999"/>
      <c r="AJ284" s="935"/>
      <c r="AK284" s="966"/>
      <c r="AL284" s="949"/>
      <c r="AM284" s="949" t="s">
        <v>123</v>
      </c>
      <c r="AN284" s="949"/>
      <c r="AO284" s="999"/>
      <c r="AP284" s="936"/>
      <c r="AQ284" s="987"/>
      <c r="AR284" s="907"/>
      <c r="AS284" s="907"/>
      <c r="AT284" s="967" t="s">
        <v>123</v>
      </c>
      <c r="AU284" s="967" t="s">
        <v>123</v>
      </c>
      <c r="AV284" s="967" t="s">
        <v>123</v>
      </c>
      <c r="AW284" s="907" t="s">
        <v>123</v>
      </c>
      <c r="AX284" s="907" t="s">
        <v>123</v>
      </c>
      <c r="AY284" s="907" t="s">
        <v>123</v>
      </c>
      <c r="AZ284" s="936" t="s">
        <v>123</v>
      </c>
      <c r="BA284" s="935" t="s">
        <v>123</v>
      </c>
      <c r="BB284" s="1000"/>
      <c r="BC284" s="1001"/>
      <c r="BD284" s="936"/>
      <c r="BE284" s="907"/>
      <c r="BF284" s="1002" t="str">
        <f>IF($BC284="","",SUMIF(portfolio.!$A$4:$A623,BC284,portfolio.!$AN$4:$AN623))</f>
        <v/>
      </c>
      <c r="BG284" s="936" t="s">
        <v>123</v>
      </c>
      <c r="BH284" s="907" t="s">
        <v>123</v>
      </c>
      <c r="BI284" s="935" t="s">
        <v>123</v>
      </c>
      <c r="BJ284" s="1003"/>
      <c r="BK284" s="907" t="s">
        <v>123</v>
      </c>
      <c r="BL284" s="907" t="s">
        <v>123</v>
      </c>
      <c r="BM284" s="907" t="s">
        <v>123</v>
      </c>
      <c r="BN284" s="1004" t="s">
        <v>123</v>
      </c>
      <c r="BO284" s="907" t="str">
        <f t="shared" si="6"/>
        <v/>
      </c>
      <c r="BP284" s="907" t="str">
        <f t="shared" si="7"/>
        <v/>
      </c>
      <c r="BQ284" s="907" t="str">
        <f t="shared" si="8"/>
        <v/>
      </c>
      <c r="BR284" s="1004" t="str">
        <f t="shared" si="9"/>
        <v/>
      </c>
      <c r="BS284" s="1005" t="str">
        <f t="shared" si="10"/>
        <v/>
      </c>
      <c r="BT284" s="1006" t="s">
        <v>123</v>
      </c>
      <c r="BU284" s="1002" t="s">
        <v>123</v>
      </c>
      <c r="BV284" s="1006" t="s">
        <v>123</v>
      </c>
      <c r="BW284" s="1007"/>
    </row>
    <row r="285">
      <c r="A285" s="624">
        <v>262.0</v>
      </c>
      <c r="B285" s="1008"/>
      <c r="C285" s="989"/>
      <c r="D285" s="851"/>
      <c r="E285" s="990"/>
      <c r="F285" s="991"/>
      <c r="G285" s="991"/>
      <c r="H285" s="992"/>
      <c r="I285" s="993"/>
      <c r="J285" s="993"/>
      <c r="K285" s="993"/>
      <c r="L285" s="993"/>
      <c r="M285" s="993"/>
      <c r="N285" s="993"/>
      <c r="O285" s="993"/>
      <c r="P285" s="993"/>
      <c r="Q285" s="993"/>
      <c r="R285" s="993"/>
      <c r="S285" s="936"/>
      <c r="T285" s="998"/>
      <c r="U285" s="935"/>
      <c r="V285" s="935"/>
      <c r="W285" s="949" t="str">
        <f>IF(AND($S$20,NOT($U$20)),IF($V285:$V623="","",SUMIF(portfolio.!$A$4:$A623,V285,portfolio.!$AN$4:$AN623)),"")</f>
        <v/>
      </c>
      <c r="X285" s="998"/>
      <c r="Y285" s="936"/>
      <c r="Z285" s="936" t="s">
        <v>123</v>
      </c>
      <c r="AA285" s="936" t="s">
        <v>123</v>
      </c>
      <c r="AB285" s="936" t="s">
        <v>123</v>
      </c>
      <c r="AC285" s="907" t="s">
        <v>123</v>
      </c>
      <c r="AD285" s="999"/>
      <c r="AE285" s="936"/>
      <c r="AF285" s="936"/>
      <c r="AG285" s="936"/>
      <c r="AH285" s="936"/>
      <c r="AI285" s="999"/>
      <c r="AJ285" s="935"/>
      <c r="AK285" s="966"/>
      <c r="AL285" s="949"/>
      <c r="AM285" s="949" t="s">
        <v>123</v>
      </c>
      <c r="AN285" s="949"/>
      <c r="AO285" s="999"/>
      <c r="AP285" s="936"/>
      <c r="AQ285" s="987"/>
      <c r="AR285" s="907"/>
      <c r="AS285" s="907"/>
      <c r="AT285" s="967" t="s">
        <v>123</v>
      </c>
      <c r="AU285" s="967" t="s">
        <v>123</v>
      </c>
      <c r="AV285" s="967" t="s">
        <v>123</v>
      </c>
      <c r="AW285" s="907" t="s">
        <v>123</v>
      </c>
      <c r="AX285" s="907" t="s">
        <v>123</v>
      </c>
      <c r="AY285" s="907" t="s">
        <v>123</v>
      </c>
      <c r="AZ285" s="936" t="s">
        <v>123</v>
      </c>
      <c r="BA285" s="935" t="s">
        <v>123</v>
      </c>
      <c r="BB285" s="1000"/>
      <c r="BC285" s="1001"/>
      <c r="BD285" s="936"/>
      <c r="BE285" s="907"/>
      <c r="BF285" s="1002" t="str">
        <f>IF($BC285="","",SUMIF(portfolio.!$A$4:$A623,BC285,portfolio.!$AN$4:$AN623))</f>
        <v/>
      </c>
      <c r="BG285" s="936" t="s">
        <v>123</v>
      </c>
      <c r="BH285" s="907" t="s">
        <v>123</v>
      </c>
      <c r="BI285" s="935" t="s">
        <v>123</v>
      </c>
      <c r="BJ285" s="1003"/>
      <c r="BK285" s="907" t="s">
        <v>123</v>
      </c>
      <c r="BL285" s="907" t="s">
        <v>123</v>
      </c>
      <c r="BM285" s="907" t="s">
        <v>123</v>
      </c>
      <c r="BN285" s="1004" t="s">
        <v>123</v>
      </c>
      <c r="BO285" s="907" t="str">
        <f t="shared" si="6"/>
        <v/>
      </c>
      <c r="BP285" s="907" t="str">
        <f t="shared" si="7"/>
        <v/>
      </c>
      <c r="BQ285" s="907" t="str">
        <f t="shared" si="8"/>
        <v/>
      </c>
      <c r="BR285" s="1004" t="str">
        <f t="shared" si="9"/>
        <v/>
      </c>
      <c r="BS285" s="1005" t="str">
        <f t="shared" si="10"/>
        <v/>
      </c>
      <c r="BT285" s="1006" t="s">
        <v>123</v>
      </c>
      <c r="BU285" s="1002" t="s">
        <v>123</v>
      </c>
      <c r="BV285" s="1006" t="s">
        <v>123</v>
      </c>
      <c r="BW285" s="1007"/>
    </row>
    <row r="286">
      <c r="A286" s="624">
        <v>263.0</v>
      </c>
      <c r="B286" s="1008"/>
      <c r="C286" s="989"/>
      <c r="D286" s="851"/>
      <c r="E286" s="990"/>
      <c r="F286" s="991"/>
      <c r="G286" s="991"/>
      <c r="H286" s="992"/>
      <c r="I286" s="993"/>
      <c r="J286" s="993"/>
      <c r="K286" s="993"/>
      <c r="L286" s="993"/>
      <c r="M286" s="993"/>
      <c r="N286" s="993"/>
      <c r="O286" s="993"/>
      <c r="P286" s="993"/>
      <c r="Q286" s="993"/>
      <c r="R286" s="993"/>
      <c r="S286" s="936"/>
      <c r="T286" s="998"/>
      <c r="U286" s="935"/>
      <c r="V286" s="935"/>
      <c r="W286" s="949" t="str">
        <f>IF(AND($S$20,NOT($U$20)),IF($V286:$V623="","",SUMIF(portfolio.!$A$4:$A623,V286,portfolio.!$AN$4:$AN623)),"")</f>
        <v/>
      </c>
      <c r="X286" s="998"/>
      <c r="Y286" s="936"/>
      <c r="Z286" s="936" t="s">
        <v>123</v>
      </c>
      <c r="AA286" s="936" t="s">
        <v>123</v>
      </c>
      <c r="AB286" s="936" t="s">
        <v>123</v>
      </c>
      <c r="AC286" s="907" t="s">
        <v>123</v>
      </c>
      <c r="AD286" s="999"/>
      <c r="AE286" s="936"/>
      <c r="AF286" s="936"/>
      <c r="AG286" s="936"/>
      <c r="AH286" s="936"/>
      <c r="AI286" s="999"/>
      <c r="AJ286" s="935"/>
      <c r="AK286" s="966"/>
      <c r="AL286" s="949"/>
      <c r="AM286" s="949" t="s">
        <v>123</v>
      </c>
      <c r="AN286" s="949"/>
      <c r="AO286" s="999"/>
      <c r="AP286" s="936"/>
      <c r="AQ286" s="987"/>
      <c r="AR286" s="907"/>
      <c r="AS286" s="907"/>
      <c r="AT286" s="967" t="s">
        <v>123</v>
      </c>
      <c r="AU286" s="967" t="s">
        <v>123</v>
      </c>
      <c r="AV286" s="967" t="s">
        <v>123</v>
      </c>
      <c r="AW286" s="907" t="s">
        <v>123</v>
      </c>
      <c r="AX286" s="907" t="s">
        <v>123</v>
      </c>
      <c r="AY286" s="907" t="s">
        <v>123</v>
      </c>
      <c r="AZ286" s="936" t="s">
        <v>123</v>
      </c>
      <c r="BA286" s="935" t="s">
        <v>123</v>
      </c>
      <c r="BB286" s="1000"/>
      <c r="BC286" s="1001"/>
      <c r="BD286" s="936"/>
      <c r="BE286" s="907"/>
      <c r="BF286" s="1002" t="str">
        <f>IF($BC286="","",SUMIF(portfolio.!$A$4:$A623,BC286,portfolio.!$AN$4:$AN623))</f>
        <v/>
      </c>
      <c r="BG286" s="936" t="s">
        <v>123</v>
      </c>
      <c r="BH286" s="907" t="s">
        <v>123</v>
      </c>
      <c r="BI286" s="935" t="s">
        <v>123</v>
      </c>
      <c r="BJ286" s="1003"/>
      <c r="BK286" s="907" t="s">
        <v>123</v>
      </c>
      <c r="BL286" s="907" t="s">
        <v>123</v>
      </c>
      <c r="BM286" s="907" t="s">
        <v>123</v>
      </c>
      <c r="BN286" s="1004" t="s">
        <v>123</v>
      </c>
      <c r="BO286" s="907" t="str">
        <f t="shared" si="6"/>
        <v/>
      </c>
      <c r="BP286" s="907" t="str">
        <f t="shared" si="7"/>
        <v/>
      </c>
      <c r="BQ286" s="907" t="str">
        <f t="shared" si="8"/>
        <v/>
      </c>
      <c r="BR286" s="1004" t="str">
        <f t="shared" si="9"/>
        <v/>
      </c>
      <c r="BS286" s="1005" t="str">
        <f t="shared" si="10"/>
        <v/>
      </c>
      <c r="BT286" s="1006" t="s">
        <v>123</v>
      </c>
      <c r="BU286" s="1002" t="s">
        <v>123</v>
      </c>
      <c r="BV286" s="1006" t="s">
        <v>123</v>
      </c>
      <c r="BW286" s="1007"/>
    </row>
    <row r="287">
      <c r="A287" s="624">
        <v>264.0</v>
      </c>
      <c r="B287" s="1008"/>
      <c r="C287" s="989"/>
      <c r="D287" s="851"/>
      <c r="E287" s="990"/>
      <c r="F287" s="991"/>
      <c r="G287" s="991"/>
      <c r="H287" s="992"/>
      <c r="I287" s="993"/>
      <c r="J287" s="993"/>
      <c r="K287" s="993"/>
      <c r="L287" s="993"/>
      <c r="M287" s="993"/>
      <c r="N287" s="993"/>
      <c r="O287" s="993"/>
      <c r="P287" s="993"/>
      <c r="Q287" s="993"/>
      <c r="R287" s="993"/>
      <c r="S287" s="936"/>
      <c r="T287" s="998"/>
      <c r="U287" s="935"/>
      <c r="V287" s="935"/>
      <c r="W287" s="949" t="str">
        <f>IF(AND($S$20,NOT($U$20)),IF($V287:$V623="","",SUMIF(portfolio.!$A$4:$A623,V287,portfolio.!$AN$4:$AN623)),"")</f>
        <v/>
      </c>
      <c r="X287" s="998"/>
      <c r="Y287" s="936"/>
      <c r="Z287" s="936" t="s">
        <v>123</v>
      </c>
      <c r="AA287" s="936" t="s">
        <v>123</v>
      </c>
      <c r="AB287" s="936" t="s">
        <v>123</v>
      </c>
      <c r="AC287" s="907" t="s">
        <v>123</v>
      </c>
      <c r="AD287" s="999"/>
      <c r="AE287" s="936"/>
      <c r="AF287" s="936"/>
      <c r="AG287" s="936"/>
      <c r="AH287" s="936"/>
      <c r="AI287" s="999"/>
      <c r="AJ287" s="935"/>
      <c r="AK287" s="966"/>
      <c r="AL287" s="949"/>
      <c r="AM287" s="949" t="s">
        <v>123</v>
      </c>
      <c r="AN287" s="949"/>
      <c r="AO287" s="999"/>
      <c r="AP287" s="936"/>
      <c r="AQ287" s="987"/>
      <c r="AR287" s="907"/>
      <c r="AS287" s="907"/>
      <c r="AT287" s="967" t="s">
        <v>123</v>
      </c>
      <c r="AU287" s="967" t="s">
        <v>123</v>
      </c>
      <c r="AV287" s="967" t="s">
        <v>123</v>
      </c>
      <c r="AW287" s="907" t="s">
        <v>123</v>
      </c>
      <c r="AX287" s="907" t="s">
        <v>123</v>
      </c>
      <c r="AY287" s="907" t="s">
        <v>123</v>
      </c>
      <c r="AZ287" s="936" t="s">
        <v>123</v>
      </c>
      <c r="BA287" s="935" t="s">
        <v>123</v>
      </c>
      <c r="BB287" s="1000"/>
      <c r="BC287" s="1001"/>
      <c r="BD287" s="936"/>
      <c r="BE287" s="907"/>
      <c r="BF287" s="1002" t="str">
        <f>IF($BC287="","",SUMIF(portfolio.!$A$4:$A623,BC287,portfolio.!$AN$4:$AN623))</f>
        <v/>
      </c>
      <c r="BG287" s="936" t="s">
        <v>123</v>
      </c>
      <c r="BH287" s="907" t="s">
        <v>123</v>
      </c>
      <c r="BI287" s="935" t="s">
        <v>123</v>
      </c>
      <c r="BJ287" s="1003"/>
      <c r="BK287" s="907" t="s">
        <v>123</v>
      </c>
      <c r="BL287" s="907" t="s">
        <v>123</v>
      </c>
      <c r="BM287" s="907" t="s">
        <v>123</v>
      </c>
      <c r="BN287" s="1004" t="s">
        <v>123</v>
      </c>
      <c r="BO287" s="907" t="str">
        <f t="shared" si="6"/>
        <v/>
      </c>
      <c r="BP287" s="907" t="str">
        <f t="shared" si="7"/>
        <v/>
      </c>
      <c r="BQ287" s="907" t="str">
        <f t="shared" si="8"/>
        <v/>
      </c>
      <c r="BR287" s="1004" t="str">
        <f t="shared" si="9"/>
        <v/>
      </c>
      <c r="BS287" s="1005" t="str">
        <f t="shared" si="10"/>
        <v/>
      </c>
      <c r="BT287" s="1006" t="s">
        <v>123</v>
      </c>
      <c r="BU287" s="1002" t="s">
        <v>123</v>
      </c>
      <c r="BV287" s="1006" t="s">
        <v>123</v>
      </c>
      <c r="BW287" s="1007"/>
    </row>
    <row r="288">
      <c r="A288" s="624">
        <v>265.0</v>
      </c>
      <c r="B288" s="1008"/>
      <c r="C288" s="989"/>
      <c r="D288" s="851"/>
      <c r="E288" s="990"/>
      <c r="F288" s="991"/>
      <c r="G288" s="991"/>
      <c r="H288" s="992"/>
      <c r="I288" s="993"/>
      <c r="J288" s="993"/>
      <c r="K288" s="993"/>
      <c r="L288" s="993"/>
      <c r="M288" s="993"/>
      <c r="N288" s="993"/>
      <c r="O288" s="993"/>
      <c r="P288" s="993"/>
      <c r="Q288" s="993"/>
      <c r="R288" s="993"/>
      <c r="S288" s="936"/>
      <c r="T288" s="998"/>
      <c r="U288" s="935"/>
      <c r="V288" s="935"/>
      <c r="W288" s="949" t="str">
        <f>IF(AND($S$20,NOT($U$20)),IF($V288:$V623="","",SUMIF(portfolio.!$A$4:$A623,V288,portfolio.!$AN$4:$AN623)),"")</f>
        <v/>
      </c>
      <c r="X288" s="998"/>
      <c r="Y288" s="936"/>
      <c r="Z288" s="936" t="s">
        <v>123</v>
      </c>
      <c r="AA288" s="936" t="s">
        <v>123</v>
      </c>
      <c r="AB288" s="936" t="s">
        <v>123</v>
      </c>
      <c r="AC288" s="907" t="s">
        <v>123</v>
      </c>
      <c r="AD288" s="999"/>
      <c r="AE288" s="936"/>
      <c r="AF288" s="936"/>
      <c r="AG288" s="936"/>
      <c r="AH288" s="936"/>
      <c r="AI288" s="999"/>
      <c r="AJ288" s="935"/>
      <c r="AK288" s="966"/>
      <c r="AL288" s="949"/>
      <c r="AM288" s="949" t="s">
        <v>123</v>
      </c>
      <c r="AN288" s="949"/>
      <c r="AO288" s="999"/>
      <c r="AP288" s="936"/>
      <c r="AQ288" s="987"/>
      <c r="AR288" s="907"/>
      <c r="AS288" s="907"/>
      <c r="AT288" s="967" t="s">
        <v>123</v>
      </c>
      <c r="AU288" s="967" t="s">
        <v>123</v>
      </c>
      <c r="AV288" s="967" t="s">
        <v>123</v>
      </c>
      <c r="AW288" s="907" t="s">
        <v>123</v>
      </c>
      <c r="AX288" s="907" t="s">
        <v>123</v>
      </c>
      <c r="AY288" s="907" t="s">
        <v>123</v>
      </c>
      <c r="AZ288" s="936" t="s">
        <v>123</v>
      </c>
      <c r="BA288" s="935" t="s">
        <v>123</v>
      </c>
      <c r="BB288" s="1000"/>
      <c r="BC288" s="1001"/>
      <c r="BD288" s="936"/>
      <c r="BE288" s="907"/>
      <c r="BF288" s="1002" t="str">
        <f>IF($BC288="","",SUMIF(portfolio.!$A$4:$A623,BC288,portfolio.!$AN$4:$AN623))</f>
        <v/>
      </c>
      <c r="BG288" s="936" t="s">
        <v>123</v>
      </c>
      <c r="BH288" s="907" t="s">
        <v>123</v>
      </c>
      <c r="BI288" s="935" t="s">
        <v>123</v>
      </c>
      <c r="BJ288" s="1003"/>
      <c r="BK288" s="907" t="s">
        <v>123</v>
      </c>
      <c r="BL288" s="907" t="s">
        <v>123</v>
      </c>
      <c r="BM288" s="907" t="s">
        <v>123</v>
      </c>
      <c r="BN288" s="1004" t="s">
        <v>123</v>
      </c>
      <c r="BO288" s="907" t="str">
        <f t="shared" si="6"/>
        <v/>
      </c>
      <c r="BP288" s="907" t="str">
        <f t="shared" si="7"/>
        <v/>
      </c>
      <c r="BQ288" s="907" t="str">
        <f t="shared" si="8"/>
        <v/>
      </c>
      <c r="BR288" s="1004" t="str">
        <f t="shared" si="9"/>
        <v/>
      </c>
      <c r="BS288" s="1005" t="str">
        <f t="shared" si="10"/>
        <v/>
      </c>
      <c r="BT288" s="1006" t="s">
        <v>123</v>
      </c>
      <c r="BU288" s="1002" t="s">
        <v>123</v>
      </c>
      <c r="BV288" s="1006" t="s">
        <v>123</v>
      </c>
      <c r="BW288" s="1007"/>
    </row>
    <row r="289">
      <c r="A289" s="624">
        <v>266.0</v>
      </c>
      <c r="B289" s="1008"/>
      <c r="C289" s="989"/>
      <c r="D289" s="851"/>
      <c r="E289" s="990"/>
      <c r="F289" s="991"/>
      <c r="G289" s="991"/>
      <c r="H289" s="992"/>
      <c r="I289" s="993"/>
      <c r="J289" s="993"/>
      <c r="K289" s="993"/>
      <c r="L289" s="993"/>
      <c r="M289" s="993"/>
      <c r="N289" s="993"/>
      <c r="O289" s="993"/>
      <c r="P289" s="993"/>
      <c r="Q289" s="993"/>
      <c r="R289" s="993"/>
      <c r="S289" s="936"/>
      <c r="T289" s="998"/>
      <c r="U289" s="935"/>
      <c r="V289" s="935"/>
      <c r="W289" s="949" t="str">
        <f>IF(AND($S$20,NOT($U$20)),IF($V289:$V623="","",SUMIF(portfolio.!$A$4:$A623,V289,portfolio.!$AN$4:$AN623)),"")</f>
        <v/>
      </c>
      <c r="X289" s="998"/>
      <c r="Y289" s="936"/>
      <c r="Z289" s="936" t="s">
        <v>123</v>
      </c>
      <c r="AA289" s="936" t="s">
        <v>123</v>
      </c>
      <c r="AB289" s="936" t="s">
        <v>123</v>
      </c>
      <c r="AC289" s="907" t="s">
        <v>123</v>
      </c>
      <c r="AD289" s="999"/>
      <c r="AE289" s="936"/>
      <c r="AF289" s="936"/>
      <c r="AG289" s="936"/>
      <c r="AH289" s="936"/>
      <c r="AI289" s="999"/>
      <c r="AJ289" s="935"/>
      <c r="AK289" s="966"/>
      <c r="AL289" s="949"/>
      <c r="AM289" s="949" t="s">
        <v>123</v>
      </c>
      <c r="AN289" s="949"/>
      <c r="AO289" s="999"/>
      <c r="AP289" s="936"/>
      <c r="AQ289" s="987"/>
      <c r="AR289" s="907"/>
      <c r="AS289" s="907"/>
      <c r="AT289" s="967" t="s">
        <v>123</v>
      </c>
      <c r="AU289" s="967" t="s">
        <v>123</v>
      </c>
      <c r="AV289" s="967" t="s">
        <v>123</v>
      </c>
      <c r="AW289" s="907" t="s">
        <v>123</v>
      </c>
      <c r="AX289" s="907" t="s">
        <v>123</v>
      </c>
      <c r="AY289" s="907" t="s">
        <v>123</v>
      </c>
      <c r="AZ289" s="936" t="s">
        <v>123</v>
      </c>
      <c r="BA289" s="935" t="s">
        <v>123</v>
      </c>
      <c r="BB289" s="1000"/>
      <c r="BC289" s="1001"/>
      <c r="BD289" s="936"/>
      <c r="BE289" s="907"/>
      <c r="BF289" s="1002" t="str">
        <f>IF($BC289="","",SUMIF(portfolio.!$A$4:$A623,BC289,portfolio.!$AN$4:$AN623))</f>
        <v/>
      </c>
      <c r="BG289" s="936" t="s">
        <v>123</v>
      </c>
      <c r="BH289" s="907" t="s">
        <v>123</v>
      </c>
      <c r="BI289" s="935" t="s">
        <v>123</v>
      </c>
      <c r="BJ289" s="1003"/>
      <c r="BK289" s="907" t="s">
        <v>123</v>
      </c>
      <c r="BL289" s="907" t="s">
        <v>123</v>
      </c>
      <c r="BM289" s="907" t="s">
        <v>123</v>
      </c>
      <c r="BN289" s="1004" t="s">
        <v>123</v>
      </c>
      <c r="BO289" s="907" t="str">
        <f t="shared" si="6"/>
        <v/>
      </c>
      <c r="BP289" s="907" t="str">
        <f t="shared" si="7"/>
        <v/>
      </c>
      <c r="BQ289" s="907" t="str">
        <f t="shared" si="8"/>
        <v/>
      </c>
      <c r="BR289" s="1004" t="str">
        <f t="shared" si="9"/>
        <v/>
      </c>
      <c r="BS289" s="1005" t="str">
        <f t="shared" si="10"/>
        <v/>
      </c>
      <c r="BT289" s="1006" t="s">
        <v>123</v>
      </c>
      <c r="BU289" s="1002" t="s">
        <v>123</v>
      </c>
      <c r="BV289" s="1006" t="s">
        <v>123</v>
      </c>
      <c r="BW289" s="1007"/>
    </row>
    <row r="290">
      <c r="A290" s="624">
        <v>267.0</v>
      </c>
      <c r="B290" s="1008"/>
      <c r="C290" s="989"/>
      <c r="D290" s="851"/>
      <c r="E290" s="990"/>
      <c r="F290" s="991"/>
      <c r="G290" s="991"/>
      <c r="H290" s="992"/>
      <c r="I290" s="993"/>
      <c r="J290" s="993"/>
      <c r="K290" s="993"/>
      <c r="L290" s="993"/>
      <c r="M290" s="993"/>
      <c r="N290" s="993"/>
      <c r="O290" s="993"/>
      <c r="P290" s="993"/>
      <c r="Q290" s="993"/>
      <c r="R290" s="993"/>
      <c r="S290" s="936"/>
      <c r="T290" s="998"/>
      <c r="U290" s="935"/>
      <c r="V290" s="935"/>
      <c r="W290" s="949" t="str">
        <f>IF(AND($S$20,NOT($U$20)),IF($V290:$V623="","",SUMIF(portfolio.!$A$4:$A623,V290,portfolio.!$AN$4:$AN623)),"")</f>
        <v/>
      </c>
      <c r="X290" s="998"/>
      <c r="Y290" s="936"/>
      <c r="Z290" s="936" t="s">
        <v>123</v>
      </c>
      <c r="AA290" s="936" t="s">
        <v>123</v>
      </c>
      <c r="AB290" s="936" t="s">
        <v>123</v>
      </c>
      <c r="AC290" s="907" t="s">
        <v>123</v>
      </c>
      <c r="AD290" s="999"/>
      <c r="AE290" s="936"/>
      <c r="AF290" s="936"/>
      <c r="AG290" s="936"/>
      <c r="AH290" s="936"/>
      <c r="AI290" s="999"/>
      <c r="AJ290" s="935"/>
      <c r="AK290" s="966"/>
      <c r="AL290" s="949"/>
      <c r="AM290" s="949" t="s">
        <v>123</v>
      </c>
      <c r="AN290" s="949"/>
      <c r="AO290" s="999"/>
      <c r="AP290" s="936"/>
      <c r="AQ290" s="987"/>
      <c r="AR290" s="907"/>
      <c r="AS290" s="907"/>
      <c r="AT290" s="967" t="s">
        <v>123</v>
      </c>
      <c r="AU290" s="967" t="s">
        <v>123</v>
      </c>
      <c r="AV290" s="967" t="s">
        <v>123</v>
      </c>
      <c r="AW290" s="907" t="s">
        <v>123</v>
      </c>
      <c r="AX290" s="907" t="s">
        <v>123</v>
      </c>
      <c r="AY290" s="907" t="s">
        <v>123</v>
      </c>
      <c r="AZ290" s="936" t="s">
        <v>123</v>
      </c>
      <c r="BA290" s="935" t="s">
        <v>123</v>
      </c>
      <c r="BB290" s="1000"/>
      <c r="BC290" s="1001"/>
      <c r="BD290" s="936"/>
      <c r="BE290" s="907"/>
      <c r="BF290" s="1002" t="str">
        <f>IF($BC290="","",SUMIF(portfolio.!$A$4:$A623,BC290,portfolio.!$AN$4:$AN623))</f>
        <v/>
      </c>
      <c r="BG290" s="936" t="s">
        <v>123</v>
      </c>
      <c r="BH290" s="907" t="s">
        <v>123</v>
      </c>
      <c r="BI290" s="935" t="s">
        <v>123</v>
      </c>
      <c r="BJ290" s="1003"/>
      <c r="BK290" s="907" t="s">
        <v>123</v>
      </c>
      <c r="BL290" s="907" t="s">
        <v>123</v>
      </c>
      <c r="BM290" s="907" t="s">
        <v>123</v>
      </c>
      <c r="BN290" s="1004" t="s">
        <v>123</v>
      </c>
      <c r="BO290" s="907" t="str">
        <f t="shared" si="6"/>
        <v/>
      </c>
      <c r="BP290" s="907" t="str">
        <f t="shared" si="7"/>
        <v/>
      </c>
      <c r="BQ290" s="907" t="str">
        <f t="shared" si="8"/>
        <v/>
      </c>
      <c r="BR290" s="1004" t="str">
        <f t="shared" si="9"/>
        <v/>
      </c>
      <c r="BS290" s="1005" t="str">
        <f t="shared" si="10"/>
        <v/>
      </c>
      <c r="BT290" s="1006" t="s">
        <v>123</v>
      </c>
      <c r="BU290" s="1002" t="s">
        <v>123</v>
      </c>
      <c r="BV290" s="1006" t="s">
        <v>123</v>
      </c>
      <c r="BW290" s="1007"/>
    </row>
    <row r="291">
      <c r="A291" s="624">
        <v>268.0</v>
      </c>
      <c r="B291" s="1008"/>
      <c r="C291" s="989"/>
      <c r="D291" s="851"/>
      <c r="E291" s="990"/>
      <c r="F291" s="991"/>
      <c r="G291" s="991"/>
      <c r="H291" s="992"/>
      <c r="I291" s="993"/>
      <c r="J291" s="993"/>
      <c r="K291" s="993"/>
      <c r="L291" s="993"/>
      <c r="M291" s="993"/>
      <c r="N291" s="993"/>
      <c r="O291" s="993"/>
      <c r="P291" s="993"/>
      <c r="Q291" s="993"/>
      <c r="R291" s="993"/>
      <c r="S291" s="936"/>
      <c r="T291" s="998"/>
      <c r="U291" s="935"/>
      <c r="V291" s="935"/>
      <c r="W291" s="949" t="str">
        <f>IF(AND($S$20,NOT($U$20)),IF($V291:$V623="","",SUMIF(portfolio.!$A$4:$A623,V291,portfolio.!$AN$4:$AN623)),"")</f>
        <v/>
      </c>
      <c r="X291" s="998"/>
      <c r="Y291" s="936"/>
      <c r="Z291" s="936" t="s">
        <v>123</v>
      </c>
      <c r="AA291" s="936" t="s">
        <v>123</v>
      </c>
      <c r="AB291" s="936" t="s">
        <v>123</v>
      </c>
      <c r="AC291" s="907" t="s">
        <v>123</v>
      </c>
      <c r="AD291" s="999"/>
      <c r="AE291" s="936"/>
      <c r="AF291" s="936"/>
      <c r="AG291" s="936"/>
      <c r="AH291" s="936"/>
      <c r="AI291" s="999"/>
      <c r="AJ291" s="935"/>
      <c r="AK291" s="966"/>
      <c r="AL291" s="949"/>
      <c r="AM291" s="949" t="s">
        <v>123</v>
      </c>
      <c r="AN291" s="949"/>
      <c r="AO291" s="999"/>
      <c r="AP291" s="936"/>
      <c r="AQ291" s="987"/>
      <c r="AR291" s="907"/>
      <c r="AS291" s="907"/>
      <c r="AT291" s="967" t="s">
        <v>123</v>
      </c>
      <c r="AU291" s="967" t="s">
        <v>123</v>
      </c>
      <c r="AV291" s="967" t="s">
        <v>123</v>
      </c>
      <c r="AW291" s="907" t="s">
        <v>123</v>
      </c>
      <c r="AX291" s="907" t="s">
        <v>123</v>
      </c>
      <c r="AY291" s="907" t="s">
        <v>123</v>
      </c>
      <c r="AZ291" s="936" t="s">
        <v>123</v>
      </c>
      <c r="BA291" s="935" t="s">
        <v>123</v>
      </c>
      <c r="BB291" s="1000"/>
      <c r="BC291" s="1001"/>
      <c r="BD291" s="936"/>
      <c r="BE291" s="907"/>
      <c r="BF291" s="1002" t="str">
        <f>IF($BC291="","",SUMIF(portfolio.!$A$4:$A623,BC291,portfolio.!$AN$4:$AN623))</f>
        <v/>
      </c>
      <c r="BG291" s="936" t="s">
        <v>123</v>
      </c>
      <c r="BH291" s="907" t="s">
        <v>123</v>
      </c>
      <c r="BI291" s="935" t="s">
        <v>123</v>
      </c>
      <c r="BJ291" s="1003"/>
      <c r="BK291" s="907" t="s">
        <v>123</v>
      </c>
      <c r="BL291" s="907" t="s">
        <v>123</v>
      </c>
      <c r="BM291" s="907" t="s">
        <v>123</v>
      </c>
      <c r="BN291" s="1004" t="s">
        <v>123</v>
      </c>
      <c r="BO291" s="907" t="str">
        <f t="shared" si="6"/>
        <v/>
      </c>
      <c r="BP291" s="907" t="str">
        <f t="shared" si="7"/>
        <v/>
      </c>
      <c r="BQ291" s="907" t="str">
        <f t="shared" si="8"/>
        <v/>
      </c>
      <c r="BR291" s="1004" t="str">
        <f t="shared" si="9"/>
        <v/>
      </c>
      <c r="BS291" s="1005" t="str">
        <f t="shared" si="10"/>
        <v/>
      </c>
      <c r="BT291" s="1006" t="s">
        <v>123</v>
      </c>
      <c r="BU291" s="1002" t="s">
        <v>123</v>
      </c>
      <c r="BV291" s="1006" t="s">
        <v>123</v>
      </c>
      <c r="BW291" s="1007"/>
    </row>
    <row r="292">
      <c r="A292" s="624">
        <v>269.0</v>
      </c>
      <c r="B292" s="1008"/>
      <c r="C292" s="989"/>
      <c r="D292" s="851"/>
      <c r="E292" s="990"/>
      <c r="F292" s="991"/>
      <c r="G292" s="991"/>
      <c r="H292" s="992"/>
      <c r="I292" s="993"/>
      <c r="J292" s="993"/>
      <c r="K292" s="993"/>
      <c r="L292" s="993"/>
      <c r="M292" s="993"/>
      <c r="N292" s="993"/>
      <c r="O292" s="993"/>
      <c r="P292" s="993"/>
      <c r="Q292" s="993"/>
      <c r="R292" s="993"/>
      <c r="S292" s="936"/>
      <c r="T292" s="998"/>
      <c r="U292" s="935"/>
      <c r="V292" s="935"/>
      <c r="W292" s="949" t="str">
        <f>IF(AND($S$20,NOT($U$20)),IF($V292:$V623="","",SUMIF(portfolio.!$A$4:$A623,V292,portfolio.!$AN$4:$AN623)),"")</f>
        <v/>
      </c>
      <c r="X292" s="998"/>
      <c r="Y292" s="936"/>
      <c r="Z292" s="936" t="s">
        <v>123</v>
      </c>
      <c r="AA292" s="936" t="s">
        <v>123</v>
      </c>
      <c r="AB292" s="936" t="s">
        <v>123</v>
      </c>
      <c r="AC292" s="907" t="s">
        <v>123</v>
      </c>
      <c r="AD292" s="999"/>
      <c r="AE292" s="936"/>
      <c r="AF292" s="936"/>
      <c r="AG292" s="936"/>
      <c r="AH292" s="936"/>
      <c r="AI292" s="999"/>
      <c r="AJ292" s="935"/>
      <c r="AK292" s="966"/>
      <c r="AL292" s="949"/>
      <c r="AM292" s="949" t="s">
        <v>123</v>
      </c>
      <c r="AN292" s="949"/>
      <c r="AO292" s="999"/>
      <c r="AP292" s="936"/>
      <c r="AQ292" s="987"/>
      <c r="AR292" s="907"/>
      <c r="AS292" s="907"/>
      <c r="AT292" s="967" t="s">
        <v>123</v>
      </c>
      <c r="AU292" s="967" t="s">
        <v>123</v>
      </c>
      <c r="AV292" s="967" t="s">
        <v>123</v>
      </c>
      <c r="AW292" s="907" t="s">
        <v>123</v>
      </c>
      <c r="AX292" s="907" t="s">
        <v>123</v>
      </c>
      <c r="AY292" s="907" t="s">
        <v>123</v>
      </c>
      <c r="AZ292" s="936" t="s">
        <v>123</v>
      </c>
      <c r="BA292" s="935" t="s">
        <v>123</v>
      </c>
      <c r="BB292" s="1000"/>
      <c r="BC292" s="1001"/>
      <c r="BD292" s="936"/>
      <c r="BE292" s="907"/>
      <c r="BF292" s="1002" t="str">
        <f>IF($BC292="","",SUMIF(portfolio.!$A$4:$A623,BC292,portfolio.!$AN$4:$AN623))</f>
        <v/>
      </c>
      <c r="BG292" s="936" t="s">
        <v>123</v>
      </c>
      <c r="BH292" s="907" t="s">
        <v>123</v>
      </c>
      <c r="BI292" s="935" t="s">
        <v>123</v>
      </c>
      <c r="BJ292" s="1003"/>
      <c r="BK292" s="907" t="s">
        <v>123</v>
      </c>
      <c r="BL292" s="907" t="s">
        <v>123</v>
      </c>
      <c r="BM292" s="907" t="s">
        <v>123</v>
      </c>
      <c r="BN292" s="1004" t="s">
        <v>123</v>
      </c>
      <c r="BO292" s="907" t="str">
        <f t="shared" si="6"/>
        <v/>
      </c>
      <c r="BP292" s="907" t="str">
        <f t="shared" si="7"/>
        <v/>
      </c>
      <c r="BQ292" s="907" t="str">
        <f t="shared" si="8"/>
        <v/>
      </c>
      <c r="BR292" s="1004" t="str">
        <f t="shared" si="9"/>
        <v/>
      </c>
      <c r="BS292" s="1005" t="str">
        <f t="shared" si="10"/>
        <v/>
      </c>
      <c r="BT292" s="1006" t="s">
        <v>123</v>
      </c>
      <c r="BU292" s="1002" t="s">
        <v>123</v>
      </c>
      <c r="BV292" s="1006" t="s">
        <v>123</v>
      </c>
      <c r="BW292" s="1007"/>
    </row>
    <row r="293">
      <c r="A293" s="624">
        <v>270.0</v>
      </c>
      <c r="B293" s="1008"/>
      <c r="C293" s="989"/>
      <c r="D293" s="851"/>
      <c r="E293" s="990"/>
      <c r="F293" s="991"/>
      <c r="G293" s="991"/>
      <c r="H293" s="992"/>
      <c r="I293" s="993"/>
      <c r="J293" s="993"/>
      <c r="K293" s="993"/>
      <c r="L293" s="993"/>
      <c r="M293" s="993"/>
      <c r="N293" s="993"/>
      <c r="O293" s="993"/>
      <c r="P293" s="993"/>
      <c r="Q293" s="993"/>
      <c r="R293" s="993"/>
      <c r="S293" s="936"/>
      <c r="T293" s="998"/>
      <c r="U293" s="935"/>
      <c r="V293" s="935"/>
      <c r="W293" s="949" t="str">
        <f>IF(AND($S$20,NOT($U$20)),IF($V293:$V623="","",SUMIF(portfolio.!$A$4:$A623,V293,portfolio.!$AN$4:$AN623)),"")</f>
        <v/>
      </c>
      <c r="X293" s="998"/>
      <c r="Y293" s="936"/>
      <c r="Z293" s="936" t="s">
        <v>123</v>
      </c>
      <c r="AA293" s="936" t="s">
        <v>123</v>
      </c>
      <c r="AB293" s="936" t="s">
        <v>123</v>
      </c>
      <c r="AC293" s="907" t="s">
        <v>123</v>
      </c>
      <c r="AD293" s="999"/>
      <c r="AE293" s="936"/>
      <c r="AF293" s="936"/>
      <c r="AG293" s="936"/>
      <c r="AH293" s="936"/>
      <c r="AI293" s="999"/>
      <c r="AJ293" s="935"/>
      <c r="AK293" s="966"/>
      <c r="AL293" s="949"/>
      <c r="AM293" s="949" t="s">
        <v>123</v>
      </c>
      <c r="AN293" s="949"/>
      <c r="AO293" s="999"/>
      <c r="AP293" s="936"/>
      <c r="AQ293" s="987"/>
      <c r="AR293" s="907"/>
      <c r="AS293" s="907"/>
      <c r="AT293" s="967" t="s">
        <v>123</v>
      </c>
      <c r="AU293" s="967" t="s">
        <v>123</v>
      </c>
      <c r="AV293" s="967" t="s">
        <v>123</v>
      </c>
      <c r="AW293" s="907" t="s">
        <v>123</v>
      </c>
      <c r="AX293" s="907" t="s">
        <v>123</v>
      </c>
      <c r="AY293" s="907" t="s">
        <v>123</v>
      </c>
      <c r="AZ293" s="936" t="s">
        <v>123</v>
      </c>
      <c r="BA293" s="935" t="s">
        <v>123</v>
      </c>
      <c r="BB293" s="1000"/>
      <c r="BC293" s="1001"/>
      <c r="BD293" s="936"/>
      <c r="BE293" s="907"/>
      <c r="BF293" s="1002" t="str">
        <f>IF($BC293="","",SUMIF(portfolio.!$A$4:$A623,BC293,portfolio.!$AN$4:$AN623))</f>
        <v/>
      </c>
      <c r="BG293" s="936" t="s">
        <v>123</v>
      </c>
      <c r="BH293" s="907" t="s">
        <v>123</v>
      </c>
      <c r="BI293" s="935" t="s">
        <v>123</v>
      </c>
      <c r="BJ293" s="1003"/>
      <c r="BK293" s="907" t="s">
        <v>123</v>
      </c>
      <c r="BL293" s="907" t="s">
        <v>123</v>
      </c>
      <c r="BM293" s="907" t="s">
        <v>123</v>
      </c>
      <c r="BN293" s="1004" t="s">
        <v>123</v>
      </c>
      <c r="BO293" s="907" t="str">
        <f t="shared" si="6"/>
        <v/>
      </c>
      <c r="BP293" s="907" t="str">
        <f t="shared" si="7"/>
        <v/>
      </c>
      <c r="BQ293" s="907" t="str">
        <f t="shared" si="8"/>
        <v/>
      </c>
      <c r="BR293" s="1004" t="str">
        <f t="shared" si="9"/>
        <v/>
      </c>
      <c r="BS293" s="1005" t="str">
        <f t="shared" si="10"/>
        <v/>
      </c>
      <c r="BT293" s="1006" t="s">
        <v>123</v>
      </c>
      <c r="BU293" s="1002" t="s">
        <v>123</v>
      </c>
      <c r="BV293" s="1006" t="s">
        <v>123</v>
      </c>
      <c r="BW293" s="1007"/>
    </row>
    <row r="294">
      <c r="A294" s="624">
        <v>271.0</v>
      </c>
      <c r="B294" s="1008"/>
      <c r="C294" s="989"/>
      <c r="D294" s="851"/>
      <c r="E294" s="990"/>
      <c r="F294" s="991"/>
      <c r="G294" s="991"/>
      <c r="H294" s="992"/>
      <c r="I294" s="993"/>
      <c r="J294" s="993"/>
      <c r="K294" s="993"/>
      <c r="L294" s="993"/>
      <c r="M294" s="993"/>
      <c r="N294" s="993"/>
      <c r="O294" s="993"/>
      <c r="P294" s="993"/>
      <c r="Q294" s="993"/>
      <c r="R294" s="993"/>
      <c r="S294" s="936"/>
      <c r="T294" s="998"/>
      <c r="U294" s="935"/>
      <c r="V294" s="935"/>
      <c r="W294" s="949" t="str">
        <f>IF(AND($S$20,NOT($U$20)),IF($V294:$V623="","",SUMIF(portfolio.!$A$4:$A623,V294,portfolio.!$AN$4:$AN623)),"")</f>
        <v/>
      </c>
      <c r="X294" s="998"/>
      <c r="Y294" s="936"/>
      <c r="Z294" s="936" t="s">
        <v>123</v>
      </c>
      <c r="AA294" s="936" t="s">
        <v>123</v>
      </c>
      <c r="AB294" s="936" t="s">
        <v>123</v>
      </c>
      <c r="AC294" s="907" t="s">
        <v>123</v>
      </c>
      <c r="AD294" s="999"/>
      <c r="AE294" s="936"/>
      <c r="AF294" s="936"/>
      <c r="AG294" s="936"/>
      <c r="AH294" s="936"/>
      <c r="AI294" s="999"/>
      <c r="AJ294" s="935"/>
      <c r="AK294" s="966"/>
      <c r="AL294" s="949"/>
      <c r="AM294" s="949" t="s">
        <v>123</v>
      </c>
      <c r="AN294" s="949"/>
      <c r="AO294" s="999"/>
      <c r="AP294" s="936"/>
      <c r="AQ294" s="987"/>
      <c r="AR294" s="907"/>
      <c r="AS294" s="907"/>
      <c r="AT294" s="967" t="s">
        <v>123</v>
      </c>
      <c r="AU294" s="967" t="s">
        <v>123</v>
      </c>
      <c r="AV294" s="967" t="s">
        <v>123</v>
      </c>
      <c r="AW294" s="907" t="s">
        <v>123</v>
      </c>
      <c r="AX294" s="907" t="s">
        <v>123</v>
      </c>
      <c r="AY294" s="907" t="s">
        <v>123</v>
      </c>
      <c r="AZ294" s="936" t="s">
        <v>123</v>
      </c>
      <c r="BA294" s="935" t="s">
        <v>123</v>
      </c>
      <c r="BB294" s="1000"/>
      <c r="BC294" s="1001"/>
      <c r="BD294" s="936"/>
      <c r="BE294" s="907"/>
      <c r="BF294" s="1002" t="str">
        <f>IF($BC294="","",SUMIF(portfolio.!$A$4:$A623,BC294,portfolio.!$AN$4:$AN623))</f>
        <v/>
      </c>
      <c r="BG294" s="936" t="s">
        <v>123</v>
      </c>
      <c r="BH294" s="907" t="s">
        <v>123</v>
      </c>
      <c r="BI294" s="935" t="s">
        <v>123</v>
      </c>
      <c r="BJ294" s="1003"/>
      <c r="BK294" s="907" t="s">
        <v>123</v>
      </c>
      <c r="BL294" s="907" t="s">
        <v>123</v>
      </c>
      <c r="BM294" s="907" t="s">
        <v>123</v>
      </c>
      <c r="BN294" s="1004" t="s">
        <v>123</v>
      </c>
      <c r="BO294" s="907" t="str">
        <f t="shared" si="6"/>
        <v/>
      </c>
      <c r="BP294" s="907" t="str">
        <f t="shared" si="7"/>
        <v/>
      </c>
      <c r="BQ294" s="907" t="str">
        <f t="shared" si="8"/>
        <v/>
      </c>
      <c r="BR294" s="1004" t="str">
        <f t="shared" si="9"/>
        <v/>
      </c>
      <c r="BS294" s="1005" t="str">
        <f t="shared" si="10"/>
        <v/>
      </c>
      <c r="BT294" s="1006" t="s">
        <v>123</v>
      </c>
      <c r="BU294" s="1002" t="s">
        <v>123</v>
      </c>
      <c r="BV294" s="1006" t="s">
        <v>123</v>
      </c>
      <c r="BW294" s="1007"/>
    </row>
    <row r="295">
      <c r="A295" s="624">
        <v>272.0</v>
      </c>
      <c r="B295" s="1008"/>
      <c r="C295" s="989"/>
      <c r="D295" s="851"/>
      <c r="E295" s="990"/>
      <c r="F295" s="991"/>
      <c r="G295" s="991"/>
      <c r="H295" s="992"/>
      <c r="I295" s="993"/>
      <c r="J295" s="993"/>
      <c r="K295" s="993"/>
      <c r="L295" s="993"/>
      <c r="M295" s="993"/>
      <c r="N295" s="993"/>
      <c r="O295" s="993"/>
      <c r="P295" s="993"/>
      <c r="Q295" s="993"/>
      <c r="R295" s="993"/>
      <c r="S295" s="936"/>
      <c r="T295" s="998"/>
      <c r="U295" s="935"/>
      <c r="V295" s="935"/>
      <c r="W295" s="949" t="str">
        <f>IF(AND($S$20,NOT($U$20)),IF($V295:$V623="","",SUMIF(portfolio.!$A$4:$A623,V295,portfolio.!$AN$4:$AN623)),"")</f>
        <v/>
      </c>
      <c r="X295" s="998"/>
      <c r="Y295" s="936"/>
      <c r="Z295" s="936" t="s">
        <v>123</v>
      </c>
      <c r="AA295" s="936" t="s">
        <v>123</v>
      </c>
      <c r="AB295" s="936" t="s">
        <v>123</v>
      </c>
      <c r="AC295" s="907" t="s">
        <v>123</v>
      </c>
      <c r="AD295" s="999"/>
      <c r="AE295" s="936"/>
      <c r="AF295" s="936"/>
      <c r="AG295" s="936"/>
      <c r="AH295" s="936"/>
      <c r="AI295" s="999"/>
      <c r="AJ295" s="935"/>
      <c r="AK295" s="966"/>
      <c r="AL295" s="949"/>
      <c r="AM295" s="949" t="s">
        <v>123</v>
      </c>
      <c r="AN295" s="949"/>
      <c r="AO295" s="999"/>
      <c r="AP295" s="936"/>
      <c r="AQ295" s="987"/>
      <c r="AR295" s="907"/>
      <c r="AS295" s="907"/>
      <c r="AT295" s="967" t="s">
        <v>123</v>
      </c>
      <c r="AU295" s="967" t="s">
        <v>123</v>
      </c>
      <c r="AV295" s="967" t="s">
        <v>123</v>
      </c>
      <c r="AW295" s="907" t="s">
        <v>123</v>
      </c>
      <c r="AX295" s="907" t="s">
        <v>123</v>
      </c>
      <c r="AY295" s="907" t="s">
        <v>123</v>
      </c>
      <c r="AZ295" s="936" t="s">
        <v>123</v>
      </c>
      <c r="BA295" s="935" t="s">
        <v>123</v>
      </c>
      <c r="BB295" s="1000"/>
      <c r="BC295" s="1001"/>
      <c r="BD295" s="936"/>
      <c r="BE295" s="907"/>
      <c r="BF295" s="1002" t="str">
        <f>IF($BC295="","",SUMIF(portfolio.!$A$4:$A623,BC295,portfolio.!$AN$4:$AN623))</f>
        <v/>
      </c>
      <c r="BG295" s="936" t="s">
        <v>123</v>
      </c>
      <c r="BH295" s="907" t="s">
        <v>123</v>
      </c>
      <c r="BI295" s="935" t="s">
        <v>123</v>
      </c>
      <c r="BJ295" s="1003"/>
      <c r="BK295" s="907" t="s">
        <v>123</v>
      </c>
      <c r="BL295" s="907" t="s">
        <v>123</v>
      </c>
      <c r="BM295" s="907" t="s">
        <v>123</v>
      </c>
      <c r="BN295" s="1004" t="s">
        <v>123</v>
      </c>
      <c r="BO295" s="907" t="str">
        <f t="shared" si="6"/>
        <v/>
      </c>
      <c r="BP295" s="907" t="str">
        <f t="shared" si="7"/>
        <v/>
      </c>
      <c r="BQ295" s="907" t="str">
        <f t="shared" si="8"/>
        <v/>
      </c>
      <c r="BR295" s="1004" t="str">
        <f t="shared" si="9"/>
        <v/>
      </c>
      <c r="BS295" s="1005" t="str">
        <f t="shared" si="10"/>
        <v/>
      </c>
      <c r="BT295" s="1006" t="s">
        <v>123</v>
      </c>
      <c r="BU295" s="1002" t="s">
        <v>123</v>
      </c>
      <c r="BV295" s="1006" t="s">
        <v>123</v>
      </c>
      <c r="BW295" s="1007"/>
    </row>
    <row r="296">
      <c r="A296" s="624">
        <v>273.0</v>
      </c>
      <c r="B296" s="1008"/>
      <c r="C296" s="989"/>
      <c r="D296" s="851"/>
      <c r="E296" s="990"/>
      <c r="F296" s="991"/>
      <c r="G296" s="991"/>
      <c r="H296" s="992"/>
      <c r="I296" s="993"/>
      <c r="J296" s="993"/>
      <c r="K296" s="993"/>
      <c r="L296" s="993"/>
      <c r="M296" s="993"/>
      <c r="N296" s="993"/>
      <c r="O296" s="993"/>
      <c r="P296" s="993"/>
      <c r="Q296" s="993"/>
      <c r="R296" s="993"/>
      <c r="S296" s="936"/>
      <c r="T296" s="998"/>
      <c r="U296" s="935"/>
      <c r="V296" s="935"/>
      <c r="W296" s="949" t="str">
        <f>IF(AND($S$20,NOT($U$20)),IF($V296:$V623="","",SUMIF(portfolio.!$A$4:$A623,V296,portfolio.!$AN$4:$AN623)),"")</f>
        <v/>
      </c>
      <c r="X296" s="998"/>
      <c r="Y296" s="936"/>
      <c r="Z296" s="936" t="s">
        <v>123</v>
      </c>
      <c r="AA296" s="936" t="s">
        <v>123</v>
      </c>
      <c r="AB296" s="936" t="s">
        <v>123</v>
      </c>
      <c r="AC296" s="907" t="s">
        <v>123</v>
      </c>
      <c r="AD296" s="999"/>
      <c r="AE296" s="936"/>
      <c r="AF296" s="936"/>
      <c r="AG296" s="936"/>
      <c r="AH296" s="936"/>
      <c r="AI296" s="999"/>
      <c r="AJ296" s="935"/>
      <c r="AK296" s="966"/>
      <c r="AL296" s="949"/>
      <c r="AM296" s="949" t="s">
        <v>123</v>
      </c>
      <c r="AN296" s="949"/>
      <c r="AO296" s="999"/>
      <c r="AP296" s="936"/>
      <c r="AQ296" s="987"/>
      <c r="AR296" s="907"/>
      <c r="AS296" s="907"/>
      <c r="AT296" s="967" t="s">
        <v>123</v>
      </c>
      <c r="AU296" s="967" t="s">
        <v>123</v>
      </c>
      <c r="AV296" s="967" t="s">
        <v>123</v>
      </c>
      <c r="AW296" s="907" t="s">
        <v>123</v>
      </c>
      <c r="AX296" s="907" t="s">
        <v>123</v>
      </c>
      <c r="AY296" s="907" t="s">
        <v>123</v>
      </c>
      <c r="AZ296" s="936" t="s">
        <v>123</v>
      </c>
      <c r="BA296" s="935" t="s">
        <v>123</v>
      </c>
      <c r="BB296" s="1000"/>
      <c r="BC296" s="1001"/>
      <c r="BD296" s="936"/>
      <c r="BE296" s="907"/>
      <c r="BF296" s="1002" t="str">
        <f>IF($BC296="","",SUMIF(portfolio.!$A$4:$A623,BC296,portfolio.!$AN$4:$AN623))</f>
        <v/>
      </c>
      <c r="BG296" s="936" t="s">
        <v>123</v>
      </c>
      <c r="BH296" s="907" t="s">
        <v>123</v>
      </c>
      <c r="BI296" s="935" t="s">
        <v>123</v>
      </c>
      <c r="BJ296" s="1003"/>
      <c r="BK296" s="907" t="s">
        <v>123</v>
      </c>
      <c r="BL296" s="907" t="s">
        <v>123</v>
      </c>
      <c r="BM296" s="907" t="s">
        <v>123</v>
      </c>
      <c r="BN296" s="1004" t="s">
        <v>123</v>
      </c>
      <c r="BO296" s="907" t="str">
        <f t="shared" si="6"/>
        <v/>
      </c>
      <c r="BP296" s="907" t="str">
        <f t="shared" si="7"/>
        <v/>
      </c>
      <c r="BQ296" s="907" t="str">
        <f t="shared" si="8"/>
        <v/>
      </c>
      <c r="BR296" s="1004" t="str">
        <f t="shared" si="9"/>
        <v/>
      </c>
      <c r="BS296" s="1005" t="str">
        <f t="shared" si="10"/>
        <v/>
      </c>
      <c r="BT296" s="1006" t="s">
        <v>123</v>
      </c>
      <c r="BU296" s="1002" t="s">
        <v>123</v>
      </c>
      <c r="BV296" s="1006" t="s">
        <v>123</v>
      </c>
      <c r="BW296" s="1007"/>
    </row>
    <row r="297">
      <c r="A297" s="624">
        <v>274.0</v>
      </c>
      <c r="B297" s="1008"/>
      <c r="C297" s="989"/>
      <c r="D297" s="851"/>
      <c r="E297" s="990"/>
      <c r="F297" s="991"/>
      <c r="G297" s="991"/>
      <c r="H297" s="992"/>
      <c r="I297" s="993"/>
      <c r="J297" s="993"/>
      <c r="K297" s="993"/>
      <c r="L297" s="993"/>
      <c r="M297" s="993"/>
      <c r="N297" s="993"/>
      <c r="O297" s="993"/>
      <c r="P297" s="993"/>
      <c r="Q297" s="993"/>
      <c r="R297" s="993"/>
      <c r="S297" s="936"/>
      <c r="T297" s="998"/>
      <c r="U297" s="935"/>
      <c r="V297" s="935"/>
      <c r="W297" s="949" t="str">
        <f>IF(AND($S$20,NOT($U$20)),IF($V297:$V623="","",SUMIF(portfolio.!$A$4:$A623,V297,portfolio.!$AN$4:$AN623)),"")</f>
        <v/>
      </c>
      <c r="X297" s="998"/>
      <c r="Y297" s="936"/>
      <c r="Z297" s="936" t="s">
        <v>123</v>
      </c>
      <c r="AA297" s="936" t="s">
        <v>123</v>
      </c>
      <c r="AB297" s="936" t="s">
        <v>123</v>
      </c>
      <c r="AC297" s="907" t="s">
        <v>123</v>
      </c>
      <c r="AD297" s="999"/>
      <c r="AE297" s="936"/>
      <c r="AF297" s="936"/>
      <c r="AG297" s="936"/>
      <c r="AH297" s="936"/>
      <c r="AI297" s="999"/>
      <c r="AJ297" s="935"/>
      <c r="AK297" s="966"/>
      <c r="AL297" s="949"/>
      <c r="AM297" s="949" t="s">
        <v>123</v>
      </c>
      <c r="AN297" s="949"/>
      <c r="AO297" s="999"/>
      <c r="AP297" s="936"/>
      <c r="AQ297" s="987"/>
      <c r="AR297" s="907"/>
      <c r="AS297" s="907"/>
      <c r="AT297" s="967" t="s">
        <v>123</v>
      </c>
      <c r="AU297" s="967" t="s">
        <v>123</v>
      </c>
      <c r="AV297" s="967" t="s">
        <v>123</v>
      </c>
      <c r="AW297" s="907" t="s">
        <v>123</v>
      </c>
      <c r="AX297" s="907" t="s">
        <v>123</v>
      </c>
      <c r="AY297" s="907" t="s">
        <v>123</v>
      </c>
      <c r="AZ297" s="936" t="s">
        <v>123</v>
      </c>
      <c r="BA297" s="935" t="s">
        <v>123</v>
      </c>
      <c r="BB297" s="1000"/>
      <c r="BC297" s="1001"/>
      <c r="BD297" s="936"/>
      <c r="BE297" s="907"/>
      <c r="BF297" s="1002" t="str">
        <f>IF($BC297="","",SUMIF(portfolio.!$A$4:$A623,BC297,portfolio.!$AN$4:$AN623))</f>
        <v/>
      </c>
      <c r="BG297" s="936" t="s">
        <v>123</v>
      </c>
      <c r="BH297" s="907" t="s">
        <v>123</v>
      </c>
      <c r="BI297" s="935" t="s">
        <v>123</v>
      </c>
      <c r="BJ297" s="1003"/>
      <c r="BK297" s="907" t="s">
        <v>123</v>
      </c>
      <c r="BL297" s="907" t="s">
        <v>123</v>
      </c>
      <c r="BM297" s="907" t="s">
        <v>123</v>
      </c>
      <c r="BN297" s="1004" t="s">
        <v>123</v>
      </c>
      <c r="BO297" s="907" t="str">
        <f t="shared" si="6"/>
        <v/>
      </c>
      <c r="BP297" s="907" t="str">
        <f t="shared" si="7"/>
        <v/>
      </c>
      <c r="BQ297" s="907" t="str">
        <f t="shared" si="8"/>
        <v/>
      </c>
      <c r="BR297" s="1004" t="str">
        <f t="shared" si="9"/>
        <v/>
      </c>
      <c r="BS297" s="1005" t="str">
        <f t="shared" si="10"/>
        <v/>
      </c>
      <c r="BT297" s="1006" t="s">
        <v>123</v>
      </c>
      <c r="BU297" s="1002" t="s">
        <v>123</v>
      </c>
      <c r="BV297" s="1006" t="s">
        <v>123</v>
      </c>
      <c r="BW297" s="1007"/>
    </row>
    <row r="298">
      <c r="A298" s="624">
        <v>275.0</v>
      </c>
      <c r="B298" s="1008"/>
      <c r="C298" s="989"/>
      <c r="D298" s="851"/>
      <c r="E298" s="990"/>
      <c r="F298" s="991"/>
      <c r="G298" s="991"/>
      <c r="H298" s="992"/>
      <c r="I298" s="993"/>
      <c r="J298" s="993"/>
      <c r="K298" s="993"/>
      <c r="L298" s="993"/>
      <c r="M298" s="993"/>
      <c r="N298" s="993"/>
      <c r="O298" s="993"/>
      <c r="P298" s="993"/>
      <c r="Q298" s="993"/>
      <c r="R298" s="993"/>
      <c r="S298" s="936"/>
      <c r="T298" s="998"/>
      <c r="U298" s="935"/>
      <c r="V298" s="935"/>
      <c r="W298" s="949" t="str">
        <f>IF(AND($S$20,NOT($U$20)),IF($V298:$V623="","",SUMIF(portfolio.!$A$4:$A623,V298,portfolio.!$AN$4:$AN623)),"")</f>
        <v/>
      </c>
      <c r="X298" s="998"/>
      <c r="Y298" s="936"/>
      <c r="Z298" s="936" t="s">
        <v>123</v>
      </c>
      <c r="AA298" s="936" t="s">
        <v>123</v>
      </c>
      <c r="AB298" s="936" t="s">
        <v>123</v>
      </c>
      <c r="AC298" s="907" t="s">
        <v>123</v>
      </c>
      <c r="AD298" s="999"/>
      <c r="AE298" s="936"/>
      <c r="AF298" s="936"/>
      <c r="AG298" s="936"/>
      <c r="AH298" s="936"/>
      <c r="AI298" s="999"/>
      <c r="AJ298" s="935"/>
      <c r="AK298" s="966"/>
      <c r="AL298" s="949"/>
      <c r="AM298" s="949" t="s">
        <v>123</v>
      </c>
      <c r="AN298" s="949"/>
      <c r="AO298" s="999"/>
      <c r="AP298" s="936"/>
      <c r="AQ298" s="987"/>
      <c r="AR298" s="907"/>
      <c r="AS298" s="907"/>
      <c r="AT298" s="967" t="s">
        <v>123</v>
      </c>
      <c r="AU298" s="967" t="s">
        <v>123</v>
      </c>
      <c r="AV298" s="967" t="s">
        <v>123</v>
      </c>
      <c r="AW298" s="907" t="s">
        <v>123</v>
      </c>
      <c r="AX298" s="907" t="s">
        <v>123</v>
      </c>
      <c r="AY298" s="907" t="s">
        <v>123</v>
      </c>
      <c r="AZ298" s="936" t="s">
        <v>123</v>
      </c>
      <c r="BA298" s="935" t="s">
        <v>123</v>
      </c>
      <c r="BB298" s="1000"/>
      <c r="BC298" s="1001"/>
      <c r="BD298" s="936"/>
      <c r="BE298" s="907"/>
      <c r="BF298" s="1002" t="str">
        <f>IF($BC298="","",SUMIF(portfolio.!$A$4:$A623,BC298,portfolio.!$AN$4:$AN623))</f>
        <v/>
      </c>
      <c r="BG298" s="936" t="s">
        <v>123</v>
      </c>
      <c r="BH298" s="907" t="s">
        <v>123</v>
      </c>
      <c r="BI298" s="935" t="s">
        <v>123</v>
      </c>
      <c r="BJ298" s="1003"/>
      <c r="BK298" s="907" t="s">
        <v>123</v>
      </c>
      <c r="BL298" s="907" t="s">
        <v>123</v>
      </c>
      <c r="BM298" s="907" t="s">
        <v>123</v>
      </c>
      <c r="BN298" s="1004" t="s">
        <v>123</v>
      </c>
      <c r="BO298" s="907" t="str">
        <f t="shared" si="6"/>
        <v/>
      </c>
      <c r="BP298" s="907" t="str">
        <f t="shared" si="7"/>
        <v/>
      </c>
      <c r="BQ298" s="907" t="str">
        <f t="shared" si="8"/>
        <v/>
      </c>
      <c r="BR298" s="1004" t="str">
        <f t="shared" si="9"/>
        <v/>
      </c>
      <c r="BS298" s="1005" t="str">
        <f t="shared" si="10"/>
        <v/>
      </c>
      <c r="BT298" s="1006" t="s">
        <v>123</v>
      </c>
      <c r="BU298" s="1002" t="s">
        <v>123</v>
      </c>
      <c r="BV298" s="1006" t="s">
        <v>123</v>
      </c>
      <c r="BW298" s="1007"/>
    </row>
    <row r="299">
      <c r="A299" s="624">
        <v>276.0</v>
      </c>
      <c r="B299" s="1008"/>
      <c r="C299" s="989"/>
      <c r="D299" s="851"/>
      <c r="E299" s="990"/>
      <c r="F299" s="991"/>
      <c r="G299" s="991"/>
      <c r="H299" s="992"/>
      <c r="I299" s="993"/>
      <c r="J299" s="993"/>
      <c r="K299" s="993"/>
      <c r="L299" s="993"/>
      <c r="M299" s="993"/>
      <c r="N299" s="993"/>
      <c r="O299" s="993"/>
      <c r="P299" s="993"/>
      <c r="Q299" s="993"/>
      <c r="R299" s="993"/>
      <c r="S299" s="936"/>
      <c r="T299" s="998"/>
      <c r="U299" s="935"/>
      <c r="V299" s="935"/>
      <c r="W299" s="949" t="str">
        <f>IF(AND($S$20,NOT($U$20)),IF($V299:$V623="","",SUMIF(portfolio.!$A$4:$A623,V299,portfolio.!$AN$4:$AN623)),"")</f>
        <v/>
      </c>
      <c r="X299" s="998"/>
      <c r="Y299" s="936"/>
      <c r="Z299" s="936" t="s">
        <v>123</v>
      </c>
      <c r="AA299" s="936" t="s">
        <v>123</v>
      </c>
      <c r="AB299" s="936" t="s">
        <v>123</v>
      </c>
      <c r="AC299" s="907" t="s">
        <v>123</v>
      </c>
      <c r="AD299" s="999"/>
      <c r="AE299" s="936"/>
      <c r="AF299" s="936"/>
      <c r="AG299" s="936"/>
      <c r="AH299" s="936"/>
      <c r="AI299" s="999"/>
      <c r="AJ299" s="935"/>
      <c r="AK299" s="966"/>
      <c r="AL299" s="949"/>
      <c r="AM299" s="949" t="s">
        <v>123</v>
      </c>
      <c r="AN299" s="949"/>
      <c r="AO299" s="999"/>
      <c r="AP299" s="936"/>
      <c r="AQ299" s="987"/>
      <c r="AR299" s="907"/>
      <c r="AS299" s="907"/>
      <c r="AT299" s="967" t="s">
        <v>123</v>
      </c>
      <c r="AU299" s="967" t="s">
        <v>123</v>
      </c>
      <c r="AV299" s="967" t="s">
        <v>123</v>
      </c>
      <c r="AW299" s="907" t="s">
        <v>123</v>
      </c>
      <c r="AX299" s="907" t="s">
        <v>123</v>
      </c>
      <c r="AY299" s="907" t="s">
        <v>123</v>
      </c>
      <c r="AZ299" s="936" t="s">
        <v>123</v>
      </c>
      <c r="BA299" s="935" t="s">
        <v>123</v>
      </c>
      <c r="BB299" s="1000"/>
      <c r="BC299" s="1001"/>
      <c r="BD299" s="936"/>
      <c r="BE299" s="907"/>
      <c r="BF299" s="1002" t="str">
        <f>IF($BC299="","",SUMIF(portfolio.!$A$4:$A623,BC299,portfolio.!$AN$4:$AN623))</f>
        <v/>
      </c>
      <c r="BG299" s="936" t="s">
        <v>123</v>
      </c>
      <c r="BH299" s="907" t="s">
        <v>123</v>
      </c>
      <c r="BI299" s="935" t="s">
        <v>123</v>
      </c>
      <c r="BJ299" s="1003"/>
      <c r="BK299" s="907" t="s">
        <v>123</v>
      </c>
      <c r="BL299" s="907" t="s">
        <v>123</v>
      </c>
      <c r="BM299" s="907" t="s">
        <v>123</v>
      </c>
      <c r="BN299" s="1004" t="s">
        <v>123</v>
      </c>
      <c r="BO299" s="907" t="str">
        <f t="shared" si="6"/>
        <v/>
      </c>
      <c r="BP299" s="907" t="str">
        <f t="shared" si="7"/>
        <v/>
      </c>
      <c r="BQ299" s="907" t="str">
        <f t="shared" si="8"/>
        <v/>
      </c>
      <c r="BR299" s="1004" t="str">
        <f t="shared" si="9"/>
        <v/>
      </c>
      <c r="BS299" s="1005" t="str">
        <f t="shared" si="10"/>
        <v/>
      </c>
      <c r="BT299" s="1006" t="s">
        <v>123</v>
      </c>
      <c r="BU299" s="1002" t="s">
        <v>123</v>
      </c>
      <c r="BV299" s="1006" t="s">
        <v>123</v>
      </c>
      <c r="BW299" s="1007"/>
    </row>
    <row r="300">
      <c r="A300" s="624">
        <v>277.0</v>
      </c>
      <c r="B300" s="1008"/>
      <c r="C300" s="989"/>
      <c r="D300" s="851"/>
      <c r="E300" s="990"/>
      <c r="F300" s="991"/>
      <c r="G300" s="991"/>
      <c r="H300" s="992"/>
      <c r="I300" s="993"/>
      <c r="J300" s="993"/>
      <c r="K300" s="993"/>
      <c r="L300" s="993"/>
      <c r="M300" s="993"/>
      <c r="N300" s="993"/>
      <c r="O300" s="993"/>
      <c r="P300" s="993"/>
      <c r="Q300" s="993"/>
      <c r="R300" s="993"/>
      <c r="S300" s="936"/>
      <c r="T300" s="998"/>
      <c r="U300" s="935"/>
      <c r="V300" s="935"/>
      <c r="W300" s="949" t="str">
        <f>IF(AND($S$20,NOT($U$20)),IF($V300:$V623="","",SUMIF(portfolio.!$A$4:$A623,V300,portfolio.!$AN$4:$AN623)),"")</f>
        <v/>
      </c>
      <c r="X300" s="998"/>
      <c r="Y300" s="936"/>
      <c r="Z300" s="936" t="s">
        <v>123</v>
      </c>
      <c r="AA300" s="936" t="s">
        <v>123</v>
      </c>
      <c r="AB300" s="936" t="s">
        <v>123</v>
      </c>
      <c r="AC300" s="907" t="s">
        <v>123</v>
      </c>
      <c r="AD300" s="999"/>
      <c r="AE300" s="936"/>
      <c r="AF300" s="936"/>
      <c r="AG300" s="936"/>
      <c r="AH300" s="936"/>
      <c r="AI300" s="999"/>
      <c r="AJ300" s="935"/>
      <c r="AK300" s="966"/>
      <c r="AL300" s="949"/>
      <c r="AM300" s="949" t="s">
        <v>123</v>
      </c>
      <c r="AN300" s="949"/>
      <c r="AO300" s="999"/>
      <c r="AP300" s="936"/>
      <c r="AQ300" s="987"/>
      <c r="AR300" s="907"/>
      <c r="AS300" s="907"/>
      <c r="AT300" s="967" t="s">
        <v>123</v>
      </c>
      <c r="AU300" s="967" t="s">
        <v>123</v>
      </c>
      <c r="AV300" s="967" t="s">
        <v>123</v>
      </c>
      <c r="AW300" s="907" t="s">
        <v>123</v>
      </c>
      <c r="AX300" s="907" t="s">
        <v>123</v>
      </c>
      <c r="AY300" s="907" t="s">
        <v>123</v>
      </c>
      <c r="AZ300" s="936" t="s">
        <v>123</v>
      </c>
      <c r="BA300" s="935" t="s">
        <v>123</v>
      </c>
      <c r="BB300" s="1000"/>
      <c r="BC300" s="1001"/>
      <c r="BD300" s="936"/>
      <c r="BE300" s="907"/>
      <c r="BF300" s="1002" t="str">
        <f>IF($BC300="","",SUMIF(portfolio.!$A$4:$A623,BC300,portfolio.!$AN$4:$AN623))</f>
        <v/>
      </c>
      <c r="BG300" s="936" t="s">
        <v>123</v>
      </c>
      <c r="BH300" s="907" t="s">
        <v>123</v>
      </c>
      <c r="BI300" s="935" t="s">
        <v>123</v>
      </c>
      <c r="BJ300" s="1003"/>
      <c r="BK300" s="907" t="s">
        <v>123</v>
      </c>
      <c r="BL300" s="907" t="s">
        <v>123</v>
      </c>
      <c r="BM300" s="907" t="s">
        <v>123</v>
      </c>
      <c r="BN300" s="1004" t="s">
        <v>123</v>
      </c>
      <c r="BO300" s="907" t="str">
        <f t="shared" si="6"/>
        <v/>
      </c>
      <c r="BP300" s="907" t="str">
        <f t="shared" si="7"/>
        <v/>
      </c>
      <c r="BQ300" s="907" t="str">
        <f t="shared" si="8"/>
        <v/>
      </c>
      <c r="BR300" s="1004" t="str">
        <f t="shared" si="9"/>
        <v/>
      </c>
      <c r="BS300" s="1005" t="str">
        <f t="shared" si="10"/>
        <v/>
      </c>
      <c r="BT300" s="1006" t="s">
        <v>123</v>
      </c>
      <c r="BU300" s="1002" t="s">
        <v>123</v>
      </c>
      <c r="BV300" s="1006" t="s">
        <v>123</v>
      </c>
      <c r="BW300" s="1007"/>
    </row>
    <row r="301">
      <c r="A301" s="624">
        <v>278.0</v>
      </c>
      <c r="B301" s="1008"/>
      <c r="C301" s="989"/>
      <c r="D301" s="851"/>
      <c r="E301" s="990"/>
      <c r="F301" s="991"/>
      <c r="G301" s="991"/>
      <c r="H301" s="992"/>
      <c r="I301" s="993"/>
      <c r="J301" s="993"/>
      <c r="K301" s="993"/>
      <c r="L301" s="993"/>
      <c r="M301" s="993"/>
      <c r="N301" s="993"/>
      <c r="O301" s="993"/>
      <c r="P301" s="993"/>
      <c r="Q301" s="993"/>
      <c r="R301" s="993"/>
      <c r="S301" s="936"/>
      <c r="T301" s="998"/>
      <c r="U301" s="935"/>
      <c r="V301" s="935"/>
      <c r="W301" s="949" t="str">
        <f>IF(AND($S$20,NOT($U$20)),IF($V301:$V623="","",SUMIF(portfolio.!$A$4:$A623,V301,portfolio.!$AN$4:$AN623)),"")</f>
        <v/>
      </c>
      <c r="X301" s="998"/>
      <c r="Y301" s="936"/>
      <c r="Z301" s="936" t="s">
        <v>123</v>
      </c>
      <c r="AA301" s="936" t="s">
        <v>123</v>
      </c>
      <c r="AB301" s="936" t="s">
        <v>123</v>
      </c>
      <c r="AC301" s="907" t="s">
        <v>123</v>
      </c>
      <c r="AD301" s="999"/>
      <c r="AE301" s="936"/>
      <c r="AF301" s="936"/>
      <c r="AG301" s="936"/>
      <c r="AH301" s="936"/>
      <c r="AI301" s="999"/>
      <c r="AJ301" s="935"/>
      <c r="AK301" s="966"/>
      <c r="AL301" s="949"/>
      <c r="AM301" s="949" t="s">
        <v>123</v>
      </c>
      <c r="AN301" s="949"/>
      <c r="AO301" s="999"/>
      <c r="AP301" s="936"/>
      <c r="AQ301" s="987"/>
      <c r="AR301" s="907"/>
      <c r="AS301" s="907"/>
      <c r="AT301" s="967" t="s">
        <v>123</v>
      </c>
      <c r="AU301" s="967" t="s">
        <v>123</v>
      </c>
      <c r="AV301" s="967" t="s">
        <v>123</v>
      </c>
      <c r="AW301" s="907" t="s">
        <v>123</v>
      </c>
      <c r="AX301" s="907" t="s">
        <v>123</v>
      </c>
      <c r="AY301" s="907" t="s">
        <v>123</v>
      </c>
      <c r="AZ301" s="936" t="s">
        <v>123</v>
      </c>
      <c r="BA301" s="935" t="s">
        <v>123</v>
      </c>
      <c r="BB301" s="1000"/>
      <c r="BC301" s="1001"/>
      <c r="BD301" s="936"/>
      <c r="BE301" s="907"/>
      <c r="BF301" s="1002" t="str">
        <f>IF($BC301="","",SUMIF(portfolio.!$A$4:$A623,BC301,portfolio.!$AN$4:$AN623))</f>
        <v/>
      </c>
      <c r="BG301" s="936" t="s">
        <v>123</v>
      </c>
      <c r="BH301" s="907" t="s">
        <v>123</v>
      </c>
      <c r="BI301" s="935" t="s">
        <v>123</v>
      </c>
      <c r="BJ301" s="1003"/>
      <c r="BK301" s="907" t="s">
        <v>123</v>
      </c>
      <c r="BL301" s="907" t="s">
        <v>123</v>
      </c>
      <c r="BM301" s="907" t="s">
        <v>123</v>
      </c>
      <c r="BN301" s="1004" t="s">
        <v>123</v>
      </c>
      <c r="BO301" s="907" t="str">
        <f t="shared" si="6"/>
        <v/>
      </c>
      <c r="BP301" s="907" t="str">
        <f t="shared" si="7"/>
        <v/>
      </c>
      <c r="BQ301" s="907" t="str">
        <f t="shared" si="8"/>
        <v/>
      </c>
      <c r="BR301" s="1004" t="str">
        <f t="shared" si="9"/>
        <v/>
      </c>
      <c r="BS301" s="1005" t="str">
        <f t="shared" si="10"/>
        <v/>
      </c>
      <c r="BT301" s="1006" t="s">
        <v>123</v>
      </c>
      <c r="BU301" s="1002" t="s">
        <v>123</v>
      </c>
      <c r="BV301" s="1006" t="s">
        <v>123</v>
      </c>
      <c r="BW301" s="1007"/>
    </row>
    <row r="302">
      <c r="A302" s="624">
        <v>279.0</v>
      </c>
      <c r="B302" s="1008"/>
      <c r="C302" s="989"/>
      <c r="D302" s="851"/>
      <c r="E302" s="990"/>
      <c r="F302" s="991"/>
      <c r="G302" s="991"/>
      <c r="H302" s="992"/>
      <c r="I302" s="993"/>
      <c r="J302" s="993"/>
      <c r="K302" s="993"/>
      <c r="L302" s="993"/>
      <c r="M302" s="993"/>
      <c r="N302" s="993"/>
      <c r="O302" s="993"/>
      <c r="P302" s="993"/>
      <c r="Q302" s="993"/>
      <c r="R302" s="993"/>
      <c r="S302" s="936"/>
      <c r="T302" s="998"/>
      <c r="U302" s="935"/>
      <c r="V302" s="935"/>
      <c r="W302" s="949" t="str">
        <f>IF(AND($S$20,NOT($U$20)),IF($V302:$V623="","",SUMIF(portfolio.!$A$4:$A623,V302,portfolio.!$AN$4:$AN623)),"")</f>
        <v/>
      </c>
      <c r="X302" s="998"/>
      <c r="Y302" s="936"/>
      <c r="Z302" s="936" t="s">
        <v>123</v>
      </c>
      <c r="AA302" s="936" t="s">
        <v>123</v>
      </c>
      <c r="AB302" s="936" t="s">
        <v>123</v>
      </c>
      <c r="AC302" s="907" t="s">
        <v>123</v>
      </c>
      <c r="AD302" s="999"/>
      <c r="AE302" s="936"/>
      <c r="AF302" s="936"/>
      <c r="AG302" s="936"/>
      <c r="AH302" s="936"/>
      <c r="AI302" s="999"/>
      <c r="AJ302" s="935"/>
      <c r="AK302" s="966"/>
      <c r="AL302" s="949"/>
      <c r="AM302" s="949" t="s">
        <v>123</v>
      </c>
      <c r="AN302" s="949"/>
      <c r="AO302" s="999"/>
      <c r="AP302" s="936"/>
      <c r="AQ302" s="987"/>
      <c r="AR302" s="907"/>
      <c r="AS302" s="907"/>
      <c r="AT302" s="967" t="s">
        <v>123</v>
      </c>
      <c r="AU302" s="967" t="s">
        <v>123</v>
      </c>
      <c r="AV302" s="967" t="s">
        <v>123</v>
      </c>
      <c r="AW302" s="907" t="s">
        <v>123</v>
      </c>
      <c r="AX302" s="907" t="s">
        <v>123</v>
      </c>
      <c r="AY302" s="907" t="s">
        <v>123</v>
      </c>
      <c r="AZ302" s="936" t="s">
        <v>123</v>
      </c>
      <c r="BA302" s="935" t="s">
        <v>123</v>
      </c>
      <c r="BB302" s="1000"/>
      <c r="BC302" s="1001"/>
      <c r="BD302" s="936"/>
      <c r="BE302" s="907"/>
      <c r="BF302" s="1002" t="str">
        <f>IF($BC302="","",SUMIF(portfolio.!$A$4:$A623,BC302,portfolio.!$AN$4:$AN623))</f>
        <v/>
      </c>
      <c r="BG302" s="936" t="s">
        <v>123</v>
      </c>
      <c r="BH302" s="907" t="s">
        <v>123</v>
      </c>
      <c r="BI302" s="935" t="s">
        <v>123</v>
      </c>
      <c r="BJ302" s="1003"/>
      <c r="BK302" s="907" t="s">
        <v>123</v>
      </c>
      <c r="BL302" s="907" t="s">
        <v>123</v>
      </c>
      <c r="BM302" s="907" t="s">
        <v>123</v>
      </c>
      <c r="BN302" s="1004" t="s">
        <v>123</v>
      </c>
      <c r="BO302" s="907" t="str">
        <f t="shared" si="6"/>
        <v/>
      </c>
      <c r="BP302" s="907" t="str">
        <f t="shared" si="7"/>
        <v/>
      </c>
      <c r="BQ302" s="907" t="str">
        <f t="shared" si="8"/>
        <v/>
      </c>
      <c r="BR302" s="1004" t="str">
        <f t="shared" si="9"/>
        <v/>
      </c>
      <c r="BS302" s="1005" t="str">
        <f t="shared" si="10"/>
        <v/>
      </c>
      <c r="BT302" s="1006" t="s">
        <v>123</v>
      </c>
      <c r="BU302" s="1002" t="s">
        <v>123</v>
      </c>
      <c r="BV302" s="1006" t="s">
        <v>123</v>
      </c>
      <c r="BW302" s="1007"/>
    </row>
    <row r="303">
      <c r="A303" s="624">
        <v>280.0</v>
      </c>
      <c r="B303" s="1008"/>
      <c r="C303" s="989"/>
      <c r="D303" s="851"/>
      <c r="E303" s="990"/>
      <c r="F303" s="991"/>
      <c r="G303" s="991"/>
      <c r="H303" s="992"/>
      <c r="I303" s="993"/>
      <c r="J303" s="993"/>
      <c r="K303" s="993"/>
      <c r="L303" s="993"/>
      <c r="M303" s="993"/>
      <c r="N303" s="993"/>
      <c r="O303" s="993"/>
      <c r="P303" s="993"/>
      <c r="Q303" s="993"/>
      <c r="R303" s="993"/>
      <c r="S303" s="936"/>
      <c r="T303" s="998"/>
      <c r="U303" s="935"/>
      <c r="V303" s="935"/>
      <c r="W303" s="949" t="str">
        <f>IF(AND($S$20,NOT($U$20)),IF($V303:$V623="","",SUMIF(portfolio.!$A$4:$A623,V303,portfolio.!$AN$4:$AN623)),"")</f>
        <v/>
      </c>
      <c r="X303" s="998"/>
      <c r="Y303" s="936"/>
      <c r="Z303" s="936" t="s">
        <v>123</v>
      </c>
      <c r="AA303" s="936" t="s">
        <v>123</v>
      </c>
      <c r="AB303" s="936" t="s">
        <v>123</v>
      </c>
      <c r="AC303" s="907" t="s">
        <v>123</v>
      </c>
      <c r="AD303" s="999"/>
      <c r="AE303" s="936"/>
      <c r="AF303" s="936"/>
      <c r="AG303" s="936"/>
      <c r="AH303" s="936"/>
      <c r="AI303" s="999"/>
      <c r="AJ303" s="935"/>
      <c r="AK303" s="966"/>
      <c r="AL303" s="949"/>
      <c r="AM303" s="949" t="s">
        <v>123</v>
      </c>
      <c r="AN303" s="949"/>
      <c r="AO303" s="999"/>
      <c r="AP303" s="936"/>
      <c r="AQ303" s="987"/>
      <c r="AR303" s="907"/>
      <c r="AS303" s="907"/>
      <c r="AT303" s="967" t="s">
        <v>123</v>
      </c>
      <c r="AU303" s="967" t="s">
        <v>123</v>
      </c>
      <c r="AV303" s="967" t="s">
        <v>123</v>
      </c>
      <c r="AW303" s="907" t="s">
        <v>123</v>
      </c>
      <c r="AX303" s="907" t="s">
        <v>123</v>
      </c>
      <c r="AY303" s="907" t="s">
        <v>123</v>
      </c>
      <c r="AZ303" s="936" t="s">
        <v>123</v>
      </c>
      <c r="BA303" s="935" t="s">
        <v>123</v>
      </c>
      <c r="BB303" s="1000"/>
      <c r="BC303" s="1001"/>
      <c r="BD303" s="936"/>
      <c r="BE303" s="907"/>
      <c r="BF303" s="1002" t="str">
        <f>IF($BC303="","",SUMIF(portfolio.!$A$4:$A623,BC303,portfolio.!$AN$4:$AN623))</f>
        <v/>
      </c>
      <c r="BG303" s="936" t="s">
        <v>123</v>
      </c>
      <c r="BH303" s="907" t="s">
        <v>123</v>
      </c>
      <c r="BI303" s="935" t="s">
        <v>123</v>
      </c>
      <c r="BJ303" s="1003"/>
      <c r="BK303" s="907" t="s">
        <v>123</v>
      </c>
      <c r="BL303" s="907" t="s">
        <v>123</v>
      </c>
      <c r="BM303" s="907" t="s">
        <v>123</v>
      </c>
      <c r="BN303" s="1004" t="s">
        <v>123</v>
      </c>
      <c r="BO303" s="907" t="str">
        <f t="shared" si="6"/>
        <v/>
      </c>
      <c r="BP303" s="907" t="str">
        <f t="shared" si="7"/>
        <v/>
      </c>
      <c r="BQ303" s="907" t="str">
        <f t="shared" si="8"/>
        <v/>
      </c>
      <c r="BR303" s="1004" t="str">
        <f t="shared" si="9"/>
        <v/>
      </c>
      <c r="BS303" s="1005" t="str">
        <f t="shared" si="10"/>
        <v/>
      </c>
      <c r="BT303" s="1006" t="s">
        <v>123</v>
      </c>
      <c r="BU303" s="1002" t="s">
        <v>123</v>
      </c>
      <c r="BV303" s="1006" t="s">
        <v>123</v>
      </c>
      <c r="BW303" s="1007"/>
    </row>
    <row r="304">
      <c r="A304" s="624">
        <v>281.0</v>
      </c>
      <c r="B304" s="1008"/>
      <c r="C304" s="989"/>
      <c r="D304" s="851"/>
      <c r="E304" s="990"/>
      <c r="F304" s="991"/>
      <c r="G304" s="991"/>
      <c r="H304" s="992"/>
      <c r="I304" s="993"/>
      <c r="J304" s="993"/>
      <c r="K304" s="993"/>
      <c r="L304" s="993"/>
      <c r="M304" s="993"/>
      <c r="N304" s="993"/>
      <c r="O304" s="993"/>
      <c r="P304" s="993"/>
      <c r="Q304" s="993"/>
      <c r="R304" s="993"/>
      <c r="S304" s="936"/>
      <c r="T304" s="998"/>
      <c r="U304" s="935"/>
      <c r="V304" s="935"/>
      <c r="W304" s="949" t="str">
        <f>IF(AND($S$20,NOT($U$20)),IF($V304:$V623="","",SUMIF(portfolio.!$A$4:$A623,V304,portfolio.!$AN$4:$AN623)),"")</f>
        <v/>
      </c>
      <c r="X304" s="998"/>
      <c r="Y304" s="936"/>
      <c r="Z304" s="936" t="s">
        <v>123</v>
      </c>
      <c r="AA304" s="936" t="s">
        <v>123</v>
      </c>
      <c r="AB304" s="936" t="s">
        <v>123</v>
      </c>
      <c r="AC304" s="907" t="s">
        <v>123</v>
      </c>
      <c r="AD304" s="999"/>
      <c r="AE304" s="936"/>
      <c r="AF304" s="936"/>
      <c r="AG304" s="936"/>
      <c r="AH304" s="936"/>
      <c r="AI304" s="999"/>
      <c r="AJ304" s="935"/>
      <c r="AK304" s="966"/>
      <c r="AL304" s="949"/>
      <c r="AM304" s="949" t="s">
        <v>123</v>
      </c>
      <c r="AN304" s="949"/>
      <c r="AO304" s="999"/>
      <c r="AP304" s="936"/>
      <c r="AQ304" s="987"/>
      <c r="AR304" s="907"/>
      <c r="AS304" s="907"/>
      <c r="AT304" s="967" t="s">
        <v>123</v>
      </c>
      <c r="AU304" s="967" t="s">
        <v>123</v>
      </c>
      <c r="AV304" s="967" t="s">
        <v>123</v>
      </c>
      <c r="AW304" s="907" t="s">
        <v>123</v>
      </c>
      <c r="AX304" s="907" t="s">
        <v>123</v>
      </c>
      <c r="AY304" s="907" t="s">
        <v>123</v>
      </c>
      <c r="AZ304" s="936" t="s">
        <v>123</v>
      </c>
      <c r="BA304" s="935" t="s">
        <v>123</v>
      </c>
      <c r="BB304" s="1000"/>
      <c r="BC304" s="1001"/>
      <c r="BD304" s="936"/>
      <c r="BE304" s="907"/>
      <c r="BF304" s="1002" t="str">
        <f>IF($BC304="","",SUMIF(portfolio.!$A$4:$A623,BC304,portfolio.!$AN$4:$AN623))</f>
        <v/>
      </c>
      <c r="BG304" s="936" t="s">
        <v>123</v>
      </c>
      <c r="BH304" s="907" t="s">
        <v>123</v>
      </c>
      <c r="BI304" s="935" t="s">
        <v>123</v>
      </c>
      <c r="BJ304" s="1003"/>
      <c r="BK304" s="907" t="s">
        <v>123</v>
      </c>
      <c r="BL304" s="907" t="s">
        <v>123</v>
      </c>
      <c r="BM304" s="907" t="s">
        <v>123</v>
      </c>
      <c r="BN304" s="1004" t="s">
        <v>123</v>
      </c>
      <c r="BO304" s="907" t="str">
        <f t="shared" si="6"/>
        <v/>
      </c>
      <c r="BP304" s="907" t="str">
        <f t="shared" si="7"/>
        <v/>
      </c>
      <c r="BQ304" s="907" t="str">
        <f t="shared" si="8"/>
        <v/>
      </c>
      <c r="BR304" s="1004" t="str">
        <f t="shared" si="9"/>
        <v/>
      </c>
      <c r="BS304" s="1005" t="str">
        <f t="shared" si="10"/>
        <v/>
      </c>
      <c r="BT304" s="1006" t="s">
        <v>123</v>
      </c>
      <c r="BU304" s="1002" t="s">
        <v>123</v>
      </c>
      <c r="BV304" s="1006" t="s">
        <v>123</v>
      </c>
      <c r="BW304" s="1007"/>
    </row>
    <row r="305">
      <c r="A305" s="624">
        <v>282.0</v>
      </c>
      <c r="B305" s="1008"/>
      <c r="C305" s="989"/>
      <c r="D305" s="851"/>
      <c r="E305" s="990"/>
      <c r="F305" s="991"/>
      <c r="G305" s="991"/>
      <c r="H305" s="992"/>
      <c r="I305" s="993"/>
      <c r="J305" s="993"/>
      <c r="K305" s="993"/>
      <c r="L305" s="993"/>
      <c r="M305" s="993"/>
      <c r="N305" s="993"/>
      <c r="O305" s="993"/>
      <c r="P305" s="993"/>
      <c r="Q305" s="993"/>
      <c r="R305" s="993"/>
      <c r="S305" s="936"/>
      <c r="T305" s="998"/>
      <c r="U305" s="935"/>
      <c r="V305" s="935"/>
      <c r="W305" s="949" t="str">
        <f>IF(AND($S$20,NOT($U$20)),IF($V305:$V623="","",SUMIF(portfolio.!$A$4:$A623,V305,portfolio.!$AN$4:$AN623)),"")</f>
        <v/>
      </c>
      <c r="X305" s="998"/>
      <c r="Y305" s="936"/>
      <c r="Z305" s="936" t="s">
        <v>123</v>
      </c>
      <c r="AA305" s="936" t="s">
        <v>123</v>
      </c>
      <c r="AB305" s="936" t="s">
        <v>123</v>
      </c>
      <c r="AC305" s="907" t="s">
        <v>123</v>
      </c>
      <c r="AD305" s="999"/>
      <c r="AE305" s="936"/>
      <c r="AF305" s="936"/>
      <c r="AG305" s="936"/>
      <c r="AH305" s="936"/>
      <c r="AI305" s="999"/>
      <c r="AJ305" s="935"/>
      <c r="AK305" s="966"/>
      <c r="AL305" s="949"/>
      <c r="AM305" s="949" t="s">
        <v>123</v>
      </c>
      <c r="AN305" s="949"/>
      <c r="AO305" s="999"/>
      <c r="AP305" s="936"/>
      <c r="AQ305" s="987"/>
      <c r="AR305" s="907"/>
      <c r="AS305" s="907"/>
      <c r="AT305" s="967" t="s">
        <v>123</v>
      </c>
      <c r="AU305" s="967" t="s">
        <v>123</v>
      </c>
      <c r="AV305" s="967" t="s">
        <v>123</v>
      </c>
      <c r="AW305" s="907" t="s">
        <v>123</v>
      </c>
      <c r="AX305" s="907" t="s">
        <v>123</v>
      </c>
      <c r="AY305" s="907" t="s">
        <v>123</v>
      </c>
      <c r="AZ305" s="936" t="s">
        <v>123</v>
      </c>
      <c r="BA305" s="935" t="s">
        <v>123</v>
      </c>
      <c r="BB305" s="1000"/>
      <c r="BC305" s="1001"/>
      <c r="BD305" s="936"/>
      <c r="BE305" s="907"/>
      <c r="BF305" s="1002" t="str">
        <f>IF($BC305="","",SUMIF(portfolio.!$A$4:$A623,BC305,portfolio.!$AN$4:$AN623))</f>
        <v/>
      </c>
      <c r="BG305" s="936" t="s">
        <v>123</v>
      </c>
      <c r="BH305" s="907" t="s">
        <v>123</v>
      </c>
      <c r="BI305" s="935" t="s">
        <v>123</v>
      </c>
      <c r="BJ305" s="1003"/>
      <c r="BK305" s="907" t="s">
        <v>123</v>
      </c>
      <c r="BL305" s="907" t="s">
        <v>123</v>
      </c>
      <c r="BM305" s="907" t="s">
        <v>123</v>
      </c>
      <c r="BN305" s="1004" t="s">
        <v>123</v>
      </c>
      <c r="BO305" s="907" t="str">
        <f t="shared" si="6"/>
        <v/>
      </c>
      <c r="BP305" s="907" t="str">
        <f t="shared" si="7"/>
        <v/>
      </c>
      <c r="BQ305" s="907" t="str">
        <f t="shared" si="8"/>
        <v/>
      </c>
      <c r="BR305" s="1004" t="str">
        <f t="shared" si="9"/>
        <v/>
      </c>
      <c r="BS305" s="1005" t="str">
        <f t="shared" si="10"/>
        <v/>
      </c>
      <c r="BT305" s="1006" t="s">
        <v>123</v>
      </c>
      <c r="BU305" s="1002" t="s">
        <v>123</v>
      </c>
      <c r="BV305" s="1006" t="s">
        <v>123</v>
      </c>
      <c r="BW305" s="1007"/>
    </row>
    <row r="306">
      <c r="A306" s="624">
        <v>283.0</v>
      </c>
      <c r="B306" s="1008"/>
      <c r="C306" s="989"/>
      <c r="D306" s="851"/>
      <c r="E306" s="990"/>
      <c r="F306" s="991"/>
      <c r="G306" s="991"/>
      <c r="H306" s="992"/>
      <c r="I306" s="993"/>
      <c r="J306" s="993"/>
      <c r="K306" s="993"/>
      <c r="L306" s="993"/>
      <c r="M306" s="993"/>
      <c r="N306" s="993"/>
      <c r="O306" s="993"/>
      <c r="P306" s="993"/>
      <c r="Q306" s="993"/>
      <c r="R306" s="993"/>
      <c r="S306" s="936"/>
      <c r="T306" s="998"/>
      <c r="U306" s="935"/>
      <c r="V306" s="935"/>
      <c r="W306" s="949" t="str">
        <f>IF(AND($S$20,NOT($U$20)),IF($V306:$V623="","",SUMIF(portfolio.!$A$4:$A623,V306,portfolio.!$AN$4:$AN623)),"")</f>
        <v/>
      </c>
      <c r="X306" s="998"/>
      <c r="Y306" s="936"/>
      <c r="Z306" s="936" t="s">
        <v>123</v>
      </c>
      <c r="AA306" s="936" t="s">
        <v>123</v>
      </c>
      <c r="AB306" s="936" t="s">
        <v>123</v>
      </c>
      <c r="AC306" s="907" t="s">
        <v>123</v>
      </c>
      <c r="AD306" s="999"/>
      <c r="AE306" s="936"/>
      <c r="AF306" s="936"/>
      <c r="AG306" s="936"/>
      <c r="AH306" s="936"/>
      <c r="AI306" s="999"/>
      <c r="AJ306" s="935"/>
      <c r="AK306" s="966"/>
      <c r="AL306" s="949"/>
      <c r="AM306" s="949" t="s">
        <v>123</v>
      </c>
      <c r="AN306" s="949"/>
      <c r="AO306" s="999"/>
      <c r="AP306" s="936"/>
      <c r="AQ306" s="987"/>
      <c r="AR306" s="907"/>
      <c r="AS306" s="907"/>
      <c r="AT306" s="967" t="s">
        <v>123</v>
      </c>
      <c r="AU306" s="967" t="s">
        <v>123</v>
      </c>
      <c r="AV306" s="967" t="s">
        <v>123</v>
      </c>
      <c r="AW306" s="907" t="s">
        <v>123</v>
      </c>
      <c r="AX306" s="907" t="s">
        <v>123</v>
      </c>
      <c r="AY306" s="907" t="s">
        <v>123</v>
      </c>
      <c r="AZ306" s="936" t="s">
        <v>123</v>
      </c>
      <c r="BA306" s="935" t="s">
        <v>123</v>
      </c>
      <c r="BB306" s="1000"/>
      <c r="BC306" s="1001"/>
      <c r="BD306" s="936"/>
      <c r="BE306" s="907"/>
      <c r="BF306" s="1002" t="str">
        <f>IF($BC306="","",SUMIF(portfolio.!$A$4:$A623,BC306,portfolio.!$AN$4:$AN623))</f>
        <v/>
      </c>
      <c r="BG306" s="936" t="s">
        <v>123</v>
      </c>
      <c r="BH306" s="907" t="s">
        <v>123</v>
      </c>
      <c r="BI306" s="935" t="s">
        <v>123</v>
      </c>
      <c r="BJ306" s="1003"/>
      <c r="BK306" s="907" t="s">
        <v>123</v>
      </c>
      <c r="BL306" s="907" t="s">
        <v>123</v>
      </c>
      <c r="BM306" s="907" t="s">
        <v>123</v>
      </c>
      <c r="BN306" s="1004" t="s">
        <v>123</v>
      </c>
      <c r="BO306" s="907" t="str">
        <f t="shared" si="6"/>
        <v/>
      </c>
      <c r="BP306" s="907" t="str">
        <f t="shared" si="7"/>
        <v/>
      </c>
      <c r="BQ306" s="907" t="str">
        <f t="shared" si="8"/>
        <v/>
      </c>
      <c r="BR306" s="1004" t="str">
        <f t="shared" si="9"/>
        <v/>
      </c>
      <c r="BS306" s="1005" t="str">
        <f t="shared" si="10"/>
        <v/>
      </c>
      <c r="BT306" s="1006" t="s">
        <v>123</v>
      </c>
      <c r="BU306" s="1002" t="s">
        <v>123</v>
      </c>
      <c r="BV306" s="1006" t="s">
        <v>123</v>
      </c>
      <c r="BW306" s="1007"/>
    </row>
    <row r="307">
      <c r="A307" s="624">
        <v>284.0</v>
      </c>
      <c r="B307" s="1008"/>
      <c r="C307" s="989"/>
      <c r="D307" s="851"/>
      <c r="E307" s="990"/>
      <c r="F307" s="991"/>
      <c r="G307" s="991"/>
      <c r="H307" s="992"/>
      <c r="I307" s="993"/>
      <c r="J307" s="993"/>
      <c r="K307" s="993"/>
      <c r="L307" s="993"/>
      <c r="M307" s="993"/>
      <c r="N307" s="993"/>
      <c r="O307" s="993"/>
      <c r="P307" s="993"/>
      <c r="Q307" s="993"/>
      <c r="R307" s="993"/>
      <c r="S307" s="936"/>
      <c r="T307" s="998"/>
      <c r="U307" s="935"/>
      <c r="V307" s="935"/>
      <c r="W307" s="949" t="str">
        <f>IF(AND($S$20,NOT($U$20)),IF($V307:$V623="","",SUMIF(portfolio.!$A$4:$A623,V307,portfolio.!$AN$4:$AN623)),"")</f>
        <v/>
      </c>
      <c r="X307" s="998"/>
      <c r="Y307" s="936"/>
      <c r="Z307" s="936" t="s">
        <v>123</v>
      </c>
      <c r="AA307" s="936" t="s">
        <v>123</v>
      </c>
      <c r="AB307" s="936" t="s">
        <v>123</v>
      </c>
      <c r="AC307" s="907" t="s">
        <v>123</v>
      </c>
      <c r="AD307" s="999"/>
      <c r="AE307" s="936"/>
      <c r="AF307" s="936"/>
      <c r="AG307" s="936"/>
      <c r="AH307" s="936"/>
      <c r="AI307" s="999"/>
      <c r="AJ307" s="935"/>
      <c r="AK307" s="966"/>
      <c r="AL307" s="949"/>
      <c r="AM307" s="949" t="s">
        <v>123</v>
      </c>
      <c r="AN307" s="949"/>
      <c r="AO307" s="999"/>
      <c r="AP307" s="936"/>
      <c r="AQ307" s="987"/>
      <c r="AR307" s="907"/>
      <c r="AS307" s="907"/>
      <c r="AT307" s="967" t="s">
        <v>123</v>
      </c>
      <c r="AU307" s="967" t="s">
        <v>123</v>
      </c>
      <c r="AV307" s="967" t="s">
        <v>123</v>
      </c>
      <c r="AW307" s="907" t="s">
        <v>123</v>
      </c>
      <c r="AX307" s="907" t="s">
        <v>123</v>
      </c>
      <c r="AY307" s="907" t="s">
        <v>123</v>
      </c>
      <c r="AZ307" s="936" t="s">
        <v>123</v>
      </c>
      <c r="BA307" s="935" t="s">
        <v>123</v>
      </c>
      <c r="BB307" s="1000"/>
      <c r="BC307" s="1001"/>
      <c r="BD307" s="936"/>
      <c r="BE307" s="907"/>
      <c r="BF307" s="1002" t="str">
        <f>IF($BC307="","",SUMIF(portfolio.!$A$4:$A623,BC307,portfolio.!$AN$4:$AN623))</f>
        <v/>
      </c>
      <c r="BG307" s="936" t="s">
        <v>123</v>
      </c>
      <c r="BH307" s="907" t="s">
        <v>123</v>
      </c>
      <c r="BI307" s="935" t="s">
        <v>123</v>
      </c>
      <c r="BJ307" s="1003"/>
      <c r="BK307" s="907" t="s">
        <v>123</v>
      </c>
      <c r="BL307" s="907" t="s">
        <v>123</v>
      </c>
      <c r="BM307" s="907" t="s">
        <v>123</v>
      </c>
      <c r="BN307" s="1004" t="s">
        <v>123</v>
      </c>
      <c r="BO307" s="907" t="str">
        <f t="shared" si="6"/>
        <v/>
      </c>
      <c r="BP307" s="907" t="str">
        <f t="shared" si="7"/>
        <v/>
      </c>
      <c r="BQ307" s="907" t="str">
        <f t="shared" si="8"/>
        <v/>
      </c>
      <c r="BR307" s="1004" t="str">
        <f t="shared" si="9"/>
        <v/>
      </c>
      <c r="BS307" s="1005" t="str">
        <f t="shared" si="10"/>
        <v/>
      </c>
      <c r="BT307" s="1006" t="s">
        <v>123</v>
      </c>
      <c r="BU307" s="1002" t="s">
        <v>123</v>
      </c>
      <c r="BV307" s="1006" t="s">
        <v>123</v>
      </c>
      <c r="BW307" s="1007"/>
    </row>
    <row r="308">
      <c r="A308" s="624">
        <v>285.0</v>
      </c>
      <c r="B308" s="1008"/>
      <c r="C308" s="989"/>
      <c r="D308" s="851"/>
      <c r="E308" s="990"/>
      <c r="F308" s="991"/>
      <c r="G308" s="991"/>
      <c r="H308" s="992"/>
      <c r="I308" s="993"/>
      <c r="J308" s="993"/>
      <c r="K308" s="993"/>
      <c r="L308" s="993"/>
      <c r="M308" s="993"/>
      <c r="N308" s="993"/>
      <c r="O308" s="993"/>
      <c r="P308" s="993"/>
      <c r="Q308" s="993"/>
      <c r="R308" s="993"/>
      <c r="S308" s="936"/>
      <c r="T308" s="998"/>
      <c r="U308" s="935"/>
      <c r="V308" s="935"/>
      <c r="W308" s="949" t="str">
        <f>IF(AND($S$20,NOT($U$20)),IF($V308:$V623="","",SUMIF(portfolio.!$A$4:$A623,V308,portfolio.!$AN$4:$AN623)),"")</f>
        <v/>
      </c>
      <c r="X308" s="998"/>
      <c r="Y308" s="936"/>
      <c r="Z308" s="936" t="s">
        <v>123</v>
      </c>
      <c r="AA308" s="936" t="s">
        <v>123</v>
      </c>
      <c r="AB308" s="936" t="s">
        <v>123</v>
      </c>
      <c r="AC308" s="907" t="s">
        <v>123</v>
      </c>
      <c r="AD308" s="999"/>
      <c r="AE308" s="936"/>
      <c r="AF308" s="936"/>
      <c r="AG308" s="936"/>
      <c r="AH308" s="936"/>
      <c r="AI308" s="999"/>
      <c r="AJ308" s="935"/>
      <c r="AK308" s="966"/>
      <c r="AL308" s="949"/>
      <c r="AM308" s="949" t="s">
        <v>123</v>
      </c>
      <c r="AN308" s="949"/>
      <c r="AO308" s="999"/>
      <c r="AP308" s="936"/>
      <c r="AQ308" s="987"/>
      <c r="AR308" s="907"/>
      <c r="AS308" s="907"/>
      <c r="AT308" s="967" t="s">
        <v>123</v>
      </c>
      <c r="AU308" s="967" t="s">
        <v>123</v>
      </c>
      <c r="AV308" s="967" t="s">
        <v>123</v>
      </c>
      <c r="AW308" s="907" t="s">
        <v>123</v>
      </c>
      <c r="AX308" s="907" t="s">
        <v>123</v>
      </c>
      <c r="AY308" s="907" t="s">
        <v>123</v>
      </c>
      <c r="AZ308" s="936" t="s">
        <v>123</v>
      </c>
      <c r="BA308" s="935" t="s">
        <v>123</v>
      </c>
      <c r="BB308" s="1000"/>
      <c r="BC308" s="1001"/>
      <c r="BD308" s="936"/>
      <c r="BE308" s="907"/>
      <c r="BF308" s="1002" t="str">
        <f>IF($BC308="","",SUMIF(portfolio.!$A$4:$A623,BC308,portfolio.!$AN$4:$AN623))</f>
        <v/>
      </c>
      <c r="BG308" s="936" t="s">
        <v>123</v>
      </c>
      <c r="BH308" s="907" t="s">
        <v>123</v>
      </c>
      <c r="BI308" s="935" t="s">
        <v>123</v>
      </c>
      <c r="BJ308" s="1003"/>
      <c r="BK308" s="907" t="s">
        <v>123</v>
      </c>
      <c r="BL308" s="907" t="s">
        <v>123</v>
      </c>
      <c r="BM308" s="907" t="s">
        <v>123</v>
      </c>
      <c r="BN308" s="1004" t="s">
        <v>123</v>
      </c>
      <c r="BO308" s="907" t="str">
        <f t="shared" si="6"/>
        <v/>
      </c>
      <c r="BP308" s="907" t="str">
        <f t="shared" si="7"/>
        <v/>
      </c>
      <c r="BQ308" s="907" t="str">
        <f t="shared" si="8"/>
        <v/>
      </c>
      <c r="BR308" s="1004" t="str">
        <f t="shared" si="9"/>
        <v/>
      </c>
      <c r="BS308" s="1005" t="str">
        <f t="shared" si="10"/>
        <v/>
      </c>
      <c r="BT308" s="1006" t="s">
        <v>123</v>
      </c>
      <c r="BU308" s="1002" t="s">
        <v>123</v>
      </c>
      <c r="BV308" s="1006" t="s">
        <v>123</v>
      </c>
      <c r="BW308" s="1007"/>
    </row>
    <row r="309">
      <c r="A309" s="624">
        <v>286.0</v>
      </c>
      <c r="B309" s="1008"/>
      <c r="C309" s="989"/>
      <c r="D309" s="851"/>
      <c r="E309" s="990"/>
      <c r="F309" s="991"/>
      <c r="G309" s="991"/>
      <c r="H309" s="992"/>
      <c r="I309" s="993"/>
      <c r="J309" s="993"/>
      <c r="K309" s="993"/>
      <c r="L309" s="993"/>
      <c r="M309" s="993"/>
      <c r="N309" s="993"/>
      <c r="O309" s="993"/>
      <c r="P309" s="993"/>
      <c r="Q309" s="993"/>
      <c r="R309" s="993"/>
      <c r="S309" s="936"/>
      <c r="T309" s="998"/>
      <c r="U309" s="935"/>
      <c r="V309" s="935"/>
      <c r="W309" s="949" t="str">
        <f>IF(AND($S$20,NOT($U$20)),IF($V309:$V623="","",SUMIF(portfolio.!$A$4:$A623,V309,portfolio.!$AN$4:$AN623)),"")</f>
        <v/>
      </c>
      <c r="X309" s="998"/>
      <c r="Y309" s="936"/>
      <c r="Z309" s="936" t="s">
        <v>123</v>
      </c>
      <c r="AA309" s="936" t="s">
        <v>123</v>
      </c>
      <c r="AB309" s="936" t="s">
        <v>123</v>
      </c>
      <c r="AC309" s="907" t="s">
        <v>123</v>
      </c>
      <c r="AD309" s="999"/>
      <c r="AE309" s="936"/>
      <c r="AF309" s="936"/>
      <c r="AG309" s="936"/>
      <c r="AH309" s="936"/>
      <c r="AI309" s="999"/>
      <c r="AJ309" s="935"/>
      <c r="AK309" s="966"/>
      <c r="AL309" s="949"/>
      <c r="AM309" s="949" t="s">
        <v>123</v>
      </c>
      <c r="AN309" s="949"/>
      <c r="AO309" s="999"/>
      <c r="AP309" s="936"/>
      <c r="AQ309" s="987"/>
      <c r="AR309" s="907"/>
      <c r="AS309" s="907"/>
      <c r="AT309" s="967" t="s">
        <v>123</v>
      </c>
      <c r="AU309" s="967" t="s">
        <v>123</v>
      </c>
      <c r="AV309" s="967" t="s">
        <v>123</v>
      </c>
      <c r="AW309" s="907" t="s">
        <v>123</v>
      </c>
      <c r="AX309" s="907" t="s">
        <v>123</v>
      </c>
      <c r="AY309" s="907" t="s">
        <v>123</v>
      </c>
      <c r="AZ309" s="936" t="s">
        <v>123</v>
      </c>
      <c r="BA309" s="935" t="s">
        <v>123</v>
      </c>
      <c r="BB309" s="1000"/>
      <c r="BC309" s="1001"/>
      <c r="BD309" s="936"/>
      <c r="BE309" s="907"/>
      <c r="BF309" s="1002" t="str">
        <f>IF($BC309="","",SUMIF(portfolio.!$A$4:$A623,BC309,portfolio.!$AN$4:$AN623))</f>
        <v/>
      </c>
      <c r="BG309" s="936" t="s">
        <v>123</v>
      </c>
      <c r="BH309" s="907" t="s">
        <v>123</v>
      </c>
      <c r="BI309" s="935" t="s">
        <v>123</v>
      </c>
      <c r="BJ309" s="1003"/>
      <c r="BK309" s="907" t="s">
        <v>123</v>
      </c>
      <c r="BL309" s="907" t="s">
        <v>123</v>
      </c>
      <c r="BM309" s="907" t="s">
        <v>123</v>
      </c>
      <c r="BN309" s="1004" t="s">
        <v>123</v>
      </c>
      <c r="BO309" s="907" t="str">
        <f t="shared" si="6"/>
        <v/>
      </c>
      <c r="BP309" s="907" t="str">
        <f t="shared" si="7"/>
        <v/>
      </c>
      <c r="BQ309" s="907" t="str">
        <f t="shared" si="8"/>
        <v/>
      </c>
      <c r="BR309" s="1004" t="str">
        <f t="shared" si="9"/>
        <v/>
      </c>
      <c r="BS309" s="1005" t="str">
        <f t="shared" si="10"/>
        <v/>
      </c>
      <c r="BT309" s="1006" t="s">
        <v>123</v>
      </c>
      <c r="BU309" s="1002" t="s">
        <v>123</v>
      </c>
      <c r="BV309" s="1006" t="s">
        <v>123</v>
      </c>
      <c r="BW309" s="1007"/>
    </row>
    <row r="310">
      <c r="A310" s="624">
        <v>287.0</v>
      </c>
      <c r="B310" s="1008"/>
      <c r="C310" s="989"/>
      <c r="D310" s="851"/>
      <c r="E310" s="990"/>
      <c r="F310" s="991"/>
      <c r="G310" s="991"/>
      <c r="H310" s="992"/>
      <c r="I310" s="993"/>
      <c r="J310" s="993"/>
      <c r="K310" s="993"/>
      <c r="L310" s="993"/>
      <c r="M310" s="993"/>
      <c r="N310" s="993"/>
      <c r="O310" s="993"/>
      <c r="P310" s="993"/>
      <c r="Q310" s="993"/>
      <c r="R310" s="993"/>
      <c r="S310" s="936"/>
      <c r="T310" s="998"/>
      <c r="U310" s="935"/>
      <c r="V310" s="935"/>
      <c r="W310" s="949" t="str">
        <f>IF(AND($S$20,NOT($U$20)),IF($V310:$V623="","",SUMIF(portfolio.!$A$4:$A623,V310,portfolio.!$AN$4:$AN623)),"")</f>
        <v/>
      </c>
      <c r="X310" s="998"/>
      <c r="Y310" s="936"/>
      <c r="Z310" s="936" t="s">
        <v>123</v>
      </c>
      <c r="AA310" s="936" t="s">
        <v>123</v>
      </c>
      <c r="AB310" s="936" t="s">
        <v>123</v>
      </c>
      <c r="AC310" s="907" t="s">
        <v>123</v>
      </c>
      <c r="AD310" s="999"/>
      <c r="AE310" s="936"/>
      <c r="AF310" s="936"/>
      <c r="AG310" s="936"/>
      <c r="AH310" s="936"/>
      <c r="AI310" s="999"/>
      <c r="AJ310" s="935"/>
      <c r="AK310" s="966"/>
      <c r="AL310" s="949"/>
      <c r="AM310" s="949" t="s">
        <v>123</v>
      </c>
      <c r="AN310" s="949"/>
      <c r="AO310" s="999"/>
      <c r="AP310" s="936"/>
      <c r="AQ310" s="987"/>
      <c r="AR310" s="907"/>
      <c r="AS310" s="907"/>
      <c r="AT310" s="967" t="s">
        <v>123</v>
      </c>
      <c r="AU310" s="967" t="s">
        <v>123</v>
      </c>
      <c r="AV310" s="967" t="s">
        <v>123</v>
      </c>
      <c r="AW310" s="907" t="s">
        <v>123</v>
      </c>
      <c r="AX310" s="907" t="s">
        <v>123</v>
      </c>
      <c r="AY310" s="907" t="s">
        <v>123</v>
      </c>
      <c r="AZ310" s="936" t="s">
        <v>123</v>
      </c>
      <c r="BA310" s="935" t="s">
        <v>123</v>
      </c>
      <c r="BB310" s="1000"/>
      <c r="BC310" s="1001"/>
      <c r="BD310" s="936"/>
      <c r="BE310" s="907"/>
      <c r="BF310" s="1002" t="str">
        <f>IF($BC310="","",SUMIF(portfolio.!$A$4:$A623,BC310,portfolio.!$AN$4:$AN623))</f>
        <v/>
      </c>
      <c r="BG310" s="936" t="s">
        <v>123</v>
      </c>
      <c r="BH310" s="907" t="s">
        <v>123</v>
      </c>
      <c r="BI310" s="935" t="s">
        <v>123</v>
      </c>
      <c r="BJ310" s="1003"/>
      <c r="BK310" s="907" t="s">
        <v>123</v>
      </c>
      <c r="BL310" s="907" t="s">
        <v>123</v>
      </c>
      <c r="BM310" s="907" t="s">
        <v>123</v>
      </c>
      <c r="BN310" s="1004" t="s">
        <v>123</v>
      </c>
      <c r="BO310" s="907" t="str">
        <f t="shared" si="6"/>
        <v/>
      </c>
      <c r="BP310" s="907" t="str">
        <f t="shared" si="7"/>
        <v/>
      </c>
      <c r="BQ310" s="907" t="str">
        <f t="shared" si="8"/>
        <v/>
      </c>
      <c r="BR310" s="1004" t="str">
        <f t="shared" si="9"/>
        <v/>
      </c>
      <c r="BS310" s="1005" t="str">
        <f t="shared" si="10"/>
        <v/>
      </c>
      <c r="BT310" s="1006" t="s">
        <v>123</v>
      </c>
      <c r="BU310" s="1002" t="s">
        <v>123</v>
      </c>
      <c r="BV310" s="1006" t="s">
        <v>123</v>
      </c>
      <c r="BW310" s="1007"/>
    </row>
    <row r="311">
      <c r="A311" s="624">
        <v>288.0</v>
      </c>
      <c r="B311" s="1008"/>
      <c r="C311" s="989"/>
      <c r="D311" s="851"/>
      <c r="E311" s="990"/>
      <c r="F311" s="991"/>
      <c r="G311" s="991"/>
      <c r="H311" s="992"/>
      <c r="I311" s="993"/>
      <c r="J311" s="993"/>
      <c r="K311" s="993"/>
      <c r="L311" s="993"/>
      <c r="M311" s="993"/>
      <c r="N311" s="993"/>
      <c r="O311" s="993"/>
      <c r="P311" s="993"/>
      <c r="Q311" s="993"/>
      <c r="R311" s="993"/>
      <c r="S311" s="936"/>
      <c r="T311" s="998"/>
      <c r="U311" s="935"/>
      <c r="V311" s="935"/>
      <c r="W311" s="949" t="str">
        <f>IF(AND($S$20,NOT($U$20)),IF($V311:$V623="","",SUMIF(portfolio.!$A$4:$A623,V311,portfolio.!$AN$4:$AN623)),"")</f>
        <v/>
      </c>
      <c r="X311" s="998"/>
      <c r="Y311" s="936"/>
      <c r="Z311" s="936" t="s">
        <v>123</v>
      </c>
      <c r="AA311" s="936" t="s">
        <v>123</v>
      </c>
      <c r="AB311" s="936" t="s">
        <v>123</v>
      </c>
      <c r="AC311" s="907" t="s">
        <v>123</v>
      </c>
      <c r="AD311" s="999"/>
      <c r="AE311" s="936"/>
      <c r="AF311" s="936"/>
      <c r="AG311" s="936"/>
      <c r="AH311" s="936"/>
      <c r="AI311" s="999"/>
      <c r="AJ311" s="935"/>
      <c r="AK311" s="966"/>
      <c r="AL311" s="949"/>
      <c r="AM311" s="949" t="s">
        <v>123</v>
      </c>
      <c r="AN311" s="949"/>
      <c r="AO311" s="999"/>
      <c r="AP311" s="936"/>
      <c r="AQ311" s="987"/>
      <c r="AR311" s="907"/>
      <c r="AS311" s="907"/>
      <c r="AT311" s="967" t="s">
        <v>123</v>
      </c>
      <c r="AU311" s="967" t="s">
        <v>123</v>
      </c>
      <c r="AV311" s="967" t="s">
        <v>123</v>
      </c>
      <c r="AW311" s="907" t="s">
        <v>123</v>
      </c>
      <c r="AX311" s="907" t="s">
        <v>123</v>
      </c>
      <c r="AY311" s="907" t="s">
        <v>123</v>
      </c>
      <c r="AZ311" s="936" t="s">
        <v>123</v>
      </c>
      <c r="BA311" s="935" t="s">
        <v>123</v>
      </c>
      <c r="BB311" s="1000"/>
      <c r="BC311" s="1001"/>
      <c r="BD311" s="936"/>
      <c r="BE311" s="907"/>
      <c r="BF311" s="1002" t="str">
        <f>IF($BC311="","",SUMIF(portfolio.!$A$4:$A623,BC311,portfolio.!$AN$4:$AN623))</f>
        <v/>
      </c>
      <c r="BG311" s="936" t="s">
        <v>123</v>
      </c>
      <c r="BH311" s="907" t="s">
        <v>123</v>
      </c>
      <c r="BI311" s="935" t="s">
        <v>123</v>
      </c>
      <c r="BJ311" s="1003"/>
      <c r="BK311" s="907" t="s">
        <v>123</v>
      </c>
      <c r="BL311" s="907" t="s">
        <v>123</v>
      </c>
      <c r="BM311" s="907" t="s">
        <v>123</v>
      </c>
      <c r="BN311" s="1004" t="s">
        <v>123</v>
      </c>
      <c r="BO311" s="907" t="str">
        <f t="shared" si="6"/>
        <v/>
      </c>
      <c r="BP311" s="907" t="str">
        <f t="shared" si="7"/>
        <v/>
      </c>
      <c r="BQ311" s="907" t="str">
        <f t="shared" si="8"/>
        <v/>
      </c>
      <c r="BR311" s="1004" t="str">
        <f t="shared" si="9"/>
        <v/>
      </c>
      <c r="BS311" s="1005" t="str">
        <f t="shared" si="10"/>
        <v/>
      </c>
      <c r="BT311" s="1006" t="s">
        <v>123</v>
      </c>
      <c r="BU311" s="1002" t="s">
        <v>123</v>
      </c>
      <c r="BV311" s="1006" t="s">
        <v>123</v>
      </c>
      <c r="BW311" s="1007"/>
    </row>
    <row r="312">
      <c r="A312" s="624">
        <v>289.0</v>
      </c>
      <c r="B312" s="1008"/>
      <c r="C312" s="989"/>
      <c r="D312" s="851"/>
      <c r="E312" s="990"/>
      <c r="F312" s="991"/>
      <c r="G312" s="991"/>
      <c r="H312" s="992"/>
      <c r="I312" s="993"/>
      <c r="J312" s="993"/>
      <c r="K312" s="993"/>
      <c r="L312" s="993"/>
      <c r="M312" s="993"/>
      <c r="N312" s="993"/>
      <c r="O312" s="993"/>
      <c r="P312" s="993"/>
      <c r="Q312" s="993"/>
      <c r="R312" s="993"/>
      <c r="S312" s="936"/>
      <c r="T312" s="998"/>
      <c r="U312" s="935"/>
      <c r="V312" s="935"/>
      <c r="W312" s="949" t="str">
        <f>IF(AND($S$20,NOT($U$20)),IF($V312:$V623="","",SUMIF(portfolio.!$A$4:$A623,V312,portfolio.!$AN$4:$AN623)),"")</f>
        <v/>
      </c>
      <c r="X312" s="998"/>
      <c r="Y312" s="936"/>
      <c r="Z312" s="936" t="s">
        <v>123</v>
      </c>
      <c r="AA312" s="936" t="s">
        <v>123</v>
      </c>
      <c r="AB312" s="936" t="s">
        <v>123</v>
      </c>
      <c r="AC312" s="907" t="s">
        <v>123</v>
      </c>
      <c r="AD312" s="999"/>
      <c r="AE312" s="936"/>
      <c r="AF312" s="936"/>
      <c r="AG312" s="936"/>
      <c r="AH312" s="936"/>
      <c r="AI312" s="999"/>
      <c r="AJ312" s="935"/>
      <c r="AK312" s="966"/>
      <c r="AL312" s="949"/>
      <c r="AM312" s="949" t="s">
        <v>123</v>
      </c>
      <c r="AN312" s="949"/>
      <c r="AO312" s="999"/>
      <c r="AP312" s="936"/>
      <c r="AQ312" s="987"/>
      <c r="AR312" s="907"/>
      <c r="AS312" s="907"/>
      <c r="AT312" s="967" t="s">
        <v>123</v>
      </c>
      <c r="AU312" s="967" t="s">
        <v>123</v>
      </c>
      <c r="AV312" s="967" t="s">
        <v>123</v>
      </c>
      <c r="AW312" s="907" t="s">
        <v>123</v>
      </c>
      <c r="AX312" s="907" t="s">
        <v>123</v>
      </c>
      <c r="AY312" s="907" t="s">
        <v>123</v>
      </c>
      <c r="AZ312" s="936" t="s">
        <v>123</v>
      </c>
      <c r="BA312" s="935" t="s">
        <v>123</v>
      </c>
      <c r="BB312" s="1000"/>
      <c r="BC312" s="1001"/>
      <c r="BD312" s="936"/>
      <c r="BE312" s="907"/>
      <c r="BF312" s="1002" t="str">
        <f>IF($BC312="","",SUMIF(portfolio.!$A$4:$A623,BC312,portfolio.!$AN$4:$AN623))</f>
        <v/>
      </c>
      <c r="BG312" s="936" t="s">
        <v>123</v>
      </c>
      <c r="BH312" s="907" t="s">
        <v>123</v>
      </c>
      <c r="BI312" s="935" t="s">
        <v>123</v>
      </c>
      <c r="BJ312" s="1003"/>
      <c r="BK312" s="907" t="s">
        <v>123</v>
      </c>
      <c r="BL312" s="907" t="s">
        <v>123</v>
      </c>
      <c r="BM312" s="907" t="s">
        <v>123</v>
      </c>
      <c r="BN312" s="1004" t="s">
        <v>123</v>
      </c>
      <c r="BO312" s="907" t="str">
        <f t="shared" si="6"/>
        <v/>
      </c>
      <c r="BP312" s="907" t="str">
        <f t="shared" si="7"/>
        <v/>
      </c>
      <c r="BQ312" s="907" t="str">
        <f t="shared" si="8"/>
        <v/>
      </c>
      <c r="BR312" s="1004" t="str">
        <f t="shared" si="9"/>
        <v/>
      </c>
      <c r="BS312" s="1005" t="str">
        <f t="shared" si="10"/>
        <v/>
      </c>
      <c r="BT312" s="1006" t="s">
        <v>123</v>
      </c>
      <c r="BU312" s="1002" t="s">
        <v>123</v>
      </c>
      <c r="BV312" s="1006" t="s">
        <v>123</v>
      </c>
      <c r="BW312" s="1007"/>
    </row>
    <row r="313">
      <c r="A313" s="624">
        <v>290.0</v>
      </c>
      <c r="B313" s="1008"/>
      <c r="C313" s="989"/>
      <c r="D313" s="851"/>
      <c r="E313" s="990"/>
      <c r="F313" s="991"/>
      <c r="G313" s="991"/>
      <c r="H313" s="992"/>
      <c r="I313" s="993"/>
      <c r="J313" s="993"/>
      <c r="K313" s="993"/>
      <c r="L313" s="993"/>
      <c r="M313" s="993"/>
      <c r="N313" s="993"/>
      <c r="O313" s="993"/>
      <c r="P313" s="993"/>
      <c r="Q313" s="993"/>
      <c r="R313" s="993"/>
      <c r="S313" s="936"/>
      <c r="T313" s="998"/>
      <c r="U313" s="935"/>
      <c r="V313" s="935"/>
      <c r="W313" s="949" t="str">
        <f>IF(AND($S$20,NOT($U$20)),IF($V313:$V623="","",SUMIF(portfolio.!$A$4:$A623,V313,portfolio.!$AN$4:$AN623)),"")</f>
        <v/>
      </c>
      <c r="X313" s="998"/>
      <c r="Y313" s="936"/>
      <c r="Z313" s="936" t="s">
        <v>123</v>
      </c>
      <c r="AA313" s="936" t="s">
        <v>123</v>
      </c>
      <c r="AB313" s="936" t="s">
        <v>123</v>
      </c>
      <c r="AC313" s="907" t="s">
        <v>123</v>
      </c>
      <c r="AD313" s="999"/>
      <c r="AE313" s="936"/>
      <c r="AF313" s="936"/>
      <c r="AG313" s="936"/>
      <c r="AH313" s="936"/>
      <c r="AI313" s="999"/>
      <c r="AJ313" s="935"/>
      <c r="AK313" s="966"/>
      <c r="AL313" s="949"/>
      <c r="AM313" s="949" t="s">
        <v>123</v>
      </c>
      <c r="AN313" s="949"/>
      <c r="AO313" s="999"/>
      <c r="AP313" s="936"/>
      <c r="AQ313" s="987"/>
      <c r="AR313" s="907"/>
      <c r="AS313" s="907"/>
      <c r="AT313" s="967" t="s">
        <v>123</v>
      </c>
      <c r="AU313" s="967" t="s">
        <v>123</v>
      </c>
      <c r="AV313" s="967" t="s">
        <v>123</v>
      </c>
      <c r="AW313" s="907" t="s">
        <v>123</v>
      </c>
      <c r="AX313" s="907" t="s">
        <v>123</v>
      </c>
      <c r="AY313" s="907" t="s">
        <v>123</v>
      </c>
      <c r="AZ313" s="936" t="s">
        <v>123</v>
      </c>
      <c r="BA313" s="935" t="s">
        <v>123</v>
      </c>
      <c r="BB313" s="1000"/>
      <c r="BC313" s="1001"/>
      <c r="BD313" s="936"/>
      <c r="BE313" s="907"/>
      <c r="BF313" s="1002" t="str">
        <f>IF($BC313="","",SUMIF(portfolio.!$A$4:$A623,BC313,portfolio.!$AN$4:$AN623))</f>
        <v/>
      </c>
      <c r="BG313" s="936" t="s">
        <v>123</v>
      </c>
      <c r="BH313" s="907" t="s">
        <v>123</v>
      </c>
      <c r="BI313" s="935" t="s">
        <v>123</v>
      </c>
      <c r="BJ313" s="1003"/>
      <c r="BK313" s="907" t="s">
        <v>123</v>
      </c>
      <c r="BL313" s="907" t="s">
        <v>123</v>
      </c>
      <c r="BM313" s="907" t="s">
        <v>123</v>
      </c>
      <c r="BN313" s="1004" t="s">
        <v>123</v>
      </c>
      <c r="BO313" s="907" t="str">
        <f t="shared" si="6"/>
        <v/>
      </c>
      <c r="BP313" s="907" t="str">
        <f t="shared" si="7"/>
        <v/>
      </c>
      <c r="BQ313" s="907" t="str">
        <f t="shared" si="8"/>
        <v/>
      </c>
      <c r="BR313" s="1004" t="str">
        <f t="shared" si="9"/>
        <v/>
      </c>
      <c r="BS313" s="1005" t="str">
        <f t="shared" si="10"/>
        <v/>
      </c>
      <c r="BT313" s="1006" t="s">
        <v>123</v>
      </c>
      <c r="BU313" s="1002" t="s">
        <v>123</v>
      </c>
      <c r="BV313" s="1006" t="s">
        <v>123</v>
      </c>
      <c r="BW313" s="1007"/>
    </row>
    <row r="314">
      <c r="A314" s="624">
        <v>291.0</v>
      </c>
      <c r="B314" s="1008"/>
      <c r="C314" s="989"/>
      <c r="D314" s="851"/>
      <c r="E314" s="990"/>
      <c r="F314" s="991"/>
      <c r="G314" s="991"/>
      <c r="H314" s="992"/>
      <c r="I314" s="993"/>
      <c r="J314" s="993"/>
      <c r="K314" s="993"/>
      <c r="L314" s="993"/>
      <c r="M314" s="993"/>
      <c r="N314" s="993"/>
      <c r="O314" s="993"/>
      <c r="P314" s="993"/>
      <c r="Q314" s="993"/>
      <c r="R314" s="993"/>
      <c r="S314" s="936"/>
      <c r="T314" s="998"/>
      <c r="U314" s="935"/>
      <c r="V314" s="935"/>
      <c r="W314" s="949" t="str">
        <f>IF(AND($S$20,NOT($U$20)),IF($V314:$V623="","",SUMIF(portfolio.!$A$4:$A623,V314,portfolio.!$AN$4:$AN623)),"")</f>
        <v/>
      </c>
      <c r="X314" s="998"/>
      <c r="Y314" s="936"/>
      <c r="Z314" s="936" t="s">
        <v>123</v>
      </c>
      <c r="AA314" s="936" t="s">
        <v>123</v>
      </c>
      <c r="AB314" s="936" t="s">
        <v>123</v>
      </c>
      <c r="AC314" s="907" t="s">
        <v>123</v>
      </c>
      <c r="AD314" s="999"/>
      <c r="AE314" s="936"/>
      <c r="AF314" s="936"/>
      <c r="AG314" s="936"/>
      <c r="AH314" s="936"/>
      <c r="AI314" s="999"/>
      <c r="AJ314" s="935"/>
      <c r="AK314" s="966"/>
      <c r="AL314" s="949"/>
      <c r="AM314" s="949" t="s">
        <v>123</v>
      </c>
      <c r="AN314" s="949"/>
      <c r="AO314" s="999"/>
      <c r="AP314" s="936"/>
      <c r="AQ314" s="987"/>
      <c r="AR314" s="907"/>
      <c r="AS314" s="907"/>
      <c r="AT314" s="967" t="s">
        <v>123</v>
      </c>
      <c r="AU314" s="967" t="s">
        <v>123</v>
      </c>
      <c r="AV314" s="967" t="s">
        <v>123</v>
      </c>
      <c r="AW314" s="907" t="s">
        <v>123</v>
      </c>
      <c r="AX314" s="907" t="s">
        <v>123</v>
      </c>
      <c r="AY314" s="907" t="s">
        <v>123</v>
      </c>
      <c r="AZ314" s="936" t="s">
        <v>123</v>
      </c>
      <c r="BA314" s="935" t="s">
        <v>123</v>
      </c>
      <c r="BB314" s="1000"/>
      <c r="BC314" s="1001"/>
      <c r="BD314" s="936"/>
      <c r="BE314" s="907"/>
      <c r="BF314" s="1002" t="str">
        <f>IF($BC314="","",SUMIF(portfolio.!$A$4:$A623,BC314,portfolio.!$AN$4:$AN623))</f>
        <v/>
      </c>
      <c r="BG314" s="936" t="s">
        <v>123</v>
      </c>
      <c r="BH314" s="907" t="s">
        <v>123</v>
      </c>
      <c r="BI314" s="935" t="s">
        <v>123</v>
      </c>
      <c r="BJ314" s="1003"/>
      <c r="BK314" s="907" t="s">
        <v>123</v>
      </c>
      <c r="BL314" s="907" t="s">
        <v>123</v>
      </c>
      <c r="BM314" s="907" t="s">
        <v>123</v>
      </c>
      <c r="BN314" s="1004" t="s">
        <v>123</v>
      </c>
      <c r="BO314" s="907" t="str">
        <f t="shared" si="6"/>
        <v/>
      </c>
      <c r="BP314" s="907" t="str">
        <f t="shared" si="7"/>
        <v/>
      </c>
      <c r="BQ314" s="907" t="str">
        <f t="shared" si="8"/>
        <v/>
      </c>
      <c r="BR314" s="1004" t="str">
        <f t="shared" si="9"/>
        <v/>
      </c>
      <c r="BS314" s="1005" t="str">
        <f t="shared" si="10"/>
        <v/>
      </c>
      <c r="BT314" s="1006" t="s">
        <v>123</v>
      </c>
      <c r="BU314" s="1002" t="s">
        <v>123</v>
      </c>
      <c r="BV314" s="1006" t="s">
        <v>123</v>
      </c>
      <c r="BW314" s="1007"/>
    </row>
    <row r="315">
      <c r="A315" s="624">
        <v>292.0</v>
      </c>
      <c r="B315" s="1008"/>
      <c r="C315" s="989"/>
      <c r="D315" s="851"/>
      <c r="E315" s="990"/>
      <c r="F315" s="991"/>
      <c r="G315" s="991"/>
      <c r="H315" s="992"/>
      <c r="I315" s="993"/>
      <c r="J315" s="993"/>
      <c r="K315" s="993"/>
      <c r="L315" s="993"/>
      <c r="M315" s="993"/>
      <c r="N315" s="993"/>
      <c r="O315" s="993"/>
      <c r="P315" s="993"/>
      <c r="Q315" s="993"/>
      <c r="R315" s="993"/>
      <c r="S315" s="936"/>
      <c r="T315" s="998"/>
      <c r="U315" s="935"/>
      <c r="V315" s="935"/>
      <c r="W315" s="949" t="str">
        <f>IF(AND($S$20,NOT($U$20)),IF($V315:$V623="","",SUMIF(portfolio.!$A$4:$A623,V315,portfolio.!$AN$4:$AN623)),"")</f>
        <v/>
      </c>
      <c r="X315" s="998"/>
      <c r="Y315" s="936"/>
      <c r="Z315" s="936" t="s">
        <v>123</v>
      </c>
      <c r="AA315" s="936" t="s">
        <v>123</v>
      </c>
      <c r="AB315" s="936" t="s">
        <v>123</v>
      </c>
      <c r="AC315" s="907" t="s">
        <v>123</v>
      </c>
      <c r="AD315" s="999"/>
      <c r="AE315" s="936"/>
      <c r="AF315" s="936"/>
      <c r="AG315" s="936"/>
      <c r="AH315" s="936"/>
      <c r="AI315" s="999"/>
      <c r="AJ315" s="935"/>
      <c r="AK315" s="966"/>
      <c r="AL315" s="949"/>
      <c r="AM315" s="949" t="s">
        <v>123</v>
      </c>
      <c r="AN315" s="949"/>
      <c r="AO315" s="999"/>
      <c r="AP315" s="936"/>
      <c r="AQ315" s="987"/>
      <c r="AR315" s="907"/>
      <c r="AS315" s="907"/>
      <c r="AT315" s="967" t="s">
        <v>123</v>
      </c>
      <c r="AU315" s="967" t="s">
        <v>123</v>
      </c>
      <c r="AV315" s="967" t="s">
        <v>123</v>
      </c>
      <c r="AW315" s="907" t="s">
        <v>123</v>
      </c>
      <c r="AX315" s="907" t="s">
        <v>123</v>
      </c>
      <c r="AY315" s="907" t="s">
        <v>123</v>
      </c>
      <c r="AZ315" s="936" t="s">
        <v>123</v>
      </c>
      <c r="BA315" s="935" t="s">
        <v>123</v>
      </c>
      <c r="BB315" s="1000"/>
      <c r="BC315" s="1001"/>
      <c r="BD315" s="936"/>
      <c r="BE315" s="907"/>
      <c r="BF315" s="1002" t="str">
        <f>IF($BC315="","",SUMIF(portfolio.!$A$4:$A623,BC315,portfolio.!$AN$4:$AN623))</f>
        <v/>
      </c>
      <c r="BG315" s="936" t="s">
        <v>123</v>
      </c>
      <c r="BH315" s="907" t="s">
        <v>123</v>
      </c>
      <c r="BI315" s="935" t="s">
        <v>123</v>
      </c>
      <c r="BJ315" s="1003"/>
      <c r="BK315" s="907" t="s">
        <v>123</v>
      </c>
      <c r="BL315" s="907" t="s">
        <v>123</v>
      </c>
      <c r="BM315" s="907" t="s">
        <v>123</v>
      </c>
      <c r="BN315" s="1004" t="s">
        <v>123</v>
      </c>
      <c r="BO315" s="907" t="str">
        <f t="shared" si="6"/>
        <v/>
      </c>
      <c r="BP315" s="907" t="str">
        <f t="shared" si="7"/>
        <v/>
      </c>
      <c r="BQ315" s="907" t="str">
        <f t="shared" si="8"/>
        <v/>
      </c>
      <c r="BR315" s="1004" t="str">
        <f t="shared" si="9"/>
        <v/>
      </c>
      <c r="BS315" s="1005" t="str">
        <f t="shared" si="10"/>
        <v/>
      </c>
      <c r="BT315" s="1006" t="s">
        <v>123</v>
      </c>
      <c r="BU315" s="1002" t="s">
        <v>123</v>
      </c>
      <c r="BV315" s="1006" t="s">
        <v>123</v>
      </c>
      <c r="BW315" s="1007"/>
    </row>
    <row r="316">
      <c r="A316" s="624">
        <v>293.0</v>
      </c>
      <c r="B316" s="1008"/>
      <c r="C316" s="989"/>
      <c r="D316" s="851"/>
      <c r="E316" s="990"/>
      <c r="F316" s="991"/>
      <c r="G316" s="991"/>
      <c r="H316" s="992"/>
      <c r="I316" s="993"/>
      <c r="J316" s="993"/>
      <c r="K316" s="993"/>
      <c r="L316" s="993"/>
      <c r="M316" s="993"/>
      <c r="N316" s="993"/>
      <c r="O316" s="993"/>
      <c r="P316" s="993"/>
      <c r="Q316" s="993"/>
      <c r="R316" s="993"/>
      <c r="S316" s="936"/>
      <c r="T316" s="998"/>
      <c r="U316" s="935"/>
      <c r="V316" s="935"/>
      <c r="W316" s="949" t="str">
        <f>IF(AND($S$20,NOT($U$20)),IF($V316:$V623="","",SUMIF(portfolio.!$A$4:$A623,V316,portfolio.!$AN$4:$AN623)),"")</f>
        <v/>
      </c>
      <c r="X316" s="998"/>
      <c r="Y316" s="936"/>
      <c r="Z316" s="936" t="s">
        <v>123</v>
      </c>
      <c r="AA316" s="936" t="s">
        <v>123</v>
      </c>
      <c r="AB316" s="936" t="s">
        <v>123</v>
      </c>
      <c r="AC316" s="907" t="s">
        <v>123</v>
      </c>
      <c r="AD316" s="999"/>
      <c r="AE316" s="936"/>
      <c r="AF316" s="936"/>
      <c r="AG316" s="936"/>
      <c r="AH316" s="936"/>
      <c r="AI316" s="999"/>
      <c r="AJ316" s="935"/>
      <c r="AK316" s="966"/>
      <c r="AL316" s="949"/>
      <c r="AM316" s="949" t="s">
        <v>123</v>
      </c>
      <c r="AN316" s="949"/>
      <c r="AO316" s="999"/>
      <c r="AP316" s="936"/>
      <c r="AQ316" s="987"/>
      <c r="AR316" s="907"/>
      <c r="AS316" s="907"/>
      <c r="AT316" s="967" t="s">
        <v>123</v>
      </c>
      <c r="AU316" s="967" t="s">
        <v>123</v>
      </c>
      <c r="AV316" s="967" t="s">
        <v>123</v>
      </c>
      <c r="AW316" s="907" t="s">
        <v>123</v>
      </c>
      <c r="AX316" s="907" t="s">
        <v>123</v>
      </c>
      <c r="AY316" s="907" t="s">
        <v>123</v>
      </c>
      <c r="AZ316" s="936" t="s">
        <v>123</v>
      </c>
      <c r="BA316" s="935" t="s">
        <v>123</v>
      </c>
      <c r="BB316" s="1000"/>
      <c r="BC316" s="1001"/>
      <c r="BD316" s="936"/>
      <c r="BE316" s="907"/>
      <c r="BF316" s="1002" t="str">
        <f>IF($BC316="","",SUMIF(portfolio.!$A$4:$A623,BC316,portfolio.!$AN$4:$AN623))</f>
        <v/>
      </c>
      <c r="BG316" s="936" t="s">
        <v>123</v>
      </c>
      <c r="BH316" s="907" t="s">
        <v>123</v>
      </c>
      <c r="BI316" s="935" t="s">
        <v>123</v>
      </c>
      <c r="BJ316" s="1003"/>
      <c r="BK316" s="907" t="s">
        <v>123</v>
      </c>
      <c r="BL316" s="907" t="s">
        <v>123</v>
      </c>
      <c r="BM316" s="907" t="s">
        <v>123</v>
      </c>
      <c r="BN316" s="1004" t="s">
        <v>123</v>
      </c>
      <c r="BO316" s="907" t="str">
        <f t="shared" si="6"/>
        <v/>
      </c>
      <c r="BP316" s="907" t="str">
        <f t="shared" si="7"/>
        <v/>
      </c>
      <c r="BQ316" s="907" t="str">
        <f t="shared" si="8"/>
        <v/>
      </c>
      <c r="BR316" s="1004" t="str">
        <f t="shared" si="9"/>
        <v/>
      </c>
      <c r="BS316" s="1005" t="str">
        <f t="shared" si="10"/>
        <v/>
      </c>
      <c r="BT316" s="1006" t="s">
        <v>123</v>
      </c>
      <c r="BU316" s="1002" t="s">
        <v>123</v>
      </c>
      <c r="BV316" s="1006" t="s">
        <v>123</v>
      </c>
      <c r="BW316" s="1007"/>
    </row>
    <row r="317">
      <c r="A317" s="624">
        <v>294.0</v>
      </c>
      <c r="B317" s="1008"/>
      <c r="C317" s="989"/>
      <c r="D317" s="851"/>
      <c r="E317" s="990"/>
      <c r="F317" s="991"/>
      <c r="G317" s="991"/>
      <c r="H317" s="992"/>
      <c r="I317" s="993"/>
      <c r="J317" s="993"/>
      <c r="K317" s="993"/>
      <c r="L317" s="993"/>
      <c r="M317" s="993"/>
      <c r="N317" s="993"/>
      <c r="O317" s="993"/>
      <c r="P317" s="993"/>
      <c r="Q317" s="993"/>
      <c r="R317" s="993"/>
      <c r="S317" s="936"/>
      <c r="T317" s="998"/>
      <c r="U317" s="935"/>
      <c r="V317" s="935"/>
      <c r="W317" s="949" t="str">
        <f>IF(AND($S$20,NOT($U$20)),IF($V317:$V623="","",SUMIF(portfolio.!$A$4:$A623,V317,portfolio.!$AN$4:$AN623)),"")</f>
        <v/>
      </c>
      <c r="X317" s="998"/>
      <c r="Y317" s="936"/>
      <c r="Z317" s="936" t="s">
        <v>123</v>
      </c>
      <c r="AA317" s="936" t="s">
        <v>123</v>
      </c>
      <c r="AB317" s="936" t="s">
        <v>123</v>
      </c>
      <c r="AC317" s="907" t="s">
        <v>123</v>
      </c>
      <c r="AD317" s="999"/>
      <c r="AE317" s="936"/>
      <c r="AF317" s="936"/>
      <c r="AG317" s="936"/>
      <c r="AH317" s="936"/>
      <c r="AI317" s="999"/>
      <c r="AJ317" s="935"/>
      <c r="AK317" s="966"/>
      <c r="AL317" s="949"/>
      <c r="AM317" s="949" t="s">
        <v>123</v>
      </c>
      <c r="AN317" s="949"/>
      <c r="AO317" s="999"/>
      <c r="AP317" s="936"/>
      <c r="AQ317" s="987"/>
      <c r="AR317" s="907"/>
      <c r="AS317" s="907"/>
      <c r="AT317" s="967" t="s">
        <v>123</v>
      </c>
      <c r="AU317" s="967" t="s">
        <v>123</v>
      </c>
      <c r="AV317" s="967" t="s">
        <v>123</v>
      </c>
      <c r="AW317" s="907" t="s">
        <v>123</v>
      </c>
      <c r="AX317" s="907" t="s">
        <v>123</v>
      </c>
      <c r="AY317" s="907" t="s">
        <v>123</v>
      </c>
      <c r="AZ317" s="936" t="s">
        <v>123</v>
      </c>
      <c r="BA317" s="935" t="s">
        <v>123</v>
      </c>
      <c r="BB317" s="1000"/>
      <c r="BC317" s="1001"/>
      <c r="BD317" s="936"/>
      <c r="BE317" s="907"/>
      <c r="BF317" s="1002" t="str">
        <f>IF($BC317="","",SUMIF(portfolio.!$A$4:$A623,BC317,portfolio.!$AN$4:$AN623))</f>
        <v/>
      </c>
      <c r="BG317" s="936" t="s">
        <v>123</v>
      </c>
      <c r="BH317" s="907" t="s">
        <v>123</v>
      </c>
      <c r="BI317" s="935" t="s">
        <v>123</v>
      </c>
      <c r="BJ317" s="1003"/>
      <c r="BK317" s="907" t="s">
        <v>123</v>
      </c>
      <c r="BL317" s="907" t="s">
        <v>123</v>
      </c>
      <c r="BM317" s="907" t="s">
        <v>123</v>
      </c>
      <c r="BN317" s="1004" t="s">
        <v>123</v>
      </c>
      <c r="BO317" s="907" t="str">
        <f t="shared" si="6"/>
        <v/>
      </c>
      <c r="BP317" s="907" t="str">
        <f t="shared" si="7"/>
        <v/>
      </c>
      <c r="BQ317" s="907" t="str">
        <f t="shared" si="8"/>
        <v/>
      </c>
      <c r="BR317" s="1004" t="str">
        <f t="shared" si="9"/>
        <v/>
      </c>
      <c r="BS317" s="1005" t="str">
        <f t="shared" si="10"/>
        <v/>
      </c>
      <c r="BT317" s="1006" t="s">
        <v>123</v>
      </c>
      <c r="BU317" s="1002" t="s">
        <v>123</v>
      </c>
      <c r="BV317" s="1006" t="s">
        <v>123</v>
      </c>
      <c r="BW317" s="1007"/>
    </row>
    <row r="318">
      <c r="A318" s="624">
        <v>295.0</v>
      </c>
      <c r="B318" s="1008"/>
      <c r="C318" s="989"/>
      <c r="D318" s="851"/>
      <c r="E318" s="990"/>
      <c r="F318" s="991"/>
      <c r="G318" s="991"/>
      <c r="H318" s="992"/>
      <c r="I318" s="993"/>
      <c r="J318" s="993"/>
      <c r="K318" s="993"/>
      <c r="L318" s="993"/>
      <c r="M318" s="993"/>
      <c r="N318" s="993"/>
      <c r="O318" s="993"/>
      <c r="P318" s="993"/>
      <c r="Q318" s="993"/>
      <c r="R318" s="993"/>
      <c r="S318" s="936"/>
      <c r="T318" s="998"/>
      <c r="U318" s="935"/>
      <c r="V318" s="935"/>
      <c r="W318" s="949" t="str">
        <f>IF(AND($S$20,NOT($U$20)),IF($V318:$V623="","",SUMIF(portfolio.!$A$4:$A623,V318,portfolio.!$AN$4:$AN623)),"")</f>
        <v/>
      </c>
      <c r="X318" s="998"/>
      <c r="Y318" s="936"/>
      <c r="Z318" s="936" t="s">
        <v>123</v>
      </c>
      <c r="AA318" s="936" t="s">
        <v>123</v>
      </c>
      <c r="AB318" s="936" t="s">
        <v>123</v>
      </c>
      <c r="AC318" s="907" t="s">
        <v>123</v>
      </c>
      <c r="AD318" s="999"/>
      <c r="AE318" s="936"/>
      <c r="AF318" s="936"/>
      <c r="AG318" s="936"/>
      <c r="AH318" s="936"/>
      <c r="AI318" s="999"/>
      <c r="AJ318" s="935"/>
      <c r="AK318" s="966"/>
      <c r="AL318" s="949"/>
      <c r="AM318" s="949" t="s">
        <v>123</v>
      </c>
      <c r="AN318" s="949"/>
      <c r="AO318" s="999"/>
      <c r="AP318" s="936"/>
      <c r="AQ318" s="987"/>
      <c r="AR318" s="907"/>
      <c r="AS318" s="907"/>
      <c r="AT318" s="967" t="s">
        <v>123</v>
      </c>
      <c r="AU318" s="967" t="s">
        <v>123</v>
      </c>
      <c r="AV318" s="967" t="s">
        <v>123</v>
      </c>
      <c r="AW318" s="907" t="s">
        <v>123</v>
      </c>
      <c r="AX318" s="907" t="s">
        <v>123</v>
      </c>
      <c r="AY318" s="907" t="s">
        <v>123</v>
      </c>
      <c r="AZ318" s="936" t="s">
        <v>123</v>
      </c>
      <c r="BA318" s="935" t="s">
        <v>123</v>
      </c>
      <c r="BB318" s="1000"/>
      <c r="BC318" s="1001"/>
      <c r="BD318" s="936"/>
      <c r="BE318" s="907"/>
      <c r="BF318" s="1002" t="str">
        <f>IF($BC318="","",SUMIF(portfolio.!$A$4:$A623,BC318,portfolio.!$AN$4:$AN623))</f>
        <v/>
      </c>
      <c r="BG318" s="936" t="s">
        <v>123</v>
      </c>
      <c r="BH318" s="907" t="s">
        <v>123</v>
      </c>
      <c r="BI318" s="935" t="s">
        <v>123</v>
      </c>
      <c r="BJ318" s="1003"/>
      <c r="BK318" s="907" t="s">
        <v>123</v>
      </c>
      <c r="BL318" s="907" t="s">
        <v>123</v>
      </c>
      <c r="BM318" s="907" t="s">
        <v>123</v>
      </c>
      <c r="BN318" s="1004" t="s">
        <v>123</v>
      </c>
      <c r="BO318" s="907" t="str">
        <f t="shared" si="6"/>
        <v/>
      </c>
      <c r="BP318" s="907" t="str">
        <f t="shared" si="7"/>
        <v/>
      </c>
      <c r="BQ318" s="907" t="str">
        <f t="shared" si="8"/>
        <v/>
      </c>
      <c r="BR318" s="1004" t="str">
        <f t="shared" si="9"/>
        <v/>
      </c>
      <c r="BS318" s="1005" t="str">
        <f t="shared" si="10"/>
        <v/>
      </c>
      <c r="BT318" s="1006" t="s">
        <v>123</v>
      </c>
      <c r="BU318" s="1002" t="s">
        <v>123</v>
      </c>
      <c r="BV318" s="1006" t="s">
        <v>123</v>
      </c>
      <c r="BW318" s="1007"/>
    </row>
    <row r="319">
      <c r="A319" s="624">
        <v>296.0</v>
      </c>
      <c r="B319" s="1008"/>
      <c r="C319" s="989"/>
      <c r="D319" s="851"/>
      <c r="E319" s="990"/>
      <c r="F319" s="991"/>
      <c r="G319" s="991"/>
      <c r="H319" s="992"/>
      <c r="I319" s="993"/>
      <c r="J319" s="993"/>
      <c r="K319" s="993"/>
      <c r="L319" s="993"/>
      <c r="M319" s="993"/>
      <c r="N319" s="993"/>
      <c r="O319" s="993"/>
      <c r="P319" s="993"/>
      <c r="Q319" s="993"/>
      <c r="R319" s="993"/>
      <c r="S319" s="936"/>
      <c r="T319" s="998"/>
      <c r="U319" s="935"/>
      <c r="V319" s="935"/>
      <c r="W319" s="949" t="str">
        <f>IF(AND($S$20,NOT($U$20)),IF($V319:$V623="","",SUMIF(portfolio.!$A$4:$A623,V319,portfolio.!$AN$4:$AN623)),"")</f>
        <v/>
      </c>
      <c r="X319" s="998"/>
      <c r="Y319" s="936"/>
      <c r="Z319" s="936" t="s">
        <v>123</v>
      </c>
      <c r="AA319" s="936" t="s">
        <v>123</v>
      </c>
      <c r="AB319" s="936" t="s">
        <v>123</v>
      </c>
      <c r="AC319" s="907" t="s">
        <v>123</v>
      </c>
      <c r="AD319" s="999"/>
      <c r="AE319" s="936"/>
      <c r="AF319" s="936"/>
      <c r="AG319" s="936"/>
      <c r="AH319" s="936"/>
      <c r="AI319" s="999"/>
      <c r="AJ319" s="935"/>
      <c r="AK319" s="966"/>
      <c r="AL319" s="949"/>
      <c r="AM319" s="949" t="s">
        <v>123</v>
      </c>
      <c r="AN319" s="949"/>
      <c r="AO319" s="999"/>
      <c r="AP319" s="936"/>
      <c r="AQ319" s="987"/>
      <c r="AR319" s="907"/>
      <c r="AS319" s="907"/>
      <c r="AT319" s="967" t="s">
        <v>123</v>
      </c>
      <c r="AU319" s="967" t="s">
        <v>123</v>
      </c>
      <c r="AV319" s="967" t="s">
        <v>123</v>
      </c>
      <c r="AW319" s="907" t="s">
        <v>123</v>
      </c>
      <c r="AX319" s="907" t="s">
        <v>123</v>
      </c>
      <c r="AY319" s="907" t="s">
        <v>123</v>
      </c>
      <c r="AZ319" s="936" t="s">
        <v>123</v>
      </c>
      <c r="BA319" s="935" t="s">
        <v>123</v>
      </c>
      <c r="BB319" s="1000"/>
      <c r="BC319" s="1001"/>
      <c r="BD319" s="936"/>
      <c r="BE319" s="907"/>
      <c r="BF319" s="1002" t="str">
        <f>IF($BC319="","",SUMIF(portfolio.!$A$4:$A623,BC319,portfolio.!$AN$4:$AN623))</f>
        <v/>
      </c>
      <c r="BG319" s="936" t="s">
        <v>123</v>
      </c>
      <c r="BH319" s="907" t="s">
        <v>123</v>
      </c>
      <c r="BI319" s="935" t="s">
        <v>123</v>
      </c>
      <c r="BJ319" s="1003"/>
      <c r="BK319" s="907" t="s">
        <v>123</v>
      </c>
      <c r="BL319" s="907" t="s">
        <v>123</v>
      </c>
      <c r="BM319" s="907" t="s">
        <v>123</v>
      </c>
      <c r="BN319" s="1004" t="s">
        <v>123</v>
      </c>
      <c r="BO319" s="907" t="str">
        <f t="shared" si="6"/>
        <v/>
      </c>
      <c r="BP319" s="907" t="str">
        <f t="shared" si="7"/>
        <v/>
      </c>
      <c r="BQ319" s="907" t="str">
        <f t="shared" si="8"/>
        <v/>
      </c>
      <c r="BR319" s="1004" t="str">
        <f t="shared" si="9"/>
        <v/>
      </c>
      <c r="BS319" s="1005" t="str">
        <f t="shared" si="10"/>
        <v/>
      </c>
      <c r="BT319" s="1006" t="s">
        <v>123</v>
      </c>
      <c r="BU319" s="1002" t="s">
        <v>123</v>
      </c>
      <c r="BV319" s="1006" t="s">
        <v>123</v>
      </c>
      <c r="BW319" s="1007"/>
    </row>
    <row r="320">
      <c r="A320" s="624">
        <v>297.0</v>
      </c>
      <c r="B320" s="1008"/>
      <c r="C320" s="989"/>
      <c r="D320" s="851"/>
      <c r="E320" s="990"/>
      <c r="F320" s="991"/>
      <c r="G320" s="991"/>
      <c r="H320" s="992"/>
      <c r="I320" s="993"/>
      <c r="J320" s="993"/>
      <c r="K320" s="993"/>
      <c r="L320" s="993"/>
      <c r="M320" s="993"/>
      <c r="N320" s="993"/>
      <c r="O320" s="993"/>
      <c r="P320" s="993"/>
      <c r="Q320" s="993"/>
      <c r="R320" s="993"/>
      <c r="S320" s="936"/>
      <c r="T320" s="998"/>
      <c r="U320" s="935"/>
      <c r="V320" s="935"/>
      <c r="W320" s="949" t="str">
        <f>IF(AND($S$20,NOT($U$20)),IF($V320:$V623="","",SUMIF(portfolio.!$A$4:$A623,V320,portfolio.!$AN$4:$AN623)),"")</f>
        <v/>
      </c>
      <c r="X320" s="998"/>
      <c r="Y320" s="936"/>
      <c r="Z320" s="936" t="s">
        <v>123</v>
      </c>
      <c r="AA320" s="936" t="s">
        <v>123</v>
      </c>
      <c r="AB320" s="936" t="s">
        <v>123</v>
      </c>
      <c r="AC320" s="907" t="s">
        <v>123</v>
      </c>
      <c r="AD320" s="999"/>
      <c r="AE320" s="936"/>
      <c r="AF320" s="936"/>
      <c r="AG320" s="936"/>
      <c r="AH320" s="936"/>
      <c r="AI320" s="999"/>
      <c r="AJ320" s="935"/>
      <c r="AK320" s="966"/>
      <c r="AL320" s="949"/>
      <c r="AM320" s="949" t="s">
        <v>123</v>
      </c>
      <c r="AN320" s="949"/>
      <c r="AO320" s="999"/>
      <c r="AP320" s="936"/>
      <c r="AQ320" s="987"/>
      <c r="AR320" s="907"/>
      <c r="AS320" s="907"/>
      <c r="AT320" s="967" t="s">
        <v>123</v>
      </c>
      <c r="AU320" s="967" t="s">
        <v>123</v>
      </c>
      <c r="AV320" s="967" t="s">
        <v>123</v>
      </c>
      <c r="AW320" s="907" t="s">
        <v>123</v>
      </c>
      <c r="AX320" s="907" t="s">
        <v>123</v>
      </c>
      <c r="AY320" s="907" t="s">
        <v>123</v>
      </c>
      <c r="AZ320" s="936" t="s">
        <v>123</v>
      </c>
      <c r="BA320" s="935" t="s">
        <v>123</v>
      </c>
      <c r="BB320" s="1000"/>
      <c r="BC320" s="1001"/>
      <c r="BD320" s="936"/>
      <c r="BE320" s="907"/>
      <c r="BF320" s="1002" t="str">
        <f>IF($BC320="","",SUMIF(portfolio.!$A$4:$A623,BC320,portfolio.!$AN$4:$AN623))</f>
        <v/>
      </c>
      <c r="BG320" s="936" t="s">
        <v>123</v>
      </c>
      <c r="BH320" s="907" t="s">
        <v>123</v>
      </c>
      <c r="BI320" s="935" t="s">
        <v>123</v>
      </c>
      <c r="BJ320" s="1003"/>
      <c r="BK320" s="907" t="s">
        <v>123</v>
      </c>
      <c r="BL320" s="907" t="s">
        <v>123</v>
      </c>
      <c r="BM320" s="907" t="s">
        <v>123</v>
      </c>
      <c r="BN320" s="1004" t="s">
        <v>123</v>
      </c>
      <c r="BO320" s="907" t="str">
        <f t="shared" si="6"/>
        <v/>
      </c>
      <c r="BP320" s="907" t="str">
        <f t="shared" si="7"/>
        <v/>
      </c>
      <c r="BQ320" s="907" t="str">
        <f t="shared" si="8"/>
        <v/>
      </c>
      <c r="BR320" s="1004" t="str">
        <f t="shared" si="9"/>
        <v/>
      </c>
      <c r="BS320" s="1005" t="str">
        <f t="shared" si="10"/>
        <v/>
      </c>
      <c r="BT320" s="1006" t="s">
        <v>123</v>
      </c>
      <c r="BU320" s="1002" t="s">
        <v>123</v>
      </c>
      <c r="BV320" s="1006" t="s">
        <v>123</v>
      </c>
      <c r="BW320" s="1007"/>
    </row>
    <row r="321">
      <c r="A321" s="624">
        <v>298.0</v>
      </c>
      <c r="B321" s="1008"/>
      <c r="C321" s="989"/>
      <c r="D321" s="851"/>
      <c r="E321" s="990"/>
      <c r="F321" s="991"/>
      <c r="G321" s="991"/>
      <c r="H321" s="992"/>
      <c r="I321" s="993"/>
      <c r="J321" s="993"/>
      <c r="K321" s="993"/>
      <c r="L321" s="993"/>
      <c r="M321" s="993"/>
      <c r="N321" s="993"/>
      <c r="O321" s="993"/>
      <c r="P321" s="993"/>
      <c r="Q321" s="993"/>
      <c r="R321" s="993"/>
      <c r="S321" s="936"/>
      <c r="T321" s="998"/>
      <c r="U321" s="935"/>
      <c r="V321" s="935"/>
      <c r="W321" s="949" t="str">
        <f>IF(AND($S$20,NOT($U$20)),IF($V321:$V623="","",SUMIF(portfolio.!$A$4:$A623,V321,portfolio.!$AN$4:$AN623)),"")</f>
        <v/>
      </c>
      <c r="X321" s="998"/>
      <c r="Y321" s="936"/>
      <c r="Z321" s="936" t="s">
        <v>123</v>
      </c>
      <c r="AA321" s="936" t="s">
        <v>123</v>
      </c>
      <c r="AB321" s="936" t="s">
        <v>123</v>
      </c>
      <c r="AC321" s="907" t="s">
        <v>123</v>
      </c>
      <c r="AD321" s="999"/>
      <c r="AE321" s="936"/>
      <c r="AF321" s="936"/>
      <c r="AG321" s="936"/>
      <c r="AH321" s="936"/>
      <c r="AI321" s="999"/>
      <c r="AJ321" s="935"/>
      <c r="AK321" s="966"/>
      <c r="AL321" s="949"/>
      <c r="AM321" s="949" t="s">
        <v>123</v>
      </c>
      <c r="AN321" s="949"/>
      <c r="AO321" s="999"/>
      <c r="AP321" s="936"/>
      <c r="AQ321" s="987"/>
      <c r="AR321" s="907"/>
      <c r="AS321" s="907"/>
      <c r="AT321" s="967" t="s">
        <v>123</v>
      </c>
      <c r="AU321" s="967" t="s">
        <v>123</v>
      </c>
      <c r="AV321" s="967" t="s">
        <v>123</v>
      </c>
      <c r="AW321" s="907" t="s">
        <v>123</v>
      </c>
      <c r="AX321" s="907" t="s">
        <v>123</v>
      </c>
      <c r="AY321" s="907" t="s">
        <v>123</v>
      </c>
      <c r="AZ321" s="936" t="s">
        <v>123</v>
      </c>
      <c r="BA321" s="935" t="s">
        <v>123</v>
      </c>
      <c r="BB321" s="1000"/>
      <c r="BC321" s="1001"/>
      <c r="BD321" s="936"/>
      <c r="BE321" s="907"/>
      <c r="BF321" s="1002" t="str">
        <f>IF($BC321="","",SUMIF(portfolio.!$A$4:$A623,BC321,portfolio.!$AN$4:$AN623))</f>
        <v/>
      </c>
      <c r="BG321" s="936" t="s">
        <v>123</v>
      </c>
      <c r="BH321" s="907" t="s">
        <v>123</v>
      </c>
      <c r="BI321" s="935" t="s">
        <v>123</v>
      </c>
      <c r="BJ321" s="1003"/>
      <c r="BK321" s="907" t="s">
        <v>123</v>
      </c>
      <c r="BL321" s="907" t="s">
        <v>123</v>
      </c>
      <c r="BM321" s="907" t="s">
        <v>123</v>
      </c>
      <c r="BN321" s="1004" t="s">
        <v>123</v>
      </c>
      <c r="BO321" s="907" t="str">
        <f t="shared" si="6"/>
        <v/>
      </c>
      <c r="BP321" s="907" t="str">
        <f t="shared" si="7"/>
        <v/>
      </c>
      <c r="BQ321" s="907" t="str">
        <f t="shared" si="8"/>
        <v/>
      </c>
      <c r="BR321" s="1004" t="str">
        <f t="shared" si="9"/>
        <v/>
      </c>
      <c r="BS321" s="1005" t="str">
        <f t="shared" si="10"/>
        <v/>
      </c>
      <c r="BT321" s="1006" t="s">
        <v>123</v>
      </c>
      <c r="BU321" s="1002" t="s">
        <v>123</v>
      </c>
      <c r="BV321" s="1006" t="s">
        <v>123</v>
      </c>
      <c r="BW321" s="1007"/>
    </row>
    <row r="322">
      <c r="A322" s="624">
        <v>299.0</v>
      </c>
      <c r="B322" s="1008"/>
      <c r="C322" s="989"/>
      <c r="D322" s="851"/>
      <c r="E322" s="990"/>
      <c r="F322" s="991"/>
      <c r="G322" s="991"/>
      <c r="H322" s="992"/>
      <c r="I322" s="993"/>
      <c r="J322" s="993"/>
      <c r="K322" s="993"/>
      <c r="L322" s="993"/>
      <c r="M322" s="993"/>
      <c r="N322" s="993"/>
      <c r="O322" s="993"/>
      <c r="P322" s="993"/>
      <c r="Q322" s="993"/>
      <c r="R322" s="993"/>
      <c r="S322" s="936"/>
      <c r="T322" s="998"/>
      <c r="U322" s="935"/>
      <c r="V322" s="935"/>
      <c r="W322" s="949" t="str">
        <f>IF(AND($S$20,NOT($U$20)),IF($V322:$V623="","",SUMIF(portfolio.!$A$4:$A623,V322,portfolio.!$AN$4:$AN623)),"")</f>
        <v/>
      </c>
      <c r="X322" s="998"/>
      <c r="Y322" s="936"/>
      <c r="Z322" s="936" t="s">
        <v>123</v>
      </c>
      <c r="AA322" s="936" t="s">
        <v>123</v>
      </c>
      <c r="AB322" s="936" t="s">
        <v>123</v>
      </c>
      <c r="AC322" s="907" t="s">
        <v>123</v>
      </c>
      <c r="AD322" s="999"/>
      <c r="AE322" s="936"/>
      <c r="AF322" s="936"/>
      <c r="AG322" s="936"/>
      <c r="AH322" s="936"/>
      <c r="AI322" s="999"/>
      <c r="AJ322" s="935"/>
      <c r="AK322" s="966"/>
      <c r="AL322" s="949"/>
      <c r="AM322" s="949" t="s">
        <v>123</v>
      </c>
      <c r="AN322" s="949"/>
      <c r="AO322" s="999"/>
      <c r="AP322" s="936"/>
      <c r="AQ322" s="987"/>
      <c r="AR322" s="907"/>
      <c r="AS322" s="907"/>
      <c r="AT322" s="967" t="s">
        <v>123</v>
      </c>
      <c r="AU322" s="967" t="s">
        <v>123</v>
      </c>
      <c r="AV322" s="967" t="s">
        <v>123</v>
      </c>
      <c r="AW322" s="907" t="s">
        <v>123</v>
      </c>
      <c r="AX322" s="907" t="s">
        <v>123</v>
      </c>
      <c r="AY322" s="907" t="s">
        <v>123</v>
      </c>
      <c r="AZ322" s="936" t="s">
        <v>123</v>
      </c>
      <c r="BA322" s="935" t="s">
        <v>123</v>
      </c>
      <c r="BB322" s="1000"/>
      <c r="BC322" s="1001"/>
      <c r="BD322" s="936"/>
      <c r="BE322" s="907"/>
      <c r="BF322" s="1002" t="str">
        <f>IF($BC322="","",SUMIF(portfolio.!$A$4:$A623,BC322,portfolio.!$AN$4:$AN623))</f>
        <v/>
      </c>
      <c r="BG322" s="936" t="s">
        <v>123</v>
      </c>
      <c r="BH322" s="907" t="s">
        <v>123</v>
      </c>
      <c r="BI322" s="935" t="s">
        <v>123</v>
      </c>
      <c r="BJ322" s="1003"/>
      <c r="BK322" s="907" t="s">
        <v>123</v>
      </c>
      <c r="BL322" s="907" t="s">
        <v>123</v>
      </c>
      <c r="BM322" s="907" t="s">
        <v>123</v>
      </c>
      <c r="BN322" s="1004" t="s">
        <v>123</v>
      </c>
      <c r="BO322" s="907" t="str">
        <f t="shared" si="6"/>
        <v/>
      </c>
      <c r="BP322" s="907" t="str">
        <f t="shared" si="7"/>
        <v/>
      </c>
      <c r="BQ322" s="907" t="str">
        <f t="shared" si="8"/>
        <v/>
      </c>
      <c r="BR322" s="1004" t="str">
        <f t="shared" si="9"/>
        <v/>
      </c>
      <c r="BS322" s="1005" t="str">
        <f t="shared" si="10"/>
        <v/>
      </c>
      <c r="BT322" s="1006" t="s">
        <v>123</v>
      </c>
      <c r="BU322" s="1002" t="s">
        <v>123</v>
      </c>
      <c r="BV322" s="1006" t="s">
        <v>123</v>
      </c>
      <c r="BW322" s="1007"/>
    </row>
    <row r="323">
      <c r="A323" s="624">
        <v>300.0</v>
      </c>
      <c r="B323" s="1008"/>
      <c r="C323" s="989"/>
      <c r="D323" s="851"/>
      <c r="E323" s="990"/>
      <c r="F323" s="991"/>
      <c r="G323" s="991"/>
      <c r="H323" s="992"/>
      <c r="I323" s="993"/>
      <c r="J323" s="993"/>
      <c r="K323" s="993"/>
      <c r="L323" s="993"/>
      <c r="M323" s="993"/>
      <c r="N323" s="993"/>
      <c r="O323" s="993"/>
      <c r="P323" s="993"/>
      <c r="Q323" s="993"/>
      <c r="R323" s="993"/>
      <c r="S323" s="936"/>
      <c r="T323" s="998"/>
      <c r="U323" s="935"/>
      <c r="V323" s="935"/>
      <c r="W323" s="949" t="str">
        <f>IF(AND($S$20,NOT($U$20)),IF($V323:$V623="","",SUMIF(portfolio.!$A$4:$A623,V323,portfolio.!$AN$4:$AN623)),"")</f>
        <v/>
      </c>
      <c r="X323" s="998"/>
      <c r="Y323" s="936"/>
      <c r="Z323" s="936" t="s">
        <v>123</v>
      </c>
      <c r="AA323" s="936" t="s">
        <v>123</v>
      </c>
      <c r="AB323" s="936" t="s">
        <v>123</v>
      </c>
      <c r="AC323" s="907" t="s">
        <v>123</v>
      </c>
      <c r="AD323" s="999"/>
      <c r="AE323" s="936"/>
      <c r="AF323" s="936"/>
      <c r="AG323" s="936"/>
      <c r="AH323" s="936"/>
      <c r="AI323" s="999"/>
      <c r="AJ323" s="935"/>
      <c r="AK323" s="966"/>
      <c r="AL323" s="949"/>
      <c r="AM323" s="949" t="s">
        <v>123</v>
      </c>
      <c r="AN323" s="949"/>
      <c r="AO323" s="999"/>
      <c r="AP323" s="936"/>
      <c r="AQ323" s="987"/>
      <c r="AR323" s="907"/>
      <c r="AS323" s="907"/>
      <c r="AT323" s="967" t="s">
        <v>123</v>
      </c>
      <c r="AU323" s="967" t="s">
        <v>123</v>
      </c>
      <c r="AV323" s="967" t="s">
        <v>123</v>
      </c>
      <c r="AW323" s="907" t="s">
        <v>123</v>
      </c>
      <c r="AX323" s="907" t="s">
        <v>123</v>
      </c>
      <c r="AY323" s="907" t="s">
        <v>123</v>
      </c>
      <c r="AZ323" s="936" t="s">
        <v>123</v>
      </c>
      <c r="BA323" s="935" t="s">
        <v>123</v>
      </c>
      <c r="BB323" s="1000"/>
      <c r="BC323" s="1001"/>
      <c r="BD323" s="936"/>
      <c r="BE323" s="907"/>
      <c r="BF323" s="1002" t="str">
        <f>IF($BC323="","",SUMIF(portfolio.!$A$4:$A623,BC323,portfolio.!$AN$4:$AN623))</f>
        <v/>
      </c>
      <c r="BG323" s="936" t="s">
        <v>123</v>
      </c>
      <c r="BH323" s="907" t="s">
        <v>123</v>
      </c>
      <c r="BI323" s="935" t="s">
        <v>123</v>
      </c>
      <c r="BJ323" s="1003"/>
      <c r="BK323" s="907" t="s">
        <v>123</v>
      </c>
      <c r="BL323" s="907" t="s">
        <v>123</v>
      </c>
      <c r="BM323" s="907" t="s">
        <v>123</v>
      </c>
      <c r="BN323" s="1004" t="s">
        <v>123</v>
      </c>
      <c r="BO323" s="907" t="str">
        <f t="shared" si="6"/>
        <v/>
      </c>
      <c r="BP323" s="907" t="str">
        <f t="shared" si="7"/>
        <v/>
      </c>
      <c r="BQ323" s="907" t="str">
        <f t="shared" si="8"/>
        <v/>
      </c>
      <c r="BR323" s="1004" t="str">
        <f t="shared" si="9"/>
        <v/>
      </c>
      <c r="BS323" s="1005" t="str">
        <f t="shared" si="10"/>
        <v/>
      </c>
      <c r="BT323" s="1006" t="s">
        <v>123</v>
      </c>
      <c r="BU323" s="1002" t="s">
        <v>123</v>
      </c>
      <c r="BV323" s="1006" t="s">
        <v>123</v>
      </c>
      <c r="BW323" s="1007"/>
    </row>
    <row r="324">
      <c r="A324" s="624">
        <v>301.0</v>
      </c>
      <c r="B324" s="1008"/>
      <c r="C324" s="989"/>
      <c r="D324" s="851"/>
      <c r="E324" s="990"/>
      <c r="F324" s="991"/>
      <c r="G324" s="991"/>
      <c r="H324" s="992"/>
      <c r="I324" s="993"/>
      <c r="J324" s="993"/>
      <c r="K324" s="993"/>
      <c r="L324" s="993"/>
      <c r="M324" s="993"/>
      <c r="N324" s="993"/>
      <c r="O324" s="993"/>
      <c r="P324" s="993"/>
      <c r="Q324" s="993"/>
      <c r="R324" s="993"/>
      <c r="S324" s="936"/>
      <c r="T324" s="998"/>
      <c r="U324" s="935"/>
      <c r="V324" s="935"/>
      <c r="W324" s="949" t="str">
        <f>IF(AND($S$20,NOT($U$20)),IF($V324:$V623="","",SUMIF(portfolio.!$A$4:$A623,V324,portfolio.!$AN$4:$AN623)),"")</f>
        <v/>
      </c>
      <c r="X324" s="998"/>
      <c r="Y324" s="936"/>
      <c r="Z324" s="936" t="s">
        <v>123</v>
      </c>
      <c r="AA324" s="936" t="s">
        <v>123</v>
      </c>
      <c r="AB324" s="936" t="s">
        <v>123</v>
      </c>
      <c r="AC324" s="907" t="s">
        <v>123</v>
      </c>
      <c r="AD324" s="999"/>
      <c r="AE324" s="936"/>
      <c r="AF324" s="936"/>
      <c r="AG324" s="936"/>
      <c r="AH324" s="936"/>
      <c r="AI324" s="999"/>
      <c r="AJ324" s="935"/>
      <c r="AK324" s="966"/>
      <c r="AL324" s="949"/>
      <c r="AM324" s="949" t="s">
        <v>123</v>
      </c>
      <c r="AN324" s="949"/>
      <c r="AO324" s="999"/>
      <c r="AP324" s="936"/>
      <c r="AQ324" s="987"/>
      <c r="AR324" s="907"/>
      <c r="AS324" s="907"/>
      <c r="AT324" s="967" t="s">
        <v>123</v>
      </c>
      <c r="AU324" s="967" t="s">
        <v>123</v>
      </c>
      <c r="AV324" s="967" t="s">
        <v>123</v>
      </c>
      <c r="AW324" s="907" t="s">
        <v>123</v>
      </c>
      <c r="AX324" s="907" t="s">
        <v>123</v>
      </c>
      <c r="AY324" s="907" t="s">
        <v>123</v>
      </c>
      <c r="AZ324" s="936" t="s">
        <v>123</v>
      </c>
      <c r="BA324" s="935" t="s">
        <v>123</v>
      </c>
      <c r="BB324" s="1000"/>
      <c r="BC324" s="1001"/>
      <c r="BD324" s="936"/>
      <c r="BE324" s="907"/>
      <c r="BF324" s="1002" t="str">
        <f>IF($BC324="","",SUMIF(portfolio.!$A$4:$A623,BC324,portfolio.!$AN$4:$AN623))</f>
        <v/>
      </c>
      <c r="BG324" s="936" t="s">
        <v>123</v>
      </c>
      <c r="BH324" s="907" t="s">
        <v>123</v>
      </c>
      <c r="BI324" s="935" t="s">
        <v>123</v>
      </c>
      <c r="BJ324" s="1003"/>
      <c r="BK324" s="907" t="s">
        <v>123</v>
      </c>
      <c r="BL324" s="907" t="s">
        <v>123</v>
      </c>
      <c r="BM324" s="907" t="s">
        <v>123</v>
      </c>
      <c r="BN324" s="1004" t="s">
        <v>123</v>
      </c>
      <c r="BO324" s="907" t="str">
        <f t="shared" si="6"/>
        <v/>
      </c>
      <c r="BP324" s="907" t="str">
        <f t="shared" si="7"/>
        <v/>
      </c>
      <c r="BQ324" s="907" t="str">
        <f t="shared" si="8"/>
        <v/>
      </c>
      <c r="BR324" s="1004" t="str">
        <f t="shared" si="9"/>
        <v/>
      </c>
      <c r="BS324" s="1005" t="str">
        <f t="shared" si="10"/>
        <v/>
      </c>
      <c r="BT324" s="1006" t="s">
        <v>123</v>
      </c>
      <c r="BU324" s="1002" t="s">
        <v>123</v>
      </c>
      <c r="BV324" s="1006" t="s">
        <v>123</v>
      </c>
      <c r="BW324" s="1007"/>
    </row>
    <row r="325">
      <c r="A325" s="624">
        <v>302.0</v>
      </c>
      <c r="B325" s="1008"/>
      <c r="C325" s="989"/>
      <c r="D325" s="851"/>
      <c r="E325" s="990"/>
      <c r="F325" s="991"/>
      <c r="G325" s="991"/>
      <c r="H325" s="992"/>
      <c r="I325" s="993"/>
      <c r="J325" s="993"/>
      <c r="K325" s="993"/>
      <c r="L325" s="993"/>
      <c r="M325" s="993"/>
      <c r="N325" s="993"/>
      <c r="O325" s="993"/>
      <c r="P325" s="993"/>
      <c r="Q325" s="993"/>
      <c r="R325" s="993"/>
      <c r="S325" s="936"/>
      <c r="T325" s="998"/>
      <c r="U325" s="935"/>
      <c r="V325" s="935"/>
      <c r="W325" s="949" t="str">
        <f>IF(AND($S$20,NOT($U$20)),IF($V325:$V623="","",SUMIF(portfolio.!$A$4:$A623,V325,portfolio.!$AN$4:$AN623)),"")</f>
        <v/>
      </c>
      <c r="X325" s="998"/>
      <c r="Y325" s="936"/>
      <c r="Z325" s="936" t="s">
        <v>123</v>
      </c>
      <c r="AA325" s="936" t="s">
        <v>123</v>
      </c>
      <c r="AB325" s="936" t="s">
        <v>123</v>
      </c>
      <c r="AC325" s="907" t="s">
        <v>123</v>
      </c>
      <c r="AD325" s="999"/>
      <c r="AE325" s="936"/>
      <c r="AF325" s="936"/>
      <c r="AG325" s="936"/>
      <c r="AH325" s="936"/>
      <c r="AI325" s="999"/>
      <c r="AJ325" s="935"/>
      <c r="AK325" s="966"/>
      <c r="AL325" s="949"/>
      <c r="AM325" s="949" t="s">
        <v>123</v>
      </c>
      <c r="AN325" s="949"/>
      <c r="AO325" s="999"/>
      <c r="AP325" s="936"/>
      <c r="AQ325" s="987"/>
      <c r="AR325" s="907"/>
      <c r="AS325" s="907"/>
      <c r="AT325" s="967" t="s">
        <v>123</v>
      </c>
      <c r="AU325" s="967" t="s">
        <v>123</v>
      </c>
      <c r="AV325" s="967" t="s">
        <v>123</v>
      </c>
      <c r="AW325" s="907" t="s">
        <v>123</v>
      </c>
      <c r="AX325" s="907" t="s">
        <v>123</v>
      </c>
      <c r="AY325" s="907" t="s">
        <v>123</v>
      </c>
      <c r="AZ325" s="936" t="s">
        <v>123</v>
      </c>
      <c r="BA325" s="935" t="s">
        <v>123</v>
      </c>
      <c r="BB325" s="1000"/>
      <c r="BC325" s="1001"/>
      <c r="BD325" s="936"/>
      <c r="BE325" s="907"/>
      <c r="BF325" s="1002" t="str">
        <f>IF($BC325="","",SUMIF(portfolio.!$A$4:$A623,BC325,portfolio.!$AN$4:$AN623))</f>
        <v/>
      </c>
      <c r="BG325" s="936" t="s">
        <v>123</v>
      </c>
      <c r="BH325" s="907" t="s">
        <v>123</v>
      </c>
      <c r="BI325" s="935" t="s">
        <v>123</v>
      </c>
      <c r="BJ325" s="1003"/>
      <c r="BK325" s="907" t="s">
        <v>123</v>
      </c>
      <c r="BL325" s="907" t="s">
        <v>123</v>
      </c>
      <c r="BM325" s="907" t="s">
        <v>123</v>
      </c>
      <c r="BN325" s="1004" t="s">
        <v>123</v>
      </c>
      <c r="BO325" s="907" t="str">
        <f t="shared" si="6"/>
        <v/>
      </c>
      <c r="BP325" s="907" t="str">
        <f t="shared" si="7"/>
        <v/>
      </c>
      <c r="BQ325" s="907" t="str">
        <f t="shared" si="8"/>
        <v/>
      </c>
      <c r="BR325" s="1004" t="str">
        <f t="shared" si="9"/>
        <v/>
      </c>
      <c r="BS325" s="1005" t="str">
        <f t="shared" si="10"/>
        <v/>
      </c>
      <c r="BT325" s="1006" t="s">
        <v>123</v>
      </c>
      <c r="BU325" s="1002" t="s">
        <v>123</v>
      </c>
      <c r="BV325" s="1006" t="s">
        <v>123</v>
      </c>
      <c r="BW325" s="1007"/>
    </row>
    <row r="326">
      <c r="A326" s="624">
        <v>303.0</v>
      </c>
      <c r="B326" s="1008"/>
      <c r="C326" s="989"/>
      <c r="D326" s="851"/>
      <c r="E326" s="990"/>
      <c r="F326" s="991"/>
      <c r="G326" s="991"/>
      <c r="H326" s="992"/>
      <c r="I326" s="993"/>
      <c r="J326" s="993"/>
      <c r="K326" s="993"/>
      <c r="L326" s="993"/>
      <c r="M326" s="993"/>
      <c r="N326" s="993"/>
      <c r="O326" s="993"/>
      <c r="P326" s="993"/>
      <c r="Q326" s="993"/>
      <c r="R326" s="993"/>
      <c r="S326" s="936"/>
      <c r="T326" s="998"/>
      <c r="U326" s="935"/>
      <c r="V326" s="935"/>
      <c r="W326" s="949" t="str">
        <f>IF(AND($S$20,NOT($U$20)),IF($V326:$V623="","",SUMIF(portfolio.!$A$4:$A623,V326,portfolio.!$AN$4:$AN623)),"")</f>
        <v/>
      </c>
      <c r="X326" s="998"/>
      <c r="Y326" s="936"/>
      <c r="Z326" s="936" t="s">
        <v>123</v>
      </c>
      <c r="AA326" s="936" t="s">
        <v>123</v>
      </c>
      <c r="AB326" s="936" t="s">
        <v>123</v>
      </c>
      <c r="AC326" s="907" t="s">
        <v>123</v>
      </c>
      <c r="AD326" s="999"/>
      <c r="AE326" s="936"/>
      <c r="AF326" s="936"/>
      <c r="AG326" s="936"/>
      <c r="AH326" s="936"/>
      <c r="AI326" s="999"/>
      <c r="AJ326" s="935"/>
      <c r="AK326" s="966"/>
      <c r="AL326" s="949"/>
      <c r="AM326" s="949" t="s">
        <v>123</v>
      </c>
      <c r="AN326" s="949"/>
      <c r="AO326" s="999"/>
      <c r="AP326" s="936"/>
      <c r="AQ326" s="987"/>
      <c r="AR326" s="907"/>
      <c r="AS326" s="907"/>
      <c r="AT326" s="967" t="s">
        <v>123</v>
      </c>
      <c r="AU326" s="967" t="s">
        <v>123</v>
      </c>
      <c r="AV326" s="967" t="s">
        <v>123</v>
      </c>
      <c r="AW326" s="907" t="s">
        <v>123</v>
      </c>
      <c r="AX326" s="907" t="s">
        <v>123</v>
      </c>
      <c r="AY326" s="907" t="s">
        <v>123</v>
      </c>
      <c r="AZ326" s="936" t="s">
        <v>123</v>
      </c>
      <c r="BA326" s="935" t="s">
        <v>123</v>
      </c>
      <c r="BB326" s="1000"/>
      <c r="BC326" s="1001"/>
      <c r="BD326" s="936"/>
      <c r="BE326" s="907"/>
      <c r="BF326" s="1002" t="str">
        <f>IF($BC326="","",SUMIF(portfolio.!$A$4:$A623,BC326,portfolio.!$AN$4:$AN623))</f>
        <v/>
      </c>
      <c r="BG326" s="936" t="s">
        <v>123</v>
      </c>
      <c r="BH326" s="907" t="s">
        <v>123</v>
      </c>
      <c r="BI326" s="935" t="s">
        <v>123</v>
      </c>
      <c r="BJ326" s="1003"/>
      <c r="BK326" s="907" t="s">
        <v>123</v>
      </c>
      <c r="BL326" s="907" t="s">
        <v>123</v>
      </c>
      <c r="BM326" s="907" t="s">
        <v>123</v>
      </c>
      <c r="BN326" s="1004" t="s">
        <v>123</v>
      </c>
      <c r="BO326" s="907" t="str">
        <f t="shared" si="6"/>
        <v/>
      </c>
      <c r="BP326" s="907" t="str">
        <f t="shared" si="7"/>
        <v/>
      </c>
      <c r="BQ326" s="907" t="str">
        <f t="shared" si="8"/>
        <v/>
      </c>
      <c r="BR326" s="1004" t="str">
        <f t="shared" si="9"/>
        <v/>
      </c>
      <c r="BS326" s="1005" t="str">
        <f t="shared" si="10"/>
        <v/>
      </c>
      <c r="BT326" s="1006" t="s">
        <v>123</v>
      </c>
      <c r="BU326" s="1002" t="s">
        <v>123</v>
      </c>
      <c r="BV326" s="1006" t="s">
        <v>123</v>
      </c>
      <c r="BW326" s="1007"/>
    </row>
    <row r="327">
      <c r="A327" s="624">
        <v>304.0</v>
      </c>
      <c r="B327" s="1008"/>
      <c r="C327" s="989"/>
      <c r="D327" s="851"/>
      <c r="E327" s="990"/>
      <c r="F327" s="991"/>
      <c r="G327" s="991"/>
      <c r="H327" s="992"/>
      <c r="I327" s="993"/>
      <c r="J327" s="993"/>
      <c r="K327" s="993"/>
      <c r="L327" s="993"/>
      <c r="M327" s="993"/>
      <c r="N327" s="993"/>
      <c r="O327" s="993"/>
      <c r="P327" s="993"/>
      <c r="Q327" s="993"/>
      <c r="R327" s="993"/>
      <c r="S327" s="936"/>
      <c r="T327" s="998"/>
      <c r="U327" s="935"/>
      <c r="V327" s="935"/>
      <c r="W327" s="949" t="str">
        <f>IF(AND($S$20,NOT($U$20)),IF($V327:$V623="","",SUMIF(portfolio.!$A$4:$A623,V327,portfolio.!$AN$4:$AN623)),"")</f>
        <v/>
      </c>
      <c r="X327" s="998"/>
      <c r="Y327" s="936"/>
      <c r="Z327" s="936" t="s">
        <v>123</v>
      </c>
      <c r="AA327" s="936" t="s">
        <v>123</v>
      </c>
      <c r="AB327" s="936" t="s">
        <v>123</v>
      </c>
      <c r="AC327" s="907" t="s">
        <v>123</v>
      </c>
      <c r="AD327" s="999"/>
      <c r="AE327" s="936"/>
      <c r="AF327" s="936"/>
      <c r="AG327" s="936"/>
      <c r="AH327" s="936"/>
      <c r="AI327" s="999"/>
      <c r="AJ327" s="935"/>
      <c r="AK327" s="966"/>
      <c r="AL327" s="949"/>
      <c r="AM327" s="949" t="s">
        <v>123</v>
      </c>
      <c r="AN327" s="949"/>
      <c r="AO327" s="999"/>
      <c r="AP327" s="936"/>
      <c r="AQ327" s="987"/>
      <c r="AR327" s="907"/>
      <c r="AS327" s="907"/>
      <c r="AT327" s="967" t="s">
        <v>123</v>
      </c>
      <c r="AU327" s="967" t="s">
        <v>123</v>
      </c>
      <c r="AV327" s="967" t="s">
        <v>123</v>
      </c>
      <c r="AW327" s="907" t="s">
        <v>123</v>
      </c>
      <c r="AX327" s="907" t="s">
        <v>123</v>
      </c>
      <c r="AY327" s="907" t="s">
        <v>123</v>
      </c>
      <c r="AZ327" s="936" t="s">
        <v>123</v>
      </c>
      <c r="BA327" s="935" t="s">
        <v>123</v>
      </c>
      <c r="BB327" s="1000"/>
      <c r="BC327" s="1001"/>
      <c r="BD327" s="936"/>
      <c r="BE327" s="907"/>
      <c r="BF327" s="1002" t="str">
        <f>IF($BC327="","",SUMIF(portfolio.!$A$4:$A623,BC327,portfolio.!$AN$4:$AN623))</f>
        <v/>
      </c>
      <c r="BG327" s="936" t="s">
        <v>123</v>
      </c>
      <c r="BH327" s="907" t="s">
        <v>123</v>
      </c>
      <c r="BI327" s="935" t="s">
        <v>123</v>
      </c>
      <c r="BJ327" s="1003"/>
      <c r="BK327" s="907" t="s">
        <v>123</v>
      </c>
      <c r="BL327" s="907" t="s">
        <v>123</v>
      </c>
      <c r="BM327" s="907" t="s">
        <v>123</v>
      </c>
      <c r="BN327" s="1004" t="s">
        <v>123</v>
      </c>
      <c r="BO327" s="907" t="str">
        <f t="shared" si="6"/>
        <v/>
      </c>
      <c r="BP327" s="907" t="str">
        <f t="shared" si="7"/>
        <v/>
      </c>
      <c r="BQ327" s="907" t="str">
        <f t="shared" si="8"/>
        <v/>
      </c>
      <c r="BR327" s="1004" t="str">
        <f t="shared" si="9"/>
        <v/>
      </c>
      <c r="BS327" s="1005" t="str">
        <f t="shared" si="10"/>
        <v/>
      </c>
      <c r="BT327" s="1006" t="s">
        <v>123</v>
      </c>
      <c r="BU327" s="1002" t="s">
        <v>123</v>
      </c>
      <c r="BV327" s="1006" t="s">
        <v>123</v>
      </c>
      <c r="BW327" s="1007"/>
    </row>
    <row r="328">
      <c r="A328" s="624">
        <v>305.0</v>
      </c>
      <c r="B328" s="1008"/>
      <c r="C328" s="989"/>
      <c r="D328" s="851"/>
      <c r="E328" s="990"/>
      <c r="F328" s="991"/>
      <c r="G328" s="991"/>
      <c r="H328" s="992"/>
      <c r="I328" s="993"/>
      <c r="J328" s="993"/>
      <c r="K328" s="993"/>
      <c r="L328" s="993"/>
      <c r="M328" s="993"/>
      <c r="N328" s="993"/>
      <c r="O328" s="993"/>
      <c r="P328" s="993"/>
      <c r="Q328" s="993"/>
      <c r="R328" s="993"/>
      <c r="S328" s="936"/>
      <c r="T328" s="998"/>
      <c r="U328" s="935"/>
      <c r="V328" s="935"/>
      <c r="W328" s="949" t="str">
        <f>IF(AND($S$20,NOT($U$20)),IF($V328:$V623="","",SUMIF(portfolio.!$A$4:$A623,V328,portfolio.!$AN$4:$AN623)),"")</f>
        <v/>
      </c>
      <c r="X328" s="998"/>
      <c r="Y328" s="936"/>
      <c r="Z328" s="936" t="s">
        <v>123</v>
      </c>
      <c r="AA328" s="936" t="s">
        <v>123</v>
      </c>
      <c r="AB328" s="936" t="s">
        <v>123</v>
      </c>
      <c r="AC328" s="907" t="s">
        <v>123</v>
      </c>
      <c r="AD328" s="999"/>
      <c r="AE328" s="936"/>
      <c r="AF328" s="936"/>
      <c r="AG328" s="936"/>
      <c r="AH328" s="936"/>
      <c r="AI328" s="999"/>
      <c r="AJ328" s="935"/>
      <c r="AK328" s="966"/>
      <c r="AL328" s="949"/>
      <c r="AM328" s="949" t="s">
        <v>123</v>
      </c>
      <c r="AN328" s="949"/>
      <c r="AO328" s="999"/>
      <c r="AP328" s="936"/>
      <c r="AQ328" s="987"/>
      <c r="AR328" s="907"/>
      <c r="AS328" s="907"/>
      <c r="AT328" s="967" t="s">
        <v>123</v>
      </c>
      <c r="AU328" s="967" t="s">
        <v>123</v>
      </c>
      <c r="AV328" s="967" t="s">
        <v>123</v>
      </c>
      <c r="AW328" s="907" t="s">
        <v>123</v>
      </c>
      <c r="AX328" s="907" t="s">
        <v>123</v>
      </c>
      <c r="AY328" s="907" t="s">
        <v>123</v>
      </c>
      <c r="AZ328" s="936" t="s">
        <v>123</v>
      </c>
      <c r="BA328" s="935" t="s">
        <v>123</v>
      </c>
      <c r="BB328" s="1000"/>
      <c r="BC328" s="1001"/>
      <c r="BD328" s="936"/>
      <c r="BE328" s="907"/>
      <c r="BF328" s="1002" t="str">
        <f>IF($BC328="","",SUMIF(portfolio.!$A$4:$A623,BC328,portfolio.!$AN$4:$AN623))</f>
        <v/>
      </c>
      <c r="BG328" s="936" t="s">
        <v>123</v>
      </c>
      <c r="BH328" s="907" t="s">
        <v>123</v>
      </c>
      <c r="BI328" s="935" t="s">
        <v>123</v>
      </c>
      <c r="BJ328" s="1003"/>
      <c r="BK328" s="907" t="s">
        <v>123</v>
      </c>
      <c r="BL328" s="907" t="s">
        <v>123</v>
      </c>
      <c r="BM328" s="907" t="s">
        <v>123</v>
      </c>
      <c r="BN328" s="1004" t="s">
        <v>123</v>
      </c>
      <c r="BO328" s="907" t="str">
        <f t="shared" si="6"/>
        <v/>
      </c>
      <c r="BP328" s="907" t="str">
        <f t="shared" si="7"/>
        <v/>
      </c>
      <c r="BQ328" s="907" t="str">
        <f t="shared" si="8"/>
        <v/>
      </c>
      <c r="BR328" s="1004" t="str">
        <f t="shared" si="9"/>
        <v/>
      </c>
      <c r="BS328" s="1005" t="str">
        <f t="shared" si="10"/>
        <v/>
      </c>
      <c r="BT328" s="1006" t="s">
        <v>123</v>
      </c>
      <c r="BU328" s="1002" t="s">
        <v>123</v>
      </c>
      <c r="BV328" s="1006" t="s">
        <v>123</v>
      </c>
      <c r="BW328" s="1007"/>
    </row>
    <row r="329">
      <c r="A329" s="624">
        <v>306.0</v>
      </c>
      <c r="B329" s="1008"/>
      <c r="C329" s="989"/>
      <c r="D329" s="851"/>
      <c r="E329" s="990"/>
      <c r="F329" s="991"/>
      <c r="G329" s="991"/>
      <c r="H329" s="992"/>
      <c r="I329" s="993"/>
      <c r="J329" s="993"/>
      <c r="K329" s="993"/>
      <c r="L329" s="993"/>
      <c r="M329" s="993"/>
      <c r="N329" s="993"/>
      <c r="O329" s="993"/>
      <c r="P329" s="993"/>
      <c r="Q329" s="993"/>
      <c r="R329" s="993"/>
      <c r="S329" s="936"/>
      <c r="T329" s="998"/>
      <c r="U329" s="935"/>
      <c r="V329" s="935"/>
      <c r="W329" s="949" t="str">
        <f>IF(AND($S$20,NOT($U$20)),IF($V329:$V623="","",SUMIF(portfolio.!$A$4:$A623,V329,portfolio.!$AN$4:$AN623)),"")</f>
        <v/>
      </c>
      <c r="X329" s="998"/>
      <c r="Y329" s="936"/>
      <c r="Z329" s="936" t="s">
        <v>123</v>
      </c>
      <c r="AA329" s="936" t="s">
        <v>123</v>
      </c>
      <c r="AB329" s="936" t="s">
        <v>123</v>
      </c>
      <c r="AC329" s="907" t="s">
        <v>123</v>
      </c>
      <c r="AD329" s="999"/>
      <c r="AE329" s="936"/>
      <c r="AF329" s="936"/>
      <c r="AG329" s="936"/>
      <c r="AH329" s="936"/>
      <c r="AI329" s="999"/>
      <c r="AJ329" s="935"/>
      <c r="AK329" s="966"/>
      <c r="AL329" s="949"/>
      <c r="AM329" s="949" t="s">
        <v>123</v>
      </c>
      <c r="AN329" s="949"/>
      <c r="AO329" s="999"/>
      <c r="AP329" s="936"/>
      <c r="AQ329" s="987"/>
      <c r="AR329" s="907"/>
      <c r="AS329" s="907"/>
      <c r="AT329" s="967" t="s">
        <v>123</v>
      </c>
      <c r="AU329" s="967" t="s">
        <v>123</v>
      </c>
      <c r="AV329" s="967" t="s">
        <v>123</v>
      </c>
      <c r="AW329" s="907" t="s">
        <v>123</v>
      </c>
      <c r="AX329" s="907" t="s">
        <v>123</v>
      </c>
      <c r="AY329" s="907" t="s">
        <v>123</v>
      </c>
      <c r="AZ329" s="936" t="s">
        <v>123</v>
      </c>
      <c r="BA329" s="935" t="s">
        <v>123</v>
      </c>
      <c r="BB329" s="1000"/>
      <c r="BC329" s="1001"/>
      <c r="BD329" s="936"/>
      <c r="BE329" s="907"/>
      <c r="BF329" s="1002" t="str">
        <f>IF($BC329="","",SUMIF(portfolio.!$A$4:$A623,BC329,portfolio.!$AN$4:$AN623))</f>
        <v/>
      </c>
      <c r="BG329" s="936" t="s">
        <v>123</v>
      </c>
      <c r="BH329" s="907" t="s">
        <v>123</v>
      </c>
      <c r="BI329" s="935" t="s">
        <v>123</v>
      </c>
      <c r="BJ329" s="1003"/>
      <c r="BK329" s="907" t="s">
        <v>123</v>
      </c>
      <c r="BL329" s="907" t="s">
        <v>123</v>
      </c>
      <c r="BM329" s="907" t="s">
        <v>123</v>
      </c>
      <c r="BN329" s="1004" t="s">
        <v>123</v>
      </c>
      <c r="BO329" s="907" t="str">
        <f t="shared" si="6"/>
        <v/>
      </c>
      <c r="BP329" s="907" t="str">
        <f t="shared" si="7"/>
        <v/>
      </c>
      <c r="BQ329" s="907" t="str">
        <f t="shared" si="8"/>
        <v/>
      </c>
      <c r="BR329" s="1004" t="str">
        <f t="shared" si="9"/>
        <v/>
      </c>
      <c r="BS329" s="1005" t="str">
        <f t="shared" si="10"/>
        <v/>
      </c>
      <c r="BT329" s="1006" t="s">
        <v>123</v>
      </c>
      <c r="BU329" s="1002" t="s">
        <v>123</v>
      </c>
      <c r="BV329" s="1006" t="s">
        <v>123</v>
      </c>
      <c r="BW329" s="1007"/>
    </row>
    <row r="330">
      <c r="A330" s="624">
        <v>307.0</v>
      </c>
      <c r="B330" s="1008"/>
      <c r="C330" s="989"/>
      <c r="D330" s="851"/>
      <c r="E330" s="990"/>
      <c r="F330" s="991"/>
      <c r="G330" s="991"/>
      <c r="H330" s="992"/>
      <c r="I330" s="993"/>
      <c r="J330" s="993"/>
      <c r="K330" s="993"/>
      <c r="L330" s="993"/>
      <c r="M330" s="993"/>
      <c r="N330" s="993"/>
      <c r="O330" s="993"/>
      <c r="P330" s="993"/>
      <c r="Q330" s="993"/>
      <c r="R330" s="993"/>
      <c r="S330" s="936"/>
      <c r="T330" s="998"/>
      <c r="U330" s="935"/>
      <c r="V330" s="935"/>
      <c r="W330" s="949" t="str">
        <f>IF(AND($S$20,NOT($U$20)),IF($V330:$V623="","",SUMIF(portfolio.!$A$4:$A623,V330,portfolio.!$AN$4:$AN623)),"")</f>
        <v/>
      </c>
      <c r="X330" s="998"/>
      <c r="Y330" s="936"/>
      <c r="Z330" s="936" t="s">
        <v>123</v>
      </c>
      <c r="AA330" s="936" t="s">
        <v>123</v>
      </c>
      <c r="AB330" s="936" t="s">
        <v>123</v>
      </c>
      <c r="AC330" s="907" t="s">
        <v>123</v>
      </c>
      <c r="AD330" s="999"/>
      <c r="AE330" s="936"/>
      <c r="AF330" s="936"/>
      <c r="AG330" s="936"/>
      <c r="AH330" s="936"/>
      <c r="AI330" s="999"/>
      <c r="AJ330" s="935"/>
      <c r="AK330" s="966"/>
      <c r="AL330" s="949"/>
      <c r="AM330" s="949" t="s">
        <v>123</v>
      </c>
      <c r="AN330" s="949"/>
      <c r="AO330" s="999"/>
      <c r="AP330" s="936"/>
      <c r="AQ330" s="987"/>
      <c r="AR330" s="907"/>
      <c r="AS330" s="907"/>
      <c r="AT330" s="967" t="s">
        <v>123</v>
      </c>
      <c r="AU330" s="967" t="s">
        <v>123</v>
      </c>
      <c r="AV330" s="967" t="s">
        <v>123</v>
      </c>
      <c r="AW330" s="907" t="s">
        <v>123</v>
      </c>
      <c r="AX330" s="907" t="s">
        <v>123</v>
      </c>
      <c r="AY330" s="907" t="s">
        <v>123</v>
      </c>
      <c r="AZ330" s="936" t="s">
        <v>123</v>
      </c>
      <c r="BA330" s="935" t="s">
        <v>123</v>
      </c>
      <c r="BB330" s="1000"/>
      <c r="BC330" s="1001"/>
      <c r="BD330" s="936"/>
      <c r="BE330" s="907"/>
      <c r="BF330" s="1002" t="str">
        <f>IF($BC330="","",SUMIF(portfolio.!$A$4:$A623,BC330,portfolio.!$AN$4:$AN623))</f>
        <v/>
      </c>
      <c r="BG330" s="936" t="s">
        <v>123</v>
      </c>
      <c r="BH330" s="907" t="s">
        <v>123</v>
      </c>
      <c r="BI330" s="935" t="s">
        <v>123</v>
      </c>
      <c r="BJ330" s="1003"/>
      <c r="BK330" s="907" t="s">
        <v>123</v>
      </c>
      <c r="BL330" s="907" t="s">
        <v>123</v>
      </c>
      <c r="BM330" s="907" t="s">
        <v>123</v>
      </c>
      <c r="BN330" s="1004" t="s">
        <v>123</v>
      </c>
      <c r="BO330" s="907" t="str">
        <f t="shared" si="6"/>
        <v/>
      </c>
      <c r="BP330" s="907" t="str">
        <f t="shared" si="7"/>
        <v/>
      </c>
      <c r="BQ330" s="907" t="str">
        <f t="shared" si="8"/>
        <v/>
      </c>
      <c r="BR330" s="1004" t="str">
        <f t="shared" si="9"/>
        <v/>
      </c>
      <c r="BS330" s="1005" t="str">
        <f t="shared" si="10"/>
        <v/>
      </c>
      <c r="BT330" s="1006" t="s">
        <v>123</v>
      </c>
      <c r="BU330" s="1002" t="s">
        <v>123</v>
      </c>
      <c r="BV330" s="1006" t="s">
        <v>123</v>
      </c>
      <c r="BW330" s="1007"/>
    </row>
    <row r="331">
      <c r="A331" s="624">
        <v>308.0</v>
      </c>
      <c r="B331" s="1008"/>
      <c r="C331" s="989"/>
      <c r="D331" s="851"/>
      <c r="E331" s="990"/>
      <c r="F331" s="991"/>
      <c r="G331" s="991"/>
      <c r="H331" s="992"/>
      <c r="I331" s="993"/>
      <c r="J331" s="993"/>
      <c r="K331" s="993"/>
      <c r="L331" s="993"/>
      <c r="M331" s="993"/>
      <c r="N331" s="993"/>
      <c r="O331" s="993"/>
      <c r="P331" s="993"/>
      <c r="Q331" s="993"/>
      <c r="R331" s="993"/>
      <c r="S331" s="936"/>
      <c r="T331" s="998"/>
      <c r="U331" s="935"/>
      <c r="V331" s="935"/>
      <c r="W331" s="949" t="str">
        <f>IF(AND($S$20,NOT($U$20)),IF($V331:$V623="","",SUMIF(portfolio.!$A$4:$A623,V331,portfolio.!$AN$4:$AN623)),"")</f>
        <v/>
      </c>
      <c r="X331" s="998"/>
      <c r="Y331" s="936"/>
      <c r="Z331" s="936" t="s">
        <v>123</v>
      </c>
      <c r="AA331" s="936" t="s">
        <v>123</v>
      </c>
      <c r="AB331" s="936" t="s">
        <v>123</v>
      </c>
      <c r="AC331" s="907" t="s">
        <v>123</v>
      </c>
      <c r="AD331" s="999"/>
      <c r="AE331" s="936"/>
      <c r="AF331" s="936"/>
      <c r="AG331" s="936"/>
      <c r="AH331" s="936"/>
      <c r="AI331" s="999"/>
      <c r="AJ331" s="935"/>
      <c r="AK331" s="966"/>
      <c r="AL331" s="949"/>
      <c r="AM331" s="949" t="s">
        <v>123</v>
      </c>
      <c r="AN331" s="949"/>
      <c r="AO331" s="999"/>
      <c r="AP331" s="936"/>
      <c r="AQ331" s="987"/>
      <c r="AR331" s="907"/>
      <c r="AS331" s="907"/>
      <c r="AT331" s="967" t="s">
        <v>123</v>
      </c>
      <c r="AU331" s="967" t="s">
        <v>123</v>
      </c>
      <c r="AV331" s="967" t="s">
        <v>123</v>
      </c>
      <c r="AW331" s="907" t="s">
        <v>123</v>
      </c>
      <c r="AX331" s="907" t="s">
        <v>123</v>
      </c>
      <c r="AY331" s="907" t="s">
        <v>123</v>
      </c>
      <c r="AZ331" s="936" t="s">
        <v>123</v>
      </c>
      <c r="BA331" s="935" t="s">
        <v>123</v>
      </c>
      <c r="BB331" s="1000"/>
      <c r="BC331" s="1001"/>
      <c r="BD331" s="936"/>
      <c r="BE331" s="907"/>
      <c r="BF331" s="1002" t="str">
        <f>IF($BC331="","",SUMIF(portfolio.!$A$4:$A623,BC331,portfolio.!$AN$4:$AN623))</f>
        <v/>
      </c>
      <c r="BG331" s="936" t="s">
        <v>123</v>
      </c>
      <c r="BH331" s="907" t="s">
        <v>123</v>
      </c>
      <c r="BI331" s="935" t="s">
        <v>123</v>
      </c>
      <c r="BJ331" s="1003"/>
      <c r="BK331" s="907" t="s">
        <v>123</v>
      </c>
      <c r="BL331" s="907" t="s">
        <v>123</v>
      </c>
      <c r="BM331" s="907" t="s">
        <v>123</v>
      </c>
      <c r="BN331" s="1004" t="s">
        <v>123</v>
      </c>
      <c r="BO331" s="907" t="str">
        <f t="shared" si="6"/>
        <v/>
      </c>
      <c r="BP331" s="907" t="str">
        <f t="shared" si="7"/>
        <v/>
      </c>
      <c r="BQ331" s="907" t="str">
        <f t="shared" si="8"/>
        <v/>
      </c>
      <c r="BR331" s="1004" t="str">
        <f t="shared" si="9"/>
        <v/>
      </c>
      <c r="BS331" s="1005" t="str">
        <f t="shared" si="10"/>
        <v/>
      </c>
      <c r="BT331" s="1006" t="s">
        <v>123</v>
      </c>
      <c r="BU331" s="1002" t="s">
        <v>123</v>
      </c>
      <c r="BV331" s="1006" t="s">
        <v>123</v>
      </c>
      <c r="BW331" s="1007"/>
    </row>
    <row r="332">
      <c r="A332" s="624">
        <v>309.0</v>
      </c>
      <c r="B332" s="1008"/>
      <c r="C332" s="989"/>
      <c r="D332" s="851"/>
      <c r="E332" s="990"/>
      <c r="F332" s="991"/>
      <c r="G332" s="991"/>
      <c r="H332" s="992"/>
      <c r="I332" s="993"/>
      <c r="J332" s="993"/>
      <c r="K332" s="993"/>
      <c r="L332" s="993"/>
      <c r="M332" s="993"/>
      <c r="N332" s="993"/>
      <c r="O332" s="993"/>
      <c r="P332" s="993"/>
      <c r="Q332" s="993"/>
      <c r="R332" s="993"/>
      <c r="S332" s="936"/>
      <c r="T332" s="998"/>
      <c r="U332" s="935"/>
      <c r="V332" s="935"/>
      <c r="W332" s="949" t="str">
        <f>IF(AND($S$20,NOT($U$20)),IF($V332:$V623="","",SUMIF(portfolio.!$A$4:$A623,V332,portfolio.!$AN$4:$AN623)),"")</f>
        <v/>
      </c>
      <c r="X332" s="998"/>
      <c r="Y332" s="936"/>
      <c r="Z332" s="936" t="s">
        <v>123</v>
      </c>
      <c r="AA332" s="936" t="s">
        <v>123</v>
      </c>
      <c r="AB332" s="936" t="s">
        <v>123</v>
      </c>
      <c r="AC332" s="907" t="s">
        <v>123</v>
      </c>
      <c r="AD332" s="999"/>
      <c r="AE332" s="936"/>
      <c r="AF332" s="936"/>
      <c r="AG332" s="936"/>
      <c r="AH332" s="936"/>
      <c r="AI332" s="999"/>
      <c r="AJ332" s="935"/>
      <c r="AK332" s="966"/>
      <c r="AL332" s="949"/>
      <c r="AM332" s="949" t="s">
        <v>123</v>
      </c>
      <c r="AN332" s="949"/>
      <c r="AO332" s="999"/>
      <c r="AP332" s="936"/>
      <c r="AQ332" s="987"/>
      <c r="AR332" s="907"/>
      <c r="AS332" s="907"/>
      <c r="AT332" s="967" t="s">
        <v>123</v>
      </c>
      <c r="AU332" s="967" t="s">
        <v>123</v>
      </c>
      <c r="AV332" s="967" t="s">
        <v>123</v>
      </c>
      <c r="AW332" s="907" t="s">
        <v>123</v>
      </c>
      <c r="AX332" s="907" t="s">
        <v>123</v>
      </c>
      <c r="AY332" s="907" t="s">
        <v>123</v>
      </c>
      <c r="AZ332" s="936" t="s">
        <v>123</v>
      </c>
      <c r="BA332" s="935" t="s">
        <v>123</v>
      </c>
      <c r="BB332" s="1000"/>
      <c r="BC332" s="1001"/>
      <c r="BD332" s="936"/>
      <c r="BE332" s="907"/>
      <c r="BF332" s="1002" t="str">
        <f>IF($BC332="","",SUMIF(portfolio.!$A$4:$A623,BC332,portfolio.!$AN$4:$AN623))</f>
        <v/>
      </c>
      <c r="BG332" s="936" t="s">
        <v>123</v>
      </c>
      <c r="BH332" s="907" t="s">
        <v>123</v>
      </c>
      <c r="BI332" s="935" t="s">
        <v>123</v>
      </c>
      <c r="BJ332" s="1003"/>
      <c r="BK332" s="907" t="s">
        <v>123</v>
      </c>
      <c r="BL332" s="907" t="s">
        <v>123</v>
      </c>
      <c r="BM332" s="907" t="s">
        <v>123</v>
      </c>
      <c r="BN332" s="1004" t="s">
        <v>123</v>
      </c>
      <c r="BO332" s="907" t="str">
        <f t="shared" si="6"/>
        <v/>
      </c>
      <c r="BP332" s="907" t="str">
        <f t="shared" si="7"/>
        <v/>
      </c>
      <c r="BQ332" s="907" t="str">
        <f t="shared" si="8"/>
        <v/>
      </c>
      <c r="BR332" s="1004" t="str">
        <f t="shared" si="9"/>
        <v/>
      </c>
      <c r="BS332" s="1005" t="str">
        <f t="shared" si="10"/>
        <v/>
      </c>
      <c r="BT332" s="1006" t="s">
        <v>123</v>
      </c>
      <c r="BU332" s="1002" t="s">
        <v>123</v>
      </c>
      <c r="BV332" s="1006" t="s">
        <v>123</v>
      </c>
      <c r="BW332" s="1007"/>
    </row>
    <row r="333">
      <c r="A333" s="624">
        <v>310.0</v>
      </c>
      <c r="B333" s="1008"/>
      <c r="C333" s="989"/>
      <c r="D333" s="851"/>
      <c r="E333" s="990"/>
      <c r="F333" s="991"/>
      <c r="G333" s="991"/>
      <c r="H333" s="992"/>
      <c r="I333" s="993"/>
      <c r="J333" s="993"/>
      <c r="K333" s="993"/>
      <c r="L333" s="993"/>
      <c r="M333" s="993"/>
      <c r="N333" s="993"/>
      <c r="O333" s="993"/>
      <c r="P333" s="993"/>
      <c r="Q333" s="993"/>
      <c r="R333" s="993"/>
      <c r="S333" s="936"/>
      <c r="T333" s="998"/>
      <c r="U333" s="935"/>
      <c r="V333" s="935"/>
      <c r="W333" s="949" t="str">
        <f>IF(AND($S$20,NOT($U$20)),IF($V333:$V623="","",SUMIF(portfolio.!$A$4:$A623,V333,portfolio.!$AN$4:$AN623)),"")</f>
        <v/>
      </c>
      <c r="X333" s="998"/>
      <c r="Y333" s="936"/>
      <c r="Z333" s="936" t="s">
        <v>123</v>
      </c>
      <c r="AA333" s="936" t="s">
        <v>123</v>
      </c>
      <c r="AB333" s="936" t="s">
        <v>123</v>
      </c>
      <c r="AC333" s="907" t="s">
        <v>123</v>
      </c>
      <c r="AD333" s="999"/>
      <c r="AE333" s="936"/>
      <c r="AF333" s="936"/>
      <c r="AG333" s="936"/>
      <c r="AH333" s="936"/>
      <c r="AI333" s="999"/>
      <c r="AJ333" s="935"/>
      <c r="AK333" s="966"/>
      <c r="AL333" s="949"/>
      <c r="AM333" s="949" t="s">
        <v>123</v>
      </c>
      <c r="AN333" s="949"/>
      <c r="AO333" s="999"/>
      <c r="AP333" s="936"/>
      <c r="AQ333" s="987"/>
      <c r="AR333" s="907"/>
      <c r="AS333" s="907"/>
      <c r="AT333" s="967" t="s">
        <v>123</v>
      </c>
      <c r="AU333" s="967" t="s">
        <v>123</v>
      </c>
      <c r="AV333" s="967" t="s">
        <v>123</v>
      </c>
      <c r="AW333" s="907" t="s">
        <v>123</v>
      </c>
      <c r="AX333" s="907" t="s">
        <v>123</v>
      </c>
      <c r="AY333" s="907" t="s">
        <v>123</v>
      </c>
      <c r="AZ333" s="936" t="s">
        <v>123</v>
      </c>
      <c r="BA333" s="935" t="s">
        <v>123</v>
      </c>
      <c r="BB333" s="1000"/>
      <c r="BC333" s="1001"/>
      <c r="BD333" s="936"/>
      <c r="BE333" s="907"/>
      <c r="BF333" s="1002" t="str">
        <f>IF($BC333="","",SUMIF(portfolio.!$A$4:$A623,BC333,portfolio.!$AN$4:$AN623))</f>
        <v/>
      </c>
      <c r="BG333" s="936" t="s">
        <v>123</v>
      </c>
      <c r="BH333" s="907" t="s">
        <v>123</v>
      </c>
      <c r="BI333" s="935" t="s">
        <v>123</v>
      </c>
      <c r="BJ333" s="1003"/>
      <c r="BK333" s="907" t="s">
        <v>123</v>
      </c>
      <c r="BL333" s="907" t="s">
        <v>123</v>
      </c>
      <c r="BM333" s="907" t="s">
        <v>123</v>
      </c>
      <c r="BN333" s="1004" t="s">
        <v>123</v>
      </c>
      <c r="BO333" s="907" t="str">
        <f t="shared" si="6"/>
        <v/>
      </c>
      <c r="BP333" s="907" t="str">
        <f t="shared" si="7"/>
        <v/>
      </c>
      <c r="BQ333" s="907" t="str">
        <f t="shared" si="8"/>
        <v/>
      </c>
      <c r="BR333" s="1004" t="str">
        <f t="shared" si="9"/>
        <v/>
      </c>
      <c r="BS333" s="1005" t="str">
        <f t="shared" si="10"/>
        <v/>
      </c>
      <c r="BT333" s="1006" t="s">
        <v>123</v>
      </c>
      <c r="BU333" s="1002" t="s">
        <v>123</v>
      </c>
      <c r="BV333" s="1006" t="s">
        <v>123</v>
      </c>
      <c r="BW333" s="1007"/>
    </row>
    <row r="334">
      <c r="A334" s="624">
        <v>311.0</v>
      </c>
      <c r="B334" s="1008"/>
      <c r="C334" s="989"/>
      <c r="D334" s="851"/>
      <c r="E334" s="990"/>
      <c r="F334" s="991"/>
      <c r="G334" s="991"/>
      <c r="H334" s="992"/>
      <c r="I334" s="993"/>
      <c r="J334" s="993"/>
      <c r="K334" s="993"/>
      <c r="L334" s="993"/>
      <c r="M334" s="993"/>
      <c r="N334" s="993"/>
      <c r="O334" s="993"/>
      <c r="P334" s="993"/>
      <c r="Q334" s="993"/>
      <c r="R334" s="993"/>
      <c r="S334" s="936"/>
      <c r="T334" s="998"/>
      <c r="U334" s="935"/>
      <c r="V334" s="935"/>
      <c r="W334" s="949" t="str">
        <f>IF(AND($S$20,NOT($U$20)),IF($V334:$V623="","",SUMIF(portfolio.!$A$4:$A623,V334,portfolio.!$AN$4:$AN623)),"")</f>
        <v/>
      </c>
      <c r="X334" s="998"/>
      <c r="Y334" s="936"/>
      <c r="Z334" s="936" t="s">
        <v>123</v>
      </c>
      <c r="AA334" s="936" t="s">
        <v>123</v>
      </c>
      <c r="AB334" s="936" t="s">
        <v>123</v>
      </c>
      <c r="AC334" s="907" t="s">
        <v>123</v>
      </c>
      <c r="AD334" s="999"/>
      <c r="AE334" s="936"/>
      <c r="AF334" s="936"/>
      <c r="AG334" s="936"/>
      <c r="AH334" s="936"/>
      <c r="AI334" s="999"/>
      <c r="AJ334" s="935"/>
      <c r="AK334" s="966"/>
      <c r="AL334" s="949"/>
      <c r="AM334" s="949" t="s">
        <v>123</v>
      </c>
      <c r="AN334" s="949"/>
      <c r="AO334" s="999"/>
      <c r="AP334" s="936"/>
      <c r="AQ334" s="987"/>
      <c r="AR334" s="907"/>
      <c r="AS334" s="907"/>
      <c r="AT334" s="967" t="s">
        <v>123</v>
      </c>
      <c r="AU334" s="967" t="s">
        <v>123</v>
      </c>
      <c r="AV334" s="967" t="s">
        <v>123</v>
      </c>
      <c r="AW334" s="907" t="s">
        <v>123</v>
      </c>
      <c r="AX334" s="907" t="s">
        <v>123</v>
      </c>
      <c r="AY334" s="907" t="s">
        <v>123</v>
      </c>
      <c r="AZ334" s="936" t="s">
        <v>123</v>
      </c>
      <c r="BA334" s="935" t="s">
        <v>123</v>
      </c>
      <c r="BB334" s="1000"/>
      <c r="BC334" s="1001"/>
      <c r="BD334" s="936"/>
      <c r="BE334" s="907"/>
      <c r="BF334" s="1002" t="str">
        <f>IF($BC334="","",SUMIF(portfolio.!$A$4:$A623,BC334,portfolio.!$AN$4:$AN623))</f>
        <v/>
      </c>
      <c r="BG334" s="936" t="s">
        <v>123</v>
      </c>
      <c r="BH334" s="907" t="s">
        <v>123</v>
      </c>
      <c r="BI334" s="935" t="s">
        <v>123</v>
      </c>
      <c r="BJ334" s="1003"/>
      <c r="BK334" s="907" t="s">
        <v>123</v>
      </c>
      <c r="BL334" s="907" t="s">
        <v>123</v>
      </c>
      <c r="BM334" s="907" t="s">
        <v>123</v>
      </c>
      <c r="BN334" s="1004" t="s">
        <v>123</v>
      </c>
      <c r="BO334" s="907" t="str">
        <f t="shared" si="6"/>
        <v/>
      </c>
      <c r="BP334" s="907" t="str">
        <f t="shared" si="7"/>
        <v/>
      </c>
      <c r="BQ334" s="907" t="str">
        <f t="shared" si="8"/>
        <v/>
      </c>
      <c r="BR334" s="1004" t="str">
        <f t="shared" si="9"/>
        <v/>
      </c>
      <c r="BS334" s="1005" t="str">
        <f t="shared" si="10"/>
        <v/>
      </c>
      <c r="BT334" s="1006" t="s">
        <v>123</v>
      </c>
      <c r="BU334" s="1002" t="s">
        <v>123</v>
      </c>
      <c r="BV334" s="1006" t="s">
        <v>123</v>
      </c>
      <c r="BW334" s="1007"/>
    </row>
    <row r="335">
      <c r="A335" s="624">
        <v>312.0</v>
      </c>
      <c r="B335" s="1008"/>
      <c r="C335" s="989"/>
      <c r="D335" s="851"/>
      <c r="E335" s="990"/>
      <c r="F335" s="991"/>
      <c r="G335" s="991"/>
      <c r="H335" s="992"/>
      <c r="I335" s="993"/>
      <c r="J335" s="993"/>
      <c r="K335" s="993"/>
      <c r="L335" s="993"/>
      <c r="M335" s="993"/>
      <c r="N335" s="993"/>
      <c r="O335" s="993"/>
      <c r="P335" s="993"/>
      <c r="Q335" s="993"/>
      <c r="R335" s="993"/>
      <c r="S335" s="936"/>
      <c r="T335" s="998"/>
      <c r="U335" s="935"/>
      <c r="V335" s="935"/>
      <c r="W335" s="949" t="str">
        <f>IF(AND($S$20,NOT($U$20)),IF($V335:$V623="","",SUMIF(portfolio.!$A$4:$A623,V335,portfolio.!$AN$4:$AN623)),"")</f>
        <v/>
      </c>
      <c r="X335" s="998"/>
      <c r="Y335" s="936"/>
      <c r="Z335" s="936" t="s">
        <v>123</v>
      </c>
      <c r="AA335" s="936" t="s">
        <v>123</v>
      </c>
      <c r="AB335" s="936" t="s">
        <v>123</v>
      </c>
      <c r="AC335" s="907" t="s">
        <v>123</v>
      </c>
      <c r="AD335" s="999"/>
      <c r="AE335" s="936"/>
      <c r="AF335" s="936"/>
      <c r="AG335" s="936"/>
      <c r="AH335" s="936"/>
      <c r="AI335" s="999"/>
      <c r="AJ335" s="935"/>
      <c r="AK335" s="966"/>
      <c r="AL335" s="949"/>
      <c r="AM335" s="949" t="s">
        <v>123</v>
      </c>
      <c r="AN335" s="949"/>
      <c r="AO335" s="999"/>
      <c r="AP335" s="936"/>
      <c r="AQ335" s="987"/>
      <c r="AR335" s="907"/>
      <c r="AS335" s="907"/>
      <c r="AT335" s="967" t="s">
        <v>123</v>
      </c>
      <c r="AU335" s="967" t="s">
        <v>123</v>
      </c>
      <c r="AV335" s="967" t="s">
        <v>123</v>
      </c>
      <c r="AW335" s="907" t="s">
        <v>123</v>
      </c>
      <c r="AX335" s="907" t="s">
        <v>123</v>
      </c>
      <c r="AY335" s="907" t="s">
        <v>123</v>
      </c>
      <c r="AZ335" s="936" t="s">
        <v>123</v>
      </c>
      <c r="BA335" s="935" t="s">
        <v>123</v>
      </c>
      <c r="BB335" s="1000"/>
      <c r="BC335" s="1001"/>
      <c r="BD335" s="936"/>
      <c r="BE335" s="907"/>
      <c r="BF335" s="1002" t="str">
        <f>IF($BC335="","",SUMIF(portfolio.!$A$4:$A623,BC335,portfolio.!$AN$4:$AN623))</f>
        <v/>
      </c>
      <c r="BG335" s="936" t="s">
        <v>123</v>
      </c>
      <c r="BH335" s="907" t="s">
        <v>123</v>
      </c>
      <c r="BI335" s="935" t="s">
        <v>123</v>
      </c>
      <c r="BJ335" s="1003"/>
      <c r="BK335" s="907" t="s">
        <v>123</v>
      </c>
      <c r="BL335" s="907" t="s">
        <v>123</v>
      </c>
      <c r="BM335" s="907" t="s">
        <v>123</v>
      </c>
      <c r="BN335" s="1004" t="s">
        <v>123</v>
      </c>
      <c r="BO335" s="907" t="str">
        <f t="shared" si="6"/>
        <v/>
      </c>
      <c r="BP335" s="907" t="str">
        <f t="shared" si="7"/>
        <v/>
      </c>
      <c r="BQ335" s="907" t="str">
        <f t="shared" si="8"/>
        <v/>
      </c>
      <c r="BR335" s="1004" t="str">
        <f t="shared" si="9"/>
        <v/>
      </c>
      <c r="BS335" s="1005" t="str">
        <f t="shared" si="10"/>
        <v/>
      </c>
      <c r="BT335" s="1006" t="s">
        <v>123</v>
      </c>
      <c r="BU335" s="1002" t="s">
        <v>123</v>
      </c>
      <c r="BV335" s="1006" t="s">
        <v>123</v>
      </c>
      <c r="BW335" s="1007"/>
    </row>
    <row r="336">
      <c r="A336" s="624">
        <v>313.0</v>
      </c>
      <c r="B336" s="1008"/>
      <c r="C336" s="989"/>
      <c r="D336" s="851"/>
      <c r="E336" s="990"/>
      <c r="F336" s="991"/>
      <c r="G336" s="991"/>
      <c r="H336" s="992"/>
      <c r="I336" s="993"/>
      <c r="J336" s="993"/>
      <c r="K336" s="993"/>
      <c r="L336" s="993"/>
      <c r="M336" s="993"/>
      <c r="N336" s="993"/>
      <c r="O336" s="993"/>
      <c r="P336" s="993"/>
      <c r="Q336" s="993"/>
      <c r="R336" s="993"/>
      <c r="S336" s="936"/>
      <c r="T336" s="998"/>
      <c r="U336" s="935"/>
      <c r="V336" s="935"/>
      <c r="W336" s="949" t="str">
        <f>IF(AND($S$20,NOT($U$20)),IF($V336:$V623="","",SUMIF(portfolio.!$A$4:$A623,V336,portfolio.!$AN$4:$AN623)),"")</f>
        <v/>
      </c>
      <c r="X336" s="998"/>
      <c r="Y336" s="936"/>
      <c r="Z336" s="936" t="s">
        <v>123</v>
      </c>
      <c r="AA336" s="936" t="s">
        <v>123</v>
      </c>
      <c r="AB336" s="936" t="s">
        <v>123</v>
      </c>
      <c r="AC336" s="907" t="s">
        <v>123</v>
      </c>
      <c r="AD336" s="999"/>
      <c r="AE336" s="936"/>
      <c r="AF336" s="936"/>
      <c r="AG336" s="936"/>
      <c r="AH336" s="936"/>
      <c r="AI336" s="999"/>
      <c r="AJ336" s="935"/>
      <c r="AK336" s="966"/>
      <c r="AL336" s="949"/>
      <c r="AM336" s="949" t="s">
        <v>123</v>
      </c>
      <c r="AN336" s="949"/>
      <c r="AO336" s="999"/>
      <c r="AP336" s="936"/>
      <c r="AQ336" s="987"/>
      <c r="AR336" s="907"/>
      <c r="AS336" s="907"/>
      <c r="AT336" s="967" t="s">
        <v>123</v>
      </c>
      <c r="AU336" s="967" t="s">
        <v>123</v>
      </c>
      <c r="AV336" s="967" t="s">
        <v>123</v>
      </c>
      <c r="AW336" s="907" t="s">
        <v>123</v>
      </c>
      <c r="AX336" s="907" t="s">
        <v>123</v>
      </c>
      <c r="AY336" s="907" t="s">
        <v>123</v>
      </c>
      <c r="AZ336" s="936" t="s">
        <v>123</v>
      </c>
      <c r="BA336" s="935" t="s">
        <v>123</v>
      </c>
      <c r="BB336" s="1000"/>
      <c r="BC336" s="1001"/>
      <c r="BD336" s="936"/>
      <c r="BE336" s="907"/>
      <c r="BF336" s="1002" t="str">
        <f>IF($BC336="","",SUMIF(portfolio.!$A$4:$A623,BC336,portfolio.!$AN$4:$AN623))</f>
        <v/>
      </c>
      <c r="BG336" s="936" t="s">
        <v>123</v>
      </c>
      <c r="BH336" s="907" t="s">
        <v>123</v>
      </c>
      <c r="BI336" s="935" t="s">
        <v>123</v>
      </c>
      <c r="BJ336" s="1003"/>
      <c r="BK336" s="907" t="s">
        <v>123</v>
      </c>
      <c r="BL336" s="907" t="s">
        <v>123</v>
      </c>
      <c r="BM336" s="907" t="s">
        <v>123</v>
      </c>
      <c r="BN336" s="1004" t="s">
        <v>123</v>
      </c>
      <c r="BO336" s="907" t="str">
        <f t="shared" si="6"/>
        <v/>
      </c>
      <c r="BP336" s="907" t="str">
        <f t="shared" si="7"/>
        <v/>
      </c>
      <c r="BQ336" s="907" t="str">
        <f t="shared" si="8"/>
        <v/>
      </c>
      <c r="BR336" s="1004" t="str">
        <f t="shared" si="9"/>
        <v/>
      </c>
      <c r="BS336" s="1005" t="str">
        <f t="shared" si="10"/>
        <v/>
      </c>
      <c r="BT336" s="1006" t="s">
        <v>123</v>
      </c>
      <c r="BU336" s="1002" t="s">
        <v>123</v>
      </c>
      <c r="BV336" s="1006" t="s">
        <v>123</v>
      </c>
      <c r="BW336" s="1007"/>
    </row>
    <row r="337">
      <c r="A337" s="624">
        <v>314.0</v>
      </c>
      <c r="B337" s="1008"/>
      <c r="C337" s="989"/>
      <c r="D337" s="851"/>
      <c r="E337" s="990"/>
      <c r="F337" s="991"/>
      <c r="G337" s="991"/>
      <c r="H337" s="992"/>
      <c r="I337" s="993"/>
      <c r="J337" s="993"/>
      <c r="K337" s="993"/>
      <c r="L337" s="993"/>
      <c r="M337" s="993"/>
      <c r="N337" s="993"/>
      <c r="O337" s="993"/>
      <c r="P337" s="993"/>
      <c r="Q337" s="993"/>
      <c r="R337" s="993"/>
      <c r="S337" s="936"/>
      <c r="T337" s="998"/>
      <c r="U337" s="935"/>
      <c r="V337" s="935"/>
      <c r="W337" s="949" t="str">
        <f>IF(AND($S$20,NOT($U$20)),IF($V337:$V623="","",SUMIF(portfolio.!$A$4:$A623,V337,portfolio.!$AN$4:$AN623)),"")</f>
        <v/>
      </c>
      <c r="X337" s="998"/>
      <c r="Y337" s="936"/>
      <c r="Z337" s="936" t="s">
        <v>123</v>
      </c>
      <c r="AA337" s="936" t="s">
        <v>123</v>
      </c>
      <c r="AB337" s="936" t="s">
        <v>123</v>
      </c>
      <c r="AC337" s="907" t="s">
        <v>123</v>
      </c>
      <c r="AD337" s="999"/>
      <c r="AE337" s="936"/>
      <c r="AF337" s="936"/>
      <c r="AG337" s="936"/>
      <c r="AH337" s="936"/>
      <c r="AI337" s="999"/>
      <c r="AJ337" s="935"/>
      <c r="AK337" s="966"/>
      <c r="AL337" s="949"/>
      <c r="AM337" s="949" t="s">
        <v>123</v>
      </c>
      <c r="AN337" s="949"/>
      <c r="AO337" s="999"/>
      <c r="AP337" s="936"/>
      <c r="AQ337" s="987"/>
      <c r="AR337" s="907"/>
      <c r="AS337" s="907"/>
      <c r="AT337" s="967" t="s">
        <v>123</v>
      </c>
      <c r="AU337" s="967" t="s">
        <v>123</v>
      </c>
      <c r="AV337" s="967" t="s">
        <v>123</v>
      </c>
      <c r="AW337" s="907" t="s">
        <v>123</v>
      </c>
      <c r="AX337" s="907" t="s">
        <v>123</v>
      </c>
      <c r="AY337" s="907" t="s">
        <v>123</v>
      </c>
      <c r="AZ337" s="936" t="s">
        <v>123</v>
      </c>
      <c r="BA337" s="935" t="s">
        <v>123</v>
      </c>
      <c r="BB337" s="1000"/>
      <c r="BC337" s="1001"/>
      <c r="BD337" s="936"/>
      <c r="BE337" s="907"/>
      <c r="BF337" s="1002" t="str">
        <f>IF($BC337="","",SUMIF(portfolio.!$A$4:$A623,BC337,portfolio.!$AN$4:$AN623))</f>
        <v/>
      </c>
      <c r="BG337" s="936" t="s">
        <v>123</v>
      </c>
      <c r="BH337" s="907" t="s">
        <v>123</v>
      </c>
      <c r="BI337" s="935" t="s">
        <v>123</v>
      </c>
      <c r="BJ337" s="1003"/>
      <c r="BK337" s="907" t="s">
        <v>123</v>
      </c>
      <c r="BL337" s="907" t="s">
        <v>123</v>
      </c>
      <c r="BM337" s="907" t="s">
        <v>123</v>
      </c>
      <c r="BN337" s="1004" t="s">
        <v>123</v>
      </c>
      <c r="BO337" s="907" t="str">
        <f t="shared" si="6"/>
        <v/>
      </c>
      <c r="BP337" s="907" t="str">
        <f t="shared" si="7"/>
        <v/>
      </c>
      <c r="BQ337" s="907" t="str">
        <f t="shared" si="8"/>
        <v/>
      </c>
      <c r="BR337" s="1004" t="str">
        <f t="shared" si="9"/>
        <v/>
      </c>
      <c r="BS337" s="1005" t="str">
        <f t="shared" si="10"/>
        <v/>
      </c>
      <c r="BT337" s="1006" t="s">
        <v>123</v>
      </c>
      <c r="BU337" s="1002" t="s">
        <v>123</v>
      </c>
      <c r="BV337" s="1006" t="s">
        <v>123</v>
      </c>
      <c r="BW337" s="1007"/>
    </row>
    <row r="338">
      <c r="A338" s="624">
        <v>315.0</v>
      </c>
      <c r="B338" s="1008"/>
      <c r="C338" s="989"/>
      <c r="D338" s="851"/>
      <c r="E338" s="990"/>
      <c r="F338" s="991"/>
      <c r="G338" s="991"/>
      <c r="H338" s="992"/>
      <c r="I338" s="993"/>
      <c r="J338" s="993"/>
      <c r="K338" s="993"/>
      <c r="L338" s="993"/>
      <c r="M338" s="993"/>
      <c r="N338" s="993"/>
      <c r="O338" s="993"/>
      <c r="P338" s="993"/>
      <c r="Q338" s="993"/>
      <c r="R338" s="993"/>
      <c r="S338" s="936"/>
      <c r="T338" s="998"/>
      <c r="U338" s="935"/>
      <c r="V338" s="935"/>
      <c r="W338" s="949" t="str">
        <f>IF(AND($S$20,NOT($U$20)),IF($V338:$V623="","",SUMIF(portfolio.!$A$4:$A623,V338,portfolio.!$AN$4:$AN623)),"")</f>
        <v/>
      </c>
      <c r="X338" s="998"/>
      <c r="Y338" s="936"/>
      <c r="Z338" s="936" t="s">
        <v>123</v>
      </c>
      <c r="AA338" s="936" t="s">
        <v>123</v>
      </c>
      <c r="AB338" s="936" t="s">
        <v>123</v>
      </c>
      <c r="AC338" s="907" t="s">
        <v>123</v>
      </c>
      <c r="AD338" s="999"/>
      <c r="AE338" s="936"/>
      <c r="AF338" s="936"/>
      <c r="AG338" s="936"/>
      <c r="AH338" s="936"/>
      <c r="AI338" s="999"/>
      <c r="AJ338" s="935"/>
      <c r="AK338" s="966"/>
      <c r="AL338" s="949"/>
      <c r="AM338" s="949" t="s">
        <v>123</v>
      </c>
      <c r="AN338" s="949"/>
      <c r="AO338" s="999"/>
      <c r="AP338" s="936"/>
      <c r="AQ338" s="987"/>
      <c r="AR338" s="907"/>
      <c r="AS338" s="907"/>
      <c r="AT338" s="967" t="s">
        <v>123</v>
      </c>
      <c r="AU338" s="967" t="s">
        <v>123</v>
      </c>
      <c r="AV338" s="967" t="s">
        <v>123</v>
      </c>
      <c r="AW338" s="907" t="s">
        <v>123</v>
      </c>
      <c r="AX338" s="907" t="s">
        <v>123</v>
      </c>
      <c r="AY338" s="907" t="s">
        <v>123</v>
      </c>
      <c r="AZ338" s="936" t="s">
        <v>123</v>
      </c>
      <c r="BA338" s="935" t="s">
        <v>123</v>
      </c>
      <c r="BB338" s="1000"/>
      <c r="BC338" s="1001"/>
      <c r="BD338" s="936"/>
      <c r="BE338" s="907"/>
      <c r="BF338" s="1002" t="str">
        <f>IF($BC338="","",SUMIF(portfolio.!$A$4:$A623,BC338,portfolio.!$AN$4:$AN623))</f>
        <v/>
      </c>
      <c r="BG338" s="936" t="s">
        <v>123</v>
      </c>
      <c r="BH338" s="907" t="s">
        <v>123</v>
      </c>
      <c r="BI338" s="935" t="s">
        <v>123</v>
      </c>
      <c r="BJ338" s="1003"/>
      <c r="BK338" s="907" t="s">
        <v>123</v>
      </c>
      <c r="BL338" s="907" t="s">
        <v>123</v>
      </c>
      <c r="BM338" s="907" t="s">
        <v>123</v>
      </c>
      <c r="BN338" s="1004" t="s">
        <v>123</v>
      </c>
      <c r="BO338" s="907" t="str">
        <f t="shared" si="6"/>
        <v/>
      </c>
      <c r="BP338" s="907" t="str">
        <f t="shared" si="7"/>
        <v/>
      </c>
      <c r="BQ338" s="907" t="str">
        <f t="shared" si="8"/>
        <v/>
      </c>
      <c r="BR338" s="1004" t="str">
        <f t="shared" si="9"/>
        <v/>
      </c>
      <c r="BS338" s="1005" t="str">
        <f t="shared" si="10"/>
        <v/>
      </c>
      <c r="BT338" s="1006" t="s">
        <v>123</v>
      </c>
      <c r="BU338" s="1002" t="s">
        <v>123</v>
      </c>
      <c r="BV338" s="1006" t="s">
        <v>123</v>
      </c>
      <c r="BW338" s="1007"/>
    </row>
    <row r="339">
      <c r="A339" s="624">
        <v>316.0</v>
      </c>
      <c r="B339" s="1008"/>
      <c r="C339" s="989"/>
      <c r="D339" s="851"/>
      <c r="E339" s="990"/>
      <c r="F339" s="991"/>
      <c r="G339" s="991"/>
      <c r="H339" s="992"/>
      <c r="I339" s="993"/>
      <c r="J339" s="993"/>
      <c r="K339" s="993"/>
      <c r="L339" s="993"/>
      <c r="M339" s="993"/>
      <c r="N339" s="993"/>
      <c r="O339" s="993"/>
      <c r="P339" s="993"/>
      <c r="Q339" s="993"/>
      <c r="R339" s="993"/>
      <c r="S339" s="936"/>
      <c r="T339" s="998"/>
      <c r="U339" s="935"/>
      <c r="V339" s="935"/>
      <c r="W339" s="949" t="str">
        <f>IF(AND($S$20,NOT($U$20)),IF($V339:$V623="","",SUMIF(portfolio.!$A$4:$A623,V339,portfolio.!$AN$4:$AN623)),"")</f>
        <v/>
      </c>
      <c r="X339" s="998"/>
      <c r="Y339" s="936"/>
      <c r="Z339" s="936" t="s">
        <v>123</v>
      </c>
      <c r="AA339" s="936" t="s">
        <v>123</v>
      </c>
      <c r="AB339" s="936" t="s">
        <v>123</v>
      </c>
      <c r="AC339" s="907" t="s">
        <v>123</v>
      </c>
      <c r="AD339" s="999"/>
      <c r="AE339" s="936"/>
      <c r="AF339" s="936"/>
      <c r="AG339" s="936"/>
      <c r="AH339" s="936"/>
      <c r="AI339" s="999"/>
      <c r="AJ339" s="935"/>
      <c r="AK339" s="966"/>
      <c r="AL339" s="949"/>
      <c r="AM339" s="949" t="s">
        <v>123</v>
      </c>
      <c r="AN339" s="949"/>
      <c r="AO339" s="999"/>
      <c r="AP339" s="936"/>
      <c r="AQ339" s="987"/>
      <c r="AR339" s="907"/>
      <c r="AS339" s="907"/>
      <c r="AT339" s="967" t="s">
        <v>123</v>
      </c>
      <c r="AU339" s="967" t="s">
        <v>123</v>
      </c>
      <c r="AV339" s="967" t="s">
        <v>123</v>
      </c>
      <c r="AW339" s="907" t="s">
        <v>123</v>
      </c>
      <c r="AX339" s="907" t="s">
        <v>123</v>
      </c>
      <c r="AY339" s="907" t="s">
        <v>123</v>
      </c>
      <c r="AZ339" s="936" t="s">
        <v>123</v>
      </c>
      <c r="BA339" s="935" t="s">
        <v>123</v>
      </c>
      <c r="BB339" s="1000"/>
      <c r="BC339" s="1001"/>
      <c r="BD339" s="936"/>
      <c r="BE339" s="907"/>
      <c r="BF339" s="1002" t="str">
        <f>IF($BC339="","",SUMIF(portfolio.!$A$4:$A623,BC339,portfolio.!$AN$4:$AN623))</f>
        <v/>
      </c>
      <c r="BG339" s="936" t="s">
        <v>123</v>
      </c>
      <c r="BH339" s="907" t="s">
        <v>123</v>
      </c>
      <c r="BI339" s="935" t="s">
        <v>123</v>
      </c>
      <c r="BJ339" s="1003"/>
      <c r="BK339" s="907" t="s">
        <v>123</v>
      </c>
      <c r="BL339" s="907" t="s">
        <v>123</v>
      </c>
      <c r="BM339" s="907" t="s">
        <v>123</v>
      </c>
      <c r="BN339" s="1004" t="s">
        <v>123</v>
      </c>
      <c r="BO339" s="907" t="str">
        <f t="shared" si="6"/>
        <v/>
      </c>
      <c r="BP339" s="907" t="str">
        <f t="shared" si="7"/>
        <v/>
      </c>
      <c r="BQ339" s="907" t="str">
        <f t="shared" si="8"/>
        <v/>
      </c>
      <c r="BR339" s="1004" t="str">
        <f t="shared" si="9"/>
        <v/>
      </c>
      <c r="BS339" s="1005" t="str">
        <f t="shared" si="10"/>
        <v/>
      </c>
      <c r="BT339" s="1006" t="s">
        <v>123</v>
      </c>
      <c r="BU339" s="1002" t="s">
        <v>123</v>
      </c>
      <c r="BV339" s="1006" t="s">
        <v>123</v>
      </c>
      <c r="BW339" s="1007"/>
    </row>
    <row r="340">
      <c r="A340" s="624">
        <v>317.0</v>
      </c>
      <c r="B340" s="1008"/>
      <c r="C340" s="989"/>
      <c r="D340" s="851"/>
      <c r="E340" s="990"/>
      <c r="F340" s="991"/>
      <c r="G340" s="991"/>
      <c r="H340" s="992"/>
      <c r="I340" s="993"/>
      <c r="J340" s="993"/>
      <c r="K340" s="993"/>
      <c r="L340" s="993"/>
      <c r="M340" s="993"/>
      <c r="N340" s="993"/>
      <c r="O340" s="993"/>
      <c r="P340" s="993"/>
      <c r="Q340" s="993"/>
      <c r="R340" s="993"/>
      <c r="S340" s="936"/>
      <c r="T340" s="998"/>
      <c r="U340" s="935"/>
      <c r="V340" s="935"/>
      <c r="W340" s="949" t="str">
        <f>IF(AND($S$20,NOT($U$20)),IF($V340:$V623="","",SUMIF(portfolio.!$A$4:$A623,V340,portfolio.!$AN$4:$AN623)),"")</f>
        <v/>
      </c>
      <c r="X340" s="998"/>
      <c r="Y340" s="936"/>
      <c r="Z340" s="936" t="s">
        <v>123</v>
      </c>
      <c r="AA340" s="936" t="s">
        <v>123</v>
      </c>
      <c r="AB340" s="936" t="s">
        <v>123</v>
      </c>
      <c r="AC340" s="907" t="s">
        <v>123</v>
      </c>
      <c r="AD340" s="999"/>
      <c r="AE340" s="936"/>
      <c r="AF340" s="936"/>
      <c r="AG340" s="936"/>
      <c r="AH340" s="936"/>
      <c r="AI340" s="999"/>
      <c r="AJ340" s="935"/>
      <c r="AK340" s="966"/>
      <c r="AL340" s="949"/>
      <c r="AM340" s="949" t="s">
        <v>123</v>
      </c>
      <c r="AN340" s="949"/>
      <c r="AO340" s="999"/>
      <c r="AP340" s="936"/>
      <c r="AQ340" s="987"/>
      <c r="AR340" s="907"/>
      <c r="AS340" s="907"/>
      <c r="AT340" s="967" t="s">
        <v>123</v>
      </c>
      <c r="AU340" s="967" t="s">
        <v>123</v>
      </c>
      <c r="AV340" s="967" t="s">
        <v>123</v>
      </c>
      <c r="AW340" s="907" t="s">
        <v>123</v>
      </c>
      <c r="AX340" s="907" t="s">
        <v>123</v>
      </c>
      <c r="AY340" s="907" t="s">
        <v>123</v>
      </c>
      <c r="AZ340" s="936" t="s">
        <v>123</v>
      </c>
      <c r="BA340" s="935" t="s">
        <v>123</v>
      </c>
      <c r="BB340" s="1000"/>
      <c r="BC340" s="1001"/>
      <c r="BD340" s="936"/>
      <c r="BE340" s="907"/>
      <c r="BF340" s="1002" t="str">
        <f>IF($BC340="","",SUMIF(portfolio.!$A$4:$A623,BC340,portfolio.!$AN$4:$AN623))</f>
        <v/>
      </c>
      <c r="BG340" s="936" t="s">
        <v>123</v>
      </c>
      <c r="BH340" s="907" t="s">
        <v>123</v>
      </c>
      <c r="BI340" s="935" t="s">
        <v>123</v>
      </c>
      <c r="BJ340" s="1003"/>
      <c r="BK340" s="907" t="s">
        <v>123</v>
      </c>
      <c r="BL340" s="907" t="s">
        <v>123</v>
      </c>
      <c r="BM340" s="907" t="s">
        <v>123</v>
      </c>
      <c r="BN340" s="1004" t="s">
        <v>123</v>
      </c>
      <c r="BO340" s="907" t="str">
        <f t="shared" si="6"/>
        <v/>
      </c>
      <c r="BP340" s="907" t="str">
        <f t="shared" si="7"/>
        <v/>
      </c>
      <c r="BQ340" s="907" t="str">
        <f t="shared" si="8"/>
        <v/>
      </c>
      <c r="BR340" s="1004" t="str">
        <f t="shared" si="9"/>
        <v/>
      </c>
      <c r="BS340" s="1005" t="str">
        <f t="shared" si="10"/>
        <v/>
      </c>
      <c r="BT340" s="1006" t="s">
        <v>123</v>
      </c>
      <c r="BU340" s="1002" t="s">
        <v>123</v>
      </c>
      <c r="BV340" s="1006" t="s">
        <v>123</v>
      </c>
      <c r="BW340" s="1007"/>
    </row>
    <row r="341">
      <c r="A341" s="624">
        <v>318.0</v>
      </c>
      <c r="B341" s="1008"/>
      <c r="C341" s="989"/>
      <c r="D341" s="851"/>
      <c r="E341" s="990"/>
      <c r="F341" s="991"/>
      <c r="G341" s="991"/>
      <c r="H341" s="992"/>
      <c r="I341" s="993"/>
      <c r="J341" s="993"/>
      <c r="K341" s="993"/>
      <c r="L341" s="993"/>
      <c r="M341" s="993"/>
      <c r="N341" s="993"/>
      <c r="O341" s="993"/>
      <c r="P341" s="993"/>
      <c r="Q341" s="993"/>
      <c r="R341" s="993"/>
      <c r="S341" s="936"/>
      <c r="T341" s="998"/>
      <c r="U341" s="935"/>
      <c r="V341" s="935"/>
      <c r="W341" s="949" t="str">
        <f>IF(AND($S$20,NOT($U$20)),IF($V341:$V623="","",SUMIF(portfolio.!$A$4:$A623,V341,portfolio.!$AN$4:$AN623)),"")</f>
        <v/>
      </c>
      <c r="X341" s="998"/>
      <c r="Y341" s="936"/>
      <c r="Z341" s="936" t="s">
        <v>123</v>
      </c>
      <c r="AA341" s="936" t="s">
        <v>123</v>
      </c>
      <c r="AB341" s="936" t="s">
        <v>123</v>
      </c>
      <c r="AC341" s="907" t="s">
        <v>123</v>
      </c>
      <c r="AD341" s="999"/>
      <c r="AE341" s="936"/>
      <c r="AF341" s="936"/>
      <c r="AG341" s="936"/>
      <c r="AH341" s="936"/>
      <c r="AI341" s="999"/>
      <c r="AJ341" s="935"/>
      <c r="AK341" s="966"/>
      <c r="AL341" s="949"/>
      <c r="AM341" s="949" t="s">
        <v>123</v>
      </c>
      <c r="AN341" s="949"/>
      <c r="AO341" s="999"/>
      <c r="AP341" s="936"/>
      <c r="AQ341" s="987"/>
      <c r="AR341" s="907"/>
      <c r="AS341" s="907"/>
      <c r="AT341" s="967" t="s">
        <v>123</v>
      </c>
      <c r="AU341" s="967" t="s">
        <v>123</v>
      </c>
      <c r="AV341" s="967" t="s">
        <v>123</v>
      </c>
      <c r="AW341" s="907" t="s">
        <v>123</v>
      </c>
      <c r="AX341" s="907" t="s">
        <v>123</v>
      </c>
      <c r="AY341" s="907" t="s">
        <v>123</v>
      </c>
      <c r="AZ341" s="936" t="s">
        <v>123</v>
      </c>
      <c r="BA341" s="935" t="s">
        <v>123</v>
      </c>
      <c r="BB341" s="1000"/>
      <c r="BC341" s="1001"/>
      <c r="BD341" s="936"/>
      <c r="BE341" s="907"/>
      <c r="BF341" s="1002" t="str">
        <f>IF($BC341="","",SUMIF(portfolio.!$A$4:$A623,BC341,portfolio.!$AN$4:$AN623))</f>
        <v/>
      </c>
      <c r="BG341" s="936" t="s">
        <v>123</v>
      </c>
      <c r="BH341" s="907" t="s">
        <v>123</v>
      </c>
      <c r="BI341" s="935" t="s">
        <v>123</v>
      </c>
      <c r="BJ341" s="1003"/>
      <c r="BK341" s="907" t="s">
        <v>123</v>
      </c>
      <c r="BL341" s="907" t="s">
        <v>123</v>
      </c>
      <c r="BM341" s="907" t="s">
        <v>123</v>
      </c>
      <c r="BN341" s="1004" t="s">
        <v>123</v>
      </c>
      <c r="BO341" s="907" t="str">
        <f t="shared" si="6"/>
        <v/>
      </c>
      <c r="BP341" s="907" t="str">
        <f t="shared" si="7"/>
        <v/>
      </c>
      <c r="BQ341" s="907" t="str">
        <f t="shared" si="8"/>
        <v/>
      </c>
      <c r="BR341" s="1004" t="str">
        <f t="shared" si="9"/>
        <v/>
      </c>
      <c r="BS341" s="1005" t="str">
        <f t="shared" si="10"/>
        <v/>
      </c>
      <c r="BT341" s="1006" t="s">
        <v>123</v>
      </c>
      <c r="BU341" s="1002" t="s">
        <v>123</v>
      </c>
      <c r="BV341" s="1006" t="s">
        <v>123</v>
      </c>
      <c r="BW341" s="1007"/>
    </row>
    <row r="342">
      <c r="A342" s="624">
        <v>319.0</v>
      </c>
      <c r="B342" s="1008"/>
      <c r="C342" s="989"/>
      <c r="D342" s="851"/>
      <c r="E342" s="990"/>
      <c r="F342" s="991"/>
      <c r="G342" s="991"/>
      <c r="H342" s="992"/>
      <c r="I342" s="993"/>
      <c r="J342" s="993"/>
      <c r="K342" s="993"/>
      <c r="L342" s="993"/>
      <c r="M342" s="993"/>
      <c r="N342" s="993"/>
      <c r="O342" s="993"/>
      <c r="P342" s="993"/>
      <c r="Q342" s="993"/>
      <c r="R342" s="993"/>
      <c r="S342" s="936"/>
      <c r="T342" s="998"/>
      <c r="U342" s="935"/>
      <c r="V342" s="935"/>
      <c r="W342" s="949" t="str">
        <f>IF(AND($S$20,NOT($U$20)),IF($V342:$V623="","",SUMIF(portfolio.!$A$4:$A623,V342,portfolio.!$AN$4:$AN623)),"")</f>
        <v/>
      </c>
      <c r="X342" s="998"/>
      <c r="Y342" s="936"/>
      <c r="Z342" s="936" t="s">
        <v>123</v>
      </c>
      <c r="AA342" s="936" t="s">
        <v>123</v>
      </c>
      <c r="AB342" s="936" t="s">
        <v>123</v>
      </c>
      <c r="AC342" s="907" t="s">
        <v>123</v>
      </c>
      <c r="AD342" s="999"/>
      <c r="AE342" s="936"/>
      <c r="AF342" s="936"/>
      <c r="AG342" s="936"/>
      <c r="AH342" s="936"/>
      <c r="AI342" s="999"/>
      <c r="AJ342" s="935"/>
      <c r="AK342" s="966"/>
      <c r="AL342" s="949"/>
      <c r="AM342" s="949" t="s">
        <v>123</v>
      </c>
      <c r="AN342" s="949"/>
      <c r="AO342" s="999"/>
      <c r="AP342" s="936"/>
      <c r="AQ342" s="987"/>
      <c r="AR342" s="907"/>
      <c r="AS342" s="907"/>
      <c r="AT342" s="967" t="s">
        <v>123</v>
      </c>
      <c r="AU342" s="967" t="s">
        <v>123</v>
      </c>
      <c r="AV342" s="967" t="s">
        <v>123</v>
      </c>
      <c r="AW342" s="907" t="s">
        <v>123</v>
      </c>
      <c r="AX342" s="907" t="s">
        <v>123</v>
      </c>
      <c r="AY342" s="907" t="s">
        <v>123</v>
      </c>
      <c r="AZ342" s="936" t="s">
        <v>123</v>
      </c>
      <c r="BA342" s="935" t="s">
        <v>123</v>
      </c>
      <c r="BB342" s="1000"/>
      <c r="BC342" s="1001"/>
      <c r="BD342" s="936"/>
      <c r="BE342" s="907"/>
      <c r="BF342" s="1002" t="str">
        <f>IF($BC342="","",SUMIF(portfolio.!$A$4:$A623,BC342,portfolio.!$AN$4:$AN623))</f>
        <v/>
      </c>
      <c r="BG342" s="936" t="s">
        <v>123</v>
      </c>
      <c r="BH342" s="907" t="s">
        <v>123</v>
      </c>
      <c r="BI342" s="935" t="s">
        <v>123</v>
      </c>
      <c r="BJ342" s="1003"/>
      <c r="BK342" s="907" t="s">
        <v>123</v>
      </c>
      <c r="BL342" s="907" t="s">
        <v>123</v>
      </c>
      <c r="BM342" s="907" t="s">
        <v>123</v>
      </c>
      <c r="BN342" s="1004" t="s">
        <v>123</v>
      </c>
      <c r="BO342" s="907" t="str">
        <f t="shared" si="6"/>
        <v/>
      </c>
      <c r="BP342" s="907" t="str">
        <f t="shared" si="7"/>
        <v/>
      </c>
      <c r="BQ342" s="907" t="str">
        <f t="shared" si="8"/>
        <v/>
      </c>
      <c r="BR342" s="1004" t="str">
        <f t="shared" si="9"/>
        <v/>
      </c>
      <c r="BS342" s="1005" t="str">
        <f t="shared" si="10"/>
        <v/>
      </c>
      <c r="BT342" s="1006" t="s">
        <v>123</v>
      </c>
      <c r="BU342" s="1002" t="s">
        <v>123</v>
      </c>
      <c r="BV342" s="1006" t="s">
        <v>123</v>
      </c>
      <c r="BW342" s="1007"/>
    </row>
    <row r="343">
      <c r="A343" s="624">
        <v>320.0</v>
      </c>
      <c r="B343" s="1008"/>
      <c r="C343" s="989"/>
      <c r="D343" s="851"/>
      <c r="E343" s="990"/>
      <c r="F343" s="991"/>
      <c r="G343" s="991"/>
      <c r="H343" s="992"/>
      <c r="I343" s="993"/>
      <c r="J343" s="993"/>
      <c r="K343" s="993"/>
      <c r="L343" s="993"/>
      <c r="M343" s="993"/>
      <c r="N343" s="993"/>
      <c r="O343" s="993"/>
      <c r="P343" s="993"/>
      <c r="Q343" s="993"/>
      <c r="R343" s="993"/>
      <c r="S343" s="936"/>
      <c r="T343" s="998"/>
      <c r="U343" s="935"/>
      <c r="V343" s="935"/>
      <c r="W343" s="949" t="str">
        <f>IF(AND($S$20,NOT($U$20)),IF($V343:$V623="","",SUMIF(portfolio.!$A$4:$A623,V343,portfolio.!$AN$4:$AN623)),"")</f>
        <v/>
      </c>
      <c r="X343" s="998"/>
      <c r="Y343" s="936"/>
      <c r="Z343" s="936" t="s">
        <v>123</v>
      </c>
      <c r="AA343" s="936" t="s">
        <v>123</v>
      </c>
      <c r="AB343" s="936" t="s">
        <v>123</v>
      </c>
      <c r="AC343" s="907" t="s">
        <v>123</v>
      </c>
      <c r="AD343" s="999"/>
      <c r="AE343" s="936"/>
      <c r="AF343" s="936"/>
      <c r="AG343" s="936"/>
      <c r="AH343" s="936"/>
      <c r="AI343" s="999"/>
      <c r="AJ343" s="935"/>
      <c r="AK343" s="966"/>
      <c r="AL343" s="949"/>
      <c r="AM343" s="949" t="s">
        <v>123</v>
      </c>
      <c r="AN343" s="949"/>
      <c r="AO343" s="999"/>
      <c r="AP343" s="936"/>
      <c r="AQ343" s="987"/>
      <c r="AR343" s="907"/>
      <c r="AS343" s="907"/>
      <c r="AT343" s="967" t="s">
        <v>123</v>
      </c>
      <c r="AU343" s="967" t="s">
        <v>123</v>
      </c>
      <c r="AV343" s="967" t="s">
        <v>123</v>
      </c>
      <c r="AW343" s="907" t="s">
        <v>123</v>
      </c>
      <c r="AX343" s="907" t="s">
        <v>123</v>
      </c>
      <c r="AY343" s="907" t="s">
        <v>123</v>
      </c>
      <c r="AZ343" s="936" t="s">
        <v>123</v>
      </c>
      <c r="BA343" s="935" t="s">
        <v>123</v>
      </c>
      <c r="BB343" s="1000"/>
      <c r="BC343" s="1001"/>
      <c r="BD343" s="936"/>
      <c r="BE343" s="907"/>
      <c r="BF343" s="1002" t="str">
        <f>IF($BC343="","",SUMIF(portfolio.!$A$4:$A623,BC343,portfolio.!$AN$4:$AN623))</f>
        <v/>
      </c>
      <c r="BG343" s="936" t="s">
        <v>123</v>
      </c>
      <c r="BH343" s="907" t="s">
        <v>123</v>
      </c>
      <c r="BI343" s="935" t="s">
        <v>123</v>
      </c>
      <c r="BJ343" s="1003"/>
      <c r="BK343" s="907" t="s">
        <v>123</v>
      </c>
      <c r="BL343" s="907" t="s">
        <v>123</v>
      </c>
      <c r="BM343" s="907" t="s">
        <v>123</v>
      </c>
      <c r="BN343" s="1004" t="s">
        <v>123</v>
      </c>
      <c r="BO343" s="907" t="str">
        <f t="shared" si="6"/>
        <v/>
      </c>
      <c r="BP343" s="907" t="str">
        <f t="shared" si="7"/>
        <v/>
      </c>
      <c r="BQ343" s="907" t="str">
        <f t="shared" si="8"/>
        <v/>
      </c>
      <c r="BR343" s="1004" t="str">
        <f t="shared" si="9"/>
        <v/>
      </c>
      <c r="BS343" s="1005" t="str">
        <f t="shared" si="10"/>
        <v/>
      </c>
      <c r="BT343" s="1006" t="s">
        <v>123</v>
      </c>
      <c r="BU343" s="1002" t="s">
        <v>123</v>
      </c>
      <c r="BV343" s="1006" t="s">
        <v>123</v>
      </c>
      <c r="BW343" s="1007"/>
    </row>
    <row r="344">
      <c r="A344" s="624">
        <v>321.0</v>
      </c>
      <c r="B344" s="1008"/>
      <c r="C344" s="989"/>
      <c r="D344" s="851"/>
      <c r="E344" s="990"/>
      <c r="F344" s="991"/>
      <c r="G344" s="991"/>
      <c r="H344" s="992"/>
      <c r="I344" s="993"/>
      <c r="J344" s="993"/>
      <c r="K344" s="993"/>
      <c r="L344" s="993"/>
      <c r="M344" s="993"/>
      <c r="N344" s="993"/>
      <c r="O344" s="993"/>
      <c r="P344" s="993"/>
      <c r="Q344" s="993"/>
      <c r="R344" s="993"/>
      <c r="S344" s="936"/>
      <c r="T344" s="998"/>
      <c r="U344" s="935"/>
      <c r="V344" s="935"/>
      <c r="W344" s="949" t="str">
        <f>IF(AND($S$20,NOT($U$20)),IF($V344:$V623="","",SUMIF(portfolio.!$A$4:$A623,V344,portfolio.!$AN$4:$AN623)),"")</f>
        <v/>
      </c>
      <c r="X344" s="998"/>
      <c r="Y344" s="936"/>
      <c r="Z344" s="936" t="s">
        <v>123</v>
      </c>
      <c r="AA344" s="936" t="s">
        <v>123</v>
      </c>
      <c r="AB344" s="936" t="s">
        <v>123</v>
      </c>
      <c r="AC344" s="907" t="s">
        <v>123</v>
      </c>
      <c r="AD344" s="999"/>
      <c r="AE344" s="936"/>
      <c r="AF344" s="936"/>
      <c r="AG344" s="936"/>
      <c r="AH344" s="936"/>
      <c r="AI344" s="999"/>
      <c r="AJ344" s="935"/>
      <c r="AK344" s="966"/>
      <c r="AL344" s="949"/>
      <c r="AM344" s="949" t="s">
        <v>123</v>
      </c>
      <c r="AN344" s="949"/>
      <c r="AO344" s="999"/>
      <c r="AP344" s="936"/>
      <c r="AQ344" s="987"/>
      <c r="AR344" s="907"/>
      <c r="AS344" s="907"/>
      <c r="AT344" s="967" t="s">
        <v>123</v>
      </c>
      <c r="AU344" s="967" t="s">
        <v>123</v>
      </c>
      <c r="AV344" s="967" t="s">
        <v>123</v>
      </c>
      <c r="AW344" s="907" t="s">
        <v>123</v>
      </c>
      <c r="AX344" s="907" t="s">
        <v>123</v>
      </c>
      <c r="AY344" s="907" t="s">
        <v>123</v>
      </c>
      <c r="AZ344" s="936" t="s">
        <v>123</v>
      </c>
      <c r="BA344" s="935" t="s">
        <v>123</v>
      </c>
      <c r="BB344" s="1000"/>
      <c r="BC344" s="1001"/>
      <c r="BD344" s="936"/>
      <c r="BE344" s="907"/>
      <c r="BF344" s="1002" t="str">
        <f>IF($BC344="","",SUMIF(portfolio.!$A$4:$A623,BC344,portfolio.!$AN$4:$AN623))</f>
        <v/>
      </c>
      <c r="BG344" s="936" t="s">
        <v>123</v>
      </c>
      <c r="BH344" s="907" t="s">
        <v>123</v>
      </c>
      <c r="BI344" s="935" t="s">
        <v>123</v>
      </c>
      <c r="BJ344" s="1003"/>
      <c r="BK344" s="907" t="s">
        <v>123</v>
      </c>
      <c r="BL344" s="907" t="s">
        <v>123</v>
      </c>
      <c r="BM344" s="907" t="s">
        <v>123</v>
      </c>
      <c r="BN344" s="1004" t="s">
        <v>123</v>
      </c>
      <c r="BO344" s="907" t="str">
        <f t="shared" si="6"/>
        <v/>
      </c>
      <c r="BP344" s="907" t="str">
        <f t="shared" si="7"/>
        <v/>
      </c>
      <c r="BQ344" s="907" t="str">
        <f t="shared" si="8"/>
        <v/>
      </c>
      <c r="BR344" s="1004" t="str">
        <f t="shared" si="9"/>
        <v/>
      </c>
      <c r="BS344" s="1005" t="str">
        <f t="shared" si="10"/>
        <v/>
      </c>
      <c r="BT344" s="1006" t="s">
        <v>123</v>
      </c>
      <c r="BU344" s="1002" t="s">
        <v>123</v>
      </c>
      <c r="BV344" s="1006" t="s">
        <v>123</v>
      </c>
      <c r="BW344" s="1007"/>
    </row>
    <row r="345">
      <c r="A345" s="624">
        <v>322.0</v>
      </c>
      <c r="B345" s="1008"/>
      <c r="C345" s="989"/>
      <c r="D345" s="851"/>
      <c r="E345" s="990"/>
      <c r="F345" s="991"/>
      <c r="G345" s="991"/>
      <c r="H345" s="992"/>
      <c r="I345" s="993"/>
      <c r="J345" s="993"/>
      <c r="K345" s="993"/>
      <c r="L345" s="993"/>
      <c r="M345" s="993"/>
      <c r="N345" s="993"/>
      <c r="O345" s="993"/>
      <c r="P345" s="993"/>
      <c r="Q345" s="993"/>
      <c r="R345" s="993"/>
      <c r="S345" s="936"/>
      <c r="T345" s="998"/>
      <c r="U345" s="935"/>
      <c r="V345" s="935"/>
      <c r="W345" s="949" t="str">
        <f>IF(AND($S$20,NOT($U$20)),IF($V345:$V623="","",SUMIF(portfolio.!$A$4:$A623,V345,portfolio.!$AN$4:$AN623)),"")</f>
        <v/>
      </c>
      <c r="X345" s="998"/>
      <c r="Y345" s="936"/>
      <c r="Z345" s="936" t="s">
        <v>123</v>
      </c>
      <c r="AA345" s="936" t="s">
        <v>123</v>
      </c>
      <c r="AB345" s="936" t="s">
        <v>123</v>
      </c>
      <c r="AC345" s="907" t="s">
        <v>123</v>
      </c>
      <c r="AD345" s="999"/>
      <c r="AE345" s="936"/>
      <c r="AF345" s="936"/>
      <c r="AG345" s="936"/>
      <c r="AH345" s="936"/>
      <c r="AI345" s="999"/>
      <c r="AJ345" s="935"/>
      <c r="AK345" s="966"/>
      <c r="AL345" s="949"/>
      <c r="AM345" s="949" t="s">
        <v>123</v>
      </c>
      <c r="AN345" s="949"/>
      <c r="AO345" s="999"/>
      <c r="AP345" s="936"/>
      <c r="AQ345" s="987"/>
      <c r="AR345" s="907"/>
      <c r="AS345" s="907"/>
      <c r="AT345" s="967" t="s">
        <v>123</v>
      </c>
      <c r="AU345" s="967" t="s">
        <v>123</v>
      </c>
      <c r="AV345" s="967" t="s">
        <v>123</v>
      </c>
      <c r="AW345" s="907" t="s">
        <v>123</v>
      </c>
      <c r="AX345" s="907" t="s">
        <v>123</v>
      </c>
      <c r="AY345" s="907" t="s">
        <v>123</v>
      </c>
      <c r="AZ345" s="936" t="s">
        <v>123</v>
      </c>
      <c r="BA345" s="935" t="s">
        <v>123</v>
      </c>
      <c r="BB345" s="1000"/>
      <c r="BC345" s="1001"/>
      <c r="BD345" s="936"/>
      <c r="BE345" s="907"/>
      <c r="BF345" s="1002" t="str">
        <f>IF($BC345="","",SUMIF(portfolio.!$A$4:$A623,BC345,portfolio.!$AN$4:$AN623))</f>
        <v/>
      </c>
      <c r="BG345" s="936" t="s">
        <v>123</v>
      </c>
      <c r="BH345" s="907" t="s">
        <v>123</v>
      </c>
      <c r="BI345" s="935" t="s">
        <v>123</v>
      </c>
      <c r="BJ345" s="1003"/>
      <c r="BK345" s="907" t="s">
        <v>123</v>
      </c>
      <c r="BL345" s="907" t="s">
        <v>123</v>
      </c>
      <c r="BM345" s="907" t="s">
        <v>123</v>
      </c>
      <c r="BN345" s="1004" t="s">
        <v>123</v>
      </c>
      <c r="BO345" s="907" t="str">
        <f t="shared" si="6"/>
        <v/>
      </c>
      <c r="BP345" s="907" t="str">
        <f t="shared" si="7"/>
        <v/>
      </c>
      <c r="BQ345" s="907" t="str">
        <f t="shared" si="8"/>
        <v/>
      </c>
      <c r="BR345" s="1004" t="str">
        <f t="shared" si="9"/>
        <v/>
      </c>
      <c r="BS345" s="1005" t="str">
        <f t="shared" si="10"/>
        <v/>
      </c>
      <c r="BT345" s="1006" t="s">
        <v>123</v>
      </c>
      <c r="BU345" s="1002" t="s">
        <v>123</v>
      </c>
      <c r="BV345" s="1006" t="s">
        <v>123</v>
      </c>
      <c r="BW345" s="1007"/>
    </row>
    <row r="346">
      <c r="A346" s="624">
        <v>323.0</v>
      </c>
      <c r="B346" s="1008"/>
      <c r="C346" s="989"/>
      <c r="D346" s="851"/>
      <c r="E346" s="990"/>
      <c r="F346" s="991"/>
      <c r="G346" s="991"/>
      <c r="H346" s="992"/>
      <c r="I346" s="993"/>
      <c r="J346" s="993"/>
      <c r="K346" s="993"/>
      <c r="L346" s="993"/>
      <c r="M346" s="993"/>
      <c r="N346" s="993"/>
      <c r="O346" s="993"/>
      <c r="P346" s="993"/>
      <c r="Q346" s="993"/>
      <c r="R346" s="993"/>
      <c r="S346" s="936"/>
      <c r="T346" s="998"/>
      <c r="U346" s="935"/>
      <c r="V346" s="935"/>
      <c r="W346" s="949" t="str">
        <f>IF(AND($S$20,NOT($U$20)),IF($V346:$V623="","",SUMIF(portfolio.!$A$4:$A623,V346,portfolio.!$AN$4:$AN623)),"")</f>
        <v/>
      </c>
      <c r="X346" s="998"/>
      <c r="Y346" s="936"/>
      <c r="Z346" s="936" t="s">
        <v>123</v>
      </c>
      <c r="AA346" s="936" t="s">
        <v>123</v>
      </c>
      <c r="AB346" s="936" t="s">
        <v>123</v>
      </c>
      <c r="AC346" s="907" t="s">
        <v>123</v>
      </c>
      <c r="AD346" s="999"/>
      <c r="AE346" s="936"/>
      <c r="AF346" s="936"/>
      <c r="AG346" s="936"/>
      <c r="AH346" s="936"/>
      <c r="AI346" s="999"/>
      <c r="AJ346" s="935"/>
      <c r="AK346" s="966"/>
      <c r="AL346" s="949"/>
      <c r="AM346" s="949" t="s">
        <v>123</v>
      </c>
      <c r="AN346" s="949"/>
      <c r="AO346" s="999"/>
      <c r="AP346" s="936"/>
      <c r="AQ346" s="987"/>
      <c r="AR346" s="907"/>
      <c r="AS346" s="907"/>
      <c r="AT346" s="967" t="s">
        <v>123</v>
      </c>
      <c r="AU346" s="967" t="s">
        <v>123</v>
      </c>
      <c r="AV346" s="967" t="s">
        <v>123</v>
      </c>
      <c r="AW346" s="907" t="s">
        <v>123</v>
      </c>
      <c r="AX346" s="907" t="s">
        <v>123</v>
      </c>
      <c r="AY346" s="907" t="s">
        <v>123</v>
      </c>
      <c r="AZ346" s="936" t="s">
        <v>123</v>
      </c>
      <c r="BA346" s="935" t="s">
        <v>123</v>
      </c>
      <c r="BB346" s="1000"/>
      <c r="BC346" s="1001"/>
      <c r="BD346" s="936"/>
      <c r="BE346" s="907"/>
      <c r="BF346" s="1002" t="str">
        <f>IF($BC346="","",SUMIF(portfolio.!$A$4:$A623,BC346,portfolio.!$AN$4:$AN623))</f>
        <v/>
      </c>
      <c r="BG346" s="936" t="s">
        <v>123</v>
      </c>
      <c r="BH346" s="907" t="s">
        <v>123</v>
      </c>
      <c r="BI346" s="935" t="s">
        <v>123</v>
      </c>
      <c r="BJ346" s="1003"/>
      <c r="BK346" s="907" t="s">
        <v>123</v>
      </c>
      <c r="BL346" s="907" t="s">
        <v>123</v>
      </c>
      <c r="BM346" s="907" t="s">
        <v>123</v>
      </c>
      <c r="BN346" s="1004" t="s">
        <v>123</v>
      </c>
      <c r="BO346" s="907" t="str">
        <f t="shared" si="6"/>
        <v/>
      </c>
      <c r="BP346" s="907" t="str">
        <f t="shared" si="7"/>
        <v/>
      </c>
      <c r="BQ346" s="907" t="str">
        <f t="shared" si="8"/>
        <v/>
      </c>
      <c r="BR346" s="1004" t="str">
        <f t="shared" si="9"/>
        <v/>
      </c>
      <c r="BS346" s="1005" t="str">
        <f t="shared" si="10"/>
        <v/>
      </c>
      <c r="BT346" s="1006" t="s">
        <v>123</v>
      </c>
      <c r="BU346" s="1002" t="s">
        <v>123</v>
      </c>
      <c r="BV346" s="1006" t="s">
        <v>123</v>
      </c>
      <c r="BW346" s="1007"/>
    </row>
    <row r="347">
      <c r="A347" s="624">
        <v>324.0</v>
      </c>
      <c r="B347" s="1008"/>
      <c r="C347" s="989"/>
      <c r="D347" s="851"/>
      <c r="E347" s="990"/>
      <c r="F347" s="991"/>
      <c r="G347" s="991"/>
      <c r="H347" s="992"/>
      <c r="I347" s="993"/>
      <c r="J347" s="993"/>
      <c r="K347" s="993"/>
      <c r="L347" s="993"/>
      <c r="M347" s="993"/>
      <c r="N347" s="993"/>
      <c r="O347" s="993"/>
      <c r="P347" s="993"/>
      <c r="Q347" s="993"/>
      <c r="R347" s="993"/>
      <c r="S347" s="936"/>
      <c r="T347" s="998"/>
      <c r="U347" s="935"/>
      <c r="V347" s="935"/>
      <c r="W347" s="949" t="str">
        <f>IF(AND($S$20,NOT($U$20)),IF($V347:$V623="","",SUMIF(portfolio.!$A$4:$A623,V347,portfolio.!$AN$4:$AN623)),"")</f>
        <v/>
      </c>
      <c r="X347" s="998"/>
      <c r="Y347" s="936"/>
      <c r="Z347" s="936" t="s">
        <v>123</v>
      </c>
      <c r="AA347" s="936" t="s">
        <v>123</v>
      </c>
      <c r="AB347" s="936" t="s">
        <v>123</v>
      </c>
      <c r="AC347" s="907" t="s">
        <v>123</v>
      </c>
      <c r="AD347" s="999"/>
      <c r="AE347" s="936"/>
      <c r="AF347" s="936"/>
      <c r="AG347" s="936"/>
      <c r="AH347" s="936"/>
      <c r="AI347" s="999"/>
      <c r="AJ347" s="935"/>
      <c r="AK347" s="966"/>
      <c r="AL347" s="949"/>
      <c r="AM347" s="949" t="s">
        <v>123</v>
      </c>
      <c r="AN347" s="949"/>
      <c r="AO347" s="999"/>
      <c r="AP347" s="936"/>
      <c r="AQ347" s="987"/>
      <c r="AR347" s="907"/>
      <c r="AS347" s="907"/>
      <c r="AT347" s="967" t="s">
        <v>123</v>
      </c>
      <c r="AU347" s="967" t="s">
        <v>123</v>
      </c>
      <c r="AV347" s="967" t="s">
        <v>123</v>
      </c>
      <c r="AW347" s="907" t="s">
        <v>123</v>
      </c>
      <c r="AX347" s="907" t="s">
        <v>123</v>
      </c>
      <c r="AY347" s="907" t="s">
        <v>123</v>
      </c>
      <c r="AZ347" s="936" t="s">
        <v>123</v>
      </c>
      <c r="BA347" s="935" t="s">
        <v>123</v>
      </c>
      <c r="BB347" s="1000"/>
      <c r="BC347" s="1001"/>
      <c r="BD347" s="936"/>
      <c r="BE347" s="907"/>
      <c r="BF347" s="1002" t="str">
        <f>IF($BC347="","",SUMIF(portfolio.!$A$4:$A623,BC347,portfolio.!$AN$4:$AN623))</f>
        <v/>
      </c>
      <c r="BG347" s="936" t="s">
        <v>123</v>
      </c>
      <c r="BH347" s="907" t="s">
        <v>123</v>
      </c>
      <c r="BI347" s="935" t="s">
        <v>123</v>
      </c>
      <c r="BJ347" s="1003"/>
      <c r="BK347" s="907" t="s">
        <v>123</v>
      </c>
      <c r="BL347" s="907" t="s">
        <v>123</v>
      </c>
      <c r="BM347" s="907" t="s">
        <v>123</v>
      </c>
      <c r="BN347" s="1004" t="s">
        <v>123</v>
      </c>
      <c r="BO347" s="907" t="str">
        <f t="shared" si="6"/>
        <v/>
      </c>
      <c r="BP347" s="907" t="str">
        <f t="shared" si="7"/>
        <v/>
      </c>
      <c r="BQ347" s="907" t="str">
        <f t="shared" si="8"/>
        <v/>
      </c>
      <c r="BR347" s="1004" t="str">
        <f t="shared" si="9"/>
        <v/>
      </c>
      <c r="BS347" s="1005" t="str">
        <f t="shared" si="10"/>
        <v/>
      </c>
      <c r="BT347" s="1006" t="s">
        <v>123</v>
      </c>
      <c r="BU347" s="1002" t="s">
        <v>123</v>
      </c>
      <c r="BV347" s="1006" t="s">
        <v>123</v>
      </c>
      <c r="BW347" s="1007"/>
    </row>
    <row r="348">
      <c r="A348" s="624">
        <v>325.0</v>
      </c>
      <c r="B348" s="1008"/>
      <c r="C348" s="989"/>
      <c r="D348" s="851"/>
      <c r="E348" s="990"/>
      <c r="F348" s="991"/>
      <c r="G348" s="991"/>
      <c r="H348" s="992"/>
      <c r="I348" s="993"/>
      <c r="J348" s="993"/>
      <c r="K348" s="993"/>
      <c r="L348" s="993"/>
      <c r="M348" s="993"/>
      <c r="N348" s="993"/>
      <c r="O348" s="993"/>
      <c r="P348" s="993"/>
      <c r="Q348" s="993"/>
      <c r="R348" s="993"/>
      <c r="S348" s="936"/>
      <c r="T348" s="998"/>
      <c r="U348" s="935"/>
      <c r="V348" s="935"/>
      <c r="W348" s="949" t="str">
        <f>IF(AND($S$20,NOT($U$20)),IF($V348:$V623="","",SUMIF(portfolio.!$A$4:$A623,V348,portfolio.!$AN$4:$AN623)),"")</f>
        <v/>
      </c>
      <c r="X348" s="998"/>
      <c r="Y348" s="936"/>
      <c r="Z348" s="936" t="s">
        <v>123</v>
      </c>
      <c r="AA348" s="936" t="s">
        <v>123</v>
      </c>
      <c r="AB348" s="936" t="s">
        <v>123</v>
      </c>
      <c r="AC348" s="907" t="s">
        <v>123</v>
      </c>
      <c r="AD348" s="999"/>
      <c r="AE348" s="936"/>
      <c r="AF348" s="936"/>
      <c r="AG348" s="936"/>
      <c r="AH348" s="936"/>
      <c r="AI348" s="999"/>
      <c r="AJ348" s="935"/>
      <c r="AK348" s="966"/>
      <c r="AL348" s="949"/>
      <c r="AM348" s="949" t="s">
        <v>123</v>
      </c>
      <c r="AN348" s="949"/>
      <c r="AO348" s="999"/>
      <c r="AP348" s="936"/>
      <c r="AQ348" s="987"/>
      <c r="AR348" s="907"/>
      <c r="AS348" s="907"/>
      <c r="AT348" s="967" t="s">
        <v>123</v>
      </c>
      <c r="AU348" s="967" t="s">
        <v>123</v>
      </c>
      <c r="AV348" s="967" t="s">
        <v>123</v>
      </c>
      <c r="AW348" s="907" t="s">
        <v>123</v>
      </c>
      <c r="AX348" s="907" t="s">
        <v>123</v>
      </c>
      <c r="AY348" s="907" t="s">
        <v>123</v>
      </c>
      <c r="AZ348" s="936" t="s">
        <v>123</v>
      </c>
      <c r="BA348" s="935" t="s">
        <v>123</v>
      </c>
      <c r="BB348" s="1000"/>
      <c r="BC348" s="1001"/>
      <c r="BD348" s="936"/>
      <c r="BE348" s="907"/>
      <c r="BF348" s="1002" t="str">
        <f>IF($BC348="","",SUMIF(portfolio.!$A$4:$A623,BC348,portfolio.!$AN$4:$AN623))</f>
        <v/>
      </c>
      <c r="BG348" s="936" t="s">
        <v>123</v>
      </c>
      <c r="BH348" s="907" t="s">
        <v>123</v>
      </c>
      <c r="BI348" s="935" t="s">
        <v>123</v>
      </c>
      <c r="BJ348" s="1003"/>
      <c r="BK348" s="907" t="s">
        <v>123</v>
      </c>
      <c r="BL348" s="907" t="s">
        <v>123</v>
      </c>
      <c r="BM348" s="907" t="s">
        <v>123</v>
      </c>
      <c r="BN348" s="1004" t="s">
        <v>123</v>
      </c>
      <c r="BO348" s="907" t="str">
        <f t="shared" si="6"/>
        <v/>
      </c>
      <c r="BP348" s="907" t="str">
        <f t="shared" si="7"/>
        <v/>
      </c>
      <c r="BQ348" s="907" t="str">
        <f t="shared" si="8"/>
        <v/>
      </c>
      <c r="BR348" s="1004" t="str">
        <f t="shared" si="9"/>
        <v/>
      </c>
      <c r="BS348" s="1005" t="str">
        <f t="shared" si="10"/>
        <v/>
      </c>
      <c r="BT348" s="1006" t="s">
        <v>123</v>
      </c>
      <c r="BU348" s="1002" t="s">
        <v>123</v>
      </c>
      <c r="BV348" s="1006" t="s">
        <v>123</v>
      </c>
      <c r="BW348" s="1007"/>
    </row>
    <row r="349">
      <c r="A349" s="624">
        <v>326.0</v>
      </c>
      <c r="B349" s="1008"/>
      <c r="C349" s="989"/>
      <c r="D349" s="851"/>
      <c r="E349" s="990"/>
      <c r="F349" s="991"/>
      <c r="G349" s="991"/>
      <c r="H349" s="992"/>
      <c r="I349" s="993"/>
      <c r="J349" s="993"/>
      <c r="K349" s="993"/>
      <c r="L349" s="993"/>
      <c r="M349" s="993"/>
      <c r="N349" s="993"/>
      <c r="O349" s="993"/>
      <c r="P349" s="993"/>
      <c r="Q349" s="993"/>
      <c r="R349" s="993"/>
      <c r="S349" s="936"/>
      <c r="T349" s="998"/>
      <c r="U349" s="935"/>
      <c r="V349" s="935"/>
      <c r="W349" s="949" t="str">
        <f>IF(AND($S$20,NOT($U$20)),IF($V349:$V623="","",SUMIF(portfolio.!$A$4:$A623,V349,portfolio.!$AN$4:$AN623)),"")</f>
        <v/>
      </c>
      <c r="X349" s="998"/>
      <c r="Y349" s="936"/>
      <c r="Z349" s="936" t="s">
        <v>123</v>
      </c>
      <c r="AA349" s="936" t="s">
        <v>123</v>
      </c>
      <c r="AB349" s="936" t="s">
        <v>123</v>
      </c>
      <c r="AC349" s="907" t="s">
        <v>123</v>
      </c>
      <c r="AD349" s="999"/>
      <c r="AE349" s="936"/>
      <c r="AF349" s="936"/>
      <c r="AG349" s="936"/>
      <c r="AH349" s="936"/>
      <c r="AI349" s="999"/>
      <c r="AJ349" s="935"/>
      <c r="AK349" s="966"/>
      <c r="AL349" s="949"/>
      <c r="AM349" s="949" t="s">
        <v>123</v>
      </c>
      <c r="AN349" s="949"/>
      <c r="AO349" s="999"/>
      <c r="AP349" s="936"/>
      <c r="AQ349" s="987"/>
      <c r="AR349" s="907"/>
      <c r="AS349" s="907"/>
      <c r="AT349" s="967" t="s">
        <v>123</v>
      </c>
      <c r="AU349" s="967" t="s">
        <v>123</v>
      </c>
      <c r="AV349" s="967" t="s">
        <v>123</v>
      </c>
      <c r="AW349" s="907" t="s">
        <v>123</v>
      </c>
      <c r="AX349" s="907" t="s">
        <v>123</v>
      </c>
      <c r="AY349" s="907" t="s">
        <v>123</v>
      </c>
      <c r="AZ349" s="936" t="s">
        <v>123</v>
      </c>
      <c r="BA349" s="935" t="s">
        <v>123</v>
      </c>
      <c r="BB349" s="1000"/>
      <c r="BC349" s="1001"/>
      <c r="BD349" s="936"/>
      <c r="BE349" s="907"/>
      <c r="BF349" s="1002" t="str">
        <f>IF($BC349="","",SUMIF(portfolio.!$A$4:$A623,BC349,portfolio.!$AN$4:$AN623))</f>
        <v/>
      </c>
      <c r="BG349" s="936" t="s">
        <v>123</v>
      </c>
      <c r="BH349" s="907" t="s">
        <v>123</v>
      </c>
      <c r="BI349" s="935" t="s">
        <v>123</v>
      </c>
      <c r="BJ349" s="1003"/>
      <c r="BK349" s="907" t="s">
        <v>123</v>
      </c>
      <c r="BL349" s="907" t="s">
        <v>123</v>
      </c>
      <c r="BM349" s="907" t="s">
        <v>123</v>
      </c>
      <c r="BN349" s="1004" t="s">
        <v>123</v>
      </c>
      <c r="BO349" s="907" t="str">
        <f t="shared" si="6"/>
        <v/>
      </c>
      <c r="BP349" s="907" t="str">
        <f t="shared" si="7"/>
        <v/>
      </c>
      <c r="BQ349" s="907" t="str">
        <f t="shared" si="8"/>
        <v/>
      </c>
      <c r="BR349" s="1004" t="str">
        <f t="shared" si="9"/>
        <v/>
      </c>
      <c r="BS349" s="1005" t="str">
        <f t="shared" si="10"/>
        <v/>
      </c>
      <c r="BT349" s="1006" t="s">
        <v>123</v>
      </c>
      <c r="BU349" s="1002" t="s">
        <v>123</v>
      </c>
      <c r="BV349" s="1006" t="s">
        <v>123</v>
      </c>
      <c r="BW349" s="1007"/>
    </row>
    <row r="350">
      <c r="A350" s="624">
        <v>327.0</v>
      </c>
      <c r="B350" s="1008"/>
      <c r="C350" s="989"/>
      <c r="D350" s="851"/>
      <c r="E350" s="990"/>
      <c r="F350" s="991"/>
      <c r="G350" s="991"/>
      <c r="H350" s="992"/>
      <c r="I350" s="993"/>
      <c r="J350" s="993"/>
      <c r="K350" s="993"/>
      <c r="L350" s="993"/>
      <c r="M350" s="993"/>
      <c r="N350" s="993"/>
      <c r="O350" s="993"/>
      <c r="P350" s="993"/>
      <c r="Q350" s="993"/>
      <c r="R350" s="993"/>
      <c r="S350" s="936"/>
      <c r="T350" s="998"/>
      <c r="U350" s="935"/>
      <c r="V350" s="935"/>
      <c r="W350" s="949" t="str">
        <f>IF(AND($S$20,NOT($U$20)),IF($V350:$V623="","",SUMIF(portfolio.!$A$4:$A623,V350,portfolio.!$AN$4:$AN623)),"")</f>
        <v/>
      </c>
      <c r="X350" s="998"/>
      <c r="Y350" s="936"/>
      <c r="Z350" s="936" t="s">
        <v>123</v>
      </c>
      <c r="AA350" s="936" t="s">
        <v>123</v>
      </c>
      <c r="AB350" s="936" t="s">
        <v>123</v>
      </c>
      <c r="AC350" s="907" t="s">
        <v>123</v>
      </c>
      <c r="AD350" s="999"/>
      <c r="AE350" s="936"/>
      <c r="AF350" s="936"/>
      <c r="AG350" s="936"/>
      <c r="AH350" s="936"/>
      <c r="AI350" s="999"/>
      <c r="AJ350" s="935"/>
      <c r="AK350" s="966"/>
      <c r="AL350" s="949"/>
      <c r="AM350" s="949" t="s">
        <v>123</v>
      </c>
      <c r="AN350" s="949"/>
      <c r="AO350" s="999"/>
      <c r="AP350" s="936"/>
      <c r="AQ350" s="987"/>
      <c r="AR350" s="907"/>
      <c r="AS350" s="907"/>
      <c r="AT350" s="967" t="s">
        <v>123</v>
      </c>
      <c r="AU350" s="967" t="s">
        <v>123</v>
      </c>
      <c r="AV350" s="967" t="s">
        <v>123</v>
      </c>
      <c r="AW350" s="907" t="s">
        <v>123</v>
      </c>
      <c r="AX350" s="907" t="s">
        <v>123</v>
      </c>
      <c r="AY350" s="907" t="s">
        <v>123</v>
      </c>
      <c r="AZ350" s="936" t="s">
        <v>123</v>
      </c>
      <c r="BA350" s="935" t="s">
        <v>123</v>
      </c>
      <c r="BB350" s="1000"/>
      <c r="BC350" s="1001"/>
      <c r="BD350" s="936"/>
      <c r="BE350" s="907"/>
      <c r="BF350" s="1002" t="str">
        <f>IF($BC350="","",SUMIF(portfolio.!$A$4:$A623,BC350,portfolio.!$AN$4:$AN623))</f>
        <v/>
      </c>
      <c r="BG350" s="936" t="s">
        <v>123</v>
      </c>
      <c r="BH350" s="907" t="s">
        <v>123</v>
      </c>
      <c r="BI350" s="935" t="s">
        <v>123</v>
      </c>
      <c r="BJ350" s="1003"/>
      <c r="BK350" s="907" t="s">
        <v>123</v>
      </c>
      <c r="BL350" s="907" t="s">
        <v>123</v>
      </c>
      <c r="BM350" s="907" t="s">
        <v>123</v>
      </c>
      <c r="BN350" s="1004" t="s">
        <v>123</v>
      </c>
      <c r="BO350" s="907" t="str">
        <f t="shared" si="6"/>
        <v/>
      </c>
      <c r="BP350" s="907" t="str">
        <f t="shared" si="7"/>
        <v/>
      </c>
      <c r="BQ350" s="907" t="str">
        <f t="shared" si="8"/>
        <v/>
      </c>
      <c r="BR350" s="1004" t="str">
        <f t="shared" si="9"/>
        <v/>
      </c>
      <c r="BS350" s="1005" t="str">
        <f t="shared" si="10"/>
        <v/>
      </c>
      <c r="BT350" s="1006" t="s">
        <v>123</v>
      </c>
      <c r="BU350" s="1002" t="s">
        <v>123</v>
      </c>
      <c r="BV350" s="1006" t="s">
        <v>123</v>
      </c>
      <c r="BW350" s="1007"/>
    </row>
    <row r="351">
      <c r="A351" s="624">
        <v>328.0</v>
      </c>
      <c r="B351" s="1008"/>
      <c r="C351" s="989"/>
      <c r="D351" s="851"/>
      <c r="E351" s="990"/>
      <c r="F351" s="991"/>
      <c r="G351" s="991"/>
      <c r="H351" s="992"/>
      <c r="I351" s="993"/>
      <c r="J351" s="993"/>
      <c r="K351" s="993"/>
      <c r="L351" s="993"/>
      <c r="M351" s="993"/>
      <c r="N351" s="993"/>
      <c r="O351" s="993"/>
      <c r="P351" s="993"/>
      <c r="Q351" s="993"/>
      <c r="R351" s="993"/>
      <c r="S351" s="936"/>
      <c r="T351" s="998"/>
      <c r="U351" s="935"/>
      <c r="V351" s="935"/>
      <c r="W351" s="949" t="str">
        <f>IF(AND($S$20,NOT($U$20)),IF($V351:$V623="","",SUMIF(portfolio.!$A$4:$A623,V351,portfolio.!$AN$4:$AN623)),"")</f>
        <v/>
      </c>
      <c r="X351" s="998"/>
      <c r="Y351" s="936"/>
      <c r="Z351" s="936" t="s">
        <v>123</v>
      </c>
      <c r="AA351" s="936" t="s">
        <v>123</v>
      </c>
      <c r="AB351" s="936" t="s">
        <v>123</v>
      </c>
      <c r="AC351" s="907" t="s">
        <v>123</v>
      </c>
      <c r="AD351" s="999"/>
      <c r="AE351" s="936"/>
      <c r="AF351" s="936"/>
      <c r="AG351" s="936"/>
      <c r="AH351" s="936"/>
      <c r="AI351" s="999"/>
      <c r="AJ351" s="935"/>
      <c r="AK351" s="966"/>
      <c r="AL351" s="949"/>
      <c r="AM351" s="949" t="s">
        <v>123</v>
      </c>
      <c r="AN351" s="949"/>
      <c r="AO351" s="999"/>
      <c r="AP351" s="936"/>
      <c r="AQ351" s="987"/>
      <c r="AR351" s="907"/>
      <c r="AS351" s="907"/>
      <c r="AT351" s="967" t="s">
        <v>123</v>
      </c>
      <c r="AU351" s="967" t="s">
        <v>123</v>
      </c>
      <c r="AV351" s="967" t="s">
        <v>123</v>
      </c>
      <c r="AW351" s="907" t="s">
        <v>123</v>
      </c>
      <c r="AX351" s="907" t="s">
        <v>123</v>
      </c>
      <c r="AY351" s="907" t="s">
        <v>123</v>
      </c>
      <c r="AZ351" s="936" t="s">
        <v>123</v>
      </c>
      <c r="BA351" s="935" t="s">
        <v>123</v>
      </c>
      <c r="BB351" s="1000"/>
      <c r="BC351" s="1001"/>
      <c r="BD351" s="936"/>
      <c r="BE351" s="907"/>
      <c r="BF351" s="1002" t="str">
        <f>IF($BC351="","",SUMIF(portfolio.!$A$4:$A623,BC351,portfolio.!$AN$4:$AN623))</f>
        <v/>
      </c>
      <c r="BG351" s="936" t="s">
        <v>123</v>
      </c>
      <c r="BH351" s="907" t="s">
        <v>123</v>
      </c>
      <c r="BI351" s="935" t="s">
        <v>123</v>
      </c>
      <c r="BJ351" s="1003"/>
      <c r="BK351" s="907" t="s">
        <v>123</v>
      </c>
      <c r="BL351" s="907" t="s">
        <v>123</v>
      </c>
      <c r="BM351" s="907" t="s">
        <v>123</v>
      </c>
      <c r="BN351" s="1004" t="s">
        <v>123</v>
      </c>
      <c r="BO351" s="907" t="str">
        <f t="shared" si="6"/>
        <v/>
      </c>
      <c r="BP351" s="907" t="str">
        <f t="shared" si="7"/>
        <v/>
      </c>
      <c r="BQ351" s="907" t="str">
        <f t="shared" si="8"/>
        <v/>
      </c>
      <c r="BR351" s="1004" t="str">
        <f t="shared" si="9"/>
        <v/>
      </c>
      <c r="BS351" s="1005" t="str">
        <f t="shared" si="10"/>
        <v/>
      </c>
      <c r="BT351" s="1006" t="s">
        <v>123</v>
      </c>
      <c r="BU351" s="1002" t="s">
        <v>123</v>
      </c>
      <c r="BV351" s="1006" t="s">
        <v>123</v>
      </c>
      <c r="BW351" s="1007"/>
    </row>
    <row r="352">
      <c r="A352" s="624">
        <v>329.0</v>
      </c>
      <c r="B352" s="1008"/>
      <c r="C352" s="989"/>
      <c r="D352" s="851"/>
      <c r="E352" s="990"/>
      <c r="F352" s="991"/>
      <c r="G352" s="991"/>
      <c r="H352" s="992"/>
      <c r="I352" s="993"/>
      <c r="J352" s="993"/>
      <c r="K352" s="993"/>
      <c r="L352" s="993"/>
      <c r="M352" s="993"/>
      <c r="N352" s="993"/>
      <c r="O352" s="993"/>
      <c r="P352" s="993"/>
      <c r="Q352" s="993"/>
      <c r="R352" s="993"/>
      <c r="S352" s="936"/>
      <c r="T352" s="998"/>
      <c r="U352" s="935"/>
      <c r="V352" s="935"/>
      <c r="W352" s="949" t="str">
        <f>IF(AND($S$20,NOT($U$20)),IF($V352:$V623="","",SUMIF(portfolio.!$A$4:$A623,V352,portfolio.!$AN$4:$AN623)),"")</f>
        <v/>
      </c>
      <c r="X352" s="998"/>
      <c r="Y352" s="936"/>
      <c r="Z352" s="936" t="s">
        <v>123</v>
      </c>
      <c r="AA352" s="936" t="s">
        <v>123</v>
      </c>
      <c r="AB352" s="936" t="s">
        <v>123</v>
      </c>
      <c r="AC352" s="907" t="s">
        <v>123</v>
      </c>
      <c r="AD352" s="999"/>
      <c r="AE352" s="936"/>
      <c r="AF352" s="936"/>
      <c r="AG352" s="936"/>
      <c r="AH352" s="936"/>
      <c r="AI352" s="999"/>
      <c r="AJ352" s="935"/>
      <c r="AK352" s="966"/>
      <c r="AL352" s="949"/>
      <c r="AM352" s="949" t="s">
        <v>123</v>
      </c>
      <c r="AN352" s="949"/>
      <c r="AO352" s="999"/>
      <c r="AP352" s="936"/>
      <c r="AQ352" s="987"/>
      <c r="AR352" s="907"/>
      <c r="AS352" s="907"/>
      <c r="AT352" s="967" t="s">
        <v>123</v>
      </c>
      <c r="AU352" s="967" t="s">
        <v>123</v>
      </c>
      <c r="AV352" s="967" t="s">
        <v>123</v>
      </c>
      <c r="AW352" s="907" t="s">
        <v>123</v>
      </c>
      <c r="AX352" s="907" t="s">
        <v>123</v>
      </c>
      <c r="AY352" s="907" t="s">
        <v>123</v>
      </c>
      <c r="AZ352" s="936" t="s">
        <v>123</v>
      </c>
      <c r="BA352" s="935" t="s">
        <v>123</v>
      </c>
      <c r="BB352" s="1000"/>
      <c r="BC352" s="1001"/>
      <c r="BD352" s="936"/>
      <c r="BE352" s="907"/>
      <c r="BF352" s="1002" t="str">
        <f>IF($BC352="","",SUMIF(portfolio.!$A$4:$A623,BC352,portfolio.!$AN$4:$AN623))</f>
        <v/>
      </c>
      <c r="BG352" s="936" t="s">
        <v>123</v>
      </c>
      <c r="BH352" s="907" t="s">
        <v>123</v>
      </c>
      <c r="BI352" s="935" t="s">
        <v>123</v>
      </c>
      <c r="BJ352" s="1003"/>
      <c r="BK352" s="907" t="s">
        <v>123</v>
      </c>
      <c r="BL352" s="907" t="s">
        <v>123</v>
      </c>
      <c r="BM352" s="907" t="s">
        <v>123</v>
      </c>
      <c r="BN352" s="1004" t="s">
        <v>123</v>
      </c>
      <c r="BO352" s="907" t="str">
        <f t="shared" si="6"/>
        <v/>
      </c>
      <c r="BP352" s="907" t="str">
        <f t="shared" si="7"/>
        <v/>
      </c>
      <c r="BQ352" s="907" t="str">
        <f t="shared" si="8"/>
        <v/>
      </c>
      <c r="BR352" s="1004" t="str">
        <f t="shared" si="9"/>
        <v/>
      </c>
      <c r="BS352" s="1005" t="str">
        <f t="shared" si="10"/>
        <v/>
      </c>
      <c r="BT352" s="1006" t="s">
        <v>123</v>
      </c>
      <c r="BU352" s="1002" t="s">
        <v>123</v>
      </c>
      <c r="BV352" s="1006" t="s">
        <v>123</v>
      </c>
      <c r="BW352" s="1007"/>
    </row>
    <row r="353">
      <c r="A353" s="624">
        <v>330.0</v>
      </c>
      <c r="B353" s="1008"/>
      <c r="C353" s="989"/>
      <c r="D353" s="851"/>
      <c r="E353" s="990"/>
      <c r="F353" s="991"/>
      <c r="G353" s="991"/>
      <c r="H353" s="992"/>
      <c r="I353" s="993"/>
      <c r="J353" s="993"/>
      <c r="K353" s="993"/>
      <c r="L353" s="993"/>
      <c r="M353" s="993"/>
      <c r="N353" s="993"/>
      <c r="O353" s="993"/>
      <c r="P353" s="993"/>
      <c r="Q353" s="993"/>
      <c r="R353" s="993"/>
      <c r="S353" s="936"/>
      <c r="T353" s="998"/>
      <c r="U353" s="935"/>
      <c r="V353" s="935"/>
      <c r="W353" s="949" t="str">
        <f>IF(AND($S$20,NOT($U$20)),IF($V353:$V623="","",SUMIF(portfolio.!$A$4:$A623,V353,portfolio.!$AN$4:$AN623)),"")</f>
        <v/>
      </c>
      <c r="X353" s="998"/>
      <c r="Y353" s="936"/>
      <c r="Z353" s="936" t="s">
        <v>123</v>
      </c>
      <c r="AA353" s="936" t="s">
        <v>123</v>
      </c>
      <c r="AB353" s="936" t="s">
        <v>123</v>
      </c>
      <c r="AC353" s="907" t="s">
        <v>123</v>
      </c>
      <c r="AD353" s="999"/>
      <c r="AE353" s="936"/>
      <c r="AF353" s="936"/>
      <c r="AG353" s="936"/>
      <c r="AH353" s="936"/>
      <c r="AI353" s="999"/>
      <c r="AJ353" s="935"/>
      <c r="AK353" s="966"/>
      <c r="AL353" s="949"/>
      <c r="AM353" s="949" t="s">
        <v>123</v>
      </c>
      <c r="AN353" s="949"/>
      <c r="AO353" s="999"/>
      <c r="AP353" s="936"/>
      <c r="AQ353" s="987"/>
      <c r="AR353" s="907"/>
      <c r="AS353" s="907"/>
      <c r="AT353" s="967" t="s">
        <v>123</v>
      </c>
      <c r="AU353" s="967" t="s">
        <v>123</v>
      </c>
      <c r="AV353" s="967" t="s">
        <v>123</v>
      </c>
      <c r="AW353" s="907" t="s">
        <v>123</v>
      </c>
      <c r="AX353" s="907" t="s">
        <v>123</v>
      </c>
      <c r="AY353" s="907" t="s">
        <v>123</v>
      </c>
      <c r="AZ353" s="936" t="s">
        <v>123</v>
      </c>
      <c r="BA353" s="935" t="s">
        <v>123</v>
      </c>
      <c r="BB353" s="1000"/>
      <c r="BC353" s="1001"/>
      <c r="BD353" s="936"/>
      <c r="BE353" s="907"/>
      <c r="BF353" s="1002" t="str">
        <f>IF($BC353="","",SUMIF(portfolio.!$A$4:$A623,BC353,portfolio.!$AN$4:$AN623))</f>
        <v/>
      </c>
      <c r="BG353" s="936" t="s">
        <v>123</v>
      </c>
      <c r="BH353" s="907" t="s">
        <v>123</v>
      </c>
      <c r="BI353" s="935" t="s">
        <v>123</v>
      </c>
      <c r="BJ353" s="1003"/>
      <c r="BK353" s="907" t="s">
        <v>123</v>
      </c>
      <c r="BL353" s="907" t="s">
        <v>123</v>
      </c>
      <c r="BM353" s="907" t="s">
        <v>123</v>
      </c>
      <c r="BN353" s="1004" t="s">
        <v>123</v>
      </c>
      <c r="BO353" s="907" t="str">
        <f t="shared" si="6"/>
        <v/>
      </c>
      <c r="BP353" s="907" t="str">
        <f t="shared" si="7"/>
        <v/>
      </c>
      <c r="BQ353" s="907" t="str">
        <f t="shared" si="8"/>
        <v/>
      </c>
      <c r="BR353" s="1004" t="str">
        <f t="shared" si="9"/>
        <v/>
      </c>
      <c r="BS353" s="1005" t="str">
        <f t="shared" si="10"/>
        <v/>
      </c>
      <c r="BT353" s="1006" t="s">
        <v>123</v>
      </c>
      <c r="BU353" s="1002" t="s">
        <v>123</v>
      </c>
      <c r="BV353" s="1006" t="s">
        <v>123</v>
      </c>
      <c r="BW353" s="1007"/>
    </row>
    <row r="354">
      <c r="A354" s="624">
        <v>331.0</v>
      </c>
      <c r="B354" s="1008"/>
      <c r="C354" s="989"/>
      <c r="D354" s="851"/>
      <c r="E354" s="990"/>
      <c r="F354" s="991"/>
      <c r="G354" s="991"/>
      <c r="H354" s="992"/>
      <c r="I354" s="993"/>
      <c r="J354" s="993"/>
      <c r="K354" s="993"/>
      <c r="L354" s="993"/>
      <c r="M354" s="993"/>
      <c r="N354" s="993"/>
      <c r="O354" s="993"/>
      <c r="P354" s="993"/>
      <c r="Q354" s="993"/>
      <c r="R354" s="993"/>
      <c r="S354" s="936"/>
      <c r="T354" s="998"/>
      <c r="U354" s="935"/>
      <c r="V354" s="935"/>
      <c r="W354" s="949" t="str">
        <f>IF(AND($S$20,NOT($U$20)),IF($V354:$V623="","",SUMIF(portfolio.!$A$4:$A623,V354,portfolio.!$AN$4:$AN623)),"")</f>
        <v/>
      </c>
      <c r="X354" s="998"/>
      <c r="Y354" s="936"/>
      <c r="Z354" s="936" t="s">
        <v>123</v>
      </c>
      <c r="AA354" s="936" t="s">
        <v>123</v>
      </c>
      <c r="AB354" s="936" t="s">
        <v>123</v>
      </c>
      <c r="AC354" s="907" t="s">
        <v>123</v>
      </c>
      <c r="AD354" s="999"/>
      <c r="AE354" s="936"/>
      <c r="AF354" s="936"/>
      <c r="AG354" s="936"/>
      <c r="AH354" s="936"/>
      <c r="AI354" s="999"/>
      <c r="AJ354" s="935"/>
      <c r="AK354" s="966"/>
      <c r="AL354" s="949"/>
      <c r="AM354" s="949" t="s">
        <v>123</v>
      </c>
      <c r="AN354" s="949"/>
      <c r="AO354" s="999"/>
      <c r="AP354" s="936"/>
      <c r="AQ354" s="987"/>
      <c r="AR354" s="907"/>
      <c r="AS354" s="907"/>
      <c r="AT354" s="967" t="s">
        <v>123</v>
      </c>
      <c r="AU354" s="967" t="s">
        <v>123</v>
      </c>
      <c r="AV354" s="967" t="s">
        <v>123</v>
      </c>
      <c r="AW354" s="907" t="s">
        <v>123</v>
      </c>
      <c r="AX354" s="907" t="s">
        <v>123</v>
      </c>
      <c r="AY354" s="907" t="s">
        <v>123</v>
      </c>
      <c r="AZ354" s="936" t="s">
        <v>123</v>
      </c>
      <c r="BA354" s="935" t="s">
        <v>123</v>
      </c>
      <c r="BB354" s="1000"/>
      <c r="BC354" s="1001"/>
      <c r="BD354" s="936"/>
      <c r="BE354" s="907"/>
      <c r="BF354" s="1002" t="str">
        <f>IF($BC354="","",SUMIF(portfolio.!$A$4:$A623,BC354,portfolio.!$AN$4:$AN623))</f>
        <v/>
      </c>
      <c r="BG354" s="936" t="s">
        <v>123</v>
      </c>
      <c r="BH354" s="907" t="s">
        <v>123</v>
      </c>
      <c r="BI354" s="935" t="s">
        <v>123</v>
      </c>
      <c r="BJ354" s="1003"/>
      <c r="BK354" s="907" t="s">
        <v>123</v>
      </c>
      <c r="BL354" s="907" t="s">
        <v>123</v>
      </c>
      <c r="BM354" s="907" t="s">
        <v>123</v>
      </c>
      <c r="BN354" s="1004" t="s">
        <v>123</v>
      </c>
      <c r="BO354" s="907" t="str">
        <f t="shared" si="6"/>
        <v/>
      </c>
      <c r="BP354" s="907" t="str">
        <f t="shared" si="7"/>
        <v/>
      </c>
      <c r="BQ354" s="907" t="str">
        <f t="shared" si="8"/>
        <v/>
      </c>
      <c r="BR354" s="1004" t="str">
        <f t="shared" si="9"/>
        <v/>
      </c>
      <c r="BS354" s="1005" t="str">
        <f t="shared" si="10"/>
        <v/>
      </c>
      <c r="BT354" s="1006" t="s">
        <v>123</v>
      </c>
      <c r="BU354" s="1002" t="s">
        <v>123</v>
      </c>
      <c r="BV354" s="1006" t="s">
        <v>123</v>
      </c>
      <c r="BW354" s="1007"/>
    </row>
    <row r="355">
      <c r="A355" s="624">
        <v>332.0</v>
      </c>
      <c r="B355" s="1008"/>
      <c r="C355" s="989"/>
      <c r="D355" s="851"/>
      <c r="E355" s="990"/>
      <c r="F355" s="991"/>
      <c r="G355" s="991"/>
      <c r="H355" s="992"/>
      <c r="I355" s="993"/>
      <c r="J355" s="993"/>
      <c r="K355" s="993"/>
      <c r="L355" s="993"/>
      <c r="M355" s="993"/>
      <c r="N355" s="993"/>
      <c r="O355" s="993"/>
      <c r="P355" s="993"/>
      <c r="Q355" s="993"/>
      <c r="R355" s="993"/>
      <c r="S355" s="936"/>
      <c r="T355" s="998"/>
      <c r="U355" s="935"/>
      <c r="V355" s="935"/>
      <c r="W355" s="949" t="str">
        <f>IF(AND($S$20,NOT($U$20)),IF($V355:$V623="","",SUMIF(portfolio.!$A$4:$A623,V355,portfolio.!$AN$4:$AN623)),"")</f>
        <v/>
      </c>
      <c r="X355" s="998"/>
      <c r="Y355" s="936"/>
      <c r="Z355" s="936" t="s">
        <v>123</v>
      </c>
      <c r="AA355" s="936" t="s">
        <v>123</v>
      </c>
      <c r="AB355" s="936" t="s">
        <v>123</v>
      </c>
      <c r="AC355" s="907" t="s">
        <v>123</v>
      </c>
      <c r="AD355" s="999"/>
      <c r="AE355" s="936"/>
      <c r="AF355" s="936"/>
      <c r="AG355" s="936"/>
      <c r="AH355" s="936"/>
      <c r="AI355" s="999"/>
      <c r="AJ355" s="935"/>
      <c r="AK355" s="966"/>
      <c r="AL355" s="949"/>
      <c r="AM355" s="949" t="s">
        <v>123</v>
      </c>
      <c r="AN355" s="949"/>
      <c r="AO355" s="999"/>
      <c r="AP355" s="936"/>
      <c r="AQ355" s="987"/>
      <c r="AR355" s="907"/>
      <c r="AS355" s="907"/>
      <c r="AT355" s="967" t="s">
        <v>123</v>
      </c>
      <c r="AU355" s="967" t="s">
        <v>123</v>
      </c>
      <c r="AV355" s="967" t="s">
        <v>123</v>
      </c>
      <c r="AW355" s="907" t="s">
        <v>123</v>
      </c>
      <c r="AX355" s="907" t="s">
        <v>123</v>
      </c>
      <c r="AY355" s="907" t="s">
        <v>123</v>
      </c>
      <c r="AZ355" s="936" t="s">
        <v>123</v>
      </c>
      <c r="BA355" s="935" t="s">
        <v>123</v>
      </c>
      <c r="BB355" s="1000"/>
      <c r="BC355" s="1001"/>
      <c r="BD355" s="936"/>
      <c r="BE355" s="907"/>
      <c r="BF355" s="1002" t="str">
        <f>IF($BC355="","",SUMIF(portfolio.!$A$4:$A623,BC355,portfolio.!$AN$4:$AN623))</f>
        <v/>
      </c>
      <c r="BG355" s="936" t="s">
        <v>123</v>
      </c>
      <c r="BH355" s="907" t="s">
        <v>123</v>
      </c>
      <c r="BI355" s="935" t="s">
        <v>123</v>
      </c>
      <c r="BJ355" s="1003"/>
      <c r="BK355" s="907" t="s">
        <v>123</v>
      </c>
      <c r="BL355" s="907" t="s">
        <v>123</v>
      </c>
      <c r="BM355" s="907" t="s">
        <v>123</v>
      </c>
      <c r="BN355" s="1004" t="s">
        <v>123</v>
      </c>
      <c r="BO355" s="907" t="str">
        <f t="shared" si="6"/>
        <v/>
      </c>
      <c r="BP355" s="907" t="str">
        <f t="shared" si="7"/>
        <v/>
      </c>
      <c r="BQ355" s="907" t="str">
        <f t="shared" si="8"/>
        <v/>
      </c>
      <c r="BR355" s="1004" t="str">
        <f t="shared" si="9"/>
        <v/>
      </c>
      <c r="BS355" s="1005" t="str">
        <f t="shared" si="10"/>
        <v/>
      </c>
      <c r="BT355" s="1006" t="s">
        <v>123</v>
      </c>
      <c r="BU355" s="1002" t="s">
        <v>123</v>
      </c>
      <c r="BV355" s="1006" t="s">
        <v>123</v>
      </c>
      <c r="BW355" s="1007"/>
    </row>
    <row r="356">
      <c r="A356" s="624">
        <v>333.0</v>
      </c>
      <c r="B356" s="1008"/>
      <c r="C356" s="989"/>
      <c r="D356" s="851"/>
      <c r="E356" s="990"/>
      <c r="F356" s="991"/>
      <c r="G356" s="991"/>
      <c r="H356" s="992"/>
      <c r="I356" s="993"/>
      <c r="J356" s="993"/>
      <c r="K356" s="993"/>
      <c r="L356" s="993"/>
      <c r="M356" s="993"/>
      <c r="N356" s="993"/>
      <c r="O356" s="993"/>
      <c r="P356" s="993"/>
      <c r="Q356" s="993"/>
      <c r="R356" s="993"/>
      <c r="S356" s="936"/>
      <c r="T356" s="998"/>
      <c r="U356" s="935"/>
      <c r="V356" s="935"/>
      <c r="W356" s="949" t="str">
        <f>IF(AND($S$20,NOT($U$20)),IF($V356:$V623="","",SUMIF(portfolio.!$A$4:$A623,V356,portfolio.!$AN$4:$AN623)),"")</f>
        <v/>
      </c>
      <c r="X356" s="998"/>
      <c r="Y356" s="936"/>
      <c r="Z356" s="936" t="s">
        <v>123</v>
      </c>
      <c r="AA356" s="936" t="s">
        <v>123</v>
      </c>
      <c r="AB356" s="936" t="s">
        <v>123</v>
      </c>
      <c r="AC356" s="907" t="s">
        <v>123</v>
      </c>
      <c r="AD356" s="999"/>
      <c r="AE356" s="936"/>
      <c r="AF356" s="936"/>
      <c r="AG356" s="936"/>
      <c r="AH356" s="936"/>
      <c r="AI356" s="999"/>
      <c r="AJ356" s="935"/>
      <c r="AK356" s="966"/>
      <c r="AL356" s="949"/>
      <c r="AM356" s="949" t="s">
        <v>123</v>
      </c>
      <c r="AN356" s="949"/>
      <c r="AO356" s="999"/>
      <c r="AP356" s="936"/>
      <c r="AQ356" s="987"/>
      <c r="AR356" s="907"/>
      <c r="AS356" s="907"/>
      <c r="AT356" s="967" t="s">
        <v>123</v>
      </c>
      <c r="AU356" s="967" t="s">
        <v>123</v>
      </c>
      <c r="AV356" s="967" t="s">
        <v>123</v>
      </c>
      <c r="AW356" s="907" t="s">
        <v>123</v>
      </c>
      <c r="AX356" s="907" t="s">
        <v>123</v>
      </c>
      <c r="AY356" s="907" t="s">
        <v>123</v>
      </c>
      <c r="AZ356" s="936" t="s">
        <v>123</v>
      </c>
      <c r="BA356" s="935" t="s">
        <v>123</v>
      </c>
      <c r="BB356" s="1000"/>
      <c r="BC356" s="1001"/>
      <c r="BD356" s="936"/>
      <c r="BE356" s="907"/>
      <c r="BF356" s="1002" t="str">
        <f>IF($BC356="","",SUMIF(portfolio.!$A$4:$A623,BC356,portfolio.!$AN$4:$AN623))</f>
        <v/>
      </c>
      <c r="BG356" s="936" t="s">
        <v>123</v>
      </c>
      <c r="BH356" s="907" t="s">
        <v>123</v>
      </c>
      <c r="BI356" s="935" t="s">
        <v>123</v>
      </c>
      <c r="BJ356" s="1003"/>
      <c r="BK356" s="907" t="s">
        <v>123</v>
      </c>
      <c r="BL356" s="907" t="s">
        <v>123</v>
      </c>
      <c r="BM356" s="907" t="s">
        <v>123</v>
      </c>
      <c r="BN356" s="1004" t="s">
        <v>123</v>
      </c>
      <c r="BO356" s="907" t="str">
        <f t="shared" si="6"/>
        <v/>
      </c>
      <c r="BP356" s="907" t="str">
        <f t="shared" si="7"/>
        <v/>
      </c>
      <c r="BQ356" s="907" t="str">
        <f t="shared" si="8"/>
        <v/>
      </c>
      <c r="BR356" s="1004" t="str">
        <f t="shared" si="9"/>
        <v/>
      </c>
      <c r="BS356" s="1005" t="str">
        <f t="shared" si="10"/>
        <v/>
      </c>
      <c r="BT356" s="1006" t="s">
        <v>123</v>
      </c>
      <c r="BU356" s="1002" t="s">
        <v>123</v>
      </c>
      <c r="BV356" s="1006" t="s">
        <v>123</v>
      </c>
      <c r="BW356" s="1007"/>
    </row>
    <row r="357">
      <c r="A357" s="624">
        <v>334.0</v>
      </c>
      <c r="B357" s="1008"/>
      <c r="C357" s="989"/>
      <c r="D357" s="851"/>
      <c r="E357" s="990"/>
      <c r="F357" s="991"/>
      <c r="G357" s="991"/>
      <c r="H357" s="992"/>
      <c r="I357" s="993"/>
      <c r="J357" s="993"/>
      <c r="K357" s="993"/>
      <c r="L357" s="993"/>
      <c r="M357" s="993"/>
      <c r="N357" s="993"/>
      <c r="O357" s="993"/>
      <c r="P357" s="993"/>
      <c r="Q357" s="993"/>
      <c r="R357" s="993"/>
      <c r="S357" s="936"/>
      <c r="T357" s="998"/>
      <c r="U357" s="935"/>
      <c r="V357" s="935"/>
      <c r="W357" s="949" t="str">
        <f>IF(AND($S$20,NOT($U$20)),IF($V357:$V623="","",SUMIF(portfolio.!$A$4:$A623,V357,portfolio.!$AN$4:$AN623)),"")</f>
        <v/>
      </c>
      <c r="X357" s="998"/>
      <c r="Y357" s="936"/>
      <c r="Z357" s="936" t="s">
        <v>123</v>
      </c>
      <c r="AA357" s="936" t="s">
        <v>123</v>
      </c>
      <c r="AB357" s="936" t="s">
        <v>123</v>
      </c>
      <c r="AC357" s="907" t="s">
        <v>123</v>
      </c>
      <c r="AD357" s="999"/>
      <c r="AE357" s="936"/>
      <c r="AF357" s="936"/>
      <c r="AG357" s="936"/>
      <c r="AH357" s="936"/>
      <c r="AI357" s="999"/>
      <c r="AJ357" s="935"/>
      <c r="AK357" s="966"/>
      <c r="AL357" s="949"/>
      <c r="AM357" s="949" t="s">
        <v>123</v>
      </c>
      <c r="AN357" s="949"/>
      <c r="AO357" s="999"/>
      <c r="AP357" s="936"/>
      <c r="AQ357" s="987"/>
      <c r="AR357" s="907"/>
      <c r="AS357" s="907"/>
      <c r="AT357" s="967" t="s">
        <v>123</v>
      </c>
      <c r="AU357" s="967" t="s">
        <v>123</v>
      </c>
      <c r="AV357" s="967" t="s">
        <v>123</v>
      </c>
      <c r="AW357" s="907" t="s">
        <v>123</v>
      </c>
      <c r="AX357" s="907" t="s">
        <v>123</v>
      </c>
      <c r="AY357" s="907" t="s">
        <v>123</v>
      </c>
      <c r="AZ357" s="936" t="s">
        <v>123</v>
      </c>
      <c r="BA357" s="935" t="s">
        <v>123</v>
      </c>
      <c r="BB357" s="1000"/>
      <c r="BC357" s="1001"/>
      <c r="BD357" s="936"/>
      <c r="BE357" s="907"/>
      <c r="BF357" s="1002" t="str">
        <f>IF($BC357="","",SUMIF(portfolio.!$A$4:$A623,BC357,portfolio.!$AN$4:$AN623))</f>
        <v/>
      </c>
      <c r="BG357" s="936" t="s">
        <v>123</v>
      </c>
      <c r="BH357" s="907" t="s">
        <v>123</v>
      </c>
      <c r="BI357" s="935" t="s">
        <v>123</v>
      </c>
      <c r="BJ357" s="1003"/>
      <c r="BK357" s="907" t="s">
        <v>123</v>
      </c>
      <c r="BL357" s="907" t="s">
        <v>123</v>
      </c>
      <c r="BM357" s="907" t="s">
        <v>123</v>
      </c>
      <c r="BN357" s="1004" t="s">
        <v>123</v>
      </c>
      <c r="BO357" s="907" t="str">
        <f t="shared" si="6"/>
        <v/>
      </c>
      <c r="BP357" s="907" t="str">
        <f t="shared" si="7"/>
        <v/>
      </c>
      <c r="BQ357" s="907" t="str">
        <f t="shared" si="8"/>
        <v/>
      </c>
      <c r="BR357" s="1004" t="str">
        <f t="shared" si="9"/>
        <v/>
      </c>
      <c r="BS357" s="1005" t="str">
        <f t="shared" si="10"/>
        <v/>
      </c>
      <c r="BT357" s="1006" t="s">
        <v>123</v>
      </c>
      <c r="BU357" s="1002" t="s">
        <v>123</v>
      </c>
      <c r="BV357" s="1006" t="s">
        <v>123</v>
      </c>
      <c r="BW357" s="1007"/>
    </row>
    <row r="358">
      <c r="A358" s="624">
        <v>335.0</v>
      </c>
      <c r="B358" s="1008"/>
      <c r="C358" s="989"/>
      <c r="D358" s="851"/>
      <c r="E358" s="990"/>
      <c r="F358" s="991"/>
      <c r="G358" s="991"/>
      <c r="H358" s="992"/>
      <c r="I358" s="993"/>
      <c r="J358" s="993"/>
      <c r="K358" s="993"/>
      <c r="L358" s="993"/>
      <c r="M358" s="993"/>
      <c r="N358" s="993"/>
      <c r="O358" s="993"/>
      <c r="P358" s="993"/>
      <c r="Q358" s="993"/>
      <c r="R358" s="993"/>
      <c r="S358" s="936"/>
      <c r="T358" s="998"/>
      <c r="U358" s="935"/>
      <c r="V358" s="935"/>
      <c r="W358" s="949" t="str">
        <f>IF(AND($S$20,NOT($U$20)),IF($V358:$V623="","",SUMIF(portfolio.!$A$4:$A623,V358,portfolio.!$AN$4:$AN623)),"")</f>
        <v/>
      </c>
      <c r="X358" s="998"/>
      <c r="Y358" s="936"/>
      <c r="Z358" s="936" t="s">
        <v>123</v>
      </c>
      <c r="AA358" s="936" t="s">
        <v>123</v>
      </c>
      <c r="AB358" s="936" t="s">
        <v>123</v>
      </c>
      <c r="AC358" s="907" t="s">
        <v>123</v>
      </c>
      <c r="AD358" s="999"/>
      <c r="AE358" s="936"/>
      <c r="AF358" s="936"/>
      <c r="AG358" s="936"/>
      <c r="AH358" s="936"/>
      <c r="AI358" s="999"/>
      <c r="AJ358" s="935"/>
      <c r="AK358" s="966"/>
      <c r="AL358" s="949"/>
      <c r="AM358" s="949" t="s">
        <v>123</v>
      </c>
      <c r="AN358" s="949"/>
      <c r="AO358" s="999"/>
      <c r="AP358" s="936"/>
      <c r="AQ358" s="987"/>
      <c r="AR358" s="907"/>
      <c r="AS358" s="907"/>
      <c r="AT358" s="967" t="s">
        <v>123</v>
      </c>
      <c r="AU358" s="967" t="s">
        <v>123</v>
      </c>
      <c r="AV358" s="967" t="s">
        <v>123</v>
      </c>
      <c r="AW358" s="907" t="s">
        <v>123</v>
      </c>
      <c r="AX358" s="907" t="s">
        <v>123</v>
      </c>
      <c r="AY358" s="907" t="s">
        <v>123</v>
      </c>
      <c r="AZ358" s="936" t="s">
        <v>123</v>
      </c>
      <c r="BA358" s="935" t="s">
        <v>123</v>
      </c>
      <c r="BB358" s="1000"/>
      <c r="BC358" s="1001"/>
      <c r="BD358" s="936"/>
      <c r="BE358" s="907"/>
      <c r="BF358" s="1002" t="str">
        <f>IF($BC358="","",SUMIF(portfolio.!$A$4:$A623,BC358,portfolio.!$AN$4:$AN623))</f>
        <v/>
      </c>
      <c r="BG358" s="936" t="s">
        <v>123</v>
      </c>
      <c r="BH358" s="907" t="s">
        <v>123</v>
      </c>
      <c r="BI358" s="935" t="s">
        <v>123</v>
      </c>
      <c r="BJ358" s="1003"/>
      <c r="BK358" s="907" t="s">
        <v>123</v>
      </c>
      <c r="BL358" s="907" t="s">
        <v>123</v>
      </c>
      <c r="BM358" s="907" t="s">
        <v>123</v>
      </c>
      <c r="BN358" s="1004" t="s">
        <v>123</v>
      </c>
      <c r="BO358" s="907" t="str">
        <f t="shared" si="6"/>
        <v/>
      </c>
      <c r="BP358" s="907" t="str">
        <f t="shared" si="7"/>
        <v/>
      </c>
      <c r="BQ358" s="907" t="str">
        <f t="shared" si="8"/>
        <v/>
      </c>
      <c r="BR358" s="1004" t="str">
        <f t="shared" si="9"/>
        <v/>
      </c>
      <c r="BS358" s="1005" t="str">
        <f t="shared" si="10"/>
        <v/>
      </c>
      <c r="BT358" s="1006" t="s">
        <v>123</v>
      </c>
      <c r="BU358" s="1002" t="s">
        <v>123</v>
      </c>
      <c r="BV358" s="1006" t="s">
        <v>123</v>
      </c>
      <c r="BW358" s="1007"/>
    </row>
    <row r="359">
      <c r="A359" s="624">
        <v>336.0</v>
      </c>
      <c r="B359" s="1008"/>
      <c r="C359" s="989"/>
      <c r="D359" s="851"/>
      <c r="E359" s="990"/>
      <c r="F359" s="991"/>
      <c r="G359" s="991"/>
      <c r="H359" s="992"/>
      <c r="I359" s="993"/>
      <c r="J359" s="993"/>
      <c r="K359" s="993"/>
      <c r="L359" s="993"/>
      <c r="M359" s="993"/>
      <c r="N359" s="993"/>
      <c r="O359" s="993"/>
      <c r="P359" s="993"/>
      <c r="Q359" s="993"/>
      <c r="R359" s="993"/>
      <c r="S359" s="936"/>
      <c r="T359" s="998"/>
      <c r="U359" s="935"/>
      <c r="V359" s="935"/>
      <c r="W359" s="949" t="str">
        <f>IF(AND($S$20,NOT($U$20)),IF($V359:$V623="","",SUMIF(portfolio.!$A$4:$A623,V359,portfolio.!$AN$4:$AN623)),"")</f>
        <v/>
      </c>
      <c r="X359" s="998"/>
      <c r="Y359" s="936"/>
      <c r="Z359" s="936" t="s">
        <v>123</v>
      </c>
      <c r="AA359" s="936" t="s">
        <v>123</v>
      </c>
      <c r="AB359" s="936" t="s">
        <v>123</v>
      </c>
      <c r="AC359" s="907" t="s">
        <v>123</v>
      </c>
      <c r="AD359" s="999"/>
      <c r="AE359" s="936"/>
      <c r="AF359" s="936"/>
      <c r="AG359" s="936"/>
      <c r="AH359" s="936"/>
      <c r="AI359" s="999"/>
      <c r="AJ359" s="935"/>
      <c r="AK359" s="966"/>
      <c r="AL359" s="949"/>
      <c r="AM359" s="949" t="s">
        <v>123</v>
      </c>
      <c r="AN359" s="949"/>
      <c r="AO359" s="999"/>
      <c r="AP359" s="936"/>
      <c r="AQ359" s="987"/>
      <c r="AR359" s="907"/>
      <c r="AS359" s="907"/>
      <c r="AT359" s="967" t="s">
        <v>123</v>
      </c>
      <c r="AU359" s="967" t="s">
        <v>123</v>
      </c>
      <c r="AV359" s="967" t="s">
        <v>123</v>
      </c>
      <c r="AW359" s="907" t="s">
        <v>123</v>
      </c>
      <c r="AX359" s="907" t="s">
        <v>123</v>
      </c>
      <c r="AY359" s="907" t="s">
        <v>123</v>
      </c>
      <c r="AZ359" s="936" t="s">
        <v>123</v>
      </c>
      <c r="BA359" s="935" t="s">
        <v>123</v>
      </c>
      <c r="BB359" s="1000"/>
      <c r="BC359" s="1001"/>
      <c r="BD359" s="936"/>
      <c r="BE359" s="907"/>
      <c r="BF359" s="1002" t="str">
        <f>IF($BC359="","",SUMIF(portfolio.!$A$4:$A623,BC359,portfolio.!$AN$4:$AN623))</f>
        <v/>
      </c>
      <c r="BG359" s="936" t="s">
        <v>123</v>
      </c>
      <c r="BH359" s="907" t="s">
        <v>123</v>
      </c>
      <c r="BI359" s="935" t="s">
        <v>123</v>
      </c>
      <c r="BJ359" s="1003"/>
      <c r="BK359" s="907" t="s">
        <v>123</v>
      </c>
      <c r="BL359" s="907" t="s">
        <v>123</v>
      </c>
      <c r="BM359" s="907" t="s">
        <v>123</v>
      </c>
      <c r="BN359" s="1004" t="s">
        <v>123</v>
      </c>
      <c r="BO359" s="907" t="str">
        <f t="shared" si="6"/>
        <v/>
      </c>
      <c r="BP359" s="907" t="str">
        <f t="shared" si="7"/>
        <v/>
      </c>
      <c r="BQ359" s="907" t="str">
        <f t="shared" si="8"/>
        <v/>
      </c>
      <c r="BR359" s="1004" t="str">
        <f t="shared" si="9"/>
        <v/>
      </c>
      <c r="BS359" s="1005" t="str">
        <f t="shared" si="10"/>
        <v/>
      </c>
      <c r="BT359" s="1006" t="s">
        <v>123</v>
      </c>
      <c r="BU359" s="1002" t="s">
        <v>123</v>
      </c>
      <c r="BV359" s="1006" t="s">
        <v>123</v>
      </c>
      <c r="BW359" s="1007"/>
    </row>
    <row r="360">
      <c r="A360" s="624">
        <v>337.0</v>
      </c>
      <c r="B360" s="1008"/>
      <c r="C360" s="989"/>
      <c r="D360" s="851"/>
      <c r="E360" s="990"/>
      <c r="F360" s="991"/>
      <c r="G360" s="991"/>
      <c r="H360" s="992"/>
      <c r="I360" s="993"/>
      <c r="J360" s="993"/>
      <c r="K360" s="993"/>
      <c r="L360" s="993"/>
      <c r="M360" s="993"/>
      <c r="N360" s="993"/>
      <c r="O360" s="993"/>
      <c r="P360" s="993"/>
      <c r="Q360" s="993"/>
      <c r="R360" s="993"/>
      <c r="S360" s="936"/>
      <c r="T360" s="998"/>
      <c r="U360" s="935"/>
      <c r="V360" s="935"/>
      <c r="W360" s="949" t="str">
        <f>IF(AND($S$20,NOT($U$20)),IF($V360:$V623="","",SUMIF(portfolio.!$A$4:$A623,V360,portfolio.!$AN$4:$AN623)),"")</f>
        <v/>
      </c>
      <c r="X360" s="998"/>
      <c r="Y360" s="936"/>
      <c r="Z360" s="936" t="s">
        <v>123</v>
      </c>
      <c r="AA360" s="936" t="s">
        <v>123</v>
      </c>
      <c r="AB360" s="936" t="s">
        <v>123</v>
      </c>
      <c r="AC360" s="907" t="s">
        <v>123</v>
      </c>
      <c r="AD360" s="999"/>
      <c r="AE360" s="936"/>
      <c r="AF360" s="936"/>
      <c r="AG360" s="936"/>
      <c r="AH360" s="936"/>
      <c r="AI360" s="999"/>
      <c r="AJ360" s="935"/>
      <c r="AK360" s="966"/>
      <c r="AL360" s="949"/>
      <c r="AM360" s="949" t="s">
        <v>123</v>
      </c>
      <c r="AN360" s="949"/>
      <c r="AO360" s="999"/>
      <c r="AP360" s="936"/>
      <c r="AQ360" s="987"/>
      <c r="AR360" s="907"/>
      <c r="AS360" s="907"/>
      <c r="AT360" s="967" t="s">
        <v>123</v>
      </c>
      <c r="AU360" s="967" t="s">
        <v>123</v>
      </c>
      <c r="AV360" s="967" t="s">
        <v>123</v>
      </c>
      <c r="AW360" s="907" t="s">
        <v>123</v>
      </c>
      <c r="AX360" s="907" t="s">
        <v>123</v>
      </c>
      <c r="AY360" s="907" t="s">
        <v>123</v>
      </c>
      <c r="AZ360" s="936" t="s">
        <v>123</v>
      </c>
      <c r="BA360" s="935" t="s">
        <v>123</v>
      </c>
      <c r="BB360" s="1000"/>
      <c r="BC360" s="1001"/>
      <c r="BD360" s="936"/>
      <c r="BE360" s="907"/>
      <c r="BF360" s="1002" t="str">
        <f>IF($BC360="","",SUMIF(portfolio.!$A$4:$A623,BC360,portfolio.!$AN$4:$AN623))</f>
        <v/>
      </c>
      <c r="BG360" s="936" t="s">
        <v>123</v>
      </c>
      <c r="BH360" s="907" t="s">
        <v>123</v>
      </c>
      <c r="BI360" s="935" t="s">
        <v>123</v>
      </c>
      <c r="BJ360" s="1003"/>
      <c r="BK360" s="907" t="s">
        <v>123</v>
      </c>
      <c r="BL360" s="907" t="s">
        <v>123</v>
      </c>
      <c r="BM360" s="907" t="s">
        <v>123</v>
      </c>
      <c r="BN360" s="1004" t="s">
        <v>123</v>
      </c>
      <c r="BO360" s="907" t="str">
        <f t="shared" si="6"/>
        <v/>
      </c>
      <c r="BP360" s="907" t="str">
        <f t="shared" si="7"/>
        <v/>
      </c>
      <c r="BQ360" s="907" t="str">
        <f t="shared" si="8"/>
        <v/>
      </c>
      <c r="BR360" s="1004" t="str">
        <f t="shared" si="9"/>
        <v/>
      </c>
      <c r="BS360" s="1005" t="str">
        <f t="shared" si="10"/>
        <v/>
      </c>
      <c r="BT360" s="1006" t="s">
        <v>123</v>
      </c>
      <c r="BU360" s="1002" t="s">
        <v>123</v>
      </c>
      <c r="BV360" s="1006" t="s">
        <v>123</v>
      </c>
      <c r="BW360" s="1007"/>
    </row>
    <row r="361">
      <c r="A361" s="624">
        <v>338.0</v>
      </c>
      <c r="B361" s="1008"/>
      <c r="C361" s="989"/>
      <c r="D361" s="851"/>
      <c r="E361" s="990"/>
      <c r="F361" s="991"/>
      <c r="G361" s="991"/>
      <c r="H361" s="992"/>
      <c r="I361" s="993"/>
      <c r="J361" s="993"/>
      <c r="K361" s="993"/>
      <c r="L361" s="993"/>
      <c r="M361" s="993"/>
      <c r="N361" s="993"/>
      <c r="O361" s="993"/>
      <c r="P361" s="993"/>
      <c r="Q361" s="993"/>
      <c r="R361" s="993"/>
      <c r="S361" s="936"/>
      <c r="T361" s="998"/>
      <c r="U361" s="935"/>
      <c r="V361" s="935"/>
      <c r="W361" s="949" t="str">
        <f>IF(AND($S$20,NOT($U$20)),IF($V361:$V623="","",SUMIF(portfolio.!$A$4:$A623,V361,portfolio.!$AN$4:$AN623)),"")</f>
        <v/>
      </c>
      <c r="X361" s="998"/>
      <c r="Y361" s="936"/>
      <c r="Z361" s="936" t="s">
        <v>123</v>
      </c>
      <c r="AA361" s="936" t="s">
        <v>123</v>
      </c>
      <c r="AB361" s="936" t="s">
        <v>123</v>
      </c>
      <c r="AC361" s="907" t="s">
        <v>123</v>
      </c>
      <c r="AD361" s="999"/>
      <c r="AE361" s="936"/>
      <c r="AF361" s="936"/>
      <c r="AG361" s="936"/>
      <c r="AH361" s="936"/>
      <c r="AI361" s="999"/>
      <c r="AJ361" s="935"/>
      <c r="AK361" s="966"/>
      <c r="AL361" s="949"/>
      <c r="AM361" s="949" t="s">
        <v>123</v>
      </c>
      <c r="AN361" s="949"/>
      <c r="AO361" s="999"/>
      <c r="AP361" s="936"/>
      <c r="AQ361" s="987"/>
      <c r="AR361" s="907"/>
      <c r="AS361" s="907"/>
      <c r="AT361" s="967" t="s">
        <v>123</v>
      </c>
      <c r="AU361" s="967" t="s">
        <v>123</v>
      </c>
      <c r="AV361" s="967" t="s">
        <v>123</v>
      </c>
      <c r="AW361" s="907" t="s">
        <v>123</v>
      </c>
      <c r="AX361" s="907" t="s">
        <v>123</v>
      </c>
      <c r="AY361" s="907" t="s">
        <v>123</v>
      </c>
      <c r="AZ361" s="936" t="s">
        <v>123</v>
      </c>
      <c r="BA361" s="935" t="s">
        <v>123</v>
      </c>
      <c r="BB361" s="1000"/>
      <c r="BC361" s="1001"/>
      <c r="BD361" s="936"/>
      <c r="BE361" s="907"/>
      <c r="BF361" s="1002" t="str">
        <f>IF($BC361="","",SUMIF(portfolio.!$A$4:$A623,BC361,portfolio.!$AN$4:$AN623))</f>
        <v/>
      </c>
      <c r="BG361" s="936" t="s">
        <v>123</v>
      </c>
      <c r="BH361" s="907" t="s">
        <v>123</v>
      </c>
      <c r="BI361" s="935" t="s">
        <v>123</v>
      </c>
      <c r="BJ361" s="1003"/>
      <c r="BK361" s="907" t="s">
        <v>123</v>
      </c>
      <c r="BL361" s="907" t="s">
        <v>123</v>
      </c>
      <c r="BM361" s="907" t="s">
        <v>123</v>
      </c>
      <c r="BN361" s="1004" t="s">
        <v>123</v>
      </c>
      <c r="BO361" s="907" t="str">
        <f t="shared" si="6"/>
        <v/>
      </c>
      <c r="BP361" s="907" t="str">
        <f t="shared" si="7"/>
        <v/>
      </c>
      <c r="BQ361" s="907" t="str">
        <f t="shared" si="8"/>
        <v/>
      </c>
      <c r="BR361" s="1004" t="str">
        <f t="shared" si="9"/>
        <v/>
      </c>
      <c r="BS361" s="1005" t="str">
        <f t="shared" si="10"/>
        <v/>
      </c>
      <c r="BT361" s="1006" t="s">
        <v>123</v>
      </c>
      <c r="BU361" s="1002" t="s">
        <v>123</v>
      </c>
      <c r="BV361" s="1006" t="s">
        <v>123</v>
      </c>
      <c r="BW361" s="1007"/>
    </row>
    <row r="362">
      <c r="A362" s="624">
        <v>339.0</v>
      </c>
      <c r="B362" s="1008"/>
      <c r="C362" s="989"/>
      <c r="D362" s="851"/>
      <c r="E362" s="990"/>
      <c r="F362" s="991"/>
      <c r="G362" s="991"/>
      <c r="H362" s="992"/>
      <c r="I362" s="993"/>
      <c r="J362" s="993"/>
      <c r="K362" s="993"/>
      <c r="L362" s="993"/>
      <c r="M362" s="993"/>
      <c r="N362" s="993"/>
      <c r="O362" s="993"/>
      <c r="P362" s="993"/>
      <c r="Q362" s="993"/>
      <c r="R362" s="993"/>
      <c r="S362" s="936"/>
      <c r="T362" s="998"/>
      <c r="U362" s="935"/>
      <c r="V362" s="935"/>
      <c r="W362" s="949" t="str">
        <f>IF(AND($S$20,NOT($U$20)),IF($V362:$V623="","",SUMIF(portfolio.!$A$4:$A623,V362,portfolio.!$AN$4:$AN623)),"")</f>
        <v/>
      </c>
      <c r="X362" s="998"/>
      <c r="Y362" s="936"/>
      <c r="Z362" s="936" t="s">
        <v>123</v>
      </c>
      <c r="AA362" s="936" t="s">
        <v>123</v>
      </c>
      <c r="AB362" s="936" t="s">
        <v>123</v>
      </c>
      <c r="AC362" s="907" t="s">
        <v>123</v>
      </c>
      <c r="AD362" s="999"/>
      <c r="AE362" s="936"/>
      <c r="AF362" s="936"/>
      <c r="AG362" s="936"/>
      <c r="AH362" s="936"/>
      <c r="AI362" s="999"/>
      <c r="AJ362" s="935"/>
      <c r="AK362" s="966"/>
      <c r="AL362" s="949"/>
      <c r="AM362" s="949" t="s">
        <v>123</v>
      </c>
      <c r="AN362" s="949"/>
      <c r="AO362" s="999"/>
      <c r="AP362" s="936"/>
      <c r="AQ362" s="987"/>
      <c r="AR362" s="907"/>
      <c r="AS362" s="907"/>
      <c r="AT362" s="967" t="s">
        <v>123</v>
      </c>
      <c r="AU362" s="967" t="s">
        <v>123</v>
      </c>
      <c r="AV362" s="967" t="s">
        <v>123</v>
      </c>
      <c r="AW362" s="907" t="s">
        <v>123</v>
      </c>
      <c r="AX362" s="907" t="s">
        <v>123</v>
      </c>
      <c r="AY362" s="907" t="s">
        <v>123</v>
      </c>
      <c r="AZ362" s="936" t="s">
        <v>123</v>
      </c>
      <c r="BA362" s="935" t="s">
        <v>123</v>
      </c>
      <c r="BB362" s="1000"/>
      <c r="BC362" s="1001"/>
      <c r="BD362" s="936"/>
      <c r="BE362" s="907"/>
      <c r="BF362" s="1002" t="str">
        <f>IF($BC362="","",SUMIF(portfolio.!$A$4:$A623,BC362,portfolio.!$AN$4:$AN623))</f>
        <v/>
      </c>
      <c r="BG362" s="936" t="s">
        <v>123</v>
      </c>
      <c r="BH362" s="907" t="s">
        <v>123</v>
      </c>
      <c r="BI362" s="935" t="s">
        <v>123</v>
      </c>
      <c r="BJ362" s="1003"/>
      <c r="BK362" s="907" t="s">
        <v>123</v>
      </c>
      <c r="BL362" s="907" t="s">
        <v>123</v>
      </c>
      <c r="BM362" s="907" t="s">
        <v>123</v>
      </c>
      <c r="BN362" s="1004" t="s">
        <v>123</v>
      </c>
      <c r="BO362" s="907" t="str">
        <f t="shared" si="6"/>
        <v/>
      </c>
      <c r="BP362" s="907" t="str">
        <f t="shared" si="7"/>
        <v/>
      </c>
      <c r="BQ362" s="907" t="str">
        <f t="shared" si="8"/>
        <v/>
      </c>
      <c r="BR362" s="1004" t="str">
        <f t="shared" si="9"/>
        <v/>
      </c>
      <c r="BS362" s="1005" t="str">
        <f t="shared" si="10"/>
        <v/>
      </c>
      <c r="BT362" s="1006" t="s">
        <v>123</v>
      </c>
      <c r="BU362" s="1002" t="s">
        <v>123</v>
      </c>
      <c r="BV362" s="1006" t="s">
        <v>123</v>
      </c>
      <c r="BW362" s="1007"/>
    </row>
    <row r="363">
      <c r="A363" s="624">
        <v>340.0</v>
      </c>
      <c r="B363" s="1008"/>
      <c r="C363" s="989"/>
      <c r="D363" s="851"/>
      <c r="E363" s="990"/>
      <c r="F363" s="991"/>
      <c r="G363" s="991"/>
      <c r="H363" s="992"/>
      <c r="I363" s="993"/>
      <c r="J363" s="993"/>
      <c r="K363" s="993"/>
      <c r="L363" s="993"/>
      <c r="M363" s="993"/>
      <c r="N363" s="993"/>
      <c r="O363" s="993"/>
      <c r="P363" s="993"/>
      <c r="Q363" s="993"/>
      <c r="R363" s="993"/>
      <c r="S363" s="936"/>
      <c r="T363" s="998"/>
      <c r="U363" s="935"/>
      <c r="V363" s="935"/>
      <c r="W363" s="949" t="str">
        <f>IF(AND($S$20,NOT($U$20)),IF($V363:$V623="","",SUMIF(portfolio.!$A$4:$A623,V363,portfolio.!$AN$4:$AN623)),"")</f>
        <v/>
      </c>
      <c r="X363" s="998"/>
      <c r="Y363" s="936"/>
      <c r="Z363" s="936" t="s">
        <v>123</v>
      </c>
      <c r="AA363" s="936" t="s">
        <v>123</v>
      </c>
      <c r="AB363" s="936" t="s">
        <v>123</v>
      </c>
      <c r="AC363" s="907" t="s">
        <v>123</v>
      </c>
      <c r="AD363" s="999"/>
      <c r="AE363" s="936"/>
      <c r="AF363" s="936"/>
      <c r="AG363" s="936"/>
      <c r="AH363" s="936"/>
      <c r="AI363" s="999"/>
      <c r="AJ363" s="935"/>
      <c r="AK363" s="966"/>
      <c r="AL363" s="949"/>
      <c r="AM363" s="949" t="s">
        <v>123</v>
      </c>
      <c r="AN363" s="949"/>
      <c r="AO363" s="999"/>
      <c r="AP363" s="936"/>
      <c r="AQ363" s="987"/>
      <c r="AR363" s="907"/>
      <c r="AS363" s="907"/>
      <c r="AT363" s="967" t="s">
        <v>123</v>
      </c>
      <c r="AU363" s="967" t="s">
        <v>123</v>
      </c>
      <c r="AV363" s="967" t="s">
        <v>123</v>
      </c>
      <c r="AW363" s="907" t="s">
        <v>123</v>
      </c>
      <c r="AX363" s="907" t="s">
        <v>123</v>
      </c>
      <c r="AY363" s="907" t="s">
        <v>123</v>
      </c>
      <c r="AZ363" s="936" t="s">
        <v>123</v>
      </c>
      <c r="BA363" s="935" t="s">
        <v>123</v>
      </c>
      <c r="BB363" s="1000"/>
      <c r="BC363" s="1001"/>
      <c r="BD363" s="936"/>
      <c r="BE363" s="907"/>
      <c r="BF363" s="1002" t="str">
        <f>IF($BC363="","",SUMIF(portfolio.!$A$4:$A623,BC363,portfolio.!$AN$4:$AN623))</f>
        <v/>
      </c>
      <c r="BG363" s="936" t="s">
        <v>123</v>
      </c>
      <c r="BH363" s="907" t="s">
        <v>123</v>
      </c>
      <c r="BI363" s="935" t="s">
        <v>123</v>
      </c>
      <c r="BJ363" s="1003"/>
      <c r="BK363" s="907" t="s">
        <v>123</v>
      </c>
      <c r="BL363" s="907" t="s">
        <v>123</v>
      </c>
      <c r="BM363" s="907" t="s">
        <v>123</v>
      </c>
      <c r="BN363" s="1004" t="s">
        <v>123</v>
      </c>
      <c r="BO363" s="907" t="str">
        <f t="shared" si="6"/>
        <v/>
      </c>
      <c r="BP363" s="907" t="str">
        <f t="shared" si="7"/>
        <v/>
      </c>
      <c r="BQ363" s="907" t="str">
        <f t="shared" si="8"/>
        <v/>
      </c>
      <c r="BR363" s="1004" t="str">
        <f t="shared" si="9"/>
        <v/>
      </c>
      <c r="BS363" s="1005" t="str">
        <f t="shared" si="10"/>
        <v/>
      </c>
      <c r="BT363" s="1006" t="s">
        <v>123</v>
      </c>
      <c r="BU363" s="1002" t="s">
        <v>123</v>
      </c>
      <c r="BV363" s="1006" t="s">
        <v>123</v>
      </c>
      <c r="BW363" s="1007"/>
    </row>
    <row r="364">
      <c r="A364" s="624">
        <v>341.0</v>
      </c>
      <c r="B364" s="1008"/>
      <c r="C364" s="989"/>
      <c r="D364" s="851"/>
      <c r="E364" s="990"/>
      <c r="F364" s="991"/>
      <c r="G364" s="991"/>
      <c r="H364" s="992"/>
      <c r="I364" s="993"/>
      <c r="J364" s="993"/>
      <c r="K364" s="993"/>
      <c r="L364" s="993"/>
      <c r="M364" s="993"/>
      <c r="N364" s="993"/>
      <c r="O364" s="993"/>
      <c r="P364" s="993"/>
      <c r="Q364" s="993"/>
      <c r="R364" s="993"/>
      <c r="S364" s="936"/>
      <c r="T364" s="998"/>
      <c r="U364" s="935"/>
      <c r="V364" s="935"/>
      <c r="W364" s="949" t="str">
        <f>IF(AND($S$20,NOT($U$20)),IF($V364:$V623="","",SUMIF(portfolio.!$A$4:$A623,V364,portfolio.!$AN$4:$AN623)),"")</f>
        <v/>
      </c>
      <c r="X364" s="998"/>
      <c r="Y364" s="936"/>
      <c r="Z364" s="936" t="s">
        <v>123</v>
      </c>
      <c r="AA364" s="936" t="s">
        <v>123</v>
      </c>
      <c r="AB364" s="936" t="s">
        <v>123</v>
      </c>
      <c r="AC364" s="907" t="s">
        <v>123</v>
      </c>
      <c r="AD364" s="999"/>
      <c r="AE364" s="936"/>
      <c r="AF364" s="936"/>
      <c r="AG364" s="936"/>
      <c r="AH364" s="936"/>
      <c r="AI364" s="999"/>
      <c r="AJ364" s="935"/>
      <c r="AK364" s="966"/>
      <c r="AL364" s="949"/>
      <c r="AM364" s="949" t="s">
        <v>123</v>
      </c>
      <c r="AN364" s="949"/>
      <c r="AO364" s="999"/>
      <c r="AP364" s="936"/>
      <c r="AQ364" s="987"/>
      <c r="AR364" s="907"/>
      <c r="AS364" s="907"/>
      <c r="AT364" s="967" t="s">
        <v>123</v>
      </c>
      <c r="AU364" s="967" t="s">
        <v>123</v>
      </c>
      <c r="AV364" s="967" t="s">
        <v>123</v>
      </c>
      <c r="AW364" s="907" t="s">
        <v>123</v>
      </c>
      <c r="AX364" s="907" t="s">
        <v>123</v>
      </c>
      <c r="AY364" s="907" t="s">
        <v>123</v>
      </c>
      <c r="AZ364" s="936" t="s">
        <v>123</v>
      </c>
      <c r="BA364" s="935" t="s">
        <v>123</v>
      </c>
      <c r="BB364" s="1000"/>
      <c r="BC364" s="1001"/>
      <c r="BD364" s="936"/>
      <c r="BE364" s="907"/>
      <c r="BF364" s="1002" t="str">
        <f>IF($BC364="","",SUMIF(portfolio.!$A$4:$A623,BC364,portfolio.!$AN$4:$AN623))</f>
        <v/>
      </c>
      <c r="BG364" s="936" t="s">
        <v>123</v>
      </c>
      <c r="BH364" s="907" t="s">
        <v>123</v>
      </c>
      <c r="BI364" s="935" t="s">
        <v>123</v>
      </c>
      <c r="BJ364" s="1003"/>
      <c r="BK364" s="907" t="s">
        <v>123</v>
      </c>
      <c r="BL364" s="907" t="s">
        <v>123</v>
      </c>
      <c r="BM364" s="907" t="s">
        <v>123</v>
      </c>
      <c r="BN364" s="1004" t="s">
        <v>123</v>
      </c>
      <c r="BO364" s="907" t="str">
        <f t="shared" si="6"/>
        <v/>
      </c>
      <c r="BP364" s="907" t="str">
        <f t="shared" si="7"/>
        <v/>
      </c>
      <c r="BQ364" s="907" t="str">
        <f t="shared" si="8"/>
        <v/>
      </c>
      <c r="BR364" s="1004" t="str">
        <f t="shared" si="9"/>
        <v/>
      </c>
      <c r="BS364" s="1005" t="str">
        <f t="shared" si="10"/>
        <v/>
      </c>
      <c r="BT364" s="1006" t="s">
        <v>123</v>
      </c>
      <c r="BU364" s="1002" t="s">
        <v>123</v>
      </c>
      <c r="BV364" s="1006" t="s">
        <v>123</v>
      </c>
      <c r="BW364" s="1007"/>
    </row>
    <row r="365">
      <c r="A365" s="624">
        <v>342.0</v>
      </c>
      <c r="B365" s="1008"/>
      <c r="C365" s="989"/>
      <c r="D365" s="851"/>
      <c r="E365" s="990"/>
      <c r="F365" s="991"/>
      <c r="G365" s="991"/>
      <c r="H365" s="992"/>
      <c r="I365" s="993"/>
      <c r="J365" s="993"/>
      <c r="K365" s="993"/>
      <c r="L365" s="993"/>
      <c r="M365" s="993"/>
      <c r="N365" s="993"/>
      <c r="O365" s="993"/>
      <c r="P365" s="993"/>
      <c r="Q365" s="993"/>
      <c r="R365" s="993"/>
      <c r="S365" s="936"/>
      <c r="T365" s="998"/>
      <c r="U365" s="935"/>
      <c r="V365" s="935"/>
      <c r="W365" s="949" t="str">
        <f>IF(AND($S$20,NOT($U$20)),IF($V365:$V623="","",SUMIF(portfolio.!$A$4:$A623,V365,portfolio.!$AN$4:$AN623)),"")</f>
        <v/>
      </c>
      <c r="X365" s="998"/>
      <c r="Y365" s="936"/>
      <c r="Z365" s="936" t="s">
        <v>123</v>
      </c>
      <c r="AA365" s="936" t="s">
        <v>123</v>
      </c>
      <c r="AB365" s="936" t="s">
        <v>123</v>
      </c>
      <c r="AC365" s="907" t="s">
        <v>123</v>
      </c>
      <c r="AD365" s="999"/>
      <c r="AE365" s="936"/>
      <c r="AF365" s="936"/>
      <c r="AG365" s="936"/>
      <c r="AH365" s="936"/>
      <c r="AI365" s="999"/>
      <c r="AJ365" s="935"/>
      <c r="AK365" s="966"/>
      <c r="AL365" s="949"/>
      <c r="AM365" s="949" t="s">
        <v>123</v>
      </c>
      <c r="AN365" s="949"/>
      <c r="AO365" s="999"/>
      <c r="AP365" s="936"/>
      <c r="AQ365" s="987"/>
      <c r="AR365" s="907"/>
      <c r="AS365" s="907"/>
      <c r="AT365" s="967" t="s">
        <v>123</v>
      </c>
      <c r="AU365" s="967" t="s">
        <v>123</v>
      </c>
      <c r="AV365" s="967" t="s">
        <v>123</v>
      </c>
      <c r="AW365" s="907" t="s">
        <v>123</v>
      </c>
      <c r="AX365" s="907" t="s">
        <v>123</v>
      </c>
      <c r="AY365" s="907" t="s">
        <v>123</v>
      </c>
      <c r="AZ365" s="936" t="s">
        <v>123</v>
      </c>
      <c r="BA365" s="935" t="s">
        <v>123</v>
      </c>
      <c r="BB365" s="1000"/>
      <c r="BC365" s="1001"/>
      <c r="BD365" s="936"/>
      <c r="BE365" s="907"/>
      <c r="BF365" s="1002" t="str">
        <f>IF($BC365="","",SUMIF(portfolio.!$A$4:$A623,BC365,portfolio.!$AN$4:$AN623))</f>
        <v/>
      </c>
      <c r="BG365" s="936" t="s">
        <v>123</v>
      </c>
      <c r="BH365" s="907" t="s">
        <v>123</v>
      </c>
      <c r="BI365" s="935" t="s">
        <v>123</v>
      </c>
      <c r="BJ365" s="1003"/>
      <c r="BK365" s="907" t="s">
        <v>123</v>
      </c>
      <c r="BL365" s="907" t="s">
        <v>123</v>
      </c>
      <c r="BM365" s="907" t="s">
        <v>123</v>
      </c>
      <c r="BN365" s="1004" t="s">
        <v>123</v>
      </c>
      <c r="BO365" s="907" t="str">
        <f t="shared" si="6"/>
        <v/>
      </c>
      <c r="BP365" s="907" t="str">
        <f t="shared" si="7"/>
        <v/>
      </c>
      <c r="BQ365" s="907" t="str">
        <f t="shared" si="8"/>
        <v/>
      </c>
      <c r="BR365" s="1004" t="str">
        <f t="shared" si="9"/>
        <v/>
      </c>
      <c r="BS365" s="1005" t="str">
        <f t="shared" si="10"/>
        <v/>
      </c>
      <c r="BT365" s="1006" t="s">
        <v>123</v>
      </c>
      <c r="BU365" s="1002" t="s">
        <v>123</v>
      </c>
      <c r="BV365" s="1006" t="s">
        <v>123</v>
      </c>
      <c r="BW365" s="1007"/>
    </row>
    <row r="366">
      <c r="A366" s="624">
        <v>343.0</v>
      </c>
      <c r="B366" s="1008"/>
      <c r="C366" s="989"/>
      <c r="D366" s="851"/>
      <c r="E366" s="990"/>
      <c r="F366" s="991"/>
      <c r="G366" s="991"/>
      <c r="H366" s="992"/>
      <c r="I366" s="993"/>
      <c r="J366" s="993"/>
      <c r="K366" s="993"/>
      <c r="L366" s="993"/>
      <c r="M366" s="993"/>
      <c r="N366" s="993"/>
      <c r="O366" s="993"/>
      <c r="P366" s="993"/>
      <c r="Q366" s="993"/>
      <c r="R366" s="993"/>
      <c r="S366" s="936"/>
      <c r="T366" s="998"/>
      <c r="U366" s="935"/>
      <c r="V366" s="935"/>
      <c r="W366" s="949" t="str">
        <f>IF(AND($S$20,NOT($U$20)),IF($V366:$V623="","",SUMIF(portfolio.!$A$4:$A623,V366,portfolio.!$AN$4:$AN623)),"")</f>
        <v/>
      </c>
      <c r="X366" s="998"/>
      <c r="Y366" s="936"/>
      <c r="Z366" s="936" t="s">
        <v>123</v>
      </c>
      <c r="AA366" s="936" t="s">
        <v>123</v>
      </c>
      <c r="AB366" s="936" t="s">
        <v>123</v>
      </c>
      <c r="AC366" s="907" t="s">
        <v>123</v>
      </c>
      <c r="AD366" s="999"/>
      <c r="AE366" s="936"/>
      <c r="AF366" s="936"/>
      <c r="AG366" s="936"/>
      <c r="AH366" s="936"/>
      <c r="AI366" s="999"/>
      <c r="AJ366" s="935"/>
      <c r="AK366" s="966"/>
      <c r="AL366" s="949"/>
      <c r="AM366" s="949" t="s">
        <v>123</v>
      </c>
      <c r="AN366" s="949"/>
      <c r="AO366" s="999"/>
      <c r="AP366" s="936"/>
      <c r="AQ366" s="987"/>
      <c r="AR366" s="907"/>
      <c r="AS366" s="907"/>
      <c r="AT366" s="967" t="s">
        <v>123</v>
      </c>
      <c r="AU366" s="967" t="s">
        <v>123</v>
      </c>
      <c r="AV366" s="967" t="s">
        <v>123</v>
      </c>
      <c r="AW366" s="907" t="s">
        <v>123</v>
      </c>
      <c r="AX366" s="907" t="s">
        <v>123</v>
      </c>
      <c r="AY366" s="907" t="s">
        <v>123</v>
      </c>
      <c r="AZ366" s="936" t="s">
        <v>123</v>
      </c>
      <c r="BA366" s="935" t="s">
        <v>123</v>
      </c>
      <c r="BB366" s="1000"/>
      <c r="BC366" s="1001"/>
      <c r="BD366" s="936"/>
      <c r="BE366" s="907"/>
      <c r="BF366" s="1002" t="str">
        <f>IF($BC366="","",SUMIF(portfolio.!$A$4:$A623,BC366,portfolio.!$AN$4:$AN623))</f>
        <v/>
      </c>
      <c r="BG366" s="936" t="s">
        <v>123</v>
      </c>
      <c r="BH366" s="907" t="s">
        <v>123</v>
      </c>
      <c r="BI366" s="935" t="s">
        <v>123</v>
      </c>
      <c r="BJ366" s="1003"/>
      <c r="BK366" s="907" t="s">
        <v>123</v>
      </c>
      <c r="BL366" s="907" t="s">
        <v>123</v>
      </c>
      <c r="BM366" s="907" t="s">
        <v>123</v>
      </c>
      <c r="BN366" s="1004" t="s">
        <v>123</v>
      </c>
      <c r="BO366" s="907" t="str">
        <f t="shared" si="6"/>
        <v/>
      </c>
      <c r="BP366" s="907" t="str">
        <f t="shared" si="7"/>
        <v/>
      </c>
      <c r="BQ366" s="907" t="str">
        <f t="shared" si="8"/>
        <v/>
      </c>
      <c r="BR366" s="1004" t="str">
        <f t="shared" si="9"/>
        <v/>
      </c>
      <c r="BS366" s="1005" t="str">
        <f t="shared" si="10"/>
        <v/>
      </c>
      <c r="BT366" s="1006" t="s">
        <v>123</v>
      </c>
      <c r="BU366" s="1002" t="s">
        <v>123</v>
      </c>
      <c r="BV366" s="1006" t="s">
        <v>123</v>
      </c>
      <c r="BW366" s="1007"/>
    </row>
    <row r="367">
      <c r="A367" s="624">
        <v>344.0</v>
      </c>
      <c r="B367" s="1008"/>
      <c r="C367" s="989"/>
      <c r="D367" s="851"/>
      <c r="E367" s="990"/>
      <c r="F367" s="991"/>
      <c r="G367" s="991"/>
      <c r="H367" s="992"/>
      <c r="I367" s="993"/>
      <c r="J367" s="993"/>
      <c r="K367" s="993"/>
      <c r="L367" s="993"/>
      <c r="M367" s="993"/>
      <c r="N367" s="993"/>
      <c r="O367" s="993"/>
      <c r="P367" s="993"/>
      <c r="Q367" s="993"/>
      <c r="R367" s="993"/>
      <c r="S367" s="936"/>
      <c r="T367" s="998"/>
      <c r="U367" s="935"/>
      <c r="V367" s="935"/>
      <c r="W367" s="949" t="str">
        <f>IF(AND($S$20,NOT($U$20)),IF($V367:$V623="","",SUMIF(portfolio.!$A$4:$A623,V367,portfolio.!$AN$4:$AN623)),"")</f>
        <v/>
      </c>
      <c r="X367" s="998"/>
      <c r="Y367" s="936"/>
      <c r="Z367" s="936" t="s">
        <v>123</v>
      </c>
      <c r="AA367" s="936" t="s">
        <v>123</v>
      </c>
      <c r="AB367" s="936" t="s">
        <v>123</v>
      </c>
      <c r="AC367" s="907" t="s">
        <v>123</v>
      </c>
      <c r="AD367" s="999"/>
      <c r="AE367" s="936"/>
      <c r="AF367" s="936"/>
      <c r="AG367" s="936"/>
      <c r="AH367" s="936"/>
      <c r="AI367" s="999"/>
      <c r="AJ367" s="935"/>
      <c r="AK367" s="966"/>
      <c r="AL367" s="949"/>
      <c r="AM367" s="949" t="s">
        <v>123</v>
      </c>
      <c r="AN367" s="949"/>
      <c r="AO367" s="999"/>
      <c r="AP367" s="936"/>
      <c r="AQ367" s="987"/>
      <c r="AR367" s="907"/>
      <c r="AS367" s="907"/>
      <c r="AT367" s="967" t="s">
        <v>123</v>
      </c>
      <c r="AU367" s="967" t="s">
        <v>123</v>
      </c>
      <c r="AV367" s="967" t="s">
        <v>123</v>
      </c>
      <c r="AW367" s="907" t="s">
        <v>123</v>
      </c>
      <c r="AX367" s="907" t="s">
        <v>123</v>
      </c>
      <c r="AY367" s="907" t="s">
        <v>123</v>
      </c>
      <c r="AZ367" s="936" t="s">
        <v>123</v>
      </c>
      <c r="BA367" s="935" t="s">
        <v>123</v>
      </c>
      <c r="BB367" s="1000"/>
      <c r="BC367" s="1001"/>
      <c r="BD367" s="936"/>
      <c r="BE367" s="907"/>
      <c r="BF367" s="1002" t="str">
        <f>IF($BC367="","",SUMIF(portfolio.!$A$4:$A623,BC367,portfolio.!$AN$4:$AN623))</f>
        <v/>
      </c>
      <c r="BG367" s="936" t="s">
        <v>123</v>
      </c>
      <c r="BH367" s="907" t="s">
        <v>123</v>
      </c>
      <c r="BI367" s="935" t="s">
        <v>123</v>
      </c>
      <c r="BJ367" s="1003"/>
      <c r="BK367" s="907" t="s">
        <v>123</v>
      </c>
      <c r="BL367" s="907" t="s">
        <v>123</v>
      </c>
      <c r="BM367" s="907" t="s">
        <v>123</v>
      </c>
      <c r="BN367" s="1004" t="s">
        <v>123</v>
      </c>
      <c r="BO367" s="907" t="str">
        <f t="shared" si="6"/>
        <v/>
      </c>
      <c r="BP367" s="907" t="str">
        <f t="shared" si="7"/>
        <v/>
      </c>
      <c r="BQ367" s="907" t="str">
        <f t="shared" si="8"/>
        <v/>
      </c>
      <c r="BR367" s="1004" t="str">
        <f t="shared" si="9"/>
        <v/>
      </c>
      <c r="BS367" s="1005" t="str">
        <f t="shared" si="10"/>
        <v/>
      </c>
      <c r="BT367" s="1006" t="s">
        <v>123</v>
      </c>
      <c r="BU367" s="1002" t="s">
        <v>123</v>
      </c>
      <c r="BV367" s="1006" t="s">
        <v>123</v>
      </c>
      <c r="BW367" s="1007"/>
    </row>
    <row r="368">
      <c r="A368" s="624">
        <v>345.0</v>
      </c>
      <c r="B368" s="1008"/>
      <c r="C368" s="989"/>
      <c r="D368" s="851"/>
      <c r="E368" s="990"/>
      <c r="F368" s="991"/>
      <c r="G368" s="991"/>
      <c r="H368" s="992"/>
      <c r="I368" s="993"/>
      <c r="J368" s="993"/>
      <c r="K368" s="993"/>
      <c r="L368" s="993"/>
      <c r="M368" s="993"/>
      <c r="N368" s="993"/>
      <c r="O368" s="993"/>
      <c r="P368" s="993"/>
      <c r="Q368" s="993"/>
      <c r="R368" s="993"/>
      <c r="S368" s="936"/>
      <c r="T368" s="998"/>
      <c r="U368" s="935"/>
      <c r="V368" s="935"/>
      <c r="W368" s="949" t="str">
        <f>IF(AND($S$20,NOT($U$20)),IF($V368:$V623="","",SUMIF(portfolio.!$A$4:$A623,V368,portfolio.!$AN$4:$AN623)),"")</f>
        <v/>
      </c>
      <c r="X368" s="998"/>
      <c r="Y368" s="936"/>
      <c r="Z368" s="936" t="s">
        <v>123</v>
      </c>
      <c r="AA368" s="936" t="s">
        <v>123</v>
      </c>
      <c r="AB368" s="936" t="s">
        <v>123</v>
      </c>
      <c r="AC368" s="907" t="s">
        <v>123</v>
      </c>
      <c r="AD368" s="999"/>
      <c r="AE368" s="936"/>
      <c r="AF368" s="936"/>
      <c r="AG368" s="936"/>
      <c r="AH368" s="936"/>
      <c r="AI368" s="999"/>
      <c r="AJ368" s="935"/>
      <c r="AK368" s="966"/>
      <c r="AL368" s="949"/>
      <c r="AM368" s="949" t="s">
        <v>123</v>
      </c>
      <c r="AN368" s="949"/>
      <c r="AO368" s="999"/>
      <c r="AP368" s="936"/>
      <c r="AQ368" s="987"/>
      <c r="AR368" s="907"/>
      <c r="AS368" s="907"/>
      <c r="AT368" s="967" t="s">
        <v>123</v>
      </c>
      <c r="AU368" s="967" t="s">
        <v>123</v>
      </c>
      <c r="AV368" s="967" t="s">
        <v>123</v>
      </c>
      <c r="AW368" s="907" t="s">
        <v>123</v>
      </c>
      <c r="AX368" s="907" t="s">
        <v>123</v>
      </c>
      <c r="AY368" s="907" t="s">
        <v>123</v>
      </c>
      <c r="AZ368" s="936" t="s">
        <v>123</v>
      </c>
      <c r="BA368" s="935" t="s">
        <v>123</v>
      </c>
      <c r="BB368" s="1000"/>
      <c r="BC368" s="1001"/>
      <c r="BD368" s="936"/>
      <c r="BE368" s="907"/>
      <c r="BF368" s="1002" t="str">
        <f>IF($BC368="","",SUMIF(portfolio.!$A$4:$A623,BC368,portfolio.!$AN$4:$AN623))</f>
        <v/>
      </c>
      <c r="BG368" s="936" t="s">
        <v>123</v>
      </c>
      <c r="BH368" s="907" t="s">
        <v>123</v>
      </c>
      <c r="BI368" s="935" t="s">
        <v>123</v>
      </c>
      <c r="BJ368" s="1003"/>
      <c r="BK368" s="907" t="s">
        <v>123</v>
      </c>
      <c r="BL368" s="907" t="s">
        <v>123</v>
      </c>
      <c r="BM368" s="907" t="s">
        <v>123</v>
      </c>
      <c r="BN368" s="1004" t="s">
        <v>123</v>
      </c>
      <c r="BO368" s="907" t="str">
        <f t="shared" si="6"/>
        <v/>
      </c>
      <c r="BP368" s="907" t="str">
        <f t="shared" si="7"/>
        <v/>
      </c>
      <c r="BQ368" s="907" t="str">
        <f t="shared" si="8"/>
        <v/>
      </c>
      <c r="BR368" s="1004" t="str">
        <f t="shared" si="9"/>
        <v/>
      </c>
      <c r="BS368" s="1005" t="str">
        <f t="shared" si="10"/>
        <v/>
      </c>
      <c r="BT368" s="1006" t="s">
        <v>123</v>
      </c>
      <c r="BU368" s="1002" t="s">
        <v>123</v>
      </c>
      <c r="BV368" s="1006" t="s">
        <v>123</v>
      </c>
      <c r="BW368" s="1007"/>
    </row>
    <row r="369">
      <c r="A369" s="624">
        <v>346.0</v>
      </c>
      <c r="B369" s="1008"/>
      <c r="C369" s="989"/>
      <c r="D369" s="851"/>
      <c r="E369" s="990"/>
      <c r="F369" s="991"/>
      <c r="G369" s="991"/>
      <c r="H369" s="992"/>
      <c r="I369" s="993"/>
      <c r="J369" s="993"/>
      <c r="K369" s="993"/>
      <c r="L369" s="993"/>
      <c r="M369" s="993"/>
      <c r="N369" s="993"/>
      <c r="O369" s="993"/>
      <c r="P369" s="993"/>
      <c r="Q369" s="993"/>
      <c r="R369" s="993"/>
      <c r="S369" s="936"/>
      <c r="T369" s="998"/>
      <c r="U369" s="935"/>
      <c r="V369" s="935"/>
      <c r="W369" s="949" t="str">
        <f>IF(AND($S$20,NOT($U$20)),IF($V369:$V623="","",SUMIF(portfolio.!$A$4:$A623,V369,portfolio.!$AN$4:$AN623)),"")</f>
        <v/>
      </c>
      <c r="X369" s="998"/>
      <c r="Y369" s="936"/>
      <c r="Z369" s="936" t="s">
        <v>123</v>
      </c>
      <c r="AA369" s="936" t="s">
        <v>123</v>
      </c>
      <c r="AB369" s="936" t="s">
        <v>123</v>
      </c>
      <c r="AC369" s="907" t="s">
        <v>123</v>
      </c>
      <c r="AD369" s="999"/>
      <c r="AE369" s="936"/>
      <c r="AF369" s="936"/>
      <c r="AG369" s="936"/>
      <c r="AH369" s="936"/>
      <c r="AI369" s="999"/>
      <c r="AJ369" s="935"/>
      <c r="AK369" s="966"/>
      <c r="AL369" s="949"/>
      <c r="AM369" s="949" t="s">
        <v>123</v>
      </c>
      <c r="AN369" s="949"/>
      <c r="AO369" s="999"/>
      <c r="AP369" s="936"/>
      <c r="AQ369" s="987"/>
      <c r="AR369" s="907"/>
      <c r="AS369" s="907"/>
      <c r="AT369" s="967" t="s">
        <v>123</v>
      </c>
      <c r="AU369" s="967" t="s">
        <v>123</v>
      </c>
      <c r="AV369" s="967" t="s">
        <v>123</v>
      </c>
      <c r="AW369" s="907" t="s">
        <v>123</v>
      </c>
      <c r="AX369" s="907" t="s">
        <v>123</v>
      </c>
      <c r="AY369" s="907" t="s">
        <v>123</v>
      </c>
      <c r="AZ369" s="936" t="s">
        <v>123</v>
      </c>
      <c r="BA369" s="935" t="s">
        <v>123</v>
      </c>
      <c r="BB369" s="1000"/>
      <c r="BC369" s="1001"/>
      <c r="BD369" s="936"/>
      <c r="BE369" s="907"/>
      <c r="BF369" s="1002" t="str">
        <f>IF($BC369="","",SUMIF(portfolio.!$A$4:$A623,BC369,portfolio.!$AN$4:$AN623))</f>
        <v/>
      </c>
      <c r="BG369" s="936" t="s">
        <v>123</v>
      </c>
      <c r="BH369" s="907" t="s">
        <v>123</v>
      </c>
      <c r="BI369" s="935" t="s">
        <v>123</v>
      </c>
      <c r="BJ369" s="1003"/>
      <c r="BK369" s="907" t="s">
        <v>123</v>
      </c>
      <c r="BL369" s="907" t="s">
        <v>123</v>
      </c>
      <c r="BM369" s="907" t="s">
        <v>123</v>
      </c>
      <c r="BN369" s="1004" t="s">
        <v>123</v>
      </c>
      <c r="BO369" s="907" t="str">
        <f t="shared" si="6"/>
        <v/>
      </c>
      <c r="BP369" s="907" t="str">
        <f t="shared" si="7"/>
        <v/>
      </c>
      <c r="BQ369" s="907" t="str">
        <f t="shared" si="8"/>
        <v/>
      </c>
      <c r="BR369" s="1004" t="str">
        <f t="shared" si="9"/>
        <v/>
      </c>
      <c r="BS369" s="1005" t="str">
        <f t="shared" si="10"/>
        <v/>
      </c>
      <c r="BT369" s="1006" t="s">
        <v>123</v>
      </c>
      <c r="BU369" s="1002" t="s">
        <v>123</v>
      </c>
      <c r="BV369" s="1006" t="s">
        <v>123</v>
      </c>
      <c r="BW369" s="1007"/>
    </row>
    <row r="370">
      <c r="A370" s="624">
        <v>347.0</v>
      </c>
      <c r="B370" s="1008"/>
      <c r="C370" s="989"/>
      <c r="D370" s="851"/>
      <c r="E370" s="990"/>
      <c r="F370" s="991"/>
      <c r="G370" s="991"/>
      <c r="H370" s="992"/>
      <c r="I370" s="993"/>
      <c r="J370" s="993"/>
      <c r="K370" s="993"/>
      <c r="L370" s="993"/>
      <c r="M370" s="993"/>
      <c r="N370" s="993"/>
      <c r="O370" s="993"/>
      <c r="P370" s="993"/>
      <c r="Q370" s="993"/>
      <c r="R370" s="993"/>
      <c r="S370" s="936"/>
      <c r="T370" s="998"/>
      <c r="U370" s="935"/>
      <c r="V370" s="935"/>
      <c r="W370" s="949" t="str">
        <f>IF(AND($S$20,NOT($U$20)),IF($V370:$V623="","",SUMIF(portfolio.!$A$4:$A623,V370,portfolio.!$AN$4:$AN623)),"")</f>
        <v/>
      </c>
      <c r="X370" s="998"/>
      <c r="Y370" s="936"/>
      <c r="Z370" s="936" t="s">
        <v>123</v>
      </c>
      <c r="AA370" s="936" t="s">
        <v>123</v>
      </c>
      <c r="AB370" s="936" t="s">
        <v>123</v>
      </c>
      <c r="AC370" s="907" t="s">
        <v>123</v>
      </c>
      <c r="AD370" s="999"/>
      <c r="AE370" s="936"/>
      <c r="AF370" s="936"/>
      <c r="AG370" s="936"/>
      <c r="AH370" s="936"/>
      <c r="AI370" s="999"/>
      <c r="AJ370" s="935"/>
      <c r="AK370" s="966"/>
      <c r="AL370" s="949"/>
      <c r="AM370" s="949" t="s">
        <v>123</v>
      </c>
      <c r="AN370" s="949"/>
      <c r="AO370" s="999"/>
      <c r="AP370" s="936"/>
      <c r="AQ370" s="987"/>
      <c r="AR370" s="907"/>
      <c r="AS370" s="907"/>
      <c r="AT370" s="967" t="s">
        <v>123</v>
      </c>
      <c r="AU370" s="967" t="s">
        <v>123</v>
      </c>
      <c r="AV370" s="967" t="s">
        <v>123</v>
      </c>
      <c r="AW370" s="907" t="s">
        <v>123</v>
      </c>
      <c r="AX370" s="907" t="s">
        <v>123</v>
      </c>
      <c r="AY370" s="907" t="s">
        <v>123</v>
      </c>
      <c r="AZ370" s="936" t="s">
        <v>123</v>
      </c>
      <c r="BA370" s="935" t="s">
        <v>123</v>
      </c>
      <c r="BB370" s="1000"/>
      <c r="BC370" s="1001"/>
      <c r="BD370" s="936"/>
      <c r="BE370" s="907"/>
      <c r="BF370" s="1002" t="str">
        <f>IF($BC370="","",SUMIF(portfolio.!$A$4:$A623,BC370,portfolio.!$AN$4:$AN623))</f>
        <v/>
      </c>
      <c r="BG370" s="936" t="s">
        <v>123</v>
      </c>
      <c r="BH370" s="907" t="s">
        <v>123</v>
      </c>
      <c r="BI370" s="935" t="s">
        <v>123</v>
      </c>
      <c r="BJ370" s="1003"/>
      <c r="BK370" s="907" t="s">
        <v>123</v>
      </c>
      <c r="BL370" s="907" t="s">
        <v>123</v>
      </c>
      <c r="BM370" s="907" t="s">
        <v>123</v>
      </c>
      <c r="BN370" s="1004" t="s">
        <v>123</v>
      </c>
      <c r="BO370" s="907" t="str">
        <f t="shared" si="6"/>
        <v/>
      </c>
      <c r="BP370" s="907" t="str">
        <f t="shared" si="7"/>
        <v/>
      </c>
      <c r="BQ370" s="907" t="str">
        <f t="shared" si="8"/>
        <v/>
      </c>
      <c r="BR370" s="1004" t="str">
        <f t="shared" si="9"/>
        <v/>
      </c>
      <c r="BS370" s="1005" t="str">
        <f t="shared" si="10"/>
        <v/>
      </c>
      <c r="BT370" s="1006" t="s">
        <v>123</v>
      </c>
      <c r="BU370" s="1002" t="s">
        <v>123</v>
      </c>
      <c r="BV370" s="1006" t="s">
        <v>123</v>
      </c>
      <c r="BW370" s="1007"/>
    </row>
    <row r="371">
      <c r="A371" s="624">
        <v>348.0</v>
      </c>
      <c r="B371" s="1008"/>
      <c r="C371" s="989"/>
      <c r="D371" s="851"/>
      <c r="E371" s="990"/>
      <c r="F371" s="991"/>
      <c r="G371" s="991"/>
      <c r="H371" s="992"/>
      <c r="I371" s="993"/>
      <c r="J371" s="993"/>
      <c r="K371" s="993"/>
      <c r="L371" s="993"/>
      <c r="M371" s="993"/>
      <c r="N371" s="993"/>
      <c r="O371" s="993"/>
      <c r="P371" s="993"/>
      <c r="Q371" s="993"/>
      <c r="R371" s="993"/>
      <c r="S371" s="936"/>
      <c r="T371" s="998"/>
      <c r="U371" s="935"/>
      <c r="V371" s="935"/>
      <c r="W371" s="949" t="str">
        <f>IF(AND($S$20,NOT($U$20)),IF($V371:$V623="","",SUMIF(portfolio.!$A$4:$A623,V371,portfolio.!$AN$4:$AN623)),"")</f>
        <v/>
      </c>
      <c r="X371" s="998"/>
      <c r="Y371" s="936"/>
      <c r="Z371" s="936" t="s">
        <v>123</v>
      </c>
      <c r="AA371" s="936" t="s">
        <v>123</v>
      </c>
      <c r="AB371" s="936" t="s">
        <v>123</v>
      </c>
      <c r="AC371" s="907" t="s">
        <v>123</v>
      </c>
      <c r="AD371" s="999"/>
      <c r="AE371" s="936"/>
      <c r="AF371" s="936"/>
      <c r="AG371" s="936"/>
      <c r="AH371" s="936"/>
      <c r="AI371" s="999"/>
      <c r="AJ371" s="935"/>
      <c r="AK371" s="966"/>
      <c r="AL371" s="949"/>
      <c r="AM371" s="949" t="s">
        <v>123</v>
      </c>
      <c r="AN371" s="949"/>
      <c r="AO371" s="999"/>
      <c r="AP371" s="936"/>
      <c r="AQ371" s="987"/>
      <c r="AR371" s="907"/>
      <c r="AS371" s="907"/>
      <c r="AT371" s="967" t="s">
        <v>123</v>
      </c>
      <c r="AU371" s="967" t="s">
        <v>123</v>
      </c>
      <c r="AV371" s="967" t="s">
        <v>123</v>
      </c>
      <c r="AW371" s="907" t="s">
        <v>123</v>
      </c>
      <c r="AX371" s="907" t="s">
        <v>123</v>
      </c>
      <c r="AY371" s="907" t="s">
        <v>123</v>
      </c>
      <c r="AZ371" s="936" t="s">
        <v>123</v>
      </c>
      <c r="BA371" s="935" t="s">
        <v>123</v>
      </c>
      <c r="BB371" s="1000"/>
      <c r="BC371" s="1001"/>
      <c r="BD371" s="936"/>
      <c r="BE371" s="907"/>
      <c r="BF371" s="1002" t="str">
        <f>IF($BC371="","",SUMIF(portfolio.!$A$4:$A623,BC371,portfolio.!$AN$4:$AN623))</f>
        <v/>
      </c>
      <c r="BG371" s="936" t="s">
        <v>123</v>
      </c>
      <c r="BH371" s="907" t="s">
        <v>123</v>
      </c>
      <c r="BI371" s="935" t="s">
        <v>123</v>
      </c>
      <c r="BJ371" s="1003"/>
      <c r="BK371" s="907" t="s">
        <v>123</v>
      </c>
      <c r="BL371" s="907" t="s">
        <v>123</v>
      </c>
      <c r="BM371" s="907" t="s">
        <v>123</v>
      </c>
      <c r="BN371" s="1004" t="s">
        <v>123</v>
      </c>
      <c r="BO371" s="907" t="str">
        <f t="shared" si="6"/>
        <v/>
      </c>
      <c r="BP371" s="907" t="str">
        <f t="shared" si="7"/>
        <v/>
      </c>
      <c r="BQ371" s="907" t="str">
        <f t="shared" si="8"/>
        <v/>
      </c>
      <c r="BR371" s="1004" t="str">
        <f t="shared" si="9"/>
        <v/>
      </c>
      <c r="BS371" s="1005" t="str">
        <f t="shared" si="10"/>
        <v/>
      </c>
      <c r="BT371" s="1006" t="s">
        <v>123</v>
      </c>
      <c r="BU371" s="1002" t="s">
        <v>123</v>
      </c>
      <c r="BV371" s="1006" t="s">
        <v>123</v>
      </c>
      <c r="BW371" s="1007"/>
    </row>
    <row r="372">
      <c r="A372" s="624">
        <v>349.0</v>
      </c>
      <c r="B372" s="1008"/>
      <c r="C372" s="989"/>
      <c r="D372" s="851"/>
      <c r="E372" s="990"/>
      <c r="F372" s="991"/>
      <c r="G372" s="991"/>
      <c r="H372" s="992"/>
      <c r="I372" s="993"/>
      <c r="J372" s="993"/>
      <c r="K372" s="993"/>
      <c r="L372" s="993"/>
      <c r="M372" s="993"/>
      <c r="N372" s="993"/>
      <c r="O372" s="993"/>
      <c r="P372" s="993"/>
      <c r="Q372" s="993"/>
      <c r="R372" s="993"/>
      <c r="S372" s="936"/>
      <c r="T372" s="998"/>
      <c r="U372" s="935"/>
      <c r="V372" s="935"/>
      <c r="W372" s="949" t="str">
        <f>IF(AND($S$20,NOT($U$20)),IF($V372:$V623="","",SUMIF(portfolio.!$A$4:$A623,V372,portfolio.!$AN$4:$AN623)),"")</f>
        <v/>
      </c>
      <c r="X372" s="998"/>
      <c r="Y372" s="936"/>
      <c r="Z372" s="936" t="s">
        <v>123</v>
      </c>
      <c r="AA372" s="936" t="s">
        <v>123</v>
      </c>
      <c r="AB372" s="936" t="s">
        <v>123</v>
      </c>
      <c r="AC372" s="907" t="s">
        <v>123</v>
      </c>
      <c r="AD372" s="999"/>
      <c r="AE372" s="936"/>
      <c r="AF372" s="936"/>
      <c r="AG372" s="936"/>
      <c r="AH372" s="936"/>
      <c r="AI372" s="999"/>
      <c r="AJ372" s="935"/>
      <c r="AK372" s="966"/>
      <c r="AL372" s="949"/>
      <c r="AM372" s="949" t="s">
        <v>123</v>
      </c>
      <c r="AN372" s="949"/>
      <c r="AO372" s="999"/>
      <c r="AP372" s="936"/>
      <c r="AQ372" s="987"/>
      <c r="AR372" s="907"/>
      <c r="AS372" s="907"/>
      <c r="AT372" s="967" t="s">
        <v>123</v>
      </c>
      <c r="AU372" s="967" t="s">
        <v>123</v>
      </c>
      <c r="AV372" s="967" t="s">
        <v>123</v>
      </c>
      <c r="AW372" s="907" t="s">
        <v>123</v>
      </c>
      <c r="AX372" s="907" t="s">
        <v>123</v>
      </c>
      <c r="AY372" s="907" t="s">
        <v>123</v>
      </c>
      <c r="AZ372" s="936" t="s">
        <v>123</v>
      </c>
      <c r="BA372" s="935" t="s">
        <v>123</v>
      </c>
      <c r="BB372" s="1000"/>
      <c r="BC372" s="1001"/>
      <c r="BD372" s="936"/>
      <c r="BE372" s="907"/>
      <c r="BF372" s="1002" t="str">
        <f>IF($BC372="","",SUMIF(portfolio.!$A$4:$A623,BC372,portfolio.!$AN$4:$AN623))</f>
        <v/>
      </c>
      <c r="BG372" s="936" t="s">
        <v>123</v>
      </c>
      <c r="BH372" s="907" t="s">
        <v>123</v>
      </c>
      <c r="BI372" s="935" t="s">
        <v>123</v>
      </c>
      <c r="BJ372" s="1003"/>
      <c r="BK372" s="907" t="s">
        <v>123</v>
      </c>
      <c r="BL372" s="907" t="s">
        <v>123</v>
      </c>
      <c r="BM372" s="907" t="s">
        <v>123</v>
      </c>
      <c r="BN372" s="1004" t="s">
        <v>123</v>
      </c>
      <c r="BO372" s="907" t="str">
        <f t="shared" si="6"/>
        <v/>
      </c>
      <c r="BP372" s="907" t="str">
        <f t="shared" si="7"/>
        <v/>
      </c>
      <c r="BQ372" s="907" t="str">
        <f t="shared" si="8"/>
        <v/>
      </c>
      <c r="BR372" s="1004" t="str">
        <f t="shared" si="9"/>
        <v/>
      </c>
      <c r="BS372" s="1005" t="str">
        <f t="shared" si="10"/>
        <v/>
      </c>
      <c r="BT372" s="1006" t="s">
        <v>123</v>
      </c>
      <c r="BU372" s="1002" t="s">
        <v>123</v>
      </c>
      <c r="BV372" s="1006" t="s">
        <v>123</v>
      </c>
      <c r="BW372" s="1007"/>
    </row>
    <row r="373">
      <c r="A373" s="624">
        <v>350.0</v>
      </c>
      <c r="B373" s="1008"/>
      <c r="C373" s="989"/>
      <c r="D373" s="851"/>
      <c r="E373" s="990"/>
      <c r="F373" s="991"/>
      <c r="G373" s="991"/>
      <c r="H373" s="992"/>
      <c r="I373" s="993"/>
      <c r="J373" s="993"/>
      <c r="K373" s="993"/>
      <c r="L373" s="993"/>
      <c r="M373" s="993"/>
      <c r="N373" s="993"/>
      <c r="O373" s="993"/>
      <c r="P373" s="993"/>
      <c r="Q373" s="993"/>
      <c r="R373" s="993"/>
      <c r="S373" s="936"/>
      <c r="T373" s="998"/>
      <c r="U373" s="935"/>
      <c r="V373" s="935"/>
      <c r="W373" s="949" t="str">
        <f>IF(AND($S$20,NOT($U$20)),IF($V373:$V623="","",SUMIF(portfolio.!$A$4:$A623,V373,portfolio.!$AN$4:$AN623)),"")</f>
        <v/>
      </c>
      <c r="X373" s="998"/>
      <c r="Y373" s="936"/>
      <c r="Z373" s="936" t="s">
        <v>123</v>
      </c>
      <c r="AA373" s="936" t="s">
        <v>123</v>
      </c>
      <c r="AB373" s="936" t="s">
        <v>123</v>
      </c>
      <c r="AC373" s="907" t="s">
        <v>123</v>
      </c>
      <c r="AD373" s="999"/>
      <c r="AE373" s="936"/>
      <c r="AF373" s="936"/>
      <c r="AG373" s="936"/>
      <c r="AH373" s="936"/>
      <c r="AI373" s="999"/>
      <c r="AJ373" s="935"/>
      <c r="AK373" s="966"/>
      <c r="AL373" s="949"/>
      <c r="AM373" s="949" t="s">
        <v>123</v>
      </c>
      <c r="AN373" s="949"/>
      <c r="AO373" s="999"/>
      <c r="AP373" s="936"/>
      <c r="AQ373" s="987"/>
      <c r="AR373" s="907"/>
      <c r="AS373" s="907"/>
      <c r="AT373" s="967" t="s">
        <v>123</v>
      </c>
      <c r="AU373" s="967" t="s">
        <v>123</v>
      </c>
      <c r="AV373" s="967" t="s">
        <v>123</v>
      </c>
      <c r="AW373" s="907" t="s">
        <v>123</v>
      </c>
      <c r="AX373" s="907" t="s">
        <v>123</v>
      </c>
      <c r="AY373" s="907" t="s">
        <v>123</v>
      </c>
      <c r="AZ373" s="936" t="s">
        <v>123</v>
      </c>
      <c r="BA373" s="935" t="s">
        <v>123</v>
      </c>
      <c r="BB373" s="1000"/>
      <c r="BC373" s="1001"/>
      <c r="BD373" s="936"/>
      <c r="BE373" s="907"/>
      <c r="BF373" s="1002" t="str">
        <f>IF($BC373="","",SUMIF(portfolio.!$A$4:$A623,BC373,portfolio.!$AN$4:$AN623))</f>
        <v/>
      </c>
      <c r="BG373" s="936" t="s">
        <v>123</v>
      </c>
      <c r="BH373" s="907" t="s">
        <v>123</v>
      </c>
      <c r="BI373" s="935" t="s">
        <v>123</v>
      </c>
      <c r="BJ373" s="1003"/>
      <c r="BK373" s="907" t="s">
        <v>123</v>
      </c>
      <c r="BL373" s="907" t="s">
        <v>123</v>
      </c>
      <c r="BM373" s="907" t="s">
        <v>123</v>
      </c>
      <c r="BN373" s="1004" t="s">
        <v>123</v>
      </c>
      <c r="BO373" s="907" t="str">
        <f t="shared" si="6"/>
        <v/>
      </c>
      <c r="BP373" s="907" t="str">
        <f t="shared" si="7"/>
        <v/>
      </c>
      <c r="BQ373" s="907" t="str">
        <f t="shared" si="8"/>
        <v/>
      </c>
      <c r="BR373" s="1004" t="str">
        <f t="shared" si="9"/>
        <v/>
      </c>
      <c r="BS373" s="1005" t="str">
        <f t="shared" si="10"/>
        <v/>
      </c>
      <c r="BT373" s="1006" t="s">
        <v>123</v>
      </c>
      <c r="BU373" s="1002" t="s">
        <v>123</v>
      </c>
      <c r="BV373" s="1006" t="s">
        <v>123</v>
      </c>
      <c r="BW373" s="1007"/>
    </row>
    <row r="374">
      <c r="A374" s="624">
        <v>351.0</v>
      </c>
      <c r="B374" s="1008"/>
      <c r="C374" s="989"/>
      <c r="D374" s="851"/>
      <c r="E374" s="990"/>
      <c r="F374" s="991"/>
      <c r="G374" s="991"/>
      <c r="H374" s="992"/>
      <c r="I374" s="993"/>
      <c r="J374" s="993"/>
      <c r="K374" s="993"/>
      <c r="L374" s="993"/>
      <c r="M374" s="993"/>
      <c r="N374" s="993"/>
      <c r="O374" s="993"/>
      <c r="P374" s="993"/>
      <c r="Q374" s="993"/>
      <c r="R374" s="993"/>
      <c r="S374" s="936"/>
      <c r="T374" s="998"/>
      <c r="U374" s="935"/>
      <c r="V374" s="935"/>
      <c r="W374" s="949" t="str">
        <f>IF(AND($S$20,NOT($U$20)),IF($V374:$V623="","",SUMIF(portfolio.!$A$4:$A623,V374,portfolio.!$AN$4:$AN623)),"")</f>
        <v/>
      </c>
      <c r="X374" s="998"/>
      <c r="Y374" s="936"/>
      <c r="Z374" s="936" t="s">
        <v>123</v>
      </c>
      <c r="AA374" s="936" t="s">
        <v>123</v>
      </c>
      <c r="AB374" s="936" t="s">
        <v>123</v>
      </c>
      <c r="AC374" s="907" t="s">
        <v>123</v>
      </c>
      <c r="AD374" s="999"/>
      <c r="AE374" s="936"/>
      <c r="AF374" s="936"/>
      <c r="AG374" s="936"/>
      <c r="AH374" s="936"/>
      <c r="AI374" s="999"/>
      <c r="AJ374" s="935"/>
      <c r="AK374" s="966"/>
      <c r="AL374" s="949"/>
      <c r="AM374" s="949" t="s">
        <v>123</v>
      </c>
      <c r="AN374" s="949"/>
      <c r="AO374" s="999"/>
      <c r="AP374" s="936"/>
      <c r="AQ374" s="987"/>
      <c r="AR374" s="907"/>
      <c r="AS374" s="907"/>
      <c r="AT374" s="967" t="s">
        <v>123</v>
      </c>
      <c r="AU374" s="967" t="s">
        <v>123</v>
      </c>
      <c r="AV374" s="967" t="s">
        <v>123</v>
      </c>
      <c r="AW374" s="907" t="s">
        <v>123</v>
      </c>
      <c r="AX374" s="907" t="s">
        <v>123</v>
      </c>
      <c r="AY374" s="907" t="s">
        <v>123</v>
      </c>
      <c r="AZ374" s="936" t="s">
        <v>123</v>
      </c>
      <c r="BA374" s="935" t="s">
        <v>123</v>
      </c>
      <c r="BB374" s="1000"/>
      <c r="BC374" s="1001"/>
      <c r="BD374" s="936"/>
      <c r="BE374" s="907"/>
      <c r="BF374" s="1002" t="str">
        <f>IF($BC374="","",SUMIF(portfolio.!$A$4:$A623,BC374,portfolio.!$AN$4:$AN623))</f>
        <v/>
      </c>
      <c r="BG374" s="936" t="s">
        <v>123</v>
      </c>
      <c r="BH374" s="907" t="s">
        <v>123</v>
      </c>
      <c r="BI374" s="935" t="s">
        <v>123</v>
      </c>
      <c r="BJ374" s="1003"/>
      <c r="BK374" s="907" t="s">
        <v>123</v>
      </c>
      <c r="BL374" s="907" t="s">
        <v>123</v>
      </c>
      <c r="BM374" s="907" t="s">
        <v>123</v>
      </c>
      <c r="BN374" s="1004" t="s">
        <v>123</v>
      </c>
      <c r="BO374" s="907" t="str">
        <f t="shared" si="6"/>
        <v/>
      </c>
      <c r="BP374" s="907" t="str">
        <f t="shared" si="7"/>
        <v/>
      </c>
      <c r="BQ374" s="907" t="str">
        <f t="shared" si="8"/>
        <v/>
      </c>
      <c r="BR374" s="1004" t="str">
        <f t="shared" si="9"/>
        <v/>
      </c>
      <c r="BS374" s="1005" t="str">
        <f t="shared" si="10"/>
        <v/>
      </c>
      <c r="BT374" s="1006" t="s">
        <v>123</v>
      </c>
      <c r="BU374" s="1002" t="s">
        <v>123</v>
      </c>
      <c r="BV374" s="1006" t="s">
        <v>123</v>
      </c>
      <c r="BW374" s="1007"/>
    </row>
    <row r="375">
      <c r="A375" s="624">
        <v>352.0</v>
      </c>
      <c r="B375" s="1008"/>
      <c r="C375" s="989"/>
      <c r="D375" s="851"/>
      <c r="E375" s="990"/>
      <c r="F375" s="991"/>
      <c r="G375" s="991"/>
      <c r="H375" s="992"/>
      <c r="I375" s="993"/>
      <c r="J375" s="993"/>
      <c r="K375" s="993"/>
      <c r="L375" s="993"/>
      <c r="M375" s="993"/>
      <c r="N375" s="993"/>
      <c r="O375" s="993"/>
      <c r="P375" s="993"/>
      <c r="Q375" s="993"/>
      <c r="R375" s="993"/>
      <c r="S375" s="936"/>
      <c r="T375" s="998"/>
      <c r="U375" s="935"/>
      <c r="V375" s="935"/>
      <c r="W375" s="949" t="str">
        <f>IF(AND($S$20,NOT($U$20)),IF($V375:$V623="","",SUMIF(portfolio.!$A$4:$A623,V375,portfolio.!$AN$4:$AN623)),"")</f>
        <v/>
      </c>
      <c r="X375" s="998"/>
      <c r="Y375" s="936"/>
      <c r="Z375" s="936" t="s">
        <v>123</v>
      </c>
      <c r="AA375" s="936" t="s">
        <v>123</v>
      </c>
      <c r="AB375" s="936" t="s">
        <v>123</v>
      </c>
      <c r="AC375" s="907" t="s">
        <v>123</v>
      </c>
      <c r="AD375" s="999"/>
      <c r="AE375" s="936"/>
      <c r="AF375" s="936"/>
      <c r="AG375" s="936"/>
      <c r="AH375" s="936"/>
      <c r="AI375" s="999"/>
      <c r="AJ375" s="935"/>
      <c r="AK375" s="966"/>
      <c r="AL375" s="949"/>
      <c r="AM375" s="949" t="s">
        <v>123</v>
      </c>
      <c r="AN375" s="949"/>
      <c r="AO375" s="999"/>
      <c r="AP375" s="936"/>
      <c r="AQ375" s="987"/>
      <c r="AR375" s="907"/>
      <c r="AS375" s="907"/>
      <c r="AT375" s="967" t="s">
        <v>123</v>
      </c>
      <c r="AU375" s="967" t="s">
        <v>123</v>
      </c>
      <c r="AV375" s="967" t="s">
        <v>123</v>
      </c>
      <c r="AW375" s="907" t="s">
        <v>123</v>
      </c>
      <c r="AX375" s="907" t="s">
        <v>123</v>
      </c>
      <c r="AY375" s="907" t="s">
        <v>123</v>
      </c>
      <c r="AZ375" s="936" t="s">
        <v>123</v>
      </c>
      <c r="BA375" s="935" t="s">
        <v>123</v>
      </c>
      <c r="BB375" s="1000"/>
      <c r="BC375" s="1001"/>
      <c r="BD375" s="936"/>
      <c r="BE375" s="907"/>
      <c r="BF375" s="1002" t="str">
        <f>IF($BC375="","",SUMIF(portfolio.!$A$4:$A623,BC375,portfolio.!$AN$4:$AN623))</f>
        <v/>
      </c>
      <c r="BG375" s="936" t="s">
        <v>123</v>
      </c>
      <c r="BH375" s="907" t="s">
        <v>123</v>
      </c>
      <c r="BI375" s="935" t="s">
        <v>123</v>
      </c>
      <c r="BJ375" s="1003"/>
      <c r="BK375" s="907" t="s">
        <v>123</v>
      </c>
      <c r="BL375" s="907" t="s">
        <v>123</v>
      </c>
      <c r="BM375" s="907" t="s">
        <v>123</v>
      </c>
      <c r="BN375" s="1004" t="s">
        <v>123</v>
      </c>
      <c r="BO375" s="907" t="str">
        <f t="shared" si="6"/>
        <v/>
      </c>
      <c r="BP375" s="907" t="str">
        <f t="shared" si="7"/>
        <v/>
      </c>
      <c r="BQ375" s="907" t="str">
        <f t="shared" si="8"/>
        <v/>
      </c>
      <c r="BR375" s="1004" t="str">
        <f t="shared" si="9"/>
        <v/>
      </c>
      <c r="BS375" s="1005" t="str">
        <f t="shared" si="10"/>
        <v/>
      </c>
      <c r="BT375" s="1006" t="s">
        <v>123</v>
      </c>
      <c r="BU375" s="1002" t="s">
        <v>123</v>
      </c>
      <c r="BV375" s="1006" t="s">
        <v>123</v>
      </c>
      <c r="BW375" s="1007"/>
    </row>
    <row r="376">
      <c r="A376" s="624">
        <v>353.0</v>
      </c>
      <c r="B376" s="1008"/>
      <c r="C376" s="989"/>
      <c r="D376" s="851"/>
      <c r="E376" s="990"/>
      <c r="F376" s="991"/>
      <c r="G376" s="991"/>
      <c r="H376" s="992"/>
      <c r="I376" s="993"/>
      <c r="J376" s="993"/>
      <c r="K376" s="993"/>
      <c r="L376" s="993"/>
      <c r="M376" s="993"/>
      <c r="N376" s="993"/>
      <c r="O376" s="993"/>
      <c r="P376" s="993"/>
      <c r="Q376" s="993"/>
      <c r="R376" s="993"/>
      <c r="S376" s="936"/>
      <c r="T376" s="998"/>
      <c r="U376" s="935"/>
      <c r="V376" s="935"/>
      <c r="W376" s="949" t="str">
        <f>IF(AND($S$20,NOT($U$20)),IF($V376:$V623="","",SUMIF(portfolio.!$A$4:$A623,V376,portfolio.!$AN$4:$AN623)),"")</f>
        <v/>
      </c>
      <c r="X376" s="998"/>
      <c r="Y376" s="936"/>
      <c r="Z376" s="936" t="s">
        <v>123</v>
      </c>
      <c r="AA376" s="936" t="s">
        <v>123</v>
      </c>
      <c r="AB376" s="936" t="s">
        <v>123</v>
      </c>
      <c r="AC376" s="907" t="s">
        <v>123</v>
      </c>
      <c r="AD376" s="999"/>
      <c r="AE376" s="936"/>
      <c r="AF376" s="936"/>
      <c r="AG376" s="936"/>
      <c r="AH376" s="936"/>
      <c r="AI376" s="999"/>
      <c r="AJ376" s="935"/>
      <c r="AK376" s="966"/>
      <c r="AL376" s="949"/>
      <c r="AM376" s="949" t="s">
        <v>123</v>
      </c>
      <c r="AN376" s="949"/>
      <c r="AO376" s="999"/>
      <c r="AP376" s="936"/>
      <c r="AQ376" s="987"/>
      <c r="AR376" s="907"/>
      <c r="AS376" s="907"/>
      <c r="AT376" s="967" t="s">
        <v>123</v>
      </c>
      <c r="AU376" s="967" t="s">
        <v>123</v>
      </c>
      <c r="AV376" s="967" t="s">
        <v>123</v>
      </c>
      <c r="AW376" s="907" t="s">
        <v>123</v>
      </c>
      <c r="AX376" s="907" t="s">
        <v>123</v>
      </c>
      <c r="AY376" s="907" t="s">
        <v>123</v>
      </c>
      <c r="AZ376" s="936" t="s">
        <v>123</v>
      </c>
      <c r="BA376" s="935" t="s">
        <v>123</v>
      </c>
      <c r="BB376" s="1000"/>
      <c r="BC376" s="1001"/>
      <c r="BD376" s="936"/>
      <c r="BE376" s="907"/>
      <c r="BF376" s="1002" t="str">
        <f>IF($BC376="","",SUMIF(portfolio.!$A$4:$A623,BC376,portfolio.!$AN$4:$AN623))</f>
        <v/>
      </c>
      <c r="BG376" s="936" t="s">
        <v>123</v>
      </c>
      <c r="BH376" s="907" t="s">
        <v>123</v>
      </c>
      <c r="BI376" s="935" t="s">
        <v>123</v>
      </c>
      <c r="BJ376" s="1003"/>
      <c r="BK376" s="907" t="s">
        <v>123</v>
      </c>
      <c r="BL376" s="907" t="s">
        <v>123</v>
      </c>
      <c r="BM376" s="907" t="s">
        <v>123</v>
      </c>
      <c r="BN376" s="1004" t="s">
        <v>123</v>
      </c>
      <c r="BO376" s="907" t="str">
        <f t="shared" si="6"/>
        <v/>
      </c>
      <c r="BP376" s="907" t="str">
        <f t="shared" si="7"/>
        <v/>
      </c>
      <c r="BQ376" s="907" t="str">
        <f t="shared" si="8"/>
        <v/>
      </c>
      <c r="BR376" s="1004" t="str">
        <f t="shared" si="9"/>
        <v/>
      </c>
      <c r="BS376" s="1005" t="str">
        <f t="shared" si="10"/>
        <v/>
      </c>
      <c r="BT376" s="1006" t="s">
        <v>123</v>
      </c>
      <c r="BU376" s="1002" t="s">
        <v>123</v>
      </c>
      <c r="BV376" s="1006" t="s">
        <v>123</v>
      </c>
      <c r="BW376" s="1007"/>
    </row>
    <row r="377">
      <c r="A377" s="624">
        <v>354.0</v>
      </c>
      <c r="B377" s="1008"/>
      <c r="C377" s="989"/>
      <c r="D377" s="851"/>
      <c r="E377" s="990"/>
      <c r="F377" s="991"/>
      <c r="G377" s="991"/>
      <c r="H377" s="992"/>
      <c r="I377" s="993"/>
      <c r="J377" s="993"/>
      <c r="K377" s="993"/>
      <c r="L377" s="993"/>
      <c r="M377" s="993"/>
      <c r="N377" s="993"/>
      <c r="O377" s="993"/>
      <c r="P377" s="993"/>
      <c r="Q377" s="993"/>
      <c r="R377" s="993"/>
      <c r="S377" s="936"/>
      <c r="T377" s="998"/>
      <c r="U377" s="935"/>
      <c r="V377" s="935"/>
      <c r="W377" s="949" t="str">
        <f>IF(AND($S$20,NOT($U$20)),IF($V377:$V623="","",SUMIF(portfolio.!$A$4:$A623,V377,portfolio.!$AN$4:$AN623)),"")</f>
        <v/>
      </c>
      <c r="X377" s="998"/>
      <c r="Y377" s="936"/>
      <c r="Z377" s="936" t="s">
        <v>123</v>
      </c>
      <c r="AA377" s="936" t="s">
        <v>123</v>
      </c>
      <c r="AB377" s="936" t="s">
        <v>123</v>
      </c>
      <c r="AC377" s="907" t="s">
        <v>123</v>
      </c>
      <c r="AD377" s="999"/>
      <c r="AE377" s="936"/>
      <c r="AF377" s="936"/>
      <c r="AG377" s="936"/>
      <c r="AH377" s="936"/>
      <c r="AI377" s="999"/>
      <c r="AJ377" s="935"/>
      <c r="AK377" s="966"/>
      <c r="AL377" s="949"/>
      <c r="AM377" s="949" t="s">
        <v>123</v>
      </c>
      <c r="AN377" s="949"/>
      <c r="AO377" s="999"/>
      <c r="AP377" s="936"/>
      <c r="AQ377" s="987"/>
      <c r="AR377" s="907"/>
      <c r="AS377" s="907"/>
      <c r="AT377" s="967" t="s">
        <v>123</v>
      </c>
      <c r="AU377" s="967" t="s">
        <v>123</v>
      </c>
      <c r="AV377" s="967" t="s">
        <v>123</v>
      </c>
      <c r="AW377" s="907" t="s">
        <v>123</v>
      </c>
      <c r="AX377" s="907" t="s">
        <v>123</v>
      </c>
      <c r="AY377" s="907" t="s">
        <v>123</v>
      </c>
      <c r="AZ377" s="936" t="s">
        <v>123</v>
      </c>
      <c r="BA377" s="935" t="s">
        <v>123</v>
      </c>
      <c r="BB377" s="1000"/>
      <c r="BC377" s="1001"/>
      <c r="BD377" s="936"/>
      <c r="BE377" s="907"/>
      <c r="BF377" s="1002" t="str">
        <f>IF($BC377="","",SUMIF(portfolio.!$A$4:$A623,BC377,portfolio.!$AN$4:$AN623))</f>
        <v/>
      </c>
      <c r="BG377" s="936" t="s">
        <v>123</v>
      </c>
      <c r="BH377" s="907" t="s">
        <v>123</v>
      </c>
      <c r="BI377" s="935" t="s">
        <v>123</v>
      </c>
      <c r="BJ377" s="1003"/>
      <c r="BK377" s="907" t="s">
        <v>123</v>
      </c>
      <c r="BL377" s="907" t="s">
        <v>123</v>
      </c>
      <c r="BM377" s="907" t="s">
        <v>123</v>
      </c>
      <c r="BN377" s="1004" t="s">
        <v>123</v>
      </c>
      <c r="BO377" s="907" t="str">
        <f t="shared" si="6"/>
        <v/>
      </c>
      <c r="BP377" s="907" t="str">
        <f t="shared" si="7"/>
        <v/>
      </c>
      <c r="BQ377" s="907" t="str">
        <f t="shared" si="8"/>
        <v/>
      </c>
      <c r="BR377" s="1004" t="str">
        <f t="shared" si="9"/>
        <v/>
      </c>
      <c r="BS377" s="1005" t="str">
        <f t="shared" si="10"/>
        <v/>
      </c>
      <c r="BT377" s="1006" t="s">
        <v>123</v>
      </c>
      <c r="BU377" s="1002" t="s">
        <v>123</v>
      </c>
      <c r="BV377" s="1006" t="s">
        <v>123</v>
      </c>
      <c r="BW377" s="1007"/>
    </row>
    <row r="378">
      <c r="A378" s="624">
        <v>355.0</v>
      </c>
      <c r="B378" s="1008"/>
      <c r="C378" s="989"/>
      <c r="D378" s="851"/>
      <c r="E378" s="990"/>
      <c r="F378" s="991"/>
      <c r="G378" s="991"/>
      <c r="H378" s="992"/>
      <c r="I378" s="993"/>
      <c r="J378" s="993"/>
      <c r="K378" s="993"/>
      <c r="L378" s="993"/>
      <c r="M378" s="993"/>
      <c r="N378" s="993"/>
      <c r="O378" s="993"/>
      <c r="P378" s="993"/>
      <c r="Q378" s="993"/>
      <c r="R378" s="993"/>
      <c r="S378" s="936"/>
      <c r="T378" s="998"/>
      <c r="U378" s="935"/>
      <c r="V378" s="935"/>
      <c r="W378" s="949" t="str">
        <f>IF(AND($S$20,NOT($U$20)),IF($V378:$V623="","",SUMIF(portfolio.!$A$4:$A623,V378,portfolio.!$AN$4:$AN623)),"")</f>
        <v/>
      </c>
      <c r="X378" s="998"/>
      <c r="Y378" s="936"/>
      <c r="Z378" s="936" t="s">
        <v>123</v>
      </c>
      <c r="AA378" s="936" t="s">
        <v>123</v>
      </c>
      <c r="AB378" s="936" t="s">
        <v>123</v>
      </c>
      <c r="AC378" s="907" t="s">
        <v>123</v>
      </c>
      <c r="AD378" s="999"/>
      <c r="AE378" s="936"/>
      <c r="AF378" s="936"/>
      <c r="AG378" s="936"/>
      <c r="AH378" s="936"/>
      <c r="AI378" s="999"/>
      <c r="AJ378" s="935"/>
      <c r="AK378" s="966"/>
      <c r="AL378" s="949"/>
      <c r="AM378" s="949" t="s">
        <v>123</v>
      </c>
      <c r="AN378" s="949"/>
      <c r="AO378" s="999"/>
      <c r="AP378" s="936"/>
      <c r="AQ378" s="987"/>
      <c r="AR378" s="907"/>
      <c r="AS378" s="907"/>
      <c r="AT378" s="967" t="s">
        <v>123</v>
      </c>
      <c r="AU378" s="967" t="s">
        <v>123</v>
      </c>
      <c r="AV378" s="967" t="s">
        <v>123</v>
      </c>
      <c r="AW378" s="907" t="s">
        <v>123</v>
      </c>
      <c r="AX378" s="907" t="s">
        <v>123</v>
      </c>
      <c r="AY378" s="907" t="s">
        <v>123</v>
      </c>
      <c r="AZ378" s="936" t="s">
        <v>123</v>
      </c>
      <c r="BA378" s="935" t="s">
        <v>123</v>
      </c>
      <c r="BB378" s="1000"/>
      <c r="BC378" s="1001"/>
      <c r="BD378" s="936"/>
      <c r="BE378" s="907"/>
      <c r="BF378" s="1002" t="str">
        <f>IF($BC378="","",SUMIF(portfolio.!$A$4:$A623,BC378,portfolio.!$AN$4:$AN623))</f>
        <v/>
      </c>
      <c r="BG378" s="936" t="s">
        <v>123</v>
      </c>
      <c r="BH378" s="907" t="s">
        <v>123</v>
      </c>
      <c r="BI378" s="935" t="s">
        <v>123</v>
      </c>
      <c r="BJ378" s="1003"/>
      <c r="BK378" s="907" t="s">
        <v>123</v>
      </c>
      <c r="BL378" s="907" t="s">
        <v>123</v>
      </c>
      <c r="BM378" s="907" t="s">
        <v>123</v>
      </c>
      <c r="BN378" s="1004" t="s">
        <v>123</v>
      </c>
      <c r="BO378" s="907" t="str">
        <f t="shared" si="6"/>
        <v/>
      </c>
      <c r="BP378" s="907" t="str">
        <f t="shared" si="7"/>
        <v/>
      </c>
      <c r="BQ378" s="907" t="str">
        <f t="shared" si="8"/>
        <v/>
      </c>
      <c r="BR378" s="1004" t="str">
        <f t="shared" si="9"/>
        <v/>
      </c>
      <c r="BS378" s="1005" t="str">
        <f t="shared" si="10"/>
        <v/>
      </c>
      <c r="BT378" s="1006" t="s">
        <v>123</v>
      </c>
      <c r="BU378" s="1002" t="s">
        <v>123</v>
      </c>
      <c r="BV378" s="1006" t="s">
        <v>123</v>
      </c>
      <c r="BW378" s="1007"/>
    </row>
    <row r="379">
      <c r="A379" s="624">
        <v>356.0</v>
      </c>
      <c r="B379" s="1008"/>
      <c r="C379" s="989"/>
      <c r="D379" s="851"/>
      <c r="E379" s="990"/>
      <c r="F379" s="991"/>
      <c r="G379" s="991"/>
      <c r="H379" s="992"/>
      <c r="I379" s="993"/>
      <c r="J379" s="993"/>
      <c r="K379" s="993"/>
      <c r="L379" s="993"/>
      <c r="M379" s="993"/>
      <c r="N379" s="993"/>
      <c r="O379" s="993"/>
      <c r="P379" s="993"/>
      <c r="Q379" s="993"/>
      <c r="R379" s="993"/>
      <c r="S379" s="936"/>
      <c r="T379" s="998"/>
      <c r="U379" s="935"/>
      <c r="V379" s="935"/>
      <c r="W379" s="949" t="str">
        <f>IF(AND($S$20,NOT($U$20)),IF($V379:$V623="","",SUMIF(portfolio.!$A$4:$A623,V379,portfolio.!$AN$4:$AN623)),"")</f>
        <v/>
      </c>
      <c r="X379" s="998"/>
      <c r="Y379" s="936"/>
      <c r="Z379" s="936" t="s">
        <v>123</v>
      </c>
      <c r="AA379" s="936" t="s">
        <v>123</v>
      </c>
      <c r="AB379" s="936" t="s">
        <v>123</v>
      </c>
      <c r="AC379" s="907" t="s">
        <v>123</v>
      </c>
      <c r="AD379" s="999"/>
      <c r="AE379" s="936"/>
      <c r="AF379" s="936"/>
      <c r="AG379" s="936"/>
      <c r="AH379" s="936"/>
      <c r="AI379" s="999"/>
      <c r="AJ379" s="935"/>
      <c r="AK379" s="966"/>
      <c r="AL379" s="949"/>
      <c r="AM379" s="949" t="s">
        <v>123</v>
      </c>
      <c r="AN379" s="949"/>
      <c r="AO379" s="999"/>
      <c r="AP379" s="936"/>
      <c r="AQ379" s="987"/>
      <c r="AR379" s="907"/>
      <c r="AS379" s="907"/>
      <c r="AT379" s="967" t="s">
        <v>123</v>
      </c>
      <c r="AU379" s="967" t="s">
        <v>123</v>
      </c>
      <c r="AV379" s="967" t="s">
        <v>123</v>
      </c>
      <c r="AW379" s="907" t="s">
        <v>123</v>
      </c>
      <c r="AX379" s="907" t="s">
        <v>123</v>
      </c>
      <c r="AY379" s="907" t="s">
        <v>123</v>
      </c>
      <c r="AZ379" s="936" t="s">
        <v>123</v>
      </c>
      <c r="BA379" s="935" t="s">
        <v>123</v>
      </c>
      <c r="BB379" s="1000"/>
      <c r="BC379" s="1001"/>
      <c r="BD379" s="936"/>
      <c r="BE379" s="907"/>
      <c r="BF379" s="1002" t="str">
        <f>IF($BC379="","",SUMIF(portfolio.!$A$4:$A623,BC379,portfolio.!$AN$4:$AN623))</f>
        <v/>
      </c>
      <c r="BG379" s="936" t="s">
        <v>123</v>
      </c>
      <c r="BH379" s="907" t="s">
        <v>123</v>
      </c>
      <c r="BI379" s="935" t="s">
        <v>123</v>
      </c>
      <c r="BJ379" s="1003"/>
      <c r="BK379" s="907" t="s">
        <v>123</v>
      </c>
      <c r="BL379" s="907" t="s">
        <v>123</v>
      </c>
      <c r="BM379" s="907" t="s">
        <v>123</v>
      </c>
      <c r="BN379" s="1004" t="s">
        <v>123</v>
      </c>
      <c r="BO379" s="907" t="str">
        <f t="shared" si="6"/>
        <v/>
      </c>
      <c r="BP379" s="907" t="str">
        <f t="shared" si="7"/>
        <v/>
      </c>
      <c r="BQ379" s="907" t="str">
        <f t="shared" si="8"/>
        <v/>
      </c>
      <c r="BR379" s="1004" t="str">
        <f t="shared" si="9"/>
        <v/>
      </c>
      <c r="BS379" s="1005" t="str">
        <f t="shared" si="10"/>
        <v/>
      </c>
      <c r="BT379" s="1006" t="s">
        <v>123</v>
      </c>
      <c r="BU379" s="1002" t="s">
        <v>123</v>
      </c>
      <c r="BV379" s="1006" t="s">
        <v>123</v>
      </c>
      <c r="BW379" s="1007"/>
    </row>
    <row r="380">
      <c r="A380" s="624">
        <v>357.0</v>
      </c>
      <c r="B380" s="1008"/>
      <c r="C380" s="989"/>
      <c r="D380" s="851"/>
      <c r="E380" s="990"/>
      <c r="F380" s="991"/>
      <c r="G380" s="991"/>
      <c r="H380" s="992"/>
      <c r="I380" s="993"/>
      <c r="J380" s="993"/>
      <c r="K380" s="993"/>
      <c r="L380" s="993"/>
      <c r="M380" s="993"/>
      <c r="N380" s="993"/>
      <c r="O380" s="993"/>
      <c r="P380" s="993"/>
      <c r="Q380" s="993"/>
      <c r="R380" s="993"/>
      <c r="S380" s="936"/>
      <c r="T380" s="998"/>
      <c r="U380" s="935"/>
      <c r="V380" s="935"/>
      <c r="W380" s="949" t="str">
        <f>IF(AND($S$20,NOT($U$20)),IF($V380:$V623="","",SUMIF(portfolio.!$A$4:$A623,V380,portfolio.!$AN$4:$AN623)),"")</f>
        <v/>
      </c>
      <c r="X380" s="998"/>
      <c r="Y380" s="936"/>
      <c r="Z380" s="936" t="s">
        <v>123</v>
      </c>
      <c r="AA380" s="936" t="s">
        <v>123</v>
      </c>
      <c r="AB380" s="936" t="s">
        <v>123</v>
      </c>
      <c r="AC380" s="907" t="s">
        <v>123</v>
      </c>
      <c r="AD380" s="999"/>
      <c r="AE380" s="936"/>
      <c r="AF380" s="936"/>
      <c r="AG380" s="936"/>
      <c r="AH380" s="936"/>
      <c r="AI380" s="999"/>
      <c r="AJ380" s="935"/>
      <c r="AK380" s="966"/>
      <c r="AL380" s="949"/>
      <c r="AM380" s="949" t="s">
        <v>123</v>
      </c>
      <c r="AN380" s="949"/>
      <c r="AO380" s="999"/>
      <c r="AP380" s="936"/>
      <c r="AQ380" s="987"/>
      <c r="AR380" s="907"/>
      <c r="AS380" s="907"/>
      <c r="AT380" s="967" t="s">
        <v>123</v>
      </c>
      <c r="AU380" s="967" t="s">
        <v>123</v>
      </c>
      <c r="AV380" s="967" t="s">
        <v>123</v>
      </c>
      <c r="AW380" s="907" t="s">
        <v>123</v>
      </c>
      <c r="AX380" s="907" t="s">
        <v>123</v>
      </c>
      <c r="AY380" s="907" t="s">
        <v>123</v>
      </c>
      <c r="AZ380" s="936" t="s">
        <v>123</v>
      </c>
      <c r="BA380" s="935" t="s">
        <v>123</v>
      </c>
      <c r="BB380" s="1000"/>
      <c r="BC380" s="1001"/>
      <c r="BD380" s="936"/>
      <c r="BE380" s="907"/>
      <c r="BF380" s="1002" t="str">
        <f>IF($BC380="","",SUMIF(portfolio.!$A$4:$A623,BC380,portfolio.!$AN$4:$AN623))</f>
        <v/>
      </c>
      <c r="BG380" s="936" t="s">
        <v>123</v>
      </c>
      <c r="BH380" s="907" t="s">
        <v>123</v>
      </c>
      <c r="BI380" s="935" t="s">
        <v>123</v>
      </c>
      <c r="BJ380" s="1003"/>
      <c r="BK380" s="907" t="s">
        <v>123</v>
      </c>
      <c r="BL380" s="907" t="s">
        <v>123</v>
      </c>
      <c r="BM380" s="907" t="s">
        <v>123</v>
      </c>
      <c r="BN380" s="1004" t="s">
        <v>123</v>
      </c>
      <c r="BO380" s="907" t="str">
        <f t="shared" si="6"/>
        <v/>
      </c>
      <c r="BP380" s="907" t="str">
        <f t="shared" si="7"/>
        <v/>
      </c>
      <c r="BQ380" s="907" t="str">
        <f t="shared" si="8"/>
        <v/>
      </c>
      <c r="BR380" s="1004" t="str">
        <f t="shared" si="9"/>
        <v/>
      </c>
      <c r="BS380" s="1005" t="str">
        <f t="shared" si="10"/>
        <v/>
      </c>
      <c r="BT380" s="1006" t="s">
        <v>123</v>
      </c>
      <c r="BU380" s="1002" t="s">
        <v>123</v>
      </c>
      <c r="BV380" s="1006" t="s">
        <v>123</v>
      </c>
      <c r="BW380" s="1007"/>
    </row>
    <row r="381">
      <c r="A381" s="624">
        <v>358.0</v>
      </c>
      <c r="B381" s="1008"/>
      <c r="C381" s="989"/>
      <c r="D381" s="851"/>
      <c r="E381" s="990"/>
      <c r="F381" s="991"/>
      <c r="G381" s="991"/>
      <c r="H381" s="992"/>
      <c r="I381" s="993"/>
      <c r="J381" s="993"/>
      <c r="K381" s="993"/>
      <c r="L381" s="993"/>
      <c r="M381" s="993"/>
      <c r="N381" s="993"/>
      <c r="O381" s="993"/>
      <c r="P381" s="993"/>
      <c r="Q381" s="993"/>
      <c r="R381" s="993"/>
      <c r="S381" s="936"/>
      <c r="T381" s="998"/>
      <c r="U381" s="935"/>
      <c r="V381" s="935"/>
      <c r="W381" s="949" t="str">
        <f>IF(AND($S$20,NOT($U$20)),IF($V381:$V623="","",SUMIF(portfolio.!$A$4:$A623,V381,portfolio.!$AN$4:$AN623)),"")</f>
        <v/>
      </c>
      <c r="X381" s="998"/>
      <c r="Y381" s="936"/>
      <c r="Z381" s="936" t="s">
        <v>123</v>
      </c>
      <c r="AA381" s="936" t="s">
        <v>123</v>
      </c>
      <c r="AB381" s="936" t="s">
        <v>123</v>
      </c>
      <c r="AC381" s="907" t="s">
        <v>123</v>
      </c>
      <c r="AD381" s="999"/>
      <c r="AE381" s="936"/>
      <c r="AF381" s="936"/>
      <c r="AG381" s="936"/>
      <c r="AH381" s="936"/>
      <c r="AI381" s="999"/>
      <c r="AJ381" s="935"/>
      <c r="AK381" s="966"/>
      <c r="AL381" s="949"/>
      <c r="AM381" s="949" t="s">
        <v>123</v>
      </c>
      <c r="AN381" s="949"/>
      <c r="AO381" s="999"/>
      <c r="AP381" s="936"/>
      <c r="AQ381" s="987"/>
      <c r="AR381" s="907"/>
      <c r="AS381" s="907"/>
      <c r="AT381" s="967" t="s">
        <v>123</v>
      </c>
      <c r="AU381" s="967" t="s">
        <v>123</v>
      </c>
      <c r="AV381" s="967" t="s">
        <v>123</v>
      </c>
      <c r="AW381" s="907" t="s">
        <v>123</v>
      </c>
      <c r="AX381" s="907" t="s">
        <v>123</v>
      </c>
      <c r="AY381" s="907" t="s">
        <v>123</v>
      </c>
      <c r="AZ381" s="936" t="s">
        <v>123</v>
      </c>
      <c r="BA381" s="935" t="s">
        <v>123</v>
      </c>
      <c r="BB381" s="1000"/>
      <c r="BC381" s="1001"/>
      <c r="BD381" s="936"/>
      <c r="BE381" s="907"/>
      <c r="BF381" s="1002" t="str">
        <f>IF($BC381="","",SUMIF(portfolio.!$A$4:$A623,BC381,portfolio.!$AN$4:$AN623))</f>
        <v/>
      </c>
      <c r="BG381" s="936" t="s">
        <v>123</v>
      </c>
      <c r="BH381" s="907" t="s">
        <v>123</v>
      </c>
      <c r="BI381" s="935" t="s">
        <v>123</v>
      </c>
      <c r="BJ381" s="1003"/>
      <c r="BK381" s="907" t="s">
        <v>123</v>
      </c>
      <c r="BL381" s="907" t="s">
        <v>123</v>
      </c>
      <c r="BM381" s="907" t="s">
        <v>123</v>
      </c>
      <c r="BN381" s="1004" t="s">
        <v>123</v>
      </c>
      <c r="BO381" s="907" t="str">
        <f t="shared" si="6"/>
        <v/>
      </c>
      <c r="BP381" s="907" t="str">
        <f t="shared" si="7"/>
        <v/>
      </c>
      <c r="BQ381" s="907" t="str">
        <f t="shared" si="8"/>
        <v/>
      </c>
      <c r="BR381" s="1004" t="str">
        <f t="shared" si="9"/>
        <v/>
      </c>
      <c r="BS381" s="1005" t="str">
        <f t="shared" si="10"/>
        <v/>
      </c>
      <c r="BT381" s="1006" t="s">
        <v>123</v>
      </c>
      <c r="BU381" s="1002" t="s">
        <v>123</v>
      </c>
      <c r="BV381" s="1006" t="s">
        <v>123</v>
      </c>
      <c r="BW381" s="1007"/>
    </row>
    <row r="382">
      <c r="A382" s="624">
        <v>359.0</v>
      </c>
      <c r="B382" s="1008"/>
      <c r="C382" s="989"/>
      <c r="D382" s="851"/>
      <c r="E382" s="990"/>
      <c r="F382" s="991"/>
      <c r="G382" s="991"/>
      <c r="H382" s="992"/>
      <c r="I382" s="993"/>
      <c r="J382" s="993"/>
      <c r="K382" s="993"/>
      <c r="L382" s="993"/>
      <c r="M382" s="993"/>
      <c r="N382" s="993"/>
      <c r="O382" s="993"/>
      <c r="P382" s="993"/>
      <c r="Q382" s="993"/>
      <c r="R382" s="993"/>
      <c r="S382" s="936"/>
      <c r="T382" s="998"/>
      <c r="U382" s="935"/>
      <c r="V382" s="935"/>
      <c r="W382" s="949" t="str">
        <f>IF(AND($S$20,NOT($U$20)),IF($V382:$V623="","",SUMIF(portfolio.!$A$4:$A623,V382,portfolio.!$AN$4:$AN623)),"")</f>
        <v/>
      </c>
      <c r="X382" s="998"/>
      <c r="Y382" s="936"/>
      <c r="Z382" s="936" t="s">
        <v>123</v>
      </c>
      <c r="AA382" s="936" t="s">
        <v>123</v>
      </c>
      <c r="AB382" s="936" t="s">
        <v>123</v>
      </c>
      <c r="AC382" s="907" t="s">
        <v>123</v>
      </c>
      <c r="AD382" s="999"/>
      <c r="AE382" s="936"/>
      <c r="AF382" s="936"/>
      <c r="AG382" s="936"/>
      <c r="AH382" s="936"/>
      <c r="AI382" s="999"/>
      <c r="AJ382" s="935"/>
      <c r="AK382" s="966"/>
      <c r="AL382" s="949"/>
      <c r="AM382" s="949" t="s">
        <v>123</v>
      </c>
      <c r="AN382" s="949"/>
      <c r="AO382" s="999"/>
      <c r="AP382" s="936"/>
      <c r="AQ382" s="987"/>
      <c r="AR382" s="907"/>
      <c r="AS382" s="907"/>
      <c r="AT382" s="967" t="s">
        <v>123</v>
      </c>
      <c r="AU382" s="967" t="s">
        <v>123</v>
      </c>
      <c r="AV382" s="967" t="s">
        <v>123</v>
      </c>
      <c r="AW382" s="907" t="s">
        <v>123</v>
      </c>
      <c r="AX382" s="907" t="s">
        <v>123</v>
      </c>
      <c r="AY382" s="907" t="s">
        <v>123</v>
      </c>
      <c r="AZ382" s="936" t="s">
        <v>123</v>
      </c>
      <c r="BA382" s="935" t="s">
        <v>123</v>
      </c>
      <c r="BB382" s="1000"/>
      <c r="BC382" s="1001"/>
      <c r="BD382" s="936"/>
      <c r="BE382" s="907"/>
      <c r="BF382" s="1002" t="str">
        <f>IF($BC382="","",SUMIF(portfolio.!$A$4:$A623,BC382,portfolio.!$AN$4:$AN623))</f>
        <v/>
      </c>
      <c r="BG382" s="936" t="s">
        <v>123</v>
      </c>
      <c r="BH382" s="907" t="s">
        <v>123</v>
      </c>
      <c r="BI382" s="935" t="s">
        <v>123</v>
      </c>
      <c r="BJ382" s="1003"/>
      <c r="BK382" s="907" t="s">
        <v>123</v>
      </c>
      <c r="BL382" s="907" t="s">
        <v>123</v>
      </c>
      <c r="BM382" s="907" t="s">
        <v>123</v>
      </c>
      <c r="BN382" s="1004" t="s">
        <v>123</v>
      </c>
      <c r="BO382" s="907" t="str">
        <f t="shared" si="6"/>
        <v/>
      </c>
      <c r="BP382" s="907" t="str">
        <f t="shared" si="7"/>
        <v/>
      </c>
      <c r="BQ382" s="907" t="str">
        <f t="shared" si="8"/>
        <v/>
      </c>
      <c r="BR382" s="1004" t="str">
        <f t="shared" si="9"/>
        <v/>
      </c>
      <c r="BS382" s="1005" t="str">
        <f t="shared" si="10"/>
        <v/>
      </c>
      <c r="BT382" s="1006" t="s">
        <v>123</v>
      </c>
      <c r="BU382" s="1002" t="s">
        <v>123</v>
      </c>
      <c r="BV382" s="1006" t="s">
        <v>123</v>
      </c>
      <c r="BW382" s="1007"/>
    </row>
    <row r="383">
      <c r="A383" s="624">
        <v>360.0</v>
      </c>
      <c r="B383" s="1008"/>
      <c r="C383" s="989"/>
      <c r="D383" s="851"/>
      <c r="E383" s="990"/>
      <c r="F383" s="991"/>
      <c r="G383" s="991"/>
      <c r="H383" s="992"/>
      <c r="I383" s="993"/>
      <c r="J383" s="993"/>
      <c r="K383" s="993"/>
      <c r="L383" s="993"/>
      <c r="M383" s="993"/>
      <c r="N383" s="993"/>
      <c r="O383" s="993"/>
      <c r="P383" s="993"/>
      <c r="Q383" s="993"/>
      <c r="R383" s="993"/>
      <c r="S383" s="936"/>
      <c r="T383" s="998"/>
      <c r="U383" s="935"/>
      <c r="V383" s="935"/>
      <c r="W383" s="949" t="str">
        <f>IF(AND($S$20,NOT($U$20)),IF($V383:$V623="","",SUMIF(portfolio.!$A$4:$A623,V383,portfolio.!$AN$4:$AN623)),"")</f>
        <v/>
      </c>
      <c r="X383" s="998"/>
      <c r="Y383" s="936"/>
      <c r="Z383" s="936" t="s">
        <v>123</v>
      </c>
      <c r="AA383" s="936" t="s">
        <v>123</v>
      </c>
      <c r="AB383" s="936" t="s">
        <v>123</v>
      </c>
      <c r="AC383" s="907" t="s">
        <v>123</v>
      </c>
      <c r="AD383" s="999"/>
      <c r="AE383" s="936"/>
      <c r="AF383" s="936"/>
      <c r="AG383" s="936"/>
      <c r="AH383" s="936"/>
      <c r="AI383" s="999"/>
      <c r="AJ383" s="935"/>
      <c r="AK383" s="966"/>
      <c r="AL383" s="949"/>
      <c r="AM383" s="949" t="s">
        <v>123</v>
      </c>
      <c r="AN383" s="949"/>
      <c r="AO383" s="999"/>
      <c r="AP383" s="936"/>
      <c r="AQ383" s="987"/>
      <c r="AR383" s="907"/>
      <c r="AS383" s="907"/>
      <c r="AT383" s="967" t="s">
        <v>123</v>
      </c>
      <c r="AU383" s="967" t="s">
        <v>123</v>
      </c>
      <c r="AV383" s="967" t="s">
        <v>123</v>
      </c>
      <c r="AW383" s="907" t="s">
        <v>123</v>
      </c>
      <c r="AX383" s="907" t="s">
        <v>123</v>
      </c>
      <c r="AY383" s="907" t="s">
        <v>123</v>
      </c>
      <c r="AZ383" s="936" t="s">
        <v>123</v>
      </c>
      <c r="BA383" s="935" t="s">
        <v>123</v>
      </c>
      <c r="BB383" s="1000"/>
      <c r="BC383" s="1001"/>
      <c r="BD383" s="936"/>
      <c r="BE383" s="907"/>
      <c r="BF383" s="1002" t="str">
        <f>IF($BC383="","",SUMIF(portfolio.!$A$4:$A623,BC383,portfolio.!$AN$4:$AN623))</f>
        <v/>
      </c>
      <c r="BG383" s="936" t="s">
        <v>123</v>
      </c>
      <c r="BH383" s="907" t="s">
        <v>123</v>
      </c>
      <c r="BI383" s="935" t="s">
        <v>123</v>
      </c>
      <c r="BJ383" s="1003"/>
      <c r="BK383" s="907" t="s">
        <v>123</v>
      </c>
      <c r="BL383" s="907" t="s">
        <v>123</v>
      </c>
      <c r="BM383" s="907" t="s">
        <v>123</v>
      </c>
      <c r="BN383" s="1004" t="s">
        <v>123</v>
      </c>
      <c r="BO383" s="907" t="str">
        <f t="shared" si="6"/>
        <v/>
      </c>
      <c r="BP383" s="907" t="str">
        <f t="shared" si="7"/>
        <v/>
      </c>
      <c r="BQ383" s="907" t="str">
        <f t="shared" si="8"/>
        <v/>
      </c>
      <c r="BR383" s="1004" t="str">
        <f t="shared" si="9"/>
        <v/>
      </c>
      <c r="BS383" s="1005" t="str">
        <f t="shared" si="10"/>
        <v/>
      </c>
      <c r="BT383" s="1006" t="s">
        <v>123</v>
      </c>
      <c r="BU383" s="1002" t="s">
        <v>123</v>
      </c>
      <c r="BV383" s="1006" t="s">
        <v>123</v>
      </c>
      <c r="BW383" s="1007"/>
    </row>
    <row r="384">
      <c r="A384" s="624">
        <v>361.0</v>
      </c>
      <c r="B384" s="1008"/>
      <c r="C384" s="989"/>
      <c r="D384" s="851"/>
      <c r="E384" s="990"/>
      <c r="F384" s="991"/>
      <c r="G384" s="991"/>
      <c r="H384" s="992"/>
      <c r="I384" s="993"/>
      <c r="J384" s="993"/>
      <c r="K384" s="993"/>
      <c r="L384" s="993"/>
      <c r="M384" s="993"/>
      <c r="N384" s="993"/>
      <c r="O384" s="993"/>
      <c r="P384" s="993"/>
      <c r="Q384" s="993"/>
      <c r="R384" s="993"/>
      <c r="S384" s="936"/>
      <c r="T384" s="998"/>
      <c r="U384" s="935"/>
      <c r="V384" s="935"/>
      <c r="W384" s="949" t="str">
        <f>IF(AND($S$20,NOT($U$20)),IF($V384:$V623="","",SUMIF(portfolio.!$A$4:$A623,V384,portfolio.!$AN$4:$AN623)),"")</f>
        <v/>
      </c>
      <c r="X384" s="998"/>
      <c r="Y384" s="936"/>
      <c r="Z384" s="936" t="s">
        <v>123</v>
      </c>
      <c r="AA384" s="936" t="s">
        <v>123</v>
      </c>
      <c r="AB384" s="936" t="s">
        <v>123</v>
      </c>
      <c r="AC384" s="907" t="s">
        <v>123</v>
      </c>
      <c r="AD384" s="999"/>
      <c r="AE384" s="936"/>
      <c r="AF384" s="936"/>
      <c r="AG384" s="936"/>
      <c r="AH384" s="936"/>
      <c r="AI384" s="999"/>
      <c r="AJ384" s="935"/>
      <c r="AK384" s="966"/>
      <c r="AL384" s="949"/>
      <c r="AM384" s="949" t="s">
        <v>123</v>
      </c>
      <c r="AN384" s="949"/>
      <c r="AO384" s="999"/>
      <c r="AP384" s="936"/>
      <c r="AQ384" s="987"/>
      <c r="AR384" s="907"/>
      <c r="AS384" s="907"/>
      <c r="AT384" s="967" t="s">
        <v>123</v>
      </c>
      <c r="AU384" s="967" t="s">
        <v>123</v>
      </c>
      <c r="AV384" s="967" t="s">
        <v>123</v>
      </c>
      <c r="AW384" s="907" t="s">
        <v>123</v>
      </c>
      <c r="AX384" s="907" t="s">
        <v>123</v>
      </c>
      <c r="AY384" s="907" t="s">
        <v>123</v>
      </c>
      <c r="AZ384" s="936" t="s">
        <v>123</v>
      </c>
      <c r="BA384" s="935" t="s">
        <v>123</v>
      </c>
      <c r="BB384" s="1000"/>
      <c r="BC384" s="1001"/>
      <c r="BD384" s="936"/>
      <c r="BE384" s="907"/>
      <c r="BF384" s="1002" t="str">
        <f>IF($BC384="","",SUMIF(portfolio.!$A$4:$A623,BC384,portfolio.!$AN$4:$AN623))</f>
        <v/>
      </c>
      <c r="BG384" s="936" t="s">
        <v>123</v>
      </c>
      <c r="BH384" s="907" t="s">
        <v>123</v>
      </c>
      <c r="BI384" s="935" t="s">
        <v>123</v>
      </c>
      <c r="BJ384" s="1003"/>
      <c r="BK384" s="907" t="s">
        <v>123</v>
      </c>
      <c r="BL384" s="907" t="s">
        <v>123</v>
      </c>
      <c r="BM384" s="907" t="s">
        <v>123</v>
      </c>
      <c r="BN384" s="1004" t="s">
        <v>123</v>
      </c>
      <c r="BO384" s="907" t="str">
        <f t="shared" si="6"/>
        <v/>
      </c>
      <c r="BP384" s="907" t="str">
        <f t="shared" si="7"/>
        <v/>
      </c>
      <c r="BQ384" s="907" t="str">
        <f t="shared" si="8"/>
        <v/>
      </c>
      <c r="BR384" s="1004" t="str">
        <f t="shared" si="9"/>
        <v/>
      </c>
      <c r="BS384" s="1005" t="str">
        <f t="shared" si="10"/>
        <v/>
      </c>
      <c r="BT384" s="1006" t="s">
        <v>123</v>
      </c>
      <c r="BU384" s="1002" t="s">
        <v>123</v>
      </c>
      <c r="BV384" s="1006" t="s">
        <v>123</v>
      </c>
      <c r="BW384" s="1007"/>
    </row>
    <row r="385">
      <c r="A385" s="624">
        <v>362.0</v>
      </c>
      <c r="B385" s="1008"/>
      <c r="C385" s="989"/>
      <c r="D385" s="851"/>
      <c r="E385" s="990"/>
      <c r="F385" s="991"/>
      <c r="G385" s="991"/>
      <c r="H385" s="992"/>
      <c r="I385" s="993"/>
      <c r="J385" s="993"/>
      <c r="K385" s="993"/>
      <c r="L385" s="993"/>
      <c r="M385" s="993"/>
      <c r="N385" s="993"/>
      <c r="O385" s="993"/>
      <c r="P385" s="993"/>
      <c r="Q385" s="993"/>
      <c r="R385" s="993"/>
      <c r="S385" s="936"/>
      <c r="T385" s="998"/>
      <c r="U385" s="935"/>
      <c r="V385" s="935"/>
      <c r="W385" s="949" t="str">
        <f>IF(AND($S$20,NOT($U$20)),IF($V385:$V623="","",SUMIF(portfolio.!$A$4:$A623,V385,portfolio.!$AN$4:$AN623)),"")</f>
        <v/>
      </c>
      <c r="X385" s="998"/>
      <c r="Y385" s="936"/>
      <c r="Z385" s="936" t="s">
        <v>123</v>
      </c>
      <c r="AA385" s="936" t="s">
        <v>123</v>
      </c>
      <c r="AB385" s="936" t="s">
        <v>123</v>
      </c>
      <c r="AC385" s="907" t="s">
        <v>123</v>
      </c>
      <c r="AD385" s="999"/>
      <c r="AE385" s="936"/>
      <c r="AF385" s="936"/>
      <c r="AG385" s="936"/>
      <c r="AH385" s="936"/>
      <c r="AI385" s="999"/>
      <c r="AJ385" s="935"/>
      <c r="AK385" s="966"/>
      <c r="AL385" s="949"/>
      <c r="AM385" s="949" t="s">
        <v>123</v>
      </c>
      <c r="AN385" s="949"/>
      <c r="AO385" s="999"/>
      <c r="AP385" s="936"/>
      <c r="AQ385" s="987"/>
      <c r="AR385" s="907"/>
      <c r="AS385" s="907"/>
      <c r="AT385" s="967" t="s">
        <v>123</v>
      </c>
      <c r="AU385" s="967" t="s">
        <v>123</v>
      </c>
      <c r="AV385" s="967" t="s">
        <v>123</v>
      </c>
      <c r="AW385" s="907" t="s">
        <v>123</v>
      </c>
      <c r="AX385" s="907" t="s">
        <v>123</v>
      </c>
      <c r="AY385" s="907" t="s">
        <v>123</v>
      </c>
      <c r="AZ385" s="936" t="s">
        <v>123</v>
      </c>
      <c r="BA385" s="935" t="s">
        <v>123</v>
      </c>
      <c r="BB385" s="1000"/>
      <c r="BC385" s="1001"/>
      <c r="BD385" s="936"/>
      <c r="BE385" s="907"/>
      <c r="BF385" s="1002" t="str">
        <f>IF($BC385="","",SUMIF(portfolio.!$A$4:$A623,BC385,portfolio.!$AN$4:$AN623))</f>
        <v/>
      </c>
      <c r="BG385" s="936" t="s">
        <v>123</v>
      </c>
      <c r="BH385" s="907" t="s">
        <v>123</v>
      </c>
      <c r="BI385" s="935" t="s">
        <v>123</v>
      </c>
      <c r="BJ385" s="1003"/>
      <c r="BK385" s="907" t="s">
        <v>123</v>
      </c>
      <c r="BL385" s="907" t="s">
        <v>123</v>
      </c>
      <c r="BM385" s="907" t="s">
        <v>123</v>
      </c>
      <c r="BN385" s="1004" t="s">
        <v>123</v>
      </c>
      <c r="BO385" s="907" t="str">
        <f t="shared" si="6"/>
        <v/>
      </c>
      <c r="BP385" s="907" t="str">
        <f t="shared" si="7"/>
        <v/>
      </c>
      <c r="BQ385" s="907" t="str">
        <f t="shared" si="8"/>
        <v/>
      </c>
      <c r="BR385" s="1004" t="str">
        <f t="shared" si="9"/>
        <v/>
      </c>
      <c r="BS385" s="1005" t="str">
        <f t="shared" si="10"/>
        <v/>
      </c>
      <c r="BT385" s="1006" t="s">
        <v>123</v>
      </c>
      <c r="BU385" s="1002" t="s">
        <v>123</v>
      </c>
      <c r="BV385" s="1006" t="s">
        <v>123</v>
      </c>
      <c r="BW385" s="1007"/>
    </row>
    <row r="386">
      <c r="A386" s="624">
        <v>363.0</v>
      </c>
      <c r="B386" s="1008"/>
      <c r="C386" s="989"/>
      <c r="D386" s="851"/>
      <c r="E386" s="990"/>
      <c r="F386" s="991"/>
      <c r="G386" s="991"/>
      <c r="H386" s="992"/>
      <c r="I386" s="993"/>
      <c r="J386" s="993"/>
      <c r="K386" s="993"/>
      <c r="L386" s="993"/>
      <c r="M386" s="993"/>
      <c r="N386" s="993"/>
      <c r="O386" s="993"/>
      <c r="P386" s="993"/>
      <c r="Q386" s="993"/>
      <c r="R386" s="993"/>
      <c r="S386" s="936"/>
      <c r="T386" s="998"/>
      <c r="U386" s="935"/>
      <c r="V386" s="935"/>
      <c r="W386" s="949" t="str">
        <f>IF(AND($S$20,NOT($U$20)),IF($V386:$V623="","",SUMIF(portfolio.!$A$4:$A623,V386,portfolio.!$AN$4:$AN623)),"")</f>
        <v/>
      </c>
      <c r="X386" s="998"/>
      <c r="Y386" s="936"/>
      <c r="Z386" s="936" t="s">
        <v>123</v>
      </c>
      <c r="AA386" s="936" t="s">
        <v>123</v>
      </c>
      <c r="AB386" s="936" t="s">
        <v>123</v>
      </c>
      <c r="AC386" s="907" t="s">
        <v>123</v>
      </c>
      <c r="AD386" s="999"/>
      <c r="AE386" s="936"/>
      <c r="AF386" s="936"/>
      <c r="AG386" s="936"/>
      <c r="AH386" s="936"/>
      <c r="AI386" s="999"/>
      <c r="AJ386" s="935"/>
      <c r="AK386" s="966"/>
      <c r="AL386" s="949"/>
      <c r="AM386" s="949" t="s">
        <v>123</v>
      </c>
      <c r="AN386" s="949"/>
      <c r="AO386" s="999"/>
      <c r="AP386" s="936"/>
      <c r="AQ386" s="987"/>
      <c r="AR386" s="907"/>
      <c r="AS386" s="907"/>
      <c r="AT386" s="967" t="s">
        <v>123</v>
      </c>
      <c r="AU386" s="967" t="s">
        <v>123</v>
      </c>
      <c r="AV386" s="967" t="s">
        <v>123</v>
      </c>
      <c r="AW386" s="907" t="s">
        <v>123</v>
      </c>
      <c r="AX386" s="907" t="s">
        <v>123</v>
      </c>
      <c r="AY386" s="907" t="s">
        <v>123</v>
      </c>
      <c r="AZ386" s="936" t="s">
        <v>123</v>
      </c>
      <c r="BA386" s="935" t="s">
        <v>123</v>
      </c>
      <c r="BB386" s="1000"/>
      <c r="BC386" s="1001"/>
      <c r="BD386" s="936"/>
      <c r="BE386" s="907"/>
      <c r="BF386" s="1002" t="str">
        <f>IF($BC386="","",SUMIF(portfolio.!$A$4:$A623,BC386,portfolio.!$AN$4:$AN623))</f>
        <v/>
      </c>
      <c r="BG386" s="936" t="s">
        <v>123</v>
      </c>
      <c r="BH386" s="907" t="s">
        <v>123</v>
      </c>
      <c r="BI386" s="935" t="s">
        <v>123</v>
      </c>
      <c r="BJ386" s="1003"/>
      <c r="BK386" s="907" t="s">
        <v>123</v>
      </c>
      <c r="BL386" s="907" t="s">
        <v>123</v>
      </c>
      <c r="BM386" s="907" t="s">
        <v>123</v>
      </c>
      <c r="BN386" s="1004" t="s">
        <v>123</v>
      </c>
      <c r="BO386" s="907" t="str">
        <f t="shared" si="6"/>
        <v/>
      </c>
      <c r="BP386" s="907" t="str">
        <f t="shared" si="7"/>
        <v/>
      </c>
      <c r="BQ386" s="907" t="str">
        <f t="shared" si="8"/>
        <v/>
      </c>
      <c r="BR386" s="1004" t="str">
        <f t="shared" si="9"/>
        <v/>
      </c>
      <c r="BS386" s="1005" t="str">
        <f t="shared" si="10"/>
        <v/>
      </c>
      <c r="BT386" s="1006" t="s">
        <v>123</v>
      </c>
      <c r="BU386" s="1002" t="s">
        <v>123</v>
      </c>
      <c r="BV386" s="1006" t="s">
        <v>123</v>
      </c>
      <c r="BW386" s="1007"/>
    </row>
    <row r="387">
      <c r="A387" s="624">
        <v>364.0</v>
      </c>
      <c r="B387" s="1008"/>
      <c r="C387" s="989"/>
      <c r="D387" s="851"/>
      <c r="E387" s="990"/>
      <c r="F387" s="991"/>
      <c r="G387" s="991"/>
      <c r="H387" s="992"/>
      <c r="I387" s="993"/>
      <c r="J387" s="993"/>
      <c r="K387" s="993"/>
      <c r="L387" s="993"/>
      <c r="M387" s="993"/>
      <c r="N387" s="993"/>
      <c r="O387" s="993"/>
      <c r="P387" s="993"/>
      <c r="Q387" s="993"/>
      <c r="R387" s="993"/>
      <c r="S387" s="936"/>
      <c r="T387" s="998"/>
      <c r="U387" s="935"/>
      <c r="V387" s="935"/>
      <c r="W387" s="949" t="str">
        <f>IF(AND($S$20,NOT($U$20)),IF($V387:$V623="","",SUMIF(portfolio.!$A$4:$A623,V387,portfolio.!$AN$4:$AN623)),"")</f>
        <v/>
      </c>
      <c r="X387" s="998"/>
      <c r="Y387" s="936"/>
      <c r="Z387" s="936" t="s">
        <v>123</v>
      </c>
      <c r="AA387" s="936" t="s">
        <v>123</v>
      </c>
      <c r="AB387" s="936" t="s">
        <v>123</v>
      </c>
      <c r="AC387" s="907" t="s">
        <v>123</v>
      </c>
      <c r="AD387" s="999"/>
      <c r="AE387" s="936"/>
      <c r="AF387" s="936"/>
      <c r="AG387" s="936"/>
      <c r="AH387" s="936"/>
      <c r="AI387" s="999"/>
      <c r="AJ387" s="935"/>
      <c r="AK387" s="966"/>
      <c r="AL387" s="949"/>
      <c r="AM387" s="949" t="s">
        <v>123</v>
      </c>
      <c r="AN387" s="949"/>
      <c r="AO387" s="999"/>
      <c r="AP387" s="936"/>
      <c r="AQ387" s="987"/>
      <c r="AR387" s="907"/>
      <c r="AS387" s="907"/>
      <c r="AT387" s="967" t="s">
        <v>123</v>
      </c>
      <c r="AU387" s="967" t="s">
        <v>123</v>
      </c>
      <c r="AV387" s="967" t="s">
        <v>123</v>
      </c>
      <c r="AW387" s="907" t="s">
        <v>123</v>
      </c>
      <c r="AX387" s="907" t="s">
        <v>123</v>
      </c>
      <c r="AY387" s="907" t="s">
        <v>123</v>
      </c>
      <c r="AZ387" s="936" t="s">
        <v>123</v>
      </c>
      <c r="BA387" s="935" t="s">
        <v>123</v>
      </c>
      <c r="BB387" s="1000"/>
      <c r="BC387" s="1001"/>
      <c r="BD387" s="936"/>
      <c r="BE387" s="907"/>
      <c r="BF387" s="1002" t="str">
        <f>IF($BC387="","",SUMIF(portfolio.!$A$4:$A623,BC387,portfolio.!$AN$4:$AN623))</f>
        <v/>
      </c>
      <c r="BG387" s="936" t="s">
        <v>123</v>
      </c>
      <c r="BH387" s="907" t="s">
        <v>123</v>
      </c>
      <c r="BI387" s="935" t="s">
        <v>123</v>
      </c>
      <c r="BJ387" s="1003"/>
      <c r="BK387" s="907" t="s">
        <v>123</v>
      </c>
      <c r="BL387" s="907" t="s">
        <v>123</v>
      </c>
      <c r="BM387" s="907" t="s">
        <v>123</v>
      </c>
      <c r="BN387" s="1004" t="s">
        <v>123</v>
      </c>
      <c r="BO387" s="907" t="str">
        <f t="shared" si="6"/>
        <v/>
      </c>
      <c r="BP387" s="907" t="str">
        <f t="shared" si="7"/>
        <v/>
      </c>
      <c r="BQ387" s="907" t="str">
        <f t="shared" si="8"/>
        <v/>
      </c>
      <c r="BR387" s="1004" t="str">
        <f t="shared" si="9"/>
        <v/>
      </c>
      <c r="BS387" s="1005" t="str">
        <f t="shared" si="10"/>
        <v/>
      </c>
      <c r="BT387" s="1006" t="s">
        <v>123</v>
      </c>
      <c r="BU387" s="1002" t="s">
        <v>123</v>
      </c>
      <c r="BV387" s="1006" t="s">
        <v>123</v>
      </c>
      <c r="BW387" s="1007"/>
    </row>
    <row r="388">
      <c r="A388" s="624">
        <v>365.0</v>
      </c>
      <c r="B388" s="1008"/>
      <c r="C388" s="989"/>
      <c r="D388" s="851"/>
      <c r="E388" s="990"/>
      <c r="F388" s="991"/>
      <c r="G388" s="991"/>
      <c r="H388" s="992"/>
      <c r="I388" s="993"/>
      <c r="J388" s="993"/>
      <c r="K388" s="993"/>
      <c r="L388" s="993"/>
      <c r="M388" s="993"/>
      <c r="N388" s="993"/>
      <c r="O388" s="993"/>
      <c r="P388" s="993"/>
      <c r="Q388" s="993"/>
      <c r="R388" s="993"/>
      <c r="S388" s="936"/>
      <c r="T388" s="998"/>
      <c r="U388" s="935"/>
      <c r="V388" s="935"/>
      <c r="W388" s="949" t="str">
        <f>IF(AND($S$20,NOT($U$20)),IF($V388:$V623="","",SUMIF(portfolio.!$A$4:$A623,V388,portfolio.!$AN$4:$AN623)),"")</f>
        <v/>
      </c>
      <c r="X388" s="998"/>
      <c r="Y388" s="936"/>
      <c r="Z388" s="936" t="s">
        <v>123</v>
      </c>
      <c r="AA388" s="936" t="s">
        <v>123</v>
      </c>
      <c r="AB388" s="936" t="s">
        <v>123</v>
      </c>
      <c r="AC388" s="907" t="s">
        <v>123</v>
      </c>
      <c r="AD388" s="999"/>
      <c r="AE388" s="936"/>
      <c r="AF388" s="936"/>
      <c r="AG388" s="936"/>
      <c r="AH388" s="936"/>
      <c r="AI388" s="999"/>
      <c r="AJ388" s="935"/>
      <c r="AK388" s="966"/>
      <c r="AL388" s="949"/>
      <c r="AM388" s="949" t="s">
        <v>123</v>
      </c>
      <c r="AN388" s="949"/>
      <c r="AO388" s="999"/>
      <c r="AP388" s="936"/>
      <c r="AQ388" s="987"/>
      <c r="AR388" s="907"/>
      <c r="AS388" s="907"/>
      <c r="AT388" s="967" t="s">
        <v>123</v>
      </c>
      <c r="AU388" s="967" t="s">
        <v>123</v>
      </c>
      <c r="AV388" s="967" t="s">
        <v>123</v>
      </c>
      <c r="AW388" s="907" t="s">
        <v>123</v>
      </c>
      <c r="AX388" s="907" t="s">
        <v>123</v>
      </c>
      <c r="AY388" s="907" t="s">
        <v>123</v>
      </c>
      <c r="AZ388" s="936" t="s">
        <v>123</v>
      </c>
      <c r="BA388" s="935" t="s">
        <v>123</v>
      </c>
      <c r="BB388" s="1000"/>
      <c r="BC388" s="1001"/>
      <c r="BD388" s="936"/>
      <c r="BE388" s="907"/>
      <c r="BF388" s="1002" t="str">
        <f>IF($BC388="","",SUMIF(portfolio.!$A$4:$A623,BC388,portfolio.!$AN$4:$AN623))</f>
        <v/>
      </c>
      <c r="BG388" s="936" t="s">
        <v>123</v>
      </c>
      <c r="BH388" s="907" t="s">
        <v>123</v>
      </c>
      <c r="BI388" s="935" t="s">
        <v>123</v>
      </c>
      <c r="BJ388" s="1003"/>
      <c r="BK388" s="907" t="s">
        <v>123</v>
      </c>
      <c r="BL388" s="907" t="s">
        <v>123</v>
      </c>
      <c r="BM388" s="907" t="s">
        <v>123</v>
      </c>
      <c r="BN388" s="1004" t="s">
        <v>123</v>
      </c>
      <c r="BO388" s="907" t="str">
        <f t="shared" si="6"/>
        <v/>
      </c>
      <c r="BP388" s="907" t="str">
        <f t="shared" si="7"/>
        <v/>
      </c>
      <c r="BQ388" s="907" t="str">
        <f t="shared" si="8"/>
        <v/>
      </c>
      <c r="BR388" s="1004" t="str">
        <f t="shared" si="9"/>
        <v/>
      </c>
      <c r="BS388" s="1005" t="str">
        <f t="shared" si="10"/>
        <v/>
      </c>
      <c r="BT388" s="1006" t="s">
        <v>123</v>
      </c>
      <c r="BU388" s="1002" t="s">
        <v>123</v>
      </c>
      <c r="BV388" s="1006" t="s">
        <v>123</v>
      </c>
      <c r="BW388" s="1007"/>
    </row>
    <row r="389">
      <c r="A389" s="624">
        <v>366.0</v>
      </c>
      <c r="B389" s="1008"/>
      <c r="C389" s="989"/>
      <c r="D389" s="851"/>
      <c r="E389" s="990"/>
      <c r="F389" s="991"/>
      <c r="G389" s="991"/>
      <c r="H389" s="992"/>
      <c r="I389" s="993"/>
      <c r="J389" s="993"/>
      <c r="K389" s="993"/>
      <c r="L389" s="993"/>
      <c r="M389" s="993"/>
      <c r="N389" s="993"/>
      <c r="O389" s="993"/>
      <c r="P389" s="993"/>
      <c r="Q389" s="993"/>
      <c r="R389" s="993"/>
      <c r="S389" s="936"/>
      <c r="T389" s="998"/>
      <c r="U389" s="935"/>
      <c r="V389" s="935"/>
      <c r="W389" s="949" t="str">
        <f>IF(AND($S$20,NOT($U$20)),IF($V389:$V623="","",SUMIF(portfolio.!$A$4:$A623,V389,portfolio.!$AN$4:$AN623)),"")</f>
        <v/>
      </c>
      <c r="X389" s="998"/>
      <c r="Y389" s="936"/>
      <c r="Z389" s="936" t="s">
        <v>123</v>
      </c>
      <c r="AA389" s="936" t="s">
        <v>123</v>
      </c>
      <c r="AB389" s="936" t="s">
        <v>123</v>
      </c>
      <c r="AC389" s="907" t="s">
        <v>123</v>
      </c>
      <c r="AD389" s="999"/>
      <c r="AE389" s="936"/>
      <c r="AF389" s="936"/>
      <c r="AG389" s="936"/>
      <c r="AH389" s="936"/>
      <c r="AI389" s="999"/>
      <c r="AJ389" s="935"/>
      <c r="AK389" s="966"/>
      <c r="AL389" s="949"/>
      <c r="AM389" s="949" t="s">
        <v>123</v>
      </c>
      <c r="AN389" s="949"/>
      <c r="AO389" s="999"/>
      <c r="AP389" s="936"/>
      <c r="AQ389" s="987"/>
      <c r="AR389" s="907"/>
      <c r="AS389" s="907"/>
      <c r="AT389" s="967" t="s">
        <v>123</v>
      </c>
      <c r="AU389" s="967" t="s">
        <v>123</v>
      </c>
      <c r="AV389" s="967" t="s">
        <v>123</v>
      </c>
      <c r="AW389" s="907" t="s">
        <v>123</v>
      </c>
      <c r="AX389" s="907" t="s">
        <v>123</v>
      </c>
      <c r="AY389" s="907" t="s">
        <v>123</v>
      </c>
      <c r="AZ389" s="936" t="s">
        <v>123</v>
      </c>
      <c r="BA389" s="935" t="s">
        <v>123</v>
      </c>
      <c r="BB389" s="1000"/>
      <c r="BC389" s="1001"/>
      <c r="BD389" s="936"/>
      <c r="BE389" s="907"/>
      <c r="BF389" s="1002" t="str">
        <f>IF($BC389="","",SUMIF(portfolio.!$A$4:$A623,BC389,portfolio.!$AN$4:$AN623))</f>
        <v/>
      </c>
      <c r="BG389" s="936" t="s">
        <v>123</v>
      </c>
      <c r="BH389" s="907" t="s">
        <v>123</v>
      </c>
      <c r="BI389" s="935" t="s">
        <v>123</v>
      </c>
      <c r="BJ389" s="1003"/>
      <c r="BK389" s="907" t="s">
        <v>123</v>
      </c>
      <c r="BL389" s="907" t="s">
        <v>123</v>
      </c>
      <c r="BM389" s="907" t="s">
        <v>123</v>
      </c>
      <c r="BN389" s="1004" t="s">
        <v>123</v>
      </c>
      <c r="BO389" s="907" t="str">
        <f t="shared" si="6"/>
        <v/>
      </c>
      <c r="BP389" s="907" t="str">
        <f t="shared" si="7"/>
        <v/>
      </c>
      <c r="BQ389" s="907" t="str">
        <f t="shared" si="8"/>
        <v/>
      </c>
      <c r="BR389" s="1004" t="str">
        <f t="shared" si="9"/>
        <v/>
      </c>
      <c r="BS389" s="1005" t="str">
        <f t="shared" si="10"/>
        <v/>
      </c>
      <c r="BT389" s="1006" t="s">
        <v>123</v>
      </c>
      <c r="BU389" s="1002" t="s">
        <v>123</v>
      </c>
      <c r="BV389" s="1006" t="s">
        <v>123</v>
      </c>
      <c r="BW389" s="1007"/>
    </row>
    <row r="390">
      <c r="A390" s="624">
        <v>367.0</v>
      </c>
      <c r="B390" s="1008"/>
      <c r="C390" s="989"/>
      <c r="D390" s="851"/>
      <c r="E390" s="990"/>
      <c r="F390" s="991"/>
      <c r="G390" s="991"/>
      <c r="H390" s="992"/>
      <c r="I390" s="993"/>
      <c r="J390" s="993"/>
      <c r="K390" s="993"/>
      <c r="L390" s="993"/>
      <c r="M390" s="993"/>
      <c r="N390" s="993"/>
      <c r="O390" s="993"/>
      <c r="P390" s="993"/>
      <c r="Q390" s="993"/>
      <c r="R390" s="993"/>
      <c r="S390" s="936"/>
      <c r="T390" s="998"/>
      <c r="U390" s="935"/>
      <c r="V390" s="935"/>
      <c r="W390" s="949" t="str">
        <f>IF(AND($S$20,NOT($U$20)),IF($V390:$V623="","",SUMIF(portfolio.!$A$4:$A623,V390,portfolio.!$AN$4:$AN623)),"")</f>
        <v/>
      </c>
      <c r="X390" s="998"/>
      <c r="Y390" s="936"/>
      <c r="Z390" s="936" t="s">
        <v>123</v>
      </c>
      <c r="AA390" s="936" t="s">
        <v>123</v>
      </c>
      <c r="AB390" s="936" t="s">
        <v>123</v>
      </c>
      <c r="AC390" s="907" t="s">
        <v>123</v>
      </c>
      <c r="AD390" s="999"/>
      <c r="AE390" s="936"/>
      <c r="AF390" s="936"/>
      <c r="AG390" s="936"/>
      <c r="AH390" s="936"/>
      <c r="AI390" s="999"/>
      <c r="AJ390" s="935"/>
      <c r="AK390" s="966"/>
      <c r="AL390" s="949"/>
      <c r="AM390" s="949" t="s">
        <v>123</v>
      </c>
      <c r="AN390" s="949"/>
      <c r="AO390" s="999"/>
      <c r="AP390" s="936"/>
      <c r="AQ390" s="987"/>
      <c r="AR390" s="907"/>
      <c r="AS390" s="907"/>
      <c r="AT390" s="967" t="s">
        <v>123</v>
      </c>
      <c r="AU390" s="967" t="s">
        <v>123</v>
      </c>
      <c r="AV390" s="967" t="s">
        <v>123</v>
      </c>
      <c r="AW390" s="907" t="s">
        <v>123</v>
      </c>
      <c r="AX390" s="907" t="s">
        <v>123</v>
      </c>
      <c r="AY390" s="907" t="s">
        <v>123</v>
      </c>
      <c r="AZ390" s="936" t="s">
        <v>123</v>
      </c>
      <c r="BA390" s="935" t="s">
        <v>123</v>
      </c>
      <c r="BB390" s="1000"/>
      <c r="BC390" s="1001"/>
      <c r="BD390" s="936"/>
      <c r="BE390" s="907"/>
      <c r="BF390" s="1002" t="str">
        <f>IF($BC390="","",SUMIF(portfolio.!$A$4:$A623,BC390,portfolio.!$AN$4:$AN623))</f>
        <v/>
      </c>
      <c r="BG390" s="936" t="s">
        <v>123</v>
      </c>
      <c r="BH390" s="907" t="s">
        <v>123</v>
      </c>
      <c r="BI390" s="935" t="s">
        <v>123</v>
      </c>
      <c r="BJ390" s="1003"/>
      <c r="BK390" s="907" t="s">
        <v>123</v>
      </c>
      <c r="BL390" s="907" t="s">
        <v>123</v>
      </c>
      <c r="BM390" s="907" t="s">
        <v>123</v>
      </c>
      <c r="BN390" s="1004" t="s">
        <v>123</v>
      </c>
      <c r="BO390" s="907" t="str">
        <f t="shared" si="6"/>
        <v/>
      </c>
      <c r="BP390" s="907" t="str">
        <f t="shared" si="7"/>
        <v/>
      </c>
      <c r="BQ390" s="907" t="str">
        <f t="shared" si="8"/>
        <v/>
      </c>
      <c r="BR390" s="1004" t="str">
        <f t="shared" si="9"/>
        <v/>
      </c>
      <c r="BS390" s="1005" t="str">
        <f t="shared" si="10"/>
        <v/>
      </c>
      <c r="BT390" s="1006" t="s">
        <v>123</v>
      </c>
      <c r="BU390" s="1002" t="s">
        <v>123</v>
      </c>
      <c r="BV390" s="1006" t="s">
        <v>123</v>
      </c>
      <c r="BW390" s="1007"/>
    </row>
    <row r="391">
      <c r="A391" s="624">
        <v>368.0</v>
      </c>
      <c r="B391" s="1008"/>
      <c r="C391" s="989"/>
      <c r="D391" s="851"/>
      <c r="E391" s="990"/>
      <c r="F391" s="991"/>
      <c r="G391" s="991"/>
      <c r="H391" s="992"/>
      <c r="I391" s="993"/>
      <c r="J391" s="993"/>
      <c r="K391" s="993"/>
      <c r="L391" s="993"/>
      <c r="M391" s="993"/>
      <c r="N391" s="993"/>
      <c r="O391" s="993"/>
      <c r="P391" s="993"/>
      <c r="Q391" s="993"/>
      <c r="R391" s="993"/>
      <c r="S391" s="936"/>
      <c r="T391" s="998"/>
      <c r="U391" s="935"/>
      <c r="V391" s="935"/>
      <c r="W391" s="949" t="str">
        <f>IF(AND($S$20,NOT($U$20)),IF($V391:$V623="","",SUMIF(portfolio.!$A$4:$A623,V391,portfolio.!$AN$4:$AN623)),"")</f>
        <v/>
      </c>
      <c r="X391" s="998"/>
      <c r="Y391" s="936"/>
      <c r="Z391" s="936" t="s">
        <v>123</v>
      </c>
      <c r="AA391" s="936" t="s">
        <v>123</v>
      </c>
      <c r="AB391" s="936" t="s">
        <v>123</v>
      </c>
      <c r="AC391" s="907" t="s">
        <v>123</v>
      </c>
      <c r="AD391" s="999"/>
      <c r="AE391" s="936"/>
      <c r="AF391" s="936"/>
      <c r="AG391" s="936"/>
      <c r="AH391" s="936"/>
      <c r="AI391" s="999"/>
      <c r="AJ391" s="935"/>
      <c r="AK391" s="966"/>
      <c r="AL391" s="949"/>
      <c r="AM391" s="949" t="s">
        <v>123</v>
      </c>
      <c r="AN391" s="949"/>
      <c r="AO391" s="999"/>
      <c r="AP391" s="936"/>
      <c r="AQ391" s="987"/>
      <c r="AR391" s="907"/>
      <c r="AS391" s="907"/>
      <c r="AT391" s="967" t="s">
        <v>123</v>
      </c>
      <c r="AU391" s="967" t="s">
        <v>123</v>
      </c>
      <c r="AV391" s="967" t="s">
        <v>123</v>
      </c>
      <c r="AW391" s="907" t="s">
        <v>123</v>
      </c>
      <c r="AX391" s="907" t="s">
        <v>123</v>
      </c>
      <c r="AY391" s="907" t="s">
        <v>123</v>
      </c>
      <c r="AZ391" s="936" t="s">
        <v>123</v>
      </c>
      <c r="BA391" s="935" t="s">
        <v>123</v>
      </c>
      <c r="BB391" s="1000"/>
      <c r="BC391" s="1001"/>
      <c r="BD391" s="936"/>
      <c r="BE391" s="907"/>
      <c r="BF391" s="1002" t="str">
        <f>IF($BC391="","",SUMIF(portfolio.!$A$4:$A623,BC391,portfolio.!$AN$4:$AN623))</f>
        <v/>
      </c>
      <c r="BG391" s="936" t="s">
        <v>123</v>
      </c>
      <c r="BH391" s="907" t="s">
        <v>123</v>
      </c>
      <c r="BI391" s="935" t="s">
        <v>123</v>
      </c>
      <c r="BJ391" s="1003"/>
      <c r="BK391" s="907" t="s">
        <v>123</v>
      </c>
      <c r="BL391" s="907" t="s">
        <v>123</v>
      </c>
      <c r="BM391" s="907" t="s">
        <v>123</v>
      </c>
      <c r="BN391" s="1004" t="s">
        <v>123</v>
      </c>
      <c r="BO391" s="907" t="str">
        <f t="shared" si="6"/>
        <v/>
      </c>
      <c r="BP391" s="907" t="str">
        <f t="shared" si="7"/>
        <v/>
      </c>
      <c r="BQ391" s="907" t="str">
        <f t="shared" si="8"/>
        <v/>
      </c>
      <c r="BR391" s="1004" t="str">
        <f t="shared" si="9"/>
        <v/>
      </c>
      <c r="BS391" s="1005" t="str">
        <f t="shared" si="10"/>
        <v/>
      </c>
      <c r="BT391" s="1006" t="s">
        <v>123</v>
      </c>
      <c r="BU391" s="1002" t="s">
        <v>123</v>
      </c>
      <c r="BV391" s="1006" t="s">
        <v>123</v>
      </c>
      <c r="BW391" s="1007"/>
    </row>
    <row r="392">
      <c r="A392" s="624">
        <v>369.0</v>
      </c>
      <c r="B392" s="1008"/>
      <c r="C392" s="989"/>
      <c r="D392" s="851"/>
      <c r="E392" s="990"/>
      <c r="F392" s="991"/>
      <c r="G392" s="991"/>
      <c r="H392" s="992"/>
      <c r="I392" s="993"/>
      <c r="J392" s="993"/>
      <c r="K392" s="993"/>
      <c r="L392" s="993"/>
      <c r="M392" s="993"/>
      <c r="N392" s="993"/>
      <c r="O392" s="993"/>
      <c r="P392" s="993"/>
      <c r="Q392" s="993"/>
      <c r="R392" s="993"/>
      <c r="S392" s="936"/>
      <c r="T392" s="998"/>
      <c r="U392" s="935"/>
      <c r="V392" s="935"/>
      <c r="W392" s="949" t="str">
        <f>IF(AND($S$20,NOT($U$20)),IF($V392:$V623="","",SUMIF(portfolio.!$A$4:$A623,V392,portfolio.!$AN$4:$AN623)),"")</f>
        <v/>
      </c>
      <c r="X392" s="998"/>
      <c r="Y392" s="936"/>
      <c r="Z392" s="936" t="s">
        <v>123</v>
      </c>
      <c r="AA392" s="936" t="s">
        <v>123</v>
      </c>
      <c r="AB392" s="936" t="s">
        <v>123</v>
      </c>
      <c r="AC392" s="907" t="s">
        <v>123</v>
      </c>
      <c r="AD392" s="999"/>
      <c r="AE392" s="936"/>
      <c r="AF392" s="936"/>
      <c r="AG392" s="936"/>
      <c r="AH392" s="936"/>
      <c r="AI392" s="999"/>
      <c r="AJ392" s="935"/>
      <c r="AK392" s="966"/>
      <c r="AL392" s="949"/>
      <c r="AM392" s="949" t="s">
        <v>123</v>
      </c>
      <c r="AN392" s="949"/>
      <c r="AO392" s="999"/>
      <c r="AP392" s="936"/>
      <c r="AQ392" s="987"/>
      <c r="AR392" s="907"/>
      <c r="AS392" s="907"/>
      <c r="AT392" s="967" t="s">
        <v>123</v>
      </c>
      <c r="AU392" s="967" t="s">
        <v>123</v>
      </c>
      <c r="AV392" s="967" t="s">
        <v>123</v>
      </c>
      <c r="AW392" s="907" t="s">
        <v>123</v>
      </c>
      <c r="AX392" s="907" t="s">
        <v>123</v>
      </c>
      <c r="AY392" s="907" t="s">
        <v>123</v>
      </c>
      <c r="AZ392" s="936" t="s">
        <v>123</v>
      </c>
      <c r="BA392" s="935" t="s">
        <v>123</v>
      </c>
      <c r="BB392" s="1000"/>
      <c r="BC392" s="1001"/>
      <c r="BD392" s="936"/>
      <c r="BE392" s="907"/>
      <c r="BF392" s="1002" t="str">
        <f>IF($BC392="","",SUMIF(portfolio.!$A$4:$A623,BC392,portfolio.!$AN$4:$AN623))</f>
        <v/>
      </c>
      <c r="BG392" s="936" t="s">
        <v>123</v>
      </c>
      <c r="BH392" s="907" t="s">
        <v>123</v>
      </c>
      <c r="BI392" s="935" t="s">
        <v>123</v>
      </c>
      <c r="BJ392" s="1003"/>
      <c r="BK392" s="907" t="s">
        <v>123</v>
      </c>
      <c r="BL392" s="907" t="s">
        <v>123</v>
      </c>
      <c r="BM392" s="907" t="s">
        <v>123</v>
      </c>
      <c r="BN392" s="1004" t="s">
        <v>123</v>
      </c>
      <c r="BO392" s="907" t="str">
        <f t="shared" si="6"/>
        <v/>
      </c>
      <c r="BP392" s="907" t="str">
        <f t="shared" si="7"/>
        <v/>
      </c>
      <c r="BQ392" s="907" t="str">
        <f t="shared" si="8"/>
        <v/>
      </c>
      <c r="BR392" s="1004" t="str">
        <f t="shared" si="9"/>
        <v/>
      </c>
      <c r="BS392" s="1005" t="str">
        <f t="shared" si="10"/>
        <v/>
      </c>
      <c r="BT392" s="1006" t="s">
        <v>123</v>
      </c>
      <c r="BU392" s="1002" t="s">
        <v>123</v>
      </c>
      <c r="BV392" s="1006" t="s">
        <v>123</v>
      </c>
      <c r="BW392" s="1007"/>
    </row>
    <row r="393">
      <c r="A393" s="624">
        <v>370.0</v>
      </c>
      <c r="B393" s="1008"/>
      <c r="C393" s="989"/>
      <c r="D393" s="851"/>
      <c r="E393" s="990"/>
      <c r="F393" s="991"/>
      <c r="G393" s="991"/>
      <c r="H393" s="992"/>
      <c r="I393" s="993"/>
      <c r="J393" s="993"/>
      <c r="K393" s="993"/>
      <c r="L393" s="993"/>
      <c r="M393" s="993"/>
      <c r="N393" s="993"/>
      <c r="O393" s="993"/>
      <c r="P393" s="993"/>
      <c r="Q393" s="993"/>
      <c r="R393" s="993"/>
      <c r="S393" s="936"/>
      <c r="T393" s="998"/>
      <c r="U393" s="935"/>
      <c r="V393" s="935"/>
      <c r="W393" s="949" t="str">
        <f>IF(AND($S$20,NOT($U$20)),IF($V393:$V623="","",SUMIF(portfolio.!$A$4:$A623,V393,portfolio.!$AN$4:$AN623)),"")</f>
        <v/>
      </c>
      <c r="X393" s="998"/>
      <c r="Y393" s="936"/>
      <c r="Z393" s="936" t="s">
        <v>123</v>
      </c>
      <c r="AA393" s="936" t="s">
        <v>123</v>
      </c>
      <c r="AB393" s="936" t="s">
        <v>123</v>
      </c>
      <c r="AC393" s="907" t="s">
        <v>123</v>
      </c>
      <c r="AD393" s="999"/>
      <c r="AE393" s="936"/>
      <c r="AF393" s="936"/>
      <c r="AG393" s="936"/>
      <c r="AH393" s="936"/>
      <c r="AI393" s="999"/>
      <c r="AJ393" s="935"/>
      <c r="AK393" s="966"/>
      <c r="AL393" s="949"/>
      <c r="AM393" s="949" t="s">
        <v>123</v>
      </c>
      <c r="AN393" s="949"/>
      <c r="AO393" s="999"/>
      <c r="AP393" s="936"/>
      <c r="AQ393" s="987"/>
      <c r="AR393" s="907"/>
      <c r="AS393" s="907"/>
      <c r="AT393" s="967" t="s">
        <v>123</v>
      </c>
      <c r="AU393" s="967" t="s">
        <v>123</v>
      </c>
      <c r="AV393" s="967" t="s">
        <v>123</v>
      </c>
      <c r="AW393" s="907" t="s">
        <v>123</v>
      </c>
      <c r="AX393" s="907" t="s">
        <v>123</v>
      </c>
      <c r="AY393" s="907" t="s">
        <v>123</v>
      </c>
      <c r="AZ393" s="936" t="s">
        <v>123</v>
      </c>
      <c r="BA393" s="935" t="s">
        <v>123</v>
      </c>
      <c r="BB393" s="1000"/>
      <c r="BC393" s="1001"/>
      <c r="BD393" s="936"/>
      <c r="BE393" s="907"/>
      <c r="BF393" s="1002" t="str">
        <f>IF($BC393="","",SUMIF(portfolio.!$A$4:$A623,BC393,portfolio.!$AN$4:$AN623))</f>
        <v/>
      </c>
      <c r="BG393" s="936" t="s">
        <v>123</v>
      </c>
      <c r="BH393" s="907" t="s">
        <v>123</v>
      </c>
      <c r="BI393" s="935" t="s">
        <v>123</v>
      </c>
      <c r="BJ393" s="1003"/>
      <c r="BK393" s="907" t="s">
        <v>123</v>
      </c>
      <c r="BL393" s="907" t="s">
        <v>123</v>
      </c>
      <c r="BM393" s="907" t="s">
        <v>123</v>
      </c>
      <c r="BN393" s="1004" t="s">
        <v>123</v>
      </c>
      <c r="BO393" s="907" t="str">
        <f t="shared" si="6"/>
        <v/>
      </c>
      <c r="BP393" s="907" t="str">
        <f t="shared" si="7"/>
        <v/>
      </c>
      <c r="BQ393" s="907" t="str">
        <f t="shared" si="8"/>
        <v/>
      </c>
      <c r="BR393" s="1004" t="str">
        <f t="shared" si="9"/>
        <v/>
      </c>
      <c r="BS393" s="1005" t="str">
        <f t="shared" si="10"/>
        <v/>
      </c>
      <c r="BT393" s="1006" t="s">
        <v>123</v>
      </c>
      <c r="BU393" s="1002" t="s">
        <v>123</v>
      </c>
      <c r="BV393" s="1006" t="s">
        <v>123</v>
      </c>
      <c r="BW393" s="1007"/>
    </row>
    <row r="394">
      <c r="A394" s="624">
        <v>371.0</v>
      </c>
      <c r="B394" s="1008"/>
      <c r="C394" s="989"/>
      <c r="D394" s="851"/>
      <c r="E394" s="990"/>
      <c r="F394" s="991"/>
      <c r="G394" s="991"/>
      <c r="H394" s="992"/>
      <c r="I394" s="993"/>
      <c r="J394" s="993"/>
      <c r="K394" s="993"/>
      <c r="L394" s="993"/>
      <c r="M394" s="993"/>
      <c r="N394" s="993"/>
      <c r="O394" s="993"/>
      <c r="P394" s="993"/>
      <c r="Q394" s="993"/>
      <c r="R394" s="993"/>
      <c r="S394" s="936"/>
      <c r="T394" s="998"/>
      <c r="U394" s="935"/>
      <c r="V394" s="935"/>
      <c r="W394" s="949" t="str">
        <f>IF(AND($S$20,NOT($U$20)),IF($V394:$V623="","",SUMIF(portfolio.!$A$4:$A623,V394,portfolio.!$AN$4:$AN623)),"")</f>
        <v/>
      </c>
      <c r="X394" s="998"/>
      <c r="Y394" s="936"/>
      <c r="Z394" s="936" t="s">
        <v>123</v>
      </c>
      <c r="AA394" s="936" t="s">
        <v>123</v>
      </c>
      <c r="AB394" s="936" t="s">
        <v>123</v>
      </c>
      <c r="AC394" s="907" t="s">
        <v>123</v>
      </c>
      <c r="AD394" s="999"/>
      <c r="AE394" s="936"/>
      <c r="AF394" s="936"/>
      <c r="AG394" s="936"/>
      <c r="AH394" s="936"/>
      <c r="AI394" s="999"/>
      <c r="AJ394" s="935"/>
      <c r="AK394" s="966"/>
      <c r="AL394" s="949"/>
      <c r="AM394" s="949" t="s">
        <v>123</v>
      </c>
      <c r="AN394" s="949"/>
      <c r="AO394" s="999"/>
      <c r="AP394" s="936"/>
      <c r="AQ394" s="987"/>
      <c r="AR394" s="907"/>
      <c r="AS394" s="907"/>
      <c r="AT394" s="967" t="s">
        <v>123</v>
      </c>
      <c r="AU394" s="967" t="s">
        <v>123</v>
      </c>
      <c r="AV394" s="967" t="s">
        <v>123</v>
      </c>
      <c r="AW394" s="907" t="s">
        <v>123</v>
      </c>
      <c r="AX394" s="907" t="s">
        <v>123</v>
      </c>
      <c r="AY394" s="907" t="s">
        <v>123</v>
      </c>
      <c r="AZ394" s="936" t="s">
        <v>123</v>
      </c>
      <c r="BA394" s="935" t="s">
        <v>123</v>
      </c>
      <c r="BB394" s="1000"/>
      <c r="BC394" s="1001"/>
      <c r="BD394" s="936"/>
      <c r="BE394" s="907"/>
      <c r="BF394" s="1002" t="str">
        <f>IF($BC394="","",SUMIF(portfolio.!$A$4:$A623,BC394,portfolio.!$AN$4:$AN623))</f>
        <v/>
      </c>
      <c r="BG394" s="936" t="s">
        <v>123</v>
      </c>
      <c r="BH394" s="907" t="s">
        <v>123</v>
      </c>
      <c r="BI394" s="935" t="s">
        <v>123</v>
      </c>
      <c r="BJ394" s="1003"/>
      <c r="BK394" s="907" t="s">
        <v>123</v>
      </c>
      <c r="BL394" s="907" t="s">
        <v>123</v>
      </c>
      <c r="BM394" s="907" t="s">
        <v>123</v>
      </c>
      <c r="BN394" s="1004" t="s">
        <v>123</v>
      </c>
      <c r="BO394" s="907" t="str">
        <f t="shared" si="6"/>
        <v/>
      </c>
      <c r="BP394" s="907" t="str">
        <f t="shared" si="7"/>
        <v/>
      </c>
      <c r="BQ394" s="907" t="str">
        <f t="shared" si="8"/>
        <v/>
      </c>
      <c r="BR394" s="1004" t="str">
        <f t="shared" si="9"/>
        <v/>
      </c>
      <c r="BS394" s="1005" t="str">
        <f t="shared" si="10"/>
        <v/>
      </c>
      <c r="BT394" s="1006" t="s">
        <v>123</v>
      </c>
      <c r="BU394" s="1002" t="s">
        <v>123</v>
      </c>
      <c r="BV394" s="1006" t="s">
        <v>123</v>
      </c>
      <c r="BW394" s="1007"/>
    </row>
    <row r="395">
      <c r="A395" s="624">
        <v>372.0</v>
      </c>
      <c r="B395" s="1008"/>
      <c r="C395" s="989"/>
      <c r="D395" s="851"/>
      <c r="E395" s="990"/>
      <c r="F395" s="991"/>
      <c r="G395" s="991"/>
      <c r="H395" s="992"/>
      <c r="I395" s="993"/>
      <c r="J395" s="993"/>
      <c r="K395" s="993"/>
      <c r="L395" s="993"/>
      <c r="M395" s="993"/>
      <c r="N395" s="993"/>
      <c r="O395" s="993"/>
      <c r="P395" s="993"/>
      <c r="Q395" s="993"/>
      <c r="R395" s="993"/>
      <c r="S395" s="936"/>
      <c r="T395" s="998"/>
      <c r="U395" s="935"/>
      <c r="V395" s="935"/>
      <c r="W395" s="949" t="str">
        <f>IF(AND($S$20,NOT($U$20)),IF($V395:$V623="","",SUMIF(portfolio.!$A$4:$A623,V395,portfolio.!$AN$4:$AN623)),"")</f>
        <v/>
      </c>
      <c r="X395" s="998"/>
      <c r="Y395" s="936"/>
      <c r="Z395" s="936" t="s">
        <v>123</v>
      </c>
      <c r="AA395" s="936" t="s">
        <v>123</v>
      </c>
      <c r="AB395" s="936" t="s">
        <v>123</v>
      </c>
      <c r="AC395" s="907" t="s">
        <v>123</v>
      </c>
      <c r="AD395" s="999"/>
      <c r="AE395" s="936"/>
      <c r="AF395" s="936"/>
      <c r="AG395" s="936"/>
      <c r="AH395" s="936"/>
      <c r="AI395" s="999"/>
      <c r="AJ395" s="935"/>
      <c r="AK395" s="966"/>
      <c r="AL395" s="949"/>
      <c r="AM395" s="949" t="s">
        <v>123</v>
      </c>
      <c r="AN395" s="949"/>
      <c r="AO395" s="999"/>
      <c r="AP395" s="936"/>
      <c r="AQ395" s="987"/>
      <c r="AR395" s="907"/>
      <c r="AS395" s="907"/>
      <c r="AT395" s="967" t="s">
        <v>123</v>
      </c>
      <c r="AU395" s="967" t="s">
        <v>123</v>
      </c>
      <c r="AV395" s="967" t="s">
        <v>123</v>
      </c>
      <c r="AW395" s="907" t="s">
        <v>123</v>
      </c>
      <c r="AX395" s="907" t="s">
        <v>123</v>
      </c>
      <c r="AY395" s="907" t="s">
        <v>123</v>
      </c>
      <c r="AZ395" s="936" t="s">
        <v>123</v>
      </c>
      <c r="BA395" s="935" t="s">
        <v>123</v>
      </c>
      <c r="BB395" s="1000"/>
      <c r="BC395" s="1001"/>
      <c r="BD395" s="936"/>
      <c r="BE395" s="907"/>
      <c r="BF395" s="1002" t="str">
        <f>IF($BC395="","",SUMIF(portfolio.!$A$4:$A623,BC395,portfolio.!$AN$4:$AN623))</f>
        <v/>
      </c>
      <c r="BG395" s="936" t="s">
        <v>123</v>
      </c>
      <c r="BH395" s="907" t="s">
        <v>123</v>
      </c>
      <c r="BI395" s="935" t="s">
        <v>123</v>
      </c>
      <c r="BJ395" s="1003"/>
      <c r="BK395" s="907" t="s">
        <v>123</v>
      </c>
      <c r="BL395" s="907" t="s">
        <v>123</v>
      </c>
      <c r="BM395" s="907" t="s">
        <v>123</v>
      </c>
      <c r="BN395" s="1004" t="s">
        <v>123</v>
      </c>
      <c r="BO395" s="907" t="str">
        <f t="shared" si="6"/>
        <v/>
      </c>
      <c r="BP395" s="907" t="str">
        <f t="shared" si="7"/>
        <v/>
      </c>
      <c r="BQ395" s="907" t="str">
        <f t="shared" si="8"/>
        <v/>
      </c>
      <c r="BR395" s="1004" t="str">
        <f t="shared" si="9"/>
        <v/>
      </c>
      <c r="BS395" s="1005" t="str">
        <f t="shared" si="10"/>
        <v/>
      </c>
      <c r="BT395" s="1006" t="s">
        <v>123</v>
      </c>
      <c r="BU395" s="1002" t="s">
        <v>123</v>
      </c>
      <c r="BV395" s="1006" t="s">
        <v>123</v>
      </c>
      <c r="BW395" s="1007"/>
    </row>
    <row r="396">
      <c r="A396" s="624">
        <v>373.0</v>
      </c>
      <c r="B396" s="1008"/>
      <c r="C396" s="989"/>
      <c r="D396" s="851"/>
      <c r="E396" s="990"/>
      <c r="F396" s="991"/>
      <c r="G396" s="991"/>
      <c r="H396" s="992"/>
      <c r="I396" s="993"/>
      <c r="J396" s="993"/>
      <c r="K396" s="993"/>
      <c r="L396" s="993"/>
      <c r="M396" s="993"/>
      <c r="N396" s="993"/>
      <c r="O396" s="993"/>
      <c r="P396" s="993"/>
      <c r="Q396" s="993"/>
      <c r="R396" s="993"/>
      <c r="S396" s="936"/>
      <c r="T396" s="998"/>
      <c r="U396" s="935"/>
      <c r="V396" s="935"/>
      <c r="W396" s="949" t="str">
        <f>IF(AND($S$20,NOT($U$20)),IF($V396:$V623="","",SUMIF(portfolio.!$A$4:$A623,V396,portfolio.!$AN$4:$AN623)),"")</f>
        <v/>
      </c>
      <c r="X396" s="998"/>
      <c r="Y396" s="936"/>
      <c r="Z396" s="936" t="s">
        <v>123</v>
      </c>
      <c r="AA396" s="936" t="s">
        <v>123</v>
      </c>
      <c r="AB396" s="936" t="s">
        <v>123</v>
      </c>
      <c r="AC396" s="907" t="s">
        <v>123</v>
      </c>
      <c r="AD396" s="999"/>
      <c r="AE396" s="936"/>
      <c r="AF396" s="936"/>
      <c r="AG396" s="936"/>
      <c r="AH396" s="936"/>
      <c r="AI396" s="999"/>
      <c r="AJ396" s="935"/>
      <c r="AK396" s="966"/>
      <c r="AL396" s="949"/>
      <c r="AM396" s="949" t="s">
        <v>123</v>
      </c>
      <c r="AN396" s="949"/>
      <c r="AO396" s="999"/>
      <c r="AP396" s="936"/>
      <c r="AQ396" s="987"/>
      <c r="AR396" s="907"/>
      <c r="AS396" s="907"/>
      <c r="AT396" s="967" t="s">
        <v>123</v>
      </c>
      <c r="AU396" s="967" t="s">
        <v>123</v>
      </c>
      <c r="AV396" s="967" t="s">
        <v>123</v>
      </c>
      <c r="AW396" s="907" t="s">
        <v>123</v>
      </c>
      <c r="AX396" s="907" t="s">
        <v>123</v>
      </c>
      <c r="AY396" s="907" t="s">
        <v>123</v>
      </c>
      <c r="AZ396" s="936" t="s">
        <v>123</v>
      </c>
      <c r="BA396" s="935" t="s">
        <v>123</v>
      </c>
      <c r="BB396" s="1000"/>
      <c r="BC396" s="1001"/>
      <c r="BD396" s="936"/>
      <c r="BE396" s="907"/>
      <c r="BF396" s="1002" t="str">
        <f>IF($BC396="","",SUMIF(portfolio.!$A$4:$A623,BC396,portfolio.!$AN$4:$AN623))</f>
        <v/>
      </c>
      <c r="BG396" s="936" t="s">
        <v>123</v>
      </c>
      <c r="BH396" s="907" t="s">
        <v>123</v>
      </c>
      <c r="BI396" s="935" t="s">
        <v>123</v>
      </c>
      <c r="BJ396" s="1003"/>
      <c r="BK396" s="907" t="s">
        <v>123</v>
      </c>
      <c r="BL396" s="907" t="s">
        <v>123</v>
      </c>
      <c r="BM396" s="907" t="s">
        <v>123</v>
      </c>
      <c r="BN396" s="1004" t="s">
        <v>123</v>
      </c>
      <c r="BO396" s="907" t="str">
        <f t="shared" si="6"/>
        <v/>
      </c>
      <c r="BP396" s="907" t="str">
        <f t="shared" si="7"/>
        <v/>
      </c>
      <c r="BQ396" s="907" t="str">
        <f t="shared" si="8"/>
        <v/>
      </c>
      <c r="BR396" s="1004" t="str">
        <f t="shared" si="9"/>
        <v/>
      </c>
      <c r="BS396" s="1005" t="str">
        <f t="shared" si="10"/>
        <v/>
      </c>
      <c r="BT396" s="1006" t="s">
        <v>123</v>
      </c>
      <c r="BU396" s="1002" t="s">
        <v>123</v>
      </c>
      <c r="BV396" s="1006" t="s">
        <v>123</v>
      </c>
      <c r="BW396" s="1007"/>
    </row>
    <row r="397">
      <c r="A397" s="624">
        <v>374.0</v>
      </c>
      <c r="B397" s="1008"/>
      <c r="C397" s="989"/>
      <c r="D397" s="851"/>
      <c r="E397" s="990"/>
      <c r="F397" s="991"/>
      <c r="G397" s="991"/>
      <c r="H397" s="992"/>
      <c r="I397" s="993"/>
      <c r="J397" s="993"/>
      <c r="K397" s="993"/>
      <c r="L397" s="993"/>
      <c r="M397" s="993"/>
      <c r="N397" s="993"/>
      <c r="O397" s="993"/>
      <c r="P397" s="993"/>
      <c r="Q397" s="993"/>
      <c r="R397" s="993"/>
      <c r="S397" s="936"/>
      <c r="T397" s="998"/>
      <c r="U397" s="935"/>
      <c r="V397" s="935"/>
      <c r="W397" s="949" t="str">
        <f>IF(AND($S$20,NOT($U$20)),IF($V397:$V623="","",SUMIF(portfolio.!$A$4:$A623,V397,portfolio.!$AN$4:$AN623)),"")</f>
        <v/>
      </c>
      <c r="X397" s="998"/>
      <c r="Y397" s="936"/>
      <c r="Z397" s="936" t="s">
        <v>123</v>
      </c>
      <c r="AA397" s="936" t="s">
        <v>123</v>
      </c>
      <c r="AB397" s="936" t="s">
        <v>123</v>
      </c>
      <c r="AC397" s="907" t="s">
        <v>123</v>
      </c>
      <c r="AD397" s="999"/>
      <c r="AE397" s="936"/>
      <c r="AF397" s="936"/>
      <c r="AG397" s="936"/>
      <c r="AH397" s="936"/>
      <c r="AI397" s="999"/>
      <c r="AJ397" s="935"/>
      <c r="AK397" s="966"/>
      <c r="AL397" s="949"/>
      <c r="AM397" s="949" t="s">
        <v>123</v>
      </c>
      <c r="AN397" s="949"/>
      <c r="AO397" s="999"/>
      <c r="AP397" s="936"/>
      <c r="AQ397" s="987"/>
      <c r="AR397" s="907"/>
      <c r="AS397" s="907"/>
      <c r="AT397" s="967" t="s">
        <v>123</v>
      </c>
      <c r="AU397" s="967" t="s">
        <v>123</v>
      </c>
      <c r="AV397" s="967" t="s">
        <v>123</v>
      </c>
      <c r="AW397" s="907" t="s">
        <v>123</v>
      </c>
      <c r="AX397" s="907" t="s">
        <v>123</v>
      </c>
      <c r="AY397" s="907" t="s">
        <v>123</v>
      </c>
      <c r="AZ397" s="936" t="s">
        <v>123</v>
      </c>
      <c r="BA397" s="935" t="s">
        <v>123</v>
      </c>
      <c r="BB397" s="1000"/>
      <c r="BC397" s="1001"/>
      <c r="BD397" s="936"/>
      <c r="BE397" s="907"/>
      <c r="BF397" s="1002" t="str">
        <f>IF($BC397="","",SUMIF(portfolio.!$A$4:$A623,BC397,portfolio.!$AN$4:$AN623))</f>
        <v/>
      </c>
      <c r="BG397" s="936" t="s">
        <v>123</v>
      </c>
      <c r="BH397" s="907" t="s">
        <v>123</v>
      </c>
      <c r="BI397" s="935" t="s">
        <v>123</v>
      </c>
      <c r="BJ397" s="1003"/>
      <c r="BK397" s="907" t="s">
        <v>123</v>
      </c>
      <c r="BL397" s="907" t="s">
        <v>123</v>
      </c>
      <c r="BM397" s="907" t="s">
        <v>123</v>
      </c>
      <c r="BN397" s="1004" t="s">
        <v>123</v>
      </c>
      <c r="BO397" s="907" t="str">
        <f t="shared" si="6"/>
        <v/>
      </c>
      <c r="BP397" s="907" t="str">
        <f t="shared" si="7"/>
        <v/>
      </c>
      <c r="BQ397" s="907" t="str">
        <f t="shared" si="8"/>
        <v/>
      </c>
      <c r="BR397" s="1004" t="str">
        <f t="shared" si="9"/>
        <v/>
      </c>
      <c r="BS397" s="1005" t="str">
        <f t="shared" si="10"/>
        <v/>
      </c>
      <c r="BT397" s="1006" t="s">
        <v>123</v>
      </c>
      <c r="BU397" s="1002" t="s">
        <v>123</v>
      </c>
      <c r="BV397" s="1006" t="s">
        <v>123</v>
      </c>
      <c r="BW397" s="1007"/>
    </row>
    <row r="398">
      <c r="A398" s="624">
        <v>375.0</v>
      </c>
      <c r="B398" s="1008"/>
      <c r="C398" s="989"/>
      <c r="D398" s="851"/>
      <c r="E398" s="990"/>
      <c r="F398" s="991"/>
      <c r="G398" s="991"/>
      <c r="H398" s="992"/>
      <c r="I398" s="993"/>
      <c r="J398" s="993"/>
      <c r="K398" s="993"/>
      <c r="L398" s="993"/>
      <c r="M398" s="993"/>
      <c r="N398" s="993"/>
      <c r="O398" s="993"/>
      <c r="P398" s="993"/>
      <c r="Q398" s="993"/>
      <c r="R398" s="993"/>
      <c r="S398" s="936"/>
      <c r="T398" s="998"/>
      <c r="U398" s="935"/>
      <c r="V398" s="935"/>
      <c r="W398" s="949" t="str">
        <f>IF(AND($S$20,NOT($U$20)),IF($V398:$V623="","",SUMIF(portfolio.!$A$4:$A623,V398,portfolio.!$AN$4:$AN623)),"")</f>
        <v/>
      </c>
      <c r="X398" s="998"/>
      <c r="Y398" s="936"/>
      <c r="Z398" s="936" t="s">
        <v>123</v>
      </c>
      <c r="AA398" s="936" t="s">
        <v>123</v>
      </c>
      <c r="AB398" s="936" t="s">
        <v>123</v>
      </c>
      <c r="AC398" s="907" t="s">
        <v>123</v>
      </c>
      <c r="AD398" s="999"/>
      <c r="AE398" s="936"/>
      <c r="AF398" s="936"/>
      <c r="AG398" s="936"/>
      <c r="AH398" s="936"/>
      <c r="AI398" s="999"/>
      <c r="AJ398" s="935"/>
      <c r="AK398" s="966"/>
      <c r="AL398" s="949"/>
      <c r="AM398" s="949" t="s">
        <v>123</v>
      </c>
      <c r="AN398" s="949"/>
      <c r="AO398" s="999"/>
      <c r="AP398" s="936"/>
      <c r="AQ398" s="987"/>
      <c r="AR398" s="907"/>
      <c r="AS398" s="907"/>
      <c r="AT398" s="967" t="s">
        <v>123</v>
      </c>
      <c r="AU398" s="967" t="s">
        <v>123</v>
      </c>
      <c r="AV398" s="967" t="s">
        <v>123</v>
      </c>
      <c r="AW398" s="907" t="s">
        <v>123</v>
      </c>
      <c r="AX398" s="907" t="s">
        <v>123</v>
      </c>
      <c r="AY398" s="907" t="s">
        <v>123</v>
      </c>
      <c r="AZ398" s="936" t="s">
        <v>123</v>
      </c>
      <c r="BA398" s="935" t="s">
        <v>123</v>
      </c>
      <c r="BB398" s="1000"/>
      <c r="BC398" s="1001"/>
      <c r="BD398" s="936"/>
      <c r="BE398" s="907"/>
      <c r="BF398" s="1002" t="str">
        <f>IF($BC398="","",SUMIF(portfolio.!$A$4:$A623,BC398,portfolio.!$AN$4:$AN623))</f>
        <v/>
      </c>
      <c r="BG398" s="936" t="s">
        <v>123</v>
      </c>
      <c r="BH398" s="907" t="s">
        <v>123</v>
      </c>
      <c r="BI398" s="935" t="s">
        <v>123</v>
      </c>
      <c r="BJ398" s="1003"/>
      <c r="BK398" s="907" t="s">
        <v>123</v>
      </c>
      <c r="BL398" s="907" t="s">
        <v>123</v>
      </c>
      <c r="BM398" s="907" t="s">
        <v>123</v>
      </c>
      <c r="BN398" s="1004" t="s">
        <v>123</v>
      </c>
      <c r="BO398" s="907" t="str">
        <f t="shared" si="6"/>
        <v/>
      </c>
      <c r="BP398" s="907" t="str">
        <f t="shared" si="7"/>
        <v/>
      </c>
      <c r="BQ398" s="907" t="str">
        <f t="shared" si="8"/>
        <v/>
      </c>
      <c r="BR398" s="1004" t="str">
        <f t="shared" si="9"/>
        <v/>
      </c>
      <c r="BS398" s="1005" t="str">
        <f t="shared" si="10"/>
        <v/>
      </c>
      <c r="BT398" s="1006" t="s">
        <v>123</v>
      </c>
      <c r="BU398" s="1002" t="s">
        <v>123</v>
      </c>
      <c r="BV398" s="1006" t="s">
        <v>123</v>
      </c>
      <c r="BW398" s="1007"/>
    </row>
    <row r="399">
      <c r="A399" s="624">
        <v>376.0</v>
      </c>
      <c r="B399" s="1008"/>
      <c r="C399" s="989"/>
      <c r="D399" s="851"/>
      <c r="E399" s="990"/>
      <c r="F399" s="991"/>
      <c r="G399" s="991"/>
      <c r="H399" s="992"/>
      <c r="I399" s="993"/>
      <c r="J399" s="993"/>
      <c r="K399" s="993"/>
      <c r="L399" s="993"/>
      <c r="M399" s="993"/>
      <c r="N399" s="993"/>
      <c r="O399" s="993"/>
      <c r="P399" s="993"/>
      <c r="Q399" s="993"/>
      <c r="R399" s="993"/>
      <c r="S399" s="936"/>
      <c r="T399" s="998"/>
      <c r="U399" s="935"/>
      <c r="V399" s="935"/>
      <c r="W399" s="949" t="str">
        <f>IF(AND($S$20,NOT($U$20)),IF($V399:$V623="","",SUMIF(portfolio.!$A$4:$A623,V399,portfolio.!$AN$4:$AN623)),"")</f>
        <v/>
      </c>
      <c r="X399" s="998"/>
      <c r="Y399" s="936"/>
      <c r="Z399" s="936" t="s">
        <v>123</v>
      </c>
      <c r="AA399" s="936" t="s">
        <v>123</v>
      </c>
      <c r="AB399" s="936" t="s">
        <v>123</v>
      </c>
      <c r="AC399" s="907" t="s">
        <v>123</v>
      </c>
      <c r="AD399" s="999"/>
      <c r="AE399" s="936"/>
      <c r="AF399" s="936"/>
      <c r="AG399" s="936"/>
      <c r="AH399" s="936"/>
      <c r="AI399" s="999"/>
      <c r="AJ399" s="935"/>
      <c r="AK399" s="966"/>
      <c r="AL399" s="949"/>
      <c r="AM399" s="949" t="s">
        <v>123</v>
      </c>
      <c r="AN399" s="949"/>
      <c r="AO399" s="999"/>
      <c r="AP399" s="936"/>
      <c r="AQ399" s="987"/>
      <c r="AR399" s="907"/>
      <c r="AS399" s="907"/>
      <c r="AT399" s="967" t="s">
        <v>123</v>
      </c>
      <c r="AU399" s="967" t="s">
        <v>123</v>
      </c>
      <c r="AV399" s="967" t="s">
        <v>123</v>
      </c>
      <c r="AW399" s="907" t="s">
        <v>123</v>
      </c>
      <c r="AX399" s="907" t="s">
        <v>123</v>
      </c>
      <c r="AY399" s="907" t="s">
        <v>123</v>
      </c>
      <c r="AZ399" s="936" t="s">
        <v>123</v>
      </c>
      <c r="BA399" s="935" t="s">
        <v>123</v>
      </c>
      <c r="BB399" s="1000"/>
      <c r="BC399" s="1001"/>
      <c r="BD399" s="936"/>
      <c r="BE399" s="907"/>
      <c r="BF399" s="1002" t="str">
        <f>IF($BC399="","",SUMIF(portfolio.!$A$4:$A623,BC399,portfolio.!$AN$4:$AN623))</f>
        <v/>
      </c>
      <c r="BG399" s="936" t="s">
        <v>123</v>
      </c>
      <c r="BH399" s="907" t="s">
        <v>123</v>
      </c>
      <c r="BI399" s="935" t="s">
        <v>123</v>
      </c>
      <c r="BJ399" s="1003"/>
      <c r="BK399" s="907" t="s">
        <v>123</v>
      </c>
      <c r="BL399" s="907" t="s">
        <v>123</v>
      </c>
      <c r="BM399" s="907" t="s">
        <v>123</v>
      </c>
      <c r="BN399" s="1004" t="s">
        <v>123</v>
      </c>
      <c r="BO399" s="907" t="str">
        <f t="shared" si="6"/>
        <v/>
      </c>
      <c r="BP399" s="907" t="str">
        <f t="shared" si="7"/>
        <v/>
      </c>
      <c r="BQ399" s="907" t="str">
        <f t="shared" si="8"/>
        <v/>
      </c>
      <c r="BR399" s="1004" t="str">
        <f t="shared" si="9"/>
        <v/>
      </c>
      <c r="BS399" s="1005" t="str">
        <f t="shared" si="10"/>
        <v/>
      </c>
      <c r="BT399" s="1006" t="s">
        <v>123</v>
      </c>
      <c r="BU399" s="1002" t="s">
        <v>123</v>
      </c>
      <c r="BV399" s="1006" t="s">
        <v>123</v>
      </c>
      <c r="BW399" s="1007"/>
    </row>
    <row r="400">
      <c r="A400" s="624">
        <v>377.0</v>
      </c>
      <c r="B400" s="1008"/>
      <c r="C400" s="989"/>
      <c r="D400" s="851"/>
      <c r="E400" s="990"/>
      <c r="F400" s="991"/>
      <c r="G400" s="991"/>
      <c r="H400" s="992"/>
      <c r="I400" s="993"/>
      <c r="J400" s="993"/>
      <c r="K400" s="993"/>
      <c r="L400" s="993"/>
      <c r="M400" s="993"/>
      <c r="N400" s="993"/>
      <c r="O400" s="993"/>
      <c r="P400" s="993"/>
      <c r="Q400" s="993"/>
      <c r="R400" s="993"/>
      <c r="S400" s="936"/>
      <c r="T400" s="998"/>
      <c r="U400" s="935"/>
      <c r="V400" s="935"/>
      <c r="W400" s="949" t="str">
        <f>IF(AND($S$20,NOT($U$20)),IF($V400:$V623="","",SUMIF(portfolio.!$A$4:$A623,V400,portfolio.!$AN$4:$AN623)),"")</f>
        <v/>
      </c>
      <c r="X400" s="998"/>
      <c r="Y400" s="936"/>
      <c r="Z400" s="936" t="s">
        <v>123</v>
      </c>
      <c r="AA400" s="936" t="s">
        <v>123</v>
      </c>
      <c r="AB400" s="936" t="s">
        <v>123</v>
      </c>
      <c r="AC400" s="907" t="s">
        <v>123</v>
      </c>
      <c r="AD400" s="999"/>
      <c r="AE400" s="936"/>
      <c r="AF400" s="936"/>
      <c r="AG400" s="936"/>
      <c r="AH400" s="936"/>
      <c r="AI400" s="999"/>
      <c r="AJ400" s="935"/>
      <c r="AK400" s="966"/>
      <c r="AL400" s="949"/>
      <c r="AM400" s="949" t="s">
        <v>123</v>
      </c>
      <c r="AN400" s="949"/>
      <c r="AO400" s="999"/>
      <c r="AP400" s="936"/>
      <c r="AQ400" s="987"/>
      <c r="AR400" s="907"/>
      <c r="AS400" s="907"/>
      <c r="AT400" s="967" t="s">
        <v>123</v>
      </c>
      <c r="AU400" s="967" t="s">
        <v>123</v>
      </c>
      <c r="AV400" s="967" t="s">
        <v>123</v>
      </c>
      <c r="AW400" s="907" t="s">
        <v>123</v>
      </c>
      <c r="AX400" s="907" t="s">
        <v>123</v>
      </c>
      <c r="AY400" s="907" t="s">
        <v>123</v>
      </c>
      <c r="AZ400" s="936" t="s">
        <v>123</v>
      </c>
      <c r="BA400" s="935" t="s">
        <v>123</v>
      </c>
      <c r="BB400" s="1000"/>
      <c r="BC400" s="1001"/>
      <c r="BD400" s="936"/>
      <c r="BE400" s="907"/>
      <c r="BF400" s="1002" t="str">
        <f>IF($BC400="","",SUMIF(portfolio.!$A$4:$A623,BC400,portfolio.!$AN$4:$AN623))</f>
        <v/>
      </c>
      <c r="BG400" s="936" t="s">
        <v>123</v>
      </c>
      <c r="BH400" s="907" t="s">
        <v>123</v>
      </c>
      <c r="BI400" s="935" t="s">
        <v>123</v>
      </c>
      <c r="BJ400" s="1003"/>
      <c r="BK400" s="907" t="s">
        <v>123</v>
      </c>
      <c r="BL400" s="907" t="s">
        <v>123</v>
      </c>
      <c r="BM400" s="907" t="s">
        <v>123</v>
      </c>
      <c r="BN400" s="1004" t="s">
        <v>123</v>
      </c>
      <c r="BO400" s="907" t="str">
        <f t="shared" si="6"/>
        <v/>
      </c>
      <c r="BP400" s="907" t="str">
        <f t="shared" si="7"/>
        <v/>
      </c>
      <c r="BQ400" s="907" t="str">
        <f t="shared" si="8"/>
        <v/>
      </c>
      <c r="BR400" s="1004" t="str">
        <f t="shared" si="9"/>
        <v/>
      </c>
      <c r="BS400" s="1005" t="str">
        <f t="shared" si="10"/>
        <v/>
      </c>
      <c r="BT400" s="1006" t="s">
        <v>123</v>
      </c>
      <c r="BU400" s="1002" t="s">
        <v>123</v>
      </c>
      <c r="BV400" s="1006" t="s">
        <v>123</v>
      </c>
      <c r="BW400" s="1007"/>
    </row>
    <row r="401">
      <c r="A401" s="624">
        <v>378.0</v>
      </c>
      <c r="B401" s="1008"/>
      <c r="C401" s="989"/>
      <c r="D401" s="851"/>
      <c r="E401" s="990"/>
      <c r="F401" s="991"/>
      <c r="G401" s="991"/>
      <c r="H401" s="992"/>
      <c r="I401" s="993"/>
      <c r="J401" s="993"/>
      <c r="K401" s="993"/>
      <c r="L401" s="993"/>
      <c r="M401" s="993"/>
      <c r="N401" s="993"/>
      <c r="O401" s="993"/>
      <c r="P401" s="993"/>
      <c r="Q401" s="993"/>
      <c r="R401" s="993"/>
      <c r="S401" s="936"/>
      <c r="T401" s="998"/>
      <c r="U401" s="935"/>
      <c r="V401" s="935"/>
      <c r="W401" s="949" t="str">
        <f>IF(AND($S$20,NOT($U$20)),IF($V401:$V623="","",SUMIF(portfolio.!$A$4:$A623,V401,portfolio.!$AN$4:$AN623)),"")</f>
        <v/>
      </c>
      <c r="X401" s="998"/>
      <c r="Y401" s="936"/>
      <c r="Z401" s="936" t="s">
        <v>123</v>
      </c>
      <c r="AA401" s="936" t="s">
        <v>123</v>
      </c>
      <c r="AB401" s="936" t="s">
        <v>123</v>
      </c>
      <c r="AC401" s="907" t="s">
        <v>123</v>
      </c>
      <c r="AD401" s="999"/>
      <c r="AE401" s="936"/>
      <c r="AF401" s="936"/>
      <c r="AG401" s="936"/>
      <c r="AH401" s="936"/>
      <c r="AI401" s="999"/>
      <c r="AJ401" s="935"/>
      <c r="AK401" s="966"/>
      <c r="AL401" s="949"/>
      <c r="AM401" s="949" t="s">
        <v>123</v>
      </c>
      <c r="AN401" s="949"/>
      <c r="AO401" s="999"/>
      <c r="AP401" s="936"/>
      <c r="AQ401" s="987"/>
      <c r="AR401" s="907"/>
      <c r="AS401" s="907"/>
      <c r="AT401" s="967" t="s">
        <v>123</v>
      </c>
      <c r="AU401" s="967" t="s">
        <v>123</v>
      </c>
      <c r="AV401" s="967" t="s">
        <v>123</v>
      </c>
      <c r="AW401" s="907" t="s">
        <v>123</v>
      </c>
      <c r="AX401" s="907" t="s">
        <v>123</v>
      </c>
      <c r="AY401" s="907" t="s">
        <v>123</v>
      </c>
      <c r="AZ401" s="936" t="s">
        <v>123</v>
      </c>
      <c r="BA401" s="935" t="s">
        <v>123</v>
      </c>
      <c r="BB401" s="1000"/>
      <c r="BC401" s="1001"/>
      <c r="BD401" s="936"/>
      <c r="BE401" s="907"/>
      <c r="BF401" s="1002" t="str">
        <f>IF($BC401="","",SUMIF(portfolio.!$A$4:$A623,BC401,portfolio.!$AN$4:$AN623))</f>
        <v/>
      </c>
      <c r="BG401" s="936" t="s">
        <v>123</v>
      </c>
      <c r="BH401" s="907" t="s">
        <v>123</v>
      </c>
      <c r="BI401" s="935" t="s">
        <v>123</v>
      </c>
      <c r="BJ401" s="1003"/>
      <c r="BK401" s="907" t="s">
        <v>123</v>
      </c>
      <c r="BL401" s="907" t="s">
        <v>123</v>
      </c>
      <c r="BM401" s="907" t="s">
        <v>123</v>
      </c>
      <c r="BN401" s="1004" t="s">
        <v>123</v>
      </c>
      <c r="BO401" s="907" t="str">
        <f t="shared" si="6"/>
        <v/>
      </c>
      <c r="BP401" s="907" t="str">
        <f t="shared" si="7"/>
        <v/>
      </c>
      <c r="BQ401" s="907" t="str">
        <f t="shared" si="8"/>
        <v/>
      </c>
      <c r="BR401" s="1004" t="str">
        <f t="shared" si="9"/>
        <v/>
      </c>
      <c r="BS401" s="1005" t="str">
        <f t="shared" si="10"/>
        <v/>
      </c>
      <c r="BT401" s="1006" t="s">
        <v>123</v>
      </c>
      <c r="BU401" s="1002" t="s">
        <v>123</v>
      </c>
      <c r="BV401" s="1006" t="s">
        <v>123</v>
      </c>
      <c r="BW401" s="1007"/>
    </row>
    <row r="402">
      <c r="A402" s="624">
        <v>379.0</v>
      </c>
      <c r="B402" s="1008"/>
      <c r="C402" s="989"/>
      <c r="D402" s="851"/>
      <c r="E402" s="990"/>
      <c r="F402" s="991"/>
      <c r="G402" s="991"/>
      <c r="H402" s="992"/>
      <c r="I402" s="993"/>
      <c r="J402" s="993"/>
      <c r="K402" s="993"/>
      <c r="L402" s="993"/>
      <c r="M402" s="993"/>
      <c r="N402" s="993"/>
      <c r="O402" s="993"/>
      <c r="P402" s="993"/>
      <c r="Q402" s="993"/>
      <c r="R402" s="993"/>
      <c r="S402" s="936"/>
      <c r="T402" s="998"/>
      <c r="U402" s="935"/>
      <c r="V402" s="935"/>
      <c r="W402" s="949" t="str">
        <f>IF(AND($S$20,NOT($U$20)),IF($V402:$V623="","",SUMIF(portfolio.!$A$4:$A623,V402,portfolio.!$AN$4:$AN623)),"")</f>
        <v/>
      </c>
      <c r="X402" s="998"/>
      <c r="Y402" s="936"/>
      <c r="Z402" s="936" t="s">
        <v>123</v>
      </c>
      <c r="AA402" s="936" t="s">
        <v>123</v>
      </c>
      <c r="AB402" s="936" t="s">
        <v>123</v>
      </c>
      <c r="AC402" s="907" t="s">
        <v>123</v>
      </c>
      <c r="AD402" s="999"/>
      <c r="AE402" s="936"/>
      <c r="AF402" s="936"/>
      <c r="AG402" s="936"/>
      <c r="AH402" s="936"/>
      <c r="AI402" s="999"/>
      <c r="AJ402" s="935"/>
      <c r="AK402" s="966"/>
      <c r="AL402" s="949"/>
      <c r="AM402" s="949" t="s">
        <v>123</v>
      </c>
      <c r="AN402" s="949"/>
      <c r="AO402" s="999"/>
      <c r="AP402" s="936"/>
      <c r="AQ402" s="987"/>
      <c r="AR402" s="907"/>
      <c r="AS402" s="907"/>
      <c r="AT402" s="967" t="s">
        <v>123</v>
      </c>
      <c r="AU402" s="967" t="s">
        <v>123</v>
      </c>
      <c r="AV402" s="967" t="s">
        <v>123</v>
      </c>
      <c r="AW402" s="907" t="s">
        <v>123</v>
      </c>
      <c r="AX402" s="907" t="s">
        <v>123</v>
      </c>
      <c r="AY402" s="907" t="s">
        <v>123</v>
      </c>
      <c r="AZ402" s="936" t="s">
        <v>123</v>
      </c>
      <c r="BA402" s="935" t="s">
        <v>123</v>
      </c>
      <c r="BB402" s="1000"/>
      <c r="BC402" s="1001"/>
      <c r="BD402" s="936"/>
      <c r="BE402" s="907"/>
      <c r="BF402" s="1002" t="str">
        <f>IF($BC402="","",SUMIF(portfolio.!$A$4:$A623,BC402,portfolio.!$AN$4:$AN623))</f>
        <v/>
      </c>
      <c r="BG402" s="936" t="s">
        <v>123</v>
      </c>
      <c r="BH402" s="907" t="s">
        <v>123</v>
      </c>
      <c r="BI402" s="935" t="s">
        <v>123</v>
      </c>
      <c r="BJ402" s="1003"/>
      <c r="BK402" s="907" t="s">
        <v>123</v>
      </c>
      <c r="BL402" s="907" t="s">
        <v>123</v>
      </c>
      <c r="BM402" s="907" t="s">
        <v>123</v>
      </c>
      <c r="BN402" s="1004" t="s">
        <v>123</v>
      </c>
      <c r="BO402" s="907" t="str">
        <f t="shared" si="6"/>
        <v/>
      </c>
      <c r="BP402" s="907" t="str">
        <f t="shared" si="7"/>
        <v/>
      </c>
      <c r="BQ402" s="907" t="str">
        <f t="shared" si="8"/>
        <v/>
      </c>
      <c r="BR402" s="1004" t="str">
        <f t="shared" si="9"/>
        <v/>
      </c>
      <c r="BS402" s="1005" t="str">
        <f t="shared" si="10"/>
        <v/>
      </c>
      <c r="BT402" s="1006" t="s">
        <v>123</v>
      </c>
      <c r="BU402" s="1002" t="s">
        <v>123</v>
      </c>
      <c r="BV402" s="1006" t="s">
        <v>123</v>
      </c>
      <c r="BW402" s="1007"/>
    </row>
    <row r="403">
      <c r="A403" s="624">
        <v>380.0</v>
      </c>
      <c r="B403" s="1008"/>
      <c r="C403" s="989"/>
      <c r="D403" s="851"/>
      <c r="E403" s="990"/>
      <c r="F403" s="991"/>
      <c r="G403" s="991"/>
      <c r="H403" s="992"/>
      <c r="I403" s="993"/>
      <c r="J403" s="993"/>
      <c r="K403" s="993"/>
      <c r="L403" s="993"/>
      <c r="M403" s="993"/>
      <c r="N403" s="993"/>
      <c r="O403" s="993"/>
      <c r="P403" s="993"/>
      <c r="Q403" s="993"/>
      <c r="R403" s="993"/>
      <c r="S403" s="936"/>
      <c r="T403" s="998"/>
      <c r="U403" s="935"/>
      <c r="V403" s="935"/>
      <c r="W403" s="949" t="str">
        <f>IF(AND($S$20,NOT($U$20)),IF($V403:$V623="","",SUMIF(portfolio.!$A$4:$A623,V403,portfolio.!$AN$4:$AN623)),"")</f>
        <v/>
      </c>
      <c r="X403" s="998"/>
      <c r="Y403" s="936"/>
      <c r="Z403" s="936" t="s">
        <v>123</v>
      </c>
      <c r="AA403" s="936" t="s">
        <v>123</v>
      </c>
      <c r="AB403" s="936" t="s">
        <v>123</v>
      </c>
      <c r="AC403" s="907" t="s">
        <v>123</v>
      </c>
      <c r="AD403" s="999"/>
      <c r="AE403" s="936"/>
      <c r="AF403" s="936"/>
      <c r="AG403" s="936"/>
      <c r="AH403" s="936"/>
      <c r="AI403" s="999"/>
      <c r="AJ403" s="935"/>
      <c r="AK403" s="966"/>
      <c r="AL403" s="949"/>
      <c r="AM403" s="949" t="s">
        <v>123</v>
      </c>
      <c r="AN403" s="949"/>
      <c r="AO403" s="999"/>
      <c r="AP403" s="936"/>
      <c r="AQ403" s="987"/>
      <c r="AR403" s="907"/>
      <c r="AS403" s="907"/>
      <c r="AT403" s="967" t="s">
        <v>123</v>
      </c>
      <c r="AU403" s="967" t="s">
        <v>123</v>
      </c>
      <c r="AV403" s="967" t="s">
        <v>123</v>
      </c>
      <c r="AW403" s="907" t="s">
        <v>123</v>
      </c>
      <c r="AX403" s="907" t="s">
        <v>123</v>
      </c>
      <c r="AY403" s="907" t="s">
        <v>123</v>
      </c>
      <c r="AZ403" s="936" t="s">
        <v>123</v>
      </c>
      <c r="BA403" s="935" t="s">
        <v>123</v>
      </c>
      <c r="BB403" s="1000"/>
      <c r="BC403" s="1001"/>
      <c r="BD403" s="936"/>
      <c r="BE403" s="907"/>
      <c r="BF403" s="1002" t="str">
        <f>IF($BC403="","",SUMIF(portfolio.!$A$4:$A623,BC403,portfolio.!$AN$4:$AN623))</f>
        <v/>
      </c>
      <c r="BG403" s="936" t="s">
        <v>123</v>
      </c>
      <c r="BH403" s="907" t="s">
        <v>123</v>
      </c>
      <c r="BI403" s="935" t="s">
        <v>123</v>
      </c>
      <c r="BJ403" s="1003"/>
      <c r="BK403" s="907" t="s">
        <v>123</v>
      </c>
      <c r="BL403" s="907" t="s">
        <v>123</v>
      </c>
      <c r="BM403" s="907" t="s">
        <v>123</v>
      </c>
      <c r="BN403" s="1004" t="s">
        <v>123</v>
      </c>
      <c r="BO403" s="907" t="str">
        <f t="shared" si="6"/>
        <v/>
      </c>
      <c r="BP403" s="907" t="str">
        <f t="shared" si="7"/>
        <v/>
      </c>
      <c r="BQ403" s="907" t="str">
        <f t="shared" si="8"/>
        <v/>
      </c>
      <c r="BR403" s="1004" t="str">
        <f t="shared" si="9"/>
        <v/>
      </c>
      <c r="BS403" s="1005" t="str">
        <f t="shared" si="10"/>
        <v/>
      </c>
      <c r="BT403" s="1006" t="s">
        <v>123</v>
      </c>
      <c r="BU403" s="1002" t="s">
        <v>123</v>
      </c>
      <c r="BV403" s="1006" t="s">
        <v>123</v>
      </c>
      <c r="BW403" s="1007"/>
    </row>
    <row r="404">
      <c r="A404" s="624">
        <v>381.0</v>
      </c>
      <c r="B404" s="1008"/>
      <c r="C404" s="989"/>
      <c r="D404" s="851"/>
      <c r="E404" s="990"/>
      <c r="F404" s="991"/>
      <c r="G404" s="991"/>
      <c r="H404" s="992"/>
      <c r="I404" s="993"/>
      <c r="J404" s="993"/>
      <c r="K404" s="993"/>
      <c r="L404" s="993"/>
      <c r="M404" s="993"/>
      <c r="N404" s="993"/>
      <c r="O404" s="993"/>
      <c r="P404" s="993"/>
      <c r="Q404" s="993"/>
      <c r="R404" s="993"/>
      <c r="S404" s="936"/>
      <c r="T404" s="998"/>
      <c r="U404" s="935"/>
      <c r="V404" s="935"/>
      <c r="W404" s="949" t="str">
        <f>IF(AND($S$20,NOT($U$20)),IF($V404:$V623="","",SUMIF(portfolio.!$A$4:$A623,V404,portfolio.!$AN$4:$AN623)),"")</f>
        <v/>
      </c>
      <c r="X404" s="998"/>
      <c r="Y404" s="936"/>
      <c r="Z404" s="936" t="s">
        <v>123</v>
      </c>
      <c r="AA404" s="936" t="s">
        <v>123</v>
      </c>
      <c r="AB404" s="936" t="s">
        <v>123</v>
      </c>
      <c r="AC404" s="907" t="s">
        <v>123</v>
      </c>
      <c r="AD404" s="999"/>
      <c r="AE404" s="936"/>
      <c r="AF404" s="936"/>
      <c r="AG404" s="936"/>
      <c r="AH404" s="936"/>
      <c r="AI404" s="999"/>
      <c r="AJ404" s="935"/>
      <c r="AK404" s="966"/>
      <c r="AL404" s="949"/>
      <c r="AM404" s="949" t="s">
        <v>123</v>
      </c>
      <c r="AN404" s="949"/>
      <c r="AO404" s="999"/>
      <c r="AP404" s="936"/>
      <c r="AQ404" s="987"/>
      <c r="AR404" s="907"/>
      <c r="AS404" s="907"/>
      <c r="AT404" s="967" t="s">
        <v>123</v>
      </c>
      <c r="AU404" s="967" t="s">
        <v>123</v>
      </c>
      <c r="AV404" s="967" t="s">
        <v>123</v>
      </c>
      <c r="AW404" s="907" t="s">
        <v>123</v>
      </c>
      <c r="AX404" s="907" t="s">
        <v>123</v>
      </c>
      <c r="AY404" s="907" t="s">
        <v>123</v>
      </c>
      <c r="AZ404" s="936" t="s">
        <v>123</v>
      </c>
      <c r="BA404" s="935" t="s">
        <v>123</v>
      </c>
      <c r="BB404" s="1000"/>
      <c r="BC404" s="1001"/>
      <c r="BD404" s="936"/>
      <c r="BE404" s="907"/>
      <c r="BF404" s="1002" t="str">
        <f>IF($BC404="","",SUMIF(portfolio.!$A$4:$A623,BC404,portfolio.!$AN$4:$AN623))</f>
        <v/>
      </c>
      <c r="BG404" s="936" t="s">
        <v>123</v>
      </c>
      <c r="BH404" s="907" t="s">
        <v>123</v>
      </c>
      <c r="BI404" s="935" t="s">
        <v>123</v>
      </c>
      <c r="BJ404" s="1003"/>
      <c r="BK404" s="907" t="s">
        <v>123</v>
      </c>
      <c r="BL404" s="907" t="s">
        <v>123</v>
      </c>
      <c r="BM404" s="907" t="s">
        <v>123</v>
      </c>
      <c r="BN404" s="1004" t="s">
        <v>123</v>
      </c>
      <c r="BO404" s="907" t="str">
        <f t="shared" si="6"/>
        <v/>
      </c>
      <c r="BP404" s="907" t="str">
        <f t="shared" si="7"/>
        <v/>
      </c>
      <c r="BQ404" s="907" t="str">
        <f t="shared" si="8"/>
        <v/>
      </c>
      <c r="BR404" s="1004" t="str">
        <f t="shared" si="9"/>
        <v/>
      </c>
      <c r="BS404" s="1005" t="str">
        <f t="shared" si="10"/>
        <v/>
      </c>
      <c r="BT404" s="1006" t="s">
        <v>123</v>
      </c>
      <c r="BU404" s="1002" t="s">
        <v>123</v>
      </c>
      <c r="BV404" s="1006" t="s">
        <v>123</v>
      </c>
      <c r="BW404" s="1007"/>
    </row>
    <row r="405">
      <c r="A405" s="624">
        <v>382.0</v>
      </c>
      <c r="B405" s="1008"/>
      <c r="C405" s="989"/>
      <c r="D405" s="851"/>
      <c r="E405" s="990"/>
      <c r="F405" s="991"/>
      <c r="G405" s="991"/>
      <c r="H405" s="992"/>
      <c r="I405" s="993"/>
      <c r="J405" s="993"/>
      <c r="K405" s="993"/>
      <c r="L405" s="993"/>
      <c r="M405" s="993"/>
      <c r="N405" s="993"/>
      <c r="O405" s="993"/>
      <c r="P405" s="993"/>
      <c r="Q405" s="993"/>
      <c r="R405" s="993"/>
      <c r="S405" s="936"/>
      <c r="T405" s="998"/>
      <c r="U405" s="935"/>
      <c r="V405" s="935"/>
      <c r="W405" s="949" t="str">
        <f>IF(AND($S$20,NOT($U$20)),IF($V405:$V623="","",SUMIF(portfolio.!$A$4:$A623,V405,portfolio.!$AN$4:$AN623)),"")</f>
        <v/>
      </c>
      <c r="X405" s="998"/>
      <c r="Y405" s="936"/>
      <c r="Z405" s="936" t="s">
        <v>123</v>
      </c>
      <c r="AA405" s="936" t="s">
        <v>123</v>
      </c>
      <c r="AB405" s="936" t="s">
        <v>123</v>
      </c>
      <c r="AC405" s="907" t="s">
        <v>123</v>
      </c>
      <c r="AD405" s="999"/>
      <c r="AE405" s="936"/>
      <c r="AF405" s="936"/>
      <c r="AG405" s="936"/>
      <c r="AH405" s="936"/>
      <c r="AI405" s="999"/>
      <c r="AJ405" s="935"/>
      <c r="AK405" s="966"/>
      <c r="AL405" s="949"/>
      <c r="AM405" s="949" t="s">
        <v>123</v>
      </c>
      <c r="AN405" s="949"/>
      <c r="AO405" s="999"/>
      <c r="AP405" s="936"/>
      <c r="AQ405" s="987"/>
      <c r="AR405" s="907"/>
      <c r="AS405" s="907"/>
      <c r="AT405" s="967" t="s">
        <v>123</v>
      </c>
      <c r="AU405" s="967" t="s">
        <v>123</v>
      </c>
      <c r="AV405" s="967" t="s">
        <v>123</v>
      </c>
      <c r="AW405" s="907" t="s">
        <v>123</v>
      </c>
      <c r="AX405" s="907" t="s">
        <v>123</v>
      </c>
      <c r="AY405" s="907" t="s">
        <v>123</v>
      </c>
      <c r="AZ405" s="936" t="s">
        <v>123</v>
      </c>
      <c r="BA405" s="935" t="s">
        <v>123</v>
      </c>
      <c r="BB405" s="1000"/>
      <c r="BC405" s="1001"/>
      <c r="BD405" s="936"/>
      <c r="BE405" s="907"/>
      <c r="BF405" s="1002" t="str">
        <f>IF($BC405="","",SUMIF(portfolio.!$A$4:$A623,BC405,portfolio.!$AN$4:$AN623))</f>
        <v/>
      </c>
      <c r="BG405" s="936" t="s">
        <v>123</v>
      </c>
      <c r="BH405" s="907" t="s">
        <v>123</v>
      </c>
      <c r="BI405" s="935" t="s">
        <v>123</v>
      </c>
      <c r="BJ405" s="1003"/>
      <c r="BK405" s="907" t="s">
        <v>123</v>
      </c>
      <c r="BL405" s="907" t="s">
        <v>123</v>
      </c>
      <c r="BM405" s="907" t="s">
        <v>123</v>
      </c>
      <c r="BN405" s="1004" t="s">
        <v>123</v>
      </c>
      <c r="BO405" s="907" t="str">
        <f t="shared" si="6"/>
        <v/>
      </c>
      <c r="BP405" s="907" t="str">
        <f t="shared" si="7"/>
        <v/>
      </c>
      <c r="BQ405" s="907" t="str">
        <f t="shared" si="8"/>
        <v/>
      </c>
      <c r="BR405" s="1004" t="str">
        <f t="shared" si="9"/>
        <v/>
      </c>
      <c r="BS405" s="1005" t="str">
        <f t="shared" si="10"/>
        <v/>
      </c>
      <c r="BT405" s="1006" t="s">
        <v>123</v>
      </c>
      <c r="BU405" s="1002" t="s">
        <v>123</v>
      </c>
      <c r="BV405" s="1006" t="s">
        <v>123</v>
      </c>
      <c r="BW405" s="1007"/>
    </row>
    <row r="406">
      <c r="A406" s="624">
        <v>383.0</v>
      </c>
      <c r="B406" s="1008"/>
      <c r="C406" s="989"/>
      <c r="D406" s="851"/>
      <c r="E406" s="990"/>
      <c r="F406" s="991"/>
      <c r="G406" s="991"/>
      <c r="H406" s="992"/>
      <c r="I406" s="993"/>
      <c r="J406" s="993"/>
      <c r="K406" s="993"/>
      <c r="L406" s="993"/>
      <c r="M406" s="993"/>
      <c r="N406" s="993"/>
      <c r="O406" s="993"/>
      <c r="P406" s="993"/>
      <c r="Q406" s="993"/>
      <c r="R406" s="993"/>
      <c r="S406" s="936"/>
      <c r="T406" s="998"/>
      <c r="U406" s="935"/>
      <c r="V406" s="935"/>
      <c r="W406" s="949" t="str">
        <f>IF(AND($S$20,NOT($U$20)),IF($V406:$V623="","",SUMIF(portfolio.!$A$4:$A623,V406,portfolio.!$AN$4:$AN623)),"")</f>
        <v/>
      </c>
      <c r="X406" s="998"/>
      <c r="Y406" s="936"/>
      <c r="Z406" s="936" t="s">
        <v>123</v>
      </c>
      <c r="AA406" s="936" t="s">
        <v>123</v>
      </c>
      <c r="AB406" s="936" t="s">
        <v>123</v>
      </c>
      <c r="AC406" s="907" t="s">
        <v>123</v>
      </c>
      <c r="AD406" s="999"/>
      <c r="AE406" s="936"/>
      <c r="AF406" s="936"/>
      <c r="AG406" s="936"/>
      <c r="AH406" s="936"/>
      <c r="AI406" s="999"/>
      <c r="AJ406" s="935"/>
      <c r="AK406" s="966"/>
      <c r="AL406" s="949"/>
      <c r="AM406" s="949" t="s">
        <v>123</v>
      </c>
      <c r="AN406" s="949"/>
      <c r="AO406" s="999"/>
      <c r="AP406" s="936"/>
      <c r="AQ406" s="987"/>
      <c r="AR406" s="907"/>
      <c r="AS406" s="907"/>
      <c r="AT406" s="967" t="s">
        <v>123</v>
      </c>
      <c r="AU406" s="967" t="s">
        <v>123</v>
      </c>
      <c r="AV406" s="967" t="s">
        <v>123</v>
      </c>
      <c r="AW406" s="907" t="s">
        <v>123</v>
      </c>
      <c r="AX406" s="907" t="s">
        <v>123</v>
      </c>
      <c r="AY406" s="907" t="s">
        <v>123</v>
      </c>
      <c r="AZ406" s="936" t="s">
        <v>123</v>
      </c>
      <c r="BA406" s="935" t="s">
        <v>123</v>
      </c>
      <c r="BB406" s="1000"/>
      <c r="BC406" s="1001"/>
      <c r="BD406" s="936"/>
      <c r="BE406" s="907"/>
      <c r="BF406" s="1002" t="str">
        <f>IF($BC406="","",SUMIF(portfolio.!$A$4:$A623,BC406,portfolio.!$AN$4:$AN623))</f>
        <v/>
      </c>
      <c r="BG406" s="936" t="s">
        <v>123</v>
      </c>
      <c r="BH406" s="907" t="s">
        <v>123</v>
      </c>
      <c r="BI406" s="935" t="s">
        <v>123</v>
      </c>
      <c r="BJ406" s="1003"/>
      <c r="BK406" s="907" t="s">
        <v>123</v>
      </c>
      <c r="BL406" s="907" t="s">
        <v>123</v>
      </c>
      <c r="BM406" s="907" t="s">
        <v>123</v>
      </c>
      <c r="BN406" s="1004" t="s">
        <v>123</v>
      </c>
      <c r="BO406" s="907" t="str">
        <f t="shared" si="6"/>
        <v/>
      </c>
      <c r="BP406" s="907" t="str">
        <f t="shared" si="7"/>
        <v/>
      </c>
      <c r="BQ406" s="907" t="str">
        <f t="shared" si="8"/>
        <v/>
      </c>
      <c r="BR406" s="1004" t="str">
        <f t="shared" si="9"/>
        <v/>
      </c>
      <c r="BS406" s="1005" t="str">
        <f t="shared" si="10"/>
        <v/>
      </c>
      <c r="BT406" s="1006" t="s">
        <v>123</v>
      </c>
      <c r="BU406" s="1002" t="s">
        <v>123</v>
      </c>
      <c r="BV406" s="1006" t="s">
        <v>123</v>
      </c>
      <c r="BW406" s="1007"/>
    </row>
    <row r="407">
      <c r="A407" s="624">
        <v>384.0</v>
      </c>
      <c r="B407" s="1008"/>
      <c r="C407" s="989"/>
      <c r="D407" s="851"/>
      <c r="E407" s="990"/>
      <c r="F407" s="991"/>
      <c r="G407" s="991"/>
      <c r="H407" s="992"/>
      <c r="I407" s="993"/>
      <c r="J407" s="993"/>
      <c r="K407" s="993"/>
      <c r="L407" s="993"/>
      <c r="M407" s="993"/>
      <c r="N407" s="993"/>
      <c r="O407" s="993"/>
      <c r="P407" s="993"/>
      <c r="Q407" s="993"/>
      <c r="R407" s="993"/>
      <c r="S407" s="936"/>
      <c r="T407" s="998"/>
      <c r="U407" s="935"/>
      <c r="V407" s="935"/>
      <c r="W407" s="949" t="str">
        <f>IF(AND($S$20,NOT($U$20)),IF($V407:$V623="","",SUMIF(portfolio.!$A$4:$A623,V407,portfolio.!$AN$4:$AN623)),"")</f>
        <v/>
      </c>
      <c r="X407" s="998"/>
      <c r="Y407" s="936"/>
      <c r="Z407" s="936" t="s">
        <v>123</v>
      </c>
      <c r="AA407" s="936" t="s">
        <v>123</v>
      </c>
      <c r="AB407" s="936" t="s">
        <v>123</v>
      </c>
      <c r="AC407" s="907" t="s">
        <v>123</v>
      </c>
      <c r="AD407" s="999"/>
      <c r="AE407" s="936"/>
      <c r="AF407" s="936"/>
      <c r="AG407" s="936"/>
      <c r="AH407" s="936"/>
      <c r="AI407" s="999"/>
      <c r="AJ407" s="935"/>
      <c r="AK407" s="966"/>
      <c r="AL407" s="949"/>
      <c r="AM407" s="949" t="s">
        <v>123</v>
      </c>
      <c r="AN407" s="949"/>
      <c r="AO407" s="999"/>
      <c r="AP407" s="936"/>
      <c r="AQ407" s="987"/>
      <c r="AR407" s="907"/>
      <c r="AS407" s="907"/>
      <c r="AT407" s="967" t="s">
        <v>123</v>
      </c>
      <c r="AU407" s="967" t="s">
        <v>123</v>
      </c>
      <c r="AV407" s="967" t="s">
        <v>123</v>
      </c>
      <c r="AW407" s="907" t="s">
        <v>123</v>
      </c>
      <c r="AX407" s="907" t="s">
        <v>123</v>
      </c>
      <c r="AY407" s="907" t="s">
        <v>123</v>
      </c>
      <c r="AZ407" s="936" t="s">
        <v>123</v>
      </c>
      <c r="BA407" s="935" t="s">
        <v>123</v>
      </c>
      <c r="BB407" s="1000"/>
      <c r="BC407" s="1001"/>
      <c r="BD407" s="936"/>
      <c r="BE407" s="907"/>
      <c r="BF407" s="1002" t="str">
        <f>IF($BC407="","",SUMIF(portfolio.!$A$4:$A623,BC407,portfolio.!$AN$4:$AN623))</f>
        <v/>
      </c>
      <c r="BG407" s="936" t="s">
        <v>123</v>
      </c>
      <c r="BH407" s="907" t="s">
        <v>123</v>
      </c>
      <c r="BI407" s="935" t="s">
        <v>123</v>
      </c>
      <c r="BJ407" s="1003"/>
      <c r="BK407" s="907" t="s">
        <v>123</v>
      </c>
      <c r="BL407" s="907" t="s">
        <v>123</v>
      </c>
      <c r="BM407" s="907" t="s">
        <v>123</v>
      </c>
      <c r="BN407" s="1004" t="s">
        <v>123</v>
      </c>
      <c r="BO407" s="907" t="str">
        <f t="shared" si="6"/>
        <v/>
      </c>
      <c r="BP407" s="907" t="str">
        <f t="shared" si="7"/>
        <v/>
      </c>
      <c r="BQ407" s="907" t="str">
        <f t="shared" si="8"/>
        <v/>
      </c>
      <c r="BR407" s="1004" t="str">
        <f t="shared" si="9"/>
        <v/>
      </c>
      <c r="BS407" s="1005" t="str">
        <f t="shared" si="10"/>
        <v/>
      </c>
      <c r="BT407" s="1006" t="s">
        <v>123</v>
      </c>
      <c r="BU407" s="1002" t="s">
        <v>123</v>
      </c>
      <c r="BV407" s="1006" t="s">
        <v>123</v>
      </c>
      <c r="BW407" s="1007"/>
    </row>
    <row r="408">
      <c r="A408" s="624">
        <v>385.0</v>
      </c>
      <c r="B408" s="1008"/>
      <c r="C408" s="989"/>
      <c r="D408" s="851"/>
      <c r="E408" s="990"/>
      <c r="F408" s="991"/>
      <c r="G408" s="991"/>
      <c r="H408" s="992"/>
      <c r="I408" s="993"/>
      <c r="J408" s="993"/>
      <c r="K408" s="993"/>
      <c r="L408" s="993"/>
      <c r="M408" s="993"/>
      <c r="N408" s="993"/>
      <c r="O408" s="993"/>
      <c r="P408" s="993"/>
      <c r="Q408" s="993"/>
      <c r="R408" s="993"/>
      <c r="S408" s="936"/>
      <c r="T408" s="998"/>
      <c r="U408" s="935"/>
      <c r="V408" s="935"/>
      <c r="W408" s="949" t="str">
        <f>IF(AND($S$20,NOT($U$20)),IF($V408:$V623="","",SUMIF(portfolio.!$A$4:$A623,V408,portfolio.!$AN$4:$AN623)),"")</f>
        <v/>
      </c>
      <c r="X408" s="998"/>
      <c r="Y408" s="936"/>
      <c r="Z408" s="936" t="s">
        <v>123</v>
      </c>
      <c r="AA408" s="936" t="s">
        <v>123</v>
      </c>
      <c r="AB408" s="936" t="s">
        <v>123</v>
      </c>
      <c r="AC408" s="907" t="s">
        <v>123</v>
      </c>
      <c r="AD408" s="999"/>
      <c r="AE408" s="936"/>
      <c r="AF408" s="936"/>
      <c r="AG408" s="936"/>
      <c r="AH408" s="936"/>
      <c r="AI408" s="999"/>
      <c r="AJ408" s="935"/>
      <c r="AK408" s="966"/>
      <c r="AL408" s="949"/>
      <c r="AM408" s="949" t="s">
        <v>123</v>
      </c>
      <c r="AN408" s="949"/>
      <c r="AO408" s="999"/>
      <c r="AP408" s="936"/>
      <c r="AQ408" s="987"/>
      <c r="AR408" s="907"/>
      <c r="AS408" s="907"/>
      <c r="AT408" s="967" t="s">
        <v>123</v>
      </c>
      <c r="AU408" s="967" t="s">
        <v>123</v>
      </c>
      <c r="AV408" s="967" t="s">
        <v>123</v>
      </c>
      <c r="AW408" s="907" t="s">
        <v>123</v>
      </c>
      <c r="AX408" s="907" t="s">
        <v>123</v>
      </c>
      <c r="AY408" s="907" t="s">
        <v>123</v>
      </c>
      <c r="AZ408" s="936" t="s">
        <v>123</v>
      </c>
      <c r="BA408" s="935" t="s">
        <v>123</v>
      </c>
      <c r="BB408" s="1000"/>
      <c r="BC408" s="1001"/>
      <c r="BD408" s="936"/>
      <c r="BE408" s="907"/>
      <c r="BF408" s="1002" t="str">
        <f>IF($BC408="","",SUMIF(portfolio.!$A$4:$A623,BC408,portfolio.!$AN$4:$AN623))</f>
        <v/>
      </c>
      <c r="BG408" s="936" t="s">
        <v>123</v>
      </c>
      <c r="BH408" s="907" t="s">
        <v>123</v>
      </c>
      <c r="BI408" s="935" t="s">
        <v>123</v>
      </c>
      <c r="BJ408" s="1003"/>
      <c r="BK408" s="907" t="s">
        <v>123</v>
      </c>
      <c r="BL408" s="907" t="s">
        <v>123</v>
      </c>
      <c r="BM408" s="907" t="s">
        <v>123</v>
      </c>
      <c r="BN408" s="1004" t="s">
        <v>123</v>
      </c>
      <c r="BO408" s="907" t="str">
        <f t="shared" si="6"/>
        <v/>
      </c>
      <c r="BP408" s="907" t="str">
        <f t="shared" si="7"/>
        <v/>
      </c>
      <c r="BQ408" s="907" t="str">
        <f t="shared" si="8"/>
        <v/>
      </c>
      <c r="BR408" s="1004" t="str">
        <f t="shared" si="9"/>
        <v/>
      </c>
      <c r="BS408" s="1005" t="str">
        <f t="shared" si="10"/>
        <v/>
      </c>
      <c r="BT408" s="1006" t="s">
        <v>123</v>
      </c>
      <c r="BU408" s="1002" t="s">
        <v>123</v>
      </c>
      <c r="BV408" s="1006" t="s">
        <v>123</v>
      </c>
      <c r="BW408" s="1007"/>
    </row>
    <row r="409">
      <c r="A409" s="624">
        <v>386.0</v>
      </c>
      <c r="B409" s="1008"/>
      <c r="C409" s="989"/>
      <c r="D409" s="851"/>
      <c r="E409" s="990"/>
      <c r="F409" s="991"/>
      <c r="G409" s="991"/>
      <c r="H409" s="992"/>
      <c r="I409" s="993"/>
      <c r="J409" s="993"/>
      <c r="K409" s="993"/>
      <c r="L409" s="993"/>
      <c r="M409" s="993"/>
      <c r="N409" s="993"/>
      <c r="O409" s="993"/>
      <c r="P409" s="993"/>
      <c r="Q409" s="993"/>
      <c r="R409" s="993"/>
      <c r="S409" s="936"/>
      <c r="T409" s="998"/>
      <c r="U409" s="935"/>
      <c r="V409" s="935"/>
      <c r="W409" s="949" t="str">
        <f>IF(AND($S$20,NOT($U$20)),IF($V409:$V623="","",SUMIF(portfolio.!$A$4:$A623,V409,portfolio.!$AN$4:$AN623)),"")</f>
        <v/>
      </c>
      <c r="X409" s="998"/>
      <c r="Y409" s="936"/>
      <c r="Z409" s="936" t="s">
        <v>123</v>
      </c>
      <c r="AA409" s="936" t="s">
        <v>123</v>
      </c>
      <c r="AB409" s="936" t="s">
        <v>123</v>
      </c>
      <c r="AC409" s="907" t="s">
        <v>123</v>
      </c>
      <c r="AD409" s="999"/>
      <c r="AE409" s="936"/>
      <c r="AF409" s="936"/>
      <c r="AG409" s="936"/>
      <c r="AH409" s="936"/>
      <c r="AI409" s="999"/>
      <c r="AJ409" s="935"/>
      <c r="AK409" s="966"/>
      <c r="AL409" s="949"/>
      <c r="AM409" s="949" t="s">
        <v>123</v>
      </c>
      <c r="AN409" s="949"/>
      <c r="AO409" s="999"/>
      <c r="AP409" s="936"/>
      <c r="AQ409" s="987"/>
      <c r="AR409" s="907"/>
      <c r="AS409" s="907"/>
      <c r="AT409" s="967" t="s">
        <v>123</v>
      </c>
      <c r="AU409" s="967" t="s">
        <v>123</v>
      </c>
      <c r="AV409" s="967" t="s">
        <v>123</v>
      </c>
      <c r="AW409" s="907" t="s">
        <v>123</v>
      </c>
      <c r="AX409" s="907" t="s">
        <v>123</v>
      </c>
      <c r="AY409" s="907" t="s">
        <v>123</v>
      </c>
      <c r="AZ409" s="936" t="s">
        <v>123</v>
      </c>
      <c r="BA409" s="935" t="s">
        <v>123</v>
      </c>
      <c r="BB409" s="1000"/>
      <c r="BC409" s="1001"/>
      <c r="BD409" s="936"/>
      <c r="BE409" s="907"/>
      <c r="BF409" s="1002" t="str">
        <f>IF($BC409="","",SUMIF(portfolio.!$A$4:$A623,BC409,portfolio.!$AN$4:$AN623))</f>
        <v/>
      </c>
      <c r="BG409" s="936" t="s">
        <v>123</v>
      </c>
      <c r="BH409" s="907" t="s">
        <v>123</v>
      </c>
      <c r="BI409" s="935" t="s">
        <v>123</v>
      </c>
      <c r="BJ409" s="1003"/>
      <c r="BK409" s="907" t="s">
        <v>123</v>
      </c>
      <c r="BL409" s="907" t="s">
        <v>123</v>
      </c>
      <c r="BM409" s="907" t="s">
        <v>123</v>
      </c>
      <c r="BN409" s="1004" t="s">
        <v>123</v>
      </c>
      <c r="BO409" s="907" t="str">
        <f t="shared" si="6"/>
        <v/>
      </c>
      <c r="BP409" s="907" t="str">
        <f t="shared" si="7"/>
        <v/>
      </c>
      <c r="BQ409" s="907" t="str">
        <f t="shared" si="8"/>
        <v/>
      </c>
      <c r="BR409" s="1004" t="str">
        <f t="shared" si="9"/>
        <v/>
      </c>
      <c r="BS409" s="1005" t="str">
        <f t="shared" si="10"/>
        <v/>
      </c>
      <c r="BT409" s="1006" t="s">
        <v>123</v>
      </c>
      <c r="BU409" s="1002" t="s">
        <v>123</v>
      </c>
      <c r="BV409" s="1006" t="s">
        <v>123</v>
      </c>
      <c r="BW409" s="1007"/>
    </row>
    <row r="410">
      <c r="A410" s="624">
        <v>387.0</v>
      </c>
      <c r="B410" s="1008"/>
      <c r="C410" s="989"/>
      <c r="D410" s="851"/>
      <c r="E410" s="990"/>
      <c r="F410" s="991"/>
      <c r="G410" s="991"/>
      <c r="H410" s="992"/>
      <c r="I410" s="993"/>
      <c r="J410" s="993"/>
      <c r="K410" s="993"/>
      <c r="L410" s="993"/>
      <c r="M410" s="993"/>
      <c r="N410" s="993"/>
      <c r="O410" s="993"/>
      <c r="P410" s="993"/>
      <c r="Q410" s="993"/>
      <c r="R410" s="993"/>
      <c r="S410" s="936"/>
      <c r="T410" s="998"/>
      <c r="U410" s="935"/>
      <c r="V410" s="935"/>
      <c r="W410" s="949" t="str">
        <f>IF(AND($S$20,NOT($U$20)),IF($V410:$V623="","",SUMIF(portfolio.!$A$4:$A623,V410,portfolio.!$AN$4:$AN623)),"")</f>
        <v/>
      </c>
      <c r="X410" s="998"/>
      <c r="Y410" s="936"/>
      <c r="Z410" s="936" t="s">
        <v>123</v>
      </c>
      <c r="AA410" s="936" t="s">
        <v>123</v>
      </c>
      <c r="AB410" s="936" t="s">
        <v>123</v>
      </c>
      <c r="AC410" s="907" t="s">
        <v>123</v>
      </c>
      <c r="AD410" s="999"/>
      <c r="AE410" s="936"/>
      <c r="AF410" s="936"/>
      <c r="AG410" s="936"/>
      <c r="AH410" s="936"/>
      <c r="AI410" s="999"/>
      <c r="AJ410" s="935"/>
      <c r="AK410" s="966"/>
      <c r="AL410" s="949"/>
      <c r="AM410" s="949" t="s">
        <v>123</v>
      </c>
      <c r="AN410" s="949"/>
      <c r="AO410" s="999"/>
      <c r="AP410" s="936"/>
      <c r="AQ410" s="987"/>
      <c r="AR410" s="907"/>
      <c r="AS410" s="907"/>
      <c r="AT410" s="967" t="s">
        <v>123</v>
      </c>
      <c r="AU410" s="967" t="s">
        <v>123</v>
      </c>
      <c r="AV410" s="967" t="s">
        <v>123</v>
      </c>
      <c r="AW410" s="907" t="s">
        <v>123</v>
      </c>
      <c r="AX410" s="907" t="s">
        <v>123</v>
      </c>
      <c r="AY410" s="907" t="s">
        <v>123</v>
      </c>
      <c r="AZ410" s="936" t="s">
        <v>123</v>
      </c>
      <c r="BA410" s="935" t="s">
        <v>123</v>
      </c>
      <c r="BB410" s="1000"/>
      <c r="BC410" s="1001"/>
      <c r="BD410" s="936"/>
      <c r="BE410" s="907"/>
      <c r="BF410" s="1002" t="str">
        <f>IF($BC410="","",SUMIF(portfolio.!$A$4:$A623,BC410,portfolio.!$AN$4:$AN623))</f>
        <v/>
      </c>
      <c r="BG410" s="936" t="s">
        <v>123</v>
      </c>
      <c r="BH410" s="907" t="s">
        <v>123</v>
      </c>
      <c r="BI410" s="935" t="s">
        <v>123</v>
      </c>
      <c r="BJ410" s="1003"/>
      <c r="BK410" s="907" t="s">
        <v>123</v>
      </c>
      <c r="BL410" s="907" t="s">
        <v>123</v>
      </c>
      <c r="BM410" s="907" t="s">
        <v>123</v>
      </c>
      <c r="BN410" s="1004" t="s">
        <v>123</v>
      </c>
      <c r="BO410" s="907" t="str">
        <f t="shared" si="6"/>
        <v/>
      </c>
      <c r="BP410" s="907" t="str">
        <f t="shared" si="7"/>
        <v/>
      </c>
      <c r="BQ410" s="907" t="str">
        <f t="shared" si="8"/>
        <v/>
      </c>
      <c r="BR410" s="1004" t="str">
        <f t="shared" si="9"/>
        <v/>
      </c>
      <c r="BS410" s="1005" t="str">
        <f t="shared" si="10"/>
        <v/>
      </c>
      <c r="BT410" s="1006" t="s">
        <v>123</v>
      </c>
      <c r="BU410" s="1002" t="s">
        <v>123</v>
      </c>
      <c r="BV410" s="1006" t="s">
        <v>123</v>
      </c>
      <c r="BW410" s="1007"/>
    </row>
    <row r="411">
      <c r="A411" s="624">
        <v>388.0</v>
      </c>
      <c r="B411" s="1008"/>
      <c r="C411" s="989"/>
      <c r="D411" s="851"/>
      <c r="E411" s="990"/>
      <c r="F411" s="991"/>
      <c r="G411" s="991"/>
      <c r="H411" s="992"/>
      <c r="I411" s="993"/>
      <c r="J411" s="993"/>
      <c r="K411" s="993"/>
      <c r="L411" s="993"/>
      <c r="M411" s="993"/>
      <c r="N411" s="993"/>
      <c r="O411" s="993"/>
      <c r="P411" s="993"/>
      <c r="Q411" s="993"/>
      <c r="R411" s="993"/>
      <c r="S411" s="936"/>
      <c r="T411" s="998"/>
      <c r="U411" s="935"/>
      <c r="V411" s="935"/>
      <c r="W411" s="949" t="str">
        <f>IF(AND($S$20,NOT($U$20)),IF($V411:$V623="","",SUMIF(portfolio.!$A$4:$A623,V411,portfolio.!$AN$4:$AN623)),"")</f>
        <v/>
      </c>
      <c r="X411" s="998"/>
      <c r="Y411" s="936"/>
      <c r="Z411" s="936" t="s">
        <v>123</v>
      </c>
      <c r="AA411" s="936" t="s">
        <v>123</v>
      </c>
      <c r="AB411" s="936" t="s">
        <v>123</v>
      </c>
      <c r="AC411" s="907" t="s">
        <v>123</v>
      </c>
      <c r="AD411" s="999"/>
      <c r="AE411" s="936"/>
      <c r="AF411" s="936"/>
      <c r="AG411" s="936"/>
      <c r="AH411" s="936"/>
      <c r="AI411" s="999"/>
      <c r="AJ411" s="935"/>
      <c r="AK411" s="966"/>
      <c r="AL411" s="949"/>
      <c r="AM411" s="949" t="s">
        <v>123</v>
      </c>
      <c r="AN411" s="949"/>
      <c r="AO411" s="999"/>
      <c r="AP411" s="936"/>
      <c r="AQ411" s="987"/>
      <c r="AR411" s="907"/>
      <c r="AS411" s="907"/>
      <c r="AT411" s="967" t="s">
        <v>123</v>
      </c>
      <c r="AU411" s="967" t="s">
        <v>123</v>
      </c>
      <c r="AV411" s="967" t="s">
        <v>123</v>
      </c>
      <c r="AW411" s="907" t="s">
        <v>123</v>
      </c>
      <c r="AX411" s="907" t="s">
        <v>123</v>
      </c>
      <c r="AY411" s="907" t="s">
        <v>123</v>
      </c>
      <c r="AZ411" s="936" t="s">
        <v>123</v>
      </c>
      <c r="BA411" s="935" t="s">
        <v>123</v>
      </c>
      <c r="BB411" s="1000"/>
      <c r="BC411" s="1001"/>
      <c r="BD411" s="936"/>
      <c r="BE411" s="907"/>
      <c r="BF411" s="1002" t="str">
        <f>IF($BC411="","",SUMIF(portfolio.!$A$4:$A623,BC411,portfolio.!$AN$4:$AN623))</f>
        <v/>
      </c>
      <c r="BG411" s="936" t="s">
        <v>123</v>
      </c>
      <c r="BH411" s="907" t="s">
        <v>123</v>
      </c>
      <c r="BI411" s="935" t="s">
        <v>123</v>
      </c>
      <c r="BJ411" s="1003"/>
      <c r="BK411" s="907" t="s">
        <v>123</v>
      </c>
      <c r="BL411" s="907" t="s">
        <v>123</v>
      </c>
      <c r="BM411" s="907" t="s">
        <v>123</v>
      </c>
      <c r="BN411" s="1004" t="s">
        <v>123</v>
      </c>
      <c r="BO411" s="907" t="str">
        <f t="shared" si="6"/>
        <v/>
      </c>
      <c r="BP411" s="907" t="str">
        <f t="shared" si="7"/>
        <v/>
      </c>
      <c r="BQ411" s="907" t="str">
        <f t="shared" si="8"/>
        <v/>
      </c>
      <c r="BR411" s="1004" t="str">
        <f t="shared" si="9"/>
        <v/>
      </c>
      <c r="BS411" s="1005" t="str">
        <f t="shared" si="10"/>
        <v/>
      </c>
      <c r="BT411" s="1006" t="s">
        <v>123</v>
      </c>
      <c r="BU411" s="1002" t="s">
        <v>123</v>
      </c>
      <c r="BV411" s="1006" t="s">
        <v>123</v>
      </c>
      <c r="BW411" s="1007"/>
    </row>
    <row r="412">
      <c r="A412" s="624">
        <v>389.0</v>
      </c>
      <c r="B412" s="1008"/>
      <c r="C412" s="989"/>
      <c r="D412" s="851"/>
      <c r="E412" s="990"/>
      <c r="F412" s="991"/>
      <c r="G412" s="991"/>
      <c r="H412" s="992"/>
      <c r="I412" s="993"/>
      <c r="J412" s="993"/>
      <c r="K412" s="993"/>
      <c r="L412" s="993"/>
      <c r="M412" s="993"/>
      <c r="N412" s="993"/>
      <c r="O412" s="993"/>
      <c r="P412" s="993"/>
      <c r="Q412" s="993"/>
      <c r="R412" s="993"/>
      <c r="S412" s="936"/>
      <c r="T412" s="998"/>
      <c r="U412" s="935"/>
      <c r="V412" s="935"/>
      <c r="W412" s="949" t="str">
        <f>IF(AND($S$20,NOT($U$20)),IF($V412:$V623="","",SUMIF(portfolio.!$A$4:$A623,V412,portfolio.!$AN$4:$AN623)),"")</f>
        <v/>
      </c>
      <c r="X412" s="998"/>
      <c r="Y412" s="936"/>
      <c r="Z412" s="936" t="s">
        <v>123</v>
      </c>
      <c r="AA412" s="936" t="s">
        <v>123</v>
      </c>
      <c r="AB412" s="936" t="s">
        <v>123</v>
      </c>
      <c r="AC412" s="907" t="s">
        <v>123</v>
      </c>
      <c r="AD412" s="999"/>
      <c r="AE412" s="936"/>
      <c r="AF412" s="936"/>
      <c r="AG412" s="936"/>
      <c r="AH412" s="936"/>
      <c r="AI412" s="999"/>
      <c r="AJ412" s="935"/>
      <c r="AK412" s="966"/>
      <c r="AL412" s="949"/>
      <c r="AM412" s="949" t="s">
        <v>123</v>
      </c>
      <c r="AN412" s="949"/>
      <c r="AO412" s="999"/>
      <c r="AP412" s="936"/>
      <c r="AQ412" s="987"/>
      <c r="AR412" s="907"/>
      <c r="AS412" s="907"/>
      <c r="AT412" s="967" t="s">
        <v>123</v>
      </c>
      <c r="AU412" s="967" t="s">
        <v>123</v>
      </c>
      <c r="AV412" s="967" t="s">
        <v>123</v>
      </c>
      <c r="AW412" s="907" t="s">
        <v>123</v>
      </c>
      <c r="AX412" s="907" t="s">
        <v>123</v>
      </c>
      <c r="AY412" s="907" t="s">
        <v>123</v>
      </c>
      <c r="AZ412" s="936" t="s">
        <v>123</v>
      </c>
      <c r="BA412" s="935" t="s">
        <v>123</v>
      </c>
      <c r="BB412" s="1000"/>
      <c r="BC412" s="1001"/>
      <c r="BD412" s="936"/>
      <c r="BE412" s="907"/>
      <c r="BF412" s="1002" t="str">
        <f>IF($BC412="","",SUMIF(portfolio.!$A$4:$A623,BC412,portfolio.!$AN$4:$AN623))</f>
        <v/>
      </c>
      <c r="BG412" s="936" t="s">
        <v>123</v>
      </c>
      <c r="BH412" s="907" t="s">
        <v>123</v>
      </c>
      <c r="BI412" s="935" t="s">
        <v>123</v>
      </c>
      <c r="BJ412" s="1003"/>
      <c r="BK412" s="907" t="s">
        <v>123</v>
      </c>
      <c r="BL412" s="907" t="s">
        <v>123</v>
      </c>
      <c r="BM412" s="907" t="s">
        <v>123</v>
      </c>
      <c r="BN412" s="1004" t="s">
        <v>123</v>
      </c>
      <c r="BO412" s="907" t="str">
        <f t="shared" si="6"/>
        <v/>
      </c>
      <c r="BP412" s="907" t="str">
        <f t="shared" si="7"/>
        <v/>
      </c>
      <c r="BQ412" s="907" t="str">
        <f t="shared" si="8"/>
        <v/>
      </c>
      <c r="BR412" s="1004" t="str">
        <f t="shared" si="9"/>
        <v/>
      </c>
      <c r="BS412" s="1005" t="str">
        <f t="shared" si="10"/>
        <v/>
      </c>
      <c r="BT412" s="1006" t="s">
        <v>123</v>
      </c>
      <c r="BU412" s="1002" t="s">
        <v>123</v>
      </c>
      <c r="BV412" s="1006" t="s">
        <v>123</v>
      </c>
      <c r="BW412" s="1007"/>
    </row>
    <row r="413">
      <c r="A413" s="624">
        <v>390.0</v>
      </c>
      <c r="B413" s="1008"/>
      <c r="C413" s="989"/>
      <c r="D413" s="851"/>
      <c r="E413" s="990"/>
      <c r="F413" s="991"/>
      <c r="G413" s="991"/>
      <c r="H413" s="992"/>
      <c r="I413" s="993"/>
      <c r="J413" s="993"/>
      <c r="K413" s="993"/>
      <c r="L413" s="993"/>
      <c r="M413" s="993"/>
      <c r="N413" s="993"/>
      <c r="O413" s="993"/>
      <c r="P413" s="993"/>
      <c r="Q413" s="993"/>
      <c r="R413" s="993"/>
      <c r="S413" s="936"/>
      <c r="T413" s="998"/>
      <c r="U413" s="935"/>
      <c r="V413" s="935"/>
      <c r="W413" s="949" t="str">
        <f>IF(AND($S$20,NOT($U$20)),IF($V413:$V623="","",SUMIF(portfolio.!$A$4:$A623,V413,portfolio.!$AN$4:$AN623)),"")</f>
        <v/>
      </c>
      <c r="X413" s="998"/>
      <c r="Y413" s="936"/>
      <c r="Z413" s="936" t="s">
        <v>123</v>
      </c>
      <c r="AA413" s="936" t="s">
        <v>123</v>
      </c>
      <c r="AB413" s="936" t="s">
        <v>123</v>
      </c>
      <c r="AC413" s="907" t="s">
        <v>123</v>
      </c>
      <c r="AD413" s="999"/>
      <c r="AE413" s="936"/>
      <c r="AF413" s="936"/>
      <c r="AG413" s="936"/>
      <c r="AH413" s="936"/>
      <c r="AI413" s="999"/>
      <c r="AJ413" s="935"/>
      <c r="AK413" s="966"/>
      <c r="AL413" s="949"/>
      <c r="AM413" s="949" t="s">
        <v>123</v>
      </c>
      <c r="AN413" s="949"/>
      <c r="AO413" s="999"/>
      <c r="AP413" s="936"/>
      <c r="AQ413" s="987"/>
      <c r="AR413" s="907"/>
      <c r="AS413" s="907"/>
      <c r="AT413" s="967" t="s">
        <v>123</v>
      </c>
      <c r="AU413" s="967" t="s">
        <v>123</v>
      </c>
      <c r="AV413" s="967" t="s">
        <v>123</v>
      </c>
      <c r="AW413" s="907" t="s">
        <v>123</v>
      </c>
      <c r="AX413" s="907" t="s">
        <v>123</v>
      </c>
      <c r="AY413" s="907" t="s">
        <v>123</v>
      </c>
      <c r="AZ413" s="936" t="s">
        <v>123</v>
      </c>
      <c r="BA413" s="935" t="s">
        <v>123</v>
      </c>
      <c r="BB413" s="1000"/>
      <c r="BC413" s="1001"/>
      <c r="BD413" s="936"/>
      <c r="BE413" s="907"/>
      <c r="BF413" s="1002" t="str">
        <f>IF($BC413="","",SUMIF(portfolio.!$A$4:$A623,BC413,portfolio.!$AN$4:$AN623))</f>
        <v/>
      </c>
      <c r="BG413" s="936" t="s">
        <v>123</v>
      </c>
      <c r="BH413" s="907" t="s">
        <v>123</v>
      </c>
      <c r="BI413" s="935" t="s">
        <v>123</v>
      </c>
      <c r="BJ413" s="1003"/>
      <c r="BK413" s="907" t="s">
        <v>123</v>
      </c>
      <c r="BL413" s="907" t="s">
        <v>123</v>
      </c>
      <c r="BM413" s="907" t="s">
        <v>123</v>
      </c>
      <c r="BN413" s="1004" t="s">
        <v>123</v>
      </c>
      <c r="BO413" s="907" t="str">
        <f t="shared" si="6"/>
        <v/>
      </c>
      <c r="BP413" s="907" t="str">
        <f t="shared" si="7"/>
        <v/>
      </c>
      <c r="BQ413" s="907" t="str">
        <f t="shared" si="8"/>
        <v/>
      </c>
      <c r="BR413" s="1004" t="str">
        <f t="shared" si="9"/>
        <v/>
      </c>
      <c r="BS413" s="1005" t="str">
        <f t="shared" si="10"/>
        <v/>
      </c>
      <c r="BT413" s="1006" t="s">
        <v>123</v>
      </c>
      <c r="BU413" s="1002" t="s">
        <v>123</v>
      </c>
      <c r="BV413" s="1006" t="s">
        <v>123</v>
      </c>
      <c r="BW413" s="1007"/>
    </row>
    <row r="414">
      <c r="A414" s="624">
        <v>391.0</v>
      </c>
      <c r="B414" s="1008"/>
      <c r="C414" s="989"/>
      <c r="D414" s="851"/>
      <c r="E414" s="990"/>
      <c r="F414" s="991"/>
      <c r="G414" s="991"/>
      <c r="H414" s="992"/>
      <c r="I414" s="993"/>
      <c r="J414" s="993"/>
      <c r="K414" s="993"/>
      <c r="L414" s="993"/>
      <c r="M414" s="993"/>
      <c r="N414" s="993"/>
      <c r="O414" s="993"/>
      <c r="P414" s="993"/>
      <c r="Q414" s="993"/>
      <c r="R414" s="993"/>
      <c r="S414" s="936"/>
      <c r="T414" s="998"/>
      <c r="U414" s="935"/>
      <c r="V414" s="935"/>
      <c r="W414" s="949" t="str">
        <f>IF(AND($S$20,NOT($U$20)),IF($V414:$V623="","",SUMIF(portfolio.!$A$4:$A623,V414,portfolio.!$AN$4:$AN623)),"")</f>
        <v/>
      </c>
      <c r="X414" s="998"/>
      <c r="Y414" s="936"/>
      <c r="Z414" s="936" t="s">
        <v>123</v>
      </c>
      <c r="AA414" s="936" t="s">
        <v>123</v>
      </c>
      <c r="AB414" s="936" t="s">
        <v>123</v>
      </c>
      <c r="AC414" s="907" t="s">
        <v>123</v>
      </c>
      <c r="AD414" s="999"/>
      <c r="AE414" s="936"/>
      <c r="AF414" s="936"/>
      <c r="AG414" s="936"/>
      <c r="AH414" s="936"/>
      <c r="AI414" s="999"/>
      <c r="AJ414" s="935"/>
      <c r="AK414" s="966"/>
      <c r="AL414" s="949"/>
      <c r="AM414" s="949" t="s">
        <v>123</v>
      </c>
      <c r="AN414" s="949"/>
      <c r="AO414" s="999"/>
      <c r="AP414" s="936"/>
      <c r="AQ414" s="987"/>
      <c r="AR414" s="907"/>
      <c r="AS414" s="907"/>
      <c r="AT414" s="967" t="s">
        <v>123</v>
      </c>
      <c r="AU414" s="967" t="s">
        <v>123</v>
      </c>
      <c r="AV414" s="967" t="s">
        <v>123</v>
      </c>
      <c r="AW414" s="907" t="s">
        <v>123</v>
      </c>
      <c r="AX414" s="907" t="s">
        <v>123</v>
      </c>
      <c r="AY414" s="907" t="s">
        <v>123</v>
      </c>
      <c r="AZ414" s="936" t="s">
        <v>123</v>
      </c>
      <c r="BA414" s="935" t="s">
        <v>123</v>
      </c>
      <c r="BB414" s="1000"/>
      <c r="BC414" s="1001"/>
      <c r="BD414" s="936"/>
      <c r="BE414" s="907"/>
      <c r="BF414" s="1002" t="str">
        <f>IF($BC414="","",SUMIF(portfolio.!$A$4:$A623,BC414,portfolio.!$AN$4:$AN623))</f>
        <v/>
      </c>
      <c r="BG414" s="936" t="s">
        <v>123</v>
      </c>
      <c r="BH414" s="907" t="s">
        <v>123</v>
      </c>
      <c r="BI414" s="935" t="s">
        <v>123</v>
      </c>
      <c r="BJ414" s="1003"/>
      <c r="BK414" s="907" t="s">
        <v>123</v>
      </c>
      <c r="BL414" s="907" t="s">
        <v>123</v>
      </c>
      <c r="BM414" s="907" t="s">
        <v>123</v>
      </c>
      <c r="BN414" s="1004" t="s">
        <v>123</v>
      </c>
      <c r="BO414" s="907" t="str">
        <f t="shared" si="6"/>
        <v/>
      </c>
      <c r="BP414" s="907" t="str">
        <f t="shared" si="7"/>
        <v/>
      </c>
      <c r="BQ414" s="907" t="str">
        <f t="shared" si="8"/>
        <v/>
      </c>
      <c r="BR414" s="1004" t="str">
        <f t="shared" si="9"/>
        <v/>
      </c>
      <c r="BS414" s="1005" t="str">
        <f t="shared" si="10"/>
        <v/>
      </c>
      <c r="BT414" s="1006" t="s">
        <v>123</v>
      </c>
      <c r="BU414" s="1002" t="s">
        <v>123</v>
      </c>
      <c r="BV414" s="1006" t="s">
        <v>123</v>
      </c>
      <c r="BW414" s="1007"/>
    </row>
    <row r="415">
      <c r="A415" s="624">
        <v>392.0</v>
      </c>
      <c r="B415" s="1008"/>
      <c r="C415" s="989"/>
      <c r="D415" s="851"/>
      <c r="E415" s="990"/>
      <c r="F415" s="991"/>
      <c r="G415" s="991"/>
      <c r="H415" s="992"/>
      <c r="I415" s="993"/>
      <c r="J415" s="993"/>
      <c r="K415" s="993"/>
      <c r="L415" s="993"/>
      <c r="M415" s="993"/>
      <c r="N415" s="993"/>
      <c r="O415" s="993"/>
      <c r="P415" s="993"/>
      <c r="Q415" s="993"/>
      <c r="R415" s="993"/>
      <c r="S415" s="936"/>
      <c r="T415" s="998"/>
      <c r="U415" s="935"/>
      <c r="V415" s="935"/>
      <c r="W415" s="949" t="str">
        <f>IF(AND($S$20,NOT($U$20)),IF($V415:$V623="","",SUMIF(portfolio.!$A$4:$A623,V415,portfolio.!$AN$4:$AN623)),"")</f>
        <v/>
      </c>
      <c r="X415" s="998"/>
      <c r="Y415" s="936"/>
      <c r="Z415" s="936" t="s">
        <v>123</v>
      </c>
      <c r="AA415" s="936" t="s">
        <v>123</v>
      </c>
      <c r="AB415" s="936" t="s">
        <v>123</v>
      </c>
      <c r="AC415" s="907" t="s">
        <v>123</v>
      </c>
      <c r="AD415" s="999"/>
      <c r="AE415" s="936"/>
      <c r="AF415" s="936"/>
      <c r="AG415" s="936"/>
      <c r="AH415" s="936"/>
      <c r="AI415" s="999"/>
      <c r="AJ415" s="935"/>
      <c r="AK415" s="966"/>
      <c r="AL415" s="949"/>
      <c r="AM415" s="949" t="s">
        <v>123</v>
      </c>
      <c r="AN415" s="949"/>
      <c r="AO415" s="999"/>
      <c r="AP415" s="936"/>
      <c r="AQ415" s="987"/>
      <c r="AR415" s="907"/>
      <c r="AS415" s="907"/>
      <c r="AT415" s="967" t="s">
        <v>123</v>
      </c>
      <c r="AU415" s="967" t="s">
        <v>123</v>
      </c>
      <c r="AV415" s="967" t="s">
        <v>123</v>
      </c>
      <c r="AW415" s="907" t="s">
        <v>123</v>
      </c>
      <c r="AX415" s="907" t="s">
        <v>123</v>
      </c>
      <c r="AY415" s="907" t="s">
        <v>123</v>
      </c>
      <c r="AZ415" s="936" t="s">
        <v>123</v>
      </c>
      <c r="BA415" s="935" t="s">
        <v>123</v>
      </c>
      <c r="BB415" s="1000"/>
      <c r="BC415" s="1001"/>
      <c r="BD415" s="936"/>
      <c r="BE415" s="907"/>
      <c r="BF415" s="1002" t="str">
        <f>IF($BC415="","",SUMIF(portfolio.!$A$4:$A623,BC415,portfolio.!$AN$4:$AN623))</f>
        <v/>
      </c>
      <c r="BG415" s="936" t="s">
        <v>123</v>
      </c>
      <c r="BH415" s="907" t="s">
        <v>123</v>
      </c>
      <c r="BI415" s="935" t="s">
        <v>123</v>
      </c>
      <c r="BJ415" s="1003"/>
      <c r="BK415" s="907" t="s">
        <v>123</v>
      </c>
      <c r="BL415" s="907" t="s">
        <v>123</v>
      </c>
      <c r="BM415" s="907" t="s">
        <v>123</v>
      </c>
      <c r="BN415" s="1004" t="s">
        <v>123</v>
      </c>
      <c r="BO415" s="907" t="str">
        <f t="shared" si="6"/>
        <v/>
      </c>
      <c r="BP415" s="907" t="str">
        <f t="shared" si="7"/>
        <v/>
      </c>
      <c r="BQ415" s="907" t="str">
        <f t="shared" si="8"/>
        <v/>
      </c>
      <c r="BR415" s="1004" t="str">
        <f t="shared" si="9"/>
        <v/>
      </c>
      <c r="BS415" s="1005" t="str">
        <f t="shared" si="10"/>
        <v/>
      </c>
      <c r="BT415" s="1006" t="s">
        <v>123</v>
      </c>
      <c r="BU415" s="1002" t="s">
        <v>123</v>
      </c>
      <c r="BV415" s="1006" t="s">
        <v>123</v>
      </c>
      <c r="BW415" s="1007"/>
    </row>
    <row r="416">
      <c r="A416" s="624">
        <v>393.0</v>
      </c>
      <c r="B416" s="1008"/>
      <c r="C416" s="989"/>
      <c r="D416" s="851"/>
      <c r="E416" s="990"/>
      <c r="F416" s="991"/>
      <c r="G416" s="991"/>
      <c r="H416" s="992"/>
      <c r="I416" s="993"/>
      <c r="J416" s="993"/>
      <c r="K416" s="993"/>
      <c r="L416" s="993"/>
      <c r="M416" s="993"/>
      <c r="N416" s="993"/>
      <c r="O416" s="993"/>
      <c r="P416" s="993"/>
      <c r="Q416" s="993"/>
      <c r="R416" s="993"/>
      <c r="S416" s="936"/>
      <c r="T416" s="998"/>
      <c r="U416" s="935"/>
      <c r="V416" s="935"/>
      <c r="W416" s="949" t="str">
        <f>IF(AND($S$20,NOT($U$20)),IF($V416:$V623="","",SUMIF(portfolio.!$A$4:$A623,V416,portfolio.!$AN$4:$AN623)),"")</f>
        <v/>
      </c>
      <c r="X416" s="998"/>
      <c r="Y416" s="936"/>
      <c r="Z416" s="936" t="s">
        <v>123</v>
      </c>
      <c r="AA416" s="936" t="s">
        <v>123</v>
      </c>
      <c r="AB416" s="936" t="s">
        <v>123</v>
      </c>
      <c r="AC416" s="907" t="s">
        <v>123</v>
      </c>
      <c r="AD416" s="999"/>
      <c r="AE416" s="936"/>
      <c r="AF416" s="936"/>
      <c r="AG416" s="936"/>
      <c r="AH416" s="936"/>
      <c r="AI416" s="999"/>
      <c r="AJ416" s="935"/>
      <c r="AK416" s="966"/>
      <c r="AL416" s="949"/>
      <c r="AM416" s="949" t="s">
        <v>123</v>
      </c>
      <c r="AN416" s="949"/>
      <c r="AO416" s="999"/>
      <c r="AP416" s="936"/>
      <c r="AQ416" s="987"/>
      <c r="AR416" s="907"/>
      <c r="AS416" s="907"/>
      <c r="AT416" s="967" t="s">
        <v>123</v>
      </c>
      <c r="AU416" s="967" t="s">
        <v>123</v>
      </c>
      <c r="AV416" s="967" t="s">
        <v>123</v>
      </c>
      <c r="AW416" s="907" t="s">
        <v>123</v>
      </c>
      <c r="AX416" s="907" t="s">
        <v>123</v>
      </c>
      <c r="AY416" s="907" t="s">
        <v>123</v>
      </c>
      <c r="AZ416" s="936" t="s">
        <v>123</v>
      </c>
      <c r="BA416" s="935" t="s">
        <v>123</v>
      </c>
      <c r="BB416" s="1000"/>
      <c r="BC416" s="1001"/>
      <c r="BD416" s="936"/>
      <c r="BE416" s="907"/>
      <c r="BF416" s="1002" t="str">
        <f>IF($BC416="","",SUMIF(portfolio.!$A$4:$A623,BC416,portfolio.!$AN$4:$AN623))</f>
        <v/>
      </c>
      <c r="BG416" s="936" t="s">
        <v>123</v>
      </c>
      <c r="BH416" s="907" t="s">
        <v>123</v>
      </c>
      <c r="BI416" s="935" t="s">
        <v>123</v>
      </c>
      <c r="BJ416" s="1003"/>
      <c r="BK416" s="907" t="s">
        <v>123</v>
      </c>
      <c r="BL416" s="907" t="s">
        <v>123</v>
      </c>
      <c r="BM416" s="907" t="s">
        <v>123</v>
      </c>
      <c r="BN416" s="1004" t="s">
        <v>123</v>
      </c>
      <c r="BO416" s="907" t="str">
        <f t="shared" si="6"/>
        <v/>
      </c>
      <c r="BP416" s="907" t="str">
        <f t="shared" si="7"/>
        <v/>
      </c>
      <c r="BQ416" s="907" t="str">
        <f t="shared" si="8"/>
        <v/>
      </c>
      <c r="BR416" s="1004" t="str">
        <f t="shared" si="9"/>
        <v/>
      </c>
      <c r="BS416" s="1005" t="str">
        <f t="shared" si="10"/>
        <v/>
      </c>
      <c r="BT416" s="1006" t="s">
        <v>123</v>
      </c>
      <c r="BU416" s="1002" t="s">
        <v>123</v>
      </c>
      <c r="BV416" s="1006" t="s">
        <v>123</v>
      </c>
      <c r="BW416" s="1007"/>
    </row>
    <row r="417">
      <c r="A417" s="624">
        <v>394.0</v>
      </c>
      <c r="B417" s="1008"/>
      <c r="C417" s="989"/>
      <c r="D417" s="851"/>
      <c r="E417" s="990"/>
      <c r="F417" s="991"/>
      <c r="G417" s="991"/>
      <c r="H417" s="992"/>
      <c r="I417" s="993"/>
      <c r="J417" s="993"/>
      <c r="K417" s="993"/>
      <c r="L417" s="993"/>
      <c r="M417" s="993"/>
      <c r="N417" s="993"/>
      <c r="O417" s="993"/>
      <c r="P417" s="993"/>
      <c r="Q417" s="993"/>
      <c r="R417" s="993"/>
      <c r="S417" s="936"/>
      <c r="T417" s="998"/>
      <c r="U417" s="935"/>
      <c r="V417" s="935"/>
      <c r="W417" s="949" t="str">
        <f>IF(AND($S$20,NOT($U$20)),IF($V417:$V623="","",SUMIF(portfolio.!$A$4:$A623,V417,portfolio.!$AN$4:$AN623)),"")</f>
        <v/>
      </c>
      <c r="X417" s="998"/>
      <c r="Y417" s="936"/>
      <c r="Z417" s="936" t="s">
        <v>123</v>
      </c>
      <c r="AA417" s="936" t="s">
        <v>123</v>
      </c>
      <c r="AB417" s="936" t="s">
        <v>123</v>
      </c>
      <c r="AC417" s="907" t="s">
        <v>123</v>
      </c>
      <c r="AD417" s="999"/>
      <c r="AE417" s="936"/>
      <c r="AF417" s="936"/>
      <c r="AG417" s="936"/>
      <c r="AH417" s="936"/>
      <c r="AI417" s="999"/>
      <c r="AJ417" s="935"/>
      <c r="AK417" s="966"/>
      <c r="AL417" s="949"/>
      <c r="AM417" s="949" t="s">
        <v>123</v>
      </c>
      <c r="AN417" s="949"/>
      <c r="AO417" s="999"/>
      <c r="AP417" s="936"/>
      <c r="AQ417" s="987"/>
      <c r="AR417" s="907"/>
      <c r="AS417" s="907"/>
      <c r="AT417" s="967" t="s">
        <v>123</v>
      </c>
      <c r="AU417" s="967" t="s">
        <v>123</v>
      </c>
      <c r="AV417" s="967" t="s">
        <v>123</v>
      </c>
      <c r="AW417" s="907" t="s">
        <v>123</v>
      </c>
      <c r="AX417" s="907" t="s">
        <v>123</v>
      </c>
      <c r="AY417" s="907" t="s">
        <v>123</v>
      </c>
      <c r="AZ417" s="936" t="s">
        <v>123</v>
      </c>
      <c r="BA417" s="935" t="s">
        <v>123</v>
      </c>
      <c r="BB417" s="1000"/>
      <c r="BC417" s="1001"/>
      <c r="BD417" s="936"/>
      <c r="BE417" s="907"/>
      <c r="BF417" s="1002" t="str">
        <f>IF($BC417="","",SUMIF(portfolio.!$A$4:$A623,BC417,portfolio.!$AN$4:$AN623))</f>
        <v/>
      </c>
      <c r="BG417" s="936" t="s">
        <v>123</v>
      </c>
      <c r="BH417" s="907" t="s">
        <v>123</v>
      </c>
      <c r="BI417" s="935" t="s">
        <v>123</v>
      </c>
      <c r="BJ417" s="1003"/>
      <c r="BK417" s="907" t="s">
        <v>123</v>
      </c>
      <c r="BL417" s="907" t="s">
        <v>123</v>
      </c>
      <c r="BM417" s="907" t="s">
        <v>123</v>
      </c>
      <c r="BN417" s="1004" t="s">
        <v>123</v>
      </c>
      <c r="BO417" s="907" t="str">
        <f t="shared" si="6"/>
        <v/>
      </c>
      <c r="BP417" s="907" t="str">
        <f t="shared" si="7"/>
        <v/>
      </c>
      <c r="BQ417" s="907" t="str">
        <f t="shared" si="8"/>
        <v/>
      </c>
      <c r="BR417" s="1004" t="str">
        <f t="shared" si="9"/>
        <v/>
      </c>
      <c r="BS417" s="1005" t="str">
        <f t="shared" si="10"/>
        <v/>
      </c>
      <c r="BT417" s="1006" t="s">
        <v>123</v>
      </c>
      <c r="BU417" s="1002" t="s">
        <v>123</v>
      </c>
      <c r="BV417" s="1006" t="s">
        <v>123</v>
      </c>
      <c r="BW417" s="1007"/>
    </row>
    <row r="418">
      <c r="A418" s="624">
        <v>395.0</v>
      </c>
      <c r="B418" s="1008"/>
      <c r="C418" s="989"/>
      <c r="D418" s="851"/>
      <c r="E418" s="990"/>
      <c r="F418" s="991"/>
      <c r="G418" s="991"/>
      <c r="H418" s="992"/>
      <c r="I418" s="993"/>
      <c r="J418" s="993"/>
      <c r="K418" s="993"/>
      <c r="L418" s="993"/>
      <c r="M418" s="993"/>
      <c r="N418" s="993"/>
      <c r="O418" s="993"/>
      <c r="P418" s="993"/>
      <c r="Q418" s="993"/>
      <c r="R418" s="993"/>
      <c r="S418" s="936"/>
      <c r="T418" s="998"/>
      <c r="U418" s="935"/>
      <c r="V418" s="935"/>
      <c r="W418" s="949" t="str">
        <f>IF(AND($S$20,NOT($U$20)),IF($V418:$V623="","",SUMIF(portfolio.!$A$4:$A623,V418,portfolio.!$AN$4:$AN623)),"")</f>
        <v/>
      </c>
      <c r="X418" s="998"/>
      <c r="Y418" s="936"/>
      <c r="Z418" s="936" t="s">
        <v>123</v>
      </c>
      <c r="AA418" s="936" t="s">
        <v>123</v>
      </c>
      <c r="AB418" s="936" t="s">
        <v>123</v>
      </c>
      <c r="AC418" s="907" t="s">
        <v>123</v>
      </c>
      <c r="AD418" s="999"/>
      <c r="AE418" s="936"/>
      <c r="AF418" s="936"/>
      <c r="AG418" s="936"/>
      <c r="AH418" s="936"/>
      <c r="AI418" s="999"/>
      <c r="AJ418" s="935"/>
      <c r="AK418" s="966"/>
      <c r="AL418" s="949"/>
      <c r="AM418" s="949" t="s">
        <v>123</v>
      </c>
      <c r="AN418" s="949"/>
      <c r="AO418" s="999"/>
      <c r="AP418" s="936"/>
      <c r="AQ418" s="987"/>
      <c r="AR418" s="907"/>
      <c r="AS418" s="907"/>
      <c r="AT418" s="967" t="s">
        <v>123</v>
      </c>
      <c r="AU418" s="967" t="s">
        <v>123</v>
      </c>
      <c r="AV418" s="967" t="s">
        <v>123</v>
      </c>
      <c r="AW418" s="907" t="s">
        <v>123</v>
      </c>
      <c r="AX418" s="907" t="s">
        <v>123</v>
      </c>
      <c r="AY418" s="907" t="s">
        <v>123</v>
      </c>
      <c r="AZ418" s="936" t="s">
        <v>123</v>
      </c>
      <c r="BA418" s="935" t="s">
        <v>123</v>
      </c>
      <c r="BB418" s="1000"/>
      <c r="BC418" s="1001"/>
      <c r="BD418" s="936"/>
      <c r="BE418" s="907"/>
      <c r="BF418" s="1002" t="str">
        <f>IF($BC418="","",SUMIF(portfolio.!$A$4:$A623,BC418,portfolio.!$AN$4:$AN623))</f>
        <v/>
      </c>
      <c r="BG418" s="936" t="s">
        <v>123</v>
      </c>
      <c r="BH418" s="907" t="s">
        <v>123</v>
      </c>
      <c r="BI418" s="935" t="s">
        <v>123</v>
      </c>
      <c r="BJ418" s="1003"/>
      <c r="BK418" s="907" t="s">
        <v>123</v>
      </c>
      <c r="BL418" s="907" t="s">
        <v>123</v>
      </c>
      <c r="BM418" s="907" t="s">
        <v>123</v>
      </c>
      <c r="BN418" s="1004" t="s">
        <v>123</v>
      </c>
      <c r="BO418" s="907" t="str">
        <f t="shared" si="6"/>
        <v/>
      </c>
      <c r="BP418" s="907" t="str">
        <f t="shared" si="7"/>
        <v/>
      </c>
      <c r="BQ418" s="907" t="str">
        <f t="shared" si="8"/>
        <v/>
      </c>
      <c r="BR418" s="1004" t="str">
        <f t="shared" si="9"/>
        <v/>
      </c>
      <c r="BS418" s="1005" t="str">
        <f t="shared" si="10"/>
        <v/>
      </c>
      <c r="BT418" s="1006" t="s">
        <v>123</v>
      </c>
      <c r="BU418" s="1002" t="s">
        <v>123</v>
      </c>
      <c r="BV418" s="1006" t="s">
        <v>123</v>
      </c>
      <c r="BW418" s="1007"/>
    </row>
    <row r="419">
      <c r="A419" s="624">
        <v>396.0</v>
      </c>
      <c r="B419" s="1008"/>
      <c r="C419" s="989"/>
      <c r="D419" s="851"/>
      <c r="E419" s="990"/>
      <c r="F419" s="991"/>
      <c r="G419" s="991"/>
      <c r="H419" s="992"/>
      <c r="I419" s="993"/>
      <c r="J419" s="993"/>
      <c r="K419" s="993"/>
      <c r="L419" s="993"/>
      <c r="M419" s="993"/>
      <c r="N419" s="993"/>
      <c r="O419" s="993"/>
      <c r="P419" s="993"/>
      <c r="Q419" s="993"/>
      <c r="R419" s="993"/>
      <c r="S419" s="936"/>
      <c r="T419" s="998"/>
      <c r="U419" s="935"/>
      <c r="V419" s="935"/>
      <c r="W419" s="949" t="str">
        <f>IF(AND($S$20,NOT($U$20)),IF($V419:$V623="","",SUMIF(portfolio.!$A$4:$A623,V419,portfolio.!$AN$4:$AN623)),"")</f>
        <v/>
      </c>
      <c r="X419" s="998"/>
      <c r="Y419" s="936"/>
      <c r="Z419" s="936" t="s">
        <v>123</v>
      </c>
      <c r="AA419" s="936" t="s">
        <v>123</v>
      </c>
      <c r="AB419" s="936" t="s">
        <v>123</v>
      </c>
      <c r="AC419" s="907" t="s">
        <v>123</v>
      </c>
      <c r="AD419" s="999"/>
      <c r="AE419" s="936"/>
      <c r="AF419" s="936"/>
      <c r="AG419" s="936"/>
      <c r="AH419" s="936"/>
      <c r="AI419" s="999"/>
      <c r="AJ419" s="935"/>
      <c r="AK419" s="966"/>
      <c r="AL419" s="949"/>
      <c r="AM419" s="949" t="s">
        <v>123</v>
      </c>
      <c r="AN419" s="949"/>
      <c r="AO419" s="999"/>
      <c r="AP419" s="936"/>
      <c r="AQ419" s="987"/>
      <c r="AR419" s="907"/>
      <c r="AS419" s="907"/>
      <c r="AT419" s="967" t="s">
        <v>123</v>
      </c>
      <c r="AU419" s="967" t="s">
        <v>123</v>
      </c>
      <c r="AV419" s="967" t="s">
        <v>123</v>
      </c>
      <c r="AW419" s="907" t="s">
        <v>123</v>
      </c>
      <c r="AX419" s="907" t="s">
        <v>123</v>
      </c>
      <c r="AY419" s="907" t="s">
        <v>123</v>
      </c>
      <c r="AZ419" s="936" t="s">
        <v>123</v>
      </c>
      <c r="BA419" s="935" t="s">
        <v>123</v>
      </c>
      <c r="BB419" s="1000"/>
      <c r="BC419" s="1001"/>
      <c r="BD419" s="936"/>
      <c r="BE419" s="907"/>
      <c r="BF419" s="1002" t="str">
        <f>IF($BC419="","",SUMIF(portfolio.!$A$4:$A623,BC419,portfolio.!$AN$4:$AN623))</f>
        <v/>
      </c>
      <c r="BG419" s="936" t="s">
        <v>123</v>
      </c>
      <c r="BH419" s="907" t="s">
        <v>123</v>
      </c>
      <c r="BI419" s="935" t="s">
        <v>123</v>
      </c>
      <c r="BJ419" s="1003"/>
      <c r="BK419" s="907" t="s">
        <v>123</v>
      </c>
      <c r="BL419" s="907" t="s">
        <v>123</v>
      </c>
      <c r="BM419" s="907" t="s">
        <v>123</v>
      </c>
      <c r="BN419" s="1004" t="s">
        <v>123</v>
      </c>
      <c r="BO419" s="907" t="str">
        <f t="shared" si="6"/>
        <v/>
      </c>
      <c r="BP419" s="907" t="str">
        <f t="shared" si="7"/>
        <v/>
      </c>
      <c r="BQ419" s="907" t="str">
        <f t="shared" si="8"/>
        <v/>
      </c>
      <c r="BR419" s="1004" t="str">
        <f t="shared" si="9"/>
        <v/>
      </c>
      <c r="BS419" s="1005" t="str">
        <f t="shared" si="10"/>
        <v/>
      </c>
      <c r="BT419" s="1006" t="s">
        <v>123</v>
      </c>
      <c r="BU419" s="1002" t="s">
        <v>123</v>
      </c>
      <c r="BV419" s="1006" t="s">
        <v>123</v>
      </c>
      <c r="BW419" s="1007"/>
    </row>
    <row r="420">
      <c r="A420" s="624">
        <v>397.0</v>
      </c>
      <c r="B420" s="1008"/>
      <c r="C420" s="989"/>
      <c r="D420" s="851"/>
      <c r="E420" s="990"/>
      <c r="F420" s="991"/>
      <c r="G420" s="991"/>
      <c r="H420" s="992"/>
      <c r="I420" s="993"/>
      <c r="J420" s="993"/>
      <c r="K420" s="993"/>
      <c r="L420" s="993"/>
      <c r="M420" s="993"/>
      <c r="N420" s="993"/>
      <c r="O420" s="993"/>
      <c r="P420" s="993"/>
      <c r="Q420" s="993"/>
      <c r="R420" s="993"/>
      <c r="S420" s="936"/>
      <c r="T420" s="998"/>
      <c r="U420" s="935"/>
      <c r="V420" s="935"/>
      <c r="W420" s="949" t="str">
        <f>IF(AND($S$20,NOT($U$20)),IF($V420:$V623="","",SUMIF(portfolio.!$A$4:$A623,V420,portfolio.!$AN$4:$AN623)),"")</f>
        <v/>
      </c>
      <c r="X420" s="998"/>
      <c r="Y420" s="936"/>
      <c r="Z420" s="936" t="s">
        <v>123</v>
      </c>
      <c r="AA420" s="936" t="s">
        <v>123</v>
      </c>
      <c r="AB420" s="936" t="s">
        <v>123</v>
      </c>
      <c r="AC420" s="907" t="s">
        <v>123</v>
      </c>
      <c r="AD420" s="999"/>
      <c r="AE420" s="936"/>
      <c r="AF420" s="936"/>
      <c r="AG420" s="936"/>
      <c r="AH420" s="936"/>
      <c r="AI420" s="999"/>
      <c r="AJ420" s="935"/>
      <c r="AK420" s="966"/>
      <c r="AL420" s="949"/>
      <c r="AM420" s="949" t="s">
        <v>123</v>
      </c>
      <c r="AN420" s="949"/>
      <c r="AO420" s="999"/>
      <c r="AP420" s="936"/>
      <c r="AQ420" s="987"/>
      <c r="AR420" s="907"/>
      <c r="AS420" s="907"/>
      <c r="AT420" s="967" t="s">
        <v>123</v>
      </c>
      <c r="AU420" s="967" t="s">
        <v>123</v>
      </c>
      <c r="AV420" s="967" t="s">
        <v>123</v>
      </c>
      <c r="AW420" s="907" t="s">
        <v>123</v>
      </c>
      <c r="AX420" s="907" t="s">
        <v>123</v>
      </c>
      <c r="AY420" s="907" t="s">
        <v>123</v>
      </c>
      <c r="AZ420" s="936" t="s">
        <v>123</v>
      </c>
      <c r="BA420" s="935" t="s">
        <v>123</v>
      </c>
      <c r="BB420" s="1000"/>
      <c r="BC420" s="1001"/>
      <c r="BD420" s="936"/>
      <c r="BE420" s="907"/>
      <c r="BF420" s="1002" t="str">
        <f>IF($BC420="","",SUMIF(portfolio.!$A$4:$A623,BC420,portfolio.!$AN$4:$AN623))</f>
        <v/>
      </c>
      <c r="BG420" s="936" t="s">
        <v>123</v>
      </c>
      <c r="BH420" s="907" t="s">
        <v>123</v>
      </c>
      <c r="BI420" s="935" t="s">
        <v>123</v>
      </c>
      <c r="BJ420" s="1003"/>
      <c r="BK420" s="907" t="s">
        <v>123</v>
      </c>
      <c r="BL420" s="907" t="s">
        <v>123</v>
      </c>
      <c r="BM420" s="907" t="s">
        <v>123</v>
      </c>
      <c r="BN420" s="1004" t="s">
        <v>123</v>
      </c>
      <c r="BO420" s="907" t="str">
        <f t="shared" si="6"/>
        <v/>
      </c>
      <c r="BP420" s="907" t="str">
        <f t="shared" si="7"/>
        <v/>
      </c>
      <c r="BQ420" s="907" t="str">
        <f t="shared" si="8"/>
        <v/>
      </c>
      <c r="BR420" s="1004" t="str">
        <f t="shared" si="9"/>
        <v/>
      </c>
      <c r="BS420" s="1005" t="str">
        <f t="shared" si="10"/>
        <v/>
      </c>
      <c r="BT420" s="1006" t="s">
        <v>123</v>
      </c>
      <c r="BU420" s="1002" t="s">
        <v>123</v>
      </c>
      <c r="BV420" s="1006" t="s">
        <v>123</v>
      </c>
      <c r="BW420" s="1007"/>
    </row>
    <row r="421">
      <c r="A421" s="624">
        <v>398.0</v>
      </c>
      <c r="B421" s="1008"/>
      <c r="C421" s="989"/>
      <c r="D421" s="851"/>
      <c r="E421" s="990"/>
      <c r="F421" s="991"/>
      <c r="G421" s="991"/>
      <c r="H421" s="992"/>
      <c r="I421" s="993"/>
      <c r="J421" s="993"/>
      <c r="K421" s="993"/>
      <c r="L421" s="993"/>
      <c r="M421" s="993"/>
      <c r="N421" s="993"/>
      <c r="O421" s="993"/>
      <c r="P421" s="993"/>
      <c r="Q421" s="993"/>
      <c r="R421" s="993"/>
      <c r="S421" s="936"/>
      <c r="T421" s="998"/>
      <c r="U421" s="935"/>
      <c r="V421" s="935"/>
      <c r="W421" s="949" t="str">
        <f>IF(AND($S$20,NOT($U$20)),IF($V421:$V623="","",SUMIF(portfolio.!$A$4:$A623,V421,portfolio.!$AN$4:$AN623)),"")</f>
        <v/>
      </c>
      <c r="X421" s="998"/>
      <c r="Y421" s="936"/>
      <c r="Z421" s="936" t="s">
        <v>123</v>
      </c>
      <c r="AA421" s="936" t="s">
        <v>123</v>
      </c>
      <c r="AB421" s="936" t="s">
        <v>123</v>
      </c>
      <c r="AC421" s="907" t="s">
        <v>123</v>
      </c>
      <c r="AD421" s="999"/>
      <c r="AE421" s="936"/>
      <c r="AF421" s="936"/>
      <c r="AG421" s="936"/>
      <c r="AH421" s="936"/>
      <c r="AI421" s="999"/>
      <c r="AJ421" s="935"/>
      <c r="AK421" s="966"/>
      <c r="AL421" s="949"/>
      <c r="AM421" s="949" t="s">
        <v>123</v>
      </c>
      <c r="AN421" s="949"/>
      <c r="AO421" s="999"/>
      <c r="AP421" s="936"/>
      <c r="AQ421" s="987"/>
      <c r="AR421" s="907"/>
      <c r="AS421" s="907"/>
      <c r="AT421" s="967" t="s">
        <v>123</v>
      </c>
      <c r="AU421" s="967" t="s">
        <v>123</v>
      </c>
      <c r="AV421" s="967" t="s">
        <v>123</v>
      </c>
      <c r="AW421" s="907" t="s">
        <v>123</v>
      </c>
      <c r="AX421" s="907" t="s">
        <v>123</v>
      </c>
      <c r="AY421" s="907" t="s">
        <v>123</v>
      </c>
      <c r="AZ421" s="936" t="s">
        <v>123</v>
      </c>
      <c r="BA421" s="935" t="s">
        <v>123</v>
      </c>
      <c r="BB421" s="1000"/>
      <c r="BC421" s="1001"/>
      <c r="BD421" s="936"/>
      <c r="BE421" s="907"/>
      <c r="BF421" s="1002" t="str">
        <f>IF($BC421="","",SUMIF(portfolio.!$A$4:$A623,BC421,portfolio.!$AN$4:$AN623))</f>
        <v/>
      </c>
      <c r="BG421" s="936" t="s">
        <v>123</v>
      </c>
      <c r="BH421" s="907" t="s">
        <v>123</v>
      </c>
      <c r="BI421" s="935" t="s">
        <v>123</v>
      </c>
      <c r="BJ421" s="1003"/>
      <c r="BK421" s="907" t="s">
        <v>123</v>
      </c>
      <c r="BL421" s="907" t="s">
        <v>123</v>
      </c>
      <c r="BM421" s="907" t="s">
        <v>123</v>
      </c>
      <c r="BN421" s="1004" t="s">
        <v>123</v>
      </c>
      <c r="BO421" s="907" t="str">
        <f t="shared" si="6"/>
        <v/>
      </c>
      <c r="BP421" s="907" t="str">
        <f t="shared" si="7"/>
        <v/>
      </c>
      <c r="BQ421" s="907" t="str">
        <f t="shared" si="8"/>
        <v/>
      </c>
      <c r="BR421" s="1004" t="str">
        <f t="shared" si="9"/>
        <v/>
      </c>
      <c r="BS421" s="1005" t="str">
        <f t="shared" si="10"/>
        <v/>
      </c>
      <c r="BT421" s="1006" t="s">
        <v>123</v>
      </c>
      <c r="BU421" s="1002" t="s">
        <v>123</v>
      </c>
      <c r="BV421" s="1006" t="s">
        <v>123</v>
      </c>
      <c r="BW421" s="1007"/>
    </row>
    <row r="422">
      <c r="A422" s="624">
        <v>399.0</v>
      </c>
      <c r="B422" s="1008"/>
      <c r="C422" s="989"/>
      <c r="D422" s="851"/>
      <c r="E422" s="990"/>
      <c r="F422" s="991"/>
      <c r="G422" s="991"/>
      <c r="H422" s="992"/>
      <c r="I422" s="993"/>
      <c r="J422" s="993"/>
      <c r="K422" s="993"/>
      <c r="L422" s="993"/>
      <c r="M422" s="993"/>
      <c r="N422" s="993"/>
      <c r="O422" s="993"/>
      <c r="P422" s="993"/>
      <c r="Q422" s="993"/>
      <c r="R422" s="993"/>
      <c r="S422" s="936"/>
      <c r="T422" s="998"/>
      <c r="U422" s="935"/>
      <c r="V422" s="935"/>
      <c r="W422" s="949" t="str">
        <f>IF(AND($S$20,NOT($U$20)),IF($V422:$V623="","",SUMIF(portfolio.!$A$4:$A623,V422,portfolio.!$AN$4:$AN623)),"")</f>
        <v/>
      </c>
      <c r="X422" s="998"/>
      <c r="Y422" s="936"/>
      <c r="Z422" s="936" t="s">
        <v>123</v>
      </c>
      <c r="AA422" s="936" t="s">
        <v>123</v>
      </c>
      <c r="AB422" s="936" t="s">
        <v>123</v>
      </c>
      <c r="AC422" s="907" t="s">
        <v>123</v>
      </c>
      <c r="AD422" s="999"/>
      <c r="AE422" s="936"/>
      <c r="AF422" s="936"/>
      <c r="AG422" s="936"/>
      <c r="AH422" s="936"/>
      <c r="AI422" s="999"/>
      <c r="AJ422" s="935"/>
      <c r="AK422" s="966"/>
      <c r="AL422" s="949"/>
      <c r="AM422" s="949" t="s">
        <v>123</v>
      </c>
      <c r="AN422" s="949"/>
      <c r="AO422" s="999"/>
      <c r="AP422" s="936"/>
      <c r="AQ422" s="987"/>
      <c r="AR422" s="907"/>
      <c r="AS422" s="907"/>
      <c r="AT422" s="967" t="s">
        <v>123</v>
      </c>
      <c r="AU422" s="967" t="s">
        <v>123</v>
      </c>
      <c r="AV422" s="967" t="s">
        <v>123</v>
      </c>
      <c r="AW422" s="907" t="s">
        <v>123</v>
      </c>
      <c r="AX422" s="907" t="s">
        <v>123</v>
      </c>
      <c r="AY422" s="907" t="s">
        <v>123</v>
      </c>
      <c r="AZ422" s="936" t="s">
        <v>123</v>
      </c>
      <c r="BA422" s="935" t="s">
        <v>123</v>
      </c>
      <c r="BB422" s="1000"/>
      <c r="BC422" s="1001"/>
      <c r="BD422" s="936"/>
      <c r="BE422" s="907"/>
      <c r="BF422" s="1002" t="str">
        <f>IF($BC422="","",SUMIF(portfolio.!$A$4:$A623,BC422,portfolio.!$AN$4:$AN623))</f>
        <v/>
      </c>
      <c r="BG422" s="936" t="s">
        <v>123</v>
      </c>
      <c r="BH422" s="907" t="s">
        <v>123</v>
      </c>
      <c r="BI422" s="935" t="s">
        <v>123</v>
      </c>
      <c r="BJ422" s="1003"/>
      <c r="BK422" s="907" t="s">
        <v>123</v>
      </c>
      <c r="BL422" s="907" t="s">
        <v>123</v>
      </c>
      <c r="BM422" s="907" t="s">
        <v>123</v>
      </c>
      <c r="BN422" s="1004" t="s">
        <v>123</v>
      </c>
      <c r="BO422" s="907" t="str">
        <f t="shared" si="6"/>
        <v/>
      </c>
      <c r="BP422" s="907" t="str">
        <f t="shared" si="7"/>
        <v/>
      </c>
      <c r="BQ422" s="907" t="str">
        <f t="shared" si="8"/>
        <v/>
      </c>
      <c r="BR422" s="1004" t="str">
        <f t="shared" si="9"/>
        <v/>
      </c>
      <c r="BS422" s="1005" t="str">
        <f t="shared" si="10"/>
        <v/>
      </c>
      <c r="BT422" s="1006" t="s">
        <v>123</v>
      </c>
      <c r="BU422" s="1002" t="s">
        <v>123</v>
      </c>
      <c r="BV422" s="1006" t="s">
        <v>123</v>
      </c>
      <c r="BW422" s="1007"/>
    </row>
    <row r="423">
      <c r="A423" s="624">
        <v>400.0</v>
      </c>
      <c r="B423" s="1008"/>
      <c r="C423" s="989"/>
      <c r="D423" s="851"/>
      <c r="E423" s="990"/>
      <c r="F423" s="991"/>
      <c r="G423" s="991"/>
      <c r="H423" s="992"/>
      <c r="I423" s="993"/>
      <c r="J423" s="993"/>
      <c r="K423" s="993"/>
      <c r="L423" s="993"/>
      <c r="M423" s="993"/>
      <c r="N423" s="993"/>
      <c r="O423" s="993"/>
      <c r="P423" s="993"/>
      <c r="Q423" s="993"/>
      <c r="R423" s="993"/>
      <c r="S423" s="936"/>
      <c r="T423" s="998"/>
      <c r="U423" s="935"/>
      <c r="V423" s="935"/>
      <c r="W423" s="949" t="str">
        <f>IF(AND($S$20,NOT($U$20)),IF($V423:$V623="","",SUMIF(portfolio.!$A$4:$A623,V423,portfolio.!$AN$4:$AN623)),"")</f>
        <v/>
      </c>
      <c r="X423" s="998"/>
      <c r="Y423" s="936"/>
      <c r="Z423" s="936" t="s">
        <v>123</v>
      </c>
      <c r="AA423" s="936" t="s">
        <v>123</v>
      </c>
      <c r="AB423" s="936" t="s">
        <v>123</v>
      </c>
      <c r="AC423" s="907" t="s">
        <v>123</v>
      </c>
      <c r="AD423" s="999"/>
      <c r="AE423" s="936"/>
      <c r="AF423" s="936"/>
      <c r="AG423" s="936"/>
      <c r="AH423" s="936"/>
      <c r="AI423" s="999"/>
      <c r="AJ423" s="935"/>
      <c r="AK423" s="966"/>
      <c r="AL423" s="949"/>
      <c r="AM423" s="949" t="s">
        <v>123</v>
      </c>
      <c r="AN423" s="949"/>
      <c r="AO423" s="999"/>
      <c r="AP423" s="936"/>
      <c r="AQ423" s="987"/>
      <c r="AR423" s="907"/>
      <c r="AS423" s="907"/>
      <c r="AT423" s="967" t="s">
        <v>123</v>
      </c>
      <c r="AU423" s="967" t="s">
        <v>123</v>
      </c>
      <c r="AV423" s="967" t="s">
        <v>123</v>
      </c>
      <c r="AW423" s="907" t="s">
        <v>123</v>
      </c>
      <c r="AX423" s="907" t="s">
        <v>123</v>
      </c>
      <c r="AY423" s="907" t="s">
        <v>123</v>
      </c>
      <c r="AZ423" s="936" t="s">
        <v>123</v>
      </c>
      <c r="BA423" s="935" t="s">
        <v>123</v>
      </c>
      <c r="BB423" s="1000"/>
      <c r="BC423" s="1001"/>
      <c r="BD423" s="936"/>
      <c r="BE423" s="907"/>
      <c r="BF423" s="1002" t="str">
        <f>IF($BC423="","",SUMIF(portfolio.!$A$4:$A623,BC423,portfolio.!$AN$4:$AN623))</f>
        <v/>
      </c>
      <c r="BG423" s="936" t="s">
        <v>123</v>
      </c>
      <c r="BH423" s="907" t="s">
        <v>123</v>
      </c>
      <c r="BI423" s="935" t="s">
        <v>123</v>
      </c>
      <c r="BJ423" s="1003"/>
      <c r="BK423" s="907" t="s">
        <v>123</v>
      </c>
      <c r="BL423" s="907" t="s">
        <v>123</v>
      </c>
      <c r="BM423" s="907" t="s">
        <v>123</v>
      </c>
      <c r="BN423" s="1004" t="s">
        <v>123</v>
      </c>
      <c r="BO423" s="907" t="str">
        <f t="shared" si="6"/>
        <v/>
      </c>
      <c r="BP423" s="907" t="str">
        <f t="shared" si="7"/>
        <v/>
      </c>
      <c r="BQ423" s="907" t="str">
        <f t="shared" si="8"/>
        <v/>
      </c>
      <c r="BR423" s="1004" t="str">
        <f t="shared" si="9"/>
        <v/>
      </c>
      <c r="BS423" s="1005" t="str">
        <f t="shared" si="10"/>
        <v/>
      </c>
      <c r="BT423" s="1006" t="s">
        <v>123</v>
      </c>
      <c r="BU423" s="1002" t="s">
        <v>123</v>
      </c>
      <c r="BV423" s="1006" t="s">
        <v>123</v>
      </c>
      <c r="BW423" s="1007"/>
    </row>
    <row r="424">
      <c r="A424" s="624">
        <v>401.0</v>
      </c>
      <c r="B424" s="1008"/>
      <c r="C424" s="989"/>
      <c r="D424" s="851"/>
      <c r="E424" s="990"/>
      <c r="F424" s="991"/>
      <c r="G424" s="991"/>
      <c r="H424" s="992"/>
      <c r="I424" s="993"/>
      <c r="J424" s="993"/>
      <c r="K424" s="993"/>
      <c r="L424" s="993"/>
      <c r="M424" s="993"/>
      <c r="N424" s="993"/>
      <c r="O424" s="993"/>
      <c r="P424" s="993"/>
      <c r="Q424" s="993"/>
      <c r="R424" s="993"/>
      <c r="S424" s="936"/>
      <c r="T424" s="998"/>
      <c r="U424" s="935"/>
      <c r="V424" s="935"/>
      <c r="W424" s="949" t="str">
        <f>IF(AND($S$20,NOT($U$20)),IF($V424:$V623="","",SUMIF(portfolio.!$A$4:$A623,V424,portfolio.!$AN$4:$AN623)),"")</f>
        <v/>
      </c>
      <c r="X424" s="998"/>
      <c r="Y424" s="936"/>
      <c r="Z424" s="936" t="s">
        <v>123</v>
      </c>
      <c r="AA424" s="936" t="s">
        <v>123</v>
      </c>
      <c r="AB424" s="936" t="s">
        <v>123</v>
      </c>
      <c r="AC424" s="907" t="s">
        <v>123</v>
      </c>
      <c r="AD424" s="999"/>
      <c r="AE424" s="936"/>
      <c r="AF424" s="936"/>
      <c r="AG424" s="936"/>
      <c r="AH424" s="936"/>
      <c r="AI424" s="999"/>
      <c r="AJ424" s="935"/>
      <c r="AK424" s="966"/>
      <c r="AL424" s="949"/>
      <c r="AM424" s="949" t="s">
        <v>123</v>
      </c>
      <c r="AN424" s="949"/>
      <c r="AO424" s="999"/>
      <c r="AP424" s="936"/>
      <c r="AQ424" s="987"/>
      <c r="AR424" s="907"/>
      <c r="AS424" s="907"/>
      <c r="AT424" s="967" t="s">
        <v>123</v>
      </c>
      <c r="AU424" s="967" t="s">
        <v>123</v>
      </c>
      <c r="AV424" s="967" t="s">
        <v>123</v>
      </c>
      <c r="AW424" s="907" t="s">
        <v>123</v>
      </c>
      <c r="AX424" s="907" t="s">
        <v>123</v>
      </c>
      <c r="AY424" s="907" t="s">
        <v>123</v>
      </c>
      <c r="AZ424" s="936" t="s">
        <v>123</v>
      </c>
      <c r="BA424" s="935" t="s">
        <v>123</v>
      </c>
      <c r="BB424" s="1000"/>
      <c r="BC424" s="1001"/>
      <c r="BD424" s="936"/>
      <c r="BE424" s="907"/>
      <c r="BF424" s="1002" t="str">
        <f>IF($BC424="","",SUMIF(portfolio.!$A$4:$A623,BC424,portfolio.!$AN$4:$AN623))</f>
        <v/>
      </c>
      <c r="BG424" s="936" t="s">
        <v>123</v>
      </c>
      <c r="BH424" s="907" t="s">
        <v>123</v>
      </c>
      <c r="BI424" s="935" t="s">
        <v>123</v>
      </c>
      <c r="BJ424" s="1003"/>
      <c r="BK424" s="907" t="s">
        <v>123</v>
      </c>
      <c r="BL424" s="907" t="s">
        <v>123</v>
      </c>
      <c r="BM424" s="907" t="s">
        <v>123</v>
      </c>
      <c r="BN424" s="1004" t="s">
        <v>123</v>
      </c>
      <c r="BO424" s="907" t="str">
        <f t="shared" si="6"/>
        <v/>
      </c>
      <c r="BP424" s="907" t="str">
        <f t="shared" si="7"/>
        <v/>
      </c>
      <c r="BQ424" s="907" t="str">
        <f t="shared" si="8"/>
        <v/>
      </c>
      <c r="BR424" s="1004" t="str">
        <f t="shared" si="9"/>
        <v/>
      </c>
      <c r="BS424" s="1005" t="str">
        <f t="shared" si="10"/>
        <v/>
      </c>
      <c r="BT424" s="1006" t="s">
        <v>123</v>
      </c>
      <c r="BU424" s="1002" t="s">
        <v>123</v>
      </c>
      <c r="BV424" s="1006" t="s">
        <v>123</v>
      </c>
      <c r="BW424" s="1007"/>
    </row>
    <row r="425">
      <c r="A425" s="624">
        <v>402.0</v>
      </c>
      <c r="B425" s="1008"/>
      <c r="C425" s="989"/>
      <c r="D425" s="851"/>
      <c r="E425" s="990"/>
      <c r="F425" s="991"/>
      <c r="G425" s="991"/>
      <c r="H425" s="992"/>
      <c r="I425" s="993"/>
      <c r="J425" s="993"/>
      <c r="K425" s="993"/>
      <c r="L425" s="993"/>
      <c r="M425" s="993"/>
      <c r="N425" s="993"/>
      <c r="O425" s="993"/>
      <c r="P425" s="993"/>
      <c r="Q425" s="993"/>
      <c r="R425" s="993"/>
      <c r="S425" s="936"/>
      <c r="T425" s="998"/>
      <c r="U425" s="935"/>
      <c r="V425" s="935"/>
      <c r="W425" s="949" t="str">
        <f>IF(AND($S$20,NOT($U$20)),IF($V425:$V623="","",SUMIF(portfolio.!$A$4:$A623,V425,portfolio.!$AN$4:$AN623)),"")</f>
        <v/>
      </c>
      <c r="X425" s="998"/>
      <c r="Y425" s="936"/>
      <c r="Z425" s="936" t="s">
        <v>123</v>
      </c>
      <c r="AA425" s="936" t="s">
        <v>123</v>
      </c>
      <c r="AB425" s="936" t="s">
        <v>123</v>
      </c>
      <c r="AC425" s="907" t="s">
        <v>123</v>
      </c>
      <c r="AD425" s="999"/>
      <c r="AE425" s="936"/>
      <c r="AF425" s="936"/>
      <c r="AG425" s="936"/>
      <c r="AH425" s="936"/>
      <c r="AI425" s="999"/>
      <c r="AJ425" s="935"/>
      <c r="AK425" s="966"/>
      <c r="AL425" s="949"/>
      <c r="AM425" s="949" t="s">
        <v>123</v>
      </c>
      <c r="AN425" s="949"/>
      <c r="AO425" s="999"/>
      <c r="AP425" s="936"/>
      <c r="AQ425" s="987"/>
      <c r="AR425" s="907"/>
      <c r="AS425" s="907"/>
      <c r="AT425" s="967" t="s">
        <v>123</v>
      </c>
      <c r="AU425" s="967" t="s">
        <v>123</v>
      </c>
      <c r="AV425" s="967" t="s">
        <v>123</v>
      </c>
      <c r="AW425" s="907" t="s">
        <v>123</v>
      </c>
      <c r="AX425" s="907" t="s">
        <v>123</v>
      </c>
      <c r="AY425" s="907" t="s">
        <v>123</v>
      </c>
      <c r="AZ425" s="936" t="s">
        <v>123</v>
      </c>
      <c r="BA425" s="935" t="s">
        <v>123</v>
      </c>
      <c r="BB425" s="1000"/>
      <c r="BC425" s="1001"/>
      <c r="BD425" s="936"/>
      <c r="BE425" s="907"/>
      <c r="BF425" s="1002" t="str">
        <f>IF($BC425="","",SUMIF(portfolio.!$A$4:$A623,BC425,portfolio.!$AN$4:$AN623))</f>
        <v/>
      </c>
      <c r="BG425" s="936" t="s">
        <v>123</v>
      </c>
      <c r="BH425" s="907" t="s">
        <v>123</v>
      </c>
      <c r="BI425" s="935" t="s">
        <v>123</v>
      </c>
      <c r="BJ425" s="1003"/>
      <c r="BK425" s="907" t="s">
        <v>123</v>
      </c>
      <c r="BL425" s="907" t="s">
        <v>123</v>
      </c>
      <c r="BM425" s="907" t="s">
        <v>123</v>
      </c>
      <c r="BN425" s="1004" t="s">
        <v>123</v>
      </c>
      <c r="BO425" s="907" t="str">
        <f t="shared" si="6"/>
        <v/>
      </c>
      <c r="BP425" s="907" t="str">
        <f t="shared" si="7"/>
        <v/>
      </c>
      <c r="BQ425" s="907" t="str">
        <f t="shared" si="8"/>
        <v/>
      </c>
      <c r="BR425" s="1004" t="str">
        <f t="shared" si="9"/>
        <v/>
      </c>
      <c r="BS425" s="1005" t="str">
        <f t="shared" si="10"/>
        <v/>
      </c>
      <c r="BT425" s="1006" t="s">
        <v>123</v>
      </c>
      <c r="BU425" s="1002" t="s">
        <v>123</v>
      </c>
      <c r="BV425" s="1006" t="s">
        <v>123</v>
      </c>
      <c r="BW425" s="1007"/>
    </row>
    <row r="426">
      <c r="A426" s="624">
        <v>403.0</v>
      </c>
      <c r="B426" s="1008"/>
      <c r="C426" s="989"/>
      <c r="D426" s="851"/>
      <c r="E426" s="990"/>
      <c r="F426" s="991"/>
      <c r="G426" s="991"/>
      <c r="H426" s="992"/>
      <c r="I426" s="993"/>
      <c r="J426" s="993"/>
      <c r="K426" s="993"/>
      <c r="L426" s="993"/>
      <c r="M426" s="993"/>
      <c r="N426" s="993"/>
      <c r="O426" s="993"/>
      <c r="P426" s="993"/>
      <c r="Q426" s="993"/>
      <c r="R426" s="993"/>
      <c r="S426" s="936"/>
      <c r="T426" s="998"/>
      <c r="U426" s="935"/>
      <c r="V426" s="935"/>
      <c r="W426" s="949" t="str">
        <f>IF(AND($S$20,NOT($U$20)),IF($V426:$V623="","",SUMIF(portfolio.!$A$4:$A623,V426,portfolio.!$AN$4:$AN623)),"")</f>
        <v/>
      </c>
      <c r="X426" s="998"/>
      <c r="Y426" s="936"/>
      <c r="Z426" s="936" t="s">
        <v>123</v>
      </c>
      <c r="AA426" s="936" t="s">
        <v>123</v>
      </c>
      <c r="AB426" s="936" t="s">
        <v>123</v>
      </c>
      <c r="AC426" s="907" t="s">
        <v>123</v>
      </c>
      <c r="AD426" s="999"/>
      <c r="AE426" s="936"/>
      <c r="AF426" s="936"/>
      <c r="AG426" s="936"/>
      <c r="AH426" s="936"/>
      <c r="AI426" s="999"/>
      <c r="AJ426" s="935"/>
      <c r="AK426" s="966"/>
      <c r="AL426" s="949"/>
      <c r="AM426" s="949" t="s">
        <v>123</v>
      </c>
      <c r="AN426" s="949"/>
      <c r="AO426" s="999"/>
      <c r="AP426" s="936"/>
      <c r="AQ426" s="987"/>
      <c r="AR426" s="907"/>
      <c r="AS426" s="907"/>
      <c r="AT426" s="967" t="s">
        <v>123</v>
      </c>
      <c r="AU426" s="967" t="s">
        <v>123</v>
      </c>
      <c r="AV426" s="967" t="s">
        <v>123</v>
      </c>
      <c r="AW426" s="907" t="s">
        <v>123</v>
      </c>
      <c r="AX426" s="907" t="s">
        <v>123</v>
      </c>
      <c r="AY426" s="907" t="s">
        <v>123</v>
      </c>
      <c r="AZ426" s="936" t="s">
        <v>123</v>
      </c>
      <c r="BA426" s="935" t="s">
        <v>123</v>
      </c>
      <c r="BB426" s="1000"/>
      <c r="BC426" s="1001"/>
      <c r="BD426" s="936"/>
      <c r="BE426" s="907"/>
      <c r="BF426" s="1002" t="str">
        <f>IF($BC426="","",SUMIF(portfolio.!$A$4:$A623,BC426,portfolio.!$AN$4:$AN623))</f>
        <v/>
      </c>
      <c r="BG426" s="936" t="s">
        <v>123</v>
      </c>
      <c r="BH426" s="907" t="s">
        <v>123</v>
      </c>
      <c r="BI426" s="935" t="s">
        <v>123</v>
      </c>
      <c r="BJ426" s="1003"/>
      <c r="BK426" s="907" t="s">
        <v>123</v>
      </c>
      <c r="BL426" s="907" t="s">
        <v>123</v>
      </c>
      <c r="BM426" s="907" t="s">
        <v>123</v>
      </c>
      <c r="BN426" s="1004" t="s">
        <v>123</v>
      </c>
      <c r="BO426" s="907" t="str">
        <f t="shared" si="6"/>
        <v/>
      </c>
      <c r="BP426" s="907" t="str">
        <f t="shared" si="7"/>
        <v/>
      </c>
      <c r="BQ426" s="907" t="str">
        <f t="shared" si="8"/>
        <v/>
      </c>
      <c r="BR426" s="1004" t="str">
        <f t="shared" si="9"/>
        <v/>
      </c>
      <c r="BS426" s="1005" t="str">
        <f t="shared" si="10"/>
        <v/>
      </c>
      <c r="BT426" s="1006" t="s">
        <v>123</v>
      </c>
      <c r="BU426" s="1002" t="s">
        <v>123</v>
      </c>
      <c r="BV426" s="1006" t="s">
        <v>123</v>
      </c>
      <c r="BW426" s="1007"/>
    </row>
    <row r="427">
      <c r="A427" s="624">
        <v>404.0</v>
      </c>
      <c r="B427" s="1008"/>
      <c r="C427" s="989"/>
      <c r="D427" s="851"/>
      <c r="E427" s="990"/>
      <c r="F427" s="991"/>
      <c r="G427" s="991"/>
      <c r="H427" s="992"/>
      <c r="I427" s="993"/>
      <c r="J427" s="993"/>
      <c r="K427" s="993"/>
      <c r="L427" s="993"/>
      <c r="M427" s="993"/>
      <c r="N427" s="993"/>
      <c r="O427" s="993"/>
      <c r="P427" s="993"/>
      <c r="Q427" s="993"/>
      <c r="R427" s="993"/>
      <c r="S427" s="936"/>
      <c r="T427" s="998"/>
      <c r="U427" s="935"/>
      <c r="V427" s="935"/>
      <c r="W427" s="949" t="str">
        <f>IF(AND($S$20,NOT($U$20)),IF($V427:$V623="","",SUMIF(portfolio.!$A$4:$A623,V427,portfolio.!$AN$4:$AN623)),"")</f>
        <v/>
      </c>
      <c r="X427" s="998"/>
      <c r="Y427" s="936"/>
      <c r="Z427" s="936" t="s">
        <v>123</v>
      </c>
      <c r="AA427" s="936" t="s">
        <v>123</v>
      </c>
      <c r="AB427" s="936" t="s">
        <v>123</v>
      </c>
      <c r="AC427" s="907" t="s">
        <v>123</v>
      </c>
      <c r="AD427" s="999"/>
      <c r="AE427" s="936"/>
      <c r="AF427" s="936"/>
      <c r="AG427" s="936"/>
      <c r="AH427" s="936"/>
      <c r="AI427" s="999"/>
      <c r="AJ427" s="935"/>
      <c r="AK427" s="966"/>
      <c r="AL427" s="949"/>
      <c r="AM427" s="949" t="s">
        <v>123</v>
      </c>
      <c r="AN427" s="949"/>
      <c r="AO427" s="999"/>
      <c r="AP427" s="936"/>
      <c r="AQ427" s="987"/>
      <c r="AR427" s="907"/>
      <c r="AS427" s="907"/>
      <c r="AT427" s="967" t="s">
        <v>123</v>
      </c>
      <c r="AU427" s="967" t="s">
        <v>123</v>
      </c>
      <c r="AV427" s="967" t="s">
        <v>123</v>
      </c>
      <c r="AW427" s="907" t="s">
        <v>123</v>
      </c>
      <c r="AX427" s="907" t="s">
        <v>123</v>
      </c>
      <c r="AY427" s="907" t="s">
        <v>123</v>
      </c>
      <c r="AZ427" s="936" t="s">
        <v>123</v>
      </c>
      <c r="BA427" s="935" t="s">
        <v>123</v>
      </c>
      <c r="BB427" s="1000"/>
      <c r="BC427" s="1001"/>
      <c r="BD427" s="936"/>
      <c r="BE427" s="907"/>
      <c r="BF427" s="1002" t="str">
        <f>IF($BC427="","",SUMIF(portfolio.!$A$4:$A623,BC427,portfolio.!$AN$4:$AN623))</f>
        <v/>
      </c>
      <c r="BG427" s="936" t="s">
        <v>123</v>
      </c>
      <c r="BH427" s="907" t="s">
        <v>123</v>
      </c>
      <c r="BI427" s="935" t="s">
        <v>123</v>
      </c>
      <c r="BJ427" s="1003"/>
      <c r="BK427" s="907" t="s">
        <v>123</v>
      </c>
      <c r="BL427" s="907" t="s">
        <v>123</v>
      </c>
      <c r="BM427" s="907" t="s">
        <v>123</v>
      </c>
      <c r="BN427" s="1004" t="s">
        <v>123</v>
      </c>
      <c r="BO427" s="907" t="str">
        <f t="shared" si="6"/>
        <v/>
      </c>
      <c r="BP427" s="907" t="str">
        <f t="shared" si="7"/>
        <v/>
      </c>
      <c r="BQ427" s="907" t="str">
        <f t="shared" si="8"/>
        <v/>
      </c>
      <c r="BR427" s="1004" t="str">
        <f t="shared" si="9"/>
        <v/>
      </c>
      <c r="BS427" s="1005" t="str">
        <f t="shared" si="10"/>
        <v/>
      </c>
      <c r="BT427" s="1006" t="s">
        <v>123</v>
      </c>
      <c r="BU427" s="1002" t="s">
        <v>123</v>
      </c>
      <c r="BV427" s="1006" t="s">
        <v>123</v>
      </c>
      <c r="BW427" s="1007"/>
    </row>
    <row r="428">
      <c r="A428" s="624">
        <v>405.0</v>
      </c>
      <c r="B428" s="1008"/>
      <c r="C428" s="989"/>
      <c r="D428" s="851"/>
      <c r="E428" s="990"/>
      <c r="F428" s="991"/>
      <c r="G428" s="991"/>
      <c r="H428" s="992"/>
      <c r="I428" s="993"/>
      <c r="J428" s="993"/>
      <c r="K428" s="993"/>
      <c r="L428" s="993"/>
      <c r="M428" s="993"/>
      <c r="N428" s="993"/>
      <c r="O428" s="993"/>
      <c r="P428" s="993"/>
      <c r="Q428" s="993"/>
      <c r="R428" s="993"/>
      <c r="S428" s="936"/>
      <c r="T428" s="998"/>
      <c r="U428" s="935"/>
      <c r="V428" s="935"/>
      <c r="W428" s="949" t="str">
        <f>IF(AND($S$20,NOT($U$20)),IF($V428:$V623="","",SUMIF(portfolio.!$A$4:$A623,V428,portfolio.!$AN$4:$AN623)),"")</f>
        <v/>
      </c>
      <c r="X428" s="998"/>
      <c r="Y428" s="936"/>
      <c r="Z428" s="936" t="s">
        <v>123</v>
      </c>
      <c r="AA428" s="936" t="s">
        <v>123</v>
      </c>
      <c r="AB428" s="936" t="s">
        <v>123</v>
      </c>
      <c r="AC428" s="907" t="s">
        <v>123</v>
      </c>
      <c r="AD428" s="999"/>
      <c r="AE428" s="936"/>
      <c r="AF428" s="936"/>
      <c r="AG428" s="936"/>
      <c r="AH428" s="936"/>
      <c r="AI428" s="999"/>
      <c r="AJ428" s="935"/>
      <c r="AK428" s="966"/>
      <c r="AL428" s="949"/>
      <c r="AM428" s="949" t="s">
        <v>123</v>
      </c>
      <c r="AN428" s="949"/>
      <c r="AO428" s="999"/>
      <c r="AP428" s="936"/>
      <c r="AQ428" s="987"/>
      <c r="AR428" s="907"/>
      <c r="AS428" s="907"/>
      <c r="AT428" s="967" t="s">
        <v>123</v>
      </c>
      <c r="AU428" s="967" t="s">
        <v>123</v>
      </c>
      <c r="AV428" s="967" t="s">
        <v>123</v>
      </c>
      <c r="AW428" s="907" t="s">
        <v>123</v>
      </c>
      <c r="AX428" s="907" t="s">
        <v>123</v>
      </c>
      <c r="AY428" s="907" t="s">
        <v>123</v>
      </c>
      <c r="AZ428" s="936" t="s">
        <v>123</v>
      </c>
      <c r="BA428" s="935" t="s">
        <v>123</v>
      </c>
      <c r="BB428" s="1000"/>
      <c r="BC428" s="1001"/>
      <c r="BD428" s="936"/>
      <c r="BE428" s="907"/>
      <c r="BF428" s="1002" t="str">
        <f>IF($BC428="","",SUMIF(portfolio.!$A$4:$A623,BC428,portfolio.!$AN$4:$AN623))</f>
        <v/>
      </c>
      <c r="BG428" s="936" t="s">
        <v>123</v>
      </c>
      <c r="BH428" s="907" t="s">
        <v>123</v>
      </c>
      <c r="BI428" s="935" t="s">
        <v>123</v>
      </c>
      <c r="BJ428" s="1003"/>
      <c r="BK428" s="907" t="s">
        <v>123</v>
      </c>
      <c r="BL428" s="907" t="s">
        <v>123</v>
      </c>
      <c r="BM428" s="907" t="s">
        <v>123</v>
      </c>
      <c r="BN428" s="1004" t="s">
        <v>123</v>
      </c>
      <c r="BO428" s="907" t="str">
        <f t="shared" si="6"/>
        <v/>
      </c>
      <c r="BP428" s="907" t="str">
        <f t="shared" si="7"/>
        <v/>
      </c>
      <c r="BQ428" s="907" t="str">
        <f t="shared" si="8"/>
        <v/>
      </c>
      <c r="BR428" s="1004" t="str">
        <f t="shared" si="9"/>
        <v/>
      </c>
      <c r="BS428" s="1005" t="str">
        <f t="shared" si="10"/>
        <v/>
      </c>
      <c r="BT428" s="1006" t="s">
        <v>123</v>
      </c>
      <c r="BU428" s="1002" t="s">
        <v>123</v>
      </c>
      <c r="BV428" s="1006" t="s">
        <v>123</v>
      </c>
      <c r="BW428" s="1007"/>
    </row>
    <row r="429">
      <c r="A429" s="624">
        <v>406.0</v>
      </c>
      <c r="B429" s="1008"/>
      <c r="C429" s="989"/>
      <c r="D429" s="851"/>
      <c r="E429" s="990"/>
      <c r="F429" s="991"/>
      <c r="G429" s="991"/>
      <c r="H429" s="992"/>
      <c r="I429" s="993"/>
      <c r="J429" s="993"/>
      <c r="K429" s="993"/>
      <c r="L429" s="993"/>
      <c r="M429" s="993"/>
      <c r="N429" s="993"/>
      <c r="O429" s="993"/>
      <c r="P429" s="993"/>
      <c r="Q429" s="993"/>
      <c r="R429" s="993"/>
      <c r="S429" s="936"/>
      <c r="T429" s="998"/>
      <c r="U429" s="935"/>
      <c r="V429" s="935"/>
      <c r="W429" s="949" t="str">
        <f>IF(AND($S$20,NOT($U$20)),IF($V429:$V623="","",SUMIF(portfolio.!$A$4:$A623,V429,portfolio.!$AN$4:$AN623)),"")</f>
        <v/>
      </c>
      <c r="X429" s="998"/>
      <c r="Y429" s="936"/>
      <c r="Z429" s="936" t="s">
        <v>123</v>
      </c>
      <c r="AA429" s="936" t="s">
        <v>123</v>
      </c>
      <c r="AB429" s="936" t="s">
        <v>123</v>
      </c>
      <c r="AC429" s="907" t="s">
        <v>123</v>
      </c>
      <c r="AD429" s="999"/>
      <c r="AE429" s="936"/>
      <c r="AF429" s="936"/>
      <c r="AG429" s="936"/>
      <c r="AH429" s="936"/>
      <c r="AI429" s="999"/>
      <c r="AJ429" s="935"/>
      <c r="AK429" s="966"/>
      <c r="AL429" s="949"/>
      <c r="AM429" s="949" t="s">
        <v>123</v>
      </c>
      <c r="AN429" s="949"/>
      <c r="AO429" s="999"/>
      <c r="AP429" s="936"/>
      <c r="AQ429" s="987"/>
      <c r="AR429" s="907"/>
      <c r="AS429" s="907"/>
      <c r="AT429" s="967" t="s">
        <v>123</v>
      </c>
      <c r="AU429" s="967" t="s">
        <v>123</v>
      </c>
      <c r="AV429" s="967" t="s">
        <v>123</v>
      </c>
      <c r="AW429" s="907" t="s">
        <v>123</v>
      </c>
      <c r="AX429" s="907" t="s">
        <v>123</v>
      </c>
      <c r="AY429" s="907" t="s">
        <v>123</v>
      </c>
      <c r="AZ429" s="936" t="s">
        <v>123</v>
      </c>
      <c r="BA429" s="935" t="s">
        <v>123</v>
      </c>
      <c r="BB429" s="1000"/>
      <c r="BC429" s="1001"/>
      <c r="BD429" s="936"/>
      <c r="BE429" s="907"/>
      <c r="BF429" s="1002" t="str">
        <f>IF($BC429="","",SUMIF(portfolio.!$A$4:$A623,BC429,portfolio.!$AN$4:$AN623))</f>
        <v/>
      </c>
      <c r="BG429" s="936" t="s">
        <v>123</v>
      </c>
      <c r="BH429" s="907" t="s">
        <v>123</v>
      </c>
      <c r="BI429" s="935" t="s">
        <v>123</v>
      </c>
      <c r="BJ429" s="1003"/>
      <c r="BK429" s="907" t="s">
        <v>123</v>
      </c>
      <c r="BL429" s="907" t="s">
        <v>123</v>
      </c>
      <c r="BM429" s="907" t="s">
        <v>123</v>
      </c>
      <c r="BN429" s="1004" t="s">
        <v>123</v>
      </c>
      <c r="BO429" s="907" t="str">
        <f t="shared" si="6"/>
        <v/>
      </c>
      <c r="BP429" s="907" t="str">
        <f t="shared" si="7"/>
        <v/>
      </c>
      <c r="BQ429" s="907" t="str">
        <f t="shared" si="8"/>
        <v/>
      </c>
      <c r="BR429" s="1004" t="str">
        <f t="shared" si="9"/>
        <v/>
      </c>
      <c r="BS429" s="1005" t="str">
        <f t="shared" si="10"/>
        <v/>
      </c>
      <c r="BT429" s="1006" t="s">
        <v>123</v>
      </c>
      <c r="BU429" s="1002" t="s">
        <v>123</v>
      </c>
      <c r="BV429" s="1006" t="s">
        <v>123</v>
      </c>
      <c r="BW429" s="1007"/>
    </row>
    <row r="430">
      <c r="A430" s="624">
        <v>407.0</v>
      </c>
      <c r="B430" s="1008"/>
      <c r="C430" s="989"/>
      <c r="D430" s="851"/>
      <c r="E430" s="990"/>
      <c r="F430" s="991"/>
      <c r="G430" s="991"/>
      <c r="H430" s="992"/>
      <c r="I430" s="993"/>
      <c r="J430" s="993"/>
      <c r="K430" s="993"/>
      <c r="L430" s="993"/>
      <c r="M430" s="993"/>
      <c r="N430" s="993"/>
      <c r="O430" s="993"/>
      <c r="P430" s="993"/>
      <c r="Q430" s="993"/>
      <c r="R430" s="993"/>
      <c r="S430" s="936"/>
      <c r="T430" s="998"/>
      <c r="U430" s="935"/>
      <c r="V430" s="935"/>
      <c r="W430" s="949" t="str">
        <f>IF(AND($S$20,NOT($U$20)),IF($V430:$V623="","",SUMIF(portfolio.!$A$4:$A623,V430,portfolio.!$AN$4:$AN623)),"")</f>
        <v/>
      </c>
      <c r="X430" s="998"/>
      <c r="Y430" s="936"/>
      <c r="Z430" s="936" t="s">
        <v>123</v>
      </c>
      <c r="AA430" s="936" t="s">
        <v>123</v>
      </c>
      <c r="AB430" s="936" t="s">
        <v>123</v>
      </c>
      <c r="AC430" s="907" t="s">
        <v>123</v>
      </c>
      <c r="AD430" s="999"/>
      <c r="AE430" s="936"/>
      <c r="AF430" s="936"/>
      <c r="AG430" s="936"/>
      <c r="AH430" s="936"/>
      <c r="AI430" s="999"/>
      <c r="AJ430" s="935"/>
      <c r="AK430" s="966"/>
      <c r="AL430" s="949"/>
      <c r="AM430" s="949" t="s">
        <v>123</v>
      </c>
      <c r="AN430" s="949"/>
      <c r="AO430" s="999"/>
      <c r="AP430" s="936"/>
      <c r="AQ430" s="987"/>
      <c r="AR430" s="907"/>
      <c r="AS430" s="907"/>
      <c r="AT430" s="967" t="s">
        <v>123</v>
      </c>
      <c r="AU430" s="967" t="s">
        <v>123</v>
      </c>
      <c r="AV430" s="967" t="s">
        <v>123</v>
      </c>
      <c r="AW430" s="907" t="s">
        <v>123</v>
      </c>
      <c r="AX430" s="907" t="s">
        <v>123</v>
      </c>
      <c r="AY430" s="907" t="s">
        <v>123</v>
      </c>
      <c r="AZ430" s="936" t="s">
        <v>123</v>
      </c>
      <c r="BA430" s="935" t="s">
        <v>123</v>
      </c>
      <c r="BB430" s="1000"/>
      <c r="BC430" s="1001"/>
      <c r="BD430" s="936"/>
      <c r="BE430" s="907"/>
      <c r="BF430" s="1002" t="str">
        <f>IF($BC430="","",SUMIF(portfolio.!$A$4:$A623,BC430,portfolio.!$AN$4:$AN623))</f>
        <v/>
      </c>
      <c r="BG430" s="936" t="s">
        <v>123</v>
      </c>
      <c r="BH430" s="907" t="s">
        <v>123</v>
      </c>
      <c r="BI430" s="935" t="s">
        <v>123</v>
      </c>
      <c r="BJ430" s="1003"/>
      <c r="BK430" s="907" t="s">
        <v>123</v>
      </c>
      <c r="BL430" s="907" t="s">
        <v>123</v>
      </c>
      <c r="BM430" s="907" t="s">
        <v>123</v>
      </c>
      <c r="BN430" s="1004" t="s">
        <v>123</v>
      </c>
      <c r="BO430" s="907" t="str">
        <f t="shared" si="6"/>
        <v/>
      </c>
      <c r="BP430" s="907" t="str">
        <f t="shared" si="7"/>
        <v/>
      </c>
      <c r="BQ430" s="907" t="str">
        <f t="shared" si="8"/>
        <v/>
      </c>
      <c r="BR430" s="1004" t="str">
        <f t="shared" si="9"/>
        <v/>
      </c>
      <c r="BS430" s="1005" t="str">
        <f t="shared" si="10"/>
        <v/>
      </c>
      <c r="BT430" s="1006" t="s">
        <v>123</v>
      </c>
      <c r="BU430" s="1002" t="s">
        <v>123</v>
      </c>
      <c r="BV430" s="1006" t="s">
        <v>123</v>
      </c>
      <c r="BW430" s="1007"/>
    </row>
    <row r="431">
      <c r="A431" s="624">
        <v>408.0</v>
      </c>
      <c r="B431" s="1008"/>
      <c r="C431" s="989"/>
      <c r="D431" s="851"/>
      <c r="E431" s="990"/>
      <c r="F431" s="991"/>
      <c r="G431" s="991"/>
      <c r="H431" s="992"/>
      <c r="I431" s="993"/>
      <c r="J431" s="993"/>
      <c r="K431" s="993"/>
      <c r="L431" s="993"/>
      <c r="M431" s="993"/>
      <c r="N431" s="993"/>
      <c r="O431" s="993"/>
      <c r="P431" s="993"/>
      <c r="Q431" s="993"/>
      <c r="R431" s="993"/>
      <c r="S431" s="936"/>
      <c r="T431" s="998"/>
      <c r="U431" s="935"/>
      <c r="V431" s="935"/>
      <c r="W431" s="949" t="str">
        <f>IF(AND($S$20,NOT($U$20)),IF($V431:$V623="","",SUMIF(portfolio.!$A$4:$A623,V431,portfolio.!$AN$4:$AN623)),"")</f>
        <v/>
      </c>
      <c r="X431" s="998"/>
      <c r="Y431" s="936"/>
      <c r="Z431" s="936" t="s">
        <v>123</v>
      </c>
      <c r="AA431" s="936" t="s">
        <v>123</v>
      </c>
      <c r="AB431" s="936" t="s">
        <v>123</v>
      </c>
      <c r="AC431" s="907" t="s">
        <v>123</v>
      </c>
      <c r="AD431" s="999"/>
      <c r="AE431" s="936"/>
      <c r="AF431" s="936"/>
      <c r="AG431" s="936"/>
      <c r="AH431" s="936"/>
      <c r="AI431" s="999"/>
      <c r="AJ431" s="935"/>
      <c r="AK431" s="966"/>
      <c r="AL431" s="949"/>
      <c r="AM431" s="949" t="s">
        <v>123</v>
      </c>
      <c r="AN431" s="949"/>
      <c r="AO431" s="999"/>
      <c r="AP431" s="936"/>
      <c r="AQ431" s="987"/>
      <c r="AR431" s="907"/>
      <c r="AS431" s="907"/>
      <c r="AT431" s="967" t="s">
        <v>123</v>
      </c>
      <c r="AU431" s="967" t="s">
        <v>123</v>
      </c>
      <c r="AV431" s="967" t="s">
        <v>123</v>
      </c>
      <c r="AW431" s="907" t="s">
        <v>123</v>
      </c>
      <c r="AX431" s="907" t="s">
        <v>123</v>
      </c>
      <c r="AY431" s="907" t="s">
        <v>123</v>
      </c>
      <c r="AZ431" s="936" t="s">
        <v>123</v>
      </c>
      <c r="BA431" s="935" t="s">
        <v>123</v>
      </c>
      <c r="BB431" s="1000"/>
      <c r="BC431" s="1001"/>
      <c r="BD431" s="936"/>
      <c r="BE431" s="907"/>
      <c r="BF431" s="1002" t="str">
        <f>IF($BC431="","",SUMIF(portfolio.!$A$4:$A623,BC431,portfolio.!$AN$4:$AN623))</f>
        <v/>
      </c>
      <c r="BG431" s="936" t="s">
        <v>123</v>
      </c>
      <c r="BH431" s="907" t="s">
        <v>123</v>
      </c>
      <c r="BI431" s="935" t="s">
        <v>123</v>
      </c>
      <c r="BJ431" s="1003"/>
      <c r="BK431" s="907" t="s">
        <v>123</v>
      </c>
      <c r="BL431" s="907" t="s">
        <v>123</v>
      </c>
      <c r="BM431" s="907" t="s">
        <v>123</v>
      </c>
      <c r="BN431" s="1004" t="s">
        <v>123</v>
      </c>
      <c r="BO431" s="907" t="str">
        <f t="shared" si="6"/>
        <v/>
      </c>
      <c r="BP431" s="907" t="str">
        <f t="shared" si="7"/>
        <v/>
      </c>
      <c r="BQ431" s="907" t="str">
        <f t="shared" si="8"/>
        <v/>
      </c>
      <c r="BR431" s="1004" t="str">
        <f t="shared" si="9"/>
        <v/>
      </c>
      <c r="BS431" s="1005" t="str">
        <f t="shared" si="10"/>
        <v/>
      </c>
      <c r="BT431" s="1006" t="s">
        <v>123</v>
      </c>
      <c r="BU431" s="1002" t="s">
        <v>123</v>
      </c>
      <c r="BV431" s="1006" t="s">
        <v>123</v>
      </c>
      <c r="BW431" s="1007"/>
    </row>
    <row r="432">
      <c r="A432" s="624">
        <v>409.0</v>
      </c>
      <c r="B432" s="1008"/>
      <c r="C432" s="989"/>
      <c r="D432" s="851"/>
      <c r="E432" s="990"/>
      <c r="F432" s="991"/>
      <c r="G432" s="991"/>
      <c r="H432" s="992"/>
      <c r="I432" s="993"/>
      <c r="J432" s="993"/>
      <c r="K432" s="993"/>
      <c r="L432" s="993"/>
      <c r="M432" s="993"/>
      <c r="N432" s="993"/>
      <c r="O432" s="993"/>
      <c r="P432" s="993"/>
      <c r="Q432" s="993"/>
      <c r="R432" s="993"/>
      <c r="S432" s="936"/>
      <c r="T432" s="998"/>
      <c r="U432" s="935"/>
      <c r="V432" s="935"/>
      <c r="W432" s="949" t="str">
        <f>IF(AND($S$20,NOT($U$20)),IF($V432:$V623="","",SUMIF(portfolio.!$A$4:$A623,V432,portfolio.!$AN$4:$AN623)),"")</f>
        <v/>
      </c>
      <c r="X432" s="998"/>
      <c r="Y432" s="936"/>
      <c r="Z432" s="936" t="s">
        <v>123</v>
      </c>
      <c r="AA432" s="936" t="s">
        <v>123</v>
      </c>
      <c r="AB432" s="936" t="s">
        <v>123</v>
      </c>
      <c r="AC432" s="907" t="s">
        <v>123</v>
      </c>
      <c r="AD432" s="999"/>
      <c r="AE432" s="936"/>
      <c r="AF432" s="936"/>
      <c r="AG432" s="936"/>
      <c r="AH432" s="936"/>
      <c r="AI432" s="999"/>
      <c r="AJ432" s="935"/>
      <c r="AK432" s="966"/>
      <c r="AL432" s="949"/>
      <c r="AM432" s="949" t="s">
        <v>123</v>
      </c>
      <c r="AN432" s="949"/>
      <c r="AO432" s="999"/>
      <c r="AP432" s="936"/>
      <c r="AQ432" s="987"/>
      <c r="AR432" s="907"/>
      <c r="AS432" s="907"/>
      <c r="AT432" s="967" t="s">
        <v>123</v>
      </c>
      <c r="AU432" s="967" t="s">
        <v>123</v>
      </c>
      <c r="AV432" s="967" t="s">
        <v>123</v>
      </c>
      <c r="AW432" s="907" t="s">
        <v>123</v>
      </c>
      <c r="AX432" s="907" t="s">
        <v>123</v>
      </c>
      <c r="AY432" s="907" t="s">
        <v>123</v>
      </c>
      <c r="AZ432" s="936" t="s">
        <v>123</v>
      </c>
      <c r="BA432" s="935" t="s">
        <v>123</v>
      </c>
      <c r="BB432" s="1000"/>
      <c r="BC432" s="1001"/>
      <c r="BD432" s="936"/>
      <c r="BE432" s="907"/>
      <c r="BF432" s="1002" t="str">
        <f>IF($BC432="","",SUMIF(portfolio.!$A$4:$A623,BC432,portfolio.!$AN$4:$AN623))</f>
        <v/>
      </c>
      <c r="BG432" s="936" t="s">
        <v>123</v>
      </c>
      <c r="BH432" s="907" t="s">
        <v>123</v>
      </c>
      <c r="BI432" s="935" t="s">
        <v>123</v>
      </c>
      <c r="BJ432" s="1003"/>
      <c r="BK432" s="907" t="s">
        <v>123</v>
      </c>
      <c r="BL432" s="907" t="s">
        <v>123</v>
      </c>
      <c r="BM432" s="907" t="s">
        <v>123</v>
      </c>
      <c r="BN432" s="1004" t="s">
        <v>123</v>
      </c>
      <c r="BO432" s="907" t="str">
        <f t="shared" si="6"/>
        <v/>
      </c>
      <c r="BP432" s="907" t="str">
        <f t="shared" si="7"/>
        <v/>
      </c>
      <c r="BQ432" s="907" t="str">
        <f t="shared" si="8"/>
        <v/>
      </c>
      <c r="BR432" s="1004" t="str">
        <f t="shared" si="9"/>
        <v/>
      </c>
      <c r="BS432" s="1005" t="str">
        <f t="shared" si="10"/>
        <v/>
      </c>
      <c r="BT432" s="1006" t="s">
        <v>123</v>
      </c>
      <c r="BU432" s="1002" t="s">
        <v>123</v>
      </c>
      <c r="BV432" s="1006" t="s">
        <v>123</v>
      </c>
      <c r="BW432" s="1007"/>
    </row>
    <row r="433">
      <c r="A433" s="624">
        <v>410.0</v>
      </c>
      <c r="B433" s="1008"/>
      <c r="C433" s="989"/>
      <c r="D433" s="851"/>
      <c r="E433" s="990"/>
      <c r="F433" s="991"/>
      <c r="G433" s="991"/>
      <c r="H433" s="992"/>
      <c r="I433" s="993"/>
      <c r="J433" s="993"/>
      <c r="K433" s="993"/>
      <c r="L433" s="993"/>
      <c r="M433" s="993"/>
      <c r="N433" s="993"/>
      <c r="O433" s="993"/>
      <c r="P433" s="993"/>
      <c r="Q433" s="993"/>
      <c r="R433" s="993"/>
      <c r="S433" s="936"/>
      <c r="T433" s="998"/>
      <c r="U433" s="935"/>
      <c r="V433" s="935"/>
      <c r="W433" s="949" t="str">
        <f>IF(AND($S$20,NOT($U$20)),IF($V433:$V623="","",SUMIF(portfolio.!$A$4:$A623,V433,portfolio.!$AN$4:$AN623)),"")</f>
        <v/>
      </c>
      <c r="X433" s="998"/>
      <c r="Y433" s="936"/>
      <c r="Z433" s="936" t="s">
        <v>123</v>
      </c>
      <c r="AA433" s="936" t="s">
        <v>123</v>
      </c>
      <c r="AB433" s="936" t="s">
        <v>123</v>
      </c>
      <c r="AC433" s="907" t="s">
        <v>123</v>
      </c>
      <c r="AD433" s="999"/>
      <c r="AE433" s="936"/>
      <c r="AF433" s="936"/>
      <c r="AG433" s="936"/>
      <c r="AH433" s="936"/>
      <c r="AI433" s="999"/>
      <c r="AJ433" s="935"/>
      <c r="AK433" s="966"/>
      <c r="AL433" s="949"/>
      <c r="AM433" s="949" t="s">
        <v>123</v>
      </c>
      <c r="AN433" s="949"/>
      <c r="AO433" s="999"/>
      <c r="AP433" s="936"/>
      <c r="AQ433" s="987"/>
      <c r="AR433" s="907"/>
      <c r="AS433" s="907"/>
      <c r="AT433" s="967" t="s">
        <v>123</v>
      </c>
      <c r="AU433" s="967" t="s">
        <v>123</v>
      </c>
      <c r="AV433" s="967" t="s">
        <v>123</v>
      </c>
      <c r="AW433" s="907" t="s">
        <v>123</v>
      </c>
      <c r="AX433" s="907" t="s">
        <v>123</v>
      </c>
      <c r="AY433" s="907" t="s">
        <v>123</v>
      </c>
      <c r="AZ433" s="936" t="s">
        <v>123</v>
      </c>
      <c r="BA433" s="935" t="s">
        <v>123</v>
      </c>
      <c r="BB433" s="1000"/>
      <c r="BC433" s="1001"/>
      <c r="BD433" s="936"/>
      <c r="BE433" s="907"/>
      <c r="BF433" s="1002" t="str">
        <f>IF($BC433="","",SUMIF(portfolio.!$A$4:$A623,BC433,portfolio.!$AN$4:$AN623))</f>
        <v/>
      </c>
      <c r="BG433" s="936" t="s">
        <v>123</v>
      </c>
      <c r="BH433" s="907" t="s">
        <v>123</v>
      </c>
      <c r="BI433" s="935" t="s">
        <v>123</v>
      </c>
      <c r="BJ433" s="1003"/>
      <c r="BK433" s="907" t="s">
        <v>123</v>
      </c>
      <c r="BL433" s="907" t="s">
        <v>123</v>
      </c>
      <c r="BM433" s="907" t="s">
        <v>123</v>
      </c>
      <c r="BN433" s="1004" t="s">
        <v>123</v>
      </c>
      <c r="BO433" s="907" t="str">
        <f t="shared" si="6"/>
        <v/>
      </c>
      <c r="BP433" s="907" t="str">
        <f t="shared" si="7"/>
        <v/>
      </c>
      <c r="BQ433" s="907" t="str">
        <f t="shared" si="8"/>
        <v/>
      </c>
      <c r="BR433" s="1004" t="str">
        <f t="shared" si="9"/>
        <v/>
      </c>
      <c r="BS433" s="1005" t="str">
        <f t="shared" si="10"/>
        <v/>
      </c>
      <c r="BT433" s="1006" t="s">
        <v>123</v>
      </c>
      <c r="BU433" s="1002" t="s">
        <v>123</v>
      </c>
      <c r="BV433" s="1006" t="s">
        <v>123</v>
      </c>
      <c r="BW433" s="1007"/>
    </row>
    <row r="434">
      <c r="A434" s="624">
        <v>411.0</v>
      </c>
      <c r="B434" s="1008"/>
      <c r="C434" s="989"/>
      <c r="D434" s="851"/>
      <c r="E434" s="990"/>
      <c r="F434" s="991"/>
      <c r="G434" s="991"/>
      <c r="H434" s="992"/>
      <c r="I434" s="993"/>
      <c r="J434" s="993"/>
      <c r="K434" s="993"/>
      <c r="L434" s="993"/>
      <c r="M434" s="993"/>
      <c r="N434" s="993"/>
      <c r="O434" s="993"/>
      <c r="P434" s="993"/>
      <c r="Q434" s="993"/>
      <c r="R434" s="993"/>
      <c r="S434" s="936"/>
      <c r="T434" s="998"/>
      <c r="U434" s="935"/>
      <c r="V434" s="935"/>
      <c r="W434" s="949" t="str">
        <f>IF(AND($S$20,NOT($U$20)),IF($V434:$V623="","",SUMIF(portfolio.!$A$4:$A623,V434,portfolio.!$AN$4:$AN623)),"")</f>
        <v/>
      </c>
      <c r="X434" s="998"/>
      <c r="Y434" s="936"/>
      <c r="Z434" s="936" t="s">
        <v>123</v>
      </c>
      <c r="AA434" s="936" t="s">
        <v>123</v>
      </c>
      <c r="AB434" s="936" t="s">
        <v>123</v>
      </c>
      <c r="AC434" s="907" t="s">
        <v>123</v>
      </c>
      <c r="AD434" s="999"/>
      <c r="AE434" s="936"/>
      <c r="AF434" s="936"/>
      <c r="AG434" s="936"/>
      <c r="AH434" s="936"/>
      <c r="AI434" s="999"/>
      <c r="AJ434" s="935"/>
      <c r="AK434" s="966"/>
      <c r="AL434" s="949"/>
      <c r="AM434" s="949" t="s">
        <v>123</v>
      </c>
      <c r="AN434" s="949"/>
      <c r="AO434" s="999"/>
      <c r="AP434" s="936"/>
      <c r="AQ434" s="987"/>
      <c r="AR434" s="907"/>
      <c r="AS434" s="907"/>
      <c r="AT434" s="967" t="s">
        <v>123</v>
      </c>
      <c r="AU434" s="967" t="s">
        <v>123</v>
      </c>
      <c r="AV434" s="967" t="s">
        <v>123</v>
      </c>
      <c r="AW434" s="907" t="s">
        <v>123</v>
      </c>
      <c r="AX434" s="907" t="s">
        <v>123</v>
      </c>
      <c r="AY434" s="907" t="s">
        <v>123</v>
      </c>
      <c r="AZ434" s="936" t="s">
        <v>123</v>
      </c>
      <c r="BA434" s="935" t="s">
        <v>123</v>
      </c>
      <c r="BB434" s="1000"/>
      <c r="BC434" s="1001"/>
      <c r="BD434" s="936"/>
      <c r="BE434" s="907"/>
      <c r="BF434" s="1002" t="str">
        <f>IF($BC434="","",SUMIF(portfolio.!$A$4:$A623,BC434,portfolio.!$AN$4:$AN623))</f>
        <v/>
      </c>
      <c r="BG434" s="936" t="s">
        <v>123</v>
      </c>
      <c r="BH434" s="907" t="s">
        <v>123</v>
      </c>
      <c r="BI434" s="935" t="s">
        <v>123</v>
      </c>
      <c r="BJ434" s="1003"/>
      <c r="BK434" s="907" t="s">
        <v>123</v>
      </c>
      <c r="BL434" s="907" t="s">
        <v>123</v>
      </c>
      <c r="BM434" s="907" t="s">
        <v>123</v>
      </c>
      <c r="BN434" s="1004" t="s">
        <v>123</v>
      </c>
      <c r="BO434" s="907" t="str">
        <f t="shared" si="6"/>
        <v/>
      </c>
      <c r="BP434" s="907" t="str">
        <f t="shared" si="7"/>
        <v/>
      </c>
      <c r="BQ434" s="907" t="str">
        <f t="shared" si="8"/>
        <v/>
      </c>
      <c r="BR434" s="1004" t="str">
        <f t="shared" si="9"/>
        <v/>
      </c>
      <c r="BS434" s="1005" t="str">
        <f t="shared" si="10"/>
        <v/>
      </c>
      <c r="BT434" s="1006" t="s">
        <v>123</v>
      </c>
      <c r="BU434" s="1002" t="s">
        <v>123</v>
      </c>
      <c r="BV434" s="1006" t="s">
        <v>123</v>
      </c>
      <c r="BW434" s="1007"/>
    </row>
    <row r="435">
      <c r="A435" s="624">
        <v>412.0</v>
      </c>
      <c r="B435" s="1008"/>
      <c r="C435" s="989"/>
      <c r="D435" s="851"/>
      <c r="E435" s="990"/>
      <c r="F435" s="991"/>
      <c r="G435" s="991"/>
      <c r="H435" s="992"/>
      <c r="I435" s="993"/>
      <c r="J435" s="993"/>
      <c r="K435" s="993"/>
      <c r="L435" s="993"/>
      <c r="M435" s="993"/>
      <c r="N435" s="993"/>
      <c r="O435" s="993"/>
      <c r="P435" s="993"/>
      <c r="Q435" s="993"/>
      <c r="R435" s="993"/>
      <c r="S435" s="936"/>
      <c r="T435" s="998"/>
      <c r="U435" s="935"/>
      <c r="V435" s="935"/>
      <c r="W435" s="949" t="str">
        <f>IF(AND($S$20,NOT($U$20)),IF($V435:$V623="","",SUMIF(portfolio.!$A$4:$A623,V435,portfolio.!$AN$4:$AN623)),"")</f>
        <v/>
      </c>
      <c r="X435" s="998"/>
      <c r="Y435" s="936"/>
      <c r="Z435" s="936" t="s">
        <v>123</v>
      </c>
      <c r="AA435" s="936" t="s">
        <v>123</v>
      </c>
      <c r="AB435" s="936" t="s">
        <v>123</v>
      </c>
      <c r="AC435" s="907" t="s">
        <v>123</v>
      </c>
      <c r="AD435" s="999"/>
      <c r="AE435" s="936"/>
      <c r="AF435" s="936"/>
      <c r="AG435" s="936"/>
      <c r="AH435" s="936"/>
      <c r="AI435" s="999"/>
      <c r="AJ435" s="935"/>
      <c r="AK435" s="966"/>
      <c r="AL435" s="949"/>
      <c r="AM435" s="949" t="s">
        <v>123</v>
      </c>
      <c r="AN435" s="949"/>
      <c r="AO435" s="999"/>
      <c r="AP435" s="936"/>
      <c r="AQ435" s="987"/>
      <c r="AR435" s="907"/>
      <c r="AS435" s="907"/>
      <c r="AT435" s="967" t="s">
        <v>123</v>
      </c>
      <c r="AU435" s="967" t="s">
        <v>123</v>
      </c>
      <c r="AV435" s="967" t="s">
        <v>123</v>
      </c>
      <c r="AW435" s="907" t="s">
        <v>123</v>
      </c>
      <c r="AX435" s="907" t="s">
        <v>123</v>
      </c>
      <c r="AY435" s="907" t="s">
        <v>123</v>
      </c>
      <c r="AZ435" s="936" t="s">
        <v>123</v>
      </c>
      <c r="BA435" s="935" t="s">
        <v>123</v>
      </c>
      <c r="BB435" s="1000"/>
      <c r="BC435" s="1001"/>
      <c r="BD435" s="936"/>
      <c r="BE435" s="907"/>
      <c r="BF435" s="1002" t="str">
        <f>IF($BC435="","",SUMIF(portfolio.!$A$4:$A623,BC435,portfolio.!$AN$4:$AN623))</f>
        <v/>
      </c>
      <c r="BG435" s="936" t="s">
        <v>123</v>
      </c>
      <c r="BH435" s="907" t="s">
        <v>123</v>
      </c>
      <c r="BI435" s="935" t="s">
        <v>123</v>
      </c>
      <c r="BJ435" s="1003"/>
      <c r="BK435" s="907" t="s">
        <v>123</v>
      </c>
      <c r="BL435" s="907" t="s">
        <v>123</v>
      </c>
      <c r="BM435" s="907" t="s">
        <v>123</v>
      </c>
      <c r="BN435" s="1004" t="s">
        <v>123</v>
      </c>
      <c r="BO435" s="907" t="str">
        <f t="shared" si="6"/>
        <v/>
      </c>
      <c r="BP435" s="907" t="str">
        <f t="shared" si="7"/>
        <v/>
      </c>
      <c r="BQ435" s="907" t="str">
        <f t="shared" si="8"/>
        <v/>
      </c>
      <c r="BR435" s="1004" t="str">
        <f t="shared" si="9"/>
        <v/>
      </c>
      <c r="BS435" s="1005" t="str">
        <f t="shared" si="10"/>
        <v/>
      </c>
      <c r="BT435" s="1006" t="s">
        <v>123</v>
      </c>
      <c r="BU435" s="1002" t="s">
        <v>123</v>
      </c>
      <c r="BV435" s="1006" t="s">
        <v>123</v>
      </c>
      <c r="BW435" s="1007"/>
    </row>
    <row r="436">
      <c r="A436" s="624">
        <v>413.0</v>
      </c>
      <c r="B436" s="1008"/>
      <c r="C436" s="989"/>
      <c r="D436" s="851"/>
      <c r="E436" s="990"/>
      <c r="F436" s="991"/>
      <c r="G436" s="991"/>
      <c r="H436" s="992"/>
      <c r="I436" s="993"/>
      <c r="J436" s="993"/>
      <c r="K436" s="993"/>
      <c r="L436" s="993"/>
      <c r="M436" s="993"/>
      <c r="N436" s="993"/>
      <c r="O436" s="993"/>
      <c r="P436" s="993"/>
      <c r="Q436" s="993"/>
      <c r="R436" s="993"/>
      <c r="S436" s="936"/>
      <c r="T436" s="998"/>
      <c r="U436" s="935"/>
      <c r="V436" s="935"/>
      <c r="W436" s="949" t="str">
        <f>IF(AND($S$20,NOT($U$20)),IF($V436:$V623="","",SUMIF(portfolio.!$A$4:$A623,V436,portfolio.!$AN$4:$AN623)),"")</f>
        <v/>
      </c>
      <c r="X436" s="998"/>
      <c r="Y436" s="936"/>
      <c r="Z436" s="936" t="s">
        <v>123</v>
      </c>
      <c r="AA436" s="936" t="s">
        <v>123</v>
      </c>
      <c r="AB436" s="936" t="s">
        <v>123</v>
      </c>
      <c r="AC436" s="907" t="s">
        <v>123</v>
      </c>
      <c r="AD436" s="999"/>
      <c r="AE436" s="936"/>
      <c r="AF436" s="936"/>
      <c r="AG436" s="936"/>
      <c r="AH436" s="936"/>
      <c r="AI436" s="999"/>
      <c r="AJ436" s="935"/>
      <c r="AK436" s="966"/>
      <c r="AL436" s="949"/>
      <c r="AM436" s="949" t="s">
        <v>123</v>
      </c>
      <c r="AN436" s="949"/>
      <c r="AO436" s="999"/>
      <c r="AP436" s="936"/>
      <c r="AQ436" s="987"/>
      <c r="AR436" s="907"/>
      <c r="AS436" s="907"/>
      <c r="AT436" s="967" t="s">
        <v>123</v>
      </c>
      <c r="AU436" s="967" t="s">
        <v>123</v>
      </c>
      <c r="AV436" s="967" t="s">
        <v>123</v>
      </c>
      <c r="AW436" s="907" t="s">
        <v>123</v>
      </c>
      <c r="AX436" s="907" t="s">
        <v>123</v>
      </c>
      <c r="AY436" s="907" t="s">
        <v>123</v>
      </c>
      <c r="AZ436" s="936" t="s">
        <v>123</v>
      </c>
      <c r="BA436" s="935" t="s">
        <v>123</v>
      </c>
      <c r="BB436" s="1000"/>
      <c r="BC436" s="1001"/>
      <c r="BD436" s="936"/>
      <c r="BE436" s="907"/>
      <c r="BF436" s="1002" t="str">
        <f>IF($BC436="","",SUMIF(portfolio.!$A$4:$A623,BC436,portfolio.!$AN$4:$AN623))</f>
        <v/>
      </c>
      <c r="BG436" s="936" t="s">
        <v>123</v>
      </c>
      <c r="BH436" s="907" t="s">
        <v>123</v>
      </c>
      <c r="BI436" s="935" t="s">
        <v>123</v>
      </c>
      <c r="BJ436" s="1003"/>
      <c r="BK436" s="907" t="s">
        <v>123</v>
      </c>
      <c r="BL436" s="907" t="s">
        <v>123</v>
      </c>
      <c r="BM436" s="907" t="s">
        <v>123</v>
      </c>
      <c r="BN436" s="1004" t="s">
        <v>123</v>
      </c>
      <c r="BO436" s="907" t="str">
        <f t="shared" si="6"/>
        <v/>
      </c>
      <c r="BP436" s="907" t="str">
        <f t="shared" si="7"/>
        <v/>
      </c>
      <c r="BQ436" s="907" t="str">
        <f t="shared" si="8"/>
        <v/>
      </c>
      <c r="BR436" s="1004" t="str">
        <f t="shared" si="9"/>
        <v/>
      </c>
      <c r="BS436" s="1005" t="str">
        <f t="shared" si="10"/>
        <v/>
      </c>
      <c r="BT436" s="1006" t="s">
        <v>123</v>
      </c>
      <c r="BU436" s="1002" t="s">
        <v>123</v>
      </c>
      <c r="BV436" s="1006" t="s">
        <v>123</v>
      </c>
      <c r="BW436" s="1007"/>
    </row>
    <row r="437">
      <c r="A437" s="624">
        <v>414.0</v>
      </c>
      <c r="B437" s="1008"/>
      <c r="C437" s="989"/>
      <c r="D437" s="851"/>
      <c r="E437" s="990"/>
      <c r="F437" s="991"/>
      <c r="G437" s="991"/>
      <c r="H437" s="992"/>
      <c r="I437" s="993"/>
      <c r="J437" s="993"/>
      <c r="K437" s="993"/>
      <c r="L437" s="993"/>
      <c r="M437" s="993"/>
      <c r="N437" s="993"/>
      <c r="O437" s="993"/>
      <c r="P437" s="993"/>
      <c r="Q437" s="993"/>
      <c r="R437" s="993"/>
      <c r="S437" s="936"/>
      <c r="T437" s="998"/>
      <c r="U437" s="935"/>
      <c r="V437" s="935"/>
      <c r="W437" s="949" t="str">
        <f>IF(AND($S$20,NOT($U$20)),IF($V437:$V623="","",SUMIF(portfolio.!$A$4:$A623,V437,portfolio.!$AN$4:$AN623)),"")</f>
        <v/>
      </c>
      <c r="X437" s="998"/>
      <c r="Y437" s="936"/>
      <c r="Z437" s="936" t="s">
        <v>123</v>
      </c>
      <c r="AA437" s="936" t="s">
        <v>123</v>
      </c>
      <c r="AB437" s="936" t="s">
        <v>123</v>
      </c>
      <c r="AC437" s="907" t="s">
        <v>123</v>
      </c>
      <c r="AD437" s="999"/>
      <c r="AE437" s="936"/>
      <c r="AF437" s="936"/>
      <c r="AG437" s="936"/>
      <c r="AH437" s="936"/>
      <c r="AI437" s="999"/>
      <c r="AJ437" s="935"/>
      <c r="AK437" s="966"/>
      <c r="AL437" s="949"/>
      <c r="AM437" s="949" t="s">
        <v>123</v>
      </c>
      <c r="AN437" s="949"/>
      <c r="AO437" s="999"/>
      <c r="AP437" s="936"/>
      <c r="AQ437" s="987"/>
      <c r="AR437" s="907"/>
      <c r="AS437" s="907"/>
      <c r="AT437" s="967" t="s">
        <v>123</v>
      </c>
      <c r="AU437" s="967" t="s">
        <v>123</v>
      </c>
      <c r="AV437" s="967" t="s">
        <v>123</v>
      </c>
      <c r="AW437" s="907" t="s">
        <v>123</v>
      </c>
      <c r="AX437" s="907" t="s">
        <v>123</v>
      </c>
      <c r="AY437" s="907" t="s">
        <v>123</v>
      </c>
      <c r="AZ437" s="936" t="s">
        <v>123</v>
      </c>
      <c r="BA437" s="935" t="s">
        <v>123</v>
      </c>
      <c r="BB437" s="1000"/>
      <c r="BC437" s="1001"/>
      <c r="BD437" s="936"/>
      <c r="BE437" s="907"/>
      <c r="BF437" s="1002" t="str">
        <f>IF($BC437="","",SUMIF(portfolio.!$A$4:$A623,BC437,portfolio.!$AN$4:$AN623))</f>
        <v/>
      </c>
      <c r="BG437" s="936" t="s">
        <v>123</v>
      </c>
      <c r="BH437" s="907" t="s">
        <v>123</v>
      </c>
      <c r="BI437" s="935" t="s">
        <v>123</v>
      </c>
      <c r="BJ437" s="1003"/>
      <c r="BK437" s="907" t="s">
        <v>123</v>
      </c>
      <c r="BL437" s="907" t="s">
        <v>123</v>
      </c>
      <c r="BM437" s="907" t="s">
        <v>123</v>
      </c>
      <c r="BN437" s="1004" t="s">
        <v>123</v>
      </c>
      <c r="BO437" s="907" t="str">
        <f t="shared" si="6"/>
        <v/>
      </c>
      <c r="BP437" s="907" t="str">
        <f t="shared" si="7"/>
        <v/>
      </c>
      <c r="BQ437" s="907" t="str">
        <f t="shared" si="8"/>
        <v/>
      </c>
      <c r="BR437" s="1004" t="str">
        <f t="shared" si="9"/>
        <v/>
      </c>
      <c r="BS437" s="1005" t="str">
        <f t="shared" si="10"/>
        <v/>
      </c>
      <c r="BT437" s="1006" t="s">
        <v>123</v>
      </c>
      <c r="BU437" s="1002" t="s">
        <v>123</v>
      </c>
      <c r="BV437" s="1006" t="s">
        <v>123</v>
      </c>
      <c r="BW437" s="1007"/>
    </row>
    <row r="438">
      <c r="A438" s="624">
        <v>415.0</v>
      </c>
      <c r="B438" s="1008"/>
      <c r="C438" s="989"/>
      <c r="D438" s="851"/>
      <c r="E438" s="990"/>
      <c r="F438" s="991"/>
      <c r="G438" s="991"/>
      <c r="H438" s="992"/>
      <c r="I438" s="993"/>
      <c r="J438" s="993"/>
      <c r="K438" s="993"/>
      <c r="L438" s="993"/>
      <c r="M438" s="993"/>
      <c r="N438" s="993"/>
      <c r="O438" s="993"/>
      <c r="P438" s="993"/>
      <c r="Q438" s="993"/>
      <c r="R438" s="993"/>
      <c r="S438" s="936"/>
      <c r="T438" s="998"/>
      <c r="U438" s="935"/>
      <c r="V438" s="935"/>
      <c r="W438" s="949" t="str">
        <f>IF(AND($S$20,NOT($U$20)),IF($V438:$V623="","",SUMIF(portfolio.!$A$4:$A623,V438,portfolio.!$AN$4:$AN623)),"")</f>
        <v/>
      </c>
      <c r="X438" s="998"/>
      <c r="Y438" s="936"/>
      <c r="Z438" s="936" t="s">
        <v>123</v>
      </c>
      <c r="AA438" s="936" t="s">
        <v>123</v>
      </c>
      <c r="AB438" s="936" t="s">
        <v>123</v>
      </c>
      <c r="AC438" s="907" t="s">
        <v>123</v>
      </c>
      <c r="AD438" s="999"/>
      <c r="AE438" s="936"/>
      <c r="AF438" s="936"/>
      <c r="AG438" s="936"/>
      <c r="AH438" s="936"/>
      <c r="AI438" s="999"/>
      <c r="AJ438" s="935"/>
      <c r="AK438" s="966"/>
      <c r="AL438" s="949"/>
      <c r="AM438" s="949" t="s">
        <v>123</v>
      </c>
      <c r="AN438" s="949"/>
      <c r="AO438" s="999"/>
      <c r="AP438" s="936"/>
      <c r="AQ438" s="987"/>
      <c r="AR438" s="907"/>
      <c r="AS438" s="907"/>
      <c r="AT438" s="967" t="s">
        <v>123</v>
      </c>
      <c r="AU438" s="967" t="s">
        <v>123</v>
      </c>
      <c r="AV438" s="967" t="s">
        <v>123</v>
      </c>
      <c r="AW438" s="907" t="s">
        <v>123</v>
      </c>
      <c r="AX438" s="907" t="s">
        <v>123</v>
      </c>
      <c r="AY438" s="907" t="s">
        <v>123</v>
      </c>
      <c r="AZ438" s="936" t="s">
        <v>123</v>
      </c>
      <c r="BA438" s="935" t="s">
        <v>123</v>
      </c>
      <c r="BB438" s="1000"/>
      <c r="BC438" s="1001"/>
      <c r="BD438" s="936"/>
      <c r="BE438" s="907"/>
      <c r="BF438" s="1002" t="str">
        <f>IF($BC438="","",SUMIF(portfolio.!$A$4:$A623,BC438,portfolio.!$AN$4:$AN623))</f>
        <v/>
      </c>
      <c r="BG438" s="936" t="s">
        <v>123</v>
      </c>
      <c r="BH438" s="907" t="s">
        <v>123</v>
      </c>
      <c r="BI438" s="935" t="s">
        <v>123</v>
      </c>
      <c r="BJ438" s="1003"/>
      <c r="BK438" s="907" t="s">
        <v>123</v>
      </c>
      <c r="BL438" s="907" t="s">
        <v>123</v>
      </c>
      <c r="BM438" s="907" t="s">
        <v>123</v>
      </c>
      <c r="BN438" s="1004" t="s">
        <v>123</v>
      </c>
      <c r="BO438" s="907" t="str">
        <f t="shared" si="6"/>
        <v/>
      </c>
      <c r="BP438" s="907" t="str">
        <f t="shared" si="7"/>
        <v/>
      </c>
      <c r="BQ438" s="907" t="str">
        <f t="shared" si="8"/>
        <v/>
      </c>
      <c r="BR438" s="1004" t="str">
        <f t="shared" si="9"/>
        <v/>
      </c>
      <c r="BS438" s="1005" t="str">
        <f t="shared" si="10"/>
        <v/>
      </c>
      <c r="BT438" s="1006" t="s">
        <v>123</v>
      </c>
      <c r="BU438" s="1002" t="s">
        <v>123</v>
      </c>
      <c r="BV438" s="1006" t="s">
        <v>123</v>
      </c>
      <c r="BW438" s="1007"/>
    </row>
    <row r="439">
      <c r="A439" s="624">
        <v>416.0</v>
      </c>
      <c r="B439" s="1008"/>
      <c r="C439" s="989"/>
      <c r="D439" s="851"/>
      <c r="E439" s="990"/>
      <c r="F439" s="991"/>
      <c r="G439" s="991"/>
      <c r="H439" s="992"/>
      <c r="I439" s="993"/>
      <c r="J439" s="993"/>
      <c r="K439" s="993"/>
      <c r="L439" s="993"/>
      <c r="M439" s="993"/>
      <c r="N439" s="993"/>
      <c r="O439" s="993"/>
      <c r="P439" s="993"/>
      <c r="Q439" s="993"/>
      <c r="R439" s="993"/>
      <c r="S439" s="936"/>
      <c r="T439" s="998"/>
      <c r="U439" s="935"/>
      <c r="V439" s="935"/>
      <c r="W439" s="949" t="str">
        <f>IF(AND($S$20,NOT($U$20)),IF($V439:$V623="","",SUMIF(portfolio.!$A$4:$A623,V439,portfolio.!$AN$4:$AN623)),"")</f>
        <v/>
      </c>
      <c r="X439" s="998"/>
      <c r="Y439" s="936"/>
      <c r="Z439" s="936" t="s">
        <v>123</v>
      </c>
      <c r="AA439" s="936" t="s">
        <v>123</v>
      </c>
      <c r="AB439" s="936" t="s">
        <v>123</v>
      </c>
      <c r="AC439" s="907" t="s">
        <v>123</v>
      </c>
      <c r="AD439" s="999"/>
      <c r="AE439" s="936"/>
      <c r="AF439" s="936"/>
      <c r="AG439" s="936"/>
      <c r="AH439" s="936"/>
      <c r="AI439" s="999"/>
      <c r="AJ439" s="935"/>
      <c r="AK439" s="966"/>
      <c r="AL439" s="949"/>
      <c r="AM439" s="949" t="s">
        <v>123</v>
      </c>
      <c r="AN439" s="949"/>
      <c r="AO439" s="999"/>
      <c r="AP439" s="936"/>
      <c r="AQ439" s="987"/>
      <c r="AR439" s="907"/>
      <c r="AS439" s="907"/>
      <c r="AT439" s="967" t="s">
        <v>123</v>
      </c>
      <c r="AU439" s="967" t="s">
        <v>123</v>
      </c>
      <c r="AV439" s="967" t="s">
        <v>123</v>
      </c>
      <c r="AW439" s="907" t="s">
        <v>123</v>
      </c>
      <c r="AX439" s="907" t="s">
        <v>123</v>
      </c>
      <c r="AY439" s="907" t="s">
        <v>123</v>
      </c>
      <c r="AZ439" s="936" t="s">
        <v>123</v>
      </c>
      <c r="BA439" s="935" t="s">
        <v>123</v>
      </c>
      <c r="BB439" s="1000"/>
      <c r="BC439" s="1001"/>
      <c r="BD439" s="936"/>
      <c r="BE439" s="907"/>
      <c r="BF439" s="1002" t="str">
        <f>IF($BC439="","",SUMIF(portfolio.!$A$4:$A623,BC439,portfolio.!$AN$4:$AN623))</f>
        <v/>
      </c>
      <c r="BG439" s="936" t="s">
        <v>123</v>
      </c>
      <c r="BH439" s="907" t="s">
        <v>123</v>
      </c>
      <c r="BI439" s="935" t="s">
        <v>123</v>
      </c>
      <c r="BJ439" s="1003"/>
      <c r="BK439" s="907" t="s">
        <v>123</v>
      </c>
      <c r="BL439" s="907" t="s">
        <v>123</v>
      </c>
      <c r="BM439" s="907" t="s">
        <v>123</v>
      </c>
      <c r="BN439" s="1004" t="s">
        <v>123</v>
      </c>
      <c r="BO439" s="907" t="str">
        <f t="shared" si="6"/>
        <v/>
      </c>
      <c r="BP439" s="907" t="str">
        <f t="shared" si="7"/>
        <v/>
      </c>
      <c r="BQ439" s="907" t="str">
        <f t="shared" si="8"/>
        <v/>
      </c>
      <c r="BR439" s="1004" t="str">
        <f t="shared" si="9"/>
        <v/>
      </c>
      <c r="BS439" s="1005" t="str">
        <f t="shared" si="10"/>
        <v/>
      </c>
      <c r="BT439" s="1006" t="s">
        <v>123</v>
      </c>
      <c r="BU439" s="1002" t="s">
        <v>123</v>
      </c>
      <c r="BV439" s="1006" t="s">
        <v>123</v>
      </c>
      <c r="BW439" s="1007"/>
    </row>
    <row r="440">
      <c r="A440" s="624">
        <v>417.0</v>
      </c>
      <c r="B440" s="1008"/>
      <c r="C440" s="989"/>
      <c r="D440" s="851"/>
      <c r="E440" s="990"/>
      <c r="F440" s="991"/>
      <c r="G440" s="991"/>
      <c r="H440" s="992"/>
      <c r="I440" s="993"/>
      <c r="J440" s="993"/>
      <c r="K440" s="993"/>
      <c r="L440" s="993"/>
      <c r="M440" s="993"/>
      <c r="N440" s="993"/>
      <c r="O440" s="993"/>
      <c r="P440" s="993"/>
      <c r="Q440" s="993"/>
      <c r="R440" s="993"/>
      <c r="S440" s="936"/>
      <c r="T440" s="998"/>
      <c r="U440" s="935"/>
      <c r="V440" s="935"/>
      <c r="W440" s="949" t="str">
        <f>IF(AND($S$20,NOT($U$20)),IF($V440:$V623="","",SUMIF(portfolio.!$A$4:$A623,V440,portfolio.!$AN$4:$AN623)),"")</f>
        <v/>
      </c>
      <c r="X440" s="998"/>
      <c r="Y440" s="936"/>
      <c r="Z440" s="936" t="s">
        <v>123</v>
      </c>
      <c r="AA440" s="936" t="s">
        <v>123</v>
      </c>
      <c r="AB440" s="936" t="s">
        <v>123</v>
      </c>
      <c r="AC440" s="907" t="s">
        <v>123</v>
      </c>
      <c r="AD440" s="999"/>
      <c r="AE440" s="936"/>
      <c r="AF440" s="936"/>
      <c r="AG440" s="936"/>
      <c r="AH440" s="936"/>
      <c r="AI440" s="999"/>
      <c r="AJ440" s="935"/>
      <c r="AK440" s="966"/>
      <c r="AL440" s="949"/>
      <c r="AM440" s="949" t="s">
        <v>123</v>
      </c>
      <c r="AN440" s="949"/>
      <c r="AO440" s="999"/>
      <c r="AP440" s="936"/>
      <c r="AQ440" s="987"/>
      <c r="AR440" s="907"/>
      <c r="AS440" s="907"/>
      <c r="AT440" s="967" t="s">
        <v>123</v>
      </c>
      <c r="AU440" s="967" t="s">
        <v>123</v>
      </c>
      <c r="AV440" s="967" t="s">
        <v>123</v>
      </c>
      <c r="AW440" s="907" t="s">
        <v>123</v>
      </c>
      <c r="AX440" s="907" t="s">
        <v>123</v>
      </c>
      <c r="AY440" s="907" t="s">
        <v>123</v>
      </c>
      <c r="AZ440" s="936" t="s">
        <v>123</v>
      </c>
      <c r="BA440" s="935" t="s">
        <v>123</v>
      </c>
      <c r="BB440" s="1000"/>
      <c r="BC440" s="1001"/>
      <c r="BD440" s="936"/>
      <c r="BE440" s="907"/>
      <c r="BF440" s="1002" t="str">
        <f>IF($BC440="","",SUMIF(portfolio.!$A$4:$A623,BC440,portfolio.!$AN$4:$AN623))</f>
        <v/>
      </c>
      <c r="BG440" s="936" t="s">
        <v>123</v>
      </c>
      <c r="BH440" s="907" t="s">
        <v>123</v>
      </c>
      <c r="BI440" s="935" t="s">
        <v>123</v>
      </c>
      <c r="BJ440" s="1003"/>
      <c r="BK440" s="907" t="s">
        <v>123</v>
      </c>
      <c r="BL440" s="907" t="s">
        <v>123</v>
      </c>
      <c r="BM440" s="907" t="s">
        <v>123</v>
      </c>
      <c r="BN440" s="1004" t="s">
        <v>123</v>
      </c>
      <c r="BO440" s="907" t="str">
        <f t="shared" si="6"/>
        <v/>
      </c>
      <c r="BP440" s="907" t="str">
        <f t="shared" si="7"/>
        <v/>
      </c>
      <c r="BQ440" s="907" t="str">
        <f t="shared" si="8"/>
        <v/>
      </c>
      <c r="BR440" s="1004" t="str">
        <f t="shared" si="9"/>
        <v/>
      </c>
      <c r="BS440" s="1005" t="str">
        <f t="shared" si="10"/>
        <v/>
      </c>
      <c r="BT440" s="1006" t="s">
        <v>123</v>
      </c>
      <c r="BU440" s="1002" t="s">
        <v>123</v>
      </c>
      <c r="BV440" s="1006" t="s">
        <v>123</v>
      </c>
      <c r="BW440" s="1007"/>
    </row>
    <row r="441">
      <c r="A441" s="624">
        <v>418.0</v>
      </c>
      <c r="B441" s="1008"/>
      <c r="C441" s="989"/>
      <c r="D441" s="851"/>
      <c r="E441" s="990"/>
      <c r="F441" s="991"/>
      <c r="G441" s="991"/>
      <c r="H441" s="992"/>
      <c r="I441" s="993"/>
      <c r="J441" s="993"/>
      <c r="K441" s="993"/>
      <c r="L441" s="993"/>
      <c r="M441" s="993"/>
      <c r="N441" s="993"/>
      <c r="O441" s="993"/>
      <c r="P441" s="993"/>
      <c r="Q441" s="993"/>
      <c r="R441" s="993"/>
      <c r="S441" s="936"/>
      <c r="T441" s="998"/>
      <c r="U441" s="935"/>
      <c r="V441" s="935"/>
      <c r="W441" s="949" t="str">
        <f>IF(AND($S$20,NOT($U$20)),IF($V441:$V623="","",SUMIF(portfolio.!$A$4:$A623,V441,portfolio.!$AN$4:$AN623)),"")</f>
        <v/>
      </c>
      <c r="X441" s="998"/>
      <c r="Y441" s="936"/>
      <c r="Z441" s="936" t="s">
        <v>123</v>
      </c>
      <c r="AA441" s="936" t="s">
        <v>123</v>
      </c>
      <c r="AB441" s="936" t="s">
        <v>123</v>
      </c>
      <c r="AC441" s="907" t="s">
        <v>123</v>
      </c>
      <c r="AD441" s="999"/>
      <c r="AE441" s="936"/>
      <c r="AF441" s="936"/>
      <c r="AG441" s="936"/>
      <c r="AH441" s="936"/>
      <c r="AI441" s="999"/>
      <c r="AJ441" s="935"/>
      <c r="AK441" s="966"/>
      <c r="AL441" s="949"/>
      <c r="AM441" s="949" t="s">
        <v>123</v>
      </c>
      <c r="AN441" s="949"/>
      <c r="AO441" s="999"/>
      <c r="AP441" s="936"/>
      <c r="AQ441" s="987"/>
      <c r="AR441" s="907"/>
      <c r="AS441" s="907"/>
      <c r="AT441" s="967" t="s">
        <v>123</v>
      </c>
      <c r="AU441" s="967" t="s">
        <v>123</v>
      </c>
      <c r="AV441" s="967" t="s">
        <v>123</v>
      </c>
      <c r="AW441" s="907" t="s">
        <v>123</v>
      </c>
      <c r="AX441" s="907" t="s">
        <v>123</v>
      </c>
      <c r="AY441" s="907" t="s">
        <v>123</v>
      </c>
      <c r="AZ441" s="936" t="s">
        <v>123</v>
      </c>
      <c r="BA441" s="935" t="s">
        <v>123</v>
      </c>
      <c r="BB441" s="1000"/>
      <c r="BC441" s="1001"/>
      <c r="BD441" s="936"/>
      <c r="BE441" s="907"/>
      <c r="BF441" s="1002" t="str">
        <f>IF($BC441="","",SUMIF(portfolio.!$A$4:$A623,BC441,portfolio.!$AN$4:$AN623))</f>
        <v/>
      </c>
      <c r="BG441" s="936" t="s">
        <v>123</v>
      </c>
      <c r="BH441" s="907" t="s">
        <v>123</v>
      </c>
      <c r="BI441" s="935" t="s">
        <v>123</v>
      </c>
      <c r="BJ441" s="1003"/>
      <c r="BK441" s="907" t="s">
        <v>123</v>
      </c>
      <c r="BL441" s="907" t="s">
        <v>123</v>
      </c>
      <c r="BM441" s="907" t="s">
        <v>123</v>
      </c>
      <c r="BN441" s="1004" t="s">
        <v>123</v>
      </c>
      <c r="BO441" s="907" t="str">
        <f t="shared" si="6"/>
        <v/>
      </c>
      <c r="BP441" s="907" t="str">
        <f t="shared" si="7"/>
        <v/>
      </c>
      <c r="BQ441" s="907" t="str">
        <f t="shared" si="8"/>
        <v/>
      </c>
      <c r="BR441" s="1004" t="str">
        <f t="shared" si="9"/>
        <v/>
      </c>
      <c r="BS441" s="1005" t="str">
        <f t="shared" si="10"/>
        <v/>
      </c>
      <c r="BT441" s="1006" t="s">
        <v>123</v>
      </c>
      <c r="BU441" s="1002" t="s">
        <v>123</v>
      </c>
      <c r="BV441" s="1006" t="s">
        <v>123</v>
      </c>
      <c r="BW441" s="1007"/>
    </row>
    <row r="442">
      <c r="A442" s="624">
        <v>419.0</v>
      </c>
      <c r="B442" s="1008"/>
      <c r="C442" s="989"/>
      <c r="D442" s="851"/>
      <c r="E442" s="990"/>
      <c r="F442" s="991"/>
      <c r="G442" s="991"/>
      <c r="H442" s="992"/>
      <c r="I442" s="993"/>
      <c r="J442" s="993"/>
      <c r="K442" s="993"/>
      <c r="L442" s="993"/>
      <c r="M442" s="993"/>
      <c r="N442" s="993"/>
      <c r="O442" s="993"/>
      <c r="P442" s="993"/>
      <c r="Q442" s="993"/>
      <c r="R442" s="993"/>
      <c r="S442" s="936"/>
      <c r="T442" s="998"/>
      <c r="U442" s="935"/>
      <c r="V442" s="935"/>
      <c r="W442" s="949" t="str">
        <f>IF(AND($S$20,NOT($U$20)),IF($V442:$V623="","",SUMIF(portfolio.!$A$4:$A623,V442,portfolio.!$AN$4:$AN623)),"")</f>
        <v/>
      </c>
      <c r="X442" s="998"/>
      <c r="Y442" s="936"/>
      <c r="Z442" s="936" t="s">
        <v>123</v>
      </c>
      <c r="AA442" s="936" t="s">
        <v>123</v>
      </c>
      <c r="AB442" s="936" t="s">
        <v>123</v>
      </c>
      <c r="AC442" s="907" t="s">
        <v>123</v>
      </c>
      <c r="AD442" s="999"/>
      <c r="AE442" s="936"/>
      <c r="AF442" s="936"/>
      <c r="AG442" s="936"/>
      <c r="AH442" s="936"/>
      <c r="AI442" s="999"/>
      <c r="AJ442" s="935"/>
      <c r="AK442" s="966"/>
      <c r="AL442" s="949"/>
      <c r="AM442" s="949" t="s">
        <v>123</v>
      </c>
      <c r="AN442" s="949"/>
      <c r="AO442" s="999"/>
      <c r="AP442" s="936"/>
      <c r="AQ442" s="987"/>
      <c r="AR442" s="907"/>
      <c r="AS442" s="907"/>
      <c r="AT442" s="967" t="s">
        <v>123</v>
      </c>
      <c r="AU442" s="967" t="s">
        <v>123</v>
      </c>
      <c r="AV442" s="967" t="s">
        <v>123</v>
      </c>
      <c r="AW442" s="907" t="s">
        <v>123</v>
      </c>
      <c r="AX442" s="907" t="s">
        <v>123</v>
      </c>
      <c r="AY442" s="907" t="s">
        <v>123</v>
      </c>
      <c r="AZ442" s="936" t="s">
        <v>123</v>
      </c>
      <c r="BA442" s="935" t="s">
        <v>123</v>
      </c>
      <c r="BB442" s="1000"/>
      <c r="BC442" s="1001"/>
      <c r="BD442" s="936"/>
      <c r="BE442" s="907"/>
      <c r="BF442" s="1002" t="str">
        <f>IF($BC442="","",SUMIF(portfolio.!$A$4:$A623,BC442,portfolio.!$AN$4:$AN623))</f>
        <v/>
      </c>
      <c r="BG442" s="936" t="s">
        <v>123</v>
      </c>
      <c r="BH442" s="907" t="s">
        <v>123</v>
      </c>
      <c r="BI442" s="935" t="s">
        <v>123</v>
      </c>
      <c r="BJ442" s="1003"/>
      <c r="BK442" s="907" t="s">
        <v>123</v>
      </c>
      <c r="BL442" s="907" t="s">
        <v>123</v>
      </c>
      <c r="BM442" s="907" t="s">
        <v>123</v>
      </c>
      <c r="BN442" s="1004" t="s">
        <v>123</v>
      </c>
      <c r="BO442" s="907" t="str">
        <f t="shared" si="6"/>
        <v/>
      </c>
      <c r="BP442" s="907" t="str">
        <f t="shared" si="7"/>
        <v/>
      </c>
      <c r="BQ442" s="907" t="str">
        <f t="shared" si="8"/>
        <v/>
      </c>
      <c r="BR442" s="1004" t="str">
        <f t="shared" si="9"/>
        <v/>
      </c>
      <c r="BS442" s="1005" t="str">
        <f t="shared" si="10"/>
        <v/>
      </c>
      <c r="BT442" s="1006" t="s">
        <v>123</v>
      </c>
      <c r="BU442" s="1002" t="s">
        <v>123</v>
      </c>
      <c r="BV442" s="1006" t="s">
        <v>123</v>
      </c>
      <c r="BW442" s="1007"/>
    </row>
    <row r="443">
      <c r="A443" s="624">
        <v>420.0</v>
      </c>
      <c r="B443" s="1008"/>
      <c r="C443" s="989"/>
      <c r="D443" s="851"/>
      <c r="E443" s="990"/>
      <c r="F443" s="991"/>
      <c r="G443" s="991"/>
      <c r="H443" s="992"/>
      <c r="I443" s="993"/>
      <c r="J443" s="993"/>
      <c r="K443" s="993"/>
      <c r="L443" s="993"/>
      <c r="M443" s="993"/>
      <c r="N443" s="993"/>
      <c r="O443" s="993"/>
      <c r="P443" s="993"/>
      <c r="Q443" s="993"/>
      <c r="R443" s="993"/>
      <c r="S443" s="936"/>
      <c r="T443" s="998"/>
      <c r="U443" s="935"/>
      <c r="V443" s="935"/>
      <c r="W443" s="949" t="str">
        <f>IF(AND($S$20,NOT($U$20)),IF($V443:$V623="","",SUMIF(portfolio.!$A$4:$A623,V443,portfolio.!$AN$4:$AN623)),"")</f>
        <v/>
      </c>
      <c r="X443" s="998"/>
      <c r="Y443" s="936"/>
      <c r="Z443" s="936" t="s">
        <v>123</v>
      </c>
      <c r="AA443" s="936" t="s">
        <v>123</v>
      </c>
      <c r="AB443" s="936" t="s">
        <v>123</v>
      </c>
      <c r="AC443" s="907" t="s">
        <v>123</v>
      </c>
      <c r="AD443" s="999"/>
      <c r="AE443" s="936"/>
      <c r="AF443" s="936"/>
      <c r="AG443" s="936"/>
      <c r="AH443" s="936"/>
      <c r="AI443" s="999"/>
      <c r="AJ443" s="935"/>
      <c r="AK443" s="966"/>
      <c r="AL443" s="949"/>
      <c r="AM443" s="949" t="s">
        <v>123</v>
      </c>
      <c r="AN443" s="949"/>
      <c r="AO443" s="999"/>
      <c r="AP443" s="936"/>
      <c r="AQ443" s="987"/>
      <c r="AR443" s="907"/>
      <c r="AS443" s="907"/>
      <c r="AT443" s="967" t="s">
        <v>123</v>
      </c>
      <c r="AU443" s="967" t="s">
        <v>123</v>
      </c>
      <c r="AV443" s="967" t="s">
        <v>123</v>
      </c>
      <c r="AW443" s="907" t="s">
        <v>123</v>
      </c>
      <c r="AX443" s="907" t="s">
        <v>123</v>
      </c>
      <c r="AY443" s="907" t="s">
        <v>123</v>
      </c>
      <c r="AZ443" s="936" t="s">
        <v>123</v>
      </c>
      <c r="BA443" s="935" t="s">
        <v>123</v>
      </c>
      <c r="BB443" s="1000"/>
      <c r="BC443" s="1001"/>
      <c r="BD443" s="936"/>
      <c r="BE443" s="907"/>
      <c r="BF443" s="1002" t="str">
        <f>IF($BC443="","",SUMIF(portfolio.!$A$4:$A623,BC443,portfolio.!$AN$4:$AN623))</f>
        <v/>
      </c>
      <c r="BG443" s="936" t="s">
        <v>123</v>
      </c>
      <c r="BH443" s="907" t="s">
        <v>123</v>
      </c>
      <c r="BI443" s="935" t="s">
        <v>123</v>
      </c>
      <c r="BJ443" s="1003"/>
      <c r="BK443" s="907" t="s">
        <v>123</v>
      </c>
      <c r="BL443" s="907" t="s">
        <v>123</v>
      </c>
      <c r="BM443" s="907" t="s">
        <v>123</v>
      </c>
      <c r="BN443" s="1004" t="s">
        <v>123</v>
      </c>
      <c r="BO443" s="907" t="str">
        <f t="shared" si="6"/>
        <v/>
      </c>
      <c r="BP443" s="907" t="str">
        <f t="shared" si="7"/>
        <v/>
      </c>
      <c r="BQ443" s="907" t="str">
        <f t="shared" si="8"/>
        <v/>
      </c>
      <c r="BR443" s="1004" t="str">
        <f t="shared" si="9"/>
        <v/>
      </c>
      <c r="BS443" s="1005" t="str">
        <f t="shared" si="10"/>
        <v/>
      </c>
      <c r="BT443" s="1006" t="s">
        <v>123</v>
      </c>
      <c r="BU443" s="1002" t="s">
        <v>123</v>
      </c>
      <c r="BV443" s="1006" t="s">
        <v>123</v>
      </c>
      <c r="BW443" s="1007"/>
    </row>
    <row r="444">
      <c r="A444" s="624">
        <v>421.0</v>
      </c>
      <c r="B444" s="1008"/>
      <c r="C444" s="989"/>
      <c r="D444" s="851"/>
      <c r="E444" s="990"/>
      <c r="F444" s="991"/>
      <c r="G444" s="991"/>
      <c r="H444" s="992"/>
      <c r="I444" s="993"/>
      <c r="J444" s="993"/>
      <c r="K444" s="993"/>
      <c r="L444" s="993"/>
      <c r="M444" s="993"/>
      <c r="N444" s="993"/>
      <c r="O444" s="993"/>
      <c r="P444" s="993"/>
      <c r="Q444" s="993"/>
      <c r="R444" s="993"/>
      <c r="S444" s="936"/>
      <c r="T444" s="998"/>
      <c r="U444" s="935"/>
      <c r="V444" s="935"/>
      <c r="W444" s="949" t="str">
        <f>IF(AND($S$20,NOT($U$20)),IF($V444:$V623="","",SUMIF(portfolio.!$A$4:$A623,V444,portfolio.!$AN$4:$AN623)),"")</f>
        <v/>
      </c>
      <c r="X444" s="998"/>
      <c r="Y444" s="936"/>
      <c r="Z444" s="936" t="s">
        <v>123</v>
      </c>
      <c r="AA444" s="936" t="s">
        <v>123</v>
      </c>
      <c r="AB444" s="936" t="s">
        <v>123</v>
      </c>
      <c r="AC444" s="907" t="s">
        <v>123</v>
      </c>
      <c r="AD444" s="999"/>
      <c r="AE444" s="936"/>
      <c r="AF444" s="936"/>
      <c r="AG444" s="936"/>
      <c r="AH444" s="936"/>
      <c r="AI444" s="999"/>
      <c r="AJ444" s="935"/>
      <c r="AK444" s="966"/>
      <c r="AL444" s="949"/>
      <c r="AM444" s="949" t="s">
        <v>123</v>
      </c>
      <c r="AN444" s="949"/>
      <c r="AO444" s="999"/>
      <c r="AP444" s="936"/>
      <c r="AQ444" s="987"/>
      <c r="AR444" s="907"/>
      <c r="AS444" s="907"/>
      <c r="AT444" s="967" t="s">
        <v>123</v>
      </c>
      <c r="AU444" s="967" t="s">
        <v>123</v>
      </c>
      <c r="AV444" s="967" t="s">
        <v>123</v>
      </c>
      <c r="AW444" s="907" t="s">
        <v>123</v>
      </c>
      <c r="AX444" s="907" t="s">
        <v>123</v>
      </c>
      <c r="AY444" s="907" t="s">
        <v>123</v>
      </c>
      <c r="AZ444" s="936" t="s">
        <v>123</v>
      </c>
      <c r="BA444" s="935" t="s">
        <v>123</v>
      </c>
      <c r="BB444" s="1000"/>
      <c r="BC444" s="1001"/>
      <c r="BD444" s="936"/>
      <c r="BE444" s="907"/>
      <c r="BF444" s="1002" t="str">
        <f>IF($BC444="","",SUMIF(portfolio.!$A$4:$A623,BC444,portfolio.!$AN$4:$AN623))</f>
        <v/>
      </c>
      <c r="BG444" s="936" t="s">
        <v>123</v>
      </c>
      <c r="BH444" s="907" t="s">
        <v>123</v>
      </c>
      <c r="BI444" s="935" t="s">
        <v>123</v>
      </c>
      <c r="BJ444" s="1003"/>
      <c r="BK444" s="907" t="s">
        <v>123</v>
      </c>
      <c r="BL444" s="907" t="s">
        <v>123</v>
      </c>
      <c r="BM444" s="907" t="s">
        <v>123</v>
      </c>
      <c r="BN444" s="1004" t="s">
        <v>123</v>
      </c>
      <c r="BO444" s="907" t="str">
        <f t="shared" si="6"/>
        <v/>
      </c>
      <c r="BP444" s="907" t="str">
        <f t="shared" si="7"/>
        <v/>
      </c>
      <c r="BQ444" s="907" t="str">
        <f t="shared" si="8"/>
        <v/>
      </c>
      <c r="BR444" s="1004" t="str">
        <f t="shared" si="9"/>
        <v/>
      </c>
      <c r="BS444" s="1005" t="str">
        <f t="shared" si="10"/>
        <v/>
      </c>
      <c r="BT444" s="1006" t="s">
        <v>123</v>
      </c>
      <c r="BU444" s="1002" t="s">
        <v>123</v>
      </c>
      <c r="BV444" s="1006" t="s">
        <v>123</v>
      </c>
      <c r="BW444" s="1007"/>
    </row>
    <row r="445">
      <c r="A445" s="624">
        <v>422.0</v>
      </c>
      <c r="B445" s="1008"/>
      <c r="C445" s="989"/>
      <c r="D445" s="851"/>
      <c r="E445" s="990"/>
      <c r="F445" s="991"/>
      <c r="G445" s="991"/>
      <c r="H445" s="992"/>
      <c r="I445" s="993"/>
      <c r="J445" s="993"/>
      <c r="K445" s="993"/>
      <c r="L445" s="993"/>
      <c r="M445" s="993"/>
      <c r="N445" s="993"/>
      <c r="O445" s="993"/>
      <c r="P445" s="993"/>
      <c r="Q445" s="993"/>
      <c r="R445" s="993"/>
      <c r="S445" s="936"/>
      <c r="T445" s="998"/>
      <c r="U445" s="935"/>
      <c r="V445" s="935"/>
      <c r="W445" s="949" t="str">
        <f>IF(AND($S$20,NOT($U$20)),IF($V445:$V623="","",SUMIF(portfolio.!$A$4:$A623,V445,portfolio.!$AN$4:$AN623)),"")</f>
        <v/>
      </c>
      <c r="X445" s="998"/>
      <c r="Y445" s="936"/>
      <c r="Z445" s="936" t="s">
        <v>123</v>
      </c>
      <c r="AA445" s="936" t="s">
        <v>123</v>
      </c>
      <c r="AB445" s="936" t="s">
        <v>123</v>
      </c>
      <c r="AC445" s="907" t="s">
        <v>123</v>
      </c>
      <c r="AD445" s="999"/>
      <c r="AE445" s="936"/>
      <c r="AF445" s="936"/>
      <c r="AG445" s="936"/>
      <c r="AH445" s="936"/>
      <c r="AI445" s="999"/>
      <c r="AJ445" s="935"/>
      <c r="AK445" s="966"/>
      <c r="AL445" s="949"/>
      <c r="AM445" s="949" t="s">
        <v>123</v>
      </c>
      <c r="AN445" s="949"/>
      <c r="AO445" s="999"/>
      <c r="AP445" s="936"/>
      <c r="AQ445" s="987"/>
      <c r="AR445" s="907"/>
      <c r="AS445" s="907"/>
      <c r="AT445" s="967" t="s">
        <v>123</v>
      </c>
      <c r="AU445" s="967" t="s">
        <v>123</v>
      </c>
      <c r="AV445" s="967" t="s">
        <v>123</v>
      </c>
      <c r="AW445" s="907" t="s">
        <v>123</v>
      </c>
      <c r="AX445" s="907" t="s">
        <v>123</v>
      </c>
      <c r="AY445" s="907" t="s">
        <v>123</v>
      </c>
      <c r="AZ445" s="936" t="s">
        <v>123</v>
      </c>
      <c r="BA445" s="935" t="s">
        <v>123</v>
      </c>
      <c r="BB445" s="1000"/>
      <c r="BC445" s="1001"/>
      <c r="BD445" s="936"/>
      <c r="BE445" s="907"/>
      <c r="BF445" s="1002" t="str">
        <f>IF($BC445="","",SUMIF(portfolio.!$A$4:$A623,BC445,portfolio.!$AN$4:$AN623))</f>
        <v/>
      </c>
      <c r="BG445" s="936" t="s">
        <v>123</v>
      </c>
      <c r="BH445" s="907" t="s">
        <v>123</v>
      </c>
      <c r="BI445" s="935" t="s">
        <v>123</v>
      </c>
      <c r="BJ445" s="1003"/>
      <c r="BK445" s="907" t="s">
        <v>123</v>
      </c>
      <c r="BL445" s="907" t="s">
        <v>123</v>
      </c>
      <c r="BM445" s="907" t="s">
        <v>123</v>
      </c>
      <c r="BN445" s="1004" t="s">
        <v>123</v>
      </c>
      <c r="BO445" s="907" t="str">
        <f t="shared" si="6"/>
        <v/>
      </c>
      <c r="BP445" s="907" t="str">
        <f t="shared" si="7"/>
        <v/>
      </c>
      <c r="BQ445" s="907" t="str">
        <f t="shared" si="8"/>
        <v/>
      </c>
      <c r="BR445" s="1004" t="str">
        <f t="shared" si="9"/>
        <v/>
      </c>
      <c r="BS445" s="1005" t="str">
        <f t="shared" si="10"/>
        <v/>
      </c>
      <c r="BT445" s="1006" t="s">
        <v>123</v>
      </c>
      <c r="BU445" s="1002" t="s">
        <v>123</v>
      </c>
      <c r="BV445" s="1006" t="s">
        <v>123</v>
      </c>
      <c r="BW445" s="1007"/>
    </row>
    <row r="446">
      <c r="A446" s="624">
        <v>423.0</v>
      </c>
      <c r="B446" s="1008"/>
      <c r="C446" s="989"/>
      <c r="D446" s="851"/>
      <c r="E446" s="990"/>
      <c r="F446" s="991"/>
      <c r="G446" s="991"/>
      <c r="H446" s="992"/>
      <c r="I446" s="993"/>
      <c r="J446" s="993"/>
      <c r="K446" s="993"/>
      <c r="L446" s="993"/>
      <c r="M446" s="993"/>
      <c r="N446" s="993"/>
      <c r="O446" s="993"/>
      <c r="P446" s="993"/>
      <c r="Q446" s="993"/>
      <c r="R446" s="993"/>
      <c r="S446" s="936"/>
      <c r="T446" s="998"/>
      <c r="U446" s="935"/>
      <c r="V446" s="935"/>
      <c r="W446" s="949" t="str">
        <f>IF(AND($S$20,NOT($U$20)),IF($V446:$V623="","",SUMIF(portfolio.!$A$4:$A623,V446,portfolio.!$AN$4:$AN623)),"")</f>
        <v/>
      </c>
      <c r="X446" s="998"/>
      <c r="Y446" s="936"/>
      <c r="Z446" s="936" t="s">
        <v>123</v>
      </c>
      <c r="AA446" s="936" t="s">
        <v>123</v>
      </c>
      <c r="AB446" s="936" t="s">
        <v>123</v>
      </c>
      <c r="AC446" s="907" t="s">
        <v>123</v>
      </c>
      <c r="AD446" s="999"/>
      <c r="AE446" s="936"/>
      <c r="AF446" s="936"/>
      <c r="AG446" s="936"/>
      <c r="AH446" s="936"/>
      <c r="AI446" s="999"/>
      <c r="AJ446" s="935"/>
      <c r="AK446" s="966"/>
      <c r="AL446" s="949"/>
      <c r="AM446" s="949" t="s">
        <v>123</v>
      </c>
      <c r="AN446" s="949"/>
      <c r="AO446" s="999"/>
      <c r="AP446" s="936"/>
      <c r="AQ446" s="987"/>
      <c r="AR446" s="907"/>
      <c r="AS446" s="907"/>
      <c r="AT446" s="967" t="s">
        <v>123</v>
      </c>
      <c r="AU446" s="967" t="s">
        <v>123</v>
      </c>
      <c r="AV446" s="967" t="s">
        <v>123</v>
      </c>
      <c r="AW446" s="907" t="s">
        <v>123</v>
      </c>
      <c r="AX446" s="907" t="s">
        <v>123</v>
      </c>
      <c r="AY446" s="907" t="s">
        <v>123</v>
      </c>
      <c r="AZ446" s="936" t="s">
        <v>123</v>
      </c>
      <c r="BA446" s="935" t="s">
        <v>123</v>
      </c>
      <c r="BB446" s="1000"/>
      <c r="BC446" s="1001"/>
      <c r="BD446" s="936"/>
      <c r="BE446" s="907"/>
      <c r="BF446" s="1002" t="str">
        <f>IF($BC446="","",SUMIF(portfolio.!$A$4:$A623,BC446,portfolio.!$AN$4:$AN623))</f>
        <v/>
      </c>
      <c r="BG446" s="936" t="s">
        <v>123</v>
      </c>
      <c r="BH446" s="907" t="s">
        <v>123</v>
      </c>
      <c r="BI446" s="935" t="s">
        <v>123</v>
      </c>
      <c r="BJ446" s="1003"/>
      <c r="BK446" s="907" t="s">
        <v>123</v>
      </c>
      <c r="BL446" s="907" t="s">
        <v>123</v>
      </c>
      <c r="BM446" s="907" t="s">
        <v>123</v>
      </c>
      <c r="BN446" s="1004" t="s">
        <v>123</v>
      </c>
      <c r="BO446" s="907" t="str">
        <f t="shared" si="6"/>
        <v/>
      </c>
      <c r="BP446" s="907" t="str">
        <f t="shared" si="7"/>
        <v/>
      </c>
      <c r="BQ446" s="907" t="str">
        <f t="shared" si="8"/>
        <v/>
      </c>
      <c r="BR446" s="1004" t="str">
        <f t="shared" si="9"/>
        <v/>
      </c>
      <c r="BS446" s="1005" t="str">
        <f t="shared" si="10"/>
        <v/>
      </c>
      <c r="BT446" s="1006" t="s">
        <v>123</v>
      </c>
      <c r="BU446" s="1002" t="s">
        <v>123</v>
      </c>
      <c r="BV446" s="1006" t="s">
        <v>123</v>
      </c>
      <c r="BW446" s="1007"/>
    </row>
    <row r="447">
      <c r="A447" s="624">
        <v>424.0</v>
      </c>
      <c r="B447" s="1008"/>
      <c r="C447" s="989"/>
      <c r="D447" s="851"/>
      <c r="E447" s="990"/>
      <c r="F447" s="991"/>
      <c r="G447" s="991"/>
      <c r="H447" s="992"/>
      <c r="I447" s="993"/>
      <c r="J447" s="993"/>
      <c r="K447" s="993"/>
      <c r="L447" s="993"/>
      <c r="M447" s="993"/>
      <c r="N447" s="993"/>
      <c r="O447" s="993"/>
      <c r="P447" s="993"/>
      <c r="Q447" s="993"/>
      <c r="R447" s="993"/>
      <c r="S447" s="936"/>
      <c r="T447" s="998"/>
      <c r="U447" s="935"/>
      <c r="V447" s="935"/>
      <c r="W447" s="949" t="str">
        <f>IF(AND($S$20,NOT($U$20)),IF($V447:$V623="","",SUMIF(portfolio.!$A$4:$A623,V447,portfolio.!$AN$4:$AN623)),"")</f>
        <v/>
      </c>
      <c r="X447" s="998"/>
      <c r="Y447" s="936"/>
      <c r="Z447" s="936" t="s">
        <v>123</v>
      </c>
      <c r="AA447" s="936" t="s">
        <v>123</v>
      </c>
      <c r="AB447" s="936" t="s">
        <v>123</v>
      </c>
      <c r="AC447" s="907" t="s">
        <v>123</v>
      </c>
      <c r="AD447" s="999"/>
      <c r="AE447" s="936"/>
      <c r="AF447" s="936"/>
      <c r="AG447" s="936"/>
      <c r="AH447" s="936"/>
      <c r="AI447" s="999"/>
      <c r="AJ447" s="935"/>
      <c r="AK447" s="966"/>
      <c r="AL447" s="949"/>
      <c r="AM447" s="949" t="s">
        <v>123</v>
      </c>
      <c r="AN447" s="949"/>
      <c r="AO447" s="999"/>
      <c r="AP447" s="936"/>
      <c r="AQ447" s="987"/>
      <c r="AR447" s="907"/>
      <c r="AS447" s="907"/>
      <c r="AT447" s="967" t="s">
        <v>123</v>
      </c>
      <c r="AU447" s="967" t="s">
        <v>123</v>
      </c>
      <c r="AV447" s="967" t="s">
        <v>123</v>
      </c>
      <c r="AW447" s="907" t="s">
        <v>123</v>
      </c>
      <c r="AX447" s="907" t="s">
        <v>123</v>
      </c>
      <c r="AY447" s="907" t="s">
        <v>123</v>
      </c>
      <c r="AZ447" s="936" t="s">
        <v>123</v>
      </c>
      <c r="BA447" s="935" t="s">
        <v>123</v>
      </c>
      <c r="BB447" s="1000"/>
      <c r="BC447" s="1001"/>
      <c r="BD447" s="936"/>
      <c r="BE447" s="907"/>
      <c r="BF447" s="1002" t="str">
        <f>IF($BC447="","",SUMIF(portfolio.!$A$4:$A623,BC447,portfolio.!$AN$4:$AN623))</f>
        <v/>
      </c>
      <c r="BG447" s="936" t="s">
        <v>123</v>
      </c>
      <c r="BH447" s="907" t="s">
        <v>123</v>
      </c>
      <c r="BI447" s="935" t="s">
        <v>123</v>
      </c>
      <c r="BJ447" s="1003"/>
      <c r="BK447" s="907" t="s">
        <v>123</v>
      </c>
      <c r="BL447" s="907" t="s">
        <v>123</v>
      </c>
      <c r="BM447" s="907" t="s">
        <v>123</v>
      </c>
      <c r="BN447" s="1004" t="s">
        <v>123</v>
      </c>
      <c r="BO447" s="907" t="str">
        <f t="shared" si="6"/>
        <v/>
      </c>
      <c r="BP447" s="907" t="str">
        <f t="shared" si="7"/>
        <v/>
      </c>
      <c r="BQ447" s="907" t="str">
        <f t="shared" si="8"/>
        <v/>
      </c>
      <c r="BR447" s="1004" t="str">
        <f t="shared" si="9"/>
        <v/>
      </c>
      <c r="BS447" s="1005" t="str">
        <f t="shared" si="10"/>
        <v/>
      </c>
      <c r="BT447" s="1006" t="s">
        <v>123</v>
      </c>
      <c r="BU447" s="1002" t="s">
        <v>123</v>
      </c>
      <c r="BV447" s="1006" t="s">
        <v>123</v>
      </c>
      <c r="BW447" s="1007"/>
    </row>
    <row r="448">
      <c r="A448" s="624">
        <v>425.0</v>
      </c>
      <c r="B448" s="1008"/>
      <c r="C448" s="989"/>
      <c r="D448" s="851"/>
      <c r="E448" s="990"/>
      <c r="F448" s="991"/>
      <c r="G448" s="991"/>
      <c r="H448" s="992"/>
      <c r="I448" s="993"/>
      <c r="J448" s="993"/>
      <c r="K448" s="993"/>
      <c r="L448" s="993"/>
      <c r="M448" s="993"/>
      <c r="N448" s="993"/>
      <c r="O448" s="993"/>
      <c r="P448" s="993"/>
      <c r="Q448" s="993"/>
      <c r="R448" s="993"/>
      <c r="S448" s="936"/>
      <c r="T448" s="998"/>
      <c r="U448" s="935"/>
      <c r="V448" s="935"/>
      <c r="W448" s="949" t="str">
        <f>IF(AND($S$20,NOT($U$20)),IF($V448:$V623="","",SUMIF(portfolio.!$A$4:$A623,V448,portfolio.!$AN$4:$AN623)),"")</f>
        <v/>
      </c>
      <c r="X448" s="998"/>
      <c r="Y448" s="936"/>
      <c r="Z448" s="936" t="s">
        <v>123</v>
      </c>
      <c r="AA448" s="936" t="s">
        <v>123</v>
      </c>
      <c r="AB448" s="936" t="s">
        <v>123</v>
      </c>
      <c r="AC448" s="907" t="s">
        <v>123</v>
      </c>
      <c r="AD448" s="999"/>
      <c r="AE448" s="936"/>
      <c r="AF448" s="936"/>
      <c r="AG448" s="936"/>
      <c r="AH448" s="936"/>
      <c r="AI448" s="999"/>
      <c r="AJ448" s="935"/>
      <c r="AK448" s="966"/>
      <c r="AL448" s="949"/>
      <c r="AM448" s="949" t="s">
        <v>123</v>
      </c>
      <c r="AN448" s="949"/>
      <c r="AO448" s="999"/>
      <c r="AP448" s="936"/>
      <c r="AQ448" s="987"/>
      <c r="AR448" s="907"/>
      <c r="AS448" s="907"/>
      <c r="AT448" s="967" t="s">
        <v>123</v>
      </c>
      <c r="AU448" s="967" t="s">
        <v>123</v>
      </c>
      <c r="AV448" s="967" t="s">
        <v>123</v>
      </c>
      <c r="AW448" s="907" t="s">
        <v>123</v>
      </c>
      <c r="AX448" s="907" t="s">
        <v>123</v>
      </c>
      <c r="AY448" s="907" t="s">
        <v>123</v>
      </c>
      <c r="AZ448" s="936" t="s">
        <v>123</v>
      </c>
      <c r="BA448" s="935" t="s">
        <v>123</v>
      </c>
      <c r="BB448" s="1000"/>
      <c r="BC448" s="1001"/>
      <c r="BD448" s="936"/>
      <c r="BE448" s="907"/>
      <c r="BF448" s="1002" t="str">
        <f>IF($BC448="","",SUMIF(portfolio.!$A$4:$A623,BC448,portfolio.!$AN$4:$AN623))</f>
        <v/>
      </c>
      <c r="BG448" s="936" t="s">
        <v>123</v>
      </c>
      <c r="BH448" s="907" t="s">
        <v>123</v>
      </c>
      <c r="BI448" s="935" t="s">
        <v>123</v>
      </c>
      <c r="BJ448" s="1003"/>
      <c r="BK448" s="907" t="s">
        <v>123</v>
      </c>
      <c r="BL448" s="907" t="s">
        <v>123</v>
      </c>
      <c r="BM448" s="907" t="s">
        <v>123</v>
      </c>
      <c r="BN448" s="1004" t="s">
        <v>123</v>
      </c>
      <c r="BO448" s="907" t="str">
        <f t="shared" si="6"/>
        <v/>
      </c>
      <c r="BP448" s="907" t="str">
        <f t="shared" si="7"/>
        <v/>
      </c>
      <c r="BQ448" s="907" t="str">
        <f t="shared" si="8"/>
        <v/>
      </c>
      <c r="BR448" s="1004" t="str">
        <f t="shared" si="9"/>
        <v/>
      </c>
      <c r="BS448" s="1005" t="str">
        <f t="shared" si="10"/>
        <v/>
      </c>
      <c r="BT448" s="1006" t="s">
        <v>123</v>
      </c>
      <c r="BU448" s="1002" t="s">
        <v>123</v>
      </c>
      <c r="BV448" s="1006" t="s">
        <v>123</v>
      </c>
      <c r="BW448" s="1007"/>
    </row>
    <row r="449">
      <c r="A449" s="624">
        <v>426.0</v>
      </c>
      <c r="B449" s="1008"/>
      <c r="C449" s="989"/>
      <c r="D449" s="851"/>
      <c r="E449" s="990"/>
      <c r="F449" s="991"/>
      <c r="G449" s="991"/>
      <c r="H449" s="992"/>
      <c r="I449" s="993"/>
      <c r="J449" s="993"/>
      <c r="K449" s="993"/>
      <c r="L449" s="993"/>
      <c r="M449" s="993"/>
      <c r="N449" s="993"/>
      <c r="O449" s="993"/>
      <c r="P449" s="993"/>
      <c r="Q449" s="993"/>
      <c r="R449" s="993"/>
      <c r="S449" s="936"/>
      <c r="T449" s="998"/>
      <c r="U449" s="935"/>
      <c r="V449" s="935"/>
      <c r="W449" s="949" t="str">
        <f>IF(AND($S$20,NOT($U$20)),IF($V449:$V623="","",SUMIF(portfolio.!$A$4:$A623,V449,portfolio.!$AN$4:$AN623)),"")</f>
        <v/>
      </c>
      <c r="X449" s="998"/>
      <c r="Y449" s="936"/>
      <c r="Z449" s="936" t="s">
        <v>123</v>
      </c>
      <c r="AA449" s="936" t="s">
        <v>123</v>
      </c>
      <c r="AB449" s="936" t="s">
        <v>123</v>
      </c>
      <c r="AC449" s="907" t="s">
        <v>123</v>
      </c>
      <c r="AD449" s="999"/>
      <c r="AE449" s="936"/>
      <c r="AF449" s="936"/>
      <c r="AG449" s="936"/>
      <c r="AH449" s="936"/>
      <c r="AI449" s="999"/>
      <c r="AJ449" s="935"/>
      <c r="AK449" s="966"/>
      <c r="AL449" s="949"/>
      <c r="AM449" s="949" t="s">
        <v>123</v>
      </c>
      <c r="AN449" s="949"/>
      <c r="AO449" s="999"/>
      <c r="AP449" s="936"/>
      <c r="AQ449" s="987"/>
      <c r="AR449" s="907"/>
      <c r="AS449" s="907"/>
      <c r="AT449" s="967" t="s">
        <v>123</v>
      </c>
      <c r="AU449" s="967" t="s">
        <v>123</v>
      </c>
      <c r="AV449" s="967" t="s">
        <v>123</v>
      </c>
      <c r="AW449" s="907" t="s">
        <v>123</v>
      </c>
      <c r="AX449" s="907" t="s">
        <v>123</v>
      </c>
      <c r="AY449" s="907" t="s">
        <v>123</v>
      </c>
      <c r="AZ449" s="936" t="s">
        <v>123</v>
      </c>
      <c r="BA449" s="935" t="s">
        <v>123</v>
      </c>
      <c r="BB449" s="1000"/>
      <c r="BC449" s="1001"/>
      <c r="BD449" s="936"/>
      <c r="BE449" s="907"/>
      <c r="BF449" s="1002" t="str">
        <f>IF($BC449="","",SUMIF(portfolio.!$A$4:$A623,BC449,portfolio.!$AN$4:$AN623))</f>
        <v/>
      </c>
      <c r="BG449" s="936" t="s">
        <v>123</v>
      </c>
      <c r="BH449" s="907" t="s">
        <v>123</v>
      </c>
      <c r="BI449" s="935" t="s">
        <v>123</v>
      </c>
      <c r="BJ449" s="1003"/>
      <c r="BK449" s="907" t="s">
        <v>123</v>
      </c>
      <c r="BL449" s="907" t="s">
        <v>123</v>
      </c>
      <c r="BM449" s="907" t="s">
        <v>123</v>
      </c>
      <c r="BN449" s="1004" t="s">
        <v>123</v>
      </c>
      <c r="BO449" s="907" t="str">
        <f t="shared" si="6"/>
        <v/>
      </c>
      <c r="BP449" s="907" t="str">
        <f t="shared" si="7"/>
        <v/>
      </c>
      <c r="BQ449" s="907" t="str">
        <f t="shared" si="8"/>
        <v/>
      </c>
      <c r="BR449" s="1004" t="str">
        <f t="shared" si="9"/>
        <v/>
      </c>
      <c r="BS449" s="1005" t="str">
        <f t="shared" si="10"/>
        <v/>
      </c>
      <c r="BT449" s="1006" t="s">
        <v>123</v>
      </c>
      <c r="BU449" s="1002" t="s">
        <v>123</v>
      </c>
      <c r="BV449" s="1006" t="s">
        <v>123</v>
      </c>
      <c r="BW449" s="1007"/>
    </row>
    <row r="450">
      <c r="A450" s="624">
        <v>427.0</v>
      </c>
      <c r="B450" s="1008"/>
      <c r="C450" s="989"/>
      <c r="D450" s="851"/>
      <c r="E450" s="990"/>
      <c r="F450" s="991"/>
      <c r="G450" s="991"/>
      <c r="H450" s="992"/>
      <c r="I450" s="993"/>
      <c r="J450" s="993"/>
      <c r="K450" s="993"/>
      <c r="L450" s="993"/>
      <c r="M450" s="993"/>
      <c r="N450" s="993"/>
      <c r="O450" s="993"/>
      <c r="P450" s="993"/>
      <c r="Q450" s="993"/>
      <c r="R450" s="993"/>
      <c r="S450" s="936"/>
      <c r="T450" s="998"/>
      <c r="U450" s="935"/>
      <c r="V450" s="935"/>
      <c r="W450" s="949" t="str">
        <f>IF(AND($S$20,NOT($U$20)),IF($V450:$V623="","",SUMIF(portfolio.!$A$4:$A623,V450,portfolio.!$AN$4:$AN623)),"")</f>
        <v/>
      </c>
      <c r="X450" s="998"/>
      <c r="Y450" s="936"/>
      <c r="Z450" s="936" t="s">
        <v>123</v>
      </c>
      <c r="AA450" s="936" t="s">
        <v>123</v>
      </c>
      <c r="AB450" s="936" t="s">
        <v>123</v>
      </c>
      <c r="AC450" s="907" t="s">
        <v>123</v>
      </c>
      <c r="AD450" s="999"/>
      <c r="AE450" s="936"/>
      <c r="AF450" s="936"/>
      <c r="AG450" s="936"/>
      <c r="AH450" s="936"/>
      <c r="AI450" s="999"/>
      <c r="AJ450" s="935"/>
      <c r="AK450" s="966"/>
      <c r="AL450" s="949"/>
      <c r="AM450" s="949" t="s">
        <v>123</v>
      </c>
      <c r="AN450" s="949"/>
      <c r="AO450" s="999"/>
      <c r="AP450" s="936"/>
      <c r="AQ450" s="987"/>
      <c r="AR450" s="907"/>
      <c r="AS450" s="907"/>
      <c r="AT450" s="967" t="s">
        <v>123</v>
      </c>
      <c r="AU450" s="967" t="s">
        <v>123</v>
      </c>
      <c r="AV450" s="967" t="s">
        <v>123</v>
      </c>
      <c r="AW450" s="907" t="s">
        <v>123</v>
      </c>
      <c r="AX450" s="907" t="s">
        <v>123</v>
      </c>
      <c r="AY450" s="907" t="s">
        <v>123</v>
      </c>
      <c r="AZ450" s="936" t="s">
        <v>123</v>
      </c>
      <c r="BA450" s="935" t="s">
        <v>123</v>
      </c>
      <c r="BB450" s="1000"/>
      <c r="BC450" s="1001"/>
      <c r="BD450" s="936"/>
      <c r="BE450" s="907"/>
      <c r="BF450" s="1002" t="str">
        <f>IF($BC450="","",SUMIF(portfolio.!$A$4:$A623,BC450,portfolio.!$AN$4:$AN623))</f>
        <v/>
      </c>
      <c r="BG450" s="936" t="s">
        <v>123</v>
      </c>
      <c r="BH450" s="907" t="s">
        <v>123</v>
      </c>
      <c r="BI450" s="935" t="s">
        <v>123</v>
      </c>
      <c r="BJ450" s="1003"/>
      <c r="BK450" s="907" t="s">
        <v>123</v>
      </c>
      <c r="BL450" s="907" t="s">
        <v>123</v>
      </c>
      <c r="BM450" s="907" t="s">
        <v>123</v>
      </c>
      <c r="BN450" s="1004" t="s">
        <v>123</v>
      </c>
      <c r="BO450" s="907" t="str">
        <f t="shared" si="6"/>
        <v/>
      </c>
      <c r="BP450" s="907" t="str">
        <f t="shared" si="7"/>
        <v/>
      </c>
      <c r="BQ450" s="907" t="str">
        <f t="shared" si="8"/>
        <v/>
      </c>
      <c r="BR450" s="1004" t="str">
        <f t="shared" si="9"/>
        <v/>
      </c>
      <c r="BS450" s="1005" t="str">
        <f t="shared" si="10"/>
        <v/>
      </c>
      <c r="BT450" s="1006" t="s">
        <v>123</v>
      </c>
      <c r="BU450" s="1002" t="s">
        <v>123</v>
      </c>
      <c r="BV450" s="1006" t="s">
        <v>123</v>
      </c>
      <c r="BW450" s="1007"/>
    </row>
    <row r="451">
      <c r="A451" s="624">
        <v>428.0</v>
      </c>
      <c r="B451" s="1008"/>
      <c r="C451" s="989"/>
      <c r="D451" s="851"/>
      <c r="E451" s="990"/>
      <c r="F451" s="991"/>
      <c r="G451" s="991"/>
      <c r="H451" s="992"/>
      <c r="I451" s="993"/>
      <c r="J451" s="993"/>
      <c r="K451" s="993"/>
      <c r="L451" s="993"/>
      <c r="M451" s="993"/>
      <c r="N451" s="993"/>
      <c r="O451" s="993"/>
      <c r="P451" s="993"/>
      <c r="Q451" s="993"/>
      <c r="R451" s="993"/>
      <c r="S451" s="936"/>
      <c r="T451" s="998"/>
      <c r="U451" s="935"/>
      <c r="V451" s="935"/>
      <c r="W451" s="949" t="str">
        <f>IF(AND($S$20,NOT($U$20)),IF($V451:$V623="","",SUMIF(portfolio.!$A$4:$A623,V451,portfolio.!$AN$4:$AN623)),"")</f>
        <v/>
      </c>
      <c r="X451" s="998"/>
      <c r="Y451" s="936"/>
      <c r="Z451" s="936" t="s">
        <v>123</v>
      </c>
      <c r="AA451" s="936" t="s">
        <v>123</v>
      </c>
      <c r="AB451" s="936" t="s">
        <v>123</v>
      </c>
      <c r="AC451" s="907" t="s">
        <v>123</v>
      </c>
      <c r="AD451" s="999"/>
      <c r="AE451" s="936"/>
      <c r="AF451" s="936"/>
      <c r="AG451" s="936"/>
      <c r="AH451" s="936"/>
      <c r="AI451" s="999"/>
      <c r="AJ451" s="935"/>
      <c r="AK451" s="966"/>
      <c r="AL451" s="949"/>
      <c r="AM451" s="949" t="s">
        <v>123</v>
      </c>
      <c r="AN451" s="949"/>
      <c r="AO451" s="999"/>
      <c r="AP451" s="936"/>
      <c r="AQ451" s="987"/>
      <c r="AR451" s="907"/>
      <c r="AS451" s="907"/>
      <c r="AT451" s="967" t="s">
        <v>123</v>
      </c>
      <c r="AU451" s="967" t="s">
        <v>123</v>
      </c>
      <c r="AV451" s="967" t="s">
        <v>123</v>
      </c>
      <c r="AW451" s="907" t="s">
        <v>123</v>
      </c>
      <c r="AX451" s="907" t="s">
        <v>123</v>
      </c>
      <c r="AY451" s="907" t="s">
        <v>123</v>
      </c>
      <c r="AZ451" s="936" t="s">
        <v>123</v>
      </c>
      <c r="BA451" s="935" t="s">
        <v>123</v>
      </c>
      <c r="BB451" s="1000"/>
      <c r="BC451" s="1001"/>
      <c r="BD451" s="936"/>
      <c r="BE451" s="907"/>
      <c r="BF451" s="1002" t="str">
        <f>IF($BC451="","",SUMIF(portfolio.!$A$4:$A623,BC451,portfolio.!$AN$4:$AN623))</f>
        <v/>
      </c>
      <c r="BG451" s="936" t="s">
        <v>123</v>
      </c>
      <c r="BH451" s="907" t="s">
        <v>123</v>
      </c>
      <c r="BI451" s="935" t="s">
        <v>123</v>
      </c>
      <c r="BJ451" s="1003"/>
      <c r="BK451" s="907" t="s">
        <v>123</v>
      </c>
      <c r="BL451" s="907" t="s">
        <v>123</v>
      </c>
      <c r="BM451" s="907" t="s">
        <v>123</v>
      </c>
      <c r="BN451" s="1004" t="s">
        <v>123</v>
      </c>
      <c r="BO451" s="907" t="str">
        <f t="shared" si="6"/>
        <v/>
      </c>
      <c r="BP451" s="907" t="str">
        <f t="shared" si="7"/>
        <v/>
      </c>
      <c r="BQ451" s="907" t="str">
        <f t="shared" si="8"/>
        <v/>
      </c>
      <c r="BR451" s="1004" t="str">
        <f t="shared" si="9"/>
        <v/>
      </c>
      <c r="BS451" s="1005" t="str">
        <f t="shared" si="10"/>
        <v/>
      </c>
      <c r="BT451" s="1006" t="s">
        <v>123</v>
      </c>
      <c r="BU451" s="1002" t="s">
        <v>123</v>
      </c>
      <c r="BV451" s="1006" t="s">
        <v>123</v>
      </c>
      <c r="BW451" s="1007"/>
    </row>
    <row r="452">
      <c r="A452" s="624">
        <v>429.0</v>
      </c>
      <c r="B452" s="1008"/>
      <c r="C452" s="989"/>
      <c r="D452" s="851"/>
      <c r="E452" s="990"/>
      <c r="F452" s="991"/>
      <c r="G452" s="991"/>
      <c r="H452" s="992"/>
      <c r="I452" s="993"/>
      <c r="J452" s="993"/>
      <c r="K452" s="993"/>
      <c r="L452" s="993"/>
      <c r="M452" s="993"/>
      <c r="N452" s="993"/>
      <c r="O452" s="993"/>
      <c r="P452" s="993"/>
      <c r="Q452" s="993"/>
      <c r="R452" s="993"/>
      <c r="S452" s="936"/>
      <c r="T452" s="998"/>
      <c r="U452" s="935"/>
      <c r="V452" s="935"/>
      <c r="W452" s="949" t="str">
        <f>IF(AND($S$20,NOT($U$20)),IF($V452:$V623="","",SUMIF(portfolio.!$A$4:$A623,V452,portfolio.!$AN$4:$AN623)),"")</f>
        <v/>
      </c>
      <c r="X452" s="998"/>
      <c r="Y452" s="936"/>
      <c r="Z452" s="936" t="s">
        <v>123</v>
      </c>
      <c r="AA452" s="936" t="s">
        <v>123</v>
      </c>
      <c r="AB452" s="936" t="s">
        <v>123</v>
      </c>
      <c r="AC452" s="907" t="s">
        <v>123</v>
      </c>
      <c r="AD452" s="999"/>
      <c r="AE452" s="936"/>
      <c r="AF452" s="936"/>
      <c r="AG452" s="936"/>
      <c r="AH452" s="936"/>
      <c r="AI452" s="999"/>
      <c r="AJ452" s="935"/>
      <c r="AK452" s="966"/>
      <c r="AL452" s="949"/>
      <c r="AM452" s="949" t="s">
        <v>123</v>
      </c>
      <c r="AN452" s="949"/>
      <c r="AO452" s="999"/>
      <c r="AP452" s="936"/>
      <c r="AQ452" s="987"/>
      <c r="AR452" s="907"/>
      <c r="AS452" s="907"/>
      <c r="AT452" s="967" t="s">
        <v>123</v>
      </c>
      <c r="AU452" s="967" t="s">
        <v>123</v>
      </c>
      <c r="AV452" s="967" t="s">
        <v>123</v>
      </c>
      <c r="AW452" s="907" t="s">
        <v>123</v>
      </c>
      <c r="AX452" s="907" t="s">
        <v>123</v>
      </c>
      <c r="AY452" s="907" t="s">
        <v>123</v>
      </c>
      <c r="AZ452" s="936" t="s">
        <v>123</v>
      </c>
      <c r="BA452" s="935" t="s">
        <v>123</v>
      </c>
      <c r="BB452" s="1000"/>
      <c r="BC452" s="1001"/>
      <c r="BD452" s="936"/>
      <c r="BE452" s="907"/>
      <c r="BF452" s="1002" t="str">
        <f>IF($BC452="","",SUMIF(portfolio.!$A$4:$A623,BC452,portfolio.!$AN$4:$AN623))</f>
        <v/>
      </c>
      <c r="BG452" s="936" t="s">
        <v>123</v>
      </c>
      <c r="BH452" s="907" t="s">
        <v>123</v>
      </c>
      <c r="BI452" s="935" t="s">
        <v>123</v>
      </c>
      <c r="BJ452" s="1003"/>
      <c r="BK452" s="907" t="s">
        <v>123</v>
      </c>
      <c r="BL452" s="907" t="s">
        <v>123</v>
      </c>
      <c r="BM452" s="907" t="s">
        <v>123</v>
      </c>
      <c r="BN452" s="1004" t="s">
        <v>123</v>
      </c>
      <c r="BO452" s="907" t="str">
        <f t="shared" si="6"/>
        <v/>
      </c>
      <c r="BP452" s="907" t="str">
        <f t="shared" si="7"/>
        <v/>
      </c>
      <c r="BQ452" s="907" t="str">
        <f t="shared" si="8"/>
        <v/>
      </c>
      <c r="BR452" s="1004" t="str">
        <f t="shared" si="9"/>
        <v/>
      </c>
      <c r="BS452" s="1005" t="str">
        <f t="shared" si="10"/>
        <v/>
      </c>
      <c r="BT452" s="1006" t="s">
        <v>123</v>
      </c>
      <c r="BU452" s="1002" t="s">
        <v>123</v>
      </c>
      <c r="BV452" s="1006" t="s">
        <v>123</v>
      </c>
      <c r="BW452" s="1007"/>
    </row>
    <row r="453">
      <c r="A453" s="624">
        <v>430.0</v>
      </c>
      <c r="B453" s="1008"/>
      <c r="C453" s="989"/>
      <c r="D453" s="851"/>
      <c r="E453" s="990"/>
      <c r="F453" s="991"/>
      <c r="G453" s="991"/>
      <c r="H453" s="992"/>
      <c r="I453" s="993"/>
      <c r="J453" s="993"/>
      <c r="K453" s="993"/>
      <c r="L453" s="993"/>
      <c r="M453" s="993"/>
      <c r="N453" s="993"/>
      <c r="O453" s="993"/>
      <c r="P453" s="993"/>
      <c r="Q453" s="993"/>
      <c r="R453" s="993"/>
      <c r="S453" s="936"/>
      <c r="T453" s="998"/>
      <c r="U453" s="935"/>
      <c r="V453" s="935"/>
      <c r="W453" s="949" t="str">
        <f>IF(AND($S$20,NOT($U$20)),IF($V453:$V623="","",SUMIF(portfolio.!$A$4:$A623,V453,portfolio.!$AN$4:$AN623)),"")</f>
        <v/>
      </c>
      <c r="X453" s="998"/>
      <c r="Y453" s="936"/>
      <c r="Z453" s="936" t="s">
        <v>123</v>
      </c>
      <c r="AA453" s="936" t="s">
        <v>123</v>
      </c>
      <c r="AB453" s="936" t="s">
        <v>123</v>
      </c>
      <c r="AC453" s="907" t="s">
        <v>123</v>
      </c>
      <c r="AD453" s="999"/>
      <c r="AE453" s="936"/>
      <c r="AF453" s="936"/>
      <c r="AG453" s="936"/>
      <c r="AH453" s="936"/>
      <c r="AI453" s="999"/>
      <c r="AJ453" s="935"/>
      <c r="AK453" s="966"/>
      <c r="AL453" s="949"/>
      <c r="AM453" s="949" t="s">
        <v>123</v>
      </c>
      <c r="AN453" s="949"/>
      <c r="AO453" s="999"/>
      <c r="AP453" s="936"/>
      <c r="AQ453" s="987"/>
      <c r="AR453" s="907"/>
      <c r="AS453" s="907"/>
      <c r="AT453" s="967" t="s">
        <v>123</v>
      </c>
      <c r="AU453" s="967" t="s">
        <v>123</v>
      </c>
      <c r="AV453" s="967" t="s">
        <v>123</v>
      </c>
      <c r="AW453" s="907" t="s">
        <v>123</v>
      </c>
      <c r="AX453" s="907" t="s">
        <v>123</v>
      </c>
      <c r="AY453" s="907" t="s">
        <v>123</v>
      </c>
      <c r="AZ453" s="936" t="s">
        <v>123</v>
      </c>
      <c r="BA453" s="935" t="s">
        <v>123</v>
      </c>
      <c r="BB453" s="1000"/>
      <c r="BC453" s="1001"/>
      <c r="BD453" s="936"/>
      <c r="BE453" s="907"/>
      <c r="BF453" s="1002" t="str">
        <f>IF($BC453="","",SUMIF(portfolio.!$A$4:$A623,BC453,portfolio.!$AN$4:$AN623))</f>
        <v/>
      </c>
      <c r="BG453" s="936" t="s">
        <v>123</v>
      </c>
      <c r="BH453" s="907" t="s">
        <v>123</v>
      </c>
      <c r="BI453" s="935" t="s">
        <v>123</v>
      </c>
      <c r="BJ453" s="1003"/>
      <c r="BK453" s="907" t="s">
        <v>123</v>
      </c>
      <c r="BL453" s="907" t="s">
        <v>123</v>
      </c>
      <c r="BM453" s="907" t="s">
        <v>123</v>
      </c>
      <c r="BN453" s="1004" t="s">
        <v>123</v>
      </c>
      <c r="BO453" s="907" t="str">
        <f t="shared" si="6"/>
        <v/>
      </c>
      <c r="BP453" s="907" t="str">
        <f t="shared" si="7"/>
        <v/>
      </c>
      <c r="BQ453" s="907" t="str">
        <f t="shared" si="8"/>
        <v/>
      </c>
      <c r="BR453" s="1004" t="str">
        <f t="shared" si="9"/>
        <v/>
      </c>
      <c r="BS453" s="1005" t="str">
        <f t="shared" si="10"/>
        <v/>
      </c>
      <c r="BT453" s="1006" t="s">
        <v>123</v>
      </c>
      <c r="BU453" s="1002" t="s">
        <v>123</v>
      </c>
      <c r="BV453" s="1006" t="s">
        <v>123</v>
      </c>
      <c r="BW453" s="1007"/>
    </row>
    <row r="454">
      <c r="A454" s="624">
        <v>431.0</v>
      </c>
      <c r="B454" s="1008"/>
      <c r="C454" s="989"/>
      <c r="D454" s="851"/>
      <c r="E454" s="990"/>
      <c r="F454" s="991"/>
      <c r="G454" s="991"/>
      <c r="H454" s="992"/>
      <c r="I454" s="993"/>
      <c r="J454" s="993"/>
      <c r="K454" s="993"/>
      <c r="L454" s="993"/>
      <c r="M454" s="993"/>
      <c r="N454" s="993"/>
      <c r="O454" s="993"/>
      <c r="P454" s="993"/>
      <c r="Q454" s="993"/>
      <c r="R454" s="993"/>
      <c r="S454" s="936"/>
      <c r="T454" s="998"/>
      <c r="U454" s="935"/>
      <c r="V454" s="935"/>
      <c r="W454" s="949" t="str">
        <f>IF(AND($S$20,NOT($U$20)),IF($V454:$V623="","",SUMIF(portfolio.!$A$4:$A623,V454,portfolio.!$AN$4:$AN623)),"")</f>
        <v/>
      </c>
      <c r="X454" s="998"/>
      <c r="Y454" s="936"/>
      <c r="Z454" s="936" t="s">
        <v>123</v>
      </c>
      <c r="AA454" s="936" t="s">
        <v>123</v>
      </c>
      <c r="AB454" s="936" t="s">
        <v>123</v>
      </c>
      <c r="AC454" s="907" t="s">
        <v>123</v>
      </c>
      <c r="AD454" s="999"/>
      <c r="AE454" s="936"/>
      <c r="AF454" s="936"/>
      <c r="AG454" s="936"/>
      <c r="AH454" s="936"/>
      <c r="AI454" s="999"/>
      <c r="AJ454" s="935"/>
      <c r="AK454" s="966"/>
      <c r="AL454" s="949"/>
      <c r="AM454" s="949" t="s">
        <v>123</v>
      </c>
      <c r="AN454" s="949"/>
      <c r="AO454" s="999"/>
      <c r="AP454" s="936"/>
      <c r="AQ454" s="987"/>
      <c r="AR454" s="907"/>
      <c r="AS454" s="907"/>
      <c r="AT454" s="967" t="s">
        <v>123</v>
      </c>
      <c r="AU454" s="967" t="s">
        <v>123</v>
      </c>
      <c r="AV454" s="967" t="s">
        <v>123</v>
      </c>
      <c r="AW454" s="907" t="s">
        <v>123</v>
      </c>
      <c r="AX454" s="907" t="s">
        <v>123</v>
      </c>
      <c r="AY454" s="907" t="s">
        <v>123</v>
      </c>
      <c r="AZ454" s="936" t="s">
        <v>123</v>
      </c>
      <c r="BA454" s="935" t="s">
        <v>123</v>
      </c>
      <c r="BB454" s="1000"/>
      <c r="BC454" s="1001"/>
      <c r="BD454" s="936"/>
      <c r="BE454" s="907"/>
      <c r="BF454" s="1002" t="str">
        <f>IF($BC454="","",SUMIF(portfolio.!$A$4:$A623,BC454,portfolio.!$AN$4:$AN623))</f>
        <v/>
      </c>
      <c r="BG454" s="936" t="s">
        <v>123</v>
      </c>
      <c r="BH454" s="907" t="s">
        <v>123</v>
      </c>
      <c r="BI454" s="935" t="s">
        <v>123</v>
      </c>
      <c r="BJ454" s="1003"/>
      <c r="BK454" s="907" t="s">
        <v>123</v>
      </c>
      <c r="BL454" s="907" t="s">
        <v>123</v>
      </c>
      <c r="BM454" s="907" t="s">
        <v>123</v>
      </c>
      <c r="BN454" s="1004" t="s">
        <v>123</v>
      </c>
      <c r="BO454" s="907" t="str">
        <f t="shared" si="6"/>
        <v/>
      </c>
      <c r="BP454" s="907" t="str">
        <f t="shared" si="7"/>
        <v/>
      </c>
      <c r="BQ454" s="907" t="str">
        <f t="shared" si="8"/>
        <v/>
      </c>
      <c r="BR454" s="1004" t="str">
        <f t="shared" si="9"/>
        <v/>
      </c>
      <c r="BS454" s="1005" t="str">
        <f t="shared" si="10"/>
        <v/>
      </c>
      <c r="BT454" s="1006" t="s">
        <v>123</v>
      </c>
      <c r="BU454" s="1002" t="s">
        <v>123</v>
      </c>
      <c r="BV454" s="1006" t="s">
        <v>123</v>
      </c>
      <c r="BW454" s="1007"/>
    </row>
    <row r="455">
      <c r="A455" s="624">
        <v>432.0</v>
      </c>
      <c r="B455" s="1008"/>
      <c r="C455" s="989"/>
      <c r="D455" s="851"/>
      <c r="E455" s="990"/>
      <c r="F455" s="991"/>
      <c r="G455" s="991"/>
      <c r="H455" s="992"/>
      <c r="I455" s="993"/>
      <c r="J455" s="993"/>
      <c r="K455" s="993"/>
      <c r="L455" s="993"/>
      <c r="M455" s="993"/>
      <c r="N455" s="993"/>
      <c r="O455" s="993"/>
      <c r="P455" s="993"/>
      <c r="Q455" s="993"/>
      <c r="R455" s="993"/>
      <c r="S455" s="936"/>
      <c r="T455" s="998"/>
      <c r="U455" s="935"/>
      <c r="V455" s="935"/>
      <c r="W455" s="949" t="str">
        <f>IF(AND($S$20,NOT($U$20)),IF($V455:$V623="","",SUMIF(portfolio.!$A$4:$A623,V455,portfolio.!$AN$4:$AN623)),"")</f>
        <v/>
      </c>
      <c r="X455" s="998"/>
      <c r="Y455" s="936"/>
      <c r="Z455" s="936" t="s">
        <v>123</v>
      </c>
      <c r="AA455" s="936" t="s">
        <v>123</v>
      </c>
      <c r="AB455" s="936" t="s">
        <v>123</v>
      </c>
      <c r="AC455" s="907" t="s">
        <v>123</v>
      </c>
      <c r="AD455" s="999"/>
      <c r="AE455" s="936"/>
      <c r="AF455" s="936"/>
      <c r="AG455" s="936"/>
      <c r="AH455" s="936"/>
      <c r="AI455" s="999"/>
      <c r="AJ455" s="935"/>
      <c r="AK455" s="966"/>
      <c r="AL455" s="949"/>
      <c r="AM455" s="949" t="s">
        <v>123</v>
      </c>
      <c r="AN455" s="949"/>
      <c r="AO455" s="999"/>
      <c r="AP455" s="936"/>
      <c r="AQ455" s="987"/>
      <c r="AR455" s="907"/>
      <c r="AS455" s="907"/>
      <c r="AT455" s="967" t="s">
        <v>123</v>
      </c>
      <c r="AU455" s="967" t="s">
        <v>123</v>
      </c>
      <c r="AV455" s="967" t="s">
        <v>123</v>
      </c>
      <c r="AW455" s="907" t="s">
        <v>123</v>
      </c>
      <c r="AX455" s="907" t="s">
        <v>123</v>
      </c>
      <c r="AY455" s="907" t="s">
        <v>123</v>
      </c>
      <c r="AZ455" s="936" t="s">
        <v>123</v>
      </c>
      <c r="BA455" s="935" t="s">
        <v>123</v>
      </c>
      <c r="BB455" s="1000"/>
      <c r="BC455" s="1001"/>
      <c r="BD455" s="936"/>
      <c r="BE455" s="907"/>
      <c r="BF455" s="1002" t="str">
        <f>IF($BC455="","",SUMIF(portfolio.!$A$4:$A623,BC455,portfolio.!$AN$4:$AN623))</f>
        <v/>
      </c>
      <c r="BG455" s="936" t="s">
        <v>123</v>
      </c>
      <c r="BH455" s="907" t="s">
        <v>123</v>
      </c>
      <c r="BI455" s="935" t="s">
        <v>123</v>
      </c>
      <c r="BJ455" s="1003"/>
      <c r="BK455" s="907" t="s">
        <v>123</v>
      </c>
      <c r="BL455" s="907" t="s">
        <v>123</v>
      </c>
      <c r="BM455" s="907" t="s">
        <v>123</v>
      </c>
      <c r="BN455" s="1004" t="s">
        <v>123</v>
      </c>
      <c r="BO455" s="907" t="str">
        <f t="shared" si="6"/>
        <v/>
      </c>
      <c r="BP455" s="907" t="str">
        <f t="shared" si="7"/>
        <v/>
      </c>
      <c r="BQ455" s="907" t="str">
        <f t="shared" si="8"/>
        <v/>
      </c>
      <c r="BR455" s="1004" t="str">
        <f t="shared" si="9"/>
        <v/>
      </c>
      <c r="BS455" s="1005" t="str">
        <f t="shared" si="10"/>
        <v/>
      </c>
      <c r="BT455" s="1006" t="s">
        <v>123</v>
      </c>
      <c r="BU455" s="1002" t="s">
        <v>123</v>
      </c>
      <c r="BV455" s="1006" t="s">
        <v>123</v>
      </c>
      <c r="BW455" s="1007"/>
    </row>
    <row r="456">
      <c r="A456" s="624">
        <v>433.0</v>
      </c>
      <c r="B456" s="1008"/>
      <c r="C456" s="989"/>
      <c r="D456" s="851"/>
      <c r="E456" s="990"/>
      <c r="F456" s="991"/>
      <c r="G456" s="991"/>
      <c r="H456" s="992"/>
      <c r="I456" s="993"/>
      <c r="J456" s="993"/>
      <c r="K456" s="993"/>
      <c r="L456" s="993"/>
      <c r="M456" s="993"/>
      <c r="N456" s="993"/>
      <c r="O456" s="993"/>
      <c r="P456" s="993"/>
      <c r="Q456" s="993"/>
      <c r="R456" s="993"/>
      <c r="S456" s="936"/>
      <c r="T456" s="998"/>
      <c r="U456" s="935"/>
      <c r="V456" s="935"/>
      <c r="W456" s="949" t="str">
        <f>IF(AND($S$20,NOT($U$20)),IF($V456:$V623="","",SUMIF(portfolio.!$A$4:$A623,V456,portfolio.!$AN$4:$AN623)),"")</f>
        <v/>
      </c>
      <c r="X456" s="998"/>
      <c r="Y456" s="936"/>
      <c r="Z456" s="936" t="s">
        <v>123</v>
      </c>
      <c r="AA456" s="936" t="s">
        <v>123</v>
      </c>
      <c r="AB456" s="936" t="s">
        <v>123</v>
      </c>
      <c r="AC456" s="907" t="s">
        <v>123</v>
      </c>
      <c r="AD456" s="999"/>
      <c r="AE456" s="936"/>
      <c r="AF456" s="936"/>
      <c r="AG456" s="936"/>
      <c r="AH456" s="936"/>
      <c r="AI456" s="999"/>
      <c r="AJ456" s="935"/>
      <c r="AK456" s="966"/>
      <c r="AL456" s="949"/>
      <c r="AM456" s="949" t="s">
        <v>123</v>
      </c>
      <c r="AN456" s="949"/>
      <c r="AO456" s="999"/>
      <c r="AP456" s="936"/>
      <c r="AQ456" s="987"/>
      <c r="AR456" s="907"/>
      <c r="AS456" s="907"/>
      <c r="AT456" s="967" t="s">
        <v>123</v>
      </c>
      <c r="AU456" s="967" t="s">
        <v>123</v>
      </c>
      <c r="AV456" s="967" t="s">
        <v>123</v>
      </c>
      <c r="AW456" s="907" t="s">
        <v>123</v>
      </c>
      <c r="AX456" s="907" t="s">
        <v>123</v>
      </c>
      <c r="AY456" s="907" t="s">
        <v>123</v>
      </c>
      <c r="AZ456" s="936" t="s">
        <v>123</v>
      </c>
      <c r="BA456" s="935" t="s">
        <v>123</v>
      </c>
      <c r="BB456" s="1000"/>
      <c r="BC456" s="1001"/>
      <c r="BD456" s="936"/>
      <c r="BE456" s="907"/>
      <c r="BF456" s="1002" t="str">
        <f>IF($BC456="","",SUMIF(portfolio.!$A$4:$A623,BC456,portfolio.!$AN$4:$AN623))</f>
        <v/>
      </c>
      <c r="BG456" s="936" t="s">
        <v>123</v>
      </c>
      <c r="BH456" s="907" t="s">
        <v>123</v>
      </c>
      <c r="BI456" s="935" t="s">
        <v>123</v>
      </c>
      <c r="BJ456" s="1003"/>
      <c r="BK456" s="907" t="s">
        <v>123</v>
      </c>
      <c r="BL456" s="907" t="s">
        <v>123</v>
      </c>
      <c r="BM456" s="907" t="s">
        <v>123</v>
      </c>
      <c r="BN456" s="1004" t="s">
        <v>123</v>
      </c>
      <c r="BO456" s="907" t="str">
        <f t="shared" si="6"/>
        <v/>
      </c>
      <c r="BP456" s="907" t="str">
        <f t="shared" si="7"/>
        <v/>
      </c>
      <c r="BQ456" s="907" t="str">
        <f t="shared" si="8"/>
        <v/>
      </c>
      <c r="BR456" s="1004" t="str">
        <f t="shared" si="9"/>
        <v/>
      </c>
      <c r="BS456" s="1005" t="str">
        <f t="shared" si="10"/>
        <v/>
      </c>
      <c r="BT456" s="1006" t="s">
        <v>123</v>
      </c>
      <c r="BU456" s="1002" t="s">
        <v>123</v>
      </c>
      <c r="BV456" s="1006" t="s">
        <v>123</v>
      </c>
      <c r="BW456" s="1007"/>
    </row>
    <row r="457">
      <c r="A457" s="624">
        <v>434.0</v>
      </c>
      <c r="B457" s="1008"/>
      <c r="C457" s="989"/>
      <c r="D457" s="851"/>
      <c r="E457" s="990"/>
      <c r="F457" s="991"/>
      <c r="G457" s="991"/>
      <c r="H457" s="992"/>
      <c r="I457" s="993"/>
      <c r="J457" s="993"/>
      <c r="K457" s="993"/>
      <c r="L457" s="993"/>
      <c r="M457" s="993"/>
      <c r="N457" s="993"/>
      <c r="O457" s="993"/>
      <c r="P457" s="993"/>
      <c r="Q457" s="993"/>
      <c r="R457" s="993"/>
      <c r="S457" s="936"/>
      <c r="T457" s="998"/>
      <c r="U457" s="935"/>
      <c r="V457" s="935"/>
      <c r="W457" s="949" t="str">
        <f>IF(AND($S$20,NOT($U$20)),IF($V457:$V623="","",SUMIF(portfolio.!$A$4:$A623,V457,portfolio.!$AN$4:$AN623)),"")</f>
        <v/>
      </c>
      <c r="X457" s="998"/>
      <c r="Y457" s="936"/>
      <c r="Z457" s="936" t="s">
        <v>123</v>
      </c>
      <c r="AA457" s="936" t="s">
        <v>123</v>
      </c>
      <c r="AB457" s="936" t="s">
        <v>123</v>
      </c>
      <c r="AC457" s="907" t="s">
        <v>123</v>
      </c>
      <c r="AD457" s="999"/>
      <c r="AE457" s="936"/>
      <c r="AF457" s="936"/>
      <c r="AG457" s="936"/>
      <c r="AH457" s="936"/>
      <c r="AI457" s="999"/>
      <c r="AJ457" s="935"/>
      <c r="AK457" s="966"/>
      <c r="AL457" s="949"/>
      <c r="AM457" s="949" t="s">
        <v>123</v>
      </c>
      <c r="AN457" s="949"/>
      <c r="AO457" s="999"/>
      <c r="AP457" s="936"/>
      <c r="AQ457" s="987"/>
      <c r="AR457" s="907"/>
      <c r="AS457" s="907"/>
      <c r="AT457" s="967" t="s">
        <v>123</v>
      </c>
      <c r="AU457" s="967" t="s">
        <v>123</v>
      </c>
      <c r="AV457" s="967" t="s">
        <v>123</v>
      </c>
      <c r="AW457" s="907" t="s">
        <v>123</v>
      </c>
      <c r="AX457" s="907" t="s">
        <v>123</v>
      </c>
      <c r="AY457" s="907" t="s">
        <v>123</v>
      </c>
      <c r="AZ457" s="936" t="s">
        <v>123</v>
      </c>
      <c r="BA457" s="935" t="s">
        <v>123</v>
      </c>
      <c r="BB457" s="1000"/>
      <c r="BC457" s="1001"/>
      <c r="BD457" s="936"/>
      <c r="BE457" s="907"/>
      <c r="BF457" s="1002" t="str">
        <f>IF($BC457="","",SUMIF(portfolio.!$A$4:$A623,BC457,portfolio.!$AN$4:$AN623))</f>
        <v/>
      </c>
      <c r="BG457" s="936" t="s">
        <v>123</v>
      </c>
      <c r="BH457" s="907" t="s">
        <v>123</v>
      </c>
      <c r="BI457" s="935" t="s">
        <v>123</v>
      </c>
      <c r="BJ457" s="1003"/>
      <c r="BK457" s="907" t="s">
        <v>123</v>
      </c>
      <c r="BL457" s="907" t="s">
        <v>123</v>
      </c>
      <c r="BM457" s="907" t="s">
        <v>123</v>
      </c>
      <c r="BN457" s="1004" t="s">
        <v>123</v>
      </c>
      <c r="BO457" s="907" t="str">
        <f t="shared" si="6"/>
        <v/>
      </c>
      <c r="BP457" s="907" t="str">
        <f t="shared" si="7"/>
        <v/>
      </c>
      <c r="BQ457" s="907" t="str">
        <f t="shared" si="8"/>
        <v/>
      </c>
      <c r="BR457" s="1004" t="str">
        <f t="shared" si="9"/>
        <v/>
      </c>
      <c r="BS457" s="1005" t="str">
        <f t="shared" si="10"/>
        <v/>
      </c>
      <c r="BT457" s="1006" t="s">
        <v>123</v>
      </c>
      <c r="BU457" s="1002" t="s">
        <v>123</v>
      </c>
      <c r="BV457" s="1006" t="s">
        <v>123</v>
      </c>
      <c r="BW457" s="1007"/>
    </row>
    <row r="458">
      <c r="A458" s="624">
        <v>435.0</v>
      </c>
      <c r="B458" s="1008"/>
      <c r="C458" s="989"/>
      <c r="D458" s="851"/>
      <c r="E458" s="990"/>
      <c r="F458" s="991"/>
      <c r="G458" s="991"/>
      <c r="H458" s="992"/>
      <c r="I458" s="993"/>
      <c r="J458" s="993"/>
      <c r="K458" s="993"/>
      <c r="L458" s="993"/>
      <c r="M458" s="993"/>
      <c r="N458" s="993"/>
      <c r="O458" s="993"/>
      <c r="P458" s="993"/>
      <c r="Q458" s="993"/>
      <c r="R458" s="993"/>
      <c r="S458" s="936"/>
      <c r="T458" s="998"/>
      <c r="U458" s="935"/>
      <c r="V458" s="935"/>
      <c r="W458" s="949" t="str">
        <f>IF(AND($S$20,NOT($U$20)),IF($V458:$V623="","",SUMIF(portfolio.!$A$4:$A623,V458,portfolio.!$AN$4:$AN623)),"")</f>
        <v/>
      </c>
      <c r="X458" s="998"/>
      <c r="Y458" s="936"/>
      <c r="Z458" s="936" t="s">
        <v>123</v>
      </c>
      <c r="AA458" s="936" t="s">
        <v>123</v>
      </c>
      <c r="AB458" s="936" t="s">
        <v>123</v>
      </c>
      <c r="AC458" s="907" t="s">
        <v>123</v>
      </c>
      <c r="AD458" s="999"/>
      <c r="AE458" s="936"/>
      <c r="AF458" s="936"/>
      <c r="AG458" s="936"/>
      <c r="AH458" s="936"/>
      <c r="AI458" s="999"/>
      <c r="AJ458" s="935"/>
      <c r="AK458" s="966"/>
      <c r="AL458" s="949"/>
      <c r="AM458" s="949" t="s">
        <v>123</v>
      </c>
      <c r="AN458" s="949"/>
      <c r="AO458" s="999"/>
      <c r="AP458" s="936"/>
      <c r="AQ458" s="987"/>
      <c r="AR458" s="907"/>
      <c r="AS458" s="907"/>
      <c r="AT458" s="967" t="s">
        <v>123</v>
      </c>
      <c r="AU458" s="967" t="s">
        <v>123</v>
      </c>
      <c r="AV458" s="967" t="s">
        <v>123</v>
      </c>
      <c r="AW458" s="907" t="s">
        <v>123</v>
      </c>
      <c r="AX458" s="907" t="s">
        <v>123</v>
      </c>
      <c r="AY458" s="907" t="s">
        <v>123</v>
      </c>
      <c r="AZ458" s="936" t="s">
        <v>123</v>
      </c>
      <c r="BA458" s="935" t="s">
        <v>123</v>
      </c>
      <c r="BB458" s="1000"/>
      <c r="BC458" s="1001"/>
      <c r="BD458" s="936"/>
      <c r="BE458" s="907"/>
      <c r="BF458" s="1002" t="str">
        <f>IF($BC458="","",SUMIF(portfolio.!$A$4:$A623,BC458,portfolio.!$AN$4:$AN623))</f>
        <v/>
      </c>
      <c r="BG458" s="936" t="s">
        <v>123</v>
      </c>
      <c r="BH458" s="907" t="s">
        <v>123</v>
      </c>
      <c r="BI458" s="935" t="s">
        <v>123</v>
      </c>
      <c r="BJ458" s="1003"/>
      <c r="BK458" s="907" t="s">
        <v>123</v>
      </c>
      <c r="BL458" s="907" t="s">
        <v>123</v>
      </c>
      <c r="BM458" s="907" t="s">
        <v>123</v>
      </c>
      <c r="BN458" s="1004" t="s">
        <v>123</v>
      </c>
      <c r="BO458" s="907" t="str">
        <f t="shared" si="6"/>
        <v/>
      </c>
      <c r="BP458" s="907" t="str">
        <f t="shared" si="7"/>
        <v/>
      </c>
      <c r="BQ458" s="907" t="str">
        <f t="shared" si="8"/>
        <v/>
      </c>
      <c r="BR458" s="1004" t="str">
        <f t="shared" si="9"/>
        <v/>
      </c>
      <c r="BS458" s="1005" t="str">
        <f t="shared" si="10"/>
        <v/>
      </c>
      <c r="BT458" s="1006" t="s">
        <v>123</v>
      </c>
      <c r="BU458" s="1002" t="s">
        <v>123</v>
      </c>
      <c r="BV458" s="1006" t="s">
        <v>123</v>
      </c>
      <c r="BW458" s="1007"/>
    </row>
    <row r="459">
      <c r="A459" s="624">
        <v>436.0</v>
      </c>
      <c r="B459" s="1008"/>
      <c r="C459" s="989"/>
      <c r="D459" s="851"/>
      <c r="E459" s="990"/>
      <c r="F459" s="991"/>
      <c r="G459" s="991"/>
      <c r="H459" s="992"/>
      <c r="I459" s="993"/>
      <c r="J459" s="993"/>
      <c r="K459" s="993"/>
      <c r="L459" s="993"/>
      <c r="M459" s="993"/>
      <c r="N459" s="993"/>
      <c r="O459" s="993"/>
      <c r="P459" s="993"/>
      <c r="Q459" s="993"/>
      <c r="R459" s="993"/>
      <c r="S459" s="936"/>
      <c r="T459" s="998"/>
      <c r="U459" s="935"/>
      <c r="V459" s="935"/>
      <c r="W459" s="949" t="str">
        <f>IF(AND($S$20,NOT($U$20)),IF($V459:$V623="","",SUMIF(portfolio.!$A$4:$A623,V459,portfolio.!$AN$4:$AN623)),"")</f>
        <v/>
      </c>
      <c r="X459" s="998"/>
      <c r="Y459" s="936"/>
      <c r="Z459" s="936" t="s">
        <v>123</v>
      </c>
      <c r="AA459" s="936" t="s">
        <v>123</v>
      </c>
      <c r="AB459" s="936" t="s">
        <v>123</v>
      </c>
      <c r="AC459" s="907" t="s">
        <v>123</v>
      </c>
      <c r="AD459" s="999"/>
      <c r="AE459" s="936"/>
      <c r="AF459" s="936"/>
      <c r="AG459" s="936"/>
      <c r="AH459" s="936"/>
      <c r="AI459" s="999"/>
      <c r="AJ459" s="935"/>
      <c r="AK459" s="966"/>
      <c r="AL459" s="949"/>
      <c r="AM459" s="949" t="s">
        <v>123</v>
      </c>
      <c r="AN459" s="949"/>
      <c r="AO459" s="999"/>
      <c r="AP459" s="936"/>
      <c r="AQ459" s="987"/>
      <c r="AR459" s="907"/>
      <c r="AS459" s="907"/>
      <c r="AT459" s="967" t="s">
        <v>123</v>
      </c>
      <c r="AU459" s="967" t="s">
        <v>123</v>
      </c>
      <c r="AV459" s="967" t="s">
        <v>123</v>
      </c>
      <c r="AW459" s="907" t="s">
        <v>123</v>
      </c>
      <c r="AX459" s="907" t="s">
        <v>123</v>
      </c>
      <c r="AY459" s="907" t="s">
        <v>123</v>
      </c>
      <c r="AZ459" s="936" t="s">
        <v>123</v>
      </c>
      <c r="BA459" s="935" t="s">
        <v>123</v>
      </c>
      <c r="BB459" s="1000"/>
      <c r="BC459" s="1001"/>
      <c r="BD459" s="936"/>
      <c r="BE459" s="907"/>
      <c r="BF459" s="1002" t="str">
        <f>IF($BC459="","",SUMIF(portfolio.!$A$4:$A623,BC459,portfolio.!$AN$4:$AN623))</f>
        <v/>
      </c>
      <c r="BG459" s="936" t="s">
        <v>123</v>
      </c>
      <c r="BH459" s="907" t="s">
        <v>123</v>
      </c>
      <c r="BI459" s="935" t="s">
        <v>123</v>
      </c>
      <c r="BJ459" s="1003"/>
      <c r="BK459" s="907" t="s">
        <v>123</v>
      </c>
      <c r="BL459" s="907" t="s">
        <v>123</v>
      </c>
      <c r="BM459" s="907" t="s">
        <v>123</v>
      </c>
      <c r="BN459" s="1004" t="s">
        <v>123</v>
      </c>
      <c r="BO459" s="907" t="str">
        <f t="shared" si="6"/>
        <v/>
      </c>
      <c r="BP459" s="907" t="str">
        <f t="shared" si="7"/>
        <v/>
      </c>
      <c r="BQ459" s="907" t="str">
        <f t="shared" si="8"/>
        <v/>
      </c>
      <c r="BR459" s="1004" t="str">
        <f t="shared" si="9"/>
        <v/>
      </c>
      <c r="BS459" s="1005" t="str">
        <f t="shared" si="10"/>
        <v/>
      </c>
      <c r="BT459" s="1006" t="s">
        <v>123</v>
      </c>
      <c r="BU459" s="1002" t="s">
        <v>123</v>
      </c>
      <c r="BV459" s="1006" t="s">
        <v>123</v>
      </c>
      <c r="BW459" s="1007"/>
    </row>
    <row r="460">
      <c r="A460" s="624">
        <v>437.0</v>
      </c>
      <c r="B460" s="1008"/>
      <c r="C460" s="989"/>
      <c r="D460" s="851"/>
      <c r="E460" s="990"/>
      <c r="F460" s="991"/>
      <c r="G460" s="991"/>
      <c r="H460" s="992"/>
      <c r="I460" s="993"/>
      <c r="J460" s="993"/>
      <c r="K460" s="993"/>
      <c r="L460" s="993"/>
      <c r="M460" s="993"/>
      <c r="N460" s="993"/>
      <c r="O460" s="993"/>
      <c r="P460" s="993"/>
      <c r="Q460" s="993"/>
      <c r="R460" s="993"/>
      <c r="S460" s="936"/>
      <c r="T460" s="998"/>
      <c r="U460" s="935"/>
      <c r="V460" s="935"/>
      <c r="W460" s="949" t="str">
        <f>IF(AND($S$20,NOT($U$20)),IF($V460:$V623="","",SUMIF(portfolio.!$A$4:$A623,V460,portfolio.!$AN$4:$AN623)),"")</f>
        <v/>
      </c>
      <c r="X460" s="998"/>
      <c r="Y460" s="936"/>
      <c r="Z460" s="936" t="s">
        <v>123</v>
      </c>
      <c r="AA460" s="936" t="s">
        <v>123</v>
      </c>
      <c r="AB460" s="936" t="s">
        <v>123</v>
      </c>
      <c r="AC460" s="907" t="s">
        <v>123</v>
      </c>
      <c r="AD460" s="999"/>
      <c r="AE460" s="936"/>
      <c r="AF460" s="936"/>
      <c r="AG460" s="936"/>
      <c r="AH460" s="936"/>
      <c r="AI460" s="999"/>
      <c r="AJ460" s="935"/>
      <c r="AK460" s="966"/>
      <c r="AL460" s="949"/>
      <c r="AM460" s="949" t="s">
        <v>123</v>
      </c>
      <c r="AN460" s="949"/>
      <c r="AO460" s="999"/>
      <c r="AP460" s="936"/>
      <c r="AQ460" s="987"/>
      <c r="AR460" s="907"/>
      <c r="AS460" s="907"/>
      <c r="AT460" s="967" t="s">
        <v>123</v>
      </c>
      <c r="AU460" s="967" t="s">
        <v>123</v>
      </c>
      <c r="AV460" s="967" t="s">
        <v>123</v>
      </c>
      <c r="AW460" s="907" t="s">
        <v>123</v>
      </c>
      <c r="AX460" s="907" t="s">
        <v>123</v>
      </c>
      <c r="AY460" s="907" t="s">
        <v>123</v>
      </c>
      <c r="AZ460" s="936" t="s">
        <v>123</v>
      </c>
      <c r="BA460" s="935" t="s">
        <v>123</v>
      </c>
      <c r="BB460" s="1000"/>
      <c r="BC460" s="1001"/>
      <c r="BD460" s="936"/>
      <c r="BE460" s="907"/>
      <c r="BF460" s="1002" t="str">
        <f>IF($BC460="","",SUMIF(portfolio.!$A$4:$A623,BC460,portfolio.!$AN$4:$AN623))</f>
        <v/>
      </c>
      <c r="BG460" s="936" t="s">
        <v>123</v>
      </c>
      <c r="BH460" s="907" t="s">
        <v>123</v>
      </c>
      <c r="BI460" s="935" t="s">
        <v>123</v>
      </c>
      <c r="BJ460" s="1003"/>
      <c r="BK460" s="907" t="s">
        <v>123</v>
      </c>
      <c r="BL460" s="907" t="s">
        <v>123</v>
      </c>
      <c r="BM460" s="907" t="s">
        <v>123</v>
      </c>
      <c r="BN460" s="1004" t="s">
        <v>123</v>
      </c>
      <c r="BO460" s="907" t="str">
        <f t="shared" si="6"/>
        <v/>
      </c>
      <c r="BP460" s="907" t="str">
        <f t="shared" si="7"/>
        <v/>
      </c>
      <c r="BQ460" s="907" t="str">
        <f t="shared" si="8"/>
        <v/>
      </c>
      <c r="BR460" s="1004" t="str">
        <f t="shared" si="9"/>
        <v/>
      </c>
      <c r="BS460" s="1005" t="str">
        <f t="shared" si="10"/>
        <v/>
      </c>
      <c r="BT460" s="1006" t="s">
        <v>123</v>
      </c>
      <c r="BU460" s="1002" t="s">
        <v>123</v>
      </c>
      <c r="BV460" s="1006" t="s">
        <v>123</v>
      </c>
      <c r="BW460" s="1007"/>
    </row>
    <row r="461">
      <c r="A461" s="624">
        <v>438.0</v>
      </c>
      <c r="B461" s="1008"/>
      <c r="C461" s="989"/>
      <c r="D461" s="851"/>
      <c r="E461" s="990"/>
      <c r="F461" s="991"/>
      <c r="G461" s="991"/>
      <c r="H461" s="992"/>
      <c r="I461" s="993"/>
      <c r="J461" s="993"/>
      <c r="K461" s="993"/>
      <c r="L461" s="993"/>
      <c r="M461" s="993"/>
      <c r="N461" s="993"/>
      <c r="O461" s="993"/>
      <c r="P461" s="993"/>
      <c r="Q461" s="993"/>
      <c r="R461" s="993"/>
      <c r="S461" s="936"/>
      <c r="T461" s="998"/>
      <c r="U461" s="935"/>
      <c r="V461" s="935"/>
      <c r="W461" s="949" t="str">
        <f>IF(AND($S$20,NOT($U$20)),IF($V461:$V623="","",SUMIF(portfolio.!$A$4:$A623,V461,portfolio.!$AN$4:$AN623)),"")</f>
        <v/>
      </c>
      <c r="X461" s="998"/>
      <c r="Y461" s="936"/>
      <c r="Z461" s="936" t="s">
        <v>123</v>
      </c>
      <c r="AA461" s="936" t="s">
        <v>123</v>
      </c>
      <c r="AB461" s="936" t="s">
        <v>123</v>
      </c>
      <c r="AC461" s="907" t="s">
        <v>123</v>
      </c>
      <c r="AD461" s="999"/>
      <c r="AE461" s="936"/>
      <c r="AF461" s="936"/>
      <c r="AG461" s="936"/>
      <c r="AH461" s="936"/>
      <c r="AI461" s="999"/>
      <c r="AJ461" s="935"/>
      <c r="AK461" s="966"/>
      <c r="AL461" s="949"/>
      <c r="AM461" s="949" t="s">
        <v>123</v>
      </c>
      <c r="AN461" s="949"/>
      <c r="AO461" s="999"/>
      <c r="AP461" s="936"/>
      <c r="AQ461" s="987"/>
      <c r="AR461" s="907"/>
      <c r="AS461" s="907"/>
      <c r="AT461" s="967" t="s">
        <v>123</v>
      </c>
      <c r="AU461" s="967" t="s">
        <v>123</v>
      </c>
      <c r="AV461" s="967" t="s">
        <v>123</v>
      </c>
      <c r="AW461" s="907" t="s">
        <v>123</v>
      </c>
      <c r="AX461" s="907" t="s">
        <v>123</v>
      </c>
      <c r="AY461" s="907" t="s">
        <v>123</v>
      </c>
      <c r="AZ461" s="936" t="s">
        <v>123</v>
      </c>
      <c r="BA461" s="935" t="s">
        <v>123</v>
      </c>
      <c r="BB461" s="1000"/>
      <c r="BC461" s="1001"/>
      <c r="BD461" s="936"/>
      <c r="BE461" s="907"/>
      <c r="BF461" s="1002" t="str">
        <f>IF($BC461="","",SUMIF(portfolio.!$A$4:$A623,BC461,portfolio.!$AN$4:$AN623))</f>
        <v/>
      </c>
      <c r="BG461" s="936" t="s">
        <v>123</v>
      </c>
      <c r="BH461" s="907" t="s">
        <v>123</v>
      </c>
      <c r="BI461" s="935" t="s">
        <v>123</v>
      </c>
      <c r="BJ461" s="1003"/>
      <c r="BK461" s="907" t="s">
        <v>123</v>
      </c>
      <c r="BL461" s="907" t="s">
        <v>123</v>
      </c>
      <c r="BM461" s="907" t="s">
        <v>123</v>
      </c>
      <c r="BN461" s="1004" t="s">
        <v>123</v>
      </c>
      <c r="BO461" s="907" t="str">
        <f t="shared" si="6"/>
        <v/>
      </c>
      <c r="BP461" s="907" t="str">
        <f t="shared" si="7"/>
        <v/>
      </c>
      <c r="BQ461" s="907" t="str">
        <f t="shared" si="8"/>
        <v/>
      </c>
      <c r="BR461" s="1004" t="str">
        <f t="shared" si="9"/>
        <v/>
      </c>
      <c r="BS461" s="1005" t="str">
        <f t="shared" si="10"/>
        <v/>
      </c>
      <c r="BT461" s="1006" t="s">
        <v>123</v>
      </c>
      <c r="BU461" s="1002" t="s">
        <v>123</v>
      </c>
      <c r="BV461" s="1006" t="s">
        <v>123</v>
      </c>
      <c r="BW461" s="1007"/>
    </row>
    <row r="462">
      <c r="A462" s="624">
        <v>439.0</v>
      </c>
      <c r="B462" s="1008"/>
      <c r="C462" s="989"/>
      <c r="D462" s="851"/>
      <c r="E462" s="990"/>
      <c r="F462" s="991"/>
      <c r="G462" s="991"/>
      <c r="H462" s="992"/>
      <c r="I462" s="993"/>
      <c r="J462" s="993"/>
      <c r="K462" s="993"/>
      <c r="L462" s="993"/>
      <c r="M462" s="993"/>
      <c r="N462" s="993"/>
      <c r="O462" s="993"/>
      <c r="P462" s="993"/>
      <c r="Q462" s="993"/>
      <c r="R462" s="993"/>
      <c r="S462" s="936"/>
      <c r="T462" s="998"/>
      <c r="U462" s="935"/>
      <c r="V462" s="935"/>
      <c r="W462" s="949" t="str">
        <f>IF(AND($S$20,NOT($U$20)),IF($V462:$V623="","",SUMIF(portfolio.!$A$4:$A623,V462,portfolio.!$AN$4:$AN623)),"")</f>
        <v/>
      </c>
      <c r="X462" s="998"/>
      <c r="Y462" s="936"/>
      <c r="Z462" s="936" t="s">
        <v>123</v>
      </c>
      <c r="AA462" s="936" t="s">
        <v>123</v>
      </c>
      <c r="AB462" s="936" t="s">
        <v>123</v>
      </c>
      <c r="AC462" s="907" t="s">
        <v>123</v>
      </c>
      <c r="AD462" s="999"/>
      <c r="AE462" s="936"/>
      <c r="AF462" s="936"/>
      <c r="AG462" s="936"/>
      <c r="AH462" s="936"/>
      <c r="AI462" s="999"/>
      <c r="AJ462" s="935"/>
      <c r="AK462" s="966"/>
      <c r="AL462" s="949"/>
      <c r="AM462" s="949" t="s">
        <v>123</v>
      </c>
      <c r="AN462" s="949"/>
      <c r="AO462" s="999"/>
      <c r="AP462" s="936"/>
      <c r="AQ462" s="987"/>
      <c r="AR462" s="907"/>
      <c r="AS462" s="907"/>
      <c r="AT462" s="967" t="s">
        <v>123</v>
      </c>
      <c r="AU462" s="967" t="s">
        <v>123</v>
      </c>
      <c r="AV462" s="967" t="s">
        <v>123</v>
      </c>
      <c r="AW462" s="907" t="s">
        <v>123</v>
      </c>
      <c r="AX462" s="907" t="s">
        <v>123</v>
      </c>
      <c r="AY462" s="907" t="s">
        <v>123</v>
      </c>
      <c r="AZ462" s="936" t="s">
        <v>123</v>
      </c>
      <c r="BA462" s="935" t="s">
        <v>123</v>
      </c>
      <c r="BB462" s="1000"/>
      <c r="BC462" s="1001"/>
      <c r="BD462" s="936"/>
      <c r="BE462" s="907"/>
      <c r="BF462" s="1002" t="str">
        <f>IF($BC462="","",SUMIF(portfolio.!$A$4:$A623,BC462,portfolio.!$AN$4:$AN623))</f>
        <v/>
      </c>
      <c r="BG462" s="936" t="s">
        <v>123</v>
      </c>
      <c r="BH462" s="907" t="s">
        <v>123</v>
      </c>
      <c r="BI462" s="935" t="s">
        <v>123</v>
      </c>
      <c r="BJ462" s="1003"/>
      <c r="BK462" s="907" t="s">
        <v>123</v>
      </c>
      <c r="BL462" s="907" t="s">
        <v>123</v>
      </c>
      <c r="BM462" s="907" t="s">
        <v>123</v>
      </c>
      <c r="BN462" s="1004" t="s">
        <v>123</v>
      </c>
      <c r="BO462" s="907" t="str">
        <f t="shared" si="6"/>
        <v/>
      </c>
      <c r="BP462" s="907" t="str">
        <f t="shared" si="7"/>
        <v/>
      </c>
      <c r="BQ462" s="907" t="str">
        <f t="shared" si="8"/>
        <v/>
      </c>
      <c r="BR462" s="1004" t="str">
        <f t="shared" si="9"/>
        <v/>
      </c>
      <c r="BS462" s="1005" t="str">
        <f t="shared" si="10"/>
        <v/>
      </c>
      <c r="BT462" s="1006" t="s">
        <v>123</v>
      </c>
      <c r="BU462" s="1002" t="s">
        <v>123</v>
      </c>
      <c r="BV462" s="1006" t="s">
        <v>123</v>
      </c>
      <c r="BW462" s="1007"/>
    </row>
    <row r="463">
      <c r="A463" s="624">
        <v>440.0</v>
      </c>
      <c r="B463" s="1008"/>
      <c r="C463" s="989"/>
      <c r="D463" s="851"/>
      <c r="E463" s="990"/>
      <c r="F463" s="991"/>
      <c r="G463" s="991"/>
      <c r="H463" s="992"/>
      <c r="I463" s="993"/>
      <c r="J463" s="993"/>
      <c r="K463" s="993"/>
      <c r="L463" s="993"/>
      <c r="M463" s="993"/>
      <c r="N463" s="993"/>
      <c r="O463" s="993"/>
      <c r="P463" s="993"/>
      <c r="Q463" s="993"/>
      <c r="R463" s="993"/>
      <c r="S463" s="936"/>
      <c r="T463" s="998"/>
      <c r="U463" s="935"/>
      <c r="V463" s="935"/>
      <c r="W463" s="949" t="str">
        <f>IF(AND($S$20,NOT($U$20)),IF($V463:$V623="","",SUMIF(portfolio.!$A$4:$A623,V463,portfolio.!$AN$4:$AN623)),"")</f>
        <v/>
      </c>
      <c r="X463" s="998"/>
      <c r="Y463" s="936"/>
      <c r="Z463" s="936" t="s">
        <v>123</v>
      </c>
      <c r="AA463" s="936" t="s">
        <v>123</v>
      </c>
      <c r="AB463" s="936" t="s">
        <v>123</v>
      </c>
      <c r="AC463" s="907" t="s">
        <v>123</v>
      </c>
      <c r="AD463" s="999"/>
      <c r="AE463" s="936"/>
      <c r="AF463" s="936"/>
      <c r="AG463" s="936"/>
      <c r="AH463" s="936"/>
      <c r="AI463" s="999"/>
      <c r="AJ463" s="935"/>
      <c r="AK463" s="966"/>
      <c r="AL463" s="949"/>
      <c r="AM463" s="949" t="s">
        <v>123</v>
      </c>
      <c r="AN463" s="949"/>
      <c r="AO463" s="999"/>
      <c r="AP463" s="936"/>
      <c r="AQ463" s="987"/>
      <c r="AR463" s="907"/>
      <c r="AS463" s="907"/>
      <c r="AT463" s="967" t="s">
        <v>123</v>
      </c>
      <c r="AU463" s="967" t="s">
        <v>123</v>
      </c>
      <c r="AV463" s="967" t="s">
        <v>123</v>
      </c>
      <c r="AW463" s="907" t="s">
        <v>123</v>
      </c>
      <c r="AX463" s="907" t="s">
        <v>123</v>
      </c>
      <c r="AY463" s="907" t="s">
        <v>123</v>
      </c>
      <c r="AZ463" s="936" t="s">
        <v>123</v>
      </c>
      <c r="BA463" s="935" t="s">
        <v>123</v>
      </c>
      <c r="BB463" s="1000"/>
      <c r="BC463" s="1001"/>
      <c r="BD463" s="936"/>
      <c r="BE463" s="907"/>
      <c r="BF463" s="1002" t="str">
        <f>IF($BC463="","",SUMIF(portfolio.!$A$4:$A623,BC463,portfolio.!$AN$4:$AN623))</f>
        <v/>
      </c>
      <c r="BG463" s="936" t="s">
        <v>123</v>
      </c>
      <c r="BH463" s="907" t="s">
        <v>123</v>
      </c>
      <c r="BI463" s="935" t="s">
        <v>123</v>
      </c>
      <c r="BJ463" s="1003"/>
      <c r="BK463" s="907" t="s">
        <v>123</v>
      </c>
      <c r="BL463" s="907" t="s">
        <v>123</v>
      </c>
      <c r="BM463" s="907" t="s">
        <v>123</v>
      </c>
      <c r="BN463" s="1004" t="s">
        <v>123</v>
      </c>
      <c r="BO463" s="907" t="str">
        <f t="shared" si="6"/>
        <v/>
      </c>
      <c r="BP463" s="907" t="str">
        <f t="shared" si="7"/>
        <v/>
      </c>
      <c r="BQ463" s="907" t="str">
        <f t="shared" si="8"/>
        <v/>
      </c>
      <c r="BR463" s="1004" t="str">
        <f t="shared" si="9"/>
        <v/>
      </c>
      <c r="BS463" s="1005" t="str">
        <f t="shared" si="10"/>
        <v/>
      </c>
      <c r="BT463" s="1006" t="s">
        <v>123</v>
      </c>
      <c r="BU463" s="1002" t="s">
        <v>123</v>
      </c>
      <c r="BV463" s="1006" t="s">
        <v>123</v>
      </c>
      <c r="BW463" s="1007"/>
    </row>
    <row r="464">
      <c r="A464" s="624">
        <v>441.0</v>
      </c>
      <c r="B464" s="1008"/>
      <c r="C464" s="989"/>
      <c r="D464" s="851"/>
      <c r="E464" s="990"/>
      <c r="F464" s="991"/>
      <c r="G464" s="991"/>
      <c r="H464" s="992"/>
      <c r="I464" s="993"/>
      <c r="J464" s="993"/>
      <c r="K464" s="993"/>
      <c r="L464" s="993"/>
      <c r="M464" s="993"/>
      <c r="N464" s="993"/>
      <c r="O464" s="993"/>
      <c r="P464" s="993"/>
      <c r="Q464" s="993"/>
      <c r="R464" s="993"/>
      <c r="S464" s="936"/>
      <c r="T464" s="998"/>
      <c r="U464" s="935"/>
      <c r="V464" s="935"/>
      <c r="W464" s="949" t="str">
        <f>IF(AND($S$20,NOT($U$20)),IF($V464:$V623="","",SUMIF(portfolio.!$A$4:$A623,V464,portfolio.!$AN$4:$AN623)),"")</f>
        <v/>
      </c>
      <c r="X464" s="998"/>
      <c r="Y464" s="936"/>
      <c r="Z464" s="936" t="s">
        <v>123</v>
      </c>
      <c r="AA464" s="936" t="s">
        <v>123</v>
      </c>
      <c r="AB464" s="936" t="s">
        <v>123</v>
      </c>
      <c r="AC464" s="907" t="s">
        <v>123</v>
      </c>
      <c r="AD464" s="999"/>
      <c r="AE464" s="936"/>
      <c r="AF464" s="936"/>
      <c r="AG464" s="936"/>
      <c r="AH464" s="936"/>
      <c r="AI464" s="999"/>
      <c r="AJ464" s="935"/>
      <c r="AK464" s="966"/>
      <c r="AL464" s="949"/>
      <c r="AM464" s="949" t="s">
        <v>123</v>
      </c>
      <c r="AN464" s="949"/>
      <c r="AO464" s="999"/>
      <c r="AP464" s="936"/>
      <c r="AQ464" s="987"/>
      <c r="AR464" s="907"/>
      <c r="AS464" s="907"/>
      <c r="AT464" s="967" t="s">
        <v>123</v>
      </c>
      <c r="AU464" s="967" t="s">
        <v>123</v>
      </c>
      <c r="AV464" s="967" t="s">
        <v>123</v>
      </c>
      <c r="AW464" s="907" t="s">
        <v>123</v>
      </c>
      <c r="AX464" s="907" t="s">
        <v>123</v>
      </c>
      <c r="AY464" s="907" t="s">
        <v>123</v>
      </c>
      <c r="AZ464" s="936" t="s">
        <v>123</v>
      </c>
      <c r="BA464" s="935" t="s">
        <v>123</v>
      </c>
      <c r="BB464" s="1000"/>
      <c r="BC464" s="1001"/>
      <c r="BD464" s="936"/>
      <c r="BE464" s="907"/>
      <c r="BF464" s="1002" t="str">
        <f>IF($BC464="","",SUMIF(portfolio.!$A$4:$A623,BC464,portfolio.!$AN$4:$AN623))</f>
        <v/>
      </c>
      <c r="BG464" s="936" t="s">
        <v>123</v>
      </c>
      <c r="BH464" s="907" t="s">
        <v>123</v>
      </c>
      <c r="BI464" s="935" t="s">
        <v>123</v>
      </c>
      <c r="BJ464" s="1003"/>
      <c r="BK464" s="907" t="s">
        <v>123</v>
      </c>
      <c r="BL464" s="907" t="s">
        <v>123</v>
      </c>
      <c r="BM464" s="907" t="s">
        <v>123</v>
      </c>
      <c r="BN464" s="1004" t="s">
        <v>123</v>
      </c>
      <c r="BO464" s="907" t="str">
        <f t="shared" si="6"/>
        <v/>
      </c>
      <c r="BP464" s="907" t="str">
        <f t="shared" si="7"/>
        <v/>
      </c>
      <c r="BQ464" s="907" t="str">
        <f t="shared" si="8"/>
        <v/>
      </c>
      <c r="BR464" s="1004" t="str">
        <f t="shared" si="9"/>
        <v/>
      </c>
      <c r="BS464" s="1005" t="str">
        <f t="shared" si="10"/>
        <v/>
      </c>
      <c r="BT464" s="1006" t="s">
        <v>123</v>
      </c>
      <c r="BU464" s="1002" t="s">
        <v>123</v>
      </c>
      <c r="BV464" s="1006" t="s">
        <v>123</v>
      </c>
      <c r="BW464" s="1007"/>
    </row>
    <row r="465">
      <c r="A465" s="624">
        <v>442.0</v>
      </c>
      <c r="B465" s="1008"/>
      <c r="C465" s="989"/>
      <c r="D465" s="851"/>
      <c r="E465" s="990"/>
      <c r="F465" s="991"/>
      <c r="G465" s="991"/>
      <c r="H465" s="992"/>
      <c r="I465" s="993"/>
      <c r="J465" s="993"/>
      <c r="K465" s="993"/>
      <c r="L465" s="993"/>
      <c r="M465" s="993"/>
      <c r="N465" s="993"/>
      <c r="O465" s="993"/>
      <c r="P465" s="993"/>
      <c r="Q465" s="993"/>
      <c r="R465" s="993"/>
      <c r="S465" s="936"/>
      <c r="T465" s="998"/>
      <c r="U465" s="935"/>
      <c r="V465" s="935"/>
      <c r="W465" s="949" t="str">
        <f>IF(AND($S$20,NOT($U$20)),IF($V465:$V623="","",SUMIF(portfolio.!$A$4:$A623,V465,portfolio.!$AN$4:$AN623)),"")</f>
        <v/>
      </c>
      <c r="X465" s="998"/>
      <c r="Y465" s="936"/>
      <c r="Z465" s="936" t="s">
        <v>123</v>
      </c>
      <c r="AA465" s="936" t="s">
        <v>123</v>
      </c>
      <c r="AB465" s="936" t="s">
        <v>123</v>
      </c>
      <c r="AC465" s="907" t="s">
        <v>123</v>
      </c>
      <c r="AD465" s="999"/>
      <c r="AE465" s="936"/>
      <c r="AF465" s="936"/>
      <c r="AG465" s="936"/>
      <c r="AH465" s="936"/>
      <c r="AI465" s="999"/>
      <c r="AJ465" s="935"/>
      <c r="AK465" s="966"/>
      <c r="AL465" s="949"/>
      <c r="AM465" s="949" t="s">
        <v>123</v>
      </c>
      <c r="AN465" s="949"/>
      <c r="AO465" s="999"/>
      <c r="AP465" s="936"/>
      <c r="AQ465" s="987"/>
      <c r="AR465" s="907"/>
      <c r="AS465" s="907"/>
      <c r="AT465" s="967" t="s">
        <v>123</v>
      </c>
      <c r="AU465" s="967" t="s">
        <v>123</v>
      </c>
      <c r="AV465" s="967" t="s">
        <v>123</v>
      </c>
      <c r="AW465" s="907" t="s">
        <v>123</v>
      </c>
      <c r="AX465" s="907" t="s">
        <v>123</v>
      </c>
      <c r="AY465" s="907" t="s">
        <v>123</v>
      </c>
      <c r="AZ465" s="936" t="s">
        <v>123</v>
      </c>
      <c r="BA465" s="935" t="s">
        <v>123</v>
      </c>
      <c r="BB465" s="1000"/>
      <c r="BC465" s="1001"/>
      <c r="BD465" s="936"/>
      <c r="BE465" s="907"/>
      <c r="BF465" s="1002" t="str">
        <f>IF($BC465="","",SUMIF(portfolio.!$A$4:$A623,BC465,portfolio.!$AN$4:$AN623))</f>
        <v/>
      </c>
      <c r="BG465" s="936" t="s">
        <v>123</v>
      </c>
      <c r="BH465" s="907" t="s">
        <v>123</v>
      </c>
      <c r="BI465" s="935" t="s">
        <v>123</v>
      </c>
      <c r="BJ465" s="1003"/>
      <c r="BK465" s="907" t="s">
        <v>123</v>
      </c>
      <c r="BL465" s="907" t="s">
        <v>123</v>
      </c>
      <c r="BM465" s="907" t="s">
        <v>123</v>
      </c>
      <c r="BN465" s="1004" t="s">
        <v>123</v>
      </c>
      <c r="BO465" s="907" t="str">
        <f t="shared" si="6"/>
        <v/>
      </c>
      <c r="BP465" s="907" t="str">
        <f t="shared" si="7"/>
        <v/>
      </c>
      <c r="BQ465" s="907" t="str">
        <f t="shared" si="8"/>
        <v/>
      </c>
      <c r="BR465" s="1004" t="str">
        <f t="shared" si="9"/>
        <v/>
      </c>
      <c r="BS465" s="1005" t="str">
        <f t="shared" si="10"/>
        <v/>
      </c>
      <c r="BT465" s="1006" t="s">
        <v>123</v>
      </c>
      <c r="BU465" s="1002" t="s">
        <v>123</v>
      </c>
      <c r="BV465" s="1006" t="s">
        <v>123</v>
      </c>
      <c r="BW465" s="1007"/>
    </row>
    <row r="466">
      <c r="A466" s="624">
        <v>443.0</v>
      </c>
      <c r="B466" s="1008"/>
      <c r="C466" s="989"/>
      <c r="D466" s="851"/>
      <c r="E466" s="990"/>
      <c r="F466" s="991"/>
      <c r="G466" s="991"/>
      <c r="H466" s="992"/>
      <c r="I466" s="993"/>
      <c r="J466" s="993"/>
      <c r="K466" s="993"/>
      <c r="L466" s="993"/>
      <c r="M466" s="993"/>
      <c r="N466" s="993"/>
      <c r="O466" s="993"/>
      <c r="P466" s="993"/>
      <c r="Q466" s="993"/>
      <c r="R466" s="993"/>
      <c r="S466" s="936"/>
      <c r="T466" s="998"/>
      <c r="U466" s="935"/>
      <c r="V466" s="935"/>
      <c r="W466" s="949" t="str">
        <f>IF(AND($S$20,NOT($U$20)),IF($V466:$V623="","",SUMIF(portfolio.!$A$4:$A623,V466,portfolio.!$AN$4:$AN623)),"")</f>
        <v/>
      </c>
      <c r="X466" s="998"/>
      <c r="Y466" s="936"/>
      <c r="Z466" s="936" t="s">
        <v>123</v>
      </c>
      <c r="AA466" s="936" t="s">
        <v>123</v>
      </c>
      <c r="AB466" s="936" t="s">
        <v>123</v>
      </c>
      <c r="AC466" s="907" t="s">
        <v>123</v>
      </c>
      <c r="AD466" s="999"/>
      <c r="AE466" s="936"/>
      <c r="AF466" s="936"/>
      <c r="AG466" s="936"/>
      <c r="AH466" s="936"/>
      <c r="AI466" s="999"/>
      <c r="AJ466" s="935"/>
      <c r="AK466" s="966"/>
      <c r="AL466" s="949"/>
      <c r="AM466" s="949" t="s">
        <v>123</v>
      </c>
      <c r="AN466" s="949"/>
      <c r="AO466" s="999"/>
      <c r="AP466" s="936"/>
      <c r="AQ466" s="987"/>
      <c r="AR466" s="907"/>
      <c r="AS466" s="907"/>
      <c r="AT466" s="967" t="s">
        <v>123</v>
      </c>
      <c r="AU466" s="967" t="s">
        <v>123</v>
      </c>
      <c r="AV466" s="967" t="s">
        <v>123</v>
      </c>
      <c r="AW466" s="907" t="s">
        <v>123</v>
      </c>
      <c r="AX466" s="907" t="s">
        <v>123</v>
      </c>
      <c r="AY466" s="907" t="s">
        <v>123</v>
      </c>
      <c r="AZ466" s="936" t="s">
        <v>123</v>
      </c>
      <c r="BA466" s="935" t="s">
        <v>123</v>
      </c>
      <c r="BB466" s="1000"/>
      <c r="BC466" s="1001"/>
      <c r="BD466" s="936"/>
      <c r="BE466" s="907"/>
      <c r="BF466" s="1002" t="str">
        <f>IF($BC466="","",SUMIF(portfolio.!$A$4:$A623,BC466,portfolio.!$AN$4:$AN623))</f>
        <v/>
      </c>
      <c r="BG466" s="936" t="s">
        <v>123</v>
      </c>
      <c r="BH466" s="907" t="s">
        <v>123</v>
      </c>
      <c r="BI466" s="935" t="s">
        <v>123</v>
      </c>
      <c r="BJ466" s="1003"/>
      <c r="BK466" s="907" t="s">
        <v>123</v>
      </c>
      <c r="BL466" s="907" t="s">
        <v>123</v>
      </c>
      <c r="BM466" s="907" t="s">
        <v>123</v>
      </c>
      <c r="BN466" s="1004" t="s">
        <v>123</v>
      </c>
      <c r="BO466" s="907" t="str">
        <f t="shared" si="6"/>
        <v/>
      </c>
      <c r="BP466" s="907" t="str">
        <f t="shared" si="7"/>
        <v/>
      </c>
      <c r="BQ466" s="907" t="str">
        <f t="shared" si="8"/>
        <v/>
      </c>
      <c r="BR466" s="1004" t="str">
        <f t="shared" si="9"/>
        <v/>
      </c>
      <c r="BS466" s="1005" t="str">
        <f t="shared" si="10"/>
        <v/>
      </c>
      <c r="BT466" s="1006" t="s">
        <v>123</v>
      </c>
      <c r="BU466" s="1002" t="s">
        <v>123</v>
      </c>
      <c r="BV466" s="1006" t="s">
        <v>123</v>
      </c>
      <c r="BW466" s="1007"/>
    </row>
    <row r="467">
      <c r="A467" s="624">
        <v>444.0</v>
      </c>
      <c r="B467" s="1008"/>
      <c r="C467" s="989"/>
      <c r="D467" s="851"/>
      <c r="E467" s="990"/>
      <c r="F467" s="991"/>
      <c r="G467" s="991"/>
      <c r="H467" s="992"/>
      <c r="I467" s="993"/>
      <c r="J467" s="993"/>
      <c r="K467" s="993"/>
      <c r="L467" s="993"/>
      <c r="M467" s="993"/>
      <c r="N467" s="993"/>
      <c r="O467" s="993"/>
      <c r="P467" s="993"/>
      <c r="Q467" s="993"/>
      <c r="R467" s="993"/>
      <c r="S467" s="936"/>
      <c r="T467" s="998"/>
      <c r="U467" s="935"/>
      <c r="V467" s="935"/>
      <c r="W467" s="949" t="str">
        <f>IF(AND($S$20,NOT($U$20)),IF($V467:$V623="","",SUMIF(portfolio.!$A$4:$A623,V467,portfolio.!$AN$4:$AN623)),"")</f>
        <v/>
      </c>
      <c r="X467" s="998"/>
      <c r="Y467" s="936"/>
      <c r="Z467" s="936" t="s">
        <v>123</v>
      </c>
      <c r="AA467" s="936" t="s">
        <v>123</v>
      </c>
      <c r="AB467" s="936" t="s">
        <v>123</v>
      </c>
      <c r="AC467" s="907" t="s">
        <v>123</v>
      </c>
      <c r="AD467" s="999"/>
      <c r="AE467" s="936"/>
      <c r="AF467" s="936"/>
      <c r="AG467" s="936"/>
      <c r="AH467" s="936"/>
      <c r="AI467" s="999"/>
      <c r="AJ467" s="935"/>
      <c r="AK467" s="966"/>
      <c r="AL467" s="949"/>
      <c r="AM467" s="949" t="s">
        <v>123</v>
      </c>
      <c r="AN467" s="949"/>
      <c r="AO467" s="999"/>
      <c r="AP467" s="936"/>
      <c r="AQ467" s="987"/>
      <c r="AR467" s="907"/>
      <c r="AS467" s="907"/>
      <c r="AT467" s="967" t="s">
        <v>123</v>
      </c>
      <c r="AU467" s="967" t="s">
        <v>123</v>
      </c>
      <c r="AV467" s="967" t="s">
        <v>123</v>
      </c>
      <c r="AW467" s="907" t="s">
        <v>123</v>
      </c>
      <c r="AX467" s="907" t="s">
        <v>123</v>
      </c>
      <c r="AY467" s="907" t="s">
        <v>123</v>
      </c>
      <c r="AZ467" s="936" t="s">
        <v>123</v>
      </c>
      <c r="BA467" s="935" t="s">
        <v>123</v>
      </c>
      <c r="BB467" s="1000"/>
      <c r="BC467" s="1001"/>
      <c r="BD467" s="936"/>
      <c r="BE467" s="907"/>
      <c r="BF467" s="1002" t="str">
        <f>IF($BC467="","",SUMIF(portfolio.!$A$4:$A623,BC467,portfolio.!$AN$4:$AN623))</f>
        <v/>
      </c>
      <c r="BG467" s="936" t="s">
        <v>123</v>
      </c>
      <c r="BH467" s="907" t="s">
        <v>123</v>
      </c>
      <c r="BI467" s="935" t="s">
        <v>123</v>
      </c>
      <c r="BJ467" s="1003"/>
      <c r="BK467" s="907" t="s">
        <v>123</v>
      </c>
      <c r="BL467" s="907" t="s">
        <v>123</v>
      </c>
      <c r="BM467" s="907" t="s">
        <v>123</v>
      </c>
      <c r="BN467" s="1004" t="s">
        <v>123</v>
      </c>
      <c r="BO467" s="907" t="str">
        <f t="shared" si="6"/>
        <v/>
      </c>
      <c r="BP467" s="907" t="str">
        <f t="shared" si="7"/>
        <v/>
      </c>
      <c r="BQ467" s="907" t="str">
        <f t="shared" si="8"/>
        <v/>
      </c>
      <c r="BR467" s="1004" t="str">
        <f t="shared" si="9"/>
        <v/>
      </c>
      <c r="BS467" s="1005" t="str">
        <f t="shared" si="10"/>
        <v/>
      </c>
      <c r="BT467" s="1006" t="s">
        <v>123</v>
      </c>
      <c r="BU467" s="1002" t="s">
        <v>123</v>
      </c>
      <c r="BV467" s="1006" t="s">
        <v>123</v>
      </c>
      <c r="BW467" s="1007"/>
    </row>
    <row r="468">
      <c r="A468" s="624">
        <v>445.0</v>
      </c>
      <c r="B468" s="1008"/>
      <c r="C468" s="989"/>
      <c r="D468" s="851"/>
      <c r="E468" s="990"/>
      <c r="F468" s="991"/>
      <c r="G468" s="991"/>
      <c r="H468" s="992"/>
      <c r="I468" s="993"/>
      <c r="J468" s="993"/>
      <c r="K468" s="993"/>
      <c r="L468" s="993"/>
      <c r="M468" s="993"/>
      <c r="N468" s="993"/>
      <c r="O468" s="993"/>
      <c r="P468" s="993"/>
      <c r="Q468" s="993"/>
      <c r="R468" s="993"/>
      <c r="S468" s="936"/>
      <c r="T468" s="998"/>
      <c r="U468" s="935"/>
      <c r="V468" s="935"/>
      <c r="W468" s="949" t="str">
        <f>IF(AND($S$20,NOT($U$20)),IF($V468:$V623="","",SUMIF(portfolio.!$A$4:$A623,V468,portfolio.!$AN$4:$AN623)),"")</f>
        <v/>
      </c>
      <c r="X468" s="998"/>
      <c r="Y468" s="936"/>
      <c r="Z468" s="936" t="s">
        <v>123</v>
      </c>
      <c r="AA468" s="936" t="s">
        <v>123</v>
      </c>
      <c r="AB468" s="936" t="s">
        <v>123</v>
      </c>
      <c r="AC468" s="907" t="s">
        <v>123</v>
      </c>
      <c r="AD468" s="999"/>
      <c r="AE468" s="936"/>
      <c r="AF468" s="936"/>
      <c r="AG468" s="936"/>
      <c r="AH468" s="936"/>
      <c r="AI468" s="999"/>
      <c r="AJ468" s="935"/>
      <c r="AK468" s="966"/>
      <c r="AL468" s="949"/>
      <c r="AM468" s="949" t="s">
        <v>123</v>
      </c>
      <c r="AN468" s="949"/>
      <c r="AO468" s="999"/>
      <c r="AP468" s="936"/>
      <c r="AQ468" s="987"/>
      <c r="AR468" s="907"/>
      <c r="AS468" s="907"/>
      <c r="AT468" s="967" t="s">
        <v>123</v>
      </c>
      <c r="AU468" s="967" t="s">
        <v>123</v>
      </c>
      <c r="AV468" s="967" t="s">
        <v>123</v>
      </c>
      <c r="AW468" s="907" t="s">
        <v>123</v>
      </c>
      <c r="AX468" s="907" t="s">
        <v>123</v>
      </c>
      <c r="AY468" s="907" t="s">
        <v>123</v>
      </c>
      <c r="AZ468" s="936" t="s">
        <v>123</v>
      </c>
      <c r="BA468" s="935" t="s">
        <v>123</v>
      </c>
      <c r="BB468" s="1000"/>
      <c r="BC468" s="1001"/>
      <c r="BD468" s="936"/>
      <c r="BE468" s="907"/>
      <c r="BF468" s="1002" t="str">
        <f>IF($BC468="","",SUMIF(portfolio.!$A$4:$A623,BC468,portfolio.!$AN$4:$AN623))</f>
        <v/>
      </c>
      <c r="BG468" s="936" t="s">
        <v>123</v>
      </c>
      <c r="BH468" s="907" t="s">
        <v>123</v>
      </c>
      <c r="BI468" s="935" t="s">
        <v>123</v>
      </c>
      <c r="BJ468" s="1003"/>
      <c r="BK468" s="907" t="s">
        <v>123</v>
      </c>
      <c r="BL468" s="907" t="s">
        <v>123</v>
      </c>
      <c r="BM468" s="907" t="s">
        <v>123</v>
      </c>
      <c r="BN468" s="1004" t="s">
        <v>123</v>
      </c>
      <c r="BO468" s="907" t="str">
        <f t="shared" si="6"/>
        <v/>
      </c>
      <c r="BP468" s="907" t="str">
        <f t="shared" si="7"/>
        <v/>
      </c>
      <c r="BQ468" s="907" t="str">
        <f t="shared" si="8"/>
        <v/>
      </c>
      <c r="BR468" s="1004" t="str">
        <f t="shared" si="9"/>
        <v/>
      </c>
      <c r="BS468" s="1005" t="str">
        <f t="shared" si="10"/>
        <v/>
      </c>
      <c r="BT468" s="1006" t="s">
        <v>123</v>
      </c>
      <c r="BU468" s="1002" t="s">
        <v>123</v>
      </c>
      <c r="BV468" s="1006" t="s">
        <v>123</v>
      </c>
      <c r="BW468" s="1007"/>
    </row>
    <row r="469">
      <c r="A469" s="624">
        <v>446.0</v>
      </c>
      <c r="B469" s="1008"/>
      <c r="C469" s="989"/>
      <c r="D469" s="851"/>
      <c r="E469" s="990"/>
      <c r="F469" s="991"/>
      <c r="G469" s="991"/>
      <c r="H469" s="992"/>
      <c r="I469" s="993"/>
      <c r="J469" s="993"/>
      <c r="K469" s="993"/>
      <c r="L469" s="993"/>
      <c r="M469" s="993"/>
      <c r="N469" s="993"/>
      <c r="O469" s="993"/>
      <c r="P469" s="993"/>
      <c r="Q469" s="993"/>
      <c r="R469" s="993"/>
      <c r="S469" s="936"/>
      <c r="T469" s="998"/>
      <c r="U469" s="935"/>
      <c r="V469" s="935"/>
      <c r="W469" s="949" t="str">
        <f>IF(AND($S$20,NOT($U$20)),IF($V469:$V623="","",SUMIF(portfolio.!$A$4:$A623,V469,portfolio.!$AN$4:$AN623)),"")</f>
        <v/>
      </c>
      <c r="X469" s="998"/>
      <c r="Y469" s="936"/>
      <c r="Z469" s="936" t="s">
        <v>123</v>
      </c>
      <c r="AA469" s="936" t="s">
        <v>123</v>
      </c>
      <c r="AB469" s="936" t="s">
        <v>123</v>
      </c>
      <c r="AC469" s="907" t="s">
        <v>123</v>
      </c>
      <c r="AD469" s="999"/>
      <c r="AE469" s="936"/>
      <c r="AF469" s="936"/>
      <c r="AG469" s="936"/>
      <c r="AH469" s="936"/>
      <c r="AI469" s="999"/>
      <c r="AJ469" s="935"/>
      <c r="AK469" s="966"/>
      <c r="AL469" s="949"/>
      <c r="AM469" s="949" t="s">
        <v>123</v>
      </c>
      <c r="AN469" s="949"/>
      <c r="AO469" s="999"/>
      <c r="AP469" s="936"/>
      <c r="AQ469" s="987"/>
      <c r="AR469" s="907"/>
      <c r="AS469" s="907"/>
      <c r="AT469" s="967" t="s">
        <v>123</v>
      </c>
      <c r="AU469" s="967" t="s">
        <v>123</v>
      </c>
      <c r="AV469" s="967" t="s">
        <v>123</v>
      </c>
      <c r="AW469" s="907" t="s">
        <v>123</v>
      </c>
      <c r="AX469" s="907" t="s">
        <v>123</v>
      </c>
      <c r="AY469" s="907" t="s">
        <v>123</v>
      </c>
      <c r="AZ469" s="936" t="s">
        <v>123</v>
      </c>
      <c r="BA469" s="935" t="s">
        <v>123</v>
      </c>
      <c r="BB469" s="1000"/>
      <c r="BC469" s="1001"/>
      <c r="BD469" s="936"/>
      <c r="BE469" s="907"/>
      <c r="BF469" s="1002" t="str">
        <f>IF($BC469="","",SUMIF(portfolio.!$A$4:$A623,BC469,portfolio.!$AN$4:$AN623))</f>
        <v/>
      </c>
      <c r="BG469" s="936" t="s">
        <v>123</v>
      </c>
      <c r="BH469" s="907" t="s">
        <v>123</v>
      </c>
      <c r="BI469" s="935" t="s">
        <v>123</v>
      </c>
      <c r="BJ469" s="1003"/>
      <c r="BK469" s="907" t="s">
        <v>123</v>
      </c>
      <c r="BL469" s="907" t="s">
        <v>123</v>
      </c>
      <c r="BM469" s="907" t="s">
        <v>123</v>
      </c>
      <c r="BN469" s="1004" t="s">
        <v>123</v>
      </c>
      <c r="BO469" s="907" t="str">
        <f t="shared" si="6"/>
        <v/>
      </c>
      <c r="BP469" s="907" t="str">
        <f t="shared" si="7"/>
        <v/>
      </c>
      <c r="BQ469" s="907" t="str">
        <f t="shared" si="8"/>
        <v/>
      </c>
      <c r="BR469" s="1004" t="str">
        <f t="shared" si="9"/>
        <v/>
      </c>
      <c r="BS469" s="1005" t="str">
        <f t="shared" si="10"/>
        <v/>
      </c>
      <c r="BT469" s="1006" t="s">
        <v>123</v>
      </c>
      <c r="BU469" s="1002" t="s">
        <v>123</v>
      </c>
      <c r="BV469" s="1006" t="s">
        <v>123</v>
      </c>
      <c r="BW469" s="1007"/>
    </row>
    <row r="470">
      <c r="A470" s="624">
        <v>447.0</v>
      </c>
      <c r="B470" s="1008"/>
      <c r="C470" s="989"/>
      <c r="D470" s="851"/>
      <c r="E470" s="990"/>
      <c r="F470" s="991"/>
      <c r="G470" s="991"/>
      <c r="H470" s="992"/>
      <c r="I470" s="993"/>
      <c r="J470" s="993"/>
      <c r="K470" s="993"/>
      <c r="L470" s="993"/>
      <c r="M470" s="993"/>
      <c r="N470" s="993"/>
      <c r="O470" s="993"/>
      <c r="P470" s="993"/>
      <c r="Q470" s="993"/>
      <c r="R470" s="993"/>
      <c r="S470" s="936"/>
      <c r="T470" s="998"/>
      <c r="U470" s="935"/>
      <c r="V470" s="935"/>
      <c r="W470" s="949" t="str">
        <f>IF(AND($S$20,NOT($U$20)),IF($V470:$V623="","",SUMIF(portfolio.!$A$4:$A623,V470,portfolio.!$AN$4:$AN623)),"")</f>
        <v/>
      </c>
      <c r="X470" s="998"/>
      <c r="Y470" s="936"/>
      <c r="Z470" s="936" t="s">
        <v>123</v>
      </c>
      <c r="AA470" s="936" t="s">
        <v>123</v>
      </c>
      <c r="AB470" s="936" t="s">
        <v>123</v>
      </c>
      <c r="AC470" s="907" t="s">
        <v>123</v>
      </c>
      <c r="AD470" s="999"/>
      <c r="AE470" s="936"/>
      <c r="AF470" s="936"/>
      <c r="AG470" s="936"/>
      <c r="AH470" s="936"/>
      <c r="AI470" s="999"/>
      <c r="AJ470" s="935"/>
      <c r="AK470" s="966"/>
      <c r="AL470" s="949"/>
      <c r="AM470" s="949" t="s">
        <v>123</v>
      </c>
      <c r="AN470" s="949"/>
      <c r="AO470" s="999"/>
      <c r="AP470" s="936"/>
      <c r="AQ470" s="987"/>
      <c r="AR470" s="907"/>
      <c r="AS470" s="907"/>
      <c r="AT470" s="967" t="s">
        <v>123</v>
      </c>
      <c r="AU470" s="967" t="s">
        <v>123</v>
      </c>
      <c r="AV470" s="967" t="s">
        <v>123</v>
      </c>
      <c r="AW470" s="907" t="s">
        <v>123</v>
      </c>
      <c r="AX470" s="907" t="s">
        <v>123</v>
      </c>
      <c r="AY470" s="907" t="s">
        <v>123</v>
      </c>
      <c r="AZ470" s="936" t="s">
        <v>123</v>
      </c>
      <c r="BA470" s="935" t="s">
        <v>123</v>
      </c>
      <c r="BB470" s="1000"/>
      <c r="BC470" s="1001"/>
      <c r="BD470" s="936"/>
      <c r="BE470" s="907"/>
      <c r="BF470" s="1002" t="str">
        <f>IF($BC470="","",SUMIF(portfolio.!$A$4:$A623,BC470,portfolio.!$AN$4:$AN623))</f>
        <v/>
      </c>
      <c r="BG470" s="936" t="s">
        <v>123</v>
      </c>
      <c r="BH470" s="907" t="s">
        <v>123</v>
      </c>
      <c r="BI470" s="935" t="s">
        <v>123</v>
      </c>
      <c r="BJ470" s="1003"/>
      <c r="BK470" s="907" t="s">
        <v>123</v>
      </c>
      <c r="BL470" s="907" t="s">
        <v>123</v>
      </c>
      <c r="BM470" s="907" t="s">
        <v>123</v>
      </c>
      <c r="BN470" s="1004" t="s">
        <v>123</v>
      </c>
      <c r="BO470" s="907" t="str">
        <f t="shared" si="6"/>
        <v/>
      </c>
      <c r="BP470" s="907" t="str">
        <f t="shared" si="7"/>
        <v/>
      </c>
      <c r="BQ470" s="907" t="str">
        <f t="shared" si="8"/>
        <v/>
      </c>
      <c r="BR470" s="1004" t="str">
        <f t="shared" si="9"/>
        <v/>
      </c>
      <c r="BS470" s="1005" t="str">
        <f t="shared" si="10"/>
        <v/>
      </c>
      <c r="BT470" s="1006" t="s">
        <v>123</v>
      </c>
      <c r="BU470" s="1002" t="s">
        <v>123</v>
      </c>
      <c r="BV470" s="1006" t="s">
        <v>123</v>
      </c>
      <c r="BW470" s="1007"/>
    </row>
    <row r="471">
      <c r="A471" s="624">
        <v>448.0</v>
      </c>
      <c r="B471" s="1008"/>
      <c r="C471" s="989"/>
      <c r="D471" s="851"/>
      <c r="E471" s="990"/>
      <c r="F471" s="991"/>
      <c r="G471" s="991"/>
      <c r="H471" s="992"/>
      <c r="I471" s="993"/>
      <c r="J471" s="993"/>
      <c r="K471" s="993"/>
      <c r="L471" s="993"/>
      <c r="M471" s="993"/>
      <c r="N471" s="993"/>
      <c r="O471" s="993"/>
      <c r="P471" s="993"/>
      <c r="Q471" s="993"/>
      <c r="R471" s="993"/>
      <c r="S471" s="936"/>
      <c r="T471" s="998"/>
      <c r="U471" s="935"/>
      <c r="V471" s="935"/>
      <c r="W471" s="949" t="str">
        <f>IF(AND($S$20,NOT($U$20)),IF($V471:$V623="","",SUMIF(portfolio.!$A$4:$A623,V471,portfolio.!$AN$4:$AN623)),"")</f>
        <v/>
      </c>
      <c r="X471" s="998"/>
      <c r="Y471" s="936"/>
      <c r="Z471" s="936" t="s">
        <v>123</v>
      </c>
      <c r="AA471" s="936" t="s">
        <v>123</v>
      </c>
      <c r="AB471" s="936" t="s">
        <v>123</v>
      </c>
      <c r="AC471" s="907" t="s">
        <v>123</v>
      </c>
      <c r="AD471" s="999"/>
      <c r="AE471" s="936"/>
      <c r="AF471" s="936"/>
      <c r="AG471" s="936"/>
      <c r="AH471" s="936"/>
      <c r="AI471" s="999"/>
      <c r="AJ471" s="935"/>
      <c r="AK471" s="966"/>
      <c r="AL471" s="949"/>
      <c r="AM471" s="949" t="s">
        <v>123</v>
      </c>
      <c r="AN471" s="949"/>
      <c r="AO471" s="999"/>
      <c r="AP471" s="936"/>
      <c r="AQ471" s="987"/>
      <c r="AR471" s="907"/>
      <c r="AS471" s="907"/>
      <c r="AT471" s="967" t="s">
        <v>123</v>
      </c>
      <c r="AU471" s="967" t="s">
        <v>123</v>
      </c>
      <c r="AV471" s="967" t="s">
        <v>123</v>
      </c>
      <c r="AW471" s="907" t="s">
        <v>123</v>
      </c>
      <c r="AX471" s="907" t="s">
        <v>123</v>
      </c>
      <c r="AY471" s="907" t="s">
        <v>123</v>
      </c>
      <c r="AZ471" s="936" t="s">
        <v>123</v>
      </c>
      <c r="BA471" s="935" t="s">
        <v>123</v>
      </c>
      <c r="BB471" s="1000"/>
      <c r="BC471" s="1001"/>
      <c r="BD471" s="936"/>
      <c r="BE471" s="907"/>
      <c r="BF471" s="1002" t="str">
        <f>IF($BC471="","",SUMIF(portfolio.!$A$4:$A623,BC471,portfolio.!$AN$4:$AN623))</f>
        <v/>
      </c>
      <c r="BG471" s="936" t="s">
        <v>123</v>
      </c>
      <c r="BH471" s="907" t="s">
        <v>123</v>
      </c>
      <c r="BI471" s="935" t="s">
        <v>123</v>
      </c>
      <c r="BJ471" s="1003"/>
      <c r="BK471" s="907" t="s">
        <v>123</v>
      </c>
      <c r="BL471" s="907" t="s">
        <v>123</v>
      </c>
      <c r="BM471" s="907" t="s">
        <v>123</v>
      </c>
      <c r="BN471" s="1004" t="s">
        <v>123</v>
      </c>
      <c r="BO471" s="907" t="str">
        <f t="shared" si="6"/>
        <v/>
      </c>
      <c r="BP471" s="907" t="str">
        <f t="shared" si="7"/>
        <v/>
      </c>
      <c r="BQ471" s="907" t="str">
        <f t="shared" si="8"/>
        <v/>
      </c>
      <c r="BR471" s="1004" t="str">
        <f t="shared" si="9"/>
        <v/>
      </c>
      <c r="BS471" s="1005" t="str">
        <f t="shared" si="10"/>
        <v/>
      </c>
      <c r="BT471" s="1006" t="s">
        <v>123</v>
      </c>
      <c r="BU471" s="1002" t="s">
        <v>123</v>
      </c>
      <c r="BV471" s="1006" t="s">
        <v>123</v>
      </c>
      <c r="BW471" s="1007"/>
    </row>
    <row r="472">
      <c r="A472" s="624">
        <v>449.0</v>
      </c>
      <c r="B472" s="1008"/>
      <c r="C472" s="989"/>
      <c r="D472" s="851"/>
      <c r="E472" s="990"/>
      <c r="F472" s="991"/>
      <c r="G472" s="991"/>
      <c r="H472" s="992"/>
      <c r="I472" s="993"/>
      <c r="J472" s="993"/>
      <c r="K472" s="993"/>
      <c r="L472" s="993"/>
      <c r="M472" s="993"/>
      <c r="N472" s="993"/>
      <c r="O472" s="993"/>
      <c r="P472" s="993"/>
      <c r="Q472" s="993"/>
      <c r="R472" s="993"/>
      <c r="S472" s="936"/>
      <c r="T472" s="998"/>
      <c r="U472" s="935"/>
      <c r="V472" s="935"/>
      <c r="W472" s="949" t="str">
        <f>IF(AND($S$20,NOT($U$20)),IF($V472:$V623="","",SUMIF(portfolio.!$A$4:$A623,V472,portfolio.!$AN$4:$AN623)),"")</f>
        <v/>
      </c>
      <c r="X472" s="998"/>
      <c r="Y472" s="936"/>
      <c r="Z472" s="936" t="s">
        <v>123</v>
      </c>
      <c r="AA472" s="936" t="s">
        <v>123</v>
      </c>
      <c r="AB472" s="936" t="s">
        <v>123</v>
      </c>
      <c r="AC472" s="907" t="s">
        <v>123</v>
      </c>
      <c r="AD472" s="999"/>
      <c r="AE472" s="936"/>
      <c r="AF472" s="936"/>
      <c r="AG472" s="936"/>
      <c r="AH472" s="936"/>
      <c r="AI472" s="999"/>
      <c r="AJ472" s="935"/>
      <c r="AK472" s="966"/>
      <c r="AL472" s="949"/>
      <c r="AM472" s="949" t="s">
        <v>123</v>
      </c>
      <c r="AN472" s="949"/>
      <c r="AO472" s="999"/>
      <c r="AP472" s="936"/>
      <c r="AQ472" s="987"/>
      <c r="AR472" s="907"/>
      <c r="AS472" s="907"/>
      <c r="AT472" s="967" t="s">
        <v>123</v>
      </c>
      <c r="AU472" s="967" t="s">
        <v>123</v>
      </c>
      <c r="AV472" s="967" t="s">
        <v>123</v>
      </c>
      <c r="AW472" s="907" t="s">
        <v>123</v>
      </c>
      <c r="AX472" s="907" t="s">
        <v>123</v>
      </c>
      <c r="AY472" s="907" t="s">
        <v>123</v>
      </c>
      <c r="AZ472" s="936" t="s">
        <v>123</v>
      </c>
      <c r="BA472" s="935" t="s">
        <v>123</v>
      </c>
      <c r="BB472" s="1000"/>
      <c r="BC472" s="1001"/>
      <c r="BD472" s="936"/>
      <c r="BE472" s="907"/>
      <c r="BF472" s="1002" t="str">
        <f>IF($BC472="","",SUMIF(portfolio.!$A$4:$A623,BC472,portfolio.!$AN$4:$AN623))</f>
        <v/>
      </c>
      <c r="BG472" s="936" t="s">
        <v>123</v>
      </c>
      <c r="BH472" s="907" t="s">
        <v>123</v>
      </c>
      <c r="BI472" s="935" t="s">
        <v>123</v>
      </c>
      <c r="BJ472" s="1003"/>
      <c r="BK472" s="907" t="s">
        <v>123</v>
      </c>
      <c r="BL472" s="907" t="s">
        <v>123</v>
      </c>
      <c r="BM472" s="907" t="s">
        <v>123</v>
      </c>
      <c r="BN472" s="1004" t="s">
        <v>123</v>
      </c>
      <c r="BO472" s="907" t="str">
        <f t="shared" si="6"/>
        <v/>
      </c>
      <c r="BP472" s="907" t="str">
        <f t="shared" si="7"/>
        <v/>
      </c>
      <c r="BQ472" s="907" t="str">
        <f t="shared" si="8"/>
        <v/>
      </c>
      <c r="BR472" s="1004" t="str">
        <f t="shared" si="9"/>
        <v/>
      </c>
      <c r="BS472" s="1005" t="str">
        <f t="shared" si="10"/>
        <v/>
      </c>
      <c r="BT472" s="1006" t="s">
        <v>123</v>
      </c>
      <c r="BU472" s="1002" t="s">
        <v>123</v>
      </c>
      <c r="BV472" s="1006" t="s">
        <v>123</v>
      </c>
      <c r="BW472" s="1007"/>
    </row>
    <row r="473">
      <c r="A473" s="624">
        <v>450.0</v>
      </c>
      <c r="B473" s="1008"/>
      <c r="C473" s="989"/>
      <c r="D473" s="851"/>
      <c r="E473" s="990"/>
      <c r="F473" s="991"/>
      <c r="G473" s="991"/>
      <c r="H473" s="992"/>
      <c r="I473" s="993"/>
      <c r="J473" s="993"/>
      <c r="K473" s="993"/>
      <c r="L473" s="993"/>
      <c r="M473" s="993"/>
      <c r="N473" s="993"/>
      <c r="O473" s="993"/>
      <c r="P473" s="993"/>
      <c r="Q473" s="993"/>
      <c r="R473" s="993"/>
      <c r="S473" s="936"/>
      <c r="T473" s="998"/>
      <c r="U473" s="935"/>
      <c r="V473" s="935"/>
      <c r="W473" s="949" t="str">
        <f>IF(AND($S$20,NOT($U$20)),IF($V473:$V623="","",SUMIF(portfolio.!$A$4:$A623,V473,portfolio.!$AN$4:$AN623)),"")</f>
        <v/>
      </c>
      <c r="X473" s="998"/>
      <c r="Y473" s="936"/>
      <c r="Z473" s="936" t="s">
        <v>123</v>
      </c>
      <c r="AA473" s="936" t="s">
        <v>123</v>
      </c>
      <c r="AB473" s="936" t="s">
        <v>123</v>
      </c>
      <c r="AC473" s="907" t="s">
        <v>123</v>
      </c>
      <c r="AD473" s="999"/>
      <c r="AE473" s="936"/>
      <c r="AF473" s="936"/>
      <c r="AG473" s="936"/>
      <c r="AH473" s="936"/>
      <c r="AI473" s="999"/>
      <c r="AJ473" s="935"/>
      <c r="AK473" s="966"/>
      <c r="AL473" s="949"/>
      <c r="AM473" s="949" t="s">
        <v>123</v>
      </c>
      <c r="AN473" s="949"/>
      <c r="AO473" s="999"/>
      <c r="AP473" s="936"/>
      <c r="AQ473" s="987"/>
      <c r="AR473" s="907"/>
      <c r="AS473" s="907"/>
      <c r="AT473" s="967" t="s">
        <v>123</v>
      </c>
      <c r="AU473" s="967" t="s">
        <v>123</v>
      </c>
      <c r="AV473" s="967" t="s">
        <v>123</v>
      </c>
      <c r="AW473" s="907" t="s">
        <v>123</v>
      </c>
      <c r="AX473" s="907" t="s">
        <v>123</v>
      </c>
      <c r="AY473" s="907" t="s">
        <v>123</v>
      </c>
      <c r="AZ473" s="936" t="s">
        <v>123</v>
      </c>
      <c r="BA473" s="935" t="s">
        <v>123</v>
      </c>
      <c r="BB473" s="1000"/>
      <c r="BC473" s="1001"/>
      <c r="BD473" s="936"/>
      <c r="BE473" s="907"/>
      <c r="BF473" s="1002" t="str">
        <f>IF($BC473="","",SUMIF(portfolio.!$A$4:$A623,BC473,portfolio.!$AN$4:$AN623))</f>
        <v/>
      </c>
      <c r="BG473" s="936" t="s">
        <v>123</v>
      </c>
      <c r="BH473" s="907" t="s">
        <v>123</v>
      </c>
      <c r="BI473" s="935" t="s">
        <v>123</v>
      </c>
      <c r="BJ473" s="1003"/>
      <c r="BK473" s="907" t="s">
        <v>123</v>
      </c>
      <c r="BL473" s="907" t="s">
        <v>123</v>
      </c>
      <c r="BM473" s="907" t="s">
        <v>123</v>
      </c>
      <c r="BN473" s="1004" t="s">
        <v>123</v>
      </c>
      <c r="BO473" s="907" t="str">
        <f t="shared" si="6"/>
        <v/>
      </c>
      <c r="BP473" s="907" t="str">
        <f t="shared" si="7"/>
        <v/>
      </c>
      <c r="BQ473" s="907" t="str">
        <f t="shared" si="8"/>
        <v/>
      </c>
      <c r="BR473" s="1004" t="str">
        <f t="shared" si="9"/>
        <v/>
      </c>
      <c r="BS473" s="1005" t="str">
        <f t="shared" si="10"/>
        <v/>
      </c>
      <c r="BT473" s="1006" t="s">
        <v>123</v>
      </c>
      <c r="BU473" s="1002" t="s">
        <v>123</v>
      </c>
      <c r="BV473" s="1006" t="s">
        <v>123</v>
      </c>
      <c r="BW473" s="1007"/>
    </row>
    <row r="474">
      <c r="A474" s="624">
        <v>451.0</v>
      </c>
      <c r="B474" s="1008"/>
      <c r="C474" s="989"/>
      <c r="D474" s="851"/>
      <c r="E474" s="990"/>
      <c r="F474" s="991"/>
      <c r="G474" s="991"/>
      <c r="H474" s="992"/>
      <c r="I474" s="993"/>
      <c r="J474" s="993"/>
      <c r="K474" s="993"/>
      <c r="L474" s="993"/>
      <c r="M474" s="993"/>
      <c r="N474" s="993"/>
      <c r="O474" s="993"/>
      <c r="P474" s="993"/>
      <c r="Q474" s="993"/>
      <c r="R474" s="993"/>
      <c r="S474" s="936"/>
      <c r="T474" s="998"/>
      <c r="U474" s="935"/>
      <c r="V474" s="935"/>
      <c r="W474" s="949" t="str">
        <f>IF(AND($S$20,NOT($U$20)),IF($V474:$V623="","",SUMIF(portfolio.!$A$4:$A623,V474,portfolio.!$AN$4:$AN623)),"")</f>
        <v/>
      </c>
      <c r="X474" s="998"/>
      <c r="Y474" s="936"/>
      <c r="Z474" s="936" t="s">
        <v>123</v>
      </c>
      <c r="AA474" s="936" t="s">
        <v>123</v>
      </c>
      <c r="AB474" s="936" t="s">
        <v>123</v>
      </c>
      <c r="AC474" s="907" t="s">
        <v>123</v>
      </c>
      <c r="AD474" s="999"/>
      <c r="AE474" s="936"/>
      <c r="AF474" s="936"/>
      <c r="AG474" s="936"/>
      <c r="AH474" s="936"/>
      <c r="AI474" s="999"/>
      <c r="AJ474" s="935"/>
      <c r="AK474" s="966"/>
      <c r="AL474" s="949"/>
      <c r="AM474" s="949" t="s">
        <v>123</v>
      </c>
      <c r="AN474" s="949"/>
      <c r="AO474" s="999"/>
      <c r="AP474" s="936"/>
      <c r="AQ474" s="987"/>
      <c r="AR474" s="907"/>
      <c r="AS474" s="907"/>
      <c r="AT474" s="967" t="s">
        <v>123</v>
      </c>
      <c r="AU474" s="967" t="s">
        <v>123</v>
      </c>
      <c r="AV474" s="967" t="s">
        <v>123</v>
      </c>
      <c r="AW474" s="907" t="s">
        <v>123</v>
      </c>
      <c r="AX474" s="907" t="s">
        <v>123</v>
      </c>
      <c r="AY474" s="907" t="s">
        <v>123</v>
      </c>
      <c r="AZ474" s="936" t="s">
        <v>123</v>
      </c>
      <c r="BA474" s="935" t="s">
        <v>123</v>
      </c>
      <c r="BB474" s="1000"/>
      <c r="BC474" s="1001"/>
      <c r="BD474" s="936"/>
      <c r="BE474" s="907"/>
      <c r="BF474" s="1002" t="str">
        <f>IF($BC474="","",SUMIF(portfolio.!$A$4:$A623,BC474,portfolio.!$AN$4:$AN623))</f>
        <v/>
      </c>
      <c r="BG474" s="936" t="s">
        <v>123</v>
      </c>
      <c r="BH474" s="907" t="s">
        <v>123</v>
      </c>
      <c r="BI474" s="935" t="s">
        <v>123</v>
      </c>
      <c r="BJ474" s="1003"/>
      <c r="BK474" s="907" t="s">
        <v>123</v>
      </c>
      <c r="BL474" s="907" t="s">
        <v>123</v>
      </c>
      <c r="BM474" s="907" t="s">
        <v>123</v>
      </c>
      <c r="BN474" s="1004" t="s">
        <v>123</v>
      </c>
      <c r="BO474" s="907" t="str">
        <f t="shared" si="6"/>
        <v/>
      </c>
      <c r="BP474" s="907" t="str">
        <f t="shared" si="7"/>
        <v/>
      </c>
      <c r="BQ474" s="907" t="str">
        <f t="shared" si="8"/>
        <v/>
      </c>
      <c r="BR474" s="1004" t="str">
        <f t="shared" si="9"/>
        <v/>
      </c>
      <c r="BS474" s="1005" t="str">
        <f t="shared" si="10"/>
        <v/>
      </c>
      <c r="BT474" s="1006" t="s">
        <v>123</v>
      </c>
      <c r="BU474" s="1002" t="s">
        <v>123</v>
      </c>
      <c r="BV474" s="1006" t="s">
        <v>123</v>
      </c>
      <c r="BW474" s="1007"/>
    </row>
    <row r="475">
      <c r="A475" s="624">
        <v>452.0</v>
      </c>
      <c r="B475" s="1008"/>
      <c r="C475" s="989"/>
      <c r="D475" s="851"/>
      <c r="E475" s="990"/>
      <c r="F475" s="991"/>
      <c r="G475" s="991"/>
      <c r="H475" s="992"/>
      <c r="I475" s="993"/>
      <c r="J475" s="993"/>
      <c r="K475" s="993"/>
      <c r="L475" s="993"/>
      <c r="M475" s="993"/>
      <c r="N475" s="993"/>
      <c r="O475" s="993"/>
      <c r="P475" s="993"/>
      <c r="Q475" s="993"/>
      <c r="R475" s="993"/>
      <c r="S475" s="936"/>
      <c r="T475" s="998"/>
      <c r="U475" s="935"/>
      <c r="V475" s="935"/>
      <c r="W475" s="949" t="str">
        <f>IF(AND($S$20,NOT($U$20)),IF($V475:$V623="","",SUMIF(portfolio.!$A$4:$A623,V475,portfolio.!$AN$4:$AN623)),"")</f>
        <v/>
      </c>
      <c r="X475" s="998"/>
      <c r="Y475" s="936"/>
      <c r="Z475" s="936" t="s">
        <v>123</v>
      </c>
      <c r="AA475" s="936" t="s">
        <v>123</v>
      </c>
      <c r="AB475" s="936" t="s">
        <v>123</v>
      </c>
      <c r="AC475" s="907" t="s">
        <v>123</v>
      </c>
      <c r="AD475" s="999"/>
      <c r="AE475" s="936"/>
      <c r="AF475" s="936"/>
      <c r="AG475" s="936"/>
      <c r="AH475" s="936"/>
      <c r="AI475" s="999"/>
      <c r="AJ475" s="935"/>
      <c r="AK475" s="966"/>
      <c r="AL475" s="949"/>
      <c r="AM475" s="949" t="s">
        <v>123</v>
      </c>
      <c r="AN475" s="949"/>
      <c r="AO475" s="999"/>
      <c r="AP475" s="936"/>
      <c r="AQ475" s="987"/>
      <c r="AR475" s="907"/>
      <c r="AS475" s="907"/>
      <c r="AT475" s="967" t="s">
        <v>123</v>
      </c>
      <c r="AU475" s="967" t="s">
        <v>123</v>
      </c>
      <c r="AV475" s="967" t="s">
        <v>123</v>
      </c>
      <c r="AW475" s="907" t="s">
        <v>123</v>
      </c>
      <c r="AX475" s="907" t="s">
        <v>123</v>
      </c>
      <c r="AY475" s="907" t="s">
        <v>123</v>
      </c>
      <c r="AZ475" s="936" t="s">
        <v>123</v>
      </c>
      <c r="BA475" s="935" t="s">
        <v>123</v>
      </c>
      <c r="BB475" s="1000"/>
      <c r="BC475" s="1001"/>
      <c r="BD475" s="936"/>
      <c r="BE475" s="907"/>
      <c r="BF475" s="1002" t="str">
        <f>IF($BC475="","",SUMIF(portfolio.!$A$4:$A623,BC475,portfolio.!$AN$4:$AN623))</f>
        <v/>
      </c>
      <c r="BG475" s="936" t="s">
        <v>123</v>
      </c>
      <c r="BH475" s="907" t="s">
        <v>123</v>
      </c>
      <c r="BI475" s="935" t="s">
        <v>123</v>
      </c>
      <c r="BJ475" s="1003"/>
      <c r="BK475" s="907" t="s">
        <v>123</v>
      </c>
      <c r="BL475" s="907" t="s">
        <v>123</v>
      </c>
      <c r="BM475" s="907" t="s">
        <v>123</v>
      </c>
      <c r="BN475" s="1004" t="s">
        <v>123</v>
      </c>
      <c r="BO475" s="907" t="str">
        <f t="shared" si="6"/>
        <v/>
      </c>
      <c r="BP475" s="907" t="str">
        <f t="shared" si="7"/>
        <v/>
      </c>
      <c r="BQ475" s="907" t="str">
        <f t="shared" si="8"/>
        <v/>
      </c>
      <c r="BR475" s="1004" t="str">
        <f t="shared" si="9"/>
        <v/>
      </c>
      <c r="BS475" s="1005" t="str">
        <f t="shared" si="10"/>
        <v/>
      </c>
      <c r="BT475" s="1006" t="s">
        <v>123</v>
      </c>
      <c r="BU475" s="1002" t="s">
        <v>123</v>
      </c>
      <c r="BV475" s="1006" t="s">
        <v>123</v>
      </c>
      <c r="BW475" s="1007"/>
    </row>
    <row r="476">
      <c r="A476" s="624">
        <v>453.0</v>
      </c>
      <c r="B476" s="1008"/>
      <c r="C476" s="989"/>
      <c r="D476" s="851"/>
      <c r="E476" s="990"/>
      <c r="F476" s="991"/>
      <c r="G476" s="991"/>
      <c r="H476" s="992"/>
      <c r="I476" s="993"/>
      <c r="J476" s="993"/>
      <c r="K476" s="993"/>
      <c r="L476" s="993"/>
      <c r="M476" s="993"/>
      <c r="N476" s="993"/>
      <c r="O476" s="993"/>
      <c r="P476" s="993"/>
      <c r="Q476" s="993"/>
      <c r="R476" s="993"/>
      <c r="S476" s="936"/>
      <c r="T476" s="998"/>
      <c r="U476" s="935"/>
      <c r="V476" s="935"/>
      <c r="W476" s="949" t="str">
        <f>IF(AND($S$20,NOT($U$20)),IF($V476:$V623="","",SUMIF(portfolio.!$A$4:$A623,V476,portfolio.!$AN$4:$AN623)),"")</f>
        <v/>
      </c>
      <c r="X476" s="998"/>
      <c r="Y476" s="936"/>
      <c r="Z476" s="936" t="s">
        <v>123</v>
      </c>
      <c r="AA476" s="936" t="s">
        <v>123</v>
      </c>
      <c r="AB476" s="936" t="s">
        <v>123</v>
      </c>
      <c r="AC476" s="907" t="s">
        <v>123</v>
      </c>
      <c r="AD476" s="999"/>
      <c r="AE476" s="936"/>
      <c r="AF476" s="936"/>
      <c r="AG476" s="936"/>
      <c r="AH476" s="936"/>
      <c r="AI476" s="999"/>
      <c r="AJ476" s="935"/>
      <c r="AK476" s="966"/>
      <c r="AL476" s="949"/>
      <c r="AM476" s="949" t="s">
        <v>123</v>
      </c>
      <c r="AN476" s="949"/>
      <c r="AO476" s="999"/>
      <c r="AP476" s="936"/>
      <c r="AQ476" s="987"/>
      <c r="AR476" s="907"/>
      <c r="AS476" s="907"/>
      <c r="AT476" s="967" t="s">
        <v>123</v>
      </c>
      <c r="AU476" s="967" t="s">
        <v>123</v>
      </c>
      <c r="AV476" s="967" t="s">
        <v>123</v>
      </c>
      <c r="AW476" s="907" t="s">
        <v>123</v>
      </c>
      <c r="AX476" s="907" t="s">
        <v>123</v>
      </c>
      <c r="AY476" s="907" t="s">
        <v>123</v>
      </c>
      <c r="AZ476" s="936" t="s">
        <v>123</v>
      </c>
      <c r="BA476" s="935" t="s">
        <v>123</v>
      </c>
      <c r="BB476" s="1000"/>
      <c r="BC476" s="1001"/>
      <c r="BD476" s="936"/>
      <c r="BE476" s="907"/>
      <c r="BF476" s="1002" t="str">
        <f>IF($BC476="","",SUMIF(portfolio.!$A$4:$A623,BC476,portfolio.!$AN$4:$AN623))</f>
        <v/>
      </c>
      <c r="BG476" s="936" t="s">
        <v>123</v>
      </c>
      <c r="BH476" s="907" t="s">
        <v>123</v>
      </c>
      <c r="BI476" s="935" t="s">
        <v>123</v>
      </c>
      <c r="BJ476" s="1003"/>
      <c r="BK476" s="907" t="s">
        <v>123</v>
      </c>
      <c r="BL476" s="907" t="s">
        <v>123</v>
      </c>
      <c r="BM476" s="907" t="s">
        <v>123</v>
      </c>
      <c r="BN476" s="1004" t="s">
        <v>123</v>
      </c>
      <c r="BO476" s="907" t="str">
        <f t="shared" si="6"/>
        <v/>
      </c>
      <c r="BP476" s="907" t="str">
        <f t="shared" si="7"/>
        <v/>
      </c>
      <c r="BQ476" s="907" t="str">
        <f t="shared" si="8"/>
        <v/>
      </c>
      <c r="BR476" s="1004" t="str">
        <f t="shared" si="9"/>
        <v/>
      </c>
      <c r="BS476" s="1005" t="str">
        <f t="shared" si="10"/>
        <v/>
      </c>
      <c r="BT476" s="1006" t="s">
        <v>123</v>
      </c>
      <c r="BU476" s="1002" t="s">
        <v>123</v>
      </c>
      <c r="BV476" s="1006" t="s">
        <v>123</v>
      </c>
      <c r="BW476" s="1007"/>
    </row>
    <row r="477">
      <c r="A477" s="624">
        <v>454.0</v>
      </c>
      <c r="B477" s="1008"/>
      <c r="C477" s="989"/>
      <c r="D477" s="851"/>
      <c r="E477" s="990"/>
      <c r="F477" s="991"/>
      <c r="G477" s="991"/>
      <c r="H477" s="992"/>
      <c r="I477" s="993"/>
      <c r="J477" s="993"/>
      <c r="K477" s="993"/>
      <c r="L477" s="993"/>
      <c r="M477" s="993"/>
      <c r="N477" s="993"/>
      <c r="O477" s="993"/>
      <c r="P477" s="993"/>
      <c r="Q477" s="993"/>
      <c r="R477" s="993"/>
      <c r="S477" s="936"/>
      <c r="T477" s="998"/>
      <c r="U477" s="935"/>
      <c r="V477" s="935"/>
      <c r="W477" s="949" t="str">
        <f>IF(AND($S$20,NOT($U$20)),IF($V477:$V623="","",SUMIF(portfolio.!$A$4:$A623,V477,portfolio.!$AN$4:$AN623)),"")</f>
        <v/>
      </c>
      <c r="X477" s="998"/>
      <c r="Y477" s="936"/>
      <c r="Z477" s="936" t="s">
        <v>123</v>
      </c>
      <c r="AA477" s="936" t="s">
        <v>123</v>
      </c>
      <c r="AB477" s="936" t="s">
        <v>123</v>
      </c>
      <c r="AC477" s="907" t="s">
        <v>123</v>
      </c>
      <c r="AD477" s="999"/>
      <c r="AE477" s="936"/>
      <c r="AF477" s="936"/>
      <c r="AG477" s="936"/>
      <c r="AH477" s="936"/>
      <c r="AI477" s="999"/>
      <c r="AJ477" s="935"/>
      <c r="AK477" s="966"/>
      <c r="AL477" s="949"/>
      <c r="AM477" s="949" t="s">
        <v>123</v>
      </c>
      <c r="AN477" s="949"/>
      <c r="AO477" s="999"/>
      <c r="AP477" s="936"/>
      <c r="AQ477" s="987"/>
      <c r="AR477" s="907"/>
      <c r="AS477" s="907"/>
      <c r="AT477" s="967" t="s">
        <v>123</v>
      </c>
      <c r="AU477" s="967" t="s">
        <v>123</v>
      </c>
      <c r="AV477" s="967" t="s">
        <v>123</v>
      </c>
      <c r="AW477" s="907" t="s">
        <v>123</v>
      </c>
      <c r="AX477" s="907" t="s">
        <v>123</v>
      </c>
      <c r="AY477" s="907" t="s">
        <v>123</v>
      </c>
      <c r="AZ477" s="936" t="s">
        <v>123</v>
      </c>
      <c r="BA477" s="935" t="s">
        <v>123</v>
      </c>
      <c r="BB477" s="1000"/>
      <c r="BC477" s="1001"/>
      <c r="BD477" s="936"/>
      <c r="BE477" s="907"/>
      <c r="BF477" s="1002" t="str">
        <f>IF($BC477="","",SUMIF(portfolio.!$A$4:$A623,BC477,portfolio.!$AN$4:$AN623))</f>
        <v/>
      </c>
      <c r="BG477" s="936" t="s">
        <v>123</v>
      </c>
      <c r="BH477" s="907" t="s">
        <v>123</v>
      </c>
      <c r="BI477" s="935" t="s">
        <v>123</v>
      </c>
      <c r="BJ477" s="1003"/>
      <c r="BK477" s="907" t="s">
        <v>123</v>
      </c>
      <c r="BL477" s="907" t="s">
        <v>123</v>
      </c>
      <c r="BM477" s="907" t="s">
        <v>123</v>
      </c>
      <c r="BN477" s="1004" t="s">
        <v>123</v>
      </c>
      <c r="BO477" s="907" t="str">
        <f t="shared" si="6"/>
        <v/>
      </c>
      <c r="BP477" s="907" t="str">
        <f t="shared" si="7"/>
        <v/>
      </c>
      <c r="BQ477" s="907" t="str">
        <f t="shared" si="8"/>
        <v/>
      </c>
      <c r="BR477" s="1004" t="str">
        <f t="shared" si="9"/>
        <v/>
      </c>
      <c r="BS477" s="1005" t="str">
        <f t="shared" si="10"/>
        <v/>
      </c>
      <c r="BT477" s="1006" t="s">
        <v>123</v>
      </c>
      <c r="BU477" s="1002" t="s">
        <v>123</v>
      </c>
      <c r="BV477" s="1006" t="s">
        <v>123</v>
      </c>
      <c r="BW477" s="1007"/>
    </row>
    <row r="478">
      <c r="A478" s="624">
        <v>455.0</v>
      </c>
      <c r="B478" s="1008"/>
      <c r="C478" s="989"/>
      <c r="D478" s="851"/>
      <c r="E478" s="990"/>
      <c r="F478" s="991"/>
      <c r="G478" s="991"/>
      <c r="H478" s="992"/>
      <c r="I478" s="993"/>
      <c r="J478" s="993"/>
      <c r="K478" s="993"/>
      <c r="L478" s="993"/>
      <c r="M478" s="993"/>
      <c r="N478" s="993"/>
      <c r="O478" s="993"/>
      <c r="P478" s="993"/>
      <c r="Q478" s="993"/>
      <c r="R478" s="993"/>
      <c r="S478" s="936"/>
      <c r="T478" s="998"/>
      <c r="U478" s="935"/>
      <c r="V478" s="935"/>
      <c r="W478" s="949" t="str">
        <f>IF(AND($S$20,NOT($U$20)),IF($V478:$V623="","",SUMIF(portfolio.!$A$4:$A623,V478,portfolio.!$AN$4:$AN623)),"")</f>
        <v/>
      </c>
      <c r="X478" s="998"/>
      <c r="Y478" s="936"/>
      <c r="Z478" s="936" t="s">
        <v>123</v>
      </c>
      <c r="AA478" s="936" t="s">
        <v>123</v>
      </c>
      <c r="AB478" s="936" t="s">
        <v>123</v>
      </c>
      <c r="AC478" s="907" t="s">
        <v>123</v>
      </c>
      <c r="AD478" s="999"/>
      <c r="AE478" s="936"/>
      <c r="AF478" s="936"/>
      <c r="AG478" s="936"/>
      <c r="AH478" s="936"/>
      <c r="AI478" s="999"/>
      <c r="AJ478" s="935"/>
      <c r="AK478" s="966"/>
      <c r="AL478" s="949"/>
      <c r="AM478" s="949" t="s">
        <v>123</v>
      </c>
      <c r="AN478" s="949"/>
      <c r="AO478" s="999"/>
      <c r="AP478" s="936"/>
      <c r="AQ478" s="987"/>
      <c r="AR478" s="907"/>
      <c r="AS478" s="907"/>
      <c r="AT478" s="967" t="s">
        <v>123</v>
      </c>
      <c r="AU478" s="967" t="s">
        <v>123</v>
      </c>
      <c r="AV478" s="967" t="s">
        <v>123</v>
      </c>
      <c r="AW478" s="907" t="s">
        <v>123</v>
      </c>
      <c r="AX478" s="907" t="s">
        <v>123</v>
      </c>
      <c r="AY478" s="907" t="s">
        <v>123</v>
      </c>
      <c r="AZ478" s="936" t="s">
        <v>123</v>
      </c>
      <c r="BA478" s="935" t="s">
        <v>123</v>
      </c>
      <c r="BB478" s="1000"/>
      <c r="BC478" s="1001"/>
      <c r="BD478" s="936"/>
      <c r="BE478" s="907"/>
      <c r="BF478" s="1002" t="str">
        <f>IF($BC478="","",SUMIF(portfolio.!$A$4:$A623,BC478,portfolio.!$AN$4:$AN623))</f>
        <v/>
      </c>
      <c r="BG478" s="936" t="s">
        <v>123</v>
      </c>
      <c r="BH478" s="907" t="s">
        <v>123</v>
      </c>
      <c r="BI478" s="935" t="s">
        <v>123</v>
      </c>
      <c r="BJ478" s="1003"/>
      <c r="BK478" s="907" t="s">
        <v>123</v>
      </c>
      <c r="BL478" s="907" t="s">
        <v>123</v>
      </c>
      <c r="BM478" s="907" t="s">
        <v>123</v>
      </c>
      <c r="BN478" s="1004" t="s">
        <v>123</v>
      </c>
      <c r="BO478" s="907" t="str">
        <f t="shared" si="6"/>
        <v/>
      </c>
      <c r="BP478" s="907" t="str">
        <f t="shared" si="7"/>
        <v/>
      </c>
      <c r="BQ478" s="907" t="str">
        <f t="shared" si="8"/>
        <v/>
      </c>
      <c r="BR478" s="1004" t="str">
        <f t="shared" si="9"/>
        <v/>
      </c>
      <c r="BS478" s="1005" t="str">
        <f t="shared" si="10"/>
        <v/>
      </c>
      <c r="BT478" s="1006" t="s">
        <v>123</v>
      </c>
      <c r="BU478" s="1002" t="s">
        <v>123</v>
      </c>
      <c r="BV478" s="1006" t="s">
        <v>123</v>
      </c>
      <c r="BW478" s="1007"/>
    </row>
    <row r="479">
      <c r="A479" s="624">
        <v>456.0</v>
      </c>
      <c r="B479" s="1008"/>
      <c r="C479" s="989"/>
      <c r="D479" s="851"/>
      <c r="E479" s="990"/>
      <c r="F479" s="991"/>
      <c r="G479" s="991"/>
      <c r="H479" s="992"/>
      <c r="I479" s="993"/>
      <c r="J479" s="993"/>
      <c r="K479" s="993"/>
      <c r="L479" s="993"/>
      <c r="M479" s="993"/>
      <c r="N479" s="993"/>
      <c r="O479" s="993"/>
      <c r="P479" s="993"/>
      <c r="Q479" s="993"/>
      <c r="R479" s="993"/>
      <c r="S479" s="936"/>
      <c r="T479" s="998"/>
      <c r="U479" s="935"/>
      <c r="V479" s="935"/>
      <c r="W479" s="949" t="str">
        <f>IF(AND($S$20,NOT($U$20)),IF($V479:$V623="","",SUMIF(portfolio.!$A$4:$A623,V479,portfolio.!$AN$4:$AN623)),"")</f>
        <v/>
      </c>
      <c r="X479" s="998"/>
      <c r="Y479" s="936"/>
      <c r="Z479" s="936" t="s">
        <v>123</v>
      </c>
      <c r="AA479" s="936" t="s">
        <v>123</v>
      </c>
      <c r="AB479" s="936" t="s">
        <v>123</v>
      </c>
      <c r="AC479" s="907" t="s">
        <v>123</v>
      </c>
      <c r="AD479" s="999"/>
      <c r="AE479" s="936"/>
      <c r="AF479" s="936"/>
      <c r="AG479" s="936"/>
      <c r="AH479" s="936"/>
      <c r="AI479" s="999"/>
      <c r="AJ479" s="935"/>
      <c r="AK479" s="966"/>
      <c r="AL479" s="949"/>
      <c r="AM479" s="949" t="s">
        <v>123</v>
      </c>
      <c r="AN479" s="949"/>
      <c r="AO479" s="999"/>
      <c r="AP479" s="936"/>
      <c r="AQ479" s="987"/>
      <c r="AR479" s="907"/>
      <c r="AS479" s="907"/>
      <c r="AT479" s="967" t="s">
        <v>123</v>
      </c>
      <c r="AU479" s="967" t="s">
        <v>123</v>
      </c>
      <c r="AV479" s="967" t="s">
        <v>123</v>
      </c>
      <c r="AW479" s="907" t="s">
        <v>123</v>
      </c>
      <c r="AX479" s="907" t="s">
        <v>123</v>
      </c>
      <c r="AY479" s="907" t="s">
        <v>123</v>
      </c>
      <c r="AZ479" s="936" t="s">
        <v>123</v>
      </c>
      <c r="BA479" s="935" t="s">
        <v>123</v>
      </c>
      <c r="BB479" s="1000"/>
      <c r="BC479" s="1001"/>
      <c r="BD479" s="936"/>
      <c r="BE479" s="907"/>
      <c r="BF479" s="1002" t="str">
        <f>IF($BC479="","",SUMIF(portfolio.!$A$4:$A623,BC479,portfolio.!$AN$4:$AN623))</f>
        <v/>
      </c>
      <c r="BG479" s="936" t="s">
        <v>123</v>
      </c>
      <c r="BH479" s="907" t="s">
        <v>123</v>
      </c>
      <c r="BI479" s="935" t="s">
        <v>123</v>
      </c>
      <c r="BJ479" s="1003"/>
      <c r="BK479" s="907" t="s">
        <v>123</v>
      </c>
      <c r="BL479" s="907" t="s">
        <v>123</v>
      </c>
      <c r="BM479" s="907" t="s">
        <v>123</v>
      </c>
      <c r="BN479" s="1004" t="s">
        <v>123</v>
      </c>
      <c r="BO479" s="907" t="str">
        <f t="shared" si="6"/>
        <v/>
      </c>
      <c r="BP479" s="907" t="str">
        <f t="shared" si="7"/>
        <v/>
      </c>
      <c r="BQ479" s="907" t="str">
        <f t="shared" si="8"/>
        <v/>
      </c>
      <c r="BR479" s="1004" t="str">
        <f t="shared" si="9"/>
        <v/>
      </c>
      <c r="BS479" s="1005" t="str">
        <f t="shared" si="10"/>
        <v/>
      </c>
      <c r="BT479" s="1006" t="s">
        <v>123</v>
      </c>
      <c r="BU479" s="1002" t="s">
        <v>123</v>
      </c>
      <c r="BV479" s="1006" t="s">
        <v>123</v>
      </c>
      <c r="BW479" s="1007"/>
    </row>
    <row r="480">
      <c r="A480" s="624">
        <v>457.0</v>
      </c>
      <c r="B480" s="1008"/>
      <c r="C480" s="989"/>
      <c r="D480" s="851"/>
      <c r="E480" s="990"/>
      <c r="F480" s="991"/>
      <c r="G480" s="991"/>
      <c r="H480" s="992"/>
      <c r="I480" s="993"/>
      <c r="J480" s="993"/>
      <c r="K480" s="993"/>
      <c r="L480" s="993"/>
      <c r="M480" s="993"/>
      <c r="N480" s="993"/>
      <c r="O480" s="993"/>
      <c r="P480" s="993"/>
      <c r="Q480" s="993"/>
      <c r="R480" s="993"/>
      <c r="S480" s="936"/>
      <c r="T480" s="998"/>
      <c r="U480" s="935"/>
      <c r="V480" s="935"/>
      <c r="W480" s="949" t="str">
        <f>IF(AND($S$20,NOT($U$20)),IF($V480:$V623="","",SUMIF(portfolio.!$A$4:$A623,V480,portfolio.!$AN$4:$AN623)),"")</f>
        <v/>
      </c>
      <c r="X480" s="998"/>
      <c r="Y480" s="936"/>
      <c r="Z480" s="936" t="s">
        <v>123</v>
      </c>
      <c r="AA480" s="936" t="s">
        <v>123</v>
      </c>
      <c r="AB480" s="936" t="s">
        <v>123</v>
      </c>
      <c r="AC480" s="907" t="s">
        <v>123</v>
      </c>
      <c r="AD480" s="999"/>
      <c r="AE480" s="936"/>
      <c r="AF480" s="936"/>
      <c r="AG480" s="936"/>
      <c r="AH480" s="936"/>
      <c r="AI480" s="999"/>
      <c r="AJ480" s="935"/>
      <c r="AK480" s="966"/>
      <c r="AL480" s="949"/>
      <c r="AM480" s="949" t="s">
        <v>123</v>
      </c>
      <c r="AN480" s="949"/>
      <c r="AO480" s="999"/>
      <c r="AP480" s="936"/>
      <c r="AQ480" s="987"/>
      <c r="AR480" s="907"/>
      <c r="AS480" s="907"/>
      <c r="AT480" s="967" t="s">
        <v>123</v>
      </c>
      <c r="AU480" s="967" t="s">
        <v>123</v>
      </c>
      <c r="AV480" s="967" t="s">
        <v>123</v>
      </c>
      <c r="AW480" s="907" t="s">
        <v>123</v>
      </c>
      <c r="AX480" s="907" t="s">
        <v>123</v>
      </c>
      <c r="AY480" s="907" t="s">
        <v>123</v>
      </c>
      <c r="AZ480" s="936" t="s">
        <v>123</v>
      </c>
      <c r="BA480" s="935" t="s">
        <v>123</v>
      </c>
      <c r="BB480" s="1000"/>
      <c r="BC480" s="1001"/>
      <c r="BD480" s="936"/>
      <c r="BE480" s="907"/>
      <c r="BF480" s="1002" t="str">
        <f>IF($BC480="","",SUMIF(portfolio.!$A$4:$A623,BC480,portfolio.!$AN$4:$AN623))</f>
        <v/>
      </c>
      <c r="BG480" s="936" t="s">
        <v>123</v>
      </c>
      <c r="BH480" s="907" t="s">
        <v>123</v>
      </c>
      <c r="BI480" s="935" t="s">
        <v>123</v>
      </c>
      <c r="BJ480" s="1003"/>
      <c r="BK480" s="907" t="s">
        <v>123</v>
      </c>
      <c r="BL480" s="907" t="s">
        <v>123</v>
      </c>
      <c r="BM480" s="907" t="s">
        <v>123</v>
      </c>
      <c r="BN480" s="1004" t="s">
        <v>123</v>
      </c>
      <c r="BO480" s="907" t="str">
        <f t="shared" si="6"/>
        <v/>
      </c>
      <c r="BP480" s="907" t="str">
        <f t="shared" si="7"/>
        <v/>
      </c>
      <c r="BQ480" s="907" t="str">
        <f t="shared" si="8"/>
        <v/>
      </c>
      <c r="BR480" s="1004" t="str">
        <f t="shared" si="9"/>
        <v/>
      </c>
      <c r="BS480" s="1005" t="str">
        <f t="shared" si="10"/>
        <v/>
      </c>
      <c r="BT480" s="1006" t="s">
        <v>123</v>
      </c>
      <c r="BU480" s="1002" t="s">
        <v>123</v>
      </c>
      <c r="BV480" s="1006" t="s">
        <v>123</v>
      </c>
      <c r="BW480" s="1007"/>
    </row>
    <row r="481">
      <c r="A481" s="624">
        <v>458.0</v>
      </c>
      <c r="B481" s="1008"/>
      <c r="C481" s="989"/>
      <c r="D481" s="851"/>
      <c r="E481" s="990"/>
      <c r="F481" s="991"/>
      <c r="G481" s="991"/>
      <c r="H481" s="992"/>
      <c r="I481" s="993"/>
      <c r="J481" s="993"/>
      <c r="K481" s="993"/>
      <c r="L481" s="993"/>
      <c r="M481" s="993"/>
      <c r="N481" s="993"/>
      <c r="O481" s="993"/>
      <c r="P481" s="993"/>
      <c r="Q481" s="993"/>
      <c r="R481" s="993"/>
      <c r="S481" s="936"/>
      <c r="T481" s="998"/>
      <c r="U481" s="935"/>
      <c r="V481" s="935"/>
      <c r="W481" s="949" t="str">
        <f>IF(AND($S$20,NOT($U$20)),IF($V481:$V623="","",SUMIF(portfolio.!$A$4:$A623,V481,portfolio.!$AN$4:$AN623)),"")</f>
        <v/>
      </c>
      <c r="X481" s="998"/>
      <c r="Y481" s="936"/>
      <c r="Z481" s="936" t="s">
        <v>123</v>
      </c>
      <c r="AA481" s="936" t="s">
        <v>123</v>
      </c>
      <c r="AB481" s="936" t="s">
        <v>123</v>
      </c>
      <c r="AC481" s="907" t="s">
        <v>123</v>
      </c>
      <c r="AD481" s="999"/>
      <c r="AE481" s="936"/>
      <c r="AF481" s="936"/>
      <c r="AG481" s="936"/>
      <c r="AH481" s="936"/>
      <c r="AI481" s="999"/>
      <c r="AJ481" s="935"/>
      <c r="AK481" s="966"/>
      <c r="AL481" s="949"/>
      <c r="AM481" s="949" t="s">
        <v>123</v>
      </c>
      <c r="AN481" s="949"/>
      <c r="AO481" s="999"/>
      <c r="AP481" s="936"/>
      <c r="AQ481" s="987"/>
      <c r="AR481" s="907"/>
      <c r="AS481" s="907"/>
      <c r="AT481" s="967" t="s">
        <v>123</v>
      </c>
      <c r="AU481" s="967" t="s">
        <v>123</v>
      </c>
      <c r="AV481" s="967" t="s">
        <v>123</v>
      </c>
      <c r="AW481" s="907" t="s">
        <v>123</v>
      </c>
      <c r="AX481" s="907" t="s">
        <v>123</v>
      </c>
      <c r="AY481" s="907" t="s">
        <v>123</v>
      </c>
      <c r="AZ481" s="936" t="s">
        <v>123</v>
      </c>
      <c r="BA481" s="935" t="s">
        <v>123</v>
      </c>
      <c r="BB481" s="1000"/>
      <c r="BC481" s="1001"/>
      <c r="BD481" s="936"/>
      <c r="BE481" s="907"/>
      <c r="BF481" s="1002" t="str">
        <f>IF($BC481="","",SUMIF(portfolio.!$A$4:$A623,BC481,portfolio.!$AN$4:$AN623))</f>
        <v/>
      </c>
      <c r="BG481" s="936" t="s">
        <v>123</v>
      </c>
      <c r="BH481" s="907" t="s">
        <v>123</v>
      </c>
      <c r="BI481" s="935" t="s">
        <v>123</v>
      </c>
      <c r="BJ481" s="1003"/>
      <c r="BK481" s="907" t="s">
        <v>123</v>
      </c>
      <c r="BL481" s="907" t="s">
        <v>123</v>
      </c>
      <c r="BM481" s="907" t="s">
        <v>123</v>
      </c>
      <c r="BN481" s="1004" t="s">
        <v>123</v>
      </c>
      <c r="BO481" s="907" t="str">
        <f t="shared" si="6"/>
        <v/>
      </c>
      <c r="BP481" s="907" t="str">
        <f t="shared" si="7"/>
        <v/>
      </c>
      <c r="BQ481" s="907" t="str">
        <f t="shared" si="8"/>
        <v/>
      </c>
      <c r="BR481" s="1004" t="str">
        <f t="shared" si="9"/>
        <v/>
      </c>
      <c r="BS481" s="1005" t="str">
        <f t="shared" si="10"/>
        <v/>
      </c>
      <c r="BT481" s="1006" t="s">
        <v>123</v>
      </c>
      <c r="BU481" s="1002" t="s">
        <v>123</v>
      </c>
      <c r="BV481" s="1006" t="s">
        <v>123</v>
      </c>
      <c r="BW481" s="1007"/>
    </row>
    <row r="482">
      <c r="A482" s="624">
        <v>459.0</v>
      </c>
      <c r="B482" s="1008"/>
      <c r="C482" s="989"/>
      <c r="D482" s="851"/>
      <c r="E482" s="990"/>
      <c r="F482" s="991"/>
      <c r="G482" s="991"/>
      <c r="H482" s="992"/>
      <c r="I482" s="993"/>
      <c r="J482" s="993"/>
      <c r="K482" s="993"/>
      <c r="L482" s="993"/>
      <c r="M482" s="993"/>
      <c r="N482" s="993"/>
      <c r="O482" s="993"/>
      <c r="P482" s="993"/>
      <c r="Q482" s="993"/>
      <c r="R482" s="993"/>
      <c r="S482" s="936"/>
      <c r="T482" s="998"/>
      <c r="U482" s="935"/>
      <c r="V482" s="935"/>
      <c r="W482" s="949" t="str">
        <f>IF(AND($S$20,NOT($U$20)),IF($V482:$V623="","",SUMIF(portfolio.!$A$4:$A623,V482,portfolio.!$AN$4:$AN623)),"")</f>
        <v/>
      </c>
      <c r="X482" s="998"/>
      <c r="Y482" s="936"/>
      <c r="Z482" s="936" t="s">
        <v>123</v>
      </c>
      <c r="AA482" s="936" t="s">
        <v>123</v>
      </c>
      <c r="AB482" s="936" t="s">
        <v>123</v>
      </c>
      <c r="AC482" s="907" t="s">
        <v>123</v>
      </c>
      <c r="AD482" s="999"/>
      <c r="AE482" s="936"/>
      <c r="AF482" s="936"/>
      <c r="AG482" s="936"/>
      <c r="AH482" s="936"/>
      <c r="AI482" s="999"/>
      <c r="AJ482" s="935"/>
      <c r="AK482" s="966"/>
      <c r="AL482" s="949"/>
      <c r="AM482" s="949" t="s">
        <v>123</v>
      </c>
      <c r="AN482" s="949"/>
      <c r="AO482" s="999"/>
      <c r="AP482" s="936"/>
      <c r="AQ482" s="987"/>
      <c r="AR482" s="907"/>
      <c r="AS482" s="907"/>
      <c r="AT482" s="967" t="s">
        <v>123</v>
      </c>
      <c r="AU482" s="967" t="s">
        <v>123</v>
      </c>
      <c r="AV482" s="967" t="s">
        <v>123</v>
      </c>
      <c r="AW482" s="907" t="s">
        <v>123</v>
      </c>
      <c r="AX482" s="907" t="s">
        <v>123</v>
      </c>
      <c r="AY482" s="907" t="s">
        <v>123</v>
      </c>
      <c r="AZ482" s="936" t="s">
        <v>123</v>
      </c>
      <c r="BA482" s="935" t="s">
        <v>123</v>
      </c>
      <c r="BB482" s="1000"/>
      <c r="BC482" s="1001"/>
      <c r="BD482" s="936"/>
      <c r="BE482" s="907"/>
      <c r="BF482" s="1002" t="str">
        <f>IF($BC482="","",SUMIF(portfolio.!$A$4:$A623,BC482,portfolio.!$AN$4:$AN623))</f>
        <v/>
      </c>
      <c r="BG482" s="936" t="s">
        <v>123</v>
      </c>
      <c r="BH482" s="907" t="s">
        <v>123</v>
      </c>
      <c r="BI482" s="935" t="s">
        <v>123</v>
      </c>
      <c r="BJ482" s="1003"/>
      <c r="BK482" s="907" t="s">
        <v>123</v>
      </c>
      <c r="BL482" s="907" t="s">
        <v>123</v>
      </c>
      <c r="BM482" s="907" t="s">
        <v>123</v>
      </c>
      <c r="BN482" s="1004" t="s">
        <v>123</v>
      </c>
      <c r="BO482" s="907" t="str">
        <f t="shared" si="6"/>
        <v/>
      </c>
      <c r="BP482" s="907" t="str">
        <f t="shared" si="7"/>
        <v/>
      </c>
      <c r="BQ482" s="907" t="str">
        <f t="shared" si="8"/>
        <v/>
      </c>
      <c r="BR482" s="1004" t="str">
        <f t="shared" si="9"/>
        <v/>
      </c>
      <c r="BS482" s="1005" t="str">
        <f t="shared" si="10"/>
        <v/>
      </c>
      <c r="BT482" s="1006" t="s">
        <v>123</v>
      </c>
      <c r="BU482" s="1002" t="s">
        <v>123</v>
      </c>
      <c r="BV482" s="1006" t="s">
        <v>123</v>
      </c>
      <c r="BW482" s="1007"/>
    </row>
    <row r="483">
      <c r="A483" s="624">
        <v>460.0</v>
      </c>
      <c r="B483" s="1008"/>
      <c r="C483" s="989"/>
      <c r="D483" s="851"/>
      <c r="E483" s="990"/>
      <c r="F483" s="991"/>
      <c r="G483" s="991"/>
      <c r="H483" s="992"/>
      <c r="I483" s="993"/>
      <c r="J483" s="993"/>
      <c r="K483" s="993"/>
      <c r="L483" s="993"/>
      <c r="M483" s="993"/>
      <c r="N483" s="993"/>
      <c r="O483" s="993"/>
      <c r="P483" s="993"/>
      <c r="Q483" s="993"/>
      <c r="R483" s="993"/>
      <c r="S483" s="936"/>
      <c r="T483" s="998"/>
      <c r="U483" s="935"/>
      <c r="V483" s="935"/>
      <c r="W483" s="949" t="str">
        <f>IF(AND($S$20,NOT($U$20)),IF($V483:$V623="","",SUMIF(portfolio.!$A$4:$A623,V483,portfolio.!$AN$4:$AN623)),"")</f>
        <v/>
      </c>
      <c r="X483" s="998"/>
      <c r="Y483" s="936"/>
      <c r="Z483" s="936" t="s">
        <v>123</v>
      </c>
      <c r="AA483" s="936" t="s">
        <v>123</v>
      </c>
      <c r="AB483" s="936" t="s">
        <v>123</v>
      </c>
      <c r="AC483" s="907" t="s">
        <v>123</v>
      </c>
      <c r="AD483" s="999"/>
      <c r="AE483" s="936"/>
      <c r="AF483" s="936"/>
      <c r="AG483" s="936"/>
      <c r="AH483" s="936"/>
      <c r="AI483" s="999"/>
      <c r="AJ483" s="935"/>
      <c r="AK483" s="966"/>
      <c r="AL483" s="949"/>
      <c r="AM483" s="949" t="s">
        <v>123</v>
      </c>
      <c r="AN483" s="949"/>
      <c r="AO483" s="999"/>
      <c r="AP483" s="936"/>
      <c r="AQ483" s="987"/>
      <c r="AR483" s="907"/>
      <c r="AS483" s="907"/>
      <c r="AT483" s="967" t="s">
        <v>123</v>
      </c>
      <c r="AU483" s="967" t="s">
        <v>123</v>
      </c>
      <c r="AV483" s="967" t="s">
        <v>123</v>
      </c>
      <c r="AW483" s="907" t="s">
        <v>123</v>
      </c>
      <c r="AX483" s="907" t="s">
        <v>123</v>
      </c>
      <c r="AY483" s="907" t="s">
        <v>123</v>
      </c>
      <c r="AZ483" s="936" t="s">
        <v>123</v>
      </c>
      <c r="BA483" s="935" t="s">
        <v>123</v>
      </c>
      <c r="BB483" s="1000"/>
      <c r="BC483" s="1001"/>
      <c r="BD483" s="936"/>
      <c r="BE483" s="907"/>
      <c r="BF483" s="1002" t="str">
        <f>IF($BC483="","",SUMIF(portfolio.!$A$4:$A623,BC483,portfolio.!$AN$4:$AN623))</f>
        <v/>
      </c>
      <c r="BG483" s="936" t="s">
        <v>123</v>
      </c>
      <c r="BH483" s="907" t="s">
        <v>123</v>
      </c>
      <c r="BI483" s="935" t="s">
        <v>123</v>
      </c>
      <c r="BJ483" s="1003"/>
      <c r="BK483" s="907" t="s">
        <v>123</v>
      </c>
      <c r="BL483" s="907" t="s">
        <v>123</v>
      </c>
      <c r="BM483" s="907" t="s">
        <v>123</v>
      </c>
      <c r="BN483" s="1004" t="s">
        <v>123</v>
      </c>
      <c r="BO483" s="907" t="str">
        <f t="shared" si="6"/>
        <v/>
      </c>
      <c r="BP483" s="907" t="str">
        <f t="shared" si="7"/>
        <v/>
      </c>
      <c r="BQ483" s="907" t="str">
        <f t="shared" si="8"/>
        <v/>
      </c>
      <c r="BR483" s="1004" t="str">
        <f t="shared" si="9"/>
        <v/>
      </c>
      <c r="BS483" s="1005" t="str">
        <f t="shared" si="10"/>
        <v/>
      </c>
      <c r="BT483" s="1006" t="s">
        <v>123</v>
      </c>
      <c r="BU483" s="1002" t="s">
        <v>123</v>
      </c>
      <c r="BV483" s="1006" t="s">
        <v>123</v>
      </c>
      <c r="BW483" s="1007"/>
    </row>
    <row r="484">
      <c r="A484" s="624">
        <v>461.0</v>
      </c>
      <c r="B484" s="1008"/>
      <c r="C484" s="989"/>
      <c r="D484" s="851"/>
      <c r="E484" s="990"/>
      <c r="F484" s="991"/>
      <c r="G484" s="991"/>
      <c r="H484" s="992"/>
      <c r="I484" s="993"/>
      <c r="J484" s="993"/>
      <c r="K484" s="993"/>
      <c r="L484" s="993"/>
      <c r="M484" s="993"/>
      <c r="N484" s="993"/>
      <c r="O484" s="993"/>
      <c r="P484" s="993"/>
      <c r="Q484" s="993"/>
      <c r="R484" s="993"/>
      <c r="S484" s="936"/>
      <c r="T484" s="998"/>
      <c r="U484" s="935"/>
      <c r="V484" s="935"/>
      <c r="W484" s="949" t="str">
        <f>IF(AND($S$20,NOT($U$20)),IF($V484:$V623="","",SUMIF(portfolio.!$A$4:$A623,V484,portfolio.!$AN$4:$AN623)),"")</f>
        <v/>
      </c>
      <c r="X484" s="998"/>
      <c r="Y484" s="936"/>
      <c r="Z484" s="936" t="s">
        <v>123</v>
      </c>
      <c r="AA484" s="936" t="s">
        <v>123</v>
      </c>
      <c r="AB484" s="936" t="s">
        <v>123</v>
      </c>
      <c r="AC484" s="907" t="s">
        <v>123</v>
      </c>
      <c r="AD484" s="999"/>
      <c r="AE484" s="936"/>
      <c r="AF484" s="936"/>
      <c r="AG484" s="936"/>
      <c r="AH484" s="936"/>
      <c r="AI484" s="999"/>
      <c r="AJ484" s="935"/>
      <c r="AK484" s="966"/>
      <c r="AL484" s="949"/>
      <c r="AM484" s="949" t="s">
        <v>123</v>
      </c>
      <c r="AN484" s="949"/>
      <c r="AO484" s="999"/>
      <c r="AP484" s="936"/>
      <c r="AQ484" s="987"/>
      <c r="AR484" s="907"/>
      <c r="AS484" s="907"/>
      <c r="AT484" s="967" t="s">
        <v>123</v>
      </c>
      <c r="AU484" s="967" t="s">
        <v>123</v>
      </c>
      <c r="AV484" s="967" t="s">
        <v>123</v>
      </c>
      <c r="AW484" s="907" t="s">
        <v>123</v>
      </c>
      <c r="AX484" s="907" t="s">
        <v>123</v>
      </c>
      <c r="AY484" s="907" t="s">
        <v>123</v>
      </c>
      <c r="AZ484" s="936" t="s">
        <v>123</v>
      </c>
      <c r="BA484" s="935" t="s">
        <v>123</v>
      </c>
      <c r="BB484" s="1000"/>
      <c r="BC484" s="1001"/>
      <c r="BD484" s="936"/>
      <c r="BE484" s="907"/>
      <c r="BF484" s="1002" t="str">
        <f>IF($BC484="","",SUMIF(portfolio.!$A$4:$A623,BC484,portfolio.!$AN$4:$AN623))</f>
        <v/>
      </c>
      <c r="BG484" s="936" t="s">
        <v>123</v>
      </c>
      <c r="BH484" s="907" t="s">
        <v>123</v>
      </c>
      <c r="BI484" s="935" t="s">
        <v>123</v>
      </c>
      <c r="BJ484" s="1003"/>
      <c r="BK484" s="907" t="s">
        <v>123</v>
      </c>
      <c r="BL484" s="907" t="s">
        <v>123</v>
      </c>
      <c r="BM484" s="907" t="s">
        <v>123</v>
      </c>
      <c r="BN484" s="1004" t="s">
        <v>123</v>
      </c>
      <c r="BO484" s="907" t="str">
        <f t="shared" si="6"/>
        <v/>
      </c>
      <c r="BP484" s="907" t="str">
        <f t="shared" si="7"/>
        <v/>
      </c>
      <c r="BQ484" s="907" t="str">
        <f t="shared" si="8"/>
        <v/>
      </c>
      <c r="BR484" s="1004" t="str">
        <f t="shared" si="9"/>
        <v/>
      </c>
      <c r="BS484" s="1005" t="str">
        <f t="shared" si="10"/>
        <v/>
      </c>
      <c r="BT484" s="1006" t="s">
        <v>123</v>
      </c>
      <c r="BU484" s="1002" t="s">
        <v>123</v>
      </c>
      <c r="BV484" s="1006" t="s">
        <v>123</v>
      </c>
      <c r="BW484" s="1007"/>
    </row>
    <row r="485">
      <c r="A485" s="624">
        <v>462.0</v>
      </c>
      <c r="B485" s="1008"/>
      <c r="C485" s="989"/>
      <c r="D485" s="851"/>
      <c r="E485" s="990"/>
      <c r="F485" s="991"/>
      <c r="G485" s="991"/>
      <c r="H485" s="992"/>
      <c r="I485" s="993"/>
      <c r="J485" s="993"/>
      <c r="K485" s="993"/>
      <c r="L485" s="993"/>
      <c r="M485" s="993"/>
      <c r="N485" s="993"/>
      <c r="O485" s="993"/>
      <c r="P485" s="993"/>
      <c r="Q485" s="993"/>
      <c r="R485" s="993"/>
      <c r="S485" s="936"/>
      <c r="T485" s="998"/>
      <c r="U485" s="935"/>
      <c r="V485" s="935"/>
      <c r="W485" s="949" t="str">
        <f>IF(AND($S$20,NOT($U$20)),IF($V485:$V623="","",SUMIF(portfolio.!$A$4:$A623,V485,portfolio.!$AN$4:$AN623)),"")</f>
        <v/>
      </c>
      <c r="X485" s="998"/>
      <c r="Y485" s="936"/>
      <c r="Z485" s="936" t="s">
        <v>123</v>
      </c>
      <c r="AA485" s="936" t="s">
        <v>123</v>
      </c>
      <c r="AB485" s="936" t="s">
        <v>123</v>
      </c>
      <c r="AC485" s="907" t="s">
        <v>123</v>
      </c>
      <c r="AD485" s="999"/>
      <c r="AE485" s="936"/>
      <c r="AF485" s="936"/>
      <c r="AG485" s="936"/>
      <c r="AH485" s="936"/>
      <c r="AI485" s="999"/>
      <c r="AJ485" s="935"/>
      <c r="AK485" s="966"/>
      <c r="AL485" s="949"/>
      <c r="AM485" s="949" t="s">
        <v>123</v>
      </c>
      <c r="AN485" s="949"/>
      <c r="AO485" s="999"/>
      <c r="AP485" s="936"/>
      <c r="AQ485" s="987"/>
      <c r="AR485" s="907"/>
      <c r="AS485" s="907"/>
      <c r="AT485" s="967" t="s">
        <v>123</v>
      </c>
      <c r="AU485" s="967" t="s">
        <v>123</v>
      </c>
      <c r="AV485" s="967" t="s">
        <v>123</v>
      </c>
      <c r="AW485" s="907" t="s">
        <v>123</v>
      </c>
      <c r="AX485" s="907" t="s">
        <v>123</v>
      </c>
      <c r="AY485" s="907" t="s">
        <v>123</v>
      </c>
      <c r="AZ485" s="936" t="s">
        <v>123</v>
      </c>
      <c r="BA485" s="935" t="s">
        <v>123</v>
      </c>
      <c r="BB485" s="1000"/>
      <c r="BC485" s="1001"/>
      <c r="BD485" s="936"/>
      <c r="BE485" s="907"/>
      <c r="BF485" s="1002" t="str">
        <f>IF($BC485="","",SUMIF(portfolio.!$A$4:$A623,BC485,portfolio.!$AN$4:$AN623))</f>
        <v/>
      </c>
      <c r="BG485" s="936" t="s">
        <v>123</v>
      </c>
      <c r="BH485" s="907" t="s">
        <v>123</v>
      </c>
      <c r="BI485" s="935" t="s">
        <v>123</v>
      </c>
      <c r="BJ485" s="1003"/>
      <c r="BK485" s="907" t="s">
        <v>123</v>
      </c>
      <c r="BL485" s="907" t="s">
        <v>123</v>
      </c>
      <c r="BM485" s="907" t="s">
        <v>123</v>
      </c>
      <c r="BN485" s="1004" t="s">
        <v>123</v>
      </c>
      <c r="BO485" s="907" t="str">
        <f t="shared" si="6"/>
        <v/>
      </c>
      <c r="BP485" s="907" t="str">
        <f t="shared" si="7"/>
        <v/>
      </c>
      <c r="BQ485" s="907" t="str">
        <f t="shared" si="8"/>
        <v/>
      </c>
      <c r="BR485" s="1004" t="str">
        <f t="shared" si="9"/>
        <v/>
      </c>
      <c r="BS485" s="1005" t="str">
        <f t="shared" si="10"/>
        <v/>
      </c>
      <c r="BT485" s="1006" t="s">
        <v>123</v>
      </c>
      <c r="BU485" s="1002" t="s">
        <v>123</v>
      </c>
      <c r="BV485" s="1006" t="s">
        <v>123</v>
      </c>
      <c r="BW485" s="1007"/>
    </row>
    <row r="486">
      <c r="A486" s="624">
        <v>463.0</v>
      </c>
      <c r="B486" s="1008"/>
      <c r="C486" s="989"/>
      <c r="D486" s="851"/>
      <c r="E486" s="990"/>
      <c r="F486" s="991"/>
      <c r="G486" s="991"/>
      <c r="H486" s="992"/>
      <c r="I486" s="993"/>
      <c r="J486" s="993"/>
      <c r="K486" s="993"/>
      <c r="L486" s="993"/>
      <c r="M486" s="993"/>
      <c r="N486" s="993"/>
      <c r="O486" s="993"/>
      <c r="P486" s="993"/>
      <c r="Q486" s="993"/>
      <c r="R486" s="993"/>
      <c r="S486" s="936"/>
      <c r="T486" s="998"/>
      <c r="U486" s="935"/>
      <c r="V486" s="935"/>
      <c r="W486" s="949" t="str">
        <f>IF(AND($S$20,NOT($U$20)),IF($V486:$V623="","",SUMIF(portfolio.!$A$4:$A623,V486,portfolio.!$AN$4:$AN623)),"")</f>
        <v/>
      </c>
      <c r="X486" s="998"/>
      <c r="Y486" s="936"/>
      <c r="Z486" s="936" t="s">
        <v>123</v>
      </c>
      <c r="AA486" s="936" t="s">
        <v>123</v>
      </c>
      <c r="AB486" s="936" t="s">
        <v>123</v>
      </c>
      <c r="AC486" s="907" t="s">
        <v>123</v>
      </c>
      <c r="AD486" s="999"/>
      <c r="AE486" s="936"/>
      <c r="AF486" s="936"/>
      <c r="AG486" s="936"/>
      <c r="AH486" s="936"/>
      <c r="AI486" s="999"/>
      <c r="AJ486" s="935"/>
      <c r="AK486" s="966"/>
      <c r="AL486" s="949"/>
      <c r="AM486" s="949" t="s">
        <v>123</v>
      </c>
      <c r="AN486" s="949"/>
      <c r="AO486" s="999"/>
      <c r="AP486" s="936"/>
      <c r="AQ486" s="987"/>
      <c r="AR486" s="907"/>
      <c r="AS486" s="907"/>
      <c r="AT486" s="967" t="s">
        <v>123</v>
      </c>
      <c r="AU486" s="967" t="s">
        <v>123</v>
      </c>
      <c r="AV486" s="967" t="s">
        <v>123</v>
      </c>
      <c r="AW486" s="907" t="s">
        <v>123</v>
      </c>
      <c r="AX486" s="907" t="s">
        <v>123</v>
      </c>
      <c r="AY486" s="907" t="s">
        <v>123</v>
      </c>
      <c r="AZ486" s="936" t="s">
        <v>123</v>
      </c>
      <c r="BA486" s="935" t="s">
        <v>123</v>
      </c>
      <c r="BB486" s="1000"/>
      <c r="BC486" s="1001"/>
      <c r="BD486" s="936"/>
      <c r="BE486" s="907"/>
      <c r="BF486" s="1002" t="str">
        <f>IF($BC486="","",SUMIF(portfolio.!$A$4:$A623,BC486,portfolio.!$AN$4:$AN623))</f>
        <v/>
      </c>
      <c r="BG486" s="936" t="s">
        <v>123</v>
      </c>
      <c r="BH486" s="907" t="s">
        <v>123</v>
      </c>
      <c r="BI486" s="935" t="s">
        <v>123</v>
      </c>
      <c r="BJ486" s="1003"/>
      <c r="BK486" s="907" t="s">
        <v>123</v>
      </c>
      <c r="BL486" s="907" t="s">
        <v>123</v>
      </c>
      <c r="BM486" s="907" t="s">
        <v>123</v>
      </c>
      <c r="BN486" s="1004" t="s">
        <v>123</v>
      </c>
      <c r="BO486" s="907" t="str">
        <f t="shared" si="6"/>
        <v/>
      </c>
      <c r="BP486" s="907" t="str">
        <f t="shared" si="7"/>
        <v/>
      </c>
      <c r="BQ486" s="907" t="str">
        <f t="shared" si="8"/>
        <v/>
      </c>
      <c r="BR486" s="1004" t="str">
        <f t="shared" si="9"/>
        <v/>
      </c>
      <c r="BS486" s="1005" t="str">
        <f t="shared" si="10"/>
        <v/>
      </c>
      <c r="BT486" s="1006" t="s">
        <v>123</v>
      </c>
      <c r="BU486" s="1002" t="s">
        <v>123</v>
      </c>
      <c r="BV486" s="1006" t="s">
        <v>123</v>
      </c>
      <c r="BW486" s="1007"/>
    </row>
    <row r="487">
      <c r="A487" s="624">
        <v>464.0</v>
      </c>
      <c r="B487" s="1008"/>
      <c r="C487" s="989"/>
      <c r="D487" s="851"/>
      <c r="E487" s="990"/>
      <c r="F487" s="991"/>
      <c r="G487" s="991"/>
      <c r="H487" s="992"/>
      <c r="I487" s="993"/>
      <c r="J487" s="993"/>
      <c r="K487" s="993"/>
      <c r="L487" s="993"/>
      <c r="M487" s="993"/>
      <c r="N487" s="993"/>
      <c r="O487" s="993"/>
      <c r="P487" s="993"/>
      <c r="Q487" s="993"/>
      <c r="R487" s="993"/>
      <c r="S487" s="936"/>
      <c r="T487" s="998"/>
      <c r="U487" s="935"/>
      <c r="V487" s="935"/>
      <c r="W487" s="949" t="str">
        <f>IF(AND($S$20,NOT($U$20)),IF($V487:$V623="","",SUMIF(portfolio.!$A$4:$A623,V487,portfolio.!$AN$4:$AN623)),"")</f>
        <v/>
      </c>
      <c r="X487" s="998"/>
      <c r="Y487" s="936"/>
      <c r="Z487" s="936" t="s">
        <v>123</v>
      </c>
      <c r="AA487" s="936" t="s">
        <v>123</v>
      </c>
      <c r="AB487" s="936" t="s">
        <v>123</v>
      </c>
      <c r="AC487" s="907" t="s">
        <v>123</v>
      </c>
      <c r="AD487" s="999"/>
      <c r="AE487" s="936"/>
      <c r="AF487" s="936"/>
      <c r="AG487" s="936"/>
      <c r="AH487" s="936"/>
      <c r="AI487" s="999"/>
      <c r="AJ487" s="935"/>
      <c r="AK487" s="966"/>
      <c r="AL487" s="949"/>
      <c r="AM487" s="949" t="s">
        <v>123</v>
      </c>
      <c r="AN487" s="949"/>
      <c r="AO487" s="999"/>
      <c r="AP487" s="936"/>
      <c r="AQ487" s="987"/>
      <c r="AR487" s="907"/>
      <c r="AS487" s="907"/>
      <c r="AT487" s="967" t="s">
        <v>123</v>
      </c>
      <c r="AU487" s="967" t="s">
        <v>123</v>
      </c>
      <c r="AV487" s="967" t="s">
        <v>123</v>
      </c>
      <c r="AW487" s="907" t="s">
        <v>123</v>
      </c>
      <c r="AX487" s="907" t="s">
        <v>123</v>
      </c>
      <c r="AY487" s="907" t="s">
        <v>123</v>
      </c>
      <c r="AZ487" s="936" t="s">
        <v>123</v>
      </c>
      <c r="BA487" s="935" t="s">
        <v>123</v>
      </c>
      <c r="BB487" s="1000"/>
      <c r="BC487" s="1001"/>
      <c r="BD487" s="936"/>
      <c r="BE487" s="907"/>
      <c r="BF487" s="1002" t="str">
        <f>IF($BC487="","",SUMIF(portfolio.!$A$4:$A623,BC487,portfolio.!$AN$4:$AN623))</f>
        <v/>
      </c>
      <c r="BG487" s="936" t="s">
        <v>123</v>
      </c>
      <c r="BH487" s="907" t="s">
        <v>123</v>
      </c>
      <c r="BI487" s="935" t="s">
        <v>123</v>
      </c>
      <c r="BJ487" s="1003"/>
      <c r="BK487" s="907" t="s">
        <v>123</v>
      </c>
      <c r="BL487" s="907" t="s">
        <v>123</v>
      </c>
      <c r="BM487" s="907" t="s">
        <v>123</v>
      </c>
      <c r="BN487" s="1004" t="s">
        <v>123</v>
      </c>
      <c r="BO487" s="907" t="str">
        <f t="shared" si="6"/>
        <v/>
      </c>
      <c r="BP487" s="907" t="str">
        <f t="shared" si="7"/>
        <v/>
      </c>
      <c r="BQ487" s="907" t="str">
        <f t="shared" si="8"/>
        <v/>
      </c>
      <c r="BR487" s="1004" t="str">
        <f t="shared" si="9"/>
        <v/>
      </c>
      <c r="BS487" s="1005" t="str">
        <f t="shared" si="10"/>
        <v/>
      </c>
      <c r="BT487" s="1006" t="s">
        <v>123</v>
      </c>
      <c r="BU487" s="1002" t="s">
        <v>123</v>
      </c>
      <c r="BV487" s="1006" t="s">
        <v>123</v>
      </c>
      <c r="BW487" s="1007"/>
    </row>
    <row r="488">
      <c r="A488" s="624">
        <v>465.0</v>
      </c>
      <c r="B488" s="1008"/>
      <c r="C488" s="989"/>
      <c r="D488" s="851"/>
      <c r="E488" s="990"/>
      <c r="F488" s="991"/>
      <c r="G488" s="991"/>
      <c r="H488" s="992"/>
      <c r="I488" s="993"/>
      <c r="J488" s="993"/>
      <c r="K488" s="993"/>
      <c r="L488" s="993"/>
      <c r="M488" s="993"/>
      <c r="N488" s="993"/>
      <c r="O488" s="993"/>
      <c r="P488" s="993"/>
      <c r="Q488" s="993"/>
      <c r="R488" s="993"/>
      <c r="S488" s="936"/>
      <c r="T488" s="998"/>
      <c r="U488" s="935"/>
      <c r="V488" s="935"/>
      <c r="W488" s="949" t="str">
        <f>IF(AND($S$20,NOT($U$20)),IF($V488:$V623="","",SUMIF(portfolio.!$A$4:$A623,V488,portfolio.!$AN$4:$AN623)),"")</f>
        <v/>
      </c>
      <c r="X488" s="998"/>
      <c r="Y488" s="936"/>
      <c r="Z488" s="936" t="s">
        <v>123</v>
      </c>
      <c r="AA488" s="936" t="s">
        <v>123</v>
      </c>
      <c r="AB488" s="936" t="s">
        <v>123</v>
      </c>
      <c r="AC488" s="907" t="s">
        <v>123</v>
      </c>
      <c r="AD488" s="999"/>
      <c r="AE488" s="936"/>
      <c r="AF488" s="936"/>
      <c r="AG488" s="936"/>
      <c r="AH488" s="936"/>
      <c r="AI488" s="999"/>
      <c r="AJ488" s="935"/>
      <c r="AK488" s="966"/>
      <c r="AL488" s="949"/>
      <c r="AM488" s="949" t="s">
        <v>123</v>
      </c>
      <c r="AN488" s="949"/>
      <c r="AO488" s="999"/>
      <c r="AP488" s="936"/>
      <c r="AQ488" s="987"/>
      <c r="AR488" s="907"/>
      <c r="AS488" s="907"/>
      <c r="AT488" s="967" t="s">
        <v>123</v>
      </c>
      <c r="AU488" s="967" t="s">
        <v>123</v>
      </c>
      <c r="AV488" s="967" t="s">
        <v>123</v>
      </c>
      <c r="AW488" s="907" t="s">
        <v>123</v>
      </c>
      <c r="AX488" s="907" t="s">
        <v>123</v>
      </c>
      <c r="AY488" s="907" t="s">
        <v>123</v>
      </c>
      <c r="AZ488" s="936" t="s">
        <v>123</v>
      </c>
      <c r="BA488" s="935" t="s">
        <v>123</v>
      </c>
      <c r="BB488" s="1000"/>
      <c r="BC488" s="1001"/>
      <c r="BD488" s="936"/>
      <c r="BE488" s="907"/>
      <c r="BF488" s="1002" t="str">
        <f>IF($BC488="","",SUMIF(portfolio.!$A$4:$A623,BC488,portfolio.!$AN$4:$AN623))</f>
        <v/>
      </c>
      <c r="BG488" s="936" t="s">
        <v>123</v>
      </c>
      <c r="BH488" s="907" t="s">
        <v>123</v>
      </c>
      <c r="BI488" s="935" t="s">
        <v>123</v>
      </c>
      <c r="BJ488" s="1003"/>
      <c r="BK488" s="907" t="s">
        <v>123</v>
      </c>
      <c r="BL488" s="907" t="s">
        <v>123</v>
      </c>
      <c r="BM488" s="907" t="s">
        <v>123</v>
      </c>
      <c r="BN488" s="1004" t="s">
        <v>123</v>
      </c>
      <c r="BO488" s="907" t="str">
        <f t="shared" si="6"/>
        <v/>
      </c>
      <c r="BP488" s="907" t="str">
        <f t="shared" si="7"/>
        <v/>
      </c>
      <c r="BQ488" s="907" t="str">
        <f t="shared" si="8"/>
        <v/>
      </c>
      <c r="BR488" s="1004" t="str">
        <f t="shared" si="9"/>
        <v/>
      </c>
      <c r="BS488" s="1005" t="str">
        <f t="shared" si="10"/>
        <v/>
      </c>
      <c r="BT488" s="1006" t="s">
        <v>123</v>
      </c>
      <c r="BU488" s="1002" t="s">
        <v>123</v>
      </c>
      <c r="BV488" s="1006" t="s">
        <v>123</v>
      </c>
      <c r="BW488" s="1007"/>
    </row>
    <row r="489">
      <c r="A489" s="624">
        <v>466.0</v>
      </c>
      <c r="B489" s="1008"/>
      <c r="C489" s="989"/>
      <c r="D489" s="851"/>
      <c r="E489" s="990"/>
      <c r="F489" s="991"/>
      <c r="G489" s="991"/>
      <c r="H489" s="992"/>
      <c r="I489" s="993"/>
      <c r="J489" s="993"/>
      <c r="K489" s="993"/>
      <c r="L489" s="993"/>
      <c r="M489" s="993"/>
      <c r="N489" s="993"/>
      <c r="O489" s="993"/>
      <c r="P489" s="993"/>
      <c r="Q489" s="993"/>
      <c r="R489" s="993"/>
      <c r="S489" s="936"/>
      <c r="T489" s="998"/>
      <c r="U489" s="935"/>
      <c r="V489" s="935"/>
      <c r="W489" s="949" t="str">
        <f>IF(AND($S$20,NOT($U$20)),IF($V489:$V623="","",SUMIF(portfolio.!$A$4:$A623,V489,portfolio.!$AN$4:$AN623)),"")</f>
        <v/>
      </c>
      <c r="X489" s="998"/>
      <c r="Y489" s="936"/>
      <c r="Z489" s="936" t="s">
        <v>123</v>
      </c>
      <c r="AA489" s="936" t="s">
        <v>123</v>
      </c>
      <c r="AB489" s="936" t="s">
        <v>123</v>
      </c>
      <c r="AC489" s="907" t="s">
        <v>123</v>
      </c>
      <c r="AD489" s="999"/>
      <c r="AE489" s="936"/>
      <c r="AF489" s="936"/>
      <c r="AG489" s="936"/>
      <c r="AH489" s="936"/>
      <c r="AI489" s="999"/>
      <c r="AJ489" s="935"/>
      <c r="AK489" s="966"/>
      <c r="AL489" s="949"/>
      <c r="AM489" s="949" t="s">
        <v>123</v>
      </c>
      <c r="AN489" s="949"/>
      <c r="AO489" s="999"/>
      <c r="AP489" s="936"/>
      <c r="AQ489" s="987"/>
      <c r="AR489" s="907"/>
      <c r="AS489" s="907"/>
      <c r="AT489" s="967" t="s">
        <v>123</v>
      </c>
      <c r="AU489" s="967" t="s">
        <v>123</v>
      </c>
      <c r="AV489" s="967" t="s">
        <v>123</v>
      </c>
      <c r="AW489" s="907" t="s">
        <v>123</v>
      </c>
      <c r="AX489" s="907" t="s">
        <v>123</v>
      </c>
      <c r="AY489" s="907" t="s">
        <v>123</v>
      </c>
      <c r="AZ489" s="936" t="s">
        <v>123</v>
      </c>
      <c r="BA489" s="935" t="s">
        <v>123</v>
      </c>
      <c r="BB489" s="1000"/>
      <c r="BC489" s="1001"/>
      <c r="BD489" s="936"/>
      <c r="BE489" s="907"/>
      <c r="BF489" s="1002" t="str">
        <f>IF($BC489="","",SUMIF(portfolio.!$A$4:$A623,BC489,portfolio.!$AN$4:$AN623))</f>
        <v/>
      </c>
      <c r="BG489" s="936" t="s">
        <v>123</v>
      </c>
      <c r="BH489" s="907" t="s">
        <v>123</v>
      </c>
      <c r="BI489" s="935" t="s">
        <v>123</v>
      </c>
      <c r="BJ489" s="1003"/>
      <c r="BK489" s="907" t="s">
        <v>123</v>
      </c>
      <c r="BL489" s="907" t="s">
        <v>123</v>
      </c>
      <c r="BM489" s="907" t="s">
        <v>123</v>
      </c>
      <c r="BN489" s="1004" t="s">
        <v>123</v>
      </c>
      <c r="BO489" s="907" t="str">
        <f t="shared" si="6"/>
        <v/>
      </c>
      <c r="BP489" s="907" t="str">
        <f t="shared" si="7"/>
        <v/>
      </c>
      <c r="BQ489" s="907" t="str">
        <f t="shared" si="8"/>
        <v/>
      </c>
      <c r="BR489" s="1004" t="str">
        <f t="shared" si="9"/>
        <v/>
      </c>
      <c r="BS489" s="1005" t="str">
        <f t="shared" si="10"/>
        <v/>
      </c>
      <c r="BT489" s="1006" t="s">
        <v>123</v>
      </c>
      <c r="BU489" s="1002" t="s">
        <v>123</v>
      </c>
      <c r="BV489" s="1006" t="s">
        <v>123</v>
      </c>
      <c r="BW489" s="1007"/>
    </row>
    <row r="490">
      <c r="A490" s="624">
        <v>467.0</v>
      </c>
      <c r="B490" s="1008"/>
      <c r="C490" s="989"/>
      <c r="D490" s="851"/>
      <c r="E490" s="990"/>
      <c r="F490" s="991"/>
      <c r="G490" s="991"/>
      <c r="H490" s="992"/>
      <c r="I490" s="993"/>
      <c r="J490" s="993"/>
      <c r="K490" s="993"/>
      <c r="L490" s="993"/>
      <c r="M490" s="993"/>
      <c r="N490" s="993"/>
      <c r="O490" s="993"/>
      <c r="P490" s="993"/>
      <c r="Q490" s="993"/>
      <c r="R490" s="993"/>
      <c r="S490" s="936"/>
      <c r="T490" s="998"/>
      <c r="U490" s="935"/>
      <c r="V490" s="935"/>
      <c r="W490" s="949" t="str">
        <f>IF(AND($S$20,NOT($U$20)),IF($V490:$V623="","",SUMIF(portfolio.!$A$4:$A623,V490,portfolio.!$AN$4:$AN623)),"")</f>
        <v/>
      </c>
      <c r="X490" s="998"/>
      <c r="Y490" s="936"/>
      <c r="Z490" s="936" t="s">
        <v>123</v>
      </c>
      <c r="AA490" s="936" t="s">
        <v>123</v>
      </c>
      <c r="AB490" s="936" t="s">
        <v>123</v>
      </c>
      <c r="AC490" s="907" t="s">
        <v>123</v>
      </c>
      <c r="AD490" s="999"/>
      <c r="AE490" s="936"/>
      <c r="AF490" s="936"/>
      <c r="AG490" s="936"/>
      <c r="AH490" s="936"/>
      <c r="AI490" s="999"/>
      <c r="AJ490" s="935"/>
      <c r="AK490" s="966"/>
      <c r="AL490" s="949"/>
      <c r="AM490" s="949" t="s">
        <v>123</v>
      </c>
      <c r="AN490" s="949"/>
      <c r="AO490" s="999"/>
      <c r="AP490" s="936"/>
      <c r="AQ490" s="987"/>
      <c r="AR490" s="907"/>
      <c r="AS490" s="907"/>
      <c r="AT490" s="967" t="s">
        <v>123</v>
      </c>
      <c r="AU490" s="967" t="s">
        <v>123</v>
      </c>
      <c r="AV490" s="967" t="s">
        <v>123</v>
      </c>
      <c r="AW490" s="907" t="s">
        <v>123</v>
      </c>
      <c r="AX490" s="907" t="s">
        <v>123</v>
      </c>
      <c r="AY490" s="907" t="s">
        <v>123</v>
      </c>
      <c r="AZ490" s="936" t="s">
        <v>123</v>
      </c>
      <c r="BA490" s="935" t="s">
        <v>123</v>
      </c>
      <c r="BB490" s="1000"/>
      <c r="BC490" s="1001"/>
      <c r="BD490" s="936"/>
      <c r="BE490" s="907"/>
      <c r="BF490" s="1002" t="str">
        <f>IF($BC490="","",SUMIF(portfolio.!$A$4:$A623,BC490,portfolio.!$AN$4:$AN623))</f>
        <v/>
      </c>
      <c r="BG490" s="936" t="s">
        <v>123</v>
      </c>
      <c r="BH490" s="907" t="s">
        <v>123</v>
      </c>
      <c r="BI490" s="935" t="s">
        <v>123</v>
      </c>
      <c r="BJ490" s="1003"/>
      <c r="BK490" s="907" t="s">
        <v>123</v>
      </c>
      <c r="BL490" s="907" t="s">
        <v>123</v>
      </c>
      <c r="BM490" s="907" t="s">
        <v>123</v>
      </c>
      <c r="BN490" s="1004" t="s">
        <v>123</v>
      </c>
      <c r="BO490" s="907" t="str">
        <f t="shared" si="6"/>
        <v/>
      </c>
      <c r="BP490" s="907" t="str">
        <f t="shared" si="7"/>
        <v/>
      </c>
      <c r="BQ490" s="907" t="str">
        <f t="shared" si="8"/>
        <v/>
      </c>
      <c r="BR490" s="1004" t="str">
        <f t="shared" si="9"/>
        <v/>
      </c>
      <c r="BS490" s="1005" t="str">
        <f t="shared" si="10"/>
        <v/>
      </c>
      <c r="BT490" s="1006" t="s">
        <v>123</v>
      </c>
      <c r="BU490" s="1002" t="s">
        <v>123</v>
      </c>
      <c r="BV490" s="1006" t="s">
        <v>123</v>
      </c>
      <c r="BW490" s="1007"/>
    </row>
    <row r="491">
      <c r="A491" s="624">
        <v>468.0</v>
      </c>
      <c r="B491" s="1008"/>
      <c r="C491" s="989"/>
      <c r="D491" s="851"/>
      <c r="E491" s="990"/>
      <c r="F491" s="991"/>
      <c r="G491" s="991"/>
      <c r="H491" s="992"/>
      <c r="I491" s="993"/>
      <c r="J491" s="993"/>
      <c r="K491" s="993"/>
      <c r="L491" s="993"/>
      <c r="M491" s="993"/>
      <c r="N491" s="993"/>
      <c r="O491" s="993"/>
      <c r="P491" s="993"/>
      <c r="Q491" s="993"/>
      <c r="R491" s="993"/>
      <c r="S491" s="936"/>
      <c r="T491" s="998"/>
      <c r="U491" s="935"/>
      <c r="V491" s="935"/>
      <c r="W491" s="949" t="str">
        <f>IF(AND($S$20,NOT($U$20)),IF($V491:$V623="","",SUMIF(portfolio.!$A$4:$A623,V491,portfolio.!$AN$4:$AN623)),"")</f>
        <v/>
      </c>
      <c r="X491" s="998"/>
      <c r="Y491" s="936"/>
      <c r="Z491" s="936" t="s">
        <v>123</v>
      </c>
      <c r="AA491" s="936" t="s">
        <v>123</v>
      </c>
      <c r="AB491" s="936" t="s">
        <v>123</v>
      </c>
      <c r="AC491" s="907" t="s">
        <v>123</v>
      </c>
      <c r="AD491" s="999"/>
      <c r="AE491" s="936"/>
      <c r="AF491" s="936"/>
      <c r="AG491" s="936"/>
      <c r="AH491" s="936"/>
      <c r="AI491" s="999"/>
      <c r="AJ491" s="935"/>
      <c r="AK491" s="966"/>
      <c r="AL491" s="949"/>
      <c r="AM491" s="949" t="s">
        <v>123</v>
      </c>
      <c r="AN491" s="949"/>
      <c r="AO491" s="999"/>
      <c r="AP491" s="936"/>
      <c r="AQ491" s="987"/>
      <c r="AR491" s="907"/>
      <c r="AS491" s="907"/>
      <c r="AT491" s="967" t="s">
        <v>123</v>
      </c>
      <c r="AU491" s="967" t="s">
        <v>123</v>
      </c>
      <c r="AV491" s="967" t="s">
        <v>123</v>
      </c>
      <c r="AW491" s="907" t="s">
        <v>123</v>
      </c>
      <c r="AX491" s="907" t="s">
        <v>123</v>
      </c>
      <c r="AY491" s="907" t="s">
        <v>123</v>
      </c>
      <c r="AZ491" s="936" t="s">
        <v>123</v>
      </c>
      <c r="BA491" s="935" t="s">
        <v>123</v>
      </c>
      <c r="BB491" s="1000"/>
      <c r="BC491" s="1001"/>
      <c r="BD491" s="936"/>
      <c r="BE491" s="907"/>
      <c r="BF491" s="1002" t="str">
        <f>IF($BC491="","",SUMIF(portfolio.!$A$4:$A623,BC491,portfolio.!$AN$4:$AN623))</f>
        <v/>
      </c>
      <c r="BG491" s="936" t="s">
        <v>123</v>
      </c>
      <c r="BH491" s="907" t="s">
        <v>123</v>
      </c>
      <c r="BI491" s="935" t="s">
        <v>123</v>
      </c>
      <c r="BJ491" s="1003"/>
      <c r="BK491" s="907" t="s">
        <v>123</v>
      </c>
      <c r="BL491" s="907" t="s">
        <v>123</v>
      </c>
      <c r="BM491" s="907" t="s">
        <v>123</v>
      </c>
      <c r="BN491" s="1004" t="s">
        <v>123</v>
      </c>
      <c r="BO491" s="907" t="str">
        <f t="shared" si="6"/>
        <v/>
      </c>
      <c r="BP491" s="907" t="str">
        <f t="shared" si="7"/>
        <v/>
      </c>
      <c r="BQ491" s="907" t="str">
        <f t="shared" si="8"/>
        <v/>
      </c>
      <c r="BR491" s="1004" t="str">
        <f t="shared" si="9"/>
        <v/>
      </c>
      <c r="BS491" s="1005" t="str">
        <f t="shared" si="10"/>
        <v/>
      </c>
      <c r="BT491" s="1006" t="s">
        <v>123</v>
      </c>
      <c r="BU491" s="1002" t="s">
        <v>123</v>
      </c>
      <c r="BV491" s="1006" t="s">
        <v>123</v>
      </c>
      <c r="BW491" s="1007"/>
    </row>
    <row r="492">
      <c r="A492" s="624">
        <v>469.0</v>
      </c>
      <c r="B492" s="1008"/>
      <c r="C492" s="989"/>
      <c r="D492" s="851"/>
      <c r="E492" s="990"/>
      <c r="F492" s="991"/>
      <c r="G492" s="991"/>
      <c r="H492" s="992"/>
      <c r="I492" s="993"/>
      <c r="J492" s="993"/>
      <c r="K492" s="993"/>
      <c r="L492" s="993"/>
      <c r="M492" s="993"/>
      <c r="N492" s="993"/>
      <c r="O492" s="993"/>
      <c r="P492" s="993"/>
      <c r="Q492" s="993"/>
      <c r="R492" s="993"/>
      <c r="S492" s="936"/>
      <c r="T492" s="998"/>
      <c r="U492" s="935"/>
      <c r="V492" s="935"/>
      <c r="W492" s="949" t="str">
        <f>IF(AND($S$20,NOT($U$20)),IF($V492:$V623="","",SUMIF(portfolio.!$A$4:$A623,V492,portfolio.!$AN$4:$AN623)),"")</f>
        <v/>
      </c>
      <c r="X492" s="998"/>
      <c r="Y492" s="936"/>
      <c r="Z492" s="936" t="s">
        <v>123</v>
      </c>
      <c r="AA492" s="936" t="s">
        <v>123</v>
      </c>
      <c r="AB492" s="936" t="s">
        <v>123</v>
      </c>
      <c r="AC492" s="907" t="s">
        <v>123</v>
      </c>
      <c r="AD492" s="999"/>
      <c r="AE492" s="936"/>
      <c r="AF492" s="936"/>
      <c r="AG492" s="936"/>
      <c r="AH492" s="936"/>
      <c r="AI492" s="999"/>
      <c r="AJ492" s="935"/>
      <c r="AK492" s="966"/>
      <c r="AL492" s="949"/>
      <c r="AM492" s="949" t="s">
        <v>123</v>
      </c>
      <c r="AN492" s="949"/>
      <c r="AO492" s="999"/>
      <c r="AP492" s="936"/>
      <c r="AQ492" s="987"/>
      <c r="AR492" s="907"/>
      <c r="AS492" s="907"/>
      <c r="AT492" s="967" t="s">
        <v>123</v>
      </c>
      <c r="AU492" s="967" t="s">
        <v>123</v>
      </c>
      <c r="AV492" s="967" t="s">
        <v>123</v>
      </c>
      <c r="AW492" s="907" t="s">
        <v>123</v>
      </c>
      <c r="AX492" s="907" t="s">
        <v>123</v>
      </c>
      <c r="AY492" s="907" t="s">
        <v>123</v>
      </c>
      <c r="AZ492" s="936" t="s">
        <v>123</v>
      </c>
      <c r="BA492" s="935" t="s">
        <v>123</v>
      </c>
      <c r="BB492" s="1000"/>
      <c r="BC492" s="1001"/>
      <c r="BD492" s="936"/>
      <c r="BE492" s="907"/>
      <c r="BF492" s="1002" t="str">
        <f>IF($BC492="","",SUMIF(portfolio.!$A$4:$A623,BC492,portfolio.!$AN$4:$AN623))</f>
        <v/>
      </c>
      <c r="BG492" s="936" t="s">
        <v>123</v>
      </c>
      <c r="BH492" s="907" t="s">
        <v>123</v>
      </c>
      <c r="BI492" s="935" t="s">
        <v>123</v>
      </c>
      <c r="BJ492" s="1003"/>
      <c r="BK492" s="907" t="s">
        <v>123</v>
      </c>
      <c r="BL492" s="907" t="s">
        <v>123</v>
      </c>
      <c r="BM492" s="907" t="s">
        <v>123</v>
      </c>
      <c r="BN492" s="1004" t="s">
        <v>123</v>
      </c>
      <c r="BO492" s="907" t="str">
        <f t="shared" si="6"/>
        <v/>
      </c>
      <c r="BP492" s="907" t="str">
        <f t="shared" si="7"/>
        <v/>
      </c>
      <c r="BQ492" s="907" t="str">
        <f t="shared" si="8"/>
        <v/>
      </c>
      <c r="BR492" s="1004" t="str">
        <f t="shared" si="9"/>
        <v/>
      </c>
      <c r="BS492" s="1005" t="str">
        <f t="shared" si="10"/>
        <v/>
      </c>
      <c r="BT492" s="1006" t="s">
        <v>123</v>
      </c>
      <c r="BU492" s="1002" t="s">
        <v>123</v>
      </c>
      <c r="BV492" s="1006" t="s">
        <v>123</v>
      </c>
      <c r="BW492" s="1007"/>
    </row>
    <row r="493">
      <c r="A493" s="624">
        <v>470.0</v>
      </c>
      <c r="B493" s="1008"/>
      <c r="C493" s="989"/>
      <c r="D493" s="851"/>
      <c r="E493" s="990"/>
      <c r="F493" s="991"/>
      <c r="G493" s="991"/>
      <c r="H493" s="992"/>
      <c r="I493" s="993"/>
      <c r="J493" s="993"/>
      <c r="K493" s="993"/>
      <c r="L493" s="993"/>
      <c r="M493" s="993"/>
      <c r="N493" s="993"/>
      <c r="O493" s="993"/>
      <c r="P493" s="993"/>
      <c r="Q493" s="993"/>
      <c r="R493" s="993"/>
      <c r="S493" s="936"/>
      <c r="T493" s="998"/>
      <c r="U493" s="935"/>
      <c r="V493" s="935"/>
      <c r="W493" s="949" t="str">
        <f>IF(AND($S$20,NOT($U$20)),IF($V493:$V623="","",SUMIF(portfolio.!$A$4:$A623,V493,portfolio.!$AN$4:$AN623)),"")</f>
        <v/>
      </c>
      <c r="X493" s="998"/>
      <c r="Y493" s="936"/>
      <c r="Z493" s="936" t="s">
        <v>123</v>
      </c>
      <c r="AA493" s="936" t="s">
        <v>123</v>
      </c>
      <c r="AB493" s="936" t="s">
        <v>123</v>
      </c>
      <c r="AC493" s="907" t="s">
        <v>123</v>
      </c>
      <c r="AD493" s="999"/>
      <c r="AE493" s="936"/>
      <c r="AF493" s="936"/>
      <c r="AG493" s="936"/>
      <c r="AH493" s="936"/>
      <c r="AI493" s="999"/>
      <c r="AJ493" s="935"/>
      <c r="AK493" s="966"/>
      <c r="AL493" s="949"/>
      <c r="AM493" s="949" t="s">
        <v>123</v>
      </c>
      <c r="AN493" s="949"/>
      <c r="AO493" s="999"/>
      <c r="AP493" s="936"/>
      <c r="AQ493" s="987"/>
      <c r="AR493" s="907"/>
      <c r="AS493" s="907"/>
      <c r="AT493" s="967" t="s">
        <v>123</v>
      </c>
      <c r="AU493" s="967" t="s">
        <v>123</v>
      </c>
      <c r="AV493" s="967" t="s">
        <v>123</v>
      </c>
      <c r="AW493" s="907" t="s">
        <v>123</v>
      </c>
      <c r="AX493" s="907" t="s">
        <v>123</v>
      </c>
      <c r="AY493" s="907" t="s">
        <v>123</v>
      </c>
      <c r="AZ493" s="936" t="s">
        <v>123</v>
      </c>
      <c r="BA493" s="935" t="s">
        <v>123</v>
      </c>
      <c r="BB493" s="1000"/>
      <c r="BC493" s="1001"/>
      <c r="BD493" s="936"/>
      <c r="BE493" s="907"/>
      <c r="BF493" s="1002" t="str">
        <f>IF($BC493="","",SUMIF(portfolio.!$A$4:$A623,BC493,portfolio.!$AN$4:$AN623))</f>
        <v/>
      </c>
      <c r="BG493" s="936" t="s">
        <v>123</v>
      </c>
      <c r="BH493" s="907" t="s">
        <v>123</v>
      </c>
      <c r="BI493" s="935" t="s">
        <v>123</v>
      </c>
      <c r="BJ493" s="1003"/>
      <c r="BK493" s="907" t="s">
        <v>123</v>
      </c>
      <c r="BL493" s="907" t="s">
        <v>123</v>
      </c>
      <c r="BM493" s="907" t="s">
        <v>123</v>
      </c>
      <c r="BN493" s="1004" t="s">
        <v>123</v>
      </c>
      <c r="BO493" s="907" t="str">
        <f t="shared" si="6"/>
        <v/>
      </c>
      <c r="BP493" s="907" t="str">
        <f t="shared" si="7"/>
        <v/>
      </c>
      <c r="BQ493" s="907" t="str">
        <f t="shared" si="8"/>
        <v/>
      </c>
      <c r="BR493" s="1004" t="str">
        <f t="shared" si="9"/>
        <v/>
      </c>
      <c r="BS493" s="1005" t="str">
        <f t="shared" si="10"/>
        <v/>
      </c>
      <c r="BT493" s="1006" t="s">
        <v>123</v>
      </c>
      <c r="BU493" s="1002" t="s">
        <v>123</v>
      </c>
      <c r="BV493" s="1006" t="s">
        <v>123</v>
      </c>
      <c r="BW493" s="1007"/>
    </row>
    <row r="494">
      <c r="A494" s="624">
        <v>471.0</v>
      </c>
      <c r="B494" s="1008"/>
      <c r="C494" s="989"/>
      <c r="D494" s="851"/>
      <c r="E494" s="990"/>
      <c r="F494" s="991"/>
      <c r="G494" s="991"/>
      <c r="H494" s="992"/>
      <c r="I494" s="993"/>
      <c r="J494" s="993"/>
      <c r="K494" s="993"/>
      <c r="L494" s="993"/>
      <c r="M494" s="993"/>
      <c r="N494" s="993"/>
      <c r="O494" s="993"/>
      <c r="P494" s="993"/>
      <c r="Q494" s="993"/>
      <c r="R494" s="993"/>
      <c r="S494" s="936"/>
      <c r="T494" s="998"/>
      <c r="U494" s="935"/>
      <c r="V494" s="935"/>
      <c r="W494" s="949" t="str">
        <f>IF(AND($S$20,NOT($U$20)),IF($V494:$V623="","",SUMIF(portfolio.!$A$4:$A623,V494,portfolio.!$AN$4:$AN623)),"")</f>
        <v/>
      </c>
      <c r="X494" s="998"/>
      <c r="Y494" s="936"/>
      <c r="Z494" s="936" t="s">
        <v>123</v>
      </c>
      <c r="AA494" s="936" t="s">
        <v>123</v>
      </c>
      <c r="AB494" s="936" t="s">
        <v>123</v>
      </c>
      <c r="AC494" s="907" t="s">
        <v>123</v>
      </c>
      <c r="AD494" s="999"/>
      <c r="AE494" s="936"/>
      <c r="AF494" s="936"/>
      <c r="AG494" s="936"/>
      <c r="AH494" s="936"/>
      <c r="AI494" s="999"/>
      <c r="AJ494" s="935"/>
      <c r="AK494" s="966"/>
      <c r="AL494" s="949"/>
      <c r="AM494" s="949" t="s">
        <v>123</v>
      </c>
      <c r="AN494" s="949"/>
      <c r="AO494" s="999"/>
      <c r="AP494" s="936"/>
      <c r="AQ494" s="987"/>
      <c r="AR494" s="907"/>
      <c r="AS494" s="907"/>
      <c r="AT494" s="967" t="s">
        <v>123</v>
      </c>
      <c r="AU494" s="967" t="s">
        <v>123</v>
      </c>
      <c r="AV494" s="967" t="s">
        <v>123</v>
      </c>
      <c r="AW494" s="907" t="s">
        <v>123</v>
      </c>
      <c r="AX494" s="907" t="s">
        <v>123</v>
      </c>
      <c r="AY494" s="907" t="s">
        <v>123</v>
      </c>
      <c r="AZ494" s="936" t="s">
        <v>123</v>
      </c>
      <c r="BA494" s="935" t="s">
        <v>123</v>
      </c>
      <c r="BB494" s="1000"/>
      <c r="BC494" s="1001"/>
      <c r="BD494" s="936"/>
      <c r="BE494" s="907"/>
      <c r="BF494" s="1002" t="str">
        <f>IF($BC494="","",SUMIF(portfolio.!$A$4:$A623,BC494,portfolio.!$AN$4:$AN623))</f>
        <v/>
      </c>
      <c r="BG494" s="936" t="s">
        <v>123</v>
      </c>
      <c r="BH494" s="907" t="s">
        <v>123</v>
      </c>
      <c r="BI494" s="935" t="s">
        <v>123</v>
      </c>
      <c r="BJ494" s="1003"/>
      <c r="BK494" s="907" t="s">
        <v>123</v>
      </c>
      <c r="BL494" s="907" t="s">
        <v>123</v>
      </c>
      <c r="BM494" s="907" t="s">
        <v>123</v>
      </c>
      <c r="BN494" s="1004" t="s">
        <v>123</v>
      </c>
      <c r="BO494" s="907" t="str">
        <f t="shared" si="6"/>
        <v/>
      </c>
      <c r="BP494" s="907" t="str">
        <f t="shared" si="7"/>
        <v/>
      </c>
      <c r="BQ494" s="907" t="str">
        <f t="shared" si="8"/>
        <v/>
      </c>
      <c r="BR494" s="1004" t="str">
        <f t="shared" si="9"/>
        <v/>
      </c>
      <c r="BS494" s="1005" t="str">
        <f t="shared" si="10"/>
        <v/>
      </c>
      <c r="BT494" s="1006" t="s">
        <v>123</v>
      </c>
      <c r="BU494" s="1002" t="s">
        <v>123</v>
      </c>
      <c r="BV494" s="1006" t="s">
        <v>123</v>
      </c>
      <c r="BW494" s="1007"/>
    </row>
    <row r="495">
      <c r="A495" s="624">
        <v>472.0</v>
      </c>
      <c r="B495" s="1008"/>
      <c r="C495" s="989"/>
      <c r="D495" s="851"/>
      <c r="E495" s="990"/>
      <c r="F495" s="991"/>
      <c r="G495" s="991"/>
      <c r="H495" s="992"/>
      <c r="I495" s="993"/>
      <c r="J495" s="993"/>
      <c r="K495" s="993"/>
      <c r="L495" s="993"/>
      <c r="M495" s="993"/>
      <c r="N495" s="993"/>
      <c r="O495" s="993"/>
      <c r="P495" s="993"/>
      <c r="Q495" s="993"/>
      <c r="R495" s="993"/>
      <c r="S495" s="936"/>
      <c r="T495" s="998"/>
      <c r="U495" s="935"/>
      <c r="V495" s="935"/>
      <c r="W495" s="949" t="str">
        <f>IF(AND($S$20,NOT($U$20)),IF($V495:$V623="","",SUMIF(portfolio.!$A$4:$A623,V495,portfolio.!$AN$4:$AN623)),"")</f>
        <v/>
      </c>
      <c r="X495" s="998"/>
      <c r="Y495" s="936"/>
      <c r="Z495" s="936" t="s">
        <v>123</v>
      </c>
      <c r="AA495" s="936" t="s">
        <v>123</v>
      </c>
      <c r="AB495" s="936" t="s">
        <v>123</v>
      </c>
      <c r="AC495" s="907" t="s">
        <v>123</v>
      </c>
      <c r="AD495" s="999"/>
      <c r="AE495" s="936"/>
      <c r="AF495" s="936"/>
      <c r="AG495" s="936"/>
      <c r="AH495" s="936"/>
      <c r="AI495" s="999"/>
      <c r="AJ495" s="935"/>
      <c r="AK495" s="966"/>
      <c r="AL495" s="949"/>
      <c r="AM495" s="949" t="s">
        <v>123</v>
      </c>
      <c r="AN495" s="949"/>
      <c r="AO495" s="999"/>
      <c r="AP495" s="936"/>
      <c r="AQ495" s="987"/>
      <c r="AR495" s="907"/>
      <c r="AS495" s="907"/>
      <c r="AT495" s="967" t="s">
        <v>123</v>
      </c>
      <c r="AU495" s="967" t="s">
        <v>123</v>
      </c>
      <c r="AV495" s="967" t="s">
        <v>123</v>
      </c>
      <c r="AW495" s="907" t="s">
        <v>123</v>
      </c>
      <c r="AX495" s="907" t="s">
        <v>123</v>
      </c>
      <c r="AY495" s="907" t="s">
        <v>123</v>
      </c>
      <c r="AZ495" s="936" t="s">
        <v>123</v>
      </c>
      <c r="BA495" s="935" t="s">
        <v>123</v>
      </c>
      <c r="BB495" s="1000"/>
      <c r="BC495" s="1001"/>
      <c r="BD495" s="936"/>
      <c r="BE495" s="907"/>
      <c r="BF495" s="1002" t="str">
        <f>IF($BC495="","",SUMIF(portfolio.!$A$4:$A623,BC495,portfolio.!$AN$4:$AN623))</f>
        <v/>
      </c>
      <c r="BG495" s="936" t="s">
        <v>123</v>
      </c>
      <c r="BH495" s="907" t="s">
        <v>123</v>
      </c>
      <c r="BI495" s="935" t="s">
        <v>123</v>
      </c>
      <c r="BJ495" s="1003"/>
      <c r="BK495" s="907" t="s">
        <v>123</v>
      </c>
      <c r="BL495" s="907" t="s">
        <v>123</v>
      </c>
      <c r="BM495" s="907" t="s">
        <v>123</v>
      </c>
      <c r="BN495" s="1004" t="s">
        <v>123</v>
      </c>
      <c r="BO495" s="907" t="str">
        <f t="shared" si="6"/>
        <v/>
      </c>
      <c r="BP495" s="907" t="str">
        <f t="shared" si="7"/>
        <v/>
      </c>
      <c r="BQ495" s="907" t="str">
        <f t="shared" si="8"/>
        <v/>
      </c>
      <c r="BR495" s="1004" t="str">
        <f t="shared" si="9"/>
        <v/>
      </c>
      <c r="BS495" s="1005" t="str">
        <f t="shared" si="10"/>
        <v/>
      </c>
      <c r="BT495" s="1006" t="s">
        <v>123</v>
      </c>
      <c r="BU495" s="1002" t="s">
        <v>123</v>
      </c>
      <c r="BV495" s="1006" t="s">
        <v>123</v>
      </c>
      <c r="BW495" s="1007"/>
    </row>
    <row r="496">
      <c r="A496" s="624">
        <v>473.0</v>
      </c>
      <c r="B496" s="1008"/>
      <c r="C496" s="989"/>
      <c r="D496" s="851"/>
      <c r="E496" s="990"/>
      <c r="F496" s="991"/>
      <c r="G496" s="991"/>
      <c r="H496" s="992"/>
      <c r="I496" s="993"/>
      <c r="J496" s="993"/>
      <c r="K496" s="993"/>
      <c r="L496" s="993"/>
      <c r="M496" s="993"/>
      <c r="N496" s="993"/>
      <c r="O496" s="993"/>
      <c r="P496" s="993"/>
      <c r="Q496" s="993"/>
      <c r="R496" s="993"/>
      <c r="S496" s="936"/>
      <c r="T496" s="998"/>
      <c r="U496" s="935"/>
      <c r="V496" s="935"/>
      <c r="W496" s="949" t="str">
        <f>IF(AND($S$20,NOT($U$20)),IF($V496:$V623="","",SUMIF(portfolio.!$A$4:$A623,V496,portfolio.!$AN$4:$AN623)),"")</f>
        <v/>
      </c>
      <c r="X496" s="998"/>
      <c r="Y496" s="936"/>
      <c r="Z496" s="936" t="s">
        <v>123</v>
      </c>
      <c r="AA496" s="936" t="s">
        <v>123</v>
      </c>
      <c r="AB496" s="936" t="s">
        <v>123</v>
      </c>
      <c r="AC496" s="907" t="s">
        <v>123</v>
      </c>
      <c r="AD496" s="999"/>
      <c r="AE496" s="936"/>
      <c r="AF496" s="936"/>
      <c r="AG496" s="936"/>
      <c r="AH496" s="936"/>
      <c r="AI496" s="999"/>
      <c r="AJ496" s="935"/>
      <c r="AK496" s="966"/>
      <c r="AL496" s="949"/>
      <c r="AM496" s="949" t="s">
        <v>123</v>
      </c>
      <c r="AN496" s="949"/>
      <c r="AO496" s="999"/>
      <c r="AP496" s="936"/>
      <c r="AQ496" s="987"/>
      <c r="AR496" s="907"/>
      <c r="AS496" s="907"/>
      <c r="AT496" s="967" t="s">
        <v>123</v>
      </c>
      <c r="AU496" s="967" t="s">
        <v>123</v>
      </c>
      <c r="AV496" s="967" t="s">
        <v>123</v>
      </c>
      <c r="AW496" s="907" t="s">
        <v>123</v>
      </c>
      <c r="AX496" s="907" t="s">
        <v>123</v>
      </c>
      <c r="AY496" s="907" t="s">
        <v>123</v>
      </c>
      <c r="AZ496" s="936" t="s">
        <v>123</v>
      </c>
      <c r="BA496" s="935" t="s">
        <v>123</v>
      </c>
      <c r="BB496" s="1000"/>
      <c r="BC496" s="1001"/>
      <c r="BD496" s="936"/>
      <c r="BE496" s="907"/>
      <c r="BF496" s="1002" t="str">
        <f>IF($BC496="","",SUMIF(portfolio.!$A$4:$A623,BC496,portfolio.!$AN$4:$AN623))</f>
        <v/>
      </c>
      <c r="BG496" s="936" t="s">
        <v>123</v>
      </c>
      <c r="BH496" s="907" t="s">
        <v>123</v>
      </c>
      <c r="BI496" s="935" t="s">
        <v>123</v>
      </c>
      <c r="BJ496" s="1003"/>
      <c r="BK496" s="907" t="s">
        <v>123</v>
      </c>
      <c r="BL496" s="907" t="s">
        <v>123</v>
      </c>
      <c r="BM496" s="907" t="s">
        <v>123</v>
      </c>
      <c r="BN496" s="1004" t="s">
        <v>123</v>
      </c>
      <c r="BO496" s="907" t="str">
        <f t="shared" si="6"/>
        <v/>
      </c>
      <c r="BP496" s="907" t="str">
        <f t="shared" si="7"/>
        <v/>
      </c>
      <c r="BQ496" s="907" t="str">
        <f t="shared" si="8"/>
        <v/>
      </c>
      <c r="BR496" s="1004" t="str">
        <f t="shared" si="9"/>
        <v/>
      </c>
      <c r="BS496" s="1005" t="str">
        <f t="shared" si="10"/>
        <v/>
      </c>
      <c r="BT496" s="1006" t="s">
        <v>123</v>
      </c>
      <c r="BU496" s="1002" t="s">
        <v>123</v>
      </c>
      <c r="BV496" s="1006" t="s">
        <v>123</v>
      </c>
      <c r="BW496" s="1007"/>
    </row>
    <row r="497">
      <c r="A497" s="624">
        <v>474.0</v>
      </c>
      <c r="B497" s="1008"/>
      <c r="C497" s="989"/>
      <c r="D497" s="851"/>
      <c r="E497" s="990"/>
      <c r="F497" s="991"/>
      <c r="G497" s="991"/>
      <c r="H497" s="992"/>
      <c r="I497" s="993"/>
      <c r="J497" s="993"/>
      <c r="K497" s="993"/>
      <c r="L497" s="993"/>
      <c r="M497" s="993"/>
      <c r="N497" s="993"/>
      <c r="O497" s="993"/>
      <c r="P497" s="993"/>
      <c r="Q497" s="993"/>
      <c r="R497" s="993"/>
      <c r="S497" s="936"/>
      <c r="T497" s="998"/>
      <c r="U497" s="935"/>
      <c r="V497" s="935"/>
      <c r="W497" s="949" t="str">
        <f>IF(AND($S$20,NOT($U$20)),IF($V497:$V623="","",SUMIF(portfolio.!$A$4:$A623,V497,portfolio.!$AN$4:$AN623)),"")</f>
        <v/>
      </c>
      <c r="X497" s="998"/>
      <c r="Y497" s="936"/>
      <c r="Z497" s="936" t="s">
        <v>123</v>
      </c>
      <c r="AA497" s="936" t="s">
        <v>123</v>
      </c>
      <c r="AB497" s="936" t="s">
        <v>123</v>
      </c>
      <c r="AC497" s="907" t="s">
        <v>123</v>
      </c>
      <c r="AD497" s="999"/>
      <c r="AE497" s="936"/>
      <c r="AF497" s="936"/>
      <c r="AG497" s="936"/>
      <c r="AH497" s="936"/>
      <c r="AI497" s="999"/>
      <c r="AJ497" s="935"/>
      <c r="AK497" s="966"/>
      <c r="AL497" s="949"/>
      <c r="AM497" s="949" t="s">
        <v>123</v>
      </c>
      <c r="AN497" s="949"/>
      <c r="AO497" s="999"/>
      <c r="AP497" s="936"/>
      <c r="AQ497" s="987"/>
      <c r="AR497" s="907"/>
      <c r="AS497" s="907"/>
      <c r="AT497" s="967" t="s">
        <v>123</v>
      </c>
      <c r="AU497" s="967" t="s">
        <v>123</v>
      </c>
      <c r="AV497" s="967" t="s">
        <v>123</v>
      </c>
      <c r="AW497" s="907" t="s">
        <v>123</v>
      </c>
      <c r="AX497" s="907" t="s">
        <v>123</v>
      </c>
      <c r="AY497" s="907" t="s">
        <v>123</v>
      </c>
      <c r="AZ497" s="936" t="s">
        <v>123</v>
      </c>
      <c r="BA497" s="935" t="s">
        <v>123</v>
      </c>
      <c r="BB497" s="1000"/>
      <c r="BC497" s="1001"/>
      <c r="BD497" s="936"/>
      <c r="BE497" s="907"/>
      <c r="BF497" s="1002" t="str">
        <f>IF($BC497="","",SUMIF(portfolio.!$A$4:$A623,BC497,portfolio.!$AN$4:$AN623))</f>
        <v/>
      </c>
      <c r="BG497" s="936" t="s">
        <v>123</v>
      </c>
      <c r="BH497" s="907" t="s">
        <v>123</v>
      </c>
      <c r="BI497" s="935" t="s">
        <v>123</v>
      </c>
      <c r="BJ497" s="1003"/>
      <c r="BK497" s="907" t="s">
        <v>123</v>
      </c>
      <c r="BL497" s="907" t="s">
        <v>123</v>
      </c>
      <c r="BM497" s="907" t="s">
        <v>123</v>
      </c>
      <c r="BN497" s="1004" t="s">
        <v>123</v>
      </c>
      <c r="BO497" s="907" t="str">
        <f t="shared" si="6"/>
        <v/>
      </c>
      <c r="BP497" s="907" t="str">
        <f t="shared" si="7"/>
        <v/>
      </c>
      <c r="BQ497" s="907" t="str">
        <f t="shared" si="8"/>
        <v/>
      </c>
      <c r="BR497" s="1004" t="str">
        <f t="shared" si="9"/>
        <v/>
      </c>
      <c r="BS497" s="1005" t="str">
        <f t="shared" si="10"/>
        <v/>
      </c>
      <c r="BT497" s="1006" t="s">
        <v>123</v>
      </c>
      <c r="BU497" s="1002" t="s">
        <v>123</v>
      </c>
      <c r="BV497" s="1006" t="s">
        <v>123</v>
      </c>
      <c r="BW497" s="1007"/>
    </row>
    <row r="498">
      <c r="A498" s="624">
        <v>475.0</v>
      </c>
      <c r="B498" s="1008"/>
      <c r="C498" s="989"/>
      <c r="D498" s="851"/>
      <c r="E498" s="990"/>
      <c r="F498" s="991"/>
      <c r="G498" s="991"/>
      <c r="H498" s="992"/>
      <c r="I498" s="993"/>
      <c r="J498" s="993"/>
      <c r="K498" s="993"/>
      <c r="L498" s="993"/>
      <c r="M498" s="993"/>
      <c r="N498" s="993"/>
      <c r="O498" s="993"/>
      <c r="P498" s="993"/>
      <c r="Q498" s="993"/>
      <c r="R498" s="993"/>
      <c r="S498" s="936"/>
      <c r="T498" s="998"/>
      <c r="U498" s="935"/>
      <c r="V498" s="935"/>
      <c r="W498" s="949" t="str">
        <f>IF(AND($S$20,NOT($U$20)),IF($V498:$V623="","",SUMIF(portfolio.!$A$4:$A623,V498,portfolio.!$AN$4:$AN623)),"")</f>
        <v/>
      </c>
      <c r="X498" s="998"/>
      <c r="Y498" s="936"/>
      <c r="Z498" s="936" t="s">
        <v>123</v>
      </c>
      <c r="AA498" s="936" t="s">
        <v>123</v>
      </c>
      <c r="AB498" s="936" t="s">
        <v>123</v>
      </c>
      <c r="AC498" s="907" t="s">
        <v>123</v>
      </c>
      <c r="AD498" s="999"/>
      <c r="AE498" s="936"/>
      <c r="AF498" s="936"/>
      <c r="AG498" s="936"/>
      <c r="AH498" s="936"/>
      <c r="AI498" s="999"/>
      <c r="AJ498" s="935"/>
      <c r="AK498" s="966"/>
      <c r="AL498" s="949"/>
      <c r="AM498" s="949" t="s">
        <v>123</v>
      </c>
      <c r="AN498" s="949"/>
      <c r="AO498" s="999"/>
      <c r="AP498" s="936"/>
      <c r="AQ498" s="987"/>
      <c r="AR498" s="907"/>
      <c r="AS498" s="907"/>
      <c r="AT498" s="967" t="s">
        <v>123</v>
      </c>
      <c r="AU498" s="967" t="s">
        <v>123</v>
      </c>
      <c r="AV498" s="967" t="s">
        <v>123</v>
      </c>
      <c r="AW498" s="907" t="s">
        <v>123</v>
      </c>
      <c r="AX498" s="907" t="s">
        <v>123</v>
      </c>
      <c r="AY498" s="907" t="s">
        <v>123</v>
      </c>
      <c r="AZ498" s="936" t="s">
        <v>123</v>
      </c>
      <c r="BA498" s="935" t="s">
        <v>123</v>
      </c>
      <c r="BB498" s="1000"/>
      <c r="BC498" s="1001"/>
      <c r="BD498" s="936"/>
      <c r="BE498" s="907"/>
      <c r="BF498" s="1002" t="str">
        <f>IF($BC498="","",SUMIF(portfolio.!$A$4:$A623,BC498,portfolio.!$AN$4:$AN623))</f>
        <v/>
      </c>
      <c r="BG498" s="936" t="s">
        <v>123</v>
      </c>
      <c r="BH498" s="907" t="s">
        <v>123</v>
      </c>
      <c r="BI498" s="935" t="s">
        <v>123</v>
      </c>
      <c r="BJ498" s="1003"/>
      <c r="BK498" s="907" t="s">
        <v>123</v>
      </c>
      <c r="BL498" s="907" t="s">
        <v>123</v>
      </c>
      <c r="BM498" s="907" t="s">
        <v>123</v>
      </c>
      <c r="BN498" s="1004" t="s">
        <v>123</v>
      </c>
      <c r="BO498" s="907" t="str">
        <f t="shared" si="6"/>
        <v/>
      </c>
      <c r="BP498" s="907" t="str">
        <f t="shared" si="7"/>
        <v/>
      </c>
      <c r="BQ498" s="907" t="str">
        <f t="shared" si="8"/>
        <v/>
      </c>
      <c r="BR498" s="1004" t="str">
        <f t="shared" si="9"/>
        <v/>
      </c>
      <c r="BS498" s="1005" t="str">
        <f t="shared" si="10"/>
        <v/>
      </c>
      <c r="BT498" s="1006" t="s">
        <v>123</v>
      </c>
      <c r="BU498" s="1002" t="s">
        <v>123</v>
      </c>
      <c r="BV498" s="1006" t="s">
        <v>123</v>
      </c>
      <c r="BW498" s="1007"/>
    </row>
    <row r="499">
      <c r="A499" s="624">
        <v>476.0</v>
      </c>
      <c r="B499" s="1008"/>
      <c r="C499" s="989"/>
      <c r="D499" s="851"/>
      <c r="E499" s="990"/>
      <c r="F499" s="991"/>
      <c r="G499" s="991"/>
      <c r="H499" s="992"/>
      <c r="I499" s="993"/>
      <c r="J499" s="993"/>
      <c r="K499" s="993"/>
      <c r="L499" s="993"/>
      <c r="M499" s="993"/>
      <c r="N499" s="993"/>
      <c r="O499" s="993"/>
      <c r="P499" s="993"/>
      <c r="Q499" s="993"/>
      <c r="R499" s="993"/>
      <c r="S499" s="936"/>
      <c r="T499" s="998"/>
      <c r="U499" s="935"/>
      <c r="V499" s="935"/>
      <c r="W499" s="949" t="str">
        <f>IF(AND($S$20,NOT($U$20)),IF($V499:$V623="","",SUMIF(portfolio.!$A$4:$A623,V499,portfolio.!$AN$4:$AN623)),"")</f>
        <v/>
      </c>
      <c r="X499" s="998"/>
      <c r="Y499" s="936"/>
      <c r="Z499" s="936" t="s">
        <v>123</v>
      </c>
      <c r="AA499" s="936" t="s">
        <v>123</v>
      </c>
      <c r="AB499" s="936" t="s">
        <v>123</v>
      </c>
      <c r="AC499" s="907" t="s">
        <v>123</v>
      </c>
      <c r="AD499" s="999"/>
      <c r="AE499" s="936"/>
      <c r="AF499" s="936"/>
      <c r="AG499" s="936"/>
      <c r="AH499" s="936"/>
      <c r="AI499" s="999"/>
      <c r="AJ499" s="935"/>
      <c r="AK499" s="966"/>
      <c r="AL499" s="949"/>
      <c r="AM499" s="949" t="s">
        <v>123</v>
      </c>
      <c r="AN499" s="949"/>
      <c r="AO499" s="999"/>
      <c r="AP499" s="936"/>
      <c r="AQ499" s="987"/>
      <c r="AR499" s="907"/>
      <c r="AS499" s="907"/>
      <c r="AT499" s="967" t="s">
        <v>123</v>
      </c>
      <c r="AU499" s="967" t="s">
        <v>123</v>
      </c>
      <c r="AV499" s="967" t="s">
        <v>123</v>
      </c>
      <c r="AW499" s="907" t="s">
        <v>123</v>
      </c>
      <c r="AX499" s="907" t="s">
        <v>123</v>
      </c>
      <c r="AY499" s="907" t="s">
        <v>123</v>
      </c>
      <c r="AZ499" s="936" t="s">
        <v>123</v>
      </c>
      <c r="BA499" s="935" t="s">
        <v>123</v>
      </c>
      <c r="BB499" s="1000"/>
      <c r="BC499" s="1001"/>
      <c r="BD499" s="936"/>
      <c r="BE499" s="907"/>
      <c r="BF499" s="1002" t="str">
        <f>IF($BC499="","",SUMIF(portfolio.!$A$4:$A623,BC499,portfolio.!$AN$4:$AN623))</f>
        <v/>
      </c>
      <c r="BG499" s="936" t="s">
        <v>123</v>
      </c>
      <c r="BH499" s="907" t="s">
        <v>123</v>
      </c>
      <c r="BI499" s="935" t="s">
        <v>123</v>
      </c>
      <c r="BJ499" s="1003"/>
      <c r="BK499" s="907" t="s">
        <v>123</v>
      </c>
      <c r="BL499" s="907" t="s">
        <v>123</v>
      </c>
      <c r="BM499" s="907" t="s">
        <v>123</v>
      </c>
      <c r="BN499" s="1004" t="s">
        <v>123</v>
      </c>
      <c r="BO499" s="907" t="str">
        <f t="shared" si="6"/>
        <v/>
      </c>
      <c r="BP499" s="907" t="str">
        <f t="shared" si="7"/>
        <v/>
      </c>
      <c r="BQ499" s="907" t="str">
        <f t="shared" si="8"/>
        <v/>
      </c>
      <c r="BR499" s="1004" t="str">
        <f t="shared" si="9"/>
        <v/>
      </c>
      <c r="BS499" s="1005" t="str">
        <f t="shared" si="10"/>
        <v/>
      </c>
      <c r="BT499" s="1006" t="s">
        <v>123</v>
      </c>
      <c r="BU499" s="1002" t="s">
        <v>123</v>
      </c>
      <c r="BV499" s="1006" t="s">
        <v>123</v>
      </c>
      <c r="BW499" s="1007"/>
    </row>
    <row r="500">
      <c r="A500" s="624">
        <v>477.0</v>
      </c>
      <c r="B500" s="1008"/>
      <c r="C500" s="989"/>
      <c r="D500" s="851"/>
      <c r="E500" s="990"/>
      <c r="F500" s="991"/>
      <c r="G500" s="991"/>
      <c r="H500" s="992"/>
      <c r="I500" s="993"/>
      <c r="J500" s="993"/>
      <c r="K500" s="993"/>
      <c r="L500" s="993"/>
      <c r="M500" s="993"/>
      <c r="N500" s="993"/>
      <c r="O500" s="993"/>
      <c r="P500" s="993"/>
      <c r="Q500" s="993"/>
      <c r="R500" s="993"/>
      <c r="S500" s="936"/>
      <c r="T500" s="998"/>
      <c r="U500" s="935"/>
      <c r="V500" s="935"/>
      <c r="W500" s="949" t="str">
        <f>IF(AND($S$20,NOT($U$20)),IF($V500:$V623="","",SUMIF(portfolio.!$A$4:$A623,V500,portfolio.!$AN$4:$AN623)),"")</f>
        <v/>
      </c>
      <c r="X500" s="998"/>
      <c r="Y500" s="936"/>
      <c r="Z500" s="936" t="s">
        <v>123</v>
      </c>
      <c r="AA500" s="936" t="s">
        <v>123</v>
      </c>
      <c r="AB500" s="936" t="s">
        <v>123</v>
      </c>
      <c r="AC500" s="907" t="s">
        <v>123</v>
      </c>
      <c r="AD500" s="999"/>
      <c r="AE500" s="936"/>
      <c r="AF500" s="936"/>
      <c r="AG500" s="936"/>
      <c r="AH500" s="936"/>
      <c r="AI500" s="999"/>
      <c r="AJ500" s="935"/>
      <c r="AK500" s="966"/>
      <c r="AL500" s="949"/>
      <c r="AM500" s="949" t="s">
        <v>123</v>
      </c>
      <c r="AN500" s="949"/>
      <c r="AO500" s="999"/>
      <c r="AP500" s="936"/>
      <c r="AQ500" s="987"/>
      <c r="AR500" s="907"/>
      <c r="AS500" s="907"/>
      <c r="AT500" s="967" t="s">
        <v>123</v>
      </c>
      <c r="AU500" s="967" t="s">
        <v>123</v>
      </c>
      <c r="AV500" s="967" t="s">
        <v>123</v>
      </c>
      <c r="AW500" s="907" t="s">
        <v>123</v>
      </c>
      <c r="AX500" s="907" t="s">
        <v>123</v>
      </c>
      <c r="AY500" s="907" t="s">
        <v>123</v>
      </c>
      <c r="AZ500" s="936" t="s">
        <v>123</v>
      </c>
      <c r="BA500" s="935" t="s">
        <v>123</v>
      </c>
      <c r="BB500" s="1000"/>
      <c r="BC500" s="1001"/>
      <c r="BD500" s="936"/>
      <c r="BE500" s="907"/>
      <c r="BF500" s="1002" t="str">
        <f>IF($BC500="","",SUMIF(portfolio.!$A$4:$A623,BC500,portfolio.!$AN$4:$AN623))</f>
        <v/>
      </c>
      <c r="BG500" s="936" t="s">
        <v>123</v>
      </c>
      <c r="BH500" s="907" t="s">
        <v>123</v>
      </c>
      <c r="BI500" s="935" t="s">
        <v>123</v>
      </c>
      <c r="BJ500" s="1003"/>
      <c r="BK500" s="907" t="s">
        <v>123</v>
      </c>
      <c r="BL500" s="907" t="s">
        <v>123</v>
      </c>
      <c r="BM500" s="907" t="s">
        <v>123</v>
      </c>
      <c r="BN500" s="1004" t="s">
        <v>123</v>
      </c>
      <c r="BO500" s="907" t="str">
        <f t="shared" si="6"/>
        <v/>
      </c>
      <c r="BP500" s="907" t="str">
        <f t="shared" si="7"/>
        <v/>
      </c>
      <c r="BQ500" s="907" t="str">
        <f t="shared" si="8"/>
        <v/>
      </c>
      <c r="BR500" s="1004" t="str">
        <f t="shared" si="9"/>
        <v/>
      </c>
      <c r="BS500" s="1005" t="str">
        <f t="shared" si="10"/>
        <v/>
      </c>
      <c r="BT500" s="1006" t="s">
        <v>123</v>
      </c>
      <c r="BU500" s="1002" t="s">
        <v>123</v>
      </c>
      <c r="BV500" s="1006" t="s">
        <v>123</v>
      </c>
      <c r="BW500" s="1007"/>
    </row>
    <row r="501">
      <c r="A501" s="624">
        <v>478.0</v>
      </c>
      <c r="B501" s="1008"/>
      <c r="C501" s="989"/>
      <c r="D501" s="851"/>
      <c r="E501" s="990"/>
      <c r="F501" s="991"/>
      <c r="G501" s="991"/>
      <c r="H501" s="992"/>
      <c r="I501" s="993"/>
      <c r="J501" s="993"/>
      <c r="K501" s="993"/>
      <c r="L501" s="993"/>
      <c r="M501" s="993"/>
      <c r="N501" s="993"/>
      <c r="O501" s="993"/>
      <c r="P501" s="993"/>
      <c r="Q501" s="993"/>
      <c r="R501" s="993"/>
      <c r="S501" s="936"/>
      <c r="T501" s="998"/>
      <c r="U501" s="935"/>
      <c r="V501" s="935"/>
      <c r="W501" s="949" t="str">
        <f>IF(AND($S$20,NOT($U$20)),IF($V501:$V623="","",SUMIF(portfolio.!$A$4:$A623,V501,portfolio.!$AN$4:$AN623)),"")</f>
        <v/>
      </c>
      <c r="X501" s="998"/>
      <c r="Y501" s="936"/>
      <c r="Z501" s="936" t="s">
        <v>123</v>
      </c>
      <c r="AA501" s="936" t="s">
        <v>123</v>
      </c>
      <c r="AB501" s="936" t="s">
        <v>123</v>
      </c>
      <c r="AC501" s="907" t="s">
        <v>123</v>
      </c>
      <c r="AD501" s="999"/>
      <c r="AE501" s="936"/>
      <c r="AF501" s="936"/>
      <c r="AG501" s="936"/>
      <c r="AH501" s="936"/>
      <c r="AI501" s="999"/>
      <c r="AJ501" s="935"/>
      <c r="AK501" s="966"/>
      <c r="AL501" s="949"/>
      <c r="AM501" s="949" t="s">
        <v>123</v>
      </c>
      <c r="AN501" s="949"/>
      <c r="AO501" s="999"/>
      <c r="AP501" s="936"/>
      <c r="AQ501" s="987"/>
      <c r="AR501" s="907"/>
      <c r="AS501" s="907"/>
      <c r="AT501" s="967" t="s">
        <v>123</v>
      </c>
      <c r="AU501" s="967" t="s">
        <v>123</v>
      </c>
      <c r="AV501" s="967" t="s">
        <v>123</v>
      </c>
      <c r="AW501" s="907" t="s">
        <v>123</v>
      </c>
      <c r="AX501" s="907" t="s">
        <v>123</v>
      </c>
      <c r="AY501" s="907" t="s">
        <v>123</v>
      </c>
      <c r="AZ501" s="936" t="s">
        <v>123</v>
      </c>
      <c r="BA501" s="935" t="s">
        <v>123</v>
      </c>
      <c r="BB501" s="1000"/>
      <c r="BC501" s="1001"/>
      <c r="BD501" s="936"/>
      <c r="BE501" s="907"/>
      <c r="BF501" s="1002" t="str">
        <f>IF($BC501="","",SUMIF(portfolio.!$A$4:$A623,BC501,portfolio.!$AN$4:$AN623))</f>
        <v/>
      </c>
      <c r="BG501" s="936" t="s">
        <v>123</v>
      </c>
      <c r="BH501" s="907" t="s">
        <v>123</v>
      </c>
      <c r="BI501" s="935" t="s">
        <v>123</v>
      </c>
      <c r="BJ501" s="1003"/>
      <c r="BK501" s="907" t="s">
        <v>123</v>
      </c>
      <c r="BL501" s="907" t="s">
        <v>123</v>
      </c>
      <c r="BM501" s="907" t="s">
        <v>123</v>
      </c>
      <c r="BN501" s="1004" t="s">
        <v>123</v>
      </c>
      <c r="BO501" s="907" t="str">
        <f t="shared" si="6"/>
        <v/>
      </c>
      <c r="BP501" s="907" t="str">
        <f t="shared" si="7"/>
        <v/>
      </c>
      <c r="BQ501" s="907" t="str">
        <f t="shared" si="8"/>
        <v/>
      </c>
      <c r="BR501" s="1004" t="str">
        <f t="shared" si="9"/>
        <v/>
      </c>
      <c r="BS501" s="1005" t="str">
        <f t="shared" si="10"/>
        <v/>
      </c>
      <c r="BT501" s="1006" t="s">
        <v>123</v>
      </c>
      <c r="BU501" s="1002" t="s">
        <v>123</v>
      </c>
      <c r="BV501" s="1006" t="s">
        <v>123</v>
      </c>
      <c r="BW501" s="1007"/>
    </row>
    <row r="502">
      <c r="A502" s="624">
        <v>479.0</v>
      </c>
      <c r="B502" s="1008"/>
      <c r="C502" s="989"/>
      <c r="D502" s="851"/>
      <c r="E502" s="990"/>
      <c r="F502" s="991"/>
      <c r="G502" s="991"/>
      <c r="H502" s="992"/>
      <c r="I502" s="993"/>
      <c r="J502" s="993"/>
      <c r="K502" s="993"/>
      <c r="L502" s="993"/>
      <c r="M502" s="993"/>
      <c r="N502" s="993"/>
      <c r="O502" s="993"/>
      <c r="P502" s="993"/>
      <c r="Q502" s="993"/>
      <c r="R502" s="993"/>
      <c r="S502" s="936"/>
      <c r="T502" s="998"/>
      <c r="U502" s="935"/>
      <c r="V502" s="935"/>
      <c r="W502" s="949" t="str">
        <f>IF(AND($S$20,NOT($U$20)),IF($V502:$V623="","",SUMIF(portfolio.!$A$4:$A623,V502,portfolio.!$AN$4:$AN623)),"")</f>
        <v/>
      </c>
      <c r="X502" s="998"/>
      <c r="Y502" s="936"/>
      <c r="Z502" s="936" t="s">
        <v>123</v>
      </c>
      <c r="AA502" s="936" t="s">
        <v>123</v>
      </c>
      <c r="AB502" s="936" t="s">
        <v>123</v>
      </c>
      <c r="AC502" s="907" t="s">
        <v>123</v>
      </c>
      <c r="AD502" s="999"/>
      <c r="AE502" s="936"/>
      <c r="AF502" s="936"/>
      <c r="AG502" s="936"/>
      <c r="AH502" s="936"/>
      <c r="AI502" s="999"/>
      <c r="AJ502" s="935"/>
      <c r="AK502" s="966"/>
      <c r="AL502" s="949"/>
      <c r="AM502" s="949" t="s">
        <v>123</v>
      </c>
      <c r="AN502" s="949"/>
      <c r="AO502" s="999"/>
      <c r="AP502" s="936"/>
      <c r="AQ502" s="987"/>
      <c r="AR502" s="907"/>
      <c r="AS502" s="907"/>
      <c r="AT502" s="967" t="s">
        <v>123</v>
      </c>
      <c r="AU502" s="967" t="s">
        <v>123</v>
      </c>
      <c r="AV502" s="967" t="s">
        <v>123</v>
      </c>
      <c r="AW502" s="907" t="s">
        <v>123</v>
      </c>
      <c r="AX502" s="907" t="s">
        <v>123</v>
      </c>
      <c r="AY502" s="907" t="s">
        <v>123</v>
      </c>
      <c r="AZ502" s="936" t="s">
        <v>123</v>
      </c>
      <c r="BA502" s="935" t="s">
        <v>123</v>
      </c>
      <c r="BB502" s="1000"/>
      <c r="BC502" s="1001"/>
      <c r="BD502" s="936"/>
      <c r="BE502" s="907"/>
      <c r="BF502" s="1002" t="str">
        <f>IF($BC502="","",SUMIF(portfolio.!$A$4:$A623,BC502,portfolio.!$AN$4:$AN623))</f>
        <v/>
      </c>
      <c r="BG502" s="936" t="s">
        <v>123</v>
      </c>
      <c r="BH502" s="907" t="s">
        <v>123</v>
      </c>
      <c r="BI502" s="935" t="s">
        <v>123</v>
      </c>
      <c r="BJ502" s="1003"/>
      <c r="BK502" s="907" t="s">
        <v>123</v>
      </c>
      <c r="BL502" s="907" t="s">
        <v>123</v>
      </c>
      <c r="BM502" s="907" t="s">
        <v>123</v>
      </c>
      <c r="BN502" s="1004" t="s">
        <v>123</v>
      </c>
      <c r="BO502" s="907" t="str">
        <f t="shared" si="6"/>
        <v/>
      </c>
      <c r="BP502" s="907" t="str">
        <f t="shared" si="7"/>
        <v/>
      </c>
      <c r="BQ502" s="907" t="str">
        <f t="shared" si="8"/>
        <v/>
      </c>
      <c r="BR502" s="1004" t="str">
        <f t="shared" si="9"/>
        <v/>
      </c>
      <c r="BS502" s="1005" t="str">
        <f t="shared" si="10"/>
        <v/>
      </c>
      <c r="BT502" s="1006" t="s">
        <v>123</v>
      </c>
      <c r="BU502" s="1002" t="s">
        <v>123</v>
      </c>
      <c r="BV502" s="1006" t="s">
        <v>123</v>
      </c>
      <c r="BW502" s="1007"/>
    </row>
    <row r="503">
      <c r="A503" s="624">
        <v>480.0</v>
      </c>
      <c r="B503" s="1008"/>
      <c r="C503" s="989"/>
      <c r="D503" s="851"/>
      <c r="E503" s="990"/>
      <c r="F503" s="991"/>
      <c r="G503" s="991"/>
      <c r="H503" s="992"/>
      <c r="I503" s="993"/>
      <c r="J503" s="993"/>
      <c r="K503" s="993"/>
      <c r="L503" s="993"/>
      <c r="M503" s="993"/>
      <c r="N503" s="993"/>
      <c r="O503" s="993"/>
      <c r="P503" s="993"/>
      <c r="Q503" s="993"/>
      <c r="R503" s="993"/>
      <c r="S503" s="936"/>
      <c r="T503" s="998"/>
      <c r="U503" s="935"/>
      <c r="V503" s="935"/>
      <c r="W503" s="949" t="str">
        <f>IF(AND($S$20,NOT($U$20)),IF($V503:$V623="","",SUMIF(portfolio.!$A$4:$A623,V503,portfolio.!$AN$4:$AN623)),"")</f>
        <v/>
      </c>
      <c r="X503" s="998"/>
      <c r="Y503" s="936"/>
      <c r="Z503" s="936" t="s">
        <v>123</v>
      </c>
      <c r="AA503" s="936" t="s">
        <v>123</v>
      </c>
      <c r="AB503" s="936" t="s">
        <v>123</v>
      </c>
      <c r="AC503" s="907" t="s">
        <v>123</v>
      </c>
      <c r="AD503" s="999"/>
      <c r="AE503" s="936"/>
      <c r="AF503" s="936"/>
      <c r="AG503" s="936"/>
      <c r="AH503" s="936"/>
      <c r="AI503" s="999"/>
      <c r="AJ503" s="935"/>
      <c r="AK503" s="966"/>
      <c r="AL503" s="949"/>
      <c r="AM503" s="949" t="s">
        <v>123</v>
      </c>
      <c r="AN503" s="949"/>
      <c r="AO503" s="999"/>
      <c r="AP503" s="936"/>
      <c r="AQ503" s="987"/>
      <c r="AR503" s="907"/>
      <c r="AS503" s="907"/>
      <c r="AT503" s="967" t="s">
        <v>123</v>
      </c>
      <c r="AU503" s="967" t="s">
        <v>123</v>
      </c>
      <c r="AV503" s="967" t="s">
        <v>123</v>
      </c>
      <c r="AW503" s="907" t="s">
        <v>123</v>
      </c>
      <c r="AX503" s="907" t="s">
        <v>123</v>
      </c>
      <c r="AY503" s="907" t="s">
        <v>123</v>
      </c>
      <c r="AZ503" s="936" t="s">
        <v>123</v>
      </c>
      <c r="BA503" s="935" t="s">
        <v>123</v>
      </c>
      <c r="BB503" s="1000"/>
      <c r="BC503" s="1001"/>
      <c r="BD503" s="936"/>
      <c r="BE503" s="907"/>
      <c r="BF503" s="1002" t="str">
        <f>IF($BC503="","",SUMIF(portfolio.!$A$4:$A623,BC503,portfolio.!$AN$4:$AN623))</f>
        <v/>
      </c>
      <c r="BG503" s="936" t="s">
        <v>123</v>
      </c>
      <c r="BH503" s="907" t="s">
        <v>123</v>
      </c>
      <c r="BI503" s="935" t="s">
        <v>123</v>
      </c>
      <c r="BJ503" s="1003"/>
      <c r="BK503" s="907" t="s">
        <v>123</v>
      </c>
      <c r="BL503" s="907" t="s">
        <v>123</v>
      </c>
      <c r="BM503" s="907" t="s">
        <v>123</v>
      </c>
      <c r="BN503" s="1004" t="s">
        <v>123</v>
      </c>
      <c r="BO503" s="907" t="str">
        <f t="shared" si="6"/>
        <v/>
      </c>
      <c r="BP503" s="907" t="str">
        <f t="shared" si="7"/>
        <v/>
      </c>
      <c r="BQ503" s="907" t="str">
        <f t="shared" si="8"/>
        <v/>
      </c>
      <c r="BR503" s="1004" t="str">
        <f t="shared" si="9"/>
        <v/>
      </c>
      <c r="BS503" s="1005" t="str">
        <f t="shared" si="10"/>
        <v/>
      </c>
      <c r="BT503" s="1006" t="s">
        <v>123</v>
      </c>
      <c r="BU503" s="1002" t="s">
        <v>123</v>
      </c>
      <c r="BV503" s="1006" t="s">
        <v>123</v>
      </c>
      <c r="BW503" s="1007"/>
    </row>
    <row r="504">
      <c r="A504" s="624">
        <v>481.0</v>
      </c>
      <c r="B504" s="1008"/>
      <c r="C504" s="989"/>
      <c r="D504" s="851"/>
      <c r="E504" s="990"/>
      <c r="F504" s="991"/>
      <c r="G504" s="991"/>
      <c r="H504" s="992"/>
      <c r="I504" s="993"/>
      <c r="J504" s="993"/>
      <c r="K504" s="993"/>
      <c r="L504" s="993"/>
      <c r="M504" s="993"/>
      <c r="N504" s="993"/>
      <c r="O504" s="993"/>
      <c r="P504" s="993"/>
      <c r="Q504" s="993"/>
      <c r="R504" s="993"/>
      <c r="S504" s="936"/>
      <c r="T504" s="998"/>
      <c r="U504" s="935"/>
      <c r="V504" s="935"/>
      <c r="W504" s="949" t="str">
        <f>IF(AND($S$20,NOT($U$20)),IF($V504:$V623="","",SUMIF(portfolio.!$A$4:$A623,V504,portfolio.!$AN$4:$AN623)),"")</f>
        <v/>
      </c>
      <c r="X504" s="998"/>
      <c r="Y504" s="936"/>
      <c r="Z504" s="936" t="s">
        <v>123</v>
      </c>
      <c r="AA504" s="936" t="s">
        <v>123</v>
      </c>
      <c r="AB504" s="936" t="s">
        <v>123</v>
      </c>
      <c r="AC504" s="907" t="s">
        <v>123</v>
      </c>
      <c r="AD504" s="999"/>
      <c r="AE504" s="936"/>
      <c r="AF504" s="936"/>
      <c r="AG504" s="936"/>
      <c r="AH504" s="936"/>
      <c r="AI504" s="999"/>
      <c r="AJ504" s="935"/>
      <c r="AK504" s="966"/>
      <c r="AL504" s="949"/>
      <c r="AM504" s="949" t="s">
        <v>123</v>
      </c>
      <c r="AN504" s="949"/>
      <c r="AO504" s="999"/>
      <c r="AP504" s="936"/>
      <c r="AQ504" s="987"/>
      <c r="AR504" s="907"/>
      <c r="AS504" s="907"/>
      <c r="AT504" s="967" t="s">
        <v>123</v>
      </c>
      <c r="AU504" s="967" t="s">
        <v>123</v>
      </c>
      <c r="AV504" s="967" t="s">
        <v>123</v>
      </c>
      <c r="AW504" s="907" t="s">
        <v>123</v>
      </c>
      <c r="AX504" s="907" t="s">
        <v>123</v>
      </c>
      <c r="AY504" s="907" t="s">
        <v>123</v>
      </c>
      <c r="AZ504" s="936" t="s">
        <v>123</v>
      </c>
      <c r="BA504" s="935" t="s">
        <v>123</v>
      </c>
      <c r="BB504" s="1000"/>
      <c r="BC504" s="1001"/>
      <c r="BD504" s="936"/>
      <c r="BE504" s="907"/>
      <c r="BF504" s="1002" t="str">
        <f>IF($BC504="","",SUMIF(portfolio.!$A$4:$A623,BC504,portfolio.!$AN$4:$AN623))</f>
        <v/>
      </c>
      <c r="BG504" s="936" t="s">
        <v>123</v>
      </c>
      <c r="BH504" s="907" t="s">
        <v>123</v>
      </c>
      <c r="BI504" s="935" t="s">
        <v>123</v>
      </c>
      <c r="BJ504" s="1003"/>
      <c r="BK504" s="907" t="s">
        <v>123</v>
      </c>
      <c r="BL504" s="907" t="s">
        <v>123</v>
      </c>
      <c r="BM504" s="907" t="s">
        <v>123</v>
      </c>
      <c r="BN504" s="1004" t="s">
        <v>123</v>
      </c>
      <c r="BO504" s="907" t="str">
        <f t="shared" si="6"/>
        <v/>
      </c>
      <c r="BP504" s="907" t="str">
        <f t="shared" si="7"/>
        <v/>
      </c>
      <c r="BQ504" s="907" t="str">
        <f t="shared" si="8"/>
        <v/>
      </c>
      <c r="BR504" s="1004" t="str">
        <f t="shared" si="9"/>
        <v/>
      </c>
      <c r="BS504" s="1005" t="str">
        <f t="shared" si="10"/>
        <v/>
      </c>
      <c r="BT504" s="1006" t="s">
        <v>123</v>
      </c>
      <c r="BU504" s="1002" t="s">
        <v>123</v>
      </c>
      <c r="BV504" s="1006" t="s">
        <v>123</v>
      </c>
      <c r="BW504" s="1007"/>
    </row>
    <row r="505">
      <c r="A505" s="624">
        <v>482.0</v>
      </c>
      <c r="B505" s="1008"/>
      <c r="C505" s="989"/>
      <c r="D505" s="851"/>
      <c r="E505" s="990"/>
      <c r="F505" s="991"/>
      <c r="G505" s="991"/>
      <c r="H505" s="992"/>
      <c r="I505" s="993"/>
      <c r="J505" s="993"/>
      <c r="K505" s="993"/>
      <c r="L505" s="993"/>
      <c r="M505" s="993"/>
      <c r="N505" s="993"/>
      <c r="O505" s="993"/>
      <c r="P505" s="993"/>
      <c r="Q505" s="993"/>
      <c r="R505" s="993"/>
      <c r="S505" s="936"/>
      <c r="T505" s="998"/>
      <c r="U505" s="935"/>
      <c r="V505" s="935"/>
      <c r="W505" s="949" t="str">
        <f>IF(AND($S$20,NOT($U$20)),IF($V505:$V623="","",SUMIF(portfolio.!$A$4:$A623,V505,portfolio.!$AN$4:$AN623)),"")</f>
        <v/>
      </c>
      <c r="X505" s="998"/>
      <c r="Y505" s="936"/>
      <c r="Z505" s="936" t="s">
        <v>123</v>
      </c>
      <c r="AA505" s="936" t="s">
        <v>123</v>
      </c>
      <c r="AB505" s="936" t="s">
        <v>123</v>
      </c>
      <c r="AC505" s="907" t="s">
        <v>123</v>
      </c>
      <c r="AD505" s="999"/>
      <c r="AE505" s="936"/>
      <c r="AF505" s="936"/>
      <c r="AG505" s="936"/>
      <c r="AH505" s="936"/>
      <c r="AI505" s="999"/>
      <c r="AJ505" s="935"/>
      <c r="AK505" s="966"/>
      <c r="AL505" s="949"/>
      <c r="AM505" s="949" t="s">
        <v>123</v>
      </c>
      <c r="AN505" s="949"/>
      <c r="AO505" s="999"/>
      <c r="AP505" s="936"/>
      <c r="AQ505" s="987"/>
      <c r="AR505" s="907"/>
      <c r="AS505" s="907"/>
      <c r="AT505" s="967" t="s">
        <v>123</v>
      </c>
      <c r="AU505" s="967" t="s">
        <v>123</v>
      </c>
      <c r="AV505" s="967" t="s">
        <v>123</v>
      </c>
      <c r="AW505" s="907" t="s">
        <v>123</v>
      </c>
      <c r="AX505" s="907" t="s">
        <v>123</v>
      </c>
      <c r="AY505" s="907" t="s">
        <v>123</v>
      </c>
      <c r="AZ505" s="936" t="s">
        <v>123</v>
      </c>
      <c r="BA505" s="935" t="s">
        <v>123</v>
      </c>
      <c r="BB505" s="1000"/>
      <c r="BC505" s="1001"/>
      <c r="BD505" s="936"/>
      <c r="BE505" s="907"/>
      <c r="BF505" s="1002" t="str">
        <f>IF($BC505="","",SUMIF(portfolio.!$A$4:$A623,BC505,portfolio.!$AN$4:$AN623))</f>
        <v/>
      </c>
      <c r="BG505" s="936" t="s">
        <v>123</v>
      </c>
      <c r="BH505" s="907" t="s">
        <v>123</v>
      </c>
      <c r="BI505" s="935" t="s">
        <v>123</v>
      </c>
      <c r="BJ505" s="1003"/>
      <c r="BK505" s="907" t="s">
        <v>123</v>
      </c>
      <c r="BL505" s="907" t="s">
        <v>123</v>
      </c>
      <c r="BM505" s="907" t="s">
        <v>123</v>
      </c>
      <c r="BN505" s="1004" t="s">
        <v>123</v>
      </c>
      <c r="BO505" s="907" t="str">
        <f t="shared" si="6"/>
        <v/>
      </c>
      <c r="BP505" s="907" t="str">
        <f t="shared" si="7"/>
        <v/>
      </c>
      <c r="BQ505" s="907" t="str">
        <f t="shared" si="8"/>
        <v/>
      </c>
      <c r="BR505" s="1004" t="str">
        <f t="shared" si="9"/>
        <v/>
      </c>
      <c r="BS505" s="1005" t="str">
        <f t="shared" si="10"/>
        <v/>
      </c>
      <c r="BT505" s="1006" t="s">
        <v>123</v>
      </c>
      <c r="BU505" s="1002" t="s">
        <v>123</v>
      </c>
      <c r="BV505" s="1006" t="s">
        <v>123</v>
      </c>
      <c r="BW505" s="1007"/>
    </row>
    <row r="506">
      <c r="A506" s="624">
        <v>483.0</v>
      </c>
      <c r="B506" s="1008"/>
      <c r="C506" s="989"/>
      <c r="D506" s="851"/>
      <c r="E506" s="990"/>
      <c r="F506" s="991"/>
      <c r="G506" s="991"/>
      <c r="H506" s="992"/>
      <c r="I506" s="993"/>
      <c r="J506" s="993"/>
      <c r="K506" s="993"/>
      <c r="L506" s="993"/>
      <c r="M506" s="993"/>
      <c r="N506" s="993"/>
      <c r="O506" s="993"/>
      <c r="P506" s="993"/>
      <c r="Q506" s="993"/>
      <c r="R506" s="993"/>
      <c r="S506" s="936"/>
      <c r="T506" s="998"/>
      <c r="U506" s="935"/>
      <c r="V506" s="935"/>
      <c r="W506" s="949" t="str">
        <f>IF(AND($S$20,NOT($U$20)),IF($V506:$V623="","",SUMIF(portfolio.!$A$4:$A623,V506,portfolio.!$AN$4:$AN623)),"")</f>
        <v/>
      </c>
      <c r="X506" s="998"/>
      <c r="Y506" s="936"/>
      <c r="Z506" s="936" t="s">
        <v>123</v>
      </c>
      <c r="AA506" s="936" t="s">
        <v>123</v>
      </c>
      <c r="AB506" s="936" t="s">
        <v>123</v>
      </c>
      <c r="AC506" s="907" t="s">
        <v>123</v>
      </c>
      <c r="AD506" s="999"/>
      <c r="AE506" s="936"/>
      <c r="AF506" s="936"/>
      <c r="AG506" s="936"/>
      <c r="AH506" s="936"/>
      <c r="AI506" s="999"/>
      <c r="AJ506" s="935"/>
      <c r="AK506" s="966"/>
      <c r="AL506" s="949"/>
      <c r="AM506" s="949" t="s">
        <v>123</v>
      </c>
      <c r="AN506" s="949"/>
      <c r="AO506" s="999"/>
      <c r="AP506" s="936"/>
      <c r="AQ506" s="987"/>
      <c r="AR506" s="907"/>
      <c r="AS506" s="907"/>
      <c r="AT506" s="967" t="s">
        <v>123</v>
      </c>
      <c r="AU506" s="967" t="s">
        <v>123</v>
      </c>
      <c r="AV506" s="967" t="s">
        <v>123</v>
      </c>
      <c r="AW506" s="907" t="s">
        <v>123</v>
      </c>
      <c r="AX506" s="907" t="s">
        <v>123</v>
      </c>
      <c r="AY506" s="907" t="s">
        <v>123</v>
      </c>
      <c r="AZ506" s="936" t="s">
        <v>123</v>
      </c>
      <c r="BA506" s="935" t="s">
        <v>123</v>
      </c>
      <c r="BB506" s="1000"/>
      <c r="BC506" s="1001"/>
      <c r="BD506" s="936"/>
      <c r="BE506" s="907"/>
      <c r="BF506" s="1002" t="str">
        <f>IF($BC506="","",SUMIF(portfolio.!$A$4:$A623,BC506,portfolio.!$AN$4:$AN623))</f>
        <v/>
      </c>
      <c r="BG506" s="936" t="s">
        <v>123</v>
      </c>
      <c r="BH506" s="907" t="s">
        <v>123</v>
      </c>
      <c r="BI506" s="935" t="s">
        <v>123</v>
      </c>
      <c r="BJ506" s="1003"/>
      <c r="BK506" s="907" t="s">
        <v>123</v>
      </c>
      <c r="BL506" s="907" t="s">
        <v>123</v>
      </c>
      <c r="BM506" s="907" t="s">
        <v>123</v>
      </c>
      <c r="BN506" s="1004" t="s">
        <v>123</v>
      </c>
      <c r="BO506" s="907" t="str">
        <f t="shared" si="6"/>
        <v/>
      </c>
      <c r="BP506" s="907" t="str">
        <f t="shared" si="7"/>
        <v/>
      </c>
      <c r="BQ506" s="907" t="str">
        <f t="shared" si="8"/>
        <v/>
      </c>
      <c r="BR506" s="1004" t="str">
        <f t="shared" si="9"/>
        <v/>
      </c>
      <c r="BS506" s="1005" t="str">
        <f t="shared" si="10"/>
        <v/>
      </c>
      <c r="BT506" s="1006" t="s">
        <v>123</v>
      </c>
      <c r="BU506" s="1002" t="s">
        <v>123</v>
      </c>
      <c r="BV506" s="1006" t="s">
        <v>123</v>
      </c>
      <c r="BW506" s="1007"/>
    </row>
    <row r="507">
      <c r="A507" s="624">
        <v>484.0</v>
      </c>
      <c r="B507" s="1008"/>
      <c r="C507" s="989"/>
      <c r="D507" s="851"/>
      <c r="E507" s="990"/>
      <c r="F507" s="991"/>
      <c r="G507" s="991"/>
      <c r="H507" s="992"/>
      <c r="I507" s="993"/>
      <c r="J507" s="993"/>
      <c r="K507" s="993"/>
      <c r="L507" s="993"/>
      <c r="M507" s="993"/>
      <c r="N507" s="993"/>
      <c r="O507" s="993"/>
      <c r="P507" s="993"/>
      <c r="Q507" s="993"/>
      <c r="R507" s="993"/>
      <c r="S507" s="936"/>
      <c r="T507" s="998"/>
      <c r="U507" s="935"/>
      <c r="V507" s="935"/>
      <c r="W507" s="949" t="str">
        <f>IF(AND($S$20,NOT($U$20)),IF($V507:$V623="","",SUMIF(portfolio.!$A$4:$A623,V507,portfolio.!$AN$4:$AN623)),"")</f>
        <v/>
      </c>
      <c r="X507" s="998"/>
      <c r="Y507" s="936"/>
      <c r="Z507" s="936" t="s">
        <v>123</v>
      </c>
      <c r="AA507" s="936" t="s">
        <v>123</v>
      </c>
      <c r="AB507" s="936" t="s">
        <v>123</v>
      </c>
      <c r="AC507" s="907" t="s">
        <v>123</v>
      </c>
      <c r="AD507" s="999"/>
      <c r="AE507" s="936"/>
      <c r="AF507" s="936"/>
      <c r="AG507" s="936"/>
      <c r="AH507" s="936"/>
      <c r="AI507" s="999"/>
      <c r="AJ507" s="935"/>
      <c r="AK507" s="966"/>
      <c r="AL507" s="949"/>
      <c r="AM507" s="949" t="s">
        <v>123</v>
      </c>
      <c r="AN507" s="949"/>
      <c r="AO507" s="999"/>
      <c r="AP507" s="936"/>
      <c r="AQ507" s="987"/>
      <c r="AR507" s="907"/>
      <c r="AS507" s="907"/>
      <c r="AT507" s="967" t="s">
        <v>123</v>
      </c>
      <c r="AU507" s="967" t="s">
        <v>123</v>
      </c>
      <c r="AV507" s="967" t="s">
        <v>123</v>
      </c>
      <c r="AW507" s="907" t="s">
        <v>123</v>
      </c>
      <c r="AX507" s="907" t="s">
        <v>123</v>
      </c>
      <c r="AY507" s="907" t="s">
        <v>123</v>
      </c>
      <c r="AZ507" s="936" t="s">
        <v>123</v>
      </c>
      <c r="BA507" s="935" t="s">
        <v>123</v>
      </c>
      <c r="BB507" s="1000"/>
      <c r="BC507" s="1001"/>
      <c r="BD507" s="936"/>
      <c r="BE507" s="907"/>
      <c r="BF507" s="1002" t="str">
        <f>IF($BC507="","",SUMIF(portfolio.!$A$4:$A623,BC507,portfolio.!$AN$4:$AN623))</f>
        <v/>
      </c>
      <c r="BG507" s="936" t="s">
        <v>123</v>
      </c>
      <c r="BH507" s="907" t="s">
        <v>123</v>
      </c>
      <c r="BI507" s="935" t="s">
        <v>123</v>
      </c>
      <c r="BJ507" s="1003"/>
      <c r="BK507" s="907" t="s">
        <v>123</v>
      </c>
      <c r="BL507" s="907" t="s">
        <v>123</v>
      </c>
      <c r="BM507" s="907" t="s">
        <v>123</v>
      </c>
      <c r="BN507" s="1004" t="s">
        <v>123</v>
      </c>
      <c r="BO507" s="907" t="str">
        <f t="shared" si="6"/>
        <v/>
      </c>
      <c r="BP507" s="907" t="str">
        <f t="shared" si="7"/>
        <v/>
      </c>
      <c r="BQ507" s="907" t="str">
        <f t="shared" si="8"/>
        <v/>
      </c>
      <c r="BR507" s="1004" t="str">
        <f t="shared" si="9"/>
        <v/>
      </c>
      <c r="BS507" s="1005" t="str">
        <f t="shared" si="10"/>
        <v/>
      </c>
      <c r="BT507" s="1006" t="s">
        <v>123</v>
      </c>
      <c r="BU507" s="1002" t="s">
        <v>123</v>
      </c>
      <c r="BV507" s="1006" t="s">
        <v>123</v>
      </c>
      <c r="BW507" s="1007"/>
    </row>
    <row r="508">
      <c r="A508" s="624">
        <v>485.0</v>
      </c>
      <c r="B508" s="1008"/>
      <c r="C508" s="989"/>
      <c r="D508" s="851"/>
      <c r="E508" s="990"/>
      <c r="F508" s="991"/>
      <c r="G508" s="991"/>
      <c r="H508" s="992"/>
      <c r="I508" s="993"/>
      <c r="J508" s="993"/>
      <c r="K508" s="993"/>
      <c r="L508" s="993"/>
      <c r="M508" s="993"/>
      <c r="N508" s="993"/>
      <c r="O508" s="993"/>
      <c r="P508" s="993"/>
      <c r="Q508" s="993"/>
      <c r="R508" s="993"/>
      <c r="S508" s="936"/>
      <c r="T508" s="998"/>
      <c r="U508" s="935"/>
      <c r="V508" s="935"/>
      <c r="W508" s="949" t="str">
        <f>IF(AND($S$20,NOT($U$20)),IF($V508:$V623="","",SUMIF(portfolio.!$A$4:$A623,V508,portfolio.!$AN$4:$AN623)),"")</f>
        <v/>
      </c>
      <c r="X508" s="998"/>
      <c r="Y508" s="936"/>
      <c r="Z508" s="936" t="s">
        <v>123</v>
      </c>
      <c r="AA508" s="936" t="s">
        <v>123</v>
      </c>
      <c r="AB508" s="936" t="s">
        <v>123</v>
      </c>
      <c r="AC508" s="907" t="s">
        <v>123</v>
      </c>
      <c r="AD508" s="999"/>
      <c r="AE508" s="936"/>
      <c r="AF508" s="936"/>
      <c r="AG508" s="936"/>
      <c r="AH508" s="936"/>
      <c r="AI508" s="999"/>
      <c r="AJ508" s="935"/>
      <c r="AK508" s="966"/>
      <c r="AL508" s="949"/>
      <c r="AM508" s="949" t="s">
        <v>123</v>
      </c>
      <c r="AN508" s="949"/>
      <c r="AO508" s="999"/>
      <c r="AP508" s="936"/>
      <c r="AQ508" s="987"/>
      <c r="AR508" s="907"/>
      <c r="AS508" s="907"/>
      <c r="AT508" s="967" t="s">
        <v>123</v>
      </c>
      <c r="AU508" s="967" t="s">
        <v>123</v>
      </c>
      <c r="AV508" s="967" t="s">
        <v>123</v>
      </c>
      <c r="AW508" s="907" t="s">
        <v>123</v>
      </c>
      <c r="AX508" s="907" t="s">
        <v>123</v>
      </c>
      <c r="AY508" s="907" t="s">
        <v>123</v>
      </c>
      <c r="AZ508" s="936" t="s">
        <v>123</v>
      </c>
      <c r="BA508" s="935" t="s">
        <v>123</v>
      </c>
      <c r="BB508" s="1000"/>
      <c r="BC508" s="1001"/>
      <c r="BD508" s="936"/>
      <c r="BE508" s="907"/>
      <c r="BF508" s="1002" t="str">
        <f>IF($BC508="","",SUMIF(portfolio.!$A$4:$A623,BC508,portfolio.!$AN$4:$AN623))</f>
        <v/>
      </c>
      <c r="BG508" s="936" t="s">
        <v>123</v>
      </c>
      <c r="BH508" s="907" t="s">
        <v>123</v>
      </c>
      <c r="BI508" s="935" t="s">
        <v>123</v>
      </c>
      <c r="BJ508" s="1003"/>
      <c r="BK508" s="907" t="s">
        <v>123</v>
      </c>
      <c r="BL508" s="907" t="s">
        <v>123</v>
      </c>
      <c r="BM508" s="907" t="s">
        <v>123</v>
      </c>
      <c r="BN508" s="1004" t="s">
        <v>123</v>
      </c>
      <c r="BO508" s="907" t="str">
        <f t="shared" si="6"/>
        <v/>
      </c>
      <c r="BP508" s="907" t="str">
        <f t="shared" si="7"/>
        <v/>
      </c>
      <c r="BQ508" s="907" t="str">
        <f t="shared" si="8"/>
        <v/>
      </c>
      <c r="BR508" s="1004" t="str">
        <f t="shared" si="9"/>
        <v/>
      </c>
      <c r="BS508" s="1005" t="str">
        <f t="shared" si="10"/>
        <v/>
      </c>
      <c r="BT508" s="1006" t="s">
        <v>123</v>
      </c>
      <c r="BU508" s="1002" t="s">
        <v>123</v>
      </c>
      <c r="BV508" s="1006" t="s">
        <v>123</v>
      </c>
      <c r="BW508" s="1007"/>
    </row>
    <row r="509">
      <c r="A509" s="624">
        <v>486.0</v>
      </c>
      <c r="B509" s="1008"/>
      <c r="C509" s="989"/>
      <c r="D509" s="851"/>
      <c r="E509" s="990"/>
      <c r="F509" s="991"/>
      <c r="G509" s="991"/>
      <c r="H509" s="992"/>
      <c r="I509" s="993"/>
      <c r="J509" s="993"/>
      <c r="K509" s="993"/>
      <c r="L509" s="993"/>
      <c r="M509" s="993"/>
      <c r="N509" s="993"/>
      <c r="O509" s="993"/>
      <c r="P509" s="993"/>
      <c r="Q509" s="993"/>
      <c r="R509" s="993"/>
      <c r="S509" s="936"/>
      <c r="T509" s="998"/>
      <c r="U509" s="935"/>
      <c r="V509" s="935"/>
      <c r="W509" s="949" t="str">
        <f>IF(AND($S$20,NOT($U$20)),IF($V509:$V623="","",SUMIF(portfolio.!$A$4:$A623,V509,portfolio.!$AN$4:$AN623)),"")</f>
        <v/>
      </c>
      <c r="X509" s="998"/>
      <c r="Y509" s="936"/>
      <c r="Z509" s="936" t="s">
        <v>123</v>
      </c>
      <c r="AA509" s="936" t="s">
        <v>123</v>
      </c>
      <c r="AB509" s="936" t="s">
        <v>123</v>
      </c>
      <c r="AC509" s="907" t="s">
        <v>123</v>
      </c>
      <c r="AD509" s="999"/>
      <c r="AE509" s="936"/>
      <c r="AF509" s="936"/>
      <c r="AG509" s="936"/>
      <c r="AH509" s="936"/>
      <c r="AI509" s="999"/>
      <c r="AJ509" s="935"/>
      <c r="AK509" s="966"/>
      <c r="AL509" s="949"/>
      <c r="AM509" s="949" t="s">
        <v>123</v>
      </c>
      <c r="AN509" s="949"/>
      <c r="AO509" s="999"/>
      <c r="AP509" s="936"/>
      <c r="AQ509" s="987"/>
      <c r="AR509" s="907"/>
      <c r="AS509" s="907"/>
      <c r="AT509" s="967" t="s">
        <v>123</v>
      </c>
      <c r="AU509" s="967" t="s">
        <v>123</v>
      </c>
      <c r="AV509" s="967" t="s">
        <v>123</v>
      </c>
      <c r="AW509" s="907" t="s">
        <v>123</v>
      </c>
      <c r="AX509" s="907" t="s">
        <v>123</v>
      </c>
      <c r="AY509" s="907" t="s">
        <v>123</v>
      </c>
      <c r="AZ509" s="936" t="s">
        <v>123</v>
      </c>
      <c r="BA509" s="935" t="s">
        <v>123</v>
      </c>
      <c r="BB509" s="1000"/>
      <c r="BC509" s="1001"/>
      <c r="BD509" s="936"/>
      <c r="BE509" s="907"/>
      <c r="BF509" s="1002" t="str">
        <f>IF($BC509="","",SUMIF(portfolio.!$A$4:$A623,BC509,portfolio.!$AN$4:$AN623))</f>
        <v/>
      </c>
      <c r="BG509" s="936" t="s">
        <v>123</v>
      </c>
      <c r="BH509" s="907" t="s">
        <v>123</v>
      </c>
      <c r="BI509" s="935" t="s">
        <v>123</v>
      </c>
      <c r="BJ509" s="1003"/>
      <c r="BK509" s="907" t="s">
        <v>123</v>
      </c>
      <c r="BL509" s="907" t="s">
        <v>123</v>
      </c>
      <c r="BM509" s="907" t="s">
        <v>123</v>
      </c>
      <c r="BN509" s="1004" t="s">
        <v>123</v>
      </c>
      <c r="BO509" s="907" t="str">
        <f t="shared" si="6"/>
        <v/>
      </c>
      <c r="BP509" s="907" t="str">
        <f t="shared" si="7"/>
        <v/>
      </c>
      <c r="BQ509" s="907" t="str">
        <f t="shared" si="8"/>
        <v/>
      </c>
      <c r="BR509" s="1004" t="str">
        <f t="shared" si="9"/>
        <v/>
      </c>
      <c r="BS509" s="1005" t="str">
        <f t="shared" si="10"/>
        <v/>
      </c>
      <c r="BT509" s="1006" t="s">
        <v>123</v>
      </c>
      <c r="BU509" s="1002" t="s">
        <v>123</v>
      </c>
      <c r="BV509" s="1006" t="s">
        <v>123</v>
      </c>
      <c r="BW509" s="1007"/>
    </row>
    <row r="510">
      <c r="A510" s="624">
        <v>487.0</v>
      </c>
      <c r="B510" s="1008"/>
      <c r="C510" s="989"/>
      <c r="D510" s="851"/>
      <c r="E510" s="990"/>
      <c r="F510" s="991"/>
      <c r="G510" s="991"/>
      <c r="H510" s="992"/>
      <c r="I510" s="993"/>
      <c r="J510" s="993"/>
      <c r="K510" s="993"/>
      <c r="L510" s="993"/>
      <c r="M510" s="993"/>
      <c r="N510" s="993"/>
      <c r="O510" s="993"/>
      <c r="P510" s="993"/>
      <c r="Q510" s="993"/>
      <c r="R510" s="993"/>
      <c r="S510" s="936"/>
      <c r="T510" s="998"/>
      <c r="U510" s="935"/>
      <c r="V510" s="935"/>
      <c r="W510" s="949" t="str">
        <f>IF(AND($S$20,NOT($U$20)),IF($V510:$V623="","",SUMIF(portfolio.!$A$4:$A623,V510,portfolio.!$AN$4:$AN623)),"")</f>
        <v/>
      </c>
      <c r="X510" s="998"/>
      <c r="Y510" s="936"/>
      <c r="Z510" s="936" t="s">
        <v>123</v>
      </c>
      <c r="AA510" s="936" t="s">
        <v>123</v>
      </c>
      <c r="AB510" s="936" t="s">
        <v>123</v>
      </c>
      <c r="AC510" s="907" t="s">
        <v>123</v>
      </c>
      <c r="AD510" s="999"/>
      <c r="AE510" s="936"/>
      <c r="AF510" s="936"/>
      <c r="AG510" s="936"/>
      <c r="AH510" s="936"/>
      <c r="AI510" s="999"/>
      <c r="AJ510" s="935"/>
      <c r="AK510" s="966"/>
      <c r="AL510" s="949"/>
      <c r="AM510" s="949" t="s">
        <v>123</v>
      </c>
      <c r="AN510" s="949"/>
      <c r="AO510" s="999"/>
      <c r="AP510" s="936"/>
      <c r="AQ510" s="987"/>
      <c r="AR510" s="907"/>
      <c r="AS510" s="907"/>
      <c r="AT510" s="967" t="s">
        <v>123</v>
      </c>
      <c r="AU510" s="967" t="s">
        <v>123</v>
      </c>
      <c r="AV510" s="967" t="s">
        <v>123</v>
      </c>
      <c r="AW510" s="907" t="s">
        <v>123</v>
      </c>
      <c r="AX510" s="907" t="s">
        <v>123</v>
      </c>
      <c r="AY510" s="907" t="s">
        <v>123</v>
      </c>
      <c r="AZ510" s="936" t="s">
        <v>123</v>
      </c>
      <c r="BA510" s="935" t="s">
        <v>123</v>
      </c>
      <c r="BB510" s="1000"/>
      <c r="BC510" s="1001"/>
      <c r="BD510" s="936"/>
      <c r="BE510" s="907"/>
      <c r="BF510" s="1002" t="str">
        <f>IF($BC510="","",SUMIF(portfolio.!$A$4:$A623,BC510,portfolio.!$AN$4:$AN623))</f>
        <v/>
      </c>
      <c r="BG510" s="936" t="s">
        <v>123</v>
      </c>
      <c r="BH510" s="907" t="s">
        <v>123</v>
      </c>
      <c r="BI510" s="935" t="s">
        <v>123</v>
      </c>
      <c r="BJ510" s="1003"/>
      <c r="BK510" s="907" t="s">
        <v>123</v>
      </c>
      <c r="BL510" s="907" t="s">
        <v>123</v>
      </c>
      <c r="BM510" s="907" t="s">
        <v>123</v>
      </c>
      <c r="BN510" s="1004" t="s">
        <v>123</v>
      </c>
      <c r="BO510" s="907" t="str">
        <f t="shared" si="6"/>
        <v/>
      </c>
      <c r="BP510" s="907" t="str">
        <f t="shared" si="7"/>
        <v/>
      </c>
      <c r="BQ510" s="907" t="str">
        <f t="shared" si="8"/>
        <v/>
      </c>
      <c r="BR510" s="1004" t="str">
        <f t="shared" si="9"/>
        <v/>
      </c>
      <c r="BS510" s="1005" t="str">
        <f t="shared" si="10"/>
        <v/>
      </c>
      <c r="BT510" s="1006" t="s">
        <v>123</v>
      </c>
      <c r="BU510" s="1002" t="s">
        <v>123</v>
      </c>
      <c r="BV510" s="1006" t="s">
        <v>123</v>
      </c>
      <c r="BW510" s="1007"/>
    </row>
    <row r="511">
      <c r="A511" s="624">
        <v>488.0</v>
      </c>
      <c r="B511" s="1008"/>
      <c r="C511" s="989"/>
      <c r="D511" s="851"/>
      <c r="E511" s="990"/>
      <c r="F511" s="991"/>
      <c r="G511" s="991"/>
      <c r="H511" s="992"/>
      <c r="I511" s="993"/>
      <c r="J511" s="993"/>
      <c r="K511" s="993"/>
      <c r="L511" s="993"/>
      <c r="M511" s="993"/>
      <c r="N511" s="993"/>
      <c r="O511" s="993"/>
      <c r="P511" s="993"/>
      <c r="Q511" s="993"/>
      <c r="R511" s="993"/>
      <c r="S511" s="936"/>
      <c r="T511" s="998"/>
      <c r="U511" s="935"/>
      <c r="V511" s="935"/>
      <c r="W511" s="949" t="str">
        <f>IF(AND($S$20,NOT($U$20)),IF($V511:$V623="","",SUMIF(portfolio.!$A$4:$A623,V511,portfolio.!$AN$4:$AN623)),"")</f>
        <v/>
      </c>
      <c r="X511" s="998"/>
      <c r="Y511" s="936"/>
      <c r="Z511" s="936" t="s">
        <v>123</v>
      </c>
      <c r="AA511" s="936" t="s">
        <v>123</v>
      </c>
      <c r="AB511" s="936" t="s">
        <v>123</v>
      </c>
      <c r="AC511" s="907" t="s">
        <v>123</v>
      </c>
      <c r="AD511" s="999"/>
      <c r="AE511" s="936"/>
      <c r="AF511" s="936"/>
      <c r="AG511" s="936"/>
      <c r="AH511" s="936"/>
      <c r="AI511" s="999"/>
      <c r="AJ511" s="935"/>
      <c r="AK511" s="966"/>
      <c r="AL511" s="949"/>
      <c r="AM511" s="949" t="s">
        <v>123</v>
      </c>
      <c r="AN511" s="949"/>
      <c r="AO511" s="999"/>
      <c r="AP511" s="936"/>
      <c r="AQ511" s="987"/>
      <c r="AR511" s="907"/>
      <c r="AS511" s="907"/>
      <c r="AT511" s="967" t="s">
        <v>123</v>
      </c>
      <c r="AU511" s="967" t="s">
        <v>123</v>
      </c>
      <c r="AV511" s="967" t="s">
        <v>123</v>
      </c>
      <c r="AW511" s="907" t="s">
        <v>123</v>
      </c>
      <c r="AX511" s="907" t="s">
        <v>123</v>
      </c>
      <c r="AY511" s="907" t="s">
        <v>123</v>
      </c>
      <c r="AZ511" s="936" t="s">
        <v>123</v>
      </c>
      <c r="BA511" s="935" t="s">
        <v>123</v>
      </c>
      <c r="BB511" s="1000"/>
      <c r="BC511" s="1001"/>
      <c r="BD511" s="936"/>
      <c r="BE511" s="907"/>
      <c r="BF511" s="1002" t="str">
        <f>IF($BC511="","",SUMIF(portfolio.!$A$4:$A623,BC511,portfolio.!$AN$4:$AN623))</f>
        <v/>
      </c>
      <c r="BG511" s="936" t="s">
        <v>123</v>
      </c>
      <c r="BH511" s="907" t="s">
        <v>123</v>
      </c>
      <c r="BI511" s="935" t="s">
        <v>123</v>
      </c>
      <c r="BJ511" s="1003"/>
      <c r="BK511" s="907" t="s">
        <v>123</v>
      </c>
      <c r="BL511" s="907" t="s">
        <v>123</v>
      </c>
      <c r="BM511" s="907" t="s">
        <v>123</v>
      </c>
      <c r="BN511" s="1004" t="s">
        <v>123</v>
      </c>
      <c r="BO511" s="907" t="str">
        <f t="shared" si="6"/>
        <v/>
      </c>
      <c r="BP511" s="907" t="str">
        <f t="shared" si="7"/>
        <v/>
      </c>
      <c r="BQ511" s="907" t="str">
        <f t="shared" si="8"/>
        <v/>
      </c>
      <c r="BR511" s="1004" t="str">
        <f t="shared" si="9"/>
        <v/>
      </c>
      <c r="BS511" s="1005" t="str">
        <f t="shared" si="10"/>
        <v/>
      </c>
      <c r="BT511" s="1006" t="s">
        <v>123</v>
      </c>
      <c r="BU511" s="1002" t="s">
        <v>123</v>
      </c>
      <c r="BV511" s="1006" t="s">
        <v>123</v>
      </c>
      <c r="BW511" s="1007"/>
    </row>
    <row r="512">
      <c r="A512" s="624">
        <v>489.0</v>
      </c>
      <c r="B512" s="1008"/>
      <c r="C512" s="989"/>
      <c r="D512" s="851"/>
      <c r="E512" s="990"/>
      <c r="F512" s="991"/>
      <c r="G512" s="991"/>
      <c r="H512" s="992"/>
      <c r="I512" s="993"/>
      <c r="J512" s="993"/>
      <c r="K512" s="993"/>
      <c r="L512" s="993"/>
      <c r="M512" s="993"/>
      <c r="N512" s="993"/>
      <c r="O512" s="993"/>
      <c r="P512" s="993"/>
      <c r="Q512" s="993"/>
      <c r="R512" s="993"/>
      <c r="S512" s="936"/>
      <c r="T512" s="998"/>
      <c r="U512" s="935"/>
      <c r="V512" s="935"/>
      <c r="W512" s="949" t="str">
        <f>IF(AND($S$20,NOT($U$20)),IF($V512:$V623="","",SUMIF(portfolio.!$A$4:$A623,V512,portfolio.!$AN$4:$AN623)),"")</f>
        <v/>
      </c>
      <c r="X512" s="998"/>
      <c r="Y512" s="936"/>
      <c r="Z512" s="936" t="s">
        <v>123</v>
      </c>
      <c r="AA512" s="936" t="s">
        <v>123</v>
      </c>
      <c r="AB512" s="936" t="s">
        <v>123</v>
      </c>
      <c r="AC512" s="907" t="s">
        <v>123</v>
      </c>
      <c r="AD512" s="999"/>
      <c r="AE512" s="936"/>
      <c r="AF512" s="936"/>
      <c r="AG512" s="936"/>
      <c r="AH512" s="936"/>
      <c r="AI512" s="999"/>
      <c r="AJ512" s="935"/>
      <c r="AK512" s="966"/>
      <c r="AL512" s="949"/>
      <c r="AM512" s="949" t="s">
        <v>123</v>
      </c>
      <c r="AN512" s="949"/>
      <c r="AO512" s="999"/>
      <c r="AP512" s="936"/>
      <c r="AQ512" s="987"/>
      <c r="AR512" s="907"/>
      <c r="AS512" s="907"/>
      <c r="AT512" s="967" t="s">
        <v>123</v>
      </c>
      <c r="AU512" s="967" t="s">
        <v>123</v>
      </c>
      <c r="AV512" s="967" t="s">
        <v>123</v>
      </c>
      <c r="AW512" s="907" t="s">
        <v>123</v>
      </c>
      <c r="AX512" s="907" t="s">
        <v>123</v>
      </c>
      <c r="AY512" s="907" t="s">
        <v>123</v>
      </c>
      <c r="AZ512" s="936" t="s">
        <v>123</v>
      </c>
      <c r="BA512" s="935" t="s">
        <v>123</v>
      </c>
      <c r="BB512" s="1000"/>
      <c r="BC512" s="1001"/>
      <c r="BD512" s="936"/>
      <c r="BE512" s="907"/>
      <c r="BF512" s="1002" t="str">
        <f>IF($BC512="","",SUMIF(portfolio.!$A$4:$A623,BC512,portfolio.!$AN$4:$AN623))</f>
        <v/>
      </c>
      <c r="BG512" s="936" t="s">
        <v>123</v>
      </c>
      <c r="BH512" s="907" t="s">
        <v>123</v>
      </c>
      <c r="BI512" s="935" t="s">
        <v>123</v>
      </c>
      <c r="BJ512" s="1003"/>
      <c r="BK512" s="907" t="s">
        <v>123</v>
      </c>
      <c r="BL512" s="907" t="s">
        <v>123</v>
      </c>
      <c r="BM512" s="907" t="s">
        <v>123</v>
      </c>
      <c r="BN512" s="1004" t="s">
        <v>123</v>
      </c>
      <c r="BO512" s="907" t="str">
        <f t="shared" si="6"/>
        <v/>
      </c>
      <c r="BP512" s="907" t="str">
        <f t="shared" si="7"/>
        <v/>
      </c>
      <c r="BQ512" s="907" t="str">
        <f t="shared" si="8"/>
        <v/>
      </c>
      <c r="BR512" s="1004" t="str">
        <f t="shared" si="9"/>
        <v/>
      </c>
      <c r="BS512" s="1005" t="str">
        <f t="shared" si="10"/>
        <v/>
      </c>
      <c r="BT512" s="1006" t="s">
        <v>123</v>
      </c>
      <c r="BU512" s="1002" t="s">
        <v>123</v>
      </c>
      <c r="BV512" s="1006" t="s">
        <v>123</v>
      </c>
      <c r="BW512" s="1007"/>
    </row>
    <row r="513">
      <c r="A513" s="624">
        <v>490.0</v>
      </c>
      <c r="B513" s="1008"/>
      <c r="C513" s="989"/>
      <c r="D513" s="851"/>
      <c r="E513" s="990"/>
      <c r="F513" s="991"/>
      <c r="G513" s="991"/>
      <c r="H513" s="992"/>
      <c r="I513" s="993"/>
      <c r="J513" s="993"/>
      <c r="K513" s="993"/>
      <c r="L513" s="993"/>
      <c r="M513" s="993"/>
      <c r="N513" s="993"/>
      <c r="O513" s="993"/>
      <c r="P513" s="993"/>
      <c r="Q513" s="993"/>
      <c r="R513" s="993"/>
      <c r="S513" s="936"/>
      <c r="T513" s="998"/>
      <c r="U513" s="935"/>
      <c r="V513" s="935"/>
      <c r="W513" s="949" t="str">
        <f>IF(AND($S$20,NOT($U$20)),IF($V513:$V623="","",SUMIF(portfolio.!$A$4:$A623,V513,portfolio.!$AN$4:$AN623)),"")</f>
        <v/>
      </c>
      <c r="X513" s="998"/>
      <c r="Y513" s="936"/>
      <c r="Z513" s="936" t="s">
        <v>123</v>
      </c>
      <c r="AA513" s="936" t="s">
        <v>123</v>
      </c>
      <c r="AB513" s="936" t="s">
        <v>123</v>
      </c>
      <c r="AC513" s="907" t="s">
        <v>123</v>
      </c>
      <c r="AD513" s="999"/>
      <c r="AE513" s="936"/>
      <c r="AF513" s="936"/>
      <c r="AG513" s="936"/>
      <c r="AH513" s="936"/>
      <c r="AI513" s="999"/>
      <c r="AJ513" s="935"/>
      <c r="AK513" s="966"/>
      <c r="AL513" s="949"/>
      <c r="AM513" s="949" t="s">
        <v>123</v>
      </c>
      <c r="AN513" s="949"/>
      <c r="AO513" s="999"/>
      <c r="AP513" s="936"/>
      <c r="AQ513" s="987"/>
      <c r="AR513" s="907"/>
      <c r="AS513" s="907"/>
      <c r="AT513" s="967" t="s">
        <v>123</v>
      </c>
      <c r="AU513" s="967" t="s">
        <v>123</v>
      </c>
      <c r="AV513" s="967" t="s">
        <v>123</v>
      </c>
      <c r="AW513" s="907" t="s">
        <v>123</v>
      </c>
      <c r="AX513" s="907" t="s">
        <v>123</v>
      </c>
      <c r="AY513" s="907" t="s">
        <v>123</v>
      </c>
      <c r="AZ513" s="936" t="s">
        <v>123</v>
      </c>
      <c r="BA513" s="935" t="s">
        <v>123</v>
      </c>
      <c r="BB513" s="1000"/>
      <c r="BC513" s="1001"/>
      <c r="BD513" s="936"/>
      <c r="BE513" s="907"/>
      <c r="BF513" s="1002" t="str">
        <f>IF($BC513="","",SUMIF(portfolio.!$A$4:$A623,BC513,portfolio.!$AN$4:$AN623))</f>
        <v/>
      </c>
      <c r="BG513" s="936" t="s">
        <v>123</v>
      </c>
      <c r="BH513" s="907" t="s">
        <v>123</v>
      </c>
      <c r="BI513" s="935" t="s">
        <v>123</v>
      </c>
      <c r="BJ513" s="1003"/>
      <c r="BK513" s="907" t="s">
        <v>123</v>
      </c>
      <c r="BL513" s="907" t="s">
        <v>123</v>
      </c>
      <c r="BM513" s="907" t="s">
        <v>123</v>
      </c>
      <c r="BN513" s="1004" t="s">
        <v>123</v>
      </c>
      <c r="BO513" s="907" t="str">
        <f t="shared" si="6"/>
        <v/>
      </c>
      <c r="BP513" s="907" t="str">
        <f t="shared" si="7"/>
        <v/>
      </c>
      <c r="BQ513" s="907" t="str">
        <f t="shared" si="8"/>
        <v/>
      </c>
      <c r="BR513" s="1004" t="str">
        <f t="shared" si="9"/>
        <v/>
      </c>
      <c r="BS513" s="1005" t="str">
        <f t="shared" si="10"/>
        <v/>
      </c>
      <c r="BT513" s="1006" t="s">
        <v>123</v>
      </c>
      <c r="BU513" s="1002" t="s">
        <v>123</v>
      </c>
      <c r="BV513" s="1006" t="s">
        <v>123</v>
      </c>
      <c r="BW513" s="1007"/>
    </row>
    <row r="514">
      <c r="A514" s="624">
        <v>491.0</v>
      </c>
      <c r="B514" s="1008"/>
      <c r="C514" s="989"/>
      <c r="D514" s="851"/>
      <c r="E514" s="990"/>
      <c r="F514" s="991"/>
      <c r="G514" s="991"/>
      <c r="H514" s="992"/>
      <c r="I514" s="993"/>
      <c r="J514" s="993"/>
      <c r="K514" s="993"/>
      <c r="L514" s="993"/>
      <c r="M514" s="993"/>
      <c r="N514" s="993"/>
      <c r="O514" s="993"/>
      <c r="P514" s="993"/>
      <c r="Q514" s="993"/>
      <c r="R514" s="993"/>
      <c r="S514" s="936"/>
      <c r="T514" s="998"/>
      <c r="U514" s="935"/>
      <c r="V514" s="935"/>
      <c r="W514" s="949" t="str">
        <f>IF(AND($S$20,NOT($U$20)),IF($V514:$V623="","",SUMIF(portfolio.!$A$4:$A623,V514,portfolio.!$AN$4:$AN623)),"")</f>
        <v/>
      </c>
      <c r="X514" s="998"/>
      <c r="Y514" s="936"/>
      <c r="Z514" s="936" t="s">
        <v>123</v>
      </c>
      <c r="AA514" s="936" t="s">
        <v>123</v>
      </c>
      <c r="AB514" s="936" t="s">
        <v>123</v>
      </c>
      <c r="AC514" s="907" t="s">
        <v>123</v>
      </c>
      <c r="AD514" s="999"/>
      <c r="AE514" s="936"/>
      <c r="AF514" s="936"/>
      <c r="AG514" s="936"/>
      <c r="AH514" s="936"/>
      <c r="AI514" s="999"/>
      <c r="AJ514" s="935"/>
      <c r="AK514" s="966"/>
      <c r="AL514" s="949"/>
      <c r="AM514" s="949" t="s">
        <v>123</v>
      </c>
      <c r="AN514" s="949"/>
      <c r="AO514" s="999"/>
      <c r="AP514" s="936"/>
      <c r="AQ514" s="987"/>
      <c r="AR514" s="907"/>
      <c r="AS514" s="907"/>
      <c r="AT514" s="967" t="s">
        <v>123</v>
      </c>
      <c r="AU514" s="967" t="s">
        <v>123</v>
      </c>
      <c r="AV514" s="967" t="s">
        <v>123</v>
      </c>
      <c r="AW514" s="907" t="s">
        <v>123</v>
      </c>
      <c r="AX514" s="907" t="s">
        <v>123</v>
      </c>
      <c r="AY514" s="907" t="s">
        <v>123</v>
      </c>
      <c r="AZ514" s="936" t="s">
        <v>123</v>
      </c>
      <c r="BA514" s="935" t="s">
        <v>123</v>
      </c>
      <c r="BB514" s="1000"/>
      <c r="BC514" s="1001"/>
      <c r="BD514" s="936"/>
      <c r="BE514" s="907"/>
      <c r="BF514" s="1002" t="str">
        <f>IF($BC514="","",SUMIF(portfolio.!$A$4:$A623,BC514,portfolio.!$AN$4:$AN623))</f>
        <v/>
      </c>
      <c r="BG514" s="936" t="s">
        <v>123</v>
      </c>
      <c r="BH514" s="907" t="s">
        <v>123</v>
      </c>
      <c r="BI514" s="935" t="s">
        <v>123</v>
      </c>
      <c r="BJ514" s="1003"/>
      <c r="BK514" s="907" t="s">
        <v>123</v>
      </c>
      <c r="BL514" s="907" t="s">
        <v>123</v>
      </c>
      <c r="BM514" s="907" t="s">
        <v>123</v>
      </c>
      <c r="BN514" s="1004" t="s">
        <v>123</v>
      </c>
      <c r="BO514" s="907" t="str">
        <f t="shared" si="6"/>
        <v/>
      </c>
      <c r="BP514" s="907" t="str">
        <f t="shared" si="7"/>
        <v/>
      </c>
      <c r="BQ514" s="907" t="str">
        <f t="shared" si="8"/>
        <v/>
      </c>
      <c r="BR514" s="1004" t="str">
        <f t="shared" si="9"/>
        <v/>
      </c>
      <c r="BS514" s="1005" t="str">
        <f t="shared" si="10"/>
        <v/>
      </c>
      <c r="BT514" s="1006" t="s">
        <v>123</v>
      </c>
      <c r="BU514" s="1002" t="s">
        <v>123</v>
      </c>
      <c r="BV514" s="1006" t="s">
        <v>123</v>
      </c>
      <c r="BW514" s="1007"/>
    </row>
    <row r="515">
      <c r="A515" s="624">
        <v>492.0</v>
      </c>
      <c r="B515" s="1008"/>
      <c r="C515" s="989"/>
      <c r="D515" s="851"/>
      <c r="E515" s="990"/>
      <c r="F515" s="991"/>
      <c r="G515" s="991"/>
      <c r="H515" s="992"/>
      <c r="I515" s="993"/>
      <c r="J515" s="993"/>
      <c r="K515" s="993"/>
      <c r="L515" s="993"/>
      <c r="M515" s="993"/>
      <c r="N515" s="993"/>
      <c r="O515" s="993"/>
      <c r="P515" s="993"/>
      <c r="Q515" s="993"/>
      <c r="R515" s="993"/>
      <c r="S515" s="936"/>
      <c r="T515" s="998"/>
      <c r="U515" s="935"/>
      <c r="V515" s="935"/>
      <c r="W515" s="949" t="str">
        <f>IF(AND($S$20,NOT($U$20)),IF($V515:$V623="","",SUMIF(portfolio.!$A$4:$A623,V515,portfolio.!$AN$4:$AN623)),"")</f>
        <v/>
      </c>
      <c r="X515" s="998"/>
      <c r="Y515" s="936"/>
      <c r="Z515" s="936" t="s">
        <v>123</v>
      </c>
      <c r="AA515" s="936" t="s">
        <v>123</v>
      </c>
      <c r="AB515" s="936" t="s">
        <v>123</v>
      </c>
      <c r="AC515" s="907" t="s">
        <v>123</v>
      </c>
      <c r="AD515" s="999"/>
      <c r="AE515" s="936"/>
      <c r="AF515" s="936"/>
      <c r="AG515" s="936"/>
      <c r="AH515" s="936"/>
      <c r="AI515" s="999"/>
      <c r="AJ515" s="935"/>
      <c r="AK515" s="966"/>
      <c r="AL515" s="949"/>
      <c r="AM515" s="949" t="s">
        <v>123</v>
      </c>
      <c r="AN515" s="949"/>
      <c r="AO515" s="999"/>
      <c r="AP515" s="936"/>
      <c r="AQ515" s="987"/>
      <c r="AR515" s="907"/>
      <c r="AS515" s="907"/>
      <c r="AT515" s="967" t="s">
        <v>123</v>
      </c>
      <c r="AU515" s="967" t="s">
        <v>123</v>
      </c>
      <c r="AV515" s="967" t="s">
        <v>123</v>
      </c>
      <c r="AW515" s="907" t="s">
        <v>123</v>
      </c>
      <c r="AX515" s="907" t="s">
        <v>123</v>
      </c>
      <c r="AY515" s="907" t="s">
        <v>123</v>
      </c>
      <c r="AZ515" s="936" t="s">
        <v>123</v>
      </c>
      <c r="BA515" s="935" t="s">
        <v>123</v>
      </c>
      <c r="BB515" s="1000"/>
      <c r="BC515" s="1001"/>
      <c r="BD515" s="936"/>
      <c r="BE515" s="907"/>
      <c r="BF515" s="1002" t="str">
        <f>IF($BC515="","",SUMIF(portfolio.!$A$4:$A623,BC515,portfolio.!$AN$4:$AN623))</f>
        <v/>
      </c>
      <c r="BG515" s="936" t="s">
        <v>123</v>
      </c>
      <c r="BH515" s="907" t="s">
        <v>123</v>
      </c>
      <c r="BI515" s="935" t="s">
        <v>123</v>
      </c>
      <c r="BJ515" s="1003"/>
      <c r="BK515" s="907" t="s">
        <v>123</v>
      </c>
      <c r="BL515" s="907" t="s">
        <v>123</v>
      </c>
      <c r="BM515" s="907" t="s">
        <v>123</v>
      </c>
      <c r="BN515" s="1004" t="s">
        <v>123</v>
      </c>
      <c r="BO515" s="907" t="str">
        <f t="shared" si="6"/>
        <v/>
      </c>
      <c r="BP515" s="907" t="str">
        <f t="shared" si="7"/>
        <v/>
      </c>
      <c r="BQ515" s="907" t="str">
        <f t="shared" si="8"/>
        <v/>
      </c>
      <c r="BR515" s="1004" t="str">
        <f t="shared" si="9"/>
        <v/>
      </c>
      <c r="BS515" s="1005" t="str">
        <f t="shared" si="10"/>
        <v/>
      </c>
      <c r="BT515" s="1006" t="s">
        <v>123</v>
      </c>
      <c r="BU515" s="1002" t="s">
        <v>123</v>
      </c>
      <c r="BV515" s="1006" t="s">
        <v>123</v>
      </c>
      <c r="BW515" s="1007"/>
    </row>
    <row r="516">
      <c r="A516" s="624">
        <v>493.0</v>
      </c>
      <c r="B516" s="1008"/>
      <c r="C516" s="989"/>
      <c r="D516" s="851"/>
      <c r="E516" s="990"/>
      <c r="F516" s="991"/>
      <c r="G516" s="991"/>
      <c r="H516" s="992"/>
      <c r="I516" s="993"/>
      <c r="J516" s="993"/>
      <c r="K516" s="993"/>
      <c r="L516" s="993"/>
      <c r="M516" s="993"/>
      <c r="N516" s="993"/>
      <c r="O516" s="993"/>
      <c r="P516" s="993"/>
      <c r="Q516" s="993"/>
      <c r="R516" s="993"/>
      <c r="S516" s="936"/>
      <c r="T516" s="998"/>
      <c r="U516" s="935"/>
      <c r="V516" s="935"/>
      <c r="W516" s="949" t="str">
        <f>IF(AND($S$20,NOT($U$20)),IF($V516:$V623="","",SUMIF(portfolio.!$A$4:$A623,V516,portfolio.!$AN$4:$AN623)),"")</f>
        <v/>
      </c>
      <c r="X516" s="998"/>
      <c r="Y516" s="936"/>
      <c r="Z516" s="936" t="s">
        <v>123</v>
      </c>
      <c r="AA516" s="936" t="s">
        <v>123</v>
      </c>
      <c r="AB516" s="936" t="s">
        <v>123</v>
      </c>
      <c r="AC516" s="907" t="s">
        <v>123</v>
      </c>
      <c r="AD516" s="999"/>
      <c r="AE516" s="936"/>
      <c r="AF516" s="936"/>
      <c r="AG516" s="936"/>
      <c r="AH516" s="936"/>
      <c r="AI516" s="999"/>
      <c r="AJ516" s="935"/>
      <c r="AK516" s="966"/>
      <c r="AL516" s="949"/>
      <c r="AM516" s="949" t="s">
        <v>123</v>
      </c>
      <c r="AN516" s="949"/>
      <c r="AO516" s="999"/>
      <c r="AP516" s="936"/>
      <c r="AQ516" s="987"/>
      <c r="AR516" s="907"/>
      <c r="AS516" s="907"/>
      <c r="AT516" s="967" t="s">
        <v>123</v>
      </c>
      <c r="AU516" s="967" t="s">
        <v>123</v>
      </c>
      <c r="AV516" s="967" t="s">
        <v>123</v>
      </c>
      <c r="AW516" s="907" t="s">
        <v>123</v>
      </c>
      <c r="AX516" s="907" t="s">
        <v>123</v>
      </c>
      <c r="AY516" s="907" t="s">
        <v>123</v>
      </c>
      <c r="AZ516" s="936" t="s">
        <v>123</v>
      </c>
      <c r="BA516" s="935" t="s">
        <v>123</v>
      </c>
      <c r="BB516" s="1000"/>
      <c r="BC516" s="1001"/>
      <c r="BD516" s="936"/>
      <c r="BE516" s="907"/>
      <c r="BF516" s="1002" t="str">
        <f>IF($BC516="","",SUMIF(portfolio.!$A$4:$A623,BC516,portfolio.!$AN$4:$AN623))</f>
        <v/>
      </c>
      <c r="BG516" s="936" t="s">
        <v>123</v>
      </c>
      <c r="BH516" s="907" t="s">
        <v>123</v>
      </c>
      <c r="BI516" s="935" t="s">
        <v>123</v>
      </c>
      <c r="BJ516" s="1003"/>
      <c r="BK516" s="907" t="s">
        <v>123</v>
      </c>
      <c r="BL516" s="907" t="s">
        <v>123</v>
      </c>
      <c r="BM516" s="907" t="s">
        <v>123</v>
      </c>
      <c r="BN516" s="1004" t="s">
        <v>123</v>
      </c>
      <c r="BO516" s="907" t="str">
        <f t="shared" si="6"/>
        <v/>
      </c>
      <c r="BP516" s="907" t="str">
        <f t="shared" si="7"/>
        <v/>
      </c>
      <c r="BQ516" s="907" t="str">
        <f t="shared" si="8"/>
        <v/>
      </c>
      <c r="BR516" s="1004" t="str">
        <f t="shared" si="9"/>
        <v/>
      </c>
      <c r="BS516" s="1005" t="str">
        <f t="shared" si="10"/>
        <v/>
      </c>
      <c r="BT516" s="1006" t="s">
        <v>123</v>
      </c>
      <c r="BU516" s="1002" t="s">
        <v>123</v>
      </c>
      <c r="BV516" s="1006" t="s">
        <v>123</v>
      </c>
      <c r="BW516" s="1007"/>
    </row>
    <row r="517">
      <c r="A517" s="624">
        <v>494.0</v>
      </c>
      <c r="B517" s="1008"/>
      <c r="C517" s="989"/>
      <c r="D517" s="851"/>
      <c r="E517" s="990"/>
      <c r="F517" s="991"/>
      <c r="G517" s="991"/>
      <c r="H517" s="992"/>
      <c r="I517" s="993"/>
      <c r="J517" s="993"/>
      <c r="K517" s="993"/>
      <c r="L517" s="993"/>
      <c r="M517" s="993"/>
      <c r="N517" s="993"/>
      <c r="O517" s="993"/>
      <c r="P517" s="993"/>
      <c r="Q517" s="993"/>
      <c r="R517" s="993"/>
      <c r="S517" s="936"/>
      <c r="T517" s="998"/>
      <c r="U517" s="935"/>
      <c r="V517" s="935"/>
      <c r="W517" s="949" t="str">
        <f>IF(AND($S$20,NOT($U$20)),IF($V517:$V623="","",SUMIF(portfolio.!$A$4:$A623,V517,portfolio.!$AN$4:$AN623)),"")</f>
        <v/>
      </c>
      <c r="X517" s="998"/>
      <c r="Y517" s="936"/>
      <c r="Z517" s="936" t="s">
        <v>123</v>
      </c>
      <c r="AA517" s="936" t="s">
        <v>123</v>
      </c>
      <c r="AB517" s="936" t="s">
        <v>123</v>
      </c>
      <c r="AC517" s="907" t="s">
        <v>123</v>
      </c>
      <c r="AD517" s="999"/>
      <c r="AE517" s="936"/>
      <c r="AF517" s="936"/>
      <c r="AG517" s="936"/>
      <c r="AH517" s="936"/>
      <c r="AI517" s="999"/>
      <c r="AJ517" s="935"/>
      <c r="AK517" s="966"/>
      <c r="AL517" s="949"/>
      <c r="AM517" s="949" t="s">
        <v>123</v>
      </c>
      <c r="AN517" s="949"/>
      <c r="AO517" s="999"/>
      <c r="AP517" s="936"/>
      <c r="AQ517" s="987"/>
      <c r="AR517" s="907"/>
      <c r="AS517" s="907"/>
      <c r="AT517" s="967" t="s">
        <v>123</v>
      </c>
      <c r="AU517" s="967" t="s">
        <v>123</v>
      </c>
      <c r="AV517" s="967" t="s">
        <v>123</v>
      </c>
      <c r="AW517" s="907" t="s">
        <v>123</v>
      </c>
      <c r="AX517" s="907" t="s">
        <v>123</v>
      </c>
      <c r="AY517" s="907" t="s">
        <v>123</v>
      </c>
      <c r="AZ517" s="936" t="s">
        <v>123</v>
      </c>
      <c r="BA517" s="935" t="s">
        <v>123</v>
      </c>
      <c r="BB517" s="1000"/>
      <c r="BC517" s="1001"/>
      <c r="BD517" s="936"/>
      <c r="BE517" s="907"/>
      <c r="BF517" s="1002" t="str">
        <f>IF($BC517="","",SUMIF(portfolio.!$A$4:$A623,BC517,portfolio.!$AN$4:$AN623))</f>
        <v/>
      </c>
      <c r="BG517" s="936" t="s">
        <v>123</v>
      </c>
      <c r="BH517" s="907" t="s">
        <v>123</v>
      </c>
      <c r="BI517" s="935" t="s">
        <v>123</v>
      </c>
      <c r="BJ517" s="1003"/>
      <c r="BK517" s="907" t="s">
        <v>123</v>
      </c>
      <c r="BL517" s="907" t="s">
        <v>123</v>
      </c>
      <c r="BM517" s="907" t="s">
        <v>123</v>
      </c>
      <c r="BN517" s="1004" t="s">
        <v>123</v>
      </c>
      <c r="BO517" s="907" t="str">
        <f t="shared" si="6"/>
        <v/>
      </c>
      <c r="BP517" s="907" t="str">
        <f t="shared" si="7"/>
        <v/>
      </c>
      <c r="BQ517" s="907" t="str">
        <f t="shared" si="8"/>
        <v/>
      </c>
      <c r="BR517" s="1004" t="str">
        <f t="shared" si="9"/>
        <v/>
      </c>
      <c r="BS517" s="1005" t="str">
        <f t="shared" si="10"/>
        <v/>
      </c>
      <c r="BT517" s="1006" t="s">
        <v>123</v>
      </c>
      <c r="BU517" s="1002" t="s">
        <v>123</v>
      </c>
      <c r="BV517" s="1006" t="s">
        <v>123</v>
      </c>
      <c r="BW517" s="1007"/>
    </row>
    <row r="518">
      <c r="A518" s="624">
        <v>495.0</v>
      </c>
      <c r="B518" s="1008"/>
      <c r="C518" s="989"/>
      <c r="D518" s="851"/>
      <c r="E518" s="990"/>
      <c r="F518" s="991"/>
      <c r="G518" s="991"/>
      <c r="H518" s="992"/>
      <c r="I518" s="993"/>
      <c r="J518" s="993"/>
      <c r="K518" s="993"/>
      <c r="L518" s="993"/>
      <c r="M518" s="993"/>
      <c r="N518" s="993"/>
      <c r="O518" s="993"/>
      <c r="P518" s="993"/>
      <c r="Q518" s="993"/>
      <c r="R518" s="993"/>
      <c r="S518" s="936"/>
      <c r="T518" s="998"/>
      <c r="U518" s="935"/>
      <c r="V518" s="935"/>
      <c r="W518" s="949" t="str">
        <f>IF(AND($S$20,NOT($U$20)),IF($V518:$V623="","",SUMIF(portfolio.!$A$4:$A623,V518,portfolio.!$AN$4:$AN623)),"")</f>
        <v/>
      </c>
      <c r="X518" s="998"/>
      <c r="Y518" s="936"/>
      <c r="Z518" s="936" t="s">
        <v>123</v>
      </c>
      <c r="AA518" s="936" t="s">
        <v>123</v>
      </c>
      <c r="AB518" s="936" t="s">
        <v>123</v>
      </c>
      <c r="AC518" s="907" t="s">
        <v>123</v>
      </c>
      <c r="AD518" s="999"/>
      <c r="AE518" s="936"/>
      <c r="AF518" s="936"/>
      <c r="AG518" s="936"/>
      <c r="AH518" s="936"/>
      <c r="AI518" s="999"/>
      <c r="AJ518" s="935"/>
      <c r="AK518" s="966"/>
      <c r="AL518" s="949"/>
      <c r="AM518" s="949" t="s">
        <v>123</v>
      </c>
      <c r="AN518" s="949"/>
      <c r="AO518" s="999"/>
      <c r="AP518" s="936"/>
      <c r="AQ518" s="987"/>
      <c r="AR518" s="907"/>
      <c r="AS518" s="907"/>
      <c r="AT518" s="967" t="s">
        <v>123</v>
      </c>
      <c r="AU518" s="967" t="s">
        <v>123</v>
      </c>
      <c r="AV518" s="967" t="s">
        <v>123</v>
      </c>
      <c r="AW518" s="907" t="s">
        <v>123</v>
      </c>
      <c r="AX518" s="907" t="s">
        <v>123</v>
      </c>
      <c r="AY518" s="907" t="s">
        <v>123</v>
      </c>
      <c r="AZ518" s="936" t="s">
        <v>123</v>
      </c>
      <c r="BA518" s="935" t="s">
        <v>123</v>
      </c>
      <c r="BB518" s="1000"/>
      <c r="BC518" s="1001"/>
      <c r="BD518" s="936"/>
      <c r="BE518" s="907"/>
      <c r="BF518" s="1002" t="str">
        <f>IF($BC518="","",SUMIF(portfolio.!$A$4:$A623,BC518,portfolio.!$AN$4:$AN623))</f>
        <v/>
      </c>
      <c r="BG518" s="936" t="s">
        <v>123</v>
      </c>
      <c r="BH518" s="907" t="s">
        <v>123</v>
      </c>
      <c r="BI518" s="935" t="s">
        <v>123</v>
      </c>
      <c r="BJ518" s="1003"/>
      <c r="BK518" s="907" t="s">
        <v>123</v>
      </c>
      <c r="BL518" s="907" t="s">
        <v>123</v>
      </c>
      <c r="BM518" s="907" t="s">
        <v>123</v>
      </c>
      <c r="BN518" s="1004" t="s">
        <v>123</v>
      </c>
      <c r="BO518" s="907" t="str">
        <f t="shared" si="6"/>
        <v/>
      </c>
      <c r="BP518" s="907" t="str">
        <f t="shared" si="7"/>
        <v/>
      </c>
      <c r="BQ518" s="907" t="str">
        <f t="shared" si="8"/>
        <v/>
      </c>
      <c r="BR518" s="1004" t="str">
        <f t="shared" si="9"/>
        <v/>
      </c>
      <c r="BS518" s="1005" t="str">
        <f t="shared" si="10"/>
        <v/>
      </c>
      <c r="BT518" s="1006" t="s">
        <v>123</v>
      </c>
      <c r="BU518" s="1002" t="s">
        <v>123</v>
      </c>
      <c r="BV518" s="1006" t="s">
        <v>123</v>
      </c>
      <c r="BW518" s="1007"/>
    </row>
    <row r="519">
      <c r="A519" s="624">
        <v>496.0</v>
      </c>
      <c r="B519" s="1008"/>
      <c r="C519" s="989"/>
      <c r="D519" s="851"/>
      <c r="E519" s="990"/>
      <c r="F519" s="991"/>
      <c r="G519" s="991"/>
      <c r="H519" s="992"/>
      <c r="I519" s="993"/>
      <c r="J519" s="993"/>
      <c r="K519" s="993"/>
      <c r="L519" s="993"/>
      <c r="M519" s="993"/>
      <c r="N519" s="993"/>
      <c r="O519" s="993"/>
      <c r="P519" s="993"/>
      <c r="Q519" s="993"/>
      <c r="R519" s="993"/>
      <c r="S519" s="936"/>
      <c r="T519" s="998"/>
      <c r="U519" s="935"/>
      <c r="V519" s="935"/>
      <c r="W519" s="949" t="str">
        <f>IF(AND($S$20,NOT($U$20)),IF($V519:$V623="","",SUMIF(portfolio.!$A$4:$A623,V519,portfolio.!$AN$4:$AN623)),"")</f>
        <v/>
      </c>
      <c r="X519" s="998"/>
      <c r="Y519" s="936"/>
      <c r="Z519" s="936" t="s">
        <v>123</v>
      </c>
      <c r="AA519" s="936" t="s">
        <v>123</v>
      </c>
      <c r="AB519" s="936" t="s">
        <v>123</v>
      </c>
      <c r="AC519" s="907" t="s">
        <v>123</v>
      </c>
      <c r="AD519" s="999"/>
      <c r="AE519" s="936"/>
      <c r="AF519" s="936"/>
      <c r="AG519" s="936"/>
      <c r="AH519" s="936"/>
      <c r="AI519" s="999"/>
      <c r="AJ519" s="935"/>
      <c r="AK519" s="966"/>
      <c r="AL519" s="949"/>
      <c r="AM519" s="949" t="s">
        <v>123</v>
      </c>
      <c r="AN519" s="949"/>
      <c r="AO519" s="999"/>
      <c r="AP519" s="936"/>
      <c r="AQ519" s="987"/>
      <c r="AR519" s="907"/>
      <c r="AS519" s="907"/>
      <c r="AT519" s="967" t="s">
        <v>123</v>
      </c>
      <c r="AU519" s="967" t="s">
        <v>123</v>
      </c>
      <c r="AV519" s="967" t="s">
        <v>123</v>
      </c>
      <c r="AW519" s="907" t="s">
        <v>123</v>
      </c>
      <c r="AX519" s="907" t="s">
        <v>123</v>
      </c>
      <c r="AY519" s="907" t="s">
        <v>123</v>
      </c>
      <c r="AZ519" s="936" t="s">
        <v>123</v>
      </c>
      <c r="BA519" s="935" t="s">
        <v>123</v>
      </c>
      <c r="BB519" s="1000"/>
      <c r="BC519" s="1001"/>
      <c r="BD519" s="936"/>
      <c r="BE519" s="907"/>
      <c r="BF519" s="1002" t="str">
        <f>IF($BC519="","",SUMIF(portfolio.!$A$4:$A623,BC519,portfolio.!$AN$4:$AN623))</f>
        <v/>
      </c>
      <c r="BG519" s="936" t="s">
        <v>123</v>
      </c>
      <c r="BH519" s="907" t="s">
        <v>123</v>
      </c>
      <c r="BI519" s="935" t="s">
        <v>123</v>
      </c>
      <c r="BJ519" s="1003"/>
      <c r="BK519" s="907" t="s">
        <v>123</v>
      </c>
      <c r="BL519" s="907" t="s">
        <v>123</v>
      </c>
      <c r="BM519" s="907" t="s">
        <v>123</v>
      </c>
      <c r="BN519" s="1004" t="s">
        <v>123</v>
      </c>
      <c r="BO519" s="907" t="str">
        <f t="shared" si="6"/>
        <v/>
      </c>
      <c r="BP519" s="907" t="str">
        <f t="shared" si="7"/>
        <v/>
      </c>
      <c r="BQ519" s="907" t="str">
        <f t="shared" si="8"/>
        <v/>
      </c>
      <c r="BR519" s="1004" t="str">
        <f t="shared" si="9"/>
        <v/>
      </c>
      <c r="BS519" s="1005" t="str">
        <f t="shared" si="10"/>
        <v/>
      </c>
      <c r="BT519" s="1006" t="s">
        <v>123</v>
      </c>
      <c r="BU519" s="1002" t="s">
        <v>123</v>
      </c>
      <c r="BV519" s="1006" t="s">
        <v>123</v>
      </c>
      <c r="BW519" s="1007"/>
    </row>
    <row r="520">
      <c r="A520" s="624">
        <v>497.0</v>
      </c>
      <c r="B520" s="1008"/>
      <c r="C520" s="989"/>
      <c r="D520" s="851"/>
      <c r="E520" s="990"/>
      <c r="F520" s="991"/>
      <c r="G520" s="991"/>
      <c r="H520" s="992"/>
      <c r="I520" s="993"/>
      <c r="J520" s="993"/>
      <c r="K520" s="993"/>
      <c r="L520" s="993"/>
      <c r="M520" s="993"/>
      <c r="N520" s="993"/>
      <c r="O520" s="993"/>
      <c r="P520" s="993"/>
      <c r="Q520" s="993"/>
      <c r="R520" s="993"/>
      <c r="S520" s="936"/>
      <c r="T520" s="998"/>
      <c r="U520" s="935"/>
      <c r="V520" s="935"/>
      <c r="W520" s="949" t="str">
        <f>IF(AND($S$20,NOT($U$20)),IF($V520:$V623="","",SUMIF(portfolio.!$A$4:$A623,V520,portfolio.!$AN$4:$AN623)),"")</f>
        <v/>
      </c>
      <c r="X520" s="998"/>
      <c r="Y520" s="936"/>
      <c r="Z520" s="936" t="s">
        <v>123</v>
      </c>
      <c r="AA520" s="936" t="s">
        <v>123</v>
      </c>
      <c r="AB520" s="936" t="s">
        <v>123</v>
      </c>
      <c r="AC520" s="907" t="s">
        <v>123</v>
      </c>
      <c r="AD520" s="999"/>
      <c r="AE520" s="936"/>
      <c r="AF520" s="936"/>
      <c r="AG520" s="936"/>
      <c r="AH520" s="936"/>
      <c r="AI520" s="999"/>
      <c r="AJ520" s="935"/>
      <c r="AK520" s="966"/>
      <c r="AL520" s="949"/>
      <c r="AM520" s="949" t="s">
        <v>123</v>
      </c>
      <c r="AN520" s="949"/>
      <c r="AO520" s="999"/>
      <c r="AP520" s="936"/>
      <c r="AQ520" s="987"/>
      <c r="AR520" s="907"/>
      <c r="AS520" s="907"/>
      <c r="AT520" s="967" t="s">
        <v>123</v>
      </c>
      <c r="AU520" s="967" t="s">
        <v>123</v>
      </c>
      <c r="AV520" s="967" t="s">
        <v>123</v>
      </c>
      <c r="AW520" s="907" t="s">
        <v>123</v>
      </c>
      <c r="AX520" s="907" t="s">
        <v>123</v>
      </c>
      <c r="AY520" s="907" t="s">
        <v>123</v>
      </c>
      <c r="AZ520" s="936" t="s">
        <v>123</v>
      </c>
      <c r="BA520" s="935" t="s">
        <v>123</v>
      </c>
      <c r="BB520" s="1000"/>
      <c r="BC520" s="1001"/>
      <c r="BD520" s="936"/>
      <c r="BE520" s="907"/>
      <c r="BF520" s="1002" t="str">
        <f>IF($BC520="","",SUMIF(portfolio.!$A$4:$A623,BC520,portfolio.!$AN$4:$AN623))</f>
        <v/>
      </c>
      <c r="BG520" s="936" t="s">
        <v>123</v>
      </c>
      <c r="BH520" s="907" t="s">
        <v>123</v>
      </c>
      <c r="BI520" s="935" t="s">
        <v>123</v>
      </c>
      <c r="BJ520" s="1003"/>
      <c r="BK520" s="907" t="s">
        <v>123</v>
      </c>
      <c r="BL520" s="907" t="s">
        <v>123</v>
      </c>
      <c r="BM520" s="907" t="s">
        <v>123</v>
      </c>
      <c r="BN520" s="1004" t="s">
        <v>123</v>
      </c>
      <c r="BO520" s="907" t="str">
        <f t="shared" si="6"/>
        <v/>
      </c>
      <c r="BP520" s="907" t="str">
        <f t="shared" si="7"/>
        <v/>
      </c>
      <c r="BQ520" s="907" t="str">
        <f t="shared" si="8"/>
        <v/>
      </c>
      <c r="BR520" s="1004" t="str">
        <f t="shared" si="9"/>
        <v/>
      </c>
      <c r="BS520" s="1005" t="str">
        <f t="shared" si="10"/>
        <v/>
      </c>
      <c r="BT520" s="1006" t="s">
        <v>123</v>
      </c>
      <c r="BU520" s="1002" t="s">
        <v>123</v>
      </c>
      <c r="BV520" s="1006" t="s">
        <v>123</v>
      </c>
      <c r="BW520" s="1007"/>
    </row>
    <row r="521">
      <c r="A521" s="624">
        <v>498.0</v>
      </c>
      <c r="B521" s="1008"/>
      <c r="C521" s="989"/>
      <c r="D521" s="851"/>
      <c r="E521" s="990"/>
      <c r="F521" s="991"/>
      <c r="G521" s="991"/>
      <c r="H521" s="992"/>
      <c r="I521" s="993"/>
      <c r="J521" s="993"/>
      <c r="K521" s="993"/>
      <c r="L521" s="993"/>
      <c r="M521" s="993"/>
      <c r="N521" s="993"/>
      <c r="O521" s="993"/>
      <c r="P521" s="993"/>
      <c r="Q521" s="993"/>
      <c r="R521" s="993"/>
      <c r="S521" s="936"/>
      <c r="T521" s="998"/>
      <c r="U521" s="935"/>
      <c r="V521" s="935"/>
      <c r="W521" s="949" t="str">
        <f>IF(AND($S$20,NOT($U$20)),IF($V521:$V623="","",SUMIF(portfolio.!$A$4:$A623,V521,portfolio.!$AN$4:$AN623)),"")</f>
        <v/>
      </c>
      <c r="X521" s="998"/>
      <c r="Y521" s="936"/>
      <c r="Z521" s="936" t="s">
        <v>123</v>
      </c>
      <c r="AA521" s="936" t="s">
        <v>123</v>
      </c>
      <c r="AB521" s="936" t="s">
        <v>123</v>
      </c>
      <c r="AC521" s="907" t="s">
        <v>123</v>
      </c>
      <c r="AD521" s="999"/>
      <c r="AE521" s="936"/>
      <c r="AF521" s="936"/>
      <c r="AG521" s="936"/>
      <c r="AH521" s="936"/>
      <c r="AI521" s="999"/>
      <c r="AJ521" s="935"/>
      <c r="AK521" s="966"/>
      <c r="AL521" s="949"/>
      <c r="AM521" s="949" t="s">
        <v>123</v>
      </c>
      <c r="AN521" s="949"/>
      <c r="AO521" s="999"/>
      <c r="AP521" s="936"/>
      <c r="AQ521" s="987"/>
      <c r="AR521" s="907"/>
      <c r="AS521" s="907"/>
      <c r="AT521" s="967" t="s">
        <v>123</v>
      </c>
      <c r="AU521" s="967" t="s">
        <v>123</v>
      </c>
      <c r="AV521" s="967" t="s">
        <v>123</v>
      </c>
      <c r="AW521" s="907" t="s">
        <v>123</v>
      </c>
      <c r="AX521" s="907" t="s">
        <v>123</v>
      </c>
      <c r="AY521" s="907" t="s">
        <v>123</v>
      </c>
      <c r="AZ521" s="936" t="s">
        <v>123</v>
      </c>
      <c r="BA521" s="935" t="s">
        <v>123</v>
      </c>
      <c r="BB521" s="1000"/>
      <c r="BC521" s="1001"/>
      <c r="BD521" s="936"/>
      <c r="BE521" s="907"/>
      <c r="BF521" s="1002" t="str">
        <f>IF($BC521="","",SUMIF(portfolio.!$A$4:$A623,BC521,portfolio.!$AN$4:$AN623))</f>
        <v/>
      </c>
      <c r="BG521" s="936" t="s">
        <v>123</v>
      </c>
      <c r="BH521" s="907" t="s">
        <v>123</v>
      </c>
      <c r="BI521" s="935" t="s">
        <v>123</v>
      </c>
      <c r="BJ521" s="1003"/>
      <c r="BK521" s="907" t="s">
        <v>123</v>
      </c>
      <c r="BL521" s="907" t="s">
        <v>123</v>
      </c>
      <c r="BM521" s="907" t="s">
        <v>123</v>
      </c>
      <c r="BN521" s="1004" t="s">
        <v>123</v>
      </c>
      <c r="BO521" s="907" t="str">
        <f t="shared" si="6"/>
        <v/>
      </c>
      <c r="BP521" s="907" t="str">
        <f t="shared" si="7"/>
        <v/>
      </c>
      <c r="BQ521" s="907" t="str">
        <f t="shared" si="8"/>
        <v/>
      </c>
      <c r="BR521" s="1004" t="str">
        <f t="shared" si="9"/>
        <v/>
      </c>
      <c r="BS521" s="1005" t="str">
        <f t="shared" si="10"/>
        <v/>
      </c>
      <c r="BT521" s="1006" t="s">
        <v>123</v>
      </c>
      <c r="BU521" s="1002" t="s">
        <v>123</v>
      </c>
      <c r="BV521" s="1006" t="s">
        <v>123</v>
      </c>
      <c r="BW521" s="1007"/>
    </row>
    <row r="522">
      <c r="A522" s="624">
        <v>499.0</v>
      </c>
      <c r="B522" s="1008"/>
      <c r="C522" s="989"/>
      <c r="D522" s="851"/>
      <c r="E522" s="990"/>
      <c r="F522" s="991"/>
      <c r="G522" s="991"/>
      <c r="H522" s="992"/>
      <c r="I522" s="993"/>
      <c r="J522" s="993"/>
      <c r="K522" s="993"/>
      <c r="L522" s="993"/>
      <c r="M522" s="993"/>
      <c r="N522" s="993"/>
      <c r="O522" s="993"/>
      <c r="P522" s="993"/>
      <c r="Q522" s="993"/>
      <c r="R522" s="993"/>
      <c r="S522" s="936"/>
      <c r="T522" s="998"/>
      <c r="U522" s="935"/>
      <c r="V522" s="935"/>
      <c r="W522" s="949" t="str">
        <f>IF(AND($S$20,NOT($U$20)),IF($V522:$V623="","",SUMIF(portfolio.!$A$4:$A623,V522,portfolio.!$AN$4:$AN623)),"")</f>
        <v/>
      </c>
      <c r="X522" s="998"/>
      <c r="Y522" s="936"/>
      <c r="Z522" s="936" t="s">
        <v>123</v>
      </c>
      <c r="AA522" s="936" t="s">
        <v>123</v>
      </c>
      <c r="AB522" s="936" t="s">
        <v>123</v>
      </c>
      <c r="AC522" s="907" t="s">
        <v>123</v>
      </c>
      <c r="AD522" s="999"/>
      <c r="AE522" s="936"/>
      <c r="AF522" s="936"/>
      <c r="AG522" s="936"/>
      <c r="AH522" s="936"/>
      <c r="AI522" s="999"/>
      <c r="AJ522" s="935"/>
      <c r="AK522" s="966"/>
      <c r="AL522" s="949"/>
      <c r="AM522" s="949" t="s">
        <v>123</v>
      </c>
      <c r="AN522" s="949"/>
      <c r="AO522" s="999"/>
      <c r="AP522" s="936"/>
      <c r="AQ522" s="987"/>
      <c r="AR522" s="907"/>
      <c r="AS522" s="907"/>
      <c r="AT522" s="967" t="s">
        <v>123</v>
      </c>
      <c r="AU522" s="967" t="s">
        <v>123</v>
      </c>
      <c r="AV522" s="967" t="s">
        <v>123</v>
      </c>
      <c r="AW522" s="907" t="s">
        <v>123</v>
      </c>
      <c r="AX522" s="907" t="s">
        <v>123</v>
      </c>
      <c r="AY522" s="907" t="s">
        <v>123</v>
      </c>
      <c r="AZ522" s="936" t="s">
        <v>123</v>
      </c>
      <c r="BA522" s="935" t="s">
        <v>123</v>
      </c>
      <c r="BB522" s="1000"/>
      <c r="BC522" s="1001"/>
      <c r="BD522" s="936"/>
      <c r="BE522" s="907"/>
      <c r="BF522" s="1002" t="str">
        <f>IF($BC522="","",SUMIF(portfolio.!$A$4:$A623,BC522,portfolio.!$AN$4:$AN623))</f>
        <v/>
      </c>
      <c r="BG522" s="936" t="s">
        <v>123</v>
      </c>
      <c r="BH522" s="907" t="s">
        <v>123</v>
      </c>
      <c r="BI522" s="935" t="s">
        <v>123</v>
      </c>
      <c r="BJ522" s="1003"/>
      <c r="BK522" s="907" t="s">
        <v>123</v>
      </c>
      <c r="BL522" s="907" t="s">
        <v>123</v>
      </c>
      <c r="BM522" s="907" t="s">
        <v>123</v>
      </c>
      <c r="BN522" s="1004" t="s">
        <v>123</v>
      </c>
      <c r="BO522" s="907" t="str">
        <f t="shared" si="6"/>
        <v/>
      </c>
      <c r="BP522" s="907" t="str">
        <f t="shared" si="7"/>
        <v/>
      </c>
      <c r="BQ522" s="907" t="str">
        <f t="shared" si="8"/>
        <v/>
      </c>
      <c r="BR522" s="1004" t="str">
        <f t="shared" si="9"/>
        <v/>
      </c>
      <c r="BS522" s="1005" t="str">
        <f t="shared" si="10"/>
        <v/>
      </c>
      <c r="BT522" s="1006" t="s">
        <v>123</v>
      </c>
      <c r="BU522" s="1002" t="s">
        <v>123</v>
      </c>
      <c r="BV522" s="1006" t="s">
        <v>123</v>
      </c>
      <c r="BW522" s="1007"/>
    </row>
    <row r="523">
      <c r="A523" s="624">
        <v>500.0</v>
      </c>
      <c r="B523" s="1008"/>
      <c r="C523" s="989"/>
      <c r="D523" s="851"/>
      <c r="E523" s="990"/>
      <c r="F523" s="991"/>
      <c r="G523" s="991"/>
      <c r="H523" s="992"/>
      <c r="I523" s="993"/>
      <c r="J523" s="993"/>
      <c r="K523" s="993"/>
      <c r="L523" s="993"/>
      <c r="M523" s="993"/>
      <c r="N523" s="993"/>
      <c r="O523" s="993"/>
      <c r="P523" s="993"/>
      <c r="Q523" s="993"/>
      <c r="R523" s="993"/>
      <c r="S523" s="936"/>
      <c r="T523" s="998"/>
      <c r="U523" s="935"/>
      <c r="V523" s="935"/>
      <c r="W523" s="949" t="str">
        <f>IF(AND($S$20,NOT($U$20)),IF($V523:$V623="","",SUMIF(portfolio.!$A$4:$A623,V523,portfolio.!$AN$4:$AN623)),"")</f>
        <v/>
      </c>
      <c r="X523" s="998"/>
      <c r="Y523" s="936"/>
      <c r="Z523" s="936" t="s">
        <v>123</v>
      </c>
      <c r="AA523" s="936" t="s">
        <v>123</v>
      </c>
      <c r="AB523" s="936" t="s">
        <v>123</v>
      </c>
      <c r="AC523" s="907" t="s">
        <v>123</v>
      </c>
      <c r="AD523" s="999"/>
      <c r="AE523" s="936"/>
      <c r="AF523" s="936"/>
      <c r="AG523" s="936"/>
      <c r="AH523" s="936"/>
      <c r="AI523" s="999"/>
      <c r="AJ523" s="935"/>
      <c r="AK523" s="966"/>
      <c r="AL523" s="949"/>
      <c r="AM523" s="949" t="s">
        <v>123</v>
      </c>
      <c r="AN523" s="949"/>
      <c r="AO523" s="999"/>
      <c r="AP523" s="936"/>
      <c r="AQ523" s="987"/>
      <c r="AR523" s="907"/>
      <c r="AS523" s="907"/>
      <c r="AT523" s="967" t="s">
        <v>123</v>
      </c>
      <c r="AU523" s="967" t="s">
        <v>123</v>
      </c>
      <c r="AV523" s="967" t="s">
        <v>123</v>
      </c>
      <c r="AW523" s="907" t="s">
        <v>123</v>
      </c>
      <c r="AX523" s="907" t="s">
        <v>123</v>
      </c>
      <c r="AY523" s="907" t="s">
        <v>123</v>
      </c>
      <c r="AZ523" s="936" t="s">
        <v>123</v>
      </c>
      <c r="BA523" s="935" t="s">
        <v>123</v>
      </c>
      <c r="BB523" s="1000"/>
      <c r="BC523" s="1001"/>
      <c r="BD523" s="936"/>
      <c r="BE523" s="907"/>
      <c r="BF523" s="1002" t="str">
        <f>IF($BC523="","",SUMIF(portfolio.!$A$4:$A623,BC523,portfolio.!$AN$4:$AN623))</f>
        <v/>
      </c>
      <c r="BG523" s="936" t="s">
        <v>123</v>
      </c>
      <c r="BH523" s="907" t="s">
        <v>123</v>
      </c>
      <c r="BI523" s="935" t="s">
        <v>123</v>
      </c>
      <c r="BJ523" s="1003"/>
      <c r="BK523" s="907" t="s">
        <v>123</v>
      </c>
      <c r="BL523" s="907" t="s">
        <v>123</v>
      </c>
      <c r="BM523" s="907" t="s">
        <v>123</v>
      </c>
      <c r="BN523" s="1004" t="s">
        <v>123</v>
      </c>
      <c r="BO523" s="907" t="str">
        <f t="shared" si="6"/>
        <v/>
      </c>
      <c r="BP523" s="907" t="str">
        <f t="shared" si="7"/>
        <v/>
      </c>
      <c r="BQ523" s="907" t="str">
        <f t="shared" si="8"/>
        <v/>
      </c>
      <c r="BR523" s="1004" t="str">
        <f t="shared" si="9"/>
        <v/>
      </c>
      <c r="BS523" s="1005" t="str">
        <f t="shared" si="10"/>
        <v/>
      </c>
      <c r="BT523" s="1006" t="s">
        <v>123</v>
      </c>
      <c r="BU523" s="1002" t="s">
        <v>123</v>
      </c>
      <c r="BV523" s="1006" t="s">
        <v>123</v>
      </c>
      <c r="BW523" s="1007"/>
    </row>
    <row r="524">
      <c r="A524" s="624">
        <v>501.0</v>
      </c>
      <c r="B524" s="1008"/>
      <c r="C524" s="989"/>
      <c r="D524" s="851"/>
      <c r="E524" s="990"/>
      <c r="F524" s="991"/>
      <c r="G524" s="991"/>
      <c r="H524" s="992"/>
      <c r="I524" s="993"/>
      <c r="J524" s="993"/>
      <c r="K524" s="993"/>
      <c r="L524" s="993"/>
      <c r="M524" s="993"/>
      <c r="N524" s="993"/>
      <c r="O524" s="993"/>
      <c r="P524" s="993"/>
      <c r="Q524" s="993"/>
      <c r="R524" s="993"/>
      <c r="S524" s="936"/>
      <c r="T524" s="998"/>
      <c r="U524" s="935"/>
      <c r="V524" s="935"/>
      <c r="W524" s="949" t="str">
        <f>IF(AND($S$20,NOT($U$20)),IF($V524:$V623="","",SUMIF(portfolio.!$A$4:$A623,V524,portfolio.!$AN$4:$AN623)),"")</f>
        <v/>
      </c>
      <c r="X524" s="998"/>
      <c r="Y524" s="936"/>
      <c r="Z524" s="936" t="s">
        <v>123</v>
      </c>
      <c r="AA524" s="936" t="s">
        <v>123</v>
      </c>
      <c r="AB524" s="936" t="s">
        <v>123</v>
      </c>
      <c r="AC524" s="907" t="s">
        <v>123</v>
      </c>
      <c r="AD524" s="999"/>
      <c r="AE524" s="936"/>
      <c r="AF524" s="936"/>
      <c r="AG524" s="936"/>
      <c r="AH524" s="936"/>
      <c r="AI524" s="999"/>
      <c r="AJ524" s="935"/>
      <c r="AK524" s="966"/>
      <c r="AL524" s="949"/>
      <c r="AM524" s="949" t="s">
        <v>123</v>
      </c>
      <c r="AN524" s="949"/>
      <c r="AO524" s="999"/>
      <c r="AP524" s="936"/>
      <c r="AQ524" s="987"/>
      <c r="AR524" s="907"/>
      <c r="AS524" s="907"/>
      <c r="AT524" s="967" t="s">
        <v>123</v>
      </c>
      <c r="AU524" s="967" t="s">
        <v>123</v>
      </c>
      <c r="AV524" s="967" t="s">
        <v>123</v>
      </c>
      <c r="AW524" s="907" t="s">
        <v>123</v>
      </c>
      <c r="AX524" s="907" t="s">
        <v>123</v>
      </c>
      <c r="AY524" s="907" t="s">
        <v>123</v>
      </c>
      <c r="AZ524" s="936" t="s">
        <v>123</v>
      </c>
      <c r="BA524" s="935" t="s">
        <v>123</v>
      </c>
      <c r="BB524" s="1000"/>
      <c r="BC524" s="1001"/>
      <c r="BD524" s="936"/>
      <c r="BE524" s="907"/>
      <c r="BF524" s="1002" t="str">
        <f>IF($BC524="","",SUMIF(portfolio.!$A$4:$A623,BC524,portfolio.!$AN$4:$AN623))</f>
        <v/>
      </c>
      <c r="BG524" s="936" t="s">
        <v>123</v>
      </c>
      <c r="BH524" s="907" t="s">
        <v>123</v>
      </c>
      <c r="BI524" s="935" t="s">
        <v>123</v>
      </c>
      <c r="BJ524" s="1003"/>
      <c r="BK524" s="907" t="s">
        <v>123</v>
      </c>
      <c r="BL524" s="907" t="s">
        <v>123</v>
      </c>
      <c r="BM524" s="907" t="s">
        <v>123</v>
      </c>
      <c r="BN524" s="1004" t="s">
        <v>123</v>
      </c>
      <c r="BO524" s="907" t="str">
        <f t="shared" si="6"/>
        <v/>
      </c>
      <c r="BP524" s="907" t="str">
        <f t="shared" si="7"/>
        <v/>
      </c>
      <c r="BQ524" s="907" t="str">
        <f t="shared" si="8"/>
        <v/>
      </c>
      <c r="BR524" s="1004" t="str">
        <f t="shared" si="9"/>
        <v/>
      </c>
      <c r="BS524" s="1005" t="str">
        <f t="shared" si="10"/>
        <v/>
      </c>
      <c r="BT524" s="1006" t="s">
        <v>123</v>
      </c>
      <c r="BU524" s="1002" t="s">
        <v>123</v>
      </c>
      <c r="BV524" s="1006" t="s">
        <v>123</v>
      </c>
      <c r="BW524" s="1007"/>
    </row>
    <row r="525">
      <c r="A525" s="624">
        <v>502.0</v>
      </c>
      <c r="B525" s="1008"/>
      <c r="C525" s="989"/>
      <c r="D525" s="851"/>
      <c r="E525" s="990"/>
      <c r="F525" s="991"/>
      <c r="G525" s="991"/>
      <c r="H525" s="992"/>
      <c r="I525" s="993"/>
      <c r="J525" s="993"/>
      <c r="K525" s="993"/>
      <c r="L525" s="993"/>
      <c r="M525" s="993"/>
      <c r="N525" s="993"/>
      <c r="O525" s="993"/>
      <c r="P525" s="993"/>
      <c r="Q525" s="993"/>
      <c r="R525" s="993"/>
      <c r="S525" s="936"/>
      <c r="T525" s="998"/>
      <c r="U525" s="935"/>
      <c r="V525" s="935"/>
      <c r="W525" s="949" t="str">
        <f>IF(AND($S$20,NOT($U$20)),IF($V525:$V623="","",SUMIF(portfolio.!$A$4:$A623,V525,portfolio.!$AN$4:$AN623)),"")</f>
        <v/>
      </c>
      <c r="X525" s="998"/>
      <c r="Y525" s="936"/>
      <c r="Z525" s="936" t="s">
        <v>123</v>
      </c>
      <c r="AA525" s="936" t="s">
        <v>123</v>
      </c>
      <c r="AB525" s="936" t="s">
        <v>123</v>
      </c>
      <c r="AC525" s="907" t="s">
        <v>123</v>
      </c>
      <c r="AD525" s="999"/>
      <c r="AE525" s="936"/>
      <c r="AF525" s="936"/>
      <c r="AG525" s="936"/>
      <c r="AH525" s="936"/>
      <c r="AI525" s="999"/>
      <c r="AJ525" s="935"/>
      <c r="AK525" s="966"/>
      <c r="AL525" s="949"/>
      <c r="AM525" s="949" t="s">
        <v>123</v>
      </c>
      <c r="AN525" s="949"/>
      <c r="AO525" s="999"/>
      <c r="AP525" s="936"/>
      <c r="AQ525" s="987"/>
      <c r="AR525" s="907"/>
      <c r="AS525" s="907"/>
      <c r="AT525" s="967" t="s">
        <v>123</v>
      </c>
      <c r="AU525" s="967" t="s">
        <v>123</v>
      </c>
      <c r="AV525" s="967" t="s">
        <v>123</v>
      </c>
      <c r="AW525" s="907" t="s">
        <v>123</v>
      </c>
      <c r="AX525" s="907" t="s">
        <v>123</v>
      </c>
      <c r="AY525" s="907" t="s">
        <v>123</v>
      </c>
      <c r="AZ525" s="936" t="s">
        <v>123</v>
      </c>
      <c r="BA525" s="935" t="s">
        <v>123</v>
      </c>
      <c r="BB525" s="1000"/>
      <c r="BC525" s="1001"/>
      <c r="BD525" s="936"/>
      <c r="BE525" s="907"/>
      <c r="BF525" s="1002" t="str">
        <f>IF($BC525="","",SUMIF(portfolio.!$A$4:$A623,BC525,portfolio.!$AN$4:$AN623))</f>
        <v/>
      </c>
      <c r="BG525" s="936" t="s">
        <v>123</v>
      </c>
      <c r="BH525" s="907" t="s">
        <v>123</v>
      </c>
      <c r="BI525" s="935" t="s">
        <v>123</v>
      </c>
      <c r="BJ525" s="1003"/>
      <c r="BK525" s="907" t="s">
        <v>123</v>
      </c>
      <c r="BL525" s="907" t="s">
        <v>123</v>
      </c>
      <c r="BM525" s="907" t="s">
        <v>123</v>
      </c>
      <c r="BN525" s="1004" t="s">
        <v>123</v>
      </c>
      <c r="BO525" s="907" t="str">
        <f t="shared" si="6"/>
        <v/>
      </c>
      <c r="BP525" s="907" t="str">
        <f t="shared" si="7"/>
        <v/>
      </c>
      <c r="BQ525" s="907" t="str">
        <f t="shared" si="8"/>
        <v/>
      </c>
      <c r="BR525" s="1004" t="str">
        <f t="shared" si="9"/>
        <v/>
      </c>
      <c r="BS525" s="1005" t="str">
        <f t="shared" si="10"/>
        <v/>
      </c>
      <c r="BT525" s="1006" t="s">
        <v>123</v>
      </c>
      <c r="BU525" s="1002" t="s">
        <v>123</v>
      </c>
      <c r="BV525" s="1006" t="s">
        <v>123</v>
      </c>
      <c r="BW525" s="1007"/>
    </row>
    <row r="526">
      <c r="A526" s="624">
        <v>503.0</v>
      </c>
      <c r="B526" s="1008"/>
      <c r="C526" s="989"/>
      <c r="D526" s="851"/>
      <c r="E526" s="990"/>
      <c r="F526" s="991"/>
      <c r="G526" s="991"/>
      <c r="H526" s="992"/>
      <c r="I526" s="993"/>
      <c r="J526" s="993"/>
      <c r="K526" s="993"/>
      <c r="L526" s="993"/>
      <c r="M526" s="993"/>
      <c r="N526" s="993"/>
      <c r="O526" s="993"/>
      <c r="P526" s="993"/>
      <c r="Q526" s="993"/>
      <c r="R526" s="993"/>
      <c r="S526" s="936"/>
      <c r="T526" s="998"/>
      <c r="U526" s="935"/>
      <c r="V526" s="935"/>
      <c r="W526" s="949" t="str">
        <f>IF(AND($S$20,NOT($U$20)),IF($V526:$V623="","",SUMIF(portfolio.!$A$4:$A623,V526,portfolio.!$AN$4:$AN623)),"")</f>
        <v/>
      </c>
      <c r="X526" s="998"/>
      <c r="Y526" s="936"/>
      <c r="Z526" s="936" t="s">
        <v>123</v>
      </c>
      <c r="AA526" s="936" t="s">
        <v>123</v>
      </c>
      <c r="AB526" s="936" t="s">
        <v>123</v>
      </c>
      <c r="AC526" s="907" t="s">
        <v>123</v>
      </c>
      <c r="AD526" s="999"/>
      <c r="AE526" s="936"/>
      <c r="AF526" s="936"/>
      <c r="AG526" s="936"/>
      <c r="AH526" s="936"/>
      <c r="AI526" s="999"/>
      <c r="AJ526" s="935"/>
      <c r="AK526" s="966"/>
      <c r="AL526" s="949"/>
      <c r="AM526" s="949" t="s">
        <v>123</v>
      </c>
      <c r="AN526" s="949"/>
      <c r="AO526" s="999"/>
      <c r="AP526" s="936"/>
      <c r="AQ526" s="987"/>
      <c r="AR526" s="907"/>
      <c r="AS526" s="907"/>
      <c r="AT526" s="967" t="s">
        <v>123</v>
      </c>
      <c r="AU526" s="967" t="s">
        <v>123</v>
      </c>
      <c r="AV526" s="967" t="s">
        <v>123</v>
      </c>
      <c r="AW526" s="907" t="s">
        <v>123</v>
      </c>
      <c r="AX526" s="907" t="s">
        <v>123</v>
      </c>
      <c r="AY526" s="907" t="s">
        <v>123</v>
      </c>
      <c r="AZ526" s="936" t="s">
        <v>123</v>
      </c>
      <c r="BA526" s="935" t="s">
        <v>123</v>
      </c>
      <c r="BB526" s="1000"/>
      <c r="BC526" s="1001"/>
      <c r="BD526" s="936"/>
      <c r="BE526" s="907"/>
      <c r="BF526" s="1002" t="str">
        <f>IF($BC526="","",SUMIF(portfolio.!$A$4:$A623,BC526,portfolio.!$AN$4:$AN623))</f>
        <v/>
      </c>
      <c r="BG526" s="936" t="s">
        <v>123</v>
      </c>
      <c r="BH526" s="907" t="s">
        <v>123</v>
      </c>
      <c r="BI526" s="935" t="s">
        <v>123</v>
      </c>
      <c r="BJ526" s="1003"/>
      <c r="BK526" s="907" t="s">
        <v>123</v>
      </c>
      <c r="BL526" s="907" t="s">
        <v>123</v>
      </c>
      <c r="BM526" s="907" t="s">
        <v>123</v>
      </c>
      <c r="BN526" s="1004" t="s">
        <v>123</v>
      </c>
      <c r="BO526" s="907" t="str">
        <f t="shared" si="6"/>
        <v/>
      </c>
      <c r="BP526" s="907" t="str">
        <f t="shared" si="7"/>
        <v/>
      </c>
      <c r="BQ526" s="907" t="str">
        <f t="shared" si="8"/>
        <v/>
      </c>
      <c r="BR526" s="1004" t="str">
        <f t="shared" si="9"/>
        <v/>
      </c>
      <c r="BS526" s="1005" t="str">
        <f t="shared" si="10"/>
        <v/>
      </c>
      <c r="BT526" s="1006" t="s">
        <v>123</v>
      </c>
      <c r="BU526" s="1002" t="s">
        <v>123</v>
      </c>
      <c r="BV526" s="1006" t="s">
        <v>123</v>
      </c>
      <c r="BW526" s="1007"/>
    </row>
    <row r="527">
      <c r="A527" s="624">
        <v>504.0</v>
      </c>
      <c r="B527" s="1008"/>
      <c r="C527" s="989"/>
      <c r="D527" s="851"/>
      <c r="E527" s="990"/>
      <c r="F527" s="991"/>
      <c r="G527" s="991"/>
      <c r="H527" s="992"/>
      <c r="I527" s="993"/>
      <c r="J527" s="993"/>
      <c r="K527" s="993"/>
      <c r="L527" s="993"/>
      <c r="M527" s="993"/>
      <c r="N527" s="993"/>
      <c r="O527" s="993"/>
      <c r="P527" s="993"/>
      <c r="Q527" s="993"/>
      <c r="R527" s="993"/>
      <c r="S527" s="936"/>
      <c r="T527" s="998"/>
      <c r="U527" s="935"/>
      <c r="V527" s="935"/>
      <c r="W527" s="949" t="str">
        <f>IF(AND($S$20,NOT($U$20)),IF($V527:$V623="","",SUMIF(portfolio.!$A$4:$A623,V527,portfolio.!$AN$4:$AN623)),"")</f>
        <v/>
      </c>
      <c r="X527" s="998"/>
      <c r="Y527" s="936"/>
      <c r="Z527" s="936" t="s">
        <v>123</v>
      </c>
      <c r="AA527" s="936" t="s">
        <v>123</v>
      </c>
      <c r="AB527" s="936" t="s">
        <v>123</v>
      </c>
      <c r="AC527" s="907" t="s">
        <v>123</v>
      </c>
      <c r="AD527" s="999"/>
      <c r="AE527" s="936"/>
      <c r="AF527" s="936"/>
      <c r="AG527" s="936"/>
      <c r="AH527" s="936"/>
      <c r="AI527" s="999"/>
      <c r="AJ527" s="935"/>
      <c r="AK527" s="966"/>
      <c r="AL527" s="949"/>
      <c r="AM527" s="949" t="s">
        <v>123</v>
      </c>
      <c r="AN527" s="949"/>
      <c r="AO527" s="999"/>
      <c r="AP527" s="936"/>
      <c r="AQ527" s="987"/>
      <c r="AR527" s="907"/>
      <c r="AS527" s="907"/>
      <c r="AT527" s="967" t="s">
        <v>123</v>
      </c>
      <c r="AU527" s="967" t="s">
        <v>123</v>
      </c>
      <c r="AV527" s="967" t="s">
        <v>123</v>
      </c>
      <c r="AW527" s="907" t="s">
        <v>123</v>
      </c>
      <c r="AX527" s="907" t="s">
        <v>123</v>
      </c>
      <c r="AY527" s="907" t="s">
        <v>123</v>
      </c>
      <c r="AZ527" s="936" t="s">
        <v>123</v>
      </c>
      <c r="BA527" s="935" t="s">
        <v>123</v>
      </c>
      <c r="BB527" s="1000"/>
      <c r="BC527" s="1001"/>
      <c r="BD527" s="936"/>
      <c r="BE527" s="907"/>
      <c r="BF527" s="1002" t="str">
        <f>IF($BC527="","",SUMIF(portfolio.!$A$4:$A623,BC527,portfolio.!$AN$4:$AN623))</f>
        <v/>
      </c>
      <c r="BG527" s="936" t="s">
        <v>123</v>
      </c>
      <c r="BH527" s="907" t="s">
        <v>123</v>
      </c>
      <c r="BI527" s="935" t="s">
        <v>123</v>
      </c>
      <c r="BJ527" s="1003"/>
      <c r="BK527" s="907" t="s">
        <v>123</v>
      </c>
      <c r="BL527" s="907" t="s">
        <v>123</v>
      </c>
      <c r="BM527" s="907" t="s">
        <v>123</v>
      </c>
      <c r="BN527" s="1004" t="s">
        <v>123</v>
      </c>
      <c r="BO527" s="907" t="str">
        <f t="shared" si="6"/>
        <v/>
      </c>
      <c r="BP527" s="907" t="str">
        <f t="shared" si="7"/>
        <v/>
      </c>
      <c r="BQ527" s="907" t="str">
        <f t="shared" si="8"/>
        <v/>
      </c>
      <c r="BR527" s="1004" t="str">
        <f t="shared" si="9"/>
        <v/>
      </c>
      <c r="BS527" s="1005" t="str">
        <f t="shared" si="10"/>
        <v/>
      </c>
      <c r="BT527" s="1006" t="s">
        <v>123</v>
      </c>
      <c r="BU527" s="1002" t="s">
        <v>123</v>
      </c>
      <c r="BV527" s="1006" t="s">
        <v>123</v>
      </c>
      <c r="BW527" s="1007"/>
    </row>
    <row r="528">
      <c r="A528" s="624">
        <v>505.0</v>
      </c>
      <c r="B528" s="1008"/>
      <c r="C528" s="989"/>
      <c r="D528" s="851"/>
      <c r="E528" s="990"/>
      <c r="F528" s="991"/>
      <c r="G528" s="991"/>
      <c r="H528" s="992"/>
      <c r="I528" s="993"/>
      <c r="J528" s="993"/>
      <c r="K528" s="993"/>
      <c r="L528" s="993"/>
      <c r="M528" s="993"/>
      <c r="N528" s="993"/>
      <c r="O528" s="993"/>
      <c r="P528" s="993"/>
      <c r="Q528" s="993"/>
      <c r="R528" s="993"/>
      <c r="S528" s="936"/>
      <c r="T528" s="998"/>
      <c r="U528" s="935"/>
      <c r="V528" s="935"/>
      <c r="W528" s="949" t="str">
        <f>IF(AND($S$20,NOT($U$20)),IF($V528:$V623="","",SUMIF(portfolio.!$A$4:$A623,V528,portfolio.!$AN$4:$AN623)),"")</f>
        <v/>
      </c>
      <c r="X528" s="998"/>
      <c r="Y528" s="936"/>
      <c r="Z528" s="936" t="s">
        <v>123</v>
      </c>
      <c r="AA528" s="936" t="s">
        <v>123</v>
      </c>
      <c r="AB528" s="936" t="s">
        <v>123</v>
      </c>
      <c r="AC528" s="907" t="s">
        <v>123</v>
      </c>
      <c r="AD528" s="999"/>
      <c r="AE528" s="936"/>
      <c r="AF528" s="936"/>
      <c r="AG528" s="936"/>
      <c r="AH528" s="936"/>
      <c r="AI528" s="999"/>
      <c r="AJ528" s="935"/>
      <c r="AK528" s="966"/>
      <c r="AL528" s="949"/>
      <c r="AM528" s="949" t="s">
        <v>123</v>
      </c>
      <c r="AN528" s="949"/>
      <c r="AO528" s="999"/>
      <c r="AP528" s="936"/>
      <c r="AQ528" s="987"/>
      <c r="AR528" s="907"/>
      <c r="AS528" s="907"/>
      <c r="AT528" s="967" t="s">
        <v>123</v>
      </c>
      <c r="AU528" s="967" t="s">
        <v>123</v>
      </c>
      <c r="AV528" s="967" t="s">
        <v>123</v>
      </c>
      <c r="AW528" s="907" t="s">
        <v>123</v>
      </c>
      <c r="AX528" s="907" t="s">
        <v>123</v>
      </c>
      <c r="AY528" s="907" t="s">
        <v>123</v>
      </c>
      <c r="AZ528" s="936" t="s">
        <v>123</v>
      </c>
      <c r="BA528" s="935" t="s">
        <v>123</v>
      </c>
      <c r="BB528" s="1000"/>
      <c r="BC528" s="1001"/>
      <c r="BD528" s="936"/>
      <c r="BE528" s="907"/>
      <c r="BF528" s="1002" t="str">
        <f>IF($BC528="","",SUMIF(portfolio.!$A$4:$A623,BC528,portfolio.!$AN$4:$AN623))</f>
        <v/>
      </c>
      <c r="BG528" s="936" t="s">
        <v>123</v>
      </c>
      <c r="BH528" s="907" t="s">
        <v>123</v>
      </c>
      <c r="BI528" s="935" t="s">
        <v>123</v>
      </c>
      <c r="BJ528" s="1003"/>
      <c r="BK528" s="907" t="s">
        <v>123</v>
      </c>
      <c r="BL528" s="907" t="s">
        <v>123</v>
      </c>
      <c r="BM528" s="907" t="s">
        <v>123</v>
      </c>
      <c r="BN528" s="1004" t="s">
        <v>123</v>
      </c>
      <c r="BO528" s="907" t="str">
        <f t="shared" si="6"/>
        <v/>
      </c>
      <c r="BP528" s="907" t="str">
        <f t="shared" si="7"/>
        <v/>
      </c>
      <c r="BQ528" s="907" t="str">
        <f t="shared" si="8"/>
        <v/>
      </c>
      <c r="BR528" s="1004" t="str">
        <f t="shared" si="9"/>
        <v/>
      </c>
      <c r="BS528" s="1005" t="str">
        <f t="shared" si="10"/>
        <v/>
      </c>
      <c r="BT528" s="1006" t="s">
        <v>123</v>
      </c>
      <c r="BU528" s="1002" t="s">
        <v>123</v>
      </c>
      <c r="BV528" s="1006" t="s">
        <v>123</v>
      </c>
      <c r="BW528" s="1007"/>
    </row>
    <row r="529">
      <c r="A529" s="624">
        <v>506.0</v>
      </c>
      <c r="B529" s="1008"/>
      <c r="C529" s="989"/>
      <c r="D529" s="851"/>
      <c r="E529" s="990"/>
      <c r="F529" s="991"/>
      <c r="G529" s="991"/>
      <c r="H529" s="992"/>
      <c r="I529" s="993"/>
      <c r="J529" s="993"/>
      <c r="K529" s="993"/>
      <c r="L529" s="993"/>
      <c r="M529" s="993"/>
      <c r="N529" s="993"/>
      <c r="O529" s="993"/>
      <c r="P529" s="993"/>
      <c r="Q529" s="993"/>
      <c r="R529" s="993"/>
      <c r="S529" s="936"/>
      <c r="T529" s="998"/>
      <c r="U529" s="935"/>
      <c r="V529" s="935"/>
      <c r="W529" s="949" t="str">
        <f>IF(AND($S$20,NOT($U$20)),IF($V529:$V623="","",SUMIF(portfolio.!$A$4:$A623,V529,portfolio.!$AN$4:$AN623)),"")</f>
        <v/>
      </c>
      <c r="X529" s="998"/>
      <c r="Y529" s="936"/>
      <c r="Z529" s="936" t="s">
        <v>123</v>
      </c>
      <c r="AA529" s="936" t="s">
        <v>123</v>
      </c>
      <c r="AB529" s="936" t="s">
        <v>123</v>
      </c>
      <c r="AC529" s="907" t="s">
        <v>123</v>
      </c>
      <c r="AD529" s="999"/>
      <c r="AE529" s="936"/>
      <c r="AF529" s="936"/>
      <c r="AG529" s="936"/>
      <c r="AH529" s="936"/>
      <c r="AI529" s="999"/>
      <c r="AJ529" s="935"/>
      <c r="AK529" s="966"/>
      <c r="AL529" s="949"/>
      <c r="AM529" s="949" t="s">
        <v>123</v>
      </c>
      <c r="AN529" s="949"/>
      <c r="AO529" s="999"/>
      <c r="AP529" s="936"/>
      <c r="AQ529" s="987"/>
      <c r="AR529" s="907"/>
      <c r="AS529" s="907"/>
      <c r="AT529" s="967" t="s">
        <v>123</v>
      </c>
      <c r="AU529" s="967" t="s">
        <v>123</v>
      </c>
      <c r="AV529" s="967" t="s">
        <v>123</v>
      </c>
      <c r="AW529" s="907" t="s">
        <v>123</v>
      </c>
      <c r="AX529" s="907" t="s">
        <v>123</v>
      </c>
      <c r="AY529" s="907" t="s">
        <v>123</v>
      </c>
      <c r="AZ529" s="936" t="s">
        <v>123</v>
      </c>
      <c r="BA529" s="935" t="s">
        <v>123</v>
      </c>
      <c r="BB529" s="1000"/>
      <c r="BC529" s="1001"/>
      <c r="BD529" s="936"/>
      <c r="BE529" s="907"/>
      <c r="BF529" s="1002" t="str">
        <f>IF($BC529="","",SUMIF(portfolio.!$A$4:$A623,BC529,portfolio.!$AN$4:$AN623))</f>
        <v/>
      </c>
      <c r="BG529" s="936" t="s">
        <v>123</v>
      </c>
      <c r="BH529" s="907" t="s">
        <v>123</v>
      </c>
      <c r="BI529" s="935" t="s">
        <v>123</v>
      </c>
      <c r="BJ529" s="1003"/>
      <c r="BK529" s="907" t="s">
        <v>123</v>
      </c>
      <c r="BL529" s="907" t="s">
        <v>123</v>
      </c>
      <c r="BM529" s="907" t="s">
        <v>123</v>
      </c>
      <c r="BN529" s="1004" t="s">
        <v>123</v>
      </c>
      <c r="BO529" s="907" t="str">
        <f t="shared" si="6"/>
        <v/>
      </c>
      <c r="BP529" s="907" t="str">
        <f t="shared" si="7"/>
        <v/>
      </c>
      <c r="BQ529" s="907" t="str">
        <f t="shared" si="8"/>
        <v/>
      </c>
      <c r="BR529" s="1004" t="str">
        <f t="shared" si="9"/>
        <v/>
      </c>
      <c r="BS529" s="1005" t="str">
        <f t="shared" si="10"/>
        <v/>
      </c>
      <c r="BT529" s="1006" t="s">
        <v>123</v>
      </c>
      <c r="BU529" s="1002" t="s">
        <v>123</v>
      </c>
      <c r="BV529" s="1006" t="s">
        <v>123</v>
      </c>
      <c r="BW529" s="1007"/>
    </row>
    <row r="530">
      <c r="A530" s="624">
        <v>507.0</v>
      </c>
      <c r="B530" s="1008"/>
      <c r="C530" s="989"/>
      <c r="D530" s="851"/>
      <c r="E530" s="990"/>
      <c r="F530" s="991"/>
      <c r="G530" s="991"/>
      <c r="H530" s="992"/>
      <c r="I530" s="993"/>
      <c r="J530" s="993"/>
      <c r="K530" s="993"/>
      <c r="L530" s="993"/>
      <c r="M530" s="993"/>
      <c r="N530" s="993"/>
      <c r="O530" s="993"/>
      <c r="P530" s="993"/>
      <c r="Q530" s="993"/>
      <c r="R530" s="993"/>
      <c r="S530" s="936"/>
      <c r="T530" s="998"/>
      <c r="U530" s="935"/>
      <c r="V530" s="935"/>
      <c r="W530" s="949" t="str">
        <f>IF(AND($S$20,NOT($U$20)),IF($V530:$V623="","",SUMIF(portfolio.!$A$4:$A623,V530,portfolio.!$AN$4:$AN623)),"")</f>
        <v/>
      </c>
      <c r="X530" s="998"/>
      <c r="Y530" s="936"/>
      <c r="Z530" s="936" t="s">
        <v>123</v>
      </c>
      <c r="AA530" s="936" t="s">
        <v>123</v>
      </c>
      <c r="AB530" s="936" t="s">
        <v>123</v>
      </c>
      <c r="AC530" s="907" t="s">
        <v>123</v>
      </c>
      <c r="AD530" s="999"/>
      <c r="AE530" s="936"/>
      <c r="AF530" s="936"/>
      <c r="AG530" s="936"/>
      <c r="AH530" s="936"/>
      <c r="AI530" s="999"/>
      <c r="AJ530" s="935"/>
      <c r="AK530" s="966"/>
      <c r="AL530" s="949"/>
      <c r="AM530" s="949" t="s">
        <v>123</v>
      </c>
      <c r="AN530" s="949"/>
      <c r="AO530" s="999"/>
      <c r="AP530" s="936"/>
      <c r="AQ530" s="987"/>
      <c r="AR530" s="907"/>
      <c r="AS530" s="907"/>
      <c r="AT530" s="967" t="s">
        <v>123</v>
      </c>
      <c r="AU530" s="967" t="s">
        <v>123</v>
      </c>
      <c r="AV530" s="967" t="s">
        <v>123</v>
      </c>
      <c r="AW530" s="907" t="s">
        <v>123</v>
      </c>
      <c r="AX530" s="907" t="s">
        <v>123</v>
      </c>
      <c r="AY530" s="907" t="s">
        <v>123</v>
      </c>
      <c r="AZ530" s="936" t="s">
        <v>123</v>
      </c>
      <c r="BA530" s="935" t="s">
        <v>123</v>
      </c>
      <c r="BB530" s="1000"/>
      <c r="BC530" s="1001"/>
      <c r="BD530" s="936"/>
      <c r="BE530" s="907"/>
      <c r="BF530" s="1002" t="str">
        <f>IF($BC530="","",SUMIF(portfolio.!$A$4:$A623,BC530,portfolio.!$AN$4:$AN623))</f>
        <v/>
      </c>
      <c r="BG530" s="936" t="s">
        <v>123</v>
      </c>
      <c r="BH530" s="907" t="s">
        <v>123</v>
      </c>
      <c r="BI530" s="935" t="s">
        <v>123</v>
      </c>
      <c r="BJ530" s="1003"/>
      <c r="BK530" s="907" t="s">
        <v>123</v>
      </c>
      <c r="BL530" s="907" t="s">
        <v>123</v>
      </c>
      <c r="BM530" s="907" t="s">
        <v>123</v>
      </c>
      <c r="BN530" s="1004" t="s">
        <v>123</v>
      </c>
      <c r="BO530" s="907" t="str">
        <f t="shared" si="6"/>
        <v/>
      </c>
      <c r="BP530" s="907" t="str">
        <f t="shared" si="7"/>
        <v/>
      </c>
      <c r="BQ530" s="907" t="str">
        <f t="shared" si="8"/>
        <v/>
      </c>
      <c r="BR530" s="1004" t="str">
        <f t="shared" si="9"/>
        <v/>
      </c>
      <c r="BS530" s="1005" t="str">
        <f t="shared" si="10"/>
        <v/>
      </c>
      <c r="BT530" s="1006" t="s">
        <v>123</v>
      </c>
      <c r="BU530" s="1002" t="s">
        <v>123</v>
      </c>
      <c r="BV530" s="1006" t="s">
        <v>123</v>
      </c>
      <c r="BW530" s="1007"/>
    </row>
    <row r="531">
      <c r="A531" s="624">
        <v>508.0</v>
      </c>
      <c r="B531" s="1008"/>
      <c r="C531" s="989"/>
      <c r="D531" s="851"/>
      <c r="E531" s="990"/>
      <c r="F531" s="991"/>
      <c r="G531" s="991"/>
      <c r="H531" s="992"/>
      <c r="I531" s="993"/>
      <c r="J531" s="993"/>
      <c r="K531" s="993"/>
      <c r="L531" s="993"/>
      <c r="M531" s="993"/>
      <c r="N531" s="993"/>
      <c r="O531" s="993"/>
      <c r="P531" s="993"/>
      <c r="Q531" s="993"/>
      <c r="R531" s="993"/>
      <c r="S531" s="936"/>
      <c r="T531" s="998"/>
      <c r="U531" s="935"/>
      <c r="V531" s="935"/>
      <c r="W531" s="949" t="str">
        <f>IF(AND($S$20,NOT($U$20)),IF($V531:$V623="","",SUMIF(portfolio.!$A$4:$A623,V531,portfolio.!$AN$4:$AN623)),"")</f>
        <v/>
      </c>
      <c r="X531" s="998"/>
      <c r="Y531" s="936"/>
      <c r="Z531" s="936" t="s">
        <v>123</v>
      </c>
      <c r="AA531" s="936" t="s">
        <v>123</v>
      </c>
      <c r="AB531" s="936" t="s">
        <v>123</v>
      </c>
      <c r="AC531" s="907" t="s">
        <v>123</v>
      </c>
      <c r="AD531" s="999"/>
      <c r="AE531" s="936"/>
      <c r="AF531" s="936"/>
      <c r="AG531" s="936"/>
      <c r="AH531" s="936"/>
      <c r="AI531" s="999"/>
      <c r="AJ531" s="935"/>
      <c r="AK531" s="966"/>
      <c r="AL531" s="949"/>
      <c r="AM531" s="949" t="s">
        <v>123</v>
      </c>
      <c r="AN531" s="949"/>
      <c r="AO531" s="999"/>
      <c r="AP531" s="936"/>
      <c r="AQ531" s="987"/>
      <c r="AR531" s="907"/>
      <c r="AS531" s="907"/>
      <c r="AT531" s="967" t="s">
        <v>123</v>
      </c>
      <c r="AU531" s="967" t="s">
        <v>123</v>
      </c>
      <c r="AV531" s="967" t="s">
        <v>123</v>
      </c>
      <c r="AW531" s="907" t="s">
        <v>123</v>
      </c>
      <c r="AX531" s="907" t="s">
        <v>123</v>
      </c>
      <c r="AY531" s="907" t="s">
        <v>123</v>
      </c>
      <c r="AZ531" s="936" t="s">
        <v>123</v>
      </c>
      <c r="BA531" s="935" t="s">
        <v>123</v>
      </c>
      <c r="BB531" s="1000"/>
      <c r="BC531" s="1001"/>
      <c r="BD531" s="936"/>
      <c r="BE531" s="907"/>
      <c r="BF531" s="1002" t="str">
        <f>IF($BC531="","",SUMIF(portfolio.!$A$4:$A623,BC531,portfolio.!$AN$4:$AN623))</f>
        <v/>
      </c>
      <c r="BG531" s="936" t="s">
        <v>123</v>
      </c>
      <c r="BH531" s="907" t="s">
        <v>123</v>
      </c>
      <c r="BI531" s="935" t="s">
        <v>123</v>
      </c>
      <c r="BJ531" s="1003"/>
      <c r="BK531" s="907" t="s">
        <v>123</v>
      </c>
      <c r="BL531" s="907" t="s">
        <v>123</v>
      </c>
      <c r="BM531" s="907" t="s">
        <v>123</v>
      </c>
      <c r="BN531" s="1004" t="s">
        <v>123</v>
      </c>
      <c r="BO531" s="907" t="str">
        <f t="shared" si="6"/>
        <v/>
      </c>
      <c r="BP531" s="907" t="str">
        <f t="shared" si="7"/>
        <v/>
      </c>
      <c r="BQ531" s="907" t="str">
        <f t="shared" si="8"/>
        <v/>
      </c>
      <c r="BR531" s="1004" t="str">
        <f t="shared" si="9"/>
        <v/>
      </c>
      <c r="BS531" s="1005" t="str">
        <f t="shared" si="10"/>
        <v/>
      </c>
      <c r="BT531" s="1006" t="s">
        <v>123</v>
      </c>
      <c r="BU531" s="1002" t="s">
        <v>123</v>
      </c>
      <c r="BV531" s="1006" t="s">
        <v>123</v>
      </c>
      <c r="BW531" s="1007"/>
    </row>
    <row r="532">
      <c r="A532" s="624">
        <v>509.0</v>
      </c>
      <c r="B532" s="1008"/>
      <c r="C532" s="989"/>
      <c r="D532" s="851"/>
      <c r="E532" s="990"/>
      <c r="F532" s="991"/>
      <c r="G532" s="991"/>
      <c r="H532" s="992"/>
      <c r="I532" s="993"/>
      <c r="J532" s="993"/>
      <c r="K532" s="993"/>
      <c r="L532" s="993"/>
      <c r="M532" s="993"/>
      <c r="N532" s="993"/>
      <c r="O532" s="993"/>
      <c r="P532" s="993"/>
      <c r="Q532" s="993"/>
      <c r="R532" s="993"/>
      <c r="S532" s="936"/>
      <c r="T532" s="998"/>
      <c r="U532" s="935"/>
      <c r="V532" s="935"/>
      <c r="W532" s="949" t="str">
        <f>IF(AND($S$20,NOT($U$20)),IF($V532:$V623="","",SUMIF(portfolio.!$A$4:$A623,V532,portfolio.!$AN$4:$AN623)),"")</f>
        <v/>
      </c>
      <c r="X532" s="998"/>
      <c r="Y532" s="936"/>
      <c r="Z532" s="936" t="s">
        <v>123</v>
      </c>
      <c r="AA532" s="936" t="s">
        <v>123</v>
      </c>
      <c r="AB532" s="936" t="s">
        <v>123</v>
      </c>
      <c r="AC532" s="907" t="s">
        <v>123</v>
      </c>
      <c r="AD532" s="999"/>
      <c r="AE532" s="936"/>
      <c r="AF532" s="936"/>
      <c r="AG532" s="936"/>
      <c r="AH532" s="936"/>
      <c r="AI532" s="999"/>
      <c r="AJ532" s="935"/>
      <c r="AK532" s="966"/>
      <c r="AL532" s="949"/>
      <c r="AM532" s="949" t="s">
        <v>123</v>
      </c>
      <c r="AN532" s="949"/>
      <c r="AO532" s="999"/>
      <c r="AP532" s="936"/>
      <c r="AQ532" s="987"/>
      <c r="AR532" s="907"/>
      <c r="AS532" s="907"/>
      <c r="AT532" s="967" t="s">
        <v>123</v>
      </c>
      <c r="AU532" s="967" t="s">
        <v>123</v>
      </c>
      <c r="AV532" s="967" t="s">
        <v>123</v>
      </c>
      <c r="AW532" s="907" t="s">
        <v>123</v>
      </c>
      <c r="AX532" s="907" t="s">
        <v>123</v>
      </c>
      <c r="AY532" s="907" t="s">
        <v>123</v>
      </c>
      <c r="AZ532" s="936" t="s">
        <v>123</v>
      </c>
      <c r="BA532" s="935" t="s">
        <v>123</v>
      </c>
      <c r="BB532" s="1000"/>
      <c r="BC532" s="1001"/>
      <c r="BD532" s="936"/>
      <c r="BE532" s="907"/>
      <c r="BF532" s="1002" t="str">
        <f>IF($BC532="","",SUMIF(portfolio.!$A$4:$A623,BC532,portfolio.!$AN$4:$AN623))</f>
        <v/>
      </c>
      <c r="BG532" s="936" t="s">
        <v>123</v>
      </c>
      <c r="BH532" s="907" t="s">
        <v>123</v>
      </c>
      <c r="BI532" s="935" t="s">
        <v>123</v>
      </c>
      <c r="BJ532" s="1003"/>
      <c r="BK532" s="907" t="s">
        <v>123</v>
      </c>
      <c r="BL532" s="907" t="s">
        <v>123</v>
      </c>
      <c r="BM532" s="907" t="s">
        <v>123</v>
      </c>
      <c r="BN532" s="1004" t="s">
        <v>123</v>
      </c>
      <c r="BO532" s="907" t="str">
        <f t="shared" si="6"/>
        <v/>
      </c>
      <c r="BP532" s="907" t="str">
        <f t="shared" si="7"/>
        <v/>
      </c>
      <c r="BQ532" s="907" t="str">
        <f t="shared" si="8"/>
        <v/>
      </c>
      <c r="BR532" s="1004" t="str">
        <f t="shared" si="9"/>
        <v/>
      </c>
      <c r="BS532" s="1005" t="str">
        <f t="shared" si="10"/>
        <v/>
      </c>
      <c r="BT532" s="1006" t="s">
        <v>123</v>
      </c>
      <c r="BU532" s="1002" t="s">
        <v>123</v>
      </c>
      <c r="BV532" s="1006" t="s">
        <v>123</v>
      </c>
      <c r="BW532" s="1007"/>
    </row>
    <row r="533">
      <c r="A533" s="624">
        <v>510.0</v>
      </c>
      <c r="B533" s="1008"/>
      <c r="C533" s="989"/>
      <c r="D533" s="851"/>
      <c r="E533" s="990"/>
      <c r="F533" s="991"/>
      <c r="G533" s="991"/>
      <c r="H533" s="992"/>
      <c r="I533" s="993"/>
      <c r="J533" s="993"/>
      <c r="K533" s="993"/>
      <c r="L533" s="993"/>
      <c r="M533" s="993"/>
      <c r="N533" s="993"/>
      <c r="O533" s="993"/>
      <c r="P533" s="993"/>
      <c r="Q533" s="993"/>
      <c r="R533" s="993"/>
      <c r="S533" s="936"/>
      <c r="T533" s="998"/>
      <c r="U533" s="935"/>
      <c r="V533" s="935"/>
      <c r="W533" s="949" t="str">
        <f>IF(AND($S$20,NOT($U$20)),IF($V533:$V623="","",SUMIF(portfolio.!$A$4:$A623,V533,portfolio.!$AN$4:$AN623)),"")</f>
        <v/>
      </c>
      <c r="X533" s="998"/>
      <c r="Y533" s="936"/>
      <c r="Z533" s="936" t="s">
        <v>123</v>
      </c>
      <c r="AA533" s="936" t="s">
        <v>123</v>
      </c>
      <c r="AB533" s="936" t="s">
        <v>123</v>
      </c>
      <c r="AC533" s="907" t="s">
        <v>123</v>
      </c>
      <c r="AD533" s="999"/>
      <c r="AE533" s="936"/>
      <c r="AF533" s="936"/>
      <c r="AG533" s="936"/>
      <c r="AH533" s="936"/>
      <c r="AI533" s="999"/>
      <c r="AJ533" s="935"/>
      <c r="AK533" s="966"/>
      <c r="AL533" s="949"/>
      <c r="AM533" s="949" t="s">
        <v>123</v>
      </c>
      <c r="AN533" s="949"/>
      <c r="AO533" s="999"/>
      <c r="AP533" s="936"/>
      <c r="AQ533" s="987"/>
      <c r="AR533" s="907"/>
      <c r="AS533" s="907"/>
      <c r="AT533" s="967" t="s">
        <v>123</v>
      </c>
      <c r="AU533" s="967" t="s">
        <v>123</v>
      </c>
      <c r="AV533" s="967" t="s">
        <v>123</v>
      </c>
      <c r="AW533" s="907" t="s">
        <v>123</v>
      </c>
      <c r="AX533" s="907" t="s">
        <v>123</v>
      </c>
      <c r="AY533" s="907" t="s">
        <v>123</v>
      </c>
      <c r="AZ533" s="936" t="s">
        <v>123</v>
      </c>
      <c r="BA533" s="935" t="s">
        <v>123</v>
      </c>
      <c r="BB533" s="1000"/>
      <c r="BC533" s="1001"/>
      <c r="BD533" s="936"/>
      <c r="BE533" s="907"/>
      <c r="BF533" s="1002" t="str">
        <f>IF($BC533="","",SUMIF(portfolio.!$A$4:$A623,BC533,portfolio.!$AN$4:$AN623))</f>
        <v/>
      </c>
      <c r="BG533" s="936" t="s">
        <v>123</v>
      </c>
      <c r="BH533" s="907" t="s">
        <v>123</v>
      </c>
      <c r="BI533" s="935" t="s">
        <v>123</v>
      </c>
      <c r="BJ533" s="1003"/>
      <c r="BK533" s="907" t="s">
        <v>123</v>
      </c>
      <c r="BL533" s="907" t="s">
        <v>123</v>
      </c>
      <c r="BM533" s="907" t="s">
        <v>123</v>
      </c>
      <c r="BN533" s="1004" t="s">
        <v>123</v>
      </c>
      <c r="BO533" s="907" t="str">
        <f t="shared" si="6"/>
        <v/>
      </c>
      <c r="BP533" s="907" t="str">
        <f t="shared" si="7"/>
        <v/>
      </c>
      <c r="BQ533" s="907" t="str">
        <f t="shared" si="8"/>
        <v/>
      </c>
      <c r="BR533" s="1004" t="str">
        <f t="shared" si="9"/>
        <v/>
      </c>
      <c r="BS533" s="1005" t="str">
        <f t="shared" si="10"/>
        <v/>
      </c>
      <c r="BT533" s="1006" t="s">
        <v>123</v>
      </c>
      <c r="BU533" s="1002" t="s">
        <v>123</v>
      </c>
      <c r="BV533" s="1006" t="s">
        <v>123</v>
      </c>
      <c r="BW533" s="1007"/>
    </row>
    <row r="534">
      <c r="A534" s="624">
        <v>511.0</v>
      </c>
      <c r="B534" s="1008"/>
      <c r="C534" s="989"/>
      <c r="D534" s="851"/>
      <c r="E534" s="990"/>
      <c r="F534" s="991"/>
      <c r="G534" s="991"/>
      <c r="H534" s="992"/>
      <c r="I534" s="993"/>
      <c r="J534" s="993"/>
      <c r="K534" s="993"/>
      <c r="L534" s="993"/>
      <c r="M534" s="993"/>
      <c r="N534" s="993"/>
      <c r="O534" s="993"/>
      <c r="P534" s="993"/>
      <c r="Q534" s="993"/>
      <c r="R534" s="993"/>
      <c r="S534" s="936"/>
      <c r="T534" s="998"/>
      <c r="U534" s="935"/>
      <c r="V534" s="935"/>
      <c r="W534" s="949" t="str">
        <f>IF(AND($S$20,NOT($U$20)),IF($V534:$V623="","",SUMIF(portfolio.!$A$4:$A623,V534,portfolio.!$AN$4:$AN623)),"")</f>
        <v/>
      </c>
      <c r="X534" s="998"/>
      <c r="Y534" s="936"/>
      <c r="Z534" s="936" t="s">
        <v>123</v>
      </c>
      <c r="AA534" s="936" t="s">
        <v>123</v>
      </c>
      <c r="AB534" s="936" t="s">
        <v>123</v>
      </c>
      <c r="AC534" s="907" t="s">
        <v>123</v>
      </c>
      <c r="AD534" s="999"/>
      <c r="AE534" s="936"/>
      <c r="AF534" s="936"/>
      <c r="AG534" s="936"/>
      <c r="AH534" s="936"/>
      <c r="AI534" s="999"/>
      <c r="AJ534" s="935"/>
      <c r="AK534" s="966"/>
      <c r="AL534" s="949"/>
      <c r="AM534" s="949" t="s">
        <v>123</v>
      </c>
      <c r="AN534" s="949"/>
      <c r="AO534" s="999"/>
      <c r="AP534" s="936"/>
      <c r="AQ534" s="987"/>
      <c r="AR534" s="907"/>
      <c r="AS534" s="907"/>
      <c r="AT534" s="967" t="s">
        <v>123</v>
      </c>
      <c r="AU534" s="967" t="s">
        <v>123</v>
      </c>
      <c r="AV534" s="967" t="s">
        <v>123</v>
      </c>
      <c r="AW534" s="907" t="s">
        <v>123</v>
      </c>
      <c r="AX534" s="907" t="s">
        <v>123</v>
      </c>
      <c r="AY534" s="907" t="s">
        <v>123</v>
      </c>
      <c r="AZ534" s="936" t="s">
        <v>123</v>
      </c>
      <c r="BA534" s="935" t="s">
        <v>123</v>
      </c>
      <c r="BB534" s="1000"/>
      <c r="BC534" s="1001"/>
      <c r="BD534" s="936"/>
      <c r="BE534" s="907"/>
      <c r="BF534" s="1002" t="str">
        <f>IF($BC534="","",SUMIF(portfolio.!$A$4:$A623,BC534,portfolio.!$AN$4:$AN623))</f>
        <v/>
      </c>
      <c r="BG534" s="936" t="s">
        <v>123</v>
      </c>
      <c r="BH534" s="907" t="s">
        <v>123</v>
      </c>
      <c r="BI534" s="935" t="s">
        <v>123</v>
      </c>
      <c r="BJ534" s="1003"/>
      <c r="BK534" s="907" t="s">
        <v>123</v>
      </c>
      <c r="BL534" s="907" t="s">
        <v>123</v>
      </c>
      <c r="BM534" s="907" t="s">
        <v>123</v>
      </c>
      <c r="BN534" s="1004" t="s">
        <v>123</v>
      </c>
      <c r="BO534" s="907" t="str">
        <f t="shared" si="6"/>
        <v/>
      </c>
      <c r="BP534" s="907" t="str">
        <f t="shared" si="7"/>
        <v/>
      </c>
      <c r="BQ534" s="907" t="str">
        <f t="shared" si="8"/>
        <v/>
      </c>
      <c r="BR534" s="1004" t="str">
        <f t="shared" si="9"/>
        <v/>
      </c>
      <c r="BS534" s="1005" t="str">
        <f t="shared" si="10"/>
        <v/>
      </c>
      <c r="BT534" s="1006" t="s">
        <v>123</v>
      </c>
      <c r="BU534" s="1002" t="s">
        <v>123</v>
      </c>
      <c r="BV534" s="1006" t="s">
        <v>123</v>
      </c>
      <c r="BW534" s="1007"/>
    </row>
    <row r="535">
      <c r="A535" s="624">
        <v>512.0</v>
      </c>
      <c r="B535" s="1008"/>
      <c r="C535" s="989"/>
      <c r="D535" s="851"/>
      <c r="E535" s="990"/>
      <c r="F535" s="991"/>
      <c r="G535" s="991"/>
      <c r="H535" s="992"/>
      <c r="I535" s="993"/>
      <c r="J535" s="993"/>
      <c r="K535" s="993"/>
      <c r="L535" s="993"/>
      <c r="M535" s="993"/>
      <c r="N535" s="993"/>
      <c r="O535" s="993"/>
      <c r="P535" s="993"/>
      <c r="Q535" s="993"/>
      <c r="R535" s="993"/>
      <c r="S535" s="936"/>
      <c r="T535" s="998"/>
      <c r="U535" s="935"/>
      <c r="V535" s="935"/>
      <c r="W535" s="949" t="str">
        <f>IF(AND($S$20,NOT($U$20)),IF($V535:$V623="","",SUMIF(portfolio.!$A$4:$A623,V535,portfolio.!$AN$4:$AN623)),"")</f>
        <v/>
      </c>
      <c r="X535" s="998"/>
      <c r="Y535" s="936"/>
      <c r="Z535" s="936" t="s">
        <v>123</v>
      </c>
      <c r="AA535" s="936" t="s">
        <v>123</v>
      </c>
      <c r="AB535" s="936" t="s">
        <v>123</v>
      </c>
      <c r="AC535" s="907" t="s">
        <v>123</v>
      </c>
      <c r="AD535" s="999"/>
      <c r="AE535" s="936"/>
      <c r="AF535" s="936"/>
      <c r="AG535" s="936"/>
      <c r="AH535" s="936"/>
      <c r="AI535" s="999"/>
      <c r="AJ535" s="935"/>
      <c r="AK535" s="966"/>
      <c r="AL535" s="949"/>
      <c r="AM535" s="949" t="s">
        <v>123</v>
      </c>
      <c r="AN535" s="949"/>
      <c r="AO535" s="999"/>
      <c r="AP535" s="936"/>
      <c r="AQ535" s="987"/>
      <c r="AR535" s="907"/>
      <c r="AS535" s="907"/>
      <c r="AT535" s="967" t="s">
        <v>123</v>
      </c>
      <c r="AU535" s="967" t="s">
        <v>123</v>
      </c>
      <c r="AV535" s="967" t="s">
        <v>123</v>
      </c>
      <c r="AW535" s="907" t="s">
        <v>123</v>
      </c>
      <c r="AX535" s="907" t="s">
        <v>123</v>
      </c>
      <c r="AY535" s="907" t="s">
        <v>123</v>
      </c>
      <c r="AZ535" s="936" t="s">
        <v>123</v>
      </c>
      <c r="BA535" s="935" t="s">
        <v>123</v>
      </c>
      <c r="BB535" s="1000"/>
      <c r="BC535" s="1001"/>
      <c r="BD535" s="936"/>
      <c r="BE535" s="907"/>
      <c r="BF535" s="1002" t="str">
        <f>IF($BC535="","",SUMIF(portfolio.!$A$4:$A623,BC535,portfolio.!$AN$4:$AN623))</f>
        <v/>
      </c>
      <c r="BG535" s="936" t="s">
        <v>123</v>
      </c>
      <c r="BH535" s="907" t="s">
        <v>123</v>
      </c>
      <c r="BI535" s="935" t="s">
        <v>123</v>
      </c>
      <c r="BJ535" s="1003"/>
      <c r="BK535" s="907" t="s">
        <v>123</v>
      </c>
      <c r="BL535" s="907" t="s">
        <v>123</v>
      </c>
      <c r="BM535" s="907" t="s">
        <v>123</v>
      </c>
      <c r="BN535" s="1004" t="s">
        <v>123</v>
      </c>
      <c r="BO535" s="907" t="str">
        <f t="shared" si="6"/>
        <v/>
      </c>
      <c r="BP535" s="907" t="str">
        <f t="shared" si="7"/>
        <v/>
      </c>
      <c r="BQ535" s="907" t="str">
        <f t="shared" si="8"/>
        <v/>
      </c>
      <c r="BR535" s="1004" t="str">
        <f t="shared" si="9"/>
        <v/>
      </c>
      <c r="BS535" s="1005" t="str">
        <f t="shared" si="10"/>
        <v/>
      </c>
      <c r="BT535" s="1006" t="s">
        <v>123</v>
      </c>
      <c r="BU535" s="1002" t="s">
        <v>123</v>
      </c>
      <c r="BV535" s="1006" t="s">
        <v>123</v>
      </c>
      <c r="BW535" s="1007"/>
    </row>
    <row r="536">
      <c r="A536" s="624">
        <v>513.0</v>
      </c>
      <c r="B536" s="1008"/>
      <c r="C536" s="989"/>
      <c r="D536" s="851"/>
      <c r="E536" s="990"/>
      <c r="F536" s="991"/>
      <c r="G536" s="991"/>
      <c r="H536" s="992"/>
      <c r="I536" s="993"/>
      <c r="J536" s="993"/>
      <c r="K536" s="993"/>
      <c r="L536" s="993"/>
      <c r="M536" s="993"/>
      <c r="N536" s="993"/>
      <c r="O536" s="993"/>
      <c r="P536" s="993"/>
      <c r="Q536" s="993"/>
      <c r="R536" s="993"/>
      <c r="S536" s="936"/>
      <c r="T536" s="998"/>
      <c r="U536" s="935"/>
      <c r="V536" s="935"/>
      <c r="W536" s="949" t="str">
        <f>IF(AND($S$20,NOT($U$20)),IF($V536:$V623="","",SUMIF(portfolio.!$A$4:$A623,V536,portfolio.!$AN$4:$AN623)),"")</f>
        <v/>
      </c>
      <c r="X536" s="998"/>
      <c r="Y536" s="936"/>
      <c r="Z536" s="936" t="s">
        <v>123</v>
      </c>
      <c r="AA536" s="936" t="s">
        <v>123</v>
      </c>
      <c r="AB536" s="936" t="s">
        <v>123</v>
      </c>
      <c r="AC536" s="907" t="s">
        <v>123</v>
      </c>
      <c r="AD536" s="999"/>
      <c r="AE536" s="936"/>
      <c r="AF536" s="936"/>
      <c r="AG536" s="936"/>
      <c r="AH536" s="936"/>
      <c r="AI536" s="999"/>
      <c r="AJ536" s="935"/>
      <c r="AK536" s="966"/>
      <c r="AL536" s="949"/>
      <c r="AM536" s="949" t="s">
        <v>123</v>
      </c>
      <c r="AN536" s="949"/>
      <c r="AO536" s="999"/>
      <c r="AP536" s="936"/>
      <c r="AQ536" s="987"/>
      <c r="AR536" s="907"/>
      <c r="AS536" s="907"/>
      <c r="AT536" s="967" t="s">
        <v>123</v>
      </c>
      <c r="AU536" s="967" t="s">
        <v>123</v>
      </c>
      <c r="AV536" s="967" t="s">
        <v>123</v>
      </c>
      <c r="AW536" s="907" t="s">
        <v>123</v>
      </c>
      <c r="AX536" s="907" t="s">
        <v>123</v>
      </c>
      <c r="AY536" s="907" t="s">
        <v>123</v>
      </c>
      <c r="AZ536" s="936" t="s">
        <v>123</v>
      </c>
      <c r="BA536" s="935" t="s">
        <v>123</v>
      </c>
      <c r="BB536" s="1000"/>
      <c r="BC536" s="1001"/>
      <c r="BD536" s="936"/>
      <c r="BE536" s="907"/>
      <c r="BF536" s="1002" t="str">
        <f>IF($BC536="","",SUMIF(portfolio.!$A$4:$A623,BC536,portfolio.!$AN$4:$AN623))</f>
        <v/>
      </c>
      <c r="BG536" s="936" t="s">
        <v>123</v>
      </c>
      <c r="BH536" s="907" t="s">
        <v>123</v>
      </c>
      <c r="BI536" s="935" t="s">
        <v>123</v>
      </c>
      <c r="BJ536" s="1003"/>
      <c r="BK536" s="907" t="s">
        <v>123</v>
      </c>
      <c r="BL536" s="907" t="s">
        <v>123</v>
      </c>
      <c r="BM536" s="907" t="s">
        <v>123</v>
      </c>
      <c r="BN536" s="1004" t="s">
        <v>123</v>
      </c>
      <c r="BO536" s="907" t="str">
        <f t="shared" si="6"/>
        <v/>
      </c>
      <c r="BP536" s="907" t="str">
        <f t="shared" si="7"/>
        <v/>
      </c>
      <c r="BQ536" s="907" t="str">
        <f t="shared" si="8"/>
        <v/>
      </c>
      <c r="BR536" s="1004" t="str">
        <f t="shared" si="9"/>
        <v/>
      </c>
      <c r="BS536" s="1005" t="str">
        <f t="shared" si="10"/>
        <v/>
      </c>
      <c r="BT536" s="1006" t="s">
        <v>123</v>
      </c>
      <c r="BU536" s="1002" t="s">
        <v>123</v>
      </c>
      <c r="BV536" s="1006" t="s">
        <v>123</v>
      </c>
      <c r="BW536" s="1007"/>
    </row>
    <row r="537">
      <c r="A537" s="624">
        <v>514.0</v>
      </c>
      <c r="B537" s="1008"/>
      <c r="C537" s="989"/>
      <c r="D537" s="851"/>
      <c r="E537" s="990"/>
      <c r="F537" s="991"/>
      <c r="G537" s="991"/>
      <c r="H537" s="992"/>
      <c r="I537" s="993"/>
      <c r="J537" s="993"/>
      <c r="K537" s="993"/>
      <c r="L537" s="993"/>
      <c r="M537" s="993"/>
      <c r="N537" s="993"/>
      <c r="O537" s="993"/>
      <c r="P537" s="993"/>
      <c r="Q537" s="993"/>
      <c r="R537" s="993"/>
      <c r="S537" s="936"/>
      <c r="T537" s="998"/>
      <c r="U537" s="935"/>
      <c r="V537" s="935"/>
      <c r="W537" s="949" t="str">
        <f>IF(AND($S$20,NOT($U$20)),IF($V537:$V623="","",SUMIF(portfolio.!$A$4:$A623,V537,portfolio.!$AN$4:$AN623)),"")</f>
        <v/>
      </c>
      <c r="X537" s="998"/>
      <c r="Y537" s="936"/>
      <c r="Z537" s="936" t="s">
        <v>123</v>
      </c>
      <c r="AA537" s="936" t="s">
        <v>123</v>
      </c>
      <c r="AB537" s="936" t="s">
        <v>123</v>
      </c>
      <c r="AC537" s="907" t="s">
        <v>123</v>
      </c>
      <c r="AD537" s="999"/>
      <c r="AE537" s="936"/>
      <c r="AF537" s="936"/>
      <c r="AG537" s="936"/>
      <c r="AH537" s="936"/>
      <c r="AI537" s="999"/>
      <c r="AJ537" s="935"/>
      <c r="AK537" s="966"/>
      <c r="AL537" s="949"/>
      <c r="AM537" s="949" t="s">
        <v>123</v>
      </c>
      <c r="AN537" s="949"/>
      <c r="AO537" s="999"/>
      <c r="AP537" s="936"/>
      <c r="AQ537" s="987"/>
      <c r="AR537" s="907"/>
      <c r="AS537" s="907"/>
      <c r="AT537" s="967" t="s">
        <v>123</v>
      </c>
      <c r="AU537" s="967" t="s">
        <v>123</v>
      </c>
      <c r="AV537" s="967" t="s">
        <v>123</v>
      </c>
      <c r="AW537" s="907" t="s">
        <v>123</v>
      </c>
      <c r="AX537" s="907" t="s">
        <v>123</v>
      </c>
      <c r="AY537" s="907" t="s">
        <v>123</v>
      </c>
      <c r="AZ537" s="936" t="s">
        <v>123</v>
      </c>
      <c r="BA537" s="935" t="s">
        <v>123</v>
      </c>
      <c r="BB537" s="1000"/>
      <c r="BC537" s="1001"/>
      <c r="BD537" s="936"/>
      <c r="BE537" s="907"/>
      <c r="BF537" s="1002" t="str">
        <f>IF($BC537="","",SUMIF(portfolio.!$A$4:$A623,BC537,portfolio.!$AN$4:$AN623))</f>
        <v/>
      </c>
      <c r="BG537" s="936" t="s">
        <v>123</v>
      </c>
      <c r="BH537" s="907" t="s">
        <v>123</v>
      </c>
      <c r="BI537" s="935" t="s">
        <v>123</v>
      </c>
      <c r="BJ537" s="1003"/>
      <c r="BK537" s="907" t="s">
        <v>123</v>
      </c>
      <c r="BL537" s="907" t="s">
        <v>123</v>
      </c>
      <c r="BM537" s="907" t="s">
        <v>123</v>
      </c>
      <c r="BN537" s="1004" t="s">
        <v>123</v>
      </c>
      <c r="BO537" s="907" t="str">
        <f t="shared" si="6"/>
        <v/>
      </c>
      <c r="BP537" s="907" t="str">
        <f t="shared" si="7"/>
        <v/>
      </c>
      <c r="BQ537" s="907" t="str">
        <f t="shared" si="8"/>
        <v/>
      </c>
      <c r="BR537" s="1004" t="str">
        <f t="shared" si="9"/>
        <v/>
      </c>
      <c r="BS537" s="1005" t="str">
        <f t="shared" si="10"/>
        <v/>
      </c>
      <c r="BT537" s="1006" t="s">
        <v>123</v>
      </c>
      <c r="BU537" s="1002" t="s">
        <v>123</v>
      </c>
      <c r="BV537" s="1006" t="s">
        <v>123</v>
      </c>
      <c r="BW537" s="1007"/>
    </row>
    <row r="538">
      <c r="A538" s="624">
        <v>515.0</v>
      </c>
      <c r="B538" s="1008"/>
      <c r="C538" s="989"/>
      <c r="D538" s="851"/>
      <c r="E538" s="990"/>
      <c r="F538" s="991"/>
      <c r="G538" s="991"/>
      <c r="H538" s="992"/>
      <c r="I538" s="993"/>
      <c r="J538" s="993"/>
      <c r="K538" s="993"/>
      <c r="L538" s="993"/>
      <c r="M538" s="993"/>
      <c r="N538" s="993"/>
      <c r="O538" s="993"/>
      <c r="P538" s="993"/>
      <c r="Q538" s="993"/>
      <c r="R538" s="993"/>
      <c r="S538" s="936"/>
      <c r="T538" s="998"/>
      <c r="U538" s="935"/>
      <c r="V538" s="935"/>
      <c r="W538" s="949" t="str">
        <f>IF(AND($S$20,NOT($U$20)),IF($V538:$V623="","",SUMIF(portfolio.!$A$4:$A623,V538,portfolio.!$AN$4:$AN623)),"")</f>
        <v/>
      </c>
      <c r="X538" s="998"/>
      <c r="Y538" s="936"/>
      <c r="Z538" s="936" t="s">
        <v>123</v>
      </c>
      <c r="AA538" s="936" t="s">
        <v>123</v>
      </c>
      <c r="AB538" s="936" t="s">
        <v>123</v>
      </c>
      <c r="AC538" s="907" t="s">
        <v>123</v>
      </c>
      <c r="AD538" s="999"/>
      <c r="AE538" s="936"/>
      <c r="AF538" s="936"/>
      <c r="AG538" s="936"/>
      <c r="AH538" s="936"/>
      <c r="AI538" s="999"/>
      <c r="AJ538" s="935"/>
      <c r="AK538" s="966"/>
      <c r="AL538" s="949"/>
      <c r="AM538" s="949" t="s">
        <v>123</v>
      </c>
      <c r="AN538" s="949"/>
      <c r="AO538" s="999"/>
      <c r="AP538" s="936"/>
      <c r="AQ538" s="987"/>
      <c r="AR538" s="907"/>
      <c r="AS538" s="907"/>
      <c r="AT538" s="967" t="s">
        <v>123</v>
      </c>
      <c r="AU538" s="967" t="s">
        <v>123</v>
      </c>
      <c r="AV538" s="967" t="s">
        <v>123</v>
      </c>
      <c r="AW538" s="907" t="s">
        <v>123</v>
      </c>
      <c r="AX538" s="907" t="s">
        <v>123</v>
      </c>
      <c r="AY538" s="907" t="s">
        <v>123</v>
      </c>
      <c r="AZ538" s="936" t="s">
        <v>123</v>
      </c>
      <c r="BA538" s="935" t="s">
        <v>123</v>
      </c>
      <c r="BB538" s="1000"/>
      <c r="BC538" s="1001"/>
      <c r="BD538" s="936"/>
      <c r="BE538" s="907"/>
      <c r="BF538" s="1002" t="str">
        <f>IF($BC538="","",SUMIF(portfolio.!$A$4:$A623,BC538,portfolio.!$AN$4:$AN623))</f>
        <v/>
      </c>
      <c r="BG538" s="936" t="s">
        <v>123</v>
      </c>
      <c r="BH538" s="907" t="s">
        <v>123</v>
      </c>
      <c r="BI538" s="935" t="s">
        <v>123</v>
      </c>
      <c r="BJ538" s="1003"/>
      <c r="BK538" s="907" t="s">
        <v>123</v>
      </c>
      <c r="BL538" s="907" t="s">
        <v>123</v>
      </c>
      <c r="BM538" s="907" t="s">
        <v>123</v>
      </c>
      <c r="BN538" s="1004" t="s">
        <v>123</v>
      </c>
      <c r="BO538" s="907" t="str">
        <f t="shared" si="6"/>
        <v/>
      </c>
      <c r="BP538" s="907" t="str">
        <f t="shared" si="7"/>
        <v/>
      </c>
      <c r="BQ538" s="907" t="str">
        <f t="shared" si="8"/>
        <v/>
      </c>
      <c r="BR538" s="1004" t="str">
        <f t="shared" si="9"/>
        <v/>
      </c>
      <c r="BS538" s="1005" t="str">
        <f t="shared" si="10"/>
        <v/>
      </c>
      <c r="BT538" s="1006" t="s">
        <v>123</v>
      </c>
      <c r="BU538" s="1002" t="s">
        <v>123</v>
      </c>
      <c r="BV538" s="1006" t="s">
        <v>123</v>
      </c>
      <c r="BW538" s="1007"/>
    </row>
    <row r="539">
      <c r="A539" s="624">
        <v>516.0</v>
      </c>
      <c r="B539" s="1008"/>
      <c r="C539" s="989"/>
      <c r="D539" s="851"/>
      <c r="E539" s="990"/>
      <c r="F539" s="991"/>
      <c r="G539" s="991"/>
      <c r="H539" s="992"/>
      <c r="I539" s="993"/>
      <c r="J539" s="993"/>
      <c r="K539" s="993"/>
      <c r="L539" s="993"/>
      <c r="M539" s="993"/>
      <c r="N539" s="993"/>
      <c r="O539" s="993"/>
      <c r="P539" s="993"/>
      <c r="Q539" s="993"/>
      <c r="R539" s="993"/>
      <c r="S539" s="936"/>
      <c r="T539" s="998"/>
      <c r="U539" s="935"/>
      <c r="V539" s="935"/>
      <c r="W539" s="949" t="str">
        <f>IF(AND($S$20,NOT($U$20)),IF($V539:$V623="","",SUMIF(portfolio.!$A$4:$A623,V539,portfolio.!$AN$4:$AN623)),"")</f>
        <v/>
      </c>
      <c r="X539" s="998"/>
      <c r="Y539" s="936"/>
      <c r="Z539" s="936" t="s">
        <v>123</v>
      </c>
      <c r="AA539" s="936" t="s">
        <v>123</v>
      </c>
      <c r="AB539" s="936" t="s">
        <v>123</v>
      </c>
      <c r="AC539" s="907" t="s">
        <v>123</v>
      </c>
      <c r="AD539" s="999"/>
      <c r="AE539" s="936"/>
      <c r="AF539" s="936"/>
      <c r="AG539" s="936"/>
      <c r="AH539" s="936"/>
      <c r="AI539" s="999"/>
      <c r="AJ539" s="935"/>
      <c r="AK539" s="966"/>
      <c r="AL539" s="949"/>
      <c r="AM539" s="949" t="s">
        <v>123</v>
      </c>
      <c r="AN539" s="949"/>
      <c r="AO539" s="999"/>
      <c r="AP539" s="936"/>
      <c r="AQ539" s="987"/>
      <c r="AR539" s="907"/>
      <c r="AS539" s="907"/>
      <c r="AT539" s="967" t="s">
        <v>123</v>
      </c>
      <c r="AU539" s="967" t="s">
        <v>123</v>
      </c>
      <c r="AV539" s="967" t="s">
        <v>123</v>
      </c>
      <c r="AW539" s="907" t="s">
        <v>123</v>
      </c>
      <c r="AX539" s="907" t="s">
        <v>123</v>
      </c>
      <c r="AY539" s="907" t="s">
        <v>123</v>
      </c>
      <c r="AZ539" s="936" t="s">
        <v>123</v>
      </c>
      <c r="BA539" s="935" t="s">
        <v>123</v>
      </c>
      <c r="BB539" s="1000"/>
      <c r="BC539" s="1001"/>
      <c r="BD539" s="936"/>
      <c r="BE539" s="907"/>
      <c r="BF539" s="1002" t="str">
        <f>IF($BC539="","",SUMIF(portfolio.!$A$4:$A623,BC539,portfolio.!$AN$4:$AN623))</f>
        <v/>
      </c>
      <c r="BG539" s="936" t="s">
        <v>123</v>
      </c>
      <c r="BH539" s="907" t="s">
        <v>123</v>
      </c>
      <c r="BI539" s="935" t="s">
        <v>123</v>
      </c>
      <c r="BJ539" s="1003"/>
      <c r="BK539" s="907" t="s">
        <v>123</v>
      </c>
      <c r="BL539" s="907" t="s">
        <v>123</v>
      </c>
      <c r="BM539" s="907" t="s">
        <v>123</v>
      </c>
      <c r="BN539" s="1004" t="s">
        <v>123</v>
      </c>
      <c r="BO539" s="907" t="str">
        <f t="shared" si="6"/>
        <v/>
      </c>
      <c r="BP539" s="907" t="str">
        <f t="shared" si="7"/>
        <v/>
      </c>
      <c r="BQ539" s="907" t="str">
        <f t="shared" si="8"/>
        <v/>
      </c>
      <c r="BR539" s="1004" t="str">
        <f t="shared" si="9"/>
        <v/>
      </c>
      <c r="BS539" s="1005" t="str">
        <f t="shared" si="10"/>
        <v/>
      </c>
      <c r="BT539" s="1006" t="s">
        <v>123</v>
      </c>
      <c r="BU539" s="1002" t="s">
        <v>123</v>
      </c>
      <c r="BV539" s="1006" t="s">
        <v>123</v>
      </c>
      <c r="BW539" s="1007"/>
    </row>
    <row r="540">
      <c r="A540" s="624">
        <v>517.0</v>
      </c>
      <c r="B540" s="1008"/>
      <c r="C540" s="989"/>
      <c r="D540" s="851"/>
      <c r="E540" s="990"/>
      <c r="F540" s="991"/>
      <c r="G540" s="991"/>
      <c r="H540" s="992"/>
      <c r="I540" s="993"/>
      <c r="J540" s="993"/>
      <c r="K540" s="993"/>
      <c r="L540" s="993"/>
      <c r="M540" s="993"/>
      <c r="N540" s="993"/>
      <c r="O540" s="993"/>
      <c r="P540" s="993"/>
      <c r="Q540" s="993"/>
      <c r="R540" s="993"/>
      <c r="S540" s="936"/>
      <c r="T540" s="998"/>
      <c r="U540" s="935"/>
      <c r="V540" s="935"/>
      <c r="W540" s="949" t="str">
        <f>IF(AND($S$20,NOT($U$20)),IF($V540:$V623="","",SUMIF(portfolio.!$A$4:$A623,V540,portfolio.!$AN$4:$AN623)),"")</f>
        <v/>
      </c>
      <c r="X540" s="998"/>
      <c r="Y540" s="936"/>
      <c r="Z540" s="936" t="s">
        <v>123</v>
      </c>
      <c r="AA540" s="936" t="s">
        <v>123</v>
      </c>
      <c r="AB540" s="936" t="s">
        <v>123</v>
      </c>
      <c r="AC540" s="907" t="s">
        <v>123</v>
      </c>
      <c r="AD540" s="999"/>
      <c r="AE540" s="936"/>
      <c r="AF540" s="936"/>
      <c r="AG540" s="936"/>
      <c r="AH540" s="936"/>
      <c r="AI540" s="999"/>
      <c r="AJ540" s="935"/>
      <c r="AK540" s="966"/>
      <c r="AL540" s="949"/>
      <c r="AM540" s="949" t="s">
        <v>123</v>
      </c>
      <c r="AN540" s="949"/>
      <c r="AO540" s="999"/>
      <c r="AP540" s="936"/>
      <c r="AQ540" s="987"/>
      <c r="AR540" s="907"/>
      <c r="AS540" s="907"/>
      <c r="AT540" s="967" t="s">
        <v>123</v>
      </c>
      <c r="AU540" s="967" t="s">
        <v>123</v>
      </c>
      <c r="AV540" s="967" t="s">
        <v>123</v>
      </c>
      <c r="AW540" s="907" t="s">
        <v>123</v>
      </c>
      <c r="AX540" s="907" t="s">
        <v>123</v>
      </c>
      <c r="AY540" s="907" t="s">
        <v>123</v>
      </c>
      <c r="AZ540" s="936" t="s">
        <v>123</v>
      </c>
      <c r="BA540" s="935" t="s">
        <v>123</v>
      </c>
      <c r="BB540" s="1000"/>
      <c r="BC540" s="1001"/>
      <c r="BD540" s="936"/>
      <c r="BE540" s="907"/>
      <c r="BF540" s="1002" t="str">
        <f>IF($BC540="","",SUMIF(portfolio.!$A$4:$A623,BC540,portfolio.!$AN$4:$AN623))</f>
        <v/>
      </c>
      <c r="BG540" s="936" t="s">
        <v>123</v>
      </c>
      <c r="BH540" s="907" t="s">
        <v>123</v>
      </c>
      <c r="BI540" s="935" t="s">
        <v>123</v>
      </c>
      <c r="BJ540" s="1003"/>
      <c r="BK540" s="907" t="s">
        <v>123</v>
      </c>
      <c r="BL540" s="907" t="s">
        <v>123</v>
      </c>
      <c r="BM540" s="907" t="s">
        <v>123</v>
      </c>
      <c r="BN540" s="1004" t="s">
        <v>123</v>
      </c>
      <c r="BO540" s="907" t="str">
        <f t="shared" si="6"/>
        <v/>
      </c>
      <c r="BP540" s="907" t="str">
        <f t="shared" si="7"/>
        <v/>
      </c>
      <c r="BQ540" s="907" t="str">
        <f t="shared" si="8"/>
        <v/>
      </c>
      <c r="BR540" s="1004" t="str">
        <f t="shared" si="9"/>
        <v/>
      </c>
      <c r="BS540" s="1005" t="str">
        <f t="shared" si="10"/>
        <v/>
      </c>
      <c r="BT540" s="1006" t="s">
        <v>123</v>
      </c>
      <c r="BU540" s="1002" t="s">
        <v>123</v>
      </c>
      <c r="BV540" s="1006" t="s">
        <v>123</v>
      </c>
      <c r="BW540" s="1007"/>
    </row>
    <row r="541">
      <c r="A541" s="624">
        <v>518.0</v>
      </c>
      <c r="B541" s="1008"/>
      <c r="C541" s="989"/>
      <c r="D541" s="851"/>
      <c r="E541" s="990"/>
      <c r="F541" s="991"/>
      <c r="G541" s="991"/>
      <c r="H541" s="992"/>
      <c r="I541" s="993"/>
      <c r="J541" s="993"/>
      <c r="K541" s="993"/>
      <c r="L541" s="993"/>
      <c r="M541" s="993"/>
      <c r="N541" s="993"/>
      <c r="O541" s="993"/>
      <c r="P541" s="993"/>
      <c r="Q541" s="993"/>
      <c r="R541" s="993"/>
      <c r="S541" s="936"/>
      <c r="T541" s="998"/>
      <c r="U541" s="935"/>
      <c r="V541" s="935"/>
      <c r="W541" s="949" t="str">
        <f>IF(AND($S$20,NOT($U$20)),IF($V541:$V623="","",SUMIF(portfolio.!$A$4:$A623,V541,portfolio.!$AN$4:$AN623)),"")</f>
        <v/>
      </c>
      <c r="X541" s="998"/>
      <c r="Y541" s="936"/>
      <c r="Z541" s="936" t="s">
        <v>123</v>
      </c>
      <c r="AA541" s="936" t="s">
        <v>123</v>
      </c>
      <c r="AB541" s="936" t="s">
        <v>123</v>
      </c>
      <c r="AC541" s="907" t="s">
        <v>123</v>
      </c>
      <c r="AD541" s="999"/>
      <c r="AE541" s="936"/>
      <c r="AF541" s="936"/>
      <c r="AG541" s="936"/>
      <c r="AH541" s="936"/>
      <c r="AI541" s="999"/>
      <c r="AJ541" s="935"/>
      <c r="AK541" s="966"/>
      <c r="AL541" s="949"/>
      <c r="AM541" s="949" t="s">
        <v>123</v>
      </c>
      <c r="AN541" s="949"/>
      <c r="AO541" s="999"/>
      <c r="AP541" s="936"/>
      <c r="AQ541" s="987"/>
      <c r="AR541" s="907"/>
      <c r="AS541" s="907"/>
      <c r="AT541" s="967" t="s">
        <v>123</v>
      </c>
      <c r="AU541" s="967" t="s">
        <v>123</v>
      </c>
      <c r="AV541" s="967" t="s">
        <v>123</v>
      </c>
      <c r="AW541" s="907" t="s">
        <v>123</v>
      </c>
      <c r="AX541" s="907" t="s">
        <v>123</v>
      </c>
      <c r="AY541" s="907" t="s">
        <v>123</v>
      </c>
      <c r="AZ541" s="936" t="s">
        <v>123</v>
      </c>
      <c r="BA541" s="935" t="s">
        <v>123</v>
      </c>
      <c r="BB541" s="1000"/>
      <c r="BC541" s="1001"/>
      <c r="BD541" s="936"/>
      <c r="BE541" s="907"/>
      <c r="BF541" s="1002" t="str">
        <f>IF($BC541="","",SUMIF(portfolio.!$A$4:$A623,BC541,portfolio.!$AN$4:$AN623))</f>
        <v/>
      </c>
      <c r="BG541" s="936" t="s">
        <v>123</v>
      </c>
      <c r="BH541" s="907" t="s">
        <v>123</v>
      </c>
      <c r="BI541" s="935" t="s">
        <v>123</v>
      </c>
      <c r="BJ541" s="1003"/>
      <c r="BK541" s="907" t="s">
        <v>123</v>
      </c>
      <c r="BL541" s="907" t="s">
        <v>123</v>
      </c>
      <c r="BM541" s="907" t="s">
        <v>123</v>
      </c>
      <c r="BN541" s="1004" t="s">
        <v>123</v>
      </c>
      <c r="BO541" s="907" t="str">
        <f t="shared" si="6"/>
        <v/>
      </c>
      <c r="BP541" s="907" t="str">
        <f t="shared" si="7"/>
        <v/>
      </c>
      <c r="BQ541" s="907" t="str">
        <f t="shared" si="8"/>
        <v/>
      </c>
      <c r="BR541" s="1004" t="str">
        <f t="shared" si="9"/>
        <v/>
      </c>
      <c r="BS541" s="1005" t="str">
        <f t="shared" si="10"/>
        <v/>
      </c>
      <c r="BT541" s="1006" t="s">
        <v>123</v>
      </c>
      <c r="BU541" s="1002" t="s">
        <v>123</v>
      </c>
      <c r="BV541" s="1006" t="s">
        <v>123</v>
      </c>
      <c r="BW541" s="1007"/>
    </row>
    <row r="542">
      <c r="A542" s="624">
        <v>519.0</v>
      </c>
      <c r="B542" s="1008"/>
      <c r="C542" s="989"/>
      <c r="D542" s="851"/>
      <c r="E542" s="990"/>
      <c r="F542" s="991"/>
      <c r="G542" s="991"/>
      <c r="H542" s="992"/>
      <c r="I542" s="993"/>
      <c r="J542" s="993"/>
      <c r="K542" s="993"/>
      <c r="L542" s="993"/>
      <c r="M542" s="993"/>
      <c r="N542" s="993"/>
      <c r="O542" s="993"/>
      <c r="P542" s="993"/>
      <c r="Q542" s="993"/>
      <c r="R542" s="993"/>
      <c r="S542" s="936"/>
      <c r="T542" s="998"/>
      <c r="U542" s="935"/>
      <c r="V542" s="935"/>
      <c r="W542" s="949" t="str">
        <f>IF(AND($S$20,NOT($U$20)),IF($V542:$V623="","",SUMIF(portfolio.!$A$4:$A623,V542,portfolio.!$AN$4:$AN623)),"")</f>
        <v/>
      </c>
      <c r="X542" s="998"/>
      <c r="Y542" s="936"/>
      <c r="Z542" s="936" t="s">
        <v>123</v>
      </c>
      <c r="AA542" s="936" t="s">
        <v>123</v>
      </c>
      <c r="AB542" s="936" t="s">
        <v>123</v>
      </c>
      <c r="AC542" s="907" t="s">
        <v>123</v>
      </c>
      <c r="AD542" s="999"/>
      <c r="AE542" s="936"/>
      <c r="AF542" s="936"/>
      <c r="AG542" s="936"/>
      <c r="AH542" s="936"/>
      <c r="AI542" s="999"/>
      <c r="AJ542" s="935"/>
      <c r="AK542" s="966"/>
      <c r="AL542" s="949"/>
      <c r="AM542" s="949" t="s">
        <v>123</v>
      </c>
      <c r="AN542" s="949"/>
      <c r="AO542" s="999"/>
      <c r="AP542" s="936"/>
      <c r="AQ542" s="987"/>
      <c r="AR542" s="907"/>
      <c r="AS542" s="907"/>
      <c r="AT542" s="967" t="s">
        <v>123</v>
      </c>
      <c r="AU542" s="967" t="s">
        <v>123</v>
      </c>
      <c r="AV542" s="967" t="s">
        <v>123</v>
      </c>
      <c r="AW542" s="907" t="s">
        <v>123</v>
      </c>
      <c r="AX542" s="907" t="s">
        <v>123</v>
      </c>
      <c r="AY542" s="907" t="s">
        <v>123</v>
      </c>
      <c r="AZ542" s="936" t="s">
        <v>123</v>
      </c>
      <c r="BA542" s="935" t="s">
        <v>123</v>
      </c>
      <c r="BB542" s="1000"/>
      <c r="BC542" s="1001"/>
      <c r="BD542" s="936"/>
      <c r="BE542" s="907"/>
      <c r="BF542" s="1002" t="str">
        <f>IF($BC542="","",SUMIF(portfolio.!$A$4:$A623,BC542,portfolio.!$AN$4:$AN623))</f>
        <v/>
      </c>
      <c r="BG542" s="936" t="s">
        <v>123</v>
      </c>
      <c r="BH542" s="907" t="s">
        <v>123</v>
      </c>
      <c r="BI542" s="935" t="s">
        <v>123</v>
      </c>
      <c r="BJ542" s="1003"/>
      <c r="BK542" s="907" t="s">
        <v>123</v>
      </c>
      <c r="BL542" s="907" t="s">
        <v>123</v>
      </c>
      <c r="BM542" s="907" t="s">
        <v>123</v>
      </c>
      <c r="BN542" s="1004" t="s">
        <v>123</v>
      </c>
      <c r="BO542" s="907" t="str">
        <f t="shared" si="6"/>
        <v/>
      </c>
      <c r="BP542" s="907" t="str">
        <f t="shared" si="7"/>
        <v/>
      </c>
      <c r="BQ542" s="907" t="str">
        <f t="shared" si="8"/>
        <v/>
      </c>
      <c r="BR542" s="1004" t="str">
        <f t="shared" si="9"/>
        <v/>
      </c>
      <c r="BS542" s="1005" t="str">
        <f t="shared" si="10"/>
        <v/>
      </c>
      <c r="BT542" s="1006" t="s">
        <v>123</v>
      </c>
      <c r="BU542" s="1002" t="s">
        <v>123</v>
      </c>
      <c r="BV542" s="1006" t="s">
        <v>123</v>
      </c>
      <c r="BW542" s="1007"/>
    </row>
    <row r="543">
      <c r="A543" s="624">
        <v>520.0</v>
      </c>
      <c r="B543" s="1008"/>
      <c r="C543" s="989"/>
      <c r="D543" s="851"/>
      <c r="E543" s="990"/>
      <c r="F543" s="991"/>
      <c r="G543" s="991"/>
      <c r="H543" s="992"/>
      <c r="I543" s="993"/>
      <c r="J543" s="993"/>
      <c r="K543" s="993"/>
      <c r="L543" s="993"/>
      <c r="M543" s="993"/>
      <c r="N543" s="993"/>
      <c r="O543" s="993"/>
      <c r="P543" s="993"/>
      <c r="Q543" s="993"/>
      <c r="R543" s="993"/>
      <c r="S543" s="936"/>
      <c r="T543" s="998"/>
      <c r="U543" s="935"/>
      <c r="V543" s="935"/>
      <c r="W543" s="949" t="str">
        <f>IF(AND($S$20,NOT($U$20)),IF($V543:$V623="","",SUMIF(portfolio.!$A$4:$A623,V543,portfolio.!$AN$4:$AN623)),"")</f>
        <v/>
      </c>
      <c r="X543" s="998"/>
      <c r="Y543" s="936"/>
      <c r="Z543" s="936" t="s">
        <v>123</v>
      </c>
      <c r="AA543" s="936" t="s">
        <v>123</v>
      </c>
      <c r="AB543" s="936" t="s">
        <v>123</v>
      </c>
      <c r="AC543" s="907" t="s">
        <v>123</v>
      </c>
      <c r="AD543" s="999"/>
      <c r="AE543" s="936"/>
      <c r="AF543" s="936"/>
      <c r="AG543" s="936"/>
      <c r="AH543" s="936"/>
      <c r="AI543" s="999"/>
      <c r="AJ543" s="935"/>
      <c r="AK543" s="966"/>
      <c r="AL543" s="949"/>
      <c r="AM543" s="949" t="s">
        <v>123</v>
      </c>
      <c r="AN543" s="949"/>
      <c r="AO543" s="999"/>
      <c r="AP543" s="936"/>
      <c r="AQ543" s="987"/>
      <c r="AR543" s="907"/>
      <c r="AS543" s="907"/>
      <c r="AT543" s="967" t="s">
        <v>123</v>
      </c>
      <c r="AU543" s="967" t="s">
        <v>123</v>
      </c>
      <c r="AV543" s="967" t="s">
        <v>123</v>
      </c>
      <c r="AW543" s="907" t="s">
        <v>123</v>
      </c>
      <c r="AX543" s="907" t="s">
        <v>123</v>
      </c>
      <c r="AY543" s="907" t="s">
        <v>123</v>
      </c>
      <c r="AZ543" s="936" t="s">
        <v>123</v>
      </c>
      <c r="BA543" s="935" t="s">
        <v>123</v>
      </c>
      <c r="BB543" s="1000"/>
      <c r="BC543" s="1001"/>
      <c r="BD543" s="936"/>
      <c r="BE543" s="907"/>
      <c r="BF543" s="1002" t="str">
        <f>IF($BC543="","",SUMIF(portfolio.!$A$4:$A623,BC543,portfolio.!$AN$4:$AN623))</f>
        <v/>
      </c>
      <c r="BG543" s="936" t="s">
        <v>123</v>
      </c>
      <c r="BH543" s="907" t="s">
        <v>123</v>
      </c>
      <c r="BI543" s="935" t="s">
        <v>123</v>
      </c>
      <c r="BJ543" s="1003"/>
      <c r="BK543" s="907" t="s">
        <v>123</v>
      </c>
      <c r="BL543" s="907" t="s">
        <v>123</v>
      </c>
      <c r="BM543" s="907" t="s">
        <v>123</v>
      </c>
      <c r="BN543" s="1004" t="s">
        <v>123</v>
      </c>
      <c r="BO543" s="907" t="str">
        <f t="shared" si="6"/>
        <v/>
      </c>
      <c r="BP543" s="907" t="str">
        <f t="shared" si="7"/>
        <v/>
      </c>
      <c r="BQ543" s="907" t="str">
        <f t="shared" si="8"/>
        <v/>
      </c>
      <c r="BR543" s="1004" t="str">
        <f t="shared" si="9"/>
        <v/>
      </c>
      <c r="BS543" s="1005" t="str">
        <f t="shared" si="10"/>
        <v/>
      </c>
      <c r="BT543" s="1006" t="s">
        <v>123</v>
      </c>
      <c r="BU543" s="1002" t="s">
        <v>123</v>
      </c>
      <c r="BV543" s="1006" t="s">
        <v>123</v>
      </c>
      <c r="BW543" s="1007"/>
    </row>
    <row r="544">
      <c r="A544" s="624">
        <v>521.0</v>
      </c>
      <c r="B544" s="1008"/>
      <c r="C544" s="989"/>
      <c r="D544" s="851"/>
      <c r="E544" s="990"/>
      <c r="F544" s="991"/>
      <c r="G544" s="991"/>
      <c r="H544" s="992"/>
      <c r="I544" s="993"/>
      <c r="J544" s="993"/>
      <c r="K544" s="993"/>
      <c r="L544" s="993"/>
      <c r="M544" s="993"/>
      <c r="N544" s="993"/>
      <c r="O544" s="993"/>
      <c r="P544" s="993"/>
      <c r="Q544" s="993"/>
      <c r="R544" s="993"/>
      <c r="S544" s="936"/>
      <c r="T544" s="998"/>
      <c r="U544" s="935"/>
      <c r="V544" s="935"/>
      <c r="W544" s="949" t="str">
        <f>IF(AND($S$20,NOT($U$20)),IF($V544:$V623="","",SUMIF(portfolio.!$A$4:$A623,V544,portfolio.!$AN$4:$AN623)),"")</f>
        <v/>
      </c>
      <c r="X544" s="998"/>
      <c r="Y544" s="936"/>
      <c r="Z544" s="936" t="s">
        <v>123</v>
      </c>
      <c r="AA544" s="936" t="s">
        <v>123</v>
      </c>
      <c r="AB544" s="936" t="s">
        <v>123</v>
      </c>
      <c r="AC544" s="907" t="s">
        <v>123</v>
      </c>
      <c r="AD544" s="999"/>
      <c r="AE544" s="936"/>
      <c r="AF544" s="936"/>
      <c r="AG544" s="936"/>
      <c r="AH544" s="936"/>
      <c r="AI544" s="999"/>
      <c r="AJ544" s="935"/>
      <c r="AK544" s="966"/>
      <c r="AL544" s="949"/>
      <c r="AM544" s="949" t="s">
        <v>123</v>
      </c>
      <c r="AN544" s="949"/>
      <c r="AO544" s="999"/>
      <c r="AP544" s="936"/>
      <c r="AQ544" s="987"/>
      <c r="AR544" s="907"/>
      <c r="AS544" s="907"/>
      <c r="AT544" s="967" t="s">
        <v>123</v>
      </c>
      <c r="AU544" s="967" t="s">
        <v>123</v>
      </c>
      <c r="AV544" s="967" t="s">
        <v>123</v>
      </c>
      <c r="AW544" s="907" t="s">
        <v>123</v>
      </c>
      <c r="AX544" s="907" t="s">
        <v>123</v>
      </c>
      <c r="AY544" s="907" t="s">
        <v>123</v>
      </c>
      <c r="AZ544" s="936" t="s">
        <v>123</v>
      </c>
      <c r="BA544" s="935" t="s">
        <v>123</v>
      </c>
      <c r="BB544" s="1000"/>
      <c r="BC544" s="1001"/>
      <c r="BD544" s="936"/>
      <c r="BE544" s="907"/>
      <c r="BF544" s="1002" t="str">
        <f>IF($BC544="","",SUMIF(portfolio.!$A$4:$A623,BC544,portfolio.!$AN$4:$AN623))</f>
        <v/>
      </c>
      <c r="BG544" s="936" t="s">
        <v>123</v>
      </c>
      <c r="BH544" s="907" t="s">
        <v>123</v>
      </c>
      <c r="BI544" s="935" t="s">
        <v>123</v>
      </c>
      <c r="BJ544" s="1003"/>
      <c r="BK544" s="907" t="s">
        <v>123</v>
      </c>
      <c r="BL544" s="907" t="s">
        <v>123</v>
      </c>
      <c r="BM544" s="907" t="s">
        <v>123</v>
      </c>
      <c r="BN544" s="1004" t="s">
        <v>123</v>
      </c>
      <c r="BO544" s="907" t="str">
        <f t="shared" si="6"/>
        <v/>
      </c>
      <c r="BP544" s="907" t="str">
        <f t="shared" si="7"/>
        <v/>
      </c>
      <c r="BQ544" s="907" t="str">
        <f t="shared" si="8"/>
        <v/>
      </c>
      <c r="BR544" s="1004" t="str">
        <f t="shared" si="9"/>
        <v/>
      </c>
      <c r="BS544" s="1005" t="str">
        <f t="shared" si="10"/>
        <v/>
      </c>
      <c r="BT544" s="1006" t="s">
        <v>123</v>
      </c>
      <c r="BU544" s="1002" t="s">
        <v>123</v>
      </c>
      <c r="BV544" s="1006" t="s">
        <v>123</v>
      </c>
      <c r="BW544" s="1007"/>
    </row>
    <row r="545">
      <c r="A545" s="624">
        <v>522.0</v>
      </c>
      <c r="B545" s="1008"/>
      <c r="C545" s="989"/>
      <c r="D545" s="851"/>
      <c r="E545" s="990"/>
      <c r="F545" s="991"/>
      <c r="G545" s="991"/>
      <c r="H545" s="992"/>
      <c r="I545" s="993"/>
      <c r="J545" s="993"/>
      <c r="K545" s="993"/>
      <c r="L545" s="993"/>
      <c r="M545" s="993"/>
      <c r="N545" s="993"/>
      <c r="O545" s="993"/>
      <c r="P545" s="993"/>
      <c r="Q545" s="993"/>
      <c r="R545" s="993"/>
      <c r="S545" s="936"/>
      <c r="T545" s="998"/>
      <c r="U545" s="935"/>
      <c r="V545" s="935"/>
      <c r="W545" s="949" t="str">
        <f>IF(AND($S$20,NOT($U$20)),IF($V545:$V623="","",SUMIF(portfolio.!$A$4:$A623,V545,portfolio.!$AN$4:$AN623)),"")</f>
        <v/>
      </c>
      <c r="X545" s="998"/>
      <c r="Y545" s="936"/>
      <c r="Z545" s="936" t="s">
        <v>123</v>
      </c>
      <c r="AA545" s="936" t="s">
        <v>123</v>
      </c>
      <c r="AB545" s="936" t="s">
        <v>123</v>
      </c>
      <c r="AC545" s="907" t="s">
        <v>123</v>
      </c>
      <c r="AD545" s="999"/>
      <c r="AE545" s="936"/>
      <c r="AF545" s="936"/>
      <c r="AG545" s="936"/>
      <c r="AH545" s="936"/>
      <c r="AI545" s="999"/>
      <c r="AJ545" s="935"/>
      <c r="AK545" s="966"/>
      <c r="AL545" s="949"/>
      <c r="AM545" s="949" t="s">
        <v>123</v>
      </c>
      <c r="AN545" s="949"/>
      <c r="AO545" s="999"/>
      <c r="AP545" s="936"/>
      <c r="AQ545" s="987"/>
      <c r="AR545" s="907"/>
      <c r="AS545" s="907"/>
      <c r="AT545" s="967" t="s">
        <v>123</v>
      </c>
      <c r="AU545" s="967" t="s">
        <v>123</v>
      </c>
      <c r="AV545" s="967" t="s">
        <v>123</v>
      </c>
      <c r="AW545" s="907" t="s">
        <v>123</v>
      </c>
      <c r="AX545" s="907" t="s">
        <v>123</v>
      </c>
      <c r="AY545" s="907" t="s">
        <v>123</v>
      </c>
      <c r="AZ545" s="936" t="s">
        <v>123</v>
      </c>
      <c r="BA545" s="935" t="s">
        <v>123</v>
      </c>
      <c r="BB545" s="1000"/>
      <c r="BC545" s="1001"/>
      <c r="BD545" s="936"/>
      <c r="BE545" s="907"/>
      <c r="BF545" s="1002" t="str">
        <f>IF($BC545="","",SUMIF(portfolio.!$A$4:$A623,BC545,portfolio.!$AN$4:$AN623))</f>
        <v/>
      </c>
      <c r="BG545" s="936" t="s">
        <v>123</v>
      </c>
      <c r="BH545" s="907" t="s">
        <v>123</v>
      </c>
      <c r="BI545" s="935" t="s">
        <v>123</v>
      </c>
      <c r="BJ545" s="1003"/>
      <c r="BK545" s="907" t="s">
        <v>123</v>
      </c>
      <c r="BL545" s="907" t="s">
        <v>123</v>
      </c>
      <c r="BM545" s="907" t="s">
        <v>123</v>
      </c>
      <c r="BN545" s="1004" t="s">
        <v>123</v>
      </c>
      <c r="BO545" s="907" t="str">
        <f t="shared" si="6"/>
        <v/>
      </c>
      <c r="BP545" s="907" t="str">
        <f t="shared" si="7"/>
        <v/>
      </c>
      <c r="BQ545" s="907" t="str">
        <f t="shared" si="8"/>
        <v/>
      </c>
      <c r="BR545" s="1004" t="str">
        <f t="shared" si="9"/>
        <v/>
      </c>
      <c r="BS545" s="1005" t="str">
        <f t="shared" si="10"/>
        <v/>
      </c>
      <c r="BT545" s="1006" t="s">
        <v>123</v>
      </c>
      <c r="BU545" s="1002" t="s">
        <v>123</v>
      </c>
      <c r="BV545" s="1006" t="s">
        <v>123</v>
      </c>
      <c r="BW545" s="1007"/>
    </row>
    <row r="546">
      <c r="A546" s="624">
        <v>523.0</v>
      </c>
      <c r="B546" s="1008"/>
      <c r="C546" s="989"/>
      <c r="D546" s="851"/>
      <c r="E546" s="990"/>
      <c r="F546" s="991"/>
      <c r="G546" s="991"/>
      <c r="H546" s="992"/>
      <c r="I546" s="993"/>
      <c r="J546" s="993"/>
      <c r="K546" s="993"/>
      <c r="L546" s="993"/>
      <c r="M546" s="993"/>
      <c r="N546" s="993"/>
      <c r="O546" s="993"/>
      <c r="P546" s="993"/>
      <c r="Q546" s="993"/>
      <c r="R546" s="993"/>
      <c r="S546" s="936"/>
      <c r="T546" s="998"/>
      <c r="U546" s="935"/>
      <c r="V546" s="935"/>
      <c r="W546" s="949" t="str">
        <f>IF(AND($S$20,NOT($U$20)),IF($V546:$V623="","",SUMIF(portfolio.!$A$4:$A623,V546,portfolio.!$AN$4:$AN623)),"")</f>
        <v/>
      </c>
      <c r="X546" s="998"/>
      <c r="Y546" s="936"/>
      <c r="Z546" s="936" t="s">
        <v>123</v>
      </c>
      <c r="AA546" s="936" t="s">
        <v>123</v>
      </c>
      <c r="AB546" s="936" t="s">
        <v>123</v>
      </c>
      <c r="AC546" s="907" t="s">
        <v>123</v>
      </c>
      <c r="AD546" s="999"/>
      <c r="AE546" s="936"/>
      <c r="AF546" s="936"/>
      <c r="AG546" s="936"/>
      <c r="AH546" s="936"/>
      <c r="AI546" s="999"/>
      <c r="AJ546" s="935"/>
      <c r="AK546" s="966"/>
      <c r="AL546" s="949"/>
      <c r="AM546" s="949" t="s">
        <v>123</v>
      </c>
      <c r="AN546" s="949"/>
      <c r="AO546" s="999"/>
      <c r="AP546" s="936"/>
      <c r="AQ546" s="987"/>
      <c r="AR546" s="907"/>
      <c r="AS546" s="907"/>
      <c r="AT546" s="967" t="s">
        <v>123</v>
      </c>
      <c r="AU546" s="967" t="s">
        <v>123</v>
      </c>
      <c r="AV546" s="967" t="s">
        <v>123</v>
      </c>
      <c r="AW546" s="907" t="s">
        <v>123</v>
      </c>
      <c r="AX546" s="907" t="s">
        <v>123</v>
      </c>
      <c r="AY546" s="907" t="s">
        <v>123</v>
      </c>
      <c r="AZ546" s="936" t="s">
        <v>123</v>
      </c>
      <c r="BA546" s="935" t="s">
        <v>123</v>
      </c>
      <c r="BB546" s="1000"/>
      <c r="BC546" s="1001"/>
      <c r="BD546" s="936"/>
      <c r="BE546" s="907"/>
      <c r="BF546" s="1002" t="str">
        <f>IF($BC546="","",SUMIF(portfolio.!$A$4:$A623,BC546,portfolio.!$AN$4:$AN623))</f>
        <v/>
      </c>
      <c r="BG546" s="936" t="s">
        <v>123</v>
      </c>
      <c r="BH546" s="907" t="s">
        <v>123</v>
      </c>
      <c r="BI546" s="935" t="s">
        <v>123</v>
      </c>
      <c r="BJ546" s="1003"/>
      <c r="BK546" s="907" t="s">
        <v>123</v>
      </c>
      <c r="BL546" s="907" t="s">
        <v>123</v>
      </c>
      <c r="BM546" s="907" t="s">
        <v>123</v>
      </c>
      <c r="BN546" s="1004" t="s">
        <v>123</v>
      </c>
      <c r="BO546" s="907" t="str">
        <f t="shared" si="6"/>
        <v/>
      </c>
      <c r="BP546" s="907" t="str">
        <f t="shared" si="7"/>
        <v/>
      </c>
      <c r="BQ546" s="907" t="str">
        <f t="shared" si="8"/>
        <v/>
      </c>
      <c r="BR546" s="1004" t="str">
        <f t="shared" si="9"/>
        <v/>
      </c>
      <c r="BS546" s="1005" t="str">
        <f t="shared" si="10"/>
        <v/>
      </c>
      <c r="BT546" s="1006" t="s">
        <v>123</v>
      </c>
      <c r="BU546" s="1002" t="s">
        <v>123</v>
      </c>
      <c r="BV546" s="1006" t="s">
        <v>123</v>
      </c>
      <c r="BW546" s="1007"/>
    </row>
    <row r="547">
      <c r="A547" s="624">
        <v>524.0</v>
      </c>
      <c r="B547" s="1008"/>
      <c r="C547" s="989"/>
      <c r="D547" s="851"/>
      <c r="E547" s="990"/>
      <c r="F547" s="991"/>
      <c r="G547" s="991"/>
      <c r="H547" s="992"/>
      <c r="I547" s="993"/>
      <c r="J547" s="993"/>
      <c r="K547" s="993"/>
      <c r="L547" s="993"/>
      <c r="M547" s="993"/>
      <c r="N547" s="993"/>
      <c r="O547" s="993"/>
      <c r="P547" s="993"/>
      <c r="Q547" s="993"/>
      <c r="R547" s="993"/>
      <c r="S547" s="936"/>
      <c r="T547" s="998"/>
      <c r="U547" s="935"/>
      <c r="V547" s="935"/>
      <c r="W547" s="949" t="str">
        <f>IF(AND($S$20,NOT($U$20)),IF($V547:$V623="","",SUMIF(portfolio.!$A$4:$A623,V547,portfolio.!$AN$4:$AN623)),"")</f>
        <v/>
      </c>
      <c r="X547" s="998"/>
      <c r="Y547" s="936"/>
      <c r="Z547" s="936" t="s">
        <v>123</v>
      </c>
      <c r="AA547" s="936" t="s">
        <v>123</v>
      </c>
      <c r="AB547" s="936" t="s">
        <v>123</v>
      </c>
      <c r="AC547" s="907" t="s">
        <v>123</v>
      </c>
      <c r="AD547" s="999"/>
      <c r="AE547" s="936"/>
      <c r="AF547" s="936"/>
      <c r="AG547" s="936"/>
      <c r="AH547" s="936"/>
      <c r="AI547" s="999"/>
      <c r="AJ547" s="935"/>
      <c r="AK547" s="966"/>
      <c r="AL547" s="949"/>
      <c r="AM547" s="949" t="s">
        <v>123</v>
      </c>
      <c r="AN547" s="949"/>
      <c r="AO547" s="999"/>
      <c r="AP547" s="936"/>
      <c r="AQ547" s="987"/>
      <c r="AR547" s="907"/>
      <c r="AS547" s="907"/>
      <c r="AT547" s="967" t="s">
        <v>123</v>
      </c>
      <c r="AU547" s="967" t="s">
        <v>123</v>
      </c>
      <c r="AV547" s="967" t="s">
        <v>123</v>
      </c>
      <c r="AW547" s="907" t="s">
        <v>123</v>
      </c>
      <c r="AX547" s="907" t="s">
        <v>123</v>
      </c>
      <c r="AY547" s="907" t="s">
        <v>123</v>
      </c>
      <c r="AZ547" s="936" t="s">
        <v>123</v>
      </c>
      <c r="BA547" s="935" t="s">
        <v>123</v>
      </c>
      <c r="BB547" s="1000"/>
      <c r="BC547" s="1001"/>
      <c r="BD547" s="936"/>
      <c r="BE547" s="907"/>
      <c r="BF547" s="1002" t="str">
        <f>IF($BC547="","",SUMIF(portfolio.!$A$4:$A623,BC547,portfolio.!$AN$4:$AN623))</f>
        <v/>
      </c>
      <c r="BG547" s="936" t="s">
        <v>123</v>
      </c>
      <c r="BH547" s="907" t="s">
        <v>123</v>
      </c>
      <c r="BI547" s="935" t="s">
        <v>123</v>
      </c>
      <c r="BJ547" s="1003"/>
      <c r="BK547" s="907" t="s">
        <v>123</v>
      </c>
      <c r="BL547" s="907" t="s">
        <v>123</v>
      </c>
      <c r="BM547" s="907" t="s">
        <v>123</v>
      </c>
      <c r="BN547" s="1004" t="s">
        <v>123</v>
      </c>
      <c r="BO547" s="907" t="str">
        <f t="shared" si="6"/>
        <v/>
      </c>
      <c r="BP547" s="907" t="str">
        <f t="shared" si="7"/>
        <v/>
      </c>
      <c r="BQ547" s="907" t="str">
        <f t="shared" si="8"/>
        <v/>
      </c>
      <c r="BR547" s="1004" t="str">
        <f t="shared" si="9"/>
        <v/>
      </c>
      <c r="BS547" s="1005" t="str">
        <f t="shared" si="10"/>
        <v/>
      </c>
      <c r="BT547" s="1006" t="s">
        <v>123</v>
      </c>
      <c r="BU547" s="1002" t="s">
        <v>123</v>
      </c>
      <c r="BV547" s="1006" t="s">
        <v>123</v>
      </c>
      <c r="BW547" s="1007"/>
    </row>
    <row r="548">
      <c r="A548" s="624">
        <v>525.0</v>
      </c>
      <c r="B548" s="1008"/>
      <c r="C548" s="989"/>
      <c r="D548" s="851"/>
      <c r="E548" s="990"/>
      <c r="F548" s="991"/>
      <c r="G548" s="991"/>
      <c r="H548" s="992"/>
      <c r="I548" s="993"/>
      <c r="J548" s="993"/>
      <c r="K548" s="993"/>
      <c r="L548" s="993"/>
      <c r="M548" s="993"/>
      <c r="N548" s="993"/>
      <c r="O548" s="993"/>
      <c r="P548" s="993"/>
      <c r="Q548" s="993"/>
      <c r="R548" s="993"/>
      <c r="S548" s="936"/>
      <c r="T548" s="998"/>
      <c r="U548" s="935"/>
      <c r="V548" s="935"/>
      <c r="W548" s="949" t="str">
        <f>IF(AND($S$20,NOT($U$20)),IF($V548:$V623="","",SUMIF(portfolio.!$A$4:$A623,V548,portfolio.!$AN$4:$AN623)),"")</f>
        <v/>
      </c>
      <c r="X548" s="998"/>
      <c r="Y548" s="936"/>
      <c r="Z548" s="936" t="s">
        <v>123</v>
      </c>
      <c r="AA548" s="936" t="s">
        <v>123</v>
      </c>
      <c r="AB548" s="936" t="s">
        <v>123</v>
      </c>
      <c r="AC548" s="907" t="s">
        <v>123</v>
      </c>
      <c r="AD548" s="999"/>
      <c r="AE548" s="936"/>
      <c r="AF548" s="936"/>
      <c r="AG548" s="936"/>
      <c r="AH548" s="936"/>
      <c r="AI548" s="999"/>
      <c r="AJ548" s="935"/>
      <c r="AK548" s="966"/>
      <c r="AL548" s="949"/>
      <c r="AM548" s="949" t="s">
        <v>123</v>
      </c>
      <c r="AN548" s="949"/>
      <c r="AO548" s="999"/>
      <c r="AP548" s="936"/>
      <c r="AQ548" s="987"/>
      <c r="AR548" s="907"/>
      <c r="AS548" s="907"/>
      <c r="AT548" s="967" t="s">
        <v>123</v>
      </c>
      <c r="AU548" s="967" t="s">
        <v>123</v>
      </c>
      <c r="AV548" s="967" t="s">
        <v>123</v>
      </c>
      <c r="AW548" s="907" t="s">
        <v>123</v>
      </c>
      <c r="AX548" s="907" t="s">
        <v>123</v>
      </c>
      <c r="AY548" s="907" t="s">
        <v>123</v>
      </c>
      <c r="AZ548" s="936" t="s">
        <v>123</v>
      </c>
      <c r="BA548" s="935" t="s">
        <v>123</v>
      </c>
      <c r="BB548" s="1000"/>
      <c r="BC548" s="1001"/>
      <c r="BD548" s="936"/>
      <c r="BE548" s="907"/>
      <c r="BF548" s="1002" t="str">
        <f>IF($BC548="","",SUMIF(portfolio.!$A$4:$A623,BC548,portfolio.!$AN$4:$AN623))</f>
        <v/>
      </c>
      <c r="BG548" s="936" t="s">
        <v>123</v>
      </c>
      <c r="BH548" s="907" t="s">
        <v>123</v>
      </c>
      <c r="BI548" s="935" t="s">
        <v>123</v>
      </c>
      <c r="BJ548" s="1003"/>
      <c r="BK548" s="907" t="s">
        <v>123</v>
      </c>
      <c r="BL548" s="907" t="s">
        <v>123</v>
      </c>
      <c r="BM548" s="907" t="s">
        <v>123</v>
      </c>
      <c r="BN548" s="1004" t="s">
        <v>123</v>
      </c>
      <c r="BO548" s="907" t="str">
        <f t="shared" si="6"/>
        <v/>
      </c>
      <c r="BP548" s="907" t="str">
        <f t="shared" si="7"/>
        <v/>
      </c>
      <c r="BQ548" s="907" t="str">
        <f t="shared" si="8"/>
        <v/>
      </c>
      <c r="BR548" s="1004" t="str">
        <f t="shared" si="9"/>
        <v/>
      </c>
      <c r="BS548" s="1005" t="str">
        <f t="shared" si="10"/>
        <v/>
      </c>
      <c r="BT548" s="1006" t="s">
        <v>123</v>
      </c>
      <c r="BU548" s="1002" t="s">
        <v>123</v>
      </c>
      <c r="BV548" s="1006" t="s">
        <v>123</v>
      </c>
      <c r="BW548" s="1007"/>
    </row>
    <row r="549">
      <c r="A549" s="624">
        <v>526.0</v>
      </c>
      <c r="B549" s="1008"/>
      <c r="C549" s="989"/>
      <c r="D549" s="851"/>
      <c r="E549" s="990"/>
      <c r="F549" s="991"/>
      <c r="G549" s="991"/>
      <c r="H549" s="992"/>
      <c r="I549" s="993"/>
      <c r="J549" s="993"/>
      <c r="K549" s="993"/>
      <c r="L549" s="993"/>
      <c r="M549" s="993"/>
      <c r="N549" s="993"/>
      <c r="O549" s="993"/>
      <c r="P549" s="993"/>
      <c r="Q549" s="993"/>
      <c r="R549" s="993"/>
      <c r="S549" s="936"/>
      <c r="T549" s="998"/>
      <c r="U549" s="935"/>
      <c r="V549" s="935"/>
      <c r="W549" s="949" t="str">
        <f>IF(AND($S$20,NOT($U$20)),IF($V549:$V623="","",SUMIF(portfolio.!$A$4:$A623,V549,portfolio.!$AN$4:$AN623)),"")</f>
        <v/>
      </c>
      <c r="X549" s="998"/>
      <c r="Y549" s="936"/>
      <c r="Z549" s="936" t="s">
        <v>123</v>
      </c>
      <c r="AA549" s="936" t="s">
        <v>123</v>
      </c>
      <c r="AB549" s="936" t="s">
        <v>123</v>
      </c>
      <c r="AC549" s="907" t="s">
        <v>123</v>
      </c>
      <c r="AD549" s="999"/>
      <c r="AE549" s="936"/>
      <c r="AF549" s="936"/>
      <c r="AG549" s="936"/>
      <c r="AH549" s="936"/>
      <c r="AI549" s="999"/>
      <c r="AJ549" s="935"/>
      <c r="AK549" s="966"/>
      <c r="AL549" s="949"/>
      <c r="AM549" s="949" t="s">
        <v>123</v>
      </c>
      <c r="AN549" s="949"/>
      <c r="AO549" s="999"/>
      <c r="AP549" s="936"/>
      <c r="AQ549" s="987"/>
      <c r="AR549" s="907"/>
      <c r="AS549" s="907"/>
      <c r="AT549" s="967" t="s">
        <v>123</v>
      </c>
      <c r="AU549" s="967" t="s">
        <v>123</v>
      </c>
      <c r="AV549" s="967" t="s">
        <v>123</v>
      </c>
      <c r="AW549" s="907" t="s">
        <v>123</v>
      </c>
      <c r="AX549" s="907" t="s">
        <v>123</v>
      </c>
      <c r="AY549" s="907" t="s">
        <v>123</v>
      </c>
      <c r="AZ549" s="936" t="s">
        <v>123</v>
      </c>
      <c r="BA549" s="935" t="s">
        <v>123</v>
      </c>
      <c r="BB549" s="1000"/>
      <c r="BC549" s="1001"/>
      <c r="BD549" s="936"/>
      <c r="BE549" s="907"/>
      <c r="BF549" s="1002" t="str">
        <f>IF($BC549="","",SUMIF(portfolio.!$A$4:$A623,BC549,portfolio.!$AN$4:$AN623))</f>
        <v/>
      </c>
      <c r="BG549" s="936" t="s">
        <v>123</v>
      </c>
      <c r="BH549" s="907" t="s">
        <v>123</v>
      </c>
      <c r="BI549" s="935" t="s">
        <v>123</v>
      </c>
      <c r="BJ549" s="1003"/>
      <c r="BK549" s="907" t="s">
        <v>123</v>
      </c>
      <c r="BL549" s="907" t="s">
        <v>123</v>
      </c>
      <c r="BM549" s="907" t="s">
        <v>123</v>
      </c>
      <c r="BN549" s="1004" t="s">
        <v>123</v>
      </c>
      <c r="BO549" s="907" t="str">
        <f t="shared" si="6"/>
        <v/>
      </c>
      <c r="BP549" s="907" t="str">
        <f t="shared" si="7"/>
        <v/>
      </c>
      <c r="BQ549" s="907" t="str">
        <f t="shared" si="8"/>
        <v/>
      </c>
      <c r="BR549" s="1004" t="str">
        <f t="shared" si="9"/>
        <v/>
      </c>
      <c r="BS549" s="1005" t="str">
        <f t="shared" si="10"/>
        <v/>
      </c>
      <c r="BT549" s="1006" t="s">
        <v>123</v>
      </c>
      <c r="BU549" s="1002" t="s">
        <v>123</v>
      </c>
      <c r="BV549" s="1006" t="s">
        <v>123</v>
      </c>
      <c r="BW549" s="1007"/>
    </row>
    <row r="550">
      <c r="A550" s="624">
        <v>527.0</v>
      </c>
      <c r="B550" s="1008"/>
      <c r="C550" s="989"/>
      <c r="D550" s="851"/>
      <c r="E550" s="990"/>
      <c r="F550" s="991"/>
      <c r="G550" s="991"/>
      <c r="H550" s="992"/>
      <c r="I550" s="993"/>
      <c r="J550" s="993"/>
      <c r="K550" s="993"/>
      <c r="L550" s="993"/>
      <c r="M550" s="993"/>
      <c r="N550" s="993"/>
      <c r="O550" s="993"/>
      <c r="P550" s="993"/>
      <c r="Q550" s="993"/>
      <c r="R550" s="993"/>
      <c r="S550" s="936"/>
      <c r="T550" s="998"/>
      <c r="U550" s="935"/>
      <c r="V550" s="935"/>
      <c r="W550" s="949" t="str">
        <f>IF(AND($S$20,NOT($U$20)),IF($V550:$V623="","",SUMIF(portfolio.!$A$4:$A623,V550,portfolio.!$AN$4:$AN623)),"")</f>
        <v/>
      </c>
      <c r="X550" s="998"/>
      <c r="Y550" s="936"/>
      <c r="Z550" s="936" t="s">
        <v>123</v>
      </c>
      <c r="AA550" s="936" t="s">
        <v>123</v>
      </c>
      <c r="AB550" s="936" t="s">
        <v>123</v>
      </c>
      <c r="AC550" s="907" t="s">
        <v>123</v>
      </c>
      <c r="AD550" s="999"/>
      <c r="AE550" s="936"/>
      <c r="AF550" s="936"/>
      <c r="AG550" s="936"/>
      <c r="AH550" s="936"/>
      <c r="AI550" s="999"/>
      <c r="AJ550" s="935"/>
      <c r="AK550" s="966"/>
      <c r="AL550" s="949"/>
      <c r="AM550" s="949" t="s">
        <v>123</v>
      </c>
      <c r="AN550" s="949"/>
      <c r="AO550" s="999"/>
      <c r="AP550" s="936"/>
      <c r="AQ550" s="987"/>
      <c r="AR550" s="907"/>
      <c r="AS550" s="907"/>
      <c r="AT550" s="967" t="s">
        <v>123</v>
      </c>
      <c r="AU550" s="967" t="s">
        <v>123</v>
      </c>
      <c r="AV550" s="967" t="s">
        <v>123</v>
      </c>
      <c r="AW550" s="907" t="s">
        <v>123</v>
      </c>
      <c r="AX550" s="907" t="s">
        <v>123</v>
      </c>
      <c r="AY550" s="907" t="s">
        <v>123</v>
      </c>
      <c r="AZ550" s="936" t="s">
        <v>123</v>
      </c>
      <c r="BA550" s="935" t="s">
        <v>123</v>
      </c>
      <c r="BB550" s="1000"/>
      <c r="BC550" s="1001"/>
      <c r="BD550" s="936"/>
      <c r="BE550" s="907"/>
      <c r="BF550" s="1002" t="str">
        <f>IF($BC550="","",SUMIF(portfolio.!$A$4:$A623,BC550,portfolio.!$AN$4:$AN623))</f>
        <v/>
      </c>
      <c r="BG550" s="936" t="s">
        <v>123</v>
      </c>
      <c r="BH550" s="907" t="s">
        <v>123</v>
      </c>
      <c r="BI550" s="935" t="s">
        <v>123</v>
      </c>
      <c r="BJ550" s="1003"/>
      <c r="BK550" s="907" t="s">
        <v>123</v>
      </c>
      <c r="BL550" s="907" t="s">
        <v>123</v>
      </c>
      <c r="BM550" s="907" t="s">
        <v>123</v>
      </c>
      <c r="BN550" s="1004" t="s">
        <v>123</v>
      </c>
      <c r="BO550" s="907" t="str">
        <f t="shared" si="6"/>
        <v/>
      </c>
      <c r="BP550" s="907" t="str">
        <f t="shared" si="7"/>
        <v/>
      </c>
      <c r="BQ550" s="907" t="str">
        <f t="shared" si="8"/>
        <v/>
      </c>
      <c r="BR550" s="1004" t="str">
        <f t="shared" si="9"/>
        <v/>
      </c>
      <c r="BS550" s="1005" t="str">
        <f t="shared" si="10"/>
        <v/>
      </c>
      <c r="BT550" s="1006" t="s">
        <v>123</v>
      </c>
      <c r="BU550" s="1002" t="s">
        <v>123</v>
      </c>
      <c r="BV550" s="1006" t="s">
        <v>123</v>
      </c>
      <c r="BW550" s="1007"/>
    </row>
    <row r="551">
      <c r="A551" s="624">
        <v>528.0</v>
      </c>
      <c r="B551" s="1008"/>
      <c r="C551" s="989"/>
      <c r="D551" s="851"/>
      <c r="E551" s="990"/>
      <c r="F551" s="991"/>
      <c r="G551" s="991"/>
      <c r="H551" s="992"/>
      <c r="I551" s="993"/>
      <c r="J551" s="993"/>
      <c r="K551" s="993"/>
      <c r="L551" s="993"/>
      <c r="M551" s="993"/>
      <c r="N551" s="993"/>
      <c r="O551" s="993"/>
      <c r="P551" s="993"/>
      <c r="Q551" s="993"/>
      <c r="R551" s="993"/>
      <c r="S551" s="936"/>
      <c r="T551" s="998"/>
      <c r="U551" s="935"/>
      <c r="V551" s="935"/>
      <c r="W551" s="949" t="str">
        <f>IF(AND($S$20,NOT($U$20)),IF($V551:$V623="","",SUMIF(portfolio.!$A$4:$A623,V551,portfolio.!$AN$4:$AN623)),"")</f>
        <v/>
      </c>
      <c r="X551" s="998"/>
      <c r="Y551" s="936"/>
      <c r="Z551" s="936" t="s">
        <v>123</v>
      </c>
      <c r="AA551" s="936" t="s">
        <v>123</v>
      </c>
      <c r="AB551" s="936" t="s">
        <v>123</v>
      </c>
      <c r="AC551" s="907" t="s">
        <v>123</v>
      </c>
      <c r="AD551" s="999"/>
      <c r="AE551" s="936"/>
      <c r="AF551" s="936"/>
      <c r="AG551" s="936"/>
      <c r="AH551" s="936"/>
      <c r="AI551" s="999"/>
      <c r="AJ551" s="935"/>
      <c r="AK551" s="966"/>
      <c r="AL551" s="949"/>
      <c r="AM551" s="949" t="s">
        <v>123</v>
      </c>
      <c r="AN551" s="949"/>
      <c r="AO551" s="999"/>
      <c r="AP551" s="936"/>
      <c r="AQ551" s="987"/>
      <c r="AR551" s="907"/>
      <c r="AS551" s="907"/>
      <c r="AT551" s="967" t="s">
        <v>123</v>
      </c>
      <c r="AU551" s="967" t="s">
        <v>123</v>
      </c>
      <c r="AV551" s="967" t="s">
        <v>123</v>
      </c>
      <c r="AW551" s="907" t="s">
        <v>123</v>
      </c>
      <c r="AX551" s="907" t="s">
        <v>123</v>
      </c>
      <c r="AY551" s="907" t="s">
        <v>123</v>
      </c>
      <c r="AZ551" s="936" t="s">
        <v>123</v>
      </c>
      <c r="BA551" s="935" t="s">
        <v>123</v>
      </c>
      <c r="BB551" s="1000"/>
      <c r="BC551" s="1001"/>
      <c r="BD551" s="936"/>
      <c r="BE551" s="907"/>
      <c r="BF551" s="1002" t="str">
        <f>IF($BC551="","",SUMIF(portfolio.!$A$4:$A623,BC551,portfolio.!$AN$4:$AN623))</f>
        <v/>
      </c>
      <c r="BG551" s="936" t="s">
        <v>123</v>
      </c>
      <c r="BH551" s="907" t="s">
        <v>123</v>
      </c>
      <c r="BI551" s="935" t="s">
        <v>123</v>
      </c>
      <c r="BJ551" s="1003"/>
      <c r="BK551" s="907" t="s">
        <v>123</v>
      </c>
      <c r="BL551" s="907" t="s">
        <v>123</v>
      </c>
      <c r="BM551" s="907" t="s">
        <v>123</v>
      </c>
      <c r="BN551" s="1004" t="s">
        <v>123</v>
      </c>
      <c r="BO551" s="907" t="str">
        <f t="shared" si="6"/>
        <v/>
      </c>
      <c r="BP551" s="907" t="str">
        <f t="shared" si="7"/>
        <v/>
      </c>
      <c r="BQ551" s="907" t="str">
        <f t="shared" si="8"/>
        <v/>
      </c>
      <c r="BR551" s="1004" t="str">
        <f t="shared" si="9"/>
        <v/>
      </c>
      <c r="BS551" s="1005" t="str">
        <f t="shared" si="10"/>
        <v/>
      </c>
      <c r="BT551" s="1006" t="s">
        <v>123</v>
      </c>
      <c r="BU551" s="1002" t="s">
        <v>123</v>
      </c>
      <c r="BV551" s="1006" t="s">
        <v>123</v>
      </c>
      <c r="BW551" s="1007"/>
    </row>
    <row r="552">
      <c r="A552" s="624">
        <v>529.0</v>
      </c>
      <c r="B552" s="1008"/>
      <c r="C552" s="989"/>
      <c r="D552" s="851"/>
      <c r="E552" s="990"/>
      <c r="F552" s="991"/>
      <c r="G552" s="991"/>
      <c r="H552" s="992"/>
      <c r="I552" s="993"/>
      <c r="J552" s="993"/>
      <c r="K552" s="993"/>
      <c r="L552" s="993"/>
      <c r="M552" s="993"/>
      <c r="N552" s="993"/>
      <c r="O552" s="993"/>
      <c r="P552" s="993"/>
      <c r="Q552" s="993"/>
      <c r="R552" s="993"/>
      <c r="S552" s="936"/>
      <c r="T552" s="998"/>
      <c r="U552" s="935"/>
      <c r="V552" s="935"/>
      <c r="W552" s="949" t="str">
        <f>IF(AND($S$20,NOT($U$20)),IF($V552:$V623="","",SUMIF(portfolio.!$A$4:$A623,V552,portfolio.!$AN$4:$AN623)),"")</f>
        <v/>
      </c>
      <c r="X552" s="998"/>
      <c r="Y552" s="936"/>
      <c r="Z552" s="936" t="s">
        <v>123</v>
      </c>
      <c r="AA552" s="936" t="s">
        <v>123</v>
      </c>
      <c r="AB552" s="936" t="s">
        <v>123</v>
      </c>
      <c r="AC552" s="907" t="s">
        <v>123</v>
      </c>
      <c r="AD552" s="999"/>
      <c r="AE552" s="936"/>
      <c r="AF552" s="936"/>
      <c r="AG552" s="936"/>
      <c r="AH552" s="936"/>
      <c r="AI552" s="999"/>
      <c r="AJ552" s="935"/>
      <c r="AK552" s="966"/>
      <c r="AL552" s="949"/>
      <c r="AM552" s="949" t="s">
        <v>123</v>
      </c>
      <c r="AN552" s="949"/>
      <c r="AO552" s="999"/>
      <c r="AP552" s="936"/>
      <c r="AQ552" s="987"/>
      <c r="AR552" s="907"/>
      <c r="AS552" s="907"/>
      <c r="AT552" s="967" t="s">
        <v>123</v>
      </c>
      <c r="AU552" s="967" t="s">
        <v>123</v>
      </c>
      <c r="AV552" s="967" t="s">
        <v>123</v>
      </c>
      <c r="AW552" s="907" t="s">
        <v>123</v>
      </c>
      <c r="AX552" s="907" t="s">
        <v>123</v>
      </c>
      <c r="AY552" s="907" t="s">
        <v>123</v>
      </c>
      <c r="AZ552" s="936" t="s">
        <v>123</v>
      </c>
      <c r="BA552" s="935" t="s">
        <v>123</v>
      </c>
      <c r="BB552" s="1000"/>
      <c r="BC552" s="1001"/>
      <c r="BD552" s="936"/>
      <c r="BE552" s="907"/>
      <c r="BF552" s="1002" t="str">
        <f>IF($BC552="","",SUMIF(portfolio.!$A$4:$A623,BC552,portfolio.!$AN$4:$AN623))</f>
        <v/>
      </c>
      <c r="BG552" s="936" t="s">
        <v>123</v>
      </c>
      <c r="BH552" s="907" t="s">
        <v>123</v>
      </c>
      <c r="BI552" s="935" t="s">
        <v>123</v>
      </c>
      <c r="BJ552" s="1003"/>
      <c r="BK552" s="907" t="s">
        <v>123</v>
      </c>
      <c r="BL552" s="907" t="s">
        <v>123</v>
      </c>
      <c r="BM552" s="907" t="s">
        <v>123</v>
      </c>
      <c r="BN552" s="1004" t="s">
        <v>123</v>
      </c>
      <c r="BO552" s="907" t="str">
        <f t="shared" si="6"/>
        <v/>
      </c>
      <c r="BP552" s="907" t="str">
        <f t="shared" si="7"/>
        <v/>
      </c>
      <c r="BQ552" s="907" t="str">
        <f t="shared" si="8"/>
        <v/>
      </c>
      <c r="BR552" s="1004" t="str">
        <f t="shared" si="9"/>
        <v/>
      </c>
      <c r="BS552" s="1005" t="str">
        <f t="shared" si="10"/>
        <v/>
      </c>
      <c r="BT552" s="1006" t="s">
        <v>123</v>
      </c>
      <c r="BU552" s="1002" t="s">
        <v>123</v>
      </c>
      <c r="BV552" s="1006" t="s">
        <v>123</v>
      </c>
      <c r="BW552" s="1007"/>
    </row>
    <row r="553">
      <c r="A553" s="624">
        <v>530.0</v>
      </c>
      <c r="B553" s="1008"/>
      <c r="C553" s="989"/>
      <c r="D553" s="851"/>
      <c r="E553" s="990"/>
      <c r="F553" s="991"/>
      <c r="G553" s="991"/>
      <c r="H553" s="992"/>
      <c r="I553" s="993"/>
      <c r="J553" s="993"/>
      <c r="K553" s="993"/>
      <c r="L553" s="993"/>
      <c r="M553" s="993"/>
      <c r="N553" s="993"/>
      <c r="O553" s="993"/>
      <c r="P553" s="993"/>
      <c r="Q553" s="993"/>
      <c r="R553" s="993"/>
      <c r="S553" s="936"/>
      <c r="T553" s="998"/>
      <c r="U553" s="935"/>
      <c r="V553" s="935"/>
      <c r="W553" s="949" t="str">
        <f>IF(AND($S$20,NOT($U$20)),IF($V553:$V623="","",SUMIF(portfolio.!$A$4:$A623,V553,portfolio.!$AN$4:$AN623)),"")</f>
        <v/>
      </c>
      <c r="X553" s="998"/>
      <c r="Y553" s="936"/>
      <c r="Z553" s="936" t="s">
        <v>123</v>
      </c>
      <c r="AA553" s="936" t="s">
        <v>123</v>
      </c>
      <c r="AB553" s="936" t="s">
        <v>123</v>
      </c>
      <c r="AC553" s="907" t="s">
        <v>123</v>
      </c>
      <c r="AD553" s="999"/>
      <c r="AE553" s="936"/>
      <c r="AF553" s="936"/>
      <c r="AG553" s="936"/>
      <c r="AH553" s="936"/>
      <c r="AI553" s="999"/>
      <c r="AJ553" s="935"/>
      <c r="AK553" s="966"/>
      <c r="AL553" s="949"/>
      <c r="AM553" s="949" t="s">
        <v>123</v>
      </c>
      <c r="AN553" s="949"/>
      <c r="AO553" s="999"/>
      <c r="AP553" s="936"/>
      <c r="AQ553" s="987"/>
      <c r="AR553" s="907"/>
      <c r="AS553" s="907"/>
      <c r="AT553" s="967" t="s">
        <v>123</v>
      </c>
      <c r="AU553" s="967" t="s">
        <v>123</v>
      </c>
      <c r="AV553" s="967" t="s">
        <v>123</v>
      </c>
      <c r="AW553" s="907" t="s">
        <v>123</v>
      </c>
      <c r="AX553" s="907" t="s">
        <v>123</v>
      </c>
      <c r="AY553" s="907" t="s">
        <v>123</v>
      </c>
      <c r="AZ553" s="936" t="s">
        <v>123</v>
      </c>
      <c r="BA553" s="935" t="s">
        <v>123</v>
      </c>
      <c r="BB553" s="1000"/>
      <c r="BC553" s="1001"/>
      <c r="BD553" s="936"/>
      <c r="BE553" s="907"/>
      <c r="BF553" s="1002" t="str">
        <f>IF($BC553="","",SUMIF(portfolio.!$A$4:$A623,BC553,portfolio.!$AN$4:$AN623))</f>
        <v/>
      </c>
      <c r="BG553" s="936" t="s">
        <v>123</v>
      </c>
      <c r="BH553" s="907" t="s">
        <v>123</v>
      </c>
      <c r="BI553" s="935" t="s">
        <v>123</v>
      </c>
      <c r="BJ553" s="1003"/>
      <c r="BK553" s="907" t="s">
        <v>123</v>
      </c>
      <c r="BL553" s="907" t="s">
        <v>123</v>
      </c>
      <c r="BM553" s="907" t="s">
        <v>123</v>
      </c>
      <c r="BN553" s="1004" t="s">
        <v>123</v>
      </c>
      <c r="BO553" s="907" t="str">
        <f t="shared" si="6"/>
        <v/>
      </c>
      <c r="BP553" s="907" t="str">
        <f t="shared" si="7"/>
        <v/>
      </c>
      <c r="BQ553" s="907" t="str">
        <f t="shared" si="8"/>
        <v/>
      </c>
      <c r="BR553" s="1004" t="str">
        <f t="shared" si="9"/>
        <v/>
      </c>
      <c r="BS553" s="1005" t="str">
        <f t="shared" si="10"/>
        <v/>
      </c>
      <c r="BT553" s="1006" t="s">
        <v>123</v>
      </c>
      <c r="BU553" s="1002" t="s">
        <v>123</v>
      </c>
      <c r="BV553" s="1006" t="s">
        <v>123</v>
      </c>
      <c r="BW553" s="1007"/>
    </row>
    <row r="554">
      <c r="A554" s="624">
        <v>531.0</v>
      </c>
      <c r="B554" s="1008"/>
      <c r="C554" s="989"/>
      <c r="D554" s="851"/>
      <c r="E554" s="990"/>
      <c r="F554" s="991"/>
      <c r="G554" s="991"/>
      <c r="H554" s="992"/>
      <c r="I554" s="993"/>
      <c r="J554" s="993"/>
      <c r="K554" s="993"/>
      <c r="L554" s="993"/>
      <c r="M554" s="993"/>
      <c r="N554" s="993"/>
      <c r="O554" s="993"/>
      <c r="P554" s="993"/>
      <c r="Q554" s="993"/>
      <c r="R554" s="993"/>
      <c r="S554" s="936"/>
      <c r="T554" s="998"/>
      <c r="U554" s="935"/>
      <c r="V554" s="935"/>
      <c r="W554" s="949" t="str">
        <f>IF(AND($S$20,NOT($U$20)),IF($V554:$V623="","",SUMIF(portfolio.!$A$4:$A623,V554,portfolio.!$AN$4:$AN623)),"")</f>
        <v/>
      </c>
      <c r="X554" s="998"/>
      <c r="Y554" s="936"/>
      <c r="Z554" s="936" t="s">
        <v>123</v>
      </c>
      <c r="AA554" s="936" t="s">
        <v>123</v>
      </c>
      <c r="AB554" s="936" t="s">
        <v>123</v>
      </c>
      <c r="AC554" s="907" t="s">
        <v>123</v>
      </c>
      <c r="AD554" s="999"/>
      <c r="AE554" s="936"/>
      <c r="AF554" s="936"/>
      <c r="AG554" s="936"/>
      <c r="AH554" s="936"/>
      <c r="AI554" s="999"/>
      <c r="AJ554" s="935"/>
      <c r="AK554" s="966"/>
      <c r="AL554" s="949"/>
      <c r="AM554" s="949" t="s">
        <v>123</v>
      </c>
      <c r="AN554" s="949"/>
      <c r="AO554" s="999"/>
      <c r="AP554" s="936"/>
      <c r="AQ554" s="987"/>
      <c r="AR554" s="907"/>
      <c r="AS554" s="907"/>
      <c r="AT554" s="967" t="s">
        <v>123</v>
      </c>
      <c r="AU554" s="967" t="s">
        <v>123</v>
      </c>
      <c r="AV554" s="967" t="s">
        <v>123</v>
      </c>
      <c r="AW554" s="907" t="s">
        <v>123</v>
      </c>
      <c r="AX554" s="907" t="s">
        <v>123</v>
      </c>
      <c r="AY554" s="907" t="s">
        <v>123</v>
      </c>
      <c r="AZ554" s="936" t="s">
        <v>123</v>
      </c>
      <c r="BA554" s="935" t="s">
        <v>123</v>
      </c>
      <c r="BB554" s="1000"/>
      <c r="BC554" s="1001"/>
      <c r="BD554" s="936"/>
      <c r="BE554" s="907"/>
      <c r="BF554" s="1002" t="str">
        <f>IF($BC554="","",SUMIF(portfolio.!$A$4:$A623,BC554,portfolio.!$AN$4:$AN623))</f>
        <v/>
      </c>
      <c r="BG554" s="936" t="s">
        <v>123</v>
      </c>
      <c r="BH554" s="907" t="s">
        <v>123</v>
      </c>
      <c r="BI554" s="935" t="s">
        <v>123</v>
      </c>
      <c r="BJ554" s="1003"/>
      <c r="BK554" s="907" t="s">
        <v>123</v>
      </c>
      <c r="BL554" s="907" t="s">
        <v>123</v>
      </c>
      <c r="BM554" s="907" t="s">
        <v>123</v>
      </c>
      <c r="BN554" s="1004" t="s">
        <v>123</v>
      </c>
      <c r="BO554" s="907" t="str">
        <f t="shared" si="6"/>
        <v/>
      </c>
      <c r="BP554" s="907" t="str">
        <f t="shared" si="7"/>
        <v/>
      </c>
      <c r="BQ554" s="907" t="str">
        <f t="shared" si="8"/>
        <v/>
      </c>
      <c r="BR554" s="1004" t="str">
        <f t="shared" si="9"/>
        <v/>
      </c>
      <c r="BS554" s="1005" t="str">
        <f t="shared" si="10"/>
        <v/>
      </c>
      <c r="BT554" s="1006" t="s">
        <v>123</v>
      </c>
      <c r="BU554" s="1002" t="s">
        <v>123</v>
      </c>
      <c r="BV554" s="1006" t="s">
        <v>123</v>
      </c>
      <c r="BW554" s="1007"/>
    </row>
    <row r="555">
      <c r="A555" s="624">
        <v>532.0</v>
      </c>
      <c r="B555" s="1008"/>
      <c r="C555" s="989"/>
      <c r="D555" s="851"/>
      <c r="E555" s="990"/>
      <c r="F555" s="991"/>
      <c r="G555" s="991"/>
      <c r="H555" s="992"/>
      <c r="I555" s="993"/>
      <c r="J555" s="993"/>
      <c r="K555" s="993"/>
      <c r="L555" s="993"/>
      <c r="M555" s="993"/>
      <c r="N555" s="993"/>
      <c r="O555" s="993"/>
      <c r="P555" s="993"/>
      <c r="Q555" s="993"/>
      <c r="R555" s="993"/>
      <c r="S555" s="936"/>
      <c r="T555" s="998"/>
      <c r="U555" s="935"/>
      <c r="V555" s="935"/>
      <c r="W555" s="949" t="str">
        <f>IF(AND($S$20,NOT($U$20)),IF($V555:$V623="","",SUMIF(portfolio.!$A$4:$A623,V555,portfolio.!$AN$4:$AN623)),"")</f>
        <v/>
      </c>
      <c r="X555" s="998"/>
      <c r="Y555" s="936"/>
      <c r="Z555" s="936" t="s">
        <v>123</v>
      </c>
      <c r="AA555" s="936" t="s">
        <v>123</v>
      </c>
      <c r="AB555" s="936" t="s">
        <v>123</v>
      </c>
      <c r="AC555" s="907" t="s">
        <v>123</v>
      </c>
      <c r="AD555" s="999"/>
      <c r="AE555" s="936"/>
      <c r="AF555" s="936"/>
      <c r="AG555" s="936"/>
      <c r="AH555" s="936"/>
      <c r="AI555" s="999"/>
      <c r="AJ555" s="935"/>
      <c r="AK555" s="966"/>
      <c r="AL555" s="949"/>
      <c r="AM555" s="949" t="s">
        <v>123</v>
      </c>
      <c r="AN555" s="949"/>
      <c r="AO555" s="999"/>
      <c r="AP555" s="936"/>
      <c r="AQ555" s="987"/>
      <c r="AR555" s="907"/>
      <c r="AS555" s="907"/>
      <c r="AT555" s="967" t="s">
        <v>123</v>
      </c>
      <c r="AU555" s="967" t="s">
        <v>123</v>
      </c>
      <c r="AV555" s="967" t="s">
        <v>123</v>
      </c>
      <c r="AW555" s="907" t="s">
        <v>123</v>
      </c>
      <c r="AX555" s="907" t="s">
        <v>123</v>
      </c>
      <c r="AY555" s="907" t="s">
        <v>123</v>
      </c>
      <c r="AZ555" s="936" t="s">
        <v>123</v>
      </c>
      <c r="BA555" s="935" t="s">
        <v>123</v>
      </c>
      <c r="BB555" s="1000"/>
      <c r="BC555" s="1001"/>
      <c r="BD555" s="936"/>
      <c r="BE555" s="907"/>
      <c r="BF555" s="1002" t="str">
        <f>IF($BC555="","",SUMIF(portfolio.!$A$4:$A623,BC555,portfolio.!$AN$4:$AN623))</f>
        <v/>
      </c>
      <c r="BG555" s="936" t="s">
        <v>123</v>
      </c>
      <c r="BH555" s="907" t="s">
        <v>123</v>
      </c>
      <c r="BI555" s="935" t="s">
        <v>123</v>
      </c>
      <c r="BJ555" s="1003"/>
      <c r="BK555" s="907" t="s">
        <v>123</v>
      </c>
      <c r="BL555" s="907" t="s">
        <v>123</v>
      </c>
      <c r="BM555" s="907" t="s">
        <v>123</v>
      </c>
      <c r="BN555" s="1004" t="s">
        <v>123</v>
      </c>
      <c r="BO555" s="907" t="str">
        <f t="shared" si="6"/>
        <v/>
      </c>
      <c r="BP555" s="907" t="str">
        <f t="shared" si="7"/>
        <v/>
      </c>
      <c r="BQ555" s="907" t="str">
        <f t="shared" si="8"/>
        <v/>
      </c>
      <c r="BR555" s="1004" t="str">
        <f t="shared" si="9"/>
        <v/>
      </c>
      <c r="BS555" s="1005" t="str">
        <f t="shared" si="10"/>
        <v/>
      </c>
      <c r="BT555" s="1006" t="s">
        <v>123</v>
      </c>
      <c r="BU555" s="1002" t="s">
        <v>123</v>
      </c>
      <c r="BV555" s="1006" t="s">
        <v>123</v>
      </c>
      <c r="BW555" s="1007"/>
    </row>
    <row r="556">
      <c r="A556" s="624">
        <v>533.0</v>
      </c>
      <c r="B556" s="1008"/>
      <c r="C556" s="989"/>
      <c r="D556" s="851"/>
      <c r="E556" s="990"/>
      <c r="F556" s="991"/>
      <c r="G556" s="991"/>
      <c r="H556" s="992"/>
      <c r="I556" s="993"/>
      <c r="J556" s="993"/>
      <c r="K556" s="993"/>
      <c r="L556" s="993"/>
      <c r="M556" s="993"/>
      <c r="N556" s="993"/>
      <c r="O556" s="993"/>
      <c r="P556" s="993"/>
      <c r="Q556" s="993"/>
      <c r="R556" s="993"/>
      <c r="S556" s="936"/>
      <c r="T556" s="998"/>
      <c r="U556" s="935"/>
      <c r="V556" s="935"/>
      <c r="W556" s="949" t="str">
        <f>IF(AND($S$20,NOT($U$20)),IF($V556:$V623="","",SUMIF(portfolio.!$A$4:$A623,V556,portfolio.!$AN$4:$AN623)),"")</f>
        <v/>
      </c>
      <c r="X556" s="998"/>
      <c r="Y556" s="936"/>
      <c r="Z556" s="936" t="s">
        <v>123</v>
      </c>
      <c r="AA556" s="936" t="s">
        <v>123</v>
      </c>
      <c r="AB556" s="936" t="s">
        <v>123</v>
      </c>
      <c r="AC556" s="907" t="s">
        <v>123</v>
      </c>
      <c r="AD556" s="999"/>
      <c r="AE556" s="936"/>
      <c r="AF556" s="936"/>
      <c r="AG556" s="936"/>
      <c r="AH556" s="936"/>
      <c r="AI556" s="999"/>
      <c r="AJ556" s="935"/>
      <c r="AK556" s="966"/>
      <c r="AL556" s="949"/>
      <c r="AM556" s="949" t="s">
        <v>123</v>
      </c>
      <c r="AN556" s="949"/>
      <c r="AO556" s="999"/>
      <c r="AP556" s="936"/>
      <c r="AQ556" s="987"/>
      <c r="AR556" s="907"/>
      <c r="AS556" s="907"/>
      <c r="AT556" s="967" t="s">
        <v>123</v>
      </c>
      <c r="AU556" s="967" t="s">
        <v>123</v>
      </c>
      <c r="AV556" s="967" t="s">
        <v>123</v>
      </c>
      <c r="AW556" s="907" t="s">
        <v>123</v>
      </c>
      <c r="AX556" s="907" t="s">
        <v>123</v>
      </c>
      <c r="AY556" s="907" t="s">
        <v>123</v>
      </c>
      <c r="AZ556" s="936" t="s">
        <v>123</v>
      </c>
      <c r="BA556" s="935" t="s">
        <v>123</v>
      </c>
      <c r="BB556" s="1000"/>
      <c r="BC556" s="1001"/>
      <c r="BD556" s="936"/>
      <c r="BE556" s="907"/>
      <c r="BF556" s="1002" t="str">
        <f>IF($BC556="","",SUMIF(portfolio.!$A$4:$A623,BC556,portfolio.!$AN$4:$AN623))</f>
        <v/>
      </c>
      <c r="BG556" s="936" t="s">
        <v>123</v>
      </c>
      <c r="BH556" s="907" t="s">
        <v>123</v>
      </c>
      <c r="BI556" s="935" t="s">
        <v>123</v>
      </c>
      <c r="BJ556" s="1003"/>
      <c r="BK556" s="907" t="s">
        <v>123</v>
      </c>
      <c r="BL556" s="907" t="s">
        <v>123</v>
      </c>
      <c r="BM556" s="907" t="s">
        <v>123</v>
      </c>
      <c r="BN556" s="1004" t="s">
        <v>123</v>
      </c>
      <c r="BO556" s="907" t="str">
        <f t="shared" si="6"/>
        <v/>
      </c>
      <c r="BP556" s="907" t="str">
        <f t="shared" si="7"/>
        <v/>
      </c>
      <c r="BQ556" s="907" t="str">
        <f t="shared" si="8"/>
        <v/>
      </c>
      <c r="BR556" s="1004" t="str">
        <f t="shared" si="9"/>
        <v/>
      </c>
      <c r="BS556" s="1005" t="str">
        <f t="shared" si="10"/>
        <v/>
      </c>
      <c r="BT556" s="1006" t="s">
        <v>123</v>
      </c>
      <c r="BU556" s="1002" t="s">
        <v>123</v>
      </c>
      <c r="BV556" s="1006" t="s">
        <v>123</v>
      </c>
      <c r="BW556" s="1007"/>
    </row>
    <row r="557">
      <c r="A557" s="624">
        <v>534.0</v>
      </c>
      <c r="B557" s="1008"/>
      <c r="C557" s="989"/>
      <c r="D557" s="851"/>
      <c r="E557" s="990"/>
      <c r="F557" s="991"/>
      <c r="G557" s="991"/>
      <c r="H557" s="992"/>
      <c r="I557" s="993"/>
      <c r="J557" s="993"/>
      <c r="K557" s="993"/>
      <c r="L557" s="993"/>
      <c r="M557" s="993"/>
      <c r="N557" s="993"/>
      <c r="O557" s="993"/>
      <c r="P557" s="993"/>
      <c r="Q557" s="993"/>
      <c r="R557" s="993"/>
      <c r="S557" s="936"/>
      <c r="T557" s="998"/>
      <c r="U557" s="935"/>
      <c r="V557" s="935"/>
      <c r="W557" s="949" t="str">
        <f>IF(AND($S$20,NOT($U$20)),IF($V557:$V623="","",SUMIF(portfolio.!$A$4:$A623,V557,portfolio.!$AN$4:$AN623)),"")</f>
        <v/>
      </c>
      <c r="X557" s="998"/>
      <c r="Y557" s="936"/>
      <c r="Z557" s="936" t="s">
        <v>123</v>
      </c>
      <c r="AA557" s="936" t="s">
        <v>123</v>
      </c>
      <c r="AB557" s="936" t="s">
        <v>123</v>
      </c>
      <c r="AC557" s="907" t="s">
        <v>123</v>
      </c>
      <c r="AD557" s="999"/>
      <c r="AE557" s="936"/>
      <c r="AF557" s="936"/>
      <c r="AG557" s="936"/>
      <c r="AH557" s="936"/>
      <c r="AI557" s="999"/>
      <c r="AJ557" s="935"/>
      <c r="AK557" s="966"/>
      <c r="AL557" s="949"/>
      <c r="AM557" s="949" t="s">
        <v>123</v>
      </c>
      <c r="AN557" s="949"/>
      <c r="AO557" s="999"/>
      <c r="AP557" s="936"/>
      <c r="AQ557" s="987"/>
      <c r="AR557" s="907"/>
      <c r="AS557" s="907"/>
      <c r="AT557" s="967" t="s">
        <v>123</v>
      </c>
      <c r="AU557" s="967" t="s">
        <v>123</v>
      </c>
      <c r="AV557" s="967" t="s">
        <v>123</v>
      </c>
      <c r="AW557" s="907" t="s">
        <v>123</v>
      </c>
      <c r="AX557" s="907" t="s">
        <v>123</v>
      </c>
      <c r="AY557" s="907" t="s">
        <v>123</v>
      </c>
      <c r="AZ557" s="936" t="s">
        <v>123</v>
      </c>
      <c r="BA557" s="935" t="s">
        <v>123</v>
      </c>
      <c r="BB557" s="1000"/>
      <c r="BC557" s="1001"/>
      <c r="BD557" s="936"/>
      <c r="BE557" s="907"/>
      <c r="BF557" s="1002" t="str">
        <f>IF($BC557="","",SUMIF(portfolio.!$A$4:$A623,BC557,portfolio.!$AN$4:$AN623))</f>
        <v/>
      </c>
      <c r="BG557" s="936" t="s">
        <v>123</v>
      </c>
      <c r="BH557" s="907" t="s">
        <v>123</v>
      </c>
      <c r="BI557" s="935" t="s">
        <v>123</v>
      </c>
      <c r="BJ557" s="1003"/>
      <c r="BK557" s="907" t="s">
        <v>123</v>
      </c>
      <c r="BL557" s="907" t="s">
        <v>123</v>
      </c>
      <c r="BM557" s="907" t="s">
        <v>123</v>
      </c>
      <c r="BN557" s="1004" t="s">
        <v>123</v>
      </c>
      <c r="BO557" s="907" t="str">
        <f t="shared" si="6"/>
        <v/>
      </c>
      <c r="BP557" s="907" t="str">
        <f t="shared" si="7"/>
        <v/>
      </c>
      <c r="BQ557" s="907" t="str">
        <f t="shared" si="8"/>
        <v/>
      </c>
      <c r="BR557" s="1004" t="str">
        <f t="shared" si="9"/>
        <v/>
      </c>
      <c r="BS557" s="1005" t="str">
        <f t="shared" si="10"/>
        <v/>
      </c>
      <c r="BT557" s="1006" t="s">
        <v>123</v>
      </c>
      <c r="BU557" s="1002" t="s">
        <v>123</v>
      </c>
      <c r="BV557" s="1006" t="s">
        <v>123</v>
      </c>
      <c r="BW557" s="1007"/>
    </row>
    <row r="558">
      <c r="A558" s="624">
        <v>535.0</v>
      </c>
      <c r="B558" s="1008"/>
      <c r="C558" s="989"/>
      <c r="D558" s="851"/>
      <c r="E558" s="990"/>
      <c r="F558" s="991"/>
      <c r="G558" s="991"/>
      <c r="H558" s="992"/>
      <c r="I558" s="993"/>
      <c r="J558" s="993"/>
      <c r="K558" s="993"/>
      <c r="L558" s="993"/>
      <c r="M558" s="993"/>
      <c r="N558" s="993"/>
      <c r="O558" s="993"/>
      <c r="P558" s="993"/>
      <c r="Q558" s="993"/>
      <c r="R558" s="993"/>
      <c r="S558" s="936"/>
      <c r="T558" s="998"/>
      <c r="U558" s="935"/>
      <c r="V558" s="935"/>
      <c r="W558" s="949" t="str">
        <f>IF(AND($S$20,NOT($U$20)),IF($V558:$V623="","",SUMIF(portfolio.!$A$4:$A623,V558,portfolio.!$AN$4:$AN623)),"")</f>
        <v/>
      </c>
      <c r="X558" s="998"/>
      <c r="Y558" s="936"/>
      <c r="Z558" s="936" t="s">
        <v>123</v>
      </c>
      <c r="AA558" s="936" t="s">
        <v>123</v>
      </c>
      <c r="AB558" s="936" t="s">
        <v>123</v>
      </c>
      <c r="AC558" s="907" t="s">
        <v>123</v>
      </c>
      <c r="AD558" s="999"/>
      <c r="AE558" s="936"/>
      <c r="AF558" s="936"/>
      <c r="AG558" s="936"/>
      <c r="AH558" s="936"/>
      <c r="AI558" s="999"/>
      <c r="AJ558" s="935"/>
      <c r="AK558" s="966"/>
      <c r="AL558" s="949"/>
      <c r="AM558" s="949" t="s">
        <v>123</v>
      </c>
      <c r="AN558" s="949"/>
      <c r="AO558" s="999"/>
      <c r="AP558" s="936"/>
      <c r="AQ558" s="987"/>
      <c r="AR558" s="907"/>
      <c r="AS558" s="907"/>
      <c r="AT558" s="967" t="s">
        <v>123</v>
      </c>
      <c r="AU558" s="967" t="s">
        <v>123</v>
      </c>
      <c r="AV558" s="967" t="s">
        <v>123</v>
      </c>
      <c r="AW558" s="907" t="s">
        <v>123</v>
      </c>
      <c r="AX558" s="907" t="s">
        <v>123</v>
      </c>
      <c r="AY558" s="907" t="s">
        <v>123</v>
      </c>
      <c r="AZ558" s="936" t="s">
        <v>123</v>
      </c>
      <c r="BA558" s="935" t="s">
        <v>123</v>
      </c>
      <c r="BB558" s="1000"/>
      <c r="BC558" s="1001"/>
      <c r="BD558" s="936"/>
      <c r="BE558" s="907"/>
      <c r="BF558" s="1002" t="str">
        <f>IF($BC558="","",SUMIF(portfolio.!$A$4:$A623,BC558,portfolio.!$AN$4:$AN623))</f>
        <v/>
      </c>
      <c r="BG558" s="936" t="s">
        <v>123</v>
      </c>
      <c r="BH558" s="907" t="s">
        <v>123</v>
      </c>
      <c r="BI558" s="935" t="s">
        <v>123</v>
      </c>
      <c r="BJ558" s="1003"/>
      <c r="BK558" s="907" t="s">
        <v>123</v>
      </c>
      <c r="BL558" s="907" t="s">
        <v>123</v>
      </c>
      <c r="BM558" s="907" t="s">
        <v>123</v>
      </c>
      <c r="BN558" s="1004" t="s">
        <v>123</v>
      </c>
      <c r="BO558" s="907" t="str">
        <f t="shared" si="6"/>
        <v/>
      </c>
      <c r="BP558" s="907" t="str">
        <f t="shared" si="7"/>
        <v/>
      </c>
      <c r="BQ558" s="907" t="str">
        <f t="shared" si="8"/>
        <v/>
      </c>
      <c r="BR558" s="1004" t="str">
        <f t="shared" si="9"/>
        <v/>
      </c>
      <c r="BS558" s="1005" t="str">
        <f t="shared" si="10"/>
        <v/>
      </c>
      <c r="BT558" s="1006" t="s">
        <v>123</v>
      </c>
      <c r="BU558" s="1002" t="s">
        <v>123</v>
      </c>
      <c r="BV558" s="1006" t="s">
        <v>123</v>
      </c>
      <c r="BW558" s="1007"/>
    </row>
    <row r="559">
      <c r="A559" s="624">
        <v>536.0</v>
      </c>
      <c r="B559" s="1008"/>
      <c r="C559" s="989"/>
      <c r="D559" s="851"/>
      <c r="E559" s="990"/>
      <c r="F559" s="991"/>
      <c r="G559" s="991"/>
      <c r="H559" s="992"/>
      <c r="I559" s="993"/>
      <c r="J559" s="993"/>
      <c r="K559" s="993"/>
      <c r="L559" s="993"/>
      <c r="M559" s="993"/>
      <c r="N559" s="993"/>
      <c r="O559" s="993"/>
      <c r="P559" s="993"/>
      <c r="Q559" s="993"/>
      <c r="R559" s="993"/>
      <c r="S559" s="936"/>
      <c r="T559" s="998"/>
      <c r="U559" s="935"/>
      <c r="V559" s="935"/>
      <c r="W559" s="949" t="str">
        <f>IF(AND($S$20,NOT($U$20)),IF($V559:$V623="","",SUMIF(portfolio.!$A$4:$A623,V559,portfolio.!$AN$4:$AN623)),"")</f>
        <v/>
      </c>
      <c r="X559" s="998"/>
      <c r="Y559" s="936"/>
      <c r="Z559" s="936" t="s">
        <v>123</v>
      </c>
      <c r="AA559" s="936" t="s">
        <v>123</v>
      </c>
      <c r="AB559" s="936" t="s">
        <v>123</v>
      </c>
      <c r="AC559" s="907" t="s">
        <v>123</v>
      </c>
      <c r="AD559" s="999"/>
      <c r="AE559" s="936"/>
      <c r="AF559" s="936"/>
      <c r="AG559" s="936"/>
      <c r="AH559" s="936"/>
      <c r="AI559" s="999"/>
      <c r="AJ559" s="935"/>
      <c r="AK559" s="966"/>
      <c r="AL559" s="949"/>
      <c r="AM559" s="949" t="s">
        <v>123</v>
      </c>
      <c r="AN559" s="949"/>
      <c r="AO559" s="999"/>
      <c r="AP559" s="936"/>
      <c r="AQ559" s="987"/>
      <c r="AR559" s="907"/>
      <c r="AS559" s="907"/>
      <c r="AT559" s="967" t="s">
        <v>123</v>
      </c>
      <c r="AU559" s="967" t="s">
        <v>123</v>
      </c>
      <c r="AV559" s="967" t="s">
        <v>123</v>
      </c>
      <c r="AW559" s="907" t="s">
        <v>123</v>
      </c>
      <c r="AX559" s="907" t="s">
        <v>123</v>
      </c>
      <c r="AY559" s="907" t="s">
        <v>123</v>
      </c>
      <c r="AZ559" s="936" t="s">
        <v>123</v>
      </c>
      <c r="BA559" s="935" t="s">
        <v>123</v>
      </c>
      <c r="BB559" s="1000"/>
      <c r="BC559" s="1001"/>
      <c r="BD559" s="936"/>
      <c r="BE559" s="907"/>
      <c r="BF559" s="1002" t="str">
        <f>IF($BC559="","",SUMIF(portfolio.!$A$4:$A623,BC559,portfolio.!$AN$4:$AN623))</f>
        <v/>
      </c>
      <c r="BG559" s="936" t="s">
        <v>123</v>
      </c>
      <c r="BH559" s="907" t="s">
        <v>123</v>
      </c>
      <c r="BI559" s="935" t="s">
        <v>123</v>
      </c>
      <c r="BJ559" s="1003"/>
      <c r="BK559" s="907" t="s">
        <v>123</v>
      </c>
      <c r="BL559" s="907" t="s">
        <v>123</v>
      </c>
      <c r="BM559" s="907" t="s">
        <v>123</v>
      </c>
      <c r="BN559" s="1004" t="s">
        <v>123</v>
      </c>
      <c r="BO559" s="907" t="str">
        <f t="shared" si="6"/>
        <v/>
      </c>
      <c r="BP559" s="907" t="str">
        <f t="shared" si="7"/>
        <v/>
      </c>
      <c r="BQ559" s="907" t="str">
        <f t="shared" si="8"/>
        <v/>
      </c>
      <c r="BR559" s="1004" t="str">
        <f t="shared" si="9"/>
        <v/>
      </c>
      <c r="BS559" s="1005" t="str">
        <f t="shared" si="10"/>
        <v/>
      </c>
      <c r="BT559" s="1006" t="s">
        <v>123</v>
      </c>
      <c r="BU559" s="1002" t="s">
        <v>123</v>
      </c>
      <c r="BV559" s="1006" t="s">
        <v>123</v>
      </c>
      <c r="BW559" s="1007"/>
    </row>
    <row r="560">
      <c r="A560" s="624">
        <v>537.0</v>
      </c>
      <c r="B560" s="1008"/>
      <c r="C560" s="989"/>
      <c r="D560" s="851"/>
      <c r="E560" s="990"/>
      <c r="F560" s="991"/>
      <c r="G560" s="991"/>
      <c r="H560" s="992"/>
      <c r="I560" s="993"/>
      <c r="J560" s="993"/>
      <c r="K560" s="993"/>
      <c r="L560" s="993"/>
      <c r="M560" s="993"/>
      <c r="N560" s="993"/>
      <c r="O560" s="993"/>
      <c r="P560" s="993"/>
      <c r="Q560" s="993"/>
      <c r="R560" s="993"/>
      <c r="S560" s="936"/>
      <c r="T560" s="998"/>
      <c r="U560" s="935"/>
      <c r="V560" s="935"/>
      <c r="W560" s="949" t="str">
        <f>IF(AND($S$20,NOT($U$20)),IF($V560:$V623="","",SUMIF(portfolio.!$A$4:$A623,V560,portfolio.!$AN$4:$AN623)),"")</f>
        <v/>
      </c>
      <c r="X560" s="998"/>
      <c r="Y560" s="936"/>
      <c r="Z560" s="936" t="s">
        <v>123</v>
      </c>
      <c r="AA560" s="936" t="s">
        <v>123</v>
      </c>
      <c r="AB560" s="936" t="s">
        <v>123</v>
      </c>
      <c r="AC560" s="907" t="s">
        <v>123</v>
      </c>
      <c r="AD560" s="999"/>
      <c r="AE560" s="936"/>
      <c r="AF560" s="936"/>
      <c r="AG560" s="936"/>
      <c r="AH560" s="936"/>
      <c r="AI560" s="999"/>
      <c r="AJ560" s="935"/>
      <c r="AK560" s="966"/>
      <c r="AL560" s="949"/>
      <c r="AM560" s="949" t="s">
        <v>123</v>
      </c>
      <c r="AN560" s="949"/>
      <c r="AO560" s="999"/>
      <c r="AP560" s="936"/>
      <c r="AQ560" s="987"/>
      <c r="AR560" s="907"/>
      <c r="AS560" s="907"/>
      <c r="AT560" s="967" t="s">
        <v>123</v>
      </c>
      <c r="AU560" s="967" t="s">
        <v>123</v>
      </c>
      <c r="AV560" s="967" t="s">
        <v>123</v>
      </c>
      <c r="AW560" s="907" t="s">
        <v>123</v>
      </c>
      <c r="AX560" s="907" t="s">
        <v>123</v>
      </c>
      <c r="AY560" s="907" t="s">
        <v>123</v>
      </c>
      <c r="AZ560" s="936" t="s">
        <v>123</v>
      </c>
      <c r="BA560" s="935" t="s">
        <v>123</v>
      </c>
      <c r="BB560" s="1000"/>
      <c r="BC560" s="1001"/>
      <c r="BD560" s="936"/>
      <c r="BE560" s="907"/>
      <c r="BF560" s="1002" t="str">
        <f>IF($BC560="","",SUMIF(portfolio.!$A$4:$A623,BC560,portfolio.!$AN$4:$AN623))</f>
        <v/>
      </c>
      <c r="BG560" s="936" t="s">
        <v>123</v>
      </c>
      <c r="BH560" s="907" t="s">
        <v>123</v>
      </c>
      <c r="BI560" s="935" t="s">
        <v>123</v>
      </c>
      <c r="BJ560" s="1003"/>
      <c r="BK560" s="907" t="s">
        <v>123</v>
      </c>
      <c r="BL560" s="907" t="s">
        <v>123</v>
      </c>
      <c r="BM560" s="907" t="s">
        <v>123</v>
      </c>
      <c r="BN560" s="1004" t="s">
        <v>123</v>
      </c>
      <c r="BO560" s="907" t="str">
        <f t="shared" si="6"/>
        <v/>
      </c>
      <c r="BP560" s="907" t="str">
        <f t="shared" si="7"/>
        <v/>
      </c>
      <c r="BQ560" s="907" t="str">
        <f t="shared" si="8"/>
        <v/>
      </c>
      <c r="BR560" s="1004" t="str">
        <f t="shared" si="9"/>
        <v/>
      </c>
      <c r="BS560" s="1005" t="str">
        <f t="shared" si="10"/>
        <v/>
      </c>
      <c r="BT560" s="1006" t="s">
        <v>123</v>
      </c>
      <c r="BU560" s="1002" t="s">
        <v>123</v>
      </c>
      <c r="BV560" s="1006" t="s">
        <v>123</v>
      </c>
      <c r="BW560" s="1007"/>
    </row>
    <row r="561">
      <c r="A561" s="624">
        <v>538.0</v>
      </c>
      <c r="B561" s="1008"/>
      <c r="C561" s="989"/>
      <c r="D561" s="851"/>
      <c r="E561" s="990"/>
      <c r="F561" s="991"/>
      <c r="G561" s="991"/>
      <c r="H561" s="992"/>
      <c r="I561" s="993"/>
      <c r="J561" s="993"/>
      <c r="K561" s="993"/>
      <c r="L561" s="993"/>
      <c r="M561" s="993"/>
      <c r="N561" s="993"/>
      <c r="O561" s="993"/>
      <c r="P561" s="993"/>
      <c r="Q561" s="993"/>
      <c r="R561" s="993"/>
      <c r="S561" s="936"/>
      <c r="T561" s="998"/>
      <c r="U561" s="935"/>
      <c r="V561" s="935"/>
      <c r="W561" s="949" t="str">
        <f>IF(AND($S$20,NOT($U$20)),IF($V561:$V623="","",SUMIF(portfolio.!$A$4:$A623,V561,portfolio.!$AN$4:$AN623)),"")</f>
        <v/>
      </c>
      <c r="X561" s="998"/>
      <c r="Y561" s="936"/>
      <c r="Z561" s="936" t="s">
        <v>123</v>
      </c>
      <c r="AA561" s="936" t="s">
        <v>123</v>
      </c>
      <c r="AB561" s="936" t="s">
        <v>123</v>
      </c>
      <c r="AC561" s="907" t="s">
        <v>123</v>
      </c>
      <c r="AD561" s="999"/>
      <c r="AE561" s="936"/>
      <c r="AF561" s="936"/>
      <c r="AG561" s="936"/>
      <c r="AH561" s="936"/>
      <c r="AI561" s="999"/>
      <c r="AJ561" s="935"/>
      <c r="AK561" s="966"/>
      <c r="AL561" s="949"/>
      <c r="AM561" s="949" t="s">
        <v>123</v>
      </c>
      <c r="AN561" s="949"/>
      <c r="AO561" s="999"/>
      <c r="AP561" s="936"/>
      <c r="AQ561" s="987"/>
      <c r="AR561" s="907"/>
      <c r="AS561" s="907"/>
      <c r="AT561" s="967" t="s">
        <v>123</v>
      </c>
      <c r="AU561" s="967" t="s">
        <v>123</v>
      </c>
      <c r="AV561" s="967" t="s">
        <v>123</v>
      </c>
      <c r="AW561" s="907" t="s">
        <v>123</v>
      </c>
      <c r="AX561" s="907" t="s">
        <v>123</v>
      </c>
      <c r="AY561" s="907" t="s">
        <v>123</v>
      </c>
      <c r="AZ561" s="936" t="s">
        <v>123</v>
      </c>
      <c r="BA561" s="935" t="s">
        <v>123</v>
      </c>
      <c r="BB561" s="1000"/>
      <c r="BC561" s="1001"/>
      <c r="BD561" s="936"/>
      <c r="BE561" s="907"/>
      <c r="BF561" s="1002" t="str">
        <f>IF($BC561="","",SUMIF(portfolio.!$A$4:$A623,BC561,portfolio.!$AN$4:$AN623))</f>
        <v/>
      </c>
      <c r="BG561" s="936" t="s">
        <v>123</v>
      </c>
      <c r="BH561" s="907" t="s">
        <v>123</v>
      </c>
      <c r="BI561" s="935" t="s">
        <v>123</v>
      </c>
      <c r="BJ561" s="1003"/>
      <c r="BK561" s="907" t="s">
        <v>123</v>
      </c>
      <c r="BL561" s="907" t="s">
        <v>123</v>
      </c>
      <c r="BM561" s="907" t="s">
        <v>123</v>
      </c>
      <c r="BN561" s="1004" t="s">
        <v>123</v>
      </c>
      <c r="BO561" s="907" t="str">
        <f t="shared" si="6"/>
        <v/>
      </c>
      <c r="BP561" s="907" t="str">
        <f t="shared" si="7"/>
        <v/>
      </c>
      <c r="BQ561" s="907" t="str">
        <f t="shared" si="8"/>
        <v/>
      </c>
      <c r="BR561" s="1004" t="str">
        <f t="shared" si="9"/>
        <v/>
      </c>
      <c r="BS561" s="1005" t="str">
        <f t="shared" si="10"/>
        <v/>
      </c>
      <c r="BT561" s="1006" t="s">
        <v>123</v>
      </c>
      <c r="BU561" s="1002" t="s">
        <v>123</v>
      </c>
      <c r="BV561" s="1006" t="s">
        <v>123</v>
      </c>
      <c r="BW561" s="1007"/>
    </row>
    <row r="562">
      <c r="A562" s="624">
        <v>539.0</v>
      </c>
      <c r="B562" s="1008"/>
      <c r="C562" s="989"/>
      <c r="D562" s="851"/>
      <c r="E562" s="990"/>
      <c r="F562" s="991"/>
      <c r="G562" s="991"/>
      <c r="H562" s="992"/>
      <c r="I562" s="993"/>
      <c r="J562" s="993"/>
      <c r="K562" s="993"/>
      <c r="L562" s="993"/>
      <c r="M562" s="993"/>
      <c r="N562" s="993"/>
      <c r="O562" s="993"/>
      <c r="P562" s="993"/>
      <c r="Q562" s="993"/>
      <c r="R562" s="993"/>
      <c r="S562" s="936"/>
      <c r="T562" s="998"/>
      <c r="U562" s="935"/>
      <c r="V562" s="935"/>
      <c r="W562" s="949" t="str">
        <f>IF(AND($S$20,NOT($U$20)),IF($V562:$V623="","",SUMIF(portfolio.!$A$4:$A623,V562,portfolio.!$AN$4:$AN623)),"")</f>
        <v/>
      </c>
      <c r="X562" s="998"/>
      <c r="Y562" s="936"/>
      <c r="Z562" s="936" t="s">
        <v>123</v>
      </c>
      <c r="AA562" s="936" t="s">
        <v>123</v>
      </c>
      <c r="AB562" s="936" t="s">
        <v>123</v>
      </c>
      <c r="AC562" s="907" t="s">
        <v>123</v>
      </c>
      <c r="AD562" s="999"/>
      <c r="AE562" s="936"/>
      <c r="AF562" s="936"/>
      <c r="AG562" s="936"/>
      <c r="AH562" s="936"/>
      <c r="AI562" s="999"/>
      <c r="AJ562" s="935"/>
      <c r="AK562" s="966"/>
      <c r="AL562" s="949"/>
      <c r="AM562" s="949" t="s">
        <v>123</v>
      </c>
      <c r="AN562" s="949"/>
      <c r="AO562" s="999"/>
      <c r="AP562" s="936"/>
      <c r="AQ562" s="987"/>
      <c r="AR562" s="907"/>
      <c r="AS562" s="907"/>
      <c r="AT562" s="967" t="s">
        <v>123</v>
      </c>
      <c r="AU562" s="967" t="s">
        <v>123</v>
      </c>
      <c r="AV562" s="967" t="s">
        <v>123</v>
      </c>
      <c r="AW562" s="907" t="s">
        <v>123</v>
      </c>
      <c r="AX562" s="907" t="s">
        <v>123</v>
      </c>
      <c r="AY562" s="907" t="s">
        <v>123</v>
      </c>
      <c r="AZ562" s="936" t="s">
        <v>123</v>
      </c>
      <c r="BA562" s="935" t="s">
        <v>123</v>
      </c>
      <c r="BB562" s="1000"/>
      <c r="BC562" s="1001"/>
      <c r="BD562" s="936"/>
      <c r="BE562" s="907"/>
      <c r="BF562" s="1002" t="str">
        <f>IF($BC562="","",SUMIF(portfolio.!$A$4:$A623,BC562,portfolio.!$AN$4:$AN623))</f>
        <v/>
      </c>
      <c r="BG562" s="936" t="s">
        <v>123</v>
      </c>
      <c r="BH562" s="907" t="s">
        <v>123</v>
      </c>
      <c r="BI562" s="935" t="s">
        <v>123</v>
      </c>
      <c r="BJ562" s="1003"/>
      <c r="BK562" s="907" t="s">
        <v>123</v>
      </c>
      <c r="BL562" s="907" t="s">
        <v>123</v>
      </c>
      <c r="BM562" s="907" t="s">
        <v>123</v>
      </c>
      <c r="BN562" s="1004" t="s">
        <v>123</v>
      </c>
      <c r="BO562" s="907" t="str">
        <f t="shared" si="6"/>
        <v/>
      </c>
      <c r="BP562" s="907" t="str">
        <f t="shared" si="7"/>
        <v/>
      </c>
      <c r="BQ562" s="907" t="str">
        <f t="shared" si="8"/>
        <v/>
      </c>
      <c r="BR562" s="1004" t="str">
        <f t="shared" si="9"/>
        <v/>
      </c>
      <c r="BS562" s="1005" t="str">
        <f t="shared" si="10"/>
        <v/>
      </c>
      <c r="BT562" s="1006" t="s">
        <v>123</v>
      </c>
      <c r="BU562" s="1002" t="s">
        <v>123</v>
      </c>
      <c r="BV562" s="1006" t="s">
        <v>123</v>
      </c>
      <c r="BW562" s="1007"/>
    </row>
    <row r="563">
      <c r="A563" s="624">
        <v>540.0</v>
      </c>
      <c r="B563" s="1008"/>
      <c r="C563" s="989"/>
      <c r="D563" s="851"/>
      <c r="E563" s="990"/>
      <c r="F563" s="991"/>
      <c r="G563" s="991"/>
      <c r="H563" s="992"/>
      <c r="I563" s="993"/>
      <c r="J563" s="993"/>
      <c r="K563" s="993"/>
      <c r="L563" s="993"/>
      <c r="M563" s="993"/>
      <c r="N563" s="993"/>
      <c r="O563" s="993"/>
      <c r="P563" s="993"/>
      <c r="Q563" s="993"/>
      <c r="R563" s="993"/>
      <c r="S563" s="936"/>
      <c r="T563" s="998"/>
      <c r="U563" s="935"/>
      <c r="V563" s="935"/>
      <c r="W563" s="949" t="str">
        <f>IF(AND($S$20,NOT($U$20)),IF($V563:$V623="","",SUMIF(portfolio.!$A$4:$A623,V563,portfolio.!$AN$4:$AN623)),"")</f>
        <v/>
      </c>
      <c r="X563" s="998"/>
      <c r="Y563" s="936"/>
      <c r="Z563" s="936" t="s">
        <v>123</v>
      </c>
      <c r="AA563" s="936" t="s">
        <v>123</v>
      </c>
      <c r="AB563" s="936" t="s">
        <v>123</v>
      </c>
      <c r="AC563" s="907" t="s">
        <v>123</v>
      </c>
      <c r="AD563" s="999"/>
      <c r="AE563" s="936"/>
      <c r="AF563" s="936"/>
      <c r="AG563" s="936"/>
      <c r="AH563" s="936"/>
      <c r="AI563" s="999"/>
      <c r="AJ563" s="935"/>
      <c r="AK563" s="966"/>
      <c r="AL563" s="949"/>
      <c r="AM563" s="949" t="s">
        <v>123</v>
      </c>
      <c r="AN563" s="949"/>
      <c r="AO563" s="999"/>
      <c r="AP563" s="936"/>
      <c r="AQ563" s="987"/>
      <c r="AR563" s="907"/>
      <c r="AS563" s="907"/>
      <c r="AT563" s="967" t="s">
        <v>123</v>
      </c>
      <c r="AU563" s="967" t="s">
        <v>123</v>
      </c>
      <c r="AV563" s="967" t="s">
        <v>123</v>
      </c>
      <c r="AW563" s="907" t="s">
        <v>123</v>
      </c>
      <c r="AX563" s="907" t="s">
        <v>123</v>
      </c>
      <c r="AY563" s="907" t="s">
        <v>123</v>
      </c>
      <c r="AZ563" s="936" t="s">
        <v>123</v>
      </c>
      <c r="BA563" s="935" t="s">
        <v>123</v>
      </c>
      <c r="BB563" s="1000"/>
      <c r="BC563" s="1001"/>
      <c r="BD563" s="936"/>
      <c r="BE563" s="907"/>
      <c r="BF563" s="1002" t="str">
        <f>IF($BC563="","",SUMIF(portfolio.!$A$4:$A623,BC563,portfolio.!$AN$4:$AN623))</f>
        <v/>
      </c>
      <c r="BG563" s="936" t="s">
        <v>123</v>
      </c>
      <c r="BH563" s="907" t="s">
        <v>123</v>
      </c>
      <c r="BI563" s="935" t="s">
        <v>123</v>
      </c>
      <c r="BJ563" s="1003"/>
      <c r="BK563" s="907" t="s">
        <v>123</v>
      </c>
      <c r="BL563" s="907" t="s">
        <v>123</v>
      </c>
      <c r="BM563" s="907" t="s">
        <v>123</v>
      </c>
      <c r="BN563" s="1004" t="s">
        <v>123</v>
      </c>
      <c r="BO563" s="907" t="str">
        <f t="shared" si="6"/>
        <v/>
      </c>
      <c r="BP563" s="907" t="str">
        <f t="shared" si="7"/>
        <v/>
      </c>
      <c r="BQ563" s="907" t="str">
        <f t="shared" si="8"/>
        <v/>
      </c>
      <c r="BR563" s="1004" t="str">
        <f t="shared" si="9"/>
        <v/>
      </c>
      <c r="BS563" s="1005" t="str">
        <f t="shared" si="10"/>
        <v/>
      </c>
      <c r="BT563" s="1006" t="s">
        <v>123</v>
      </c>
      <c r="BU563" s="1002" t="s">
        <v>123</v>
      </c>
      <c r="BV563" s="1006" t="s">
        <v>123</v>
      </c>
      <c r="BW563" s="1007"/>
    </row>
    <row r="564">
      <c r="A564" s="624">
        <v>541.0</v>
      </c>
      <c r="B564" s="1008"/>
      <c r="C564" s="989"/>
      <c r="D564" s="851"/>
      <c r="E564" s="990"/>
      <c r="F564" s="991"/>
      <c r="G564" s="991"/>
      <c r="H564" s="992"/>
      <c r="I564" s="993"/>
      <c r="J564" s="993"/>
      <c r="K564" s="993"/>
      <c r="L564" s="993"/>
      <c r="M564" s="993"/>
      <c r="N564" s="993"/>
      <c r="O564" s="993"/>
      <c r="P564" s="993"/>
      <c r="Q564" s="993"/>
      <c r="R564" s="993"/>
      <c r="S564" s="936"/>
      <c r="T564" s="998"/>
      <c r="U564" s="935"/>
      <c r="V564" s="935"/>
      <c r="W564" s="949" t="str">
        <f>IF(AND($S$20,NOT($U$20)),IF($V564:$V623="","",SUMIF(portfolio.!$A$4:$A623,V564,portfolio.!$AN$4:$AN623)),"")</f>
        <v/>
      </c>
      <c r="X564" s="998"/>
      <c r="Y564" s="936"/>
      <c r="Z564" s="936" t="s">
        <v>123</v>
      </c>
      <c r="AA564" s="936" t="s">
        <v>123</v>
      </c>
      <c r="AB564" s="936" t="s">
        <v>123</v>
      </c>
      <c r="AC564" s="907" t="s">
        <v>123</v>
      </c>
      <c r="AD564" s="999"/>
      <c r="AE564" s="936"/>
      <c r="AF564" s="936"/>
      <c r="AG564" s="936"/>
      <c r="AH564" s="936"/>
      <c r="AI564" s="999"/>
      <c r="AJ564" s="935"/>
      <c r="AK564" s="966"/>
      <c r="AL564" s="949"/>
      <c r="AM564" s="949" t="s">
        <v>123</v>
      </c>
      <c r="AN564" s="949"/>
      <c r="AO564" s="999"/>
      <c r="AP564" s="936"/>
      <c r="AQ564" s="987"/>
      <c r="AR564" s="907"/>
      <c r="AS564" s="907"/>
      <c r="AT564" s="967" t="s">
        <v>123</v>
      </c>
      <c r="AU564" s="967" t="s">
        <v>123</v>
      </c>
      <c r="AV564" s="967" t="s">
        <v>123</v>
      </c>
      <c r="AW564" s="907" t="s">
        <v>123</v>
      </c>
      <c r="AX564" s="907" t="s">
        <v>123</v>
      </c>
      <c r="AY564" s="907" t="s">
        <v>123</v>
      </c>
      <c r="AZ564" s="936" t="s">
        <v>123</v>
      </c>
      <c r="BA564" s="935" t="s">
        <v>123</v>
      </c>
      <c r="BB564" s="1000"/>
      <c r="BC564" s="1001"/>
      <c r="BD564" s="936"/>
      <c r="BE564" s="907"/>
      <c r="BF564" s="1002" t="str">
        <f>IF($BC564="","",SUMIF(portfolio.!$A$4:$A623,BC564,portfolio.!$AN$4:$AN623))</f>
        <v/>
      </c>
      <c r="BG564" s="936" t="s">
        <v>123</v>
      </c>
      <c r="BH564" s="907" t="s">
        <v>123</v>
      </c>
      <c r="BI564" s="935" t="s">
        <v>123</v>
      </c>
      <c r="BJ564" s="1003"/>
      <c r="BK564" s="907" t="s">
        <v>123</v>
      </c>
      <c r="BL564" s="907" t="s">
        <v>123</v>
      </c>
      <c r="BM564" s="907" t="s">
        <v>123</v>
      </c>
      <c r="BN564" s="1004" t="s">
        <v>123</v>
      </c>
      <c r="BO564" s="907" t="str">
        <f t="shared" si="6"/>
        <v/>
      </c>
      <c r="BP564" s="907" t="str">
        <f t="shared" si="7"/>
        <v/>
      </c>
      <c r="BQ564" s="907" t="str">
        <f t="shared" si="8"/>
        <v/>
      </c>
      <c r="BR564" s="1004" t="str">
        <f t="shared" si="9"/>
        <v/>
      </c>
      <c r="BS564" s="1005" t="str">
        <f t="shared" si="10"/>
        <v/>
      </c>
      <c r="BT564" s="1006" t="s">
        <v>123</v>
      </c>
      <c r="BU564" s="1002" t="s">
        <v>123</v>
      </c>
      <c r="BV564" s="1006" t="s">
        <v>123</v>
      </c>
      <c r="BW564" s="1007"/>
    </row>
    <row r="565">
      <c r="A565" s="624">
        <v>542.0</v>
      </c>
      <c r="B565" s="1008"/>
      <c r="C565" s="989"/>
      <c r="D565" s="851"/>
      <c r="E565" s="990"/>
      <c r="F565" s="991"/>
      <c r="G565" s="991"/>
      <c r="H565" s="992"/>
      <c r="I565" s="993"/>
      <c r="J565" s="993"/>
      <c r="K565" s="993"/>
      <c r="L565" s="993"/>
      <c r="M565" s="993"/>
      <c r="N565" s="993"/>
      <c r="O565" s="993"/>
      <c r="P565" s="993"/>
      <c r="Q565" s="993"/>
      <c r="R565" s="993"/>
      <c r="S565" s="936"/>
      <c r="T565" s="998"/>
      <c r="U565" s="935"/>
      <c r="V565" s="935"/>
      <c r="W565" s="949" t="str">
        <f>IF(AND($S$20,NOT($U$20)),IF($V565:$V623="","",SUMIF(portfolio.!$A$4:$A623,V565,portfolio.!$AN$4:$AN623)),"")</f>
        <v/>
      </c>
      <c r="X565" s="998"/>
      <c r="Y565" s="936"/>
      <c r="Z565" s="936" t="s">
        <v>123</v>
      </c>
      <c r="AA565" s="936" t="s">
        <v>123</v>
      </c>
      <c r="AB565" s="936" t="s">
        <v>123</v>
      </c>
      <c r="AC565" s="907" t="s">
        <v>123</v>
      </c>
      <c r="AD565" s="999"/>
      <c r="AE565" s="936"/>
      <c r="AF565" s="936"/>
      <c r="AG565" s="936"/>
      <c r="AH565" s="936"/>
      <c r="AI565" s="999"/>
      <c r="AJ565" s="935"/>
      <c r="AK565" s="966"/>
      <c r="AL565" s="949"/>
      <c r="AM565" s="949" t="s">
        <v>123</v>
      </c>
      <c r="AN565" s="949"/>
      <c r="AO565" s="999"/>
      <c r="AP565" s="936"/>
      <c r="AQ565" s="987"/>
      <c r="AR565" s="907"/>
      <c r="AS565" s="907"/>
      <c r="AT565" s="967" t="s">
        <v>123</v>
      </c>
      <c r="AU565" s="967" t="s">
        <v>123</v>
      </c>
      <c r="AV565" s="967" t="s">
        <v>123</v>
      </c>
      <c r="AW565" s="907" t="s">
        <v>123</v>
      </c>
      <c r="AX565" s="907" t="s">
        <v>123</v>
      </c>
      <c r="AY565" s="907" t="s">
        <v>123</v>
      </c>
      <c r="AZ565" s="936" t="s">
        <v>123</v>
      </c>
      <c r="BA565" s="935" t="s">
        <v>123</v>
      </c>
      <c r="BB565" s="1000"/>
      <c r="BC565" s="1001"/>
      <c r="BD565" s="936"/>
      <c r="BE565" s="907"/>
      <c r="BF565" s="1002" t="str">
        <f>IF($BC565="","",SUMIF(portfolio.!$A$4:$A623,BC565,portfolio.!$AN$4:$AN623))</f>
        <v/>
      </c>
      <c r="BG565" s="936" t="s">
        <v>123</v>
      </c>
      <c r="BH565" s="907" t="s">
        <v>123</v>
      </c>
      <c r="BI565" s="935" t="s">
        <v>123</v>
      </c>
      <c r="BJ565" s="1003"/>
      <c r="BK565" s="907" t="s">
        <v>123</v>
      </c>
      <c r="BL565" s="907" t="s">
        <v>123</v>
      </c>
      <c r="BM565" s="907" t="s">
        <v>123</v>
      </c>
      <c r="BN565" s="1004" t="s">
        <v>123</v>
      </c>
      <c r="BO565" s="907" t="str">
        <f t="shared" si="6"/>
        <v/>
      </c>
      <c r="BP565" s="907" t="str">
        <f t="shared" si="7"/>
        <v/>
      </c>
      <c r="BQ565" s="907" t="str">
        <f t="shared" si="8"/>
        <v/>
      </c>
      <c r="BR565" s="1004" t="str">
        <f t="shared" si="9"/>
        <v/>
      </c>
      <c r="BS565" s="1005" t="str">
        <f t="shared" si="10"/>
        <v/>
      </c>
      <c r="BT565" s="1006" t="s">
        <v>123</v>
      </c>
      <c r="BU565" s="1002" t="s">
        <v>123</v>
      </c>
      <c r="BV565" s="1006" t="s">
        <v>123</v>
      </c>
      <c r="BW565" s="1007"/>
    </row>
    <row r="566">
      <c r="A566" s="624">
        <v>543.0</v>
      </c>
      <c r="B566" s="1008"/>
      <c r="C566" s="989"/>
      <c r="D566" s="851"/>
      <c r="E566" s="990"/>
      <c r="F566" s="991"/>
      <c r="G566" s="991"/>
      <c r="H566" s="992"/>
      <c r="I566" s="993"/>
      <c r="J566" s="993"/>
      <c r="K566" s="993"/>
      <c r="L566" s="993"/>
      <c r="M566" s="993"/>
      <c r="N566" s="993"/>
      <c r="O566" s="993"/>
      <c r="P566" s="993"/>
      <c r="Q566" s="993"/>
      <c r="R566" s="993"/>
      <c r="S566" s="936"/>
      <c r="T566" s="998"/>
      <c r="U566" s="935"/>
      <c r="V566" s="935"/>
      <c r="W566" s="949" t="str">
        <f>IF(AND($S$20,NOT($U$20)),IF($V566:$V623="","",SUMIF(portfolio.!$A$4:$A623,V566,portfolio.!$AN$4:$AN623)),"")</f>
        <v/>
      </c>
      <c r="X566" s="998"/>
      <c r="Y566" s="936"/>
      <c r="Z566" s="936" t="s">
        <v>123</v>
      </c>
      <c r="AA566" s="936" t="s">
        <v>123</v>
      </c>
      <c r="AB566" s="936" t="s">
        <v>123</v>
      </c>
      <c r="AC566" s="907" t="s">
        <v>123</v>
      </c>
      <c r="AD566" s="999"/>
      <c r="AE566" s="936"/>
      <c r="AF566" s="936"/>
      <c r="AG566" s="936"/>
      <c r="AH566" s="936"/>
      <c r="AI566" s="999"/>
      <c r="AJ566" s="935"/>
      <c r="AK566" s="966"/>
      <c r="AL566" s="949"/>
      <c r="AM566" s="949" t="s">
        <v>123</v>
      </c>
      <c r="AN566" s="949"/>
      <c r="AO566" s="999"/>
      <c r="AP566" s="936"/>
      <c r="AQ566" s="987"/>
      <c r="AR566" s="907"/>
      <c r="AS566" s="907"/>
      <c r="AT566" s="967" t="s">
        <v>123</v>
      </c>
      <c r="AU566" s="967" t="s">
        <v>123</v>
      </c>
      <c r="AV566" s="967" t="s">
        <v>123</v>
      </c>
      <c r="AW566" s="907" t="s">
        <v>123</v>
      </c>
      <c r="AX566" s="907" t="s">
        <v>123</v>
      </c>
      <c r="AY566" s="907" t="s">
        <v>123</v>
      </c>
      <c r="AZ566" s="936" t="s">
        <v>123</v>
      </c>
      <c r="BA566" s="935" t="s">
        <v>123</v>
      </c>
      <c r="BB566" s="1000"/>
      <c r="BC566" s="1001"/>
      <c r="BD566" s="936"/>
      <c r="BE566" s="907"/>
      <c r="BF566" s="1002" t="str">
        <f>IF($BC566="","",SUMIF(portfolio.!$A$4:$A623,BC566,portfolio.!$AN$4:$AN623))</f>
        <v/>
      </c>
      <c r="BG566" s="936" t="s">
        <v>123</v>
      </c>
      <c r="BH566" s="907" t="s">
        <v>123</v>
      </c>
      <c r="BI566" s="935" t="s">
        <v>123</v>
      </c>
      <c r="BJ566" s="1003"/>
      <c r="BK566" s="907" t="s">
        <v>123</v>
      </c>
      <c r="BL566" s="907" t="s">
        <v>123</v>
      </c>
      <c r="BM566" s="907" t="s">
        <v>123</v>
      </c>
      <c r="BN566" s="1004" t="s">
        <v>123</v>
      </c>
      <c r="BO566" s="907" t="str">
        <f t="shared" si="6"/>
        <v/>
      </c>
      <c r="BP566" s="907" t="str">
        <f t="shared" si="7"/>
        <v/>
      </c>
      <c r="BQ566" s="907" t="str">
        <f t="shared" si="8"/>
        <v/>
      </c>
      <c r="BR566" s="1004" t="str">
        <f t="shared" si="9"/>
        <v/>
      </c>
      <c r="BS566" s="1005" t="str">
        <f t="shared" si="10"/>
        <v/>
      </c>
      <c r="BT566" s="1006" t="s">
        <v>123</v>
      </c>
      <c r="BU566" s="1002" t="s">
        <v>123</v>
      </c>
      <c r="BV566" s="1006" t="s">
        <v>123</v>
      </c>
      <c r="BW566" s="1007"/>
    </row>
    <row r="567">
      <c r="A567" s="624">
        <v>544.0</v>
      </c>
      <c r="B567" s="1008"/>
      <c r="C567" s="989"/>
      <c r="D567" s="851"/>
      <c r="E567" s="990"/>
      <c r="F567" s="991"/>
      <c r="G567" s="991"/>
      <c r="H567" s="992"/>
      <c r="I567" s="993"/>
      <c r="J567" s="993"/>
      <c r="K567" s="993"/>
      <c r="L567" s="993"/>
      <c r="M567" s="993"/>
      <c r="N567" s="993"/>
      <c r="O567" s="993"/>
      <c r="P567" s="993"/>
      <c r="Q567" s="993"/>
      <c r="R567" s="993"/>
      <c r="S567" s="936"/>
      <c r="T567" s="998"/>
      <c r="U567" s="935"/>
      <c r="V567" s="935"/>
      <c r="W567" s="949" t="str">
        <f>IF(AND($S$20,NOT($U$20)),IF($V567:$V623="","",SUMIF(portfolio.!$A$4:$A623,V567,portfolio.!$AN$4:$AN623)),"")</f>
        <v/>
      </c>
      <c r="X567" s="998"/>
      <c r="Y567" s="936"/>
      <c r="Z567" s="936" t="s">
        <v>123</v>
      </c>
      <c r="AA567" s="936" t="s">
        <v>123</v>
      </c>
      <c r="AB567" s="936" t="s">
        <v>123</v>
      </c>
      <c r="AC567" s="907" t="s">
        <v>123</v>
      </c>
      <c r="AD567" s="999"/>
      <c r="AE567" s="936"/>
      <c r="AF567" s="936"/>
      <c r="AG567" s="936"/>
      <c r="AH567" s="936"/>
      <c r="AI567" s="999"/>
      <c r="AJ567" s="935"/>
      <c r="AK567" s="966"/>
      <c r="AL567" s="949"/>
      <c r="AM567" s="949" t="s">
        <v>123</v>
      </c>
      <c r="AN567" s="949"/>
      <c r="AO567" s="999"/>
      <c r="AP567" s="936"/>
      <c r="AQ567" s="987"/>
      <c r="AR567" s="907"/>
      <c r="AS567" s="907"/>
      <c r="AT567" s="967" t="s">
        <v>123</v>
      </c>
      <c r="AU567" s="967" t="s">
        <v>123</v>
      </c>
      <c r="AV567" s="967" t="s">
        <v>123</v>
      </c>
      <c r="AW567" s="907" t="s">
        <v>123</v>
      </c>
      <c r="AX567" s="907" t="s">
        <v>123</v>
      </c>
      <c r="AY567" s="907" t="s">
        <v>123</v>
      </c>
      <c r="AZ567" s="936" t="s">
        <v>123</v>
      </c>
      <c r="BA567" s="935" t="s">
        <v>123</v>
      </c>
      <c r="BB567" s="1000"/>
      <c r="BC567" s="1001"/>
      <c r="BD567" s="936"/>
      <c r="BE567" s="907"/>
      <c r="BF567" s="1002" t="str">
        <f>IF($BC567="","",SUMIF(portfolio.!$A$4:$A623,BC567,portfolio.!$AN$4:$AN623))</f>
        <v/>
      </c>
      <c r="BG567" s="936" t="s">
        <v>123</v>
      </c>
      <c r="BH567" s="907" t="s">
        <v>123</v>
      </c>
      <c r="BI567" s="935" t="s">
        <v>123</v>
      </c>
      <c r="BJ567" s="1003"/>
      <c r="BK567" s="907" t="s">
        <v>123</v>
      </c>
      <c r="BL567" s="907" t="s">
        <v>123</v>
      </c>
      <c r="BM567" s="907" t="s">
        <v>123</v>
      </c>
      <c r="BN567" s="1004" t="s">
        <v>123</v>
      </c>
      <c r="BO567" s="907" t="str">
        <f t="shared" si="6"/>
        <v/>
      </c>
      <c r="BP567" s="907" t="str">
        <f t="shared" si="7"/>
        <v/>
      </c>
      <c r="BQ567" s="907" t="str">
        <f t="shared" si="8"/>
        <v/>
      </c>
      <c r="BR567" s="1004" t="str">
        <f t="shared" si="9"/>
        <v/>
      </c>
      <c r="BS567" s="1005" t="str">
        <f t="shared" si="10"/>
        <v/>
      </c>
      <c r="BT567" s="1006" t="s">
        <v>123</v>
      </c>
      <c r="BU567" s="1002" t="s">
        <v>123</v>
      </c>
      <c r="BV567" s="1006" t="s">
        <v>123</v>
      </c>
      <c r="BW567" s="1007"/>
    </row>
    <row r="568">
      <c r="A568" s="624">
        <v>545.0</v>
      </c>
      <c r="B568" s="1008"/>
      <c r="C568" s="989"/>
      <c r="D568" s="851"/>
      <c r="E568" s="990"/>
      <c r="F568" s="991"/>
      <c r="G568" s="991"/>
      <c r="H568" s="992"/>
      <c r="I568" s="993"/>
      <c r="J568" s="993"/>
      <c r="K568" s="993"/>
      <c r="L568" s="993"/>
      <c r="M568" s="993"/>
      <c r="N568" s="993"/>
      <c r="O568" s="993"/>
      <c r="P568" s="993"/>
      <c r="Q568" s="993"/>
      <c r="R568" s="993"/>
      <c r="S568" s="936"/>
      <c r="T568" s="998"/>
      <c r="U568" s="935"/>
      <c r="V568" s="935"/>
      <c r="W568" s="949" t="str">
        <f>IF(AND($S$20,NOT($U$20)),IF($V568:$V623="","",SUMIF(portfolio.!$A$4:$A623,V568,portfolio.!$AN$4:$AN623)),"")</f>
        <v/>
      </c>
      <c r="X568" s="998"/>
      <c r="Y568" s="936"/>
      <c r="Z568" s="936" t="s">
        <v>123</v>
      </c>
      <c r="AA568" s="936" t="s">
        <v>123</v>
      </c>
      <c r="AB568" s="936" t="s">
        <v>123</v>
      </c>
      <c r="AC568" s="907" t="s">
        <v>123</v>
      </c>
      <c r="AD568" s="999"/>
      <c r="AE568" s="936"/>
      <c r="AF568" s="936"/>
      <c r="AG568" s="936"/>
      <c r="AH568" s="936"/>
      <c r="AI568" s="999"/>
      <c r="AJ568" s="935"/>
      <c r="AK568" s="966"/>
      <c r="AL568" s="949"/>
      <c r="AM568" s="949" t="s">
        <v>123</v>
      </c>
      <c r="AN568" s="949"/>
      <c r="AO568" s="999"/>
      <c r="AP568" s="936"/>
      <c r="AQ568" s="987"/>
      <c r="AR568" s="907"/>
      <c r="AS568" s="907"/>
      <c r="AT568" s="967" t="s">
        <v>123</v>
      </c>
      <c r="AU568" s="967" t="s">
        <v>123</v>
      </c>
      <c r="AV568" s="967" t="s">
        <v>123</v>
      </c>
      <c r="AW568" s="907" t="s">
        <v>123</v>
      </c>
      <c r="AX568" s="907" t="s">
        <v>123</v>
      </c>
      <c r="AY568" s="907" t="s">
        <v>123</v>
      </c>
      <c r="AZ568" s="936" t="s">
        <v>123</v>
      </c>
      <c r="BA568" s="935" t="s">
        <v>123</v>
      </c>
      <c r="BB568" s="1000"/>
      <c r="BC568" s="1001"/>
      <c r="BD568" s="936"/>
      <c r="BE568" s="907"/>
      <c r="BF568" s="1002" t="str">
        <f>IF($BC568="","",SUMIF(portfolio.!$A$4:$A623,BC568,portfolio.!$AN$4:$AN623))</f>
        <v/>
      </c>
      <c r="BG568" s="936" t="s">
        <v>123</v>
      </c>
      <c r="BH568" s="907" t="s">
        <v>123</v>
      </c>
      <c r="BI568" s="935" t="s">
        <v>123</v>
      </c>
      <c r="BJ568" s="1003"/>
      <c r="BK568" s="907" t="s">
        <v>123</v>
      </c>
      <c r="BL568" s="907" t="s">
        <v>123</v>
      </c>
      <c r="BM568" s="907" t="s">
        <v>123</v>
      </c>
      <c r="BN568" s="1004" t="s">
        <v>123</v>
      </c>
      <c r="BO568" s="907" t="str">
        <f t="shared" si="6"/>
        <v/>
      </c>
      <c r="BP568" s="907" t="str">
        <f t="shared" si="7"/>
        <v/>
      </c>
      <c r="BQ568" s="907" t="str">
        <f t="shared" si="8"/>
        <v/>
      </c>
      <c r="BR568" s="1004" t="str">
        <f t="shared" si="9"/>
        <v/>
      </c>
      <c r="BS568" s="1005" t="str">
        <f t="shared" si="10"/>
        <v/>
      </c>
      <c r="BT568" s="1006" t="s">
        <v>123</v>
      </c>
      <c r="BU568" s="1002" t="s">
        <v>123</v>
      </c>
      <c r="BV568" s="1006" t="s">
        <v>123</v>
      </c>
      <c r="BW568" s="1007"/>
    </row>
    <row r="569">
      <c r="A569" s="624">
        <v>546.0</v>
      </c>
      <c r="B569" s="1008"/>
      <c r="C569" s="989"/>
      <c r="D569" s="851"/>
      <c r="E569" s="990"/>
      <c r="F569" s="991"/>
      <c r="G569" s="991"/>
      <c r="H569" s="992"/>
      <c r="I569" s="993"/>
      <c r="J569" s="993"/>
      <c r="K569" s="993"/>
      <c r="L569" s="993"/>
      <c r="M569" s="993"/>
      <c r="N569" s="993"/>
      <c r="O569" s="993"/>
      <c r="P569" s="993"/>
      <c r="Q569" s="993"/>
      <c r="R569" s="993"/>
      <c r="S569" s="936"/>
      <c r="T569" s="998"/>
      <c r="U569" s="935"/>
      <c r="V569" s="935"/>
      <c r="W569" s="949" t="str">
        <f>IF(AND($S$20,NOT($U$20)),IF($V569:$V623="","",SUMIF(portfolio.!$A$4:$A623,V569,portfolio.!$AN$4:$AN623)),"")</f>
        <v/>
      </c>
      <c r="X569" s="998"/>
      <c r="Y569" s="936"/>
      <c r="Z569" s="936" t="s">
        <v>123</v>
      </c>
      <c r="AA569" s="936" t="s">
        <v>123</v>
      </c>
      <c r="AB569" s="936" t="s">
        <v>123</v>
      </c>
      <c r="AC569" s="907" t="s">
        <v>123</v>
      </c>
      <c r="AD569" s="999"/>
      <c r="AE569" s="936"/>
      <c r="AF569" s="936"/>
      <c r="AG569" s="936"/>
      <c r="AH569" s="936"/>
      <c r="AI569" s="999"/>
      <c r="AJ569" s="935"/>
      <c r="AK569" s="966"/>
      <c r="AL569" s="949"/>
      <c r="AM569" s="949" t="s">
        <v>123</v>
      </c>
      <c r="AN569" s="949"/>
      <c r="AO569" s="999"/>
      <c r="AP569" s="936"/>
      <c r="AQ569" s="987"/>
      <c r="AR569" s="907"/>
      <c r="AS569" s="907"/>
      <c r="AT569" s="967" t="s">
        <v>123</v>
      </c>
      <c r="AU569" s="967" t="s">
        <v>123</v>
      </c>
      <c r="AV569" s="967" t="s">
        <v>123</v>
      </c>
      <c r="AW569" s="907" t="s">
        <v>123</v>
      </c>
      <c r="AX569" s="907" t="s">
        <v>123</v>
      </c>
      <c r="AY569" s="907" t="s">
        <v>123</v>
      </c>
      <c r="AZ569" s="936" t="s">
        <v>123</v>
      </c>
      <c r="BA569" s="935" t="s">
        <v>123</v>
      </c>
      <c r="BB569" s="1000"/>
      <c r="BC569" s="1001"/>
      <c r="BD569" s="936"/>
      <c r="BE569" s="907"/>
      <c r="BF569" s="1002" t="str">
        <f>IF($BC569="","",SUMIF(portfolio.!$A$4:$A623,BC569,portfolio.!$AN$4:$AN623))</f>
        <v/>
      </c>
      <c r="BG569" s="936" t="s">
        <v>123</v>
      </c>
      <c r="BH569" s="907" t="s">
        <v>123</v>
      </c>
      <c r="BI569" s="935" t="s">
        <v>123</v>
      </c>
      <c r="BJ569" s="1003"/>
      <c r="BK569" s="907" t="s">
        <v>123</v>
      </c>
      <c r="BL569" s="907" t="s">
        <v>123</v>
      </c>
      <c r="BM569" s="907" t="s">
        <v>123</v>
      </c>
      <c r="BN569" s="1004" t="s">
        <v>123</v>
      </c>
      <c r="BO569" s="907" t="str">
        <f t="shared" si="6"/>
        <v/>
      </c>
      <c r="BP569" s="907" t="str">
        <f t="shared" si="7"/>
        <v/>
      </c>
      <c r="BQ569" s="907" t="str">
        <f t="shared" si="8"/>
        <v/>
      </c>
      <c r="BR569" s="1004" t="str">
        <f t="shared" si="9"/>
        <v/>
      </c>
      <c r="BS569" s="1005" t="str">
        <f t="shared" si="10"/>
        <v/>
      </c>
      <c r="BT569" s="1006" t="s">
        <v>123</v>
      </c>
      <c r="BU569" s="1002" t="s">
        <v>123</v>
      </c>
      <c r="BV569" s="1006" t="s">
        <v>123</v>
      </c>
      <c r="BW569" s="1007"/>
    </row>
    <row r="570">
      <c r="A570" s="624">
        <v>547.0</v>
      </c>
      <c r="B570" s="1008"/>
      <c r="C570" s="989"/>
      <c r="D570" s="851"/>
      <c r="E570" s="990"/>
      <c r="F570" s="991"/>
      <c r="G570" s="991"/>
      <c r="H570" s="992"/>
      <c r="I570" s="993"/>
      <c r="J570" s="993"/>
      <c r="K570" s="993"/>
      <c r="L570" s="993"/>
      <c r="M570" s="993"/>
      <c r="N570" s="993"/>
      <c r="O570" s="993"/>
      <c r="P570" s="993"/>
      <c r="Q570" s="993"/>
      <c r="R570" s="993"/>
      <c r="S570" s="936"/>
      <c r="T570" s="998"/>
      <c r="U570" s="935"/>
      <c r="V570" s="935"/>
      <c r="W570" s="949" t="str">
        <f>IF(AND($S$20,NOT($U$20)),IF($V570:$V623="","",SUMIF(portfolio.!$A$4:$A623,V570,portfolio.!$AN$4:$AN623)),"")</f>
        <v/>
      </c>
      <c r="X570" s="998"/>
      <c r="Y570" s="936"/>
      <c r="Z570" s="936" t="s">
        <v>123</v>
      </c>
      <c r="AA570" s="936" t="s">
        <v>123</v>
      </c>
      <c r="AB570" s="936" t="s">
        <v>123</v>
      </c>
      <c r="AC570" s="907" t="s">
        <v>123</v>
      </c>
      <c r="AD570" s="999"/>
      <c r="AE570" s="936"/>
      <c r="AF570" s="936"/>
      <c r="AG570" s="936"/>
      <c r="AH570" s="936"/>
      <c r="AI570" s="999"/>
      <c r="AJ570" s="935"/>
      <c r="AK570" s="966"/>
      <c r="AL570" s="949"/>
      <c r="AM570" s="949" t="s">
        <v>123</v>
      </c>
      <c r="AN570" s="949"/>
      <c r="AO570" s="999"/>
      <c r="AP570" s="936"/>
      <c r="AQ570" s="987"/>
      <c r="AR570" s="907"/>
      <c r="AS570" s="907"/>
      <c r="AT570" s="967" t="s">
        <v>123</v>
      </c>
      <c r="AU570" s="967" t="s">
        <v>123</v>
      </c>
      <c r="AV570" s="967" t="s">
        <v>123</v>
      </c>
      <c r="AW570" s="907" t="s">
        <v>123</v>
      </c>
      <c r="AX570" s="907" t="s">
        <v>123</v>
      </c>
      <c r="AY570" s="907" t="s">
        <v>123</v>
      </c>
      <c r="AZ570" s="936" t="s">
        <v>123</v>
      </c>
      <c r="BA570" s="935" t="s">
        <v>123</v>
      </c>
      <c r="BB570" s="1000"/>
      <c r="BC570" s="1001"/>
      <c r="BD570" s="936"/>
      <c r="BE570" s="907"/>
      <c r="BF570" s="1002" t="str">
        <f>IF($BC570="","",SUMIF(portfolio.!$A$4:$A623,BC570,portfolio.!$AN$4:$AN623))</f>
        <v/>
      </c>
      <c r="BG570" s="936" t="s">
        <v>123</v>
      </c>
      <c r="BH570" s="907" t="s">
        <v>123</v>
      </c>
      <c r="BI570" s="935" t="s">
        <v>123</v>
      </c>
      <c r="BJ570" s="1003"/>
      <c r="BK570" s="907" t="s">
        <v>123</v>
      </c>
      <c r="BL570" s="907" t="s">
        <v>123</v>
      </c>
      <c r="BM570" s="907" t="s">
        <v>123</v>
      </c>
      <c r="BN570" s="1004" t="s">
        <v>123</v>
      </c>
      <c r="BO570" s="907" t="str">
        <f t="shared" si="6"/>
        <v/>
      </c>
      <c r="BP570" s="907" t="str">
        <f t="shared" si="7"/>
        <v/>
      </c>
      <c r="BQ570" s="907" t="str">
        <f t="shared" si="8"/>
        <v/>
      </c>
      <c r="BR570" s="1004" t="str">
        <f t="shared" si="9"/>
        <v/>
      </c>
      <c r="BS570" s="1005" t="str">
        <f t="shared" si="10"/>
        <v/>
      </c>
      <c r="BT570" s="1006" t="s">
        <v>123</v>
      </c>
      <c r="BU570" s="1002" t="s">
        <v>123</v>
      </c>
      <c r="BV570" s="1006" t="s">
        <v>123</v>
      </c>
      <c r="BW570" s="1007"/>
    </row>
    <row r="571">
      <c r="A571" s="624">
        <v>548.0</v>
      </c>
      <c r="B571" s="1008"/>
      <c r="C571" s="989"/>
      <c r="D571" s="851"/>
      <c r="E571" s="990"/>
      <c r="F571" s="991"/>
      <c r="G571" s="991"/>
      <c r="H571" s="992"/>
      <c r="I571" s="993"/>
      <c r="J571" s="993"/>
      <c r="K571" s="993"/>
      <c r="L571" s="993"/>
      <c r="M571" s="993"/>
      <c r="N571" s="993"/>
      <c r="O571" s="993"/>
      <c r="P571" s="993"/>
      <c r="Q571" s="993"/>
      <c r="R571" s="993"/>
      <c r="S571" s="936"/>
      <c r="T571" s="998"/>
      <c r="U571" s="935"/>
      <c r="V571" s="935"/>
      <c r="W571" s="949" t="str">
        <f>IF(AND($S$20,NOT($U$20)),IF($V571:$V623="","",SUMIF(portfolio.!$A$4:$A623,V571,portfolio.!$AN$4:$AN623)),"")</f>
        <v/>
      </c>
      <c r="X571" s="998"/>
      <c r="Y571" s="936"/>
      <c r="Z571" s="936" t="s">
        <v>123</v>
      </c>
      <c r="AA571" s="936" t="s">
        <v>123</v>
      </c>
      <c r="AB571" s="936" t="s">
        <v>123</v>
      </c>
      <c r="AC571" s="907" t="s">
        <v>123</v>
      </c>
      <c r="AD571" s="999"/>
      <c r="AE571" s="936"/>
      <c r="AF571" s="936"/>
      <c r="AG571" s="936"/>
      <c r="AH571" s="936"/>
      <c r="AI571" s="999"/>
      <c r="AJ571" s="935"/>
      <c r="AK571" s="966"/>
      <c r="AL571" s="949"/>
      <c r="AM571" s="949" t="s">
        <v>123</v>
      </c>
      <c r="AN571" s="949"/>
      <c r="AO571" s="999"/>
      <c r="AP571" s="936"/>
      <c r="AQ571" s="987"/>
      <c r="AR571" s="907"/>
      <c r="AS571" s="907"/>
      <c r="AT571" s="967" t="s">
        <v>123</v>
      </c>
      <c r="AU571" s="967" t="s">
        <v>123</v>
      </c>
      <c r="AV571" s="967" t="s">
        <v>123</v>
      </c>
      <c r="AW571" s="907" t="s">
        <v>123</v>
      </c>
      <c r="AX571" s="907" t="s">
        <v>123</v>
      </c>
      <c r="AY571" s="907" t="s">
        <v>123</v>
      </c>
      <c r="AZ571" s="936" t="s">
        <v>123</v>
      </c>
      <c r="BA571" s="935" t="s">
        <v>123</v>
      </c>
      <c r="BB571" s="1000"/>
      <c r="BC571" s="1001"/>
      <c r="BD571" s="936"/>
      <c r="BE571" s="907"/>
      <c r="BF571" s="1002" t="str">
        <f>IF($BC571="","",SUMIF(portfolio.!$A$4:$A623,BC571,portfolio.!$AN$4:$AN623))</f>
        <v/>
      </c>
      <c r="BG571" s="936" t="s">
        <v>123</v>
      </c>
      <c r="BH571" s="907" t="s">
        <v>123</v>
      </c>
      <c r="BI571" s="935" t="s">
        <v>123</v>
      </c>
      <c r="BJ571" s="1003"/>
      <c r="BK571" s="907" t="s">
        <v>123</v>
      </c>
      <c r="BL571" s="907" t="s">
        <v>123</v>
      </c>
      <c r="BM571" s="907" t="s">
        <v>123</v>
      </c>
      <c r="BN571" s="1004" t="s">
        <v>123</v>
      </c>
      <c r="BO571" s="907" t="str">
        <f t="shared" si="6"/>
        <v/>
      </c>
      <c r="BP571" s="907" t="str">
        <f t="shared" si="7"/>
        <v/>
      </c>
      <c r="BQ571" s="907" t="str">
        <f t="shared" si="8"/>
        <v/>
      </c>
      <c r="BR571" s="1004" t="str">
        <f t="shared" si="9"/>
        <v/>
      </c>
      <c r="BS571" s="1005" t="str">
        <f t="shared" si="10"/>
        <v/>
      </c>
      <c r="BT571" s="1006" t="s">
        <v>123</v>
      </c>
      <c r="BU571" s="1002" t="s">
        <v>123</v>
      </c>
      <c r="BV571" s="1006" t="s">
        <v>123</v>
      </c>
      <c r="BW571" s="1007"/>
    </row>
    <row r="572">
      <c r="A572" s="624">
        <v>549.0</v>
      </c>
      <c r="B572" s="1008"/>
      <c r="C572" s="989"/>
      <c r="D572" s="851"/>
      <c r="E572" s="990"/>
      <c r="F572" s="991"/>
      <c r="G572" s="991"/>
      <c r="H572" s="992"/>
      <c r="I572" s="993"/>
      <c r="J572" s="993"/>
      <c r="K572" s="993"/>
      <c r="L572" s="993"/>
      <c r="M572" s="993"/>
      <c r="N572" s="993"/>
      <c r="O572" s="993"/>
      <c r="P572" s="993"/>
      <c r="Q572" s="993"/>
      <c r="R572" s="993"/>
      <c r="S572" s="936"/>
      <c r="T572" s="998"/>
      <c r="U572" s="935"/>
      <c r="V572" s="935"/>
      <c r="W572" s="949" t="str">
        <f>IF(AND($S$20,NOT($U$20)),IF($V572:$V623="","",SUMIF(portfolio.!$A$4:$A623,V572,portfolio.!$AN$4:$AN623)),"")</f>
        <v/>
      </c>
      <c r="X572" s="998"/>
      <c r="Y572" s="936"/>
      <c r="Z572" s="936" t="s">
        <v>123</v>
      </c>
      <c r="AA572" s="936" t="s">
        <v>123</v>
      </c>
      <c r="AB572" s="936" t="s">
        <v>123</v>
      </c>
      <c r="AC572" s="907" t="s">
        <v>123</v>
      </c>
      <c r="AD572" s="999"/>
      <c r="AE572" s="936"/>
      <c r="AF572" s="936"/>
      <c r="AG572" s="936"/>
      <c r="AH572" s="936"/>
      <c r="AI572" s="999"/>
      <c r="AJ572" s="935"/>
      <c r="AK572" s="966"/>
      <c r="AL572" s="949"/>
      <c r="AM572" s="949" t="s">
        <v>123</v>
      </c>
      <c r="AN572" s="949"/>
      <c r="AO572" s="999"/>
      <c r="AP572" s="936"/>
      <c r="AQ572" s="987"/>
      <c r="AR572" s="907"/>
      <c r="AS572" s="907"/>
      <c r="AT572" s="967" t="s">
        <v>123</v>
      </c>
      <c r="AU572" s="967" t="s">
        <v>123</v>
      </c>
      <c r="AV572" s="967" t="s">
        <v>123</v>
      </c>
      <c r="AW572" s="907" t="s">
        <v>123</v>
      </c>
      <c r="AX572" s="907" t="s">
        <v>123</v>
      </c>
      <c r="AY572" s="907" t="s">
        <v>123</v>
      </c>
      <c r="AZ572" s="936" t="s">
        <v>123</v>
      </c>
      <c r="BA572" s="935" t="s">
        <v>123</v>
      </c>
      <c r="BB572" s="1000"/>
      <c r="BC572" s="1001"/>
      <c r="BD572" s="936"/>
      <c r="BE572" s="907"/>
      <c r="BF572" s="1002" t="str">
        <f>IF($BC572="","",SUMIF(portfolio.!$A$4:$A623,BC572,portfolio.!$AN$4:$AN623))</f>
        <v/>
      </c>
      <c r="BG572" s="936" t="s">
        <v>123</v>
      </c>
      <c r="BH572" s="907" t="s">
        <v>123</v>
      </c>
      <c r="BI572" s="935" t="s">
        <v>123</v>
      </c>
      <c r="BJ572" s="1003"/>
      <c r="BK572" s="907" t="s">
        <v>123</v>
      </c>
      <c r="BL572" s="907" t="s">
        <v>123</v>
      </c>
      <c r="BM572" s="907" t="s">
        <v>123</v>
      </c>
      <c r="BN572" s="1004" t="s">
        <v>123</v>
      </c>
      <c r="BO572" s="907" t="str">
        <f t="shared" si="6"/>
        <v/>
      </c>
      <c r="BP572" s="907" t="str">
        <f t="shared" si="7"/>
        <v/>
      </c>
      <c r="BQ572" s="907" t="str">
        <f t="shared" si="8"/>
        <v/>
      </c>
      <c r="BR572" s="1004" t="str">
        <f t="shared" si="9"/>
        <v/>
      </c>
      <c r="BS572" s="1005" t="str">
        <f t="shared" si="10"/>
        <v/>
      </c>
      <c r="BT572" s="1006" t="s">
        <v>123</v>
      </c>
      <c r="BU572" s="1002" t="s">
        <v>123</v>
      </c>
      <c r="BV572" s="1006" t="s">
        <v>123</v>
      </c>
      <c r="BW572" s="1007"/>
    </row>
    <row r="573">
      <c r="A573" s="624">
        <v>550.0</v>
      </c>
      <c r="B573" s="1008"/>
      <c r="C573" s="989"/>
      <c r="D573" s="851"/>
      <c r="E573" s="990"/>
      <c r="F573" s="991"/>
      <c r="G573" s="991"/>
      <c r="H573" s="992"/>
      <c r="I573" s="993"/>
      <c r="J573" s="993"/>
      <c r="K573" s="993"/>
      <c r="L573" s="993"/>
      <c r="M573" s="993"/>
      <c r="N573" s="993"/>
      <c r="O573" s="993"/>
      <c r="P573" s="993"/>
      <c r="Q573" s="993"/>
      <c r="R573" s="993"/>
      <c r="S573" s="936"/>
      <c r="T573" s="998"/>
      <c r="U573" s="935"/>
      <c r="V573" s="935"/>
      <c r="W573" s="949" t="str">
        <f>IF(AND($S$20,NOT($U$20)),IF($V573:$V623="","",SUMIF(portfolio.!$A$4:$A623,V573,portfolio.!$AN$4:$AN623)),"")</f>
        <v/>
      </c>
      <c r="X573" s="998"/>
      <c r="Y573" s="936"/>
      <c r="Z573" s="936" t="s">
        <v>123</v>
      </c>
      <c r="AA573" s="936" t="s">
        <v>123</v>
      </c>
      <c r="AB573" s="936" t="s">
        <v>123</v>
      </c>
      <c r="AC573" s="907" t="s">
        <v>123</v>
      </c>
      <c r="AD573" s="999"/>
      <c r="AE573" s="936"/>
      <c r="AF573" s="936"/>
      <c r="AG573" s="936"/>
      <c r="AH573" s="936"/>
      <c r="AI573" s="999"/>
      <c r="AJ573" s="935"/>
      <c r="AK573" s="966"/>
      <c r="AL573" s="949"/>
      <c r="AM573" s="949" t="s">
        <v>123</v>
      </c>
      <c r="AN573" s="949"/>
      <c r="AO573" s="999"/>
      <c r="AP573" s="936"/>
      <c r="AQ573" s="987"/>
      <c r="AR573" s="907"/>
      <c r="AS573" s="907"/>
      <c r="AT573" s="967" t="s">
        <v>123</v>
      </c>
      <c r="AU573" s="967" t="s">
        <v>123</v>
      </c>
      <c r="AV573" s="967" t="s">
        <v>123</v>
      </c>
      <c r="AW573" s="907" t="s">
        <v>123</v>
      </c>
      <c r="AX573" s="907" t="s">
        <v>123</v>
      </c>
      <c r="AY573" s="907" t="s">
        <v>123</v>
      </c>
      <c r="AZ573" s="936" t="s">
        <v>123</v>
      </c>
      <c r="BA573" s="935" t="s">
        <v>123</v>
      </c>
      <c r="BB573" s="1000"/>
      <c r="BC573" s="1001"/>
      <c r="BD573" s="936"/>
      <c r="BE573" s="907"/>
      <c r="BF573" s="1002" t="str">
        <f>IF($BC573="","",SUMIF(portfolio.!$A$4:$A623,BC573,portfolio.!$AN$4:$AN623))</f>
        <v/>
      </c>
      <c r="BG573" s="936" t="s">
        <v>123</v>
      </c>
      <c r="BH573" s="907" t="s">
        <v>123</v>
      </c>
      <c r="BI573" s="935" t="s">
        <v>123</v>
      </c>
      <c r="BJ573" s="1003"/>
      <c r="BK573" s="907" t="s">
        <v>123</v>
      </c>
      <c r="BL573" s="907" t="s">
        <v>123</v>
      </c>
      <c r="BM573" s="907" t="s">
        <v>123</v>
      </c>
      <c r="BN573" s="1004" t="s">
        <v>123</v>
      </c>
      <c r="BO573" s="907" t="str">
        <f t="shared" si="6"/>
        <v/>
      </c>
      <c r="BP573" s="907" t="str">
        <f t="shared" si="7"/>
        <v/>
      </c>
      <c r="BQ573" s="907" t="str">
        <f t="shared" si="8"/>
        <v/>
      </c>
      <c r="BR573" s="1004" t="str">
        <f t="shared" si="9"/>
        <v/>
      </c>
      <c r="BS573" s="1005" t="str">
        <f t="shared" si="10"/>
        <v/>
      </c>
      <c r="BT573" s="1006" t="s">
        <v>123</v>
      </c>
      <c r="BU573" s="1002" t="s">
        <v>123</v>
      </c>
      <c r="BV573" s="1006" t="s">
        <v>123</v>
      </c>
      <c r="BW573" s="1007"/>
    </row>
    <row r="574">
      <c r="A574" s="624">
        <v>551.0</v>
      </c>
      <c r="B574" s="1008"/>
      <c r="C574" s="989"/>
      <c r="D574" s="851"/>
      <c r="E574" s="990"/>
      <c r="F574" s="991"/>
      <c r="G574" s="991"/>
      <c r="H574" s="992"/>
      <c r="I574" s="993"/>
      <c r="J574" s="993"/>
      <c r="K574" s="993"/>
      <c r="L574" s="993"/>
      <c r="M574" s="993"/>
      <c r="N574" s="993"/>
      <c r="O574" s="993"/>
      <c r="P574" s="993"/>
      <c r="Q574" s="993"/>
      <c r="R574" s="993"/>
      <c r="S574" s="936"/>
      <c r="T574" s="998"/>
      <c r="U574" s="935"/>
      <c r="V574" s="935"/>
      <c r="W574" s="949" t="str">
        <f>IF(AND($S$20,NOT($U$20)),IF($V574:$V623="","",SUMIF(portfolio.!$A$4:$A623,V574,portfolio.!$AN$4:$AN623)),"")</f>
        <v/>
      </c>
      <c r="X574" s="998"/>
      <c r="Y574" s="936"/>
      <c r="Z574" s="936" t="s">
        <v>123</v>
      </c>
      <c r="AA574" s="936" t="s">
        <v>123</v>
      </c>
      <c r="AB574" s="936" t="s">
        <v>123</v>
      </c>
      <c r="AC574" s="907" t="s">
        <v>123</v>
      </c>
      <c r="AD574" s="999"/>
      <c r="AE574" s="936"/>
      <c r="AF574" s="936"/>
      <c r="AG574" s="936"/>
      <c r="AH574" s="936"/>
      <c r="AI574" s="999"/>
      <c r="AJ574" s="935"/>
      <c r="AK574" s="966"/>
      <c r="AL574" s="949"/>
      <c r="AM574" s="949" t="s">
        <v>123</v>
      </c>
      <c r="AN574" s="949"/>
      <c r="AO574" s="999"/>
      <c r="AP574" s="936"/>
      <c r="AQ574" s="987"/>
      <c r="AR574" s="907"/>
      <c r="AS574" s="907"/>
      <c r="AT574" s="967" t="s">
        <v>123</v>
      </c>
      <c r="AU574" s="967" t="s">
        <v>123</v>
      </c>
      <c r="AV574" s="967" t="s">
        <v>123</v>
      </c>
      <c r="AW574" s="907" t="s">
        <v>123</v>
      </c>
      <c r="AX574" s="907" t="s">
        <v>123</v>
      </c>
      <c r="AY574" s="907" t="s">
        <v>123</v>
      </c>
      <c r="AZ574" s="936" t="s">
        <v>123</v>
      </c>
      <c r="BA574" s="935" t="s">
        <v>123</v>
      </c>
      <c r="BB574" s="1000"/>
      <c r="BC574" s="1001"/>
      <c r="BD574" s="936"/>
      <c r="BE574" s="907"/>
      <c r="BF574" s="1002" t="str">
        <f>IF($BC574="","",SUMIF(portfolio.!$A$4:$A623,BC574,portfolio.!$AN$4:$AN623))</f>
        <v/>
      </c>
      <c r="BG574" s="936" t="s">
        <v>123</v>
      </c>
      <c r="BH574" s="907" t="s">
        <v>123</v>
      </c>
      <c r="BI574" s="935" t="s">
        <v>123</v>
      </c>
      <c r="BJ574" s="1003"/>
      <c r="BK574" s="907" t="s">
        <v>123</v>
      </c>
      <c r="BL574" s="907" t="s">
        <v>123</v>
      </c>
      <c r="BM574" s="907" t="s">
        <v>123</v>
      </c>
      <c r="BN574" s="1004" t="s">
        <v>123</v>
      </c>
      <c r="BO574" s="907" t="str">
        <f t="shared" si="6"/>
        <v/>
      </c>
      <c r="BP574" s="907" t="str">
        <f t="shared" si="7"/>
        <v/>
      </c>
      <c r="BQ574" s="907" t="str">
        <f t="shared" si="8"/>
        <v/>
      </c>
      <c r="BR574" s="1004" t="str">
        <f t="shared" si="9"/>
        <v/>
      </c>
      <c r="BS574" s="1005" t="str">
        <f t="shared" si="10"/>
        <v/>
      </c>
      <c r="BT574" s="1006" t="s">
        <v>123</v>
      </c>
      <c r="BU574" s="1002" t="s">
        <v>123</v>
      </c>
      <c r="BV574" s="1006" t="s">
        <v>123</v>
      </c>
      <c r="BW574" s="1007"/>
    </row>
    <row r="575">
      <c r="A575" s="624">
        <v>552.0</v>
      </c>
      <c r="B575" s="1008"/>
      <c r="C575" s="989"/>
      <c r="D575" s="851"/>
      <c r="E575" s="990"/>
      <c r="F575" s="991"/>
      <c r="G575" s="991"/>
      <c r="H575" s="992"/>
      <c r="I575" s="993"/>
      <c r="J575" s="993"/>
      <c r="K575" s="993"/>
      <c r="L575" s="993"/>
      <c r="M575" s="993"/>
      <c r="N575" s="993"/>
      <c r="O575" s="993"/>
      <c r="P575" s="993"/>
      <c r="Q575" s="993"/>
      <c r="R575" s="993"/>
      <c r="S575" s="936"/>
      <c r="T575" s="998"/>
      <c r="U575" s="935"/>
      <c r="V575" s="935"/>
      <c r="W575" s="949" t="str">
        <f>IF(AND($S$20,NOT($U$20)),IF($V575:$V623="","",SUMIF(portfolio.!$A$4:$A623,V575,portfolio.!$AN$4:$AN623)),"")</f>
        <v/>
      </c>
      <c r="X575" s="998"/>
      <c r="Y575" s="936"/>
      <c r="Z575" s="936" t="s">
        <v>123</v>
      </c>
      <c r="AA575" s="936" t="s">
        <v>123</v>
      </c>
      <c r="AB575" s="936" t="s">
        <v>123</v>
      </c>
      <c r="AC575" s="907" t="s">
        <v>123</v>
      </c>
      <c r="AD575" s="999"/>
      <c r="AE575" s="936"/>
      <c r="AF575" s="936"/>
      <c r="AG575" s="936"/>
      <c r="AH575" s="936"/>
      <c r="AI575" s="999"/>
      <c r="AJ575" s="935"/>
      <c r="AK575" s="966"/>
      <c r="AL575" s="949"/>
      <c r="AM575" s="949" t="s">
        <v>123</v>
      </c>
      <c r="AN575" s="949"/>
      <c r="AO575" s="999"/>
      <c r="AP575" s="936"/>
      <c r="AQ575" s="987"/>
      <c r="AR575" s="907"/>
      <c r="AS575" s="907"/>
      <c r="AT575" s="967" t="s">
        <v>123</v>
      </c>
      <c r="AU575" s="967" t="s">
        <v>123</v>
      </c>
      <c r="AV575" s="967" t="s">
        <v>123</v>
      </c>
      <c r="AW575" s="907" t="s">
        <v>123</v>
      </c>
      <c r="AX575" s="907" t="s">
        <v>123</v>
      </c>
      <c r="AY575" s="907" t="s">
        <v>123</v>
      </c>
      <c r="AZ575" s="936" t="s">
        <v>123</v>
      </c>
      <c r="BA575" s="935" t="s">
        <v>123</v>
      </c>
      <c r="BB575" s="1000"/>
      <c r="BC575" s="1001"/>
      <c r="BD575" s="936"/>
      <c r="BE575" s="907"/>
      <c r="BF575" s="1002" t="str">
        <f>IF($BC575="","",SUMIF(portfolio.!$A$4:$A623,BC575,portfolio.!$AN$4:$AN623))</f>
        <v/>
      </c>
      <c r="BG575" s="936" t="s">
        <v>123</v>
      </c>
      <c r="BH575" s="907" t="s">
        <v>123</v>
      </c>
      <c r="BI575" s="935" t="s">
        <v>123</v>
      </c>
      <c r="BJ575" s="1003"/>
      <c r="BK575" s="907" t="s">
        <v>123</v>
      </c>
      <c r="BL575" s="907" t="s">
        <v>123</v>
      </c>
      <c r="BM575" s="907" t="s">
        <v>123</v>
      </c>
      <c r="BN575" s="1004" t="s">
        <v>123</v>
      </c>
      <c r="BO575" s="907" t="str">
        <f t="shared" si="6"/>
        <v/>
      </c>
      <c r="BP575" s="907" t="str">
        <f t="shared" si="7"/>
        <v/>
      </c>
      <c r="BQ575" s="907" t="str">
        <f t="shared" si="8"/>
        <v/>
      </c>
      <c r="BR575" s="1004" t="str">
        <f t="shared" si="9"/>
        <v/>
      </c>
      <c r="BS575" s="1005" t="str">
        <f t="shared" si="10"/>
        <v/>
      </c>
      <c r="BT575" s="1006" t="s">
        <v>123</v>
      </c>
      <c r="BU575" s="1002" t="s">
        <v>123</v>
      </c>
      <c r="BV575" s="1006" t="s">
        <v>123</v>
      </c>
      <c r="BW575" s="1007"/>
    </row>
    <row r="576">
      <c r="A576" s="624">
        <v>553.0</v>
      </c>
      <c r="B576" s="1008"/>
      <c r="C576" s="989"/>
      <c r="D576" s="851"/>
      <c r="E576" s="990"/>
      <c r="F576" s="991"/>
      <c r="G576" s="991"/>
      <c r="H576" s="992"/>
      <c r="I576" s="993"/>
      <c r="J576" s="993"/>
      <c r="K576" s="993"/>
      <c r="L576" s="993"/>
      <c r="M576" s="993"/>
      <c r="N576" s="993"/>
      <c r="O576" s="993"/>
      <c r="P576" s="993"/>
      <c r="Q576" s="993"/>
      <c r="R576" s="993"/>
      <c r="S576" s="936"/>
      <c r="T576" s="998"/>
      <c r="U576" s="935"/>
      <c r="V576" s="935"/>
      <c r="W576" s="949" t="str">
        <f>IF(AND($S$20,NOT($U$20)),IF($V576:$V623="","",SUMIF(portfolio.!$A$4:$A623,V576,portfolio.!$AN$4:$AN623)),"")</f>
        <v/>
      </c>
      <c r="X576" s="998"/>
      <c r="Y576" s="936"/>
      <c r="Z576" s="936" t="s">
        <v>123</v>
      </c>
      <c r="AA576" s="936" t="s">
        <v>123</v>
      </c>
      <c r="AB576" s="936" t="s">
        <v>123</v>
      </c>
      <c r="AC576" s="907" t="s">
        <v>123</v>
      </c>
      <c r="AD576" s="999"/>
      <c r="AE576" s="936"/>
      <c r="AF576" s="936"/>
      <c r="AG576" s="936"/>
      <c r="AH576" s="936"/>
      <c r="AI576" s="999"/>
      <c r="AJ576" s="935"/>
      <c r="AK576" s="966"/>
      <c r="AL576" s="949"/>
      <c r="AM576" s="949" t="s">
        <v>123</v>
      </c>
      <c r="AN576" s="949"/>
      <c r="AO576" s="999"/>
      <c r="AP576" s="936"/>
      <c r="AQ576" s="987"/>
      <c r="AR576" s="907"/>
      <c r="AS576" s="907"/>
      <c r="AT576" s="967" t="s">
        <v>123</v>
      </c>
      <c r="AU576" s="967" t="s">
        <v>123</v>
      </c>
      <c r="AV576" s="967" t="s">
        <v>123</v>
      </c>
      <c r="AW576" s="907" t="s">
        <v>123</v>
      </c>
      <c r="AX576" s="907" t="s">
        <v>123</v>
      </c>
      <c r="AY576" s="907" t="s">
        <v>123</v>
      </c>
      <c r="AZ576" s="936" t="s">
        <v>123</v>
      </c>
      <c r="BA576" s="935" t="s">
        <v>123</v>
      </c>
      <c r="BB576" s="1000"/>
      <c r="BC576" s="1001"/>
      <c r="BD576" s="936"/>
      <c r="BE576" s="907"/>
      <c r="BF576" s="1002" t="str">
        <f>IF($BC576="","",SUMIF(portfolio.!$A$4:$A623,BC576,portfolio.!$AN$4:$AN623))</f>
        <v/>
      </c>
      <c r="BG576" s="936" t="s">
        <v>123</v>
      </c>
      <c r="BH576" s="907" t="s">
        <v>123</v>
      </c>
      <c r="BI576" s="935" t="s">
        <v>123</v>
      </c>
      <c r="BJ576" s="1003"/>
      <c r="BK576" s="907" t="s">
        <v>123</v>
      </c>
      <c r="BL576" s="907" t="s">
        <v>123</v>
      </c>
      <c r="BM576" s="907" t="s">
        <v>123</v>
      </c>
      <c r="BN576" s="1004" t="s">
        <v>123</v>
      </c>
      <c r="BO576" s="907" t="str">
        <f t="shared" si="6"/>
        <v/>
      </c>
      <c r="BP576" s="907" t="str">
        <f t="shared" si="7"/>
        <v/>
      </c>
      <c r="BQ576" s="907" t="str">
        <f t="shared" si="8"/>
        <v/>
      </c>
      <c r="BR576" s="1004" t="str">
        <f t="shared" si="9"/>
        <v/>
      </c>
      <c r="BS576" s="1005" t="str">
        <f t="shared" si="10"/>
        <v/>
      </c>
      <c r="BT576" s="1006" t="s">
        <v>123</v>
      </c>
      <c r="BU576" s="1002" t="s">
        <v>123</v>
      </c>
      <c r="BV576" s="1006" t="s">
        <v>123</v>
      </c>
      <c r="BW576" s="1007"/>
    </row>
    <row r="577">
      <c r="A577" s="624">
        <v>554.0</v>
      </c>
      <c r="B577" s="1008"/>
      <c r="C577" s="989"/>
      <c r="D577" s="851"/>
      <c r="E577" s="990"/>
      <c r="F577" s="991"/>
      <c r="G577" s="991"/>
      <c r="H577" s="992"/>
      <c r="I577" s="993"/>
      <c r="J577" s="993"/>
      <c r="K577" s="993"/>
      <c r="L577" s="993"/>
      <c r="M577" s="993"/>
      <c r="N577" s="993"/>
      <c r="O577" s="993"/>
      <c r="P577" s="993"/>
      <c r="Q577" s="993"/>
      <c r="R577" s="993"/>
      <c r="S577" s="936"/>
      <c r="T577" s="998"/>
      <c r="U577" s="935"/>
      <c r="V577" s="935"/>
      <c r="W577" s="949" t="str">
        <f>IF(AND($S$20,NOT($U$20)),IF($V577:$V623="","",SUMIF(portfolio.!$A$4:$A623,V577,portfolio.!$AN$4:$AN623)),"")</f>
        <v/>
      </c>
      <c r="X577" s="998"/>
      <c r="Y577" s="936"/>
      <c r="Z577" s="936" t="s">
        <v>123</v>
      </c>
      <c r="AA577" s="936" t="s">
        <v>123</v>
      </c>
      <c r="AB577" s="936" t="s">
        <v>123</v>
      </c>
      <c r="AC577" s="907" t="s">
        <v>123</v>
      </c>
      <c r="AD577" s="999"/>
      <c r="AE577" s="936"/>
      <c r="AF577" s="936"/>
      <c r="AG577" s="936"/>
      <c r="AH577" s="936"/>
      <c r="AI577" s="999"/>
      <c r="AJ577" s="935"/>
      <c r="AK577" s="966"/>
      <c r="AL577" s="949"/>
      <c r="AM577" s="949" t="s">
        <v>123</v>
      </c>
      <c r="AN577" s="949"/>
      <c r="AO577" s="999"/>
      <c r="AP577" s="936"/>
      <c r="AQ577" s="987"/>
      <c r="AR577" s="907"/>
      <c r="AS577" s="907"/>
      <c r="AT577" s="967" t="s">
        <v>123</v>
      </c>
      <c r="AU577" s="967" t="s">
        <v>123</v>
      </c>
      <c r="AV577" s="967" t="s">
        <v>123</v>
      </c>
      <c r="AW577" s="907" t="s">
        <v>123</v>
      </c>
      <c r="AX577" s="907" t="s">
        <v>123</v>
      </c>
      <c r="AY577" s="907" t="s">
        <v>123</v>
      </c>
      <c r="AZ577" s="936" t="s">
        <v>123</v>
      </c>
      <c r="BA577" s="935" t="s">
        <v>123</v>
      </c>
      <c r="BB577" s="1000"/>
      <c r="BC577" s="1001"/>
      <c r="BD577" s="936"/>
      <c r="BE577" s="907"/>
      <c r="BF577" s="1002" t="str">
        <f>IF($BC577="","",SUMIF(portfolio.!$A$4:$A623,BC577,portfolio.!$AN$4:$AN623))</f>
        <v/>
      </c>
      <c r="BG577" s="936" t="s">
        <v>123</v>
      </c>
      <c r="BH577" s="907" t="s">
        <v>123</v>
      </c>
      <c r="BI577" s="935" t="s">
        <v>123</v>
      </c>
      <c r="BJ577" s="1003"/>
      <c r="BK577" s="907" t="s">
        <v>123</v>
      </c>
      <c r="BL577" s="907" t="s">
        <v>123</v>
      </c>
      <c r="BM577" s="907" t="s">
        <v>123</v>
      </c>
      <c r="BN577" s="1004" t="s">
        <v>123</v>
      </c>
      <c r="BO577" s="907" t="str">
        <f t="shared" si="6"/>
        <v/>
      </c>
      <c r="BP577" s="907" t="str">
        <f t="shared" si="7"/>
        <v/>
      </c>
      <c r="BQ577" s="907" t="str">
        <f t="shared" si="8"/>
        <v/>
      </c>
      <c r="BR577" s="1004" t="str">
        <f t="shared" si="9"/>
        <v/>
      </c>
      <c r="BS577" s="1005" t="str">
        <f t="shared" si="10"/>
        <v/>
      </c>
      <c r="BT577" s="1006" t="s">
        <v>123</v>
      </c>
      <c r="BU577" s="1002" t="s">
        <v>123</v>
      </c>
      <c r="BV577" s="1006" t="s">
        <v>123</v>
      </c>
      <c r="BW577" s="1007"/>
    </row>
    <row r="578">
      <c r="A578" s="624">
        <v>555.0</v>
      </c>
      <c r="B578" s="1008"/>
      <c r="C578" s="989"/>
      <c r="D578" s="851"/>
      <c r="E578" s="990"/>
      <c r="F578" s="991"/>
      <c r="G578" s="991"/>
      <c r="H578" s="992"/>
      <c r="I578" s="993"/>
      <c r="J578" s="993"/>
      <c r="K578" s="993"/>
      <c r="L578" s="993"/>
      <c r="M578" s="993"/>
      <c r="N578" s="993"/>
      <c r="O578" s="993"/>
      <c r="P578" s="993"/>
      <c r="Q578" s="993"/>
      <c r="R578" s="993"/>
      <c r="S578" s="936"/>
      <c r="T578" s="998"/>
      <c r="U578" s="935"/>
      <c r="V578" s="935"/>
      <c r="W578" s="949" t="str">
        <f>IF(AND($S$20,NOT($U$20)),IF($V578:$V623="","",SUMIF(portfolio.!$A$4:$A623,V578,portfolio.!$AN$4:$AN623)),"")</f>
        <v/>
      </c>
      <c r="X578" s="998"/>
      <c r="Y578" s="936"/>
      <c r="Z578" s="936" t="s">
        <v>123</v>
      </c>
      <c r="AA578" s="936" t="s">
        <v>123</v>
      </c>
      <c r="AB578" s="936" t="s">
        <v>123</v>
      </c>
      <c r="AC578" s="907" t="s">
        <v>123</v>
      </c>
      <c r="AD578" s="999"/>
      <c r="AE578" s="936"/>
      <c r="AF578" s="936"/>
      <c r="AG578" s="936"/>
      <c r="AH578" s="936"/>
      <c r="AI578" s="999"/>
      <c r="AJ578" s="935"/>
      <c r="AK578" s="966"/>
      <c r="AL578" s="949"/>
      <c r="AM578" s="949" t="s">
        <v>123</v>
      </c>
      <c r="AN578" s="949"/>
      <c r="AO578" s="999"/>
      <c r="AP578" s="936"/>
      <c r="AQ578" s="987"/>
      <c r="AR578" s="907"/>
      <c r="AS578" s="907"/>
      <c r="AT578" s="967" t="s">
        <v>123</v>
      </c>
      <c r="AU578" s="967" t="s">
        <v>123</v>
      </c>
      <c r="AV578" s="967" t="s">
        <v>123</v>
      </c>
      <c r="AW578" s="907" t="s">
        <v>123</v>
      </c>
      <c r="AX578" s="907" t="s">
        <v>123</v>
      </c>
      <c r="AY578" s="907" t="s">
        <v>123</v>
      </c>
      <c r="AZ578" s="936" t="s">
        <v>123</v>
      </c>
      <c r="BA578" s="935" t="s">
        <v>123</v>
      </c>
      <c r="BB578" s="1000"/>
      <c r="BC578" s="1001"/>
      <c r="BD578" s="936"/>
      <c r="BE578" s="907"/>
      <c r="BF578" s="1002" t="str">
        <f>IF($BC578="","",SUMIF(portfolio.!$A$4:$A623,BC578,portfolio.!$AN$4:$AN623))</f>
        <v/>
      </c>
      <c r="BG578" s="936" t="s">
        <v>123</v>
      </c>
      <c r="BH578" s="907" t="s">
        <v>123</v>
      </c>
      <c r="BI578" s="935" t="s">
        <v>123</v>
      </c>
      <c r="BJ578" s="1003"/>
      <c r="BK578" s="907" t="s">
        <v>123</v>
      </c>
      <c r="BL578" s="907" t="s">
        <v>123</v>
      </c>
      <c r="BM578" s="907" t="s">
        <v>123</v>
      </c>
      <c r="BN578" s="1004" t="s">
        <v>123</v>
      </c>
      <c r="BO578" s="907" t="str">
        <f t="shared" si="6"/>
        <v/>
      </c>
      <c r="BP578" s="907" t="str">
        <f t="shared" si="7"/>
        <v/>
      </c>
      <c r="BQ578" s="907" t="str">
        <f t="shared" si="8"/>
        <v/>
      </c>
      <c r="BR578" s="1004" t="str">
        <f t="shared" si="9"/>
        <v/>
      </c>
      <c r="BS578" s="1005" t="str">
        <f t="shared" si="10"/>
        <v/>
      </c>
      <c r="BT578" s="1006" t="s">
        <v>123</v>
      </c>
      <c r="BU578" s="1002" t="s">
        <v>123</v>
      </c>
      <c r="BV578" s="1006" t="s">
        <v>123</v>
      </c>
      <c r="BW578" s="1007"/>
    </row>
    <row r="579">
      <c r="A579" s="624">
        <v>556.0</v>
      </c>
      <c r="B579" s="1008"/>
      <c r="C579" s="989"/>
      <c r="D579" s="851"/>
      <c r="E579" s="990"/>
      <c r="F579" s="991"/>
      <c r="G579" s="991"/>
      <c r="H579" s="992"/>
      <c r="I579" s="993"/>
      <c r="J579" s="993"/>
      <c r="K579" s="993"/>
      <c r="L579" s="993"/>
      <c r="M579" s="993"/>
      <c r="N579" s="993"/>
      <c r="O579" s="993"/>
      <c r="P579" s="993"/>
      <c r="Q579" s="993"/>
      <c r="R579" s="993"/>
      <c r="S579" s="936"/>
      <c r="T579" s="998"/>
      <c r="U579" s="935"/>
      <c r="V579" s="935"/>
      <c r="W579" s="949" t="str">
        <f>IF(AND($S$20,NOT($U$20)),IF($V579:$V623="","",SUMIF(portfolio.!$A$4:$A623,V579,portfolio.!$AN$4:$AN623)),"")</f>
        <v/>
      </c>
      <c r="X579" s="998"/>
      <c r="Y579" s="936"/>
      <c r="Z579" s="936" t="s">
        <v>123</v>
      </c>
      <c r="AA579" s="936" t="s">
        <v>123</v>
      </c>
      <c r="AB579" s="936" t="s">
        <v>123</v>
      </c>
      <c r="AC579" s="907" t="s">
        <v>123</v>
      </c>
      <c r="AD579" s="999"/>
      <c r="AE579" s="936"/>
      <c r="AF579" s="936"/>
      <c r="AG579" s="936"/>
      <c r="AH579" s="936"/>
      <c r="AI579" s="999"/>
      <c r="AJ579" s="935"/>
      <c r="AK579" s="966"/>
      <c r="AL579" s="949"/>
      <c r="AM579" s="949" t="s">
        <v>123</v>
      </c>
      <c r="AN579" s="949"/>
      <c r="AO579" s="999"/>
      <c r="AP579" s="936"/>
      <c r="AQ579" s="987"/>
      <c r="AR579" s="907"/>
      <c r="AS579" s="907"/>
      <c r="AT579" s="967" t="s">
        <v>123</v>
      </c>
      <c r="AU579" s="967" t="s">
        <v>123</v>
      </c>
      <c r="AV579" s="967" t="s">
        <v>123</v>
      </c>
      <c r="AW579" s="907" t="s">
        <v>123</v>
      </c>
      <c r="AX579" s="907" t="s">
        <v>123</v>
      </c>
      <c r="AY579" s="907" t="s">
        <v>123</v>
      </c>
      <c r="AZ579" s="936" t="s">
        <v>123</v>
      </c>
      <c r="BA579" s="935" t="s">
        <v>123</v>
      </c>
      <c r="BB579" s="1000"/>
      <c r="BC579" s="1001"/>
      <c r="BD579" s="936"/>
      <c r="BE579" s="907"/>
      <c r="BF579" s="1002" t="str">
        <f>IF($BC579="","",SUMIF(portfolio.!$A$4:$A623,BC579,portfolio.!$AN$4:$AN623))</f>
        <v/>
      </c>
      <c r="BG579" s="936" t="s">
        <v>123</v>
      </c>
      <c r="BH579" s="907" t="s">
        <v>123</v>
      </c>
      <c r="BI579" s="935" t="s">
        <v>123</v>
      </c>
      <c r="BJ579" s="1003"/>
      <c r="BK579" s="907" t="s">
        <v>123</v>
      </c>
      <c r="BL579" s="907" t="s">
        <v>123</v>
      </c>
      <c r="BM579" s="907" t="s">
        <v>123</v>
      </c>
      <c r="BN579" s="1004" t="s">
        <v>123</v>
      </c>
      <c r="BO579" s="907" t="str">
        <f t="shared" si="6"/>
        <v/>
      </c>
      <c r="BP579" s="907" t="str">
        <f t="shared" si="7"/>
        <v/>
      </c>
      <c r="BQ579" s="907" t="str">
        <f t="shared" si="8"/>
        <v/>
      </c>
      <c r="BR579" s="1004" t="str">
        <f t="shared" si="9"/>
        <v/>
      </c>
      <c r="BS579" s="1005" t="str">
        <f t="shared" si="10"/>
        <v/>
      </c>
      <c r="BT579" s="1006" t="s">
        <v>123</v>
      </c>
      <c r="BU579" s="1002" t="s">
        <v>123</v>
      </c>
      <c r="BV579" s="1006" t="s">
        <v>123</v>
      </c>
      <c r="BW579" s="1007"/>
    </row>
    <row r="580">
      <c r="A580" s="624">
        <v>557.0</v>
      </c>
      <c r="B580" s="1008"/>
      <c r="C580" s="989"/>
      <c r="D580" s="851"/>
      <c r="E580" s="990"/>
      <c r="F580" s="991"/>
      <c r="G580" s="991"/>
      <c r="H580" s="992"/>
      <c r="I580" s="993"/>
      <c r="J580" s="993"/>
      <c r="K580" s="993"/>
      <c r="L580" s="993"/>
      <c r="M580" s="993"/>
      <c r="N580" s="993"/>
      <c r="O580" s="993"/>
      <c r="P580" s="993"/>
      <c r="Q580" s="993"/>
      <c r="R580" s="993"/>
      <c r="S580" s="936"/>
      <c r="T580" s="998"/>
      <c r="U580" s="935"/>
      <c r="V580" s="935"/>
      <c r="W580" s="949" t="str">
        <f>IF(AND($S$20,NOT($U$20)),IF($V580:$V623="","",SUMIF(portfolio.!$A$4:$A623,V580,portfolio.!$AN$4:$AN623)),"")</f>
        <v/>
      </c>
      <c r="X580" s="998"/>
      <c r="Y580" s="936"/>
      <c r="Z580" s="936" t="s">
        <v>123</v>
      </c>
      <c r="AA580" s="936" t="s">
        <v>123</v>
      </c>
      <c r="AB580" s="936" t="s">
        <v>123</v>
      </c>
      <c r="AC580" s="907" t="s">
        <v>123</v>
      </c>
      <c r="AD580" s="999"/>
      <c r="AE580" s="936"/>
      <c r="AF580" s="936"/>
      <c r="AG580" s="936"/>
      <c r="AH580" s="936"/>
      <c r="AI580" s="999"/>
      <c r="AJ580" s="935"/>
      <c r="AK580" s="966"/>
      <c r="AL580" s="949"/>
      <c r="AM580" s="949" t="s">
        <v>123</v>
      </c>
      <c r="AN580" s="949"/>
      <c r="AO580" s="999"/>
      <c r="AP580" s="936"/>
      <c r="AQ580" s="987"/>
      <c r="AR580" s="907"/>
      <c r="AS580" s="907"/>
      <c r="AT580" s="967" t="s">
        <v>123</v>
      </c>
      <c r="AU580" s="967" t="s">
        <v>123</v>
      </c>
      <c r="AV580" s="967" t="s">
        <v>123</v>
      </c>
      <c r="AW580" s="907" t="s">
        <v>123</v>
      </c>
      <c r="AX580" s="907" t="s">
        <v>123</v>
      </c>
      <c r="AY580" s="907" t="s">
        <v>123</v>
      </c>
      <c r="AZ580" s="936" t="s">
        <v>123</v>
      </c>
      <c r="BA580" s="935" t="s">
        <v>123</v>
      </c>
      <c r="BB580" s="1000"/>
      <c r="BC580" s="1001"/>
      <c r="BD580" s="936"/>
      <c r="BE580" s="907"/>
      <c r="BF580" s="1002" t="str">
        <f>IF($BC580="","",SUMIF(portfolio.!$A$4:$A623,BC580,portfolio.!$AN$4:$AN623))</f>
        <v/>
      </c>
      <c r="BG580" s="936" t="s">
        <v>123</v>
      </c>
      <c r="BH580" s="907" t="s">
        <v>123</v>
      </c>
      <c r="BI580" s="935" t="s">
        <v>123</v>
      </c>
      <c r="BJ580" s="1003"/>
      <c r="BK580" s="907" t="s">
        <v>123</v>
      </c>
      <c r="BL580" s="907" t="s">
        <v>123</v>
      </c>
      <c r="BM580" s="907" t="s">
        <v>123</v>
      </c>
      <c r="BN580" s="1004" t="s">
        <v>123</v>
      </c>
      <c r="BO580" s="907" t="str">
        <f t="shared" si="6"/>
        <v/>
      </c>
      <c r="BP580" s="907" t="str">
        <f t="shared" si="7"/>
        <v/>
      </c>
      <c r="BQ580" s="907" t="str">
        <f t="shared" si="8"/>
        <v/>
      </c>
      <c r="BR580" s="1004" t="str">
        <f t="shared" si="9"/>
        <v/>
      </c>
      <c r="BS580" s="1005" t="str">
        <f t="shared" si="10"/>
        <v/>
      </c>
      <c r="BT580" s="1006" t="s">
        <v>123</v>
      </c>
      <c r="BU580" s="1002" t="s">
        <v>123</v>
      </c>
      <c r="BV580" s="1006" t="s">
        <v>123</v>
      </c>
      <c r="BW580" s="1007"/>
    </row>
    <row r="581">
      <c r="A581" s="624">
        <v>558.0</v>
      </c>
      <c r="B581" s="1008"/>
      <c r="C581" s="989"/>
      <c r="D581" s="851"/>
      <c r="E581" s="990"/>
      <c r="F581" s="991"/>
      <c r="G581" s="991"/>
      <c r="H581" s="992"/>
      <c r="I581" s="993"/>
      <c r="J581" s="993"/>
      <c r="K581" s="993"/>
      <c r="L581" s="993"/>
      <c r="M581" s="993"/>
      <c r="N581" s="993"/>
      <c r="O581" s="993"/>
      <c r="P581" s="993"/>
      <c r="Q581" s="993"/>
      <c r="R581" s="993"/>
      <c r="S581" s="936"/>
      <c r="T581" s="998"/>
      <c r="U581" s="935"/>
      <c r="V581" s="935"/>
      <c r="W581" s="949" t="str">
        <f>IF(AND($S$20,NOT($U$20)),IF($V581:$V623="","",SUMIF(portfolio.!$A$4:$A623,V581,portfolio.!$AN$4:$AN623)),"")</f>
        <v/>
      </c>
      <c r="X581" s="998"/>
      <c r="Y581" s="936"/>
      <c r="Z581" s="936" t="s">
        <v>123</v>
      </c>
      <c r="AA581" s="936" t="s">
        <v>123</v>
      </c>
      <c r="AB581" s="936" t="s">
        <v>123</v>
      </c>
      <c r="AC581" s="907" t="s">
        <v>123</v>
      </c>
      <c r="AD581" s="999"/>
      <c r="AE581" s="936"/>
      <c r="AF581" s="936"/>
      <c r="AG581" s="936"/>
      <c r="AH581" s="936"/>
      <c r="AI581" s="999"/>
      <c r="AJ581" s="935"/>
      <c r="AK581" s="966"/>
      <c r="AL581" s="949"/>
      <c r="AM581" s="949" t="s">
        <v>123</v>
      </c>
      <c r="AN581" s="949"/>
      <c r="AO581" s="999"/>
      <c r="AP581" s="936"/>
      <c r="AQ581" s="987"/>
      <c r="AR581" s="907"/>
      <c r="AS581" s="907"/>
      <c r="AT581" s="967" t="s">
        <v>123</v>
      </c>
      <c r="AU581" s="967" t="s">
        <v>123</v>
      </c>
      <c r="AV581" s="967" t="s">
        <v>123</v>
      </c>
      <c r="AW581" s="907" t="s">
        <v>123</v>
      </c>
      <c r="AX581" s="907" t="s">
        <v>123</v>
      </c>
      <c r="AY581" s="907" t="s">
        <v>123</v>
      </c>
      <c r="AZ581" s="936" t="s">
        <v>123</v>
      </c>
      <c r="BA581" s="935" t="s">
        <v>123</v>
      </c>
      <c r="BB581" s="1000"/>
      <c r="BC581" s="1001"/>
      <c r="BD581" s="936"/>
      <c r="BE581" s="907"/>
      <c r="BF581" s="1002" t="str">
        <f>IF($BC581="","",SUMIF(portfolio.!$A$4:$A623,BC581,portfolio.!$AN$4:$AN623))</f>
        <v/>
      </c>
      <c r="BG581" s="936" t="s">
        <v>123</v>
      </c>
      <c r="BH581" s="907" t="s">
        <v>123</v>
      </c>
      <c r="BI581" s="935" t="s">
        <v>123</v>
      </c>
      <c r="BJ581" s="1003"/>
      <c r="BK581" s="907" t="s">
        <v>123</v>
      </c>
      <c r="BL581" s="907" t="s">
        <v>123</v>
      </c>
      <c r="BM581" s="907" t="s">
        <v>123</v>
      </c>
      <c r="BN581" s="1004" t="s">
        <v>123</v>
      </c>
      <c r="BO581" s="907" t="str">
        <f t="shared" si="6"/>
        <v/>
      </c>
      <c r="BP581" s="907" t="str">
        <f t="shared" si="7"/>
        <v/>
      </c>
      <c r="BQ581" s="907" t="str">
        <f t="shared" si="8"/>
        <v/>
      </c>
      <c r="BR581" s="1004" t="str">
        <f t="shared" si="9"/>
        <v/>
      </c>
      <c r="BS581" s="1005" t="str">
        <f t="shared" si="10"/>
        <v/>
      </c>
      <c r="BT581" s="1006" t="s">
        <v>123</v>
      </c>
      <c r="BU581" s="1002" t="s">
        <v>123</v>
      </c>
      <c r="BV581" s="1006" t="s">
        <v>123</v>
      </c>
      <c r="BW581" s="1007"/>
    </row>
    <row r="582">
      <c r="A582" s="624">
        <v>559.0</v>
      </c>
      <c r="B582" s="1008"/>
      <c r="C582" s="989"/>
      <c r="D582" s="851"/>
      <c r="E582" s="990"/>
      <c r="F582" s="991"/>
      <c r="G582" s="991"/>
      <c r="H582" s="992"/>
      <c r="I582" s="993"/>
      <c r="J582" s="993"/>
      <c r="K582" s="993"/>
      <c r="L582" s="993"/>
      <c r="M582" s="993"/>
      <c r="N582" s="993"/>
      <c r="O582" s="993"/>
      <c r="P582" s="993"/>
      <c r="Q582" s="993"/>
      <c r="R582" s="993"/>
      <c r="S582" s="936"/>
      <c r="T582" s="998"/>
      <c r="U582" s="935"/>
      <c r="V582" s="935"/>
      <c r="W582" s="949" t="str">
        <f>IF(AND($S$20,NOT($U$20)),IF($V582:$V623="","",SUMIF(portfolio.!$A$4:$A623,V582,portfolio.!$AN$4:$AN623)),"")</f>
        <v/>
      </c>
      <c r="X582" s="998"/>
      <c r="Y582" s="936"/>
      <c r="Z582" s="936" t="s">
        <v>123</v>
      </c>
      <c r="AA582" s="936" t="s">
        <v>123</v>
      </c>
      <c r="AB582" s="936" t="s">
        <v>123</v>
      </c>
      <c r="AC582" s="907" t="s">
        <v>123</v>
      </c>
      <c r="AD582" s="999"/>
      <c r="AE582" s="936"/>
      <c r="AF582" s="936"/>
      <c r="AG582" s="936"/>
      <c r="AH582" s="936"/>
      <c r="AI582" s="999"/>
      <c r="AJ582" s="935"/>
      <c r="AK582" s="966"/>
      <c r="AL582" s="949"/>
      <c r="AM582" s="949" t="s">
        <v>123</v>
      </c>
      <c r="AN582" s="949"/>
      <c r="AO582" s="999"/>
      <c r="AP582" s="936"/>
      <c r="AQ582" s="987"/>
      <c r="AR582" s="907"/>
      <c r="AS582" s="907"/>
      <c r="AT582" s="967" t="s">
        <v>123</v>
      </c>
      <c r="AU582" s="967" t="s">
        <v>123</v>
      </c>
      <c r="AV582" s="967" t="s">
        <v>123</v>
      </c>
      <c r="AW582" s="907" t="s">
        <v>123</v>
      </c>
      <c r="AX582" s="907" t="s">
        <v>123</v>
      </c>
      <c r="AY582" s="907" t="s">
        <v>123</v>
      </c>
      <c r="AZ582" s="936" t="s">
        <v>123</v>
      </c>
      <c r="BA582" s="935" t="s">
        <v>123</v>
      </c>
      <c r="BB582" s="1000"/>
      <c r="BC582" s="1001"/>
      <c r="BD582" s="936"/>
      <c r="BE582" s="907"/>
      <c r="BF582" s="1002" t="str">
        <f>IF($BC582="","",SUMIF(portfolio.!$A$4:$A623,BC582,portfolio.!$AN$4:$AN623))</f>
        <v/>
      </c>
      <c r="BG582" s="936" t="s">
        <v>123</v>
      </c>
      <c r="BH582" s="907" t="s">
        <v>123</v>
      </c>
      <c r="BI582" s="935" t="s">
        <v>123</v>
      </c>
      <c r="BJ582" s="1003"/>
      <c r="BK582" s="907" t="s">
        <v>123</v>
      </c>
      <c r="BL582" s="907" t="s">
        <v>123</v>
      </c>
      <c r="BM582" s="907" t="s">
        <v>123</v>
      </c>
      <c r="BN582" s="1004" t="s">
        <v>123</v>
      </c>
      <c r="BO582" s="907" t="str">
        <f t="shared" si="6"/>
        <v/>
      </c>
      <c r="BP582" s="907" t="str">
        <f t="shared" si="7"/>
        <v/>
      </c>
      <c r="BQ582" s="907" t="str">
        <f t="shared" si="8"/>
        <v/>
      </c>
      <c r="BR582" s="1004" t="str">
        <f t="shared" si="9"/>
        <v/>
      </c>
      <c r="BS582" s="1005" t="str">
        <f t="shared" si="10"/>
        <v/>
      </c>
      <c r="BT582" s="1006" t="s">
        <v>123</v>
      </c>
      <c r="BU582" s="1002" t="s">
        <v>123</v>
      </c>
      <c r="BV582" s="1006" t="s">
        <v>123</v>
      </c>
      <c r="BW582" s="1007"/>
    </row>
    <row r="583">
      <c r="A583" s="624">
        <v>560.0</v>
      </c>
      <c r="B583" s="1008"/>
      <c r="C583" s="989"/>
      <c r="D583" s="851"/>
      <c r="E583" s="990"/>
      <c r="F583" s="991"/>
      <c r="G583" s="991"/>
      <c r="H583" s="992"/>
      <c r="I583" s="993"/>
      <c r="J583" s="993"/>
      <c r="K583" s="993"/>
      <c r="L583" s="993"/>
      <c r="M583" s="993"/>
      <c r="N583" s="993"/>
      <c r="O583" s="993"/>
      <c r="P583" s="993"/>
      <c r="Q583" s="993"/>
      <c r="R583" s="993"/>
      <c r="S583" s="936"/>
      <c r="T583" s="998"/>
      <c r="U583" s="935"/>
      <c r="V583" s="935"/>
      <c r="W583" s="949" t="str">
        <f>IF(AND($S$20,NOT($U$20)),IF($V583:$V623="","",SUMIF(portfolio.!$A$4:$A623,V583,portfolio.!$AN$4:$AN623)),"")</f>
        <v/>
      </c>
      <c r="X583" s="998"/>
      <c r="Y583" s="936"/>
      <c r="Z583" s="936" t="s">
        <v>123</v>
      </c>
      <c r="AA583" s="936" t="s">
        <v>123</v>
      </c>
      <c r="AB583" s="936" t="s">
        <v>123</v>
      </c>
      <c r="AC583" s="907" t="s">
        <v>123</v>
      </c>
      <c r="AD583" s="999"/>
      <c r="AE583" s="936"/>
      <c r="AF583" s="936"/>
      <c r="AG583" s="936"/>
      <c r="AH583" s="936"/>
      <c r="AI583" s="999"/>
      <c r="AJ583" s="935"/>
      <c r="AK583" s="966"/>
      <c r="AL583" s="949"/>
      <c r="AM583" s="949" t="s">
        <v>123</v>
      </c>
      <c r="AN583" s="949"/>
      <c r="AO583" s="999"/>
      <c r="AP583" s="936"/>
      <c r="AQ583" s="987"/>
      <c r="AR583" s="907"/>
      <c r="AS583" s="907"/>
      <c r="AT583" s="967" t="s">
        <v>123</v>
      </c>
      <c r="AU583" s="967" t="s">
        <v>123</v>
      </c>
      <c r="AV583" s="967" t="s">
        <v>123</v>
      </c>
      <c r="AW583" s="907" t="s">
        <v>123</v>
      </c>
      <c r="AX583" s="907" t="s">
        <v>123</v>
      </c>
      <c r="AY583" s="907" t="s">
        <v>123</v>
      </c>
      <c r="AZ583" s="936" t="s">
        <v>123</v>
      </c>
      <c r="BA583" s="935" t="s">
        <v>123</v>
      </c>
      <c r="BB583" s="1000"/>
      <c r="BC583" s="1001"/>
      <c r="BD583" s="936"/>
      <c r="BE583" s="907"/>
      <c r="BF583" s="1002" t="str">
        <f>IF($BC583="","",SUMIF(portfolio.!$A$4:$A623,BC583,portfolio.!$AN$4:$AN623))</f>
        <v/>
      </c>
      <c r="BG583" s="936" t="s">
        <v>123</v>
      </c>
      <c r="BH583" s="907" t="s">
        <v>123</v>
      </c>
      <c r="BI583" s="935" t="s">
        <v>123</v>
      </c>
      <c r="BJ583" s="1003"/>
      <c r="BK583" s="907" t="s">
        <v>123</v>
      </c>
      <c r="BL583" s="907" t="s">
        <v>123</v>
      </c>
      <c r="BM583" s="907" t="s">
        <v>123</v>
      </c>
      <c r="BN583" s="1004" t="s">
        <v>123</v>
      </c>
      <c r="BO583" s="907" t="str">
        <f t="shared" si="6"/>
        <v/>
      </c>
      <c r="BP583" s="907" t="str">
        <f t="shared" si="7"/>
        <v/>
      </c>
      <c r="BQ583" s="907" t="str">
        <f t="shared" si="8"/>
        <v/>
      </c>
      <c r="BR583" s="1004" t="str">
        <f t="shared" si="9"/>
        <v/>
      </c>
      <c r="BS583" s="1005" t="str">
        <f t="shared" si="10"/>
        <v/>
      </c>
      <c r="BT583" s="1006" t="s">
        <v>123</v>
      </c>
      <c r="BU583" s="1002" t="s">
        <v>123</v>
      </c>
      <c r="BV583" s="1006" t="s">
        <v>123</v>
      </c>
      <c r="BW583" s="1007"/>
    </row>
    <row r="584">
      <c r="A584" s="624">
        <v>561.0</v>
      </c>
      <c r="B584" s="1008"/>
      <c r="C584" s="989"/>
      <c r="D584" s="851"/>
      <c r="E584" s="990"/>
      <c r="F584" s="991"/>
      <c r="G584" s="991"/>
      <c r="H584" s="992"/>
      <c r="I584" s="993"/>
      <c r="J584" s="993"/>
      <c r="K584" s="993"/>
      <c r="L584" s="993"/>
      <c r="M584" s="993"/>
      <c r="N584" s="993"/>
      <c r="O584" s="993"/>
      <c r="P584" s="993"/>
      <c r="Q584" s="993"/>
      <c r="R584" s="993"/>
      <c r="S584" s="936"/>
      <c r="T584" s="998"/>
      <c r="U584" s="935"/>
      <c r="V584" s="935"/>
      <c r="W584" s="949" t="str">
        <f>IF(AND($S$20,NOT($U$20)),IF($V584:$V623="","",SUMIF(portfolio.!$A$4:$A623,V584,portfolio.!$AN$4:$AN623)),"")</f>
        <v/>
      </c>
      <c r="X584" s="998"/>
      <c r="Y584" s="936"/>
      <c r="Z584" s="936" t="s">
        <v>123</v>
      </c>
      <c r="AA584" s="936" t="s">
        <v>123</v>
      </c>
      <c r="AB584" s="936" t="s">
        <v>123</v>
      </c>
      <c r="AC584" s="907" t="s">
        <v>123</v>
      </c>
      <c r="AD584" s="999"/>
      <c r="AE584" s="936"/>
      <c r="AF584" s="936"/>
      <c r="AG584" s="936"/>
      <c r="AH584" s="936"/>
      <c r="AI584" s="999"/>
      <c r="AJ584" s="935"/>
      <c r="AK584" s="966"/>
      <c r="AL584" s="949"/>
      <c r="AM584" s="949" t="s">
        <v>123</v>
      </c>
      <c r="AN584" s="949"/>
      <c r="AO584" s="999"/>
      <c r="AP584" s="936"/>
      <c r="AQ584" s="987"/>
      <c r="AR584" s="907"/>
      <c r="AS584" s="907"/>
      <c r="AT584" s="967" t="s">
        <v>123</v>
      </c>
      <c r="AU584" s="967" t="s">
        <v>123</v>
      </c>
      <c r="AV584" s="967" t="s">
        <v>123</v>
      </c>
      <c r="AW584" s="907" t="s">
        <v>123</v>
      </c>
      <c r="AX584" s="907" t="s">
        <v>123</v>
      </c>
      <c r="AY584" s="907" t="s">
        <v>123</v>
      </c>
      <c r="AZ584" s="936" t="s">
        <v>123</v>
      </c>
      <c r="BA584" s="935" t="s">
        <v>123</v>
      </c>
      <c r="BB584" s="1000"/>
      <c r="BC584" s="1001"/>
      <c r="BD584" s="936"/>
      <c r="BE584" s="907"/>
      <c r="BF584" s="1002" t="str">
        <f>IF($BC584="","",SUMIF(portfolio.!$A$4:$A623,BC584,portfolio.!$AN$4:$AN623))</f>
        <v/>
      </c>
      <c r="BG584" s="936" t="s">
        <v>123</v>
      </c>
      <c r="BH584" s="907" t="s">
        <v>123</v>
      </c>
      <c r="BI584" s="935" t="s">
        <v>123</v>
      </c>
      <c r="BJ584" s="1003"/>
      <c r="BK584" s="907" t="s">
        <v>123</v>
      </c>
      <c r="BL584" s="907" t="s">
        <v>123</v>
      </c>
      <c r="BM584" s="907" t="s">
        <v>123</v>
      </c>
      <c r="BN584" s="1004" t="s">
        <v>123</v>
      </c>
      <c r="BO584" s="907" t="str">
        <f t="shared" si="6"/>
        <v/>
      </c>
      <c r="BP584" s="907" t="str">
        <f t="shared" si="7"/>
        <v/>
      </c>
      <c r="BQ584" s="907" t="str">
        <f t="shared" si="8"/>
        <v/>
      </c>
      <c r="BR584" s="1004" t="str">
        <f t="shared" si="9"/>
        <v/>
      </c>
      <c r="BS584" s="1005" t="str">
        <f t="shared" si="10"/>
        <v/>
      </c>
      <c r="BT584" s="1006" t="s">
        <v>123</v>
      </c>
      <c r="BU584" s="1002" t="s">
        <v>123</v>
      </c>
      <c r="BV584" s="1006" t="s">
        <v>123</v>
      </c>
      <c r="BW584" s="1007"/>
    </row>
    <row r="585">
      <c r="A585" s="624">
        <v>562.0</v>
      </c>
      <c r="B585" s="1008"/>
      <c r="C585" s="989"/>
      <c r="D585" s="851"/>
      <c r="E585" s="990"/>
      <c r="F585" s="991"/>
      <c r="G585" s="991"/>
      <c r="H585" s="992"/>
      <c r="I585" s="993"/>
      <c r="J585" s="993"/>
      <c r="K585" s="993"/>
      <c r="L585" s="993"/>
      <c r="M585" s="993"/>
      <c r="N585" s="993"/>
      <c r="O585" s="993"/>
      <c r="P585" s="993"/>
      <c r="Q585" s="993"/>
      <c r="R585" s="993"/>
      <c r="S585" s="936"/>
      <c r="T585" s="998"/>
      <c r="U585" s="935"/>
      <c r="V585" s="935"/>
      <c r="W585" s="949" t="str">
        <f>IF(AND($S$20,NOT($U$20)),IF($V585:$V623="","",SUMIF(portfolio.!$A$4:$A623,V585,portfolio.!$AN$4:$AN623)),"")</f>
        <v/>
      </c>
      <c r="X585" s="998"/>
      <c r="Y585" s="936"/>
      <c r="Z585" s="936" t="s">
        <v>123</v>
      </c>
      <c r="AA585" s="936" t="s">
        <v>123</v>
      </c>
      <c r="AB585" s="936" t="s">
        <v>123</v>
      </c>
      <c r="AC585" s="907" t="s">
        <v>123</v>
      </c>
      <c r="AD585" s="999"/>
      <c r="AE585" s="936"/>
      <c r="AF585" s="936"/>
      <c r="AG585" s="936"/>
      <c r="AH585" s="936"/>
      <c r="AI585" s="999"/>
      <c r="AJ585" s="935"/>
      <c r="AK585" s="966"/>
      <c r="AL585" s="949"/>
      <c r="AM585" s="949" t="s">
        <v>123</v>
      </c>
      <c r="AN585" s="949"/>
      <c r="AO585" s="999"/>
      <c r="AP585" s="936"/>
      <c r="AQ585" s="987"/>
      <c r="AR585" s="907"/>
      <c r="AS585" s="907"/>
      <c r="AT585" s="967" t="s">
        <v>123</v>
      </c>
      <c r="AU585" s="967" t="s">
        <v>123</v>
      </c>
      <c r="AV585" s="967" t="s">
        <v>123</v>
      </c>
      <c r="AW585" s="907" t="s">
        <v>123</v>
      </c>
      <c r="AX585" s="907" t="s">
        <v>123</v>
      </c>
      <c r="AY585" s="907" t="s">
        <v>123</v>
      </c>
      <c r="AZ585" s="936" t="s">
        <v>123</v>
      </c>
      <c r="BA585" s="935" t="s">
        <v>123</v>
      </c>
      <c r="BB585" s="1000"/>
      <c r="BC585" s="1001"/>
      <c r="BD585" s="936"/>
      <c r="BE585" s="907"/>
      <c r="BF585" s="1002" t="str">
        <f>IF($BC585="","",SUMIF(portfolio.!$A$4:$A623,BC585,portfolio.!$AN$4:$AN623))</f>
        <v/>
      </c>
      <c r="BG585" s="936" t="s">
        <v>123</v>
      </c>
      <c r="BH585" s="907" t="s">
        <v>123</v>
      </c>
      <c r="BI585" s="935" t="s">
        <v>123</v>
      </c>
      <c r="BJ585" s="1003"/>
      <c r="BK585" s="907" t="s">
        <v>123</v>
      </c>
      <c r="BL585" s="907" t="s">
        <v>123</v>
      </c>
      <c r="BM585" s="907" t="s">
        <v>123</v>
      </c>
      <c r="BN585" s="1004" t="s">
        <v>123</v>
      </c>
      <c r="BO585" s="907" t="str">
        <f t="shared" si="6"/>
        <v/>
      </c>
      <c r="BP585" s="907" t="str">
        <f t="shared" si="7"/>
        <v/>
      </c>
      <c r="BQ585" s="907" t="str">
        <f t="shared" si="8"/>
        <v/>
      </c>
      <c r="BR585" s="1004" t="str">
        <f t="shared" si="9"/>
        <v/>
      </c>
      <c r="BS585" s="1005" t="str">
        <f t="shared" si="10"/>
        <v/>
      </c>
      <c r="BT585" s="1006" t="s">
        <v>123</v>
      </c>
      <c r="BU585" s="1002" t="s">
        <v>123</v>
      </c>
      <c r="BV585" s="1006" t="s">
        <v>123</v>
      </c>
      <c r="BW585" s="1007"/>
    </row>
    <row r="586">
      <c r="A586" s="624">
        <v>563.0</v>
      </c>
      <c r="B586" s="1008"/>
      <c r="C586" s="989"/>
      <c r="D586" s="851"/>
      <c r="E586" s="990"/>
      <c r="F586" s="991"/>
      <c r="G586" s="991"/>
      <c r="H586" s="992"/>
      <c r="I586" s="993"/>
      <c r="J586" s="993"/>
      <c r="K586" s="993"/>
      <c r="L586" s="993"/>
      <c r="M586" s="993"/>
      <c r="N586" s="993"/>
      <c r="O586" s="993"/>
      <c r="P586" s="993"/>
      <c r="Q586" s="993"/>
      <c r="R586" s="993"/>
      <c r="S586" s="936"/>
      <c r="T586" s="998"/>
      <c r="U586" s="935"/>
      <c r="V586" s="935"/>
      <c r="W586" s="949" t="str">
        <f>IF(AND($S$20,NOT($U$20)),IF($V586:$V623="","",SUMIF(portfolio.!$A$4:$A623,V586,portfolio.!$AN$4:$AN623)),"")</f>
        <v/>
      </c>
      <c r="X586" s="998"/>
      <c r="Y586" s="936"/>
      <c r="Z586" s="936" t="s">
        <v>123</v>
      </c>
      <c r="AA586" s="936" t="s">
        <v>123</v>
      </c>
      <c r="AB586" s="936" t="s">
        <v>123</v>
      </c>
      <c r="AC586" s="907" t="s">
        <v>123</v>
      </c>
      <c r="AD586" s="999"/>
      <c r="AE586" s="936"/>
      <c r="AF586" s="936"/>
      <c r="AG586" s="936"/>
      <c r="AH586" s="936"/>
      <c r="AI586" s="999"/>
      <c r="AJ586" s="935"/>
      <c r="AK586" s="966"/>
      <c r="AL586" s="949"/>
      <c r="AM586" s="949" t="s">
        <v>123</v>
      </c>
      <c r="AN586" s="949"/>
      <c r="AO586" s="999"/>
      <c r="AP586" s="936"/>
      <c r="AQ586" s="987"/>
      <c r="AR586" s="907"/>
      <c r="AS586" s="907"/>
      <c r="AT586" s="967" t="s">
        <v>123</v>
      </c>
      <c r="AU586" s="967" t="s">
        <v>123</v>
      </c>
      <c r="AV586" s="967" t="s">
        <v>123</v>
      </c>
      <c r="AW586" s="907" t="s">
        <v>123</v>
      </c>
      <c r="AX586" s="907" t="s">
        <v>123</v>
      </c>
      <c r="AY586" s="907" t="s">
        <v>123</v>
      </c>
      <c r="AZ586" s="936" t="s">
        <v>123</v>
      </c>
      <c r="BA586" s="935" t="s">
        <v>123</v>
      </c>
      <c r="BB586" s="1000"/>
      <c r="BC586" s="1001"/>
      <c r="BD586" s="936"/>
      <c r="BE586" s="907"/>
      <c r="BF586" s="1002" t="str">
        <f>IF($BC586="","",SUMIF(portfolio.!$A$4:$A623,BC586,portfolio.!$AN$4:$AN623))</f>
        <v/>
      </c>
      <c r="BG586" s="936" t="s">
        <v>123</v>
      </c>
      <c r="BH586" s="907" t="s">
        <v>123</v>
      </c>
      <c r="BI586" s="935" t="s">
        <v>123</v>
      </c>
      <c r="BJ586" s="1003"/>
      <c r="BK586" s="907" t="s">
        <v>123</v>
      </c>
      <c r="BL586" s="907" t="s">
        <v>123</v>
      </c>
      <c r="BM586" s="907" t="s">
        <v>123</v>
      </c>
      <c r="BN586" s="1004" t="s">
        <v>123</v>
      </c>
      <c r="BO586" s="907" t="str">
        <f t="shared" si="6"/>
        <v/>
      </c>
      <c r="BP586" s="907" t="str">
        <f t="shared" si="7"/>
        <v/>
      </c>
      <c r="BQ586" s="907" t="str">
        <f t="shared" si="8"/>
        <v/>
      </c>
      <c r="BR586" s="1004" t="str">
        <f t="shared" si="9"/>
        <v/>
      </c>
      <c r="BS586" s="1005" t="str">
        <f t="shared" si="10"/>
        <v/>
      </c>
      <c r="BT586" s="1006" t="s">
        <v>123</v>
      </c>
      <c r="BU586" s="1002" t="s">
        <v>123</v>
      </c>
      <c r="BV586" s="1006" t="s">
        <v>123</v>
      </c>
      <c r="BW586" s="1007"/>
    </row>
    <row r="587">
      <c r="A587" s="624">
        <v>564.0</v>
      </c>
      <c r="B587" s="1008"/>
      <c r="C587" s="989"/>
      <c r="D587" s="851"/>
      <c r="E587" s="990"/>
      <c r="F587" s="991"/>
      <c r="G587" s="991"/>
      <c r="H587" s="992"/>
      <c r="I587" s="993"/>
      <c r="J587" s="993"/>
      <c r="K587" s="993"/>
      <c r="L587" s="993"/>
      <c r="M587" s="993"/>
      <c r="N587" s="993"/>
      <c r="O587" s="993"/>
      <c r="P587" s="993"/>
      <c r="Q587" s="993"/>
      <c r="R587" s="993"/>
      <c r="S587" s="936"/>
      <c r="T587" s="998"/>
      <c r="U587" s="935"/>
      <c r="V587" s="935"/>
      <c r="W587" s="949" t="str">
        <f>IF(AND($S$20,NOT($U$20)),IF($V587:$V623="","",SUMIF(portfolio.!$A$4:$A623,V587,portfolio.!$AN$4:$AN623)),"")</f>
        <v/>
      </c>
      <c r="X587" s="998"/>
      <c r="Y587" s="936"/>
      <c r="Z587" s="936" t="s">
        <v>123</v>
      </c>
      <c r="AA587" s="936" t="s">
        <v>123</v>
      </c>
      <c r="AB587" s="936" t="s">
        <v>123</v>
      </c>
      <c r="AC587" s="907" t="s">
        <v>123</v>
      </c>
      <c r="AD587" s="999"/>
      <c r="AE587" s="936"/>
      <c r="AF587" s="936"/>
      <c r="AG587" s="936"/>
      <c r="AH587" s="936"/>
      <c r="AI587" s="999"/>
      <c r="AJ587" s="935"/>
      <c r="AK587" s="966"/>
      <c r="AL587" s="949"/>
      <c r="AM587" s="949" t="s">
        <v>123</v>
      </c>
      <c r="AN587" s="949"/>
      <c r="AO587" s="999"/>
      <c r="AP587" s="936"/>
      <c r="AQ587" s="987"/>
      <c r="AR587" s="907"/>
      <c r="AS587" s="907"/>
      <c r="AT587" s="967" t="s">
        <v>123</v>
      </c>
      <c r="AU587" s="967" t="s">
        <v>123</v>
      </c>
      <c r="AV587" s="967" t="s">
        <v>123</v>
      </c>
      <c r="AW587" s="907" t="s">
        <v>123</v>
      </c>
      <c r="AX587" s="907" t="s">
        <v>123</v>
      </c>
      <c r="AY587" s="907" t="s">
        <v>123</v>
      </c>
      <c r="AZ587" s="936" t="s">
        <v>123</v>
      </c>
      <c r="BA587" s="935" t="s">
        <v>123</v>
      </c>
      <c r="BB587" s="1000"/>
      <c r="BC587" s="1001"/>
      <c r="BD587" s="936"/>
      <c r="BE587" s="907"/>
      <c r="BF587" s="1002" t="str">
        <f>IF($BC587="","",SUMIF(portfolio.!$A$4:$A623,BC587,portfolio.!$AN$4:$AN623))</f>
        <v/>
      </c>
      <c r="BG587" s="936" t="s">
        <v>123</v>
      </c>
      <c r="BH587" s="907" t="s">
        <v>123</v>
      </c>
      <c r="BI587" s="935" t="s">
        <v>123</v>
      </c>
      <c r="BJ587" s="1003"/>
      <c r="BK587" s="907" t="s">
        <v>123</v>
      </c>
      <c r="BL587" s="907" t="s">
        <v>123</v>
      </c>
      <c r="BM587" s="907" t="s">
        <v>123</v>
      </c>
      <c r="BN587" s="1004" t="s">
        <v>123</v>
      </c>
      <c r="BO587" s="907" t="str">
        <f t="shared" si="6"/>
        <v/>
      </c>
      <c r="BP587" s="907" t="str">
        <f t="shared" si="7"/>
        <v/>
      </c>
      <c r="BQ587" s="907" t="str">
        <f t="shared" si="8"/>
        <v/>
      </c>
      <c r="BR587" s="1004" t="str">
        <f t="shared" si="9"/>
        <v/>
      </c>
      <c r="BS587" s="1005" t="str">
        <f t="shared" si="10"/>
        <v/>
      </c>
      <c r="BT587" s="1006" t="s">
        <v>123</v>
      </c>
      <c r="BU587" s="1002" t="s">
        <v>123</v>
      </c>
      <c r="BV587" s="1006" t="s">
        <v>123</v>
      </c>
      <c r="BW587" s="1007"/>
    </row>
    <row r="588">
      <c r="A588" s="624">
        <v>565.0</v>
      </c>
      <c r="B588" s="1008"/>
      <c r="C588" s="989"/>
      <c r="D588" s="851"/>
      <c r="E588" s="990"/>
      <c r="F588" s="991"/>
      <c r="G588" s="991"/>
      <c r="H588" s="992"/>
      <c r="I588" s="993"/>
      <c r="J588" s="993"/>
      <c r="K588" s="993"/>
      <c r="L588" s="993"/>
      <c r="M588" s="993"/>
      <c r="N588" s="993"/>
      <c r="O588" s="993"/>
      <c r="P588" s="993"/>
      <c r="Q588" s="993"/>
      <c r="R588" s="993"/>
      <c r="S588" s="936"/>
      <c r="T588" s="998"/>
      <c r="U588" s="935"/>
      <c r="V588" s="935"/>
      <c r="W588" s="949" t="str">
        <f>IF(AND($S$20,NOT($U$20)),IF($V588:$V623="","",SUMIF(portfolio.!$A$4:$A623,V588,portfolio.!$AN$4:$AN623)),"")</f>
        <v/>
      </c>
      <c r="X588" s="998"/>
      <c r="Y588" s="936"/>
      <c r="Z588" s="936" t="s">
        <v>123</v>
      </c>
      <c r="AA588" s="936" t="s">
        <v>123</v>
      </c>
      <c r="AB588" s="936" t="s">
        <v>123</v>
      </c>
      <c r="AC588" s="907" t="s">
        <v>123</v>
      </c>
      <c r="AD588" s="999"/>
      <c r="AE588" s="936"/>
      <c r="AF588" s="936"/>
      <c r="AG588" s="936"/>
      <c r="AH588" s="936"/>
      <c r="AI588" s="999"/>
      <c r="AJ588" s="935"/>
      <c r="AK588" s="966"/>
      <c r="AL588" s="949"/>
      <c r="AM588" s="949" t="s">
        <v>123</v>
      </c>
      <c r="AN588" s="949"/>
      <c r="AO588" s="999"/>
      <c r="AP588" s="936"/>
      <c r="AQ588" s="987"/>
      <c r="AR588" s="907"/>
      <c r="AS588" s="907"/>
      <c r="AT588" s="967" t="s">
        <v>123</v>
      </c>
      <c r="AU588" s="967" t="s">
        <v>123</v>
      </c>
      <c r="AV588" s="967" t="s">
        <v>123</v>
      </c>
      <c r="AW588" s="907" t="s">
        <v>123</v>
      </c>
      <c r="AX588" s="907" t="s">
        <v>123</v>
      </c>
      <c r="AY588" s="907" t="s">
        <v>123</v>
      </c>
      <c r="AZ588" s="936" t="s">
        <v>123</v>
      </c>
      <c r="BA588" s="935" t="s">
        <v>123</v>
      </c>
      <c r="BB588" s="1000"/>
      <c r="BC588" s="1001"/>
      <c r="BD588" s="936"/>
      <c r="BE588" s="907"/>
      <c r="BF588" s="1002" t="str">
        <f>IF($BC588="","",SUMIF(portfolio.!$A$4:$A623,BC588,portfolio.!$AN$4:$AN623))</f>
        <v/>
      </c>
      <c r="BG588" s="936" t="s">
        <v>123</v>
      </c>
      <c r="BH588" s="907" t="s">
        <v>123</v>
      </c>
      <c r="BI588" s="935" t="s">
        <v>123</v>
      </c>
      <c r="BJ588" s="1003"/>
      <c r="BK588" s="907" t="s">
        <v>123</v>
      </c>
      <c r="BL588" s="907" t="s">
        <v>123</v>
      </c>
      <c r="BM588" s="907" t="s">
        <v>123</v>
      </c>
      <c r="BN588" s="1004" t="s">
        <v>123</v>
      </c>
      <c r="BO588" s="907" t="str">
        <f t="shared" si="6"/>
        <v/>
      </c>
      <c r="BP588" s="907" t="str">
        <f t="shared" si="7"/>
        <v/>
      </c>
      <c r="BQ588" s="907" t="str">
        <f t="shared" si="8"/>
        <v/>
      </c>
      <c r="BR588" s="1004" t="str">
        <f t="shared" si="9"/>
        <v/>
      </c>
      <c r="BS588" s="1005" t="str">
        <f t="shared" si="10"/>
        <v/>
      </c>
      <c r="BT588" s="1006" t="s">
        <v>123</v>
      </c>
      <c r="BU588" s="1002" t="s">
        <v>123</v>
      </c>
      <c r="BV588" s="1006" t="s">
        <v>123</v>
      </c>
      <c r="BW588" s="1007"/>
    </row>
    <row r="589">
      <c r="A589" s="624">
        <v>566.0</v>
      </c>
      <c r="B589" s="1008"/>
      <c r="C589" s="989"/>
      <c r="D589" s="851"/>
      <c r="E589" s="990"/>
      <c r="F589" s="991"/>
      <c r="G589" s="991"/>
      <c r="H589" s="992"/>
      <c r="I589" s="993"/>
      <c r="J589" s="993"/>
      <c r="K589" s="993"/>
      <c r="L589" s="993"/>
      <c r="M589" s="993"/>
      <c r="N589" s="993"/>
      <c r="O589" s="993"/>
      <c r="P589" s="993"/>
      <c r="Q589" s="993"/>
      <c r="R589" s="993"/>
      <c r="S589" s="936"/>
      <c r="T589" s="998"/>
      <c r="U589" s="935"/>
      <c r="V589" s="935"/>
      <c r="W589" s="949" t="str">
        <f>IF(AND($S$20,NOT($U$20)),IF($V589:$V623="","",SUMIF(portfolio.!$A$4:$A623,V589,portfolio.!$AN$4:$AN623)),"")</f>
        <v/>
      </c>
      <c r="X589" s="998"/>
      <c r="Y589" s="936"/>
      <c r="Z589" s="936" t="s">
        <v>123</v>
      </c>
      <c r="AA589" s="936" t="s">
        <v>123</v>
      </c>
      <c r="AB589" s="936" t="s">
        <v>123</v>
      </c>
      <c r="AC589" s="907" t="s">
        <v>123</v>
      </c>
      <c r="AD589" s="999"/>
      <c r="AE589" s="936"/>
      <c r="AF589" s="936"/>
      <c r="AG589" s="936"/>
      <c r="AH589" s="936"/>
      <c r="AI589" s="999"/>
      <c r="AJ589" s="935"/>
      <c r="AK589" s="966"/>
      <c r="AL589" s="949"/>
      <c r="AM589" s="949" t="s">
        <v>123</v>
      </c>
      <c r="AN589" s="949"/>
      <c r="AO589" s="999"/>
      <c r="AP589" s="936"/>
      <c r="AQ589" s="987"/>
      <c r="AR589" s="907"/>
      <c r="AS589" s="907"/>
      <c r="AT589" s="967" t="s">
        <v>123</v>
      </c>
      <c r="AU589" s="967" t="s">
        <v>123</v>
      </c>
      <c r="AV589" s="967" t="s">
        <v>123</v>
      </c>
      <c r="AW589" s="907" t="s">
        <v>123</v>
      </c>
      <c r="AX589" s="907" t="s">
        <v>123</v>
      </c>
      <c r="AY589" s="907" t="s">
        <v>123</v>
      </c>
      <c r="AZ589" s="936" t="s">
        <v>123</v>
      </c>
      <c r="BA589" s="935" t="s">
        <v>123</v>
      </c>
      <c r="BB589" s="1000"/>
      <c r="BC589" s="1001"/>
      <c r="BD589" s="936"/>
      <c r="BE589" s="907"/>
      <c r="BF589" s="1002" t="str">
        <f>IF($BC589="","",SUMIF(portfolio.!$A$4:$A623,BC589,portfolio.!$AN$4:$AN623))</f>
        <v/>
      </c>
      <c r="BG589" s="936" t="s">
        <v>123</v>
      </c>
      <c r="BH589" s="907" t="s">
        <v>123</v>
      </c>
      <c r="BI589" s="935" t="s">
        <v>123</v>
      </c>
      <c r="BJ589" s="1003"/>
      <c r="BK589" s="907" t="s">
        <v>123</v>
      </c>
      <c r="BL589" s="907" t="s">
        <v>123</v>
      </c>
      <c r="BM589" s="907" t="s">
        <v>123</v>
      </c>
      <c r="BN589" s="1004" t="s">
        <v>123</v>
      </c>
      <c r="BO589" s="907" t="str">
        <f t="shared" si="6"/>
        <v/>
      </c>
      <c r="BP589" s="907" t="str">
        <f t="shared" si="7"/>
        <v/>
      </c>
      <c r="BQ589" s="907" t="str">
        <f t="shared" si="8"/>
        <v/>
      </c>
      <c r="BR589" s="1004" t="str">
        <f t="shared" si="9"/>
        <v/>
      </c>
      <c r="BS589" s="1005" t="str">
        <f t="shared" si="10"/>
        <v/>
      </c>
      <c r="BT589" s="1006" t="s">
        <v>123</v>
      </c>
      <c r="BU589" s="1002" t="s">
        <v>123</v>
      </c>
      <c r="BV589" s="1006" t="s">
        <v>123</v>
      </c>
      <c r="BW589" s="1007"/>
    </row>
    <row r="590">
      <c r="A590" s="624">
        <v>567.0</v>
      </c>
      <c r="B590" s="1008"/>
      <c r="C590" s="989"/>
      <c r="D590" s="851"/>
      <c r="E590" s="990"/>
      <c r="F590" s="991"/>
      <c r="G590" s="991"/>
      <c r="H590" s="992"/>
      <c r="I590" s="993"/>
      <c r="J590" s="993"/>
      <c r="K590" s="993"/>
      <c r="L590" s="993"/>
      <c r="M590" s="993"/>
      <c r="N590" s="993"/>
      <c r="O590" s="993"/>
      <c r="P590" s="993"/>
      <c r="Q590" s="993"/>
      <c r="R590" s="993"/>
      <c r="S590" s="936"/>
      <c r="T590" s="998"/>
      <c r="U590" s="935"/>
      <c r="V590" s="935"/>
      <c r="W590" s="949" t="str">
        <f>IF(AND($S$20,NOT($U$20)),IF($V590:$V623="","",SUMIF(portfolio.!$A$4:$A623,V590,portfolio.!$AN$4:$AN623)),"")</f>
        <v/>
      </c>
      <c r="X590" s="998"/>
      <c r="Y590" s="936"/>
      <c r="Z590" s="936" t="s">
        <v>123</v>
      </c>
      <c r="AA590" s="936" t="s">
        <v>123</v>
      </c>
      <c r="AB590" s="936" t="s">
        <v>123</v>
      </c>
      <c r="AC590" s="907" t="s">
        <v>123</v>
      </c>
      <c r="AD590" s="999"/>
      <c r="AE590" s="936"/>
      <c r="AF590" s="936"/>
      <c r="AG590" s="936"/>
      <c r="AH590" s="936"/>
      <c r="AI590" s="999"/>
      <c r="AJ590" s="935"/>
      <c r="AK590" s="966"/>
      <c r="AL590" s="949"/>
      <c r="AM590" s="949" t="s">
        <v>123</v>
      </c>
      <c r="AN590" s="949"/>
      <c r="AO590" s="999"/>
      <c r="AP590" s="936"/>
      <c r="AQ590" s="987"/>
      <c r="AR590" s="907"/>
      <c r="AS590" s="907"/>
      <c r="AT590" s="967" t="s">
        <v>123</v>
      </c>
      <c r="AU590" s="967" t="s">
        <v>123</v>
      </c>
      <c r="AV590" s="967" t="s">
        <v>123</v>
      </c>
      <c r="AW590" s="907" t="s">
        <v>123</v>
      </c>
      <c r="AX590" s="907" t="s">
        <v>123</v>
      </c>
      <c r="AY590" s="907" t="s">
        <v>123</v>
      </c>
      <c r="AZ590" s="936" t="s">
        <v>123</v>
      </c>
      <c r="BA590" s="935" t="s">
        <v>123</v>
      </c>
      <c r="BB590" s="1000"/>
      <c r="BC590" s="1001"/>
      <c r="BD590" s="936"/>
      <c r="BE590" s="907"/>
      <c r="BF590" s="1002" t="str">
        <f>IF($BC590="","",SUMIF(portfolio.!$A$4:$A623,BC590,portfolio.!$AN$4:$AN623))</f>
        <v/>
      </c>
      <c r="BG590" s="936" t="s">
        <v>123</v>
      </c>
      <c r="BH590" s="907" t="s">
        <v>123</v>
      </c>
      <c r="BI590" s="935" t="s">
        <v>123</v>
      </c>
      <c r="BJ590" s="1003"/>
      <c r="BK590" s="907" t="s">
        <v>123</v>
      </c>
      <c r="BL590" s="907" t="s">
        <v>123</v>
      </c>
      <c r="BM590" s="907" t="s">
        <v>123</v>
      </c>
      <c r="BN590" s="1004" t="s">
        <v>123</v>
      </c>
      <c r="BO590" s="907" t="str">
        <f t="shared" si="6"/>
        <v/>
      </c>
      <c r="BP590" s="907" t="str">
        <f t="shared" si="7"/>
        <v/>
      </c>
      <c r="BQ590" s="907" t="str">
        <f t="shared" si="8"/>
        <v/>
      </c>
      <c r="BR590" s="1004" t="str">
        <f t="shared" si="9"/>
        <v/>
      </c>
      <c r="BS590" s="1005" t="str">
        <f t="shared" si="10"/>
        <v/>
      </c>
      <c r="BT590" s="1006" t="s">
        <v>123</v>
      </c>
      <c r="BU590" s="1002" t="s">
        <v>123</v>
      </c>
      <c r="BV590" s="1006" t="s">
        <v>123</v>
      </c>
      <c r="BW590" s="1007"/>
    </row>
    <row r="591">
      <c r="A591" s="624">
        <v>568.0</v>
      </c>
      <c r="B591" s="1008"/>
      <c r="C591" s="989"/>
      <c r="D591" s="851"/>
      <c r="E591" s="990"/>
      <c r="F591" s="991"/>
      <c r="G591" s="991"/>
      <c r="H591" s="992"/>
      <c r="I591" s="993"/>
      <c r="J591" s="993"/>
      <c r="K591" s="993"/>
      <c r="L591" s="993"/>
      <c r="M591" s="993"/>
      <c r="N591" s="993"/>
      <c r="O591" s="993"/>
      <c r="P591" s="993"/>
      <c r="Q591" s="993"/>
      <c r="R591" s="993"/>
      <c r="S591" s="936"/>
      <c r="T591" s="998"/>
      <c r="U591" s="935"/>
      <c r="V591" s="935"/>
      <c r="W591" s="949" t="str">
        <f>IF(AND($S$20,NOT($U$20)),IF($V591:$V623="","",SUMIF(portfolio.!$A$4:$A623,V591,portfolio.!$AN$4:$AN623)),"")</f>
        <v/>
      </c>
      <c r="X591" s="998"/>
      <c r="Y591" s="936"/>
      <c r="Z591" s="936" t="s">
        <v>123</v>
      </c>
      <c r="AA591" s="936" t="s">
        <v>123</v>
      </c>
      <c r="AB591" s="936" t="s">
        <v>123</v>
      </c>
      <c r="AC591" s="907" t="s">
        <v>123</v>
      </c>
      <c r="AD591" s="999"/>
      <c r="AE591" s="936"/>
      <c r="AF591" s="936"/>
      <c r="AG591" s="936"/>
      <c r="AH591" s="936"/>
      <c r="AI591" s="999"/>
      <c r="AJ591" s="935"/>
      <c r="AK591" s="966"/>
      <c r="AL591" s="949"/>
      <c r="AM591" s="949" t="s">
        <v>123</v>
      </c>
      <c r="AN591" s="949"/>
      <c r="AO591" s="999"/>
      <c r="AP591" s="936"/>
      <c r="AQ591" s="987"/>
      <c r="AR591" s="907"/>
      <c r="AS591" s="907"/>
      <c r="AT591" s="967" t="s">
        <v>123</v>
      </c>
      <c r="AU591" s="967" t="s">
        <v>123</v>
      </c>
      <c r="AV591" s="967" t="s">
        <v>123</v>
      </c>
      <c r="AW591" s="907" t="s">
        <v>123</v>
      </c>
      <c r="AX591" s="907" t="s">
        <v>123</v>
      </c>
      <c r="AY591" s="907" t="s">
        <v>123</v>
      </c>
      <c r="AZ591" s="936" t="s">
        <v>123</v>
      </c>
      <c r="BA591" s="935" t="s">
        <v>123</v>
      </c>
      <c r="BB591" s="1000"/>
      <c r="BC591" s="1001"/>
      <c r="BD591" s="936"/>
      <c r="BE591" s="907"/>
      <c r="BF591" s="1002" t="str">
        <f>IF($BC591="","",SUMIF(portfolio.!$A$4:$A623,BC591,portfolio.!$AN$4:$AN623))</f>
        <v/>
      </c>
      <c r="BG591" s="936" t="s">
        <v>123</v>
      </c>
      <c r="BH591" s="907" t="s">
        <v>123</v>
      </c>
      <c r="BI591" s="935" t="s">
        <v>123</v>
      </c>
      <c r="BJ591" s="1003"/>
      <c r="BK591" s="907" t="s">
        <v>123</v>
      </c>
      <c r="BL591" s="907" t="s">
        <v>123</v>
      </c>
      <c r="BM591" s="907" t="s">
        <v>123</v>
      </c>
      <c r="BN591" s="1004" t="s">
        <v>123</v>
      </c>
      <c r="BO591" s="907" t="str">
        <f t="shared" si="6"/>
        <v/>
      </c>
      <c r="BP591" s="907" t="str">
        <f t="shared" si="7"/>
        <v/>
      </c>
      <c r="BQ591" s="907" t="str">
        <f t="shared" si="8"/>
        <v/>
      </c>
      <c r="BR591" s="1004" t="str">
        <f t="shared" si="9"/>
        <v/>
      </c>
      <c r="BS591" s="1005" t="str">
        <f t="shared" si="10"/>
        <v/>
      </c>
      <c r="BT591" s="1006" t="s">
        <v>123</v>
      </c>
      <c r="BU591" s="1002" t="s">
        <v>123</v>
      </c>
      <c r="BV591" s="1006" t="s">
        <v>123</v>
      </c>
      <c r="BW591" s="1007"/>
    </row>
    <row r="592">
      <c r="A592" s="624">
        <v>569.0</v>
      </c>
      <c r="B592" s="1008"/>
      <c r="C592" s="989"/>
      <c r="D592" s="851"/>
      <c r="E592" s="990"/>
      <c r="F592" s="991"/>
      <c r="G592" s="991"/>
      <c r="H592" s="992"/>
      <c r="I592" s="993"/>
      <c r="J592" s="993"/>
      <c r="K592" s="993"/>
      <c r="L592" s="993"/>
      <c r="M592" s="993"/>
      <c r="N592" s="993"/>
      <c r="O592" s="993"/>
      <c r="P592" s="993"/>
      <c r="Q592" s="993"/>
      <c r="R592" s="993"/>
      <c r="S592" s="936"/>
      <c r="T592" s="998"/>
      <c r="U592" s="935"/>
      <c r="V592" s="935"/>
      <c r="W592" s="949" t="str">
        <f>IF(AND($S$20,NOT($U$20)),IF($V592:$V623="","",SUMIF(portfolio.!$A$4:$A623,V592,portfolio.!$AN$4:$AN623)),"")</f>
        <v/>
      </c>
      <c r="X592" s="998"/>
      <c r="Y592" s="936"/>
      <c r="Z592" s="936" t="s">
        <v>123</v>
      </c>
      <c r="AA592" s="936" t="s">
        <v>123</v>
      </c>
      <c r="AB592" s="936" t="s">
        <v>123</v>
      </c>
      <c r="AC592" s="907" t="s">
        <v>123</v>
      </c>
      <c r="AD592" s="999"/>
      <c r="AE592" s="936"/>
      <c r="AF592" s="936"/>
      <c r="AG592" s="936"/>
      <c r="AH592" s="936"/>
      <c r="AI592" s="999"/>
      <c r="AJ592" s="935"/>
      <c r="AK592" s="966"/>
      <c r="AL592" s="949"/>
      <c r="AM592" s="949" t="s">
        <v>123</v>
      </c>
      <c r="AN592" s="949"/>
      <c r="AO592" s="999"/>
      <c r="AP592" s="936"/>
      <c r="AQ592" s="987"/>
      <c r="AR592" s="907"/>
      <c r="AS592" s="907"/>
      <c r="AT592" s="967" t="s">
        <v>123</v>
      </c>
      <c r="AU592" s="967" t="s">
        <v>123</v>
      </c>
      <c r="AV592" s="967" t="s">
        <v>123</v>
      </c>
      <c r="AW592" s="907" t="s">
        <v>123</v>
      </c>
      <c r="AX592" s="907" t="s">
        <v>123</v>
      </c>
      <c r="AY592" s="907" t="s">
        <v>123</v>
      </c>
      <c r="AZ592" s="936" t="s">
        <v>123</v>
      </c>
      <c r="BA592" s="935" t="s">
        <v>123</v>
      </c>
      <c r="BB592" s="1000"/>
      <c r="BC592" s="1001"/>
      <c r="BD592" s="936"/>
      <c r="BE592" s="907"/>
      <c r="BF592" s="1002" t="str">
        <f>IF($BC592="","",SUMIF(portfolio.!$A$4:$A623,BC592,portfolio.!$AN$4:$AN623))</f>
        <v/>
      </c>
      <c r="BG592" s="936" t="s">
        <v>123</v>
      </c>
      <c r="BH592" s="907" t="s">
        <v>123</v>
      </c>
      <c r="BI592" s="935" t="s">
        <v>123</v>
      </c>
      <c r="BJ592" s="1003"/>
      <c r="BK592" s="907" t="s">
        <v>123</v>
      </c>
      <c r="BL592" s="907" t="s">
        <v>123</v>
      </c>
      <c r="BM592" s="907" t="s">
        <v>123</v>
      </c>
      <c r="BN592" s="1004" t="s">
        <v>123</v>
      </c>
      <c r="BO592" s="907" t="str">
        <f t="shared" si="6"/>
        <v/>
      </c>
      <c r="BP592" s="907" t="str">
        <f t="shared" si="7"/>
        <v/>
      </c>
      <c r="BQ592" s="907" t="str">
        <f t="shared" si="8"/>
        <v/>
      </c>
      <c r="BR592" s="1004" t="str">
        <f t="shared" si="9"/>
        <v/>
      </c>
      <c r="BS592" s="1005" t="str">
        <f t="shared" si="10"/>
        <v/>
      </c>
      <c r="BT592" s="1006" t="s">
        <v>123</v>
      </c>
      <c r="BU592" s="1002" t="s">
        <v>123</v>
      </c>
      <c r="BV592" s="1006" t="s">
        <v>123</v>
      </c>
      <c r="BW592" s="1007"/>
    </row>
    <row r="593">
      <c r="A593" s="624">
        <v>570.0</v>
      </c>
      <c r="B593" s="1008"/>
      <c r="C593" s="989"/>
      <c r="D593" s="851"/>
      <c r="E593" s="990"/>
      <c r="F593" s="991"/>
      <c r="G593" s="991"/>
      <c r="H593" s="992"/>
      <c r="I593" s="993"/>
      <c r="J593" s="993"/>
      <c r="K593" s="993"/>
      <c r="L593" s="993"/>
      <c r="M593" s="993"/>
      <c r="N593" s="993"/>
      <c r="O593" s="993"/>
      <c r="P593" s="993"/>
      <c r="Q593" s="993"/>
      <c r="R593" s="993"/>
      <c r="S593" s="936"/>
      <c r="T593" s="998"/>
      <c r="U593" s="935"/>
      <c r="V593" s="935"/>
      <c r="W593" s="949" t="str">
        <f>IF(AND($S$20,NOT($U$20)),IF($V593:$V623="","",SUMIF(portfolio.!$A$4:$A623,V593,portfolio.!$AN$4:$AN623)),"")</f>
        <v/>
      </c>
      <c r="X593" s="998"/>
      <c r="Y593" s="936"/>
      <c r="Z593" s="936" t="s">
        <v>123</v>
      </c>
      <c r="AA593" s="936" t="s">
        <v>123</v>
      </c>
      <c r="AB593" s="936" t="s">
        <v>123</v>
      </c>
      <c r="AC593" s="907" t="s">
        <v>123</v>
      </c>
      <c r="AD593" s="999"/>
      <c r="AE593" s="936"/>
      <c r="AF593" s="936"/>
      <c r="AG593" s="936"/>
      <c r="AH593" s="936"/>
      <c r="AI593" s="999"/>
      <c r="AJ593" s="935"/>
      <c r="AK593" s="966"/>
      <c r="AL593" s="949"/>
      <c r="AM593" s="949" t="s">
        <v>123</v>
      </c>
      <c r="AN593" s="949"/>
      <c r="AO593" s="999"/>
      <c r="AP593" s="936"/>
      <c r="AQ593" s="987"/>
      <c r="AR593" s="907"/>
      <c r="AS593" s="907"/>
      <c r="AT593" s="967" t="s">
        <v>123</v>
      </c>
      <c r="AU593" s="967" t="s">
        <v>123</v>
      </c>
      <c r="AV593" s="967" t="s">
        <v>123</v>
      </c>
      <c r="AW593" s="907" t="s">
        <v>123</v>
      </c>
      <c r="AX593" s="907" t="s">
        <v>123</v>
      </c>
      <c r="AY593" s="907" t="s">
        <v>123</v>
      </c>
      <c r="AZ593" s="936" t="s">
        <v>123</v>
      </c>
      <c r="BA593" s="935" t="s">
        <v>123</v>
      </c>
      <c r="BB593" s="1000"/>
      <c r="BC593" s="1001"/>
      <c r="BD593" s="936"/>
      <c r="BE593" s="907"/>
      <c r="BF593" s="1002" t="str">
        <f>IF($BC593="","",SUMIF(portfolio.!$A$4:$A623,BC593,portfolio.!$AN$4:$AN623))</f>
        <v/>
      </c>
      <c r="BG593" s="936" t="s">
        <v>123</v>
      </c>
      <c r="BH593" s="907" t="s">
        <v>123</v>
      </c>
      <c r="BI593" s="935" t="s">
        <v>123</v>
      </c>
      <c r="BJ593" s="1003"/>
      <c r="BK593" s="907" t="s">
        <v>123</v>
      </c>
      <c r="BL593" s="907" t="s">
        <v>123</v>
      </c>
      <c r="BM593" s="907" t="s">
        <v>123</v>
      </c>
      <c r="BN593" s="1004" t="s">
        <v>123</v>
      </c>
      <c r="BO593" s="907" t="str">
        <f t="shared" si="6"/>
        <v/>
      </c>
      <c r="BP593" s="907" t="str">
        <f t="shared" si="7"/>
        <v/>
      </c>
      <c r="BQ593" s="907" t="str">
        <f t="shared" si="8"/>
        <v/>
      </c>
      <c r="BR593" s="1004" t="str">
        <f t="shared" si="9"/>
        <v/>
      </c>
      <c r="BS593" s="1005" t="str">
        <f t="shared" si="10"/>
        <v/>
      </c>
      <c r="BT593" s="1006" t="s">
        <v>123</v>
      </c>
      <c r="BU593" s="1002" t="s">
        <v>123</v>
      </c>
      <c r="BV593" s="1006" t="s">
        <v>123</v>
      </c>
      <c r="BW593" s="1007"/>
    </row>
    <row r="594">
      <c r="A594" s="624">
        <v>571.0</v>
      </c>
      <c r="B594" s="1008"/>
      <c r="C594" s="989"/>
      <c r="D594" s="851"/>
      <c r="E594" s="990"/>
      <c r="F594" s="991"/>
      <c r="G594" s="991"/>
      <c r="H594" s="992"/>
      <c r="I594" s="993"/>
      <c r="J594" s="993"/>
      <c r="K594" s="993"/>
      <c r="L594" s="993"/>
      <c r="M594" s="993"/>
      <c r="N594" s="993"/>
      <c r="O594" s="993"/>
      <c r="P594" s="993"/>
      <c r="Q594" s="993"/>
      <c r="R594" s="993"/>
      <c r="S594" s="936"/>
      <c r="T594" s="998"/>
      <c r="U594" s="935"/>
      <c r="V594" s="935"/>
      <c r="W594" s="949" t="str">
        <f>IF(AND($S$20,NOT($U$20)),IF($V594:$V623="","",SUMIF(portfolio.!$A$4:$A623,V594,portfolio.!$AN$4:$AN623)),"")</f>
        <v/>
      </c>
      <c r="X594" s="998"/>
      <c r="Y594" s="936"/>
      <c r="Z594" s="936" t="s">
        <v>123</v>
      </c>
      <c r="AA594" s="936" t="s">
        <v>123</v>
      </c>
      <c r="AB594" s="936" t="s">
        <v>123</v>
      </c>
      <c r="AC594" s="907" t="s">
        <v>123</v>
      </c>
      <c r="AD594" s="999"/>
      <c r="AE594" s="936"/>
      <c r="AF594" s="936"/>
      <c r="AG594" s="936"/>
      <c r="AH594" s="936"/>
      <c r="AI594" s="999"/>
      <c r="AJ594" s="935"/>
      <c r="AK594" s="966"/>
      <c r="AL594" s="949"/>
      <c r="AM594" s="949" t="s">
        <v>123</v>
      </c>
      <c r="AN594" s="949"/>
      <c r="AO594" s="999"/>
      <c r="AP594" s="936"/>
      <c r="AQ594" s="987"/>
      <c r="AR594" s="907"/>
      <c r="AS594" s="907"/>
      <c r="AT594" s="967" t="s">
        <v>123</v>
      </c>
      <c r="AU594" s="967" t="s">
        <v>123</v>
      </c>
      <c r="AV594" s="967" t="s">
        <v>123</v>
      </c>
      <c r="AW594" s="907" t="s">
        <v>123</v>
      </c>
      <c r="AX594" s="907" t="s">
        <v>123</v>
      </c>
      <c r="AY594" s="907" t="s">
        <v>123</v>
      </c>
      <c r="AZ594" s="936" t="s">
        <v>123</v>
      </c>
      <c r="BA594" s="935" t="s">
        <v>123</v>
      </c>
      <c r="BB594" s="1000"/>
      <c r="BC594" s="1001"/>
      <c r="BD594" s="936"/>
      <c r="BE594" s="907"/>
      <c r="BF594" s="1002" t="str">
        <f>IF($BC594="","",SUMIF(portfolio.!$A$4:$A623,BC594,portfolio.!$AN$4:$AN623))</f>
        <v/>
      </c>
      <c r="BG594" s="936" t="s">
        <v>123</v>
      </c>
      <c r="BH594" s="907" t="s">
        <v>123</v>
      </c>
      <c r="BI594" s="935" t="s">
        <v>123</v>
      </c>
      <c r="BJ594" s="1003"/>
      <c r="BK594" s="907" t="s">
        <v>123</v>
      </c>
      <c r="BL594" s="907" t="s">
        <v>123</v>
      </c>
      <c r="BM594" s="907" t="s">
        <v>123</v>
      </c>
      <c r="BN594" s="1004" t="s">
        <v>123</v>
      </c>
      <c r="BO594" s="907" t="str">
        <f t="shared" si="6"/>
        <v/>
      </c>
      <c r="BP594" s="907" t="str">
        <f t="shared" si="7"/>
        <v/>
      </c>
      <c r="BQ594" s="907" t="str">
        <f t="shared" si="8"/>
        <v/>
      </c>
      <c r="BR594" s="1004" t="str">
        <f t="shared" si="9"/>
        <v/>
      </c>
      <c r="BS594" s="1005" t="str">
        <f t="shared" si="10"/>
        <v/>
      </c>
      <c r="BT594" s="1006" t="s">
        <v>123</v>
      </c>
      <c r="BU594" s="1002" t="s">
        <v>123</v>
      </c>
      <c r="BV594" s="1006" t="s">
        <v>123</v>
      </c>
      <c r="BW594" s="1007"/>
    </row>
    <row r="595">
      <c r="A595" s="624">
        <v>572.0</v>
      </c>
      <c r="B595" s="1008"/>
      <c r="C595" s="989"/>
      <c r="D595" s="851"/>
      <c r="E595" s="990"/>
      <c r="F595" s="991"/>
      <c r="G595" s="991"/>
      <c r="H595" s="992"/>
      <c r="I595" s="993"/>
      <c r="J595" s="993"/>
      <c r="K595" s="993"/>
      <c r="L595" s="993"/>
      <c r="M595" s="993"/>
      <c r="N595" s="993"/>
      <c r="O595" s="993"/>
      <c r="P595" s="993"/>
      <c r="Q595" s="993"/>
      <c r="R595" s="993"/>
      <c r="S595" s="936"/>
      <c r="T595" s="998"/>
      <c r="U595" s="935"/>
      <c r="V595" s="935"/>
      <c r="W595" s="949" t="str">
        <f>IF(AND($S$20,NOT($U$20)),IF($V595:$V623="","",SUMIF(portfolio.!$A$4:$A623,V595,portfolio.!$AN$4:$AN623)),"")</f>
        <v/>
      </c>
      <c r="X595" s="998"/>
      <c r="Y595" s="936"/>
      <c r="Z595" s="936" t="s">
        <v>123</v>
      </c>
      <c r="AA595" s="936" t="s">
        <v>123</v>
      </c>
      <c r="AB595" s="936" t="s">
        <v>123</v>
      </c>
      <c r="AC595" s="907" t="s">
        <v>123</v>
      </c>
      <c r="AD595" s="999"/>
      <c r="AE595" s="936"/>
      <c r="AF595" s="936"/>
      <c r="AG595" s="936"/>
      <c r="AH595" s="936"/>
      <c r="AI595" s="999"/>
      <c r="AJ595" s="935"/>
      <c r="AK595" s="966"/>
      <c r="AL595" s="949"/>
      <c r="AM595" s="949" t="s">
        <v>123</v>
      </c>
      <c r="AN595" s="949"/>
      <c r="AO595" s="999"/>
      <c r="AP595" s="936"/>
      <c r="AQ595" s="987"/>
      <c r="AR595" s="907"/>
      <c r="AS595" s="907"/>
      <c r="AT595" s="967" t="s">
        <v>123</v>
      </c>
      <c r="AU595" s="967" t="s">
        <v>123</v>
      </c>
      <c r="AV595" s="967" t="s">
        <v>123</v>
      </c>
      <c r="AW595" s="907" t="s">
        <v>123</v>
      </c>
      <c r="AX595" s="907" t="s">
        <v>123</v>
      </c>
      <c r="AY595" s="907" t="s">
        <v>123</v>
      </c>
      <c r="AZ595" s="936" t="s">
        <v>123</v>
      </c>
      <c r="BA595" s="935" t="s">
        <v>123</v>
      </c>
      <c r="BB595" s="1000"/>
      <c r="BC595" s="1001"/>
      <c r="BD595" s="936"/>
      <c r="BE595" s="907"/>
      <c r="BF595" s="1002" t="str">
        <f>IF($BC595="","",SUMIF(portfolio.!$A$4:$A623,BC595,portfolio.!$AN$4:$AN623))</f>
        <v/>
      </c>
      <c r="BG595" s="936" t="s">
        <v>123</v>
      </c>
      <c r="BH595" s="907" t="s">
        <v>123</v>
      </c>
      <c r="BI595" s="935" t="s">
        <v>123</v>
      </c>
      <c r="BJ595" s="1003"/>
      <c r="BK595" s="907" t="s">
        <v>123</v>
      </c>
      <c r="BL595" s="907" t="s">
        <v>123</v>
      </c>
      <c r="BM595" s="907" t="s">
        <v>123</v>
      </c>
      <c r="BN595" s="1004" t="s">
        <v>123</v>
      </c>
      <c r="BO595" s="907" t="str">
        <f t="shared" si="6"/>
        <v/>
      </c>
      <c r="BP595" s="907" t="str">
        <f t="shared" si="7"/>
        <v/>
      </c>
      <c r="BQ595" s="907" t="str">
        <f t="shared" si="8"/>
        <v/>
      </c>
      <c r="BR595" s="1004" t="str">
        <f t="shared" si="9"/>
        <v/>
      </c>
      <c r="BS595" s="1005" t="str">
        <f t="shared" si="10"/>
        <v/>
      </c>
      <c r="BT595" s="1006" t="s">
        <v>123</v>
      </c>
      <c r="BU595" s="1002" t="s">
        <v>123</v>
      </c>
      <c r="BV595" s="1006" t="s">
        <v>123</v>
      </c>
      <c r="BW595" s="1007"/>
    </row>
    <row r="596">
      <c r="A596" s="624">
        <v>573.0</v>
      </c>
      <c r="B596" s="1008"/>
      <c r="C596" s="989"/>
      <c r="D596" s="851"/>
      <c r="E596" s="990"/>
      <c r="F596" s="991"/>
      <c r="G596" s="991"/>
      <c r="H596" s="992"/>
      <c r="I596" s="993"/>
      <c r="J596" s="993"/>
      <c r="K596" s="993"/>
      <c r="L596" s="993"/>
      <c r="M596" s="993"/>
      <c r="N596" s="993"/>
      <c r="O596" s="993"/>
      <c r="P596" s="993"/>
      <c r="Q596" s="993"/>
      <c r="R596" s="993"/>
      <c r="S596" s="936"/>
      <c r="T596" s="998"/>
      <c r="U596" s="935"/>
      <c r="V596" s="935"/>
      <c r="W596" s="949" t="str">
        <f>IF(AND($S$20,NOT($U$20)),IF($V596:$V623="","",SUMIF(portfolio.!$A$4:$A623,V596,portfolio.!$AN$4:$AN623)),"")</f>
        <v/>
      </c>
      <c r="X596" s="998"/>
      <c r="Y596" s="936"/>
      <c r="Z596" s="936" t="s">
        <v>123</v>
      </c>
      <c r="AA596" s="936" t="s">
        <v>123</v>
      </c>
      <c r="AB596" s="936" t="s">
        <v>123</v>
      </c>
      <c r="AC596" s="907" t="s">
        <v>123</v>
      </c>
      <c r="AD596" s="999"/>
      <c r="AE596" s="936"/>
      <c r="AF596" s="936"/>
      <c r="AG596" s="936"/>
      <c r="AH596" s="936"/>
      <c r="AI596" s="999"/>
      <c r="AJ596" s="935"/>
      <c r="AK596" s="966"/>
      <c r="AL596" s="949"/>
      <c r="AM596" s="949" t="s">
        <v>123</v>
      </c>
      <c r="AN596" s="949"/>
      <c r="AO596" s="999"/>
      <c r="AP596" s="936"/>
      <c r="AQ596" s="987"/>
      <c r="AR596" s="907"/>
      <c r="AS596" s="907"/>
      <c r="AT596" s="967" t="s">
        <v>123</v>
      </c>
      <c r="AU596" s="967" t="s">
        <v>123</v>
      </c>
      <c r="AV596" s="967" t="s">
        <v>123</v>
      </c>
      <c r="AW596" s="907" t="s">
        <v>123</v>
      </c>
      <c r="AX596" s="907" t="s">
        <v>123</v>
      </c>
      <c r="AY596" s="907" t="s">
        <v>123</v>
      </c>
      <c r="AZ596" s="936" t="s">
        <v>123</v>
      </c>
      <c r="BA596" s="935" t="s">
        <v>123</v>
      </c>
      <c r="BB596" s="1000"/>
      <c r="BC596" s="1001"/>
      <c r="BD596" s="936"/>
      <c r="BE596" s="907"/>
      <c r="BF596" s="1002" t="str">
        <f>IF($BC596="","",SUMIF(portfolio.!$A$4:$A623,BC596,portfolio.!$AN$4:$AN623))</f>
        <v/>
      </c>
      <c r="BG596" s="936" t="s">
        <v>123</v>
      </c>
      <c r="BH596" s="907" t="s">
        <v>123</v>
      </c>
      <c r="BI596" s="935" t="s">
        <v>123</v>
      </c>
      <c r="BJ596" s="1003"/>
      <c r="BK596" s="907" t="s">
        <v>123</v>
      </c>
      <c r="BL596" s="907" t="s">
        <v>123</v>
      </c>
      <c r="BM596" s="907" t="s">
        <v>123</v>
      </c>
      <c r="BN596" s="1004" t="s">
        <v>123</v>
      </c>
      <c r="BO596" s="907" t="str">
        <f t="shared" si="6"/>
        <v/>
      </c>
      <c r="BP596" s="907" t="str">
        <f t="shared" si="7"/>
        <v/>
      </c>
      <c r="BQ596" s="907" t="str">
        <f t="shared" si="8"/>
        <v/>
      </c>
      <c r="BR596" s="1004" t="str">
        <f t="shared" si="9"/>
        <v/>
      </c>
      <c r="BS596" s="1005" t="str">
        <f t="shared" si="10"/>
        <v/>
      </c>
      <c r="BT596" s="1006" t="s">
        <v>123</v>
      </c>
      <c r="BU596" s="1002" t="s">
        <v>123</v>
      </c>
      <c r="BV596" s="1006" t="s">
        <v>123</v>
      </c>
      <c r="BW596" s="1007"/>
    </row>
    <row r="597">
      <c r="A597" s="624">
        <v>574.0</v>
      </c>
      <c r="B597" s="1008"/>
      <c r="C597" s="989"/>
      <c r="D597" s="851"/>
      <c r="E597" s="990"/>
      <c r="F597" s="991"/>
      <c r="G597" s="991"/>
      <c r="H597" s="992"/>
      <c r="I597" s="993"/>
      <c r="J597" s="993"/>
      <c r="K597" s="993"/>
      <c r="L597" s="993"/>
      <c r="M597" s="993"/>
      <c r="N597" s="993"/>
      <c r="O597" s="993"/>
      <c r="P597" s="993"/>
      <c r="Q597" s="993"/>
      <c r="R597" s="993"/>
      <c r="S597" s="936"/>
      <c r="T597" s="998"/>
      <c r="U597" s="935"/>
      <c r="V597" s="935"/>
      <c r="W597" s="949" t="str">
        <f>IF(AND($S$20,NOT($U$20)),IF($V597:$V623="","",SUMIF(portfolio.!$A$4:$A623,V597,portfolio.!$AN$4:$AN623)),"")</f>
        <v/>
      </c>
      <c r="X597" s="998"/>
      <c r="Y597" s="936"/>
      <c r="Z597" s="936" t="s">
        <v>123</v>
      </c>
      <c r="AA597" s="936" t="s">
        <v>123</v>
      </c>
      <c r="AB597" s="936" t="s">
        <v>123</v>
      </c>
      <c r="AC597" s="907" t="s">
        <v>123</v>
      </c>
      <c r="AD597" s="999"/>
      <c r="AE597" s="936"/>
      <c r="AF597" s="936"/>
      <c r="AG597" s="936"/>
      <c r="AH597" s="936"/>
      <c r="AI597" s="999"/>
      <c r="AJ597" s="935"/>
      <c r="AK597" s="966"/>
      <c r="AL597" s="949"/>
      <c r="AM597" s="949" t="s">
        <v>123</v>
      </c>
      <c r="AN597" s="949"/>
      <c r="AO597" s="999"/>
      <c r="AP597" s="936"/>
      <c r="AQ597" s="987"/>
      <c r="AR597" s="907"/>
      <c r="AS597" s="907"/>
      <c r="AT597" s="967" t="s">
        <v>123</v>
      </c>
      <c r="AU597" s="967" t="s">
        <v>123</v>
      </c>
      <c r="AV597" s="967" t="s">
        <v>123</v>
      </c>
      <c r="AW597" s="907" t="s">
        <v>123</v>
      </c>
      <c r="AX597" s="907" t="s">
        <v>123</v>
      </c>
      <c r="AY597" s="907" t="s">
        <v>123</v>
      </c>
      <c r="AZ597" s="936" t="s">
        <v>123</v>
      </c>
      <c r="BA597" s="935" t="s">
        <v>123</v>
      </c>
      <c r="BB597" s="1000"/>
      <c r="BC597" s="1001"/>
      <c r="BD597" s="936"/>
      <c r="BE597" s="907"/>
      <c r="BF597" s="1002" t="str">
        <f>IF($BC597="","",SUMIF(portfolio.!$A$4:$A623,BC597,portfolio.!$AN$4:$AN623))</f>
        <v/>
      </c>
      <c r="BG597" s="936" t="s">
        <v>123</v>
      </c>
      <c r="BH597" s="907" t="s">
        <v>123</v>
      </c>
      <c r="BI597" s="935" t="s">
        <v>123</v>
      </c>
      <c r="BJ597" s="1003"/>
      <c r="BK597" s="907" t="s">
        <v>123</v>
      </c>
      <c r="BL597" s="907" t="s">
        <v>123</v>
      </c>
      <c r="BM597" s="907" t="s">
        <v>123</v>
      </c>
      <c r="BN597" s="1004" t="s">
        <v>123</v>
      </c>
      <c r="BO597" s="907" t="str">
        <f t="shared" si="6"/>
        <v/>
      </c>
      <c r="BP597" s="907" t="str">
        <f t="shared" si="7"/>
        <v/>
      </c>
      <c r="BQ597" s="907" t="str">
        <f t="shared" si="8"/>
        <v/>
      </c>
      <c r="BR597" s="1004" t="str">
        <f t="shared" si="9"/>
        <v/>
      </c>
      <c r="BS597" s="1005" t="str">
        <f t="shared" si="10"/>
        <v/>
      </c>
      <c r="BT597" s="1006" t="s">
        <v>123</v>
      </c>
      <c r="BU597" s="1002" t="s">
        <v>123</v>
      </c>
      <c r="BV597" s="1006" t="s">
        <v>123</v>
      </c>
      <c r="BW597" s="1007"/>
    </row>
    <row r="598">
      <c r="A598" s="624">
        <v>575.0</v>
      </c>
      <c r="B598" s="1008"/>
      <c r="C598" s="989"/>
      <c r="D598" s="851"/>
      <c r="E598" s="990"/>
      <c r="F598" s="991"/>
      <c r="G598" s="991"/>
      <c r="H598" s="992"/>
      <c r="I598" s="993"/>
      <c r="J598" s="993"/>
      <c r="K598" s="993"/>
      <c r="L598" s="993"/>
      <c r="M598" s="993"/>
      <c r="N598" s="993"/>
      <c r="O598" s="993"/>
      <c r="P598" s="993"/>
      <c r="Q598" s="993"/>
      <c r="R598" s="993"/>
      <c r="S598" s="936"/>
      <c r="T598" s="998"/>
      <c r="U598" s="935"/>
      <c r="V598" s="935"/>
      <c r="W598" s="949" t="str">
        <f>IF(AND($S$20,NOT($U$20)),IF($V598:$V623="","",SUMIF(portfolio.!$A$4:$A623,V598,portfolio.!$AN$4:$AN623)),"")</f>
        <v/>
      </c>
      <c r="X598" s="998"/>
      <c r="Y598" s="936"/>
      <c r="Z598" s="936" t="s">
        <v>123</v>
      </c>
      <c r="AA598" s="936" t="s">
        <v>123</v>
      </c>
      <c r="AB598" s="936" t="s">
        <v>123</v>
      </c>
      <c r="AC598" s="907" t="s">
        <v>123</v>
      </c>
      <c r="AD598" s="999"/>
      <c r="AE598" s="936"/>
      <c r="AF598" s="936"/>
      <c r="AG598" s="936"/>
      <c r="AH598" s="936"/>
      <c r="AI598" s="999"/>
      <c r="AJ598" s="935"/>
      <c r="AK598" s="966"/>
      <c r="AL598" s="949"/>
      <c r="AM598" s="949" t="s">
        <v>123</v>
      </c>
      <c r="AN598" s="949"/>
      <c r="AO598" s="999"/>
      <c r="AP598" s="936"/>
      <c r="AQ598" s="987"/>
      <c r="AR598" s="907"/>
      <c r="AS598" s="907"/>
      <c r="AT598" s="967" t="s">
        <v>123</v>
      </c>
      <c r="AU598" s="967" t="s">
        <v>123</v>
      </c>
      <c r="AV598" s="967" t="s">
        <v>123</v>
      </c>
      <c r="AW598" s="907" t="s">
        <v>123</v>
      </c>
      <c r="AX598" s="907" t="s">
        <v>123</v>
      </c>
      <c r="AY598" s="907" t="s">
        <v>123</v>
      </c>
      <c r="AZ598" s="936" t="s">
        <v>123</v>
      </c>
      <c r="BA598" s="935" t="s">
        <v>123</v>
      </c>
      <c r="BB598" s="1000"/>
      <c r="BC598" s="1001"/>
      <c r="BD598" s="936"/>
      <c r="BE598" s="907"/>
      <c r="BF598" s="1002" t="str">
        <f>IF($BC598="","",SUMIF(portfolio.!$A$4:$A623,BC598,portfolio.!$AN$4:$AN623))</f>
        <v/>
      </c>
      <c r="BG598" s="936" t="s">
        <v>123</v>
      </c>
      <c r="BH598" s="907" t="s">
        <v>123</v>
      </c>
      <c r="BI598" s="935" t="s">
        <v>123</v>
      </c>
      <c r="BJ598" s="1003"/>
      <c r="BK598" s="907" t="s">
        <v>123</v>
      </c>
      <c r="BL598" s="907" t="s">
        <v>123</v>
      </c>
      <c r="BM598" s="907" t="s">
        <v>123</v>
      </c>
      <c r="BN598" s="1004" t="s">
        <v>123</v>
      </c>
      <c r="BO598" s="907" t="str">
        <f t="shared" si="6"/>
        <v/>
      </c>
      <c r="BP598" s="907" t="str">
        <f t="shared" si="7"/>
        <v/>
      </c>
      <c r="BQ598" s="907" t="str">
        <f t="shared" si="8"/>
        <v/>
      </c>
      <c r="BR598" s="1004" t="str">
        <f t="shared" si="9"/>
        <v/>
      </c>
      <c r="BS598" s="1005" t="str">
        <f t="shared" si="10"/>
        <v/>
      </c>
      <c r="BT598" s="1006" t="s">
        <v>123</v>
      </c>
      <c r="BU598" s="1002" t="s">
        <v>123</v>
      </c>
      <c r="BV598" s="1006" t="s">
        <v>123</v>
      </c>
      <c r="BW598" s="1007"/>
    </row>
    <row r="599">
      <c r="A599" s="624">
        <v>576.0</v>
      </c>
      <c r="B599" s="1008"/>
      <c r="C599" s="989"/>
      <c r="D599" s="851"/>
      <c r="E599" s="990"/>
      <c r="F599" s="991"/>
      <c r="G599" s="991"/>
      <c r="H599" s="992"/>
      <c r="I599" s="993"/>
      <c r="J599" s="993"/>
      <c r="K599" s="993"/>
      <c r="L599" s="993"/>
      <c r="M599" s="993"/>
      <c r="N599" s="993"/>
      <c r="O599" s="993"/>
      <c r="P599" s="993"/>
      <c r="Q599" s="993"/>
      <c r="R599" s="993"/>
      <c r="S599" s="936"/>
      <c r="T599" s="998"/>
      <c r="U599" s="935"/>
      <c r="V599" s="935"/>
      <c r="W599" s="949" t="str">
        <f>IF(AND($S$20,NOT($U$20)),IF($V599:$V623="","",SUMIF(portfolio.!$A$4:$A623,V599,portfolio.!$AN$4:$AN623)),"")</f>
        <v/>
      </c>
      <c r="X599" s="998"/>
      <c r="Y599" s="936"/>
      <c r="Z599" s="936" t="s">
        <v>123</v>
      </c>
      <c r="AA599" s="936" t="s">
        <v>123</v>
      </c>
      <c r="AB599" s="936" t="s">
        <v>123</v>
      </c>
      <c r="AC599" s="907" t="s">
        <v>123</v>
      </c>
      <c r="AD599" s="999"/>
      <c r="AE599" s="936"/>
      <c r="AF599" s="936"/>
      <c r="AG599" s="936"/>
      <c r="AH599" s="936"/>
      <c r="AI599" s="999"/>
      <c r="AJ599" s="935"/>
      <c r="AK599" s="966"/>
      <c r="AL599" s="949"/>
      <c r="AM599" s="949" t="s">
        <v>123</v>
      </c>
      <c r="AN599" s="949"/>
      <c r="AO599" s="999"/>
      <c r="AP599" s="936"/>
      <c r="AQ599" s="987"/>
      <c r="AR599" s="907"/>
      <c r="AS599" s="907"/>
      <c r="AT599" s="967" t="s">
        <v>123</v>
      </c>
      <c r="AU599" s="967" t="s">
        <v>123</v>
      </c>
      <c r="AV599" s="967" t="s">
        <v>123</v>
      </c>
      <c r="AW599" s="907" t="s">
        <v>123</v>
      </c>
      <c r="AX599" s="907" t="s">
        <v>123</v>
      </c>
      <c r="AY599" s="907" t="s">
        <v>123</v>
      </c>
      <c r="AZ599" s="936" t="s">
        <v>123</v>
      </c>
      <c r="BA599" s="935" t="s">
        <v>123</v>
      </c>
      <c r="BB599" s="1000"/>
      <c r="BC599" s="1001"/>
      <c r="BD599" s="936"/>
      <c r="BE599" s="907"/>
      <c r="BF599" s="1002" t="str">
        <f>IF($BC599="","",SUMIF(portfolio.!$A$4:$A623,BC599,portfolio.!$AN$4:$AN623))</f>
        <v/>
      </c>
      <c r="BG599" s="936" t="s">
        <v>123</v>
      </c>
      <c r="BH599" s="907" t="s">
        <v>123</v>
      </c>
      <c r="BI599" s="935" t="s">
        <v>123</v>
      </c>
      <c r="BJ599" s="1003"/>
      <c r="BK599" s="907" t="s">
        <v>123</v>
      </c>
      <c r="BL599" s="907" t="s">
        <v>123</v>
      </c>
      <c r="BM599" s="907" t="s">
        <v>123</v>
      </c>
      <c r="BN599" s="1004" t="s">
        <v>123</v>
      </c>
      <c r="BO599" s="907" t="str">
        <f t="shared" si="6"/>
        <v/>
      </c>
      <c r="BP599" s="907" t="str">
        <f t="shared" si="7"/>
        <v/>
      </c>
      <c r="BQ599" s="907" t="str">
        <f t="shared" si="8"/>
        <v/>
      </c>
      <c r="BR599" s="1004" t="str">
        <f t="shared" si="9"/>
        <v/>
      </c>
      <c r="BS599" s="1005" t="str">
        <f t="shared" si="10"/>
        <v/>
      </c>
      <c r="BT599" s="1006" t="s">
        <v>123</v>
      </c>
      <c r="BU599" s="1002" t="s">
        <v>123</v>
      </c>
      <c r="BV599" s="1006" t="s">
        <v>123</v>
      </c>
      <c r="BW599" s="1007"/>
    </row>
    <row r="600">
      <c r="A600" s="624">
        <v>577.0</v>
      </c>
      <c r="B600" s="1008"/>
      <c r="C600" s="989"/>
      <c r="D600" s="851"/>
      <c r="E600" s="990"/>
      <c r="F600" s="991"/>
      <c r="G600" s="991"/>
      <c r="H600" s="992"/>
      <c r="I600" s="993"/>
      <c r="J600" s="993"/>
      <c r="K600" s="993"/>
      <c r="L600" s="993"/>
      <c r="M600" s="993"/>
      <c r="N600" s="993"/>
      <c r="O600" s="993"/>
      <c r="P600" s="993"/>
      <c r="Q600" s="993"/>
      <c r="R600" s="993"/>
      <c r="S600" s="936"/>
      <c r="T600" s="998"/>
      <c r="U600" s="935"/>
      <c r="V600" s="935"/>
      <c r="W600" s="949" t="str">
        <f>IF(AND($S$20,NOT($U$20)),IF($V600:$V623="","",SUMIF(portfolio.!$A$4:$A623,V600,portfolio.!$AN$4:$AN623)),"")</f>
        <v/>
      </c>
      <c r="X600" s="998"/>
      <c r="Y600" s="936"/>
      <c r="Z600" s="936" t="s">
        <v>123</v>
      </c>
      <c r="AA600" s="936" t="s">
        <v>123</v>
      </c>
      <c r="AB600" s="936" t="s">
        <v>123</v>
      </c>
      <c r="AC600" s="907" t="s">
        <v>123</v>
      </c>
      <c r="AD600" s="999"/>
      <c r="AE600" s="936"/>
      <c r="AF600" s="936"/>
      <c r="AG600" s="936"/>
      <c r="AH600" s="936"/>
      <c r="AI600" s="999"/>
      <c r="AJ600" s="935"/>
      <c r="AK600" s="966"/>
      <c r="AL600" s="949"/>
      <c r="AM600" s="949" t="s">
        <v>123</v>
      </c>
      <c r="AN600" s="949"/>
      <c r="AO600" s="999"/>
      <c r="AP600" s="936"/>
      <c r="AQ600" s="987"/>
      <c r="AR600" s="907"/>
      <c r="AS600" s="907"/>
      <c r="AT600" s="967" t="s">
        <v>123</v>
      </c>
      <c r="AU600" s="967" t="s">
        <v>123</v>
      </c>
      <c r="AV600" s="967" t="s">
        <v>123</v>
      </c>
      <c r="AW600" s="907" t="s">
        <v>123</v>
      </c>
      <c r="AX600" s="907" t="s">
        <v>123</v>
      </c>
      <c r="AY600" s="907" t="s">
        <v>123</v>
      </c>
      <c r="AZ600" s="936" t="s">
        <v>123</v>
      </c>
      <c r="BA600" s="935" t="s">
        <v>123</v>
      </c>
      <c r="BB600" s="1000"/>
      <c r="BC600" s="1001"/>
      <c r="BD600" s="936"/>
      <c r="BE600" s="907"/>
      <c r="BF600" s="1002" t="str">
        <f>IF($BC600="","",SUMIF(portfolio.!$A$4:$A623,BC600,portfolio.!$AN$4:$AN623))</f>
        <v/>
      </c>
      <c r="BG600" s="936" t="s">
        <v>123</v>
      </c>
      <c r="BH600" s="907" t="s">
        <v>123</v>
      </c>
      <c r="BI600" s="935" t="s">
        <v>123</v>
      </c>
      <c r="BJ600" s="1003"/>
      <c r="BK600" s="907" t="s">
        <v>123</v>
      </c>
      <c r="BL600" s="907" t="s">
        <v>123</v>
      </c>
      <c r="BM600" s="907" t="s">
        <v>123</v>
      </c>
      <c r="BN600" s="1004" t="s">
        <v>123</v>
      </c>
      <c r="BO600" s="907" t="str">
        <f t="shared" si="6"/>
        <v/>
      </c>
      <c r="BP600" s="907" t="str">
        <f t="shared" si="7"/>
        <v/>
      </c>
      <c r="BQ600" s="907" t="str">
        <f t="shared" si="8"/>
        <v/>
      </c>
      <c r="BR600" s="1004" t="str">
        <f t="shared" si="9"/>
        <v/>
      </c>
      <c r="BS600" s="1005" t="str">
        <f t="shared" si="10"/>
        <v/>
      </c>
      <c r="BT600" s="1006" t="s">
        <v>123</v>
      </c>
      <c r="BU600" s="1002" t="s">
        <v>123</v>
      </c>
      <c r="BV600" s="1006" t="s">
        <v>123</v>
      </c>
      <c r="BW600" s="1007"/>
    </row>
    <row r="601">
      <c r="A601" s="624">
        <v>578.0</v>
      </c>
      <c r="B601" s="1008"/>
      <c r="C601" s="989"/>
      <c r="D601" s="851"/>
      <c r="E601" s="990"/>
      <c r="F601" s="991"/>
      <c r="G601" s="991"/>
      <c r="H601" s="992"/>
      <c r="I601" s="993"/>
      <c r="J601" s="993"/>
      <c r="K601" s="993"/>
      <c r="L601" s="993"/>
      <c r="M601" s="993"/>
      <c r="N601" s="993"/>
      <c r="O601" s="993"/>
      <c r="P601" s="993"/>
      <c r="Q601" s="993"/>
      <c r="R601" s="993"/>
      <c r="S601" s="936"/>
      <c r="T601" s="998"/>
      <c r="U601" s="935"/>
      <c r="V601" s="935"/>
      <c r="W601" s="949" t="str">
        <f>IF(AND($S$20,NOT($U$20)),IF($V601:$V623="","",SUMIF(portfolio.!$A$4:$A623,V601,portfolio.!$AN$4:$AN623)),"")</f>
        <v/>
      </c>
      <c r="X601" s="998"/>
      <c r="Y601" s="936"/>
      <c r="Z601" s="936" t="s">
        <v>123</v>
      </c>
      <c r="AA601" s="936" t="s">
        <v>123</v>
      </c>
      <c r="AB601" s="936" t="s">
        <v>123</v>
      </c>
      <c r="AC601" s="907" t="s">
        <v>123</v>
      </c>
      <c r="AD601" s="999"/>
      <c r="AE601" s="936"/>
      <c r="AF601" s="936"/>
      <c r="AG601" s="936"/>
      <c r="AH601" s="936"/>
      <c r="AI601" s="999"/>
      <c r="AJ601" s="935"/>
      <c r="AK601" s="966"/>
      <c r="AL601" s="949"/>
      <c r="AM601" s="949" t="s">
        <v>123</v>
      </c>
      <c r="AN601" s="949"/>
      <c r="AO601" s="999"/>
      <c r="AP601" s="936"/>
      <c r="AQ601" s="987"/>
      <c r="AR601" s="907"/>
      <c r="AS601" s="907"/>
      <c r="AT601" s="967" t="s">
        <v>123</v>
      </c>
      <c r="AU601" s="967" t="s">
        <v>123</v>
      </c>
      <c r="AV601" s="967" t="s">
        <v>123</v>
      </c>
      <c r="AW601" s="907" t="s">
        <v>123</v>
      </c>
      <c r="AX601" s="907" t="s">
        <v>123</v>
      </c>
      <c r="AY601" s="907" t="s">
        <v>123</v>
      </c>
      <c r="AZ601" s="936" t="s">
        <v>123</v>
      </c>
      <c r="BA601" s="935" t="s">
        <v>123</v>
      </c>
      <c r="BB601" s="1000"/>
      <c r="BC601" s="1001"/>
      <c r="BD601" s="936"/>
      <c r="BE601" s="907"/>
      <c r="BF601" s="1002" t="str">
        <f>IF($BC601="","",SUMIF(portfolio.!$A$4:$A623,BC601,portfolio.!$AN$4:$AN623))</f>
        <v/>
      </c>
      <c r="BG601" s="936" t="s">
        <v>123</v>
      </c>
      <c r="BH601" s="907" t="s">
        <v>123</v>
      </c>
      <c r="BI601" s="935" t="s">
        <v>123</v>
      </c>
      <c r="BJ601" s="1003"/>
      <c r="BK601" s="907" t="s">
        <v>123</v>
      </c>
      <c r="BL601" s="907" t="s">
        <v>123</v>
      </c>
      <c r="BM601" s="907" t="s">
        <v>123</v>
      </c>
      <c r="BN601" s="1004" t="s">
        <v>123</v>
      </c>
      <c r="BO601" s="907" t="str">
        <f t="shared" si="6"/>
        <v/>
      </c>
      <c r="BP601" s="907" t="str">
        <f t="shared" si="7"/>
        <v/>
      </c>
      <c r="BQ601" s="907" t="str">
        <f t="shared" si="8"/>
        <v/>
      </c>
      <c r="BR601" s="1004" t="str">
        <f t="shared" si="9"/>
        <v/>
      </c>
      <c r="BS601" s="1005" t="str">
        <f t="shared" si="10"/>
        <v/>
      </c>
      <c r="BT601" s="1006" t="s">
        <v>123</v>
      </c>
      <c r="BU601" s="1002" t="s">
        <v>123</v>
      </c>
      <c r="BV601" s="1006" t="s">
        <v>123</v>
      </c>
      <c r="BW601" s="1007"/>
    </row>
    <row r="602">
      <c r="A602" s="624">
        <v>579.0</v>
      </c>
      <c r="B602" s="1008"/>
      <c r="C602" s="989"/>
      <c r="D602" s="851"/>
      <c r="E602" s="990"/>
      <c r="F602" s="991"/>
      <c r="G602" s="991"/>
      <c r="H602" s="992"/>
      <c r="I602" s="993"/>
      <c r="J602" s="993"/>
      <c r="K602" s="993"/>
      <c r="L602" s="993"/>
      <c r="M602" s="993"/>
      <c r="N602" s="993"/>
      <c r="O602" s="993"/>
      <c r="P602" s="993"/>
      <c r="Q602" s="993"/>
      <c r="R602" s="993"/>
      <c r="S602" s="936"/>
      <c r="T602" s="998"/>
      <c r="U602" s="935"/>
      <c r="V602" s="935"/>
      <c r="W602" s="949" t="str">
        <f>IF(AND($S$20,NOT($U$20)),IF($V602:$V623="","",SUMIF(portfolio.!$A$4:$A623,V602,portfolio.!$AN$4:$AN623)),"")</f>
        <v/>
      </c>
      <c r="X602" s="998"/>
      <c r="Y602" s="936"/>
      <c r="Z602" s="936" t="s">
        <v>123</v>
      </c>
      <c r="AA602" s="936" t="s">
        <v>123</v>
      </c>
      <c r="AB602" s="936" t="s">
        <v>123</v>
      </c>
      <c r="AC602" s="907" t="s">
        <v>123</v>
      </c>
      <c r="AD602" s="999"/>
      <c r="AE602" s="936"/>
      <c r="AF602" s="936"/>
      <c r="AG602" s="936"/>
      <c r="AH602" s="936"/>
      <c r="AI602" s="999"/>
      <c r="AJ602" s="935"/>
      <c r="AK602" s="966"/>
      <c r="AL602" s="949"/>
      <c r="AM602" s="949" t="s">
        <v>123</v>
      </c>
      <c r="AN602" s="949"/>
      <c r="AO602" s="999"/>
      <c r="AP602" s="936"/>
      <c r="AQ602" s="987"/>
      <c r="AR602" s="907"/>
      <c r="AS602" s="907"/>
      <c r="AT602" s="967" t="s">
        <v>123</v>
      </c>
      <c r="AU602" s="967" t="s">
        <v>123</v>
      </c>
      <c r="AV602" s="967" t="s">
        <v>123</v>
      </c>
      <c r="AW602" s="907" t="s">
        <v>123</v>
      </c>
      <c r="AX602" s="907" t="s">
        <v>123</v>
      </c>
      <c r="AY602" s="907" t="s">
        <v>123</v>
      </c>
      <c r="AZ602" s="936" t="s">
        <v>123</v>
      </c>
      <c r="BA602" s="935" t="s">
        <v>123</v>
      </c>
      <c r="BB602" s="1000"/>
      <c r="BC602" s="1001"/>
      <c r="BD602" s="936"/>
      <c r="BE602" s="907"/>
      <c r="BF602" s="1002" t="str">
        <f>IF($BC602="","",SUMIF(portfolio.!$A$4:$A623,BC602,portfolio.!$AN$4:$AN623))</f>
        <v/>
      </c>
      <c r="BG602" s="936" t="s">
        <v>123</v>
      </c>
      <c r="BH602" s="907" t="s">
        <v>123</v>
      </c>
      <c r="BI602" s="935" t="s">
        <v>123</v>
      </c>
      <c r="BJ602" s="1003"/>
      <c r="BK602" s="907" t="s">
        <v>123</v>
      </c>
      <c r="BL602" s="907" t="s">
        <v>123</v>
      </c>
      <c r="BM602" s="907" t="s">
        <v>123</v>
      </c>
      <c r="BN602" s="1004" t="s">
        <v>123</v>
      </c>
      <c r="BO602" s="907" t="str">
        <f t="shared" si="6"/>
        <v/>
      </c>
      <c r="BP602" s="907" t="str">
        <f t="shared" si="7"/>
        <v/>
      </c>
      <c r="BQ602" s="907" t="str">
        <f t="shared" si="8"/>
        <v/>
      </c>
      <c r="BR602" s="1004" t="str">
        <f t="shared" si="9"/>
        <v/>
      </c>
      <c r="BS602" s="1005" t="str">
        <f t="shared" si="10"/>
        <v/>
      </c>
      <c r="BT602" s="1006" t="s">
        <v>123</v>
      </c>
      <c r="BU602" s="1002" t="s">
        <v>123</v>
      </c>
      <c r="BV602" s="1006" t="s">
        <v>123</v>
      </c>
      <c r="BW602" s="1007"/>
    </row>
    <row r="603">
      <c r="A603" s="624">
        <v>580.0</v>
      </c>
      <c r="B603" s="1008"/>
      <c r="C603" s="989"/>
      <c r="D603" s="851"/>
      <c r="E603" s="990"/>
      <c r="F603" s="991"/>
      <c r="G603" s="991"/>
      <c r="H603" s="992"/>
      <c r="I603" s="993"/>
      <c r="J603" s="993"/>
      <c r="K603" s="993"/>
      <c r="L603" s="993"/>
      <c r="M603" s="993"/>
      <c r="N603" s="993"/>
      <c r="O603" s="993"/>
      <c r="P603" s="993"/>
      <c r="Q603" s="993"/>
      <c r="R603" s="993"/>
      <c r="S603" s="936"/>
      <c r="T603" s="998"/>
      <c r="U603" s="935"/>
      <c r="V603" s="935"/>
      <c r="W603" s="949" t="str">
        <f>IF(AND($S$20,NOT($U$20)),IF($V603:$V623="","",SUMIF(portfolio.!$A$4:$A623,V603,portfolio.!$AN$4:$AN623)),"")</f>
        <v/>
      </c>
      <c r="X603" s="998"/>
      <c r="Y603" s="936"/>
      <c r="Z603" s="936" t="s">
        <v>123</v>
      </c>
      <c r="AA603" s="936" t="s">
        <v>123</v>
      </c>
      <c r="AB603" s="936" t="s">
        <v>123</v>
      </c>
      <c r="AC603" s="907" t="s">
        <v>123</v>
      </c>
      <c r="AD603" s="999"/>
      <c r="AE603" s="936"/>
      <c r="AF603" s="936"/>
      <c r="AG603" s="936"/>
      <c r="AH603" s="936"/>
      <c r="AI603" s="999"/>
      <c r="AJ603" s="935"/>
      <c r="AK603" s="966"/>
      <c r="AL603" s="949"/>
      <c r="AM603" s="949" t="s">
        <v>123</v>
      </c>
      <c r="AN603" s="949"/>
      <c r="AO603" s="999"/>
      <c r="AP603" s="936"/>
      <c r="AQ603" s="987"/>
      <c r="AR603" s="907"/>
      <c r="AS603" s="907"/>
      <c r="AT603" s="967" t="s">
        <v>123</v>
      </c>
      <c r="AU603" s="967" t="s">
        <v>123</v>
      </c>
      <c r="AV603" s="967" t="s">
        <v>123</v>
      </c>
      <c r="AW603" s="907" t="s">
        <v>123</v>
      </c>
      <c r="AX603" s="907" t="s">
        <v>123</v>
      </c>
      <c r="AY603" s="907" t="s">
        <v>123</v>
      </c>
      <c r="AZ603" s="936" t="s">
        <v>123</v>
      </c>
      <c r="BA603" s="935" t="s">
        <v>123</v>
      </c>
      <c r="BB603" s="1000"/>
      <c r="BC603" s="1001"/>
      <c r="BD603" s="936"/>
      <c r="BE603" s="907"/>
      <c r="BF603" s="1002" t="str">
        <f>IF($BC603="","",SUMIF(portfolio.!$A$4:$A623,BC603,portfolio.!$AN$4:$AN623))</f>
        <v/>
      </c>
      <c r="BG603" s="936" t="s">
        <v>123</v>
      </c>
      <c r="BH603" s="907" t="s">
        <v>123</v>
      </c>
      <c r="BI603" s="935" t="s">
        <v>123</v>
      </c>
      <c r="BJ603" s="1003"/>
      <c r="BK603" s="907" t="s">
        <v>123</v>
      </c>
      <c r="BL603" s="907" t="s">
        <v>123</v>
      </c>
      <c r="BM603" s="907" t="s">
        <v>123</v>
      </c>
      <c r="BN603" s="1004" t="s">
        <v>123</v>
      </c>
      <c r="BO603" s="907" t="str">
        <f t="shared" si="6"/>
        <v/>
      </c>
      <c r="BP603" s="907" t="str">
        <f t="shared" si="7"/>
        <v/>
      </c>
      <c r="BQ603" s="907" t="str">
        <f t="shared" si="8"/>
        <v/>
      </c>
      <c r="BR603" s="1004" t="str">
        <f t="shared" si="9"/>
        <v/>
      </c>
      <c r="BS603" s="1005" t="str">
        <f t="shared" si="10"/>
        <v/>
      </c>
      <c r="BT603" s="1006" t="s">
        <v>123</v>
      </c>
      <c r="BU603" s="1002" t="s">
        <v>123</v>
      </c>
      <c r="BV603" s="1006" t="s">
        <v>123</v>
      </c>
      <c r="BW603" s="1007"/>
    </row>
    <row r="604">
      <c r="A604" s="624">
        <v>581.0</v>
      </c>
      <c r="B604" s="1008"/>
      <c r="C604" s="989"/>
      <c r="D604" s="851"/>
      <c r="E604" s="990"/>
      <c r="F604" s="991"/>
      <c r="G604" s="991"/>
      <c r="H604" s="992"/>
      <c r="I604" s="993"/>
      <c r="J604" s="993"/>
      <c r="K604" s="993"/>
      <c r="L604" s="993"/>
      <c r="M604" s="993"/>
      <c r="N604" s="993"/>
      <c r="O604" s="993"/>
      <c r="P604" s="993"/>
      <c r="Q604" s="993"/>
      <c r="R604" s="993"/>
      <c r="S604" s="936"/>
      <c r="T604" s="998"/>
      <c r="U604" s="935"/>
      <c r="V604" s="935"/>
      <c r="W604" s="949" t="str">
        <f>IF(AND($S$20,NOT($U$20)),IF($V604:$V623="","",SUMIF(portfolio.!$A$4:$A623,V604,portfolio.!$AN$4:$AN623)),"")</f>
        <v/>
      </c>
      <c r="X604" s="998"/>
      <c r="Y604" s="936"/>
      <c r="Z604" s="936" t="s">
        <v>123</v>
      </c>
      <c r="AA604" s="936" t="s">
        <v>123</v>
      </c>
      <c r="AB604" s="936" t="s">
        <v>123</v>
      </c>
      <c r="AC604" s="907" t="s">
        <v>123</v>
      </c>
      <c r="AD604" s="999"/>
      <c r="AE604" s="936"/>
      <c r="AF604" s="936"/>
      <c r="AG604" s="936"/>
      <c r="AH604" s="936"/>
      <c r="AI604" s="999"/>
      <c r="AJ604" s="935"/>
      <c r="AK604" s="966"/>
      <c r="AL604" s="949"/>
      <c r="AM604" s="949" t="s">
        <v>123</v>
      </c>
      <c r="AN604" s="949"/>
      <c r="AO604" s="999"/>
      <c r="AP604" s="936"/>
      <c r="AQ604" s="987"/>
      <c r="AR604" s="907"/>
      <c r="AS604" s="907"/>
      <c r="AT604" s="967" t="s">
        <v>123</v>
      </c>
      <c r="AU604" s="967" t="s">
        <v>123</v>
      </c>
      <c r="AV604" s="967" t="s">
        <v>123</v>
      </c>
      <c r="AW604" s="907" t="s">
        <v>123</v>
      </c>
      <c r="AX604" s="907" t="s">
        <v>123</v>
      </c>
      <c r="AY604" s="907" t="s">
        <v>123</v>
      </c>
      <c r="AZ604" s="936" t="s">
        <v>123</v>
      </c>
      <c r="BA604" s="935" t="s">
        <v>123</v>
      </c>
      <c r="BB604" s="1000"/>
      <c r="BC604" s="1001"/>
      <c r="BD604" s="936"/>
      <c r="BE604" s="907"/>
      <c r="BF604" s="1002" t="str">
        <f>IF($BC604="","",SUMIF(portfolio.!$A$4:$A623,BC604,portfolio.!$AN$4:$AN623))</f>
        <v/>
      </c>
      <c r="BG604" s="936" t="s">
        <v>123</v>
      </c>
      <c r="BH604" s="907" t="s">
        <v>123</v>
      </c>
      <c r="BI604" s="935" t="s">
        <v>123</v>
      </c>
      <c r="BJ604" s="1003"/>
      <c r="BK604" s="907" t="s">
        <v>123</v>
      </c>
      <c r="BL604" s="907" t="s">
        <v>123</v>
      </c>
      <c r="BM604" s="907" t="s">
        <v>123</v>
      </c>
      <c r="BN604" s="1004" t="s">
        <v>123</v>
      </c>
      <c r="BO604" s="907" t="str">
        <f t="shared" si="6"/>
        <v/>
      </c>
      <c r="BP604" s="907" t="str">
        <f t="shared" si="7"/>
        <v/>
      </c>
      <c r="BQ604" s="907" t="str">
        <f t="shared" si="8"/>
        <v/>
      </c>
      <c r="BR604" s="1004" t="str">
        <f t="shared" si="9"/>
        <v/>
      </c>
      <c r="BS604" s="1005" t="str">
        <f t="shared" si="10"/>
        <v/>
      </c>
      <c r="BT604" s="1006" t="s">
        <v>123</v>
      </c>
      <c r="BU604" s="1002" t="s">
        <v>123</v>
      </c>
      <c r="BV604" s="1006" t="s">
        <v>123</v>
      </c>
      <c r="BW604" s="1007"/>
    </row>
    <row r="605">
      <c r="A605" s="624">
        <v>582.0</v>
      </c>
      <c r="B605" s="1008"/>
      <c r="C605" s="989"/>
      <c r="D605" s="851"/>
      <c r="E605" s="990"/>
      <c r="F605" s="991"/>
      <c r="G605" s="991"/>
      <c r="H605" s="992"/>
      <c r="I605" s="993"/>
      <c r="J605" s="993"/>
      <c r="K605" s="993"/>
      <c r="L605" s="993"/>
      <c r="M605" s="993"/>
      <c r="N605" s="993"/>
      <c r="O605" s="993"/>
      <c r="P605" s="993"/>
      <c r="Q605" s="993"/>
      <c r="R605" s="993"/>
      <c r="S605" s="936"/>
      <c r="T605" s="998"/>
      <c r="U605" s="935"/>
      <c r="V605" s="935"/>
      <c r="W605" s="949" t="str">
        <f>IF(AND($S$20,NOT($U$20)),IF($V605:$V623="","",SUMIF(portfolio.!$A$4:$A623,V605,portfolio.!$AN$4:$AN623)),"")</f>
        <v/>
      </c>
      <c r="X605" s="998"/>
      <c r="Y605" s="936"/>
      <c r="Z605" s="936" t="s">
        <v>123</v>
      </c>
      <c r="AA605" s="936" t="s">
        <v>123</v>
      </c>
      <c r="AB605" s="936" t="s">
        <v>123</v>
      </c>
      <c r="AC605" s="907" t="s">
        <v>123</v>
      </c>
      <c r="AD605" s="999"/>
      <c r="AE605" s="936"/>
      <c r="AF605" s="936"/>
      <c r="AG605" s="936"/>
      <c r="AH605" s="936"/>
      <c r="AI605" s="999"/>
      <c r="AJ605" s="935"/>
      <c r="AK605" s="966"/>
      <c r="AL605" s="949"/>
      <c r="AM605" s="949" t="s">
        <v>123</v>
      </c>
      <c r="AN605" s="949"/>
      <c r="AO605" s="999"/>
      <c r="AP605" s="936"/>
      <c r="AQ605" s="987"/>
      <c r="AR605" s="907"/>
      <c r="AS605" s="907"/>
      <c r="AT605" s="967" t="s">
        <v>123</v>
      </c>
      <c r="AU605" s="967" t="s">
        <v>123</v>
      </c>
      <c r="AV605" s="967" t="s">
        <v>123</v>
      </c>
      <c r="AW605" s="907" t="s">
        <v>123</v>
      </c>
      <c r="AX605" s="907" t="s">
        <v>123</v>
      </c>
      <c r="AY605" s="907" t="s">
        <v>123</v>
      </c>
      <c r="AZ605" s="936" t="s">
        <v>123</v>
      </c>
      <c r="BA605" s="935" t="s">
        <v>123</v>
      </c>
      <c r="BB605" s="1000"/>
      <c r="BC605" s="1001"/>
      <c r="BD605" s="936"/>
      <c r="BE605" s="907"/>
      <c r="BF605" s="1002" t="str">
        <f>IF($BC605="","",SUMIF(portfolio.!$A$4:$A623,BC605,portfolio.!$AN$4:$AN623))</f>
        <v/>
      </c>
      <c r="BG605" s="936" t="s">
        <v>123</v>
      </c>
      <c r="BH605" s="907" t="s">
        <v>123</v>
      </c>
      <c r="BI605" s="935" t="s">
        <v>123</v>
      </c>
      <c r="BJ605" s="1003"/>
      <c r="BK605" s="907" t="s">
        <v>123</v>
      </c>
      <c r="BL605" s="907" t="s">
        <v>123</v>
      </c>
      <c r="BM605" s="907" t="s">
        <v>123</v>
      </c>
      <c r="BN605" s="1004" t="s">
        <v>123</v>
      </c>
      <c r="BO605" s="907" t="str">
        <f t="shared" si="6"/>
        <v/>
      </c>
      <c r="BP605" s="907" t="str">
        <f t="shared" si="7"/>
        <v/>
      </c>
      <c r="BQ605" s="907" t="str">
        <f t="shared" si="8"/>
        <v/>
      </c>
      <c r="BR605" s="1004" t="str">
        <f t="shared" si="9"/>
        <v/>
      </c>
      <c r="BS605" s="1005" t="str">
        <f t="shared" si="10"/>
        <v/>
      </c>
      <c r="BT605" s="1006" t="s">
        <v>123</v>
      </c>
      <c r="BU605" s="1002" t="s">
        <v>123</v>
      </c>
      <c r="BV605" s="1006" t="s">
        <v>123</v>
      </c>
      <c r="BW605" s="1007"/>
    </row>
    <row r="606">
      <c r="A606" s="624">
        <v>583.0</v>
      </c>
      <c r="B606" s="1008"/>
      <c r="C606" s="989"/>
      <c r="D606" s="851"/>
      <c r="E606" s="990"/>
      <c r="F606" s="991"/>
      <c r="G606" s="991"/>
      <c r="H606" s="992"/>
      <c r="I606" s="993"/>
      <c r="J606" s="993"/>
      <c r="K606" s="993"/>
      <c r="L606" s="993"/>
      <c r="M606" s="993"/>
      <c r="N606" s="993"/>
      <c r="O606" s="993"/>
      <c r="P606" s="993"/>
      <c r="Q606" s="993"/>
      <c r="R606" s="993"/>
      <c r="S606" s="936"/>
      <c r="T606" s="998"/>
      <c r="U606" s="935"/>
      <c r="V606" s="935"/>
      <c r="W606" s="949" t="str">
        <f>IF(AND($S$20,NOT($U$20)),IF($V606:$V623="","",SUMIF(portfolio.!$A$4:$A623,V606,portfolio.!$AN$4:$AN623)),"")</f>
        <v/>
      </c>
      <c r="X606" s="998"/>
      <c r="Y606" s="936"/>
      <c r="Z606" s="936" t="s">
        <v>123</v>
      </c>
      <c r="AA606" s="936" t="s">
        <v>123</v>
      </c>
      <c r="AB606" s="936" t="s">
        <v>123</v>
      </c>
      <c r="AC606" s="907" t="s">
        <v>123</v>
      </c>
      <c r="AD606" s="999"/>
      <c r="AE606" s="936"/>
      <c r="AF606" s="936"/>
      <c r="AG606" s="936"/>
      <c r="AH606" s="936"/>
      <c r="AI606" s="999"/>
      <c r="AJ606" s="935"/>
      <c r="AK606" s="966"/>
      <c r="AL606" s="949"/>
      <c r="AM606" s="949" t="s">
        <v>123</v>
      </c>
      <c r="AN606" s="949"/>
      <c r="AO606" s="999"/>
      <c r="AP606" s="936"/>
      <c r="AQ606" s="987"/>
      <c r="AR606" s="907"/>
      <c r="AS606" s="907"/>
      <c r="AT606" s="967" t="s">
        <v>123</v>
      </c>
      <c r="AU606" s="967" t="s">
        <v>123</v>
      </c>
      <c r="AV606" s="967" t="s">
        <v>123</v>
      </c>
      <c r="AW606" s="907" t="s">
        <v>123</v>
      </c>
      <c r="AX606" s="907" t="s">
        <v>123</v>
      </c>
      <c r="AY606" s="907" t="s">
        <v>123</v>
      </c>
      <c r="AZ606" s="936" t="s">
        <v>123</v>
      </c>
      <c r="BA606" s="935" t="s">
        <v>123</v>
      </c>
      <c r="BB606" s="1000"/>
      <c r="BC606" s="1001"/>
      <c r="BD606" s="936"/>
      <c r="BE606" s="907"/>
      <c r="BF606" s="1002" t="str">
        <f>IF($BC606="","",SUMIF(portfolio.!$A$4:$A623,BC606,portfolio.!$AN$4:$AN623))</f>
        <v/>
      </c>
      <c r="BG606" s="936" t="s">
        <v>123</v>
      </c>
      <c r="BH606" s="907" t="s">
        <v>123</v>
      </c>
      <c r="BI606" s="935" t="s">
        <v>123</v>
      </c>
      <c r="BJ606" s="1003"/>
      <c r="BK606" s="907" t="s">
        <v>123</v>
      </c>
      <c r="BL606" s="907" t="s">
        <v>123</v>
      </c>
      <c r="BM606" s="907" t="s">
        <v>123</v>
      </c>
      <c r="BN606" s="1004" t="s">
        <v>123</v>
      </c>
      <c r="BO606" s="907" t="str">
        <f t="shared" si="6"/>
        <v/>
      </c>
      <c r="BP606" s="907" t="str">
        <f t="shared" si="7"/>
        <v/>
      </c>
      <c r="BQ606" s="907" t="str">
        <f t="shared" si="8"/>
        <v/>
      </c>
      <c r="BR606" s="1004" t="str">
        <f t="shared" si="9"/>
        <v/>
      </c>
      <c r="BS606" s="1005" t="str">
        <f t="shared" si="10"/>
        <v/>
      </c>
      <c r="BT606" s="1006" t="s">
        <v>123</v>
      </c>
      <c r="BU606" s="1002" t="s">
        <v>123</v>
      </c>
      <c r="BV606" s="1006" t="s">
        <v>123</v>
      </c>
      <c r="BW606" s="1007"/>
    </row>
    <row r="607">
      <c r="A607" s="624">
        <v>584.0</v>
      </c>
      <c r="B607" s="1008"/>
      <c r="C607" s="989"/>
      <c r="D607" s="851"/>
      <c r="E607" s="990"/>
      <c r="F607" s="991"/>
      <c r="G607" s="991"/>
      <c r="H607" s="992"/>
      <c r="I607" s="993"/>
      <c r="J607" s="993"/>
      <c r="K607" s="993"/>
      <c r="L607" s="993"/>
      <c r="M607" s="993"/>
      <c r="N607" s="993"/>
      <c r="O607" s="993"/>
      <c r="P607" s="993"/>
      <c r="Q607" s="993"/>
      <c r="R607" s="993"/>
      <c r="S607" s="936"/>
      <c r="T607" s="998"/>
      <c r="U607" s="935"/>
      <c r="V607" s="935"/>
      <c r="W607" s="949" t="str">
        <f>IF(AND($S$20,NOT($U$20)),IF($V607:$V623="","",SUMIF(portfolio.!$A$4:$A623,V607,portfolio.!$AN$4:$AN623)),"")</f>
        <v/>
      </c>
      <c r="X607" s="998"/>
      <c r="Y607" s="936"/>
      <c r="Z607" s="936" t="s">
        <v>123</v>
      </c>
      <c r="AA607" s="936" t="s">
        <v>123</v>
      </c>
      <c r="AB607" s="936" t="s">
        <v>123</v>
      </c>
      <c r="AC607" s="907" t="s">
        <v>123</v>
      </c>
      <c r="AD607" s="999"/>
      <c r="AE607" s="936"/>
      <c r="AF607" s="936"/>
      <c r="AG607" s="936"/>
      <c r="AH607" s="936"/>
      <c r="AI607" s="999"/>
      <c r="AJ607" s="935"/>
      <c r="AK607" s="966"/>
      <c r="AL607" s="949"/>
      <c r="AM607" s="949" t="s">
        <v>123</v>
      </c>
      <c r="AN607" s="949"/>
      <c r="AO607" s="999"/>
      <c r="AP607" s="936"/>
      <c r="AQ607" s="987"/>
      <c r="AR607" s="907"/>
      <c r="AS607" s="907"/>
      <c r="AT607" s="967" t="s">
        <v>123</v>
      </c>
      <c r="AU607" s="967" t="s">
        <v>123</v>
      </c>
      <c r="AV607" s="967" t="s">
        <v>123</v>
      </c>
      <c r="AW607" s="907" t="s">
        <v>123</v>
      </c>
      <c r="AX607" s="907" t="s">
        <v>123</v>
      </c>
      <c r="AY607" s="907" t="s">
        <v>123</v>
      </c>
      <c r="AZ607" s="936" t="s">
        <v>123</v>
      </c>
      <c r="BA607" s="935" t="s">
        <v>123</v>
      </c>
      <c r="BB607" s="1000"/>
      <c r="BC607" s="1001"/>
      <c r="BD607" s="936"/>
      <c r="BE607" s="907"/>
      <c r="BF607" s="1002" t="str">
        <f>IF($BC607="","",SUMIF(portfolio.!$A$4:$A623,BC607,portfolio.!$AN$4:$AN623))</f>
        <v/>
      </c>
      <c r="BG607" s="936" t="s">
        <v>123</v>
      </c>
      <c r="BH607" s="907" t="s">
        <v>123</v>
      </c>
      <c r="BI607" s="935" t="s">
        <v>123</v>
      </c>
      <c r="BJ607" s="1003"/>
      <c r="BK607" s="907" t="s">
        <v>123</v>
      </c>
      <c r="BL607" s="907" t="s">
        <v>123</v>
      </c>
      <c r="BM607" s="907" t="s">
        <v>123</v>
      </c>
      <c r="BN607" s="1004" t="s">
        <v>123</v>
      </c>
      <c r="BO607" s="907" t="str">
        <f t="shared" si="6"/>
        <v/>
      </c>
      <c r="BP607" s="907" t="str">
        <f t="shared" si="7"/>
        <v/>
      </c>
      <c r="BQ607" s="907" t="str">
        <f t="shared" si="8"/>
        <v/>
      </c>
      <c r="BR607" s="1004" t="str">
        <f t="shared" si="9"/>
        <v/>
      </c>
      <c r="BS607" s="1005" t="str">
        <f t="shared" si="10"/>
        <v/>
      </c>
      <c r="BT607" s="1006" t="s">
        <v>123</v>
      </c>
      <c r="BU607" s="1002" t="s">
        <v>123</v>
      </c>
      <c r="BV607" s="1006" t="s">
        <v>123</v>
      </c>
      <c r="BW607" s="1007"/>
    </row>
    <row r="608">
      <c r="A608" s="624">
        <v>585.0</v>
      </c>
      <c r="B608" s="1008"/>
      <c r="C608" s="989"/>
      <c r="D608" s="851"/>
      <c r="E608" s="990"/>
      <c r="F608" s="991"/>
      <c r="G608" s="991"/>
      <c r="H608" s="992"/>
      <c r="I608" s="993"/>
      <c r="J608" s="993"/>
      <c r="K608" s="993"/>
      <c r="L608" s="993"/>
      <c r="M608" s="993"/>
      <c r="N608" s="993"/>
      <c r="O608" s="993"/>
      <c r="P608" s="993"/>
      <c r="Q608" s="993"/>
      <c r="R608" s="993"/>
      <c r="S608" s="936"/>
      <c r="T608" s="998"/>
      <c r="U608" s="935"/>
      <c r="V608" s="935"/>
      <c r="W608" s="949" t="str">
        <f>IF(AND($S$20,NOT($U$20)),IF($V608:$V623="","",SUMIF(portfolio.!$A$4:$A623,V608,portfolio.!$AN$4:$AN623)),"")</f>
        <v/>
      </c>
      <c r="X608" s="998"/>
      <c r="Y608" s="936"/>
      <c r="Z608" s="936" t="s">
        <v>123</v>
      </c>
      <c r="AA608" s="936" t="s">
        <v>123</v>
      </c>
      <c r="AB608" s="936" t="s">
        <v>123</v>
      </c>
      <c r="AC608" s="907" t="s">
        <v>123</v>
      </c>
      <c r="AD608" s="999"/>
      <c r="AE608" s="936"/>
      <c r="AF608" s="936"/>
      <c r="AG608" s="936"/>
      <c r="AH608" s="936"/>
      <c r="AI608" s="999"/>
      <c r="AJ608" s="935"/>
      <c r="AK608" s="966"/>
      <c r="AL608" s="949"/>
      <c r="AM608" s="949" t="s">
        <v>123</v>
      </c>
      <c r="AN608" s="949"/>
      <c r="AO608" s="999"/>
      <c r="AP608" s="936"/>
      <c r="AQ608" s="987"/>
      <c r="AR608" s="907"/>
      <c r="AS608" s="907"/>
      <c r="AT608" s="967" t="s">
        <v>123</v>
      </c>
      <c r="AU608" s="967" t="s">
        <v>123</v>
      </c>
      <c r="AV608" s="967" t="s">
        <v>123</v>
      </c>
      <c r="AW608" s="907" t="s">
        <v>123</v>
      </c>
      <c r="AX608" s="907" t="s">
        <v>123</v>
      </c>
      <c r="AY608" s="907" t="s">
        <v>123</v>
      </c>
      <c r="AZ608" s="936" t="s">
        <v>123</v>
      </c>
      <c r="BA608" s="935" t="s">
        <v>123</v>
      </c>
      <c r="BB608" s="1000"/>
      <c r="BC608" s="1001"/>
      <c r="BD608" s="936"/>
      <c r="BE608" s="907"/>
      <c r="BF608" s="1002" t="str">
        <f>IF($BC608="","",SUMIF(portfolio.!$A$4:$A623,BC608,portfolio.!$AN$4:$AN623))</f>
        <v/>
      </c>
      <c r="BG608" s="936" t="s">
        <v>123</v>
      </c>
      <c r="BH608" s="907" t="s">
        <v>123</v>
      </c>
      <c r="BI608" s="935" t="s">
        <v>123</v>
      </c>
      <c r="BJ608" s="1003"/>
      <c r="BK608" s="907" t="s">
        <v>123</v>
      </c>
      <c r="BL608" s="907" t="s">
        <v>123</v>
      </c>
      <c r="BM608" s="907" t="s">
        <v>123</v>
      </c>
      <c r="BN608" s="1004" t="s">
        <v>123</v>
      </c>
      <c r="BO608" s="907" t="str">
        <f t="shared" si="6"/>
        <v/>
      </c>
      <c r="BP608" s="907" t="str">
        <f t="shared" si="7"/>
        <v/>
      </c>
      <c r="BQ608" s="907" t="str">
        <f t="shared" si="8"/>
        <v/>
      </c>
      <c r="BR608" s="1004" t="str">
        <f t="shared" si="9"/>
        <v/>
      </c>
      <c r="BS608" s="1005" t="str">
        <f t="shared" si="10"/>
        <v/>
      </c>
      <c r="BT608" s="1006" t="s">
        <v>123</v>
      </c>
      <c r="BU608" s="1002" t="s">
        <v>123</v>
      </c>
      <c r="BV608" s="1006" t="s">
        <v>123</v>
      </c>
      <c r="BW608" s="1007"/>
    </row>
    <row r="609">
      <c r="A609" s="624">
        <v>586.0</v>
      </c>
      <c r="B609" s="1008"/>
      <c r="C609" s="989"/>
      <c r="D609" s="851"/>
      <c r="E609" s="990"/>
      <c r="F609" s="991"/>
      <c r="G609" s="991"/>
      <c r="H609" s="992"/>
      <c r="I609" s="993"/>
      <c r="J609" s="993"/>
      <c r="K609" s="993"/>
      <c r="L609" s="993"/>
      <c r="M609" s="993"/>
      <c r="N609" s="993"/>
      <c r="O609" s="993"/>
      <c r="P609" s="993"/>
      <c r="Q609" s="993"/>
      <c r="R609" s="993"/>
      <c r="S609" s="936"/>
      <c r="T609" s="998"/>
      <c r="U609" s="935"/>
      <c r="V609" s="935"/>
      <c r="W609" s="949" t="str">
        <f>IF(AND($S$20,NOT($U$20)),IF($V609:$V623="","",SUMIF(portfolio.!$A$4:$A623,V609,portfolio.!$AN$4:$AN623)),"")</f>
        <v/>
      </c>
      <c r="X609" s="998"/>
      <c r="Y609" s="936"/>
      <c r="Z609" s="936" t="s">
        <v>123</v>
      </c>
      <c r="AA609" s="936" t="s">
        <v>123</v>
      </c>
      <c r="AB609" s="936" t="s">
        <v>123</v>
      </c>
      <c r="AC609" s="907" t="s">
        <v>123</v>
      </c>
      <c r="AD609" s="999"/>
      <c r="AE609" s="936"/>
      <c r="AF609" s="936"/>
      <c r="AG609" s="936"/>
      <c r="AH609" s="936"/>
      <c r="AI609" s="999"/>
      <c r="AJ609" s="935"/>
      <c r="AK609" s="966"/>
      <c r="AL609" s="949"/>
      <c r="AM609" s="949" t="s">
        <v>123</v>
      </c>
      <c r="AN609" s="949"/>
      <c r="AO609" s="999"/>
      <c r="AP609" s="936"/>
      <c r="AQ609" s="987"/>
      <c r="AR609" s="907"/>
      <c r="AS609" s="907"/>
      <c r="AT609" s="967" t="s">
        <v>123</v>
      </c>
      <c r="AU609" s="967" t="s">
        <v>123</v>
      </c>
      <c r="AV609" s="967" t="s">
        <v>123</v>
      </c>
      <c r="AW609" s="907" t="s">
        <v>123</v>
      </c>
      <c r="AX609" s="907" t="s">
        <v>123</v>
      </c>
      <c r="AY609" s="907" t="s">
        <v>123</v>
      </c>
      <c r="AZ609" s="936" t="s">
        <v>123</v>
      </c>
      <c r="BA609" s="935" t="s">
        <v>123</v>
      </c>
      <c r="BB609" s="1000"/>
      <c r="BC609" s="1001"/>
      <c r="BD609" s="936"/>
      <c r="BE609" s="907"/>
      <c r="BF609" s="1002" t="str">
        <f>IF($BC609="","",SUMIF(portfolio.!$A$4:$A623,BC609,portfolio.!$AN$4:$AN623))</f>
        <v/>
      </c>
      <c r="BG609" s="936" t="s">
        <v>123</v>
      </c>
      <c r="BH609" s="907" t="s">
        <v>123</v>
      </c>
      <c r="BI609" s="935" t="s">
        <v>123</v>
      </c>
      <c r="BJ609" s="1003"/>
      <c r="BK609" s="907" t="s">
        <v>123</v>
      </c>
      <c r="BL609" s="907" t="s">
        <v>123</v>
      </c>
      <c r="BM609" s="907" t="s">
        <v>123</v>
      </c>
      <c r="BN609" s="1004" t="s">
        <v>123</v>
      </c>
      <c r="BO609" s="907" t="str">
        <f t="shared" si="6"/>
        <v/>
      </c>
      <c r="BP609" s="907" t="str">
        <f t="shared" si="7"/>
        <v/>
      </c>
      <c r="BQ609" s="907" t="str">
        <f t="shared" si="8"/>
        <v/>
      </c>
      <c r="BR609" s="1004" t="str">
        <f t="shared" si="9"/>
        <v/>
      </c>
      <c r="BS609" s="1005" t="str">
        <f t="shared" si="10"/>
        <v/>
      </c>
      <c r="BT609" s="1006" t="s">
        <v>123</v>
      </c>
      <c r="BU609" s="1002" t="s">
        <v>123</v>
      </c>
      <c r="BV609" s="1006" t="s">
        <v>123</v>
      </c>
      <c r="BW609" s="1007"/>
    </row>
    <row r="610">
      <c r="A610" s="624">
        <v>587.0</v>
      </c>
      <c r="B610" s="1008"/>
      <c r="C610" s="989"/>
      <c r="D610" s="851"/>
      <c r="E610" s="990"/>
      <c r="F610" s="991"/>
      <c r="G610" s="991"/>
      <c r="H610" s="992"/>
      <c r="I610" s="993"/>
      <c r="J610" s="993"/>
      <c r="K610" s="993"/>
      <c r="L610" s="993"/>
      <c r="M610" s="993"/>
      <c r="N610" s="993"/>
      <c r="O610" s="993"/>
      <c r="P610" s="993"/>
      <c r="Q610" s="993"/>
      <c r="R610" s="993"/>
      <c r="S610" s="936"/>
      <c r="T610" s="998"/>
      <c r="U610" s="935"/>
      <c r="V610" s="935"/>
      <c r="W610" s="949" t="str">
        <f>IF(AND($S$20,NOT($U$20)),IF($V610:$V623="","",SUMIF(portfolio.!$A$4:$A623,V610,portfolio.!$AN$4:$AN623)),"")</f>
        <v/>
      </c>
      <c r="X610" s="998"/>
      <c r="Y610" s="936"/>
      <c r="Z610" s="936" t="s">
        <v>123</v>
      </c>
      <c r="AA610" s="936" t="s">
        <v>123</v>
      </c>
      <c r="AB610" s="936" t="s">
        <v>123</v>
      </c>
      <c r="AC610" s="907" t="s">
        <v>123</v>
      </c>
      <c r="AD610" s="999"/>
      <c r="AE610" s="936"/>
      <c r="AF610" s="936"/>
      <c r="AG610" s="936"/>
      <c r="AH610" s="936"/>
      <c r="AI610" s="999"/>
      <c r="AJ610" s="935"/>
      <c r="AK610" s="966"/>
      <c r="AL610" s="949"/>
      <c r="AM610" s="949" t="s">
        <v>123</v>
      </c>
      <c r="AN610" s="949"/>
      <c r="AO610" s="999"/>
      <c r="AP610" s="936"/>
      <c r="AQ610" s="987"/>
      <c r="AR610" s="907"/>
      <c r="AS610" s="907"/>
      <c r="AT610" s="967" t="s">
        <v>123</v>
      </c>
      <c r="AU610" s="967" t="s">
        <v>123</v>
      </c>
      <c r="AV610" s="967" t="s">
        <v>123</v>
      </c>
      <c r="AW610" s="907" t="s">
        <v>123</v>
      </c>
      <c r="AX610" s="907" t="s">
        <v>123</v>
      </c>
      <c r="AY610" s="907" t="s">
        <v>123</v>
      </c>
      <c r="AZ610" s="936" t="s">
        <v>123</v>
      </c>
      <c r="BA610" s="935" t="s">
        <v>123</v>
      </c>
      <c r="BB610" s="1000"/>
      <c r="BC610" s="1001"/>
      <c r="BD610" s="936"/>
      <c r="BE610" s="907"/>
      <c r="BF610" s="1002" t="str">
        <f>IF($BC610="","",SUMIF(portfolio.!$A$4:$A623,BC610,portfolio.!$AN$4:$AN623))</f>
        <v/>
      </c>
      <c r="BG610" s="936" t="s">
        <v>123</v>
      </c>
      <c r="BH610" s="907" t="s">
        <v>123</v>
      </c>
      <c r="BI610" s="935" t="s">
        <v>123</v>
      </c>
      <c r="BJ610" s="1003"/>
      <c r="BK610" s="907" t="s">
        <v>123</v>
      </c>
      <c r="BL610" s="907" t="s">
        <v>123</v>
      </c>
      <c r="BM610" s="907" t="s">
        <v>123</v>
      </c>
      <c r="BN610" s="1004" t="s">
        <v>123</v>
      </c>
      <c r="BO610" s="907" t="str">
        <f t="shared" si="6"/>
        <v/>
      </c>
      <c r="BP610" s="907" t="str">
        <f t="shared" si="7"/>
        <v/>
      </c>
      <c r="BQ610" s="907" t="str">
        <f t="shared" si="8"/>
        <v/>
      </c>
      <c r="BR610" s="1004" t="str">
        <f t="shared" si="9"/>
        <v/>
      </c>
      <c r="BS610" s="1005" t="str">
        <f t="shared" si="10"/>
        <v/>
      </c>
      <c r="BT610" s="1006" t="s">
        <v>123</v>
      </c>
      <c r="BU610" s="1002" t="s">
        <v>123</v>
      </c>
      <c r="BV610" s="1006" t="s">
        <v>123</v>
      </c>
      <c r="BW610" s="1007"/>
    </row>
    <row r="611">
      <c r="A611" s="624">
        <v>588.0</v>
      </c>
      <c r="B611" s="1008"/>
      <c r="C611" s="989"/>
      <c r="D611" s="851"/>
      <c r="E611" s="990"/>
      <c r="F611" s="991"/>
      <c r="G611" s="991"/>
      <c r="H611" s="992"/>
      <c r="I611" s="993"/>
      <c r="J611" s="993"/>
      <c r="K611" s="993"/>
      <c r="L611" s="993"/>
      <c r="M611" s="993"/>
      <c r="N611" s="993"/>
      <c r="O611" s="993"/>
      <c r="P611" s="993"/>
      <c r="Q611" s="993"/>
      <c r="R611" s="993"/>
      <c r="S611" s="936"/>
      <c r="T611" s="998"/>
      <c r="U611" s="935"/>
      <c r="V611" s="935"/>
      <c r="W611" s="949" t="str">
        <f>IF(AND($S$20,NOT($U$20)),IF($V611:$V623="","",SUMIF(portfolio.!$A$4:$A623,V611,portfolio.!$AN$4:$AN623)),"")</f>
        <v/>
      </c>
      <c r="X611" s="998"/>
      <c r="Y611" s="936"/>
      <c r="Z611" s="936" t="s">
        <v>123</v>
      </c>
      <c r="AA611" s="936" t="s">
        <v>123</v>
      </c>
      <c r="AB611" s="936" t="s">
        <v>123</v>
      </c>
      <c r="AC611" s="907" t="s">
        <v>123</v>
      </c>
      <c r="AD611" s="999"/>
      <c r="AE611" s="936"/>
      <c r="AF611" s="936"/>
      <c r="AG611" s="936"/>
      <c r="AH611" s="936"/>
      <c r="AI611" s="999"/>
      <c r="AJ611" s="935"/>
      <c r="AK611" s="966"/>
      <c r="AL611" s="949"/>
      <c r="AM611" s="949" t="s">
        <v>123</v>
      </c>
      <c r="AN611" s="949"/>
      <c r="AO611" s="999"/>
      <c r="AP611" s="936"/>
      <c r="AQ611" s="987"/>
      <c r="AR611" s="907"/>
      <c r="AS611" s="907"/>
      <c r="AT611" s="967" t="s">
        <v>123</v>
      </c>
      <c r="AU611" s="967" t="s">
        <v>123</v>
      </c>
      <c r="AV611" s="967" t="s">
        <v>123</v>
      </c>
      <c r="AW611" s="907" t="s">
        <v>123</v>
      </c>
      <c r="AX611" s="907" t="s">
        <v>123</v>
      </c>
      <c r="AY611" s="907" t="s">
        <v>123</v>
      </c>
      <c r="AZ611" s="936" t="s">
        <v>123</v>
      </c>
      <c r="BA611" s="935" t="s">
        <v>123</v>
      </c>
      <c r="BB611" s="1000"/>
      <c r="BC611" s="1001"/>
      <c r="BD611" s="936"/>
      <c r="BE611" s="907"/>
      <c r="BF611" s="1002" t="str">
        <f>IF($BC611="","",SUMIF(portfolio.!$A$4:$A623,BC611,portfolio.!$AN$4:$AN623))</f>
        <v/>
      </c>
      <c r="BG611" s="936" t="s">
        <v>123</v>
      </c>
      <c r="BH611" s="907" t="s">
        <v>123</v>
      </c>
      <c r="BI611" s="935" t="s">
        <v>123</v>
      </c>
      <c r="BJ611" s="1003"/>
      <c r="BK611" s="907" t="s">
        <v>123</v>
      </c>
      <c r="BL611" s="907" t="s">
        <v>123</v>
      </c>
      <c r="BM611" s="907" t="s">
        <v>123</v>
      </c>
      <c r="BN611" s="1004" t="s">
        <v>123</v>
      </c>
      <c r="BO611" s="907" t="str">
        <f t="shared" si="6"/>
        <v/>
      </c>
      <c r="BP611" s="907" t="str">
        <f t="shared" si="7"/>
        <v/>
      </c>
      <c r="BQ611" s="907" t="str">
        <f t="shared" si="8"/>
        <v/>
      </c>
      <c r="BR611" s="1004" t="str">
        <f t="shared" si="9"/>
        <v/>
      </c>
      <c r="BS611" s="1005" t="str">
        <f t="shared" si="10"/>
        <v/>
      </c>
      <c r="BT611" s="1006" t="s">
        <v>123</v>
      </c>
      <c r="BU611" s="1002" t="s">
        <v>123</v>
      </c>
      <c r="BV611" s="1006" t="s">
        <v>123</v>
      </c>
      <c r="BW611" s="1007"/>
    </row>
    <row r="612">
      <c r="A612" s="624">
        <v>589.0</v>
      </c>
      <c r="B612" s="1008"/>
      <c r="C612" s="989"/>
      <c r="D612" s="851"/>
      <c r="E612" s="990"/>
      <c r="F612" s="991"/>
      <c r="G612" s="991"/>
      <c r="H612" s="992"/>
      <c r="I612" s="993"/>
      <c r="J612" s="993"/>
      <c r="K612" s="993"/>
      <c r="L612" s="993"/>
      <c r="M612" s="993"/>
      <c r="N612" s="993"/>
      <c r="O612" s="993"/>
      <c r="P612" s="993"/>
      <c r="Q612" s="993"/>
      <c r="R612" s="993"/>
      <c r="S612" s="936"/>
      <c r="T612" s="998"/>
      <c r="U612" s="935"/>
      <c r="V612" s="935"/>
      <c r="W612" s="949" t="str">
        <f>IF(AND($S$20,NOT($U$20)),IF($V612:$V623="","",SUMIF(portfolio.!$A$4:$A623,V612,portfolio.!$AN$4:$AN623)),"")</f>
        <v/>
      </c>
      <c r="X612" s="998"/>
      <c r="Y612" s="936"/>
      <c r="Z612" s="936" t="s">
        <v>123</v>
      </c>
      <c r="AA612" s="936" t="s">
        <v>123</v>
      </c>
      <c r="AB612" s="936" t="s">
        <v>123</v>
      </c>
      <c r="AC612" s="907" t="s">
        <v>123</v>
      </c>
      <c r="AD612" s="999"/>
      <c r="AE612" s="936"/>
      <c r="AF612" s="936"/>
      <c r="AG612" s="936"/>
      <c r="AH612" s="936"/>
      <c r="AI612" s="999"/>
      <c r="AJ612" s="935"/>
      <c r="AK612" s="966"/>
      <c r="AL612" s="949"/>
      <c r="AM612" s="949" t="s">
        <v>123</v>
      </c>
      <c r="AN612" s="949"/>
      <c r="AO612" s="999"/>
      <c r="AP612" s="936"/>
      <c r="AQ612" s="987"/>
      <c r="AR612" s="907"/>
      <c r="AS612" s="907"/>
      <c r="AT612" s="967" t="s">
        <v>123</v>
      </c>
      <c r="AU612" s="967" t="s">
        <v>123</v>
      </c>
      <c r="AV612" s="967" t="s">
        <v>123</v>
      </c>
      <c r="AW612" s="907" t="s">
        <v>123</v>
      </c>
      <c r="AX612" s="907" t="s">
        <v>123</v>
      </c>
      <c r="AY612" s="907" t="s">
        <v>123</v>
      </c>
      <c r="AZ612" s="936" t="s">
        <v>123</v>
      </c>
      <c r="BA612" s="935" t="s">
        <v>123</v>
      </c>
      <c r="BB612" s="1000"/>
      <c r="BC612" s="1001"/>
      <c r="BD612" s="936"/>
      <c r="BE612" s="907"/>
      <c r="BF612" s="1002" t="str">
        <f>IF($BC612="","",SUMIF(portfolio.!$A$4:$A623,BC612,portfolio.!$AN$4:$AN623))</f>
        <v/>
      </c>
      <c r="BG612" s="936" t="s">
        <v>123</v>
      </c>
      <c r="BH612" s="907" t="s">
        <v>123</v>
      </c>
      <c r="BI612" s="935" t="s">
        <v>123</v>
      </c>
      <c r="BJ612" s="1003"/>
      <c r="BK612" s="907" t="s">
        <v>123</v>
      </c>
      <c r="BL612" s="907" t="s">
        <v>123</v>
      </c>
      <c r="BM612" s="907" t="s">
        <v>123</v>
      </c>
      <c r="BN612" s="1004" t="s">
        <v>123</v>
      </c>
      <c r="BO612" s="907" t="str">
        <f t="shared" si="6"/>
        <v/>
      </c>
      <c r="BP612" s="907" t="str">
        <f t="shared" si="7"/>
        <v/>
      </c>
      <c r="BQ612" s="907" t="str">
        <f t="shared" si="8"/>
        <v/>
      </c>
      <c r="BR612" s="1004" t="str">
        <f t="shared" si="9"/>
        <v/>
      </c>
      <c r="BS612" s="1005" t="str">
        <f t="shared" si="10"/>
        <v/>
      </c>
      <c r="BT612" s="1006" t="s">
        <v>123</v>
      </c>
      <c r="BU612" s="1002" t="s">
        <v>123</v>
      </c>
      <c r="BV612" s="1006" t="s">
        <v>123</v>
      </c>
      <c r="BW612" s="1007"/>
    </row>
    <row r="613">
      <c r="A613" s="624">
        <v>590.0</v>
      </c>
      <c r="B613" s="1008"/>
      <c r="C613" s="989"/>
      <c r="D613" s="851"/>
      <c r="E613" s="990"/>
      <c r="F613" s="991"/>
      <c r="G613" s="991"/>
      <c r="H613" s="992"/>
      <c r="I613" s="993"/>
      <c r="J613" s="993"/>
      <c r="K613" s="993"/>
      <c r="L613" s="993"/>
      <c r="M613" s="993"/>
      <c r="N613" s="993"/>
      <c r="O613" s="993"/>
      <c r="P613" s="993"/>
      <c r="Q613" s="993"/>
      <c r="R613" s="993"/>
      <c r="S613" s="936"/>
      <c r="T613" s="998"/>
      <c r="U613" s="935"/>
      <c r="V613" s="935"/>
      <c r="W613" s="949" t="str">
        <f>IF(AND($S$20,NOT($U$20)),IF($V613:$V623="","",SUMIF(portfolio.!$A$4:$A623,V613,portfolio.!$AN$4:$AN623)),"")</f>
        <v/>
      </c>
      <c r="X613" s="998"/>
      <c r="Y613" s="936"/>
      <c r="Z613" s="936" t="s">
        <v>123</v>
      </c>
      <c r="AA613" s="936" t="s">
        <v>123</v>
      </c>
      <c r="AB613" s="936" t="s">
        <v>123</v>
      </c>
      <c r="AC613" s="907" t="s">
        <v>123</v>
      </c>
      <c r="AD613" s="999"/>
      <c r="AE613" s="936"/>
      <c r="AF613" s="936"/>
      <c r="AG613" s="936"/>
      <c r="AH613" s="936"/>
      <c r="AI613" s="999"/>
      <c r="AJ613" s="935"/>
      <c r="AK613" s="966"/>
      <c r="AL613" s="949"/>
      <c r="AM613" s="949" t="s">
        <v>123</v>
      </c>
      <c r="AN613" s="949"/>
      <c r="AO613" s="999"/>
      <c r="AP613" s="936"/>
      <c r="AQ613" s="987"/>
      <c r="AR613" s="907"/>
      <c r="AS613" s="907"/>
      <c r="AT613" s="967" t="s">
        <v>123</v>
      </c>
      <c r="AU613" s="967" t="s">
        <v>123</v>
      </c>
      <c r="AV613" s="967" t="s">
        <v>123</v>
      </c>
      <c r="AW613" s="907" t="s">
        <v>123</v>
      </c>
      <c r="AX613" s="907" t="s">
        <v>123</v>
      </c>
      <c r="AY613" s="907" t="s">
        <v>123</v>
      </c>
      <c r="AZ613" s="936" t="s">
        <v>123</v>
      </c>
      <c r="BA613" s="935" t="s">
        <v>123</v>
      </c>
      <c r="BB613" s="1000"/>
      <c r="BC613" s="1001"/>
      <c r="BD613" s="936"/>
      <c r="BE613" s="907"/>
      <c r="BF613" s="1002" t="str">
        <f>IF($BC613="","",SUMIF(portfolio.!$A$4:$A623,BC613,portfolio.!$AN$4:$AN623))</f>
        <v/>
      </c>
      <c r="BG613" s="936" t="s">
        <v>123</v>
      </c>
      <c r="BH613" s="907" t="s">
        <v>123</v>
      </c>
      <c r="BI613" s="935" t="s">
        <v>123</v>
      </c>
      <c r="BJ613" s="1003"/>
      <c r="BK613" s="907" t="s">
        <v>123</v>
      </c>
      <c r="BL613" s="907" t="s">
        <v>123</v>
      </c>
      <c r="BM613" s="907" t="s">
        <v>123</v>
      </c>
      <c r="BN613" s="1004" t="s">
        <v>123</v>
      </c>
      <c r="BO613" s="907" t="str">
        <f t="shared" si="6"/>
        <v/>
      </c>
      <c r="BP613" s="907" t="str">
        <f t="shared" si="7"/>
        <v/>
      </c>
      <c r="BQ613" s="907" t="str">
        <f t="shared" si="8"/>
        <v/>
      </c>
      <c r="BR613" s="1004" t="str">
        <f t="shared" si="9"/>
        <v/>
      </c>
      <c r="BS613" s="1005" t="str">
        <f t="shared" si="10"/>
        <v/>
      </c>
      <c r="BT613" s="1006" t="s">
        <v>123</v>
      </c>
      <c r="BU613" s="1002" t="s">
        <v>123</v>
      </c>
      <c r="BV613" s="1006" t="s">
        <v>123</v>
      </c>
      <c r="BW613" s="1007"/>
    </row>
    <row r="614">
      <c r="A614" s="624">
        <v>591.0</v>
      </c>
      <c r="B614" s="1008"/>
      <c r="C614" s="989"/>
      <c r="D614" s="851"/>
      <c r="E614" s="990"/>
      <c r="F614" s="991"/>
      <c r="G614" s="991"/>
      <c r="H614" s="992"/>
      <c r="I614" s="993"/>
      <c r="J614" s="993"/>
      <c r="K614" s="993"/>
      <c r="L614" s="993"/>
      <c r="M614" s="993"/>
      <c r="N614" s="993"/>
      <c r="O614" s="993"/>
      <c r="P614" s="993"/>
      <c r="Q614" s="993"/>
      <c r="R614" s="993"/>
      <c r="S614" s="936"/>
      <c r="T614" s="998"/>
      <c r="U614" s="935"/>
      <c r="V614" s="935"/>
      <c r="W614" s="949" t="str">
        <f>IF(AND($S$20,NOT($U$20)),IF($V614:$V623="","",SUMIF(portfolio.!$A$4:$A623,V614,portfolio.!$AN$4:$AN623)),"")</f>
        <v/>
      </c>
      <c r="X614" s="998"/>
      <c r="Y614" s="936"/>
      <c r="Z614" s="936" t="s">
        <v>123</v>
      </c>
      <c r="AA614" s="936" t="s">
        <v>123</v>
      </c>
      <c r="AB614" s="936" t="s">
        <v>123</v>
      </c>
      <c r="AC614" s="907" t="s">
        <v>123</v>
      </c>
      <c r="AD614" s="999"/>
      <c r="AE614" s="936"/>
      <c r="AF614" s="936"/>
      <c r="AG614" s="936"/>
      <c r="AH614" s="936"/>
      <c r="AI614" s="999"/>
      <c r="AJ614" s="935"/>
      <c r="AK614" s="966"/>
      <c r="AL614" s="949"/>
      <c r="AM614" s="949" t="s">
        <v>123</v>
      </c>
      <c r="AN614" s="949"/>
      <c r="AO614" s="999"/>
      <c r="AP614" s="936"/>
      <c r="AQ614" s="987"/>
      <c r="AR614" s="907"/>
      <c r="AS614" s="907"/>
      <c r="AT614" s="967" t="s">
        <v>123</v>
      </c>
      <c r="AU614" s="967" t="s">
        <v>123</v>
      </c>
      <c r="AV614" s="967" t="s">
        <v>123</v>
      </c>
      <c r="AW614" s="907" t="s">
        <v>123</v>
      </c>
      <c r="AX614" s="907" t="s">
        <v>123</v>
      </c>
      <c r="AY614" s="907" t="s">
        <v>123</v>
      </c>
      <c r="AZ614" s="936" t="s">
        <v>123</v>
      </c>
      <c r="BA614" s="935" t="s">
        <v>123</v>
      </c>
      <c r="BB614" s="1000"/>
      <c r="BC614" s="1001"/>
      <c r="BD614" s="936"/>
      <c r="BE614" s="907"/>
      <c r="BF614" s="1002" t="str">
        <f>IF($BC614="","",SUMIF(portfolio.!$A$4:$A623,BC614,portfolio.!$AN$4:$AN623))</f>
        <v/>
      </c>
      <c r="BG614" s="936" t="s">
        <v>123</v>
      </c>
      <c r="BH614" s="907" t="s">
        <v>123</v>
      </c>
      <c r="BI614" s="935" t="s">
        <v>123</v>
      </c>
      <c r="BJ614" s="1003"/>
      <c r="BK614" s="907" t="s">
        <v>123</v>
      </c>
      <c r="BL614" s="907" t="s">
        <v>123</v>
      </c>
      <c r="BM614" s="907" t="s">
        <v>123</v>
      </c>
      <c r="BN614" s="1004" t="s">
        <v>123</v>
      </c>
      <c r="BO614" s="907" t="str">
        <f t="shared" si="6"/>
        <v/>
      </c>
      <c r="BP614" s="907" t="str">
        <f t="shared" si="7"/>
        <v/>
      </c>
      <c r="BQ614" s="907" t="str">
        <f t="shared" si="8"/>
        <v/>
      </c>
      <c r="BR614" s="1004" t="str">
        <f t="shared" si="9"/>
        <v/>
      </c>
      <c r="BS614" s="1005" t="str">
        <f t="shared" si="10"/>
        <v/>
      </c>
      <c r="BT614" s="1006" t="s">
        <v>123</v>
      </c>
      <c r="BU614" s="1002" t="s">
        <v>123</v>
      </c>
      <c r="BV614" s="1006" t="s">
        <v>123</v>
      </c>
      <c r="BW614" s="1007"/>
    </row>
    <row r="615">
      <c r="A615" s="624">
        <v>592.0</v>
      </c>
      <c r="B615" s="1008"/>
      <c r="C615" s="989"/>
      <c r="D615" s="851"/>
      <c r="E615" s="990"/>
      <c r="F615" s="991"/>
      <c r="G615" s="991"/>
      <c r="H615" s="992"/>
      <c r="I615" s="993"/>
      <c r="J615" s="993"/>
      <c r="K615" s="993"/>
      <c r="L615" s="993"/>
      <c r="M615" s="993"/>
      <c r="N615" s="993"/>
      <c r="O615" s="993"/>
      <c r="P615" s="993"/>
      <c r="Q615" s="993"/>
      <c r="R615" s="993"/>
      <c r="S615" s="936"/>
      <c r="T615" s="998"/>
      <c r="U615" s="935"/>
      <c r="V615" s="935"/>
      <c r="W615" s="949" t="str">
        <f>IF(AND($S$20,NOT($U$20)),IF($V615:$V623="","",SUMIF(portfolio.!$A$4:$A623,V615,portfolio.!$AN$4:$AN623)),"")</f>
        <v/>
      </c>
      <c r="X615" s="998"/>
      <c r="Y615" s="936"/>
      <c r="Z615" s="936" t="s">
        <v>123</v>
      </c>
      <c r="AA615" s="936" t="s">
        <v>123</v>
      </c>
      <c r="AB615" s="936" t="s">
        <v>123</v>
      </c>
      <c r="AC615" s="907" t="s">
        <v>123</v>
      </c>
      <c r="AD615" s="999"/>
      <c r="AE615" s="936"/>
      <c r="AF615" s="936"/>
      <c r="AG615" s="936"/>
      <c r="AH615" s="936"/>
      <c r="AI615" s="999"/>
      <c r="AJ615" s="935"/>
      <c r="AK615" s="966"/>
      <c r="AL615" s="949"/>
      <c r="AM615" s="949" t="s">
        <v>123</v>
      </c>
      <c r="AN615" s="949"/>
      <c r="AO615" s="999"/>
      <c r="AP615" s="936"/>
      <c r="AQ615" s="987"/>
      <c r="AR615" s="907"/>
      <c r="AS615" s="907"/>
      <c r="AT615" s="967" t="s">
        <v>123</v>
      </c>
      <c r="AU615" s="967" t="s">
        <v>123</v>
      </c>
      <c r="AV615" s="967" t="s">
        <v>123</v>
      </c>
      <c r="AW615" s="907" t="s">
        <v>123</v>
      </c>
      <c r="AX615" s="907" t="s">
        <v>123</v>
      </c>
      <c r="AY615" s="907" t="s">
        <v>123</v>
      </c>
      <c r="AZ615" s="936" t="s">
        <v>123</v>
      </c>
      <c r="BA615" s="935" t="s">
        <v>123</v>
      </c>
      <c r="BB615" s="1000"/>
      <c r="BC615" s="1001"/>
      <c r="BD615" s="936"/>
      <c r="BE615" s="907"/>
      <c r="BF615" s="1002" t="str">
        <f>IF($BC615="","",SUMIF(portfolio.!$A$4:$A623,BC615,portfolio.!$AN$4:$AN623))</f>
        <v/>
      </c>
      <c r="BG615" s="936" t="s">
        <v>123</v>
      </c>
      <c r="BH615" s="907" t="s">
        <v>123</v>
      </c>
      <c r="BI615" s="935" t="s">
        <v>123</v>
      </c>
      <c r="BJ615" s="1003"/>
      <c r="BK615" s="907" t="s">
        <v>123</v>
      </c>
      <c r="BL615" s="907" t="s">
        <v>123</v>
      </c>
      <c r="BM615" s="907" t="s">
        <v>123</v>
      </c>
      <c r="BN615" s="1004" t="s">
        <v>123</v>
      </c>
      <c r="BO615" s="907" t="str">
        <f t="shared" si="6"/>
        <v/>
      </c>
      <c r="BP615" s="907" t="str">
        <f t="shared" si="7"/>
        <v/>
      </c>
      <c r="BQ615" s="907" t="str">
        <f t="shared" si="8"/>
        <v/>
      </c>
      <c r="BR615" s="1004" t="str">
        <f t="shared" si="9"/>
        <v/>
      </c>
      <c r="BS615" s="1005" t="str">
        <f t="shared" si="10"/>
        <v/>
      </c>
      <c r="BT615" s="1006" t="s">
        <v>123</v>
      </c>
      <c r="BU615" s="1002" t="s">
        <v>123</v>
      </c>
      <c r="BV615" s="1006" t="s">
        <v>123</v>
      </c>
      <c r="BW615" s="1007"/>
    </row>
    <row r="616">
      <c r="A616" s="624">
        <v>593.0</v>
      </c>
      <c r="B616" s="1008"/>
      <c r="C616" s="989"/>
      <c r="D616" s="851"/>
      <c r="E616" s="990"/>
      <c r="F616" s="991"/>
      <c r="G616" s="991"/>
      <c r="H616" s="992"/>
      <c r="I616" s="993"/>
      <c r="J616" s="993"/>
      <c r="K616" s="993"/>
      <c r="L616" s="993"/>
      <c r="M616" s="993"/>
      <c r="N616" s="993"/>
      <c r="O616" s="993"/>
      <c r="P616" s="993"/>
      <c r="Q616" s="993"/>
      <c r="R616" s="993"/>
      <c r="S616" s="936"/>
      <c r="T616" s="998"/>
      <c r="U616" s="935"/>
      <c r="V616" s="935"/>
      <c r="W616" s="949" t="str">
        <f>IF(AND($S$20,NOT($U$20)),IF($V616:$V623="","",SUMIF(portfolio.!$A$4:$A623,V616,portfolio.!$AN$4:$AN623)),"")</f>
        <v/>
      </c>
      <c r="X616" s="998"/>
      <c r="Y616" s="936"/>
      <c r="Z616" s="936" t="s">
        <v>123</v>
      </c>
      <c r="AA616" s="936" t="s">
        <v>123</v>
      </c>
      <c r="AB616" s="936" t="s">
        <v>123</v>
      </c>
      <c r="AC616" s="907" t="s">
        <v>123</v>
      </c>
      <c r="AD616" s="999"/>
      <c r="AE616" s="936"/>
      <c r="AF616" s="936"/>
      <c r="AG616" s="936"/>
      <c r="AH616" s="936"/>
      <c r="AI616" s="999"/>
      <c r="AJ616" s="935"/>
      <c r="AK616" s="966"/>
      <c r="AL616" s="949"/>
      <c r="AM616" s="949" t="s">
        <v>123</v>
      </c>
      <c r="AN616" s="949"/>
      <c r="AO616" s="999"/>
      <c r="AP616" s="936"/>
      <c r="AQ616" s="987"/>
      <c r="AR616" s="907"/>
      <c r="AS616" s="907"/>
      <c r="AT616" s="967" t="s">
        <v>123</v>
      </c>
      <c r="AU616" s="967" t="s">
        <v>123</v>
      </c>
      <c r="AV616" s="967" t="s">
        <v>123</v>
      </c>
      <c r="AW616" s="907" t="s">
        <v>123</v>
      </c>
      <c r="AX616" s="907" t="s">
        <v>123</v>
      </c>
      <c r="AY616" s="907" t="s">
        <v>123</v>
      </c>
      <c r="AZ616" s="936" t="s">
        <v>123</v>
      </c>
      <c r="BA616" s="935" t="s">
        <v>123</v>
      </c>
      <c r="BB616" s="1000"/>
      <c r="BC616" s="1001"/>
      <c r="BD616" s="936"/>
      <c r="BE616" s="907"/>
      <c r="BF616" s="1002" t="str">
        <f>IF($BC616="","",SUMIF(portfolio.!$A$4:$A623,BC616,portfolio.!$AN$4:$AN623))</f>
        <v/>
      </c>
      <c r="BG616" s="936" t="s">
        <v>123</v>
      </c>
      <c r="BH616" s="907" t="s">
        <v>123</v>
      </c>
      <c r="BI616" s="935" t="s">
        <v>123</v>
      </c>
      <c r="BJ616" s="1003"/>
      <c r="BK616" s="907" t="s">
        <v>123</v>
      </c>
      <c r="BL616" s="907" t="s">
        <v>123</v>
      </c>
      <c r="BM616" s="907" t="s">
        <v>123</v>
      </c>
      <c r="BN616" s="1004" t="s">
        <v>123</v>
      </c>
      <c r="BO616" s="907" t="str">
        <f t="shared" si="6"/>
        <v/>
      </c>
      <c r="BP616" s="907" t="str">
        <f t="shared" si="7"/>
        <v/>
      </c>
      <c r="BQ616" s="907" t="str">
        <f t="shared" si="8"/>
        <v/>
      </c>
      <c r="BR616" s="1004" t="str">
        <f t="shared" si="9"/>
        <v/>
      </c>
      <c r="BS616" s="1005" t="str">
        <f t="shared" si="10"/>
        <v/>
      </c>
      <c r="BT616" s="1006" t="s">
        <v>123</v>
      </c>
      <c r="BU616" s="1002" t="s">
        <v>123</v>
      </c>
      <c r="BV616" s="1006" t="s">
        <v>123</v>
      </c>
      <c r="BW616" s="1007"/>
    </row>
    <row r="617">
      <c r="A617" s="624">
        <v>594.0</v>
      </c>
      <c r="B617" s="1008"/>
      <c r="C617" s="989"/>
      <c r="D617" s="851"/>
      <c r="E617" s="990"/>
      <c r="F617" s="991"/>
      <c r="G617" s="991"/>
      <c r="H617" s="992"/>
      <c r="I617" s="993"/>
      <c r="J617" s="993"/>
      <c r="K617" s="993"/>
      <c r="L617" s="993"/>
      <c r="M617" s="993"/>
      <c r="N617" s="993"/>
      <c r="O617" s="993"/>
      <c r="P617" s="993"/>
      <c r="Q617" s="993"/>
      <c r="R617" s="993"/>
      <c r="S617" s="936"/>
      <c r="T617" s="998"/>
      <c r="U617" s="935"/>
      <c r="V617" s="935"/>
      <c r="W617" s="949" t="str">
        <f>IF(AND($S$20,NOT($U$20)),IF($V617:$V623="","",SUMIF(portfolio.!$A$4:$A623,V617,portfolio.!$AN$4:$AN623)),"")</f>
        <v/>
      </c>
      <c r="X617" s="998"/>
      <c r="Y617" s="936"/>
      <c r="Z617" s="936" t="s">
        <v>123</v>
      </c>
      <c r="AA617" s="936" t="s">
        <v>123</v>
      </c>
      <c r="AB617" s="936" t="s">
        <v>123</v>
      </c>
      <c r="AC617" s="907" t="s">
        <v>123</v>
      </c>
      <c r="AD617" s="999"/>
      <c r="AE617" s="936"/>
      <c r="AF617" s="936"/>
      <c r="AG617" s="936"/>
      <c r="AH617" s="936"/>
      <c r="AI617" s="999"/>
      <c r="AJ617" s="935"/>
      <c r="AK617" s="966"/>
      <c r="AL617" s="949"/>
      <c r="AM617" s="949" t="s">
        <v>123</v>
      </c>
      <c r="AN617" s="949"/>
      <c r="AO617" s="999"/>
      <c r="AP617" s="936"/>
      <c r="AQ617" s="987"/>
      <c r="AR617" s="907"/>
      <c r="AS617" s="907"/>
      <c r="AT617" s="967" t="s">
        <v>123</v>
      </c>
      <c r="AU617" s="967" t="s">
        <v>123</v>
      </c>
      <c r="AV617" s="967" t="s">
        <v>123</v>
      </c>
      <c r="AW617" s="907" t="s">
        <v>123</v>
      </c>
      <c r="AX617" s="907" t="s">
        <v>123</v>
      </c>
      <c r="AY617" s="907" t="s">
        <v>123</v>
      </c>
      <c r="AZ617" s="936" t="s">
        <v>123</v>
      </c>
      <c r="BA617" s="935" t="s">
        <v>123</v>
      </c>
      <c r="BB617" s="1000"/>
      <c r="BC617" s="1001"/>
      <c r="BD617" s="936"/>
      <c r="BE617" s="907"/>
      <c r="BF617" s="1002" t="str">
        <f>IF($BC617="","",SUMIF(portfolio.!$A$4:$A623,BC617,portfolio.!$AN$4:$AN623))</f>
        <v/>
      </c>
      <c r="BG617" s="936" t="s">
        <v>123</v>
      </c>
      <c r="BH617" s="907" t="s">
        <v>123</v>
      </c>
      <c r="BI617" s="935" t="s">
        <v>123</v>
      </c>
      <c r="BJ617" s="1003"/>
      <c r="BK617" s="907" t="s">
        <v>123</v>
      </c>
      <c r="BL617" s="907" t="s">
        <v>123</v>
      </c>
      <c r="BM617" s="907" t="s">
        <v>123</v>
      </c>
      <c r="BN617" s="1004" t="s">
        <v>123</v>
      </c>
      <c r="BO617" s="907" t="str">
        <f t="shared" si="6"/>
        <v/>
      </c>
      <c r="BP617" s="907" t="str">
        <f t="shared" si="7"/>
        <v/>
      </c>
      <c r="BQ617" s="907" t="str">
        <f t="shared" si="8"/>
        <v/>
      </c>
      <c r="BR617" s="1004" t="str">
        <f t="shared" si="9"/>
        <v/>
      </c>
      <c r="BS617" s="1005" t="str">
        <f t="shared" si="10"/>
        <v/>
      </c>
      <c r="BT617" s="1006" t="s">
        <v>123</v>
      </c>
      <c r="BU617" s="1002" t="s">
        <v>123</v>
      </c>
      <c r="BV617" s="1006" t="s">
        <v>123</v>
      </c>
      <c r="BW617" s="1007"/>
    </row>
    <row r="618">
      <c r="A618" s="624">
        <v>595.0</v>
      </c>
      <c r="B618" s="1008"/>
      <c r="C618" s="989"/>
      <c r="D618" s="851"/>
      <c r="E618" s="990"/>
      <c r="F618" s="991"/>
      <c r="G618" s="991"/>
      <c r="H618" s="992"/>
      <c r="I618" s="993"/>
      <c r="J618" s="993"/>
      <c r="K618" s="993"/>
      <c r="L618" s="993"/>
      <c r="M618" s="993"/>
      <c r="N618" s="993"/>
      <c r="O618" s="993"/>
      <c r="P618" s="993"/>
      <c r="Q618" s="993"/>
      <c r="R618" s="993"/>
      <c r="S618" s="936"/>
      <c r="T618" s="998"/>
      <c r="U618" s="935"/>
      <c r="V618" s="935"/>
      <c r="W618" s="949" t="str">
        <f>IF(AND($S$20,NOT($U$20)),IF($V618:$V623="","",SUMIF(portfolio.!$A$4:$A623,V618,portfolio.!$AN$4:$AN623)),"")</f>
        <v/>
      </c>
      <c r="X618" s="998"/>
      <c r="Y618" s="936"/>
      <c r="Z618" s="936" t="s">
        <v>123</v>
      </c>
      <c r="AA618" s="936" t="s">
        <v>123</v>
      </c>
      <c r="AB618" s="936" t="s">
        <v>123</v>
      </c>
      <c r="AC618" s="907" t="s">
        <v>123</v>
      </c>
      <c r="AD618" s="999"/>
      <c r="AE618" s="936"/>
      <c r="AF618" s="936"/>
      <c r="AG618" s="936"/>
      <c r="AH618" s="936"/>
      <c r="AI618" s="999"/>
      <c r="AJ618" s="935"/>
      <c r="AK618" s="966"/>
      <c r="AL618" s="949"/>
      <c r="AM618" s="949" t="s">
        <v>123</v>
      </c>
      <c r="AN618" s="949"/>
      <c r="AO618" s="999"/>
      <c r="AP618" s="936"/>
      <c r="AQ618" s="987"/>
      <c r="AR618" s="907"/>
      <c r="AS618" s="907"/>
      <c r="AT618" s="967" t="s">
        <v>123</v>
      </c>
      <c r="AU618" s="967" t="s">
        <v>123</v>
      </c>
      <c r="AV618" s="967" t="s">
        <v>123</v>
      </c>
      <c r="AW618" s="907" t="s">
        <v>123</v>
      </c>
      <c r="AX618" s="907" t="s">
        <v>123</v>
      </c>
      <c r="AY618" s="907" t="s">
        <v>123</v>
      </c>
      <c r="AZ618" s="936" t="s">
        <v>123</v>
      </c>
      <c r="BA618" s="935" t="s">
        <v>123</v>
      </c>
      <c r="BB618" s="1000"/>
      <c r="BC618" s="1001"/>
      <c r="BD618" s="936"/>
      <c r="BE618" s="907"/>
      <c r="BF618" s="1002" t="str">
        <f>IF($BC618="","",SUMIF(portfolio.!$A$4:$A623,BC618,portfolio.!$AN$4:$AN623))</f>
        <v/>
      </c>
      <c r="BG618" s="936" t="s">
        <v>123</v>
      </c>
      <c r="BH618" s="907" t="s">
        <v>123</v>
      </c>
      <c r="BI618" s="935" t="s">
        <v>123</v>
      </c>
      <c r="BJ618" s="1003"/>
      <c r="BK618" s="907" t="s">
        <v>123</v>
      </c>
      <c r="BL618" s="907" t="s">
        <v>123</v>
      </c>
      <c r="BM618" s="907" t="s">
        <v>123</v>
      </c>
      <c r="BN618" s="1004" t="s">
        <v>123</v>
      </c>
      <c r="BO618" s="907" t="str">
        <f t="shared" si="6"/>
        <v/>
      </c>
      <c r="BP618" s="907" t="str">
        <f t="shared" si="7"/>
        <v/>
      </c>
      <c r="BQ618" s="907" t="str">
        <f t="shared" si="8"/>
        <v/>
      </c>
      <c r="BR618" s="1004" t="str">
        <f t="shared" si="9"/>
        <v/>
      </c>
      <c r="BS618" s="1005" t="str">
        <f t="shared" si="10"/>
        <v/>
      </c>
      <c r="BT618" s="1006" t="s">
        <v>123</v>
      </c>
      <c r="BU618" s="1002" t="s">
        <v>123</v>
      </c>
      <c r="BV618" s="1006" t="s">
        <v>123</v>
      </c>
      <c r="BW618" s="1007"/>
    </row>
    <row r="619">
      <c r="A619" s="624">
        <v>596.0</v>
      </c>
      <c r="B619" s="1008"/>
      <c r="C619" s="989"/>
      <c r="D619" s="851"/>
      <c r="E619" s="990"/>
      <c r="F619" s="991"/>
      <c r="G619" s="991"/>
      <c r="H619" s="992"/>
      <c r="I619" s="993"/>
      <c r="J619" s="993"/>
      <c r="K619" s="993"/>
      <c r="L619" s="993"/>
      <c r="M619" s="993"/>
      <c r="N619" s="993"/>
      <c r="O619" s="993"/>
      <c r="P619" s="993"/>
      <c r="Q619" s="993"/>
      <c r="R619" s="993"/>
      <c r="S619" s="936"/>
      <c r="T619" s="998"/>
      <c r="U619" s="935"/>
      <c r="V619" s="935"/>
      <c r="W619" s="949" t="str">
        <f>IF(AND($S$20,NOT($U$20)),IF($V619:$V623="","",SUMIF(portfolio.!$A$4:$A623,V619,portfolio.!$AN$4:$AN623)),"")</f>
        <v/>
      </c>
      <c r="X619" s="998"/>
      <c r="Y619" s="936"/>
      <c r="Z619" s="936" t="s">
        <v>123</v>
      </c>
      <c r="AA619" s="936" t="s">
        <v>123</v>
      </c>
      <c r="AB619" s="936" t="s">
        <v>123</v>
      </c>
      <c r="AC619" s="907" t="s">
        <v>123</v>
      </c>
      <c r="AD619" s="999"/>
      <c r="AE619" s="936"/>
      <c r="AF619" s="936"/>
      <c r="AG619" s="936"/>
      <c r="AH619" s="936"/>
      <c r="AI619" s="999"/>
      <c r="AJ619" s="935"/>
      <c r="AK619" s="966"/>
      <c r="AL619" s="949"/>
      <c r="AM619" s="949" t="s">
        <v>123</v>
      </c>
      <c r="AN619" s="949"/>
      <c r="AO619" s="999"/>
      <c r="AP619" s="936"/>
      <c r="AQ619" s="987"/>
      <c r="AR619" s="907"/>
      <c r="AS619" s="907"/>
      <c r="AT619" s="967" t="s">
        <v>123</v>
      </c>
      <c r="AU619" s="967" t="s">
        <v>123</v>
      </c>
      <c r="AV619" s="967" t="s">
        <v>123</v>
      </c>
      <c r="AW619" s="907" t="s">
        <v>123</v>
      </c>
      <c r="AX619" s="907" t="s">
        <v>123</v>
      </c>
      <c r="AY619" s="907" t="s">
        <v>123</v>
      </c>
      <c r="AZ619" s="936" t="s">
        <v>123</v>
      </c>
      <c r="BA619" s="935" t="s">
        <v>123</v>
      </c>
      <c r="BB619" s="1000"/>
      <c r="BC619" s="1001"/>
      <c r="BD619" s="936"/>
      <c r="BE619" s="907"/>
      <c r="BF619" s="1002" t="str">
        <f>IF($BC619="","",SUMIF(portfolio.!$A$4:$A623,BC619,portfolio.!$AN$4:$AN623))</f>
        <v/>
      </c>
      <c r="BG619" s="936" t="s">
        <v>123</v>
      </c>
      <c r="BH619" s="907" t="s">
        <v>123</v>
      </c>
      <c r="BI619" s="935" t="s">
        <v>123</v>
      </c>
      <c r="BJ619" s="1003"/>
      <c r="BK619" s="907" t="s">
        <v>123</v>
      </c>
      <c r="BL619" s="907" t="s">
        <v>123</v>
      </c>
      <c r="BM619" s="907" t="s">
        <v>123</v>
      </c>
      <c r="BN619" s="1004" t="s">
        <v>123</v>
      </c>
      <c r="BO619" s="907" t="str">
        <f t="shared" si="6"/>
        <v/>
      </c>
      <c r="BP619" s="907" t="str">
        <f t="shared" si="7"/>
        <v/>
      </c>
      <c r="BQ619" s="907" t="str">
        <f t="shared" si="8"/>
        <v/>
      </c>
      <c r="BR619" s="1004" t="str">
        <f t="shared" si="9"/>
        <v/>
      </c>
      <c r="BS619" s="1005" t="str">
        <f t="shared" si="10"/>
        <v/>
      </c>
      <c r="BT619" s="1006" t="s">
        <v>123</v>
      </c>
      <c r="BU619" s="1002" t="s">
        <v>123</v>
      </c>
      <c r="BV619" s="1006" t="s">
        <v>123</v>
      </c>
      <c r="BW619" s="1007"/>
    </row>
    <row r="620">
      <c r="A620" s="624">
        <v>597.0</v>
      </c>
      <c r="B620" s="1008"/>
      <c r="C620" s="989"/>
      <c r="D620" s="851"/>
      <c r="E620" s="990"/>
      <c r="F620" s="991"/>
      <c r="G620" s="991"/>
      <c r="H620" s="992"/>
      <c r="I620" s="993"/>
      <c r="J620" s="993"/>
      <c r="K620" s="993"/>
      <c r="L620" s="993"/>
      <c r="M620" s="993"/>
      <c r="N620" s="993"/>
      <c r="O620" s="993"/>
      <c r="P620" s="993"/>
      <c r="Q620" s="993"/>
      <c r="R620" s="993"/>
      <c r="S620" s="936"/>
      <c r="T620" s="998"/>
      <c r="U620" s="935"/>
      <c r="V620" s="935"/>
      <c r="W620" s="949" t="str">
        <f>IF(AND($S$20,NOT($U$20)),IF($V620:$V623="","",SUMIF(portfolio.!$A$4:$A623,V620,portfolio.!$AN$4:$AN623)),"")</f>
        <v/>
      </c>
      <c r="X620" s="998"/>
      <c r="Y620" s="936"/>
      <c r="Z620" s="936" t="s">
        <v>123</v>
      </c>
      <c r="AA620" s="936" t="s">
        <v>123</v>
      </c>
      <c r="AB620" s="936" t="s">
        <v>123</v>
      </c>
      <c r="AC620" s="907" t="s">
        <v>123</v>
      </c>
      <c r="AD620" s="999"/>
      <c r="AE620" s="936"/>
      <c r="AF620" s="936"/>
      <c r="AG620" s="936"/>
      <c r="AH620" s="936"/>
      <c r="AI620" s="999"/>
      <c r="AJ620" s="935"/>
      <c r="AK620" s="966"/>
      <c r="AL620" s="949"/>
      <c r="AM620" s="949" t="s">
        <v>123</v>
      </c>
      <c r="AN620" s="949"/>
      <c r="AO620" s="999"/>
      <c r="AP620" s="936"/>
      <c r="AQ620" s="987"/>
      <c r="AR620" s="907"/>
      <c r="AS620" s="907"/>
      <c r="AT620" s="967" t="s">
        <v>123</v>
      </c>
      <c r="AU620" s="967" t="s">
        <v>123</v>
      </c>
      <c r="AV620" s="967" t="s">
        <v>123</v>
      </c>
      <c r="AW620" s="907" t="s">
        <v>123</v>
      </c>
      <c r="AX620" s="907" t="s">
        <v>123</v>
      </c>
      <c r="AY620" s="907" t="s">
        <v>123</v>
      </c>
      <c r="AZ620" s="936" t="s">
        <v>123</v>
      </c>
      <c r="BA620" s="935" t="s">
        <v>123</v>
      </c>
      <c r="BB620" s="1000"/>
      <c r="BC620" s="1001"/>
      <c r="BD620" s="936"/>
      <c r="BE620" s="907"/>
      <c r="BF620" s="1002" t="str">
        <f>IF($BC620="","",SUMIF(portfolio.!$A$4:$A623,BC620,portfolio.!$AN$4:$AN623))</f>
        <v/>
      </c>
      <c r="BG620" s="936" t="s">
        <v>123</v>
      </c>
      <c r="BH620" s="907" t="s">
        <v>123</v>
      </c>
      <c r="BI620" s="935" t="s">
        <v>123</v>
      </c>
      <c r="BJ620" s="1003"/>
      <c r="BK620" s="907" t="s">
        <v>123</v>
      </c>
      <c r="BL620" s="907" t="s">
        <v>123</v>
      </c>
      <c r="BM620" s="907" t="s">
        <v>123</v>
      </c>
      <c r="BN620" s="1004" t="s">
        <v>123</v>
      </c>
      <c r="BO620" s="907" t="str">
        <f t="shared" si="6"/>
        <v/>
      </c>
      <c r="BP620" s="907" t="str">
        <f t="shared" si="7"/>
        <v/>
      </c>
      <c r="BQ620" s="907" t="str">
        <f t="shared" si="8"/>
        <v/>
      </c>
      <c r="BR620" s="1004" t="str">
        <f t="shared" si="9"/>
        <v/>
      </c>
      <c r="BS620" s="1005" t="str">
        <f t="shared" si="10"/>
        <v/>
      </c>
      <c r="BT620" s="1006" t="s">
        <v>123</v>
      </c>
      <c r="BU620" s="1002" t="s">
        <v>123</v>
      </c>
      <c r="BV620" s="1006" t="s">
        <v>123</v>
      </c>
      <c r="BW620" s="1007"/>
    </row>
    <row r="621">
      <c r="A621" s="624">
        <v>598.0</v>
      </c>
      <c r="B621" s="1008"/>
      <c r="C621" s="989"/>
      <c r="D621" s="851"/>
      <c r="E621" s="990"/>
      <c r="F621" s="991"/>
      <c r="G621" s="991"/>
      <c r="H621" s="992"/>
      <c r="I621" s="993"/>
      <c r="J621" s="993"/>
      <c r="K621" s="993"/>
      <c r="L621" s="993"/>
      <c r="M621" s="993"/>
      <c r="N621" s="993"/>
      <c r="O621" s="993"/>
      <c r="P621" s="993"/>
      <c r="Q621" s="993"/>
      <c r="R621" s="993"/>
      <c r="S621" s="936"/>
      <c r="T621" s="998"/>
      <c r="U621" s="935"/>
      <c r="V621" s="935"/>
      <c r="W621" s="949" t="str">
        <f>IF(AND($S$20,NOT($U$20)),IF($V621:$V623="","",SUMIF(portfolio.!$A$4:$A623,V621,portfolio.!$AN$4:$AN623)),"")</f>
        <v/>
      </c>
      <c r="X621" s="998"/>
      <c r="Y621" s="936"/>
      <c r="Z621" s="936" t="s">
        <v>123</v>
      </c>
      <c r="AA621" s="936" t="s">
        <v>123</v>
      </c>
      <c r="AB621" s="936" t="s">
        <v>123</v>
      </c>
      <c r="AC621" s="907" t="s">
        <v>123</v>
      </c>
      <c r="AD621" s="999"/>
      <c r="AE621" s="936"/>
      <c r="AF621" s="936"/>
      <c r="AG621" s="936"/>
      <c r="AH621" s="936"/>
      <c r="AI621" s="999"/>
      <c r="AJ621" s="935"/>
      <c r="AK621" s="966"/>
      <c r="AL621" s="949"/>
      <c r="AM621" s="949" t="s">
        <v>123</v>
      </c>
      <c r="AN621" s="949"/>
      <c r="AO621" s="999"/>
      <c r="AP621" s="936"/>
      <c r="AQ621" s="987"/>
      <c r="AR621" s="907"/>
      <c r="AS621" s="907"/>
      <c r="AT621" s="967" t="s">
        <v>123</v>
      </c>
      <c r="AU621" s="967" t="s">
        <v>123</v>
      </c>
      <c r="AV621" s="967" t="s">
        <v>123</v>
      </c>
      <c r="AW621" s="907" t="s">
        <v>123</v>
      </c>
      <c r="AX621" s="907" t="s">
        <v>123</v>
      </c>
      <c r="AY621" s="907" t="s">
        <v>123</v>
      </c>
      <c r="AZ621" s="936" t="s">
        <v>123</v>
      </c>
      <c r="BA621" s="935" t="s">
        <v>123</v>
      </c>
      <c r="BB621" s="1000"/>
      <c r="BC621" s="1001"/>
      <c r="BD621" s="936"/>
      <c r="BE621" s="907"/>
      <c r="BF621" s="1002" t="str">
        <f>IF($BC621="","",SUMIF(portfolio.!$A$4:$A623,BC621,portfolio.!$AN$4:$AN623))</f>
        <v/>
      </c>
      <c r="BG621" s="936" t="s">
        <v>123</v>
      </c>
      <c r="BH621" s="907" t="s">
        <v>123</v>
      </c>
      <c r="BI621" s="935" t="s">
        <v>123</v>
      </c>
      <c r="BJ621" s="1003"/>
      <c r="BK621" s="907" t="s">
        <v>123</v>
      </c>
      <c r="BL621" s="907" t="s">
        <v>123</v>
      </c>
      <c r="BM621" s="907" t="s">
        <v>123</v>
      </c>
      <c r="BN621" s="1004" t="s">
        <v>123</v>
      </c>
      <c r="BO621" s="907" t="str">
        <f t="shared" si="6"/>
        <v/>
      </c>
      <c r="BP621" s="907" t="str">
        <f t="shared" si="7"/>
        <v/>
      </c>
      <c r="BQ621" s="907" t="str">
        <f t="shared" si="8"/>
        <v/>
      </c>
      <c r="BR621" s="1004" t="str">
        <f t="shared" si="9"/>
        <v/>
      </c>
      <c r="BS621" s="1005" t="str">
        <f t="shared" si="10"/>
        <v/>
      </c>
      <c r="BT621" s="1006" t="s">
        <v>123</v>
      </c>
      <c r="BU621" s="1002" t="s">
        <v>123</v>
      </c>
      <c r="BV621" s="1006" t="s">
        <v>123</v>
      </c>
      <c r="BW621" s="1007"/>
    </row>
    <row r="622">
      <c r="A622" s="624">
        <v>599.0</v>
      </c>
      <c r="B622" s="1008"/>
      <c r="C622" s="989"/>
      <c r="D622" s="851"/>
      <c r="E622" s="990"/>
      <c r="F622" s="991"/>
      <c r="G622" s="991"/>
      <c r="H622" s="992"/>
      <c r="I622" s="993"/>
      <c r="J622" s="993"/>
      <c r="K622" s="993"/>
      <c r="L622" s="993"/>
      <c r="M622" s="993"/>
      <c r="N622" s="993"/>
      <c r="O622" s="993"/>
      <c r="P622" s="993"/>
      <c r="Q622" s="993"/>
      <c r="R622" s="993"/>
      <c r="S622" s="936"/>
      <c r="T622" s="998"/>
      <c r="U622" s="935"/>
      <c r="V622" s="935"/>
      <c r="W622" s="949" t="str">
        <f>IF(AND($S$20,NOT($U$20)),IF($V622:$V623="","",SUMIF(portfolio.!$A$4:$A623,V622,portfolio.!$AN$4:$AN623)),"")</f>
        <v/>
      </c>
      <c r="X622" s="998"/>
      <c r="Y622" s="936"/>
      <c r="Z622" s="936" t="s">
        <v>123</v>
      </c>
      <c r="AA622" s="936" t="s">
        <v>123</v>
      </c>
      <c r="AB622" s="936" t="s">
        <v>123</v>
      </c>
      <c r="AC622" s="907" t="s">
        <v>123</v>
      </c>
      <c r="AD622" s="999"/>
      <c r="AE622" s="936"/>
      <c r="AF622" s="936"/>
      <c r="AG622" s="936"/>
      <c r="AH622" s="936"/>
      <c r="AI622" s="999"/>
      <c r="AJ622" s="935"/>
      <c r="AK622" s="966"/>
      <c r="AL622" s="949"/>
      <c r="AM622" s="949" t="s">
        <v>123</v>
      </c>
      <c r="AN622" s="949"/>
      <c r="AO622" s="999"/>
      <c r="AP622" s="936"/>
      <c r="AQ622" s="987"/>
      <c r="AR622" s="907"/>
      <c r="AS622" s="907"/>
      <c r="AT622" s="967" t="s">
        <v>123</v>
      </c>
      <c r="AU622" s="967" t="s">
        <v>123</v>
      </c>
      <c r="AV622" s="967" t="s">
        <v>123</v>
      </c>
      <c r="AW622" s="907" t="s">
        <v>123</v>
      </c>
      <c r="AX622" s="907" t="s">
        <v>123</v>
      </c>
      <c r="AY622" s="907" t="s">
        <v>123</v>
      </c>
      <c r="AZ622" s="936" t="s">
        <v>123</v>
      </c>
      <c r="BA622" s="935" t="s">
        <v>123</v>
      </c>
      <c r="BB622" s="1000"/>
      <c r="BC622" s="1001"/>
      <c r="BD622" s="936"/>
      <c r="BE622" s="907"/>
      <c r="BF622" s="1002" t="str">
        <f>IF($BC622="","",SUMIF(portfolio.!$A$4:$A623,BC622,portfolio.!$AN$4:$AN623))</f>
        <v/>
      </c>
      <c r="BG622" s="936" t="s">
        <v>123</v>
      </c>
      <c r="BH622" s="907" t="s">
        <v>123</v>
      </c>
      <c r="BI622" s="935" t="s">
        <v>123</v>
      </c>
      <c r="BJ622" s="1003"/>
      <c r="BK622" s="907" t="s">
        <v>123</v>
      </c>
      <c r="BL622" s="907" t="s">
        <v>123</v>
      </c>
      <c r="BM622" s="907" t="s">
        <v>123</v>
      </c>
      <c r="BN622" s="1004" t="s">
        <v>123</v>
      </c>
      <c r="BO622" s="907" t="str">
        <f t="shared" si="6"/>
        <v/>
      </c>
      <c r="BP622" s="907" t="str">
        <f t="shared" si="7"/>
        <v/>
      </c>
      <c r="BQ622" s="907" t="str">
        <f t="shared" si="8"/>
        <v/>
      </c>
      <c r="BR622" s="1004" t="str">
        <f t="shared" si="9"/>
        <v/>
      </c>
      <c r="BS622" s="1005" t="str">
        <f t="shared" si="10"/>
        <v/>
      </c>
      <c r="BT622" s="1006" t="s">
        <v>123</v>
      </c>
      <c r="BU622" s="1002" t="s">
        <v>123</v>
      </c>
      <c r="BV622" s="1006" t="s">
        <v>123</v>
      </c>
      <c r="BW622" s="1007"/>
    </row>
    <row r="623">
      <c r="A623" s="624">
        <v>600.0</v>
      </c>
      <c r="B623" s="1008"/>
      <c r="C623" s="989"/>
      <c r="D623" s="851"/>
      <c r="E623" s="990"/>
      <c r="F623" s="991"/>
      <c r="G623" s="991"/>
      <c r="H623" s="992"/>
      <c r="I623" s="993"/>
      <c r="J623" s="993"/>
      <c r="K623" s="993"/>
      <c r="L623" s="993"/>
      <c r="M623" s="993"/>
      <c r="N623" s="993"/>
      <c r="O623" s="993"/>
      <c r="P623" s="993"/>
      <c r="Q623" s="993"/>
      <c r="R623" s="993"/>
      <c r="S623" s="936"/>
      <c r="T623" s="998"/>
      <c r="U623" s="935"/>
      <c r="V623" s="935"/>
      <c r="W623" s="949" t="str">
        <f>IF(AND($S$20,NOT($U$20)),IF($V623="","",SUMIF(portfolio.!$A$4:$A623,V623,portfolio.!$AN$4:$AN623)),"")</f>
        <v/>
      </c>
      <c r="X623" s="998"/>
      <c r="Y623" s="936"/>
      <c r="Z623" s="936" t="s">
        <v>123</v>
      </c>
      <c r="AA623" s="936" t="s">
        <v>123</v>
      </c>
      <c r="AB623" s="936" t="s">
        <v>123</v>
      </c>
      <c r="AC623" s="907" t="s">
        <v>123</v>
      </c>
      <c r="AD623" s="999"/>
      <c r="AE623" s="936"/>
      <c r="AF623" s="936"/>
      <c r="AG623" s="936"/>
      <c r="AH623" s="936"/>
      <c r="AI623" s="999"/>
      <c r="AJ623" s="935"/>
      <c r="AK623" s="966"/>
      <c r="AL623" s="949"/>
      <c r="AM623" s="949" t="s">
        <v>123</v>
      </c>
      <c r="AN623" s="949"/>
      <c r="AO623" s="999"/>
      <c r="AP623" s="936"/>
      <c r="AQ623" s="987"/>
      <c r="AR623" s="907"/>
      <c r="AS623" s="907"/>
      <c r="AT623" s="967" t="s">
        <v>123</v>
      </c>
      <c r="AU623" s="967" t="s">
        <v>123</v>
      </c>
      <c r="AV623" s="967" t="s">
        <v>123</v>
      </c>
      <c r="AW623" s="907" t="s">
        <v>123</v>
      </c>
      <c r="AX623" s="907" t="s">
        <v>123</v>
      </c>
      <c r="AY623" s="907" t="s">
        <v>123</v>
      </c>
      <c r="AZ623" s="936" t="s">
        <v>123</v>
      </c>
      <c r="BA623" s="935" t="s">
        <v>123</v>
      </c>
      <c r="BB623" s="1000"/>
      <c r="BC623" s="1001"/>
      <c r="BD623" s="936"/>
      <c r="BE623" s="907"/>
      <c r="BF623" s="1002" t="str">
        <f>IF($BC623="","",SUMIF(portfolio.!$A$4:$A623,BC623,portfolio.!$AN$4:$AN623))</f>
        <v/>
      </c>
      <c r="BG623" s="936" t="s">
        <v>123</v>
      </c>
      <c r="BH623" s="907" t="s">
        <v>123</v>
      </c>
      <c r="BI623" s="935" t="s">
        <v>123</v>
      </c>
      <c r="BJ623" s="1003"/>
      <c r="BK623" s="907" t="s">
        <v>123</v>
      </c>
      <c r="BL623" s="907" t="s">
        <v>123</v>
      </c>
      <c r="BM623" s="907" t="s">
        <v>123</v>
      </c>
      <c r="BN623" s="1004" t="s">
        <v>123</v>
      </c>
      <c r="BO623" s="907" t="str">
        <f t="shared" si="6"/>
        <v/>
      </c>
      <c r="BP623" s="907" t="str">
        <f t="shared" si="7"/>
        <v/>
      </c>
      <c r="BQ623" s="907" t="str">
        <f t="shared" si="8"/>
        <v/>
      </c>
      <c r="BR623" s="1004" t="str">
        <f t="shared" si="9"/>
        <v/>
      </c>
      <c r="BS623" s="1005" t="str">
        <f t="shared" si="10"/>
        <v/>
      </c>
      <c r="BT623" s="1006" t="s">
        <v>123</v>
      </c>
      <c r="BU623" s="1002" t="s">
        <v>123</v>
      </c>
      <c r="BV623" s="1006" t="s">
        <v>123</v>
      </c>
      <c r="BW623" s="1007"/>
    </row>
  </sheetData>
  <mergeCells count="71">
    <mergeCell ref="BK22:BL22"/>
    <mergeCell ref="BM22:BN22"/>
    <mergeCell ref="BO22:BQ22"/>
    <mergeCell ref="BR22:BU22"/>
    <mergeCell ref="F22:G22"/>
    <mergeCell ref="J22:N22"/>
    <mergeCell ref="Y22:AB22"/>
    <mergeCell ref="AE22:AH22"/>
    <mergeCell ref="AJ22:AM22"/>
    <mergeCell ref="AP22:BA22"/>
    <mergeCell ref="BC22:BI22"/>
    <mergeCell ref="K23:N23"/>
    <mergeCell ref="K24:N24"/>
    <mergeCell ref="J25:M25"/>
    <mergeCell ref="P25:Q25"/>
    <mergeCell ref="J26:K26"/>
    <mergeCell ref="L26:M26"/>
    <mergeCell ref="B16:C16"/>
    <mergeCell ref="B17:C17"/>
    <mergeCell ref="B19:E19"/>
    <mergeCell ref="F19:G19"/>
    <mergeCell ref="J19:Q20"/>
    <mergeCell ref="F20:G20"/>
    <mergeCell ref="D22:E22"/>
    <mergeCell ref="B1:C2"/>
    <mergeCell ref="D1:D2"/>
    <mergeCell ref="E1:Q2"/>
    <mergeCell ref="BL1:BP1"/>
    <mergeCell ref="BL2:BP2"/>
    <mergeCell ref="B4:C4"/>
    <mergeCell ref="D4:E4"/>
    <mergeCell ref="P4:Q4"/>
    <mergeCell ref="G4:H4"/>
    <mergeCell ref="L4:M4"/>
    <mergeCell ref="B5:C5"/>
    <mergeCell ref="G5:H5"/>
    <mergeCell ref="L5:M5"/>
    <mergeCell ref="G6:H6"/>
    <mergeCell ref="L6:M6"/>
    <mergeCell ref="L10:M10"/>
    <mergeCell ref="L11:M11"/>
    <mergeCell ref="L12:M12"/>
    <mergeCell ref="L13:M13"/>
    <mergeCell ref="L14:M14"/>
    <mergeCell ref="L15:M15"/>
    <mergeCell ref="L16:M16"/>
    <mergeCell ref="L17:M17"/>
    <mergeCell ref="B6:C6"/>
    <mergeCell ref="B7:C7"/>
    <mergeCell ref="G7:H7"/>
    <mergeCell ref="L7:M7"/>
    <mergeCell ref="B8:C8"/>
    <mergeCell ref="L8:M8"/>
    <mergeCell ref="L9:M9"/>
    <mergeCell ref="G15:H15"/>
    <mergeCell ref="G16:H16"/>
    <mergeCell ref="G17:H17"/>
    <mergeCell ref="G8:H8"/>
    <mergeCell ref="G9:H9"/>
    <mergeCell ref="G10:H10"/>
    <mergeCell ref="G11:H11"/>
    <mergeCell ref="G12:H12"/>
    <mergeCell ref="G13:H13"/>
    <mergeCell ref="G14:H14"/>
    <mergeCell ref="B9:C9"/>
    <mergeCell ref="B10:C10"/>
    <mergeCell ref="B11:C11"/>
    <mergeCell ref="B12:C12"/>
    <mergeCell ref="B13:C13"/>
    <mergeCell ref="B14:C14"/>
    <mergeCell ref="B15:C15"/>
  </mergeCells>
  <conditionalFormatting sqref="D24:H623">
    <cfRule type="expression" dxfId="11" priority="1">
      <formula>NOT($S$20)</formula>
    </cfRule>
  </conditionalFormatting>
  <conditionalFormatting sqref="B24:B623">
    <cfRule type="containsBlanks" dxfId="4" priority="2">
      <formula>LEN(TRIM(B24))=0</formula>
    </cfRule>
  </conditionalFormatting>
  <conditionalFormatting sqref="B24:B623">
    <cfRule type="expression" dxfId="5" priority="3">
      <formula>IF(S24="AÇÃO",TRUE)</formula>
    </cfRule>
  </conditionalFormatting>
  <conditionalFormatting sqref="B24:B623">
    <cfRule type="expression" dxfId="6" priority="4">
      <formula>IF(S24="FII",TRUE)</formula>
    </cfRule>
  </conditionalFormatting>
  <conditionalFormatting sqref="B24:B623">
    <cfRule type="expression" dxfId="25" priority="5">
      <formula>IF(S24="ETF",TRUE)</formula>
    </cfRule>
  </conditionalFormatting>
  <conditionalFormatting sqref="B24:B623">
    <cfRule type="expression" dxfId="26" priority="6">
      <formula>IF(S24="BDR",TRUE)</formula>
    </cfRule>
  </conditionalFormatting>
  <conditionalFormatting sqref="B24:B623">
    <cfRule type="expression" dxfId="27" priority="7">
      <formula>IF(S24="OPÇÃO",TRUE)</formula>
    </cfRule>
  </conditionalFormatting>
  <conditionalFormatting sqref="B24:B623">
    <cfRule type="expression" dxfId="28" priority="8">
      <formula>IF(S24="STOCK",TRUE)</formula>
    </cfRule>
  </conditionalFormatting>
  <conditionalFormatting sqref="B24:B315">
    <cfRule type="expression" dxfId="80" priority="9">
      <formula>IF(S24="REIT",TRUE)</formula>
    </cfRule>
  </conditionalFormatting>
  <conditionalFormatting sqref="B24:B623">
    <cfRule type="expression" dxfId="1" priority="10">
      <formula>IF(S24="CRIPTO",TRUE)</formula>
    </cfRule>
  </conditionalFormatting>
  <conditionalFormatting sqref="B24:B623">
    <cfRule type="notContainsBlanks" dxfId="46" priority="11">
      <formula>LEN(TRIM(B24))&gt;0</formula>
    </cfRule>
  </conditionalFormatting>
  <conditionalFormatting sqref="G24:H623">
    <cfRule type="expression" dxfId="0" priority="12">
      <formula>AND($H$22&gt;0,$F24="Vender",IFERROR(abs($H24)/$C24&gt;$H$22,TRUE))</formula>
    </cfRule>
  </conditionalFormatting>
  <conditionalFormatting sqref="G24:H623">
    <cfRule type="expression" dxfId="28" priority="13">
      <formula>AND($H$22&gt;0,$F24="Comprar",IFERROR($H24/$C24&gt;$H$22,TRUE))</formula>
    </cfRule>
  </conditionalFormatting>
  <conditionalFormatting sqref="D24:H623">
    <cfRule type="expression" dxfId="65" priority="14">
      <formula>IF($F24="Comprar",TRUE)</formula>
    </cfRule>
  </conditionalFormatting>
  <conditionalFormatting sqref="D24:H623">
    <cfRule type="expression" dxfId="14" priority="15">
      <formula>IF($F24="Vender",TRUE)</formula>
    </cfRule>
  </conditionalFormatting>
  <conditionalFormatting sqref="B6:H17 J6:M17 O6:Q17">
    <cfRule type="expression" dxfId="30" priority="16">
      <formula>OR($B6="RENDA FIXA",$B6="RENDA VARIÁVEL",$B6="FALTA BOOK")</formula>
    </cfRule>
  </conditionalFormatting>
  <conditionalFormatting sqref="D6:H17">
    <cfRule type="expression" dxfId="81" priority="17">
      <formula>IF($G6&gt;0,TRUE)</formula>
    </cfRule>
  </conditionalFormatting>
  <conditionalFormatting sqref="D6:H17">
    <cfRule type="expression" dxfId="7" priority="18">
      <formula>IF($G6&lt;0,TRUE)</formula>
    </cfRule>
  </conditionalFormatting>
  <conditionalFormatting sqref="Q28:Q42">
    <cfRule type="cellIs" dxfId="81" priority="19" operator="greaterThan">
      <formula>0</formula>
    </cfRule>
  </conditionalFormatting>
  <conditionalFormatting sqref="Q28:Q42">
    <cfRule type="cellIs" dxfId="7" priority="20" operator="lessThan">
      <formula>0</formula>
    </cfRule>
  </conditionalFormatting>
  <conditionalFormatting sqref="B19">
    <cfRule type="containsText" dxfId="82" priority="21" operator="containsText" text="SELECIONE">
      <formula>NOT(ISERROR(SEARCH(("SELECIONE"),(B19))))</formula>
    </cfRule>
  </conditionalFormatting>
  <dataValidations>
    <dataValidation type="list" allowBlank="1" sqref="Q27">
      <formula1>$Z$19:$Z$20</formula1>
    </dataValidation>
    <dataValidation type="list" allowBlank="1" sqref="P25">
      <formula1>"portfólio (A),classes em carteiras (B),ativos em carteiras (C)"</formula1>
    </dataValidation>
    <dataValidation type="list" allowBlank="1" showErrorMessage="1" sqref="C22">
      <formula1>'alocação'!$Y$5:$Y$7</formula1>
    </dataValidation>
    <dataValidation type="list" allowBlank="1" sqref="D23">
      <formula1>"% atual,% alvo,% atual ► alvo"</formula1>
    </dataValidation>
  </dataValidations>
  <drawing r:id="rId2"/>
  <legacyDrawing r:id="rId3"/>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FF"/>
    <outlinePr summaryBelow="0" summaryRight="0"/>
  </sheetPr>
  <sheetViews>
    <sheetView workbookViewId="0"/>
  </sheetViews>
  <sheetFormatPr customHeight="1" defaultColWidth="15.13" defaultRowHeight="15.75"/>
  <cols>
    <col customWidth="1" min="1" max="1" width="11.38"/>
    <col customWidth="1" min="2" max="2" width="15.13"/>
    <col customWidth="1" min="3" max="3" width="7.63"/>
    <col customWidth="1" min="4" max="4" width="11.38"/>
    <col customWidth="1" min="5" max="5" width="7.63"/>
    <col customWidth="1" min="6" max="6" width="8.25"/>
    <col customWidth="1" min="7" max="7" width="7.63"/>
    <col customWidth="1" min="8" max="8" width="11.38"/>
    <col customWidth="1" min="9" max="10" width="7.63"/>
    <col customWidth="1" min="11" max="11" width="15.13"/>
    <col customWidth="1" min="12" max="12" width="8.88"/>
    <col customWidth="1" min="14" max="14" width="1.63"/>
    <col customWidth="1" min="15" max="15" width="11.38"/>
    <col customWidth="1" min="16" max="16" width="15.13"/>
    <col customWidth="1" min="17" max="17" width="8.25"/>
    <col customWidth="1" min="18" max="18" width="11.38"/>
    <col customWidth="1" min="19" max="20" width="8.25"/>
    <col customWidth="1" min="21" max="21" width="7.63"/>
    <col customWidth="1" min="22" max="22" width="11.38"/>
    <col customWidth="1" min="23" max="23" width="11.75"/>
    <col customWidth="1" min="24" max="25" width="15.13"/>
  </cols>
  <sheetData>
    <row r="1">
      <c r="A1" s="639" t="s">
        <v>685</v>
      </c>
      <c r="B1" s="514"/>
      <c r="C1" s="514"/>
      <c r="D1" s="514"/>
      <c r="E1" s="514"/>
      <c r="F1" s="514"/>
      <c r="G1" s="514"/>
      <c r="H1" s="514"/>
      <c r="I1" s="514"/>
      <c r="J1" s="514"/>
      <c r="K1" s="514"/>
      <c r="L1" s="514"/>
      <c r="M1" s="217"/>
      <c r="N1" s="1025"/>
      <c r="O1" s="516" t="s">
        <v>445</v>
      </c>
      <c r="P1" s="514"/>
      <c r="Q1" s="514"/>
      <c r="R1" s="514"/>
      <c r="S1" s="514"/>
      <c r="T1" s="514"/>
      <c r="U1" s="514"/>
      <c r="V1" s="514"/>
      <c r="W1" s="514"/>
      <c r="X1" s="514"/>
      <c r="Y1" s="217"/>
    </row>
    <row r="2">
      <c r="A2" s="1026"/>
      <c r="M2" s="1027"/>
      <c r="N2" s="1025"/>
      <c r="O2" s="230"/>
      <c r="P2" s="519"/>
      <c r="Q2" s="519"/>
      <c r="R2" s="519"/>
      <c r="S2" s="519"/>
      <c r="T2" s="519"/>
      <c r="U2" s="519"/>
      <c r="V2" s="519"/>
      <c r="W2" s="519"/>
      <c r="X2" s="519"/>
      <c r="Y2" s="231"/>
    </row>
    <row r="3">
      <c r="A3" s="56"/>
      <c r="B3" s="56"/>
      <c r="C3" s="56"/>
      <c r="D3" s="1028"/>
      <c r="E3" s="1028"/>
      <c r="F3" s="1028"/>
      <c r="G3" s="1028"/>
      <c r="H3" s="1028"/>
      <c r="I3" s="56"/>
      <c r="J3" s="56"/>
      <c r="K3" s="56"/>
      <c r="L3" s="56"/>
      <c r="N3" s="1025"/>
      <c r="O3" s="699"/>
      <c r="P3" s="699"/>
      <c r="Q3" s="1029"/>
      <c r="R3" s="699"/>
      <c r="S3" s="699"/>
      <c r="T3" s="699"/>
      <c r="U3" s="699"/>
      <c r="V3" s="699"/>
      <c r="W3" s="699"/>
      <c r="X3" s="699"/>
      <c r="Y3" s="699"/>
    </row>
    <row r="4">
      <c r="A4" s="648" t="s">
        <v>390</v>
      </c>
      <c r="B4" s="649" t="s">
        <v>188</v>
      </c>
      <c r="C4" s="649" t="s">
        <v>391</v>
      </c>
      <c r="D4" s="650" t="s">
        <v>392</v>
      </c>
      <c r="E4" s="650" t="s">
        <v>393</v>
      </c>
      <c r="F4" s="650" t="s">
        <v>394</v>
      </c>
      <c r="G4" s="650" t="s">
        <v>395</v>
      </c>
      <c r="H4" s="650" t="s">
        <v>316</v>
      </c>
      <c r="I4" s="649" t="s">
        <v>396</v>
      </c>
      <c r="J4" s="649" t="s">
        <v>397</v>
      </c>
      <c r="K4" s="649" t="s">
        <v>398</v>
      </c>
      <c r="L4" s="649" t="s">
        <v>686</v>
      </c>
      <c r="M4" s="649" t="s">
        <v>687</v>
      </c>
      <c r="N4" s="1025"/>
      <c r="O4" s="648" t="s">
        <v>390</v>
      </c>
      <c r="P4" s="701" t="s">
        <v>188</v>
      </c>
      <c r="Q4" s="701" t="s">
        <v>391</v>
      </c>
      <c r="R4" s="701" t="s">
        <v>392</v>
      </c>
      <c r="S4" s="701" t="s">
        <v>431</v>
      </c>
      <c r="T4" s="701" t="s">
        <v>396</v>
      </c>
      <c r="U4" s="701" t="s">
        <v>397</v>
      </c>
      <c r="V4" s="701" t="s">
        <v>316</v>
      </c>
      <c r="W4" s="701" t="s">
        <v>432</v>
      </c>
      <c r="X4" s="701" t="s">
        <v>398</v>
      </c>
      <c r="Y4" s="701" t="s">
        <v>687</v>
      </c>
    </row>
    <row r="5">
      <c r="A5" s="653"/>
      <c r="B5" s="654"/>
      <c r="C5" s="655"/>
      <c r="D5" s="656"/>
      <c r="E5" s="657"/>
      <c r="F5" s="658"/>
      <c r="G5" s="659"/>
      <c r="H5" s="660"/>
      <c r="I5" s="659"/>
      <c r="J5" s="661"/>
      <c r="K5" s="658"/>
      <c r="L5" s="658"/>
      <c r="M5" s="658"/>
      <c r="N5" s="1025"/>
      <c r="O5" s="653"/>
      <c r="P5" s="654"/>
      <c r="Q5" s="1030"/>
      <c r="R5" s="661"/>
      <c r="S5" s="705"/>
      <c r="T5" s="659"/>
      <c r="U5" s="661"/>
      <c r="V5" s="660"/>
      <c r="W5" s="691"/>
      <c r="X5" s="661"/>
      <c r="Y5" s="661"/>
    </row>
    <row r="6">
      <c r="A6" s="653"/>
      <c r="B6" s="654"/>
      <c r="C6" s="655"/>
      <c r="D6" s="656"/>
      <c r="E6" s="657"/>
      <c r="F6" s="658"/>
      <c r="G6" s="659"/>
      <c r="H6" s="660"/>
      <c r="I6" s="659"/>
      <c r="J6" s="661"/>
      <c r="K6" s="658"/>
      <c r="L6" s="658"/>
      <c r="M6" s="658"/>
      <c r="N6" s="1025"/>
      <c r="O6" s="653"/>
      <c r="P6" s="654"/>
      <c r="Q6" s="1030"/>
      <c r="R6" s="661"/>
      <c r="S6" s="705"/>
      <c r="T6" s="659"/>
      <c r="U6" s="661"/>
      <c r="V6" s="660"/>
      <c r="W6" s="691"/>
      <c r="X6" s="661"/>
      <c r="Y6" s="661"/>
    </row>
    <row r="7">
      <c r="A7" s="653"/>
      <c r="B7" s="654"/>
      <c r="C7" s="655"/>
      <c r="D7" s="656"/>
      <c r="E7" s="657"/>
      <c r="F7" s="658"/>
      <c r="G7" s="659"/>
      <c r="H7" s="660"/>
      <c r="I7" s="659"/>
      <c r="J7" s="661"/>
      <c r="K7" s="658"/>
      <c r="L7" s="658"/>
      <c r="M7" s="658"/>
      <c r="N7" s="1025"/>
      <c r="O7" s="653"/>
      <c r="P7" s="654"/>
      <c r="Q7" s="1030"/>
      <c r="R7" s="661"/>
      <c r="S7" s="705"/>
      <c r="T7" s="659"/>
      <c r="U7" s="661"/>
      <c r="V7" s="660"/>
      <c r="W7" s="691"/>
      <c r="X7" s="661"/>
      <c r="Y7" s="661"/>
    </row>
    <row r="8">
      <c r="A8" s="653"/>
      <c r="B8" s="654"/>
      <c r="C8" s="655"/>
      <c r="D8" s="656"/>
      <c r="E8" s="657"/>
      <c r="F8" s="658"/>
      <c r="G8" s="659"/>
      <c r="H8" s="660"/>
      <c r="I8" s="659"/>
      <c r="J8" s="661"/>
      <c r="K8" s="658"/>
      <c r="L8" s="658"/>
      <c r="M8" s="658"/>
      <c r="N8" s="1025"/>
      <c r="O8" s="653"/>
      <c r="P8" s="654"/>
      <c r="Q8" s="1030"/>
      <c r="R8" s="661"/>
      <c r="S8" s="705"/>
      <c r="T8" s="659"/>
      <c r="U8" s="661"/>
      <c r="V8" s="660"/>
      <c r="W8" s="691"/>
      <c r="X8" s="661"/>
      <c r="Y8" s="661"/>
    </row>
    <row r="9">
      <c r="A9" s="653"/>
      <c r="B9" s="654"/>
      <c r="C9" s="655"/>
      <c r="D9" s="656"/>
      <c r="E9" s="657"/>
      <c r="F9" s="658"/>
      <c r="G9" s="659"/>
      <c r="H9" s="660"/>
      <c r="I9" s="659"/>
      <c r="J9" s="661"/>
      <c r="K9" s="658"/>
      <c r="L9" s="658"/>
      <c r="M9" s="658"/>
      <c r="N9" s="1025"/>
      <c r="O9" s="653"/>
      <c r="P9" s="654"/>
      <c r="Q9" s="1030"/>
      <c r="R9" s="661"/>
      <c r="S9" s="705"/>
      <c r="T9" s="659"/>
      <c r="U9" s="661"/>
      <c r="V9" s="660"/>
      <c r="W9" s="691"/>
      <c r="X9" s="661"/>
      <c r="Y9" s="661"/>
    </row>
    <row r="10">
      <c r="A10" s="653"/>
      <c r="B10" s="654"/>
      <c r="C10" s="655"/>
      <c r="D10" s="656"/>
      <c r="E10" s="657"/>
      <c r="F10" s="658"/>
      <c r="G10" s="659"/>
      <c r="H10" s="660"/>
      <c r="I10" s="659"/>
      <c r="J10" s="661"/>
      <c r="K10" s="658"/>
      <c r="L10" s="658"/>
      <c r="M10" s="658"/>
      <c r="N10" s="1025"/>
      <c r="O10" s="653"/>
      <c r="P10" s="654"/>
      <c r="Q10" s="1030"/>
      <c r="R10" s="661"/>
      <c r="S10" s="705"/>
      <c r="T10" s="659"/>
      <c r="U10" s="661"/>
      <c r="V10" s="660"/>
      <c r="W10" s="691"/>
      <c r="X10" s="661"/>
      <c r="Y10" s="661"/>
    </row>
    <row r="11">
      <c r="A11" s="653"/>
      <c r="B11" s="654"/>
      <c r="C11" s="655"/>
      <c r="D11" s="656"/>
      <c r="E11" s="657"/>
      <c r="F11" s="658"/>
      <c r="G11" s="659"/>
      <c r="H11" s="660"/>
      <c r="I11" s="659"/>
      <c r="J11" s="661"/>
      <c r="K11" s="658"/>
      <c r="L11" s="658"/>
      <c r="M11" s="658"/>
      <c r="N11" s="1025"/>
      <c r="O11" s="653"/>
      <c r="P11" s="654"/>
      <c r="Q11" s="1030"/>
      <c r="R11" s="661"/>
      <c r="S11" s="705"/>
      <c r="T11" s="659"/>
      <c r="U11" s="661"/>
      <c r="V11" s="660"/>
      <c r="W11" s="691"/>
      <c r="X11" s="661"/>
      <c r="Y11" s="661"/>
    </row>
    <row r="12">
      <c r="A12" s="653"/>
      <c r="B12" s="654"/>
      <c r="C12" s="655"/>
      <c r="D12" s="656"/>
      <c r="E12" s="657"/>
      <c r="F12" s="658"/>
      <c r="G12" s="659"/>
      <c r="H12" s="660"/>
      <c r="I12" s="659"/>
      <c r="J12" s="661"/>
      <c r="K12" s="658"/>
      <c r="L12" s="658"/>
      <c r="M12" s="658"/>
      <c r="N12" s="1025"/>
      <c r="O12" s="653"/>
      <c r="P12" s="654"/>
      <c r="Q12" s="1030"/>
      <c r="R12" s="661"/>
      <c r="S12" s="705"/>
      <c r="T12" s="659"/>
      <c r="U12" s="661"/>
      <c r="V12" s="660"/>
      <c r="W12" s="691"/>
      <c r="X12" s="661"/>
      <c r="Y12" s="661"/>
    </row>
    <row r="13">
      <c r="A13" s="653"/>
      <c r="B13" s="654"/>
      <c r="C13" s="655"/>
      <c r="D13" s="656"/>
      <c r="E13" s="657"/>
      <c r="F13" s="658"/>
      <c r="G13" s="659"/>
      <c r="H13" s="660"/>
      <c r="I13" s="659"/>
      <c r="J13" s="661"/>
      <c r="K13" s="658"/>
      <c r="L13" s="658"/>
      <c r="M13" s="658"/>
      <c r="N13" s="1025"/>
      <c r="O13" s="653"/>
      <c r="P13" s="654"/>
      <c r="Q13" s="1030"/>
      <c r="R13" s="661"/>
      <c r="S13" s="705"/>
      <c r="T13" s="659"/>
      <c r="U13" s="661"/>
      <c r="V13" s="660"/>
      <c r="W13" s="691"/>
      <c r="X13" s="661"/>
      <c r="Y13" s="661"/>
    </row>
    <row r="14">
      <c r="A14" s="653"/>
      <c r="B14" s="654"/>
      <c r="C14" s="655"/>
      <c r="D14" s="656"/>
      <c r="E14" s="657"/>
      <c r="F14" s="658"/>
      <c r="G14" s="659"/>
      <c r="H14" s="660"/>
      <c r="I14" s="659"/>
      <c r="J14" s="661"/>
      <c r="K14" s="658"/>
      <c r="L14" s="658"/>
      <c r="M14" s="658"/>
      <c r="N14" s="1025"/>
      <c r="O14" s="653"/>
      <c r="P14" s="654"/>
      <c r="Q14" s="1030"/>
      <c r="R14" s="661"/>
      <c r="S14" s="705"/>
      <c r="T14" s="659"/>
      <c r="U14" s="661"/>
      <c r="V14" s="660"/>
      <c r="W14" s="691"/>
      <c r="X14" s="661"/>
      <c r="Y14" s="661"/>
    </row>
    <row r="15">
      <c r="A15" s="653"/>
      <c r="B15" s="654"/>
      <c r="C15" s="655"/>
      <c r="D15" s="656"/>
      <c r="E15" s="657"/>
      <c r="F15" s="658"/>
      <c r="G15" s="659"/>
      <c r="H15" s="660"/>
      <c r="I15" s="659"/>
      <c r="J15" s="661"/>
      <c r="K15" s="658"/>
      <c r="L15" s="658"/>
      <c r="M15" s="658"/>
      <c r="N15" s="1025"/>
      <c r="O15" s="653"/>
      <c r="P15" s="654"/>
      <c r="Q15" s="1030"/>
      <c r="R15" s="661"/>
      <c r="S15" s="705"/>
      <c r="T15" s="659"/>
      <c r="U15" s="661"/>
      <c r="V15" s="660"/>
      <c r="W15" s="691"/>
      <c r="X15" s="661"/>
      <c r="Y15" s="661"/>
    </row>
    <row r="16">
      <c r="A16" s="653"/>
      <c r="B16" s="654"/>
      <c r="C16" s="655"/>
      <c r="D16" s="656"/>
      <c r="E16" s="657"/>
      <c r="F16" s="658"/>
      <c r="G16" s="659"/>
      <c r="H16" s="660"/>
      <c r="I16" s="659"/>
      <c r="J16" s="661"/>
      <c r="K16" s="658"/>
      <c r="L16" s="658"/>
      <c r="M16" s="658"/>
      <c r="N16" s="1025"/>
      <c r="O16" s="653"/>
      <c r="P16" s="654"/>
      <c r="Q16" s="1030"/>
      <c r="R16" s="661"/>
      <c r="S16" s="705"/>
      <c r="T16" s="659"/>
      <c r="U16" s="661"/>
      <c r="V16" s="660"/>
      <c r="W16" s="691"/>
      <c r="X16" s="661"/>
      <c r="Y16" s="661"/>
    </row>
    <row r="17">
      <c r="A17" s="653"/>
      <c r="B17" s="654"/>
      <c r="C17" s="655"/>
      <c r="D17" s="656"/>
      <c r="E17" s="657"/>
      <c r="F17" s="658"/>
      <c r="G17" s="659"/>
      <c r="H17" s="660"/>
      <c r="I17" s="659"/>
      <c r="J17" s="661"/>
      <c r="K17" s="658"/>
      <c r="L17" s="658"/>
      <c r="M17" s="658"/>
      <c r="N17" s="1025"/>
      <c r="O17" s="653"/>
      <c r="P17" s="654"/>
      <c r="Q17" s="1030"/>
      <c r="R17" s="661"/>
      <c r="S17" s="705"/>
      <c r="T17" s="659"/>
      <c r="U17" s="661"/>
      <c r="V17" s="660"/>
      <c r="W17" s="691"/>
      <c r="X17" s="661"/>
      <c r="Y17" s="661"/>
    </row>
    <row r="18">
      <c r="A18" s="653"/>
      <c r="B18" s="654"/>
      <c r="C18" s="655"/>
      <c r="D18" s="656"/>
      <c r="E18" s="657"/>
      <c r="F18" s="658"/>
      <c r="G18" s="659"/>
      <c r="H18" s="660"/>
      <c r="I18" s="659"/>
      <c r="J18" s="661"/>
      <c r="K18" s="658"/>
      <c r="L18" s="658"/>
      <c r="M18" s="658"/>
      <c r="N18" s="1025"/>
      <c r="O18" s="653"/>
      <c r="P18" s="654"/>
      <c r="Q18" s="1030"/>
      <c r="R18" s="661"/>
      <c r="S18" s="705"/>
      <c r="T18" s="659"/>
      <c r="U18" s="661"/>
      <c r="V18" s="660"/>
      <c r="W18" s="691"/>
      <c r="X18" s="661"/>
      <c r="Y18" s="661"/>
    </row>
    <row r="19">
      <c r="A19" s="653"/>
      <c r="B19" s="654"/>
      <c r="C19" s="655"/>
      <c r="D19" s="656"/>
      <c r="E19" s="657"/>
      <c r="F19" s="658"/>
      <c r="G19" s="659"/>
      <c r="H19" s="660"/>
      <c r="I19" s="659"/>
      <c r="J19" s="661"/>
      <c r="K19" s="658"/>
      <c r="L19" s="658"/>
      <c r="M19" s="658"/>
      <c r="N19" s="1025"/>
      <c r="O19" s="653"/>
      <c r="P19" s="654"/>
      <c r="Q19" s="1030"/>
      <c r="R19" s="661"/>
      <c r="S19" s="705"/>
      <c r="T19" s="659"/>
      <c r="U19" s="661"/>
      <c r="V19" s="660"/>
      <c r="W19" s="691"/>
      <c r="X19" s="661"/>
      <c r="Y19" s="661"/>
    </row>
    <row r="20">
      <c r="A20" s="653"/>
      <c r="B20" s="654"/>
      <c r="C20" s="655"/>
      <c r="D20" s="656"/>
      <c r="E20" s="657"/>
      <c r="F20" s="658"/>
      <c r="G20" s="659"/>
      <c r="H20" s="660"/>
      <c r="I20" s="659"/>
      <c r="J20" s="661"/>
      <c r="K20" s="658"/>
      <c r="L20" s="658"/>
      <c r="M20" s="658"/>
      <c r="N20" s="1025"/>
      <c r="O20" s="653"/>
      <c r="P20" s="654"/>
      <c r="Q20" s="1030"/>
      <c r="R20" s="661"/>
      <c r="S20" s="705"/>
      <c r="T20" s="659"/>
      <c r="U20" s="661"/>
      <c r="V20" s="660"/>
      <c r="W20" s="691"/>
      <c r="X20" s="661"/>
      <c r="Y20" s="661"/>
    </row>
    <row r="21">
      <c r="A21" s="653"/>
      <c r="B21" s="654"/>
      <c r="C21" s="655"/>
      <c r="D21" s="656"/>
      <c r="E21" s="657"/>
      <c r="F21" s="658"/>
      <c r="G21" s="659"/>
      <c r="H21" s="660"/>
      <c r="I21" s="659"/>
      <c r="J21" s="661"/>
      <c r="K21" s="658"/>
      <c r="L21" s="658"/>
      <c r="M21" s="658"/>
      <c r="N21" s="1025"/>
      <c r="O21" s="653"/>
      <c r="P21" s="654"/>
      <c r="Q21" s="1030"/>
      <c r="R21" s="661"/>
      <c r="S21" s="705"/>
      <c r="T21" s="659"/>
      <c r="U21" s="661"/>
      <c r="V21" s="660"/>
      <c r="W21" s="691"/>
      <c r="X21" s="661"/>
      <c r="Y21" s="661"/>
    </row>
    <row r="22">
      <c r="A22" s="653"/>
      <c r="B22" s="654"/>
      <c r="C22" s="655"/>
      <c r="D22" s="656"/>
      <c r="E22" s="657"/>
      <c r="F22" s="658"/>
      <c r="G22" s="659"/>
      <c r="H22" s="660"/>
      <c r="I22" s="659"/>
      <c r="J22" s="661"/>
      <c r="K22" s="658"/>
      <c r="L22" s="658"/>
      <c r="M22" s="658"/>
      <c r="N22" s="1025"/>
      <c r="O22" s="653"/>
      <c r="P22" s="654"/>
      <c r="Q22" s="1030"/>
      <c r="R22" s="661"/>
      <c r="S22" s="705"/>
      <c r="T22" s="659"/>
      <c r="U22" s="661"/>
      <c r="V22" s="660"/>
      <c r="W22" s="691"/>
      <c r="X22" s="661"/>
      <c r="Y22" s="661"/>
    </row>
    <row r="23">
      <c r="A23" s="653"/>
      <c r="B23" s="654"/>
      <c r="C23" s="655"/>
      <c r="D23" s="656"/>
      <c r="E23" s="657"/>
      <c r="F23" s="658"/>
      <c r="G23" s="659"/>
      <c r="H23" s="660"/>
      <c r="I23" s="659"/>
      <c r="J23" s="661"/>
      <c r="K23" s="658"/>
      <c r="L23" s="658"/>
      <c r="M23" s="658"/>
      <c r="N23" s="1025"/>
      <c r="O23" s="653"/>
      <c r="P23" s="654"/>
      <c r="Q23" s="1030"/>
      <c r="R23" s="661"/>
      <c r="S23" s="705"/>
      <c r="T23" s="659"/>
      <c r="U23" s="661"/>
      <c r="V23" s="660"/>
      <c r="W23" s="691"/>
      <c r="X23" s="661"/>
      <c r="Y23" s="661"/>
    </row>
    <row r="24">
      <c r="A24" s="653"/>
      <c r="B24" s="654"/>
      <c r="C24" s="655"/>
      <c r="D24" s="656"/>
      <c r="E24" s="657"/>
      <c r="F24" s="658"/>
      <c r="G24" s="659"/>
      <c r="H24" s="660"/>
      <c r="I24" s="659"/>
      <c r="J24" s="661"/>
      <c r="K24" s="658"/>
      <c r="L24" s="658"/>
      <c r="M24" s="658"/>
      <c r="N24" s="1025"/>
      <c r="O24" s="653"/>
      <c r="P24" s="654"/>
      <c r="Q24" s="1030"/>
      <c r="R24" s="661"/>
      <c r="S24" s="705"/>
      <c r="T24" s="659"/>
      <c r="U24" s="661"/>
      <c r="V24" s="660"/>
      <c r="W24" s="691"/>
      <c r="X24" s="661"/>
      <c r="Y24" s="661"/>
    </row>
    <row r="25">
      <c r="A25" s="653"/>
      <c r="B25" s="654"/>
      <c r="C25" s="655"/>
      <c r="D25" s="656"/>
      <c r="E25" s="657"/>
      <c r="F25" s="658"/>
      <c r="G25" s="659"/>
      <c r="H25" s="660"/>
      <c r="I25" s="659"/>
      <c r="J25" s="661"/>
      <c r="K25" s="658"/>
      <c r="L25" s="658"/>
      <c r="M25" s="658"/>
      <c r="N25" s="1025"/>
      <c r="O25" s="653"/>
      <c r="P25" s="654"/>
      <c r="Q25" s="1030"/>
      <c r="R25" s="661"/>
      <c r="S25" s="705"/>
      <c r="T25" s="659"/>
      <c r="U25" s="661"/>
      <c r="V25" s="660"/>
      <c r="W25" s="691"/>
      <c r="X25" s="661"/>
      <c r="Y25" s="661"/>
    </row>
    <row r="26">
      <c r="A26" s="653"/>
      <c r="B26" s="654"/>
      <c r="C26" s="655"/>
      <c r="D26" s="656"/>
      <c r="E26" s="657"/>
      <c r="F26" s="658"/>
      <c r="G26" s="659"/>
      <c r="H26" s="660"/>
      <c r="I26" s="659"/>
      <c r="J26" s="661"/>
      <c r="K26" s="658"/>
      <c r="L26" s="658"/>
      <c r="M26" s="658"/>
      <c r="N26" s="1025"/>
      <c r="O26" s="653"/>
      <c r="P26" s="654"/>
      <c r="Q26" s="1030"/>
      <c r="R26" s="661"/>
      <c r="S26" s="705"/>
      <c r="T26" s="659"/>
      <c r="U26" s="661"/>
      <c r="V26" s="660"/>
      <c r="W26" s="691"/>
      <c r="X26" s="661"/>
      <c r="Y26" s="661"/>
    </row>
    <row r="27">
      <c r="A27" s="653"/>
      <c r="B27" s="654"/>
      <c r="C27" s="655"/>
      <c r="D27" s="656"/>
      <c r="E27" s="657"/>
      <c r="F27" s="658"/>
      <c r="G27" s="659"/>
      <c r="H27" s="660"/>
      <c r="I27" s="659"/>
      <c r="J27" s="661"/>
      <c r="K27" s="658"/>
      <c r="L27" s="658"/>
      <c r="M27" s="658"/>
      <c r="N27" s="1025"/>
      <c r="O27" s="653"/>
      <c r="P27" s="654"/>
      <c r="Q27" s="1030"/>
      <c r="R27" s="661"/>
      <c r="S27" s="705"/>
      <c r="T27" s="659"/>
      <c r="U27" s="661"/>
      <c r="V27" s="660"/>
      <c r="W27" s="691"/>
      <c r="X27" s="661"/>
      <c r="Y27" s="661"/>
    </row>
    <row r="28">
      <c r="A28" s="653"/>
      <c r="B28" s="654"/>
      <c r="C28" s="655"/>
      <c r="D28" s="656"/>
      <c r="E28" s="657"/>
      <c r="F28" s="658"/>
      <c r="G28" s="659"/>
      <c r="H28" s="660"/>
      <c r="I28" s="659"/>
      <c r="J28" s="661"/>
      <c r="K28" s="658"/>
      <c r="L28" s="658"/>
      <c r="M28" s="658"/>
      <c r="N28" s="1025"/>
      <c r="O28" s="653"/>
      <c r="P28" s="654"/>
      <c r="Q28" s="1030"/>
      <c r="R28" s="661"/>
      <c r="S28" s="705"/>
      <c r="T28" s="659"/>
      <c r="U28" s="661"/>
      <c r="V28" s="660"/>
      <c r="W28" s="691"/>
      <c r="X28" s="661"/>
      <c r="Y28" s="661"/>
    </row>
    <row r="29">
      <c r="A29" s="653"/>
      <c r="B29" s="654"/>
      <c r="C29" s="655"/>
      <c r="D29" s="656"/>
      <c r="E29" s="657"/>
      <c r="F29" s="658"/>
      <c r="G29" s="659"/>
      <c r="H29" s="660"/>
      <c r="I29" s="659"/>
      <c r="J29" s="661"/>
      <c r="K29" s="658"/>
      <c r="L29" s="658"/>
      <c r="M29" s="658"/>
      <c r="N29" s="1025"/>
      <c r="O29" s="653"/>
      <c r="P29" s="654"/>
      <c r="Q29" s="1030"/>
      <c r="R29" s="661"/>
      <c r="S29" s="705"/>
      <c r="T29" s="659"/>
      <c r="U29" s="661"/>
      <c r="V29" s="660"/>
      <c r="W29" s="691"/>
      <c r="X29" s="661"/>
      <c r="Y29" s="661"/>
    </row>
    <row r="30">
      <c r="A30" s="653"/>
      <c r="B30" s="654"/>
      <c r="C30" s="655"/>
      <c r="D30" s="656"/>
      <c r="E30" s="657"/>
      <c r="F30" s="658"/>
      <c r="G30" s="659"/>
      <c r="H30" s="660"/>
      <c r="I30" s="659"/>
      <c r="J30" s="661"/>
      <c r="K30" s="658"/>
      <c r="L30" s="658"/>
      <c r="M30" s="658"/>
      <c r="N30" s="1025"/>
      <c r="O30" s="653"/>
      <c r="P30" s="654"/>
      <c r="Q30" s="1030"/>
      <c r="R30" s="661"/>
      <c r="S30" s="705"/>
      <c r="T30" s="659"/>
      <c r="U30" s="661"/>
      <c r="V30" s="660"/>
      <c r="W30" s="691"/>
      <c r="X30" s="661"/>
      <c r="Y30" s="661"/>
    </row>
    <row r="31">
      <c r="A31" s="653"/>
      <c r="B31" s="654"/>
      <c r="C31" s="655"/>
      <c r="D31" s="656"/>
      <c r="E31" s="657"/>
      <c r="F31" s="658"/>
      <c r="G31" s="659"/>
      <c r="H31" s="660"/>
      <c r="I31" s="659"/>
      <c r="J31" s="661"/>
      <c r="K31" s="658"/>
      <c r="L31" s="658"/>
      <c r="M31" s="658"/>
      <c r="N31" s="1025"/>
      <c r="O31" s="653"/>
      <c r="P31" s="654"/>
      <c r="Q31" s="1030"/>
      <c r="R31" s="661"/>
      <c r="S31" s="705"/>
      <c r="T31" s="659"/>
      <c r="U31" s="661"/>
      <c r="V31" s="660"/>
      <c r="W31" s="691"/>
      <c r="X31" s="661"/>
      <c r="Y31" s="661"/>
    </row>
    <row r="32">
      <c r="A32" s="653"/>
      <c r="B32" s="654"/>
      <c r="C32" s="655"/>
      <c r="D32" s="656"/>
      <c r="E32" s="657"/>
      <c r="F32" s="658"/>
      <c r="G32" s="659"/>
      <c r="H32" s="660"/>
      <c r="I32" s="659"/>
      <c r="J32" s="661"/>
      <c r="K32" s="658"/>
      <c r="L32" s="658"/>
      <c r="M32" s="658"/>
      <c r="N32" s="1025"/>
      <c r="O32" s="653"/>
      <c r="P32" s="654"/>
      <c r="Q32" s="1030"/>
      <c r="R32" s="661"/>
      <c r="S32" s="705"/>
      <c r="T32" s="659"/>
      <c r="U32" s="661"/>
      <c r="V32" s="660"/>
      <c r="W32" s="691"/>
      <c r="X32" s="661"/>
      <c r="Y32" s="661"/>
    </row>
    <row r="33">
      <c r="A33" s="653"/>
      <c r="B33" s="654"/>
      <c r="C33" s="655"/>
      <c r="D33" s="656"/>
      <c r="E33" s="657"/>
      <c r="F33" s="658"/>
      <c r="G33" s="659"/>
      <c r="H33" s="660"/>
      <c r="I33" s="659"/>
      <c r="J33" s="661"/>
      <c r="K33" s="658"/>
      <c r="L33" s="658"/>
      <c r="M33" s="658"/>
      <c r="N33" s="1025"/>
      <c r="O33" s="653"/>
      <c r="P33" s="654"/>
      <c r="Q33" s="1030"/>
      <c r="R33" s="661"/>
      <c r="S33" s="705"/>
      <c r="T33" s="659"/>
      <c r="U33" s="661"/>
      <c r="V33" s="660"/>
      <c r="W33" s="691"/>
      <c r="X33" s="661"/>
      <c r="Y33" s="661"/>
    </row>
    <row r="34">
      <c r="A34" s="653"/>
      <c r="B34" s="654"/>
      <c r="C34" s="655"/>
      <c r="D34" s="656"/>
      <c r="E34" s="657"/>
      <c r="F34" s="658"/>
      <c r="G34" s="659"/>
      <c r="H34" s="660"/>
      <c r="I34" s="659"/>
      <c r="J34" s="661"/>
      <c r="K34" s="658"/>
      <c r="L34" s="658"/>
      <c r="M34" s="658"/>
      <c r="N34" s="1025"/>
      <c r="O34" s="653"/>
      <c r="P34" s="654"/>
      <c r="Q34" s="1030"/>
      <c r="R34" s="661"/>
      <c r="S34" s="705"/>
      <c r="T34" s="659"/>
      <c r="U34" s="661"/>
      <c r="V34" s="660"/>
      <c r="W34" s="691"/>
      <c r="X34" s="661"/>
      <c r="Y34" s="661"/>
    </row>
    <row r="35">
      <c r="A35" s="653"/>
      <c r="B35" s="654"/>
      <c r="C35" s="655"/>
      <c r="D35" s="656"/>
      <c r="E35" s="657"/>
      <c r="F35" s="658"/>
      <c r="G35" s="659"/>
      <c r="H35" s="660"/>
      <c r="I35" s="659"/>
      <c r="J35" s="661"/>
      <c r="K35" s="658"/>
      <c r="L35" s="658"/>
      <c r="M35" s="658"/>
      <c r="N35" s="1025"/>
      <c r="O35" s="653"/>
      <c r="P35" s="654"/>
      <c r="Q35" s="1030"/>
      <c r="R35" s="661"/>
      <c r="S35" s="705"/>
      <c r="T35" s="659"/>
      <c r="U35" s="661"/>
      <c r="V35" s="660"/>
      <c r="W35" s="691"/>
      <c r="X35" s="661"/>
      <c r="Y35" s="661"/>
    </row>
    <row r="36">
      <c r="A36" s="653"/>
      <c r="B36" s="654"/>
      <c r="C36" s="655"/>
      <c r="D36" s="656"/>
      <c r="E36" s="657"/>
      <c r="F36" s="658"/>
      <c r="G36" s="659"/>
      <c r="H36" s="660"/>
      <c r="I36" s="659"/>
      <c r="J36" s="661"/>
      <c r="K36" s="658"/>
      <c r="L36" s="658"/>
      <c r="M36" s="658"/>
      <c r="N36" s="1025"/>
      <c r="O36" s="653"/>
      <c r="P36" s="654"/>
      <c r="Q36" s="1030"/>
      <c r="R36" s="661"/>
      <c r="S36" s="705"/>
      <c r="T36" s="659"/>
      <c r="U36" s="661"/>
      <c r="V36" s="660"/>
      <c r="W36" s="691"/>
      <c r="X36" s="661"/>
      <c r="Y36" s="661"/>
    </row>
    <row r="37">
      <c r="A37" s="653"/>
      <c r="B37" s="654"/>
      <c r="C37" s="655"/>
      <c r="D37" s="656"/>
      <c r="E37" s="657"/>
      <c r="F37" s="658"/>
      <c r="G37" s="659"/>
      <c r="H37" s="660"/>
      <c r="I37" s="659"/>
      <c r="J37" s="661"/>
      <c r="K37" s="658"/>
      <c r="L37" s="658"/>
      <c r="M37" s="658"/>
      <c r="N37" s="1025"/>
      <c r="O37" s="653"/>
      <c r="P37" s="654"/>
      <c r="Q37" s="1030"/>
      <c r="R37" s="661"/>
      <c r="S37" s="705"/>
      <c r="T37" s="659"/>
      <c r="U37" s="661"/>
      <c r="V37" s="660"/>
      <c r="W37" s="691"/>
      <c r="X37" s="661"/>
      <c r="Y37" s="661"/>
    </row>
    <row r="38">
      <c r="A38" s="653"/>
      <c r="B38" s="654"/>
      <c r="C38" s="655"/>
      <c r="D38" s="656"/>
      <c r="E38" s="657"/>
      <c r="F38" s="658"/>
      <c r="G38" s="659"/>
      <c r="H38" s="660"/>
      <c r="I38" s="659"/>
      <c r="J38" s="661"/>
      <c r="K38" s="658"/>
      <c r="L38" s="658"/>
      <c r="M38" s="658"/>
      <c r="N38" s="1025"/>
      <c r="O38" s="653"/>
      <c r="P38" s="654"/>
      <c r="Q38" s="1030"/>
      <c r="R38" s="661"/>
      <c r="S38" s="705"/>
      <c r="T38" s="659"/>
      <c r="U38" s="661"/>
      <c r="V38" s="660"/>
      <c r="W38" s="691"/>
      <c r="X38" s="661"/>
      <c r="Y38" s="661"/>
    </row>
    <row r="39">
      <c r="A39" s="653"/>
      <c r="B39" s="654"/>
      <c r="C39" s="655"/>
      <c r="D39" s="656"/>
      <c r="E39" s="657"/>
      <c r="F39" s="658"/>
      <c r="G39" s="659"/>
      <c r="H39" s="660"/>
      <c r="I39" s="659"/>
      <c r="J39" s="661"/>
      <c r="K39" s="658"/>
      <c r="L39" s="658"/>
      <c r="M39" s="658"/>
      <c r="N39" s="1025"/>
      <c r="O39" s="653"/>
      <c r="P39" s="654"/>
      <c r="Q39" s="1030"/>
      <c r="R39" s="661"/>
      <c r="S39" s="705"/>
      <c r="T39" s="659"/>
      <c r="U39" s="661"/>
      <c r="V39" s="660"/>
      <c r="W39" s="691"/>
      <c r="X39" s="661"/>
      <c r="Y39" s="661"/>
    </row>
    <row r="40">
      <c r="A40" s="653"/>
      <c r="B40" s="654"/>
      <c r="C40" s="655"/>
      <c r="D40" s="656"/>
      <c r="E40" s="657"/>
      <c r="F40" s="658"/>
      <c r="G40" s="659"/>
      <c r="H40" s="660"/>
      <c r="I40" s="659"/>
      <c r="J40" s="661"/>
      <c r="K40" s="658"/>
      <c r="L40" s="658"/>
      <c r="M40" s="658"/>
      <c r="N40" s="1025"/>
      <c r="O40" s="653"/>
      <c r="P40" s="654"/>
      <c r="Q40" s="1030"/>
      <c r="R40" s="661"/>
      <c r="S40" s="705"/>
      <c r="T40" s="659"/>
      <c r="U40" s="661"/>
      <c r="V40" s="660"/>
      <c r="W40" s="691"/>
      <c r="X40" s="661"/>
      <c r="Y40" s="661"/>
    </row>
    <row r="41">
      <c r="A41" s="653"/>
      <c r="B41" s="654"/>
      <c r="C41" s="655"/>
      <c r="D41" s="656"/>
      <c r="E41" s="657"/>
      <c r="F41" s="658"/>
      <c r="G41" s="659"/>
      <c r="H41" s="660"/>
      <c r="I41" s="659"/>
      <c r="J41" s="661"/>
      <c r="K41" s="658"/>
      <c r="L41" s="658"/>
      <c r="M41" s="658"/>
      <c r="N41" s="1025"/>
      <c r="O41" s="653"/>
      <c r="P41" s="654"/>
      <c r="Q41" s="1030"/>
      <c r="R41" s="661"/>
      <c r="S41" s="705"/>
      <c r="T41" s="659"/>
      <c r="U41" s="661"/>
      <c r="V41" s="660"/>
      <c r="W41" s="691"/>
      <c r="X41" s="661"/>
      <c r="Y41" s="661"/>
    </row>
    <row r="42">
      <c r="A42" s="653"/>
      <c r="B42" s="654"/>
      <c r="C42" s="655"/>
      <c r="D42" s="656"/>
      <c r="E42" s="657"/>
      <c r="F42" s="658"/>
      <c r="G42" s="659"/>
      <c r="H42" s="660"/>
      <c r="I42" s="659"/>
      <c r="J42" s="661"/>
      <c r="K42" s="658"/>
      <c r="L42" s="658"/>
      <c r="M42" s="658"/>
      <c r="N42" s="1025"/>
      <c r="O42" s="653"/>
      <c r="P42" s="654"/>
      <c r="Q42" s="1030"/>
      <c r="R42" s="661"/>
      <c r="S42" s="705"/>
      <c r="T42" s="659"/>
      <c r="U42" s="661"/>
      <c r="V42" s="660"/>
      <c r="W42" s="691"/>
      <c r="X42" s="661"/>
      <c r="Y42" s="661"/>
    </row>
    <row r="43">
      <c r="A43" s="653"/>
      <c r="B43" s="654"/>
      <c r="C43" s="655"/>
      <c r="D43" s="656"/>
      <c r="E43" s="657"/>
      <c r="F43" s="658"/>
      <c r="G43" s="659"/>
      <c r="H43" s="660"/>
      <c r="I43" s="659"/>
      <c r="J43" s="661"/>
      <c r="K43" s="658"/>
      <c r="L43" s="658"/>
      <c r="M43" s="658"/>
      <c r="N43" s="1025"/>
      <c r="O43" s="653"/>
      <c r="P43" s="654"/>
      <c r="Q43" s="1030"/>
      <c r="R43" s="661"/>
      <c r="S43" s="705"/>
      <c r="T43" s="659"/>
      <c r="U43" s="661"/>
      <c r="V43" s="660"/>
      <c r="W43" s="691"/>
      <c r="X43" s="661"/>
      <c r="Y43" s="661"/>
    </row>
    <row r="44">
      <c r="A44" s="653"/>
      <c r="B44" s="654"/>
      <c r="C44" s="655"/>
      <c r="D44" s="656"/>
      <c r="E44" s="657"/>
      <c r="F44" s="658"/>
      <c r="G44" s="659"/>
      <c r="H44" s="660"/>
      <c r="I44" s="659"/>
      <c r="J44" s="661"/>
      <c r="K44" s="658"/>
      <c r="L44" s="658"/>
      <c r="M44" s="658"/>
      <c r="N44" s="1025"/>
      <c r="O44" s="653"/>
      <c r="P44" s="654"/>
      <c r="Q44" s="1030"/>
      <c r="R44" s="661"/>
      <c r="S44" s="705"/>
      <c r="T44" s="659"/>
      <c r="U44" s="661"/>
      <c r="V44" s="660"/>
      <c r="W44" s="691"/>
      <c r="X44" s="661"/>
      <c r="Y44" s="661"/>
    </row>
    <row r="45">
      <c r="A45" s="653"/>
      <c r="B45" s="654"/>
      <c r="C45" s="655"/>
      <c r="D45" s="656"/>
      <c r="E45" s="657"/>
      <c r="F45" s="658"/>
      <c r="G45" s="659"/>
      <c r="H45" s="660"/>
      <c r="I45" s="659"/>
      <c r="J45" s="661"/>
      <c r="K45" s="658"/>
      <c r="L45" s="658"/>
      <c r="M45" s="658"/>
      <c r="N45" s="1025"/>
      <c r="O45" s="653"/>
      <c r="P45" s="654"/>
      <c r="Q45" s="1030"/>
      <c r="R45" s="661"/>
      <c r="S45" s="705"/>
      <c r="T45" s="659"/>
      <c r="U45" s="661"/>
      <c r="V45" s="660"/>
      <c r="W45" s="691"/>
      <c r="X45" s="661"/>
      <c r="Y45" s="661"/>
    </row>
    <row r="46">
      <c r="A46" s="653"/>
      <c r="B46" s="654"/>
      <c r="C46" s="655"/>
      <c r="D46" s="656"/>
      <c r="E46" s="657"/>
      <c r="F46" s="658"/>
      <c r="G46" s="659"/>
      <c r="H46" s="660"/>
      <c r="I46" s="659"/>
      <c r="J46" s="661"/>
      <c r="K46" s="658"/>
      <c r="L46" s="658"/>
      <c r="M46" s="658"/>
      <c r="N46" s="1025"/>
      <c r="O46" s="653"/>
      <c r="P46" s="654"/>
      <c r="Q46" s="1030"/>
      <c r="R46" s="661"/>
      <c r="S46" s="705"/>
      <c r="T46" s="659"/>
      <c r="U46" s="661"/>
      <c r="V46" s="660"/>
      <c r="W46" s="691"/>
      <c r="X46" s="661"/>
      <c r="Y46" s="661"/>
    </row>
    <row r="47">
      <c r="A47" s="653"/>
      <c r="B47" s="654"/>
      <c r="C47" s="655"/>
      <c r="D47" s="656"/>
      <c r="E47" s="657"/>
      <c r="F47" s="658"/>
      <c r="G47" s="659"/>
      <c r="H47" s="660"/>
      <c r="I47" s="659"/>
      <c r="J47" s="661"/>
      <c r="K47" s="658"/>
      <c r="L47" s="658"/>
      <c r="M47" s="658"/>
      <c r="N47" s="1025"/>
      <c r="O47" s="653"/>
      <c r="P47" s="654"/>
      <c r="Q47" s="1030"/>
      <c r="R47" s="661"/>
      <c r="S47" s="705"/>
      <c r="T47" s="659"/>
      <c r="U47" s="661"/>
      <c r="V47" s="660"/>
      <c r="W47" s="691"/>
      <c r="X47" s="661"/>
      <c r="Y47" s="661"/>
    </row>
    <row r="48">
      <c r="A48" s="653"/>
      <c r="B48" s="654"/>
      <c r="C48" s="655"/>
      <c r="D48" s="656"/>
      <c r="E48" s="657"/>
      <c r="F48" s="658"/>
      <c r="G48" s="659"/>
      <c r="H48" s="660"/>
      <c r="I48" s="659"/>
      <c r="J48" s="661"/>
      <c r="K48" s="658"/>
      <c r="L48" s="658"/>
      <c r="M48" s="658"/>
      <c r="N48" s="1025"/>
      <c r="O48" s="653"/>
      <c r="P48" s="654"/>
      <c r="Q48" s="1030"/>
      <c r="R48" s="661"/>
      <c r="S48" s="705"/>
      <c r="T48" s="659"/>
      <c r="U48" s="661"/>
      <c r="V48" s="660"/>
      <c r="W48" s="691"/>
      <c r="X48" s="661"/>
      <c r="Y48" s="661"/>
    </row>
    <row r="49">
      <c r="A49" s="653"/>
      <c r="B49" s="654"/>
      <c r="C49" s="655"/>
      <c r="D49" s="656"/>
      <c r="E49" s="657"/>
      <c r="F49" s="658"/>
      <c r="G49" s="659"/>
      <c r="H49" s="660"/>
      <c r="I49" s="659"/>
      <c r="J49" s="661"/>
      <c r="K49" s="658"/>
      <c r="L49" s="658"/>
      <c r="M49" s="658"/>
      <c r="N49" s="1025"/>
      <c r="O49" s="653"/>
      <c r="P49" s="654"/>
      <c r="Q49" s="1030"/>
      <c r="R49" s="661"/>
      <c r="S49" s="705"/>
      <c r="T49" s="659"/>
      <c r="U49" s="661"/>
      <c r="V49" s="660"/>
      <c r="W49" s="691"/>
      <c r="X49" s="661"/>
      <c r="Y49" s="661"/>
    </row>
    <row r="50">
      <c r="A50" s="653"/>
      <c r="B50" s="654"/>
      <c r="C50" s="655"/>
      <c r="D50" s="656"/>
      <c r="E50" s="657"/>
      <c r="F50" s="658"/>
      <c r="G50" s="659"/>
      <c r="H50" s="660"/>
      <c r="I50" s="659"/>
      <c r="J50" s="661"/>
      <c r="K50" s="658"/>
      <c r="L50" s="658"/>
      <c r="M50" s="658"/>
      <c r="N50" s="1025"/>
      <c r="O50" s="653"/>
      <c r="P50" s="654"/>
      <c r="Q50" s="1030"/>
      <c r="R50" s="661"/>
      <c r="S50" s="705"/>
      <c r="T50" s="659"/>
      <c r="U50" s="661"/>
      <c r="V50" s="660"/>
      <c r="W50" s="691"/>
      <c r="X50" s="661"/>
      <c r="Y50" s="661"/>
    </row>
    <row r="51">
      <c r="A51" s="653"/>
      <c r="B51" s="654"/>
      <c r="C51" s="655"/>
      <c r="D51" s="656"/>
      <c r="E51" s="657"/>
      <c r="F51" s="658"/>
      <c r="G51" s="659"/>
      <c r="H51" s="660"/>
      <c r="I51" s="659"/>
      <c r="J51" s="661"/>
      <c r="K51" s="658"/>
      <c r="L51" s="658"/>
      <c r="M51" s="658"/>
      <c r="N51" s="1025"/>
      <c r="O51" s="653"/>
      <c r="P51" s="654"/>
      <c r="Q51" s="1030"/>
      <c r="R51" s="661"/>
      <c r="S51" s="705"/>
      <c r="T51" s="659"/>
      <c r="U51" s="661"/>
      <c r="V51" s="660"/>
      <c r="W51" s="691"/>
      <c r="X51" s="661"/>
      <c r="Y51" s="661"/>
    </row>
    <row r="52">
      <c r="A52" s="653"/>
      <c r="B52" s="654"/>
      <c r="C52" s="655"/>
      <c r="D52" s="656"/>
      <c r="E52" s="657"/>
      <c r="F52" s="658"/>
      <c r="G52" s="659"/>
      <c r="H52" s="660"/>
      <c r="I52" s="659"/>
      <c r="J52" s="661"/>
      <c r="K52" s="658"/>
      <c r="L52" s="658"/>
      <c r="M52" s="658"/>
      <c r="N52" s="1025"/>
      <c r="O52" s="653"/>
      <c r="P52" s="654"/>
      <c r="Q52" s="1030"/>
      <c r="R52" s="661"/>
      <c r="S52" s="705"/>
      <c r="T52" s="659"/>
      <c r="U52" s="661"/>
      <c r="V52" s="660"/>
      <c r="W52" s="691"/>
      <c r="X52" s="661"/>
      <c r="Y52" s="661"/>
    </row>
    <row r="53">
      <c r="A53" s="653"/>
      <c r="B53" s="654"/>
      <c r="C53" s="655"/>
      <c r="D53" s="656"/>
      <c r="E53" s="657"/>
      <c r="F53" s="658"/>
      <c r="G53" s="659"/>
      <c r="H53" s="660"/>
      <c r="I53" s="659"/>
      <c r="J53" s="661"/>
      <c r="K53" s="658"/>
      <c r="L53" s="658"/>
      <c r="M53" s="658"/>
      <c r="N53" s="1025"/>
      <c r="O53" s="653"/>
      <c r="P53" s="654"/>
      <c r="Q53" s="1030"/>
      <c r="R53" s="661"/>
      <c r="S53" s="705"/>
      <c r="T53" s="659"/>
      <c r="U53" s="661"/>
      <c r="V53" s="660"/>
      <c r="W53" s="691"/>
      <c r="X53" s="661"/>
      <c r="Y53" s="661"/>
    </row>
    <row r="54">
      <c r="A54" s="653"/>
      <c r="B54" s="654"/>
      <c r="C54" s="655"/>
      <c r="D54" s="656"/>
      <c r="E54" s="657"/>
      <c r="F54" s="658"/>
      <c r="G54" s="659"/>
      <c r="H54" s="660"/>
      <c r="I54" s="659"/>
      <c r="J54" s="661"/>
      <c r="K54" s="658"/>
      <c r="L54" s="658"/>
      <c r="M54" s="658"/>
      <c r="N54" s="1025"/>
      <c r="O54" s="653"/>
      <c r="P54" s="654"/>
      <c r="Q54" s="1030"/>
      <c r="R54" s="661"/>
      <c r="S54" s="705"/>
      <c r="T54" s="659"/>
      <c r="U54" s="661"/>
      <c r="V54" s="660"/>
      <c r="W54" s="691"/>
      <c r="X54" s="661"/>
      <c r="Y54" s="661"/>
    </row>
    <row r="55">
      <c r="A55" s="653"/>
      <c r="B55" s="654"/>
      <c r="C55" s="655"/>
      <c r="D55" s="656"/>
      <c r="E55" s="657"/>
      <c r="F55" s="658"/>
      <c r="G55" s="659"/>
      <c r="H55" s="660"/>
      <c r="I55" s="659"/>
      <c r="J55" s="661"/>
      <c r="K55" s="658"/>
      <c r="L55" s="658"/>
      <c r="M55" s="658"/>
      <c r="N55" s="1025"/>
      <c r="O55" s="653"/>
      <c r="P55" s="654"/>
      <c r="Q55" s="1030"/>
      <c r="R55" s="661"/>
      <c r="S55" s="705"/>
      <c r="T55" s="659"/>
      <c r="U55" s="661"/>
      <c r="V55" s="660"/>
      <c r="W55" s="691"/>
      <c r="X55" s="661"/>
      <c r="Y55" s="661"/>
    </row>
    <row r="56">
      <c r="A56" s="653"/>
      <c r="B56" s="654"/>
      <c r="C56" s="655"/>
      <c r="D56" s="656"/>
      <c r="E56" s="657"/>
      <c r="F56" s="658"/>
      <c r="G56" s="659"/>
      <c r="H56" s="660"/>
      <c r="I56" s="659"/>
      <c r="J56" s="661"/>
      <c r="K56" s="658"/>
      <c r="L56" s="658"/>
      <c r="M56" s="658"/>
      <c r="N56" s="1025"/>
      <c r="O56" s="653"/>
      <c r="P56" s="654"/>
      <c r="Q56" s="1030"/>
      <c r="R56" s="661"/>
      <c r="S56" s="705"/>
      <c r="T56" s="659"/>
      <c r="U56" s="661"/>
      <c r="V56" s="660"/>
      <c r="W56" s="691"/>
      <c r="X56" s="661"/>
      <c r="Y56" s="661"/>
    </row>
    <row r="57">
      <c r="A57" s="653"/>
      <c r="B57" s="654"/>
      <c r="C57" s="655"/>
      <c r="D57" s="656"/>
      <c r="E57" s="657"/>
      <c r="F57" s="658"/>
      <c r="G57" s="659"/>
      <c r="H57" s="660"/>
      <c r="I57" s="659"/>
      <c r="J57" s="661"/>
      <c r="K57" s="658"/>
      <c r="L57" s="658"/>
      <c r="M57" s="658"/>
      <c r="N57" s="1025"/>
      <c r="O57" s="653"/>
      <c r="P57" s="654"/>
      <c r="Q57" s="1030"/>
      <c r="R57" s="661"/>
      <c r="S57" s="705"/>
      <c r="T57" s="659"/>
      <c r="U57" s="661"/>
      <c r="V57" s="660"/>
      <c r="W57" s="691"/>
      <c r="X57" s="661"/>
      <c r="Y57" s="661"/>
    </row>
    <row r="58">
      <c r="A58" s="653"/>
      <c r="B58" s="654"/>
      <c r="C58" s="655"/>
      <c r="D58" s="656"/>
      <c r="E58" s="657"/>
      <c r="F58" s="658"/>
      <c r="G58" s="659"/>
      <c r="H58" s="660"/>
      <c r="I58" s="659"/>
      <c r="J58" s="661"/>
      <c r="K58" s="658"/>
      <c r="L58" s="658"/>
      <c r="M58" s="658"/>
      <c r="N58" s="1025"/>
      <c r="O58" s="653"/>
      <c r="P58" s="654"/>
      <c r="Q58" s="1030"/>
      <c r="R58" s="661"/>
      <c r="S58" s="705"/>
      <c r="T58" s="659"/>
      <c r="U58" s="661"/>
      <c r="V58" s="660"/>
      <c r="W58" s="691"/>
      <c r="X58" s="661"/>
      <c r="Y58" s="661"/>
    </row>
    <row r="59">
      <c r="A59" s="653"/>
      <c r="B59" s="654"/>
      <c r="C59" s="655"/>
      <c r="D59" s="656"/>
      <c r="E59" s="657"/>
      <c r="F59" s="658"/>
      <c r="G59" s="659"/>
      <c r="H59" s="660"/>
      <c r="I59" s="659"/>
      <c r="J59" s="661"/>
      <c r="K59" s="658"/>
      <c r="L59" s="658"/>
      <c r="M59" s="658"/>
      <c r="N59" s="1025"/>
      <c r="O59" s="653"/>
      <c r="P59" s="654"/>
      <c r="Q59" s="1030"/>
      <c r="R59" s="661"/>
      <c r="S59" s="705"/>
      <c r="T59" s="659"/>
      <c r="U59" s="661"/>
      <c r="V59" s="660"/>
      <c r="W59" s="691"/>
      <c r="X59" s="661"/>
      <c r="Y59" s="661"/>
    </row>
    <row r="60">
      <c r="A60" s="653"/>
      <c r="B60" s="654"/>
      <c r="C60" s="655"/>
      <c r="D60" s="656"/>
      <c r="E60" s="657"/>
      <c r="F60" s="658"/>
      <c r="G60" s="659"/>
      <c r="H60" s="660"/>
      <c r="I60" s="659"/>
      <c r="J60" s="661"/>
      <c r="K60" s="658"/>
      <c r="L60" s="658"/>
      <c r="M60" s="658"/>
      <c r="N60" s="1025"/>
      <c r="O60" s="653"/>
      <c r="P60" s="654"/>
      <c r="Q60" s="1030"/>
      <c r="R60" s="661"/>
      <c r="S60" s="705"/>
      <c r="T60" s="659"/>
      <c r="U60" s="661"/>
      <c r="V60" s="660"/>
      <c r="W60" s="691"/>
      <c r="X60" s="661"/>
      <c r="Y60" s="661"/>
    </row>
    <row r="61">
      <c r="A61" s="653"/>
      <c r="B61" s="654"/>
      <c r="C61" s="655"/>
      <c r="D61" s="656"/>
      <c r="E61" s="657"/>
      <c r="F61" s="658"/>
      <c r="G61" s="659"/>
      <c r="H61" s="660"/>
      <c r="I61" s="659"/>
      <c r="J61" s="661"/>
      <c r="K61" s="658"/>
      <c r="L61" s="658"/>
      <c r="M61" s="658"/>
      <c r="N61" s="1025"/>
      <c r="O61" s="653"/>
      <c r="P61" s="654"/>
      <c r="Q61" s="1030"/>
      <c r="R61" s="661"/>
      <c r="S61" s="705"/>
      <c r="T61" s="659"/>
      <c r="U61" s="661"/>
      <c r="V61" s="660"/>
      <c r="W61" s="691"/>
      <c r="X61" s="661"/>
      <c r="Y61" s="661"/>
    </row>
    <row r="62">
      <c r="A62" s="653"/>
      <c r="B62" s="654"/>
      <c r="C62" s="655"/>
      <c r="D62" s="656"/>
      <c r="E62" s="657"/>
      <c r="F62" s="658"/>
      <c r="G62" s="659"/>
      <c r="H62" s="660"/>
      <c r="I62" s="659"/>
      <c r="J62" s="661"/>
      <c r="K62" s="658"/>
      <c r="L62" s="658"/>
      <c r="M62" s="658"/>
      <c r="N62" s="1025"/>
      <c r="O62" s="653"/>
      <c r="P62" s="654"/>
      <c r="Q62" s="1030"/>
      <c r="R62" s="661"/>
      <c r="S62" s="705"/>
      <c r="T62" s="659"/>
      <c r="U62" s="661"/>
      <c r="V62" s="660"/>
      <c r="W62" s="691"/>
      <c r="X62" s="661"/>
      <c r="Y62" s="661"/>
    </row>
    <row r="63">
      <c r="A63" s="653"/>
      <c r="B63" s="654"/>
      <c r="C63" s="655"/>
      <c r="D63" s="656"/>
      <c r="E63" s="657"/>
      <c r="F63" s="658"/>
      <c r="G63" s="659"/>
      <c r="H63" s="660"/>
      <c r="I63" s="659"/>
      <c r="J63" s="661"/>
      <c r="K63" s="658"/>
      <c r="L63" s="658"/>
      <c r="M63" s="658"/>
      <c r="N63" s="1025"/>
      <c r="O63" s="653"/>
      <c r="P63" s="654"/>
      <c r="Q63" s="1030"/>
      <c r="R63" s="661"/>
      <c r="S63" s="705"/>
      <c r="T63" s="659"/>
      <c r="U63" s="661"/>
      <c r="V63" s="660"/>
      <c r="W63" s="691"/>
      <c r="X63" s="661"/>
      <c r="Y63" s="661"/>
    </row>
    <row r="64">
      <c r="A64" s="653"/>
      <c r="B64" s="654"/>
      <c r="C64" s="655"/>
      <c r="D64" s="656"/>
      <c r="E64" s="657"/>
      <c r="F64" s="658"/>
      <c r="G64" s="659"/>
      <c r="H64" s="660"/>
      <c r="I64" s="659"/>
      <c r="J64" s="661"/>
      <c r="K64" s="658"/>
      <c r="L64" s="658"/>
      <c r="M64" s="658"/>
      <c r="N64" s="1025"/>
      <c r="O64" s="653"/>
      <c r="P64" s="654"/>
      <c r="Q64" s="1030"/>
      <c r="R64" s="661"/>
      <c r="S64" s="705"/>
      <c r="T64" s="659"/>
      <c r="U64" s="661"/>
      <c r="V64" s="660"/>
      <c r="W64" s="691"/>
      <c r="X64" s="661"/>
      <c r="Y64" s="661"/>
    </row>
    <row r="65">
      <c r="A65" s="653"/>
      <c r="B65" s="654"/>
      <c r="C65" s="655"/>
      <c r="D65" s="656"/>
      <c r="E65" s="657"/>
      <c r="F65" s="658"/>
      <c r="G65" s="659"/>
      <c r="H65" s="660"/>
      <c r="I65" s="659"/>
      <c r="J65" s="661"/>
      <c r="K65" s="658"/>
      <c r="L65" s="658"/>
      <c r="M65" s="658"/>
      <c r="N65" s="1025"/>
      <c r="O65" s="653"/>
      <c r="P65" s="654"/>
      <c r="Q65" s="1030"/>
      <c r="R65" s="661"/>
      <c r="S65" s="705"/>
      <c r="T65" s="659"/>
      <c r="U65" s="661"/>
      <c r="V65" s="660"/>
      <c r="W65" s="691"/>
      <c r="X65" s="661"/>
      <c r="Y65" s="661"/>
    </row>
    <row r="66">
      <c r="A66" s="653"/>
      <c r="B66" s="654"/>
      <c r="C66" s="655"/>
      <c r="D66" s="656"/>
      <c r="E66" s="657"/>
      <c r="F66" s="658"/>
      <c r="G66" s="659"/>
      <c r="H66" s="660"/>
      <c r="I66" s="659"/>
      <c r="J66" s="661"/>
      <c r="K66" s="658"/>
      <c r="L66" s="658"/>
      <c r="M66" s="658"/>
      <c r="N66" s="1025"/>
      <c r="O66" s="653"/>
      <c r="P66" s="654"/>
      <c r="Q66" s="1030"/>
      <c r="R66" s="661"/>
      <c r="S66" s="705"/>
      <c r="T66" s="659"/>
      <c r="U66" s="661"/>
      <c r="V66" s="660"/>
      <c r="W66" s="691"/>
      <c r="X66" s="661"/>
      <c r="Y66" s="661"/>
    </row>
    <row r="67">
      <c r="A67" s="653"/>
      <c r="B67" s="654"/>
      <c r="C67" s="655"/>
      <c r="D67" s="656"/>
      <c r="E67" s="657"/>
      <c r="F67" s="658"/>
      <c r="G67" s="659"/>
      <c r="H67" s="660"/>
      <c r="I67" s="659"/>
      <c r="J67" s="661"/>
      <c r="K67" s="658"/>
      <c r="L67" s="658"/>
      <c r="M67" s="658"/>
      <c r="N67" s="1025"/>
      <c r="O67" s="653"/>
      <c r="P67" s="654"/>
      <c r="Q67" s="1030"/>
      <c r="R67" s="661"/>
      <c r="S67" s="705"/>
      <c r="T67" s="659"/>
      <c r="U67" s="661"/>
      <c r="V67" s="660"/>
      <c r="W67" s="691"/>
      <c r="X67" s="661"/>
      <c r="Y67" s="661"/>
    </row>
    <row r="68">
      <c r="A68" s="653"/>
      <c r="B68" s="654"/>
      <c r="C68" s="655"/>
      <c r="D68" s="656"/>
      <c r="E68" s="657"/>
      <c r="F68" s="658"/>
      <c r="G68" s="659"/>
      <c r="H68" s="660"/>
      <c r="I68" s="659"/>
      <c r="J68" s="661"/>
      <c r="K68" s="658"/>
      <c r="L68" s="658"/>
      <c r="M68" s="658"/>
      <c r="N68" s="1025"/>
      <c r="O68" s="653"/>
      <c r="P68" s="654"/>
      <c r="Q68" s="1030"/>
      <c r="R68" s="661"/>
      <c r="S68" s="705"/>
      <c r="T68" s="659"/>
      <c r="U68" s="661"/>
      <c r="V68" s="660"/>
      <c r="W68" s="691"/>
      <c r="X68" s="661"/>
      <c r="Y68" s="661"/>
    </row>
    <row r="69">
      <c r="A69" s="653"/>
      <c r="B69" s="654"/>
      <c r="C69" s="655"/>
      <c r="D69" s="656"/>
      <c r="E69" s="657"/>
      <c r="F69" s="658"/>
      <c r="G69" s="659"/>
      <c r="H69" s="660"/>
      <c r="I69" s="659"/>
      <c r="J69" s="661"/>
      <c r="K69" s="658"/>
      <c r="L69" s="658"/>
      <c r="M69" s="658"/>
      <c r="N69" s="1025"/>
      <c r="O69" s="653"/>
      <c r="P69" s="654"/>
      <c r="Q69" s="1030"/>
      <c r="R69" s="661"/>
      <c r="S69" s="705"/>
      <c r="T69" s="659"/>
      <c r="U69" s="661"/>
      <c r="V69" s="660"/>
      <c r="W69" s="691"/>
      <c r="X69" s="661"/>
      <c r="Y69" s="661"/>
    </row>
    <row r="70">
      <c r="A70" s="653"/>
      <c r="B70" s="654"/>
      <c r="C70" s="655"/>
      <c r="D70" s="656"/>
      <c r="E70" s="657"/>
      <c r="F70" s="658"/>
      <c r="G70" s="659"/>
      <c r="H70" s="660"/>
      <c r="I70" s="659"/>
      <c r="J70" s="661"/>
      <c r="K70" s="658"/>
      <c r="L70" s="658"/>
      <c r="M70" s="658"/>
      <c r="N70" s="1025"/>
      <c r="O70" s="653"/>
      <c r="P70" s="654"/>
      <c r="Q70" s="1030"/>
      <c r="R70" s="661"/>
      <c r="S70" s="705"/>
      <c r="T70" s="659"/>
      <c r="U70" s="661"/>
      <c r="V70" s="660"/>
      <c r="W70" s="691"/>
      <c r="X70" s="661"/>
      <c r="Y70" s="661"/>
    </row>
    <row r="71">
      <c r="A71" s="653"/>
      <c r="B71" s="654"/>
      <c r="C71" s="655"/>
      <c r="D71" s="656"/>
      <c r="E71" s="657"/>
      <c r="F71" s="658"/>
      <c r="G71" s="659"/>
      <c r="H71" s="660"/>
      <c r="I71" s="659"/>
      <c r="J71" s="661"/>
      <c r="K71" s="658"/>
      <c r="L71" s="658"/>
      <c r="M71" s="658"/>
      <c r="N71" s="1025"/>
      <c r="O71" s="653"/>
      <c r="P71" s="654"/>
      <c r="Q71" s="1030"/>
      <c r="R71" s="661"/>
      <c r="S71" s="705"/>
      <c r="T71" s="659"/>
      <c r="U71" s="661"/>
      <c r="V71" s="660"/>
      <c r="W71" s="691"/>
      <c r="X71" s="661"/>
      <c r="Y71" s="661"/>
    </row>
    <row r="72">
      <c r="A72" s="653"/>
      <c r="B72" s="654"/>
      <c r="C72" s="655"/>
      <c r="D72" s="656"/>
      <c r="E72" s="657"/>
      <c r="F72" s="658"/>
      <c r="G72" s="659"/>
      <c r="H72" s="660"/>
      <c r="I72" s="659"/>
      <c r="J72" s="661"/>
      <c r="K72" s="658"/>
      <c r="L72" s="658"/>
      <c r="M72" s="658"/>
      <c r="N72" s="1025"/>
      <c r="O72" s="653"/>
      <c r="P72" s="654"/>
      <c r="Q72" s="1030"/>
      <c r="R72" s="661"/>
      <c r="S72" s="705"/>
      <c r="T72" s="659"/>
      <c r="U72" s="661"/>
      <c r="V72" s="660"/>
      <c r="W72" s="691"/>
      <c r="X72" s="661"/>
      <c r="Y72" s="661"/>
    </row>
    <row r="73">
      <c r="A73" s="653"/>
      <c r="B73" s="654"/>
      <c r="C73" s="655"/>
      <c r="D73" s="656"/>
      <c r="E73" s="657"/>
      <c r="F73" s="658"/>
      <c r="G73" s="659"/>
      <c r="H73" s="660"/>
      <c r="I73" s="659"/>
      <c r="J73" s="661"/>
      <c r="K73" s="658"/>
      <c r="L73" s="658"/>
      <c r="M73" s="658"/>
      <c r="N73" s="1025"/>
      <c r="O73" s="653"/>
      <c r="P73" s="654"/>
      <c r="Q73" s="1030"/>
      <c r="R73" s="661"/>
      <c r="S73" s="705"/>
      <c r="T73" s="659"/>
      <c r="U73" s="661"/>
      <c r="V73" s="660"/>
      <c r="W73" s="691"/>
      <c r="X73" s="661"/>
      <c r="Y73" s="661"/>
    </row>
    <row r="74">
      <c r="A74" s="653"/>
      <c r="B74" s="654"/>
      <c r="C74" s="655"/>
      <c r="D74" s="656"/>
      <c r="E74" s="657"/>
      <c r="F74" s="658"/>
      <c r="G74" s="659"/>
      <c r="H74" s="660"/>
      <c r="I74" s="659"/>
      <c r="J74" s="661"/>
      <c r="K74" s="658"/>
      <c r="L74" s="658"/>
      <c r="M74" s="658"/>
      <c r="N74" s="1025"/>
      <c r="O74" s="653"/>
      <c r="P74" s="654"/>
      <c r="Q74" s="1030"/>
      <c r="R74" s="661"/>
      <c r="S74" s="705"/>
      <c r="T74" s="659"/>
      <c r="U74" s="661"/>
      <c r="V74" s="660"/>
      <c r="W74" s="691"/>
      <c r="X74" s="661"/>
      <c r="Y74" s="661"/>
    </row>
    <row r="75">
      <c r="A75" s="653"/>
      <c r="B75" s="654"/>
      <c r="C75" s="655"/>
      <c r="D75" s="656"/>
      <c r="E75" s="657"/>
      <c r="F75" s="658"/>
      <c r="G75" s="659"/>
      <c r="H75" s="660"/>
      <c r="I75" s="659"/>
      <c r="J75" s="661"/>
      <c r="K75" s="658"/>
      <c r="L75" s="658"/>
      <c r="M75" s="658"/>
      <c r="N75" s="1025"/>
      <c r="O75" s="653"/>
      <c r="P75" s="654"/>
      <c r="Q75" s="1030"/>
      <c r="R75" s="661"/>
      <c r="S75" s="705"/>
      <c r="T75" s="659"/>
      <c r="U75" s="661"/>
      <c r="V75" s="660"/>
      <c r="W75" s="691"/>
      <c r="X75" s="661"/>
      <c r="Y75" s="661"/>
    </row>
    <row r="76">
      <c r="A76" s="653"/>
      <c r="B76" s="654"/>
      <c r="C76" s="655"/>
      <c r="D76" s="656"/>
      <c r="E76" s="657"/>
      <c r="F76" s="658"/>
      <c r="G76" s="659"/>
      <c r="H76" s="660"/>
      <c r="I76" s="659"/>
      <c r="J76" s="661"/>
      <c r="K76" s="658"/>
      <c r="L76" s="658"/>
      <c r="M76" s="658"/>
      <c r="N76" s="1025"/>
      <c r="O76" s="653"/>
      <c r="P76" s="654"/>
      <c r="Q76" s="1030"/>
      <c r="R76" s="661"/>
      <c r="S76" s="705"/>
      <c r="T76" s="659"/>
      <c r="U76" s="661"/>
      <c r="V76" s="660"/>
      <c r="W76" s="691"/>
      <c r="X76" s="661"/>
      <c r="Y76" s="661"/>
    </row>
    <row r="77">
      <c r="A77" s="653"/>
      <c r="B77" s="654"/>
      <c r="C77" s="655"/>
      <c r="D77" s="656"/>
      <c r="E77" s="657"/>
      <c r="F77" s="658"/>
      <c r="G77" s="659"/>
      <c r="H77" s="660"/>
      <c r="I77" s="659"/>
      <c r="J77" s="661"/>
      <c r="K77" s="658"/>
      <c r="L77" s="658"/>
      <c r="M77" s="658"/>
      <c r="N77" s="1025"/>
      <c r="O77" s="653"/>
      <c r="P77" s="654"/>
      <c r="Q77" s="1030"/>
      <c r="R77" s="661"/>
      <c r="S77" s="705"/>
      <c r="T77" s="659"/>
      <c r="U77" s="661"/>
      <c r="V77" s="660"/>
      <c r="W77" s="691"/>
      <c r="X77" s="661"/>
      <c r="Y77" s="661"/>
    </row>
    <row r="78">
      <c r="A78" s="653"/>
      <c r="B78" s="654"/>
      <c r="C78" s="655"/>
      <c r="D78" s="656"/>
      <c r="E78" s="657"/>
      <c r="F78" s="658"/>
      <c r="G78" s="659"/>
      <c r="H78" s="660"/>
      <c r="I78" s="659"/>
      <c r="J78" s="661"/>
      <c r="K78" s="658"/>
      <c r="L78" s="658"/>
      <c r="M78" s="658"/>
      <c r="N78" s="1025"/>
      <c r="O78" s="653"/>
      <c r="P78" s="654"/>
      <c r="Q78" s="1030"/>
      <c r="R78" s="661"/>
      <c r="S78" s="705"/>
      <c r="T78" s="659"/>
      <c r="U78" s="661"/>
      <c r="V78" s="660"/>
      <c r="W78" s="691"/>
      <c r="X78" s="661"/>
      <c r="Y78" s="661"/>
    </row>
    <row r="79">
      <c r="A79" s="653"/>
      <c r="B79" s="654"/>
      <c r="C79" s="655"/>
      <c r="D79" s="656"/>
      <c r="E79" s="657"/>
      <c r="F79" s="658"/>
      <c r="G79" s="659"/>
      <c r="H79" s="660"/>
      <c r="I79" s="659"/>
      <c r="J79" s="661"/>
      <c r="K79" s="658"/>
      <c r="L79" s="658"/>
      <c r="M79" s="658"/>
      <c r="N79" s="1025"/>
      <c r="O79" s="653"/>
      <c r="P79" s="654"/>
      <c r="Q79" s="1030"/>
      <c r="R79" s="661"/>
      <c r="S79" s="705"/>
      <c r="T79" s="659"/>
      <c r="U79" s="661"/>
      <c r="V79" s="660"/>
      <c r="W79" s="691"/>
      <c r="X79" s="661"/>
      <c r="Y79" s="661"/>
    </row>
    <row r="80">
      <c r="A80" s="653"/>
      <c r="B80" s="654"/>
      <c r="C80" s="655"/>
      <c r="D80" s="656"/>
      <c r="E80" s="657"/>
      <c r="F80" s="658"/>
      <c r="G80" s="659"/>
      <c r="H80" s="660"/>
      <c r="I80" s="659"/>
      <c r="J80" s="661"/>
      <c r="K80" s="658"/>
      <c r="L80" s="658"/>
      <c r="M80" s="658"/>
      <c r="N80" s="1025"/>
      <c r="O80" s="653"/>
      <c r="P80" s="654"/>
      <c r="Q80" s="1030"/>
      <c r="R80" s="661"/>
      <c r="S80" s="705"/>
      <c r="T80" s="659"/>
      <c r="U80" s="661"/>
      <c r="V80" s="660"/>
      <c r="W80" s="691"/>
      <c r="X80" s="661"/>
      <c r="Y80" s="661"/>
    </row>
    <row r="81">
      <c r="A81" s="653"/>
      <c r="B81" s="654"/>
      <c r="C81" s="655"/>
      <c r="D81" s="656"/>
      <c r="E81" s="657"/>
      <c r="F81" s="658"/>
      <c r="G81" s="659"/>
      <c r="H81" s="660"/>
      <c r="I81" s="659"/>
      <c r="J81" s="661"/>
      <c r="K81" s="658"/>
      <c r="L81" s="658"/>
      <c r="M81" s="658"/>
      <c r="N81" s="1025"/>
      <c r="O81" s="653"/>
      <c r="P81" s="654"/>
      <c r="Q81" s="1030"/>
      <c r="R81" s="661"/>
      <c r="S81" s="705"/>
      <c r="T81" s="659"/>
      <c r="U81" s="661"/>
      <c r="V81" s="660"/>
      <c r="W81" s="691"/>
      <c r="X81" s="661"/>
      <c r="Y81" s="661"/>
    </row>
    <row r="82">
      <c r="A82" s="653"/>
      <c r="B82" s="654"/>
      <c r="C82" s="655"/>
      <c r="D82" s="656"/>
      <c r="E82" s="657"/>
      <c r="F82" s="658"/>
      <c r="G82" s="659"/>
      <c r="H82" s="660"/>
      <c r="I82" s="659"/>
      <c r="J82" s="661"/>
      <c r="K82" s="658"/>
      <c r="L82" s="658"/>
      <c r="M82" s="658"/>
      <c r="N82" s="1025"/>
      <c r="O82" s="653"/>
      <c r="P82" s="654"/>
      <c r="Q82" s="1030"/>
      <c r="R82" s="661"/>
      <c r="S82" s="705"/>
      <c r="T82" s="659"/>
      <c r="U82" s="661"/>
      <c r="V82" s="660"/>
      <c r="W82" s="691"/>
      <c r="X82" s="661"/>
      <c r="Y82" s="661"/>
    </row>
    <row r="83">
      <c r="A83" s="653"/>
      <c r="B83" s="654"/>
      <c r="C83" s="655"/>
      <c r="D83" s="656"/>
      <c r="E83" s="657"/>
      <c r="F83" s="658"/>
      <c r="G83" s="659"/>
      <c r="H83" s="660"/>
      <c r="I83" s="659"/>
      <c r="J83" s="661"/>
      <c r="K83" s="658"/>
      <c r="L83" s="658"/>
      <c r="M83" s="658"/>
      <c r="N83" s="1025"/>
      <c r="O83" s="653"/>
      <c r="P83" s="654"/>
      <c r="Q83" s="1030"/>
      <c r="R83" s="661"/>
      <c r="S83" s="705"/>
      <c r="T83" s="659"/>
      <c r="U83" s="661"/>
      <c r="V83" s="660"/>
      <c r="W83" s="691"/>
      <c r="X83" s="661"/>
      <c r="Y83" s="661"/>
    </row>
    <row r="84">
      <c r="A84" s="653"/>
      <c r="B84" s="654"/>
      <c r="C84" s="655"/>
      <c r="D84" s="656"/>
      <c r="E84" s="657"/>
      <c r="F84" s="658"/>
      <c r="G84" s="659"/>
      <c r="H84" s="660"/>
      <c r="I84" s="659"/>
      <c r="J84" s="661"/>
      <c r="K84" s="658"/>
      <c r="L84" s="658"/>
      <c r="M84" s="658"/>
      <c r="N84" s="1025"/>
      <c r="O84" s="653"/>
      <c r="P84" s="654"/>
      <c r="Q84" s="1030"/>
      <c r="R84" s="661"/>
      <c r="S84" s="705"/>
      <c r="T84" s="659"/>
      <c r="U84" s="661"/>
      <c r="V84" s="660"/>
      <c r="W84" s="691"/>
      <c r="X84" s="661"/>
      <c r="Y84" s="661"/>
    </row>
    <row r="85">
      <c r="A85" s="653"/>
      <c r="B85" s="654"/>
      <c r="C85" s="655"/>
      <c r="D85" s="656"/>
      <c r="E85" s="657"/>
      <c r="F85" s="658"/>
      <c r="G85" s="659"/>
      <c r="H85" s="660"/>
      <c r="I85" s="659"/>
      <c r="J85" s="661"/>
      <c r="K85" s="658"/>
      <c r="L85" s="658"/>
      <c r="M85" s="658"/>
      <c r="N85" s="1025"/>
      <c r="O85" s="653"/>
      <c r="P85" s="654"/>
      <c r="Q85" s="1030"/>
      <c r="R85" s="661"/>
      <c r="S85" s="705"/>
      <c r="T85" s="659"/>
      <c r="U85" s="661"/>
      <c r="V85" s="660"/>
      <c r="W85" s="691"/>
      <c r="X85" s="661"/>
      <c r="Y85" s="661"/>
    </row>
    <row r="86">
      <c r="A86" s="653"/>
      <c r="B86" s="654"/>
      <c r="C86" s="655"/>
      <c r="D86" s="656"/>
      <c r="E86" s="657"/>
      <c r="F86" s="658"/>
      <c r="G86" s="659"/>
      <c r="H86" s="660"/>
      <c r="I86" s="659"/>
      <c r="J86" s="661"/>
      <c r="K86" s="658"/>
      <c r="L86" s="658"/>
      <c r="M86" s="658"/>
      <c r="N86" s="1025"/>
      <c r="O86" s="653"/>
      <c r="P86" s="654"/>
      <c r="Q86" s="1030"/>
      <c r="R86" s="661"/>
      <c r="S86" s="705"/>
      <c r="T86" s="659"/>
      <c r="U86" s="661"/>
      <c r="V86" s="660"/>
      <c r="W86" s="691"/>
      <c r="X86" s="661"/>
      <c r="Y86" s="661"/>
    </row>
    <row r="87">
      <c r="A87" s="653"/>
      <c r="B87" s="654"/>
      <c r="C87" s="655"/>
      <c r="D87" s="656"/>
      <c r="E87" s="657"/>
      <c r="F87" s="658"/>
      <c r="G87" s="659"/>
      <c r="H87" s="660"/>
      <c r="I87" s="659"/>
      <c r="J87" s="661"/>
      <c r="K87" s="658"/>
      <c r="L87" s="658"/>
      <c r="M87" s="658"/>
      <c r="N87" s="1025"/>
      <c r="O87" s="653"/>
      <c r="P87" s="654"/>
      <c r="Q87" s="1030"/>
      <c r="R87" s="661"/>
      <c r="S87" s="705"/>
      <c r="T87" s="659"/>
      <c r="U87" s="661"/>
      <c r="V87" s="660"/>
      <c r="W87" s="691"/>
      <c r="X87" s="661"/>
      <c r="Y87" s="661"/>
    </row>
    <row r="88">
      <c r="A88" s="653"/>
      <c r="B88" s="654"/>
      <c r="C88" s="655"/>
      <c r="D88" s="656"/>
      <c r="E88" s="657"/>
      <c r="F88" s="658"/>
      <c r="G88" s="659"/>
      <c r="H88" s="660"/>
      <c r="I88" s="659"/>
      <c r="J88" s="661"/>
      <c r="K88" s="658"/>
      <c r="L88" s="658"/>
      <c r="M88" s="658"/>
      <c r="N88" s="1025"/>
      <c r="O88" s="653"/>
      <c r="P88" s="654"/>
      <c r="Q88" s="1030"/>
      <c r="R88" s="661"/>
      <c r="S88" s="705"/>
      <c r="T88" s="659"/>
      <c r="U88" s="661"/>
      <c r="V88" s="660"/>
      <c r="W88" s="691"/>
      <c r="X88" s="661"/>
      <c r="Y88" s="661"/>
    </row>
    <row r="89">
      <c r="A89" s="653"/>
      <c r="B89" s="654"/>
      <c r="C89" s="655"/>
      <c r="D89" s="656"/>
      <c r="E89" s="657"/>
      <c r="F89" s="658"/>
      <c r="G89" s="659"/>
      <c r="H89" s="660"/>
      <c r="I89" s="659"/>
      <c r="J89" s="661"/>
      <c r="K89" s="658"/>
      <c r="L89" s="658"/>
      <c r="M89" s="658"/>
      <c r="N89" s="1025"/>
      <c r="O89" s="653"/>
      <c r="P89" s="654"/>
      <c r="Q89" s="1030"/>
      <c r="R89" s="661"/>
      <c r="S89" s="705"/>
      <c r="T89" s="659"/>
      <c r="U89" s="661"/>
      <c r="V89" s="660"/>
      <c r="W89" s="691"/>
      <c r="X89" s="661"/>
      <c r="Y89" s="661"/>
    </row>
    <row r="90">
      <c r="A90" s="653"/>
      <c r="B90" s="654"/>
      <c r="C90" s="655"/>
      <c r="D90" s="656"/>
      <c r="E90" s="657"/>
      <c r="F90" s="658"/>
      <c r="G90" s="659"/>
      <c r="H90" s="660"/>
      <c r="I90" s="659"/>
      <c r="J90" s="661"/>
      <c r="K90" s="658"/>
      <c r="L90" s="658"/>
      <c r="M90" s="658"/>
      <c r="N90" s="1025"/>
      <c r="O90" s="653"/>
      <c r="P90" s="654"/>
      <c r="Q90" s="1030"/>
      <c r="R90" s="661"/>
      <c r="S90" s="705"/>
      <c r="T90" s="659"/>
      <c r="U90" s="661"/>
      <c r="V90" s="660"/>
      <c r="W90" s="691"/>
      <c r="X90" s="661"/>
      <c r="Y90" s="661"/>
    </row>
    <row r="91">
      <c r="A91" s="653"/>
      <c r="B91" s="654"/>
      <c r="C91" s="655"/>
      <c r="D91" s="656"/>
      <c r="E91" s="657"/>
      <c r="F91" s="658"/>
      <c r="G91" s="659"/>
      <c r="H91" s="660"/>
      <c r="I91" s="659"/>
      <c r="J91" s="661"/>
      <c r="K91" s="658"/>
      <c r="L91" s="658"/>
      <c r="M91" s="658"/>
      <c r="N91" s="1025"/>
      <c r="O91" s="653"/>
      <c r="P91" s="654"/>
      <c r="Q91" s="1030"/>
      <c r="R91" s="661"/>
      <c r="S91" s="705"/>
      <c r="T91" s="659"/>
      <c r="U91" s="661"/>
      <c r="V91" s="660"/>
      <c r="W91" s="691"/>
      <c r="X91" s="661"/>
      <c r="Y91" s="661"/>
    </row>
    <row r="92">
      <c r="A92" s="653"/>
      <c r="B92" s="654"/>
      <c r="C92" s="655"/>
      <c r="D92" s="656"/>
      <c r="E92" s="657"/>
      <c r="F92" s="658"/>
      <c r="G92" s="659"/>
      <c r="H92" s="660"/>
      <c r="I92" s="659"/>
      <c r="J92" s="661"/>
      <c r="K92" s="658"/>
      <c r="L92" s="658"/>
      <c r="M92" s="658"/>
      <c r="N92" s="1025"/>
      <c r="O92" s="653"/>
      <c r="P92" s="654"/>
      <c r="Q92" s="1030"/>
      <c r="R92" s="661"/>
      <c r="S92" s="705"/>
      <c r="T92" s="659"/>
      <c r="U92" s="661"/>
      <c r="V92" s="660"/>
      <c r="W92" s="691"/>
      <c r="X92" s="661"/>
      <c r="Y92" s="661"/>
    </row>
    <row r="93">
      <c r="A93" s="653"/>
      <c r="B93" s="654"/>
      <c r="C93" s="655"/>
      <c r="D93" s="656"/>
      <c r="E93" s="657"/>
      <c r="F93" s="658"/>
      <c r="G93" s="659"/>
      <c r="H93" s="660"/>
      <c r="I93" s="659"/>
      <c r="J93" s="661"/>
      <c r="K93" s="658"/>
      <c r="L93" s="658"/>
      <c r="M93" s="658"/>
      <c r="N93" s="1025"/>
      <c r="O93" s="653"/>
      <c r="P93" s="654"/>
      <c r="Q93" s="1030"/>
      <c r="R93" s="661"/>
      <c r="S93" s="705"/>
      <c r="T93" s="659"/>
      <c r="U93" s="661"/>
      <c r="V93" s="660"/>
      <c r="W93" s="691"/>
      <c r="X93" s="661"/>
      <c r="Y93" s="661"/>
    </row>
    <row r="94">
      <c r="A94" s="653"/>
      <c r="B94" s="654"/>
      <c r="C94" s="655"/>
      <c r="D94" s="656"/>
      <c r="E94" s="657"/>
      <c r="F94" s="658"/>
      <c r="G94" s="659"/>
      <c r="H94" s="660"/>
      <c r="I94" s="659"/>
      <c r="J94" s="661"/>
      <c r="K94" s="658"/>
      <c r="L94" s="658"/>
      <c r="M94" s="658"/>
      <c r="N94" s="1025"/>
      <c r="O94" s="653"/>
      <c r="P94" s="654"/>
      <c r="Q94" s="1030"/>
      <c r="R94" s="661"/>
      <c r="S94" s="705"/>
      <c r="T94" s="659"/>
      <c r="U94" s="661"/>
      <c r="V94" s="660"/>
      <c r="W94" s="691"/>
      <c r="X94" s="661"/>
      <c r="Y94" s="661"/>
    </row>
    <row r="95">
      <c r="A95" s="653"/>
      <c r="B95" s="654"/>
      <c r="C95" s="655"/>
      <c r="D95" s="656"/>
      <c r="E95" s="657"/>
      <c r="F95" s="658"/>
      <c r="G95" s="659"/>
      <c r="H95" s="660"/>
      <c r="I95" s="659"/>
      <c r="J95" s="661"/>
      <c r="K95" s="658"/>
      <c r="L95" s="658"/>
      <c r="M95" s="658"/>
      <c r="N95" s="1025"/>
      <c r="O95" s="653"/>
      <c r="P95" s="654"/>
      <c r="Q95" s="1030"/>
      <c r="R95" s="661"/>
      <c r="S95" s="705"/>
      <c r="T95" s="659"/>
      <c r="U95" s="661"/>
      <c r="V95" s="660"/>
      <c r="W95" s="691"/>
      <c r="X95" s="661"/>
      <c r="Y95" s="661"/>
    </row>
    <row r="96">
      <c r="A96" s="653"/>
      <c r="B96" s="654"/>
      <c r="C96" s="655"/>
      <c r="D96" s="656"/>
      <c r="E96" s="657"/>
      <c r="F96" s="658"/>
      <c r="G96" s="659"/>
      <c r="H96" s="660"/>
      <c r="I96" s="659"/>
      <c r="J96" s="661"/>
      <c r="K96" s="658"/>
      <c r="L96" s="658"/>
      <c r="M96" s="658"/>
      <c r="N96" s="1025"/>
      <c r="O96" s="653"/>
      <c r="P96" s="654"/>
      <c r="Q96" s="1030"/>
      <c r="R96" s="661"/>
      <c r="S96" s="705"/>
      <c r="T96" s="659"/>
      <c r="U96" s="661"/>
      <c r="V96" s="660"/>
      <c r="W96" s="691"/>
      <c r="X96" s="661"/>
      <c r="Y96" s="661"/>
    </row>
    <row r="97">
      <c r="A97" s="653"/>
      <c r="B97" s="654"/>
      <c r="C97" s="655"/>
      <c r="D97" s="656"/>
      <c r="E97" s="657"/>
      <c r="F97" s="658"/>
      <c r="G97" s="659"/>
      <c r="H97" s="660"/>
      <c r="I97" s="659"/>
      <c r="J97" s="661"/>
      <c r="K97" s="658"/>
      <c r="L97" s="658"/>
      <c r="M97" s="658"/>
      <c r="N97" s="1025"/>
      <c r="O97" s="653"/>
      <c r="P97" s="654"/>
      <c r="Q97" s="1030"/>
      <c r="R97" s="661"/>
      <c r="S97" s="705"/>
      <c r="T97" s="659"/>
      <c r="U97" s="661"/>
      <c r="V97" s="660"/>
      <c r="W97" s="691"/>
      <c r="X97" s="661"/>
      <c r="Y97" s="661"/>
    </row>
    <row r="98">
      <c r="A98" s="653"/>
      <c r="B98" s="654"/>
      <c r="C98" s="655"/>
      <c r="D98" s="656"/>
      <c r="E98" s="657"/>
      <c r="F98" s="658"/>
      <c r="G98" s="659"/>
      <c r="H98" s="660"/>
      <c r="I98" s="659"/>
      <c r="J98" s="661"/>
      <c r="K98" s="658"/>
      <c r="L98" s="658"/>
      <c r="M98" s="658"/>
      <c r="N98" s="1025"/>
      <c r="O98" s="653"/>
      <c r="P98" s="654"/>
      <c r="Q98" s="1030"/>
      <c r="R98" s="661"/>
      <c r="S98" s="705"/>
      <c r="T98" s="659"/>
      <c r="U98" s="661"/>
      <c r="V98" s="660"/>
      <c r="W98" s="691"/>
      <c r="X98" s="661"/>
      <c r="Y98" s="661"/>
    </row>
    <row r="99">
      <c r="A99" s="653"/>
      <c r="B99" s="654"/>
      <c r="C99" s="655"/>
      <c r="D99" s="656"/>
      <c r="E99" s="657"/>
      <c r="F99" s="658"/>
      <c r="G99" s="659"/>
      <c r="H99" s="660"/>
      <c r="I99" s="659"/>
      <c r="J99" s="661"/>
      <c r="K99" s="658"/>
      <c r="L99" s="658"/>
      <c r="M99" s="658"/>
      <c r="N99" s="1025"/>
      <c r="O99" s="653"/>
      <c r="P99" s="654"/>
      <c r="Q99" s="1030"/>
      <c r="R99" s="661"/>
      <c r="S99" s="705"/>
      <c r="T99" s="659"/>
      <c r="U99" s="661"/>
      <c r="V99" s="660"/>
      <c r="W99" s="691"/>
      <c r="X99" s="661"/>
      <c r="Y99" s="661"/>
    </row>
    <row r="100">
      <c r="A100" s="653"/>
      <c r="B100" s="654"/>
      <c r="C100" s="655"/>
      <c r="D100" s="656"/>
      <c r="E100" s="657"/>
      <c r="F100" s="658"/>
      <c r="G100" s="659"/>
      <c r="H100" s="660"/>
      <c r="I100" s="659"/>
      <c r="J100" s="661"/>
      <c r="K100" s="658"/>
      <c r="L100" s="658"/>
      <c r="M100" s="658"/>
      <c r="N100" s="1025"/>
      <c r="O100" s="653"/>
      <c r="P100" s="654"/>
      <c r="Q100" s="1030"/>
      <c r="R100" s="661"/>
      <c r="S100" s="705"/>
      <c r="T100" s="659"/>
      <c r="U100" s="661"/>
      <c r="V100" s="660"/>
      <c r="W100" s="691"/>
      <c r="X100" s="661"/>
      <c r="Y100" s="661"/>
    </row>
    <row r="101">
      <c r="A101" s="653"/>
      <c r="B101" s="654"/>
      <c r="C101" s="655"/>
      <c r="D101" s="656"/>
      <c r="E101" s="657"/>
      <c r="F101" s="658"/>
      <c r="G101" s="659"/>
      <c r="H101" s="660"/>
      <c r="I101" s="659"/>
      <c r="J101" s="661"/>
      <c r="K101" s="658"/>
      <c r="L101" s="658"/>
      <c r="M101" s="658"/>
      <c r="N101" s="1025"/>
      <c r="O101" s="653"/>
      <c r="P101" s="654"/>
      <c r="Q101" s="1030"/>
      <c r="R101" s="661"/>
      <c r="S101" s="705"/>
      <c r="T101" s="659"/>
      <c r="U101" s="661"/>
      <c r="V101" s="660"/>
      <c r="W101" s="691"/>
      <c r="X101" s="661"/>
      <c r="Y101" s="661"/>
    </row>
    <row r="102">
      <c r="A102" s="653"/>
      <c r="B102" s="654"/>
      <c r="C102" s="655"/>
      <c r="D102" s="656"/>
      <c r="E102" s="657"/>
      <c r="F102" s="658"/>
      <c r="G102" s="659"/>
      <c r="H102" s="660"/>
      <c r="I102" s="659"/>
      <c r="J102" s="661"/>
      <c r="K102" s="658"/>
      <c r="L102" s="658"/>
      <c r="M102" s="658"/>
      <c r="N102" s="1025"/>
      <c r="O102" s="653"/>
      <c r="P102" s="654"/>
      <c r="Q102" s="1030"/>
      <c r="R102" s="661"/>
      <c r="S102" s="705"/>
      <c r="T102" s="659"/>
      <c r="U102" s="661"/>
      <c r="V102" s="660"/>
      <c r="W102" s="691"/>
      <c r="X102" s="661"/>
      <c r="Y102" s="661"/>
    </row>
    <row r="103">
      <c r="A103" s="653"/>
      <c r="B103" s="654"/>
      <c r="C103" s="655"/>
      <c r="D103" s="656"/>
      <c r="E103" s="657"/>
      <c r="F103" s="658"/>
      <c r="G103" s="659"/>
      <c r="H103" s="660"/>
      <c r="I103" s="659"/>
      <c r="J103" s="661"/>
      <c r="K103" s="658"/>
      <c r="L103" s="658"/>
      <c r="M103" s="658"/>
      <c r="N103" s="1025"/>
      <c r="O103" s="653"/>
      <c r="P103" s="654"/>
      <c r="Q103" s="1030"/>
      <c r="R103" s="661"/>
      <c r="S103" s="705"/>
      <c r="T103" s="659"/>
      <c r="U103" s="661"/>
      <c r="V103" s="660"/>
      <c r="W103" s="691"/>
      <c r="X103" s="661"/>
      <c r="Y103" s="661"/>
    </row>
    <row r="104">
      <c r="A104" s="653"/>
      <c r="B104" s="654"/>
      <c r="C104" s="655"/>
      <c r="D104" s="656"/>
      <c r="E104" s="657"/>
      <c r="F104" s="658"/>
      <c r="G104" s="659"/>
      <c r="H104" s="660"/>
      <c r="I104" s="659"/>
      <c r="J104" s="661"/>
      <c r="K104" s="658"/>
      <c r="L104" s="658"/>
      <c r="M104" s="658"/>
      <c r="N104" s="1025"/>
      <c r="O104" s="653"/>
      <c r="P104" s="654"/>
      <c r="Q104" s="1030"/>
      <c r="R104" s="661"/>
      <c r="S104" s="705"/>
      <c r="T104" s="659"/>
      <c r="U104" s="661"/>
      <c r="V104" s="660"/>
      <c r="W104" s="691"/>
      <c r="X104" s="661"/>
      <c r="Y104" s="661"/>
    </row>
    <row r="105">
      <c r="A105" s="653"/>
      <c r="B105" s="654"/>
      <c r="C105" s="655"/>
      <c r="D105" s="656"/>
      <c r="E105" s="657"/>
      <c r="F105" s="658"/>
      <c r="G105" s="659"/>
      <c r="H105" s="660"/>
      <c r="I105" s="659"/>
      <c r="J105" s="661"/>
      <c r="K105" s="658"/>
      <c r="L105" s="658"/>
      <c r="M105" s="658"/>
      <c r="N105" s="1025"/>
      <c r="O105" s="653"/>
      <c r="P105" s="654"/>
      <c r="Q105" s="1030"/>
      <c r="R105" s="661"/>
      <c r="S105" s="705"/>
      <c r="T105" s="659"/>
      <c r="U105" s="661"/>
      <c r="V105" s="660"/>
      <c r="W105" s="691"/>
      <c r="X105" s="661"/>
      <c r="Y105" s="661"/>
    </row>
    <row r="106">
      <c r="A106" s="653"/>
      <c r="B106" s="654"/>
      <c r="C106" s="655"/>
      <c r="D106" s="656"/>
      <c r="E106" s="657"/>
      <c r="F106" s="658"/>
      <c r="G106" s="659"/>
      <c r="H106" s="660"/>
      <c r="I106" s="659"/>
      <c r="J106" s="661"/>
      <c r="K106" s="658"/>
      <c r="L106" s="658"/>
      <c r="M106" s="658"/>
      <c r="N106" s="1025"/>
      <c r="O106" s="653"/>
      <c r="P106" s="654"/>
      <c r="Q106" s="1030"/>
      <c r="R106" s="661"/>
      <c r="S106" s="705"/>
      <c r="T106" s="659"/>
      <c r="U106" s="661"/>
      <c r="V106" s="660"/>
      <c r="W106" s="691"/>
      <c r="X106" s="661"/>
      <c r="Y106" s="661"/>
    </row>
    <row r="107">
      <c r="A107" s="653"/>
      <c r="B107" s="654"/>
      <c r="C107" s="655"/>
      <c r="D107" s="656"/>
      <c r="E107" s="657"/>
      <c r="F107" s="658"/>
      <c r="G107" s="659"/>
      <c r="H107" s="660"/>
      <c r="I107" s="659"/>
      <c r="J107" s="661"/>
      <c r="K107" s="658"/>
      <c r="L107" s="658"/>
      <c r="M107" s="658"/>
      <c r="N107" s="1025"/>
      <c r="O107" s="653"/>
      <c r="P107" s="654"/>
      <c r="Q107" s="1030"/>
      <c r="R107" s="661"/>
      <c r="S107" s="705"/>
      <c r="T107" s="659"/>
      <c r="U107" s="661"/>
      <c r="V107" s="660"/>
      <c r="W107" s="691"/>
      <c r="X107" s="661"/>
      <c r="Y107" s="661"/>
    </row>
    <row r="108">
      <c r="A108" s="653"/>
      <c r="B108" s="654"/>
      <c r="C108" s="655"/>
      <c r="D108" s="656"/>
      <c r="E108" s="657"/>
      <c r="F108" s="658"/>
      <c r="G108" s="659"/>
      <c r="H108" s="660"/>
      <c r="I108" s="659"/>
      <c r="J108" s="661"/>
      <c r="K108" s="658"/>
      <c r="L108" s="658"/>
      <c r="M108" s="658"/>
      <c r="N108" s="1025"/>
      <c r="O108" s="653"/>
      <c r="P108" s="654"/>
      <c r="Q108" s="1030"/>
      <c r="R108" s="661"/>
      <c r="S108" s="705"/>
      <c r="T108" s="659"/>
      <c r="U108" s="661"/>
      <c r="V108" s="660"/>
      <c r="W108" s="691"/>
      <c r="X108" s="661"/>
      <c r="Y108" s="661"/>
    </row>
    <row r="109">
      <c r="A109" s="653"/>
      <c r="B109" s="654"/>
      <c r="C109" s="655"/>
      <c r="D109" s="656"/>
      <c r="E109" s="657"/>
      <c r="F109" s="658"/>
      <c r="G109" s="659"/>
      <c r="H109" s="660"/>
      <c r="I109" s="659"/>
      <c r="J109" s="661"/>
      <c r="K109" s="658"/>
      <c r="L109" s="658"/>
      <c r="M109" s="658"/>
      <c r="N109" s="1025"/>
      <c r="O109" s="653"/>
      <c r="P109" s="654"/>
      <c r="Q109" s="1030"/>
      <c r="R109" s="661"/>
      <c r="S109" s="705"/>
      <c r="T109" s="659"/>
      <c r="U109" s="661"/>
      <c r="V109" s="660"/>
      <c r="W109" s="691"/>
      <c r="X109" s="661"/>
      <c r="Y109" s="661"/>
    </row>
    <row r="110">
      <c r="A110" s="653"/>
      <c r="B110" s="654"/>
      <c r="C110" s="655"/>
      <c r="D110" s="656"/>
      <c r="E110" s="657"/>
      <c r="F110" s="658"/>
      <c r="G110" s="659"/>
      <c r="H110" s="660"/>
      <c r="I110" s="659"/>
      <c r="J110" s="661"/>
      <c r="K110" s="658"/>
      <c r="L110" s="658"/>
      <c r="M110" s="658"/>
      <c r="N110" s="1025"/>
      <c r="O110" s="653"/>
      <c r="P110" s="654"/>
      <c r="Q110" s="1030"/>
      <c r="R110" s="661"/>
      <c r="S110" s="705"/>
      <c r="T110" s="659"/>
      <c r="U110" s="661"/>
      <c r="V110" s="660"/>
      <c r="W110" s="691"/>
      <c r="X110" s="661"/>
      <c r="Y110" s="661"/>
    </row>
    <row r="111">
      <c r="A111" s="653"/>
      <c r="B111" s="654"/>
      <c r="C111" s="655"/>
      <c r="D111" s="656"/>
      <c r="E111" s="657"/>
      <c r="F111" s="658"/>
      <c r="G111" s="659"/>
      <c r="H111" s="660"/>
      <c r="I111" s="659"/>
      <c r="J111" s="661"/>
      <c r="K111" s="658"/>
      <c r="L111" s="658"/>
      <c r="M111" s="658"/>
      <c r="N111" s="1025"/>
      <c r="O111" s="653"/>
      <c r="P111" s="654"/>
      <c r="Q111" s="1030"/>
      <c r="R111" s="661"/>
      <c r="S111" s="705"/>
      <c r="T111" s="659"/>
      <c r="U111" s="661"/>
      <c r="V111" s="660"/>
      <c r="W111" s="691"/>
      <c r="X111" s="661"/>
      <c r="Y111" s="661"/>
    </row>
    <row r="112">
      <c r="A112" s="653"/>
      <c r="B112" s="654"/>
      <c r="C112" s="655"/>
      <c r="D112" s="656"/>
      <c r="E112" s="657"/>
      <c r="F112" s="658"/>
      <c r="G112" s="659"/>
      <c r="H112" s="660"/>
      <c r="I112" s="659"/>
      <c r="J112" s="661"/>
      <c r="K112" s="658"/>
      <c r="L112" s="658"/>
      <c r="M112" s="658"/>
      <c r="N112" s="1025"/>
      <c r="O112" s="653"/>
      <c r="P112" s="654"/>
      <c r="Q112" s="1030"/>
      <c r="R112" s="661"/>
      <c r="S112" s="705"/>
      <c r="T112" s="659"/>
      <c r="U112" s="661"/>
      <c r="V112" s="660"/>
      <c r="W112" s="691"/>
      <c r="X112" s="661"/>
      <c r="Y112" s="661"/>
    </row>
    <row r="113">
      <c r="A113" s="653"/>
      <c r="B113" s="654"/>
      <c r="C113" s="655"/>
      <c r="D113" s="656"/>
      <c r="E113" s="657"/>
      <c r="F113" s="658"/>
      <c r="G113" s="659"/>
      <c r="H113" s="660"/>
      <c r="I113" s="659"/>
      <c r="J113" s="661"/>
      <c r="K113" s="658"/>
      <c r="L113" s="658"/>
      <c r="M113" s="658"/>
      <c r="N113" s="1025"/>
      <c r="O113" s="653"/>
      <c r="P113" s="654"/>
      <c r="Q113" s="1030"/>
      <c r="R113" s="661"/>
      <c r="S113" s="705"/>
      <c r="T113" s="659"/>
      <c r="U113" s="661"/>
      <c r="V113" s="660"/>
      <c r="W113" s="691"/>
      <c r="X113" s="661"/>
      <c r="Y113" s="661"/>
    </row>
    <row r="114">
      <c r="A114" s="653"/>
      <c r="B114" s="654"/>
      <c r="C114" s="655"/>
      <c r="D114" s="656"/>
      <c r="E114" s="657"/>
      <c r="F114" s="658"/>
      <c r="G114" s="659"/>
      <c r="H114" s="660"/>
      <c r="I114" s="659"/>
      <c r="J114" s="661"/>
      <c r="K114" s="658"/>
      <c r="L114" s="658"/>
      <c r="M114" s="658"/>
      <c r="N114" s="1025"/>
      <c r="O114" s="653"/>
      <c r="P114" s="654"/>
      <c r="Q114" s="1030"/>
      <c r="R114" s="661"/>
      <c r="S114" s="705"/>
      <c r="T114" s="659"/>
      <c r="U114" s="661"/>
      <c r="V114" s="660"/>
      <c r="W114" s="691"/>
      <c r="X114" s="661"/>
      <c r="Y114" s="661"/>
    </row>
    <row r="115">
      <c r="A115" s="653"/>
      <c r="B115" s="654"/>
      <c r="C115" s="655"/>
      <c r="D115" s="656"/>
      <c r="E115" s="657"/>
      <c r="F115" s="658"/>
      <c r="G115" s="659"/>
      <c r="H115" s="660"/>
      <c r="I115" s="659"/>
      <c r="J115" s="661"/>
      <c r="K115" s="658"/>
      <c r="L115" s="658"/>
      <c r="M115" s="658"/>
      <c r="N115" s="1025"/>
      <c r="O115" s="653"/>
      <c r="P115" s="654"/>
      <c r="Q115" s="1030"/>
      <c r="R115" s="661"/>
      <c r="S115" s="705"/>
      <c r="T115" s="659"/>
      <c r="U115" s="661"/>
      <c r="V115" s="660"/>
      <c r="W115" s="691"/>
      <c r="X115" s="661"/>
      <c r="Y115" s="661"/>
    </row>
    <row r="116">
      <c r="A116" s="653"/>
      <c r="B116" s="654"/>
      <c r="C116" s="655"/>
      <c r="D116" s="656"/>
      <c r="E116" s="657"/>
      <c r="F116" s="658"/>
      <c r="G116" s="659"/>
      <c r="H116" s="660"/>
      <c r="I116" s="659"/>
      <c r="J116" s="661"/>
      <c r="K116" s="658"/>
      <c r="L116" s="658"/>
      <c r="M116" s="658"/>
      <c r="N116" s="1025"/>
      <c r="O116" s="653"/>
      <c r="P116" s="654"/>
      <c r="Q116" s="1030"/>
      <c r="R116" s="661"/>
      <c r="S116" s="705"/>
      <c r="T116" s="659"/>
      <c r="U116" s="661"/>
      <c r="V116" s="660"/>
      <c r="W116" s="691"/>
      <c r="X116" s="661"/>
      <c r="Y116" s="661"/>
    </row>
    <row r="117">
      <c r="A117" s="653"/>
      <c r="B117" s="654"/>
      <c r="C117" s="655"/>
      <c r="D117" s="656"/>
      <c r="E117" s="657"/>
      <c r="F117" s="658"/>
      <c r="G117" s="659"/>
      <c r="H117" s="660"/>
      <c r="I117" s="659"/>
      <c r="J117" s="661"/>
      <c r="K117" s="658"/>
      <c r="L117" s="658"/>
      <c r="M117" s="658"/>
      <c r="N117" s="1025"/>
      <c r="O117" s="653"/>
      <c r="P117" s="654"/>
      <c r="Q117" s="1030"/>
      <c r="R117" s="661"/>
      <c r="S117" s="705"/>
      <c r="T117" s="659"/>
      <c r="U117" s="661"/>
      <c r="V117" s="660"/>
      <c r="W117" s="691"/>
      <c r="X117" s="661"/>
      <c r="Y117" s="661"/>
    </row>
    <row r="118">
      <c r="A118" s="653"/>
      <c r="B118" s="654"/>
      <c r="C118" s="655"/>
      <c r="D118" s="656"/>
      <c r="E118" s="657"/>
      <c r="F118" s="658"/>
      <c r="G118" s="659"/>
      <c r="H118" s="660"/>
      <c r="I118" s="659"/>
      <c r="J118" s="661"/>
      <c r="K118" s="658"/>
      <c r="L118" s="658"/>
      <c r="M118" s="658"/>
      <c r="N118" s="1025"/>
      <c r="O118" s="653"/>
      <c r="P118" s="654"/>
      <c r="Q118" s="1030"/>
      <c r="R118" s="661"/>
      <c r="S118" s="705"/>
      <c r="T118" s="659"/>
      <c r="U118" s="661"/>
      <c r="V118" s="660"/>
      <c r="W118" s="691"/>
      <c r="X118" s="661"/>
      <c r="Y118" s="661"/>
    </row>
    <row r="119">
      <c r="A119" s="653"/>
      <c r="B119" s="654"/>
      <c r="C119" s="655"/>
      <c r="D119" s="656"/>
      <c r="E119" s="657"/>
      <c r="F119" s="658"/>
      <c r="G119" s="659"/>
      <c r="H119" s="660"/>
      <c r="I119" s="659"/>
      <c r="J119" s="661"/>
      <c r="K119" s="658"/>
      <c r="L119" s="658"/>
      <c r="M119" s="658"/>
      <c r="N119" s="1025"/>
      <c r="O119" s="653"/>
      <c r="P119" s="654"/>
      <c r="Q119" s="1030"/>
      <c r="R119" s="661"/>
      <c r="S119" s="705"/>
      <c r="T119" s="659"/>
      <c r="U119" s="661"/>
      <c r="V119" s="660"/>
      <c r="W119" s="691"/>
      <c r="X119" s="661"/>
      <c r="Y119" s="661"/>
    </row>
    <row r="120">
      <c r="A120" s="653"/>
      <c r="B120" s="654"/>
      <c r="C120" s="655"/>
      <c r="D120" s="656"/>
      <c r="E120" s="657"/>
      <c r="F120" s="658"/>
      <c r="G120" s="659"/>
      <c r="H120" s="660"/>
      <c r="I120" s="659"/>
      <c r="J120" s="661"/>
      <c r="K120" s="658"/>
      <c r="L120" s="658"/>
      <c r="M120" s="658"/>
      <c r="N120" s="1025"/>
      <c r="O120" s="653"/>
      <c r="P120" s="654"/>
      <c r="Q120" s="1030"/>
      <c r="R120" s="661"/>
      <c r="S120" s="705"/>
      <c r="T120" s="659"/>
      <c r="U120" s="661"/>
      <c r="V120" s="660"/>
      <c r="W120" s="691"/>
      <c r="X120" s="661"/>
      <c r="Y120" s="661"/>
    </row>
    <row r="121">
      <c r="A121" s="653"/>
      <c r="B121" s="654"/>
      <c r="C121" s="655"/>
      <c r="D121" s="656"/>
      <c r="E121" s="657"/>
      <c r="F121" s="658"/>
      <c r="G121" s="659"/>
      <c r="H121" s="660"/>
      <c r="I121" s="659"/>
      <c r="J121" s="661"/>
      <c r="K121" s="658"/>
      <c r="L121" s="658"/>
      <c r="M121" s="658"/>
      <c r="N121" s="1025"/>
      <c r="O121" s="653"/>
      <c r="P121" s="654"/>
      <c r="Q121" s="1030"/>
      <c r="R121" s="661"/>
      <c r="S121" s="705"/>
      <c r="T121" s="659"/>
      <c r="U121" s="661"/>
      <c r="V121" s="660"/>
      <c r="W121" s="691"/>
      <c r="X121" s="661"/>
      <c r="Y121" s="661"/>
    </row>
    <row r="122">
      <c r="A122" s="653"/>
      <c r="B122" s="654"/>
      <c r="C122" s="655"/>
      <c r="D122" s="656"/>
      <c r="E122" s="657"/>
      <c r="F122" s="658"/>
      <c r="G122" s="659"/>
      <c r="H122" s="660"/>
      <c r="I122" s="659"/>
      <c r="J122" s="661"/>
      <c r="K122" s="658"/>
      <c r="L122" s="658"/>
      <c r="M122" s="658"/>
      <c r="N122" s="1025"/>
      <c r="O122" s="653"/>
      <c r="P122" s="654"/>
      <c r="Q122" s="1030"/>
      <c r="R122" s="661"/>
      <c r="S122" s="705"/>
      <c r="T122" s="659"/>
      <c r="U122" s="661"/>
      <c r="V122" s="660"/>
      <c r="W122" s="691"/>
      <c r="X122" s="661"/>
      <c r="Y122" s="661"/>
    </row>
    <row r="123">
      <c r="A123" s="653"/>
      <c r="B123" s="654"/>
      <c r="C123" s="655"/>
      <c r="D123" s="656"/>
      <c r="E123" s="657"/>
      <c r="F123" s="658"/>
      <c r="G123" s="659"/>
      <c r="H123" s="660"/>
      <c r="I123" s="659"/>
      <c r="J123" s="661"/>
      <c r="K123" s="658"/>
      <c r="L123" s="658"/>
      <c r="M123" s="658"/>
      <c r="N123" s="1025"/>
      <c r="O123" s="653"/>
      <c r="P123" s="654"/>
      <c r="Q123" s="1030"/>
      <c r="R123" s="661"/>
      <c r="S123" s="705"/>
      <c r="T123" s="659"/>
      <c r="U123" s="661"/>
      <c r="V123" s="660"/>
      <c r="W123" s="691"/>
      <c r="X123" s="661"/>
      <c r="Y123" s="661"/>
    </row>
    <row r="124">
      <c r="A124" s="653"/>
      <c r="B124" s="654"/>
      <c r="C124" s="655"/>
      <c r="D124" s="656"/>
      <c r="E124" s="657"/>
      <c r="F124" s="658"/>
      <c r="G124" s="659"/>
      <c r="H124" s="660"/>
      <c r="I124" s="659"/>
      <c r="J124" s="661"/>
      <c r="K124" s="658"/>
      <c r="L124" s="658"/>
      <c r="M124" s="658"/>
      <c r="N124" s="1025"/>
      <c r="O124" s="653"/>
      <c r="P124" s="654"/>
      <c r="Q124" s="1030"/>
      <c r="R124" s="661"/>
      <c r="S124" s="705"/>
      <c r="T124" s="659"/>
      <c r="U124" s="661"/>
      <c r="V124" s="660"/>
      <c r="W124" s="691"/>
      <c r="X124" s="661"/>
      <c r="Y124" s="661"/>
    </row>
    <row r="125">
      <c r="A125" s="653"/>
      <c r="B125" s="654"/>
      <c r="C125" s="655"/>
      <c r="D125" s="656"/>
      <c r="E125" s="657"/>
      <c r="F125" s="658"/>
      <c r="G125" s="659"/>
      <c r="H125" s="660"/>
      <c r="I125" s="659"/>
      <c r="J125" s="661"/>
      <c r="K125" s="658"/>
      <c r="L125" s="658"/>
      <c r="M125" s="658"/>
      <c r="N125" s="1025"/>
      <c r="O125" s="653"/>
      <c r="P125" s="654"/>
      <c r="Q125" s="1030"/>
      <c r="R125" s="661"/>
      <c r="S125" s="705"/>
      <c r="T125" s="659"/>
      <c r="U125" s="661"/>
      <c r="V125" s="660"/>
      <c r="W125" s="691"/>
      <c r="X125" s="661"/>
      <c r="Y125" s="661"/>
    </row>
    <row r="126">
      <c r="A126" s="653"/>
      <c r="B126" s="654"/>
      <c r="C126" s="655"/>
      <c r="D126" s="656"/>
      <c r="E126" s="657"/>
      <c r="F126" s="658"/>
      <c r="G126" s="659"/>
      <c r="H126" s="660"/>
      <c r="I126" s="659"/>
      <c r="J126" s="661"/>
      <c r="K126" s="658"/>
      <c r="L126" s="658"/>
      <c r="M126" s="658"/>
      <c r="N126" s="1025"/>
      <c r="O126" s="653"/>
      <c r="P126" s="654"/>
      <c r="Q126" s="1030"/>
      <c r="R126" s="661"/>
      <c r="S126" s="705"/>
      <c r="T126" s="659"/>
      <c r="U126" s="661"/>
      <c r="V126" s="660"/>
      <c r="W126" s="691"/>
      <c r="X126" s="661"/>
      <c r="Y126" s="661"/>
    </row>
    <row r="127">
      <c r="A127" s="653"/>
      <c r="B127" s="654"/>
      <c r="C127" s="655"/>
      <c r="D127" s="656"/>
      <c r="E127" s="657"/>
      <c r="F127" s="658"/>
      <c r="G127" s="659"/>
      <c r="H127" s="660"/>
      <c r="I127" s="659"/>
      <c r="J127" s="661"/>
      <c r="K127" s="658"/>
      <c r="L127" s="658"/>
      <c r="M127" s="658"/>
      <c r="N127" s="1025"/>
      <c r="O127" s="653"/>
      <c r="P127" s="654"/>
      <c r="Q127" s="1030"/>
      <c r="R127" s="661"/>
      <c r="S127" s="705"/>
      <c r="T127" s="659"/>
      <c r="U127" s="661"/>
      <c r="V127" s="660"/>
      <c r="W127" s="691"/>
      <c r="X127" s="661"/>
      <c r="Y127" s="661"/>
    </row>
    <row r="128">
      <c r="A128" s="653"/>
      <c r="B128" s="654"/>
      <c r="C128" s="655"/>
      <c r="D128" s="656"/>
      <c r="E128" s="657"/>
      <c r="F128" s="658"/>
      <c r="G128" s="659"/>
      <c r="H128" s="660"/>
      <c r="I128" s="659"/>
      <c r="J128" s="661"/>
      <c r="K128" s="658"/>
      <c r="L128" s="658"/>
      <c r="M128" s="658"/>
      <c r="N128" s="1025"/>
      <c r="O128" s="653"/>
      <c r="P128" s="654"/>
      <c r="Q128" s="1030"/>
      <c r="R128" s="661"/>
      <c r="S128" s="705"/>
      <c r="T128" s="659"/>
      <c r="U128" s="661"/>
      <c r="V128" s="660"/>
      <c r="W128" s="691"/>
      <c r="X128" s="661"/>
      <c r="Y128" s="661"/>
    </row>
    <row r="129">
      <c r="A129" s="653"/>
      <c r="B129" s="654"/>
      <c r="C129" s="655"/>
      <c r="D129" s="656"/>
      <c r="E129" s="657"/>
      <c r="F129" s="658"/>
      <c r="G129" s="659"/>
      <c r="H129" s="660"/>
      <c r="I129" s="659"/>
      <c r="J129" s="661"/>
      <c r="K129" s="658"/>
      <c r="L129" s="658"/>
      <c r="M129" s="658"/>
      <c r="N129" s="1025"/>
      <c r="O129" s="653"/>
      <c r="P129" s="654"/>
      <c r="Q129" s="1030"/>
      <c r="R129" s="661"/>
      <c r="S129" s="705"/>
      <c r="T129" s="659"/>
      <c r="U129" s="661"/>
      <c r="V129" s="660"/>
      <c r="W129" s="691"/>
      <c r="X129" s="661"/>
      <c r="Y129" s="661"/>
    </row>
    <row r="130">
      <c r="A130" s="653"/>
      <c r="B130" s="654"/>
      <c r="C130" s="655"/>
      <c r="D130" s="656"/>
      <c r="E130" s="657"/>
      <c r="F130" s="658"/>
      <c r="G130" s="659"/>
      <c r="H130" s="660"/>
      <c r="I130" s="659"/>
      <c r="J130" s="661"/>
      <c r="K130" s="658"/>
      <c r="L130" s="658"/>
      <c r="M130" s="658"/>
      <c r="N130" s="1025"/>
      <c r="O130" s="653"/>
      <c r="P130" s="654"/>
      <c r="Q130" s="1030"/>
      <c r="R130" s="661"/>
      <c r="S130" s="705"/>
      <c r="T130" s="659"/>
      <c r="U130" s="661"/>
      <c r="V130" s="660"/>
      <c r="W130" s="691"/>
      <c r="X130" s="661"/>
      <c r="Y130" s="661"/>
    </row>
    <row r="131">
      <c r="A131" s="653"/>
      <c r="B131" s="654"/>
      <c r="C131" s="655"/>
      <c r="D131" s="656"/>
      <c r="E131" s="657"/>
      <c r="F131" s="658"/>
      <c r="G131" s="659"/>
      <c r="H131" s="660"/>
      <c r="I131" s="659"/>
      <c r="J131" s="661"/>
      <c r="K131" s="658"/>
      <c r="L131" s="658"/>
      <c r="M131" s="658"/>
      <c r="N131" s="1025"/>
      <c r="O131" s="653"/>
      <c r="P131" s="654"/>
      <c r="Q131" s="1030"/>
      <c r="R131" s="661"/>
      <c r="S131" s="705"/>
      <c r="T131" s="659"/>
      <c r="U131" s="661"/>
      <c r="V131" s="660"/>
      <c r="W131" s="691"/>
      <c r="X131" s="661"/>
      <c r="Y131" s="661"/>
    </row>
    <row r="132">
      <c r="A132" s="653"/>
      <c r="B132" s="654"/>
      <c r="C132" s="655"/>
      <c r="D132" s="656"/>
      <c r="E132" s="657"/>
      <c r="F132" s="658"/>
      <c r="G132" s="659"/>
      <c r="H132" s="660"/>
      <c r="I132" s="659"/>
      <c r="J132" s="661"/>
      <c r="K132" s="658"/>
      <c r="L132" s="658"/>
      <c r="M132" s="658"/>
      <c r="N132" s="1025"/>
      <c r="O132" s="653"/>
      <c r="P132" s="654"/>
      <c r="Q132" s="1030"/>
      <c r="R132" s="661"/>
      <c r="S132" s="705"/>
      <c r="T132" s="659"/>
      <c r="U132" s="661"/>
      <c r="V132" s="660"/>
      <c r="W132" s="691"/>
      <c r="X132" s="661"/>
      <c r="Y132" s="661"/>
    </row>
    <row r="133">
      <c r="A133" s="653"/>
      <c r="B133" s="654"/>
      <c r="C133" s="655"/>
      <c r="D133" s="656"/>
      <c r="E133" s="657"/>
      <c r="F133" s="658"/>
      <c r="G133" s="659"/>
      <c r="H133" s="660"/>
      <c r="I133" s="659"/>
      <c r="J133" s="661"/>
      <c r="K133" s="658"/>
      <c r="L133" s="658"/>
      <c r="M133" s="658"/>
      <c r="N133" s="1025"/>
      <c r="O133" s="653"/>
      <c r="P133" s="654"/>
      <c r="Q133" s="1030"/>
      <c r="R133" s="661"/>
      <c r="S133" s="705"/>
      <c r="T133" s="659"/>
      <c r="U133" s="661"/>
      <c r="V133" s="660"/>
      <c r="W133" s="691"/>
      <c r="X133" s="661"/>
      <c r="Y133" s="661"/>
    </row>
    <row r="134">
      <c r="A134" s="653"/>
      <c r="B134" s="654"/>
      <c r="C134" s="655"/>
      <c r="D134" s="656"/>
      <c r="E134" s="657"/>
      <c r="F134" s="658"/>
      <c r="G134" s="659"/>
      <c r="H134" s="660"/>
      <c r="I134" s="659"/>
      <c r="J134" s="661"/>
      <c r="K134" s="658"/>
      <c r="L134" s="658"/>
      <c r="M134" s="658"/>
      <c r="N134" s="1025"/>
      <c r="O134" s="653"/>
      <c r="P134" s="654"/>
      <c r="Q134" s="1030"/>
      <c r="R134" s="661"/>
      <c r="S134" s="705"/>
      <c r="T134" s="659"/>
      <c r="U134" s="661"/>
      <c r="V134" s="660"/>
      <c r="W134" s="691"/>
      <c r="X134" s="661"/>
      <c r="Y134" s="661"/>
    </row>
    <row r="135">
      <c r="A135" s="653"/>
      <c r="B135" s="654"/>
      <c r="C135" s="655"/>
      <c r="D135" s="656"/>
      <c r="E135" s="657"/>
      <c r="F135" s="658"/>
      <c r="G135" s="659"/>
      <c r="H135" s="660"/>
      <c r="I135" s="659"/>
      <c r="J135" s="661"/>
      <c r="K135" s="658"/>
      <c r="L135" s="658"/>
      <c r="M135" s="658"/>
      <c r="N135" s="1025"/>
      <c r="O135" s="653"/>
      <c r="P135" s="654"/>
      <c r="Q135" s="1030"/>
      <c r="R135" s="661"/>
      <c r="S135" s="705"/>
      <c r="T135" s="659"/>
      <c r="U135" s="661"/>
      <c r="V135" s="660"/>
      <c r="W135" s="691"/>
      <c r="X135" s="661"/>
      <c r="Y135" s="661"/>
    </row>
    <row r="136">
      <c r="A136" s="653"/>
      <c r="B136" s="654"/>
      <c r="C136" s="655"/>
      <c r="D136" s="656"/>
      <c r="E136" s="657"/>
      <c r="F136" s="658"/>
      <c r="G136" s="659"/>
      <c r="H136" s="660"/>
      <c r="I136" s="659"/>
      <c r="J136" s="661"/>
      <c r="K136" s="658"/>
      <c r="L136" s="658"/>
      <c r="M136" s="658"/>
      <c r="N136" s="1025"/>
      <c r="O136" s="653"/>
      <c r="P136" s="654"/>
      <c r="Q136" s="1030"/>
      <c r="R136" s="661"/>
      <c r="S136" s="705"/>
      <c r="T136" s="659"/>
      <c r="U136" s="661"/>
      <c r="V136" s="660"/>
      <c r="W136" s="691"/>
      <c r="X136" s="661"/>
      <c r="Y136" s="661"/>
    </row>
    <row r="137">
      <c r="A137" s="653"/>
      <c r="B137" s="654"/>
      <c r="C137" s="655"/>
      <c r="D137" s="656"/>
      <c r="E137" s="657"/>
      <c r="F137" s="658"/>
      <c r="G137" s="659"/>
      <c r="H137" s="660"/>
      <c r="I137" s="659"/>
      <c r="J137" s="661"/>
      <c r="K137" s="658"/>
      <c r="L137" s="658"/>
      <c r="M137" s="658"/>
      <c r="N137" s="1025"/>
      <c r="O137" s="653"/>
      <c r="P137" s="654"/>
      <c r="Q137" s="1030"/>
      <c r="R137" s="661"/>
      <c r="S137" s="705"/>
      <c r="T137" s="659"/>
      <c r="U137" s="661"/>
      <c r="V137" s="660"/>
      <c r="W137" s="691"/>
      <c r="X137" s="661"/>
      <c r="Y137" s="661"/>
    </row>
    <row r="138">
      <c r="A138" s="653"/>
      <c r="B138" s="654"/>
      <c r="C138" s="655"/>
      <c r="D138" s="656"/>
      <c r="E138" s="657"/>
      <c r="F138" s="658"/>
      <c r="G138" s="659"/>
      <c r="H138" s="660"/>
      <c r="I138" s="659"/>
      <c r="J138" s="661"/>
      <c r="K138" s="658"/>
      <c r="L138" s="658"/>
      <c r="M138" s="658"/>
      <c r="N138" s="1025"/>
      <c r="O138" s="653"/>
      <c r="P138" s="654"/>
      <c r="Q138" s="1030"/>
      <c r="R138" s="661"/>
      <c r="S138" s="705"/>
      <c r="T138" s="659"/>
      <c r="U138" s="661"/>
      <c r="V138" s="660"/>
      <c r="W138" s="691"/>
      <c r="X138" s="661"/>
      <c r="Y138" s="661"/>
    </row>
    <row r="139">
      <c r="A139" s="653"/>
      <c r="B139" s="654"/>
      <c r="C139" s="655"/>
      <c r="D139" s="656"/>
      <c r="E139" s="657"/>
      <c r="F139" s="658"/>
      <c r="G139" s="659"/>
      <c r="H139" s="660"/>
      <c r="I139" s="659"/>
      <c r="J139" s="661"/>
      <c r="K139" s="658"/>
      <c r="L139" s="658"/>
      <c r="M139" s="658"/>
      <c r="N139" s="1025"/>
      <c r="O139" s="653"/>
      <c r="P139" s="654"/>
      <c r="Q139" s="1030"/>
      <c r="R139" s="661"/>
      <c r="S139" s="705"/>
      <c r="T139" s="659"/>
      <c r="U139" s="661"/>
      <c r="V139" s="660"/>
      <c r="W139" s="691"/>
      <c r="X139" s="661"/>
      <c r="Y139" s="661"/>
    </row>
    <row r="140">
      <c r="A140" s="653"/>
      <c r="B140" s="654"/>
      <c r="C140" s="655"/>
      <c r="D140" s="656"/>
      <c r="E140" s="657"/>
      <c r="F140" s="658"/>
      <c r="G140" s="659"/>
      <c r="H140" s="660"/>
      <c r="I140" s="659"/>
      <c r="J140" s="661"/>
      <c r="K140" s="658"/>
      <c r="L140" s="658"/>
      <c r="M140" s="658"/>
      <c r="N140" s="1025"/>
      <c r="O140" s="653"/>
      <c r="P140" s="654"/>
      <c r="Q140" s="1030"/>
      <c r="R140" s="661"/>
      <c r="S140" s="705"/>
      <c r="T140" s="659"/>
      <c r="U140" s="661"/>
      <c r="V140" s="660"/>
      <c r="W140" s="691"/>
      <c r="X140" s="661"/>
      <c r="Y140" s="661"/>
    </row>
    <row r="141">
      <c r="A141" s="653"/>
      <c r="B141" s="654"/>
      <c r="C141" s="655"/>
      <c r="D141" s="656"/>
      <c r="E141" s="657"/>
      <c r="F141" s="658"/>
      <c r="G141" s="659"/>
      <c r="H141" s="660"/>
      <c r="I141" s="659"/>
      <c r="J141" s="661"/>
      <c r="K141" s="658"/>
      <c r="L141" s="658"/>
      <c r="M141" s="658"/>
      <c r="N141" s="1025"/>
      <c r="O141" s="653"/>
      <c r="P141" s="654"/>
      <c r="Q141" s="1030"/>
      <c r="R141" s="661"/>
      <c r="S141" s="705"/>
      <c r="T141" s="659"/>
      <c r="U141" s="661"/>
      <c r="V141" s="660"/>
      <c r="W141" s="691"/>
      <c r="X141" s="661"/>
      <c r="Y141" s="661"/>
    </row>
    <row r="142">
      <c r="A142" s="653"/>
      <c r="B142" s="654"/>
      <c r="C142" s="655"/>
      <c r="D142" s="656"/>
      <c r="E142" s="657"/>
      <c r="F142" s="658"/>
      <c r="G142" s="659"/>
      <c r="H142" s="660"/>
      <c r="I142" s="659"/>
      <c r="J142" s="661"/>
      <c r="K142" s="658"/>
      <c r="L142" s="658"/>
      <c r="M142" s="658"/>
      <c r="N142" s="1025"/>
      <c r="O142" s="653"/>
      <c r="P142" s="654"/>
      <c r="Q142" s="1030"/>
      <c r="R142" s="661"/>
      <c r="S142" s="705"/>
      <c r="T142" s="659"/>
      <c r="U142" s="661"/>
      <c r="V142" s="660"/>
      <c r="W142" s="691"/>
      <c r="X142" s="661"/>
      <c r="Y142" s="661"/>
    </row>
    <row r="143">
      <c r="A143" s="653"/>
      <c r="B143" s="654"/>
      <c r="C143" s="655"/>
      <c r="D143" s="656"/>
      <c r="E143" s="657"/>
      <c r="F143" s="658"/>
      <c r="G143" s="659"/>
      <c r="H143" s="660"/>
      <c r="I143" s="659"/>
      <c r="J143" s="661"/>
      <c r="K143" s="658"/>
      <c r="L143" s="658"/>
      <c r="M143" s="658"/>
      <c r="N143" s="1025"/>
      <c r="O143" s="653"/>
      <c r="P143" s="654"/>
      <c r="Q143" s="1030"/>
      <c r="R143" s="661"/>
      <c r="S143" s="705"/>
      <c r="T143" s="659"/>
      <c r="U143" s="661"/>
      <c r="V143" s="660"/>
      <c r="W143" s="691"/>
      <c r="X143" s="661"/>
      <c r="Y143" s="661"/>
    </row>
    <row r="144">
      <c r="A144" s="653"/>
      <c r="B144" s="654"/>
      <c r="C144" s="655"/>
      <c r="D144" s="656"/>
      <c r="E144" s="657"/>
      <c r="F144" s="658"/>
      <c r="G144" s="659"/>
      <c r="H144" s="660"/>
      <c r="I144" s="659"/>
      <c r="J144" s="661"/>
      <c r="K144" s="658"/>
      <c r="L144" s="658"/>
      <c r="M144" s="658"/>
      <c r="N144" s="1025"/>
      <c r="O144" s="653"/>
      <c r="P144" s="654"/>
      <c r="Q144" s="1030"/>
      <c r="R144" s="661"/>
      <c r="S144" s="705"/>
      <c r="T144" s="659"/>
      <c r="U144" s="661"/>
      <c r="V144" s="660"/>
      <c r="W144" s="691"/>
      <c r="X144" s="661"/>
      <c r="Y144" s="661"/>
    </row>
    <row r="145">
      <c r="A145" s="653"/>
      <c r="B145" s="654"/>
      <c r="C145" s="655"/>
      <c r="D145" s="656"/>
      <c r="E145" s="657"/>
      <c r="F145" s="658"/>
      <c r="G145" s="659"/>
      <c r="H145" s="660"/>
      <c r="I145" s="659"/>
      <c r="J145" s="661"/>
      <c r="K145" s="658"/>
      <c r="L145" s="658"/>
      <c r="M145" s="658"/>
      <c r="N145" s="1025"/>
      <c r="O145" s="653"/>
      <c r="P145" s="654"/>
      <c r="Q145" s="1030"/>
      <c r="R145" s="661"/>
      <c r="S145" s="705"/>
      <c r="T145" s="659"/>
      <c r="U145" s="661"/>
      <c r="V145" s="660"/>
      <c r="W145" s="691"/>
      <c r="X145" s="661"/>
      <c r="Y145" s="661"/>
    </row>
    <row r="146">
      <c r="A146" s="653"/>
      <c r="B146" s="654"/>
      <c r="C146" s="655"/>
      <c r="D146" s="656"/>
      <c r="E146" s="657"/>
      <c r="F146" s="658"/>
      <c r="G146" s="659"/>
      <c r="H146" s="660"/>
      <c r="I146" s="659"/>
      <c r="J146" s="661"/>
      <c r="K146" s="658"/>
      <c r="L146" s="658"/>
      <c r="M146" s="658"/>
      <c r="N146" s="1025"/>
      <c r="O146" s="653"/>
      <c r="P146" s="654"/>
      <c r="Q146" s="1030"/>
      <c r="R146" s="661"/>
      <c r="S146" s="705"/>
      <c r="T146" s="659"/>
      <c r="U146" s="661"/>
      <c r="V146" s="660"/>
      <c r="W146" s="691"/>
      <c r="X146" s="661"/>
      <c r="Y146" s="661"/>
    </row>
    <row r="147">
      <c r="A147" s="653"/>
      <c r="B147" s="654"/>
      <c r="C147" s="655"/>
      <c r="D147" s="656"/>
      <c r="E147" s="657"/>
      <c r="F147" s="658"/>
      <c r="G147" s="659"/>
      <c r="H147" s="660"/>
      <c r="I147" s="659"/>
      <c r="J147" s="661"/>
      <c r="K147" s="658"/>
      <c r="L147" s="658"/>
      <c r="M147" s="658"/>
      <c r="N147" s="1025"/>
      <c r="O147" s="653"/>
      <c r="P147" s="654"/>
      <c r="Q147" s="1030"/>
      <c r="R147" s="661"/>
      <c r="S147" s="705"/>
      <c r="T147" s="659"/>
      <c r="U147" s="661"/>
      <c r="V147" s="660"/>
      <c r="W147" s="691"/>
      <c r="X147" s="661"/>
      <c r="Y147" s="661"/>
    </row>
    <row r="148">
      <c r="A148" s="653"/>
      <c r="B148" s="654"/>
      <c r="C148" s="655"/>
      <c r="D148" s="656"/>
      <c r="E148" s="657"/>
      <c r="F148" s="658"/>
      <c r="G148" s="659"/>
      <c r="H148" s="660"/>
      <c r="I148" s="659"/>
      <c r="J148" s="661"/>
      <c r="K148" s="658"/>
      <c r="L148" s="658"/>
      <c r="M148" s="658"/>
      <c r="N148" s="1025"/>
      <c r="O148" s="653"/>
      <c r="P148" s="654"/>
      <c r="Q148" s="1030"/>
      <c r="R148" s="661"/>
      <c r="S148" s="705"/>
      <c r="T148" s="659"/>
      <c r="U148" s="661"/>
      <c r="V148" s="660"/>
      <c r="W148" s="691"/>
      <c r="X148" s="661"/>
      <c r="Y148" s="661"/>
    </row>
    <row r="149">
      <c r="A149" s="653"/>
      <c r="B149" s="654"/>
      <c r="C149" s="655"/>
      <c r="D149" s="656"/>
      <c r="E149" s="657"/>
      <c r="F149" s="658"/>
      <c r="G149" s="659"/>
      <c r="H149" s="660"/>
      <c r="I149" s="659"/>
      <c r="J149" s="661"/>
      <c r="K149" s="658"/>
      <c r="L149" s="658"/>
      <c r="M149" s="658"/>
      <c r="N149" s="1025"/>
      <c r="O149" s="653"/>
      <c r="P149" s="654"/>
      <c r="Q149" s="1030"/>
      <c r="R149" s="661"/>
      <c r="S149" s="705"/>
      <c r="T149" s="659"/>
      <c r="U149" s="661"/>
      <c r="V149" s="660"/>
      <c r="W149" s="691"/>
      <c r="X149" s="661"/>
      <c r="Y149" s="661"/>
    </row>
    <row r="150">
      <c r="A150" s="653"/>
      <c r="B150" s="654"/>
      <c r="C150" s="655"/>
      <c r="D150" s="656"/>
      <c r="E150" s="657"/>
      <c r="F150" s="658"/>
      <c r="G150" s="659"/>
      <c r="H150" s="660"/>
      <c r="I150" s="659"/>
      <c r="J150" s="661"/>
      <c r="K150" s="658"/>
      <c r="L150" s="658"/>
      <c r="M150" s="658"/>
      <c r="N150" s="1025"/>
      <c r="O150" s="653"/>
      <c r="P150" s="654"/>
      <c r="Q150" s="1030"/>
      <c r="R150" s="661"/>
      <c r="S150" s="705"/>
      <c r="T150" s="659"/>
      <c r="U150" s="661"/>
      <c r="V150" s="660"/>
      <c r="W150" s="691"/>
      <c r="X150" s="661"/>
      <c r="Y150" s="661"/>
    </row>
    <row r="151">
      <c r="A151" s="653"/>
      <c r="B151" s="654"/>
      <c r="C151" s="655"/>
      <c r="D151" s="656"/>
      <c r="E151" s="657"/>
      <c r="F151" s="658"/>
      <c r="G151" s="659"/>
      <c r="H151" s="660"/>
      <c r="I151" s="659"/>
      <c r="J151" s="661"/>
      <c r="K151" s="658"/>
      <c r="L151" s="658"/>
      <c r="M151" s="658"/>
      <c r="N151" s="1025"/>
      <c r="O151" s="653"/>
      <c r="P151" s="654"/>
      <c r="Q151" s="1030"/>
      <c r="R151" s="661"/>
      <c r="S151" s="705"/>
      <c r="T151" s="659"/>
      <c r="U151" s="661"/>
      <c r="V151" s="660"/>
      <c r="W151" s="691"/>
      <c r="X151" s="661"/>
      <c r="Y151" s="661"/>
    </row>
    <row r="152">
      <c r="A152" s="653"/>
      <c r="B152" s="654"/>
      <c r="C152" s="655"/>
      <c r="D152" s="656"/>
      <c r="E152" s="657"/>
      <c r="F152" s="658"/>
      <c r="G152" s="659"/>
      <c r="H152" s="660"/>
      <c r="I152" s="659"/>
      <c r="J152" s="661"/>
      <c r="K152" s="658"/>
      <c r="L152" s="658"/>
      <c r="M152" s="658"/>
      <c r="N152" s="1025"/>
      <c r="O152" s="653"/>
      <c r="P152" s="654"/>
      <c r="Q152" s="1030"/>
      <c r="R152" s="661"/>
      <c r="S152" s="705"/>
      <c r="T152" s="659"/>
      <c r="U152" s="661"/>
      <c r="V152" s="660"/>
      <c r="W152" s="691"/>
      <c r="X152" s="661"/>
      <c r="Y152" s="661"/>
    </row>
    <row r="153">
      <c r="A153" s="653"/>
      <c r="B153" s="654"/>
      <c r="C153" s="655"/>
      <c r="D153" s="656"/>
      <c r="E153" s="657"/>
      <c r="F153" s="658"/>
      <c r="G153" s="659"/>
      <c r="H153" s="660"/>
      <c r="I153" s="659"/>
      <c r="J153" s="661"/>
      <c r="K153" s="658"/>
      <c r="L153" s="658"/>
      <c r="M153" s="658"/>
      <c r="N153" s="1025"/>
      <c r="O153" s="653"/>
      <c r="P153" s="654"/>
      <c r="Q153" s="1030"/>
      <c r="R153" s="661"/>
      <c r="S153" s="705"/>
      <c r="T153" s="659"/>
      <c r="U153" s="661"/>
      <c r="V153" s="660"/>
      <c r="W153" s="691"/>
      <c r="X153" s="661"/>
      <c r="Y153" s="661"/>
    </row>
    <row r="154">
      <c r="A154" s="653"/>
      <c r="B154" s="654"/>
      <c r="C154" s="655"/>
      <c r="D154" s="656"/>
      <c r="E154" s="657"/>
      <c r="F154" s="658"/>
      <c r="G154" s="659"/>
      <c r="H154" s="660"/>
      <c r="I154" s="659"/>
      <c r="J154" s="661"/>
      <c r="K154" s="658"/>
      <c r="L154" s="658"/>
      <c r="M154" s="658"/>
      <c r="N154" s="1025"/>
      <c r="O154" s="653"/>
      <c r="P154" s="654"/>
      <c r="Q154" s="1030"/>
      <c r="R154" s="661"/>
      <c r="S154" s="705"/>
      <c r="T154" s="659"/>
      <c r="U154" s="661"/>
      <c r="V154" s="660"/>
      <c r="W154" s="691"/>
      <c r="X154" s="661"/>
      <c r="Y154" s="661"/>
    </row>
    <row r="155">
      <c r="A155" s="653"/>
      <c r="B155" s="654"/>
      <c r="C155" s="655"/>
      <c r="D155" s="656"/>
      <c r="E155" s="657"/>
      <c r="F155" s="658"/>
      <c r="G155" s="659"/>
      <c r="H155" s="660"/>
      <c r="I155" s="659"/>
      <c r="J155" s="661"/>
      <c r="K155" s="658"/>
      <c r="L155" s="658"/>
      <c r="M155" s="658"/>
      <c r="N155" s="1025"/>
      <c r="O155" s="653"/>
      <c r="P155" s="654"/>
      <c r="Q155" s="1030"/>
      <c r="R155" s="661"/>
      <c r="S155" s="705"/>
      <c r="T155" s="659"/>
      <c r="U155" s="661"/>
      <c r="V155" s="660"/>
      <c r="W155" s="691"/>
      <c r="X155" s="661"/>
      <c r="Y155" s="661"/>
    </row>
    <row r="156">
      <c r="A156" s="653"/>
      <c r="B156" s="654"/>
      <c r="C156" s="655"/>
      <c r="D156" s="656"/>
      <c r="E156" s="657"/>
      <c r="F156" s="658"/>
      <c r="G156" s="659"/>
      <c r="H156" s="660"/>
      <c r="I156" s="659"/>
      <c r="J156" s="661"/>
      <c r="K156" s="658"/>
      <c r="L156" s="658"/>
      <c r="M156" s="658"/>
      <c r="N156" s="1025"/>
      <c r="O156" s="653"/>
      <c r="P156" s="654"/>
      <c r="Q156" s="1030"/>
      <c r="R156" s="661"/>
      <c r="S156" s="705"/>
      <c r="T156" s="659"/>
      <c r="U156" s="661"/>
      <c r="V156" s="660"/>
      <c r="W156" s="691"/>
      <c r="X156" s="661"/>
      <c r="Y156" s="661"/>
    </row>
    <row r="157">
      <c r="A157" s="653"/>
      <c r="B157" s="654"/>
      <c r="C157" s="655"/>
      <c r="D157" s="656"/>
      <c r="E157" s="657"/>
      <c r="F157" s="658"/>
      <c r="G157" s="659"/>
      <c r="H157" s="660"/>
      <c r="I157" s="659"/>
      <c r="J157" s="661"/>
      <c r="K157" s="658"/>
      <c r="L157" s="658"/>
      <c r="M157" s="658"/>
      <c r="N157" s="1025"/>
      <c r="O157" s="653"/>
      <c r="P157" s="654"/>
      <c r="Q157" s="1030"/>
      <c r="R157" s="661"/>
      <c r="S157" s="705"/>
      <c r="T157" s="659"/>
      <c r="U157" s="661"/>
      <c r="V157" s="660"/>
      <c r="W157" s="691"/>
      <c r="X157" s="661"/>
      <c r="Y157" s="661"/>
    </row>
    <row r="158">
      <c r="A158" s="653"/>
      <c r="B158" s="654"/>
      <c r="C158" s="655"/>
      <c r="D158" s="656"/>
      <c r="E158" s="657"/>
      <c r="F158" s="658"/>
      <c r="G158" s="659"/>
      <c r="H158" s="660"/>
      <c r="I158" s="659"/>
      <c r="J158" s="661"/>
      <c r="K158" s="658"/>
      <c r="L158" s="658"/>
      <c r="M158" s="658"/>
      <c r="N158" s="1025"/>
      <c r="O158" s="653"/>
      <c r="P158" s="654"/>
      <c r="Q158" s="1030"/>
      <c r="R158" s="661"/>
      <c r="S158" s="705"/>
      <c r="T158" s="659"/>
      <c r="U158" s="661"/>
      <c r="V158" s="660"/>
      <c r="W158" s="691"/>
      <c r="X158" s="661"/>
      <c r="Y158" s="661"/>
    </row>
    <row r="159">
      <c r="A159" s="653"/>
      <c r="B159" s="654"/>
      <c r="C159" s="655"/>
      <c r="D159" s="656"/>
      <c r="E159" s="657"/>
      <c r="F159" s="658"/>
      <c r="G159" s="659"/>
      <c r="H159" s="660"/>
      <c r="I159" s="659"/>
      <c r="J159" s="661"/>
      <c r="K159" s="658"/>
      <c r="L159" s="658"/>
      <c r="M159" s="658"/>
      <c r="N159" s="1025"/>
      <c r="O159" s="653"/>
      <c r="P159" s="654"/>
      <c r="Q159" s="1030"/>
      <c r="R159" s="661"/>
      <c r="S159" s="705"/>
      <c r="T159" s="659"/>
      <c r="U159" s="661"/>
      <c r="V159" s="660"/>
      <c r="W159" s="691"/>
      <c r="X159" s="661"/>
      <c r="Y159" s="661"/>
    </row>
    <row r="160">
      <c r="A160" s="653"/>
      <c r="B160" s="654"/>
      <c r="C160" s="655"/>
      <c r="D160" s="656"/>
      <c r="E160" s="657"/>
      <c r="F160" s="658"/>
      <c r="G160" s="659"/>
      <c r="H160" s="660"/>
      <c r="I160" s="659"/>
      <c r="J160" s="661"/>
      <c r="K160" s="658"/>
      <c r="L160" s="658"/>
      <c r="M160" s="658"/>
      <c r="N160" s="1025"/>
      <c r="O160" s="653"/>
      <c r="P160" s="654"/>
      <c r="Q160" s="1030"/>
      <c r="R160" s="661"/>
      <c r="S160" s="705"/>
      <c r="T160" s="659"/>
      <c r="U160" s="661"/>
      <c r="V160" s="660"/>
      <c r="W160" s="691"/>
      <c r="X160" s="661"/>
      <c r="Y160" s="661"/>
    </row>
    <row r="161">
      <c r="A161" s="653"/>
      <c r="B161" s="654"/>
      <c r="C161" s="655"/>
      <c r="D161" s="656"/>
      <c r="E161" s="657"/>
      <c r="F161" s="658"/>
      <c r="G161" s="659"/>
      <c r="H161" s="660"/>
      <c r="I161" s="659"/>
      <c r="J161" s="661"/>
      <c r="K161" s="658"/>
      <c r="L161" s="658"/>
      <c r="M161" s="658"/>
      <c r="N161" s="1025"/>
      <c r="O161" s="653"/>
      <c r="P161" s="654"/>
      <c r="Q161" s="1030"/>
      <c r="R161" s="661"/>
      <c r="S161" s="705"/>
      <c r="T161" s="659"/>
      <c r="U161" s="661"/>
      <c r="V161" s="660"/>
      <c r="W161" s="691"/>
      <c r="X161" s="661"/>
      <c r="Y161" s="661"/>
    </row>
    <row r="162">
      <c r="A162" s="653"/>
      <c r="B162" s="654"/>
      <c r="C162" s="655"/>
      <c r="D162" s="656"/>
      <c r="E162" s="657"/>
      <c r="F162" s="658"/>
      <c r="G162" s="659"/>
      <c r="H162" s="660"/>
      <c r="I162" s="659"/>
      <c r="J162" s="661"/>
      <c r="K162" s="658"/>
      <c r="L162" s="658"/>
      <c r="M162" s="658"/>
      <c r="N162" s="1025"/>
      <c r="O162" s="653"/>
      <c r="P162" s="654"/>
      <c r="Q162" s="1030"/>
      <c r="R162" s="661"/>
      <c r="S162" s="705"/>
      <c r="T162" s="659"/>
      <c r="U162" s="661"/>
      <c r="V162" s="660"/>
      <c r="W162" s="691"/>
      <c r="X162" s="661"/>
      <c r="Y162" s="661"/>
    </row>
    <row r="163">
      <c r="A163" s="653"/>
      <c r="B163" s="654"/>
      <c r="C163" s="655"/>
      <c r="D163" s="656"/>
      <c r="E163" s="657"/>
      <c r="F163" s="658"/>
      <c r="G163" s="659"/>
      <c r="H163" s="660"/>
      <c r="I163" s="659"/>
      <c r="J163" s="661"/>
      <c r="K163" s="658"/>
      <c r="L163" s="658"/>
      <c r="M163" s="658"/>
      <c r="N163" s="1025"/>
      <c r="O163" s="653"/>
      <c r="P163" s="654"/>
      <c r="Q163" s="1030"/>
      <c r="R163" s="661"/>
      <c r="S163" s="705"/>
      <c r="T163" s="659"/>
      <c r="U163" s="661"/>
      <c r="V163" s="660"/>
      <c r="W163" s="691"/>
      <c r="X163" s="661"/>
      <c r="Y163" s="661"/>
    </row>
    <row r="164">
      <c r="A164" s="653"/>
      <c r="B164" s="654"/>
      <c r="C164" s="655"/>
      <c r="D164" s="656"/>
      <c r="E164" s="657"/>
      <c r="F164" s="658"/>
      <c r="G164" s="659"/>
      <c r="H164" s="660"/>
      <c r="I164" s="659"/>
      <c r="J164" s="661"/>
      <c r="K164" s="658"/>
      <c r="L164" s="658"/>
      <c r="M164" s="658"/>
      <c r="N164" s="1025"/>
      <c r="O164" s="653"/>
      <c r="P164" s="654"/>
      <c r="Q164" s="1030"/>
      <c r="R164" s="661"/>
      <c r="S164" s="705"/>
      <c r="T164" s="659"/>
      <c r="U164" s="661"/>
      <c r="V164" s="660"/>
      <c r="W164" s="691"/>
      <c r="X164" s="661"/>
      <c r="Y164" s="661"/>
    </row>
    <row r="165">
      <c r="A165" s="653"/>
      <c r="B165" s="654"/>
      <c r="C165" s="655"/>
      <c r="D165" s="656"/>
      <c r="E165" s="657"/>
      <c r="F165" s="658"/>
      <c r="G165" s="659"/>
      <c r="H165" s="660"/>
      <c r="I165" s="659"/>
      <c r="J165" s="661"/>
      <c r="K165" s="658"/>
      <c r="L165" s="658"/>
      <c r="M165" s="658"/>
      <c r="N165" s="1025"/>
      <c r="O165" s="653"/>
      <c r="P165" s="654"/>
      <c r="Q165" s="1030"/>
      <c r="R165" s="661"/>
      <c r="S165" s="705"/>
      <c r="T165" s="659"/>
      <c r="U165" s="661"/>
      <c r="V165" s="660"/>
      <c r="W165" s="691"/>
      <c r="X165" s="661"/>
      <c r="Y165" s="661"/>
    </row>
    <row r="166">
      <c r="A166" s="653"/>
      <c r="B166" s="654"/>
      <c r="C166" s="655"/>
      <c r="D166" s="656"/>
      <c r="E166" s="657"/>
      <c r="F166" s="658"/>
      <c r="G166" s="659"/>
      <c r="H166" s="660"/>
      <c r="I166" s="659"/>
      <c r="J166" s="661"/>
      <c r="K166" s="658"/>
      <c r="L166" s="658"/>
      <c r="M166" s="658"/>
      <c r="N166" s="1025"/>
      <c r="O166" s="653"/>
      <c r="P166" s="654"/>
      <c r="Q166" s="1030"/>
      <c r="R166" s="661"/>
      <c r="S166" s="705"/>
      <c r="T166" s="659"/>
      <c r="U166" s="661"/>
      <c r="V166" s="660"/>
      <c r="W166" s="691"/>
      <c r="X166" s="661"/>
      <c r="Y166" s="661"/>
    </row>
    <row r="167">
      <c r="A167" s="653"/>
      <c r="B167" s="654"/>
      <c r="C167" s="655"/>
      <c r="D167" s="656"/>
      <c r="E167" s="657"/>
      <c r="F167" s="658"/>
      <c r="G167" s="659"/>
      <c r="H167" s="660"/>
      <c r="I167" s="659"/>
      <c r="J167" s="661"/>
      <c r="K167" s="658"/>
      <c r="L167" s="658"/>
      <c r="M167" s="658"/>
      <c r="N167" s="1025"/>
      <c r="O167" s="653"/>
      <c r="P167" s="654"/>
      <c r="Q167" s="1030"/>
      <c r="R167" s="661"/>
      <c r="S167" s="705"/>
      <c r="T167" s="659"/>
      <c r="U167" s="661"/>
      <c r="V167" s="660"/>
      <c r="W167" s="691"/>
      <c r="X167" s="661"/>
      <c r="Y167" s="661"/>
    </row>
    <row r="168">
      <c r="A168" s="653"/>
      <c r="B168" s="654"/>
      <c r="C168" s="655"/>
      <c r="D168" s="656"/>
      <c r="E168" s="657"/>
      <c r="F168" s="658"/>
      <c r="G168" s="659"/>
      <c r="H168" s="660"/>
      <c r="I168" s="659"/>
      <c r="J168" s="661"/>
      <c r="K168" s="658"/>
      <c r="L168" s="658"/>
      <c r="M168" s="658"/>
      <c r="N168" s="1025"/>
      <c r="O168" s="653"/>
      <c r="P168" s="654"/>
      <c r="Q168" s="1030"/>
      <c r="R168" s="661"/>
      <c r="S168" s="705"/>
      <c r="T168" s="659"/>
      <c r="U168" s="661"/>
      <c r="V168" s="660"/>
      <c r="W168" s="691"/>
      <c r="X168" s="661"/>
      <c r="Y168" s="661"/>
    </row>
    <row r="169">
      <c r="A169" s="653"/>
      <c r="B169" s="654"/>
      <c r="C169" s="655"/>
      <c r="D169" s="656"/>
      <c r="E169" s="657"/>
      <c r="F169" s="658"/>
      <c r="G169" s="659"/>
      <c r="H169" s="660"/>
      <c r="I169" s="659"/>
      <c r="J169" s="661"/>
      <c r="K169" s="658"/>
      <c r="L169" s="658"/>
      <c r="M169" s="658"/>
      <c r="N169" s="1025"/>
      <c r="O169" s="653"/>
      <c r="P169" s="654"/>
      <c r="Q169" s="1030"/>
      <c r="R169" s="661"/>
      <c r="S169" s="705"/>
      <c r="T169" s="659"/>
      <c r="U169" s="661"/>
      <c r="V169" s="660"/>
      <c r="W169" s="691"/>
      <c r="X169" s="661"/>
      <c r="Y169" s="661"/>
    </row>
    <row r="170">
      <c r="A170" s="653"/>
      <c r="B170" s="654"/>
      <c r="C170" s="655"/>
      <c r="D170" s="656"/>
      <c r="E170" s="657"/>
      <c r="F170" s="658"/>
      <c r="G170" s="659"/>
      <c r="H170" s="660"/>
      <c r="I170" s="659"/>
      <c r="J170" s="661"/>
      <c r="K170" s="658"/>
      <c r="L170" s="658"/>
      <c r="M170" s="658"/>
      <c r="N170" s="1025"/>
      <c r="O170" s="653"/>
      <c r="P170" s="654"/>
      <c r="Q170" s="1030"/>
      <c r="R170" s="661"/>
      <c r="S170" s="705"/>
      <c r="T170" s="659"/>
      <c r="U170" s="661"/>
      <c r="V170" s="660"/>
      <c r="W170" s="691"/>
      <c r="X170" s="661"/>
      <c r="Y170" s="661"/>
    </row>
    <row r="171">
      <c r="A171" s="653"/>
      <c r="B171" s="654"/>
      <c r="C171" s="655"/>
      <c r="D171" s="656"/>
      <c r="E171" s="657"/>
      <c r="F171" s="658"/>
      <c r="G171" s="659"/>
      <c r="H171" s="660"/>
      <c r="I171" s="659"/>
      <c r="J171" s="661"/>
      <c r="K171" s="658"/>
      <c r="L171" s="658"/>
      <c r="M171" s="658"/>
      <c r="N171" s="1025"/>
      <c r="O171" s="653"/>
      <c r="P171" s="654"/>
      <c r="Q171" s="1030"/>
      <c r="R171" s="661"/>
      <c r="S171" s="705"/>
      <c r="T171" s="659"/>
      <c r="U171" s="661"/>
      <c r="V171" s="660"/>
      <c r="W171" s="691"/>
      <c r="X171" s="661"/>
      <c r="Y171" s="661"/>
    </row>
    <row r="172">
      <c r="A172" s="653"/>
      <c r="B172" s="654"/>
      <c r="C172" s="655"/>
      <c r="D172" s="656"/>
      <c r="E172" s="657"/>
      <c r="F172" s="658"/>
      <c r="G172" s="659"/>
      <c r="H172" s="660"/>
      <c r="I172" s="659"/>
      <c r="J172" s="661"/>
      <c r="K172" s="658"/>
      <c r="L172" s="658"/>
      <c r="M172" s="658"/>
      <c r="N172" s="1025"/>
      <c r="O172" s="653"/>
      <c r="P172" s="654"/>
      <c r="Q172" s="1030"/>
      <c r="R172" s="661"/>
      <c r="S172" s="705"/>
      <c r="T172" s="659"/>
      <c r="U172" s="661"/>
      <c r="V172" s="660"/>
      <c r="W172" s="691"/>
      <c r="X172" s="661"/>
      <c r="Y172" s="661"/>
    </row>
    <row r="173">
      <c r="A173" s="653"/>
      <c r="B173" s="654"/>
      <c r="C173" s="655"/>
      <c r="D173" s="656"/>
      <c r="E173" s="657"/>
      <c r="F173" s="658"/>
      <c r="G173" s="659"/>
      <c r="H173" s="660"/>
      <c r="I173" s="659"/>
      <c r="J173" s="661"/>
      <c r="K173" s="658"/>
      <c r="L173" s="658"/>
      <c r="M173" s="658"/>
      <c r="N173" s="1025"/>
      <c r="O173" s="653"/>
      <c r="P173" s="654"/>
      <c r="Q173" s="1030"/>
      <c r="R173" s="661"/>
      <c r="S173" s="705"/>
      <c r="T173" s="659"/>
      <c r="U173" s="661"/>
      <c r="V173" s="660"/>
      <c r="W173" s="691"/>
      <c r="X173" s="661"/>
      <c r="Y173" s="661"/>
    </row>
    <row r="174">
      <c r="A174" s="653"/>
      <c r="B174" s="654"/>
      <c r="C174" s="655"/>
      <c r="D174" s="656"/>
      <c r="E174" s="657"/>
      <c r="F174" s="658"/>
      <c r="G174" s="659"/>
      <c r="H174" s="660"/>
      <c r="I174" s="659"/>
      <c r="J174" s="661"/>
      <c r="K174" s="658"/>
      <c r="L174" s="658"/>
      <c r="M174" s="658"/>
      <c r="N174" s="1025"/>
      <c r="O174" s="653"/>
      <c r="P174" s="654"/>
      <c r="Q174" s="1030"/>
      <c r="R174" s="661"/>
      <c r="S174" s="705"/>
      <c r="T174" s="659"/>
      <c r="U174" s="661"/>
      <c r="V174" s="660"/>
      <c r="W174" s="691"/>
      <c r="X174" s="661"/>
      <c r="Y174" s="661"/>
    </row>
    <row r="175">
      <c r="A175" s="653"/>
      <c r="B175" s="654"/>
      <c r="C175" s="655"/>
      <c r="D175" s="656"/>
      <c r="E175" s="657"/>
      <c r="F175" s="658"/>
      <c r="G175" s="659"/>
      <c r="H175" s="660"/>
      <c r="I175" s="659"/>
      <c r="J175" s="661"/>
      <c r="K175" s="658"/>
      <c r="L175" s="658"/>
      <c r="M175" s="658"/>
      <c r="N175" s="1025"/>
      <c r="O175" s="653"/>
      <c r="P175" s="654"/>
      <c r="Q175" s="1030"/>
      <c r="R175" s="661"/>
      <c r="S175" s="705"/>
      <c r="T175" s="659"/>
      <c r="U175" s="661"/>
      <c r="V175" s="660"/>
      <c r="W175" s="691"/>
      <c r="X175" s="661"/>
      <c r="Y175" s="661"/>
    </row>
    <row r="176">
      <c r="A176" s="653"/>
      <c r="B176" s="654"/>
      <c r="C176" s="655"/>
      <c r="D176" s="656"/>
      <c r="E176" s="657"/>
      <c r="F176" s="658"/>
      <c r="G176" s="659"/>
      <c r="H176" s="660"/>
      <c r="I176" s="659"/>
      <c r="J176" s="661"/>
      <c r="K176" s="658"/>
      <c r="L176" s="658"/>
      <c r="M176" s="658"/>
      <c r="N176" s="1025"/>
      <c r="O176" s="653"/>
      <c r="P176" s="654"/>
      <c r="Q176" s="1030"/>
      <c r="R176" s="661"/>
      <c r="S176" s="705"/>
      <c r="T176" s="659"/>
      <c r="U176" s="661"/>
      <c r="V176" s="660"/>
      <c r="W176" s="691"/>
      <c r="X176" s="661"/>
      <c r="Y176" s="661"/>
    </row>
    <row r="177">
      <c r="A177" s="653"/>
      <c r="B177" s="654"/>
      <c r="C177" s="655"/>
      <c r="D177" s="656"/>
      <c r="E177" s="657"/>
      <c r="F177" s="658"/>
      <c r="G177" s="659"/>
      <c r="H177" s="660"/>
      <c r="I177" s="659"/>
      <c r="J177" s="661"/>
      <c r="K177" s="658"/>
      <c r="L177" s="658"/>
      <c r="M177" s="658"/>
      <c r="N177" s="1025"/>
      <c r="O177" s="653"/>
      <c r="P177" s="654"/>
      <c r="Q177" s="1030"/>
      <c r="R177" s="661"/>
      <c r="S177" s="705"/>
      <c r="T177" s="659"/>
      <c r="U177" s="661"/>
      <c r="V177" s="660"/>
      <c r="W177" s="691"/>
      <c r="X177" s="661"/>
      <c r="Y177" s="661"/>
    </row>
    <row r="178">
      <c r="A178" s="653"/>
      <c r="B178" s="654"/>
      <c r="C178" s="655"/>
      <c r="D178" s="656"/>
      <c r="E178" s="657"/>
      <c r="F178" s="658"/>
      <c r="G178" s="659"/>
      <c r="H178" s="660"/>
      <c r="I178" s="659"/>
      <c r="J178" s="661"/>
      <c r="K178" s="658"/>
      <c r="L178" s="658"/>
      <c r="M178" s="658"/>
      <c r="N178" s="1025"/>
      <c r="O178" s="653"/>
      <c r="P178" s="654"/>
      <c r="Q178" s="1030"/>
      <c r="R178" s="661"/>
      <c r="S178" s="705"/>
      <c r="T178" s="659"/>
      <c r="U178" s="661"/>
      <c r="V178" s="660"/>
      <c r="W178" s="691"/>
      <c r="X178" s="661"/>
      <c r="Y178" s="661"/>
    </row>
    <row r="179">
      <c r="A179" s="653"/>
      <c r="B179" s="654"/>
      <c r="C179" s="655"/>
      <c r="D179" s="656"/>
      <c r="E179" s="657"/>
      <c r="F179" s="658"/>
      <c r="G179" s="659"/>
      <c r="H179" s="660"/>
      <c r="I179" s="659"/>
      <c r="J179" s="661"/>
      <c r="K179" s="658"/>
      <c r="L179" s="658"/>
      <c r="M179" s="658"/>
      <c r="N179" s="1025"/>
      <c r="O179" s="653"/>
      <c r="P179" s="654"/>
      <c r="Q179" s="1030"/>
      <c r="R179" s="661"/>
      <c r="S179" s="705"/>
      <c r="T179" s="659"/>
      <c r="U179" s="661"/>
      <c r="V179" s="660"/>
      <c r="W179" s="691"/>
      <c r="X179" s="661"/>
      <c r="Y179" s="661"/>
    </row>
    <row r="180">
      <c r="A180" s="653"/>
      <c r="B180" s="654"/>
      <c r="C180" s="655"/>
      <c r="D180" s="656"/>
      <c r="E180" s="657"/>
      <c r="F180" s="658"/>
      <c r="G180" s="659"/>
      <c r="H180" s="660"/>
      <c r="I180" s="659"/>
      <c r="J180" s="661"/>
      <c r="K180" s="658"/>
      <c r="L180" s="658"/>
      <c r="M180" s="658"/>
      <c r="N180" s="1025"/>
      <c r="O180" s="653"/>
      <c r="P180" s="654"/>
      <c r="Q180" s="1030"/>
      <c r="R180" s="661"/>
      <c r="S180" s="705"/>
      <c r="T180" s="659"/>
      <c r="U180" s="661"/>
      <c r="V180" s="660"/>
      <c r="W180" s="691"/>
      <c r="X180" s="661"/>
      <c r="Y180" s="661"/>
    </row>
    <row r="181">
      <c r="A181" s="653"/>
      <c r="B181" s="654"/>
      <c r="C181" s="655"/>
      <c r="D181" s="656"/>
      <c r="E181" s="657"/>
      <c r="F181" s="658"/>
      <c r="G181" s="659"/>
      <c r="H181" s="660"/>
      <c r="I181" s="659"/>
      <c r="J181" s="661"/>
      <c r="K181" s="658"/>
      <c r="L181" s="658"/>
      <c r="M181" s="658"/>
      <c r="N181" s="1025"/>
      <c r="O181" s="653"/>
      <c r="P181" s="654"/>
      <c r="Q181" s="1030"/>
      <c r="R181" s="661"/>
      <c r="S181" s="705"/>
      <c r="T181" s="659"/>
      <c r="U181" s="661"/>
      <c r="V181" s="660"/>
      <c r="W181" s="691"/>
      <c r="X181" s="661"/>
      <c r="Y181" s="661"/>
    </row>
    <row r="182">
      <c r="A182" s="653"/>
      <c r="B182" s="654"/>
      <c r="C182" s="655"/>
      <c r="D182" s="656"/>
      <c r="E182" s="657"/>
      <c r="F182" s="658"/>
      <c r="G182" s="659"/>
      <c r="H182" s="660"/>
      <c r="I182" s="659"/>
      <c r="J182" s="661"/>
      <c r="K182" s="658"/>
      <c r="L182" s="658"/>
      <c r="M182" s="658"/>
      <c r="N182" s="1025"/>
      <c r="O182" s="653"/>
      <c r="P182" s="654"/>
      <c r="Q182" s="1030"/>
      <c r="R182" s="661"/>
      <c r="S182" s="705"/>
      <c r="T182" s="659"/>
      <c r="U182" s="661"/>
      <c r="V182" s="660"/>
      <c r="W182" s="691"/>
      <c r="X182" s="661"/>
      <c r="Y182" s="661"/>
    </row>
    <row r="183">
      <c r="A183" s="653"/>
      <c r="B183" s="654"/>
      <c r="C183" s="655"/>
      <c r="D183" s="656"/>
      <c r="E183" s="657"/>
      <c r="F183" s="658"/>
      <c r="G183" s="659"/>
      <c r="H183" s="660"/>
      <c r="I183" s="659"/>
      <c r="J183" s="661"/>
      <c r="K183" s="658"/>
      <c r="L183" s="658"/>
      <c r="M183" s="658"/>
      <c r="N183" s="1025"/>
      <c r="O183" s="653"/>
      <c r="P183" s="654"/>
      <c r="Q183" s="1030"/>
      <c r="R183" s="661"/>
      <c r="S183" s="705"/>
      <c r="T183" s="659"/>
      <c r="U183" s="661"/>
      <c r="V183" s="660"/>
      <c r="W183" s="691"/>
      <c r="X183" s="661"/>
      <c r="Y183" s="661"/>
    </row>
    <row r="184">
      <c r="A184" s="653"/>
      <c r="B184" s="654"/>
      <c r="C184" s="655"/>
      <c r="D184" s="656"/>
      <c r="E184" s="657"/>
      <c r="F184" s="658"/>
      <c r="G184" s="659"/>
      <c r="H184" s="660"/>
      <c r="I184" s="659"/>
      <c r="J184" s="661"/>
      <c r="K184" s="658"/>
      <c r="L184" s="658"/>
      <c r="M184" s="658"/>
      <c r="N184" s="1025"/>
      <c r="O184" s="653"/>
      <c r="P184" s="654"/>
      <c r="Q184" s="1030"/>
      <c r="R184" s="661"/>
      <c r="S184" s="705"/>
      <c r="T184" s="659"/>
      <c r="U184" s="661"/>
      <c r="V184" s="660"/>
      <c r="W184" s="691"/>
      <c r="X184" s="661"/>
      <c r="Y184" s="661"/>
    </row>
    <row r="185">
      <c r="A185" s="653"/>
      <c r="B185" s="654"/>
      <c r="C185" s="655"/>
      <c r="D185" s="656"/>
      <c r="E185" s="657"/>
      <c r="F185" s="658"/>
      <c r="G185" s="659"/>
      <c r="H185" s="660"/>
      <c r="I185" s="659"/>
      <c r="J185" s="661"/>
      <c r="K185" s="658"/>
      <c r="L185" s="658"/>
      <c r="M185" s="658"/>
      <c r="N185" s="1025"/>
      <c r="O185" s="653"/>
      <c r="P185" s="654"/>
      <c r="Q185" s="1030"/>
      <c r="R185" s="661"/>
      <c r="S185" s="705"/>
      <c r="T185" s="659"/>
      <c r="U185" s="661"/>
      <c r="V185" s="660"/>
      <c r="W185" s="691"/>
      <c r="X185" s="661"/>
      <c r="Y185" s="661"/>
    </row>
    <row r="186">
      <c r="A186" s="653"/>
      <c r="B186" s="654"/>
      <c r="C186" s="655"/>
      <c r="D186" s="656"/>
      <c r="E186" s="657"/>
      <c r="F186" s="658"/>
      <c r="G186" s="659"/>
      <c r="H186" s="660"/>
      <c r="I186" s="659"/>
      <c r="J186" s="661"/>
      <c r="K186" s="658"/>
      <c r="L186" s="658"/>
      <c r="M186" s="658"/>
      <c r="N186" s="1025"/>
      <c r="O186" s="653"/>
      <c r="P186" s="654"/>
      <c r="Q186" s="1030"/>
      <c r="R186" s="661"/>
      <c r="S186" s="705"/>
      <c r="T186" s="659"/>
      <c r="U186" s="661"/>
      <c r="V186" s="660"/>
      <c r="W186" s="691"/>
      <c r="X186" s="661"/>
      <c r="Y186" s="661"/>
    </row>
    <row r="187">
      <c r="A187" s="653"/>
      <c r="B187" s="654"/>
      <c r="C187" s="655"/>
      <c r="D187" s="656"/>
      <c r="E187" s="657"/>
      <c r="F187" s="658"/>
      <c r="G187" s="659"/>
      <c r="H187" s="660"/>
      <c r="I187" s="659"/>
      <c r="J187" s="661"/>
      <c r="K187" s="658"/>
      <c r="L187" s="658"/>
      <c r="M187" s="658"/>
      <c r="N187" s="1025"/>
      <c r="O187" s="653"/>
      <c r="P187" s="654"/>
      <c r="Q187" s="1030"/>
      <c r="R187" s="661"/>
      <c r="S187" s="705"/>
      <c r="T187" s="659"/>
      <c r="U187" s="661"/>
      <c r="V187" s="660"/>
      <c r="W187" s="691"/>
      <c r="X187" s="661"/>
      <c r="Y187" s="661"/>
    </row>
    <row r="188">
      <c r="A188" s="653"/>
      <c r="B188" s="654"/>
      <c r="C188" s="655"/>
      <c r="D188" s="656"/>
      <c r="E188" s="657"/>
      <c r="F188" s="658"/>
      <c r="G188" s="659"/>
      <c r="H188" s="660"/>
      <c r="I188" s="659"/>
      <c r="J188" s="661"/>
      <c r="K188" s="658"/>
      <c r="L188" s="658"/>
      <c r="M188" s="658"/>
      <c r="N188" s="1025"/>
      <c r="O188" s="653"/>
      <c r="P188" s="654"/>
      <c r="Q188" s="1030"/>
      <c r="R188" s="661"/>
      <c r="S188" s="705"/>
      <c r="T188" s="659"/>
      <c r="U188" s="661"/>
      <c r="V188" s="660"/>
      <c r="W188" s="691"/>
      <c r="X188" s="661"/>
      <c r="Y188" s="661"/>
    </row>
    <row r="189">
      <c r="A189" s="653"/>
      <c r="B189" s="654"/>
      <c r="C189" s="655"/>
      <c r="D189" s="656"/>
      <c r="E189" s="657"/>
      <c r="F189" s="658"/>
      <c r="G189" s="659"/>
      <c r="H189" s="660"/>
      <c r="I189" s="659"/>
      <c r="J189" s="661"/>
      <c r="K189" s="658"/>
      <c r="L189" s="658"/>
      <c r="M189" s="658"/>
      <c r="N189" s="1025"/>
      <c r="O189" s="653"/>
      <c r="P189" s="654"/>
      <c r="Q189" s="1030"/>
      <c r="R189" s="661"/>
      <c r="S189" s="705"/>
      <c r="T189" s="659"/>
      <c r="U189" s="661"/>
      <c r="V189" s="660"/>
      <c r="W189" s="691"/>
      <c r="X189" s="661"/>
      <c r="Y189" s="661"/>
    </row>
    <row r="190">
      <c r="A190" s="653"/>
      <c r="B190" s="654"/>
      <c r="C190" s="655"/>
      <c r="D190" s="656"/>
      <c r="E190" s="657"/>
      <c r="F190" s="658"/>
      <c r="G190" s="659"/>
      <c r="H190" s="660"/>
      <c r="I190" s="659"/>
      <c r="J190" s="661"/>
      <c r="K190" s="658"/>
      <c r="L190" s="658"/>
      <c r="M190" s="658"/>
      <c r="N190" s="1025"/>
      <c r="O190" s="653"/>
      <c r="P190" s="654"/>
      <c r="Q190" s="1030"/>
      <c r="R190" s="661"/>
      <c r="S190" s="705"/>
      <c r="T190" s="659"/>
      <c r="U190" s="661"/>
      <c r="V190" s="660"/>
      <c r="W190" s="691"/>
      <c r="X190" s="661"/>
      <c r="Y190" s="661"/>
    </row>
    <row r="191">
      <c r="A191" s="653"/>
      <c r="B191" s="654"/>
      <c r="C191" s="655"/>
      <c r="D191" s="656"/>
      <c r="E191" s="657"/>
      <c r="F191" s="658"/>
      <c r="G191" s="659"/>
      <c r="H191" s="660"/>
      <c r="I191" s="659"/>
      <c r="J191" s="661"/>
      <c r="K191" s="658"/>
      <c r="L191" s="658"/>
      <c r="M191" s="658"/>
      <c r="N191" s="1025"/>
      <c r="O191" s="653"/>
      <c r="P191" s="654"/>
      <c r="Q191" s="1030"/>
      <c r="R191" s="661"/>
      <c r="S191" s="705"/>
      <c r="T191" s="659"/>
      <c r="U191" s="661"/>
      <c r="V191" s="660"/>
      <c r="W191" s="691"/>
      <c r="X191" s="661"/>
      <c r="Y191" s="661"/>
    </row>
    <row r="192">
      <c r="A192" s="653"/>
      <c r="B192" s="654"/>
      <c r="C192" s="655"/>
      <c r="D192" s="656"/>
      <c r="E192" s="657"/>
      <c r="F192" s="658"/>
      <c r="G192" s="659"/>
      <c r="H192" s="660"/>
      <c r="I192" s="659"/>
      <c r="J192" s="661"/>
      <c r="K192" s="658"/>
      <c r="L192" s="658"/>
      <c r="M192" s="658"/>
      <c r="N192" s="1025"/>
      <c r="O192" s="653"/>
      <c r="P192" s="654"/>
      <c r="Q192" s="1030"/>
      <c r="R192" s="661"/>
      <c r="S192" s="705"/>
      <c r="T192" s="659"/>
      <c r="U192" s="661"/>
      <c r="V192" s="660"/>
      <c r="W192" s="691"/>
      <c r="X192" s="661"/>
      <c r="Y192" s="661"/>
    </row>
    <row r="193">
      <c r="A193" s="653"/>
      <c r="B193" s="654"/>
      <c r="C193" s="655"/>
      <c r="D193" s="656"/>
      <c r="E193" s="657"/>
      <c r="F193" s="658"/>
      <c r="G193" s="659"/>
      <c r="H193" s="660"/>
      <c r="I193" s="659"/>
      <c r="J193" s="661"/>
      <c r="K193" s="658"/>
      <c r="L193" s="658"/>
      <c r="M193" s="658"/>
      <c r="N193" s="1025"/>
      <c r="O193" s="653"/>
      <c r="P193" s="654"/>
      <c r="Q193" s="1030"/>
      <c r="R193" s="661"/>
      <c r="S193" s="705"/>
      <c r="T193" s="659"/>
      <c r="U193" s="661"/>
      <c r="V193" s="660"/>
      <c r="W193" s="691"/>
      <c r="X193" s="661"/>
      <c r="Y193" s="661"/>
    </row>
    <row r="194">
      <c r="A194" s="653"/>
      <c r="B194" s="654"/>
      <c r="C194" s="655"/>
      <c r="D194" s="656"/>
      <c r="E194" s="657"/>
      <c r="F194" s="658"/>
      <c r="G194" s="659"/>
      <c r="H194" s="660"/>
      <c r="I194" s="659"/>
      <c r="J194" s="661"/>
      <c r="K194" s="658"/>
      <c r="L194" s="658"/>
      <c r="M194" s="658"/>
      <c r="N194" s="1025"/>
      <c r="O194" s="653"/>
      <c r="P194" s="654"/>
      <c r="Q194" s="1030"/>
      <c r="R194" s="661"/>
      <c r="S194" s="705"/>
      <c r="T194" s="659"/>
      <c r="U194" s="661"/>
      <c r="V194" s="660"/>
      <c r="W194" s="691"/>
      <c r="X194" s="661"/>
      <c r="Y194" s="661"/>
    </row>
    <row r="195">
      <c r="A195" s="653"/>
      <c r="B195" s="654"/>
      <c r="C195" s="655"/>
      <c r="D195" s="656"/>
      <c r="E195" s="657"/>
      <c r="F195" s="658"/>
      <c r="G195" s="659"/>
      <c r="H195" s="660"/>
      <c r="I195" s="659"/>
      <c r="J195" s="661"/>
      <c r="K195" s="658"/>
      <c r="L195" s="658"/>
      <c r="M195" s="658"/>
      <c r="N195" s="1025"/>
      <c r="O195" s="653"/>
      <c r="P195" s="654"/>
      <c r="Q195" s="1030"/>
      <c r="R195" s="661"/>
      <c r="S195" s="705"/>
      <c r="T195" s="659"/>
      <c r="U195" s="661"/>
      <c r="V195" s="660"/>
      <c r="W195" s="691"/>
      <c r="X195" s="661"/>
      <c r="Y195" s="661"/>
    </row>
    <row r="196">
      <c r="A196" s="653"/>
      <c r="B196" s="654"/>
      <c r="C196" s="655"/>
      <c r="D196" s="656"/>
      <c r="E196" s="657"/>
      <c r="F196" s="658"/>
      <c r="G196" s="659"/>
      <c r="H196" s="660"/>
      <c r="I196" s="659"/>
      <c r="J196" s="661"/>
      <c r="K196" s="658"/>
      <c r="L196" s="658"/>
      <c r="M196" s="658"/>
      <c r="N196" s="1025"/>
      <c r="O196" s="653"/>
      <c r="P196" s="654"/>
      <c r="Q196" s="1030"/>
      <c r="R196" s="661"/>
      <c r="S196" s="705"/>
      <c r="T196" s="659"/>
      <c r="U196" s="661"/>
      <c r="V196" s="660"/>
      <c r="W196" s="691"/>
      <c r="X196" s="661"/>
      <c r="Y196" s="661"/>
    </row>
    <row r="197">
      <c r="A197" s="653"/>
      <c r="B197" s="654"/>
      <c r="C197" s="655"/>
      <c r="D197" s="656"/>
      <c r="E197" s="657"/>
      <c r="F197" s="658"/>
      <c r="G197" s="659"/>
      <c r="H197" s="660"/>
      <c r="I197" s="659"/>
      <c r="J197" s="661"/>
      <c r="K197" s="658"/>
      <c r="L197" s="658"/>
      <c r="M197" s="658"/>
      <c r="N197" s="1025"/>
      <c r="O197" s="653"/>
      <c r="P197" s="654"/>
      <c r="Q197" s="1030"/>
      <c r="R197" s="661"/>
      <c r="S197" s="705"/>
      <c r="T197" s="659"/>
      <c r="U197" s="661"/>
      <c r="V197" s="660"/>
      <c r="W197" s="691"/>
      <c r="X197" s="661"/>
      <c r="Y197" s="661"/>
    </row>
    <row r="198">
      <c r="A198" s="653"/>
      <c r="B198" s="654"/>
      <c r="C198" s="655"/>
      <c r="D198" s="656"/>
      <c r="E198" s="657"/>
      <c r="F198" s="658"/>
      <c r="G198" s="659"/>
      <c r="H198" s="660"/>
      <c r="I198" s="659"/>
      <c r="J198" s="661"/>
      <c r="K198" s="658"/>
      <c r="L198" s="658"/>
      <c r="M198" s="658"/>
      <c r="N198" s="1025"/>
      <c r="O198" s="653"/>
      <c r="P198" s="654"/>
      <c r="Q198" s="1030"/>
      <c r="R198" s="661"/>
      <c r="S198" s="705"/>
      <c r="T198" s="659"/>
      <c r="U198" s="661"/>
      <c r="V198" s="660"/>
      <c r="W198" s="691"/>
      <c r="X198" s="661"/>
      <c r="Y198" s="661"/>
    </row>
    <row r="199">
      <c r="A199" s="653"/>
      <c r="B199" s="654"/>
      <c r="C199" s="655"/>
      <c r="D199" s="656"/>
      <c r="E199" s="657"/>
      <c r="F199" s="658"/>
      <c r="G199" s="659"/>
      <c r="H199" s="660"/>
      <c r="I199" s="659"/>
      <c r="J199" s="661"/>
      <c r="K199" s="658"/>
      <c r="L199" s="658"/>
      <c r="M199" s="658"/>
      <c r="N199" s="1025"/>
      <c r="O199" s="653"/>
      <c r="P199" s="654"/>
      <c r="Q199" s="1030"/>
      <c r="R199" s="661"/>
      <c r="S199" s="705"/>
      <c r="T199" s="659"/>
      <c r="U199" s="661"/>
      <c r="V199" s="660"/>
      <c r="W199" s="691"/>
      <c r="X199" s="661"/>
      <c r="Y199" s="661"/>
    </row>
    <row r="200">
      <c r="A200" s="653"/>
      <c r="B200" s="654"/>
      <c r="C200" s="655"/>
      <c r="D200" s="656"/>
      <c r="E200" s="657"/>
      <c r="F200" s="658"/>
      <c r="G200" s="659"/>
      <c r="H200" s="660"/>
      <c r="I200" s="659"/>
      <c r="J200" s="661"/>
      <c r="K200" s="658"/>
      <c r="L200" s="658"/>
      <c r="M200" s="658"/>
      <c r="N200" s="1025"/>
      <c r="O200" s="653"/>
      <c r="P200" s="654"/>
      <c r="Q200" s="1030"/>
      <c r="R200" s="661"/>
      <c r="S200" s="705"/>
      <c r="T200" s="659"/>
      <c r="U200" s="661"/>
      <c r="V200" s="660"/>
      <c r="W200" s="691"/>
      <c r="X200" s="661"/>
      <c r="Y200" s="661"/>
    </row>
    <row r="201">
      <c r="A201" s="653"/>
      <c r="B201" s="654"/>
      <c r="C201" s="655"/>
      <c r="D201" s="656"/>
      <c r="E201" s="657"/>
      <c r="F201" s="658"/>
      <c r="G201" s="659"/>
      <c r="H201" s="660"/>
      <c r="I201" s="659"/>
      <c r="J201" s="661"/>
      <c r="K201" s="658"/>
      <c r="L201" s="658"/>
      <c r="M201" s="658"/>
      <c r="N201" s="1025"/>
      <c r="O201" s="653"/>
      <c r="P201" s="654"/>
      <c r="Q201" s="1030"/>
      <c r="R201" s="661"/>
      <c r="S201" s="705"/>
      <c r="T201" s="659"/>
      <c r="U201" s="661"/>
      <c r="V201" s="660"/>
      <c r="W201" s="691"/>
      <c r="X201" s="661"/>
      <c r="Y201" s="661"/>
    </row>
    <row r="202">
      <c r="A202" s="653"/>
      <c r="B202" s="654"/>
      <c r="C202" s="655"/>
      <c r="D202" s="656"/>
      <c r="E202" s="657"/>
      <c r="F202" s="658"/>
      <c r="G202" s="659"/>
      <c r="H202" s="660"/>
      <c r="I202" s="659"/>
      <c r="J202" s="661"/>
      <c r="K202" s="658"/>
      <c r="L202" s="658"/>
      <c r="M202" s="658"/>
      <c r="N202" s="1025"/>
      <c r="O202" s="653"/>
      <c r="P202" s="654"/>
      <c r="Q202" s="1030"/>
      <c r="R202" s="661"/>
      <c r="S202" s="705"/>
      <c r="T202" s="659"/>
      <c r="U202" s="661"/>
      <c r="V202" s="660"/>
      <c r="W202" s="691"/>
      <c r="X202" s="661"/>
      <c r="Y202" s="661"/>
    </row>
    <row r="203">
      <c r="A203" s="653"/>
      <c r="B203" s="654"/>
      <c r="C203" s="655"/>
      <c r="D203" s="656"/>
      <c r="E203" s="657"/>
      <c r="F203" s="658"/>
      <c r="G203" s="659"/>
      <c r="H203" s="660"/>
      <c r="I203" s="659"/>
      <c r="J203" s="661"/>
      <c r="K203" s="658"/>
      <c r="L203" s="658"/>
      <c r="M203" s="658"/>
      <c r="N203" s="1025"/>
      <c r="O203" s="653"/>
      <c r="P203" s="654"/>
      <c r="Q203" s="1030"/>
      <c r="R203" s="661"/>
      <c r="S203" s="705"/>
      <c r="T203" s="659"/>
      <c r="U203" s="661"/>
      <c r="V203" s="660"/>
      <c r="W203" s="691"/>
      <c r="X203" s="661"/>
      <c r="Y203" s="661"/>
    </row>
    <row r="204">
      <c r="A204" s="653"/>
      <c r="B204" s="654"/>
      <c r="C204" s="655"/>
      <c r="D204" s="656"/>
      <c r="E204" s="657"/>
      <c r="F204" s="658"/>
      <c r="G204" s="659"/>
      <c r="H204" s="660"/>
      <c r="I204" s="659"/>
      <c r="J204" s="661"/>
      <c r="K204" s="658"/>
      <c r="L204" s="658"/>
      <c r="M204" s="658"/>
      <c r="N204" s="1025"/>
      <c r="O204" s="653"/>
      <c r="P204" s="654"/>
      <c r="Q204" s="1030"/>
      <c r="R204" s="661"/>
      <c r="S204" s="705"/>
      <c r="T204" s="659"/>
      <c r="U204" s="661"/>
      <c r="V204" s="660"/>
      <c r="W204" s="691"/>
      <c r="X204" s="661"/>
      <c r="Y204" s="661"/>
    </row>
    <row r="205">
      <c r="A205" s="653"/>
      <c r="B205" s="654"/>
      <c r="C205" s="655"/>
      <c r="D205" s="656"/>
      <c r="E205" s="657"/>
      <c r="F205" s="658"/>
      <c r="G205" s="659"/>
      <c r="H205" s="660"/>
      <c r="I205" s="659"/>
      <c r="J205" s="661"/>
      <c r="K205" s="658"/>
      <c r="L205" s="658"/>
      <c r="M205" s="658"/>
      <c r="N205" s="1025"/>
      <c r="O205" s="653"/>
      <c r="P205" s="654"/>
      <c r="Q205" s="1030"/>
      <c r="R205" s="661"/>
      <c r="S205" s="705"/>
      <c r="T205" s="659"/>
      <c r="U205" s="661"/>
      <c r="V205" s="660"/>
      <c r="W205" s="691"/>
      <c r="X205" s="661"/>
      <c r="Y205" s="661"/>
    </row>
    <row r="206">
      <c r="A206" s="653"/>
      <c r="B206" s="654"/>
      <c r="C206" s="655"/>
      <c r="D206" s="656"/>
      <c r="E206" s="657"/>
      <c r="F206" s="658"/>
      <c r="G206" s="659"/>
      <c r="H206" s="660"/>
      <c r="I206" s="659"/>
      <c r="J206" s="661"/>
      <c r="K206" s="658"/>
      <c r="L206" s="658"/>
      <c r="M206" s="658"/>
      <c r="N206" s="1025"/>
      <c r="O206" s="653"/>
      <c r="P206" s="654"/>
      <c r="Q206" s="1030"/>
      <c r="R206" s="661"/>
      <c r="S206" s="705"/>
      <c r="T206" s="659"/>
      <c r="U206" s="661"/>
      <c r="V206" s="660"/>
      <c r="W206" s="691"/>
      <c r="X206" s="661"/>
      <c r="Y206" s="661"/>
    </row>
    <row r="207">
      <c r="A207" s="653"/>
      <c r="B207" s="654"/>
      <c r="C207" s="655"/>
      <c r="D207" s="656"/>
      <c r="E207" s="657"/>
      <c r="F207" s="658"/>
      <c r="G207" s="659"/>
      <c r="H207" s="660"/>
      <c r="I207" s="659"/>
      <c r="J207" s="661"/>
      <c r="K207" s="658"/>
      <c r="L207" s="658"/>
      <c r="M207" s="658"/>
      <c r="N207" s="1025"/>
      <c r="O207" s="653"/>
      <c r="P207" s="654"/>
      <c r="Q207" s="1030"/>
      <c r="R207" s="661"/>
      <c r="S207" s="705"/>
      <c r="T207" s="659"/>
      <c r="U207" s="661"/>
      <c r="V207" s="660"/>
      <c r="W207" s="691"/>
      <c r="X207" s="661"/>
      <c r="Y207" s="661"/>
    </row>
    <row r="208">
      <c r="A208" s="653"/>
      <c r="B208" s="654"/>
      <c r="C208" s="655"/>
      <c r="D208" s="656"/>
      <c r="E208" s="657"/>
      <c r="F208" s="658"/>
      <c r="G208" s="659"/>
      <c r="H208" s="660"/>
      <c r="I208" s="659"/>
      <c r="J208" s="661"/>
      <c r="K208" s="658"/>
      <c r="L208" s="658"/>
      <c r="M208" s="658"/>
      <c r="N208" s="1025"/>
      <c r="O208" s="653"/>
      <c r="P208" s="654"/>
      <c r="Q208" s="1030"/>
      <c r="R208" s="661"/>
      <c r="S208" s="705"/>
      <c r="T208" s="659"/>
      <c r="U208" s="661"/>
      <c r="V208" s="660"/>
      <c r="W208" s="691"/>
      <c r="X208" s="661"/>
      <c r="Y208" s="661"/>
    </row>
    <row r="209">
      <c r="A209" s="653"/>
      <c r="B209" s="654"/>
      <c r="C209" s="655"/>
      <c r="D209" s="656"/>
      <c r="E209" s="657"/>
      <c r="F209" s="658"/>
      <c r="G209" s="659"/>
      <c r="H209" s="660"/>
      <c r="I209" s="659"/>
      <c r="J209" s="661"/>
      <c r="K209" s="658"/>
      <c r="L209" s="658"/>
      <c r="M209" s="658"/>
      <c r="N209" s="1025"/>
      <c r="O209" s="653"/>
      <c r="P209" s="654"/>
      <c r="Q209" s="1030"/>
      <c r="R209" s="661"/>
      <c r="S209" s="705"/>
      <c r="T209" s="659"/>
      <c r="U209" s="661"/>
      <c r="V209" s="660"/>
      <c r="W209" s="691"/>
      <c r="X209" s="661"/>
      <c r="Y209" s="661"/>
    </row>
    <row r="210">
      <c r="A210" s="653"/>
      <c r="B210" s="654"/>
      <c r="C210" s="655"/>
      <c r="D210" s="656"/>
      <c r="E210" s="657"/>
      <c r="F210" s="658"/>
      <c r="G210" s="659"/>
      <c r="H210" s="660"/>
      <c r="I210" s="659"/>
      <c r="J210" s="661"/>
      <c r="K210" s="658"/>
      <c r="L210" s="658"/>
      <c r="M210" s="658"/>
      <c r="N210" s="1025"/>
      <c r="O210" s="653"/>
      <c r="P210" s="654"/>
      <c r="Q210" s="1030"/>
      <c r="R210" s="661"/>
      <c r="S210" s="705"/>
      <c r="T210" s="659"/>
      <c r="U210" s="661"/>
      <c r="V210" s="660"/>
      <c r="W210" s="691"/>
      <c r="X210" s="661"/>
      <c r="Y210" s="661"/>
    </row>
    <row r="211">
      <c r="A211" s="653"/>
      <c r="B211" s="654"/>
      <c r="C211" s="655"/>
      <c r="D211" s="656"/>
      <c r="E211" s="657"/>
      <c r="F211" s="658"/>
      <c r="G211" s="659"/>
      <c r="H211" s="660"/>
      <c r="I211" s="659"/>
      <c r="J211" s="661"/>
      <c r="K211" s="658"/>
      <c r="L211" s="658"/>
      <c r="M211" s="658"/>
      <c r="N211" s="1025"/>
      <c r="O211" s="653"/>
      <c r="P211" s="654"/>
      <c r="Q211" s="1030"/>
      <c r="R211" s="661"/>
      <c r="S211" s="705"/>
      <c r="T211" s="659"/>
      <c r="U211" s="661"/>
      <c r="V211" s="660"/>
      <c r="W211" s="691"/>
      <c r="X211" s="661"/>
      <c r="Y211" s="661"/>
    </row>
    <row r="212">
      <c r="A212" s="653"/>
      <c r="B212" s="654"/>
      <c r="C212" s="655"/>
      <c r="D212" s="656"/>
      <c r="E212" s="657"/>
      <c r="F212" s="658"/>
      <c r="G212" s="659"/>
      <c r="H212" s="660"/>
      <c r="I212" s="659"/>
      <c r="J212" s="661"/>
      <c r="K212" s="658"/>
      <c r="L212" s="658"/>
      <c r="M212" s="658"/>
      <c r="N212" s="1025"/>
      <c r="O212" s="653"/>
      <c r="P212" s="654"/>
      <c r="Q212" s="1030"/>
      <c r="R212" s="661"/>
      <c r="S212" s="705"/>
      <c r="T212" s="659"/>
      <c r="U212" s="661"/>
      <c r="V212" s="660"/>
      <c r="W212" s="691"/>
      <c r="X212" s="661"/>
      <c r="Y212" s="661"/>
    </row>
    <row r="213">
      <c r="A213" s="653"/>
      <c r="B213" s="654"/>
      <c r="C213" s="655"/>
      <c r="D213" s="656"/>
      <c r="E213" s="657"/>
      <c r="F213" s="658"/>
      <c r="G213" s="659"/>
      <c r="H213" s="660"/>
      <c r="I213" s="659"/>
      <c r="J213" s="661"/>
      <c r="K213" s="658"/>
      <c r="L213" s="658"/>
      <c r="M213" s="658"/>
      <c r="N213" s="1025"/>
      <c r="O213" s="653"/>
      <c r="P213" s="654"/>
      <c r="Q213" s="1030"/>
      <c r="R213" s="661"/>
      <c r="S213" s="705"/>
      <c r="T213" s="659"/>
      <c r="U213" s="661"/>
      <c r="V213" s="660"/>
      <c r="W213" s="691"/>
      <c r="X213" s="661"/>
      <c r="Y213" s="661"/>
    </row>
    <row r="214">
      <c r="A214" s="653"/>
      <c r="B214" s="654"/>
      <c r="C214" s="655"/>
      <c r="D214" s="656"/>
      <c r="E214" s="657"/>
      <c r="F214" s="658"/>
      <c r="G214" s="659"/>
      <c r="H214" s="660"/>
      <c r="I214" s="659"/>
      <c r="J214" s="661"/>
      <c r="K214" s="658"/>
      <c r="L214" s="658"/>
      <c r="M214" s="658"/>
      <c r="N214" s="1025"/>
      <c r="O214" s="653"/>
      <c r="P214" s="654"/>
      <c r="Q214" s="1030"/>
      <c r="R214" s="661"/>
      <c r="S214" s="705"/>
      <c r="T214" s="659"/>
      <c r="U214" s="661"/>
      <c r="V214" s="660"/>
      <c r="W214" s="691"/>
      <c r="X214" s="661"/>
      <c r="Y214" s="661"/>
    </row>
    <row r="215">
      <c r="A215" s="653"/>
      <c r="B215" s="654"/>
      <c r="C215" s="655"/>
      <c r="D215" s="656"/>
      <c r="E215" s="657"/>
      <c r="F215" s="658"/>
      <c r="G215" s="659"/>
      <c r="H215" s="660"/>
      <c r="I215" s="659"/>
      <c r="J215" s="661"/>
      <c r="K215" s="658"/>
      <c r="L215" s="658"/>
      <c r="M215" s="658"/>
      <c r="N215" s="1025"/>
      <c r="O215" s="653"/>
      <c r="P215" s="654"/>
      <c r="Q215" s="1030"/>
      <c r="R215" s="661"/>
      <c r="S215" s="705"/>
      <c r="T215" s="659"/>
      <c r="U215" s="661"/>
      <c r="V215" s="660"/>
      <c r="W215" s="691"/>
      <c r="X215" s="661"/>
      <c r="Y215" s="661"/>
    </row>
    <row r="216">
      <c r="A216" s="653"/>
      <c r="B216" s="654"/>
      <c r="C216" s="655"/>
      <c r="D216" s="656"/>
      <c r="E216" s="657"/>
      <c r="F216" s="658"/>
      <c r="G216" s="659"/>
      <c r="H216" s="660"/>
      <c r="I216" s="659"/>
      <c r="J216" s="661"/>
      <c r="K216" s="658"/>
      <c r="L216" s="658"/>
      <c r="M216" s="658"/>
      <c r="N216" s="1025"/>
      <c r="O216" s="653"/>
      <c r="P216" s="654"/>
      <c r="Q216" s="1030"/>
      <c r="R216" s="661"/>
      <c r="S216" s="705"/>
      <c r="T216" s="659"/>
      <c r="U216" s="661"/>
      <c r="V216" s="660"/>
      <c r="W216" s="691"/>
      <c r="X216" s="661"/>
      <c r="Y216" s="661"/>
    </row>
    <row r="217">
      <c r="A217" s="653"/>
      <c r="B217" s="654"/>
      <c r="C217" s="655"/>
      <c r="D217" s="656"/>
      <c r="E217" s="657"/>
      <c r="F217" s="658"/>
      <c r="G217" s="659"/>
      <c r="H217" s="660"/>
      <c r="I217" s="659"/>
      <c r="J217" s="661"/>
      <c r="K217" s="658"/>
      <c r="L217" s="658"/>
      <c r="M217" s="658"/>
      <c r="N217" s="1025"/>
      <c r="O217" s="653"/>
      <c r="P217" s="654"/>
      <c r="Q217" s="1030"/>
      <c r="R217" s="661"/>
      <c r="S217" s="705"/>
      <c r="T217" s="659"/>
      <c r="U217" s="661"/>
      <c r="V217" s="660"/>
      <c r="W217" s="691"/>
      <c r="X217" s="661"/>
      <c r="Y217" s="661"/>
    </row>
    <row r="218">
      <c r="A218" s="653"/>
      <c r="B218" s="654"/>
      <c r="C218" s="655"/>
      <c r="D218" s="656"/>
      <c r="E218" s="657"/>
      <c r="F218" s="658"/>
      <c r="G218" s="659"/>
      <c r="H218" s="660"/>
      <c r="I218" s="659"/>
      <c r="J218" s="661"/>
      <c r="K218" s="658"/>
      <c r="L218" s="658"/>
      <c r="M218" s="658"/>
      <c r="N218" s="1025"/>
      <c r="O218" s="653"/>
      <c r="P218" s="654"/>
      <c r="Q218" s="1030"/>
      <c r="R218" s="661"/>
      <c r="S218" s="705"/>
      <c r="T218" s="659"/>
      <c r="U218" s="661"/>
      <c r="V218" s="660"/>
      <c r="W218" s="691"/>
      <c r="X218" s="661"/>
      <c r="Y218" s="661"/>
    </row>
    <row r="219">
      <c r="A219" s="653"/>
      <c r="B219" s="654"/>
      <c r="C219" s="655"/>
      <c r="D219" s="656"/>
      <c r="E219" s="657"/>
      <c r="F219" s="658"/>
      <c r="G219" s="659"/>
      <c r="H219" s="660"/>
      <c r="I219" s="659"/>
      <c r="J219" s="661"/>
      <c r="K219" s="658"/>
      <c r="L219" s="658"/>
      <c r="M219" s="658"/>
      <c r="N219" s="1025"/>
      <c r="O219" s="653"/>
      <c r="P219" s="654"/>
      <c r="Q219" s="1030"/>
      <c r="R219" s="661"/>
      <c r="S219" s="705"/>
      <c r="T219" s="659"/>
      <c r="U219" s="661"/>
      <c r="V219" s="660"/>
      <c r="W219" s="691"/>
      <c r="X219" s="661"/>
      <c r="Y219" s="661"/>
    </row>
    <row r="220">
      <c r="A220" s="653"/>
      <c r="B220" s="654"/>
      <c r="C220" s="655"/>
      <c r="D220" s="656"/>
      <c r="E220" s="657"/>
      <c r="F220" s="658"/>
      <c r="G220" s="659"/>
      <c r="H220" s="660"/>
      <c r="I220" s="659"/>
      <c r="J220" s="661"/>
      <c r="K220" s="658"/>
      <c r="L220" s="658"/>
      <c r="M220" s="658"/>
      <c r="N220" s="1025"/>
      <c r="O220" s="653"/>
      <c r="P220" s="654"/>
      <c r="Q220" s="1030"/>
      <c r="R220" s="661"/>
      <c r="S220" s="705"/>
      <c r="T220" s="659"/>
      <c r="U220" s="661"/>
      <c r="V220" s="660"/>
      <c r="W220" s="691"/>
      <c r="X220" s="661"/>
      <c r="Y220" s="661"/>
    </row>
    <row r="221">
      <c r="A221" s="653"/>
      <c r="B221" s="654"/>
      <c r="C221" s="655"/>
      <c r="D221" s="656"/>
      <c r="E221" s="657"/>
      <c r="F221" s="658"/>
      <c r="G221" s="659"/>
      <c r="H221" s="660"/>
      <c r="I221" s="659"/>
      <c r="J221" s="661"/>
      <c r="K221" s="658"/>
      <c r="L221" s="658"/>
      <c r="M221" s="658"/>
      <c r="N221" s="1025"/>
      <c r="O221" s="653"/>
      <c r="P221" s="654"/>
      <c r="Q221" s="1030"/>
      <c r="R221" s="661"/>
      <c r="S221" s="705"/>
      <c r="T221" s="659"/>
      <c r="U221" s="661"/>
      <c r="V221" s="660"/>
      <c r="W221" s="691"/>
      <c r="X221" s="661"/>
      <c r="Y221" s="661"/>
    </row>
    <row r="222">
      <c r="A222" s="653"/>
      <c r="B222" s="654"/>
      <c r="C222" s="655"/>
      <c r="D222" s="656"/>
      <c r="E222" s="657"/>
      <c r="F222" s="658"/>
      <c r="G222" s="659"/>
      <c r="H222" s="660"/>
      <c r="I222" s="659"/>
      <c r="J222" s="661"/>
      <c r="K222" s="658"/>
      <c r="L222" s="658"/>
      <c r="M222" s="658"/>
      <c r="N222" s="1025"/>
      <c r="O222" s="653"/>
      <c r="P222" s="654"/>
      <c r="Q222" s="1030"/>
      <c r="R222" s="661"/>
      <c r="S222" s="705"/>
      <c r="T222" s="659"/>
      <c r="U222" s="661"/>
      <c r="V222" s="660"/>
      <c r="W222" s="691"/>
      <c r="X222" s="661"/>
      <c r="Y222" s="661"/>
    </row>
    <row r="223">
      <c r="A223" s="653"/>
      <c r="B223" s="654"/>
      <c r="C223" s="655"/>
      <c r="D223" s="656"/>
      <c r="E223" s="657"/>
      <c r="F223" s="658"/>
      <c r="G223" s="659"/>
      <c r="H223" s="660"/>
      <c r="I223" s="659"/>
      <c r="J223" s="661"/>
      <c r="K223" s="658"/>
      <c r="L223" s="658"/>
      <c r="M223" s="658"/>
      <c r="N223" s="1025"/>
      <c r="O223" s="653"/>
      <c r="P223" s="654"/>
      <c r="Q223" s="1030"/>
      <c r="R223" s="661"/>
      <c r="S223" s="705"/>
      <c r="T223" s="659"/>
      <c r="U223" s="661"/>
      <c r="V223" s="660"/>
      <c r="W223" s="691"/>
      <c r="X223" s="661"/>
      <c r="Y223" s="661"/>
    </row>
    <row r="224">
      <c r="A224" s="653"/>
      <c r="B224" s="654"/>
      <c r="C224" s="655"/>
      <c r="D224" s="656"/>
      <c r="E224" s="657"/>
      <c r="F224" s="658"/>
      <c r="G224" s="659"/>
      <c r="H224" s="660"/>
      <c r="I224" s="659"/>
      <c r="J224" s="661"/>
      <c r="K224" s="658"/>
      <c r="L224" s="658"/>
      <c r="M224" s="658"/>
      <c r="N224" s="1025"/>
      <c r="O224" s="653"/>
      <c r="P224" s="654"/>
      <c r="Q224" s="1030"/>
      <c r="R224" s="661"/>
      <c r="S224" s="705"/>
      <c r="T224" s="659"/>
      <c r="U224" s="661"/>
      <c r="V224" s="660"/>
      <c r="W224" s="691"/>
      <c r="X224" s="661"/>
      <c r="Y224" s="661"/>
    </row>
    <row r="225">
      <c r="A225" s="653"/>
      <c r="B225" s="654"/>
      <c r="C225" s="655"/>
      <c r="D225" s="656"/>
      <c r="E225" s="657"/>
      <c r="F225" s="658"/>
      <c r="G225" s="659"/>
      <c r="H225" s="660"/>
      <c r="I225" s="659"/>
      <c r="J225" s="661"/>
      <c r="K225" s="658"/>
      <c r="L225" s="658"/>
      <c r="M225" s="658"/>
      <c r="N225" s="1025"/>
      <c r="O225" s="653"/>
      <c r="P225" s="654"/>
      <c r="Q225" s="1030"/>
      <c r="R225" s="661"/>
      <c r="S225" s="705"/>
      <c r="T225" s="659"/>
      <c r="U225" s="661"/>
      <c r="V225" s="660"/>
      <c r="W225" s="691"/>
      <c r="X225" s="661"/>
      <c r="Y225" s="661"/>
    </row>
    <row r="226">
      <c r="A226" s="653"/>
      <c r="B226" s="654"/>
      <c r="C226" s="655"/>
      <c r="D226" s="656"/>
      <c r="E226" s="657"/>
      <c r="F226" s="658"/>
      <c r="G226" s="659"/>
      <c r="H226" s="660"/>
      <c r="I226" s="659"/>
      <c r="J226" s="661"/>
      <c r="K226" s="658"/>
      <c r="L226" s="658"/>
      <c r="M226" s="658"/>
      <c r="N226" s="1025"/>
      <c r="O226" s="653"/>
      <c r="P226" s="654"/>
      <c r="Q226" s="1030"/>
      <c r="R226" s="661"/>
      <c r="S226" s="705"/>
      <c r="T226" s="659"/>
      <c r="U226" s="661"/>
      <c r="V226" s="660"/>
      <c r="W226" s="691"/>
      <c r="X226" s="661"/>
      <c r="Y226" s="661"/>
    </row>
    <row r="227">
      <c r="A227" s="653"/>
      <c r="B227" s="654"/>
      <c r="C227" s="655"/>
      <c r="D227" s="656"/>
      <c r="E227" s="657"/>
      <c r="F227" s="658"/>
      <c r="G227" s="659"/>
      <c r="H227" s="660"/>
      <c r="I227" s="659"/>
      <c r="J227" s="661"/>
      <c r="K227" s="658"/>
      <c r="L227" s="658"/>
      <c r="M227" s="658"/>
      <c r="N227" s="1025"/>
      <c r="O227" s="653"/>
      <c r="P227" s="654"/>
      <c r="Q227" s="1030"/>
      <c r="R227" s="661"/>
      <c r="S227" s="705"/>
      <c r="T227" s="659"/>
      <c r="U227" s="661"/>
      <c r="V227" s="660"/>
      <c r="W227" s="691"/>
      <c r="X227" s="661"/>
      <c r="Y227" s="661"/>
    </row>
    <row r="228">
      <c r="A228" s="653"/>
      <c r="B228" s="654"/>
      <c r="C228" s="655"/>
      <c r="D228" s="656"/>
      <c r="E228" s="657"/>
      <c r="F228" s="658"/>
      <c r="G228" s="659"/>
      <c r="H228" s="660"/>
      <c r="I228" s="659"/>
      <c r="J228" s="661"/>
      <c r="K228" s="658"/>
      <c r="L228" s="658"/>
      <c r="M228" s="658"/>
      <c r="N228" s="1025"/>
      <c r="O228" s="653"/>
      <c r="P228" s="654"/>
      <c r="Q228" s="1030"/>
      <c r="R228" s="661"/>
      <c r="S228" s="705"/>
      <c r="T228" s="659"/>
      <c r="U228" s="661"/>
      <c r="V228" s="660"/>
      <c r="W228" s="691"/>
      <c r="X228" s="661"/>
      <c r="Y228" s="661"/>
    </row>
    <row r="229">
      <c r="A229" s="653"/>
      <c r="B229" s="654"/>
      <c r="C229" s="655"/>
      <c r="D229" s="656"/>
      <c r="E229" s="657"/>
      <c r="F229" s="658"/>
      <c r="G229" s="659"/>
      <c r="H229" s="660"/>
      <c r="I229" s="659"/>
      <c r="J229" s="661"/>
      <c r="K229" s="658"/>
      <c r="L229" s="658"/>
      <c r="M229" s="658"/>
      <c r="N229" s="1025"/>
      <c r="O229" s="653"/>
      <c r="P229" s="654"/>
      <c r="Q229" s="1030"/>
      <c r="R229" s="661"/>
      <c r="S229" s="705"/>
      <c r="T229" s="659"/>
      <c r="U229" s="661"/>
      <c r="V229" s="660"/>
      <c r="W229" s="691"/>
      <c r="X229" s="661"/>
      <c r="Y229" s="661"/>
    </row>
    <row r="230">
      <c r="A230" s="653"/>
      <c r="B230" s="654"/>
      <c r="C230" s="655"/>
      <c r="D230" s="656"/>
      <c r="E230" s="657"/>
      <c r="F230" s="658"/>
      <c r="G230" s="659"/>
      <c r="H230" s="660"/>
      <c r="I230" s="659"/>
      <c r="J230" s="661"/>
      <c r="K230" s="658"/>
      <c r="L230" s="658"/>
      <c r="M230" s="658"/>
      <c r="N230" s="1025"/>
      <c r="O230" s="653"/>
      <c r="P230" s="654"/>
      <c r="Q230" s="1030"/>
      <c r="R230" s="661"/>
      <c r="S230" s="705"/>
      <c r="T230" s="659"/>
      <c r="U230" s="661"/>
      <c r="V230" s="660"/>
      <c r="W230" s="691"/>
      <c r="X230" s="661"/>
      <c r="Y230" s="661"/>
    </row>
    <row r="231">
      <c r="A231" s="653"/>
      <c r="B231" s="654"/>
      <c r="C231" s="655"/>
      <c r="D231" s="656"/>
      <c r="E231" s="657"/>
      <c r="F231" s="658"/>
      <c r="G231" s="659"/>
      <c r="H231" s="660"/>
      <c r="I231" s="659"/>
      <c r="J231" s="661"/>
      <c r="K231" s="658"/>
      <c r="L231" s="658"/>
      <c r="M231" s="658"/>
      <c r="N231" s="1025"/>
      <c r="O231" s="653"/>
      <c r="P231" s="654"/>
      <c r="Q231" s="1030"/>
      <c r="R231" s="661"/>
      <c r="S231" s="705"/>
      <c r="T231" s="659"/>
      <c r="U231" s="661"/>
      <c r="V231" s="660"/>
      <c r="W231" s="691"/>
      <c r="X231" s="661"/>
      <c r="Y231" s="661"/>
    </row>
    <row r="232">
      <c r="A232" s="653"/>
      <c r="B232" s="654"/>
      <c r="C232" s="655"/>
      <c r="D232" s="656"/>
      <c r="E232" s="657"/>
      <c r="F232" s="658"/>
      <c r="G232" s="659"/>
      <c r="H232" s="660"/>
      <c r="I232" s="659"/>
      <c r="J232" s="661"/>
      <c r="K232" s="658"/>
      <c r="L232" s="658"/>
      <c r="M232" s="658"/>
      <c r="N232" s="1025"/>
      <c r="O232" s="653"/>
      <c r="P232" s="654"/>
      <c r="Q232" s="1030"/>
      <c r="R232" s="661"/>
      <c r="S232" s="705"/>
      <c r="T232" s="659"/>
      <c r="U232" s="661"/>
      <c r="V232" s="660"/>
      <c r="W232" s="691"/>
      <c r="X232" s="661"/>
      <c r="Y232" s="661"/>
    </row>
    <row r="233">
      <c r="A233" s="653"/>
      <c r="B233" s="654"/>
      <c r="C233" s="655"/>
      <c r="D233" s="656"/>
      <c r="E233" s="657"/>
      <c r="F233" s="658"/>
      <c r="G233" s="659"/>
      <c r="H233" s="660"/>
      <c r="I233" s="659"/>
      <c r="J233" s="661"/>
      <c r="K233" s="658"/>
      <c r="L233" s="658"/>
      <c r="M233" s="658"/>
      <c r="N233" s="1025"/>
      <c r="O233" s="653"/>
      <c r="P233" s="654"/>
      <c r="Q233" s="1030"/>
      <c r="R233" s="661"/>
      <c r="S233" s="705"/>
      <c r="T233" s="659"/>
      <c r="U233" s="661"/>
      <c r="V233" s="660"/>
      <c r="W233" s="691"/>
      <c r="X233" s="661"/>
      <c r="Y233" s="661"/>
    </row>
    <row r="234">
      <c r="A234" s="653"/>
      <c r="B234" s="654"/>
      <c r="C234" s="655"/>
      <c r="D234" s="656"/>
      <c r="E234" s="657"/>
      <c r="F234" s="658"/>
      <c r="G234" s="659"/>
      <c r="H234" s="660"/>
      <c r="I234" s="659"/>
      <c r="J234" s="661"/>
      <c r="K234" s="658"/>
      <c r="L234" s="658"/>
      <c r="M234" s="658"/>
      <c r="N234" s="1025"/>
      <c r="O234" s="653"/>
      <c r="P234" s="654"/>
      <c r="Q234" s="1030"/>
      <c r="R234" s="661"/>
      <c r="S234" s="705"/>
      <c r="T234" s="659"/>
      <c r="U234" s="661"/>
      <c r="V234" s="660"/>
      <c r="W234" s="691"/>
      <c r="X234" s="661"/>
      <c r="Y234" s="661"/>
    </row>
    <row r="235">
      <c r="A235" s="653"/>
      <c r="B235" s="654"/>
      <c r="C235" s="655"/>
      <c r="D235" s="656"/>
      <c r="E235" s="657"/>
      <c r="F235" s="658"/>
      <c r="G235" s="659"/>
      <c r="H235" s="660"/>
      <c r="I235" s="659"/>
      <c r="J235" s="661"/>
      <c r="K235" s="658"/>
      <c r="L235" s="658"/>
      <c r="M235" s="658"/>
      <c r="N235" s="1025"/>
      <c r="O235" s="653"/>
      <c r="P235" s="654"/>
      <c r="Q235" s="1030"/>
      <c r="R235" s="661"/>
      <c r="S235" s="705"/>
      <c r="T235" s="659"/>
      <c r="U235" s="661"/>
      <c r="V235" s="660"/>
      <c r="W235" s="691"/>
      <c r="X235" s="661"/>
      <c r="Y235" s="661"/>
    </row>
    <row r="236">
      <c r="A236" s="653"/>
      <c r="B236" s="654"/>
      <c r="C236" s="655"/>
      <c r="D236" s="656"/>
      <c r="E236" s="657"/>
      <c r="F236" s="658"/>
      <c r="G236" s="659"/>
      <c r="H236" s="660"/>
      <c r="I236" s="659"/>
      <c r="J236" s="661"/>
      <c r="K236" s="658"/>
      <c r="L236" s="658"/>
      <c r="M236" s="658"/>
      <c r="N236" s="1025"/>
      <c r="O236" s="653"/>
      <c r="P236" s="654"/>
      <c r="Q236" s="1030"/>
      <c r="R236" s="661"/>
      <c r="S236" s="705"/>
      <c r="T236" s="659"/>
      <c r="U236" s="661"/>
      <c r="V236" s="660"/>
      <c r="W236" s="691"/>
      <c r="X236" s="661"/>
      <c r="Y236" s="661"/>
    </row>
    <row r="237">
      <c r="A237" s="653"/>
      <c r="B237" s="654"/>
      <c r="C237" s="655"/>
      <c r="D237" s="656"/>
      <c r="E237" s="657"/>
      <c r="F237" s="658"/>
      <c r="G237" s="659"/>
      <c r="H237" s="660"/>
      <c r="I237" s="659"/>
      <c r="J237" s="661"/>
      <c r="K237" s="658"/>
      <c r="L237" s="658"/>
      <c r="M237" s="658"/>
      <c r="N237" s="1025"/>
      <c r="O237" s="653"/>
      <c r="P237" s="654"/>
      <c r="Q237" s="1030"/>
      <c r="R237" s="661"/>
      <c r="S237" s="705"/>
      <c r="T237" s="659"/>
      <c r="U237" s="661"/>
      <c r="V237" s="660"/>
      <c r="W237" s="691"/>
      <c r="X237" s="661"/>
      <c r="Y237" s="661"/>
    </row>
    <row r="238">
      <c r="A238" s="653"/>
      <c r="B238" s="654"/>
      <c r="C238" s="655"/>
      <c r="D238" s="656"/>
      <c r="E238" s="657"/>
      <c r="F238" s="658"/>
      <c r="G238" s="659"/>
      <c r="H238" s="660"/>
      <c r="I238" s="659"/>
      <c r="J238" s="661"/>
      <c r="K238" s="658"/>
      <c r="L238" s="658"/>
      <c r="M238" s="658"/>
      <c r="N238" s="1025"/>
      <c r="O238" s="653"/>
      <c r="P238" s="654"/>
      <c r="Q238" s="1030"/>
      <c r="R238" s="661"/>
      <c r="S238" s="705"/>
      <c r="T238" s="659"/>
      <c r="U238" s="661"/>
      <c r="V238" s="660"/>
      <c r="W238" s="691"/>
      <c r="X238" s="661"/>
      <c r="Y238" s="661"/>
    </row>
    <row r="239">
      <c r="A239" s="653"/>
      <c r="B239" s="654"/>
      <c r="C239" s="655"/>
      <c r="D239" s="656"/>
      <c r="E239" s="657"/>
      <c r="F239" s="658"/>
      <c r="G239" s="659"/>
      <c r="H239" s="660"/>
      <c r="I239" s="659"/>
      <c r="J239" s="661"/>
      <c r="K239" s="658"/>
      <c r="L239" s="658"/>
      <c r="M239" s="658"/>
      <c r="N239" s="1025"/>
      <c r="O239" s="653"/>
      <c r="P239" s="654"/>
      <c r="Q239" s="1030"/>
      <c r="R239" s="661"/>
      <c r="S239" s="705"/>
      <c r="T239" s="659"/>
      <c r="U239" s="661"/>
      <c r="V239" s="660"/>
      <c r="W239" s="691"/>
      <c r="X239" s="661"/>
      <c r="Y239" s="661"/>
    </row>
    <row r="240">
      <c r="A240" s="653"/>
      <c r="B240" s="654"/>
      <c r="C240" s="655"/>
      <c r="D240" s="656"/>
      <c r="E240" s="657"/>
      <c r="F240" s="658"/>
      <c r="G240" s="659"/>
      <c r="H240" s="660"/>
      <c r="I240" s="659"/>
      <c r="J240" s="661"/>
      <c r="K240" s="658"/>
      <c r="L240" s="658"/>
      <c r="M240" s="658"/>
      <c r="N240" s="1025"/>
      <c r="O240" s="653"/>
      <c r="P240" s="654"/>
      <c r="Q240" s="1030"/>
      <c r="R240" s="661"/>
      <c r="S240" s="705"/>
      <c r="T240" s="659"/>
      <c r="U240" s="661"/>
      <c r="V240" s="660"/>
      <c r="W240" s="691"/>
      <c r="X240" s="661"/>
      <c r="Y240" s="661"/>
    </row>
    <row r="241">
      <c r="A241" s="653"/>
      <c r="B241" s="654"/>
      <c r="C241" s="655"/>
      <c r="D241" s="656"/>
      <c r="E241" s="657"/>
      <c r="F241" s="658"/>
      <c r="G241" s="659"/>
      <c r="H241" s="660"/>
      <c r="I241" s="659"/>
      <c r="J241" s="661"/>
      <c r="K241" s="658"/>
      <c r="L241" s="658"/>
      <c r="M241" s="658"/>
      <c r="N241" s="1025"/>
      <c r="O241" s="653"/>
      <c r="P241" s="654"/>
      <c r="Q241" s="1030"/>
      <c r="R241" s="661"/>
      <c r="S241" s="705"/>
      <c r="T241" s="659"/>
      <c r="U241" s="661"/>
      <c r="V241" s="660"/>
      <c r="W241" s="691"/>
      <c r="X241" s="661"/>
      <c r="Y241" s="661"/>
    </row>
    <row r="242">
      <c r="A242" s="653"/>
      <c r="B242" s="654"/>
      <c r="C242" s="655"/>
      <c r="D242" s="656"/>
      <c r="E242" s="657"/>
      <c r="F242" s="658"/>
      <c r="G242" s="659"/>
      <c r="H242" s="660"/>
      <c r="I242" s="659"/>
      <c r="J242" s="661"/>
      <c r="K242" s="658"/>
      <c r="L242" s="658"/>
      <c r="M242" s="658"/>
      <c r="N242" s="1025"/>
      <c r="O242" s="653"/>
      <c r="P242" s="654"/>
      <c r="Q242" s="1030"/>
      <c r="R242" s="661"/>
      <c r="S242" s="705"/>
      <c r="T242" s="659"/>
      <c r="U242" s="661"/>
      <c r="V242" s="660"/>
      <c r="W242" s="691"/>
      <c r="X242" s="661"/>
      <c r="Y242" s="661"/>
    </row>
    <row r="243">
      <c r="A243" s="653"/>
      <c r="B243" s="654"/>
      <c r="C243" s="655"/>
      <c r="D243" s="656"/>
      <c r="E243" s="657"/>
      <c r="F243" s="658"/>
      <c r="G243" s="659"/>
      <c r="H243" s="660"/>
      <c r="I243" s="659"/>
      <c r="J243" s="661"/>
      <c r="K243" s="658"/>
      <c r="L243" s="658"/>
      <c r="M243" s="658"/>
      <c r="N243" s="1025"/>
      <c r="O243" s="653"/>
      <c r="P243" s="654"/>
      <c r="Q243" s="1030"/>
      <c r="R243" s="661"/>
      <c r="S243" s="705"/>
      <c r="T243" s="659"/>
      <c r="U243" s="661"/>
      <c r="V243" s="660"/>
      <c r="W243" s="691"/>
      <c r="X243" s="661"/>
      <c r="Y243" s="661"/>
    </row>
    <row r="244">
      <c r="A244" s="653"/>
      <c r="B244" s="654"/>
      <c r="C244" s="655"/>
      <c r="D244" s="656"/>
      <c r="E244" s="657"/>
      <c r="F244" s="658"/>
      <c r="G244" s="659"/>
      <c r="H244" s="660"/>
      <c r="I244" s="659"/>
      <c r="J244" s="661"/>
      <c r="K244" s="658"/>
      <c r="L244" s="658"/>
      <c r="M244" s="658"/>
      <c r="N244" s="1025"/>
      <c r="O244" s="653"/>
      <c r="P244" s="654"/>
      <c r="Q244" s="1030"/>
      <c r="R244" s="661"/>
      <c r="S244" s="705"/>
      <c r="T244" s="659"/>
      <c r="U244" s="661"/>
      <c r="V244" s="660"/>
      <c r="W244" s="691"/>
      <c r="X244" s="661"/>
      <c r="Y244" s="661"/>
    </row>
    <row r="245">
      <c r="A245" s="653"/>
      <c r="B245" s="654"/>
      <c r="C245" s="655"/>
      <c r="D245" s="656"/>
      <c r="E245" s="657"/>
      <c r="F245" s="658"/>
      <c r="G245" s="659"/>
      <c r="H245" s="660"/>
      <c r="I245" s="659"/>
      <c r="J245" s="661"/>
      <c r="K245" s="658"/>
      <c r="L245" s="658"/>
      <c r="M245" s="658"/>
      <c r="N245" s="1025"/>
      <c r="O245" s="653"/>
      <c r="P245" s="654"/>
      <c r="Q245" s="1030"/>
      <c r="R245" s="661"/>
      <c r="S245" s="705"/>
      <c r="T245" s="659"/>
      <c r="U245" s="661"/>
      <c r="V245" s="660"/>
      <c r="W245" s="691"/>
      <c r="X245" s="661"/>
      <c r="Y245" s="661"/>
    </row>
    <row r="246">
      <c r="A246" s="653"/>
      <c r="B246" s="654"/>
      <c r="C246" s="655"/>
      <c r="D246" s="656"/>
      <c r="E246" s="657"/>
      <c r="F246" s="658"/>
      <c r="G246" s="659"/>
      <c r="H246" s="660"/>
      <c r="I246" s="659"/>
      <c r="J246" s="661"/>
      <c r="K246" s="658"/>
      <c r="L246" s="658"/>
      <c r="M246" s="658"/>
      <c r="N246" s="1025"/>
      <c r="O246" s="653"/>
      <c r="P246" s="654"/>
      <c r="Q246" s="1030"/>
      <c r="R246" s="661"/>
      <c r="S246" s="705"/>
      <c r="T246" s="659"/>
      <c r="U246" s="661"/>
      <c r="V246" s="660"/>
      <c r="W246" s="691"/>
      <c r="X246" s="661"/>
      <c r="Y246" s="661"/>
    </row>
    <row r="247">
      <c r="A247" s="653"/>
      <c r="B247" s="654"/>
      <c r="C247" s="655"/>
      <c r="D247" s="656"/>
      <c r="E247" s="657"/>
      <c r="F247" s="658"/>
      <c r="G247" s="659"/>
      <c r="H247" s="660"/>
      <c r="I247" s="659"/>
      <c r="J247" s="661"/>
      <c r="K247" s="658"/>
      <c r="L247" s="658"/>
      <c r="M247" s="658"/>
      <c r="N247" s="1025"/>
      <c r="O247" s="653"/>
      <c r="P247" s="654"/>
      <c r="Q247" s="1030"/>
      <c r="R247" s="661"/>
      <c r="S247" s="705"/>
      <c r="T247" s="659"/>
      <c r="U247" s="661"/>
      <c r="V247" s="660"/>
      <c r="W247" s="691"/>
      <c r="X247" s="661"/>
      <c r="Y247" s="661"/>
    </row>
    <row r="248">
      <c r="A248" s="653"/>
      <c r="B248" s="654"/>
      <c r="C248" s="655"/>
      <c r="D248" s="656"/>
      <c r="E248" s="657"/>
      <c r="F248" s="658"/>
      <c r="G248" s="659"/>
      <c r="H248" s="660"/>
      <c r="I248" s="659"/>
      <c r="J248" s="661"/>
      <c r="K248" s="658"/>
      <c r="L248" s="658"/>
      <c r="M248" s="658"/>
      <c r="N248" s="1025"/>
      <c r="O248" s="653"/>
      <c r="P248" s="654"/>
      <c r="Q248" s="1030"/>
      <c r="R248" s="661"/>
      <c r="S248" s="705"/>
      <c r="T248" s="659"/>
      <c r="U248" s="661"/>
      <c r="V248" s="660"/>
      <c r="W248" s="691"/>
      <c r="X248" s="661"/>
      <c r="Y248" s="661"/>
    </row>
    <row r="249">
      <c r="A249" s="653"/>
      <c r="B249" s="654"/>
      <c r="C249" s="655"/>
      <c r="D249" s="656"/>
      <c r="E249" s="657"/>
      <c r="F249" s="658"/>
      <c r="G249" s="659"/>
      <c r="H249" s="660"/>
      <c r="I249" s="659"/>
      <c r="J249" s="661"/>
      <c r="K249" s="658"/>
      <c r="L249" s="658"/>
      <c r="M249" s="658"/>
      <c r="N249" s="1025"/>
      <c r="O249" s="653"/>
      <c r="P249" s="654"/>
      <c r="Q249" s="1030"/>
      <c r="R249" s="661"/>
      <c r="S249" s="705"/>
      <c r="T249" s="659"/>
      <c r="U249" s="661"/>
      <c r="V249" s="660"/>
      <c r="W249" s="691"/>
      <c r="X249" s="661"/>
      <c r="Y249" s="661"/>
    </row>
    <row r="250">
      <c r="A250" s="653"/>
      <c r="B250" s="654"/>
      <c r="C250" s="655"/>
      <c r="D250" s="656"/>
      <c r="E250" s="657"/>
      <c r="F250" s="658"/>
      <c r="G250" s="659"/>
      <c r="H250" s="660"/>
      <c r="I250" s="659"/>
      <c r="J250" s="661"/>
      <c r="K250" s="658"/>
      <c r="L250" s="658"/>
      <c r="M250" s="658"/>
      <c r="N250" s="1025"/>
      <c r="O250" s="653"/>
      <c r="P250" s="654"/>
      <c r="Q250" s="1030"/>
      <c r="R250" s="661"/>
      <c r="S250" s="705"/>
      <c r="T250" s="659"/>
      <c r="U250" s="661"/>
      <c r="V250" s="660"/>
      <c r="W250" s="691"/>
      <c r="X250" s="661"/>
      <c r="Y250" s="661"/>
    </row>
    <row r="251">
      <c r="A251" s="653"/>
      <c r="B251" s="654"/>
      <c r="C251" s="655"/>
      <c r="D251" s="656"/>
      <c r="E251" s="657"/>
      <c r="F251" s="658"/>
      <c r="G251" s="659"/>
      <c r="H251" s="660"/>
      <c r="I251" s="659"/>
      <c r="J251" s="661"/>
      <c r="K251" s="658"/>
      <c r="L251" s="658"/>
      <c r="M251" s="658"/>
      <c r="N251" s="1025"/>
      <c r="O251" s="653"/>
      <c r="P251" s="654"/>
      <c r="Q251" s="1030"/>
      <c r="R251" s="661"/>
      <c r="S251" s="705"/>
      <c r="T251" s="659"/>
      <c r="U251" s="661"/>
      <c r="V251" s="660"/>
      <c r="W251" s="691"/>
      <c r="X251" s="661"/>
      <c r="Y251" s="661"/>
    </row>
    <row r="252">
      <c r="A252" s="653"/>
      <c r="B252" s="654"/>
      <c r="C252" s="655"/>
      <c r="D252" s="656"/>
      <c r="E252" s="657"/>
      <c r="F252" s="658"/>
      <c r="G252" s="659"/>
      <c r="H252" s="660"/>
      <c r="I252" s="659"/>
      <c r="J252" s="661"/>
      <c r="K252" s="658"/>
      <c r="L252" s="658"/>
      <c r="M252" s="658"/>
      <c r="N252" s="1025"/>
      <c r="O252" s="653"/>
      <c r="P252" s="654"/>
      <c r="Q252" s="1030"/>
      <c r="R252" s="661"/>
      <c r="S252" s="705"/>
      <c r="T252" s="659"/>
      <c r="U252" s="661"/>
      <c r="V252" s="660"/>
      <c r="W252" s="691"/>
      <c r="X252" s="661"/>
      <c r="Y252" s="661"/>
    </row>
    <row r="253">
      <c r="A253" s="653"/>
      <c r="B253" s="654"/>
      <c r="C253" s="655"/>
      <c r="D253" s="656"/>
      <c r="E253" s="657"/>
      <c r="F253" s="658"/>
      <c r="G253" s="659"/>
      <c r="H253" s="660"/>
      <c r="I253" s="659"/>
      <c r="J253" s="661"/>
      <c r="K253" s="658"/>
      <c r="L253" s="658"/>
      <c r="M253" s="658"/>
      <c r="N253" s="1025"/>
      <c r="O253" s="653"/>
      <c r="P253" s="654"/>
      <c r="Q253" s="1030"/>
      <c r="R253" s="661"/>
      <c r="S253" s="705"/>
      <c r="T253" s="659"/>
      <c r="U253" s="661"/>
      <c r="V253" s="660"/>
      <c r="W253" s="691"/>
      <c r="X253" s="661"/>
      <c r="Y253" s="661"/>
    </row>
    <row r="254">
      <c r="A254" s="653"/>
      <c r="B254" s="654"/>
      <c r="C254" s="655"/>
      <c r="D254" s="656"/>
      <c r="E254" s="657"/>
      <c r="F254" s="658"/>
      <c r="G254" s="659"/>
      <c r="H254" s="660"/>
      <c r="I254" s="659"/>
      <c r="J254" s="661"/>
      <c r="K254" s="658"/>
      <c r="L254" s="658"/>
      <c r="M254" s="658"/>
      <c r="N254" s="1025"/>
      <c r="O254" s="653"/>
      <c r="P254" s="654"/>
      <c r="Q254" s="1030"/>
      <c r="R254" s="661"/>
      <c r="S254" s="705"/>
      <c r="T254" s="659"/>
      <c r="U254" s="661"/>
      <c r="V254" s="660"/>
      <c r="W254" s="691"/>
      <c r="X254" s="661"/>
      <c r="Y254" s="661"/>
    </row>
    <row r="255">
      <c r="A255" s="653"/>
      <c r="B255" s="654"/>
      <c r="C255" s="655"/>
      <c r="D255" s="656"/>
      <c r="E255" s="657"/>
      <c r="F255" s="658"/>
      <c r="G255" s="659"/>
      <c r="H255" s="660"/>
      <c r="I255" s="659"/>
      <c r="J255" s="661"/>
      <c r="K255" s="658"/>
      <c r="L255" s="658"/>
      <c r="M255" s="658"/>
      <c r="N255" s="1025"/>
      <c r="O255" s="653"/>
      <c r="P255" s="654"/>
      <c r="Q255" s="1030"/>
      <c r="R255" s="661"/>
      <c r="S255" s="705"/>
      <c r="T255" s="659"/>
      <c r="U255" s="661"/>
      <c r="V255" s="660"/>
      <c r="W255" s="691"/>
      <c r="X255" s="661"/>
      <c r="Y255" s="661"/>
    </row>
    <row r="256">
      <c r="A256" s="653"/>
      <c r="B256" s="654"/>
      <c r="C256" s="655"/>
      <c r="D256" s="656"/>
      <c r="E256" s="657"/>
      <c r="F256" s="658"/>
      <c r="G256" s="659"/>
      <c r="H256" s="660"/>
      <c r="I256" s="659"/>
      <c r="J256" s="661"/>
      <c r="K256" s="658"/>
      <c r="L256" s="658"/>
      <c r="M256" s="658"/>
      <c r="N256" s="1025"/>
      <c r="O256" s="653"/>
      <c r="P256" s="654"/>
      <c r="Q256" s="1030"/>
      <c r="R256" s="661"/>
      <c r="S256" s="705"/>
      <c r="T256" s="659"/>
      <c r="U256" s="661"/>
      <c r="V256" s="660"/>
      <c r="W256" s="691"/>
      <c r="X256" s="661"/>
      <c r="Y256" s="661"/>
    </row>
    <row r="257">
      <c r="A257" s="653"/>
      <c r="B257" s="654"/>
      <c r="C257" s="655"/>
      <c r="D257" s="656"/>
      <c r="E257" s="657"/>
      <c r="F257" s="658"/>
      <c r="G257" s="659"/>
      <c r="H257" s="660"/>
      <c r="I257" s="659"/>
      <c r="J257" s="661"/>
      <c r="K257" s="658"/>
      <c r="L257" s="658"/>
      <c r="M257" s="658"/>
      <c r="N257" s="1025"/>
      <c r="O257" s="653"/>
      <c r="P257" s="654"/>
      <c r="Q257" s="1030"/>
      <c r="R257" s="661"/>
      <c r="S257" s="705"/>
      <c r="T257" s="659"/>
      <c r="U257" s="661"/>
      <c r="V257" s="660"/>
      <c r="W257" s="691"/>
      <c r="X257" s="661"/>
      <c r="Y257" s="661"/>
    </row>
    <row r="258">
      <c r="A258" s="653"/>
      <c r="B258" s="654"/>
      <c r="C258" s="655"/>
      <c r="D258" s="656"/>
      <c r="E258" s="657"/>
      <c r="F258" s="658"/>
      <c r="G258" s="659"/>
      <c r="H258" s="660"/>
      <c r="I258" s="659"/>
      <c r="J258" s="661"/>
      <c r="K258" s="658"/>
      <c r="L258" s="658"/>
      <c r="M258" s="658"/>
      <c r="N258" s="1025"/>
      <c r="O258" s="653"/>
      <c r="P258" s="654"/>
      <c r="Q258" s="1030"/>
      <c r="R258" s="661"/>
      <c r="S258" s="705"/>
      <c r="T258" s="659"/>
      <c r="U258" s="661"/>
      <c r="V258" s="660"/>
      <c r="W258" s="691"/>
      <c r="X258" s="661"/>
      <c r="Y258" s="661"/>
    </row>
    <row r="259">
      <c r="A259" s="653"/>
      <c r="B259" s="654"/>
      <c r="C259" s="655"/>
      <c r="D259" s="656"/>
      <c r="E259" s="657"/>
      <c r="F259" s="658"/>
      <c r="G259" s="659"/>
      <c r="H259" s="660"/>
      <c r="I259" s="659"/>
      <c r="J259" s="661"/>
      <c r="K259" s="658"/>
      <c r="L259" s="658"/>
      <c r="M259" s="658"/>
      <c r="N259" s="1025"/>
      <c r="O259" s="653"/>
      <c r="P259" s="654"/>
      <c r="Q259" s="1030"/>
      <c r="R259" s="661"/>
      <c r="S259" s="705"/>
      <c r="T259" s="659"/>
      <c r="U259" s="661"/>
      <c r="V259" s="660"/>
      <c r="W259" s="691"/>
      <c r="X259" s="661"/>
      <c r="Y259" s="661"/>
    </row>
    <row r="260">
      <c r="A260" s="653"/>
      <c r="B260" s="654"/>
      <c r="C260" s="655"/>
      <c r="D260" s="656"/>
      <c r="E260" s="657"/>
      <c r="F260" s="658"/>
      <c r="G260" s="659"/>
      <c r="H260" s="660"/>
      <c r="I260" s="659"/>
      <c r="J260" s="661"/>
      <c r="K260" s="658"/>
      <c r="L260" s="658"/>
      <c r="M260" s="658"/>
      <c r="N260" s="1025"/>
      <c r="O260" s="653"/>
      <c r="P260" s="654"/>
      <c r="Q260" s="1030"/>
      <c r="R260" s="661"/>
      <c r="S260" s="705"/>
      <c r="T260" s="659"/>
      <c r="U260" s="661"/>
      <c r="V260" s="660"/>
      <c r="W260" s="691"/>
      <c r="X260" s="661"/>
      <c r="Y260" s="661"/>
    </row>
    <row r="261">
      <c r="A261" s="653"/>
      <c r="B261" s="654"/>
      <c r="C261" s="655"/>
      <c r="D261" s="656"/>
      <c r="E261" s="657"/>
      <c r="F261" s="658"/>
      <c r="G261" s="659"/>
      <c r="H261" s="660"/>
      <c r="I261" s="659"/>
      <c r="J261" s="661"/>
      <c r="K261" s="658"/>
      <c r="L261" s="658"/>
      <c r="M261" s="658"/>
      <c r="N261" s="1025"/>
      <c r="O261" s="653"/>
      <c r="P261" s="654"/>
      <c r="Q261" s="1030"/>
      <c r="R261" s="661"/>
      <c r="S261" s="705"/>
      <c r="T261" s="659"/>
      <c r="U261" s="661"/>
      <c r="V261" s="660"/>
      <c r="W261" s="691"/>
      <c r="X261" s="661"/>
      <c r="Y261" s="661"/>
    </row>
    <row r="262">
      <c r="A262" s="653"/>
      <c r="B262" s="654"/>
      <c r="C262" s="655"/>
      <c r="D262" s="656"/>
      <c r="E262" s="657"/>
      <c r="F262" s="658"/>
      <c r="G262" s="659"/>
      <c r="H262" s="660"/>
      <c r="I262" s="659"/>
      <c r="J262" s="661"/>
      <c r="K262" s="658"/>
      <c r="L262" s="658"/>
      <c r="M262" s="658"/>
      <c r="N262" s="1025"/>
      <c r="O262" s="653"/>
      <c r="P262" s="654"/>
      <c r="Q262" s="1030"/>
      <c r="R262" s="661"/>
      <c r="S262" s="705"/>
      <c r="T262" s="659"/>
      <c r="U262" s="661"/>
      <c r="V262" s="660"/>
      <c r="W262" s="691"/>
      <c r="X262" s="661"/>
      <c r="Y262" s="661"/>
    </row>
    <row r="263">
      <c r="A263" s="653"/>
      <c r="B263" s="654"/>
      <c r="C263" s="655"/>
      <c r="D263" s="656"/>
      <c r="E263" s="657"/>
      <c r="F263" s="658"/>
      <c r="G263" s="659"/>
      <c r="H263" s="660"/>
      <c r="I263" s="659"/>
      <c r="J263" s="661"/>
      <c r="K263" s="658"/>
      <c r="L263" s="658"/>
      <c r="M263" s="658"/>
      <c r="N263" s="1025"/>
      <c r="O263" s="653"/>
      <c r="P263" s="654"/>
      <c r="Q263" s="1030"/>
      <c r="R263" s="661"/>
      <c r="S263" s="705"/>
      <c r="T263" s="659"/>
      <c r="U263" s="661"/>
      <c r="V263" s="660"/>
      <c r="W263" s="691"/>
      <c r="X263" s="661"/>
      <c r="Y263" s="661"/>
    </row>
    <row r="264">
      <c r="A264" s="653"/>
      <c r="B264" s="654"/>
      <c r="C264" s="655"/>
      <c r="D264" s="656"/>
      <c r="E264" s="657"/>
      <c r="F264" s="658"/>
      <c r="G264" s="659"/>
      <c r="H264" s="660"/>
      <c r="I264" s="659"/>
      <c r="J264" s="661"/>
      <c r="K264" s="658"/>
      <c r="L264" s="658"/>
      <c r="M264" s="658"/>
      <c r="N264" s="1025"/>
      <c r="O264" s="653"/>
      <c r="P264" s="654"/>
      <c r="Q264" s="1030"/>
      <c r="R264" s="661"/>
      <c r="S264" s="705"/>
      <c r="T264" s="659"/>
      <c r="U264" s="661"/>
      <c r="V264" s="660"/>
      <c r="W264" s="691"/>
      <c r="X264" s="661"/>
      <c r="Y264" s="661"/>
    </row>
    <row r="265">
      <c r="A265" s="653"/>
      <c r="B265" s="654"/>
      <c r="C265" s="655"/>
      <c r="D265" s="656"/>
      <c r="E265" s="657"/>
      <c r="F265" s="658"/>
      <c r="G265" s="659"/>
      <c r="H265" s="660"/>
      <c r="I265" s="659"/>
      <c r="J265" s="661"/>
      <c r="K265" s="658"/>
      <c r="L265" s="658"/>
      <c r="M265" s="658"/>
      <c r="N265" s="1025"/>
      <c r="O265" s="653"/>
      <c r="P265" s="654"/>
      <c r="Q265" s="1030"/>
      <c r="R265" s="661"/>
      <c r="S265" s="705"/>
      <c r="T265" s="659"/>
      <c r="U265" s="661"/>
      <c r="V265" s="660"/>
      <c r="W265" s="691"/>
      <c r="X265" s="661"/>
      <c r="Y265" s="661"/>
    </row>
    <row r="266">
      <c r="A266" s="653"/>
      <c r="B266" s="654"/>
      <c r="C266" s="655"/>
      <c r="D266" s="656"/>
      <c r="E266" s="657"/>
      <c r="F266" s="658"/>
      <c r="G266" s="659"/>
      <c r="H266" s="660"/>
      <c r="I266" s="659"/>
      <c r="J266" s="661"/>
      <c r="K266" s="658"/>
      <c r="L266" s="658"/>
      <c r="M266" s="658"/>
      <c r="N266" s="1025"/>
      <c r="O266" s="653"/>
      <c r="P266" s="654"/>
      <c r="Q266" s="1030"/>
      <c r="R266" s="661"/>
      <c r="S266" s="705"/>
      <c r="T266" s="659"/>
      <c r="U266" s="661"/>
      <c r="V266" s="660"/>
      <c r="W266" s="691"/>
      <c r="X266" s="661"/>
      <c r="Y266" s="661"/>
    </row>
    <row r="267">
      <c r="A267" s="653"/>
      <c r="B267" s="654"/>
      <c r="C267" s="655"/>
      <c r="D267" s="656"/>
      <c r="E267" s="657"/>
      <c r="F267" s="658"/>
      <c r="G267" s="659"/>
      <c r="H267" s="660"/>
      <c r="I267" s="659"/>
      <c r="J267" s="661"/>
      <c r="K267" s="658"/>
      <c r="L267" s="658"/>
      <c r="M267" s="658"/>
      <c r="N267" s="1025"/>
      <c r="O267" s="653"/>
      <c r="P267" s="654"/>
      <c r="Q267" s="1030"/>
      <c r="R267" s="661"/>
      <c r="S267" s="705"/>
      <c r="T267" s="659"/>
      <c r="U267" s="661"/>
      <c r="V267" s="660"/>
      <c r="W267" s="691"/>
      <c r="X267" s="661"/>
      <c r="Y267" s="661"/>
    </row>
    <row r="268">
      <c r="A268" s="653"/>
      <c r="B268" s="654"/>
      <c r="C268" s="655"/>
      <c r="D268" s="656"/>
      <c r="E268" s="657"/>
      <c r="F268" s="658"/>
      <c r="G268" s="659"/>
      <c r="H268" s="660"/>
      <c r="I268" s="659"/>
      <c r="J268" s="661"/>
      <c r="K268" s="658"/>
      <c r="L268" s="658"/>
      <c r="M268" s="658"/>
      <c r="N268" s="1025"/>
      <c r="O268" s="653"/>
      <c r="P268" s="654"/>
      <c r="Q268" s="1030"/>
      <c r="R268" s="661"/>
      <c r="S268" s="705"/>
      <c r="T268" s="659"/>
      <c r="U268" s="661"/>
      <c r="V268" s="660"/>
      <c r="W268" s="691"/>
      <c r="X268" s="661"/>
      <c r="Y268" s="661"/>
    </row>
    <row r="269">
      <c r="A269" s="653"/>
      <c r="B269" s="654"/>
      <c r="C269" s="655"/>
      <c r="D269" s="656"/>
      <c r="E269" s="657"/>
      <c r="F269" s="658"/>
      <c r="G269" s="659"/>
      <c r="H269" s="660"/>
      <c r="I269" s="659"/>
      <c r="J269" s="661"/>
      <c r="K269" s="658"/>
      <c r="L269" s="658"/>
      <c r="M269" s="658"/>
      <c r="N269" s="1025"/>
      <c r="O269" s="653"/>
      <c r="P269" s="654"/>
      <c r="Q269" s="1030"/>
      <c r="R269" s="661"/>
      <c r="S269" s="705"/>
      <c r="T269" s="659"/>
      <c r="U269" s="661"/>
      <c r="V269" s="660"/>
      <c r="W269" s="691"/>
      <c r="X269" s="661"/>
      <c r="Y269" s="661"/>
    </row>
    <row r="270">
      <c r="A270" s="653"/>
      <c r="B270" s="654"/>
      <c r="C270" s="655"/>
      <c r="D270" s="656"/>
      <c r="E270" s="657"/>
      <c r="F270" s="658"/>
      <c r="G270" s="659"/>
      <c r="H270" s="660"/>
      <c r="I270" s="659"/>
      <c r="J270" s="661"/>
      <c r="K270" s="658"/>
      <c r="L270" s="658"/>
      <c r="M270" s="658"/>
      <c r="N270" s="1025"/>
      <c r="O270" s="653"/>
      <c r="P270" s="654"/>
      <c r="Q270" s="1030"/>
      <c r="R270" s="661"/>
      <c r="S270" s="705"/>
      <c r="T270" s="659"/>
      <c r="U270" s="661"/>
      <c r="V270" s="660"/>
      <c r="W270" s="691"/>
      <c r="X270" s="661"/>
      <c r="Y270" s="661"/>
    </row>
    <row r="271">
      <c r="A271" s="653"/>
      <c r="B271" s="654"/>
      <c r="C271" s="655"/>
      <c r="D271" s="656"/>
      <c r="E271" s="657"/>
      <c r="F271" s="658"/>
      <c r="G271" s="659"/>
      <c r="H271" s="660"/>
      <c r="I271" s="659"/>
      <c r="J271" s="661"/>
      <c r="K271" s="658"/>
      <c r="L271" s="658"/>
      <c r="M271" s="658"/>
      <c r="N271" s="1025"/>
      <c r="O271" s="653"/>
      <c r="P271" s="654"/>
      <c r="Q271" s="1030"/>
      <c r="R271" s="661"/>
      <c r="S271" s="705"/>
      <c r="T271" s="659"/>
      <c r="U271" s="661"/>
      <c r="V271" s="660"/>
      <c r="W271" s="691"/>
      <c r="X271" s="661"/>
      <c r="Y271" s="661"/>
    </row>
    <row r="272">
      <c r="A272" s="653"/>
      <c r="B272" s="654"/>
      <c r="C272" s="655"/>
      <c r="D272" s="656"/>
      <c r="E272" s="657"/>
      <c r="F272" s="658"/>
      <c r="G272" s="659"/>
      <c r="H272" s="660"/>
      <c r="I272" s="659"/>
      <c r="J272" s="661"/>
      <c r="K272" s="658"/>
      <c r="L272" s="658"/>
      <c r="M272" s="658"/>
      <c r="N272" s="1025"/>
      <c r="O272" s="653"/>
      <c r="P272" s="654"/>
      <c r="Q272" s="1030"/>
      <c r="R272" s="661"/>
      <c r="S272" s="705"/>
      <c r="T272" s="659"/>
      <c r="U272" s="661"/>
      <c r="V272" s="660"/>
      <c r="W272" s="691"/>
      <c r="X272" s="661"/>
      <c r="Y272" s="661"/>
    </row>
    <row r="273">
      <c r="A273" s="653"/>
      <c r="B273" s="654"/>
      <c r="C273" s="655"/>
      <c r="D273" s="656"/>
      <c r="E273" s="657"/>
      <c r="F273" s="658"/>
      <c r="G273" s="659"/>
      <c r="H273" s="660"/>
      <c r="I273" s="659"/>
      <c r="J273" s="661"/>
      <c r="K273" s="658"/>
      <c r="L273" s="658"/>
      <c r="M273" s="658"/>
      <c r="N273" s="1025"/>
      <c r="O273" s="653"/>
      <c r="P273" s="654"/>
      <c r="Q273" s="1030"/>
      <c r="R273" s="661"/>
      <c r="S273" s="705"/>
      <c r="T273" s="659"/>
      <c r="U273" s="661"/>
      <c r="V273" s="660"/>
      <c r="W273" s="691"/>
      <c r="X273" s="661"/>
      <c r="Y273" s="661"/>
    </row>
    <row r="274">
      <c r="A274" s="653"/>
      <c r="B274" s="654"/>
      <c r="C274" s="655"/>
      <c r="D274" s="656"/>
      <c r="E274" s="657"/>
      <c r="F274" s="658"/>
      <c r="G274" s="659"/>
      <c r="H274" s="660"/>
      <c r="I274" s="659"/>
      <c r="J274" s="661"/>
      <c r="K274" s="658"/>
      <c r="L274" s="658"/>
      <c r="M274" s="658"/>
      <c r="N274" s="1025"/>
      <c r="O274" s="653"/>
      <c r="P274" s="654"/>
      <c r="Q274" s="1030"/>
      <c r="R274" s="661"/>
      <c r="S274" s="705"/>
      <c r="T274" s="659"/>
      <c r="U274" s="661"/>
      <c r="V274" s="660"/>
      <c r="W274" s="691"/>
      <c r="X274" s="661"/>
      <c r="Y274" s="661"/>
    </row>
    <row r="275">
      <c r="A275" s="653"/>
      <c r="B275" s="654"/>
      <c r="C275" s="655"/>
      <c r="D275" s="656"/>
      <c r="E275" s="657"/>
      <c r="F275" s="658"/>
      <c r="G275" s="659"/>
      <c r="H275" s="660"/>
      <c r="I275" s="659"/>
      <c r="J275" s="661"/>
      <c r="K275" s="658"/>
      <c r="L275" s="658"/>
      <c r="M275" s="658"/>
      <c r="N275" s="1025"/>
      <c r="O275" s="653"/>
      <c r="P275" s="654"/>
      <c r="Q275" s="1030"/>
      <c r="R275" s="661"/>
      <c r="S275" s="705"/>
      <c r="T275" s="659"/>
      <c r="U275" s="661"/>
      <c r="V275" s="660"/>
      <c r="W275" s="691"/>
      <c r="X275" s="661"/>
      <c r="Y275" s="661"/>
    </row>
    <row r="276">
      <c r="A276" s="653"/>
      <c r="B276" s="654"/>
      <c r="C276" s="655"/>
      <c r="D276" s="656"/>
      <c r="E276" s="657"/>
      <c r="F276" s="658"/>
      <c r="G276" s="659"/>
      <c r="H276" s="660"/>
      <c r="I276" s="659"/>
      <c r="J276" s="661"/>
      <c r="K276" s="658"/>
      <c r="L276" s="658"/>
      <c r="M276" s="658"/>
      <c r="N276" s="1025"/>
      <c r="O276" s="653"/>
      <c r="P276" s="654"/>
      <c r="Q276" s="1030"/>
      <c r="R276" s="661"/>
      <c r="S276" s="705"/>
      <c r="T276" s="659"/>
      <c r="U276" s="661"/>
      <c r="V276" s="660"/>
      <c r="W276" s="691"/>
      <c r="X276" s="661"/>
      <c r="Y276" s="661"/>
    </row>
    <row r="277">
      <c r="A277" s="653"/>
      <c r="B277" s="654"/>
      <c r="C277" s="655"/>
      <c r="D277" s="656"/>
      <c r="E277" s="657"/>
      <c r="F277" s="658"/>
      <c r="G277" s="659"/>
      <c r="H277" s="660"/>
      <c r="I277" s="659"/>
      <c r="J277" s="661"/>
      <c r="K277" s="658"/>
      <c r="L277" s="658"/>
      <c r="M277" s="658"/>
      <c r="N277" s="1025"/>
      <c r="O277" s="653"/>
      <c r="P277" s="654"/>
      <c r="Q277" s="1030"/>
      <c r="R277" s="661"/>
      <c r="S277" s="705"/>
      <c r="T277" s="659"/>
      <c r="U277" s="661"/>
      <c r="V277" s="660"/>
      <c r="W277" s="691"/>
      <c r="X277" s="661"/>
      <c r="Y277" s="661"/>
    </row>
    <row r="278">
      <c r="A278" s="653"/>
      <c r="B278" s="654"/>
      <c r="C278" s="655"/>
      <c r="D278" s="656"/>
      <c r="E278" s="657"/>
      <c r="F278" s="658"/>
      <c r="G278" s="659"/>
      <c r="H278" s="660"/>
      <c r="I278" s="659"/>
      <c r="J278" s="661"/>
      <c r="K278" s="658"/>
      <c r="L278" s="658"/>
      <c r="M278" s="658"/>
      <c r="N278" s="1025"/>
      <c r="O278" s="653"/>
      <c r="P278" s="654"/>
      <c r="Q278" s="1030"/>
      <c r="R278" s="661"/>
      <c r="S278" s="705"/>
      <c r="T278" s="659"/>
      <c r="U278" s="661"/>
      <c r="V278" s="660"/>
      <c r="W278" s="691"/>
      <c r="X278" s="661"/>
      <c r="Y278" s="661"/>
    </row>
    <row r="279">
      <c r="A279" s="653"/>
      <c r="B279" s="654"/>
      <c r="C279" s="655"/>
      <c r="D279" s="656"/>
      <c r="E279" s="657"/>
      <c r="F279" s="658"/>
      <c r="G279" s="659"/>
      <c r="H279" s="660"/>
      <c r="I279" s="659"/>
      <c r="J279" s="661"/>
      <c r="K279" s="658"/>
      <c r="L279" s="658"/>
      <c r="M279" s="658"/>
      <c r="N279" s="1025"/>
      <c r="O279" s="653"/>
      <c r="P279" s="654"/>
      <c r="Q279" s="1030"/>
      <c r="R279" s="661"/>
      <c r="S279" s="705"/>
      <c r="T279" s="659"/>
      <c r="U279" s="661"/>
      <c r="V279" s="660"/>
      <c r="W279" s="691"/>
      <c r="X279" s="661"/>
      <c r="Y279" s="661"/>
    </row>
    <row r="280">
      <c r="A280" s="653"/>
      <c r="B280" s="654"/>
      <c r="C280" s="655"/>
      <c r="D280" s="656"/>
      <c r="E280" s="657"/>
      <c r="F280" s="658"/>
      <c r="G280" s="659"/>
      <c r="H280" s="660"/>
      <c r="I280" s="659"/>
      <c r="J280" s="661"/>
      <c r="K280" s="658"/>
      <c r="L280" s="658"/>
      <c r="M280" s="658"/>
      <c r="N280" s="1025"/>
      <c r="O280" s="653"/>
      <c r="P280" s="654"/>
      <c r="Q280" s="1030"/>
      <c r="R280" s="661"/>
      <c r="S280" s="705"/>
      <c r="T280" s="659"/>
      <c r="U280" s="661"/>
      <c r="V280" s="660"/>
      <c r="W280" s="691"/>
      <c r="X280" s="661"/>
      <c r="Y280" s="661"/>
    </row>
    <row r="281">
      <c r="A281" s="653"/>
      <c r="B281" s="654"/>
      <c r="C281" s="655"/>
      <c r="D281" s="656"/>
      <c r="E281" s="657"/>
      <c r="F281" s="658"/>
      <c r="G281" s="659"/>
      <c r="H281" s="660"/>
      <c r="I281" s="659"/>
      <c r="J281" s="661"/>
      <c r="K281" s="658"/>
      <c r="L281" s="658"/>
      <c r="M281" s="658"/>
      <c r="N281" s="1025"/>
      <c r="O281" s="653"/>
      <c r="P281" s="654"/>
      <c r="Q281" s="1030"/>
      <c r="R281" s="661"/>
      <c r="S281" s="705"/>
      <c r="T281" s="659"/>
      <c r="U281" s="661"/>
      <c r="V281" s="660"/>
      <c r="W281" s="691"/>
      <c r="X281" s="661"/>
      <c r="Y281" s="661"/>
    </row>
    <row r="282">
      <c r="A282" s="653"/>
      <c r="B282" s="654"/>
      <c r="C282" s="655"/>
      <c r="D282" s="656"/>
      <c r="E282" s="657"/>
      <c r="F282" s="658"/>
      <c r="G282" s="659"/>
      <c r="H282" s="660"/>
      <c r="I282" s="659"/>
      <c r="J282" s="661"/>
      <c r="K282" s="658"/>
      <c r="L282" s="658"/>
      <c r="M282" s="658"/>
      <c r="N282" s="1025"/>
      <c r="O282" s="653"/>
      <c r="P282" s="654"/>
      <c r="Q282" s="1030"/>
      <c r="R282" s="661"/>
      <c r="S282" s="705"/>
      <c r="T282" s="659"/>
      <c r="U282" s="661"/>
      <c r="V282" s="660"/>
      <c r="W282" s="691"/>
      <c r="X282" s="661"/>
      <c r="Y282" s="661"/>
    </row>
    <row r="283">
      <c r="A283" s="653"/>
      <c r="B283" s="654"/>
      <c r="C283" s="655"/>
      <c r="D283" s="656"/>
      <c r="E283" s="657"/>
      <c r="F283" s="658"/>
      <c r="G283" s="659"/>
      <c r="H283" s="660"/>
      <c r="I283" s="659"/>
      <c r="J283" s="661"/>
      <c r="K283" s="658"/>
      <c r="L283" s="658"/>
      <c r="M283" s="658"/>
      <c r="N283" s="1025"/>
      <c r="O283" s="653"/>
      <c r="P283" s="654"/>
      <c r="Q283" s="1030"/>
      <c r="R283" s="661"/>
      <c r="S283" s="705"/>
      <c r="T283" s="659"/>
      <c r="U283" s="661"/>
      <c r="V283" s="660"/>
      <c r="W283" s="691"/>
      <c r="X283" s="661"/>
      <c r="Y283" s="661"/>
    </row>
    <row r="284">
      <c r="A284" s="653"/>
      <c r="B284" s="654"/>
      <c r="C284" s="655"/>
      <c r="D284" s="656"/>
      <c r="E284" s="657"/>
      <c r="F284" s="658"/>
      <c r="G284" s="659"/>
      <c r="H284" s="660"/>
      <c r="I284" s="659"/>
      <c r="J284" s="661"/>
      <c r="K284" s="658"/>
      <c r="L284" s="658"/>
      <c r="M284" s="658"/>
      <c r="N284" s="1025"/>
      <c r="O284" s="653"/>
      <c r="P284" s="654"/>
      <c r="Q284" s="1030"/>
      <c r="R284" s="661"/>
      <c r="S284" s="705"/>
      <c r="T284" s="659"/>
      <c r="U284" s="661"/>
      <c r="V284" s="660"/>
      <c r="W284" s="691"/>
      <c r="X284" s="661"/>
      <c r="Y284" s="661"/>
    </row>
    <row r="285">
      <c r="A285" s="653"/>
      <c r="B285" s="654"/>
      <c r="C285" s="655"/>
      <c r="D285" s="656"/>
      <c r="E285" s="657"/>
      <c r="F285" s="658"/>
      <c r="G285" s="659"/>
      <c r="H285" s="660"/>
      <c r="I285" s="659"/>
      <c r="J285" s="661"/>
      <c r="K285" s="658"/>
      <c r="L285" s="658"/>
      <c r="M285" s="658"/>
      <c r="N285" s="1025"/>
      <c r="O285" s="653"/>
      <c r="P285" s="654"/>
      <c r="Q285" s="1030"/>
      <c r="R285" s="661"/>
      <c r="S285" s="705"/>
      <c r="T285" s="659"/>
      <c r="U285" s="661"/>
      <c r="V285" s="660"/>
      <c r="W285" s="691"/>
      <c r="X285" s="661"/>
      <c r="Y285" s="661"/>
    </row>
    <row r="286">
      <c r="A286" s="653"/>
      <c r="B286" s="654"/>
      <c r="C286" s="655"/>
      <c r="D286" s="656"/>
      <c r="E286" s="657"/>
      <c r="F286" s="658"/>
      <c r="G286" s="659"/>
      <c r="H286" s="660"/>
      <c r="I286" s="659"/>
      <c r="J286" s="661"/>
      <c r="K286" s="658"/>
      <c r="L286" s="658"/>
      <c r="M286" s="658"/>
      <c r="N286" s="1025"/>
      <c r="O286" s="653"/>
      <c r="P286" s="654"/>
      <c r="Q286" s="1030"/>
      <c r="R286" s="661"/>
      <c r="S286" s="705"/>
      <c r="T286" s="659"/>
      <c r="U286" s="661"/>
      <c r="V286" s="660"/>
      <c r="W286" s="691"/>
      <c r="X286" s="661"/>
      <c r="Y286" s="661"/>
    </row>
    <row r="287">
      <c r="A287" s="653"/>
      <c r="B287" s="654"/>
      <c r="C287" s="655"/>
      <c r="D287" s="656"/>
      <c r="E287" s="657"/>
      <c r="F287" s="658"/>
      <c r="G287" s="659"/>
      <c r="H287" s="660"/>
      <c r="I287" s="659"/>
      <c r="J287" s="661"/>
      <c r="K287" s="658"/>
      <c r="L287" s="658"/>
      <c r="M287" s="658"/>
      <c r="N287" s="1025"/>
      <c r="O287" s="653"/>
      <c r="P287" s="654"/>
      <c r="Q287" s="1030"/>
      <c r="R287" s="661"/>
      <c r="S287" s="705"/>
      <c r="T287" s="659"/>
      <c r="U287" s="661"/>
      <c r="V287" s="660"/>
      <c r="W287" s="691"/>
      <c r="X287" s="661"/>
      <c r="Y287" s="661"/>
    </row>
    <row r="288">
      <c r="A288" s="653"/>
      <c r="B288" s="654"/>
      <c r="C288" s="655"/>
      <c r="D288" s="656"/>
      <c r="E288" s="657"/>
      <c r="F288" s="658"/>
      <c r="G288" s="659"/>
      <c r="H288" s="660"/>
      <c r="I288" s="659"/>
      <c r="J288" s="661"/>
      <c r="K288" s="658"/>
      <c r="L288" s="658"/>
      <c r="M288" s="658"/>
      <c r="N288" s="1025"/>
      <c r="O288" s="653"/>
      <c r="P288" s="654"/>
      <c r="Q288" s="1030"/>
      <c r="R288" s="661"/>
      <c r="S288" s="705"/>
      <c r="T288" s="659"/>
      <c r="U288" s="661"/>
      <c r="V288" s="660"/>
      <c r="W288" s="691"/>
      <c r="X288" s="661"/>
      <c r="Y288" s="661"/>
    </row>
    <row r="289">
      <c r="A289" s="653"/>
      <c r="B289" s="654"/>
      <c r="C289" s="655"/>
      <c r="D289" s="656"/>
      <c r="E289" s="657"/>
      <c r="F289" s="658"/>
      <c r="G289" s="659"/>
      <c r="H289" s="660"/>
      <c r="I289" s="659"/>
      <c r="J289" s="661"/>
      <c r="K289" s="658"/>
      <c r="L289" s="658"/>
      <c r="M289" s="658"/>
      <c r="N289" s="1025"/>
      <c r="O289" s="653"/>
      <c r="P289" s="654"/>
      <c r="Q289" s="1030"/>
      <c r="R289" s="661"/>
      <c r="S289" s="705"/>
      <c r="T289" s="659"/>
      <c r="U289" s="661"/>
      <c r="V289" s="660"/>
      <c r="W289" s="691"/>
      <c r="X289" s="661"/>
      <c r="Y289" s="661"/>
    </row>
    <row r="290">
      <c r="A290" s="653"/>
      <c r="B290" s="654"/>
      <c r="C290" s="655"/>
      <c r="D290" s="656"/>
      <c r="E290" s="657"/>
      <c r="F290" s="658"/>
      <c r="G290" s="659"/>
      <c r="H290" s="660"/>
      <c r="I290" s="659"/>
      <c r="J290" s="661"/>
      <c r="K290" s="658"/>
      <c r="L290" s="658"/>
      <c r="M290" s="658"/>
      <c r="N290" s="1025"/>
      <c r="O290" s="653"/>
      <c r="P290" s="654"/>
      <c r="Q290" s="1030"/>
      <c r="R290" s="661"/>
      <c r="S290" s="705"/>
      <c r="T290" s="659"/>
      <c r="U290" s="661"/>
      <c r="V290" s="660"/>
      <c r="W290" s="691"/>
      <c r="X290" s="661"/>
      <c r="Y290" s="661"/>
    </row>
    <row r="291">
      <c r="A291" s="653"/>
      <c r="B291" s="654"/>
      <c r="C291" s="655"/>
      <c r="D291" s="656"/>
      <c r="E291" s="657"/>
      <c r="F291" s="658"/>
      <c r="G291" s="659"/>
      <c r="H291" s="660"/>
      <c r="I291" s="659"/>
      <c r="J291" s="661"/>
      <c r="K291" s="658"/>
      <c r="L291" s="658"/>
      <c r="M291" s="658"/>
      <c r="N291" s="1025"/>
      <c r="O291" s="653"/>
      <c r="P291" s="654"/>
      <c r="Q291" s="1030"/>
      <c r="R291" s="661"/>
      <c r="S291" s="705"/>
      <c r="T291" s="659"/>
      <c r="U291" s="661"/>
      <c r="V291" s="660"/>
      <c r="W291" s="691"/>
      <c r="X291" s="661"/>
      <c r="Y291" s="661"/>
    </row>
    <row r="292">
      <c r="A292" s="653"/>
      <c r="B292" s="654"/>
      <c r="C292" s="655"/>
      <c r="D292" s="656"/>
      <c r="E292" s="657"/>
      <c r="F292" s="658"/>
      <c r="G292" s="659"/>
      <c r="H292" s="660"/>
      <c r="I292" s="659"/>
      <c r="J292" s="661"/>
      <c r="K292" s="658"/>
      <c r="L292" s="658"/>
      <c r="M292" s="658"/>
      <c r="N292" s="1025"/>
      <c r="O292" s="653"/>
      <c r="P292" s="654"/>
      <c r="Q292" s="1030"/>
      <c r="R292" s="661"/>
      <c r="S292" s="705"/>
      <c r="T292" s="659"/>
      <c r="U292" s="661"/>
      <c r="V292" s="660"/>
      <c r="W292" s="691"/>
      <c r="X292" s="661"/>
      <c r="Y292" s="661"/>
    </row>
    <row r="293">
      <c r="A293" s="653"/>
      <c r="B293" s="654"/>
      <c r="C293" s="655"/>
      <c r="D293" s="656"/>
      <c r="E293" s="657"/>
      <c r="F293" s="658"/>
      <c r="G293" s="659"/>
      <c r="H293" s="660"/>
      <c r="I293" s="659"/>
      <c r="J293" s="661"/>
      <c r="K293" s="658"/>
      <c r="L293" s="658"/>
      <c r="M293" s="658"/>
      <c r="N293" s="1025"/>
      <c r="O293" s="653"/>
      <c r="P293" s="654"/>
      <c r="Q293" s="1030"/>
      <c r="R293" s="661"/>
      <c r="S293" s="705"/>
      <c r="T293" s="659"/>
      <c r="U293" s="661"/>
      <c r="V293" s="660"/>
      <c r="W293" s="691"/>
      <c r="X293" s="661"/>
      <c r="Y293" s="661"/>
    </row>
    <row r="294">
      <c r="A294" s="653"/>
      <c r="B294" s="654"/>
      <c r="C294" s="655"/>
      <c r="D294" s="656"/>
      <c r="E294" s="657"/>
      <c r="F294" s="658"/>
      <c r="G294" s="659"/>
      <c r="H294" s="660"/>
      <c r="I294" s="659"/>
      <c r="J294" s="661"/>
      <c r="K294" s="658"/>
      <c r="L294" s="658"/>
      <c r="M294" s="658"/>
      <c r="N294" s="1025"/>
      <c r="O294" s="653"/>
      <c r="P294" s="654"/>
      <c r="Q294" s="1030"/>
      <c r="R294" s="661"/>
      <c r="S294" s="705"/>
      <c r="T294" s="659"/>
      <c r="U294" s="661"/>
      <c r="V294" s="660"/>
      <c r="W294" s="691"/>
      <c r="X294" s="661"/>
      <c r="Y294" s="661"/>
    </row>
    <row r="295">
      <c r="A295" s="653"/>
      <c r="B295" s="654"/>
      <c r="C295" s="655"/>
      <c r="D295" s="656"/>
      <c r="E295" s="657"/>
      <c r="F295" s="658"/>
      <c r="G295" s="659"/>
      <c r="H295" s="660"/>
      <c r="I295" s="659"/>
      <c r="J295" s="661"/>
      <c r="K295" s="658"/>
      <c r="L295" s="658"/>
      <c r="M295" s="658"/>
      <c r="N295" s="1025"/>
      <c r="O295" s="653"/>
      <c r="P295" s="654"/>
      <c r="Q295" s="1030"/>
      <c r="R295" s="661"/>
      <c r="S295" s="705"/>
      <c r="T295" s="659"/>
      <c r="U295" s="661"/>
      <c r="V295" s="660"/>
      <c r="W295" s="691"/>
      <c r="X295" s="661"/>
      <c r="Y295" s="661"/>
    </row>
    <row r="296">
      <c r="A296" s="653"/>
      <c r="B296" s="654"/>
      <c r="C296" s="655"/>
      <c r="D296" s="656"/>
      <c r="E296" s="657"/>
      <c r="F296" s="658"/>
      <c r="G296" s="659"/>
      <c r="H296" s="660"/>
      <c r="I296" s="659"/>
      <c r="J296" s="661"/>
      <c r="K296" s="658"/>
      <c r="L296" s="658"/>
      <c r="M296" s="658"/>
      <c r="N296" s="1025"/>
      <c r="O296" s="653"/>
      <c r="P296" s="654"/>
      <c r="Q296" s="1030"/>
      <c r="R296" s="661"/>
      <c r="S296" s="705"/>
      <c r="T296" s="659"/>
      <c r="U296" s="661"/>
      <c r="V296" s="660"/>
      <c r="W296" s="691"/>
      <c r="X296" s="661"/>
      <c r="Y296" s="661"/>
    </row>
    <row r="297">
      <c r="A297" s="653"/>
      <c r="B297" s="654"/>
      <c r="C297" s="655"/>
      <c r="D297" s="656"/>
      <c r="E297" s="657"/>
      <c r="F297" s="658"/>
      <c r="G297" s="659"/>
      <c r="H297" s="660"/>
      <c r="I297" s="659"/>
      <c r="J297" s="661"/>
      <c r="K297" s="658"/>
      <c r="L297" s="658"/>
      <c r="M297" s="658"/>
      <c r="N297" s="1025"/>
      <c r="O297" s="653"/>
      <c r="P297" s="654"/>
      <c r="Q297" s="1030"/>
      <c r="R297" s="661"/>
      <c r="S297" s="705"/>
      <c r="T297" s="659"/>
      <c r="U297" s="661"/>
      <c r="V297" s="660"/>
      <c r="W297" s="691"/>
      <c r="X297" s="661"/>
      <c r="Y297" s="661"/>
    </row>
    <row r="298">
      <c r="A298" s="653"/>
      <c r="B298" s="654"/>
      <c r="C298" s="655"/>
      <c r="D298" s="656"/>
      <c r="E298" s="657"/>
      <c r="F298" s="658"/>
      <c r="G298" s="659"/>
      <c r="H298" s="660"/>
      <c r="I298" s="659"/>
      <c r="J298" s="661"/>
      <c r="K298" s="658"/>
      <c r="L298" s="658"/>
      <c r="M298" s="658"/>
      <c r="N298" s="1025"/>
      <c r="O298" s="653"/>
      <c r="P298" s="654"/>
      <c r="Q298" s="1030"/>
      <c r="R298" s="661"/>
      <c r="S298" s="705"/>
      <c r="T298" s="659"/>
      <c r="U298" s="661"/>
      <c r="V298" s="660"/>
      <c r="W298" s="691"/>
      <c r="X298" s="661"/>
      <c r="Y298" s="661"/>
    </row>
    <row r="299">
      <c r="A299" s="653"/>
      <c r="B299" s="654"/>
      <c r="C299" s="655"/>
      <c r="D299" s="656"/>
      <c r="E299" s="657"/>
      <c r="F299" s="658"/>
      <c r="G299" s="659"/>
      <c r="H299" s="660"/>
      <c r="I299" s="659"/>
      <c r="J299" s="661"/>
      <c r="K299" s="658"/>
      <c r="L299" s="658"/>
      <c r="M299" s="658"/>
      <c r="N299" s="1025"/>
      <c r="O299" s="653"/>
      <c r="P299" s="654"/>
      <c r="Q299" s="1030"/>
      <c r="R299" s="661"/>
      <c r="S299" s="705"/>
      <c r="T299" s="659"/>
      <c r="U299" s="661"/>
      <c r="V299" s="660"/>
      <c r="W299" s="691"/>
      <c r="X299" s="661"/>
      <c r="Y299" s="661"/>
    </row>
    <row r="300">
      <c r="A300" s="653"/>
      <c r="B300" s="654"/>
      <c r="C300" s="655"/>
      <c r="D300" s="656"/>
      <c r="E300" s="657"/>
      <c r="F300" s="658"/>
      <c r="G300" s="659"/>
      <c r="H300" s="660"/>
      <c r="I300" s="659"/>
      <c r="J300" s="661"/>
      <c r="K300" s="658"/>
      <c r="L300" s="658"/>
      <c r="M300" s="658"/>
      <c r="N300" s="1025"/>
      <c r="O300" s="653"/>
      <c r="P300" s="654"/>
      <c r="Q300" s="1030"/>
      <c r="R300" s="661"/>
      <c r="S300" s="705"/>
      <c r="T300" s="659"/>
      <c r="U300" s="661"/>
      <c r="V300" s="660"/>
      <c r="W300" s="691"/>
      <c r="X300" s="661"/>
      <c r="Y300" s="661"/>
    </row>
    <row r="301">
      <c r="A301" s="653"/>
      <c r="B301" s="654"/>
      <c r="C301" s="655"/>
      <c r="D301" s="656"/>
      <c r="E301" s="657"/>
      <c r="F301" s="658"/>
      <c r="G301" s="659"/>
      <c r="H301" s="660"/>
      <c r="I301" s="659"/>
      <c r="J301" s="661"/>
      <c r="K301" s="658"/>
      <c r="L301" s="658"/>
      <c r="M301" s="658"/>
      <c r="N301" s="1025"/>
      <c r="O301" s="653"/>
      <c r="P301" s="654"/>
      <c r="Q301" s="1030"/>
      <c r="R301" s="661"/>
      <c r="S301" s="705"/>
      <c r="T301" s="659"/>
      <c r="U301" s="661"/>
      <c r="V301" s="660"/>
      <c r="W301" s="691"/>
      <c r="X301" s="661"/>
      <c r="Y301" s="661"/>
    </row>
    <row r="302">
      <c r="A302" s="653"/>
      <c r="B302" s="654"/>
      <c r="C302" s="655"/>
      <c r="D302" s="656"/>
      <c r="E302" s="657"/>
      <c r="F302" s="658"/>
      <c r="G302" s="659"/>
      <c r="H302" s="660"/>
      <c r="I302" s="659"/>
      <c r="J302" s="661"/>
      <c r="K302" s="658"/>
      <c r="L302" s="658"/>
      <c r="M302" s="658"/>
      <c r="N302" s="1025"/>
      <c r="O302" s="653"/>
      <c r="P302" s="654"/>
      <c r="Q302" s="1030"/>
      <c r="R302" s="661"/>
      <c r="S302" s="705"/>
      <c r="T302" s="659"/>
      <c r="U302" s="661"/>
      <c r="V302" s="660"/>
      <c r="W302" s="691"/>
      <c r="X302" s="661"/>
      <c r="Y302" s="661"/>
    </row>
    <row r="303">
      <c r="A303" s="653"/>
      <c r="B303" s="654"/>
      <c r="C303" s="655"/>
      <c r="D303" s="656"/>
      <c r="E303" s="657"/>
      <c r="F303" s="658"/>
      <c r="G303" s="659"/>
      <c r="H303" s="660"/>
      <c r="I303" s="659"/>
      <c r="J303" s="661"/>
      <c r="K303" s="658"/>
      <c r="L303" s="658"/>
      <c r="M303" s="658"/>
      <c r="N303" s="1025"/>
      <c r="O303" s="653"/>
      <c r="P303" s="654"/>
      <c r="Q303" s="1030"/>
      <c r="R303" s="661"/>
      <c r="S303" s="705"/>
      <c r="T303" s="659"/>
      <c r="U303" s="661"/>
      <c r="V303" s="660"/>
      <c r="W303" s="691"/>
      <c r="X303" s="661"/>
      <c r="Y303" s="661"/>
    </row>
    <row r="304">
      <c r="A304" s="653"/>
      <c r="B304" s="654"/>
      <c r="C304" s="655"/>
      <c r="D304" s="656"/>
      <c r="E304" s="657"/>
      <c r="F304" s="658"/>
      <c r="G304" s="659"/>
      <c r="H304" s="660"/>
      <c r="I304" s="659"/>
      <c r="J304" s="661"/>
      <c r="K304" s="658"/>
      <c r="L304" s="658"/>
      <c r="M304" s="658"/>
      <c r="N304" s="1025"/>
      <c r="O304" s="653"/>
      <c r="P304" s="654"/>
      <c r="Q304" s="1030"/>
      <c r="R304" s="661"/>
      <c r="S304" s="705"/>
      <c r="T304" s="659"/>
      <c r="U304" s="661"/>
      <c r="V304" s="660"/>
      <c r="W304" s="691"/>
      <c r="X304" s="661"/>
      <c r="Y304" s="661"/>
    </row>
    <row r="305">
      <c r="A305" s="653"/>
      <c r="B305" s="654"/>
      <c r="C305" s="655"/>
      <c r="D305" s="656"/>
      <c r="E305" s="657"/>
      <c r="F305" s="658"/>
      <c r="G305" s="659"/>
      <c r="H305" s="660"/>
      <c r="I305" s="659"/>
      <c r="J305" s="661"/>
      <c r="K305" s="658"/>
      <c r="L305" s="658"/>
      <c r="M305" s="658"/>
      <c r="N305" s="1025"/>
      <c r="O305" s="653"/>
      <c r="P305" s="654"/>
      <c r="Q305" s="1030"/>
      <c r="R305" s="661"/>
      <c r="S305" s="705"/>
      <c r="T305" s="659"/>
      <c r="U305" s="661"/>
      <c r="V305" s="660"/>
      <c r="W305" s="691"/>
      <c r="X305" s="661"/>
      <c r="Y305" s="661"/>
    </row>
    <row r="306">
      <c r="A306" s="653"/>
      <c r="B306" s="654"/>
      <c r="C306" s="655"/>
      <c r="D306" s="656"/>
      <c r="E306" s="657"/>
      <c r="F306" s="658"/>
      <c r="G306" s="659"/>
      <c r="H306" s="660"/>
      <c r="I306" s="659"/>
      <c r="J306" s="661"/>
      <c r="K306" s="658"/>
      <c r="L306" s="658"/>
      <c r="M306" s="658"/>
      <c r="N306" s="1025"/>
      <c r="O306" s="653"/>
      <c r="P306" s="654"/>
      <c r="Q306" s="1030"/>
      <c r="R306" s="661"/>
      <c r="S306" s="705"/>
      <c r="T306" s="659"/>
      <c r="U306" s="661"/>
      <c r="V306" s="660"/>
      <c r="W306" s="691"/>
      <c r="X306" s="661"/>
      <c r="Y306" s="661"/>
    </row>
    <row r="307">
      <c r="A307" s="653"/>
      <c r="B307" s="654"/>
      <c r="C307" s="655"/>
      <c r="D307" s="656"/>
      <c r="E307" s="657"/>
      <c r="F307" s="658"/>
      <c r="G307" s="659"/>
      <c r="H307" s="660"/>
      <c r="I307" s="659"/>
      <c r="J307" s="661"/>
      <c r="K307" s="658"/>
      <c r="L307" s="658"/>
      <c r="M307" s="658"/>
      <c r="N307" s="1025"/>
      <c r="O307" s="653"/>
      <c r="P307" s="654"/>
      <c r="Q307" s="1030"/>
      <c r="R307" s="661"/>
      <c r="S307" s="705"/>
      <c r="T307" s="659"/>
      <c r="U307" s="661"/>
      <c r="V307" s="660"/>
      <c r="W307" s="691"/>
      <c r="X307" s="661"/>
      <c r="Y307" s="661"/>
    </row>
    <row r="308">
      <c r="A308" s="653"/>
      <c r="B308" s="654"/>
      <c r="C308" s="655"/>
      <c r="D308" s="656"/>
      <c r="E308" s="657"/>
      <c r="F308" s="658"/>
      <c r="G308" s="659"/>
      <c r="H308" s="660"/>
      <c r="I308" s="659"/>
      <c r="J308" s="661"/>
      <c r="K308" s="658"/>
      <c r="L308" s="658"/>
      <c r="M308" s="658"/>
      <c r="N308" s="1025"/>
      <c r="O308" s="653"/>
      <c r="P308" s="654"/>
      <c r="Q308" s="1030"/>
      <c r="R308" s="661"/>
      <c r="S308" s="705"/>
      <c r="T308" s="659"/>
      <c r="U308" s="661"/>
      <c r="V308" s="660"/>
      <c r="W308" s="691"/>
      <c r="X308" s="661"/>
      <c r="Y308" s="661"/>
    </row>
    <row r="309">
      <c r="A309" s="653"/>
      <c r="B309" s="654"/>
      <c r="C309" s="655"/>
      <c r="D309" s="656"/>
      <c r="E309" s="657"/>
      <c r="F309" s="658"/>
      <c r="G309" s="659"/>
      <c r="H309" s="660"/>
      <c r="I309" s="659"/>
      <c r="J309" s="661"/>
      <c r="K309" s="658"/>
      <c r="L309" s="658"/>
      <c r="M309" s="658"/>
      <c r="N309" s="1025"/>
      <c r="O309" s="653"/>
      <c r="P309" s="654"/>
      <c r="Q309" s="1030"/>
      <c r="R309" s="661"/>
      <c r="S309" s="705"/>
      <c r="T309" s="659"/>
      <c r="U309" s="661"/>
      <c r="V309" s="660"/>
      <c r="W309" s="691"/>
      <c r="X309" s="661"/>
      <c r="Y309" s="661"/>
    </row>
    <row r="310">
      <c r="A310" s="653"/>
      <c r="B310" s="654"/>
      <c r="C310" s="655"/>
      <c r="D310" s="656"/>
      <c r="E310" s="657"/>
      <c r="F310" s="658"/>
      <c r="G310" s="659"/>
      <c r="H310" s="660"/>
      <c r="I310" s="659"/>
      <c r="J310" s="661"/>
      <c r="K310" s="658"/>
      <c r="L310" s="658"/>
      <c r="M310" s="658"/>
      <c r="N310" s="1025"/>
      <c r="O310" s="653"/>
      <c r="P310" s="654"/>
      <c r="Q310" s="1030"/>
      <c r="R310" s="661"/>
      <c r="S310" s="705"/>
      <c r="T310" s="659"/>
      <c r="U310" s="661"/>
      <c r="V310" s="660"/>
      <c r="W310" s="691"/>
      <c r="X310" s="661"/>
      <c r="Y310" s="661"/>
    </row>
    <row r="311">
      <c r="A311" s="653"/>
      <c r="B311" s="654"/>
      <c r="C311" s="655"/>
      <c r="D311" s="656"/>
      <c r="E311" s="657"/>
      <c r="F311" s="658"/>
      <c r="G311" s="659"/>
      <c r="H311" s="660"/>
      <c r="I311" s="659"/>
      <c r="J311" s="661"/>
      <c r="K311" s="658"/>
      <c r="L311" s="658"/>
      <c r="M311" s="658"/>
      <c r="N311" s="1025"/>
      <c r="O311" s="653"/>
      <c r="P311" s="654"/>
      <c r="Q311" s="1030"/>
      <c r="R311" s="661"/>
      <c r="S311" s="705"/>
      <c r="T311" s="659"/>
      <c r="U311" s="661"/>
      <c r="V311" s="660"/>
      <c r="W311" s="691"/>
      <c r="X311" s="661"/>
      <c r="Y311" s="661"/>
    </row>
    <row r="312">
      <c r="A312" s="653"/>
      <c r="B312" s="654"/>
      <c r="C312" s="655"/>
      <c r="D312" s="656"/>
      <c r="E312" s="657"/>
      <c r="F312" s="658"/>
      <c r="G312" s="659"/>
      <c r="H312" s="660"/>
      <c r="I312" s="659"/>
      <c r="J312" s="661"/>
      <c r="K312" s="658"/>
      <c r="L312" s="658"/>
      <c r="M312" s="658"/>
      <c r="N312" s="1025"/>
      <c r="O312" s="653"/>
      <c r="P312" s="654"/>
      <c r="Q312" s="1030"/>
      <c r="R312" s="661"/>
      <c r="S312" s="705"/>
      <c r="T312" s="659"/>
      <c r="U312" s="661"/>
      <c r="V312" s="660"/>
      <c r="W312" s="691"/>
      <c r="X312" s="661"/>
      <c r="Y312" s="661"/>
    </row>
    <row r="313">
      <c r="A313" s="653"/>
      <c r="B313" s="654"/>
      <c r="C313" s="655"/>
      <c r="D313" s="656"/>
      <c r="E313" s="657"/>
      <c r="F313" s="658"/>
      <c r="G313" s="659"/>
      <c r="H313" s="660"/>
      <c r="I313" s="659"/>
      <c r="J313" s="661"/>
      <c r="K313" s="658"/>
      <c r="L313" s="658"/>
      <c r="M313" s="658"/>
      <c r="N313" s="1025"/>
      <c r="O313" s="653"/>
      <c r="P313" s="654"/>
      <c r="Q313" s="1030"/>
      <c r="R313" s="661"/>
      <c r="S313" s="705"/>
      <c r="T313" s="659"/>
      <c r="U313" s="661"/>
      <c r="V313" s="660"/>
      <c r="W313" s="691"/>
      <c r="X313" s="661"/>
      <c r="Y313" s="661"/>
    </row>
    <row r="314">
      <c r="A314" s="653"/>
      <c r="B314" s="654"/>
      <c r="C314" s="655"/>
      <c r="D314" s="656"/>
      <c r="E314" s="657"/>
      <c r="F314" s="658"/>
      <c r="G314" s="659"/>
      <c r="H314" s="660"/>
      <c r="I314" s="659"/>
      <c r="J314" s="661"/>
      <c r="K314" s="658"/>
      <c r="L314" s="658"/>
      <c r="M314" s="658"/>
      <c r="N314" s="1025"/>
      <c r="O314" s="653"/>
      <c r="P314" s="654"/>
      <c r="Q314" s="1030"/>
      <c r="R314" s="661"/>
      <c r="S314" s="705"/>
      <c r="T314" s="659"/>
      <c r="U314" s="661"/>
      <c r="V314" s="660"/>
      <c r="W314" s="691"/>
      <c r="X314" s="661"/>
      <c r="Y314" s="661"/>
    </row>
    <row r="315">
      <c r="A315" s="653"/>
      <c r="B315" s="654"/>
      <c r="C315" s="655"/>
      <c r="D315" s="656"/>
      <c r="E315" s="657"/>
      <c r="F315" s="658"/>
      <c r="G315" s="659"/>
      <c r="H315" s="660"/>
      <c r="I315" s="659"/>
      <c r="J315" s="661"/>
      <c r="K315" s="658"/>
      <c r="L315" s="658"/>
      <c r="M315" s="658"/>
      <c r="N315" s="1025"/>
      <c r="O315" s="653"/>
      <c r="P315" s="654"/>
      <c r="Q315" s="1030"/>
      <c r="R315" s="661"/>
      <c r="S315" s="705"/>
      <c r="T315" s="659"/>
      <c r="U315" s="661"/>
      <c r="V315" s="660"/>
      <c r="W315" s="691"/>
      <c r="X315" s="661"/>
      <c r="Y315" s="661"/>
    </row>
    <row r="316">
      <c r="A316" s="653"/>
      <c r="B316" s="654"/>
      <c r="C316" s="655"/>
      <c r="D316" s="656"/>
      <c r="E316" s="657"/>
      <c r="F316" s="658"/>
      <c r="G316" s="659"/>
      <c r="H316" s="660"/>
      <c r="I316" s="659"/>
      <c r="J316" s="661"/>
      <c r="K316" s="658"/>
      <c r="L316" s="658"/>
      <c r="M316" s="658"/>
      <c r="N316" s="1025"/>
      <c r="O316" s="653"/>
      <c r="P316" s="654"/>
      <c r="Q316" s="1030"/>
      <c r="R316" s="661"/>
      <c r="S316" s="705"/>
      <c r="T316" s="659"/>
      <c r="U316" s="661"/>
      <c r="V316" s="660"/>
      <c r="W316" s="691"/>
      <c r="X316" s="661"/>
      <c r="Y316" s="661"/>
    </row>
    <row r="317">
      <c r="A317" s="653"/>
      <c r="B317" s="654"/>
      <c r="C317" s="655"/>
      <c r="D317" s="656"/>
      <c r="E317" s="657"/>
      <c r="F317" s="658"/>
      <c r="G317" s="659"/>
      <c r="H317" s="660"/>
      <c r="I317" s="659"/>
      <c r="J317" s="661"/>
      <c r="K317" s="658"/>
      <c r="L317" s="658"/>
      <c r="M317" s="658"/>
      <c r="N317" s="1025"/>
      <c r="O317" s="653"/>
      <c r="P317" s="654"/>
      <c r="Q317" s="1030"/>
      <c r="R317" s="661"/>
      <c r="S317" s="705"/>
      <c r="T317" s="659"/>
      <c r="U317" s="661"/>
      <c r="V317" s="660"/>
      <c r="W317" s="691"/>
      <c r="X317" s="661"/>
      <c r="Y317" s="661"/>
    </row>
    <row r="318">
      <c r="A318" s="653"/>
      <c r="B318" s="654"/>
      <c r="C318" s="655"/>
      <c r="D318" s="656"/>
      <c r="E318" s="657"/>
      <c r="F318" s="658"/>
      <c r="G318" s="659"/>
      <c r="H318" s="660"/>
      <c r="I318" s="659"/>
      <c r="J318" s="661"/>
      <c r="K318" s="658"/>
      <c r="L318" s="658"/>
      <c r="M318" s="658"/>
      <c r="N318" s="1025"/>
      <c r="O318" s="653"/>
      <c r="P318" s="654"/>
      <c r="Q318" s="1030"/>
      <c r="R318" s="661"/>
      <c r="S318" s="705"/>
      <c r="T318" s="659"/>
      <c r="U318" s="661"/>
      <c r="V318" s="660"/>
      <c r="W318" s="691"/>
      <c r="X318" s="661"/>
      <c r="Y318" s="661"/>
    </row>
    <row r="319">
      <c r="A319" s="653"/>
      <c r="B319" s="654"/>
      <c r="C319" s="655"/>
      <c r="D319" s="656"/>
      <c r="E319" s="657"/>
      <c r="F319" s="658"/>
      <c r="G319" s="659"/>
      <c r="H319" s="660"/>
      <c r="I319" s="659"/>
      <c r="J319" s="661"/>
      <c r="K319" s="658"/>
      <c r="L319" s="658"/>
      <c r="M319" s="658"/>
      <c r="N319" s="1025"/>
      <c r="O319" s="653"/>
      <c r="P319" s="654"/>
      <c r="Q319" s="1030"/>
      <c r="R319" s="661"/>
      <c r="S319" s="705"/>
      <c r="T319" s="659"/>
      <c r="U319" s="661"/>
      <c r="V319" s="660"/>
      <c r="W319" s="691"/>
      <c r="X319" s="661"/>
      <c r="Y319" s="661"/>
    </row>
    <row r="320">
      <c r="A320" s="653"/>
      <c r="B320" s="654"/>
      <c r="C320" s="655"/>
      <c r="D320" s="656"/>
      <c r="E320" s="657"/>
      <c r="F320" s="658"/>
      <c r="G320" s="659"/>
      <c r="H320" s="660"/>
      <c r="I320" s="659"/>
      <c r="J320" s="661"/>
      <c r="K320" s="658"/>
      <c r="L320" s="658"/>
      <c r="M320" s="658"/>
      <c r="N320" s="1025"/>
      <c r="O320" s="653"/>
      <c r="P320" s="654"/>
      <c r="Q320" s="1030"/>
      <c r="R320" s="661"/>
      <c r="S320" s="705"/>
      <c r="T320" s="659"/>
      <c r="U320" s="661"/>
      <c r="V320" s="660"/>
      <c r="W320" s="691"/>
      <c r="X320" s="661"/>
      <c r="Y320" s="661"/>
    </row>
    <row r="321">
      <c r="A321" s="653"/>
      <c r="B321" s="654"/>
      <c r="C321" s="655"/>
      <c r="D321" s="656"/>
      <c r="E321" s="657"/>
      <c r="F321" s="658"/>
      <c r="G321" s="659"/>
      <c r="H321" s="660"/>
      <c r="I321" s="659"/>
      <c r="J321" s="661"/>
      <c r="K321" s="658"/>
      <c r="L321" s="658"/>
      <c r="M321" s="658"/>
      <c r="N321" s="1025"/>
      <c r="O321" s="653"/>
      <c r="P321" s="654"/>
      <c r="Q321" s="1030"/>
      <c r="R321" s="661"/>
      <c r="S321" s="705"/>
      <c r="T321" s="659"/>
      <c r="U321" s="661"/>
      <c r="V321" s="660"/>
      <c r="W321" s="691"/>
      <c r="X321" s="661"/>
      <c r="Y321" s="661"/>
    </row>
    <row r="322">
      <c r="A322" s="653"/>
      <c r="B322" s="654"/>
      <c r="C322" s="655"/>
      <c r="D322" s="656"/>
      <c r="E322" s="657"/>
      <c r="F322" s="658"/>
      <c r="G322" s="659"/>
      <c r="H322" s="660"/>
      <c r="I322" s="659"/>
      <c r="J322" s="661"/>
      <c r="K322" s="658"/>
      <c r="L322" s="658"/>
      <c r="M322" s="658"/>
      <c r="N322" s="1025"/>
      <c r="O322" s="653"/>
      <c r="P322" s="654"/>
      <c r="Q322" s="1030"/>
      <c r="R322" s="661"/>
      <c r="S322" s="705"/>
      <c r="T322" s="659"/>
      <c r="U322" s="661"/>
      <c r="V322" s="660"/>
      <c r="W322" s="691"/>
      <c r="X322" s="661"/>
      <c r="Y322" s="661"/>
    </row>
    <row r="323">
      <c r="A323" s="653"/>
      <c r="B323" s="654"/>
      <c r="C323" s="655"/>
      <c r="D323" s="656"/>
      <c r="E323" s="657"/>
      <c r="F323" s="658"/>
      <c r="G323" s="659"/>
      <c r="H323" s="660"/>
      <c r="I323" s="659"/>
      <c r="J323" s="661"/>
      <c r="K323" s="658"/>
      <c r="L323" s="658"/>
      <c r="M323" s="658"/>
      <c r="N323" s="1025"/>
      <c r="O323" s="653"/>
      <c r="P323" s="654"/>
      <c r="Q323" s="1030"/>
      <c r="R323" s="661"/>
      <c r="S323" s="705"/>
      <c r="T323" s="659"/>
      <c r="U323" s="661"/>
      <c r="V323" s="660"/>
      <c r="W323" s="691"/>
      <c r="X323" s="661"/>
      <c r="Y323" s="661"/>
    </row>
    <row r="324">
      <c r="A324" s="653"/>
      <c r="B324" s="654"/>
      <c r="C324" s="655"/>
      <c r="D324" s="656"/>
      <c r="E324" s="657"/>
      <c r="F324" s="658"/>
      <c r="G324" s="659"/>
      <c r="H324" s="660"/>
      <c r="I324" s="659"/>
      <c r="J324" s="661"/>
      <c r="K324" s="658"/>
      <c r="L324" s="658"/>
      <c r="M324" s="658"/>
      <c r="N324" s="1025"/>
      <c r="O324" s="653"/>
      <c r="P324" s="654"/>
      <c r="Q324" s="1030"/>
      <c r="R324" s="661"/>
      <c r="S324" s="705"/>
      <c r="T324" s="659"/>
      <c r="U324" s="661"/>
      <c r="V324" s="660"/>
      <c r="W324" s="691"/>
      <c r="X324" s="661"/>
      <c r="Y324" s="661"/>
    </row>
    <row r="325">
      <c r="A325" s="653"/>
      <c r="B325" s="654"/>
      <c r="C325" s="655"/>
      <c r="D325" s="656"/>
      <c r="E325" s="657"/>
      <c r="F325" s="658"/>
      <c r="G325" s="659"/>
      <c r="H325" s="660"/>
      <c r="I325" s="659"/>
      <c r="J325" s="661"/>
      <c r="K325" s="658"/>
      <c r="L325" s="658"/>
      <c r="M325" s="658"/>
      <c r="N325" s="1025"/>
      <c r="O325" s="653"/>
      <c r="P325" s="654"/>
      <c r="Q325" s="1030"/>
      <c r="R325" s="661"/>
      <c r="S325" s="705"/>
      <c r="T325" s="659"/>
      <c r="U325" s="661"/>
      <c r="V325" s="660"/>
      <c r="W325" s="691"/>
      <c r="X325" s="661"/>
      <c r="Y325" s="661"/>
    </row>
    <row r="326">
      <c r="A326" s="653"/>
      <c r="B326" s="654"/>
      <c r="C326" s="655"/>
      <c r="D326" s="656"/>
      <c r="E326" s="657"/>
      <c r="F326" s="658"/>
      <c r="G326" s="659"/>
      <c r="H326" s="660"/>
      <c r="I326" s="659"/>
      <c r="J326" s="661"/>
      <c r="K326" s="658"/>
      <c r="L326" s="658"/>
      <c r="M326" s="658"/>
      <c r="N326" s="1025"/>
      <c r="O326" s="653"/>
      <c r="P326" s="654"/>
      <c r="Q326" s="1030"/>
      <c r="R326" s="661"/>
      <c r="S326" s="705"/>
      <c r="T326" s="659"/>
      <c r="U326" s="661"/>
      <c r="V326" s="660"/>
      <c r="W326" s="691"/>
      <c r="X326" s="661"/>
      <c r="Y326" s="661"/>
    </row>
    <row r="327">
      <c r="A327" s="653"/>
      <c r="B327" s="654"/>
      <c r="C327" s="655"/>
      <c r="D327" s="656"/>
      <c r="E327" s="657"/>
      <c r="F327" s="658"/>
      <c r="G327" s="659"/>
      <c r="H327" s="660"/>
      <c r="I327" s="659"/>
      <c r="J327" s="661"/>
      <c r="K327" s="658"/>
      <c r="L327" s="658"/>
      <c r="M327" s="658"/>
      <c r="N327" s="1025"/>
      <c r="O327" s="653"/>
      <c r="P327" s="654"/>
      <c r="Q327" s="1030"/>
      <c r="R327" s="661"/>
      <c r="S327" s="705"/>
      <c r="T327" s="659"/>
      <c r="U327" s="661"/>
      <c r="V327" s="660"/>
      <c r="W327" s="691"/>
      <c r="X327" s="661"/>
      <c r="Y327" s="661"/>
    </row>
    <row r="328">
      <c r="A328" s="653"/>
      <c r="B328" s="654"/>
      <c r="C328" s="655"/>
      <c r="D328" s="656"/>
      <c r="E328" s="657"/>
      <c r="F328" s="658"/>
      <c r="G328" s="659"/>
      <c r="H328" s="660"/>
      <c r="I328" s="659"/>
      <c r="J328" s="661"/>
      <c r="K328" s="658"/>
      <c r="L328" s="658"/>
      <c r="M328" s="658"/>
      <c r="N328" s="1025"/>
      <c r="O328" s="653"/>
      <c r="P328" s="654"/>
      <c r="Q328" s="1030"/>
      <c r="R328" s="661"/>
      <c r="S328" s="705"/>
      <c r="T328" s="659"/>
      <c r="U328" s="661"/>
      <c r="V328" s="660"/>
      <c r="W328" s="691"/>
      <c r="X328" s="661"/>
      <c r="Y328" s="661"/>
    </row>
    <row r="329">
      <c r="A329" s="653"/>
      <c r="B329" s="654"/>
      <c r="C329" s="655"/>
      <c r="D329" s="656"/>
      <c r="E329" s="657"/>
      <c r="F329" s="658"/>
      <c r="G329" s="659"/>
      <c r="H329" s="660"/>
      <c r="I329" s="659"/>
      <c r="J329" s="661"/>
      <c r="K329" s="658"/>
      <c r="L329" s="658"/>
      <c r="M329" s="658"/>
      <c r="N329" s="1025"/>
      <c r="O329" s="653"/>
      <c r="P329" s="654"/>
      <c r="Q329" s="1030"/>
      <c r="R329" s="661"/>
      <c r="S329" s="705"/>
      <c r="T329" s="659"/>
      <c r="U329" s="661"/>
      <c r="V329" s="660"/>
      <c r="W329" s="691"/>
      <c r="X329" s="661"/>
      <c r="Y329" s="661"/>
    </row>
    <row r="330">
      <c r="A330" s="653"/>
      <c r="B330" s="654"/>
      <c r="C330" s="655"/>
      <c r="D330" s="656"/>
      <c r="E330" s="657"/>
      <c r="F330" s="658"/>
      <c r="G330" s="659"/>
      <c r="H330" s="660"/>
      <c r="I330" s="659"/>
      <c r="J330" s="661"/>
      <c r="K330" s="658"/>
      <c r="L330" s="658"/>
      <c r="M330" s="658"/>
      <c r="N330" s="1025"/>
      <c r="O330" s="653"/>
      <c r="P330" s="654"/>
      <c r="Q330" s="1030"/>
      <c r="R330" s="661"/>
      <c r="S330" s="705"/>
      <c r="T330" s="659"/>
      <c r="U330" s="661"/>
      <c r="V330" s="660"/>
      <c r="W330" s="691"/>
      <c r="X330" s="661"/>
      <c r="Y330" s="661"/>
    </row>
    <row r="331">
      <c r="A331" s="653"/>
      <c r="B331" s="654"/>
      <c r="C331" s="655"/>
      <c r="D331" s="656"/>
      <c r="E331" s="657"/>
      <c r="F331" s="658"/>
      <c r="G331" s="659"/>
      <c r="H331" s="660"/>
      <c r="I331" s="659"/>
      <c r="J331" s="661"/>
      <c r="K331" s="658"/>
      <c r="L331" s="658"/>
      <c r="M331" s="658"/>
      <c r="N331" s="1025"/>
      <c r="O331" s="653"/>
      <c r="P331" s="654"/>
      <c r="Q331" s="1030"/>
      <c r="R331" s="661"/>
      <c r="S331" s="705"/>
      <c r="T331" s="659"/>
      <c r="U331" s="661"/>
      <c r="V331" s="660"/>
      <c r="W331" s="691"/>
      <c r="X331" s="661"/>
      <c r="Y331" s="661"/>
    </row>
    <row r="332">
      <c r="A332" s="653"/>
      <c r="B332" s="654"/>
      <c r="C332" s="655"/>
      <c r="D332" s="656"/>
      <c r="E332" s="657"/>
      <c r="F332" s="658"/>
      <c r="G332" s="659"/>
      <c r="H332" s="660"/>
      <c r="I332" s="659"/>
      <c r="J332" s="661"/>
      <c r="K332" s="658"/>
      <c r="L332" s="658"/>
      <c r="M332" s="658"/>
      <c r="N332" s="1025"/>
      <c r="O332" s="653"/>
      <c r="P332" s="654"/>
      <c r="Q332" s="1030"/>
      <c r="R332" s="661"/>
      <c r="S332" s="705"/>
      <c r="T332" s="659"/>
      <c r="U332" s="661"/>
      <c r="V332" s="660"/>
      <c r="W332" s="691"/>
      <c r="X332" s="661"/>
      <c r="Y332" s="661"/>
    </row>
    <row r="333">
      <c r="A333" s="653"/>
      <c r="B333" s="654"/>
      <c r="C333" s="655"/>
      <c r="D333" s="656"/>
      <c r="E333" s="657"/>
      <c r="F333" s="658"/>
      <c r="G333" s="659"/>
      <c r="H333" s="660"/>
      <c r="I333" s="659"/>
      <c r="J333" s="661"/>
      <c r="K333" s="658"/>
      <c r="L333" s="658"/>
      <c r="M333" s="658"/>
      <c r="N333" s="1025"/>
      <c r="O333" s="653"/>
      <c r="P333" s="654"/>
      <c r="Q333" s="1030"/>
      <c r="R333" s="661"/>
      <c r="S333" s="705"/>
      <c r="T333" s="659"/>
      <c r="U333" s="661"/>
      <c r="V333" s="660"/>
      <c r="W333" s="691"/>
      <c r="X333" s="661"/>
      <c r="Y333" s="661"/>
    </row>
    <row r="334">
      <c r="A334" s="653"/>
      <c r="B334" s="654"/>
      <c r="C334" s="655"/>
      <c r="D334" s="656"/>
      <c r="E334" s="657"/>
      <c r="F334" s="658"/>
      <c r="G334" s="659"/>
      <c r="H334" s="660"/>
      <c r="I334" s="659"/>
      <c r="J334" s="661"/>
      <c r="K334" s="658"/>
      <c r="L334" s="658"/>
      <c r="M334" s="658"/>
      <c r="N334" s="1025"/>
      <c r="O334" s="653"/>
      <c r="P334" s="654"/>
      <c r="Q334" s="1030"/>
      <c r="R334" s="661"/>
      <c r="S334" s="705"/>
      <c r="T334" s="659"/>
      <c r="U334" s="661"/>
      <c r="V334" s="660"/>
      <c r="W334" s="691"/>
      <c r="X334" s="661"/>
      <c r="Y334" s="661"/>
    </row>
    <row r="335">
      <c r="A335" s="653"/>
      <c r="B335" s="654"/>
      <c r="C335" s="655"/>
      <c r="D335" s="656"/>
      <c r="E335" s="657"/>
      <c r="F335" s="658"/>
      <c r="G335" s="659"/>
      <c r="H335" s="660"/>
      <c r="I335" s="659"/>
      <c r="J335" s="661"/>
      <c r="K335" s="658"/>
      <c r="L335" s="658"/>
      <c r="M335" s="658"/>
      <c r="N335" s="1025"/>
      <c r="O335" s="653"/>
      <c r="P335" s="654"/>
      <c r="Q335" s="1030"/>
      <c r="R335" s="661"/>
      <c r="S335" s="705"/>
      <c r="T335" s="659"/>
      <c r="U335" s="661"/>
      <c r="V335" s="660"/>
      <c r="W335" s="691"/>
      <c r="X335" s="661"/>
      <c r="Y335" s="661"/>
    </row>
    <row r="336">
      <c r="A336" s="653"/>
      <c r="B336" s="654"/>
      <c r="C336" s="655"/>
      <c r="D336" s="656"/>
      <c r="E336" s="657"/>
      <c r="F336" s="658"/>
      <c r="G336" s="659"/>
      <c r="H336" s="660"/>
      <c r="I336" s="659"/>
      <c r="J336" s="661"/>
      <c r="K336" s="658"/>
      <c r="L336" s="658"/>
      <c r="M336" s="658"/>
      <c r="N336" s="1025"/>
      <c r="O336" s="653"/>
      <c r="P336" s="654"/>
      <c r="Q336" s="1030"/>
      <c r="R336" s="661"/>
      <c r="S336" s="705"/>
      <c r="T336" s="659"/>
      <c r="U336" s="661"/>
      <c r="V336" s="660"/>
      <c r="W336" s="691"/>
      <c r="X336" s="661"/>
      <c r="Y336" s="661"/>
    </row>
    <row r="337">
      <c r="A337" s="653"/>
      <c r="B337" s="654"/>
      <c r="C337" s="655"/>
      <c r="D337" s="656"/>
      <c r="E337" s="657"/>
      <c r="F337" s="658"/>
      <c r="G337" s="659"/>
      <c r="H337" s="660"/>
      <c r="I337" s="659"/>
      <c r="J337" s="661"/>
      <c r="K337" s="658"/>
      <c r="L337" s="658"/>
      <c r="M337" s="658"/>
      <c r="N337" s="1025"/>
      <c r="O337" s="653"/>
      <c r="P337" s="654"/>
      <c r="Q337" s="1030"/>
      <c r="R337" s="661"/>
      <c r="S337" s="705"/>
      <c r="T337" s="659"/>
      <c r="U337" s="661"/>
      <c r="V337" s="660"/>
      <c r="W337" s="691"/>
      <c r="X337" s="661"/>
      <c r="Y337" s="661"/>
    </row>
    <row r="338">
      <c r="A338" s="653"/>
      <c r="B338" s="654"/>
      <c r="C338" s="655"/>
      <c r="D338" s="656"/>
      <c r="E338" s="657"/>
      <c r="F338" s="658"/>
      <c r="G338" s="659"/>
      <c r="H338" s="660"/>
      <c r="I338" s="659"/>
      <c r="J338" s="661"/>
      <c r="K338" s="658"/>
      <c r="L338" s="658"/>
      <c r="M338" s="658"/>
      <c r="N338" s="1025"/>
      <c r="O338" s="653"/>
      <c r="P338" s="654"/>
      <c r="Q338" s="1030"/>
      <c r="R338" s="661"/>
      <c r="S338" s="705"/>
      <c r="T338" s="659"/>
      <c r="U338" s="661"/>
      <c r="V338" s="660"/>
      <c r="W338" s="691"/>
      <c r="X338" s="661"/>
      <c r="Y338" s="661"/>
    </row>
    <row r="339">
      <c r="A339" s="653"/>
      <c r="B339" s="654"/>
      <c r="C339" s="655"/>
      <c r="D339" s="656"/>
      <c r="E339" s="657"/>
      <c r="F339" s="658"/>
      <c r="G339" s="659"/>
      <c r="H339" s="660"/>
      <c r="I339" s="659"/>
      <c r="J339" s="661"/>
      <c r="K339" s="658"/>
      <c r="L339" s="658"/>
      <c r="M339" s="658"/>
      <c r="N339" s="1025"/>
      <c r="O339" s="653"/>
      <c r="P339" s="654"/>
      <c r="Q339" s="1030"/>
      <c r="R339" s="661"/>
      <c r="S339" s="705"/>
      <c r="T339" s="659"/>
      <c r="U339" s="661"/>
      <c r="V339" s="660"/>
      <c r="W339" s="691"/>
      <c r="X339" s="661"/>
      <c r="Y339" s="661"/>
    </row>
    <row r="340">
      <c r="A340" s="653"/>
      <c r="B340" s="654"/>
      <c r="C340" s="655"/>
      <c r="D340" s="656"/>
      <c r="E340" s="657"/>
      <c r="F340" s="658"/>
      <c r="G340" s="659"/>
      <c r="H340" s="660"/>
      <c r="I340" s="659"/>
      <c r="J340" s="661"/>
      <c r="K340" s="658"/>
      <c r="L340" s="658"/>
      <c r="M340" s="658"/>
      <c r="N340" s="1025"/>
      <c r="O340" s="653"/>
      <c r="P340" s="654"/>
      <c r="Q340" s="1030"/>
      <c r="R340" s="661"/>
      <c r="S340" s="705"/>
      <c r="T340" s="659"/>
      <c r="U340" s="661"/>
      <c r="V340" s="660"/>
      <c r="W340" s="691"/>
      <c r="X340" s="661"/>
      <c r="Y340" s="661"/>
    </row>
    <row r="341">
      <c r="A341" s="653"/>
      <c r="B341" s="654"/>
      <c r="C341" s="655"/>
      <c r="D341" s="656"/>
      <c r="E341" s="657"/>
      <c r="F341" s="658"/>
      <c r="G341" s="659"/>
      <c r="H341" s="660"/>
      <c r="I341" s="659"/>
      <c r="J341" s="661"/>
      <c r="K341" s="658"/>
      <c r="L341" s="658"/>
      <c r="M341" s="658"/>
      <c r="N341" s="1025"/>
      <c r="O341" s="653"/>
      <c r="P341" s="654"/>
      <c r="Q341" s="1030"/>
      <c r="R341" s="661"/>
      <c r="S341" s="705"/>
      <c r="T341" s="659"/>
      <c r="U341" s="661"/>
      <c r="V341" s="660"/>
      <c r="W341" s="691"/>
      <c r="X341" s="661"/>
      <c r="Y341" s="661"/>
    </row>
    <row r="342">
      <c r="A342" s="653"/>
      <c r="B342" s="654"/>
      <c r="C342" s="655"/>
      <c r="D342" s="656"/>
      <c r="E342" s="657"/>
      <c r="F342" s="658"/>
      <c r="G342" s="659"/>
      <c r="H342" s="660"/>
      <c r="I342" s="659"/>
      <c r="J342" s="661"/>
      <c r="K342" s="658"/>
      <c r="L342" s="658"/>
      <c r="M342" s="658"/>
      <c r="N342" s="1025"/>
      <c r="O342" s="653"/>
      <c r="P342" s="654"/>
      <c r="Q342" s="1030"/>
      <c r="R342" s="661"/>
      <c r="S342" s="705"/>
      <c r="T342" s="659"/>
      <c r="U342" s="661"/>
      <c r="V342" s="660"/>
      <c r="W342" s="691"/>
      <c r="X342" s="661"/>
      <c r="Y342" s="661"/>
    </row>
    <row r="343">
      <c r="A343" s="653"/>
      <c r="B343" s="654"/>
      <c r="C343" s="655"/>
      <c r="D343" s="656"/>
      <c r="E343" s="657"/>
      <c r="F343" s="658"/>
      <c r="G343" s="659"/>
      <c r="H343" s="660"/>
      <c r="I343" s="659"/>
      <c r="J343" s="661"/>
      <c r="K343" s="658"/>
      <c r="L343" s="658"/>
      <c r="M343" s="658"/>
      <c r="N343" s="1025"/>
      <c r="O343" s="653"/>
      <c r="P343" s="654"/>
      <c r="Q343" s="1030"/>
      <c r="R343" s="661"/>
      <c r="S343" s="705"/>
      <c r="T343" s="659"/>
      <c r="U343" s="661"/>
      <c r="V343" s="660"/>
      <c r="W343" s="691"/>
      <c r="X343" s="661"/>
      <c r="Y343" s="661"/>
    </row>
    <row r="344">
      <c r="A344" s="653"/>
      <c r="B344" s="654"/>
      <c r="C344" s="655"/>
      <c r="D344" s="656"/>
      <c r="E344" s="657"/>
      <c r="F344" s="658"/>
      <c r="G344" s="659"/>
      <c r="H344" s="660"/>
      <c r="I344" s="659"/>
      <c r="J344" s="661"/>
      <c r="K344" s="658"/>
      <c r="L344" s="658"/>
      <c r="M344" s="658"/>
      <c r="N344" s="1025"/>
      <c r="O344" s="653"/>
      <c r="P344" s="654"/>
      <c r="Q344" s="1030"/>
      <c r="R344" s="661"/>
      <c r="S344" s="705"/>
      <c r="T344" s="659"/>
      <c r="U344" s="661"/>
      <c r="V344" s="660"/>
      <c r="W344" s="691"/>
      <c r="X344" s="661"/>
      <c r="Y344" s="661"/>
    </row>
    <row r="345">
      <c r="A345" s="653"/>
      <c r="B345" s="654"/>
      <c r="C345" s="655"/>
      <c r="D345" s="656"/>
      <c r="E345" s="657"/>
      <c r="F345" s="658"/>
      <c r="G345" s="659"/>
      <c r="H345" s="660"/>
      <c r="I345" s="659"/>
      <c r="J345" s="661"/>
      <c r="K345" s="658"/>
      <c r="L345" s="658"/>
      <c r="M345" s="658"/>
      <c r="N345" s="1025"/>
      <c r="O345" s="653"/>
      <c r="P345" s="654"/>
      <c r="Q345" s="1030"/>
      <c r="R345" s="661"/>
      <c r="S345" s="705"/>
      <c r="T345" s="659"/>
      <c r="U345" s="661"/>
      <c r="V345" s="660"/>
      <c r="W345" s="691"/>
      <c r="X345" s="661"/>
      <c r="Y345" s="661"/>
    </row>
    <row r="346">
      <c r="A346" s="653"/>
      <c r="B346" s="654"/>
      <c r="C346" s="655"/>
      <c r="D346" s="656"/>
      <c r="E346" s="657"/>
      <c r="F346" s="658"/>
      <c r="G346" s="659"/>
      <c r="H346" s="660"/>
      <c r="I346" s="659"/>
      <c r="J346" s="661"/>
      <c r="K346" s="658"/>
      <c r="L346" s="658"/>
      <c r="M346" s="658"/>
      <c r="N346" s="1025"/>
      <c r="O346" s="653"/>
      <c r="P346" s="654"/>
      <c r="Q346" s="1030"/>
      <c r="R346" s="661"/>
      <c r="S346" s="705"/>
      <c r="T346" s="659"/>
      <c r="U346" s="661"/>
      <c r="V346" s="660"/>
      <c r="W346" s="691"/>
      <c r="X346" s="661"/>
      <c r="Y346" s="661"/>
    </row>
    <row r="347">
      <c r="A347" s="653"/>
      <c r="B347" s="654"/>
      <c r="C347" s="655"/>
      <c r="D347" s="656"/>
      <c r="E347" s="657"/>
      <c r="F347" s="658"/>
      <c r="G347" s="659"/>
      <c r="H347" s="660"/>
      <c r="I347" s="659"/>
      <c r="J347" s="661"/>
      <c r="K347" s="658"/>
      <c r="L347" s="658"/>
      <c r="M347" s="658"/>
      <c r="N347" s="1025"/>
      <c r="O347" s="653"/>
      <c r="P347" s="654"/>
      <c r="Q347" s="1030"/>
      <c r="R347" s="661"/>
      <c r="S347" s="705"/>
      <c r="T347" s="659"/>
      <c r="U347" s="661"/>
      <c r="V347" s="660"/>
      <c r="W347" s="691"/>
      <c r="X347" s="661"/>
      <c r="Y347" s="661"/>
    </row>
    <row r="348">
      <c r="A348" s="653"/>
      <c r="B348" s="654"/>
      <c r="C348" s="655"/>
      <c r="D348" s="656"/>
      <c r="E348" s="657"/>
      <c r="F348" s="658"/>
      <c r="G348" s="659"/>
      <c r="H348" s="660"/>
      <c r="I348" s="659"/>
      <c r="J348" s="661"/>
      <c r="K348" s="658"/>
      <c r="L348" s="658"/>
      <c r="M348" s="658"/>
      <c r="N348" s="1025"/>
      <c r="O348" s="653"/>
      <c r="P348" s="654"/>
      <c r="Q348" s="1030"/>
      <c r="R348" s="661"/>
      <c r="S348" s="705"/>
      <c r="T348" s="659"/>
      <c r="U348" s="661"/>
      <c r="V348" s="660"/>
      <c r="W348" s="691"/>
      <c r="X348" s="661"/>
      <c r="Y348" s="661"/>
    </row>
    <row r="349">
      <c r="A349" s="653"/>
      <c r="B349" s="654"/>
      <c r="C349" s="655"/>
      <c r="D349" s="656"/>
      <c r="E349" s="657"/>
      <c r="F349" s="658"/>
      <c r="G349" s="659"/>
      <c r="H349" s="660"/>
      <c r="I349" s="659"/>
      <c r="J349" s="661"/>
      <c r="K349" s="658"/>
      <c r="L349" s="658"/>
      <c r="M349" s="658"/>
      <c r="N349" s="1025"/>
      <c r="O349" s="653"/>
      <c r="P349" s="654"/>
      <c r="Q349" s="1030"/>
      <c r="R349" s="661"/>
      <c r="S349" s="705"/>
      <c r="T349" s="659"/>
      <c r="U349" s="661"/>
      <c r="V349" s="660"/>
      <c r="W349" s="691"/>
      <c r="X349" s="661"/>
      <c r="Y349" s="661"/>
    </row>
    <row r="350">
      <c r="A350" s="653"/>
      <c r="B350" s="654"/>
      <c r="C350" s="655"/>
      <c r="D350" s="656"/>
      <c r="E350" s="657"/>
      <c r="F350" s="658"/>
      <c r="G350" s="659"/>
      <c r="H350" s="660"/>
      <c r="I350" s="659"/>
      <c r="J350" s="661"/>
      <c r="K350" s="658"/>
      <c r="L350" s="658"/>
      <c r="M350" s="658"/>
      <c r="N350" s="1025"/>
      <c r="O350" s="653"/>
      <c r="P350" s="654"/>
      <c r="Q350" s="1030"/>
      <c r="R350" s="661"/>
      <c r="S350" s="705"/>
      <c r="T350" s="659"/>
      <c r="U350" s="661"/>
      <c r="V350" s="660"/>
      <c r="W350" s="691"/>
      <c r="X350" s="661"/>
      <c r="Y350" s="661"/>
    </row>
    <row r="351">
      <c r="A351" s="653"/>
      <c r="B351" s="654"/>
      <c r="C351" s="655"/>
      <c r="D351" s="656"/>
      <c r="E351" s="657"/>
      <c r="F351" s="658"/>
      <c r="G351" s="659"/>
      <c r="H351" s="660"/>
      <c r="I351" s="659"/>
      <c r="J351" s="661"/>
      <c r="K351" s="658"/>
      <c r="L351" s="658"/>
      <c r="M351" s="658"/>
      <c r="N351" s="1025"/>
      <c r="O351" s="653"/>
      <c r="P351" s="654"/>
      <c r="Q351" s="1030"/>
      <c r="R351" s="661"/>
      <c r="S351" s="705"/>
      <c r="T351" s="659"/>
      <c r="U351" s="661"/>
      <c r="V351" s="660"/>
      <c r="W351" s="691"/>
      <c r="X351" s="661"/>
      <c r="Y351" s="661"/>
    </row>
    <row r="352">
      <c r="A352" s="653"/>
      <c r="B352" s="654"/>
      <c r="C352" s="655"/>
      <c r="D352" s="656"/>
      <c r="E352" s="657"/>
      <c r="F352" s="658"/>
      <c r="G352" s="659"/>
      <c r="H352" s="660"/>
      <c r="I352" s="659"/>
      <c r="J352" s="661"/>
      <c r="K352" s="658"/>
      <c r="L352" s="658"/>
      <c r="M352" s="658"/>
      <c r="N352" s="1025"/>
      <c r="O352" s="653"/>
      <c r="P352" s="654"/>
      <c r="Q352" s="1030"/>
      <c r="R352" s="661"/>
      <c r="S352" s="705"/>
      <c r="T352" s="659"/>
      <c r="U352" s="661"/>
      <c r="V352" s="660"/>
      <c r="W352" s="691"/>
      <c r="X352" s="661"/>
      <c r="Y352" s="661"/>
    </row>
    <row r="353">
      <c r="A353" s="653"/>
      <c r="B353" s="654"/>
      <c r="C353" s="655"/>
      <c r="D353" s="656"/>
      <c r="E353" s="657"/>
      <c r="F353" s="658"/>
      <c r="G353" s="659"/>
      <c r="H353" s="660"/>
      <c r="I353" s="659"/>
      <c r="J353" s="661"/>
      <c r="K353" s="658"/>
      <c r="L353" s="658"/>
      <c r="M353" s="658"/>
      <c r="N353" s="1025"/>
      <c r="O353" s="653"/>
      <c r="P353" s="654"/>
      <c r="Q353" s="1030"/>
      <c r="R353" s="661"/>
      <c r="S353" s="705"/>
      <c r="T353" s="659"/>
      <c r="U353" s="661"/>
      <c r="V353" s="660"/>
      <c r="W353" s="691"/>
      <c r="X353" s="661"/>
      <c r="Y353" s="661"/>
    </row>
    <row r="354">
      <c r="A354" s="653"/>
      <c r="B354" s="654"/>
      <c r="C354" s="655"/>
      <c r="D354" s="656"/>
      <c r="E354" s="657"/>
      <c r="F354" s="658"/>
      <c r="G354" s="659"/>
      <c r="H354" s="660"/>
      <c r="I354" s="659"/>
      <c r="J354" s="661"/>
      <c r="K354" s="658"/>
      <c r="L354" s="658"/>
      <c r="M354" s="658"/>
      <c r="N354" s="1025"/>
      <c r="O354" s="653"/>
      <c r="P354" s="654"/>
      <c r="Q354" s="1030"/>
      <c r="R354" s="661"/>
      <c r="S354" s="705"/>
      <c r="T354" s="659"/>
      <c r="U354" s="661"/>
      <c r="V354" s="660"/>
      <c r="W354" s="691"/>
      <c r="X354" s="661"/>
      <c r="Y354" s="661"/>
    </row>
    <row r="355">
      <c r="A355" s="653"/>
      <c r="B355" s="654"/>
      <c r="C355" s="655"/>
      <c r="D355" s="656"/>
      <c r="E355" s="657"/>
      <c r="F355" s="658"/>
      <c r="G355" s="659"/>
      <c r="H355" s="660"/>
      <c r="I355" s="659"/>
      <c r="J355" s="661"/>
      <c r="K355" s="658"/>
      <c r="L355" s="658"/>
      <c r="M355" s="658"/>
      <c r="N355" s="1025"/>
      <c r="O355" s="653"/>
      <c r="P355" s="654"/>
      <c r="Q355" s="1030"/>
      <c r="R355" s="661"/>
      <c r="S355" s="705"/>
      <c r="T355" s="659"/>
      <c r="U355" s="661"/>
      <c r="V355" s="660"/>
      <c r="W355" s="691"/>
      <c r="X355" s="661"/>
      <c r="Y355" s="661"/>
    </row>
    <row r="356">
      <c r="A356" s="653"/>
      <c r="B356" s="654"/>
      <c r="C356" s="655"/>
      <c r="D356" s="656"/>
      <c r="E356" s="657"/>
      <c r="F356" s="658"/>
      <c r="G356" s="659"/>
      <c r="H356" s="660"/>
      <c r="I356" s="659"/>
      <c r="J356" s="661"/>
      <c r="K356" s="658"/>
      <c r="L356" s="658"/>
      <c r="M356" s="658"/>
      <c r="N356" s="1025"/>
      <c r="O356" s="653"/>
      <c r="P356" s="654"/>
      <c r="Q356" s="1030"/>
      <c r="R356" s="661"/>
      <c r="S356" s="705"/>
      <c r="T356" s="659"/>
      <c r="U356" s="661"/>
      <c r="V356" s="660"/>
      <c r="W356" s="691"/>
      <c r="X356" s="661"/>
      <c r="Y356" s="661"/>
    </row>
    <row r="357">
      <c r="A357" s="653"/>
      <c r="B357" s="654"/>
      <c r="C357" s="655"/>
      <c r="D357" s="656"/>
      <c r="E357" s="657"/>
      <c r="F357" s="658"/>
      <c r="G357" s="659"/>
      <c r="H357" s="660"/>
      <c r="I357" s="659"/>
      <c r="J357" s="661"/>
      <c r="K357" s="658"/>
      <c r="L357" s="658"/>
      <c r="M357" s="658"/>
      <c r="N357" s="1025"/>
      <c r="O357" s="653"/>
      <c r="P357" s="654"/>
      <c r="Q357" s="1030"/>
      <c r="R357" s="661"/>
      <c r="S357" s="705"/>
      <c r="T357" s="659"/>
      <c r="U357" s="661"/>
      <c r="V357" s="660"/>
      <c r="W357" s="691"/>
      <c r="X357" s="661"/>
      <c r="Y357" s="661"/>
    </row>
    <row r="358">
      <c r="A358" s="653"/>
      <c r="B358" s="654"/>
      <c r="C358" s="655"/>
      <c r="D358" s="656"/>
      <c r="E358" s="657"/>
      <c r="F358" s="658"/>
      <c r="G358" s="659"/>
      <c r="H358" s="660"/>
      <c r="I358" s="659"/>
      <c r="J358" s="661"/>
      <c r="K358" s="658"/>
      <c r="L358" s="658"/>
      <c r="M358" s="658"/>
      <c r="N358" s="1025"/>
      <c r="O358" s="653"/>
      <c r="P358" s="654"/>
      <c r="Q358" s="1030"/>
      <c r="R358" s="661"/>
      <c r="S358" s="705"/>
      <c r="T358" s="659"/>
      <c r="U358" s="661"/>
      <c r="V358" s="660"/>
      <c r="W358" s="691"/>
      <c r="X358" s="661"/>
      <c r="Y358" s="661"/>
    </row>
    <row r="359">
      <c r="A359" s="653"/>
      <c r="B359" s="654"/>
      <c r="C359" s="655"/>
      <c r="D359" s="656"/>
      <c r="E359" s="657"/>
      <c r="F359" s="658"/>
      <c r="G359" s="659"/>
      <c r="H359" s="660"/>
      <c r="I359" s="659"/>
      <c r="J359" s="661"/>
      <c r="K359" s="658"/>
      <c r="L359" s="658"/>
      <c r="M359" s="658"/>
      <c r="N359" s="1025"/>
      <c r="O359" s="653"/>
      <c r="P359" s="654"/>
      <c r="Q359" s="1030"/>
      <c r="R359" s="661"/>
      <c r="S359" s="705"/>
      <c r="T359" s="659"/>
      <c r="U359" s="661"/>
      <c r="V359" s="660"/>
      <c r="W359" s="691"/>
      <c r="X359" s="661"/>
      <c r="Y359" s="661"/>
    </row>
    <row r="360">
      <c r="A360" s="653"/>
      <c r="B360" s="654"/>
      <c r="C360" s="655"/>
      <c r="D360" s="656"/>
      <c r="E360" s="657"/>
      <c r="F360" s="658"/>
      <c r="G360" s="659"/>
      <c r="H360" s="660"/>
      <c r="I360" s="659"/>
      <c r="J360" s="661"/>
      <c r="K360" s="658"/>
      <c r="L360" s="658"/>
      <c r="M360" s="658"/>
      <c r="N360" s="1025"/>
      <c r="O360" s="653"/>
      <c r="P360" s="654"/>
      <c r="Q360" s="1030"/>
      <c r="R360" s="661"/>
      <c r="S360" s="705"/>
      <c r="T360" s="659"/>
      <c r="U360" s="661"/>
      <c r="V360" s="660"/>
      <c r="W360" s="691"/>
      <c r="X360" s="661"/>
      <c r="Y360" s="661"/>
    </row>
    <row r="361">
      <c r="A361" s="653"/>
      <c r="B361" s="654"/>
      <c r="C361" s="655"/>
      <c r="D361" s="656"/>
      <c r="E361" s="657"/>
      <c r="F361" s="658"/>
      <c r="G361" s="659"/>
      <c r="H361" s="660"/>
      <c r="I361" s="659"/>
      <c r="J361" s="661"/>
      <c r="K361" s="658"/>
      <c r="L361" s="658"/>
      <c r="M361" s="658"/>
      <c r="N361" s="1025"/>
      <c r="O361" s="653"/>
      <c r="P361" s="654"/>
      <c r="Q361" s="1030"/>
      <c r="R361" s="661"/>
      <c r="S361" s="705"/>
      <c r="T361" s="659"/>
      <c r="U361" s="661"/>
      <c r="V361" s="660"/>
      <c r="W361" s="691"/>
      <c r="X361" s="661"/>
      <c r="Y361" s="661"/>
    </row>
    <row r="362">
      <c r="A362" s="653"/>
      <c r="B362" s="654"/>
      <c r="C362" s="655"/>
      <c r="D362" s="656"/>
      <c r="E362" s="657"/>
      <c r="F362" s="658"/>
      <c r="G362" s="659"/>
      <c r="H362" s="660"/>
      <c r="I362" s="659"/>
      <c r="J362" s="661"/>
      <c r="K362" s="658"/>
      <c r="L362" s="658"/>
      <c r="M362" s="658"/>
      <c r="N362" s="1025"/>
      <c r="O362" s="653"/>
      <c r="P362" s="654"/>
      <c r="Q362" s="1030"/>
      <c r="R362" s="661"/>
      <c r="S362" s="705"/>
      <c r="T362" s="659"/>
      <c r="U362" s="661"/>
      <c r="V362" s="660"/>
      <c r="W362" s="691"/>
      <c r="X362" s="661"/>
      <c r="Y362" s="661"/>
    </row>
    <row r="363">
      <c r="A363" s="653"/>
      <c r="B363" s="654"/>
      <c r="C363" s="655"/>
      <c r="D363" s="656"/>
      <c r="E363" s="657"/>
      <c r="F363" s="658"/>
      <c r="G363" s="659"/>
      <c r="H363" s="660"/>
      <c r="I363" s="659"/>
      <c r="J363" s="661"/>
      <c r="K363" s="658"/>
      <c r="L363" s="658"/>
      <c r="M363" s="658"/>
      <c r="N363" s="1025"/>
      <c r="O363" s="653"/>
      <c r="P363" s="654"/>
      <c r="Q363" s="1030"/>
      <c r="R363" s="661"/>
      <c r="S363" s="705"/>
      <c r="T363" s="659"/>
      <c r="U363" s="661"/>
      <c r="V363" s="660"/>
      <c r="W363" s="691"/>
      <c r="X363" s="661"/>
      <c r="Y363" s="661"/>
    </row>
    <row r="364">
      <c r="A364" s="653"/>
      <c r="B364" s="654"/>
      <c r="C364" s="655"/>
      <c r="D364" s="656"/>
      <c r="E364" s="657"/>
      <c r="F364" s="658"/>
      <c r="G364" s="659"/>
      <c r="H364" s="660"/>
      <c r="I364" s="659"/>
      <c r="J364" s="661"/>
      <c r="K364" s="658"/>
      <c r="L364" s="658"/>
      <c r="M364" s="658"/>
      <c r="N364" s="1025"/>
      <c r="O364" s="653"/>
      <c r="P364" s="654"/>
      <c r="Q364" s="1030"/>
      <c r="R364" s="661"/>
      <c r="S364" s="705"/>
      <c r="T364" s="659"/>
      <c r="U364" s="661"/>
      <c r="V364" s="660"/>
      <c r="W364" s="691"/>
      <c r="X364" s="661"/>
      <c r="Y364" s="661"/>
    </row>
    <row r="365">
      <c r="A365" s="653"/>
      <c r="B365" s="654"/>
      <c r="C365" s="655"/>
      <c r="D365" s="656"/>
      <c r="E365" s="657"/>
      <c r="F365" s="658"/>
      <c r="G365" s="659"/>
      <c r="H365" s="660"/>
      <c r="I365" s="659"/>
      <c r="J365" s="661"/>
      <c r="K365" s="658"/>
      <c r="L365" s="658"/>
      <c r="M365" s="658"/>
      <c r="N365" s="1025"/>
      <c r="O365" s="653"/>
      <c r="P365" s="654"/>
      <c r="Q365" s="1030"/>
      <c r="R365" s="661"/>
      <c r="S365" s="705"/>
      <c r="T365" s="659"/>
      <c r="U365" s="661"/>
      <c r="V365" s="660"/>
      <c r="W365" s="691"/>
      <c r="X365" s="661"/>
      <c r="Y365" s="661"/>
    </row>
    <row r="366">
      <c r="A366" s="653"/>
      <c r="B366" s="654"/>
      <c r="C366" s="655"/>
      <c r="D366" s="656"/>
      <c r="E366" s="657"/>
      <c r="F366" s="658"/>
      <c r="G366" s="659"/>
      <c r="H366" s="660"/>
      <c r="I366" s="659"/>
      <c r="J366" s="661"/>
      <c r="K366" s="658"/>
      <c r="L366" s="658"/>
      <c r="M366" s="658"/>
      <c r="N366" s="1025"/>
      <c r="O366" s="653"/>
      <c r="P366" s="654"/>
      <c r="Q366" s="1030"/>
      <c r="R366" s="661"/>
      <c r="S366" s="705"/>
      <c r="T366" s="659"/>
      <c r="U366" s="661"/>
      <c r="V366" s="660"/>
      <c r="W366" s="691"/>
      <c r="X366" s="661"/>
      <c r="Y366" s="661"/>
    </row>
    <row r="367">
      <c r="A367" s="653"/>
      <c r="B367" s="654"/>
      <c r="C367" s="655"/>
      <c r="D367" s="656"/>
      <c r="E367" s="657"/>
      <c r="F367" s="658"/>
      <c r="G367" s="659"/>
      <c r="H367" s="660"/>
      <c r="I367" s="659"/>
      <c r="J367" s="661"/>
      <c r="K367" s="658"/>
      <c r="L367" s="658"/>
      <c r="M367" s="658"/>
      <c r="N367" s="1025"/>
      <c r="O367" s="653"/>
      <c r="P367" s="654"/>
      <c r="Q367" s="1030"/>
      <c r="R367" s="661"/>
      <c r="S367" s="705"/>
      <c r="T367" s="659"/>
      <c r="U367" s="661"/>
      <c r="V367" s="660"/>
      <c r="W367" s="691"/>
      <c r="X367" s="661"/>
      <c r="Y367" s="661"/>
    </row>
    <row r="368">
      <c r="A368" s="653"/>
      <c r="B368" s="654"/>
      <c r="C368" s="655"/>
      <c r="D368" s="656"/>
      <c r="E368" s="657"/>
      <c r="F368" s="658"/>
      <c r="G368" s="659"/>
      <c r="H368" s="660"/>
      <c r="I368" s="659"/>
      <c r="J368" s="661"/>
      <c r="K368" s="658"/>
      <c r="L368" s="658"/>
      <c r="M368" s="658"/>
      <c r="N368" s="1025"/>
      <c r="O368" s="653"/>
      <c r="P368" s="654"/>
      <c r="Q368" s="1030"/>
      <c r="R368" s="661"/>
      <c r="S368" s="705"/>
      <c r="T368" s="659"/>
      <c r="U368" s="661"/>
      <c r="V368" s="660"/>
      <c r="W368" s="691"/>
      <c r="X368" s="661"/>
      <c r="Y368" s="661"/>
    </row>
    <row r="369">
      <c r="A369" s="653"/>
      <c r="B369" s="654"/>
      <c r="C369" s="655"/>
      <c r="D369" s="656"/>
      <c r="E369" s="657"/>
      <c r="F369" s="658"/>
      <c r="G369" s="659"/>
      <c r="H369" s="660"/>
      <c r="I369" s="659"/>
      <c r="J369" s="661"/>
      <c r="K369" s="658"/>
      <c r="L369" s="658"/>
      <c r="M369" s="658"/>
      <c r="N369" s="1025"/>
      <c r="O369" s="653"/>
      <c r="P369" s="654"/>
      <c r="Q369" s="1030"/>
      <c r="R369" s="661"/>
      <c r="S369" s="705"/>
      <c r="T369" s="659"/>
      <c r="U369" s="661"/>
      <c r="V369" s="660"/>
      <c r="W369" s="691"/>
      <c r="X369" s="661"/>
      <c r="Y369" s="661"/>
    </row>
    <row r="370">
      <c r="A370" s="653"/>
      <c r="B370" s="654"/>
      <c r="C370" s="655"/>
      <c r="D370" s="656"/>
      <c r="E370" s="657"/>
      <c r="F370" s="658"/>
      <c r="G370" s="659"/>
      <c r="H370" s="660"/>
      <c r="I370" s="659"/>
      <c r="J370" s="661"/>
      <c r="K370" s="658"/>
      <c r="L370" s="658"/>
      <c r="M370" s="658"/>
      <c r="N370" s="1025"/>
      <c r="O370" s="653"/>
      <c r="P370" s="654"/>
      <c r="Q370" s="1030"/>
      <c r="R370" s="661"/>
      <c r="S370" s="705"/>
      <c r="T370" s="659"/>
      <c r="U370" s="661"/>
      <c r="V370" s="660"/>
      <c r="W370" s="691"/>
      <c r="X370" s="661"/>
      <c r="Y370" s="661"/>
    </row>
    <row r="371">
      <c r="A371" s="653"/>
      <c r="B371" s="654"/>
      <c r="C371" s="655"/>
      <c r="D371" s="656"/>
      <c r="E371" s="657"/>
      <c r="F371" s="658"/>
      <c r="G371" s="659"/>
      <c r="H371" s="660"/>
      <c r="I371" s="659"/>
      <c r="J371" s="661"/>
      <c r="K371" s="658"/>
      <c r="L371" s="658"/>
      <c r="M371" s="658"/>
      <c r="N371" s="1025"/>
      <c r="O371" s="653"/>
      <c r="P371" s="654"/>
      <c r="Q371" s="1030"/>
      <c r="R371" s="661"/>
      <c r="S371" s="705"/>
      <c r="T371" s="659"/>
      <c r="U371" s="661"/>
      <c r="V371" s="660"/>
      <c r="W371" s="691"/>
      <c r="X371" s="661"/>
      <c r="Y371" s="661"/>
    </row>
    <row r="372">
      <c r="A372" s="653"/>
      <c r="B372" s="654"/>
      <c r="C372" s="655"/>
      <c r="D372" s="656"/>
      <c r="E372" s="657"/>
      <c r="F372" s="658"/>
      <c r="G372" s="659"/>
      <c r="H372" s="660"/>
      <c r="I372" s="659"/>
      <c r="J372" s="661"/>
      <c r="K372" s="658"/>
      <c r="L372" s="658"/>
      <c r="M372" s="658"/>
      <c r="N372" s="1025"/>
      <c r="O372" s="653"/>
      <c r="P372" s="654"/>
      <c r="Q372" s="1030"/>
      <c r="R372" s="661"/>
      <c r="S372" s="705"/>
      <c r="T372" s="659"/>
      <c r="U372" s="661"/>
      <c r="V372" s="660"/>
      <c r="W372" s="691"/>
      <c r="X372" s="661"/>
      <c r="Y372" s="661"/>
    </row>
    <row r="373">
      <c r="A373" s="653"/>
      <c r="B373" s="654"/>
      <c r="C373" s="655"/>
      <c r="D373" s="656"/>
      <c r="E373" s="657"/>
      <c r="F373" s="658"/>
      <c r="G373" s="659"/>
      <c r="H373" s="660"/>
      <c r="I373" s="659"/>
      <c r="J373" s="661"/>
      <c r="K373" s="658"/>
      <c r="L373" s="658"/>
      <c r="M373" s="658"/>
      <c r="N373" s="1025"/>
      <c r="O373" s="653"/>
      <c r="P373" s="654"/>
      <c r="Q373" s="1030"/>
      <c r="R373" s="661"/>
      <c r="S373" s="705"/>
      <c r="T373" s="659"/>
      <c r="U373" s="661"/>
      <c r="V373" s="660"/>
      <c r="W373" s="691"/>
      <c r="X373" s="661"/>
      <c r="Y373" s="661"/>
    </row>
    <row r="374">
      <c r="A374" s="653"/>
      <c r="B374" s="654"/>
      <c r="C374" s="655"/>
      <c r="D374" s="656"/>
      <c r="E374" s="657"/>
      <c r="F374" s="658"/>
      <c r="G374" s="659"/>
      <c r="H374" s="660"/>
      <c r="I374" s="659"/>
      <c r="J374" s="661"/>
      <c r="K374" s="658"/>
      <c r="L374" s="658"/>
      <c r="M374" s="658"/>
      <c r="N374" s="1025"/>
      <c r="O374" s="653"/>
      <c r="P374" s="654"/>
      <c r="Q374" s="1030"/>
      <c r="R374" s="661"/>
      <c r="S374" s="705"/>
      <c r="T374" s="659"/>
      <c r="U374" s="661"/>
      <c r="V374" s="660"/>
      <c r="W374" s="691"/>
      <c r="X374" s="661"/>
      <c r="Y374" s="661"/>
    </row>
    <row r="375">
      <c r="A375" s="653"/>
      <c r="B375" s="654"/>
      <c r="C375" s="655"/>
      <c r="D375" s="656"/>
      <c r="E375" s="657"/>
      <c r="F375" s="658"/>
      <c r="G375" s="659"/>
      <c r="H375" s="660"/>
      <c r="I375" s="659"/>
      <c r="J375" s="661"/>
      <c r="K375" s="658"/>
      <c r="L375" s="658"/>
      <c r="M375" s="658"/>
      <c r="N375" s="1025"/>
      <c r="O375" s="653"/>
      <c r="P375" s="654"/>
      <c r="Q375" s="1030"/>
      <c r="R375" s="661"/>
      <c r="S375" s="705"/>
      <c r="T375" s="659"/>
      <c r="U375" s="661"/>
      <c r="V375" s="660"/>
      <c r="W375" s="691"/>
      <c r="X375" s="661"/>
      <c r="Y375" s="661"/>
    </row>
    <row r="376">
      <c r="A376" s="653"/>
      <c r="B376" s="654"/>
      <c r="C376" s="655"/>
      <c r="D376" s="656"/>
      <c r="E376" s="657"/>
      <c r="F376" s="658"/>
      <c r="G376" s="659"/>
      <c r="H376" s="660"/>
      <c r="I376" s="659"/>
      <c r="J376" s="661"/>
      <c r="K376" s="658"/>
      <c r="L376" s="658"/>
      <c r="M376" s="658"/>
      <c r="N376" s="1025"/>
      <c r="O376" s="653"/>
      <c r="P376" s="654"/>
      <c r="Q376" s="1030"/>
      <c r="R376" s="661"/>
      <c r="S376" s="705"/>
      <c r="T376" s="659"/>
      <c r="U376" s="661"/>
      <c r="V376" s="660"/>
      <c r="W376" s="691"/>
      <c r="X376" s="661"/>
      <c r="Y376" s="661"/>
    </row>
    <row r="377">
      <c r="A377" s="653"/>
      <c r="B377" s="654"/>
      <c r="C377" s="655"/>
      <c r="D377" s="656"/>
      <c r="E377" s="657"/>
      <c r="F377" s="658"/>
      <c r="G377" s="659"/>
      <c r="H377" s="660"/>
      <c r="I377" s="659"/>
      <c r="J377" s="661"/>
      <c r="K377" s="658"/>
      <c r="L377" s="658"/>
      <c r="M377" s="658"/>
      <c r="N377" s="1025"/>
      <c r="O377" s="653"/>
      <c r="P377" s="654"/>
      <c r="Q377" s="1030"/>
      <c r="R377" s="661"/>
      <c r="S377" s="705"/>
      <c r="T377" s="659"/>
      <c r="U377" s="661"/>
      <c r="V377" s="660"/>
      <c r="W377" s="691"/>
      <c r="X377" s="661"/>
      <c r="Y377" s="661"/>
    </row>
    <row r="378">
      <c r="A378" s="653"/>
      <c r="B378" s="654"/>
      <c r="C378" s="655"/>
      <c r="D378" s="656"/>
      <c r="E378" s="657"/>
      <c r="F378" s="658"/>
      <c r="G378" s="659"/>
      <c r="H378" s="660"/>
      <c r="I378" s="659"/>
      <c r="J378" s="661"/>
      <c r="K378" s="658"/>
      <c r="L378" s="658"/>
      <c r="M378" s="658"/>
      <c r="N378" s="1025"/>
      <c r="O378" s="653"/>
      <c r="P378" s="654"/>
      <c r="Q378" s="1030"/>
      <c r="R378" s="661"/>
      <c r="S378" s="705"/>
      <c r="T378" s="659"/>
      <c r="U378" s="661"/>
      <c r="V378" s="660"/>
      <c r="W378" s="691"/>
      <c r="X378" s="661"/>
      <c r="Y378" s="661"/>
    </row>
    <row r="379">
      <c r="A379" s="653"/>
      <c r="B379" s="654"/>
      <c r="C379" s="655"/>
      <c r="D379" s="656"/>
      <c r="E379" s="657"/>
      <c r="F379" s="658"/>
      <c r="G379" s="659"/>
      <c r="H379" s="660"/>
      <c r="I379" s="659"/>
      <c r="J379" s="661"/>
      <c r="K379" s="658"/>
      <c r="L379" s="658"/>
      <c r="M379" s="658"/>
      <c r="N379" s="1025"/>
      <c r="O379" s="653"/>
      <c r="P379" s="654"/>
      <c r="Q379" s="1030"/>
      <c r="R379" s="661"/>
      <c r="S379" s="705"/>
      <c r="T379" s="659"/>
      <c r="U379" s="661"/>
      <c r="V379" s="660"/>
      <c r="W379" s="691"/>
      <c r="X379" s="661"/>
      <c r="Y379" s="661"/>
    </row>
    <row r="380">
      <c r="A380" s="653"/>
      <c r="B380" s="654"/>
      <c r="C380" s="655"/>
      <c r="D380" s="656"/>
      <c r="E380" s="657"/>
      <c r="F380" s="658"/>
      <c r="G380" s="659"/>
      <c r="H380" s="660"/>
      <c r="I380" s="659"/>
      <c r="J380" s="661"/>
      <c r="K380" s="658"/>
      <c r="L380" s="658"/>
      <c r="M380" s="658"/>
      <c r="N380" s="1025"/>
      <c r="O380" s="653"/>
      <c r="P380" s="654"/>
      <c r="Q380" s="1030"/>
      <c r="R380" s="661"/>
      <c r="S380" s="705"/>
      <c r="T380" s="659"/>
      <c r="U380" s="661"/>
      <c r="V380" s="660"/>
      <c r="W380" s="691"/>
      <c r="X380" s="661"/>
      <c r="Y380" s="661"/>
    </row>
    <row r="381">
      <c r="A381" s="653"/>
      <c r="B381" s="654"/>
      <c r="C381" s="655"/>
      <c r="D381" s="656"/>
      <c r="E381" s="657"/>
      <c r="F381" s="658"/>
      <c r="G381" s="659"/>
      <c r="H381" s="660"/>
      <c r="I381" s="659"/>
      <c r="J381" s="661"/>
      <c r="K381" s="658"/>
      <c r="L381" s="658"/>
      <c r="M381" s="658"/>
      <c r="N381" s="1025"/>
      <c r="O381" s="653"/>
      <c r="P381" s="654"/>
      <c r="Q381" s="1030"/>
      <c r="R381" s="661"/>
      <c r="S381" s="705"/>
      <c r="T381" s="659"/>
      <c r="U381" s="661"/>
      <c r="V381" s="660"/>
      <c r="W381" s="691"/>
      <c r="X381" s="661"/>
      <c r="Y381" s="661"/>
    </row>
    <row r="382">
      <c r="A382" s="653"/>
      <c r="B382" s="654"/>
      <c r="C382" s="655"/>
      <c r="D382" s="656"/>
      <c r="E382" s="657"/>
      <c r="F382" s="658"/>
      <c r="G382" s="659"/>
      <c r="H382" s="660"/>
      <c r="I382" s="659"/>
      <c r="J382" s="661"/>
      <c r="K382" s="658"/>
      <c r="L382" s="658"/>
      <c r="M382" s="658"/>
      <c r="N382" s="1025"/>
      <c r="O382" s="653"/>
      <c r="P382" s="654"/>
      <c r="Q382" s="1030"/>
      <c r="R382" s="661"/>
      <c r="S382" s="705"/>
      <c r="T382" s="659"/>
      <c r="U382" s="661"/>
      <c r="V382" s="660"/>
      <c r="W382" s="691"/>
      <c r="X382" s="661"/>
      <c r="Y382" s="661"/>
    </row>
    <row r="383">
      <c r="A383" s="653"/>
      <c r="B383" s="654"/>
      <c r="C383" s="655"/>
      <c r="D383" s="656"/>
      <c r="E383" s="657"/>
      <c r="F383" s="658"/>
      <c r="G383" s="659"/>
      <c r="H383" s="660"/>
      <c r="I383" s="659"/>
      <c r="J383" s="661"/>
      <c r="K383" s="658"/>
      <c r="L383" s="658"/>
      <c r="M383" s="658"/>
      <c r="N383" s="1025"/>
      <c r="O383" s="653"/>
      <c r="P383" s="654"/>
      <c r="Q383" s="1030"/>
      <c r="R383" s="661"/>
      <c r="S383" s="705"/>
      <c r="T383" s="659"/>
      <c r="U383" s="661"/>
      <c r="V383" s="660"/>
      <c r="W383" s="691"/>
      <c r="X383" s="661"/>
      <c r="Y383" s="661"/>
    </row>
    <row r="384">
      <c r="A384" s="653"/>
      <c r="B384" s="654"/>
      <c r="C384" s="655"/>
      <c r="D384" s="656"/>
      <c r="E384" s="657"/>
      <c r="F384" s="658"/>
      <c r="G384" s="659"/>
      <c r="H384" s="660"/>
      <c r="I384" s="659"/>
      <c r="J384" s="661"/>
      <c r="K384" s="658"/>
      <c r="L384" s="658"/>
      <c r="M384" s="658"/>
      <c r="N384" s="1025"/>
      <c r="O384" s="653"/>
      <c r="P384" s="654"/>
      <c r="Q384" s="1030"/>
      <c r="R384" s="661"/>
      <c r="S384" s="705"/>
      <c r="T384" s="659"/>
      <c r="U384" s="661"/>
      <c r="V384" s="660"/>
      <c r="W384" s="691"/>
      <c r="X384" s="661"/>
      <c r="Y384" s="661"/>
    </row>
    <row r="385">
      <c r="A385" s="653"/>
      <c r="B385" s="654"/>
      <c r="C385" s="655"/>
      <c r="D385" s="656"/>
      <c r="E385" s="657"/>
      <c r="F385" s="658"/>
      <c r="G385" s="659"/>
      <c r="H385" s="660"/>
      <c r="I385" s="659"/>
      <c r="J385" s="661"/>
      <c r="K385" s="658"/>
      <c r="L385" s="658"/>
      <c r="M385" s="658"/>
      <c r="N385" s="1025"/>
      <c r="O385" s="653"/>
      <c r="P385" s="654"/>
      <c r="Q385" s="1030"/>
      <c r="R385" s="661"/>
      <c r="S385" s="705"/>
      <c r="T385" s="659"/>
      <c r="U385" s="661"/>
      <c r="V385" s="660"/>
      <c r="W385" s="691"/>
      <c r="X385" s="661"/>
      <c r="Y385" s="661"/>
    </row>
    <row r="386">
      <c r="A386" s="653"/>
      <c r="B386" s="654"/>
      <c r="C386" s="655"/>
      <c r="D386" s="656"/>
      <c r="E386" s="657"/>
      <c r="F386" s="658"/>
      <c r="G386" s="659"/>
      <c r="H386" s="660"/>
      <c r="I386" s="659"/>
      <c r="J386" s="661"/>
      <c r="K386" s="658"/>
      <c r="L386" s="658"/>
      <c r="M386" s="658"/>
      <c r="N386" s="1025"/>
      <c r="O386" s="653"/>
      <c r="P386" s="654"/>
      <c r="Q386" s="1030"/>
      <c r="R386" s="661"/>
      <c r="S386" s="705"/>
      <c r="T386" s="659"/>
      <c r="U386" s="661"/>
      <c r="V386" s="660"/>
      <c r="W386" s="691"/>
      <c r="X386" s="661"/>
      <c r="Y386" s="661"/>
    </row>
    <row r="387">
      <c r="A387" s="653"/>
      <c r="B387" s="654"/>
      <c r="C387" s="655"/>
      <c r="D387" s="656"/>
      <c r="E387" s="657"/>
      <c r="F387" s="658"/>
      <c r="G387" s="659"/>
      <c r="H387" s="660"/>
      <c r="I387" s="659"/>
      <c r="J387" s="661"/>
      <c r="K387" s="658"/>
      <c r="L387" s="658"/>
      <c r="M387" s="658"/>
      <c r="N387" s="1025"/>
      <c r="O387" s="653"/>
      <c r="P387" s="654"/>
      <c r="Q387" s="1030"/>
      <c r="R387" s="661"/>
      <c r="S387" s="705"/>
      <c r="T387" s="659"/>
      <c r="U387" s="661"/>
      <c r="V387" s="660"/>
      <c r="W387" s="691"/>
      <c r="X387" s="661"/>
      <c r="Y387" s="661"/>
    </row>
    <row r="388">
      <c r="A388" s="653"/>
      <c r="B388" s="654"/>
      <c r="C388" s="655"/>
      <c r="D388" s="656"/>
      <c r="E388" s="657"/>
      <c r="F388" s="658"/>
      <c r="G388" s="659"/>
      <c r="H388" s="660"/>
      <c r="I388" s="659"/>
      <c r="J388" s="661"/>
      <c r="K388" s="658"/>
      <c r="L388" s="658"/>
      <c r="M388" s="658"/>
      <c r="N388" s="1025"/>
      <c r="O388" s="653"/>
      <c r="P388" s="654"/>
      <c r="Q388" s="1030"/>
      <c r="R388" s="661"/>
      <c r="S388" s="705"/>
      <c r="T388" s="659"/>
      <c r="U388" s="661"/>
      <c r="V388" s="660"/>
      <c r="W388" s="691"/>
      <c r="X388" s="661"/>
      <c r="Y388" s="661"/>
    </row>
    <row r="389">
      <c r="A389" s="653"/>
      <c r="B389" s="654"/>
      <c r="C389" s="655"/>
      <c r="D389" s="656"/>
      <c r="E389" s="657"/>
      <c r="F389" s="658"/>
      <c r="G389" s="659"/>
      <c r="H389" s="660"/>
      <c r="I389" s="659"/>
      <c r="J389" s="661"/>
      <c r="K389" s="658"/>
      <c r="L389" s="658"/>
      <c r="M389" s="658"/>
      <c r="N389" s="1025"/>
      <c r="O389" s="653"/>
      <c r="P389" s="654"/>
      <c r="Q389" s="1030"/>
      <c r="R389" s="661"/>
      <c r="S389" s="705"/>
      <c r="T389" s="659"/>
      <c r="U389" s="661"/>
      <c r="V389" s="660"/>
      <c r="W389" s="691"/>
      <c r="X389" s="661"/>
      <c r="Y389" s="661"/>
    </row>
    <row r="390">
      <c r="A390" s="653"/>
      <c r="B390" s="654"/>
      <c r="C390" s="655"/>
      <c r="D390" s="656"/>
      <c r="E390" s="657"/>
      <c r="F390" s="658"/>
      <c r="G390" s="659"/>
      <c r="H390" s="660"/>
      <c r="I390" s="659"/>
      <c r="J390" s="661"/>
      <c r="K390" s="658"/>
      <c r="L390" s="658"/>
      <c r="M390" s="658"/>
      <c r="N390" s="1025"/>
      <c r="O390" s="653"/>
      <c r="P390" s="654"/>
      <c r="Q390" s="1030"/>
      <c r="R390" s="661"/>
      <c r="S390" s="705"/>
      <c r="T390" s="659"/>
      <c r="U390" s="661"/>
      <c r="V390" s="660"/>
      <c r="W390" s="691"/>
      <c r="X390" s="661"/>
      <c r="Y390" s="661"/>
    </row>
    <row r="391">
      <c r="A391" s="653"/>
      <c r="B391" s="654"/>
      <c r="C391" s="655"/>
      <c r="D391" s="656"/>
      <c r="E391" s="657"/>
      <c r="F391" s="658"/>
      <c r="G391" s="659"/>
      <c r="H391" s="660"/>
      <c r="I391" s="659"/>
      <c r="J391" s="661"/>
      <c r="K391" s="658"/>
      <c r="L391" s="658"/>
      <c r="M391" s="658"/>
      <c r="N391" s="1025"/>
      <c r="O391" s="653"/>
      <c r="P391" s="654"/>
      <c r="Q391" s="1030"/>
      <c r="R391" s="661"/>
      <c r="S391" s="705"/>
      <c r="T391" s="659"/>
      <c r="U391" s="661"/>
      <c r="V391" s="660"/>
      <c r="W391" s="691"/>
      <c r="X391" s="661"/>
      <c r="Y391" s="661"/>
    </row>
    <row r="392">
      <c r="A392" s="653"/>
      <c r="B392" s="654"/>
      <c r="C392" s="655"/>
      <c r="D392" s="656"/>
      <c r="E392" s="657"/>
      <c r="F392" s="658"/>
      <c r="G392" s="659"/>
      <c r="H392" s="660"/>
      <c r="I392" s="659"/>
      <c r="J392" s="661"/>
      <c r="K392" s="658"/>
      <c r="L392" s="658"/>
      <c r="M392" s="658"/>
      <c r="N392" s="1025"/>
      <c r="O392" s="653"/>
      <c r="P392" s="654"/>
      <c r="Q392" s="1030"/>
      <c r="R392" s="661"/>
      <c r="S392" s="705"/>
      <c r="T392" s="659"/>
      <c r="U392" s="661"/>
      <c r="V392" s="660"/>
      <c r="W392" s="691"/>
      <c r="X392" s="661"/>
      <c r="Y392" s="661"/>
    </row>
    <row r="393">
      <c r="A393" s="653"/>
      <c r="B393" s="654"/>
      <c r="C393" s="655"/>
      <c r="D393" s="656"/>
      <c r="E393" s="657"/>
      <c r="F393" s="658"/>
      <c r="G393" s="659"/>
      <c r="H393" s="660"/>
      <c r="I393" s="659"/>
      <c r="J393" s="661"/>
      <c r="K393" s="658"/>
      <c r="L393" s="658"/>
      <c r="M393" s="658"/>
      <c r="N393" s="1025"/>
      <c r="O393" s="653"/>
      <c r="P393" s="654"/>
      <c r="Q393" s="1030"/>
      <c r="R393" s="661"/>
      <c r="S393" s="705"/>
      <c r="T393" s="659"/>
      <c r="U393" s="661"/>
      <c r="V393" s="660"/>
      <c r="W393" s="691"/>
      <c r="X393" s="661"/>
      <c r="Y393" s="661"/>
    </row>
    <row r="394">
      <c r="A394" s="653"/>
      <c r="B394" s="654"/>
      <c r="C394" s="655"/>
      <c r="D394" s="656"/>
      <c r="E394" s="657"/>
      <c r="F394" s="658"/>
      <c r="G394" s="659"/>
      <c r="H394" s="660"/>
      <c r="I394" s="659"/>
      <c r="J394" s="661"/>
      <c r="K394" s="658"/>
      <c r="L394" s="658"/>
      <c r="M394" s="658"/>
      <c r="N394" s="1025"/>
      <c r="O394" s="653"/>
      <c r="P394" s="654"/>
      <c r="Q394" s="1030"/>
      <c r="R394" s="661"/>
      <c r="S394" s="705"/>
      <c r="T394" s="659"/>
      <c r="U394" s="661"/>
      <c r="V394" s="660"/>
      <c r="W394" s="691"/>
      <c r="X394" s="661"/>
      <c r="Y394" s="661"/>
    </row>
    <row r="395">
      <c r="A395" s="653"/>
      <c r="B395" s="654"/>
      <c r="C395" s="655"/>
      <c r="D395" s="656"/>
      <c r="E395" s="657"/>
      <c r="F395" s="658"/>
      <c r="G395" s="659"/>
      <c r="H395" s="660"/>
      <c r="I395" s="659"/>
      <c r="J395" s="661"/>
      <c r="K395" s="658"/>
      <c r="L395" s="658"/>
      <c r="M395" s="658"/>
      <c r="N395" s="1025"/>
      <c r="O395" s="653"/>
      <c r="P395" s="654"/>
      <c r="Q395" s="1030"/>
      <c r="R395" s="661"/>
      <c r="S395" s="705"/>
      <c r="T395" s="659"/>
      <c r="U395" s="661"/>
      <c r="V395" s="660"/>
      <c r="W395" s="691"/>
      <c r="X395" s="661"/>
      <c r="Y395" s="661"/>
    </row>
    <row r="396">
      <c r="A396" s="653"/>
      <c r="B396" s="654"/>
      <c r="C396" s="655"/>
      <c r="D396" s="656"/>
      <c r="E396" s="657"/>
      <c r="F396" s="658"/>
      <c r="G396" s="659"/>
      <c r="H396" s="660"/>
      <c r="I396" s="659"/>
      <c r="J396" s="661"/>
      <c r="K396" s="658"/>
      <c r="L396" s="658"/>
      <c r="M396" s="658"/>
      <c r="N396" s="1025"/>
      <c r="O396" s="653"/>
      <c r="P396" s="654"/>
      <c r="Q396" s="1030"/>
      <c r="R396" s="661"/>
      <c r="S396" s="705"/>
      <c r="T396" s="659"/>
      <c r="U396" s="661"/>
      <c r="V396" s="660"/>
      <c r="W396" s="691"/>
      <c r="X396" s="661"/>
      <c r="Y396" s="661"/>
    </row>
    <row r="397">
      <c r="A397" s="653"/>
      <c r="B397" s="654"/>
      <c r="C397" s="655"/>
      <c r="D397" s="656"/>
      <c r="E397" s="657"/>
      <c r="F397" s="658"/>
      <c r="G397" s="659"/>
      <c r="H397" s="660"/>
      <c r="I397" s="659"/>
      <c r="J397" s="661"/>
      <c r="K397" s="658"/>
      <c r="L397" s="658"/>
      <c r="M397" s="658"/>
      <c r="N397" s="1025"/>
      <c r="O397" s="653"/>
      <c r="P397" s="654"/>
      <c r="Q397" s="1030"/>
      <c r="R397" s="661"/>
      <c r="S397" s="705"/>
      <c r="T397" s="659"/>
      <c r="U397" s="661"/>
      <c r="V397" s="660"/>
      <c r="W397" s="691"/>
      <c r="X397" s="661"/>
      <c r="Y397" s="661"/>
    </row>
    <row r="398">
      <c r="A398" s="653"/>
      <c r="B398" s="654"/>
      <c r="C398" s="655"/>
      <c r="D398" s="656"/>
      <c r="E398" s="657"/>
      <c r="F398" s="658"/>
      <c r="G398" s="659"/>
      <c r="H398" s="660"/>
      <c r="I398" s="659"/>
      <c r="J398" s="661"/>
      <c r="K398" s="658"/>
      <c r="L398" s="658"/>
      <c r="M398" s="658"/>
      <c r="N398" s="1025"/>
      <c r="O398" s="653"/>
      <c r="P398" s="654"/>
      <c r="Q398" s="1030"/>
      <c r="R398" s="661"/>
      <c r="S398" s="705"/>
      <c r="T398" s="659"/>
      <c r="U398" s="661"/>
      <c r="V398" s="660"/>
      <c r="W398" s="691"/>
      <c r="X398" s="661"/>
      <c r="Y398" s="661"/>
    </row>
    <row r="399">
      <c r="A399" s="653"/>
      <c r="B399" s="654"/>
      <c r="C399" s="655"/>
      <c r="D399" s="656"/>
      <c r="E399" s="657"/>
      <c r="F399" s="658"/>
      <c r="G399" s="659"/>
      <c r="H399" s="660"/>
      <c r="I399" s="659"/>
      <c r="J399" s="661"/>
      <c r="K399" s="658"/>
      <c r="L399" s="658"/>
      <c r="M399" s="658"/>
      <c r="N399" s="1025"/>
      <c r="O399" s="653"/>
      <c r="P399" s="654"/>
      <c r="Q399" s="1030"/>
      <c r="R399" s="661"/>
      <c r="S399" s="705"/>
      <c r="T399" s="659"/>
      <c r="U399" s="661"/>
      <c r="V399" s="660"/>
      <c r="W399" s="691"/>
      <c r="X399" s="661"/>
      <c r="Y399" s="661"/>
    </row>
    <row r="400">
      <c r="A400" s="653"/>
      <c r="B400" s="654"/>
      <c r="C400" s="655"/>
      <c r="D400" s="656"/>
      <c r="E400" s="657"/>
      <c r="F400" s="658"/>
      <c r="G400" s="659"/>
      <c r="H400" s="660"/>
      <c r="I400" s="659"/>
      <c r="J400" s="661"/>
      <c r="K400" s="658"/>
      <c r="L400" s="658"/>
      <c r="M400" s="658"/>
      <c r="N400" s="1025"/>
      <c r="O400" s="653"/>
      <c r="P400" s="654"/>
      <c r="Q400" s="1030"/>
      <c r="R400" s="661"/>
      <c r="S400" s="705"/>
      <c r="T400" s="659"/>
      <c r="U400" s="661"/>
      <c r="V400" s="660"/>
      <c r="W400" s="691"/>
      <c r="X400" s="661"/>
      <c r="Y400" s="661"/>
    </row>
    <row r="401">
      <c r="A401" s="653"/>
      <c r="B401" s="654"/>
      <c r="C401" s="655"/>
      <c r="D401" s="656"/>
      <c r="E401" s="657"/>
      <c r="F401" s="658"/>
      <c r="G401" s="659"/>
      <c r="H401" s="660"/>
      <c r="I401" s="659"/>
      <c r="J401" s="661"/>
      <c r="K401" s="658"/>
      <c r="L401" s="658"/>
      <c r="M401" s="658"/>
      <c r="N401" s="1025"/>
      <c r="O401" s="653"/>
      <c r="P401" s="654"/>
      <c r="Q401" s="1030"/>
      <c r="R401" s="661"/>
      <c r="S401" s="705"/>
      <c r="T401" s="659"/>
      <c r="U401" s="661"/>
      <c r="V401" s="660"/>
      <c r="W401" s="691"/>
      <c r="X401" s="661"/>
      <c r="Y401" s="661"/>
    </row>
    <row r="402">
      <c r="A402" s="653"/>
      <c r="B402" s="654"/>
      <c r="C402" s="655"/>
      <c r="D402" s="656"/>
      <c r="E402" s="657"/>
      <c r="F402" s="658"/>
      <c r="G402" s="659"/>
      <c r="H402" s="660"/>
      <c r="I402" s="659"/>
      <c r="J402" s="661"/>
      <c r="K402" s="658"/>
      <c r="L402" s="658"/>
      <c r="M402" s="658"/>
      <c r="N402" s="1025"/>
      <c r="O402" s="653"/>
      <c r="P402" s="654"/>
      <c r="Q402" s="1030"/>
      <c r="R402" s="661"/>
      <c r="S402" s="705"/>
      <c r="T402" s="659"/>
      <c r="U402" s="661"/>
      <c r="V402" s="660"/>
      <c r="W402" s="691"/>
      <c r="X402" s="661"/>
      <c r="Y402" s="661"/>
    </row>
    <row r="403">
      <c r="A403" s="653"/>
      <c r="B403" s="654"/>
      <c r="C403" s="655"/>
      <c r="D403" s="656"/>
      <c r="E403" s="657"/>
      <c r="F403" s="658"/>
      <c r="G403" s="659"/>
      <c r="H403" s="660"/>
      <c r="I403" s="659"/>
      <c r="J403" s="661"/>
      <c r="K403" s="658"/>
      <c r="L403" s="658"/>
      <c r="M403" s="658"/>
      <c r="N403" s="1025"/>
      <c r="O403" s="653"/>
      <c r="P403" s="654"/>
      <c r="Q403" s="1030"/>
      <c r="R403" s="661"/>
      <c r="S403" s="705"/>
      <c r="T403" s="659"/>
      <c r="U403" s="661"/>
      <c r="V403" s="660"/>
      <c r="W403" s="691"/>
      <c r="X403" s="661"/>
      <c r="Y403" s="661"/>
    </row>
    <row r="404">
      <c r="A404" s="653"/>
      <c r="B404" s="654"/>
      <c r="C404" s="655"/>
      <c r="D404" s="656"/>
      <c r="E404" s="657"/>
      <c r="F404" s="658"/>
      <c r="G404" s="659"/>
      <c r="H404" s="660"/>
      <c r="I404" s="659"/>
      <c r="J404" s="661"/>
      <c r="K404" s="658"/>
      <c r="L404" s="658"/>
      <c r="M404" s="658"/>
      <c r="N404" s="1025"/>
      <c r="O404" s="653"/>
      <c r="P404" s="654"/>
      <c r="Q404" s="1030"/>
      <c r="R404" s="661"/>
      <c r="S404" s="705"/>
      <c r="T404" s="659"/>
      <c r="U404" s="661"/>
      <c r="V404" s="660"/>
      <c r="W404" s="691"/>
      <c r="X404" s="661"/>
      <c r="Y404" s="661"/>
    </row>
    <row r="405">
      <c r="A405" s="653"/>
      <c r="B405" s="654"/>
      <c r="C405" s="655"/>
      <c r="D405" s="656"/>
      <c r="E405" s="657"/>
      <c r="F405" s="658"/>
      <c r="G405" s="659"/>
      <c r="H405" s="660"/>
      <c r="I405" s="659"/>
      <c r="J405" s="661"/>
      <c r="K405" s="658"/>
      <c r="L405" s="658"/>
      <c r="M405" s="658"/>
      <c r="N405" s="1025"/>
      <c r="O405" s="653"/>
      <c r="P405" s="654"/>
      <c r="Q405" s="1030"/>
      <c r="R405" s="661"/>
      <c r="S405" s="705"/>
      <c r="T405" s="659"/>
      <c r="U405" s="661"/>
      <c r="V405" s="660"/>
      <c r="W405" s="691"/>
      <c r="X405" s="661"/>
      <c r="Y405" s="661"/>
    </row>
    <row r="406">
      <c r="A406" s="653"/>
      <c r="B406" s="654"/>
      <c r="C406" s="655"/>
      <c r="D406" s="656"/>
      <c r="E406" s="657"/>
      <c r="F406" s="658"/>
      <c r="G406" s="659"/>
      <c r="H406" s="660"/>
      <c r="I406" s="659"/>
      <c r="J406" s="661"/>
      <c r="K406" s="658"/>
      <c r="L406" s="658"/>
      <c r="M406" s="658"/>
      <c r="N406" s="1025"/>
      <c r="O406" s="653"/>
      <c r="P406" s="654"/>
      <c r="Q406" s="1030"/>
      <c r="R406" s="661"/>
      <c r="S406" s="705"/>
      <c r="T406" s="659"/>
      <c r="U406" s="661"/>
      <c r="V406" s="660"/>
      <c r="W406" s="691"/>
      <c r="X406" s="661"/>
      <c r="Y406" s="661"/>
    </row>
    <row r="407">
      <c r="A407" s="653"/>
      <c r="B407" s="654"/>
      <c r="C407" s="655"/>
      <c r="D407" s="656"/>
      <c r="E407" s="657"/>
      <c r="F407" s="658"/>
      <c r="G407" s="659"/>
      <c r="H407" s="660"/>
      <c r="I407" s="659"/>
      <c r="J407" s="661"/>
      <c r="K407" s="658"/>
      <c r="L407" s="658"/>
      <c r="M407" s="658"/>
      <c r="N407" s="1025"/>
      <c r="O407" s="653"/>
      <c r="P407" s="654"/>
      <c r="Q407" s="1030"/>
      <c r="R407" s="661"/>
      <c r="S407" s="705"/>
      <c r="T407" s="659"/>
      <c r="U407" s="661"/>
      <c r="V407" s="660"/>
      <c r="W407" s="691"/>
      <c r="X407" s="661"/>
      <c r="Y407" s="661"/>
    </row>
    <row r="408">
      <c r="A408" s="653"/>
      <c r="B408" s="654"/>
      <c r="C408" s="655"/>
      <c r="D408" s="656"/>
      <c r="E408" s="657"/>
      <c r="F408" s="658"/>
      <c r="G408" s="659"/>
      <c r="H408" s="660"/>
      <c r="I408" s="659"/>
      <c r="J408" s="661"/>
      <c r="K408" s="658"/>
      <c r="L408" s="658"/>
      <c r="M408" s="658"/>
      <c r="N408" s="1025"/>
      <c r="O408" s="653"/>
      <c r="P408" s="654"/>
      <c r="Q408" s="1030"/>
      <c r="R408" s="661"/>
      <c r="S408" s="705"/>
      <c r="T408" s="659"/>
      <c r="U408" s="661"/>
      <c r="V408" s="660"/>
      <c r="W408" s="691"/>
      <c r="X408" s="661"/>
      <c r="Y408" s="661"/>
    </row>
    <row r="409">
      <c r="A409" s="653"/>
      <c r="B409" s="654"/>
      <c r="C409" s="655"/>
      <c r="D409" s="656"/>
      <c r="E409" s="657"/>
      <c r="F409" s="658"/>
      <c r="G409" s="659"/>
      <c r="H409" s="660"/>
      <c r="I409" s="659"/>
      <c r="J409" s="661"/>
      <c r="K409" s="658"/>
      <c r="L409" s="658"/>
      <c r="M409" s="658"/>
      <c r="N409" s="1025"/>
      <c r="O409" s="653"/>
      <c r="P409" s="654"/>
      <c r="Q409" s="1030"/>
      <c r="R409" s="661"/>
      <c r="S409" s="705"/>
      <c r="T409" s="659"/>
      <c r="U409" s="661"/>
      <c r="V409" s="660"/>
      <c r="W409" s="691"/>
      <c r="X409" s="661"/>
      <c r="Y409" s="661"/>
    </row>
    <row r="410">
      <c r="A410" s="653"/>
      <c r="B410" s="654"/>
      <c r="C410" s="655"/>
      <c r="D410" s="656"/>
      <c r="E410" s="657"/>
      <c r="F410" s="658"/>
      <c r="G410" s="659"/>
      <c r="H410" s="660"/>
      <c r="I410" s="659"/>
      <c r="J410" s="661"/>
      <c r="K410" s="658"/>
      <c r="L410" s="658"/>
      <c r="M410" s="658"/>
      <c r="N410" s="1025"/>
      <c r="O410" s="653"/>
      <c r="P410" s="654"/>
      <c r="Q410" s="1030"/>
      <c r="R410" s="661"/>
      <c r="S410" s="705"/>
      <c r="T410" s="659"/>
      <c r="U410" s="661"/>
      <c r="V410" s="660"/>
      <c r="W410" s="691"/>
      <c r="X410" s="661"/>
      <c r="Y410" s="661"/>
    </row>
    <row r="411">
      <c r="A411" s="653"/>
      <c r="B411" s="654"/>
      <c r="C411" s="655"/>
      <c r="D411" s="656"/>
      <c r="E411" s="657"/>
      <c r="F411" s="658"/>
      <c r="G411" s="659"/>
      <c r="H411" s="660"/>
      <c r="I411" s="659"/>
      <c r="J411" s="661"/>
      <c r="K411" s="658"/>
      <c r="L411" s="658"/>
      <c r="M411" s="658"/>
      <c r="N411" s="1025"/>
      <c r="O411" s="653"/>
      <c r="P411" s="654"/>
      <c r="Q411" s="1030"/>
      <c r="R411" s="661"/>
      <c r="S411" s="705"/>
      <c r="T411" s="659"/>
      <c r="U411" s="661"/>
      <c r="V411" s="660"/>
      <c r="W411" s="691"/>
      <c r="X411" s="661"/>
      <c r="Y411" s="661"/>
    </row>
    <row r="412">
      <c r="A412" s="653"/>
      <c r="B412" s="654"/>
      <c r="C412" s="655"/>
      <c r="D412" s="656"/>
      <c r="E412" s="657"/>
      <c r="F412" s="658"/>
      <c r="G412" s="659"/>
      <c r="H412" s="660"/>
      <c r="I412" s="659"/>
      <c r="J412" s="661"/>
      <c r="K412" s="658"/>
      <c r="L412" s="658"/>
      <c r="M412" s="658"/>
      <c r="N412" s="1025"/>
      <c r="O412" s="653"/>
      <c r="P412" s="654"/>
      <c r="Q412" s="1030"/>
      <c r="R412" s="661"/>
      <c r="S412" s="705"/>
      <c r="T412" s="659"/>
      <c r="U412" s="661"/>
      <c r="V412" s="660"/>
      <c r="W412" s="691"/>
      <c r="X412" s="661"/>
      <c r="Y412" s="661"/>
    </row>
    <row r="413">
      <c r="A413" s="653"/>
      <c r="B413" s="654"/>
      <c r="C413" s="655"/>
      <c r="D413" s="656"/>
      <c r="E413" s="657"/>
      <c r="F413" s="658"/>
      <c r="G413" s="659"/>
      <c r="H413" s="660"/>
      <c r="I413" s="659"/>
      <c r="J413" s="661"/>
      <c r="K413" s="658"/>
      <c r="L413" s="658"/>
      <c r="M413" s="658"/>
      <c r="N413" s="1025"/>
      <c r="O413" s="653"/>
      <c r="P413" s="654"/>
      <c r="Q413" s="1030"/>
      <c r="R413" s="661"/>
      <c r="S413" s="705"/>
      <c r="T413" s="659"/>
      <c r="U413" s="661"/>
      <c r="V413" s="660"/>
      <c r="W413" s="691"/>
      <c r="X413" s="661"/>
      <c r="Y413" s="661"/>
    </row>
    <row r="414">
      <c r="A414" s="653"/>
      <c r="B414" s="654"/>
      <c r="C414" s="655"/>
      <c r="D414" s="656"/>
      <c r="E414" s="657"/>
      <c r="F414" s="658"/>
      <c r="G414" s="659"/>
      <c r="H414" s="660"/>
      <c r="I414" s="659"/>
      <c r="J414" s="661"/>
      <c r="K414" s="658"/>
      <c r="L414" s="658"/>
      <c r="M414" s="658"/>
      <c r="N414" s="1025"/>
      <c r="O414" s="653"/>
      <c r="P414" s="654"/>
      <c r="Q414" s="1030"/>
      <c r="R414" s="661"/>
      <c r="S414" s="705"/>
      <c r="T414" s="659"/>
      <c r="U414" s="661"/>
      <c r="V414" s="660"/>
      <c r="W414" s="691"/>
      <c r="X414" s="661"/>
      <c r="Y414" s="661"/>
    </row>
    <row r="415">
      <c r="A415" s="653"/>
      <c r="B415" s="654"/>
      <c r="C415" s="655"/>
      <c r="D415" s="656"/>
      <c r="E415" s="657"/>
      <c r="F415" s="658"/>
      <c r="G415" s="659"/>
      <c r="H415" s="660"/>
      <c r="I415" s="659"/>
      <c r="J415" s="661"/>
      <c r="K415" s="658"/>
      <c r="L415" s="658"/>
      <c r="M415" s="658"/>
      <c r="N415" s="1025"/>
      <c r="O415" s="653"/>
      <c r="P415" s="654"/>
      <c r="Q415" s="1030"/>
      <c r="R415" s="661"/>
      <c r="S415" s="705"/>
      <c r="T415" s="659"/>
      <c r="U415" s="661"/>
      <c r="V415" s="660"/>
      <c r="W415" s="691"/>
      <c r="X415" s="661"/>
      <c r="Y415" s="661"/>
    </row>
    <row r="416">
      <c r="A416" s="653"/>
      <c r="B416" s="654"/>
      <c r="C416" s="655"/>
      <c r="D416" s="656"/>
      <c r="E416" s="657"/>
      <c r="F416" s="658"/>
      <c r="G416" s="659"/>
      <c r="H416" s="660"/>
      <c r="I416" s="659"/>
      <c r="J416" s="661"/>
      <c r="K416" s="658"/>
      <c r="L416" s="658"/>
      <c r="M416" s="658"/>
      <c r="N416" s="1025"/>
      <c r="O416" s="653"/>
      <c r="P416" s="654"/>
      <c r="Q416" s="1030"/>
      <c r="R416" s="661"/>
      <c r="S416" s="705"/>
      <c r="T416" s="659"/>
      <c r="U416" s="661"/>
      <c r="V416" s="660"/>
      <c r="W416" s="691"/>
      <c r="X416" s="661"/>
      <c r="Y416" s="661"/>
    </row>
    <row r="417">
      <c r="A417" s="653"/>
      <c r="B417" s="654"/>
      <c r="C417" s="655"/>
      <c r="D417" s="656"/>
      <c r="E417" s="657"/>
      <c r="F417" s="658"/>
      <c r="G417" s="659"/>
      <c r="H417" s="660"/>
      <c r="I417" s="659"/>
      <c r="J417" s="661"/>
      <c r="K417" s="658"/>
      <c r="L417" s="658"/>
      <c r="M417" s="658"/>
      <c r="N417" s="1025"/>
      <c r="O417" s="653"/>
      <c r="P417" s="654"/>
      <c r="Q417" s="1030"/>
      <c r="R417" s="661"/>
      <c r="S417" s="705"/>
      <c r="T417" s="659"/>
      <c r="U417" s="661"/>
      <c r="V417" s="660"/>
      <c r="W417" s="691"/>
      <c r="X417" s="661"/>
      <c r="Y417" s="661"/>
    </row>
    <row r="418">
      <c r="A418" s="653"/>
      <c r="B418" s="654"/>
      <c r="C418" s="655"/>
      <c r="D418" s="656"/>
      <c r="E418" s="657"/>
      <c r="F418" s="658"/>
      <c r="G418" s="659"/>
      <c r="H418" s="660"/>
      <c r="I418" s="659"/>
      <c r="J418" s="661"/>
      <c r="K418" s="658"/>
      <c r="L418" s="658"/>
      <c r="M418" s="658"/>
      <c r="N418" s="1025"/>
      <c r="O418" s="653"/>
      <c r="P418" s="654"/>
      <c r="Q418" s="1030"/>
      <c r="R418" s="661"/>
      <c r="S418" s="705"/>
      <c r="T418" s="659"/>
      <c r="U418" s="661"/>
      <c r="V418" s="660"/>
      <c r="W418" s="691"/>
      <c r="X418" s="661"/>
      <c r="Y418" s="661"/>
    </row>
    <row r="419">
      <c r="A419" s="653"/>
      <c r="B419" s="654"/>
      <c r="C419" s="655"/>
      <c r="D419" s="656"/>
      <c r="E419" s="657"/>
      <c r="F419" s="658"/>
      <c r="G419" s="659"/>
      <c r="H419" s="660"/>
      <c r="I419" s="659"/>
      <c r="J419" s="661"/>
      <c r="K419" s="658"/>
      <c r="L419" s="658"/>
      <c r="M419" s="658"/>
      <c r="N419" s="1025"/>
      <c r="O419" s="653"/>
      <c r="P419" s="654"/>
      <c r="Q419" s="1030"/>
      <c r="R419" s="661"/>
      <c r="S419" s="705"/>
      <c r="T419" s="659"/>
      <c r="U419" s="661"/>
      <c r="V419" s="660"/>
      <c r="W419" s="691"/>
      <c r="X419" s="661"/>
      <c r="Y419" s="661"/>
    </row>
    <row r="420">
      <c r="A420" s="653"/>
      <c r="B420" s="654"/>
      <c r="C420" s="655"/>
      <c r="D420" s="656"/>
      <c r="E420" s="657"/>
      <c r="F420" s="658"/>
      <c r="G420" s="659"/>
      <c r="H420" s="660"/>
      <c r="I420" s="659"/>
      <c r="J420" s="661"/>
      <c r="K420" s="658"/>
      <c r="L420" s="658"/>
      <c r="M420" s="658"/>
      <c r="N420" s="1025"/>
      <c r="O420" s="653"/>
      <c r="P420" s="654"/>
      <c r="Q420" s="1030"/>
      <c r="R420" s="661"/>
      <c r="S420" s="705"/>
      <c r="T420" s="659"/>
      <c r="U420" s="661"/>
      <c r="V420" s="660"/>
      <c r="W420" s="691"/>
      <c r="X420" s="661"/>
      <c r="Y420" s="661"/>
    </row>
    <row r="421">
      <c r="A421" s="653"/>
      <c r="B421" s="654"/>
      <c r="C421" s="655"/>
      <c r="D421" s="656"/>
      <c r="E421" s="657"/>
      <c r="F421" s="658"/>
      <c r="G421" s="659"/>
      <c r="H421" s="660"/>
      <c r="I421" s="659"/>
      <c r="J421" s="661"/>
      <c r="K421" s="658"/>
      <c r="L421" s="658"/>
      <c r="M421" s="658"/>
      <c r="N421" s="1025"/>
      <c r="O421" s="653"/>
      <c r="P421" s="654"/>
      <c r="Q421" s="1030"/>
      <c r="R421" s="661"/>
      <c r="S421" s="705"/>
      <c r="T421" s="659"/>
      <c r="U421" s="661"/>
      <c r="V421" s="660"/>
      <c r="W421" s="691"/>
      <c r="X421" s="661"/>
      <c r="Y421" s="661"/>
    </row>
    <row r="422">
      <c r="A422" s="653"/>
      <c r="B422" s="654"/>
      <c r="C422" s="655"/>
      <c r="D422" s="656"/>
      <c r="E422" s="657"/>
      <c r="F422" s="658"/>
      <c r="G422" s="659"/>
      <c r="H422" s="660"/>
      <c r="I422" s="659"/>
      <c r="J422" s="661"/>
      <c r="K422" s="658"/>
      <c r="L422" s="658"/>
      <c r="M422" s="658"/>
      <c r="N422" s="1025"/>
      <c r="O422" s="653"/>
      <c r="P422" s="654"/>
      <c r="Q422" s="1030"/>
      <c r="R422" s="661"/>
      <c r="S422" s="705"/>
      <c r="T422" s="659"/>
      <c r="U422" s="661"/>
      <c r="V422" s="660"/>
      <c r="W422" s="691"/>
      <c r="X422" s="661"/>
      <c r="Y422" s="661"/>
    </row>
    <row r="423">
      <c r="A423" s="653"/>
      <c r="B423" s="654"/>
      <c r="C423" s="655"/>
      <c r="D423" s="656"/>
      <c r="E423" s="657"/>
      <c r="F423" s="658"/>
      <c r="G423" s="659"/>
      <c r="H423" s="660"/>
      <c r="I423" s="659"/>
      <c r="J423" s="661"/>
      <c r="K423" s="658"/>
      <c r="L423" s="658"/>
      <c r="M423" s="658"/>
      <c r="N423" s="1025"/>
      <c r="O423" s="653"/>
      <c r="P423" s="654"/>
      <c r="Q423" s="1030"/>
      <c r="R423" s="661"/>
      <c r="S423" s="705"/>
      <c r="T423" s="659"/>
      <c r="U423" s="661"/>
      <c r="V423" s="660"/>
      <c r="W423" s="691"/>
      <c r="X423" s="661"/>
      <c r="Y423" s="661"/>
    </row>
    <row r="424">
      <c r="A424" s="653"/>
      <c r="B424" s="654"/>
      <c r="C424" s="655"/>
      <c r="D424" s="656"/>
      <c r="E424" s="657"/>
      <c r="F424" s="658"/>
      <c r="G424" s="659"/>
      <c r="H424" s="660"/>
      <c r="I424" s="659"/>
      <c r="J424" s="661"/>
      <c r="K424" s="658"/>
      <c r="L424" s="658"/>
      <c r="M424" s="658"/>
      <c r="N424" s="1025"/>
      <c r="O424" s="653"/>
      <c r="P424" s="654"/>
      <c r="Q424" s="1030"/>
      <c r="R424" s="661"/>
      <c r="S424" s="705"/>
      <c r="T424" s="659"/>
      <c r="U424" s="661"/>
      <c r="V424" s="660"/>
      <c r="W424" s="691"/>
      <c r="X424" s="661"/>
      <c r="Y424" s="661"/>
    </row>
    <row r="425">
      <c r="A425" s="653"/>
      <c r="B425" s="654"/>
      <c r="C425" s="655"/>
      <c r="D425" s="656"/>
      <c r="E425" s="657"/>
      <c r="F425" s="658"/>
      <c r="G425" s="659"/>
      <c r="H425" s="660"/>
      <c r="I425" s="659"/>
      <c r="J425" s="661"/>
      <c r="K425" s="658"/>
      <c r="L425" s="658"/>
      <c r="M425" s="658"/>
      <c r="N425" s="1025"/>
      <c r="O425" s="653"/>
      <c r="P425" s="654"/>
      <c r="Q425" s="1030"/>
      <c r="R425" s="661"/>
      <c r="S425" s="705"/>
      <c r="T425" s="659"/>
      <c r="U425" s="661"/>
      <c r="V425" s="660"/>
      <c r="W425" s="691"/>
      <c r="X425" s="661"/>
      <c r="Y425" s="661"/>
    </row>
    <row r="426">
      <c r="A426" s="653"/>
      <c r="B426" s="654"/>
      <c r="C426" s="655"/>
      <c r="D426" s="656"/>
      <c r="E426" s="657"/>
      <c r="F426" s="658"/>
      <c r="G426" s="659"/>
      <c r="H426" s="660"/>
      <c r="I426" s="659"/>
      <c r="J426" s="661"/>
      <c r="K426" s="658"/>
      <c r="L426" s="658"/>
      <c r="M426" s="658"/>
      <c r="N426" s="1025"/>
      <c r="O426" s="653"/>
      <c r="P426" s="654"/>
      <c r="Q426" s="1030"/>
      <c r="R426" s="661"/>
      <c r="S426" s="705"/>
      <c r="T426" s="659"/>
      <c r="U426" s="661"/>
      <c r="V426" s="660"/>
      <c r="W426" s="691"/>
      <c r="X426" s="661"/>
      <c r="Y426" s="661"/>
    </row>
    <row r="427">
      <c r="A427" s="653"/>
      <c r="B427" s="654"/>
      <c r="C427" s="655"/>
      <c r="D427" s="656"/>
      <c r="E427" s="657"/>
      <c r="F427" s="658"/>
      <c r="G427" s="659"/>
      <c r="H427" s="660"/>
      <c r="I427" s="659"/>
      <c r="J427" s="661"/>
      <c r="K427" s="658"/>
      <c r="L427" s="658"/>
      <c r="M427" s="658"/>
      <c r="N427" s="1025"/>
      <c r="O427" s="653"/>
      <c r="P427" s="654"/>
      <c r="Q427" s="1030"/>
      <c r="R427" s="661"/>
      <c r="S427" s="705"/>
      <c r="T427" s="659"/>
      <c r="U427" s="661"/>
      <c r="V427" s="660"/>
      <c r="W427" s="691"/>
      <c r="X427" s="661"/>
      <c r="Y427" s="661"/>
    </row>
    <row r="428">
      <c r="A428" s="653"/>
      <c r="B428" s="654"/>
      <c r="C428" s="655"/>
      <c r="D428" s="656"/>
      <c r="E428" s="657"/>
      <c r="F428" s="658"/>
      <c r="G428" s="659"/>
      <c r="H428" s="660"/>
      <c r="I428" s="659"/>
      <c r="J428" s="661"/>
      <c r="K428" s="658"/>
      <c r="L428" s="658"/>
      <c r="M428" s="658"/>
      <c r="N428" s="1025"/>
      <c r="O428" s="653"/>
      <c r="P428" s="654"/>
      <c r="Q428" s="1030"/>
      <c r="R428" s="661"/>
      <c r="S428" s="705"/>
      <c r="T428" s="659"/>
      <c r="U428" s="661"/>
      <c r="V428" s="660"/>
      <c r="W428" s="691"/>
      <c r="X428" s="661"/>
      <c r="Y428" s="661"/>
    </row>
    <row r="429">
      <c r="A429" s="653"/>
      <c r="B429" s="654"/>
      <c r="C429" s="655"/>
      <c r="D429" s="656"/>
      <c r="E429" s="657"/>
      <c r="F429" s="658"/>
      <c r="G429" s="659"/>
      <c r="H429" s="660"/>
      <c r="I429" s="659"/>
      <c r="J429" s="661"/>
      <c r="K429" s="658"/>
      <c r="L429" s="658"/>
      <c r="M429" s="658"/>
      <c r="N429" s="1025"/>
      <c r="O429" s="653"/>
      <c r="P429" s="654"/>
      <c r="Q429" s="1030"/>
      <c r="R429" s="661"/>
      <c r="S429" s="705"/>
      <c r="T429" s="659"/>
      <c r="U429" s="661"/>
      <c r="V429" s="660"/>
      <c r="W429" s="691"/>
      <c r="X429" s="661"/>
      <c r="Y429" s="661"/>
    </row>
    <row r="430">
      <c r="A430" s="653"/>
      <c r="B430" s="654"/>
      <c r="C430" s="655"/>
      <c r="D430" s="656"/>
      <c r="E430" s="657"/>
      <c r="F430" s="658"/>
      <c r="G430" s="659"/>
      <c r="H430" s="660"/>
      <c r="I430" s="659"/>
      <c r="J430" s="661"/>
      <c r="K430" s="658"/>
      <c r="L430" s="658"/>
      <c r="M430" s="658"/>
      <c r="N430" s="1025"/>
      <c r="O430" s="653"/>
      <c r="P430" s="654"/>
      <c r="Q430" s="1030"/>
      <c r="R430" s="661"/>
      <c r="S430" s="705"/>
      <c r="T430" s="659"/>
      <c r="U430" s="661"/>
      <c r="V430" s="660"/>
      <c r="W430" s="691"/>
      <c r="X430" s="661"/>
      <c r="Y430" s="661"/>
    </row>
    <row r="431">
      <c r="A431" s="653"/>
      <c r="B431" s="654"/>
      <c r="C431" s="655"/>
      <c r="D431" s="656"/>
      <c r="E431" s="657"/>
      <c r="F431" s="658"/>
      <c r="G431" s="659"/>
      <c r="H431" s="660"/>
      <c r="I431" s="659"/>
      <c r="J431" s="661"/>
      <c r="K431" s="658"/>
      <c r="L431" s="658"/>
      <c r="M431" s="658"/>
      <c r="N431" s="1025"/>
      <c r="O431" s="653"/>
      <c r="P431" s="654"/>
      <c r="Q431" s="1030"/>
      <c r="R431" s="661"/>
      <c r="S431" s="705"/>
      <c r="T431" s="659"/>
      <c r="U431" s="661"/>
      <c r="V431" s="660"/>
      <c r="W431" s="691"/>
      <c r="X431" s="661"/>
      <c r="Y431" s="661"/>
    </row>
    <row r="432">
      <c r="A432" s="653"/>
      <c r="B432" s="654"/>
      <c r="C432" s="655"/>
      <c r="D432" s="656"/>
      <c r="E432" s="657"/>
      <c r="F432" s="658"/>
      <c r="G432" s="659"/>
      <c r="H432" s="660"/>
      <c r="I432" s="659"/>
      <c r="J432" s="661"/>
      <c r="K432" s="658"/>
      <c r="L432" s="658"/>
      <c r="M432" s="658"/>
      <c r="N432" s="1025"/>
      <c r="O432" s="653"/>
      <c r="P432" s="654"/>
      <c r="Q432" s="1030"/>
      <c r="R432" s="661"/>
      <c r="S432" s="705"/>
      <c r="T432" s="659"/>
      <c r="U432" s="661"/>
      <c r="V432" s="660"/>
      <c r="W432" s="691"/>
      <c r="X432" s="661"/>
      <c r="Y432" s="661"/>
    </row>
    <row r="433">
      <c r="A433" s="653"/>
      <c r="B433" s="654"/>
      <c r="C433" s="655"/>
      <c r="D433" s="656"/>
      <c r="E433" s="657"/>
      <c r="F433" s="658"/>
      <c r="G433" s="659"/>
      <c r="H433" s="660"/>
      <c r="I433" s="659"/>
      <c r="J433" s="661"/>
      <c r="K433" s="658"/>
      <c r="L433" s="658"/>
      <c r="M433" s="658"/>
      <c r="N433" s="1025"/>
      <c r="O433" s="653"/>
      <c r="P433" s="654"/>
      <c r="Q433" s="1030"/>
      <c r="R433" s="661"/>
      <c r="S433" s="705"/>
      <c r="T433" s="659"/>
      <c r="U433" s="661"/>
      <c r="V433" s="660"/>
      <c r="W433" s="691"/>
      <c r="X433" s="661"/>
      <c r="Y433" s="661"/>
    </row>
    <row r="434">
      <c r="A434" s="653"/>
      <c r="B434" s="654"/>
      <c r="C434" s="655"/>
      <c r="D434" s="656"/>
      <c r="E434" s="657"/>
      <c r="F434" s="658"/>
      <c r="G434" s="659"/>
      <c r="H434" s="660"/>
      <c r="I434" s="659"/>
      <c r="J434" s="661"/>
      <c r="K434" s="658"/>
      <c r="L434" s="658"/>
      <c r="M434" s="658"/>
      <c r="N434" s="1025"/>
      <c r="O434" s="653"/>
      <c r="P434" s="654"/>
      <c r="Q434" s="1030"/>
      <c r="R434" s="661"/>
      <c r="S434" s="705"/>
      <c r="T434" s="659"/>
      <c r="U434" s="661"/>
      <c r="V434" s="660"/>
      <c r="W434" s="691"/>
      <c r="X434" s="661"/>
      <c r="Y434" s="661"/>
    </row>
    <row r="435">
      <c r="A435" s="653"/>
      <c r="B435" s="654"/>
      <c r="C435" s="655"/>
      <c r="D435" s="656"/>
      <c r="E435" s="657"/>
      <c r="F435" s="658"/>
      <c r="G435" s="659"/>
      <c r="H435" s="660"/>
      <c r="I435" s="659"/>
      <c r="J435" s="661"/>
      <c r="K435" s="658"/>
      <c r="L435" s="658"/>
      <c r="M435" s="658"/>
      <c r="N435" s="1025"/>
      <c r="O435" s="653"/>
      <c r="P435" s="654"/>
      <c r="Q435" s="1030"/>
      <c r="R435" s="661"/>
      <c r="S435" s="705"/>
      <c r="T435" s="659"/>
      <c r="U435" s="661"/>
      <c r="V435" s="660"/>
      <c r="W435" s="691"/>
      <c r="X435" s="661"/>
      <c r="Y435" s="661"/>
    </row>
    <row r="436">
      <c r="A436" s="653"/>
      <c r="B436" s="654"/>
      <c r="C436" s="655"/>
      <c r="D436" s="656"/>
      <c r="E436" s="657"/>
      <c r="F436" s="658"/>
      <c r="G436" s="659"/>
      <c r="H436" s="660"/>
      <c r="I436" s="659"/>
      <c r="J436" s="661"/>
      <c r="K436" s="658"/>
      <c r="L436" s="658"/>
      <c r="M436" s="658"/>
      <c r="N436" s="1025"/>
      <c r="O436" s="653"/>
      <c r="P436" s="654"/>
      <c r="Q436" s="1030"/>
      <c r="R436" s="661"/>
      <c r="S436" s="705"/>
      <c r="T436" s="659"/>
      <c r="U436" s="661"/>
      <c r="V436" s="660"/>
      <c r="W436" s="691"/>
      <c r="X436" s="661"/>
      <c r="Y436" s="661"/>
    </row>
    <row r="437">
      <c r="A437" s="653"/>
      <c r="B437" s="654"/>
      <c r="C437" s="655"/>
      <c r="D437" s="656"/>
      <c r="E437" s="657"/>
      <c r="F437" s="658"/>
      <c r="G437" s="659"/>
      <c r="H437" s="660"/>
      <c r="I437" s="659"/>
      <c r="J437" s="661"/>
      <c r="K437" s="658"/>
      <c r="L437" s="658"/>
      <c r="M437" s="658"/>
      <c r="N437" s="1025"/>
      <c r="O437" s="653"/>
      <c r="P437" s="654"/>
      <c r="Q437" s="1030"/>
      <c r="R437" s="661"/>
      <c r="S437" s="705"/>
      <c r="T437" s="659"/>
      <c r="U437" s="661"/>
      <c r="V437" s="660"/>
      <c r="W437" s="691"/>
      <c r="X437" s="661"/>
      <c r="Y437" s="661"/>
    </row>
    <row r="438">
      <c r="A438" s="653"/>
      <c r="B438" s="654"/>
      <c r="C438" s="655"/>
      <c r="D438" s="656"/>
      <c r="E438" s="657"/>
      <c r="F438" s="658"/>
      <c r="G438" s="659"/>
      <c r="H438" s="660"/>
      <c r="I438" s="659"/>
      <c r="J438" s="661"/>
      <c r="K438" s="658"/>
      <c r="L438" s="658"/>
      <c r="M438" s="658"/>
      <c r="N438" s="1025"/>
      <c r="O438" s="653"/>
      <c r="P438" s="654"/>
      <c r="Q438" s="1030"/>
      <c r="R438" s="661"/>
      <c r="S438" s="705"/>
      <c r="T438" s="659"/>
      <c r="U438" s="661"/>
      <c r="V438" s="660"/>
      <c r="W438" s="691"/>
      <c r="X438" s="661"/>
      <c r="Y438" s="661"/>
    </row>
    <row r="439">
      <c r="A439" s="653"/>
      <c r="B439" s="654"/>
      <c r="C439" s="655"/>
      <c r="D439" s="656"/>
      <c r="E439" s="657"/>
      <c r="F439" s="658"/>
      <c r="G439" s="659"/>
      <c r="H439" s="660"/>
      <c r="I439" s="659"/>
      <c r="J439" s="661"/>
      <c r="K439" s="658"/>
      <c r="L439" s="658"/>
      <c r="M439" s="658"/>
      <c r="N439" s="1025"/>
      <c r="O439" s="653"/>
      <c r="P439" s="654"/>
      <c r="Q439" s="1030"/>
      <c r="R439" s="661"/>
      <c r="S439" s="705"/>
      <c r="T439" s="659"/>
      <c r="U439" s="661"/>
      <c r="V439" s="660"/>
      <c r="W439" s="691"/>
      <c r="X439" s="661"/>
      <c r="Y439" s="661"/>
    </row>
    <row r="440">
      <c r="A440" s="653"/>
      <c r="B440" s="654"/>
      <c r="C440" s="655"/>
      <c r="D440" s="656"/>
      <c r="E440" s="657"/>
      <c r="F440" s="658"/>
      <c r="G440" s="659"/>
      <c r="H440" s="660"/>
      <c r="I440" s="659"/>
      <c r="J440" s="661"/>
      <c r="K440" s="658"/>
      <c r="L440" s="658"/>
      <c r="M440" s="658"/>
      <c r="N440" s="1025"/>
      <c r="O440" s="653"/>
      <c r="P440" s="654"/>
      <c r="Q440" s="1030"/>
      <c r="R440" s="661"/>
      <c r="S440" s="705"/>
      <c r="T440" s="659"/>
      <c r="U440" s="661"/>
      <c r="V440" s="660"/>
      <c r="W440" s="691"/>
      <c r="X440" s="661"/>
      <c r="Y440" s="661"/>
    </row>
    <row r="441">
      <c r="A441" s="653"/>
      <c r="B441" s="654"/>
      <c r="C441" s="655"/>
      <c r="D441" s="656"/>
      <c r="E441" s="657"/>
      <c r="F441" s="658"/>
      <c r="G441" s="659"/>
      <c r="H441" s="660"/>
      <c r="I441" s="659"/>
      <c r="J441" s="661"/>
      <c r="K441" s="658"/>
      <c r="L441" s="658"/>
      <c r="M441" s="658"/>
      <c r="N441" s="1025"/>
      <c r="O441" s="653"/>
      <c r="P441" s="654"/>
      <c r="Q441" s="1030"/>
      <c r="R441" s="661"/>
      <c r="S441" s="705"/>
      <c r="T441" s="659"/>
      <c r="U441" s="661"/>
      <c r="V441" s="660"/>
      <c r="W441" s="691"/>
      <c r="X441" s="661"/>
      <c r="Y441" s="661"/>
    </row>
    <row r="442">
      <c r="A442" s="653"/>
      <c r="B442" s="654"/>
      <c r="C442" s="655"/>
      <c r="D442" s="656"/>
      <c r="E442" s="657"/>
      <c r="F442" s="658"/>
      <c r="G442" s="659"/>
      <c r="H442" s="660"/>
      <c r="I442" s="659"/>
      <c r="J442" s="661"/>
      <c r="K442" s="658"/>
      <c r="L442" s="658"/>
      <c r="M442" s="658"/>
      <c r="N442" s="1025"/>
      <c r="O442" s="653"/>
      <c r="P442" s="654"/>
      <c r="Q442" s="1030"/>
      <c r="R442" s="661"/>
      <c r="S442" s="705"/>
      <c r="T442" s="659"/>
      <c r="U442" s="661"/>
      <c r="V442" s="660"/>
      <c r="W442" s="691"/>
      <c r="X442" s="661"/>
      <c r="Y442" s="661"/>
    </row>
    <row r="443">
      <c r="A443" s="653"/>
      <c r="B443" s="654"/>
      <c r="C443" s="655"/>
      <c r="D443" s="656"/>
      <c r="E443" s="657"/>
      <c r="F443" s="658"/>
      <c r="G443" s="659"/>
      <c r="H443" s="660"/>
      <c r="I443" s="659"/>
      <c r="J443" s="661"/>
      <c r="K443" s="658"/>
      <c r="L443" s="658"/>
      <c r="M443" s="658"/>
      <c r="N443" s="1025"/>
      <c r="O443" s="653"/>
      <c r="P443" s="654"/>
      <c r="Q443" s="1030"/>
      <c r="R443" s="661"/>
      <c r="S443" s="705"/>
      <c r="T443" s="659"/>
      <c r="U443" s="661"/>
      <c r="V443" s="660"/>
      <c r="W443" s="691"/>
      <c r="X443" s="661"/>
      <c r="Y443" s="661"/>
    </row>
    <row r="444">
      <c r="A444" s="653"/>
      <c r="B444" s="654"/>
      <c r="C444" s="655"/>
      <c r="D444" s="656"/>
      <c r="E444" s="657"/>
      <c r="F444" s="658"/>
      <c r="G444" s="659"/>
      <c r="H444" s="660"/>
      <c r="I444" s="659"/>
      <c r="J444" s="661"/>
      <c r="K444" s="658"/>
      <c r="L444" s="658"/>
      <c r="M444" s="658"/>
      <c r="N444" s="1025"/>
      <c r="O444" s="653"/>
      <c r="P444" s="654"/>
      <c r="Q444" s="1030"/>
      <c r="R444" s="661"/>
      <c r="S444" s="705"/>
      <c r="T444" s="659"/>
      <c r="U444" s="661"/>
      <c r="V444" s="660"/>
      <c r="W444" s="691"/>
      <c r="X444" s="661"/>
      <c r="Y444" s="661"/>
    </row>
    <row r="445">
      <c r="A445" s="653"/>
      <c r="B445" s="654"/>
      <c r="C445" s="655"/>
      <c r="D445" s="656"/>
      <c r="E445" s="657"/>
      <c r="F445" s="658"/>
      <c r="G445" s="659"/>
      <c r="H445" s="660"/>
      <c r="I445" s="659"/>
      <c r="J445" s="661"/>
      <c r="K445" s="658"/>
      <c r="L445" s="658"/>
      <c r="M445" s="658"/>
      <c r="N445" s="1025"/>
      <c r="O445" s="653"/>
      <c r="P445" s="654"/>
      <c r="Q445" s="1030"/>
      <c r="R445" s="661"/>
      <c r="S445" s="705"/>
      <c r="T445" s="659"/>
      <c r="U445" s="661"/>
      <c r="V445" s="660"/>
      <c r="W445" s="691"/>
      <c r="X445" s="661"/>
      <c r="Y445" s="661"/>
    </row>
    <row r="446">
      <c r="A446" s="653"/>
      <c r="B446" s="654"/>
      <c r="C446" s="655"/>
      <c r="D446" s="656"/>
      <c r="E446" s="657"/>
      <c r="F446" s="658"/>
      <c r="G446" s="659"/>
      <c r="H446" s="660"/>
      <c r="I446" s="659"/>
      <c r="J446" s="661"/>
      <c r="K446" s="658"/>
      <c r="L446" s="658"/>
      <c r="M446" s="658"/>
      <c r="N446" s="1025"/>
      <c r="O446" s="653"/>
      <c r="P446" s="654"/>
      <c r="Q446" s="1030"/>
      <c r="R446" s="661"/>
      <c r="S446" s="705"/>
      <c r="T446" s="659"/>
      <c r="U446" s="661"/>
      <c r="V446" s="660"/>
      <c r="W446" s="691"/>
      <c r="X446" s="661"/>
      <c r="Y446" s="661"/>
    </row>
    <row r="447">
      <c r="A447" s="653"/>
      <c r="B447" s="654"/>
      <c r="C447" s="655"/>
      <c r="D447" s="656"/>
      <c r="E447" s="657"/>
      <c r="F447" s="658"/>
      <c r="G447" s="659"/>
      <c r="H447" s="660"/>
      <c r="I447" s="659"/>
      <c r="J447" s="661"/>
      <c r="K447" s="658"/>
      <c r="L447" s="658"/>
      <c r="M447" s="658"/>
      <c r="N447" s="1025"/>
      <c r="O447" s="653"/>
      <c r="P447" s="654"/>
      <c r="Q447" s="1030"/>
      <c r="R447" s="661"/>
      <c r="S447" s="705"/>
      <c r="T447" s="659"/>
      <c r="U447" s="661"/>
      <c r="V447" s="660"/>
      <c r="W447" s="691"/>
      <c r="X447" s="661"/>
      <c r="Y447" s="661"/>
    </row>
    <row r="448">
      <c r="A448" s="653"/>
      <c r="B448" s="654"/>
      <c r="C448" s="655"/>
      <c r="D448" s="656"/>
      <c r="E448" s="657"/>
      <c r="F448" s="658"/>
      <c r="G448" s="659"/>
      <c r="H448" s="660"/>
      <c r="I448" s="659"/>
      <c r="J448" s="661"/>
      <c r="K448" s="658"/>
      <c r="L448" s="658"/>
      <c r="M448" s="658"/>
      <c r="N448" s="1025"/>
      <c r="O448" s="653"/>
      <c r="P448" s="654"/>
      <c r="Q448" s="1030"/>
      <c r="R448" s="661"/>
      <c r="S448" s="705"/>
      <c r="T448" s="659"/>
      <c r="U448" s="661"/>
      <c r="V448" s="660"/>
      <c r="W448" s="691"/>
      <c r="X448" s="661"/>
      <c r="Y448" s="661"/>
    </row>
    <row r="449">
      <c r="A449" s="653"/>
      <c r="B449" s="654"/>
      <c r="C449" s="655"/>
      <c r="D449" s="656"/>
      <c r="E449" s="657"/>
      <c r="F449" s="658"/>
      <c r="G449" s="659"/>
      <c r="H449" s="660"/>
      <c r="I449" s="659"/>
      <c r="J449" s="661"/>
      <c r="K449" s="658"/>
      <c r="L449" s="658"/>
      <c r="M449" s="658"/>
      <c r="N449" s="1025"/>
      <c r="O449" s="653"/>
      <c r="P449" s="654"/>
      <c r="Q449" s="1030"/>
      <c r="R449" s="661"/>
      <c r="S449" s="705"/>
      <c r="T449" s="659"/>
      <c r="U449" s="661"/>
      <c r="V449" s="660"/>
      <c r="W449" s="691"/>
      <c r="X449" s="661"/>
      <c r="Y449" s="661"/>
    </row>
    <row r="450">
      <c r="A450" s="653"/>
      <c r="B450" s="654"/>
      <c r="C450" s="655"/>
      <c r="D450" s="656"/>
      <c r="E450" s="657"/>
      <c r="F450" s="658"/>
      <c r="G450" s="659"/>
      <c r="H450" s="660"/>
      <c r="I450" s="659"/>
      <c r="J450" s="661"/>
      <c r="K450" s="658"/>
      <c r="L450" s="658"/>
      <c r="M450" s="658"/>
      <c r="N450" s="1025"/>
      <c r="O450" s="653"/>
      <c r="P450" s="654"/>
      <c r="Q450" s="1030"/>
      <c r="R450" s="661"/>
      <c r="S450" s="705"/>
      <c r="T450" s="659"/>
      <c r="U450" s="661"/>
      <c r="V450" s="660"/>
      <c r="W450" s="691"/>
      <c r="X450" s="661"/>
      <c r="Y450" s="661"/>
    </row>
    <row r="451">
      <c r="A451" s="653"/>
      <c r="B451" s="654"/>
      <c r="C451" s="655"/>
      <c r="D451" s="656"/>
      <c r="E451" s="657"/>
      <c r="F451" s="658"/>
      <c r="G451" s="659"/>
      <c r="H451" s="660"/>
      <c r="I451" s="659"/>
      <c r="J451" s="661"/>
      <c r="K451" s="658"/>
      <c r="L451" s="658"/>
      <c r="M451" s="658"/>
      <c r="N451" s="1025"/>
      <c r="O451" s="653"/>
      <c r="P451" s="654"/>
      <c r="Q451" s="1030"/>
      <c r="R451" s="661"/>
      <c r="S451" s="705"/>
      <c r="T451" s="659"/>
      <c r="U451" s="661"/>
      <c r="V451" s="660"/>
      <c r="W451" s="691"/>
      <c r="X451" s="661"/>
      <c r="Y451" s="661"/>
    </row>
    <row r="452">
      <c r="A452" s="653"/>
      <c r="B452" s="654"/>
      <c r="C452" s="655"/>
      <c r="D452" s="656"/>
      <c r="E452" s="657"/>
      <c r="F452" s="658"/>
      <c r="G452" s="659"/>
      <c r="H452" s="660"/>
      <c r="I452" s="659"/>
      <c r="J452" s="661"/>
      <c r="K452" s="658"/>
      <c r="L452" s="658"/>
      <c r="M452" s="658"/>
      <c r="N452" s="1025"/>
      <c r="O452" s="653"/>
      <c r="P452" s="654"/>
      <c r="Q452" s="1030"/>
      <c r="R452" s="661"/>
      <c r="S452" s="705"/>
      <c r="T452" s="659"/>
      <c r="U452" s="661"/>
      <c r="V452" s="660"/>
      <c r="W452" s="691"/>
      <c r="X452" s="661"/>
      <c r="Y452" s="661"/>
    </row>
    <row r="453">
      <c r="A453" s="653"/>
      <c r="B453" s="654"/>
      <c r="C453" s="655"/>
      <c r="D453" s="656"/>
      <c r="E453" s="657"/>
      <c r="F453" s="658"/>
      <c r="G453" s="659"/>
      <c r="H453" s="660"/>
      <c r="I453" s="659"/>
      <c r="J453" s="661"/>
      <c r="K453" s="658"/>
      <c r="L453" s="658"/>
      <c r="M453" s="658"/>
      <c r="N453" s="1025"/>
      <c r="O453" s="653"/>
      <c r="P453" s="654"/>
      <c r="Q453" s="1030"/>
      <c r="R453" s="661"/>
      <c r="S453" s="705"/>
      <c r="T453" s="659"/>
      <c r="U453" s="661"/>
      <c r="V453" s="660"/>
      <c r="W453" s="691"/>
      <c r="X453" s="661"/>
      <c r="Y453" s="661"/>
    </row>
    <row r="454">
      <c r="A454" s="653"/>
      <c r="B454" s="654"/>
      <c r="C454" s="655"/>
      <c r="D454" s="656"/>
      <c r="E454" s="657"/>
      <c r="F454" s="658"/>
      <c r="G454" s="659"/>
      <c r="H454" s="660"/>
      <c r="I454" s="659"/>
      <c r="J454" s="661"/>
      <c r="K454" s="658"/>
      <c r="L454" s="658"/>
      <c r="M454" s="658"/>
      <c r="N454" s="1025"/>
      <c r="O454" s="653"/>
      <c r="P454" s="654"/>
      <c r="Q454" s="1030"/>
      <c r="R454" s="661"/>
      <c r="S454" s="705"/>
      <c r="T454" s="659"/>
      <c r="U454" s="661"/>
      <c r="V454" s="660"/>
      <c r="W454" s="691"/>
      <c r="X454" s="661"/>
      <c r="Y454" s="661"/>
    </row>
    <row r="455">
      <c r="A455" s="653"/>
      <c r="B455" s="654"/>
      <c r="C455" s="655"/>
      <c r="D455" s="656"/>
      <c r="E455" s="657"/>
      <c r="F455" s="658"/>
      <c r="G455" s="659"/>
      <c r="H455" s="660"/>
      <c r="I455" s="659"/>
      <c r="J455" s="661"/>
      <c r="K455" s="658"/>
      <c r="L455" s="658"/>
      <c r="M455" s="658"/>
      <c r="N455" s="1025"/>
      <c r="O455" s="653"/>
      <c r="P455" s="654"/>
      <c r="Q455" s="1030"/>
      <c r="R455" s="661"/>
      <c r="S455" s="705"/>
      <c r="T455" s="659"/>
      <c r="U455" s="661"/>
      <c r="V455" s="660"/>
      <c r="W455" s="691"/>
      <c r="X455" s="661"/>
      <c r="Y455" s="661"/>
    </row>
    <row r="456">
      <c r="A456" s="653"/>
      <c r="B456" s="654"/>
      <c r="C456" s="655"/>
      <c r="D456" s="656"/>
      <c r="E456" s="657"/>
      <c r="F456" s="658"/>
      <c r="G456" s="659"/>
      <c r="H456" s="660"/>
      <c r="I456" s="659"/>
      <c r="J456" s="661"/>
      <c r="K456" s="658"/>
      <c r="L456" s="658"/>
      <c r="M456" s="658"/>
      <c r="N456" s="1025"/>
      <c r="O456" s="653"/>
      <c r="P456" s="654"/>
      <c r="Q456" s="1030"/>
      <c r="R456" s="661"/>
      <c r="S456" s="705"/>
      <c r="T456" s="659"/>
      <c r="U456" s="661"/>
      <c r="V456" s="660"/>
      <c r="W456" s="691"/>
      <c r="X456" s="661"/>
      <c r="Y456" s="661"/>
    </row>
    <row r="457">
      <c r="A457" s="653"/>
      <c r="B457" s="654"/>
      <c r="C457" s="655"/>
      <c r="D457" s="656"/>
      <c r="E457" s="657"/>
      <c r="F457" s="658"/>
      <c r="G457" s="659"/>
      <c r="H457" s="660"/>
      <c r="I457" s="659"/>
      <c r="J457" s="661"/>
      <c r="K457" s="658"/>
      <c r="L457" s="658"/>
      <c r="M457" s="658"/>
      <c r="N457" s="1025"/>
      <c r="O457" s="653"/>
      <c r="P457" s="654"/>
      <c r="Q457" s="1030"/>
      <c r="R457" s="661"/>
      <c r="S457" s="705"/>
      <c r="T457" s="659"/>
      <c r="U457" s="661"/>
      <c r="V457" s="660"/>
      <c r="W457" s="691"/>
      <c r="X457" s="661"/>
      <c r="Y457" s="661"/>
    </row>
    <row r="458">
      <c r="A458" s="653"/>
      <c r="B458" s="654"/>
      <c r="C458" s="655"/>
      <c r="D458" s="656"/>
      <c r="E458" s="657"/>
      <c r="F458" s="658"/>
      <c r="G458" s="659"/>
      <c r="H458" s="660"/>
      <c r="I458" s="659"/>
      <c r="J458" s="661"/>
      <c r="K458" s="658"/>
      <c r="L458" s="658"/>
      <c r="M458" s="658"/>
      <c r="N458" s="1025"/>
      <c r="O458" s="653"/>
      <c r="P458" s="654"/>
      <c r="Q458" s="1030"/>
      <c r="R458" s="661"/>
      <c r="S458" s="705"/>
      <c r="T458" s="659"/>
      <c r="U458" s="661"/>
      <c r="V458" s="660"/>
      <c r="W458" s="691"/>
      <c r="X458" s="661"/>
      <c r="Y458" s="661"/>
    </row>
    <row r="459">
      <c r="A459" s="653"/>
      <c r="B459" s="654"/>
      <c r="C459" s="655"/>
      <c r="D459" s="656"/>
      <c r="E459" s="657"/>
      <c r="F459" s="658"/>
      <c r="G459" s="659"/>
      <c r="H459" s="660"/>
      <c r="I459" s="659"/>
      <c r="J459" s="661"/>
      <c r="K459" s="658"/>
      <c r="L459" s="658"/>
      <c r="M459" s="658"/>
      <c r="N459" s="1025"/>
      <c r="O459" s="653"/>
      <c r="P459" s="654"/>
      <c r="Q459" s="1030"/>
      <c r="R459" s="661"/>
      <c r="S459" s="705"/>
      <c r="T459" s="659"/>
      <c r="U459" s="661"/>
      <c r="V459" s="660"/>
      <c r="W459" s="691"/>
      <c r="X459" s="661"/>
      <c r="Y459" s="661"/>
    </row>
    <row r="460">
      <c r="A460" s="653"/>
      <c r="B460" s="654"/>
      <c r="C460" s="655"/>
      <c r="D460" s="656"/>
      <c r="E460" s="657"/>
      <c r="F460" s="658"/>
      <c r="G460" s="659"/>
      <c r="H460" s="660"/>
      <c r="I460" s="659"/>
      <c r="J460" s="661"/>
      <c r="K460" s="658"/>
      <c r="L460" s="658"/>
      <c r="M460" s="658"/>
      <c r="N460" s="1025"/>
      <c r="O460" s="653"/>
      <c r="P460" s="654"/>
      <c r="Q460" s="1030"/>
      <c r="R460" s="661"/>
      <c r="S460" s="705"/>
      <c r="T460" s="659"/>
      <c r="U460" s="661"/>
      <c r="V460" s="660"/>
      <c r="W460" s="691"/>
      <c r="X460" s="661"/>
      <c r="Y460" s="661"/>
    </row>
    <row r="461">
      <c r="A461" s="653"/>
      <c r="B461" s="654"/>
      <c r="C461" s="655"/>
      <c r="D461" s="656"/>
      <c r="E461" s="657"/>
      <c r="F461" s="658"/>
      <c r="G461" s="659"/>
      <c r="H461" s="660"/>
      <c r="I461" s="659"/>
      <c r="J461" s="661"/>
      <c r="K461" s="658"/>
      <c r="L461" s="658"/>
      <c r="M461" s="658"/>
      <c r="N461" s="1025"/>
      <c r="O461" s="653"/>
      <c r="P461" s="654"/>
      <c r="Q461" s="1030"/>
      <c r="R461" s="661"/>
      <c r="S461" s="705"/>
      <c r="T461" s="659"/>
      <c r="U461" s="661"/>
      <c r="V461" s="660"/>
      <c r="W461" s="691"/>
      <c r="X461" s="661"/>
      <c r="Y461" s="661"/>
    </row>
    <row r="462">
      <c r="A462" s="653"/>
      <c r="B462" s="654"/>
      <c r="C462" s="655"/>
      <c r="D462" s="656"/>
      <c r="E462" s="657"/>
      <c r="F462" s="658"/>
      <c r="G462" s="659"/>
      <c r="H462" s="660"/>
      <c r="I462" s="659"/>
      <c r="J462" s="661"/>
      <c r="K462" s="658"/>
      <c r="L462" s="658"/>
      <c r="M462" s="658"/>
      <c r="N462" s="1025"/>
      <c r="O462" s="653"/>
      <c r="P462" s="654"/>
      <c r="Q462" s="1030"/>
      <c r="R462" s="661"/>
      <c r="S462" s="705"/>
      <c r="T462" s="659"/>
      <c r="U462" s="661"/>
      <c r="V462" s="660"/>
      <c r="W462" s="691"/>
      <c r="X462" s="661"/>
      <c r="Y462" s="661"/>
    </row>
    <row r="463">
      <c r="A463" s="653"/>
      <c r="B463" s="654"/>
      <c r="C463" s="655"/>
      <c r="D463" s="656"/>
      <c r="E463" s="657"/>
      <c r="F463" s="658"/>
      <c r="G463" s="659"/>
      <c r="H463" s="660"/>
      <c r="I463" s="659"/>
      <c r="J463" s="661"/>
      <c r="K463" s="658"/>
      <c r="L463" s="658"/>
      <c r="M463" s="658"/>
      <c r="N463" s="1025"/>
      <c r="O463" s="653"/>
      <c r="P463" s="654"/>
      <c r="Q463" s="1030"/>
      <c r="R463" s="661"/>
      <c r="S463" s="705"/>
      <c r="T463" s="659"/>
      <c r="U463" s="661"/>
      <c r="V463" s="660"/>
      <c r="W463" s="691"/>
      <c r="X463" s="661"/>
      <c r="Y463" s="661"/>
    </row>
    <row r="464">
      <c r="A464" s="653"/>
      <c r="B464" s="654"/>
      <c r="C464" s="655"/>
      <c r="D464" s="656"/>
      <c r="E464" s="657"/>
      <c r="F464" s="658"/>
      <c r="G464" s="659"/>
      <c r="H464" s="660"/>
      <c r="I464" s="659"/>
      <c r="J464" s="661"/>
      <c r="K464" s="658"/>
      <c r="L464" s="658"/>
      <c r="M464" s="658"/>
      <c r="N464" s="1025"/>
      <c r="O464" s="653"/>
      <c r="P464" s="654"/>
      <c r="Q464" s="1030"/>
      <c r="R464" s="661"/>
      <c r="S464" s="705"/>
      <c r="T464" s="659"/>
      <c r="U464" s="661"/>
      <c r="V464" s="660"/>
      <c r="W464" s="691"/>
      <c r="X464" s="661"/>
      <c r="Y464" s="661"/>
    </row>
    <row r="465">
      <c r="A465" s="653"/>
      <c r="B465" s="654"/>
      <c r="C465" s="655"/>
      <c r="D465" s="656"/>
      <c r="E465" s="657"/>
      <c r="F465" s="658"/>
      <c r="G465" s="659"/>
      <c r="H465" s="660"/>
      <c r="I465" s="659"/>
      <c r="J465" s="661"/>
      <c r="K465" s="658"/>
      <c r="L465" s="658"/>
      <c r="M465" s="658"/>
      <c r="N465" s="1025"/>
      <c r="O465" s="653"/>
      <c r="P465" s="654"/>
      <c r="Q465" s="1030"/>
      <c r="R465" s="661"/>
      <c r="S465" s="705"/>
      <c r="T465" s="659"/>
      <c r="U465" s="661"/>
      <c r="V465" s="660"/>
      <c r="W465" s="691"/>
      <c r="X465" s="661"/>
      <c r="Y465" s="661"/>
    </row>
    <row r="466">
      <c r="A466" s="653"/>
      <c r="B466" s="654"/>
      <c r="C466" s="655"/>
      <c r="D466" s="656"/>
      <c r="E466" s="657"/>
      <c r="F466" s="658"/>
      <c r="G466" s="659"/>
      <c r="H466" s="660"/>
      <c r="I466" s="659"/>
      <c r="J466" s="661"/>
      <c r="K466" s="658"/>
      <c r="L466" s="658"/>
      <c r="M466" s="658"/>
      <c r="N466" s="1025"/>
      <c r="O466" s="653"/>
      <c r="P466" s="654"/>
      <c r="Q466" s="1030"/>
      <c r="R466" s="661"/>
      <c r="S466" s="705"/>
      <c r="T466" s="659"/>
      <c r="U466" s="661"/>
      <c r="V466" s="660"/>
      <c r="W466" s="691"/>
      <c r="X466" s="661"/>
      <c r="Y466" s="661"/>
    </row>
    <row r="467">
      <c r="A467" s="653"/>
      <c r="B467" s="654"/>
      <c r="C467" s="655"/>
      <c r="D467" s="656"/>
      <c r="E467" s="657"/>
      <c r="F467" s="658"/>
      <c r="G467" s="659"/>
      <c r="H467" s="660"/>
      <c r="I467" s="659"/>
      <c r="J467" s="661"/>
      <c r="K467" s="658"/>
      <c r="L467" s="658"/>
      <c r="M467" s="658"/>
      <c r="N467" s="1025"/>
      <c r="O467" s="653"/>
      <c r="P467" s="654"/>
      <c r="Q467" s="1030"/>
      <c r="R467" s="661"/>
      <c r="S467" s="705"/>
      <c r="T467" s="659"/>
      <c r="U467" s="661"/>
      <c r="V467" s="660"/>
      <c r="W467" s="691"/>
      <c r="X467" s="661"/>
      <c r="Y467" s="661"/>
    </row>
    <row r="468">
      <c r="A468" s="653"/>
      <c r="B468" s="654"/>
      <c r="C468" s="655"/>
      <c r="D468" s="656"/>
      <c r="E468" s="657"/>
      <c r="F468" s="658"/>
      <c r="G468" s="659"/>
      <c r="H468" s="660"/>
      <c r="I468" s="659"/>
      <c r="J468" s="661"/>
      <c r="K468" s="658"/>
      <c r="L468" s="658"/>
      <c r="M468" s="658"/>
      <c r="N468" s="1025"/>
      <c r="O468" s="653"/>
      <c r="P468" s="654"/>
      <c r="Q468" s="1030"/>
      <c r="R468" s="661"/>
      <c r="S468" s="705"/>
      <c r="T468" s="659"/>
      <c r="U468" s="661"/>
      <c r="V468" s="660"/>
      <c r="W468" s="691"/>
      <c r="X468" s="661"/>
      <c r="Y468" s="661"/>
    </row>
    <row r="469">
      <c r="A469" s="653"/>
      <c r="B469" s="654"/>
      <c r="C469" s="655"/>
      <c r="D469" s="656"/>
      <c r="E469" s="657"/>
      <c r="F469" s="658"/>
      <c r="G469" s="659"/>
      <c r="H469" s="660"/>
      <c r="I469" s="659"/>
      <c r="J469" s="661"/>
      <c r="K469" s="658"/>
      <c r="L469" s="658"/>
      <c r="M469" s="658"/>
      <c r="N469" s="1025"/>
      <c r="O469" s="653"/>
      <c r="P469" s="654"/>
      <c r="Q469" s="1030"/>
      <c r="R469" s="661"/>
      <c r="S469" s="705"/>
      <c r="T469" s="659"/>
      <c r="U469" s="661"/>
      <c r="V469" s="660"/>
      <c r="W469" s="691"/>
      <c r="X469" s="661"/>
      <c r="Y469" s="661"/>
    </row>
    <row r="470">
      <c r="A470" s="653"/>
      <c r="B470" s="654"/>
      <c r="C470" s="655"/>
      <c r="D470" s="656"/>
      <c r="E470" s="657"/>
      <c r="F470" s="658"/>
      <c r="G470" s="659"/>
      <c r="H470" s="660"/>
      <c r="I470" s="659"/>
      <c r="J470" s="661"/>
      <c r="K470" s="658"/>
      <c r="L470" s="658"/>
      <c r="M470" s="658"/>
      <c r="N470" s="1025"/>
      <c r="O470" s="653"/>
      <c r="P470" s="654"/>
      <c r="Q470" s="1030"/>
      <c r="R470" s="661"/>
      <c r="S470" s="705"/>
      <c r="T470" s="659"/>
      <c r="U470" s="661"/>
      <c r="V470" s="660"/>
      <c r="W470" s="691"/>
      <c r="X470" s="661"/>
      <c r="Y470" s="661"/>
    </row>
    <row r="471">
      <c r="A471" s="653"/>
      <c r="B471" s="654"/>
      <c r="C471" s="655"/>
      <c r="D471" s="656"/>
      <c r="E471" s="657"/>
      <c r="F471" s="658"/>
      <c r="G471" s="659"/>
      <c r="H471" s="660"/>
      <c r="I471" s="659"/>
      <c r="J471" s="661"/>
      <c r="K471" s="658"/>
      <c r="L471" s="658"/>
      <c r="M471" s="658"/>
      <c r="N471" s="1025"/>
      <c r="O471" s="653"/>
      <c r="P471" s="654"/>
      <c r="Q471" s="1030"/>
      <c r="R471" s="661"/>
      <c r="S471" s="705"/>
      <c r="T471" s="659"/>
      <c r="U471" s="661"/>
      <c r="V471" s="660"/>
      <c r="W471" s="691"/>
      <c r="X471" s="661"/>
      <c r="Y471" s="661"/>
    </row>
    <row r="472">
      <c r="A472" s="653"/>
      <c r="B472" s="654"/>
      <c r="C472" s="655"/>
      <c r="D472" s="656"/>
      <c r="E472" s="657"/>
      <c r="F472" s="658"/>
      <c r="G472" s="659"/>
      <c r="H472" s="660"/>
      <c r="I472" s="659"/>
      <c r="J472" s="661"/>
      <c r="K472" s="658"/>
      <c r="L472" s="658"/>
      <c r="M472" s="658"/>
      <c r="N472" s="1025"/>
      <c r="O472" s="653"/>
      <c r="P472" s="654"/>
      <c r="Q472" s="1030"/>
      <c r="R472" s="661"/>
      <c r="S472" s="705"/>
      <c r="T472" s="659"/>
      <c r="U472" s="661"/>
      <c r="V472" s="660"/>
      <c r="W472" s="691"/>
      <c r="X472" s="661"/>
      <c r="Y472" s="661"/>
    </row>
    <row r="473">
      <c r="A473" s="653"/>
      <c r="B473" s="654"/>
      <c r="C473" s="655"/>
      <c r="D473" s="656"/>
      <c r="E473" s="657"/>
      <c r="F473" s="658"/>
      <c r="G473" s="659"/>
      <c r="H473" s="660"/>
      <c r="I473" s="659"/>
      <c r="J473" s="661"/>
      <c r="K473" s="658"/>
      <c r="L473" s="658"/>
      <c r="M473" s="658"/>
      <c r="N473" s="1025"/>
      <c r="O473" s="653"/>
      <c r="P473" s="654"/>
      <c r="Q473" s="1030"/>
      <c r="R473" s="661"/>
      <c r="S473" s="705"/>
      <c r="T473" s="659"/>
      <c r="U473" s="661"/>
      <c r="V473" s="660"/>
      <c r="W473" s="691"/>
      <c r="X473" s="661"/>
      <c r="Y473" s="661"/>
    </row>
    <row r="474">
      <c r="A474" s="653"/>
      <c r="B474" s="654"/>
      <c r="C474" s="655"/>
      <c r="D474" s="656"/>
      <c r="E474" s="657"/>
      <c r="F474" s="658"/>
      <c r="G474" s="659"/>
      <c r="H474" s="660"/>
      <c r="I474" s="659"/>
      <c r="J474" s="661"/>
      <c r="K474" s="658"/>
      <c r="L474" s="658"/>
      <c r="M474" s="658"/>
      <c r="N474" s="1025"/>
      <c r="O474" s="653"/>
      <c r="P474" s="654"/>
      <c r="Q474" s="1030"/>
      <c r="R474" s="661"/>
      <c r="S474" s="705"/>
      <c r="T474" s="659"/>
      <c r="U474" s="661"/>
      <c r="V474" s="660"/>
      <c r="W474" s="691"/>
      <c r="X474" s="661"/>
      <c r="Y474" s="661"/>
    </row>
    <row r="475">
      <c r="A475" s="653"/>
      <c r="B475" s="654"/>
      <c r="C475" s="655"/>
      <c r="D475" s="656"/>
      <c r="E475" s="657"/>
      <c r="F475" s="658"/>
      <c r="G475" s="659"/>
      <c r="H475" s="660"/>
      <c r="I475" s="659"/>
      <c r="J475" s="661"/>
      <c r="K475" s="658"/>
      <c r="L475" s="658"/>
      <c r="M475" s="658"/>
      <c r="N475" s="1025"/>
      <c r="O475" s="653"/>
      <c r="P475" s="654"/>
      <c r="Q475" s="1030"/>
      <c r="R475" s="661"/>
      <c r="S475" s="705"/>
      <c r="T475" s="659"/>
      <c r="U475" s="661"/>
      <c r="V475" s="660"/>
      <c r="W475" s="691"/>
      <c r="X475" s="661"/>
      <c r="Y475" s="661"/>
    </row>
    <row r="476">
      <c r="A476" s="653"/>
      <c r="B476" s="654"/>
      <c r="C476" s="655"/>
      <c r="D476" s="656"/>
      <c r="E476" s="657"/>
      <c r="F476" s="658"/>
      <c r="G476" s="659"/>
      <c r="H476" s="660"/>
      <c r="I476" s="659"/>
      <c r="J476" s="661"/>
      <c r="K476" s="658"/>
      <c r="L476" s="658"/>
      <c r="M476" s="658"/>
      <c r="N476" s="1025"/>
      <c r="O476" s="653"/>
      <c r="P476" s="654"/>
      <c r="Q476" s="1030"/>
      <c r="R476" s="661"/>
      <c r="S476" s="705"/>
      <c r="T476" s="659"/>
      <c r="U476" s="661"/>
      <c r="V476" s="660"/>
      <c r="W476" s="691"/>
      <c r="X476" s="661"/>
      <c r="Y476" s="661"/>
    </row>
    <row r="477">
      <c r="A477" s="653"/>
      <c r="B477" s="654"/>
      <c r="C477" s="655"/>
      <c r="D477" s="656"/>
      <c r="E477" s="657"/>
      <c r="F477" s="658"/>
      <c r="G477" s="659"/>
      <c r="H477" s="660"/>
      <c r="I477" s="659"/>
      <c r="J477" s="661"/>
      <c r="K477" s="658"/>
      <c r="L477" s="658"/>
      <c r="M477" s="658"/>
      <c r="N477" s="1025"/>
      <c r="O477" s="653"/>
      <c r="P477" s="654"/>
      <c r="Q477" s="1030"/>
      <c r="R477" s="661"/>
      <c r="S477" s="705"/>
      <c r="T477" s="659"/>
      <c r="U477" s="661"/>
      <c r="V477" s="660"/>
      <c r="W477" s="691"/>
      <c r="X477" s="661"/>
      <c r="Y477" s="661"/>
    </row>
    <row r="478">
      <c r="A478" s="653"/>
      <c r="B478" s="654"/>
      <c r="C478" s="655"/>
      <c r="D478" s="656"/>
      <c r="E478" s="657"/>
      <c r="F478" s="658"/>
      <c r="G478" s="659"/>
      <c r="H478" s="660"/>
      <c r="I478" s="659"/>
      <c r="J478" s="661"/>
      <c r="K478" s="658"/>
      <c r="L478" s="658"/>
      <c r="M478" s="658"/>
      <c r="N478" s="1025"/>
      <c r="O478" s="653"/>
      <c r="P478" s="654"/>
      <c r="Q478" s="1030"/>
      <c r="R478" s="661"/>
      <c r="S478" s="705"/>
      <c r="T478" s="659"/>
      <c r="U478" s="661"/>
      <c r="V478" s="660"/>
      <c r="W478" s="691"/>
      <c r="X478" s="661"/>
      <c r="Y478" s="661"/>
    </row>
    <row r="479">
      <c r="A479" s="653"/>
      <c r="B479" s="654"/>
      <c r="C479" s="655"/>
      <c r="D479" s="656"/>
      <c r="E479" s="657"/>
      <c r="F479" s="658"/>
      <c r="G479" s="659"/>
      <c r="H479" s="660"/>
      <c r="I479" s="659"/>
      <c r="J479" s="661"/>
      <c r="K479" s="658"/>
      <c r="L479" s="658"/>
      <c r="M479" s="658"/>
      <c r="N479" s="1025"/>
      <c r="O479" s="653"/>
      <c r="P479" s="654"/>
      <c r="Q479" s="1030"/>
      <c r="R479" s="661"/>
      <c r="S479" s="705"/>
      <c r="T479" s="659"/>
      <c r="U479" s="661"/>
      <c r="V479" s="660"/>
      <c r="W479" s="691"/>
      <c r="X479" s="661"/>
      <c r="Y479" s="661"/>
    </row>
    <row r="480">
      <c r="A480" s="653"/>
      <c r="B480" s="654"/>
      <c r="C480" s="655"/>
      <c r="D480" s="656"/>
      <c r="E480" s="657"/>
      <c r="F480" s="658"/>
      <c r="G480" s="659"/>
      <c r="H480" s="660"/>
      <c r="I480" s="659"/>
      <c r="J480" s="661"/>
      <c r="K480" s="658"/>
      <c r="L480" s="658"/>
      <c r="M480" s="658"/>
      <c r="N480" s="1025"/>
      <c r="O480" s="653"/>
      <c r="P480" s="654"/>
      <c r="Q480" s="1030"/>
      <c r="R480" s="661"/>
      <c r="S480" s="705"/>
      <c r="T480" s="659"/>
      <c r="U480" s="661"/>
      <c r="V480" s="660"/>
      <c r="W480" s="691"/>
      <c r="X480" s="661"/>
      <c r="Y480" s="661"/>
    </row>
    <row r="481">
      <c r="A481" s="653"/>
      <c r="B481" s="654"/>
      <c r="C481" s="655"/>
      <c r="D481" s="656"/>
      <c r="E481" s="657"/>
      <c r="F481" s="658"/>
      <c r="G481" s="659"/>
      <c r="H481" s="660"/>
      <c r="I481" s="659"/>
      <c r="J481" s="661"/>
      <c r="K481" s="658"/>
      <c r="L481" s="658"/>
      <c r="M481" s="658"/>
      <c r="N481" s="1025"/>
      <c r="O481" s="653"/>
      <c r="P481" s="654"/>
      <c r="Q481" s="1030"/>
      <c r="R481" s="661"/>
      <c r="S481" s="705"/>
      <c r="T481" s="659"/>
      <c r="U481" s="661"/>
      <c r="V481" s="660"/>
      <c r="W481" s="691"/>
      <c r="X481" s="661"/>
      <c r="Y481" s="661"/>
    </row>
    <row r="482">
      <c r="A482" s="653"/>
      <c r="B482" s="654"/>
      <c r="C482" s="655"/>
      <c r="D482" s="656"/>
      <c r="E482" s="657"/>
      <c r="F482" s="658"/>
      <c r="G482" s="659"/>
      <c r="H482" s="660"/>
      <c r="I482" s="659"/>
      <c r="J482" s="661"/>
      <c r="K482" s="658"/>
      <c r="L482" s="658"/>
      <c r="M482" s="658"/>
      <c r="N482" s="1025"/>
      <c r="O482" s="653"/>
      <c r="P482" s="654"/>
      <c r="Q482" s="1030"/>
      <c r="R482" s="661"/>
      <c r="S482" s="705"/>
      <c r="T482" s="659"/>
      <c r="U482" s="661"/>
      <c r="V482" s="660"/>
      <c r="W482" s="691"/>
      <c r="X482" s="661"/>
      <c r="Y482" s="661"/>
    </row>
    <row r="483">
      <c r="A483" s="653"/>
      <c r="B483" s="654"/>
      <c r="C483" s="655"/>
      <c r="D483" s="656"/>
      <c r="E483" s="657"/>
      <c r="F483" s="658"/>
      <c r="G483" s="659"/>
      <c r="H483" s="660"/>
      <c r="I483" s="659"/>
      <c r="J483" s="661"/>
      <c r="K483" s="658"/>
      <c r="L483" s="658"/>
      <c r="M483" s="658"/>
      <c r="N483" s="1025"/>
      <c r="O483" s="653"/>
      <c r="P483" s="654"/>
      <c r="Q483" s="1030"/>
      <c r="R483" s="661"/>
      <c r="S483" s="705"/>
      <c r="T483" s="659"/>
      <c r="U483" s="661"/>
      <c r="V483" s="660"/>
      <c r="W483" s="691"/>
      <c r="X483" s="661"/>
      <c r="Y483" s="661"/>
    </row>
    <row r="484">
      <c r="A484" s="653"/>
      <c r="B484" s="654"/>
      <c r="C484" s="655"/>
      <c r="D484" s="656"/>
      <c r="E484" s="657"/>
      <c r="F484" s="658"/>
      <c r="G484" s="659"/>
      <c r="H484" s="660"/>
      <c r="I484" s="659"/>
      <c r="J484" s="661"/>
      <c r="K484" s="658"/>
      <c r="L484" s="658"/>
      <c r="M484" s="658"/>
      <c r="N484" s="1025"/>
      <c r="O484" s="653"/>
      <c r="P484" s="654"/>
      <c r="Q484" s="1030"/>
      <c r="R484" s="661"/>
      <c r="S484" s="705"/>
      <c r="T484" s="659"/>
      <c r="U484" s="661"/>
      <c r="V484" s="660"/>
      <c r="W484" s="691"/>
      <c r="X484" s="661"/>
      <c r="Y484" s="661"/>
    </row>
    <row r="485">
      <c r="A485" s="653"/>
      <c r="B485" s="654"/>
      <c r="C485" s="655"/>
      <c r="D485" s="656"/>
      <c r="E485" s="657"/>
      <c r="F485" s="658"/>
      <c r="G485" s="659"/>
      <c r="H485" s="660"/>
      <c r="I485" s="659"/>
      <c r="J485" s="661"/>
      <c r="K485" s="658"/>
      <c r="L485" s="658"/>
      <c r="M485" s="658"/>
      <c r="N485" s="1025"/>
      <c r="O485" s="653"/>
      <c r="P485" s="654"/>
      <c r="Q485" s="1030"/>
      <c r="R485" s="661"/>
      <c r="S485" s="705"/>
      <c r="T485" s="659"/>
      <c r="U485" s="661"/>
      <c r="V485" s="660"/>
      <c r="W485" s="691"/>
      <c r="X485" s="661"/>
      <c r="Y485" s="661"/>
    </row>
    <row r="486">
      <c r="A486" s="653"/>
      <c r="B486" s="654"/>
      <c r="C486" s="655"/>
      <c r="D486" s="656"/>
      <c r="E486" s="657"/>
      <c r="F486" s="658"/>
      <c r="G486" s="659"/>
      <c r="H486" s="660"/>
      <c r="I486" s="659"/>
      <c r="J486" s="661"/>
      <c r="K486" s="658"/>
      <c r="L486" s="658"/>
      <c r="M486" s="658"/>
      <c r="N486" s="1025"/>
      <c r="O486" s="653"/>
      <c r="P486" s="654"/>
      <c r="Q486" s="1030"/>
      <c r="R486" s="661"/>
      <c r="S486" s="705"/>
      <c r="T486" s="659"/>
      <c r="U486" s="661"/>
      <c r="V486" s="660"/>
      <c r="W486" s="691"/>
      <c r="X486" s="661"/>
      <c r="Y486" s="661"/>
    </row>
    <row r="487">
      <c r="A487" s="653"/>
      <c r="B487" s="654"/>
      <c r="C487" s="655"/>
      <c r="D487" s="656"/>
      <c r="E487" s="657"/>
      <c r="F487" s="658"/>
      <c r="G487" s="659"/>
      <c r="H487" s="660"/>
      <c r="I487" s="659"/>
      <c r="J487" s="661"/>
      <c r="K487" s="658"/>
      <c r="L487" s="658"/>
      <c r="M487" s="658"/>
      <c r="N487" s="1025"/>
      <c r="O487" s="653"/>
      <c r="P487" s="654"/>
      <c r="Q487" s="1030"/>
      <c r="R487" s="661"/>
      <c r="S487" s="705"/>
      <c r="T487" s="659"/>
      <c r="U487" s="661"/>
      <c r="V487" s="660"/>
      <c r="W487" s="691"/>
      <c r="X487" s="661"/>
      <c r="Y487" s="661"/>
    </row>
    <row r="488">
      <c r="A488" s="653"/>
      <c r="B488" s="654"/>
      <c r="C488" s="655"/>
      <c r="D488" s="656"/>
      <c r="E488" s="657"/>
      <c r="F488" s="658"/>
      <c r="G488" s="659"/>
      <c r="H488" s="660"/>
      <c r="I488" s="659"/>
      <c r="J488" s="661"/>
      <c r="K488" s="658"/>
      <c r="L488" s="658"/>
      <c r="M488" s="658"/>
      <c r="N488" s="1025"/>
      <c r="O488" s="653"/>
      <c r="P488" s="654"/>
      <c r="Q488" s="1030"/>
      <c r="R488" s="661"/>
      <c r="S488" s="705"/>
      <c r="T488" s="659"/>
      <c r="U488" s="661"/>
      <c r="V488" s="660"/>
      <c r="W488" s="691"/>
      <c r="X488" s="661"/>
      <c r="Y488" s="661"/>
    </row>
    <row r="489">
      <c r="A489" s="653"/>
      <c r="B489" s="654"/>
      <c r="C489" s="655"/>
      <c r="D489" s="656"/>
      <c r="E489" s="657"/>
      <c r="F489" s="658"/>
      <c r="G489" s="659"/>
      <c r="H489" s="660"/>
      <c r="I489" s="659"/>
      <c r="J489" s="661"/>
      <c r="K489" s="658"/>
      <c r="L489" s="658"/>
      <c r="M489" s="658"/>
      <c r="N489" s="1025"/>
      <c r="O489" s="653"/>
      <c r="P489" s="654"/>
      <c r="Q489" s="1030"/>
      <c r="R489" s="661"/>
      <c r="S489" s="705"/>
      <c r="T489" s="659"/>
      <c r="U489" s="661"/>
      <c r="V489" s="660"/>
      <c r="W489" s="691"/>
      <c r="X489" s="661"/>
      <c r="Y489" s="661"/>
    </row>
    <row r="490">
      <c r="A490" s="653"/>
      <c r="B490" s="654"/>
      <c r="C490" s="655"/>
      <c r="D490" s="656"/>
      <c r="E490" s="657"/>
      <c r="F490" s="658"/>
      <c r="G490" s="659"/>
      <c r="H490" s="660"/>
      <c r="I490" s="659"/>
      <c r="J490" s="661"/>
      <c r="K490" s="658"/>
      <c r="L490" s="658"/>
      <c r="M490" s="658"/>
      <c r="N490" s="1025"/>
      <c r="O490" s="653"/>
      <c r="P490" s="654"/>
      <c r="Q490" s="1030"/>
      <c r="R490" s="661"/>
      <c r="S490" s="705"/>
      <c r="T490" s="659"/>
      <c r="U490" s="661"/>
      <c r="V490" s="660"/>
      <c r="W490" s="691"/>
      <c r="X490" s="661"/>
      <c r="Y490" s="661"/>
    </row>
    <row r="491">
      <c r="A491" s="653"/>
      <c r="B491" s="654"/>
      <c r="C491" s="655"/>
      <c r="D491" s="656"/>
      <c r="E491" s="657"/>
      <c r="F491" s="658"/>
      <c r="G491" s="659"/>
      <c r="H491" s="660"/>
      <c r="I491" s="659"/>
      <c r="J491" s="661"/>
      <c r="K491" s="658"/>
      <c r="L491" s="658"/>
      <c r="M491" s="658"/>
      <c r="N491" s="1025"/>
      <c r="O491" s="653"/>
      <c r="P491" s="654"/>
      <c r="Q491" s="1030"/>
      <c r="R491" s="661"/>
      <c r="S491" s="705"/>
      <c r="T491" s="659"/>
      <c r="U491" s="661"/>
      <c r="V491" s="660"/>
      <c r="W491" s="691"/>
      <c r="X491" s="661"/>
      <c r="Y491" s="661"/>
    </row>
    <row r="492">
      <c r="A492" s="653"/>
      <c r="B492" s="654"/>
      <c r="C492" s="655"/>
      <c r="D492" s="656"/>
      <c r="E492" s="657"/>
      <c r="F492" s="658"/>
      <c r="G492" s="659"/>
      <c r="H492" s="660"/>
      <c r="I492" s="659"/>
      <c r="J492" s="661"/>
      <c r="K492" s="658"/>
      <c r="L492" s="658"/>
      <c r="M492" s="658"/>
      <c r="N492" s="1025"/>
      <c r="O492" s="653"/>
      <c r="P492" s="654"/>
      <c r="Q492" s="1030"/>
      <c r="R492" s="661"/>
      <c r="S492" s="705"/>
      <c r="T492" s="659"/>
      <c r="U492" s="661"/>
      <c r="V492" s="660"/>
      <c r="W492" s="691"/>
      <c r="X492" s="661"/>
      <c r="Y492" s="661"/>
    </row>
    <row r="493">
      <c r="A493" s="653"/>
      <c r="B493" s="654"/>
      <c r="C493" s="655"/>
      <c r="D493" s="656"/>
      <c r="E493" s="657"/>
      <c r="F493" s="658"/>
      <c r="G493" s="659"/>
      <c r="H493" s="660"/>
      <c r="I493" s="659"/>
      <c r="J493" s="661"/>
      <c r="K493" s="658"/>
      <c r="L493" s="658"/>
      <c r="M493" s="658"/>
      <c r="N493" s="1025"/>
      <c r="O493" s="653"/>
      <c r="P493" s="654"/>
      <c r="Q493" s="1030"/>
      <c r="R493" s="661"/>
      <c r="S493" s="705"/>
      <c r="T493" s="659"/>
      <c r="U493" s="661"/>
      <c r="V493" s="660"/>
      <c r="W493" s="691"/>
      <c r="X493" s="661"/>
      <c r="Y493" s="661"/>
    </row>
    <row r="494">
      <c r="A494" s="653"/>
      <c r="B494" s="654"/>
      <c r="C494" s="655"/>
      <c r="D494" s="656"/>
      <c r="E494" s="657"/>
      <c r="F494" s="658"/>
      <c r="G494" s="659"/>
      <c r="H494" s="660"/>
      <c r="I494" s="659"/>
      <c r="J494" s="661"/>
      <c r="K494" s="658"/>
      <c r="L494" s="658"/>
      <c r="M494" s="658"/>
      <c r="N494" s="1025"/>
      <c r="O494" s="653"/>
      <c r="P494" s="654"/>
      <c r="Q494" s="1030"/>
      <c r="R494" s="661"/>
      <c r="S494" s="705"/>
      <c r="T494" s="659"/>
      <c r="U494" s="661"/>
      <c r="V494" s="660"/>
      <c r="W494" s="691"/>
      <c r="X494" s="661"/>
      <c r="Y494" s="661"/>
    </row>
    <row r="495">
      <c r="A495" s="653"/>
      <c r="B495" s="654"/>
      <c r="C495" s="655"/>
      <c r="D495" s="656"/>
      <c r="E495" s="657"/>
      <c r="F495" s="658"/>
      <c r="G495" s="659"/>
      <c r="H495" s="660"/>
      <c r="I495" s="659"/>
      <c r="J495" s="661"/>
      <c r="K495" s="658"/>
      <c r="L495" s="658"/>
      <c r="M495" s="658"/>
      <c r="N495" s="1025"/>
      <c r="O495" s="653"/>
      <c r="P495" s="654"/>
      <c r="Q495" s="1030"/>
      <c r="R495" s="661"/>
      <c r="S495" s="705"/>
      <c r="T495" s="659"/>
      <c r="U495" s="661"/>
      <c r="V495" s="660"/>
      <c r="W495" s="691"/>
      <c r="X495" s="661"/>
      <c r="Y495" s="661"/>
    </row>
    <row r="496">
      <c r="A496" s="653"/>
      <c r="B496" s="654"/>
      <c r="C496" s="655"/>
      <c r="D496" s="656"/>
      <c r="E496" s="657"/>
      <c r="F496" s="658"/>
      <c r="G496" s="659"/>
      <c r="H496" s="660"/>
      <c r="I496" s="659"/>
      <c r="J496" s="661"/>
      <c r="K496" s="658"/>
      <c r="L496" s="658"/>
      <c r="M496" s="658"/>
      <c r="N496" s="1025"/>
      <c r="O496" s="653"/>
      <c r="P496" s="654"/>
      <c r="Q496" s="1030"/>
      <c r="R496" s="661"/>
      <c r="S496" s="705"/>
      <c r="T496" s="659"/>
      <c r="U496" s="661"/>
      <c r="V496" s="660"/>
      <c r="W496" s="691"/>
      <c r="X496" s="661"/>
      <c r="Y496" s="661"/>
    </row>
    <row r="497">
      <c r="A497" s="653"/>
      <c r="B497" s="654"/>
      <c r="C497" s="655"/>
      <c r="D497" s="656"/>
      <c r="E497" s="657"/>
      <c r="F497" s="658"/>
      <c r="G497" s="659"/>
      <c r="H497" s="660"/>
      <c r="I497" s="659"/>
      <c r="J497" s="661"/>
      <c r="K497" s="658"/>
      <c r="L497" s="658"/>
      <c r="M497" s="658"/>
      <c r="N497" s="1025"/>
      <c r="O497" s="653"/>
      <c r="P497" s="654"/>
      <c r="Q497" s="1030"/>
      <c r="R497" s="661"/>
      <c r="S497" s="705"/>
      <c r="T497" s="659"/>
      <c r="U497" s="661"/>
      <c r="V497" s="660"/>
      <c r="W497" s="691"/>
      <c r="X497" s="661"/>
      <c r="Y497" s="661"/>
    </row>
    <row r="498">
      <c r="A498" s="653"/>
      <c r="B498" s="654"/>
      <c r="C498" s="655"/>
      <c r="D498" s="656"/>
      <c r="E498" s="657"/>
      <c r="F498" s="658"/>
      <c r="G498" s="659"/>
      <c r="H498" s="660"/>
      <c r="I498" s="659"/>
      <c r="J498" s="661"/>
      <c r="K498" s="658"/>
      <c r="L498" s="658"/>
      <c r="M498" s="658"/>
      <c r="N498" s="1025"/>
      <c r="O498" s="653"/>
      <c r="P498" s="654"/>
      <c r="Q498" s="1030"/>
      <c r="R498" s="661"/>
      <c r="S498" s="705"/>
      <c r="T498" s="659"/>
      <c r="U498" s="661"/>
      <c r="V498" s="660"/>
      <c r="W498" s="691"/>
      <c r="X498" s="661"/>
      <c r="Y498" s="661"/>
    </row>
    <row r="499">
      <c r="A499" s="653"/>
      <c r="B499" s="654"/>
      <c r="C499" s="655"/>
      <c r="D499" s="656"/>
      <c r="E499" s="657"/>
      <c r="F499" s="658"/>
      <c r="G499" s="659"/>
      <c r="H499" s="660"/>
      <c r="I499" s="659"/>
      <c r="J499" s="661"/>
      <c r="K499" s="658"/>
      <c r="L499" s="658"/>
      <c r="M499" s="658"/>
      <c r="N499" s="1025"/>
      <c r="O499" s="653"/>
      <c r="P499" s="654"/>
      <c r="Q499" s="1030"/>
      <c r="R499" s="661"/>
      <c r="S499" s="705"/>
      <c r="T499" s="659"/>
      <c r="U499" s="661"/>
      <c r="V499" s="660"/>
      <c r="W499" s="691"/>
      <c r="X499" s="661"/>
      <c r="Y499" s="661"/>
    </row>
    <row r="500">
      <c r="A500" s="653"/>
      <c r="B500" s="654"/>
      <c r="C500" s="655"/>
      <c r="D500" s="656"/>
      <c r="E500" s="657"/>
      <c r="F500" s="658"/>
      <c r="G500" s="659"/>
      <c r="H500" s="660"/>
      <c r="I500" s="659"/>
      <c r="J500" s="661"/>
      <c r="K500" s="658"/>
      <c r="L500" s="658"/>
      <c r="M500" s="658"/>
      <c r="N500" s="1025"/>
      <c r="O500" s="653"/>
      <c r="P500" s="654"/>
      <c r="Q500" s="1030"/>
      <c r="R500" s="661"/>
      <c r="S500" s="705"/>
      <c r="T500" s="659"/>
      <c r="U500" s="661"/>
      <c r="V500" s="660"/>
      <c r="W500" s="691"/>
      <c r="X500" s="661"/>
      <c r="Y500" s="661"/>
    </row>
  </sheetData>
  <mergeCells count="2">
    <mergeCell ref="A1:M2"/>
    <mergeCell ref="O1:Y2"/>
  </mergeCells>
  <conditionalFormatting sqref="E5:E500">
    <cfRule type="cellIs" dxfId="49" priority="1" operator="greaterThanOrEqual">
      <formula>0</formula>
    </cfRule>
  </conditionalFormatting>
  <conditionalFormatting sqref="E5:E500">
    <cfRule type="cellIs" dxfId="50" priority="2" operator="lessThan">
      <formula>0</formula>
    </cfRule>
  </conditionalFormatting>
  <drawing r:id="rId2"/>
  <legacyDrawing r:id="rId3"/>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FF"/>
    <outlinePr summaryBelow="0" summaryRight="0"/>
  </sheetPr>
  <sheetViews>
    <sheetView showGridLines="0" workbookViewId="0">
      <pane xSplit="3.0" ySplit="5.0" topLeftCell="D6" activePane="bottomRight" state="frozen"/>
      <selection activeCell="D1" sqref="D1" pane="topRight"/>
      <selection activeCell="A6" sqref="A6" pane="bottomLeft"/>
      <selection activeCell="D6" sqref="D6" pane="bottomRight"/>
    </sheetView>
  </sheetViews>
  <sheetFormatPr customHeight="1" defaultColWidth="15.13" defaultRowHeight="15.75" outlineLevelCol="1"/>
  <cols>
    <col customWidth="1" min="1" max="1" width="15.13"/>
    <col customWidth="1" min="2" max="2" width="1.13"/>
    <col customWidth="1" min="3" max="3" width="7.0"/>
    <col customWidth="1" min="4" max="5" width="8.38"/>
    <col customWidth="1" min="6" max="6" width="9.0"/>
    <col collapsed="1" customWidth="1" min="7" max="7" width="8.38"/>
    <col customWidth="1" hidden="1" min="8" max="9" width="9.25" outlineLevel="1"/>
    <col customWidth="1" hidden="1" min="10" max="19" width="8.38" outlineLevel="1"/>
    <col customWidth="1" min="20" max="23" width="8.38"/>
    <col collapsed="1" customWidth="1" min="24" max="24" width="8.38"/>
    <col customWidth="1" hidden="1" min="25" max="29" width="8.38" outlineLevel="1"/>
    <col customWidth="1" hidden="1" min="30" max="30" width="8.75" outlineLevel="1"/>
    <col customWidth="1" hidden="1" min="31" max="31" width="8.38" outlineLevel="1"/>
    <col customWidth="1" min="32" max="35" width="8.38"/>
    <col customWidth="1" min="36" max="36" width="9.13"/>
    <col customWidth="1" min="37" max="38" width="8.38"/>
    <col customWidth="1" min="39" max="39" width="0.88"/>
    <col customWidth="1" min="40" max="45" width="8.38"/>
    <col customWidth="1" min="46" max="46" width="0.88"/>
    <col customWidth="1" min="47" max="47" width="8.88"/>
    <col customWidth="1" min="48" max="48" width="9.0"/>
    <col customWidth="1" min="49" max="49" width="8.38"/>
    <col customWidth="1" min="50" max="50" width="0.88"/>
    <col customWidth="1" min="51" max="51" width="9.38"/>
    <col customWidth="1" min="52" max="52" width="8.63"/>
    <col customWidth="1" min="53" max="53" width="8.88"/>
    <col customWidth="1" min="54" max="56" width="8.38"/>
    <col customWidth="1" min="57" max="57" width="0.88"/>
    <col customWidth="1" min="58" max="58" width="9.38"/>
    <col customWidth="1" min="59" max="59" width="8.75"/>
    <col customWidth="1" min="60" max="60" width="9.0"/>
    <col customWidth="1" min="61" max="61" width="9.38"/>
    <col customWidth="1" min="62" max="64" width="8.38"/>
  </cols>
  <sheetData>
    <row r="1" ht="9.75" customHeight="1">
      <c r="A1" s="1031" t="s">
        <v>688</v>
      </c>
      <c r="B1" s="50"/>
      <c r="C1" s="51"/>
      <c r="D1" s="1032" t="s">
        <v>689</v>
      </c>
      <c r="E1" s="50"/>
      <c r="F1" s="50"/>
      <c r="G1" s="50"/>
      <c r="H1" s="50"/>
      <c r="I1" s="50"/>
      <c r="J1" s="50"/>
      <c r="K1" s="50"/>
      <c r="L1" s="50"/>
      <c r="M1" s="50"/>
      <c r="N1" s="50"/>
      <c r="O1" s="50"/>
      <c r="P1" s="50"/>
      <c r="Q1" s="50"/>
      <c r="R1" s="50"/>
      <c r="S1" s="50"/>
      <c r="T1" s="50"/>
      <c r="U1" s="50"/>
      <c r="V1" s="50"/>
      <c r="W1" s="50"/>
      <c r="X1" s="50"/>
      <c r="Y1" s="50"/>
      <c r="Z1" s="50"/>
      <c r="AA1" s="50"/>
      <c r="AB1" s="50"/>
      <c r="AC1" s="50"/>
      <c r="AD1" s="50"/>
      <c r="AE1" s="50"/>
      <c r="AF1" s="50"/>
      <c r="AG1" s="50"/>
      <c r="AH1" s="50"/>
      <c r="AI1" s="50"/>
      <c r="AJ1" s="50"/>
      <c r="AK1" s="50"/>
      <c r="AL1" s="50"/>
      <c r="AM1" s="50"/>
      <c r="AN1" s="50"/>
      <c r="AO1" s="50"/>
      <c r="AP1" s="50"/>
      <c r="AQ1" s="50"/>
      <c r="AR1" s="50"/>
      <c r="AS1" s="51"/>
      <c r="AT1" s="1033"/>
      <c r="AU1" s="1032" t="s">
        <v>690</v>
      </c>
      <c r="AV1" s="50"/>
      <c r="AW1" s="50"/>
      <c r="AX1" s="50"/>
      <c r="AY1" s="50"/>
      <c r="AZ1" s="50"/>
      <c r="BA1" s="50"/>
      <c r="BB1" s="50"/>
      <c r="BC1" s="50"/>
      <c r="BD1" s="50"/>
      <c r="BE1" s="50"/>
      <c r="BF1" s="50"/>
      <c r="BG1" s="50"/>
      <c r="BH1" s="50"/>
      <c r="BI1" s="50"/>
      <c r="BJ1" s="50"/>
      <c r="BK1" s="50"/>
      <c r="BL1" s="51"/>
    </row>
    <row r="2" ht="15.75" customHeight="1">
      <c r="A2" s="113"/>
      <c r="C2" s="83"/>
      <c r="D2" s="68"/>
      <c r="E2" s="69"/>
      <c r="F2" s="69"/>
      <c r="G2" s="69"/>
      <c r="H2" s="69"/>
      <c r="I2" s="69"/>
      <c r="J2" s="69"/>
      <c r="K2" s="69"/>
      <c r="L2" s="69"/>
      <c r="M2" s="69"/>
      <c r="N2" s="69"/>
      <c r="O2" s="69"/>
      <c r="P2" s="69"/>
      <c r="Q2" s="69"/>
      <c r="R2" s="69"/>
      <c r="S2" s="69"/>
      <c r="T2" s="69"/>
      <c r="U2" s="69"/>
      <c r="V2" s="69"/>
      <c r="W2" s="69"/>
      <c r="X2" s="69"/>
      <c r="Y2" s="69"/>
      <c r="Z2" s="69"/>
      <c r="AA2" s="69"/>
      <c r="AB2" s="69"/>
      <c r="AC2" s="69"/>
      <c r="AD2" s="69"/>
      <c r="AE2" s="69"/>
      <c r="AF2" s="69"/>
      <c r="AG2" s="69"/>
      <c r="AH2" s="69"/>
      <c r="AI2" s="69"/>
      <c r="AJ2" s="69"/>
      <c r="AK2" s="69"/>
      <c r="AL2" s="69"/>
      <c r="AM2" s="69"/>
      <c r="AN2" s="69"/>
      <c r="AO2" s="69"/>
      <c r="AP2" s="69"/>
      <c r="AQ2" s="69"/>
      <c r="AR2" s="69"/>
      <c r="AS2" s="70"/>
      <c r="AT2" s="1033"/>
      <c r="AU2" s="68"/>
      <c r="AV2" s="69"/>
      <c r="AW2" s="69"/>
      <c r="AX2" s="69"/>
      <c r="AY2" s="69"/>
      <c r="AZ2" s="69"/>
      <c r="BA2" s="69"/>
      <c r="BB2" s="69"/>
      <c r="BC2" s="69"/>
      <c r="BD2" s="69"/>
      <c r="BE2" s="69"/>
      <c r="BF2" s="69"/>
      <c r="BG2" s="69"/>
      <c r="BH2" s="69"/>
      <c r="BI2" s="69"/>
      <c r="BJ2" s="69"/>
      <c r="BK2" s="69"/>
      <c r="BL2" s="70"/>
    </row>
    <row r="3" ht="6.0" customHeight="1">
      <c r="A3" s="113"/>
      <c r="C3" s="83"/>
      <c r="D3" s="1034"/>
      <c r="E3" s="1034"/>
      <c r="F3" s="1034"/>
      <c r="G3" s="1034"/>
      <c r="H3" s="1034"/>
      <c r="I3" s="1034"/>
      <c r="J3" s="1034"/>
      <c r="K3" s="1034"/>
      <c r="L3" s="1034"/>
      <c r="M3" s="1034"/>
      <c r="N3" s="1034"/>
      <c r="O3" s="1034"/>
      <c r="P3" s="1034"/>
      <c r="Q3" s="1034"/>
      <c r="R3" s="1034"/>
      <c r="S3" s="1034"/>
      <c r="T3" s="1034"/>
      <c r="U3" s="1034"/>
      <c r="V3" s="1034"/>
      <c r="W3" s="1034"/>
      <c r="X3" s="1034"/>
      <c r="Y3" s="1034"/>
      <c r="Z3" s="1034"/>
      <c r="AA3" s="1034"/>
      <c r="AB3" s="1034"/>
      <c r="AC3" s="1034"/>
      <c r="AD3" s="1034"/>
      <c r="AE3" s="1034"/>
      <c r="AF3" s="1034"/>
      <c r="AG3" s="1034"/>
      <c r="AH3" s="1034"/>
      <c r="AI3" s="1034"/>
      <c r="AJ3" s="1034"/>
      <c r="AK3" s="1034"/>
      <c r="AL3" s="1034"/>
      <c r="AM3" s="1035"/>
      <c r="AN3" s="1034"/>
      <c r="AO3" s="1034"/>
      <c r="AP3" s="1034"/>
      <c r="AQ3" s="1034"/>
      <c r="AR3" s="1034"/>
      <c r="AS3" s="1034"/>
      <c r="AT3" s="1033"/>
      <c r="AU3" s="1034"/>
      <c r="AV3" s="1034"/>
      <c r="AW3" s="1034"/>
      <c r="AX3" s="1035"/>
      <c r="AY3" s="1034"/>
      <c r="AZ3" s="1034"/>
      <c r="BA3" s="1034"/>
      <c r="BB3" s="1034"/>
      <c r="BC3" s="1034"/>
      <c r="BD3" s="1034"/>
      <c r="BE3" s="1035"/>
      <c r="BF3" s="1034"/>
      <c r="BG3" s="1034"/>
      <c r="BH3" s="1034"/>
      <c r="BI3" s="1034"/>
      <c r="BJ3" s="1034"/>
      <c r="BK3" s="1034"/>
      <c r="BL3" s="1034"/>
    </row>
    <row r="4">
      <c r="A4" s="113"/>
      <c r="C4" s="83"/>
      <c r="D4" s="1036" t="s">
        <v>691</v>
      </c>
      <c r="E4" s="170"/>
      <c r="F4" s="170"/>
      <c r="G4" s="318"/>
      <c r="H4" s="1036"/>
      <c r="I4" s="170"/>
      <c r="J4" s="170"/>
      <c r="K4" s="170"/>
      <c r="L4" s="170"/>
      <c r="M4" s="170"/>
      <c r="N4" s="170"/>
      <c r="O4" s="170"/>
      <c r="P4" s="170"/>
      <c r="Q4" s="170"/>
      <c r="R4" s="170"/>
      <c r="S4" s="170"/>
      <c r="T4" s="170"/>
      <c r="U4" s="170"/>
      <c r="V4" s="170"/>
      <c r="W4" s="318"/>
      <c r="X4" s="1037" t="s">
        <v>692</v>
      </c>
      <c r="Y4" s="170"/>
      <c r="Z4" s="170"/>
      <c r="AA4" s="170"/>
      <c r="AB4" s="170"/>
      <c r="AC4" s="170"/>
      <c r="AD4" s="170"/>
      <c r="AE4" s="170"/>
      <c r="AF4" s="170"/>
      <c r="AG4" s="170"/>
      <c r="AH4" s="170"/>
      <c r="AI4" s="170"/>
      <c r="AJ4" s="1036" t="s">
        <v>693</v>
      </c>
      <c r="AK4" s="170"/>
      <c r="AL4" s="318"/>
      <c r="AM4" s="1035"/>
      <c r="AN4" s="1038" t="s">
        <v>694</v>
      </c>
      <c r="AO4" s="50"/>
      <c r="AP4" s="50"/>
      <c r="AQ4" s="50"/>
      <c r="AR4" s="1036" t="s">
        <v>695</v>
      </c>
      <c r="AS4" s="318"/>
      <c r="AT4" s="1033"/>
      <c r="AU4" s="1039" t="s">
        <v>696</v>
      </c>
      <c r="AX4" s="1035"/>
      <c r="AY4" s="1039" t="s">
        <v>697</v>
      </c>
      <c r="BE4" s="1035"/>
      <c r="BF4" s="1039" t="s">
        <v>698</v>
      </c>
    </row>
    <row r="5">
      <c r="A5" s="1040" t="str">
        <f>HYPERLINK("bit.ly/dlombelloplanilhas","dlombello®planilhas "&amp;leiame!B6)</f>
        <v>dlombello®planilhas v6.4.02</v>
      </c>
      <c r="B5" s="707"/>
      <c r="C5" s="1041" t="s">
        <v>391</v>
      </c>
      <c r="D5" s="1041" t="s">
        <v>699</v>
      </c>
      <c r="E5" s="1041" t="s">
        <v>700</v>
      </c>
      <c r="F5" s="1041" t="s">
        <v>701</v>
      </c>
      <c r="G5" s="1041" t="s">
        <v>702</v>
      </c>
      <c r="H5" s="1041" t="s">
        <v>703</v>
      </c>
      <c r="I5" s="1041" t="s">
        <v>704</v>
      </c>
      <c r="J5" s="1041" t="s">
        <v>705</v>
      </c>
      <c r="K5" s="1041" t="s">
        <v>706</v>
      </c>
      <c r="L5" s="1042" t="s">
        <v>707</v>
      </c>
      <c r="M5" s="1042" t="s">
        <v>708</v>
      </c>
      <c r="N5" s="1042" t="s">
        <v>709</v>
      </c>
      <c r="O5" s="1042" t="s">
        <v>710</v>
      </c>
      <c r="P5" s="1042" t="s">
        <v>711</v>
      </c>
      <c r="Q5" s="1042" t="s">
        <v>712</v>
      </c>
      <c r="R5" s="1042" t="s">
        <v>713</v>
      </c>
      <c r="S5" s="1042" t="s">
        <v>714</v>
      </c>
      <c r="T5" s="1041" t="s">
        <v>715</v>
      </c>
      <c r="U5" s="1041" t="s">
        <v>716</v>
      </c>
      <c r="V5" s="1041" t="s">
        <v>717</v>
      </c>
      <c r="W5" s="1042" t="s">
        <v>718</v>
      </c>
      <c r="X5" s="1042" t="s">
        <v>719</v>
      </c>
      <c r="Y5" s="1042" t="s">
        <v>720</v>
      </c>
      <c r="Z5" s="1042" t="s">
        <v>721</v>
      </c>
      <c r="AA5" s="1042" t="s">
        <v>722</v>
      </c>
      <c r="AB5" s="1042" t="s">
        <v>723</v>
      </c>
      <c r="AC5" s="1042" t="s">
        <v>724</v>
      </c>
      <c r="AD5" s="1042" t="s">
        <v>725</v>
      </c>
      <c r="AE5" s="1042" t="s">
        <v>726</v>
      </c>
      <c r="AF5" s="1041" t="s">
        <v>727</v>
      </c>
      <c r="AG5" s="1041" t="s">
        <v>728</v>
      </c>
      <c r="AH5" s="1041" t="s">
        <v>729</v>
      </c>
      <c r="AI5" s="1042" t="s">
        <v>730</v>
      </c>
      <c r="AJ5" s="1041" t="s">
        <v>731</v>
      </c>
      <c r="AK5" s="1041" t="s">
        <v>732</v>
      </c>
      <c r="AL5" s="1041" t="s">
        <v>733</v>
      </c>
      <c r="AM5" s="1035"/>
      <c r="AN5" s="1042" t="s">
        <v>734</v>
      </c>
      <c r="AO5" s="1041" t="s">
        <v>735</v>
      </c>
      <c r="AP5" s="1041" t="s">
        <v>736</v>
      </c>
      <c r="AQ5" s="1042" t="s">
        <v>737</v>
      </c>
      <c r="AR5" s="1041" t="s">
        <v>738</v>
      </c>
      <c r="AS5" s="1041" t="s">
        <v>739</v>
      </c>
      <c r="AT5" s="1033"/>
      <c r="AU5" s="1041" t="s">
        <v>740</v>
      </c>
      <c r="AV5" s="1041" t="s">
        <v>741</v>
      </c>
      <c r="AW5" s="1043" t="s">
        <v>742</v>
      </c>
      <c r="AX5" s="1035"/>
      <c r="AY5" s="1041" t="s">
        <v>743</v>
      </c>
      <c r="AZ5" s="1042" t="s">
        <v>744</v>
      </c>
      <c r="BA5" s="1043" t="s">
        <v>745</v>
      </c>
      <c r="BB5" s="1043" t="s">
        <v>746</v>
      </c>
      <c r="BC5" s="1043" t="s">
        <v>747</v>
      </c>
      <c r="BD5" s="1043" t="s">
        <v>748</v>
      </c>
      <c r="BE5" s="1035"/>
      <c r="BF5" s="1041" t="s">
        <v>749</v>
      </c>
      <c r="BG5" s="1041" t="s">
        <v>750</v>
      </c>
      <c r="BH5" s="1042" t="s">
        <v>751</v>
      </c>
      <c r="BI5" s="1043" t="s">
        <v>752</v>
      </c>
      <c r="BJ5" s="1043" t="s">
        <v>753</v>
      </c>
      <c r="BK5" s="1043" t="s">
        <v>754</v>
      </c>
      <c r="BL5" s="1043" t="s">
        <v>755</v>
      </c>
    </row>
    <row r="6">
      <c r="A6" s="1044" t="s">
        <v>756</v>
      </c>
      <c r="B6" s="1045"/>
      <c r="C6" s="1046"/>
      <c r="D6" s="1047"/>
      <c r="E6" s="1047"/>
      <c r="F6" s="1047"/>
      <c r="G6" s="1048"/>
      <c r="H6" s="1047"/>
      <c r="I6" s="1047"/>
      <c r="J6" s="1047"/>
      <c r="K6" s="1047"/>
      <c r="L6" s="1047"/>
      <c r="M6" s="1047"/>
      <c r="N6" s="1047"/>
      <c r="O6" s="1047"/>
      <c r="P6" s="1047"/>
      <c r="Q6" s="1047"/>
      <c r="R6" s="1047"/>
      <c r="S6" s="1047"/>
      <c r="T6" s="1047"/>
      <c r="U6" s="1049" t="str">
        <f>'config.parâmetros'!B38</f>
        <v/>
      </c>
      <c r="V6" s="1047"/>
      <c r="W6" s="1050"/>
      <c r="X6" s="1047"/>
      <c r="Y6" s="1047"/>
      <c r="Z6" s="1047"/>
      <c r="AA6" s="1047"/>
      <c r="AB6" s="1047"/>
      <c r="AC6" s="1047"/>
      <c r="AD6" s="1047"/>
      <c r="AE6" s="1047"/>
      <c r="AF6" s="1047"/>
      <c r="AG6" s="1049" t="str">
        <f>'config.parâmetros'!B39</f>
        <v/>
      </c>
      <c r="AH6" s="1047"/>
      <c r="AI6" s="1050"/>
      <c r="AJ6" s="1047"/>
      <c r="AK6" s="1047"/>
      <c r="AL6" s="1050"/>
      <c r="AM6" s="1035"/>
      <c r="AN6" s="1047"/>
      <c r="AO6" s="1049" t="str">
        <f>'config.parâmetros'!B40</f>
        <v/>
      </c>
      <c r="AP6" s="1047"/>
      <c r="AQ6" s="1050"/>
      <c r="AR6" s="1047"/>
      <c r="AS6" s="1050"/>
      <c r="AT6" s="1033"/>
      <c r="AU6" s="1049" t="str">
        <f>'config.parâmetros'!B41</f>
        <v/>
      </c>
      <c r="AV6" s="1051"/>
      <c r="AW6" s="1052"/>
      <c r="AX6" s="1035"/>
      <c r="AY6" s="1051"/>
      <c r="AZ6" s="1051"/>
      <c r="BA6" s="1051"/>
      <c r="BB6" s="1051"/>
      <c r="BC6" s="1051"/>
      <c r="BD6" s="1051"/>
      <c r="BE6" s="1035"/>
      <c r="BF6" s="1051"/>
      <c r="BG6" s="1051"/>
      <c r="BH6" s="1051"/>
      <c r="BI6" s="1051"/>
      <c r="BJ6" s="1051"/>
      <c r="BK6" s="1051"/>
      <c r="BL6" s="1051"/>
    </row>
    <row r="7">
      <c r="A7" s="1053">
        <f>'config.parâmetros'!B33</f>
        <v>2020</v>
      </c>
      <c r="B7" s="1045"/>
      <c r="C7" s="1046"/>
      <c r="D7" s="1047"/>
      <c r="E7" s="1047"/>
      <c r="F7" s="1047"/>
      <c r="G7" s="1048"/>
      <c r="H7" s="1047"/>
      <c r="I7" s="1047"/>
      <c r="J7" s="1047"/>
      <c r="K7" s="1047"/>
      <c r="L7" s="1047"/>
      <c r="M7" s="1047"/>
      <c r="N7" s="1047"/>
      <c r="O7" s="1047"/>
      <c r="P7" s="1047"/>
      <c r="Q7" s="1047"/>
      <c r="R7" s="1047"/>
      <c r="S7" s="1047"/>
      <c r="T7" s="1047"/>
      <c r="U7" s="1047"/>
      <c r="V7" s="1047"/>
      <c r="W7" s="1050"/>
      <c r="X7" s="1047"/>
      <c r="Y7" s="1047"/>
      <c r="Z7" s="1047"/>
      <c r="AA7" s="1047"/>
      <c r="AB7" s="1047"/>
      <c r="AC7" s="1047"/>
      <c r="AD7" s="1047"/>
      <c r="AE7" s="1047"/>
      <c r="AF7" s="1047"/>
      <c r="AG7" s="1047"/>
      <c r="AH7" s="1047"/>
      <c r="AI7" s="1050"/>
      <c r="AJ7" s="1047"/>
      <c r="AK7" s="1047"/>
      <c r="AL7" s="1050"/>
      <c r="AM7" s="1035"/>
      <c r="AN7" s="1047"/>
      <c r="AO7" s="1047"/>
      <c r="AP7" s="1047"/>
      <c r="AQ7" s="1050"/>
      <c r="AR7" s="1047"/>
      <c r="AS7" s="1050"/>
      <c r="AT7" s="1033"/>
      <c r="AU7" s="1050"/>
      <c r="AV7" s="1051"/>
      <c r="AW7" s="1052"/>
      <c r="AX7" s="1035"/>
      <c r="AY7" s="1047"/>
      <c r="AZ7" s="1047"/>
      <c r="BA7" s="1047"/>
      <c r="BB7" s="1047"/>
      <c r="BC7" s="1047"/>
      <c r="BD7" s="1047"/>
      <c r="BE7" s="1035"/>
      <c r="BF7" s="1047"/>
      <c r="BG7" s="1047"/>
      <c r="BH7" s="1047"/>
      <c r="BI7" s="1047"/>
      <c r="BJ7" s="1047"/>
      <c r="BK7" s="1047"/>
      <c r="BL7" s="1047"/>
    </row>
    <row r="8">
      <c r="A8" s="1054" t="s">
        <v>757</v>
      </c>
      <c r="B8" s="1045"/>
      <c r="C8" s="1046"/>
      <c r="D8" s="1047"/>
      <c r="E8" s="1047"/>
      <c r="F8" s="1047"/>
      <c r="G8" s="1048"/>
      <c r="H8" s="1047"/>
      <c r="I8" s="1047"/>
      <c r="J8" s="1047"/>
      <c r="K8" s="1047"/>
      <c r="L8" s="1047"/>
      <c r="M8" s="1047"/>
      <c r="N8" s="1047"/>
      <c r="O8" s="1047"/>
      <c r="P8" s="1047"/>
      <c r="Q8" s="1047"/>
      <c r="R8" s="1047"/>
      <c r="S8" s="1047"/>
      <c r="T8" s="1047"/>
      <c r="U8" s="1047"/>
      <c r="V8" s="1047"/>
      <c r="W8" s="1050"/>
      <c r="X8" s="1047"/>
      <c r="Y8" s="1047"/>
      <c r="Z8" s="1047"/>
      <c r="AA8" s="1047"/>
      <c r="AB8" s="1047"/>
      <c r="AC8" s="1047"/>
      <c r="AD8" s="1047"/>
      <c r="AE8" s="1047"/>
      <c r="AF8" s="1047"/>
      <c r="AG8" s="1047"/>
      <c r="AH8" s="1047"/>
      <c r="AI8" s="1050"/>
      <c r="AJ8" s="1047"/>
      <c r="AK8" s="1047"/>
      <c r="AL8" s="1050"/>
      <c r="AM8" s="1035"/>
      <c r="AN8" s="1047"/>
      <c r="AO8" s="1047"/>
      <c r="AP8" s="1047"/>
      <c r="AQ8" s="1050"/>
      <c r="AR8" s="1047"/>
      <c r="AS8" s="1050"/>
      <c r="AT8" s="1033"/>
      <c r="AU8" s="1050"/>
      <c r="AV8" s="1051"/>
      <c r="AW8" s="1052"/>
      <c r="AX8" s="1035"/>
      <c r="AY8" s="1047"/>
      <c r="AZ8" s="1047"/>
      <c r="BA8" s="1047"/>
      <c r="BB8" s="1047"/>
      <c r="BC8" s="1047"/>
      <c r="BD8" s="1047"/>
      <c r="BE8" s="1035"/>
      <c r="BF8" s="1047"/>
      <c r="BG8" s="1047"/>
      <c r="BH8" s="1047"/>
      <c r="BI8" s="1047"/>
      <c r="BJ8" s="1047"/>
      <c r="BK8" s="1047"/>
      <c r="BL8" s="1047"/>
    </row>
    <row r="9">
      <c r="A9" s="653"/>
      <c r="B9" s="1045"/>
      <c r="C9" s="1046"/>
      <c r="D9" s="1047"/>
      <c r="E9" s="1047"/>
      <c r="F9" s="1047"/>
      <c r="G9" s="1048"/>
      <c r="H9" s="1047"/>
      <c r="I9" s="1047"/>
      <c r="J9" s="1047"/>
      <c r="K9" s="1047"/>
      <c r="L9" s="1047"/>
      <c r="M9" s="1047"/>
      <c r="N9" s="1047"/>
      <c r="O9" s="1047"/>
      <c r="P9" s="1047"/>
      <c r="Q9" s="1047"/>
      <c r="R9" s="1047"/>
      <c r="S9" s="1047"/>
      <c r="T9" s="1047"/>
      <c r="U9" s="1047"/>
      <c r="V9" s="1047"/>
      <c r="W9" s="1050"/>
      <c r="X9" s="1047"/>
      <c r="Y9" s="1047"/>
      <c r="Z9" s="1047"/>
      <c r="AA9" s="1047"/>
      <c r="AB9" s="1047"/>
      <c r="AC9" s="1047"/>
      <c r="AD9" s="1047"/>
      <c r="AE9" s="1047"/>
      <c r="AF9" s="1047"/>
      <c r="AG9" s="1047"/>
      <c r="AH9" s="1047"/>
      <c r="AI9" s="1050"/>
      <c r="AJ9" s="1047"/>
      <c r="AK9" s="1047"/>
      <c r="AL9" s="1050"/>
      <c r="AM9" s="1035"/>
      <c r="AN9" s="1047"/>
      <c r="AO9" s="1047"/>
      <c r="AP9" s="1047"/>
      <c r="AQ9" s="1050"/>
      <c r="AR9" s="1047"/>
      <c r="AS9" s="1050"/>
      <c r="AT9" s="1033"/>
      <c r="AU9" s="1050"/>
      <c r="AV9" s="1051"/>
      <c r="AW9" s="1052"/>
      <c r="AX9" s="1035"/>
      <c r="AY9" s="1047"/>
      <c r="AZ9" s="1047"/>
      <c r="BA9" s="1047"/>
      <c r="BB9" s="1047"/>
      <c r="BC9" s="1047"/>
      <c r="BD9" s="1047"/>
      <c r="BE9" s="1035"/>
      <c r="BF9" s="1047"/>
      <c r="BG9" s="1047"/>
      <c r="BH9" s="1047"/>
      <c r="BI9" s="1047"/>
      <c r="BJ9" s="1047"/>
      <c r="BK9" s="1047"/>
      <c r="BL9" s="1047"/>
    </row>
    <row r="10">
      <c r="A10" s="653"/>
      <c r="B10" s="1045"/>
      <c r="C10" s="1046"/>
      <c r="D10" s="1047"/>
      <c r="E10" s="1047"/>
      <c r="F10" s="1047"/>
      <c r="G10" s="1048"/>
      <c r="H10" s="1047"/>
      <c r="I10" s="1047"/>
      <c r="J10" s="1047"/>
      <c r="K10" s="1047"/>
      <c r="L10" s="1047"/>
      <c r="M10" s="1047"/>
      <c r="N10" s="1047"/>
      <c r="O10" s="1047"/>
      <c r="P10" s="1047"/>
      <c r="Q10" s="1047"/>
      <c r="R10" s="1047"/>
      <c r="S10" s="1047"/>
      <c r="T10" s="1047"/>
      <c r="U10" s="1047"/>
      <c r="V10" s="1047"/>
      <c r="W10" s="1050"/>
      <c r="X10" s="1047"/>
      <c r="Y10" s="1047"/>
      <c r="Z10" s="1047"/>
      <c r="AA10" s="1047"/>
      <c r="AB10" s="1047"/>
      <c r="AC10" s="1047"/>
      <c r="AD10" s="1047"/>
      <c r="AE10" s="1047"/>
      <c r="AF10" s="1047"/>
      <c r="AG10" s="1047"/>
      <c r="AH10" s="1047"/>
      <c r="AI10" s="1050"/>
      <c r="AJ10" s="1047"/>
      <c r="AK10" s="1047"/>
      <c r="AL10" s="1050"/>
      <c r="AM10" s="1035"/>
      <c r="AN10" s="1047"/>
      <c r="AO10" s="1047"/>
      <c r="AP10" s="1047"/>
      <c r="AQ10" s="1050"/>
      <c r="AR10" s="1047"/>
      <c r="AS10" s="1050"/>
      <c r="AT10" s="1033"/>
      <c r="AU10" s="1050"/>
      <c r="AV10" s="1051"/>
      <c r="AW10" s="1052"/>
      <c r="AX10" s="1035"/>
      <c r="AY10" s="1047"/>
      <c r="AZ10" s="1047"/>
      <c r="BA10" s="1047"/>
      <c r="BB10" s="1047"/>
      <c r="BC10" s="1047"/>
      <c r="BD10" s="1047"/>
      <c r="BE10" s="1035"/>
      <c r="BF10" s="1047"/>
      <c r="BG10" s="1047"/>
      <c r="BH10" s="1047"/>
      <c r="BI10" s="1047"/>
      <c r="BJ10" s="1047"/>
      <c r="BK10" s="1047"/>
      <c r="BL10" s="1047"/>
    </row>
    <row r="11">
      <c r="A11" s="653"/>
      <c r="B11" s="1045"/>
      <c r="C11" s="1046"/>
      <c r="D11" s="1047"/>
      <c r="E11" s="1047"/>
      <c r="F11" s="1047"/>
      <c r="G11" s="1048"/>
      <c r="H11" s="1047"/>
      <c r="I11" s="1047"/>
      <c r="J11" s="1047"/>
      <c r="K11" s="1047"/>
      <c r="L11" s="1047"/>
      <c r="M11" s="1047"/>
      <c r="N11" s="1047"/>
      <c r="O11" s="1047"/>
      <c r="P11" s="1047"/>
      <c r="Q11" s="1047"/>
      <c r="R11" s="1047"/>
      <c r="S11" s="1047"/>
      <c r="T11" s="1047"/>
      <c r="U11" s="1047"/>
      <c r="V11" s="1047"/>
      <c r="W11" s="1050"/>
      <c r="X11" s="1047"/>
      <c r="Y11" s="1047"/>
      <c r="Z11" s="1047"/>
      <c r="AA11" s="1047"/>
      <c r="AB11" s="1047"/>
      <c r="AC11" s="1047"/>
      <c r="AD11" s="1047"/>
      <c r="AE11" s="1047"/>
      <c r="AF11" s="1047"/>
      <c r="AG11" s="1047"/>
      <c r="AH11" s="1047"/>
      <c r="AI11" s="1050"/>
      <c r="AJ11" s="1047"/>
      <c r="AK11" s="1047"/>
      <c r="AL11" s="1050"/>
      <c r="AM11" s="1035"/>
      <c r="AN11" s="1047"/>
      <c r="AO11" s="1047"/>
      <c r="AP11" s="1047"/>
      <c r="AQ11" s="1050"/>
      <c r="AR11" s="1047"/>
      <c r="AS11" s="1050"/>
      <c r="AT11" s="1033"/>
      <c r="AU11" s="1050"/>
      <c r="AV11" s="1051"/>
      <c r="AW11" s="1052"/>
      <c r="AX11" s="1035"/>
      <c r="AY11" s="1047"/>
      <c r="AZ11" s="1047"/>
      <c r="BA11" s="1047"/>
      <c r="BB11" s="1047"/>
      <c r="BC11" s="1047"/>
      <c r="BD11" s="1047"/>
      <c r="BE11" s="1035"/>
      <c r="BF11" s="1047"/>
      <c r="BG11" s="1047"/>
      <c r="BH11" s="1047"/>
      <c r="BI11" s="1047"/>
      <c r="BJ11" s="1047"/>
      <c r="BK11" s="1047"/>
      <c r="BL11" s="1047"/>
    </row>
    <row r="12">
      <c r="A12" s="653"/>
      <c r="B12" s="1045"/>
      <c r="C12" s="1046"/>
      <c r="D12" s="1047"/>
      <c r="E12" s="1047"/>
      <c r="F12" s="1047"/>
      <c r="G12" s="1048"/>
      <c r="H12" s="1047"/>
      <c r="I12" s="1047"/>
      <c r="J12" s="1047"/>
      <c r="K12" s="1047"/>
      <c r="L12" s="1047"/>
      <c r="M12" s="1047"/>
      <c r="N12" s="1047"/>
      <c r="O12" s="1047"/>
      <c r="P12" s="1047"/>
      <c r="Q12" s="1047"/>
      <c r="R12" s="1047"/>
      <c r="S12" s="1047"/>
      <c r="T12" s="1047"/>
      <c r="U12" s="1047"/>
      <c r="V12" s="1047"/>
      <c r="W12" s="1050"/>
      <c r="X12" s="1047"/>
      <c r="Y12" s="1047"/>
      <c r="Z12" s="1047"/>
      <c r="AA12" s="1047"/>
      <c r="AB12" s="1047"/>
      <c r="AC12" s="1047"/>
      <c r="AD12" s="1047"/>
      <c r="AE12" s="1047"/>
      <c r="AF12" s="1047"/>
      <c r="AG12" s="1047"/>
      <c r="AH12" s="1047"/>
      <c r="AI12" s="1050"/>
      <c r="AJ12" s="1047"/>
      <c r="AK12" s="1047"/>
      <c r="AL12" s="1050"/>
      <c r="AM12" s="1035"/>
      <c r="AN12" s="1047"/>
      <c r="AO12" s="1047"/>
      <c r="AP12" s="1047"/>
      <c r="AQ12" s="1050"/>
      <c r="AR12" s="1047"/>
      <c r="AS12" s="1050"/>
      <c r="AT12" s="1033"/>
      <c r="AU12" s="1050"/>
      <c r="AV12" s="1051"/>
      <c r="AW12" s="1052"/>
      <c r="AX12" s="1035"/>
      <c r="AY12" s="1047"/>
      <c r="AZ12" s="1047"/>
      <c r="BA12" s="1047"/>
      <c r="BB12" s="1047"/>
      <c r="BC12" s="1047"/>
      <c r="BD12" s="1047"/>
      <c r="BE12" s="1035"/>
      <c r="BF12" s="1047"/>
      <c r="BG12" s="1047"/>
      <c r="BH12" s="1047"/>
      <c r="BI12" s="1047"/>
      <c r="BJ12" s="1047"/>
      <c r="BK12" s="1047"/>
      <c r="BL12" s="1047"/>
    </row>
    <row r="13">
      <c r="A13" s="653"/>
      <c r="B13" s="1045"/>
      <c r="C13" s="1046"/>
      <c r="D13" s="1047"/>
      <c r="E13" s="1047"/>
      <c r="F13" s="1047"/>
      <c r="G13" s="1048"/>
      <c r="H13" s="1047"/>
      <c r="I13" s="1047"/>
      <c r="J13" s="1047"/>
      <c r="K13" s="1047"/>
      <c r="L13" s="1047"/>
      <c r="M13" s="1047"/>
      <c r="N13" s="1047"/>
      <c r="O13" s="1047"/>
      <c r="P13" s="1047"/>
      <c r="Q13" s="1047"/>
      <c r="R13" s="1047"/>
      <c r="S13" s="1047"/>
      <c r="T13" s="1047"/>
      <c r="U13" s="1047"/>
      <c r="V13" s="1047"/>
      <c r="W13" s="1050"/>
      <c r="X13" s="1047"/>
      <c r="Y13" s="1047"/>
      <c r="Z13" s="1047"/>
      <c r="AA13" s="1047"/>
      <c r="AB13" s="1047"/>
      <c r="AC13" s="1047"/>
      <c r="AD13" s="1047"/>
      <c r="AE13" s="1047"/>
      <c r="AF13" s="1047"/>
      <c r="AG13" s="1047"/>
      <c r="AH13" s="1047"/>
      <c r="AI13" s="1050"/>
      <c r="AJ13" s="1047"/>
      <c r="AK13" s="1047"/>
      <c r="AL13" s="1050"/>
      <c r="AM13" s="1035"/>
      <c r="AN13" s="1047"/>
      <c r="AO13" s="1047"/>
      <c r="AP13" s="1047"/>
      <c r="AQ13" s="1050"/>
      <c r="AR13" s="1047"/>
      <c r="AS13" s="1050"/>
      <c r="AT13" s="1033"/>
      <c r="AU13" s="1050"/>
      <c r="AV13" s="1051"/>
      <c r="AW13" s="1052"/>
      <c r="AX13" s="1035"/>
      <c r="AY13" s="1047"/>
      <c r="AZ13" s="1047"/>
      <c r="BA13" s="1047"/>
      <c r="BB13" s="1047"/>
      <c r="BC13" s="1047"/>
      <c r="BD13" s="1047"/>
      <c r="BE13" s="1035"/>
      <c r="BF13" s="1047"/>
      <c r="BG13" s="1047"/>
      <c r="BH13" s="1047"/>
      <c r="BI13" s="1047"/>
      <c r="BJ13" s="1047"/>
      <c r="BK13" s="1047"/>
      <c r="BL13" s="1047"/>
    </row>
    <row r="14">
      <c r="A14" s="653"/>
      <c r="B14" s="1045"/>
      <c r="C14" s="1046"/>
      <c r="D14" s="1047"/>
      <c r="E14" s="1047"/>
      <c r="F14" s="1047"/>
      <c r="G14" s="1048"/>
      <c r="H14" s="1047"/>
      <c r="I14" s="1047"/>
      <c r="J14" s="1047"/>
      <c r="K14" s="1047"/>
      <c r="L14" s="1047"/>
      <c r="M14" s="1047"/>
      <c r="N14" s="1047"/>
      <c r="O14" s="1047"/>
      <c r="P14" s="1047"/>
      <c r="Q14" s="1047"/>
      <c r="R14" s="1047"/>
      <c r="S14" s="1047"/>
      <c r="T14" s="1047"/>
      <c r="U14" s="1047"/>
      <c r="V14" s="1047"/>
      <c r="W14" s="1050"/>
      <c r="X14" s="1047"/>
      <c r="Y14" s="1047"/>
      <c r="Z14" s="1047"/>
      <c r="AA14" s="1047"/>
      <c r="AB14" s="1047"/>
      <c r="AC14" s="1047"/>
      <c r="AD14" s="1047"/>
      <c r="AE14" s="1047"/>
      <c r="AF14" s="1047"/>
      <c r="AG14" s="1047"/>
      <c r="AH14" s="1047"/>
      <c r="AI14" s="1050"/>
      <c r="AJ14" s="1047"/>
      <c r="AK14" s="1047"/>
      <c r="AL14" s="1050"/>
      <c r="AM14" s="1035"/>
      <c r="AN14" s="1047"/>
      <c r="AO14" s="1047"/>
      <c r="AP14" s="1047"/>
      <c r="AQ14" s="1050"/>
      <c r="AR14" s="1047"/>
      <c r="AS14" s="1050"/>
      <c r="AT14" s="1033"/>
      <c r="AU14" s="1050"/>
      <c r="AV14" s="1051"/>
      <c r="AW14" s="1052"/>
      <c r="AX14" s="1035"/>
      <c r="AY14" s="1047"/>
      <c r="AZ14" s="1047"/>
      <c r="BA14" s="1047"/>
      <c r="BB14" s="1047"/>
      <c r="BC14" s="1047"/>
      <c r="BD14" s="1047"/>
      <c r="BE14" s="1035"/>
      <c r="BF14" s="1047"/>
      <c r="BG14" s="1047"/>
      <c r="BH14" s="1047"/>
      <c r="BI14" s="1047"/>
      <c r="BJ14" s="1047"/>
      <c r="BK14" s="1047"/>
      <c r="BL14" s="1047"/>
    </row>
    <row r="15">
      <c r="A15" s="653"/>
      <c r="B15" s="1045"/>
      <c r="C15" s="1046"/>
      <c r="D15" s="1047"/>
      <c r="E15" s="1047"/>
      <c r="F15" s="1047"/>
      <c r="G15" s="1048"/>
      <c r="H15" s="1047"/>
      <c r="I15" s="1047"/>
      <c r="J15" s="1047"/>
      <c r="K15" s="1047"/>
      <c r="L15" s="1047"/>
      <c r="M15" s="1047"/>
      <c r="N15" s="1047"/>
      <c r="O15" s="1047"/>
      <c r="P15" s="1047"/>
      <c r="Q15" s="1047"/>
      <c r="R15" s="1047"/>
      <c r="S15" s="1047"/>
      <c r="T15" s="1047"/>
      <c r="U15" s="1047"/>
      <c r="V15" s="1047"/>
      <c r="W15" s="1050"/>
      <c r="X15" s="1047"/>
      <c r="Y15" s="1047"/>
      <c r="Z15" s="1047"/>
      <c r="AA15" s="1047"/>
      <c r="AB15" s="1047"/>
      <c r="AC15" s="1047"/>
      <c r="AD15" s="1047"/>
      <c r="AE15" s="1047"/>
      <c r="AF15" s="1047"/>
      <c r="AG15" s="1047"/>
      <c r="AH15" s="1047"/>
      <c r="AI15" s="1050"/>
      <c r="AJ15" s="1047"/>
      <c r="AK15" s="1047"/>
      <c r="AL15" s="1050"/>
      <c r="AM15" s="1035"/>
      <c r="AN15" s="1047"/>
      <c r="AO15" s="1047"/>
      <c r="AP15" s="1047"/>
      <c r="AQ15" s="1050"/>
      <c r="AR15" s="1047"/>
      <c r="AS15" s="1050"/>
      <c r="AT15" s="1033"/>
      <c r="AU15" s="1050"/>
      <c r="AV15" s="1051"/>
      <c r="AW15" s="1052"/>
      <c r="AX15" s="1035"/>
      <c r="AY15" s="1047"/>
      <c r="AZ15" s="1047"/>
      <c r="BA15" s="1047"/>
      <c r="BB15" s="1047"/>
      <c r="BC15" s="1047"/>
      <c r="BD15" s="1047"/>
      <c r="BE15" s="1035"/>
      <c r="BF15" s="1047"/>
      <c r="BG15" s="1047"/>
      <c r="BH15" s="1047"/>
      <c r="BI15" s="1047"/>
      <c r="BJ15" s="1047"/>
      <c r="BK15" s="1047"/>
      <c r="BL15" s="1047"/>
    </row>
    <row r="16">
      <c r="A16" s="1045"/>
      <c r="B16" s="1045"/>
      <c r="C16" s="1046"/>
      <c r="D16" s="1047"/>
      <c r="E16" s="1047"/>
      <c r="F16" s="1047"/>
      <c r="G16" s="1048"/>
      <c r="H16" s="1047"/>
      <c r="I16" s="1047"/>
      <c r="J16" s="1047"/>
      <c r="K16" s="1047"/>
      <c r="L16" s="1047"/>
      <c r="M16" s="1047"/>
      <c r="N16" s="1047"/>
      <c r="O16" s="1047"/>
      <c r="P16" s="1047"/>
      <c r="Q16" s="1047"/>
      <c r="R16" s="1047"/>
      <c r="S16" s="1047"/>
      <c r="T16" s="1047"/>
      <c r="U16" s="1047"/>
      <c r="V16" s="1047"/>
      <c r="W16" s="1050"/>
      <c r="X16" s="1047"/>
      <c r="Y16" s="1047"/>
      <c r="Z16" s="1047"/>
      <c r="AA16" s="1047"/>
      <c r="AB16" s="1047"/>
      <c r="AC16" s="1047"/>
      <c r="AD16" s="1047"/>
      <c r="AE16" s="1047"/>
      <c r="AF16" s="1047"/>
      <c r="AG16" s="1047"/>
      <c r="AH16" s="1047"/>
      <c r="AI16" s="1050"/>
      <c r="AJ16" s="1047"/>
      <c r="AK16" s="1047"/>
      <c r="AL16" s="1050"/>
      <c r="AM16" s="1035"/>
      <c r="AN16" s="1047"/>
      <c r="AO16" s="1047"/>
      <c r="AP16" s="1047"/>
      <c r="AQ16" s="1050"/>
      <c r="AR16" s="1047"/>
      <c r="AS16" s="1050"/>
      <c r="AT16" s="1033"/>
      <c r="AU16" s="1050"/>
      <c r="AV16" s="1051"/>
      <c r="AW16" s="1052"/>
      <c r="AX16" s="1035"/>
      <c r="AY16" s="1047"/>
      <c r="AZ16" s="1047"/>
      <c r="BA16" s="1047"/>
      <c r="BB16" s="1047"/>
      <c r="BC16" s="1047"/>
      <c r="BD16" s="1047"/>
      <c r="BE16" s="1035"/>
      <c r="BF16" s="1047"/>
      <c r="BG16" s="1047"/>
      <c r="BH16" s="1047"/>
      <c r="BI16" s="1047"/>
      <c r="BJ16" s="1047"/>
      <c r="BK16" s="1047"/>
      <c r="BL16" s="1047"/>
    </row>
    <row r="17">
      <c r="A17" s="1045"/>
      <c r="B17" s="1045"/>
      <c r="C17" s="1046"/>
      <c r="D17" s="1047"/>
      <c r="E17" s="1047"/>
      <c r="F17" s="1047"/>
      <c r="G17" s="1048"/>
      <c r="H17" s="1047"/>
      <c r="I17" s="1047"/>
      <c r="J17" s="1047"/>
      <c r="K17" s="1047"/>
      <c r="L17" s="1047"/>
      <c r="M17" s="1047"/>
      <c r="N17" s="1047"/>
      <c r="O17" s="1047"/>
      <c r="P17" s="1047"/>
      <c r="Q17" s="1047"/>
      <c r="R17" s="1047"/>
      <c r="S17" s="1047"/>
      <c r="T17" s="1047"/>
      <c r="U17" s="1047"/>
      <c r="V17" s="1047"/>
      <c r="W17" s="1050"/>
      <c r="X17" s="1047"/>
      <c r="Y17" s="1047"/>
      <c r="Z17" s="1047"/>
      <c r="AA17" s="1047"/>
      <c r="AB17" s="1047"/>
      <c r="AC17" s="1047"/>
      <c r="AD17" s="1047"/>
      <c r="AE17" s="1047"/>
      <c r="AF17" s="1047"/>
      <c r="AG17" s="1047"/>
      <c r="AH17" s="1047"/>
      <c r="AI17" s="1050"/>
      <c r="AJ17" s="1047"/>
      <c r="AK17" s="1047"/>
      <c r="AL17" s="1050"/>
      <c r="AM17" s="1035"/>
      <c r="AN17" s="1047"/>
      <c r="AO17" s="1047"/>
      <c r="AP17" s="1047"/>
      <c r="AQ17" s="1050"/>
      <c r="AR17" s="1047"/>
      <c r="AS17" s="1050"/>
      <c r="AT17" s="1033"/>
      <c r="AU17" s="1050"/>
      <c r="AV17" s="1051"/>
      <c r="AW17" s="1052"/>
      <c r="AX17" s="1035"/>
      <c r="AY17" s="1047"/>
      <c r="AZ17" s="1047"/>
      <c r="BA17" s="1047"/>
      <c r="BB17" s="1047"/>
      <c r="BC17" s="1047"/>
      <c r="BD17" s="1047"/>
      <c r="BE17" s="1035"/>
      <c r="BF17" s="1047"/>
      <c r="BG17" s="1047"/>
      <c r="BH17" s="1047"/>
      <c r="BI17" s="1047"/>
      <c r="BJ17" s="1047"/>
      <c r="BK17" s="1047"/>
      <c r="BL17" s="1047"/>
    </row>
    <row r="18">
      <c r="A18" s="1045"/>
      <c r="B18" s="1045"/>
      <c r="C18" s="1046"/>
      <c r="D18" s="1047"/>
      <c r="E18" s="1047"/>
      <c r="F18" s="1047"/>
      <c r="G18" s="1048"/>
      <c r="H18" s="1047"/>
      <c r="I18" s="1047"/>
      <c r="J18" s="1047"/>
      <c r="K18" s="1047"/>
      <c r="L18" s="1047"/>
      <c r="M18" s="1047"/>
      <c r="N18" s="1047"/>
      <c r="O18" s="1047"/>
      <c r="P18" s="1047"/>
      <c r="Q18" s="1047"/>
      <c r="R18" s="1047"/>
      <c r="S18" s="1047"/>
      <c r="T18" s="1047"/>
      <c r="U18" s="1047"/>
      <c r="V18" s="1047"/>
      <c r="W18" s="1050"/>
      <c r="X18" s="1047"/>
      <c r="Y18" s="1047"/>
      <c r="Z18" s="1047"/>
      <c r="AA18" s="1047"/>
      <c r="AB18" s="1047"/>
      <c r="AC18" s="1047"/>
      <c r="AD18" s="1047"/>
      <c r="AE18" s="1047"/>
      <c r="AF18" s="1047"/>
      <c r="AG18" s="1047"/>
      <c r="AH18" s="1047"/>
      <c r="AI18" s="1050"/>
      <c r="AJ18" s="1047"/>
      <c r="AK18" s="1047"/>
      <c r="AL18" s="1050"/>
      <c r="AM18" s="1035"/>
      <c r="AN18" s="1047"/>
      <c r="AO18" s="1047"/>
      <c r="AP18" s="1047"/>
      <c r="AQ18" s="1050"/>
      <c r="AR18" s="1047"/>
      <c r="AS18" s="1050"/>
      <c r="AT18" s="1033"/>
      <c r="AU18" s="1050"/>
      <c r="AV18" s="1051"/>
      <c r="AW18" s="1052"/>
      <c r="AX18" s="1035"/>
      <c r="AY18" s="1047"/>
      <c r="AZ18" s="1047"/>
      <c r="BA18" s="1047"/>
      <c r="BB18" s="1047"/>
      <c r="BC18" s="1047"/>
      <c r="BD18" s="1047"/>
      <c r="BE18" s="1035"/>
      <c r="BF18" s="1047"/>
      <c r="BG18" s="1047"/>
      <c r="BH18" s="1047"/>
      <c r="BI18" s="1047"/>
      <c r="BJ18" s="1047"/>
      <c r="BK18" s="1047"/>
      <c r="BL18" s="1047"/>
    </row>
    <row r="19">
      <c r="A19" s="1045"/>
      <c r="B19" s="1045"/>
      <c r="C19" s="1046"/>
      <c r="D19" s="1047"/>
      <c r="E19" s="1047"/>
      <c r="F19" s="1047"/>
      <c r="G19" s="1048"/>
      <c r="H19" s="1047"/>
      <c r="I19" s="1047"/>
      <c r="J19" s="1047"/>
      <c r="K19" s="1047"/>
      <c r="L19" s="1047"/>
      <c r="M19" s="1047"/>
      <c r="N19" s="1047"/>
      <c r="O19" s="1047"/>
      <c r="P19" s="1047"/>
      <c r="Q19" s="1047"/>
      <c r="R19" s="1047"/>
      <c r="S19" s="1047"/>
      <c r="T19" s="1047"/>
      <c r="U19" s="1047"/>
      <c r="V19" s="1047"/>
      <c r="W19" s="1050"/>
      <c r="X19" s="1047"/>
      <c r="Y19" s="1047"/>
      <c r="Z19" s="1047"/>
      <c r="AA19" s="1047"/>
      <c r="AB19" s="1047"/>
      <c r="AC19" s="1047"/>
      <c r="AD19" s="1047"/>
      <c r="AE19" s="1047"/>
      <c r="AF19" s="1047"/>
      <c r="AG19" s="1047"/>
      <c r="AH19" s="1047"/>
      <c r="AI19" s="1050"/>
      <c r="AJ19" s="1047"/>
      <c r="AK19" s="1047"/>
      <c r="AL19" s="1050"/>
      <c r="AM19" s="1035"/>
      <c r="AN19" s="1047"/>
      <c r="AO19" s="1047"/>
      <c r="AP19" s="1047"/>
      <c r="AQ19" s="1050"/>
      <c r="AR19" s="1047"/>
      <c r="AS19" s="1050"/>
      <c r="AT19" s="1033"/>
      <c r="AU19" s="1050"/>
      <c r="AV19" s="1051"/>
      <c r="AW19" s="1052"/>
      <c r="AX19" s="1035"/>
      <c r="AY19" s="1047"/>
      <c r="AZ19" s="1047"/>
      <c r="BA19" s="1047"/>
      <c r="BB19" s="1047"/>
      <c r="BC19" s="1047"/>
      <c r="BD19" s="1047"/>
      <c r="BE19" s="1035"/>
      <c r="BF19" s="1047"/>
      <c r="BG19" s="1047"/>
      <c r="BH19" s="1047"/>
      <c r="BI19" s="1047"/>
      <c r="BJ19" s="1047"/>
      <c r="BK19" s="1047"/>
      <c r="BL19" s="1047"/>
    </row>
    <row r="20">
      <c r="A20" s="1045"/>
      <c r="B20" s="1045"/>
      <c r="C20" s="1046"/>
      <c r="D20" s="1047"/>
      <c r="E20" s="1047"/>
      <c r="F20" s="1047"/>
      <c r="G20" s="1048"/>
      <c r="H20" s="1047"/>
      <c r="I20" s="1047"/>
      <c r="J20" s="1047"/>
      <c r="K20" s="1047"/>
      <c r="L20" s="1047"/>
      <c r="M20" s="1047"/>
      <c r="N20" s="1047"/>
      <c r="O20" s="1047"/>
      <c r="P20" s="1047"/>
      <c r="Q20" s="1047"/>
      <c r="R20" s="1047"/>
      <c r="S20" s="1047"/>
      <c r="T20" s="1047"/>
      <c r="U20" s="1047"/>
      <c r="V20" s="1047"/>
      <c r="W20" s="1050"/>
      <c r="X20" s="1047"/>
      <c r="Y20" s="1047"/>
      <c r="Z20" s="1047"/>
      <c r="AA20" s="1047"/>
      <c r="AB20" s="1047"/>
      <c r="AC20" s="1047"/>
      <c r="AD20" s="1047"/>
      <c r="AE20" s="1047"/>
      <c r="AF20" s="1047"/>
      <c r="AG20" s="1047"/>
      <c r="AH20" s="1047"/>
      <c r="AI20" s="1050"/>
      <c r="AJ20" s="1047"/>
      <c r="AK20" s="1047"/>
      <c r="AL20" s="1050"/>
      <c r="AM20" s="1035"/>
      <c r="AN20" s="1047"/>
      <c r="AO20" s="1047"/>
      <c r="AP20" s="1047"/>
      <c r="AQ20" s="1050"/>
      <c r="AR20" s="1047"/>
      <c r="AS20" s="1050"/>
      <c r="AT20" s="1033"/>
      <c r="AU20" s="1050"/>
      <c r="AV20" s="1051"/>
      <c r="AW20" s="1052"/>
      <c r="AX20" s="1035"/>
      <c r="AY20" s="1047"/>
      <c r="AZ20" s="1047"/>
      <c r="BA20" s="1047"/>
      <c r="BB20" s="1047"/>
      <c r="BC20" s="1047"/>
      <c r="BD20" s="1047"/>
      <c r="BE20" s="1035"/>
      <c r="BF20" s="1047"/>
      <c r="BG20" s="1047"/>
      <c r="BH20" s="1047"/>
      <c r="BI20" s="1047"/>
      <c r="BJ20" s="1047"/>
      <c r="BK20" s="1047"/>
      <c r="BL20" s="1047"/>
    </row>
    <row r="21">
      <c r="A21" s="1045"/>
      <c r="B21" s="1045"/>
      <c r="C21" s="1046"/>
      <c r="D21" s="1047"/>
      <c r="E21" s="1047"/>
      <c r="F21" s="1047"/>
      <c r="G21" s="1048"/>
      <c r="H21" s="1047"/>
      <c r="I21" s="1047"/>
      <c r="J21" s="1047"/>
      <c r="K21" s="1047"/>
      <c r="L21" s="1047"/>
      <c r="M21" s="1047"/>
      <c r="N21" s="1047"/>
      <c r="O21" s="1047"/>
      <c r="P21" s="1047"/>
      <c r="Q21" s="1047"/>
      <c r="R21" s="1047"/>
      <c r="S21" s="1047"/>
      <c r="T21" s="1047"/>
      <c r="U21" s="1047"/>
      <c r="V21" s="1047"/>
      <c r="W21" s="1050"/>
      <c r="X21" s="1047"/>
      <c r="Y21" s="1047"/>
      <c r="Z21" s="1047"/>
      <c r="AA21" s="1047"/>
      <c r="AB21" s="1047"/>
      <c r="AC21" s="1047"/>
      <c r="AD21" s="1047"/>
      <c r="AE21" s="1047"/>
      <c r="AF21" s="1047"/>
      <c r="AG21" s="1047"/>
      <c r="AH21" s="1047"/>
      <c r="AI21" s="1050"/>
      <c r="AJ21" s="1047"/>
      <c r="AK21" s="1047"/>
      <c r="AL21" s="1050"/>
      <c r="AM21" s="1035"/>
      <c r="AN21" s="1047"/>
      <c r="AO21" s="1047"/>
      <c r="AP21" s="1047"/>
      <c r="AQ21" s="1050"/>
      <c r="AR21" s="1047"/>
      <c r="AS21" s="1050"/>
      <c r="AT21" s="1033"/>
      <c r="AU21" s="1050"/>
      <c r="AV21" s="1051"/>
      <c r="AW21" s="1052"/>
      <c r="AX21" s="1035"/>
      <c r="AY21" s="1047"/>
      <c r="AZ21" s="1047"/>
      <c r="BA21" s="1047"/>
      <c r="BB21" s="1047"/>
      <c r="BC21" s="1047"/>
      <c r="BD21" s="1047"/>
      <c r="BE21" s="1035"/>
      <c r="BF21" s="1047"/>
      <c r="BG21" s="1047"/>
      <c r="BH21" s="1047"/>
      <c r="BI21" s="1047"/>
      <c r="BJ21" s="1047"/>
      <c r="BK21" s="1047"/>
      <c r="BL21" s="1047"/>
    </row>
    <row r="22">
      <c r="A22" s="1045"/>
      <c r="B22" s="1045"/>
      <c r="C22" s="1046"/>
      <c r="D22" s="1047"/>
      <c r="E22" s="1047"/>
      <c r="F22" s="1047"/>
      <c r="G22" s="1048"/>
      <c r="H22" s="1047"/>
      <c r="I22" s="1047"/>
      <c r="J22" s="1047"/>
      <c r="K22" s="1047"/>
      <c r="L22" s="1047"/>
      <c r="M22" s="1047"/>
      <c r="N22" s="1047"/>
      <c r="O22" s="1047"/>
      <c r="P22" s="1047"/>
      <c r="Q22" s="1047"/>
      <c r="R22" s="1047"/>
      <c r="S22" s="1047"/>
      <c r="T22" s="1047"/>
      <c r="U22" s="1047"/>
      <c r="V22" s="1047"/>
      <c r="W22" s="1050"/>
      <c r="X22" s="1047"/>
      <c r="Y22" s="1047"/>
      <c r="Z22" s="1047"/>
      <c r="AA22" s="1047"/>
      <c r="AB22" s="1047"/>
      <c r="AC22" s="1047"/>
      <c r="AD22" s="1047"/>
      <c r="AE22" s="1047"/>
      <c r="AF22" s="1047"/>
      <c r="AG22" s="1047"/>
      <c r="AH22" s="1047"/>
      <c r="AI22" s="1050"/>
      <c r="AJ22" s="1047"/>
      <c r="AK22" s="1047"/>
      <c r="AL22" s="1050"/>
      <c r="AM22" s="1035"/>
      <c r="AN22" s="1047"/>
      <c r="AO22" s="1047"/>
      <c r="AP22" s="1047"/>
      <c r="AQ22" s="1050"/>
      <c r="AR22" s="1047"/>
      <c r="AS22" s="1050"/>
      <c r="AT22" s="1033"/>
      <c r="AU22" s="1050"/>
      <c r="AV22" s="1051"/>
      <c r="AW22" s="1052"/>
      <c r="AX22" s="1035"/>
      <c r="AY22" s="1047"/>
      <c r="AZ22" s="1047"/>
      <c r="BA22" s="1047"/>
      <c r="BB22" s="1047"/>
      <c r="BC22" s="1047"/>
      <c r="BD22" s="1047"/>
      <c r="BE22" s="1035"/>
      <c r="BF22" s="1047"/>
      <c r="BG22" s="1047"/>
      <c r="BH22" s="1047"/>
      <c r="BI22" s="1047"/>
      <c r="BJ22" s="1047"/>
      <c r="BK22" s="1047"/>
      <c r="BL22" s="1047"/>
    </row>
    <row r="23">
      <c r="A23" s="1045"/>
      <c r="B23" s="1045"/>
      <c r="C23" s="1046"/>
      <c r="D23" s="1047"/>
      <c r="E23" s="1047"/>
      <c r="F23" s="1047"/>
      <c r="G23" s="1048"/>
      <c r="H23" s="1047"/>
      <c r="I23" s="1047"/>
      <c r="J23" s="1047"/>
      <c r="K23" s="1047"/>
      <c r="L23" s="1047"/>
      <c r="M23" s="1047"/>
      <c r="N23" s="1047"/>
      <c r="O23" s="1047"/>
      <c r="P23" s="1047"/>
      <c r="Q23" s="1047"/>
      <c r="R23" s="1047"/>
      <c r="S23" s="1047"/>
      <c r="T23" s="1047"/>
      <c r="U23" s="1047"/>
      <c r="V23" s="1047"/>
      <c r="W23" s="1050"/>
      <c r="X23" s="1047"/>
      <c r="Y23" s="1047"/>
      <c r="Z23" s="1047"/>
      <c r="AA23" s="1047"/>
      <c r="AB23" s="1047"/>
      <c r="AC23" s="1047"/>
      <c r="AD23" s="1047"/>
      <c r="AE23" s="1047"/>
      <c r="AF23" s="1047"/>
      <c r="AG23" s="1047"/>
      <c r="AH23" s="1047"/>
      <c r="AI23" s="1050"/>
      <c r="AJ23" s="1047"/>
      <c r="AK23" s="1047"/>
      <c r="AL23" s="1050"/>
      <c r="AM23" s="1035"/>
      <c r="AN23" s="1047"/>
      <c r="AO23" s="1047"/>
      <c r="AP23" s="1047"/>
      <c r="AQ23" s="1050"/>
      <c r="AR23" s="1047"/>
      <c r="AS23" s="1050"/>
      <c r="AT23" s="1033"/>
      <c r="AU23" s="1050"/>
      <c r="AV23" s="1051"/>
      <c r="AW23" s="1052"/>
      <c r="AX23" s="1035"/>
      <c r="AY23" s="1047"/>
      <c r="AZ23" s="1047"/>
      <c r="BA23" s="1047"/>
      <c r="BB23" s="1047"/>
      <c r="BC23" s="1047"/>
      <c r="BD23" s="1047"/>
      <c r="BE23" s="1035"/>
      <c r="BF23" s="1047"/>
      <c r="BG23" s="1047"/>
      <c r="BH23" s="1047"/>
      <c r="BI23" s="1047"/>
      <c r="BJ23" s="1047"/>
      <c r="BK23" s="1047"/>
      <c r="BL23" s="1047"/>
    </row>
    <row r="24">
      <c r="A24" s="1045"/>
      <c r="B24" s="1045"/>
      <c r="C24" s="1046"/>
      <c r="D24" s="1047"/>
      <c r="E24" s="1047"/>
      <c r="F24" s="1047"/>
      <c r="G24" s="1048"/>
      <c r="H24" s="1047"/>
      <c r="I24" s="1047"/>
      <c r="J24" s="1047"/>
      <c r="K24" s="1047"/>
      <c r="L24" s="1047"/>
      <c r="M24" s="1047"/>
      <c r="N24" s="1047"/>
      <c r="O24" s="1047"/>
      <c r="P24" s="1047"/>
      <c r="Q24" s="1047"/>
      <c r="R24" s="1047"/>
      <c r="S24" s="1047"/>
      <c r="T24" s="1047"/>
      <c r="U24" s="1047"/>
      <c r="V24" s="1047"/>
      <c r="W24" s="1050"/>
      <c r="X24" s="1047"/>
      <c r="Y24" s="1047"/>
      <c r="Z24" s="1047"/>
      <c r="AA24" s="1047"/>
      <c r="AB24" s="1047"/>
      <c r="AC24" s="1047"/>
      <c r="AD24" s="1047"/>
      <c r="AE24" s="1047"/>
      <c r="AF24" s="1047"/>
      <c r="AG24" s="1047"/>
      <c r="AH24" s="1047"/>
      <c r="AI24" s="1050"/>
      <c r="AJ24" s="1047"/>
      <c r="AK24" s="1047"/>
      <c r="AL24" s="1050"/>
      <c r="AM24" s="1035"/>
      <c r="AN24" s="1047"/>
      <c r="AO24" s="1047"/>
      <c r="AP24" s="1047"/>
      <c r="AQ24" s="1050"/>
      <c r="AR24" s="1047"/>
      <c r="AS24" s="1050"/>
      <c r="AT24" s="1033"/>
      <c r="AU24" s="1050"/>
      <c r="AV24" s="1051"/>
      <c r="AW24" s="1052"/>
      <c r="AX24" s="1035"/>
      <c r="AY24" s="1047"/>
      <c r="AZ24" s="1047"/>
      <c r="BA24" s="1047"/>
      <c r="BB24" s="1047"/>
      <c r="BC24" s="1047"/>
      <c r="BD24" s="1047"/>
      <c r="BE24" s="1035"/>
      <c r="BF24" s="1047"/>
      <c r="BG24" s="1047"/>
      <c r="BH24" s="1047"/>
      <c r="BI24" s="1047"/>
      <c r="BJ24" s="1047"/>
      <c r="BK24" s="1047"/>
      <c r="BL24" s="1047"/>
    </row>
    <row r="25">
      <c r="A25" s="1045"/>
      <c r="B25" s="1045"/>
      <c r="C25" s="1046"/>
      <c r="D25" s="1047"/>
      <c r="E25" s="1047"/>
      <c r="F25" s="1047"/>
      <c r="G25" s="1048"/>
      <c r="H25" s="1047"/>
      <c r="I25" s="1047"/>
      <c r="J25" s="1047"/>
      <c r="K25" s="1047"/>
      <c r="L25" s="1047"/>
      <c r="M25" s="1047"/>
      <c r="N25" s="1047"/>
      <c r="O25" s="1047"/>
      <c r="P25" s="1047"/>
      <c r="Q25" s="1047"/>
      <c r="R25" s="1047"/>
      <c r="S25" s="1047"/>
      <c r="T25" s="1047"/>
      <c r="U25" s="1047"/>
      <c r="V25" s="1047"/>
      <c r="W25" s="1050"/>
      <c r="X25" s="1047"/>
      <c r="Y25" s="1047"/>
      <c r="Z25" s="1047"/>
      <c r="AA25" s="1047"/>
      <c r="AB25" s="1047"/>
      <c r="AC25" s="1047"/>
      <c r="AD25" s="1047"/>
      <c r="AE25" s="1047"/>
      <c r="AF25" s="1047"/>
      <c r="AG25" s="1047"/>
      <c r="AH25" s="1047"/>
      <c r="AI25" s="1050"/>
      <c r="AJ25" s="1047"/>
      <c r="AK25" s="1047"/>
      <c r="AL25" s="1050"/>
      <c r="AM25" s="1035"/>
      <c r="AN25" s="1047"/>
      <c r="AO25" s="1047"/>
      <c r="AP25" s="1047"/>
      <c r="AQ25" s="1050"/>
      <c r="AR25" s="1047"/>
      <c r="AS25" s="1050"/>
      <c r="AT25" s="1033"/>
      <c r="AU25" s="1050"/>
      <c r="AV25" s="1051"/>
      <c r="AW25" s="1052"/>
      <c r="AX25" s="1035"/>
      <c r="AY25" s="1047"/>
      <c r="AZ25" s="1047"/>
      <c r="BA25" s="1047"/>
      <c r="BB25" s="1047"/>
      <c r="BC25" s="1047"/>
      <c r="BD25" s="1047"/>
      <c r="BE25" s="1035"/>
      <c r="BF25" s="1047"/>
      <c r="BG25" s="1047"/>
      <c r="BH25" s="1047"/>
      <c r="BI25" s="1047"/>
      <c r="BJ25" s="1047"/>
      <c r="BK25" s="1047"/>
      <c r="BL25" s="1047"/>
    </row>
    <row r="26">
      <c r="A26" s="1045"/>
      <c r="B26" s="1045"/>
      <c r="C26" s="1046"/>
      <c r="D26" s="1047"/>
      <c r="E26" s="1047"/>
      <c r="F26" s="1047"/>
      <c r="G26" s="1048"/>
      <c r="H26" s="1047"/>
      <c r="I26" s="1047"/>
      <c r="J26" s="1047"/>
      <c r="K26" s="1047"/>
      <c r="L26" s="1047"/>
      <c r="M26" s="1047"/>
      <c r="N26" s="1047"/>
      <c r="O26" s="1047"/>
      <c r="P26" s="1047"/>
      <c r="Q26" s="1047"/>
      <c r="R26" s="1047"/>
      <c r="S26" s="1047"/>
      <c r="T26" s="1047"/>
      <c r="U26" s="1047"/>
      <c r="V26" s="1047"/>
      <c r="W26" s="1050"/>
      <c r="X26" s="1047"/>
      <c r="Y26" s="1047"/>
      <c r="Z26" s="1047"/>
      <c r="AA26" s="1047"/>
      <c r="AB26" s="1047"/>
      <c r="AC26" s="1047"/>
      <c r="AD26" s="1047"/>
      <c r="AE26" s="1047"/>
      <c r="AF26" s="1047"/>
      <c r="AG26" s="1047"/>
      <c r="AH26" s="1047"/>
      <c r="AI26" s="1050"/>
      <c r="AJ26" s="1047"/>
      <c r="AK26" s="1047"/>
      <c r="AL26" s="1050"/>
      <c r="AM26" s="1035"/>
      <c r="AN26" s="1047"/>
      <c r="AO26" s="1047"/>
      <c r="AP26" s="1047"/>
      <c r="AQ26" s="1050"/>
      <c r="AR26" s="1047"/>
      <c r="AS26" s="1050"/>
      <c r="AT26" s="1033"/>
      <c r="AU26" s="1050"/>
      <c r="AV26" s="1051"/>
      <c r="AW26" s="1052"/>
      <c r="AX26" s="1035"/>
      <c r="AY26" s="1047"/>
      <c r="AZ26" s="1047"/>
      <c r="BA26" s="1047"/>
      <c r="BB26" s="1047"/>
      <c r="BC26" s="1047"/>
      <c r="BD26" s="1047"/>
      <c r="BE26" s="1035"/>
      <c r="BF26" s="1047"/>
      <c r="BG26" s="1047"/>
      <c r="BH26" s="1047"/>
      <c r="BI26" s="1047"/>
      <c r="BJ26" s="1047"/>
      <c r="BK26" s="1047"/>
      <c r="BL26" s="1047"/>
    </row>
    <row r="27">
      <c r="A27" s="1045"/>
      <c r="B27" s="1045"/>
      <c r="C27" s="1046"/>
      <c r="D27" s="1047"/>
      <c r="E27" s="1047"/>
      <c r="F27" s="1047"/>
      <c r="G27" s="1048"/>
      <c r="H27" s="1047"/>
      <c r="I27" s="1047"/>
      <c r="J27" s="1047"/>
      <c r="K27" s="1047"/>
      <c r="L27" s="1047"/>
      <c r="M27" s="1047"/>
      <c r="N27" s="1047"/>
      <c r="O27" s="1047"/>
      <c r="P27" s="1047"/>
      <c r="Q27" s="1047"/>
      <c r="R27" s="1047"/>
      <c r="S27" s="1047"/>
      <c r="T27" s="1047"/>
      <c r="U27" s="1047"/>
      <c r="V27" s="1047"/>
      <c r="W27" s="1050"/>
      <c r="X27" s="1047"/>
      <c r="Y27" s="1047"/>
      <c r="Z27" s="1047"/>
      <c r="AA27" s="1047"/>
      <c r="AB27" s="1047"/>
      <c r="AC27" s="1047"/>
      <c r="AD27" s="1047"/>
      <c r="AE27" s="1047"/>
      <c r="AF27" s="1047"/>
      <c r="AG27" s="1047"/>
      <c r="AH27" s="1047"/>
      <c r="AI27" s="1050"/>
      <c r="AJ27" s="1047"/>
      <c r="AK27" s="1047"/>
      <c r="AL27" s="1050"/>
      <c r="AM27" s="1035"/>
      <c r="AN27" s="1047"/>
      <c r="AO27" s="1047"/>
      <c r="AP27" s="1047"/>
      <c r="AQ27" s="1050"/>
      <c r="AR27" s="1047"/>
      <c r="AS27" s="1050"/>
      <c r="AT27" s="1033"/>
      <c r="AU27" s="1050"/>
      <c r="AV27" s="1051"/>
      <c r="AW27" s="1052"/>
      <c r="AX27" s="1035"/>
      <c r="AY27" s="1047"/>
      <c r="AZ27" s="1047"/>
      <c r="BA27" s="1047"/>
      <c r="BB27" s="1047"/>
      <c r="BC27" s="1047"/>
      <c r="BD27" s="1047"/>
      <c r="BE27" s="1035"/>
      <c r="BF27" s="1047"/>
      <c r="BG27" s="1047"/>
      <c r="BH27" s="1047"/>
      <c r="BI27" s="1047"/>
      <c r="BJ27" s="1047"/>
      <c r="BK27" s="1047"/>
      <c r="BL27" s="1047"/>
    </row>
    <row r="28">
      <c r="A28" s="1045"/>
      <c r="B28" s="1045"/>
      <c r="C28" s="1046"/>
      <c r="D28" s="1047"/>
      <c r="E28" s="1047"/>
      <c r="F28" s="1047"/>
      <c r="G28" s="1048"/>
      <c r="H28" s="1047"/>
      <c r="I28" s="1047"/>
      <c r="J28" s="1047"/>
      <c r="K28" s="1047"/>
      <c r="L28" s="1047"/>
      <c r="M28" s="1047"/>
      <c r="N28" s="1047"/>
      <c r="O28" s="1047"/>
      <c r="P28" s="1047"/>
      <c r="Q28" s="1047"/>
      <c r="R28" s="1047"/>
      <c r="S28" s="1047"/>
      <c r="T28" s="1047"/>
      <c r="U28" s="1047"/>
      <c r="V28" s="1047"/>
      <c r="W28" s="1050"/>
      <c r="X28" s="1047"/>
      <c r="Y28" s="1047"/>
      <c r="Z28" s="1047"/>
      <c r="AA28" s="1047"/>
      <c r="AB28" s="1047"/>
      <c r="AC28" s="1047"/>
      <c r="AD28" s="1047"/>
      <c r="AE28" s="1047"/>
      <c r="AF28" s="1047"/>
      <c r="AG28" s="1047"/>
      <c r="AH28" s="1047"/>
      <c r="AI28" s="1050"/>
      <c r="AJ28" s="1047"/>
      <c r="AK28" s="1047"/>
      <c r="AL28" s="1050"/>
      <c r="AM28" s="1035"/>
      <c r="AN28" s="1047"/>
      <c r="AO28" s="1047"/>
      <c r="AP28" s="1047"/>
      <c r="AQ28" s="1050"/>
      <c r="AR28" s="1047"/>
      <c r="AS28" s="1050"/>
      <c r="AT28" s="1033"/>
      <c r="AU28" s="1050"/>
      <c r="AV28" s="1051"/>
      <c r="AW28" s="1052"/>
      <c r="AX28" s="1035"/>
      <c r="AY28" s="1047"/>
      <c r="AZ28" s="1047"/>
      <c r="BA28" s="1047"/>
      <c r="BB28" s="1047"/>
      <c r="BC28" s="1047"/>
      <c r="BD28" s="1047"/>
      <c r="BE28" s="1035"/>
      <c r="BF28" s="1047"/>
      <c r="BG28" s="1047"/>
      <c r="BH28" s="1047"/>
      <c r="BI28" s="1047"/>
      <c r="BJ28" s="1047"/>
      <c r="BK28" s="1047"/>
      <c r="BL28" s="1047"/>
    </row>
    <row r="29">
      <c r="A29" s="1045"/>
      <c r="B29" s="1045"/>
      <c r="C29" s="1046"/>
      <c r="D29" s="1047"/>
      <c r="E29" s="1047"/>
      <c r="F29" s="1047"/>
      <c r="G29" s="1048"/>
      <c r="H29" s="1047"/>
      <c r="I29" s="1047"/>
      <c r="J29" s="1047"/>
      <c r="K29" s="1047"/>
      <c r="L29" s="1047"/>
      <c r="M29" s="1047"/>
      <c r="N29" s="1047"/>
      <c r="O29" s="1047"/>
      <c r="P29" s="1047"/>
      <c r="Q29" s="1047"/>
      <c r="R29" s="1047"/>
      <c r="S29" s="1047"/>
      <c r="T29" s="1047"/>
      <c r="U29" s="1047"/>
      <c r="V29" s="1047"/>
      <c r="W29" s="1050"/>
      <c r="X29" s="1047"/>
      <c r="Y29" s="1047"/>
      <c r="Z29" s="1047"/>
      <c r="AA29" s="1047"/>
      <c r="AB29" s="1047"/>
      <c r="AC29" s="1047"/>
      <c r="AD29" s="1047"/>
      <c r="AE29" s="1047"/>
      <c r="AF29" s="1047"/>
      <c r="AG29" s="1047"/>
      <c r="AH29" s="1047"/>
      <c r="AI29" s="1050"/>
      <c r="AJ29" s="1047"/>
      <c r="AK29" s="1047"/>
      <c r="AL29" s="1050"/>
      <c r="AM29" s="1035"/>
      <c r="AN29" s="1047"/>
      <c r="AO29" s="1047"/>
      <c r="AP29" s="1047"/>
      <c r="AQ29" s="1050"/>
      <c r="AR29" s="1047"/>
      <c r="AS29" s="1050"/>
      <c r="AT29" s="1033"/>
      <c r="AU29" s="1050"/>
      <c r="AV29" s="1051"/>
      <c r="AW29" s="1052"/>
      <c r="AX29" s="1035"/>
      <c r="AY29" s="1047"/>
      <c r="AZ29" s="1047"/>
      <c r="BA29" s="1047"/>
      <c r="BB29" s="1047"/>
      <c r="BC29" s="1047"/>
      <c r="BD29" s="1047"/>
      <c r="BE29" s="1035"/>
      <c r="BF29" s="1047"/>
      <c r="BG29" s="1047"/>
      <c r="BH29" s="1047"/>
      <c r="BI29" s="1047"/>
      <c r="BJ29" s="1047"/>
      <c r="BK29" s="1047"/>
      <c r="BL29" s="1047"/>
    </row>
    <row r="30">
      <c r="A30" s="1045"/>
      <c r="B30" s="1045"/>
      <c r="C30" s="1046"/>
      <c r="D30" s="1047"/>
      <c r="E30" s="1047"/>
      <c r="F30" s="1047"/>
      <c r="G30" s="1048"/>
      <c r="H30" s="1047"/>
      <c r="I30" s="1047"/>
      <c r="J30" s="1047"/>
      <c r="K30" s="1047"/>
      <c r="L30" s="1047"/>
      <c r="M30" s="1047"/>
      <c r="N30" s="1047"/>
      <c r="O30" s="1047"/>
      <c r="P30" s="1047"/>
      <c r="Q30" s="1047"/>
      <c r="R30" s="1047"/>
      <c r="S30" s="1047"/>
      <c r="T30" s="1047"/>
      <c r="U30" s="1047"/>
      <c r="V30" s="1047"/>
      <c r="W30" s="1050"/>
      <c r="X30" s="1047"/>
      <c r="Y30" s="1047"/>
      <c r="Z30" s="1047"/>
      <c r="AA30" s="1047"/>
      <c r="AB30" s="1047"/>
      <c r="AC30" s="1047"/>
      <c r="AD30" s="1047"/>
      <c r="AE30" s="1047"/>
      <c r="AF30" s="1047"/>
      <c r="AG30" s="1047"/>
      <c r="AH30" s="1047"/>
      <c r="AI30" s="1050"/>
      <c r="AJ30" s="1047"/>
      <c r="AK30" s="1047"/>
      <c r="AL30" s="1050"/>
      <c r="AM30" s="1035"/>
      <c r="AN30" s="1047"/>
      <c r="AO30" s="1047"/>
      <c r="AP30" s="1047"/>
      <c r="AQ30" s="1050"/>
      <c r="AR30" s="1047"/>
      <c r="AS30" s="1050"/>
      <c r="AT30" s="1033"/>
      <c r="AU30" s="1050"/>
      <c r="AV30" s="1051"/>
      <c r="AW30" s="1052"/>
      <c r="AX30" s="1035"/>
      <c r="AY30" s="1047"/>
      <c r="AZ30" s="1047"/>
      <c r="BA30" s="1047"/>
      <c r="BB30" s="1047"/>
      <c r="BC30" s="1047"/>
      <c r="BD30" s="1047"/>
      <c r="BE30" s="1035"/>
      <c r="BF30" s="1047"/>
      <c r="BG30" s="1047"/>
      <c r="BH30" s="1047"/>
      <c r="BI30" s="1047"/>
      <c r="BJ30" s="1047"/>
      <c r="BK30" s="1047"/>
      <c r="BL30" s="1047"/>
    </row>
    <row r="31">
      <c r="A31" s="1045"/>
      <c r="B31" s="1045"/>
      <c r="C31" s="1046"/>
      <c r="D31" s="1047"/>
      <c r="E31" s="1047"/>
      <c r="F31" s="1047"/>
      <c r="G31" s="1048"/>
      <c r="H31" s="1047"/>
      <c r="I31" s="1047"/>
      <c r="J31" s="1047"/>
      <c r="K31" s="1047"/>
      <c r="L31" s="1047"/>
      <c r="M31" s="1047"/>
      <c r="N31" s="1047"/>
      <c r="O31" s="1047"/>
      <c r="P31" s="1047"/>
      <c r="Q31" s="1047"/>
      <c r="R31" s="1047"/>
      <c r="S31" s="1047"/>
      <c r="T31" s="1047"/>
      <c r="U31" s="1047"/>
      <c r="V31" s="1047"/>
      <c r="W31" s="1050"/>
      <c r="X31" s="1047"/>
      <c r="Y31" s="1047"/>
      <c r="Z31" s="1047"/>
      <c r="AA31" s="1047"/>
      <c r="AB31" s="1047"/>
      <c r="AC31" s="1047"/>
      <c r="AD31" s="1047"/>
      <c r="AE31" s="1047"/>
      <c r="AF31" s="1047"/>
      <c r="AG31" s="1047"/>
      <c r="AH31" s="1047"/>
      <c r="AI31" s="1050"/>
      <c r="AJ31" s="1047"/>
      <c r="AK31" s="1047"/>
      <c r="AL31" s="1050"/>
      <c r="AM31" s="1035"/>
      <c r="AN31" s="1047"/>
      <c r="AO31" s="1047"/>
      <c r="AP31" s="1047"/>
      <c r="AQ31" s="1050"/>
      <c r="AR31" s="1047"/>
      <c r="AS31" s="1050"/>
      <c r="AT31" s="1033"/>
      <c r="AU31" s="1050"/>
      <c r="AV31" s="1051"/>
      <c r="AW31" s="1052"/>
      <c r="AX31" s="1035"/>
      <c r="AY31" s="1047"/>
      <c r="AZ31" s="1047"/>
      <c r="BA31" s="1047"/>
      <c r="BB31" s="1047"/>
      <c r="BC31" s="1047"/>
      <c r="BD31" s="1047"/>
      <c r="BE31" s="1035"/>
      <c r="BF31" s="1047"/>
      <c r="BG31" s="1047"/>
      <c r="BH31" s="1047"/>
      <c r="BI31" s="1047"/>
      <c r="BJ31" s="1047"/>
      <c r="BK31" s="1047"/>
      <c r="BL31" s="1047"/>
    </row>
    <row r="32">
      <c r="A32" s="1045"/>
      <c r="B32" s="1045"/>
      <c r="C32" s="1046"/>
      <c r="D32" s="1047"/>
      <c r="E32" s="1047"/>
      <c r="F32" s="1047"/>
      <c r="G32" s="1048"/>
      <c r="H32" s="1047"/>
      <c r="I32" s="1047"/>
      <c r="J32" s="1047"/>
      <c r="K32" s="1047"/>
      <c r="L32" s="1047"/>
      <c r="M32" s="1047"/>
      <c r="N32" s="1047"/>
      <c r="O32" s="1047"/>
      <c r="P32" s="1047"/>
      <c r="Q32" s="1047"/>
      <c r="R32" s="1047"/>
      <c r="S32" s="1047"/>
      <c r="T32" s="1047"/>
      <c r="U32" s="1047"/>
      <c r="V32" s="1047"/>
      <c r="W32" s="1050"/>
      <c r="X32" s="1047"/>
      <c r="Y32" s="1047"/>
      <c r="Z32" s="1047"/>
      <c r="AA32" s="1047"/>
      <c r="AB32" s="1047"/>
      <c r="AC32" s="1047"/>
      <c r="AD32" s="1047"/>
      <c r="AE32" s="1047"/>
      <c r="AF32" s="1047"/>
      <c r="AG32" s="1047"/>
      <c r="AH32" s="1047"/>
      <c r="AI32" s="1050"/>
      <c r="AJ32" s="1047"/>
      <c r="AK32" s="1047"/>
      <c r="AL32" s="1050"/>
      <c r="AM32" s="1035"/>
      <c r="AN32" s="1047"/>
      <c r="AO32" s="1047"/>
      <c r="AP32" s="1047"/>
      <c r="AQ32" s="1050"/>
      <c r="AR32" s="1047"/>
      <c r="AS32" s="1050"/>
      <c r="AT32" s="1033"/>
      <c r="AU32" s="1050"/>
      <c r="AV32" s="1051"/>
      <c r="AW32" s="1052"/>
      <c r="AX32" s="1035"/>
      <c r="AY32" s="1047"/>
      <c r="AZ32" s="1047"/>
      <c r="BA32" s="1047"/>
      <c r="BB32" s="1047"/>
      <c r="BC32" s="1047"/>
      <c r="BD32" s="1047"/>
      <c r="BE32" s="1035"/>
      <c r="BF32" s="1047"/>
      <c r="BG32" s="1047"/>
      <c r="BH32" s="1047"/>
      <c r="BI32" s="1047"/>
      <c r="BJ32" s="1047"/>
      <c r="BK32" s="1047"/>
      <c r="BL32" s="1047"/>
    </row>
    <row r="33">
      <c r="A33" s="1045"/>
      <c r="B33" s="1045"/>
      <c r="C33" s="1046"/>
      <c r="D33" s="1047"/>
      <c r="E33" s="1047"/>
      <c r="F33" s="1047"/>
      <c r="G33" s="1048"/>
      <c r="H33" s="1047"/>
      <c r="I33" s="1047"/>
      <c r="J33" s="1047"/>
      <c r="K33" s="1047"/>
      <c r="L33" s="1047"/>
      <c r="M33" s="1047"/>
      <c r="N33" s="1047"/>
      <c r="O33" s="1047"/>
      <c r="P33" s="1047"/>
      <c r="Q33" s="1047"/>
      <c r="R33" s="1047"/>
      <c r="S33" s="1047"/>
      <c r="T33" s="1047"/>
      <c r="U33" s="1047"/>
      <c r="V33" s="1047"/>
      <c r="W33" s="1050"/>
      <c r="X33" s="1047"/>
      <c r="Y33" s="1047"/>
      <c r="Z33" s="1047"/>
      <c r="AA33" s="1047"/>
      <c r="AB33" s="1047"/>
      <c r="AC33" s="1047"/>
      <c r="AD33" s="1047"/>
      <c r="AE33" s="1047"/>
      <c r="AF33" s="1047"/>
      <c r="AG33" s="1047"/>
      <c r="AH33" s="1047"/>
      <c r="AI33" s="1050"/>
      <c r="AJ33" s="1047"/>
      <c r="AK33" s="1047"/>
      <c r="AL33" s="1050"/>
      <c r="AM33" s="1035"/>
      <c r="AN33" s="1047"/>
      <c r="AO33" s="1047"/>
      <c r="AP33" s="1047"/>
      <c r="AQ33" s="1050"/>
      <c r="AR33" s="1047"/>
      <c r="AS33" s="1050"/>
      <c r="AT33" s="1033"/>
      <c r="AU33" s="1050"/>
      <c r="AV33" s="1051"/>
      <c r="AW33" s="1052"/>
      <c r="AX33" s="1035"/>
      <c r="AY33" s="1047"/>
      <c r="AZ33" s="1047"/>
      <c r="BA33" s="1047"/>
      <c r="BB33" s="1047"/>
      <c r="BC33" s="1047"/>
      <c r="BD33" s="1047"/>
      <c r="BE33" s="1035"/>
      <c r="BF33" s="1047"/>
      <c r="BG33" s="1047"/>
      <c r="BH33" s="1047"/>
      <c r="BI33" s="1047"/>
      <c r="BJ33" s="1047"/>
      <c r="BK33" s="1047"/>
      <c r="BL33" s="1047"/>
    </row>
    <row r="34">
      <c r="A34" s="1045"/>
      <c r="B34" s="1045"/>
      <c r="C34" s="1046"/>
      <c r="D34" s="1047"/>
      <c r="E34" s="1047"/>
      <c r="F34" s="1047"/>
      <c r="G34" s="1048"/>
      <c r="H34" s="1047"/>
      <c r="I34" s="1047"/>
      <c r="J34" s="1047"/>
      <c r="K34" s="1047"/>
      <c r="L34" s="1047"/>
      <c r="M34" s="1047"/>
      <c r="N34" s="1047"/>
      <c r="O34" s="1047"/>
      <c r="P34" s="1047"/>
      <c r="Q34" s="1047"/>
      <c r="R34" s="1047"/>
      <c r="S34" s="1047"/>
      <c r="T34" s="1047"/>
      <c r="U34" s="1047"/>
      <c r="V34" s="1047"/>
      <c r="W34" s="1050"/>
      <c r="X34" s="1047"/>
      <c r="Y34" s="1047"/>
      <c r="Z34" s="1047"/>
      <c r="AA34" s="1047"/>
      <c r="AB34" s="1047"/>
      <c r="AC34" s="1047"/>
      <c r="AD34" s="1047"/>
      <c r="AE34" s="1047"/>
      <c r="AF34" s="1047"/>
      <c r="AG34" s="1047"/>
      <c r="AH34" s="1047"/>
      <c r="AI34" s="1050"/>
      <c r="AJ34" s="1047"/>
      <c r="AK34" s="1047"/>
      <c r="AL34" s="1050"/>
      <c r="AM34" s="1035"/>
      <c r="AN34" s="1047"/>
      <c r="AO34" s="1047"/>
      <c r="AP34" s="1047"/>
      <c r="AQ34" s="1050"/>
      <c r="AR34" s="1047"/>
      <c r="AS34" s="1050"/>
      <c r="AT34" s="1033"/>
      <c r="AU34" s="1050"/>
      <c r="AV34" s="1051"/>
      <c r="AW34" s="1052"/>
      <c r="AX34" s="1035"/>
      <c r="AY34" s="1047"/>
      <c r="AZ34" s="1047"/>
      <c r="BA34" s="1047"/>
      <c r="BB34" s="1047"/>
      <c r="BC34" s="1047"/>
      <c r="BD34" s="1047"/>
      <c r="BE34" s="1035"/>
      <c r="BF34" s="1047"/>
      <c r="BG34" s="1047"/>
      <c r="BH34" s="1047"/>
      <c r="BI34" s="1047"/>
      <c r="BJ34" s="1047"/>
      <c r="BK34" s="1047"/>
      <c r="BL34" s="1047"/>
    </row>
    <row r="35">
      <c r="A35" s="1045"/>
      <c r="B35" s="1045"/>
      <c r="C35" s="1046"/>
      <c r="D35" s="1047"/>
      <c r="E35" s="1047"/>
      <c r="F35" s="1047"/>
      <c r="G35" s="1048"/>
      <c r="H35" s="1047"/>
      <c r="I35" s="1047"/>
      <c r="J35" s="1047"/>
      <c r="K35" s="1047"/>
      <c r="L35" s="1047"/>
      <c r="M35" s="1047"/>
      <c r="N35" s="1047"/>
      <c r="O35" s="1047"/>
      <c r="P35" s="1047"/>
      <c r="Q35" s="1047"/>
      <c r="R35" s="1047"/>
      <c r="S35" s="1047"/>
      <c r="T35" s="1047"/>
      <c r="U35" s="1047"/>
      <c r="V35" s="1047"/>
      <c r="W35" s="1050"/>
      <c r="X35" s="1047"/>
      <c r="Y35" s="1047"/>
      <c r="Z35" s="1047"/>
      <c r="AA35" s="1047"/>
      <c r="AB35" s="1047"/>
      <c r="AC35" s="1047"/>
      <c r="AD35" s="1047"/>
      <c r="AE35" s="1047"/>
      <c r="AF35" s="1047"/>
      <c r="AG35" s="1047"/>
      <c r="AH35" s="1047"/>
      <c r="AI35" s="1050"/>
      <c r="AJ35" s="1047"/>
      <c r="AK35" s="1047"/>
      <c r="AL35" s="1050"/>
      <c r="AM35" s="1035"/>
      <c r="AN35" s="1047"/>
      <c r="AO35" s="1047"/>
      <c r="AP35" s="1047"/>
      <c r="AQ35" s="1050"/>
      <c r="AR35" s="1047"/>
      <c r="AS35" s="1050"/>
      <c r="AT35" s="1033"/>
      <c r="AU35" s="1050"/>
      <c r="AV35" s="1051"/>
      <c r="AW35" s="1052"/>
      <c r="AX35" s="1035"/>
      <c r="AY35" s="1047"/>
      <c r="AZ35" s="1047"/>
      <c r="BA35" s="1047"/>
      <c r="BB35" s="1047"/>
      <c r="BC35" s="1047"/>
      <c r="BD35" s="1047"/>
      <c r="BE35" s="1035"/>
      <c r="BF35" s="1047"/>
      <c r="BG35" s="1047"/>
      <c r="BH35" s="1047"/>
      <c r="BI35" s="1047"/>
      <c r="BJ35" s="1047"/>
      <c r="BK35" s="1047"/>
      <c r="BL35" s="1047"/>
    </row>
    <row r="36">
      <c r="A36" s="1045"/>
      <c r="B36" s="1045"/>
      <c r="C36" s="1046"/>
      <c r="D36" s="1047"/>
      <c r="E36" s="1047"/>
      <c r="F36" s="1047"/>
      <c r="G36" s="1048"/>
      <c r="H36" s="1047"/>
      <c r="I36" s="1047"/>
      <c r="J36" s="1047"/>
      <c r="K36" s="1047"/>
      <c r="L36" s="1047"/>
      <c r="M36" s="1047"/>
      <c r="N36" s="1047"/>
      <c r="O36" s="1047"/>
      <c r="P36" s="1047"/>
      <c r="Q36" s="1047"/>
      <c r="R36" s="1047"/>
      <c r="S36" s="1047"/>
      <c r="T36" s="1047"/>
      <c r="U36" s="1047"/>
      <c r="V36" s="1047"/>
      <c r="W36" s="1050"/>
      <c r="X36" s="1047"/>
      <c r="Y36" s="1047"/>
      <c r="Z36" s="1047"/>
      <c r="AA36" s="1047"/>
      <c r="AB36" s="1047"/>
      <c r="AC36" s="1047"/>
      <c r="AD36" s="1047"/>
      <c r="AE36" s="1047"/>
      <c r="AF36" s="1047"/>
      <c r="AG36" s="1047"/>
      <c r="AH36" s="1047"/>
      <c r="AI36" s="1050"/>
      <c r="AJ36" s="1047"/>
      <c r="AK36" s="1047"/>
      <c r="AL36" s="1050"/>
      <c r="AM36" s="1035"/>
      <c r="AN36" s="1047"/>
      <c r="AO36" s="1047"/>
      <c r="AP36" s="1047"/>
      <c r="AQ36" s="1050"/>
      <c r="AR36" s="1047"/>
      <c r="AS36" s="1050"/>
      <c r="AT36" s="1033"/>
      <c r="AU36" s="1050"/>
      <c r="AV36" s="1051"/>
      <c r="AW36" s="1052"/>
      <c r="AX36" s="1035"/>
      <c r="AY36" s="1047"/>
      <c r="AZ36" s="1047"/>
      <c r="BA36" s="1047"/>
      <c r="BB36" s="1047"/>
      <c r="BC36" s="1047"/>
      <c r="BD36" s="1047"/>
      <c r="BE36" s="1035"/>
      <c r="BF36" s="1047"/>
      <c r="BG36" s="1047"/>
      <c r="BH36" s="1047"/>
      <c r="BI36" s="1047"/>
      <c r="BJ36" s="1047"/>
      <c r="BK36" s="1047"/>
      <c r="BL36" s="1047"/>
    </row>
    <row r="37">
      <c r="A37" s="1045"/>
      <c r="B37" s="1045"/>
      <c r="C37" s="1046"/>
      <c r="D37" s="1047"/>
      <c r="E37" s="1047"/>
      <c r="F37" s="1047"/>
      <c r="G37" s="1048"/>
      <c r="H37" s="1047"/>
      <c r="I37" s="1047"/>
      <c r="J37" s="1047"/>
      <c r="K37" s="1047"/>
      <c r="L37" s="1047"/>
      <c r="M37" s="1047"/>
      <c r="N37" s="1047"/>
      <c r="O37" s="1047"/>
      <c r="P37" s="1047"/>
      <c r="Q37" s="1047"/>
      <c r="R37" s="1047"/>
      <c r="S37" s="1047"/>
      <c r="T37" s="1047"/>
      <c r="U37" s="1047"/>
      <c r="V37" s="1047"/>
      <c r="W37" s="1050"/>
      <c r="X37" s="1047"/>
      <c r="Y37" s="1047"/>
      <c r="Z37" s="1047"/>
      <c r="AA37" s="1047"/>
      <c r="AB37" s="1047"/>
      <c r="AC37" s="1047"/>
      <c r="AD37" s="1047"/>
      <c r="AE37" s="1047"/>
      <c r="AF37" s="1047"/>
      <c r="AG37" s="1047"/>
      <c r="AH37" s="1047"/>
      <c r="AI37" s="1050"/>
      <c r="AJ37" s="1047"/>
      <c r="AK37" s="1047"/>
      <c r="AL37" s="1050"/>
      <c r="AM37" s="1035"/>
      <c r="AN37" s="1047"/>
      <c r="AO37" s="1047"/>
      <c r="AP37" s="1047"/>
      <c r="AQ37" s="1050"/>
      <c r="AR37" s="1047"/>
      <c r="AS37" s="1050"/>
      <c r="AT37" s="1033"/>
      <c r="AU37" s="1050"/>
      <c r="AV37" s="1051"/>
      <c r="AW37" s="1052"/>
      <c r="AX37" s="1035"/>
      <c r="AY37" s="1047"/>
      <c r="AZ37" s="1047"/>
      <c r="BA37" s="1047"/>
      <c r="BB37" s="1047"/>
      <c r="BC37" s="1047"/>
      <c r="BD37" s="1047"/>
      <c r="BE37" s="1035"/>
      <c r="BF37" s="1047"/>
      <c r="BG37" s="1047"/>
      <c r="BH37" s="1047"/>
      <c r="BI37" s="1047"/>
      <c r="BJ37" s="1047"/>
      <c r="BK37" s="1047"/>
      <c r="BL37" s="1047"/>
    </row>
    <row r="38">
      <c r="A38" s="1045"/>
      <c r="B38" s="1045"/>
      <c r="C38" s="1046"/>
      <c r="D38" s="1047"/>
      <c r="E38" s="1047"/>
      <c r="F38" s="1047"/>
      <c r="G38" s="1048"/>
      <c r="H38" s="1047"/>
      <c r="I38" s="1047"/>
      <c r="J38" s="1047"/>
      <c r="K38" s="1047"/>
      <c r="L38" s="1047"/>
      <c r="M38" s="1047"/>
      <c r="N38" s="1047"/>
      <c r="O38" s="1047"/>
      <c r="P38" s="1047"/>
      <c r="Q38" s="1047"/>
      <c r="R38" s="1047"/>
      <c r="S38" s="1047"/>
      <c r="T38" s="1047"/>
      <c r="U38" s="1047"/>
      <c r="V38" s="1047"/>
      <c r="W38" s="1050"/>
      <c r="X38" s="1047"/>
      <c r="Y38" s="1047"/>
      <c r="Z38" s="1047"/>
      <c r="AA38" s="1047"/>
      <c r="AB38" s="1047"/>
      <c r="AC38" s="1047"/>
      <c r="AD38" s="1047"/>
      <c r="AE38" s="1047"/>
      <c r="AF38" s="1047"/>
      <c r="AG38" s="1047"/>
      <c r="AH38" s="1047"/>
      <c r="AI38" s="1050"/>
      <c r="AJ38" s="1047"/>
      <c r="AK38" s="1047"/>
      <c r="AL38" s="1050"/>
      <c r="AM38" s="1035"/>
      <c r="AN38" s="1047"/>
      <c r="AO38" s="1047"/>
      <c r="AP38" s="1047"/>
      <c r="AQ38" s="1050"/>
      <c r="AR38" s="1047"/>
      <c r="AS38" s="1050"/>
      <c r="AT38" s="1033"/>
      <c r="AU38" s="1050"/>
      <c r="AV38" s="1051"/>
      <c r="AW38" s="1052"/>
      <c r="AX38" s="1035"/>
      <c r="AY38" s="1047"/>
      <c r="AZ38" s="1047"/>
      <c r="BA38" s="1047"/>
      <c r="BB38" s="1047"/>
      <c r="BC38" s="1047"/>
      <c r="BD38" s="1047"/>
      <c r="BE38" s="1035"/>
      <c r="BF38" s="1047"/>
      <c r="BG38" s="1047"/>
      <c r="BH38" s="1047"/>
      <c r="BI38" s="1047"/>
      <c r="BJ38" s="1047"/>
      <c r="BK38" s="1047"/>
      <c r="BL38" s="1047"/>
    </row>
    <row r="39">
      <c r="A39" s="1045"/>
      <c r="B39" s="1045"/>
      <c r="C39" s="1046"/>
      <c r="D39" s="1047"/>
      <c r="E39" s="1047"/>
      <c r="F39" s="1047"/>
      <c r="G39" s="1048"/>
      <c r="H39" s="1047"/>
      <c r="I39" s="1047"/>
      <c r="J39" s="1047"/>
      <c r="K39" s="1047"/>
      <c r="L39" s="1047"/>
      <c r="M39" s="1047"/>
      <c r="N39" s="1047"/>
      <c r="O39" s="1047"/>
      <c r="P39" s="1047"/>
      <c r="Q39" s="1047"/>
      <c r="R39" s="1047"/>
      <c r="S39" s="1047"/>
      <c r="T39" s="1047"/>
      <c r="U39" s="1047"/>
      <c r="V39" s="1047"/>
      <c r="W39" s="1050"/>
      <c r="X39" s="1047"/>
      <c r="Y39" s="1047"/>
      <c r="Z39" s="1047"/>
      <c r="AA39" s="1047"/>
      <c r="AB39" s="1047"/>
      <c r="AC39" s="1047"/>
      <c r="AD39" s="1047"/>
      <c r="AE39" s="1047"/>
      <c r="AF39" s="1047"/>
      <c r="AG39" s="1047"/>
      <c r="AH39" s="1047"/>
      <c r="AI39" s="1050"/>
      <c r="AJ39" s="1047"/>
      <c r="AK39" s="1047"/>
      <c r="AL39" s="1050"/>
      <c r="AM39" s="1035"/>
      <c r="AN39" s="1047"/>
      <c r="AO39" s="1047"/>
      <c r="AP39" s="1047"/>
      <c r="AQ39" s="1050"/>
      <c r="AR39" s="1047"/>
      <c r="AS39" s="1050"/>
      <c r="AT39" s="1033"/>
      <c r="AU39" s="1050"/>
      <c r="AV39" s="1051"/>
      <c r="AW39" s="1052"/>
      <c r="AX39" s="1035"/>
      <c r="AY39" s="1047"/>
      <c r="AZ39" s="1047"/>
      <c r="BA39" s="1047"/>
      <c r="BB39" s="1047"/>
      <c r="BC39" s="1047"/>
      <c r="BD39" s="1047"/>
      <c r="BE39" s="1035"/>
      <c r="BF39" s="1047"/>
      <c r="BG39" s="1047"/>
      <c r="BH39" s="1047"/>
      <c r="BI39" s="1047"/>
      <c r="BJ39" s="1047"/>
      <c r="BK39" s="1047"/>
      <c r="BL39" s="1047"/>
    </row>
    <row r="40">
      <c r="A40" s="1045"/>
      <c r="B40" s="1045"/>
      <c r="C40" s="1046"/>
      <c r="D40" s="1047"/>
      <c r="E40" s="1047"/>
      <c r="F40" s="1047"/>
      <c r="G40" s="1048"/>
      <c r="H40" s="1047"/>
      <c r="I40" s="1047"/>
      <c r="J40" s="1047"/>
      <c r="K40" s="1047"/>
      <c r="L40" s="1047"/>
      <c r="M40" s="1047"/>
      <c r="N40" s="1047"/>
      <c r="O40" s="1047"/>
      <c r="P40" s="1047"/>
      <c r="Q40" s="1047"/>
      <c r="R40" s="1047"/>
      <c r="S40" s="1047"/>
      <c r="T40" s="1047"/>
      <c r="U40" s="1047"/>
      <c r="V40" s="1047"/>
      <c r="W40" s="1050"/>
      <c r="X40" s="1047"/>
      <c r="Y40" s="1047"/>
      <c r="Z40" s="1047"/>
      <c r="AA40" s="1047"/>
      <c r="AB40" s="1047"/>
      <c r="AC40" s="1047"/>
      <c r="AD40" s="1047"/>
      <c r="AE40" s="1047"/>
      <c r="AF40" s="1047"/>
      <c r="AG40" s="1047"/>
      <c r="AH40" s="1047"/>
      <c r="AI40" s="1050"/>
      <c r="AJ40" s="1047"/>
      <c r="AK40" s="1047"/>
      <c r="AL40" s="1050"/>
      <c r="AM40" s="1035"/>
      <c r="AN40" s="1047"/>
      <c r="AO40" s="1047"/>
      <c r="AP40" s="1047"/>
      <c r="AQ40" s="1050"/>
      <c r="AR40" s="1047"/>
      <c r="AS40" s="1050"/>
      <c r="AT40" s="1033"/>
      <c r="AU40" s="1050"/>
      <c r="AV40" s="1051"/>
      <c r="AW40" s="1052"/>
      <c r="AX40" s="1035"/>
      <c r="AY40" s="1047"/>
      <c r="AZ40" s="1047"/>
      <c r="BA40" s="1047"/>
      <c r="BB40" s="1047"/>
      <c r="BC40" s="1047"/>
      <c r="BD40" s="1047"/>
      <c r="BE40" s="1035"/>
      <c r="BF40" s="1047"/>
      <c r="BG40" s="1047"/>
      <c r="BH40" s="1047"/>
      <c r="BI40" s="1047"/>
      <c r="BJ40" s="1047"/>
      <c r="BK40" s="1047"/>
      <c r="BL40" s="1047"/>
    </row>
    <row r="41">
      <c r="A41" s="1045"/>
      <c r="B41" s="1045"/>
      <c r="C41" s="1046"/>
      <c r="D41" s="1047"/>
      <c r="E41" s="1047"/>
      <c r="F41" s="1047"/>
      <c r="G41" s="1048"/>
      <c r="H41" s="1047"/>
      <c r="I41" s="1047"/>
      <c r="J41" s="1047"/>
      <c r="K41" s="1047"/>
      <c r="L41" s="1047"/>
      <c r="M41" s="1047"/>
      <c r="N41" s="1047"/>
      <c r="O41" s="1047"/>
      <c r="P41" s="1047"/>
      <c r="Q41" s="1047"/>
      <c r="R41" s="1047"/>
      <c r="S41" s="1047"/>
      <c r="T41" s="1047"/>
      <c r="U41" s="1047"/>
      <c r="V41" s="1047"/>
      <c r="W41" s="1050"/>
      <c r="X41" s="1047"/>
      <c r="Y41" s="1047"/>
      <c r="Z41" s="1047"/>
      <c r="AA41" s="1047"/>
      <c r="AB41" s="1047"/>
      <c r="AC41" s="1047"/>
      <c r="AD41" s="1047"/>
      <c r="AE41" s="1047"/>
      <c r="AF41" s="1047"/>
      <c r="AG41" s="1047"/>
      <c r="AH41" s="1047"/>
      <c r="AI41" s="1050"/>
      <c r="AJ41" s="1047"/>
      <c r="AK41" s="1047"/>
      <c r="AL41" s="1050"/>
      <c r="AM41" s="1035"/>
      <c r="AN41" s="1047"/>
      <c r="AO41" s="1047"/>
      <c r="AP41" s="1047"/>
      <c r="AQ41" s="1050"/>
      <c r="AR41" s="1047"/>
      <c r="AS41" s="1050"/>
      <c r="AT41" s="1033"/>
      <c r="AU41" s="1050"/>
      <c r="AV41" s="1051"/>
      <c r="AW41" s="1052"/>
      <c r="AX41" s="1035"/>
      <c r="AY41" s="1047"/>
      <c r="AZ41" s="1047"/>
      <c r="BA41" s="1047"/>
      <c r="BB41" s="1047"/>
      <c r="BC41" s="1047"/>
      <c r="BD41" s="1047"/>
      <c r="BE41" s="1035"/>
      <c r="BF41" s="1047"/>
      <c r="BG41" s="1047"/>
      <c r="BH41" s="1047"/>
      <c r="BI41" s="1047"/>
      <c r="BJ41" s="1047"/>
      <c r="BK41" s="1047"/>
      <c r="BL41" s="1047"/>
    </row>
    <row r="42">
      <c r="A42" s="1045"/>
      <c r="B42" s="1045"/>
      <c r="C42" s="1046"/>
      <c r="D42" s="1047"/>
      <c r="E42" s="1047"/>
      <c r="F42" s="1047"/>
      <c r="G42" s="1048"/>
      <c r="H42" s="1047"/>
      <c r="I42" s="1047"/>
      <c r="J42" s="1047"/>
      <c r="K42" s="1047"/>
      <c r="L42" s="1047"/>
      <c r="M42" s="1047"/>
      <c r="N42" s="1047"/>
      <c r="O42" s="1047"/>
      <c r="P42" s="1047"/>
      <c r="Q42" s="1047"/>
      <c r="R42" s="1047"/>
      <c r="S42" s="1047"/>
      <c r="T42" s="1047"/>
      <c r="U42" s="1047"/>
      <c r="V42" s="1047"/>
      <c r="W42" s="1050"/>
      <c r="X42" s="1047"/>
      <c r="Y42" s="1047"/>
      <c r="Z42" s="1047"/>
      <c r="AA42" s="1047"/>
      <c r="AB42" s="1047"/>
      <c r="AC42" s="1047"/>
      <c r="AD42" s="1047"/>
      <c r="AE42" s="1047"/>
      <c r="AF42" s="1047"/>
      <c r="AG42" s="1047"/>
      <c r="AH42" s="1047"/>
      <c r="AI42" s="1050"/>
      <c r="AJ42" s="1047"/>
      <c r="AK42" s="1047"/>
      <c r="AL42" s="1050"/>
      <c r="AM42" s="1035"/>
      <c r="AN42" s="1047"/>
      <c r="AO42" s="1047"/>
      <c r="AP42" s="1047"/>
      <c r="AQ42" s="1050"/>
      <c r="AR42" s="1047"/>
      <c r="AS42" s="1050"/>
      <c r="AT42" s="1033"/>
      <c r="AU42" s="1050"/>
      <c r="AV42" s="1051"/>
      <c r="AW42" s="1052"/>
      <c r="AX42" s="1035"/>
      <c r="AY42" s="1047"/>
      <c r="AZ42" s="1047"/>
      <c r="BA42" s="1047"/>
      <c r="BB42" s="1047"/>
      <c r="BC42" s="1047"/>
      <c r="BD42" s="1047"/>
      <c r="BE42" s="1035"/>
      <c r="BF42" s="1047"/>
      <c r="BG42" s="1047"/>
      <c r="BH42" s="1047"/>
      <c r="BI42" s="1047"/>
      <c r="BJ42" s="1047"/>
      <c r="BK42" s="1047"/>
      <c r="BL42" s="1047"/>
    </row>
    <row r="43">
      <c r="A43" s="1045"/>
      <c r="B43" s="1045"/>
      <c r="C43" s="1046"/>
      <c r="D43" s="1047"/>
      <c r="E43" s="1047"/>
      <c r="F43" s="1047"/>
      <c r="G43" s="1048"/>
      <c r="H43" s="1047"/>
      <c r="I43" s="1047"/>
      <c r="J43" s="1047"/>
      <c r="K43" s="1047"/>
      <c r="L43" s="1047"/>
      <c r="M43" s="1047"/>
      <c r="N43" s="1047"/>
      <c r="O43" s="1047"/>
      <c r="P43" s="1047"/>
      <c r="Q43" s="1047"/>
      <c r="R43" s="1047"/>
      <c r="S43" s="1047"/>
      <c r="T43" s="1047"/>
      <c r="U43" s="1047"/>
      <c r="V43" s="1047"/>
      <c r="W43" s="1050"/>
      <c r="X43" s="1047"/>
      <c r="Y43" s="1047"/>
      <c r="Z43" s="1047"/>
      <c r="AA43" s="1047"/>
      <c r="AB43" s="1047"/>
      <c r="AC43" s="1047"/>
      <c r="AD43" s="1047"/>
      <c r="AE43" s="1047"/>
      <c r="AF43" s="1047"/>
      <c r="AG43" s="1047"/>
      <c r="AH43" s="1047"/>
      <c r="AI43" s="1050"/>
      <c r="AJ43" s="1047"/>
      <c r="AK43" s="1047"/>
      <c r="AL43" s="1050"/>
      <c r="AM43" s="1035"/>
      <c r="AN43" s="1047"/>
      <c r="AO43" s="1047"/>
      <c r="AP43" s="1047"/>
      <c r="AQ43" s="1050"/>
      <c r="AR43" s="1047"/>
      <c r="AS43" s="1050"/>
      <c r="AT43" s="1033"/>
      <c r="AU43" s="1050"/>
      <c r="AV43" s="1051"/>
      <c r="AW43" s="1052"/>
      <c r="AX43" s="1035"/>
      <c r="AY43" s="1047"/>
      <c r="AZ43" s="1047"/>
      <c r="BA43" s="1047"/>
      <c r="BB43" s="1047"/>
      <c r="BC43" s="1047"/>
      <c r="BD43" s="1047"/>
      <c r="BE43" s="1035"/>
      <c r="BF43" s="1047"/>
      <c r="BG43" s="1047"/>
      <c r="BH43" s="1047"/>
      <c r="BI43" s="1047"/>
      <c r="BJ43" s="1047"/>
      <c r="BK43" s="1047"/>
      <c r="BL43" s="1047"/>
    </row>
    <row r="44">
      <c r="A44" s="1045"/>
      <c r="B44" s="1045"/>
      <c r="C44" s="1046"/>
      <c r="D44" s="1047"/>
      <c r="E44" s="1047"/>
      <c r="F44" s="1047"/>
      <c r="G44" s="1048"/>
      <c r="H44" s="1047"/>
      <c r="I44" s="1047"/>
      <c r="J44" s="1047"/>
      <c r="K44" s="1047"/>
      <c r="L44" s="1047"/>
      <c r="M44" s="1047"/>
      <c r="N44" s="1047"/>
      <c r="O44" s="1047"/>
      <c r="P44" s="1047"/>
      <c r="Q44" s="1047"/>
      <c r="R44" s="1047"/>
      <c r="S44" s="1047"/>
      <c r="T44" s="1047"/>
      <c r="U44" s="1047"/>
      <c r="V44" s="1047"/>
      <c r="W44" s="1050"/>
      <c r="X44" s="1047"/>
      <c r="Y44" s="1047"/>
      <c r="Z44" s="1047"/>
      <c r="AA44" s="1047"/>
      <c r="AB44" s="1047"/>
      <c r="AC44" s="1047"/>
      <c r="AD44" s="1047"/>
      <c r="AE44" s="1047"/>
      <c r="AF44" s="1047"/>
      <c r="AG44" s="1047"/>
      <c r="AH44" s="1047"/>
      <c r="AI44" s="1050"/>
      <c r="AJ44" s="1047"/>
      <c r="AK44" s="1047"/>
      <c r="AL44" s="1050"/>
      <c r="AM44" s="1035"/>
      <c r="AN44" s="1047"/>
      <c r="AO44" s="1047"/>
      <c r="AP44" s="1047"/>
      <c r="AQ44" s="1050"/>
      <c r="AR44" s="1047"/>
      <c r="AS44" s="1050"/>
      <c r="AT44" s="1033"/>
      <c r="AU44" s="1050"/>
      <c r="AV44" s="1051"/>
      <c r="AW44" s="1052"/>
      <c r="AX44" s="1035"/>
      <c r="AY44" s="1047"/>
      <c r="AZ44" s="1047"/>
      <c r="BA44" s="1047"/>
      <c r="BB44" s="1047"/>
      <c r="BC44" s="1047"/>
      <c r="BD44" s="1047"/>
      <c r="BE44" s="1035"/>
      <c r="BF44" s="1047"/>
      <c r="BG44" s="1047"/>
      <c r="BH44" s="1047"/>
      <c r="BI44" s="1047"/>
      <c r="BJ44" s="1047"/>
      <c r="BK44" s="1047"/>
      <c r="BL44" s="1047"/>
    </row>
    <row r="45">
      <c r="A45" s="1045"/>
      <c r="B45" s="1045"/>
      <c r="C45" s="1046"/>
      <c r="D45" s="1047"/>
      <c r="E45" s="1047"/>
      <c r="F45" s="1047"/>
      <c r="G45" s="1048"/>
      <c r="H45" s="1047"/>
      <c r="I45" s="1047"/>
      <c r="J45" s="1047"/>
      <c r="K45" s="1047"/>
      <c r="L45" s="1047"/>
      <c r="M45" s="1047"/>
      <c r="N45" s="1047"/>
      <c r="O45" s="1047"/>
      <c r="P45" s="1047"/>
      <c r="Q45" s="1047"/>
      <c r="R45" s="1047"/>
      <c r="S45" s="1047"/>
      <c r="T45" s="1047"/>
      <c r="U45" s="1047"/>
      <c r="V45" s="1047"/>
      <c r="W45" s="1050"/>
      <c r="X45" s="1047"/>
      <c r="Y45" s="1047"/>
      <c r="Z45" s="1047"/>
      <c r="AA45" s="1047"/>
      <c r="AB45" s="1047"/>
      <c r="AC45" s="1047"/>
      <c r="AD45" s="1047"/>
      <c r="AE45" s="1047"/>
      <c r="AF45" s="1047"/>
      <c r="AG45" s="1047"/>
      <c r="AH45" s="1047"/>
      <c r="AI45" s="1050"/>
      <c r="AJ45" s="1047"/>
      <c r="AK45" s="1047"/>
      <c r="AL45" s="1050"/>
      <c r="AM45" s="1035"/>
      <c r="AN45" s="1047"/>
      <c r="AO45" s="1047"/>
      <c r="AP45" s="1047"/>
      <c r="AQ45" s="1050"/>
      <c r="AR45" s="1047"/>
      <c r="AS45" s="1050"/>
      <c r="AT45" s="1033"/>
      <c r="AU45" s="1050"/>
      <c r="AV45" s="1051"/>
      <c r="AW45" s="1052"/>
      <c r="AX45" s="1035"/>
      <c r="AY45" s="1047"/>
      <c r="AZ45" s="1047"/>
      <c r="BA45" s="1047"/>
      <c r="BB45" s="1047"/>
      <c r="BC45" s="1047"/>
      <c r="BD45" s="1047"/>
      <c r="BE45" s="1035"/>
      <c r="BF45" s="1047"/>
      <c r="BG45" s="1047"/>
      <c r="BH45" s="1047"/>
      <c r="BI45" s="1047"/>
      <c r="BJ45" s="1047"/>
      <c r="BK45" s="1047"/>
      <c r="BL45" s="1047"/>
    </row>
    <row r="46">
      <c r="A46" s="1045"/>
      <c r="B46" s="1045"/>
      <c r="C46" s="1046"/>
      <c r="D46" s="1047"/>
      <c r="E46" s="1047"/>
      <c r="F46" s="1047"/>
      <c r="G46" s="1048"/>
      <c r="H46" s="1047"/>
      <c r="I46" s="1047"/>
      <c r="J46" s="1047"/>
      <c r="K46" s="1047"/>
      <c r="L46" s="1047"/>
      <c r="M46" s="1047"/>
      <c r="N46" s="1047"/>
      <c r="O46" s="1047"/>
      <c r="P46" s="1047"/>
      <c r="Q46" s="1047"/>
      <c r="R46" s="1047"/>
      <c r="S46" s="1047"/>
      <c r="T46" s="1047"/>
      <c r="U46" s="1047"/>
      <c r="V46" s="1047"/>
      <c r="W46" s="1050"/>
      <c r="X46" s="1047"/>
      <c r="Y46" s="1047"/>
      <c r="Z46" s="1047"/>
      <c r="AA46" s="1047"/>
      <c r="AB46" s="1047"/>
      <c r="AC46" s="1047"/>
      <c r="AD46" s="1047"/>
      <c r="AE46" s="1047"/>
      <c r="AF46" s="1047"/>
      <c r="AG46" s="1047"/>
      <c r="AH46" s="1047"/>
      <c r="AI46" s="1050"/>
      <c r="AJ46" s="1047"/>
      <c r="AK46" s="1047"/>
      <c r="AL46" s="1050"/>
      <c r="AM46" s="1035"/>
      <c r="AN46" s="1047"/>
      <c r="AO46" s="1047"/>
      <c r="AP46" s="1047"/>
      <c r="AQ46" s="1050"/>
      <c r="AR46" s="1047"/>
      <c r="AS46" s="1050"/>
      <c r="AT46" s="1033"/>
      <c r="AU46" s="1050"/>
      <c r="AV46" s="1051"/>
      <c r="AW46" s="1052"/>
      <c r="AX46" s="1035"/>
      <c r="AY46" s="1047"/>
      <c r="AZ46" s="1047"/>
      <c r="BA46" s="1047"/>
      <c r="BB46" s="1047"/>
      <c r="BC46" s="1047"/>
      <c r="BD46" s="1047"/>
      <c r="BE46" s="1035"/>
      <c r="BF46" s="1047"/>
      <c r="BG46" s="1047"/>
      <c r="BH46" s="1047"/>
      <c r="BI46" s="1047"/>
      <c r="BJ46" s="1047"/>
      <c r="BK46" s="1047"/>
      <c r="BL46" s="1047"/>
    </row>
    <row r="47">
      <c r="A47" s="1045"/>
      <c r="B47" s="1045"/>
      <c r="C47" s="1046"/>
      <c r="D47" s="1047"/>
      <c r="E47" s="1047"/>
      <c r="F47" s="1047"/>
      <c r="G47" s="1048"/>
      <c r="H47" s="1047"/>
      <c r="I47" s="1047"/>
      <c r="J47" s="1047"/>
      <c r="K47" s="1047"/>
      <c r="L47" s="1047"/>
      <c r="M47" s="1047"/>
      <c r="N47" s="1047"/>
      <c r="O47" s="1047"/>
      <c r="P47" s="1047"/>
      <c r="Q47" s="1047"/>
      <c r="R47" s="1047"/>
      <c r="S47" s="1047"/>
      <c r="T47" s="1047"/>
      <c r="U47" s="1047"/>
      <c r="V47" s="1047"/>
      <c r="W47" s="1050"/>
      <c r="X47" s="1047"/>
      <c r="Y47" s="1047"/>
      <c r="Z47" s="1047"/>
      <c r="AA47" s="1047"/>
      <c r="AB47" s="1047"/>
      <c r="AC47" s="1047"/>
      <c r="AD47" s="1047"/>
      <c r="AE47" s="1047"/>
      <c r="AF47" s="1047"/>
      <c r="AG47" s="1047"/>
      <c r="AH47" s="1047"/>
      <c r="AI47" s="1050"/>
      <c r="AJ47" s="1047"/>
      <c r="AK47" s="1047"/>
      <c r="AL47" s="1050"/>
      <c r="AM47" s="1035"/>
      <c r="AN47" s="1047"/>
      <c r="AO47" s="1047"/>
      <c r="AP47" s="1047"/>
      <c r="AQ47" s="1050"/>
      <c r="AR47" s="1047"/>
      <c r="AS47" s="1050"/>
      <c r="AT47" s="1033"/>
      <c r="AU47" s="1050"/>
      <c r="AV47" s="1051"/>
      <c r="AW47" s="1052"/>
      <c r="AX47" s="1035"/>
      <c r="AY47" s="1047"/>
      <c r="AZ47" s="1047"/>
      <c r="BA47" s="1047"/>
      <c r="BB47" s="1047"/>
      <c r="BC47" s="1047"/>
      <c r="BD47" s="1047"/>
      <c r="BE47" s="1035"/>
      <c r="BF47" s="1047"/>
      <c r="BG47" s="1047"/>
      <c r="BH47" s="1047"/>
      <c r="BI47" s="1047"/>
      <c r="BJ47" s="1047"/>
      <c r="BK47" s="1047"/>
      <c r="BL47" s="1047"/>
    </row>
    <row r="48">
      <c r="A48" s="1045"/>
      <c r="B48" s="1045"/>
      <c r="C48" s="1046"/>
      <c r="D48" s="1047"/>
      <c r="E48" s="1047"/>
      <c r="F48" s="1047"/>
      <c r="G48" s="1048"/>
      <c r="H48" s="1047"/>
      <c r="I48" s="1047"/>
      <c r="J48" s="1047"/>
      <c r="K48" s="1047"/>
      <c r="L48" s="1047"/>
      <c r="M48" s="1047"/>
      <c r="N48" s="1047"/>
      <c r="O48" s="1047"/>
      <c r="P48" s="1047"/>
      <c r="Q48" s="1047"/>
      <c r="R48" s="1047"/>
      <c r="S48" s="1047"/>
      <c r="T48" s="1047"/>
      <c r="U48" s="1047"/>
      <c r="V48" s="1047"/>
      <c r="W48" s="1050"/>
      <c r="X48" s="1047"/>
      <c r="Y48" s="1047"/>
      <c r="Z48" s="1047"/>
      <c r="AA48" s="1047"/>
      <c r="AB48" s="1047"/>
      <c r="AC48" s="1047"/>
      <c r="AD48" s="1047"/>
      <c r="AE48" s="1047"/>
      <c r="AF48" s="1047"/>
      <c r="AG48" s="1047"/>
      <c r="AH48" s="1047"/>
      <c r="AI48" s="1050"/>
      <c r="AJ48" s="1047"/>
      <c r="AK48" s="1047"/>
      <c r="AL48" s="1050"/>
      <c r="AM48" s="1035"/>
      <c r="AN48" s="1047"/>
      <c r="AO48" s="1047"/>
      <c r="AP48" s="1047"/>
      <c r="AQ48" s="1050"/>
      <c r="AR48" s="1047"/>
      <c r="AS48" s="1050"/>
      <c r="AT48" s="1033"/>
      <c r="AU48" s="1050"/>
      <c r="AV48" s="1051"/>
      <c r="AW48" s="1052"/>
      <c r="AX48" s="1035"/>
      <c r="AY48" s="1047"/>
      <c r="AZ48" s="1047"/>
      <c r="BA48" s="1047"/>
      <c r="BB48" s="1047"/>
      <c r="BC48" s="1047"/>
      <c r="BD48" s="1047"/>
      <c r="BE48" s="1035"/>
      <c r="BF48" s="1047"/>
      <c r="BG48" s="1047"/>
      <c r="BH48" s="1047"/>
      <c r="BI48" s="1047"/>
      <c r="BJ48" s="1047"/>
      <c r="BK48" s="1047"/>
      <c r="BL48" s="1047"/>
    </row>
    <row r="49">
      <c r="A49" s="1045"/>
      <c r="B49" s="1045"/>
      <c r="C49" s="1046"/>
      <c r="D49" s="1047"/>
      <c r="E49" s="1047"/>
      <c r="F49" s="1047"/>
      <c r="G49" s="1048"/>
      <c r="H49" s="1047"/>
      <c r="I49" s="1047"/>
      <c r="J49" s="1047"/>
      <c r="K49" s="1047"/>
      <c r="L49" s="1047"/>
      <c r="M49" s="1047"/>
      <c r="N49" s="1047"/>
      <c r="O49" s="1047"/>
      <c r="P49" s="1047"/>
      <c r="Q49" s="1047"/>
      <c r="R49" s="1047"/>
      <c r="S49" s="1047"/>
      <c r="T49" s="1047"/>
      <c r="U49" s="1047"/>
      <c r="V49" s="1047"/>
      <c r="W49" s="1050"/>
      <c r="X49" s="1047"/>
      <c r="Y49" s="1047"/>
      <c r="Z49" s="1047"/>
      <c r="AA49" s="1047"/>
      <c r="AB49" s="1047"/>
      <c r="AC49" s="1047"/>
      <c r="AD49" s="1047"/>
      <c r="AE49" s="1047"/>
      <c r="AF49" s="1047"/>
      <c r="AG49" s="1047"/>
      <c r="AH49" s="1047"/>
      <c r="AI49" s="1050"/>
      <c r="AJ49" s="1047"/>
      <c r="AK49" s="1047"/>
      <c r="AL49" s="1050"/>
      <c r="AM49" s="1035"/>
      <c r="AN49" s="1047"/>
      <c r="AO49" s="1047"/>
      <c r="AP49" s="1047"/>
      <c r="AQ49" s="1050"/>
      <c r="AR49" s="1047"/>
      <c r="AS49" s="1050"/>
      <c r="AT49" s="1033"/>
      <c r="AU49" s="1050"/>
      <c r="AV49" s="1051"/>
      <c r="AW49" s="1052"/>
      <c r="AX49" s="1035"/>
      <c r="AY49" s="1047"/>
      <c r="AZ49" s="1047"/>
      <c r="BA49" s="1047"/>
      <c r="BB49" s="1047"/>
      <c r="BC49" s="1047"/>
      <c r="BD49" s="1047"/>
      <c r="BE49" s="1035"/>
      <c r="BF49" s="1047"/>
      <c r="BG49" s="1047"/>
      <c r="BH49" s="1047"/>
      <c r="BI49" s="1047"/>
      <c r="BJ49" s="1047"/>
      <c r="BK49" s="1047"/>
      <c r="BL49" s="1047"/>
    </row>
    <row r="50">
      <c r="A50" s="1045"/>
      <c r="B50" s="1045"/>
      <c r="C50" s="1046"/>
      <c r="D50" s="1047"/>
      <c r="E50" s="1047"/>
      <c r="F50" s="1047"/>
      <c r="G50" s="1048"/>
      <c r="H50" s="1047"/>
      <c r="I50" s="1047"/>
      <c r="J50" s="1047"/>
      <c r="K50" s="1047"/>
      <c r="L50" s="1047"/>
      <c r="M50" s="1047"/>
      <c r="N50" s="1047"/>
      <c r="O50" s="1047"/>
      <c r="P50" s="1047"/>
      <c r="Q50" s="1047"/>
      <c r="R50" s="1047"/>
      <c r="S50" s="1047"/>
      <c r="T50" s="1047"/>
      <c r="U50" s="1047"/>
      <c r="V50" s="1047"/>
      <c r="W50" s="1050"/>
      <c r="X50" s="1047"/>
      <c r="Y50" s="1047"/>
      <c r="Z50" s="1047"/>
      <c r="AA50" s="1047"/>
      <c r="AB50" s="1047"/>
      <c r="AC50" s="1047"/>
      <c r="AD50" s="1047"/>
      <c r="AE50" s="1047"/>
      <c r="AF50" s="1047"/>
      <c r="AG50" s="1047"/>
      <c r="AH50" s="1047"/>
      <c r="AI50" s="1050"/>
      <c r="AJ50" s="1047"/>
      <c r="AK50" s="1047"/>
      <c r="AL50" s="1050"/>
      <c r="AM50" s="1035"/>
      <c r="AN50" s="1047"/>
      <c r="AO50" s="1047"/>
      <c r="AP50" s="1047"/>
      <c r="AQ50" s="1050"/>
      <c r="AR50" s="1047"/>
      <c r="AS50" s="1050"/>
      <c r="AT50" s="1033"/>
      <c r="AU50" s="1050"/>
      <c r="AV50" s="1051"/>
      <c r="AW50" s="1052"/>
      <c r="AX50" s="1035"/>
      <c r="AY50" s="1047"/>
      <c r="AZ50" s="1047"/>
      <c r="BA50" s="1047"/>
      <c r="BB50" s="1047"/>
      <c r="BC50" s="1047"/>
      <c r="BD50" s="1047"/>
      <c r="BE50" s="1035"/>
      <c r="BF50" s="1047"/>
      <c r="BG50" s="1047"/>
      <c r="BH50" s="1047"/>
      <c r="BI50" s="1047"/>
      <c r="BJ50" s="1047"/>
      <c r="BK50" s="1047"/>
      <c r="BL50" s="1047"/>
    </row>
    <row r="51">
      <c r="A51" s="1045"/>
      <c r="B51" s="1045"/>
      <c r="C51" s="1046"/>
      <c r="D51" s="1047"/>
      <c r="E51" s="1047"/>
      <c r="F51" s="1047"/>
      <c r="G51" s="1048"/>
      <c r="H51" s="1047"/>
      <c r="I51" s="1047"/>
      <c r="J51" s="1047"/>
      <c r="K51" s="1047"/>
      <c r="L51" s="1047"/>
      <c r="M51" s="1047"/>
      <c r="N51" s="1047"/>
      <c r="O51" s="1047"/>
      <c r="P51" s="1047"/>
      <c r="Q51" s="1047"/>
      <c r="R51" s="1047"/>
      <c r="S51" s="1047"/>
      <c r="T51" s="1047"/>
      <c r="U51" s="1047"/>
      <c r="V51" s="1047"/>
      <c r="W51" s="1050"/>
      <c r="X51" s="1047"/>
      <c r="Y51" s="1047"/>
      <c r="Z51" s="1047"/>
      <c r="AA51" s="1047"/>
      <c r="AB51" s="1047"/>
      <c r="AC51" s="1047"/>
      <c r="AD51" s="1047"/>
      <c r="AE51" s="1047"/>
      <c r="AF51" s="1047"/>
      <c r="AG51" s="1047"/>
      <c r="AH51" s="1047"/>
      <c r="AI51" s="1050"/>
      <c r="AJ51" s="1047"/>
      <c r="AK51" s="1047"/>
      <c r="AL51" s="1050"/>
      <c r="AM51" s="1035"/>
      <c r="AN51" s="1047"/>
      <c r="AO51" s="1047"/>
      <c r="AP51" s="1047"/>
      <c r="AQ51" s="1050"/>
      <c r="AR51" s="1047"/>
      <c r="AS51" s="1050"/>
      <c r="AT51" s="1033"/>
      <c r="AU51" s="1050"/>
      <c r="AV51" s="1051"/>
      <c r="AW51" s="1052"/>
      <c r="AX51" s="1035"/>
      <c r="AY51" s="1047"/>
      <c r="AZ51" s="1047"/>
      <c r="BA51" s="1047"/>
      <c r="BB51" s="1047"/>
      <c r="BC51" s="1047"/>
      <c r="BD51" s="1047"/>
      <c r="BE51" s="1035"/>
      <c r="BF51" s="1047"/>
      <c r="BG51" s="1047"/>
      <c r="BH51" s="1047"/>
      <c r="BI51" s="1047"/>
      <c r="BJ51" s="1047"/>
      <c r="BK51" s="1047"/>
      <c r="BL51" s="1047"/>
    </row>
    <row r="52">
      <c r="A52" s="1045"/>
      <c r="B52" s="1045"/>
      <c r="C52" s="1046"/>
      <c r="D52" s="1047"/>
      <c r="E52" s="1047"/>
      <c r="F52" s="1047"/>
      <c r="G52" s="1048"/>
      <c r="H52" s="1047"/>
      <c r="I52" s="1047"/>
      <c r="J52" s="1047"/>
      <c r="K52" s="1047"/>
      <c r="L52" s="1047"/>
      <c r="M52" s="1047"/>
      <c r="N52" s="1047"/>
      <c r="O52" s="1047"/>
      <c r="P52" s="1047"/>
      <c r="Q52" s="1047"/>
      <c r="R52" s="1047"/>
      <c r="S52" s="1047"/>
      <c r="T52" s="1047"/>
      <c r="U52" s="1047"/>
      <c r="V52" s="1047"/>
      <c r="W52" s="1050"/>
      <c r="X52" s="1047"/>
      <c r="Y52" s="1047"/>
      <c r="Z52" s="1047"/>
      <c r="AA52" s="1047"/>
      <c r="AB52" s="1047"/>
      <c r="AC52" s="1047"/>
      <c r="AD52" s="1047"/>
      <c r="AE52" s="1047"/>
      <c r="AF52" s="1047"/>
      <c r="AG52" s="1047"/>
      <c r="AH52" s="1047"/>
      <c r="AI52" s="1050"/>
      <c r="AJ52" s="1047"/>
      <c r="AK52" s="1047"/>
      <c r="AL52" s="1050"/>
      <c r="AM52" s="1035"/>
      <c r="AN52" s="1047"/>
      <c r="AO52" s="1047"/>
      <c r="AP52" s="1047"/>
      <c r="AQ52" s="1050"/>
      <c r="AR52" s="1047"/>
      <c r="AS52" s="1050"/>
      <c r="AT52" s="1033"/>
      <c r="AU52" s="1050"/>
      <c r="AV52" s="1051"/>
      <c r="AW52" s="1052"/>
      <c r="AX52" s="1035"/>
      <c r="AY52" s="1047"/>
      <c r="AZ52" s="1047"/>
      <c r="BA52" s="1047"/>
      <c r="BB52" s="1047"/>
      <c r="BC52" s="1047"/>
      <c r="BD52" s="1047"/>
      <c r="BE52" s="1035"/>
      <c r="BF52" s="1047"/>
      <c r="BG52" s="1047"/>
      <c r="BH52" s="1047"/>
      <c r="BI52" s="1047"/>
      <c r="BJ52" s="1047"/>
      <c r="BK52" s="1047"/>
      <c r="BL52" s="1047"/>
    </row>
    <row r="53">
      <c r="A53" s="1045"/>
      <c r="B53" s="1045"/>
      <c r="C53" s="1046"/>
      <c r="D53" s="1047"/>
      <c r="E53" s="1047"/>
      <c r="F53" s="1047"/>
      <c r="G53" s="1048"/>
      <c r="H53" s="1047"/>
      <c r="I53" s="1047"/>
      <c r="J53" s="1047"/>
      <c r="K53" s="1047"/>
      <c r="L53" s="1047"/>
      <c r="M53" s="1047"/>
      <c r="N53" s="1047"/>
      <c r="O53" s="1047"/>
      <c r="P53" s="1047"/>
      <c r="Q53" s="1047"/>
      <c r="R53" s="1047"/>
      <c r="S53" s="1047"/>
      <c r="T53" s="1047"/>
      <c r="U53" s="1047"/>
      <c r="V53" s="1047"/>
      <c r="W53" s="1050"/>
      <c r="X53" s="1047"/>
      <c r="Y53" s="1047"/>
      <c r="Z53" s="1047"/>
      <c r="AA53" s="1047"/>
      <c r="AB53" s="1047"/>
      <c r="AC53" s="1047"/>
      <c r="AD53" s="1047"/>
      <c r="AE53" s="1047"/>
      <c r="AF53" s="1047"/>
      <c r="AG53" s="1047"/>
      <c r="AH53" s="1047"/>
      <c r="AI53" s="1050"/>
      <c r="AJ53" s="1047"/>
      <c r="AK53" s="1047"/>
      <c r="AL53" s="1050"/>
      <c r="AM53" s="1035"/>
      <c r="AN53" s="1047"/>
      <c r="AO53" s="1047"/>
      <c r="AP53" s="1047"/>
      <c r="AQ53" s="1050"/>
      <c r="AR53" s="1047"/>
      <c r="AS53" s="1050"/>
      <c r="AT53" s="1033"/>
      <c r="AU53" s="1050"/>
      <c r="AV53" s="1051"/>
      <c r="AW53" s="1052"/>
      <c r="AX53" s="1035"/>
      <c r="AY53" s="1047"/>
      <c r="AZ53" s="1047"/>
      <c r="BA53" s="1047"/>
      <c r="BB53" s="1047"/>
      <c r="BC53" s="1047"/>
      <c r="BD53" s="1047"/>
      <c r="BE53" s="1035"/>
      <c r="BF53" s="1047"/>
      <c r="BG53" s="1047"/>
      <c r="BH53" s="1047"/>
      <c r="BI53" s="1047"/>
      <c r="BJ53" s="1047"/>
      <c r="BK53" s="1047"/>
      <c r="BL53" s="1047"/>
    </row>
    <row r="54">
      <c r="A54" s="1045"/>
      <c r="B54" s="1045"/>
      <c r="C54" s="1046"/>
      <c r="D54" s="1047"/>
      <c r="E54" s="1047"/>
      <c r="F54" s="1047"/>
      <c r="G54" s="1048"/>
      <c r="H54" s="1047"/>
      <c r="I54" s="1047"/>
      <c r="J54" s="1047"/>
      <c r="K54" s="1047"/>
      <c r="L54" s="1047"/>
      <c r="M54" s="1047"/>
      <c r="N54" s="1047"/>
      <c r="O54" s="1047"/>
      <c r="P54" s="1047"/>
      <c r="Q54" s="1047"/>
      <c r="R54" s="1047"/>
      <c r="S54" s="1047"/>
      <c r="T54" s="1047"/>
      <c r="U54" s="1047"/>
      <c r="V54" s="1047"/>
      <c r="W54" s="1050"/>
      <c r="X54" s="1047"/>
      <c r="Y54" s="1047"/>
      <c r="Z54" s="1047"/>
      <c r="AA54" s="1047"/>
      <c r="AB54" s="1047"/>
      <c r="AC54" s="1047"/>
      <c r="AD54" s="1047"/>
      <c r="AE54" s="1047"/>
      <c r="AF54" s="1047"/>
      <c r="AG54" s="1047"/>
      <c r="AH54" s="1047"/>
      <c r="AI54" s="1050"/>
      <c r="AJ54" s="1047"/>
      <c r="AK54" s="1047"/>
      <c r="AL54" s="1050"/>
      <c r="AM54" s="1035"/>
      <c r="AN54" s="1047"/>
      <c r="AO54" s="1047"/>
      <c r="AP54" s="1047"/>
      <c r="AQ54" s="1050"/>
      <c r="AR54" s="1047"/>
      <c r="AS54" s="1050"/>
      <c r="AT54" s="1033"/>
      <c r="AU54" s="1050"/>
      <c r="AV54" s="1051"/>
      <c r="AW54" s="1052"/>
      <c r="AX54" s="1035"/>
      <c r="AY54" s="1047"/>
      <c r="AZ54" s="1047"/>
      <c r="BA54" s="1047"/>
      <c r="BB54" s="1047"/>
      <c r="BC54" s="1047"/>
      <c r="BD54" s="1047"/>
      <c r="BE54" s="1035"/>
      <c r="BF54" s="1047"/>
      <c r="BG54" s="1047"/>
      <c r="BH54" s="1047"/>
      <c r="BI54" s="1047"/>
      <c r="BJ54" s="1047"/>
      <c r="BK54" s="1047"/>
      <c r="BL54" s="1047"/>
    </row>
    <row r="55">
      <c r="A55" s="1045"/>
      <c r="B55" s="1045"/>
      <c r="C55" s="1046"/>
      <c r="D55" s="1047"/>
      <c r="E55" s="1047"/>
      <c r="F55" s="1047"/>
      <c r="G55" s="1048"/>
      <c r="H55" s="1047"/>
      <c r="I55" s="1047"/>
      <c r="J55" s="1047"/>
      <c r="K55" s="1047"/>
      <c r="L55" s="1047"/>
      <c r="M55" s="1047"/>
      <c r="N55" s="1047"/>
      <c r="O55" s="1047"/>
      <c r="P55" s="1047"/>
      <c r="Q55" s="1047"/>
      <c r="R55" s="1047"/>
      <c r="S55" s="1047"/>
      <c r="T55" s="1047"/>
      <c r="U55" s="1047"/>
      <c r="V55" s="1047"/>
      <c r="W55" s="1050"/>
      <c r="X55" s="1047"/>
      <c r="Y55" s="1047"/>
      <c r="Z55" s="1047"/>
      <c r="AA55" s="1047"/>
      <c r="AB55" s="1047"/>
      <c r="AC55" s="1047"/>
      <c r="AD55" s="1047"/>
      <c r="AE55" s="1047"/>
      <c r="AF55" s="1047"/>
      <c r="AG55" s="1047"/>
      <c r="AH55" s="1047"/>
      <c r="AI55" s="1050"/>
      <c r="AJ55" s="1047"/>
      <c r="AK55" s="1047"/>
      <c r="AL55" s="1050"/>
      <c r="AM55" s="1035"/>
      <c r="AN55" s="1047"/>
      <c r="AO55" s="1047"/>
      <c r="AP55" s="1047"/>
      <c r="AQ55" s="1050"/>
      <c r="AR55" s="1047"/>
      <c r="AS55" s="1050"/>
      <c r="AT55" s="1033"/>
      <c r="AU55" s="1050"/>
      <c r="AV55" s="1051"/>
      <c r="AW55" s="1052"/>
      <c r="AX55" s="1035"/>
      <c r="AY55" s="1047"/>
      <c r="AZ55" s="1047"/>
      <c r="BA55" s="1047"/>
      <c r="BB55" s="1047"/>
      <c r="BC55" s="1047"/>
      <c r="BD55" s="1047"/>
      <c r="BE55" s="1035"/>
      <c r="BF55" s="1047"/>
      <c r="BG55" s="1047"/>
      <c r="BH55" s="1047"/>
      <c r="BI55" s="1047"/>
      <c r="BJ55" s="1047"/>
      <c r="BK55" s="1047"/>
      <c r="BL55" s="1047"/>
    </row>
    <row r="56">
      <c r="A56" s="1045"/>
      <c r="B56" s="1045"/>
      <c r="C56" s="1046"/>
      <c r="D56" s="1047"/>
      <c r="E56" s="1047"/>
      <c r="F56" s="1047"/>
      <c r="G56" s="1048"/>
      <c r="H56" s="1047"/>
      <c r="I56" s="1047"/>
      <c r="J56" s="1047"/>
      <c r="K56" s="1047"/>
      <c r="L56" s="1047"/>
      <c r="M56" s="1047"/>
      <c r="N56" s="1047"/>
      <c r="O56" s="1047"/>
      <c r="P56" s="1047"/>
      <c r="Q56" s="1047"/>
      <c r="R56" s="1047"/>
      <c r="S56" s="1047"/>
      <c r="T56" s="1047"/>
      <c r="U56" s="1047"/>
      <c r="V56" s="1047"/>
      <c r="W56" s="1050"/>
      <c r="X56" s="1047"/>
      <c r="Y56" s="1047"/>
      <c r="Z56" s="1047"/>
      <c r="AA56" s="1047"/>
      <c r="AB56" s="1047"/>
      <c r="AC56" s="1047"/>
      <c r="AD56" s="1047"/>
      <c r="AE56" s="1047"/>
      <c r="AF56" s="1047"/>
      <c r="AG56" s="1047"/>
      <c r="AH56" s="1047"/>
      <c r="AI56" s="1050"/>
      <c r="AJ56" s="1047"/>
      <c r="AK56" s="1047"/>
      <c r="AL56" s="1050"/>
      <c r="AM56" s="1035"/>
      <c r="AN56" s="1047"/>
      <c r="AO56" s="1047"/>
      <c r="AP56" s="1047"/>
      <c r="AQ56" s="1050"/>
      <c r="AR56" s="1047"/>
      <c r="AS56" s="1050"/>
      <c r="AT56" s="1033"/>
      <c r="AU56" s="1050"/>
      <c r="AV56" s="1051"/>
      <c r="AW56" s="1052"/>
      <c r="AX56" s="1035"/>
      <c r="AY56" s="1047"/>
      <c r="AZ56" s="1047"/>
      <c r="BA56" s="1047"/>
      <c r="BB56" s="1047"/>
      <c r="BC56" s="1047"/>
      <c r="BD56" s="1047"/>
      <c r="BE56" s="1035"/>
      <c r="BF56" s="1047"/>
      <c r="BG56" s="1047"/>
      <c r="BH56" s="1047"/>
      <c r="BI56" s="1047"/>
      <c r="BJ56" s="1047"/>
      <c r="BK56" s="1047"/>
      <c r="BL56" s="1047"/>
    </row>
    <row r="57">
      <c r="A57" s="1045"/>
      <c r="B57" s="1045"/>
      <c r="C57" s="1046"/>
      <c r="D57" s="1047"/>
      <c r="E57" s="1047"/>
      <c r="F57" s="1047"/>
      <c r="G57" s="1048"/>
      <c r="H57" s="1047"/>
      <c r="I57" s="1047"/>
      <c r="J57" s="1047"/>
      <c r="K57" s="1047"/>
      <c r="L57" s="1047"/>
      <c r="M57" s="1047"/>
      <c r="N57" s="1047"/>
      <c r="O57" s="1047"/>
      <c r="P57" s="1047"/>
      <c r="Q57" s="1047"/>
      <c r="R57" s="1047"/>
      <c r="S57" s="1047"/>
      <c r="T57" s="1047"/>
      <c r="U57" s="1047"/>
      <c r="V57" s="1047"/>
      <c r="W57" s="1050"/>
      <c r="X57" s="1047"/>
      <c r="Y57" s="1047"/>
      <c r="Z57" s="1047"/>
      <c r="AA57" s="1047"/>
      <c r="AB57" s="1047"/>
      <c r="AC57" s="1047"/>
      <c r="AD57" s="1047"/>
      <c r="AE57" s="1047"/>
      <c r="AF57" s="1047"/>
      <c r="AG57" s="1047"/>
      <c r="AH57" s="1047"/>
      <c r="AI57" s="1050"/>
      <c r="AJ57" s="1047"/>
      <c r="AK57" s="1047"/>
      <c r="AL57" s="1050"/>
      <c r="AM57" s="1035"/>
      <c r="AN57" s="1047"/>
      <c r="AO57" s="1047"/>
      <c r="AP57" s="1047"/>
      <c r="AQ57" s="1050"/>
      <c r="AR57" s="1047"/>
      <c r="AS57" s="1050"/>
      <c r="AT57" s="1033"/>
      <c r="AU57" s="1050"/>
      <c r="AV57" s="1051"/>
      <c r="AW57" s="1052"/>
      <c r="AX57" s="1035"/>
      <c r="AY57" s="1047"/>
      <c r="AZ57" s="1047"/>
      <c r="BA57" s="1047"/>
      <c r="BB57" s="1047"/>
      <c r="BC57" s="1047"/>
      <c r="BD57" s="1047"/>
      <c r="BE57" s="1035"/>
      <c r="BF57" s="1047"/>
      <c r="BG57" s="1047"/>
      <c r="BH57" s="1047"/>
      <c r="BI57" s="1047"/>
      <c r="BJ57" s="1047"/>
      <c r="BK57" s="1047"/>
      <c r="BL57" s="1047"/>
    </row>
    <row r="58">
      <c r="A58" s="1045"/>
      <c r="B58" s="1045"/>
      <c r="C58" s="1046"/>
      <c r="D58" s="1047"/>
      <c r="E58" s="1047"/>
      <c r="F58" s="1047"/>
      <c r="G58" s="1048"/>
      <c r="H58" s="1047"/>
      <c r="I58" s="1047"/>
      <c r="J58" s="1047"/>
      <c r="K58" s="1047"/>
      <c r="L58" s="1047"/>
      <c r="M58" s="1047"/>
      <c r="N58" s="1047"/>
      <c r="O58" s="1047"/>
      <c r="P58" s="1047"/>
      <c r="Q58" s="1047"/>
      <c r="R58" s="1047"/>
      <c r="S58" s="1047"/>
      <c r="T58" s="1047"/>
      <c r="U58" s="1047"/>
      <c r="V58" s="1047"/>
      <c r="W58" s="1050"/>
      <c r="X58" s="1047"/>
      <c r="Y58" s="1047"/>
      <c r="Z58" s="1047"/>
      <c r="AA58" s="1047"/>
      <c r="AB58" s="1047"/>
      <c r="AC58" s="1047"/>
      <c r="AD58" s="1047"/>
      <c r="AE58" s="1047"/>
      <c r="AF58" s="1047"/>
      <c r="AG58" s="1047"/>
      <c r="AH58" s="1047"/>
      <c r="AI58" s="1050"/>
      <c r="AJ58" s="1047"/>
      <c r="AK58" s="1047"/>
      <c r="AL58" s="1050"/>
      <c r="AM58" s="1035"/>
      <c r="AN58" s="1047"/>
      <c r="AO58" s="1047"/>
      <c r="AP58" s="1047"/>
      <c r="AQ58" s="1050"/>
      <c r="AR58" s="1047"/>
      <c r="AS58" s="1050"/>
      <c r="AT58" s="1033"/>
      <c r="AU58" s="1050"/>
      <c r="AV58" s="1051"/>
      <c r="AW58" s="1052"/>
      <c r="AX58" s="1035"/>
      <c r="AY58" s="1047"/>
      <c r="AZ58" s="1047"/>
      <c r="BA58" s="1047"/>
      <c r="BB58" s="1047"/>
      <c r="BC58" s="1047"/>
      <c r="BD58" s="1047"/>
      <c r="BE58" s="1035"/>
      <c r="BF58" s="1047"/>
      <c r="BG58" s="1047"/>
      <c r="BH58" s="1047"/>
      <c r="BI58" s="1047"/>
      <c r="BJ58" s="1047"/>
      <c r="BK58" s="1047"/>
      <c r="BL58" s="1047"/>
    </row>
    <row r="59">
      <c r="A59" s="1045"/>
      <c r="B59" s="1045"/>
      <c r="C59" s="1046"/>
      <c r="D59" s="1047"/>
      <c r="E59" s="1047"/>
      <c r="F59" s="1047"/>
      <c r="G59" s="1048"/>
      <c r="H59" s="1047"/>
      <c r="I59" s="1047"/>
      <c r="J59" s="1047"/>
      <c r="K59" s="1047"/>
      <c r="L59" s="1047"/>
      <c r="M59" s="1047"/>
      <c r="N59" s="1047"/>
      <c r="O59" s="1047"/>
      <c r="P59" s="1047"/>
      <c r="Q59" s="1047"/>
      <c r="R59" s="1047"/>
      <c r="S59" s="1047"/>
      <c r="T59" s="1047"/>
      <c r="U59" s="1047"/>
      <c r="V59" s="1047"/>
      <c r="W59" s="1050"/>
      <c r="X59" s="1047"/>
      <c r="Y59" s="1047"/>
      <c r="Z59" s="1047"/>
      <c r="AA59" s="1047"/>
      <c r="AB59" s="1047"/>
      <c r="AC59" s="1047"/>
      <c r="AD59" s="1047"/>
      <c r="AE59" s="1047"/>
      <c r="AF59" s="1047"/>
      <c r="AG59" s="1047"/>
      <c r="AH59" s="1047"/>
      <c r="AI59" s="1050"/>
      <c r="AJ59" s="1047"/>
      <c r="AK59" s="1047"/>
      <c r="AL59" s="1050"/>
      <c r="AM59" s="1035"/>
      <c r="AN59" s="1047"/>
      <c r="AO59" s="1047"/>
      <c r="AP59" s="1047"/>
      <c r="AQ59" s="1050"/>
      <c r="AR59" s="1047"/>
      <c r="AS59" s="1050"/>
      <c r="AT59" s="1033"/>
      <c r="AU59" s="1050"/>
      <c r="AV59" s="1051"/>
      <c r="AW59" s="1052"/>
      <c r="AX59" s="1035"/>
      <c r="AY59" s="1047"/>
      <c r="AZ59" s="1047"/>
      <c r="BA59" s="1047"/>
      <c r="BB59" s="1047"/>
      <c r="BC59" s="1047"/>
      <c r="BD59" s="1047"/>
      <c r="BE59" s="1035"/>
      <c r="BF59" s="1047"/>
      <c r="BG59" s="1047"/>
      <c r="BH59" s="1047"/>
      <c r="BI59" s="1047"/>
      <c r="BJ59" s="1047"/>
      <c r="BK59" s="1047"/>
      <c r="BL59" s="1047"/>
    </row>
    <row r="60">
      <c r="A60" s="1045"/>
      <c r="B60" s="1045"/>
      <c r="C60" s="1046"/>
      <c r="D60" s="1047"/>
      <c r="E60" s="1047"/>
      <c r="F60" s="1047"/>
      <c r="G60" s="1048"/>
      <c r="H60" s="1047"/>
      <c r="I60" s="1047"/>
      <c r="J60" s="1047"/>
      <c r="K60" s="1047"/>
      <c r="L60" s="1047"/>
      <c r="M60" s="1047"/>
      <c r="N60" s="1047"/>
      <c r="O60" s="1047"/>
      <c r="P60" s="1047"/>
      <c r="Q60" s="1047"/>
      <c r="R60" s="1047"/>
      <c r="S60" s="1047"/>
      <c r="T60" s="1047"/>
      <c r="U60" s="1047"/>
      <c r="V60" s="1047"/>
      <c r="W60" s="1050"/>
      <c r="X60" s="1047"/>
      <c r="Y60" s="1047"/>
      <c r="Z60" s="1047"/>
      <c r="AA60" s="1047"/>
      <c r="AB60" s="1047"/>
      <c r="AC60" s="1047"/>
      <c r="AD60" s="1047"/>
      <c r="AE60" s="1047"/>
      <c r="AF60" s="1047"/>
      <c r="AG60" s="1047"/>
      <c r="AH60" s="1047"/>
      <c r="AI60" s="1050"/>
      <c r="AJ60" s="1047"/>
      <c r="AK60" s="1047"/>
      <c r="AL60" s="1050"/>
      <c r="AM60" s="1035"/>
      <c r="AN60" s="1047"/>
      <c r="AO60" s="1047"/>
      <c r="AP60" s="1047"/>
      <c r="AQ60" s="1050"/>
      <c r="AR60" s="1047"/>
      <c r="AS60" s="1050"/>
      <c r="AT60" s="1033"/>
      <c r="AU60" s="1050"/>
      <c r="AV60" s="1051"/>
      <c r="AW60" s="1052"/>
      <c r="AX60" s="1035"/>
      <c r="AY60" s="1047"/>
      <c r="AZ60" s="1047"/>
      <c r="BA60" s="1047"/>
      <c r="BB60" s="1047"/>
      <c r="BC60" s="1047"/>
      <c r="BD60" s="1047"/>
      <c r="BE60" s="1035"/>
      <c r="BF60" s="1047"/>
      <c r="BG60" s="1047"/>
      <c r="BH60" s="1047"/>
      <c r="BI60" s="1047"/>
      <c r="BJ60" s="1047"/>
      <c r="BK60" s="1047"/>
      <c r="BL60" s="1047"/>
    </row>
    <row r="61">
      <c r="A61" s="1045"/>
      <c r="B61" s="1045"/>
      <c r="C61" s="1046"/>
      <c r="D61" s="1047"/>
      <c r="E61" s="1047"/>
      <c r="F61" s="1047"/>
      <c r="G61" s="1048"/>
      <c r="H61" s="1047"/>
      <c r="I61" s="1047"/>
      <c r="J61" s="1047"/>
      <c r="K61" s="1047"/>
      <c r="L61" s="1047"/>
      <c r="M61" s="1047"/>
      <c r="N61" s="1047"/>
      <c r="O61" s="1047"/>
      <c r="P61" s="1047"/>
      <c r="Q61" s="1047"/>
      <c r="R61" s="1047"/>
      <c r="S61" s="1047"/>
      <c r="T61" s="1047"/>
      <c r="U61" s="1047"/>
      <c r="V61" s="1047"/>
      <c r="W61" s="1050"/>
      <c r="X61" s="1047"/>
      <c r="Y61" s="1047"/>
      <c r="Z61" s="1047"/>
      <c r="AA61" s="1047"/>
      <c r="AB61" s="1047"/>
      <c r="AC61" s="1047"/>
      <c r="AD61" s="1047"/>
      <c r="AE61" s="1047"/>
      <c r="AF61" s="1047"/>
      <c r="AG61" s="1047"/>
      <c r="AH61" s="1047"/>
      <c r="AI61" s="1050"/>
      <c r="AJ61" s="1047"/>
      <c r="AK61" s="1047"/>
      <c r="AL61" s="1050"/>
      <c r="AM61" s="1035"/>
      <c r="AN61" s="1047"/>
      <c r="AO61" s="1047"/>
      <c r="AP61" s="1047"/>
      <c r="AQ61" s="1050"/>
      <c r="AR61" s="1047"/>
      <c r="AS61" s="1050"/>
      <c r="AT61" s="1033"/>
      <c r="AU61" s="1050"/>
      <c r="AV61" s="1051"/>
      <c r="AW61" s="1052"/>
      <c r="AX61" s="1035"/>
      <c r="AY61" s="1047"/>
      <c r="AZ61" s="1047"/>
      <c r="BA61" s="1047"/>
      <c r="BB61" s="1047"/>
      <c r="BC61" s="1047"/>
      <c r="BD61" s="1047"/>
      <c r="BE61" s="1035"/>
      <c r="BF61" s="1047"/>
      <c r="BG61" s="1047"/>
      <c r="BH61" s="1047"/>
      <c r="BI61" s="1047"/>
      <c r="BJ61" s="1047"/>
      <c r="BK61" s="1047"/>
      <c r="BL61" s="1047"/>
    </row>
    <row r="62">
      <c r="A62" s="1045"/>
      <c r="B62" s="1045"/>
      <c r="C62" s="1046"/>
      <c r="D62" s="1047"/>
      <c r="E62" s="1047"/>
      <c r="F62" s="1047"/>
      <c r="G62" s="1048"/>
      <c r="H62" s="1047"/>
      <c r="I62" s="1047"/>
      <c r="J62" s="1047"/>
      <c r="K62" s="1047"/>
      <c r="L62" s="1047"/>
      <c r="M62" s="1047"/>
      <c r="N62" s="1047"/>
      <c r="O62" s="1047"/>
      <c r="P62" s="1047"/>
      <c r="Q62" s="1047"/>
      <c r="R62" s="1047"/>
      <c r="S62" s="1047"/>
      <c r="T62" s="1047"/>
      <c r="U62" s="1047"/>
      <c r="V62" s="1047"/>
      <c r="W62" s="1050"/>
      <c r="X62" s="1047"/>
      <c r="Y62" s="1047"/>
      <c r="Z62" s="1047"/>
      <c r="AA62" s="1047"/>
      <c r="AB62" s="1047"/>
      <c r="AC62" s="1047"/>
      <c r="AD62" s="1047"/>
      <c r="AE62" s="1047"/>
      <c r="AF62" s="1047"/>
      <c r="AG62" s="1047"/>
      <c r="AH62" s="1047"/>
      <c r="AI62" s="1050"/>
      <c r="AJ62" s="1047"/>
      <c r="AK62" s="1047"/>
      <c r="AL62" s="1050"/>
      <c r="AM62" s="1035"/>
      <c r="AN62" s="1047"/>
      <c r="AO62" s="1047"/>
      <c r="AP62" s="1047"/>
      <c r="AQ62" s="1050"/>
      <c r="AR62" s="1047"/>
      <c r="AS62" s="1050"/>
      <c r="AT62" s="1033"/>
      <c r="AU62" s="1050"/>
      <c r="AV62" s="1051"/>
      <c r="AW62" s="1052"/>
      <c r="AX62" s="1035"/>
      <c r="AY62" s="1047"/>
      <c r="AZ62" s="1047"/>
      <c r="BA62" s="1047"/>
      <c r="BB62" s="1047"/>
      <c r="BC62" s="1047"/>
      <c r="BD62" s="1047"/>
      <c r="BE62" s="1035"/>
      <c r="BF62" s="1047"/>
      <c r="BG62" s="1047"/>
      <c r="BH62" s="1047"/>
      <c r="BI62" s="1047"/>
      <c r="BJ62" s="1047"/>
      <c r="BK62" s="1047"/>
      <c r="BL62" s="1047"/>
    </row>
    <row r="63">
      <c r="A63" s="1045"/>
      <c r="B63" s="1045"/>
      <c r="C63" s="1046"/>
      <c r="D63" s="1047"/>
      <c r="E63" s="1047"/>
      <c r="F63" s="1047"/>
      <c r="G63" s="1048"/>
      <c r="H63" s="1047"/>
      <c r="I63" s="1047"/>
      <c r="J63" s="1047"/>
      <c r="K63" s="1047"/>
      <c r="L63" s="1047"/>
      <c r="M63" s="1047"/>
      <c r="N63" s="1047"/>
      <c r="O63" s="1047"/>
      <c r="P63" s="1047"/>
      <c r="Q63" s="1047"/>
      <c r="R63" s="1047"/>
      <c r="S63" s="1047"/>
      <c r="T63" s="1047"/>
      <c r="U63" s="1047"/>
      <c r="V63" s="1047"/>
      <c r="W63" s="1050"/>
      <c r="X63" s="1047"/>
      <c r="Y63" s="1047"/>
      <c r="Z63" s="1047"/>
      <c r="AA63" s="1047"/>
      <c r="AB63" s="1047"/>
      <c r="AC63" s="1047"/>
      <c r="AD63" s="1047"/>
      <c r="AE63" s="1047"/>
      <c r="AF63" s="1047"/>
      <c r="AG63" s="1047"/>
      <c r="AH63" s="1047"/>
      <c r="AI63" s="1050"/>
      <c r="AJ63" s="1047"/>
      <c r="AK63" s="1047"/>
      <c r="AL63" s="1050"/>
      <c r="AM63" s="1035"/>
      <c r="AN63" s="1047"/>
      <c r="AO63" s="1047"/>
      <c r="AP63" s="1047"/>
      <c r="AQ63" s="1050"/>
      <c r="AR63" s="1047"/>
      <c r="AS63" s="1050"/>
      <c r="AT63" s="1033"/>
      <c r="AU63" s="1050"/>
      <c r="AV63" s="1051"/>
      <c r="AW63" s="1052"/>
      <c r="AX63" s="1035"/>
      <c r="AY63" s="1047"/>
      <c r="AZ63" s="1047"/>
      <c r="BA63" s="1047"/>
      <c r="BB63" s="1047"/>
      <c r="BC63" s="1047"/>
      <c r="BD63" s="1047"/>
      <c r="BE63" s="1035"/>
      <c r="BF63" s="1047"/>
      <c r="BG63" s="1047"/>
      <c r="BH63" s="1047"/>
      <c r="BI63" s="1047"/>
      <c r="BJ63" s="1047"/>
      <c r="BK63" s="1047"/>
      <c r="BL63" s="1047"/>
    </row>
    <row r="64">
      <c r="A64" s="1045"/>
      <c r="B64" s="1045"/>
      <c r="C64" s="1046"/>
      <c r="D64" s="1047"/>
      <c r="E64" s="1047"/>
      <c r="F64" s="1047"/>
      <c r="G64" s="1048"/>
      <c r="H64" s="1047"/>
      <c r="I64" s="1047"/>
      <c r="J64" s="1047"/>
      <c r="K64" s="1047"/>
      <c r="L64" s="1047"/>
      <c r="M64" s="1047"/>
      <c r="N64" s="1047"/>
      <c r="O64" s="1047"/>
      <c r="P64" s="1047"/>
      <c r="Q64" s="1047"/>
      <c r="R64" s="1047"/>
      <c r="S64" s="1047"/>
      <c r="T64" s="1047"/>
      <c r="U64" s="1047"/>
      <c r="V64" s="1047"/>
      <c r="W64" s="1050"/>
      <c r="X64" s="1047"/>
      <c r="Y64" s="1047"/>
      <c r="Z64" s="1047"/>
      <c r="AA64" s="1047"/>
      <c r="AB64" s="1047"/>
      <c r="AC64" s="1047"/>
      <c r="AD64" s="1047"/>
      <c r="AE64" s="1047"/>
      <c r="AF64" s="1047"/>
      <c r="AG64" s="1047"/>
      <c r="AH64" s="1047"/>
      <c r="AI64" s="1050"/>
      <c r="AJ64" s="1047"/>
      <c r="AK64" s="1047"/>
      <c r="AL64" s="1050"/>
      <c r="AM64" s="1035"/>
      <c r="AN64" s="1047"/>
      <c r="AO64" s="1047"/>
      <c r="AP64" s="1047"/>
      <c r="AQ64" s="1050"/>
      <c r="AR64" s="1047"/>
      <c r="AS64" s="1050"/>
      <c r="AT64" s="1033"/>
      <c r="AU64" s="1050"/>
      <c r="AV64" s="1051"/>
      <c r="AW64" s="1052"/>
      <c r="AX64" s="1035"/>
      <c r="AY64" s="1047"/>
      <c r="AZ64" s="1047"/>
      <c r="BA64" s="1047"/>
      <c r="BB64" s="1047"/>
      <c r="BC64" s="1047"/>
      <c r="BD64" s="1047"/>
      <c r="BE64" s="1035"/>
      <c r="BF64" s="1047"/>
      <c r="BG64" s="1047"/>
      <c r="BH64" s="1047"/>
      <c r="BI64" s="1047"/>
      <c r="BJ64" s="1047"/>
      <c r="BK64" s="1047"/>
      <c r="BL64" s="1047"/>
    </row>
  </sheetData>
  <mergeCells count="12">
    <mergeCell ref="AN4:AQ4"/>
    <mergeCell ref="AR4:AS4"/>
    <mergeCell ref="AU4:AW4"/>
    <mergeCell ref="AY4:BD4"/>
    <mergeCell ref="A1:C4"/>
    <mergeCell ref="D1:AS2"/>
    <mergeCell ref="AU1:BL2"/>
    <mergeCell ref="D4:G4"/>
    <mergeCell ref="H4:W4"/>
    <mergeCell ref="X4:AI4"/>
    <mergeCell ref="AJ4:AL4"/>
    <mergeCell ref="BF4:BL4"/>
  </mergeCells>
  <conditionalFormatting sqref="C6:C64">
    <cfRule type="containsText" dxfId="1" priority="1" operator="containsText" text="dez">
      <formula>NOT(ISERROR(SEARCH(("dez"),(C6))))</formula>
    </cfRule>
  </conditionalFormatting>
  <conditionalFormatting sqref="AV6:AV64 AY6:BD6 BF6:BL6">
    <cfRule type="containsText" dxfId="1" priority="2" operator="containsText" text="Pagar">
      <formula>NOT(ISERROR(SEARCH(("Pagar"),(AV6))))</formula>
    </cfRule>
  </conditionalFormatting>
  <conditionalFormatting sqref="D6:AL64 AN6:AS64 AU6:AU64 AY6:BD64 BF6:BL64">
    <cfRule type="cellIs" dxfId="83" priority="3" operator="equal">
      <formula>0</formula>
    </cfRule>
  </conditionalFormatting>
  <conditionalFormatting sqref="D6:AL64 AN6:AS64 AU6:AU64 AY6:BD64 BF6:BL64">
    <cfRule type="cellIs" dxfId="2" priority="4" operator="lessThan">
      <formula>0</formula>
    </cfRule>
  </conditionalFormatting>
  <dataValidations>
    <dataValidation type="list" allowBlank="1" sqref="A9:A15">
      <formula1>'config.parâmetros'!$B$17:$B$23</formula1>
    </dataValidation>
  </dataValidations>
  <drawing r:id="rId2"/>
  <legacyDrawing r:id="rId3"/>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FF"/>
    <outlinePr summaryBelow="0" summaryRight="0"/>
  </sheetPr>
  <sheetViews>
    <sheetView showGridLines="0" workbookViewId="0"/>
  </sheetViews>
  <sheetFormatPr customHeight="1" defaultColWidth="15.13" defaultRowHeight="15.75" outlineLevelCol="1"/>
  <cols>
    <col customWidth="1" min="1" max="1" width="15.13"/>
    <col customWidth="1" min="2" max="2" width="1.13"/>
    <col collapsed="1" customWidth="1" min="3" max="3" width="4.5"/>
    <col customWidth="1" hidden="1" min="4" max="4" width="36.75" outlineLevel="1"/>
    <col customWidth="1" hidden="1" min="5" max="5" width="14.63" outlineLevel="1"/>
    <col customWidth="1" hidden="1" min="6" max="6" width="13.88" outlineLevel="1"/>
    <col customWidth="1" hidden="1" min="7" max="7" width="72.63" outlineLevel="1"/>
    <col customWidth="1" hidden="1" min="8" max="9" width="8.88" outlineLevel="1"/>
    <col customWidth="1" min="10" max="10" width="1.13"/>
    <col collapsed="1" customWidth="1" min="11" max="11" width="4.5"/>
    <col customWidth="1" hidden="1" min="12" max="12" width="36.75" outlineLevel="1"/>
    <col customWidth="1" hidden="1" min="13" max="13" width="14.63" outlineLevel="1"/>
    <col customWidth="1" hidden="1" min="14" max="14" width="13.88" outlineLevel="1"/>
    <col customWidth="1" hidden="1" min="15" max="15" width="72.63" outlineLevel="1"/>
    <col customWidth="1" hidden="1" min="16" max="17" width="8.88" outlineLevel="1"/>
    <col customWidth="1" min="18" max="18" width="1.13"/>
    <col collapsed="1" customWidth="1" min="19" max="19" width="4.5"/>
    <col customWidth="1" hidden="1" min="20" max="20" width="38.88" outlineLevel="1"/>
    <col customWidth="1" hidden="1" min="21" max="21" width="13.88" outlineLevel="1"/>
    <col customWidth="1" hidden="1" min="22" max="22" width="37.63" outlineLevel="1"/>
    <col customWidth="1" hidden="1" min="23" max="23" width="20.13" outlineLevel="1"/>
    <col customWidth="1" hidden="1" min="24" max="24" width="10.25" outlineLevel="1"/>
    <col customWidth="1" min="25" max="25" width="1.13"/>
    <col collapsed="1" customWidth="1" min="26" max="26" width="4.5"/>
    <col customWidth="1" hidden="1" min="27" max="27" width="21.13" outlineLevel="1"/>
    <col customWidth="1" hidden="1" min="28" max="28" width="13.88" outlineLevel="1"/>
    <col customWidth="1" hidden="1" min="29" max="29" width="37.63" outlineLevel="1"/>
    <col customWidth="1" hidden="1" min="30" max="30" width="20.13" outlineLevel="1"/>
    <col customWidth="1" hidden="1" min="31" max="31" width="8.88" outlineLevel="1"/>
    <col customWidth="1" min="32" max="32" width="1.13"/>
    <col collapsed="1" customWidth="1" min="33" max="33" width="4.5"/>
    <col customWidth="1" hidden="1" min="34" max="34" width="8.88" outlineLevel="1"/>
    <col customWidth="1" hidden="1" min="35" max="35" width="25.5" outlineLevel="1"/>
    <col customWidth="1" hidden="1" min="36" max="36" width="71.38" outlineLevel="1"/>
    <col customWidth="1" hidden="1" min="37" max="37" width="8.88" outlineLevel="1"/>
  </cols>
  <sheetData>
    <row r="1" ht="9.75" customHeight="1">
      <c r="A1" s="1055" t="s">
        <v>758</v>
      </c>
      <c r="B1" s="1056"/>
      <c r="C1" s="1057" t="s">
        <v>759</v>
      </c>
      <c r="D1" s="1058" t="s">
        <v>759</v>
      </c>
      <c r="J1" s="1059"/>
      <c r="K1" s="1057" t="s">
        <v>760</v>
      </c>
      <c r="L1" s="1058" t="s">
        <v>760</v>
      </c>
      <c r="R1" s="1059"/>
      <c r="S1" s="1060" t="s">
        <v>761</v>
      </c>
      <c r="T1" s="1058" t="s">
        <v>761</v>
      </c>
      <c r="Y1" s="1059"/>
      <c r="Z1" s="1060" t="s">
        <v>762</v>
      </c>
      <c r="AA1" s="1058" t="s">
        <v>762</v>
      </c>
      <c r="AF1" s="1059"/>
      <c r="AG1" s="1060" t="s">
        <v>763</v>
      </c>
      <c r="AH1" s="1058" t="s">
        <v>763</v>
      </c>
    </row>
    <row r="2" ht="15.75" customHeight="1">
      <c r="B2" s="1056"/>
      <c r="J2" s="1059"/>
      <c r="R2" s="1059"/>
      <c r="Y2" s="1059"/>
      <c r="AF2" s="1059"/>
    </row>
    <row r="3" ht="6.0" customHeight="1">
      <c r="A3" s="1056"/>
      <c r="B3" s="1056"/>
      <c r="D3" s="678"/>
      <c r="E3" s="678"/>
      <c r="F3" s="678"/>
      <c r="G3" s="1061"/>
      <c r="H3" s="678"/>
      <c r="I3" s="678"/>
      <c r="J3" s="1059"/>
      <c r="L3" s="678"/>
      <c r="M3" s="678"/>
      <c r="N3" s="678"/>
      <c r="O3" s="1061"/>
      <c r="P3" s="678"/>
      <c r="Q3" s="678"/>
      <c r="R3" s="1059"/>
      <c r="T3" s="1062"/>
      <c r="U3" s="1062"/>
      <c r="V3" s="1062"/>
      <c r="W3" s="1062"/>
      <c r="X3" s="1062"/>
      <c r="Y3" s="1059"/>
      <c r="AA3" s="1062"/>
      <c r="AB3" s="1062"/>
      <c r="AC3" s="1062"/>
      <c r="AD3" s="1062"/>
      <c r="AE3" s="1062"/>
      <c r="AF3" s="1059"/>
      <c r="AH3" s="1062"/>
      <c r="AI3" s="1062"/>
      <c r="AJ3" s="1062"/>
      <c r="AK3" s="1062"/>
    </row>
    <row r="4">
      <c r="A4" s="1055" t="s">
        <v>764</v>
      </c>
      <c r="B4" s="1056"/>
      <c r="D4" s="648" t="s">
        <v>765</v>
      </c>
      <c r="E4" s="648" t="s">
        <v>766</v>
      </c>
      <c r="F4" s="648" t="s">
        <v>767</v>
      </c>
      <c r="G4" s="1063" t="s">
        <v>768</v>
      </c>
      <c r="H4" s="648" t="s">
        <v>769</v>
      </c>
      <c r="I4" s="648" t="s">
        <v>770</v>
      </c>
      <c r="J4" s="1059"/>
      <c r="L4" s="648" t="s">
        <v>765</v>
      </c>
      <c r="M4" s="648" t="s">
        <v>766</v>
      </c>
      <c r="N4" s="648" t="s">
        <v>767</v>
      </c>
      <c r="O4" s="1063" t="s">
        <v>768</v>
      </c>
      <c r="P4" s="648" t="s">
        <v>769</v>
      </c>
      <c r="Q4" s="648" t="s">
        <v>770</v>
      </c>
      <c r="R4" s="1059"/>
      <c r="T4" s="1064" t="s">
        <v>765</v>
      </c>
      <c r="U4" s="1064" t="s">
        <v>767</v>
      </c>
      <c r="V4" s="1064" t="s">
        <v>771</v>
      </c>
      <c r="W4" s="1064" t="s">
        <v>768</v>
      </c>
      <c r="X4" s="1064" t="s">
        <v>431</v>
      </c>
      <c r="Y4" s="1059"/>
      <c r="AA4" s="1064" t="s">
        <v>765</v>
      </c>
      <c r="AB4" s="1064" t="s">
        <v>767</v>
      </c>
      <c r="AC4" s="1064" t="s">
        <v>771</v>
      </c>
      <c r="AD4" s="1064" t="s">
        <v>768</v>
      </c>
      <c r="AE4" s="1064" t="s">
        <v>431</v>
      </c>
      <c r="AF4" s="1059"/>
      <c r="AH4" s="1064" t="s">
        <v>391</v>
      </c>
      <c r="AI4" s="1064" t="s">
        <v>765</v>
      </c>
      <c r="AJ4" s="1064" t="s">
        <v>768</v>
      </c>
      <c r="AK4" s="1064" t="s">
        <v>431</v>
      </c>
    </row>
    <row r="5">
      <c r="A5" s="1053">
        <f>'config.parâmetros'!B36</f>
        <v>2021</v>
      </c>
      <c r="B5" s="1056"/>
      <c r="D5" s="1065"/>
      <c r="E5" s="1065"/>
      <c r="F5" s="1065"/>
      <c r="G5" s="1066"/>
      <c r="H5" s="1065"/>
      <c r="I5" s="1067"/>
      <c r="J5" s="1068"/>
      <c r="L5" s="1065"/>
      <c r="M5" s="1065"/>
      <c r="N5" s="1065"/>
      <c r="O5" s="1066"/>
      <c r="P5" s="1065"/>
      <c r="Q5" s="1067"/>
      <c r="R5" s="1068"/>
      <c r="T5" s="1065"/>
      <c r="U5" s="1065"/>
      <c r="V5" s="1065"/>
      <c r="W5" s="1065"/>
      <c r="X5" s="1065"/>
      <c r="Y5" s="1068"/>
      <c r="AA5" s="1065"/>
      <c r="AB5" s="1065"/>
      <c r="AC5" s="1065"/>
      <c r="AD5" s="1065"/>
      <c r="AE5" s="1067"/>
      <c r="AF5" s="1068"/>
      <c r="AH5" s="1069"/>
      <c r="AI5" s="1065"/>
      <c r="AJ5" s="1065"/>
      <c r="AK5" s="1067"/>
    </row>
    <row r="6">
      <c r="A6" s="1054" t="s">
        <v>757</v>
      </c>
      <c r="B6" s="1056"/>
      <c r="D6" s="1065"/>
      <c r="E6" s="1065"/>
      <c r="F6" s="1065"/>
      <c r="G6" s="1066"/>
      <c r="H6" s="1065"/>
      <c r="I6" s="1067"/>
      <c r="J6" s="1056"/>
      <c r="L6" s="1065"/>
      <c r="M6" s="1065"/>
      <c r="N6" s="1065"/>
      <c r="O6" s="1066"/>
      <c r="P6" s="1065"/>
      <c r="Q6" s="1067"/>
      <c r="R6" s="1056"/>
      <c r="T6" s="1065"/>
      <c r="U6" s="1065"/>
      <c r="V6" s="1065"/>
      <c r="W6" s="1065"/>
      <c r="X6" s="1065"/>
      <c r="Y6" s="1068"/>
      <c r="AA6" s="1065"/>
      <c r="AB6" s="1065"/>
      <c r="AC6" s="1065"/>
      <c r="AD6" s="1065"/>
      <c r="AE6" s="1067"/>
      <c r="AF6" s="1068"/>
      <c r="AH6" s="1069"/>
      <c r="AI6" s="1065"/>
      <c r="AJ6" s="1065"/>
      <c r="AK6" s="1067"/>
    </row>
    <row r="7">
      <c r="A7" s="653"/>
      <c r="B7" s="1056"/>
      <c r="D7" s="1065"/>
      <c r="E7" s="1065"/>
      <c r="F7" s="1065"/>
      <c r="G7" s="1066"/>
      <c r="H7" s="1065"/>
      <c r="I7" s="1067"/>
      <c r="J7" s="1068"/>
      <c r="L7" s="1065"/>
      <c r="M7" s="1065"/>
      <c r="N7" s="1065"/>
      <c r="O7" s="1066"/>
      <c r="P7" s="1065"/>
      <c r="Q7" s="1067"/>
      <c r="R7" s="1068"/>
      <c r="T7" s="1065"/>
      <c r="U7" s="1065"/>
      <c r="V7" s="1065"/>
      <c r="W7" s="1065"/>
      <c r="X7" s="1065"/>
      <c r="Y7" s="1068"/>
      <c r="AA7" s="1065"/>
      <c r="AB7" s="1065"/>
      <c r="AC7" s="1065"/>
      <c r="AD7" s="1065"/>
      <c r="AE7" s="1067"/>
      <c r="AF7" s="1068"/>
      <c r="AH7" s="1069"/>
      <c r="AI7" s="1065"/>
      <c r="AJ7" s="1065"/>
      <c r="AK7" s="1067"/>
    </row>
    <row r="8">
      <c r="A8" s="653"/>
      <c r="B8" s="1056"/>
      <c r="D8" s="1065"/>
      <c r="E8" s="1065"/>
      <c r="F8" s="1065"/>
      <c r="G8" s="1066"/>
      <c r="H8" s="1065"/>
      <c r="I8" s="1067"/>
      <c r="J8" s="1068"/>
      <c r="L8" s="1065"/>
      <c r="M8" s="1065"/>
      <c r="N8" s="1065"/>
      <c r="O8" s="1066"/>
      <c r="P8" s="1065"/>
      <c r="Q8" s="1067"/>
      <c r="R8" s="1068"/>
      <c r="T8" s="1065"/>
      <c r="U8" s="1065"/>
      <c r="V8" s="1065"/>
      <c r="W8" s="1065"/>
      <c r="X8" s="1065"/>
      <c r="Y8" s="1068"/>
      <c r="AA8" s="1065"/>
      <c r="AB8" s="1065"/>
      <c r="AC8" s="1065"/>
      <c r="AD8" s="1065"/>
      <c r="AE8" s="1067"/>
      <c r="AF8" s="1068"/>
      <c r="AH8" s="1069"/>
      <c r="AI8" s="1065"/>
      <c r="AJ8" s="1065"/>
      <c r="AK8" s="1067"/>
    </row>
    <row r="9">
      <c r="A9" s="653"/>
      <c r="B9" s="1056"/>
      <c r="D9" s="1065"/>
      <c r="E9" s="1065"/>
      <c r="F9" s="1065"/>
      <c r="G9" s="1066"/>
      <c r="H9" s="1065"/>
      <c r="I9" s="1067"/>
      <c r="J9" s="1068"/>
      <c r="L9" s="1065"/>
      <c r="M9" s="1065"/>
      <c r="N9" s="1065"/>
      <c r="O9" s="1066"/>
      <c r="P9" s="1065"/>
      <c r="Q9" s="1067"/>
      <c r="R9" s="1068"/>
      <c r="T9" s="1065"/>
      <c r="U9" s="1065"/>
      <c r="V9" s="1065"/>
      <c r="W9" s="1065"/>
      <c r="X9" s="1065"/>
      <c r="Y9" s="1068"/>
      <c r="AA9" s="1065"/>
      <c r="AB9" s="1065"/>
      <c r="AC9" s="1065"/>
      <c r="AD9" s="1065"/>
      <c r="AE9" s="1067"/>
      <c r="AF9" s="1068"/>
      <c r="AH9" s="1069"/>
      <c r="AI9" s="1065"/>
      <c r="AJ9" s="1065"/>
      <c r="AK9" s="1067"/>
    </row>
    <row r="10">
      <c r="A10" s="653"/>
      <c r="B10" s="1056"/>
      <c r="D10" s="1065"/>
      <c r="E10" s="1065"/>
      <c r="F10" s="1065"/>
      <c r="G10" s="1066"/>
      <c r="H10" s="1065"/>
      <c r="I10" s="1067"/>
      <c r="J10" s="1068"/>
      <c r="L10" s="1065"/>
      <c r="M10" s="1065"/>
      <c r="N10" s="1065"/>
      <c r="O10" s="1066"/>
      <c r="P10" s="1065"/>
      <c r="Q10" s="1067"/>
      <c r="R10" s="1068"/>
      <c r="T10" s="1065"/>
      <c r="U10" s="1065"/>
      <c r="V10" s="1065"/>
      <c r="W10" s="1065"/>
      <c r="X10" s="1065"/>
      <c r="Y10" s="1068"/>
      <c r="AA10" s="1065"/>
      <c r="AB10" s="1065"/>
      <c r="AC10" s="1065"/>
      <c r="AD10" s="1065"/>
      <c r="AE10" s="1067"/>
      <c r="AF10" s="1068"/>
      <c r="AH10" s="1069"/>
      <c r="AI10" s="1065"/>
      <c r="AJ10" s="1065"/>
      <c r="AK10" s="1067"/>
    </row>
    <row r="11">
      <c r="A11" s="653"/>
      <c r="B11" s="1056"/>
      <c r="D11" s="1065"/>
      <c r="E11" s="1065"/>
      <c r="F11" s="1065"/>
      <c r="G11" s="1066"/>
      <c r="H11" s="1065"/>
      <c r="I11" s="1067"/>
      <c r="J11" s="1068"/>
      <c r="L11" s="1065"/>
      <c r="M11" s="1065"/>
      <c r="N11" s="1065"/>
      <c r="O11" s="1066"/>
      <c r="P11" s="1065"/>
      <c r="Q11" s="1067"/>
      <c r="R11" s="1068"/>
      <c r="T11" s="1065"/>
      <c r="U11" s="1065"/>
      <c r="V11" s="1065"/>
      <c r="W11" s="1065"/>
      <c r="X11" s="1065"/>
      <c r="Y11" s="1068"/>
      <c r="AA11" s="1065"/>
      <c r="AB11" s="1065"/>
      <c r="AC11" s="1065"/>
      <c r="AD11" s="1065"/>
      <c r="AE11" s="1067"/>
      <c r="AF11" s="1068"/>
      <c r="AH11" s="1069"/>
      <c r="AI11" s="1065"/>
      <c r="AJ11" s="1065"/>
      <c r="AK11" s="1067"/>
    </row>
    <row r="12">
      <c r="A12" s="653"/>
      <c r="B12" s="1056"/>
      <c r="C12" s="1070"/>
      <c r="D12" s="1065"/>
      <c r="E12" s="1065"/>
      <c r="F12" s="1065"/>
      <c r="G12" s="1066"/>
      <c r="H12" s="1065"/>
      <c r="I12" s="1067"/>
      <c r="J12" s="1068"/>
      <c r="K12" s="1070"/>
      <c r="L12" s="1065"/>
      <c r="M12" s="1065"/>
      <c r="N12" s="1065"/>
      <c r="O12" s="1066"/>
      <c r="P12" s="1065"/>
      <c r="Q12" s="1067"/>
      <c r="R12" s="1068"/>
      <c r="S12" s="1071"/>
      <c r="T12" s="1065"/>
      <c r="U12" s="1065"/>
      <c r="V12" s="1065"/>
      <c r="W12" s="1065"/>
      <c r="X12" s="1065"/>
      <c r="Y12" s="1068"/>
      <c r="Z12" s="1071"/>
      <c r="AA12" s="1065"/>
      <c r="AB12" s="1065"/>
      <c r="AC12" s="1065"/>
      <c r="AD12" s="1065"/>
      <c r="AE12" s="1067"/>
      <c r="AF12" s="1068"/>
      <c r="AG12" s="1071"/>
      <c r="AH12" s="1069"/>
      <c r="AI12" s="1065"/>
      <c r="AJ12" s="1065"/>
      <c r="AK12" s="1067"/>
    </row>
    <row r="13">
      <c r="A13" s="653"/>
      <c r="B13" s="1056"/>
      <c r="C13" s="1070"/>
      <c r="D13" s="1065"/>
      <c r="E13" s="1065"/>
      <c r="F13" s="1065"/>
      <c r="G13" s="1066"/>
      <c r="H13" s="1065"/>
      <c r="I13" s="1067"/>
      <c r="J13" s="1068"/>
      <c r="K13" s="1070"/>
      <c r="L13" s="1065"/>
      <c r="M13" s="1065"/>
      <c r="N13" s="1065"/>
      <c r="O13" s="1066"/>
      <c r="P13" s="1065"/>
      <c r="Q13" s="1067"/>
      <c r="R13" s="1068"/>
      <c r="S13" s="1071"/>
      <c r="T13" s="1065"/>
      <c r="U13" s="1065"/>
      <c r="V13" s="1065"/>
      <c r="W13" s="1065"/>
      <c r="X13" s="1065"/>
      <c r="Y13" s="1068"/>
      <c r="Z13" s="1071"/>
      <c r="AA13" s="1065"/>
      <c r="AB13" s="1065"/>
      <c r="AC13" s="1065"/>
      <c r="AD13" s="1065"/>
      <c r="AE13" s="1067"/>
      <c r="AF13" s="1068"/>
      <c r="AG13" s="1071"/>
      <c r="AH13" s="1069"/>
      <c r="AI13" s="1065"/>
      <c r="AJ13" s="1065"/>
      <c r="AK13" s="1067"/>
    </row>
    <row r="14">
      <c r="A14" s="1056"/>
      <c r="B14" s="1056"/>
      <c r="C14" s="1070"/>
      <c r="D14" s="1065"/>
      <c r="E14" s="1065"/>
      <c r="F14" s="1065"/>
      <c r="G14" s="1066"/>
      <c r="H14" s="1067"/>
      <c r="I14" s="1067"/>
      <c r="J14" s="1072"/>
      <c r="K14" s="1070"/>
      <c r="L14" s="1065"/>
      <c r="M14" s="1065"/>
      <c r="N14" s="1065"/>
      <c r="O14" s="1066"/>
      <c r="P14" s="1067"/>
      <c r="Q14" s="1067"/>
      <c r="R14" s="1072"/>
      <c r="S14" s="1073"/>
      <c r="T14" s="1065"/>
      <c r="U14" s="1065"/>
      <c r="V14" s="1065"/>
      <c r="W14" s="1065"/>
      <c r="X14" s="1067"/>
      <c r="Y14" s="1072"/>
      <c r="Z14" s="1073"/>
      <c r="AA14" s="1065"/>
      <c r="AB14" s="1065"/>
      <c r="AC14" s="1065"/>
      <c r="AD14" s="1065"/>
      <c r="AE14" s="1067"/>
      <c r="AF14" s="1072"/>
      <c r="AG14" s="1073"/>
      <c r="AH14" s="1069"/>
      <c r="AI14" s="1065"/>
      <c r="AJ14" s="1065"/>
      <c r="AK14" s="1067"/>
    </row>
    <row r="15">
      <c r="A15" s="1056"/>
      <c r="B15" s="1056"/>
      <c r="C15" s="1070"/>
      <c r="D15" s="1065"/>
      <c r="E15" s="1065"/>
      <c r="F15" s="1065"/>
      <c r="G15" s="1066"/>
      <c r="H15" s="1067"/>
      <c r="I15" s="1067"/>
      <c r="J15" s="1072"/>
      <c r="K15" s="1070"/>
      <c r="L15" s="1065"/>
      <c r="M15" s="1065"/>
      <c r="N15" s="1065"/>
      <c r="O15" s="1066"/>
      <c r="P15" s="1067"/>
      <c r="Q15" s="1067"/>
      <c r="R15" s="1072"/>
      <c r="S15" s="1073"/>
      <c r="T15" s="1065"/>
      <c r="U15" s="1065"/>
      <c r="V15" s="1065"/>
      <c r="W15" s="1065"/>
      <c r="X15" s="1067"/>
      <c r="Y15" s="1072"/>
      <c r="Z15" s="1073"/>
      <c r="AA15" s="1065"/>
      <c r="AB15" s="1065"/>
      <c r="AC15" s="1065"/>
      <c r="AD15" s="1065"/>
      <c r="AE15" s="1067"/>
      <c r="AF15" s="1072"/>
      <c r="AG15" s="1073"/>
      <c r="AH15" s="1069"/>
      <c r="AI15" s="1065"/>
      <c r="AJ15" s="1065"/>
      <c r="AK15" s="1067"/>
    </row>
    <row r="16">
      <c r="A16" s="1056"/>
      <c r="B16" s="1056"/>
      <c r="C16" s="1070"/>
      <c r="D16" s="1065"/>
      <c r="E16" s="1065"/>
      <c r="F16" s="1065"/>
      <c r="G16" s="1066"/>
      <c r="H16" s="1067"/>
      <c r="I16" s="1067"/>
      <c r="J16" s="1072"/>
      <c r="K16" s="1070"/>
      <c r="L16" s="1065"/>
      <c r="M16" s="1065"/>
      <c r="N16" s="1065"/>
      <c r="O16" s="1066"/>
      <c r="P16" s="1067"/>
      <c r="Q16" s="1067"/>
      <c r="R16" s="1072"/>
      <c r="S16" s="1073"/>
      <c r="T16" s="1065"/>
      <c r="U16" s="1065"/>
      <c r="V16" s="1065"/>
      <c r="W16" s="1065"/>
      <c r="X16" s="1067"/>
      <c r="Y16" s="1072"/>
      <c r="Z16" s="1073"/>
      <c r="AA16" s="1065"/>
      <c r="AB16" s="1065"/>
      <c r="AC16" s="1065"/>
      <c r="AD16" s="1065"/>
      <c r="AE16" s="1067"/>
      <c r="AF16" s="1072"/>
      <c r="AG16" s="1073"/>
      <c r="AH16" s="1069"/>
      <c r="AI16" s="1065"/>
      <c r="AJ16" s="1065"/>
      <c r="AK16" s="1067"/>
    </row>
    <row r="17">
      <c r="A17" s="1056"/>
      <c r="B17" s="1056"/>
      <c r="C17" s="1070"/>
      <c r="D17" s="1065"/>
      <c r="E17" s="1065"/>
      <c r="F17" s="1065"/>
      <c r="G17" s="1066"/>
      <c r="H17" s="1067"/>
      <c r="I17" s="1067"/>
      <c r="J17" s="1072"/>
      <c r="K17" s="1070"/>
      <c r="L17" s="1065"/>
      <c r="M17" s="1065"/>
      <c r="N17" s="1065"/>
      <c r="O17" s="1066"/>
      <c r="P17" s="1067"/>
      <c r="Q17" s="1067"/>
      <c r="R17" s="1072"/>
      <c r="S17" s="1073"/>
      <c r="T17" s="1065"/>
      <c r="U17" s="1065"/>
      <c r="V17" s="1065"/>
      <c r="W17" s="1065"/>
      <c r="X17" s="1067"/>
      <c r="Y17" s="1072"/>
      <c r="Z17" s="1073"/>
      <c r="AA17" s="1065"/>
      <c r="AB17" s="1065"/>
      <c r="AC17" s="1065"/>
      <c r="AD17" s="1065"/>
      <c r="AE17" s="1067"/>
      <c r="AF17" s="1072"/>
      <c r="AG17" s="1073"/>
      <c r="AH17" s="1074"/>
      <c r="AI17" s="1074"/>
      <c r="AJ17" s="1074"/>
      <c r="AK17" s="1074"/>
    </row>
    <row r="18">
      <c r="A18" s="1056"/>
      <c r="B18" s="1056"/>
      <c r="C18" s="1070"/>
      <c r="D18" s="1065"/>
      <c r="E18" s="1065"/>
      <c r="F18" s="1065"/>
      <c r="G18" s="1066"/>
      <c r="H18" s="1067"/>
      <c r="I18" s="1067"/>
      <c r="J18" s="1072"/>
      <c r="K18" s="1070"/>
      <c r="L18" s="1065"/>
      <c r="M18" s="1065"/>
      <c r="N18" s="1065"/>
      <c r="O18" s="1066"/>
      <c r="P18" s="1067"/>
      <c r="Q18" s="1067"/>
      <c r="R18" s="1072"/>
      <c r="S18" s="1073"/>
      <c r="T18" s="1065"/>
      <c r="U18" s="1065"/>
      <c r="V18" s="1065"/>
      <c r="W18" s="1065"/>
      <c r="X18" s="1067"/>
      <c r="Y18" s="1072"/>
      <c r="Z18" s="1073"/>
      <c r="AA18" s="1065"/>
      <c r="AB18" s="1065"/>
      <c r="AC18" s="1065"/>
      <c r="AD18" s="1065"/>
      <c r="AE18" s="1067"/>
      <c r="AF18" s="1072"/>
      <c r="AG18" s="1073"/>
      <c r="AH18" s="1074"/>
      <c r="AI18" s="1074"/>
      <c r="AJ18" s="1074"/>
      <c r="AK18" s="1074"/>
    </row>
    <row r="19">
      <c r="A19" s="1056"/>
      <c r="B19" s="1056"/>
      <c r="C19" s="1070"/>
      <c r="D19" s="1065"/>
      <c r="E19" s="1065"/>
      <c r="F19" s="1065"/>
      <c r="G19" s="1066"/>
      <c r="H19" s="1067"/>
      <c r="I19" s="1067"/>
      <c r="J19" s="1072"/>
      <c r="K19" s="1070"/>
      <c r="L19" s="1065"/>
      <c r="M19" s="1065"/>
      <c r="N19" s="1065"/>
      <c r="O19" s="1066"/>
      <c r="P19" s="1067"/>
      <c r="Q19" s="1067"/>
      <c r="R19" s="1072"/>
      <c r="S19" s="1073"/>
      <c r="T19" s="1065"/>
      <c r="U19" s="1065"/>
      <c r="V19" s="1065"/>
      <c r="W19" s="1065"/>
      <c r="X19" s="1067"/>
      <c r="Y19" s="1072"/>
      <c r="Z19" s="1073"/>
      <c r="AA19" s="1065"/>
      <c r="AB19" s="1065"/>
      <c r="AC19" s="1065"/>
      <c r="AD19" s="1065"/>
      <c r="AE19" s="1067"/>
      <c r="AF19" s="1072"/>
      <c r="AG19" s="1073"/>
      <c r="AH19" s="1074"/>
      <c r="AI19" s="1074"/>
      <c r="AJ19" s="1074"/>
      <c r="AK19" s="1074"/>
    </row>
    <row r="20">
      <c r="A20" s="1056"/>
      <c r="B20" s="1056"/>
      <c r="C20" s="1070"/>
      <c r="D20" s="1065"/>
      <c r="E20" s="1065"/>
      <c r="F20" s="1065"/>
      <c r="G20" s="1066"/>
      <c r="H20" s="1067"/>
      <c r="I20" s="1067"/>
      <c r="J20" s="1072"/>
      <c r="K20" s="1070"/>
      <c r="L20" s="1065"/>
      <c r="M20" s="1065"/>
      <c r="N20" s="1065"/>
      <c r="O20" s="1066"/>
      <c r="P20" s="1067"/>
      <c r="Q20" s="1067"/>
      <c r="R20" s="1072"/>
      <c r="S20" s="1073"/>
      <c r="T20" s="1065"/>
      <c r="U20" s="1065"/>
      <c r="V20" s="1065"/>
      <c r="W20" s="1065"/>
      <c r="X20" s="1067"/>
      <c r="Y20" s="1072"/>
      <c r="Z20" s="1073"/>
      <c r="AA20" s="1065"/>
      <c r="AB20" s="1065"/>
      <c r="AC20" s="1065"/>
      <c r="AD20" s="1065"/>
      <c r="AE20" s="1067"/>
      <c r="AF20" s="1072"/>
      <c r="AG20" s="1073"/>
      <c r="AH20" s="1074"/>
      <c r="AI20" s="1074"/>
      <c r="AJ20" s="1074"/>
      <c r="AK20" s="1074"/>
    </row>
    <row r="21">
      <c r="A21" s="1056"/>
      <c r="B21" s="1056"/>
      <c r="C21" s="1070"/>
      <c r="D21" s="1065"/>
      <c r="E21" s="1065"/>
      <c r="F21" s="1065"/>
      <c r="G21" s="1066"/>
      <c r="H21" s="1067"/>
      <c r="I21" s="1067"/>
      <c r="J21" s="1072"/>
      <c r="K21" s="1070"/>
      <c r="L21" s="1065"/>
      <c r="M21" s="1065"/>
      <c r="N21" s="1065"/>
      <c r="O21" s="1066"/>
      <c r="P21" s="1067"/>
      <c r="Q21" s="1067"/>
      <c r="R21" s="1072"/>
      <c r="S21" s="1073"/>
      <c r="T21" s="1065"/>
      <c r="U21" s="1065"/>
      <c r="V21" s="1065"/>
      <c r="W21" s="1065"/>
      <c r="X21" s="1067"/>
      <c r="Y21" s="1072"/>
      <c r="Z21" s="1073"/>
      <c r="AA21" s="1065"/>
      <c r="AB21" s="1065"/>
      <c r="AC21" s="1065"/>
      <c r="AD21" s="1065"/>
      <c r="AE21" s="1067"/>
      <c r="AF21" s="1072"/>
      <c r="AG21" s="1073"/>
      <c r="AH21" s="1074"/>
      <c r="AI21" s="1074"/>
      <c r="AJ21" s="1074"/>
      <c r="AK21" s="1074"/>
    </row>
    <row r="22">
      <c r="A22" s="1056"/>
      <c r="B22" s="1056"/>
      <c r="C22" s="1070"/>
      <c r="D22" s="1065"/>
      <c r="E22" s="1065"/>
      <c r="F22" s="1065"/>
      <c r="G22" s="1066"/>
      <c r="H22" s="1067"/>
      <c r="I22" s="1067"/>
      <c r="J22" s="1072"/>
      <c r="K22" s="1070"/>
      <c r="L22" s="1065"/>
      <c r="M22" s="1065"/>
      <c r="N22" s="1065"/>
      <c r="O22" s="1066"/>
      <c r="P22" s="1067"/>
      <c r="Q22" s="1067"/>
      <c r="R22" s="1072"/>
      <c r="S22" s="1073"/>
      <c r="T22" s="1065"/>
      <c r="U22" s="1065"/>
      <c r="V22" s="1065"/>
      <c r="W22" s="1065"/>
      <c r="X22" s="1067"/>
      <c r="Y22" s="1072"/>
      <c r="Z22" s="1073"/>
      <c r="AA22" s="1065"/>
      <c r="AB22" s="1065"/>
      <c r="AC22" s="1065"/>
      <c r="AD22" s="1065"/>
      <c r="AE22" s="1067"/>
      <c r="AF22" s="1072"/>
      <c r="AG22" s="1073"/>
      <c r="AH22" s="1074"/>
      <c r="AI22" s="1074"/>
      <c r="AJ22" s="1074"/>
      <c r="AK22" s="1074"/>
    </row>
    <row r="23">
      <c r="A23" s="1056"/>
      <c r="B23" s="1056"/>
      <c r="C23" s="1070"/>
      <c r="D23" s="1065"/>
      <c r="E23" s="1065"/>
      <c r="F23" s="1065"/>
      <c r="G23" s="1066"/>
      <c r="H23" s="1067"/>
      <c r="I23" s="1067"/>
      <c r="J23" s="1072"/>
      <c r="K23" s="1070"/>
      <c r="L23" s="1065"/>
      <c r="M23" s="1065"/>
      <c r="N23" s="1065"/>
      <c r="O23" s="1066"/>
      <c r="P23" s="1067"/>
      <c r="Q23" s="1067"/>
      <c r="R23" s="1072"/>
      <c r="S23" s="1073"/>
      <c r="T23" s="1065"/>
      <c r="U23" s="1065"/>
      <c r="V23" s="1065"/>
      <c r="W23" s="1065"/>
      <c r="X23" s="1067"/>
      <c r="Y23" s="1072"/>
      <c r="Z23" s="1073"/>
      <c r="AA23" s="1065"/>
      <c r="AB23" s="1065"/>
      <c r="AC23" s="1065"/>
      <c r="AD23" s="1065"/>
      <c r="AE23" s="1067"/>
      <c r="AF23" s="1072"/>
      <c r="AG23" s="1073"/>
      <c r="AH23" s="1074"/>
      <c r="AI23" s="1074"/>
      <c r="AJ23" s="1074"/>
      <c r="AK23" s="1074"/>
    </row>
    <row r="24">
      <c r="A24" s="1056"/>
      <c r="B24" s="1056"/>
      <c r="C24" s="1070"/>
      <c r="D24" s="1065"/>
      <c r="E24" s="1065"/>
      <c r="F24" s="1065"/>
      <c r="G24" s="1066"/>
      <c r="H24" s="1067"/>
      <c r="I24" s="1067"/>
      <c r="J24" s="1072"/>
      <c r="K24" s="1070"/>
      <c r="L24" s="1065"/>
      <c r="M24" s="1065"/>
      <c r="N24" s="1065"/>
      <c r="O24" s="1066"/>
      <c r="P24" s="1067"/>
      <c r="Q24" s="1067"/>
      <c r="R24" s="1072"/>
      <c r="S24" s="1073"/>
      <c r="T24" s="1065"/>
      <c r="U24" s="1065"/>
      <c r="V24" s="1065"/>
      <c r="W24" s="1065"/>
      <c r="X24" s="1067"/>
      <c r="Y24" s="1072"/>
      <c r="Z24" s="1073"/>
      <c r="AA24" s="1065"/>
      <c r="AB24" s="1065"/>
      <c r="AC24" s="1065"/>
      <c r="AD24" s="1065"/>
      <c r="AE24" s="1067"/>
      <c r="AF24" s="1072"/>
      <c r="AG24" s="1073"/>
      <c r="AH24" s="1074"/>
      <c r="AI24" s="1074"/>
      <c r="AJ24" s="1074"/>
      <c r="AK24" s="1074"/>
    </row>
    <row r="25">
      <c r="A25" s="1056"/>
      <c r="B25" s="1056"/>
      <c r="C25" s="1070"/>
      <c r="D25" s="1065"/>
      <c r="E25" s="1065"/>
      <c r="F25" s="1065"/>
      <c r="G25" s="1066"/>
      <c r="H25" s="1067"/>
      <c r="I25" s="1067"/>
      <c r="J25" s="1072"/>
      <c r="K25" s="1070"/>
      <c r="L25" s="1065"/>
      <c r="M25" s="1065"/>
      <c r="N25" s="1065"/>
      <c r="O25" s="1066"/>
      <c r="P25" s="1067"/>
      <c r="Q25" s="1067"/>
      <c r="R25" s="1072"/>
      <c r="S25" s="1073"/>
      <c r="T25" s="1065"/>
      <c r="U25" s="1065"/>
      <c r="V25" s="1065"/>
      <c r="W25" s="1065"/>
      <c r="X25" s="1067"/>
      <c r="Y25" s="1072"/>
      <c r="Z25" s="1073"/>
      <c r="AA25" s="1065"/>
      <c r="AB25" s="1065"/>
      <c r="AC25" s="1065"/>
      <c r="AD25" s="1065"/>
      <c r="AE25" s="1067"/>
      <c r="AF25" s="1072"/>
      <c r="AG25" s="1073"/>
      <c r="AH25" s="1074"/>
      <c r="AI25" s="1074"/>
      <c r="AJ25" s="1074"/>
      <c r="AK25" s="1074"/>
    </row>
    <row r="26">
      <c r="A26" s="1056"/>
      <c r="B26" s="1056"/>
      <c r="C26" s="1070"/>
      <c r="D26" s="1065"/>
      <c r="E26" s="1065"/>
      <c r="F26" s="1065"/>
      <c r="G26" s="1066"/>
      <c r="H26" s="1067"/>
      <c r="I26" s="1067"/>
      <c r="J26" s="1072"/>
      <c r="K26" s="1070"/>
      <c r="L26" s="1065"/>
      <c r="M26" s="1065"/>
      <c r="N26" s="1065"/>
      <c r="O26" s="1066"/>
      <c r="P26" s="1067"/>
      <c r="Q26" s="1067"/>
      <c r="R26" s="1072"/>
      <c r="S26" s="1073"/>
      <c r="T26" s="1065"/>
      <c r="U26" s="1065"/>
      <c r="V26" s="1065"/>
      <c r="W26" s="1065"/>
      <c r="X26" s="1067"/>
      <c r="Y26" s="1072"/>
      <c r="Z26" s="1073"/>
      <c r="AA26" s="1065"/>
      <c r="AB26" s="1065"/>
      <c r="AC26" s="1065"/>
      <c r="AD26" s="1065"/>
      <c r="AE26" s="1067"/>
      <c r="AF26" s="1072"/>
      <c r="AG26" s="1073"/>
      <c r="AH26" s="1074"/>
      <c r="AI26" s="1074"/>
      <c r="AJ26" s="1074"/>
      <c r="AK26" s="1074"/>
    </row>
    <row r="27">
      <c r="A27" s="1056"/>
      <c r="B27" s="1056"/>
      <c r="C27" s="1070"/>
      <c r="D27" s="1065"/>
      <c r="E27" s="1065"/>
      <c r="F27" s="1065"/>
      <c r="G27" s="1066"/>
      <c r="H27" s="1067"/>
      <c r="I27" s="1067"/>
      <c r="J27" s="1072"/>
      <c r="K27" s="1070"/>
      <c r="L27" s="1065"/>
      <c r="M27" s="1065"/>
      <c r="N27" s="1065"/>
      <c r="O27" s="1066"/>
      <c r="P27" s="1067"/>
      <c r="Q27" s="1067"/>
      <c r="R27" s="1072"/>
      <c r="S27" s="1073"/>
      <c r="T27" s="1065"/>
      <c r="U27" s="1065"/>
      <c r="V27" s="1065"/>
      <c r="W27" s="1065"/>
      <c r="X27" s="1067"/>
      <c r="Y27" s="1072"/>
      <c r="Z27" s="1073"/>
      <c r="AA27" s="1065"/>
      <c r="AB27" s="1065"/>
      <c r="AC27" s="1065"/>
      <c r="AD27" s="1065"/>
      <c r="AE27" s="1067"/>
      <c r="AF27" s="1072"/>
      <c r="AG27" s="1073"/>
      <c r="AH27" s="1074"/>
      <c r="AI27" s="1074"/>
      <c r="AJ27" s="1074"/>
      <c r="AK27" s="1074"/>
    </row>
    <row r="28">
      <c r="A28" s="1056"/>
      <c r="B28" s="1056"/>
      <c r="C28" s="1070"/>
      <c r="D28" s="1065"/>
      <c r="E28" s="1065"/>
      <c r="F28" s="1065"/>
      <c r="G28" s="1066"/>
      <c r="H28" s="1067"/>
      <c r="I28" s="1067"/>
      <c r="J28" s="1072"/>
      <c r="K28" s="1070"/>
      <c r="L28" s="1065"/>
      <c r="M28" s="1065"/>
      <c r="N28" s="1065"/>
      <c r="O28" s="1066"/>
      <c r="P28" s="1067"/>
      <c r="Q28" s="1067"/>
      <c r="R28" s="1072"/>
      <c r="S28" s="1073"/>
      <c r="T28" s="1065"/>
      <c r="U28" s="1065"/>
      <c r="V28" s="1065"/>
      <c r="W28" s="1065"/>
      <c r="X28" s="1067"/>
      <c r="Y28" s="1072"/>
      <c r="Z28" s="1073"/>
      <c r="AA28" s="1065"/>
      <c r="AB28" s="1065"/>
      <c r="AC28" s="1065"/>
      <c r="AD28" s="1065"/>
      <c r="AE28" s="1067"/>
      <c r="AF28" s="1072"/>
      <c r="AG28" s="1073"/>
      <c r="AH28" s="1074"/>
      <c r="AI28" s="1074"/>
      <c r="AJ28" s="1074"/>
      <c r="AK28" s="1074"/>
    </row>
    <row r="29">
      <c r="A29" s="1056"/>
      <c r="B29" s="1056"/>
      <c r="C29" s="1070"/>
      <c r="D29" s="1065"/>
      <c r="E29" s="1065"/>
      <c r="F29" s="1065"/>
      <c r="G29" s="1066"/>
      <c r="H29" s="1067"/>
      <c r="I29" s="1067"/>
      <c r="J29" s="1072"/>
      <c r="K29" s="1070"/>
      <c r="L29" s="1065"/>
      <c r="M29" s="1065"/>
      <c r="N29" s="1065"/>
      <c r="O29" s="1066"/>
      <c r="P29" s="1067"/>
      <c r="Q29" s="1067"/>
      <c r="R29" s="1072"/>
      <c r="S29" s="1073"/>
      <c r="T29" s="1065"/>
      <c r="U29" s="1065"/>
      <c r="V29" s="1065"/>
      <c r="W29" s="1065"/>
      <c r="X29" s="1067"/>
      <c r="Y29" s="1072"/>
      <c r="Z29" s="1073"/>
      <c r="AA29" s="1065"/>
      <c r="AB29" s="1065"/>
      <c r="AC29" s="1065"/>
      <c r="AD29" s="1065"/>
      <c r="AE29" s="1067"/>
      <c r="AF29" s="1072"/>
      <c r="AG29" s="1073"/>
      <c r="AH29" s="1074"/>
      <c r="AI29" s="1074"/>
      <c r="AJ29" s="1074"/>
      <c r="AK29" s="1074"/>
    </row>
    <row r="30">
      <c r="A30" s="1056"/>
      <c r="B30" s="1056"/>
      <c r="C30" s="1070"/>
      <c r="D30" s="1065"/>
      <c r="E30" s="1065"/>
      <c r="F30" s="1065"/>
      <c r="G30" s="1066"/>
      <c r="H30" s="1067"/>
      <c r="I30" s="1067"/>
      <c r="J30" s="1072"/>
      <c r="K30" s="1070"/>
      <c r="L30" s="1065"/>
      <c r="M30" s="1065"/>
      <c r="N30" s="1065"/>
      <c r="O30" s="1066"/>
      <c r="P30" s="1067"/>
      <c r="Q30" s="1067"/>
      <c r="R30" s="1072"/>
      <c r="S30" s="1073"/>
      <c r="T30" s="1065"/>
      <c r="U30" s="1065"/>
      <c r="V30" s="1065"/>
      <c r="W30" s="1065"/>
      <c r="X30" s="1067"/>
      <c r="Y30" s="1072"/>
      <c r="Z30" s="1073"/>
      <c r="AA30" s="1065"/>
      <c r="AB30" s="1065"/>
      <c r="AC30" s="1065"/>
      <c r="AD30" s="1065"/>
      <c r="AE30" s="1067"/>
      <c r="AF30" s="1072"/>
      <c r="AG30" s="1073"/>
      <c r="AH30" s="1074"/>
      <c r="AI30" s="1074"/>
      <c r="AJ30" s="1074"/>
      <c r="AK30" s="1074"/>
    </row>
    <row r="31">
      <c r="A31" s="1056"/>
      <c r="B31" s="1056"/>
      <c r="C31" s="1070"/>
      <c r="D31" s="1065"/>
      <c r="E31" s="1065"/>
      <c r="F31" s="1065"/>
      <c r="G31" s="1066"/>
      <c r="H31" s="1067"/>
      <c r="I31" s="1067"/>
      <c r="J31" s="1072"/>
      <c r="K31" s="1070"/>
      <c r="L31" s="1065"/>
      <c r="M31" s="1065"/>
      <c r="N31" s="1065"/>
      <c r="O31" s="1066"/>
      <c r="P31" s="1067"/>
      <c r="Q31" s="1067"/>
      <c r="R31" s="1072"/>
      <c r="S31" s="1073"/>
      <c r="T31" s="1065"/>
      <c r="U31" s="1065"/>
      <c r="V31" s="1065"/>
      <c r="W31" s="1065"/>
      <c r="X31" s="1067"/>
      <c r="Y31" s="1072"/>
      <c r="Z31" s="1073"/>
      <c r="AA31" s="1065"/>
      <c r="AB31" s="1065"/>
      <c r="AC31" s="1065"/>
      <c r="AD31" s="1065"/>
      <c r="AE31" s="1067"/>
      <c r="AF31" s="1072"/>
      <c r="AG31" s="1073"/>
      <c r="AH31" s="1074"/>
      <c r="AI31" s="1074"/>
      <c r="AJ31" s="1074"/>
      <c r="AK31" s="1074"/>
    </row>
    <row r="32">
      <c r="A32" s="1056"/>
      <c r="B32" s="1056"/>
      <c r="C32" s="1070"/>
      <c r="D32" s="1065"/>
      <c r="E32" s="1065"/>
      <c r="F32" s="1065"/>
      <c r="G32" s="1066"/>
      <c r="H32" s="1067"/>
      <c r="I32" s="1067"/>
      <c r="J32" s="1072"/>
      <c r="K32" s="1070"/>
      <c r="L32" s="1065"/>
      <c r="M32" s="1065"/>
      <c r="N32" s="1065"/>
      <c r="O32" s="1066"/>
      <c r="P32" s="1067"/>
      <c r="Q32" s="1067"/>
      <c r="R32" s="1072"/>
      <c r="S32" s="1073"/>
      <c r="T32" s="1065"/>
      <c r="U32" s="1065"/>
      <c r="V32" s="1065"/>
      <c r="W32" s="1065"/>
      <c r="X32" s="1067"/>
      <c r="Y32" s="1072"/>
      <c r="Z32" s="1073"/>
      <c r="AA32" s="1065"/>
      <c r="AB32" s="1065"/>
      <c r="AC32" s="1065"/>
      <c r="AD32" s="1065"/>
      <c r="AE32" s="1067"/>
      <c r="AF32" s="1072"/>
      <c r="AG32" s="1073"/>
      <c r="AH32" s="1074"/>
      <c r="AI32" s="1074"/>
      <c r="AJ32" s="1074"/>
      <c r="AK32" s="1074"/>
    </row>
    <row r="33">
      <c r="A33" s="1056"/>
      <c r="B33" s="1056"/>
      <c r="C33" s="1070"/>
      <c r="D33" s="1065"/>
      <c r="E33" s="1065"/>
      <c r="F33" s="1065"/>
      <c r="G33" s="1066"/>
      <c r="H33" s="1067"/>
      <c r="I33" s="1067"/>
      <c r="J33" s="1072"/>
      <c r="K33" s="1070"/>
      <c r="L33" s="1065"/>
      <c r="M33" s="1065"/>
      <c r="N33" s="1065"/>
      <c r="O33" s="1066"/>
      <c r="P33" s="1067"/>
      <c r="Q33" s="1067"/>
      <c r="R33" s="1072"/>
      <c r="S33" s="1073"/>
      <c r="T33" s="1065"/>
      <c r="U33" s="1065"/>
      <c r="V33" s="1065"/>
      <c r="W33" s="1065"/>
      <c r="X33" s="1067"/>
      <c r="Y33" s="1072"/>
      <c r="Z33" s="1073"/>
      <c r="AA33" s="1065"/>
      <c r="AB33" s="1065"/>
      <c r="AC33" s="1065"/>
      <c r="AD33" s="1065"/>
      <c r="AE33" s="1067"/>
      <c r="AF33" s="1072"/>
      <c r="AG33" s="1073"/>
      <c r="AH33" s="1074"/>
      <c r="AI33" s="1074"/>
      <c r="AJ33" s="1074"/>
      <c r="AK33" s="1074"/>
    </row>
    <row r="34">
      <c r="A34" s="1056"/>
      <c r="B34" s="1056"/>
      <c r="C34" s="1070"/>
      <c r="D34" s="1065"/>
      <c r="E34" s="1065"/>
      <c r="F34" s="1065"/>
      <c r="G34" s="1066"/>
      <c r="H34" s="1067"/>
      <c r="I34" s="1067"/>
      <c r="J34" s="1072"/>
      <c r="K34" s="1070"/>
      <c r="L34" s="1065"/>
      <c r="M34" s="1065"/>
      <c r="N34" s="1065"/>
      <c r="O34" s="1066"/>
      <c r="P34" s="1067"/>
      <c r="Q34" s="1067"/>
      <c r="R34" s="1072"/>
      <c r="S34" s="1073"/>
      <c r="T34" s="1065"/>
      <c r="U34" s="1065"/>
      <c r="V34" s="1065"/>
      <c r="W34" s="1065"/>
      <c r="X34" s="1067"/>
      <c r="Y34" s="1072"/>
      <c r="Z34" s="1073"/>
      <c r="AA34" s="1065"/>
      <c r="AB34" s="1065"/>
      <c r="AC34" s="1065"/>
      <c r="AD34" s="1065"/>
      <c r="AE34" s="1067"/>
      <c r="AF34" s="1072"/>
      <c r="AG34" s="1073"/>
      <c r="AH34" s="1074"/>
      <c r="AI34" s="1074"/>
      <c r="AJ34" s="1074"/>
      <c r="AK34" s="1074"/>
    </row>
    <row r="35">
      <c r="A35" s="1056"/>
      <c r="B35" s="1056"/>
      <c r="C35" s="1070"/>
      <c r="D35" s="1065"/>
      <c r="E35" s="1065"/>
      <c r="F35" s="1065"/>
      <c r="G35" s="1066"/>
      <c r="H35" s="1067"/>
      <c r="I35" s="1067"/>
      <c r="J35" s="1072"/>
      <c r="K35" s="1070"/>
      <c r="L35" s="1065"/>
      <c r="M35" s="1065"/>
      <c r="N35" s="1065"/>
      <c r="O35" s="1066"/>
      <c r="P35" s="1067"/>
      <c r="Q35" s="1067"/>
      <c r="R35" s="1072"/>
      <c r="S35" s="1073"/>
      <c r="T35" s="1065"/>
      <c r="U35" s="1065"/>
      <c r="V35" s="1065"/>
      <c r="W35" s="1065"/>
      <c r="X35" s="1067"/>
      <c r="Y35" s="1072"/>
      <c r="Z35" s="1073"/>
      <c r="AA35" s="1065"/>
      <c r="AB35" s="1065"/>
      <c r="AC35" s="1065"/>
      <c r="AD35" s="1065"/>
      <c r="AE35" s="1067"/>
      <c r="AF35" s="1072"/>
      <c r="AG35" s="1073"/>
      <c r="AH35" s="1074"/>
      <c r="AI35" s="1074"/>
      <c r="AJ35" s="1074"/>
      <c r="AK35" s="1074"/>
    </row>
    <row r="36">
      <c r="A36" s="1056"/>
      <c r="B36" s="1056"/>
      <c r="C36" s="1070"/>
      <c r="D36" s="1065"/>
      <c r="E36" s="1065"/>
      <c r="F36" s="1065"/>
      <c r="G36" s="1066"/>
      <c r="H36" s="1067"/>
      <c r="I36" s="1067"/>
      <c r="J36" s="1072"/>
      <c r="K36" s="1070"/>
      <c r="L36" s="1065"/>
      <c r="M36" s="1065"/>
      <c r="N36" s="1065"/>
      <c r="O36" s="1066"/>
      <c r="P36" s="1067"/>
      <c r="Q36" s="1067"/>
      <c r="R36" s="1072"/>
      <c r="S36" s="1073"/>
      <c r="T36" s="1065"/>
      <c r="U36" s="1065"/>
      <c r="V36" s="1065"/>
      <c r="W36" s="1065"/>
      <c r="X36" s="1067"/>
      <c r="Y36" s="1072"/>
      <c r="Z36" s="1073"/>
      <c r="AA36" s="1065"/>
      <c r="AB36" s="1065"/>
      <c r="AC36" s="1065"/>
      <c r="AD36" s="1065"/>
      <c r="AE36" s="1067"/>
      <c r="AF36" s="1072"/>
      <c r="AG36" s="1073"/>
      <c r="AH36" s="1074"/>
      <c r="AI36" s="1074"/>
      <c r="AJ36" s="1074"/>
      <c r="AK36" s="1074"/>
    </row>
    <row r="37">
      <c r="A37" s="1056"/>
      <c r="B37" s="1056"/>
      <c r="C37" s="1070"/>
      <c r="D37" s="1065"/>
      <c r="E37" s="1065"/>
      <c r="F37" s="1065"/>
      <c r="G37" s="1066"/>
      <c r="H37" s="1067"/>
      <c r="I37" s="1067"/>
      <c r="J37" s="1072"/>
      <c r="K37" s="1070"/>
      <c r="L37" s="1065"/>
      <c r="M37" s="1065"/>
      <c r="N37" s="1065"/>
      <c r="O37" s="1066"/>
      <c r="P37" s="1067"/>
      <c r="Q37" s="1067"/>
      <c r="R37" s="1072"/>
      <c r="S37" s="1073"/>
      <c r="T37" s="1065"/>
      <c r="U37" s="1065"/>
      <c r="V37" s="1065"/>
      <c r="W37" s="1065"/>
      <c r="X37" s="1067"/>
      <c r="Y37" s="1072"/>
      <c r="Z37" s="1073"/>
      <c r="AA37" s="1065"/>
      <c r="AB37" s="1065"/>
      <c r="AC37" s="1065"/>
      <c r="AD37" s="1065"/>
      <c r="AE37" s="1067"/>
      <c r="AF37" s="1072"/>
      <c r="AG37" s="1073"/>
      <c r="AH37" s="1074"/>
      <c r="AI37" s="1074"/>
      <c r="AJ37" s="1074"/>
      <c r="AK37" s="1074"/>
    </row>
    <row r="38">
      <c r="A38" s="1056"/>
      <c r="B38" s="1056"/>
      <c r="C38" s="1070"/>
      <c r="D38" s="1065"/>
      <c r="E38" s="1065"/>
      <c r="F38" s="1065"/>
      <c r="G38" s="1066"/>
      <c r="H38" s="1067"/>
      <c r="I38" s="1067"/>
      <c r="J38" s="1072"/>
      <c r="K38" s="1070"/>
      <c r="L38" s="1065"/>
      <c r="M38" s="1065"/>
      <c r="N38" s="1065"/>
      <c r="O38" s="1066"/>
      <c r="P38" s="1067"/>
      <c r="Q38" s="1067"/>
      <c r="R38" s="1072"/>
      <c r="S38" s="1073"/>
      <c r="T38" s="1065"/>
      <c r="U38" s="1065"/>
      <c r="V38" s="1065"/>
      <c r="W38" s="1065"/>
      <c r="X38" s="1067"/>
      <c r="Y38" s="1072"/>
      <c r="Z38" s="1073"/>
      <c r="AA38" s="1065"/>
      <c r="AB38" s="1065"/>
      <c r="AC38" s="1065"/>
      <c r="AD38" s="1065"/>
      <c r="AE38" s="1067"/>
      <c r="AF38" s="1072"/>
      <c r="AG38" s="1073"/>
      <c r="AH38" s="1074"/>
      <c r="AI38" s="1074"/>
      <c r="AJ38" s="1074"/>
      <c r="AK38" s="1074"/>
    </row>
    <row r="39">
      <c r="A39" s="1056"/>
      <c r="B39" s="1056"/>
      <c r="C39" s="1070"/>
      <c r="D39" s="1065"/>
      <c r="E39" s="1065"/>
      <c r="F39" s="1065"/>
      <c r="G39" s="1066"/>
      <c r="H39" s="1067"/>
      <c r="I39" s="1067"/>
      <c r="J39" s="1072"/>
      <c r="K39" s="1070"/>
      <c r="L39" s="1065"/>
      <c r="M39" s="1065"/>
      <c r="N39" s="1065"/>
      <c r="O39" s="1066"/>
      <c r="P39" s="1067"/>
      <c r="Q39" s="1067"/>
      <c r="R39" s="1072"/>
      <c r="S39" s="1073"/>
      <c r="T39" s="1065"/>
      <c r="U39" s="1065"/>
      <c r="V39" s="1065"/>
      <c r="W39" s="1065"/>
      <c r="X39" s="1067"/>
      <c r="Y39" s="1072"/>
      <c r="Z39" s="1073"/>
      <c r="AA39" s="1065"/>
      <c r="AB39" s="1065"/>
      <c r="AC39" s="1065"/>
      <c r="AD39" s="1065"/>
      <c r="AE39" s="1067"/>
      <c r="AF39" s="1072"/>
      <c r="AG39" s="1073"/>
      <c r="AH39" s="1074"/>
      <c r="AI39" s="1074"/>
      <c r="AJ39" s="1074"/>
      <c r="AK39" s="1074"/>
    </row>
    <row r="40">
      <c r="A40" s="1056"/>
      <c r="B40" s="1056"/>
      <c r="C40" s="1070"/>
      <c r="D40" s="1065"/>
      <c r="E40" s="1065"/>
      <c r="F40" s="1065"/>
      <c r="G40" s="1066"/>
      <c r="H40" s="1067"/>
      <c r="I40" s="1067"/>
      <c r="J40" s="1072"/>
      <c r="K40" s="1070"/>
      <c r="L40" s="1065"/>
      <c r="M40" s="1065"/>
      <c r="N40" s="1065"/>
      <c r="O40" s="1066"/>
      <c r="P40" s="1067"/>
      <c r="Q40" s="1067"/>
      <c r="R40" s="1072"/>
      <c r="S40" s="1073"/>
      <c r="T40" s="1065"/>
      <c r="U40" s="1065"/>
      <c r="V40" s="1065"/>
      <c r="W40" s="1065"/>
      <c r="X40" s="1067"/>
      <c r="Y40" s="1072"/>
      <c r="Z40" s="1073"/>
      <c r="AA40" s="1065"/>
      <c r="AB40" s="1065"/>
      <c r="AC40" s="1065"/>
      <c r="AD40" s="1065"/>
      <c r="AE40" s="1067"/>
      <c r="AF40" s="1072"/>
      <c r="AG40" s="1073"/>
      <c r="AH40" s="1074"/>
      <c r="AI40" s="1074"/>
      <c r="AJ40" s="1074"/>
      <c r="AK40" s="1074"/>
    </row>
    <row r="41">
      <c r="A41" s="1056"/>
      <c r="B41" s="1056"/>
      <c r="C41" s="1070"/>
      <c r="D41" s="1065"/>
      <c r="E41" s="1065"/>
      <c r="F41" s="1065"/>
      <c r="G41" s="1066"/>
      <c r="H41" s="1067"/>
      <c r="I41" s="1067"/>
      <c r="J41" s="1072"/>
      <c r="K41" s="1070"/>
      <c r="L41" s="1065"/>
      <c r="M41" s="1065"/>
      <c r="N41" s="1065"/>
      <c r="O41" s="1066"/>
      <c r="P41" s="1067"/>
      <c r="Q41" s="1067"/>
      <c r="R41" s="1072"/>
      <c r="S41" s="1073"/>
      <c r="T41" s="1065"/>
      <c r="U41" s="1065"/>
      <c r="V41" s="1065"/>
      <c r="W41" s="1065"/>
      <c r="X41" s="1067"/>
      <c r="Y41" s="1072"/>
      <c r="Z41" s="1073"/>
      <c r="AA41" s="1065"/>
      <c r="AB41" s="1065"/>
      <c r="AC41" s="1065"/>
      <c r="AD41" s="1065"/>
      <c r="AE41" s="1067"/>
      <c r="AF41" s="1072"/>
      <c r="AG41" s="1073"/>
      <c r="AH41" s="1074"/>
      <c r="AI41" s="1074"/>
      <c r="AJ41" s="1074"/>
      <c r="AK41" s="1074"/>
    </row>
    <row r="42">
      <c r="A42" s="1056"/>
      <c r="B42" s="1056"/>
      <c r="C42" s="1070"/>
      <c r="D42" s="1065"/>
      <c r="E42" s="1065"/>
      <c r="F42" s="1065"/>
      <c r="G42" s="1066"/>
      <c r="H42" s="1067"/>
      <c r="I42" s="1067"/>
      <c r="J42" s="1072"/>
      <c r="K42" s="1070"/>
      <c r="L42" s="1065"/>
      <c r="M42" s="1065"/>
      <c r="N42" s="1065"/>
      <c r="O42" s="1066"/>
      <c r="P42" s="1067"/>
      <c r="Q42" s="1067"/>
      <c r="R42" s="1072"/>
      <c r="S42" s="1073"/>
      <c r="T42" s="1065"/>
      <c r="U42" s="1065"/>
      <c r="V42" s="1065"/>
      <c r="W42" s="1065"/>
      <c r="X42" s="1067"/>
      <c r="Y42" s="1072"/>
      <c r="Z42" s="1073"/>
      <c r="AA42" s="1065"/>
      <c r="AB42" s="1065"/>
      <c r="AC42" s="1065"/>
      <c r="AD42" s="1065"/>
      <c r="AE42" s="1067"/>
      <c r="AF42" s="1072"/>
      <c r="AG42" s="1073"/>
      <c r="AH42" s="1074"/>
      <c r="AI42" s="1074"/>
      <c r="AJ42" s="1074"/>
      <c r="AK42" s="1074"/>
    </row>
    <row r="43">
      <c r="A43" s="1056"/>
      <c r="B43" s="1056"/>
      <c r="C43" s="1070"/>
      <c r="D43" s="1065"/>
      <c r="E43" s="1065"/>
      <c r="F43" s="1065"/>
      <c r="G43" s="1066"/>
      <c r="H43" s="1067"/>
      <c r="I43" s="1067"/>
      <c r="J43" s="1072"/>
      <c r="K43" s="1070"/>
      <c r="L43" s="1065"/>
      <c r="M43" s="1065"/>
      <c r="N43" s="1065"/>
      <c r="O43" s="1066"/>
      <c r="P43" s="1067"/>
      <c r="Q43" s="1067"/>
      <c r="R43" s="1072"/>
      <c r="S43" s="1073"/>
      <c r="T43" s="1065"/>
      <c r="U43" s="1065"/>
      <c r="V43" s="1065"/>
      <c r="W43" s="1065"/>
      <c r="X43" s="1067"/>
      <c r="Y43" s="1072"/>
      <c r="Z43" s="1073"/>
      <c r="AA43" s="1065"/>
      <c r="AB43" s="1074"/>
      <c r="AC43" s="1065"/>
      <c r="AD43" s="1065"/>
      <c r="AE43" s="1067"/>
      <c r="AF43" s="1072"/>
      <c r="AG43" s="1073"/>
      <c r="AH43" s="1074"/>
      <c r="AI43" s="1074"/>
      <c r="AJ43" s="1074"/>
      <c r="AK43" s="1074"/>
    </row>
    <row r="44">
      <c r="A44" s="1056"/>
      <c r="B44" s="1056"/>
      <c r="C44" s="1070"/>
      <c r="D44" s="1065"/>
      <c r="E44" s="1065"/>
      <c r="F44" s="1065"/>
      <c r="G44" s="1066"/>
      <c r="H44" s="1067"/>
      <c r="I44" s="1067"/>
      <c r="J44" s="1072"/>
      <c r="K44" s="1070"/>
      <c r="L44" s="1065"/>
      <c r="M44" s="1065"/>
      <c r="N44" s="1065"/>
      <c r="O44" s="1066"/>
      <c r="P44" s="1067"/>
      <c r="Q44" s="1067"/>
      <c r="R44" s="1072"/>
      <c r="S44" s="1073"/>
      <c r="T44" s="1065"/>
      <c r="U44" s="1065"/>
      <c r="V44" s="1065"/>
      <c r="W44" s="1065"/>
      <c r="X44" s="1067"/>
      <c r="Y44" s="1072"/>
      <c r="Z44" s="1073"/>
      <c r="AA44" s="1074"/>
      <c r="AB44" s="1074"/>
      <c r="AC44" s="1074"/>
      <c r="AD44" s="1074"/>
      <c r="AE44" s="1074"/>
      <c r="AF44" s="1072"/>
      <c r="AG44" s="1073"/>
      <c r="AH44" s="1074"/>
      <c r="AI44" s="1074"/>
      <c r="AJ44" s="1074"/>
      <c r="AK44" s="1074"/>
    </row>
    <row r="45">
      <c r="A45" s="1056"/>
      <c r="B45" s="1056"/>
      <c r="C45" s="1070"/>
      <c r="D45" s="1065"/>
      <c r="E45" s="1065"/>
      <c r="F45" s="1065"/>
      <c r="G45" s="1066"/>
      <c r="H45" s="1067"/>
      <c r="I45" s="1067"/>
      <c r="J45" s="1072"/>
      <c r="K45" s="1070"/>
      <c r="L45" s="1065"/>
      <c r="M45" s="1065"/>
      <c r="N45" s="1065"/>
      <c r="O45" s="1066"/>
      <c r="P45" s="1067"/>
      <c r="Q45" s="1067"/>
      <c r="R45" s="1072"/>
      <c r="S45" s="1073"/>
      <c r="T45" s="1065"/>
      <c r="U45" s="1065"/>
      <c r="V45" s="1065"/>
      <c r="W45" s="1065"/>
      <c r="X45" s="1067"/>
      <c r="Y45" s="1072"/>
      <c r="Z45" s="1073"/>
      <c r="AA45" s="1074"/>
      <c r="AB45" s="1074"/>
      <c r="AC45" s="1074"/>
      <c r="AD45" s="1074"/>
      <c r="AE45" s="1074"/>
      <c r="AF45" s="1072"/>
      <c r="AG45" s="1073"/>
      <c r="AH45" s="1074"/>
      <c r="AI45" s="1074"/>
      <c r="AJ45" s="1074"/>
      <c r="AK45" s="1074"/>
    </row>
    <row r="46">
      <c r="A46" s="1056"/>
      <c r="B46" s="1056"/>
      <c r="C46" s="1070"/>
      <c r="D46" s="1065"/>
      <c r="E46" s="1065"/>
      <c r="F46" s="1065"/>
      <c r="G46" s="1066"/>
      <c r="H46" s="1067"/>
      <c r="I46" s="1067"/>
      <c r="J46" s="1072"/>
      <c r="K46" s="1070"/>
      <c r="L46" s="1065"/>
      <c r="M46" s="1065"/>
      <c r="N46" s="1065"/>
      <c r="O46" s="1066"/>
      <c r="P46" s="1067"/>
      <c r="Q46" s="1067"/>
      <c r="R46" s="1072"/>
      <c r="S46" s="1073"/>
      <c r="T46" s="1065"/>
      <c r="U46" s="1065"/>
      <c r="V46" s="1065"/>
      <c r="W46" s="1065"/>
      <c r="X46" s="1067"/>
      <c r="Y46" s="1072"/>
      <c r="Z46" s="1073"/>
      <c r="AA46" s="1074"/>
      <c r="AB46" s="1074"/>
      <c r="AC46" s="1074"/>
      <c r="AD46" s="1074"/>
      <c r="AE46" s="1074"/>
      <c r="AF46" s="1072"/>
      <c r="AG46" s="1073"/>
      <c r="AH46" s="1074"/>
      <c r="AI46" s="1074"/>
      <c r="AJ46" s="1074"/>
      <c r="AK46" s="1074"/>
    </row>
    <row r="47">
      <c r="A47" s="1056"/>
      <c r="B47" s="1056"/>
      <c r="C47" s="1070"/>
      <c r="D47" s="1065"/>
      <c r="E47" s="1065"/>
      <c r="F47" s="1065"/>
      <c r="G47" s="1066"/>
      <c r="H47" s="1067"/>
      <c r="I47" s="1067"/>
      <c r="J47" s="1072"/>
      <c r="K47" s="1070"/>
      <c r="L47" s="1065"/>
      <c r="M47" s="1065"/>
      <c r="N47" s="1065"/>
      <c r="O47" s="1066"/>
      <c r="P47" s="1067"/>
      <c r="Q47" s="1067"/>
      <c r="R47" s="1072"/>
      <c r="S47" s="1073"/>
      <c r="T47" s="1065"/>
      <c r="U47" s="1065"/>
      <c r="V47" s="1065"/>
      <c r="W47" s="1065"/>
      <c r="X47" s="1065"/>
      <c r="Y47" s="1072"/>
      <c r="Z47" s="1073"/>
      <c r="AA47" s="1074"/>
      <c r="AB47" s="1074"/>
      <c r="AC47" s="1074"/>
      <c r="AD47" s="1074"/>
      <c r="AE47" s="1074"/>
      <c r="AF47" s="1072"/>
      <c r="AG47" s="1073"/>
      <c r="AH47" s="1074"/>
      <c r="AI47" s="1074"/>
      <c r="AJ47" s="1074"/>
      <c r="AK47" s="1074"/>
    </row>
    <row r="48">
      <c r="A48" s="1056"/>
      <c r="B48" s="1056"/>
      <c r="C48" s="1070"/>
      <c r="D48" s="1065"/>
      <c r="E48" s="1065"/>
      <c r="F48" s="1065"/>
      <c r="G48" s="1066"/>
      <c r="H48" s="1067"/>
      <c r="I48" s="1067"/>
      <c r="J48" s="1072"/>
      <c r="K48" s="1070"/>
      <c r="L48" s="1065"/>
      <c r="M48" s="1065"/>
      <c r="N48" s="1065"/>
      <c r="O48" s="1066"/>
      <c r="P48" s="1067"/>
      <c r="Q48" s="1067"/>
      <c r="R48" s="1072"/>
      <c r="S48" s="1073"/>
      <c r="T48" s="1065"/>
      <c r="U48" s="1065"/>
      <c r="V48" s="1065"/>
      <c r="W48" s="1065"/>
      <c r="X48" s="1067"/>
      <c r="Y48" s="1072"/>
      <c r="Z48" s="1073"/>
      <c r="AA48" s="1074"/>
      <c r="AB48" s="1074"/>
      <c r="AC48" s="1074"/>
      <c r="AD48" s="1074"/>
      <c r="AE48" s="1074"/>
      <c r="AF48" s="1072"/>
      <c r="AG48" s="1073"/>
      <c r="AH48" s="1074"/>
      <c r="AI48" s="1074"/>
      <c r="AJ48" s="1074"/>
      <c r="AK48" s="1074"/>
    </row>
    <row r="49">
      <c r="A49" s="1056"/>
      <c r="B49" s="1056"/>
      <c r="C49" s="1070"/>
      <c r="D49" s="1065"/>
      <c r="E49" s="1065"/>
      <c r="F49" s="1065"/>
      <c r="G49" s="1066"/>
      <c r="H49" s="1067"/>
      <c r="I49" s="1067"/>
      <c r="J49" s="1072"/>
      <c r="K49" s="1070"/>
      <c r="L49" s="1065"/>
      <c r="M49" s="1065"/>
      <c r="N49" s="1065"/>
      <c r="O49" s="1066"/>
      <c r="P49" s="1067"/>
      <c r="Q49" s="1067"/>
      <c r="R49" s="1072"/>
      <c r="S49" s="1073"/>
      <c r="T49" s="1065"/>
      <c r="U49" s="1065"/>
      <c r="V49" s="1065"/>
      <c r="W49" s="1065"/>
      <c r="X49" s="1067"/>
      <c r="Y49" s="1072"/>
      <c r="Z49" s="1073"/>
      <c r="AA49" s="1074"/>
      <c r="AB49" s="1074"/>
      <c r="AC49" s="1074"/>
      <c r="AD49" s="1074"/>
      <c r="AE49" s="1074"/>
      <c r="AF49" s="1072"/>
      <c r="AG49" s="1073"/>
      <c r="AH49" s="1074"/>
      <c r="AI49" s="1074"/>
      <c r="AJ49" s="1074"/>
      <c r="AK49" s="1074"/>
    </row>
    <row r="50">
      <c r="A50" s="1056"/>
      <c r="B50" s="1056"/>
      <c r="C50" s="1070"/>
      <c r="D50" s="1065"/>
      <c r="E50" s="1065"/>
      <c r="F50" s="1065"/>
      <c r="G50" s="1066"/>
      <c r="H50" s="1067"/>
      <c r="I50" s="1067"/>
      <c r="J50" s="1072"/>
      <c r="K50" s="1070"/>
      <c r="L50" s="1065"/>
      <c r="M50" s="1065"/>
      <c r="N50" s="1065"/>
      <c r="O50" s="1066"/>
      <c r="P50" s="1067"/>
      <c r="Q50" s="1067"/>
      <c r="R50" s="1072"/>
      <c r="S50" s="1073"/>
      <c r="T50" s="1065"/>
      <c r="U50" s="1065"/>
      <c r="V50" s="1065"/>
      <c r="W50" s="1065"/>
      <c r="X50" s="1067"/>
      <c r="Y50" s="1072"/>
      <c r="Z50" s="1073"/>
      <c r="AA50" s="1074"/>
      <c r="AB50" s="1074"/>
      <c r="AC50" s="1074"/>
      <c r="AD50" s="1074"/>
      <c r="AE50" s="1074"/>
      <c r="AF50" s="1072"/>
      <c r="AG50" s="1073"/>
      <c r="AH50" s="1074"/>
      <c r="AI50" s="1074"/>
      <c r="AJ50" s="1074"/>
      <c r="AK50" s="1074"/>
    </row>
    <row r="51">
      <c r="A51" s="1056"/>
      <c r="B51" s="1056"/>
      <c r="C51" s="1070"/>
      <c r="D51" s="1065"/>
      <c r="E51" s="1065"/>
      <c r="F51" s="1065"/>
      <c r="G51" s="1066"/>
      <c r="H51" s="1067"/>
      <c r="I51" s="1067"/>
      <c r="J51" s="1072"/>
      <c r="K51" s="1070"/>
      <c r="L51" s="1065"/>
      <c r="M51" s="1065"/>
      <c r="N51" s="1065"/>
      <c r="O51" s="1066"/>
      <c r="P51" s="1067"/>
      <c r="Q51" s="1067"/>
      <c r="R51" s="1072"/>
      <c r="S51" s="1073"/>
      <c r="T51" s="1065"/>
      <c r="U51" s="1065"/>
      <c r="V51" s="1065"/>
      <c r="W51" s="1065"/>
      <c r="X51" s="1067"/>
      <c r="Y51" s="1072"/>
      <c r="Z51" s="1073"/>
      <c r="AA51" s="1074"/>
      <c r="AB51" s="1074"/>
      <c r="AC51" s="1074"/>
      <c r="AD51" s="1074"/>
      <c r="AE51" s="1074"/>
      <c r="AF51" s="1072"/>
      <c r="AG51" s="1073"/>
      <c r="AH51" s="1074"/>
      <c r="AI51" s="1074"/>
      <c r="AJ51" s="1074"/>
      <c r="AK51" s="1074"/>
    </row>
    <row r="52">
      <c r="A52" s="1056"/>
      <c r="B52" s="1056"/>
      <c r="C52" s="1070"/>
      <c r="D52" s="1065"/>
      <c r="E52" s="1065"/>
      <c r="F52" s="1065"/>
      <c r="G52" s="1066"/>
      <c r="H52" s="1067"/>
      <c r="I52" s="1067"/>
      <c r="J52" s="1072"/>
      <c r="K52" s="1070"/>
      <c r="L52" s="1065"/>
      <c r="M52" s="1065"/>
      <c r="N52" s="1065"/>
      <c r="O52" s="1066"/>
      <c r="P52" s="1067"/>
      <c r="Q52" s="1067"/>
      <c r="R52" s="1072"/>
      <c r="S52" s="1073"/>
      <c r="T52" s="1065"/>
      <c r="U52" s="1065"/>
      <c r="V52" s="1065"/>
      <c r="W52" s="1065"/>
      <c r="X52" s="1067"/>
      <c r="Y52" s="1072"/>
      <c r="Z52" s="1073"/>
      <c r="AA52" s="1074"/>
      <c r="AB52" s="1074"/>
      <c r="AC52" s="1074"/>
      <c r="AD52" s="1074"/>
      <c r="AE52" s="1074"/>
      <c r="AF52" s="1072"/>
      <c r="AG52" s="1073"/>
      <c r="AH52" s="1074"/>
      <c r="AI52" s="1074"/>
      <c r="AJ52" s="1074"/>
      <c r="AK52" s="1074"/>
    </row>
    <row r="53">
      <c r="A53" s="1056"/>
      <c r="B53" s="1056"/>
      <c r="C53" s="1070"/>
      <c r="D53" s="1065"/>
      <c r="E53" s="1065"/>
      <c r="F53" s="1065"/>
      <c r="G53" s="1066"/>
      <c r="H53" s="1067"/>
      <c r="I53" s="1067"/>
      <c r="J53" s="1072"/>
      <c r="K53" s="1070"/>
      <c r="L53" s="1065"/>
      <c r="M53" s="1065"/>
      <c r="N53" s="1065"/>
      <c r="O53" s="1066"/>
      <c r="P53" s="1067"/>
      <c r="Q53" s="1067"/>
      <c r="R53" s="1072"/>
      <c r="S53" s="1073"/>
      <c r="T53" s="1065"/>
      <c r="U53" s="1065"/>
      <c r="V53" s="1065"/>
      <c r="W53" s="1065"/>
      <c r="X53" s="1067"/>
      <c r="Y53" s="1072"/>
      <c r="Z53" s="1073"/>
      <c r="AA53" s="1074"/>
      <c r="AB53" s="1074"/>
      <c r="AC53" s="1074"/>
      <c r="AD53" s="1074"/>
      <c r="AE53" s="1074"/>
      <c r="AF53" s="1072"/>
      <c r="AG53" s="1073"/>
      <c r="AH53" s="1074"/>
      <c r="AI53" s="1074"/>
      <c r="AJ53" s="1074"/>
      <c r="AK53" s="1074"/>
    </row>
    <row r="54">
      <c r="A54" s="1056"/>
      <c r="B54" s="1056"/>
      <c r="C54" s="1070"/>
      <c r="D54" s="1065"/>
      <c r="E54" s="1065"/>
      <c r="F54" s="1065"/>
      <c r="G54" s="1066"/>
      <c r="H54" s="1067"/>
      <c r="I54" s="1067"/>
      <c r="J54" s="1072"/>
      <c r="K54" s="1070"/>
      <c r="L54" s="1065"/>
      <c r="M54" s="1065"/>
      <c r="N54" s="1065"/>
      <c r="O54" s="1066"/>
      <c r="P54" s="1067"/>
      <c r="Q54" s="1067"/>
      <c r="R54" s="1072"/>
      <c r="S54" s="1073"/>
      <c r="T54" s="1065"/>
      <c r="U54" s="1065"/>
      <c r="V54" s="1065"/>
      <c r="W54" s="1065"/>
      <c r="X54" s="1067"/>
      <c r="Y54" s="1072"/>
      <c r="Z54" s="1073"/>
      <c r="AA54" s="1074"/>
      <c r="AB54" s="1074"/>
      <c r="AC54" s="1074"/>
      <c r="AD54" s="1074"/>
      <c r="AE54" s="1074"/>
      <c r="AF54" s="1072"/>
      <c r="AG54" s="1073"/>
      <c r="AH54" s="1074"/>
      <c r="AI54" s="1074"/>
      <c r="AJ54" s="1074"/>
      <c r="AK54" s="1074"/>
    </row>
    <row r="55">
      <c r="A55" s="1056"/>
      <c r="B55" s="1056"/>
      <c r="C55" s="1070"/>
      <c r="D55" s="1065"/>
      <c r="E55" s="1065"/>
      <c r="F55" s="1065"/>
      <c r="G55" s="1066"/>
      <c r="H55" s="1067"/>
      <c r="I55" s="1067"/>
      <c r="J55" s="1072"/>
      <c r="K55" s="1070"/>
      <c r="L55" s="1065"/>
      <c r="M55" s="1065"/>
      <c r="N55" s="1065"/>
      <c r="O55" s="1066"/>
      <c r="P55" s="1067"/>
      <c r="Q55" s="1067"/>
      <c r="R55" s="1072"/>
      <c r="S55" s="1073"/>
      <c r="T55" s="1065"/>
      <c r="U55" s="1065"/>
      <c r="V55" s="1065"/>
      <c r="W55" s="1065"/>
      <c r="X55" s="1067"/>
      <c r="Y55" s="1072"/>
      <c r="Z55" s="1073"/>
      <c r="AA55" s="1074"/>
      <c r="AB55" s="1074"/>
      <c r="AC55" s="1074"/>
      <c r="AD55" s="1074"/>
      <c r="AE55" s="1074"/>
      <c r="AF55" s="1072"/>
      <c r="AG55" s="1073"/>
      <c r="AH55" s="1074"/>
      <c r="AI55" s="1074"/>
      <c r="AJ55" s="1074"/>
      <c r="AK55" s="1074"/>
    </row>
    <row r="56">
      <c r="A56" s="1056"/>
      <c r="B56" s="1056"/>
      <c r="C56" s="1070"/>
      <c r="D56" s="1065"/>
      <c r="E56" s="1065"/>
      <c r="F56" s="1065"/>
      <c r="G56" s="1066"/>
      <c r="H56" s="1067"/>
      <c r="I56" s="1067"/>
      <c r="J56" s="1072"/>
      <c r="K56" s="1070"/>
      <c r="L56" s="1065"/>
      <c r="M56" s="1065"/>
      <c r="N56" s="1065"/>
      <c r="O56" s="1066"/>
      <c r="P56" s="1067"/>
      <c r="Q56" s="1067"/>
      <c r="R56" s="1072"/>
      <c r="S56" s="1073"/>
      <c r="T56" s="1065"/>
      <c r="U56" s="1065"/>
      <c r="V56" s="1065"/>
      <c r="W56" s="1065"/>
      <c r="X56" s="1067"/>
      <c r="Y56" s="1072"/>
      <c r="Z56" s="1073"/>
      <c r="AA56" s="1074"/>
      <c r="AB56" s="1074"/>
      <c r="AC56" s="1074"/>
      <c r="AD56" s="1074"/>
      <c r="AE56" s="1074"/>
      <c r="AF56" s="1072"/>
      <c r="AG56" s="1073"/>
      <c r="AH56" s="1074"/>
      <c r="AI56" s="1074"/>
      <c r="AJ56" s="1074"/>
      <c r="AK56" s="1074"/>
    </row>
    <row r="57">
      <c r="A57" s="1056"/>
      <c r="B57" s="1056"/>
      <c r="C57" s="1070"/>
      <c r="D57" s="1065"/>
      <c r="E57" s="1065"/>
      <c r="F57" s="1065"/>
      <c r="G57" s="1066"/>
      <c r="H57" s="1067"/>
      <c r="I57" s="1067"/>
      <c r="J57" s="1072"/>
      <c r="K57" s="1070"/>
      <c r="L57" s="1065"/>
      <c r="M57" s="1065"/>
      <c r="N57" s="1065"/>
      <c r="O57" s="1066"/>
      <c r="P57" s="1067"/>
      <c r="Q57" s="1067"/>
      <c r="R57" s="1072"/>
      <c r="S57" s="1073"/>
      <c r="T57" s="1074"/>
      <c r="U57" s="1074"/>
      <c r="V57" s="1074"/>
      <c r="W57" s="1074"/>
      <c r="X57" s="1074"/>
      <c r="Y57" s="1072"/>
      <c r="Z57" s="1073"/>
      <c r="AA57" s="1074"/>
      <c r="AB57" s="1074"/>
      <c r="AC57" s="1074"/>
      <c r="AD57" s="1074"/>
      <c r="AE57" s="1074"/>
      <c r="AF57" s="1072"/>
      <c r="AG57" s="1073"/>
      <c r="AH57" s="1074"/>
      <c r="AI57" s="1074"/>
      <c r="AJ57" s="1074"/>
      <c r="AK57" s="1074"/>
    </row>
    <row r="58">
      <c r="A58" s="1056"/>
      <c r="B58" s="1056"/>
      <c r="C58" s="1070"/>
      <c r="D58" s="1065"/>
      <c r="E58" s="1065"/>
      <c r="F58" s="1065"/>
      <c r="G58" s="1066"/>
      <c r="H58" s="1067"/>
      <c r="I58" s="1067"/>
      <c r="J58" s="1072"/>
      <c r="K58" s="1070"/>
      <c r="L58" s="1065"/>
      <c r="M58" s="1065"/>
      <c r="N58" s="1065"/>
      <c r="O58" s="1066"/>
      <c r="P58" s="1067"/>
      <c r="Q58" s="1067"/>
      <c r="R58" s="1072"/>
      <c r="S58" s="1073"/>
      <c r="T58" s="1074"/>
      <c r="U58" s="1074"/>
      <c r="V58" s="1074"/>
      <c r="W58" s="1074"/>
      <c r="X58" s="1074"/>
      <c r="Y58" s="1072"/>
      <c r="Z58" s="1073"/>
      <c r="AA58" s="1074"/>
      <c r="AB58" s="1074"/>
      <c r="AC58" s="1074"/>
      <c r="AD58" s="1074"/>
      <c r="AE58" s="1074"/>
      <c r="AF58" s="1072"/>
      <c r="AG58" s="1073"/>
      <c r="AH58" s="1074"/>
      <c r="AI58" s="1074"/>
      <c r="AJ58" s="1074"/>
      <c r="AK58" s="1074"/>
    </row>
    <row r="59">
      <c r="A59" s="1056"/>
      <c r="B59" s="1056"/>
      <c r="C59" s="1070"/>
      <c r="D59" s="1065"/>
      <c r="E59" s="1065"/>
      <c r="F59" s="1065"/>
      <c r="G59" s="1066"/>
      <c r="H59" s="1067"/>
      <c r="I59" s="1067"/>
      <c r="J59" s="1072"/>
      <c r="K59" s="1070"/>
      <c r="L59" s="1065"/>
      <c r="M59" s="1065"/>
      <c r="N59" s="1065"/>
      <c r="O59" s="1066"/>
      <c r="P59" s="1067"/>
      <c r="Q59" s="1067"/>
      <c r="R59" s="1072"/>
      <c r="S59" s="1073"/>
      <c r="T59" s="1074"/>
      <c r="U59" s="1074"/>
      <c r="V59" s="1074"/>
      <c r="W59" s="1074"/>
      <c r="X59" s="1074"/>
      <c r="Y59" s="1072"/>
      <c r="Z59" s="1073"/>
      <c r="AA59" s="1074"/>
      <c r="AB59" s="1074"/>
      <c r="AC59" s="1074"/>
      <c r="AD59" s="1074"/>
      <c r="AE59" s="1074"/>
      <c r="AF59" s="1072"/>
      <c r="AG59" s="1073"/>
      <c r="AH59" s="1074"/>
      <c r="AI59" s="1074"/>
      <c r="AJ59" s="1074"/>
      <c r="AK59" s="1074"/>
    </row>
    <row r="60">
      <c r="A60" s="1056"/>
      <c r="B60" s="1056"/>
      <c r="C60" s="1070"/>
      <c r="D60" s="1065"/>
      <c r="E60" s="1065"/>
      <c r="F60" s="1065"/>
      <c r="G60" s="1066"/>
      <c r="H60" s="1067"/>
      <c r="I60" s="1067"/>
      <c r="J60" s="1072"/>
      <c r="K60" s="1070"/>
      <c r="L60" s="1065"/>
      <c r="M60" s="1065"/>
      <c r="N60" s="1065"/>
      <c r="O60" s="1066"/>
      <c r="P60" s="1067"/>
      <c r="Q60" s="1067"/>
      <c r="R60" s="1072"/>
      <c r="S60" s="1073"/>
      <c r="T60" s="1074"/>
      <c r="U60" s="1074"/>
      <c r="V60" s="1074"/>
      <c r="W60" s="1074"/>
      <c r="X60" s="1074"/>
      <c r="Y60" s="1072"/>
      <c r="Z60" s="1073"/>
      <c r="AA60" s="1074"/>
      <c r="AB60" s="1074"/>
      <c r="AC60" s="1074"/>
      <c r="AD60" s="1074"/>
      <c r="AE60" s="1074"/>
      <c r="AF60" s="1072"/>
      <c r="AG60" s="1073"/>
      <c r="AH60" s="1074"/>
      <c r="AI60" s="1074"/>
      <c r="AJ60" s="1074"/>
      <c r="AK60" s="1074"/>
    </row>
    <row r="61">
      <c r="A61" s="1056"/>
      <c r="B61" s="1056"/>
      <c r="C61" s="1070"/>
      <c r="D61" s="1065"/>
      <c r="E61" s="1065"/>
      <c r="F61" s="1065"/>
      <c r="G61" s="1066"/>
      <c r="H61" s="1067"/>
      <c r="I61" s="1067"/>
      <c r="J61" s="1072"/>
      <c r="K61" s="1070"/>
      <c r="L61" s="1065"/>
      <c r="M61" s="1065"/>
      <c r="N61" s="1065"/>
      <c r="O61" s="1066"/>
      <c r="P61" s="1067"/>
      <c r="Q61" s="1067"/>
      <c r="R61" s="1072"/>
      <c r="S61" s="1073"/>
      <c r="T61" s="1074"/>
      <c r="U61" s="1074"/>
      <c r="V61" s="1074"/>
      <c r="W61" s="1074"/>
      <c r="X61" s="1074"/>
      <c r="Y61" s="1072"/>
      <c r="Z61" s="1073"/>
      <c r="AA61" s="1074"/>
      <c r="AB61" s="1074"/>
      <c r="AC61" s="1074"/>
      <c r="AD61" s="1074"/>
      <c r="AE61" s="1074"/>
      <c r="AF61" s="1072"/>
      <c r="AG61" s="1073"/>
      <c r="AH61" s="1074"/>
      <c r="AI61" s="1074"/>
      <c r="AJ61" s="1074"/>
      <c r="AK61" s="1074"/>
    </row>
    <row r="62">
      <c r="A62" s="1056"/>
      <c r="B62" s="1056"/>
      <c r="C62" s="1070"/>
      <c r="D62" s="1065"/>
      <c r="E62" s="1065"/>
      <c r="F62" s="1065"/>
      <c r="G62" s="1066"/>
      <c r="H62" s="1067"/>
      <c r="I62" s="1067"/>
      <c r="J62" s="1072"/>
      <c r="K62" s="1070"/>
      <c r="L62" s="1065"/>
      <c r="M62" s="1065"/>
      <c r="N62" s="1065"/>
      <c r="O62" s="1066"/>
      <c r="P62" s="1067"/>
      <c r="Q62" s="1067"/>
      <c r="R62" s="1072"/>
      <c r="S62" s="1073"/>
      <c r="T62" s="1074"/>
      <c r="U62" s="1074"/>
      <c r="V62" s="1074"/>
      <c r="W62" s="1074"/>
      <c r="X62" s="1074"/>
      <c r="Y62" s="1072"/>
      <c r="Z62" s="1073"/>
      <c r="AA62" s="1074"/>
      <c r="AB62" s="1074"/>
      <c r="AC62" s="1074"/>
      <c r="AD62" s="1074"/>
      <c r="AE62" s="1074"/>
      <c r="AF62" s="1072"/>
      <c r="AG62" s="1073"/>
      <c r="AH62" s="1074"/>
      <c r="AI62" s="1074"/>
      <c r="AJ62" s="1074"/>
      <c r="AK62" s="1074"/>
    </row>
    <row r="63">
      <c r="A63" s="1056"/>
      <c r="B63" s="1056"/>
      <c r="C63" s="1070"/>
      <c r="D63" s="1065"/>
      <c r="E63" s="1065"/>
      <c r="F63" s="1065"/>
      <c r="G63" s="1066"/>
      <c r="H63" s="1067"/>
      <c r="I63" s="1067"/>
      <c r="J63" s="1072"/>
      <c r="K63" s="1070"/>
      <c r="L63" s="1065"/>
      <c r="M63" s="1065"/>
      <c r="N63" s="1065"/>
      <c r="O63" s="1066"/>
      <c r="P63" s="1067"/>
      <c r="Q63" s="1067"/>
      <c r="R63" s="1072"/>
      <c r="S63" s="1073"/>
      <c r="T63" s="1074"/>
      <c r="U63" s="1074"/>
      <c r="V63" s="1074"/>
      <c r="W63" s="1074"/>
      <c r="X63" s="1074"/>
      <c r="Y63" s="1072"/>
      <c r="Z63" s="1073"/>
      <c r="AA63" s="1074"/>
      <c r="AB63" s="1074"/>
      <c r="AC63" s="1074"/>
      <c r="AD63" s="1074"/>
      <c r="AE63" s="1074"/>
      <c r="AF63" s="1072"/>
      <c r="AG63" s="1073"/>
      <c r="AH63" s="1074"/>
      <c r="AI63" s="1074"/>
      <c r="AJ63" s="1074"/>
      <c r="AK63" s="1074"/>
    </row>
    <row r="64">
      <c r="A64" s="1056"/>
      <c r="B64" s="1056"/>
      <c r="C64" s="1070"/>
      <c r="D64" s="1065"/>
      <c r="E64" s="1065"/>
      <c r="F64" s="1065"/>
      <c r="G64" s="1066"/>
      <c r="H64" s="1067"/>
      <c r="I64" s="1067"/>
      <c r="J64" s="1072"/>
      <c r="K64" s="1070"/>
      <c r="L64" s="1065"/>
      <c r="M64" s="1065"/>
      <c r="N64" s="1065"/>
      <c r="O64" s="1066"/>
      <c r="P64" s="1067"/>
      <c r="Q64" s="1067"/>
      <c r="R64" s="1072"/>
      <c r="S64" s="1073"/>
      <c r="T64" s="1074"/>
      <c r="U64" s="1074"/>
      <c r="V64" s="1074"/>
      <c r="W64" s="1074"/>
      <c r="X64" s="1074"/>
      <c r="Y64" s="1072"/>
      <c r="Z64" s="1073"/>
      <c r="AA64" s="1074"/>
      <c r="AB64" s="1074"/>
      <c r="AC64" s="1074"/>
      <c r="AD64" s="1074"/>
      <c r="AE64" s="1074"/>
      <c r="AF64" s="1072"/>
      <c r="AG64" s="1073"/>
      <c r="AH64" s="1074"/>
      <c r="AI64" s="1074"/>
      <c r="AJ64" s="1074"/>
      <c r="AK64" s="1074"/>
    </row>
    <row r="65">
      <c r="A65" s="1056"/>
      <c r="B65" s="1056"/>
      <c r="C65" s="1070"/>
      <c r="D65" s="1065"/>
      <c r="E65" s="1065"/>
      <c r="F65" s="1065"/>
      <c r="G65" s="1066"/>
      <c r="H65" s="1067"/>
      <c r="I65" s="1067"/>
      <c r="J65" s="1072"/>
      <c r="K65" s="1070"/>
      <c r="L65" s="1065"/>
      <c r="M65" s="1065"/>
      <c r="N65" s="1065"/>
      <c r="O65" s="1066"/>
      <c r="P65" s="1067"/>
      <c r="Q65" s="1067"/>
      <c r="R65" s="1072"/>
      <c r="S65" s="1073"/>
      <c r="T65" s="1074"/>
      <c r="U65" s="1074"/>
      <c r="V65" s="1074"/>
      <c r="W65" s="1074"/>
      <c r="X65" s="1074"/>
      <c r="Y65" s="1072"/>
      <c r="Z65" s="1073"/>
      <c r="AA65" s="1074"/>
      <c r="AB65" s="1074"/>
      <c r="AC65" s="1074"/>
      <c r="AD65" s="1074"/>
      <c r="AE65" s="1074"/>
      <c r="AF65" s="1072"/>
      <c r="AG65" s="1073"/>
      <c r="AH65" s="1074"/>
      <c r="AI65" s="1074"/>
      <c r="AJ65" s="1074"/>
      <c r="AK65" s="1074"/>
    </row>
    <row r="66">
      <c r="A66" s="1056"/>
      <c r="B66" s="1056"/>
      <c r="C66" s="1070"/>
      <c r="D66" s="1065"/>
      <c r="E66" s="1065"/>
      <c r="F66" s="1065"/>
      <c r="G66" s="1066"/>
      <c r="H66" s="1067"/>
      <c r="I66" s="1067"/>
      <c r="J66" s="1072"/>
      <c r="K66" s="1070"/>
      <c r="L66" s="1065"/>
      <c r="M66" s="1065"/>
      <c r="N66" s="1065"/>
      <c r="O66" s="1066"/>
      <c r="P66" s="1067"/>
      <c r="Q66" s="1067"/>
      <c r="R66" s="1072"/>
      <c r="S66" s="1073"/>
      <c r="T66" s="1074"/>
      <c r="U66" s="1074"/>
      <c r="V66" s="1074"/>
      <c r="W66" s="1074"/>
      <c r="X66" s="1074"/>
      <c r="Y66" s="1072"/>
      <c r="Z66" s="1073"/>
      <c r="AA66" s="1074"/>
      <c r="AB66" s="1074"/>
      <c r="AC66" s="1074"/>
      <c r="AD66" s="1074"/>
      <c r="AE66" s="1074"/>
      <c r="AF66" s="1072"/>
      <c r="AG66" s="1073"/>
      <c r="AH66" s="1074"/>
      <c r="AI66" s="1074"/>
      <c r="AJ66" s="1074"/>
      <c r="AK66" s="1074"/>
    </row>
    <row r="67">
      <c r="A67" s="1056"/>
      <c r="B67" s="1056"/>
      <c r="C67" s="1070"/>
      <c r="D67" s="1065"/>
      <c r="E67" s="1065"/>
      <c r="F67" s="1065"/>
      <c r="G67" s="1066"/>
      <c r="H67" s="1067"/>
      <c r="I67" s="1067"/>
      <c r="J67" s="1072"/>
      <c r="K67" s="1070"/>
      <c r="L67" s="1065"/>
      <c r="M67" s="1065"/>
      <c r="N67" s="1065"/>
      <c r="O67" s="1066"/>
      <c r="P67" s="1067"/>
      <c r="Q67" s="1067"/>
      <c r="R67" s="1072"/>
      <c r="S67" s="1073"/>
      <c r="T67" s="1074"/>
      <c r="U67" s="1074"/>
      <c r="V67" s="1074"/>
      <c r="W67" s="1074"/>
      <c r="X67" s="1074"/>
      <c r="Y67" s="1072"/>
      <c r="Z67" s="1073"/>
      <c r="AA67" s="1074"/>
      <c r="AB67" s="1074"/>
      <c r="AC67" s="1074"/>
      <c r="AD67" s="1074"/>
      <c r="AE67" s="1074"/>
      <c r="AF67" s="1072"/>
      <c r="AG67" s="1073"/>
      <c r="AH67" s="1074"/>
      <c r="AI67" s="1074"/>
      <c r="AJ67" s="1074"/>
      <c r="AK67" s="1074"/>
    </row>
    <row r="68">
      <c r="A68" s="1056"/>
      <c r="B68" s="1056"/>
      <c r="C68" s="1070"/>
      <c r="D68" s="1065"/>
      <c r="E68" s="1065"/>
      <c r="F68" s="1065"/>
      <c r="G68" s="1066"/>
      <c r="H68" s="1067"/>
      <c r="I68" s="1067"/>
      <c r="J68" s="1072"/>
      <c r="K68" s="1070"/>
      <c r="L68" s="1065"/>
      <c r="M68" s="1065"/>
      <c r="N68" s="1065"/>
      <c r="O68" s="1066"/>
      <c r="P68" s="1067"/>
      <c r="Q68" s="1067"/>
      <c r="R68" s="1072"/>
      <c r="S68" s="1073"/>
      <c r="T68" s="1074"/>
      <c r="U68" s="1074"/>
      <c r="V68" s="1074"/>
      <c r="W68" s="1074"/>
      <c r="X68" s="1074"/>
      <c r="Y68" s="1072"/>
      <c r="Z68" s="1073"/>
      <c r="AA68" s="1074"/>
      <c r="AB68" s="1074"/>
      <c r="AC68" s="1074"/>
      <c r="AD68" s="1074"/>
      <c r="AE68" s="1074"/>
      <c r="AF68" s="1072"/>
      <c r="AG68" s="1073"/>
      <c r="AH68" s="1074"/>
      <c r="AI68" s="1074"/>
      <c r="AJ68" s="1074"/>
      <c r="AK68" s="1074"/>
    </row>
    <row r="69">
      <c r="A69" s="1056"/>
      <c r="B69" s="1056"/>
      <c r="C69" s="1070"/>
      <c r="D69" s="1065"/>
      <c r="E69" s="1065"/>
      <c r="F69" s="1065"/>
      <c r="G69" s="1066"/>
      <c r="H69" s="1067"/>
      <c r="I69" s="1067"/>
      <c r="J69" s="1072"/>
      <c r="K69" s="1070"/>
      <c r="L69" s="1065"/>
      <c r="M69" s="1065"/>
      <c r="N69" s="1065"/>
      <c r="O69" s="1066"/>
      <c r="P69" s="1067"/>
      <c r="Q69" s="1067"/>
      <c r="R69" s="1072"/>
      <c r="S69" s="1073"/>
      <c r="T69" s="1074"/>
      <c r="U69" s="1074"/>
      <c r="V69" s="1074"/>
      <c r="W69" s="1074"/>
      <c r="X69" s="1074"/>
      <c r="Y69" s="1072"/>
      <c r="Z69" s="1073"/>
      <c r="AA69" s="1074"/>
      <c r="AB69" s="1074"/>
      <c r="AC69" s="1074"/>
      <c r="AD69" s="1074"/>
      <c r="AE69" s="1074"/>
      <c r="AF69" s="1072"/>
      <c r="AG69" s="1073"/>
      <c r="AH69" s="1074"/>
      <c r="AI69" s="1074"/>
      <c r="AJ69" s="1074"/>
      <c r="AK69" s="1074"/>
    </row>
    <row r="70">
      <c r="A70" s="1056"/>
      <c r="B70" s="1056"/>
      <c r="C70" s="1070"/>
      <c r="D70" s="1065"/>
      <c r="E70" s="1065"/>
      <c r="F70" s="1065"/>
      <c r="G70" s="1066"/>
      <c r="H70" s="1067"/>
      <c r="I70" s="1067"/>
      <c r="J70" s="1072"/>
      <c r="K70" s="1070"/>
      <c r="L70" s="1065"/>
      <c r="M70" s="1065"/>
      <c r="N70" s="1065"/>
      <c r="O70" s="1066"/>
      <c r="P70" s="1067"/>
      <c r="Q70" s="1067"/>
      <c r="R70" s="1072"/>
      <c r="S70" s="1073"/>
      <c r="T70" s="1074"/>
      <c r="U70" s="1074"/>
      <c r="V70" s="1074"/>
      <c r="W70" s="1074"/>
      <c r="X70" s="1074"/>
      <c r="Y70" s="1072"/>
      <c r="Z70" s="1073"/>
      <c r="AA70" s="1074"/>
      <c r="AB70" s="1074"/>
      <c r="AC70" s="1074"/>
      <c r="AD70" s="1074"/>
      <c r="AE70" s="1074"/>
      <c r="AF70" s="1072"/>
      <c r="AG70" s="1073"/>
      <c r="AH70" s="1074"/>
      <c r="AI70" s="1074"/>
      <c r="AJ70" s="1074"/>
      <c r="AK70" s="1074"/>
    </row>
    <row r="71">
      <c r="A71" s="1056"/>
      <c r="B71" s="1056"/>
      <c r="C71" s="1070"/>
      <c r="D71" s="1065"/>
      <c r="E71" s="1065"/>
      <c r="F71" s="1065"/>
      <c r="G71" s="1066"/>
      <c r="H71" s="1067"/>
      <c r="I71" s="1067"/>
      <c r="J71" s="1072"/>
      <c r="K71" s="1070"/>
      <c r="L71" s="1065"/>
      <c r="M71" s="1065"/>
      <c r="N71" s="1065"/>
      <c r="O71" s="1066"/>
      <c r="P71" s="1067"/>
      <c r="Q71" s="1067"/>
      <c r="R71" s="1072"/>
      <c r="S71" s="1073"/>
      <c r="T71" s="1074"/>
      <c r="U71" s="1074"/>
      <c r="V71" s="1074"/>
      <c r="W71" s="1074"/>
      <c r="X71" s="1074"/>
      <c r="Y71" s="1072"/>
      <c r="Z71" s="1073"/>
      <c r="AA71" s="1074"/>
      <c r="AB71" s="1074"/>
      <c r="AC71" s="1074"/>
      <c r="AD71" s="1074"/>
      <c r="AE71" s="1074"/>
      <c r="AF71" s="1072"/>
      <c r="AG71" s="1073"/>
      <c r="AH71" s="1074"/>
      <c r="AI71" s="1074"/>
      <c r="AJ71" s="1074"/>
      <c r="AK71" s="1074"/>
    </row>
    <row r="72">
      <c r="A72" s="1056"/>
      <c r="B72" s="1056"/>
      <c r="C72" s="1070"/>
      <c r="D72" s="1065"/>
      <c r="E72" s="1065"/>
      <c r="F72" s="1065"/>
      <c r="G72" s="1066"/>
      <c r="H72" s="1067"/>
      <c r="I72" s="1067"/>
      <c r="J72" s="1072"/>
      <c r="K72" s="1070"/>
      <c r="L72" s="1065"/>
      <c r="M72" s="1065"/>
      <c r="N72" s="1065"/>
      <c r="O72" s="1066"/>
      <c r="P72" s="1067"/>
      <c r="Q72" s="1067"/>
      <c r="R72" s="1072"/>
      <c r="S72" s="1073"/>
      <c r="T72" s="1074"/>
      <c r="U72" s="1074"/>
      <c r="V72" s="1074"/>
      <c r="W72" s="1074"/>
      <c r="X72" s="1074"/>
      <c r="Y72" s="1072"/>
      <c r="Z72" s="1073"/>
      <c r="AA72" s="1074"/>
      <c r="AB72" s="1074"/>
      <c r="AC72" s="1074"/>
      <c r="AD72" s="1074"/>
      <c r="AE72" s="1074"/>
      <c r="AF72" s="1072"/>
      <c r="AG72" s="1073"/>
      <c r="AH72" s="1074"/>
      <c r="AI72" s="1074"/>
      <c r="AJ72" s="1074"/>
      <c r="AK72" s="1074"/>
    </row>
    <row r="73">
      <c r="A73" s="1056"/>
      <c r="B73" s="1056"/>
      <c r="C73" s="1070"/>
      <c r="D73" s="1065"/>
      <c r="E73" s="1065"/>
      <c r="F73" s="1065"/>
      <c r="G73" s="1066"/>
      <c r="H73" s="1067"/>
      <c r="I73" s="1067"/>
      <c r="J73" s="1072"/>
      <c r="K73" s="1070"/>
      <c r="L73" s="1065"/>
      <c r="M73" s="1065"/>
      <c r="N73" s="1065"/>
      <c r="O73" s="1066"/>
      <c r="P73" s="1067"/>
      <c r="Q73" s="1067"/>
      <c r="R73" s="1072"/>
      <c r="S73" s="1073"/>
      <c r="T73" s="1074"/>
      <c r="U73" s="1074"/>
      <c r="V73" s="1074"/>
      <c r="W73" s="1074"/>
      <c r="X73" s="1074"/>
      <c r="Y73" s="1072"/>
      <c r="Z73" s="1073"/>
      <c r="AA73" s="1074"/>
      <c r="AB73" s="1074"/>
      <c r="AC73" s="1074"/>
      <c r="AD73" s="1074"/>
      <c r="AE73" s="1074"/>
      <c r="AF73" s="1072"/>
      <c r="AG73" s="1073"/>
      <c r="AH73" s="1074"/>
      <c r="AI73" s="1074"/>
      <c r="AJ73" s="1074"/>
      <c r="AK73" s="1074"/>
    </row>
    <row r="74">
      <c r="A74" s="1056"/>
      <c r="B74" s="1056"/>
      <c r="C74" s="1070"/>
      <c r="D74" s="1065"/>
      <c r="E74" s="1065"/>
      <c r="F74" s="1065"/>
      <c r="G74" s="1066"/>
      <c r="H74" s="1067"/>
      <c r="I74" s="1067"/>
      <c r="J74" s="1072"/>
      <c r="K74" s="1070"/>
      <c r="L74" s="1065"/>
      <c r="M74" s="1065"/>
      <c r="N74" s="1065"/>
      <c r="O74" s="1066"/>
      <c r="P74" s="1067"/>
      <c r="Q74" s="1067"/>
      <c r="R74" s="1072"/>
      <c r="S74" s="1073"/>
      <c r="T74" s="1074"/>
      <c r="U74" s="1074"/>
      <c r="V74" s="1074"/>
      <c r="W74" s="1074"/>
      <c r="X74" s="1074"/>
      <c r="Y74" s="1072"/>
      <c r="Z74" s="1073"/>
      <c r="AA74" s="1074"/>
      <c r="AB74" s="1074"/>
      <c r="AC74" s="1074"/>
      <c r="AD74" s="1074"/>
      <c r="AE74" s="1074"/>
      <c r="AF74" s="1072"/>
      <c r="AG74" s="1073"/>
      <c r="AH74" s="1074"/>
      <c r="AI74" s="1074"/>
      <c r="AJ74" s="1074"/>
      <c r="AK74" s="1074"/>
    </row>
    <row r="75">
      <c r="A75" s="1056"/>
      <c r="B75" s="1056"/>
      <c r="C75" s="1070"/>
      <c r="D75" s="1065"/>
      <c r="E75" s="1065"/>
      <c r="F75" s="1065"/>
      <c r="G75" s="1066"/>
      <c r="H75" s="1067"/>
      <c r="I75" s="1067"/>
      <c r="J75" s="1072"/>
      <c r="K75" s="1070"/>
      <c r="L75" s="1065"/>
      <c r="M75" s="1065"/>
      <c r="N75" s="1065"/>
      <c r="O75" s="1066"/>
      <c r="P75" s="1067"/>
      <c r="Q75" s="1067"/>
      <c r="R75" s="1072"/>
      <c r="S75" s="1073"/>
      <c r="T75" s="1074"/>
      <c r="U75" s="1074"/>
      <c r="V75" s="1074"/>
      <c r="W75" s="1074"/>
      <c r="X75" s="1074"/>
      <c r="Y75" s="1072"/>
      <c r="Z75" s="1073"/>
      <c r="AA75" s="1074"/>
      <c r="AB75" s="1074"/>
      <c r="AC75" s="1074"/>
      <c r="AD75" s="1074"/>
      <c r="AE75" s="1074"/>
      <c r="AF75" s="1072"/>
      <c r="AG75" s="1073"/>
      <c r="AH75" s="1074"/>
      <c r="AI75" s="1074"/>
      <c r="AJ75" s="1074"/>
      <c r="AK75" s="1074"/>
    </row>
    <row r="76">
      <c r="A76" s="1056"/>
      <c r="B76" s="1056"/>
      <c r="C76" s="1070"/>
      <c r="D76" s="1065"/>
      <c r="E76" s="1065"/>
      <c r="F76" s="1065"/>
      <c r="G76" s="1066"/>
      <c r="H76" s="1067"/>
      <c r="I76" s="1067"/>
      <c r="J76" s="1072"/>
      <c r="K76" s="1070"/>
      <c r="L76" s="1065"/>
      <c r="M76" s="1065"/>
      <c r="N76" s="1065"/>
      <c r="O76" s="1066"/>
      <c r="P76" s="1067"/>
      <c r="Q76" s="1067"/>
      <c r="R76" s="1072"/>
      <c r="S76" s="1073"/>
      <c r="T76" s="1074"/>
      <c r="U76" s="1074"/>
      <c r="V76" s="1074"/>
      <c r="W76" s="1074"/>
      <c r="X76" s="1074"/>
      <c r="Y76" s="1072"/>
      <c r="Z76" s="1073"/>
      <c r="AA76" s="1074"/>
      <c r="AB76" s="1074"/>
      <c r="AC76" s="1074"/>
      <c r="AD76" s="1074"/>
      <c r="AE76" s="1074"/>
      <c r="AF76" s="1072"/>
      <c r="AG76" s="1073"/>
      <c r="AH76" s="1074"/>
      <c r="AI76" s="1074"/>
      <c r="AJ76" s="1074"/>
      <c r="AK76" s="1074"/>
    </row>
    <row r="77">
      <c r="A77" s="1056"/>
      <c r="B77" s="1056"/>
      <c r="C77" s="1070"/>
      <c r="D77" s="1065"/>
      <c r="E77" s="1065"/>
      <c r="F77" s="1065"/>
      <c r="G77" s="1066"/>
      <c r="H77" s="1067"/>
      <c r="I77" s="1067"/>
      <c r="J77" s="1072"/>
      <c r="K77" s="1070"/>
      <c r="L77" s="1065"/>
      <c r="M77" s="1065"/>
      <c r="N77" s="1065"/>
      <c r="O77" s="1066"/>
      <c r="P77" s="1067"/>
      <c r="Q77" s="1067"/>
      <c r="R77" s="1072"/>
      <c r="S77" s="1073"/>
      <c r="T77" s="1074"/>
      <c r="U77" s="1074"/>
      <c r="V77" s="1074"/>
      <c r="W77" s="1074"/>
      <c r="X77" s="1074"/>
      <c r="Y77" s="1072"/>
      <c r="Z77" s="1073"/>
      <c r="AA77" s="1074"/>
      <c r="AB77" s="1074"/>
      <c r="AC77" s="1074"/>
      <c r="AD77" s="1074"/>
      <c r="AE77" s="1074"/>
      <c r="AF77" s="1072"/>
      <c r="AG77" s="1073"/>
      <c r="AH77" s="1074"/>
      <c r="AI77" s="1074"/>
      <c r="AJ77" s="1074"/>
      <c r="AK77" s="1074"/>
    </row>
    <row r="78">
      <c r="A78" s="1072"/>
      <c r="B78" s="1072"/>
      <c r="C78" s="1075"/>
      <c r="D78" s="1065"/>
      <c r="E78" s="1065"/>
      <c r="F78" s="1065"/>
      <c r="G78" s="1066"/>
      <c r="H78" s="1067"/>
      <c r="I78" s="1067"/>
      <c r="J78" s="1072"/>
      <c r="K78" s="1075"/>
      <c r="L78" s="1065"/>
      <c r="M78" s="1065"/>
      <c r="N78" s="1065"/>
      <c r="O78" s="1066"/>
      <c r="P78" s="1067"/>
      <c r="Q78" s="1067"/>
      <c r="R78" s="1072"/>
      <c r="S78" s="1073"/>
      <c r="T78" s="1074"/>
      <c r="U78" s="1074"/>
      <c r="V78" s="1074"/>
      <c r="W78" s="1074"/>
      <c r="X78" s="1074"/>
      <c r="Y78" s="1072"/>
      <c r="Z78" s="1073"/>
      <c r="AA78" s="1074"/>
      <c r="AB78" s="1074"/>
      <c r="AC78" s="1074"/>
      <c r="AD78" s="1074"/>
      <c r="AE78" s="1074"/>
      <c r="AF78" s="1072"/>
      <c r="AG78" s="1073"/>
      <c r="AH78" s="1074"/>
      <c r="AI78" s="1074"/>
      <c r="AJ78" s="1074"/>
      <c r="AK78" s="1074"/>
    </row>
    <row r="79">
      <c r="A79" s="1072"/>
      <c r="B79" s="1072"/>
      <c r="C79" s="1075"/>
      <c r="D79" s="1065"/>
      <c r="E79" s="1065"/>
      <c r="F79" s="1065"/>
      <c r="G79" s="1066"/>
      <c r="H79" s="1067"/>
      <c r="I79" s="1067"/>
      <c r="J79" s="1072"/>
      <c r="K79" s="1075"/>
      <c r="L79" s="1065"/>
      <c r="M79" s="1065"/>
      <c r="N79" s="1065"/>
      <c r="O79" s="1066"/>
      <c r="P79" s="1067"/>
      <c r="Q79" s="1067"/>
      <c r="R79" s="1072"/>
      <c r="S79" s="1073"/>
      <c r="T79" s="1074"/>
      <c r="U79" s="1074"/>
      <c r="V79" s="1074"/>
      <c r="W79" s="1074"/>
      <c r="X79" s="1074"/>
      <c r="Y79" s="1072"/>
      <c r="Z79" s="1073"/>
      <c r="AA79" s="1074"/>
      <c r="AB79" s="1074"/>
      <c r="AC79" s="1074"/>
      <c r="AD79" s="1074"/>
      <c r="AE79" s="1074"/>
      <c r="AF79" s="1072"/>
      <c r="AG79" s="1073"/>
      <c r="AH79" s="1074"/>
      <c r="AI79" s="1074"/>
      <c r="AJ79" s="1074"/>
      <c r="AK79" s="1074"/>
    </row>
    <row r="80">
      <c r="A80" s="1072"/>
      <c r="B80" s="1072"/>
      <c r="C80" s="1075"/>
      <c r="D80" s="1065"/>
      <c r="E80" s="1065"/>
      <c r="F80" s="1065"/>
      <c r="G80" s="1066"/>
      <c r="H80" s="1067"/>
      <c r="I80" s="1067"/>
      <c r="J80" s="1072"/>
      <c r="K80" s="1075"/>
      <c r="L80" s="1065"/>
      <c r="M80" s="1065"/>
      <c r="N80" s="1065"/>
      <c r="O80" s="1066"/>
      <c r="P80" s="1067"/>
      <c r="Q80" s="1067"/>
      <c r="R80" s="1072"/>
      <c r="S80" s="1073"/>
      <c r="T80" s="1074"/>
      <c r="U80" s="1074"/>
      <c r="V80" s="1074"/>
      <c r="W80" s="1074"/>
      <c r="X80" s="1074"/>
      <c r="Y80" s="1072"/>
      <c r="Z80" s="1073"/>
      <c r="AA80" s="1074"/>
      <c r="AB80" s="1074"/>
      <c r="AC80" s="1074"/>
      <c r="AD80" s="1074"/>
      <c r="AE80" s="1074"/>
      <c r="AF80" s="1072"/>
      <c r="AG80" s="1073"/>
      <c r="AH80" s="1074"/>
      <c r="AI80" s="1074"/>
      <c r="AJ80" s="1074"/>
      <c r="AK80" s="1074"/>
    </row>
    <row r="81">
      <c r="A81" s="1072"/>
      <c r="B81" s="1072"/>
      <c r="C81" s="1075"/>
      <c r="D81" s="1065"/>
      <c r="E81" s="1065"/>
      <c r="F81" s="1065"/>
      <c r="G81" s="1066"/>
      <c r="H81" s="1067"/>
      <c r="I81" s="1067"/>
      <c r="J81" s="1072"/>
      <c r="K81" s="1075"/>
      <c r="L81" s="1065"/>
      <c r="M81" s="1065"/>
      <c r="N81" s="1065"/>
      <c r="O81" s="1066"/>
      <c r="P81" s="1067"/>
      <c r="Q81" s="1067"/>
      <c r="R81" s="1072"/>
      <c r="S81" s="1073"/>
      <c r="T81" s="1074"/>
      <c r="U81" s="1074"/>
      <c r="V81" s="1074"/>
      <c r="W81" s="1074"/>
      <c r="X81" s="1074"/>
      <c r="Y81" s="1072"/>
      <c r="Z81" s="1073"/>
      <c r="AA81" s="1074"/>
      <c r="AB81" s="1074"/>
      <c r="AC81" s="1074"/>
      <c r="AD81" s="1074"/>
      <c r="AE81" s="1074"/>
      <c r="AF81" s="1072"/>
      <c r="AG81" s="1073"/>
      <c r="AH81" s="1074"/>
      <c r="AI81" s="1074"/>
      <c r="AJ81" s="1074"/>
      <c r="AK81" s="1074"/>
    </row>
    <row r="82">
      <c r="A82" s="1072"/>
      <c r="B82" s="1072"/>
      <c r="C82" s="1075"/>
      <c r="D82" s="1065"/>
      <c r="E82" s="1065"/>
      <c r="F82" s="1065"/>
      <c r="G82" s="1066"/>
      <c r="H82" s="1067"/>
      <c r="I82" s="1067"/>
      <c r="J82" s="1072"/>
      <c r="K82" s="1075"/>
      <c r="L82" s="1065"/>
      <c r="M82" s="1065"/>
      <c r="N82" s="1065"/>
      <c r="O82" s="1066"/>
      <c r="P82" s="1067"/>
      <c r="Q82" s="1067"/>
      <c r="R82" s="1072"/>
      <c r="S82" s="1073"/>
      <c r="T82" s="1074"/>
      <c r="U82" s="1074"/>
      <c r="V82" s="1074"/>
      <c r="W82" s="1074"/>
      <c r="X82" s="1074"/>
      <c r="Y82" s="1072"/>
      <c r="Z82" s="1073"/>
      <c r="AA82" s="1074"/>
      <c r="AB82" s="1074"/>
      <c r="AC82" s="1074"/>
      <c r="AD82" s="1074"/>
      <c r="AE82" s="1074"/>
      <c r="AF82" s="1072"/>
      <c r="AG82" s="1073"/>
      <c r="AH82" s="1074"/>
      <c r="AI82" s="1074"/>
      <c r="AJ82" s="1074"/>
      <c r="AK82" s="1074"/>
    </row>
    <row r="83">
      <c r="A83" s="1072"/>
      <c r="B83" s="1072"/>
      <c r="C83" s="1075"/>
      <c r="D83" s="1065"/>
      <c r="E83" s="1065"/>
      <c r="F83" s="1065"/>
      <c r="G83" s="1066"/>
      <c r="H83" s="1067"/>
      <c r="I83" s="1067"/>
      <c r="J83" s="1072"/>
      <c r="K83" s="1075"/>
      <c r="L83" s="1065"/>
      <c r="M83" s="1065"/>
      <c r="N83" s="1065"/>
      <c r="O83" s="1066"/>
      <c r="P83" s="1067"/>
      <c r="Q83" s="1067"/>
      <c r="R83" s="1072"/>
      <c r="S83" s="1073"/>
      <c r="T83" s="1074"/>
      <c r="U83" s="1074"/>
      <c r="V83" s="1074"/>
      <c r="W83" s="1074"/>
      <c r="X83" s="1074"/>
      <c r="Y83" s="1072"/>
      <c r="Z83" s="1073"/>
      <c r="AA83" s="1074"/>
      <c r="AB83" s="1074"/>
      <c r="AC83" s="1074"/>
      <c r="AD83" s="1074"/>
      <c r="AE83" s="1074"/>
      <c r="AF83" s="1072"/>
      <c r="AG83" s="1073"/>
      <c r="AH83" s="1074"/>
      <c r="AI83" s="1074"/>
      <c r="AJ83" s="1074"/>
      <c r="AK83" s="1074"/>
    </row>
    <row r="84">
      <c r="A84" s="1072"/>
      <c r="B84" s="1072"/>
      <c r="C84" s="1075"/>
      <c r="D84" s="1065"/>
      <c r="E84" s="1065"/>
      <c r="F84" s="1065"/>
      <c r="G84" s="1066"/>
      <c r="H84" s="1067"/>
      <c r="I84" s="1067"/>
      <c r="J84" s="1072"/>
      <c r="K84" s="1075"/>
      <c r="L84" s="1065"/>
      <c r="M84" s="1065"/>
      <c r="N84" s="1065"/>
      <c r="O84" s="1066"/>
      <c r="P84" s="1067"/>
      <c r="Q84" s="1067"/>
      <c r="R84" s="1072"/>
      <c r="S84" s="1073"/>
      <c r="T84" s="1074"/>
      <c r="U84" s="1074"/>
      <c r="V84" s="1074"/>
      <c r="W84" s="1074"/>
      <c r="X84" s="1074"/>
      <c r="Y84" s="1072"/>
      <c r="Z84" s="1073"/>
      <c r="AA84" s="1074"/>
      <c r="AB84" s="1074"/>
      <c r="AC84" s="1074"/>
      <c r="AD84" s="1074"/>
      <c r="AE84" s="1074"/>
      <c r="AF84" s="1072"/>
      <c r="AG84" s="1073"/>
      <c r="AH84" s="1074"/>
      <c r="AI84" s="1074"/>
      <c r="AJ84" s="1074"/>
      <c r="AK84" s="1074"/>
    </row>
    <row r="85">
      <c r="A85" s="1072"/>
      <c r="B85" s="1072"/>
      <c r="C85" s="1075"/>
      <c r="D85" s="1065"/>
      <c r="E85" s="1065"/>
      <c r="F85" s="1065"/>
      <c r="G85" s="1066"/>
      <c r="H85" s="1067"/>
      <c r="I85" s="1067"/>
      <c r="J85" s="1072"/>
      <c r="K85" s="1075"/>
      <c r="L85" s="1065"/>
      <c r="M85" s="1065"/>
      <c r="N85" s="1065"/>
      <c r="O85" s="1066"/>
      <c r="P85" s="1067"/>
      <c r="Q85" s="1067"/>
      <c r="R85" s="1072"/>
      <c r="S85" s="1073"/>
      <c r="T85" s="1074"/>
      <c r="U85" s="1074"/>
      <c r="V85" s="1074"/>
      <c r="W85" s="1074"/>
      <c r="X85" s="1074"/>
      <c r="Y85" s="1072"/>
      <c r="Z85" s="1073"/>
      <c r="AA85" s="1074"/>
      <c r="AB85" s="1074"/>
      <c r="AC85" s="1074"/>
      <c r="AD85" s="1074"/>
      <c r="AE85" s="1074"/>
      <c r="AF85" s="1072"/>
      <c r="AG85" s="1073"/>
      <c r="AH85" s="1074"/>
      <c r="AI85" s="1074"/>
      <c r="AJ85" s="1074"/>
      <c r="AK85" s="1074"/>
    </row>
    <row r="86">
      <c r="A86" s="1072"/>
      <c r="B86" s="1072"/>
      <c r="C86" s="1075"/>
      <c r="D86" s="1074"/>
      <c r="E86" s="1074"/>
      <c r="F86" s="1074"/>
      <c r="G86" s="1076"/>
      <c r="H86" s="1074"/>
      <c r="I86" s="1074"/>
      <c r="J86" s="1072"/>
      <c r="K86" s="1075"/>
      <c r="L86" s="1074"/>
      <c r="M86" s="1074"/>
      <c r="N86" s="1074"/>
      <c r="O86" s="1076"/>
      <c r="P86" s="1074"/>
      <c r="Q86" s="1074"/>
      <c r="R86" s="1072"/>
      <c r="S86" s="1073"/>
      <c r="T86" s="1074"/>
      <c r="U86" s="1074"/>
      <c r="V86" s="1074"/>
      <c r="W86" s="1074"/>
      <c r="X86" s="1074"/>
      <c r="Y86" s="1072"/>
      <c r="Z86" s="1073"/>
      <c r="AA86" s="1074"/>
      <c r="AB86" s="1074"/>
      <c r="AC86" s="1074"/>
      <c r="AD86" s="1074"/>
      <c r="AE86" s="1074"/>
      <c r="AF86" s="1072"/>
      <c r="AG86" s="1073"/>
      <c r="AH86" s="1074"/>
      <c r="AI86" s="1074"/>
      <c r="AJ86" s="1074"/>
      <c r="AK86" s="1074"/>
    </row>
    <row r="87">
      <c r="A87" s="1072"/>
      <c r="B87" s="1072"/>
      <c r="C87" s="1075"/>
      <c r="D87" s="1074"/>
      <c r="E87" s="1074"/>
      <c r="F87" s="1074"/>
      <c r="G87" s="1076"/>
      <c r="H87" s="1074"/>
      <c r="I87" s="1074"/>
      <c r="J87" s="1072"/>
      <c r="K87" s="1075"/>
      <c r="L87" s="1074"/>
      <c r="M87" s="1074"/>
      <c r="N87" s="1074"/>
      <c r="O87" s="1076"/>
      <c r="P87" s="1074"/>
      <c r="Q87" s="1074"/>
      <c r="R87" s="1072"/>
      <c r="S87" s="1073"/>
      <c r="T87" s="1074"/>
      <c r="U87" s="1074"/>
      <c r="V87" s="1074"/>
      <c r="W87" s="1074"/>
      <c r="X87" s="1074"/>
      <c r="Y87" s="1072"/>
      <c r="Z87" s="1073"/>
      <c r="AA87" s="1074"/>
      <c r="AB87" s="1074"/>
      <c r="AC87" s="1074"/>
      <c r="AD87" s="1074"/>
      <c r="AE87" s="1074"/>
      <c r="AF87" s="1072"/>
      <c r="AG87" s="1073"/>
      <c r="AH87" s="1074"/>
      <c r="AI87" s="1074"/>
      <c r="AJ87" s="1074"/>
      <c r="AK87" s="1074"/>
    </row>
    <row r="88">
      <c r="A88" s="1072"/>
      <c r="B88" s="1072"/>
      <c r="C88" s="1075"/>
      <c r="D88" s="1074"/>
      <c r="E88" s="1074"/>
      <c r="F88" s="1074"/>
      <c r="G88" s="1076"/>
      <c r="H88" s="1074"/>
      <c r="I88" s="1074"/>
      <c r="J88" s="1072"/>
      <c r="K88" s="1075"/>
      <c r="L88" s="1074"/>
      <c r="M88" s="1074"/>
      <c r="N88" s="1074"/>
      <c r="O88" s="1076"/>
      <c r="P88" s="1074"/>
      <c r="Q88" s="1074"/>
      <c r="R88" s="1072"/>
      <c r="S88" s="1073"/>
      <c r="T88" s="1074"/>
      <c r="U88" s="1074"/>
      <c r="V88" s="1074"/>
      <c r="W88" s="1074"/>
      <c r="X88" s="1074"/>
      <c r="Y88" s="1072"/>
      <c r="Z88" s="1073"/>
      <c r="AA88" s="1074"/>
      <c r="AB88" s="1074"/>
      <c r="AC88" s="1074"/>
      <c r="AD88" s="1074"/>
      <c r="AE88" s="1074"/>
      <c r="AF88" s="1072"/>
      <c r="AG88" s="1073"/>
      <c r="AH88" s="1074"/>
      <c r="AI88" s="1074"/>
      <c r="AJ88" s="1074"/>
      <c r="AK88" s="1074"/>
    </row>
    <row r="89">
      <c r="A89" s="1072"/>
      <c r="B89" s="1072"/>
      <c r="C89" s="1075"/>
      <c r="D89" s="1074"/>
      <c r="E89" s="1074"/>
      <c r="F89" s="1074"/>
      <c r="G89" s="1076"/>
      <c r="H89" s="1074"/>
      <c r="I89" s="1074"/>
      <c r="J89" s="1072"/>
      <c r="K89" s="1075"/>
      <c r="L89" s="1074"/>
      <c r="M89" s="1074"/>
      <c r="N89" s="1074"/>
      <c r="O89" s="1076"/>
      <c r="P89" s="1074"/>
      <c r="Q89" s="1074"/>
      <c r="R89" s="1072"/>
      <c r="S89" s="1073"/>
      <c r="T89" s="1074"/>
      <c r="U89" s="1074"/>
      <c r="V89" s="1074"/>
      <c r="W89" s="1074"/>
      <c r="X89" s="1074"/>
      <c r="Y89" s="1072"/>
      <c r="Z89" s="1073"/>
      <c r="AA89" s="1074"/>
      <c r="AB89" s="1074"/>
      <c r="AC89" s="1074"/>
      <c r="AD89" s="1074"/>
      <c r="AE89" s="1074"/>
      <c r="AF89" s="1072"/>
      <c r="AG89" s="1073"/>
      <c r="AH89" s="1074"/>
      <c r="AI89" s="1074"/>
      <c r="AJ89" s="1074"/>
      <c r="AK89" s="1074"/>
    </row>
    <row r="90">
      <c r="A90" s="1072"/>
      <c r="B90" s="1072"/>
      <c r="C90" s="1075"/>
      <c r="D90" s="1074"/>
      <c r="E90" s="1074"/>
      <c r="F90" s="1074"/>
      <c r="G90" s="1076"/>
      <c r="H90" s="1074"/>
      <c r="I90" s="1074"/>
      <c r="J90" s="1072"/>
      <c r="K90" s="1075"/>
      <c r="L90" s="1074"/>
      <c r="M90" s="1074"/>
      <c r="N90" s="1074"/>
      <c r="O90" s="1076"/>
      <c r="P90" s="1074"/>
      <c r="Q90" s="1074"/>
      <c r="R90" s="1072"/>
      <c r="S90" s="1073"/>
      <c r="T90" s="1074"/>
      <c r="U90" s="1074"/>
      <c r="V90" s="1074"/>
      <c r="W90" s="1074"/>
      <c r="X90" s="1074"/>
      <c r="Y90" s="1072"/>
      <c r="Z90" s="1073"/>
      <c r="AA90" s="1074"/>
      <c r="AB90" s="1074"/>
      <c r="AC90" s="1074"/>
      <c r="AD90" s="1074"/>
      <c r="AE90" s="1074"/>
      <c r="AF90" s="1072"/>
      <c r="AG90" s="1073"/>
      <c r="AH90" s="1074"/>
      <c r="AI90" s="1074"/>
      <c r="AJ90" s="1074"/>
      <c r="AK90" s="1074"/>
    </row>
    <row r="91">
      <c r="A91" s="1072"/>
      <c r="B91" s="1072"/>
      <c r="C91" s="1075"/>
      <c r="D91" s="1074"/>
      <c r="E91" s="1074"/>
      <c r="F91" s="1074"/>
      <c r="G91" s="1076"/>
      <c r="H91" s="1074"/>
      <c r="I91" s="1074"/>
      <c r="J91" s="1072"/>
      <c r="K91" s="1075"/>
      <c r="L91" s="1074"/>
      <c r="M91" s="1074"/>
      <c r="N91" s="1074"/>
      <c r="O91" s="1076"/>
      <c r="P91" s="1074"/>
      <c r="Q91" s="1074"/>
      <c r="R91" s="1072"/>
      <c r="S91" s="1073"/>
      <c r="T91" s="1074"/>
      <c r="U91" s="1074"/>
      <c r="V91" s="1074"/>
      <c r="W91" s="1074"/>
      <c r="X91" s="1074"/>
      <c r="Y91" s="1072"/>
      <c r="Z91" s="1073"/>
      <c r="AA91" s="1074"/>
      <c r="AB91" s="1074"/>
      <c r="AC91" s="1074"/>
      <c r="AD91" s="1074"/>
      <c r="AE91" s="1074"/>
      <c r="AF91" s="1072"/>
      <c r="AG91" s="1073"/>
      <c r="AH91" s="1074"/>
      <c r="AI91" s="1074"/>
      <c r="AJ91" s="1074"/>
      <c r="AK91" s="1074"/>
    </row>
    <row r="92">
      <c r="A92" s="1072"/>
      <c r="B92" s="1072"/>
      <c r="C92" s="1075"/>
      <c r="D92" s="1074"/>
      <c r="E92" s="1074"/>
      <c r="F92" s="1074"/>
      <c r="G92" s="1076"/>
      <c r="H92" s="1074"/>
      <c r="I92" s="1074"/>
      <c r="J92" s="1072"/>
      <c r="K92" s="1075"/>
      <c r="L92" s="1074"/>
      <c r="M92" s="1074"/>
      <c r="N92" s="1074"/>
      <c r="O92" s="1076"/>
      <c r="P92" s="1074"/>
      <c r="Q92" s="1074"/>
      <c r="R92" s="1072"/>
      <c r="S92" s="1073"/>
      <c r="T92" s="1074"/>
      <c r="U92" s="1074"/>
      <c r="V92" s="1074"/>
      <c r="W92" s="1074"/>
      <c r="X92" s="1074"/>
      <c r="Y92" s="1072"/>
      <c r="Z92" s="1073"/>
      <c r="AA92" s="1074"/>
      <c r="AB92" s="1074"/>
      <c r="AC92" s="1074"/>
      <c r="AD92" s="1074"/>
      <c r="AE92" s="1074"/>
      <c r="AF92" s="1072"/>
      <c r="AG92" s="1073"/>
      <c r="AH92" s="1074"/>
      <c r="AI92" s="1074"/>
      <c r="AJ92" s="1074"/>
      <c r="AK92" s="1074"/>
    </row>
    <row r="93">
      <c r="A93" s="1072"/>
      <c r="B93" s="1072"/>
      <c r="C93" s="1075"/>
      <c r="D93" s="1074"/>
      <c r="E93" s="1074"/>
      <c r="F93" s="1074"/>
      <c r="G93" s="1076"/>
      <c r="H93" s="1074"/>
      <c r="I93" s="1074"/>
      <c r="J93" s="1072"/>
      <c r="K93" s="1075"/>
      <c r="L93" s="1074"/>
      <c r="M93" s="1074"/>
      <c r="N93" s="1074"/>
      <c r="O93" s="1076"/>
      <c r="P93" s="1074"/>
      <c r="Q93" s="1074"/>
      <c r="R93" s="1072"/>
      <c r="S93" s="1073"/>
      <c r="T93" s="1074"/>
      <c r="U93" s="1074"/>
      <c r="V93" s="1074"/>
      <c r="W93" s="1074"/>
      <c r="X93" s="1074"/>
      <c r="Y93" s="1072"/>
      <c r="Z93" s="1073"/>
      <c r="AA93" s="1074"/>
      <c r="AB93" s="1074"/>
      <c r="AC93" s="1074"/>
      <c r="AD93" s="1074"/>
      <c r="AE93" s="1074"/>
      <c r="AF93" s="1072"/>
      <c r="AG93" s="1073"/>
      <c r="AH93" s="1074"/>
      <c r="AI93" s="1074"/>
      <c r="AJ93" s="1074"/>
      <c r="AK93" s="1074"/>
    </row>
    <row r="94">
      <c r="A94" s="1072"/>
      <c r="B94" s="1072"/>
      <c r="C94" s="1075"/>
      <c r="D94" s="1074"/>
      <c r="E94" s="1074"/>
      <c r="F94" s="1074"/>
      <c r="G94" s="1076"/>
      <c r="H94" s="1074"/>
      <c r="I94" s="1074"/>
      <c r="J94" s="1072"/>
      <c r="K94" s="1075"/>
      <c r="L94" s="1074"/>
      <c r="M94" s="1074"/>
      <c r="N94" s="1074"/>
      <c r="O94" s="1076"/>
      <c r="P94" s="1074"/>
      <c r="Q94" s="1074"/>
      <c r="R94" s="1072"/>
      <c r="S94" s="1073"/>
      <c r="T94" s="1074"/>
      <c r="U94" s="1074"/>
      <c r="V94" s="1074"/>
      <c r="W94" s="1074"/>
      <c r="X94" s="1074"/>
      <c r="Y94" s="1072"/>
      <c r="Z94" s="1073"/>
      <c r="AA94" s="1074"/>
      <c r="AB94" s="1074"/>
      <c r="AC94" s="1074"/>
      <c r="AD94" s="1074"/>
      <c r="AE94" s="1074"/>
      <c r="AF94" s="1072"/>
      <c r="AG94" s="1073"/>
      <c r="AH94" s="1074"/>
      <c r="AI94" s="1074"/>
      <c r="AJ94" s="1074"/>
      <c r="AK94" s="1074"/>
    </row>
    <row r="95">
      <c r="A95" s="1072"/>
      <c r="B95" s="1072"/>
      <c r="C95" s="1075"/>
      <c r="D95" s="1074"/>
      <c r="E95" s="1074"/>
      <c r="F95" s="1074"/>
      <c r="G95" s="1076"/>
      <c r="H95" s="1074"/>
      <c r="I95" s="1074"/>
      <c r="J95" s="1072"/>
      <c r="K95" s="1075"/>
      <c r="L95" s="1074"/>
      <c r="M95" s="1074"/>
      <c r="N95" s="1074"/>
      <c r="O95" s="1076"/>
      <c r="P95" s="1074"/>
      <c r="Q95" s="1074"/>
      <c r="R95" s="1072"/>
      <c r="S95" s="1073"/>
      <c r="T95" s="1074"/>
      <c r="U95" s="1074"/>
      <c r="V95" s="1074"/>
      <c r="W95" s="1074"/>
      <c r="X95" s="1074"/>
      <c r="Y95" s="1072"/>
      <c r="Z95" s="1073"/>
      <c r="AA95" s="1074"/>
      <c r="AB95" s="1074"/>
      <c r="AC95" s="1074"/>
      <c r="AD95" s="1074"/>
      <c r="AE95" s="1074"/>
      <c r="AF95" s="1072"/>
      <c r="AG95" s="1073"/>
      <c r="AH95" s="1074"/>
      <c r="AI95" s="1074"/>
      <c r="AJ95" s="1074"/>
      <c r="AK95" s="1074"/>
    </row>
    <row r="96">
      <c r="A96" s="1072"/>
      <c r="B96" s="1072"/>
      <c r="C96" s="1075"/>
      <c r="D96" s="1074"/>
      <c r="E96" s="1074"/>
      <c r="F96" s="1074"/>
      <c r="G96" s="1076"/>
      <c r="H96" s="1074"/>
      <c r="I96" s="1074"/>
      <c r="J96" s="1072"/>
      <c r="K96" s="1075"/>
      <c r="L96" s="1074"/>
      <c r="M96" s="1074"/>
      <c r="N96" s="1074"/>
      <c r="O96" s="1076"/>
      <c r="P96" s="1074"/>
      <c r="Q96" s="1074"/>
      <c r="R96" s="1072"/>
      <c r="S96" s="1073"/>
      <c r="T96" s="1074"/>
      <c r="U96" s="1074"/>
      <c r="V96" s="1074"/>
      <c r="W96" s="1074"/>
      <c r="X96" s="1074"/>
      <c r="Y96" s="1072"/>
      <c r="Z96" s="1073"/>
      <c r="AA96" s="1074"/>
      <c r="AB96" s="1074"/>
      <c r="AC96" s="1074"/>
      <c r="AD96" s="1074"/>
      <c r="AE96" s="1074"/>
      <c r="AF96" s="1072"/>
      <c r="AG96" s="1073"/>
      <c r="AH96" s="1074"/>
      <c r="AI96" s="1074"/>
      <c r="AJ96" s="1074"/>
      <c r="AK96" s="1074"/>
    </row>
    <row r="97">
      <c r="A97" s="1072"/>
      <c r="B97" s="1072"/>
      <c r="C97" s="1075"/>
      <c r="D97" s="1074"/>
      <c r="E97" s="1074"/>
      <c r="F97" s="1074"/>
      <c r="G97" s="1076"/>
      <c r="H97" s="1074"/>
      <c r="I97" s="1074"/>
      <c r="J97" s="1072"/>
      <c r="K97" s="1075"/>
      <c r="L97" s="1074"/>
      <c r="M97" s="1074"/>
      <c r="N97" s="1074"/>
      <c r="O97" s="1076"/>
      <c r="P97" s="1074"/>
      <c r="Q97" s="1074"/>
      <c r="R97" s="1072"/>
      <c r="S97" s="1073"/>
      <c r="T97" s="1074"/>
      <c r="U97" s="1074"/>
      <c r="V97" s="1074"/>
      <c r="W97" s="1074"/>
      <c r="X97" s="1074"/>
      <c r="Y97" s="1072"/>
      <c r="Z97" s="1073"/>
      <c r="AA97" s="1074"/>
      <c r="AB97" s="1074"/>
      <c r="AC97" s="1074"/>
      <c r="AD97" s="1074"/>
      <c r="AE97" s="1074"/>
      <c r="AF97" s="1072"/>
      <c r="AG97" s="1073"/>
      <c r="AH97" s="1074"/>
      <c r="AI97" s="1074"/>
      <c r="AJ97" s="1074"/>
      <c r="AK97" s="1074"/>
    </row>
    <row r="98">
      <c r="A98" s="1072"/>
      <c r="B98" s="1072"/>
      <c r="C98" s="1075"/>
      <c r="D98" s="1074"/>
      <c r="E98" s="1074"/>
      <c r="F98" s="1074"/>
      <c r="G98" s="1076"/>
      <c r="H98" s="1074"/>
      <c r="I98" s="1074"/>
      <c r="J98" s="1072"/>
      <c r="K98" s="1075"/>
      <c r="L98" s="1074"/>
      <c r="M98" s="1074"/>
      <c r="N98" s="1074"/>
      <c r="O98" s="1076"/>
      <c r="P98" s="1074"/>
      <c r="Q98" s="1074"/>
      <c r="R98" s="1072"/>
      <c r="S98" s="1073"/>
      <c r="T98" s="1074"/>
      <c r="U98" s="1074"/>
      <c r="V98" s="1074"/>
      <c r="W98" s="1074"/>
      <c r="X98" s="1074"/>
      <c r="Y98" s="1072"/>
      <c r="Z98" s="1073"/>
      <c r="AA98" s="1074"/>
      <c r="AB98" s="1074"/>
      <c r="AC98" s="1074"/>
      <c r="AD98" s="1074"/>
      <c r="AE98" s="1074"/>
      <c r="AF98" s="1072"/>
      <c r="AG98" s="1073"/>
      <c r="AH98" s="1074"/>
      <c r="AI98" s="1074"/>
      <c r="AJ98" s="1074"/>
      <c r="AK98" s="1074"/>
    </row>
    <row r="99">
      <c r="A99" s="1072"/>
      <c r="B99" s="1072"/>
      <c r="C99" s="1075"/>
      <c r="D99" s="1074"/>
      <c r="E99" s="1074"/>
      <c r="F99" s="1074"/>
      <c r="G99" s="1076"/>
      <c r="H99" s="1074"/>
      <c r="I99" s="1074"/>
      <c r="J99" s="1072"/>
      <c r="K99" s="1075"/>
      <c r="L99" s="1074"/>
      <c r="M99" s="1074"/>
      <c r="N99" s="1074"/>
      <c r="O99" s="1076"/>
      <c r="P99" s="1074"/>
      <c r="Q99" s="1074"/>
      <c r="R99" s="1072"/>
      <c r="S99" s="1073"/>
      <c r="T99" s="1074"/>
      <c r="U99" s="1074"/>
      <c r="V99" s="1074"/>
      <c r="W99" s="1074"/>
      <c r="X99" s="1074"/>
      <c r="Y99" s="1072"/>
      <c r="Z99" s="1073"/>
      <c r="AA99" s="1074"/>
      <c r="AB99" s="1074"/>
      <c r="AC99" s="1074"/>
      <c r="AD99" s="1074"/>
      <c r="AE99" s="1074"/>
      <c r="AF99" s="1072"/>
      <c r="AG99" s="1073"/>
      <c r="AH99" s="1074"/>
      <c r="AI99" s="1074"/>
      <c r="AJ99" s="1074"/>
      <c r="AK99" s="1074"/>
    </row>
    <row r="100">
      <c r="A100" s="1072"/>
      <c r="B100" s="1072"/>
      <c r="C100" s="1075"/>
      <c r="D100" s="1074"/>
      <c r="E100" s="1074"/>
      <c r="F100" s="1074"/>
      <c r="G100" s="1076"/>
      <c r="H100" s="1074"/>
      <c r="I100" s="1074"/>
      <c r="J100" s="1072"/>
      <c r="K100" s="1075"/>
      <c r="L100" s="1074"/>
      <c r="M100" s="1074"/>
      <c r="N100" s="1074"/>
      <c r="O100" s="1076"/>
      <c r="P100" s="1074"/>
      <c r="Q100" s="1074"/>
      <c r="R100" s="1072"/>
      <c r="S100" s="1073"/>
      <c r="T100" s="1074"/>
      <c r="U100" s="1074"/>
      <c r="V100" s="1074"/>
      <c r="W100" s="1074"/>
      <c r="X100" s="1074"/>
      <c r="Y100" s="1072"/>
      <c r="Z100" s="1073"/>
      <c r="AA100" s="1074"/>
      <c r="AB100" s="1074"/>
      <c r="AC100" s="1074"/>
      <c r="AD100" s="1074"/>
      <c r="AE100" s="1074"/>
      <c r="AF100" s="1072"/>
      <c r="AG100" s="1073"/>
      <c r="AH100" s="1074"/>
      <c r="AI100" s="1074"/>
      <c r="AJ100" s="1074"/>
      <c r="AK100" s="1074"/>
    </row>
    <row r="101">
      <c r="A101" s="1072"/>
      <c r="B101" s="1072"/>
      <c r="C101" s="1075"/>
      <c r="D101" s="1074"/>
      <c r="E101" s="1074"/>
      <c r="F101" s="1074"/>
      <c r="G101" s="1076"/>
      <c r="H101" s="1074"/>
      <c r="I101" s="1074"/>
      <c r="J101" s="1072"/>
      <c r="K101" s="1075"/>
      <c r="L101" s="1074"/>
      <c r="M101" s="1074"/>
      <c r="N101" s="1074"/>
      <c r="O101" s="1076"/>
      <c r="P101" s="1074"/>
      <c r="Q101" s="1074"/>
      <c r="R101" s="1072"/>
      <c r="S101" s="1073"/>
      <c r="T101" s="1074"/>
      <c r="U101" s="1074"/>
      <c r="V101" s="1074"/>
      <c r="W101" s="1074"/>
      <c r="X101" s="1074"/>
      <c r="Y101" s="1072"/>
      <c r="Z101" s="1073"/>
      <c r="AA101" s="1074"/>
      <c r="AB101" s="1074"/>
      <c r="AC101" s="1074"/>
      <c r="AD101" s="1074"/>
      <c r="AE101" s="1074"/>
      <c r="AF101" s="1072"/>
      <c r="AG101" s="1073"/>
      <c r="AH101" s="1074"/>
      <c r="AI101" s="1074"/>
      <c r="AJ101" s="1074"/>
      <c r="AK101" s="1074"/>
    </row>
    <row r="102">
      <c r="A102" s="1072"/>
      <c r="B102" s="1072"/>
      <c r="C102" s="1075"/>
      <c r="D102" s="1074"/>
      <c r="E102" s="1074"/>
      <c r="F102" s="1074"/>
      <c r="G102" s="1076"/>
      <c r="H102" s="1074"/>
      <c r="I102" s="1074"/>
      <c r="J102" s="1072"/>
      <c r="K102" s="1075"/>
      <c r="L102" s="1074"/>
      <c r="M102" s="1074"/>
      <c r="N102" s="1074"/>
      <c r="O102" s="1076"/>
      <c r="P102" s="1074"/>
      <c r="Q102" s="1074"/>
      <c r="R102" s="1072"/>
      <c r="S102" s="1073"/>
      <c r="T102" s="1074"/>
      <c r="U102" s="1074"/>
      <c r="V102" s="1074"/>
      <c r="W102" s="1074"/>
      <c r="X102" s="1074"/>
      <c r="Y102" s="1072"/>
      <c r="Z102" s="1073"/>
      <c r="AA102" s="1074"/>
      <c r="AB102" s="1074"/>
      <c r="AC102" s="1074"/>
      <c r="AD102" s="1074"/>
      <c r="AE102" s="1074"/>
      <c r="AF102" s="1072"/>
      <c r="AG102" s="1073"/>
      <c r="AH102" s="1074"/>
      <c r="AI102" s="1074"/>
      <c r="AJ102" s="1074"/>
      <c r="AK102" s="1074"/>
    </row>
    <row r="103">
      <c r="A103" s="1072"/>
      <c r="B103" s="1072"/>
      <c r="C103" s="1075"/>
      <c r="D103" s="1074"/>
      <c r="E103" s="1074"/>
      <c r="F103" s="1074"/>
      <c r="G103" s="1076"/>
      <c r="H103" s="1074"/>
      <c r="I103" s="1074"/>
      <c r="J103" s="1072"/>
      <c r="K103" s="1075"/>
      <c r="L103" s="1074"/>
      <c r="M103" s="1074"/>
      <c r="N103" s="1074"/>
      <c r="O103" s="1076"/>
      <c r="P103" s="1074"/>
      <c r="Q103" s="1074"/>
      <c r="R103" s="1072"/>
      <c r="S103" s="1073"/>
      <c r="T103" s="1074"/>
      <c r="U103" s="1074"/>
      <c r="V103" s="1074"/>
      <c r="W103" s="1074"/>
      <c r="X103" s="1074"/>
      <c r="Y103" s="1072"/>
      <c r="Z103" s="1073"/>
      <c r="AA103" s="1074"/>
      <c r="AB103" s="1074"/>
      <c r="AC103" s="1074"/>
      <c r="AD103" s="1074"/>
      <c r="AE103" s="1074"/>
      <c r="AF103" s="1072"/>
      <c r="AG103" s="1073"/>
      <c r="AH103" s="1074"/>
      <c r="AI103" s="1074"/>
      <c r="AJ103" s="1074"/>
      <c r="AK103" s="1074"/>
    </row>
    <row r="104">
      <c r="A104" s="1072"/>
      <c r="B104" s="1072"/>
      <c r="C104" s="1075"/>
      <c r="D104" s="1074"/>
      <c r="E104" s="1074"/>
      <c r="F104" s="1074"/>
      <c r="G104" s="1076"/>
      <c r="H104" s="1074"/>
      <c r="I104" s="1074"/>
      <c r="J104" s="1072"/>
      <c r="K104" s="1075"/>
      <c r="L104" s="1074"/>
      <c r="M104" s="1074"/>
      <c r="N104" s="1074"/>
      <c r="O104" s="1076"/>
      <c r="P104" s="1074"/>
      <c r="Q104" s="1074"/>
      <c r="R104" s="1072"/>
      <c r="S104" s="1073"/>
      <c r="T104" s="1074"/>
      <c r="U104" s="1074"/>
      <c r="V104" s="1074"/>
      <c r="W104" s="1074"/>
      <c r="X104" s="1074"/>
      <c r="Y104" s="1072"/>
      <c r="Z104" s="1073"/>
      <c r="AA104" s="1074"/>
      <c r="AB104" s="1074"/>
      <c r="AC104" s="1074"/>
      <c r="AD104" s="1074"/>
      <c r="AE104" s="1074"/>
      <c r="AF104" s="1072"/>
      <c r="AG104" s="1073"/>
      <c r="AH104" s="1074"/>
      <c r="AI104" s="1074"/>
      <c r="AJ104" s="1074"/>
      <c r="AK104" s="1074"/>
    </row>
    <row r="105">
      <c r="A105" s="1072"/>
      <c r="B105" s="1072"/>
      <c r="C105" s="1075"/>
      <c r="D105" s="1074"/>
      <c r="E105" s="1074"/>
      <c r="F105" s="1074"/>
      <c r="G105" s="1076"/>
      <c r="H105" s="1074"/>
      <c r="I105" s="1074"/>
      <c r="J105" s="1072"/>
      <c r="K105" s="1075"/>
      <c r="L105" s="1074"/>
      <c r="M105" s="1074"/>
      <c r="N105" s="1074"/>
      <c r="O105" s="1076"/>
      <c r="P105" s="1074"/>
      <c r="Q105" s="1074"/>
      <c r="R105" s="1072"/>
      <c r="S105" s="1073"/>
      <c r="T105" s="1074"/>
      <c r="U105" s="1074"/>
      <c r="V105" s="1074"/>
      <c r="W105" s="1074"/>
      <c r="X105" s="1074"/>
      <c r="Y105" s="1072"/>
      <c r="Z105" s="1073"/>
      <c r="AA105" s="1074"/>
      <c r="AB105" s="1074"/>
      <c r="AC105" s="1074"/>
      <c r="AD105" s="1074"/>
      <c r="AE105" s="1074"/>
      <c r="AF105" s="1072"/>
      <c r="AG105" s="1073"/>
      <c r="AH105" s="1074"/>
      <c r="AI105" s="1074"/>
      <c r="AJ105" s="1074"/>
      <c r="AK105" s="1074"/>
    </row>
    <row r="106">
      <c r="A106" s="1072"/>
      <c r="B106" s="1072"/>
      <c r="C106" s="1075"/>
      <c r="D106" s="1074"/>
      <c r="E106" s="1074"/>
      <c r="F106" s="1074"/>
      <c r="G106" s="1076"/>
      <c r="H106" s="1074"/>
      <c r="I106" s="1074"/>
      <c r="J106" s="1072"/>
      <c r="K106" s="1075"/>
      <c r="L106" s="1074"/>
      <c r="M106" s="1074"/>
      <c r="N106" s="1074"/>
      <c r="O106" s="1076"/>
      <c r="P106" s="1074"/>
      <c r="Q106" s="1074"/>
      <c r="R106" s="1072"/>
      <c r="S106" s="1073"/>
      <c r="T106" s="1074"/>
      <c r="U106" s="1074"/>
      <c r="V106" s="1074"/>
      <c r="W106" s="1074"/>
      <c r="X106" s="1074"/>
      <c r="Y106" s="1072"/>
      <c r="Z106" s="1073"/>
      <c r="AA106" s="1074"/>
      <c r="AB106" s="1074"/>
      <c r="AC106" s="1074"/>
      <c r="AD106" s="1074"/>
      <c r="AE106" s="1074"/>
      <c r="AF106" s="1072"/>
      <c r="AG106" s="1073"/>
      <c r="AH106" s="1074"/>
      <c r="AI106" s="1074"/>
      <c r="AJ106" s="1074"/>
      <c r="AK106" s="1074"/>
    </row>
    <row r="107">
      <c r="A107" s="1072"/>
      <c r="B107" s="1072"/>
      <c r="C107" s="1075"/>
      <c r="D107" s="1074"/>
      <c r="E107" s="1074"/>
      <c r="F107" s="1074"/>
      <c r="G107" s="1076"/>
      <c r="H107" s="1074"/>
      <c r="I107" s="1074"/>
      <c r="J107" s="1072"/>
      <c r="K107" s="1075"/>
      <c r="L107" s="1074"/>
      <c r="M107" s="1074"/>
      <c r="N107" s="1074"/>
      <c r="O107" s="1076"/>
      <c r="P107" s="1074"/>
      <c r="Q107" s="1074"/>
      <c r="R107" s="1072"/>
      <c r="S107" s="1073"/>
      <c r="T107" s="1074"/>
      <c r="U107" s="1074"/>
      <c r="V107" s="1074"/>
      <c r="W107" s="1074"/>
      <c r="X107" s="1074"/>
      <c r="Y107" s="1072"/>
      <c r="Z107" s="1073"/>
      <c r="AA107" s="1074"/>
      <c r="AB107" s="1074"/>
      <c r="AC107" s="1074"/>
      <c r="AD107" s="1074"/>
      <c r="AE107" s="1074"/>
      <c r="AF107" s="1072"/>
      <c r="AG107" s="1073"/>
      <c r="AH107" s="1074"/>
      <c r="AI107" s="1074"/>
      <c r="AJ107" s="1074"/>
      <c r="AK107" s="1074"/>
    </row>
    <row r="108">
      <c r="A108" s="1072"/>
      <c r="B108" s="1072"/>
      <c r="C108" s="1075"/>
      <c r="D108" s="1074"/>
      <c r="E108" s="1074"/>
      <c r="F108" s="1074"/>
      <c r="G108" s="1076"/>
      <c r="H108" s="1074"/>
      <c r="I108" s="1074"/>
      <c r="J108" s="1072"/>
      <c r="K108" s="1075"/>
      <c r="L108" s="1074"/>
      <c r="M108" s="1074"/>
      <c r="N108" s="1074"/>
      <c r="O108" s="1076"/>
      <c r="P108" s="1074"/>
      <c r="Q108" s="1074"/>
      <c r="R108" s="1072"/>
      <c r="S108" s="1073"/>
      <c r="T108" s="1074"/>
      <c r="U108" s="1074"/>
      <c r="V108" s="1074"/>
      <c r="W108" s="1074"/>
      <c r="X108" s="1074"/>
      <c r="Y108" s="1072"/>
      <c r="Z108" s="1073"/>
      <c r="AA108" s="1074"/>
      <c r="AB108" s="1074"/>
      <c r="AC108" s="1074"/>
      <c r="AD108" s="1074"/>
      <c r="AE108" s="1074"/>
      <c r="AF108" s="1072"/>
      <c r="AG108" s="1073"/>
      <c r="AH108" s="1074"/>
      <c r="AI108" s="1074"/>
      <c r="AJ108" s="1074"/>
      <c r="AK108" s="1074"/>
    </row>
    <row r="109">
      <c r="A109" s="1072"/>
      <c r="B109" s="1072"/>
      <c r="C109" s="1075"/>
      <c r="D109" s="1074"/>
      <c r="E109" s="1074"/>
      <c r="F109" s="1074"/>
      <c r="G109" s="1076"/>
      <c r="H109" s="1074"/>
      <c r="I109" s="1074"/>
      <c r="J109" s="1072"/>
      <c r="K109" s="1075"/>
      <c r="L109" s="1074"/>
      <c r="M109" s="1074"/>
      <c r="N109" s="1074"/>
      <c r="O109" s="1076"/>
      <c r="P109" s="1074"/>
      <c r="Q109" s="1074"/>
      <c r="R109" s="1072"/>
      <c r="S109" s="1073"/>
      <c r="T109" s="1074"/>
      <c r="U109" s="1074"/>
      <c r="V109" s="1074"/>
      <c r="W109" s="1074"/>
      <c r="X109" s="1074"/>
      <c r="Y109" s="1072"/>
      <c r="Z109" s="1073"/>
      <c r="AA109" s="1074"/>
      <c r="AB109" s="1074"/>
      <c r="AC109" s="1074"/>
      <c r="AD109" s="1074"/>
      <c r="AE109" s="1074"/>
      <c r="AF109" s="1072"/>
      <c r="AG109" s="1073"/>
      <c r="AH109" s="1074"/>
      <c r="AI109" s="1074"/>
      <c r="AJ109" s="1074"/>
      <c r="AK109" s="1074"/>
    </row>
    <row r="110">
      <c r="A110" s="1072"/>
      <c r="B110" s="1072"/>
      <c r="C110" s="1075"/>
      <c r="D110" s="1074"/>
      <c r="E110" s="1074"/>
      <c r="F110" s="1074"/>
      <c r="G110" s="1076"/>
      <c r="H110" s="1074"/>
      <c r="I110" s="1074"/>
      <c r="J110" s="1072"/>
      <c r="K110" s="1075"/>
      <c r="L110" s="1074"/>
      <c r="M110" s="1074"/>
      <c r="N110" s="1074"/>
      <c r="O110" s="1076"/>
      <c r="P110" s="1074"/>
      <c r="Q110" s="1074"/>
      <c r="R110" s="1072"/>
      <c r="S110" s="1073"/>
      <c r="T110" s="1074"/>
      <c r="U110" s="1074"/>
      <c r="V110" s="1074"/>
      <c r="W110" s="1074"/>
      <c r="X110" s="1074"/>
      <c r="Y110" s="1072"/>
      <c r="Z110" s="1073"/>
      <c r="AA110" s="1074"/>
      <c r="AB110" s="1074"/>
      <c r="AC110" s="1074"/>
      <c r="AD110" s="1074"/>
      <c r="AE110" s="1074"/>
      <c r="AF110" s="1072"/>
      <c r="AG110" s="1073"/>
      <c r="AH110" s="1074"/>
      <c r="AI110" s="1074"/>
      <c r="AJ110" s="1074"/>
      <c r="AK110" s="1074"/>
    </row>
    <row r="111">
      <c r="A111" s="1072"/>
      <c r="B111" s="1072"/>
      <c r="C111" s="1075"/>
      <c r="D111" s="1074"/>
      <c r="E111" s="1074"/>
      <c r="F111" s="1074"/>
      <c r="G111" s="1076"/>
      <c r="H111" s="1074"/>
      <c r="I111" s="1074"/>
      <c r="J111" s="1072"/>
      <c r="K111" s="1075"/>
      <c r="L111" s="1074"/>
      <c r="M111" s="1074"/>
      <c r="N111" s="1074"/>
      <c r="O111" s="1076"/>
      <c r="P111" s="1074"/>
      <c r="Q111" s="1074"/>
      <c r="R111" s="1072"/>
      <c r="S111" s="1073"/>
      <c r="T111" s="1074"/>
      <c r="U111" s="1074"/>
      <c r="V111" s="1074"/>
      <c r="W111" s="1074"/>
      <c r="X111" s="1074"/>
      <c r="Y111" s="1072"/>
      <c r="Z111" s="1073"/>
      <c r="AA111" s="1074"/>
      <c r="AB111" s="1074"/>
      <c r="AC111" s="1074"/>
      <c r="AD111" s="1074"/>
      <c r="AE111" s="1074"/>
      <c r="AF111" s="1072"/>
      <c r="AG111" s="1073"/>
      <c r="AH111" s="1074"/>
      <c r="AI111" s="1074"/>
      <c r="AJ111" s="1074"/>
      <c r="AK111" s="1074"/>
    </row>
    <row r="112">
      <c r="A112" s="1072"/>
      <c r="B112" s="1072"/>
      <c r="C112" s="1075"/>
      <c r="D112" s="1074"/>
      <c r="E112" s="1074"/>
      <c r="F112" s="1074"/>
      <c r="G112" s="1076"/>
      <c r="H112" s="1074"/>
      <c r="I112" s="1074"/>
      <c r="J112" s="1072"/>
      <c r="K112" s="1075"/>
      <c r="L112" s="1074"/>
      <c r="M112" s="1074"/>
      <c r="N112" s="1074"/>
      <c r="O112" s="1076"/>
      <c r="P112" s="1074"/>
      <c r="Q112" s="1074"/>
      <c r="R112" s="1072"/>
      <c r="S112" s="1073"/>
      <c r="T112" s="1074"/>
      <c r="U112" s="1074"/>
      <c r="V112" s="1074"/>
      <c r="W112" s="1074"/>
      <c r="X112" s="1074"/>
      <c r="Y112" s="1072"/>
      <c r="Z112" s="1073"/>
      <c r="AA112" s="1074"/>
      <c r="AB112" s="1074"/>
      <c r="AC112" s="1074"/>
      <c r="AD112" s="1074"/>
      <c r="AE112" s="1074"/>
      <c r="AF112" s="1072"/>
      <c r="AG112" s="1073"/>
      <c r="AH112" s="1074"/>
      <c r="AI112" s="1074"/>
      <c r="AJ112" s="1074"/>
      <c r="AK112" s="1074"/>
    </row>
    <row r="113">
      <c r="A113" s="1072"/>
      <c r="B113" s="1072"/>
      <c r="C113" s="1075"/>
      <c r="D113" s="1074"/>
      <c r="E113" s="1074"/>
      <c r="F113" s="1074"/>
      <c r="G113" s="1076"/>
      <c r="H113" s="1074"/>
      <c r="I113" s="1074"/>
      <c r="J113" s="1072"/>
      <c r="K113" s="1075"/>
      <c r="L113" s="1074"/>
      <c r="M113" s="1074"/>
      <c r="N113" s="1074"/>
      <c r="O113" s="1076"/>
      <c r="P113" s="1074"/>
      <c r="Q113" s="1074"/>
      <c r="R113" s="1072"/>
      <c r="S113" s="1073"/>
      <c r="T113" s="1074"/>
      <c r="U113" s="1074"/>
      <c r="V113" s="1074"/>
      <c r="W113" s="1074"/>
      <c r="X113" s="1074"/>
      <c r="Y113" s="1072"/>
      <c r="Z113" s="1073"/>
      <c r="AA113" s="1074"/>
      <c r="AB113" s="1074"/>
      <c r="AC113" s="1074"/>
      <c r="AD113" s="1074"/>
      <c r="AE113" s="1074"/>
      <c r="AF113" s="1072"/>
      <c r="AG113" s="1073"/>
      <c r="AH113" s="1074"/>
      <c r="AI113" s="1074"/>
      <c r="AJ113" s="1074"/>
      <c r="AK113" s="1074"/>
    </row>
    <row r="114">
      <c r="A114" s="1072"/>
      <c r="B114" s="1072"/>
      <c r="C114" s="1075"/>
      <c r="D114" s="1074"/>
      <c r="E114" s="1074"/>
      <c r="F114" s="1074"/>
      <c r="G114" s="1076"/>
      <c r="H114" s="1074"/>
      <c r="I114" s="1074"/>
      <c r="J114" s="1072"/>
      <c r="K114" s="1075"/>
      <c r="L114" s="1074"/>
      <c r="M114" s="1074"/>
      <c r="N114" s="1074"/>
      <c r="O114" s="1076"/>
      <c r="P114" s="1074"/>
      <c r="Q114" s="1074"/>
      <c r="R114" s="1072"/>
      <c r="S114" s="1073"/>
      <c r="T114" s="1074"/>
      <c r="U114" s="1074"/>
      <c r="V114" s="1074"/>
      <c r="W114" s="1074"/>
      <c r="X114" s="1074"/>
      <c r="Y114" s="1072"/>
      <c r="Z114" s="1073"/>
      <c r="AA114" s="1074"/>
      <c r="AB114" s="1074"/>
      <c r="AC114" s="1074"/>
      <c r="AD114" s="1074"/>
      <c r="AE114" s="1074"/>
      <c r="AF114" s="1072"/>
      <c r="AG114" s="1073"/>
      <c r="AH114" s="1074"/>
      <c r="AI114" s="1074"/>
      <c r="AJ114" s="1074"/>
      <c r="AK114" s="1074"/>
    </row>
    <row r="115">
      <c r="A115" s="1072"/>
      <c r="B115" s="1072"/>
      <c r="C115" s="1075"/>
      <c r="D115" s="1074"/>
      <c r="E115" s="1074"/>
      <c r="F115" s="1074"/>
      <c r="G115" s="1076"/>
      <c r="H115" s="1074"/>
      <c r="I115" s="1074"/>
      <c r="J115" s="1072"/>
      <c r="K115" s="1075"/>
      <c r="L115" s="1074"/>
      <c r="M115" s="1074"/>
      <c r="N115" s="1074"/>
      <c r="O115" s="1076"/>
      <c r="P115" s="1074"/>
      <c r="Q115" s="1074"/>
      <c r="R115" s="1072"/>
      <c r="S115" s="1073"/>
      <c r="T115" s="1074"/>
      <c r="U115" s="1074"/>
      <c r="V115" s="1074"/>
      <c r="W115" s="1074"/>
      <c r="X115" s="1074"/>
      <c r="Y115" s="1072"/>
      <c r="Z115" s="1073"/>
      <c r="AA115" s="1074"/>
      <c r="AB115" s="1074"/>
      <c r="AC115" s="1074"/>
      <c r="AD115" s="1074"/>
      <c r="AE115" s="1074"/>
      <c r="AF115" s="1072"/>
      <c r="AG115" s="1073"/>
      <c r="AH115" s="1074"/>
      <c r="AI115" s="1074"/>
      <c r="AJ115" s="1074"/>
      <c r="AK115" s="1074"/>
    </row>
    <row r="116">
      <c r="A116" s="1072"/>
      <c r="B116" s="1072"/>
      <c r="C116" s="1075"/>
      <c r="D116" s="1074"/>
      <c r="E116" s="1074"/>
      <c r="F116" s="1074"/>
      <c r="G116" s="1076"/>
      <c r="H116" s="1074"/>
      <c r="I116" s="1074"/>
      <c r="J116" s="1072"/>
      <c r="K116" s="1075"/>
      <c r="L116" s="1074"/>
      <c r="M116" s="1074"/>
      <c r="N116" s="1074"/>
      <c r="O116" s="1076"/>
      <c r="P116" s="1074"/>
      <c r="Q116" s="1074"/>
      <c r="R116" s="1072"/>
      <c r="S116" s="1073"/>
      <c r="T116" s="1074"/>
      <c r="U116" s="1074"/>
      <c r="V116" s="1074"/>
      <c r="W116" s="1074"/>
      <c r="X116" s="1074"/>
      <c r="Y116" s="1072"/>
      <c r="Z116" s="1073"/>
      <c r="AA116" s="1074"/>
      <c r="AB116" s="1074"/>
      <c r="AC116" s="1074"/>
      <c r="AD116" s="1074"/>
      <c r="AE116" s="1074"/>
      <c r="AF116" s="1072"/>
      <c r="AG116" s="1073"/>
      <c r="AH116" s="1074"/>
      <c r="AI116" s="1074"/>
      <c r="AJ116" s="1074"/>
      <c r="AK116" s="1074"/>
    </row>
    <row r="117">
      <c r="A117" s="1072"/>
      <c r="B117" s="1072"/>
      <c r="C117" s="1075"/>
      <c r="D117" s="1074"/>
      <c r="E117" s="1074"/>
      <c r="F117" s="1074"/>
      <c r="G117" s="1076"/>
      <c r="H117" s="1074"/>
      <c r="I117" s="1074"/>
      <c r="J117" s="1072"/>
      <c r="K117" s="1075"/>
      <c r="L117" s="1074"/>
      <c r="M117" s="1074"/>
      <c r="N117" s="1074"/>
      <c r="O117" s="1076"/>
      <c r="P117" s="1074"/>
      <c r="Q117" s="1074"/>
      <c r="R117" s="1072"/>
      <c r="S117" s="1073"/>
      <c r="T117" s="1074"/>
      <c r="U117" s="1074"/>
      <c r="V117" s="1074"/>
      <c r="W117" s="1074"/>
      <c r="X117" s="1074"/>
      <c r="Y117" s="1072"/>
      <c r="Z117" s="1073"/>
      <c r="AA117" s="1074"/>
      <c r="AB117" s="1074"/>
      <c r="AC117" s="1074"/>
      <c r="AD117" s="1074"/>
      <c r="AE117" s="1074"/>
      <c r="AF117" s="1072"/>
      <c r="AG117" s="1073"/>
      <c r="AH117" s="1074"/>
      <c r="AI117" s="1074"/>
      <c r="AJ117" s="1074"/>
      <c r="AK117" s="1074"/>
    </row>
    <row r="118">
      <c r="A118" s="1072"/>
      <c r="B118" s="1072"/>
      <c r="C118" s="1075"/>
      <c r="D118" s="1074"/>
      <c r="E118" s="1074"/>
      <c r="F118" s="1074"/>
      <c r="G118" s="1076"/>
      <c r="H118" s="1074"/>
      <c r="I118" s="1074"/>
      <c r="J118" s="1072"/>
      <c r="K118" s="1075"/>
      <c r="L118" s="1074"/>
      <c r="M118" s="1074"/>
      <c r="N118" s="1074"/>
      <c r="O118" s="1076"/>
      <c r="P118" s="1074"/>
      <c r="Q118" s="1074"/>
      <c r="R118" s="1072"/>
      <c r="S118" s="1073"/>
      <c r="T118" s="1074"/>
      <c r="U118" s="1074"/>
      <c r="V118" s="1074"/>
      <c r="W118" s="1074"/>
      <c r="X118" s="1074"/>
      <c r="Y118" s="1072"/>
      <c r="Z118" s="1073"/>
      <c r="AA118" s="1074"/>
      <c r="AB118" s="1074"/>
      <c r="AC118" s="1074"/>
      <c r="AD118" s="1074"/>
      <c r="AE118" s="1074"/>
      <c r="AF118" s="1072"/>
      <c r="AG118" s="1073"/>
      <c r="AH118" s="1074"/>
      <c r="AI118" s="1074"/>
      <c r="AJ118" s="1074"/>
      <c r="AK118" s="1074"/>
    </row>
    <row r="119">
      <c r="A119" s="1072"/>
      <c r="B119" s="1072"/>
      <c r="C119" s="1075"/>
      <c r="D119" s="1074"/>
      <c r="E119" s="1074"/>
      <c r="F119" s="1074"/>
      <c r="G119" s="1076"/>
      <c r="H119" s="1074"/>
      <c r="I119" s="1074"/>
      <c r="J119" s="1072"/>
      <c r="K119" s="1075"/>
      <c r="L119" s="1074"/>
      <c r="M119" s="1074"/>
      <c r="N119" s="1074"/>
      <c r="O119" s="1076"/>
      <c r="P119" s="1074"/>
      <c r="Q119" s="1074"/>
      <c r="R119" s="1072"/>
      <c r="S119" s="1073"/>
      <c r="T119" s="1074"/>
      <c r="U119" s="1074"/>
      <c r="V119" s="1074"/>
      <c r="W119" s="1074"/>
      <c r="X119" s="1074"/>
      <c r="Y119" s="1072"/>
      <c r="Z119" s="1073"/>
      <c r="AA119" s="1074"/>
      <c r="AB119" s="1074"/>
      <c r="AC119" s="1074"/>
      <c r="AD119" s="1074"/>
      <c r="AE119" s="1074"/>
      <c r="AF119" s="1072"/>
      <c r="AG119" s="1073"/>
      <c r="AH119" s="1074"/>
      <c r="AI119" s="1074"/>
      <c r="AJ119" s="1074"/>
      <c r="AK119" s="1074"/>
    </row>
    <row r="120">
      <c r="A120" s="1072"/>
      <c r="B120" s="1072"/>
      <c r="C120" s="1075"/>
      <c r="D120" s="1074"/>
      <c r="E120" s="1074"/>
      <c r="F120" s="1074"/>
      <c r="G120" s="1076"/>
      <c r="H120" s="1074"/>
      <c r="I120" s="1074"/>
      <c r="J120" s="1072"/>
      <c r="K120" s="1075"/>
      <c r="L120" s="1074"/>
      <c r="M120" s="1074"/>
      <c r="N120" s="1074"/>
      <c r="O120" s="1076"/>
      <c r="P120" s="1074"/>
      <c r="Q120" s="1074"/>
      <c r="R120" s="1072"/>
      <c r="S120" s="1073"/>
      <c r="T120" s="1074"/>
      <c r="U120" s="1074"/>
      <c r="V120" s="1074"/>
      <c r="W120" s="1074"/>
      <c r="X120" s="1074"/>
      <c r="Y120" s="1072"/>
      <c r="Z120" s="1073"/>
      <c r="AA120" s="1074"/>
      <c r="AB120" s="1074"/>
      <c r="AC120" s="1074"/>
      <c r="AD120" s="1074"/>
      <c r="AE120" s="1074"/>
      <c r="AF120" s="1072"/>
      <c r="AG120" s="1073"/>
      <c r="AH120" s="1074"/>
      <c r="AI120" s="1074"/>
      <c r="AJ120" s="1074"/>
      <c r="AK120" s="1074"/>
    </row>
    <row r="121">
      <c r="A121" s="1072"/>
      <c r="B121" s="1072"/>
      <c r="C121" s="1075"/>
      <c r="D121" s="1074"/>
      <c r="E121" s="1074"/>
      <c r="F121" s="1074"/>
      <c r="G121" s="1076"/>
      <c r="H121" s="1074"/>
      <c r="I121" s="1074"/>
      <c r="J121" s="1072"/>
      <c r="K121" s="1075"/>
      <c r="L121" s="1074"/>
      <c r="M121" s="1074"/>
      <c r="N121" s="1074"/>
      <c r="O121" s="1076"/>
      <c r="P121" s="1074"/>
      <c r="Q121" s="1074"/>
      <c r="R121" s="1072"/>
      <c r="S121" s="1073"/>
      <c r="T121" s="1074"/>
      <c r="U121" s="1074"/>
      <c r="V121" s="1074"/>
      <c r="W121" s="1074"/>
      <c r="X121" s="1074"/>
      <c r="Y121" s="1072"/>
      <c r="Z121" s="1073"/>
      <c r="AA121" s="1074"/>
      <c r="AB121" s="1074"/>
      <c r="AC121" s="1074"/>
      <c r="AD121" s="1074"/>
      <c r="AE121" s="1074"/>
      <c r="AF121" s="1072"/>
      <c r="AG121" s="1073"/>
      <c r="AH121" s="1074"/>
      <c r="AI121" s="1074"/>
      <c r="AJ121" s="1074"/>
      <c r="AK121" s="1074"/>
    </row>
    <row r="122">
      <c r="A122" s="1072"/>
      <c r="B122" s="1072"/>
      <c r="C122" s="1075"/>
      <c r="D122" s="1074"/>
      <c r="E122" s="1074"/>
      <c r="F122" s="1074"/>
      <c r="G122" s="1076"/>
      <c r="H122" s="1074"/>
      <c r="I122" s="1074"/>
      <c r="J122" s="1072"/>
      <c r="K122" s="1075"/>
      <c r="L122" s="1074"/>
      <c r="M122" s="1074"/>
      <c r="N122" s="1074"/>
      <c r="O122" s="1076"/>
      <c r="P122" s="1074"/>
      <c r="Q122" s="1074"/>
      <c r="R122" s="1072"/>
      <c r="S122" s="1073"/>
      <c r="T122" s="1074"/>
      <c r="U122" s="1074"/>
      <c r="V122" s="1074"/>
      <c r="W122" s="1074"/>
      <c r="X122" s="1074"/>
      <c r="Y122" s="1072"/>
      <c r="Z122" s="1073"/>
      <c r="AA122" s="1074"/>
      <c r="AB122" s="1074"/>
      <c r="AC122" s="1074"/>
      <c r="AD122" s="1074"/>
      <c r="AE122" s="1074"/>
      <c r="AF122" s="1072"/>
      <c r="AG122" s="1073"/>
      <c r="AH122" s="1074"/>
      <c r="AI122" s="1074"/>
      <c r="AJ122" s="1074"/>
      <c r="AK122" s="1074"/>
    </row>
    <row r="123">
      <c r="A123" s="1072"/>
      <c r="B123" s="1072"/>
      <c r="C123" s="1075"/>
      <c r="D123" s="1074"/>
      <c r="E123" s="1074"/>
      <c r="F123" s="1074"/>
      <c r="G123" s="1076"/>
      <c r="H123" s="1074"/>
      <c r="I123" s="1074"/>
      <c r="J123" s="1072"/>
      <c r="K123" s="1075"/>
      <c r="L123" s="1074"/>
      <c r="M123" s="1074"/>
      <c r="N123" s="1074"/>
      <c r="O123" s="1076"/>
      <c r="P123" s="1074"/>
      <c r="Q123" s="1074"/>
      <c r="R123" s="1072"/>
      <c r="S123" s="1073"/>
      <c r="T123" s="1074"/>
      <c r="U123" s="1074"/>
      <c r="V123" s="1074"/>
      <c r="W123" s="1074"/>
      <c r="X123" s="1074"/>
      <c r="Y123" s="1072"/>
      <c r="Z123" s="1073"/>
      <c r="AA123" s="1074"/>
      <c r="AB123" s="1074"/>
      <c r="AC123" s="1074"/>
      <c r="AD123" s="1074"/>
      <c r="AE123" s="1074"/>
      <c r="AF123" s="1072"/>
      <c r="AG123" s="1073"/>
      <c r="AH123" s="1074"/>
      <c r="AI123" s="1074"/>
      <c r="AJ123" s="1074"/>
      <c r="AK123" s="1074"/>
    </row>
    <row r="124">
      <c r="A124" s="1072"/>
      <c r="B124" s="1072"/>
      <c r="C124" s="1075"/>
      <c r="D124" s="1074"/>
      <c r="E124" s="1074"/>
      <c r="F124" s="1074"/>
      <c r="G124" s="1076"/>
      <c r="H124" s="1074"/>
      <c r="I124" s="1074"/>
      <c r="J124" s="1072"/>
      <c r="K124" s="1075"/>
      <c r="L124" s="1074"/>
      <c r="M124" s="1074"/>
      <c r="N124" s="1074"/>
      <c r="O124" s="1076"/>
      <c r="P124" s="1074"/>
      <c r="Q124" s="1074"/>
      <c r="R124" s="1072"/>
      <c r="S124" s="1073"/>
      <c r="T124" s="1074"/>
      <c r="U124" s="1074"/>
      <c r="V124" s="1074"/>
      <c r="W124" s="1074"/>
      <c r="X124" s="1074"/>
      <c r="Y124" s="1072"/>
      <c r="Z124" s="1073"/>
      <c r="AA124" s="1074"/>
      <c r="AB124" s="1074"/>
      <c r="AC124" s="1074"/>
      <c r="AD124" s="1074"/>
      <c r="AE124" s="1074"/>
      <c r="AF124" s="1072"/>
      <c r="AG124" s="1073"/>
      <c r="AH124" s="1074"/>
      <c r="AI124" s="1074"/>
      <c r="AJ124" s="1074"/>
      <c r="AK124" s="1074"/>
    </row>
    <row r="125">
      <c r="A125" s="1072"/>
      <c r="B125" s="1072"/>
      <c r="C125" s="1075"/>
      <c r="D125" s="1074"/>
      <c r="E125" s="1074"/>
      <c r="F125" s="1074"/>
      <c r="G125" s="1076"/>
      <c r="H125" s="1074"/>
      <c r="I125" s="1074"/>
      <c r="J125" s="1072"/>
      <c r="K125" s="1075"/>
      <c r="L125" s="1074"/>
      <c r="M125" s="1074"/>
      <c r="N125" s="1074"/>
      <c r="O125" s="1076"/>
      <c r="P125" s="1074"/>
      <c r="Q125" s="1074"/>
      <c r="R125" s="1072"/>
      <c r="S125" s="1073"/>
      <c r="T125" s="1074"/>
      <c r="U125" s="1074"/>
      <c r="V125" s="1074"/>
      <c r="W125" s="1074"/>
      <c r="X125" s="1074"/>
      <c r="Y125" s="1072"/>
      <c r="Z125" s="1073"/>
      <c r="AA125" s="1074"/>
      <c r="AB125" s="1074"/>
      <c r="AC125" s="1074"/>
      <c r="AD125" s="1074"/>
      <c r="AE125" s="1074"/>
      <c r="AF125" s="1072"/>
      <c r="AG125" s="1073"/>
      <c r="AH125" s="1074"/>
      <c r="AI125" s="1074"/>
      <c r="AJ125" s="1074"/>
      <c r="AK125" s="1074"/>
    </row>
    <row r="126">
      <c r="A126" s="1072"/>
      <c r="B126" s="1072"/>
      <c r="C126" s="1075"/>
      <c r="D126" s="1074"/>
      <c r="E126" s="1074"/>
      <c r="F126" s="1074"/>
      <c r="G126" s="1076"/>
      <c r="H126" s="1074"/>
      <c r="I126" s="1074"/>
      <c r="J126" s="1072"/>
      <c r="K126" s="1075"/>
      <c r="L126" s="1074"/>
      <c r="M126" s="1074"/>
      <c r="N126" s="1074"/>
      <c r="O126" s="1076"/>
      <c r="P126" s="1074"/>
      <c r="Q126" s="1074"/>
      <c r="R126" s="1072"/>
      <c r="S126" s="1073"/>
      <c r="T126" s="1074"/>
      <c r="U126" s="1074"/>
      <c r="V126" s="1074"/>
      <c r="W126" s="1074"/>
      <c r="X126" s="1074"/>
      <c r="Y126" s="1072"/>
      <c r="Z126" s="1073"/>
      <c r="AA126" s="1074"/>
      <c r="AB126" s="1074"/>
      <c r="AC126" s="1074"/>
      <c r="AD126" s="1074"/>
      <c r="AE126" s="1074"/>
      <c r="AF126" s="1072"/>
      <c r="AG126" s="1073"/>
      <c r="AH126" s="1074"/>
      <c r="AI126" s="1074"/>
      <c r="AJ126" s="1074"/>
      <c r="AK126" s="1074"/>
    </row>
    <row r="127">
      <c r="A127" s="1072"/>
      <c r="B127" s="1072"/>
      <c r="C127" s="1075"/>
      <c r="D127" s="1074"/>
      <c r="E127" s="1074"/>
      <c r="F127" s="1074"/>
      <c r="G127" s="1076"/>
      <c r="H127" s="1074"/>
      <c r="I127" s="1074"/>
      <c r="J127" s="1072"/>
      <c r="K127" s="1075"/>
      <c r="L127" s="1074"/>
      <c r="M127" s="1074"/>
      <c r="N127" s="1074"/>
      <c r="O127" s="1076"/>
      <c r="P127" s="1074"/>
      <c r="Q127" s="1074"/>
      <c r="R127" s="1072"/>
      <c r="S127" s="1073"/>
      <c r="T127" s="1074"/>
      <c r="U127" s="1074"/>
      <c r="V127" s="1074"/>
      <c r="W127" s="1074"/>
      <c r="X127" s="1074"/>
      <c r="Y127" s="1072"/>
      <c r="Z127" s="1073"/>
      <c r="AA127" s="1074"/>
      <c r="AB127" s="1074"/>
      <c r="AC127" s="1074"/>
      <c r="AD127" s="1074"/>
      <c r="AE127" s="1074"/>
      <c r="AF127" s="1072"/>
      <c r="AG127" s="1073"/>
      <c r="AH127" s="1074"/>
      <c r="AI127" s="1074"/>
      <c r="AJ127" s="1074"/>
      <c r="AK127" s="1074"/>
    </row>
    <row r="128">
      <c r="A128" s="1072"/>
      <c r="B128" s="1072"/>
      <c r="C128" s="1075"/>
      <c r="D128" s="1074"/>
      <c r="E128" s="1074"/>
      <c r="F128" s="1074"/>
      <c r="G128" s="1076"/>
      <c r="H128" s="1074"/>
      <c r="I128" s="1074"/>
      <c r="J128" s="1072"/>
      <c r="K128" s="1075"/>
      <c r="L128" s="1074"/>
      <c r="M128" s="1074"/>
      <c r="N128" s="1074"/>
      <c r="O128" s="1076"/>
      <c r="P128" s="1074"/>
      <c r="Q128" s="1074"/>
      <c r="R128" s="1072"/>
      <c r="S128" s="1073"/>
      <c r="T128" s="1074"/>
      <c r="U128" s="1074"/>
      <c r="V128" s="1074"/>
      <c r="W128" s="1074"/>
      <c r="X128" s="1074"/>
      <c r="Y128" s="1072"/>
      <c r="Z128" s="1073"/>
      <c r="AA128" s="1074"/>
      <c r="AB128" s="1074"/>
      <c r="AC128" s="1074"/>
      <c r="AD128" s="1074"/>
      <c r="AE128" s="1074"/>
      <c r="AF128" s="1072"/>
      <c r="AG128" s="1073"/>
      <c r="AH128" s="1074"/>
      <c r="AI128" s="1074"/>
      <c r="AJ128" s="1074"/>
      <c r="AK128" s="1074"/>
    </row>
    <row r="129">
      <c r="A129" s="1072"/>
      <c r="B129" s="1072"/>
      <c r="C129" s="1075"/>
      <c r="D129" s="1074"/>
      <c r="E129" s="1074"/>
      <c r="F129" s="1074"/>
      <c r="G129" s="1076"/>
      <c r="H129" s="1074"/>
      <c r="I129" s="1074"/>
      <c r="J129" s="1072"/>
      <c r="K129" s="1075"/>
      <c r="L129" s="1074"/>
      <c r="M129" s="1074"/>
      <c r="N129" s="1074"/>
      <c r="O129" s="1076"/>
      <c r="P129" s="1074"/>
      <c r="Q129" s="1074"/>
      <c r="R129" s="1072"/>
      <c r="S129" s="1073"/>
      <c r="T129" s="1074"/>
      <c r="U129" s="1074"/>
      <c r="V129" s="1074"/>
      <c r="W129" s="1074"/>
      <c r="X129" s="1074"/>
      <c r="Y129" s="1072"/>
      <c r="Z129" s="1073"/>
      <c r="AA129" s="1074"/>
      <c r="AB129" s="1074"/>
      <c r="AC129" s="1074"/>
      <c r="AD129" s="1074"/>
      <c r="AE129" s="1074"/>
      <c r="AF129" s="1072"/>
      <c r="AG129" s="1073"/>
      <c r="AH129" s="1074"/>
      <c r="AI129" s="1074"/>
      <c r="AJ129" s="1074"/>
      <c r="AK129" s="1074"/>
    </row>
    <row r="130">
      <c r="A130" s="1072"/>
      <c r="B130" s="1072"/>
      <c r="C130" s="1075"/>
      <c r="D130" s="1074"/>
      <c r="E130" s="1074"/>
      <c r="F130" s="1074"/>
      <c r="G130" s="1076"/>
      <c r="H130" s="1074"/>
      <c r="I130" s="1074"/>
      <c r="J130" s="1072"/>
      <c r="K130" s="1075"/>
      <c r="L130" s="1074"/>
      <c r="M130" s="1074"/>
      <c r="N130" s="1074"/>
      <c r="O130" s="1076"/>
      <c r="P130" s="1074"/>
      <c r="Q130" s="1074"/>
      <c r="R130" s="1072"/>
      <c r="S130" s="1073"/>
      <c r="T130" s="1074"/>
      <c r="U130" s="1074"/>
      <c r="V130" s="1074"/>
      <c r="W130" s="1074"/>
      <c r="X130" s="1074"/>
      <c r="Y130" s="1072"/>
      <c r="Z130" s="1073"/>
      <c r="AA130" s="1074"/>
      <c r="AB130" s="1074"/>
      <c r="AC130" s="1074"/>
      <c r="AD130" s="1074"/>
      <c r="AE130" s="1074"/>
      <c r="AF130" s="1072"/>
      <c r="AG130" s="1073"/>
      <c r="AH130" s="1074"/>
      <c r="AI130" s="1074"/>
      <c r="AJ130" s="1074"/>
      <c r="AK130" s="1074"/>
    </row>
    <row r="131">
      <c r="A131" s="1072"/>
      <c r="B131" s="1072"/>
      <c r="C131" s="1075"/>
      <c r="D131" s="1074"/>
      <c r="E131" s="1074"/>
      <c r="F131" s="1074"/>
      <c r="G131" s="1076"/>
      <c r="H131" s="1074"/>
      <c r="I131" s="1074"/>
      <c r="J131" s="1072"/>
      <c r="K131" s="1075"/>
      <c r="L131" s="1074"/>
      <c r="M131" s="1074"/>
      <c r="N131" s="1074"/>
      <c r="O131" s="1076"/>
      <c r="P131" s="1074"/>
      <c r="Q131" s="1074"/>
      <c r="R131" s="1072"/>
      <c r="S131" s="1073"/>
      <c r="T131" s="1074"/>
      <c r="U131" s="1074"/>
      <c r="V131" s="1074"/>
      <c r="W131" s="1074"/>
      <c r="X131" s="1074"/>
      <c r="Y131" s="1072"/>
      <c r="Z131" s="1073"/>
      <c r="AA131" s="1074"/>
      <c r="AB131" s="1074"/>
      <c r="AC131" s="1074"/>
      <c r="AD131" s="1074"/>
      <c r="AE131" s="1074"/>
      <c r="AF131" s="1072"/>
      <c r="AG131" s="1073"/>
      <c r="AH131" s="1074"/>
      <c r="AI131" s="1074"/>
      <c r="AJ131" s="1074"/>
      <c r="AK131" s="1074"/>
    </row>
    <row r="132">
      <c r="A132" s="1072"/>
      <c r="B132" s="1072"/>
      <c r="C132" s="1075"/>
      <c r="D132" s="1074"/>
      <c r="E132" s="1074"/>
      <c r="F132" s="1074"/>
      <c r="G132" s="1076"/>
      <c r="H132" s="1074"/>
      <c r="I132" s="1074"/>
      <c r="J132" s="1072"/>
      <c r="K132" s="1075"/>
      <c r="L132" s="1074"/>
      <c r="M132" s="1074"/>
      <c r="N132" s="1074"/>
      <c r="O132" s="1076"/>
      <c r="P132" s="1074"/>
      <c r="Q132" s="1074"/>
      <c r="R132" s="1072"/>
      <c r="S132" s="1073"/>
      <c r="T132" s="1074"/>
      <c r="U132" s="1074"/>
      <c r="V132" s="1074"/>
      <c r="W132" s="1074"/>
      <c r="X132" s="1074"/>
      <c r="Y132" s="1072"/>
      <c r="Z132" s="1073"/>
      <c r="AA132" s="1074"/>
      <c r="AB132" s="1074"/>
      <c r="AC132" s="1074"/>
      <c r="AD132" s="1074"/>
      <c r="AE132" s="1074"/>
      <c r="AF132" s="1072"/>
      <c r="AG132" s="1073"/>
      <c r="AH132" s="1074"/>
      <c r="AI132" s="1074"/>
      <c r="AJ132" s="1074"/>
      <c r="AK132" s="1074"/>
    </row>
    <row r="133">
      <c r="A133" s="1072"/>
      <c r="B133" s="1072"/>
      <c r="C133" s="1075"/>
      <c r="D133" s="1074"/>
      <c r="E133" s="1074"/>
      <c r="F133" s="1074"/>
      <c r="G133" s="1076"/>
      <c r="H133" s="1074"/>
      <c r="I133" s="1074"/>
      <c r="J133" s="1072"/>
      <c r="K133" s="1075"/>
      <c r="L133" s="1074"/>
      <c r="M133" s="1074"/>
      <c r="N133" s="1074"/>
      <c r="O133" s="1076"/>
      <c r="P133" s="1074"/>
      <c r="Q133" s="1074"/>
      <c r="R133" s="1072"/>
      <c r="S133" s="1073"/>
      <c r="T133" s="1074"/>
      <c r="U133" s="1074"/>
      <c r="V133" s="1074"/>
      <c r="W133" s="1074"/>
      <c r="X133" s="1074"/>
      <c r="Y133" s="1072"/>
      <c r="Z133" s="1073"/>
      <c r="AA133" s="1074"/>
      <c r="AB133" s="1074"/>
      <c r="AC133" s="1074"/>
      <c r="AD133" s="1074"/>
      <c r="AE133" s="1074"/>
      <c r="AF133" s="1072"/>
      <c r="AG133" s="1073"/>
      <c r="AH133" s="1074"/>
      <c r="AI133" s="1074"/>
      <c r="AJ133" s="1074"/>
      <c r="AK133" s="1074"/>
    </row>
    <row r="134">
      <c r="A134" s="1072"/>
      <c r="B134" s="1072"/>
      <c r="C134" s="1075"/>
      <c r="D134" s="1074"/>
      <c r="E134" s="1074"/>
      <c r="F134" s="1074"/>
      <c r="G134" s="1076"/>
      <c r="H134" s="1074"/>
      <c r="I134" s="1074"/>
      <c r="J134" s="1072"/>
      <c r="K134" s="1075"/>
      <c r="L134" s="1074"/>
      <c r="M134" s="1074"/>
      <c r="N134" s="1074"/>
      <c r="O134" s="1076"/>
      <c r="P134" s="1074"/>
      <c r="Q134" s="1074"/>
      <c r="R134" s="1072"/>
      <c r="S134" s="1073"/>
      <c r="T134" s="1074"/>
      <c r="U134" s="1074"/>
      <c r="V134" s="1074"/>
      <c r="W134" s="1074"/>
      <c r="X134" s="1074"/>
      <c r="Y134" s="1072"/>
      <c r="Z134" s="1073"/>
      <c r="AA134" s="1074"/>
      <c r="AB134" s="1074"/>
      <c r="AC134" s="1074"/>
      <c r="AD134" s="1074"/>
      <c r="AE134" s="1074"/>
      <c r="AF134" s="1072"/>
      <c r="AG134" s="1073"/>
      <c r="AH134" s="1074"/>
      <c r="AI134" s="1074"/>
      <c r="AJ134" s="1074"/>
      <c r="AK134" s="1074"/>
    </row>
    <row r="135">
      <c r="A135" s="1072"/>
      <c r="B135" s="1072"/>
      <c r="C135" s="1075"/>
      <c r="D135" s="1074"/>
      <c r="E135" s="1074"/>
      <c r="F135" s="1074"/>
      <c r="G135" s="1076"/>
      <c r="H135" s="1074"/>
      <c r="I135" s="1074"/>
      <c r="J135" s="1072"/>
      <c r="K135" s="1075"/>
      <c r="L135" s="1074"/>
      <c r="M135" s="1074"/>
      <c r="N135" s="1074"/>
      <c r="O135" s="1076"/>
      <c r="P135" s="1074"/>
      <c r="Q135" s="1074"/>
      <c r="R135" s="1072"/>
      <c r="S135" s="1073"/>
      <c r="T135" s="1074"/>
      <c r="U135" s="1074"/>
      <c r="V135" s="1074"/>
      <c r="W135" s="1074"/>
      <c r="X135" s="1074"/>
      <c r="Y135" s="1072"/>
      <c r="Z135" s="1073"/>
      <c r="AA135" s="1074"/>
      <c r="AB135" s="1074"/>
      <c r="AC135" s="1074"/>
      <c r="AD135" s="1074"/>
      <c r="AE135" s="1074"/>
      <c r="AF135" s="1072"/>
      <c r="AG135" s="1073"/>
      <c r="AH135" s="1074"/>
      <c r="AI135" s="1074"/>
      <c r="AJ135" s="1074"/>
      <c r="AK135" s="1074"/>
    </row>
    <row r="136">
      <c r="A136" s="1072"/>
      <c r="B136" s="1072"/>
      <c r="C136" s="1075"/>
      <c r="D136" s="1074"/>
      <c r="E136" s="1074"/>
      <c r="F136" s="1074"/>
      <c r="G136" s="1076"/>
      <c r="H136" s="1074"/>
      <c r="I136" s="1074"/>
      <c r="J136" s="1072"/>
      <c r="K136" s="1075"/>
      <c r="L136" s="1074"/>
      <c r="M136" s="1074"/>
      <c r="N136" s="1074"/>
      <c r="O136" s="1076"/>
      <c r="P136" s="1074"/>
      <c r="Q136" s="1074"/>
      <c r="R136" s="1072"/>
      <c r="S136" s="1073"/>
      <c r="T136" s="1074"/>
      <c r="U136" s="1074"/>
      <c r="V136" s="1074"/>
      <c r="W136" s="1074"/>
      <c r="X136" s="1074"/>
      <c r="Y136" s="1072"/>
      <c r="Z136" s="1073"/>
      <c r="AA136" s="1074"/>
      <c r="AB136" s="1074"/>
      <c r="AC136" s="1074"/>
      <c r="AD136" s="1074"/>
      <c r="AE136" s="1074"/>
      <c r="AF136" s="1072"/>
      <c r="AG136" s="1073"/>
      <c r="AH136" s="1074"/>
      <c r="AI136" s="1074"/>
      <c r="AJ136" s="1074"/>
      <c r="AK136" s="1074"/>
    </row>
    <row r="137">
      <c r="A137" s="1072"/>
      <c r="B137" s="1072"/>
      <c r="C137" s="1075"/>
      <c r="D137" s="1074"/>
      <c r="E137" s="1074"/>
      <c r="F137" s="1074"/>
      <c r="G137" s="1076"/>
      <c r="H137" s="1074"/>
      <c r="I137" s="1074"/>
      <c r="J137" s="1072"/>
      <c r="K137" s="1075"/>
      <c r="L137" s="1074"/>
      <c r="M137" s="1074"/>
      <c r="N137" s="1074"/>
      <c r="O137" s="1076"/>
      <c r="P137" s="1074"/>
      <c r="Q137" s="1074"/>
      <c r="R137" s="1072"/>
      <c r="S137" s="1073"/>
      <c r="T137" s="1074"/>
      <c r="U137" s="1074"/>
      <c r="V137" s="1074"/>
      <c r="W137" s="1074"/>
      <c r="X137" s="1074"/>
      <c r="Y137" s="1072"/>
      <c r="Z137" s="1073"/>
      <c r="AA137" s="1074"/>
      <c r="AB137" s="1074"/>
      <c r="AC137" s="1074"/>
      <c r="AD137" s="1074"/>
      <c r="AE137" s="1074"/>
      <c r="AF137" s="1072"/>
      <c r="AG137" s="1073"/>
      <c r="AH137" s="1074"/>
      <c r="AI137" s="1074"/>
      <c r="AJ137" s="1074"/>
      <c r="AK137" s="1074"/>
    </row>
    <row r="138">
      <c r="A138" s="1072"/>
      <c r="B138" s="1072"/>
      <c r="C138" s="1075"/>
      <c r="D138" s="1074"/>
      <c r="E138" s="1074"/>
      <c r="F138" s="1074"/>
      <c r="G138" s="1076"/>
      <c r="H138" s="1074"/>
      <c r="I138" s="1074"/>
      <c r="J138" s="1072"/>
      <c r="K138" s="1075"/>
      <c r="L138" s="1074"/>
      <c r="M138" s="1074"/>
      <c r="N138" s="1074"/>
      <c r="O138" s="1076"/>
      <c r="P138" s="1074"/>
      <c r="Q138" s="1074"/>
      <c r="R138" s="1072"/>
      <c r="S138" s="1073"/>
      <c r="T138" s="1074"/>
      <c r="U138" s="1074"/>
      <c r="V138" s="1074"/>
      <c r="W138" s="1074"/>
      <c r="X138" s="1074"/>
      <c r="Y138" s="1072"/>
      <c r="Z138" s="1073"/>
      <c r="AA138" s="1074"/>
      <c r="AB138" s="1074"/>
      <c r="AC138" s="1074"/>
      <c r="AD138" s="1074"/>
      <c r="AE138" s="1074"/>
      <c r="AF138" s="1072"/>
      <c r="AG138" s="1073"/>
      <c r="AH138" s="1074"/>
      <c r="AI138" s="1074"/>
      <c r="AJ138" s="1074"/>
      <c r="AK138" s="1074"/>
    </row>
    <row r="139">
      <c r="A139" s="1072"/>
      <c r="B139" s="1072"/>
      <c r="C139" s="1075"/>
      <c r="D139" s="1074"/>
      <c r="E139" s="1074"/>
      <c r="F139" s="1074"/>
      <c r="G139" s="1076"/>
      <c r="H139" s="1074"/>
      <c r="I139" s="1074"/>
      <c r="J139" s="1072"/>
      <c r="K139" s="1075"/>
      <c r="L139" s="1074"/>
      <c r="M139" s="1074"/>
      <c r="N139" s="1074"/>
      <c r="O139" s="1076"/>
      <c r="P139" s="1074"/>
      <c r="Q139" s="1074"/>
      <c r="R139" s="1072"/>
      <c r="S139" s="1073"/>
      <c r="T139" s="1074"/>
      <c r="U139" s="1074"/>
      <c r="V139" s="1074"/>
      <c r="W139" s="1074"/>
      <c r="X139" s="1074"/>
      <c r="Y139" s="1072"/>
      <c r="Z139" s="1073"/>
      <c r="AA139" s="1074"/>
      <c r="AB139" s="1074"/>
      <c r="AC139" s="1074"/>
      <c r="AD139" s="1074"/>
      <c r="AE139" s="1074"/>
      <c r="AF139" s="1072"/>
      <c r="AG139" s="1073"/>
      <c r="AH139" s="1074"/>
      <c r="AI139" s="1074"/>
      <c r="AJ139" s="1074"/>
      <c r="AK139" s="1074"/>
    </row>
    <row r="140">
      <c r="A140" s="1072"/>
      <c r="B140" s="1072"/>
      <c r="C140" s="1075"/>
      <c r="D140" s="1074"/>
      <c r="E140" s="1074"/>
      <c r="F140" s="1074"/>
      <c r="G140" s="1076"/>
      <c r="H140" s="1074"/>
      <c r="I140" s="1074"/>
      <c r="J140" s="1072"/>
      <c r="K140" s="1075"/>
      <c r="L140" s="1074"/>
      <c r="M140" s="1074"/>
      <c r="N140" s="1074"/>
      <c r="O140" s="1076"/>
      <c r="P140" s="1074"/>
      <c r="Q140" s="1074"/>
      <c r="R140" s="1072"/>
      <c r="S140" s="1073"/>
      <c r="T140" s="1074"/>
      <c r="U140" s="1074"/>
      <c r="V140" s="1074"/>
      <c r="W140" s="1074"/>
      <c r="X140" s="1074"/>
      <c r="Y140" s="1072"/>
      <c r="Z140" s="1073"/>
      <c r="AA140" s="1074"/>
      <c r="AB140" s="1074"/>
      <c r="AC140" s="1074"/>
      <c r="AD140" s="1074"/>
      <c r="AE140" s="1074"/>
      <c r="AF140" s="1072"/>
      <c r="AG140" s="1073"/>
      <c r="AH140" s="1074"/>
      <c r="AI140" s="1074"/>
      <c r="AJ140" s="1074"/>
      <c r="AK140" s="1074"/>
    </row>
    <row r="141">
      <c r="A141" s="1072"/>
      <c r="B141" s="1072"/>
      <c r="C141" s="1075"/>
      <c r="D141" s="1074"/>
      <c r="E141" s="1074"/>
      <c r="F141" s="1074"/>
      <c r="G141" s="1076"/>
      <c r="H141" s="1074"/>
      <c r="I141" s="1074"/>
      <c r="J141" s="1072"/>
      <c r="K141" s="1075"/>
      <c r="L141" s="1074"/>
      <c r="M141" s="1074"/>
      <c r="N141" s="1074"/>
      <c r="O141" s="1076"/>
      <c r="P141" s="1074"/>
      <c r="Q141" s="1074"/>
      <c r="R141" s="1072"/>
      <c r="S141" s="1073"/>
      <c r="T141" s="1074"/>
      <c r="U141" s="1074"/>
      <c r="V141" s="1074"/>
      <c r="W141" s="1074"/>
      <c r="X141" s="1074"/>
      <c r="Y141" s="1072"/>
      <c r="Z141" s="1073"/>
      <c r="AA141" s="1074"/>
      <c r="AB141" s="1074"/>
      <c r="AC141" s="1074"/>
      <c r="AD141" s="1074"/>
      <c r="AE141" s="1074"/>
      <c r="AF141" s="1072"/>
      <c r="AG141" s="1073"/>
      <c r="AH141" s="1074"/>
      <c r="AI141" s="1074"/>
      <c r="AJ141" s="1074"/>
      <c r="AK141" s="1074"/>
    </row>
    <row r="142">
      <c r="A142" s="1072"/>
      <c r="B142" s="1072"/>
      <c r="C142" s="1075"/>
      <c r="D142" s="1074"/>
      <c r="E142" s="1074"/>
      <c r="F142" s="1074"/>
      <c r="G142" s="1076"/>
      <c r="H142" s="1074"/>
      <c r="I142" s="1074"/>
      <c r="J142" s="1072"/>
      <c r="K142" s="1075"/>
      <c r="L142" s="1074"/>
      <c r="M142" s="1074"/>
      <c r="N142" s="1074"/>
      <c r="O142" s="1076"/>
      <c r="P142" s="1074"/>
      <c r="Q142" s="1074"/>
      <c r="R142" s="1072"/>
      <c r="S142" s="1073"/>
      <c r="T142" s="1074"/>
      <c r="U142" s="1074"/>
      <c r="V142" s="1074"/>
      <c r="W142" s="1074"/>
      <c r="X142" s="1074"/>
      <c r="Y142" s="1072"/>
      <c r="Z142" s="1073"/>
      <c r="AA142" s="1074"/>
      <c r="AB142" s="1074"/>
      <c r="AC142" s="1074"/>
      <c r="AD142" s="1074"/>
      <c r="AE142" s="1074"/>
      <c r="AF142" s="1072"/>
      <c r="AG142" s="1073"/>
      <c r="AH142" s="1074"/>
      <c r="AI142" s="1074"/>
      <c r="AJ142" s="1074"/>
      <c r="AK142" s="1074"/>
    </row>
    <row r="143">
      <c r="A143" s="1072"/>
      <c r="B143" s="1072"/>
      <c r="C143" s="1075"/>
      <c r="D143" s="1074"/>
      <c r="E143" s="1074"/>
      <c r="F143" s="1074"/>
      <c r="G143" s="1076"/>
      <c r="H143" s="1074"/>
      <c r="I143" s="1074"/>
      <c r="J143" s="1072"/>
      <c r="K143" s="1075"/>
      <c r="L143" s="1074"/>
      <c r="M143" s="1074"/>
      <c r="N143" s="1074"/>
      <c r="O143" s="1076"/>
      <c r="P143" s="1074"/>
      <c r="Q143" s="1074"/>
      <c r="R143" s="1072"/>
      <c r="S143" s="1073"/>
      <c r="T143" s="1074"/>
      <c r="U143" s="1074"/>
      <c r="V143" s="1074"/>
      <c r="W143" s="1074"/>
      <c r="X143" s="1074"/>
      <c r="Y143" s="1072"/>
      <c r="Z143" s="1073"/>
      <c r="AA143" s="1074"/>
      <c r="AB143" s="1074"/>
      <c r="AC143" s="1074"/>
      <c r="AD143" s="1074"/>
      <c r="AE143" s="1074"/>
      <c r="AF143" s="1072"/>
      <c r="AG143" s="1073"/>
      <c r="AH143" s="1074"/>
      <c r="AI143" s="1074"/>
      <c r="AJ143" s="1074"/>
      <c r="AK143" s="1074"/>
    </row>
    <row r="144">
      <c r="A144" s="1072"/>
      <c r="B144" s="1072"/>
      <c r="C144" s="1075"/>
      <c r="D144" s="1074"/>
      <c r="E144" s="1074"/>
      <c r="F144" s="1074"/>
      <c r="G144" s="1076"/>
      <c r="H144" s="1074"/>
      <c r="I144" s="1074"/>
      <c r="J144" s="1072"/>
      <c r="K144" s="1075"/>
      <c r="L144" s="1074"/>
      <c r="M144" s="1074"/>
      <c r="N144" s="1074"/>
      <c r="O144" s="1076"/>
      <c r="P144" s="1074"/>
      <c r="Q144" s="1074"/>
      <c r="R144" s="1072"/>
      <c r="S144" s="1073"/>
      <c r="T144" s="1074"/>
      <c r="U144" s="1074"/>
      <c r="V144" s="1074"/>
      <c r="W144" s="1074"/>
      <c r="X144" s="1074"/>
      <c r="Y144" s="1072"/>
      <c r="Z144" s="1073"/>
      <c r="AA144" s="1074"/>
      <c r="AB144" s="1074"/>
      <c r="AC144" s="1074"/>
      <c r="AD144" s="1074"/>
      <c r="AE144" s="1074"/>
      <c r="AF144" s="1072"/>
      <c r="AG144" s="1073"/>
      <c r="AH144" s="1074"/>
      <c r="AI144" s="1074"/>
      <c r="AJ144" s="1074"/>
      <c r="AK144" s="1074"/>
    </row>
    <row r="145">
      <c r="A145" s="1072"/>
      <c r="B145" s="1072"/>
      <c r="C145" s="1075"/>
      <c r="D145" s="1074"/>
      <c r="E145" s="1074"/>
      <c r="F145" s="1074"/>
      <c r="G145" s="1076"/>
      <c r="H145" s="1074"/>
      <c r="I145" s="1074"/>
      <c r="J145" s="1072"/>
      <c r="K145" s="1075"/>
      <c r="L145" s="1074"/>
      <c r="M145" s="1074"/>
      <c r="N145" s="1074"/>
      <c r="O145" s="1076"/>
      <c r="P145" s="1074"/>
      <c r="Q145" s="1074"/>
      <c r="R145" s="1072"/>
      <c r="S145" s="1073"/>
      <c r="T145" s="1074"/>
      <c r="U145" s="1074"/>
      <c r="V145" s="1074"/>
      <c r="W145" s="1074"/>
      <c r="X145" s="1074"/>
      <c r="Y145" s="1072"/>
      <c r="Z145" s="1073"/>
      <c r="AA145" s="1074"/>
      <c r="AB145" s="1074"/>
      <c r="AC145" s="1074"/>
      <c r="AD145" s="1074"/>
      <c r="AE145" s="1074"/>
      <c r="AF145" s="1072"/>
      <c r="AG145" s="1073"/>
      <c r="AH145" s="1074"/>
      <c r="AI145" s="1074"/>
      <c r="AJ145" s="1074"/>
      <c r="AK145" s="1074"/>
    </row>
    <row r="146">
      <c r="A146" s="1072"/>
      <c r="B146" s="1072"/>
      <c r="C146" s="1075"/>
      <c r="D146" s="1074"/>
      <c r="E146" s="1074"/>
      <c r="F146" s="1074"/>
      <c r="G146" s="1076"/>
      <c r="H146" s="1074"/>
      <c r="I146" s="1074"/>
      <c r="J146" s="1072"/>
      <c r="K146" s="1075"/>
      <c r="L146" s="1074"/>
      <c r="M146" s="1074"/>
      <c r="N146" s="1074"/>
      <c r="O146" s="1076"/>
      <c r="P146" s="1074"/>
      <c r="Q146" s="1074"/>
      <c r="R146" s="1072"/>
      <c r="S146" s="1073"/>
      <c r="T146" s="1074"/>
      <c r="U146" s="1074"/>
      <c r="V146" s="1074"/>
      <c r="W146" s="1074"/>
      <c r="X146" s="1074"/>
      <c r="Y146" s="1072"/>
      <c r="Z146" s="1073"/>
      <c r="AA146" s="1074"/>
      <c r="AB146" s="1074"/>
      <c r="AC146" s="1074"/>
      <c r="AD146" s="1074"/>
      <c r="AE146" s="1074"/>
      <c r="AF146" s="1072"/>
      <c r="AG146" s="1073"/>
      <c r="AH146" s="1074"/>
      <c r="AI146" s="1074"/>
      <c r="AJ146" s="1074"/>
      <c r="AK146" s="1074"/>
    </row>
    <row r="147">
      <c r="A147" s="1072"/>
      <c r="B147" s="1072"/>
      <c r="C147" s="1075"/>
      <c r="D147" s="1074"/>
      <c r="E147" s="1074"/>
      <c r="F147" s="1074"/>
      <c r="G147" s="1076"/>
      <c r="H147" s="1074"/>
      <c r="I147" s="1074"/>
      <c r="J147" s="1072"/>
      <c r="K147" s="1075"/>
      <c r="L147" s="1074"/>
      <c r="M147" s="1074"/>
      <c r="N147" s="1074"/>
      <c r="O147" s="1076"/>
      <c r="P147" s="1074"/>
      <c r="Q147" s="1074"/>
      <c r="R147" s="1072"/>
      <c r="S147" s="1073"/>
      <c r="T147" s="1074"/>
      <c r="U147" s="1074"/>
      <c r="V147" s="1074"/>
      <c r="W147" s="1074"/>
      <c r="X147" s="1074"/>
      <c r="Y147" s="1072"/>
      <c r="Z147" s="1073"/>
      <c r="AA147" s="1074"/>
      <c r="AB147" s="1074"/>
      <c r="AC147" s="1074"/>
      <c r="AD147" s="1074"/>
      <c r="AE147" s="1074"/>
      <c r="AF147" s="1072"/>
      <c r="AG147" s="1073"/>
      <c r="AH147" s="1074"/>
      <c r="AI147" s="1074"/>
      <c r="AJ147" s="1074"/>
      <c r="AK147" s="1074"/>
    </row>
    <row r="148">
      <c r="A148" s="1072"/>
      <c r="B148" s="1072"/>
      <c r="C148" s="1075"/>
      <c r="D148" s="1074"/>
      <c r="E148" s="1074"/>
      <c r="F148" s="1074"/>
      <c r="G148" s="1076"/>
      <c r="H148" s="1074"/>
      <c r="I148" s="1074"/>
      <c r="J148" s="1072"/>
      <c r="K148" s="1075"/>
      <c r="L148" s="1074"/>
      <c r="M148" s="1074"/>
      <c r="N148" s="1074"/>
      <c r="O148" s="1076"/>
      <c r="P148" s="1074"/>
      <c r="Q148" s="1074"/>
      <c r="R148" s="1072"/>
      <c r="S148" s="1073"/>
      <c r="T148" s="1074"/>
      <c r="U148" s="1074"/>
      <c r="V148" s="1074"/>
      <c r="W148" s="1074"/>
      <c r="X148" s="1074"/>
      <c r="Y148" s="1072"/>
      <c r="Z148" s="1073"/>
      <c r="AA148" s="1074"/>
      <c r="AB148" s="1074"/>
      <c r="AC148" s="1074"/>
      <c r="AD148" s="1074"/>
      <c r="AE148" s="1074"/>
      <c r="AF148" s="1072"/>
      <c r="AG148" s="1073"/>
      <c r="AH148" s="1074"/>
      <c r="AI148" s="1074"/>
      <c r="AJ148" s="1074"/>
      <c r="AK148" s="1074"/>
    </row>
    <row r="149">
      <c r="A149" s="1072"/>
      <c r="B149" s="1072"/>
      <c r="C149" s="1075"/>
      <c r="D149" s="1074"/>
      <c r="E149" s="1074"/>
      <c r="F149" s="1074"/>
      <c r="G149" s="1076"/>
      <c r="H149" s="1074"/>
      <c r="I149" s="1074"/>
      <c r="J149" s="1072"/>
      <c r="K149" s="1075"/>
      <c r="L149" s="1074"/>
      <c r="M149" s="1074"/>
      <c r="N149" s="1074"/>
      <c r="O149" s="1076"/>
      <c r="P149" s="1074"/>
      <c r="Q149" s="1074"/>
      <c r="R149" s="1072"/>
      <c r="S149" s="1073"/>
      <c r="T149" s="1074"/>
      <c r="U149" s="1074"/>
      <c r="V149" s="1074"/>
      <c r="W149" s="1074"/>
      <c r="X149" s="1074"/>
      <c r="Y149" s="1072"/>
      <c r="Z149" s="1073"/>
      <c r="AA149" s="1074"/>
      <c r="AB149" s="1074"/>
      <c r="AC149" s="1074"/>
      <c r="AD149" s="1074"/>
      <c r="AE149" s="1074"/>
      <c r="AF149" s="1072"/>
      <c r="AG149" s="1073"/>
      <c r="AH149" s="1074"/>
      <c r="AI149" s="1074"/>
      <c r="AJ149" s="1074"/>
      <c r="AK149" s="1074"/>
    </row>
    <row r="150">
      <c r="A150" s="1072"/>
      <c r="B150" s="1072"/>
      <c r="C150" s="1075"/>
      <c r="D150" s="1074"/>
      <c r="E150" s="1074"/>
      <c r="F150" s="1074"/>
      <c r="G150" s="1076"/>
      <c r="H150" s="1074"/>
      <c r="I150" s="1074"/>
      <c r="J150" s="1072"/>
      <c r="K150" s="1075"/>
      <c r="L150" s="1074"/>
      <c r="M150" s="1074"/>
      <c r="N150" s="1074"/>
      <c r="O150" s="1076"/>
      <c r="P150" s="1074"/>
      <c r="Q150" s="1074"/>
      <c r="R150" s="1072"/>
      <c r="S150" s="1073"/>
      <c r="T150" s="1074"/>
      <c r="U150" s="1074"/>
      <c r="V150" s="1074"/>
      <c r="W150" s="1074"/>
      <c r="X150" s="1074"/>
      <c r="Y150" s="1072"/>
      <c r="Z150" s="1073"/>
      <c r="AA150" s="1074"/>
      <c r="AB150" s="1074"/>
      <c r="AC150" s="1074"/>
      <c r="AD150" s="1074"/>
      <c r="AE150" s="1074"/>
      <c r="AF150" s="1072"/>
      <c r="AG150" s="1073"/>
      <c r="AH150" s="1074"/>
      <c r="AI150" s="1074"/>
      <c r="AJ150" s="1074"/>
      <c r="AK150" s="1074"/>
    </row>
    <row r="151">
      <c r="A151" s="1072"/>
      <c r="B151" s="1072"/>
      <c r="C151" s="1075"/>
      <c r="D151" s="1074"/>
      <c r="E151" s="1074"/>
      <c r="F151" s="1074"/>
      <c r="G151" s="1076"/>
      <c r="H151" s="1074"/>
      <c r="I151" s="1074"/>
      <c r="J151" s="1072"/>
      <c r="K151" s="1075"/>
      <c r="L151" s="1074"/>
      <c r="M151" s="1074"/>
      <c r="N151" s="1074"/>
      <c r="O151" s="1076"/>
      <c r="P151" s="1074"/>
      <c r="Q151" s="1074"/>
      <c r="R151" s="1072"/>
      <c r="S151" s="1073"/>
      <c r="T151" s="1074"/>
      <c r="U151" s="1074"/>
      <c r="V151" s="1074"/>
      <c r="W151" s="1074"/>
      <c r="X151" s="1074"/>
      <c r="Y151" s="1072"/>
      <c r="Z151" s="1073"/>
      <c r="AA151" s="1074"/>
      <c r="AB151" s="1074"/>
      <c r="AC151" s="1074"/>
      <c r="AD151" s="1074"/>
      <c r="AE151" s="1074"/>
      <c r="AF151" s="1072"/>
      <c r="AG151" s="1073"/>
      <c r="AH151" s="1074"/>
      <c r="AI151" s="1074"/>
      <c r="AJ151" s="1074"/>
      <c r="AK151" s="1074"/>
    </row>
    <row r="152">
      <c r="A152" s="1072"/>
      <c r="B152" s="1072"/>
      <c r="C152" s="1075"/>
      <c r="D152" s="1074"/>
      <c r="E152" s="1074"/>
      <c r="F152" s="1074"/>
      <c r="G152" s="1076"/>
      <c r="H152" s="1074"/>
      <c r="I152" s="1074"/>
      <c r="J152" s="1072"/>
      <c r="K152" s="1075"/>
      <c r="L152" s="1074"/>
      <c r="M152" s="1074"/>
      <c r="N152" s="1074"/>
      <c r="O152" s="1076"/>
      <c r="P152" s="1074"/>
      <c r="Q152" s="1074"/>
      <c r="R152" s="1072"/>
      <c r="S152" s="1073"/>
      <c r="T152" s="1074"/>
      <c r="U152" s="1074"/>
      <c r="V152" s="1074"/>
      <c r="W152" s="1074"/>
      <c r="X152" s="1074"/>
      <c r="Y152" s="1072"/>
      <c r="Z152" s="1073"/>
      <c r="AA152" s="1074"/>
      <c r="AB152" s="1074"/>
      <c r="AC152" s="1074"/>
      <c r="AD152" s="1074"/>
      <c r="AE152" s="1074"/>
      <c r="AF152" s="1072"/>
      <c r="AG152" s="1073"/>
      <c r="AH152" s="1074"/>
      <c r="AI152" s="1074"/>
      <c r="AJ152" s="1074"/>
      <c r="AK152" s="1074"/>
    </row>
    <row r="153">
      <c r="A153" s="1072"/>
      <c r="B153" s="1072"/>
      <c r="C153" s="1075"/>
      <c r="D153" s="1074"/>
      <c r="E153" s="1074"/>
      <c r="F153" s="1074"/>
      <c r="G153" s="1076"/>
      <c r="H153" s="1074"/>
      <c r="I153" s="1074"/>
      <c r="J153" s="1072"/>
      <c r="K153" s="1075"/>
      <c r="L153" s="1074"/>
      <c r="M153" s="1074"/>
      <c r="N153" s="1074"/>
      <c r="O153" s="1076"/>
      <c r="P153" s="1074"/>
      <c r="Q153" s="1074"/>
      <c r="R153" s="1072"/>
      <c r="S153" s="1073"/>
      <c r="T153" s="1074"/>
      <c r="U153" s="1074"/>
      <c r="V153" s="1074"/>
      <c r="W153" s="1074"/>
      <c r="X153" s="1074"/>
      <c r="Y153" s="1072"/>
      <c r="Z153" s="1073"/>
      <c r="AA153" s="1074"/>
      <c r="AB153" s="1074"/>
      <c r="AC153" s="1074"/>
      <c r="AD153" s="1074"/>
      <c r="AE153" s="1074"/>
      <c r="AF153" s="1072"/>
      <c r="AG153" s="1073"/>
      <c r="AH153" s="1074"/>
      <c r="AI153" s="1074"/>
      <c r="AJ153" s="1074"/>
      <c r="AK153" s="1074"/>
    </row>
    <row r="154">
      <c r="A154" s="1072"/>
      <c r="B154" s="1072"/>
      <c r="C154" s="1075"/>
      <c r="D154" s="1074"/>
      <c r="E154" s="1074"/>
      <c r="F154" s="1074"/>
      <c r="G154" s="1076"/>
      <c r="H154" s="1074"/>
      <c r="I154" s="1074"/>
      <c r="J154" s="1072"/>
      <c r="K154" s="1075"/>
      <c r="L154" s="1074"/>
      <c r="M154" s="1074"/>
      <c r="N154" s="1074"/>
      <c r="O154" s="1076"/>
      <c r="P154" s="1074"/>
      <c r="Q154" s="1074"/>
      <c r="R154" s="1072"/>
      <c r="S154" s="1073"/>
      <c r="T154" s="1074"/>
      <c r="U154" s="1074"/>
      <c r="V154" s="1074"/>
      <c r="W154" s="1074"/>
      <c r="X154" s="1074"/>
      <c r="Y154" s="1072"/>
      <c r="Z154" s="1073"/>
      <c r="AA154" s="1074"/>
      <c r="AB154" s="1074"/>
      <c r="AC154" s="1074"/>
      <c r="AD154" s="1074"/>
      <c r="AE154" s="1074"/>
      <c r="AF154" s="1072"/>
      <c r="AG154" s="1073"/>
      <c r="AH154" s="1074"/>
      <c r="AI154" s="1074"/>
      <c r="AJ154" s="1074"/>
      <c r="AK154" s="1074"/>
    </row>
    <row r="155">
      <c r="A155" s="1072"/>
      <c r="B155" s="1072"/>
      <c r="C155" s="1075"/>
      <c r="D155" s="1074"/>
      <c r="E155" s="1074"/>
      <c r="F155" s="1074"/>
      <c r="G155" s="1076"/>
      <c r="H155" s="1074"/>
      <c r="I155" s="1074"/>
      <c r="J155" s="1072"/>
      <c r="K155" s="1075"/>
      <c r="L155" s="1074"/>
      <c r="M155" s="1074"/>
      <c r="N155" s="1074"/>
      <c r="O155" s="1076"/>
      <c r="P155" s="1074"/>
      <c r="Q155" s="1074"/>
      <c r="R155" s="1072"/>
      <c r="S155" s="1073"/>
      <c r="T155" s="1074"/>
      <c r="U155" s="1074"/>
      <c r="V155" s="1074"/>
      <c r="W155" s="1074"/>
      <c r="X155" s="1074"/>
      <c r="Y155" s="1072"/>
      <c r="Z155" s="1073"/>
      <c r="AA155" s="1074"/>
      <c r="AB155" s="1074"/>
      <c r="AC155" s="1074"/>
      <c r="AD155" s="1074"/>
      <c r="AE155" s="1074"/>
      <c r="AF155" s="1072"/>
      <c r="AG155" s="1073"/>
      <c r="AH155" s="1074"/>
      <c r="AI155" s="1074"/>
      <c r="AJ155" s="1074"/>
      <c r="AK155" s="1074"/>
    </row>
    <row r="156">
      <c r="A156" s="1072"/>
      <c r="B156" s="1072"/>
      <c r="C156" s="1075"/>
      <c r="D156" s="1074"/>
      <c r="E156" s="1074"/>
      <c r="F156" s="1074"/>
      <c r="G156" s="1076"/>
      <c r="H156" s="1074"/>
      <c r="I156" s="1074"/>
      <c r="J156" s="1072"/>
      <c r="K156" s="1075"/>
      <c r="L156" s="1074"/>
      <c r="M156" s="1074"/>
      <c r="N156" s="1074"/>
      <c r="O156" s="1076"/>
      <c r="P156" s="1074"/>
      <c r="Q156" s="1074"/>
      <c r="R156" s="1072"/>
      <c r="S156" s="1073"/>
      <c r="T156" s="1074"/>
      <c r="U156" s="1074"/>
      <c r="V156" s="1074"/>
      <c r="W156" s="1074"/>
      <c r="X156" s="1074"/>
      <c r="Y156" s="1072"/>
      <c r="Z156" s="1073"/>
      <c r="AA156" s="1074"/>
      <c r="AB156" s="1074"/>
      <c r="AC156" s="1074"/>
      <c r="AD156" s="1074"/>
      <c r="AE156" s="1074"/>
      <c r="AF156" s="1072"/>
      <c r="AG156" s="1073"/>
      <c r="AH156" s="1074"/>
      <c r="AI156" s="1074"/>
      <c r="AJ156" s="1074"/>
      <c r="AK156" s="1074"/>
    </row>
    <row r="157">
      <c r="A157" s="1072"/>
      <c r="B157" s="1072"/>
      <c r="C157" s="1075"/>
      <c r="D157" s="1074"/>
      <c r="E157" s="1074"/>
      <c r="F157" s="1074"/>
      <c r="G157" s="1076"/>
      <c r="H157" s="1074"/>
      <c r="I157" s="1074"/>
      <c r="J157" s="1072"/>
      <c r="K157" s="1075"/>
      <c r="L157" s="1074"/>
      <c r="M157" s="1074"/>
      <c r="N157" s="1074"/>
      <c r="O157" s="1076"/>
      <c r="P157" s="1074"/>
      <c r="Q157" s="1074"/>
      <c r="R157" s="1072"/>
      <c r="S157" s="1073"/>
      <c r="T157" s="1074"/>
      <c r="U157" s="1074"/>
      <c r="V157" s="1074"/>
      <c r="W157" s="1074"/>
      <c r="X157" s="1074"/>
      <c r="Y157" s="1072"/>
      <c r="Z157" s="1073"/>
      <c r="AA157" s="1074"/>
      <c r="AB157" s="1074"/>
      <c r="AC157" s="1074"/>
      <c r="AD157" s="1074"/>
      <c r="AE157" s="1074"/>
      <c r="AF157" s="1072"/>
      <c r="AG157" s="1073"/>
      <c r="AH157" s="1074"/>
      <c r="AI157" s="1074"/>
      <c r="AJ157" s="1074"/>
      <c r="AK157" s="1074"/>
    </row>
    <row r="158">
      <c r="A158" s="1072"/>
      <c r="B158" s="1072"/>
      <c r="C158" s="1075"/>
      <c r="D158" s="1074"/>
      <c r="E158" s="1074"/>
      <c r="F158" s="1074"/>
      <c r="G158" s="1076"/>
      <c r="H158" s="1074"/>
      <c r="I158" s="1074"/>
      <c r="J158" s="1072"/>
      <c r="K158" s="1075"/>
      <c r="L158" s="1074"/>
      <c r="M158" s="1074"/>
      <c r="N158" s="1074"/>
      <c r="O158" s="1076"/>
      <c r="P158" s="1074"/>
      <c r="Q158" s="1074"/>
      <c r="R158" s="1072"/>
      <c r="S158" s="1073"/>
      <c r="T158" s="1074"/>
      <c r="U158" s="1074"/>
      <c r="V158" s="1074"/>
      <c r="W158" s="1074"/>
      <c r="X158" s="1074"/>
      <c r="Y158" s="1072"/>
      <c r="Z158" s="1073"/>
      <c r="AA158" s="1074"/>
      <c r="AB158" s="1074"/>
      <c r="AC158" s="1074"/>
      <c r="AD158" s="1074"/>
      <c r="AE158" s="1074"/>
      <c r="AF158" s="1072"/>
      <c r="AG158" s="1073"/>
      <c r="AH158" s="1074"/>
      <c r="AI158" s="1074"/>
      <c r="AJ158" s="1074"/>
      <c r="AK158" s="1074"/>
    </row>
    <row r="159">
      <c r="A159" s="1072"/>
      <c r="B159" s="1072"/>
      <c r="C159" s="1075"/>
      <c r="D159" s="1074"/>
      <c r="E159" s="1074"/>
      <c r="F159" s="1074"/>
      <c r="G159" s="1076"/>
      <c r="H159" s="1074"/>
      <c r="I159" s="1074"/>
      <c r="J159" s="1072"/>
      <c r="K159" s="1075"/>
      <c r="L159" s="1074"/>
      <c r="M159" s="1074"/>
      <c r="N159" s="1074"/>
      <c r="O159" s="1076"/>
      <c r="P159" s="1074"/>
      <c r="Q159" s="1074"/>
      <c r="R159" s="1072"/>
      <c r="S159" s="1073"/>
      <c r="T159" s="1074"/>
      <c r="U159" s="1074"/>
      <c r="V159" s="1074"/>
      <c r="W159" s="1074"/>
      <c r="X159" s="1074"/>
      <c r="Y159" s="1072"/>
      <c r="Z159" s="1073"/>
      <c r="AA159" s="1074"/>
      <c r="AB159" s="1074"/>
      <c r="AC159" s="1074"/>
      <c r="AD159" s="1074"/>
      <c r="AE159" s="1074"/>
      <c r="AF159" s="1072"/>
      <c r="AG159" s="1073"/>
      <c r="AH159" s="1074"/>
      <c r="AI159" s="1074"/>
      <c r="AJ159" s="1074"/>
      <c r="AK159" s="1074"/>
    </row>
    <row r="160">
      <c r="A160" s="1072"/>
      <c r="B160" s="1072"/>
      <c r="C160" s="1075"/>
      <c r="D160" s="1074"/>
      <c r="E160" s="1074"/>
      <c r="F160" s="1074"/>
      <c r="G160" s="1076"/>
      <c r="H160" s="1074"/>
      <c r="I160" s="1074"/>
      <c r="J160" s="1072"/>
      <c r="K160" s="1075"/>
      <c r="L160" s="1074"/>
      <c r="M160" s="1074"/>
      <c r="N160" s="1074"/>
      <c r="O160" s="1076"/>
      <c r="P160" s="1074"/>
      <c r="Q160" s="1074"/>
      <c r="R160" s="1072"/>
      <c r="S160" s="1073"/>
      <c r="T160" s="1074"/>
      <c r="U160" s="1074"/>
      <c r="V160" s="1074"/>
      <c r="W160" s="1074"/>
      <c r="X160" s="1074"/>
      <c r="Y160" s="1072"/>
      <c r="Z160" s="1073"/>
      <c r="AA160" s="1074"/>
      <c r="AB160" s="1074"/>
      <c r="AC160" s="1074"/>
      <c r="AD160" s="1074"/>
      <c r="AE160" s="1074"/>
      <c r="AF160" s="1072"/>
      <c r="AG160" s="1073"/>
      <c r="AH160" s="1074"/>
      <c r="AI160" s="1074"/>
      <c r="AJ160" s="1074"/>
      <c r="AK160" s="1074"/>
    </row>
    <row r="161">
      <c r="A161" s="1072"/>
      <c r="B161" s="1072"/>
      <c r="C161" s="1075"/>
      <c r="D161" s="1074"/>
      <c r="E161" s="1074"/>
      <c r="F161" s="1074"/>
      <c r="G161" s="1076"/>
      <c r="H161" s="1074"/>
      <c r="I161" s="1074"/>
      <c r="J161" s="1072"/>
      <c r="K161" s="1075"/>
      <c r="L161" s="1074"/>
      <c r="M161" s="1074"/>
      <c r="N161" s="1074"/>
      <c r="O161" s="1076"/>
      <c r="P161" s="1074"/>
      <c r="Q161" s="1074"/>
      <c r="R161" s="1072"/>
      <c r="S161" s="1073"/>
      <c r="T161" s="1074"/>
      <c r="U161" s="1074"/>
      <c r="V161" s="1074"/>
      <c r="W161" s="1074"/>
      <c r="X161" s="1074"/>
      <c r="Y161" s="1072"/>
      <c r="Z161" s="1073"/>
      <c r="AA161" s="1074"/>
      <c r="AB161" s="1074"/>
      <c r="AC161" s="1074"/>
      <c r="AD161" s="1074"/>
      <c r="AE161" s="1074"/>
      <c r="AF161" s="1072"/>
      <c r="AG161" s="1073"/>
      <c r="AH161" s="1074"/>
      <c r="AI161" s="1074"/>
      <c r="AJ161" s="1074"/>
      <c r="AK161" s="1074"/>
    </row>
    <row r="162">
      <c r="A162" s="1072"/>
      <c r="B162" s="1072"/>
      <c r="C162" s="1075"/>
      <c r="D162" s="1074"/>
      <c r="E162" s="1074"/>
      <c r="F162" s="1074"/>
      <c r="G162" s="1076"/>
      <c r="H162" s="1074"/>
      <c r="I162" s="1074"/>
      <c r="J162" s="1072"/>
      <c r="K162" s="1075"/>
      <c r="L162" s="1074"/>
      <c r="M162" s="1074"/>
      <c r="N162" s="1074"/>
      <c r="O162" s="1076"/>
      <c r="P162" s="1074"/>
      <c r="Q162" s="1074"/>
      <c r="R162" s="1072"/>
      <c r="S162" s="1073"/>
      <c r="T162" s="1074"/>
      <c r="U162" s="1074"/>
      <c r="V162" s="1074"/>
      <c r="W162" s="1074"/>
      <c r="X162" s="1074"/>
      <c r="Y162" s="1072"/>
      <c r="Z162" s="1073"/>
      <c r="AA162" s="1074"/>
      <c r="AB162" s="1074"/>
      <c r="AC162" s="1074"/>
      <c r="AD162" s="1074"/>
      <c r="AE162" s="1074"/>
      <c r="AF162" s="1072"/>
      <c r="AG162" s="1073"/>
      <c r="AH162" s="1074"/>
      <c r="AI162" s="1074"/>
      <c r="AJ162" s="1074"/>
      <c r="AK162" s="1074"/>
    </row>
    <row r="163">
      <c r="A163" s="1072"/>
      <c r="B163" s="1072"/>
      <c r="C163" s="1075"/>
      <c r="D163" s="1074"/>
      <c r="E163" s="1074"/>
      <c r="F163" s="1074"/>
      <c r="G163" s="1076"/>
      <c r="H163" s="1074"/>
      <c r="I163" s="1074"/>
      <c r="J163" s="1072"/>
      <c r="K163" s="1075"/>
      <c r="L163" s="1074"/>
      <c r="M163" s="1074"/>
      <c r="N163" s="1074"/>
      <c r="O163" s="1076"/>
      <c r="P163" s="1074"/>
      <c r="Q163" s="1074"/>
      <c r="R163" s="1072"/>
      <c r="S163" s="1073"/>
      <c r="T163" s="1074"/>
      <c r="U163" s="1074"/>
      <c r="V163" s="1074"/>
      <c r="W163" s="1074"/>
      <c r="X163" s="1074"/>
      <c r="Y163" s="1072"/>
      <c r="Z163" s="1073"/>
      <c r="AA163" s="1074"/>
      <c r="AB163" s="1074"/>
      <c r="AC163" s="1074"/>
      <c r="AD163" s="1074"/>
      <c r="AE163" s="1074"/>
      <c r="AF163" s="1072"/>
      <c r="AG163" s="1073"/>
      <c r="AH163" s="1074"/>
      <c r="AI163" s="1074"/>
      <c r="AJ163" s="1074"/>
      <c r="AK163" s="1074"/>
    </row>
    <row r="164">
      <c r="A164" s="1072"/>
      <c r="B164" s="1072"/>
      <c r="C164" s="1075"/>
      <c r="D164" s="1074"/>
      <c r="E164" s="1074"/>
      <c r="F164" s="1074"/>
      <c r="G164" s="1076"/>
      <c r="H164" s="1074"/>
      <c r="I164" s="1074"/>
      <c r="J164" s="1072"/>
      <c r="K164" s="1075"/>
      <c r="L164" s="1074"/>
      <c r="M164" s="1074"/>
      <c r="N164" s="1074"/>
      <c r="O164" s="1076"/>
      <c r="P164" s="1074"/>
      <c r="Q164" s="1074"/>
      <c r="R164" s="1072"/>
      <c r="S164" s="1073"/>
      <c r="T164" s="1074"/>
      <c r="U164" s="1074"/>
      <c r="V164" s="1074"/>
      <c r="W164" s="1074"/>
      <c r="X164" s="1074"/>
      <c r="Y164" s="1072"/>
      <c r="Z164" s="1073"/>
      <c r="AA164" s="1074"/>
      <c r="AB164" s="1074"/>
      <c r="AC164" s="1074"/>
      <c r="AD164" s="1074"/>
      <c r="AE164" s="1074"/>
      <c r="AF164" s="1072"/>
      <c r="AG164" s="1073"/>
      <c r="AH164" s="1074"/>
      <c r="AI164" s="1074"/>
      <c r="AJ164" s="1074"/>
      <c r="AK164" s="1074"/>
    </row>
    <row r="165">
      <c r="A165" s="1072"/>
      <c r="B165" s="1072"/>
      <c r="C165" s="1075"/>
      <c r="D165" s="1074"/>
      <c r="E165" s="1074"/>
      <c r="F165" s="1074"/>
      <c r="G165" s="1076"/>
      <c r="H165" s="1074"/>
      <c r="I165" s="1074"/>
      <c r="J165" s="1072"/>
      <c r="K165" s="1075"/>
      <c r="L165" s="1074"/>
      <c r="M165" s="1074"/>
      <c r="N165" s="1074"/>
      <c r="O165" s="1076"/>
      <c r="P165" s="1074"/>
      <c r="Q165" s="1074"/>
      <c r="R165" s="1072"/>
      <c r="S165" s="1073"/>
      <c r="T165" s="1074"/>
      <c r="U165" s="1074"/>
      <c r="V165" s="1074"/>
      <c r="W165" s="1074"/>
      <c r="X165" s="1074"/>
      <c r="Y165" s="1072"/>
      <c r="Z165" s="1073"/>
      <c r="AA165" s="1074"/>
      <c r="AB165" s="1074"/>
      <c r="AC165" s="1074"/>
      <c r="AD165" s="1074"/>
      <c r="AE165" s="1074"/>
      <c r="AF165" s="1072"/>
      <c r="AG165" s="1073"/>
      <c r="AH165" s="1074"/>
      <c r="AI165" s="1074"/>
      <c r="AJ165" s="1074"/>
      <c r="AK165" s="1074"/>
    </row>
    <row r="166">
      <c r="A166" s="1072"/>
      <c r="B166" s="1072"/>
      <c r="C166" s="1075"/>
      <c r="D166" s="1074"/>
      <c r="E166" s="1074"/>
      <c r="F166" s="1074"/>
      <c r="G166" s="1076"/>
      <c r="H166" s="1074"/>
      <c r="I166" s="1074"/>
      <c r="J166" s="1072"/>
      <c r="K166" s="1075"/>
      <c r="L166" s="1074"/>
      <c r="M166" s="1074"/>
      <c r="N166" s="1074"/>
      <c r="O166" s="1076"/>
      <c r="P166" s="1074"/>
      <c r="Q166" s="1074"/>
      <c r="R166" s="1072"/>
      <c r="S166" s="1073"/>
      <c r="T166" s="1074"/>
      <c r="U166" s="1074"/>
      <c r="V166" s="1074"/>
      <c r="W166" s="1074"/>
      <c r="X166" s="1074"/>
      <c r="Y166" s="1072"/>
      <c r="Z166" s="1073"/>
      <c r="AA166" s="1074"/>
      <c r="AB166" s="1074"/>
      <c r="AC166" s="1074"/>
      <c r="AD166" s="1074"/>
      <c r="AE166" s="1074"/>
      <c r="AF166" s="1072"/>
      <c r="AG166" s="1073"/>
      <c r="AH166" s="1074"/>
      <c r="AI166" s="1074"/>
      <c r="AJ166" s="1074"/>
      <c r="AK166" s="1074"/>
    </row>
    <row r="167">
      <c r="A167" s="1072"/>
      <c r="B167" s="1072"/>
      <c r="C167" s="1075"/>
      <c r="D167" s="1074"/>
      <c r="E167" s="1074"/>
      <c r="F167" s="1074"/>
      <c r="G167" s="1076"/>
      <c r="H167" s="1074"/>
      <c r="I167" s="1074"/>
      <c r="J167" s="1072"/>
      <c r="K167" s="1075"/>
      <c r="L167" s="1074"/>
      <c r="M167" s="1074"/>
      <c r="N167" s="1074"/>
      <c r="O167" s="1076"/>
      <c r="P167" s="1074"/>
      <c r="Q167" s="1074"/>
      <c r="R167" s="1072"/>
      <c r="S167" s="1073"/>
      <c r="T167" s="1074"/>
      <c r="U167" s="1074"/>
      <c r="V167" s="1074"/>
      <c r="W167" s="1074"/>
      <c r="X167" s="1074"/>
      <c r="Y167" s="1072"/>
      <c r="Z167" s="1073"/>
      <c r="AA167" s="1074"/>
      <c r="AB167" s="1074"/>
      <c r="AC167" s="1074"/>
      <c r="AD167" s="1074"/>
      <c r="AE167" s="1074"/>
      <c r="AF167" s="1072"/>
      <c r="AG167" s="1073"/>
      <c r="AH167" s="1074"/>
      <c r="AI167" s="1074"/>
      <c r="AJ167" s="1074"/>
      <c r="AK167" s="1074"/>
    </row>
    <row r="168">
      <c r="A168" s="1072"/>
      <c r="B168" s="1072"/>
      <c r="C168" s="1075"/>
      <c r="D168" s="1074"/>
      <c r="E168" s="1074"/>
      <c r="F168" s="1074"/>
      <c r="G168" s="1076"/>
      <c r="H168" s="1074"/>
      <c r="I168" s="1074"/>
      <c r="J168" s="1072"/>
      <c r="K168" s="1075"/>
      <c r="L168" s="1074"/>
      <c r="M168" s="1074"/>
      <c r="N168" s="1074"/>
      <c r="O168" s="1076"/>
      <c r="P168" s="1074"/>
      <c r="Q168" s="1074"/>
      <c r="R168" s="1072"/>
      <c r="S168" s="1073"/>
      <c r="T168" s="1074"/>
      <c r="U168" s="1074"/>
      <c r="V168" s="1074"/>
      <c r="W168" s="1074"/>
      <c r="X168" s="1074"/>
      <c r="Y168" s="1072"/>
      <c r="Z168" s="1073"/>
      <c r="AA168" s="1074"/>
      <c r="AB168" s="1074"/>
      <c r="AC168" s="1074"/>
      <c r="AD168" s="1074"/>
      <c r="AE168" s="1074"/>
      <c r="AF168" s="1072"/>
      <c r="AG168" s="1073"/>
      <c r="AH168" s="1074"/>
      <c r="AI168" s="1074"/>
      <c r="AJ168" s="1074"/>
      <c r="AK168" s="1074"/>
    </row>
    <row r="169">
      <c r="A169" s="1072"/>
      <c r="B169" s="1072"/>
      <c r="C169" s="1075"/>
      <c r="D169" s="1074"/>
      <c r="E169" s="1074"/>
      <c r="F169" s="1074"/>
      <c r="G169" s="1076"/>
      <c r="H169" s="1074"/>
      <c r="I169" s="1074"/>
      <c r="J169" s="1072"/>
      <c r="K169" s="1075"/>
      <c r="L169" s="1074"/>
      <c r="M169" s="1074"/>
      <c r="N169" s="1074"/>
      <c r="O169" s="1076"/>
      <c r="P169" s="1074"/>
      <c r="Q169" s="1074"/>
      <c r="R169" s="1072"/>
      <c r="S169" s="1073"/>
      <c r="T169" s="1074"/>
      <c r="U169" s="1074"/>
      <c r="V169" s="1074"/>
      <c r="W169" s="1074"/>
      <c r="X169" s="1074"/>
      <c r="Y169" s="1072"/>
      <c r="Z169" s="1073"/>
      <c r="AA169" s="1074"/>
      <c r="AB169" s="1074"/>
      <c r="AC169" s="1074"/>
      <c r="AD169" s="1074"/>
      <c r="AE169" s="1074"/>
      <c r="AF169" s="1072"/>
      <c r="AG169" s="1073"/>
      <c r="AH169" s="1074"/>
      <c r="AI169" s="1074"/>
      <c r="AJ169" s="1074"/>
      <c r="AK169" s="1074"/>
    </row>
    <row r="170">
      <c r="A170" s="1072"/>
      <c r="B170" s="1072"/>
      <c r="C170" s="1075"/>
      <c r="D170" s="1074"/>
      <c r="E170" s="1074"/>
      <c r="F170" s="1074"/>
      <c r="G170" s="1076"/>
      <c r="H170" s="1074"/>
      <c r="I170" s="1074"/>
      <c r="J170" s="1072"/>
      <c r="K170" s="1075"/>
      <c r="L170" s="1074"/>
      <c r="M170" s="1074"/>
      <c r="N170" s="1074"/>
      <c r="O170" s="1076"/>
      <c r="P170" s="1074"/>
      <c r="Q170" s="1074"/>
      <c r="R170" s="1072"/>
      <c r="S170" s="1073"/>
      <c r="T170" s="1074"/>
      <c r="U170" s="1074"/>
      <c r="V170" s="1074"/>
      <c r="W170" s="1074"/>
      <c r="X170" s="1074"/>
      <c r="Y170" s="1072"/>
      <c r="Z170" s="1073"/>
      <c r="AA170" s="1074"/>
      <c r="AB170" s="1074"/>
      <c r="AC170" s="1074"/>
      <c r="AD170" s="1074"/>
      <c r="AE170" s="1074"/>
      <c r="AF170" s="1072"/>
      <c r="AG170" s="1073"/>
      <c r="AH170" s="1074"/>
      <c r="AI170" s="1074"/>
      <c r="AJ170" s="1074"/>
      <c r="AK170" s="1074"/>
    </row>
    <row r="171">
      <c r="A171" s="1072"/>
      <c r="B171" s="1072"/>
      <c r="C171" s="1075"/>
      <c r="D171" s="1074"/>
      <c r="E171" s="1074"/>
      <c r="F171" s="1074"/>
      <c r="G171" s="1076"/>
      <c r="H171" s="1074"/>
      <c r="I171" s="1074"/>
      <c r="J171" s="1072"/>
      <c r="K171" s="1075"/>
      <c r="L171" s="1074"/>
      <c r="M171" s="1074"/>
      <c r="N171" s="1074"/>
      <c r="O171" s="1076"/>
      <c r="P171" s="1074"/>
      <c r="Q171" s="1074"/>
      <c r="R171" s="1072"/>
      <c r="S171" s="1073"/>
      <c r="T171" s="1074"/>
      <c r="U171" s="1074"/>
      <c r="V171" s="1074"/>
      <c r="W171" s="1074"/>
      <c r="X171" s="1074"/>
      <c r="Y171" s="1072"/>
      <c r="Z171" s="1073"/>
      <c r="AA171" s="1074"/>
      <c r="AB171" s="1074"/>
      <c r="AC171" s="1074"/>
      <c r="AD171" s="1074"/>
      <c r="AE171" s="1074"/>
      <c r="AF171" s="1072"/>
      <c r="AG171" s="1073"/>
      <c r="AH171" s="1074"/>
      <c r="AI171" s="1074"/>
      <c r="AJ171" s="1074"/>
      <c r="AK171" s="1074"/>
    </row>
    <row r="172">
      <c r="A172" s="1072"/>
      <c r="B172" s="1072"/>
      <c r="C172" s="1075"/>
      <c r="D172" s="1074"/>
      <c r="E172" s="1074"/>
      <c r="F172" s="1074"/>
      <c r="G172" s="1076"/>
      <c r="H172" s="1074"/>
      <c r="I172" s="1074"/>
      <c r="J172" s="1072"/>
      <c r="K172" s="1075"/>
      <c r="L172" s="1074"/>
      <c r="M172" s="1074"/>
      <c r="N172" s="1074"/>
      <c r="O172" s="1076"/>
      <c r="P172" s="1074"/>
      <c r="Q172" s="1074"/>
      <c r="R172" s="1072"/>
      <c r="S172" s="1073"/>
      <c r="T172" s="1074"/>
      <c r="U172" s="1074"/>
      <c r="V172" s="1074"/>
      <c r="W172" s="1074"/>
      <c r="X172" s="1074"/>
      <c r="Y172" s="1072"/>
      <c r="Z172" s="1073"/>
      <c r="AA172" s="1074"/>
      <c r="AB172" s="1074"/>
      <c r="AC172" s="1074"/>
      <c r="AD172" s="1074"/>
      <c r="AE172" s="1074"/>
      <c r="AF172" s="1072"/>
      <c r="AG172" s="1073"/>
      <c r="AH172" s="1074"/>
      <c r="AI172" s="1074"/>
      <c r="AJ172" s="1074"/>
      <c r="AK172" s="1074"/>
    </row>
    <row r="173">
      <c r="A173" s="1072"/>
      <c r="B173" s="1072"/>
      <c r="C173" s="1075"/>
      <c r="D173" s="1074"/>
      <c r="E173" s="1074"/>
      <c r="F173" s="1074"/>
      <c r="G173" s="1076"/>
      <c r="H173" s="1074"/>
      <c r="I173" s="1074"/>
      <c r="J173" s="1072"/>
      <c r="K173" s="1075"/>
      <c r="L173" s="1074"/>
      <c r="M173" s="1074"/>
      <c r="N173" s="1074"/>
      <c r="O173" s="1076"/>
      <c r="P173" s="1074"/>
      <c r="Q173" s="1074"/>
      <c r="R173" s="1072"/>
      <c r="S173" s="1073"/>
      <c r="T173" s="1074"/>
      <c r="U173" s="1074"/>
      <c r="V173" s="1074"/>
      <c r="W173" s="1074"/>
      <c r="X173" s="1074"/>
      <c r="Y173" s="1072"/>
      <c r="Z173" s="1073"/>
      <c r="AA173" s="1074"/>
      <c r="AB173" s="1074"/>
      <c r="AC173" s="1074"/>
      <c r="AD173" s="1074"/>
      <c r="AE173" s="1074"/>
      <c r="AF173" s="1072"/>
      <c r="AG173" s="1073"/>
      <c r="AH173" s="1074"/>
      <c r="AI173" s="1074"/>
      <c r="AJ173" s="1074"/>
      <c r="AK173" s="1074"/>
    </row>
    <row r="174">
      <c r="A174" s="1072"/>
      <c r="B174" s="1072"/>
      <c r="C174" s="1075"/>
      <c r="D174" s="1074"/>
      <c r="E174" s="1074"/>
      <c r="F174" s="1074"/>
      <c r="G174" s="1076"/>
      <c r="H174" s="1074"/>
      <c r="I174" s="1074"/>
      <c r="J174" s="1072"/>
      <c r="K174" s="1075"/>
      <c r="L174" s="1074"/>
      <c r="M174" s="1074"/>
      <c r="N174" s="1074"/>
      <c r="O174" s="1076"/>
      <c r="P174" s="1074"/>
      <c r="Q174" s="1074"/>
      <c r="R174" s="1072"/>
      <c r="S174" s="1073"/>
      <c r="T174" s="1074"/>
      <c r="U174" s="1074"/>
      <c r="V174" s="1074"/>
      <c r="W174" s="1074"/>
      <c r="X174" s="1074"/>
      <c r="Y174" s="1072"/>
      <c r="Z174" s="1073"/>
      <c r="AA174" s="1074"/>
      <c r="AB174" s="1074"/>
      <c r="AC174" s="1074"/>
      <c r="AD174" s="1074"/>
      <c r="AE174" s="1074"/>
      <c r="AF174" s="1072"/>
      <c r="AG174" s="1073"/>
      <c r="AH174" s="1074"/>
      <c r="AI174" s="1074"/>
      <c r="AJ174" s="1074"/>
      <c r="AK174" s="1074"/>
    </row>
    <row r="175">
      <c r="A175" s="1072"/>
      <c r="B175" s="1072"/>
      <c r="C175" s="1075"/>
      <c r="D175" s="1074"/>
      <c r="E175" s="1074"/>
      <c r="F175" s="1074"/>
      <c r="G175" s="1076"/>
      <c r="H175" s="1074"/>
      <c r="I175" s="1074"/>
      <c r="J175" s="1072"/>
      <c r="K175" s="1075"/>
      <c r="L175" s="1074"/>
      <c r="M175" s="1074"/>
      <c r="N175" s="1074"/>
      <c r="O175" s="1076"/>
      <c r="P175" s="1074"/>
      <c r="Q175" s="1074"/>
      <c r="R175" s="1072"/>
      <c r="S175" s="1073"/>
      <c r="T175" s="1074"/>
      <c r="U175" s="1074"/>
      <c r="V175" s="1074"/>
      <c r="W175" s="1074"/>
      <c r="X175" s="1074"/>
      <c r="Y175" s="1072"/>
      <c r="Z175" s="1073"/>
      <c r="AA175" s="1074"/>
      <c r="AB175" s="1074"/>
      <c r="AC175" s="1074"/>
      <c r="AD175" s="1074"/>
      <c r="AE175" s="1074"/>
      <c r="AF175" s="1072"/>
      <c r="AG175" s="1073"/>
      <c r="AH175" s="1074"/>
      <c r="AI175" s="1074"/>
      <c r="AJ175" s="1074"/>
      <c r="AK175" s="1074"/>
    </row>
    <row r="176">
      <c r="A176" s="1072"/>
      <c r="B176" s="1072"/>
      <c r="C176" s="1075"/>
      <c r="D176" s="1074"/>
      <c r="E176" s="1074"/>
      <c r="F176" s="1074"/>
      <c r="G176" s="1076"/>
      <c r="H176" s="1074"/>
      <c r="I176" s="1074"/>
      <c r="J176" s="1072"/>
      <c r="K176" s="1075"/>
      <c r="L176" s="1074"/>
      <c r="M176" s="1074"/>
      <c r="N176" s="1074"/>
      <c r="O176" s="1076"/>
      <c r="P176" s="1074"/>
      <c r="Q176" s="1074"/>
      <c r="R176" s="1072"/>
      <c r="S176" s="1073"/>
      <c r="T176" s="1074"/>
      <c r="U176" s="1074"/>
      <c r="V176" s="1074"/>
      <c r="W176" s="1074"/>
      <c r="X176" s="1074"/>
      <c r="Y176" s="1072"/>
      <c r="Z176" s="1073"/>
      <c r="AA176" s="1074"/>
      <c r="AB176" s="1074"/>
      <c r="AC176" s="1074"/>
      <c r="AD176" s="1074"/>
      <c r="AE176" s="1074"/>
      <c r="AF176" s="1072"/>
      <c r="AG176" s="1073"/>
      <c r="AH176" s="1074"/>
      <c r="AI176" s="1074"/>
      <c r="AJ176" s="1074"/>
      <c r="AK176" s="1074"/>
    </row>
    <row r="177">
      <c r="A177" s="1072"/>
      <c r="B177" s="1072"/>
      <c r="C177" s="1075"/>
      <c r="D177" s="1074"/>
      <c r="E177" s="1074"/>
      <c r="F177" s="1074"/>
      <c r="G177" s="1076"/>
      <c r="H177" s="1074"/>
      <c r="I177" s="1074"/>
      <c r="J177" s="1072"/>
      <c r="K177" s="1075"/>
      <c r="L177" s="1074"/>
      <c r="M177" s="1074"/>
      <c r="N177" s="1074"/>
      <c r="O177" s="1076"/>
      <c r="P177" s="1074"/>
      <c r="Q177" s="1074"/>
      <c r="R177" s="1072"/>
      <c r="S177" s="1073"/>
      <c r="T177" s="1074"/>
      <c r="U177" s="1074"/>
      <c r="V177" s="1074"/>
      <c r="W177" s="1074"/>
      <c r="X177" s="1074"/>
      <c r="Y177" s="1072"/>
      <c r="Z177" s="1073"/>
      <c r="AA177" s="1074"/>
      <c r="AB177" s="1074"/>
      <c r="AC177" s="1074"/>
      <c r="AD177" s="1074"/>
      <c r="AE177" s="1074"/>
      <c r="AF177" s="1072"/>
      <c r="AG177" s="1073"/>
      <c r="AH177" s="1074"/>
      <c r="AI177" s="1074"/>
      <c r="AJ177" s="1074"/>
      <c r="AK177" s="1074"/>
    </row>
    <row r="178">
      <c r="A178" s="1072"/>
      <c r="B178" s="1072"/>
      <c r="C178" s="1075"/>
      <c r="D178" s="1074"/>
      <c r="E178" s="1074"/>
      <c r="F178" s="1074"/>
      <c r="G178" s="1076"/>
      <c r="H178" s="1074"/>
      <c r="I178" s="1074"/>
      <c r="J178" s="1072"/>
      <c r="K178" s="1075"/>
      <c r="L178" s="1074"/>
      <c r="M178" s="1074"/>
      <c r="N178" s="1074"/>
      <c r="O178" s="1076"/>
      <c r="P178" s="1074"/>
      <c r="Q178" s="1074"/>
      <c r="R178" s="1072"/>
      <c r="S178" s="1073"/>
      <c r="T178" s="1074"/>
      <c r="U178" s="1074"/>
      <c r="V178" s="1074"/>
      <c r="W178" s="1074"/>
      <c r="X178" s="1074"/>
      <c r="Y178" s="1072"/>
      <c r="Z178" s="1073"/>
      <c r="AA178" s="1074"/>
      <c r="AB178" s="1074"/>
      <c r="AC178" s="1074"/>
      <c r="AD178" s="1074"/>
      <c r="AE178" s="1074"/>
      <c r="AF178" s="1072"/>
      <c r="AG178" s="1073"/>
      <c r="AH178" s="1074"/>
      <c r="AI178" s="1074"/>
      <c r="AJ178" s="1074"/>
      <c r="AK178" s="1074"/>
    </row>
    <row r="179">
      <c r="A179" s="1072"/>
      <c r="B179" s="1072"/>
      <c r="C179" s="1075"/>
      <c r="D179" s="1074"/>
      <c r="E179" s="1074"/>
      <c r="F179" s="1074"/>
      <c r="G179" s="1076"/>
      <c r="H179" s="1074"/>
      <c r="I179" s="1074"/>
      <c r="J179" s="1072"/>
      <c r="K179" s="1075"/>
      <c r="L179" s="1074"/>
      <c r="M179" s="1074"/>
      <c r="N179" s="1074"/>
      <c r="O179" s="1076"/>
      <c r="P179" s="1074"/>
      <c r="Q179" s="1074"/>
      <c r="R179" s="1072"/>
      <c r="S179" s="1073"/>
      <c r="T179" s="1074"/>
      <c r="U179" s="1074"/>
      <c r="V179" s="1074"/>
      <c r="W179" s="1074"/>
      <c r="X179" s="1074"/>
      <c r="Y179" s="1072"/>
      <c r="Z179" s="1073"/>
      <c r="AA179" s="1074"/>
      <c r="AB179" s="1074"/>
      <c r="AC179" s="1074"/>
      <c r="AD179" s="1074"/>
      <c r="AE179" s="1074"/>
      <c r="AF179" s="1072"/>
      <c r="AG179" s="1073"/>
      <c r="AH179" s="1074"/>
      <c r="AI179" s="1074"/>
      <c r="AJ179" s="1074"/>
      <c r="AK179" s="1074"/>
    </row>
    <row r="180">
      <c r="A180" s="1072"/>
      <c r="B180" s="1072"/>
      <c r="C180" s="1075"/>
      <c r="D180" s="1074"/>
      <c r="E180" s="1074"/>
      <c r="F180" s="1074"/>
      <c r="G180" s="1076"/>
      <c r="H180" s="1074"/>
      <c r="I180" s="1074"/>
      <c r="J180" s="1072"/>
      <c r="K180" s="1075"/>
      <c r="L180" s="1074"/>
      <c r="M180" s="1074"/>
      <c r="N180" s="1074"/>
      <c r="O180" s="1076"/>
      <c r="P180" s="1074"/>
      <c r="Q180" s="1074"/>
      <c r="R180" s="1072"/>
      <c r="S180" s="1073"/>
      <c r="T180" s="1074"/>
      <c r="U180" s="1074"/>
      <c r="V180" s="1074"/>
      <c r="W180" s="1074"/>
      <c r="X180" s="1074"/>
      <c r="Y180" s="1072"/>
      <c r="Z180" s="1073"/>
      <c r="AA180" s="1074"/>
      <c r="AB180" s="1074"/>
      <c r="AC180" s="1074"/>
      <c r="AD180" s="1074"/>
      <c r="AE180" s="1074"/>
      <c r="AF180" s="1072"/>
      <c r="AG180" s="1073"/>
      <c r="AH180" s="1074"/>
      <c r="AI180" s="1074"/>
      <c r="AJ180" s="1074"/>
      <c r="AK180" s="1074"/>
    </row>
    <row r="181">
      <c r="A181" s="1072"/>
      <c r="B181" s="1072"/>
      <c r="C181" s="1075"/>
      <c r="D181" s="1074"/>
      <c r="E181" s="1074"/>
      <c r="F181" s="1074"/>
      <c r="G181" s="1076"/>
      <c r="H181" s="1074"/>
      <c r="I181" s="1074"/>
      <c r="J181" s="1072"/>
      <c r="K181" s="1075"/>
      <c r="L181" s="1074"/>
      <c r="M181" s="1074"/>
      <c r="N181" s="1074"/>
      <c r="O181" s="1076"/>
      <c r="P181" s="1074"/>
      <c r="Q181" s="1074"/>
      <c r="R181" s="1072"/>
      <c r="S181" s="1073"/>
      <c r="T181" s="1074"/>
      <c r="U181" s="1074"/>
      <c r="V181" s="1074"/>
      <c r="W181" s="1074"/>
      <c r="X181" s="1074"/>
      <c r="Y181" s="1072"/>
      <c r="Z181" s="1073"/>
      <c r="AA181" s="1074"/>
      <c r="AB181" s="1074"/>
      <c r="AC181" s="1074"/>
      <c r="AD181" s="1074"/>
      <c r="AE181" s="1074"/>
      <c r="AF181" s="1072"/>
      <c r="AG181" s="1073"/>
      <c r="AH181" s="1074"/>
      <c r="AI181" s="1074"/>
      <c r="AJ181" s="1074"/>
      <c r="AK181" s="1074"/>
    </row>
    <row r="182">
      <c r="A182" s="1072"/>
      <c r="B182" s="1072"/>
      <c r="C182" s="1075"/>
      <c r="D182" s="1074"/>
      <c r="E182" s="1074"/>
      <c r="F182" s="1074"/>
      <c r="G182" s="1076"/>
      <c r="H182" s="1074"/>
      <c r="I182" s="1074"/>
      <c r="J182" s="1072"/>
      <c r="K182" s="1075"/>
      <c r="L182" s="1074"/>
      <c r="M182" s="1074"/>
      <c r="N182" s="1074"/>
      <c r="O182" s="1076"/>
      <c r="P182" s="1074"/>
      <c r="Q182" s="1074"/>
      <c r="R182" s="1072"/>
      <c r="S182" s="1073"/>
      <c r="T182" s="1074"/>
      <c r="U182" s="1074"/>
      <c r="V182" s="1074"/>
      <c r="W182" s="1074"/>
      <c r="X182" s="1074"/>
      <c r="Y182" s="1072"/>
      <c r="Z182" s="1073"/>
      <c r="AA182" s="1074"/>
      <c r="AB182" s="1074"/>
      <c r="AC182" s="1074"/>
      <c r="AD182" s="1074"/>
      <c r="AE182" s="1074"/>
      <c r="AF182" s="1072"/>
      <c r="AG182" s="1073"/>
      <c r="AH182" s="1074"/>
      <c r="AI182" s="1074"/>
      <c r="AJ182" s="1074"/>
      <c r="AK182" s="1074"/>
    </row>
    <row r="183">
      <c r="A183" s="1072"/>
      <c r="B183" s="1072"/>
      <c r="C183" s="1075"/>
      <c r="D183" s="1074"/>
      <c r="E183" s="1074"/>
      <c r="F183" s="1074"/>
      <c r="G183" s="1076"/>
      <c r="H183" s="1074"/>
      <c r="I183" s="1074"/>
      <c r="J183" s="1072"/>
      <c r="K183" s="1075"/>
      <c r="L183" s="1074"/>
      <c r="M183" s="1074"/>
      <c r="N183" s="1074"/>
      <c r="O183" s="1076"/>
      <c r="P183" s="1074"/>
      <c r="Q183" s="1074"/>
      <c r="R183" s="1072"/>
      <c r="S183" s="1073"/>
      <c r="T183" s="1074"/>
      <c r="U183" s="1074"/>
      <c r="V183" s="1074"/>
      <c r="W183" s="1074"/>
      <c r="X183" s="1074"/>
      <c r="Y183" s="1072"/>
      <c r="Z183" s="1073"/>
      <c r="AA183" s="1074"/>
      <c r="AB183" s="1074"/>
      <c r="AC183" s="1074"/>
      <c r="AD183" s="1074"/>
      <c r="AE183" s="1074"/>
      <c r="AF183" s="1072"/>
      <c r="AG183" s="1073"/>
      <c r="AH183" s="1074"/>
      <c r="AI183" s="1074"/>
      <c r="AJ183" s="1074"/>
      <c r="AK183" s="1074"/>
    </row>
    <row r="184">
      <c r="A184" s="1072"/>
      <c r="B184" s="1072"/>
      <c r="C184" s="1075"/>
      <c r="D184" s="1074"/>
      <c r="E184" s="1074"/>
      <c r="F184" s="1074"/>
      <c r="G184" s="1076"/>
      <c r="H184" s="1074"/>
      <c r="I184" s="1074"/>
      <c r="J184" s="1072"/>
      <c r="K184" s="1075"/>
      <c r="L184" s="1074"/>
      <c r="M184" s="1074"/>
      <c r="N184" s="1074"/>
      <c r="O184" s="1076"/>
      <c r="P184" s="1074"/>
      <c r="Q184" s="1074"/>
      <c r="R184" s="1072"/>
      <c r="S184" s="1073"/>
      <c r="T184" s="1074"/>
      <c r="U184" s="1074"/>
      <c r="V184" s="1074"/>
      <c r="W184" s="1074"/>
      <c r="X184" s="1074"/>
      <c r="Y184" s="1072"/>
      <c r="Z184" s="1073"/>
      <c r="AA184" s="1074"/>
      <c r="AB184" s="1074"/>
      <c r="AC184" s="1074"/>
      <c r="AD184" s="1074"/>
      <c r="AE184" s="1074"/>
      <c r="AF184" s="1072"/>
      <c r="AG184" s="1073"/>
      <c r="AH184" s="1074"/>
      <c r="AI184" s="1074"/>
      <c r="AJ184" s="1074"/>
      <c r="AK184" s="1074"/>
    </row>
    <row r="185">
      <c r="A185" s="1072"/>
      <c r="B185" s="1072"/>
      <c r="C185" s="1075"/>
      <c r="D185" s="1074"/>
      <c r="E185" s="1074"/>
      <c r="F185" s="1074"/>
      <c r="G185" s="1076"/>
      <c r="H185" s="1074"/>
      <c r="I185" s="1074"/>
      <c r="J185" s="1072"/>
      <c r="K185" s="1075"/>
      <c r="L185" s="1074"/>
      <c r="M185" s="1074"/>
      <c r="N185" s="1074"/>
      <c r="O185" s="1076"/>
      <c r="P185" s="1074"/>
      <c r="Q185" s="1074"/>
      <c r="R185" s="1072"/>
      <c r="S185" s="1073"/>
      <c r="T185" s="1074"/>
      <c r="U185" s="1074"/>
      <c r="V185" s="1074"/>
      <c r="W185" s="1074"/>
      <c r="X185" s="1074"/>
      <c r="Y185" s="1072"/>
      <c r="Z185" s="1073"/>
      <c r="AA185" s="1074"/>
      <c r="AB185" s="1074"/>
      <c r="AC185" s="1074"/>
      <c r="AD185" s="1074"/>
      <c r="AE185" s="1074"/>
      <c r="AF185" s="1072"/>
      <c r="AG185" s="1073"/>
      <c r="AH185" s="1074"/>
      <c r="AI185" s="1074"/>
      <c r="AJ185" s="1074"/>
      <c r="AK185" s="1074"/>
    </row>
    <row r="186">
      <c r="A186" s="1072"/>
      <c r="B186" s="1072"/>
      <c r="C186" s="1075"/>
      <c r="D186" s="1074"/>
      <c r="E186" s="1074"/>
      <c r="F186" s="1074"/>
      <c r="G186" s="1076"/>
      <c r="H186" s="1074"/>
      <c r="I186" s="1074"/>
      <c r="J186" s="1072"/>
      <c r="K186" s="1075"/>
      <c r="L186" s="1074"/>
      <c r="M186" s="1074"/>
      <c r="N186" s="1074"/>
      <c r="O186" s="1076"/>
      <c r="P186" s="1074"/>
      <c r="Q186" s="1074"/>
      <c r="R186" s="1072"/>
      <c r="S186" s="1073"/>
      <c r="T186" s="1074"/>
      <c r="U186" s="1074"/>
      <c r="V186" s="1074"/>
      <c r="W186" s="1074"/>
      <c r="X186" s="1074"/>
      <c r="Y186" s="1072"/>
      <c r="Z186" s="1073"/>
      <c r="AA186" s="1074"/>
      <c r="AB186" s="1074"/>
      <c r="AC186" s="1074"/>
      <c r="AD186" s="1074"/>
      <c r="AE186" s="1074"/>
      <c r="AF186" s="1072"/>
      <c r="AG186" s="1073"/>
      <c r="AH186" s="1074"/>
      <c r="AI186" s="1074"/>
      <c r="AJ186" s="1074"/>
      <c r="AK186" s="1074"/>
    </row>
    <row r="187">
      <c r="A187" s="1072"/>
      <c r="B187" s="1072"/>
      <c r="C187" s="1075"/>
      <c r="D187" s="1074"/>
      <c r="E187" s="1074"/>
      <c r="F187" s="1074"/>
      <c r="G187" s="1076"/>
      <c r="H187" s="1074"/>
      <c r="I187" s="1074"/>
      <c r="J187" s="1072"/>
      <c r="K187" s="1075"/>
      <c r="L187" s="1074"/>
      <c r="M187" s="1074"/>
      <c r="N187" s="1074"/>
      <c r="O187" s="1076"/>
      <c r="P187" s="1074"/>
      <c r="Q187" s="1074"/>
      <c r="R187" s="1072"/>
      <c r="S187" s="1073"/>
      <c r="T187" s="1074"/>
      <c r="U187" s="1074"/>
      <c r="V187" s="1074"/>
      <c r="W187" s="1074"/>
      <c r="X187" s="1074"/>
      <c r="Y187" s="1072"/>
      <c r="Z187" s="1073"/>
      <c r="AA187" s="1074"/>
      <c r="AB187" s="1074"/>
      <c r="AC187" s="1074"/>
      <c r="AD187" s="1074"/>
      <c r="AE187" s="1074"/>
      <c r="AF187" s="1072"/>
      <c r="AG187" s="1073"/>
      <c r="AH187" s="1074"/>
      <c r="AI187" s="1074"/>
      <c r="AJ187" s="1074"/>
      <c r="AK187" s="1074"/>
    </row>
    <row r="188">
      <c r="A188" s="1072"/>
      <c r="B188" s="1072"/>
      <c r="C188" s="1075"/>
      <c r="D188" s="1074"/>
      <c r="E188" s="1074"/>
      <c r="F188" s="1074"/>
      <c r="G188" s="1076"/>
      <c r="H188" s="1074"/>
      <c r="I188" s="1074"/>
      <c r="J188" s="1072"/>
      <c r="K188" s="1075"/>
      <c r="L188" s="1074"/>
      <c r="M188" s="1074"/>
      <c r="N188" s="1074"/>
      <c r="O188" s="1076"/>
      <c r="P188" s="1074"/>
      <c r="Q188" s="1074"/>
      <c r="R188" s="1072"/>
      <c r="S188" s="1073"/>
      <c r="T188" s="1074"/>
      <c r="U188" s="1074"/>
      <c r="V188" s="1074"/>
      <c r="W188" s="1074"/>
      <c r="X188" s="1074"/>
      <c r="Y188" s="1072"/>
      <c r="Z188" s="1073"/>
      <c r="AA188" s="1074"/>
      <c r="AB188" s="1074"/>
      <c r="AC188" s="1074"/>
      <c r="AD188" s="1074"/>
      <c r="AE188" s="1074"/>
      <c r="AF188" s="1072"/>
      <c r="AG188" s="1073"/>
      <c r="AH188" s="1074"/>
      <c r="AI188" s="1074"/>
      <c r="AJ188" s="1074"/>
      <c r="AK188" s="1074"/>
    </row>
    <row r="189">
      <c r="A189" s="1072"/>
      <c r="B189" s="1072"/>
      <c r="C189" s="1075"/>
      <c r="D189" s="1074"/>
      <c r="E189" s="1074"/>
      <c r="F189" s="1074"/>
      <c r="G189" s="1076"/>
      <c r="H189" s="1074"/>
      <c r="I189" s="1074"/>
      <c r="J189" s="1072"/>
      <c r="K189" s="1075"/>
      <c r="L189" s="1074"/>
      <c r="M189" s="1074"/>
      <c r="N189" s="1074"/>
      <c r="O189" s="1076"/>
      <c r="P189" s="1074"/>
      <c r="Q189" s="1074"/>
      <c r="R189" s="1072"/>
      <c r="S189" s="1073"/>
      <c r="T189" s="1074"/>
      <c r="U189" s="1074"/>
      <c r="V189" s="1074"/>
      <c r="W189" s="1074"/>
      <c r="X189" s="1074"/>
      <c r="Y189" s="1072"/>
      <c r="Z189" s="1073"/>
      <c r="AA189" s="1074"/>
      <c r="AB189" s="1074"/>
      <c r="AC189" s="1074"/>
      <c r="AD189" s="1074"/>
      <c r="AE189" s="1074"/>
      <c r="AF189" s="1072"/>
      <c r="AG189" s="1073"/>
      <c r="AH189" s="1074"/>
      <c r="AI189" s="1074"/>
      <c r="AJ189" s="1074"/>
      <c r="AK189" s="1074"/>
    </row>
    <row r="190">
      <c r="A190" s="1072"/>
      <c r="B190" s="1072"/>
      <c r="C190" s="1075"/>
      <c r="D190" s="1074"/>
      <c r="E190" s="1074"/>
      <c r="F190" s="1074"/>
      <c r="G190" s="1076"/>
      <c r="H190" s="1074"/>
      <c r="I190" s="1074"/>
      <c r="J190" s="1072"/>
      <c r="K190" s="1075"/>
      <c r="L190" s="1074"/>
      <c r="M190" s="1074"/>
      <c r="N190" s="1074"/>
      <c r="O190" s="1076"/>
      <c r="P190" s="1074"/>
      <c r="Q190" s="1074"/>
      <c r="R190" s="1072"/>
      <c r="S190" s="1073"/>
      <c r="T190" s="1074"/>
      <c r="U190" s="1074"/>
      <c r="V190" s="1074"/>
      <c r="W190" s="1074"/>
      <c r="X190" s="1074"/>
      <c r="Y190" s="1072"/>
      <c r="Z190" s="1073"/>
      <c r="AA190" s="1074"/>
      <c r="AB190" s="1074"/>
      <c r="AC190" s="1074"/>
      <c r="AD190" s="1074"/>
      <c r="AE190" s="1074"/>
      <c r="AF190" s="1072"/>
      <c r="AG190" s="1073"/>
      <c r="AH190" s="1074"/>
      <c r="AI190" s="1074"/>
      <c r="AJ190" s="1074"/>
      <c r="AK190" s="1074"/>
    </row>
    <row r="191">
      <c r="A191" s="1072"/>
      <c r="B191" s="1072"/>
      <c r="C191" s="1075"/>
      <c r="D191" s="1074"/>
      <c r="E191" s="1074"/>
      <c r="F191" s="1074"/>
      <c r="G191" s="1076"/>
      <c r="H191" s="1074"/>
      <c r="I191" s="1074"/>
      <c r="J191" s="1072"/>
      <c r="K191" s="1075"/>
      <c r="L191" s="1074"/>
      <c r="M191" s="1074"/>
      <c r="N191" s="1074"/>
      <c r="O191" s="1076"/>
      <c r="P191" s="1074"/>
      <c r="Q191" s="1074"/>
      <c r="R191" s="1072"/>
      <c r="S191" s="1073"/>
      <c r="T191" s="1074"/>
      <c r="U191" s="1074"/>
      <c r="V191" s="1074"/>
      <c r="W191" s="1074"/>
      <c r="X191" s="1074"/>
      <c r="Y191" s="1072"/>
      <c r="Z191" s="1073"/>
      <c r="AA191" s="1074"/>
      <c r="AB191" s="1074"/>
      <c r="AC191" s="1074"/>
      <c r="AD191" s="1074"/>
      <c r="AE191" s="1074"/>
      <c r="AF191" s="1072"/>
      <c r="AG191" s="1073"/>
      <c r="AH191" s="1074"/>
      <c r="AI191" s="1074"/>
      <c r="AJ191" s="1074"/>
      <c r="AK191" s="1074"/>
    </row>
    <row r="192">
      <c r="A192" s="1072"/>
      <c r="B192" s="1072"/>
      <c r="C192" s="1075"/>
      <c r="D192" s="1074"/>
      <c r="E192" s="1074"/>
      <c r="F192" s="1074"/>
      <c r="G192" s="1076"/>
      <c r="H192" s="1074"/>
      <c r="I192" s="1074"/>
      <c r="J192" s="1072"/>
      <c r="K192" s="1075"/>
      <c r="L192" s="1074"/>
      <c r="M192" s="1074"/>
      <c r="N192" s="1074"/>
      <c r="O192" s="1076"/>
      <c r="P192" s="1074"/>
      <c r="Q192" s="1074"/>
      <c r="R192" s="1072"/>
      <c r="S192" s="1073"/>
      <c r="T192" s="1074"/>
      <c r="U192" s="1074"/>
      <c r="V192" s="1074"/>
      <c r="W192" s="1074"/>
      <c r="X192" s="1074"/>
      <c r="Y192" s="1072"/>
      <c r="Z192" s="1073"/>
      <c r="AA192" s="1074"/>
      <c r="AB192" s="1074"/>
      <c r="AC192" s="1074"/>
      <c r="AD192" s="1074"/>
      <c r="AE192" s="1074"/>
      <c r="AF192" s="1072"/>
      <c r="AG192" s="1073"/>
      <c r="AH192" s="1074"/>
      <c r="AI192" s="1074"/>
      <c r="AJ192" s="1074"/>
      <c r="AK192" s="1074"/>
    </row>
    <row r="193">
      <c r="A193" s="1072"/>
      <c r="B193" s="1072"/>
      <c r="C193" s="1075"/>
      <c r="D193" s="1074"/>
      <c r="E193" s="1074"/>
      <c r="F193" s="1074"/>
      <c r="G193" s="1076"/>
      <c r="H193" s="1074"/>
      <c r="I193" s="1074"/>
      <c r="J193" s="1072"/>
      <c r="K193" s="1075"/>
      <c r="L193" s="1074"/>
      <c r="M193" s="1074"/>
      <c r="N193" s="1074"/>
      <c r="O193" s="1076"/>
      <c r="P193" s="1074"/>
      <c r="Q193" s="1074"/>
      <c r="R193" s="1072"/>
      <c r="S193" s="1073"/>
      <c r="T193" s="1074"/>
      <c r="U193" s="1074"/>
      <c r="V193" s="1074"/>
      <c r="W193" s="1074"/>
      <c r="X193" s="1074"/>
      <c r="Y193" s="1072"/>
      <c r="Z193" s="1073"/>
      <c r="AA193" s="1074"/>
      <c r="AB193" s="1074"/>
      <c r="AC193" s="1074"/>
      <c r="AD193" s="1074"/>
      <c r="AE193" s="1074"/>
      <c r="AF193" s="1072"/>
      <c r="AG193" s="1073"/>
      <c r="AH193" s="1074"/>
      <c r="AI193" s="1074"/>
      <c r="AJ193" s="1074"/>
      <c r="AK193" s="1074"/>
    </row>
    <row r="194">
      <c r="A194" s="1072"/>
      <c r="B194" s="1072"/>
      <c r="C194" s="1075"/>
      <c r="D194" s="1074"/>
      <c r="E194" s="1074"/>
      <c r="F194" s="1074"/>
      <c r="G194" s="1076"/>
      <c r="H194" s="1074"/>
      <c r="I194" s="1074"/>
      <c r="J194" s="1072"/>
      <c r="K194" s="1075"/>
      <c r="L194" s="1074"/>
      <c r="M194" s="1074"/>
      <c r="N194" s="1074"/>
      <c r="O194" s="1076"/>
      <c r="P194" s="1074"/>
      <c r="Q194" s="1074"/>
      <c r="R194" s="1072"/>
      <c r="S194" s="1073"/>
      <c r="T194" s="1074"/>
      <c r="U194" s="1074"/>
      <c r="V194" s="1074"/>
      <c r="W194" s="1074"/>
      <c r="X194" s="1074"/>
      <c r="Y194" s="1072"/>
      <c r="Z194" s="1073"/>
      <c r="AA194" s="1074"/>
      <c r="AB194" s="1074"/>
      <c r="AC194" s="1074"/>
      <c r="AD194" s="1074"/>
      <c r="AE194" s="1074"/>
      <c r="AF194" s="1072"/>
      <c r="AG194" s="1073"/>
      <c r="AH194" s="1074"/>
      <c r="AI194" s="1074"/>
      <c r="AJ194" s="1074"/>
      <c r="AK194" s="1074"/>
    </row>
    <row r="195">
      <c r="A195" s="1072"/>
      <c r="B195" s="1072"/>
      <c r="C195" s="1075"/>
      <c r="D195" s="1074"/>
      <c r="E195" s="1074"/>
      <c r="F195" s="1074"/>
      <c r="G195" s="1076"/>
      <c r="H195" s="1074"/>
      <c r="I195" s="1074"/>
      <c r="J195" s="1072"/>
      <c r="K195" s="1075"/>
      <c r="L195" s="1074"/>
      <c r="M195" s="1074"/>
      <c r="N195" s="1074"/>
      <c r="O195" s="1076"/>
      <c r="P195" s="1074"/>
      <c r="Q195" s="1074"/>
      <c r="R195" s="1072"/>
      <c r="S195" s="1073"/>
      <c r="T195" s="1074"/>
      <c r="U195" s="1074"/>
      <c r="V195" s="1074"/>
      <c r="W195" s="1074"/>
      <c r="X195" s="1074"/>
      <c r="Y195" s="1072"/>
      <c r="Z195" s="1073"/>
      <c r="AA195" s="1074"/>
      <c r="AB195" s="1074"/>
      <c r="AC195" s="1074"/>
      <c r="AD195" s="1074"/>
      <c r="AE195" s="1074"/>
      <c r="AF195" s="1072"/>
      <c r="AG195" s="1073"/>
      <c r="AH195" s="1074"/>
      <c r="AI195" s="1074"/>
      <c r="AJ195" s="1074"/>
      <c r="AK195" s="1074"/>
    </row>
    <row r="196">
      <c r="A196" s="1072"/>
      <c r="B196" s="1072"/>
      <c r="C196" s="1075"/>
      <c r="D196" s="1074"/>
      <c r="E196" s="1074"/>
      <c r="F196" s="1074"/>
      <c r="G196" s="1076"/>
      <c r="H196" s="1074"/>
      <c r="I196" s="1074"/>
      <c r="J196" s="1072"/>
      <c r="K196" s="1075"/>
      <c r="L196" s="1074"/>
      <c r="M196" s="1074"/>
      <c r="N196" s="1074"/>
      <c r="O196" s="1076"/>
      <c r="P196" s="1074"/>
      <c r="Q196" s="1074"/>
      <c r="R196" s="1072"/>
      <c r="S196" s="1073"/>
      <c r="T196" s="1074"/>
      <c r="U196" s="1074"/>
      <c r="V196" s="1074"/>
      <c r="W196" s="1074"/>
      <c r="X196" s="1074"/>
      <c r="Y196" s="1072"/>
      <c r="Z196" s="1073"/>
      <c r="AA196" s="1074"/>
      <c r="AB196" s="1074"/>
      <c r="AC196" s="1074"/>
      <c r="AD196" s="1074"/>
      <c r="AE196" s="1074"/>
      <c r="AF196" s="1072"/>
      <c r="AG196" s="1073"/>
      <c r="AH196" s="1074"/>
      <c r="AI196" s="1074"/>
      <c r="AJ196" s="1074"/>
      <c r="AK196" s="1074"/>
    </row>
    <row r="197">
      <c r="A197" s="1072"/>
      <c r="B197" s="1072"/>
      <c r="C197" s="1075"/>
      <c r="D197" s="1074"/>
      <c r="E197" s="1074"/>
      <c r="F197" s="1074"/>
      <c r="G197" s="1076"/>
      <c r="H197" s="1074"/>
      <c r="I197" s="1074"/>
      <c r="J197" s="1072"/>
      <c r="K197" s="1075"/>
      <c r="L197" s="1074"/>
      <c r="M197" s="1074"/>
      <c r="N197" s="1074"/>
      <c r="O197" s="1076"/>
      <c r="P197" s="1074"/>
      <c r="Q197" s="1074"/>
      <c r="R197" s="1072"/>
      <c r="S197" s="1073"/>
      <c r="T197" s="1074"/>
      <c r="U197" s="1074"/>
      <c r="V197" s="1074"/>
      <c r="W197" s="1074"/>
      <c r="X197" s="1074"/>
      <c r="Y197" s="1072"/>
      <c r="Z197" s="1073"/>
      <c r="AA197" s="1074"/>
      <c r="AB197" s="1074"/>
      <c r="AC197" s="1074"/>
      <c r="AD197" s="1074"/>
      <c r="AE197" s="1074"/>
      <c r="AF197" s="1072"/>
      <c r="AG197" s="1073"/>
      <c r="AH197" s="1074"/>
      <c r="AI197" s="1074"/>
      <c r="AJ197" s="1074"/>
      <c r="AK197" s="1074"/>
    </row>
    <row r="198">
      <c r="A198" s="1072"/>
      <c r="B198" s="1072"/>
      <c r="C198" s="1075"/>
      <c r="D198" s="1074"/>
      <c r="E198" s="1074"/>
      <c r="F198" s="1074"/>
      <c r="G198" s="1076"/>
      <c r="H198" s="1074"/>
      <c r="I198" s="1074"/>
      <c r="J198" s="1072"/>
      <c r="K198" s="1075"/>
      <c r="L198" s="1074"/>
      <c r="M198" s="1074"/>
      <c r="N198" s="1074"/>
      <c r="O198" s="1076"/>
      <c r="P198" s="1074"/>
      <c r="Q198" s="1074"/>
      <c r="R198" s="1072"/>
      <c r="S198" s="1073"/>
      <c r="T198" s="1074"/>
      <c r="U198" s="1074"/>
      <c r="V198" s="1074"/>
      <c r="W198" s="1074"/>
      <c r="X198" s="1074"/>
      <c r="Y198" s="1072"/>
      <c r="Z198" s="1073"/>
      <c r="AA198" s="1074"/>
      <c r="AB198" s="1074"/>
      <c r="AC198" s="1074"/>
      <c r="AD198" s="1074"/>
      <c r="AE198" s="1074"/>
      <c r="AF198" s="1072"/>
      <c r="AG198" s="1073"/>
      <c r="AH198" s="1074"/>
      <c r="AI198" s="1074"/>
      <c r="AJ198" s="1074"/>
      <c r="AK198" s="1074"/>
    </row>
    <row r="199">
      <c r="A199" s="1072"/>
      <c r="B199" s="1072"/>
      <c r="C199" s="1075"/>
      <c r="D199" s="1074"/>
      <c r="E199" s="1074"/>
      <c r="F199" s="1074"/>
      <c r="G199" s="1076"/>
      <c r="H199" s="1074"/>
      <c r="I199" s="1074"/>
      <c r="J199" s="1072"/>
      <c r="K199" s="1075"/>
      <c r="L199" s="1074"/>
      <c r="M199" s="1074"/>
      <c r="N199" s="1074"/>
      <c r="O199" s="1076"/>
      <c r="P199" s="1074"/>
      <c r="Q199" s="1074"/>
      <c r="R199" s="1072"/>
      <c r="S199" s="1073"/>
      <c r="T199" s="1074"/>
      <c r="U199" s="1074"/>
      <c r="V199" s="1074"/>
      <c r="W199" s="1074"/>
      <c r="X199" s="1074"/>
      <c r="Y199" s="1072"/>
      <c r="Z199" s="1073"/>
      <c r="AA199" s="1074"/>
      <c r="AB199" s="1074"/>
      <c r="AC199" s="1074"/>
      <c r="AD199" s="1074"/>
      <c r="AE199" s="1074"/>
      <c r="AF199" s="1072"/>
      <c r="AG199" s="1073"/>
      <c r="AH199" s="1074"/>
      <c r="AI199" s="1074"/>
      <c r="AJ199" s="1074"/>
      <c r="AK199" s="1074"/>
    </row>
    <row r="200">
      <c r="A200" s="1072"/>
      <c r="B200" s="1072"/>
      <c r="C200" s="1075"/>
      <c r="D200" s="1074"/>
      <c r="E200" s="1074"/>
      <c r="F200" s="1074"/>
      <c r="G200" s="1076"/>
      <c r="H200" s="1074"/>
      <c r="I200" s="1074"/>
      <c r="J200" s="1072"/>
      <c r="K200" s="1075"/>
      <c r="L200" s="1074"/>
      <c r="M200" s="1074"/>
      <c r="N200" s="1074"/>
      <c r="O200" s="1076"/>
      <c r="P200" s="1074"/>
      <c r="Q200" s="1074"/>
      <c r="R200" s="1072"/>
      <c r="S200" s="1073"/>
      <c r="T200" s="1074"/>
      <c r="U200" s="1074"/>
      <c r="V200" s="1074"/>
      <c r="W200" s="1074"/>
      <c r="X200" s="1074"/>
      <c r="Y200" s="1072"/>
      <c r="Z200" s="1073"/>
      <c r="AA200" s="1074"/>
      <c r="AB200" s="1074"/>
      <c r="AC200" s="1074"/>
      <c r="AD200" s="1074"/>
      <c r="AE200" s="1074"/>
      <c r="AF200" s="1072"/>
      <c r="AG200" s="1073"/>
      <c r="AH200" s="1074"/>
      <c r="AI200" s="1074"/>
      <c r="AJ200" s="1074"/>
      <c r="AK200" s="1074"/>
    </row>
    <row r="201">
      <c r="A201" s="1072"/>
      <c r="B201" s="1072"/>
      <c r="C201" s="1075"/>
      <c r="D201" s="1074"/>
      <c r="E201" s="1074"/>
      <c r="F201" s="1074"/>
      <c r="G201" s="1076"/>
      <c r="H201" s="1074"/>
      <c r="I201" s="1074"/>
      <c r="J201" s="1072"/>
      <c r="K201" s="1075"/>
      <c r="L201" s="1074"/>
      <c r="M201" s="1074"/>
      <c r="N201" s="1074"/>
      <c r="O201" s="1076"/>
      <c r="P201" s="1074"/>
      <c r="Q201" s="1074"/>
      <c r="R201" s="1072"/>
      <c r="S201" s="1073"/>
      <c r="T201" s="1074"/>
      <c r="U201" s="1074"/>
      <c r="V201" s="1074"/>
      <c r="W201" s="1074"/>
      <c r="X201" s="1074"/>
      <c r="Y201" s="1072"/>
      <c r="Z201" s="1073"/>
      <c r="AA201" s="1074"/>
      <c r="AB201" s="1074"/>
      <c r="AC201" s="1074"/>
      <c r="AD201" s="1074"/>
      <c r="AE201" s="1074"/>
      <c r="AF201" s="1072"/>
      <c r="AG201" s="1073"/>
      <c r="AH201" s="1074"/>
      <c r="AI201" s="1074"/>
      <c r="AJ201" s="1074"/>
      <c r="AK201" s="1074"/>
    </row>
    <row r="202">
      <c r="A202" s="1072"/>
      <c r="B202" s="1072"/>
      <c r="C202" s="1075"/>
      <c r="D202" s="1074"/>
      <c r="E202" s="1074"/>
      <c r="F202" s="1074"/>
      <c r="G202" s="1076"/>
      <c r="H202" s="1074"/>
      <c r="I202" s="1074"/>
      <c r="J202" s="1072"/>
      <c r="K202" s="1075"/>
      <c r="L202" s="1074"/>
      <c r="M202" s="1074"/>
      <c r="N202" s="1074"/>
      <c r="O202" s="1076"/>
      <c r="P202" s="1074"/>
      <c r="Q202" s="1074"/>
      <c r="R202" s="1072"/>
      <c r="S202" s="1073"/>
      <c r="T202" s="1074"/>
      <c r="U202" s="1074"/>
      <c r="V202" s="1074"/>
      <c r="W202" s="1074"/>
      <c r="X202" s="1074"/>
      <c r="Y202" s="1072"/>
      <c r="Z202" s="1073"/>
      <c r="AA202" s="1074"/>
      <c r="AB202" s="1074"/>
      <c r="AC202" s="1074"/>
      <c r="AD202" s="1074"/>
      <c r="AE202" s="1074"/>
      <c r="AF202" s="1072"/>
      <c r="AG202" s="1073"/>
      <c r="AH202" s="1074"/>
      <c r="AI202" s="1074"/>
      <c r="AJ202" s="1074"/>
      <c r="AK202" s="1074"/>
    </row>
    <row r="203">
      <c r="A203" s="1072"/>
      <c r="B203" s="1072"/>
      <c r="C203" s="1075"/>
      <c r="D203" s="1074"/>
      <c r="E203" s="1074"/>
      <c r="F203" s="1074"/>
      <c r="G203" s="1076"/>
      <c r="H203" s="1074"/>
      <c r="I203" s="1074"/>
      <c r="J203" s="1072"/>
      <c r="K203" s="1075"/>
      <c r="L203" s="1074"/>
      <c r="M203" s="1074"/>
      <c r="N203" s="1074"/>
      <c r="O203" s="1076"/>
      <c r="P203" s="1074"/>
      <c r="Q203" s="1074"/>
      <c r="R203" s="1072"/>
      <c r="S203" s="1073"/>
      <c r="T203" s="1074"/>
      <c r="U203" s="1074"/>
      <c r="V203" s="1074"/>
      <c r="W203" s="1074"/>
      <c r="X203" s="1074"/>
      <c r="Y203" s="1072"/>
      <c r="Z203" s="1073"/>
      <c r="AA203" s="1074"/>
      <c r="AB203" s="1074"/>
      <c r="AC203" s="1074"/>
      <c r="AD203" s="1074"/>
      <c r="AE203" s="1074"/>
      <c r="AF203" s="1072"/>
      <c r="AG203" s="1073"/>
      <c r="AH203" s="1074"/>
      <c r="AI203" s="1074"/>
      <c r="AJ203" s="1074"/>
      <c r="AK203" s="1074"/>
    </row>
    <row r="204">
      <c r="A204" s="1072"/>
      <c r="B204" s="1072"/>
      <c r="C204" s="1075"/>
      <c r="D204" s="1074"/>
      <c r="E204" s="1074"/>
      <c r="F204" s="1074"/>
      <c r="G204" s="1076"/>
      <c r="H204" s="1074"/>
      <c r="I204" s="1074"/>
      <c r="J204" s="1072"/>
      <c r="K204" s="1075"/>
      <c r="L204" s="1074"/>
      <c r="M204" s="1074"/>
      <c r="N204" s="1074"/>
      <c r="O204" s="1076"/>
      <c r="P204" s="1074"/>
      <c r="Q204" s="1074"/>
      <c r="R204" s="1072"/>
      <c r="S204" s="1073"/>
      <c r="T204" s="1074"/>
      <c r="U204" s="1074"/>
      <c r="V204" s="1074"/>
      <c r="W204" s="1074"/>
      <c r="X204" s="1074"/>
      <c r="Y204" s="1072"/>
      <c r="Z204" s="1073"/>
      <c r="AA204" s="1074"/>
      <c r="AB204" s="1074"/>
      <c r="AC204" s="1074"/>
      <c r="AD204" s="1074"/>
      <c r="AE204" s="1074"/>
      <c r="AF204" s="1072"/>
      <c r="AG204" s="1073"/>
      <c r="AH204" s="1074"/>
      <c r="AI204" s="1074"/>
      <c r="AJ204" s="1074"/>
      <c r="AK204" s="1074"/>
    </row>
    <row r="205">
      <c r="A205" s="1072"/>
      <c r="B205" s="1072"/>
      <c r="C205" s="1075"/>
      <c r="D205" s="1074"/>
      <c r="E205" s="1074"/>
      <c r="F205" s="1074"/>
      <c r="G205" s="1076"/>
      <c r="H205" s="1074"/>
      <c r="I205" s="1074"/>
      <c r="J205" s="1072"/>
      <c r="K205" s="1075"/>
      <c r="L205" s="1074"/>
      <c r="M205" s="1074"/>
      <c r="N205" s="1074"/>
      <c r="O205" s="1076"/>
      <c r="P205" s="1074"/>
      <c r="Q205" s="1074"/>
      <c r="R205" s="1072"/>
      <c r="S205" s="1073"/>
      <c r="T205" s="1074"/>
      <c r="U205" s="1074"/>
      <c r="V205" s="1074"/>
      <c r="W205" s="1074"/>
      <c r="X205" s="1074"/>
      <c r="Y205" s="1072"/>
      <c r="Z205" s="1073"/>
      <c r="AA205" s="1074"/>
      <c r="AB205" s="1074"/>
      <c r="AC205" s="1074"/>
      <c r="AD205" s="1074"/>
      <c r="AE205" s="1074"/>
      <c r="AF205" s="1072"/>
      <c r="AG205" s="1073"/>
      <c r="AH205" s="1074"/>
      <c r="AI205" s="1074"/>
      <c r="AJ205" s="1074"/>
      <c r="AK205" s="1074"/>
    </row>
    <row r="206">
      <c r="A206" s="1072"/>
      <c r="B206" s="1072"/>
      <c r="C206" s="1075"/>
      <c r="D206" s="1074"/>
      <c r="E206" s="1074"/>
      <c r="F206" s="1074"/>
      <c r="G206" s="1076"/>
      <c r="H206" s="1074"/>
      <c r="I206" s="1074"/>
      <c r="J206" s="1072"/>
      <c r="K206" s="1075"/>
      <c r="L206" s="1074"/>
      <c r="M206" s="1074"/>
      <c r="N206" s="1074"/>
      <c r="O206" s="1076"/>
      <c r="P206" s="1074"/>
      <c r="Q206" s="1074"/>
      <c r="R206" s="1072"/>
      <c r="S206" s="1073"/>
      <c r="T206" s="1074"/>
      <c r="U206" s="1074"/>
      <c r="V206" s="1074"/>
      <c r="W206" s="1074"/>
      <c r="X206" s="1074"/>
      <c r="Y206" s="1072"/>
      <c r="Z206" s="1073"/>
      <c r="AA206" s="1074"/>
      <c r="AB206" s="1074"/>
      <c r="AC206" s="1074"/>
      <c r="AD206" s="1074"/>
      <c r="AE206" s="1074"/>
      <c r="AF206" s="1072"/>
      <c r="AG206" s="1073"/>
      <c r="AH206" s="1074"/>
      <c r="AI206" s="1074"/>
      <c r="AJ206" s="1074"/>
      <c r="AK206" s="1074"/>
    </row>
    <row r="207">
      <c r="A207" s="1072"/>
      <c r="B207" s="1072"/>
      <c r="C207" s="1075"/>
      <c r="D207" s="1074"/>
      <c r="E207" s="1074"/>
      <c r="F207" s="1074"/>
      <c r="G207" s="1076"/>
      <c r="H207" s="1074"/>
      <c r="I207" s="1074"/>
      <c r="J207" s="1072"/>
      <c r="K207" s="1075"/>
      <c r="L207" s="1074"/>
      <c r="M207" s="1074"/>
      <c r="N207" s="1074"/>
      <c r="O207" s="1076"/>
      <c r="P207" s="1074"/>
      <c r="Q207" s="1074"/>
      <c r="R207" s="1072"/>
      <c r="S207" s="1073"/>
      <c r="T207" s="1074"/>
      <c r="U207" s="1074"/>
      <c r="V207" s="1074"/>
      <c r="W207" s="1074"/>
      <c r="X207" s="1074"/>
      <c r="Y207" s="1072"/>
      <c r="Z207" s="1073"/>
      <c r="AA207" s="1074"/>
      <c r="AB207" s="1074"/>
      <c r="AC207" s="1074"/>
      <c r="AD207" s="1074"/>
      <c r="AE207" s="1074"/>
      <c r="AF207" s="1072"/>
      <c r="AG207" s="1073"/>
      <c r="AH207" s="1074"/>
      <c r="AI207" s="1074"/>
      <c r="AJ207" s="1074"/>
      <c r="AK207" s="1074"/>
    </row>
    <row r="208">
      <c r="A208" s="1072"/>
      <c r="B208" s="1072"/>
      <c r="C208" s="1075"/>
      <c r="D208" s="1074"/>
      <c r="E208" s="1074"/>
      <c r="F208" s="1074"/>
      <c r="G208" s="1076"/>
      <c r="H208" s="1074"/>
      <c r="I208" s="1074"/>
      <c r="J208" s="1072"/>
      <c r="K208" s="1075"/>
      <c r="L208" s="1074"/>
      <c r="M208" s="1074"/>
      <c r="N208" s="1074"/>
      <c r="O208" s="1076"/>
      <c r="P208" s="1074"/>
      <c r="Q208" s="1074"/>
      <c r="R208" s="1072"/>
      <c r="S208" s="1073"/>
      <c r="T208" s="1074"/>
      <c r="U208" s="1074"/>
      <c r="V208" s="1074"/>
      <c r="W208" s="1074"/>
      <c r="X208" s="1074"/>
      <c r="Y208" s="1072"/>
      <c r="Z208" s="1073"/>
      <c r="AA208" s="1074"/>
      <c r="AB208" s="1074"/>
      <c r="AC208" s="1074"/>
      <c r="AD208" s="1074"/>
      <c r="AE208" s="1074"/>
      <c r="AF208" s="1072"/>
      <c r="AG208" s="1073"/>
      <c r="AH208" s="1074"/>
      <c r="AI208" s="1074"/>
      <c r="AJ208" s="1074"/>
      <c r="AK208" s="1074"/>
    </row>
    <row r="209">
      <c r="A209" s="1072"/>
      <c r="B209" s="1072"/>
      <c r="C209" s="1075"/>
      <c r="D209" s="1074"/>
      <c r="E209" s="1074"/>
      <c r="F209" s="1074"/>
      <c r="G209" s="1076"/>
      <c r="H209" s="1074"/>
      <c r="I209" s="1074"/>
      <c r="J209" s="1072"/>
      <c r="K209" s="1075"/>
      <c r="L209" s="1074"/>
      <c r="M209" s="1074"/>
      <c r="N209" s="1074"/>
      <c r="O209" s="1076"/>
      <c r="P209" s="1074"/>
      <c r="Q209" s="1074"/>
      <c r="R209" s="1072"/>
      <c r="S209" s="1073"/>
      <c r="T209" s="1074"/>
      <c r="U209" s="1074"/>
      <c r="V209" s="1074"/>
      <c r="W209" s="1074"/>
      <c r="X209" s="1074"/>
      <c r="Y209" s="1072"/>
      <c r="Z209" s="1073"/>
      <c r="AA209" s="1074"/>
      <c r="AB209" s="1074"/>
      <c r="AC209" s="1074"/>
      <c r="AD209" s="1074"/>
      <c r="AE209" s="1074"/>
      <c r="AF209" s="1072"/>
      <c r="AG209" s="1073"/>
      <c r="AH209" s="1074"/>
      <c r="AI209" s="1074"/>
      <c r="AJ209" s="1074"/>
      <c r="AK209" s="1074"/>
    </row>
    <row r="210">
      <c r="A210" s="1072"/>
      <c r="B210" s="1072"/>
      <c r="C210" s="1075"/>
      <c r="D210" s="1074"/>
      <c r="E210" s="1074"/>
      <c r="F210" s="1074"/>
      <c r="G210" s="1076"/>
      <c r="H210" s="1074"/>
      <c r="I210" s="1074"/>
      <c r="J210" s="1072"/>
      <c r="K210" s="1075"/>
      <c r="L210" s="1074"/>
      <c r="M210" s="1074"/>
      <c r="N210" s="1074"/>
      <c r="O210" s="1076"/>
      <c r="P210" s="1074"/>
      <c r="Q210" s="1074"/>
      <c r="R210" s="1072"/>
      <c r="S210" s="1073"/>
      <c r="T210" s="1074"/>
      <c r="U210" s="1074"/>
      <c r="V210" s="1074"/>
      <c r="W210" s="1074"/>
      <c r="X210" s="1074"/>
      <c r="Y210" s="1072"/>
      <c r="Z210" s="1073"/>
      <c r="AA210" s="1074"/>
      <c r="AB210" s="1074"/>
      <c r="AC210" s="1074"/>
      <c r="AD210" s="1074"/>
      <c r="AE210" s="1074"/>
      <c r="AF210" s="1072"/>
      <c r="AG210" s="1073"/>
      <c r="AH210" s="1074"/>
      <c r="AI210" s="1074"/>
      <c r="AJ210" s="1074"/>
      <c r="AK210" s="1074"/>
    </row>
    <row r="211">
      <c r="A211" s="1072"/>
      <c r="B211" s="1072"/>
      <c r="C211" s="1075"/>
      <c r="D211" s="1074"/>
      <c r="E211" s="1074"/>
      <c r="F211" s="1074"/>
      <c r="G211" s="1076"/>
      <c r="H211" s="1074"/>
      <c r="I211" s="1074"/>
      <c r="J211" s="1072"/>
      <c r="K211" s="1075"/>
      <c r="L211" s="1074"/>
      <c r="M211" s="1074"/>
      <c r="N211" s="1074"/>
      <c r="O211" s="1076"/>
      <c r="P211" s="1074"/>
      <c r="Q211" s="1074"/>
      <c r="R211" s="1072"/>
      <c r="S211" s="1073"/>
      <c r="T211" s="1074"/>
      <c r="U211" s="1074"/>
      <c r="V211" s="1074"/>
      <c r="W211" s="1074"/>
      <c r="X211" s="1074"/>
      <c r="Y211" s="1072"/>
      <c r="Z211" s="1073"/>
      <c r="AA211" s="1074"/>
      <c r="AB211" s="1074"/>
      <c r="AC211" s="1074"/>
      <c r="AD211" s="1074"/>
      <c r="AE211" s="1074"/>
      <c r="AF211" s="1072"/>
      <c r="AG211" s="1073"/>
      <c r="AH211" s="1074"/>
      <c r="AI211" s="1074"/>
      <c r="AJ211" s="1074"/>
      <c r="AK211" s="1074"/>
    </row>
    <row r="212">
      <c r="A212" s="1072"/>
      <c r="B212" s="1072"/>
      <c r="C212" s="1075"/>
      <c r="D212" s="1074"/>
      <c r="E212" s="1074"/>
      <c r="F212" s="1074"/>
      <c r="G212" s="1076"/>
      <c r="H212" s="1074"/>
      <c r="I212" s="1074"/>
      <c r="J212" s="1072"/>
      <c r="K212" s="1075"/>
      <c r="L212" s="1074"/>
      <c r="M212" s="1074"/>
      <c r="N212" s="1074"/>
      <c r="O212" s="1076"/>
      <c r="P212" s="1074"/>
      <c r="Q212" s="1074"/>
      <c r="R212" s="1072"/>
      <c r="S212" s="1073"/>
      <c r="T212" s="1074"/>
      <c r="U212" s="1074"/>
      <c r="V212" s="1074"/>
      <c r="W212" s="1074"/>
      <c r="X212" s="1074"/>
      <c r="Y212" s="1072"/>
      <c r="Z212" s="1073"/>
      <c r="AA212" s="1074"/>
      <c r="AB212" s="1074"/>
      <c r="AC212" s="1074"/>
      <c r="AD212" s="1074"/>
      <c r="AE212" s="1074"/>
      <c r="AF212" s="1072"/>
      <c r="AG212" s="1073"/>
      <c r="AH212" s="1074"/>
      <c r="AI212" s="1074"/>
      <c r="AJ212" s="1074"/>
      <c r="AK212" s="1074"/>
    </row>
    <row r="213">
      <c r="A213" s="1072"/>
      <c r="B213" s="1072"/>
      <c r="C213" s="1075"/>
      <c r="D213" s="1074"/>
      <c r="E213" s="1074"/>
      <c r="F213" s="1074"/>
      <c r="G213" s="1076"/>
      <c r="H213" s="1074"/>
      <c r="I213" s="1074"/>
      <c r="J213" s="1072"/>
      <c r="K213" s="1075"/>
      <c r="L213" s="1074"/>
      <c r="M213" s="1074"/>
      <c r="N213" s="1074"/>
      <c r="O213" s="1076"/>
      <c r="P213" s="1074"/>
      <c r="Q213" s="1074"/>
      <c r="R213" s="1072"/>
      <c r="S213" s="1073"/>
      <c r="T213" s="1074"/>
      <c r="U213" s="1074"/>
      <c r="V213" s="1074"/>
      <c r="W213" s="1074"/>
      <c r="X213" s="1074"/>
      <c r="Y213" s="1072"/>
      <c r="Z213" s="1073"/>
      <c r="AA213" s="1074"/>
      <c r="AB213" s="1074"/>
      <c r="AC213" s="1074"/>
      <c r="AD213" s="1074"/>
      <c r="AE213" s="1074"/>
      <c r="AF213" s="1072"/>
      <c r="AG213" s="1073"/>
      <c r="AH213" s="1074"/>
      <c r="AI213" s="1074"/>
      <c r="AJ213" s="1074"/>
      <c r="AK213" s="1074"/>
    </row>
    <row r="214">
      <c r="A214" s="1072"/>
      <c r="B214" s="1072"/>
      <c r="C214" s="1075"/>
      <c r="D214" s="1074"/>
      <c r="E214" s="1074"/>
      <c r="F214" s="1074"/>
      <c r="G214" s="1076"/>
      <c r="H214" s="1074"/>
      <c r="I214" s="1074"/>
      <c r="J214" s="1072"/>
      <c r="K214" s="1075"/>
      <c r="L214" s="1074"/>
      <c r="M214" s="1074"/>
      <c r="N214" s="1074"/>
      <c r="O214" s="1076"/>
      <c r="P214" s="1074"/>
      <c r="Q214" s="1074"/>
      <c r="R214" s="1072"/>
      <c r="S214" s="1073"/>
      <c r="T214" s="1074"/>
      <c r="U214" s="1074"/>
      <c r="V214" s="1074"/>
      <c r="W214" s="1074"/>
      <c r="X214" s="1074"/>
      <c r="Y214" s="1072"/>
      <c r="Z214" s="1073"/>
      <c r="AA214" s="1074"/>
      <c r="AB214" s="1074"/>
      <c r="AC214" s="1074"/>
      <c r="AD214" s="1074"/>
      <c r="AE214" s="1074"/>
      <c r="AF214" s="1072"/>
      <c r="AG214" s="1073"/>
      <c r="AH214" s="1074"/>
      <c r="AI214" s="1074"/>
      <c r="AJ214" s="1074"/>
      <c r="AK214" s="1074"/>
    </row>
    <row r="215">
      <c r="A215" s="1072"/>
      <c r="B215" s="1072"/>
      <c r="C215" s="1075"/>
      <c r="D215" s="1074"/>
      <c r="E215" s="1074"/>
      <c r="F215" s="1074"/>
      <c r="G215" s="1076"/>
      <c r="H215" s="1074"/>
      <c r="I215" s="1074"/>
      <c r="J215" s="1072"/>
      <c r="K215" s="1075"/>
      <c r="L215" s="1074"/>
      <c r="M215" s="1074"/>
      <c r="N215" s="1074"/>
      <c r="O215" s="1076"/>
      <c r="P215" s="1074"/>
      <c r="Q215" s="1074"/>
      <c r="R215" s="1072"/>
      <c r="S215" s="1073"/>
      <c r="T215" s="1074"/>
      <c r="U215" s="1074"/>
      <c r="V215" s="1074"/>
      <c r="W215" s="1074"/>
      <c r="X215" s="1074"/>
      <c r="Y215" s="1072"/>
      <c r="Z215" s="1073"/>
      <c r="AA215" s="1074"/>
      <c r="AB215" s="1074"/>
      <c r="AC215" s="1074"/>
      <c r="AD215" s="1074"/>
      <c r="AE215" s="1074"/>
      <c r="AF215" s="1072"/>
      <c r="AG215" s="1073"/>
      <c r="AH215" s="1074"/>
      <c r="AI215" s="1074"/>
      <c r="AJ215" s="1074"/>
      <c r="AK215" s="1074"/>
    </row>
    <row r="216">
      <c r="A216" s="1072"/>
      <c r="B216" s="1072"/>
      <c r="C216" s="1075"/>
      <c r="D216" s="1074"/>
      <c r="E216" s="1074"/>
      <c r="F216" s="1074"/>
      <c r="G216" s="1076"/>
      <c r="H216" s="1074"/>
      <c r="I216" s="1074"/>
      <c r="J216" s="1072"/>
      <c r="K216" s="1075"/>
      <c r="L216" s="1074"/>
      <c r="M216" s="1074"/>
      <c r="N216" s="1074"/>
      <c r="O216" s="1076"/>
      <c r="P216" s="1074"/>
      <c r="Q216" s="1074"/>
      <c r="R216" s="1072"/>
      <c r="S216" s="1073"/>
      <c r="T216" s="1074"/>
      <c r="U216" s="1074"/>
      <c r="V216" s="1074"/>
      <c r="W216" s="1074"/>
      <c r="X216" s="1074"/>
      <c r="Y216" s="1072"/>
      <c r="Z216" s="1073"/>
      <c r="AA216" s="1074"/>
      <c r="AB216" s="1074"/>
      <c r="AC216" s="1074"/>
      <c r="AD216" s="1074"/>
      <c r="AE216" s="1074"/>
      <c r="AF216" s="1072"/>
      <c r="AG216" s="1073"/>
      <c r="AH216" s="1074"/>
      <c r="AI216" s="1074"/>
      <c r="AJ216" s="1074"/>
      <c r="AK216" s="1074"/>
    </row>
    <row r="217">
      <c r="A217" s="1072"/>
      <c r="B217" s="1072"/>
      <c r="C217" s="1075"/>
      <c r="D217" s="1074"/>
      <c r="E217" s="1074"/>
      <c r="F217" s="1074"/>
      <c r="G217" s="1076"/>
      <c r="H217" s="1074"/>
      <c r="I217" s="1074"/>
      <c r="J217" s="1072"/>
      <c r="K217" s="1075"/>
      <c r="L217" s="1074"/>
      <c r="M217" s="1074"/>
      <c r="N217" s="1074"/>
      <c r="O217" s="1076"/>
      <c r="P217" s="1074"/>
      <c r="Q217" s="1074"/>
      <c r="R217" s="1072"/>
      <c r="S217" s="1073"/>
      <c r="T217" s="1074"/>
      <c r="U217" s="1074"/>
      <c r="V217" s="1074"/>
      <c r="W217" s="1074"/>
      <c r="X217" s="1074"/>
      <c r="Y217" s="1072"/>
      <c r="Z217" s="1073"/>
      <c r="AA217" s="1074"/>
      <c r="AB217" s="1074"/>
      <c r="AC217" s="1074"/>
      <c r="AD217" s="1074"/>
      <c r="AE217" s="1074"/>
      <c r="AF217" s="1072"/>
      <c r="AG217" s="1073"/>
      <c r="AH217" s="1074"/>
      <c r="AI217" s="1074"/>
      <c r="AJ217" s="1074"/>
      <c r="AK217" s="1074"/>
    </row>
    <row r="218">
      <c r="A218" s="1072"/>
      <c r="B218" s="1072"/>
      <c r="C218" s="1075"/>
      <c r="D218" s="1074"/>
      <c r="E218" s="1074"/>
      <c r="F218" s="1074"/>
      <c r="G218" s="1076"/>
      <c r="H218" s="1074"/>
      <c r="I218" s="1074"/>
      <c r="J218" s="1072"/>
      <c r="K218" s="1075"/>
      <c r="L218" s="1074"/>
      <c r="M218" s="1074"/>
      <c r="N218" s="1074"/>
      <c r="O218" s="1076"/>
      <c r="P218" s="1074"/>
      <c r="Q218" s="1074"/>
      <c r="R218" s="1072"/>
      <c r="S218" s="1073"/>
      <c r="T218" s="1074"/>
      <c r="U218" s="1074"/>
      <c r="V218" s="1074"/>
      <c r="W218" s="1074"/>
      <c r="X218" s="1074"/>
      <c r="Y218" s="1072"/>
      <c r="Z218" s="1073"/>
      <c r="AA218" s="1074"/>
      <c r="AB218" s="1074"/>
      <c r="AC218" s="1074"/>
      <c r="AD218" s="1074"/>
      <c r="AE218" s="1074"/>
      <c r="AF218" s="1072"/>
      <c r="AG218" s="1073"/>
      <c r="AH218" s="1074"/>
      <c r="AI218" s="1074"/>
      <c r="AJ218" s="1074"/>
      <c r="AK218" s="1074"/>
    </row>
    <row r="219">
      <c r="A219" s="1072"/>
      <c r="B219" s="1072"/>
      <c r="C219" s="1075"/>
      <c r="D219" s="1074"/>
      <c r="E219" s="1074"/>
      <c r="F219" s="1074"/>
      <c r="G219" s="1076"/>
      <c r="H219" s="1074"/>
      <c r="I219" s="1074"/>
      <c r="J219" s="1072"/>
      <c r="K219" s="1075"/>
      <c r="L219" s="1074"/>
      <c r="M219" s="1074"/>
      <c r="N219" s="1074"/>
      <c r="O219" s="1076"/>
      <c r="P219" s="1074"/>
      <c r="Q219" s="1074"/>
      <c r="R219" s="1072"/>
      <c r="S219" s="1073"/>
      <c r="T219" s="1074"/>
      <c r="U219" s="1074"/>
      <c r="V219" s="1074"/>
      <c r="W219" s="1074"/>
      <c r="X219" s="1074"/>
      <c r="Y219" s="1072"/>
      <c r="Z219" s="1073"/>
      <c r="AA219" s="1074"/>
      <c r="AB219" s="1074"/>
      <c r="AC219" s="1074"/>
      <c r="AD219" s="1074"/>
      <c r="AE219" s="1074"/>
      <c r="AF219" s="1072"/>
      <c r="AG219" s="1073"/>
      <c r="AH219" s="1074"/>
      <c r="AI219" s="1074"/>
      <c r="AJ219" s="1074"/>
      <c r="AK219" s="1074"/>
    </row>
    <row r="220">
      <c r="A220" s="1072"/>
      <c r="B220" s="1072"/>
      <c r="C220" s="1075"/>
      <c r="D220" s="1074"/>
      <c r="E220" s="1074"/>
      <c r="F220" s="1074"/>
      <c r="G220" s="1076"/>
      <c r="H220" s="1074"/>
      <c r="I220" s="1074"/>
      <c r="J220" s="1072"/>
      <c r="K220" s="1075"/>
      <c r="L220" s="1074"/>
      <c r="M220" s="1074"/>
      <c r="N220" s="1074"/>
      <c r="O220" s="1076"/>
      <c r="P220" s="1074"/>
      <c r="Q220" s="1074"/>
      <c r="R220" s="1072"/>
      <c r="S220" s="1073"/>
      <c r="T220" s="1074"/>
      <c r="U220" s="1074"/>
      <c r="V220" s="1074"/>
      <c r="W220" s="1074"/>
      <c r="X220" s="1074"/>
      <c r="Y220" s="1072"/>
      <c r="Z220" s="1073"/>
      <c r="AA220" s="1074"/>
      <c r="AB220" s="1074"/>
      <c r="AC220" s="1074"/>
      <c r="AD220" s="1074"/>
      <c r="AE220" s="1074"/>
      <c r="AF220" s="1072"/>
      <c r="AG220" s="1073"/>
      <c r="AH220" s="1074"/>
      <c r="AI220" s="1074"/>
      <c r="AJ220" s="1074"/>
      <c r="AK220" s="1074"/>
    </row>
    <row r="221">
      <c r="A221" s="1072"/>
      <c r="B221" s="1072"/>
      <c r="C221" s="1075"/>
      <c r="D221" s="1074"/>
      <c r="E221" s="1074"/>
      <c r="F221" s="1074"/>
      <c r="G221" s="1076"/>
      <c r="H221" s="1074"/>
      <c r="I221" s="1074"/>
      <c r="J221" s="1072"/>
      <c r="K221" s="1075"/>
      <c r="L221" s="1074"/>
      <c r="M221" s="1074"/>
      <c r="N221" s="1074"/>
      <c r="O221" s="1076"/>
      <c r="P221" s="1074"/>
      <c r="Q221" s="1074"/>
      <c r="R221" s="1072"/>
      <c r="S221" s="1073"/>
      <c r="T221" s="1074"/>
      <c r="U221" s="1074"/>
      <c r="V221" s="1074"/>
      <c r="W221" s="1074"/>
      <c r="X221" s="1074"/>
      <c r="Y221" s="1072"/>
      <c r="Z221" s="1073"/>
      <c r="AA221" s="1074"/>
      <c r="AB221" s="1074"/>
      <c r="AC221" s="1074"/>
      <c r="AD221" s="1074"/>
      <c r="AE221" s="1074"/>
      <c r="AF221" s="1072"/>
      <c r="AG221" s="1073"/>
      <c r="AH221" s="1074"/>
      <c r="AI221" s="1074"/>
      <c r="AJ221" s="1074"/>
      <c r="AK221" s="1074"/>
    </row>
    <row r="222">
      <c r="A222" s="1072"/>
      <c r="B222" s="1072"/>
      <c r="C222" s="1075"/>
      <c r="D222" s="1074"/>
      <c r="E222" s="1074"/>
      <c r="F222" s="1074"/>
      <c r="G222" s="1076"/>
      <c r="H222" s="1074"/>
      <c r="I222" s="1074"/>
      <c r="J222" s="1072"/>
      <c r="K222" s="1075"/>
      <c r="L222" s="1074"/>
      <c r="M222" s="1074"/>
      <c r="N222" s="1074"/>
      <c r="O222" s="1076"/>
      <c r="P222" s="1074"/>
      <c r="Q222" s="1074"/>
      <c r="R222" s="1072"/>
      <c r="S222" s="1073"/>
      <c r="T222" s="1074"/>
      <c r="U222" s="1074"/>
      <c r="V222" s="1074"/>
      <c r="W222" s="1074"/>
      <c r="X222" s="1074"/>
      <c r="Y222" s="1072"/>
      <c r="Z222" s="1073"/>
      <c r="AA222" s="1074"/>
      <c r="AB222" s="1074"/>
      <c r="AC222" s="1074"/>
      <c r="AD222" s="1074"/>
      <c r="AE222" s="1074"/>
      <c r="AF222" s="1072"/>
      <c r="AG222" s="1073"/>
      <c r="AH222" s="1074"/>
      <c r="AI222" s="1074"/>
      <c r="AJ222" s="1074"/>
      <c r="AK222" s="1074"/>
    </row>
    <row r="223">
      <c r="A223" s="1072"/>
      <c r="B223" s="1072"/>
      <c r="C223" s="1075"/>
      <c r="D223" s="1074"/>
      <c r="E223" s="1074"/>
      <c r="F223" s="1074"/>
      <c r="G223" s="1076"/>
      <c r="H223" s="1074"/>
      <c r="I223" s="1074"/>
      <c r="J223" s="1072"/>
      <c r="K223" s="1075"/>
      <c r="L223" s="1074"/>
      <c r="M223" s="1074"/>
      <c r="N223" s="1074"/>
      <c r="O223" s="1076"/>
      <c r="P223" s="1074"/>
      <c r="Q223" s="1074"/>
      <c r="R223" s="1072"/>
      <c r="S223" s="1073"/>
      <c r="T223" s="1074"/>
      <c r="U223" s="1074"/>
      <c r="V223" s="1074"/>
      <c r="W223" s="1074"/>
      <c r="X223" s="1074"/>
      <c r="Y223" s="1072"/>
      <c r="Z223" s="1073"/>
      <c r="AA223" s="1074"/>
      <c r="AB223" s="1074"/>
      <c r="AC223" s="1074"/>
      <c r="AD223" s="1074"/>
      <c r="AE223" s="1074"/>
      <c r="AF223" s="1072"/>
      <c r="AG223" s="1073"/>
      <c r="AH223" s="1074"/>
      <c r="AI223" s="1074"/>
      <c r="AJ223" s="1074"/>
      <c r="AK223" s="1074"/>
    </row>
    <row r="224">
      <c r="A224" s="1072"/>
      <c r="B224" s="1072"/>
      <c r="C224" s="1075"/>
      <c r="D224" s="1074"/>
      <c r="E224" s="1074"/>
      <c r="F224" s="1074"/>
      <c r="G224" s="1076"/>
      <c r="H224" s="1074"/>
      <c r="I224" s="1074"/>
      <c r="J224" s="1072"/>
      <c r="K224" s="1075"/>
      <c r="L224" s="1074"/>
      <c r="M224" s="1074"/>
      <c r="N224" s="1074"/>
      <c r="O224" s="1076"/>
      <c r="P224" s="1074"/>
      <c r="Q224" s="1074"/>
      <c r="R224" s="1072"/>
      <c r="S224" s="1073"/>
      <c r="T224" s="1074"/>
      <c r="U224" s="1074"/>
      <c r="V224" s="1074"/>
      <c r="W224" s="1074"/>
      <c r="X224" s="1074"/>
      <c r="Y224" s="1072"/>
      <c r="Z224" s="1073"/>
      <c r="AA224" s="1074"/>
      <c r="AB224" s="1074"/>
      <c r="AC224" s="1074"/>
      <c r="AD224" s="1074"/>
      <c r="AE224" s="1074"/>
      <c r="AF224" s="1072"/>
      <c r="AG224" s="1073"/>
      <c r="AH224" s="1074"/>
      <c r="AI224" s="1074"/>
      <c r="AJ224" s="1074"/>
      <c r="AK224" s="1074"/>
    </row>
    <row r="225">
      <c r="A225" s="1072"/>
      <c r="B225" s="1072"/>
      <c r="C225" s="1075"/>
      <c r="D225" s="1074"/>
      <c r="E225" s="1074"/>
      <c r="F225" s="1074"/>
      <c r="G225" s="1076"/>
      <c r="H225" s="1074"/>
      <c r="I225" s="1074"/>
      <c r="J225" s="1072"/>
      <c r="K225" s="1075"/>
      <c r="L225" s="1074"/>
      <c r="M225" s="1074"/>
      <c r="N225" s="1074"/>
      <c r="O225" s="1076"/>
      <c r="P225" s="1074"/>
      <c r="Q225" s="1074"/>
      <c r="R225" s="1072"/>
      <c r="S225" s="1073"/>
      <c r="T225" s="1074"/>
      <c r="U225" s="1074"/>
      <c r="V225" s="1074"/>
      <c r="W225" s="1074"/>
      <c r="X225" s="1074"/>
      <c r="Y225" s="1072"/>
      <c r="Z225" s="1073"/>
      <c r="AA225" s="1074"/>
      <c r="AB225" s="1074"/>
      <c r="AC225" s="1074"/>
      <c r="AD225" s="1074"/>
      <c r="AE225" s="1074"/>
      <c r="AF225" s="1072"/>
      <c r="AG225" s="1073"/>
      <c r="AH225" s="1074"/>
      <c r="AI225" s="1074"/>
      <c r="AJ225" s="1074"/>
      <c r="AK225" s="1074"/>
    </row>
    <row r="226">
      <c r="A226" s="1072"/>
      <c r="B226" s="1072"/>
      <c r="C226" s="1075"/>
      <c r="D226" s="1074"/>
      <c r="E226" s="1074"/>
      <c r="F226" s="1074"/>
      <c r="G226" s="1076"/>
      <c r="H226" s="1074"/>
      <c r="I226" s="1074"/>
      <c r="J226" s="1072"/>
      <c r="K226" s="1075"/>
      <c r="L226" s="1074"/>
      <c r="M226" s="1074"/>
      <c r="N226" s="1074"/>
      <c r="O226" s="1076"/>
      <c r="P226" s="1074"/>
      <c r="Q226" s="1074"/>
      <c r="R226" s="1072"/>
      <c r="S226" s="1073"/>
      <c r="T226" s="1074"/>
      <c r="U226" s="1074"/>
      <c r="V226" s="1074"/>
      <c r="W226" s="1074"/>
      <c r="X226" s="1074"/>
      <c r="Y226" s="1072"/>
      <c r="Z226" s="1073"/>
      <c r="AA226" s="1074"/>
      <c r="AB226" s="1074"/>
      <c r="AC226" s="1074"/>
      <c r="AD226" s="1074"/>
      <c r="AE226" s="1074"/>
      <c r="AF226" s="1072"/>
      <c r="AG226" s="1073"/>
      <c r="AH226" s="1074"/>
      <c r="AI226" s="1074"/>
      <c r="AJ226" s="1074"/>
      <c r="AK226" s="1074"/>
    </row>
    <row r="227">
      <c r="A227" s="1072"/>
      <c r="B227" s="1072"/>
      <c r="C227" s="1075"/>
      <c r="D227" s="1074"/>
      <c r="E227" s="1074"/>
      <c r="F227" s="1074"/>
      <c r="G227" s="1076"/>
      <c r="H227" s="1074"/>
      <c r="I227" s="1074"/>
      <c r="J227" s="1072"/>
      <c r="K227" s="1075"/>
      <c r="L227" s="1074"/>
      <c r="M227" s="1074"/>
      <c r="N227" s="1074"/>
      <c r="O227" s="1076"/>
      <c r="P227" s="1074"/>
      <c r="Q227" s="1074"/>
      <c r="R227" s="1072"/>
      <c r="S227" s="1073"/>
      <c r="T227" s="1074"/>
      <c r="U227" s="1074"/>
      <c r="V227" s="1074"/>
      <c r="W227" s="1074"/>
      <c r="X227" s="1074"/>
      <c r="Y227" s="1072"/>
      <c r="Z227" s="1073"/>
      <c r="AA227" s="1074"/>
      <c r="AB227" s="1074"/>
      <c r="AC227" s="1074"/>
      <c r="AD227" s="1074"/>
      <c r="AE227" s="1074"/>
      <c r="AF227" s="1072"/>
      <c r="AG227" s="1073"/>
      <c r="AH227" s="1074"/>
      <c r="AI227" s="1074"/>
      <c r="AJ227" s="1074"/>
      <c r="AK227" s="1074"/>
    </row>
    <row r="228">
      <c r="A228" s="1072"/>
      <c r="B228" s="1072"/>
      <c r="C228" s="1075"/>
      <c r="D228" s="1074"/>
      <c r="E228" s="1074"/>
      <c r="F228" s="1074"/>
      <c r="G228" s="1076"/>
      <c r="H228" s="1074"/>
      <c r="I228" s="1074"/>
      <c r="J228" s="1072"/>
      <c r="K228" s="1075"/>
      <c r="L228" s="1074"/>
      <c r="M228" s="1074"/>
      <c r="N228" s="1074"/>
      <c r="O228" s="1076"/>
      <c r="P228" s="1074"/>
      <c r="Q228" s="1074"/>
      <c r="R228" s="1072"/>
      <c r="S228" s="1073"/>
      <c r="T228" s="1074"/>
      <c r="U228" s="1074"/>
      <c r="V228" s="1074"/>
      <c r="W228" s="1074"/>
      <c r="X228" s="1074"/>
      <c r="Y228" s="1072"/>
      <c r="Z228" s="1073"/>
      <c r="AA228" s="1074"/>
      <c r="AB228" s="1074"/>
      <c r="AC228" s="1074"/>
      <c r="AD228" s="1074"/>
      <c r="AE228" s="1074"/>
      <c r="AF228" s="1072"/>
      <c r="AG228" s="1073"/>
      <c r="AH228" s="1074"/>
      <c r="AI228" s="1074"/>
      <c r="AJ228" s="1074"/>
      <c r="AK228" s="1074"/>
    </row>
    <row r="229">
      <c r="A229" s="1072"/>
      <c r="B229" s="1072"/>
      <c r="C229" s="1075"/>
      <c r="D229" s="1074"/>
      <c r="E229" s="1074"/>
      <c r="F229" s="1074"/>
      <c r="G229" s="1076"/>
      <c r="H229" s="1074"/>
      <c r="I229" s="1074"/>
      <c r="J229" s="1072"/>
      <c r="K229" s="1075"/>
      <c r="L229" s="1074"/>
      <c r="M229" s="1074"/>
      <c r="N229" s="1074"/>
      <c r="O229" s="1076"/>
      <c r="P229" s="1074"/>
      <c r="Q229" s="1074"/>
      <c r="R229" s="1072"/>
      <c r="S229" s="1073"/>
      <c r="T229" s="1074"/>
      <c r="U229" s="1074"/>
      <c r="V229" s="1074"/>
      <c r="W229" s="1074"/>
      <c r="X229" s="1074"/>
      <c r="Y229" s="1072"/>
      <c r="Z229" s="1073"/>
      <c r="AA229" s="1074"/>
      <c r="AB229" s="1074"/>
      <c r="AC229" s="1074"/>
      <c r="AD229" s="1074"/>
      <c r="AE229" s="1074"/>
      <c r="AF229" s="1072"/>
      <c r="AG229" s="1073"/>
      <c r="AH229" s="1074"/>
      <c r="AI229" s="1074"/>
      <c r="AJ229" s="1074"/>
      <c r="AK229" s="1074"/>
    </row>
    <row r="230">
      <c r="A230" s="1072"/>
      <c r="B230" s="1072"/>
      <c r="C230" s="1075"/>
      <c r="D230" s="1074"/>
      <c r="E230" s="1074"/>
      <c r="F230" s="1074"/>
      <c r="G230" s="1076"/>
      <c r="H230" s="1074"/>
      <c r="I230" s="1074"/>
      <c r="J230" s="1072"/>
      <c r="K230" s="1075"/>
      <c r="L230" s="1074"/>
      <c r="M230" s="1074"/>
      <c r="N230" s="1074"/>
      <c r="O230" s="1076"/>
      <c r="P230" s="1074"/>
      <c r="Q230" s="1074"/>
      <c r="R230" s="1072"/>
      <c r="S230" s="1073"/>
      <c r="T230" s="1074"/>
      <c r="U230" s="1074"/>
      <c r="V230" s="1074"/>
      <c r="W230" s="1074"/>
      <c r="X230" s="1074"/>
      <c r="Y230" s="1072"/>
      <c r="Z230" s="1073"/>
      <c r="AA230" s="1074"/>
      <c r="AB230" s="1074"/>
      <c r="AC230" s="1074"/>
      <c r="AD230" s="1074"/>
      <c r="AE230" s="1074"/>
      <c r="AF230" s="1072"/>
      <c r="AG230" s="1073"/>
      <c r="AH230" s="1074"/>
      <c r="AI230" s="1074"/>
      <c r="AJ230" s="1074"/>
      <c r="AK230" s="1074"/>
    </row>
    <row r="231">
      <c r="A231" s="1072"/>
      <c r="B231" s="1072"/>
      <c r="C231" s="1075"/>
      <c r="D231" s="1074"/>
      <c r="E231" s="1074"/>
      <c r="F231" s="1074"/>
      <c r="G231" s="1076"/>
      <c r="H231" s="1074"/>
      <c r="I231" s="1074"/>
      <c r="J231" s="1072"/>
      <c r="K231" s="1075"/>
      <c r="L231" s="1074"/>
      <c r="M231" s="1074"/>
      <c r="N231" s="1074"/>
      <c r="O231" s="1076"/>
      <c r="P231" s="1074"/>
      <c r="Q231" s="1074"/>
      <c r="R231" s="1072"/>
      <c r="S231" s="1073"/>
      <c r="T231" s="1074"/>
      <c r="U231" s="1074"/>
      <c r="V231" s="1074"/>
      <c r="W231" s="1074"/>
      <c r="X231" s="1074"/>
      <c r="Y231" s="1072"/>
      <c r="Z231" s="1073"/>
      <c r="AA231" s="1074"/>
      <c r="AB231" s="1074"/>
      <c r="AC231" s="1074"/>
      <c r="AD231" s="1074"/>
      <c r="AE231" s="1074"/>
      <c r="AF231" s="1072"/>
      <c r="AG231" s="1073"/>
      <c r="AH231" s="1074"/>
      <c r="AI231" s="1074"/>
      <c r="AJ231" s="1074"/>
      <c r="AK231" s="1074"/>
    </row>
    <row r="232">
      <c r="A232" s="1072"/>
      <c r="B232" s="1072"/>
      <c r="C232" s="1075"/>
      <c r="D232" s="1074"/>
      <c r="E232" s="1074"/>
      <c r="F232" s="1074"/>
      <c r="G232" s="1076"/>
      <c r="H232" s="1074"/>
      <c r="I232" s="1074"/>
      <c r="J232" s="1072"/>
      <c r="K232" s="1075"/>
      <c r="L232" s="1074"/>
      <c r="M232" s="1074"/>
      <c r="N232" s="1074"/>
      <c r="O232" s="1076"/>
      <c r="P232" s="1074"/>
      <c r="Q232" s="1074"/>
      <c r="R232" s="1072"/>
      <c r="S232" s="1073"/>
      <c r="T232" s="1074"/>
      <c r="U232" s="1074"/>
      <c r="V232" s="1074"/>
      <c r="W232" s="1074"/>
      <c r="X232" s="1074"/>
      <c r="Y232" s="1072"/>
      <c r="Z232" s="1073"/>
      <c r="AA232" s="1074"/>
      <c r="AB232" s="1074"/>
      <c r="AC232" s="1074"/>
      <c r="AD232" s="1074"/>
      <c r="AE232" s="1074"/>
      <c r="AF232" s="1072"/>
      <c r="AG232" s="1073"/>
      <c r="AH232" s="1074"/>
      <c r="AI232" s="1074"/>
      <c r="AJ232" s="1074"/>
      <c r="AK232" s="1074"/>
    </row>
    <row r="233">
      <c r="A233" s="1072"/>
      <c r="B233" s="1072"/>
      <c r="C233" s="1075"/>
      <c r="D233" s="1074"/>
      <c r="E233" s="1074"/>
      <c r="F233" s="1074"/>
      <c r="G233" s="1076"/>
      <c r="H233" s="1074"/>
      <c r="I233" s="1074"/>
      <c r="J233" s="1072"/>
      <c r="K233" s="1075"/>
      <c r="L233" s="1074"/>
      <c r="M233" s="1074"/>
      <c r="N233" s="1074"/>
      <c r="O233" s="1076"/>
      <c r="P233" s="1074"/>
      <c r="Q233" s="1074"/>
      <c r="R233" s="1072"/>
      <c r="S233" s="1073"/>
      <c r="T233" s="1074"/>
      <c r="U233" s="1074"/>
      <c r="V233" s="1074"/>
      <c r="W233" s="1074"/>
      <c r="X233" s="1074"/>
      <c r="Y233" s="1072"/>
      <c r="Z233" s="1073"/>
      <c r="AA233" s="1074"/>
      <c r="AB233" s="1074"/>
      <c r="AC233" s="1074"/>
      <c r="AD233" s="1074"/>
      <c r="AE233" s="1074"/>
      <c r="AF233" s="1072"/>
      <c r="AG233" s="1073"/>
      <c r="AH233" s="1074"/>
      <c r="AI233" s="1074"/>
      <c r="AJ233" s="1074"/>
      <c r="AK233" s="1074"/>
    </row>
    <row r="234">
      <c r="A234" s="1072"/>
      <c r="B234" s="1072"/>
      <c r="C234" s="1075"/>
      <c r="D234" s="1074"/>
      <c r="E234" s="1074"/>
      <c r="F234" s="1074"/>
      <c r="G234" s="1076"/>
      <c r="H234" s="1074"/>
      <c r="I234" s="1074"/>
      <c r="J234" s="1072"/>
      <c r="K234" s="1075"/>
      <c r="L234" s="1074"/>
      <c r="M234" s="1074"/>
      <c r="N234" s="1074"/>
      <c r="O234" s="1076"/>
      <c r="P234" s="1074"/>
      <c r="Q234" s="1074"/>
      <c r="R234" s="1072"/>
      <c r="S234" s="1073"/>
      <c r="T234" s="1074"/>
      <c r="U234" s="1074"/>
      <c r="V234" s="1074"/>
      <c r="W234" s="1074"/>
      <c r="X234" s="1074"/>
      <c r="Y234" s="1072"/>
      <c r="Z234" s="1073"/>
      <c r="AA234" s="1074"/>
      <c r="AB234" s="1074"/>
      <c r="AC234" s="1074"/>
      <c r="AD234" s="1074"/>
      <c r="AE234" s="1074"/>
      <c r="AF234" s="1072"/>
      <c r="AG234" s="1073"/>
      <c r="AH234" s="1074"/>
      <c r="AI234" s="1074"/>
      <c r="AJ234" s="1074"/>
      <c r="AK234" s="1074"/>
    </row>
    <row r="235">
      <c r="A235" s="1072"/>
      <c r="B235" s="1072"/>
      <c r="C235" s="1075"/>
      <c r="D235" s="1074"/>
      <c r="E235" s="1074"/>
      <c r="F235" s="1074"/>
      <c r="G235" s="1076"/>
      <c r="H235" s="1074"/>
      <c r="I235" s="1074"/>
      <c r="J235" s="1072"/>
      <c r="K235" s="1075"/>
      <c r="L235" s="1074"/>
      <c r="M235" s="1074"/>
      <c r="N235" s="1074"/>
      <c r="O235" s="1076"/>
      <c r="P235" s="1074"/>
      <c r="Q235" s="1074"/>
      <c r="R235" s="1072"/>
      <c r="S235" s="1073"/>
      <c r="T235" s="1074"/>
      <c r="U235" s="1074"/>
      <c r="V235" s="1074"/>
      <c r="W235" s="1074"/>
      <c r="X235" s="1074"/>
      <c r="Y235" s="1072"/>
      <c r="Z235" s="1073"/>
      <c r="AA235" s="1074"/>
      <c r="AB235" s="1074"/>
      <c r="AC235" s="1074"/>
      <c r="AD235" s="1074"/>
      <c r="AE235" s="1074"/>
      <c r="AF235" s="1072"/>
      <c r="AG235" s="1073"/>
      <c r="AH235" s="1074"/>
      <c r="AI235" s="1074"/>
      <c r="AJ235" s="1074"/>
      <c r="AK235" s="1074"/>
    </row>
    <row r="236">
      <c r="A236" s="1072"/>
      <c r="B236" s="1072"/>
      <c r="C236" s="1075"/>
      <c r="D236" s="1074"/>
      <c r="E236" s="1074"/>
      <c r="F236" s="1074"/>
      <c r="G236" s="1076"/>
      <c r="H236" s="1074"/>
      <c r="I236" s="1074"/>
      <c r="J236" s="1072"/>
      <c r="K236" s="1075"/>
      <c r="L236" s="1074"/>
      <c r="M236" s="1074"/>
      <c r="N236" s="1074"/>
      <c r="O236" s="1076"/>
      <c r="P236" s="1074"/>
      <c r="Q236" s="1074"/>
      <c r="R236" s="1072"/>
      <c r="S236" s="1073"/>
      <c r="T236" s="1074"/>
      <c r="U236" s="1074"/>
      <c r="V236" s="1074"/>
      <c r="W236" s="1074"/>
      <c r="X236" s="1074"/>
      <c r="Y236" s="1072"/>
      <c r="Z236" s="1073"/>
      <c r="AA236" s="1074"/>
      <c r="AB236" s="1074"/>
      <c r="AC236" s="1074"/>
      <c r="AD236" s="1074"/>
      <c r="AE236" s="1074"/>
      <c r="AF236" s="1072"/>
      <c r="AG236" s="1073"/>
      <c r="AH236" s="1074"/>
      <c r="AI236" s="1074"/>
      <c r="AJ236" s="1074"/>
      <c r="AK236" s="1074"/>
    </row>
    <row r="237">
      <c r="A237" s="1072"/>
      <c r="B237" s="1072"/>
      <c r="C237" s="1075"/>
      <c r="D237" s="1074"/>
      <c r="E237" s="1074"/>
      <c r="F237" s="1074"/>
      <c r="G237" s="1076"/>
      <c r="H237" s="1074"/>
      <c r="I237" s="1074"/>
      <c r="J237" s="1072"/>
      <c r="K237" s="1075"/>
      <c r="L237" s="1074"/>
      <c r="M237" s="1074"/>
      <c r="N237" s="1074"/>
      <c r="O237" s="1076"/>
      <c r="P237" s="1074"/>
      <c r="Q237" s="1074"/>
      <c r="R237" s="1072"/>
      <c r="S237" s="1073"/>
      <c r="T237" s="1074"/>
      <c r="U237" s="1074"/>
      <c r="V237" s="1074"/>
      <c r="W237" s="1074"/>
      <c r="X237" s="1074"/>
      <c r="Y237" s="1072"/>
      <c r="Z237" s="1073"/>
      <c r="AA237" s="1074"/>
      <c r="AB237" s="1074"/>
      <c r="AC237" s="1074"/>
      <c r="AD237" s="1074"/>
      <c r="AE237" s="1074"/>
      <c r="AF237" s="1072"/>
      <c r="AG237" s="1073"/>
      <c r="AH237" s="1074"/>
      <c r="AI237" s="1074"/>
      <c r="AJ237" s="1074"/>
      <c r="AK237" s="1074"/>
    </row>
    <row r="238">
      <c r="A238" s="1072"/>
      <c r="B238" s="1072"/>
      <c r="C238" s="1075"/>
      <c r="D238" s="1074"/>
      <c r="E238" s="1074"/>
      <c r="F238" s="1074"/>
      <c r="G238" s="1076"/>
      <c r="H238" s="1074"/>
      <c r="I238" s="1074"/>
      <c r="J238" s="1072"/>
      <c r="K238" s="1075"/>
      <c r="L238" s="1074"/>
      <c r="M238" s="1074"/>
      <c r="N238" s="1074"/>
      <c r="O238" s="1076"/>
      <c r="P238" s="1074"/>
      <c r="Q238" s="1074"/>
      <c r="R238" s="1072"/>
      <c r="S238" s="1073"/>
      <c r="T238" s="1074"/>
      <c r="U238" s="1074"/>
      <c r="V238" s="1074"/>
      <c r="W238" s="1074"/>
      <c r="X238" s="1074"/>
      <c r="Y238" s="1072"/>
      <c r="Z238" s="1073"/>
      <c r="AA238" s="1074"/>
      <c r="AB238" s="1074"/>
      <c r="AC238" s="1074"/>
      <c r="AD238" s="1074"/>
      <c r="AE238" s="1074"/>
      <c r="AF238" s="1072"/>
      <c r="AG238" s="1073"/>
      <c r="AH238" s="1074"/>
      <c r="AI238" s="1074"/>
      <c r="AJ238" s="1074"/>
      <c r="AK238" s="1074"/>
    </row>
    <row r="239">
      <c r="A239" s="1072"/>
      <c r="B239" s="1072"/>
      <c r="C239" s="1075"/>
      <c r="D239" s="1074"/>
      <c r="E239" s="1074"/>
      <c r="F239" s="1074"/>
      <c r="G239" s="1076"/>
      <c r="H239" s="1074"/>
      <c r="I239" s="1074"/>
      <c r="J239" s="1072"/>
      <c r="K239" s="1075"/>
      <c r="L239" s="1074"/>
      <c r="M239" s="1074"/>
      <c r="N239" s="1074"/>
      <c r="O239" s="1076"/>
      <c r="P239" s="1074"/>
      <c r="Q239" s="1074"/>
      <c r="R239" s="1072"/>
      <c r="S239" s="1073"/>
      <c r="T239" s="1074"/>
      <c r="U239" s="1074"/>
      <c r="V239" s="1074"/>
      <c r="W239" s="1074"/>
      <c r="X239" s="1074"/>
      <c r="Y239" s="1072"/>
      <c r="Z239" s="1073"/>
      <c r="AA239" s="1074"/>
      <c r="AB239" s="1074"/>
      <c r="AC239" s="1074"/>
      <c r="AD239" s="1074"/>
      <c r="AE239" s="1074"/>
      <c r="AF239" s="1072"/>
      <c r="AG239" s="1073"/>
      <c r="AH239" s="1074"/>
      <c r="AI239" s="1074"/>
      <c r="AJ239" s="1074"/>
      <c r="AK239" s="1074"/>
    </row>
    <row r="240">
      <c r="A240" s="1072"/>
      <c r="B240" s="1072"/>
      <c r="C240" s="1075"/>
      <c r="D240" s="1074"/>
      <c r="E240" s="1074"/>
      <c r="F240" s="1074"/>
      <c r="G240" s="1076"/>
      <c r="H240" s="1074"/>
      <c r="I240" s="1074"/>
      <c r="J240" s="1072"/>
      <c r="K240" s="1075"/>
      <c r="L240" s="1074"/>
      <c r="M240" s="1074"/>
      <c r="N240" s="1074"/>
      <c r="O240" s="1076"/>
      <c r="P240" s="1074"/>
      <c r="Q240" s="1074"/>
      <c r="R240" s="1072"/>
      <c r="S240" s="1073"/>
      <c r="T240" s="1074"/>
      <c r="U240" s="1074"/>
      <c r="V240" s="1074"/>
      <c r="W240" s="1074"/>
      <c r="X240" s="1074"/>
      <c r="Y240" s="1072"/>
      <c r="Z240" s="1073"/>
      <c r="AA240" s="1074"/>
      <c r="AB240" s="1074"/>
      <c r="AC240" s="1074"/>
      <c r="AD240" s="1074"/>
      <c r="AE240" s="1074"/>
      <c r="AF240" s="1072"/>
      <c r="AG240" s="1073"/>
      <c r="AH240" s="1074"/>
      <c r="AI240" s="1074"/>
      <c r="AJ240" s="1074"/>
      <c r="AK240" s="1074"/>
    </row>
    <row r="241">
      <c r="A241" s="1072"/>
      <c r="B241" s="1072"/>
      <c r="C241" s="1075"/>
      <c r="D241" s="1074"/>
      <c r="E241" s="1074"/>
      <c r="F241" s="1074"/>
      <c r="G241" s="1076"/>
      <c r="H241" s="1074"/>
      <c r="I241" s="1074"/>
      <c r="J241" s="1072"/>
      <c r="K241" s="1075"/>
      <c r="L241" s="1074"/>
      <c r="M241" s="1074"/>
      <c r="N241" s="1074"/>
      <c r="O241" s="1076"/>
      <c r="P241" s="1074"/>
      <c r="Q241" s="1074"/>
      <c r="R241" s="1072"/>
      <c r="S241" s="1073"/>
      <c r="T241" s="1074"/>
      <c r="U241" s="1074"/>
      <c r="V241" s="1074"/>
      <c r="W241" s="1074"/>
      <c r="X241" s="1074"/>
      <c r="Y241" s="1072"/>
      <c r="Z241" s="1073"/>
      <c r="AA241" s="1074"/>
      <c r="AB241" s="1074"/>
      <c r="AC241" s="1074"/>
      <c r="AD241" s="1074"/>
      <c r="AE241" s="1074"/>
      <c r="AF241" s="1072"/>
      <c r="AG241" s="1073"/>
      <c r="AH241" s="1074"/>
      <c r="AI241" s="1074"/>
      <c r="AJ241" s="1074"/>
      <c r="AK241" s="1074"/>
    </row>
    <row r="242">
      <c r="A242" s="1072"/>
      <c r="B242" s="1072"/>
      <c r="C242" s="1075"/>
      <c r="D242" s="1074"/>
      <c r="E242" s="1074"/>
      <c r="F242" s="1074"/>
      <c r="G242" s="1076"/>
      <c r="H242" s="1074"/>
      <c r="I242" s="1074"/>
      <c r="J242" s="1072"/>
      <c r="K242" s="1075"/>
      <c r="L242" s="1074"/>
      <c r="M242" s="1074"/>
      <c r="N242" s="1074"/>
      <c r="O242" s="1076"/>
      <c r="P242" s="1074"/>
      <c r="Q242" s="1074"/>
      <c r="R242" s="1072"/>
      <c r="S242" s="1073"/>
      <c r="T242" s="1074"/>
      <c r="U242" s="1074"/>
      <c r="V242" s="1074"/>
      <c r="W242" s="1074"/>
      <c r="X242" s="1074"/>
      <c r="Y242" s="1072"/>
      <c r="Z242" s="1073"/>
      <c r="AA242" s="1074"/>
      <c r="AB242" s="1074"/>
      <c r="AC242" s="1074"/>
      <c r="AD242" s="1074"/>
      <c r="AE242" s="1074"/>
      <c r="AF242" s="1072"/>
      <c r="AG242" s="1073"/>
      <c r="AH242" s="1074"/>
      <c r="AI242" s="1074"/>
      <c r="AJ242" s="1074"/>
      <c r="AK242" s="1074"/>
    </row>
    <row r="243">
      <c r="A243" s="1072"/>
      <c r="B243" s="1072"/>
      <c r="C243" s="1075"/>
      <c r="D243" s="1074"/>
      <c r="E243" s="1074"/>
      <c r="F243" s="1074"/>
      <c r="G243" s="1076"/>
      <c r="H243" s="1074"/>
      <c r="I243" s="1074"/>
      <c r="J243" s="1072"/>
      <c r="K243" s="1075"/>
      <c r="L243" s="1074"/>
      <c r="M243" s="1074"/>
      <c r="N243" s="1074"/>
      <c r="O243" s="1076"/>
      <c r="P243" s="1074"/>
      <c r="Q243" s="1074"/>
      <c r="R243" s="1072"/>
      <c r="S243" s="1073"/>
      <c r="T243" s="1074"/>
      <c r="U243" s="1074"/>
      <c r="V243" s="1074"/>
      <c r="W243" s="1074"/>
      <c r="X243" s="1074"/>
      <c r="Y243" s="1072"/>
      <c r="Z243" s="1073"/>
      <c r="AA243" s="1074"/>
      <c r="AB243" s="1074"/>
      <c r="AC243" s="1074"/>
      <c r="AD243" s="1074"/>
      <c r="AE243" s="1074"/>
      <c r="AF243" s="1072"/>
      <c r="AG243" s="1073"/>
      <c r="AH243" s="1074"/>
      <c r="AI243" s="1074"/>
      <c r="AJ243" s="1074"/>
      <c r="AK243" s="1074"/>
    </row>
    <row r="244">
      <c r="A244" s="1072"/>
      <c r="B244" s="1072"/>
      <c r="C244" s="1075"/>
      <c r="D244" s="1074"/>
      <c r="E244" s="1074"/>
      <c r="F244" s="1074"/>
      <c r="G244" s="1076"/>
      <c r="H244" s="1074"/>
      <c r="I244" s="1074"/>
      <c r="J244" s="1072"/>
      <c r="K244" s="1075"/>
      <c r="L244" s="1074"/>
      <c r="M244" s="1074"/>
      <c r="N244" s="1074"/>
      <c r="O244" s="1076"/>
      <c r="P244" s="1074"/>
      <c r="Q244" s="1074"/>
      <c r="R244" s="1072"/>
      <c r="S244" s="1073"/>
      <c r="T244" s="1074"/>
      <c r="U244" s="1074"/>
      <c r="V244" s="1074"/>
      <c r="W244" s="1074"/>
      <c r="X244" s="1074"/>
      <c r="Y244" s="1072"/>
      <c r="Z244" s="1073"/>
      <c r="AA244" s="1074"/>
      <c r="AB244" s="1074"/>
      <c r="AC244" s="1074"/>
      <c r="AD244" s="1074"/>
      <c r="AE244" s="1074"/>
      <c r="AF244" s="1072"/>
      <c r="AG244" s="1073"/>
      <c r="AH244" s="1074"/>
      <c r="AI244" s="1074"/>
      <c r="AJ244" s="1074"/>
      <c r="AK244" s="1074"/>
    </row>
    <row r="245">
      <c r="A245" s="1072"/>
      <c r="B245" s="1072"/>
      <c r="C245" s="1075"/>
      <c r="D245" s="1074"/>
      <c r="E245" s="1074"/>
      <c r="F245" s="1074"/>
      <c r="G245" s="1076"/>
      <c r="H245" s="1074"/>
      <c r="I245" s="1074"/>
      <c r="J245" s="1072"/>
      <c r="K245" s="1075"/>
      <c r="L245" s="1074"/>
      <c r="M245" s="1074"/>
      <c r="N245" s="1074"/>
      <c r="O245" s="1076"/>
      <c r="P245" s="1074"/>
      <c r="Q245" s="1074"/>
      <c r="R245" s="1072"/>
      <c r="S245" s="1073"/>
      <c r="T245" s="1074"/>
      <c r="U245" s="1074"/>
      <c r="V245" s="1074"/>
      <c r="W245" s="1074"/>
      <c r="X245" s="1074"/>
      <c r="Y245" s="1072"/>
      <c r="Z245" s="1073"/>
      <c r="AA245" s="1074"/>
      <c r="AB245" s="1074"/>
      <c r="AC245" s="1074"/>
      <c r="AD245" s="1074"/>
      <c r="AE245" s="1074"/>
      <c r="AF245" s="1072"/>
      <c r="AG245" s="1073"/>
      <c r="AH245" s="1074"/>
      <c r="AI245" s="1074"/>
      <c r="AJ245" s="1074"/>
      <c r="AK245" s="1074"/>
    </row>
    <row r="246">
      <c r="A246" s="1072"/>
      <c r="B246" s="1072"/>
      <c r="C246" s="1075"/>
      <c r="D246" s="1074"/>
      <c r="E246" s="1074"/>
      <c r="F246" s="1074"/>
      <c r="G246" s="1076"/>
      <c r="H246" s="1074"/>
      <c r="I246" s="1074"/>
      <c r="J246" s="1072"/>
      <c r="K246" s="1075"/>
      <c r="L246" s="1074"/>
      <c r="M246" s="1074"/>
      <c r="N246" s="1074"/>
      <c r="O246" s="1076"/>
      <c r="P246" s="1074"/>
      <c r="Q246" s="1074"/>
      <c r="R246" s="1072"/>
      <c r="S246" s="1073"/>
      <c r="T246" s="1074"/>
      <c r="U246" s="1074"/>
      <c r="V246" s="1074"/>
      <c r="W246" s="1074"/>
      <c r="X246" s="1074"/>
      <c r="Y246" s="1072"/>
      <c r="Z246" s="1073"/>
      <c r="AA246" s="1074"/>
      <c r="AB246" s="1074"/>
      <c r="AC246" s="1074"/>
      <c r="AD246" s="1074"/>
      <c r="AE246" s="1074"/>
      <c r="AF246" s="1072"/>
      <c r="AG246" s="1073"/>
      <c r="AH246" s="1074"/>
      <c r="AI246" s="1074"/>
      <c r="AJ246" s="1074"/>
      <c r="AK246" s="1074"/>
    </row>
    <row r="247">
      <c r="A247" s="1072"/>
      <c r="B247" s="1072"/>
      <c r="C247" s="1075"/>
      <c r="D247" s="1074"/>
      <c r="E247" s="1074"/>
      <c r="F247" s="1074"/>
      <c r="G247" s="1076"/>
      <c r="H247" s="1074"/>
      <c r="I247" s="1074"/>
      <c r="J247" s="1072"/>
      <c r="K247" s="1075"/>
      <c r="L247" s="1074"/>
      <c r="M247" s="1074"/>
      <c r="N247" s="1074"/>
      <c r="O247" s="1076"/>
      <c r="P247" s="1074"/>
      <c r="Q247" s="1074"/>
      <c r="R247" s="1072"/>
      <c r="S247" s="1073"/>
      <c r="T247" s="1074"/>
      <c r="U247" s="1074"/>
      <c r="V247" s="1074"/>
      <c r="W247" s="1074"/>
      <c r="X247" s="1074"/>
      <c r="Y247" s="1072"/>
      <c r="Z247" s="1073"/>
      <c r="AA247" s="1074"/>
      <c r="AB247" s="1074"/>
      <c r="AC247" s="1074"/>
      <c r="AD247" s="1074"/>
      <c r="AE247" s="1074"/>
      <c r="AF247" s="1072"/>
      <c r="AG247" s="1073"/>
      <c r="AH247" s="1074"/>
      <c r="AI247" s="1074"/>
      <c r="AJ247" s="1074"/>
      <c r="AK247" s="1074"/>
    </row>
    <row r="248">
      <c r="A248" s="1072"/>
      <c r="B248" s="1072"/>
      <c r="C248" s="1075"/>
      <c r="D248" s="1074"/>
      <c r="E248" s="1074"/>
      <c r="F248" s="1074"/>
      <c r="G248" s="1076"/>
      <c r="H248" s="1074"/>
      <c r="I248" s="1074"/>
      <c r="J248" s="1072"/>
      <c r="K248" s="1075"/>
      <c r="L248" s="1074"/>
      <c r="M248" s="1074"/>
      <c r="N248" s="1074"/>
      <c r="O248" s="1076"/>
      <c r="P248" s="1074"/>
      <c r="Q248" s="1074"/>
      <c r="R248" s="1072"/>
      <c r="S248" s="1073"/>
      <c r="T248" s="1074"/>
      <c r="U248" s="1074"/>
      <c r="V248" s="1074"/>
      <c r="W248" s="1074"/>
      <c r="X248" s="1074"/>
      <c r="Y248" s="1072"/>
      <c r="Z248" s="1073"/>
      <c r="AA248" s="1074"/>
      <c r="AB248" s="1074"/>
      <c r="AC248" s="1074"/>
      <c r="AD248" s="1074"/>
      <c r="AE248" s="1074"/>
      <c r="AF248" s="1072"/>
      <c r="AG248" s="1073"/>
      <c r="AH248" s="1074"/>
      <c r="AI248" s="1074"/>
      <c r="AJ248" s="1074"/>
      <c r="AK248" s="1074"/>
    </row>
    <row r="249">
      <c r="A249" s="1072"/>
      <c r="B249" s="1072"/>
      <c r="C249" s="1075"/>
      <c r="D249" s="1074"/>
      <c r="E249" s="1074"/>
      <c r="F249" s="1074"/>
      <c r="G249" s="1076"/>
      <c r="H249" s="1074"/>
      <c r="I249" s="1074"/>
      <c r="J249" s="1072"/>
      <c r="K249" s="1075"/>
      <c r="L249" s="1074"/>
      <c r="M249" s="1074"/>
      <c r="N249" s="1074"/>
      <c r="O249" s="1076"/>
      <c r="P249" s="1074"/>
      <c r="Q249" s="1074"/>
      <c r="R249" s="1072"/>
      <c r="S249" s="1073"/>
      <c r="T249" s="1074"/>
      <c r="U249" s="1074"/>
      <c r="V249" s="1074"/>
      <c r="W249" s="1074"/>
      <c r="X249" s="1074"/>
      <c r="Y249" s="1072"/>
      <c r="Z249" s="1073"/>
      <c r="AA249" s="1074"/>
      <c r="AB249" s="1074"/>
      <c r="AC249" s="1074"/>
      <c r="AD249" s="1074"/>
      <c r="AE249" s="1074"/>
      <c r="AF249" s="1072"/>
      <c r="AG249" s="1073"/>
      <c r="AH249" s="1074"/>
      <c r="AI249" s="1074"/>
      <c r="AJ249" s="1074"/>
      <c r="AK249" s="1074"/>
    </row>
    <row r="250">
      <c r="A250" s="1072"/>
      <c r="B250" s="1072"/>
      <c r="C250" s="1075"/>
      <c r="D250" s="1074"/>
      <c r="E250" s="1074"/>
      <c r="F250" s="1074"/>
      <c r="G250" s="1076"/>
      <c r="H250" s="1074"/>
      <c r="I250" s="1074"/>
      <c r="J250" s="1072"/>
      <c r="K250" s="1075"/>
      <c r="L250" s="1074"/>
      <c r="M250" s="1074"/>
      <c r="N250" s="1074"/>
      <c r="O250" s="1076"/>
      <c r="P250" s="1074"/>
      <c r="Q250" s="1074"/>
      <c r="R250" s="1072"/>
      <c r="S250" s="1073"/>
      <c r="T250" s="1074"/>
      <c r="U250" s="1074"/>
      <c r="V250" s="1074"/>
      <c r="W250" s="1074"/>
      <c r="X250" s="1074"/>
      <c r="Y250" s="1072"/>
      <c r="Z250" s="1073"/>
      <c r="AA250" s="1074"/>
      <c r="AB250" s="1074"/>
      <c r="AC250" s="1074"/>
      <c r="AD250" s="1074"/>
      <c r="AE250" s="1074"/>
      <c r="AF250" s="1072"/>
      <c r="AG250" s="1073"/>
      <c r="AH250" s="1074"/>
      <c r="AI250" s="1074"/>
      <c r="AJ250" s="1074"/>
      <c r="AK250" s="1074"/>
    </row>
    <row r="251">
      <c r="A251" s="1072"/>
      <c r="B251" s="1072"/>
      <c r="C251" s="1075"/>
      <c r="D251" s="1074"/>
      <c r="E251" s="1074"/>
      <c r="F251" s="1074"/>
      <c r="G251" s="1076"/>
      <c r="H251" s="1074"/>
      <c r="I251" s="1074"/>
      <c r="J251" s="1072"/>
      <c r="K251" s="1075"/>
      <c r="L251" s="1074"/>
      <c r="M251" s="1074"/>
      <c r="N251" s="1074"/>
      <c r="O251" s="1076"/>
      <c r="P251" s="1074"/>
      <c r="Q251" s="1074"/>
      <c r="R251" s="1072"/>
      <c r="S251" s="1073"/>
      <c r="T251" s="1074"/>
      <c r="U251" s="1074"/>
      <c r="V251" s="1074"/>
      <c r="W251" s="1074"/>
      <c r="X251" s="1074"/>
      <c r="Y251" s="1072"/>
      <c r="Z251" s="1073"/>
      <c r="AA251" s="1074"/>
      <c r="AB251" s="1074"/>
      <c r="AC251" s="1074"/>
      <c r="AD251" s="1074"/>
      <c r="AE251" s="1074"/>
      <c r="AF251" s="1072"/>
      <c r="AG251" s="1073"/>
      <c r="AH251" s="1074"/>
      <c r="AI251" s="1074"/>
      <c r="AJ251" s="1074"/>
      <c r="AK251" s="1074"/>
    </row>
    <row r="252">
      <c r="A252" s="1072"/>
      <c r="B252" s="1072"/>
      <c r="C252" s="1075"/>
      <c r="D252" s="1074"/>
      <c r="E252" s="1074"/>
      <c r="F252" s="1074"/>
      <c r="G252" s="1076"/>
      <c r="H252" s="1074"/>
      <c r="I252" s="1074"/>
      <c r="J252" s="1072"/>
      <c r="K252" s="1075"/>
      <c r="L252" s="1074"/>
      <c r="M252" s="1074"/>
      <c r="N252" s="1074"/>
      <c r="O252" s="1076"/>
      <c r="P252" s="1074"/>
      <c r="Q252" s="1074"/>
      <c r="R252" s="1072"/>
      <c r="S252" s="1073"/>
      <c r="T252" s="1074"/>
      <c r="U252" s="1074"/>
      <c r="V252" s="1074"/>
      <c r="W252" s="1074"/>
      <c r="X252" s="1074"/>
      <c r="Y252" s="1072"/>
      <c r="Z252" s="1073"/>
      <c r="AA252" s="1074"/>
      <c r="AB252" s="1074"/>
      <c r="AC252" s="1074"/>
      <c r="AD252" s="1074"/>
      <c r="AE252" s="1074"/>
      <c r="AF252" s="1072"/>
      <c r="AG252" s="1073"/>
      <c r="AH252" s="1074"/>
      <c r="AI252" s="1074"/>
      <c r="AJ252" s="1074"/>
      <c r="AK252" s="1074"/>
    </row>
    <row r="253">
      <c r="A253" s="1072"/>
      <c r="B253" s="1072"/>
      <c r="C253" s="1075"/>
      <c r="D253" s="1074"/>
      <c r="E253" s="1074"/>
      <c r="F253" s="1074"/>
      <c r="G253" s="1076"/>
      <c r="H253" s="1074"/>
      <c r="I253" s="1074"/>
      <c r="J253" s="1072"/>
      <c r="K253" s="1075"/>
      <c r="L253" s="1074"/>
      <c r="M253" s="1074"/>
      <c r="N253" s="1074"/>
      <c r="O253" s="1076"/>
      <c r="P253" s="1074"/>
      <c r="Q253" s="1074"/>
      <c r="R253" s="1072"/>
      <c r="S253" s="1073"/>
      <c r="T253" s="1074"/>
      <c r="U253" s="1074"/>
      <c r="V253" s="1074"/>
      <c r="W253" s="1074"/>
      <c r="X253" s="1074"/>
      <c r="Y253" s="1072"/>
      <c r="Z253" s="1073"/>
      <c r="AA253" s="1074"/>
      <c r="AB253" s="1074"/>
      <c r="AC253" s="1074"/>
      <c r="AD253" s="1074"/>
      <c r="AE253" s="1074"/>
      <c r="AF253" s="1072"/>
      <c r="AG253" s="1073"/>
      <c r="AH253" s="1074"/>
      <c r="AI253" s="1074"/>
      <c r="AJ253" s="1074"/>
      <c r="AK253" s="1074"/>
    </row>
    <row r="254">
      <c r="A254" s="1072"/>
      <c r="B254" s="1072"/>
      <c r="C254" s="1075"/>
      <c r="D254" s="1074"/>
      <c r="E254" s="1074"/>
      <c r="F254" s="1074"/>
      <c r="G254" s="1076"/>
      <c r="H254" s="1074"/>
      <c r="I254" s="1074"/>
      <c r="J254" s="1072"/>
      <c r="K254" s="1075"/>
      <c r="L254" s="1074"/>
      <c r="M254" s="1074"/>
      <c r="N254" s="1074"/>
      <c r="O254" s="1076"/>
      <c r="P254" s="1074"/>
      <c r="Q254" s="1074"/>
      <c r="R254" s="1072"/>
      <c r="S254" s="1073"/>
      <c r="T254" s="1074"/>
      <c r="U254" s="1074"/>
      <c r="V254" s="1074"/>
      <c r="W254" s="1074"/>
      <c r="X254" s="1074"/>
      <c r="Y254" s="1072"/>
      <c r="Z254" s="1073"/>
      <c r="AA254" s="1074"/>
      <c r="AB254" s="1074"/>
      <c r="AC254" s="1074"/>
      <c r="AD254" s="1074"/>
      <c r="AE254" s="1074"/>
      <c r="AF254" s="1072"/>
      <c r="AG254" s="1073"/>
      <c r="AH254" s="1074"/>
      <c r="AI254" s="1074"/>
      <c r="AJ254" s="1074"/>
      <c r="AK254" s="1074"/>
    </row>
    <row r="255">
      <c r="A255" s="1072"/>
      <c r="B255" s="1072"/>
      <c r="C255" s="1075"/>
      <c r="D255" s="1074"/>
      <c r="E255" s="1074"/>
      <c r="F255" s="1074"/>
      <c r="G255" s="1076"/>
      <c r="H255" s="1074"/>
      <c r="I255" s="1074"/>
      <c r="J255" s="1072"/>
      <c r="K255" s="1075"/>
      <c r="L255" s="1074"/>
      <c r="M255" s="1074"/>
      <c r="N255" s="1074"/>
      <c r="O255" s="1076"/>
      <c r="P255" s="1074"/>
      <c r="Q255" s="1074"/>
      <c r="R255" s="1072"/>
      <c r="S255" s="1073"/>
      <c r="T255" s="1074"/>
      <c r="U255" s="1074"/>
      <c r="V255" s="1074"/>
      <c r="W255" s="1074"/>
      <c r="X255" s="1074"/>
      <c r="Y255" s="1072"/>
      <c r="Z255" s="1073"/>
      <c r="AA255" s="1074"/>
      <c r="AB255" s="1074"/>
      <c r="AC255" s="1074"/>
      <c r="AD255" s="1074"/>
      <c r="AE255" s="1074"/>
      <c r="AF255" s="1072"/>
      <c r="AG255" s="1073"/>
      <c r="AH255" s="1074"/>
      <c r="AI255" s="1074"/>
      <c r="AJ255" s="1074"/>
      <c r="AK255" s="1074"/>
    </row>
    <row r="256">
      <c r="A256" s="1072"/>
      <c r="B256" s="1072"/>
      <c r="C256" s="1075"/>
      <c r="D256" s="1074"/>
      <c r="E256" s="1074"/>
      <c r="F256" s="1074"/>
      <c r="G256" s="1076"/>
      <c r="H256" s="1074"/>
      <c r="I256" s="1074"/>
      <c r="J256" s="1072"/>
      <c r="K256" s="1075"/>
      <c r="L256" s="1074"/>
      <c r="M256" s="1074"/>
      <c r="N256" s="1074"/>
      <c r="O256" s="1076"/>
      <c r="P256" s="1074"/>
      <c r="Q256" s="1074"/>
      <c r="R256" s="1072"/>
      <c r="S256" s="1073"/>
      <c r="T256" s="1074"/>
      <c r="U256" s="1074"/>
      <c r="V256" s="1074"/>
      <c r="W256" s="1074"/>
      <c r="X256" s="1074"/>
      <c r="Y256" s="1072"/>
      <c r="Z256" s="1073"/>
      <c r="AA256" s="1074"/>
      <c r="AB256" s="1074"/>
      <c r="AC256" s="1074"/>
      <c r="AD256" s="1074"/>
      <c r="AE256" s="1074"/>
      <c r="AF256" s="1072"/>
      <c r="AG256" s="1073"/>
      <c r="AH256" s="1074"/>
      <c r="AI256" s="1074"/>
      <c r="AJ256" s="1074"/>
      <c r="AK256" s="1074"/>
    </row>
    <row r="257">
      <c r="A257" s="1072"/>
      <c r="B257" s="1072"/>
      <c r="C257" s="1075"/>
      <c r="D257" s="1074"/>
      <c r="E257" s="1074"/>
      <c r="F257" s="1074"/>
      <c r="G257" s="1076"/>
      <c r="H257" s="1074"/>
      <c r="I257" s="1074"/>
      <c r="J257" s="1072"/>
      <c r="K257" s="1075"/>
      <c r="L257" s="1074"/>
      <c r="M257" s="1074"/>
      <c r="N257" s="1074"/>
      <c r="O257" s="1076"/>
      <c r="P257" s="1074"/>
      <c r="Q257" s="1074"/>
      <c r="R257" s="1072"/>
      <c r="S257" s="1073"/>
      <c r="T257" s="1074"/>
      <c r="U257" s="1074"/>
      <c r="V257" s="1074"/>
      <c r="W257" s="1074"/>
      <c r="X257" s="1074"/>
      <c r="Y257" s="1072"/>
      <c r="Z257" s="1073"/>
      <c r="AA257" s="1074"/>
      <c r="AB257" s="1074"/>
      <c r="AC257" s="1074"/>
      <c r="AD257" s="1074"/>
      <c r="AE257" s="1074"/>
      <c r="AF257" s="1072"/>
      <c r="AG257" s="1073"/>
      <c r="AH257" s="1074"/>
      <c r="AI257" s="1074"/>
      <c r="AJ257" s="1074"/>
      <c r="AK257" s="1074"/>
    </row>
    <row r="258">
      <c r="A258" s="1072"/>
      <c r="B258" s="1072"/>
      <c r="C258" s="1075"/>
      <c r="D258" s="1074"/>
      <c r="E258" s="1074"/>
      <c r="F258" s="1074"/>
      <c r="G258" s="1076"/>
      <c r="H258" s="1074"/>
      <c r="I258" s="1074"/>
      <c r="J258" s="1072"/>
      <c r="K258" s="1075"/>
      <c r="L258" s="1074"/>
      <c r="M258" s="1074"/>
      <c r="N258" s="1074"/>
      <c r="O258" s="1076"/>
      <c r="P258" s="1074"/>
      <c r="Q258" s="1074"/>
      <c r="R258" s="1072"/>
      <c r="S258" s="1073"/>
      <c r="T258" s="1074"/>
      <c r="U258" s="1074"/>
      <c r="V258" s="1074"/>
      <c r="W258" s="1074"/>
      <c r="X258" s="1074"/>
      <c r="Y258" s="1072"/>
      <c r="Z258" s="1073"/>
      <c r="AA258" s="1074"/>
      <c r="AB258" s="1074"/>
      <c r="AC258" s="1074"/>
      <c r="AD258" s="1074"/>
      <c r="AE258" s="1074"/>
      <c r="AF258" s="1072"/>
      <c r="AG258" s="1073"/>
      <c r="AH258" s="1074"/>
      <c r="AI258" s="1074"/>
      <c r="AJ258" s="1074"/>
      <c r="AK258" s="1074"/>
    </row>
    <row r="259">
      <c r="A259" s="1072"/>
      <c r="B259" s="1072"/>
      <c r="C259" s="1075"/>
      <c r="D259" s="1074"/>
      <c r="E259" s="1074"/>
      <c r="F259" s="1074"/>
      <c r="G259" s="1076"/>
      <c r="H259" s="1074"/>
      <c r="I259" s="1074"/>
      <c r="J259" s="1072"/>
      <c r="K259" s="1075"/>
      <c r="L259" s="1074"/>
      <c r="M259" s="1074"/>
      <c r="N259" s="1074"/>
      <c r="O259" s="1076"/>
      <c r="P259" s="1074"/>
      <c r="Q259" s="1074"/>
      <c r="R259" s="1072"/>
      <c r="S259" s="1073"/>
      <c r="T259" s="1074"/>
      <c r="U259" s="1074"/>
      <c r="V259" s="1074"/>
      <c r="W259" s="1074"/>
      <c r="X259" s="1074"/>
      <c r="Y259" s="1072"/>
      <c r="Z259" s="1073"/>
      <c r="AA259" s="1074"/>
      <c r="AB259" s="1074"/>
      <c r="AC259" s="1074"/>
      <c r="AD259" s="1074"/>
      <c r="AE259" s="1074"/>
      <c r="AF259" s="1072"/>
      <c r="AG259" s="1073"/>
      <c r="AH259" s="1074"/>
      <c r="AI259" s="1074"/>
      <c r="AJ259" s="1074"/>
      <c r="AK259" s="1074"/>
    </row>
    <row r="260">
      <c r="A260" s="1072"/>
      <c r="B260" s="1072"/>
      <c r="C260" s="1075"/>
      <c r="D260" s="1074"/>
      <c r="E260" s="1074"/>
      <c r="F260" s="1074"/>
      <c r="G260" s="1076"/>
      <c r="H260" s="1074"/>
      <c r="I260" s="1074"/>
      <c r="J260" s="1072"/>
      <c r="K260" s="1075"/>
      <c r="L260" s="1074"/>
      <c r="M260" s="1074"/>
      <c r="N260" s="1074"/>
      <c r="O260" s="1076"/>
      <c r="P260" s="1074"/>
      <c r="Q260" s="1074"/>
      <c r="R260" s="1072"/>
      <c r="S260" s="1073"/>
      <c r="T260" s="1074"/>
      <c r="U260" s="1074"/>
      <c r="V260" s="1074"/>
      <c r="W260" s="1074"/>
      <c r="X260" s="1074"/>
      <c r="Y260" s="1072"/>
      <c r="Z260" s="1073"/>
      <c r="AA260" s="1074"/>
      <c r="AB260" s="1074"/>
      <c r="AC260" s="1074"/>
      <c r="AD260" s="1074"/>
      <c r="AE260" s="1074"/>
      <c r="AF260" s="1072"/>
      <c r="AG260" s="1073"/>
      <c r="AH260" s="1074"/>
      <c r="AI260" s="1074"/>
      <c r="AJ260" s="1074"/>
      <c r="AK260" s="1074"/>
    </row>
    <row r="261">
      <c r="A261" s="1072"/>
      <c r="B261" s="1072"/>
      <c r="C261" s="1075"/>
      <c r="D261" s="1074"/>
      <c r="E261" s="1074"/>
      <c r="F261" s="1074"/>
      <c r="G261" s="1076"/>
      <c r="H261" s="1074"/>
      <c r="I261" s="1074"/>
      <c r="J261" s="1072"/>
      <c r="K261" s="1075"/>
      <c r="L261" s="1074"/>
      <c r="M261" s="1074"/>
      <c r="N261" s="1074"/>
      <c r="O261" s="1076"/>
      <c r="P261" s="1074"/>
      <c r="Q261" s="1074"/>
      <c r="R261" s="1072"/>
      <c r="S261" s="1073"/>
      <c r="T261" s="1074"/>
      <c r="U261" s="1074"/>
      <c r="V261" s="1074"/>
      <c r="W261" s="1074"/>
      <c r="X261" s="1074"/>
      <c r="Y261" s="1072"/>
      <c r="Z261" s="1073"/>
      <c r="AA261" s="1074"/>
      <c r="AB261" s="1074"/>
      <c r="AC261" s="1074"/>
      <c r="AD261" s="1074"/>
      <c r="AE261" s="1074"/>
      <c r="AF261" s="1072"/>
      <c r="AG261" s="1073"/>
      <c r="AH261" s="1074"/>
      <c r="AI261" s="1074"/>
      <c r="AJ261" s="1074"/>
      <c r="AK261" s="1074"/>
    </row>
    <row r="262">
      <c r="A262" s="1072"/>
      <c r="B262" s="1072"/>
      <c r="C262" s="1075"/>
      <c r="D262" s="1074"/>
      <c r="E262" s="1074"/>
      <c r="F262" s="1074"/>
      <c r="G262" s="1076"/>
      <c r="H262" s="1074"/>
      <c r="I262" s="1074"/>
      <c r="J262" s="1072"/>
      <c r="K262" s="1075"/>
      <c r="L262" s="1074"/>
      <c r="M262" s="1074"/>
      <c r="N262" s="1074"/>
      <c r="O262" s="1076"/>
      <c r="P262" s="1074"/>
      <c r="Q262" s="1074"/>
      <c r="R262" s="1072"/>
      <c r="S262" s="1073"/>
      <c r="T262" s="1074"/>
      <c r="U262" s="1074"/>
      <c r="V262" s="1074"/>
      <c r="W262" s="1074"/>
      <c r="X262" s="1074"/>
      <c r="Y262" s="1072"/>
      <c r="Z262" s="1073"/>
      <c r="AA262" s="1074"/>
      <c r="AB262" s="1074"/>
      <c r="AC262" s="1074"/>
      <c r="AD262" s="1074"/>
      <c r="AE262" s="1074"/>
      <c r="AF262" s="1072"/>
      <c r="AG262" s="1073"/>
      <c r="AH262" s="1074"/>
      <c r="AI262" s="1074"/>
      <c r="AJ262" s="1074"/>
      <c r="AK262" s="1074"/>
    </row>
    <row r="263">
      <c r="A263" s="1072"/>
      <c r="B263" s="1072"/>
      <c r="C263" s="1075"/>
      <c r="D263" s="1074"/>
      <c r="E263" s="1074"/>
      <c r="F263" s="1074"/>
      <c r="G263" s="1076"/>
      <c r="H263" s="1074"/>
      <c r="I263" s="1074"/>
      <c r="J263" s="1072"/>
      <c r="K263" s="1075"/>
      <c r="L263" s="1074"/>
      <c r="M263" s="1074"/>
      <c r="N263" s="1074"/>
      <c r="O263" s="1076"/>
      <c r="P263" s="1074"/>
      <c r="Q263" s="1074"/>
      <c r="R263" s="1072"/>
      <c r="S263" s="1073"/>
      <c r="T263" s="1074"/>
      <c r="U263" s="1074"/>
      <c r="V263" s="1074"/>
      <c r="W263" s="1074"/>
      <c r="X263" s="1074"/>
      <c r="Y263" s="1072"/>
      <c r="Z263" s="1073"/>
      <c r="AA263" s="1074"/>
      <c r="AB263" s="1074"/>
      <c r="AC263" s="1074"/>
      <c r="AD263" s="1074"/>
      <c r="AE263" s="1074"/>
      <c r="AF263" s="1072"/>
      <c r="AG263" s="1073"/>
      <c r="AH263" s="1074"/>
      <c r="AI263" s="1074"/>
      <c r="AJ263" s="1074"/>
      <c r="AK263" s="1074"/>
    </row>
    <row r="264">
      <c r="A264" s="1072"/>
      <c r="B264" s="1072"/>
      <c r="C264" s="1075"/>
      <c r="D264" s="1074"/>
      <c r="E264" s="1074"/>
      <c r="F264" s="1074"/>
      <c r="G264" s="1076"/>
      <c r="H264" s="1074"/>
      <c r="I264" s="1074"/>
      <c r="J264" s="1072"/>
      <c r="K264" s="1075"/>
      <c r="L264" s="1074"/>
      <c r="M264" s="1074"/>
      <c r="N264" s="1074"/>
      <c r="O264" s="1076"/>
      <c r="P264" s="1074"/>
      <c r="Q264" s="1074"/>
      <c r="R264" s="1072"/>
      <c r="S264" s="1073"/>
      <c r="T264" s="1074"/>
      <c r="U264" s="1074"/>
      <c r="V264" s="1074"/>
      <c r="W264" s="1074"/>
      <c r="X264" s="1074"/>
      <c r="Y264" s="1072"/>
      <c r="Z264" s="1073"/>
      <c r="AA264" s="1074"/>
      <c r="AB264" s="1074"/>
      <c r="AC264" s="1074"/>
      <c r="AD264" s="1074"/>
      <c r="AE264" s="1074"/>
      <c r="AF264" s="1072"/>
      <c r="AG264" s="1073"/>
      <c r="AH264" s="1074"/>
      <c r="AI264" s="1074"/>
      <c r="AJ264" s="1074"/>
      <c r="AK264" s="1074"/>
    </row>
    <row r="265">
      <c r="A265" s="1072"/>
      <c r="B265" s="1072"/>
      <c r="C265" s="1075"/>
      <c r="D265" s="1074"/>
      <c r="E265" s="1074"/>
      <c r="F265" s="1074"/>
      <c r="G265" s="1076"/>
      <c r="H265" s="1074"/>
      <c r="I265" s="1074"/>
      <c r="J265" s="1072"/>
      <c r="K265" s="1075"/>
      <c r="L265" s="1074"/>
      <c r="M265" s="1074"/>
      <c r="N265" s="1074"/>
      <c r="O265" s="1076"/>
      <c r="P265" s="1074"/>
      <c r="Q265" s="1074"/>
      <c r="R265" s="1072"/>
      <c r="S265" s="1073"/>
      <c r="T265" s="1074"/>
      <c r="U265" s="1074"/>
      <c r="V265" s="1074"/>
      <c r="W265" s="1074"/>
      <c r="X265" s="1074"/>
      <c r="Y265" s="1072"/>
      <c r="Z265" s="1073"/>
      <c r="AA265" s="1074"/>
      <c r="AB265" s="1074"/>
      <c r="AC265" s="1074"/>
      <c r="AD265" s="1074"/>
      <c r="AE265" s="1074"/>
      <c r="AF265" s="1072"/>
      <c r="AG265" s="1073"/>
      <c r="AH265" s="1074"/>
      <c r="AI265" s="1074"/>
      <c r="AJ265" s="1074"/>
      <c r="AK265" s="1074"/>
    </row>
    <row r="266">
      <c r="A266" s="1072"/>
      <c r="B266" s="1072"/>
      <c r="C266" s="1075"/>
      <c r="D266" s="1074"/>
      <c r="E266" s="1074"/>
      <c r="F266" s="1074"/>
      <c r="G266" s="1076"/>
      <c r="H266" s="1074"/>
      <c r="I266" s="1074"/>
      <c r="J266" s="1072"/>
      <c r="K266" s="1075"/>
      <c r="L266" s="1074"/>
      <c r="M266" s="1074"/>
      <c r="N266" s="1074"/>
      <c r="O266" s="1076"/>
      <c r="P266" s="1074"/>
      <c r="Q266" s="1074"/>
      <c r="R266" s="1072"/>
      <c r="S266" s="1073"/>
      <c r="T266" s="1074"/>
      <c r="U266" s="1074"/>
      <c r="V266" s="1074"/>
      <c r="W266" s="1074"/>
      <c r="X266" s="1074"/>
      <c r="Y266" s="1072"/>
      <c r="Z266" s="1073"/>
      <c r="AA266" s="1074"/>
      <c r="AB266" s="1074"/>
      <c r="AC266" s="1074"/>
      <c r="AD266" s="1074"/>
      <c r="AE266" s="1074"/>
      <c r="AF266" s="1072"/>
      <c r="AG266" s="1073"/>
      <c r="AH266" s="1074"/>
      <c r="AI266" s="1074"/>
      <c r="AJ266" s="1074"/>
      <c r="AK266" s="1074"/>
    </row>
    <row r="267">
      <c r="A267" s="1072"/>
      <c r="B267" s="1072"/>
      <c r="C267" s="1075"/>
      <c r="D267" s="1074"/>
      <c r="E267" s="1074"/>
      <c r="F267" s="1074"/>
      <c r="G267" s="1076"/>
      <c r="H267" s="1074"/>
      <c r="I267" s="1074"/>
      <c r="J267" s="1072"/>
      <c r="K267" s="1075"/>
      <c r="L267" s="1074"/>
      <c r="M267" s="1074"/>
      <c r="N267" s="1074"/>
      <c r="O267" s="1076"/>
      <c r="P267" s="1074"/>
      <c r="Q267" s="1074"/>
      <c r="R267" s="1072"/>
      <c r="S267" s="1073"/>
      <c r="T267" s="1074"/>
      <c r="U267" s="1074"/>
      <c r="V267" s="1074"/>
      <c r="W267" s="1074"/>
      <c r="X267" s="1074"/>
      <c r="Y267" s="1072"/>
      <c r="Z267" s="1073"/>
      <c r="AA267" s="1074"/>
      <c r="AB267" s="1074"/>
      <c r="AC267" s="1074"/>
      <c r="AD267" s="1074"/>
      <c r="AE267" s="1074"/>
      <c r="AF267" s="1072"/>
      <c r="AG267" s="1073"/>
      <c r="AH267" s="1074"/>
      <c r="AI267" s="1074"/>
      <c r="AJ267" s="1074"/>
      <c r="AK267" s="1074"/>
    </row>
    <row r="268">
      <c r="A268" s="1072"/>
      <c r="B268" s="1072"/>
      <c r="C268" s="1075"/>
      <c r="D268" s="1074"/>
      <c r="E268" s="1074"/>
      <c r="F268" s="1074"/>
      <c r="G268" s="1076"/>
      <c r="H268" s="1074"/>
      <c r="I268" s="1074"/>
      <c r="J268" s="1072"/>
      <c r="K268" s="1075"/>
      <c r="L268" s="1074"/>
      <c r="M268" s="1074"/>
      <c r="N268" s="1074"/>
      <c r="O268" s="1076"/>
      <c r="P268" s="1074"/>
      <c r="Q268" s="1074"/>
      <c r="R268" s="1072"/>
      <c r="S268" s="1073"/>
      <c r="T268" s="1074"/>
      <c r="U268" s="1074"/>
      <c r="V268" s="1074"/>
      <c r="W268" s="1074"/>
      <c r="X268" s="1074"/>
      <c r="Y268" s="1072"/>
      <c r="Z268" s="1073"/>
      <c r="AA268" s="1074"/>
      <c r="AB268" s="1074"/>
      <c r="AC268" s="1074"/>
      <c r="AD268" s="1074"/>
      <c r="AE268" s="1074"/>
      <c r="AF268" s="1072"/>
      <c r="AG268" s="1073"/>
      <c r="AH268" s="1074"/>
      <c r="AI268" s="1074"/>
      <c r="AJ268" s="1074"/>
      <c r="AK268" s="1074"/>
    </row>
    <row r="269">
      <c r="A269" s="1072"/>
      <c r="B269" s="1072"/>
      <c r="C269" s="1075"/>
      <c r="D269" s="1074"/>
      <c r="E269" s="1074"/>
      <c r="F269" s="1074"/>
      <c r="G269" s="1076"/>
      <c r="H269" s="1074"/>
      <c r="I269" s="1074"/>
      <c r="J269" s="1072"/>
      <c r="K269" s="1075"/>
      <c r="L269" s="1074"/>
      <c r="M269" s="1074"/>
      <c r="N269" s="1074"/>
      <c r="O269" s="1076"/>
      <c r="P269" s="1074"/>
      <c r="Q269" s="1074"/>
      <c r="R269" s="1072"/>
      <c r="S269" s="1073"/>
      <c r="T269" s="1074"/>
      <c r="U269" s="1074"/>
      <c r="V269" s="1074"/>
      <c r="W269" s="1074"/>
      <c r="X269" s="1074"/>
      <c r="Y269" s="1072"/>
      <c r="Z269" s="1073"/>
      <c r="AA269" s="1074"/>
      <c r="AB269" s="1074"/>
      <c r="AC269" s="1074"/>
      <c r="AD269" s="1074"/>
      <c r="AE269" s="1074"/>
      <c r="AF269" s="1072"/>
      <c r="AG269" s="1073"/>
      <c r="AH269" s="1074"/>
      <c r="AI269" s="1074"/>
      <c r="AJ269" s="1074"/>
      <c r="AK269" s="1074"/>
    </row>
    <row r="270">
      <c r="A270" s="1072"/>
      <c r="B270" s="1072"/>
      <c r="C270" s="1075"/>
      <c r="D270" s="1074"/>
      <c r="E270" s="1074"/>
      <c r="F270" s="1074"/>
      <c r="G270" s="1076"/>
      <c r="H270" s="1074"/>
      <c r="I270" s="1074"/>
      <c r="J270" s="1072"/>
      <c r="K270" s="1075"/>
      <c r="L270" s="1074"/>
      <c r="M270" s="1074"/>
      <c r="N270" s="1074"/>
      <c r="O270" s="1076"/>
      <c r="P270" s="1074"/>
      <c r="Q270" s="1074"/>
      <c r="R270" s="1072"/>
      <c r="S270" s="1073"/>
      <c r="T270" s="1074"/>
      <c r="U270" s="1074"/>
      <c r="V270" s="1074"/>
      <c r="W270" s="1074"/>
      <c r="X270" s="1074"/>
      <c r="Y270" s="1072"/>
      <c r="Z270" s="1073"/>
      <c r="AA270" s="1074"/>
      <c r="AB270" s="1074"/>
      <c r="AC270" s="1074"/>
      <c r="AD270" s="1074"/>
      <c r="AE270" s="1074"/>
      <c r="AF270" s="1072"/>
      <c r="AG270" s="1073"/>
      <c r="AH270" s="1074"/>
      <c r="AI270" s="1074"/>
      <c r="AJ270" s="1074"/>
      <c r="AK270" s="1074"/>
    </row>
    <row r="271">
      <c r="A271" s="1072"/>
      <c r="B271" s="1072"/>
      <c r="C271" s="1075"/>
      <c r="D271" s="1074"/>
      <c r="E271" s="1074"/>
      <c r="F271" s="1074"/>
      <c r="G271" s="1076"/>
      <c r="H271" s="1074"/>
      <c r="I271" s="1074"/>
      <c r="J271" s="1072"/>
      <c r="K271" s="1075"/>
      <c r="L271" s="1074"/>
      <c r="M271" s="1074"/>
      <c r="N271" s="1074"/>
      <c r="O271" s="1076"/>
      <c r="P271" s="1074"/>
      <c r="Q271" s="1074"/>
      <c r="R271" s="1072"/>
      <c r="S271" s="1073"/>
      <c r="T271" s="1074"/>
      <c r="U271" s="1074"/>
      <c r="V271" s="1074"/>
      <c r="W271" s="1074"/>
      <c r="X271" s="1074"/>
      <c r="Y271" s="1072"/>
      <c r="Z271" s="1073"/>
      <c r="AA271" s="1074"/>
      <c r="AB271" s="1074"/>
      <c r="AC271" s="1074"/>
      <c r="AD271" s="1074"/>
      <c r="AE271" s="1074"/>
      <c r="AF271" s="1072"/>
      <c r="AG271" s="1073"/>
      <c r="AH271" s="1074"/>
      <c r="AI271" s="1074"/>
      <c r="AJ271" s="1074"/>
      <c r="AK271" s="1074"/>
    </row>
    <row r="272">
      <c r="A272" s="1072"/>
      <c r="B272" s="1072"/>
      <c r="C272" s="1075"/>
      <c r="D272" s="1074"/>
      <c r="E272" s="1074"/>
      <c r="F272" s="1074"/>
      <c r="G272" s="1076"/>
      <c r="H272" s="1074"/>
      <c r="I272" s="1074"/>
      <c r="J272" s="1072"/>
      <c r="K272" s="1075"/>
      <c r="L272" s="1074"/>
      <c r="M272" s="1074"/>
      <c r="N272" s="1074"/>
      <c r="O272" s="1076"/>
      <c r="P272" s="1074"/>
      <c r="Q272" s="1074"/>
      <c r="R272" s="1072"/>
      <c r="S272" s="1073"/>
      <c r="T272" s="1074"/>
      <c r="U272" s="1074"/>
      <c r="V272" s="1074"/>
      <c r="W272" s="1074"/>
      <c r="X272" s="1074"/>
      <c r="Y272" s="1072"/>
      <c r="Z272" s="1073"/>
      <c r="AA272" s="1074"/>
      <c r="AB272" s="1074"/>
      <c r="AC272" s="1074"/>
      <c r="AD272" s="1074"/>
      <c r="AE272" s="1074"/>
      <c r="AF272" s="1072"/>
      <c r="AG272" s="1073"/>
      <c r="AH272" s="1074"/>
      <c r="AI272" s="1074"/>
      <c r="AJ272" s="1074"/>
      <c r="AK272" s="1074"/>
    </row>
    <row r="273">
      <c r="A273" s="1072"/>
      <c r="B273" s="1072"/>
      <c r="C273" s="1075"/>
      <c r="D273" s="1074"/>
      <c r="E273" s="1074"/>
      <c r="F273" s="1074"/>
      <c r="G273" s="1076"/>
      <c r="H273" s="1074"/>
      <c r="I273" s="1074"/>
      <c r="J273" s="1072"/>
      <c r="K273" s="1075"/>
      <c r="L273" s="1074"/>
      <c r="M273" s="1074"/>
      <c r="N273" s="1074"/>
      <c r="O273" s="1076"/>
      <c r="P273" s="1074"/>
      <c r="Q273" s="1074"/>
      <c r="R273" s="1072"/>
      <c r="S273" s="1073"/>
      <c r="T273" s="1074"/>
      <c r="U273" s="1074"/>
      <c r="V273" s="1074"/>
      <c r="W273" s="1074"/>
      <c r="X273" s="1074"/>
      <c r="Y273" s="1072"/>
      <c r="Z273" s="1073"/>
      <c r="AA273" s="1074"/>
      <c r="AB273" s="1074"/>
      <c r="AC273" s="1074"/>
      <c r="AD273" s="1074"/>
      <c r="AE273" s="1074"/>
      <c r="AF273" s="1072"/>
      <c r="AG273" s="1073"/>
      <c r="AH273" s="1074"/>
      <c r="AI273" s="1074"/>
      <c r="AJ273" s="1074"/>
      <c r="AK273" s="1074"/>
    </row>
    <row r="274">
      <c r="A274" s="1072"/>
      <c r="B274" s="1072"/>
      <c r="C274" s="1075"/>
      <c r="D274" s="1074"/>
      <c r="E274" s="1074"/>
      <c r="F274" s="1074"/>
      <c r="G274" s="1076"/>
      <c r="H274" s="1074"/>
      <c r="I274" s="1074"/>
      <c r="J274" s="1072"/>
      <c r="K274" s="1075"/>
      <c r="L274" s="1074"/>
      <c r="M274" s="1074"/>
      <c r="N274" s="1074"/>
      <c r="O274" s="1076"/>
      <c r="P274" s="1074"/>
      <c r="Q274" s="1074"/>
      <c r="R274" s="1072"/>
      <c r="S274" s="1073"/>
      <c r="T274" s="1074"/>
      <c r="U274" s="1074"/>
      <c r="V274" s="1074"/>
      <c r="W274" s="1074"/>
      <c r="X274" s="1074"/>
      <c r="Y274" s="1072"/>
      <c r="Z274" s="1073"/>
      <c r="AA274" s="1074"/>
      <c r="AB274" s="1074"/>
      <c r="AC274" s="1074"/>
      <c r="AD274" s="1074"/>
      <c r="AE274" s="1074"/>
      <c r="AF274" s="1072"/>
      <c r="AG274" s="1073"/>
      <c r="AH274" s="1074"/>
      <c r="AI274" s="1074"/>
      <c r="AJ274" s="1074"/>
      <c r="AK274" s="1074"/>
    </row>
    <row r="275">
      <c r="A275" s="1072"/>
      <c r="B275" s="1072"/>
      <c r="C275" s="1075"/>
      <c r="D275" s="1074"/>
      <c r="E275" s="1074"/>
      <c r="F275" s="1074"/>
      <c r="G275" s="1076"/>
      <c r="H275" s="1074"/>
      <c r="I275" s="1074"/>
      <c r="J275" s="1072"/>
      <c r="K275" s="1075"/>
      <c r="L275" s="1074"/>
      <c r="M275" s="1074"/>
      <c r="N275" s="1074"/>
      <c r="O275" s="1076"/>
      <c r="P275" s="1074"/>
      <c r="Q275" s="1074"/>
      <c r="R275" s="1072"/>
      <c r="S275" s="1073"/>
      <c r="T275" s="1074"/>
      <c r="U275" s="1074"/>
      <c r="V275" s="1074"/>
      <c r="W275" s="1074"/>
      <c r="X275" s="1074"/>
      <c r="Y275" s="1072"/>
      <c r="Z275" s="1073"/>
      <c r="AA275" s="1074"/>
      <c r="AB275" s="1074"/>
      <c r="AC275" s="1074"/>
      <c r="AD275" s="1074"/>
      <c r="AE275" s="1074"/>
      <c r="AF275" s="1072"/>
      <c r="AG275" s="1073"/>
      <c r="AH275" s="1074"/>
      <c r="AI275" s="1074"/>
      <c r="AJ275" s="1074"/>
      <c r="AK275" s="1074"/>
    </row>
    <row r="276">
      <c r="A276" s="1072"/>
      <c r="B276" s="1072"/>
      <c r="C276" s="1075"/>
      <c r="D276" s="1074"/>
      <c r="E276" s="1074"/>
      <c r="F276" s="1074"/>
      <c r="G276" s="1076"/>
      <c r="H276" s="1074"/>
      <c r="I276" s="1074"/>
      <c r="J276" s="1072"/>
      <c r="K276" s="1075"/>
      <c r="L276" s="1074"/>
      <c r="M276" s="1074"/>
      <c r="N276" s="1074"/>
      <c r="O276" s="1076"/>
      <c r="P276" s="1074"/>
      <c r="Q276" s="1074"/>
      <c r="R276" s="1072"/>
      <c r="S276" s="1073"/>
      <c r="T276" s="1074"/>
      <c r="U276" s="1074"/>
      <c r="V276" s="1074"/>
      <c r="W276" s="1074"/>
      <c r="X276" s="1074"/>
      <c r="Y276" s="1072"/>
      <c r="Z276" s="1073"/>
      <c r="AA276" s="1074"/>
      <c r="AB276" s="1074"/>
      <c r="AC276" s="1074"/>
      <c r="AD276" s="1074"/>
      <c r="AE276" s="1074"/>
      <c r="AF276" s="1072"/>
      <c r="AG276" s="1073"/>
      <c r="AH276" s="1074"/>
      <c r="AI276" s="1074"/>
      <c r="AJ276" s="1074"/>
      <c r="AK276" s="1074"/>
    </row>
    <row r="277">
      <c r="A277" s="1072"/>
      <c r="B277" s="1072"/>
      <c r="C277" s="1075"/>
      <c r="D277" s="1074"/>
      <c r="E277" s="1074"/>
      <c r="F277" s="1074"/>
      <c r="G277" s="1076"/>
      <c r="H277" s="1074"/>
      <c r="I277" s="1074"/>
      <c r="J277" s="1072"/>
      <c r="K277" s="1075"/>
      <c r="L277" s="1074"/>
      <c r="M277" s="1074"/>
      <c r="N277" s="1074"/>
      <c r="O277" s="1076"/>
      <c r="P277" s="1074"/>
      <c r="Q277" s="1074"/>
      <c r="R277" s="1072"/>
      <c r="S277" s="1073"/>
      <c r="T277" s="1074"/>
      <c r="U277" s="1074"/>
      <c r="V277" s="1074"/>
      <c r="W277" s="1074"/>
      <c r="X277" s="1074"/>
      <c r="Y277" s="1072"/>
      <c r="Z277" s="1073"/>
      <c r="AA277" s="1074"/>
      <c r="AB277" s="1074"/>
      <c r="AC277" s="1074"/>
      <c r="AD277" s="1074"/>
      <c r="AE277" s="1074"/>
      <c r="AF277" s="1072"/>
      <c r="AG277" s="1073"/>
      <c r="AH277" s="1074"/>
      <c r="AI277" s="1074"/>
      <c r="AJ277" s="1074"/>
      <c r="AK277" s="1074"/>
    </row>
    <row r="278">
      <c r="A278" s="1072"/>
      <c r="B278" s="1072"/>
      <c r="C278" s="1075"/>
      <c r="D278" s="1074"/>
      <c r="E278" s="1074"/>
      <c r="F278" s="1074"/>
      <c r="G278" s="1076"/>
      <c r="H278" s="1074"/>
      <c r="I278" s="1074"/>
      <c r="J278" s="1072"/>
      <c r="K278" s="1075"/>
      <c r="L278" s="1074"/>
      <c r="M278" s="1074"/>
      <c r="N278" s="1074"/>
      <c r="O278" s="1076"/>
      <c r="P278" s="1074"/>
      <c r="Q278" s="1074"/>
      <c r="R278" s="1072"/>
      <c r="S278" s="1073"/>
      <c r="T278" s="1074"/>
      <c r="U278" s="1074"/>
      <c r="V278" s="1074"/>
      <c r="W278" s="1074"/>
      <c r="X278" s="1074"/>
      <c r="Y278" s="1072"/>
      <c r="Z278" s="1073"/>
      <c r="AA278" s="1074"/>
      <c r="AB278" s="1074"/>
      <c r="AC278" s="1074"/>
      <c r="AD278" s="1074"/>
      <c r="AE278" s="1074"/>
      <c r="AF278" s="1072"/>
      <c r="AG278" s="1073"/>
      <c r="AH278" s="1074"/>
      <c r="AI278" s="1074"/>
      <c r="AJ278" s="1074"/>
      <c r="AK278" s="1074"/>
    </row>
    <row r="279">
      <c r="A279" s="1072"/>
      <c r="B279" s="1072"/>
      <c r="C279" s="1075"/>
      <c r="D279" s="1074"/>
      <c r="E279" s="1074"/>
      <c r="F279" s="1074"/>
      <c r="G279" s="1076"/>
      <c r="H279" s="1074"/>
      <c r="I279" s="1074"/>
      <c r="J279" s="1072"/>
      <c r="K279" s="1075"/>
      <c r="L279" s="1074"/>
      <c r="M279" s="1074"/>
      <c r="N279" s="1074"/>
      <c r="O279" s="1076"/>
      <c r="P279" s="1074"/>
      <c r="Q279" s="1074"/>
      <c r="R279" s="1072"/>
      <c r="S279" s="1073"/>
      <c r="T279" s="1074"/>
      <c r="U279" s="1074"/>
      <c r="V279" s="1074"/>
      <c r="W279" s="1074"/>
      <c r="X279" s="1074"/>
      <c r="Y279" s="1072"/>
      <c r="Z279" s="1073"/>
      <c r="AA279" s="1074"/>
      <c r="AB279" s="1074"/>
      <c r="AC279" s="1074"/>
      <c r="AD279" s="1074"/>
      <c r="AE279" s="1074"/>
      <c r="AF279" s="1072"/>
      <c r="AG279" s="1073"/>
      <c r="AH279" s="1074"/>
      <c r="AI279" s="1074"/>
      <c r="AJ279" s="1074"/>
      <c r="AK279" s="1074"/>
    </row>
    <row r="280">
      <c r="A280" s="1072"/>
      <c r="B280" s="1072"/>
      <c r="C280" s="1075"/>
      <c r="D280" s="1074"/>
      <c r="E280" s="1074"/>
      <c r="F280" s="1074"/>
      <c r="G280" s="1076"/>
      <c r="H280" s="1074"/>
      <c r="I280" s="1074"/>
      <c r="J280" s="1072"/>
      <c r="K280" s="1075"/>
      <c r="L280" s="1074"/>
      <c r="M280" s="1074"/>
      <c r="N280" s="1074"/>
      <c r="O280" s="1076"/>
      <c r="P280" s="1074"/>
      <c r="Q280" s="1074"/>
      <c r="R280" s="1072"/>
      <c r="S280" s="1073"/>
      <c r="T280" s="1074"/>
      <c r="U280" s="1074"/>
      <c r="V280" s="1074"/>
      <c r="W280" s="1074"/>
      <c r="X280" s="1074"/>
      <c r="Y280" s="1072"/>
      <c r="Z280" s="1073"/>
      <c r="AA280" s="1074"/>
      <c r="AB280" s="1074"/>
      <c r="AC280" s="1074"/>
      <c r="AD280" s="1074"/>
      <c r="AE280" s="1074"/>
      <c r="AF280" s="1072"/>
      <c r="AG280" s="1073"/>
      <c r="AH280" s="1074"/>
      <c r="AI280" s="1074"/>
      <c r="AJ280" s="1074"/>
      <c r="AK280" s="1074"/>
    </row>
    <row r="281">
      <c r="A281" s="1072"/>
      <c r="B281" s="1072"/>
      <c r="C281" s="1075"/>
      <c r="D281" s="1074"/>
      <c r="E281" s="1074"/>
      <c r="F281" s="1074"/>
      <c r="G281" s="1076"/>
      <c r="H281" s="1074"/>
      <c r="I281" s="1074"/>
      <c r="J281" s="1072"/>
      <c r="K281" s="1075"/>
      <c r="L281" s="1074"/>
      <c r="M281" s="1074"/>
      <c r="N281" s="1074"/>
      <c r="O281" s="1076"/>
      <c r="P281" s="1074"/>
      <c r="Q281" s="1074"/>
      <c r="R281" s="1072"/>
      <c r="S281" s="1073"/>
      <c r="T281" s="1074"/>
      <c r="U281" s="1074"/>
      <c r="V281" s="1074"/>
      <c r="W281" s="1074"/>
      <c r="X281" s="1074"/>
      <c r="Y281" s="1072"/>
      <c r="Z281" s="1073"/>
      <c r="AA281" s="1074"/>
      <c r="AB281" s="1074"/>
      <c r="AC281" s="1074"/>
      <c r="AD281" s="1074"/>
      <c r="AE281" s="1074"/>
      <c r="AF281" s="1072"/>
      <c r="AG281" s="1073"/>
      <c r="AH281" s="1074"/>
      <c r="AI281" s="1074"/>
      <c r="AJ281" s="1074"/>
      <c r="AK281" s="1074"/>
    </row>
    <row r="282">
      <c r="A282" s="1072"/>
      <c r="B282" s="1072"/>
      <c r="C282" s="1075"/>
      <c r="D282" s="1074"/>
      <c r="E282" s="1074"/>
      <c r="F282" s="1074"/>
      <c r="G282" s="1076"/>
      <c r="H282" s="1074"/>
      <c r="I282" s="1074"/>
      <c r="J282" s="1072"/>
      <c r="K282" s="1075"/>
      <c r="L282" s="1074"/>
      <c r="M282" s="1074"/>
      <c r="N282" s="1074"/>
      <c r="O282" s="1076"/>
      <c r="P282" s="1074"/>
      <c r="Q282" s="1074"/>
      <c r="R282" s="1072"/>
      <c r="S282" s="1073"/>
      <c r="T282" s="1074"/>
      <c r="U282" s="1074"/>
      <c r="V282" s="1074"/>
      <c r="W282" s="1074"/>
      <c r="X282" s="1074"/>
      <c r="Y282" s="1072"/>
      <c r="Z282" s="1073"/>
      <c r="AA282" s="1074"/>
      <c r="AB282" s="1074"/>
      <c r="AC282" s="1074"/>
      <c r="AD282" s="1074"/>
      <c r="AE282" s="1074"/>
      <c r="AF282" s="1072"/>
      <c r="AG282" s="1073"/>
      <c r="AH282" s="1074"/>
      <c r="AI282" s="1074"/>
      <c r="AJ282" s="1074"/>
      <c r="AK282" s="1074"/>
    </row>
    <row r="283">
      <c r="A283" s="1072"/>
      <c r="B283" s="1072"/>
      <c r="C283" s="1075"/>
      <c r="D283" s="1074"/>
      <c r="E283" s="1074"/>
      <c r="F283" s="1074"/>
      <c r="G283" s="1076"/>
      <c r="H283" s="1074"/>
      <c r="I283" s="1074"/>
      <c r="J283" s="1072"/>
      <c r="K283" s="1075"/>
      <c r="L283" s="1074"/>
      <c r="M283" s="1074"/>
      <c r="N283" s="1074"/>
      <c r="O283" s="1076"/>
      <c r="P283" s="1074"/>
      <c r="Q283" s="1074"/>
      <c r="R283" s="1072"/>
      <c r="S283" s="1073"/>
      <c r="T283" s="1074"/>
      <c r="U283" s="1074"/>
      <c r="V283" s="1074"/>
      <c r="W283" s="1074"/>
      <c r="X283" s="1074"/>
      <c r="Y283" s="1072"/>
      <c r="Z283" s="1073"/>
      <c r="AA283" s="1074"/>
      <c r="AB283" s="1074"/>
      <c r="AC283" s="1074"/>
      <c r="AD283" s="1074"/>
      <c r="AE283" s="1074"/>
      <c r="AF283" s="1072"/>
      <c r="AG283" s="1073"/>
      <c r="AH283" s="1074"/>
      <c r="AI283" s="1074"/>
      <c r="AJ283" s="1074"/>
      <c r="AK283" s="1074"/>
    </row>
    <row r="284">
      <c r="A284" s="1072"/>
      <c r="B284" s="1072"/>
      <c r="C284" s="1075"/>
      <c r="D284" s="1074"/>
      <c r="E284" s="1074"/>
      <c r="F284" s="1074"/>
      <c r="G284" s="1076"/>
      <c r="H284" s="1074"/>
      <c r="I284" s="1074"/>
      <c r="J284" s="1072"/>
      <c r="K284" s="1075"/>
      <c r="L284" s="1074"/>
      <c r="M284" s="1074"/>
      <c r="N284" s="1074"/>
      <c r="O284" s="1076"/>
      <c r="P284" s="1074"/>
      <c r="Q284" s="1074"/>
      <c r="R284" s="1072"/>
      <c r="S284" s="1073"/>
      <c r="T284" s="1074"/>
      <c r="U284" s="1074"/>
      <c r="V284" s="1074"/>
      <c r="W284" s="1074"/>
      <c r="X284" s="1074"/>
      <c r="Y284" s="1072"/>
      <c r="Z284" s="1073"/>
      <c r="AA284" s="1074"/>
      <c r="AB284" s="1074"/>
      <c r="AC284" s="1074"/>
      <c r="AD284" s="1074"/>
      <c r="AE284" s="1074"/>
      <c r="AF284" s="1072"/>
      <c r="AG284" s="1073"/>
      <c r="AH284" s="1074"/>
      <c r="AI284" s="1074"/>
      <c r="AJ284" s="1074"/>
      <c r="AK284" s="1074"/>
    </row>
    <row r="285">
      <c r="A285" s="1072"/>
      <c r="B285" s="1072"/>
      <c r="C285" s="1075"/>
      <c r="D285" s="1074"/>
      <c r="E285" s="1074"/>
      <c r="F285" s="1074"/>
      <c r="G285" s="1076"/>
      <c r="H285" s="1074"/>
      <c r="I285" s="1074"/>
      <c r="J285" s="1072"/>
      <c r="K285" s="1075"/>
      <c r="L285" s="1074"/>
      <c r="M285" s="1074"/>
      <c r="N285" s="1074"/>
      <c r="O285" s="1076"/>
      <c r="P285" s="1074"/>
      <c r="Q285" s="1074"/>
      <c r="R285" s="1072"/>
      <c r="S285" s="1073"/>
      <c r="T285" s="1074"/>
      <c r="U285" s="1074"/>
      <c r="V285" s="1074"/>
      <c r="W285" s="1074"/>
      <c r="X285" s="1074"/>
      <c r="Y285" s="1072"/>
      <c r="Z285" s="1073"/>
      <c r="AA285" s="1074"/>
      <c r="AB285" s="1074"/>
      <c r="AC285" s="1074"/>
      <c r="AD285" s="1074"/>
      <c r="AE285" s="1074"/>
      <c r="AF285" s="1072"/>
      <c r="AG285" s="1073"/>
      <c r="AH285" s="1074"/>
      <c r="AI285" s="1074"/>
      <c r="AJ285" s="1074"/>
      <c r="AK285" s="1074"/>
    </row>
    <row r="286">
      <c r="A286" s="1072"/>
      <c r="B286" s="1072"/>
      <c r="C286" s="1075"/>
      <c r="D286" s="1074"/>
      <c r="E286" s="1074"/>
      <c r="F286" s="1074"/>
      <c r="G286" s="1076"/>
      <c r="H286" s="1074"/>
      <c r="I286" s="1074"/>
      <c r="J286" s="1072"/>
      <c r="K286" s="1075"/>
      <c r="L286" s="1074"/>
      <c r="M286" s="1074"/>
      <c r="N286" s="1074"/>
      <c r="O286" s="1076"/>
      <c r="P286" s="1074"/>
      <c r="Q286" s="1074"/>
      <c r="R286" s="1072"/>
      <c r="S286" s="1073"/>
      <c r="T286" s="1074"/>
      <c r="U286" s="1074"/>
      <c r="V286" s="1074"/>
      <c r="W286" s="1074"/>
      <c r="X286" s="1074"/>
      <c r="Y286" s="1072"/>
      <c r="Z286" s="1073"/>
      <c r="AA286" s="1074"/>
      <c r="AB286" s="1074"/>
      <c r="AC286" s="1074"/>
      <c r="AD286" s="1074"/>
      <c r="AE286" s="1074"/>
      <c r="AF286" s="1072"/>
      <c r="AG286" s="1073"/>
      <c r="AH286" s="1074"/>
      <c r="AI286" s="1074"/>
      <c r="AJ286" s="1074"/>
      <c r="AK286" s="1074"/>
    </row>
    <row r="287">
      <c r="A287" s="1072"/>
      <c r="B287" s="1072"/>
      <c r="C287" s="1075"/>
      <c r="D287" s="1074"/>
      <c r="E287" s="1074"/>
      <c r="F287" s="1074"/>
      <c r="G287" s="1076"/>
      <c r="H287" s="1074"/>
      <c r="I287" s="1074"/>
      <c r="J287" s="1072"/>
      <c r="K287" s="1075"/>
      <c r="L287" s="1074"/>
      <c r="M287" s="1074"/>
      <c r="N287" s="1074"/>
      <c r="O287" s="1076"/>
      <c r="P287" s="1074"/>
      <c r="Q287" s="1074"/>
      <c r="R287" s="1072"/>
      <c r="S287" s="1073"/>
      <c r="T287" s="1074"/>
      <c r="U287" s="1074"/>
      <c r="V287" s="1074"/>
      <c r="W287" s="1074"/>
      <c r="X287" s="1074"/>
      <c r="Y287" s="1072"/>
      <c r="Z287" s="1073"/>
      <c r="AA287" s="1074"/>
      <c r="AB287" s="1074"/>
      <c r="AC287" s="1074"/>
      <c r="AD287" s="1074"/>
      <c r="AE287" s="1074"/>
      <c r="AF287" s="1072"/>
      <c r="AG287" s="1073"/>
      <c r="AH287" s="1074"/>
      <c r="AI287" s="1074"/>
      <c r="AJ287" s="1074"/>
      <c r="AK287" s="1074"/>
    </row>
    <row r="288">
      <c r="A288" s="1072"/>
      <c r="B288" s="1072"/>
      <c r="C288" s="1075"/>
      <c r="D288" s="1074"/>
      <c r="E288" s="1074"/>
      <c r="F288" s="1074"/>
      <c r="G288" s="1076"/>
      <c r="H288" s="1074"/>
      <c r="I288" s="1074"/>
      <c r="J288" s="1072"/>
      <c r="K288" s="1075"/>
      <c r="L288" s="1074"/>
      <c r="M288" s="1074"/>
      <c r="N288" s="1074"/>
      <c r="O288" s="1076"/>
      <c r="P288" s="1074"/>
      <c r="Q288" s="1074"/>
      <c r="R288" s="1072"/>
      <c r="S288" s="1073"/>
      <c r="T288" s="1074"/>
      <c r="U288" s="1074"/>
      <c r="V288" s="1074"/>
      <c r="W288" s="1074"/>
      <c r="X288" s="1074"/>
      <c r="Y288" s="1072"/>
      <c r="Z288" s="1073"/>
      <c r="AA288" s="1074"/>
      <c r="AB288" s="1074"/>
      <c r="AC288" s="1074"/>
      <c r="AD288" s="1074"/>
      <c r="AE288" s="1074"/>
      <c r="AF288" s="1072"/>
      <c r="AG288" s="1073"/>
      <c r="AH288" s="1074"/>
      <c r="AI288" s="1074"/>
      <c r="AJ288" s="1074"/>
      <c r="AK288" s="1074"/>
    </row>
    <row r="289">
      <c r="A289" s="1072"/>
      <c r="B289" s="1072"/>
      <c r="C289" s="1075"/>
      <c r="D289" s="1074"/>
      <c r="E289" s="1074"/>
      <c r="F289" s="1074"/>
      <c r="G289" s="1076"/>
      <c r="H289" s="1074"/>
      <c r="I289" s="1074"/>
      <c r="J289" s="1072"/>
      <c r="K289" s="1075"/>
      <c r="L289" s="1074"/>
      <c r="M289" s="1074"/>
      <c r="N289" s="1074"/>
      <c r="O289" s="1076"/>
      <c r="P289" s="1074"/>
      <c r="Q289" s="1074"/>
      <c r="R289" s="1072"/>
      <c r="S289" s="1073"/>
      <c r="T289" s="1074"/>
      <c r="U289" s="1074"/>
      <c r="V289" s="1074"/>
      <c r="W289" s="1074"/>
      <c r="X289" s="1074"/>
      <c r="Y289" s="1072"/>
      <c r="Z289" s="1073"/>
      <c r="AA289" s="1074"/>
      <c r="AB289" s="1074"/>
      <c r="AC289" s="1074"/>
      <c r="AD289" s="1074"/>
      <c r="AE289" s="1074"/>
      <c r="AF289" s="1072"/>
      <c r="AG289" s="1073"/>
      <c r="AH289" s="1074"/>
      <c r="AI289" s="1074"/>
      <c r="AJ289" s="1074"/>
      <c r="AK289" s="1074"/>
    </row>
    <row r="290">
      <c r="A290" s="1072"/>
      <c r="B290" s="1072"/>
      <c r="C290" s="1075"/>
      <c r="D290" s="1074"/>
      <c r="E290" s="1074"/>
      <c r="F290" s="1074"/>
      <c r="G290" s="1076"/>
      <c r="H290" s="1074"/>
      <c r="I290" s="1074"/>
      <c r="J290" s="1072"/>
      <c r="K290" s="1075"/>
      <c r="L290" s="1074"/>
      <c r="M290" s="1074"/>
      <c r="N290" s="1074"/>
      <c r="O290" s="1076"/>
      <c r="P290" s="1074"/>
      <c r="Q290" s="1074"/>
      <c r="R290" s="1072"/>
      <c r="S290" s="1073"/>
      <c r="T290" s="1074"/>
      <c r="U290" s="1074"/>
      <c r="V290" s="1074"/>
      <c r="W290" s="1074"/>
      <c r="X290" s="1074"/>
      <c r="Y290" s="1072"/>
      <c r="Z290" s="1073"/>
      <c r="AA290" s="1074"/>
      <c r="AB290" s="1074"/>
      <c r="AC290" s="1074"/>
      <c r="AD290" s="1074"/>
      <c r="AE290" s="1074"/>
      <c r="AF290" s="1072"/>
      <c r="AG290" s="1073"/>
      <c r="AH290" s="1074"/>
      <c r="AI290" s="1074"/>
      <c r="AJ290" s="1074"/>
      <c r="AK290" s="1074"/>
    </row>
    <row r="291">
      <c r="A291" s="1072"/>
      <c r="B291" s="1072"/>
      <c r="C291" s="1075"/>
      <c r="D291" s="1074"/>
      <c r="E291" s="1074"/>
      <c r="F291" s="1074"/>
      <c r="G291" s="1076"/>
      <c r="H291" s="1074"/>
      <c r="I291" s="1074"/>
      <c r="J291" s="1072"/>
      <c r="K291" s="1075"/>
      <c r="L291" s="1074"/>
      <c r="M291" s="1074"/>
      <c r="N291" s="1074"/>
      <c r="O291" s="1076"/>
      <c r="P291" s="1074"/>
      <c r="Q291" s="1074"/>
      <c r="R291" s="1072"/>
      <c r="S291" s="1073"/>
      <c r="T291" s="1074"/>
      <c r="U291" s="1074"/>
      <c r="V291" s="1074"/>
      <c r="W291" s="1074"/>
      <c r="X291" s="1074"/>
      <c r="Y291" s="1072"/>
      <c r="Z291" s="1073"/>
      <c r="AA291" s="1074"/>
      <c r="AB291" s="1074"/>
      <c r="AC291" s="1074"/>
      <c r="AD291" s="1074"/>
      <c r="AE291" s="1074"/>
      <c r="AF291" s="1072"/>
      <c r="AG291" s="1073"/>
      <c r="AH291" s="1074"/>
      <c r="AI291" s="1074"/>
      <c r="AJ291" s="1074"/>
      <c r="AK291" s="1074"/>
    </row>
    <row r="292">
      <c r="A292" s="1072"/>
      <c r="B292" s="1072"/>
      <c r="C292" s="1075"/>
      <c r="D292" s="1074"/>
      <c r="E292" s="1074"/>
      <c r="F292" s="1074"/>
      <c r="G292" s="1076"/>
      <c r="H292" s="1074"/>
      <c r="I292" s="1074"/>
      <c r="J292" s="1072"/>
      <c r="K292" s="1075"/>
      <c r="L292" s="1074"/>
      <c r="M292" s="1074"/>
      <c r="N292" s="1074"/>
      <c r="O292" s="1076"/>
      <c r="P292" s="1074"/>
      <c r="Q292" s="1074"/>
      <c r="R292" s="1072"/>
      <c r="S292" s="1073"/>
      <c r="T292" s="1074"/>
      <c r="U292" s="1074"/>
      <c r="V292" s="1074"/>
      <c r="W292" s="1074"/>
      <c r="X292" s="1074"/>
      <c r="Y292" s="1072"/>
      <c r="Z292" s="1073"/>
      <c r="AA292" s="1074"/>
      <c r="AB292" s="1074"/>
      <c r="AC292" s="1074"/>
      <c r="AD292" s="1074"/>
      <c r="AE292" s="1074"/>
      <c r="AF292" s="1072"/>
      <c r="AG292" s="1073"/>
      <c r="AH292" s="1074"/>
      <c r="AI292" s="1074"/>
      <c r="AJ292" s="1074"/>
      <c r="AK292" s="1074"/>
    </row>
    <row r="293">
      <c r="A293" s="1072"/>
      <c r="B293" s="1072"/>
      <c r="C293" s="1075"/>
      <c r="D293" s="1074"/>
      <c r="E293" s="1074"/>
      <c r="F293" s="1074"/>
      <c r="G293" s="1076"/>
      <c r="H293" s="1074"/>
      <c r="I293" s="1074"/>
      <c r="J293" s="1072"/>
      <c r="K293" s="1075"/>
      <c r="L293" s="1074"/>
      <c r="M293" s="1074"/>
      <c r="N293" s="1074"/>
      <c r="O293" s="1076"/>
      <c r="P293" s="1074"/>
      <c r="Q293" s="1074"/>
      <c r="R293" s="1072"/>
      <c r="S293" s="1073"/>
      <c r="T293" s="1074"/>
      <c r="U293" s="1074"/>
      <c r="V293" s="1074"/>
      <c r="W293" s="1074"/>
      <c r="X293" s="1074"/>
      <c r="Y293" s="1072"/>
      <c r="Z293" s="1073"/>
      <c r="AA293" s="1074"/>
      <c r="AB293" s="1074"/>
      <c r="AC293" s="1074"/>
      <c r="AD293" s="1074"/>
      <c r="AE293" s="1074"/>
      <c r="AF293" s="1072"/>
      <c r="AG293" s="1073"/>
      <c r="AH293" s="1074"/>
      <c r="AI293" s="1074"/>
      <c r="AJ293" s="1074"/>
      <c r="AK293" s="1074"/>
    </row>
    <row r="294">
      <c r="A294" s="1072"/>
      <c r="B294" s="1072"/>
      <c r="C294" s="1075"/>
      <c r="D294" s="1074"/>
      <c r="E294" s="1074"/>
      <c r="F294" s="1074"/>
      <c r="G294" s="1076"/>
      <c r="H294" s="1074"/>
      <c r="I294" s="1074"/>
      <c r="J294" s="1072"/>
      <c r="K294" s="1075"/>
      <c r="L294" s="1074"/>
      <c r="M294" s="1074"/>
      <c r="N294" s="1074"/>
      <c r="O294" s="1076"/>
      <c r="P294" s="1074"/>
      <c r="Q294" s="1074"/>
      <c r="R294" s="1072"/>
      <c r="S294" s="1073"/>
      <c r="T294" s="1074"/>
      <c r="U294" s="1074"/>
      <c r="V294" s="1074"/>
      <c r="W294" s="1074"/>
      <c r="X294" s="1074"/>
      <c r="Y294" s="1072"/>
      <c r="Z294" s="1073"/>
      <c r="AA294" s="1074"/>
      <c r="AB294" s="1074"/>
      <c r="AC294" s="1074"/>
      <c r="AD294" s="1074"/>
      <c r="AE294" s="1074"/>
      <c r="AF294" s="1072"/>
      <c r="AG294" s="1073"/>
      <c r="AH294" s="1074"/>
      <c r="AI294" s="1074"/>
      <c r="AJ294" s="1074"/>
      <c r="AK294" s="1074"/>
    </row>
    <row r="295">
      <c r="A295" s="1072"/>
      <c r="B295" s="1072"/>
      <c r="C295" s="1075"/>
      <c r="D295" s="1074"/>
      <c r="E295" s="1074"/>
      <c r="F295" s="1074"/>
      <c r="G295" s="1076"/>
      <c r="H295" s="1074"/>
      <c r="I295" s="1074"/>
      <c r="J295" s="1072"/>
      <c r="K295" s="1075"/>
      <c r="L295" s="1074"/>
      <c r="M295" s="1074"/>
      <c r="N295" s="1074"/>
      <c r="O295" s="1076"/>
      <c r="P295" s="1074"/>
      <c r="Q295" s="1074"/>
      <c r="R295" s="1072"/>
      <c r="S295" s="1073"/>
      <c r="T295" s="1074"/>
      <c r="U295" s="1074"/>
      <c r="V295" s="1074"/>
      <c r="W295" s="1074"/>
      <c r="X295" s="1074"/>
      <c r="Y295" s="1072"/>
      <c r="Z295" s="1073"/>
      <c r="AA295" s="1074"/>
      <c r="AB295" s="1074"/>
      <c r="AC295" s="1074"/>
      <c r="AD295" s="1074"/>
      <c r="AE295" s="1074"/>
      <c r="AF295" s="1072"/>
      <c r="AG295" s="1073"/>
      <c r="AH295" s="1074"/>
      <c r="AI295" s="1074"/>
      <c r="AJ295" s="1074"/>
      <c r="AK295" s="1074"/>
    </row>
    <row r="296">
      <c r="A296" s="1072"/>
      <c r="B296" s="1072"/>
      <c r="C296" s="1075"/>
      <c r="D296" s="1074"/>
      <c r="E296" s="1074"/>
      <c r="F296" s="1074"/>
      <c r="G296" s="1076"/>
      <c r="H296" s="1074"/>
      <c r="I296" s="1074"/>
      <c r="J296" s="1072"/>
      <c r="K296" s="1075"/>
      <c r="L296" s="1074"/>
      <c r="M296" s="1074"/>
      <c r="N296" s="1074"/>
      <c r="O296" s="1076"/>
      <c r="P296" s="1074"/>
      <c r="Q296" s="1074"/>
      <c r="R296" s="1072"/>
      <c r="S296" s="1073"/>
      <c r="T296" s="1074"/>
      <c r="U296" s="1074"/>
      <c r="V296" s="1074"/>
      <c r="W296" s="1074"/>
      <c r="X296" s="1074"/>
      <c r="Y296" s="1072"/>
      <c r="Z296" s="1073"/>
      <c r="AA296" s="1074"/>
      <c r="AB296" s="1074"/>
      <c r="AC296" s="1074"/>
      <c r="AD296" s="1074"/>
      <c r="AE296" s="1074"/>
      <c r="AF296" s="1072"/>
      <c r="AG296" s="1073"/>
      <c r="AH296" s="1074"/>
      <c r="AI296" s="1074"/>
      <c r="AJ296" s="1074"/>
      <c r="AK296" s="1074"/>
    </row>
    <row r="297">
      <c r="A297" s="1072"/>
      <c r="B297" s="1072"/>
      <c r="C297" s="1075"/>
      <c r="D297" s="1074"/>
      <c r="E297" s="1074"/>
      <c r="F297" s="1074"/>
      <c r="G297" s="1076"/>
      <c r="H297" s="1074"/>
      <c r="I297" s="1074"/>
      <c r="J297" s="1072"/>
      <c r="K297" s="1075"/>
      <c r="L297" s="1074"/>
      <c r="M297" s="1074"/>
      <c r="N297" s="1074"/>
      <c r="O297" s="1076"/>
      <c r="P297" s="1074"/>
      <c r="Q297" s="1074"/>
      <c r="R297" s="1072"/>
      <c r="S297" s="1073"/>
      <c r="T297" s="1074"/>
      <c r="U297" s="1074"/>
      <c r="V297" s="1074"/>
      <c r="W297" s="1074"/>
      <c r="X297" s="1074"/>
      <c r="Y297" s="1072"/>
      <c r="Z297" s="1073"/>
      <c r="AA297" s="1074"/>
      <c r="AB297" s="1074"/>
      <c r="AC297" s="1074"/>
      <c r="AD297" s="1074"/>
      <c r="AE297" s="1074"/>
      <c r="AF297" s="1072"/>
      <c r="AG297" s="1073"/>
      <c r="AH297" s="1074"/>
      <c r="AI297" s="1074"/>
      <c r="AJ297" s="1074"/>
      <c r="AK297" s="1074"/>
    </row>
    <row r="298">
      <c r="A298" s="1072"/>
      <c r="B298" s="1072"/>
      <c r="C298" s="1075"/>
      <c r="D298" s="1074"/>
      <c r="E298" s="1074"/>
      <c r="F298" s="1074"/>
      <c r="G298" s="1076"/>
      <c r="H298" s="1074"/>
      <c r="I298" s="1074"/>
      <c r="J298" s="1072"/>
      <c r="K298" s="1075"/>
      <c r="L298" s="1074"/>
      <c r="M298" s="1074"/>
      <c r="N298" s="1074"/>
      <c r="O298" s="1076"/>
      <c r="P298" s="1074"/>
      <c r="Q298" s="1074"/>
      <c r="R298" s="1072"/>
      <c r="S298" s="1073"/>
      <c r="T298" s="1074"/>
      <c r="U298" s="1074"/>
      <c r="V298" s="1074"/>
      <c r="W298" s="1074"/>
      <c r="X298" s="1074"/>
      <c r="Y298" s="1072"/>
      <c r="Z298" s="1073"/>
      <c r="AA298" s="1074"/>
      <c r="AB298" s="1074"/>
      <c r="AC298" s="1074"/>
      <c r="AD298" s="1074"/>
      <c r="AE298" s="1074"/>
      <c r="AF298" s="1072"/>
      <c r="AG298" s="1073"/>
      <c r="AH298" s="1074"/>
      <c r="AI298" s="1074"/>
      <c r="AJ298" s="1074"/>
      <c r="AK298" s="1074"/>
    </row>
    <row r="299">
      <c r="A299" s="1072"/>
      <c r="B299" s="1072"/>
      <c r="C299" s="1075"/>
      <c r="D299" s="1074"/>
      <c r="E299" s="1074"/>
      <c r="F299" s="1074"/>
      <c r="G299" s="1076"/>
      <c r="H299" s="1074"/>
      <c r="I299" s="1074"/>
      <c r="J299" s="1072"/>
      <c r="K299" s="1075"/>
      <c r="L299" s="1074"/>
      <c r="M299" s="1074"/>
      <c r="N299" s="1074"/>
      <c r="O299" s="1076"/>
      <c r="P299" s="1074"/>
      <c r="Q299" s="1074"/>
      <c r="R299" s="1072"/>
      <c r="S299" s="1073"/>
      <c r="T299" s="1074"/>
      <c r="U299" s="1074"/>
      <c r="V299" s="1074"/>
      <c r="W299" s="1074"/>
      <c r="X299" s="1074"/>
      <c r="Y299" s="1072"/>
      <c r="Z299" s="1073"/>
      <c r="AA299" s="1074"/>
      <c r="AB299" s="1074"/>
      <c r="AC299" s="1074"/>
      <c r="AD299" s="1074"/>
      <c r="AE299" s="1074"/>
      <c r="AF299" s="1072"/>
      <c r="AG299" s="1073"/>
      <c r="AH299" s="1074"/>
      <c r="AI299" s="1074"/>
      <c r="AJ299" s="1074"/>
      <c r="AK299" s="1074"/>
    </row>
    <row r="300">
      <c r="A300" s="1072"/>
      <c r="B300" s="1072"/>
      <c r="C300" s="1075"/>
      <c r="D300" s="1074"/>
      <c r="E300" s="1074"/>
      <c r="F300" s="1074"/>
      <c r="G300" s="1076"/>
      <c r="H300" s="1074"/>
      <c r="I300" s="1074"/>
      <c r="J300" s="1072"/>
      <c r="K300" s="1075"/>
      <c r="L300" s="1074"/>
      <c r="M300" s="1074"/>
      <c r="N300" s="1074"/>
      <c r="O300" s="1076"/>
      <c r="P300" s="1074"/>
      <c r="Q300" s="1074"/>
      <c r="R300" s="1072"/>
      <c r="S300" s="1073"/>
      <c r="T300" s="1074"/>
      <c r="U300" s="1074"/>
      <c r="V300" s="1074"/>
      <c r="W300" s="1074"/>
      <c r="X300" s="1074"/>
      <c r="Y300" s="1072"/>
      <c r="Z300" s="1073"/>
      <c r="AA300" s="1074"/>
      <c r="AB300" s="1074"/>
      <c r="AC300" s="1074"/>
      <c r="AD300" s="1074"/>
      <c r="AE300" s="1074"/>
      <c r="AF300" s="1072"/>
      <c r="AG300" s="1073"/>
      <c r="AH300" s="1074"/>
      <c r="AI300" s="1074"/>
      <c r="AJ300" s="1074"/>
      <c r="AK300" s="1074"/>
    </row>
    <row r="301">
      <c r="A301" s="1072"/>
      <c r="B301" s="1072"/>
      <c r="C301" s="1075"/>
      <c r="D301" s="1074"/>
      <c r="E301" s="1074"/>
      <c r="F301" s="1074"/>
      <c r="G301" s="1076"/>
      <c r="H301" s="1074"/>
      <c r="I301" s="1074"/>
      <c r="J301" s="1072"/>
      <c r="K301" s="1075"/>
      <c r="L301" s="1074"/>
      <c r="M301" s="1074"/>
      <c r="N301" s="1074"/>
      <c r="O301" s="1076"/>
      <c r="P301" s="1074"/>
      <c r="Q301" s="1074"/>
      <c r="R301" s="1072"/>
      <c r="S301" s="1073"/>
      <c r="T301" s="1074"/>
      <c r="U301" s="1074"/>
      <c r="V301" s="1074"/>
      <c r="W301" s="1074"/>
      <c r="X301" s="1074"/>
      <c r="Y301" s="1072"/>
      <c r="Z301" s="1073"/>
      <c r="AA301" s="1074"/>
      <c r="AB301" s="1074"/>
      <c r="AC301" s="1074"/>
      <c r="AD301" s="1074"/>
      <c r="AE301" s="1074"/>
      <c r="AF301" s="1072"/>
      <c r="AG301" s="1073"/>
      <c r="AH301" s="1074"/>
      <c r="AI301" s="1074"/>
      <c r="AJ301" s="1074"/>
      <c r="AK301" s="1074"/>
    </row>
    <row r="302">
      <c r="A302" s="1072"/>
      <c r="B302" s="1072"/>
      <c r="C302" s="1075"/>
      <c r="D302" s="1074"/>
      <c r="E302" s="1074"/>
      <c r="F302" s="1074"/>
      <c r="G302" s="1076"/>
      <c r="H302" s="1074"/>
      <c r="I302" s="1074"/>
      <c r="J302" s="1072"/>
      <c r="K302" s="1075"/>
      <c r="L302" s="1074"/>
      <c r="M302" s="1074"/>
      <c r="N302" s="1074"/>
      <c r="O302" s="1076"/>
      <c r="P302" s="1074"/>
      <c r="Q302" s="1074"/>
      <c r="R302" s="1072"/>
      <c r="S302" s="1073"/>
      <c r="T302" s="1074"/>
      <c r="U302" s="1074"/>
      <c r="V302" s="1074"/>
      <c r="W302" s="1074"/>
      <c r="X302" s="1074"/>
      <c r="Y302" s="1072"/>
      <c r="Z302" s="1073"/>
      <c r="AA302" s="1074"/>
      <c r="AB302" s="1074"/>
      <c r="AC302" s="1074"/>
      <c r="AD302" s="1074"/>
      <c r="AE302" s="1074"/>
      <c r="AF302" s="1072"/>
      <c r="AG302" s="1073"/>
      <c r="AH302" s="1074"/>
      <c r="AI302" s="1074"/>
      <c r="AJ302" s="1074"/>
      <c r="AK302" s="1074"/>
    </row>
    <row r="303">
      <c r="A303" s="1072"/>
      <c r="B303" s="1072"/>
      <c r="C303" s="1075"/>
      <c r="D303" s="1074"/>
      <c r="E303" s="1074"/>
      <c r="F303" s="1074"/>
      <c r="G303" s="1076"/>
      <c r="H303" s="1074"/>
      <c r="I303" s="1074"/>
      <c r="J303" s="1072"/>
      <c r="K303" s="1075"/>
      <c r="L303" s="1074"/>
      <c r="M303" s="1074"/>
      <c r="N303" s="1074"/>
      <c r="O303" s="1076"/>
      <c r="P303" s="1074"/>
      <c r="Q303" s="1074"/>
      <c r="R303" s="1072"/>
      <c r="S303" s="1073"/>
      <c r="T303" s="1074"/>
      <c r="U303" s="1074"/>
      <c r="V303" s="1074"/>
      <c r="W303" s="1074"/>
      <c r="X303" s="1074"/>
      <c r="Y303" s="1072"/>
      <c r="Z303" s="1073"/>
      <c r="AA303" s="1074"/>
      <c r="AB303" s="1074"/>
      <c r="AC303" s="1074"/>
      <c r="AD303" s="1074"/>
      <c r="AE303" s="1074"/>
      <c r="AF303" s="1072"/>
      <c r="AG303" s="1073"/>
      <c r="AH303" s="1074"/>
      <c r="AI303" s="1074"/>
      <c r="AJ303" s="1074"/>
      <c r="AK303" s="1074"/>
    </row>
    <row r="304">
      <c r="A304" s="1072"/>
      <c r="B304" s="1072"/>
      <c r="C304" s="1075"/>
      <c r="D304" s="1074"/>
      <c r="E304" s="1074"/>
      <c r="F304" s="1074"/>
      <c r="G304" s="1076"/>
      <c r="H304" s="1074"/>
      <c r="I304" s="1074"/>
      <c r="J304" s="1072"/>
      <c r="K304" s="1075"/>
      <c r="L304" s="1074"/>
      <c r="M304" s="1074"/>
      <c r="N304" s="1074"/>
      <c r="O304" s="1076"/>
      <c r="P304" s="1074"/>
      <c r="Q304" s="1074"/>
      <c r="R304" s="1072"/>
      <c r="S304" s="1073"/>
      <c r="T304" s="1074"/>
      <c r="U304" s="1074"/>
      <c r="V304" s="1074"/>
      <c r="W304" s="1074"/>
      <c r="X304" s="1074"/>
      <c r="Y304" s="1072"/>
      <c r="Z304" s="1073"/>
      <c r="AA304" s="1074"/>
      <c r="AB304" s="1074"/>
      <c r="AC304" s="1074"/>
      <c r="AD304" s="1074"/>
      <c r="AE304" s="1074"/>
      <c r="AF304" s="1072"/>
      <c r="AG304" s="1073"/>
      <c r="AH304" s="1074"/>
      <c r="AI304" s="1074"/>
      <c r="AJ304" s="1074"/>
      <c r="AK304" s="1074"/>
    </row>
    <row r="305">
      <c r="A305" s="1072"/>
      <c r="B305" s="1072"/>
      <c r="C305" s="1075"/>
      <c r="D305" s="1074"/>
      <c r="E305" s="1074"/>
      <c r="F305" s="1074"/>
      <c r="G305" s="1076"/>
      <c r="H305" s="1074"/>
      <c r="I305" s="1074"/>
      <c r="J305" s="1072"/>
      <c r="K305" s="1075"/>
      <c r="L305" s="1074"/>
      <c r="M305" s="1074"/>
      <c r="N305" s="1074"/>
      <c r="O305" s="1076"/>
      <c r="P305" s="1074"/>
      <c r="Q305" s="1074"/>
      <c r="R305" s="1072"/>
      <c r="S305" s="1073"/>
      <c r="T305" s="1074"/>
      <c r="U305" s="1074"/>
      <c r="V305" s="1074"/>
      <c r="W305" s="1074"/>
      <c r="X305" s="1074"/>
      <c r="Y305" s="1072"/>
      <c r="Z305" s="1073"/>
      <c r="AA305" s="1074"/>
      <c r="AB305" s="1074"/>
      <c r="AC305" s="1074"/>
      <c r="AD305" s="1074"/>
      <c r="AE305" s="1074"/>
      <c r="AF305" s="1072"/>
      <c r="AG305" s="1073"/>
      <c r="AH305" s="1074"/>
      <c r="AI305" s="1074"/>
      <c r="AJ305" s="1074"/>
      <c r="AK305" s="1074"/>
    </row>
    <row r="306">
      <c r="A306" s="1072"/>
      <c r="B306" s="1072"/>
      <c r="C306" s="1075"/>
      <c r="D306" s="1074"/>
      <c r="E306" s="1074"/>
      <c r="F306" s="1074"/>
      <c r="G306" s="1076"/>
      <c r="H306" s="1074"/>
      <c r="I306" s="1074"/>
      <c r="J306" s="1072"/>
      <c r="K306" s="1075"/>
      <c r="L306" s="1074"/>
      <c r="M306" s="1074"/>
      <c r="N306" s="1074"/>
      <c r="O306" s="1076"/>
      <c r="P306" s="1074"/>
      <c r="Q306" s="1074"/>
      <c r="R306" s="1072"/>
      <c r="S306" s="1073"/>
      <c r="T306" s="1074"/>
      <c r="U306" s="1074"/>
      <c r="V306" s="1074"/>
      <c r="W306" s="1074"/>
      <c r="X306" s="1074"/>
      <c r="Y306" s="1072"/>
      <c r="Z306" s="1073"/>
      <c r="AA306" s="1074"/>
      <c r="AB306" s="1074"/>
      <c r="AC306" s="1074"/>
      <c r="AD306" s="1074"/>
      <c r="AE306" s="1074"/>
      <c r="AF306" s="1072"/>
      <c r="AG306" s="1073"/>
      <c r="AH306" s="1074"/>
      <c r="AI306" s="1074"/>
      <c r="AJ306" s="1074"/>
      <c r="AK306" s="1074"/>
    </row>
    <row r="307">
      <c r="A307" s="1072"/>
      <c r="B307" s="1072"/>
      <c r="C307" s="1075"/>
      <c r="D307" s="1074"/>
      <c r="E307" s="1074"/>
      <c r="F307" s="1074"/>
      <c r="G307" s="1076"/>
      <c r="H307" s="1074"/>
      <c r="I307" s="1074"/>
      <c r="J307" s="1072"/>
      <c r="K307" s="1075"/>
      <c r="L307" s="1074"/>
      <c r="M307" s="1074"/>
      <c r="N307" s="1074"/>
      <c r="O307" s="1076"/>
      <c r="P307" s="1074"/>
      <c r="Q307" s="1074"/>
      <c r="R307" s="1072"/>
      <c r="S307" s="1073"/>
      <c r="T307" s="1074"/>
      <c r="U307" s="1074"/>
      <c r="V307" s="1074"/>
      <c r="W307" s="1074"/>
      <c r="X307" s="1074"/>
      <c r="Y307" s="1072"/>
      <c r="Z307" s="1073"/>
      <c r="AA307" s="1074"/>
      <c r="AB307" s="1074"/>
      <c r="AC307" s="1074"/>
      <c r="AD307" s="1074"/>
      <c r="AE307" s="1074"/>
      <c r="AF307" s="1072"/>
      <c r="AG307" s="1073"/>
      <c r="AH307" s="1074"/>
      <c r="AI307" s="1074"/>
      <c r="AJ307" s="1074"/>
      <c r="AK307" s="1074"/>
    </row>
    <row r="308">
      <c r="A308" s="1072"/>
      <c r="B308" s="1072"/>
      <c r="C308" s="1075"/>
      <c r="D308" s="1074"/>
      <c r="E308" s="1074"/>
      <c r="F308" s="1074"/>
      <c r="G308" s="1076"/>
      <c r="H308" s="1074"/>
      <c r="I308" s="1074"/>
      <c r="J308" s="1072"/>
      <c r="K308" s="1075"/>
      <c r="L308" s="1074"/>
      <c r="M308" s="1074"/>
      <c r="N308" s="1074"/>
      <c r="O308" s="1076"/>
      <c r="P308" s="1074"/>
      <c r="Q308" s="1074"/>
      <c r="R308" s="1072"/>
      <c r="S308" s="1073"/>
      <c r="T308" s="1074"/>
      <c r="U308" s="1074"/>
      <c r="V308" s="1074"/>
      <c r="W308" s="1074"/>
      <c r="X308" s="1074"/>
      <c r="Y308" s="1072"/>
      <c r="Z308" s="1073"/>
      <c r="AA308" s="1074"/>
      <c r="AB308" s="1074"/>
      <c r="AC308" s="1074"/>
      <c r="AD308" s="1074"/>
      <c r="AE308" s="1074"/>
      <c r="AF308" s="1072"/>
      <c r="AG308" s="1073"/>
      <c r="AH308" s="1074"/>
      <c r="AI308" s="1074"/>
      <c r="AJ308" s="1074"/>
      <c r="AK308" s="1074"/>
    </row>
    <row r="309">
      <c r="A309" s="1072"/>
      <c r="B309" s="1072"/>
      <c r="C309" s="1075"/>
      <c r="D309" s="1074"/>
      <c r="E309" s="1074"/>
      <c r="F309" s="1074"/>
      <c r="G309" s="1076"/>
      <c r="H309" s="1074"/>
      <c r="I309" s="1074"/>
      <c r="J309" s="1072"/>
      <c r="K309" s="1075"/>
      <c r="L309" s="1074"/>
      <c r="M309" s="1074"/>
      <c r="N309" s="1074"/>
      <c r="O309" s="1076"/>
      <c r="P309" s="1074"/>
      <c r="Q309" s="1074"/>
      <c r="R309" s="1072"/>
      <c r="S309" s="1073"/>
      <c r="T309" s="1074"/>
      <c r="U309" s="1074"/>
      <c r="V309" s="1074"/>
      <c r="W309" s="1074"/>
      <c r="X309" s="1074"/>
      <c r="Y309" s="1072"/>
      <c r="Z309" s="1073"/>
      <c r="AA309" s="1074"/>
      <c r="AB309" s="1074"/>
      <c r="AC309" s="1074"/>
      <c r="AD309" s="1074"/>
      <c r="AE309" s="1074"/>
      <c r="AF309" s="1072"/>
      <c r="AG309" s="1073"/>
      <c r="AH309" s="1074"/>
      <c r="AI309" s="1074"/>
      <c r="AJ309" s="1074"/>
      <c r="AK309" s="1074"/>
    </row>
    <row r="310">
      <c r="A310" s="1072"/>
      <c r="B310" s="1072"/>
      <c r="C310" s="1075"/>
      <c r="D310" s="1074"/>
      <c r="E310" s="1074"/>
      <c r="F310" s="1074"/>
      <c r="G310" s="1076"/>
      <c r="H310" s="1074"/>
      <c r="I310" s="1074"/>
      <c r="J310" s="1072"/>
      <c r="K310" s="1075"/>
      <c r="L310" s="1074"/>
      <c r="M310" s="1074"/>
      <c r="N310" s="1074"/>
      <c r="O310" s="1076"/>
      <c r="P310" s="1074"/>
      <c r="Q310" s="1074"/>
      <c r="R310" s="1072"/>
      <c r="S310" s="1073"/>
      <c r="T310" s="1074"/>
      <c r="U310" s="1074"/>
      <c r="V310" s="1074"/>
      <c r="W310" s="1074"/>
      <c r="X310" s="1074"/>
      <c r="Y310" s="1072"/>
      <c r="Z310" s="1073"/>
      <c r="AA310" s="1074"/>
      <c r="AB310" s="1074"/>
      <c r="AC310" s="1074"/>
      <c r="AD310" s="1074"/>
      <c r="AE310" s="1074"/>
      <c r="AF310" s="1072"/>
      <c r="AG310" s="1073"/>
      <c r="AH310" s="1074"/>
      <c r="AI310" s="1074"/>
      <c r="AJ310" s="1074"/>
      <c r="AK310" s="1074"/>
    </row>
    <row r="311">
      <c r="A311" s="1072"/>
      <c r="B311" s="1072"/>
      <c r="C311" s="1075"/>
      <c r="D311" s="1074"/>
      <c r="E311" s="1074"/>
      <c r="F311" s="1074"/>
      <c r="G311" s="1076"/>
      <c r="H311" s="1074"/>
      <c r="I311" s="1074"/>
      <c r="J311" s="1072"/>
      <c r="K311" s="1075"/>
      <c r="L311" s="1074"/>
      <c r="M311" s="1074"/>
      <c r="N311" s="1074"/>
      <c r="O311" s="1076"/>
      <c r="P311" s="1074"/>
      <c r="Q311" s="1074"/>
      <c r="R311" s="1072"/>
      <c r="S311" s="1073"/>
      <c r="T311" s="1074"/>
      <c r="U311" s="1074"/>
      <c r="V311" s="1074"/>
      <c r="W311" s="1074"/>
      <c r="X311" s="1074"/>
      <c r="Y311" s="1072"/>
      <c r="Z311" s="1073"/>
      <c r="AA311" s="1074"/>
      <c r="AB311" s="1074"/>
      <c r="AC311" s="1074"/>
      <c r="AD311" s="1074"/>
      <c r="AE311" s="1074"/>
      <c r="AF311" s="1072"/>
      <c r="AG311" s="1073"/>
      <c r="AH311" s="1074"/>
      <c r="AI311" s="1074"/>
      <c r="AJ311" s="1074"/>
      <c r="AK311" s="1074"/>
    </row>
    <row r="312">
      <c r="A312" s="1072"/>
      <c r="B312" s="1072"/>
      <c r="C312" s="1075"/>
      <c r="D312" s="1074"/>
      <c r="E312" s="1074"/>
      <c r="F312" s="1074"/>
      <c r="G312" s="1076"/>
      <c r="H312" s="1074"/>
      <c r="I312" s="1074"/>
      <c r="J312" s="1072"/>
      <c r="K312" s="1075"/>
      <c r="L312" s="1074"/>
      <c r="M312" s="1074"/>
      <c r="N312" s="1074"/>
      <c r="O312" s="1076"/>
      <c r="P312" s="1074"/>
      <c r="Q312" s="1074"/>
      <c r="R312" s="1072"/>
      <c r="S312" s="1073"/>
      <c r="T312" s="1074"/>
      <c r="U312" s="1074"/>
      <c r="V312" s="1074"/>
      <c r="W312" s="1074"/>
      <c r="X312" s="1074"/>
      <c r="Y312" s="1072"/>
      <c r="Z312" s="1073"/>
      <c r="AA312" s="1074"/>
      <c r="AB312" s="1074"/>
      <c r="AC312" s="1074"/>
      <c r="AD312" s="1074"/>
      <c r="AE312" s="1074"/>
      <c r="AF312" s="1072"/>
      <c r="AG312" s="1073"/>
      <c r="AH312" s="1074"/>
      <c r="AI312" s="1074"/>
      <c r="AJ312" s="1074"/>
      <c r="AK312" s="1074"/>
    </row>
    <row r="313">
      <c r="A313" s="1072"/>
      <c r="B313" s="1072"/>
      <c r="C313" s="1075"/>
      <c r="D313" s="1074"/>
      <c r="E313" s="1074"/>
      <c r="F313" s="1074"/>
      <c r="G313" s="1076"/>
      <c r="H313" s="1074"/>
      <c r="I313" s="1074"/>
      <c r="J313" s="1072"/>
      <c r="K313" s="1075"/>
      <c r="L313" s="1074"/>
      <c r="M313" s="1074"/>
      <c r="N313" s="1074"/>
      <c r="O313" s="1076"/>
      <c r="P313" s="1074"/>
      <c r="Q313" s="1074"/>
      <c r="R313" s="1072"/>
      <c r="S313" s="1073"/>
      <c r="T313" s="1074"/>
      <c r="U313" s="1074"/>
      <c r="V313" s="1074"/>
      <c r="W313" s="1074"/>
      <c r="X313" s="1074"/>
      <c r="Y313" s="1072"/>
      <c r="Z313" s="1073"/>
      <c r="AA313" s="1074"/>
      <c r="AB313" s="1074"/>
      <c r="AC313" s="1074"/>
      <c r="AD313" s="1074"/>
      <c r="AE313" s="1074"/>
      <c r="AF313" s="1072"/>
      <c r="AG313" s="1073"/>
      <c r="AH313" s="1074"/>
      <c r="AI313" s="1074"/>
      <c r="AJ313" s="1074"/>
      <c r="AK313" s="1074"/>
    </row>
    <row r="314">
      <c r="A314" s="1072"/>
      <c r="B314" s="1072"/>
      <c r="C314" s="1075"/>
      <c r="D314" s="1074"/>
      <c r="E314" s="1074"/>
      <c r="F314" s="1074"/>
      <c r="G314" s="1076"/>
      <c r="H314" s="1074"/>
      <c r="I314" s="1074"/>
      <c r="J314" s="1072"/>
      <c r="K314" s="1075"/>
      <c r="L314" s="1074"/>
      <c r="M314" s="1074"/>
      <c r="N314" s="1074"/>
      <c r="O314" s="1076"/>
      <c r="P314" s="1074"/>
      <c r="Q314" s="1074"/>
      <c r="R314" s="1072"/>
      <c r="S314" s="1073"/>
      <c r="T314" s="1074"/>
      <c r="U314" s="1074"/>
      <c r="V314" s="1074"/>
      <c r="W314" s="1074"/>
      <c r="X314" s="1074"/>
      <c r="Y314" s="1072"/>
      <c r="Z314" s="1073"/>
      <c r="AA314" s="1074"/>
      <c r="AB314" s="1074"/>
      <c r="AC314" s="1074"/>
      <c r="AD314" s="1074"/>
      <c r="AE314" s="1074"/>
      <c r="AF314" s="1072"/>
      <c r="AG314" s="1073"/>
      <c r="AH314" s="1074"/>
      <c r="AI314" s="1074"/>
      <c r="AJ314" s="1074"/>
      <c r="AK314" s="1074"/>
    </row>
    <row r="315">
      <c r="A315" s="1072"/>
      <c r="B315" s="1072"/>
      <c r="C315" s="1075"/>
      <c r="D315" s="1074"/>
      <c r="E315" s="1074"/>
      <c r="F315" s="1074"/>
      <c r="G315" s="1076"/>
      <c r="H315" s="1074"/>
      <c r="I315" s="1074"/>
      <c r="J315" s="1072"/>
      <c r="K315" s="1075"/>
      <c r="L315" s="1074"/>
      <c r="M315" s="1074"/>
      <c r="N315" s="1074"/>
      <c r="O315" s="1076"/>
      <c r="P315" s="1074"/>
      <c r="Q315" s="1074"/>
      <c r="R315" s="1072"/>
      <c r="S315" s="1073"/>
      <c r="T315" s="1074"/>
      <c r="U315" s="1074"/>
      <c r="V315" s="1074"/>
      <c r="W315" s="1074"/>
      <c r="X315" s="1074"/>
      <c r="Y315" s="1072"/>
      <c r="Z315" s="1073"/>
      <c r="AA315" s="1074"/>
      <c r="AB315" s="1074"/>
      <c r="AC315" s="1074"/>
      <c r="AD315" s="1074"/>
      <c r="AE315" s="1074"/>
      <c r="AF315" s="1072"/>
      <c r="AG315" s="1073"/>
      <c r="AH315" s="1074"/>
      <c r="AI315" s="1074"/>
      <c r="AJ315" s="1074"/>
      <c r="AK315" s="1074"/>
    </row>
    <row r="316">
      <c r="A316" s="1072"/>
      <c r="B316" s="1072"/>
      <c r="C316" s="1075"/>
      <c r="D316" s="1074"/>
      <c r="E316" s="1074"/>
      <c r="F316" s="1074"/>
      <c r="G316" s="1076"/>
      <c r="H316" s="1074"/>
      <c r="I316" s="1074"/>
      <c r="J316" s="1072"/>
      <c r="K316" s="1075"/>
      <c r="L316" s="1074"/>
      <c r="M316" s="1074"/>
      <c r="N316" s="1074"/>
      <c r="O316" s="1076"/>
      <c r="P316" s="1074"/>
      <c r="Q316" s="1074"/>
      <c r="R316" s="1072"/>
      <c r="S316" s="1073"/>
      <c r="T316" s="1074"/>
      <c r="U316" s="1074"/>
      <c r="V316" s="1074"/>
      <c r="W316" s="1074"/>
      <c r="X316" s="1074"/>
      <c r="Y316" s="1072"/>
      <c r="Z316" s="1073"/>
      <c r="AA316" s="1074"/>
      <c r="AB316" s="1074"/>
      <c r="AC316" s="1074"/>
      <c r="AD316" s="1074"/>
      <c r="AE316" s="1074"/>
      <c r="AF316" s="1072"/>
      <c r="AG316" s="1073"/>
      <c r="AH316" s="1074"/>
      <c r="AI316" s="1074"/>
      <c r="AJ316" s="1074"/>
      <c r="AK316" s="1074"/>
    </row>
    <row r="317">
      <c r="A317" s="1072"/>
      <c r="B317" s="1072"/>
      <c r="C317" s="1075"/>
      <c r="D317" s="1074"/>
      <c r="E317" s="1074"/>
      <c r="F317" s="1074"/>
      <c r="G317" s="1076"/>
      <c r="H317" s="1074"/>
      <c r="I317" s="1074"/>
      <c r="J317" s="1072"/>
      <c r="K317" s="1075"/>
      <c r="L317" s="1074"/>
      <c r="M317" s="1074"/>
      <c r="N317" s="1074"/>
      <c r="O317" s="1076"/>
      <c r="P317" s="1074"/>
      <c r="Q317" s="1074"/>
      <c r="R317" s="1072"/>
      <c r="S317" s="1073"/>
      <c r="T317" s="1074"/>
      <c r="U317" s="1074"/>
      <c r="V317" s="1074"/>
      <c r="W317" s="1074"/>
      <c r="X317" s="1074"/>
      <c r="Y317" s="1072"/>
      <c r="Z317" s="1073"/>
      <c r="AA317" s="1074"/>
      <c r="AB317" s="1074"/>
      <c r="AC317" s="1074"/>
      <c r="AD317" s="1074"/>
      <c r="AE317" s="1074"/>
      <c r="AF317" s="1072"/>
      <c r="AG317" s="1073"/>
      <c r="AH317" s="1074"/>
      <c r="AI317" s="1074"/>
      <c r="AJ317" s="1074"/>
      <c r="AK317" s="1074"/>
    </row>
    <row r="318">
      <c r="A318" s="1072"/>
      <c r="B318" s="1072"/>
      <c r="C318" s="1075"/>
      <c r="D318" s="1074"/>
      <c r="E318" s="1074"/>
      <c r="F318" s="1074"/>
      <c r="G318" s="1076"/>
      <c r="H318" s="1074"/>
      <c r="I318" s="1074"/>
      <c r="J318" s="1072"/>
      <c r="K318" s="1075"/>
      <c r="L318" s="1074"/>
      <c r="M318" s="1074"/>
      <c r="N318" s="1074"/>
      <c r="O318" s="1076"/>
      <c r="P318" s="1074"/>
      <c r="Q318" s="1074"/>
      <c r="R318" s="1072"/>
      <c r="S318" s="1073"/>
      <c r="T318" s="1074"/>
      <c r="U318" s="1074"/>
      <c r="V318" s="1074"/>
      <c r="W318" s="1074"/>
      <c r="X318" s="1074"/>
      <c r="Y318" s="1072"/>
      <c r="Z318" s="1073"/>
      <c r="AA318" s="1074"/>
      <c r="AB318" s="1074"/>
      <c r="AC318" s="1074"/>
      <c r="AD318" s="1074"/>
      <c r="AE318" s="1074"/>
      <c r="AF318" s="1072"/>
      <c r="AG318" s="1073"/>
      <c r="AH318" s="1074"/>
      <c r="AI318" s="1074"/>
      <c r="AJ318" s="1074"/>
      <c r="AK318" s="1074"/>
    </row>
    <row r="319">
      <c r="A319" s="1072"/>
      <c r="B319" s="1072"/>
      <c r="C319" s="1075"/>
      <c r="D319" s="1074"/>
      <c r="E319" s="1074"/>
      <c r="F319" s="1074"/>
      <c r="G319" s="1076"/>
      <c r="H319" s="1074"/>
      <c r="I319" s="1074"/>
      <c r="J319" s="1072"/>
      <c r="K319" s="1075"/>
      <c r="L319" s="1074"/>
      <c r="M319" s="1074"/>
      <c r="N319" s="1074"/>
      <c r="O319" s="1076"/>
      <c r="P319" s="1074"/>
      <c r="Q319" s="1074"/>
      <c r="R319" s="1072"/>
      <c r="S319" s="1073"/>
      <c r="T319" s="1074"/>
      <c r="U319" s="1074"/>
      <c r="V319" s="1074"/>
      <c r="W319" s="1074"/>
      <c r="X319" s="1074"/>
      <c r="Y319" s="1072"/>
      <c r="Z319" s="1073"/>
      <c r="AA319" s="1074"/>
      <c r="AB319" s="1074"/>
      <c r="AC319" s="1074"/>
      <c r="AD319" s="1074"/>
      <c r="AE319" s="1074"/>
      <c r="AF319" s="1072"/>
      <c r="AG319" s="1073"/>
      <c r="AH319" s="1074"/>
      <c r="AI319" s="1074"/>
      <c r="AJ319" s="1074"/>
      <c r="AK319" s="1074"/>
    </row>
    <row r="320">
      <c r="A320" s="1072"/>
      <c r="B320" s="1072"/>
      <c r="C320" s="1075"/>
      <c r="D320" s="1074"/>
      <c r="E320" s="1074"/>
      <c r="F320" s="1074"/>
      <c r="G320" s="1076"/>
      <c r="H320" s="1074"/>
      <c r="I320" s="1074"/>
      <c r="J320" s="1072"/>
      <c r="K320" s="1075"/>
      <c r="L320" s="1074"/>
      <c r="M320" s="1074"/>
      <c r="N320" s="1074"/>
      <c r="O320" s="1076"/>
      <c r="P320" s="1074"/>
      <c r="Q320" s="1074"/>
      <c r="R320" s="1072"/>
      <c r="S320" s="1073"/>
      <c r="T320" s="1074"/>
      <c r="U320" s="1074"/>
      <c r="V320" s="1074"/>
      <c r="W320" s="1074"/>
      <c r="X320" s="1074"/>
      <c r="Y320" s="1072"/>
      <c r="Z320" s="1073"/>
      <c r="AA320" s="1074"/>
      <c r="AB320" s="1074"/>
      <c r="AC320" s="1074"/>
      <c r="AD320" s="1074"/>
      <c r="AE320" s="1074"/>
      <c r="AF320" s="1072"/>
      <c r="AG320" s="1073"/>
      <c r="AH320" s="1074"/>
      <c r="AI320" s="1074"/>
      <c r="AJ320" s="1074"/>
      <c r="AK320" s="1074"/>
    </row>
    <row r="321">
      <c r="A321" s="1072"/>
      <c r="B321" s="1072"/>
      <c r="C321" s="1075"/>
      <c r="D321" s="1074"/>
      <c r="E321" s="1074"/>
      <c r="F321" s="1074"/>
      <c r="G321" s="1076"/>
      <c r="H321" s="1074"/>
      <c r="I321" s="1074"/>
      <c r="J321" s="1072"/>
      <c r="K321" s="1075"/>
      <c r="L321" s="1074"/>
      <c r="M321" s="1074"/>
      <c r="N321" s="1074"/>
      <c r="O321" s="1076"/>
      <c r="P321" s="1074"/>
      <c r="Q321" s="1074"/>
      <c r="R321" s="1072"/>
      <c r="S321" s="1073"/>
      <c r="T321" s="1074"/>
      <c r="U321" s="1074"/>
      <c r="V321" s="1074"/>
      <c r="W321" s="1074"/>
      <c r="X321" s="1074"/>
      <c r="Y321" s="1072"/>
      <c r="Z321" s="1073"/>
      <c r="AA321" s="1074"/>
      <c r="AB321" s="1074"/>
      <c r="AC321" s="1074"/>
      <c r="AD321" s="1074"/>
      <c r="AE321" s="1074"/>
      <c r="AF321" s="1072"/>
      <c r="AG321" s="1073"/>
      <c r="AH321" s="1074"/>
      <c r="AI321" s="1074"/>
      <c r="AJ321" s="1074"/>
      <c r="AK321" s="1074"/>
    </row>
    <row r="322">
      <c r="A322" s="1072"/>
      <c r="B322" s="1072"/>
      <c r="C322" s="1075"/>
      <c r="D322" s="1074"/>
      <c r="E322" s="1074"/>
      <c r="F322" s="1074"/>
      <c r="G322" s="1076"/>
      <c r="H322" s="1074"/>
      <c r="I322" s="1074"/>
      <c r="J322" s="1072"/>
      <c r="K322" s="1075"/>
      <c r="L322" s="1074"/>
      <c r="M322" s="1074"/>
      <c r="N322" s="1074"/>
      <c r="O322" s="1076"/>
      <c r="P322" s="1074"/>
      <c r="Q322" s="1074"/>
      <c r="R322" s="1072"/>
      <c r="S322" s="1073"/>
      <c r="T322" s="1074"/>
      <c r="U322" s="1074"/>
      <c r="V322" s="1074"/>
      <c r="W322" s="1074"/>
      <c r="X322" s="1074"/>
      <c r="Y322" s="1072"/>
      <c r="Z322" s="1073"/>
      <c r="AA322" s="1074"/>
      <c r="AB322" s="1074"/>
      <c r="AC322" s="1074"/>
      <c r="AD322" s="1074"/>
      <c r="AE322" s="1074"/>
      <c r="AF322" s="1072"/>
      <c r="AG322" s="1073"/>
      <c r="AH322" s="1074"/>
      <c r="AI322" s="1074"/>
      <c r="AJ322" s="1074"/>
      <c r="AK322" s="1074"/>
    </row>
    <row r="323">
      <c r="A323" s="1072"/>
      <c r="B323" s="1072"/>
      <c r="C323" s="1075"/>
      <c r="D323" s="1074"/>
      <c r="E323" s="1074"/>
      <c r="F323" s="1074"/>
      <c r="G323" s="1076"/>
      <c r="H323" s="1074"/>
      <c r="I323" s="1074"/>
      <c r="J323" s="1072"/>
      <c r="K323" s="1075"/>
      <c r="L323" s="1074"/>
      <c r="M323" s="1074"/>
      <c r="N323" s="1074"/>
      <c r="O323" s="1076"/>
      <c r="P323" s="1074"/>
      <c r="Q323" s="1074"/>
      <c r="R323" s="1072"/>
      <c r="S323" s="1073"/>
      <c r="T323" s="1074"/>
      <c r="U323" s="1074"/>
      <c r="V323" s="1074"/>
      <c r="W323" s="1074"/>
      <c r="X323" s="1074"/>
      <c r="Y323" s="1072"/>
      <c r="Z323" s="1073"/>
      <c r="AA323" s="1074"/>
      <c r="AB323" s="1074"/>
      <c r="AC323" s="1074"/>
      <c r="AD323" s="1074"/>
      <c r="AE323" s="1074"/>
      <c r="AF323" s="1072"/>
      <c r="AG323" s="1073"/>
      <c r="AH323" s="1074"/>
      <c r="AI323" s="1074"/>
      <c r="AJ323" s="1074"/>
      <c r="AK323" s="1074"/>
    </row>
    <row r="324">
      <c r="A324" s="1072"/>
      <c r="B324" s="1072"/>
      <c r="C324" s="1075"/>
      <c r="D324" s="1074"/>
      <c r="E324" s="1074"/>
      <c r="F324" s="1074"/>
      <c r="G324" s="1076"/>
      <c r="H324" s="1074"/>
      <c r="I324" s="1074"/>
      <c r="J324" s="1072"/>
      <c r="K324" s="1075"/>
      <c r="L324" s="1074"/>
      <c r="M324" s="1074"/>
      <c r="N324" s="1074"/>
      <c r="O324" s="1076"/>
      <c r="P324" s="1074"/>
      <c r="Q324" s="1074"/>
      <c r="R324" s="1072"/>
      <c r="S324" s="1073"/>
      <c r="T324" s="1074"/>
      <c r="U324" s="1074"/>
      <c r="V324" s="1074"/>
      <c r="W324" s="1074"/>
      <c r="X324" s="1074"/>
      <c r="Y324" s="1072"/>
      <c r="Z324" s="1073"/>
      <c r="AA324" s="1074"/>
      <c r="AB324" s="1074"/>
      <c r="AC324" s="1074"/>
      <c r="AD324" s="1074"/>
      <c r="AE324" s="1074"/>
      <c r="AF324" s="1072"/>
      <c r="AG324" s="1073"/>
      <c r="AH324" s="1074"/>
      <c r="AI324" s="1074"/>
      <c r="AJ324" s="1074"/>
      <c r="AK324" s="1074"/>
    </row>
    <row r="325">
      <c r="A325" s="1072"/>
      <c r="B325" s="1072"/>
      <c r="C325" s="1075"/>
      <c r="D325" s="1074"/>
      <c r="E325" s="1074"/>
      <c r="F325" s="1074"/>
      <c r="G325" s="1076"/>
      <c r="H325" s="1074"/>
      <c r="I325" s="1074"/>
      <c r="J325" s="1072"/>
      <c r="K325" s="1075"/>
      <c r="L325" s="1074"/>
      <c r="M325" s="1074"/>
      <c r="N325" s="1074"/>
      <c r="O325" s="1076"/>
      <c r="P325" s="1074"/>
      <c r="Q325" s="1074"/>
      <c r="R325" s="1072"/>
      <c r="S325" s="1073"/>
      <c r="T325" s="1074"/>
      <c r="U325" s="1074"/>
      <c r="V325" s="1074"/>
      <c r="W325" s="1074"/>
      <c r="X325" s="1074"/>
      <c r="Y325" s="1072"/>
      <c r="Z325" s="1073"/>
      <c r="AA325" s="1074"/>
      <c r="AB325" s="1074"/>
      <c r="AC325" s="1074"/>
      <c r="AD325" s="1074"/>
      <c r="AE325" s="1074"/>
      <c r="AF325" s="1072"/>
      <c r="AG325" s="1073"/>
      <c r="AH325" s="1074"/>
      <c r="AI325" s="1074"/>
      <c r="AJ325" s="1074"/>
      <c r="AK325" s="1074"/>
    </row>
    <row r="326">
      <c r="A326" s="1072"/>
      <c r="B326" s="1072"/>
      <c r="C326" s="1075"/>
      <c r="D326" s="1074"/>
      <c r="E326" s="1074"/>
      <c r="F326" s="1074"/>
      <c r="G326" s="1076"/>
      <c r="H326" s="1074"/>
      <c r="I326" s="1074"/>
      <c r="J326" s="1072"/>
      <c r="K326" s="1075"/>
      <c r="L326" s="1074"/>
      <c r="M326" s="1074"/>
      <c r="N326" s="1074"/>
      <c r="O326" s="1076"/>
      <c r="P326" s="1074"/>
      <c r="Q326" s="1074"/>
      <c r="R326" s="1072"/>
      <c r="S326" s="1073"/>
      <c r="T326" s="1074"/>
      <c r="U326" s="1074"/>
      <c r="V326" s="1074"/>
      <c r="W326" s="1074"/>
      <c r="X326" s="1074"/>
      <c r="Y326" s="1072"/>
      <c r="Z326" s="1073"/>
      <c r="AA326" s="1074"/>
      <c r="AB326" s="1074"/>
      <c r="AC326" s="1074"/>
      <c r="AD326" s="1074"/>
      <c r="AE326" s="1074"/>
      <c r="AF326" s="1072"/>
      <c r="AG326" s="1073"/>
      <c r="AH326" s="1074"/>
      <c r="AI326" s="1074"/>
      <c r="AJ326" s="1074"/>
      <c r="AK326" s="1074"/>
    </row>
    <row r="327">
      <c r="A327" s="1072"/>
      <c r="B327" s="1072"/>
      <c r="C327" s="1075"/>
      <c r="D327" s="1074"/>
      <c r="E327" s="1074"/>
      <c r="F327" s="1074"/>
      <c r="G327" s="1076"/>
      <c r="H327" s="1074"/>
      <c r="I327" s="1074"/>
      <c r="J327" s="1072"/>
      <c r="K327" s="1075"/>
      <c r="L327" s="1074"/>
      <c r="M327" s="1074"/>
      <c r="N327" s="1074"/>
      <c r="O327" s="1076"/>
      <c r="P327" s="1074"/>
      <c r="Q327" s="1074"/>
      <c r="R327" s="1072"/>
      <c r="S327" s="1073"/>
      <c r="T327" s="1074"/>
      <c r="U327" s="1074"/>
      <c r="V327" s="1074"/>
      <c r="W327" s="1074"/>
      <c r="X327" s="1074"/>
      <c r="Y327" s="1072"/>
      <c r="Z327" s="1073"/>
      <c r="AA327" s="1074"/>
      <c r="AB327" s="1074"/>
      <c r="AC327" s="1074"/>
      <c r="AD327" s="1074"/>
      <c r="AE327" s="1074"/>
      <c r="AF327" s="1072"/>
      <c r="AG327" s="1073"/>
      <c r="AH327" s="1074"/>
      <c r="AI327" s="1074"/>
      <c r="AJ327" s="1074"/>
      <c r="AK327" s="1074"/>
    </row>
    <row r="328">
      <c r="A328" s="1072"/>
      <c r="B328" s="1072"/>
      <c r="C328" s="1075"/>
      <c r="D328" s="1074"/>
      <c r="E328" s="1074"/>
      <c r="F328" s="1074"/>
      <c r="G328" s="1076"/>
      <c r="H328" s="1074"/>
      <c r="I328" s="1074"/>
      <c r="J328" s="1072"/>
      <c r="K328" s="1075"/>
      <c r="L328" s="1074"/>
      <c r="M328" s="1074"/>
      <c r="N328" s="1074"/>
      <c r="O328" s="1076"/>
      <c r="P328" s="1074"/>
      <c r="Q328" s="1074"/>
      <c r="R328" s="1072"/>
      <c r="S328" s="1073"/>
      <c r="T328" s="1074"/>
      <c r="U328" s="1074"/>
      <c r="V328" s="1074"/>
      <c r="W328" s="1074"/>
      <c r="X328" s="1074"/>
      <c r="Y328" s="1072"/>
      <c r="Z328" s="1073"/>
      <c r="AA328" s="1074"/>
      <c r="AB328" s="1074"/>
      <c r="AC328" s="1074"/>
      <c r="AD328" s="1074"/>
      <c r="AE328" s="1074"/>
      <c r="AF328" s="1072"/>
      <c r="AG328" s="1073"/>
      <c r="AH328" s="1074"/>
      <c r="AI328" s="1074"/>
      <c r="AJ328" s="1074"/>
      <c r="AK328" s="1074"/>
    </row>
    <row r="329">
      <c r="A329" s="1072"/>
      <c r="B329" s="1072"/>
      <c r="C329" s="1075"/>
      <c r="D329" s="1074"/>
      <c r="E329" s="1074"/>
      <c r="F329" s="1074"/>
      <c r="G329" s="1076"/>
      <c r="H329" s="1074"/>
      <c r="I329" s="1074"/>
      <c r="J329" s="1072"/>
      <c r="K329" s="1075"/>
      <c r="L329" s="1074"/>
      <c r="M329" s="1074"/>
      <c r="N329" s="1074"/>
      <c r="O329" s="1076"/>
      <c r="P329" s="1074"/>
      <c r="Q329" s="1074"/>
      <c r="R329" s="1072"/>
      <c r="S329" s="1073"/>
      <c r="T329" s="1074"/>
      <c r="U329" s="1074"/>
      <c r="V329" s="1074"/>
      <c r="W329" s="1074"/>
      <c r="X329" s="1074"/>
      <c r="Y329" s="1072"/>
      <c r="Z329" s="1073"/>
      <c r="AA329" s="1074"/>
      <c r="AB329" s="1074"/>
      <c r="AC329" s="1074"/>
      <c r="AD329" s="1074"/>
      <c r="AE329" s="1074"/>
      <c r="AF329" s="1072"/>
      <c r="AG329" s="1073"/>
      <c r="AH329" s="1074"/>
      <c r="AI329" s="1074"/>
      <c r="AJ329" s="1074"/>
      <c r="AK329" s="1074"/>
    </row>
    <row r="330">
      <c r="A330" s="1072"/>
      <c r="B330" s="1072"/>
      <c r="C330" s="1075"/>
      <c r="D330" s="1074"/>
      <c r="E330" s="1074"/>
      <c r="F330" s="1074"/>
      <c r="G330" s="1076"/>
      <c r="H330" s="1074"/>
      <c r="I330" s="1074"/>
      <c r="J330" s="1072"/>
      <c r="K330" s="1075"/>
      <c r="L330" s="1074"/>
      <c r="M330" s="1074"/>
      <c r="N330" s="1074"/>
      <c r="O330" s="1076"/>
      <c r="P330" s="1074"/>
      <c r="Q330" s="1074"/>
      <c r="R330" s="1072"/>
      <c r="S330" s="1073"/>
      <c r="T330" s="1074"/>
      <c r="U330" s="1074"/>
      <c r="V330" s="1074"/>
      <c r="W330" s="1074"/>
      <c r="X330" s="1074"/>
      <c r="Y330" s="1072"/>
      <c r="Z330" s="1073"/>
      <c r="AA330" s="1074"/>
      <c r="AB330" s="1074"/>
      <c r="AC330" s="1074"/>
      <c r="AD330" s="1074"/>
      <c r="AE330" s="1074"/>
      <c r="AF330" s="1072"/>
      <c r="AG330" s="1073"/>
      <c r="AH330" s="1074"/>
      <c r="AI330" s="1074"/>
      <c r="AJ330" s="1074"/>
      <c r="AK330" s="1074"/>
    </row>
    <row r="331">
      <c r="A331" s="1072"/>
      <c r="B331" s="1072"/>
      <c r="C331" s="1075"/>
      <c r="D331" s="1074"/>
      <c r="E331" s="1074"/>
      <c r="F331" s="1074"/>
      <c r="G331" s="1076"/>
      <c r="H331" s="1074"/>
      <c r="I331" s="1074"/>
      <c r="J331" s="1072"/>
      <c r="K331" s="1075"/>
      <c r="L331" s="1074"/>
      <c r="M331" s="1074"/>
      <c r="N331" s="1074"/>
      <c r="O331" s="1076"/>
      <c r="P331" s="1074"/>
      <c r="Q331" s="1074"/>
      <c r="R331" s="1072"/>
      <c r="S331" s="1073"/>
      <c r="T331" s="1074"/>
      <c r="U331" s="1074"/>
      <c r="V331" s="1074"/>
      <c r="W331" s="1074"/>
      <c r="X331" s="1074"/>
      <c r="Y331" s="1072"/>
      <c r="Z331" s="1073"/>
      <c r="AA331" s="1074"/>
      <c r="AB331" s="1074"/>
      <c r="AC331" s="1074"/>
      <c r="AD331" s="1074"/>
      <c r="AE331" s="1074"/>
      <c r="AF331" s="1072"/>
      <c r="AG331" s="1073"/>
      <c r="AH331" s="1074"/>
      <c r="AI331" s="1074"/>
      <c r="AJ331" s="1074"/>
      <c r="AK331" s="1074"/>
    </row>
    <row r="332">
      <c r="A332" s="1072"/>
      <c r="B332" s="1072"/>
      <c r="C332" s="1075"/>
      <c r="D332" s="1074"/>
      <c r="E332" s="1074"/>
      <c r="F332" s="1074"/>
      <c r="G332" s="1076"/>
      <c r="H332" s="1074"/>
      <c r="I332" s="1074"/>
      <c r="J332" s="1072"/>
      <c r="K332" s="1075"/>
      <c r="L332" s="1074"/>
      <c r="M332" s="1074"/>
      <c r="N332" s="1074"/>
      <c r="O332" s="1076"/>
      <c r="P332" s="1074"/>
      <c r="Q332" s="1074"/>
      <c r="R332" s="1072"/>
      <c r="S332" s="1073"/>
      <c r="T332" s="1074"/>
      <c r="U332" s="1074"/>
      <c r="V332" s="1074"/>
      <c r="W332" s="1074"/>
      <c r="X332" s="1074"/>
      <c r="Y332" s="1072"/>
      <c r="Z332" s="1073"/>
      <c r="AA332" s="1074"/>
      <c r="AB332" s="1074"/>
      <c r="AC332" s="1074"/>
      <c r="AD332" s="1074"/>
      <c r="AE332" s="1074"/>
      <c r="AF332" s="1072"/>
      <c r="AG332" s="1073"/>
      <c r="AH332" s="1074"/>
      <c r="AI332" s="1074"/>
      <c r="AJ332" s="1074"/>
      <c r="AK332" s="1074"/>
    </row>
    <row r="333">
      <c r="A333" s="1072"/>
      <c r="B333" s="1072"/>
      <c r="C333" s="1075"/>
      <c r="D333" s="1074"/>
      <c r="E333" s="1074"/>
      <c r="F333" s="1074"/>
      <c r="G333" s="1076"/>
      <c r="H333" s="1074"/>
      <c r="I333" s="1074"/>
      <c r="J333" s="1072"/>
      <c r="K333" s="1075"/>
      <c r="L333" s="1074"/>
      <c r="M333" s="1074"/>
      <c r="N333" s="1074"/>
      <c r="O333" s="1076"/>
      <c r="P333" s="1074"/>
      <c r="Q333" s="1074"/>
      <c r="R333" s="1072"/>
      <c r="S333" s="1073"/>
      <c r="T333" s="1074"/>
      <c r="U333" s="1074"/>
      <c r="V333" s="1074"/>
      <c r="W333" s="1074"/>
      <c r="X333" s="1074"/>
      <c r="Y333" s="1072"/>
      <c r="Z333" s="1073"/>
      <c r="AA333" s="1074"/>
      <c r="AB333" s="1074"/>
      <c r="AC333" s="1074"/>
      <c r="AD333" s="1074"/>
      <c r="AE333" s="1074"/>
      <c r="AF333" s="1072"/>
      <c r="AG333" s="1073"/>
      <c r="AH333" s="1074"/>
      <c r="AI333" s="1074"/>
      <c r="AJ333" s="1074"/>
      <c r="AK333" s="1074"/>
    </row>
    <row r="334">
      <c r="A334" s="1072"/>
      <c r="B334" s="1072"/>
      <c r="C334" s="1075"/>
      <c r="D334" s="1074"/>
      <c r="E334" s="1074"/>
      <c r="F334" s="1074"/>
      <c r="G334" s="1076"/>
      <c r="H334" s="1074"/>
      <c r="I334" s="1074"/>
      <c r="J334" s="1072"/>
      <c r="K334" s="1075"/>
      <c r="L334" s="1074"/>
      <c r="M334" s="1074"/>
      <c r="N334" s="1074"/>
      <c r="O334" s="1076"/>
      <c r="P334" s="1074"/>
      <c r="Q334" s="1074"/>
      <c r="R334" s="1072"/>
      <c r="S334" s="1073"/>
      <c r="T334" s="1074"/>
      <c r="U334" s="1074"/>
      <c r="V334" s="1074"/>
      <c r="W334" s="1074"/>
      <c r="X334" s="1074"/>
      <c r="Y334" s="1072"/>
      <c r="Z334" s="1073"/>
      <c r="AA334" s="1074"/>
      <c r="AB334" s="1074"/>
      <c r="AC334" s="1074"/>
      <c r="AD334" s="1074"/>
      <c r="AE334" s="1074"/>
      <c r="AF334" s="1072"/>
      <c r="AG334" s="1073"/>
      <c r="AH334" s="1074"/>
      <c r="AI334" s="1074"/>
      <c r="AJ334" s="1074"/>
      <c r="AK334" s="1074"/>
    </row>
    <row r="335">
      <c r="A335" s="1072"/>
      <c r="B335" s="1072"/>
      <c r="C335" s="1075"/>
      <c r="D335" s="1074"/>
      <c r="E335" s="1074"/>
      <c r="F335" s="1074"/>
      <c r="G335" s="1076"/>
      <c r="H335" s="1074"/>
      <c r="I335" s="1074"/>
      <c r="J335" s="1072"/>
      <c r="K335" s="1075"/>
      <c r="L335" s="1074"/>
      <c r="M335" s="1074"/>
      <c r="N335" s="1074"/>
      <c r="O335" s="1076"/>
      <c r="P335" s="1074"/>
      <c r="Q335" s="1074"/>
      <c r="R335" s="1072"/>
      <c r="S335" s="1073"/>
      <c r="T335" s="1074"/>
      <c r="U335" s="1074"/>
      <c r="V335" s="1074"/>
      <c r="W335" s="1074"/>
      <c r="X335" s="1074"/>
      <c r="Y335" s="1072"/>
      <c r="Z335" s="1073"/>
      <c r="AA335" s="1074"/>
      <c r="AB335" s="1074"/>
      <c r="AC335" s="1074"/>
      <c r="AD335" s="1074"/>
      <c r="AE335" s="1074"/>
      <c r="AF335" s="1072"/>
      <c r="AG335" s="1073"/>
      <c r="AH335" s="1074"/>
      <c r="AI335" s="1074"/>
      <c r="AJ335" s="1074"/>
      <c r="AK335" s="1074"/>
    </row>
    <row r="336">
      <c r="A336" s="1072"/>
      <c r="B336" s="1072"/>
      <c r="C336" s="1075"/>
      <c r="D336" s="1074"/>
      <c r="E336" s="1074"/>
      <c r="F336" s="1074"/>
      <c r="G336" s="1076"/>
      <c r="H336" s="1074"/>
      <c r="I336" s="1074"/>
      <c r="J336" s="1072"/>
      <c r="K336" s="1075"/>
      <c r="L336" s="1074"/>
      <c r="M336" s="1074"/>
      <c r="N336" s="1074"/>
      <c r="O336" s="1076"/>
      <c r="P336" s="1074"/>
      <c r="Q336" s="1074"/>
      <c r="R336" s="1072"/>
      <c r="S336" s="1073"/>
      <c r="T336" s="1074"/>
      <c r="U336" s="1074"/>
      <c r="V336" s="1074"/>
      <c r="W336" s="1074"/>
      <c r="X336" s="1074"/>
      <c r="Y336" s="1072"/>
      <c r="Z336" s="1073"/>
      <c r="AA336" s="1074"/>
      <c r="AB336" s="1074"/>
      <c r="AC336" s="1074"/>
      <c r="AD336" s="1074"/>
      <c r="AE336" s="1074"/>
      <c r="AF336" s="1072"/>
      <c r="AG336" s="1073"/>
      <c r="AH336" s="1074"/>
      <c r="AI336" s="1074"/>
      <c r="AJ336" s="1074"/>
      <c r="AK336" s="1074"/>
    </row>
    <row r="337">
      <c r="A337" s="1072"/>
      <c r="B337" s="1072"/>
      <c r="C337" s="1075"/>
      <c r="D337" s="1074"/>
      <c r="E337" s="1074"/>
      <c r="F337" s="1074"/>
      <c r="G337" s="1076"/>
      <c r="H337" s="1074"/>
      <c r="I337" s="1074"/>
      <c r="J337" s="1072"/>
      <c r="K337" s="1075"/>
      <c r="L337" s="1074"/>
      <c r="M337" s="1074"/>
      <c r="N337" s="1074"/>
      <c r="O337" s="1076"/>
      <c r="P337" s="1074"/>
      <c r="Q337" s="1074"/>
      <c r="R337" s="1072"/>
      <c r="S337" s="1073"/>
      <c r="T337" s="1074"/>
      <c r="U337" s="1074"/>
      <c r="V337" s="1074"/>
      <c r="W337" s="1074"/>
      <c r="X337" s="1074"/>
      <c r="Y337" s="1072"/>
      <c r="Z337" s="1073"/>
      <c r="AA337" s="1074"/>
      <c r="AB337" s="1074"/>
      <c r="AC337" s="1074"/>
      <c r="AD337" s="1074"/>
      <c r="AE337" s="1074"/>
      <c r="AF337" s="1072"/>
      <c r="AG337" s="1073"/>
      <c r="AH337" s="1074"/>
      <c r="AI337" s="1074"/>
      <c r="AJ337" s="1074"/>
      <c r="AK337" s="1074"/>
    </row>
    <row r="338">
      <c r="A338" s="1072"/>
      <c r="B338" s="1072"/>
      <c r="C338" s="1075"/>
      <c r="D338" s="1074"/>
      <c r="E338" s="1074"/>
      <c r="F338" s="1074"/>
      <c r="G338" s="1076"/>
      <c r="H338" s="1074"/>
      <c r="I338" s="1074"/>
      <c r="J338" s="1072"/>
      <c r="K338" s="1075"/>
      <c r="L338" s="1074"/>
      <c r="M338" s="1074"/>
      <c r="N338" s="1074"/>
      <c r="O338" s="1076"/>
      <c r="P338" s="1074"/>
      <c r="Q338" s="1074"/>
      <c r="R338" s="1072"/>
      <c r="S338" s="1073"/>
      <c r="T338" s="1074"/>
      <c r="U338" s="1074"/>
      <c r="V338" s="1074"/>
      <c r="W338" s="1074"/>
      <c r="X338" s="1074"/>
      <c r="Y338" s="1072"/>
      <c r="Z338" s="1073"/>
      <c r="AA338" s="1074"/>
      <c r="AB338" s="1074"/>
      <c r="AC338" s="1074"/>
      <c r="AD338" s="1074"/>
      <c r="AE338" s="1074"/>
      <c r="AF338" s="1072"/>
      <c r="AG338" s="1073"/>
      <c r="AH338" s="1074"/>
      <c r="AI338" s="1074"/>
      <c r="AJ338" s="1074"/>
      <c r="AK338" s="1074"/>
    </row>
    <row r="339">
      <c r="A339" s="1072"/>
      <c r="B339" s="1072"/>
      <c r="C339" s="1075"/>
      <c r="D339" s="1074"/>
      <c r="E339" s="1074"/>
      <c r="F339" s="1074"/>
      <c r="G339" s="1076"/>
      <c r="H339" s="1074"/>
      <c r="I339" s="1074"/>
      <c r="J339" s="1072"/>
      <c r="K339" s="1075"/>
      <c r="L339" s="1074"/>
      <c r="M339" s="1074"/>
      <c r="N339" s="1074"/>
      <c r="O339" s="1076"/>
      <c r="P339" s="1074"/>
      <c r="Q339" s="1074"/>
      <c r="R339" s="1072"/>
      <c r="S339" s="1073"/>
      <c r="T339" s="1074"/>
      <c r="U339" s="1074"/>
      <c r="V339" s="1074"/>
      <c r="W339" s="1074"/>
      <c r="X339" s="1074"/>
      <c r="Y339" s="1072"/>
      <c r="Z339" s="1073"/>
      <c r="AA339" s="1074"/>
      <c r="AB339" s="1074"/>
      <c r="AC339" s="1074"/>
      <c r="AD339" s="1074"/>
      <c r="AE339" s="1074"/>
      <c r="AF339" s="1072"/>
      <c r="AG339" s="1073"/>
      <c r="AH339" s="1074"/>
      <c r="AI339" s="1074"/>
      <c r="AJ339" s="1074"/>
      <c r="AK339" s="1074"/>
    </row>
    <row r="340">
      <c r="A340" s="1072"/>
      <c r="B340" s="1072"/>
      <c r="C340" s="1075"/>
      <c r="D340" s="1074"/>
      <c r="E340" s="1074"/>
      <c r="F340" s="1074"/>
      <c r="G340" s="1076"/>
      <c r="H340" s="1074"/>
      <c r="I340" s="1074"/>
      <c r="J340" s="1072"/>
      <c r="K340" s="1075"/>
      <c r="L340" s="1074"/>
      <c r="M340" s="1074"/>
      <c r="N340" s="1074"/>
      <c r="O340" s="1076"/>
      <c r="P340" s="1074"/>
      <c r="Q340" s="1074"/>
      <c r="R340" s="1072"/>
      <c r="S340" s="1073"/>
      <c r="T340" s="1074"/>
      <c r="U340" s="1074"/>
      <c r="V340" s="1074"/>
      <c r="W340" s="1074"/>
      <c r="X340" s="1074"/>
      <c r="Y340" s="1072"/>
      <c r="Z340" s="1073"/>
      <c r="AA340" s="1074"/>
      <c r="AB340" s="1074"/>
      <c r="AC340" s="1074"/>
      <c r="AD340" s="1074"/>
      <c r="AE340" s="1074"/>
      <c r="AF340" s="1072"/>
      <c r="AG340" s="1073"/>
      <c r="AH340" s="1074"/>
      <c r="AI340" s="1074"/>
      <c r="AJ340" s="1074"/>
      <c r="AK340" s="1074"/>
    </row>
    <row r="341">
      <c r="A341" s="1072"/>
      <c r="B341" s="1072"/>
      <c r="C341" s="1075"/>
      <c r="D341" s="1074"/>
      <c r="E341" s="1074"/>
      <c r="F341" s="1074"/>
      <c r="G341" s="1076"/>
      <c r="H341" s="1074"/>
      <c r="I341" s="1074"/>
      <c r="J341" s="1072"/>
      <c r="K341" s="1075"/>
      <c r="L341" s="1074"/>
      <c r="M341" s="1074"/>
      <c r="N341" s="1074"/>
      <c r="O341" s="1076"/>
      <c r="P341" s="1074"/>
      <c r="Q341" s="1074"/>
      <c r="R341" s="1072"/>
      <c r="S341" s="1073"/>
      <c r="T341" s="1074"/>
      <c r="U341" s="1074"/>
      <c r="V341" s="1074"/>
      <c r="W341" s="1074"/>
      <c r="X341" s="1074"/>
      <c r="Y341" s="1072"/>
      <c r="Z341" s="1073"/>
      <c r="AA341" s="1074"/>
      <c r="AB341" s="1074"/>
      <c r="AC341" s="1074"/>
      <c r="AD341" s="1074"/>
      <c r="AE341" s="1074"/>
      <c r="AF341" s="1072"/>
      <c r="AG341" s="1073"/>
      <c r="AH341" s="1074"/>
      <c r="AI341" s="1074"/>
      <c r="AJ341" s="1074"/>
      <c r="AK341" s="1074"/>
    </row>
    <row r="342">
      <c r="A342" s="1072"/>
      <c r="B342" s="1072"/>
      <c r="C342" s="1075"/>
      <c r="D342" s="1074"/>
      <c r="E342" s="1074"/>
      <c r="F342" s="1074"/>
      <c r="G342" s="1076"/>
      <c r="H342" s="1074"/>
      <c r="I342" s="1074"/>
      <c r="J342" s="1072"/>
      <c r="K342" s="1075"/>
      <c r="L342" s="1074"/>
      <c r="M342" s="1074"/>
      <c r="N342" s="1074"/>
      <c r="O342" s="1076"/>
      <c r="P342" s="1074"/>
      <c r="Q342" s="1074"/>
      <c r="R342" s="1072"/>
      <c r="S342" s="1073"/>
      <c r="T342" s="1074"/>
      <c r="U342" s="1074"/>
      <c r="V342" s="1074"/>
      <c r="W342" s="1074"/>
      <c r="X342" s="1074"/>
      <c r="Y342" s="1072"/>
      <c r="Z342" s="1073"/>
      <c r="AA342" s="1074"/>
      <c r="AB342" s="1074"/>
      <c r="AC342" s="1074"/>
      <c r="AD342" s="1074"/>
      <c r="AE342" s="1074"/>
      <c r="AF342" s="1072"/>
      <c r="AG342" s="1073"/>
      <c r="AH342" s="1074"/>
      <c r="AI342" s="1074"/>
      <c r="AJ342" s="1074"/>
      <c r="AK342" s="1074"/>
    </row>
    <row r="343">
      <c r="A343" s="1072"/>
      <c r="B343" s="1072"/>
      <c r="C343" s="1075"/>
      <c r="D343" s="1074"/>
      <c r="E343" s="1074"/>
      <c r="F343" s="1074"/>
      <c r="G343" s="1076"/>
      <c r="H343" s="1074"/>
      <c r="I343" s="1074"/>
      <c r="J343" s="1072"/>
      <c r="K343" s="1075"/>
      <c r="L343" s="1074"/>
      <c r="M343" s="1074"/>
      <c r="N343" s="1074"/>
      <c r="O343" s="1076"/>
      <c r="P343" s="1074"/>
      <c r="Q343" s="1074"/>
      <c r="R343" s="1072"/>
      <c r="S343" s="1073"/>
      <c r="T343" s="1074"/>
      <c r="U343" s="1074"/>
      <c r="V343" s="1074"/>
      <c r="W343" s="1074"/>
      <c r="X343" s="1074"/>
      <c r="Y343" s="1072"/>
      <c r="Z343" s="1073"/>
      <c r="AA343" s="1074"/>
      <c r="AB343" s="1074"/>
      <c r="AC343" s="1074"/>
      <c r="AD343" s="1074"/>
      <c r="AE343" s="1074"/>
      <c r="AF343" s="1072"/>
      <c r="AG343" s="1073"/>
      <c r="AH343" s="1074"/>
      <c r="AI343" s="1074"/>
      <c r="AJ343" s="1074"/>
      <c r="AK343" s="1074"/>
    </row>
    <row r="344">
      <c r="A344" s="1072"/>
      <c r="B344" s="1072"/>
      <c r="C344" s="1075"/>
      <c r="D344" s="1074"/>
      <c r="E344" s="1074"/>
      <c r="F344" s="1074"/>
      <c r="G344" s="1076"/>
      <c r="H344" s="1074"/>
      <c r="I344" s="1074"/>
      <c r="J344" s="1072"/>
      <c r="K344" s="1075"/>
      <c r="L344" s="1074"/>
      <c r="M344" s="1074"/>
      <c r="N344" s="1074"/>
      <c r="O344" s="1076"/>
      <c r="P344" s="1074"/>
      <c r="Q344" s="1074"/>
      <c r="R344" s="1072"/>
      <c r="S344" s="1073"/>
      <c r="T344" s="1074"/>
      <c r="U344" s="1074"/>
      <c r="V344" s="1074"/>
      <c r="W344" s="1074"/>
      <c r="X344" s="1074"/>
      <c r="Y344" s="1072"/>
      <c r="Z344" s="1073"/>
      <c r="AA344" s="1074"/>
      <c r="AB344" s="1074"/>
      <c r="AC344" s="1074"/>
      <c r="AD344" s="1074"/>
      <c r="AE344" s="1074"/>
      <c r="AF344" s="1072"/>
      <c r="AG344" s="1073"/>
      <c r="AH344" s="1074"/>
      <c r="AI344" s="1074"/>
      <c r="AJ344" s="1074"/>
      <c r="AK344" s="1074"/>
    </row>
    <row r="345">
      <c r="A345" s="1072"/>
      <c r="B345" s="1072"/>
      <c r="C345" s="1075"/>
      <c r="D345" s="1074"/>
      <c r="E345" s="1074"/>
      <c r="F345" s="1074"/>
      <c r="G345" s="1076"/>
      <c r="H345" s="1074"/>
      <c r="I345" s="1074"/>
      <c r="J345" s="1072"/>
      <c r="K345" s="1075"/>
      <c r="L345" s="1074"/>
      <c r="M345" s="1074"/>
      <c r="N345" s="1074"/>
      <c r="O345" s="1076"/>
      <c r="P345" s="1074"/>
      <c r="Q345" s="1074"/>
      <c r="R345" s="1072"/>
      <c r="S345" s="1073"/>
      <c r="T345" s="1074"/>
      <c r="U345" s="1074"/>
      <c r="V345" s="1074"/>
      <c r="W345" s="1074"/>
      <c r="X345" s="1074"/>
      <c r="Y345" s="1072"/>
      <c r="Z345" s="1073"/>
      <c r="AA345" s="1074"/>
      <c r="AB345" s="1074"/>
      <c r="AC345" s="1074"/>
      <c r="AD345" s="1074"/>
      <c r="AE345" s="1074"/>
      <c r="AF345" s="1072"/>
      <c r="AG345" s="1073"/>
      <c r="AH345" s="1074"/>
      <c r="AI345" s="1074"/>
      <c r="AJ345" s="1074"/>
      <c r="AK345" s="1074"/>
    </row>
    <row r="346">
      <c r="A346" s="1072"/>
      <c r="B346" s="1072"/>
      <c r="C346" s="1075"/>
      <c r="D346" s="1074"/>
      <c r="E346" s="1074"/>
      <c r="F346" s="1074"/>
      <c r="G346" s="1076"/>
      <c r="H346" s="1074"/>
      <c r="I346" s="1074"/>
      <c r="J346" s="1072"/>
      <c r="K346" s="1075"/>
      <c r="L346" s="1074"/>
      <c r="M346" s="1074"/>
      <c r="N346" s="1074"/>
      <c r="O346" s="1076"/>
      <c r="P346" s="1074"/>
      <c r="Q346" s="1074"/>
      <c r="R346" s="1072"/>
      <c r="S346" s="1073"/>
      <c r="T346" s="1074"/>
      <c r="U346" s="1074"/>
      <c r="V346" s="1074"/>
      <c r="W346" s="1074"/>
      <c r="X346" s="1074"/>
      <c r="Y346" s="1072"/>
      <c r="Z346" s="1073"/>
      <c r="AA346" s="1074"/>
      <c r="AB346" s="1074"/>
      <c r="AC346" s="1074"/>
      <c r="AD346" s="1074"/>
      <c r="AE346" s="1074"/>
      <c r="AF346" s="1072"/>
      <c r="AG346" s="1073"/>
      <c r="AH346" s="1074"/>
      <c r="AI346" s="1074"/>
      <c r="AJ346" s="1074"/>
      <c r="AK346" s="1074"/>
    </row>
    <row r="347">
      <c r="A347" s="1072"/>
      <c r="B347" s="1072"/>
      <c r="C347" s="1075"/>
      <c r="D347" s="1074"/>
      <c r="E347" s="1074"/>
      <c r="F347" s="1074"/>
      <c r="G347" s="1076"/>
      <c r="H347" s="1074"/>
      <c r="I347" s="1074"/>
      <c r="J347" s="1072"/>
      <c r="K347" s="1075"/>
      <c r="L347" s="1074"/>
      <c r="M347" s="1074"/>
      <c r="N347" s="1074"/>
      <c r="O347" s="1076"/>
      <c r="P347" s="1074"/>
      <c r="Q347" s="1074"/>
      <c r="R347" s="1072"/>
      <c r="S347" s="1073"/>
      <c r="T347" s="1074"/>
      <c r="U347" s="1074"/>
      <c r="V347" s="1074"/>
      <c r="W347" s="1074"/>
      <c r="X347" s="1074"/>
      <c r="Y347" s="1072"/>
      <c r="Z347" s="1073"/>
      <c r="AA347" s="1074"/>
      <c r="AB347" s="1074"/>
      <c r="AC347" s="1074"/>
      <c r="AD347" s="1074"/>
      <c r="AE347" s="1074"/>
      <c r="AF347" s="1072"/>
      <c r="AG347" s="1073"/>
      <c r="AH347" s="1074"/>
      <c r="AI347" s="1074"/>
      <c r="AJ347" s="1074"/>
      <c r="AK347" s="1074"/>
    </row>
    <row r="348">
      <c r="A348" s="1072"/>
      <c r="B348" s="1072"/>
      <c r="C348" s="1075"/>
      <c r="D348" s="1074"/>
      <c r="E348" s="1074"/>
      <c r="F348" s="1074"/>
      <c r="G348" s="1076"/>
      <c r="H348" s="1074"/>
      <c r="I348" s="1074"/>
      <c r="J348" s="1072"/>
      <c r="K348" s="1075"/>
      <c r="L348" s="1074"/>
      <c r="M348" s="1074"/>
      <c r="N348" s="1074"/>
      <c r="O348" s="1076"/>
      <c r="P348" s="1074"/>
      <c r="Q348" s="1074"/>
      <c r="R348" s="1072"/>
      <c r="S348" s="1073"/>
      <c r="T348" s="1074"/>
      <c r="U348" s="1074"/>
      <c r="V348" s="1074"/>
      <c r="W348" s="1074"/>
      <c r="X348" s="1074"/>
      <c r="Y348" s="1072"/>
      <c r="Z348" s="1073"/>
      <c r="AA348" s="1074"/>
      <c r="AB348" s="1074"/>
      <c r="AC348" s="1074"/>
      <c r="AD348" s="1074"/>
      <c r="AE348" s="1074"/>
      <c r="AF348" s="1072"/>
      <c r="AG348" s="1073"/>
      <c r="AH348" s="1074"/>
      <c r="AI348" s="1074"/>
      <c r="AJ348" s="1074"/>
      <c r="AK348" s="1074"/>
    </row>
    <row r="349">
      <c r="A349" s="1072"/>
      <c r="B349" s="1072"/>
      <c r="C349" s="1075"/>
      <c r="D349" s="1074"/>
      <c r="E349" s="1074"/>
      <c r="F349" s="1074"/>
      <c r="G349" s="1076"/>
      <c r="H349" s="1074"/>
      <c r="I349" s="1074"/>
      <c r="J349" s="1072"/>
      <c r="K349" s="1075"/>
      <c r="L349" s="1074"/>
      <c r="M349" s="1074"/>
      <c r="N349" s="1074"/>
      <c r="O349" s="1076"/>
      <c r="P349" s="1074"/>
      <c r="Q349" s="1074"/>
      <c r="R349" s="1072"/>
      <c r="S349" s="1073"/>
      <c r="T349" s="1074"/>
      <c r="U349" s="1074"/>
      <c r="V349" s="1074"/>
      <c r="W349" s="1074"/>
      <c r="X349" s="1074"/>
      <c r="Y349" s="1072"/>
      <c r="Z349" s="1073"/>
      <c r="AA349" s="1074"/>
      <c r="AB349" s="1074"/>
      <c r="AC349" s="1074"/>
      <c r="AD349" s="1074"/>
      <c r="AE349" s="1074"/>
      <c r="AF349" s="1072"/>
      <c r="AG349" s="1073"/>
      <c r="AH349" s="1074"/>
      <c r="AI349" s="1074"/>
      <c r="AJ349" s="1074"/>
      <c r="AK349" s="1074"/>
    </row>
    <row r="350">
      <c r="A350" s="1072"/>
      <c r="B350" s="1072"/>
      <c r="C350" s="1075"/>
      <c r="D350" s="1074"/>
      <c r="E350" s="1074"/>
      <c r="F350" s="1074"/>
      <c r="G350" s="1076"/>
      <c r="H350" s="1074"/>
      <c r="I350" s="1074"/>
      <c r="J350" s="1072"/>
      <c r="K350" s="1075"/>
      <c r="L350" s="1074"/>
      <c r="M350" s="1074"/>
      <c r="N350" s="1074"/>
      <c r="O350" s="1076"/>
      <c r="P350" s="1074"/>
      <c r="Q350" s="1074"/>
      <c r="R350" s="1072"/>
      <c r="S350" s="1073"/>
      <c r="T350" s="1074"/>
      <c r="U350" s="1074"/>
      <c r="V350" s="1074"/>
      <c r="W350" s="1074"/>
      <c r="X350" s="1074"/>
      <c r="Y350" s="1072"/>
      <c r="Z350" s="1073"/>
      <c r="AA350" s="1074"/>
      <c r="AB350" s="1074"/>
      <c r="AC350" s="1074"/>
      <c r="AD350" s="1074"/>
      <c r="AE350" s="1074"/>
      <c r="AF350" s="1072"/>
      <c r="AG350" s="1073"/>
      <c r="AH350" s="1074"/>
      <c r="AI350" s="1074"/>
      <c r="AJ350" s="1074"/>
      <c r="AK350" s="1074"/>
    </row>
    <row r="351">
      <c r="A351" s="1072"/>
      <c r="B351" s="1072"/>
      <c r="C351" s="1075"/>
      <c r="D351" s="1074"/>
      <c r="E351" s="1074"/>
      <c r="F351" s="1074"/>
      <c r="G351" s="1076"/>
      <c r="H351" s="1074"/>
      <c r="I351" s="1074"/>
      <c r="J351" s="1072"/>
      <c r="K351" s="1075"/>
      <c r="L351" s="1074"/>
      <c r="M351" s="1074"/>
      <c r="N351" s="1074"/>
      <c r="O351" s="1076"/>
      <c r="P351" s="1074"/>
      <c r="Q351" s="1074"/>
      <c r="R351" s="1072"/>
      <c r="S351" s="1073"/>
      <c r="T351" s="1074"/>
      <c r="U351" s="1074"/>
      <c r="V351" s="1074"/>
      <c r="W351" s="1074"/>
      <c r="X351" s="1074"/>
      <c r="Y351" s="1072"/>
      <c r="Z351" s="1073"/>
      <c r="AA351" s="1074"/>
      <c r="AB351" s="1074"/>
      <c r="AC351" s="1074"/>
      <c r="AD351" s="1074"/>
      <c r="AE351" s="1074"/>
      <c r="AF351" s="1072"/>
      <c r="AG351" s="1073"/>
      <c r="AH351" s="1074"/>
      <c r="AI351" s="1074"/>
      <c r="AJ351" s="1074"/>
      <c r="AK351" s="1074"/>
    </row>
    <row r="352">
      <c r="A352" s="1072"/>
      <c r="B352" s="1072"/>
      <c r="C352" s="1075"/>
      <c r="D352" s="1074"/>
      <c r="E352" s="1074"/>
      <c r="F352" s="1074"/>
      <c r="G352" s="1076"/>
      <c r="H352" s="1074"/>
      <c r="I352" s="1074"/>
      <c r="J352" s="1072"/>
      <c r="K352" s="1075"/>
      <c r="L352" s="1074"/>
      <c r="M352" s="1074"/>
      <c r="N352" s="1074"/>
      <c r="O352" s="1076"/>
      <c r="P352" s="1074"/>
      <c r="Q352" s="1074"/>
      <c r="R352" s="1072"/>
      <c r="S352" s="1073"/>
      <c r="T352" s="1074"/>
      <c r="U352" s="1074"/>
      <c r="V352" s="1074"/>
      <c r="W352" s="1074"/>
      <c r="X352" s="1074"/>
      <c r="Y352" s="1072"/>
      <c r="Z352" s="1073"/>
      <c r="AA352" s="1074"/>
      <c r="AB352" s="1074"/>
      <c r="AC352" s="1074"/>
      <c r="AD352" s="1074"/>
      <c r="AE352" s="1074"/>
      <c r="AF352" s="1072"/>
      <c r="AG352" s="1073"/>
      <c r="AH352" s="1074"/>
      <c r="AI352" s="1074"/>
      <c r="AJ352" s="1074"/>
      <c r="AK352" s="1074"/>
    </row>
    <row r="353">
      <c r="A353" s="1072"/>
      <c r="B353" s="1072"/>
      <c r="C353" s="1075"/>
      <c r="D353" s="1074"/>
      <c r="E353" s="1074"/>
      <c r="F353" s="1074"/>
      <c r="G353" s="1076"/>
      <c r="H353" s="1074"/>
      <c r="I353" s="1074"/>
      <c r="J353" s="1072"/>
      <c r="K353" s="1075"/>
      <c r="L353" s="1074"/>
      <c r="M353" s="1074"/>
      <c r="N353" s="1074"/>
      <c r="O353" s="1076"/>
      <c r="P353" s="1074"/>
      <c r="Q353" s="1074"/>
      <c r="R353" s="1072"/>
      <c r="S353" s="1073"/>
      <c r="T353" s="1074"/>
      <c r="U353" s="1074"/>
      <c r="V353" s="1074"/>
      <c r="W353" s="1074"/>
      <c r="X353" s="1074"/>
      <c r="Y353" s="1072"/>
      <c r="Z353" s="1073"/>
      <c r="AA353" s="1074"/>
      <c r="AB353" s="1074"/>
      <c r="AC353" s="1074"/>
      <c r="AD353" s="1074"/>
      <c r="AE353" s="1074"/>
      <c r="AF353" s="1072"/>
      <c r="AG353" s="1073"/>
      <c r="AH353" s="1074"/>
      <c r="AI353" s="1074"/>
      <c r="AJ353" s="1074"/>
      <c r="AK353" s="1074"/>
    </row>
    <row r="354">
      <c r="A354" s="1072"/>
      <c r="B354" s="1072"/>
      <c r="C354" s="1075"/>
      <c r="D354" s="1074"/>
      <c r="E354" s="1074"/>
      <c r="F354" s="1074"/>
      <c r="G354" s="1076"/>
      <c r="H354" s="1074"/>
      <c r="I354" s="1074"/>
      <c r="J354" s="1072"/>
      <c r="K354" s="1075"/>
      <c r="L354" s="1074"/>
      <c r="M354" s="1074"/>
      <c r="N354" s="1074"/>
      <c r="O354" s="1076"/>
      <c r="P354" s="1074"/>
      <c r="Q354" s="1074"/>
      <c r="R354" s="1072"/>
      <c r="S354" s="1073"/>
      <c r="T354" s="1074"/>
      <c r="U354" s="1074"/>
      <c r="V354" s="1074"/>
      <c r="W354" s="1074"/>
      <c r="X354" s="1074"/>
      <c r="Y354" s="1072"/>
      <c r="Z354" s="1073"/>
      <c r="AA354" s="1074"/>
      <c r="AB354" s="1074"/>
      <c r="AC354" s="1074"/>
      <c r="AD354" s="1074"/>
      <c r="AE354" s="1074"/>
      <c r="AF354" s="1072"/>
      <c r="AG354" s="1073"/>
      <c r="AH354" s="1074"/>
      <c r="AI354" s="1074"/>
      <c r="AJ354" s="1074"/>
      <c r="AK354" s="1074"/>
    </row>
    <row r="355">
      <c r="A355" s="1072"/>
      <c r="B355" s="1072"/>
      <c r="C355" s="1075"/>
      <c r="D355" s="1074"/>
      <c r="E355" s="1074"/>
      <c r="F355" s="1074"/>
      <c r="G355" s="1076"/>
      <c r="H355" s="1074"/>
      <c r="I355" s="1074"/>
      <c r="J355" s="1072"/>
      <c r="K355" s="1075"/>
      <c r="L355" s="1074"/>
      <c r="M355" s="1074"/>
      <c r="N355" s="1074"/>
      <c r="O355" s="1076"/>
      <c r="P355" s="1074"/>
      <c r="Q355" s="1074"/>
      <c r="R355" s="1072"/>
      <c r="S355" s="1073"/>
      <c r="T355" s="1074"/>
      <c r="U355" s="1074"/>
      <c r="V355" s="1074"/>
      <c r="W355" s="1074"/>
      <c r="X355" s="1074"/>
      <c r="Y355" s="1072"/>
      <c r="Z355" s="1073"/>
      <c r="AA355" s="1074"/>
      <c r="AB355" s="1074"/>
      <c r="AC355" s="1074"/>
      <c r="AD355" s="1074"/>
      <c r="AE355" s="1074"/>
      <c r="AF355" s="1072"/>
      <c r="AG355" s="1073"/>
      <c r="AH355" s="1074"/>
      <c r="AI355" s="1074"/>
      <c r="AJ355" s="1074"/>
      <c r="AK355" s="1074"/>
    </row>
    <row r="356">
      <c r="A356" s="1072"/>
      <c r="B356" s="1072"/>
      <c r="C356" s="1075"/>
      <c r="D356" s="1074"/>
      <c r="E356" s="1074"/>
      <c r="F356" s="1074"/>
      <c r="G356" s="1076"/>
      <c r="H356" s="1074"/>
      <c r="I356" s="1074"/>
      <c r="J356" s="1072"/>
      <c r="K356" s="1075"/>
      <c r="L356" s="1074"/>
      <c r="M356" s="1074"/>
      <c r="N356" s="1074"/>
      <c r="O356" s="1076"/>
      <c r="P356" s="1074"/>
      <c r="Q356" s="1074"/>
      <c r="R356" s="1072"/>
      <c r="S356" s="1073"/>
      <c r="T356" s="1074"/>
      <c r="U356" s="1074"/>
      <c r="V356" s="1074"/>
      <c r="W356" s="1074"/>
      <c r="X356" s="1074"/>
      <c r="Y356" s="1072"/>
      <c r="Z356" s="1073"/>
      <c r="AA356" s="1074"/>
      <c r="AB356" s="1074"/>
      <c r="AC356" s="1074"/>
      <c r="AD356" s="1074"/>
      <c r="AE356" s="1074"/>
      <c r="AF356" s="1072"/>
      <c r="AG356" s="1073"/>
      <c r="AH356" s="1074"/>
      <c r="AI356" s="1074"/>
      <c r="AJ356" s="1074"/>
      <c r="AK356" s="1074"/>
    </row>
    <row r="357">
      <c r="A357" s="1072"/>
      <c r="B357" s="1072"/>
      <c r="C357" s="1075"/>
      <c r="D357" s="1074"/>
      <c r="E357" s="1074"/>
      <c r="F357" s="1074"/>
      <c r="G357" s="1076"/>
      <c r="H357" s="1074"/>
      <c r="I357" s="1074"/>
      <c r="J357" s="1072"/>
      <c r="K357" s="1075"/>
      <c r="L357" s="1074"/>
      <c r="M357" s="1074"/>
      <c r="N357" s="1074"/>
      <c r="O357" s="1076"/>
      <c r="P357" s="1074"/>
      <c r="Q357" s="1074"/>
      <c r="R357" s="1072"/>
      <c r="S357" s="1073"/>
      <c r="T357" s="1074"/>
      <c r="U357" s="1074"/>
      <c r="V357" s="1074"/>
      <c r="W357" s="1074"/>
      <c r="X357" s="1074"/>
      <c r="Y357" s="1072"/>
      <c r="Z357" s="1073"/>
      <c r="AA357" s="1074"/>
      <c r="AB357" s="1074"/>
      <c r="AC357" s="1074"/>
      <c r="AD357" s="1074"/>
      <c r="AE357" s="1074"/>
      <c r="AF357" s="1072"/>
      <c r="AG357" s="1073"/>
      <c r="AH357" s="1074"/>
      <c r="AI357" s="1074"/>
      <c r="AJ357" s="1074"/>
      <c r="AK357" s="1074"/>
    </row>
    <row r="358">
      <c r="A358" s="1072"/>
      <c r="B358" s="1072"/>
      <c r="C358" s="1075"/>
      <c r="D358" s="1074"/>
      <c r="E358" s="1074"/>
      <c r="F358" s="1074"/>
      <c r="G358" s="1076"/>
      <c r="H358" s="1074"/>
      <c r="I358" s="1074"/>
      <c r="J358" s="1072"/>
      <c r="K358" s="1075"/>
      <c r="L358" s="1074"/>
      <c r="M358" s="1074"/>
      <c r="N358" s="1074"/>
      <c r="O358" s="1076"/>
      <c r="P358" s="1074"/>
      <c r="Q358" s="1074"/>
      <c r="R358" s="1072"/>
      <c r="S358" s="1073"/>
      <c r="T358" s="1074"/>
      <c r="U358" s="1074"/>
      <c r="V358" s="1074"/>
      <c r="W358" s="1074"/>
      <c r="X358" s="1074"/>
      <c r="Y358" s="1072"/>
      <c r="Z358" s="1073"/>
      <c r="AA358" s="1074"/>
      <c r="AB358" s="1074"/>
      <c r="AC358" s="1074"/>
      <c r="AD358" s="1074"/>
      <c r="AE358" s="1074"/>
      <c r="AF358" s="1072"/>
      <c r="AG358" s="1073"/>
      <c r="AH358" s="1074"/>
      <c r="AI358" s="1074"/>
      <c r="AJ358" s="1074"/>
      <c r="AK358" s="1074"/>
    </row>
    <row r="359">
      <c r="A359" s="1072"/>
      <c r="B359" s="1072"/>
      <c r="C359" s="1075"/>
      <c r="D359" s="1074"/>
      <c r="E359" s="1074"/>
      <c r="F359" s="1074"/>
      <c r="G359" s="1076"/>
      <c r="H359" s="1074"/>
      <c r="I359" s="1074"/>
      <c r="J359" s="1072"/>
      <c r="K359" s="1075"/>
      <c r="L359" s="1074"/>
      <c r="M359" s="1074"/>
      <c r="N359" s="1074"/>
      <c r="O359" s="1076"/>
      <c r="P359" s="1074"/>
      <c r="Q359" s="1074"/>
      <c r="R359" s="1072"/>
      <c r="S359" s="1073"/>
      <c r="T359" s="1074"/>
      <c r="U359" s="1074"/>
      <c r="V359" s="1074"/>
      <c r="W359" s="1074"/>
      <c r="X359" s="1074"/>
      <c r="Y359" s="1072"/>
      <c r="Z359" s="1073"/>
      <c r="AA359" s="1074"/>
      <c r="AB359" s="1074"/>
      <c r="AC359" s="1074"/>
      <c r="AD359" s="1074"/>
      <c r="AE359" s="1074"/>
      <c r="AF359" s="1072"/>
      <c r="AG359" s="1073"/>
      <c r="AH359" s="1074"/>
      <c r="AI359" s="1074"/>
      <c r="AJ359" s="1074"/>
      <c r="AK359" s="1074"/>
    </row>
    <row r="360">
      <c r="A360" s="1072"/>
      <c r="B360" s="1072"/>
      <c r="C360" s="1075"/>
      <c r="D360" s="1074"/>
      <c r="E360" s="1074"/>
      <c r="F360" s="1074"/>
      <c r="G360" s="1076"/>
      <c r="H360" s="1074"/>
      <c r="I360" s="1074"/>
      <c r="J360" s="1072"/>
      <c r="K360" s="1075"/>
      <c r="L360" s="1074"/>
      <c r="M360" s="1074"/>
      <c r="N360" s="1074"/>
      <c r="O360" s="1076"/>
      <c r="P360" s="1074"/>
      <c r="Q360" s="1074"/>
      <c r="R360" s="1072"/>
      <c r="S360" s="1073"/>
      <c r="T360" s="1074"/>
      <c r="U360" s="1074"/>
      <c r="V360" s="1074"/>
      <c r="W360" s="1074"/>
      <c r="X360" s="1074"/>
      <c r="Y360" s="1072"/>
      <c r="Z360" s="1073"/>
      <c r="AA360" s="1074"/>
      <c r="AB360" s="1074"/>
      <c r="AC360" s="1074"/>
      <c r="AD360" s="1074"/>
      <c r="AE360" s="1074"/>
      <c r="AF360" s="1072"/>
      <c r="AG360" s="1073"/>
      <c r="AH360" s="1074"/>
      <c r="AI360" s="1074"/>
      <c r="AJ360" s="1074"/>
      <c r="AK360" s="1074"/>
    </row>
    <row r="361">
      <c r="A361" s="1072"/>
      <c r="B361" s="1072"/>
      <c r="C361" s="1075"/>
      <c r="D361" s="1074"/>
      <c r="E361" s="1074"/>
      <c r="F361" s="1074"/>
      <c r="G361" s="1076"/>
      <c r="H361" s="1074"/>
      <c r="I361" s="1074"/>
      <c r="J361" s="1072"/>
      <c r="K361" s="1075"/>
      <c r="L361" s="1074"/>
      <c r="M361" s="1074"/>
      <c r="N361" s="1074"/>
      <c r="O361" s="1076"/>
      <c r="P361" s="1074"/>
      <c r="Q361" s="1074"/>
      <c r="R361" s="1072"/>
      <c r="S361" s="1073"/>
      <c r="T361" s="1074"/>
      <c r="U361" s="1074"/>
      <c r="V361" s="1074"/>
      <c r="W361" s="1074"/>
      <c r="X361" s="1074"/>
      <c r="Y361" s="1072"/>
      <c r="Z361" s="1073"/>
      <c r="AA361" s="1074"/>
      <c r="AB361" s="1074"/>
      <c r="AC361" s="1074"/>
      <c r="AD361" s="1074"/>
      <c r="AE361" s="1074"/>
      <c r="AF361" s="1072"/>
      <c r="AG361" s="1073"/>
      <c r="AH361" s="1074"/>
      <c r="AI361" s="1074"/>
      <c r="AJ361" s="1074"/>
      <c r="AK361" s="1074"/>
    </row>
    <row r="362">
      <c r="A362" s="1072"/>
      <c r="B362" s="1072"/>
      <c r="C362" s="1075"/>
      <c r="D362" s="1074"/>
      <c r="E362" s="1074"/>
      <c r="F362" s="1074"/>
      <c r="G362" s="1076"/>
      <c r="H362" s="1074"/>
      <c r="I362" s="1074"/>
      <c r="J362" s="1072"/>
      <c r="K362" s="1075"/>
      <c r="L362" s="1074"/>
      <c r="M362" s="1074"/>
      <c r="N362" s="1074"/>
      <c r="O362" s="1076"/>
      <c r="P362" s="1074"/>
      <c r="Q362" s="1074"/>
      <c r="R362" s="1072"/>
      <c r="S362" s="1073"/>
      <c r="T362" s="1074"/>
      <c r="U362" s="1074"/>
      <c r="V362" s="1074"/>
      <c r="W362" s="1074"/>
      <c r="X362" s="1074"/>
      <c r="Y362" s="1072"/>
      <c r="Z362" s="1073"/>
      <c r="AA362" s="1074"/>
      <c r="AB362" s="1074"/>
      <c r="AC362" s="1074"/>
      <c r="AD362" s="1074"/>
      <c r="AE362" s="1074"/>
      <c r="AF362" s="1072"/>
      <c r="AG362" s="1073"/>
      <c r="AH362" s="1074"/>
      <c r="AI362" s="1074"/>
      <c r="AJ362" s="1074"/>
      <c r="AK362" s="1074"/>
    </row>
    <row r="363">
      <c r="A363" s="1072"/>
      <c r="B363" s="1072"/>
      <c r="C363" s="1075"/>
      <c r="D363" s="1074"/>
      <c r="E363" s="1074"/>
      <c r="F363" s="1074"/>
      <c r="G363" s="1076"/>
      <c r="H363" s="1074"/>
      <c r="I363" s="1074"/>
      <c r="J363" s="1072"/>
      <c r="K363" s="1075"/>
      <c r="L363" s="1074"/>
      <c r="M363" s="1074"/>
      <c r="N363" s="1074"/>
      <c r="O363" s="1076"/>
      <c r="P363" s="1074"/>
      <c r="Q363" s="1074"/>
      <c r="R363" s="1072"/>
      <c r="S363" s="1073"/>
      <c r="T363" s="1074"/>
      <c r="U363" s="1074"/>
      <c r="V363" s="1074"/>
      <c r="W363" s="1074"/>
      <c r="X363" s="1074"/>
      <c r="Y363" s="1072"/>
      <c r="Z363" s="1073"/>
      <c r="AA363" s="1074"/>
      <c r="AB363" s="1074"/>
      <c r="AC363" s="1074"/>
      <c r="AD363" s="1074"/>
      <c r="AE363" s="1074"/>
      <c r="AF363" s="1072"/>
      <c r="AG363" s="1073"/>
      <c r="AH363" s="1074"/>
      <c r="AI363" s="1074"/>
      <c r="AJ363" s="1074"/>
      <c r="AK363" s="1074"/>
    </row>
    <row r="364">
      <c r="A364" s="1072"/>
      <c r="B364" s="1072"/>
      <c r="C364" s="1075"/>
      <c r="D364" s="1074"/>
      <c r="E364" s="1074"/>
      <c r="F364" s="1074"/>
      <c r="G364" s="1076"/>
      <c r="H364" s="1074"/>
      <c r="I364" s="1074"/>
      <c r="J364" s="1072"/>
      <c r="K364" s="1075"/>
      <c r="L364" s="1074"/>
      <c r="M364" s="1074"/>
      <c r="N364" s="1074"/>
      <c r="O364" s="1076"/>
      <c r="P364" s="1074"/>
      <c r="Q364" s="1074"/>
      <c r="R364" s="1072"/>
      <c r="S364" s="1073"/>
      <c r="T364" s="1074"/>
      <c r="U364" s="1074"/>
      <c r="V364" s="1074"/>
      <c r="W364" s="1074"/>
      <c r="X364" s="1074"/>
      <c r="Y364" s="1072"/>
      <c r="Z364" s="1073"/>
      <c r="AA364" s="1074"/>
      <c r="AB364" s="1074"/>
      <c r="AC364" s="1074"/>
      <c r="AD364" s="1074"/>
      <c r="AE364" s="1074"/>
      <c r="AF364" s="1072"/>
      <c r="AG364" s="1073"/>
      <c r="AH364" s="1074"/>
      <c r="AI364" s="1074"/>
      <c r="AJ364" s="1074"/>
      <c r="AK364" s="1074"/>
    </row>
    <row r="365">
      <c r="A365" s="1072"/>
      <c r="B365" s="1072"/>
      <c r="C365" s="1075"/>
      <c r="D365" s="1074"/>
      <c r="E365" s="1074"/>
      <c r="F365" s="1074"/>
      <c r="G365" s="1076"/>
      <c r="H365" s="1074"/>
      <c r="I365" s="1074"/>
      <c r="J365" s="1072"/>
      <c r="K365" s="1075"/>
      <c r="L365" s="1074"/>
      <c r="M365" s="1074"/>
      <c r="N365" s="1074"/>
      <c r="O365" s="1076"/>
      <c r="P365" s="1074"/>
      <c r="Q365" s="1074"/>
      <c r="R365" s="1072"/>
      <c r="S365" s="1073"/>
      <c r="T365" s="1074"/>
      <c r="U365" s="1074"/>
      <c r="V365" s="1074"/>
      <c r="W365" s="1074"/>
      <c r="X365" s="1074"/>
      <c r="Y365" s="1072"/>
      <c r="Z365" s="1073"/>
      <c r="AA365" s="1074"/>
      <c r="AB365" s="1074"/>
      <c r="AC365" s="1074"/>
      <c r="AD365" s="1074"/>
      <c r="AE365" s="1074"/>
      <c r="AF365" s="1072"/>
      <c r="AG365" s="1073"/>
      <c r="AH365" s="1074"/>
      <c r="AI365" s="1074"/>
      <c r="AJ365" s="1074"/>
      <c r="AK365" s="1074"/>
    </row>
    <row r="366">
      <c r="A366" s="1072"/>
      <c r="B366" s="1072"/>
      <c r="C366" s="1075"/>
      <c r="D366" s="1074"/>
      <c r="E366" s="1074"/>
      <c r="F366" s="1074"/>
      <c r="G366" s="1076"/>
      <c r="H366" s="1074"/>
      <c r="I366" s="1074"/>
      <c r="J366" s="1072"/>
      <c r="K366" s="1075"/>
      <c r="L366" s="1074"/>
      <c r="M366" s="1074"/>
      <c r="N366" s="1074"/>
      <c r="O366" s="1076"/>
      <c r="P366" s="1074"/>
      <c r="Q366" s="1074"/>
      <c r="R366" s="1072"/>
      <c r="S366" s="1073"/>
      <c r="T366" s="1074"/>
      <c r="U366" s="1074"/>
      <c r="V366" s="1074"/>
      <c r="W366" s="1074"/>
      <c r="X366" s="1074"/>
      <c r="Y366" s="1072"/>
      <c r="Z366" s="1073"/>
      <c r="AA366" s="1074"/>
      <c r="AB366" s="1074"/>
      <c r="AC366" s="1074"/>
      <c r="AD366" s="1074"/>
      <c r="AE366" s="1074"/>
      <c r="AF366" s="1072"/>
      <c r="AG366" s="1073"/>
      <c r="AH366" s="1074"/>
      <c r="AI366" s="1074"/>
      <c r="AJ366" s="1074"/>
      <c r="AK366" s="1074"/>
    </row>
    <row r="367">
      <c r="A367" s="1072"/>
      <c r="B367" s="1072"/>
      <c r="C367" s="1075"/>
      <c r="D367" s="1074"/>
      <c r="E367" s="1074"/>
      <c r="F367" s="1074"/>
      <c r="G367" s="1076"/>
      <c r="H367" s="1074"/>
      <c r="I367" s="1074"/>
      <c r="J367" s="1072"/>
      <c r="K367" s="1075"/>
      <c r="L367" s="1074"/>
      <c r="M367" s="1074"/>
      <c r="N367" s="1074"/>
      <c r="O367" s="1076"/>
      <c r="P367" s="1074"/>
      <c r="Q367" s="1074"/>
      <c r="R367" s="1072"/>
      <c r="S367" s="1073"/>
      <c r="T367" s="1074"/>
      <c r="U367" s="1074"/>
      <c r="V367" s="1074"/>
      <c r="W367" s="1074"/>
      <c r="X367" s="1074"/>
      <c r="Y367" s="1072"/>
      <c r="Z367" s="1073"/>
      <c r="AA367" s="1074"/>
      <c r="AB367" s="1074"/>
      <c r="AC367" s="1074"/>
      <c r="AD367" s="1074"/>
      <c r="AE367" s="1074"/>
      <c r="AF367" s="1072"/>
      <c r="AG367" s="1073"/>
      <c r="AH367" s="1074"/>
      <c r="AI367" s="1074"/>
      <c r="AJ367" s="1074"/>
      <c r="AK367" s="1074"/>
    </row>
    <row r="368">
      <c r="A368" s="1072"/>
      <c r="B368" s="1072"/>
      <c r="C368" s="1075"/>
      <c r="D368" s="1074"/>
      <c r="E368" s="1074"/>
      <c r="F368" s="1074"/>
      <c r="G368" s="1076"/>
      <c r="H368" s="1074"/>
      <c r="I368" s="1074"/>
      <c r="J368" s="1072"/>
      <c r="K368" s="1075"/>
      <c r="L368" s="1074"/>
      <c r="M368" s="1074"/>
      <c r="N368" s="1074"/>
      <c r="O368" s="1076"/>
      <c r="P368" s="1074"/>
      <c r="Q368" s="1074"/>
      <c r="R368" s="1072"/>
      <c r="S368" s="1073"/>
      <c r="T368" s="1074"/>
      <c r="U368" s="1074"/>
      <c r="V368" s="1074"/>
      <c r="W368" s="1074"/>
      <c r="X368" s="1074"/>
      <c r="Y368" s="1072"/>
      <c r="Z368" s="1073"/>
      <c r="AA368" s="1074"/>
      <c r="AB368" s="1074"/>
      <c r="AC368" s="1074"/>
      <c r="AD368" s="1074"/>
      <c r="AE368" s="1074"/>
      <c r="AF368" s="1072"/>
      <c r="AG368" s="1073"/>
      <c r="AH368" s="1074"/>
      <c r="AI368" s="1074"/>
      <c r="AJ368" s="1074"/>
      <c r="AK368" s="1074"/>
    </row>
    <row r="369">
      <c r="A369" s="1072"/>
      <c r="B369" s="1072"/>
      <c r="C369" s="1075"/>
      <c r="D369" s="1074"/>
      <c r="E369" s="1074"/>
      <c r="F369" s="1074"/>
      <c r="G369" s="1076"/>
      <c r="H369" s="1074"/>
      <c r="I369" s="1074"/>
      <c r="J369" s="1072"/>
      <c r="K369" s="1075"/>
      <c r="L369" s="1074"/>
      <c r="M369" s="1074"/>
      <c r="N369" s="1074"/>
      <c r="O369" s="1076"/>
      <c r="P369" s="1074"/>
      <c r="Q369" s="1074"/>
      <c r="R369" s="1072"/>
      <c r="S369" s="1073"/>
      <c r="T369" s="1074"/>
      <c r="U369" s="1074"/>
      <c r="V369" s="1074"/>
      <c r="W369" s="1074"/>
      <c r="X369" s="1074"/>
      <c r="Y369" s="1072"/>
      <c r="Z369" s="1073"/>
      <c r="AA369" s="1074"/>
      <c r="AB369" s="1074"/>
      <c r="AC369" s="1074"/>
      <c r="AD369" s="1074"/>
      <c r="AE369" s="1074"/>
      <c r="AF369" s="1072"/>
      <c r="AG369" s="1073"/>
      <c r="AH369" s="1074"/>
      <c r="AI369" s="1074"/>
      <c r="AJ369" s="1074"/>
      <c r="AK369" s="1074"/>
    </row>
    <row r="370">
      <c r="A370" s="1072"/>
      <c r="B370" s="1072"/>
      <c r="C370" s="1075"/>
      <c r="D370" s="1074"/>
      <c r="E370" s="1074"/>
      <c r="F370" s="1074"/>
      <c r="G370" s="1076"/>
      <c r="H370" s="1074"/>
      <c r="I370" s="1074"/>
      <c r="J370" s="1072"/>
      <c r="K370" s="1075"/>
      <c r="L370" s="1074"/>
      <c r="M370" s="1074"/>
      <c r="N370" s="1074"/>
      <c r="O370" s="1076"/>
      <c r="P370" s="1074"/>
      <c r="Q370" s="1074"/>
      <c r="R370" s="1072"/>
      <c r="S370" s="1073"/>
      <c r="T370" s="1074"/>
      <c r="U370" s="1074"/>
      <c r="V370" s="1074"/>
      <c r="W370" s="1074"/>
      <c r="X370" s="1074"/>
      <c r="Y370" s="1072"/>
      <c r="Z370" s="1073"/>
      <c r="AA370" s="1074"/>
      <c r="AB370" s="1074"/>
      <c r="AC370" s="1074"/>
      <c r="AD370" s="1074"/>
      <c r="AE370" s="1074"/>
      <c r="AF370" s="1072"/>
      <c r="AG370" s="1073"/>
      <c r="AH370" s="1074"/>
      <c r="AI370" s="1074"/>
      <c r="AJ370" s="1074"/>
      <c r="AK370" s="1074"/>
    </row>
    <row r="371">
      <c r="A371" s="1072"/>
      <c r="B371" s="1072"/>
      <c r="C371" s="1075"/>
      <c r="D371" s="1074"/>
      <c r="E371" s="1074"/>
      <c r="F371" s="1074"/>
      <c r="G371" s="1076"/>
      <c r="H371" s="1074"/>
      <c r="I371" s="1074"/>
      <c r="J371" s="1072"/>
      <c r="K371" s="1075"/>
      <c r="L371" s="1074"/>
      <c r="M371" s="1074"/>
      <c r="N371" s="1074"/>
      <c r="O371" s="1076"/>
      <c r="P371" s="1074"/>
      <c r="Q371" s="1074"/>
      <c r="R371" s="1072"/>
      <c r="S371" s="1073"/>
      <c r="T371" s="1074"/>
      <c r="U371" s="1074"/>
      <c r="V371" s="1074"/>
      <c r="W371" s="1074"/>
      <c r="X371" s="1074"/>
      <c r="Y371" s="1072"/>
      <c r="Z371" s="1073"/>
      <c r="AA371" s="1074"/>
      <c r="AB371" s="1074"/>
      <c r="AC371" s="1074"/>
      <c r="AD371" s="1074"/>
      <c r="AE371" s="1074"/>
      <c r="AF371" s="1072"/>
      <c r="AG371" s="1073"/>
      <c r="AH371" s="1074"/>
      <c r="AI371" s="1074"/>
      <c r="AJ371" s="1074"/>
      <c r="AK371" s="1074"/>
    </row>
    <row r="372">
      <c r="A372" s="1072"/>
      <c r="B372" s="1072"/>
      <c r="C372" s="1075"/>
      <c r="D372" s="1074"/>
      <c r="E372" s="1074"/>
      <c r="F372" s="1074"/>
      <c r="G372" s="1076"/>
      <c r="H372" s="1074"/>
      <c r="I372" s="1074"/>
      <c r="J372" s="1072"/>
      <c r="K372" s="1075"/>
      <c r="L372" s="1074"/>
      <c r="M372" s="1074"/>
      <c r="N372" s="1074"/>
      <c r="O372" s="1076"/>
      <c r="P372" s="1074"/>
      <c r="Q372" s="1074"/>
      <c r="R372" s="1072"/>
      <c r="S372" s="1073"/>
      <c r="T372" s="1074"/>
      <c r="U372" s="1074"/>
      <c r="V372" s="1074"/>
      <c r="W372" s="1074"/>
      <c r="X372" s="1074"/>
      <c r="Y372" s="1072"/>
      <c r="Z372" s="1073"/>
      <c r="AA372" s="1074"/>
      <c r="AB372" s="1074"/>
      <c r="AC372" s="1074"/>
      <c r="AD372" s="1074"/>
      <c r="AE372" s="1074"/>
      <c r="AF372" s="1072"/>
      <c r="AG372" s="1073"/>
      <c r="AH372" s="1074"/>
      <c r="AI372" s="1074"/>
      <c r="AJ372" s="1074"/>
      <c r="AK372" s="1074"/>
    </row>
    <row r="373">
      <c r="A373" s="1072"/>
      <c r="B373" s="1072"/>
      <c r="C373" s="1075"/>
      <c r="D373" s="1074"/>
      <c r="E373" s="1074"/>
      <c r="F373" s="1074"/>
      <c r="G373" s="1076"/>
      <c r="H373" s="1074"/>
      <c r="I373" s="1074"/>
      <c r="J373" s="1072"/>
      <c r="K373" s="1075"/>
      <c r="L373" s="1074"/>
      <c r="M373" s="1074"/>
      <c r="N373" s="1074"/>
      <c r="O373" s="1076"/>
      <c r="P373" s="1074"/>
      <c r="Q373" s="1074"/>
      <c r="R373" s="1072"/>
      <c r="S373" s="1073"/>
      <c r="T373" s="1074"/>
      <c r="U373" s="1074"/>
      <c r="V373" s="1074"/>
      <c r="W373" s="1074"/>
      <c r="X373" s="1074"/>
      <c r="Y373" s="1072"/>
      <c r="Z373" s="1073"/>
      <c r="AA373" s="1074"/>
      <c r="AB373" s="1074"/>
      <c r="AC373" s="1074"/>
      <c r="AD373" s="1074"/>
      <c r="AE373" s="1074"/>
      <c r="AF373" s="1072"/>
      <c r="AG373" s="1073"/>
      <c r="AH373" s="1074"/>
      <c r="AI373" s="1074"/>
      <c r="AJ373" s="1074"/>
      <c r="AK373" s="1074"/>
    </row>
    <row r="374">
      <c r="A374" s="1072"/>
      <c r="B374" s="1072"/>
      <c r="C374" s="1075"/>
      <c r="D374" s="1074"/>
      <c r="E374" s="1074"/>
      <c r="F374" s="1074"/>
      <c r="G374" s="1076"/>
      <c r="H374" s="1074"/>
      <c r="I374" s="1074"/>
      <c r="J374" s="1072"/>
      <c r="K374" s="1075"/>
      <c r="L374" s="1074"/>
      <c r="M374" s="1074"/>
      <c r="N374" s="1074"/>
      <c r="O374" s="1076"/>
      <c r="P374" s="1074"/>
      <c r="Q374" s="1074"/>
      <c r="R374" s="1072"/>
      <c r="S374" s="1073"/>
      <c r="T374" s="1074"/>
      <c r="U374" s="1074"/>
      <c r="V374" s="1074"/>
      <c r="W374" s="1074"/>
      <c r="X374" s="1074"/>
      <c r="Y374" s="1072"/>
      <c r="Z374" s="1073"/>
      <c r="AA374" s="1074"/>
      <c r="AB374" s="1074"/>
      <c r="AC374" s="1074"/>
      <c r="AD374" s="1074"/>
      <c r="AE374" s="1074"/>
      <c r="AF374" s="1072"/>
      <c r="AG374" s="1073"/>
      <c r="AH374" s="1074"/>
      <c r="AI374" s="1074"/>
      <c r="AJ374" s="1074"/>
      <c r="AK374" s="1074"/>
    </row>
    <row r="375">
      <c r="A375" s="1072"/>
      <c r="B375" s="1072"/>
      <c r="C375" s="1075"/>
      <c r="D375" s="1074"/>
      <c r="E375" s="1074"/>
      <c r="F375" s="1074"/>
      <c r="G375" s="1076"/>
      <c r="H375" s="1074"/>
      <c r="I375" s="1074"/>
      <c r="J375" s="1072"/>
      <c r="K375" s="1075"/>
      <c r="L375" s="1074"/>
      <c r="M375" s="1074"/>
      <c r="N375" s="1074"/>
      <c r="O375" s="1076"/>
      <c r="P375" s="1074"/>
      <c r="Q375" s="1074"/>
      <c r="R375" s="1072"/>
      <c r="S375" s="1073"/>
      <c r="T375" s="1074"/>
      <c r="U375" s="1074"/>
      <c r="V375" s="1074"/>
      <c r="W375" s="1074"/>
      <c r="X375" s="1074"/>
      <c r="Y375" s="1072"/>
      <c r="Z375" s="1073"/>
      <c r="AA375" s="1074"/>
      <c r="AB375" s="1074"/>
      <c r="AC375" s="1074"/>
      <c r="AD375" s="1074"/>
      <c r="AE375" s="1074"/>
      <c r="AF375" s="1072"/>
      <c r="AG375" s="1073"/>
      <c r="AH375" s="1074"/>
      <c r="AI375" s="1074"/>
      <c r="AJ375" s="1074"/>
      <c r="AK375" s="1074"/>
    </row>
    <row r="376">
      <c r="A376" s="1072"/>
      <c r="B376" s="1072"/>
      <c r="C376" s="1075"/>
      <c r="D376" s="1074"/>
      <c r="E376" s="1074"/>
      <c r="F376" s="1074"/>
      <c r="G376" s="1076"/>
      <c r="H376" s="1074"/>
      <c r="I376" s="1074"/>
      <c r="J376" s="1072"/>
      <c r="K376" s="1075"/>
      <c r="L376" s="1074"/>
      <c r="M376" s="1074"/>
      <c r="N376" s="1074"/>
      <c r="O376" s="1076"/>
      <c r="P376" s="1074"/>
      <c r="Q376" s="1074"/>
      <c r="R376" s="1072"/>
      <c r="S376" s="1073"/>
      <c r="T376" s="1074"/>
      <c r="U376" s="1074"/>
      <c r="V376" s="1074"/>
      <c r="W376" s="1074"/>
      <c r="X376" s="1074"/>
      <c r="Y376" s="1072"/>
      <c r="Z376" s="1073"/>
      <c r="AA376" s="1074"/>
      <c r="AB376" s="1074"/>
      <c r="AC376" s="1074"/>
      <c r="AD376" s="1074"/>
      <c r="AE376" s="1074"/>
      <c r="AF376" s="1072"/>
      <c r="AG376" s="1073"/>
      <c r="AH376" s="1074"/>
      <c r="AI376" s="1074"/>
      <c r="AJ376" s="1074"/>
      <c r="AK376" s="1074"/>
    </row>
    <row r="377">
      <c r="A377" s="1072"/>
      <c r="B377" s="1072"/>
      <c r="C377" s="1075"/>
      <c r="D377" s="1074"/>
      <c r="E377" s="1074"/>
      <c r="F377" s="1074"/>
      <c r="G377" s="1076"/>
      <c r="H377" s="1074"/>
      <c r="I377" s="1074"/>
      <c r="J377" s="1072"/>
      <c r="K377" s="1075"/>
      <c r="L377" s="1074"/>
      <c r="M377" s="1074"/>
      <c r="N377" s="1074"/>
      <c r="O377" s="1076"/>
      <c r="P377" s="1074"/>
      <c r="Q377" s="1074"/>
      <c r="R377" s="1072"/>
      <c r="S377" s="1073"/>
      <c r="T377" s="1074"/>
      <c r="U377" s="1074"/>
      <c r="V377" s="1074"/>
      <c r="W377" s="1074"/>
      <c r="X377" s="1074"/>
      <c r="Y377" s="1072"/>
      <c r="Z377" s="1073"/>
      <c r="AA377" s="1074"/>
      <c r="AB377" s="1074"/>
      <c r="AC377" s="1074"/>
      <c r="AD377" s="1074"/>
      <c r="AE377" s="1074"/>
      <c r="AF377" s="1072"/>
      <c r="AG377" s="1073"/>
      <c r="AH377" s="1074"/>
      <c r="AI377" s="1074"/>
      <c r="AJ377" s="1074"/>
      <c r="AK377" s="1074"/>
    </row>
    <row r="378">
      <c r="A378" s="1072"/>
      <c r="B378" s="1072"/>
      <c r="C378" s="1075"/>
      <c r="D378" s="1074"/>
      <c r="E378" s="1074"/>
      <c r="F378" s="1074"/>
      <c r="G378" s="1076"/>
      <c r="H378" s="1074"/>
      <c r="I378" s="1074"/>
      <c r="J378" s="1072"/>
      <c r="K378" s="1075"/>
      <c r="L378" s="1074"/>
      <c r="M378" s="1074"/>
      <c r="N378" s="1074"/>
      <c r="O378" s="1076"/>
      <c r="P378" s="1074"/>
      <c r="Q378" s="1074"/>
      <c r="R378" s="1072"/>
      <c r="S378" s="1073"/>
      <c r="T378" s="1074"/>
      <c r="U378" s="1074"/>
      <c r="V378" s="1074"/>
      <c r="W378" s="1074"/>
      <c r="X378" s="1074"/>
      <c r="Y378" s="1072"/>
      <c r="Z378" s="1073"/>
      <c r="AA378" s="1074"/>
      <c r="AB378" s="1074"/>
      <c r="AC378" s="1074"/>
      <c r="AD378" s="1074"/>
      <c r="AE378" s="1074"/>
      <c r="AF378" s="1072"/>
      <c r="AG378" s="1073"/>
      <c r="AH378" s="1074"/>
      <c r="AI378" s="1074"/>
      <c r="AJ378" s="1074"/>
      <c r="AK378" s="1074"/>
    </row>
    <row r="379">
      <c r="A379" s="1072"/>
      <c r="B379" s="1072"/>
      <c r="C379" s="1075"/>
      <c r="D379" s="1074"/>
      <c r="E379" s="1074"/>
      <c r="F379" s="1074"/>
      <c r="G379" s="1076"/>
      <c r="H379" s="1074"/>
      <c r="I379" s="1074"/>
      <c r="J379" s="1072"/>
      <c r="K379" s="1075"/>
      <c r="L379" s="1074"/>
      <c r="M379" s="1074"/>
      <c r="N379" s="1074"/>
      <c r="O379" s="1076"/>
      <c r="P379" s="1074"/>
      <c r="Q379" s="1074"/>
      <c r="R379" s="1072"/>
      <c r="S379" s="1073"/>
      <c r="T379" s="1074"/>
      <c r="U379" s="1074"/>
      <c r="V379" s="1074"/>
      <c r="W379" s="1074"/>
      <c r="X379" s="1074"/>
      <c r="Y379" s="1072"/>
      <c r="Z379" s="1073"/>
      <c r="AA379" s="1074"/>
      <c r="AB379" s="1074"/>
      <c r="AC379" s="1074"/>
      <c r="AD379" s="1074"/>
      <c r="AE379" s="1074"/>
      <c r="AF379" s="1072"/>
      <c r="AG379" s="1073"/>
      <c r="AH379" s="1074"/>
      <c r="AI379" s="1074"/>
      <c r="AJ379" s="1074"/>
      <c r="AK379" s="1074"/>
    </row>
    <row r="380">
      <c r="A380" s="1072"/>
      <c r="B380" s="1072"/>
      <c r="C380" s="1075"/>
      <c r="D380" s="1074"/>
      <c r="E380" s="1074"/>
      <c r="F380" s="1074"/>
      <c r="G380" s="1076"/>
      <c r="H380" s="1074"/>
      <c r="I380" s="1074"/>
      <c r="J380" s="1072"/>
      <c r="K380" s="1075"/>
      <c r="L380" s="1074"/>
      <c r="M380" s="1074"/>
      <c r="N380" s="1074"/>
      <c r="O380" s="1076"/>
      <c r="P380" s="1074"/>
      <c r="Q380" s="1074"/>
      <c r="R380" s="1072"/>
      <c r="S380" s="1073"/>
      <c r="T380" s="1074"/>
      <c r="U380" s="1074"/>
      <c r="V380" s="1074"/>
      <c r="W380" s="1074"/>
      <c r="X380" s="1074"/>
      <c r="Y380" s="1072"/>
      <c r="Z380" s="1073"/>
      <c r="AA380" s="1074"/>
      <c r="AB380" s="1074"/>
      <c r="AC380" s="1074"/>
      <c r="AD380" s="1074"/>
      <c r="AE380" s="1074"/>
      <c r="AF380" s="1072"/>
      <c r="AG380" s="1073"/>
      <c r="AH380" s="1074"/>
      <c r="AI380" s="1074"/>
      <c r="AJ380" s="1074"/>
      <c r="AK380" s="1074"/>
    </row>
    <row r="381">
      <c r="A381" s="1072"/>
      <c r="B381" s="1072"/>
      <c r="C381" s="1075"/>
      <c r="D381" s="1074"/>
      <c r="E381" s="1074"/>
      <c r="F381" s="1074"/>
      <c r="G381" s="1076"/>
      <c r="H381" s="1074"/>
      <c r="I381" s="1074"/>
      <c r="J381" s="1072"/>
      <c r="K381" s="1075"/>
      <c r="L381" s="1074"/>
      <c r="M381" s="1074"/>
      <c r="N381" s="1074"/>
      <c r="O381" s="1076"/>
      <c r="P381" s="1074"/>
      <c r="Q381" s="1074"/>
      <c r="R381" s="1072"/>
      <c r="S381" s="1073"/>
      <c r="T381" s="1074"/>
      <c r="U381" s="1074"/>
      <c r="V381" s="1074"/>
      <c r="W381" s="1074"/>
      <c r="X381" s="1074"/>
      <c r="Y381" s="1072"/>
      <c r="Z381" s="1073"/>
      <c r="AA381" s="1074"/>
      <c r="AB381" s="1074"/>
      <c r="AC381" s="1074"/>
      <c r="AD381" s="1074"/>
      <c r="AE381" s="1074"/>
      <c r="AF381" s="1072"/>
      <c r="AG381" s="1073"/>
      <c r="AH381" s="1074"/>
      <c r="AI381" s="1074"/>
      <c r="AJ381" s="1074"/>
      <c r="AK381" s="1074"/>
    </row>
    <row r="382">
      <c r="A382" s="1072"/>
      <c r="B382" s="1072"/>
      <c r="C382" s="1075"/>
      <c r="D382" s="1074"/>
      <c r="E382" s="1074"/>
      <c r="F382" s="1074"/>
      <c r="G382" s="1076"/>
      <c r="H382" s="1074"/>
      <c r="I382" s="1074"/>
      <c r="J382" s="1072"/>
      <c r="K382" s="1075"/>
      <c r="L382" s="1074"/>
      <c r="M382" s="1074"/>
      <c r="N382" s="1074"/>
      <c r="O382" s="1076"/>
      <c r="P382" s="1074"/>
      <c r="Q382" s="1074"/>
      <c r="R382" s="1072"/>
      <c r="S382" s="1073"/>
      <c r="T382" s="1074"/>
      <c r="U382" s="1074"/>
      <c r="V382" s="1074"/>
      <c r="W382" s="1074"/>
      <c r="X382" s="1074"/>
      <c r="Y382" s="1072"/>
      <c r="Z382" s="1073"/>
      <c r="AA382" s="1074"/>
      <c r="AB382" s="1074"/>
      <c r="AC382" s="1074"/>
      <c r="AD382" s="1074"/>
      <c r="AE382" s="1074"/>
      <c r="AF382" s="1072"/>
      <c r="AG382" s="1073"/>
      <c r="AH382" s="1074"/>
      <c r="AI382" s="1074"/>
      <c r="AJ382" s="1074"/>
      <c r="AK382" s="1074"/>
    </row>
    <row r="383">
      <c r="A383" s="1072"/>
      <c r="B383" s="1072"/>
      <c r="C383" s="1075"/>
      <c r="D383" s="1074"/>
      <c r="E383" s="1074"/>
      <c r="F383" s="1074"/>
      <c r="G383" s="1076"/>
      <c r="H383" s="1074"/>
      <c r="I383" s="1074"/>
      <c r="J383" s="1072"/>
      <c r="K383" s="1075"/>
      <c r="L383" s="1074"/>
      <c r="M383" s="1074"/>
      <c r="N383" s="1074"/>
      <c r="O383" s="1076"/>
      <c r="P383" s="1074"/>
      <c r="Q383" s="1074"/>
      <c r="R383" s="1072"/>
      <c r="S383" s="1073"/>
      <c r="T383" s="1074"/>
      <c r="U383" s="1074"/>
      <c r="V383" s="1074"/>
      <c r="W383" s="1074"/>
      <c r="X383" s="1074"/>
      <c r="Y383" s="1072"/>
      <c r="Z383" s="1073"/>
      <c r="AA383" s="1074"/>
      <c r="AB383" s="1074"/>
      <c r="AC383" s="1074"/>
      <c r="AD383" s="1074"/>
      <c r="AE383" s="1074"/>
      <c r="AF383" s="1072"/>
      <c r="AG383" s="1073"/>
      <c r="AH383" s="1074"/>
      <c r="AI383" s="1074"/>
      <c r="AJ383" s="1074"/>
      <c r="AK383" s="1074"/>
    </row>
    <row r="384">
      <c r="A384" s="1072"/>
      <c r="B384" s="1072"/>
      <c r="C384" s="1075"/>
      <c r="D384" s="1074"/>
      <c r="E384" s="1074"/>
      <c r="F384" s="1074"/>
      <c r="G384" s="1076"/>
      <c r="H384" s="1074"/>
      <c r="I384" s="1074"/>
      <c r="J384" s="1072"/>
      <c r="K384" s="1075"/>
      <c r="L384" s="1074"/>
      <c r="M384" s="1074"/>
      <c r="N384" s="1074"/>
      <c r="O384" s="1076"/>
      <c r="P384" s="1074"/>
      <c r="Q384" s="1074"/>
      <c r="R384" s="1072"/>
      <c r="S384" s="1073"/>
      <c r="T384" s="1074"/>
      <c r="U384" s="1074"/>
      <c r="V384" s="1074"/>
      <c r="W384" s="1074"/>
      <c r="X384" s="1074"/>
      <c r="Y384" s="1072"/>
      <c r="Z384" s="1073"/>
      <c r="AA384" s="1074"/>
      <c r="AB384" s="1074"/>
      <c r="AC384" s="1074"/>
      <c r="AD384" s="1074"/>
      <c r="AE384" s="1074"/>
      <c r="AF384" s="1072"/>
      <c r="AG384" s="1073"/>
      <c r="AH384" s="1074"/>
      <c r="AI384" s="1074"/>
      <c r="AJ384" s="1074"/>
      <c r="AK384" s="1074"/>
    </row>
    <row r="385">
      <c r="A385" s="1072"/>
      <c r="B385" s="1072"/>
      <c r="C385" s="1075"/>
      <c r="D385" s="1074"/>
      <c r="E385" s="1074"/>
      <c r="F385" s="1074"/>
      <c r="G385" s="1076"/>
      <c r="H385" s="1074"/>
      <c r="I385" s="1074"/>
      <c r="J385" s="1072"/>
      <c r="K385" s="1075"/>
      <c r="L385" s="1074"/>
      <c r="M385" s="1074"/>
      <c r="N385" s="1074"/>
      <c r="O385" s="1076"/>
      <c r="P385" s="1074"/>
      <c r="Q385" s="1074"/>
      <c r="R385" s="1072"/>
      <c r="S385" s="1073"/>
      <c r="T385" s="1074"/>
      <c r="U385" s="1074"/>
      <c r="V385" s="1074"/>
      <c r="W385" s="1074"/>
      <c r="X385" s="1074"/>
      <c r="Y385" s="1072"/>
      <c r="Z385" s="1073"/>
      <c r="AA385" s="1074"/>
      <c r="AB385" s="1074"/>
      <c r="AC385" s="1074"/>
      <c r="AD385" s="1074"/>
      <c r="AE385" s="1074"/>
      <c r="AF385" s="1072"/>
      <c r="AG385" s="1073"/>
      <c r="AH385" s="1074"/>
      <c r="AI385" s="1074"/>
      <c r="AJ385" s="1074"/>
      <c r="AK385" s="1074"/>
    </row>
    <row r="386">
      <c r="A386" s="1072"/>
      <c r="B386" s="1072"/>
      <c r="C386" s="1075"/>
      <c r="D386" s="1074"/>
      <c r="E386" s="1074"/>
      <c r="F386" s="1074"/>
      <c r="G386" s="1076"/>
      <c r="H386" s="1074"/>
      <c r="I386" s="1074"/>
      <c r="J386" s="1072"/>
      <c r="K386" s="1075"/>
      <c r="L386" s="1074"/>
      <c r="M386" s="1074"/>
      <c r="N386" s="1074"/>
      <c r="O386" s="1076"/>
      <c r="P386" s="1074"/>
      <c r="Q386" s="1074"/>
      <c r="R386" s="1072"/>
      <c r="S386" s="1073"/>
      <c r="T386" s="1074"/>
      <c r="U386" s="1074"/>
      <c r="V386" s="1074"/>
      <c r="W386" s="1074"/>
      <c r="X386" s="1074"/>
      <c r="Y386" s="1072"/>
      <c r="Z386" s="1073"/>
      <c r="AA386" s="1074"/>
      <c r="AB386" s="1074"/>
      <c r="AC386" s="1074"/>
      <c r="AD386" s="1074"/>
      <c r="AE386" s="1074"/>
      <c r="AF386" s="1072"/>
      <c r="AG386" s="1073"/>
      <c r="AH386" s="1074"/>
      <c r="AI386" s="1074"/>
      <c r="AJ386" s="1074"/>
      <c r="AK386" s="1074"/>
    </row>
    <row r="387">
      <c r="A387" s="1072"/>
      <c r="B387" s="1072"/>
      <c r="C387" s="1075"/>
      <c r="D387" s="1074"/>
      <c r="E387" s="1074"/>
      <c r="F387" s="1074"/>
      <c r="G387" s="1076"/>
      <c r="H387" s="1074"/>
      <c r="I387" s="1074"/>
      <c r="J387" s="1072"/>
      <c r="K387" s="1075"/>
      <c r="L387" s="1074"/>
      <c r="M387" s="1074"/>
      <c r="N387" s="1074"/>
      <c r="O387" s="1076"/>
      <c r="P387" s="1074"/>
      <c r="Q387" s="1074"/>
      <c r="R387" s="1072"/>
      <c r="S387" s="1073"/>
      <c r="T387" s="1074"/>
      <c r="U387" s="1074"/>
      <c r="V387" s="1074"/>
      <c r="W387" s="1074"/>
      <c r="X387" s="1074"/>
      <c r="Y387" s="1072"/>
      <c r="Z387" s="1073"/>
      <c r="AA387" s="1074"/>
      <c r="AB387" s="1074"/>
      <c r="AC387" s="1074"/>
      <c r="AD387" s="1074"/>
      <c r="AE387" s="1074"/>
      <c r="AF387" s="1072"/>
      <c r="AG387" s="1073"/>
      <c r="AH387" s="1074"/>
      <c r="AI387" s="1074"/>
      <c r="AJ387" s="1074"/>
      <c r="AK387" s="1074"/>
    </row>
    <row r="388">
      <c r="A388" s="1072"/>
      <c r="B388" s="1072"/>
      <c r="C388" s="1075"/>
      <c r="D388" s="1074"/>
      <c r="E388" s="1074"/>
      <c r="F388" s="1074"/>
      <c r="G388" s="1076"/>
      <c r="H388" s="1074"/>
      <c r="I388" s="1074"/>
      <c r="J388" s="1072"/>
      <c r="K388" s="1075"/>
      <c r="L388" s="1074"/>
      <c r="M388" s="1074"/>
      <c r="N388" s="1074"/>
      <c r="O388" s="1076"/>
      <c r="P388" s="1074"/>
      <c r="Q388" s="1074"/>
      <c r="R388" s="1072"/>
      <c r="S388" s="1073"/>
      <c r="T388" s="1074"/>
      <c r="U388" s="1074"/>
      <c r="V388" s="1074"/>
      <c r="W388" s="1074"/>
      <c r="X388" s="1074"/>
      <c r="Y388" s="1072"/>
      <c r="Z388" s="1073"/>
      <c r="AA388" s="1074"/>
      <c r="AB388" s="1074"/>
      <c r="AC388" s="1074"/>
      <c r="AD388" s="1074"/>
      <c r="AE388" s="1074"/>
      <c r="AF388" s="1072"/>
      <c r="AG388" s="1073"/>
      <c r="AH388" s="1074"/>
      <c r="AI388" s="1074"/>
      <c r="AJ388" s="1074"/>
      <c r="AK388" s="1074"/>
    </row>
    <row r="389">
      <c r="A389" s="1072"/>
      <c r="B389" s="1072"/>
      <c r="C389" s="1075"/>
      <c r="D389" s="1074"/>
      <c r="E389" s="1074"/>
      <c r="F389" s="1074"/>
      <c r="G389" s="1076"/>
      <c r="H389" s="1074"/>
      <c r="I389" s="1074"/>
      <c r="J389" s="1072"/>
      <c r="K389" s="1075"/>
      <c r="L389" s="1074"/>
      <c r="M389" s="1074"/>
      <c r="N389" s="1074"/>
      <c r="O389" s="1076"/>
      <c r="P389" s="1074"/>
      <c r="Q389" s="1074"/>
      <c r="R389" s="1072"/>
      <c r="S389" s="1073"/>
      <c r="T389" s="1074"/>
      <c r="U389" s="1074"/>
      <c r="V389" s="1074"/>
      <c r="W389" s="1074"/>
      <c r="X389" s="1074"/>
      <c r="Y389" s="1072"/>
      <c r="Z389" s="1073"/>
      <c r="AA389" s="1074"/>
      <c r="AB389" s="1074"/>
      <c r="AC389" s="1074"/>
      <c r="AD389" s="1074"/>
      <c r="AE389" s="1074"/>
      <c r="AF389" s="1072"/>
      <c r="AG389" s="1073"/>
      <c r="AH389" s="1074"/>
      <c r="AI389" s="1074"/>
      <c r="AJ389" s="1074"/>
      <c r="AK389" s="1074"/>
    </row>
    <row r="390">
      <c r="A390" s="1072"/>
      <c r="B390" s="1072"/>
      <c r="C390" s="1075"/>
      <c r="D390" s="1074"/>
      <c r="E390" s="1074"/>
      <c r="F390" s="1074"/>
      <c r="G390" s="1076"/>
      <c r="H390" s="1074"/>
      <c r="I390" s="1074"/>
      <c r="J390" s="1072"/>
      <c r="K390" s="1075"/>
      <c r="L390" s="1074"/>
      <c r="M390" s="1074"/>
      <c r="N390" s="1074"/>
      <c r="O390" s="1076"/>
      <c r="P390" s="1074"/>
      <c r="Q390" s="1074"/>
      <c r="R390" s="1072"/>
      <c r="S390" s="1073"/>
      <c r="T390" s="1074"/>
      <c r="U390" s="1074"/>
      <c r="V390" s="1074"/>
      <c r="W390" s="1074"/>
      <c r="X390" s="1074"/>
      <c r="Y390" s="1072"/>
      <c r="Z390" s="1073"/>
      <c r="AA390" s="1074"/>
      <c r="AB390" s="1074"/>
      <c r="AC390" s="1074"/>
      <c r="AD390" s="1074"/>
      <c r="AE390" s="1074"/>
      <c r="AF390" s="1072"/>
      <c r="AG390" s="1073"/>
      <c r="AH390" s="1074"/>
      <c r="AI390" s="1074"/>
      <c r="AJ390" s="1074"/>
      <c r="AK390" s="1074"/>
    </row>
    <row r="391">
      <c r="A391" s="1072"/>
      <c r="B391" s="1072"/>
      <c r="C391" s="1075"/>
      <c r="D391" s="1074"/>
      <c r="E391" s="1074"/>
      <c r="F391" s="1074"/>
      <c r="G391" s="1076"/>
      <c r="H391" s="1074"/>
      <c r="I391" s="1074"/>
      <c r="J391" s="1072"/>
      <c r="K391" s="1075"/>
      <c r="L391" s="1074"/>
      <c r="M391" s="1074"/>
      <c r="N391" s="1074"/>
      <c r="O391" s="1076"/>
      <c r="P391" s="1074"/>
      <c r="Q391" s="1074"/>
      <c r="R391" s="1072"/>
      <c r="S391" s="1073"/>
      <c r="T391" s="1074"/>
      <c r="U391" s="1074"/>
      <c r="V391" s="1074"/>
      <c r="W391" s="1074"/>
      <c r="X391" s="1074"/>
      <c r="Y391" s="1072"/>
      <c r="Z391" s="1073"/>
      <c r="AA391" s="1074"/>
      <c r="AB391" s="1074"/>
      <c r="AC391" s="1074"/>
      <c r="AD391" s="1074"/>
      <c r="AE391" s="1074"/>
      <c r="AF391" s="1072"/>
      <c r="AG391" s="1073"/>
      <c r="AH391" s="1074"/>
      <c r="AI391" s="1074"/>
      <c r="AJ391" s="1074"/>
      <c r="AK391" s="1074"/>
    </row>
    <row r="392">
      <c r="A392" s="1072"/>
      <c r="B392" s="1072"/>
      <c r="C392" s="1075"/>
      <c r="D392" s="1074"/>
      <c r="E392" s="1074"/>
      <c r="F392" s="1074"/>
      <c r="G392" s="1076"/>
      <c r="H392" s="1074"/>
      <c r="I392" s="1074"/>
      <c r="J392" s="1072"/>
      <c r="K392" s="1075"/>
      <c r="L392" s="1074"/>
      <c r="M392" s="1074"/>
      <c r="N392" s="1074"/>
      <c r="O392" s="1076"/>
      <c r="P392" s="1074"/>
      <c r="Q392" s="1074"/>
      <c r="R392" s="1072"/>
      <c r="S392" s="1073"/>
      <c r="T392" s="1074"/>
      <c r="U392" s="1074"/>
      <c r="V392" s="1074"/>
      <c r="W392" s="1074"/>
      <c r="X392" s="1074"/>
      <c r="Y392" s="1072"/>
      <c r="Z392" s="1073"/>
      <c r="AA392" s="1074"/>
      <c r="AB392" s="1074"/>
      <c r="AC392" s="1074"/>
      <c r="AD392" s="1074"/>
      <c r="AE392" s="1074"/>
      <c r="AF392" s="1072"/>
      <c r="AG392" s="1073"/>
      <c r="AH392" s="1074"/>
      <c r="AI392" s="1074"/>
      <c r="AJ392" s="1074"/>
      <c r="AK392" s="1074"/>
    </row>
    <row r="393">
      <c r="A393" s="1072"/>
      <c r="B393" s="1072"/>
      <c r="C393" s="1075"/>
      <c r="D393" s="1074"/>
      <c r="E393" s="1074"/>
      <c r="F393" s="1074"/>
      <c r="G393" s="1076"/>
      <c r="H393" s="1074"/>
      <c r="I393" s="1074"/>
      <c r="J393" s="1072"/>
      <c r="K393" s="1075"/>
      <c r="L393" s="1074"/>
      <c r="M393" s="1074"/>
      <c r="N393" s="1074"/>
      <c r="O393" s="1076"/>
      <c r="P393" s="1074"/>
      <c r="Q393" s="1074"/>
      <c r="R393" s="1072"/>
      <c r="S393" s="1073"/>
      <c r="T393" s="1074"/>
      <c r="U393" s="1074"/>
      <c r="V393" s="1074"/>
      <c r="W393" s="1074"/>
      <c r="X393" s="1074"/>
      <c r="Y393" s="1072"/>
      <c r="Z393" s="1073"/>
      <c r="AA393" s="1074"/>
      <c r="AB393" s="1074"/>
      <c r="AC393" s="1074"/>
      <c r="AD393" s="1074"/>
      <c r="AE393" s="1074"/>
      <c r="AF393" s="1072"/>
      <c r="AG393" s="1073"/>
      <c r="AH393" s="1074"/>
      <c r="AI393" s="1074"/>
      <c r="AJ393" s="1074"/>
      <c r="AK393" s="1074"/>
    </row>
    <row r="394">
      <c r="A394" s="1072"/>
      <c r="B394" s="1072"/>
      <c r="C394" s="1075"/>
      <c r="D394" s="1074"/>
      <c r="E394" s="1074"/>
      <c r="F394" s="1074"/>
      <c r="G394" s="1076"/>
      <c r="H394" s="1074"/>
      <c r="I394" s="1074"/>
      <c r="J394" s="1072"/>
      <c r="K394" s="1075"/>
      <c r="L394" s="1074"/>
      <c r="M394" s="1074"/>
      <c r="N394" s="1074"/>
      <c r="O394" s="1076"/>
      <c r="P394" s="1074"/>
      <c r="Q394" s="1074"/>
      <c r="R394" s="1072"/>
      <c r="S394" s="1073"/>
      <c r="T394" s="1074"/>
      <c r="U394" s="1074"/>
      <c r="V394" s="1074"/>
      <c r="W394" s="1074"/>
      <c r="X394" s="1074"/>
      <c r="Y394" s="1072"/>
      <c r="Z394" s="1073"/>
      <c r="AA394" s="1074"/>
      <c r="AB394" s="1074"/>
      <c r="AC394" s="1074"/>
      <c r="AD394" s="1074"/>
      <c r="AE394" s="1074"/>
      <c r="AF394" s="1072"/>
      <c r="AG394" s="1073"/>
      <c r="AH394" s="1074"/>
      <c r="AI394" s="1074"/>
      <c r="AJ394" s="1074"/>
      <c r="AK394" s="1074"/>
    </row>
    <row r="395">
      <c r="A395" s="1072"/>
      <c r="B395" s="1072"/>
      <c r="C395" s="1075"/>
      <c r="D395" s="1074"/>
      <c r="E395" s="1074"/>
      <c r="F395" s="1074"/>
      <c r="G395" s="1076"/>
      <c r="H395" s="1074"/>
      <c r="I395" s="1074"/>
      <c r="J395" s="1072"/>
      <c r="K395" s="1075"/>
      <c r="L395" s="1074"/>
      <c r="M395" s="1074"/>
      <c r="N395" s="1074"/>
      <c r="O395" s="1076"/>
      <c r="P395" s="1074"/>
      <c r="Q395" s="1074"/>
      <c r="R395" s="1072"/>
      <c r="S395" s="1073"/>
      <c r="T395" s="1074"/>
      <c r="U395" s="1074"/>
      <c r="V395" s="1074"/>
      <c r="W395" s="1074"/>
      <c r="X395" s="1074"/>
      <c r="Y395" s="1072"/>
      <c r="Z395" s="1073"/>
      <c r="AA395" s="1074"/>
      <c r="AB395" s="1074"/>
      <c r="AC395" s="1074"/>
      <c r="AD395" s="1074"/>
      <c r="AE395" s="1074"/>
      <c r="AF395" s="1072"/>
      <c r="AG395" s="1073"/>
      <c r="AH395" s="1074"/>
      <c r="AI395" s="1074"/>
      <c r="AJ395" s="1074"/>
      <c r="AK395" s="1074"/>
    </row>
    <row r="396">
      <c r="A396" s="1072"/>
      <c r="B396" s="1072"/>
      <c r="C396" s="1075"/>
      <c r="D396" s="1074"/>
      <c r="E396" s="1074"/>
      <c r="F396" s="1074"/>
      <c r="G396" s="1076"/>
      <c r="H396" s="1074"/>
      <c r="I396" s="1074"/>
      <c r="J396" s="1072"/>
      <c r="K396" s="1075"/>
      <c r="L396" s="1074"/>
      <c r="M396" s="1074"/>
      <c r="N396" s="1074"/>
      <c r="O396" s="1076"/>
      <c r="P396" s="1074"/>
      <c r="Q396" s="1074"/>
      <c r="R396" s="1072"/>
      <c r="S396" s="1073"/>
      <c r="T396" s="1074"/>
      <c r="U396" s="1074"/>
      <c r="V396" s="1074"/>
      <c r="W396" s="1074"/>
      <c r="X396" s="1074"/>
      <c r="Y396" s="1072"/>
      <c r="Z396" s="1073"/>
      <c r="AA396" s="1074"/>
      <c r="AB396" s="1074"/>
      <c r="AC396" s="1074"/>
      <c r="AD396" s="1074"/>
      <c r="AE396" s="1074"/>
      <c r="AF396" s="1072"/>
      <c r="AG396" s="1073"/>
      <c r="AH396" s="1074"/>
      <c r="AI396" s="1074"/>
      <c r="AJ396" s="1074"/>
      <c r="AK396" s="1074"/>
    </row>
    <row r="397">
      <c r="A397" s="1072"/>
      <c r="B397" s="1072"/>
      <c r="C397" s="1075"/>
      <c r="D397" s="1074"/>
      <c r="E397" s="1074"/>
      <c r="F397" s="1074"/>
      <c r="G397" s="1076"/>
      <c r="H397" s="1074"/>
      <c r="I397" s="1074"/>
      <c r="J397" s="1072"/>
      <c r="K397" s="1075"/>
      <c r="L397" s="1074"/>
      <c r="M397" s="1074"/>
      <c r="N397" s="1074"/>
      <c r="O397" s="1076"/>
      <c r="P397" s="1074"/>
      <c r="Q397" s="1074"/>
      <c r="R397" s="1072"/>
      <c r="S397" s="1073"/>
      <c r="T397" s="1074"/>
      <c r="U397" s="1074"/>
      <c r="V397" s="1074"/>
      <c r="W397" s="1074"/>
      <c r="X397" s="1074"/>
      <c r="Y397" s="1072"/>
      <c r="Z397" s="1073"/>
      <c r="AA397" s="1074"/>
      <c r="AB397" s="1074"/>
      <c r="AC397" s="1074"/>
      <c r="AD397" s="1074"/>
      <c r="AE397" s="1074"/>
      <c r="AF397" s="1072"/>
      <c r="AG397" s="1073"/>
      <c r="AH397" s="1074"/>
      <c r="AI397" s="1074"/>
      <c r="AJ397" s="1074"/>
      <c r="AK397" s="1074"/>
    </row>
    <row r="398">
      <c r="A398" s="1072"/>
      <c r="B398" s="1072"/>
      <c r="C398" s="1075"/>
      <c r="D398" s="1074"/>
      <c r="E398" s="1074"/>
      <c r="F398" s="1074"/>
      <c r="G398" s="1076"/>
      <c r="H398" s="1074"/>
      <c r="I398" s="1074"/>
      <c r="J398" s="1072"/>
      <c r="K398" s="1075"/>
      <c r="L398" s="1074"/>
      <c r="M398" s="1074"/>
      <c r="N398" s="1074"/>
      <c r="O398" s="1076"/>
      <c r="P398" s="1074"/>
      <c r="Q398" s="1074"/>
      <c r="R398" s="1072"/>
      <c r="S398" s="1073"/>
      <c r="T398" s="1074"/>
      <c r="U398" s="1074"/>
      <c r="V398" s="1074"/>
      <c r="W398" s="1074"/>
      <c r="X398" s="1074"/>
      <c r="Y398" s="1072"/>
      <c r="Z398" s="1073"/>
      <c r="AA398" s="1074"/>
      <c r="AB398" s="1074"/>
      <c r="AC398" s="1074"/>
      <c r="AD398" s="1074"/>
      <c r="AE398" s="1074"/>
      <c r="AF398" s="1072"/>
      <c r="AG398" s="1073"/>
      <c r="AH398" s="1074"/>
      <c r="AI398" s="1074"/>
      <c r="AJ398" s="1074"/>
      <c r="AK398" s="1074"/>
    </row>
    <row r="399">
      <c r="A399" s="1072"/>
      <c r="B399" s="1072"/>
      <c r="C399" s="1075"/>
      <c r="D399" s="1074"/>
      <c r="E399" s="1074"/>
      <c r="F399" s="1074"/>
      <c r="G399" s="1076"/>
      <c r="H399" s="1074"/>
      <c r="I399" s="1074"/>
      <c r="J399" s="1072"/>
      <c r="K399" s="1075"/>
      <c r="L399" s="1074"/>
      <c r="M399" s="1074"/>
      <c r="N399" s="1074"/>
      <c r="O399" s="1076"/>
      <c r="P399" s="1074"/>
      <c r="Q399" s="1074"/>
      <c r="R399" s="1072"/>
      <c r="S399" s="1073"/>
      <c r="T399" s="1074"/>
      <c r="U399" s="1074"/>
      <c r="V399" s="1074"/>
      <c r="W399" s="1074"/>
      <c r="X399" s="1074"/>
      <c r="Y399" s="1072"/>
      <c r="Z399" s="1073"/>
      <c r="AA399" s="1074"/>
      <c r="AB399" s="1074"/>
      <c r="AC399" s="1074"/>
      <c r="AD399" s="1074"/>
      <c r="AE399" s="1074"/>
      <c r="AF399" s="1072"/>
      <c r="AG399" s="1073"/>
      <c r="AH399" s="1074"/>
      <c r="AI399" s="1074"/>
      <c r="AJ399" s="1074"/>
      <c r="AK399" s="1074"/>
    </row>
    <row r="400">
      <c r="A400" s="1072"/>
      <c r="B400" s="1072"/>
      <c r="C400" s="1075"/>
      <c r="D400" s="1074"/>
      <c r="E400" s="1074"/>
      <c r="F400" s="1074"/>
      <c r="G400" s="1076"/>
      <c r="H400" s="1074"/>
      <c r="I400" s="1074"/>
      <c r="J400" s="1072"/>
      <c r="K400" s="1075"/>
      <c r="L400" s="1074"/>
      <c r="M400" s="1074"/>
      <c r="N400" s="1074"/>
      <c r="O400" s="1076"/>
      <c r="P400" s="1074"/>
      <c r="Q400" s="1074"/>
      <c r="R400" s="1072"/>
      <c r="S400" s="1073"/>
      <c r="T400" s="1074"/>
      <c r="U400" s="1074"/>
      <c r="V400" s="1074"/>
      <c r="W400" s="1074"/>
      <c r="X400" s="1074"/>
      <c r="Y400" s="1072"/>
      <c r="Z400" s="1073"/>
      <c r="AA400" s="1074"/>
      <c r="AB400" s="1074"/>
      <c r="AC400" s="1074"/>
      <c r="AD400" s="1074"/>
      <c r="AE400" s="1074"/>
      <c r="AF400" s="1072"/>
      <c r="AG400" s="1073"/>
      <c r="AH400" s="1074"/>
      <c r="AI400" s="1074"/>
      <c r="AJ400" s="1074"/>
      <c r="AK400" s="1074"/>
    </row>
    <row r="401">
      <c r="A401" s="1072"/>
      <c r="B401" s="1072"/>
      <c r="C401" s="1075"/>
      <c r="D401" s="1074"/>
      <c r="E401" s="1074"/>
      <c r="F401" s="1074"/>
      <c r="G401" s="1076"/>
      <c r="H401" s="1074"/>
      <c r="I401" s="1074"/>
      <c r="J401" s="1072"/>
      <c r="K401" s="1075"/>
      <c r="L401" s="1074"/>
      <c r="M401" s="1074"/>
      <c r="N401" s="1074"/>
      <c r="O401" s="1076"/>
      <c r="P401" s="1074"/>
      <c r="Q401" s="1074"/>
      <c r="R401" s="1072"/>
      <c r="S401" s="1073"/>
      <c r="T401" s="1074"/>
      <c r="U401" s="1074"/>
      <c r="V401" s="1074"/>
      <c r="W401" s="1074"/>
      <c r="X401" s="1074"/>
      <c r="Y401" s="1072"/>
      <c r="Z401" s="1073"/>
      <c r="AA401" s="1074"/>
      <c r="AB401" s="1074"/>
      <c r="AC401" s="1074"/>
      <c r="AD401" s="1074"/>
      <c r="AE401" s="1074"/>
      <c r="AF401" s="1072"/>
      <c r="AG401" s="1073"/>
      <c r="AH401" s="1074"/>
      <c r="AI401" s="1074"/>
      <c r="AJ401" s="1074"/>
      <c r="AK401" s="1074"/>
    </row>
    <row r="402">
      <c r="A402" s="1072"/>
      <c r="B402" s="1072"/>
      <c r="C402" s="1075"/>
      <c r="D402" s="1074"/>
      <c r="E402" s="1074"/>
      <c r="F402" s="1074"/>
      <c r="G402" s="1076"/>
      <c r="H402" s="1074"/>
      <c r="I402" s="1074"/>
      <c r="J402" s="1072"/>
      <c r="K402" s="1075"/>
      <c r="L402" s="1074"/>
      <c r="M402" s="1074"/>
      <c r="N402" s="1074"/>
      <c r="O402" s="1076"/>
      <c r="P402" s="1074"/>
      <c r="Q402" s="1074"/>
      <c r="R402" s="1072"/>
      <c r="S402" s="1073"/>
      <c r="T402" s="1074"/>
      <c r="U402" s="1074"/>
      <c r="V402" s="1074"/>
      <c r="W402" s="1074"/>
      <c r="X402" s="1074"/>
      <c r="Y402" s="1072"/>
      <c r="Z402" s="1073"/>
      <c r="AA402" s="1074"/>
      <c r="AB402" s="1074"/>
      <c r="AC402" s="1074"/>
      <c r="AD402" s="1074"/>
      <c r="AE402" s="1074"/>
      <c r="AF402" s="1072"/>
      <c r="AG402" s="1073"/>
      <c r="AH402" s="1074"/>
      <c r="AI402" s="1074"/>
      <c r="AJ402" s="1074"/>
      <c r="AK402" s="1074"/>
    </row>
    <row r="403">
      <c r="A403" s="1072"/>
      <c r="B403" s="1072"/>
      <c r="C403" s="1075"/>
      <c r="D403" s="1074"/>
      <c r="E403" s="1074"/>
      <c r="F403" s="1074"/>
      <c r="G403" s="1076"/>
      <c r="H403" s="1074"/>
      <c r="I403" s="1074"/>
      <c r="J403" s="1072"/>
      <c r="K403" s="1075"/>
      <c r="L403" s="1074"/>
      <c r="M403" s="1074"/>
      <c r="N403" s="1074"/>
      <c r="O403" s="1076"/>
      <c r="P403" s="1074"/>
      <c r="Q403" s="1074"/>
      <c r="R403" s="1072"/>
      <c r="S403" s="1073"/>
      <c r="T403" s="1074"/>
      <c r="U403" s="1074"/>
      <c r="V403" s="1074"/>
      <c r="W403" s="1074"/>
      <c r="X403" s="1074"/>
      <c r="Y403" s="1072"/>
      <c r="Z403" s="1073"/>
      <c r="AA403" s="1074"/>
      <c r="AB403" s="1074"/>
      <c r="AC403" s="1074"/>
      <c r="AD403" s="1074"/>
      <c r="AE403" s="1074"/>
      <c r="AF403" s="1072"/>
      <c r="AG403" s="1073"/>
      <c r="AH403" s="1074"/>
      <c r="AI403" s="1074"/>
      <c r="AJ403" s="1074"/>
      <c r="AK403" s="1074"/>
    </row>
    <row r="404">
      <c r="A404" s="1072"/>
      <c r="B404" s="1072"/>
      <c r="C404" s="1075"/>
      <c r="D404" s="1074"/>
      <c r="E404" s="1074"/>
      <c r="F404" s="1074"/>
      <c r="G404" s="1076"/>
      <c r="H404" s="1074"/>
      <c r="I404" s="1074"/>
      <c r="J404" s="1072"/>
      <c r="K404" s="1075"/>
      <c r="L404" s="1074"/>
      <c r="M404" s="1074"/>
      <c r="N404" s="1074"/>
      <c r="O404" s="1076"/>
      <c r="P404" s="1074"/>
      <c r="Q404" s="1074"/>
      <c r="R404" s="1072"/>
      <c r="S404" s="1073"/>
      <c r="T404" s="1074"/>
      <c r="U404" s="1074"/>
      <c r="V404" s="1074"/>
      <c r="W404" s="1074"/>
      <c r="X404" s="1074"/>
      <c r="Y404" s="1072"/>
      <c r="Z404" s="1073"/>
      <c r="AA404" s="1074"/>
      <c r="AB404" s="1074"/>
      <c r="AC404" s="1074"/>
      <c r="AD404" s="1074"/>
      <c r="AE404" s="1074"/>
      <c r="AF404" s="1072"/>
      <c r="AG404" s="1073"/>
      <c r="AH404" s="1074"/>
      <c r="AI404" s="1074"/>
      <c r="AJ404" s="1074"/>
      <c r="AK404" s="1074"/>
    </row>
    <row r="405">
      <c r="A405" s="1072"/>
      <c r="B405" s="1072"/>
      <c r="C405" s="1075"/>
      <c r="D405" s="1074"/>
      <c r="E405" s="1074"/>
      <c r="F405" s="1074"/>
      <c r="G405" s="1076"/>
      <c r="H405" s="1074"/>
      <c r="I405" s="1074"/>
      <c r="J405" s="1072"/>
      <c r="K405" s="1075"/>
      <c r="L405" s="1074"/>
      <c r="M405" s="1074"/>
      <c r="N405" s="1074"/>
      <c r="O405" s="1076"/>
      <c r="P405" s="1074"/>
      <c r="Q405" s="1074"/>
      <c r="R405" s="1072"/>
      <c r="S405" s="1073"/>
      <c r="T405" s="1074"/>
      <c r="U405" s="1074"/>
      <c r="V405" s="1074"/>
      <c r="W405" s="1074"/>
      <c r="X405" s="1074"/>
      <c r="Y405" s="1072"/>
      <c r="Z405" s="1073"/>
      <c r="AA405" s="1074"/>
      <c r="AB405" s="1074"/>
      <c r="AC405" s="1074"/>
      <c r="AD405" s="1074"/>
      <c r="AE405" s="1074"/>
      <c r="AF405" s="1072"/>
      <c r="AG405" s="1073"/>
      <c r="AH405" s="1074"/>
      <c r="AI405" s="1074"/>
      <c r="AJ405" s="1074"/>
      <c r="AK405" s="1074"/>
    </row>
    <row r="406">
      <c r="A406" s="1072"/>
      <c r="B406" s="1072"/>
      <c r="C406" s="1075"/>
      <c r="D406" s="1074"/>
      <c r="E406" s="1074"/>
      <c r="F406" s="1074"/>
      <c r="G406" s="1076"/>
      <c r="H406" s="1074"/>
      <c r="I406" s="1074"/>
      <c r="J406" s="1072"/>
      <c r="K406" s="1075"/>
      <c r="L406" s="1074"/>
      <c r="M406" s="1074"/>
      <c r="N406" s="1074"/>
      <c r="O406" s="1076"/>
      <c r="P406" s="1074"/>
      <c r="Q406" s="1074"/>
      <c r="R406" s="1072"/>
      <c r="S406" s="1073"/>
      <c r="T406" s="1074"/>
      <c r="U406" s="1074"/>
      <c r="V406" s="1074"/>
      <c r="W406" s="1074"/>
      <c r="X406" s="1074"/>
      <c r="Y406" s="1072"/>
      <c r="Z406" s="1073"/>
      <c r="AA406" s="1074"/>
      <c r="AB406" s="1074"/>
      <c r="AC406" s="1074"/>
      <c r="AD406" s="1074"/>
      <c r="AE406" s="1074"/>
      <c r="AF406" s="1072"/>
      <c r="AG406" s="1073"/>
      <c r="AH406" s="1074"/>
      <c r="AI406" s="1074"/>
      <c r="AJ406" s="1074"/>
      <c r="AK406" s="1074"/>
    </row>
    <row r="407">
      <c r="A407" s="1072"/>
      <c r="B407" s="1072"/>
      <c r="C407" s="1075"/>
      <c r="D407" s="1074"/>
      <c r="E407" s="1074"/>
      <c r="F407" s="1074"/>
      <c r="G407" s="1076"/>
      <c r="H407" s="1074"/>
      <c r="I407" s="1074"/>
      <c r="J407" s="1072"/>
      <c r="K407" s="1075"/>
      <c r="L407" s="1074"/>
      <c r="M407" s="1074"/>
      <c r="N407" s="1074"/>
      <c r="O407" s="1076"/>
      <c r="P407" s="1074"/>
      <c r="Q407" s="1074"/>
      <c r="R407" s="1072"/>
      <c r="S407" s="1073"/>
      <c r="T407" s="1074"/>
      <c r="U407" s="1074"/>
      <c r="V407" s="1074"/>
      <c r="W407" s="1074"/>
      <c r="X407" s="1074"/>
      <c r="Y407" s="1072"/>
      <c r="Z407" s="1073"/>
      <c r="AA407" s="1074"/>
      <c r="AB407" s="1074"/>
      <c r="AC407" s="1074"/>
      <c r="AD407" s="1074"/>
      <c r="AE407" s="1074"/>
      <c r="AF407" s="1072"/>
      <c r="AG407" s="1073"/>
      <c r="AH407" s="1074"/>
      <c r="AI407" s="1074"/>
      <c r="AJ407" s="1074"/>
      <c r="AK407" s="1074"/>
    </row>
    <row r="408">
      <c r="A408" s="1072"/>
      <c r="B408" s="1072"/>
      <c r="C408" s="1075"/>
      <c r="D408" s="1074"/>
      <c r="E408" s="1074"/>
      <c r="F408" s="1074"/>
      <c r="G408" s="1076"/>
      <c r="H408" s="1074"/>
      <c r="I408" s="1074"/>
      <c r="J408" s="1072"/>
      <c r="K408" s="1075"/>
      <c r="L408" s="1074"/>
      <c r="M408" s="1074"/>
      <c r="N408" s="1074"/>
      <c r="O408" s="1076"/>
      <c r="P408" s="1074"/>
      <c r="Q408" s="1074"/>
      <c r="R408" s="1072"/>
      <c r="S408" s="1073"/>
      <c r="T408" s="1074"/>
      <c r="U408" s="1074"/>
      <c r="V408" s="1074"/>
      <c r="W408" s="1074"/>
      <c r="X408" s="1074"/>
      <c r="Y408" s="1072"/>
      <c r="Z408" s="1073"/>
      <c r="AA408" s="1074"/>
      <c r="AB408" s="1074"/>
      <c r="AC408" s="1074"/>
      <c r="AD408" s="1074"/>
      <c r="AE408" s="1074"/>
      <c r="AF408" s="1072"/>
      <c r="AG408" s="1073"/>
      <c r="AH408" s="1074"/>
      <c r="AI408" s="1074"/>
      <c r="AJ408" s="1074"/>
      <c r="AK408" s="1074"/>
    </row>
    <row r="409">
      <c r="A409" s="1072"/>
      <c r="B409" s="1072"/>
      <c r="C409" s="1075"/>
      <c r="D409" s="1074"/>
      <c r="E409" s="1074"/>
      <c r="F409" s="1074"/>
      <c r="G409" s="1076"/>
      <c r="H409" s="1074"/>
      <c r="I409" s="1074"/>
      <c r="J409" s="1072"/>
      <c r="K409" s="1075"/>
      <c r="L409" s="1074"/>
      <c r="M409" s="1074"/>
      <c r="N409" s="1074"/>
      <c r="O409" s="1076"/>
      <c r="P409" s="1074"/>
      <c r="Q409" s="1074"/>
      <c r="R409" s="1072"/>
      <c r="S409" s="1073"/>
      <c r="T409" s="1074"/>
      <c r="U409" s="1074"/>
      <c r="V409" s="1074"/>
      <c r="W409" s="1074"/>
      <c r="X409" s="1074"/>
      <c r="Y409" s="1072"/>
      <c r="Z409" s="1073"/>
      <c r="AA409" s="1074"/>
      <c r="AB409" s="1074"/>
      <c r="AC409" s="1074"/>
      <c r="AD409" s="1074"/>
      <c r="AE409" s="1074"/>
      <c r="AF409" s="1072"/>
      <c r="AG409" s="1073"/>
      <c r="AH409" s="1074"/>
      <c r="AI409" s="1074"/>
      <c r="AJ409" s="1074"/>
      <c r="AK409" s="1074"/>
    </row>
    <row r="410">
      <c r="A410" s="1072"/>
      <c r="B410" s="1072"/>
      <c r="C410" s="1075"/>
      <c r="D410" s="1074"/>
      <c r="E410" s="1074"/>
      <c r="F410" s="1074"/>
      <c r="G410" s="1076"/>
      <c r="H410" s="1074"/>
      <c r="I410" s="1074"/>
      <c r="J410" s="1072"/>
      <c r="K410" s="1075"/>
      <c r="L410" s="1074"/>
      <c r="M410" s="1074"/>
      <c r="N410" s="1074"/>
      <c r="O410" s="1076"/>
      <c r="P410" s="1074"/>
      <c r="Q410" s="1074"/>
      <c r="R410" s="1072"/>
      <c r="S410" s="1073"/>
      <c r="T410" s="1074"/>
      <c r="U410" s="1074"/>
      <c r="V410" s="1074"/>
      <c r="W410" s="1074"/>
      <c r="X410" s="1074"/>
      <c r="Y410" s="1072"/>
      <c r="Z410" s="1073"/>
      <c r="AA410" s="1074"/>
      <c r="AB410" s="1074"/>
      <c r="AC410" s="1074"/>
      <c r="AD410" s="1074"/>
      <c r="AE410" s="1074"/>
      <c r="AF410" s="1072"/>
      <c r="AG410" s="1073"/>
      <c r="AH410" s="1074"/>
      <c r="AI410" s="1074"/>
      <c r="AJ410" s="1074"/>
      <c r="AK410" s="1074"/>
    </row>
    <row r="411">
      <c r="A411" s="1072"/>
      <c r="B411" s="1072"/>
      <c r="C411" s="1075"/>
      <c r="D411" s="1074"/>
      <c r="E411" s="1074"/>
      <c r="F411" s="1074"/>
      <c r="G411" s="1076"/>
      <c r="H411" s="1074"/>
      <c r="I411" s="1074"/>
      <c r="J411" s="1072"/>
      <c r="K411" s="1075"/>
      <c r="L411" s="1074"/>
      <c r="M411" s="1074"/>
      <c r="N411" s="1074"/>
      <c r="O411" s="1076"/>
      <c r="P411" s="1074"/>
      <c r="Q411" s="1074"/>
      <c r="R411" s="1072"/>
      <c r="S411" s="1073"/>
      <c r="T411" s="1074"/>
      <c r="U411" s="1074"/>
      <c r="V411" s="1074"/>
      <c r="W411" s="1074"/>
      <c r="X411" s="1074"/>
      <c r="Y411" s="1072"/>
      <c r="Z411" s="1073"/>
      <c r="AA411" s="1074"/>
      <c r="AB411" s="1074"/>
      <c r="AC411" s="1074"/>
      <c r="AD411" s="1074"/>
      <c r="AE411" s="1074"/>
      <c r="AF411" s="1072"/>
      <c r="AG411" s="1073"/>
      <c r="AH411" s="1074"/>
      <c r="AI411" s="1074"/>
      <c r="AJ411" s="1074"/>
      <c r="AK411" s="1074"/>
    </row>
    <row r="412">
      <c r="A412" s="1072"/>
      <c r="B412" s="1072"/>
      <c r="C412" s="1075"/>
      <c r="D412" s="1074"/>
      <c r="E412" s="1074"/>
      <c r="F412" s="1074"/>
      <c r="G412" s="1076"/>
      <c r="H412" s="1074"/>
      <c r="I412" s="1074"/>
      <c r="J412" s="1072"/>
      <c r="K412" s="1075"/>
      <c r="L412" s="1074"/>
      <c r="M412" s="1074"/>
      <c r="N412" s="1074"/>
      <c r="O412" s="1076"/>
      <c r="P412" s="1074"/>
      <c r="Q412" s="1074"/>
      <c r="R412" s="1072"/>
      <c r="S412" s="1073"/>
      <c r="T412" s="1074"/>
      <c r="U412" s="1074"/>
      <c r="V412" s="1074"/>
      <c r="W412" s="1074"/>
      <c r="X412" s="1074"/>
      <c r="Y412" s="1072"/>
      <c r="Z412" s="1073"/>
      <c r="AA412" s="1074"/>
      <c r="AB412" s="1074"/>
      <c r="AC412" s="1074"/>
      <c r="AD412" s="1074"/>
      <c r="AE412" s="1074"/>
      <c r="AF412" s="1072"/>
      <c r="AG412" s="1073"/>
      <c r="AH412" s="1074"/>
      <c r="AI412" s="1074"/>
      <c r="AJ412" s="1074"/>
      <c r="AK412" s="1074"/>
    </row>
    <row r="413">
      <c r="A413" s="1072"/>
      <c r="B413" s="1072"/>
      <c r="C413" s="1075"/>
      <c r="D413" s="1074"/>
      <c r="E413" s="1074"/>
      <c r="F413" s="1074"/>
      <c r="G413" s="1076"/>
      <c r="H413" s="1074"/>
      <c r="I413" s="1074"/>
      <c r="J413" s="1072"/>
      <c r="K413" s="1075"/>
      <c r="L413" s="1074"/>
      <c r="M413" s="1074"/>
      <c r="N413" s="1074"/>
      <c r="O413" s="1076"/>
      <c r="P413" s="1074"/>
      <c r="Q413" s="1074"/>
      <c r="R413" s="1072"/>
      <c r="S413" s="1073"/>
      <c r="T413" s="1074"/>
      <c r="U413" s="1074"/>
      <c r="V413" s="1074"/>
      <c r="W413" s="1074"/>
      <c r="X413" s="1074"/>
      <c r="Y413" s="1072"/>
      <c r="Z413" s="1073"/>
      <c r="AA413" s="1074"/>
      <c r="AB413" s="1074"/>
      <c r="AC413" s="1074"/>
      <c r="AD413" s="1074"/>
      <c r="AE413" s="1074"/>
      <c r="AF413" s="1072"/>
      <c r="AG413" s="1073"/>
      <c r="AH413" s="1074"/>
      <c r="AI413" s="1074"/>
      <c r="AJ413" s="1074"/>
      <c r="AK413" s="1074"/>
    </row>
    <row r="414">
      <c r="A414" s="1072"/>
      <c r="B414" s="1072"/>
      <c r="C414" s="1075"/>
      <c r="D414" s="1074"/>
      <c r="E414" s="1074"/>
      <c r="F414" s="1074"/>
      <c r="G414" s="1076"/>
      <c r="H414" s="1074"/>
      <c r="I414" s="1074"/>
      <c r="J414" s="1072"/>
      <c r="K414" s="1075"/>
      <c r="L414" s="1074"/>
      <c r="M414" s="1074"/>
      <c r="N414" s="1074"/>
      <c r="O414" s="1076"/>
      <c r="P414" s="1074"/>
      <c r="Q414" s="1074"/>
      <c r="R414" s="1072"/>
      <c r="S414" s="1073"/>
      <c r="T414" s="1074"/>
      <c r="U414" s="1074"/>
      <c r="V414" s="1074"/>
      <c r="W414" s="1074"/>
      <c r="X414" s="1074"/>
      <c r="Y414" s="1072"/>
      <c r="Z414" s="1073"/>
      <c r="AA414" s="1074"/>
      <c r="AB414" s="1074"/>
      <c r="AC414" s="1074"/>
      <c r="AD414" s="1074"/>
      <c r="AE414" s="1074"/>
      <c r="AF414" s="1072"/>
      <c r="AG414" s="1073"/>
      <c r="AH414" s="1074"/>
      <c r="AI414" s="1074"/>
      <c r="AJ414" s="1074"/>
      <c r="AK414" s="1074"/>
    </row>
    <row r="415">
      <c r="A415" s="1072"/>
      <c r="B415" s="1072"/>
      <c r="C415" s="1075"/>
      <c r="D415" s="1074"/>
      <c r="E415" s="1074"/>
      <c r="F415" s="1074"/>
      <c r="G415" s="1076"/>
      <c r="H415" s="1074"/>
      <c r="I415" s="1074"/>
      <c r="J415" s="1072"/>
      <c r="K415" s="1075"/>
      <c r="L415" s="1074"/>
      <c r="M415" s="1074"/>
      <c r="N415" s="1074"/>
      <c r="O415" s="1076"/>
      <c r="P415" s="1074"/>
      <c r="Q415" s="1074"/>
      <c r="R415" s="1072"/>
      <c r="S415" s="1073"/>
      <c r="T415" s="1074"/>
      <c r="U415" s="1074"/>
      <c r="V415" s="1074"/>
      <c r="W415" s="1074"/>
      <c r="X415" s="1074"/>
      <c r="Y415" s="1072"/>
      <c r="Z415" s="1073"/>
      <c r="AA415" s="1074"/>
      <c r="AB415" s="1074"/>
      <c r="AC415" s="1074"/>
      <c r="AD415" s="1074"/>
      <c r="AE415" s="1074"/>
      <c r="AF415" s="1072"/>
      <c r="AG415" s="1073"/>
      <c r="AH415" s="1074"/>
      <c r="AI415" s="1074"/>
      <c r="AJ415" s="1074"/>
      <c r="AK415" s="1074"/>
    </row>
    <row r="416">
      <c r="A416" s="1072"/>
      <c r="B416" s="1072"/>
      <c r="C416" s="1075"/>
      <c r="D416" s="1074"/>
      <c r="E416" s="1074"/>
      <c r="F416" s="1074"/>
      <c r="G416" s="1076"/>
      <c r="H416" s="1074"/>
      <c r="I416" s="1074"/>
      <c r="J416" s="1072"/>
      <c r="K416" s="1075"/>
      <c r="L416" s="1074"/>
      <c r="M416" s="1074"/>
      <c r="N416" s="1074"/>
      <c r="O416" s="1076"/>
      <c r="P416" s="1074"/>
      <c r="Q416" s="1074"/>
      <c r="R416" s="1072"/>
      <c r="S416" s="1073"/>
      <c r="T416" s="1074"/>
      <c r="U416" s="1074"/>
      <c r="V416" s="1074"/>
      <c r="W416" s="1074"/>
      <c r="X416" s="1074"/>
      <c r="Y416" s="1072"/>
      <c r="Z416" s="1073"/>
      <c r="AA416" s="1074"/>
      <c r="AB416" s="1074"/>
      <c r="AC416" s="1074"/>
      <c r="AD416" s="1074"/>
      <c r="AE416" s="1074"/>
      <c r="AF416" s="1072"/>
      <c r="AG416" s="1073"/>
      <c r="AH416" s="1074"/>
      <c r="AI416" s="1074"/>
      <c r="AJ416" s="1074"/>
      <c r="AK416" s="1074"/>
    </row>
    <row r="417">
      <c r="A417" s="1072"/>
      <c r="B417" s="1072"/>
      <c r="C417" s="1075"/>
      <c r="D417" s="1074"/>
      <c r="E417" s="1074"/>
      <c r="F417" s="1074"/>
      <c r="G417" s="1076"/>
      <c r="H417" s="1074"/>
      <c r="I417" s="1074"/>
      <c r="J417" s="1072"/>
      <c r="K417" s="1075"/>
      <c r="L417" s="1074"/>
      <c r="M417" s="1074"/>
      <c r="N417" s="1074"/>
      <c r="O417" s="1076"/>
      <c r="P417" s="1074"/>
      <c r="Q417" s="1074"/>
      <c r="R417" s="1072"/>
      <c r="S417" s="1073"/>
      <c r="T417" s="1074"/>
      <c r="U417" s="1074"/>
      <c r="V417" s="1074"/>
      <c r="W417" s="1074"/>
      <c r="X417" s="1074"/>
      <c r="Y417" s="1072"/>
      <c r="Z417" s="1073"/>
      <c r="AA417" s="1074"/>
      <c r="AB417" s="1074"/>
      <c r="AC417" s="1074"/>
      <c r="AD417" s="1074"/>
      <c r="AE417" s="1074"/>
      <c r="AF417" s="1072"/>
      <c r="AG417" s="1073"/>
      <c r="AH417" s="1074"/>
      <c r="AI417" s="1074"/>
      <c r="AJ417" s="1074"/>
      <c r="AK417" s="1074"/>
    </row>
    <row r="418">
      <c r="A418" s="1072"/>
      <c r="B418" s="1072"/>
      <c r="C418" s="1075"/>
      <c r="D418" s="1074"/>
      <c r="E418" s="1074"/>
      <c r="F418" s="1074"/>
      <c r="G418" s="1076"/>
      <c r="H418" s="1074"/>
      <c r="I418" s="1074"/>
      <c r="J418" s="1072"/>
      <c r="K418" s="1075"/>
      <c r="L418" s="1074"/>
      <c r="M418" s="1074"/>
      <c r="N418" s="1074"/>
      <c r="O418" s="1076"/>
      <c r="P418" s="1074"/>
      <c r="Q418" s="1074"/>
      <c r="R418" s="1072"/>
      <c r="S418" s="1073"/>
      <c r="T418" s="1074"/>
      <c r="U418" s="1074"/>
      <c r="V418" s="1074"/>
      <c r="W418" s="1074"/>
      <c r="X418" s="1074"/>
      <c r="Y418" s="1072"/>
      <c r="Z418" s="1073"/>
      <c r="AA418" s="1074"/>
      <c r="AB418" s="1074"/>
      <c r="AC418" s="1074"/>
      <c r="AD418" s="1074"/>
      <c r="AE418" s="1074"/>
      <c r="AF418" s="1072"/>
      <c r="AG418" s="1073"/>
      <c r="AH418" s="1074"/>
      <c r="AI418" s="1074"/>
      <c r="AJ418" s="1074"/>
      <c r="AK418" s="1074"/>
    </row>
    <row r="419">
      <c r="A419" s="1072"/>
      <c r="B419" s="1072"/>
      <c r="C419" s="1075"/>
      <c r="D419" s="1074"/>
      <c r="E419" s="1074"/>
      <c r="F419" s="1074"/>
      <c r="G419" s="1076"/>
      <c r="H419" s="1074"/>
      <c r="I419" s="1074"/>
      <c r="J419" s="1072"/>
      <c r="K419" s="1075"/>
      <c r="L419" s="1074"/>
      <c r="M419" s="1074"/>
      <c r="N419" s="1074"/>
      <c r="O419" s="1076"/>
      <c r="P419" s="1074"/>
      <c r="Q419" s="1074"/>
      <c r="R419" s="1072"/>
      <c r="S419" s="1073"/>
      <c r="T419" s="1074"/>
      <c r="U419" s="1074"/>
      <c r="V419" s="1074"/>
      <c r="W419" s="1074"/>
      <c r="X419" s="1074"/>
      <c r="Y419" s="1072"/>
      <c r="Z419" s="1073"/>
      <c r="AA419" s="1074"/>
      <c r="AB419" s="1074"/>
      <c r="AC419" s="1074"/>
      <c r="AD419" s="1074"/>
      <c r="AE419" s="1074"/>
      <c r="AF419" s="1072"/>
      <c r="AG419" s="1073"/>
      <c r="AH419" s="1074"/>
      <c r="AI419" s="1074"/>
      <c r="AJ419" s="1074"/>
      <c r="AK419" s="1074"/>
    </row>
    <row r="420">
      <c r="A420" s="1072"/>
      <c r="B420" s="1072"/>
      <c r="C420" s="1075"/>
      <c r="D420" s="1074"/>
      <c r="E420" s="1074"/>
      <c r="F420" s="1074"/>
      <c r="G420" s="1076"/>
      <c r="H420" s="1074"/>
      <c r="I420" s="1074"/>
      <c r="J420" s="1072"/>
      <c r="K420" s="1075"/>
      <c r="L420" s="1074"/>
      <c r="M420" s="1074"/>
      <c r="N420" s="1074"/>
      <c r="O420" s="1076"/>
      <c r="P420" s="1074"/>
      <c r="Q420" s="1074"/>
      <c r="R420" s="1072"/>
      <c r="S420" s="1073"/>
      <c r="T420" s="1074"/>
      <c r="U420" s="1074"/>
      <c r="V420" s="1074"/>
      <c r="W420" s="1074"/>
      <c r="X420" s="1074"/>
      <c r="Y420" s="1072"/>
      <c r="Z420" s="1073"/>
      <c r="AA420" s="1074"/>
      <c r="AB420" s="1074"/>
      <c r="AC420" s="1074"/>
      <c r="AD420" s="1074"/>
      <c r="AE420" s="1074"/>
      <c r="AF420" s="1072"/>
      <c r="AG420" s="1073"/>
      <c r="AH420" s="1074"/>
      <c r="AI420" s="1074"/>
      <c r="AJ420" s="1074"/>
      <c r="AK420" s="1074"/>
    </row>
    <row r="421">
      <c r="A421" s="1072"/>
      <c r="B421" s="1072"/>
      <c r="C421" s="1075"/>
      <c r="D421" s="1074"/>
      <c r="E421" s="1074"/>
      <c r="F421" s="1074"/>
      <c r="G421" s="1076"/>
      <c r="H421" s="1074"/>
      <c r="I421" s="1074"/>
      <c r="J421" s="1072"/>
      <c r="K421" s="1075"/>
      <c r="L421" s="1074"/>
      <c r="M421" s="1074"/>
      <c r="N421" s="1074"/>
      <c r="O421" s="1076"/>
      <c r="P421" s="1074"/>
      <c r="Q421" s="1074"/>
      <c r="R421" s="1072"/>
      <c r="S421" s="1073"/>
      <c r="T421" s="1074"/>
      <c r="U421" s="1074"/>
      <c r="V421" s="1074"/>
      <c r="W421" s="1074"/>
      <c r="X421" s="1074"/>
      <c r="Y421" s="1072"/>
      <c r="Z421" s="1073"/>
      <c r="AA421" s="1074"/>
      <c r="AB421" s="1074"/>
      <c r="AC421" s="1074"/>
      <c r="AD421" s="1074"/>
      <c r="AE421" s="1074"/>
      <c r="AF421" s="1072"/>
      <c r="AG421" s="1073"/>
      <c r="AH421" s="1074"/>
      <c r="AI421" s="1074"/>
      <c r="AJ421" s="1074"/>
      <c r="AK421" s="1074"/>
    </row>
    <row r="422">
      <c r="A422" s="1072"/>
      <c r="B422" s="1072"/>
      <c r="C422" s="1075"/>
      <c r="D422" s="1074"/>
      <c r="E422" s="1074"/>
      <c r="F422" s="1074"/>
      <c r="G422" s="1076"/>
      <c r="H422" s="1074"/>
      <c r="I422" s="1074"/>
      <c r="J422" s="1072"/>
      <c r="K422" s="1075"/>
      <c r="L422" s="1074"/>
      <c r="M422" s="1074"/>
      <c r="N422" s="1074"/>
      <c r="O422" s="1076"/>
      <c r="P422" s="1074"/>
      <c r="Q422" s="1074"/>
      <c r="R422" s="1072"/>
      <c r="S422" s="1073"/>
      <c r="T422" s="1074"/>
      <c r="U422" s="1074"/>
      <c r="V422" s="1074"/>
      <c r="W422" s="1074"/>
      <c r="X422" s="1074"/>
      <c r="Y422" s="1072"/>
      <c r="Z422" s="1073"/>
      <c r="AA422" s="1074"/>
      <c r="AB422" s="1074"/>
      <c r="AC422" s="1074"/>
      <c r="AD422" s="1074"/>
      <c r="AE422" s="1074"/>
      <c r="AF422" s="1072"/>
      <c r="AG422" s="1073"/>
      <c r="AH422" s="1074"/>
      <c r="AI422" s="1074"/>
      <c r="AJ422" s="1074"/>
      <c r="AK422" s="1074"/>
    </row>
    <row r="423">
      <c r="A423" s="1072"/>
      <c r="B423" s="1072"/>
      <c r="C423" s="1075"/>
      <c r="D423" s="1074"/>
      <c r="E423" s="1074"/>
      <c r="F423" s="1074"/>
      <c r="G423" s="1076"/>
      <c r="H423" s="1074"/>
      <c r="I423" s="1074"/>
      <c r="J423" s="1072"/>
      <c r="K423" s="1075"/>
      <c r="L423" s="1074"/>
      <c r="M423" s="1074"/>
      <c r="N423" s="1074"/>
      <c r="O423" s="1076"/>
      <c r="P423" s="1074"/>
      <c r="Q423" s="1074"/>
      <c r="R423" s="1072"/>
      <c r="S423" s="1073"/>
      <c r="T423" s="1074"/>
      <c r="U423" s="1074"/>
      <c r="V423" s="1074"/>
      <c r="W423" s="1074"/>
      <c r="X423" s="1074"/>
      <c r="Y423" s="1072"/>
      <c r="Z423" s="1073"/>
      <c r="AA423" s="1074"/>
      <c r="AB423" s="1074"/>
      <c r="AC423" s="1074"/>
      <c r="AD423" s="1074"/>
      <c r="AE423" s="1074"/>
      <c r="AF423" s="1072"/>
      <c r="AG423" s="1073"/>
      <c r="AH423" s="1074"/>
      <c r="AI423" s="1074"/>
      <c r="AJ423" s="1074"/>
      <c r="AK423" s="1074"/>
    </row>
    <row r="424">
      <c r="A424" s="1072"/>
      <c r="B424" s="1072"/>
      <c r="C424" s="1075"/>
      <c r="D424" s="1074"/>
      <c r="E424" s="1074"/>
      <c r="F424" s="1074"/>
      <c r="G424" s="1076"/>
      <c r="H424" s="1074"/>
      <c r="I424" s="1074"/>
      <c r="J424" s="1072"/>
      <c r="K424" s="1075"/>
      <c r="L424" s="1074"/>
      <c r="M424" s="1074"/>
      <c r="N424" s="1074"/>
      <c r="O424" s="1076"/>
      <c r="P424" s="1074"/>
      <c r="Q424" s="1074"/>
      <c r="R424" s="1072"/>
      <c r="S424" s="1073"/>
      <c r="T424" s="1074"/>
      <c r="U424" s="1074"/>
      <c r="V424" s="1074"/>
      <c r="W424" s="1074"/>
      <c r="X424" s="1074"/>
      <c r="Y424" s="1072"/>
      <c r="Z424" s="1073"/>
      <c r="AA424" s="1074"/>
      <c r="AB424" s="1074"/>
      <c r="AC424" s="1074"/>
      <c r="AD424" s="1074"/>
      <c r="AE424" s="1074"/>
      <c r="AF424" s="1072"/>
      <c r="AG424" s="1073"/>
      <c r="AH424" s="1074"/>
      <c r="AI424" s="1074"/>
      <c r="AJ424" s="1074"/>
      <c r="AK424" s="1074"/>
    </row>
    <row r="425">
      <c r="A425" s="1072"/>
      <c r="B425" s="1072"/>
      <c r="C425" s="1075"/>
      <c r="D425" s="1074"/>
      <c r="E425" s="1074"/>
      <c r="F425" s="1074"/>
      <c r="G425" s="1076"/>
      <c r="H425" s="1074"/>
      <c r="I425" s="1074"/>
      <c r="J425" s="1072"/>
      <c r="K425" s="1075"/>
      <c r="L425" s="1074"/>
      <c r="M425" s="1074"/>
      <c r="N425" s="1074"/>
      <c r="O425" s="1076"/>
      <c r="P425" s="1074"/>
      <c r="Q425" s="1074"/>
      <c r="R425" s="1072"/>
      <c r="S425" s="1073"/>
      <c r="T425" s="1074"/>
      <c r="U425" s="1074"/>
      <c r="V425" s="1074"/>
      <c r="W425" s="1074"/>
      <c r="X425" s="1074"/>
      <c r="Y425" s="1072"/>
      <c r="Z425" s="1073"/>
      <c r="AA425" s="1074"/>
      <c r="AB425" s="1074"/>
      <c r="AC425" s="1074"/>
      <c r="AD425" s="1074"/>
      <c r="AE425" s="1074"/>
      <c r="AF425" s="1072"/>
      <c r="AG425" s="1073"/>
      <c r="AH425" s="1074"/>
      <c r="AI425" s="1074"/>
      <c r="AJ425" s="1074"/>
      <c r="AK425" s="1074"/>
    </row>
    <row r="426">
      <c r="A426" s="1072"/>
      <c r="B426" s="1072"/>
      <c r="C426" s="1075"/>
      <c r="D426" s="1074"/>
      <c r="E426" s="1074"/>
      <c r="F426" s="1074"/>
      <c r="G426" s="1076"/>
      <c r="H426" s="1074"/>
      <c r="I426" s="1074"/>
      <c r="J426" s="1072"/>
      <c r="K426" s="1075"/>
      <c r="L426" s="1074"/>
      <c r="M426" s="1074"/>
      <c r="N426" s="1074"/>
      <c r="O426" s="1076"/>
      <c r="P426" s="1074"/>
      <c r="Q426" s="1074"/>
      <c r="R426" s="1072"/>
      <c r="S426" s="1073"/>
      <c r="T426" s="1074"/>
      <c r="U426" s="1074"/>
      <c r="V426" s="1074"/>
      <c r="W426" s="1074"/>
      <c r="X426" s="1074"/>
      <c r="Y426" s="1072"/>
      <c r="Z426" s="1073"/>
      <c r="AA426" s="1074"/>
      <c r="AB426" s="1074"/>
      <c r="AC426" s="1074"/>
      <c r="AD426" s="1074"/>
      <c r="AE426" s="1074"/>
      <c r="AF426" s="1072"/>
      <c r="AG426" s="1073"/>
      <c r="AH426" s="1074"/>
      <c r="AI426" s="1074"/>
      <c r="AJ426" s="1074"/>
      <c r="AK426" s="1074"/>
    </row>
    <row r="427">
      <c r="A427" s="1072"/>
      <c r="B427" s="1072"/>
      <c r="C427" s="1075"/>
      <c r="D427" s="1074"/>
      <c r="E427" s="1074"/>
      <c r="F427" s="1074"/>
      <c r="G427" s="1076"/>
      <c r="H427" s="1074"/>
      <c r="I427" s="1074"/>
      <c r="J427" s="1072"/>
      <c r="K427" s="1075"/>
      <c r="L427" s="1074"/>
      <c r="M427" s="1074"/>
      <c r="N427" s="1074"/>
      <c r="O427" s="1076"/>
      <c r="P427" s="1074"/>
      <c r="Q427" s="1074"/>
      <c r="R427" s="1072"/>
      <c r="S427" s="1073"/>
      <c r="T427" s="1074"/>
      <c r="U427" s="1074"/>
      <c r="V427" s="1074"/>
      <c r="W427" s="1074"/>
      <c r="X427" s="1074"/>
      <c r="Y427" s="1072"/>
      <c r="Z427" s="1073"/>
      <c r="AA427" s="1074"/>
      <c r="AB427" s="1074"/>
      <c r="AC427" s="1074"/>
      <c r="AD427" s="1074"/>
      <c r="AE427" s="1074"/>
      <c r="AF427" s="1072"/>
      <c r="AG427" s="1073"/>
      <c r="AH427" s="1074"/>
      <c r="AI427" s="1074"/>
      <c r="AJ427" s="1074"/>
      <c r="AK427" s="1074"/>
    </row>
    <row r="428">
      <c r="A428" s="1072"/>
      <c r="B428" s="1072"/>
      <c r="C428" s="1075"/>
      <c r="D428" s="1074"/>
      <c r="E428" s="1074"/>
      <c r="F428" s="1074"/>
      <c r="G428" s="1076"/>
      <c r="H428" s="1074"/>
      <c r="I428" s="1074"/>
      <c r="J428" s="1072"/>
      <c r="K428" s="1075"/>
      <c r="L428" s="1074"/>
      <c r="M428" s="1074"/>
      <c r="N428" s="1074"/>
      <c r="O428" s="1076"/>
      <c r="P428" s="1074"/>
      <c r="Q428" s="1074"/>
      <c r="R428" s="1072"/>
      <c r="S428" s="1073"/>
      <c r="T428" s="1074"/>
      <c r="U428" s="1074"/>
      <c r="V428" s="1074"/>
      <c r="W428" s="1074"/>
      <c r="X428" s="1074"/>
      <c r="Y428" s="1072"/>
      <c r="Z428" s="1073"/>
      <c r="AA428" s="1074"/>
      <c r="AB428" s="1074"/>
      <c r="AC428" s="1074"/>
      <c r="AD428" s="1074"/>
      <c r="AE428" s="1074"/>
      <c r="AF428" s="1072"/>
      <c r="AG428" s="1073"/>
      <c r="AH428" s="1074"/>
      <c r="AI428" s="1074"/>
      <c r="AJ428" s="1074"/>
      <c r="AK428" s="1074"/>
    </row>
    <row r="429">
      <c r="A429" s="1072"/>
      <c r="B429" s="1072"/>
      <c r="C429" s="1075"/>
      <c r="D429" s="1074"/>
      <c r="E429" s="1074"/>
      <c r="F429" s="1074"/>
      <c r="G429" s="1076"/>
      <c r="H429" s="1074"/>
      <c r="I429" s="1074"/>
      <c r="J429" s="1072"/>
      <c r="K429" s="1075"/>
      <c r="L429" s="1074"/>
      <c r="M429" s="1074"/>
      <c r="N429" s="1074"/>
      <c r="O429" s="1076"/>
      <c r="P429" s="1074"/>
      <c r="Q429" s="1074"/>
      <c r="R429" s="1072"/>
      <c r="S429" s="1073"/>
      <c r="T429" s="1074"/>
      <c r="U429" s="1074"/>
      <c r="V429" s="1074"/>
      <c r="W429" s="1074"/>
      <c r="X429" s="1074"/>
      <c r="Y429" s="1072"/>
      <c r="Z429" s="1073"/>
      <c r="AA429" s="1074"/>
      <c r="AB429" s="1074"/>
      <c r="AC429" s="1074"/>
      <c r="AD429" s="1074"/>
      <c r="AE429" s="1074"/>
      <c r="AF429" s="1072"/>
      <c r="AG429" s="1073"/>
      <c r="AH429" s="1074"/>
      <c r="AI429" s="1074"/>
      <c r="AJ429" s="1074"/>
      <c r="AK429" s="1074"/>
    </row>
    <row r="430">
      <c r="A430" s="1072"/>
      <c r="B430" s="1072"/>
      <c r="C430" s="1075"/>
      <c r="D430" s="1074"/>
      <c r="E430" s="1074"/>
      <c r="F430" s="1074"/>
      <c r="G430" s="1076"/>
      <c r="H430" s="1074"/>
      <c r="I430" s="1074"/>
      <c r="J430" s="1072"/>
      <c r="K430" s="1075"/>
      <c r="L430" s="1074"/>
      <c r="M430" s="1074"/>
      <c r="N430" s="1074"/>
      <c r="O430" s="1076"/>
      <c r="P430" s="1074"/>
      <c r="Q430" s="1074"/>
      <c r="R430" s="1072"/>
      <c r="S430" s="1073"/>
      <c r="T430" s="1074"/>
      <c r="U430" s="1074"/>
      <c r="V430" s="1074"/>
      <c r="W430" s="1074"/>
      <c r="X430" s="1074"/>
      <c r="Y430" s="1072"/>
      <c r="Z430" s="1073"/>
      <c r="AA430" s="1074"/>
      <c r="AB430" s="1074"/>
      <c r="AC430" s="1074"/>
      <c r="AD430" s="1074"/>
      <c r="AE430" s="1074"/>
      <c r="AF430" s="1072"/>
      <c r="AG430" s="1073"/>
      <c r="AH430" s="1074"/>
      <c r="AI430" s="1074"/>
      <c r="AJ430" s="1074"/>
      <c r="AK430" s="1074"/>
    </row>
    <row r="431">
      <c r="A431" s="1072"/>
      <c r="B431" s="1072"/>
      <c r="C431" s="1075"/>
      <c r="D431" s="1074"/>
      <c r="E431" s="1074"/>
      <c r="F431" s="1074"/>
      <c r="G431" s="1076"/>
      <c r="H431" s="1074"/>
      <c r="I431" s="1074"/>
      <c r="J431" s="1072"/>
      <c r="K431" s="1075"/>
      <c r="L431" s="1074"/>
      <c r="M431" s="1074"/>
      <c r="N431" s="1074"/>
      <c r="O431" s="1076"/>
      <c r="P431" s="1074"/>
      <c r="Q431" s="1074"/>
      <c r="R431" s="1072"/>
      <c r="S431" s="1073"/>
      <c r="T431" s="1074"/>
      <c r="U431" s="1074"/>
      <c r="V431" s="1074"/>
      <c r="W431" s="1074"/>
      <c r="X431" s="1074"/>
      <c r="Y431" s="1072"/>
      <c r="Z431" s="1073"/>
      <c r="AA431" s="1074"/>
      <c r="AB431" s="1074"/>
      <c r="AC431" s="1074"/>
      <c r="AD431" s="1074"/>
      <c r="AE431" s="1074"/>
      <c r="AF431" s="1072"/>
      <c r="AG431" s="1073"/>
      <c r="AH431" s="1074"/>
      <c r="AI431" s="1074"/>
      <c r="AJ431" s="1074"/>
      <c r="AK431" s="1074"/>
    </row>
    <row r="432">
      <c r="A432" s="1072"/>
      <c r="B432" s="1072"/>
      <c r="C432" s="1075"/>
      <c r="D432" s="1074"/>
      <c r="E432" s="1074"/>
      <c r="F432" s="1074"/>
      <c r="G432" s="1076"/>
      <c r="H432" s="1074"/>
      <c r="I432" s="1074"/>
      <c r="J432" s="1072"/>
      <c r="K432" s="1075"/>
      <c r="L432" s="1074"/>
      <c r="M432" s="1074"/>
      <c r="N432" s="1074"/>
      <c r="O432" s="1076"/>
      <c r="P432" s="1074"/>
      <c r="Q432" s="1074"/>
      <c r="R432" s="1072"/>
      <c r="S432" s="1073"/>
      <c r="T432" s="1074"/>
      <c r="U432" s="1074"/>
      <c r="V432" s="1074"/>
      <c r="W432" s="1074"/>
      <c r="X432" s="1074"/>
      <c r="Y432" s="1072"/>
      <c r="Z432" s="1073"/>
      <c r="AA432" s="1074"/>
      <c r="AB432" s="1074"/>
      <c r="AC432" s="1074"/>
      <c r="AD432" s="1074"/>
      <c r="AE432" s="1074"/>
      <c r="AF432" s="1072"/>
      <c r="AG432" s="1073"/>
      <c r="AH432" s="1074"/>
      <c r="AI432" s="1074"/>
      <c r="AJ432" s="1074"/>
      <c r="AK432" s="1074"/>
    </row>
    <row r="433">
      <c r="A433" s="1072"/>
      <c r="B433" s="1072"/>
      <c r="C433" s="1075"/>
      <c r="D433" s="1074"/>
      <c r="E433" s="1074"/>
      <c r="F433" s="1074"/>
      <c r="G433" s="1076"/>
      <c r="H433" s="1074"/>
      <c r="I433" s="1074"/>
      <c r="J433" s="1072"/>
      <c r="K433" s="1075"/>
      <c r="L433" s="1074"/>
      <c r="M433" s="1074"/>
      <c r="N433" s="1074"/>
      <c r="O433" s="1076"/>
      <c r="P433" s="1074"/>
      <c r="Q433" s="1074"/>
      <c r="R433" s="1072"/>
      <c r="S433" s="1073"/>
      <c r="T433" s="1074"/>
      <c r="U433" s="1074"/>
      <c r="V433" s="1074"/>
      <c r="W433" s="1074"/>
      <c r="X433" s="1074"/>
      <c r="Y433" s="1072"/>
      <c r="Z433" s="1073"/>
      <c r="AA433" s="1074"/>
      <c r="AB433" s="1074"/>
      <c r="AC433" s="1074"/>
      <c r="AD433" s="1074"/>
      <c r="AE433" s="1074"/>
      <c r="AF433" s="1072"/>
      <c r="AG433" s="1073"/>
      <c r="AH433" s="1074"/>
      <c r="AI433" s="1074"/>
      <c r="AJ433" s="1074"/>
      <c r="AK433" s="1074"/>
    </row>
    <row r="434">
      <c r="A434" s="1072"/>
      <c r="B434" s="1072"/>
      <c r="C434" s="1075"/>
      <c r="D434" s="1074"/>
      <c r="E434" s="1074"/>
      <c r="F434" s="1074"/>
      <c r="G434" s="1076"/>
      <c r="H434" s="1074"/>
      <c r="I434" s="1074"/>
      <c r="J434" s="1072"/>
      <c r="K434" s="1075"/>
      <c r="L434" s="1074"/>
      <c r="M434" s="1074"/>
      <c r="N434" s="1074"/>
      <c r="O434" s="1076"/>
      <c r="P434" s="1074"/>
      <c r="Q434" s="1074"/>
      <c r="R434" s="1072"/>
      <c r="S434" s="1073"/>
      <c r="T434" s="1074"/>
      <c r="U434" s="1074"/>
      <c r="V434" s="1074"/>
      <c r="W434" s="1074"/>
      <c r="X434" s="1074"/>
      <c r="Y434" s="1072"/>
      <c r="Z434" s="1073"/>
      <c r="AA434" s="1074"/>
      <c r="AB434" s="1074"/>
      <c r="AC434" s="1074"/>
      <c r="AD434" s="1074"/>
      <c r="AE434" s="1074"/>
      <c r="AF434" s="1072"/>
      <c r="AG434" s="1073"/>
      <c r="AH434" s="1074"/>
      <c r="AI434" s="1074"/>
      <c r="AJ434" s="1074"/>
      <c r="AK434" s="1074"/>
    </row>
    <row r="435">
      <c r="A435" s="1072"/>
      <c r="B435" s="1072"/>
      <c r="C435" s="1075"/>
      <c r="D435" s="1074"/>
      <c r="E435" s="1074"/>
      <c r="F435" s="1074"/>
      <c r="G435" s="1076"/>
      <c r="H435" s="1074"/>
      <c r="I435" s="1074"/>
      <c r="J435" s="1072"/>
      <c r="K435" s="1075"/>
      <c r="L435" s="1074"/>
      <c r="M435" s="1074"/>
      <c r="N435" s="1074"/>
      <c r="O435" s="1076"/>
      <c r="P435" s="1074"/>
      <c r="Q435" s="1074"/>
      <c r="R435" s="1072"/>
      <c r="S435" s="1073"/>
      <c r="T435" s="1074"/>
      <c r="U435" s="1074"/>
      <c r="V435" s="1074"/>
      <c r="W435" s="1074"/>
      <c r="X435" s="1074"/>
      <c r="Y435" s="1072"/>
      <c r="Z435" s="1073"/>
      <c r="AA435" s="1074"/>
      <c r="AB435" s="1074"/>
      <c r="AC435" s="1074"/>
      <c r="AD435" s="1074"/>
      <c r="AE435" s="1074"/>
      <c r="AF435" s="1072"/>
      <c r="AG435" s="1073"/>
      <c r="AH435" s="1074"/>
      <c r="AI435" s="1074"/>
      <c r="AJ435" s="1074"/>
      <c r="AK435" s="1074"/>
    </row>
    <row r="436">
      <c r="A436" s="1072"/>
      <c r="B436" s="1072"/>
      <c r="C436" s="1075"/>
      <c r="D436" s="1074"/>
      <c r="E436" s="1074"/>
      <c r="F436" s="1074"/>
      <c r="G436" s="1076"/>
      <c r="H436" s="1074"/>
      <c r="I436" s="1074"/>
      <c r="J436" s="1072"/>
      <c r="K436" s="1075"/>
      <c r="L436" s="1074"/>
      <c r="M436" s="1074"/>
      <c r="N436" s="1074"/>
      <c r="O436" s="1076"/>
      <c r="P436" s="1074"/>
      <c r="Q436" s="1074"/>
      <c r="R436" s="1072"/>
      <c r="S436" s="1073"/>
      <c r="T436" s="1074"/>
      <c r="U436" s="1074"/>
      <c r="V436" s="1074"/>
      <c r="W436" s="1074"/>
      <c r="X436" s="1074"/>
      <c r="Y436" s="1072"/>
      <c r="Z436" s="1073"/>
      <c r="AA436" s="1074"/>
      <c r="AB436" s="1074"/>
      <c r="AC436" s="1074"/>
      <c r="AD436" s="1074"/>
      <c r="AE436" s="1074"/>
      <c r="AF436" s="1072"/>
      <c r="AG436" s="1073"/>
      <c r="AH436" s="1074"/>
      <c r="AI436" s="1074"/>
      <c r="AJ436" s="1074"/>
      <c r="AK436" s="1074"/>
    </row>
    <row r="437">
      <c r="A437" s="1072"/>
      <c r="B437" s="1072"/>
      <c r="C437" s="1075"/>
      <c r="D437" s="1074"/>
      <c r="E437" s="1074"/>
      <c r="F437" s="1074"/>
      <c r="G437" s="1076"/>
      <c r="H437" s="1074"/>
      <c r="I437" s="1074"/>
      <c r="J437" s="1072"/>
      <c r="K437" s="1075"/>
      <c r="L437" s="1074"/>
      <c r="M437" s="1074"/>
      <c r="N437" s="1074"/>
      <c r="O437" s="1076"/>
      <c r="P437" s="1074"/>
      <c r="Q437" s="1074"/>
      <c r="R437" s="1072"/>
      <c r="S437" s="1073"/>
      <c r="T437" s="1074"/>
      <c r="U437" s="1074"/>
      <c r="V437" s="1074"/>
      <c r="W437" s="1074"/>
      <c r="X437" s="1074"/>
      <c r="Y437" s="1072"/>
      <c r="Z437" s="1073"/>
      <c r="AA437" s="1074"/>
      <c r="AB437" s="1074"/>
      <c r="AC437" s="1074"/>
      <c r="AD437" s="1074"/>
      <c r="AE437" s="1074"/>
      <c r="AF437" s="1072"/>
      <c r="AG437" s="1073"/>
      <c r="AH437" s="1074"/>
      <c r="AI437" s="1074"/>
      <c r="AJ437" s="1074"/>
      <c r="AK437" s="1074"/>
    </row>
    <row r="438">
      <c r="A438" s="1072"/>
      <c r="B438" s="1072"/>
      <c r="C438" s="1075"/>
      <c r="D438" s="1074"/>
      <c r="E438" s="1074"/>
      <c r="F438" s="1074"/>
      <c r="G438" s="1076"/>
      <c r="H438" s="1074"/>
      <c r="I438" s="1074"/>
      <c r="J438" s="1072"/>
      <c r="K438" s="1075"/>
      <c r="L438" s="1074"/>
      <c r="M438" s="1074"/>
      <c r="N438" s="1074"/>
      <c r="O438" s="1076"/>
      <c r="P438" s="1074"/>
      <c r="Q438" s="1074"/>
      <c r="R438" s="1072"/>
      <c r="S438" s="1073"/>
      <c r="T438" s="1074"/>
      <c r="U438" s="1074"/>
      <c r="V438" s="1074"/>
      <c r="W438" s="1074"/>
      <c r="X438" s="1074"/>
      <c r="Y438" s="1072"/>
      <c r="Z438" s="1073"/>
      <c r="AA438" s="1074"/>
      <c r="AB438" s="1074"/>
      <c r="AC438" s="1074"/>
      <c r="AD438" s="1074"/>
      <c r="AE438" s="1074"/>
      <c r="AF438" s="1072"/>
      <c r="AG438" s="1073"/>
      <c r="AH438" s="1074"/>
      <c r="AI438" s="1074"/>
      <c r="AJ438" s="1074"/>
      <c r="AK438" s="1074"/>
    </row>
    <row r="439">
      <c r="A439" s="1072"/>
      <c r="B439" s="1072"/>
      <c r="C439" s="1075"/>
      <c r="D439" s="1074"/>
      <c r="E439" s="1074"/>
      <c r="F439" s="1074"/>
      <c r="G439" s="1076"/>
      <c r="H439" s="1074"/>
      <c r="I439" s="1074"/>
      <c r="J439" s="1072"/>
      <c r="K439" s="1075"/>
      <c r="L439" s="1074"/>
      <c r="M439" s="1074"/>
      <c r="N439" s="1074"/>
      <c r="O439" s="1076"/>
      <c r="P439" s="1074"/>
      <c r="Q439" s="1074"/>
      <c r="R439" s="1072"/>
      <c r="S439" s="1073"/>
      <c r="T439" s="1074"/>
      <c r="U439" s="1074"/>
      <c r="V439" s="1074"/>
      <c r="W439" s="1074"/>
      <c r="X439" s="1074"/>
      <c r="Y439" s="1072"/>
      <c r="Z439" s="1073"/>
      <c r="AA439" s="1074"/>
      <c r="AB439" s="1074"/>
      <c r="AC439" s="1074"/>
      <c r="AD439" s="1074"/>
      <c r="AE439" s="1074"/>
      <c r="AF439" s="1072"/>
      <c r="AG439" s="1073"/>
      <c r="AH439" s="1074"/>
      <c r="AI439" s="1074"/>
      <c r="AJ439" s="1074"/>
      <c r="AK439" s="1074"/>
    </row>
    <row r="440">
      <c r="A440" s="1072"/>
      <c r="B440" s="1072"/>
      <c r="C440" s="1075"/>
      <c r="D440" s="1074"/>
      <c r="E440" s="1074"/>
      <c r="F440" s="1074"/>
      <c r="G440" s="1076"/>
      <c r="H440" s="1074"/>
      <c r="I440" s="1074"/>
      <c r="J440" s="1072"/>
      <c r="K440" s="1075"/>
      <c r="L440" s="1074"/>
      <c r="M440" s="1074"/>
      <c r="N440" s="1074"/>
      <c r="O440" s="1076"/>
      <c r="P440" s="1074"/>
      <c r="Q440" s="1074"/>
      <c r="R440" s="1072"/>
      <c r="S440" s="1073"/>
      <c r="T440" s="1074"/>
      <c r="U440" s="1074"/>
      <c r="V440" s="1074"/>
      <c r="W440" s="1074"/>
      <c r="X440" s="1074"/>
      <c r="Y440" s="1072"/>
      <c r="Z440" s="1073"/>
      <c r="AA440" s="1074"/>
      <c r="AB440" s="1074"/>
      <c r="AC440" s="1074"/>
      <c r="AD440" s="1074"/>
      <c r="AE440" s="1074"/>
      <c r="AF440" s="1072"/>
      <c r="AG440" s="1073"/>
      <c r="AH440" s="1074"/>
      <c r="AI440" s="1074"/>
      <c r="AJ440" s="1074"/>
      <c r="AK440" s="1074"/>
    </row>
    <row r="441">
      <c r="A441" s="1072"/>
      <c r="B441" s="1072"/>
      <c r="C441" s="1075"/>
      <c r="D441" s="1074"/>
      <c r="E441" s="1074"/>
      <c r="F441" s="1074"/>
      <c r="G441" s="1076"/>
      <c r="H441" s="1074"/>
      <c r="I441" s="1074"/>
      <c r="J441" s="1072"/>
      <c r="K441" s="1075"/>
      <c r="L441" s="1074"/>
      <c r="M441" s="1074"/>
      <c r="N441" s="1074"/>
      <c r="O441" s="1076"/>
      <c r="P441" s="1074"/>
      <c r="Q441" s="1074"/>
      <c r="R441" s="1072"/>
      <c r="S441" s="1073"/>
      <c r="T441" s="1074"/>
      <c r="U441" s="1074"/>
      <c r="V441" s="1074"/>
      <c r="W441" s="1074"/>
      <c r="X441" s="1074"/>
      <c r="Y441" s="1072"/>
      <c r="Z441" s="1073"/>
      <c r="AA441" s="1074"/>
      <c r="AB441" s="1074"/>
      <c r="AC441" s="1074"/>
      <c r="AD441" s="1074"/>
      <c r="AE441" s="1074"/>
      <c r="AF441" s="1072"/>
      <c r="AG441" s="1073"/>
      <c r="AH441" s="1074"/>
      <c r="AI441" s="1074"/>
      <c r="AJ441" s="1074"/>
      <c r="AK441" s="1074"/>
    </row>
    <row r="442">
      <c r="A442" s="1072"/>
      <c r="B442" s="1072"/>
      <c r="C442" s="1075"/>
      <c r="D442" s="1074"/>
      <c r="E442" s="1074"/>
      <c r="F442" s="1074"/>
      <c r="G442" s="1076"/>
      <c r="H442" s="1074"/>
      <c r="I442" s="1074"/>
      <c r="J442" s="1072"/>
      <c r="K442" s="1075"/>
      <c r="L442" s="1074"/>
      <c r="M442" s="1074"/>
      <c r="N442" s="1074"/>
      <c r="O442" s="1076"/>
      <c r="P442" s="1074"/>
      <c r="Q442" s="1074"/>
      <c r="R442" s="1072"/>
      <c r="S442" s="1073"/>
      <c r="T442" s="1074"/>
      <c r="U442" s="1074"/>
      <c r="V442" s="1074"/>
      <c r="W442" s="1074"/>
      <c r="X442" s="1074"/>
      <c r="Y442" s="1072"/>
      <c r="Z442" s="1073"/>
      <c r="AA442" s="1074"/>
      <c r="AB442" s="1074"/>
      <c r="AC442" s="1074"/>
      <c r="AD442" s="1074"/>
      <c r="AE442" s="1074"/>
      <c r="AF442" s="1072"/>
      <c r="AG442" s="1073"/>
      <c r="AH442" s="1074"/>
      <c r="AI442" s="1074"/>
      <c r="AJ442" s="1074"/>
      <c r="AK442" s="1074"/>
    </row>
    <row r="443">
      <c r="A443" s="1072"/>
      <c r="B443" s="1072"/>
      <c r="C443" s="1075"/>
      <c r="D443" s="1074"/>
      <c r="E443" s="1074"/>
      <c r="F443" s="1074"/>
      <c r="G443" s="1076"/>
      <c r="H443" s="1074"/>
      <c r="I443" s="1074"/>
      <c r="J443" s="1072"/>
      <c r="K443" s="1075"/>
      <c r="L443" s="1074"/>
      <c r="M443" s="1074"/>
      <c r="N443" s="1074"/>
      <c r="O443" s="1076"/>
      <c r="P443" s="1074"/>
      <c r="Q443" s="1074"/>
      <c r="R443" s="1072"/>
      <c r="S443" s="1073"/>
      <c r="T443" s="1074"/>
      <c r="U443" s="1074"/>
      <c r="V443" s="1074"/>
      <c r="W443" s="1074"/>
      <c r="X443" s="1074"/>
      <c r="Y443" s="1072"/>
      <c r="Z443" s="1073"/>
      <c r="AA443" s="1074"/>
      <c r="AB443" s="1074"/>
      <c r="AC443" s="1074"/>
      <c r="AD443" s="1074"/>
      <c r="AE443" s="1074"/>
      <c r="AF443" s="1072"/>
      <c r="AG443" s="1073"/>
      <c r="AH443" s="1074"/>
      <c r="AI443" s="1074"/>
      <c r="AJ443" s="1074"/>
      <c r="AK443" s="1074"/>
    </row>
    <row r="444">
      <c r="A444" s="1072"/>
      <c r="B444" s="1072"/>
      <c r="C444" s="1075"/>
      <c r="D444" s="1074"/>
      <c r="E444" s="1074"/>
      <c r="F444" s="1074"/>
      <c r="G444" s="1076"/>
      <c r="H444" s="1074"/>
      <c r="I444" s="1074"/>
      <c r="J444" s="1072"/>
      <c r="K444" s="1075"/>
      <c r="L444" s="1074"/>
      <c r="M444" s="1074"/>
      <c r="N444" s="1074"/>
      <c r="O444" s="1076"/>
      <c r="P444" s="1074"/>
      <c r="Q444" s="1074"/>
      <c r="R444" s="1072"/>
      <c r="S444" s="1073"/>
      <c r="T444" s="1074"/>
      <c r="U444" s="1074"/>
      <c r="V444" s="1074"/>
      <c r="W444" s="1074"/>
      <c r="X444" s="1074"/>
      <c r="Y444" s="1072"/>
      <c r="Z444" s="1073"/>
      <c r="AA444" s="1074"/>
      <c r="AB444" s="1074"/>
      <c r="AC444" s="1074"/>
      <c r="AD444" s="1074"/>
      <c r="AE444" s="1074"/>
      <c r="AF444" s="1072"/>
      <c r="AG444" s="1073"/>
      <c r="AH444" s="1074"/>
      <c r="AI444" s="1074"/>
      <c r="AJ444" s="1074"/>
      <c r="AK444" s="1074"/>
    </row>
    <row r="445">
      <c r="A445" s="1072"/>
      <c r="B445" s="1072"/>
      <c r="C445" s="1075"/>
      <c r="D445" s="1074"/>
      <c r="E445" s="1074"/>
      <c r="F445" s="1074"/>
      <c r="G445" s="1076"/>
      <c r="H445" s="1074"/>
      <c r="I445" s="1074"/>
      <c r="J445" s="1072"/>
      <c r="K445" s="1075"/>
      <c r="L445" s="1074"/>
      <c r="M445" s="1074"/>
      <c r="N445" s="1074"/>
      <c r="O445" s="1076"/>
      <c r="P445" s="1074"/>
      <c r="Q445" s="1074"/>
      <c r="R445" s="1072"/>
      <c r="S445" s="1073"/>
      <c r="T445" s="1074"/>
      <c r="U445" s="1074"/>
      <c r="V445" s="1074"/>
      <c r="W445" s="1074"/>
      <c r="X445" s="1074"/>
      <c r="Y445" s="1072"/>
      <c r="Z445" s="1073"/>
      <c r="AA445" s="1074"/>
      <c r="AB445" s="1074"/>
      <c r="AC445" s="1074"/>
      <c r="AD445" s="1074"/>
      <c r="AE445" s="1074"/>
      <c r="AF445" s="1072"/>
      <c r="AG445" s="1073"/>
      <c r="AH445" s="1074"/>
      <c r="AI445" s="1074"/>
      <c r="AJ445" s="1074"/>
      <c r="AK445" s="1074"/>
    </row>
    <row r="446">
      <c r="A446" s="1072"/>
      <c r="B446" s="1072"/>
      <c r="C446" s="1075"/>
      <c r="D446" s="1074"/>
      <c r="E446" s="1074"/>
      <c r="F446" s="1074"/>
      <c r="G446" s="1076"/>
      <c r="H446" s="1074"/>
      <c r="I446" s="1074"/>
      <c r="J446" s="1072"/>
      <c r="K446" s="1075"/>
      <c r="L446" s="1074"/>
      <c r="M446" s="1074"/>
      <c r="N446" s="1074"/>
      <c r="O446" s="1076"/>
      <c r="P446" s="1074"/>
      <c r="Q446" s="1074"/>
      <c r="R446" s="1072"/>
      <c r="S446" s="1073"/>
      <c r="T446" s="1074"/>
      <c r="U446" s="1074"/>
      <c r="V446" s="1074"/>
      <c r="W446" s="1074"/>
      <c r="X446" s="1074"/>
      <c r="Y446" s="1072"/>
      <c r="Z446" s="1073"/>
      <c r="AA446" s="1074"/>
      <c r="AB446" s="1074"/>
      <c r="AC446" s="1074"/>
      <c r="AD446" s="1074"/>
      <c r="AE446" s="1074"/>
      <c r="AF446" s="1072"/>
      <c r="AG446" s="1073"/>
      <c r="AH446" s="1074"/>
      <c r="AI446" s="1074"/>
      <c r="AJ446" s="1074"/>
      <c r="AK446" s="1074"/>
    </row>
    <row r="447">
      <c r="A447" s="1072"/>
      <c r="B447" s="1072"/>
      <c r="C447" s="1075"/>
      <c r="D447" s="1074"/>
      <c r="E447" s="1074"/>
      <c r="F447" s="1074"/>
      <c r="G447" s="1076"/>
      <c r="H447" s="1074"/>
      <c r="I447" s="1074"/>
      <c r="J447" s="1072"/>
      <c r="K447" s="1075"/>
      <c r="L447" s="1074"/>
      <c r="M447" s="1074"/>
      <c r="N447" s="1074"/>
      <c r="O447" s="1076"/>
      <c r="P447" s="1074"/>
      <c r="Q447" s="1074"/>
      <c r="R447" s="1072"/>
      <c r="S447" s="1073"/>
      <c r="T447" s="1074"/>
      <c r="U447" s="1074"/>
      <c r="V447" s="1074"/>
      <c r="W447" s="1074"/>
      <c r="X447" s="1074"/>
      <c r="Y447" s="1072"/>
      <c r="Z447" s="1073"/>
      <c r="AA447" s="1074"/>
      <c r="AB447" s="1074"/>
      <c r="AC447" s="1074"/>
      <c r="AD447" s="1074"/>
      <c r="AE447" s="1074"/>
      <c r="AF447" s="1072"/>
      <c r="AG447" s="1073"/>
      <c r="AH447" s="1074"/>
      <c r="AI447" s="1074"/>
      <c r="AJ447" s="1074"/>
      <c r="AK447" s="1074"/>
    </row>
    <row r="448">
      <c r="A448" s="1072"/>
      <c r="B448" s="1072"/>
      <c r="C448" s="1075"/>
      <c r="D448" s="1074"/>
      <c r="E448" s="1074"/>
      <c r="F448" s="1074"/>
      <c r="G448" s="1076"/>
      <c r="H448" s="1074"/>
      <c r="I448" s="1074"/>
      <c r="J448" s="1072"/>
      <c r="K448" s="1075"/>
      <c r="L448" s="1074"/>
      <c r="M448" s="1074"/>
      <c r="N448" s="1074"/>
      <c r="O448" s="1076"/>
      <c r="P448" s="1074"/>
      <c r="Q448" s="1074"/>
      <c r="R448" s="1072"/>
      <c r="S448" s="1073"/>
      <c r="T448" s="1074"/>
      <c r="U448" s="1074"/>
      <c r="V448" s="1074"/>
      <c r="W448" s="1074"/>
      <c r="X448" s="1074"/>
      <c r="Y448" s="1072"/>
      <c r="Z448" s="1073"/>
      <c r="AA448" s="1074"/>
      <c r="AB448" s="1074"/>
      <c r="AC448" s="1074"/>
      <c r="AD448" s="1074"/>
      <c r="AE448" s="1074"/>
      <c r="AF448" s="1072"/>
      <c r="AG448" s="1073"/>
      <c r="AH448" s="1074"/>
      <c r="AI448" s="1074"/>
      <c r="AJ448" s="1074"/>
      <c r="AK448" s="1074"/>
    </row>
    <row r="449">
      <c r="A449" s="1072"/>
      <c r="B449" s="1072"/>
      <c r="C449" s="1075"/>
      <c r="D449" s="1074"/>
      <c r="E449" s="1074"/>
      <c r="F449" s="1074"/>
      <c r="G449" s="1076"/>
      <c r="H449" s="1074"/>
      <c r="I449" s="1074"/>
      <c r="J449" s="1072"/>
      <c r="K449" s="1075"/>
      <c r="L449" s="1074"/>
      <c r="M449" s="1074"/>
      <c r="N449" s="1074"/>
      <c r="O449" s="1076"/>
      <c r="P449" s="1074"/>
      <c r="Q449" s="1074"/>
      <c r="R449" s="1072"/>
      <c r="S449" s="1073"/>
      <c r="T449" s="1074"/>
      <c r="U449" s="1074"/>
      <c r="V449" s="1074"/>
      <c r="W449" s="1074"/>
      <c r="X449" s="1074"/>
      <c r="Y449" s="1072"/>
      <c r="Z449" s="1073"/>
      <c r="AA449" s="1074"/>
      <c r="AB449" s="1074"/>
      <c r="AC449" s="1074"/>
      <c r="AD449" s="1074"/>
      <c r="AE449" s="1074"/>
      <c r="AF449" s="1072"/>
      <c r="AG449" s="1073"/>
      <c r="AH449" s="1074"/>
      <c r="AI449" s="1074"/>
      <c r="AJ449" s="1074"/>
      <c r="AK449" s="1074"/>
    </row>
    <row r="450">
      <c r="A450" s="1072"/>
      <c r="B450" s="1072"/>
      <c r="C450" s="1075"/>
      <c r="D450" s="1074"/>
      <c r="E450" s="1074"/>
      <c r="F450" s="1074"/>
      <c r="G450" s="1076"/>
      <c r="H450" s="1074"/>
      <c r="I450" s="1074"/>
      <c r="J450" s="1072"/>
      <c r="K450" s="1075"/>
      <c r="L450" s="1074"/>
      <c r="M450" s="1074"/>
      <c r="N450" s="1074"/>
      <c r="O450" s="1076"/>
      <c r="P450" s="1074"/>
      <c r="Q450" s="1074"/>
      <c r="R450" s="1072"/>
      <c r="S450" s="1073"/>
      <c r="T450" s="1074"/>
      <c r="U450" s="1074"/>
      <c r="V450" s="1074"/>
      <c r="W450" s="1074"/>
      <c r="X450" s="1074"/>
      <c r="Y450" s="1072"/>
      <c r="Z450" s="1073"/>
      <c r="AA450" s="1074"/>
      <c r="AB450" s="1074"/>
      <c r="AC450" s="1074"/>
      <c r="AD450" s="1074"/>
      <c r="AE450" s="1074"/>
      <c r="AF450" s="1072"/>
      <c r="AG450" s="1073"/>
      <c r="AH450" s="1074"/>
      <c r="AI450" s="1074"/>
      <c r="AJ450" s="1074"/>
      <c r="AK450" s="1074"/>
    </row>
    <row r="451">
      <c r="A451" s="1072"/>
      <c r="B451" s="1072"/>
      <c r="C451" s="1075"/>
      <c r="D451" s="1074"/>
      <c r="E451" s="1074"/>
      <c r="F451" s="1074"/>
      <c r="G451" s="1076"/>
      <c r="H451" s="1074"/>
      <c r="I451" s="1074"/>
      <c r="J451" s="1072"/>
      <c r="K451" s="1075"/>
      <c r="L451" s="1074"/>
      <c r="M451" s="1074"/>
      <c r="N451" s="1074"/>
      <c r="O451" s="1076"/>
      <c r="P451" s="1074"/>
      <c r="Q451" s="1074"/>
      <c r="R451" s="1072"/>
      <c r="S451" s="1073"/>
      <c r="T451" s="1074"/>
      <c r="U451" s="1074"/>
      <c r="V451" s="1074"/>
      <c r="W451" s="1074"/>
      <c r="X451" s="1074"/>
      <c r="Y451" s="1072"/>
      <c r="Z451" s="1073"/>
      <c r="AA451" s="1074"/>
      <c r="AB451" s="1074"/>
      <c r="AC451" s="1074"/>
      <c r="AD451" s="1074"/>
      <c r="AE451" s="1074"/>
      <c r="AF451" s="1072"/>
      <c r="AG451" s="1073"/>
      <c r="AH451" s="1074"/>
      <c r="AI451" s="1074"/>
      <c r="AJ451" s="1074"/>
      <c r="AK451" s="1074"/>
    </row>
    <row r="452">
      <c r="A452" s="1072"/>
      <c r="B452" s="1072"/>
      <c r="C452" s="1075"/>
      <c r="D452" s="1074"/>
      <c r="E452" s="1074"/>
      <c r="F452" s="1074"/>
      <c r="G452" s="1076"/>
      <c r="H452" s="1074"/>
      <c r="I452" s="1074"/>
      <c r="J452" s="1072"/>
      <c r="K452" s="1075"/>
      <c r="L452" s="1074"/>
      <c r="M452" s="1074"/>
      <c r="N452" s="1074"/>
      <c r="O452" s="1076"/>
      <c r="P452" s="1074"/>
      <c r="Q452" s="1074"/>
      <c r="R452" s="1072"/>
      <c r="S452" s="1073"/>
      <c r="T452" s="1074"/>
      <c r="U452" s="1074"/>
      <c r="V452" s="1074"/>
      <c r="W452" s="1074"/>
      <c r="X452" s="1074"/>
      <c r="Y452" s="1072"/>
      <c r="Z452" s="1073"/>
      <c r="AA452" s="1074"/>
      <c r="AB452" s="1074"/>
      <c r="AC452" s="1074"/>
      <c r="AD452" s="1074"/>
      <c r="AE452" s="1074"/>
      <c r="AF452" s="1072"/>
      <c r="AG452" s="1073"/>
      <c r="AH452" s="1074"/>
      <c r="AI452" s="1074"/>
      <c r="AJ452" s="1074"/>
      <c r="AK452" s="1074"/>
    </row>
    <row r="453">
      <c r="A453" s="1072"/>
      <c r="B453" s="1072"/>
      <c r="C453" s="1075"/>
      <c r="D453" s="1074"/>
      <c r="E453" s="1074"/>
      <c r="F453" s="1074"/>
      <c r="G453" s="1076"/>
      <c r="H453" s="1074"/>
      <c r="I453" s="1074"/>
      <c r="J453" s="1072"/>
      <c r="K453" s="1075"/>
      <c r="L453" s="1074"/>
      <c r="M453" s="1074"/>
      <c r="N453" s="1074"/>
      <c r="O453" s="1076"/>
      <c r="P453" s="1074"/>
      <c r="Q453" s="1074"/>
      <c r="R453" s="1072"/>
      <c r="S453" s="1073"/>
      <c r="T453" s="1074"/>
      <c r="U453" s="1074"/>
      <c r="V453" s="1074"/>
      <c r="W453" s="1074"/>
      <c r="X453" s="1074"/>
      <c r="Y453" s="1072"/>
      <c r="Z453" s="1073"/>
      <c r="AA453" s="1074"/>
      <c r="AB453" s="1074"/>
      <c r="AC453" s="1074"/>
      <c r="AD453" s="1074"/>
      <c r="AE453" s="1074"/>
      <c r="AF453" s="1072"/>
      <c r="AG453" s="1073"/>
      <c r="AH453" s="1074"/>
      <c r="AI453" s="1074"/>
      <c r="AJ453" s="1074"/>
      <c r="AK453" s="1074"/>
    </row>
    <row r="454">
      <c r="A454" s="1072"/>
      <c r="B454" s="1072"/>
      <c r="C454" s="1075"/>
      <c r="D454" s="1074"/>
      <c r="E454" s="1074"/>
      <c r="F454" s="1074"/>
      <c r="G454" s="1076"/>
      <c r="H454" s="1074"/>
      <c r="I454" s="1074"/>
      <c r="J454" s="1072"/>
      <c r="K454" s="1075"/>
      <c r="L454" s="1074"/>
      <c r="M454" s="1074"/>
      <c r="N454" s="1074"/>
      <c r="O454" s="1076"/>
      <c r="P454" s="1074"/>
      <c r="Q454" s="1074"/>
      <c r="R454" s="1072"/>
      <c r="S454" s="1073"/>
      <c r="T454" s="1074"/>
      <c r="U454" s="1074"/>
      <c r="V454" s="1074"/>
      <c r="W454" s="1074"/>
      <c r="X454" s="1074"/>
      <c r="Y454" s="1072"/>
      <c r="Z454" s="1073"/>
      <c r="AA454" s="1074"/>
      <c r="AB454" s="1074"/>
      <c r="AC454" s="1074"/>
      <c r="AD454" s="1074"/>
      <c r="AE454" s="1074"/>
      <c r="AF454" s="1072"/>
      <c r="AG454" s="1073"/>
      <c r="AH454" s="1074"/>
      <c r="AI454" s="1074"/>
      <c r="AJ454" s="1074"/>
      <c r="AK454" s="1074"/>
    </row>
    <row r="455">
      <c r="A455" s="1072"/>
      <c r="B455" s="1072"/>
      <c r="C455" s="1075"/>
      <c r="D455" s="1074"/>
      <c r="E455" s="1074"/>
      <c r="F455" s="1074"/>
      <c r="G455" s="1076"/>
      <c r="H455" s="1074"/>
      <c r="I455" s="1074"/>
      <c r="J455" s="1072"/>
      <c r="K455" s="1075"/>
      <c r="L455" s="1074"/>
      <c r="M455" s="1074"/>
      <c r="N455" s="1074"/>
      <c r="O455" s="1076"/>
      <c r="P455" s="1074"/>
      <c r="Q455" s="1074"/>
      <c r="R455" s="1072"/>
      <c r="S455" s="1073"/>
      <c r="T455" s="1074"/>
      <c r="U455" s="1074"/>
      <c r="V455" s="1074"/>
      <c r="W455" s="1074"/>
      <c r="X455" s="1074"/>
      <c r="Y455" s="1072"/>
      <c r="Z455" s="1073"/>
      <c r="AA455" s="1074"/>
      <c r="AB455" s="1074"/>
      <c r="AC455" s="1074"/>
      <c r="AD455" s="1074"/>
      <c r="AE455" s="1074"/>
      <c r="AF455" s="1072"/>
      <c r="AG455" s="1073"/>
      <c r="AH455" s="1074"/>
      <c r="AI455" s="1074"/>
      <c r="AJ455" s="1074"/>
      <c r="AK455" s="1074"/>
    </row>
    <row r="456">
      <c r="A456" s="1072"/>
      <c r="B456" s="1072"/>
      <c r="C456" s="1075"/>
      <c r="D456" s="1074"/>
      <c r="E456" s="1074"/>
      <c r="F456" s="1074"/>
      <c r="G456" s="1076"/>
      <c r="H456" s="1074"/>
      <c r="I456" s="1074"/>
      <c r="J456" s="1072"/>
      <c r="K456" s="1075"/>
      <c r="L456" s="1074"/>
      <c r="M456" s="1074"/>
      <c r="N456" s="1074"/>
      <c r="O456" s="1076"/>
      <c r="P456" s="1074"/>
      <c r="Q456" s="1074"/>
      <c r="R456" s="1072"/>
      <c r="S456" s="1073"/>
      <c r="T456" s="1074"/>
      <c r="U456" s="1074"/>
      <c r="V456" s="1074"/>
      <c r="W456" s="1074"/>
      <c r="X456" s="1074"/>
      <c r="Y456" s="1072"/>
      <c r="Z456" s="1073"/>
      <c r="AA456" s="1074"/>
      <c r="AB456" s="1074"/>
      <c r="AC456" s="1074"/>
      <c r="AD456" s="1074"/>
      <c r="AE456" s="1074"/>
      <c r="AF456" s="1072"/>
      <c r="AG456" s="1073"/>
      <c r="AH456" s="1074"/>
      <c r="AI456" s="1074"/>
      <c r="AJ456" s="1074"/>
      <c r="AK456" s="1074"/>
    </row>
    <row r="457">
      <c r="A457" s="1072"/>
      <c r="B457" s="1072"/>
      <c r="C457" s="1075"/>
      <c r="D457" s="1074"/>
      <c r="E457" s="1074"/>
      <c r="F457" s="1074"/>
      <c r="G457" s="1076"/>
      <c r="H457" s="1074"/>
      <c r="I457" s="1074"/>
      <c r="J457" s="1072"/>
      <c r="K457" s="1075"/>
      <c r="L457" s="1074"/>
      <c r="M457" s="1074"/>
      <c r="N457" s="1074"/>
      <c r="O457" s="1076"/>
      <c r="P457" s="1074"/>
      <c r="Q457" s="1074"/>
      <c r="R457" s="1072"/>
      <c r="S457" s="1073"/>
      <c r="T457" s="1074"/>
      <c r="U457" s="1074"/>
      <c r="V457" s="1074"/>
      <c r="W457" s="1074"/>
      <c r="X457" s="1074"/>
      <c r="Y457" s="1072"/>
      <c r="Z457" s="1073"/>
      <c r="AA457" s="1074"/>
      <c r="AB457" s="1074"/>
      <c r="AC457" s="1074"/>
      <c r="AD457" s="1074"/>
      <c r="AE457" s="1074"/>
      <c r="AF457" s="1072"/>
      <c r="AG457" s="1073"/>
      <c r="AH457" s="1074"/>
      <c r="AI457" s="1074"/>
      <c r="AJ457" s="1074"/>
      <c r="AK457" s="1074"/>
    </row>
    <row r="458">
      <c r="A458" s="1072"/>
      <c r="B458" s="1072"/>
      <c r="C458" s="1075"/>
      <c r="D458" s="1074"/>
      <c r="E458" s="1074"/>
      <c r="F458" s="1074"/>
      <c r="G458" s="1076"/>
      <c r="H458" s="1074"/>
      <c r="I458" s="1074"/>
      <c r="J458" s="1072"/>
      <c r="K458" s="1075"/>
      <c r="L458" s="1074"/>
      <c r="M458" s="1074"/>
      <c r="N458" s="1074"/>
      <c r="O458" s="1076"/>
      <c r="P458" s="1074"/>
      <c r="Q458" s="1074"/>
      <c r="R458" s="1072"/>
      <c r="S458" s="1073"/>
      <c r="T458" s="1074"/>
      <c r="U458" s="1074"/>
      <c r="V458" s="1074"/>
      <c r="W458" s="1074"/>
      <c r="X458" s="1074"/>
      <c r="Y458" s="1072"/>
      <c r="Z458" s="1073"/>
      <c r="AA458" s="1074"/>
      <c r="AB458" s="1074"/>
      <c r="AC458" s="1074"/>
      <c r="AD458" s="1074"/>
      <c r="AE458" s="1074"/>
      <c r="AF458" s="1072"/>
      <c r="AG458" s="1073"/>
      <c r="AH458" s="1074"/>
      <c r="AI458" s="1074"/>
      <c r="AJ458" s="1074"/>
      <c r="AK458" s="1074"/>
    </row>
    <row r="459">
      <c r="A459" s="1072"/>
      <c r="B459" s="1072"/>
      <c r="C459" s="1075"/>
      <c r="D459" s="1074"/>
      <c r="E459" s="1074"/>
      <c r="F459" s="1074"/>
      <c r="G459" s="1076"/>
      <c r="H459" s="1074"/>
      <c r="I459" s="1074"/>
      <c r="J459" s="1072"/>
      <c r="K459" s="1075"/>
      <c r="L459" s="1074"/>
      <c r="M459" s="1074"/>
      <c r="N459" s="1074"/>
      <c r="O459" s="1076"/>
      <c r="P459" s="1074"/>
      <c r="Q459" s="1074"/>
      <c r="R459" s="1072"/>
      <c r="S459" s="1073"/>
      <c r="T459" s="1074"/>
      <c r="U459" s="1074"/>
      <c r="V459" s="1074"/>
      <c r="W459" s="1074"/>
      <c r="X459" s="1074"/>
      <c r="Y459" s="1072"/>
      <c r="Z459" s="1073"/>
      <c r="AA459" s="1074"/>
      <c r="AB459" s="1074"/>
      <c r="AC459" s="1074"/>
      <c r="AD459" s="1074"/>
      <c r="AE459" s="1074"/>
      <c r="AF459" s="1072"/>
      <c r="AG459" s="1073"/>
      <c r="AH459" s="1074"/>
      <c r="AI459" s="1074"/>
      <c r="AJ459" s="1074"/>
      <c r="AK459" s="1074"/>
    </row>
    <row r="460">
      <c r="A460" s="1072"/>
      <c r="B460" s="1072"/>
      <c r="C460" s="1075"/>
      <c r="D460" s="1074"/>
      <c r="E460" s="1074"/>
      <c r="F460" s="1074"/>
      <c r="G460" s="1076"/>
      <c r="H460" s="1074"/>
      <c r="I460" s="1074"/>
      <c r="J460" s="1072"/>
      <c r="K460" s="1075"/>
      <c r="L460" s="1074"/>
      <c r="M460" s="1074"/>
      <c r="N460" s="1074"/>
      <c r="O460" s="1076"/>
      <c r="P460" s="1074"/>
      <c r="Q460" s="1074"/>
      <c r="R460" s="1072"/>
      <c r="S460" s="1073"/>
      <c r="T460" s="1074"/>
      <c r="U460" s="1074"/>
      <c r="V460" s="1074"/>
      <c r="W460" s="1074"/>
      <c r="X460" s="1074"/>
      <c r="Y460" s="1072"/>
      <c r="Z460" s="1073"/>
      <c r="AA460" s="1074"/>
      <c r="AB460" s="1074"/>
      <c r="AC460" s="1074"/>
      <c r="AD460" s="1074"/>
      <c r="AE460" s="1074"/>
      <c r="AF460" s="1072"/>
      <c r="AG460" s="1073"/>
      <c r="AH460" s="1074"/>
      <c r="AI460" s="1074"/>
      <c r="AJ460" s="1074"/>
      <c r="AK460" s="1074"/>
    </row>
    <row r="461">
      <c r="A461" s="1072"/>
      <c r="B461" s="1072"/>
      <c r="C461" s="1075"/>
      <c r="D461" s="1074"/>
      <c r="E461" s="1074"/>
      <c r="F461" s="1074"/>
      <c r="G461" s="1076"/>
      <c r="H461" s="1074"/>
      <c r="I461" s="1074"/>
      <c r="J461" s="1072"/>
      <c r="K461" s="1075"/>
      <c r="L461" s="1074"/>
      <c r="M461" s="1074"/>
      <c r="N461" s="1074"/>
      <c r="O461" s="1076"/>
      <c r="P461" s="1074"/>
      <c r="Q461" s="1074"/>
      <c r="R461" s="1072"/>
      <c r="S461" s="1073"/>
      <c r="T461" s="1074"/>
      <c r="U461" s="1074"/>
      <c r="V461" s="1074"/>
      <c r="W461" s="1074"/>
      <c r="X461" s="1074"/>
      <c r="Y461" s="1072"/>
      <c r="Z461" s="1073"/>
      <c r="AA461" s="1074"/>
      <c r="AB461" s="1074"/>
      <c r="AC461" s="1074"/>
      <c r="AD461" s="1074"/>
      <c r="AE461" s="1074"/>
      <c r="AF461" s="1072"/>
      <c r="AG461" s="1073"/>
      <c r="AH461" s="1074"/>
      <c r="AI461" s="1074"/>
      <c r="AJ461" s="1074"/>
      <c r="AK461" s="1074"/>
    </row>
    <row r="462">
      <c r="A462" s="1072"/>
      <c r="B462" s="1072"/>
      <c r="C462" s="1075"/>
      <c r="D462" s="1074"/>
      <c r="E462" s="1074"/>
      <c r="F462" s="1074"/>
      <c r="G462" s="1076"/>
      <c r="H462" s="1074"/>
      <c r="I462" s="1074"/>
      <c r="J462" s="1072"/>
      <c r="K462" s="1075"/>
      <c r="L462" s="1074"/>
      <c r="M462" s="1074"/>
      <c r="N462" s="1074"/>
      <c r="O462" s="1076"/>
      <c r="P462" s="1074"/>
      <c r="Q462" s="1074"/>
      <c r="R462" s="1072"/>
      <c r="S462" s="1073"/>
      <c r="T462" s="1074"/>
      <c r="U462" s="1074"/>
      <c r="V462" s="1074"/>
      <c r="W462" s="1074"/>
      <c r="X462" s="1074"/>
      <c r="Y462" s="1072"/>
      <c r="Z462" s="1073"/>
      <c r="AA462" s="1074"/>
      <c r="AB462" s="1074"/>
      <c r="AC462" s="1074"/>
      <c r="AD462" s="1074"/>
      <c r="AE462" s="1074"/>
      <c r="AF462" s="1072"/>
      <c r="AG462" s="1073"/>
      <c r="AH462" s="1074"/>
      <c r="AI462" s="1074"/>
      <c r="AJ462" s="1074"/>
      <c r="AK462" s="1074"/>
    </row>
    <row r="463">
      <c r="A463" s="1072"/>
      <c r="B463" s="1072"/>
      <c r="C463" s="1075"/>
      <c r="D463" s="1074"/>
      <c r="E463" s="1074"/>
      <c r="F463" s="1074"/>
      <c r="G463" s="1076"/>
      <c r="H463" s="1074"/>
      <c r="I463" s="1074"/>
      <c r="J463" s="1072"/>
      <c r="K463" s="1075"/>
      <c r="L463" s="1074"/>
      <c r="M463" s="1074"/>
      <c r="N463" s="1074"/>
      <c r="O463" s="1076"/>
      <c r="P463" s="1074"/>
      <c r="Q463" s="1074"/>
      <c r="R463" s="1072"/>
      <c r="S463" s="1073"/>
      <c r="T463" s="1074"/>
      <c r="U463" s="1074"/>
      <c r="V463" s="1074"/>
      <c r="W463" s="1074"/>
      <c r="X463" s="1074"/>
      <c r="Y463" s="1072"/>
      <c r="Z463" s="1073"/>
      <c r="AA463" s="1074"/>
      <c r="AB463" s="1074"/>
      <c r="AC463" s="1074"/>
      <c r="AD463" s="1074"/>
      <c r="AE463" s="1074"/>
      <c r="AF463" s="1072"/>
      <c r="AG463" s="1073"/>
      <c r="AH463" s="1074"/>
      <c r="AI463" s="1074"/>
      <c r="AJ463" s="1074"/>
      <c r="AK463" s="1074"/>
    </row>
    <row r="464">
      <c r="A464" s="1072"/>
      <c r="B464" s="1072"/>
      <c r="C464" s="1075"/>
      <c r="D464" s="1074"/>
      <c r="E464" s="1074"/>
      <c r="F464" s="1074"/>
      <c r="G464" s="1076"/>
      <c r="H464" s="1074"/>
      <c r="I464" s="1074"/>
      <c r="J464" s="1072"/>
      <c r="K464" s="1075"/>
      <c r="L464" s="1074"/>
      <c r="M464" s="1074"/>
      <c r="N464" s="1074"/>
      <c r="O464" s="1076"/>
      <c r="P464" s="1074"/>
      <c r="Q464" s="1074"/>
      <c r="R464" s="1072"/>
      <c r="S464" s="1073"/>
      <c r="T464" s="1074"/>
      <c r="U464" s="1074"/>
      <c r="V464" s="1074"/>
      <c r="W464" s="1074"/>
      <c r="X464" s="1074"/>
      <c r="Y464" s="1072"/>
      <c r="Z464" s="1073"/>
      <c r="AA464" s="1074"/>
      <c r="AB464" s="1074"/>
      <c r="AC464" s="1074"/>
      <c r="AD464" s="1074"/>
      <c r="AE464" s="1074"/>
      <c r="AF464" s="1072"/>
      <c r="AG464" s="1073"/>
      <c r="AH464" s="1074"/>
      <c r="AI464" s="1074"/>
      <c r="AJ464" s="1074"/>
      <c r="AK464" s="1074"/>
    </row>
    <row r="465">
      <c r="A465" s="1072"/>
      <c r="B465" s="1072"/>
      <c r="C465" s="1075"/>
      <c r="D465" s="1074"/>
      <c r="E465" s="1074"/>
      <c r="F465" s="1074"/>
      <c r="G465" s="1076"/>
      <c r="H465" s="1074"/>
      <c r="I465" s="1074"/>
      <c r="J465" s="1072"/>
      <c r="K465" s="1075"/>
      <c r="L465" s="1074"/>
      <c r="M465" s="1074"/>
      <c r="N465" s="1074"/>
      <c r="O465" s="1076"/>
      <c r="P465" s="1074"/>
      <c r="Q465" s="1074"/>
      <c r="R465" s="1072"/>
      <c r="S465" s="1073"/>
      <c r="T465" s="1074"/>
      <c r="U465" s="1074"/>
      <c r="V465" s="1074"/>
      <c r="W465" s="1074"/>
      <c r="X465" s="1074"/>
      <c r="Y465" s="1072"/>
      <c r="Z465" s="1073"/>
      <c r="AA465" s="1074"/>
      <c r="AB465" s="1074"/>
      <c r="AC465" s="1074"/>
      <c r="AD465" s="1074"/>
      <c r="AE465" s="1074"/>
      <c r="AF465" s="1072"/>
      <c r="AG465" s="1073"/>
      <c r="AH465" s="1074"/>
      <c r="AI465" s="1074"/>
      <c r="AJ465" s="1074"/>
      <c r="AK465" s="1074"/>
    </row>
    <row r="466">
      <c r="A466" s="1072"/>
      <c r="B466" s="1072"/>
      <c r="C466" s="1075"/>
      <c r="D466" s="1074"/>
      <c r="E466" s="1074"/>
      <c r="F466" s="1074"/>
      <c r="G466" s="1076"/>
      <c r="H466" s="1074"/>
      <c r="I466" s="1074"/>
      <c r="J466" s="1072"/>
      <c r="K466" s="1075"/>
      <c r="L466" s="1074"/>
      <c r="M466" s="1074"/>
      <c r="N466" s="1074"/>
      <c r="O466" s="1076"/>
      <c r="P466" s="1074"/>
      <c r="Q466" s="1074"/>
      <c r="R466" s="1072"/>
      <c r="S466" s="1073"/>
      <c r="T466" s="1074"/>
      <c r="U466" s="1074"/>
      <c r="V466" s="1074"/>
      <c r="W466" s="1074"/>
      <c r="X466" s="1074"/>
      <c r="Y466" s="1072"/>
      <c r="Z466" s="1073"/>
      <c r="AA466" s="1074"/>
      <c r="AB466" s="1074"/>
      <c r="AC466" s="1074"/>
      <c r="AD466" s="1074"/>
      <c r="AE466" s="1074"/>
      <c r="AF466" s="1072"/>
      <c r="AG466" s="1073"/>
      <c r="AH466" s="1074"/>
      <c r="AI466" s="1074"/>
      <c r="AJ466" s="1074"/>
      <c r="AK466" s="1074"/>
    </row>
    <row r="467">
      <c r="A467" s="1072"/>
      <c r="B467" s="1072"/>
      <c r="C467" s="1075"/>
      <c r="D467" s="1074"/>
      <c r="E467" s="1074"/>
      <c r="F467" s="1074"/>
      <c r="G467" s="1076"/>
      <c r="H467" s="1074"/>
      <c r="I467" s="1074"/>
      <c r="J467" s="1072"/>
      <c r="K467" s="1075"/>
      <c r="L467" s="1074"/>
      <c r="M467" s="1074"/>
      <c r="N467" s="1074"/>
      <c r="O467" s="1076"/>
      <c r="P467" s="1074"/>
      <c r="Q467" s="1074"/>
      <c r="R467" s="1072"/>
      <c r="S467" s="1073"/>
      <c r="T467" s="1074"/>
      <c r="U467" s="1074"/>
      <c r="V467" s="1074"/>
      <c r="W467" s="1074"/>
      <c r="X467" s="1074"/>
      <c r="Y467" s="1072"/>
      <c r="Z467" s="1073"/>
      <c r="AA467" s="1074"/>
      <c r="AB467" s="1074"/>
      <c r="AC467" s="1074"/>
      <c r="AD467" s="1074"/>
      <c r="AE467" s="1074"/>
      <c r="AF467" s="1072"/>
      <c r="AG467" s="1073"/>
      <c r="AH467" s="1074"/>
      <c r="AI467" s="1074"/>
      <c r="AJ467" s="1074"/>
      <c r="AK467" s="1074"/>
    </row>
    <row r="468">
      <c r="A468" s="1072"/>
      <c r="B468" s="1072"/>
      <c r="C468" s="1075"/>
      <c r="D468" s="1074"/>
      <c r="E468" s="1074"/>
      <c r="F468" s="1074"/>
      <c r="G468" s="1076"/>
      <c r="H468" s="1074"/>
      <c r="I468" s="1074"/>
      <c r="J468" s="1072"/>
      <c r="K468" s="1075"/>
      <c r="L468" s="1074"/>
      <c r="M468" s="1074"/>
      <c r="N468" s="1074"/>
      <c r="O468" s="1076"/>
      <c r="P468" s="1074"/>
      <c r="Q468" s="1074"/>
      <c r="R468" s="1072"/>
      <c r="S468" s="1073"/>
      <c r="T468" s="1074"/>
      <c r="U468" s="1074"/>
      <c r="V468" s="1074"/>
      <c r="W468" s="1074"/>
      <c r="X468" s="1074"/>
      <c r="Y468" s="1072"/>
      <c r="Z468" s="1073"/>
      <c r="AA468" s="1074"/>
      <c r="AB468" s="1074"/>
      <c r="AC468" s="1074"/>
      <c r="AD468" s="1074"/>
      <c r="AE468" s="1074"/>
      <c r="AF468" s="1072"/>
      <c r="AG468" s="1073"/>
      <c r="AH468" s="1074"/>
      <c r="AI468" s="1074"/>
      <c r="AJ468" s="1074"/>
      <c r="AK468" s="1074"/>
    </row>
    <row r="469">
      <c r="A469" s="1072"/>
      <c r="B469" s="1072"/>
      <c r="C469" s="1075"/>
      <c r="D469" s="1074"/>
      <c r="E469" s="1074"/>
      <c r="F469" s="1074"/>
      <c r="G469" s="1076"/>
      <c r="H469" s="1074"/>
      <c r="I469" s="1074"/>
      <c r="J469" s="1072"/>
      <c r="K469" s="1075"/>
      <c r="L469" s="1074"/>
      <c r="M469" s="1074"/>
      <c r="N469" s="1074"/>
      <c r="O469" s="1076"/>
      <c r="P469" s="1074"/>
      <c r="Q469" s="1074"/>
      <c r="R469" s="1072"/>
      <c r="S469" s="1073"/>
      <c r="T469" s="1074"/>
      <c r="U469" s="1074"/>
      <c r="V469" s="1074"/>
      <c r="W469" s="1074"/>
      <c r="X469" s="1074"/>
      <c r="Y469" s="1072"/>
      <c r="Z469" s="1073"/>
      <c r="AA469" s="1074"/>
      <c r="AB469" s="1074"/>
      <c r="AC469" s="1074"/>
      <c r="AD469" s="1074"/>
      <c r="AE469" s="1074"/>
      <c r="AF469" s="1072"/>
      <c r="AG469" s="1073"/>
      <c r="AH469" s="1074"/>
      <c r="AI469" s="1074"/>
      <c r="AJ469" s="1074"/>
      <c r="AK469" s="1074"/>
    </row>
    <row r="470">
      <c r="A470" s="1072"/>
      <c r="B470" s="1072"/>
      <c r="C470" s="1075"/>
      <c r="D470" s="1074"/>
      <c r="E470" s="1074"/>
      <c r="F470" s="1074"/>
      <c r="G470" s="1076"/>
      <c r="H470" s="1074"/>
      <c r="I470" s="1074"/>
      <c r="J470" s="1072"/>
      <c r="K470" s="1075"/>
      <c r="L470" s="1074"/>
      <c r="M470" s="1074"/>
      <c r="N470" s="1074"/>
      <c r="O470" s="1076"/>
      <c r="P470" s="1074"/>
      <c r="Q470" s="1074"/>
      <c r="R470" s="1072"/>
      <c r="S470" s="1073"/>
      <c r="T470" s="1074"/>
      <c r="U470" s="1074"/>
      <c r="V470" s="1074"/>
      <c r="W470" s="1074"/>
      <c r="X470" s="1074"/>
      <c r="Y470" s="1072"/>
      <c r="Z470" s="1073"/>
      <c r="AA470" s="1074"/>
      <c r="AB470" s="1074"/>
      <c r="AC470" s="1074"/>
      <c r="AD470" s="1074"/>
      <c r="AE470" s="1074"/>
      <c r="AF470" s="1072"/>
      <c r="AG470" s="1073"/>
      <c r="AH470" s="1074"/>
      <c r="AI470" s="1074"/>
      <c r="AJ470" s="1074"/>
      <c r="AK470" s="1074"/>
    </row>
    <row r="471">
      <c r="A471" s="1072"/>
      <c r="B471" s="1072"/>
      <c r="C471" s="1075"/>
      <c r="D471" s="1074"/>
      <c r="E471" s="1074"/>
      <c r="F471" s="1074"/>
      <c r="G471" s="1076"/>
      <c r="H471" s="1074"/>
      <c r="I471" s="1074"/>
      <c r="J471" s="1072"/>
      <c r="K471" s="1075"/>
      <c r="L471" s="1074"/>
      <c r="M471" s="1074"/>
      <c r="N471" s="1074"/>
      <c r="O471" s="1076"/>
      <c r="P471" s="1074"/>
      <c r="Q471" s="1074"/>
      <c r="R471" s="1072"/>
      <c r="S471" s="1073"/>
      <c r="T471" s="1074"/>
      <c r="U471" s="1074"/>
      <c r="V471" s="1074"/>
      <c r="W471" s="1074"/>
      <c r="X471" s="1074"/>
      <c r="Y471" s="1072"/>
      <c r="Z471" s="1073"/>
      <c r="AA471" s="1074"/>
      <c r="AB471" s="1074"/>
      <c r="AC471" s="1074"/>
      <c r="AD471" s="1074"/>
      <c r="AE471" s="1074"/>
      <c r="AF471" s="1072"/>
      <c r="AG471" s="1073"/>
      <c r="AH471" s="1074"/>
      <c r="AI471" s="1074"/>
      <c r="AJ471" s="1074"/>
      <c r="AK471" s="1074"/>
    </row>
    <row r="472">
      <c r="A472" s="1072"/>
      <c r="B472" s="1072"/>
      <c r="C472" s="1075"/>
      <c r="D472" s="1074"/>
      <c r="E472" s="1074"/>
      <c r="F472" s="1074"/>
      <c r="G472" s="1076"/>
      <c r="H472" s="1074"/>
      <c r="I472" s="1074"/>
      <c r="J472" s="1072"/>
      <c r="K472" s="1075"/>
      <c r="L472" s="1074"/>
      <c r="M472" s="1074"/>
      <c r="N472" s="1074"/>
      <c r="O472" s="1076"/>
      <c r="P472" s="1074"/>
      <c r="Q472" s="1074"/>
      <c r="R472" s="1072"/>
      <c r="S472" s="1073"/>
      <c r="T472" s="1074"/>
      <c r="U472" s="1074"/>
      <c r="V472" s="1074"/>
      <c r="W472" s="1074"/>
      <c r="X472" s="1074"/>
      <c r="Y472" s="1072"/>
      <c r="Z472" s="1073"/>
      <c r="AA472" s="1074"/>
      <c r="AB472" s="1074"/>
      <c r="AC472" s="1074"/>
      <c r="AD472" s="1074"/>
      <c r="AE472" s="1074"/>
      <c r="AF472" s="1072"/>
      <c r="AG472" s="1073"/>
      <c r="AH472" s="1074"/>
      <c r="AI472" s="1074"/>
      <c r="AJ472" s="1074"/>
      <c r="AK472" s="1074"/>
    </row>
    <row r="473">
      <c r="A473" s="1072"/>
      <c r="B473" s="1072"/>
      <c r="C473" s="1075"/>
      <c r="D473" s="1074"/>
      <c r="E473" s="1074"/>
      <c r="F473" s="1074"/>
      <c r="G473" s="1076"/>
      <c r="H473" s="1074"/>
      <c r="I473" s="1074"/>
      <c r="J473" s="1072"/>
      <c r="K473" s="1075"/>
      <c r="L473" s="1074"/>
      <c r="M473" s="1074"/>
      <c r="N473" s="1074"/>
      <c r="O473" s="1076"/>
      <c r="P473" s="1074"/>
      <c r="Q473" s="1074"/>
      <c r="R473" s="1072"/>
      <c r="S473" s="1073"/>
      <c r="T473" s="1074"/>
      <c r="U473" s="1074"/>
      <c r="V473" s="1074"/>
      <c r="W473" s="1074"/>
      <c r="X473" s="1074"/>
      <c r="Y473" s="1072"/>
      <c r="Z473" s="1073"/>
      <c r="AA473" s="1074"/>
      <c r="AB473" s="1074"/>
      <c r="AC473" s="1074"/>
      <c r="AD473" s="1074"/>
      <c r="AE473" s="1074"/>
      <c r="AF473" s="1072"/>
      <c r="AG473" s="1073"/>
      <c r="AH473" s="1074"/>
      <c r="AI473" s="1074"/>
      <c r="AJ473" s="1074"/>
      <c r="AK473" s="1074"/>
    </row>
    <row r="474">
      <c r="A474" s="1072"/>
      <c r="B474" s="1072"/>
      <c r="C474" s="1075"/>
      <c r="D474" s="1074"/>
      <c r="E474" s="1074"/>
      <c r="F474" s="1074"/>
      <c r="G474" s="1076"/>
      <c r="H474" s="1074"/>
      <c r="I474" s="1074"/>
      <c r="J474" s="1072"/>
      <c r="K474" s="1075"/>
      <c r="L474" s="1074"/>
      <c r="M474" s="1074"/>
      <c r="N474" s="1074"/>
      <c r="O474" s="1076"/>
      <c r="P474" s="1074"/>
      <c r="Q474" s="1074"/>
      <c r="R474" s="1072"/>
      <c r="S474" s="1073"/>
      <c r="T474" s="1074"/>
      <c r="U474" s="1074"/>
      <c r="V474" s="1074"/>
      <c r="W474" s="1074"/>
      <c r="X474" s="1074"/>
      <c r="Y474" s="1072"/>
      <c r="Z474" s="1073"/>
      <c r="AA474" s="1074"/>
      <c r="AB474" s="1074"/>
      <c r="AC474" s="1074"/>
      <c r="AD474" s="1074"/>
      <c r="AE474" s="1074"/>
      <c r="AF474" s="1072"/>
      <c r="AG474" s="1073"/>
      <c r="AH474" s="1074"/>
      <c r="AI474" s="1074"/>
      <c r="AJ474" s="1074"/>
      <c r="AK474" s="1074"/>
    </row>
    <row r="475">
      <c r="A475" s="1072"/>
      <c r="B475" s="1072"/>
      <c r="C475" s="1075"/>
      <c r="D475" s="1074"/>
      <c r="E475" s="1074"/>
      <c r="F475" s="1074"/>
      <c r="G475" s="1076"/>
      <c r="H475" s="1074"/>
      <c r="I475" s="1074"/>
      <c r="J475" s="1072"/>
      <c r="K475" s="1075"/>
      <c r="L475" s="1074"/>
      <c r="M475" s="1074"/>
      <c r="N475" s="1074"/>
      <c r="O475" s="1076"/>
      <c r="P475" s="1074"/>
      <c r="Q475" s="1074"/>
      <c r="R475" s="1072"/>
      <c r="S475" s="1073"/>
      <c r="T475" s="1074"/>
      <c r="U475" s="1074"/>
      <c r="V475" s="1074"/>
      <c r="W475" s="1074"/>
      <c r="X475" s="1074"/>
      <c r="Y475" s="1072"/>
      <c r="Z475" s="1073"/>
      <c r="AA475" s="1074"/>
      <c r="AB475" s="1074"/>
      <c r="AC475" s="1074"/>
      <c r="AD475" s="1074"/>
      <c r="AE475" s="1074"/>
      <c r="AF475" s="1072"/>
      <c r="AG475" s="1073"/>
      <c r="AH475" s="1074"/>
      <c r="AI475" s="1074"/>
      <c r="AJ475" s="1074"/>
      <c r="AK475" s="1074"/>
    </row>
    <row r="476">
      <c r="A476" s="1072"/>
      <c r="B476" s="1072"/>
      <c r="C476" s="1075"/>
      <c r="D476" s="1074"/>
      <c r="E476" s="1074"/>
      <c r="F476" s="1074"/>
      <c r="G476" s="1076"/>
      <c r="H476" s="1074"/>
      <c r="I476" s="1074"/>
      <c r="J476" s="1072"/>
      <c r="K476" s="1075"/>
      <c r="L476" s="1074"/>
      <c r="M476" s="1074"/>
      <c r="N476" s="1074"/>
      <c r="O476" s="1076"/>
      <c r="P476" s="1074"/>
      <c r="Q476" s="1074"/>
      <c r="R476" s="1072"/>
      <c r="S476" s="1073"/>
      <c r="T476" s="1074"/>
      <c r="U476" s="1074"/>
      <c r="V476" s="1074"/>
      <c r="W476" s="1074"/>
      <c r="X476" s="1074"/>
      <c r="Y476" s="1072"/>
      <c r="Z476" s="1073"/>
      <c r="AA476" s="1074"/>
      <c r="AB476" s="1074"/>
      <c r="AC476" s="1074"/>
      <c r="AD476" s="1074"/>
      <c r="AE476" s="1074"/>
      <c r="AF476" s="1072"/>
      <c r="AG476" s="1073"/>
      <c r="AH476" s="1074"/>
      <c r="AI476" s="1074"/>
      <c r="AJ476" s="1074"/>
      <c r="AK476" s="1074"/>
    </row>
    <row r="477">
      <c r="A477" s="1072"/>
      <c r="B477" s="1072"/>
      <c r="C477" s="1075"/>
      <c r="D477" s="1074"/>
      <c r="E477" s="1074"/>
      <c r="F477" s="1074"/>
      <c r="G477" s="1076"/>
      <c r="H477" s="1074"/>
      <c r="I477" s="1074"/>
      <c r="J477" s="1072"/>
      <c r="K477" s="1075"/>
      <c r="L477" s="1074"/>
      <c r="M477" s="1074"/>
      <c r="N477" s="1074"/>
      <c r="O477" s="1076"/>
      <c r="P477" s="1074"/>
      <c r="Q477" s="1074"/>
      <c r="R477" s="1072"/>
      <c r="S477" s="1073"/>
      <c r="T477" s="1074"/>
      <c r="U477" s="1074"/>
      <c r="V477" s="1074"/>
      <c r="W477" s="1074"/>
      <c r="X477" s="1074"/>
      <c r="Y477" s="1072"/>
      <c r="Z477" s="1073"/>
      <c r="AA477" s="1074"/>
      <c r="AB477" s="1074"/>
      <c r="AC477" s="1074"/>
      <c r="AD477" s="1074"/>
      <c r="AE477" s="1074"/>
      <c r="AF477" s="1072"/>
      <c r="AG477" s="1073"/>
      <c r="AH477" s="1074"/>
      <c r="AI477" s="1074"/>
      <c r="AJ477" s="1074"/>
      <c r="AK477" s="1074"/>
    </row>
    <row r="478">
      <c r="A478" s="1072"/>
      <c r="B478" s="1072"/>
      <c r="C478" s="1075"/>
      <c r="D478" s="1074"/>
      <c r="E478" s="1074"/>
      <c r="F478" s="1074"/>
      <c r="G478" s="1076"/>
      <c r="H478" s="1074"/>
      <c r="I478" s="1074"/>
      <c r="J478" s="1072"/>
      <c r="K478" s="1075"/>
      <c r="L478" s="1074"/>
      <c r="M478" s="1074"/>
      <c r="N478" s="1074"/>
      <c r="O478" s="1076"/>
      <c r="P478" s="1074"/>
      <c r="Q478" s="1074"/>
      <c r="R478" s="1072"/>
      <c r="S478" s="1073"/>
      <c r="T478" s="1074"/>
      <c r="U478" s="1074"/>
      <c r="V478" s="1074"/>
      <c r="W478" s="1074"/>
      <c r="X478" s="1074"/>
      <c r="Y478" s="1072"/>
      <c r="Z478" s="1073"/>
      <c r="AA478" s="1074"/>
      <c r="AB478" s="1074"/>
      <c r="AC478" s="1074"/>
      <c r="AD478" s="1074"/>
      <c r="AE478" s="1074"/>
      <c r="AF478" s="1072"/>
      <c r="AG478" s="1073"/>
      <c r="AH478" s="1074"/>
      <c r="AI478" s="1074"/>
      <c r="AJ478" s="1074"/>
      <c r="AK478" s="1074"/>
    </row>
    <row r="479">
      <c r="A479" s="1072"/>
      <c r="B479" s="1072"/>
      <c r="C479" s="1075"/>
      <c r="D479" s="1074"/>
      <c r="E479" s="1074"/>
      <c r="F479" s="1074"/>
      <c r="G479" s="1076"/>
      <c r="H479" s="1074"/>
      <c r="I479" s="1074"/>
      <c r="J479" s="1072"/>
      <c r="K479" s="1075"/>
      <c r="L479" s="1074"/>
      <c r="M479" s="1074"/>
      <c r="N479" s="1074"/>
      <c r="O479" s="1076"/>
      <c r="P479" s="1074"/>
      <c r="Q479" s="1074"/>
      <c r="R479" s="1072"/>
      <c r="S479" s="1073"/>
      <c r="T479" s="1074"/>
      <c r="U479" s="1074"/>
      <c r="V479" s="1074"/>
      <c r="W479" s="1074"/>
      <c r="X479" s="1074"/>
      <c r="Y479" s="1072"/>
      <c r="Z479" s="1073"/>
      <c r="AA479" s="1074"/>
      <c r="AB479" s="1074"/>
      <c r="AC479" s="1074"/>
      <c r="AD479" s="1074"/>
      <c r="AE479" s="1074"/>
      <c r="AF479" s="1072"/>
      <c r="AG479" s="1073"/>
      <c r="AH479" s="1074"/>
      <c r="AI479" s="1074"/>
      <c r="AJ479" s="1074"/>
      <c r="AK479" s="1074"/>
    </row>
    <row r="480">
      <c r="A480" s="1072"/>
      <c r="B480" s="1072"/>
      <c r="C480" s="1075"/>
      <c r="D480" s="1074"/>
      <c r="E480" s="1074"/>
      <c r="F480" s="1074"/>
      <c r="G480" s="1076"/>
      <c r="H480" s="1074"/>
      <c r="I480" s="1074"/>
      <c r="J480" s="1072"/>
      <c r="K480" s="1075"/>
      <c r="L480" s="1074"/>
      <c r="M480" s="1074"/>
      <c r="N480" s="1074"/>
      <c r="O480" s="1076"/>
      <c r="P480" s="1074"/>
      <c r="Q480" s="1074"/>
      <c r="R480" s="1072"/>
      <c r="S480" s="1073"/>
      <c r="T480" s="1074"/>
      <c r="U480" s="1074"/>
      <c r="V480" s="1074"/>
      <c r="W480" s="1074"/>
      <c r="X480" s="1074"/>
      <c r="Y480" s="1072"/>
      <c r="Z480" s="1073"/>
      <c r="AA480" s="1074"/>
      <c r="AB480" s="1074"/>
      <c r="AC480" s="1074"/>
      <c r="AD480" s="1074"/>
      <c r="AE480" s="1074"/>
      <c r="AF480" s="1072"/>
      <c r="AG480" s="1073"/>
      <c r="AH480" s="1074"/>
      <c r="AI480" s="1074"/>
      <c r="AJ480" s="1074"/>
      <c r="AK480" s="1074"/>
    </row>
    <row r="481">
      <c r="A481" s="1072"/>
      <c r="B481" s="1072"/>
      <c r="C481" s="1075"/>
      <c r="D481" s="1074"/>
      <c r="E481" s="1074"/>
      <c r="F481" s="1074"/>
      <c r="G481" s="1076"/>
      <c r="H481" s="1074"/>
      <c r="I481" s="1074"/>
      <c r="J481" s="1072"/>
      <c r="K481" s="1075"/>
      <c r="L481" s="1074"/>
      <c r="M481" s="1074"/>
      <c r="N481" s="1074"/>
      <c r="O481" s="1076"/>
      <c r="P481" s="1074"/>
      <c r="Q481" s="1074"/>
      <c r="R481" s="1072"/>
      <c r="S481" s="1073"/>
      <c r="T481" s="1074"/>
      <c r="U481" s="1074"/>
      <c r="V481" s="1074"/>
      <c r="W481" s="1074"/>
      <c r="X481" s="1074"/>
      <c r="Y481" s="1072"/>
      <c r="Z481" s="1073"/>
      <c r="AA481" s="1074"/>
      <c r="AB481" s="1074"/>
      <c r="AC481" s="1074"/>
      <c r="AD481" s="1074"/>
      <c r="AE481" s="1074"/>
      <c r="AF481" s="1072"/>
      <c r="AG481" s="1073"/>
      <c r="AH481" s="1074"/>
      <c r="AI481" s="1074"/>
      <c r="AJ481" s="1074"/>
      <c r="AK481" s="1074"/>
    </row>
    <row r="482">
      <c r="A482" s="1072"/>
      <c r="B482" s="1072"/>
      <c r="C482" s="1075"/>
      <c r="D482" s="1074"/>
      <c r="E482" s="1074"/>
      <c r="F482" s="1074"/>
      <c r="G482" s="1076"/>
      <c r="H482" s="1074"/>
      <c r="I482" s="1074"/>
      <c r="J482" s="1072"/>
      <c r="K482" s="1075"/>
      <c r="L482" s="1074"/>
      <c r="M482" s="1074"/>
      <c r="N482" s="1074"/>
      <c r="O482" s="1076"/>
      <c r="P482" s="1074"/>
      <c r="Q482" s="1074"/>
      <c r="R482" s="1072"/>
      <c r="S482" s="1073"/>
      <c r="T482" s="1074"/>
      <c r="U482" s="1074"/>
      <c r="V482" s="1074"/>
      <c r="W482" s="1074"/>
      <c r="X482" s="1074"/>
      <c r="Y482" s="1072"/>
      <c r="Z482" s="1073"/>
      <c r="AA482" s="1074"/>
      <c r="AB482" s="1074"/>
      <c r="AC482" s="1074"/>
      <c r="AD482" s="1074"/>
      <c r="AE482" s="1074"/>
      <c r="AF482" s="1072"/>
      <c r="AG482" s="1073"/>
      <c r="AH482" s="1074"/>
      <c r="AI482" s="1074"/>
      <c r="AJ482" s="1074"/>
      <c r="AK482" s="1074"/>
    </row>
    <row r="483">
      <c r="A483" s="1072"/>
      <c r="B483" s="1072"/>
      <c r="C483" s="1075"/>
      <c r="D483" s="1074"/>
      <c r="E483" s="1074"/>
      <c r="F483" s="1074"/>
      <c r="G483" s="1076"/>
      <c r="H483" s="1074"/>
      <c r="I483" s="1074"/>
      <c r="J483" s="1072"/>
      <c r="K483" s="1075"/>
      <c r="L483" s="1074"/>
      <c r="M483" s="1074"/>
      <c r="N483" s="1074"/>
      <c r="O483" s="1076"/>
      <c r="P483" s="1074"/>
      <c r="Q483" s="1074"/>
      <c r="R483" s="1072"/>
      <c r="S483" s="1073"/>
      <c r="T483" s="1074"/>
      <c r="U483" s="1074"/>
      <c r="V483" s="1074"/>
      <c r="W483" s="1074"/>
      <c r="X483" s="1074"/>
      <c r="Y483" s="1072"/>
      <c r="Z483" s="1073"/>
      <c r="AA483" s="1074"/>
      <c r="AB483" s="1074"/>
      <c r="AC483" s="1074"/>
      <c r="AD483" s="1074"/>
      <c r="AE483" s="1074"/>
      <c r="AF483" s="1072"/>
      <c r="AG483" s="1073"/>
      <c r="AH483" s="1074"/>
      <c r="AI483" s="1074"/>
      <c r="AJ483" s="1074"/>
      <c r="AK483" s="1074"/>
    </row>
    <row r="484">
      <c r="A484" s="1072"/>
      <c r="B484" s="1072"/>
      <c r="C484" s="1075"/>
      <c r="D484" s="1074"/>
      <c r="E484" s="1074"/>
      <c r="F484" s="1074"/>
      <c r="G484" s="1076"/>
      <c r="H484" s="1074"/>
      <c r="I484" s="1074"/>
      <c r="J484" s="1072"/>
      <c r="K484" s="1075"/>
      <c r="L484" s="1074"/>
      <c r="M484" s="1074"/>
      <c r="N484" s="1074"/>
      <c r="O484" s="1076"/>
      <c r="P484" s="1074"/>
      <c r="Q484" s="1074"/>
      <c r="R484" s="1072"/>
      <c r="S484" s="1073"/>
      <c r="T484" s="1074"/>
      <c r="U484" s="1074"/>
      <c r="V484" s="1074"/>
      <c r="W484" s="1074"/>
      <c r="X484" s="1074"/>
      <c r="Y484" s="1072"/>
      <c r="Z484" s="1073"/>
      <c r="AA484" s="1074"/>
      <c r="AB484" s="1074"/>
      <c r="AC484" s="1074"/>
      <c r="AD484" s="1074"/>
      <c r="AE484" s="1074"/>
      <c r="AF484" s="1072"/>
      <c r="AG484" s="1073"/>
      <c r="AH484" s="1074"/>
      <c r="AI484" s="1074"/>
      <c r="AJ484" s="1074"/>
      <c r="AK484" s="1074"/>
    </row>
    <row r="485">
      <c r="A485" s="1072"/>
      <c r="B485" s="1072"/>
      <c r="C485" s="1075"/>
      <c r="D485" s="1074"/>
      <c r="E485" s="1074"/>
      <c r="F485" s="1074"/>
      <c r="G485" s="1076"/>
      <c r="H485" s="1074"/>
      <c r="I485" s="1074"/>
      <c r="J485" s="1072"/>
      <c r="K485" s="1075"/>
      <c r="L485" s="1074"/>
      <c r="M485" s="1074"/>
      <c r="N485" s="1074"/>
      <c r="O485" s="1076"/>
      <c r="P485" s="1074"/>
      <c r="Q485" s="1074"/>
      <c r="R485" s="1072"/>
      <c r="S485" s="1073"/>
      <c r="T485" s="1074"/>
      <c r="U485" s="1074"/>
      <c r="V485" s="1074"/>
      <c r="W485" s="1074"/>
      <c r="X485" s="1074"/>
      <c r="Y485" s="1072"/>
      <c r="Z485" s="1073"/>
      <c r="AA485" s="1074"/>
      <c r="AB485" s="1074"/>
      <c r="AC485" s="1074"/>
      <c r="AD485" s="1074"/>
      <c r="AE485" s="1074"/>
      <c r="AF485" s="1072"/>
      <c r="AG485" s="1073"/>
      <c r="AH485" s="1074"/>
      <c r="AI485" s="1074"/>
      <c r="AJ485" s="1074"/>
      <c r="AK485" s="1074"/>
    </row>
    <row r="486">
      <c r="A486" s="1072"/>
      <c r="B486" s="1072"/>
      <c r="C486" s="1075"/>
      <c r="D486" s="1074"/>
      <c r="E486" s="1074"/>
      <c r="F486" s="1074"/>
      <c r="G486" s="1076"/>
      <c r="H486" s="1074"/>
      <c r="I486" s="1074"/>
      <c r="J486" s="1072"/>
      <c r="K486" s="1075"/>
      <c r="L486" s="1074"/>
      <c r="M486" s="1074"/>
      <c r="N486" s="1074"/>
      <c r="O486" s="1076"/>
      <c r="P486" s="1074"/>
      <c r="Q486" s="1074"/>
      <c r="R486" s="1072"/>
      <c r="S486" s="1073"/>
      <c r="T486" s="1074"/>
      <c r="U486" s="1074"/>
      <c r="V486" s="1074"/>
      <c r="W486" s="1074"/>
      <c r="X486" s="1074"/>
      <c r="Y486" s="1072"/>
      <c r="Z486" s="1073"/>
      <c r="AA486" s="1074"/>
      <c r="AB486" s="1074"/>
      <c r="AC486" s="1074"/>
      <c r="AD486" s="1074"/>
      <c r="AE486" s="1074"/>
      <c r="AF486" s="1072"/>
      <c r="AG486" s="1073"/>
      <c r="AH486" s="1074"/>
      <c r="AI486" s="1074"/>
      <c r="AJ486" s="1074"/>
      <c r="AK486" s="1074"/>
    </row>
    <row r="487">
      <c r="A487" s="1072"/>
      <c r="B487" s="1072"/>
      <c r="C487" s="1075"/>
      <c r="D487" s="1074"/>
      <c r="E487" s="1074"/>
      <c r="F487" s="1074"/>
      <c r="G487" s="1076"/>
      <c r="H487" s="1074"/>
      <c r="I487" s="1074"/>
      <c r="J487" s="1072"/>
      <c r="K487" s="1075"/>
      <c r="L487" s="1074"/>
      <c r="M487" s="1074"/>
      <c r="N487" s="1074"/>
      <c r="O487" s="1076"/>
      <c r="P487" s="1074"/>
      <c r="Q487" s="1074"/>
      <c r="R487" s="1072"/>
      <c r="S487" s="1073"/>
      <c r="T487" s="1074"/>
      <c r="U487" s="1074"/>
      <c r="V487" s="1074"/>
      <c r="W487" s="1074"/>
      <c r="X487" s="1074"/>
      <c r="Y487" s="1072"/>
      <c r="Z487" s="1073"/>
      <c r="AA487" s="1074"/>
      <c r="AB487" s="1074"/>
      <c r="AC487" s="1074"/>
      <c r="AD487" s="1074"/>
      <c r="AE487" s="1074"/>
      <c r="AF487" s="1072"/>
      <c r="AG487" s="1073"/>
      <c r="AH487" s="1074"/>
      <c r="AI487" s="1074"/>
      <c r="AJ487" s="1074"/>
      <c r="AK487" s="1074"/>
    </row>
    <row r="488">
      <c r="A488" s="1072"/>
      <c r="B488" s="1072"/>
      <c r="C488" s="1075"/>
      <c r="D488" s="1074"/>
      <c r="E488" s="1074"/>
      <c r="F488" s="1074"/>
      <c r="G488" s="1076"/>
      <c r="H488" s="1074"/>
      <c r="I488" s="1074"/>
      <c r="J488" s="1072"/>
      <c r="K488" s="1075"/>
      <c r="L488" s="1074"/>
      <c r="M488" s="1074"/>
      <c r="N488" s="1074"/>
      <c r="O488" s="1076"/>
      <c r="P488" s="1074"/>
      <c r="Q488" s="1074"/>
      <c r="R488" s="1072"/>
      <c r="S488" s="1073"/>
      <c r="T488" s="1074"/>
      <c r="U488" s="1074"/>
      <c r="V488" s="1074"/>
      <c r="W488" s="1074"/>
      <c r="X488" s="1074"/>
      <c r="Y488" s="1072"/>
      <c r="Z488" s="1073"/>
      <c r="AA488" s="1074"/>
      <c r="AB488" s="1074"/>
      <c r="AC488" s="1074"/>
      <c r="AD488" s="1074"/>
      <c r="AE488" s="1074"/>
      <c r="AF488" s="1072"/>
      <c r="AG488" s="1073"/>
      <c r="AH488" s="1074"/>
      <c r="AI488" s="1074"/>
      <c r="AJ488" s="1074"/>
      <c r="AK488" s="1074"/>
    </row>
    <row r="489">
      <c r="A489" s="1072"/>
      <c r="B489" s="1072"/>
      <c r="C489" s="1075"/>
      <c r="D489" s="1074"/>
      <c r="E489" s="1074"/>
      <c r="F489" s="1074"/>
      <c r="G489" s="1076"/>
      <c r="H489" s="1074"/>
      <c r="I489" s="1074"/>
      <c r="J489" s="1072"/>
      <c r="K489" s="1075"/>
      <c r="L489" s="1074"/>
      <c r="M489" s="1074"/>
      <c r="N489" s="1074"/>
      <c r="O489" s="1076"/>
      <c r="P489" s="1074"/>
      <c r="Q489" s="1074"/>
      <c r="R489" s="1072"/>
      <c r="S489" s="1073"/>
      <c r="T489" s="1074"/>
      <c r="U489" s="1074"/>
      <c r="V489" s="1074"/>
      <c r="W489" s="1074"/>
      <c r="X489" s="1074"/>
      <c r="Y489" s="1072"/>
      <c r="Z489" s="1073"/>
      <c r="AA489" s="1074"/>
      <c r="AB489" s="1074"/>
      <c r="AC489" s="1074"/>
      <c r="AD489" s="1074"/>
      <c r="AE489" s="1074"/>
      <c r="AF489" s="1072"/>
      <c r="AG489" s="1073"/>
      <c r="AH489" s="1074"/>
      <c r="AI489" s="1074"/>
      <c r="AJ489" s="1074"/>
      <c r="AK489" s="1074"/>
    </row>
    <row r="490">
      <c r="A490" s="1072"/>
      <c r="B490" s="1072"/>
      <c r="C490" s="1075"/>
      <c r="D490" s="1074"/>
      <c r="E490" s="1074"/>
      <c r="F490" s="1074"/>
      <c r="G490" s="1076"/>
      <c r="H490" s="1074"/>
      <c r="I490" s="1074"/>
      <c r="J490" s="1072"/>
      <c r="K490" s="1075"/>
      <c r="L490" s="1074"/>
      <c r="M490" s="1074"/>
      <c r="N490" s="1074"/>
      <c r="O490" s="1076"/>
      <c r="P490" s="1074"/>
      <c r="Q490" s="1074"/>
      <c r="R490" s="1072"/>
      <c r="S490" s="1073"/>
      <c r="T490" s="1074"/>
      <c r="U490" s="1074"/>
      <c r="V490" s="1074"/>
      <c r="W490" s="1074"/>
      <c r="X490" s="1074"/>
      <c r="Y490" s="1072"/>
      <c r="Z490" s="1073"/>
      <c r="AA490" s="1074"/>
      <c r="AB490" s="1074"/>
      <c r="AC490" s="1074"/>
      <c r="AD490" s="1074"/>
      <c r="AE490" s="1074"/>
      <c r="AF490" s="1072"/>
      <c r="AG490" s="1073"/>
      <c r="AH490" s="1074"/>
      <c r="AI490" s="1074"/>
      <c r="AJ490" s="1074"/>
      <c r="AK490" s="1074"/>
    </row>
    <row r="491">
      <c r="A491" s="1072"/>
      <c r="B491" s="1072"/>
      <c r="C491" s="1075"/>
      <c r="D491" s="1074"/>
      <c r="E491" s="1074"/>
      <c r="F491" s="1074"/>
      <c r="G491" s="1076"/>
      <c r="H491" s="1074"/>
      <c r="I491" s="1074"/>
      <c r="J491" s="1072"/>
      <c r="K491" s="1075"/>
      <c r="L491" s="1074"/>
      <c r="M491" s="1074"/>
      <c r="N491" s="1074"/>
      <c r="O491" s="1076"/>
      <c r="P491" s="1074"/>
      <c r="Q491" s="1074"/>
      <c r="R491" s="1072"/>
      <c r="S491" s="1073"/>
      <c r="T491" s="1074"/>
      <c r="U491" s="1074"/>
      <c r="V491" s="1074"/>
      <c r="W491" s="1074"/>
      <c r="X491" s="1074"/>
      <c r="Y491" s="1072"/>
      <c r="Z491" s="1073"/>
      <c r="AA491" s="1074"/>
      <c r="AB491" s="1074"/>
      <c r="AC491" s="1074"/>
      <c r="AD491" s="1074"/>
      <c r="AE491" s="1074"/>
      <c r="AF491" s="1072"/>
      <c r="AG491" s="1073"/>
      <c r="AH491" s="1074"/>
      <c r="AI491" s="1074"/>
      <c r="AJ491" s="1074"/>
      <c r="AK491" s="1074"/>
    </row>
    <row r="492">
      <c r="A492" s="1072"/>
      <c r="B492" s="1072"/>
      <c r="C492" s="1075"/>
      <c r="D492" s="1074"/>
      <c r="E492" s="1074"/>
      <c r="F492" s="1074"/>
      <c r="G492" s="1076"/>
      <c r="H492" s="1074"/>
      <c r="I492" s="1074"/>
      <c r="J492" s="1072"/>
      <c r="K492" s="1075"/>
      <c r="L492" s="1074"/>
      <c r="M492" s="1074"/>
      <c r="N492" s="1074"/>
      <c r="O492" s="1076"/>
      <c r="P492" s="1074"/>
      <c r="Q492" s="1074"/>
      <c r="R492" s="1072"/>
      <c r="S492" s="1073"/>
      <c r="T492" s="1074"/>
      <c r="U492" s="1074"/>
      <c r="V492" s="1074"/>
      <c r="W492" s="1074"/>
      <c r="X492" s="1074"/>
      <c r="Y492" s="1072"/>
      <c r="Z492" s="1073"/>
      <c r="AA492" s="1074"/>
      <c r="AB492" s="1074"/>
      <c r="AC492" s="1074"/>
      <c r="AD492" s="1074"/>
      <c r="AE492" s="1074"/>
      <c r="AF492" s="1072"/>
      <c r="AG492" s="1073"/>
      <c r="AH492" s="1074"/>
      <c r="AI492" s="1074"/>
      <c r="AJ492" s="1074"/>
      <c r="AK492" s="1074"/>
    </row>
    <row r="493">
      <c r="A493" s="1072"/>
      <c r="B493" s="1072"/>
      <c r="C493" s="1075"/>
      <c r="D493" s="1074"/>
      <c r="E493" s="1074"/>
      <c r="F493" s="1074"/>
      <c r="G493" s="1076"/>
      <c r="H493" s="1074"/>
      <c r="I493" s="1074"/>
      <c r="J493" s="1072"/>
      <c r="K493" s="1075"/>
      <c r="L493" s="1074"/>
      <c r="M493" s="1074"/>
      <c r="N493" s="1074"/>
      <c r="O493" s="1076"/>
      <c r="P493" s="1074"/>
      <c r="Q493" s="1074"/>
      <c r="R493" s="1072"/>
      <c r="S493" s="1073"/>
      <c r="T493" s="1074"/>
      <c r="U493" s="1074"/>
      <c r="V493" s="1074"/>
      <c r="W493" s="1074"/>
      <c r="X493" s="1074"/>
      <c r="Y493" s="1072"/>
      <c r="Z493" s="1073"/>
      <c r="AA493" s="1074"/>
      <c r="AB493" s="1074"/>
      <c r="AC493" s="1074"/>
      <c r="AD493" s="1074"/>
      <c r="AE493" s="1074"/>
      <c r="AF493" s="1072"/>
      <c r="AG493" s="1073"/>
      <c r="AH493" s="1074"/>
      <c r="AI493" s="1074"/>
      <c r="AJ493" s="1074"/>
      <c r="AK493" s="1074"/>
    </row>
    <row r="494">
      <c r="A494" s="1072"/>
      <c r="B494" s="1072"/>
      <c r="C494" s="1075"/>
      <c r="D494" s="1074"/>
      <c r="E494" s="1074"/>
      <c r="F494" s="1074"/>
      <c r="G494" s="1076"/>
      <c r="H494" s="1074"/>
      <c r="I494" s="1074"/>
      <c r="J494" s="1072"/>
      <c r="K494" s="1075"/>
      <c r="L494" s="1074"/>
      <c r="M494" s="1074"/>
      <c r="N494" s="1074"/>
      <c r="O494" s="1076"/>
      <c r="P494" s="1074"/>
      <c r="Q494" s="1074"/>
      <c r="R494" s="1072"/>
      <c r="S494" s="1073"/>
      <c r="T494" s="1074"/>
      <c r="U494" s="1074"/>
      <c r="V494" s="1074"/>
      <c r="W494" s="1074"/>
      <c r="X494" s="1074"/>
      <c r="Y494" s="1072"/>
      <c r="Z494" s="1073"/>
      <c r="AA494" s="1074"/>
      <c r="AB494" s="1074"/>
      <c r="AC494" s="1074"/>
      <c r="AD494" s="1074"/>
      <c r="AE494" s="1074"/>
      <c r="AF494" s="1072"/>
      <c r="AG494" s="1073"/>
      <c r="AH494" s="1074"/>
      <c r="AI494" s="1074"/>
      <c r="AJ494" s="1074"/>
      <c r="AK494" s="1074"/>
    </row>
    <row r="495">
      <c r="A495" s="1072"/>
      <c r="B495" s="1072"/>
      <c r="C495" s="1075"/>
      <c r="D495" s="1074"/>
      <c r="E495" s="1074"/>
      <c r="F495" s="1074"/>
      <c r="G495" s="1076"/>
      <c r="H495" s="1074"/>
      <c r="I495" s="1074"/>
      <c r="J495" s="1072"/>
      <c r="K495" s="1075"/>
      <c r="L495" s="1074"/>
      <c r="M495" s="1074"/>
      <c r="N495" s="1074"/>
      <c r="O495" s="1076"/>
      <c r="P495" s="1074"/>
      <c r="Q495" s="1074"/>
      <c r="R495" s="1072"/>
      <c r="S495" s="1073"/>
      <c r="T495" s="1074"/>
      <c r="U495" s="1074"/>
      <c r="V495" s="1074"/>
      <c r="W495" s="1074"/>
      <c r="X495" s="1074"/>
      <c r="Y495" s="1072"/>
      <c r="Z495" s="1073"/>
      <c r="AA495" s="1074"/>
      <c r="AB495" s="1074"/>
      <c r="AC495" s="1074"/>
      <c r="AD495" s="1074"/>
      <c r="AE495" s="1074"/>
      <c r="AF495" s="1072"/>
      <c r="AG495" s="1073"/>
      <c r="AH495" s="1074"/>
      <c r="AI495" s="1074"/>
      <c r="AJ495" s="1074"/>
      <c r="AK495" s="1074"/>
    </row>
    <row r="496">
      <c r="A496" s="1072"/>
      <c r="B496" s="1072"/>
      <c r="C496" s="1075"/>
      <c r="D496" s="1074"/>
      <c r="E496" s="1074"/>
      <c r="F496" s="1074"/>
      <c r="G496" s="1076"/>
      <c r="H496" s="1074"/>
      <c r="I496" s="1074"/>
      <c r="J496" s="1072"/>
      <c r="K496" s="1075"/>
      <c r="L496" s="1074"/>
      <c r="M496" s="1074"/>
      <c r="N496" s="1074"/>
      <c r="O496" s="1076"/>
      <c r="P496" s="1074"/>
      <c r="Q496" s="1074"/>
      <c r="R496" s="1072"/>
      <c r="S496" s="1073"/>
      <c r="T496" s="1074"/>
      <c r="U496" s="1074"/>
      <c r="V496" s="1074"/>
      <c r="W496" s="1074"/>
      <c r="X496" s="1074"/>
      <c r="Y496" s="1072"/>
      <c r="Z496" s="1073"/>
      <c r="AA496" s="1074"/>
      <c r="AB496" s="1074"/>
      <c r="AC496" s="1074"/>
      <c r="AD496" s="1074"/>
      <c r="AE496" s="1074"/>
      <c r="AF496" s="1072"/>
      <c r="AG496" s="1073"/>
      <c r="AH496" s="1074"/>
      <c r="AI496" s="1074"/>
      <c r="AJ496" s="1074"/>
      <c r="AK496" s="1074"/>
    </row>
    <row r="497">
      <c r="A497" s="1072"/>
      <c r="B497" s="1072"/>
      <c r="C497" s="1075"/>
      <c r="D497" s="1074"/>
      <c r="E497" s="1074"/>
      <c r="F497" s="1074"/>
      <c r="G497" s="1076"/>
      <c r="H497" s="1074"/>
      <c r="I497" s="1074"/>
      <c r="J497" s="1072"/>
      <c r="K497" s="1075"/>
      <c r="L497" s="1074"/>
      <c r="M497" s="1074"/>
      <c r="N497" s="1074"/>
      <c r="O497" s="1076"/>
      <c r="P497" s="1074"/>
      <c r="Q497" s="1074"/>
      <c r="R497" s="1072"/>
      <c r="S497" s="1073"/>
      <c r="T497" s="1074"/>
      <c r="U497" s="1074"/>
      <c r="V497" s="1074"/>
      <c r="W497" s="1074"/>
      <c r="X497" s="1074"/>
      <c r="Y497" s="1072"/>
      <c r="Z497" s="1073"/>
      <c r="AA497" s="1074"/>
      <c r="AB497" s="1074"/>
      <c r="AC497" s="1074"/>
      <c r="AD497" s="1074"/>
      <c r="AE497" s="1074"/>
      <c r="AF497" s="1072"/>
      <c r="AG497" s="1073"/>
      <c r="AH497" s="1074"/>
      <c r="AI497" s="1074"/>
      <c r="AJ497" s="1074"/>
      <c r="AK497" s="1074"/>
    </row>
    <row r="498">
      <c r="A498" s="1072"/>
      <c r="B498" s="1072"/>
      <c r="C498" s="1075"/>
      <c r="D498" s="1074"/>
      <c r="E498" s="1074"/>
      <c r="F498" s="1074"/>
      <c r="G498" s="1076"/>
      <c r="H498" s="1074"/>
      <c r="I498" s="1074"/>
      <c r="J498" s="1072"/>
      <c r="K498" s="1075"/>
      <c r="L498" s="1074"/>
      <c r="M498" s="1074"/>
      <c r="N498" s="1074"/>
      <c r="O498" s="1076"/>
      <c r="P498" s="1074"/>
      <c r="Q498" s="1074"/>
      <c r="R498" s="1072"/>
      <c r="S498" s="1073"/>
      <c r="T498" s="1074"/>
      <c r="U498" s="1074"/>
      <c r="V498" s="1074"/>
      <c r="W498" s="1074"/>
      <c r="X498" s="1074"/>
      <c r="Y498" s="1072"/>
      <c r="Z498" s="1073"/>
      <c r="AA498" s="1074"/>
      <c r="AB498" s="1074"/>
      <c r="AC498" s="1074"/>
      <c r="AD498" s="1074"/>
      <c r="AE498" s="1074"/>
      <c r="AF498" s="1072"/>
      <c r="AG498" s="1073"/>
      <c r="AH498" s="1074"/>
      <c r="AI498" s="1074"/>
      <c r="AJ498" s="1074"/>
      <c r="AK498" s="1074"/>
    </row>
    <row r="499">
      <c r="A499" s="1072"/>
      <c r="B499" s="1072"/>
      <c r="C499" s="1075"/>
      <c r="D499" s="1074"/>
      <c r="E499" s="1074"/>
      <c r="F499" s="1074"/>
      <c r="G499" s="1076"/>
      <c r="H499" s="1074"/>
      <c r="I499" s="1074"/>
      <c r="J499" s="1072"/>
      <c r="K499" s="1075"/>
      <c r="L499" s="1074"/>
      <c r="M499" s="1074"/>
      <c r="N499" s="1074"/>
      <c r="O499" s="1076"/>
      <c r="P499" s="1074"/>
      <c r="Q499" s="1074"/>
      <c r="R499" s="1072"/>
      <c r="S499" s="1073"/>
      <c r="T499" s="1074"/>
      <c r="U499" s="1074"/>
      <c r="V499" s="1074"/>
      <c r="W499" s="1074"/>
      <c r="X499" s="1074"/>
      <c r="Y499" s="1072"/>
      <c r="Z499" s="1073"/>
      <c r="AA499" s="1074"/>
      <c r="AB499" s="1074"/>
      <c r="AC499" s="1074"/>
      <c r="AD499" s="1074"/>
      <c r="AE499" s="1074"/>
      <c r="AF499" s="1072"/>
      <c r="AG499" s="1073"/>
      <c r="AH499" s="1074"/>
      <c r="AI499" s="1074"/>
      <c r="AJ499" s="1074"/>
      <c r="AK499" s="1074"/>
    </row>
    <row r="500">
      <c r="A500" s="1072"/>
      <c r="B500" s="1072"/>
      <c r="C500" s="1075"/>
      <c r="D500" s="1074"/>
      <c r="E500" s="1074"/>
      <c r="F500" s="1074"/>
      <c r="G500" s="1076"/>
      <c r="H500" s="1074"/>
      <c r="I500" s="1074"/>
      <c r="J500" s="1072"/>
      <c r="K500" s="1075"/>
      <c r="L500" s="1074"/>
      <c r="M500" s="1074"/>
      <c r="N500" s="1074"/>
      <c r="O500" s="1076"/>
      <c r="P500" s="1074"/>
      <c r="Q500" s="1074"/>
      <c r="R500" s="1072"/>
      <c r="S500" s="1073"/>
      <c r="T500" s="1074"/>
      <c r="U500" s="1074"/>
      <c r="V500" s="1074"/>
      <c r="W500" s="1074"/>
      <c r="X500" s="1074"/>
      <c r="Y500" s="1072"/>
      <c r="Z500" s="1073"/>
      <c r="AA500" s="1074"/>
      <c r="AB500" s="1074"/>
      <c r="AC500" s="1074"/>
      <c r="AD500" s="1074"/>
      <c r="AE500" s="1074"/>
      <c r="AF500" s="1072"/>
      <c r="AG500" s="1073"/>
      <c r="AH500" s="1074"/>
      <c r="AI500" s="1074"/>
      <c r="AJ500" s="1074"/>
      <c r="AK500" s="1074"/>
    </row>
    <row r="501">
      <c r="A501" s="1072"/>
      <c r="B501" s="1072"/>
      <c r="C501" s="1075"/>
      <c r="D501" s="1074"/>
      <c r="E501" s="1074"/>
      <c r="F501" s="1074"/>
      <c r="G501" s="1076"/>
      <c r="H501" s="1074"/>
      <c r="I501" s="1074"/>
      <c r="J501" s="1072"/>
      <c r="K501" s="1075"/>
      <c r="L501" s="1074"/>
      <c r="M501" s="1074"/>
      <c r="N501" s="1074"/>
      <c r="O501" s="1076"/>
      <c r="P501" s="1074"/>
      <c r="Q501" s="1074"/>
      <c r="R501" s="1072"/>
      <c r="S501" s="1073"/>
      <c r="T501" s="1074"/>
      <c r="U501" s="1074"/>
      <c r="V501" s="1074"/>
      <c r="W501" s="1074"/>
      <c r="X501" s="1074"/>
      <c r="Y501" s="1072"/>
      <c r="Z501" s="1073"/>
      <c r="AA501" s="1074"/>
      <c r="AB501" s="1074"/>
      <c r="AC501" s="1074"/>
      <c r="AD501" s="1074"/>
      <c r="AE501" s="1074"/>
      <c r="AF501" s="1072"/>
      <c r="AG501" s="1073"/>
      <c r="AH501" s="1074"/>
      <c r="AI501" s="1074"/>
      <c r="AJ501" s="1074"/>
      <c r="AK501" s="1074"/>
    </row>
    <row r="502">
      <c r="A502" s="1072"/>
      <c r="B502" s="1072"/>
      <c r="C502" s="1075"/>
      <c r="D502" s="1074"/>
      <c r="E502" s="1074"/>
      <c r="F502" s="1074"/>
      <c r="G502" s="1076"/>
      <c r="H502" s="1074"/>
      <c r="I502" s="1074"/>
      <c r="J502" s="1072"/>
      <c r="K502" s="1075"/>
      <c r="L502" s="1074"/>
      <c r="M502" s="1074"/>
      <c r="N502" s="1074"/>
      <c r="O502" s="1076"/>
      <c r="P502" s="1074"/>
      <c r="Q502" s="1074"/>
      <c r="R502" s="1072"/>
      <c r="S502" s="1073"/>
      <c r="T502" s="1074"/>
      <c r="U502" s="1074"/>
      <c r="V502" s="1074"/>
      <c r="W502" s="1074"/>
      <c r="X502" s="1074"/>
      <c r="Y502" s="1072"/>
      <c r="Z502" s="1073"/>
      <c r="AA502" s="1074"/>
      <c r="AB502" s="1074"/>
      <c r="AC502" s="1074"/>
      <c r="AD502" s="1074"/>
      <c r="AE502" s="1074"/>
      <c r="AF502" s="1072"/>
      <c r="AG502" s="1073"/>
      <c r="AH502" s="1074"/>
      <c r="AI502" s="1074"/>
      <c r="AJ502" s="1074"/>
      <c r="AK502" s="1074"/>
    </row>
    <row r="503">
      <c r="A503" s="1072"/>
      <c r="B503" s="1072"/>
      <c r="C503" s="1075"/>
      <c r="D503" s="1074"/>
      <c r="E503" s="1074"/>
      <c r="F503" s="1074"/>
      <c r="G503" s="1076"/>
      <c r="H503" s="1074"/>
      <c r="I503" s="1074"/>
      <c r="J503" s="1072"/>
      <c r="K503" s="1075"/>
      <c r="L503" s="1074"/>
      <c r="M503" s="1074"/>
      <c r="N503" s="1074"/>
      <c r="O503" s="1076"/>
      <c r="P503" s="1074"/>
      <c r="Q503" s="1074"/>
      <c r="R503" s="1072"/>
      <c r="S503" s="1073"/>
      <c r="T503" s="1074"/>
      <c r="U503" s="1074"/>
      <c r="V503" s="1074"/>
      <c r="W503" s="1074"/>
      <c r="X503" s="1074"/>
      <c r="Y503" s="1072"/>
      <c r="Z503" s="1073"/>
      <c r="AA503" s="1074"/>
      <c r="AB503" s="1074"/>
      <c r="AC503" s="1074"/>
      <c r="AD503" s="1074"/>
      <c r="AE503" s="1074"/>
      <c r="AF503" s="1072"/>
      <c r="AG503" s="1073"/>
      <c r="AH503" s="1074"/>
      <c r="AI503" s="1074"/>
      <c r="AJ503" s="1074"/>
      <c r="AK503" s="1074"/>
    </row>
    <row r="504">
      <c r="A504" s="1072"/>
      <c r="B504" s="1072"/>
      <c r="C504" s="1075"/>
      <c r="D504" s="1074"/>
      <c r="E504" s="1074"/>
      <c r="F504" s="1074"/>
      <c r="G504" s="1076"/>
      <c r="H504" s="1074"/>
      <c r="I504" s="1074"/>
      <c r="J504" s="1072"/>
      <c r="K504" s="1075"/>
      <c r="L504" s="1074"/>
      <c r="M504" s="1074"/>
      <c r="N504" s="1074"/>
      <c r="O504" s="1076"/>
      <c r="P504" s="1074"/>
      <c r="Q504" s="1074"/>
      <c r="R504" s="1072"/>
      <c r="S504" s="1073"/>
      <c r="T504" s="1074"/>
      <c r="U504" s="1074"/>
      <c r="V504" s="1074"/>
      <c r="W504" s="1074"/>
      <c r="X504" s="1074"/>
      <c r="Y504" s="1072"/>
      <c r="Z504" s="1073"/>
      <c r="AA504" s="1074"/>
      <c r="AB504" s="1074"/>
      <c r="AC504" s="1074"/>
      <c r="AD504" s="1074"/>
      <c r="AE504" s="1074"/>
      <c r="AF504" s="1072"/>
      <c r="AG504" s="1073"/>
      <c r="AH504" s="1074"/>
      <c r="AI504" s="1074"/>
      <c r="AJ504" s="1074"/>
      <c r="AK504" s="1074"/>
    </row>
    <row r="505">
      <c r="A505" s="1072"/>
      <c r="B505" s="1072"/>
      <c r="C505" s="1075"/>
      <c r="D505" s="1074"/>
      <c r="E505" s="1074"/>
      <c r="F505" s="1074"/>
      <c r="G505" s="1076"/>
      <c r="H505" s="1074"/>
      <c r="I505" s="1074"/>
      <c r="J505" s="1072"/>
      <c r="K505" s="1075"/>
      <c r="L505" s="1074"/>
      <c r="M505" s="1074"/>
      <c r="N505" s="1074"/>
      <c r="O505" s="1076"/>
      <c r="P505" s="1074"/>
      <c r="Q505" s="1074"/>
      <c r="R505" s="1072"/>
      <c r="S505" s="1073"/>
      <c r="T505" s="1074"/>
      <c r="U505" s="1074"/>
      <c r="V505" s="1074"/>
      <c r="W505" s="1074"/>
      <c r="X505" s="1074"/>
      <c r="Y505" s="1072"/>
      <c r="Z505" s="1073"/>
      <c r="AA505" s="1074"/>
      <c r="AB505" s="1074"/>
      <c r="AC505" s="1074"/>
      <c r="AD505" s="1074"/>
      <c r="AE505" s="1074"/>
      <c r="AF505" s="1072"/>
      <c r="AG505" s="1073"/>
      <c r="AH505" s="1074"/>
      <c r="AI505" s="1074"/>
      <c r="AJ505" s="1074"/>
      <c r="AK505" s="1074"/>
    </row>
    <row r="506">
      <c r="A506" s="1072"/>
      <c r="B506" s="1072"/>
      <c r="C506" s="1075"/>
      <c r="D506" s="1074"/>
      <c r="E506" s="1074"/>
      <c r="F506" s="1074"/>
      <c r="G506" s="1076"/>
      <c r="H506" s="1074"/>
      <c r="I506" s="1074"/>
      <c r="J506" s="1072"/>
      <c r="K506" s="1075"/>
      <c r="L506" s="1074"/>
      <c r="M506" s="1074"/>
      <c r="N506" s="1074"/>
      <c r="O506" s="1076"/>
      <c r="P506" s="1074"/>
      <c r="Q506" s="1074"/>
      <c r="R506" s="1072"/>
      <c r="S506" s="1073"/>
      <c r="T506" s="1074"/>
      <c r="U506" s="1074"/>
      <c r="V506" s="1074"/>
      <c r="W506" s="1074"/>
      <c r="X506" s="1074"/>
      <c r="Y506" s="1072"/>
      <c r="Z506" s="1073"/>
      <c r="AA506" s="1074"/>
      <c r="AB506" s="1074"/>
      <c r="AC506" s="1074"/>
      <c r="AD506" s="1074"/>
      <c r="AE506" s="1074"/>
      <c r="AF506" s="1072"/>
      <c r="AG506" s="1073"/>
      <c r="AH506" s="1074"/>
      <c r="AI506" s="1074"/>
      <c r="AJ506" s="1074"/>
      <c r="AK506" s="1074"/>
    </row>
    <row r="507">
      <c r="A507" s="1072"/>
      <c r="B507" s="1072"/>
      <c r="C507" s="1075"/>
      <c r="D507" s="1074"/>
      <c r="E507" s="1074"/>
      <c r="F507" s="1074"/>
      <c r="G507" s="1076"/>
      <c r="H507" s="1074"/>
      <c r="I507" s="1074"/>
      <c r="J507" s="1072"/>
      <c r="K507" s="1075"/>
      <c r="L507" s="1074"/>
      <c r="M507" s="1074"/>
      <c r="N507" s="1074"/>
      <c r="O507" s="1076"/>
      <c r="P507" s="1074"/>
      <c r="Q507" s="1074"/>
      <c r="R507" s="1072"/>
      <c r="S507" s="1073"/>
      <c r="T507" s="1074"/>
      <c r="U507" s="1074"/>
      <c r="V507" s="1074"/>
      <c r="W507" s="1074"/>
      <c r="X507" s="1074"/>
      <c r="Y507" s="1072"/>
      <c r="Z507" s="1073"/>
      <c r="AA507" s="1074"/>
      <c r="AB507" s="1074"/>
      <c r="AC507" s="1074"/>
      <c r="AD507" s="1074"/>
      <c r="AE507" s="1074"/>
      <c r="AF507" s="1072"/>
      <c r="AG507" s="1073"/>
      <c r="AH507" s="1074"/>
      <c r="AI507" s="1074"/>
      <c r="AJ507" s="1074"/>
      <c r="AK507" s="1074"/>
    </row>
    <row r="508">
      <c r="A508" s="1072"/>
      <c r="B508" s="1072"/>
      <c r="C508" s="1075"/>
      <c r="D508" s="1074"/>
      <c r="E508" s="1074"/>
      <c r="F508" s="1074"/>
      <c r="G508" s="1076"/>
      <c r="H508" s="1074"/>
      <c r="I508" s="1074"/>
      <c r="J508" s="1072"/>
      <c r="K508" s="1075"/>
      <c r="L508" s="1074"/>
      <c r="M508" s="1074"/>
      <c r="N508" s="1074"/>
      <c r="O508" s="1076"/>
      <c r="P508" s="1074"/>
      <c r="Q508" s="1074"/>
      <c r="R508" s="1072"/>
      <c r="S508" s="1073"/>
      <c r="T508" s="1074"/>
      <c r="U508" s="1074"/>
      <c r="V508" s="1074"/>
      <c r="W508" s="1074"/>
      <c r="X508" s="1074"/>
      <c r="Y508" s="1072"/>
      <c r="Z508" s="1073"/>
      <c r="AA508" s="1074"/>
      <c r="AB508" s="1074"/>
      <c r="AC508" s="1074"/>
      <c r="AD508" s="1074"/>
      <c r="AE508" s="1074"/>
      <c r="AF508" s="1072"/>
      <c r="AG508" s="1073"/>
      <c r="AH508" s="1074"/>
      <c r="AI508" s="1074"/>
      <c r="AJ508" s="1074"/>
      <c r="AK508" s="1074"/>
    </row>
    <row r="509">
      <c r="A509" s="1072"/>
      <c r="B509" s="1072"/>
      <c r="C509" s="1075"/>
      <c r="D509" s="1074"/>
      <c r="E509" s="1074"/>
      <c r="F509" s="1074"/>
      <c r="G509" s="1076"/>
      <c r="H509" s="1074"/>
      <c r="I509" s="1074"/>
      <c r="J509" s="1072"/>
      <c r="K509" s="1075"/>
      <c r="L509" s="1074"/>
      <c r="M509" s="1074"/>
      <c r="N509" s="1074"/>
      <c r="O509" s="1076"/>
      <c r="P509" s="1074"/>
      <c r="Q509" s="1074"/>
      <c r="R509" s="1072"/>
      <c r="S509" s="1073"/>
      <c r="T509" s="1074"/>
      <c r="U509" s="1074"/>
      <c r="V509" s="1074"/>
      <c r="W509" s="1074"/>
      <c r="X509" s="1074"/>
      <c r="Y509" s="1072"/>
      <c r="Z509" s="1073"/>
      <c r="AA509" s="1074"/>
      <c r="AB509" s="1074"/>
      <c r="AC509" s="1074"/>
      <c r="AD509" s="1074"/>
      <c r="AE509" s="1074"/>
      <c r="AF509" s="1072"/>
      <c r="AG509" s="1073"/>
      <c r="AH509" s="1074"/>
      <c r="AI509" s="1074"/>
      <c r="AJ509" s="1074"/>
      <c r="AK509" s="1074"/>
    </row>
    <row r="510">
      <c r="A510" s="1072"/>
      <c r="B510" s="1072"/>
      <c r="C510" s="1075"/>
      <c r="D510" s="1074"/>
      <c r="E510" s="1074"/>
      <c r="F510" s="1074"/>
      <c r="G510" s="1076"/>
      <c r="H510" s="1074"/>
      <c r="I510" s="1074"/>
      <c r="J510" s="1072"/>
      <c r="K510" s="1075"/>
      <c r="L510" s="1074"/>
      <c r="M510" s="1074"/>
      <c r="N510" s="1074"/>
      <c r="O510" s="1076"/>
      <c r="P510" s="1074"/>
      <c r="Q510" s="1074"/>
      <c r="R510" s="1072"/>
      <c r="S510" s="1073"/>
      <c r="T510" s="1074"/>
      <c r="U510" s="1074"/>
      <c r="V510" s="1074"/>
      <c r="W510" s="1074"/>
      <c r="X510" s="1074"/>
      <c r="Y510" s="1072"/>
      <c r="Z510" s="1073"/>
      <c r="AA510" s="1074"/>
      <c r="AB510" s="1074"/>
      <c r="AC510" s="1074"/>
      <c r="AD510" s="1074"/>
      <c r="AE510" s="1074"/>
      <c r="AF510" s="1072"/>
      <c r="AG510" s="1073"/>
      <c r="AH510" s="1074"/>
      <c r="AI510" s="1074"/>
      <c r="AJ510" s="1074"/>
      <c r="AK510" s="1074"/>
    </row>
    <row r="511">
      <c r="A511" s="1072"/>
      <c r="B511" s="1072"/>
      <c r="C511" s="1075"/>
      <c r="D511" s="1074"/>
      <c r="E511" s="1074"/>
      <c r="F511" s="1074"/>
      <c r="G511" s="1076"/>
      <c r="H511" s="1074"/>
      <c r="I511" s="1074"/>
      <c r="J511" s="1072"/>
      <c r="K511" s="1075"/>
      <c r="L511" s="1074"/>
      <c r="M511" s="1074"/>
      <c r="N511" s="1074"/>
      <c r="O511" s="1076"/>
      <c r="P511" s="1074"/>
      <c r="Q511" s="1074"/>
      <c r="R511" s="1072"/>
      <c r="S511" s="1073"/>
      <c r="T511" s="1074"/>
      <c r="U511" s="1074"/>
      <c r="V511" s="1074"/>
      <c r="W511" s="1074"/>
      <c r="X511" s="1074"/>
      <c r="Y511" s="1072"/>
      <c r="Z511" s="1073"/>
      <c r="AA511" s="1074"/>
      <c r="AB511" s="1074"/>
      <c r="AC511" s="1074"/>
      <c r="AD511" s="1074"/>
      <c r="AE511" s="1074"/>
      <c r="AF511" s="1072"/>
      <c r="AG511" s="1073"/>
      <c r="AH511" s="1074"/>
      <c r="AI511" s="1074"/>
      <c r="AJ511" s="1074"/>
      <c r="AK511" s="1074"/>
    </row>
    <row r="512">
      <c r="A512" s="1072"/>
      <c r="B512" s="1072"/>
      <c r="C512" s="1075"/>
      <c r="D512" s="1074"/>
      <c r="E512" s="1074"/>
      <c r="F512" s="1074"/>
      <c r="G512" s="1076"/>
      <c r="H512" s="1074"/>
      <c r="I512" s="1074"/>
      <c r="J512" s="1072"/>
      <c r="K512" s="1075"/>
      <c r="L512" s="1074"/>
      <c r="M512" s="1074"/>
      <c r="N512" s="1074"/>
      <c r="O512" s="1076"/>
      <c r="P512" s="1074"/>
      <c r="Q512" s="1074"/>
      <c r="R512" s="1072"/>
      <c r="S512" s="1073"/>
      <c r="T512" s="1074"/>
      <c r="U512" s="1074"/>
      <c r="V512" s="1074"/>
      <c r="W512" s="1074"/>
      <c r="X512" s="1074"/>
      <c r="Y512" s="1072"/>
      <c r="Z512" s="1073"/>
      <c r="AA512" s="1074"/>
      <c r="AB512" s="1074"/>
      <c r="AC512" s="1074"/>
      <c r="AD512" s="1074"/>
      <c r="AE512" s="1074"/>
      <c r="AF512" s="1072"/>
      <c r="AG512" s="1073"/>
      <c r="AH512" s="1074"/>
      <c r="AI512" s="1074"/>
      <c r="AJ512" s="1074"/>
      <c r="AK512" s="1074"/>
    </row>
    <row r="513">
      <c r="A513" s="1072"/>
      <c r="B513" s="1072"/>
      <c r="C513" s="1075"/>
      <c r="D513" s="1074"/>
      <c r="E513" s="1074"/>
      <c r="F513" s="1074"/>
      <c r="G513" s="1076"/>
      <c r="H513" s="1074"/>
      <c r="I513" s="1074"/>
      <c r="J513" s="1072"/>
      <c r="K513" s="1075"/>
      <c r="L513" s="1074"/>
      <c r="M513" s="1074"/>
      <c r="N513" s="1074"/>
      <c r="O513" s="1076"/>
      <c r="P513" s="1074"/>
      <c r="Q513" s="1074"/>
      <c r="R513" s="1072"/>
      <c r="S513" s="1073"/>
      <c r="T513" s="1074"/>
      <c r="U513" s="1074"/>
      <c r="V513" s="1074"/>
      <c r="W513" s="1074"/>
      <c r="X513" s="1074"/>
      <c r="Y513" s="1072"/>
      <c r="Z513" s="1073"/>
      <c r="AA513" s="1074"/>
      <c r="AB513" s="1074"/>
      <c r="AC513" s="1074"/>
      <c r="AD513" s="1074"/>
      <c r="AE513" s="1074"/>
      <c r="AF513" s="1072"/>
      <c r="AG513" s="1073"/>
      <c r="AH513" s="1074"/>
      <c r="AI513" s="1074"/>
      <c r="AJ513" s="1074"/>
      <c r="AK513" s="1074"/>
    </row>
    <row r="514">
      <c r="A514" s="1072"/>
      <c r="B514" s="1072"/>
      <c r="C514" s="1075"/>
      <c r="D514" s="1074"/>
      <c r="E514" s="1074"/>
      <c r="F514" s="1074"/>
      <c r="G514" s="1076"/>
      <c r="H514" s="1074"/>
      <c r="I514" s="1074"/>
      <c r="J514" s="1072"/>
      <c r="K514" s="1075"/>
      <c r="L514" s="1074"/>
      <c r="M514" s="1074"/>
      <c r="N514" s="1074"/>
      <c r="O514" s="1076"/>
      <c r="P514" s="1074"/>
      <c r="Q514" s="1074"/>
      <c r="R514" s="1072"/>
      <c r="S514" s="1073"/>
      <c r="T514" s="1074"/>
      <c r="U514" s="1074"/>
      <c r="V514" s="1074"/>
      <c r="W514" s="1074"/>
      <c r="X514" s="1074"/>
      <c r="Y514" s="1072"/>
      <c r="Z514" s="1073"/>
      <c r="AA514" s="1074"/>
      <c r="AB514" s="1074"/>
      <c r="AC514" s="1074"/>
      <c r="AD514" s="1074"/>
      <c r="AE514" s="1074"/>
      <c r="AF514" s="1072"/>
      <c r="AG514" s="1073"/>
      <c r="AH514" s="1074"/>
      <c r="AI514" s="1074"/>
      <c r="AJ514" s="1074"/>
      <c r="AK514" s="1074"/>
    </row>
    <row r="515">
      <c r="A515" s="1072"/>
      <c r="B515" s="1072"/>
      <c r="C515" s="1075"/>
      <c r="D515" s="1074"/>
      <c r="E515" s="1074"/>
      <c r="F515" s="1074"/>
      <c r="G515" s="1076"/>
      <c r="H515" s="1074"/>
      <c r="I515" s="1074"/>
      <c r="J515" s="1072"/>
      <c r="K515" s="1075"/>
      <c r="L515" s="1074"/>
      <c r="M515" s="1074"/>
      <c r="N515" s="1074"/>
      <c r="O515" s="1076"/>
      <c r="P515" s="1074"/>
      <c r="Q515" s="1074"/>
      <c r="R515" s="1072"/>
      <c r="S515" s="1073"/>
      <c r="T515" s="1074"/>
      <c r="U515" s="1074"/>
      <c r="V515" s="1074"/>
      <c r="W515" s="1074"/>
      <c r="X515" s="1074"/>
      <c r="Y515" s="1072"/>
      <c r="Z515" s="1073"/>
      <c r="AA515" s="1074"/>
      <c r="AB515" s="1074"/>
      <c r="AC515" s="1074"/>
      <c r="AD515" s="1074"/>
      <c r="AE515" s="1074"/>
      <c r="AF515" s="1072"/>
      <c r="AG515" s="1073"/>
      <c r="AH515" s="1074"/>
      <c r="AI515" s="1074"/>
      <c r="AJ515" s="1074"/>
      <c r="AK515" s="1074"/>
    </row>
    <row r="516">
      <c r="A516" s="1072"/>
      <c r="B516" s="1072"/>
      <c r="C516" s="1075"/>
      <c r="D516" s="1074"/>
      <c r="E516" s="1074"/>
      <c r="F516" s="1074"/>
      <c r="G516" s="1076"/>
      <c r="H516" s="1074"/>
      <c r="I516" s="1074"/>
      <c r="J516" s="1072"/>
      <c r="K516" s="1075"/>
      <c r="L516" s="1074"/>
      <c r="M516" s="1074"/>
      <c r="N516" s="1074"/>
      <c r="O516" s="1076"/>
      <c r="P516" s="1074"/>
      <c r="Q516" s="1074"/>
      <c r="R516" s="1072"/>
      <c r="S516" s="1073"/>
      <c r="T516" s="1074"/>
      <c r="U516" s="1074"/>
      <c r="V516" s="1074"/>
      <c r="W516" s="1074"/>
      <c r="X516" s="1074"/>
      <c r="Y516" s="1072"/>
      <c r="Z516" s="1073"/>
      <c r="AA516" s="1074"/>
      <c r="AB516" s="1074"/>
      <c r="AC516" s="1074"/>
      <c r="AD516" s="1074"/>
      <c r="AE516" s="1074"/>
      <c r="AF516" s="1072"/>
      <c r="AG516" s="1073"/>
      <c r="AH516" s="1074"/>
      <c r="AI516" s="1074"/>
      <c r="AJ516" s="1074"/>
      <c r="AK516" s="1074"/>
    </row>
    <row r="517">
      <c r="A517" s="1072"/>
      <c r="B517" s="1072"/>
      <c r="C517" s="1075"/>
      <c r="D517" s="1074"/>
      <c r="E517" s="1074"/>
      <c r="F517" s="1074"/>
      <c r="G517" s="1076"/>
      <c r="H517" s="1074"/>
      <c r="I517" s="1074"/>
      <c r="J517" s="1072"/>
      <c r="K517" s="1075"/>
      <c r="L517" s="1074"/>
      <c r="M517" s="1074"/>
      <c r="N517" s="1074"/>
      <c r="O517" s="1076"/>
      <c r="P517" s="1074"/>
      <c r="Q517" s="1074"/>
      <c r="R517" s="1072"/>
      <c r="S517" s="1073"/>
      <c r="T517" s="1074"/>
      <c r="U517" s="1074"/>
      <c r="V517" s="1074"/>
      <c r="W517" s="1074"/>
      <c r="X517" s="1074"/>
      <c r="Y517" s="1072"/>
      <c r="Z517" s="1073"/>
      <c r="AA517" s="1074"/>
      <c r="AB517" s="1074"/>
      <c r="AC517" s="1074"/>
      <c r="AD517" s="1074"/>
      <c r="AE517" s="1074"/>
      <c r="AF517" s="1072"/>
      <c r="AG517" s="1073"/>
      <c r="AH517" s="1074"/>
      <c r="AI517" s="1074"/>
      <c r="AJ517" s="1074"/>
      <c r="AK517" s="1074"/>
    </row>
    <row r="518">
      <c r="A518" s="1072"/>
      <c r="B518" s="1072"/>
      <c r="C518" s="1075"/>
      <c r="D518" s="1074"/>
      <c r="E518" s="1074"/>
      <c r="F518" s="1074"/>
      <c r="G518" s="1076"/>
      <c r="H518" s="1074"/>
      <c r="I518" s="1074"/>
      <c r="J518" s="1072"/>
      <c r="K518" s="1075"/>
      <c r="L518" s="1074"/>
      <c r="M518" s="1074"/>
      <c r="N518" s="1074"/>
      <c r="O518" s="1076"/>
      <c r="P518" s="1074"/>
      <c r="Q518" s="1074"/>
      <c r="R518" s="1072"/>
      <c r="S518" s="1073"/>
      <c r="T518" s="1074"/>
      <c r="U518" s="1074"/>
      <c r="V518" s="1074"/>
      <c r="W518" s="1074"/>
      <c r="X518" s="1074"/>
      <c r="Y518" s="1072"/>
      <c r="Z518" s="1073"/>
      <c r="AA518" s="1074"/>
      <c r="AB518" s="1074"/>
      <c r="AC518" s="1074"/>
      <c r="AD518" s="1074"/>
      <c r="AE518" s="1074"/>
      <c r="AF518" s="1072"/>
      <c r="AG518" s="1073"/>
      <c r="AH518" s="1074"/>
      <c r="AI518" s="1074"/>
      <c r="AJ518" s="1074"/>
      <c r="AK518" s="1074"/>
    </row>
    <row r="519">
      <c r="A519" s="1072"/>
      <c r="B519" s="1072"/>
      <c r="C519" s="1075"/>
      <c r="D519" s="1074"/>
      <c r="E519" s="1074"/>
      <c r="F519" s="1074"/>
      <c r="G519" s="1076"/>
      <c r="H519" s="1074"/>
      <c r="I519" s="1074"/>
      <c r="J519" s="1072"/>
      <c r="K519" s="1075"/>
      <c r="L519" s="1074"/>
      <c r="M519" s="1074"/>
      <c r="N519" s="1074"/>
      <c r="O519" s="1076"/>
      <c r="P519" s="1074"/>
      <c r="Q519" s="1074"/>
      <c r="R519" s="1072"/>
      <c r="S519" s="1073"/>
      <c r="T519" s="1074"/>
      <c r="U519" s="1074"/>
      <c r="V519" s="1074"/>
      <c r="W519" s="1074"/>
      <c r="X519" s="1074"/>
      <c r="Y519" s="1072"/>
      <c r="Z519" s="1073"/>
      <c r="AA519" s="1074"/>
      <c r="AB519" s="1074"/>
      <c r="AC519" s="1074"/>
      <c r="AD519" s="1074"/>
      <c r="AE519" s="1074"/>
      <c r="AF519" s="1072"/>
      <c r="AG519" s="1073"/>
      <c r="AH519" s="1074"/>
      <c r="AI519" s="1074"/>
      <c r="AJ519" s="1074"/>
      <c r="AK519" s="1074"/>
    </row>
    <row r="520">
      <c r="A520" s="1072"/>
      <c r="B520" s="1072"/>
      <c r="C520" s="1075"/>
      <c r="D520" s="1074"/>
      <c r="E520" s="1074"/>
      <c r="F520" s="1074"/>
      <c r="G520" s="1076"/>
      <c r="H520" s="1074"/>
      <c r="I520" s="1074"/>
      <c r="J520" s="1072"/>
      <c r="K520" s="1075"/>
      <c r="L520" s="1074"/>
      <c r="M520" s="1074"/>
      <c r="N520" s="1074"/>
      <c r="O520" s="1076"/>
      <c r="P520" s="1074"/>
      <c r="Q520" s="1074"/>
      <c r="R520" s="1072"/>
      <c r="S520" s="1073"/>
      <c r="T520" s="1074"/>
      <c r="U520" s="1074"/>
      <c r="V520" s="1074"/>
      <c r="W520" s="1074"/>
      <c r="X520" s="1074"/>
      <c r="Y520" s="1072"/>
      <c r="Z520" s="1073"/>
      <c r="AA520" s="1074"/>
      <c r="AB520" s="1074"/>
      <c r="AC520" s="1074"/>
      <c r="AD520" s="1074"/>
      <c r="AE520" s="1074"/>
      <c r="AF520" s="1072"/>
      <c r="AG520" s="1073"/>
      <c r="AH520" s="1074"/>
      <c r="AI520" s="1074"/>
      <c r="AJ520" s="1074"/>
      <c r="AK520" s="1074"/>
    </row>
    <row r="521">
      <c r="A521" s="1072"/>
      <c r="B521" s="1072"/>
      <c r="C521" s="1075"/>
      <c r="D521" s="1074"/>
      <c r="E521" s="1074"/>
      <c r="F521" s="1074"/>
      <c r="G521" s="1076"/>
      <c r="H521" s="1074"/>
      <c r="I521" s="1074"/>
      <c r="J521" s="1072"/>
      <c r="K521" s="1075"/>
      <c r="L521" s="1074"/>
      <c r="M521" s="1074"/>
      <c r="N521" s="1074"/>
      <c r="O521" s="1076"/>
      <c r="P521" s="1074"/>
      <c r="Q521" s="1074"/>
      <c r="R521" s="1072"/>
      <c r="S521" s="1073"/>
      <c r="T521" s="1074"/>
      <c r="U521" s="1074"/>
      <c r="V521" s="1074"/>
      <c r="W521" s="1074"/>
      <c r="X521" s="1074"/>
      <c r="Y521" s="1072"/>
      <c r="Z521" s="1073"/>
      <c r="AA521" s="1074"/>
      <c r="AB521" s="1074"/>
      <c r="AC521" s="1074"/>
      <c r="AD521" s="1074"/>
      <c r="AE521" s="1074"/>
      <c r="AF521" s="1072"/>
      <c r="AG521" s="1073"/>
      <c r="AH521" s="1074"/>
      <c r="AI521" s="1074"/>
      <c r="AJ521" s="1074"/>
      <c r="AK521" s="1074"/>
    </row>
    <row r="522">
      <c r="A522" s="1072"/>
      <c r="B522" s="1072"/>
      <c r="C522" s="1075"/>
      <c r="D522" s="1074"/>
      <c r="E522" s="1074"/>
      <c r="F522" s="1074"/>
      <c r="G522" s="1076"/>
      <c r="H522" s="1074"/>
      <c r="I522" s="1074"/>
      <c r="J522" s="1072"/>
      <c r="K522" s="1075"/>
      <c r="L522" s="1074"/>
      <c r="M522" s="1074"/>
      <c r="N522" s="1074"/>
      <c r="O522" s="1076"/>
      <c r="P522" s="1074"/>
      <c r="Q522" s="1074"/>
      <c r="R522" s="1072"/>
      <c r="S522" s="1073"/>
      <c r="T522" s="1074"/>
      <c r="U522" s="1074"/>
      <c r="V522" s="1074"/>
      <c r="W522" s="1074"/>
      <c r="X522" s="1074"/>
      <c r="Y522" s="1072"/>
      <c r="Z522" s="1073"/>
      <c r="AA522" s="1074"/>
      <c r="AB522" s="1074"/>
      <c r="AC522" s="1074"/>
      <c r="AD522" s="1074"/>
      <c r="AE522" s="1074"/>
      <c r="AF522" s="1072"/>
      <c r="AG522" s="1073"/>
      <c r="AH522" s="1074"/>
      <c r="AI522" s="1074"/>
      <c r="AJ522" s="1074"/>
      <c r="AK522" s="1074"/>
    </row>
    <row r="523">
      <c r="A523" s="1072"/>
      <c r="B523" s="1072"/>
      <c r="C523" s="1075"/>
      <c r="D523" s="1074"/>
      <c r="E523" s="1074"/>
      <c r="F523" s="1074"/>
      <c r="G523" s="1076"/>
      <c r="H523" s="1074"/>
      <c r="I523" s="1074"/>
      <c r="J523" s="1072"/>
      <c r="K523" s="1075"/>
      <c r="L523" s="1074"/>
      <c r="M523" s="1074"/>
      <c r="N523" s="1074"/>
      <c r="O523" s="1076"/>
      <c r="P523" s="1074"/>
      <c r="Q523" s="1074"/>
      <c r="R523" s="1072"/>
      <c r="S523" s="1073"/>
      <c r="T523" s="1074"/>
      <c r="U523" s="1074"/>
      <c r="V523" s="1074"/>
      <c r="W523" s="1074"/>
      <c r="X523" s="1074"/>
      <c r="Y523" s="1072"/>
      <c r="Z523" s="1073"/>
      <c r="AA523" s="1074"/>
      <c r="AB523" s="1074"/>
      <c r="AC523" s="1074"/>
      <c r="AD523" s="1074"/>
      <c r="AE523" s="1074"/>
      <c r="AF523" s="1072"/>
      <c r="AG523" s="1073"/>
      <c r="AH523" s="1074"/>
      <c r="AI523" s="1074"/>
      <c r="AJ523" s="1074"/>
      <c r="AK523" s="1074"/>
    </row>
    <row r="524">
      <c r="A524" s="1072"/>
      <c r="B524" s="1072"/>
      <c r="C524" s="1075"/>
      <c r="D524" s="1074"/>
      <c r="E524" s="1074"/>
      <c r="F524" s="1074"/>
      <c r="G524" s="1076"/>
      <c r="H524" s="1074"/>
      <c r="I524" s="1074"/>
      <c r="J524" s="1072"/>
      <c r="K524" s="1075"/>
      <c r="L524" s="1074"/>
      <c r="M524" s="1074"/>
      <c r="N524" s="1074"/>
      <c r="O524" s="1076"/>
      <c r="P524" s="1074"/>
      <c r="Q524" s="1074"/>
      <c r="R524" s="1072"/>
      <c r="S524" s="1073"/>
      <c r="T524" s="1074"/>
      <c r="U524" s="1074"/>
      <c r="V524" s="1074"/>
      <c r="W524" s="1074"/>
      <c r="X524" s="1074"/>
      <c r="Y524" s="1072"/>
      <c r="Z524" s="1073"/>
      <c r="AA524" s="1074"/>
      <c r="AB524" s="1074"/>
      <c r="AC524" s="1074"/>
      <c r="AD524" s="1074"/>
      <c r="AE524" s="1074"/>
      <c r="AF524" s="1072"/>
      <c r="AG524" s="1073"/>
      <c r="AH524" s="1074"/>
      <c r="AI524" s="1074"/>
      <c r="AJ524" s="1074"/>
      <c r="AK524" s="1074"/>
    </row>
    <row r="525">
      <c r="A525" s="1072"/>
      <c r="B525" s="1072"/>
      <c r="C525" s="1075"/>
      <c r="D525" s="1074"/>
      <c r="E525" s="1074"/>
      <c r="F525" s="1074"/>
      <c r="G525" s="1076"/>
      <c r="H525" s="1074"/>
      <c r="I525" s="1074"/>
      <c r="J525" s="1072"/>
      <c r="K525" s="1075"/>
      <c r="L525" s="1074"/>
      <c r="M525" s="1074"/>
      <c r="N525" s="1074"/>
      <c r="O525" s="1076"/>
      <c r="P525" s="1074"/>
      <c r="Q525" s="1074"/>
      <c r="R525" s="1072"/>
      <c r="S525" s="1073"/>
      <c r="T525" s="1074"/>
      <c r="U525" s="1074"/>
      <c r="V525" s="1074"/>
      <c r="W525" s="1074"/>
      <c r="X525" s="1074"/>
      <c r="Y525" s="1072"/>
      <c r="Z525" s="1073"/>
      <c r="AA525" s="1074"/>
      <c r="AB525" s="1074"/>
      <c r="AC525" s="1074"/>
      <c r="AD525" s="1074"/>
      <c r="AE525" s="1074"/>
      <c r="AF525" s="1072"/>
      <c r="AG525" s="1073"/>
      <c r="AH525" s="1074"/>
      <c r="AI525" s="1074"/>
      <c r="AJ525" s="1074"/>
      <c r="AK525" s="1074"/>
    </row>
    <row r="526">
      <c r="A526" s="1072"/>
      <c r="B526" s="1072"/>
      <c r="C526" s="1075"/>
      <c r="D526" s="1074"/>
      <c r="E526" s="1074"/>
      <c r="F526" s="1074"/>
      <c r="G526" s="1076"/>
      <c r="H526" s="1074"/>
      <c r="I526" s="1074"/>
      <c r="J526" s="1072"/>
      <c r="K526" s="1075"/>
      <c r="L526" s="1074"/>
      <c r="M526" s="1074"/>
      <c r="N526" s="1074"/>
      <c r="O526" s="1076"/>
      <c r="P526" s="1074"/>
      <c r="Q526" s="1074"/>
      <c r="R526" s="1072"/>
      <c r="S526" s="1073"/>
      <c r="T526" s="1074"/>
      <c r="U526" s="1074"/>
      <c r="V526" s="1074"/>
      <c r="W526" s="1074"/>
      <c r="X526" s="1074"/>
      <c r="Y526" s="1072"/>
      <c r="Z526" s="1073"/>
      <c r="AA526" s="1074"/>
      <c r="AB526" s="1074"/>
      <c r="AC526" s="1074"/>
      <c r="AD526" s="1074"/>
      <c r="AE526" s="1074"/>
      <c r="AF526" s="1072"/>
      <c r="AG526" s="1073"/>
      <c r="AH526" s="1074"/>
      <c r="AI526" s="1074"/>
      <c r="AJ526" s="1074"/>
      <c r="AK526" s="1074"/>
    </row>
    <row r="527">
      <c r="A527" s="1072"/>
      <c r="B527" s="1072"/>
      <c r="C527" s="1075"/>
      <c r="D527" s="1074"/>
      <c r="E527" s="1074"/>
      <c r="F527" s="1074"/>
      <c r="G527" s="1076"/>
      <c r="H527" s="1074"/>
      <c r="I527" s="1074"/>
      <c r="J527" s="1072"/>
      <c r="K527" s="1075"/>
      <c r="L527" s="1074"/>
      <c r="M527" s="1074"/>
      <c r="N527" s="1074"/>
      <c r="O527" s="1076"/>
      <c r="P527" s="1074"/>
      <c r="Q527" s="1074"/>
      <c r="R527" s="1072"/>
      <c r="S527" s="1073"/>
      <c r="T527" s="1074"/>
      <c r="U527" s="1074"/>
      <c r="V527" s="1074"/>
      <c r="W527" s="1074"/>
      <c r="X527" s="1074"/>
      <c r="Y527" s="1072"/>
      <c r="Z527" s="1073"/>
      <c r="AA527" s="1074"/>
      <c r="AB527" s="1074"/>
      <c r="AC527" s="1074"/>
      <c r="AD527" s="1074"/>
      <c r="AE527" s="1074"/>
      <c r="AF527" s="1072"/>
      <c r="AG527" s="1073"/>
      <c r="AH527" s="1074"/>
      <c r="AI527" s="1074"/>
      <c r="AJ527" s="1074"/>
      <c r="AK527" s="1074"/>
    </row>
    <row r="528">
      <c r="A528" s="1072"/>
      <c r="B528" s="1072"/>
      <c r="C528" s="1075"/>
      <c r="D528" s="1074"/>
      <c r="E528" s="1074"/>
      <c r="F528" s="1074"/>
      <c r="G528" s="1076"/>
      <c r="H528" s="1074"/>
      <c r="I528" s="1074"/>
      <c r="J528" s="1072"/>
      <c r="K528" s="1075"/>
      <c r="L528" s="1074"/>
      <c r="M528" s="1074"/>
      <c r="N528" s="1074"/>
      <c r="O528" s="1076"/>
      <c r="P528" s="1074"/>
      <c r="Q528" s="1074"/>
      <c r="R528" s="1072"/>
      <c r="S528" s="1073"/>
      <c r="T528" s="1074"/>
      <c r="U528" s="1074"/>
      <c r="V528" s="1074"/>
      <c r="W528" s="1074"/>
      <c r="X528" s="1074"/>
      <c r="Y528" s="1072"/>
      <c r="Z528" s="1073"/>
      <c r="AA528" s="1074"/>
      <c r="AB528" s="1074"/>
      <c r="AC528" s="1074"/>
      <c r="AD528" s="1074"/>
      <c r="AE528" s="1074"/>
      <c r="AF528" s="1072"/>
      <c r="AG528" s="1073"/>
      <c r="AH528" s="1074"/>
      <c r="AI528" s="1074"/>
      <c r="AJ528" s="1074"/>
      <c r="AK528" s="1074"/>
    </row>
    <row r="529">
      <c r="A529" s="1072"/>
      <c r="B529" s="1072"/>
      <c r="C529" s="1075"/>
      <c r="D529" s="1074"/>
      <c r="E529" s="1074"/>
      <c r="F529" s="1074"/>
      <c r="G529" s="1076"/>
      <c r="H529" s="1074"/>
      <c r="I529" s="1074"/>
      <c r="J529" s="1072"/>
      <c r="K529" s="1075"/>
      <c r="L529" s="1074"/>
      <c r="M529" s="1074"/>
      <c r="N529" s="1074"/>
      <c r="O529" s="1076"/>
      <c r="P529" s="1074"/>
      <c r="Q529" s="1074"/>
      <c r="R529" s="1072"/>
      <c r="S529" s="1073"/>
      <c r="T529" s="1074"/>
      <c r="U529" s="1074"/>
      <c r="V529" s="1074"/>
      <c r="W529" s="1074"/>
      <c r="X529" s="1074"/>
      <c r="Y529" s="1072"/>
      <c r="Z529" s="1073"/>
      <c r="AA529" s="1074"/>
      <c r="AB529" s="1074"/>
      <c r="AC529" s="1074"/>
      <c r="AD529" s="1074"/>
      <c r="AE529" s="1074"/>
      <c r="AF529" s="1072"/>
      <c r="AG529" s="1073"/>
      <c r="AH529" s="1074"/>
      <c r="AI529" s="1074"/>
      <c r="AJ529" s="1074"/>
      <c r="AK529" s="1074"/>
    </row>
    <row r="530">
      <c r="A530" s="1072"/>
      <c r="B530" s="1072"/>
      <c r="C530" s="1075"/>
      <c r="D530" s="1074"/>
      <c r="E530" s="1074"/>
      <c r="F530" s="1074"/>
      <c r="G530" s="1076"/>
      <c r="H530" s="1074"/>
      <c r="I530" s="1074"/>
      <c r="J530" s="1072"/>
      <c r="K530" s="1075"/>
      <c r="L530" s="1074"/>
      <c r="M530" s="1074"/>
      <c r="N530" s="1074"/>
      <c r="O530" s="1076"/>
      <c r="P530" s="1074"/>
      <c r="Q530" s="1074"/>
      <c r="R530" s="1072"/>
      <c r="S530" s="1073"/>
      <c r="T530" s="1074"/>
      <c r="U530" s="1074"/>
      <c r="V530" s="1074"/>
      <c r="W530" s="1074"/>
      <c r="X530" s="1074"/>
      <c r="Y530" s="1072"/>
      <c r="Z530" s="1073"/>
      <c r="AA530" s="1074"/>
      <c r="AB530" s="1074"/>
      <c r="AC530" s="1074"/>
      <c r="AD530" s="1074"/>
      <c r="AE530" s="1074"/>
      <c r="AF530" s="1072"/>
      <c r="AG530" s="1073"/>
      <c r="AH530" s="1074"/>
      <c r="AI530" s="1074"/>
      <c r="AJ530" s="1074"/>
      <c r="AK530" s="1074"/>
    </row>
    <row r="531">
      <c r="A531" s="1072"/>
      <c r="B531" s="1072"/>
      <c r="C531" s="1075"/>
      <c r="D531" s="1074"/>
      <c r="E531" s="1074"/>
      <c r="F531" s="1074"/>
      <c r="G531" s="1076"/>
      <c r="H531" s="1074"/>
      <c r="I531" s="1074"/>
      <c r="J531" s="1072"/>
      <c r="K531" s="1075"/>
      <c r="L531" s="1074"/>
      <c r="M531" s="1074"/>
      <c r="N531" s="1074"/>
      <c r="O531" s="1076"/>
      <c r="P531" s="1074"/>
      <c r="Q531" s="1074"/>
      <c r="R531" s="1072"/>
      <c r="S531" s="1073"/>
      <c r="T531" s="1074"/>
      <c r="U531" s="1074"/>
      <c r="V531" s="1074"/>
      <c r="W531" s="1074"/>
      <c r="X531" s="1074"/>
      <c r="Y531" s="1072"/>
      <c r="Z531" s="1073"/>
      <c r="AA531" s="1074"/>
      <c r="AB531" s="1074"/>
      <c r="AC531" s="1074"/>
      <c r="AD531" s="1074"/>
      <c r="AE531" s="1074"/>
      <c r="AF531" s="1072"/>
      <c r="AG531" s="1073"/>
      <c r="AH531" s="1074"/>
      <c r="AI531" s="1074"/>
      <c r="AJ531" s="1074"/>
      <c r="AK531" s="1074"/>
    </row>
    <row r="532">
      <c r="A532" s="1072"/>
      <c r="B532" s="1072"/>
      <c r="C532" s="1075"/>
      <c r="D532" s="1074"/>
      <c r="E532" s="1074"/>
      <c r="F532" s="1074"/>
      <c r="G532" s="1076"/>
      <c r="H532" s="1074"/>
      <c r="I532" s="1074"/>
      <c r="J532" s="1072"/>
      <c r="K532" s="1075"/>
      <c r="L532" s="1074"/>
      <c r="M532" s="1074"/>
      <c r="N532" s="1074"/>
      <c r="O532" s="1076"/>
      <c r="P532" s="1074"/>
      <c r="Q532" s="1074"/>
      <c r="R532" s="1072"/>
      <c r="S532" s="1073"/>
      <c r="T532" s="1074"/>
      <c r="U532" s="1074"/>
      <c r="V532" s="1074"/>
      <c r="W532" s="1074"/>
      <c r="X532" s="1074"/>
      <c r="Y532" s="1072"/>
      <c r="Z532" s="1073"/>
      <c r="AA532" s="1074"/>
      <c r="AB532" s="1074"/>
      <c r="AC532" s="1074"/>
      <c r="AD532" s="1074"/>
      <c r="AE532" s="1074"/>
      <c r="AF532" s="1072"/>
      <c r="AG532" s="1073"/>
      <c r="AH532" s="1074"/>
      <c r="AI532" s="1074"/>
      <c r="AJ532" s="1074"/>
      <c r="AK532" s="1074"/>
    </row>
    <row r="533">
      <c r="A533" s="1072"/>
      <c r="B533" s="1072"/>
      <c r="C533" s="1075"/>
      <c r="D533" s="1074"/>
      <c r="E533" s="1074"/>
      <c r="F533" s="1074"/>
      <c r="G533" s="1076"/>
      <c r="H533" s="1074"/>
      <c r="I533" s="1074"/>
      <c r="J533" s="1072"/>
      <c r="K533" s="1075"/>
      <c r="L533" s="1074"/>
      <c r="M533" s="1074"/>
      <c r="N533" s="1074"/>
      <c r="O533" s="1076"/>
      <c r="P533" s="1074"/>
      <c r="Q533" s="1074"/>
      <c r="R533" s="1072"/>
      <c r="S533" s="1073"/>
      <c r="T533" s="1074"/>
      <c r="U533" s="1074"/>
      <c r="V533" s="1074"/>
      <c r="W533" s="1074"/>
      <c r="X533" s="1074"/>
      <c r="Y533" s="1072"/>
      <c r="Z533" s="1073"/>
      <c r="AA533" s="1074"/>
      <c r="AB533" s="1074"/>
      <c r="AC533" s="1074"/>
      <c r="AD533" s="1074"/>
      <c r="AE533" s="1074"/>
      <c r="AF533" s="1072"/>
      <c r="AG533" s="1073"/>
      <c r="AH533" s="1074"/>
      <c r="AI533" s="1074"/>
      <c r="AJ533" s="1074"/>
      <c r="AK533" s="1074"/>
    </row>
    <row r="534">
      <c r="A534" s="1072"/>
      <c r="B534" s="1072"/>
      <c r="C534" s="1075"/>
      <c r="D534" s="1074"/>
      <c r="E534" s="1074"/>
      <c r="F534" s="1074"/>
      <c r="G534" s="1076"/>
      <c r="H534" s="1074"/>
      <c r="I534" s="1074"/>
      <c r="J534" s="1072"/>
      <c r="K534" s="1075"/>
      <c r="L534" s="1074"/>
      <c r="M534" s="1074"/>
      <c r="N534" s="1074"/>
      <c r="O534" s="1076"/>
      <c r="P534" s="1074"/>
      <c r="Q534" s="1074"/>
      <c r="R534" s="1072"/>
      <c r="S534" s="1073"/>
      <c r="T534" s="1074"/>
      <c r="U534" s="1074"/>
      <c r="V534" s="1074"/>
      <c r="W534" s="1074"/>
      <c r="X534" s="1074"/>
      <c r="Y534" s="1072"/>
      <c r="Z534" s="1073"/>
      <c r="AA534" s="1074"/>
      <c r="AB534" s="1074"/>
      <c r="AC534" s="1074"/>
      <c r="AD534" s="1074"/>
      <c r="AE534" s="1074"/>
      <c r="AF534" s="1072"/>
      <c r="AG534" s="1073"/>
      <c r="AH534" s="1074"/>
      <c r="AI534" s="1074"/>
      <c r="AJ534" s="1074"/>
      <c r="AK534" s="1074"/>
    </row>
    <row r="535">
      <c r="A535" s="1072"/>
      <c r="B535" s="1072"/>
      <c r="C535" s="1075"/>
      <c r="D535" s="1074"/>
      <c r="E535" s="1074"/>
      <c r="F535" s="1074"/>
      <c r="G535" s="1076"/>
      <c r="H535" s="1074"/>
      <c r="I535" s="1074"/>
      <c r="J535" s="1072"/>
      <c r="K535" s="1075"/>
      <c r="L535" s="1074"/>
      <c r="M535" s="1074"/>
      <c r="N535" s="1074"/>
      <c r="O535" s="1076"/>
      <c r="P535" s="1074"/>
      <c r="Q535" s="1074"/>
      <c r="R535" s="1072"/>
      <c r="S535" s="1073"/>
      <c r="T535" s="1074"/>
      <c r="U535" s="1074"/>
      <c r="V535" s="1074"/>
      <c r="W535" s="1074"/>
      <c r="X535" s="1074"/>
      <c r="Y535" s="1072"/>
      <c r="Z535" s="1073"/>
      <c r="AA535" s="1074"/>
      <c r="AB535" s="1074"/>
      <c r="AC535" s="1074"/>
      <c r="AD535" s="1074"/>
      <c r="AE535" s="1074"/>
      <c r="AF535" s="1072"/>
      <c r="AG535" s="1073"/>
      <c r="AH535" s="1074"/>
      <c r="AI535" s="1074"/>
      <c r="AJ535" s="1074"/>
      <c r="AK535" s="1074"/>
    </row>
    <row r="536">
      <c r="A536" s="1072"/>
      <c r="B536" s="1072"/>
      <c r="C536" s="1075"/>
      <c r="D536" s="1074"/>
      <c r="E536" s="1074"/>
      <c r="F536" s="1074"/>
      <c r="G536" s="1076"/>
      <c r="H536" s="1074"/>
      <c r="I536" s="1074"/>
      <c r="J536" s="1072"/>
      <c r="K536" s="1075"/>
      <c r="L536" s="1074"/>
      <c r="M536" s="1074"/>
      <c r="N536" s="1074"/>
      <c r="O536" s="1076"/>
      <c r="P536" s="1074"/>
      <c r="Q536" s="1074"/>
      <c r="R536" s="1072"/>
      <c r="S536" s="1073"/>
      <c r="T536" s="1074"/>
      <c r="U536" s="1074"/>
      <c r="V536" s="1074"/>
      <c r="W536" s="1074"/>
      <c r="X536" s="1074"/>
      <c r="Y536" s="1072"/>
      <c r="Z536" s="1073"/>
      <c r="AA536" s="1074"/>
      <c r="AB536" s="1074"/>
      <c r="AC536" s="1074"/>
      <c r="AD536" s="1074"/>
      <c r="AE536" s="1074"/>
      <c r="AF536" s="1072"/>
      <c r="AG536" s="1073"/>
      <c r="AH536" s="1074"/>
      <c r="AI536" s="1074"/>
      <c r="AJ536" s="1074"/>
      <c r="AK536" s="1074"/>
    </row>
    <row r="537">
      <c r="A537" s="1072"/>
      <c r="B537" s="1072"/>
      <c r="C537" s="1075"/>
      <c r="D537" s="1074"/>
      <c r="E537" s="1074"/>
      <c r="F537" s="1074"/>
      <c r="G537" s="1076"/>
      <c r="H537" s="1074"/>
      <c r="I537" s="1074"/>
      <c r="J537" s="1072"/>
      <c r="K537" s="1075"/>
      <c r="L537" s="1074"/>
      <c r="M537" s="1074"/>
      <c r="N537" s="1074"/>
      <c r="O537" s="1076"/>
      <c r="P537" s="1074"/>
      <c r="Q537" s="1074"/>
      <c r="R537" s="1072"/>
      <c r="S537" s="1073"/>
      <c r="T537" s="1074"/>
      <c r="U537" s="1074"/>
      <c r="V537" s="1074"/>
      <c r="W537" s="1074"/>
      <c r="X537" s="1074"/>
      <c r="Y537" s="1072"/>
      <c r="Z537" s="1073"/>
      <c r="AA537" s="1074"/>
      <c r="AB537" s="1074"/>
      <c r="AC537" s="1074"/>
      <c r="AD537" s="1074"/>
      <c r="AE537" s="1074"/>
      <c r="AF537" s="1072"/>
      <c r="AG537" s="1073"/>
      <c r="AH537" s="1074"/>
      <c r="AI537" s="1074"/>
      <c r="AJ537" s="1074"/>
      <c r="AK537" s="1074"/>
    </row>
    <row r="538">
      <c r="A538" s="1072"/>
      <c r="B538" s="1072"/>
      <c r="C538" s="1075"/>
      <c r="D538" s="1074"/>
      <c r="E538" s="1074"/>
      <c r="F538" s="1074"/>
      <c r="G538" s="1076"/>
      <c r="H538" s="1074"/>
      <c r="I538" s="1074"/>
      <c r="J538" s="1072"/>
      <c r="K538" s="1075"/>
      <c r="L538" s="1074"/>
      <c r="M538" s="1074"/>
      <c r="N538" s="1074"/>
      <c r="O538" s="1076"/>
      <c r="P538" s="1074"/>
      <c r="Q538" s="1074"/>
      <c r="R538" s="1072"/>
      <c r="S538" s="1073"/>
      <c r="T538" s="1074"/>
      <c r="U538" s="1074"/>
      <c r="V538" s="1074"/>
      <c r="W538" s="1074"/>
      <c r="X538" s="1074"/>
      <c r="Y538" s="1072"/>
      <c r="Z538" s="1073"/>
      <c r="AA538" s="1074"/>
      <c r="AB538" s="1074"/>
      <c r="AC538" s="1074"/>
      <c r="AD538" s="1074"/>
      <c r="AE538" s="1074"/>
      <c r="AF538" s="1072"/>
      <c r="AG538" s="1073"/>
      <c r="AH538" s="1074"/>
      <c r="AI538" s="1074"/>
      <c r="AJ538" s="1074"/>
      <c r="AK538" s="1074"/>
    </row>
    <row r="539">
      <c r="A539" s="1072"/>
      <c r="B539" s="1072"/>
      <c r="C539" s="1075"/>
      <c r="D539" s="1074"/>
      <c r="E539" s="1074"/>
      <c r="F539" s="1074"/>
      <c r="G539" s="1076"/>
      <c r="H539" s="1074"/>
      <c r="I539" s="1074"/>
      <c r="J539" s="1072"/>
      <c r="K539" s="1075"/>
      <c r="L539" s="1074"/>
      <c r="M539" s="1074"/>
      <c r="N539" s="1074"/>
      <c r="O539" s="1076"/>
      <c r="P539" s="1074"/>
      <c r="Q539" s="1074"/>
      <c r="R539" s="1072"/>
      <c r="S539" s="1073"/>
      <c r="T539" s="1074"/>
      <c r="U539" s="1074"/>
      <c r="V539" s="1074"/>
      <c r="W539" s="1074"/>
      <c r="X539" s="1074"/>
      <c r="Y539" s="1072"/>
      <c r="Z539" s="1073"/>
      <c r="AA539" s="1074"/>
      <c r="AB539" s="1074"/>
      <c r="AC539" s="1074"/>
      <c r="AD539" s="1074"/>
      <c r="AE539" s="1074"/>
      <c r="AF539" s="1072"/>
      <c r="AG539" s="1073"/>
      <c r="AH539" s="1074"/>
      <c r="AI539" s="1074"/>
      <c r="AJ539" s="1074"/>
      <c r="AK539" s="1074"/>
    </row>
    <row r="540">
      <c r="A540" s="1072"/>
      <c r="B540" s="1072"/>
      <c r="C540" s="1075"/>
      <c r="D540" s="1074"/>
      <c r="E540" s="1074"/>
      <c r="F540" s="1074"/>
      <c r="G540" s="1076"/>
      <c r="H540" s="1074"/>
      <c r="I540" s="1074"/>
      <c r="J540" s="1072"/>
      <c r="K540" s="1075"/>
      <c r="L540" s="1074"/>
      <c r="M540" s="1074"/>
      <c r="N540" s="1074"/>
      <c r="O540" s="1076"/>
      <c r="P540" s="1074"/>
      <c r="Q540" s="1074"/>
      <c r="R540" s="1072"/>
      <c r="S540" s="1073"/>
      <c r="T540" s="1074"/>
      <c r="U540" s="1074"/>
      <c r="V540" s="1074"/>
      <c r="W540" s="1074"/>
      <c r="X540" s="1074"/>
      <c r="Y540" s="1072"/>
      <c r="Z540" s="1073"/>
      <c r="AA540" s="1074"/>
      <c r="AB540" s="1074"/>
      <c r="AC540" s="1074"/>
      <c r="AD540" s="1074"/>
      <c r="AE540" s="1074"/>
      <c r="AF540" s="1072"/>
      <c r="AG540" s="1073"/>
      <c r="AH540" s="1074"/>
      <c r="AI540" s="1074"/>
      <c r="AJ540" s="1074"/>
      <c r="AK540" s="1074"/>
    </row>
    <row r="541">
      <c r="A541" s="1072"/>
      <c r="B541" s="1072"/>
      <c r="C541" s="1075"/>
      <c r="D541" s="1074"/>
      <c r="E541" s="1074"/>
      <c r="F541" s="1074"/>
      <c r="G541" s="1076"/>
      <c r="H541" s="1074"/>
      <c r="I541" s="1074"/>
      <c r="J541" s="1072"/>
      <c r="K541" s="1075"/>
      <c r="L541" s="1074"/>
      <c r="M541" s="1074"/>
      <c r="N541" s="1074"/>
      <c r="O541" s="1076"/>
      <c r="P541" s="1074"/>
      <c r="Q541" s="1074"/>
      <c r="R541" s="1072"/>
      <c r="S541" s="1073"/>
      <c r="T541" s="1074"/>
      <c r="U541" s="1074"/>
      <c r="V541" s="1074"/>
      <c r="W541" s="1074"/>
      <c r="X541" s="1074"/>
      <c r="Y541" s="1072"/>
      <c r="Z541" s="1073"/>
      <c r="AA541" s="1074"/>
      <c r="AB541" s="1074"/>
      <c r="AC541" s="1074"/>
      <c r="AD541" s="1074"/>
      <c r="AE541" s="1074"/>
      <c r="AF541" s="1072"/>
      <c r="AG541" s="1073"/>
      <c r="AH541" s="1074"/>
      <c r="AI541" s="1074"/>
      <c r="AJ541" s="1074"/>
      <c r="AK541" s="1074"/>
    </row>
    <row r="542">
      <c r="A542" s="1072"/>
      <c r="B542" s="1072"/>
      <c r="C542" s="1075"/>
      <c r="D542" s="1074"/>
      <c r="E542" s="1074"/>
      <c r="F542" s="1074"/>
      <c r="G542" s="1076"/>
      <c r="H542" s="1074"/>
      <c r="I542" s="1074"/>
      <c r="J542" s="1072"/>
      <c r="K542" s="1075"/>
      <c r="L542" s="1074"/>
      <c r="M542" s="1074"/>
      <c r="N542" s="1074"/>
      <c r="O542" s="1076"/>
      <c r="P542" s="1074"/>
      <c r="Q542" s="1074"/>
      <c r="R542" s="1072"/>
      <c r="S542" s="1073"/>
      <c r="T542" s="1074"/>
      <c r="U542" s="1074"/>
      <c r="V542" s="1074"/>
      <c r="W542" s="1074"/>
      <c r="X542" s="1074"/>
      <c r="Y542" s="1072"/>
      <c r="Z542" s="1073"/>
      <c r="AA542" s="1074"/>
      <c r="AB542" s="1074"/>
      <c r="AC542" s="1074"/>
      <c r="AD542" s="1074"/>
      <c r="AE542" s="1074"/>
      <c r="AF542" s="1072"/>
      <c r="AG542" s="1073"/>
      <c r="AH542" s="1074"/>
      <c r="AI542" s="1074"/>
      <c r="AJ542" s="1074"/>
      <c r="AK542" s="1074"/>
    </row>
    <row r="543">
      <c r="A543" s="1072"/>
      <c r="B543" s="1072"/>
      <c r="C543" s="1075"/>
      <c r="D543" s="1074"/>
      <c r="E543" s="1074"/>
      <c r="F543" s="1074"/>
      <c r="G543" s="1076"/>
      <c r="H543" s="1074"/>
      <c r="I543" s="1074"/>
      <c r="J543" s="1072"/>
      <c r="K543" s="1075"/>
      <c r="L543" s="1074"/>
      <c r="M543" s="1074"/>
      <c r="N543" s="1074"/>
      <c r="O543" s="1076"/>
      <c r="P543" s="1074"/>
      <c r="Q543" s="1074"/>
      <c r="R543" s="1072"/>
      <c r="S543" s="1073"/>
      <c r="T543" s="1074"/>
      <c r="U543" s="1074"/>
      <c r="V543" s="1074"/>
      <c r="W543" s="1074"/>
      <c r="X543" s="1074"/>
      <c r="Y543" s="1072"/>
      <c r="Z543" s="1073"/>
      <c r="AA543" s="1074"/>
      <c r="AB543" s="1074"/>
      <c r="AC543" s="1074"/>
      <c r="AD543" s="1074"/>
      <c r="AE543" s="1074"/>
      <c r="AF543" s="1072"/>
      <c r="AG543" s="1073"/>
      <c r="AH543" s="1074"/>
      <c r="AI543" s="1074"/>
      <c r="AJ543" s="1074"/>
      <c r="AK543" s="1074"/>
    </row>
    <row r="544">
      <c r="A544" s="1072"/>
      <c r="B544" s="1072"/>
      <c r="C544" s="1075"/>
      <c r="D544" s="1074"/>
      <c r="E544" s="1074"/>
      <c r="F544" s="1074"/>
      <c r="G544" s="1076"/>
      <c r="H544" s="1074"/>
      <c r="I544" s="1074"/>
      <c r="J544" s="1072"/>
      <c r="K544" s="1075"/>
      <c r="L544" s="1074"/>
      <c r="M544" s="1074"/>
      <c r="N544" s="1074"/>
      <c r="O544" s="1076"/>
      <c r="P544" s="1074"/>
      <c r="Q544" s="1074"/>
      <c r="R544" s="1072"/>
      <c r="S544" s="1073"/>
      <c r="T544" s="1074"/>
      <c r="U544" s="1074"/>
      <c r="V544" s="1074"/>
      <c r="W544" s="1074"/>
      <c r="X544" s="1074"/>
      <c r="Y544" s="1072"/>
      <c r="Z544" s="1073"/>
      <c r="AA544" s="1074"/>
      <c r="AB544" s="1074"/>
      <c r="AC544" s="1074"/>
      <c r="AD544" s="1074"/>
      <c r="AE544" s="1074"/>
      <c r="AF544" s="1072"/>
      <c r="AG544" s="1073"/>
      <c r="AH544" s="1074"/>
      <c r="AI544" s="1074"/>
      <c r="AJ544" s="1074"/>
      <c r="AK544" s="1074"/>
    </row>
    <row r="545">
      <c r="A545" s="1072"/>
      <c r="B545" s="1072"/>
      <c r="C545" s="1075"/>
      <c r="D545" s="1074"/>
      <c r="E545" s="1074"/>
      <c r="F545" s="1074"/>
      <c r="G545" s="1076"/>
      <c r="H545" s="1074"/>
      <c r="I545" s="1074"/>
      <c r="J545" s="1072"/>
      <c r="K545" s="1075"/>
      <c r="L545" s="1074"/>
      <c r="M545" s="1074"/>
      <c r="N545" s="1074"/>
      <c r="O545" s="1076"/>
      <c r="P545" s="1074"/>
      <c r="Q545" s="1074"/>
      <c r="R545" s="1072"/>
      <c r="S545" s="1073"/>
      <c r="T545" s="1074"/>
      <c r="U545" s="1074"/>
      <c r="V545" s="1074"/>
      <c r="W545" s="1074"/>
      <c r="X545" s="1074"/>
      <c r="Y545" s="1072"/>
      <c r="Z545" s="1073"/>
      <c r="AA545" s="1074"/>
      <c r="AB545" s="1074"/>
      <c r="AC545" s="1074"/>
      <c r="AD545" s="1074"/>
      <c r="AE545" s="1074"/>
      <c r="AF545" s="1072"/>
      <c r="AG545" s="1073"/>
      <c r="AH545" s="1074"/>
      <c r="AI545" s="1074"/>
      <c r="AJ545" s="1074"/>
      <c r="AK545" s="1074"/>
    </row>
    <row r="546">
      <c r="A546" s="1072"/>
      <c r="B546" s="1072"/>
      <c r="C546" s="1075"/>
      <c r="D546" s="1074"/>
      <c r="E546" s="1074"/>
      <c r="F546" s="1074"/>
      <c r="G546" s="1076"/>
      <c r="H546" s="1074"/>
      <c r="I546" s="1074"/>
      <c r="J546" s="1072"/>
      <c r="K546" s="1075"/>
      <c r="L546" s="1074"/>
      <c r="M546" s="1074"/>
      <c r="N546" s="1074"/>
      <c r="O546" s="1076"/>
      <c r="P546" s="1074"/>
      <c r="Q546" s="1074"/>
      <c r="R546" s="1072"/>
      <c r="S546" s="1073"/>
      <c r="T546" s="1074"/>
      <c r="U546" s="1074"/>
      <c r="V546" s="1074"/>
      <c r="W546" s="1074"/>
      <c r="X546" s="1074"/>
      <c r="Y546" s="1072"/>
      <c r="Z546" s="1073"/>
      <c r="AA546" s="1074"/>
      <c r="AB546" s="1074"/>
      <c r="AC546" s="1074"/>
      <c r="AD546" s="1074"/>
      <c r="AE546" s="1074"/>
      <c r="AF546" s="1072"/>
      <c r="AG546" s="1073"/>
      <c r="AH546" s="1074"/>
      <c r="AI546" s="1074"/>
      <c r="AJ546" s="1074"/>
      <c r="AK546" s="1074"/>
    </row>
    <row r="547">
      <c r="A547" s="1072"/>
      <c r="B547" s="1072"/>
      <c r="C547" s="1075"/>
      <c r="D547" s="1074"/>
      <c r="E547" s="1074"/>
      <c r="F547" s="1074"/>
      <c r="G547" s="1076"/>
      <c r="H547" s="1074"/>
      <c r="I547" s="1074"/>
      <c r="J547" s="1072"/>
      <c r="K547" s="1075"/>
      <c r="L547" s="1074"/>
      <c r="M547" s="1074"/>
      <c r="N547" s="1074"/>
      <c r="O547" s="1076"/>
      <c r="P547" s="1074"/>
      <c r="Q547" s="1074"/>
      <c r="R547" s="1072"/>
      <c r="S547" s="1073"/>
      <c r="T547" s="1074"/>
      <c r="U547" s="1074"/>
      <c r="V547" s="1074"/>
      <c r="W547" s="1074"/>
      <c r="X547" s="1074"/>
      <c r="Y547" s="1072"/>
      <c r="Z547" s="1073"/>
      <c r="AA547" s="1074"/>
      <c r="AB547" s="1074"/>
      <c r="AC547" s="1074"/>
      <c r="AD547" s="1074"/>
      <c r="AE547" s="1074"/>
      <c r="AF547" s="1072"/>
      <c r="AG547" s="1073"/>
      <c r="AH547" s="1074"/>
      <c r="AI547" s="1074"/>
      <c r="AJ547" s="1074"/>
      <c r="AK547" s="1074"/>
    </row>
    <row r="548">
      <c r="A548" s="1072"/>
      <c r="B548" s="1072"/>
      <c r="C548" s="1075"/>
      <c r="D548" s="1074"/>
      <c r="E548" s="1074"/>
      <c r="F548" s="1074"/>
      <c r="G548" s="1076"/>
      <c r="H548" s="1074"/>
      <c r="I548" s="1074"/>
      <c r="J548" s="1072"/>
      <c r="K548" s="1075"/>
      <c r="L548" s="1074"/>
      <c r="M548" s="1074"/>
      <c r="N548" s="1074"/>
      <c r="O548" s="1076"/>
      <c r="P548" s="1074"/>
      <c r="Q548" s="1074"/>
      <c r="R548" s="1072"/>
      <c r="S548" s="1073"/>
      <c r="T548" s="1074"/>
      <c r="U548" s="1074"/>
      <c r="V548" s="1074"/>
      <c r="W548" s="1074"/>
      <c r="X548" s="1074"/>
      <c r="Y548" s="1072"/>
      <c r="Z548" s="1073"/>
      <c r="AA548" s="1074"/>
      <c r="AB548" s="1074"/>
      <c r="AC548" s="1074"/>
      <c r="AD548" s="1074"/>
      <c r="AE548" s="1074"/>
      <c r="AF548" s="1072"/>
      <c r="AG548" s="1073"/>
      <c r="AH548" s="1074"/>
      <c r="AI548" s="1074"/>
      <c r="AJ548" s="1074"/>
      <c r="AK548" s="1074"/>
    </row>
    <row r="549">
      <c r="A549" s="1072"/>
      <c r="B549" s="1072"/>
      <c r="C549" s="1075"/>
      <c r="D549" s="1074"/>
      <c r="E549" s="1074"/>
      <c r="F549" s="1074"/>
      <c r="G549" s="1076"/>
      <c r="H549" s="1074"/>
      <c r="I549" s="1074"/>
      <c r="J549" s="1072"/>
      <c r="K549" s="1075"/>
      <c r="L549" s="1074"/>
      <c r="M549" s="1074"/>
      <c r="N549" s="1074"/>
      <c r="O549" s="1076"/>
      <c r="P549" s="1074"/>
      <c r="Q549" s="1074"/>
      <c r="R549" s="1072"/>
      <c r="S549" s="1073"/>
      <c r="T549" s="1074"/>
      <c r="U549" s="1074"/>
      <c r="V549" s="1074"/>
      <c r="W549" s="1074"/>
      <c r="X549" s="1074"/>
      <c r="Y549" s="1072"/>
      <c r="Z549" s="1073"/>
      <c r="AA549" s="1074"/>
      <c r="AB549" s="1074"/>
      <c r="AC549" s="1074"/>
      <c r="AD549" s="1074"/>
      <c r="AE549" s="1074"/>
      <c r="AF549" s="1072"/>
      <c r="AG549" s="1073"/>
      <c r="AH549" s="1074"/>
      <c r="AI549" s="1074"/>
      <c r="AJ549" s="1074"/>
      <c r="AK549" s="1074"/>
    </row>
    <row r="550">
      <c r="A550" s="1072"/>
      <c r="B550" s="1072"/>
      <c r="C550" s="1075"/>
      <c r="D550" s="1074"/>
      <c r="E550" s="1074"/>
      <c r="F550" s="1074"/>
      <c r="G550" s="1076"/>
      <c r="H550" s="1074"/>
      <c r="I550" s="1074"/>
      <c r="J550" s="1072"/>
      <c r="K550" s="1075"/>
      <c r="L550" s="1074"/>
      <c r="M550" s="1074"/>
      <c r="N550" s="1074"/>
      <c r="O550" s="1076"/>
      <c r="P550" s="1074"/>
      <c r="Q550" s="1074"/>
      <c r="R550" s="1072"/>
      <c r="S550" s="1073"/>
      <c r="T550" s="1074"/>
      <c r="U550" s="1074"/>
      <c r="V550" s="1074"/>
      <c r="W550" s="1074"/>
      <c r="X550" s="1074"/>
      <c r="Y550" s="1072"/>
      <c r="Z550" s="1073"/>
      <c r="AA550" s="1074"/>
      <c r="AB550" s="1074"/>
      <c r="AC550" s="1074"/>
      <c r="AD550" s="1074"/>
      <c r="AE550" s="1074"/>
      <c r="AF550" s="1072"/>
      <c r="AG550" s="1073"/>
      <c r="AH550" s="1074"/>
      <c r="AI550" s="1074"/>
      <c r="AJ550" s="1074"/>
      <c r="AK550" s="1074"/>
    </row>
    <row r="551">
      <c r="A551" s="1072"/>
      <c r="B551" s="1072"/>
      <c r="C551" s="1075"/>
      <c r="D551" s="1074"/>
      <c r="E551" s="1074"/>
      <c r="F551" s="1074"/>
      <c r="G551" s="1076"/>
      <c r="H551" s="1074"/>
      <c r="I551" s="1074"/>
      <c r="J551" s="1072"/>
      <c r="K551" s="1075"/>
      <c r="L551" s="1074"/>
      <c r="M551" s="1074"/>
      <c r="N551" s="1074"/>
      <c r="O551" s="1076"/>
      <c r="P551" s="1074"/>
      <c r="Q551" s="1074"/>
      <c r="R551" s="1072"/>
      <c r="S551" s="1073"/>
      <c r="T551" s="1074"/>
      <c r="U551" s="1074"/>
      <c r="V551" s="1074"/>
      <c r="W551" s="1074"/>
      <c r="X551" s="1074"/>
      <c r="Y551" s="1072"/>
      <c r="Z551" s="1073"/>
      <c r="AA551" s="1074"/>
      <c r="AB551" s="1074"/>
      <c r="AC551" s="1074"/>
      <c r="AD551" s="1074"/>
      <c r="AE551" s="1074"/>
      <c r="AF551" s="1072"/>
      <c r="AG551" s="1073"/>
      <c r="AH551" s="1074"/>
      <c r="AI551" s="1074"/>
      <c r="AJ551" s="1074"/>
      <c r="AK551" s="1074"/>
    </row>
    <row r="552">
      <c r="A552" s="1072"/>
      <c r="B552" s="1072"/>
      <c r="C552" s="1075"/>
      <c r="D552" s="1074"/>
      <c r="E552" s="1074"/>
      <c r="F552" s="1074"/>
      <c r="G552" s="1076"/>
      <c r="H552" s="1074"/>
      <c r="I552" s="1074"/>
      <c r="J552" s="1072"/>
      <c r="K552" s="1075"/>
      <c r="L552" s="1074"/>
      <c r="M552" s="1074"/>
      <c r="N552" s="1074"/>
      <c r="O552" s="1076"/>
      <c r="P552" s="1074"/>
      <c r="Q552" s="1074"/>
      <c r="R552" s="1072"/>
      <c r="S552" s="1073"/>
      <c r="T552" s="1074"/>
      <c r="U552" s="1074"/>
      <c r="V552" s="1074"/>
      <c r="W552" s="1074"/>
      <c r="X552" s="1074"/>
      <c r="Y552" s="1072"/>
      <c r="Z552" s="1073"/>
      <c r="AA552" s="1074"/>
      <c r="AB552" s="1074"/>
      <c r="AC552" s="1074"/>
      <c r="AD552" s="1074"/>
      <c r="AE552" s="1074"/>
      <c r="AF552" s="1072"/>
      <c r="AG552" s="1073"/>
      <c r="AH552" s="1074"/>
      <c r="AI552" s="1074"/>
      <c r="AJ552" s="1074"/>
      <c r="AK552" s="1074"/>
    </row>
    <row r="553">
      <c r="A553" s="1072"/>
      <c r="B553" s="1072"/>
      <c r="C553" s="1075"/>
      <c r="D553" s="1074"/>
      <c r="E553" s="1074"/>
      <c r="F553" s="1074"/>
      <c r="G553" s="1076"/>
      <c r="H553" s="1074"/>
      <c r="I553" s="1074"/>
      <c r="J553" s="1072"/>
      <c r="K553" s="1075"/>
      <c r="L553" s="1074"/>
      <c r="M553" s="1074"/>
      <c r="N553" s="1074"/>
      <c r="O553" s="1076"/>
      <c r="P553" s="1074"/>
      <c r="Q553" s="1074"/>
      <c r="R553" s="1072"/>
      <c r="S553" s="1073"/>
      <c r="T553" s="1074"/>
      <c r="U553" s="1074"/>
      <c r="V553" s="1074"/>
      <c r="W553" s="1074"/>
      <c r="X553" s="1074"/>
      <c r="Y553" s="1072"/>
      <c r="Z553" s="1073"/>
      <c r="AA553" s="1074"/>
      <c r="AB553" s="1074"/>
      <c r="AC553" s="1074"/>
      <c r="AD553" s="1074"/>
      <c r="AE553" s="1074"/>
      <c r="AF553" s="1072"/>
      <c r="AG553" s="1073"/>
      <c r="AH553" s="1074"/>
      <c r="AI553" s="1074"/>
      <c r="AJ553" s="1074"/>
      <c r="AK553" s="1074"/>
    </row>
    <row r="554">
      <c r="A554" s="1072"/>
      <c r="B554" s="1072"/>
      <c r="C554" s="1075"/>
      <c r="D554" s="1074"/>
      <c r="E554" s="1074"/>
      <c r="F554" s="1074"/>
      <c r="G554" s="1076"/>
      <c r="H554" s="1074"/>
      <c r="I554" s="1074"/>
      <c r="J554" s="1072"/>
      <c r="K554" s="1075"/>
      <c r="L554" s="1074"/>
      <c r="M554" s="1074"/>
      <c r="N554" s="1074"/>
      <c r="O554" s="1076"/>
      <c r="P554" s="1074"/>
      <c r="Q554" s="1074"/>
      <c r="R554" s="1072"/>
      <c r="S554" s="1073"/>
      <c r="T554" s="1074"/>
      <c r="U554" s="1074"/>
      <c r="V554" s="1074"/>
      <c r="W554" s="1074"/>
      <c r="X554" s="1074"/>
      <c r="Y554" s="1072"/>
      <c r="Z554" s="1073"/>
      <c r="AA554" s="1074"/>
      <c r="AB554" s="1074"/>
      <c r="AC554" s="1074"/>
      <c r="AD554" s="1074"/>
      <c r="AE554" s="1074"/>
      <c r="AF554" s="1072"/>
      <c r="AG554" s="1073"/>
      <c r="AH554" s="1074"/>
      <c r="AI554" s="1074"/>
      <c r="AJ554" s="1074"/>
      <c r="AK554" s="1074"/>
    </row>
    <row r="555">
      <c r="A555" s="1072"/>
      <c r="B555" s="1072"/>
      <c r="C555" s="1075"/>
      <c r="D555" s="1074"/>
      <c r="E555" s="1074"/>
      <c r="F555" s="1074"/>
      <c r="G555" s="1076"/>
      <c r="H555" s="1074"/>
      <c r="I555" s="1074"/>
      <c r="J555" s="1072"/>
      <c r="K555" s="1075"/>
      <c r="L555" s="1074"/>
      <c r="M555" s="1074"/>
      <c r="N555" s="1074"/>
      <c r="O555" s="1076"/>
      <c r="P555" s="1074"/>
      <c r="Q555" s="1074"/>
      <c r="R555" s="1072"/>
      <c r="S555" s="1073"/>
      <c r="T555" s="1074"/>
      <c r="U555" s="1074"/>
      <c r="V555" s="1074"/>
      <c r="W555" s="1074"/>
      <c r="X555" s="1074"/>
      <c r="Y555" s="1072"/>
      <c r="Z555" s="1073"/>
      <c r="AA555" s="1074"/>
      <c r="AB555" s="1074"/>
      <c r="AC555" s="1074"/>
      <c r="AD555" s="1074"/>
      <c r="AE555" s="1074"/>
      <c r="AF555" s="1072"/>
      <c r="AG555" s="1073"/>
      <c r="AH555" s="1074"/>
      <c r="AI555" s="1074"/>
      <c r="AJ555" s="1074"/>
      <c r="AK555" s="1074"/>
    </row>
    <row r="556">
      <c r="A556" s="1072"/>
      <c r="B556" s="1072"/>
      <c r="C556" s="1075"/>
      <c r="D556" s="1074"/>
      <c r="E556" s="1074"/>
      <c r="F556" s="1074"/>
      <c r="G556" s="1076"/>
      <c r="H556" s="1074"/>
      <c r="I556" s="1074"/>
      <c r="J556" s="1072"/>
      <c r="K556" s="1075"/>
      <c r="L556" s="1074"/>
      <c r="M556" s="1074"/>
      <c r="N556" s="1074"/>
      <c r="O556" s="1076"/>
      <c r="P556" s="1074"/>
      <c r="Q556" s="1074"/>
      <c r="R556" s="1072"/>
      <c r="S556" s="1073"/>
      <c r="T556" s="1074"/>
      <c r="U556" s="1074"/>
      <c r="V556" s="1074"/>
      <c r="W556" s="1074"/>
      <c r="X556" s="1074"/>
      <c r="Y556" s="1072"/>
      <c r="Z556" s="1073"/>
      <c r="AA556" s="1074"/>
      <c r="AB556" s="1074"/>
      <c r="AC556" s="1074"/>
      <c r="AD556" s="1074"/>
      <c r="AE556" s="1074"/>
      <c r="AF556" s="1072"/>
      <c r="AG556" s="1073"/>
      <c r="AH556" s="1074"/>
      <c r="AI556" s="1074"/>
      <c r="AJ556" s="1074"/>
      <c r="AK556" s="1074"/>
    </row>
    <row r="557">
      <c r="A557" s="1072"/>
      <c r="B557" s="1072"/>
      <c r="C557" s="1075"/>
      <c r="D557" s="1074"/>
      <c r="E557" s="1074"/>
      <c r="F557" s="1074"/>
      <c r="G557" s="1076"/>
      <c r="H557" s="1074"/>
      <c r="I557" s="1074"/>
      <c r="J557" s="1072"/>
      <c r="K557" s="1075"/>
      <c r="L557" s="1074"/>
      <c r="M557" s="1074"/>
      <c r="N557" s="1074"/>
      <c r="O557" s="1076"/>
      <c r="P557" s="1074"/>
      <c r="Q557" s="1074"/>
      <c r="R557" s="1072"/>
      <c r="S557" s="1073"/>
      <c r="T557" s="1074"/>
      <c r="U557" s="1074"/>
      <c r="V557" s="1074"/>
      <c r="W557" s="1074"/>
      <c r="X557" s="1074"/>
      <c r="Y557" s="1072"/>
      <c r="Z557" s="1073"/>
      <c r="AA557" s="1074"/>
      <c r="AB557" s="1074"/>
      <c r="AC557" s="1074"/>
      <c r="AD557" s="1074"/>
      <c r="AE557" s="1074"/>
      <c r="AF557" s="1072"/>
      <c r="AG557" s="1073"/>
      <c r="AH557" s="1074"/>
      <c r="AI557" s="1074"/>
      <c r="AJ557" s="1074"/>
      <c r="AK557" s="1074"/>
    </row>
    <row r="558">
      <c r="A558" s="1072"/>
      <c r="B558" s="1072"/>
      <c r="C558" s="1075"/>
      <c r="D558" s="1074"/>
      <c r="E558" s="1074"/>
      <c r="F558" s="1074"/>
      <c r="G558" s="1076"/>
      <c r="H558" s="1074"/>
      <c r="I558" s="1074"/>
      <c r="J558" s="1072"/>
      <c r="K558" s="1075"/>
      <c r="L558" s="1074"/>
      <c r="M558" s="1074"/>
      <c r="N558" s="1074"/>
      <c r="O558" s="1076"/>
      <c r="P558" s="1074"/>
      <c r="Q558" s="1074"/>
      <c r="R558" s="1072"/>
      <c r="S558" s="1073"/>
      <c r="T558" s="1074"/>
      <c r="U558" s="1074"/>
      <c r="V558" s="1074"/>
      <c r="W558" s="1074"/>
      <c r="X558" s="1074"/>
      <c r="Y558" s="1072"/>
      <c r="Z558" s="1073"/>
      <c r="AA558" s="1074"/>
      <c r="AB558" s="1074"/>
      <c r="AC558" s="1074"/>
      <c r="AD558" s="1074"/>
      <c r="AE558" s="1074"/>
      <c r="AF558" s="1072"/>
      <c r="AG558" s="1073"/>
      <c r="AH558" s="1074"/>
      <c r="AI558" s="1074"/>
      <c r="AJ558" s="1074"/>
      <c r="AK558" s="1074"/>
    </row>
    <row r="559">
      <c r="A559" s="1072"/>
      <c r="B559" s="1072"/>
      <c r="C559" s="1075"/>
      <c r="D559" s="1074"/>
      <c r="E559" s="1074"/>
      <c r="F559" s="1074"/>
      <c r="G559" s="1076"/>
      <c r="H559" s="1074"/>
      <c r="I559" s="1074"/>
      <c r="J559" s="1072"/>
      <c r="K559" s="1075"/>
      <c r="L559" s="1074"/>
      <c r="M559" s="1074"/>
      <c r="N559" s="1074"/>
      <c r="O559" s="1076"/>
      <c r="P559" s="1074"/>
      <c r="Q559" s="1074"/>
      <c r="R559" s="1072"/>
      <c r="S559" s="1073"/>
      <c r="T559" s="1074"/>
      <c r="U559" s="1074"/>
      <c r="V559" s="1074"/>
      <c r="W559" s="1074"/>
      <c r="X559" s="1074"/>
      <c r="Y559" s="1072"/>
      <c r="Z559" s="1073"/>
      <c r="AA559" s="1074"/>
      <c r="AB559" s="1074"/>
      <c r="AC559" s="1074"/>
      <c r="AD559" s="1074"/>
      <c r="AE559" s="1074"/>
      <c r="AF559" s="1072"/>
      <c r="AG559" s="1073"/>
      <c r="AH559" s="1074"/>
      <c r="AI559" s="1074"/>
      <c r="AJ559" s="1074"/>
      <c r="AK559" s="1074"/>
    </row>
    <row r="560">
      <c r="A560" s="1072"/>
      <c r="B560" s="1072"/>
      <c r="C560" s="1075"/>
      <c r="D560" s="1074"/>
      <c r="E560" s="1074"/>
      <c r="F560" s="1074"/>
      <c r="G560" s="1076"/>
      <c r="H560" s="1074"/>
      <c r="I560" s="1074"/>
      <c r="J560" s="1072"/>
      <c r="K560" s="1075"/>
      <c r="L560" s="1074"/>
      <c r="M560" s="1074"/>
      <c r="N560" s="1074"/>
      <c r="O560" s="1076"/>
      <c r="P560" s="1074"/>
      <c r="Q560" s="1074"/>
      <c r="R560" s="1072"/>
      <c r="S560" s="1073"/>
      <c r="T560" s="1074"/>
      <c r="U560" s="1074"/>
      <c r="V560" s="1074"/>
      <c r="W560" s="1074"/>
      <c r="X560" s="1074"/>
      <c r="Y560" s="1072"/>
      <c r="Z560" s="1073"/>
      <c r="AA560" s="1074"/>
      <c r="AB560" s="1074"/>
      <c r="AC560" s="1074"/>
      <c r="AD560" s="1074"/>
      <c r="AE560" s="1074"/>
      <c r="AF560" s="1072"/>
      <c r="AG560" s="1073"/>
      <c r="AH560" s="1074"/>
      <c r="AI560" s="1074"/>
      <c r="AJ560" s="1074"/>
      <c r="AK560" s="1074"/>
    </row>
    <row r="561">
      <c r="A561" s="1072"/>
      <c r="B561" s="1072"/>
      <c r="C561" s="1075"/>
      <c r="D561" s="1074"/>
      <c r="E561" s="1074"/>
      <c r="F561" s="1074"/>
      <c r="G561" s="1076"/>
      <c r="H561" s="1074"/>
      <c r="I561" s="1074"/>
      <c r="J561" s="1072"/>
      <c r="K561" s="1075"/>
      <c r="L561" s="1074"/>
      <c r="M561" s="1074"/>
      <c r="N561" s="1074"/>
      <c r="O561" s="1076"/>
      <c r="P561" s="1074"/>
      <c r="Q561" s="1074"/>
      <c r="R561" s="1072"/>
      <c r="S561" s="1073"/>
      <c r="T561" s="1074"/>
      <c r="U561" s="1074"/>
      <c r="V561" s="1074"/>
      <c r="W561" s="1074"/>
      <c r="X561" s="1074"/>
      <c r="Y561" s="1072"/>
      <c r="Z561" s="1073"/>
      <c r="AA561" s="1074"/>
      <c r="AB561" s="1074"/>
      <c r="AC561" s="1074"/>
      <c r="AD561" s="1074"/>
      <c r="AE561" s="1074"/>
      <c r="AF561" s="1072"/>
      <c r="AG561" s="1073"/>
      <c r="AH561" s="1074"/>
      <c r="AI561" s="1074"/>
      <c r="AJ561" s="1074"/>
      <c r="AK561" s="1074"/>
    </row>
    <row r="562">
      <c r="A562" s="1072"/>
      <c r="B562" s="1072"/>
      <c r="C562" s="1075"/>
      <c r="D562" s="1074"/>
      <c r="E562" s="1074"/>
      <c r="F562" s="1074"/>
      <c r="G562" s="1076"/>
      <c r="H562" s="1074"/>
      <c r="I562" s="1074"/>
      <c r="J562" s="1072"/>
      <c r="K562" s="1075"/>
      <c r="L562" s="1074"/>
      <c r="M562" s="1074"/>
      <c r="N562" s="1074"/>
      <c r="O562" s="1076"/>
      <c r="P562" s="1074"/>
      <c r="Q562" s="1074"/>
      <c r="R562" s="1072"/>
      <c r="S562" s="1073"/>
      <c r="T562" s="1074"/>
      <c r="U562" s="1074"/>
      <c r="V562" s="1074"/>
      <c r="W562" s="1074"/>
      <c r="X562" s="1074"/>
      <c r="Y562" s="1072"/>
      <c r="Z562" s="1073"/>
      <c r="AA562" s="1074"/>
      <c r="AB562" s="1074"/>
      <c r="AC562" s="1074"/>
      <c r="AD562" s="1074"/>
      <c r="AE562" s="1074"/>
      <c r="AF562" s="1072"/>
      <c r="AG562" s="1073"/>
      <c r="AH562" s="1074"/>
      <c r="AI562" s="1074"/>
      <c r="AJ562" s="1074"/>
      <c r="AK562" s="1074"/>
    </row>
    <row r="563">
      <c r="A563" s="1072"/>
      <c r="B563" s="1072"/>
      <c r="C563" s="1075"/>
      <c r="D563" s="1074"/>
      <c r="E563" s="1074"/>
      <c r="F563" s="1074"/>
      <c r="G563" s="1076"/>
      <c r="H563" s="1074"/>
      <c r="I563" s="1074"/>
      <c r="J563" s="1072"/>
      <c r="K563" s="1075"/>
      <c r="L563" s="1074"/>
      <c r="M563" s="1074"/>
      <c r="N563" s="1074"/>
      <c r="O563" s="1076"/>
      <c r="P563" s="1074"/>
      <c r="Q563" s="1074"/>
      <c r="R563" s="1072"/>
      <c r="S563" s="1073"/>
      <c r="T563" s="1074"/>
      <c r="U563" s="1074"/>
      <c r="V563" s="1074"/>
      <c r="W563" s="1074"/>
      <c r="X563" s="1074"/>
      <c r="Y563" s="1072"/>
      <c r="Z563" s="1073"/>
      <c r="AA563" s="1074"/>
      <c r="AB563" s="1074"/>
      <c r="AC563" s="1074"/>
      <c r="AD563" s="1074"/>
      <c r="AE563" s="1074"/>
      <c r="AF563" s="1072"/>
      <c r="AG563" s="1073"/>
      <c r="AH563" s="1074"/>
      <c r="AI563" s="1074"/>
      <c r="AJ563" s="1074"/>
      <c r="AK563" s="1074"/>
    </row>
    <row r="564">
      <c r="A564" s="1072"/>
      <c r="B564" s="1072"/>
      <c r="C564" s="1075"/>
      <c r="D564" s="1074"/>
      <c r="E564" s="1074"/>
      <c r="F564" s="1074"/>
      <c r="G564" s="1076"/>
      <c r="H564" s="1074"/>
      <c r="I564" s="1074"/>
      <c r="J564" s="1072"/>
      <c r="K564" s="1075"/>
      <c r="L564" s="1074"/>
      <c r="M564" s="1074"/>
      <c r="N564" s="1074"/>
      <c r="O564" s="1076"/>
      <c r="P564" s="1074"/>
      <c r="Q564" s="1074"/>
      <c r="R564" s="1072"/>
      <c r="S564" s="1073"/>
      <c r="T564" s="1074"/>
      <c r="U564" s="1074"/>
      <c r="V564" s="1074"/>
      <c r="W564" s="1074"/>
      <c r="X564" s="1074"/>
      <c r="Y564" s="1072"/>
      <c r="Z564" s="1073"/>
      <c r="AA564" s="1074"/>
      <c r="AB564" s="1074"/>
      <c r="AC564" s="1074"/>
      <c r="AD564" s="1074"/>
      <c r="AE564" s="1074"/>
      <c r="AF564" s="1072"/>
      <c r="AG564" s="1073"/>
      <c r="AH564" s="1074"/>
      <c r="AI564" s="1074"/>
      <c r="AJ564" s="1074"/>
      <c r="AK564" s="1074"/>
    </row>
    <row r="565">
      <c r="A565" s="1072"/>
      <c r="B565" s="1072"/>
      <c r="C565" s="1075"/>
      <c r="D565" s="1074"/>
      <c r="E565" s="1074"/>
      <c r="F565" s="1074"/>
      <c r="G565" s="1076"/>
      <c r="H565" s="1074"/>
      <c r="I565" s="1074"/>
      <c r="J565" s="1072"/>
      <c r="K565" s="1075"/>
      <c r="L565" s="1074"/>
      <c r="M565" s="1074"/>
      <c r="N565" s="1074"/>
      <c r="O565" s="1076"/>
      <c r="P565" s="1074"/>
      <c r="Q565" s="1074"/>
      <c r="R565" s="1072"/>
      <c r="S565" s="1073"/>
      <c r="T565" s="1074"/>
      <c r="U565" s="1074"/>
      <c r="V565" s="1074"/>
      <c r="W565" s="1074"/>
      <c r="X565" s="1074"/>
      <c r="Y565" s="1072"/>
      <c r="Z565" s="1073"/>
      <c r="AA565" s="1074"/>
      <c r="AB565" s="1074"/>
      <c r="AC565" s="1074"/>
      <c r="AD565" s="1074"/>
      <c r="AE565" s="1074"/>
      <c r="AF565" s="1072"/>
      <c r="AG565" s="1073"/>
      <c r="AH565" s="1074"/>
      <c r="AI565" s="1074"/>
      <c r="AJ565" s="1074"/>
      <c r="AK565" s="1074"/>
    </row>
    <row r="566">
      <c r="A566" s="1072"/>
      <c r="B566" s="1072"/>
      <c r="C566" s="1075"/>
      <c r="D566" s="1074"/>
      <c r="E566" s="1074"/>
      <c r="F566" s="1074"/>
      <c r="G566" s="1076"/>
      <c r="H566" s="1074"/>
      <c r="I566" s="1074"/>
      <c r="J566" s="1072"/>
      <c r="K566" s="1075"/>
      <c r="L566" s="1074"/>
      <c r="M566" s="1074"/>
      <c r="N566" s="1074"/>
      <c r="O566" s="1076"/>
      <c r="P566" s="1074"/>
      <c r="Q566" s="1074"/>
      <c r="R566" s="1072"/>
      <c r="S566" s="1073"/>
      <c r="T566" s="1074"/>
      <c r="U566" s="1074"/>
      <c r="V566" s="1074"/>
      <c r="W566" s="1074"/>
      <c r="X566" s="1074"/>
      <c r="Y566" s="1072"/>
      <c r="Z566" s="1073"/>
      <c r="AA566" s="1074"/>
      <c r="AB566" s="1074"/>
      <c r="AC566" s="1074"/>
      <c r="AD566" s="1074"/>
      <c r="AE566" s="1074"/>
      <c r="AF566" s="1072"/>
      <c r="AG566" s="1073"/>
      <c r="AH566" s="1074"/>
      <c r="AI566" s="1074"/>
      <c r="AJ566" s="1074"/>
      <c r="AK566" s="1074"/>
    </row>
    <row r="567">
      <c r="A567" s="1072"/>
      <c r="B567" s="1072"/>
      <c r="C567" s="1075"/>
      <c r="D567" s="1074"/>
      <c r="E567" s="1074"/>
      <c r="F567" s="1074"/>
      <c r="G567" s="1076"/>
      <c r="H567" s="1074"/>
      <c r="I567" s="1074"/>
      <c r="J567" s="1072"/>
      <c r="K567" s="1075"/>
      <c r="L567" s="1074"/>
      <c r="M567" s="1074"/>
      <c r="N567" s="1074"/>
      <c r="O567" s="1076"/>
      <c r="P567" s="1074"/>
      <c r="Q567" s="1074"/>
      <c r="R567" s="1072"/>
      <c r="S567" s="1073"/>
      <c r="T567" s="1074"/>
      <c r="U567" s="1074"/>
      <c r="V567" s="1074"/>
      <c r="W567" s="1074"/>
      <c r="X567" s="1074"/>
      <c r="Y567" s="1072"/>
      <c r="Z567" s="1073"/>
      <c r="AA567" s="1074"/>
      <c r="AB567" s="1074"/>
      <c r="AC567" s="1074"/>
      <c r="AD567" s="1074"/>
      <c r="AE567" s="1074"/>
      <c r="AF567" s="1072"/>
      <c r="AG567" s="1073"/>
      <c r="AH567" s="1074"/>
      <c r="AI567" s="1074"/>
      <c r="AJ567" s="1074"/>
      <c r="AK567" s="1074"/>
    </row>
    <row r="568">
      <c r="A568" s="1072"/>
      <c r="B568" s="1072"/>
      <c r="C568" s="1075"/>
      <c r="D568" s="1074"/>
      <c r="E568" s="1074"/>
      <c r="F568" s="1074"/>
      <c r="G568" s="1076"/>
      <c r="H568" s="1074"/>
      <c r="I568" s="1074"/>
      <c r="J568" s="1072"/>
      <c r="K568" s="1075"/>
      <c r="L568" s="1074"/>
      <c r="M568" s="1074"/>
      <c r="N568" s="1074"/>
      <c r="O568" s="1076"/>
      <c r="P568" s="1074"/>
      <c r="Q568" s="1074"/>
      <c r="R568" s="1072"/>
      <c r="S568" s="1073"/>
      <c r="T568" s="1074"/>
      <c r="U568" s="1074"/>
      <c r="V568" s="1074"/>
      <c r="W568" s="1074"/>
      <c r="X568" s="1074"/>
      <c r="Y568" s="1072"/>
      <c r="Z568" s="1073"/>
      <c r="AA568" s="1074"/>
      <c r="AB568" s="1074"/>
      <c r="AC568" s="1074"/>
      <c r="AD568" s="1074"/>
      <c r="AE568" s="1074"/>
      <c r="AF568" s="1072"/>
      <c r="AG568" s="1073"/>
      <c r="AH568" s="1074"/>
      <c r="AI568" s="1074"/>
      <c r="AJ568" s="1074"/>
      <c r="AK568" s="1074"/>
    </row>
    <row r="569">
      <c r="A569" s="1072"/>
      <c r="B569" s="1072"/>
      <c r="C569" s="1075"/>
      <c r="D569" s="1074"/>
      <c r="E569" s="1074"/>
      <c r="F569" s="1074"/>
      <c r="G569" s="1076"/>
      <c r="H569" s="1074"/>
      <c r="I569" s="1074"/>
      <c r="J569" s="1072"/>
      <c r="K569" s="1075"/>
      <c r="L569" s="1074"/>
      <c r="M569" s="1074"/>
      <c r="N569" s="1074"/>
      <c r="O569" s="1076"/>
      <c r="P569" s="1074"/>
      <c r="Q569" s="1074"/>
      <c r="R569" s="1072"/>
      <c r="S569" s="1073"/>
      <c r="T569" s="1074"/>
      <c r="U569" s="1074"/>
      <c r="V569" s="1074"/>
      <c r="W569" s="1074"/>
      <c r="X569" s="1074"/>
      <c r="Y569" s="1072"/>
      <c r="Z569" s="1073"/>
      <c r="AA569" s="1074"/>
      <c r="AB569" s="1074"/>
      <c r="AC569" s="1074"/>
      <c r="AD569" s="1074"/>
      <c r="AE569" s="1074"/>
      <c r="AF569" s="1072"/>
      <c r="AG569" s="1073"/>
      <c r="AH569" s="1074"/>
      <c r="AI569" s="1074"/>
      <c r="AJ569" s="1074"/>
      <c r="AK569" s="1074"/>
    </row>
    <row r="570">
      <c r="A570" s="1072"/>
      <c r="B570" s="1072"/>
      <c r="C570" s="1075"/>
      <c r="D570" s="1074"/>
      <c r="E570" s="1074"/>
      <c r="F570" s="1074"/>
      <c r="G570" s="1076"/>
      <c r="H570" s="1074"/>
      <c r="I570" s="1074"/>
      <c r="J570" s="1072"/>
      <c r="K570" s="1075"/>
      <c r="L570" s="1074"/>
      <c r="M570" s="1074"/>
      <c r="N570" s="1074"/>
      <c r="O570" s="1076"/>
      <c r="P570" s="1074"/>
      <c r="Q570" s="1074"/>
      <c r="R570" s="1072"/>
      <c r="S570" s="1073"/>
      <c r="T570" s="1074"/>
      <c r="U570" s="1074"/>
      <c r="V570" s="1074"/>
      <c r="W570" s="1074"/>
      <c r="X570" s="1074"/>
      <c r="Y570" s="1072"/>
      <c r="Z570" s="1073"/>
      <c r="AA570" s="1074"/>
      <c r="AB570" s="1074"/>
      <c r="AC570" s="1074"/>
      <c r="AD570" s="1074"/>
      <c r="AE570" s="1074"/>
      <c r="AF570" s="1072"/>
      <c r="AG570" s="1073"/>
      <c r="AH570" s="1074"/>
      <c r="AI570" s="1074"/>
      <c r="AJ570" s="1074"/>
      <c r="AK570" s="1074"/>
    </row>
    <row r="571">
      <c r="A571" s="1072"/>
      <c r="B571" s="1072"/>
      <c r="C571" s="1075"/>
      <c r="D571" s="1074"/>
      <c r="E571" s="1074"/>
      <c r="F571" s="1074"/>
      <c r="G571" s="1076"/>
      <c r="H571" s="1074"/>
      <c r="I571" s="1074"/>
      <c r="J571" s="1072"/>
      <c r="K571" s="1075"/>
      <c r="L571" s="1074"/>
      <c r="M571" s="1074"/>
      <c r="N571" s="1074"/>
      <c r="O571" s="1076"/>
      <c r="P571" s="1074"/>
      <c r="Q571" s="1074"/>
      <c r="R571" s="1072"/>
      <c r="S571" s="1073"/>
      <c r="T571" s="1074"/>
      <c r="U571" s="1074"/>
      <c r="V571" s="1074"/>
      <c r="W571" s="1074"/>
      <c r="X571" s="1074"/>
      <c r="Y571" s="1072"/>
      <c r="Z571" s="1073"/>
      <c r="AA571" s="1074"/>
      <c r="AB571" s="1074"/>
      <c r="AC571" s="1074"/>
      <c r="AD571" s="1074"/>
      <c r="AE571" s="1074"/>
      <c r="AF571" s="1072"/>
      <c r="AG571" s="1073"/>
      <c r="AH571" s="1074"/>
      <c r="AI571" s="1074"/>
      <c r="AJ571" s="1074"/>
      <c r="AK571" s="1074"/>
    </row>
    <row r="572">
      <c r="A572" s="1072"/>
      <c r="B572" s="1072"/>
      <c r="C572" s="1075"/>
      <c r="D572" s="1074"/>
      <c r="E572" s="1074"/>
      <c r="F572" s="1074"/>
      <c r="G572" s="1076"/>
      <c r="H572" s="1074"/>
      <c r="I572" s="1074"/>
      <c r="J572" s="1072"/>
      <c r="K572" s="1075"/>
      <c r="L572" s="1074"/>
      <c r="M572" s="1074"/>
      <c r="N572" s="1074"/>
      <c r="O572" s="1076"/>
      <c r="P572" s="1074"/>
      <c r="Q572" s="1074"/>
      <c r="R572" s="1072"/>
      <c r="S572" s="1073"/>
      <c r="T572" s="1074"/>
      <c r="U572" s="1074"/>
      <c r="V572" s="1074"/>
      <c r="W572" s="1074"/>
      <c r="X572" s="1074"/>
      <c r="Y572" s="1072"/>
      <c r="Z572" s="1073"/>
      <c r="AA572" s="1074"/>
      <c r="AB572" s="1074"/>
      <c r="AC572" s="1074"/>
      <c r="AD572" s="1074"/>
      <c r="AE572" s="1074"/>
      <c r="AF572" s="1072"/>
      <c r="AG572" s="1073"/>
      <c r="AH572" s="1074"/>
      <c r="AI572" s="1074"/>
      <c r="AJ572" s="1074"/>
      <c r="AK572" s="1074"/>
    </row>
    <row r="573">
      <c r="A573" s="1072"/>
      <c r="B573" s="1072"/>
      <c r="C573" s="1075"/>
      <c r="D573" s="1074"/>
      <c r="E573" s="1074"/>
      <c r="F573" s="1074"/>
      <c r="G573" s="1076"/>
      <c r="H573" s="1074"/>
      <c r="I573" s="1074"/>
      <c r="J573" s="1072"/>
      <c r="K573" s="1075"/>
      <c r="L573" s="1074"/>
      <c r="M573" s="1074"/>
      <c r="N573" s="1074"/>
      <c r="O573" s="1076"/>
      <c r="P573" s="1074"/>
      <c r="Q573" s="1074"/>
      <c r="R573" s="1072"/>
      <c r="S573" s="1073"/>
      <c r="T573" s="1074"/>
      <c r="U573" s="1074"/>
      <c r="V573" s="1074"/>
      <c r="W573" s="1074"/>
      <c r="X573" s="1074"/>
      <c r="Y573" s="1072"/>
      <c r="Z573" s="1073"/>
      <c r="AA573" s="1074"/>
      <c r="AB573" s="1074"/>
      <c r="AC573" s="1074"/>
      <c r="AD573" s="1074"/>
      <c r="AE573" s="1074"/>
      <c r="AF573" s="1072"/>
      <c r="AG573" s="1073"/>
      <c r="AH573" s="1074"/>
      <c r="AI573" s="1074"/>
      <c r="AJ573" s="1074"/>
      <c r="AK573" s="1074"/>
    </row>
    <row r="574">
      <c r="A574" s="1072"/>
      <c r="B574" s="1072"/>
      <c r="C574" s="1075"/>
      <c r="D574" s="1074"/>
      <c r="E574" s="1074"/>
      <c r="F574" s="1074"/>
      <c r="G574" s="1076"/>
      <c r="H574" s="1074"/>
      <c r="I574" s="1074"/>
      <c r="J574" s="1072"/>
      <c r="K574" s="1075"/>
      <c r="L574" s="1074"/>
      <c r="M574" s="1074"/>
      <c r="N574" s="1074"/>
      <c r="O574" s="1076"/>
      <c r="P574" s="1074"/>
      <c r="Q574" s="1074"/>
      <c r="R574" s="1072"/>
      <c r="S574" s="1073"/>
      <c r="T574" s="1074"/>
      <c r="U574" s="1074"/>
      <c r="V574" s="1074"/>
      <c r="W574" s="1074"/>
      <c r="X574" s="1074"/>
      <c r="Y574" s="1072"/>
      <c r="Z574" s="1073"/>
      <c r="AA574" s="1074"/>
      <c r="AB574" s="1074"/>
      <c r="AC574" s="1074"/>
      <c r="AD574" s="1074"/>
      <c r="AE574" s="1074"/>
      <c r="AF574" s="1072"/>
      <c r="AG574" s="1073"/>
      <c r="AH574" s="1074"/>
      <c r="AI574" s="1074"/>
      <c r="AJ574" s="1074"/>
      <c r="AK574" s="1074"/>
    </row>
    <row r="575">
      <c r="A575" s="1072"/>
      <c r="B575" s="1072"/>
      <c r="C575" s="1075"/>
      <c r="D575" s="1074"/>
      <c r="E575" s="1074"/>
      <c r="F575" s="1074"/>
      <c r="G575" s="1076"/>
      <c r="H575" s="1074"/>
      <c r="I575" s="1074"/>
      <c r="J575" s="1072"/>
      <c r="K575" s="1075"/>
      <c r="L575" s="1074"/>
      <c r="M575" s="1074"/>
      <c r="N575" s="1074"/>
      <c r="O575" s="1076"/>
      <c r="P575" s="1074"/>
      <c r="Q575" s="1074"/>
      <c r="R575" s="1072"/>
      <c r="S575" s="1073"/>
      <c r="T575" s="1074"/>
      <c r="U575" s="1074"/>
      <c r="V575" s="1074"/>
      <c r="W575" s="1074"/>
      <c r="X575" s="1074"/>
      <c r="Y575" s="1072"/>
      <c r="Z575" s="1073"/>
      <c r="AA575" s="1074"/>
      <c r="AB575" s="1074"/>
      <c r="AC575" s="1074"/>
      <c r="AD575" s="1074"/>
      <c r="AE575" s="1074"/>
      <c r="AF575" s="1072"/>
      <c r="AG575" s="1073"/>
      <c r="AH575" s="1074"/>
      <c r="AI575" s="1074"/>
      <c r="AJ575" s="1074"/>
      <c r="AK575" s="1074"/>
    </row>
    <row r="576">
      <c r="A576" s="1072"/>
      <c r="B576" s="1072"/>
      <c r="C576" s="1075"/>
      <c r="D576" s="1074"/>
      <c r="E576" s="1074"/>
      <c r="F576" s="1074"/>
      <c r="G576" s="1076"/>
      <c r="H576" s="1074"/>
      <c r="I576" s="1074"/>
      <c r="J576" s="1072"/>
      <c r="K576" s="1075"/>
      <c r="L576" s="1074"/>
      <c r="M576" s="1074"/>
      <c r="N576" s="1074"/>
      <c r="O576" s="1076"/>
      <c r="P576" s="1074"/>
      <c r="Q576" s="1074"/>
      <c r="R576" s="1072"/>
      <c r="S576" s="1073"/>
      <c r="T576" s="1074"/>
      <c r="U576" s="1074"/>
      <c r="V576" s="1074"/>
      <c r="W576" s="1074"/>
      <c r="X576" s="1074"/>
      <c r="Y576" s="1072"/>
      <c r="Z576" s="1073"/>
      <c r="AA576" s="1074"/>
      <c r="AB576" s="1074"/>
      <c r="AC576" s="1074"/>
      <c r="AD576" s="1074"/>
      <c r="AE576" s="1074"/>
      <c r="AF576" s="1072"/>
      <c r="AG576" s="1073"/>
      <c r="AH576" s="1074"/>
      <c r="AI576" s="1074"/>
      <c r="AJ576" s="1074"/>
      <c r="AK576" s="1074"/>
    </row>
    <row r="577">
      <c r="A577" s="1072"/>
      <c r="B577" s="1072"/>
      <c r="C577" s="1075"/>
      <c r="D577" s="1074"/>
      <c r="E577" s="1074"/>
      <c r="F577" s="1074"/>
      <c r="G577" s="1076"/>
      <c r="H577" s="1074"/>
      <c r="I577" s="1074"/>
      <c r="J577" s="1072"/>
      <c r="K577" s="1075"/>
      <c r="L577" s="1074"/>
      <c r="M577" s="1074"/>
      <c r="N577" s="1074"/>
      <c r="O577" s="1076"/>
      <c r="P577" s="1074"/>
      <c r="Q577" s="1074"/>
      <c r="R577" s="1072"/>
      <c r="S577" s="1073"/>
      <c r="T577" s="1074"/>
      <c r="U577" s="1074"/>
      <c r="V577" s="1074"/>
      <c r="W577" s="1074"/>
      <c r="X577" s="1074"/>
      <c r="Y577" s="1072"/>
      <c r="Z577" s="1073"/>
      <c r="AA577" s="1074"/>
      <c r="AB577" s="1074"/>
      <c r="AC577" s="1074"/>
      <c r="AD577" s="1074"/>
      <c r="AE577" s="1074"/>
      <c r="AF577" s="1072"/>
      <c r="AG577" s="1073"/>
      <c r="AH577" s="1074"/>
      <c r="AI577" s="1074"/>
      <c r="AJ577" s="1074"/>
      <c r="AK577" s="1074"/>
    </row>
    <row r="578">
      <c r="A578" s="1072"/>
      <c r="B578" s="1072"/>
      <c r="C578" s="1075"/>
      <c r="D578" s="1074"/>
      <c r="E578" s="1074"/>
      <c r="F578" s="1074"/>
      <c r="G578" s="1076"/>
      <c r="H578" s="1074"/>
      <c r="I578" s="1074"/>
      <c r="J578" s="1072"/>
      <c r="K578" s="1075"/>
      <c r="L578" s="1074"/>
      <c r="M578" s="1074"/>
      <c r="N578" s="1074"/>
      <c r="O578" s="1076"/>
      <c r="P578" s="1074"/>
      <c r="Q578" s="1074"/>
      <c r="R578" s="1072"/>
      <c r="S578" s="1073"/>
      <c r="T578" s="1074"/>
      <c r="U578" s="1074"/>
      <c r="V578" s="1074"/>
      <c r="W578" s="1074"/>
      <c r="X578" s="1074"/>
      <c r="Y578" s="1072"/>
      <c r="Z578" s="1073"/>
      <c r="AA578" s="1074"/>
      <c r="AB578" s="1074"/>
      <c r="AC578" s="1074"/>
      <c r="AD578" s="1074"/>
      <c r="AE578" s="1074"/>
      <c r="AF578" s="1072"/>
      <c r="AG578" s="1073"/>
      <c r="AH578" s="1074"/>
      <c r="AI578" s="1074"/>
      <c r="AJ578" s="1074"/>
      <c r="AK578" s="1074"/>
    </row>
    <row r="579">
      <c r="A579" s="1072"/>
      <c r="B579" s="1072"/>
      <c r="C579" s="1075"/>
      <c r="D579" s="1074"/>
      <c r="E579" s="1074"/>
      <c r="F579" s="1074"/>
      <c r="G579" s="1076"/>
      <c r="H579" s="1074"/>
      <c r="I579" s="1074"/>
      <c r="J579" s="1072"/>
      <c r="K579" s="1075"/>
      <c r="L579" s="1074"/>
      <c r="M579" s="1074"/>
      <c r="N579" s="1074"/>
      <c r="O579" s="1076"/>
      <c r="P579" s="1074"/>
      <c r="Q579" s="1074"/>
      <c r="R579" s="1072"/>
      <c r="S579" s="1073"/>
      <c r="T579" s="1074"/>
      <c r="U579" s="1074"/>
      <c r="V579" s="1074"/>
      <c r="W579" s="1074"/>
      <c r="X579" s="1074"/>
      <c r="Y579" s="1072"/>
      <c r="Z579" s="1073"/>
      <c r="AA579" s="1074"/>
      <c r="AB579" s="1074"/>
      <c r="AC579" s="1074"/>
      <c r="AD579" s="1074"/>
      <c r="AE579" s="1074"/>
      <c r="AF579" s="1072"/>
      <c r="AG579" s="1073"/>
      <c r="AH579" s="1074"/>
      <c r="AI579" s="1074"/>
      <c r="AJ579" s="1074"/>
      <c r="AK579" s="1074"/>
    </row>
    <row r="580">
      <c r="A580" s="1072"/>
      <c r="B580" s="1072"/>
      <c r="C580" s="1075"/>
      <c r="D580" s="1074"/>
      <c r="E580" s="1074"/>
      <c r="F580" s="1074"/>
      <c r="G580" s="1076"/>
      <c r="H580" s="1074"/>
      <c r="I580" s="1074"/>
      <c r="J580" s="1072"/>
      <c r="K580" s="1075"/>
      <c r="L580" s="1074"/>
      <c r="M580" s="1074"/>
      <c r="N580" s="1074"/>
      <c r="O580" s="1076"/>
      <c r="P580" s="1074"/>
      <c r="Q580" s="1074"/>
      <c r="R580" s="1072"/>
      <c r="S580" s="1073"/>
      <c r="T580" s="1074"/>
      <c r="U580" s="1074"/>
      <c r="V580" s="1074"/>
      <c r="W580" s="1074"/>
      <c r="X580" s="1074"/>
      <c r="Y580" s="1072"/>
      <c r="Z580" s="1073"/>
      <c r="AA580" s="1074"/>
      <c r="AB580" s="1074"/>
      <c r="AC580" s="1074"/>
      <c r="AD580" s="1074"/>
      <c r="AE580" s="1074"/>
      <c r="AF580" s="1072"/>
      <c r="AG580" s="1073"/>
      <c r="AH580" s="1074"/>
      <c r="AI580" s="1074"/>
      <c r="AJ580" s="1074"/>
      <c r="AK580" s="1074"/>
    </row>
    <row r="581">
      <c r="A581" s="1072"/>
      <c r="B581" s="1072"/>
      <c r="C581" s="1075"/>
      <c r="D581" s="1074"/>
      <c r="E581" s="1074"/>
      <c r="F581" s="1074"/>
      <c r="G581" s="1076"/>
      <c r="H581" s="1074"/>
      <c r="I581" s="1074"/>
      <c r="J581" s="1072"/>
      <c r="K581" s="1075"/>
      <c r="L581" s="1074"/>
      <c r="M581" s="1074"/>
      <c r="N581" s="1074"/>
      <c r="O581" s="1076"/>
      <c r="P581" s="1074"/>
      <c r="Q581" s="1074"/>
      <c r="R581" s="1072"/>
      <c r="S581" s="1073"/>
      <c r="T581" s="1074"/>
      <c r="U581" s="1074"/>
      <c r="V581" s="1074"/>
      <c r="W581" s="1074"/>
      <c r="X581" s="1074"/>
      <c r="Y581" s="1072"/>
      <c r="Z581" s="1073"/>
      <c r="AA581" s="1074"/>
      <c r="AB581" s="1074"/>
      <c r="AC581" s="1074"/>
      <c r="AD581" s="1074"/>
      <c r="AE581" s="1074"/>
      <c r="AF581" s="1072"/>
      <c r="AG581" s="1073"/>
      <c r="AH581" s="1074"/>
      <c r="AI581" s="1074"/>
      <c r="AJ581" s="1074"/>
      <c r="AK581" s="1074"/>
    </row>
    <row r="582">
      <c r="A582" s="1072"/>
      <c r="B582" s="1072"/>
      <c r="C582" s="1075"/>
      <c r="D582" s="1074"/>
      <c r="E582" s="1074"/>
      <c r="F582" s="1074"/>
      <c r="G582" s="1076"/>
      <c r="H582" s="1074"/>
      <c r="I582" s="1074"/>
      <c r="J582" s="1072"/>
      <c r="K582" s="1075"/>
      <c r="L582" s="1074"/>
      <c r="M582" s="1074"/>
      <c r="N582" s="1074"/>
      <c r="O582" s="1076"/>
      <c r="P582" s="1074"/>
      <c r="Q582" s="1074"/>
      <c r="R582" s="1072"/>
      <c r="S582" s="1073"/>
      <c r="T582" s="1074"/>
      <c r="U582" s="1074"/>
      <c r="V582" s="1074"/>
      <c r="W582" s="1074"/>
      <c r="X582" s="1074"/>
      <c r="Y582" s="1072"/>
      <c r="Z582" s="1073"/>
      <c r="AA582" s="1074"/>
      <c r="AB582" s="1074"/>
      <c r="AC582" s="1074"/>
      <c r="AD582" s="1074"/>
      <c r="AE582" s="1074"/>
      <c r="AF582" s="1072"/>
      <c r="AG582" s="1073"/>
      <c r="AH582" s="1074"/>
      <c r="AI582" s="1074"/>
      <c r="AJ582" s="1074"/>
      <c r="AK582" s="1074"/>
    </row>
    <row r="583">
      <c r="A583" s="1072"/>
      <c r="B583" s="1072"/>
      <c r="C583" s="1075"/>
      <c r="D583" s="1074"/>
      <c r="E583" s="1074"/>
      <c r="F583" s="1074"/>
      <c r="G583" s="1076"/>
      <c r="H583" s="1074"/>
      <c r="I583" s="1074"/>
      <c r="J583" s="1072"/>
      <c r="K583" s="1075"/>
      <c r="L583" s="1074"/>
      <c r="M583" s="1074"/>
      <c r="N583" s="1074"/>
      <c r="O583" s="1076"/>
      <c r="P583" s="1074"/>
      <c r="Q583" s="1074"/>
      <c r="R583" s="1072"/>
      <c r="S583" s="1073"/>
      <c r="T583" s="1074"/>
      <c r="U583" s="1074"/>
      <c r="V583" s="1074"/>
      <c r="W583" s="1074"/>
      <c r="X583" s="1074"/>
      <c r="Y583" s="1072"/>
      <c r="Z583" s="1073"/>
      <c r="AA583" s="1074"/>
      <c r="AB583" s="1074"/>
      <c r="AC583" s="1074"/>
      <c r="AD583" s="1074"/>
      <c r="AE583" s="1074"/>
      <c r="AF583" s="1072"/>
      <c r="AG583" s="1073"/>
      <c r="AH583" s="1074"/>
      <c r="AI583" s="1074"/>
      <c r="AJ583" s="1074"/>
      <c r="AK583" s="1074"/>
    </row>
    <row r="584">
      <c r="A584" s="1072"/>
      <c r="B584" s="1072"/>
      <c r="C584" s="1075"/>
      <c r="D584" s="1074"/>
      <c r="E584" s="1074"/>
      <c r="F584" s="1074"/>
      <c r="G584" s="1076"/>
      <c r="H584" s="1074"/>
      <c r="I584" s="1074"/>
      <c r="J584" s="1072"/>
      <c r="K584" s="1075"/>
      <c r="L584" s="1074"/>
      <c r="M584" s="1074"/>
      <c r="N584" s="1074"/>
      <c r="O584" s="1076"/>
      <c r="P584" s="1074"/>
      <c r="Q584" s="1074"/>
      <c r="R584" s="1072"/>
      <c r="S584" s="1073"/>
      <c r="T584" s="1074"/>
      <c r="U584" s="1074"/>
      <c r="V584" s="1074"/>
      <c r="W584" s="1074"/>
      <c r="X584" s="1074"/>
      <c r="Y584" s="1072"/>
      <c r="Z584" s="1073"/>
      <c r="AA584" s="1074"/>
      <c r="AB584" s="1074"/>
      <c r="AC584" s="1074"/>
      <c r="AD584" s="1074"/>
      <c r="AE584" s="1074"/>
      <c r="AF584" s="1072"/>
      <c r="AG584" s="1073"/>
      <c r="AH584" s="1074"/>
      <c r="AI584" s="1074"/>
      <c r="AJ584" s="1074"/>
      <c r="AK584" s="1074"/>
    </row>
    <row r="585">
      <c r="A585" s="1072"/>
      <c r="B585" s="1072"/>
      <c r="C585" s="1075"/>
      <c r="D585" s="1074"/>
      <c r="E585" s="1074"/>
      <c r="F585" s="1074"/>
      <c r="G585" s="1076"/>
      <c r="H585" s="1074"/>
      <c r="I585" s="1074"/>
      <c r="J585" s="1072"/>
      <c r="K585" s="1075"/>
      <c r="L585" s="1074"/>
      <c r="M585" s="1074"/>
      <c r="N585" s="1074"/>
      <c r="O585" s="1076"/>
      <c r="P585" s="1074"/>
      <c r="Q585" s="1074"/>
      <c r="R585" s="1072"/>
      <c r="S585" s="1073"/>
      <c r="T585" s="1074"/>
      <c r="U585" s="1074"/>
      <c r="V585" s="1074"/>
      <c r="W585" s="1074"/>
      <c r="X585" s="1074"/>
      <c r="Y585" s="1072"/>
      <c r="Z585" s="1073"/>
      <c r="AA585" s="1074"/>
      <c r="AB585" s="1074"/>
      <c r="AC585" s="1074"/>
      <c r="AD585" s="1074"/>
      <c r="AE585" s="1074"/>
      <c r="AF585" s="1072"/>
      <c r="AG585" s="1073"/>
      <c r="AH585" s="1074"/>
      <c r="AI585" s="1074"/>
      <c r="AJ585" s="1074"/>
      <c r="AK585" s="1074"/>
    </row>
    <row r="586">
      <c r="A586" s="1072"/>
      <c r="B586" s="1072"/>
      <c r="C586" s="1075"/>
      <c r="D586" s="1074"/>
      <c r="E586" s="1074"/>
      <c r="F586" s="1074"/>
      <c r="G586" s="1076"/>
      <c r="H586" s="1074"/>
      <c r="I586" s="1074"/>
      <c r="J586" s="1072"/>
      <c r="K586" s="1075"/>
      <c r="L586" s="1074"/>
      <c r="M586" s="1074"/>
      <c r="N586" s="1074"/>
      <c r="O586" s="1076"/>
      <c r="P586" s="1074"/>
      <c r="Q586" s="1074"/>
      <c r="R586" s="1072"/>
      <c r="S586" s="1073"/>
      <c r="T586" s="1074"/>
      <c r="U586" s="1074"/>
      <c r="V586" s="1074"/>
      <c r="W586" s="1074"/>
      <c r="X586" s="1074"/>
      <c r="Y586" s="1072"/>
      <c r="Z586" s="1073"/>
      <c r="AA586" s="1074"/>
      <c r="AB586" s="1074"/>
      <c r="AC586" s="1074"/>
      <c r="AD586" s="1074"/>
      <c r="AE586" s="1074"/>
      <c r="AF586" s="1072"/>
      <c r="AG586" s="1073"/>
      <c r="AH586" s="1074"/>
      <c r="AI586" s="1074"/>
      <c r="AJ586" s="1074"/>
      <c r="AK586" s="1074"/>
    </row>
    <row r="587">
      <c r="A587" s="1072"/>
      <c r="B587" s="1072"/>
      <c r="C587" s="1075"/>
      <c r="D587" s="1074"/>
      <c r="E587" s="1074"/>
      <c r="F587" s="1074"/>
      <c r="G587" s="1076"/>
      <c r="H587" s="1074"/>
      <c r="I587" s="1074"/>
      <c r="J587" s="1072"/>
      <c r="K587" s="1075"/>
      <c r="L587" s="1074"/>
      <c r="M587" s="1074"/>
      <c r="N587" s="1074"/>
      <c r="O587" s="1076"/>
      <c r="P587" s="1074"/>
      <c r="Q587" s="1074"/>
      <c r="R587" s="1072"/>
      <c r="S587" s="1073"/>
      <c r="T587" s="1074"/>
      <c r="U587" s="1074"/>
      <c r="V587" s="1074"/>
      <c r="W587" s="1074"/>
      <c r="X587" s="1074"/>
      <c r="Y587" s="1072"/>
      <c r="Z587" s="1073"/>
      <c r="AA587" s="1074"/>
      <c r="AB587" s="1074"/>
      <c r="AC587" s="1074"/>
      <c r="AD587" s="1074"/>
      <c r="AE587" s="1074"/>
      <c r="AF587" s="1072"/>
      <c r="AG587" s="1073"/>
      <c r="AH587" s="1074"/>
      <c r="AI587" s="1074"/>
      <c r="AJ587" s="1074"/>
      <c r="AK587" s="1074"/>
    </row>
    <row r="588">
      <c r="A588" s="1072"/>
      <c r="B588" s="1072"/>
      <c r="C588" s="1075"/>
      <c r="D588" s="1074"/>
      <c r="E588" s="1074"/>
      <c r="F588" s="1074"/>
      <c r="G588" s="1076"/>
      <c r="H588" s="1074"/>
      <c r="I588" s="1074"/>
      <c r="J588" s="1072"/>
      <c r="K588" s="1075"/>
      <c r="L588" s="1074"/>
      <c r="M588" s="1074"/>
      <c r="N588" s="1074"/>
      <c r="O588" s="1076"/>
      <c r="P588" s="1074"/>
      <c r="Q588" s="1074"/>
      <c r="R588" s="1072"/>
      <c r="S588" s="1073"/>
      <c r="T588" s="1074"/>
      <c r="U588" s="1074"/>
      <c r="V588" s="1074"/>
      <c r="W588" s="1074"/>
      <c r="X588" s="1074"/>
      <c r="Y588" s="1072"/>
      <c r="Z588" s="1073"/>
      <c r="AA588" s="1074"/>
      <c r="AB588" s="1074"/>
      <c r="AC588" s="1074"/>
      <c r="AD588" s="1074"/>
      <c r="AE588" s="1074"/>
      <c r="AF588" s="1072"/>
      <c r="AG588" s="1073"/>
      <c r="AH588" s="1074"/>
      <c r="AI588" s="1074"/>
      <c r="AJ588" s="1074"/>
      <c r="AK588" s="1074"/>
    </row>
    <row r="589">
      <c r="A589" s="1072"/>
      <c r="B589" s="1072"/>
      <c r="C589" s="1075"/>
      <c r="D589" s="1074"/>
      <c r="E589" s="1074"/>
      <c r="F589" s="1074"/>
      <c r="G589" s="1076"/>
      <c r="H589" s="1074"/>
      <c r="I589" s="1074"/>
      <c r="J589" s="1072"/>
      <c r="K589" s="1075"/>
      <c r="L589" s="1074"/>
      <c r="M589" s="1074"/>
      <c r="N589" s="1074"/>
      <c r="O589" s="1076"/>
      <c r="P589" s="1074"/>
      <c r="Q589" s="1074"/>
      <c r="R589" s="1072"/>
      <c r="S589" s="1073"/>
      <c r="T589" s="1074"/>
      <c r="U589" s="1074"/>
      <c r="V589" s="1074"/>
      <c r="W589" s="1074"/>
      <c r="X589" s="1074"/>
      <c r="Y589" s="1072"/>
      <c r="Z589" s="1073"/>
      <c r="AA589" s="1074"/>
      <c r="AB589" s="1074"/>
      <c r="AC589" s="1074"/>
      <c r="AD589" s="1074"/>
      <c r="AE589" s="1074"/>
      <c r="AF589" s="1072"/>
      <c r="AG589" s="1073"/>
      <c r="AH589" s="1074"/>
      <c r="AI589" s="1074"/>
      <c r="AJ589" s="1074"/>
      <c r="AK589" s="1074"/>
    </row>
    <row r="590">
      <c r="A590" s="1072"/>
      <c r="B590" s="1072"/>
      <c r="C590" s="1075"/>
      <c r="D590" s="1074"/>
      <c r="E590" s="1074"/>
      <c r="F590" s="1074"/>
      <c r="G590" s="1076"/>
      <c r="H590" s="1074"/>
      <c r="I590" s="1074"/>
      <c r="J590" s="1072"/>
      <c r="K590" s="1075"/>
      <c r="L590" s="1074"/>
      <c r="M590" s="1074"/>
      <c r="N590" s="1074"/>
      <c r="O590" s="1076"/>
      <c r="P590" s="1074"/>
      <c r="Q590" s="1074"/>
      <c r="R590" s="1072"/>
      <c r="S590" s="1073"/>
      <c r="T590" s="1074"/>
      <c r="U590" s="1074"/>
      <c r="V590" s="1074"/>
      <c r="W590" s="1074"/>
      <c r="X590" s="1074"/>
      <c r="Y590" s="1072"/>
      <c r="Z590" s="1073"/>
      <c r="AA590" s="1074"/>
      <c r="AB590" s="1074"/>
      <c r="AC590" s="1074"/>
      <c r="AD590" s="1074"/>
      <c r="AE590" s="1074"/>
      <c r="AF590" s="1072"/>
      <c r="AG590" s="1073"/>
      <c r="AH590" s="1074"/>
      <c r="AI590" s="1074"/>
      <c r="AJ590" s="1074"/>
      <c r="AK590" s="1074"/>
    </row>
    <row r="591">
      <c r="A591" s="1072"/>
      <c r="B591" s="1072"/>
      <c r="C591" s="1075"/>
      <c r="D591" s="1074"/>
      <c r="E591" s="1074"/>
      <c r="F591" s="1074"/>
      <c r="G591" s="1076"/>
      <c r="H591" s="1074"/>
      <c r="I591" s="1074"/>
      <c r="J591" s="1072"/>
      <c r="K591" s="1075"/>
      <c r="L591" s="1074"/>
      <c r="M591" s="1074"/>
      <c r="N591" s="1074"/>
      <c r="O591" s="1076"/>
      <c r="P591" s="1074"/>
      <c r="Q591" s="1074"/>
      <c r="R591" s="1072"/>
      <c r="S591" s="1073"/>
      <c r="T591" s="1074"/>
      <c r="U591" s="1074"/>
      <c r="V591" s="1074"/>
      <c r="W591" s="1074"/>
      <c r="X591" s="1074"/>
      <c r="Y591" s="1072"/>
      <c r="Z591" s="1073"/>
      <c r="AA591" s="1074"/>
      <c r="AB591" s="1074"/>
      <c r="AC591" s="1074"/>
      <c r="AD591" s="1074"/>
      <c r="AE591" s="1074"/>
      <c r="AF591" s="1072"/>
      <c r="AG591" s="1073"/>
      <c r="AH591" s="1074"/>
      <c r="AI591" s="1074"/>
      <c r="AJ591" s="1074"/>
      <c r="AK591" s="1074"/>
    </row>
    <row r="592">
      <c r="A592" s="1072"/>
      <c r="B592" s="1072"/>
      <c r="C592" s="1075"/>
      <c r="D592" s="1074"/>
      <c r="E592" s="1074"/>
      <c r="F592" s="1074"/>
      <c r="G592" s="1076"/>
      <c r="H592" s="1074"/>
      <c r="I592" s="1074"/>
      <c r="J592" s="1072"/>
      <c r="K592" s="1075"/>
      <c r="L592" s="1074"/>
      <c r="M592" s="1074"/>
      <c r="N592" s="1074"/>
      <c r="O592" s="1076"/>
      <c r="P592" s="1074"/>
      <c r="Q592" s="1074"/>
      <c r="R592" s="1072"/>
      <c r="S592" s="1073"/>
      <c r="T592" s="1074"/>
      <c r="U592" s="1074"/>
      <c r="V592" s="1074"/>
      <c r="W592" s="1074"/>
      <c r="X592" s="1074"/>
      <c r="Y592" s="1072"/>
      <c r="Z592" s="1073"/>
      <c r="AA592" s="1074"/>
      <c r="AB592" s="1074"/>
      <c r="AC592" s="1074"/>
      <c r="AD592" s="1074"/>
      <c r="AE592" s="1074"/>
      <c r="AF592" s="1072"/>
      <c r="AG592" s="1073"/>
      <c r="AH592" s="1074"/>
      <c r="AI592" s="1074"/>
      <c r="AJ592" s="1074"/>
      <c r="AK592" s="1074"/>
    </row>
    <row r="593">
      <c r="A593" s="1072"/>
      <c r="B593" s="1072"/>
      <c r="C593" s="1075"/>
      <c r="D593" s="1074"/>
      <c r="E593" s="1074"/>
      <c r="F593" s="1074"/>
      <c r="G593" s="1076"/>
      <c r="H593" s="1074"/>
      <c r="I593" s="1074"/>
      <c r="J593" s="1072"/>
      <c r="K593" s="1075"/>
      <c r="L593" s="1074"/>
      <c r="M593" s="1074"/>
      <c r="N593" s="1074"/>
      <c r="O593" s="1076"/>
      <c r="P593" s="1074"/>
      <c r="Q593" s="1074"/>
      <c r="R593" s="1072"/>
      <c r="S593" s="1073"/>
      <c r="T593" s="1074"/>
      <c r="U593" s="1074"/>
      <c r="V593" s="1074"/>
      <c r="W593" s="1074"/>
      <c r="X593" s="1074"/>
      <c r="Y593" s="1072"/>
      <c r="Z593" s="1073"/>
      <c r="AA593" s="1074"/>
      <c r="AB593" s="1074"/>
      <c r="AC593" s="1074"/>
      <c r="AD593" s="1074"/>
      <c r="AE593" s="1074"/>
      <c r="AF593" s="1072"/>
      <c r="AG593" s="1073"/>
      <c r="AH593" s="1074"/>
      <c r="AI593" s="1074"/>
      <c r="AJ593" s="1074"/>
      <c r="AK593" s="1074"/>
    </row>
    <row r="594">
      <c r="A594" s="1072"/>
      <c r="B594" s="1072"/>
      <c r="C594" s="1075"/>
      <c r="D594" s="1074"/>
      <c r="E594" s="1074"/>
      <c r="F594" s="1074"/>
      <c r="G594" s="1076"/>
      <c r="H594" s="1074"/>
      <c r="I594" s="1074"/>
      <c r="J594" s="1072"/>
      <c r="K594" s="1075"/>
      <c r="L594" s="1074"/>
      <c r="M594" s="1074"/>
      <c r="N594" s="1074"/>
      <c r="O594" s="1076"/>
      <c r="P594" s="1074"/>
      <c r="Q594" s="1074"/>
      <c r="R594" s="1072"/>
      <c r="S594" s="1073"/>
      <c r="T594" s="1074"/>
      <c r="U594" s="1074"/>
      <c r="V594" s="1074"/>
      <c r="W594" s="1074"/>
      <c r="X594" s="1074"/>
      <c r="Y594" s="1072"/>
      <c r="Z594" s="1073"/>
      <c r="AA594" s="1074"/>
      <c r="AB594" s="1074"/>
      <c r="AC594" s="1074"/>
      <c r="AD594" s="1074"/>
      <c r="AE594" s="1074"/>
      <c r="AF594" s="1072"/>
      <c r="AG594" s="1073"/>
      <c r="AH594" s="1074"/>
      <c r="AI594" s="1074"/>
      <c r="AJ594" s="1074"/>
      <c r="AK594" s="1074"/>
    </row>
    <row r="595">
      <c r="A595" s="1072"/>
      <c r="B595" s="1072"/>
      <c r="C595" s="1075"/>
      <c r="D595" s="1074"/>
      <c r="E595" s="1074"/>
      <c r="F595" s="1074"/>
      <c r="G595" s="1076"/>
      <c r="H595" s="1074"/>
      <c r="I595" s="1074"/>
      <c r="J595" s="1072"/>
      <c r="K595" s="1075"/>
      <c r="L595" s="1074"/>
      <c r="M595" s="1074"/>
      <c r="N595" s="1074"/>
      <c r="O595" s="1076"/>
      <c r="P595" s="1074"/>
      <c r="Q595" s="1074"/>
      <c r="R595" s="1072"/>
      <c r="S595" s="1073"/>
      <c r="T595" s="1074"/>
      <c r="U595" s="1074"/>
      <c r="V595" s="1074"/>
      <c r="W595" s="1074"/>
      <c r="X595" s="1074"/>
      <c r="Y595" s="1072"/>
      <c r="Z595" s="1073"/>
      <c r="AA595" s="1074"/>
      <c r="AB595" s="1074"/>
      <c r="AC595" s="1074"/>
      <c r="AD595" s="1074"/>
      <c r="AE595" s="1074"/>
      <c r="AF595" s="1072"/>
      <c r="AG595" s="1073"/>
      <c r="AH595" s="1074"/>
      <c r="AI595" s="1074"/>
      <c r="AJ595" s="1074"/>
      <c r="AK595" s="1074"/>
    </row>
    <row r="596">
      <c r="A596" s="1072"/>
      <c r="B596" s="1072"/>
      <c r="C596" s="1075"/>
      <c r="D596" s="1074"/>
      <c r="E596" s="1074"/>
      <c r="F596" s="1074"/>
      <c r="G596" s="1076"/>
      <c r="H596" s="1074"/>
      <c r="I596" s="1074"/>
      <c r="J596" s="1072"/>
      <c r="K596" s="1075"/>
      <c r="L596" s="1074"/>
      <c r="M596" s="1074"/>
      <c r="N596" s="1074"/>
      <c r="O596" s="1076"/>
      <c r="P596" s="1074"/>
      <c r="Q596" s="1074"/>
      <c r="R596" s="1072"/>
      <c r="S596" s="1073"/>
      <c r="T596" s="1074"/>
      <c r="U596" s="1074"/>
      <c r="V596" s="1074"/>
      <c r="W596" s="1074"/>
      <c r="X596" s="1074"/>
      <c r="Y596" s="1072"/>
      <c r="Z596" s="1073"/>
      <c r="AA596" s="1074"/>
      <c r="AB596" s="1074"/>
      <c r="AC596" s="1074"/>
      <c r="AD596" s="1074"/>
      <c r="AE596" s="1074"/>
      <c r="AF596" s="1072"/>
      <c r="AG596" s="1073"/>
      <c r="AH596" s="1074"/>
      <c r="AI596" s="1074"/>
      <c r="AJ596" s="1074"/>
      <c r="AK596" s="1074"/>
    </row>
    <row r="597">
      <c r="A597" s="1072"/>
      <c r="B597" s="1072"/>
      <c r="C597" s="1075"/>
      <c r="D597" s="1074"/>
      <c r="E597" s="1074"/>
      <c r="F597" s="1074"/>
      <c r="G597" s="1076"/>
      <c r="H597" s="1074"/>
      <c r="I597" s="1074"/>
      <c r="J597" s="1072"/>
      <c r="K597" s="1075"/>
      <c r="L597" s="1074"/>
      <c r="M597" s="1074"/>
      <c r="N597" s="1074"/>
      <c r="O597" s="1076"/>
      <c r="P597" s="1074"/>
      <c r="Q597" s="1074"/>
      <c r="R597" s="1072"/>
      <c r="S597" s="1073"/>
      <c r="T597" s="1074"/>
      <c r="U597" s="1074"/>
      <c r="V597" s="1074"/>
      <c r="W597" s="1074"/>
      <c r="X597" s="1074"/>
      <c r="Y597" s="1072"/>
      <c r="Z597" s="1073"/>
      <c r="AA597" s="1074"/>
      <c r="AB597" s="1074"/>
      <c r="AC597" s="1074"/>
      <c r="AD597" s="1074"/>
      <c r="AE597" s="1074"/>
      <c r="AF597" s="1072"/>
      <c r="AG597" s="1073"/>
      <c r="AH597" s="1074"/>
      <c r="AI597" s="1074"/>
      <c r="AJ597" s="1074"/>
      <c r="AK597" s="1074"/>
    </row>
    <row r="598">
      <c r="A598" s="1072"/>
      <c r="B598" s="1072"/>
      <c r="C598" s="1075"/>
      <c r="D598" s="1074"/>
      <c r="E598" s="1074"/>
      <c r="F598" s="1074"/>
      <c r="G598" s="1076"/>
      <c r="H598" s="1074"/>
      <c r="I598" s="1074"/>
      <c r="J598" s="1072"/>
      <c r="K598" s="1075"/>
      <c r="L598" s="1074"/>
      <c r="M598" s="1074"/>
      <c r="N598" s="1074"/>
      <c r="O598" s="1076"/>
      <c r="P598" s="1074"/>
      <c r="Q598" s="1074"/>
      <c r="R598" s="1072"/>
      <c r="S598" s="1073"/>
      <c r="T598" s="1074"/>
      <c r="U598" s="1074"/>
      <c r="V598" s="1074"/>
      <c r="W598" s="1074"/>
      <c r="X598" s="1074"/>
      <c r="Y598" s="1072"/>
      <c r="Z598" s="1073"/>
      <c r="AA598" s="1074"/>
      <c r="AB598" s="1074"/>
      <c r="AC598" s="1074"/>
      <c r="AD598" s="1074"/>
      <c r="AE598" s="1074"/>
      <c r="AF598" s="1072"/>
      <c r="AG598" s="1073"/>
      <c r="AH598" s="1074"/>
      <c r="AI598" s="1074"/>
      <c r="AJ598" s="1074"/>
      <c r="AK598" s="1074"/>
    </row>
    <row r="599">
      <c r="A599" s="1072"/>
      <c r="B599" s="1072"/>
      <c r="C599" s="1075"/>
      <c r="D599" s="1074"/>
      <c r="E599" s="1074"/>
      <c r="F599" s="1074"/>
      <c r="G599" s="1076"/>
      <c r="H599" s="1074"/>
      <c r="I599" s="1074"/>
      <c r="J599" s="1072"/>
      <c r="K599" s="1075"/>
      <c r="L599" s="1074"/>
      <c r="M599" s="1074"/>
      <c r="N599" s="1074"/>
      <c r="O599" s="1076"/>
      <c r="P599" s="1074"/>
      <c r="Q599" s="1074"/>
      <c r="R599" s="1072"/>
      <c r="S599" s="1073"/>
      <c r="T599" s="1074"/>
      <c r="U599" s="1074"/>
      <c r="V599" s="1074"/>
      <c r="W599" s="1074"/>
      <c r="X599" s="1074"/>
      <c r="Y599" s="1072"/>
      <c r="Z599" s="1073"/>
      <c r="AA599" s="1074"/>
      <c r="AB599" s="1074"/>
      <c r="AC599" s="1074"/>
      <c r="AD599" s="1074"/>
      <c r="AE599" s="1074"/>
      <c r="AF599" s="1072"/>
      <c r="AG599" s="1073"/>
      <c r="AH599" s="1074"/>
      <c r="AI599" s="1074"/>
      <c r="AJ599" s="1074"/>
      <c r="AK599" s="1074"/>
    </row>
    <row r="600">
      <c r="A600" s="1072"/>
      <c r="B600" s="1072"/>
      <c r="C600" s="1075"/>
      <c r="D600" s="1074"/>
      <c r="E600" s="1074"/>
      <c r="F600" s="1074"/>
      <c r="G600" s="1076"/>
      <c r="H600" s="1074"/>
      <c r="I600" s="1074"/>
      <c r="J600" s="1072"/>
      <c r="K600" s="1075"/>
      <c r="L600" s="1074"/>
      <c r="M600" s="1074"/>
      <c r="N600" s="1074"/>
      <c r="O600" s="1076"/>
      <c r="P600" s="1074"/>
      <c r="Q600" s="1074"/>
      <c r="R600" s="1072"/>
      <c r="S600" s="1073"/>
      <c r="T600" s="1074"/>
      <c r="U600" s="1074"/>
      <c r="V600" s="1074"/>
      <c r="W600" s="1074"/>
      <c r="X600" s="1074"/>
      <c r="Y600" s="1072"/>
      <c r="Z600" s="1073"/>
      <c r="AA600" s="1074"/>
      <c r="AB600" s="1074"/>
      <c r="AC600" s="1074"/>
      <c r="AD600" s="1074"/>
      <c r="AE600" s="1074"/>
      <c r="AF600" s="1072"/>
      <c r="AG600" s="1073"/>
      <c r="AH600" s="1074"/>
      <c r="AI600" s="1074"/>
      <c r="AJ600" s="1074"/>
      <c r="AK600" s="1074"/>
    </row>
    <row r="601">
      <c r="A601" s="1072"/>
      <c r="B601" s="1072"/>
      <c r="C601" s="1075"/>
      <c r="D601" s="1074"/>
      <c r="E601" s="1074"/>
      <c r="F601" s="1074"/>
      <c r="G601" s="1076"/>
      <c r="H601" s="1074"/>
      <c r="I601" s="1074"/>
      <c r="J601" s="1072"/>
      <c r="K601" s="1075"/>
      <c r="L601" s="1074"/>
      <c r="M601" s="1074"/>
      <c r="N601" s="1074"/>
      <c r="O601" s="1076"/>
      <c r="P601" s="1074"/>
      <c r="Q601" s="1074"/>
      <c r="R601" s="1072"/>
      <c r="S601" s="1073"/>
      <c r="T601" s="1074"/>
      <c r="U601" s="1074"/>
      <c r="V601" s="1074"/>
      <c r="W601" s="1074"/>
      <c r="X601" s="1074"/>
      <c r="Y601" s="1072"/>
      <c r="Z601" s="1073"/>
      <c r="AA601" s="1074"/>
      <c r="AB601" s="1074"/>
      <c r="AC601" s="1074"/>
      <c r="AD601" s="1074"/>
      <c r="AE601" s="1074"/>
      <c r="AF601" s="1072"/>
      <c r="AG601" s="1073"/>
      <c r="AH601" s="1074"/>
      <c r="AI601" s="1074"/>
      <c r="AJ601" s="1074"/>
      <c r="AK601" s="1074"/>
    </row>
    <row r="602">
      <c r="A602" s="1072"/>
      <c r="B602" s="1072"/>
      <c r="C602" s="1075"/>
      <c r="D602" s="1074"/>
      <c r="E602" s="1074"/>
      <c r="F602" s="1074"/>
      <c r="G602" s="1076"/>
      <c r="H602" s="1074"/>
      <c r="I602" s="1074"/>
      <c r="J602" s="1072"/>
      <c r="K602" s="1075"/>
      <c r="L602" s="1074"/>
      <c r="M602" s="1074"/>
      <c r="N602" s="1074"/>
      <c r="O602" s="1076"/>
      <c r="P602" s="1074"/>
      <c r="Q602" s="1074"/>
      <c r="R602" s="1072"/>
      <c r="S602" s="1073"/>
      <c r="T602" s="1074"/>
      <c r="U602" s="1074"/>
      <c r="V602" s="1074"/>
      <c r="W602" s="1074"/>
      <c r="X602" s="1074"/>
      <c r="Y602" s="1072"/>
      <c r="Z602" s="1073"/>
      <c r="AA602" s="1074"/>
      <c r="AB602" s="1074"/>
      <c r="AC602" s="1074"/>
      <c r="AD602" s="1074"/>
      <c r="AE602" s="1074"/>
      <c r="AF602" s="1072"/>
      <c r="AG602" s="1073"/>
      <c r="AH602" s="1074"/>
      <c r="AI602" s="1074"/>
      <c r="AJ602" s="1074"/>
      <c r="AK602" s="1074"/>
    </row>
    <row r="603">
      <c r="A603" s="1072"/>
      <c r="B603" s="1072"/>
      <c r="C603" s="1075"/>
      <c r="D603" s="1074"/>
      <c r="E603" s="1074"/>
      <c r="F603" s="1074"/>
      <c r="G603" s="1076"/>
      <c r="H603" s="1074"/>
      <c r="I603" s="1074"/>
      <c r="J603" s="1072"/>
      <c r="K603" s="1075"/>
      <c r="L603" s="1074"/>
      <c r="M603" s="1074"/>
      <c r="N603" s="1074"/>
      <c r="O603" s="1076"/>
      <c r="P603" s="1074"/>
      <c r="Q603" s="1074"/>
      <c r="R603" s="1072"/>
      <c r="S603" s="1073"/>
      <c r="T603" s="1074"/>
      <c r="U603" s="1074"/>
      <c r="V603" s="1074"/>
      <c r="W603" s="1074"/>
      <c r="X603" s="1074"/>
      <c r="Y603" s="1072"/>
      <c r="Z603" s="1073"/>
      <c r="AA603" s="1074"/>
      <c r="AB603" s="1074"/>
      <c r="AC603" s="1074"/>
      <c r="AD603" s="1074"/>
      <c r="AE603" s="1074"/>
      <c r="AF603" s="1072"/>
      <c r="AG603" s="1073"/>
      <c r="AH603" s="1074"/>
      <c r="AI603" s="1074"/>
      <c r="AJ603" s="1074"/>
      <c r="AK603" s="1074"/>
    </row>
    <row r="604">
      <c r="A604" s="1072"/>
      <c r="B604" s="1072"/>
      <c r="C604" s="1075"/>
      <c r="D604" s="1074"/>
      <c r="E604" s="1074"/>
      <c r="F604" s="1074"/>
      <c r="G604" s="1076"/>
      <c r="H604" s="1074"/>
      <c r="I604" s="1074"/>
      <c r="J604" s="1072"/>
      <c r="K604" s="1075"/>
      <c r="L604" s="1074"/>
      <c r="M604" s="1074"/>
      <c r="N604" s="1074"/>
      <c r="O604" s="1076"/>
      <c r="P604" s="1074"/>
      <c r="Q604" s="1074"/>
      <c r="R604" s="1072"/>
      <c r="S604" s="1073"/>
      <c r="T604" s="1074"/>
      <c r="U604" s="1074"/>
      <c r="V604" s="1074"/>
      <c r="W604" s="1074"/>
      <c r="X604" s="1074"/>
      <c r="Y604" s="1072"/>
      <c r="Z604" s="1073"/>
      <c r="AA604" s="1074"/>
      <c r="AB604" s="1074"/>
      <c r="AC604" s="1074"/>
      <c r="AD604" s="1074"/>
      <c r="AE604" s="1074"/>
      <c r="AF604" s="1072"/>
      <c r="AG604" s="1073"/>
      <c r="AH604" s="1074"/>
      <c r="AI604" s="1074"/>
      <c r="AJ604" s="1074"/>
      <c r="AK604" s="1074"/>
    </row>
    <row r="605">
      <c r="A605" s="1072"/>
      <c r="B605" s="1072"/>
      <c r="C605" s="1075"/>
      <c r="D605" s="1074"/>
      <c r="E605" s="1074"/>
      <c r="F605" s="1074"/>
      <c r="G605" s="1076"/>
      <c r="H605" s="1074"/>
      <c r="I605" s="1074"/>
      <c r="J605" s="1072"/>
      <c r="K605" s="1075"/>
      <c r="L605" s="1074"/>
      <c r="M605" s="1074"/>
      <c r="N605" s="1074"/>
      <c r="O605" s="1076"/>
      <c r="P605" s="1074"/>
      <c r="Q605" s="1074"/>
      <c r="R605" s="1072"/>
      <c r="S605" s="1073"/>
      <c r="T605" s="1074"/>
      <c r="U605" s="1074"/>
      <c r="V605" s="1074"/>
      <c r="W605" s="1074"/>
      <c r="X605" s="1074"/>
      <c r="Y605" s="1072"/>
      <c r="Z605" s="1073"/>
      <c r="AA605" s="1074"/>
      <c r="AB605" s="1074"/>
      <c r="AC605" s="1074"/>
      <c r="AD605" s="1074"/>
      <c r="AE605" s="1074"/>
      <c r="AF605" s="1072"/>
      <c r="AG605" s="1073"/>
      <c r="AH605" s="1074"/>
      <c r="AI605" s="1074"/>
      <c r="AJ605" s="1074"/>
      <c r="AK605" s="1074"/>
    </row>
    <row r="606">
      <c r="A606" s="1072"/>
      <c r="B606" s="1072"/>
      <c r="C606" s="1075"/>
      <c r="D606" s="1074"/>
      <c r="E606" s="1074"/>
      <c r="F606" s="1074"/>
      <c r="G606" s="1076"/>
      <c r="H606" s="1074"/>
      <c r="I606" s="1074"/>
      <c r="J606" s="1072"/>
      <c r="K606" s="1075"/>
      <c r="L606" s="1074"/>
      <c r="M606" s="1074"/>
      <c r="N606" s="1074"/>
      <c r="O606" s="1076"/>
      <c r="P606" s="1074"/>
      <c r="Q606" s="1074"/>
      <c r="R606" s="1072"/>
      <c r="S606" s="1073"/>
      <c r="T606" s="1074"/>
      <c r="U606" s="1074"/>
      <c r="V606" s="1074"/>
      <c r="W606" s="1074"/>
      <c r="X606" s="1074"/>
      <c r="Y606" s="1072"/>
      <c r="Z606" s="1073"/>
      <c r="AA606" s="1074"/>
      <c r="AB606" s="1074"/>
      <c r="AC606" s="1074"/>
      <c r="AD606" s="1074"/>
      <c r="AE606" s="1074"/>
      <c r="AF606" s="1072"/>
      <c r="AG606" s="1073"/>
      <c r="AH606" s="1074"/>
      <c r="AI606" s="1074"/>
      <c r="AJ606" s="1074"/>
      <c r="AK606" s="1074"/>
    </row>
    <row r="607">
      <c r="A607" s="1072"/>
      <c r="B607" s="1072"/>
      <c r="C607" s="1075"/>
      <c r="D607" s="1074"/>
      <c r="E607" s="1074"/>
      <c r="F607" s="1074"/>
      <c r="G607" s="1076"/>
      <c r="H607" s="1074"/>
      <c r="I607" s="1074"/>
      <c r="J607" s="1072"/>
      <c r="K607" s="1075"/>
      <c r="L607" s="1074"/>
      <c r="M607" s="1074"/>
      <c r="N607" s="1074"/>
      <c r="O607" s="1076"/>
      <c r="P607" s="1074"/>
      <c r="Q607" s="1074"/>
      <c r="R607" s="1072"/>
      <c r="S607" s="1073"/>
      <c r="T607" s="1074"/>
      <c r="U607" s="1074"/>
      <c r="V607" s="1074"/>
      <c r="W607" s="1074"/>
      <c r="X607" s="1074"/>
      <c r="Y607" s="1072"/>
      <c r="Z607" s="1073"/>
      <c r="AA607" s="1074"/>
      <c r="AB607" s="1074"/>
      <c r="AC607" s="1074"/>
      <c r="AD607" s="1074"/>
      <c r="AE607" s="1074"/>
      <c r="AF607" s="1072"/>
      <c r="AG607" s="1073"/>
      <c r="AH607" s="1074"/>
      <c r="AI607" s="1074"/>
      <c r="AJ607" s="1074"/>
      <c r="AK607" s="1074"/>
    </row>
    <row r="608">
      <c r="A608" s="1072"/>
      <c r="B608" s="1072"/>
      <c r="C608" s="1075"/>
      <c r="D608" s="1074"/>
      <c r="E608" s="1074"/>
      <c r="F608" s="1074"/>
      <c r="G608" s="1076"/>
      <c r="H608" s="1074"/>
      <c r="I608" s="1074"/>
      <c r="J608" s="1072"/>
      <c r="K608" s="1075"/>
      <c r="L608" s="1074"/>
      <c r="M608" s="1074"/>
      <c r="N608" s="1074"/>
      <c r="O608" s="1076"/>
      <c r="P608" s="1074"/>
      <c r="Q608" s="1074"/>
      <c r="R608" s="1072"/>
      <c r="S608" s="1073"/>
      <c r="T608" s="1074"/>
      <c r="U608" s="1074"/>
      <c r="V608" s="1074"/>
      <c r="W608" s="1074"/>
      <c r="X608" s="1074"/>
      <c r="Y608" s="1072"/>
      <c r="Z608" s="1073"/>
      <c r="AA608" s="1074"/>
      <c r="AB608" s="1074"/>
      <c r="AC608" s="1074"/>
      <c r="AD608" s="1074"/>
      <c r="AE608" s="1074"/>
      <c r="AF608" s="1072"/>
      <c r="AG608" s="1073"/>
      <c r="AH608" s="1074"/>
      <c r="AI608" s="1074"/>
      <c r="AJ608" s="1074"/>
      <c r="AK608" s="1074"/>
    </row>
    <row r="609">
      <c r="A609" s="1072"/>
      <c r="B609" s="1072"/>
      <c r="C609" s="1075"/>
      <c r="D609" s="1074"/>
      <c r="E609" s="1074"/>
      <c r="F609" s="1074"/>
      <c r="G609" s="1076"/>
      <c r="H609" s="1074"/>
      <c r="I609" s="1074"/>
      <c r="J609" s="1072"/>
      <c r="K609" s="1075"/>
      <c r="L609" s="1074"/>
      <c r="M609" s="1074"/>
      <c r="N609" s="1074"/>
      <c r="O609" s="1076"/>
      <c r="P609" s="1074"/>
      <c r="Q609" s="1074"/>
      <c r="R609" s="1072"/>
      <c r="S609" s="1073"/>
      <c r="T609" s="1074"/>
      <c r="U609" s="1074"/>
      <c r="V609" s="1074"/>
      <c r="W609" s="1074"/>
      <c r="X609" s="1074"/>
      <c r="Y609" s="1072"/>
      <c r="Z609" s="1073"/>
      <c r="AA609" s="1074"/>
      <c r="AB609" s="1074"/>
      <c r="AC609" s="1074"/>
      <c r="AD609" s="1074"/>
      <c r="AE609" s="1074"/>
      <c r="AF609" s="1072"/>
      <c r="AG609" s="1073"/>
      <c r="AH609" s="1074"/>
      <c r="AI609" s="1074"/>
      <c r="AJ609" s="1074"/>
      <c r="AK609" s="1074"/>
    </row>
    <row r="610">
      <c r="A610" s="1072"/>
      <c r="B610" s="1072"/>
      <c r="C610" s="1075"/>
      <c r="D610" s="1074"/>
      <c r="E610" s="1074"/>
      <c r="F610" s="1074"/>
      <c r="G610" s="1076"/>
      <c r="H610" s="1074"/>
      <c r="I610" s="1074"/>
      <c r="J610" s="1072"/>
      <c r="K610" s="1075"/>
      <c r="L610" s="1074"/>
      <c r="M610" s="1074"/>
      <c r="N610" s="1074"/>
      <c r="O610" s="1076"/>
      <c r="P610" s="1074"/>
      <c r="Q610" s="1074"/>
      <c r="R610" s="1072"/>
      <c r="S610" s="1073"/>
      <c r="T610" s="1074"/>
      <c r="U610" s="1074"/>
      <c r="V610" s="1074"/>
      <c r="W610" s="1074"/>
      <c r="X610" s="1074"/>
      <c r="Y610" s="1072"/>
      <c r="Z610" s="1073"/>
      <c r="AA610" s="1074"/>
      <c r="AB610" s="1074"/>
      <c r="AC610" s="1074"/>
      <c r="AD610" s="1074"/>
      <c r="AE610" s="1074"/>
      <c r="AF610" s="1072"/>
      <c r="AG610" s="1073"/>
      <c r="AH610" s="1074"/>
      <c r="AI610" s="1074"/>
      <c r="AJ610" s="1074"/>
      <c r="AK610" s="1074"/>
    </row>
    <row r="611">
      <c r="A611" s="1072"/>
      <c r="B611" s="1072"/>
      <c r="C611" s="1075"/>
      <c r="D611" s="1074"/>
      <c r="E611" s="1074"/>
      <c r="F611" s="1074"/>
      <c r="G611" s="1076"/>
      <c r="H611" s="1074"/>
      <c r="I611" s="1074"/>
      <c r="J611" s="1072"/>
      <c r="K611" s="1075"/>
      <c r="L611" s="1074"/>
      <c r="M611" s="1074"/>
      <c r="N611" s="1074"/>
      <c r="O611" s="1076"/>
      <c r="P611" s="1074"/>
      <c r="Q611" s="1074"/>
      <c r="R611" s="1072"/>
      <c r="S611" s="1073"/>
      <c r="T611" s="1074"/>
      <c r="U611" s="1074"/>
      <c r="V611" s="1074"/>
      <c r="W611" s="1074"/>
      <c r="X611" s="1074"/>
      <c r="Y611" s="1072"/>
      <c r="Z611" s="1073"/>
      <c r="AA611" s="1074"/>
      <c r="AB611" s="1074"/>
      <c r="AC611" s="1074"/>
      <c r="AD611" s="1074"/>
      <c r="AE611" s="1074"/>
      <c r="AF611" s="1072"/>
      <c r="AG611" s="1073"/>
      <c r="AH611" s="1074"/>
      <c r="AI611" s="1074"/>
      <c r="AJ611" s="1074"/>
      <c r="AK611" s="1074"/>
    </row>
    <row r="612">
      <c r="A612" s="1072"/>
      <c r="B612" s="1072"/>
      <c r="C612" s="1075"/>
      <c r="D612" s="1074"/>
      <c r="E612" s="1074"/>
      <c r="F612" s="1074"/>
      <c r="G612" s="1076"/>
      <c r="H612" s="1074"/>
      <c r="I612" s="1074"/>
      <c r="J612" s="1072"/>
      <c r="K612" s="1075"/>
      <c r="L612" s="1074"/>
      <c r="M612" s="1074"/>
      <c r="N612" s="1074"/>
      <c r="O612" s="1076"/>
      <c r="P612" s="1074"/>
      <c r="Q612" s="1074"/>
      <c r="R612" s="1072"/>
      <c r="S612" s="1073"/>
      <c r="T612" s="1074"/>
      <c r="U612" s="1074"/>
      <c r="V612" s="1074"/>
      <c r="W612" s="1074"/>
      <c r="X612" s="1074"/>
      <c r="Y612" s="1072"/>
      <c r="Z612" s="1073"/>
      <c r="AA612" s="1074"/>
      <c r="AB612" s="1074"/>
      <c r="AC612" s="1074"/>
      <c r="AD612" s="1074"/>
      <c r="AE612" s="1074"/>
      <c r="AF612" s="1072"/>
      <c r="AG612" s="1073"/>
      <c r="AH612" s="1074"/>
      <c r="AI612" s="1074"/>
      <c r="AJ612" s="1074"/>
      <c r="AK612" s="1074"/>
    </row>
    <row r="613">
      <c r="A613" s="1072"/>
      <c r="B613" s="1072"/>
      <c r="C613" s="1075"/>
      <c r="D613" s="1074"/>
      <c r="E613" s="1074"/>
      <c r="F613" s="1074"/>
      <c r="G613" s="1076"/>
      <c r="H613" s="1074"/>
      <c r="I613" s="1074"/>
      <c r="J613" s="1072"/>
      <c r="K613" s="1075"/>
      <c r="L613" s="1074"/>
      <c r="M613" s="1074"/>
      <c r="N613" s="1074"/>
      <c r="O613" s="1076"/>
      <c r="P613" s="1074"/>
      <c r="Q613" s="1074"/>
      <c r="R613" s="1072"/>
      <c r="S613" s="1073"/>
      <c r="T613" s="1074"/>
      <c r="U613" s="1074"/>
      <c r="V613" s="1074"/>
      <c r="W613" s="1074"/>
      <c r="X613" s="1074"/>
      <c r="Y613" s="1072"/>
      <c r="Z613" s="1073"/>
      <c r="AA613" s="1074"/>
      <c r="AB613" s="1074"/>
      <c r="AC613" s="1074"/>
      <c r="AD613" s="1074"/>
      <c r="AE613" s="1074"/>
      <c r="AF613" s="1072"/>
      <c r="AG613" s="1073"/>
      <c r="AH613" s="1074"/>
      <c r="AI613" s="1074"/>
      <c r="AJ613" s="1074"/>
      <c r="AK613" s="1074"/>
    </row>
    <row r="614">
      <c r="A614" s="1072"/>
      <c r="B614" s="1072"/>
      <c r="C614" s="1075"/>
      <c r="D614" s="1074"/>
      <c r="E614" s="1074"/>
      <c r="F614" s="1074"/>
      <c r="G614" s="1076"/>
      <c r="H614" s="1074"/>
      <c r="I614" s="1074"/>
      <c r="J614" s="1072"/>
      <c r="K614" s="1075"/>
      <c r="L614" s="1074"/>
      <c r="M614" s="1074"/>
      <c r="N614" s="1074"/>
      <c r="O614" s="1076"/>
      <c r="P614" s="1074"/>
      <c r="Q614" s="1074"/>
      <c r="R614" s="1072"/>
      <c r="S614" s="1073"/>
      <c r="T614" s="1074"/>
      <c r="U614" s="1074"/>
      <c r="V614" s="1074"/>
      <c r="W614" s="1074"/>
      <c r="X614" s="1074"/>
      <c r="Y614" s="1072"/>
      <c r="Z614" s="1073"/>
      <c r="AA614" s="1074"/>
      <c r="AB614" s="1074"/>
      <c r="AC614" s="1074"/>
      <c r="AD614" s="1074"/>
      <c r="AE614" s="1074"/>
      <c r="AF614" s="1072"/>
      <c r="AG614" s="1073"/>
      <c r="AH614" s="1074"/>
      <c r="AI614" s="1074"/>
      <c r="AJ614" s="1074"/>
      <c r="AK614" s="1074"/>
    </row>
    <row r="615">
      <c r="A615" s="1072"/>
      <c r="B615" s="1072"/>
      <c r="C615" s="1075"/>
      <c r="D615" s="1074"/>
      <c r="E615" s="1074"/>
      <c r="F615" s="1074"/>
      <c r="G615" s="1076"/>
      <c r="H615" s="1074"/>
      <c r="I615" s="1074"/>
      <c r="J615" s="1072"/>
      <c r="K615" s="1075"/>
      <c r="L615" s="1074"/>
      <c r="M615" s="1074"/>
      <c r="N615" s="1074"/>
      <c r="O615" s="1076"/>
      <c r="P615" s="1074"/>
      <c r="Q615" s="1074"/>
      <c r="R615" s="1072"/>
      <c r="S615" s="1073"/>
      <c r="T615" s="1074"/>
      <c r="U615" s="1074"/>
      <c r="V615" s="1074"/>
      <c r="W615" s="1074"/>
      <c r="X615" s="1074"/>
      <c r="Y615" s="1072"/>
      <c r="Z615" s="1073"/>
      <c r="AA615" s="1074"/>
      <c r="AB615" s="1074"/>
      <c r="AC615" s="1074"/>
      <c r="AD615" s="1074"/>
      <c r="AE615" s="1074"/>
      <c r="AF615" s="1072"/>
      <c r="AG615" s="1073"/>
      <c r="AH615" s="1074"/>
      <c r="AI615" s="1074"/>
      <c r="AJ615" s="1074"/>
      <c r="AK615" s="1074"/>
    </row>
    <row r="616">
      <c r="A616" s="1072"/>
      <c r="B616" s="1072"/>
      <c r="C616" s="1075"/>
      <c r="D616" s="1074"/>
      <c r="E616" s="1074"/>
      <c r="F616" s="1074"/>
      <c r="G616" s="1076"/>
      <c r="H616" s="1074"/>
      <c r="I616" s="1074"/>
      <c r="J616" s="1072"/>
      <c r="K616" s="1075"/>
      <c r="L616" s="1074"/>
      <c r="M616" s="1074"/>
      <c r="N616" s="1074"/>
      <c r="O616" s="1076"/>
      <c r="P616" s="1074"/>
      <c r="Q616" s="1074"/>
      <c r="R616" s="1072"/>
      <c r="S616" s="1073"/>
      <c r="T616" s="1074"/>
      <c r="U616" s="1074"/>
      <c r="V616" s="1074"/>
      <c r="W616" s="1074"/>
      <c r="X616" s="1074"/>
      <c r="Y616" s="1072"/>
      <c r="Z616" s="1073"/>
      <c r="AA616" s="1074"/>
      <c r="AB616" s="1074"/>
      <c r="AC616" s="1074"/>
      <c r="AD616" s="1074"/>
      <c r="AE616" s="1074"/>
      <c r="AF616" s="1072"/>
      <c r="AG616" s="1073"/>
      <c r="AH616" s="1074"/>
      <c r="AI616" s="1074"/>
      <c r="AJ616" s="1074"/>
      <c r="AK616" s="1074"/>
    </row>
    <row r="617">
      <c r="A617" s="1072"/>
      <c r="B617" s="1072"/>
      <c r="C617" s="1075"/>
      <c r="D617" s="1074"/>
      <c r="E617" s="1074"/>
      <c r="F617" s="1074"/>
      <c r="G617" s="1076"/>
      <c r="H617" s="1074"/>
      <c r="I617" s="1074"/>
      <c r="J617" s="1072"/>
      <c r="K617" s="1075"/>
      <c r="L617" s="1074"/>
      <c r="M617" s="1074"/>
      <c r="N617" s="1074"/>
      <c r="O617" s="1076"/>
      <c r="P617" s="1074"/>
      <c r="Q617" s="1074"/>
      <c r="R617" s="1072"/>
      <c r="S617" s="1073"/>
      <c r="T617" s="1074"/>
      <c r="U617" s="1074"/>
      <c r="V617" s="1074"/>
      <c r="W617" s="1074"/>
      <c r="X617" s="1074"/>
      <c r="Y617" s="1072"/>
      <c r="Z617" s="1073"/>
      <c r="AA617" s="1074"/>
      <c r="AB617" s="1074"/>
      <c r="AC617" s="1074"/>
      <c r="AD617" s="1074"/>
      <c r="AE617" s="1074"/>
      <c r="AF617" s="1072"/>
      <c r="AG617" s="1073"/>
      <c r="AH617" s="1074"/>
      <c r="AI617" s="1074"/>
      <c r="AJ617" s="1074"/>
      <c r="AK617" s="1074"/>
    </row>
    <row r="618">
      <c r="A618" s="1072"/>
      <c r="B618" s="1072"/>
      <c r="C618" s="1075"/>
      <c r="D618" s="1074"/>
      <c r="E618" s="1074"/>
      <c r="F618" s="1074"/>
      <c r="G618" s="1076"/>
      <c r="H618" s="1074"/>
      <c r="I618" s="1074"/>
      <c r="J618" s="1072"/>
      <c r="K618" s="1075"/>
      <c r="L618" s="1074"/>
      <c r="M618" s="1074"/>
      <c r="N618" s="1074"/>
      <c r="O618" s="1076"/>
      <c r="P618" s="1074"/>
      <c r="Q618" s="1074"/>
      <c r="R618" s="1072"/>
      <c r="S618" s="1073"/>
      <c r="T618" s="1074"/>
      <c r="U618" s="1074"/>
      <c r="V618" s="1074"/>
      <c r="W618" s="1074"/>
      <c r="X618" s="1074"/>
      <c r="Y618" s="1072"/>
      <c r="Z618" s="1073"/>
      <c r="AA618" s="1074"/>
      <c r="AB618" s="1074"/>
      <c r="AC618" s="1074"/>
      <c r="AD618" s="1074"/>
      <c r="AE618" s="1074"/>
      <c r="AF618" s="1072"/>
      <c r="AG618" s="1073"/>
      <c r="AH618" s="1074"/>
      <c r="AI618" s="1074"/>
      <c r="AJ618" s="1074"/>
      <c r="AK618" s="1074"/>
    </row>
    <row r="619">
      <c r="A619" s="1072"/>
      <c r="B619" s="1072"/>
      <c r="C619" s="1075"/>
      <c r="D619" s="1074"/>
      <c r="E619" s="1074"/>
      <c r="F619" s="1074"/>
      <c r="G619" s="1076"/>
      <c r="H619" s="1074"/>
      <c r="I619" s="1074"/>
      <c r="J619" s="1072"/>
      <c r="K619" s="1075"/>
      <c r="L619" s="1074"/>
      <c r="M619" s="1074"/>
      <c r="N619" s="1074"/>
      <c r="O619" s="1076"/>
      <c r="P619" s="1074"/>
      <c r="Q619" s="1074"/>
      <c r="R619" s="1072"/>
      <c r="S619" s="1073"/>
      <c r="T619" s="1074"/>
      <c r="U619" s="1074"/>
      <c r="V619" s="1074"/>
      <c r="W619" s="1074"/>
      <c r="X619" s="1074"/>
      <c r="Y619" s="1072"/>
      <c r="Z619" s="1073"/>
      <c r="AA619" s="1074"/>
      <c r="AB619" s="1074"/>
      <c r="AC619" s="1074"/>
      <c r="AD619" s="1074"/>
      <c r="AE619" s="1074"/>
      <c r="AF619" s="1072"/>
      <c r="AG619" s="1073"/>
      <c r="AH619" s="1074"/>
      <c r="AI619" s="1074"/>
      <c r="AJ619" s="1074"/>
      <c r="AK619" s="1074"/>
    </row>
    <row r="620">
      <c r="A620" s="1072"/>
      <c r="B620" s="1072"/>
      <c r="C620" s="1075"/>
      <c r="D620" s="1074"/>
      <c r="E620" s="1074"/>
      <c r="F620" s="1074"/>
      <c r="G620" s="1076"/>
      <c r="H620" s="1074"/>
      <c r="I620" s="1074"/>
      <c r="J620" s="1072"/>
      <c r="K620" s="1075"/>
      <c r="L620" s="1074"/>
      <c r="M620" s="1074"/>
      <c r="N620" s="1074"/>
      <c r="O620" s="1076"/>
      <c r="P620" s="1074"/>
      <c r="Q620" s="1074"/>
      <c r="R620" s="1072"/>
      <c r="S620" s="1073"/>
      <c r="T620" s="1074"/>
      <c r="U620" s="1074"/>
      <c r="V620" s="1074"/>
      <c r="W620" s="1074"/>
      <c r="X620" s="1074"/>
      <c r="Y620" s="1072"/>
      <c r="Z620" s="1073"/>
      <c r="AA620" s="1074"/>
      <c r="AB620" s="1074"/>
      <c r="AC620" s="1074"/>
      <c r="AD620" s="1074"/>
      <c r="AE620" s="1074"/>
      <c r="AF620" s="1072"/>
      <c r="AG620" s="1073"/>
      <c r="AH620" s="1074"/>
      <c r="AI620" s="1074"/>
      <c r="AJ620" s="1074"/>
      <c r="AK620" s="1074"/>
    </row>
    <row r="621">
      <c r="A621" s="1072"/>
      <c r="B621" s="1072"/>
      <c r="C621" s="1075"/>
      <c r="D621" s="1074"/>
      <c r="E621" s="1074"/>
      <c r="F621" s="1074"/>
      <c r="G621" s="1076"/>
      <c r="H621" s="1074"/>
      <c r="I621" s="1074"/>
      <c r="J621" s="1072"/>
      <c r="K621" s="1075"/>
      <c r="L621" s="1074"/>
      <c r="M621" s="1074"/>
      <c r="N621" s="1074"/>
      <c r="O621" s="1076"/>
      <c r="P621" s="1074"/>
      <c r="Q621" s="1074"/>
      <c r="R621" s="1072"/>
      <c r="S621" s="1073"/>
      <c r="T621" s="1074"/>
      <c r="U621" s="1074"/>
      <c r="V621" s="1074"/>
      <c r="W621" s="1074"/>
      <c r="X621" s="1074"/>
      <c r="Y621" s="1072"/>
      <c r="Z621" s="1073"/>
      <c r="AA621" s="1074"/>
      <c r="AB621" s="1074"/>
      <c r="AC621" s="1074"/>
      <c r="AD621" s="1074"/>
      <c r="AE621" s="1074"/>
      <c r="AF621" s="1072"/>
      <c r="AG621" s="1073"/>
      <c r="AH621" s="1074"/>
      <c r="AI621" s="1074"/>
      <c r="AJ621" s="1074"/>
      <c r="AK621" s="1074"/>
    </row>
    <row r="622">
      <c r="A622" s="1072"/>
      <c r="B622" s="1072"/>
      <c r="C622" s="1075"/>
      <c r="D622" s="1074"/>
      <c r="E622" s="1074"/>
      <c r="F622" s="1074"/>
      <c r="G622" s="1076"/>
      <c r="H622" s="1074"/>
      <c r="I622" s="1074"/>
      <c r="J622" s="1072"/>
      <c r="K622" s="1075"/>
      <c r="L622" s="1074"/>
      <c r="M622" s="1074"/>
      <c r="N622" s="1074"/>
      <c r="O622" s="1076"/>
      <c r="P622" s="1074"/>
      <c r="Q622" s="1074"/>
      <c r="R622" s="1072"/>
      <c r="S622" s="1073"/>
      <c r="T622" s="1074"/>
      <c r="U622" s="1074"/>
      <c r="V622" s="1074"/>
      <c r="W622" s="1074"/>
      <c r="X622" s="1074"/>
      <c r="Y622" s="1072"/>
      <c r="Z622" s="1073"/>
      <c r="AA622" s="1074"/>
      <c r="AB622" s="1074"/>
      <c r="AC622" s="1074"/>
      <c r="AD622" s="1074"/>
      <c r="AE622" s="1074"/>
      <c r="AF622" s="1072"/>
      <c r="AG622" s="1073"/>
      <c r="AH622" s="1074"/>
      <c r="AI622" s="1074"/>
      <c r="AJ622" s="1074"/>
      <c r="AK622" s="1074"/>
    </row>
    <row r="623">
      <c r="A623" s="1072"/>
      <c r="B623" s="1072"/>
      <c r="C623" s="1075"/>
      <c r="D623" s="1074"/>
      <c r="E623" s="1074"/>
      <c r="F623" s="1074"/>
      <c r="G623" s="1076"/>
      <c r="H623" s="1074"/>
      <c r="I623" s="1074"/>
      <c r="J623" s="1072"/>
      <c r="K623" s="1075"/>
      <c r="L623" s="1074"/>
      <c r="M623" s="1074"/>
      <c r="N623" s="1074"/>
      <c r="O623" s="1076"/>
      <c r="P623" s="1074"/>
      <c r="Q623" s="1074"/>
      <c r="R623" s="1072"/>
      <c r="S623" s="1073"/>
      <c r="T623" s="1074"/>
      <c r="U623" s="1074"/>
      <c r="V623" s="1074"/>
      <c r="W623" s="1074"/>
      <c r="X623" s="1074"/>
      <c r="Y623" s="1072"/>
      <c r="Z623" s="1073"/>
      <c r="AA623" s="1074"/>
      <c r="AB623" s="1074"/>
      <c r="AC623" s="1074"/>
      <c r="AD623" s="1074"/>
      <c r="AE623" s="1074"/>
      <c r="AF623" s="1072"/>
      <c r="AG623" s="1073"/>
      <c r="AH623" s="1074"/>
      <c r="AI623" s="1074"/>
      <c r="AJ623" s="1074"/>
      <c r="AK623" s="1074"/>
    </row>
    <row r="624">
      <c r="A624" s="1072"/>
      <c r="B624" s="1072"/>
      <c r="C624" s="1075"/>
      <c r="D624" s="1074"/>
      <c r="E624" s="1074"/>
      <c r="F624" s="1074"/>
      <c r="G624" s="1076"/>
      <c r="H624" s="1074"/>
      <c r="I624" s="1074"/>
      <c r="J624" s="1072"/>
      <c r="K624" s="1075"/>
      <c r="L624" s="1074"/>
      <c r="M624" s="1074"/>
      <c r="N624" s="1074"/>
      <c r="O624" s="1076"/>
      <c r="P624" s="1074"/>
      <c r="Q624" s="1074"/>
      <c r="R624" s="1072"/>
      <c r="S624" s="1073"/>
      <c r="T624" s="1074"/>
      <c r="U624" s="1074"/>
      <c r="V624" s="1074"/>
      <c r="W624" s="1074"/>
      <c r="X624" s="1074"/>
      <c r="Y624" s="1072"/>
      <c r="Z624" s="1073"/>
      <c r="AA624" s="1074"/>
      <c r="AB624" s="1074"/>
      <c r="AC624" s="1074"/>
      <c r="AD624" s="1074"/>
      <c r="AE624" s="1074"/>
      <c r="AF624" s="1072"/>
      <c r="AG624" s="1073"/>
      <c r="AH624" s="1074"/>
      <c r="AI624" s="1074"/>
      <c r="AJ624" s="1074"/>
      <c r="AK624" s="1074"/>
    </row>
    <row r="625">
      <c r="A625" s="1072"/>
      <c r="B625" s="1072"/>
      <c r="C625" s="1075"/>
      <c r="D625" s="1074"/>
      <c r="E625" s="1074"/>
      <c r="F625" s="1074"/>
      <c r="G625" s="1076"/>
      <c r="H625" s="1074"/>
      <c r="I625" s="1074"/>
      <c r="J625" s="1072"/>
      <c r="K625" s="1075"/>
      <c r="L625" s="1074"/>
      <c r="M625" s="1074"/>
      <c r="N625" s="1074"/>
      <c r="O625" s="1076"/>
      <c r="P625" s="1074"/>
      <c r="Q625" s="1074"/>
      <c r="R625" s="1072"/>
      <c r="S625" s="1073"/>
      <c r="T625" s="1074"/>
      <c r="U625" s="1074"/>
      <c r="V625" s="1074"/>
      <c r="W625" s="1074"/>
      <c r="X625" s="1074"/>
      <c r="Y625" s="1072"/>
      <c r="Z625" s="1073"/>
      <c r="AA625" s="1074"/>
      <c r="AB625" s="1074"/>
      <c r="AC625" s="1074"/>
      <c r="AD625" s="1074"/>
      <c r="AE625" s="1074"/>
      <c r="AF625" s="1072"/>
      <c r="AG625" s="1073"/>
      <c r="AH625" s="1074"/>
      <c r="AI625" s="1074"/>
      <c r="AJ625" s="1074"/>
      <c r="AK625" s="1074"/>
    </row>
    <row r="626">
      <c r="A626" s="1072"/>
      <c r="B626" s="1072"/>
      <c r="C626" s="1075"/>
      <c r="D626" s="1074"/>
      <c r="E626" s="1074"/>
      <c r="F626" s="1074"/>
      <c r="G626" s="1076"/>
      <c r="H626" s="1074"/>
      <c r="I626" s="1074"/>
      <c r="J626" s="1072"/>
      <c r="K626" s="1075"/>
      <c r="L626" s="1074"/>
      <c r="M626" s="1074"/>
      <c r="N626" s="1074"/>
      <c r="O626" s="1076"/>
      <c r="P626" s="1074"/>
      <c r="Q626" s="1074"/>
      <c r="R626" s="1072"/>
      <c r="S626" s="1073"/>
      <c r="T626" s="1074"/>
      <c r="U626" s="1074"/>
      <c r="V626" s="1074"/>
      <c r="W626" s="1074"/>
      <c r="X626" s="1074"/>
      <c r="Y626" s="1072"/>
      <c r="Z626" s="1073"/>
      <c r="AA626" s="1074"/>
      <c r="AB626" s="1074"/>
      <c r="AC626" s="1074"/>
      <c r="AD626" s="1074"/>
      <c r="AE626" s="1074"/>
      <c r="AF626" s="1072"/>
      <c r="AG626" s="1073"/>
      <c r="AH626" s="1074"/>
      <c r="AI626" s="1074"/>
      <c r="AJ626" s="1074"/>
      <c r="AK626" s="1074"/>
    </row>
    <row r="627">
      <c r="A627" s="1072"/>
      <c r="B627" s="1072"/>
      <c r="C627" s="1075"/>
      <c r="D627" s="1074"/>
      <c r="E627" s="1074"/>
      <c r="F627" s="1074"/>
      <c r="G627" s="1076"/>
      <c r="H627" s="1074"/>
      <c r="I627" s="1074"/>
      <c r="J627" s="1072"/>
      <c r="K627" s="1075"/>
      <c r="L627" s="1074"/>
      <c r="M627" s="1074"/>
      <c r="N627" s="1074"/>
      <c r="O627" s="1076"/>
      <c r="P627" s="1074"/>
      <c r="Q627" s="1074"/>
      <c r="R627" s="1072"/>
      <c r="S627" s="1073"/>
      <c r="T627" s="1074"/>
      <c r="U627" s="1074"/>
      <c r="V627" s="1074"/>
      <c r="W627" s="1074"/>
      <c r="X627" s="1074"/>
      <c r="Y627" s="1072"/>
      <c r="Z627" s="1073"/>
      <c r="AA627" s="1074"/>
      <c r="AB627" s="1074"/>
      <c r="AC627" s="1074"/>
      <c r="AD627" s="1074"/>
      <c r="AE627" s="1074"/>
      <c r="AF627" s="1072"/>
      <c r="AG627" s="1073"/>
      <c r="AH627" s="1074"/>
      <c r="AI627" s="1074"/>
      <c r="AJ627" s="1074"/>
      <c r="AK627" s="1074"/>
    </row>
    <row r="628">
      <c r="A628" s="1072"/>
      <c r="B628" s="1072"/>
      <c r="C628" s="1075"/>
      <c r="D628" s="1074"/>
      <c r="E628" s="1074"/>
      <c r="F628" s="1074"/>
      <c r="G628" s="1076"/>
      <c r="H628" s="1074"/>
      <c r="I628" s="1074"/>
      <c r="J628" s="1072"/>
      <c r="K628" s="1075"/>
      <c r="L628" s="1074"/>
      <c r="M628" s="1074"/>
      <c r="N628" s="1074"/>
      <c r="O628" s="1076"/>
      <c r="P628" s="1074"/>
      <c r="Q628" s="1074"/>
      <c r="R628" s="1072"/>
      <c r="S628" s="1073"/>
      <c r="T628" s="1074"/>
      <c r="U628" s="1074"/>
      <c r="V628" s="1074"/>
      <c r="W628" s="1074"/>
      <c r="X628" s="1074"/>
      <c r="Y628" s="1072"/>
      <c r="Z628" s="1073"/>
      <c r="AA628" s="1074"/>
      <c r="AB628" s="1074"/>
      <c r="AC628" s="1074"/>
      <c r="AD628" s="1074"/>
      <c r="AE628" s="1074"/>
      <c r="AF628" s="1072"/>
      <c r="AG628" s="1073"/>
      <c r="AH628" s="1074"/>
      <c r="AI628" s="1074"/>
      <c r="AJ628" s="1074"/>
      <c r="AK628" s="1074"/>
    </row>
    <row r="629">
      <c r="A629" s="1072"/>
      <c r="B629" s="1072"/>
      <c r="C629" s="1075"/>
      <c r="D629" s="1074"/>
      <c r="E629" s="1074"/>
      <c r="F629" s="1074"/>
      <c r="G629" s="1076"/>
      <c r="H629" s="1074"/>
      <c r="I629" s="1074"/>
      <c r="J629" s="1072"/>
      <c r="K629" s="1075"/>
      <c r="L629" s="1074"/>
      <c r="M629" s="1074"/>
      <c r="N629" s="1074"/>
      <c r="O629" s="1076"/>
      <c r="P629" s="1074"/>
      <c r="Q629" s="1074"/>
      <c r="R629" s="1072"/>
      <c r="S629" s="1073"/>
      <c r="T629" s="1074"/>
      <c r="U629" s="1074"/>
      <c r="V629" s="1074"/>
      <c r="W629" s="1074"/>
      <c r="X629" s="1074"/>
      <c r="Y629" s="1072"/>
      <c r="Z629" s="1073"/>
      <c r="AA629" s="1074"/>
      <c r="AB629" s="1074"/>
      <c r="AC629" s="1074"/>
      <c r="AD629" s="1074"/>
      <c r="AE629" s="1074"/>
      <c r="AF629" s="1072"/>
      <c r="AG629" s="1073"/>
      <c r="AH629" s="1074"/>
      <c r="AI629" s="1074"/>
      <c r="AJ629" s="1074"/>
      <c r="AK629" s="1074"/>
    </row>
    <row r="630">
      <c r="A630" s="1072"/>
      <c r="B630" s="1072"/>
      <c r="C630" s="1075"/>
      <c r="D630" s="1074"/>
      <c r="E630" s="1074"/>
      <c r="F630" s="1074"/>
      <c r="G630" s="1076"/>
      <c r="H630" s="1074"/>
      <c r="I630" s="1074"/>
      <c r="J630" s="1072"/>
      <c r="K630" s="1075"/>
      <c r="L630" s="1074"/>
      <c r="M630" s="1074"/>
      <c r="N630" s="1074"/>
      <c r="O630" s="1076"/>
      <c r="P630" s="1074"/>
      <c r="Q630" s="1074"/>
      <c r="R630" s="1072"/>
      <c r="S630" s="1073"/>
      <c r="T630" s="1074"/>
      <c r="U630" s="1074"/>
      <c r="V630" s="1074"/>
      <c r="W630" s="1074"/>
      <c r="X630" s="1074"/>
      <c r="Y630" s="1072"/>
      <c r="Z630" s="1073"/>
      <c r="AA630" s="1074"/>
      <c r="AB630" s="1074"/>
      <c r="AC630" s="1074"/>
      <c r="AD630" s="1074"/>
      <c r="AE630" s="1074"/>
      <c r="AF630" s="1072"/>
      <c r="AG630" s="1073"/>
      <c r="AH630" s="1074"/>
      <c r="AI630" s="1074"/>
      <c r="AJ630" s="1074"/>
      <c r="AK630" s="1074"/>
    </row>
    <row r="631">
      <c r="A631" s="1072"/>
      <c r="B631" s="1072"/>
      <c r="C631" s="1075"/>
      <c r="D631" s="1074"/>
      <c r="E631" s="1074"/>
      <c r="F631" s="1074"/>
      <c r="G631" s="1076"/>
      <c r="H631" s="1074"/>
      <c r="I631" s="1074"/>
      <c r="J631" s="1072"/>
      <c r="K631" s="1075"/>
      <c r="L631" s="1074"/>
      <c r="M631" s="1074"/>
      <c r="N631" s="1074"/>
      <c r="O631" s="1076"/>
      <c r="P631" s="1074"/>
      <c r="Q631" s="1074"/>
      <c r="R631" s="1072"/>
      <c r="S631" s="1073"/>
      <c r="T631" s="1074"/>
      <c r="U631" s="1074"/>
      <c r="V631" s="1074"/>
      <c r="W631" s="1074"/>
      <c r="X631" s="1074"/>
      <c r="Y631" s="1072"/>
      <c r="Z631" s="1073"/>
      <c r="AA631" s="1074"/>
      <c r="AB631" s="1074"/>
      <c r="AC631" s="1074"/>
      <c r="AD631" s="1074"/>
      <c r="AE631" s="1074"/>
      <c r="AF631" s="1072"/>
      <c r="AG631" s="1073"/>
      <c r="AH631" s="1074"/>
      <c r="AI631" s="1074"/>
      <c r="AJ631" s="1074"/>
      <c r="AK631" s="1074"/>
    </row>
    <row r="632">
      <c r="A632" s="1072"/>
      <c r="B632" s="1072"/>
      <c r="C632" s="1075"/>
      <c r="D632" s="1074"/>
      <c r="E632" s="1074"/>
      <c r="F632" s="1074"/>
      <c r="G632" s="1076"/>
      <c r="H632" s="1074"/>
      <c r="I632" s="1074"/>
      <c r="J632" s="1072"/>
      <c r="K632" s="1075"/>
      <c r="L632" s="1074"/>
      <c r="M632" s="1074"/>
      <c r="N632" s="1074"/>
      <c r="O632" s="1076"/>
      <c r="P632" s="1074"/>
      <c r="Q632" s="1074"/>
      <c r="R632" s="1072"/>
      <c r="S632" s="1073"/>
      <c r="T632" s="1074"/>
      <c r="U632" s="1074"/>
      <c r="V632" s="1074"/>
      <c r="W632" s="1074"/>
      <c r="X632" s="1074"/>
      <c r="Y632" s="1072"/>
      <c r="Z632" s="1073"/>
      <c r="AA632" s="1074"/>
      <c r="AB632" s="1074"/>
      <c r="AC632" s="1074"/>
      <c r="AD632" s="1074"/>
      <c r="AE632" s="1074"/>
      <c r="AF632" s="1072"/>
      <c r="AG632" s="1073"/>
      <c r="AH632" s="1074"/>
      <c r="AI632" s="1074"/>
      <c r="AJ632" s="1074"/>
      <c r="AK632" s="1074"/>
    </row>
    <row r="633">
      <c r="A633" s="1072"/>
      <c r="B633" s="1072"/>
      <c r="C633" s="1075"/>
      <c r="D633" s="1074"/>
      <c r="E633" s="1074"/>
      <c r="F633" s="1074"/>
      <c r="G633" s="1076"/>
      <c r="H633" s="1074"/>
      <c r="I633" s="1074"/>
      <c r="J633" s="1072"/>
      <c r="K633" s="1075"/>
      <c r="L633" s="1074"/>
      <c r="M633" s="1074"/>
      <c r="N633" s="1074"/>
      <c r="O633" s="1076"/>
      <c r="P633" s="1074"/>
      <c r="Q633" s="1074"/>
      <c r="R633" s="1072"/>
      <c r="S633" s="1073"/>
      <c r="T633" s="1074"/>
      <c r="U633" s="1074"/>
      <c r="V633" s="1074"/>
      <c r="W633" s="1074"/>
      <c r="X633" s="1074"/>
      <c r="Y633" s="1072"/>
      <c r="Z633" s="1073"/>
      <c r="AA633" s="1074"/>
      <c r="AB633" s="1074"/>
      <c r="AC633" s="1074"/>
      <c r="AD633" s="1074"/>
      <c r="AE633" s="1074"/>
      <c r="AF633" s="1072"/>
      <c r="AG633" s="1073"/>
      <c r="AH633" s="1074"/>
      <c r="AI633" s="1074"/>
      <c r="AJ633" s="1074"/>
      <c r="AK633" s="1074"/>
    </row>
    <row r="634">
      <c r="A634" s="1072"/>
      <c r="B634" s="1072"/>
      <c r="C634" s="1075"/>
      <c r="D634" s="1074"/>
      <c r="E634" s="1074"/>
      <c r="F634" s="1074"/>
      <c r="G634" s="1076"/>
      <c r="H634" s="1074"/>
      <c r="I634" s="1074"/>
      <c r="J634" s="1072"/>
      <c r="K634" s="1075"/>
      <c r="L634" s="1074"/>
      <c r="M634" s="1074"/>
      <c r="N634" s="1074"/>
      <c r="O634" s="1076"/>
      <c r="P634" s="1074"/>
      <c r="Q634" s="1074"/>
      <c r="R634" s="1072"/>
      <c r="S634" s="1073"/>
      <c r="T634" s="1074"/>
      <c r="U634" s="1074"/>
      <c r="V634" s="1074"/>
      <c r="W634" s="1074"/>
      <c r="X634" s="1074"/>
      <c r="Y634" s="1072"/>
      <c r="Z634" s="1073"/>
      <c r="AA634" s="1074"/>
      <c r="AB634" s="1074"/>
      <c r="AC634" s="1074"/>
      <c r="AD634" s="1074"/>
      <c r="AE634" s="1074"/>
      <c r="AF634" s="1072"/>
      <c r="AG634" s="1073"/>
      <c r="AH634" s="1074"/>
      <c r="AI634" s="1074"/>
      <c r="AJ634" s="1074"/>
      <c r="AK634" s="1074"/>
    </row>
    <row r="635">
      <c r="A635" s="1072"/>
      <c r="B635" s="1072"/>
      <c r="C635" s="1075"/>
      <c r="D635" s="1074"/>
      <c r="E635" s="1074"/>
      <c r="F635" s="1074"/>
      <c r="G635" s="1076"/>
      <c r="H635" s="1074"/>
      <c r="I635" s="1074"/>
      <c r="J635" s="1072"/>
      <c r="K635" s="1075"/>
      <c r="L635" s="1074"/>
      <c r="M635" s="1074"/>
      <c r="N635" s="1074"/>
      <c r="O635" s="1076"/>
      <c r="P635" s="1074"/>
      <c r="Q635" s="1074"/>
      <c r="R635" s="1072"/>
      <c r="S635" s="1073"/>
      <c r="T635" s="1074"/>
      <c r="U635" s="1074"/>
      <c r="V635" s="1074"/>
      <c r="W635" s="1074"/>
      <c r="X635" s="1074"/>
      <c r="Y635" s="1072"/>
      <c r="Z635" s="1073"/>
      <c r="AA635" s="1074"/>
      <c r="AB635" s="1074"/>
      <c r="AC635" s="1074"/>
      <c r="AD635" s="1074"/>
      <c r="AE635" s="1074"/>
      <c r="AF635" s="1072"/>
      <c r="AG635" s="1073"/>
      <c r="AH635" s="1074"/>
      <c r="AI635" s="1074"/>
      <c r="AJ635" s="1074"/>
      <c r="AK635" s="1074"/>
    </row>
    <row r="636">
      <c r="A636" s="1072"/>
      <c r="B636" s="1072"/>
      <c r="C636" s="1075"/>
      <c r="D636" s="1074"/>
      <c r="E636" s="1074"/>
      <c r="F636" s="1074"/>
      <c r="G636" s="1076"/>
      <c r="H636" s="1074"/>
      <c r="I636" s="1074"/>
      <c r="J636" s="1072"/>
      <c r="K636" s="1075"/>
      <c r="L636" s="1074"/>
      <c r="M636" s="1074"/>
      <c r="N636" s="1074"/>
      <c r="O636" s="1076"/>
      <c r="P636" s="1074"/>
      <c r="Q636" s="1074"/>
      <c r="R636" s="1072"/>
      <c r="S636" s="1073"/>
      <c r="T636" s="1074"/>
      <c r="U636" s="1074"/>
      <c r="V636" s="1074"/>
      <c r="W636" s="1074"/>
      <c r="X636" s="1074"/>
      <c r="Y636" s="1072"/>
      <c r="Z636" s="1073"/>
      <c r="AA636" s="1074"/>
      <c r="AB636" s="1074"/>
      <c r="AC636" s="1074"/>
      <c r="AD636" s="1074"/>
      <c r="AE636" s="1074"/>
      <c r="AF636" s="1072"/>
      <c r="AG636" s="1073"/>
      <c r="AH636" s="1074"/>
      <c r="AI636" s="1074"/>
      <c r="AJ636" s="1074"/>
      <c r="AK636" s="1074"/>
    </row>
    <row r="637">
      <c r="A637" s="1072"/>
      <c r="B637" s="1072"/>
      <c r="C637" s="1075"/>
      <c r="D637" s="1074"/>
      <c r="E637" s="1074"/>
      <c r="F637" s="1074"/>
      <c r="G637" s="1076"/>
      <c r="H637" s="1074"/>
      <c r="I637" s="1074"/>
      <c r="J637" s="1072"/>
      <c r="K637" s="1075"/>
      <c r="L637" s="1074"/>
      <c r="M637" s="1074"/>
      <c r="N637" s="1074"/>
      <c r="O637" s="1076"/>
      <c r="P637" s="1074"/>
      <c r="Q637" s="1074"/>
      <c r="R637" s="1072"/>
      <c r="S637" s="1073"/>
      <c r="T637" s="1074"/>
      <c r="U637" s="1074"/>
      <c r="V637" s="1074"/>
      <c r="W637" s="1074"/>
      <c r="X637" s="1074"/>
      <c r="Y637" s="1072"/>
      <c r="Z637" s="1073"/>
      <c r="AA637" s="1074"/>
      <c r="AB637" s="1074"/>
      <c r="AC637" s="1074"/>
      <c r="AD637" s="1074"/>
      <c r="AE637" s="1074"/>
      <c r="AF637" s="1072"/>
      <c r="AG637" s="1073"/>
      <c r="AH637" s="1074"/>
      <c r="AI637" s="1074"/>
      <c r="AJ637" s="1074"/>
      <c r="AK637" s="1074"/>
    </row>
    <row r="638">
      <c r="A638" s="1072"/>
      <c r="B638" s="1072"/>
      <c r="C638" s="1075"/>
      <c r="D638" s="1074"/>
      <c r="E638" s="1074"/>
      <c r="F638" s="1074"/>
      <c r="G638" s="1076"/>
      <c r="H638" s="1074"/>
      <c r="I638" s="1074"/>
      <c r="J638" s="1072"/>
      <c r="K638" s="1075"/>
      <c r="L638" s="1074"/>
      <c r="M638" s="1074"/>
      <c r="N638" s="1074"/>
      <c r="O638" s="1076"/>
      <c r="P638" s="1074"/>
      <c r="Q638" s="1074"/>
      <c r="R638" s="1072"/>
      <c r="S638" s="1073"/>
      <c r="T638" s="1074"/>
      <c r="U638" s="1074"/>
      <c r="V638" s="1074"/>
      <c r="W638" s="1074"/>
      <c r="X638" s="1074"/>
      <c r="Y638" s="1072"/>
      <c r="Z638" s="1073"/>
      <c r="AA638" s="1074"/>
      <c r="AB638" s="1074"/>
      <c r="AC638" s="1074"/>
      <c r="AD638" s="1074"/>
      <c r="AE638" s="1074"/>
      <c r="AF638" s="1072"/>
      <c r="AG638" s="1073"/>
      <c r="AH638" s="1074"/>
      <c r="AI638" s="1074"/>
      <c r="AJ638" s="1074"/>
      <c r="AK638" s="1074"/>
    </row>
    <row r="639">
      <c r="A639" s="1072"/>
      <c r="B639" s="1072"/>
      <c r="C639" s="1075"/>
      <c r="D639" s="1074"/>
      <c r="E639" s="1074"/>
      <c r="F639" s="1074"/>
      <c r="G639" s="1076"/>
      <c r="H639" s="1074"/>
      <c r="I639" s="1074"/>
      <c r="J639" s="1072"/>
      <c r="K639" s="1075"/>
      <c r="L639" s="1074"/>
      <c r="M639" s="1074"/>
      <c r="N639" s="1074"/>
      <c r="O639" s="1076"/>
      <c r="P639" s="1074"/>
      <c r="Q639" s="1074"/>
      <c r="R639" s="1072"/>
      <c r="S639" s="1073"/>
      <c r="T639" s="1074"/>
      <c r="U639" s="1074"/>
      <c r="V639" s="1074"/>
      <c r="W639" s="1074"/>
      <c r="X639" s="1074"/>
      <c r="Y639" s="1072"/>
      <c r="Z639" s="1073"/>
      <c r="AA639" s="1074"/>
      <c r="AB639" s="1074"/>
      <c r="AC639" s="1074"/>
      <c r="AD639" s="1074"/>
      <c r="AE639" s="1074"/>
      <c r="AF639" s="1072"/>
      <c r="AG639" s="1073"/>
      <c r="AH639" s="1074"/>
      <c r="AI639" s="1074"/>
      <c r="AJ639" s="1074"/>
      <c r="AK639" s="1074"/>
    </row>
    <row r="640">
      <c r="A640" s="1072"/>
      <c r="B640" s="1072"/>
      <c r="C640" s="1075"/>
      <c r="D640" s="1074"/>
      <c r="E640" s="1074"/>
      <c r="F640" s="1074"/>
      <c r="G640" s="1076"/>
      <c r="H640" s="1074"/>
      <c r="I640" s="1074"/>
      <c r="J640" s="1072"/>
      <c r="K640" s="1075"/>
      <c r="L640" s="1074"/>
      <c r="M640" s="1074"/>
      <c r="N640" s="1074"/>
      <c r="O640" s="1076"/>
      <c r="P640" s="1074"/>
      <c r="Q640" s="1074"/>
      <c r="R640" s="1072"/>
      <c r="S640" s="1073"/>
      <c r="T640" s="1074"/>
      <c r="U640" s="1074"/>
      <c r="V640" s="1074"/>
      <c r="W640" s="1074"/>
      <c r="X640" s="1074"/>
      <c r="Y640" s="1072"/>
      <c r="Z640" s="1073"/>
      <c r="AA640" s="1074"/>
      <c r="AB640" s="1074"/>
      <c r="AC640" s="1074"/>
      <c r="AD640" s="1074"/>
      <c r="AE640" s="1074"/>
      <c r="AF640" s="1072"/>
      <c r="AG640" s="1073"/>
      <c r="AH640" s="1074"/>
      <c r="AI640" s="1074"/>
      <c r="AJ640" s="1074"/>
      <c r="AK640" s="1074"/>
    </row>
    <row r="641">
      <c r="A641" s="1072"/>
      <c r="B641" s="1072"/>
      <c r="C641" s="1075"/>
      <c r="D641" s="1074"/>
      <c r="E641" s="1074"/>
      <c r="F641" s="1074"/>
      <c r="G641" s="1076"/>
      <c r="H641" s="1074"/>
      <c r="I641" s="1074"/>
      <c r="J641" s="1072"/>
      <c r="K641" s="1075"/>
      <c r="L641" s="1074"/>
      <c r="M641" s="1074"/>
      <c r="N641" s="1074"/>
      <c r="O641" s="1076"/>
      <c r="P641" s="1074"/>
      <c r="Q641" s="1074"/>
      <c r="R641" s="1072"/>
      <c r="S641" s="1073"/>
      <c r="T641" s="1074"/>
      <c r="U641" s="1074"/>
      <c r="V641" s="1074"/>
      <c r="W641" s="1074"/>
      <c r="X641" s="1074"/>
      <c r="Y641" s="1072"/>
      <c r="Z641" s="1073"/>
      <c r="AA641" s="1074"/>
      <c r="AB641" s="1074"/>
      <c r="AC641" s="1074"/>
      <c r="AD641" s="1074"/>
      <c r="AE641" s="1074"/>
      <c r="AF641" s="1072"/>
      <c r="AG641" s="1073"/>
      <c r="AH641" s="1074"/>
      <c r="AI641" s="1074"/>
      <c r="AJ641" s="1074"/>
      <c r="AK641" s="1074"/>
    </row>
    <row r="642">
      <c r="A642" s="1072"/>
      <c r="B642" s="1072"/>
      <c r="C642" s="1075"/>
      <c r="D642" s="1074"/>
      <c r="E642" s="1074"/>
      <c r="F642" s="1074"/>
      <c r="G642" s="1076"/>
      <c r="H642" s="1074"/>
      <c r="I642" s="1074"/>
      <c r="J642" s="1072"/>
      <c r="K642" s="1075"/>
      <c r="L642" s="1074"/>
      <c r="M642" s="1074"/>
      <c r="N642" s="1074"/>
      <c r="O642" s="1076"/>
      <c r="P642" s="1074"/>
      <c r="Q642" s="1074"/>
      <c r="R642" s="1072"/>
      <c r="S642" s="1073"/>
      <c r="T642" s="1074"/>
      <c r="U642" s="1074"/>
      <c r="V642" s="1074"/>
      <c r="W642" s="1074"/>
      <c r="X642" s="1074"/>
      <c r="Y642" s="1072"/>
      <c r="Z642" s="1073"/>
      <c r="AA642" s="1074"/>
      <c r="AB642" s="1074"/>
      <c r="AC642" s="1074"/>
      <c r="AD642" s="1074"/>
      <c r="AE642" s="1074"/>
      <c r="AF642" s="1072"/>
      <c r="AG642" s="1073"/>
      <c r="AH642" s="1074"/>
      <c r="AI642" s="1074"/>
      <c r="AJ642" s="1074"/>
      <c r="AK642" s="1074"/>
    </row>
    <row r="643">
      <c r="A643" s="1072"/>
      <c r="B643" s="1072"/>
      <c r="C643" s="1075"/>
      <c r="D643" s="1074"/>
      <c r="E643" s="1074"/>
      <c r="F643" s="1074"/>
      <c r="G643" s="1076"/>
      <c r="H643" s="1074"/>
      <c r="I643" s="1074"/>
      <c r="J643" s="1072"/>
      <c r="K643" s="1075"/>
      <c r="L643" s="1074"/>
      <c r="M643" s="1074"/>
      <c r="N643" s="1074"/>
      <c r="O643" s="1076"/>
      <c r="P643" s="1074"/>
      <c r="Q643" s="1074"/>
      <c r="R643" s="1072"/>
      <c r="S643" s="1073"/>
      <c r="T643" s="1074"/>
      <c r="U643" s="1074"/>
      <c r="V643" s="1074"/>
      <c r="W643" s="1074"/>
      <c r="X643" s="1074"/>
      <c r="Y643" s="1072"/>
      <c r="Z643" s="1073"/>
      <c r="AA643" s="1074"/>
      <c r="AB643" s="1074"/>
      <c r="AC643" s="1074"/>
      <c r="AD643" s="1074"/>
      <c r="AE643" s="1074"/>
      <c r="AF643" s="1072"/>
      <c r="AG643" s="1073"/>
      <c r="AH643" s="1074"/>
      <c r="AI643" s="1074"/>
      <c r="AJ643" s="1074"/>
      <c r="AK643" s="1074"/>
    </row>
    <row r="644">
      <c r="A644" s="1072"/>
      <c r="B644" s="1072"/>
      <c r="C644" s="1075"/>
      <c r="D644" s="1074"/>
      <c r="E644" s="1074"/>
      <c r="F644" s="1074"/>
      <c r="G644" s="1076"/>
      <c r="H644" s="1074"/>
      <c r="I644" s="1074"/>
      <c r="J644" s="1072"/>
      <c r="K644" s="1075"/>
      <c r="L644" s="1074"/>
      <c r="M644" s="1074"/>
      <c r="N644" s="1074"/>
      <c r="O644" s="1076"/>
      <c r="P644" s="1074"/>
      <c r="Q644" s="1074"/>
      <c r="R644" s="1072"/>
      <c r="S644" s="1073"/>
      <c r="T644" s="1074"/>
      <c r="U644" s="1074"/>
      <c r="V644" s="1074"/>
      <c r="W644" s="1074"/>
      <c r="X644" s="1074"/>
      <c r="Y644" s="1072"/>
      <c r="Z644" s="1073"/>
      <c r="AA644" s="1074"/>
      <c r="AB644" s="1074"/>
      <c r="AC644" s="1074"/>
      <c r="AD644" s="1074"/>
      <c r="AE644" s="1074"/>
      <c r="AF644" s="1072"/>
      <c r="AG644" s="1073"/>
      <c r="AH644" s="1074"/>
      <c r="AI644" s="1074"/>
      <c r="AJ644" s="1074"/>
      <c r="AK644" s="1074"/>
    </row>
    <row r="645">
      <c r="A645" s="1072"/>
      <c r="B645" s="1072"/>
      <c r="C645" s="1075"/>
      <c r="D645" s="1074"/>
      <c r="E645" s="1074"/>
      <c r="F645" s="1074"/>
      <c r="G645" s="1076"/>
      <c r="H645" s="1074"/>
      <c r="I645" s="1074"/>
      <c r="J645" s="1072"/>
      <c r="K645" s="1075"/>
      <c r="L645" s="1074"/>
      <c r="M645" s="1074"/>
      <c r="N645" s="1074"/>
      <c r="O645" s="1076"/>
      <c r="P645" s="1074"/>
      <c r="Q645" s="1074"/>
      <c r="R645" s="1072"/>
      <c r="S645" s="1073"/>
      <c r="T645" s="1074"/>
      <c r="U645" s="1074"/>
      <c r="V645" s="1074"/>
      <c r="W645" s="1074"/>
      <c r="X645" s="1074"/>
      <c r="Y645" s="1072"/>
      <c r="Z645" s="1073"/>
      <c r="AA645" s="1074"/>
      <c r="AB645" s="1074"/>
      <c r="AC645" s="1074"/>
      <c r="AD645" s="1074"/>
      <c r="AE645" s="1074"/>
      <c r="AF645" s="1072"/>
      <c r="AG645" s="1073"/>
      <c r="AH645" s="1074"/>
      <c r="AI645" s="1074"/>
      <c r="AJ645" s="1074"/>
      <c r="AK645" s="1074"/>
    </row>
    <row r="646">
      <c r="A646" s="1072"/>
      <c r="B646" s="1072"/>
      <c r="C646" s="1075"/>
      <c r="D646" s="1074"/>
      <c r="E646" s="1074"/>
      <c r="F646" s="1074"/>
      <c r="G646" s="1076"/>
      <c r="H646" s="1074"/>
      <c r="I646" s="1074"/>
      <c r="J646" s="1072"/>
      <c r="K646" s="1075"/>
      <c r="L646" s="1074"/>
      <c r="M646" s="1074"/>
      <c r="N646" s="1074"/>
      <c r="O646" s="1076"/>
      <c r="P646" s="1074"/>
      <c r="Q646" s="1074"/>
      <c r="R646" s="1072"/>
      <c r="S646" s="1073"/>
      <c r="T646" s="1074"/>
      <c r="U646" s="1074"/>
      <c r="V646" s="1074"/>
      <c r="W646" s="1074"/>
      <c r="X646" s="1074"/>
      <c r="Y646" s="1072"/>
      <c r="Z646" s="1073"/>
      <c r="AA646" s="1074"/>
      <c r="AB646" s="1074"/>
      <c r="AC646" s="1074"/>
      <c r="AD646" s="1074"/>
      <c r="AE646" s="1074"/>
      <c r="AF646" s="1072"/>
      <c r="AG646" s="1073"/>
      <c r="AH646" s="1074"/>
      <c r="AI646" s="1074"/>
      <c r="AJ646" s="1074"/>
      <c r="AK646" s="1074"/>
    </row>
    <row r="647">
      <c r="A647" s="1072"/>
      <c r="B647" s="1072"/>
      <c r="C647" s="1075"/>
      <c r="D647" s="1074"/>
      <c r="E647" s="1074"/>
      <c r="F647" s="1074"/>
      <c r="G647" s="1076"/>
      <c r="H647" s="1074"/>
      <c r="I647" s="1074"/>
      <c r="J647" s="1072"/>
      <c r="K647" s="1075"/>
      <c r="L647" s="1074"/>
      <c r="M647" s="1074"/>
      <c r="N647" s="1074"/>
      <c r="O647" s="1076"/>
      <c r="P647" s="1074"/>
      <c r="Q647" s="1074"/>
      <c r="R647" s="1072"/>
      <c r="S647" s="1073"/>
      <c r="T647" s="1074"/>
      <c r="U647" s="1074"/>
      <c r="V647" s="1074"/>
      <c r="W647" s="1074"/>
      <c r="X647" s="1074"/>
      <c r="Y647" s="1072"/>
      <c r="Z647" s="1073"/>
      <c r="AA647" s="1074"/>
      <c r="AB647" s="1074"/>
      <c r="AC647" s="1074"/>
      <c r="AD647" s="1074"/>
      <c r="AE647" s="1074"/>
      <c r="AF647" s="1072"/>
      <c r="AG647" s="1073"/>
      <c r="AH647" s="1074"/>
      <c r="AI647" s="1074"/>
      <c r="AJ647" s="1074"/>
      <c r="AK647" s="1074"/>
    </row>
    <row r="648">
      <c r="A648" s="1072"/>
      <c r="B648" s="1072"/>
      <c r="C648" s="1075"/>
      <c r="D648" s="1074"/>
      <c r="E648" s="1074"/>
      <c r="F648" s="1074"/>
      <c r="G648" s="1076"/>
      <c r="H648" s="1074"/>
      <c r="I648" s="1074"/>
      <c r="J648" s="1072"/>
      <c r="K648" s="1075"/>
      <c r="L648" s="1074"/>
      <c r="M648" s="1074"/>
      <c r="N648" s="1074"/>
      <c r="O648" s="1076"/>
      <c r="P648" s="1074"/>
      <c r="Q648" s="1074"/>
      <c r="R648" s="1072"/>
      <c r="S648" s="1073"/>
      <c r="T648" s="1074"/>
      <c r="U648" s="1074"/>
      <c r="V648" s="1074"/>
      <c r="W648" s="1074"/>
      <c r="X648" s="1074"/>
      <c r="Y648" s="1072"/>
      <c r="Z648" s="1073"/>
      <c r="AA648" s="1074"/>
      <c r="AB648" s="1074"/>
      <c r="AC648" s="1074"/>
      <c r="AD648" s="1074"/>
      <c r="AE648" s="1074"/>
      <c r="AF648" s="1072"/>
      <c r="AG648" s="1073"/>
      <c r="AH648" s="1074"/>
      <c r="AI648" s="1074"/>
      <c r="AJ648" s="1074"/>
      <c r="AK648" s="1074"/>
    </row>
    <row r="649">
      <c r="A649" s="1072"/>
      <c r="B649" s="1072"/>
      <c r="C649" s="1075"/>
      <c r="D649" s="1074"/>
      <c r="E649" s="1074"/>
      <c r="F649" s="1074"/>
      <c r="G649" s="1076"/>
      <c r="H649" s="1074"/>
      <c r="I649" s="1074"/>
      <c r="J649" s="1072"/>
      <c r="K649" s="1075"/>
      <c r="L649" s="1074"/>
      <c r="M649" s="1074"/>
      <c r="N649" s="1074"/>
      <c r="O649" s="1076"/>
      <c r="P649" s="1074"/>
      <c r="Q649" s="1074"/>
      <c r="R649" s="1072"/>
      <c r="S649" s="1073"/>
      <c r="T649" s="1074"/>
      <c r="U649" s="1074"/>
      <c r="V649" s="1074"/>
      <c r="W649" s="1074"/>
      <c r="X649" s="1074"/>
      <c r="Y649" s="1072"/>
      <c r="Z649" s="1073"/>
      <c r="AA649" s="1074"/>
      <c r="AB649" s="1074"/>
      <c r="AC649" s="1074"/>
      <c r="AD649" s="1074"/>
      <c r="AE649" s="1074"/>
      <c r="AF649" s="1072"/>
      <c r="AG649" s="1073"/>
      <c r="AH649" s="1074"/>
      <c r="AI649" s="1074"/>
      <c r="AJ649" s="1074"/>
      <c r="AK649" s="1074"/>
    </row>
    <row r="650">
      <c r="A650" s="1072"/>
      <c r="B650" s="1072"/>
      <c r="C650" s="1075"/>
      <c r="D650" s="1074"/>
      <c r="E650" s="1074"/>
      <c r="F650" s="1074"/>
      <c r="G650" s="1076"/>
      <c r="H650" s="1074"/>
      <c r="I650" s="1074"/>
      <c r="J650" s="1072"/>
      <c r="K650" s="1075"/>
      <c r="L650" s="1074"/>
      <c r="M650" s="1074"/>
      <c r="N650" s="1074"/>
      <c r="O650" s="1076"/>
      <c r="P650" s="1074"/>
      <c r="Q650" s="1074"/>
      <c r="R650" s="1072"/>
      <c r="S650" s="1073"/>
      <c r="T650" s="1074"/>
      <c r="U650" s="1074"/>
      <c r="V650" s="1074"/>
      <c r="W650" s="1074"/>
      <c r="X650" s="1074"/>
      <c r="Y650" s="1072"/>
      <c r="Z650" s="1073"/>
      <c r="AA650" s="1074"/>
      <c r="AB650" s="1074"/>
      <c r="AC650" s="1074"/>
      <c r="AD650" s="1074"/>
      <c r="AE650" s="1074"/>
      <c r="AF650" s="1072"/>
      <c r="AG650" s="1073"/>
      <c r="AH650" s="1074"/>
      <c r="AI650" s="1074"/>
      <c r="AJ650" s="1074"/>
      <c r="AK650" s="1074"/>
    </row>
    <row r="651">
      <c r="A651" s="1072"/>
      <c r="B651" s="1072"/>
      <c r="C651" s="1075"/>
      <c r="D651" s="1074"/>
      <c r="E651" s="1074"/>
      <c r="F651" s="1074"/>
      <c r="G651" s="1076"/>
      <c r="H651" s="1074"/>
      <c r="I651" s="1074"/>
      <c r="J651" s="1072"/>
      <c r="K651" s="1075"/>
      <c r="L651" s="1074"/>
      <c r="M651" s="1074"/>
      <c r="N651" s="1074"/>
      <c r="O651" s="1076"/>
      <c r="P651" s="1074"/>
      <c r="Q651" s="1074"/>
      <c r="R651" s="1072"/>
      <c r="S651" s="1073"/>
      <c r="T651" s="1074"/>
      <c r="U651" s="1074"/>
      <c r="V651" s="1074"/>
      <c r="W651" s="1074"/>
      <c r="X651" s="1074"/>
      <c r="Y651" s="1072"/>
      <c r="Z651" s="1073"/>
      <c r="AA651" s="1074"/>
      <c r="AB651" s="1074"/>
      <c r="AC651" s="1074"/>
      <c r="AD651" s="1074"/>
      <c r="AE651" s="1074"/>
      <c r="AF651" s="1072"/>
      <c r="AG651" s="1073"/>
      <c r="AH651" s="1074"/>
      <c r="AI651" s="1074"/>
      <c r="AJ651" s="1074"/>
      <c r="AK651" s="1074"/>
    </row>
    <row r="652">
      <c r="A652" s="1072"/>
      <c r="B652" s="1072"/>
      <c r="C652" s="1075"/>
      <c r="D652" s="1074"/>
      <c r="E652" s="1074"/>
      <c r="F652" s="1074"/>
      <c r="G652" s="1076"/>
      <c r="H652" s="1074"/>
      <c r="I652" s="1074"/>
      <c r="J652" s="1072"/>
      <c r="K652" s="1075"/>
      <c r="L652" s="1074"/>
      <c r="M652" s="1074"/>
      <c r="N652" s="1074"/>
      <c r="O652" s="1076"/>
      <c r="P652" s="1074"/>
      <c r="Q652" s="1074"/>
      <c r="R652" s="1072"/>
      <c r="S652" s="1073"/>
      <c r="T652" s="1074"/>
      <c r="U652" s="1074"/>
      <c r="V652" s="1074"/>
      <c r="W652" s="1074"/>
      <c r="X652" s="1074"/>
      <c r="Y652" s="1072"/>
      <c r="Z652" s="1073"/>
      <c r="AA652" s="1074"/>
      <c r="AB652" s="1074"/>
      <c r="AC652" s="1074"/>
      <c r="AD652" s="1074"/>
      <c r="AE652" s="1074"/>
      <c r="AF652" s="1072"/>
      <c r="AG652" s="1073"/>
      <c r="AH652" s="1074"/>
      <c r="AI652" s="1074"/>
      <c r="AJ652" s="1074"/>
      <c r="AK652" s="1074"/>
    </row>
    <row r="653">
      <c r="A653" s="1072"/>
      <c r="B653" s="1072"/>
      <c r="C653" s="1075"/>
      <c r="D653" s="1074"/>
      <c r="E653" s="1074"/>
      <c r="F653" s="1074"/>
      <c r="G653" s="1076"/>
      <c r="H653" s="1074"/>
      <c r="I653" s="1074"/>
      <c r="J653" s="1072"/>
      <c r="K653" s="1075"/>
      <c r="L653" s="1074"/>
      <c r="M653" s="1074"/>
      <c r="N653" s="1074"/>
      <c r="O653" s="1076"/>
      <c r="P653" s="1074"/>
      <c r="Q653" s="1074"/>
      <c r="R653" s="1072"/>
      <c r="S653" s="1073"/>
      <c r="T653" s="1074"/>
      <c r="U653" s="1074"/>
      <c r="V653" s="1074"/>
      <c r="W653" s="1074"/>
      <c r="X653" s="1074"/>
      <c r="Y653" s="1072"/>
      <c r="Z653" s="1073"/>
      <c r="AA653" s="1074"/>
      <c r="AB653" s="1074"/>
      <c r="AC653" s="1074"/>
      <c r="AD653" s="1074"/>
      <c r="AE653" s="1074"/>
      <c r="AF653" s="1072"/>
      <c r="AG653" s="1073"/>
      <c r="AH653" s="1074"/>
      <c r="AI653" s="1074"/>
      <c r="AJ653" s="1074"/>
      <c r="AK653" s="1074"/>
    </row>
    <row r="654">
      <c r="A654" s="1072"/>
      <c r="B654" s="1072"/>
      <c r="C654" s="1075"/>
      <c r="D654" s="1074"/>
      <c r="E654" s="1074"/>
      <c r="F654" s="1074"/>
      <c r="G654" s="1076"/>
      <c r="H654" s="1074"/>
      <c r="I654" s="1074"/>
      <c r="J654" s="1072"/>
      <c r="K654" s="1075"/>
      <c r="L654" s="1074"/>
      <c r="M654" s="1074"/>
      <c r="N654" s="1074"/>
      <c r="O654" s="1076"/>
      <c r="P654" s="1074"/>
      <c r="Q654" s="1074"/>
      <c r="R654" s="1072"/>
      <c r="S654" s="1073"/>
      <c r="T654" s="1074"/>
      <c r="U654" s="1074"/>
      <c r="V654" s="1074"/>
      <c r="W654" s="1074"/>
      <c r="X654" s="1074"/>
      <c r="Y654" s="1072"/>
      <c r="Z654" s="1073"/>
      <c r="AA654" s="1074"/>
      <c r="AB654" s="1074"/>
      <c r="AC654" s="1074"/>
      <c r="AD654" s="1074"/>
      <c r="AE654" s="1074"/>
      <c r="AF654" s="1072"/>
      <c r="AG654" s="1073"/>
      <c r="AH654" s="1074"/>
      <c r="AI654" s="1074"/>
      <c r="AJ654" s="1074"/>
      <c r="AK654" s="1074"/>
    </row>
    <row r="655">
      <c r="A655" s="1072"/>
      <c r="B655" s="1072"/>
      <c r="C655" s="1075"/>
      <c r="D655" s="1074"/>
      <c r="E655" s="1074"/>
      <c r="F655" s="1074"/>
      <c r="G655" s="1076"/>
      <c r="H655" s="1074"/>
      <c r="I655" s="1074"/>
      <c r="J655" s="1072"/>
      <c r="K655" s="1075"/>
      <c r="L655" s="1074"/>
      <c r="M655" s="1074"/>
      <c r="N655" s="1074"/>
      <c r="O655" s="1076"/>
      <c r="P655" s="1074"/>
      <c r="Q655" s="1074"/>
      <c r="R655" s="1072"/>
      <c r="S655" s="1073"/>
      <c r="T655" s="1074"/>
      <c r="U655" s="1074"/>
      <c r="V655" s="1074"/>
      <c r="W655" s="1074"/>
      <c r="X655" s="1074"/>
      <c r="Y655" s="1072"/>
      <c r="Z655" s="1073"/>
      <c r="AA655" s="1074"/>
      <c r="AB655" s="1074"/>
      <c r="AC655" s="1074"/>
      <c r="AD655" s="1074"/>
      <c r="AE655" s="1074"/>
      <c r="AF655" s="1072"/>
      <c r="AG655" s="1073"/>
      <c r="AH655" s="1074"/>
      <c r="AI655" s="1074"/>
      <c r="AJ655" s="1074"/>
      <c r="AK655" s="1074"/>
    </row>
    <row r="656">
      <c r="A656" s="1072"/>
      <c r="B656" s="1072"/>
      <c r="C656" s="1075"/>
      <c r="D656" s="1074"/>
      <c r="E656" s="1074"/>
      <c r="F656" s="1074"/>
      <c r="G656" s="1076"/>
      <c r="H656" s="1074"/>
      <c r="I656" s="1074"/>
      <c r="J656" s="1072"/>
      <c r="K656" s="1075"/>
      <c r="L656" s="1074"/>
      <c r="M656" s="1074"/>
      <c r="N656" s="1074"/>
      <c r="O656" s="1076"/>
      <c r="P656" s="1074"/>
      <c r="Q656" s="1074"/>
      <c r="R656" s="1072"/>
      <c r="S656" s="1073"/>
      <c r="T656" s="1074"/>
      <c r="U656" s="1074"/>
      <c r="V656" s="1074"/>
      <c r="W656" s="1074"/>
      <c r="X656" s="1074"/>
      <c r="Y656" s="1072"/>
      <c r="Z656" s="1073"/>
      <c r="AA656" s="1074"/>
      <c r="AB656" s="1074"/>
      <c r="AC656" s="1074"/>
      <c r="AD656" s="1074"/>
      <c r="AE656" s="1074"/>
      <c r="AF656" s="1072"/>
      <c r="AG656" s="1073"/>
      <c r="AH656" s="1074"/>
      <c r="AI656" s="1074"/>
      <c r="AJ656" s="1074"/>
      <c r="AK656" s="1074"/>
    </row>
    <row r="657">
      <c r="A657" s="1072"/>
      <c r="B657" s="1072"/>
      <c r="C657" s="1075"/>
      <c r="D657" s="1074"/>
      <c r="E657" s="1074"/>
      <c r="F657" s="1074"/>
      <c r="G657" s="1076"/>
      <c r="H657" s="1074"/>
      <c r="I657" s="1074"/>
      <c r="J657" s="1072"/>
      <c r="K657" s="1075"/>
      <c r="L657" s="1074"/>
      <c r="M657" s="1074"/>
      <c r="N657" s="1074"/>
      <c r="O657" s="1076"/>
      <c r="P657" s="1074"/>
      <c r="Q657" s="1074"/>
      <c r="R657" s="1072"/>
      <c r="S657" s="1073"/>
      <c r="T657" s="1074"/>
      <c r="U657" s="1074"/>
      <c r="V657" s="1074"/>
      <c r="W657" s="1074"/>
      <c r="X657" s="1074"/>
      <c r="Y657" s="1072"/>
      <c r="Z657" s="1073"/>
      <c r="AA657" s="1074"/>
      <c r="AB657" s="1074"/>
      <c r="AC657" s="1074"/>
      <c r="AD657" s="1074"/>
      <c r="AE657" s="1074"/>
      <c r="AF657" s="1072"/>
      <c r="AG657" s="1073"/>
      <c r="AH657" s="1074"/>
      <c r="AI657" s="1074"/>
      <c r="AJ657" s="1074"/>
      <c r="AK657" s="1074"/>
    </row>
    <row r="658">
      <c r="A658" s="1072"/>
      <c r="B658" s="1072"/>
      <c r="C658" s="1075"/>
      <c r="D658" s="1074"/>
      <c r="E658" s="1074"/>
      <c r="F658" s="1074"/>
      <c r="G658" s="1076"/>
      <c r="H658" s="1074"/>
      <c r="I658" s="1074"/>
      <c r="J658" s="1072"/>
      <c r="K658" s="1075"/>
      <c r="L658" s="1074"/>
      <c r="M658" s="1074"/>
      <c r="N658" s="1074"/>
      <c r="O658" s="1076"/>
      <c r="P658" s="1074"/>
      <c r="Q658" s="1074"/>
      <c r="R658" s="1072"/>
      <c r="S658" s="1073"/>
      <c r="T658" s="1074"/>
      <c r="U658" s="1074"/>
      <c r="V658" s="1074"/>
      <c r="W658" s="1074"/>
      <c r="X658" s="1074"/>
      <c r="Y658" s="1072"/>
      <c r="Z658" s="1073"/>
      <c r="AA658" s="1074"/>
      <c r="AB658" s="1074"/>
      <c r="AC658" s="1074"/>
      <c r="AD658" s="1074"/>
      <c r="AE658" s="1074"/>
      <c r="AF658" s="1072"/>
      <c r="AG658" s="1073"/>
      <c r="AH658" s="1074"/>
      <c r="AI658" s="1074"/>
      <c r="AJ658" s="1074"/>
      <c r="AK658" s="1074"/>
    </row>
    <row r="659">
      <c r="A659" s="1072"/>
      <c r="B659" s="1072"/>
      <c r="C659" s="1075"/>
      <c r="D659" s="1074"/>
      <c r="E659" s="1074"/>
      <c r="F659" s="1074"/>
      <c r="G659" s="1076"/>
      <c r="H659" s="1074"/>
      <c r="I659" s="1074"/>
      <c r="J659" s="1072"/>
      <c r="K659" s="1075"/>
      <c r="L659" s="1074"/>
      <c r="M659" s="1074"/>
      <c r="N659" s="1074"/>
      <c r="O659" s="1076"/>
      <c r="P659" s="1074"/>
      <c r="Q659" s="1074"/>
      <c r="R659" s="1072"/>
      <c r="S659" s="1073"/>
      <c r="T659" s="1074"/>
      <c r="U659" s="1074"/>
      <c r="V659" s="1074"/>
      <c r="W659" s="1074"/>
      <c r="X659" s="1074"/>
      <c r="Y659" s="1072"/>
      <c r="Z659" s="1073"/>
      <c r="AA659" s="1074"/>
      <c r="AB659" s="1074"/>
      <c r="AC659" s="1074"/>
      <c r="AD659" s="1074"/>
      <c r="AE659" s="1074"/>
      <c r="AF659" s="1072"/>
      <c r="AG659" s="1073"/>
      <c r="AH659" s="1074"/>
      <c r="AI659" s="1074"/>
      <c r="AJ659" s="1074"/>
      <c r="AK659" s="1074"/>
    </row>
    <row r="660">
      <c r="A660" s="1072"/>
      <c r="B660" s="1072"/>
      <c r="C660" s="1075"/>
      <c r="D660" s="1074"/>
      <c r="E660" s="1074"/>
      <c r="F660" s="1074"/>
      <c r="G660" s="1076"/>
      <c r="H660" s="1074"/>
      <c r="I660" s="1074"/>
      <c r="J660" s="1072"/>
      <c r="K660" s="1075"/>
      <c r="L660" s="1074"/>
      <c r="M660" s="1074"/>
      <c r="N660" s="1074"/>
      <c r="O660" s="1076"/>
      <c r="P660" s="1074"/>
      <c r="Q660" s="1074"/>
      <c r="R660" s="1072"/>
      <c r="S660" s="1073"/>
      <c r="T660" s="1074"/>
      <c r="U660" s="1074"/>
      <c r="V660" s="1074"/>
      <c r="W660" s="1074"/>
      <c r="X660" s="1074"/>
      <c r="Y660" s="1072"/>
      <c r="Z660" s="1073"/>
      <c r="AA660" s="1074"/>
      <c r="AB660" s="1074"/>
      <c r="AC660" s="1074"/>
      <c r="AD660" s="1074"/>
      <c r="AE660" s="1074"/>
      <c r="AF660" s="1072"/>
      <c r="AG660" s="1073"/>
      <c r="AH660" s="1074"/>
      <c r="AI660" s="1074"/>
      <c r="AJ660" s="1074"/>
      <c r="AK660" s="1074"/>
    </row>
    <row r="661">
      <c r="A661" s="1072"/>
      <c r="B661" s="1072"/>
      <c r="C661" s="1075"/>
      <c r="D661" s="1074"/>
      <c r="E661" s="1074"/>
      <c r="F661" s="1074"/>
      <c r="G661" s="1076"/>
      <c r="H661" s="1074"/>
      <c r="I661" s="1074"/>
      <c r="J661" s="1072"/>
      <c r="K661" s="1075"/>
      <c r="L661" s="1074"/>
      <c r="M661" s="1074"/>
      <c r="N661" s="1074"/>
      <c r="O661" s="1076"/>
      <c r="P661" s="1074"/>
      <c r="Q661" s="1074"/>
      <c r="R661" s="1072"/>
      <c r="S661" s="1073"/>
      <c r="T661" s="1074"/>
      <c r="U661" s="1074"/>
      <c r="V661" s="1074"/>
      <c r="W661" s="1074"/>
      <c r="X661" s="1074"/>
      <c r="Y661" s="1072"/>
      <c r="Z661" s="1073"/>
      <c r="AA661" s="1074"/>
      <c r="AB661" s="1074"/>
      <c r="AC661" s="1074"/>
      <c r="AD661" s="1074"/>
      <c r="AE661" s="1074"/>
      <c r="AF661" s="1072"/>
      <c r="AG661" s="1073"/>
      <c r="AH661" s="1074"/>
      <c r="AI661" s="1074"/>
      <c r="AJ661" s="1074"/>
      <c r="AK661" s="1074"/>
    </row>
    <row r="662">
      <c r="A662" s="1072"/>
      <c r="B662" s="1072"/>
      <c r="C662" s="1075"/>
      <c r="D662" s="1074"/>
      <c r="E662" s="1074"/>
      <c r="F662" s="1074"/>
      <c r="G662" s="1076"/>
      <c r="H662" s="1074"/>
      <c r="I662" s="1074"/>
      <c r="J662" s="1072"/>
      <c r="K662" s="1075"/>
      <c r="L662" s="1074"/>
      <c r="M662" s="1074"/>
      <c r="N662" s="1074"/>
      <c r="O662" s="1076"/>
      <c r="P662" s="1074"/>
      <c r="Q662" s="1074"/>
      <c r="R662" s="1072"/>
      <c r="S662" s="1073"/>
      <c r="T662" s="1074"/>
      <c r="U662" s="1074"/>
      <c r="V662" s="1074"/>
      <c r="W662" s="1074"/>
      <c r="X662" s="1074"/>
      <c r="Y662" s="1072"/>
      <c r="Z662" s="1073"/>
      <c r="AA662" s="1074"/>
      <c r="AB662" s="1074"/>
      <c r="AC662" s="1074"/>
      <c r="AD662" s="1074"/>
      <c r="AE662" s="1074"/>
      <c r="AF662" s="1072"/>
      <c r="AG662" s="1073"/>
      <c r="AH662" s="1074"/>
      <c r="AI662" s="1074"/>
      <c r="AJ662" s="1074"/>
      <c r="AK662" s="1074"/>
    </row>
    <row r="663">
      <c r="A663" s="1072"/>
      <c r="B663" s="1072"/>
      <c r="C663" s="1075"/>
      <c r="D663" s="1074"/>
      <c r="E663" s="1074"/>
      <c r="F663" s="1074"/>
      <c r="G663" s="1076"/>
      <c r="H663" s="1074"/>
      <c r="I663" s="1074"/>
      <c r="J663" s="1072"/>
      <c r="K663" s="1075"/>
      <c r="L663" s="1074"/>
      <c r="M663" s="1074"/>
      <c r="N663" s="1074"/>
      <c r="O663" s="1076"/>
      <c r="P663" s="1074"/>
      <c r="Q663" s="1074"/>
      <c r="R663" s="1072"/>
      <c r="S663" s="1073"/>
      <c r="T663" s="1074"/>
      <c r="U663" s="1074"/>
      <c r="V663" s="1074"/>
      <c r="W663" s="1074"/>
      <c r="X663" s="1074"/>
      <c r="Y663" s="1072"/>
      <c r="Z663" s="1073"/>
      <c r="AA663" s="1074"/>
      <c r="AB663" s="1074"/>
      <c r="AC663" s="1074"/>
      <c r="AD663" s="1074"/>
      <c r="AE663" s="1074"/>
      <c r="AF663" s="1072"/>
      <c r="AG663" s="1073"/>
      <c r="AH663" s="1074"/>
      <c r="AI663" s="1074"/>
      <c r="AJ663" s="1074"/>
      <c r="AK663" s="1074"/>
    </row>
    <row r="664">
      <c r="A664" s="1072"/>
      <c r="B664" s="1072"/>
      <c r="C664" s="1075"/>
      <c r="D664" s="1074"/>
      <c r="E664" s="1074"/>
      <c r="F664" s="1074"/>
      <c r="G664" s="1076"/>
      <c r="H664" s="1074"/>
      <c r="I664" s="1074"/>
      <c r="J664" s="1072"/>
      <c r="K664" s="1075"/>
      <c r="L664" s="1074"/>
      <c r="M664" s="1074"/>
      <c r="N664" s="1074"/>
      <c r="O664" s="1076"/>
      <c r="P664" s="1074"/>
      <c r="Q664" s="1074"/>
      <c r="R664" s="1072"/>
      <c r="S664" s="1073"/>
      <c r="T664" s="1074"/>
      <c r="U664" s="1074"/>
      <c r="V664" s="1074"/>
      <c r="W664" s="1074"/>
      <c r="X664" s="1074"/>
      <c r="Y664" s="1072"/>
      <c r="Z664" s="1073"/>
      <c r="AA664" s="1074"/>
      <c r="AB664" s="1074"/>
      <c r="AC664" s="1074"/>
      <c r="AD664" s="1074"/>
      <c r="AE664" s="1074"/>
      <c r="AF664" s="1072"/>
      <c r="AG664" s="1073"/>
      <c r="AH664" s="1074"/>
      <c r="AI664" s="1074"/>
      <c r="AJ664" s="1074"/>
      <c r="AK664" s="1074"/>
    </row>
    <row r="665">
      <c r="A665" s="1072"/>
      <c r="B665" s="1072"/>
      <c r="C665" s="1075"/>
      <c r="D665" s="1074"/>
      <c r="E665" s="1074"/>
      <c r="F665" s="1074"/>
      <c r="G665" s="1076"/>
      <c r="H665" s="1074"/>
      <c r="I665" s="1074"/>
      <c r="J665" s="1072"/>
      <c r="K665" s="1075"/>
      <c r="L665" s="1074"/>
      <c r="M665" s="1074"/>
      <c r="N665" s="1074"/>
      <c r="O665" s="1076"/>
      <c r="P665" s="1074"/>
      <c r="Q665" s="1074"/>
      <c r="R665" s="1072"/>
      <c r="S665" s="1073"/>
      <c r="T665" s="1074"/>
      <c r="U665" s="1074"/>
      <c r="V665" s="1074"/>
      <c r="W665" s="1074"/>
      <c r="X665" s="1074"/>
      <c r="Y665" s="1072"/>
      <c r="Z665" s="1073"/>
      <c r="AA665" s="1074"/>
      <c r="AB665" s="1074"/>
      <c r="AC665" s="1074"/>
      <c r="AD665" s="1074"/>
      <c r="AE665" s="1074"/>
      <c r="AF665" s="1072"/>
      <c r="AG665" s="1073"/>
      <c r="AH665" s="1074"/>
      <c r="AI665" s="1074"/>
      <c r="AJ665" s="1074"/>
      <c r="AK665" s="1074"/>
    </row>
    <row r="666">
      <c r="A666" s="1072"/>
      <c r="B666" s="1072"/>
      <c r="C666" s="1075"/>
      <c r="D666" s="1074"/>
      <c r="E666" s="1074"/>
      <c r="F666" s="1074"/>
      <c r="G666" s="1076"/>
      <c r="H666" s="1074"/>
      <c r="I666" s="1074"/>
      <c r="J666" s="1072"/>
      <c r="K666" s="1075"/>
      <c r="L666" s="1074"/>
      <c r="M666" s="1074"/>
      <c r="N666" s="1074"/>
      <c r="O666" s="1076"/>
      <c r="P666" s="1074"/>
      <c r="Q666" s="1074"/>
      <c r="R666" s="1072"/>
      <c r="S666" s="1073"/>
      <c r="T666" s="1074"/>
      <c r="U666" s="1074"/>
      <c r="V666" s="1074"/>
      <c r="W666" s="1074"/>
      <c r="X666" s="1074"/>
      <c r="Y666" s="1072"/>
      <c r="Z666" s="1073"/>
      <c r="AA666" s="1074"/>
      <c r="AB666" s="1074"/>
      <c r="AC666" s="1074"/>
      <c r="AD666" s="1074"/>
      <c r="AE666" s="1074"/>
      <c r="AF666" s="1072"/>
      <c r="AG666" s="1073"/>
      <c r="AH666" s="1074"/>
      <c r="AI666" s="1074"/>
      <c r="AJ666" s="1074"/>
      <c r="AK666" s="1074"/>
    </row>
    <row r="667">
      <c r="A667" s="1072"/>
      <c r="B667" s="1072"/>
      <c r="C667" s="1075"/>
      <c r="D667" s="1074"/>
      <c r="E667" s="1074"/>
      <c r="F667" s="1074"/>
      <c r="G667" s="1076"/>
      <c r="H667" s="1074"/>
      <c r="I667" s="1074"/>
      <c r="J667" s="1072"/>
      <c r="K667" s="1075"/>
      <c r="L667" s="1074"/>
      <c r="M667" s="1074"/>
      <c r="N667" s="1074"/>
      <c r="O667" s="1076"/>
      <c r="P667" s="1074"/>
      <c r="Q667" s="1074"/>
      <c r="R667" s="1072"/>
      <c r="S667" s="1073"/>
      <c r="T667" s="1074"/>
      <c r="U667" s="1074"/>
      <c r="V667" s="1074"/>
      <c r="W667" s="1074"/>
      <c r="X667" s="1074"/>
      <c r="Y667" s="1072"/>
      <c r="Z667" s="1073"/>
      <c r="AA667" s="1074"/>
      <c r="AB667" s="1074"/>
      <c r="AC667" s="1074"/>
      <c r="AD667" s="1074"/>
      <c r="AE667" s="1074"/>
      <c r="AF667" s="1072"/>
      <c r="AG667" s="1073"/>
      <c r="AH667" s="1074"/>
      <c r="AI667" s="1074"/>
      <c r="AJ667" s="1074"/>
      <c r="AK667" s="1074"/>
    </row>
    <row r="668">
      <c r="A668" s="1072"/>
      <c r="B668" s="1072"/>
      <c r="C668" s="1075"/>
      <c r="D668" s="1074"/>
      <c r="E668" s="1074"/>
      <c r="F668" s="1074"/>
      <c r="G668" s="1076"/>
      <c r="H668" s="1074"/>
      <c r="I668" s="1074"/>
      <c r="J668" s="1072"/>
      <c r="K668" s="1075"/>
      <c r="L668" s="1074"/>
      <c r="M668" s="1074"/>
      <c r="N668" s="1074"/>
      <c r="O668" s="1076"/>
      <c r="P668" s="1074"/>
      <c r="Q668" s="1074"/>
      <c r="R668" s="1072"/>
      <c r="S668" s="1073"/>
      <c r="T668" s="1074"/>
      <c r="U668" s="1074"/>
      <c r="V668" s="1074"/>
      <c r="W668" s="1074"/>
      <c r="X668" s="1074"/>
      <c r="Y668" s="1072"/>
      <c r="Z668" s="1073"/>
      <c r="AA668" s="1074"/>
      <c r="AB668" s="1074"/>
      <c r="AC668" s="1074"/>
      <c r="AD668" s="1074"/>
      <c r="AE668" s="1074"/>
      <c r="AF668" s="1072"/>
      <c r="AG668" s="1073"/>
      <c r="AH668" s="1074"/>
      <c r="AI668" s="1074"/>
      <c r="AJ668" s="1074"/>
      <c r="AK668" s="1074"/>
    </row>
    <row r="669">
      <c r="A669" s="1072"/>
      <c r="B669" s="1072"/>
      <c r="C669" s="1075"/>
      <c r="D669" s="1074"/>
      <c r="E669" s="1074"/>
      <c r="F669" s="1074"/>
      <c r="G669" s="1076"/>
      <c r="H669" s="1074"/>
      <c r="I669" s="1074"/>
      <c r="J669" s="1072"/>
      <c r="K669" s="1075"/>
      <c r="L669" s="1074"/>
      <c r="M669" s="1074"/>
      <c r="N669" s="1074"/>
      <c r="O669" s="1076"/>
      <c r="P669" s="1074"/>
      <c r="Q669" s="1074"/>
      <c r="R669" s="1072"/>
      <c r="S669" s="1073"/>
      <c r="T669" s="1074"/>
      <c r="U669" s="1074"/>
      <c r="V669" s="1074"/>
      <c r="W669" s="1074"/>
      <c r="X669" s="1074"/>
      <c r="Y669" s="1072"/>
      <c r="Z669" s="1073"/>
      <c r="AA669" s="1074"/>
      <c r="AB669" s="1074"/>
      <c r="AC669" s="1074"/>
      <c r="AD669" s="1074"/>
      <c r="AE669" s="1074"/>
      <c r="AF669" s="1072"/>
      <c r="AG669" s="1073"/>
      <c r="AH669" s="1074"/>
      <c r="AI669" s="1074"/>
      <c r="AJ669" s="1074"/>
      <c r="AK669" s="1074"/>
    </row>
    <row r="670">
      <c r="A670" s="1072"/>
      <c r="B670" s="1072"/>
      <c r="C670" s="1075"/>
      <c r="D670" s="1074"/>
      <c r="E670" s="1074"/>
      <c r="F670" s="1074"/>
      <c r="G670" s="1076"/>
      <c r="H670" s="1074"/>
      <c r="I670" s="1074"/>
      <c r="J670" s="1072"/>
      <c r="K670" s="1075"/>
      <c r="L670" s="1074"/>
      <c r="M670" s="1074"/>
      <c r="N670" s="1074"/>
      <c r="O670" s="1076"/>
      <c r="P670" s="1074"/>
      <c r="Q670" s="1074"/>
      <c r="R670" s="1072"/>
      <c r="S670" s="1073"/>
      <c r="T670" s="1074"/>
      <c r="U670" s="1074"/>
      <c r="V670" s="1074"/>
      <c r="W670" s="1074"/>
      <c r="X670" s="1074"/>
      <c r="Y670" s="1072"/>
      <c r="Z670" s="1073"/>
      <c r="AA670" s="1074"/>
      <c r="AB670" s="1074"/>
      <c r="AC670" s="1074"/>
      <c r="AD670" s="1074"/>
      <c r="AE670" s="1074"/>
      <c r="AF670" s="1072"/>
      <c r="AG670" s="1073"/>
      <c r="AH670" s="1074"/>
      <c r="AI670" s="1074"/>
      <c r="AJ670" s="1074"/>
      <c r="AK670" s="1074"/>
    </row>
    <row r="671">
      <c r="A671" s="1072"/>
      <c r="B671" s="1072"/>
      <c r="C671" s="1075"/>
      <c r="D671" s="1074"/>
      <c r="E671" s="1074"/>
      <c r="F671" s="1074"/>
      <c r="G671" s="1076"/>
      <c r="H671" s="1074"/>
      <c r="I671" s="1074"/>
      <c r="J671" s="1072"/>
      <c r="K671" s="1075"/>
      <c r="L671" s="1074"/>
      <c r="M671" s="1074"/>
      <c r="N671" s="1074"/>
      <c r="O671" s="1076"/>
      <c r="P671" s="1074"/>
      <c r="Q671" s="1074"/>
      <c r="R671" s="1072"/>
      <c r="S671" s="1073"/>
      <c r="T671" s="1074"/>
      <c r="U671" s="1074"/>
      <c r="V671" s="1074"/>
      <c r="W671" s="1074"/>
      <c r="X671" s="1074"/>
      <c r="Y671" s="1072"/>
      <c r="Z671" s="1073"/>
      <c r="AA671" s="1074"/>
      <c r="AB671" s="1074"/>
      <c r="AC671" s="1074"/>
      <c r="AD671" s="1074"/>
      <c r="AE671" s="1074"/>
      <c r="AF671" s="1072"/>
      <c r="AG671" s="1073"/>
      <c r="AH671" s="1074"/>
      <c r="AI671" s="1074"/>
      <c r="AJ671" s="1074"/>
      <c r="AK671" s="1074"/>
    </row>
    <row r="672">
      <c r="A672" s="1072"/>
      <c r="B672" s="1072"/>
      <c r="C672" s="1075"/>
      <c r="D672" s="1074"/>
      <c r="E672" s="1074"/>
      <c r="F672" s="1074"/>
      <c r="G672" s="1076"/>
      <c r="H672" s="1074"/>
      <c r="I672" s="1074"/>
      <c r="J672" s="1072"/>
      <c r="K672" s="1075"/>
      <c r="L672" s="1074"/>
      <c r="M672" s="1074"/>
      <c r="N672" s="1074"/>
      <c r="O672" s="1076"/>
      <c r="P672" s="1074"/>
      <c r="Q672" s="1074"/>
      <c r="R672" s="1072"/>
      <c r="S672" s="1073"/>
      <c r="T672" s="1074"/>
      <c r="U672" s="1074"/>
      <c r="V672" s="1074"/>
      <c r="W672" s="1074"/>
      <c r="X672" s="1074"/>
      <c r="Y672" s="1072"/>
      <c r="Z672" s="1073"/>
      <c r="AA672" s="1074"/>
      <c r="AB672" s="1074"/>
      <c r="AC672" s="1074"/>
      <c r="AD672" s="1074"/>
      <c r="AE672" s="1074"/>
      <c r="AF672" s="1072"/>
      <c r="AG672" s="1073"/>
      <c r="AH672" s="1074"/>
      <c r="AI672" s="1074"/>
      <c r="AJ672" s="1074"/>
      <c r="AK672" s="1074"/>
    </row>
    <row r="673">
      <c r="A673" s="1072"/>
      <c r="B673" s="1072"/>
      <c r="C673" s="1075"/>
      <c r="D673" s="1074"/>
      <c r="E673" s="1074"/>
      <c r="F673" s="1074"/>
      <c r="G673" s="1076"/>
      <c r="H673" s="1074"/>
      <c r="I673" s="1074"/>
      <c r="J673" s="1072"/>
      <c r="K673" s="1075"/>
      <c r="L673" s="1074"/>
      <c r="M673" s="1074"/>
      <c r="N673" s="1074"/>
      <c r="O673" s="1076"/>
      <c r="P673" s="1074"/>
      <c r="Q673" s="1074"/>
      <c r="R673" s="1072"/>
      <c r="S673" s="1073"/>
      <c r="T673" s="1074"/>
      <c r="U673" s="1074"/>
      <c r="V673" s="1074"/>
      <c r="W673" s="1074"/>
      <c r="X673" s="1074"/>
      <c r="Y673" s="1072"/>
      <c r="Z673" s="1073"/>
      <c r="AA673" s="1074"/>
      <c r="AB673" s="1074"/>
      <c r="AC673" s="1074"/>
      <c r="AD673" s="1074"/>
      <c r="AE673" s="1074"/>
      <c r="AF673" s="1072"/>
      <c r="AG673" s="1073"/>
      <c r="AH673" s="1074"/>
      <c r="AI673" s="1074"/>
      <c r="AJ673" s="1074"/>
      <c r="AK673" s="1074"/>
    </row>
    <row r="674">
      <c r="A674" s="1072"/>
      <c r="B674" s="1072"/>
      <c r="C674" s="1075"/>
      <c r="D674" s="1074"/>
      <c r="E674" s="1074"/>
      <c r="F674" s="1074"/>
      <c r="G674" s="1076"/>
      <c r="H674" s="1074"/>
      <c r="I674" s="1074"/>
      <c r="J674" s="1072"/>
      <c r="K674" s="1075"/>
      <c r="L674" s="1074"/>
      <c r="M674" s="1074"/>
      <c r="N674" s="1074"/>
      <c r="O674" s="1076"/>
      <c r="P674" s="1074"/>
      <c r="Q674" s="1074"/>
      <c r="R674" s="1072"/>
      <c r="S674" s="1073"/>
      <c r="T674" s="1074"/>
      <c r="U674" s="1074"/>
      <c r="V674" s="1074"/>
      <c r="W674" s="1074"/>
      <c r="X674" s="1074"/>
      <c r="Y674" s="1072"/>
      <c r="Z674" s="1073"/>
      <c r="AA674" s="1074"/>
      <c r="AB674" s="1074"/>
      <c r="AC674" s="1074"/>
      <c r="AD674" s="1074"/>
      <c r="AE674" s="1074"/>
      <c r="AF674" s="1072"/>
      <c r="AG674" s="1073"/>
      <c r="AH674" s="1074"/>
      <c r="AI674" s="1074"/>
      <c r="AJ674" s="1074"/>
      <c r="AK674" s="1074"/>
    </row>
    <row r="675">
      <c r="A675" s="1072"/>
      <c r="B675" s="1072"/>
      <c r="C675" s="1075"/>
      <c r="D675" s="1074"/>
      <c r="E675" s="1074"/>
      <c r="F675" s="1074"/>
      <c r="G675" s="1076"/>
      <c r="H675" s="1074"/>
      <c r="I675" s="1074"/>
      <c r="J675" s="1072"/>
      <c r="K675" s="1075"/>
      <c r="L675" s="1074"/>
      <c r="M675" s="1074"/>
      <c r="N675" s="1074"/>
      <c r="O675" s="1076"/>
      <c r="P675" s="1074"/>
      <c r="Q675" s="1074"/>
      <c r="R675" s="1072"/>
      <c r="S675" s="1073"/>
      <c r="T675" s="1074"/>
      <c r="U675" s="1074"/>
      <c r="V675" s="1074"/>
      <c r="W675" s="1074"/>
      <c r="X675" s="1074"/>
      <c r="Y675" s="1072"/>
      <c r="Z675" s="1073"/>
      <c r="AA675" s="1074"/>
      <c r="AB675" s="1074"/>
      <c r="AC675" s="1074"/>
      <c r="AD675" s="1074"/>
      <c r="AE675" s="1074"/>
      <c r="AF675" s="1072"/>
      <c r="AG675" s="1073"/>
      <c r="AH675" s="1074"/>
      <c r="AI675" s="1074"/>
      <c r="AJ675" s="1074"/>
      <c r="AK675" s="1074"/>
    </row>
    <row r="676">
      <c r="A676" s="1072"/>
      <c r="B676" s="1072"/>
      <c r="C676" s="1075"/>
      <c r="D676" s="1074"/>
      <c r="E676" s="1074"/>
      <c r="F676" s="1074"/>
      <c r="G676" s="1076"/>
      <c r="H676" s="1074"/>
      <c r="I676" s="1074"/>
      <c r="J676" s="1072"/>
      <c r="K676" s="1075"/>
      <c r="L676" s="1074"/>
      <c r="M676" s="1074"/>
      <c r="N676" s="1074"/>
      <c r="O676" s="1076"/>
      <c r="P676" s="1074"/>
      <c r="Q676" s="1074"/>
      <c r="R676" s="1072"/>
      <c r="S676" s="1073"/>
      <c r="T676" s="1074"/>
      <c r="U676" s="1074"/>
      <c r="V676" s="1074"/>
      <c r="W676" s="1074"/>
      <c r="X676" s="1074"/>
      <c r="Y676" s="1072"/>
      <c r="Z676" s="1073"/>
      <c r="AA676" s="1074"/>
      <c r="AB676" s="1074"/>
      <c r="AC676" s="1074"/>
      <c r="AD676" s="1074"/>
      <c r="AE676" s="1074"/>
      <c r="AF676" s="1072"/>
      <c r="AG676" s="1073"/>
      <c r="AH676" s="1074"/>
      <c r="AI676" s="1074"/>
      <c r="AJ676" s="1074"/>
      <c r="AK676" s="1074"/>
    </row>
    <row r="677">
      <c r="A677" s="1072"/>
      <c r="B677" s="1072"/>
      <c r="C677" s="1075"/>
      <c r="D677" s="1074"/>
      <c r="E677" s="1074"/>
      <c r="F677" s="1074"/>
      <c r="G677" s="1076"/>
      <c r="H677" s="1074"/>
      <c r="I677" s="1074"/>
      <c r="J677" s="1072"/>
      <c r="K677" s="1075"/>
      <c r="L677" s="1074"/>
      <c r="M677" s="1074"/>
      <c r="N677" s="1074"/>
      <c r="O677" s="1076"/>
      <c r="P677" s="1074"/>
      <c r="Q677" s="1074"/>
      <c r="R677" s="1072"/>
      <c r="S677" s="1073"/>
      <c r="T677" s="1074"/>
      <c r="U677" s="1074"/>
      <c r="V677" s="1074"/>
      <c r="W677" s="1074"/>
      <c r="X677" s="1074"/>
      <c r="Y677" s="1072"/>
      <c r="Z677" s="1073"/>
      <c r="AA677" s="1074"/>
      <c r="AB677" s="1074"/>
      <c r="AC677" s="1074"/>
      <c r="AD677" s="1074"/>
      <c r="AE677" s="1074"/>
      <c r="AF677" s="1072"/>
      <c r="AG677" s="1073"/>
      <c r="AH677" s="1074"/>
      <c r="AI677" s="1074"/>
      <c r="AJ677" s="1074"/>
      <c r="AK677" s="1074"/>
    </row>
    <row r="678">
      <c r="A678" s="1072"/>
      <c r="B678" s="1072"/>
      <c r="C678" s="1075"/>
      <c r="D678" s="1074"/>
      <c r="E678" s="1074"/>
      <c r="F678" s="1074"/>
      <c r="G678" s="1076"/>
      <c r="H678" s="1074"/>
      <c r="I678" s="1074"/>
      <c r="J678" s="1072"/>
      <c r="K678" s="1075"/>
      <c r="L678" s="1074"/>
      <c r="M678" s="1074"/>
      <c r="N678" s="1074"/>
      <c r="O678" s="1076"/>
      <c r="P678" s="1074"/>
      <c r="Q678" s="1074"/>
      <c r="R678" s="1072"/>
      <c r="S678" s="1073"/>
      <c r="T678" s="1074"/>
      <c r="U678" s="1074"/>
      <c r="V678" s="1074"/>
      <c r="W678" s="1074"/>
      <c r="X678" s="1074"/>
      <c r="Y678" s="1072"/>
      <c r="Z678" s="1073"/>
      <c r="AA678" s="1074"/>
      <c r="AB678" s="1074"/>
      <c r="AC678" s="1074"/>
      <c r="AD678" s="1074"/>
      <c r="AE678" s="1074"/>
      <c r="AF678" s="1072"/>
      <c r="AG678" s="1073"/>
      <c r="AH678" s="1074"/>
      <c r="AI678" s="1074"/>
      <c r="AJ678" s="1074"/>
      <c r="AK678" s="1074"/>
    </row>
    <row r="679">
      <c r="A679" s="1072"/>
      <c r="B679" s="1072"/>
      <c r="C679" s="1075"/>
      <c r="D679" s="1074"/>
      <c r="E679" s="1074"/>
      <c r="F679" s="1074"/>
      <c r="G679" s="1076"/>
      <c r="H679" s="1074"/>
      <c r="I679" s="1074"/>
      <c r="J679" s="1072"/>
      <c r="K679" s="1075"/>
      <c r="L679" s="1074"/>
      <c r="M679" s="1074"/>
      <c r="N679" s="1074"/>
      <c r="O679" s="1076"/>
      <c r="P679" s="1074"/>
      <c r="Q679" s="1074"/>
      <c r="R679" s="1072"/>
      <c r="S679" s="1073"/>
      <c r="T679" s="1074"/>
      <c r="U679" s="1074"/>
      <c r="V679" s="1074"/>
      <c r="W679" s="1074"/>
      <c r="X679" s="1074"/>
      <c r="Y679" s="1072"/>
      <c r="Z679" s="1073"/>
      <c r="AA679" s="1074"/>
      <c r="AB679" s="1074"/>
      <c r="AC679" s="1074"/>
      <c r="AD679" s="1074"/>
      <c r="AE679" s="1074"/>
      <c r="AF679" s="1072"/>
      <c r="AG679" s="1073"/>
      <c r="AH679" s="1074"/>
      <c r="AI679" s="1074"/>
      <c r="AJ679" s="1074"/>
      <c r="AK679" s="1074"/>
    </row>
    <row r="680">
      <c r="A680" s="1072"/>
      <c r="B680" s="1072"/>
      <c r="C680" s="1075"/>
      <c r="D680" s="1074"/>
      <c r="E680" s="1074"/>
      <c r="F680" s="1074"/>
      <c r="G680" s="1076"/>
      <c r="H680" s="1074"/>
      <c r="I680" s="1074"/>
      <c r="J680" s="1072"/>
      <c r="K680" s="1075"/>
      <c r="L680" s="1074"/>
      <c r="M680" s="1074"/>
      <c r="N680" s="1074"/>
      <c r="O680" s="1076"/>
      <c r="P680" s="1074"/>
      <c r="Q680" s="1074"/>
      <c r="R680" s="1072"/>
      <c r="S680" s="1073"/>
      <c r="T680" s="1074"/>
      <c r="U680" s="1074"/>
      <c r="V680" s="1074"/>
      <c r="W680" s="1074"/>
      <c r="X680" s="1074"/>
      <c r="Y680" s="1072"/>
      <c r="Z680" s="1073"/>
      <c r="AA680" s="1074"/>
      <c r="AB680" s="1074"/>
      <c r="AC680" s="1074"/>
      <c r="AD680" s="1074"/>
      <c r="AE680" s="1074"/>
      <c r="AF680" s="1072"/>
      <c r="AG680" s="1073"/>
      <c r="AH680" s="1074"/>
      <c r="AI680" s="1074"/>
      <c r="AJ680" s="1074"/>
      <c r="AK680" s="1074"/>
    </row>
    <row r="681">
      <c r="A681" s="1072"/>
      <c r="B681" s="1072"/>
      <c r="C681" s="1075"/>
      <c r="D681" s="1074"/>
      <c r="E681" s="1074"/>
      <c r="F681" s="1074"/>
      <c r="G681" s="1076"/>
      <c r="H681" s="1074"/>
      <c r="I681" s="1074"/>
      <c r="J681" s="1072"/>
      <c r="K681" s="1075"/>
      <c r="L681" s="1074"/>
      <c r="M681" s="1074"/>
      <c r="N681" s="1074"/>
      <c r="O681" s="1076"/>
      <c r="P681" s="1074"/>
      <c r="Q681" s="1074"/>
      <c r="R681" s="1072"/>
      <c r="S681" s="1073"/>
      <c r="T681" s="1074"/>
      <c r="U681" s="1074"/>
      <c r="V681" s="1074"/>
      <c r="W681" s="1074"/>
      <c r="X681" s="1074"/>
      <c r="Y681" s="1072"/>
      <c r="Z681" s="1073"/>
      <c r="AA681" s="1074"/>
      <c r="AB681" s="1074"/>
      <c r="AC681" s="1074"/>
      <c r="AD681" s="1074"/>
      <c r="AE681" s="1074"/>
      <c r="AF681" s="1072"/>
      <c r="AG681" s="1073"/>
      <c r="AH681" s="1074"/>
      <c r="AI681" s="1074"/>
      <c r="AJ681" s="1074"/>
      <c r="AK681" s="1074"/>
    </row>
    <row r="682">
      <c r="A682" s="1072"/>
      <c r="B682" s="1072"/>
      <c r="C682" s="1075"/>
      <c r="D682" s="1074"/>
      <c r="E682" s="1074"/>
      <c r="F682" s="1074"/>
      <c r="G682" s="1076"/>
      <c r="H682" s="1074"/>
      <c r="I682" s="1074"/>
      <c r="J682" s="1072"/>
      <c r="K682" s="1075"/>
      <c r="L682" s="1074"/>
      <c r="M682" s="1074"/>
      <c r="N682" s="1074"/>
      <c r="O682" s="1076"/>
      <c r="P682" s="1074"/>
      <c r="Q682" s="1074"/>
      <c r="R682" s="1072"/>
      <c r="S682" s="1073"/>
      <c r="T682" s="1074"/>
      <c r="U682" s="1074"/>
      <c r="V682" s="1074"/>
      <c r="W682" s="1074"/>
      <c r="X682" s="1074"/>
      <c r="Y682" s="1072"/>
      <c r="Z682" s="1073"/>
      <c r="AA682" s="1074"/>
      <c r="AB682" s="1074"/>
      <c r="AC682" s="1074"/>
      <c r="AD682" s="1074"/>
      <c r="AE682" s="1074"/>
      <c r="AF682" s="1072"/>
      <c r="AG682" s="1073"/>
      <c r="AH682" s="1074"/>
      <c r="AI682" s="1074"/>
      <c r="AJ682" s="1074"/>
      <c r="AK682" s="1074"/>
    </row>
    <row r="683">
      <c r="A683" s="1072"/>
      <c r="B683" s="1072"/>
      <c r="C683" s="1075"/>
      <c r="D683" s="1074"/>
      <c r="E683" s="1074"/>
      <c r="F683" s="1074"/>
      <c r="G683" s="1076"/>
      <c r="H683" s="1074"/>
      <c r="I683" s="1074"/>
      <c r="J683" s="1072"/>
      <c r="K683" s="1075"/>
      <c r="L683" s="1074"/>
      <c r="M683" s="1074"/>
      <c r="N683" s="1074"/>
      <c r="O683" s="1076"/>
      <c r="P683" s="1074"/>
      <c r="Q683" s="1074"/>
      <c r="R683" s="1072"/>
      <c r="S683" s="1073"/>
      <c r="T683" s="1074"/>
      <c r="U683" s="1074"/>
      <c r="V683" s="1074"/>
      <c r="W683" s="1074"/>
      <c r="X683" s="1074"/>
      <c r="Y683" s="1072"/>
      <c r="Z683" s="1073"/>
      <c r="AA683" s="1074"/>
      <c r="AB683" s="1074"/>
      <c r="AC683" s="1074"/>
      <c r="AD683" s="1074"/>
      <c r="AE683" s="1074"/>
      <c r="AF683" s="1072"/>
      <c r="AG683" s="1073"/>
      <c r="AH683" s="1074"/>
      <c r="AI683" s="1074"/>
      <c r="AJ683" s="1074"/>
      <c r="AK683" s="1074"/>
    </row>
    <row r="684">
      <c r="A684" s="1072"/>
      <c r="B684" s="1072"/>
      <c r="C684" s="1075"/>
      <c r="D684" s="1074"/>
      <c r="E684" s="1074"/>
      <c r="F684" s="1074"/>
      <c r="G684" s="1076"/>
      <c r="H684" s="1074"/>
      <c r="I684" s="1074"/>
      <c r="J684" s="1072"/>
      <c r="K684" s="1075"/>
      <c r="L684" s="1074"/>
      <c r="M684" s="1074"/>
      <c r="N684" s="1074"/>
      <c r="O684" s="1076"/>
      <c r="P684" s="1074"/>
      <c r="Q684" s="1074"/>
      <c r="R684" s="1072"/>
      <c r="S684" s="1073"/>
      <c r="T684" s="1074"/>
      <c r="U684" s="1074"/>
      <c r="V684" s="1074"/>
      <c r="W684" s="1074"/>
      <c r="X684" s="1074"/>
      <c r="Y684" s="1072"/>
      <c r="Z684" s="1073"/>
      <c r="AA684" s="1074"/>
      <c r="AB684" s="1074"/>
      <c r="AC684" s="1074"/>
      <c r="AD684" s="1074"/>
      <c r="AE684" s="1074"/>
      <c r="AF684" s="1072"/>
      <c r="AG684" s="1073"/>
      <c r="AH684" s="1074"/>
      <c r="AI684" s="1074"/>
      <c r="AJ684" s="1074"/>
      <c r="AK684" s="1074"/>
    </row>
    <row r="685">
      <c r="A685" s="1072"/>
      <c r="B685" s="1072"/>
      <c r="C685" s="1075"/>
      <c r="D685" s="1074"/>
      <c r="E685" s="1074"/>
      <c r="F685" s="1074"/>
      <c r="G685" s="1076"/>
      <c r="H685" s="1074"/>
      <c r="I685" s="1074"/>
      <c r="J685" s="1072"/>
      <c r="K685" s="1075"/>
      <c r="L685" s="1074"/>
      <c r="M685" s="1074"/>
      <c r="N685" s="1074"/>
      <c r="O685" s="1076"/>
      <c r="P685" s="1074"/>
      <c r="Q685" s="1074"/>
      <c r="R685" s="1072"/>
      <c r="S685" s="1073"/>
      <c r="T685" s="1074"/>
      <c r="U685" s="1074"/>
      <c r="V685" s="1074"/>
      <c r="W685" s="1074"/>
      <c r="X685" s="1074"/>
      <c r="Y685" s="1072"/>
      <c r="Z685" s="1073"/>
      <c r="AA685" s="1074"/>
      <c r="AB685" s="1074"/>
      <c r="AC685" s="1074"/>
      <c r="AD685" s="1074"/>
      <c r="AE685" s="1074"/>
      <c r="AF685" s="1072"/>
      <c r="AG685" s="1073"/>
      <c r="AH685" s="1074"/>
      <c r="AI685" s="1074"/>
      <c r="AJ685" s="1074"/>
      <c r="AK685" s="1074"/>
    </row>
    <row r="686">
      <c r="A686" s="1072"/>
      <c r="B686" s="1072"/>
      <c r="C686" s="1075"/>
      <c r="D686" s="1074"/>
      <c r="E686" s="1074"/>
      <c r="F686" s="1074"/>
      <c r="G686" s="1076"/>
      <c r="H686" s="1074"/>
      <c r="I686" s="1074"/>
      <c r="J686" s="1072"/>
      <c r="K686" s="1075"/>
      <c r="L686" s="1074"/>
      <c r="M686" s="1074"/>
      <c r="N686" s="1074"/>
      <c r="O686" s="1076"/>
      <c r="P686" s="1074"/>
      <c r="Q686" s="1074"/>
      <c r="R686" s="1072"/>
      <c r="S686" s="1073"/>
      <c r="T686" s="1074"/>
      <c r="U686" s="1074"/>
      <c r="V686" s="1074"/>
      <c r="W686" s="1074"/>
      <c r="X686" s="1074"/>
      <c r="Y686" s="1072"/>
      <c r="Z686" s="1073"/>
      <c r="AA686" s="1074"/>
      <c r="AB686" s="1074"/>
      <c r="AC686" s="1074"/>
      <c r="AD686" s="1074"/>
      <c r="AE686" s="1074"/>
      <c r="AF686" s="1072"/>
      <c r="AG686" s="1073"/>
      <c r="AH686" s="1074"/>
      <c r="AI686" s="1074"/>
      <c r="AJ686" s="1074"/>
      <c r="AK686" s="1074"/>
    </row>
    <row r="687">
      <c r="A687" s="1072"/>
      <c r="B687" s="1072"/>
      <c r="C687" s="1075"/>
      <c r="D687" s="1074"/>
      <c r="E687" s="1074"/>
      <c r="F687" s="1074"/>
      <c r="G687" s="1076"/>
      <c r="H687" s="1074"/>
      <c r="I687" s="1074"/>
      <c r="J687" s="1072"/>
      <c r="K687" s="1075"/>
      <c r="L687" s="1074"/>
      <c r="M687" s="1074"/>
      <c r="N687" s="1074"/>
      <c r="O687" s="1076"/>
      <c r="P687" s="1074"/>
      <c r="Q687" s="1074"/>
      <c r="R687" s="1072"/>
      <c r="S687" s="1073"/>
      <c r="T687" s="1074"/>
      <c r="U687" s="1074"/>
      <c r="V687" s="1074"/>
      <c r="W687" s="1074"/>
      <c r="X687" s="1074"/>
      <c r="Y687" s="1072"/>
      <c r="Z687" s="1073"/>
      <c r="AA687" s="1074"/>
      <c r="AB687" s="1074"/>
      <c r="AC687" s="1074"/>
      <c r="AD687" s="1074"/>
      <c r="AE687" s="1074"/>
      <c r="AF687" s="1072"/>
      <c r="AG687" s="1073"/>
      <c r="AH687" s="1074"/>
      <c r="AI687" s="1074"/>
      <c r="AJ687" s="1074"/>
      <c r="AK687" s="1074"/>
    </row>
    <row r="688">
      <c r="A688" s="1072"/>
      <c r="B688" s="1072"/>
      <c r="C688" s="1075"/>
      <c r="D688" s="1074"/>
      <c r="E688" s="1074"/>
      <c r="F688" s="1074"/>
      <c r="G688" s="1076"/>
      <c r="H688" s="1074"/>
      <c r="I688" s="1074"/>
      <c r="J688" s="1072"/>
      <c r="K688" s="1075"/>
      <c r="L688" s="1074"/>
      <c r="M688" s="1074"/>
      <c r="N688" s="1074"/>
      <c r="O688" s="1076"/>
      <c r="P688" s="1074"/>
      <c r="Q688" s="1074"/>
      <c r="R688" s="1072"/>
      <c r="S688" s="1073"/>
      <c r="T688" s="1074"/>
      <c r="U688" s="1074"/>
      <c r="V688" s="1074"/>
      <c r="W688" s="1074"/>
      <c r="X688" s="1074"/>
      <c r="Y688" s="1072"/>
      <c r="Z688" s="1073"/>
      <c r="AA688" s="1074"/>
      <c r="AB688" s="1074"/>
      <c r="AC688" s="1074"/>
      <c r="AD688" s="1074"/>
      <c r="AE688" s="1074"/>
      <c r="AF688" s="1072"/>
      <c r="AG688" s="1073"/>
      <c r="AH688" s="1074"/>
      <c r="AI688" s="1074"/>
      <c r="AJ688" s="1074"/>
      <c r="AK688" s="1074"/>
    </row>
    <row r="689">
      <c r="A689" s="1072"/>
      <c r="B689" s="1072"/>
      <c r="C689" s="1075"/>
      <c r="D689" s="1074"/>
      <c r="E689" s="1074"/>
      <c r="F689" s="1074"/>
      <c r="G689" s="1076"/>
      <c r="H689" s="1074"/>
      <c r="I689" s="1074"/>
      <c r="J689" s="1072"/>
      <c r="K689" s="1075"/>
      <c r="L689" s="1074"/>
      <c r="M689" s="1074"/>
      <c r="N689" s="1074"/>
      <c r="O689" s="1076"/>
      <c r="P689" s="1074"/>
      <c r="Q689" s="1074"/>
      <c r="R689" s="1072"/>
      <c r="S689" s="1073"/>
      <c r="T689" s="1074"/>
      <c r="U689" s="1074"/>
      <c r="V689" s="1074"/>
      <c r="W689" s="1074"/>
      <c r="X689" s="1074"/>
      <c r="Y689" s="1072"/>
      <c r="Z689" s="1073"/>
      <c r="AA689" s="1074"/>
      <c r="AB689" s="1074"/>
      <c r="AC689" s="1074"/>
      <c r="AD689" s="1074"/>
      <c r="AE689" s="1074"/>
      <c r="AF689" s="1072"/>
      <c r="AG689" s="1073"/>
      <c r="AH689" s="1074"/>
      <c r="AI689" s="1074"/>
      <c r="AJ689" s="1074"/>
      <c r="AK689" s="1074"/>
    </row>
    <row r="690">
      <c r="A690" s="1072"/>
      <c r="B690" s="1072"/>
      <c r="C690" s="1075"/>
      <c r="D690" s="1074"/>
      <c r="E690" s="1074"/>
      <c r="F690" s="1074"/>
      <c r="G690" s="1076"/>
      <c r="H690" s="1074"/>
      <c r="I690" s="1074"/>
      <c r="J690" s="1072"/>
      <c r="K690" s="1075"/>
      <c r="L690" s="1074"/>
      <c r="M690" s="1074"/>
      <c r="N690" s="1074"/>
      <c r="O690" s="1076"/>
      <c r="P690" s="1074"/>
      <c r="Q690" s="1074"/>
      <c r="R690" s="1072"/>
      <c r="S690" s="1073"/>
      <c r="T690" s="1074"/>
      <c r="U690" s="1074"/>
      <c r="V690" s="1074"/>
      <c r="W690" s="1074"/>
      <c r="X690" s="1074"/>
      <c r="Y690" s="1072"/>
      <c r="Z690" s="1073"/>
      <c r="AA690" s="1074"/>
      <c r="AB690" s="1074"/>
      <c r="AC690" s="1074"/>
      <c r="AD690" s="1074"/>
      <c r="AE690" s="1074"/>
      <c r="AF690" s="1072"/>
      <c r="AG690" s="1073"/>
      <c r="AH690" s="1074"/>
      <c r="AI690" s="1074"/>
      <c r="AJ690" s="1074"/>
      <c r="AK690" s="1074"/>
    </row>
    <row r="691">
      <c r="A691" s="1072"/>
      <c r="B691" s="1072"/>
      <c r="C691" s="1075"/>
      <c r="D691" s="1074"/>
      <c r="E691" s="1074"/>
      <c r="F691" s="1074"/>
      <c r="G691" s="1076"/>
      <c r="H691" s="1074"/>
      <c r="I691" s="1074"/>
      <c r="J691" s="1072"/>
      <c r="K691" s="1075"/>
      <c r="L691" s="1074"/>
      <c r="M691" s="1074"/>
      <c r="N691" s="1074"/>
      <c r="O691" s="1076"/>
      <c r="P691" s="1074"/>
      <c r="Q691" s="1074"/>
      <c r="R691" s="1072"/>
      <c r="S691" s="1073"/>
      <c r="T691" s="1074"/>
      <c r="U691" s="1074"/>
      <c r="V691" s="1074"/>
      <c r="W691" s="1074"/>
      <c r="X691" s="1074"/>
      <c r="Y691" s="1072"/>
      <c r="Z691" s="1073"/>
      <c r="AA691" s="1074"/>
      <c r="AB691" s="1074"/>
      <c r="AC691" s="1074"/>
      <c r="AD691" s="1074"/>
      <c r="AE691" s="1074"/>
      <c r="AF691" s="1072"/>
      <c r="AG691" s="1073"/>
      <c r="AH691" s="1074"/>
      <c r="AI691" s="1074"/>
      <c r="AJ691" s="1074"/>
      <c r="AK691" s="1074"/>
    </row>
    <row r="692">
      <c r="A692" s="1072"/>
      <c r="B692" s="1072"/>
      <c r="C692" s="1075"/>
      <c r="D692" s="1074"/>
      <c r="E692" s="1074"/>
      <c r="F692" s="1074"/>
      <c r="G692" s="1076"/>
      <c r="H692" s="1074"/>
      <c r="I692" s="1074"/>
      <c r="J692" s="1072"/>
      <c r="K692" s="1075"/>
      <c r="L692" s="1074"/>
      <c r="M692" s="1074"/>
      <c r="N692" s="1074"/>
      <c r="O692" s="1076"/>
      <c r="P692" s="1074"/>
      <c r="Q692" s="1074"/>
      <c r="R692" s="1072"/>
      <c r="S692" s="1073"/>
      <c r="T692" s="1074"/>
      <c r="U692" s="1074"/>
      <c r="V692" s="1074"/>
      <c r="W692" s="1074"/>
      <c r="X692" s="1074"/>
      <c r="Y692" s="1072"/>
      <c r="Z692" s="1073"/>
      <c r="AA692" s="1074"/>
      <c r="AB692" s="1074"/>
      <c r="AC692" s="1074"/>
      <c r="AD692" s="1074"/>
      <c r="AE692" s="1074"/>
      <c r="AF692" s="1072"/>
      <c r="AG692" s="1073"/>
      <c r="AH692" s="1074"/>
      <c r="AI692" s="1074"/>
      <c r="AJ692" s="1074"/>
      <c r="AK692" s="1074"/>
    </row>
    <row r="693">
      <c r="A693" s="1072"/>
      <c r="B693" s="1072"/>
      <c r="C693" s="1075"/>
      <c r="D693" s="1074"/>
      <c r="E693" s="1074"/>
      <c r="F693" s="1074"/>
      <c r="G693" s="1076"/>
      <c r="H693" s="1074"/>
      <c r="I693" s="1074"/>
      <c r="J693" s="1072"/>
      <c r="K693" s="1075"/>
      <c r="L693" s="1074"/>
      <c r="M693" s="1074"/>
      <c r="N693" s="1074"/>
      <c r="O693" s="1076"/>
      <c r="P693" s="1074"/>
      <c r="Q693" s="1074"/>
      <c r="R693" s="1072"/>
      <c r="S693" s="1073"/>
      <c r="T693" s="1074"/>
      <c r="U693" s="1074"/>
      <c r="V693" s="1074"/>
      <c r="W693" s="1074"/>
      <c r="X693" s="1074"/>
      <c r="Y693" s="1072"/>
      <c r="Z693" s="1073"/>
      <c r="AA693" s="1074"/>
      <c r="AB693" s="1074"/>
      <c r="AC693" s="1074"/>
      <c r="AD693" s="1074"/>
      <c r="AE693" s="1074"/>
      <c r="AF693" s="1072"/>
      <c r="AG693" s="1073"/>
      <c r="AH693" s="1074"/>
      <c r="AI693" s="1074"/>
      <c r="AJ693" s="1074"/>
      <c r="AK693" s="1074"/>
    </row>
    <row r="694">
      <c r="A694" s="1072"/>
      <c r="B694" s="1072"/>
      <c r="C694" s="1075"/>
      <c r="D694" s="1074"/>
      <c r="E694" s="1074"/>
      <c r="F694" s="1074"/>
      <c r="G694" s="1076"/>
      <c r="H694" s="1074"/>
      <c r="I694" s="1074"/>
      <c r="J694" s="1072"/>
      <c r="K694" s="1075"/>
      <c r="L694" s="1074"/>
      <c r="M694" s="1074"/>
      <c r="N694" s="1074"/>
      <c r="O694" s="1076"/>
      <c r="P694" s="1074"/>
      <c r="Q694" s="1074"/>
      <c r="R694" s="1072"/>
      <c r="S694" s="1073"/>
      <c r="T694" s="1074"/>
      <c r="U694" s="1074"/>
      <c r="V694" s="1074"/>
      <c r="W694" s="1074"/>
      <c r="X694" s="1074"/>
      <c r="Y694" s="1072"/>
      <c r="Z694" s="1073"/>
      <c r="AA694" s="1074"/>
      <c r="AB694" s="1074"/>
      <c r="AC694" s="1074"/>
      <c r="AD694" s="1074"/>
      <c r="AE694" s="1074"/>
      <c r="AF694" s="1072"/>
      <c r="AG694" s="1073"/>
      <c r="AH694" s="1074"/>
      <c r="AI694" s="1074"/>
      <c r="AJ694" s="1074"/>
      <c r="AK694" s="1074"/>
    </row>
    <row r="695">
      <c r="A695" s="1072"/>
      <c r="B695" s="1072"/>
      <c r="C695" s="1075"/>
      <c r="D695" s="1074"/>
      <c r="E695" s="1074"/>
      <c r="F695" s="1074"/>
      <c r="G695" s="1076"/>
      <c r="H695" s="1074"/>
      <c r="I695" s="1074"/>
      <c r="J695" s="1072"/>
      <c r="K695" s="1075"/>
      <c r="L695" s="1074"/>
      <c r="M695" s="1074"/>
      <c r="N695" s="1074"/>
      <c r="O695" s="1076"/>
      <c r="P695" s="1074"/>
      <c r="Q695" s="1074"/>
      <c r="R695" s="1072"/>
      <c r="S695" s="1073"/>
      <c r="T695" s="1074"/>
      <c r="U695" s="1074"/>
      <c r="V695" s="1074"/>
      <c r="W695" s="1074"/>
      <c r="X695" s="1074"/>
      <c r="Y695" s="1072"/>
      <c r="Z695" s="1073"/>
      <c r="AA695" s="1074"/>
      <c r="AB695" s="1074"/>
      <c r="AC695" s="1074"/>
      <c r="AD695" s="1074"/>
      <c r="AE695" s="1074"/>
      <c r="AF695" s="1072"/>
      <c r="AG695" s="1073"/>
      <c r="AH695" s="1074"/>
      <c r="AI695" s="1074"/>
      <c r="AJ695" s="1074"/>
      <c r="AK695" s="1074"/>
    </row>
    <row r="696">
      <c r="A696" s="1072"/>
      <c r="B696" s="1072"/>
      <c r="C696" s="1075"/>
      <c r="D696" s="1074"/>
      <c r="E696" s="1074"/>
      <c r="F696" s="1074"/>
      <c r="G696" s="1076"/>
      <c r="H696" s="1074"/>
      <c r="I696" s="1074"/>
      <c r="J696" s="1072"/>
      <c r="K696" s="1075"/>
      <c r="L696" s="1074"/>
      <c r="M696" s="1074"/>
      <c r="N696" s="1074"/>
      <c r="O696" s="1076"/>
      <c r="P696" s="1074"/>
      <c r="Q696" s="1074"/>
      <c r="R696" s="1072"/>
      <c r="S696" s="1073"/>
      <c r="T696" s="1074"/>
      <c r="U696" s="1074"/>
      <c r="V696" s="1074"/>
      <c r="W696" s="1074"/>
      <c r="X696" s="1074"/>
      <c r="Y696" s="1072"/>
      <c r="Z696" s="1073"/>
      <c r="AA696" s="1074"/>
      <c r="AB696" s="1074"/>
      <c r="AC696" s="1074"/>
      <c r="AD696" s="1074"/>
      <c r="AE696" s="1074"/>
      <c r="AF696" s="1072"/>
      <c r="AG696" s="1073"/>
      <c r="AH696" s="1074"/>
      <c r="AI696" s="1074"/>
      <c r="AJ696" s="1074"/>
      <c r="AK696" s="1074"/>
    </row>
    <row r="697">
      <c r="A697" s="1072"/>
      <c r="B697" s="1072"/>
      <c r="C697" s="1075"/>
      <c r="D697" s="1074"/>
      <c r="E697" s="1074"/>
      <c r="F697" s="1074"/>
      <c r="G697" s="1076"/>
      <c r="H697" s="1074"/>
      <c r="I697" s="1074"/>
      <c r="J697" s="1072"/>
      <c r="K697" s="1075"/>
      <c r="L697" s="1074"/>
      <c r="M697" s="1074"/>
      <c r="N697" s="1074"/>
      <c r="O697" s="1076"/>
      <c r="P697" s="1074"/>
      <c r="Q697" s="1074"/>
      <c r="R697" s="1072"/>
      <c r="S697" s="1073"/>
      <c r="T697" s="1074"/>
      <c r="U697" s="1074"/>
      <c r="V697" s="1074"/>
      <c r="W697" s="1074"/>
      <c r="X697" s="1074"/>
      <c r="Y697" s="1072"/>
      <c r="Z697" s="1073"/>
      <c r="AA697" s="1074"/>
      <c r="AB697" s="1074"/>
      <c r="AC697" s="1074"/>
      <c r="AD697" s="1074"/>
      <c r="AE697" s="1074"/>
      <c r="AF697" s="1072"/>
      <c r="AG697" s="1073"/>
      <c r="AH697" s="1074"/>
      <c r="AI697" s="1074"/>
      <c r="AJ697" s="1074"/>
      <c r="AK697" s="1074"/>
    </row>
    <row r="698">
      <c r="A698" s="1072"/>
      <c r="B698" s="1072"/>
      <c r="C698" s="1075"/>
      <c r="D698" s="1074"/>
      <c r="E698" s="1074"/>
      <c r="F698" s="1074"/>
      <c r="G698" s="1076"/>
      <c r="H698" s="1074"/>
      <c r="I698" s="1074"/>
      <c r="J698" s="1072"/>
      <c r="K698" s="1075"/>
      <c r="L698" s="1074"/>
      <c r="M698" s="1074"/>
      <c r="N698" s="1074"/>
      <c r="O698" s="1076"/>
      <c r="P698" s="1074"/>
      <c r="Q698" s="1074"/>
      <c r="R698" s="1072"/>
      <c r="S698" s="1073"/>
      <c r="T698" s="1074"/>
      <c r="U698" s="1074"/>
      <c r="V698" s="1074"/>
      <c r="W698" s="1074"/>
      <c r="X698" s="1074"/>
      <c r="Y698" s="1072"/>
      <c r="Z698" s="1073"/>
      <c r="AA698" s="1074"/>
      <c r="AB698" s="1074"/>
      <c r="AC698" s="1074"/>
      <c r="AD698" s="1074"/>
      <c r="AE698" s="1074"/>
      <c r="AF698" s="1072"/>
      <c r="AG698" s="1073"/>
      <c r="AH698" s="1074"/>
      <c r="AI698" s="1074"/>
      <c r="AJ698" s="1074"/>
      <c r="AK698" s="1074"/>
    </row>
    <row r="699">
      <c r="A699" s="1072"/>
      <c r="B699" s="1072"/>
      <c r="C699" s="1075"/>
      <c r="D699" s="1074"/>
      <c r="E699" s="1074"/>
      <c r="F699" s="1074"/>
      <c r="G699" s="1076"/>
      <c r="H699" s="1074"/>
      <c r="I699" s="1074"/>
      <c r="J699" s="1072"/>
      <c r="K699" s="1075"/>
      <c r="L699" s="1074"/>
      <c r="M699" s="1074"/>
      <c r="N699" s="1074"/>
      <c r="O699" s="1076"/>
      <c r="P699" s="1074"/>
      <c r="Q699" s="1074"/>
      <c r="R699" s="1072"/>
      <c r="S699" s="1073"/>
      <c r="T699" s="1074"/>
      <c r="U699" s="1074"/>
      <c r="V699" s="1074"/>
      <c r="W699" s="1074"/>
      <c r="X699" s="1074"/>
      <c r="Y699" s="1072"/>
      <c r="Z699" s="1073"/>
      <c r="AA699" s="1074"/>
      <c r="AB699" s="1074"/>
      <c r="AC699" s="1074"/>
      <c r="AD699" s="1074"/>
      <c r="AE699" s="1074"/>
      <c r="AF699" s="1072"/>
      <c r="AG699" s="1073"/>
      <c r="AH699" s="1074"/>
      <c r="AI699" s="1074"/>
      <c r="AJ699" s="1074"/>
      <c r="AK699" s="1074"/>
    </row>
    <row r="700">
      <c r="A700" s="1072"/>
      <c r="B700" s="1072"/>
      <c r="C700" s="1075"/>
      <c r="D700" s="1074"/>
      <c r="E700" s="1074"/>
      <c r="F700" s="1074"/>
      <c r="G700" s="1076"/>
      <c r="H700" s="1074"/>
      <c r="I700" s="1074"/>
      <c r="J700" s="1072"/>
      <c r="K700" s="1075"/>
      <c r="L700" s="1074"/>
      <c r="M700" s="1074"/>
      <c r="N700" s="1074"/>
      <c r="O700" s="1076"/>
      <c r="P700" s="1074"/>
      <c r="Q700" s="1074"/>
      <c r="R700" s="1072"/>
      <c r="S700" s="1073"/>
      <c r="T700" s="1074"/>
      <c r="U700" s="1074"/>
      <c r="V700" s="1074"/>
      <c r="W700" s="1074"/>
      <c r="X700" s="1074"/>
      <c r="Y700" s="1072"/>
      <c r="Z700" s="1073"/>
      <c r="AA700" s="1074"/>
      <c r="AB700" s="1074"/>
      <c r="AC700" s="1074"/>
      <c r="AD700" s="1074"/>
      <c r="AE700" s="1074"/>
      <c r="AF700" s="1072"/>
      <c r="AG700" s="1073"/>
      <c r="AH700" s="1074"/>
      <c r="AI700" s="1074"/>
      <c r="AJ700" s="1074"/>
      <c r="AK700" s="1074"/>
    </row>
    <row r="701">
      <c r="A701" s="1072"/>
      <c r="B701" s="1072"/>
      <c r="C701" s="1075"/>
      <c r="D701" s="1074"/>
      <c r="E701" s="1074"/>
      <c r="F701" s="1074"/>
      <c r="G701" s="1076"/>
      <c r="H701" s="1074"/>
      <c r="I701" s="1074"/>
      <c r="J701" s="1072"/>
      <c r="K701" s="1075"/>
      <c r="L701" s="1074"/>
      <c r="M701" s="1074"/>
      <c r="N701" s="1074"/>
      <c r="O701" s="1076"/>
      <c r="P701" s="1074"/>
      <c r="Q701" s="1074"/>
      <c r="R701" s="1072"/>
      <c r="S701" s="1073"/>
      <c r="T701" s="1074"/>
      <c r="U701" s="1074"/>
      <c r="V701" s="1074"/>
      <c r="W701" s="1074"/>
      <c r="X701" s="1074"/>
      <c r="Y701" s="1072"/>
      <c r="Z701" s="1073"/>
      <c r="AA701" s="1074"/>
      <c r="AB701" s="1074"/>
      <c r="AC701" s="1074"/>
      <c r="AD701" s="1074"/>
      <c r="AE701" s="1074"/>
      <c r="AF701" s="1072"/>
      <c r="AG701" s="1073"/>
      <c r="AH701" s="1074"/>
      <c r="AI701" s="1074"/>
      <c r="AJ701" s="1074"/>
      <c r="AK701" s="1074"/>
    </row>
    <row r="702">
      <c r="A702" s="1072"/>
      <c r="B702" s="1072"/>
      <c r="C702" s="1075"/>
      <c r="D702" s="1074"/>
      <c r="E702" s="1074"/>
      <c r="F702" s="1074"/>
      <c r="G702" s="1076"/>
      <c r="H702" s="1074"/>
      <c r="I702" s="1074"/>
      <c r="J702" s="1072"/>
      <c r="K702" s="1075"/>
      <c r="L702" s="1074"/>
      <c r="M702" s="1074"/>
      <c r="N702" s="1074"/>
      <c r="O702" s="1076"/>
      <c r="P702" s="1074"/>
      <c r="Q702" s="1074"/>
      <c r="R702" s="1072"/>
      <c r="S702" s="1073"/>
      <c r="T702" s="1074"/>
      <c r="U702" s="1074"/>
      <c r="V702" s="1074"/>
      <c r="W702" s="1074"/>
      <c r="X702" s="1074"/>
      <c r="Y702" s="1072"/>
      <c r="Z702" s="1073"/>
      <c r="AA702" s="1074"/>
      <c r="AB702" s="1074"/>
      <c r="AC702" s="1074"/>
      <c r="AD702" s="1074"/>
      <c r="AE702" s="1074"/>
      <c r="AF702" s="1072"/>
      <c r="AG702" s="1073"/>
      <c r="AH702" s="1074"/>
      <c r="AI702" s="1074"/>
      <c r="AJ702" s="1074"/>
      <c r="AK702" s="1074"/>
    </row>
    <row r="703">
      <c r="A703" s="1072"/>
      <c r="B703" s="1072"/>
      <c r="C703" s="1075"/>
      <c r="D703" s="1074"/>
      <c r="E703" s="1074"/>
      <c r="F703" s="1074"/>
      <c r="G703" s="1076"/>
      <c r="H703" s="1074"/>
      <c r="I703" s="1074"/>
      <c r="J703" s="1072"/>
      <c r="K703" s="1075"/>
      <c r="L703" s="1074"/>
      <c r="M703" s="1074"/>
      <c r="N703" s="1074"/>
      <c r="O703" s="1076"/>
      <c r="P703" s="1074"/>
      <c r="Q703" s="1074"/>
      <c r="R703" s="1072"/>
      <c r="S703" s="1073"/>
      <c r="T703" s="1074"/>
      <c r="U703" s="1074"/>
      <c r="V703" s="1074"/>
      <c r="W703" s="1074"/>
      <c r="X703" s="1074"/>
      <c r="Y703" s="1072"/>
      <c r="Z703" s="1073"/>
      <c r="AA703" s="1074"/>
      <c r="AB703" s="1074"/>
      <c r="AC703" s="1074"/>
      <c r="AD703" s="1074"/>
      <c r="AE703" s="1074"/>
      <c r="AF703" s="1072"/>
      <c r="AG703" s="1073"/>
      <c r="AH703" s="1074"/>
      <c r="AI703" s="1074"/>
      <c r="AJ703" s="1074"/>
      <c r="AK703" s="1074"/>
    </row>
    <row r="704">
      <c r="A704" s="1072"/>
      <c r="B704" s="1072"/>
      <c r="C704" s="1075"/>
      <c r="D704" s="1074"/>
      <c r="E704" s="1074"/>
      <c r="F704" s="1074"/>
      <c r="G704" s="1076"/>
      <c r="H704" s="1074"/>
      <c r="I704" s="1074"/>
      <c r="J704" s="1072"/>
      <c r="K704" s="1075"/>
      <c r="L704" s="1074"/>
      <c r="M704" s="1074"/>
      <c r="N704" s="1074"/>
      <c r="O704" s="1076"/>
      <c r="P704" s="1074"/>
      <c r="Q704" s="1074"/>
      <c r="R704" s="1072"/>
      <c r="S704" s="1073"/>
      <c r="T704" s="1074"/>
      <c r="U704" s="1074"/>
      <c r="V704" s="1074"/>
      <c r="W704" s="1074"/>
      <c r="X704" s="1074"/>
      <c r="Y704" s="1072"/>
      <c r="Z704" s="1073"/>
      <c r="AA704" s="1074"/>
      <c r="AB704" s="1074"/>
      <c r="AC704" s="1074"/>
      <c r="AD704" s="1074"/>
      <c r="AE704" s="1074"/>
      <c r="AF704" s="1072"/>
      <c r="AG704" s="1073"/>
      <c r="AH704" s="1074"/>
      <c r="AI704" s="1074"/>
      <c r="AJ704" s="1074"/>
      <c r="AK704" s="1074"/>
    </row>
    <row r="705">
      <c r="A705" s="1072"/>
      <c r="B705" s="1072"/>
      <c r="C705" s="1075"/>
      <c r="D705" s="1074"/>
      <c r="E705" s="1074"/>
      <c r="F705" s="1074"/>
      <c r="G705" s="1076"/>
      <c r="H705" s="1074"/>
      <c r="I705" s="1074"/>
      <c r="J705" s="1072"/>
      <c r="K705" s="1075"/>
      <c r="L705" s="1074"/>
      <c r="M705" s="1074"/>
      <c r="N705" s="1074"/>
      <c r="O705" s="1076"/>
      <c r="P705" s="1074"/>
      <c r="Q705" s="1074"/>
      <c r="R705" s="1072"/>
      <c r="S705" s="1073"/>
      <c r="T705" s="1074"/>
      <c r="U705" s="1074"/>
      <c r="V705" s="1074"/>
      <c r="W705" s="1074"/>
      <c r="X705" s="1074"/>
      <c r="Y705" s="1072"/>
      <c r="Z705" s="1073"/>
      <c r="AA705" s="1074"/>
      <c r="AB705" s="1074"/>
      <c r="AC705" s="1074"/>
      <c r="AD705" s="1074"/>
      <c r="AE705" s="1074"/>
      <c r="AF705" s="1072"/>
      <c r="AG705" s="1073"/>
      <c r="AH705" s="1074"/>
      <c r="AI705" s="1074"/>
      <c r="AJ705" s="1074"/>
      <c r="AK705" s="1074"/>
    </row>
    <row r="706">
      <c r="A706" s="1072"/>
      <c r="B706" s="1072"/>
      <c r="C706" s="1075"/>
      <c r="D706" s="1074"/>
      <c r="E706" s="1074"/>
      <c r="F706" s="1074"/>
      <c r="G706" s="1076"/>
      <c r="H706" s="1074"/>
      <c r="I706" s="1074"/>
      <c r="J706" s="1072"/>
      <c r="K706" s="1075"/>
      <c r="L706" s="1074"/>
      <c r="M706" s="1074"/>
      <c r="N706" s="1074"/>
      <c r="O706" s="1076"/>
      <c r="P706" s="1074"/>
      <c r="Q706" s="1074"/>
      <c r="R706" s="1072"/>
      <c r="S706" s="1073"/>
      <c r="T706" s="1074"/>
      <c r="U706" s="1074"/>
      <c r="V706" s="1074"/>
      <c r="W706" s="1074"/>
      <c r="X706" s="1074"/>
      <c r="Y706" s="1072"/>
      <c r="Z706" s="1073"/>
      <c r="AA706" s="1074"/>
      <c r="AB706" s="1074"/>
      <c r="AC706" s="1074"/>
      <c r="AD706" s="1074"/>
      <c r="AE706" s="1074"/>
      <c r="AF706" s="1072"/>
      <c r="AG706" s="1073"/>
      <c r="AH706" s="1074"/>
      <c r="AI706" s="1074"/>
      <c r="AJ706" s="1074"/>
      <c r="AK706" s="1074"/>
    </row>
    <row r="707">
      <c r="A707" s="1072"/>
      <c r="B707" s="1072"/>
      <c r="C707" s="1075"/>
      <c r="D707" s="1074"/>
      <c r="E707" s="1074"/>
      <c r="F707" s="1074"/>
      <c r="G707" s="1076"/>
      <c r="H707" s="1074"/>
      <c r="I707" s="1074"/>
      <c r="J707" s="1072"/>
      <c r="K707" s="1075"/>
      <c r="L707" s="1074"/>
      <c r="M707" s="1074"/>
      <c r="N707" s="1074"/>
      <c r="O707" s="1076"/>
      <c r="P707" s="1074"/>
      <c r="Q707" s="1074"/>
      <c r="R707" s="1072"/>
      <c r="S707" s="1073"/>
      <c r="T707" s="1074"/>
      <c r="U707" s="1074"/>
      <c r="V707" s="1074"/>
      <c r="W707" s="1074"/>
      <c r="X707" s="1074"/>
      <c r="Y707" s="1072"/>
      <c r="Z707" s="1073"/>
      <c r="AA707" s="1074"/>
      <c r="AB707" s="1074"/>
      <c r="AC707" s="1074"/>
      <c r="AD707" s="1074"/>
      <c r="AE707" s="1074"/>
      <c r="AF707" s="1072"/>
      <c r="AG707" s="1073"/>
      <c r="AH707" s="1074"/>
      <c r="AI707" s="1074"/>
      <c r="AJ707" s="1074"/>
      <c r="AK707" s="1074"/>
    </row>
    <row r="708">
      <c r="A708" s="1072"/>
      <c r="B708" s="1072"/>
      <c r="C708" s="1075"/>
      <c r="D708" s="1074"/>
      <c r="E708" s="1074"/>
      <c r="F708" s="1074"/>
      <c r="G708" s="1076"/>
      <c r="H708" s="1074"/>
      <c r="I708" s="1074"/>
      <c r="J708" s="1072"/>
      <c r="K708" s="1075"/>
      <c r="L708" s="1074"/>
      <c r="M708" s="1074"/>
      <c r="N708" s="1074"/>
      <c r="O708" s="1076"/>
      <c r="P708" s="1074"/>
      <c r="Q708" s="1074"/>
      <c r="R708" s="1072"/>
      <c r="S708" s="1073"/>
      <c r="T708" s="1074"/>
      <c r="U708" s="1074"/>
      <c r="V708" s="1074"/>
      <c r="W708" s="1074"/>
      <c r="X708" s="1074"/>
      <c r="Y708" s="1072"/>
      <c r="Z708" s="1073"/>
      <c r="AA708" s="1074"/>
      <c r="AB708" s="1074"/>
      <c r="AC708" s="1074"/>
      <c r="AD708" s="1074"/>
      <c r="AE708" s="1074"/>
      <c r="AF708" s="1072"/>
      <c r="AG708" s="1073"/>
      <c r="AH708" s="1074"/>
      <c r="AI708" s="1074"/>
      <c r="AJ708" s="1074"/>
      <c r="AK708" s="1074"/>
    </row>
    <row r="709">
      <c r="A709" s="1072"/>
      <c r="B709" s="1072"/>
      <c r="C709" s="1075"/>
      <c r="D709" s="1074"/>
      <c r="E709" s="1074"/>
      <c r="F709" s="1074"/>
      <c r="G709" s="1076"/>
      <c r="H709" s="1074"/>
      <c r="I709" s="1074"/>
      <c r="J709" s="1072"/>
      <c r="K709" s="1075"/>
      <c r="L709" s="1074"/>
      <c r="M709" s="1074"/>
      <c r="N709" s="1074"/>
      <c r="O709" s="1076"/>
      <c r="P709" s="1074"/>
      <c r="Q709" s="1074"/>
      <c r="R709" s="1072"/>
      <c r="S709" s="1073"/>
      <c r="T709" s="1074"/>
      <c r="U709" s="1074"/>
      <c r="V709" s="1074"/>
      <c r="W709" s="1074"/>
      <c r="X709" s="1074"/>
      <c r="Y709" s="1072"/>
      <c r="Z709" s="1073"/>
      <c r="AA709" s="1074"/>
      <c r="AB709" s="1074"/>
      <c r="AC709" s="1074"/>
      <c r="AD709" s="1074"/>
      <c r="AE709" s="1074"/>
      <c r="AF709" s="1072"/>
      <c r="AG709" s="1073"/>
      <c r="AH709" s="1074"/>
      <c r="AI709" s="1074"/>
      <c r="AJ709" s="1074"/>
      <c r="AK709" s="1074"/>
    </row>
    <row r="710">
      <c r="A710" s="1072"/>
      <c r="B710" s="1072"/>
      <c r="C710" s="1075"/>
      <c r="D710" s="1074"/>
      <c r="E710" s="1074"/>
      <c r="F710" s="1074"/>
      <c r="G710" s="1076"/>
      <c r="H710" s="1074"/>
      <c r="I710" s="1074"/>
      <c r="J710" s="1072"/>
      <c r="K710" s="1075"/>
      <c r="L710" s="1074"/>
      <c r="M710" s="1074"/>
      <c r="N710" s="1074"/>
      <c r="O710" s="1076"/>
      <c r="P710" s="1074"/>
      <c r="Q710" s="1074"/>
      <c r="R710" s="1072"/>
      <c r="S710" s="1073"/>
      <c r="T710" s="1074"/>
      <c r="U710" s="1074"/>
      <c r="V710" s="1074"/>
      <c r="W710" s="1074"/>
      <c r="X710" s="1074"/>
      <c r="Y710" s="1072"/>
      <c r="Z710" s="1073"/>
      <c r="AA710" s="1074"/>
      <c r="AB710" s="1074"/>
      <c r="AC710" s="1074"/>
      <c r="AD710" s="1074"/>
      <c r="AE710" s="1074"/>
      <c r="AF710" s="1072"/>
      <c r="AG710" s="1073"/>
      <c r="AH710" s="1074"/>
      <c r="AI710" s="1074"/>
      <c r="AJ710" s="1074"/>
      <c r="AK710" s="1074"/>
    </row>
    <row r="711">
      <c r="A711" s="1072"/>
      <c r="B711" s="1072"/>
      <c r="C711" s="1075"/>
      <c r="D711" s="1074"/>
      <c r="E711" s="1074"/>
      <c r="F711" s="1074"/>
      <c r="G711" s="1076"/>
      <c r="H711" s="1074"/>
      <c r="I711" s="1074"/>
      <c r="J711" s="1072"/>
      <c r="K711" s="1075"/>
      <c r="L711" s="1074"/>
      <c r="M711" s="1074"/>
      <c r="N711" s="1074"/>
      <c r="O711" s="1076"/>
      <c r="P711" s="1074"/>
      <c r="Q711" s="1074"/>
      <c r="R711" s="1072"/>
      <c r="S711" s="1073"/>
      <c r="T711" s="1074"/>
      <c r="U711" s="1074"/>
      <c r="V711" s="1074"/>
      <c r="W711" s="1074"/>
      <c r="X711" s="1074"/>
      <c r="Y711" s="1072"/>
      <c r="Z711" s="1073"/>
      <c r="AA711" s="1074"/>
      <c r="AB711" s="1074"/>
      <c r="AC711" s="1074"/>
      <c r="AD711" s="1074"/>
      <c r="AE711" s="1074"/>
      <c r="AF711" s="1072"/>
      <c r="AG711" s="1073"/>
      <c r="AH711" s="1074"/>
      <c r="AI711" s="1074"/>
      <c r="AJ711" s="1074"/>
      <c r="AK711" s="1074"/>
    </row>
    <row r="712">
      <c r="A712" s="1072"/>
      <c r="B712" s="1072"/>
      <c r="C712" s="1075"/>
      <c r="D712" s="1074"/>
      <c r="E712" s="1074"/>
      <c r="F712" s="1074"/>
      <c r="G712" s="1076"/>
      <c r="H712" s="1074"/>
      <c r="I712" s="1074"/>
      <c r="J712" s="1072"/>
      <c r="K712" s="1075"/>
      <c r="L712" s="1074"/>
      <c r="M712" s="1074"/>
      <c r="N712" s="1074"/>
      <c r="O712" s="1076"/>
      <c r="P712" s="1074"/>
      <c r="Q712" s="1074"/>
      <c r="R712" s="1072"/>
      <c r="S712" s="1073"/>
      <c r="T712" s="1074"/>
      <c r="U712" s="1074"/>
      <c r="V712" s="1074"/>
      <c r="W712" s="1074"/>
      <c r="X712" s="1074"/>
      <c r="Y712" s="1072"/>
      <c r="Z712" s="1073"/>
      <c r="AA712" s="1074"/>
      <c r="AB712" s="1074"/>
      <c r="AC712" s="1074"/>
      <c r="AD712" s="1074"/>
      <c r="AE712" s="1074"/>
      <c r="AF712" s="1072"/>
      <c r="AG712" s="1073"/>
      <c r="AH712" s="1074"/>
      <c r="AI712" s="1074"/>
      <c r="AJ712" s="1074"/>
      <c r="AK712" s="1074"/>
    </row>
    <row r="713">
      <c r="A713" s="1072"/>
      <c r="B713" s="1072"/>
      <c r="C713" s="1075"/>
      <c r="D713" s="1074"/>
      <c r="E713" s="1074"/>
      <c r="F713" s="1074"/>
      <c r="G713" s="1076"/>
      <c r="H713" s="1074"/>
      <c r="I713" s="1074"/>
      <c r="J713" s="1072"/>
      <c r="K713" s="1075"/>
      <c r="L713" s="1074"/>
      <c r="M713" s="1074"/>
      <c r="N713" s="1074"/>
      <c r="O713" s="1076"/>
      <c r="P713" s="1074"/>
      <c r="Q713" s="1074"/>
      <c r="R713" s="1072"/>
      <c r="S713" s="1073"/>
      <c r="T713" s="1074"/>
      <c r="U713" s="1074"/>
      <c r="V713" s="1074"/>
      <c r="W713" s="1074"/>
      <c r="X713" s="1074"/>
      <c r="Y713" s="1072"/>
      <c r="Z713" s="1073"/>
      <c r="AA713" s="1074"/>
      <c r="AB713" s="1074"/>
      <c r="AC713" s="1074"/>
      <c r="AD713" s="1074"/>
      <c r="AE713" s="1074"/>
      <c r="AF713" s="1072"/>
      <c r="AG713" s="1073"/>
      <c r="AH713" s="1074"/>
      <c r="AI713" s="1074"/>
      <c r="AJ713" s="1074"/>
      <c r="AK713" s="1074"/>
    </row>
    <row r="714">
      <c r="A714" s="1072"/>
      <c r="B714" s="1072"/>
      <c r="C714" s="1075"/>
      <c r="D714" s="1074"/>
      <c r="E714" s="1074"/>
      <c r="F714" s="1074"/>
      <c r="G714" s="1076"/>
      <c r="H714" s="1074"/>
      <c r="I714" s="1074"/>
      <c r="J714" s="1072"/>
      <c r="K714" s="1075"/>
      <c r="L714" s="1074"/>
      <c r="M714" s="1074"/>
      <c r="N714" s="1074"/>
      <c r="O714" s="1076"/>
      <c r="P714" s="1074"/>
      <c r="Q714" s="1074"/>
      <c r="R714" s="1072"/>
      <c r="S714" s="1073"/>
      <c r="T714" s="1074"/>
      <c r="U714" s="1074"/>
      <c r="V714" s="1074"/>
      <c r="W714" s="1074"/>
      <c r="X714" s="1074"/>
      <c r="Y714" s="1072"/>
      <c r="Z714" s="1073"/>
      <c r="AA714" s="1074"/>
      <c r="AB714" s="1074"/>
      <c r="AC714" s="1074"/>
      <c r="AD714" s="1074"/>
      <c r="AE714" s="1074"/>
      <c r="AF714" s="1072"/>
      <c r="AG714" s="1073"/>
      <c r="AH714" s="1074"/>
      <c r="AI714" s="1074"/>
      <c r="AJ714" s="1074"/>
      <c r="AK714" s="1074"/>
    </row>
    <row r="715">
      <c r="A715" s="1072"/>
      <c r="B715" s="1072"/>
      <c r="C715" s="1075"/>
      <c r="D715" s="1074"/>
      <c r="E715" s="1074"/>
      <c r="F715" s="1074"/>
      <c r="G715" s="1076"/>
      <c r="H715" s="1074"/>
      <c r="I715" s="1074"/>
      <c r="J715" s="1072"/>
      <c r="K715" s="1075"/>
      <c r="L715" s="1074"/>
      <c r="M715" s="1074"/>
      <c r="N715" s="1074"/>
      <c r="O715" s="1076"/>
      <c r="P715" s="1074"/>
      <c r="Q715" s="1074"/>
      <c r="R715" s="1072"/>
      <c r="S715" s="1073"/>
      <c r="T715" s="1074"/>
      <c r="U715" s="1074"/>
      <c r="V715" s="1074"/>
      <c r="W715" s="1074"/>
      <c r="X715" s="1074"/>
      <c r="Y715" s="1072"/>
      <c r="Z715" s="1073"/>
      <c r="AA715" s="1074"/>
      <c r="AB715" s="1074"/>
      <c r="AC715" s="1074"/>
      <c r="AD715" s="1074"/>
      <c r="AE715" s="1074"/>
      <c r="AF715" s="1072"/>
      <c r="AG715" s="1073"/>
      <c r="AH715" s="1074"/>
      <c r="AI715" s="1074"/>
      <c r="AJ715" s="1074"/>
      <c r="AK715" s="1074"/>
    </row>
    <row r="716">
      <c r="A716" s="1072"/>
      <c r="B716" s="1072"/>
      <c r="C716" s="1075"/>
      <c r="D716" s="1074"/>
      <c r="E716" s="1074"/>
      <c r="F716" s="1074"/>
      <c r="G716" s="1076"/>
      <c r="H716" s="1074"/>
      <c r="I716" s="1074"/>
      <c r="J716" s="1072"/>
      <c r="K716" s="1075"/>
      <c r="L716" s="1074"/>
      <c r="M716" s="1074"/>
      <c r="N716" s="1074"/>
      <c r="O716" s="1076"/>
      <c r="P716" s="1074"/>
      <c r="Q716" s="1074"/>
      <c r="R716" s="1072"/>
      <c r="S716" s="1073"/>
      <c r="T716" s="1074"/>
      <c r="U716" s="1074"/>
      <c r="V716" s="1074"/>
      <c r="W716" s="1074"/>
      <c r="X716" s="1074"/>
      <c r="Y716" s="1072"/>
      <c r="Z716" s="1073"/>
      <c r="AA716" s="1074"/>
      <c r="AB716" s="1074"/>
      <c r="AC716" s="1074"/>
      <c r="AD716" s="1074"/>
      <c r="AE716" s="1074"/>
      <c r="AF716" s="1072"/>
      <c r="AG716" s="1073"/>
      <c r="AH716" s="1074"/>
      <c r="AI716" s="1074"/>
      <c r="AJ716" s="1074"/>
      <c r="AK716" s="1074"/>
    </row>
    <row r="717">
      <c r="A717" s="1072"/>
      <c r="B717" s="1072"/>
      <c r="C717" s="1075"/>
      <c r="D717" s="1074"/>
      <c r="E717" s="1074"/>
      <c r="F717" s="1074"/>
      <c r="G717" s="1076"/>
      <c r="H717" s="1074"/>
      <c r="I717" s="1074"/>
      <c r="J717" s="1072"/>
      <c r="K717" s="1075"/>
      <c r="L717" s="1074"/>
      <c r="M717" s="1074"/>
      <c r="N717" s="1074"/>
      <c r="O717" s="1076"/>
      <c r="P717" s="1074"/>
      <c r="Q717" s="1074"/>
      <c r="R717" s="1072"/>
      <c r="S717" s="1073"/>
      <c r="T717" s="1074"/>
      <c r="U717" s="1074"/>
      <c r="V717" s="1074"/>
      <c r="W717" s="1074"/>
      <c r="X717" s="1074"/>
      <c r="Y717" s="1072"/>
      <c r="Z717" s="1073"/>
      <c r="AA717" s="1074"/>
      <c r="AB717" s="1074"/>
      <c r="AC717" s="1074"/>
      <c r="AD717" s="1074"/>
      <c r="AE717" s="1074"/>
      <c r="AF717" s="1072"/>
      <c r="AG717" s="1073"/>
      <c r="AH717" s="1074"/>
      <c r="AI717" s="1074"/>
      <c r="AJ717" s="1074"/>
      <c r="AK717" s="1074"/>
    </row>
    <row r="718">
      <c r="A718" s="1072"/>
      <c r="B718" s="1072"/>
      <c r="C718" s="1075"/>
      <c r="D718" s="1074"/>
      <c r="E718" s="1074"/>
      <c r="F718" s="1074"/>
      <c r="G718" s="1076"/>
      <c r="H718" s="1074"/>
      <c r="I718" s="1074"/>
      <c r="J718" s="1072"/>
      <c r="K718" s="1075"/>
      <c r="L718" s="1074"/>
      <c r="M718" s="1074"/>
      <c r="N718" s="1074"/>
      <c r="O718" s="1076"/>
      <c r="P718" s="1074"/>
      <c r="Q718" s="1074"/>
      <c r="R718" s="1072"/>
      <c r="S718" s="1073"/>
      <c r="T718" s="1074"/>
      <c r="U718" s="1074"/>
      <c r="V718" s="1074"/>
      <c r="W718" s="1074"/>
      <c r="X718" s="1074"/>
      <c r="Y718" s="1072"/>
      <c r="Z718" s="1073"/>
      <c r="AA718" s="1074"/>
      <c r="AB718" s="1074"/>
      <c r="AC718" s="1074"/>
      <c r="AD718" s="1074"/>
      <c r="AE718" s="1074"/>
      <c r="AF718" s="1072"/>
      <c r="AG718" s="1073"/>
      <c r="AH718" s="1074"/>
      <c r="AI718" s="1074"/>
      <c r="AJ718" s="1074"/>
      <c r="AK718" s="1074"/>
    </row>
    <row r="719">
      <c r="A719" s="1072"/>
      <c r="B719" s="1072"/>
      <c r="C719" s="1075"/>
      <c r="D719" s="1074"/>
      <c r="E719" s="1074"/>
      <c r="F719" s="1074"/>
      <c r="G719" s="1076"/>
      <c r="H719" s="1074"/>
      <c r="I719" s="1074"/>
      <c r="J719" s="1072"/>
      <c r="K719" s="1075"/>
      <c r="L719" s="1074"/>
      <c r="M719" s="1074"/>
      <c r="N719" s="1074"/>
      <c r="O719" s="1076"/>
      <c r="P719" s="1074"/>
      <c r="Q719" s="1074"/>
      <c r="R719" s="1072"/>
      <c r="S719" s="1073"/>
      <c r="T719" s="1074"/>
      <c r="U719" s="1074"/>
      <c r="V719" s="1074"/>
      <c r="W719" s="1074"/>
      <c r="X719" s="1074"/>
      <c r="Y719" s="1072"/>
      <c r="Z719" s="1073"/>
      <c r="AA719" s="1074"/>
      <c r="AB719" s="1074"/>
      <c r="AC719" s="1074"/>
      <c r="AD719" s="1074"/>
      <c r="AE719" s="1074"/>
      <c r="AF719" s="1072"/>
      <c r="AG719" s="1073"/>
      <c r="AH719" s="1074"/>
      <c r="AI719" s="1074"/>
      <c r="AJ719" s="1074"/>
      <c r="AK719" s="1074"/>
    </row>
    <row r="720">
      <c r="A720" s="1072"/>
      <c r="B720" s="1072"/>
      <c r="C720" s="1075"/>
      <c r="D720" s="1074"/>
      <c r="E720" s="1074"/>
      <c r="F720" s="1074"/>
      <c r="G720" s="1076"/>
      <c r="H720" s="1074"/>
      <c r="I720" s="1074"/>
      <c r="J720" s="1072"/>
      <c r="K720" s="1075"/>
      <c r="L720" s="1074"/>
      <c r="M720" s="1074"/>
      <c r="N720" s="1074"/>
      <c r="O720" s="1076"/>
      <c r="P720" s="1074"/>
      <c r="Q720" s="1074"/>
      <c r="R720" s="1072"/>
      <c r="S720" s="1073"/>
      <c r="T720" s="1074"/>
      <c r="U720" s="1074"/>
      <c r="V720" s="1074"/>
      <c r="W720" s="1074"/>
      <c r="X720" s="1074"/>
      <c r="Y720" s="1072"/>
      <c r="Z720" s="1073"/>
      <c r="AA720" s="1074"/>
      <c r="AB720" s="1074"/>
      <c r="AC720" s="1074"/>
      <c r="AD720" s="1074"/>
      <c r="AE720" s="1074"/>
      <c r="AF720" s="1072"/>
      <c r="AG720" s="1073"/>
      <c r="AH720" s="1074"/>
      <c r="AI720" s="1074"/>
      <c r="AJ720" s="1074"/>
      <c r="AK720" s="1074"/>
    </row>
    <row r="721">
      <c r="A721" s="1072"/>
      <c r="B721" s="1072"/>
      <c r="C721" s="1075"/>
      <c r="D721" s="1074"/>
      <c r="E721" s="1074"/>
      <c r="F721" s="1074"/>
      <c r="G721" s="1076"/>
      <c r="H721" s="1074"/>
      <c r="I721" s="1074"/>
      <c r="J721" s="1072"/>
      <c r="K721" s="1075"/>
      <c r="L721" s="1074"/>
      <c r="M721" s="1074"/>
      <c r="N721" s="1074"/>
      <c r="O721" s="1076"/>
      <c r="P721" s="1074"/>
      <c r="Q721" s="1074"/>
      <c r="R721" s="1072"/>
      <c r="S721" s="1073"/>
      <c r="T721" s="1074"/>
      <c r="U721" s="1074"/>
      <c r="V721" s="1074"/>
      <c r="W721" s="1074"/>
      <c r="X721" s="1074"/>
      <c r="Y721" s="1072"/>
      <c r="Z721" s="1073"/>
      <c r="AA721" s="1074"/>
      <c r="AB721" s="1074"/>
      <c r="AC721" s="1074"/>
      <c r="AD721" s="1074"/>
      <c r="AE721" s="1074"/>
      <c r="AF721" s="1072"/>
      <c r="AG721" s="1073"/>
      <c r="AH721" s="1074"/>
      <c r="AI721" s="1074"/>
      <c r="AJ721" s="1074"/>
      <c r="AK721" s="1074"/>
    </row>
    <row r="722">
      <c r="A722" s="1072"/>
      <c r="B722" s="1072"/>
      <c r="C722" s="1075"/>
      <c r="D722" s="1074"/>
      <c r="E722" s="1074"/>
      <c r="F722" s="1074"/>
      <c r="G722" s="1076"/>
      <c r="H722" s="1074"/>
      <c r="I722" s="1074"/>
      <c r="J722" s="1072"/>
      <c r="K722" s="1075"/>
      <c r="L722" s="1074"/>
      <c r="M722" s="1074"/>
      <c r="N722" s="1074"/>
      <c r="O722" s="1076"/>
      <c r="P722" s="1074"/>
      <c r="Q722" s="1074"/>
      <c r="R722" s="1072"/>
      <c r="S722" s="1073"/>
      <c r="T722" s="1074"/>
      <c r="U722" s="1074"/>
      <c r="V722" s="1074"/>
      <c r="W722" s="1074"/>
      <c r="X722" s="1074"/>
      <c r="Y722" s="1072"/>
      <c r="Z722" s="1073"/>
      <c r="AA722" s="1074"/>
      <c r="AB722" s="1074"/>
      <c r="AC722" s="1074"/>
      <c r="AD722" s="1074"/>
      <c r="AE722" s="1074"/>
      <c r="AF722" s="1072"/>
      <c r="AG722" s="1073"/>
      <c r="AH722" s="1074"/>
      <c r="AI722" s="1074"/>
      <c r="AJ722" s="1074"/>
      <c r="AK722" s="1074"/>
    </row>
    <row r="723">
      <c r="A723" s="1072"/>
      <c r="B723" s="1072"/>
      <c r="C723" s="1075"/>
      <c r="D723" s="1074"/>
      <c r="E723" s="1074"/>
      <c r="F723" s="1074"/>
      <c r="G723" s="1076"/>
      <c r="H723" s="1074"/>
      <c r="I723" s="1074"/>
      <c r="J723" s="1072"/>
      <c r="K723" s="1075"/>
      <c r="L723" s="1074"/>
      <c r="M723" s="1074"/>
      <c r="N723" s="1074"/>
      <c r="O723" s="1076"/>
      <c r="P723" s="1074"/>
      <c r="Q723" s="1074"/>
      <c r="R723" s="1072"/>
      <c r="S723" s="1073"/>
      <c r="T723" s="1074"/>
      <c r="U723" s="1074"/>
      <c r="V723" s="1074"/>
      <c r="W723" s="1074"/>
      <c r="X723" s="1074"/>
      <c r="Y723" s="1072"/>
      <c r="Z723" s="1073"/>
      <c r="AA723" s="1074"/>
      <c r="AB723" s="1074"/>
      <c r="AC723" s="1074"/>
      <c r="AD723" s="1074"/>
      <c r="AE723" s="1074"/>
      <c r="AF723" s="1072"/>
      <c r="AG723" s="1073"/>
      <c r="AH723" s="1074"/>
      <c r="AI723" s="1074"/>
      <c r="AJ723" s="1074"/>
      <c r="AK723" s="1074"/>
    </row>
    <row r="724">
      <c r="A724" s="1072"/>
      <c r="B724" s="1072"/>
      <c r="C724" s="1075"/>
      <c r="D724" s="1074"/>
      <c r="E724" s="1074"/>
      <c r="F724" s="1074"/>
      <c r="G724" s="1076"/>
      <c r="H724" s="1074"/>
      <c r="I724" s="1074"/>
      <c r="J724" s="1072"/>
      <c r="K724" s="1075"/>
      <c r="L724" s="1074"/>
      <c r="M724" s="1074"/>
      <c r="N724" s="1074"/>
      <c r="O724" s="1076"/>
      <c r="P724" s="1074"/>
      <c r="Q724" s="1074"/>
      <c r="R724" s="1072"/>
      <c r="S724" s="1073"/>
      <c r="T724" s="1074"/>
      <c r="U724" s="1074"/>
      <c r="V724" s="1074"/>
      <c r="W724" s="1074"/>
      <c r="X724" s="1074"/>
      <c r="Y724" s="1072"/>
      <c r="Z724" s="1073"/>
      <c r="AA724" s="1074"/>
      <c r="AB724" s="1074"/>
      <c r="AC724" s="1074"/>
      <c r="AD724" s="1074"/>
      <c r="AE724" s="1074"/>
      <c r="AF724" s="1072"/>
      <c r="AG724" s="1073"/>
      <c r="AH724" s="1074"/>
      <c r="AI724" s="1074"/>
      <c r="AJ724" s="1074"/>
      <c r="AK724" s="1074"/>
    </row>
    <row r="725">
      <c r="A725" s="1072"/>
      <c r="B725" s="1072"/>
      <c r="C725" s="1075"/>
      <c r="D725" s="1074"/>
      <c r="E725" s="1074"/>
      <c r="F725" s="1074"/>
      <c r="G725" s="1076"/>
      <c r="H725" s="1074"/>
      <c r="I725" s="1074"/>
      <c r="J725" s="1072"/>
      <c r="K725" s="1075"/>
      <c r="L725" s="1074"/>
      <c r="M725" s="1074"/>
      <c r="N725" s="1074"/>
      <c r="O725" s="1076"/>
      <c r="P725" s="1074"/>
      <c r="Q725" s="1074"/>
      <c r="R725" s="1072"/>
      <c r="S725" s="1073"/>
      <c r="T725" s="1074"/>
      <c r="U725" s="1074"/>
      <c r="V725" s="1074"/>
      <c r="W725" s="1074"/>
      <c r="X725" s="1074"/>
      <c r="Y725" s="1072"/>
      <c r="Z725" s="1073"/>
      <c r="AA725" s="1074"/>
      <c r="AB725" s="1074"/>
      <c r="AC725" s="1074"/>
      <c r="AD725" s="1074"/>
      <c r="AE725" s="1074"/>
      <c r="AF725" s="1072"/>
      <c r="AG725" s="1073"/>
      <c r="AH725" s="1074"/>
      <c r="AI725" s="1074"/>
      <c r="AJ725" s="1074"/>
      <c r="AK725" s="1074"/>
    </row>
    <row r="726">
      <c r="A726" s="1072"/>
      <c r="B726" s="1072"/>
      <c r="C726" s="1075"/>
      <c r="D726" s="1074"/>
      <c r="E726" s="1074"/>
      <c r="F726" s="1074"/>
      <c r="G726" s="1076"/>
      <c r="H726" s="1074"/>
      <c r="I726" s="1074"/>
      <c r="J726" s="1072"/>
      <c r="K726" s="1075"/>
      <c r="L726" s="1074"/>
      <c r="M726" s="1074"/>
      <c r="N726" s="1074"/>
      <c r="O726" s="1076"/>
      <c r="P726" s="1074"/>
      <c r="Q726" s="1074"/>
      <c r="R726" s="1072"/>
      <c r="S726" s="1073"/>
      <c r="T726" s="1074"/>
      <c r="U726" s="1074"/>
      <c r="V726" s="1074"/>
      <c r="W726" s="1074"/>
      <c r="X726" s="1074"/>
      <c r="Y726" s="1072"/>
      <c r="Z726" s="1073"/>
      <c r="AA726" s="1074"/>
      <c r="AB726" s="1074"/>
      <c r="AC726" s="1074"/>
      <c r="AD726" s="1074"/>
      <c r="AE726" s="1074"/>
      <c r="AF726" s="1072"/>
      <c r="AG726" s="1073"/>
      <c r="AH726" s="1074"/>
      <c r="AI726" s="1074"/>
      <c r="AJ726" s="1074"/>
      <c r="AK726" s="1074"/>
    </row>
    <row r="727">
      <c r="A727" s="1072"/>
      <c r="B727" s="1072"/>
      <c r="C727" s="1075"/>
      <c r="D727" s="1074"/>
      <c r="E727" s="1074"/>
      <c r="F727" s="1074"/>
      <c r="G727" s="1076"/>
      <c r="H727" s="1074"/>
      <c r="I727" s="1074"/>
      <c r="J727" s="1072"/>
      <c r="K727" s="1075"/>
      <c r="L727" s="1074"/>
      <c r="M727" s="1074"/>
      <c r="N727" s="1074"/>
      <c r="O727" s="1076"/>
      <c r="P727" s="1074"/>
      <c r="Q727" s="1074"/>
      <c r="R727" s="1072"/>
      <c r="S727" s="1073"/>
      <c r="T727" s="1074"/>
      <c r="U727" s="1074"/>
      <c r="V727" s="1074"/>
      <c r="W727" s="1074"/>
      <c r="X727" s="1074"/>
      <c r="Y727" s="1072"/>
      <c r="Z727" s="1073"/>
      <c r="AA727" s="1074"/>
      <c r="AB727" s="1074"/>
      <c r="AC727" s="1074"/>
      <c r="AD727" s="1074"/>
      <c r="AE727" s="1074"/>
      <c r="AF727" s="1072"/>
      <c r="AG727" s="1073"/>
      <c r="AH727" s="1074"/>
      <c r="AI727" s="1074"/>
      <c r="AJ727" s="1074"/>
      <c r="AK727" s="1074"/>
    </row>
    <row r="728">
      <c r="A728" s="1072"/>
      <c r="B728" s="1072"/>
      <c r="C728" s="1075"/>
      <c r="D728" s="1074"/>
      <c r="E728" s="1074"/>
      <c r="F728" s="1074"/>
      <c r="G728" s="1076"/>
      <c r="H728" s="1074"/>
      <c r="I728" s="1074"/>
      <c r="J728" s="1072"/>
      <c r="K728" s="1075"/>
      <c r="L728" s="1074"/>
      <c r="M728" s="1074"/>
      <c r="N728" s="1074"/>
      <c r="O728" s="1076"/>
      <c r="P728" s="1074"/>
      <c r="Q728" s="1074"/>
      <c r="R728" s="1072"/>
      <c r="S728" s="1073"/>
      <c r="T728" s="1074"/>
      <c r="U728" s="1074"/>
      <c r="V728" s="1074"/>
      <c r="W728" s="1074"/>
      <c r="X728" s="1074"/>
      <c r="Y728" s="1072"/>
      <c r="Z728" s="1073"/>
      <c r="AA728" s="1074"/>
      <c r="AB728" s="1074"/>
      <c r="AC728" s="1074"/>
      <c r="AD728" s="1074"/>
      <c r="AE728" s="1074"/>
      <c r="AF728" s="1072"/>
      <c r="AG728" s="1073"/>
      <c r="AH728" s="1074"/>
      <c r="AI728" s="1074"/>
      <c r="AJ728" s="1074"/>
      <c r="AK728" s="1074"/>
    </row>
    <row r="729">
      <c r="A729" s="1072"/>
      <c r="B729" s="1072"/>
      <c r="C729" s="1075"/>
      <c r="D729" s="1074"/>
      <c r="E729" s="1074"/>
      <c r="F729" s="1074"/>
      <c r="G729" s="1076"/>
      <c r="H729" s="1074"/>
      <c r="I729" s="1074"/>
      <c r="J729" s="1072"/>
      <c r="K729" s="1075"/>
      <c r="L729" s="1074"/>
      <c r="M729" s="1074"/>
      <c r="N729" s="1074"/>
      <c r="O729" s="1076"/>
      <c r="P729" s="1074"/>
      <c r="Q729" s="1074"/>
      <c r="R729" s="1072"/>
      <c r="S729" s="1073"/>
      <c r="T729" s="1074"/>
      <c r="U729" s="1074"/>
      <c r="V729" s="1074"/>
      <c r="W729" s="1074"/>
      <c r="X729" s="1074"/>
      <c r="Y729" s="1072"/>
      <c r="Z729" s="1073"/>
      <c r="AA729" s="1074"/>
      <c r="AB729" s="1074"/>
      <c r="AC729" s="1074"/>
      <c r="AD729" s="1074"/>
      <c r="AE729" s="1074"/>
      <c r="AF729" s="1072"/>
      <c r="AG729" s="1073"/>
      <c r="AH729" s="1074"/>
      <c r="AI729" s="1074"/>
      <c r="AJ729" s="1074"/>
      <c r="AK729" s="1074"/>
    </row>
    <row r="730">
      <c r="A730" s="1072"/>
      <c r="B730" s="1072"/>
      <c r="C730" s="1075"/>
      <c r="D730" s="1074"/>
      <c r="E730" s="1074"/>
      <c r="F730" s="1074"/>
      <c r="G730" s="1076"/>
      <c r="H730" s="1074"/>
      <c r="I730" s="1074"/>
      <c r="J730" s="1072"/>
      <c r="K730" s="1075"/>
      <c r="L730" s="1074"/>
      <c r="M730" s="1074"/>
      <c r="N730" s="1074"/>
      <c r="O730" s="1076"/>
      <c r="P730" s="1074"/>
      <c r="Q730" s="1074"/>
      <c r="R730" s="1072"/>
      <c r="S730" s="1073"/>
      <c r="T730" s="1074"/>
      <c r="U730" s="1074"/>
      <c r="V730" s="1074"/>
      <c r="W730" s="1074"/>
      <c r="X730" s="1074"/>
      <c r="Y730" s="1072"/>
      <c r="Z730" s="1073"/>
      <c r="AA730" s="1074"/>
      <c r="AB730" s="1074"/>
      <c r="AC730" s="1074"/>
      <c r="AD730" s="1074"/>
      <c r="AE730" s="1074"/>
      <c r="AF730" s="1072"/>
      <c r="AG730" s="1073"/>
      <c r="AH730" s="1074"/>
      <c r="AI730" s="1074"/>
      <c r="AJ730" s="1074"/>
      <c r="AK730" s="1074"/>
    </row>
    <row r="731">
      <c r="A731" s="1072"/>
      <c r="B731" s="1072"/>
      <c r="C731" s="1075"/>
      <c r="D731" s="1074"/>
      <c r="E731" s="1074"/>
      <c r="F731" s="1074"/>
      <c r="G731" s="1076"/>
      <c r="H731" s="1074"/>
      <c r="I731" s="1074"/>
      <c r="J731" s="1072"/>
      <c r="K731" s="1075"/>
      <c r="L731" s="1074"/>
      <c r="M731" s="1074"/>
      <c r="N731" s="1074"/>
      <c r="O731" s="1076"/>
      <c r="P731" s="1074"/>
      <c r="Q731" s="1074"/>
      <c r="R731" s="1072"/>
      <c r="S731" s="1073"/>
      <c r="T731" s="1074"/>
      <c r="U731" s="1074"/>
      <c r="V731" s="1074"/>
      <c r="W731" s="1074"/>
      <c r="X731" s="1074"/>
      <c r="Y731" s="1072"/>
      <c r="Z731" s="1073"/>
      <c r="AA731" s="1074"/>
      <c r="AB731" s="1074"/>
      <c r="AC731" s="1074"/>
      <c r="AD731" s="1074"/>
      <c r="AE731" s="1074"/>
      <c r="AF731" s="1072"/>
      <c r="AG731" s="1073"/>
      <c r="AH731" s="1074"/>
      <c r="AI731" s="1074"/>
      <c r="AJ731" s="1074"/>
      <c r="AK731" s="1074"/>
    </row>
    <row r="732">
      <c r="A732" s="1072"/>
      <c r="B732" s="1072"/>
      <c r="C732" s="1075"/>
      <c r="D732" s="1074"/>
      <c r="E732" s="1074"/>
      <c r="F732" s="1074"/>
      <c r="G732" s="1076"/>
      <c r="H732" s="1074"/>
      <c r="I732" s="1074"/>
      <c r="J732" s="1072"/>
      <c r="K732" s="1075"/>
      <c r="L732" s="1074"/>
      <c r="M732" s="1074"/>
      <c r="N732" s="1074"/>
      <c r="O732" s="1076"/>
      <c r="P732" s="1074"/>
      <c r="Q732" s="1074"/>
      <c r="R732" s="1072"/>
      <c r="S732" s="1073"/>
      <c r="T732" s="1074"/>
      <c r="U732" s="1074"/>
      <c r="V732" s="1074"/>
      <c r="W732" s="1074"/>
      <c r="X732" s="1074"/>
      <c r="Y732" s="1072"/>
      <c r="Z732" s="1073"/>
      <c r="AA732" s="1074"/>
      <c r="AB732" s="1074"/>
      <c r="AC732" s="1074"/>
      <c r="AD732" s="1074"/>
      <c r="AE732" s="1074"/>
      <c r="AF732" s="1072"/>
      <c r="AG732" s="1073"/>
      <c r="AH732" s="1074"/>
      <c r="AI732" s="1074"/>
      <c r="AJ732" s="1074"/>
      <c r="AK732" s="1074"/>
    </row>
    <row r="733">
      <c r="A733" s="1072"/>
      <c r="B733" s="1072"/>
      <c r="C733" s="1075"/>
      <c r="D733" s="1074"/>
      <c r="E733" s="1074"/>
      <c r="F733" s="1074"/>
      <c r="G733" s="1076"/>
      <c r="H733" s="1074"/>
      <c r="I733" s="1074"/>
      <c r="J733" s="1072"/>
      <c r="K733" s="1075"/>
      <c r="L733" s="1074"/>
      <c r="M733" s="1074"/>
      <c r="N733" s="1074"/>
      <c r="O733" s="1076"/>
      <c r="P733" s="1074"/>
      <c r="Q733" s="1074"/>
      <c r="R733" s="1072"/>
      <c r="S733" s="1073"/>
      <c r="T733" s="1074"/>
      <c r="U733" s="1074"/>
      <c r="V733" s="1074"/>
      <c r="W733" s="1074"/>
      <c r="X733" s="1074"/>
      <c r="Y733" s="1072"/>
      <c r="Z733" s="1073"/>
      <c r="AA733" s="1074"/>
      <c r="AB733" s="1074"/>
      <c r="AC733" s="1074"/>
      <c r="AD733" s="1074"/>
      <c r="AE733" s="1074"/>
      <c r="AF733" s="1072"/>
      <c r="AG733" s="1073"/>
      <c r="AH733" s="1074"/>
      <c r="AI733" s="1074"/>
      <c r="AJ733" s="1074"/>
      <c r="AK733" s="1074"/>
    </row>
    <row r="734">
      <c r="A734" s="1072"/>
      <c r="B734" s="1072"/>
      <c r="C734" s="1075"/>
      <c r="D734" s="1074"/>
      <c r="E734" s="1074"/>
      <c r="F734" s="1074"/>
      <c r="G734" s="1076"/>
      <c r="H734" s="1074"/>
      <c r="I734" s="1074"/>
      <c r="J734" s="1072"/>
      <c r="K734" s="1075"/>
      <c r="L734" s="1074"/>
      <c r="M734" s="1074"/>
      <c r="N734" s="1074"/>
      <c r="O734" s="1076"/>
      <c r="P734" s="1074"/>
      <c r="Q734" s="1074"/>
      <c r="R734" s="1072"/>
      <c r="S734" s="1073"/>
      <c r="T734" s="1074"/>
      <c r="U734" s="1074"/>
      <c r="V734" s="1074"/>
      <c r="W734" s="1074"/>
      <c r="X734" s="1074"/>
      <c r="Y734" s="1072"/>
      <c r="Z734" s="1073"/>
      <c r="AA734" s="1074"/>
      <c r="AB734" s="1074"/>
      <c r="AC734" s="1074"/>
      <c r="AD734" s="1074"/>
      <c r="AE734" s="1074"/>
      <c r="AF734" s="1072"/>
      <c r="AG734" s="1073"/>
      <c r="AH734" s="1074"/>
      <c r="AI734" s="1074"/>
      <c r="AJ734" s="1074"/>
      <c r="AK734" s="1074"/>
    </row>
    <row r="735">
      <c r="A735" s="1072"/>
      <c r="B735" s="1072"/>
      <c r="C735" s="1075"/>
      <c r="D735" s="1074"/>
      <c r="E735" s="1074"/>
      <c r="F735" s="1074"/>
      <c r="G735" s="1076"/>
      <c r="H735" s="1074"/>
      <c r="I735" s="1074"/>
      <c r="J735" s="1072"/>
      <c r="K735" s="1075"/>
      <c r="L735" s="1074"/>
      <c r="M735" s="1074"/>
      <c r="N735" s="1074"/>
      <c r="O735" s="1076"/>
      <c r="P735" s="1074"/>
      <c r="Q735" s="1074"/>
      <c r="R735" s="1072"/>
      <c r="S735" s="1073"/>
      <c r="T735" s="1074"/>
      <c r="U735" s="1074"/>
      <c r="V735" s="1074"/>
      <c r="W735" s="1074"/>
      <c r="X735" s="1074"/>
      <c r="Y735" s="1072"/>
      <c r="Z735" s="1073"/>
      <c r="AA735" s="1074"/>
      <c r="AB735" s="1074"/>
      <c r="AC735" s="1074"/>
      <c r="AD735" s="1074"/>
      <c r="AE735" s="1074"/>
      <c r="AF735" s="1072"/>
      <c r="AG735" s="1073"/>
      <c r="AH735" s="1074"/>
      <c r="AI735" s="1074"/>
      <c r="AJ735" s="1074"/>
      <c r="AK735" s="1074"/>
    </row>
    <row r="736">
      <c r="A736" s="1072"/>
      <c r="B736" s="1072"/>
      <c r="C736" s="1075"/>
      <c r="D736" s="1074"/>
      <c r="E736" s="1074"/>
      <c r="F736" s="1074"/>
      <c r="G736" s="1076"/>
      <c r="H736" s="1074"/>
      <c r="I736" s="1074"/>
      <c r="J736" s="1072"/>
      <c r="K736" s="1075"/>
      <c r="L736" s="1074"/>
      <c r="M736" s="1074"/>
      <c r="N736" s="1074"/>
      <c r="O736" s="1076"/>
      <c r="P736" s="1074"/>
      <c r="Q736" s="1074"/>
      <c r="R736" s="1072"/>
      <c r="S736" s="1073"/>
      <c r="T736" s="1074"/>
      <c r="U736" s="1074"/>
      <c r="V736" s="1074"/>
      <c r="W736" s="1074"/>
      <c r="X736" s="1074"/>
      <c r="Y736" s="1072"/>
      <c r="Z736" s="1073"/>
      <c r="AA736" s="1074"/>
      <c r="AB736" s="1074"/>
      <c r="AC736" s="1074"/>
      <c r="AD736" s="1074"/>
      <c r="AE736" s="1074"/>
      <c r="AF736" s="1072"/>
      <c r="AG736" s="1073"/>
      <c r="AH736" s="1074"/>
      <c r="AI736" s="1074"/>
      <c r="AJ736" s="1074"/>
      <c r="AK736" s="1074"/>
    </row>
    <row r="737">
      <c r="A737" s="1072"/>
      <c r="B737" s="1072"/>
      <c r="C737" s="1075"/>
      <c r="D737" s="1074"/>
      <c r="E737" s="1074"/>
      <c r="F737" s="1074"/>
      <c r="G737" s="1076"/>
      <c r="H737" s="1074"/>
      <c r="I737" s="1074"/>
      <c r="J737" s="1072"/>
      <c r="K737" s="1075"/>
      <c r="L737" s="1074"/>
      <c r="M737" s="1074"/>
      <c r="N737" s="1074"/>
      <c r="O737" s="1076"/>
      <c r="P737" s="1074"/>
      <c r="Q737" s="1074"/>
      <c r="R737" s="1072"/>
      <c r="S737" s="1073"/>
      <c r="T737" s="1074"/>
      <c r="U737" s="1074"/>
      <c r="V737" s="1074"/>
      <c r="W737" s="1074"/>
      <c r="X737" s="1074"/>
      <c r="Y737" s="1072"/>
      <c r="Z737" s="1073"/>
      <c r="AA737" s="1074"/>
      <c r="AB737" s="1074"/>
      <c r="AC737" s="1074"/>
      <c r="AD737" s="1074"/>
      <c r="AE737" s="1074"/>
      <c r="AF737" s="1072"/>
      <c r="AG737" s="1073"/>
      <c r="AH737" s="1074"/>
      <c r="AI737" s="1074"/>
      <c r="AJ737" s="1074"/>
      <c r="AK737" s="1074"/>
    </row>
    <row r="738">
      <c r="A738" s="1072"/>
      <c r="B738" s="1072"/>
      <c r="C738" s="1075"/>
      <c r="D738" s="1074"/>
      <c r="E738" s="1074"/>
      <c r="F738" s="1074"/>
      <c r="G738" s="1076"/>
      <c r="H738" s="1074"/>
      <c r="I738" s="1074"/>
      <c r="J738" s="1072"/>
      <c r="K738" s="1075"/>
      <c r="L738" s="1074"/>
      <c r="M738" s="1074"/>
      <c r="N738" s="1074"/>
      <c r="O738" s="1076"/>
      <c r="P738" s="1074"/>
      <c r="Q738" s="1074"/>
      <c r="R738" s="1072"/>
      <c r="S738" s="1073"/>
      <c r="T738" s="1074"/>
      <c r="U738" s="1074"/>
      <c r="V738" s="1074"/>
      <c r="W738" s="1074"/>
      <c r="X738" s="1074"/>
      <c r="Y738" s="1072"/>
      <c r="Z738" s="1073"/>
      <c r="AA738" s="1074"/>
      <c r="AB738" s="1074"/>
      <c r="AC738" s="1074"/>
      <c r="AD738" s="1074"/>
      <c r="AE738" s="1074"/>
      <c r="AF738" s="1072"/>
      <c r="AG738" s="1073"/>
      <c r="AH738" s="1074"/>
      <c r="AI738" s="1074"/>
      <c r="AJ738" s="1074"/>
      <c r="AK738" s="1074"/>
    </row>
    <row r="739">
      <c r="A739" s="1072"/>
      <c r="B739" s="1072"/>
      <c r="C739" s="1075"/>
      <c r="D739" s="1074"/>
      <c r="E739" s="1074"/>
      <c r="F739" s="1074"/>
      <c r="G739" s="1076"/>
      <c r="H739" s="1074"/>
      <c r="I739" s="1074"/>
      <c r="J739" s="1072"/>
      <c r="K739" s="1075"/>
      <c r="L739" s="1074"/>
      <c r="M739" s="1074"/>
      <c r="N739" s="1074"/>
      <c r="O739" s="1076"/>
      <c r="P739" s="1074"/>
      <c r="Q739" s="1074"/>
      <c r="R739" s="1072"/>
      <c r="S739" s="1073"/>
      <c r="T739" s="1074"/>
      <c r="U739" s="1074"/>
      <c r="V739" s="1074"/>
      <c r="W739" s="1074"/>
      <c r="X739" s="1074"/>
      <c r="Y739" s="1072"/>
      <c r="Z739" s="1073"/>
      <c r="AA739" s="1074"/>
      <c r="AB739" s="1074"/>
      <c r="AC739" s="1074"/>
      <c r="AD739" s="1074"/>
      <c r="AE739" s="1074"/>
      <c r="AF739" s="1072"/>
      <c r="AG739" s="1073"/>
      <c r="AH739" s="1074"/>
      <c r="AI739" s="1074"/>
      <c r="AJ739" s="1074"/>
      <c r="AK739" s="1074"/>
    </row>
    <row r="740">
      <c r="A740" s="1072"/>
      <c r="B740" s="1072"/>
      <c r="C740" s="1075"/>
      <c r="D740" s="1074"/>
      <c r="E740" s="1074"/>
      <c r="F740" s="1074"/>
      <c r="G740" s="1076"/>
      <c r="H740" s="1074"/>
      <c r="I740" s="1074"/>
      <c r="J740" s="1072"/>
      <c r="K740" s="1075"/>
      <c r="L740" s="1074"/>
      <c r="M740" s="1074"/>
      <c r="N740" s="1074"/>
      <c r="O740" s="1076"/>
      <c r="P740" s="1074"/>
      <c r="Q740" s="1074"/>
      <c r="R740" s="1072"/>
      <c r="S740" s="1073"/>
      <c r="T740" s="1074"/>
      <c r="U740" s="1074"/>
      <c r="V740" s="1074"/>
      <c r="W740" s="1074"/>
      <c r="X740" s="1074"/>
      <c r="Y740" s="1072"/>
      <c r="Z740" s="1073"/>
      <c r="AA740" s="1074"/>
      <c r="AB740" s="1074"/>
      <c r="AC740" s="1074"/>
      <c r="AD740" s="1074"/>
      <c r="AE740" s="1074"/>
      <c r="AF740" s="1072"/>
      <c r="AG740" s="1073"/>
      <c r="AH740" s="1074"/>
      <c r="AI740" s="1074"/>
      <c r="AJ740" s="1074"/>
      <c r="AK740" s="1074"/>
    </row>
    <row r="741">
      <c r="A741" s="1072"/>
      <c r="B741" s="1072"/>
      <c r="C741" s="1075"/>
      <c r="D741" s="1074"/>
      <c r="E741" s="1074"/>
      <c r="F741" s="1074"/>
      <c r="G741" s="1076"/>
      <c r="H741" s="1074"/>
      <c r="I741" s="1074"/>
      <c r="J741" s="1072"/>
      <c r="K741" s="1075"/>
      <c r="L741" s="1074"/>
      <c r="M741" s="1074"/>
      <c r="N741" s="1074"/>
      <c r="O741" s="1076"/>
      <c r="P741" s="1074"/>
      <c r="Q741" s="1074"/>
      <c r="R741" s="1072"/>
      <c r="S741" s="1073"/>
      <c r="T741" s="1074"/>
      <c r="U741" s="1074"/>
      <c r="V741" s="1074"/>
      <c r="W741" s="1074"/>
      <c r="X741" s="1074"/>
      <c r="Y741" s="1072"/>
      <c r="Z741" s="1073"/>
      <c r="AA741" s="1074"/>
      <c r="AB741" s="1074"/>
      <c r="AC741" s="1074"/>
      <c r="AD741" s="1074"/>
      <c r="AE741" s="1074"/>
      <c r="AF741" s="1072"/>
      <c r="AG741" s="1073"/>
      <c r="AH741" s="1074"/>
      <c r="AI741" s="1074"/>
      <c r="AJ741" s="1074"/>
      <c r="AK741" s="1074"/>
    </row>
    <row r="742">
      <c r="A742" s="1072"/>
      <c r="B742" s="1072"/>
      <c r="C742" s="1075"/>
      <c r="D742" s="1074"/>
      <c r="E742" s="1074"/>
      <c r="F742" s="1074"/>
      <c r="G742" s="1076"/>
      <c r="H742" s="1074"/>
      <c r="I742" s="1074"/>
      <c r="J742" s="1072"/>
      <c r="K742" s="1075"/>
      <c r="L742" s="1074"/>
      <c r="M742" s="1074"/>
      <c r="N742" s="1074"/>
      <c r="O742" s="1076"/>
      <c r="P742" s="1074"/>
      <c r="Q742" s="1074"/>
      <c r="R742" s="1072"/>
      <c r="S742" s="1073"/>
      <c r="T742" s="1074"/>
      <c r="U742" s="1074"/>
      <c r="V742" s="1074"/>
      <c r="W742" s="1074"/>
      <c r="X742" s="1074"/>
      <c r="Y742" s="1072"/>
      <c r="Z742" s="1073"/>
      <c r="AA742" s="1074"/>
      <c r="AB742" s="1074"/>
      <c r="AC742" s="1074"/>
      <c r="AD742" s="1074"/>
      <c r="AE742" s="1074"/>
      <c r="AF742" s="1072"/>
      <c r="AG742" s="1073"/>
      <c r="AH742" s="1074"/>
      <c r="AI742" s="1074"/>
      <c r="AJ742" s="1074"/>
      <c r="AK742" s="1074"/>
    </row>
    <row r="743">
      <c r="A743" s="1072"/>
      <c r="B743" s="1072"/>
      <c r="C743" s="1075"/>
      <c r="D743" s="1074"/>
      <c r="E743" s="1074"/>
      <c r="F743" s="1074"/>
      <c r="G743" s="1076"/>
      <c r="H743" s="1074"/>
      <c r="I743" s="1074"/>
      <c r="J743" s="1072"/>
      <c r="K743" s="1075"/>
      <c r="L743" s="1074"/>
      <c r="M743" s="1074"/>
      <c r="N743" s="1074"/>
      <c r="O743" s="1076"/>
      <c r="P743" s="1074"/>
      <c r="Q743" s="1074"/>
      <c r="R743" s="1072"/>
      <c r="S743" s="1073"/>
      <c r="T743" s="1074"/>
      <c r="U743" s="1074"/>
      <c r="V743" s="1074"/>
      <c r="W743" s="1074"/>
      <c r="X743" s="1074"/>
      <c r="Y743" s="1072"/>
      <c r="Z743" s="1073"/>
      <c r="AA743" s="1074"/>
      <c r="AB743" s="1074"/>
      <c r="AC743" s="1074"/>
      <c r="AD743" s="1074"/>
      <c r="AE743" s="1074"/>
      <c r="AF743" s="1072"/>
      <c r="AG743" s="1073"/>
      <c r="AH743" s="1074"/>
      <c r="AI743" s="1074"/>
      <c r="AJ743" s="1074"/>
      <c r="AK743" s="1074"/>
    </row>
    <row r="744">
      <c r="A744" s="1072"/>
      <c r="B744" s="1072"/>
      <c r="C744" s="1075"/>
      <c r="D744" s="1074"/>
      <c r="E744" s="1074"/>
      <c r="F744" s="1074"/>
      <c r="G744" s="1076"/>
      <c r="H744" s="1074"/>
      <c r="I744" s="1074"/>
      <c r="J744" s="1072"/>
      <c r="K744" s="1075"/>
      <c r="L744" s="1074"/>
      <c r="M744" s="1074"/>
      <c r="N744" s="1074"/>
      <c r="O744" s="1076"/>
      <c r="P744" s="1074"/>
      <c r="Q744" s="1074"/>
      <c r="R744" s="1072"/>
      <c r="S744" s="1073"/>
      <c r="T744" s="1074"/>
      <c r="U744" s="1074"/>
      <c r="V744" s="1074"/>
      <c r="W744" s="1074"/>
      <c r="X744" s="1074"/>
      <c r="Y744" s="1072"/>
      <c r="Z744" s="1073"/>
      <c r="AA744" s="1074"/>
      <c r="AB744" s="1074"/>
      <c r="AC744" s="1074"/>
      <c r="AD744" s="1074"/>
      <c r="AE744" s="1074"/>
      <c r="AF744" s="1072"/>
      <c r="AG744" s="1073"/>
      <c r="AH744" s="1074"/>
      <c r="AI744" s="1074"/>
      <c r="AJ744" s="1074"/>
      <c r="AK744" s="1074"/>
    </row>
    <row r="745">
      <c r="A745" s="1072"/>
      <c r="B745" s="1072"/>
      <c r="C745" s="1075"/>
      <c r="D745" s="1074"/>
      <c r="E745" s="1074"/>
      <c r="F745" s="1074"/>
      <c r="G745" s="1076"/>
      <c r="H745" s="1074"/>
      <c r="I745" s="1074"/>
      <c r="J745" s="1072"/>
      <c r="K745" s="1075"/>
      <c r="L745" s="1074"/>
      <c r="M745" s="1074"/>
      <c r="N745" s="1074"/>
      <c r="O745" s="1076"/>
      <c r="P745" s="1074"/>
      <c r="Q745" s="1074"/>
      <c r="R745" s="1072"/>
      <c r="S745" s="1073"/>
      <c r="T745" s="1074"/>
      <c r="U745" s="1074"/>
      <c r="V745" s="1074"/>
      <c r="W745" s="1074"/>
      <c r="X745" s="1074"/>
      <c r="Y745" s="1072"/>
      <c r="Z745" s="1073"/>
      <c r="AA745" s="1074"/>
      <c r="AB745" s="1074"/>
      <c r="AC745" s="1074"/>
      <c r="AD745" s="1074"/>
      <c r="AE745" s="1074"/>
      <c r="AF745" s="1072"/>
      <c r="AG745" s="1073"/>
      <c r="AH745" s="1074"/>
      <c r="AI745" s="1074"/>
      <c r="AJ745" s="1074"/>
      <c r="AK745" s="1074"/>
    </row>
    <row r="746">
      <c r="A746" s="1072"/>
      <c r="B746" s="1072"/>
      <c r="C746" s="1075"/>
      <c r="D746" s="1074"/>
      <c r="E746" s="1074"/>
      <c r="F746" s="1074"/>
      <c r="G746" s="1076"/>
      <c r="H746" s="1074"/>
      <c r="I746" s="1074"/>
      <c r="J746" s="1072"/>
      <c r="K746" s="1075"/>
      <c r="L746" s="1074"/>
      <c r="M746" s="1074"/>
      <c r="N746" s="1074"/>
      <c r="O746" s="1076"/>
      <c r="P746" s="1074"/>
      <c r="Q746" s="1074"/>
      <c r="R746" s="1072"/>
      <c r="S746" s="1073"/>
      <c r="T746" s="1074"/>
      <c r="U746" s="1074"/>
      <c r="V746" s="1074"/>
      <c r="W746" s="1074"/>
      <c r="X746" s="1074"/>
      <c r="Y746" s="1072"/>
      <c r="Z746" s="1073"/>
      <c r="AA746" s="1074"/>
      <c r="AB746" s="1074"/>
      <c r="AC746" s="1074"/>
      <c r="AD746" s="1074"/>
      <c r="AE746" s="1074"/>
      <c r="AF746" s="1072"/>
      <c r="AG746" s="1073"/>
      <c r="AH746" s="1074"/>
      <c r="AI746" s="1074"/>
      <c r="AJ746" s="1074"/>
      <c r="AK746" s="1074"/>
    </row>
    <row r="747">
      <c r="A747" s="1072"/>
      <c r="B747" s="1072"/>
      <c r="C747" s="1075"/>
      <c r="D747" s="1074"/>
      <c r="E747" s="1074"/>
      <c r="F747" s="1074"/>
      <c r="G747" s="1076"/>
      <c r="H747" s="1074"/>
      <c r="I747" s="1074"/>
      <c r="J747" s="1072"/>
      <c r="K747" s="1075"/>
      <c r="L747" s="1074"/>
      <c r="M747" s="1074"/>
      <c r="N747" s="1074"/>
      <c r="O747" s="1076"/>
      <c r="P747" s="1074"/>
      <c r="Q747" s="1074"/>
      <c r="R747" s="1072"/>
      <c r="S747" s="1073"/>
      <c r="T747" s="1074"/>
      <c r="U747" s="1074"/>
      <c r="V747" s="1074"/>
      <c r="W747" s="1074"/>
      <c r="X747" s="1074"/>
      <c r="Y747" s="1072"/>
      <c r="Z747" s="1073"/>
      <c r="AA747" s="1074"/>
      <c r="AB747" s="1074"/>
      <c r="AC747" s="1074"/>
      <c r="AD747" s="1074"/>
      <c r="AE747" s="1074"/>
      <c r="AF747" s="1072"/>
      <c r="AG747" s="1073"/>
      <c r="AH747" s="1074"/>
      <c r="AI747" s="1074"/>
      <c r="AJ747" s="1074"/>
      <c r="AK747" s="1074"/>
    </row>
    <row r="748">
      <c r="A748" s="1072"/>
      <c r="B748" s="1072"/>
      <c r="C748" s="1075"/>
      <c r="D748" s="1074"/>
      <c r="E748" s="1074"/>
      <c r="F748" s="1074"/>
      <c r="G748" s="1076"/>
      <c r="H748" s="1074"/>
      <c r="I748" s="1074"/>
      <c r="J748" s="1072"/>
      <c r="K748" s="1075"/>
      <c r="L748" s="1074"/>
      <c r="M748" s="1074"/>
      <c r="N748" s="1074"/>
      <c r="O748" s="1076"/>
      <c r="P748" s="1074"/>
      <c r="Q748" s="1074"/>
      <c r="R748" s="1072"/>
      <c r="S748" s="1073"/>
      <c r="T748" s="1074"/>
      <c r="U748" s="1074"/>
      <c r="V748" s="1074"/>
      <c r="W748" s="1074"/>
      <c r="X748" s="1074"/>
      <c r="Y748" s="1072"/>
      <c r="Z748" s="1073"/>
      <c r="AA748" s="1074"/>
      <c r="AB748" s="1074"/>
      <c r="AC748" s="1074"/>
      <c r="AD748" s="1074"/>
      <c r="AE748" s="1074"/>
      <c r="AF748" s="1072"/>
      <c r="AG748" s="1073"/>
      <c r="AH748" s="1074"/>
      <c r="AI748" s="1074"/>
      <c r="AJ748" s="1074"/>
      <c r="AK748" s="1074"/>
    </row>
    <row r="749">
      <c r="A749" s="1072"/>
      <c r="B749" s="1072"/>
      <c r="C749" s="1075"/>
      <c r="D749" s="1074"/>
      <c r="E749" s="1074"/>
      <c r="F749" s="1074"/>
      <c r="G749" s="1076"/>
      <c r="H749" s="1074"/>
      <c r="I749" s="1074"/>
      <c r="J749" s="1072"/>
      <c r="K749" s="1075"/>
      <c r="L749" s="1074"/>
      <c r="M749" s="1074"/>
      <c r="N749" s="1074"/>
      <c r="O749" s="1076"/>
      <c r="P749" s="1074"/>
      <c r="Q749" s="1074"/>
      <c r="R749" s="1072"/>
      <c r="S749" s="1073"/>
      <c r="T749" s="1074"/>
      <c r="U749" s="1074"/>
      <c r="V749" s="1074"/>
      <c r="W749" s="1074"/>
      <c r="X749" s="1074"/>
      <c r="Y749" s="1072"/>
      <c r="Z749" s="1073"/>
      <c r="AA749" s="1074"/>
      <c r="AB749" s="1074"/>
      <c r="AC749" s="1074"/>
      <c r="AD749" s="1074"/>
      <c r="AE749" s="1074"/>
      <c r="AF749" s="1072"/>
      <c r="AG749" s="1073"/>
      <c r="AH749" s="1074"/>
      <c r="AI749" s="1074"/>
      <c r="AJ749" s="1074"/>
      <c r="AK749" s="1074"/>
    </row>
    <row r="750">
      <c r="A750" s="1072"/>
      <c r="B750" s="1072"/>
      <c r="C750" s="1075"/>
      <c r="D750" s="1074"/>
      <c r="E750" s="1074"/>
      <c r="F750" s="1074"/>
      <c r="G750" s="1076"/>
      <c r="H750" s="1074"/>
      <c r="I750" s="1074"/>
      <c r="J750" s="1072"/>
      <c r="K750" s="1075"/>
      <c r="L750" s="1074"/>
      <c r="M750" s="1074"/>
      <c r="N750" s="1074"/>
      <c r="O750" s="1076"/>
      <c r="P750" s="1074"/>
      <c r="Q750" s="1074"/>
      <c r="R750" s="1072"/>
      <c r="S750" s="1073"/>
      <c r="T750" s="1074"/>
      <c r="U750" s="1074"/>
      <c r="V750" s="1074"/>
      <c r="W750" s="1074"/>
      <c r="X750" s="1074"/>
      <c r="Y750" s="1072"/>
      <c r="Z750" s="1073"/>
      <c r="AA750" s="1074"/>
      <c r="AB750" s="1074"/>
      <c r="AC750" s="1074"/>
      <c r="AD750" s="1074"/>
      <c r="AE750" s="1074"/>
      <c r="AF750" s="1072"/>
      <c r="AG750" s="1073"/>
      <c r="AH750" s="1074"/>
      <c r="AI750" s="1074"/>
      <c r="AJ750" s="1074"/>
      <c r="AK750" s="1074"/>
    </row>
    <row r="751">
      <c r="A751" s="1072"/>
      <c r="B751" s="1072"/>
      <c r="C751" s="1075"/>
      <c r="D751" s="1074"/>
      <c r="E751" s="1074"/>
      <c r="F751" s="1074"/>
      <c r="G751" s="1076"/>
      <c r="H751" s="1074"/>
      <c r="I751" s="1074"/>
      <c r="J751" s="1072"/>
      <c r="K751" s="1075"/>
      <c r="L751" s="1074"/>
      <c r="M751" s="1074"/>
      <c r="N751" s="1074"/>
      <c r="O751" s="1076"/>
      <c r="P751" s="1074"/>
      <c r="Q751" s="1074"/>
      <c r="R751" s="1072"/>
      <c r="S751" s="1073"/>
      <c r="T751" s="1074"/>
      <c r="U751" s="1074"/>
      <c r="V751" s="1074"/>
      <c r="W751" s="1074"/>
      <c r="X751" s="1074"/>
      <c r="Y751" s="1072"/>
      <c r="Z751" s="1073"/>
      <c r="AA751" s="1074"/>
      <c r="AB751" s="1074"/>
      <c r="AC751" s="1074"/>
      <c r="AD751" s="1074"/>
      <c r="AE751" s="1074"/>
      <c r="AF751" s="1072"/>
      <c r="AG751" s="1073"/>
      <c r="AH751" s="1074"/>
      <c r="AI751" s="1074"/>
      <c r="AJ751" s="1074"/>
      <c r="AK751" s="1074"/>
    </row>
    <row r="752">
      <c r="A752" s="1072"/>
      <c r="B752" s="1072"/>
      <c r="C752" s="1075"/>
      <c r="D752" s="1074"/>
      <c r="E752" s="1074"/>
      <c r="F752" s="1074"/>
      <c r="G752" s="1076"/>
      <c r="H752" s="1074"/>
      <c r="I752" s="1074"/>
      <c r="J752" s="1072"/>
      <c r="K752" s="1075"/>
      <c r="L752" s="1074"/>
      <c r="M752" s="1074"/>
      <c r="N752" s="1074"/>
      <c r="O752" s="1076"/>
      <c r="P752" s="1074"/>
      <c r="Q752" s="1074"/>
      <c r="R752" s="1072"/>
      <c r="S752" s="1073"/>
      <c r="T752" s="1074"/>
      <c r="U752" s="1074"/>
      <c r="V752" s="1074"/>
      <c r="W752" s="1074"/>
      <c r="X752" s="1074"/>
      <c r="Y752" s="1072"/>
      <c r="Z752" s="1073"/>
      <c r="AA752" s="1074"/>
      <c r="AB752" s="1074"/>
      <c r="AC752" s="1074"/>
      <c r="AD752" s="1074"/>
      <c r="AE752" s="1074"/>
      <c r="AF752" s="1072"/>
      <c r="AG752" s="1073"/>
      <c r="AH752" s="1074"/>
      <c r="AI752" s="1074"/>
      <c r="AJ752" s="1074"/>
      <c r="AK752" s="1074"/>
    </row>
    <row r="753">
      <c r="A753" s="1072"/>
      <c r="B753" s="1072"/>
      <c r="C753" s="1075"/>
      <c r="D753" s="1074"/>
      <c r="E753" s="1074"/>
      <c r="F753" s="1074"/>
      <c r="G753" s="1076"/>
      <c r="H753" s="1074"/>
      <c r="I753" s="1074"/>
      <c r="J753" s="1072"/>
      <c r="K753" s="1075"/>
      <c r="L753" s="1074"/>
      <c r="M753" s="1074"/>
      <c r="N753" s="1074"/>
      <c r="O753" s="1076"/>
      <c r="P753" s="1074"/>
      <c r="Q753" s="1074"/>
      <c r="R753" s="1072"/>
      <c r="S753" s="1073"/>
      <c r="T753" s="1074"/>
      <c r="U753" s="1074"/>
      <c r="V753" s="1074"/>
      <c r="W753" s="1074"/>
      <c r="X753" s="1074"/>
      <c r="Y753" s="1072"/>
      <c r="Z753" s="1073"/>
      <c r="AA753" s="1074"/>
      <c r="AB753" s="1074"/>
      <c r="AC753" s="1074"/>
      <c r="AD753" s="1074"/>
      <c r="AE753" s="1074"/>
      <c r="AF753" s="1072"/>
      <c r="AG753" s="1073"/>
      <c r="AH753" s="1074"/>
      <c r="AI753" s="1074"/>
      <c r="AJ753" s="1074"/>
      <c r="AK753" s="1074"/>
    </row>
    <row r="754">
      <c r="A754" s="1072"/>
      <c r="B754" s="1072"/>
      <c r="C754" s="1075"/>
      <c r="D754" s="1074"/>
      <c r="E754" s="1074"/>
      <c r="F754" s="1074"/>
      <c r="G754" s="1076"/>
      <c r="H754" s="1074"/>
      <c r="I754" s="1074"/>
      <c r="J754" s="1072"/>
      <c r="K754" s="1075"/>
      <c r="L754" s="1074"/>
      <c r="M754" s="1074"/>
      <c r="N754" s="1074"/>
      <c r="O754" s="1076"/>
      <c r="P754" s="1074"/>
      <c r="Q754" s="1074"/>
      <c r="R754" s="1072"/>
      <c r="S754" s="1073"/>
      <c r="T754" s="1074"/>
      <c r="U754" s="1074"/>
      <c r="V754" s="1074"/>
      <c r="W754" s="1074"/>
      <c r="X754" s="1074"/>
      <c r="Y754" s="1072"/>
      <c r="Z754" s="1073"/>
      <c r="AA754" s="1074"/>
      <c r="AB754" s="1074"/>
      <c r="AC754" s="1074"/>
      <c r="AD754" s="1074"/>
      <c r="AE754" s="1074"/>
      <c r="AF754" s="1072"/>
      <c r="AG754" s="1073"/>
      <c r="AH754" s="1074"/>
      <c r="AI754" s="1074"/>
      <c r="AJ754" s="1074"/>
      <c r="AK754" s="1074"/>
    </row>
    <row r="755">
      <c r="A755" s="1072"/>
      <c r="B755" s="1072"/>
      <c r="C755" s="1075"/>
      <c r="D755" s="1074"/>
      <c r="E755" s="1074"/>
      <c r="F755" s="1074"/>
      <c r="G755" s="1076"/>
      <c r="H755" s="1074"/>
      <c r="I755" s="1074"/>
      <c r="J755" s="1072"/>
      <c r="K755" s="1075"/>
      <c r="L755" s="1074"/>
      <c r="M755" s="1074"/>
      <c r="N755" s="1074"/>
      <c r="O755" s="1076"/>
      <c r="P755" s="1074"/>
      <c r="Q755" s="1074"/>
      <c r="R755" s="1072"/>
      <c r="S755" s="1073"/>
      <c r="T755" s="1074"/>
      <c r="U755" s="1074"/>
      <c r="V755" s="1074"/>
      <c r="W755" s="1074"/>
      <c r="X755" s="1074"/>
      <c r="Y755" s="1072"/>
      <c r="Z755" s="1073"/>
      <c r="AA755" s="1074"/>
      <c r="AB755" s="1074"/>
      <c r="AC755" s="1074"/>
      <c r="AD755" s="1074"/>
      <c r="AE755" s="1074"/>
      <c r="AF755" s="1072"/>
      <c r="AG755" s="1073"/>
      <c r="AH755" s="1074"/>
      <c r="AI755" s="1074"/>
      <c r="AJ755" s="1074"/>
      <c r="AK755" s="1074"/>
    </row>
    <row r="756">
      <c r="A756" s="1072"/>
      <c r="B756" s="1072"/>
      <c r="C756" s="1075"/>
      <c r="D756" s="1074"/>
      <c r="E756" s="1074"/>
      <c r="F756" s="1074"/>
      <c r="G756" s="1076"/>
      <c r="H756" s="1074"/>
      <c r="I756" s="1074"/>
      <c r="J756" s="1072"/>
      <c r="K756" s="1075"/>
      <c r="L756" s="1074"/>
      <c r="M756" s="1074"/>
      <c r="N756" s="1074"/>
      <c r="O756" s="1076"/>
      <c r="P756" s="1074"/>
      <c r="Q756" s="1074"/>
      <c r="R756" s="1072"/>
      <c r="S756" s="1073"/>
      <c r="T756" s="1074"/>
      <c r="U756" s="1074"/>
      <c r="V756" s="1074"/>
      <c r="W756" s="1074"/>
      <c r="X756" s="1074"/>
      <c r="Y756" s="1072"/>
      <c r="Z756" s="1073"/>
      <c r="AA756" s="1074"/>
      <c r="AB756" s="1074"/>
      <c r="AC756" s="1074"/>
      <c r="AD756" s="1074"/>
      <c r="AE756" s="1074"/>
      <c r="AF756" s="1072"/>
      <c r="AG756" s="1073"/>
      <c r="AH756" s="1074"/>
      <c r="AI756" s="1074"/>
      <c r="AJ756" s="1074"/>
      <c r="AK756" s="1074"/>
    </row>
    <row r="757">
      <c r="A757" s="1072"/>
      <c r="B757" s="1072"/>
      <c r="C757" s="1075"/>
      <c r="D757" s="1074"/>
      <c r="E757" s="1074"/>
      <c r="F757" s="1074"/>
      <c r="G757" s="1076"/>
      <c r="H757" s="1074"/>
      <c r="I757" s="1074"/>
      <c r="J757" s="1072"/>
      <c r="K757" s="1075"/>
      <c r="L757" s="1074"/>
      <c r="M757" s="1074"/>
      <c r="N757" s="1074"/>
      <c r="O757" s="1076"/>
      <c r="P757" s="1074"/>
      <c r="Q757" s="1074"/>
      <c r="R757" s="1072"/>
      <c r="S757" s="1073"/>
      <c r="T757" s="1074"/>
      <c r="U757" s="1074"/>
      <c r="V757" s="1074"/>
      <c r="W757" s="1074"/>
      <c r="X757" s="1074"/>
      <c r="Y757" s="1072"/>
      <c r="Z757" s="1073"/>
      <c r="AA757" s="1074"/>
      <c r="AB757" s="1074"/>
      <c r="AC757" s="1074"/>
      <c r="AD757" s="1074"/>
      <c r="AE757" s="1074"/>
      <c r="AF757" s="1072"/>
      <c r="AG757" s="1073"/>
      <c r="AH757" s="1074"/>
      <c r="AI757" s="1074"/>
      <c r="AJ757" s="1074"/>
      <c r="AK757" s="1074"/>
    </row>
    <row r="758">
      <c r="A758" s="1072"/>
      <c r="B758" s="1072"/>
      <c r="C758" s="1075"/>
      <c r="D758" s="1074"/>
      <c r="E758" s="1074"/>
      <c r="F758" s="1074"/>
      <c r="G758" s="1076"/>
      <c r="H758" s="1074"/>
      <c r="I758" s="1074"/>
      <c r="J758" s="1072"/>
      <c r="K758" s="1075"/>
      <c r="L758" s="1074"/>
      <c r="M758" s="1074"/>
      <c r="N758" s="1074"/>
      <c r="O758" s="1076"/>
      <c r="P758" s="1074"/>
      <c r="Q758" s="1074"/>
      <c r="R758" s="1072"/>
      <c r="S758" s="1073"/>
      <c r="T758" s="1074"/>
      <c r="U758" s="1074"/>
      <c r="V758" s="1074"/>
      <c r="W758" s="1074"/>
      <c r="X758" s="1074"/>
      <c r="Y758" s="1072"/>
      <c r="Z758" s="1073"/>
      <c r="AA758" s="1074"/>
      <c r="AB758" s="1074"/>
      <c r="AC758" s="1074"/>
      <c r="AD758" s="1074"/>
      <c r="AE758" s="1074"/>
      <c r="AF758" s="1072"/>
      <c r="AG758" s="1073"/>
      <c r="AH758" s="1074"/>
      <c r="AI758" s="1074"/>
      <c r="AJ758" s="1074"/>
      <c r="AK758" s="1074"/>
    </row>
    <row r="759">
      <c r="A759" s="1072"/>
      <c r="B759" s="1072"/>
      <c r="C759" s="1075"/>
      <c r="D759" s="1074"/>
      <c r="E759" s="1074"/>
      <c r="F759" s="1074"/>
      <c r="G759" s="1076"/>
      <c r="H759" s="1074"/>
      <c r="I759" s="1074"/>
      <c r="J759" s="1072"/>
      <c r="K759" s="1075"/>
      <c r="L759" s="1074"/>
      <c r="M759" s="1074"/>
      <c r="N759" s="1074"/>
      <c r="O759" s="1076"/>
      <c r="P759" s="1074"/>
      <c r="Q759" s="1074"/>
      <c r="R759" s="1072"/>
      <c r="S759" s="1073"/>
      <c r="T759" s="1074"/>
      <c r="U759" s="1074"/>
      <c r="V759" s="1074"/>
      <c r="W759" s="1074"/>
      <c r="X759" s="1074"/>
      <c r="Y759" s="1072"/>
      <c r="Z759" s="1073"/>
      <c r="AA759" s="1074"/>
      <c r="AB759" s="1074"/>
      <c r="AC759" s="1074"/>
      <c r="AD759" s="1074"/>
      <c r="AE759" s="1074"/>
      <c r="AF759" s="1072"/>
      <c r="AG759" s="1073"/>
      <c r="AH759" s="1074"/>
      <c r="AI759" s="1074"/>
      <c r="AJ759" s="1074"/>
      <c r="AK759" s="1074"/>
    </row>
    <row r="760">
      <c r="A760" s="1072"/>
      <c r="B760" s="1072"/>
      <c r="C760" s="1075"/>
      <c r="D760" s="1074"/>
      <c r="E760" s="1074"/>
      <c r="F760" s="1074"/>
      <c r="G760" s="1076"/>
      <c r="H760" s="1074"/>
      <c r="I760" s="1074"/>
      <c r="J760" s="1072"/>
      <c r="K760" s="1075"/>
      <c r="L760" s="1074"/>
      <c r="M760" s="1074"/>
      <c r="N760" s="1074"/>
      <c r="O760" s="1076"/>
      <c r="P760" s="1074"/>
      <c r="Q760" s="1074"/>
      <c r="R760" s="1072"/>
      <c r="S760" s="1073"/>
      <c r="T760" s="1074"/>
      <c r="U760" s="1074"/>
      <c r="V760" s="1074"/>
      <c r="W760" s="1074"/>
      <c r="X760" s="1074"/>
      <c r="Y760" s="1072"/>
      <c r="Z760" s="1073"/>
      <c r="AA760" s="1074"/>
      <c r="AB760" s="1074"/>
      <c r="AC760" s="1074"/>
      <c r="AD760" s="1074"/>
      <c r="AE760" s="1074"/>
      <c r="AF760" s="1072"/>
      <c r="AG760" s="1073"/>
      <c r="AH760" s="1074"/>
      <c r="AI760" s="1074"/>
      <c r="AJ760" s="1074"/>
      <c r="AK760" s="1074"/>
    </row>
    <row r="761">
      <c r="A761" s="1072"/>
      <c r="B761" s="1072"/>
      <c r="C761" s="1075"/>
      <c r="D761" s="1074"/>
      <c r="E761" s="1074"/>
      <c r="F761" s="1074"/>
      <c r="G761" s="1076"/>
      <c r="H761" s="1074"/>
      <c r="I761" s="1074"/>
      <c r="J761" s="1072"/>
      <c r="K761" s="1075"/>
      <c r="L761" s="1074"/>
      <c r="M761" s="1074"/>
      <c r="N761" s="1074"/>
      <c r="O761" s="1076"/>
      <c r="P761" s="1074"/>
      <c r="Q761" s="1074"/>
      <c r="R761" s="1072"/>
      <c r="S761" s="1073"/>
      <c r="T761" s="1074"/>
      <c r="U761" s="1074"/>
      <c r="V761" s="1074"/>
      <c r="W761" s="1074"/>
      <c r="X761" s="1074"/>
      <c r="Y761" s="1072"/>
      <c r="Z761" s="1073"/>
      <c r="AA761" s="1074"/>
      <c r="AB761" s="1074"/>
      <c r="AC761" s="1074"/>
      <c r="AD761" s="1074"/>
      <c r="AE761" s="1074"/>
      <c r="AF761" s="1072"/>
      <c r="AG761" s="1073"/>
      <c r="AH761" s="1074"/>
      <c r="AI761" s="1074"/>
      <c r="AJ761" s="1074"/>
      <c r="AK761" s="1074"/>
    </row>
    <row r="762">
      <c r="A762" s="1072"/>
      <c r="B762" s="1072"/>
      <c r="C762" s="1075"/>
      <c r="D762" s="1074"/>
      <c r="E762" s="1074"/>
      <c r="F762" s="1074"/>
      <c r="G762" s="1076"/>
      <c r="H762" s="1074"/>
      <c r="I762" s="1074"/>
      <c r="J762" s="1072"/>
      <c r="K762" s="1075"/>
      <c r="L762" s="1074"/>
      <c r="M762" s="1074"/>
      <c r="N762" s="1074"/>
      <c r="O762" s="1076"/>
      <c r="P762" s="1074"/>
      <c r="Q762" s="1074"/>
      <c r="R762" s="1072"/>
      <c r="S762" s="1073"/>
      <c r="T762" s="1074"/>
      <c r="U762" s="1074"/>
      <c r="V762" s="1074"/>
      <c r="W762" s="1074"/>
      <c r="X762" s="1074"/>
      <c r="Y762" s="1072"/>
      <c r="Z762" s="1073"/>
      <c r="AA762" s="1074"/>
      <c r="AB762" s="1074"/>
      <c r="AC762" s="1074"/>
      <c r="AD762" s="1074"/>
      <c r="AE762" s="1074"/>
      <c r="AF762" s="1072"/>
      <c r="AG762" s="1073"/>
      <c r="AH762" s="1074"/>
      <c r="AI762" s="1074"/>
      <c r="AJ762" s="1074"/>
      <c r="AK762" s="1074"/>
    </row>
    <row r="763">
      <c r="A763" s="1072"/>
      <c r="B763" s="1072"/>
      <c r="C763" s="1075"/>
      <c r="D763" s="1074"/>
      <c r="E763" s="1074"/>
      <c r="F763" s="1074"/>
      <c r="G763" s="1076"/>
      <c r="H763" s="1074"/>
      <c r="I763" s="1074"/>
      <c r="J763" s="1072"/>
      <c r="K763" s="1075"/>
      <c r="L763" s="1074"/>
      <c r="M763" s="1074"/>
      <c r="N763" s="1074"/>
      <c r="O763" s="1076"/>
      <c r="P763" s="1074"/>
      <c r="Q763" s="1074"/>
      <c r="R763" s="1072"/>
      <c r="S763" s="1073"/>
      <c r="T763" s="1074"/>
      <c r="U763" s="1074"/>
      <c r="V763" s="1074"/>
      <c r="W763" s="1074"/>
      <c r="X763" s="1074"/>
      <c r="Y763" s="1072"/>
      <c r="Z763" s="1073"/>
      <c r="AA763" s="1074"/>
      <c r="AB763" s="1074"/>
      <c r="AC763" s="1074"/>
      <c r="AD763" s="1074"/>
      <c r="AE763" s="1074"/>
      <c r="AF763" s="1072"/>
      <c r="AG763" s="1073"/>
      <c r="AH763" s="1074"/>
      <c r="AI763" s="1074"/>
      <c r="AJ763" s="1074"/>
      <c r="AK763" s="1074"/>
    </row>
    <row r="764">
      <c r="A764" s="1072"/>
      <c r="B764" s="1072"/>
      <c r="C764" s="1075"/>
      <c r="D764" s="1074"/>
      <c r="E764" s="1074"/>
      <c r="F764" s="1074"/>
      <c r="G764" s="1076"/>
      <c r="H764" s="1074"/>
      <c r="I764" s="1074"/>
      <c r="J764" s="1072"/>
      <c r="K764" s="1075"/>
      <c r="L764" s="1074"/>
      <c r="M764" s="1074"/>
      <c r="N764" s="1074"/>
      <c r="O764" s="1076"/>
      <c r="P764" s="1074"/>
      <c r="Q764" s="1074"/>
      <c r="R764" s="1072"/>
      <c r="S764" s="1073"/>
      <c r="T764" s="1074"/>
      <c r="U764" s="1074"/>
      <c r="V764" s="1074"/>
      <c r="W764" s="1074"/>
      <c r="X764" s="1074"/>
      <c r="Y764" s="1072"/>
      <c r="Z764" s="1073"/>
      <c r="AA764" s="1074"/>
      <c r="AB764" s="1074"/>
      <c r="AC764" s="1074"/>
      <c r="AD764" s="1074"/>
      <c r="AE764" s="1074"/>
      <c r="AF764" s="1072"/>
      <c r="AG764" s="1073"/>
      <c r="AH764" s="1074"/>
      <c r="AI764" s="1074"/>
      <c r="AJ764" s="1074"/>
      <c r="AK764" s="1074"/>
    </row>
    <row r="765">
      <c r="A765" s="1072"/>
      <c r="B765" s="1072"/>
      <c r="C765" s="1075"/>
      <c r="D765" s="1074"/>
      <c r="E765" s="1074"/>
      <c r="F765" s="1074"/>
      <c r="G765" s="1076"/>
      <c r="H765" s="1074"/>
      <c r="I765" s="1074"/>
      <c r="J765" s="1072"/>
      <c r="K765" s="1075"/>
      <c r="L765" s="1074"/>
      <c r="M765" s="1074"/>
      <c r="N765" s="1074"/>
      <c r="O765" s="1076"/>
      <c r="P765" s="1074"/>
      <c r="Q765" s="1074"/>
      <c r="R765" s="1072"/>
      <c r="S765" s="1073"/>
      <c r="T765" s="1074"/>
      <c r="U765" s="1074"/>
      <c r="V765" s="1074"/>
      <c r="W765" s="1074"/>
      <c r="X765" s="1074"/>
      <c r="Y765" s="1072"/>
      <c r="Z765" s="1073"/>
      <c r="AA765" s="1074"/>
      <c r="AB765" s="1074"/>
      <c r="AC765" s="1074"/>
      <c r="AD765" s="1074"/>
      <c r="AE765" s="1074"/>
      <c r="AF765" s="1072"/>
      <c r="AG765" s="1073"/>
      <c r="AH765" s="1074"/>
      <c r="AI765" s="1074"/>
      <c r="AJ765" s="1074"/>
      <c r="AK765" s="1074"/>
    </row>
    <row r="766">
      <c r="A766" s="1072"/>
      <c r="B766" s="1072"/>
      <c r="C766" s="1075"/>
      <c r="D766" s="1074"/>
      <c r="E766" s="1074"/>
      <c r="F766" s="1074"/>
      <c r="G766" s="1076"/>
      <c r="H766" s="1074"/>
      <c r="I766" s="1074"/>
      <c r="J766" s="1072"/>
      <c r="K766" s="1075"/>
      <c r="L766" s="1074"/>
      <c r="M766" s="1074"/>
      <c r="N766" s="1074"/>
      <c r="O766" s="1076"/>
      <c r="P766" s="1074"/>
      <c r="Q766" s="1074"/>
      <c r="R766" s="1072"/>
      <c r="S766" s="1073"/>
      <c r="T766" s="1074"/>
      <c r="U766" s="1074"/>
      <c r="V766" s="1074"/>
      <c r="W766" s="1074"/>
      <c r="X766" s="1074"/>
      <c r="Y766" s="1072"/>
      <c r="Z766" s="1073"/>
      <c r="AA766" s="1074"/>
      <c r="AB766" s="1074"/>
      <c r="AC766" s="1074"/>
      <c r="AD766" s="1074"/>
      <c r="AE766" s="1074"/>
      <c r="AF766" s="1072"/>
      <c r="AG766" s="1073"/>
      <c r="AH766" s="1074"/>
      <c r="AI766" s="1074"/>
      <c r="AJ766" s="1074"/>
      <c r="AK766" s="1074"/>
    </row>
    <row r="767">
      <c r="A767" s="1072"/>
      <c r="B767" s="1072"/>
      <c r="C767" s="1075"/>
      <c r="D767" s="1074"/>
      <c r="E767" s="1074"/>
      <c r="F767" s="1074"/>
      <c r="G767" s="1076"/>
      <c r="H767" s="1074"/>
      <c r="I767" s="1074"/>
      <c r="J767" s="1072"/>
      <c r="K767" s="1075"/>
      <c r="L767" s="1074"/>
      <c r="M767" s="1074"/>
      <c r="N767" s="1074"/>
      <c r="O767" s="1076"/>
      <c r="P767" s="1074"/>
      <c r="Q767" s="1074"/>
      <c r="R767" s="1072"/>
      <c r="S767" s="1073"/>
      <c r="T767" s="1074"/>
      <c r="U767" s="1074"/>
      <c r="V767" s="1074"/>
      <c r="W767" s="1074"/>
      <c r="X767" s="1074"/>
      <c r="Y767" s="1072"/>
      <c r="Z767" s="1073"/>
      <c r="AA767" s="1074"/>
      <c r="AB767" s="1074"/>
      <c r="AC767" s="1074"/>
      <c r="AD767" s="1074"/>
      <c r="AE767" s="1074"/>
      <c r="AF767" s="1072"/>
      <c r="AG767" s="1073"/>
      <c r="AH767" s="1074"/>
      <c r="AI767" s="1074"/>
      <c r="AJ767" s="1074"/>
      <c r="AK767" s="1074"/>
    </row>
    <row r="768">
      <c r="A768" s="1072"/>
      <c r="B768" s="1072"/>
      <c r="C768" s="1075"/>
      <c r="D768" s="1074"/>
      <c r="E768" s="1074"/>
      <c r="F768" s="1074"/>
      <c r="G768" s="1076"/>
      <c r="H768" s="1074"/>
      <c r="I768" s="1074"/>
      <c r="J768" s="1072"/>
      <c r="K768" s="1075"/>
      <c r="L768" s="1074"/>
      <c r="M768" s="1074"/>
      <c r="N768" s="1074"/>
      <c r="O768" s="1076"/>
      <c r="P768" s="1074"/>
      <c r="Q768" s="1074"/>
      <c r="R768" s="1072"/>
      <c r="S768" s="1073"/>
      <c r="T768" s="1074"/>
      <c r="U768" s="1074"/>
      <c r="V768" s="1074"/>
      <c r="W768" s="1074"/>
      <c r="X768" s="1074"/>
      <c r="Y768" s="1072"/>
      <c r="Z768" s="1073"/>
      <c r="AA768" s="1074"/>
      <c r="AB768" s="1074"/>
      <c r="AC768" s="1074"/>
      <c r="AD768" s="1074"/>
      <c r="AE768" s="1074"/>
      <c r="AF768" s="1072"/>
      <c r="AG768" s="1073"/>
      <c r="AH768" s="1074"/>
      <c r="AI768" s="1074"/>
      <c r="AJ768" s="1074"/>
      <c r="AK768" s="1074"/>
    </row>
    <row r="769">
      <c r="A769" s="1072"/>
      <c r="B769" s="1072"/>
      <c r="C769" s="1075"/>
      <c r="D769" s="1074"/>
      <c r="E769" s="1074"/>
      <c r="F769" s="1074"/>
      <c r="G769" s="1076"/>
      <c r="H769" s="1074"/>
      <c r="I769" s="1074"/>
      <c r="J769" s="1072"/>
      <c r="K769" s="1075"/>
      <c r="L769" s="1074"/>
      <c r="M769" s="1074"/>
      <c r="N769" s="1074"/>
      <c r="O769" s="1076"/>
      <c r="P769" s="1074"/>
      <c r="Q769" s="1074"/>
      <c r="R769" s="1072"/>
      <c r="S769" s="1073"/>
      <c r="T769" s="1074"/>
      <c r="U769" s="1074"/>
      <c r="V769" s="1074"/>
      <c r="W769" s="1074"/>
      <c r="X769" s="1074"/>
      <c r="Y769" s="1072"/>
      <c r="Z769" s="1073"/>
      <c r="AA769" s="1074"/>
      <c r="AB769" s="1074"/>
      <c r="AC769" s="1074"/>
      <c r="AD769" s="1074"/>
      <c r="AE769" s="1074"/>
      <c r="AF769" s="1072"/>
      <c r="AG769" s="1073"/>
      <c r="AH769" s="1074"/>
      <c r="AI769" s="1074"/>
      <c r="AJ769" s="1074"/>
      <c r="AK769" s="1074"/>
    </row>
    <row r="770">
      <c r="A770" s="1072"/>
      <c r="B770" s="1072"/>
      <c r="C770" s="1075"/>
      <c r="D770" s="1074"/>
      <c r="E770" s="1074"/>
      <c r="F770" s="1074"/>
      <c r="G770" s="1076"/>
      <c r="H770" s="1074"/>
      <c r="I770" s="1074"/>
      <c r="J770" s="1072"/>
      <c r="K770" s="1075"/>
      <c r="L770" s="1074"/>
      <c r="M770" s="1074"/>
      <c r="N770" s="1074"/>
      <c r="O770" s="1076"/>
      <c r="P770" s="1074"/>
      <c r="Q770" s="1074"/>
      <c r="R770" s="1072"/>
      <c r="S770" s="1073"/>
      <c r="T770" s="1074"/>
      <c r="U770" s="1074"/>
      <c r="V770" s="1074"/>
      <c r="W770" s="1074"/>
      <c r="X770" s="1074"/>
      <c r="Y770" s="1072"/>
      <c r="Z770" s="1073"/>
      <c r="AA770" s="1074"/>
      <c r="AB770" s="1074"/>
      <c r="AC770" s="1074"/>
      <c r="AD770" s="1074"/>
      <c r="AE770" s="1074"/>
      <c r="AF770" s="1072"/>
      <c r="AG770" s="1073"/>
      <c r="AH770" s="1074"/>
      <c r="AI770" s="1074"/>
      <c r="AJ770" s="1074"/>
      <c r="AK770" s="1074"/>
    </row>
    <row r="771">
      <c r="A771" s="1072"/>
      <c r="B771" s="1072"/>
      <c r="C771" s="1075"/>
      <c r="D771" s="1074"/>
      <c r="E771" s="1074"/>
      <c r="F771" s="1074"/>
      <c r="G771" s="1076"/>
      <c r="H771" s="1074"/>
      <c r="I771" s="1074"/>
      <c r="J771" s="1072"/>
      <c r="K771" s="1075"/>
      <c r="L771" s="1074"/>
      <c r="M771" s="1074"/>
      <c r="N771" s="1074"/>
      <c r="O771" s="1076"/>
      <c r="P771" s="1074"/>
      <c r="Q771" s="1074"/>
      <c r="R771" s="1072"/>
      <c r="S771" s="1073"/>
      <c r="T771" s="1074"/>
      <c r="U771" s="1074"/>
      <c r="V771" s="1074"/>
      <c r="W771" s="1074"/>
      <c r="X771" s="1074"/>
      <c r="Y771" s="1072"/>
      <c r="Z771" s="1073"/>
      <c r="AA771" s="1074"/>
      <c r="AB771" s="1074"/>
      <c r="AC771" s="1074"/>
      <c r="AD771" s="1074"/>
      <c r="AE771" s="1074"/>
      <c r="AF771" s="1072"/>
      <c r="AG771" s="1073"/>
      <c r="AH771" s="1074"/>
      <c r="AI771" s="1074"/>
      <c r="AJ771" s="1074"/>
      <c r="AK771" s="1074"/>
    </row>
    <row r="772">
      <c r="A772" s="1072"/>
      <c r="B772" s="1072"/>
      <c r="C772" s="1075"/>
      <c r="D772" s="1074"/>
      <c r="E772" s="1074"/>
      <c r="F772" s="1074"/>
      <c r="G772" s="1076"/>
      <c r="H772" s="1074"/>
      <c r="I772" s="1074"/>
      <c r="J772" s="1072"/>
      <c r="K772" s="1075"/>
      <c r="L772" s="1074"/>
      <c r="M772" s="1074"/>
      <c r="N772" s="1074"/>
      <c r="O772" s="1076"/>
      <c r="P772" s="1074"/>
      <c r="Q772" s="1074"/>
      <c r="R772" s="1072"/>
      <c r="S772" s="1073"/>
      <c r="T772" s="1074"/>
      <c r="U772" s="1074"/>
      <c r="V772" s="1074"/>
      <c r="W772" s="1074"/>
      <c r="X772" s="1074"/>
      <c r="Y772" s="1072"/>
      <c r="Z772" s="1073"/>
      <c r="AA772" s="1074"/>
      <c r="AB772" s="1074"/>
      <c r="AC772" s="1074"/>
      <c r="AD772" s="1074"/>
      <c r="AE772" s="1074"/>
      <c r="AF772" s="1072"/>
      <c r="AG772" s="1073"/>
      <c r="AH772" s="1074"/>
      <c r="AI772" s="1074"/>
      <c r="AJ772" s="1074"/>
      <c r="AK772" s="1074"/>
    </row>
    <row r="773">
      <c r="A773" s="1072"/>
      <c r="B773" s="1072"/>
      <c r="C773" s="1075"/>
      <c r="D773" s="1074"/>
      <c r="E773" s="1074"/>
      <c r="F773" s="1074"/>
      <c r="G773" s="1076"/>
      <c r="H773" s="1074"/>
      <c r="I773" s="1074"/>
      <c r="J773" s="1072"/>
      <c r="K773" s="1075"/>
      <c r="L773" s="1074"/>
      <c r="M773" s="1074"/>
      <c r="N773" s="1074"/>
      <c r="O773" s="1076"/>
      <c r="P773" s="1074"/>
      <c r="Q773" s="1074"/>
      <c r="R773" s="1072"/>
      <c r="S773" s="1073"/>
      <c r="T773" s="1074"/>
      <c r="U773" s="1074"/>
      <c r="V773" s="1074"/>
      <c r="W773" s="1074"/>
      <c r="X773" s="1074"/>
      <c r="Y773" s="1072"/>
      <c r="Z773" s="1073"/>
      <c r="AA773" s="1074"/>
      <c r="AB773" s="1074"/>
      <c r="AC773" s="1074"/>
      <c r="AD773" s="1074"/>
      <c r="AE773" s="1074"/>
      <c r="AF773" s="1072"/>
      <c r="AG773" s="1073"/>
      <c r="AH773" s="1074"/>
      <c r="AI773" s="1074"/>
      <c r="AJ773" s="1074"/>
      <c r="AK773" s="1074"/>
    </row>
    <row r="774">
      <c r="A774" s="1072"/>
      <c r="B774" s="1072"/>
      <c r="C774" s="1075"/>
      <c r="D774" s="1074"/>
      <c r="E774" s="1074"/>
      <c r="F774" s="1074"/>
      <c r="G774" s="1076"/>
      <c r="H774" s="1074"/>
      <c r="I774" s="1074"/>
      <c r="J774" s="1072"/>
      <c r="K774" s="1075"/>
      <c r="L774" s="1074"/>
      <c r="M774" s="1074"/>
      <c r="N774" s="1074"/>
      <c r="O774" s="1076"/>
      <c r="P774" s="1074"/>
      <c r="Q774" s="1074"/>
      <c r="R774" s="1072"/>
      <c r="S774" s="1073"/>
      <c r="T774" s="1074"/>
      <c r="U774" s="1074"/>
      <c r="V774" s="1074"/>
      <c r="W774" s="1074"/>
      <c r="X774" s="1074"/>
      <c r="Y774" s="1072"/>
      <c r="Z774" s="1073"/>
      <c r="AA774" s="1074"/>
      <c r="AB774" s="1074"/>
      <c r="AC774" s="1074"/>
      <c r="AD774" s="1074"/>
      <c r="AE774" s="1074"/>
      <c r="AF774" s="1072"/>
      <c r="AG774" s="1073"/>
      <c r="AH774" s="1074"/>
      <c r="AI774" s="1074"/>
      <c r="AJ774" s="1074"/>
      <c r="AK774" s="1074"/>
    </row>
    <row r="775">
      <c r="A775" s="1072"/>
      <c r="B775" s="1072"/>
      <c r="C775" s="1075"/>
      <c r="D775" s="1074"/>
      <c r="E775" s="1074"/>
      <c r="F775" s="1074"/>
      <c r="G775" s="1076"/>
      <c r="H775" s="1074"/>
      <c r="I775" s="1074"/>
      <c r="J775" s="1072"/>
      <c r="K775" s="1075"/>
      <c r="L775" s="1074"/>
      <c r="M775" s="1074"/>
      <c r="N775" s="1074"/>
      <c r="O775" s="1076"/>
      <c r="P775" s="1074"/>
      <c r="Q775" s="1074"/>
      <c r="R775" s="1072"/>
      <c r="S775" s="1073"/>
      <c r="T775" s="1074"/>
      <c r="U775" s="1074"/>
      <c r="V775" s="1074"/>
      <c r="W775" s="1074"/>
      <c r="X775" s="1074"/>
      <c r="Y775" s="1072"/>
      <c r="Z775" s="1073"/>
      <c r="AA775" s="1074"/>
      <c r="AB775" s="1074"/>
      <c r="AC775" s="1074"/>
      <c r="AD775" s="1074"/>
      <c r="AE775" s="1074"/>
      <c r="AF775" s="1072"/>
      <c r="AG775" s="1073"/>
      <c r="AH775" s="1074"/>
      <c r="AI775" s="1074"/>
      <c r="AJ775" s="1074"/>
      <c r="AK775" s="1074"/>
    </row>
    <row r="776">
      <c r="A776" s="1072"/>
      <c r="B776" s="1072"/>
      <c r="C776" s="1075"/>
      <c r="D776" s="1074"/>
      <c r="E776" s="1074"/>
      <c r="F776" s="1074"/>
      <c r="G776" s="1076"/>
      <c r="H776" s="1074"/>
      <c r="I776" s="1074"/>
      <c r="J776" s="1072"/>
      <c r="K776" s="1075"/>
      <c r="L776" s="1074"/>
      <c r="M776" s="1074"/>
      <c r="N776" s="1074"/>
      <c r="O776" s="1076"/>
      <c r="P776" s="1074"/>
      <c r="Q776" s="1074"/>
      <c r="R776" s="1072"/>
      <c r="S776" s="1073"/>
      <c r="T776" s="1074"/>
      <c r="U776" s="1074"/>
      <c r="V776" s="1074"/>
      <c r="W776" s="1074"/>
      <c r="X776" s="1074"/>
      <c r="Y776" s="1072"/>
      <c r="Z776" s="1073"/>
      <c r="AA776" s="1074"/>
      <c r="AB776" s="1074"/>
      <c r="AC776" s="1074"/>
      <c r="AD776" s="1074"/>
      <c r="AE776" s="1074"/>
      <c r="AF776" s="1072"/>
      <c r="AG776" s="1073"/>
      <c r="AH776" s="1074"/>
      <c r="AI776" s="1074"/>
      <c r="AJ776" s="1074"/>
      <c r="AK776" s="1074"/>
    </row>
    <row r="777">
      <c r="A777" s="1072"/>
      <c r="B777" s="1072"/>
      <c r="C777" s="1075"/>
      <c r="D777" s="1074"/>
      <c r="E777" s="1074"/>
      <c r="F777" s="1074"/>
      <c r="G777" s="1076"/>
      <c r="H777" s="1074"/>
      <c r="I777" s="1074"/>
      <c r="J777" s="1072"/>
      <c r="K777" s="1075"/>
      <c r="L777" s="1074"/>
      <c r="M777" s="1074"/>
      <c r="N777" s="1074"/>
      <c r="O777" s="1076"/>
      <c r="P777" s="1074"/>
      <c r="Q777" s="1074"/>
      <c r="R777" s="1072"/>
      <c r="S777" s="1073"/>
      <c r="T777" s="1074"/>
      <c r="U777" s="1074"/>
      <c r="V777" s="1074"/>
      <c r="W777" s="1074"/>
      <c r="X777" s="1074"/>
      <c r="Y777" s="1072"/>
      <c r="Z777" s="1073"/>
      <c r="AA777" s="1074"/>
      <c r="AB777" s="1074"/>
      <c r="AC777" s="1074"/>
      <c r="AD777" s="1074"/>
      <c r="AE777" s="1074"/>
      <c r="AF777" s="1072"/>
      <c r="AG777" s="1073"/>
      <c r="AH777" s="1074"/>
      <c r="AI777" s="1074"/>
      <c r="AJ777" s="1074"/>
      <c r="AK777" s="1074"/>
    </row>
    <row r="778">
      <c r="A778" s="1072"/>
      <c r="B778" s="1072"/>
      <c r="C778" s="1075"/>
      <c r="D778" s="1074"/>
      <c r="E778" s="1074"/>
      <c r="F778" s="1074"/>
      <c r="G778" s="1076"/>
      <c r="H778" s="1074"/>
      <c r="I778" s="1074"/>
      <c r="J778" s="1072"/>
      <c r="K778" s="1075"/>
      <c r="L778" s="1074"/>
      <c r="M778" s="1074"/>
      <c r="N778" s="1074"/>
      <c r="O778" s="1076"/>
      <c r="P778" s="1074"/>
      <c r="Q778" s="1074"/>
      <c r="R778" s="1072"/>
      <c r="S778" s="1073"/>
      <c r="T778" s="1074"/>
      <c r="U778" s="1074"/>
      <c r="V778" s="1074"/>
      <c r="W778" s="1074"/>
      <c r="X778" s="1074"/>
      <c r="Y778" s="1072"/>
      <c r="Z778" s="1073"/>
      <c r="AA778" s="1074"/>
      <c r="AB778" s="1074"/>
      <c r="AC778" s="1074"/>
      <c r="AD778" s="1074"/>
      <c r="AE778" s="1074"/>
      <c r="AF778" s="1072"/>
      <c r="AG778" s="1073"/>
      <c r="AH778" s="1074"/>
      <c r="AI778" s="1074"/>
      <c r="AJ778" s="1074"/>
      <c r="AK778" s="1074"/>
    </row>
    <row r="779">
      <c r="A779" s="1072"/>
      <c r="B779" s="1072"/>
      <c r="C779" s="1075"/>
      <c r="D779" s="1074"/>
      <c r="E779" s="1074"/>
      <c r="F779" s="1074"/>
      <c r="G779" s="1076"/>
      <c r="H779" s="1074"/>
      <c r="I779" s="1074"/>
      <c r="J779" s="1072"/>
      <c r="K779" s="1075"/>
      <c r="L779" s="1074"/>
      <c r="M779" s="1074"/>
      <c r="N779" s="1074"/>
      <c r="O779" s="1076"/>
      <c r="P779" s="1074"/>
      <c r="Q779" s="1074"/>
      <c r="R779" s="1072"/>
      <c r="S779" s="1073"/>
      <c r="T779" s="1074"/>
      <c r="U779" s="1074"/>
      <c r="V779" s="1074"/>
      <c r="W779" s="1074"/>
      <c r="X779" s="1074"/>
      <c r="Y779" s="1072"/>
      <c r="Z779" s="1073"/>
      <c r="AA779" s="1074"/>
      <c r="AB779" s="1074"/>
      <c r="AC779" s="1074"/>
      <c r="AD779" s="1074"/>
      <c r="AE779" s="1074"/>
      <c r="AF779" s="1072"/>
      <c r="AG779" s="1073"/>
      <c r="AH779" s="1074"/>
      <c r="AI779" s="1074"/>
      <c r="AJ779" s="1074"/>
      <c r="AK779" s="1074"/>
    </row>
    <row r="780">
      <c r="A780" s="1072"/>
      <c r="B780" s="1072"/>
      <c r="C780" s="1075"/>
      <c r="D780" s="1074"/>
      <c r="E780" s="1074"/>
      <c r="F780" s="1074"/>
      <c r="G780" s="1076"/>
      <c r="H780" s="1074"/>
      <c r="I780" s="1074"/>
      <c r="J780" s="1072"/>
      <c r="K780" s="1075"/>
      <c r="L780" s="1074"/>
      <c r="M780" s="1074"/>
      <c r="N780" s="1074"/>
      <c r="O780" s="1076"/>
      <c r="P780" s="1074"/>
      <c r="Q780" s="1074"/>
      <c r="R780" s="1072"/>
      <c r="S780" s="1073"/>
      <c r="T780" s="1074"/>
      <c r="U780" s="1074"/>
      <c r="V780" s="1074"/>
      <c r="W780" s="1074"/>
      <c r="X780" s="1074"/>
      <c r="Y780" s="1072"/>
      <c r="Z780" s="1073"/>
      <c r="AA780" s="1074"/>
      <c r="AB780" s="1074"/>
      <c r="AC780" s="1074"/>
      <c r="AD780" s="1074"/>
      <c r="AE780" s="1074"/>
      <c r="AF780" s="1072"/>
      <c r="AG780" s="1073"/>
      <c r="AH780" s="1074"/>
      <c r="AI780" s="1074"/>
      <c r="AJ780" s="1074"/>
      <c r="AK780" s="1074"/>
    </row>
    <row r="781">
      <c r="A781" s="1072"/>
      <c r="B781" s="1072"/>
      <c r="C781" s="1075"/>
      <c r="D781" s="1074"/>
      <c r="E781" s="1074"/>
      <c r="F781" s="1074"/>
      <c r="G781" s="1076"/>
      <c r="H781" s="1074"/>
      <c r="I781" s="1074"/>
      <c r="J781" s="1072"/>
      <c r="K781" s="1075"/>
      <c r="L781" s="1074"/>
      <c r="M781" s="1074"/>
      <c r="N781" s="1074"/>
      <c r="O781" s="1076"/>
      <c r="P781" s="1074"/>
      <c r="Q781" s="1074"/>
      <c r="R781" s="1072"/>
      <c r="S781" s="1073"/>
      <c r="T781" s="1074"/>
      <c r="U781" s="1074"/>
      <c r="V781" s="1074"/>
      <c r="W781" s="1074"/>
      <c r="X781" s="1074"/>
      <c r="Y781" s="1072"/>
      <c r="Z781" s="1073"/>
      <c r="AA781" s="1074"/>
      <c r="AB781" s="1074"/>
      <c r="AC781" s="1074"/>
      <c r="AD781" s="1074"/>
      <c r="AE781" s="1074"/>
      <c r="AF781" s="1072"/>
      <c r="AG781" s="1073"/>
      <c r="AH781" s="1074"/>
      <c r="AI781" s="1074"/>
      <c r="AJ781" s="1074"/>
      <c r="AK781" s="1074"/>
    </row>
    <row r="782">
      <c r="A782" s="1072"/>
      <c r="B782" s="1072"/>
      <c r="C782" s="1075"/>
      <c r="D782" s="1074"/>
      <c r="E782" s="1074"/>
      <c r="F782" s="1074"/>
      <c r="G782" s="1076"/>
      <c r="H782" s="1074"/>
      <c r="I782" s="1074"/>
      <c r="J782" s="1072"/>
      <c r="K782" s="1075"/>
      <c r="L782" s="1074"/>
      <c r="M782" s="1074"/>
      <c r="N782" s="1074"/>
      <c r="O782" s="1076"/>
      <c r="P782" s="1074"/>
      <c r="Q782" s="1074"/>
      <c r="R782" s="1072"/>
      <c r="S782" s="1073"/>
      <c r="T782" s="1074"/>
      <c r="U782" s="1074"/>
      <c r="V782" s="1074"/>
      <c r="W782" s="1074"/>
      <c r="X782" s="1074"/>
      <c r="Y782" s="1072"/>
      <c r="Z782" s="1073"/>
      <c r="AA782" s="1074"/>
      <c r="AB782" s="1074"/>
      <c r="AC782" s="1074"/>
      <c r="AD782" s="1074"/>
      <c r="AE782" s="1074"/>
      <c r="AF782" s="1072"/>
      <c r="AG782" s="1073"/>
      <c r="AH782" s="1074"/>
      <c r="AI782" s="1074"/>
      <c r="AJ782" s="1074"/>
      <c r="AK782" s="1074"/>
    </row>
    <row r="783">
      <c r="A783" s="1072"/>
      <c r="B783" s="1072"/>
      <c r="C783" s="1075"/>
      <c r="D783" s="1074"/>
      <c r="E783" s="1074"/>
      <c r="F783" s="1074"/>
      <c r="G783" s="1076"/>
      <c r="H783" s="1074"/>
      <c r="I783" s="1074"/>
      <c r="J783" s="1072"/>
      <c r="K783" s="1075"/>
      <c r="L783" s="1074"/>
      <c r="M783" s="1074"/>
      <c r="N783" s="1074"/>
      <c r="O783" s="1076"/>
      <c r="P783" s="1074"/>
      <c r="Q783" s="1074"/>
      <c r="R783" s="1072"/>
      <c r="S783" s="1073"/>
      <c r="T783" s="1074"/>
      <c r="U783" s="1074"/>
      <c r="V783" s="1074"/>
      <c r="W783" s="1074"/>
      <c r="X783" s="1074"/>
      <c r="Y783" s="1072"/>
      <c r="Z783" s="1073"/>
      <c r="AA783" s="1074"/>
      <c r="AB783" s="1074"/>
      <c r="AC783" s="1074"/>
      <c r="AD783" s="1074"/>
      <c r="AE783" s="1074"/>
      <c r="AF783" s="1072"/>
      <c r="AG783" s="1073"/>
      <c r="AH783" s="1074"/>
      <c r="AI783" s="1074"/>
      <c r="AJ783" s="1074"/>
      <c r="AK783" s="1074"/>
    </row>
    <row r="784">
      <c r="A784" s="1072"/>
      <c r="B784" s="1072"/>
      <c r="C784" s="1075"/>
      <c r="D784" s="1074"/>
      <c r="E784" s="1074"/>
      <c r="F784" s="1074"/>
      <c r="G784" s="1076"/>
      <c r="H784" s="1074"/>
      <c r="I784" s="1074"/>
      <c r="J784" s="1072"/>
      <c r="K784" s="1075"/>
      <c r="L784" s="1074"/>
      <c r="M784" s="1074"/>
      <c r="N784" s="1074"/>
      <c r="O784" s="1076"/>
      <c r="P784" s="1074"/>
      <c r="Q784" s="1074"/>
      <c r="R784" s="1072"/>
      <c r="S784" s="1073"/>
      <c r="T784" s="1074"/>
      <c r="U784" s="1074"/>
      <c r="V784" s="1074"/>
      <c r="W784" s="1074"/>
      <c r="X784" s="1074"/>
      <c r="Y784" s="1072"/>
      <c r="Z784" s="1073"/>
      <c r="AA784" s="1074"/>
      <c r="AB784" s="1074"/>
      <c r="AC784" s="1074"/>
      <c r="AD784" s="1074"/>
      <c r="AE784" s="1074"/>
      <c r="AF784" s="1072"/>
      <c r="AG784" s="1073"/>
      <c r="AH784" s="1074"/>
      <c r="AI784" s="1074"/>
      <c r="AJ784" s="1074"/>
      <c r="AK784" s="1074"/>
    </row>
    <row r="785">
      <c r="A785" s="1072"/>
      <c r="B785" s="1072"/>
      <c r="C785" s="1075"/>
      <c r="D785" s="1074"/>
      <c r="E785" s="1074"/>
      <c r="F785" s="1074"/>
      <c r="G785" s="1076"/>
      <c r="H785" s="1074"/>
      <c r="I785" s="1074"/>
      <c r="J785" s="1072"/>
      <c r="K785" s="1075"/>
      <c r="L785" s="1074"/>
      <c r="M785" s="1074"/>
      <c r="N785" s="1074"/>
      <c r="O785" s="1076"/>
      <c r="P785" s="1074"/>
      <c r="Q785" s="1074"/>
      <c r="R785" s="1072"/>
      <c r="S785" s="1073"/>
      <c r="T785" s="1074"/>
      <c r="U785" s="1074"/>
      <c r="V785" s="1074"/>
      <c r="W785" s="1074"/>
      <c r="X785" s="1074"/>
      <c r="Y785" s="1072"/>
      <c r="Z785" s="1073"/>
      <c r="AA785" s="1074"/>
      <c r="AB785" s="1074"/>
      <c r="AC785" s="1074"/>
      <c r="AD785" s="1074"/>
      <c r="AE785" s="1074"/>
      <c r="AF785" s="1072"/>
      <c r="AG785" s="1073"/>
      <c r="AH785" s="1074"/>
      <c r="AI785" s="1074"/>
      <c r="AJ785" s="1074"/>
      <c r="AK785" s="1074"/>
    </row>
    <row r="786">
      <c r="A786" s="1072"/>
      <c r="B786" s="1072"/>
      <c r="C786" s="1075"/>
      <c r="D786" s="1074"/>
      <c r="E786" s="1074"/>
      <c r="F786" s="1074"/>
      <c r="G786" s="1076"/>
      <c r="H786" s="1074"/>
      <c r="I786" s="1074"/>
      <c r="J786" s="1072"/>
      <c r="K786" s="1075"/>
      <c r="L786" s="1074"/>
      <c r="M786" s="1074"/>
      <c r="N786" s="1074"/>
      <c r="O786" s="1076"/>
      <c r="P786" s="1074"/>
      <c r="Q786" s="1074"/>
      <c r="R786" s="1072"/>
      <c r="S786" s="1073"/>
      <c r="T786" s="1074"/>
      <c r="U786" s="1074"/>
      <c r="V786" s="1074"/>
      <c r="W786" s="1074"/>
      <c r="X786" s="1074"/>
      <c r="Y786" s="1072"/>
      <c r="Z786" s="1073"/>
      <c r="AA786" s="1074"/>
      <c r="AB786" s="1074"/>
      <c r="AC786" s="1074"/>
      <c r="AD786" s="1074"/>
      <c r="AE786" s="1074"/>
      <c r="AF786" s="1072"/>
      <c r="AG786" s="1073"/>
      <c r="AH786" s="1074"/>
      <c r="AI786" s="1074"/>
      <c r="AJ786" s="1074"/>
      <c r="AK786" s="1074"/>
    </row>
    <row r="787">
      <c r="A787" s="1072"/>
      <c r="B787" s="1072"/>
      <c r="C787" s="1075"/>
      <c r="D787" s="1074"/>
      <c r="E787" s="1074"/>
      <c r="F787" s="1074"/>
      <c r="G787" s="1076"/>
      <c r="H787" s="1074"/>
      <c r="I787" s="1074"/>
      <c r="J787" s="1072"/>
      <c r="K787" s="1075"/>
      <c r="L787" s="1074"/>
      <c r="M787" s="1074"/>
      <c r="N787" s="1074"/>
      <c r="O787" s="1076"/>
      <c r="P787" s="1074"/>
      <c r="Q787" s="1074"/>
      <c r="R787" s="1072"/>
      <c r="S787" s="1073"/>
      <c r="T787" s="1074"/>
      <c r="U787" s="1074"/>
      <c r="V787" s="1074"/>
      <c r="W787" s="1074"/>
      <c r="X787" s="1074"/>
      <c r="Y787" s="1072"/>
      <c r="Z787" s="1073"/>
      <c r="AA787" s="1074"/>
      <c r="AB787" s="1074"/>
      <c r="AC787" s="1074"/>
      <c r="AD787" s="1074"/>
      <c r="AE787" s="1074"/>
      <c r="AF787" s="1072"/>
      <c r="AG787" s="1073"/>
      <c r="AH787" s="1074"/>
      <c r="AI787" s="1074"/>
      <c r="AJ787" s="1074"/>
      <c r="AK787" s="1074"/>
    </row>
    <row r="788">
      <c r="A788" s="1072"/>
      <c r="B788" s="1072"/>
      <c r="C788" s="1075"/>
      <c r="D788" s="1074"/>
      <c r="E788" s="1074"/>
      <c r="F788" s="1074"/>
      <c r="G788" s="1076"/>
      <c r="H788" s="1074"/>
      <c r="I788" s="1074"/>
      <c r="J788" s="1072"/>
      <c r="K788" s="1075"/>
      <c r="L788" s="1074"/>
      <c r="M788" s="1074"/>
      <c r="N788" s="1074"/>
      <c r="O788" s="1076"/>
      <c r="P788" s="1074"/>
      <c r="Q788" s="1074"/>
      <c r="R788" s="1072"/>
      <c r="S788" s="1073"/>
      <c r="T788" s="1074"/>
      <c r="U788" s="1074"/>
      <c r="V788" s="1074"/>
      <c r="W788" s="1074"/>
      <c r="X788" s="1074"/>
      <c r="Y788" s="1072"/>
      <c r="Z788" s="1073"/>
      <c r="AA788" s="1074"/>
      <c r="AB788" s="1074"/>
      <c r="AC788" s="1074"/>
      <c r="AD788" s="1074"/>
      <c r="AE788" s="1074"/>
      <c r="AF788" s="1072"/>
      <c r="AG788" s="1073"/>
      <c r="AH788" s="1074"/>
      <c r="AI788" s="1074"/>
      <c r="AJ788" s="1074"/>
      <c r="AK788" s="1074"/>
    </row>
    <row r="789">
      <c r="A789" s="1072"/>
      <c r="B789" s="1072"/>
      <c r="C789" s="1075"/>
      <c r="D789" s="1074"/>
      <c r="E789" s="1074"/>
      <c r="F789" s="1074"/>
      <c r="G789" s="1076"/>
      <c r="H789" s="1074"/>
      <c r="I789" s="1074"/>
      <c r="J789" s="1072"/>
      <c r="K789" s="1075"/>
      <c r="L789" s="1074"/>
      <c r="M789" s="1074"/>
      <c r="N789" s="1074"/>
      <c r="O789" s="1076"/>
      <c r="P789" s="1074"/>
      <c r="Q789" s="1074"/>
      <c r="R789" s="1072"/>
      <c r="S789" s="1073"/>
      <c r="T789" s="1074"/>
      <c r="U789" s="1074"/>
      <c r="V789" s="1074"/>
      <c r="W789" s="1074"/>
      <c r="X789" s="1074"/>
      <c r="Y789" s="1072"/>
      <c r="Z789" s="1073"/>
      <c r="AA789" s="1074"/>
      <c r="AB789" s="1074"/>
      <c r="AC789" s="1074"/>
      <c r="AD789" s="1074"/>
      <c r="AE789" s="1074"/>
      <c r="AF789" s="1072"/>
      <c r="AG789" s="1073"/>
      <c r="AH789" s="1074"/>
      <c r="AI789" s="1074"/>
      <c r="AJ789" s="1074"/>
      <c r="AK789" s="1074"/>
    </row>
    <row r="790">
      <c r="A790" s="1072"/>
      <c r="B790" s="1072"/>
      <c r="C790" s="1075"/>
      <c r="D790" s="1074"/>
      <c r="E790" s="1074"/>
      <c r="F790" s="1074"/>
      <c r="G790" s="1076"/>
      <c r="H790" s="1074"/>
      <c r="I790" s="1074"/>
      <c r="J790" s="1072"/>
      <c r="K790" s="1075"/>
      <c r="L790" s="1074"/>
      <c r="M790" s="1074"/>
      <c r="N790" s="1074"/>
      <c r="O790" s="1076"/>
      <c r="P790" s="1074"/>
      <c r="Q790" s="1074"/>
      <c r="R790" s="1072"/>
      <c r="S790" s="1073"/>
      <c r="T790" s="1074"/>
      <c r="U790" s="1074"/>
      <c r="V790" s="1074"/>
      <c r="W790" s="1074"/>
      <c r="X790" s="1074"/>
      <c r="Y790" s="1072"/>
      <c r="Z790" s="1073"/>
      <c r="AA790" s="1074"/>
      <c r="AB790" s="1074"/>
      <c r="AC790" s="1074"/>
      <c r="AD790" s="1074"/>
      <c r="AE790" s="1074"/>
      <c r="AF790" s="1072"/>
      <c r="AG790" s="1073"/>
      <c r="AH790" s="1074"/>
      <c r="AI790" s="1074"/>
      <c r="AJ790" s="1074"/>
      <c r="AK790" s="1074"/>
    </row>
    <row r="791">
      <c r="A791" s="1072"/>
      <c r="B791" s="1072"/>
      <c r="C791" s="1075"/>
      <c r="D791" s="1074"/>
      <c r="E791" s="1074"/>
      <c r="F791" s="1074"/>
      <c r="G791" s="1076"/>
      <c r="H791" s="1074"/>
      <c r="I791" s="1074"/>
      <c r="J791" s="1072"/>
      <c r="K791" s="1075"/>
      <c r="L791" s="1074"/>
      <c r="M791" s="1074"/>
      <c r="N791" s="1074"/>
      <c r="O791" s="1076"/>
      <c r="P791" s="1074"/>
      <c r="Q791" s="1074"/>
      <c r="R791" s="1072"/>
      <c r="S791" s="1073"/>
      <c r="T791" s="1074"/>
      <c r="U791" s="1074"/>
      <c r="V791" s="1074"/>
      <c r="W791" s="1074"/>
      <c r="X791" s="1074"/>
      <c r="Y791" s="1072"/>
      <c r="Z791" s="1073"/>
      <c r="AA791" s="1074"/>
      <c r="AB791" s="1074"/>
      <c r="AC791" s="1074"/>
      <c r="AD791" s="1074"/>
      <c r="AE791" s="1074"/>
      <c r="AF791" s="1072"/>
      <c r="AG791" s="1073"/>
      <c r="AH791" s="1074"/>
      <c r="AI791" s="1074"/>
      <c r="AJ791" s="1074"/>
      <c r="AK791" s="1074"/>
    </row>
    <row r="792">
      <c r="A792" s="1072"/>
      <c r="B792" s="1072"/>
      <c r="C792" s="1075"/>
      <c r="D792" s="1074"/>
      <c r="E792" s="1074"/>
      <c r="F792" s="1074"/>
      <c r="G792" s="1076"/>
      <c r="H792" s="1074"/>
      <c r="I792" s="1074"/>
      <c r="J792" s="1072"/>
      <c r="K792" s="1075"/>
      <c r="L792" s="1074"/>
      <c r="M792" s="1074"/>
      <c r="N792" s="1074"/>
      <c r="O792" s="1076"/>
      <c r="P792" s="1074"/>
      <c r="Q792" s="1074"/>
      <c r="R792" s="1072"/>
      <c r="S792" s="1073"/>
      <c r="T792" s="1074"/>
      <c r="U792" s="1074"/>
      <c r="V792" s="1074"/>
      <c r="W792" s="1074"/>
      <c r="X792" s="1074"/>
      <c r="Y792" s="1072"/>
      <c r="Z792" s="1073"/>
      <c r="AA792" s="1074"/>
      <c r="AB792" s="1074"/>
      <c r="AC792" s="1074"/>
      <c r="AD792" s="1074"/>
      <c r="AE792" s="1074"/>
      <c r="AF792" s="1072"/>
      <c r="AG792" s="1073"/>
      <c r="AH792" s="1074"/>
      <c r="AI792" s="1074"/>
      <c r="AJ792" s="1074"/>
      <c r="AK792" s="1074"/>
    </row>
    <row r="793">
      <c r="A793" s="1072"/>
      <c r="B793" s="1072"/>
      <c r="C793" s="1075"/>
      <c r="D793" s="1074"/>
      <c r="E793" s="1074"/>
      <c r="F793" s="1074"/>
      <c r="G793" s="1076"/>
      <c r="H793" s="1074"/>
      <c r="I793" s="1074"/>
      <c r="J793" s="1072"/>
      <c r="K793" s="1075"/>
      <c r="L793" s="1074"/>
      <c r="M793" s="1074"/>
      <c r="N793" s="1074"/>
      <c r="O793" s="1076"/>
      <c r="P793" s="1074"/>
      <c r="Q793" s="1074"/>
      <c r="R793" s="1072"/>
      <c r="S793" s="1073"/>
      <c r="T793" s="1074"/>
      <c r="U793" s="1074"/>
      <c r="V793" s="1074"/>
      <c r="W793" s="1074"/>
      <c r="X793" s="1074"/>
      <c r="Y793" s="1072"/>
      <c r="Z793" s="1073"/>
      <c r="AA793" s="1074"/>
      <c r="AB793" s="1074"/>
      <c r="AC793" s="1074"/>
      <c r="AD793" s="1074"/>
      <c r="AE793" s="1074"/>
      <c r="AF793" s="1072"/>
      <c r="AG793" s="1073"/>
      <c r="AH793" s="1074"/>
      <c r="AI793" s="1074"/>
      <c r="AJ793" s="1074"/>
      <c r="AK793" s="1074"/>
    </row>
    <row r="794">
      <c r="A794" s="1072"/>
      <c r="B794" s="1072"/>
      <c r="C794" s="1075"/>
      <c r="D794" s="1074"/>
      <c r="E794" s="1074"/>
      <c r="F794" s="1074"/>
      <c r="G794" s="1076"/>
      <c r="H794" s="1074"/>
      <c r="I794" s="1074"/>
      <c r="J794" s="1072"/>
      <c r="K794" s="1075"/>
      <c r="L794" s="1074"/>
      <c r="M794" s="1074"/>
      <c r="N794" s="1074"/>
      <c r="O794" s="1076"/>
      <c r="P794" s="1074"/>
      <c r="Q794" s="1074"/>
      <c r="R794" s="1072"/>
      <c r="S794" s="1073"/>
      <c r="T794" s="1074"/>
      <c r="U794" s="1074"/>
      <c r="V794" s="1074"/>
      <c r="W794" s="1074"/>
      <c r="X794" s="1074"/>
      <c r="Y794" s="1072"/>
      <c r="Z794" s="1073"/>
      <c r="AA794" s="1074"/>
      <c r="AB794" s="1074"/>
      <c r="AC794" s="1074"/>
      <c r="AD794" s="1074"/>
      <c r="AE794" s="1074"/>
      <c r="AF794" s="1072"/>
      <c r="AG794" s="1073"/>
      <c r="AH794" s="1074"/>
      <c r="AI794" s="1074"/>
      <c r="AJ794" s="1074"/>
      <c r="AK794" s="1074"/>
    </row>
    <row r="795">
      <c r="A795" s="1072"/>
      <c r="B795" s="1072"/>
      <c r="C795" s="1075"/>
      <c r="D795" s="1074"/>
      <c r="E795" s="1074"/>
      <c r="F795" s="1074"/>
      <c r="G795" s="1076"/>
      <c r="H795" s="1074"/>
      <c r="I795" s="1074"/>
      <c r="J795" s="1072"/>
      <c r="K795" s="1075"/>
      <c r="L795" s="1074"/>
      <c r="M795" s="1074"/>
      <c r="N795" s="1074"/>
      <c r="O795" s="1076"/>
      <c r="P795" s="1074"/>
      <c r="Q795" s="1074"/>
      <c r="R795" s="1072"/>
      <c r="S795" s="1073"/>
      <c r="T795" s="1074"/>
      <c r="U795" s="1074"/>
      <c r="V795" s="1074"/>
      <c r="W795" s="1074"/>
      <c r="X795" s="1074"/>
      <c r="Y795" s="1072"/>
      <c r="Z795" s="1073"/>
      <c r="AA795" s="1074"/>
      <c r="AB795" s="1074"/>
      <c r="AC795" s="1074"/>
      <c r="AD795" s="1074"/>
      <c r="AE795" s="1074"/>
      <c r="AF795" s="1072"/>
      <c r="AG795" s="1073"/>
      <c r="AH795" s="1074"/>
      <c r="AI795" s="1074"/>
      <c r="AJ795" s="1074"/>
      <c r="AK795" s="1074"/>
    </row>
    <row r="796">
      <c r="A796" s="1072"/>
      <c r="B796" s="1072"/>
      <c r="C796" s="1075"/>
      <c r="D796" s="1074"/>
      <c r="E796" s="1074"/>
      <c r="F796" s="1074"/>
      <c r="G796" s="1076"/>
      <c r="H796" s="1074"/>
      <c r="I796" s="1074"/>
      <c r="J796" s="1072"/>
      <c r="K796" s="1075"/>
      <c r="L796" s="1074"/>
      <c r="M796" s="1074"/>
      <c r="N796" s="1074"/>
      <c r="O796" s="1076"/>
      <c r="P796" s="1074"/>
      <c r="Q796" s="1074"/>
      <c r="R796" s="1072"/>
      <c r="S796" s="1073"/>
      <c r="T796" s="1074"/>
      <c r="U796" s="1074"/>
      <c r="V796" s="1074"/>
      <c r="W796" s="1074"/>
      <c r="X796" s="1074"/>
      <c r="Y796" s="1072"/>
      <c r="Z796" s="1073"/>
      <c r="AA796" s="1074"/>
      <c r="AB796" s="1074"/>
      <c r="AC796" s="1074"/>
      <c r="AD796" s="1074"/>
      <c r="AE796" s="1074"/>
      <c r="AF796" s="1072"/>
      <c r="AG796" s="1073"/>
      <c r="AH796" s="1074"/>
      <c r="AI796" s="1074"/>
      <c r="AJ796" s="1074"/>
      <c r="AK796" s="1074"/>
    </row>
    <row r="797">
      <c r="A797" s="1072"/>
      <c r="B797" s="1072"/>
      <c r="C797" s="1075"/>
      <c r="D797" s="1074"/>
      <c r="E797" s="1074"/>
      <c r="F797" s="1074"/>
      <c r="G797" s="1076"/>
      <c r="H797" s="1074"/>
      <c r="I797" s="1074"/>
      <c r="J797" s="1072"/>
      <c r="K797" s="1075"/>
      <c r="L797" s="1074"/>
      <c r="M797" s="1074"/>
      <c r="N797" s="1074"/>
      <c r="O797" s="1076"/>
      <c r="P797" s="1074"/>
      <c r="Q797" s="1074"/>
      <c r="R797" s="1072"/>
      <c r="S797" s="1073"/>
      <c r="T797" s="1074"/>
      <c r="U797" s="1074"/>
      <c r="V797" s="1074"/>
      <c r="W797" s="1074"/>
      <c r="X797" s="1074"/>
      <c r="Y797" s="1072"/>
      <c r="Z797" s="1073"/>
      <c r="AA797" s="1074"/>
      <c r="AB797" s="1074"/>
      <c r="AC797" s="1074"/>
      <c r="AD797" s="1074"/>
      <c r="AE797" s="1074"/>
      <c r="AF797" s="1072"/>
      <c r="AG797" s="1073"/>
      <c r="AH797" s="1074"/>
      <c r="AI797" s="1074"/>
      <c r="AJ797" s="1074"/>
      <c r="AK797" s="1074"/>
    </row>
    <row r="798">
      <c r="A798" s="1072"/>
      <c r="B798" s="1072"/>
      <c r="C798" s="1075"/>
      <c r="D798" s="1074"/>
      <c r="E798" s="1074"/>
      <c r="F798" s="1074"/>
      <c r="G798" s="1076"/>
      <c r="H798" s="1074"/>
      <c r="I798" s="1074"/>
      <c r="J798" s="1072"/>
      <c r="K798" s="1075"/>
      <c r="L798" s="1074"/>
      <c r="M798" s="1074"/>
      <c r="N798" s="1074"/>
      <c r="O798" s="1076"/>
      <c r="P798" s="1074"/>
      <c r="Q798" s="1074"/>
      <c r="R798" s="1072"/>
      <c r="S798" s="1073"/>
      <c r="T798" s="1074"/>
      <c r="U798" s="1074"/>
      <c r="V798" s="1074"/>
      <c r="W798" s="1074"/>
      <c r="X798" s="1074"/>
      <c r="Y798" s="1072"/>
      <c r="Z798" s="1073"/>
      <c r="AA798" s="1074"/>
      <c r="AB798" s="1074"/>
      <c r="AC798" s="1074"/>
      <c r="AD798" s="1074"/>
      <c r="AE798" s="1074"/>
      <c r="AF798" s="1072"/>
      <c r="AG798" s="1073"/>
      <c r="AH798" s="1074"/>
      <c r="AI798" s="1074"/>
      <c r="AJ798" s="1074"/>
      <c r="AK798" s="1074"/>
    </row>
    <row r="799">
      <c r="A799" s="1072"/>
      <c r="B799" s="1072"/>
      <c r="C799" s="1075"/>
      <c r="D799" s="1074"/>
      <c r="E799" s="1074"/>
      <c r="F799" s="1074"/>
      <c r="G799" s="1076"/>
      <c r="H799" s="1074"/>
      <c r="I799" s="1074"/>
      <c r="J799" s="1072"/>
      <c r="K799" s="1075"/>
      <c r="L799" s="1074"/>
      <c r="M799" s="1074"/>
      <c r="N799" s="1074"/>
      <c r="O799" s="1076"/>
      <c r="P799" s="1074"/>
      <c r="Q799" s="1074"/>
      <c r="R799" s="1072"/>
      <c r="S799" s="1073"/>
      <c r="T799" s="1074"/>
      <c r="U799" s="1074"/>
      <c r="V799" s="1074"/>
      <c r="W799" s="1074"/>
      <c r="X799" s="1074"/>
      <c r="Y799" s="1072"/>
      <c r="Z799" s="1073"/>
      <c r="AA799" s="1074"/>
      <c r="AB799" s="1074"/>
      <c r="AC799" s="1074"/>
      <c r="AD799" s="1074"/>
      <c r="AE799" s="1074"/>
      <c r="AF799" s="1072"/>
      <c r="AG799" s="1073"/>
      <c r="AH799" s="1074"/>
      <c r="AI799" s="1074"/>
      <c r="AJ799" s="1074"/>
      <c r="AK799" s="1074"/>
    </row>
    <row r="800">
      <c r="A800" s="1072"/>
      <c r="B800" s="1072"/>
      <c r="C800" s="1075"/>
      <c r="D800" s="1074"/>
      <c r="E800" s="1074"/>
      <c r="F800" s="1074"/>
      <c r="G800" s="1076"/>
      <c r="H800" s="1074"/>
      <c r="I800" s="1074"/>
      <c r="J800" s="1072"/>
      <c r="K800" s="1075"/>
      <c r="L800" s="1074"/>
      <c r="M800" s="1074"/>
      <c r="N800" s="1074"/>
      <c r="O800" s="1076"/>
      <c r="P800" s="1074"/>
      <c r="Q800" s="1074"/>
      <c r="R800" s="1072"/>
      <c r="S800" s="1073"/>
      <c r="T800" s="1074"/>
      <c r="U800" s="1074"/>
      <c r="V800" s="1074"/>
      <c r="W800" s="1074"/>
      <c r="X800" s="1074"/>
      <c r="Y800" s="1072"/>
      <c r="Z800" s="1073"/>
      <c r="AA800" s="1074"/>
      <c r="AB800" s="1074"/>
      <c r="AC800" s="1074"/>
      <c r="AD800" s="1074"/>
      <c r="AE800" s="1074"/>
      <c r="AF800" s="1072"/>
      <c r="AG800" s="1073"/>
      <c r="AH800" s="1074"/>
      <c r="AI800" s="1074"/>
      <c r="AJ800" s="1074"/>
      <c r="AK800" s="1074"/>
    </row>
    <row r="801">
      <c r="A801" s="1072"/>
      <c r="B801" s="1072"/>
      <c r="C801" s="1075"/>
      <c r="D801" s="1074"/>
      <c r="E801" s="1074"/>
      <c r="F801" s="1074"/>
      <c r="G801" s="1076"/>
      <c r="H801" s="1074"/>
      <c r="I801" s="1074"/>
      <c r="J801" s="1072"/>
      <c r="K801" s="1075"/>
      <c r="L801" s="1074"/>
      <c r="M801" s="1074"/>
      <c r="N801" s="1074"/>
      <c r="O801" s="1076"/>
      <c r="P801" s="1074"/>
      <c r="Q801" s="1074"/>
      <c r="R801" s="1072"/>
      <c r="S801" s="1073"/>
      <c r="T801" s="1074"/>
      <c r="U801" s="1074"/>
      <c r="V801" s="1074"/>
      <c r="W801" s="1074"/>
      <c r="X801" s="1074"/>
      <c r="Y801" s="1072"/>
      <c r="Z801" s="1073"/>
      <c r="AA801" s="1074"/>
      <c r="AB801" s="1074"/>
      <c r="AC801" s="1074"/>
      <c r="AD801" s="1074"/>
      <c r="AE801" s="1074"/>
      <c r="AF801" s="1072"/>
      <c r="AG801" s="1073"/>
      <c r="AH801" s="1074"/>
      <c r="AI801" s="1074"/>
      <c r="AJ801" s="1074"/>
      <c r="AK801" s="1074"/>
    </row>
    <row r="802">
      <c r="A802" s="1072"/>
      <c r="B802" s="1072"/>
      <c r="C802" s="1075"/>
      <c r="D802" s="1074"/>
      <c r="E802" s="1074"/>
      <c r="F802" s="1074"/>
      <c r="G802" s="1076"/>
      <c r="H802" s="1074"/>
      <c r="I802" s="1074"/>
      <c r="J802" s="1072"/>
      <c r="K802" s="1075"/>
      <c r="L802" s="1074"/>
      <c r="M802" s="1074"/>
      <c r="N802" s="1074"/>
      <c r="O802" s="1076"/>
      <c r="P802" s="1074"/>
      <c r="Q802" s="1074"/>
      <c r="R802" s="1072"/>
      <c r="S802" s="1073"/>
      <c r="T802" s="1074"/>
      <c r="U802" s="1074"/>
      <c r="V802" s="1074"/>
      <c r="W802" s="1074"/>
      <c r="X802" s="1074"/>
      <c r="Y802" s="1072"/>
      <c r="Z802" s="1073"/>
      <c r="AA802" s="1074"/>
      <c r="AB802" s="1074"/>
      <c r="AC802" s="1074"/>
      <c r="AD802" s="1074"/>
      <c r="AE802" s="1074"/>
      <c r="AF802" s="1072"/>
      <c r="AG802" s="1073"/>
      <c r="AH802" s="1074"/>
      <c r="AI802" s="1074"/>
      <c r="AJ802" s="1074"/>
      <c r="AK802" s="1074"/>
    </row>
    <row r="803">
      <c r="A803" s="1072"/>
      <c r="B803" s="1072"/>
      <c r="C803" s="1075"/>
      <c r="D803" s="1074"/>
      <c r="E803" s="1074"/>
      <c r="F803" s="1074"/>
      <c r="G803" s="1076"/>
      <c r="H803" s="1074"/>
      <c r="I803" s="1074"/>
      <c r="J803" s="1072"/>
      <c r="K803" s="1075"/>
      <c r="L803" s="1074"/>
      <c r="M803" s="1074"/>
      <c r="N803" s="1074"/>
      <c r="O803" s="1076"/>
      <c r="P803" s="1074"/>
      <c r="Q803" s="1074"/>
      <c r="R803" s="1072"/>
      <c r="S803" s="1073"/>
      <c r="T803" s="1074"/>
      <c r="U803" s="1074"/>
      <c r="V803" s="1074"/>
      <c r="W803" s="1074"/>
      <c r="X803" s="1074"/>
      <c r="Y803" s="1072"/>
      <c r="Z803" s="1073"/>
      <c r="AA803" s="1074"/>
      <c r="AB803" s="1074"/>
      <c r="AC803" s="1074"/>
      <c r="AD803" s="1074"/>
      <c r="AE803" s="1074"/>
      <c r="AF803" s="1072"/>
      <c r="AG803" s="1073"/>
      <c r="AH803" s="1074"/>
      <c r="AI803" s="1074"/>
      <c r="AJ803" s="1074"/>
      <c r="AK803" s="1074"/>
    </row>
    <row r="804">
      <c r="A804" s="1072"/>
      <c r="B804" s="1072"/>
      <c r="C804" s="1075"/>
      <c r="D804" s="1074"/>
      <c r="E804" s="1074"/>
      <c r="F804" s="1074"/>
      <c r="G804" s="1076"/>
      <c r="H804" s="1074"/>
      <c r="I804" s="1074"/>
      <c r="J804" s="1072"/>
      <c r="K804" s="1075"/>
      <c r="L804" s="1074"/>
      <c r="M804" s="1074"/>
      <c r="N804" s="1074"/>
      <c r="O804" s="1076"/>
      <c r="P804" s="1074"/>
      <c r="Q804" s="1074"/>
      <c r="R804" s="1072"/>
      <c r="S804" s="1073"/>
      <c r="T804" s="1074"/>
      <c r="U804" s="1074"/>
      <c r="V804" s="1074"/>
      <c r="W804" s="1074"/>
      <c r="X804" s="1074"/>
      <c r="Y804" s="1072"/>
      <c r="Z804" s="1073"/>
      <c r="AA804" s="1074"/>
      <c r="AB804" s="1074"/>
      <c r="AC804" s="1074"/>
      <c r="AD804" s="1074"/>
      <c r="AE804" s="1074"/>
      <c r="AF804" s="1072"/>
      <c r="AG804" s="1073"/>
      <c r="AH804" s="1074"/>
      <c r="AI804" s="1074"/>
      <c r="AJ804" s="1074"/>
      <c r="AK804" s="1074"/>
    </row>
    <row r="805">
      <c r="A805" s="1072"/>
      <c r="B805" s="1072"/>
      <c r="C805" s="1075"/>
      <c r="D805" s="1074"/>
      <c r="E805" s="1074"/>
      <c r="F805" s="1074"/>
      <c r="G805" s="1076"/>
      <c r="H805" s="1074"/>
      <c r="I805" s="1074"/>
      <c r="J805" s="1072"/>
      <c r="K805" s="1075"/>
      <c r="L805" s="1074"/>
      <c r="M805" s="1074"/>
      <c r="N805" s="1074"/>
      <c r="O805" s="1076"/>
      <c r="P805" s="1074"/>
      <c r="Q805" s="1074"/>
      <c r="R805" s="1072"/>
      <c r="S805" s="1073"/>
      <c r="T805" s="1074"/>
      <c r="U805" s="1074"/>
      <c r="V805" s="1074"/>
      <c r="W805" s="1074"/>
      <c r="X805" s="1074"/>
      <c r="Y805" s="1072"/>
      <c r="Z805" s="1073"/>
      <c r="AA805" s="1074"/>
      <c r="AB805" s="1074"/>
      <c r="AC805" s="1074"/>
      <c r="AD805" s="1074"/>
      <c r="AE805" s="1074"/>
      <c r="AF805" s="1072"/>
      <c r="AG805" s="1073"/>
      <c r="AH805" s="1074"/>
      <c r="AI805" s="1074"/>
      <c r="AJ805" s="1074"/>
      <c r="AK805" s="1074"/>
    </row>
    <row r="806">
      <c r="A806" s="1072"/>
      <c r="B806" s="1072"/>
      <c r="C806" s="1075"/>
      <c r="D806" s="1074"/>
      <c r="E806" s="1074"/>
      <c r="F806" s="1074"/>
      <c r="G806" s="1076"/>
      <c r="H806" s="1074"/>
      <c r="I806" s="1074"/>
      <c r="J806" s="1072"/>
      <c r="K806" s="1075"/>
      <c r="L806" s="1074"/>
      <c r="M806" s="1074"/>
      <c r="N806" s="1074"/>
      <c r="O806" s="1076"/>
      <c r="P806" s="1074"/>
      <c r="Q806" s="1074"/>
      <c r="R806" s="1072"/>
      <c r="S806" s="1073"/>
      <c r="T806" s="1074"/>
      <c r="U806" s="1074"/>
      <c r="V806" s="1074"/>
      <c r="W806" s="1074"/>
      <c r="X806" s="1074"/>
      <c r="Y806" s="1072"/>
      <c r="Z806" s="1073"/>
      <c r="AA806" s="1074"/>
      <c r="AB806" s="1074"/>
      <c r="AC806" s="1074"/>
      <c r="AD806" s="1074"/>
      <c r="AE806" s="1074"/>
      <c r="AF806" s="1072"/>
      <c r="AG806" s="1073"/>
      <c r="AH806" s="1074"/>
      <c r="AI806" s="1074"/>
      <c r="AJ806" s="1074"/>
      <c r="AK806" s="1074"/>
    </row>
    <row r="807">
      <c r="A807" s="1072"/>
      <c r="B807" s="1072"/>
      <c r="C807" s="1075"/>
      <c r="D807" s="1074"/>
      <c r="E807" s="1074"/>
      <c r="F807" s="1074"/>
      <c r="G807" s="1076"/>
      <c r="H807" s="1074"/>
      <c r="I807" s="1074"/>
      <c r="J807" s="1072"/>
      <c r="K807" s="1075"/>
      <c r="L807" s="1074"/>
      <c r="M807" s="1074"/>
      <c r="N807" s="1074"/>
      <c r="O807" s="1076"/>
      <c r="P807" s="1074"/>
      <c r="Q807" s="1074"/>
      <c r="R807" s="1072"/>
      <c r="S807" s="1073"/>
      <c r="T807" s="1074"/>
      <c r="U807" s="1074"/>
      <c r="V807" s="1074"/>
      <c r="W807" s="1074"/>
      <c r="X807" s="1074"/>
      <c r="Y807" s="1072"/>
      <c r="Z807" s="1073"/>
      <c r="AA807" s="1074"/>
      <c r="AB807" s="1074"/>
      <c r="AC807" s="1074"/>
      <c r="AD807" s="1074"/>
      <c r="AE807" s="1074"/>
      <c r="AF807" s="1072"/>
      <c r="AG807" s="1073"/>
      <c r="AH807" s="1074"/>
      <c r="AI807" s="1074"/>
      <c r="AJ807" s="1074"/>
      <c r="AK807" s="1074"/>
    </row>
    <row r="808">
      <c r="A808" s="1072"/>
      <c r="B808" s="1072"/>
      <c r="C808" s="1075"/>
      <c r="D808" s="1074"/>
      <c r="E808" s="1074"/>
      <c r="F808" s="1074"/>
      <c r="G808" s="1076"/>
      <c r="H808" s="1074"/>
      <c r="I808" s="1074"/>
      <c r="J808" s="1072"/>
      <c r="K808" s="1075"/>
      <c r="L808" s="1074"/>
      <c r="M808" s="1074"/>
      <c r="N808" s="1074"/>
      <c r="O808" s="1076"/>
      <c r="P808" s="1074"/>
      <c r="Q808" s="1074"/>
      <c r="R808" s="1072"/>
      <c r="S808" s="1073"/>
      <c r="T808" s="1074"/>
      <c r="U808" s="1074"/>
      <c r="V808" s="1074"/>
      <c r="W808" s="1074"/>
      <c r="X808" s="1074"/>
      <c r="Y808" s="1072"/>
      <c r="Z808" s="1073"/>
      <c r="AA808" s="1074"/>
      <c r="AB808" s="1074"/>
      <c r="AC808" s="1074"/>
      <c r="AD808" s="1074"/>
      <c r="AE808" s="1074"/>
      <c r="AF808" s="1072"/>
      <c r="AG808" s="1073"/>
      <c r="AH808" s="1074"/>
      <c r="AI808" s="1074"/>
      <c r="AJ808" s="1074"/>
      <c r="AK808" s="1074"/>
    </row>
    <row r="809">
      <c r="A809" s="1072"/>
      <c r="B809" s="1072"/>
      <c r="C809" s="1075"/>
      <c r="D809" s="1074"/>
      <c r="E809" s="1074"/>
      <c r="F809" s="1074"/>
      <c r="G809" s="1076"/>
      <c r="H809" s="1074"/>
      <c r="I809" s="1074"/>
      <c r="J809" s="1072"/>
      <c r="K809" s="1075"/>
      <c r="L809" s="1074"/>
      <c r="M809" s="1074"/>
      <c r="N809" s="1074"/>
      <c r="O809" s="1076"/>
      <c r="P809" s="1074"/>
      <c r="Q809" s="1074"/>
      <c r="R809" s="1072"/>
      <c r="S809" s="1073"/>
      <c r="T809" s="1074"/>
      <c r="U809" s="1074"/>
      <c r="V809" s="1074"/>
      <c r="W809" s="1074"/>
      <c r="X809" s="1074"/>
      <c r="Y809" s="1072"/>
      <c r="Z809" s="1073"/>
      <c r="AA809" s="1074"/>
      <c r="AB809" s="1074"/>
      <c r="AC809" s="1074"/>
      <c r="AD809" s="1074"/>
      <c r="AE809" s="1074"/>
      <c r="AF809" s="1072"/>
      <c r="AG809" s="1073"/>
      <c r="AH809" s="1074"/>
      <c r="AI809" s="1074"/>
      <c r="AJ809" s="1074"/>
      <c r="AK809" s="1074"/>
    </row>
    <row r="810">
      <c r="A810" s="1072"/>
      <c r="B810" s="1072"/>
      <c r="C810" s="1075"/>
      <c r="D810" s="1074"/>
      <c r="E810" s="1074"/>
      <c r="F810" s="1074"/>
      <c r="G810" s="1076"/>
      <c r="H810" s="1074"/>
      <c r="I810" s="1074"/>
      <c r="J810" s="1072"/>
      <c r="K810" s="1075"/>
      <c r="L810" s="1074"/>
      <c r="M810" s="1074"/>
      <c r="N810" s="1074"/>
      <c r="O810" s="1076"/>
      <c r="P810" s="1074"/>
      <c r="Q810" s="1074"/>
      <c r="R810" s="1072"/>
      <c r="S810" s="1073"/>
      <c r="T810" s="1074"/>
      <c r="U810" s="1074"/>
      <c r="V810" s="1074"/>
      <c r="W810" s="1074"/>
      <c r="X810" s="1074"/>
      <c r="Y810" s="1072"/>
      <c r="Z810" s="1073"/>
      <c r="AA810" s="1074"/>
      <c r="AB810" s="1074"/>
      <c r="AC810" s="1074"/>
      <c r="AD810" s="1074"/>
      <c r="AE810" s="1074"/>
      <c r="AF810" s="1072"/>
      <c r="AG810" s="1073"/>
      <c r="AH810" s="1074"/>
      <c r="AI810" s="1074"/>
      <c r="AJ810" s="1074"/>
      <c r="AK810" s="1074"/>
    </row>
    <row r="811">
      <c r="A811" s="1072"/>
      <c r="B811" s="1072"/>
      <c r="C811" s="1075"/>
      <c r="D811" s="1074"/>
      <c r="E811" s="1074"/>
      <c r="F811" s="1074"/>
      <c r="G811" s="1076"/>
      <c r="H811" s="1074"/>
      <c r="I811" s="1074"/>
      <c r="J811" s="1072"/>
      <c r="K811" s="1075"/>
      <c r="L811" s="1074"/>
      <c r="M811" s="1074"/>
      <c r="N811" s="1074"/>
      <c r="O811" s="1076"/>
      <c r="P811" s="1074"/>
      <c r="Q811" s="1074"/>
      <c r="R811" s="1072"/>
      <c r="S811" s="1073"/>
      <c r="T811" s="1074"/>
      <c r="U811" s="1074"/>
      <c r="V811" s="1074"/>
      <c r="W811" s="1074"/>
      <c r="X811" s="1074"/>
      <c r="Y811" s="1072"/>
      <c r="Z811" s="1073"/>
      <c r="AA811" s="1074"/>
      <c r="AB811" s="1074"/>
      <c r="AC811" s="1074"/>
      <c r="AD811" s="1074"/>
      <c r="AE811" s="1074"/>
      <c r="AF811" s="1072"/>
      <c r="AG811" s="1073"/>
      <c r="AH811" s="1074"/>
      <c r="AI811" s="1074"/>
      <c r="AJ811" s="1074"/>
      <c r="AK811" s="1074"/>
    </row>
    <row r="812">
      <c r="A812" s="1072"/>
      <c r="B812" s="1072"/>
      <c r="C812" s="1075"/>
      <c r="D812" s="1074"/>
      <c r="E812" s="1074"/>
      <c r="F812" s="1074"/>
      <c r="G812" s="1076"/>
      <c r="H812" s="1074"/>
      <c r="I812" s="1074"/>
      <c r="J812" s="1072"/>
      <c r="K812" s="1075"/>
      <c r="L812" s="1074"/>
      <c r="M812" s="1074"/>
      <c r="N812" s="1074"/>
      <c r="O812" s="1076"/>
      <c r="P812" s="1074"/>
      <c r="Q812" s="1074"/>
      <c r="R812" s="1072"/>
      <c r="S812" s="1073"/>
      <c r="T812" s="1074"/>
      <c r="U812" s="1074"/>
      <c r="V812" s="1074"/>
      <c r="W812" s="1074"/>
      <c r="X812" s="1074"/>
      <c r="Y812" s="1072"/>
      <c r="Z812" s="1073"/>
      <c r="AA812" s="1074"/>
      <c r="AB812" s="1074"/>
      <c r="AC812" s="1074"/>
      <c r="AD812" s="1074"/>
      <c r="AE812" s="1074"/>
      <c r="AF812" s="1072"/>
      <c r="AG812" s="1073"/>
      <c r="AH812" s="1074"/>
      <c r="AI812" s="1074"/>
      <c r="AJ812" s="1074"/>
      <c r="AK812" s="1074"/>
    </row>
    <row r="813">
      <c r="A813" s="1072"/>
      <c r="B813" s="1072"/>
      <c r="C813" s="1075"/>
      <c r="D813" s="1074"/>
      <c r="E813" s="1074"/>
      <c r="F813" s="1074"/>
      <c r="G813" s="1076"/>
      <c r="H813" s="1074"/>
      <c r="I813" s="1074"/>
      <c r="J813" s="1072"/>
      <c r="K813" s="1075"/>
      <c r="L813" s="1074"/>
      <c r="M813" s="1074"/>
      <c r="N813" s="1074"/>
      <c r="O813" s="1076"/>
      <c r="P813" s="1074"/>
      <c r="Q813" s="1074"/>
      <c r="R813" s="1072"/>
      <c r="S813" s="1073"/>
      <c r="T813" s="1074"/>
      <c r="U813" s="1074"/>
      <c r="V813" s="1074"/>
      <c r="W813" s="1074"/>
      <c r="X813" s="1074"/>
      <c r="Y813" s="1072"/>
      <c r="Z813" s="1073"/>
      <c r="AA813" s="1074"/>
      <c r="AB813" s="1074"/>
      <c r="AC813" s="1074"/>
      <c r="AD813" s="1074"/>
      <c r="AE813" s="1074"/>
      <c r="AF813" s="1072"/>
      <c r="AG813" s="1073"/>
      <c r="AH813" s="1074"/>
      <c r="AI813" s="1074"/>
      <c r="AJ813" s="1074"/>
      <c r="AK813" s="1074"/>
    </row>
    <row r="814">
      <c r="A814" s="1072"/>
      <c r="B814" s="1072"/>
      <c r="C814" s="1075"/>
      <c r="D814" s="1074"/>
      <c r="E814" s="1074"/>
      <c r="F814" s="1074"/>
      <c r="G814" s="1076"/>
      <c r="H814" s="1074"/>
      <c r="I814" s="1074"/>
      <c r="J814" s="1072"/>
      <c r="K814" s="1075"/>
      <c r="L814" s="1074"/>
      <c r="M814" s="1074"/>
      <c r="N814" s="1074"/>
      <c r="O814" s="1076"/>
      <c r="P814" s="1074"/>
      <c r="Q814" s="1074"/>
      <c r="R814" s="1072"/>
      <c r="S814" s="1073"/>
      <c r="T814" s="1074"/>
      <c r="U814" s="1074"/>
      <c r="V814" s="1074"/>
      <c r="W814" s="1074"/>
      <c r="X814" s="1074"/>
      <c r="Y814" s="1072"/>
      <c r="Z814" s="1073"/>
      <c r="AA814" s="1074"/>
      <c r="AB814" s="1074"/>
      <c r="AC814" s="1074"/>
      <c r="AD814" s="1074"/>
      <c r="AE814" s="1074"/>
      <c r="AF814" s="1072"/>
      <c r="AG814" s="1073"/>
      <c r="AH814" s="1074"/>
      <c r="AI814" s="1074"/>
      <c r="AJ814" s="1074"/>
      <c r="AK814" s="1074"/>
    </row>
    <row r="815">
      <c r="A815" s="1072"/>
      <c r="B815" s="1072"/>
      <c r="C815" s="1075"/>
      <c r="D815" s="1074"/>
      <c r="E815" s="1074"/>
      <c r="F815" s="1074"/>
      <c r="G815" s="1076"/>
      <c r="H815" s="1074"/>
      <c r="I815" s="1074"/>
      <c r="J815" s="1072"/>
      <c r="K815" s="1075"/>
      <c r="L815" s="1074"/>
      <c r="M815" s="1074"/>
      <c r="N815" s="1074"/>
      <c r="O815" s="1076"/>
      <c r="P815" s="1074"/>
      <c r="Q815" s="1074"/>
      <c r="R815" s="1072"/>
      <c r="S815" s="1073"/>
      <c r="T815" s="1074"/>
      <c r="U815" s="1074"/>
      <c r="V815" s="1074"/>
      <c r="W815" s="1074"/>
      <c r="X815" s="1074"/>
      <c r="Y815" s="1072"/>
      <c r="Z815" s="1073"/>
      <c r="AA815" s="1074"/>
      <c r="AB815" s="1074"/>
      <c r="AC815" s="1074"/>
      <c r="AD815" s="1074"/>
      <c r="AE815" s="1074"/>
      <c r="AF815" s="1072"/>
      <c r="AG815" s="1073"/>
      <c r="AH815" s="1074"/>
      <c r="AI815" s="1074"/>
      <c r="AJ815" s="1074"/>
      <c r="AK815" s="1074"/>
    </row>
    <row r="816">
      <c r="A816" s="1072"/>
      <c r="B816" s="1072"/>
      <c r="C816" s="1075"/>
      <c r="D816" s="1074"/>
      <c r="E816" s="1074"/>
      <c r="F816" s="1074"/>
      <c r="G816" s="1076"/>
      <c r="H816" s="1074"/>
      <c r="I816" s="1074"/>
      <c r="J816" s="1072"/>
      <c r="K816" s="1075"/>
      <c r="L816" s="1074"/>
      <c r="M816" s="1074"/>
      <c r="N816" s="1074"/>
      <c r="O816" s="1076"/>
      <c r="P816" s="1074"/>
      <c r="Q816" s="1074"/>
      <c r="R816" s="1072"/>
      <c r="S816" s="1073"/>
      <c r="T816" s="1074"/>
      <c r="U816" s="1074"/>
      <c r="V816" s="1074"/>
      <c r="W816" s="1074"/>
      <c r="X816" s="1074"/>
      <c r="Y816" s="1072"/>
      <c r="Z816" s="1073"/>
      <c r="AA816" s="1074"/>
      <c r="AB816" s="1074"/>
      <c r="AC816" s="1074"/>
      <c r="AD816" s="1074"/>
      <c r="AE816" s="1074"/>
      <c r="AF816" s="1072"/>
      <c r="AG816" s="1073"/>
      <c r="AH816" s="1074"/>
      <c r="AI816" s="1074"/>
      <c r="AJ816" s="1074"/>
      <c r="AK816" s="1074"/>
    </row>
    <row r="817">
      <c r="A817" s="1072"/>
      <c r="B817" s="1072"/>
      <c r="C817" s="1075"/>
      <c r="D817" s="1074"/>
      <c r="E817" s="1074"/>
      <c r="F817" s="1074"/>
      <c r="G817" s="1076"/>
      <c r="H817" s="1074"/>
      <c r="I817" s="1074"/>
      <c r="J817" s="1072"/>
      <c r="K817" s="1075"/>
      <c r="L817" s="1074"/>
      <c r="M817" s="1074"/>
      <c r="N817" s="1074"/>
      <c r="O817" s="1076"/>
      <c r="P817" s="1074"/>
      <c r="Q817" s="1074"/>
      <c r="R817" s="1072"/>
      <c r="S817" s="1073"/>
      <c r="T817" s="1074"/>
      <c r="U817" s="1074"/>
      <c r="V817" s="1074"/>
      <c r="W817" s="1074"/>
      <c r="X817" s="1074"/>
      <c r="Y817" s="1072"/>
      <c r="Z817" s="1073"/>
      <c r="AA817" s="1074"/>
      <c r="AB817" s="1074"/>
      <c r="AC817" s="1074"/>
      <c r="AD817" s="1074"/>
      <c r="AE817" s="1074"/>
      <c r="AF817" s="1072"/>
      <c r="AG817" s="1073"/>
      <c r="AH817" s="1074"/>
      <c r="AI817" s="1074"/>
      <c r="AJ817" s="1074"/>
      <c r="AK817" s="1074"/>
    </row>
    <row r="818">
      <c r="A818" s="1072"/>
      <c r="B818" s="1072"/>
      <c r="C818" s="1075"/>
      <c r="D818" s="1074"/>
      <c r="E818" s="1074"/>
      <c r="F818" s="1074"/>
      <c r="G818" s="1076"/>
      <c r="H818" s="1074"/>
      <c r="I818" s="1074"/>
      <c r="J818" s="1072"/>
      <c r="K818" s="1075"/>
      <c r="L818" s="1074"/>
      <c r="M818" s="1074"/>
      <c r="N818" s="1074"/>
      <c r="O818" s="1076"/>
      <c r="P818" s="1074"/>
      <c r="Q818" s="1074"/>
      <c r="R818" s="1072"/>
      <c r="S818" s="1073"/>
      <c r="T818" s="1074"/>
      <c r="U818" s="1074"/>
      <c r="V818" s="1074"/>
      <c r="W818" s="1074"/>
      <c r="X818" s="1074"/>
      <c r="Y818" s="1072"/>
      <c r="Z818" s="1073"/>
      <c r="AA818" s="1074"/>
      <c r="AB818" s="1074"/>
      <c r="AC818" s="1074"/>
      <c r="AD818" s="1074"/>
      <c r="AE818" s="1074"/>
      <c r="AF818" s="1072"/>
      <c r="AG818" s="1073"/>
      <c r="AH818" s="1074"/>
      <c r="AI818" s="1074"/>
      <c r="AJ818" s="1074"/>
      <c r="AK818" s="1074"/>
    </row>
    <row r="819">
      <c r="A819" s="1072"/>
      <c r="B819" s="1072"/>
      <c r="C819" s="1075"/>
      <c r="D819" s="1074"/>
      <c r="E819" s="1074"/>
      <c r="F819" s="1074"/>
      <c r="G819" s="1076"/>
      <c r="H819" s="1074"/>
      <c r="I819" s="1074"/>
      <c r="J819" s="1072"/>
      <c r="K819" s="1075"/>
      <c r="L819" s="1074"/>
      <c r="M819" s="1074"/>
      <c r="N819" s="1074"/>
      <c r="O819" s="1076"/>
      <c r="P819" s="1074"/>
      <c r="Q819" s="1074"/>
      <c r="R819" s="1072"/>
      <c r="S819" s="1073"/>
      <c r="T819" s="1074"/>
      <c r="U819" s="1074"/>
      <c r="V819" s="1074"/>
      <c r="W819" s="1074"/>
      <c r="X819" s="1074"/>
      <c r="Y819" s="1072"/>
      <c r="Z819" s="1073"/>
      <c r="AA819" s="1074"/>
      <c r="AB819" s="1074"/>
      <c r="AC819" s="1074"/>
      <c r="AD819" s="1074"/>
      <c r="AE819" s="1074"/>
      <c r="AF819" s="1072"/>
      <c r="AG819" s="1073"/>
      <c r="AH819" s="1074"/>
      <c r="AI819" s="1074"/>
      <c r="AJ819" s="1074"/>
      <c r="AK819" s="1074"/>
    </row>
    <row r="820">
      <c r="A820" s="1072"/>
      <c r="B820" s="1072"/>
      <c r="C820" s="1075"/>
      <c r="D820" s="1074"/>
      <c r="E820" s="1074"/>
      <c r="F820" s="1074"/>
      <c r="G820" s="1076"/>
      <c r="H820" s="1074"/>
      <c r="I820" s="1074"/>
      <c r="J820" s="1072"/>
      <c r="K820" s="1075"/>
      <c r="L820" s="1074"/>
      <c r="M820" s="1074"/>
      <c r="N820" s="1074"/>
      <c r="O820" s="1076"/>
      <c r="P820" s="1074"/>
      <c r="Q820" s="1074"/>
      <c r="R820" s="1072"/>
      <c r="S820" s="1073"/>
      <c r="T820" s="1074"/>
      <c r="U820" s="1074"/>
      <c r="V820" s="1074"/>
      <c r="W820" s="1074"/>
      <c r="X820" s="1074"/>
      <c r="Y820" s="1072"/>
      <c r="Z820" s="1073"/>
      <c r="AA820" s="1074"/>
      <c r="AB820" s="1074"/>
      <c r="AC820" s="1074"/>
      <c r="AD820" s="1074"/>
      <c r="AE820" s="1074"/>
      <c r="AF820" s="1072"/>
      <c r="AG820" s="1073"/>
      <c r="AH820" s="1074"/>
      <c r="AI820" s="1074"/>
      <c r="AJ820" s="1074"/>
      <c r="AK820" s="1074"/>
    </row>
    <row r="821">
      <c r="A821" s="1072"/>
      <c r="B821" s="1072"/>
      <c r="C821" s="1075"/>
      <c r="D821" s="1074"/>
      <c r="E821" s="1074"/>
      <c r="F821" s="1074"/>
      <c r="G821" s="1076"/>
      <c r="H821" s="1074"/>
      <c r="I821" s="1074"/>
      <c r="J821" s="1072"/>
      <c r="K821" s="1075"/>
      <c r="L821" s="1074"/>
      <c r="M821" s="1074"/>
      <c r="N821" s="1074"/>
      <c r="O821" s="1076"/>
      <c r="P821" s="1074"/>
      <c r="Q821" s="1074"/>
      <c r="R821" s="1072"/>
      <c r="S821" s="1073"/>
      <c r="T821" s="1074"/>
      <c r="U821" s="1074"/>
      <c r="V821" s="1074"/>
      <c r="W821" s="1074"/>
      <c r="X821" s="1074"/>
      <c r="Y821" s="1072"/>
      <c r="Z821" s="1073"/>
      <c r="AA821" s="1074"/>
      <c r="AB821" s="1074"/>
      <c r="AC821" s="1074"/>
      <c r="AD821" s="1074"/>
      <c r="AE821" s="1074"/>
      <c r="AF821" s="1072"/>
      <c r="AG821" s="1073"/>
      <c r="AH821" s="1074"/>
      <c r="AI821" s="1074"/>
      <c r="AJ821" s="1074"/>
      <c r="AK821" s="1074"/>
    </row>
    <row r="822">
      <c r="A822" s="1072"/>
      <c r="B822" s="1072"/>
      <c r="C822" s="1075"/>
      <c r="D822" s="1074"/>
      <c r="E822" s="1074"/>
      <c r="F822" s="1074"/>
      <c r="G822" s="1076"/>
      <c r="H822" s="1074"/>
      <c r="I822" s="1074"/>
      <c r="J822" s="1072"/>
      <c r="K822" s="1075"/>
      <c r="L822" s="1074"/>
      <c r="M822" s="1074"/>
      <c r="N822" s="1074"/>
      <c r="O822" s="1076"/>
      <c r="P822" s="1074"/>
      <c r="Q822" s="1074"/>
      <c r="R822" s="1072"/>
      <c r="S822" s="1073"/>
      <c r="T822" s="1074"/>
      <c r="U822" s="1074"/>
      <c r="V822" s="1074"/>
      <c r="W822" s="1074"/>
      <c r="X822" s="1074"/>
      <c r="Y822" s="1072"/>
      <c r="Z822" s="1073"/>
      <c r="AA822" s="1074"/>
      <c r="AB822" s="1074"/>
      <c r="AC822" s="1074"/>
      <c r="AD822" s="1074"/>
      <c r="AE822" s="1074"/>
      <c r="AF822" s="1072"/>
      <c r="AG822" s="1073"/>
      <c r="AH822" s="1074"/>
      <c r="AI822" s="1074"/>
      <c r="AJ822" s="1074"/>
      <c r="AK822" s="1074"/>
    </row>
    <row r="823">
      <c r="A823" s="1072"/>
      <c r="B823" s="1072"/>
      <c r="C823" s="1075"/>
      <c r="D823" s="1074"/>
      <c r="E823" s="1074"/>
      <c r="F823" s="1074"/>
      <c r="G823" s="1076"/>
      <c r="H823" s="1074"/>
      <c r="I823" s="1074"/>
      <c r="J823" s="1072"/>
      <c r="K823" s="1075"/>
      <c r="L823" s="1074"/>
      <c r="M823" s="1074"/>
      <c r="N823" s="1074"/>
      <c r="O823" s="1076"/>
      <c r="P823" s="1074"/>
      <c r="Q823" s="1074"/>
      <c r="R823" s="1072"/>
      <c r="S823" s="1073"/>
      <c r="T823" s="1074"/>
      <c r="U823" s="1074"/>
      <c r="V823" s="1074"/>
      <c r="W823" s="1074"/>
      <c r="X823" s="1074"/>
      <c r="Y823" s="1072"/>
      <c r="Z823" s="1073"/>
      <c r="AA823" s="1074"/>
      <c r="AB823" s="1074"/>
      <c r="AC823" s="1074"/>
      <c r="AD823" s="1074"/>
      <c r="AE823" s="1074"/>
      <c r="AF823" s="1072"/>
      <c r="AG823" s="1073"/>
      <c r="AH823" s="1074"/>
      <c r="AI823" s="1074"/>
      <c r="AJ823" s="1074"/>
      <c r="AK823" s="1074"/>
    </row>
    <row r="824">
      <c r="A824" s="1072"/>
      <c r="B824" s="1072"/>
      <c r="C824" s="1075"/>
      <c r="D824" s="1074"/>
      <c r="E824" s="1074"/>
      <c r="F824" s="1074"/>
      <c r="G824" s="1076"/>
      <c r="H824" s="1074"/>
      <c r="I824" s="1074"/>
      <c r="J824" s="1072"/>
      <c r="K824" s="1075"/>
      <c r="L824" s="1074"/>
      <c r="M824" s="1074"/>
      <c r="N824" s="1074"/>
      <c r="O824" s="1076"/>
      <c r="P824" s="1074"/>
      <c r="Q824" s="1074"/>
      <c r="R824" s="1072"/>
      <c r="S824" s="1073"/>
      <c r="T824" s="1074"/>
      <c r="U824" s="1074"/>
      <c r="V824" s="1074"/>
      <c r="W824" s="1074"/>
      <c r="X824" s="1074"/>
      <c r="Y824" s="1072"/>
      <c r="Z824" s="1073"/>
      <c r="AA824" s="1074"/>
      <c r="AB824" s="1074"/>
      <c r="AC824" s="1074"/>
      <c r="AD824" s="1074"/>
      <c r="AE824" s="1074"/>
      <c r="AF824" s="1072"/>
      <c r="AG824" s="1073"/>
      <c r="AH824" s="1074"/>
      <c r="AI824" s="1074"/>
      <c r="AJ824" s="1074"/>
      <c r="AK824" s="1074"/>
    </row>
    <row r="825">
      <c r="A825" s="1072"/>
      <c r="B825" s="1072"/>
      <c r="C825" s="1075"/>
      <c r="D825" s="1074"/>
      <c r="E825" s="1074"/>
      <c r="F825" s="1074"/>
      <c r="G825" s="1076"/>
      <c r="H825" s="1074"/>
      <c r="I825" s="1074"/>
      <c r="J825" s="1072"/>
      <c r="K825" s="1075"/>
      <c r="L825" s="1074"/>
      <c r="M825" s="1074"/>
      <c r="N825" s="1074"/>
      <c r="O825" s="1076"/>
      <c r="P825" s="1074"/>
      <c r="Q825" s="1074"/>
      <c r="R825" s="1072"/>
      <c r="S825" s="1073"/>
      <c r="T825" s="1074"/>
      <c r="U825" s="1074"/>
      <c r="V825" s="1074"/>
      <c r="W825" s="1074"/>
      <c r="X825" s="1074"/>
      <c r="Y825" s="1072"/>
      <c r="Z825" s="1073"/>
      <c r="AA825" s="1074"/>
      <c r="AB825" s="1074"/>
      <c r="AC825" s="1074"/>
      <c r="AD825" s="1074"/>
      <c r="AE825" s="1074"/>
      <c r="AF825" s="1072"/>
      <c r="AG825" s="1073"/>
      <c r="AH825" s="1074"/>
      <c r="AI825" s="1074"/>
      <c r="AJ825" s="1074"/>
      <c r="AK825" s="1074"/>
    </row>
    <row r="826">
      <c r="A826" s="1072"/>
      <c r="B826" s="1072"/>
      <c r="C826" s="1075"/>
      <c r="D826" s="1074"/>
      <c r="E826" s="1074"/>
      <c r="F826" s="1074"/>
      <c r="G826" s="1076"/>
      <c r="H826" s="1074"/>
      <c r="I826" s="1074"/>
      <c r="J826" s="1072"/>
      <c r="K826" s="1075"/>
      <c r="L826" s="1074"/>
      <c r="M826" s="1074"/>
      <c r="N826" s="1074"/>
      <c r="O826" s="1076"/>
      <c r="P826" s="1074"/>
      <c r="Q826" s="1074"/>
      <c r="R826" s="1072"/>
      <c r="S826" s="1073"/>
      <c r="T826" s="1074"/>
      <c r="U826" s="1074"/>
      <c r="V826" s="1074"/>
      <c r="W826" s="1074"/>
      <c r="X826" s="1074"/>
      <c r="Y826" s="1072"/>
      <c r="Z826" s="1073"/>
      <c r="AA826" s="1074"/>
      <c r="AB826" s="1074"/>
      <c r="AC826" s="1074"/>
      <c r="AD826" s="1074"/>
      <c r="AE826" s="1074"/>
      <c r="AF826" s="1072"/>
      <c r="AG826" s="1073"/>
      <c r="AH826" s="1074"/>
      <c r="AI826" s="1074"/>
      <c r="AJ826" s="1074"/>
      <c r="AK826" s="1074"/>
    </row>
    <row r="827">
      <c r="A827" s="1072"/>
      <c r="B827" s="1072"/>
      <c r="C827" s="1075"/>
      <c r="D827" s="1074"/>
      <c r="E827" s="1074"/>
      <c r="F827" s="1074"/>
      <c r="G827" s="1076"/>
      <c r="H827" s="1074"/>
      <c r="I827" s="1074"/>
      <c r="J827" s="1072"/>
      <c r="K827" s="1075"/>
      <c r="L827" s="1074"/>
      <c r="M827" s="1074"/>
      <c r="N827" s="1074"/>
      <c r="O827" s="1076"/>
      <c r="P827" s="1074"/>
      <c r="Q827" s="1074"/>
      <c r="R827" s="1072"/>
      <c r="S827" s="1073"/>
      <c r="T827" s="1074"/>
      <c r="U827" s="1074"/>
      <c r="V827" s="1074"/>
      <c r="W827" s="1074"/>
      <c r="X827" s="1074"/>
      <c r="Y827" s="1072"/>
      <c r="Z827" s="1073"/>
      <c r="AA827" s="1074"/>
      <c r="AB827" s="1074"/>
      <c r="AC827" s="1074"/>
      <c r="AD827" s="1074"/>
      <c r="AE827" s="1074"/>
      <c r="AF827" s="1072"/>
      <c r="AG827" s="1073"/>
      <c r="AH827" s="1074"/>
      <c r="AI827" s="1074"/>
      <c r="AJ827" s="1074"/>
      <c r="AK827" s="1074"/>
    </row>
    <row r="828">
      <c r="A828" s="1072"/>
      <c r="B828" s="1072"/>
      <c r="C828" s="1075"/>
      <c r="D828" s="1074"/>
      <c r="E828" s="1074"/>
      <c r="F828" s="1074"/>
      <c r="G828" s="1076"/>
      <c r="H828" s="1074"/>
      <c r="I828" s="1074"/>
      <c r="J828" s="1072"/>
      <c r="K828" s="1075"/>
      <c r="L828" s="1074"/>
      <c r="M828" s="1074"/>
      <c r="N828" s="1074"/>
      <c r="O828" s="1076"/>
      <c r="P828" s="1074"/>
      <c r="Q828" s="1074"/>
      <c r="R828" s="1072"/>
      <c r="S828" s="1073"/>
      <c r="T828" s="1074"/>
      <c r="U828" s="1074"/>
      <c r="V828" s="1074"/>
      <c r="W828" s="1074"/>
      <c r="X828" s="1074"/>
      <c r="Y828" s="1072"/>
      <c r="Z828" s="1073"/>
      <c r="AA828" s="1074"/>
      <c r="AB828" s="1074"/>
      <c r="AC828" s="1074"/>
      <c r="AD828" s="1074"/>
      <c r="AE828" s="1074"/>
      <c r="AF828" s="1072"/>
      <c r="AG828" s="1073"/>
      <c r="AH828" s="1074"/>
      <c r="AI828" s="1074"/>
      <c r="AJ828" s="1074"/>
      <c r="AK828" s="1074"/>
    </row>
    <row r="829">
      <c r="A829" s="1072"/>
      <c r="B829" s="1072"/>
      <c r="C829" s="1075"/>
      <c r="D829" s="1074"/>
      <c r="E829" s="1074"/>
      <c r="F829" s="1074"/>
      <c r="G829" s="1076"/>
      <c r="H829" s="1074"/>
      <c r="I829" s="1074"/>
      <c r="J829" s="1072"/>
      <c r="K829" s="1075"/>
      <c r="L829" s="1074"/>
      <c r="M829" s="1074"/>
      <c r="N829" s="1074"/>
      <c r="O829" s="1076"/>
      <c r="P829" s="1074"/>
      <c r="Q829" s="1074"/>
      <c r="R829" s="1072"/>
      <c r="S829" s="1073"/>
      <c r="T829" s="1074"/>
      <c r="U829" s="1074"/>
      <c r="V829" s="1074"/>
      <c r="W829" s="1074"/>
      <c r="X829" s="1074"/>
      <c r="Y829" s="1072"/>
      <c r="Z829" s="1073"/>
      <c r="AA829" s="1074"/>
      <c r="AB829" s="1074"/>
      <c r="AC829" s="1074"/>
      <c r="AD829" s="1074"/>
      <c r="AE829" s="1074"/>
      <c r="AF829" s="1072"/>
      <c r="AG829" s="1073"/>
      <c r="AH829" s="1074"/>
      <c r="AI829" s="1074"/>
      <c r="AJ829" s="1074"/>
      <c r="AK829" s="1074"/>
    </row>
    <row r="830">
      <c r="A830" s="1072"/>
      <c r="B830" s="1072"/>
      <c r="C830" s="1075"/>
      <c r="D830" s="1074"/>
      <c r="E830" s="1074"/>
      <c r="F830" s="1074"/>
      <c r="G830" s="1076"/>
      <c r="H830" s="1074"/>
      <c r="I830" s="1074"/>
      <c r="J830" s="1072"/>
      <c r="K830" s="1075"/>
      <c r="L830" s="1074"/>
      <c r="M830" s="1074"/>
      <c r="N830" s="1074"/>
      <c r="O830" s="1076"/>
      <c r="P830" s="1074"/>
      <c r="Q830" s="1074"/>
      <c r="R830" s="1072"/>
      <c r="S830" s="1073"/>
      <c r="T830" s="1074"/>
      <c r="U830" s="1074"/>
      <c r="V830" s="1074"/>
      <c r="W830" s="1074"/>
      <c r="X830" s="1074"/>
      <c r="Y830" s="1072"/>
      <c r="Z830" s="1073"/>
      <c r="AA830" s="1074"/>
      <c r="AB830" s="1074"/>
      <c r="AC830" s="1074"/>
      <c r="AD830" s="1074"/>
      <c r="AE830" s="1074"/>
      <c r="AF830" s="1072"/>
      <c r="AG830" s="1073"/>
      <c r="AH830" s="1074"/>
      <c r="AI830" s="1074"/>
      <c r="AJ830" s="1074"/>
      <c r="AK830" s="1074"/>
    </row>
    <row r="831">
      <c r="A831" s="1072"/>
      <c r="B831" s="1072"/>
      <c r="C831" s="1075"/>
      <c r="D831" s="1074"/>
      <c r="E831" s="1074"/>
      <c r="F831" s="1074"/>
      <c r="G831" s="1076"/>
      <c r="H831" s="1074"/>
      <c r="I831" s="1074"/>
      <c r="J831" s="1072"/>
      <c r="K831" s="1075"/>
      <c r="L831" s="1074"/>
      <c r="M831" s="1074"/>
      <c r="N831" s="1074"/>
      <c r="O831" s="1076"/>
      <c r="P831" s="1074"/>
      <c r="Q831" s="1074"/>
      <c r="R831" s="1072"/>
      <c r="S831" s="1073"/>
      <c r="T831" s="1074"/>
      <c r="U831" s="1074"/>
      <c r="V831" s="1074"/>
      <c r="W831" s="1074"/>
      <c r="X831" s="1074"/>
      <c r="Y831" s="1072"/>
      <c r="Z831" s="1073"/>
      <c r="AA831" s="1074"/>
      <c r="AB831" s="1074"/>
      <c r="AC831" s="1074"/>
      <c r="AD831" s="1074"/>
      <c r="AE831" s="1074"/>
      <c r="AF831" s="1072"/>
      <c r="AG831" s="1073"/>
      <c r="AH831" s="1074"/>
      <c r="AI831" s="1074"/>
      <c r="AJ831" s="1074"/>
      <c r="AK831" s="1074"/>
    </row>
    <row r="832">
      <c r="A832" s="1072"/>
      <c r="B832" s="1072"/>
      <c r="C832" s="1075"/>
      <c r="D832" s="1074"/>
      <c r="E832" s="1074"/>
      <c r="F832" s="1074"/>
      <c r="G832" s="1076"/>
      <c r="H832" s="1074"/>
      <c r="I832" s="1074"/>
      <c r="J832" s="1072"/>
      <c r="K832" s="1075"/>
      <c r="L832" s="1074"/>
      <c r="M832" s="1074"/>
      <c r="N832" s="1074"/>
      <c r="O832" s="1076"/>
      <c r="P832" s="1074"/>
      <c r="Q832" s="1074"/>
      <c r="R832" s="1072"/>
      <c r="S832" s="1073"/>
      <c r="T832" s="1074"/>
      <c r="U832" s="1074"/>
      <c r="V832" s="1074"/>
      <c r="W832" s="1074"/>
      <c r="X832" s="1074"/>
      <c r="Y832" s="1072"/>
      <c r="Z832" s="1073"/>
      <c r="AA832" s="1074"/>
      <c r="AB832" s="1074"/>
      <c r="AC832" s="1074"/>
      <c r="AD832" s="1074"/>
      <c r="AE832" s="1074"/>
      <c r="AF832" s="1072"/>
      <c r="AG832" s="1073"/>
      <c r="AH832" s="1074"/>
      <c r="AI832" s="1074"/>
      <c r="AJ832" s="1074"/>
      <c r="AK832" s="1074"/>
    </row>
    <row r="833">
      <c r="A833" s="1072"/>
      <c r="B833" s="1072"/>
      <c r="C833" s="1075"/>
      <c r="D833" s="1074"/>
      <c r="E833" s="1074"/>
      <c r="F833" s="1074"/>
      <c r="G833" s="1076"/>
      <c r="H833" s="1074"/>
      <c r="I833" s="1074"/>
      <c r="J833" s="1072"/>
      <c r="K833" s="1075"/>
      <c r="L833" s="1074"/>
      <c r="M833" s="1074"/>
      <c r="N833" s="1074"/>
      <c r="O833" s="1076"/>
      <c r="P833" s="1074"/>
      <c r="Q833" s="1074"/>
      <c r="R833" s="1072"/>
      <c r="S833" s="1073"/>
      <c r="T833" s="1074"/>
      <c r="U833" s="1074"/>
      <c r="V833" s="1074"/>
      <c r="W833" s="1074"/>
      <c r="X833" s="1074"/>
      <c r="Y833" s="1072"/>
      <c r="Z833" s="1073"/>
      <c r="AA833" s="1074"/>
      <c r="AB833" s="1074"/>
      <c r="AC833" s="1074"/>
      <c r="AD833" s="1074"/>
      <c r="AE833" s="1074"/>
      <c r="AF833" s="1072"/>
      <c r="AG833" s="1073"/>
      <c r="AH833" s="1074"/>
      <c r="AI833" s="1074"/>
      <c r="AJ833" s="1074"/>
      <c r="AK833" s="1074"/>
    </row>
    <row r="834">
      <c r="A834" s="1072"/>
      <c r="B834" s="1072"/>
      <c r="C834" s="1075"/>
      <c r="D834" s="1074"/>
      <c r="E834" s="1074"/>
      <c r="F834" s="1074"/>
      <c r="G834" s="1076"/>
      <c r="H834" s="1074"/>
      <c r="I834" s="1074"/>
      <c r="J834" s="1072"/>
      <c r="K834" s="1075"/>
      <c r="L834" s="1074"/>
      <c r="M834" s="1074"/>
      <c r="N834" s="1074"/>
      <c r="O834" s="1076"/>
      <c r="P834" s="1074"/>
      <c r="Q834" s="1074"/>
      <c r="R834" s="1072"/>
      <c r="S834" s="1073"/>
      <c r="T834" s="1074"/>
      <c r="U834" s="1074"/>
      <c r="V834" s="1074"/>
      <c r="W834" s="1074"/>
      <c r="X834" s="1074"/>
      <c r="Y834" s="1072"/>
      <c r="Z834" s="1073"/>
      <c r="AA834" s="1074"/>
      <c r="AB834" s="1074"/>
      <c r="AC834" s="1074"/>
      <c r="AD834" s="1074"/>
      <c r="AE834" s="1074"/>
      <c r="AF834" s="1072"/>
      <c r="AG834" s="1073"/>
      <c r="AH834" s="1074"/>
      <c r="AI834" s="1074"/>
      <c r="AJ834" s="1074"/>
      <c r="AK834" s="1074"/>
    </row>
    <row r="835">
      <c r="A835" s="1072"/>
      <c r="B835" s="1072"/>
      <c r="C835" s="1075"/>
      <c r="D835" s="1074"/>
      <c r="E835" s="1074"/>
      <c r="F835" s="1074"/>
      <c r="G835" s="1076"/>
      <c r="H835" s="1074"/>
      <c r="I835" s="1074"/>
      <c r="J835" s="1072"/>
      <c r="K835" s="1075"/>
      <c r="L835" s="1074"/>
      <c r="M835" s="1074"/>
      <c r="N835" s="1074"/>
      <c r="O835" s="1076"/>
      <c r="P835" s="1074"/>
      <c r="Q835" s="1074"/>
      <c r="R835" s="1072"/>
      <c r="S835" s="1073"/>
      <c r="T835" s="1074"/>
      <c r="U835" s="1074"/>
      <c r="V835" s="1074"/>
      <c r="W835" s="1074"/>
      <c r="X835" s="1074"/>
      <c r="Y835" s="1072"/>
      <c r="Z835" s="1073"/>
      <c r="AA835" s="1074"/>
      <c r="AB835" s="1074"/>
      <c r="AC835" s="1074"/>
      <c r="AD835" s="1074"/>
      <c r="AE835" s="1074"/>
      <c r="AF835" s="1072"/>
      <c r="AG835" s="1073"/>
      <c r="AH835" s="1074"/>
      <c r="AI835" s="1074"/>
      <c r="AJ835" s="1074"/>
      <c r="AK835" s="1074"/>
    </row>
    <row r="836">
      <c r="A836" s="1072"/>
      <c r="B836" s="1072"/>
      <c r="C836" s="1075"/>
      <c r="D836" s="1074"/>
      <c r="E836" s="1074"/>
      <c r="F836" s="1074"/>
      <c r="G836" s="1076"/>
      <c r="H836" s="1074"/>
      <c r="I836" s="1074"/>
      <c r="J836" s="1072"/>
      <c r="K836" s="1075"/>
      <c r="L836" s="1074"/>
      <c r="M836" s="1074"/>
      <c r="N836" s="1074"/>
      <c r="O836" s="1076"/>
      <c r="P836" s="1074"/>
      <c r="Q836" s="1074"/>
      <c r="R836" s="1072"/>
      <c r="S836" s="1073"/>
      <c r="T836" s="1074"/>
      <c r="U836" s="1074"/>
      <c r="V836" s="1074"/>
      <c r="W836" s="1074"/>
      <c r="X836" s="1074"/>
      <c r="Y836" s="1072"/>
      <c r="Z836" s="1073"/>
      <c r="AA836" s="1074"/>
      <c r="AB836" s="1074"/>
      <c r="AC836" s="1074"/>
      <c r="AD836" s="1074"/>
      <c r="AE836" s="1074"/>
      <c r="AF836" s="1072"/>
      <c r="AG836" s="1073"/>
      <c r="AH836" s="1074"/>
      <c r="AI836" s="1074"/>
      <c r="AJ836" s="1074"/>
      <c r="AK836" s="1074"/>
    </row>
    <row r="837">
      <c r="A837" s="1072"/>
      <c r="B837" s="1072"/>
      <c r="C837" s="1075"/>
      <c r="D837" s="1074"/>
      <c r="E837" s="1074"/>
      <c r="F837" s="1074"/>
      <c r="G837" s="1076"/>
      <c r="H837" s="1074"/>
      <c r="I837" s="1074"/>
      <c r="J837" s="1072"/>
      <c r="K837" s="1075"/>
      <c r="L837" s="1074"/>
      <c r="M837" s="1074"/>
      <c r="N837" s="1074"/>
      <c r="O837" s="1076"/>
      <c r="P837" s="1074"/>
      <c r="Q837" s="1074"/>
      <c r="R837" s="1072"/>
      <c r="S837" s="1073"/>
      <c r="T837" s="1074"/>
      <c r="U837" s="1074"/>
      <c r="V837" s="1074"/>
      <c r="W837" s="1074"/>
      <c r="X837" s="1074"/>
      <c r="Y837" s="1072"/>
      <c r="Z837" s="1073"/>
      <c r="AA837" s="1074"/>
      <c r="AB837" s="1074"/>
      <c r="AC837" s="1074"/>
      <c r="AD837" s="1074"/>
      <c r="AE837" s="1074"/>
      <c r="AF837" s="1072"/>
      <c r="AG837" s="1073"/>
      <c r="AH837" s="1074"/>
      <c r="AI837" s="1074"/>
      <c r="AJ837" s="1074"/>
      <c r="AK837" s="1074"/>
    </row>
    <row r="838">
      <c r="A838" s="1072"/>
      <c r="B838" s="1072"/>
      <c r="C838" s="1075"/>
      <c r="D838" s="1074"/>
      <c r="E838" s="1074"/>
      <c r="F838" s="1074"/>
      <c r="G838" s="1076"/>
      <c r="H838" s="1074"/>
      <c r="I838" s="1074"/>
      <c r="J838" s="1072"/>
      <c r="K838" s="1075"/>
      <c r="L838" s="1074"/>
      <c r="M838" s="1074"/>
      <c r="N838" s="1074"/>
      <c r="O838" s="1076"/>
      <c r="P838" s="1074"/>
      <c r="Q838" s="1074"/>
      <c r="R838" s="1072"/>
      <c r="S838" s="1073"/>
      <c r="T838" s="1074"/>
      <c r="U838" s="1074"/>
      <c r="V838" s="1074"/>
      <c r="W838" s="1074"/>
      <c r="X838" s="1074"/>
      <c r="Y838" s="1072"/>
      <c r="Z838" s="1073"/>
      <c r="AA838" s="1074"/>
      <c r="AB838" s="1074"/>
      <c r="AC838" s="1074"/>
      <c r="AD838" s="1074"/>
      <c r="AE838" s="1074"/>
      <c r="AF838" s="1072"/>
      <c r="AG838" s="1073"/>
      <c r="AH838" s="1074"/>
      <c r="AI838" s="1074"/>
      <c r="AJ838" s="1074"/>
      <c r="AK838" s="1074"/>
    </row>
    <row r="839">
      <c r="A839" s="1072"/>
      <c r="B839" s="1072"/>
      <c r="C839" s="1075"/>
      <c r="D839" s="1074"/>
      <c r="E839" s="1074"/>
      <c r="F839" s="1074"/>
      <c r="G839" s="1076"/>
      <c r="H839" s="1074"/>
      <c r="I839" s="1074"/>
      <c r="J839" s="1072"/>
      <c r="K839" s="1075"/>
      <c r="L839" s="1074"/>
      <c r="M839" s="1074"/>
      <c r="N839" s="1074"/>
      <c r="O839" s="1076"/>
      <c r="P839" s="1074"/>
      <c r="Q839" s="1074"/>
      <c r="R839" s="1072"/>
      <c r="S839" s="1073"/>
      <c r="T839" s="1074"/>
      <c r="U839" s="1074"/>
      <c r="V839" s="1074"/>
      <c r="W839" s="1074"/>
      <c r="X839" s="1074"/>
      <c r="Y839" s="1072"/>
      <c r="Z839" s="1073"/>
      <c r="AA839" s="1074"/>
      <c r="AB839" s="1074"/>
      <c r="AC839" s="1074"/>
      <c r="AD839" s="1074"/>
      <c r="AE839" s="1074"/>
      <c r="AF839" s="1072"/>
      <c r="AG839" s="1073"/>
      <c r="AH839" s="1074"/>
      <c r="AI839" s="1074"/>
      <c r="AJ839" s="1074"/>
      <c r="AK839" s="1074"/>
    </row>
    <row r="840">
      <c r="A840" s="1072"/>
      <c r="B840" s="1072"/>
      <c r="C840" s="1075"/>
      <c r="D840" s="1074"/>
      <c r="E840" s="1074"/>
      <c r="F840" s="1074"/>
      <c r="G840" s="1076"/>
      <c r="H840" s="1074"/>
      <c r="I840" s="1074"/>
      <c r="J840" s="1072"/>
      <c r="K840" s="1075"/>
      <c r="L840" s="1074"/>
      <c r="M840" s="1074"/>
      <c r="N840" s="1074"/>
      <c r="O840" s="1076"/>
      <c r="P840" s="1074"/>
      <c r="Q840" s="1074"/>
      <c r="R840" s="1072"/>
      <c r="S840" s="1073"/>
      <c r="T840" s="1074"/>
      <c r="U840" s="1074"/>
      <c r="V840" s="1074"/>
      <c r="W840" s="1074"/>
      <c r="X840" s="1074"/>
      <c r="Y840" s="1072"/>
      <c r="Z840" s="1073"/>
      <c r="AA840" s="1074"/>
      <c r="AB840" s="1074"/>
      <c r="AC840" s="1074"/>
      <c r="AD840" s="1074"/>
      <c r="AE840" s="1074"/>
      <c r="AF840" s="1072"/>
      <c r="AG840" s="1073"/>
      <c r="AH840" s="1074"/>
      <c r="AI840" s="1074"/>
      <c r="AJ840" s="1074"/>
      <c r="AK840" s="1074"/>
    </row>
    <row r="841">
      <c r="A841" s="1072"/>
      <c r="B841" s="1072"/>
      <c r="C841" s="1075"/>
      <c r="D841" s="1074"/>
      <c r="E841" s="1074"/>
      <c r="F841" s="1074"/>
      <c r="G841" s="1076"/>
      <c r="H841" s="1074"/>
      <c r="I841" s="1074"/>
      <c r="J841" s="1072"/>
      <c r="K841" s="1075"/>
      <c r="L841" s="1074"/>
      <c r="M841" s="1074"/>
      <c r="N841" s="1074"/>
      <c r="O841" s="1076"/>
      <c r="P841" s="1074"/>
      <c r="Q841" s="1074"/>
      <c r="R841" s="1072"/>
      <c r="S841" s="1073"/>
      <c r="T841" s="1074"/>
      <c r="U841" s="1074"/>
      <c r="V841" s="1074"/>
      <c r="W841" s="1074"/>
      <c r="X841" s="1074"/>
      <c r="Y841" s="1072"/>
      <c r="Z841" s="1073"/>
      <c r="AA841" s="1074"/>
      <c r="AB841" s="1074"/>
      <c r="AC841" s="1074"/>
      <c r="AD841" s="1074"/>
      <c r="AE841" s="1074"/>
      <c r="AF841" s="1072"/>
      <c r="AG841" s="1073"/>
      <c r="AH841" s="1074"/>
      <c r="AI841" s="1074"/>
      <c r="AJ841" s="1074"/>
      <c r="AK841" s="1074"/>
    </row>
    <row r="842">
      <c r="A842" s="1072"/>
      <c r="B842" s="1072"/>
      <c r="C842" s="1075"/>
      <c r="D842" s="1074"/>
      <c r="E842" s="1074"/>
      <c r="F842" s="1074"/>
      <c r="G842" s="1076"/>
      <c r="H842" s="1074"/>
      <c r="I842" s="1074"/>
      <c r="J842" s="1072"/>
      <c r="K842" s="1075"/>
      <c r="L842" s="1074"/>
      <c r="M842" s="1074"/>
      <c r="N842" s="1074"/>
      <c r="O842" s="1076"/>
      <c r="P842" s="1074"/>
      <c r="Q842" s="1074"/>
      <c r="R842" s="1072"/>
      <c r="S842" s="1073"/>
      <c r="T842" s="1074"/>
      <c r="U842" s="1074"/>
      <c r="V842" s="1074"/>
      <c r="W842" s="1074"/>
      <c r="X842" s="1074"/>
      <c r="Y842" s="1072"/>
      <c r="Z842" s="1073"/>
      <c r="AA842" s="1074"/>
      <c r="AB842" s="1074"/>
      <c r="AC842" s="1074"/>
      <c r="AD842" s="1074"/>
      <c r="AE842" s="1074"/>
      <c r="AF842" s="1072"/>
      <c r="AG842" s="1073"/>
      <c r="AH842" s="1074"/>
      <c r="AI842" s="1074"/>
      <c r="AJ842" s="1074"/>
      <c r="AK842" s="1074"/>
    </row>
    <row r="843">
      <c r="A843" s="1072"/>
      <c r="B843" s="1072"/>
      <c r="C843" s="1075"/>
      <c r="D843" s="1074"/>
      <c r="E843" s="1074"/>
      <c r="F843" s="1074"/>
      <c r="G843" s="1076"/>
      <c r="H843" s="1074"/>
      <c r="I843" s="1074"/>
      <c r="J843" s="1072"/>
      <c r="K843" s="1075"/>
      <c r="L843" s="1074"/>
      <c r="M843" s="1074"/>
      <c r="N843" s="1074"/>
      <c r="O843" s="1076"/>
      <c r="P843" s="1074"/>
      <c r="Q843" s="1074"/>
      <c r="R843" s="1072"/>
      <c r="S843" s="1073"/>
      <c r="T843" s="1074"/>
      <c r="U843" s="1074"/>
      <c r="V843" s="1074"/>
      <c r="W843" s="1074"/>
      <c r="X843" s="1074"/>
      <c r="Y843" s="1072"/>
      <c r="Z843" s="1073"/>
      <c r="AA843" s="1074"/>
      <c r="AB843" s="1074"/>
      <c r="AC843" s="1074"/>
      <c r="AD843" s="1074"/>
      <c r="AE843" s="1074"/>
      <c r="AF843" s="1072"/>
      <c r="AG843" s="1073"/>
      <c r="AH843" s="1074"/>
      <c r="AI843" s="1074"/>
      <c r="AJ843" s="1074"/>
      <c r="AK843" s="1074"/>
    </row>
    <row r="844">
      <c r="A844" s="1072"/>
      <c r="B844" s="1072"/>
      <c r="C844" s="1075"/>
      <c r="D844" s="1074"/>
      <c r="E844" s="1074"/>
      <c r="F844" s="1074"/>
      <c r="G844" s="1076"/>
      <c r="H844" s="1074"/>
      <c r="I844" s="1074"/>
      <c r="J844" s="1072"/>
      <c r="K844" s="1075"/>
      <c r="L844" s="1074"/>
      <c r="M844" s="1074"/>
      <c r="N844" s="1074"/>
      <c r="O844" s="1076"/>
      <c r="P844" s="1074"/>
      <c r="Q844" s="1074"/>
      <c r="R844" s="1072"/>
      <c r="S844" s="1073"/>
      <c r="T844" s="1074"/>
      <c r="U844" s="1074"/>
      <c r="V844" s="1074"/>
      <c r="W844" s="1074"/>
      <c r="X844" s="1074"/>
      <c r="Y844" s="1072"/>
      <c r="Z844" s="1073"/>
      <c r="AA844" s="1074"/>
      <c r="AB844" s="1074"/>
      <c r="AC844" s="1074"/>
      <c r="AD844" s="1074"/>
      <c r="AE844" s="1074"/>
      <c r="AF844" s="1072"/>
      <c r="AG844" s="1073"/>
      <c r="AH844" s="1074"/>
      <c r="AI844" s="1074"/>
      <c r="AJ844" s="1074"/>
      <c r="AK844" s="1074"/>
    </row>
    <row r="845">
      <c r="A845" s="1072"/>
      <c r="B845" s="1072"/>
      <c r="C845" s="1075"/>
      <c r="D845" s="1074"/>
      <c r="E845" s="1074"/>
      <c r="F845" s="1074"/>
      <c r="G845" s="1076"/>
      <c r="H845" s="1074"/>
      <c r="I845" s="1074"/>
      <c r="J845" s="1072"/>
      <c r="K845" s="1075"/>
      <c r="L845" s="1074"/>
      <c r="M845" s="1074"/>
      <c r="N845" s="1074"/>
      <c r="O845" s="1076"/>
      <c r="P845" s="1074"/>
      <c r="Q845" s="1074"/>
      <c r="R845" s="1072"/>
      <c r="S845" s="1073"/>
      <c r="T845" s="1074"/>
      <c r="U845" s="1074"/>
      <c r="V845" s="1074"/>
      <c r="W845" s="1074"/>
      <c r="X845" s="1074"/>
      <c r="Y845" s="1072"/>
      <c r="Z845" s="1073"/>
      <c r="AA845" s="1074"/>
      <c r="AB845" s="1074"/>
      <c r="AC845" s="1074"/>
      <c r="AD845" s="1074"/>
      <c r="AE845" s="1074"/>
      <c r="AF845" s="1072"/>
      <c r="AG845" s="1073"/>
      <c r="AH845" s="1074"/>
      <c r="AI845" s="1074"/>
      <c r="AJ845" s="1074"/>
      <c r="AK845" s="1074"/>
    </row>
    <row r="846">
      <c r="A846" s="1072"/>
      <c r="B846" s="1072"/>
      <c r="C846" s="1075"/>
      <c r="D846" s="1074"/>
      <c r="E846" s="1074"/>
      <c r="F846" s="1074"/>
      <c r="G846" s="1076"/>
      <c r="H846" s="1074"/>
      <c r="I846" s="1074"/>
      <c r="J846" s="1072"/>
      <c r="K846" s="1075"/>
      <c r="L846" s="1074"/>
      <c r="M846" s="1074"/>
      <c r="N846" s="1074"/>
      <c r="O846" s="1076"/>
      <c r="P846" s="1074"/>
      <c r="Q846" s="1074"/>
      <c r="R846" s="1072"/>
      <c r="S846" s="1073"/>
      <c r="T846" s="1074"/>
      <c r="U846" s="1074"/>
      <c r="V846" s="1074"/>
      <c r="W846" s="1074"/>
      <c r="X846" s="1074"/>
      <c r="Y846" s="1072"/>
      <c r="Z846" s="1073"/>
      <c r="AA846" s="1074"/>
      <c r="AB846" s="1074"/>
      <c r="AC846" s="1074"/>
      <c r="AD846" s="1074"/>
      <c r="AE846" s="1074"/>
      <c r="AF846" s="1072"/>
      <c r="AG846" s="1073"/>
      <c r="AH846" s="1074"/>
      <c r="AI846" s="1074"/>
      <c r="AJ846" s="1074"/>
      <c r="AK846" s="1074"/>
    </row>
    <row r="847">
      <c r="A847" s="1072"/>
      <c r="B847" s="1072"/>
      <c r="C847" s="1075"/>
      <c r="D847" s="1074"/>
      <c r="E847" s="1074"/>
      <c r="F847" s="1074"/>
      <c r="G847" s="1076"/>
      <c r="H847" s="1074"/>
      <c r="I847" s="1074"/>
      <c r="J847" s="1072"/>
      <c r="K847" s="1075"/>
      <c r="L847" s="1074"/>
      <c r="M847" s="1074"/>
      <c r="N847" s="1074"/>
      <c r="O847" s="1076"/>
      <c r="P847" s="1074"/>
      <c r="Q847" s="1074"/>
      <c r="R847" s="1072"/>
      <c r="S847" s="1073"/>
      <c r="T847" s="1074"/>
      <c r="U847" s="1074"/>
      <c r="V847" s="1074"/>
      <c r="W847" s="1074"/>
      <c r="X847" s="1074"/>
      <c r="Y847" s="1072"/>
      <c r="Z847" s="1073"/>
      <c r="AA847" s="1074"/>
      <c r="AB847" s="1074"/>
      <c r="AC847" s="1074"/>
      <c r="AD847" s="1074"/>
      <c r="AE847" s="1074"/>
      <c r="AF847" s="1072"/>
      <c r="AG847" s="1073"/>
      <c r="AH847" s="1074"/>
      <c r="AI847" s="1074"/>
      <c r="AJ847" s="1074"/>
      <c r="AK847" s="1074"/>
    </row>
    <row r="848">
      <c r="A848" s="1072"/>
      <c r="B848" s="1072"/>
      <c r="C848" s="1075"/>
      <c r="D848" s="1074"/>
      <c r="E848" s="1074"/>
      <c r="F848" s="1074"/>
      <c r="G848" s="1076"/>
      <c r="H848" s="1074"/>
      <c r="I848" s="1074"/>
      <c r="J848" s="1072"/>
      <c r="K848" s="1075"/>
      <c r="L848" s="1074"/>
      <c r="M848" s="1074"/>
      <c r="N848" s="1074"/>
      <c r="O848" s="1076"/>
      <c r="P848" s="1074"/>
      <c r="Q848" s="1074"/>
      <c r="R848" s="1072"/>
      <c r="S848" s="1073"/>
      <c r="T848" s="1074"/>
      <c r="U848" s="1074"/>
      <c r="V848" s="1074"/>
      <c r="W848" s="1074"/>
      <c r="X848" s="1074"/>
      <c r="Y848" s="1072"/>
      <c r="Z848" s="1073"/>
      <c r="AA848" s="1074"/>
      <c r="AB848" s="1074"/>
      <c r="AC848" s="1074"/>
      <c r="AD848" s="1074"/>
      <c r="AE848" s="1074"/>
      <c r="AF848" s="1072"/>
      <c r="AG848" s="1073"/>
      <c r="AH848" s="1074"/>
      <c r="AI848" s="1074"/>
      <c r="AJ848" s="1074"/>
      <c r="AK848" s="1074"/>
    </row>
    <row r="849">
      <c r="A849" s="1072"/>
      <c r="B849" s="1072"/>
      <c r="C849" s="1075"/>
      <c r="D849" s="1074"/>
      <c r="E849" s="1074"/>
      <c r="F849" s="1074"/>
      <c r="G849" s="1076"/>
      <c r="H849" s="1074"/>
      <c r="I849" s="1074"/>
      <c r="J849" s="1072"/>
      <c r="K849" s="1075"/>
      <c r="L849" s="1074"/>
      <c r="M849" s="1074"/>
      <c r="N849" s="1074"/>
      <c r="O849" s="1076"/>
      <c r="P849" s="1074"/>
      <c r="Q849" s="1074"/>
      <c r="R849" s="1072"/>
      <c r="S849" s="1073"/>
      <c r="T849" s="1074"/>
      <c r="U849" s="1074"/>
      <c r="V849" s="1074"/>
      <c r="W849" s="1074"/>
      <c r="X849" s="1074"/>
      <c r="Y849" s="1072"/>
      <c r="Z849" s="1073"/>
      <c r="AA849" s="1074"/>
      <c r="AB849" s="1074"/>
      <c r="AC849" s="1074"/>
      <c r="AD849" s="1074"/>
      <c r="AE849" s="1074"/>
      <c r="AF849" s="1072"/>
      <c r="AG849" s="1073"/>
      <c r="AH849" s="1074"/>
      <c r="AI849" s="1074"/>
      <c r="AJ849" s="1074"/>
      <c r="AK849" s="1074"/>
    </row>
    <row r="850">
      <c r="A850" s="1072"/>
      <c r="B850" s="1072"/>
      <c r="C850" s="1075"/>
      <c r="D850" s="1074"/>
      <c r="E850" s="1074"/>
      <c r="F850" s="1074"/>
      <c r="G850" s="1076"/>
      <c r="H850" s="1074"/>
      <c r="I850" s="1074"/>
      <c r="J850" s="1072"/>
      <c r="K850" s="1075"/>
      <c r="L850" s="1074"/>
      <c r="M850" s="1074"/>
      <c r="N850" s="1074"/>
      <c r="O850" s="1076"/>
      <c r="P850" s="1074"/>
      <c r="Q850" s="1074"/>
      <c r="R850" s="1072"/>
      <c r="S850" s="1073"/>
      <c r="T850" s="1074"/>
      <c r="U850" s="1074"/>
      <c r="V850" s="1074"/>
      <c r="W850" s="1074"/>
      <c r="X850" s="1074"/>
      <c r="Y850" s="1072"/>
      <c r="Z850" s="1073"/>
      <c r="AA850" s="1074"/>
      <c r="AB850" s="1074"/>
      <c r="AC850" s="1074"/>
      <c r="AD850" s="1074"/>
      <c r="AE850" s="1074"/>
      <c r="AF850" s="1072"/>
      <c r="AG850" s="1073"/>
      <c r="AH850" s="1074"/>
      <c r="AI850" s="1074"/>
      <c r="AJ850" s="1074"/>
      <c r="AK850" s="1074"/>
    </row>
    <row r="851">
      <c r="A851" s="1072"/>
      <c r="B851" s="1072"/>
      <c r="C851" s="1075"/>
      <c r="D851" s="1074"/>
      <c r="E851" s="1074"/>
      <c r="F851" s="1074"/>
      <c r="G851" s="1076"/>
      <c r="H851" s="1074"/>
      <c r="I851" s="1074"/>
      <c r="J851" s="1072"/>
      <c r="K851" s="1075"/>
      <c r="L851" s="1074"/>
      <c r="M851" s="1074"/>
      <c r="N851" s="1074"/>
      <c r="O851" s="1076"/>
      <c r="P851" s="1074"/>
      <c r="Q851" s="1074"/>
      <c r="R851" s="1072"/>
      <c r="S851" s="1073"/>
      <c r="T851" s="1074"/>
      <c r="U851" s="1074"/>
      <c r="V851" s="1074"/>
      <c r="W851" s="1074"/>
      <c r="X851" s="1074"/>
      <c r="Y851" s="1072"/>
      <c r="Z851" s="1073"/>
      <c r="AA851" s="1074"/>
      <c r="AB851" s="1074"/>
      <c r="AC851" s="1074"/>
      <c r="AD851" s="1074"/>
      <c r="AE851" s="1074"/>
      <c r="AF851" s="1072"/>
      <c r="AG851" s="1073"/>
      <c r="AH851" s="1074"/>
      <c r="AI851" s="1074"/>
      <c r="AJ851" s="1074"/>
      <c r="AK851" s="1074"/>
    </row>
    <row r="852">
      <c r="A852" s="1072"/>
      <c r="B852" s="1072"/>
      <c r="C852" s="1075"/>
      <c r="D852" s="1074"/>
      <c r="E852" s="1074"/>
      <c r="F852" s="1074"/>
      <c r="G852" s="1076"/>
      <c r="H852" s="1074"/>
      <c r="I852" s="1074"/>
      <c r="J852" s="1072"/>
      <c r="K852" s="1075"/>
      <c r="L852" s="1074"/>
      <c r="M852" s="1074"/>
      <c r="N852" s="1074"/>
      <c r="O852" s="1076"/>
      <c r="P852" s="1074"/>
      <c r="Q852" s="1074"/>
      <c r="R852" s="1072"/>
      <c r="S852" s="1073"/>
      <c r="T852" s="1074"/>
      <c r="U852" s="1074"/>
      <c r="V852" s="1074"/>
      <c r="W852" s="1074"/>
      <c r="X852" s="1074"/>
      <c r="Y852" s="1072"/>
      <c r="Z852" s="1073"/>
      <c r="AA852" s="1074"/>
      <c r="AB852" s="1074"/>
      <c r="AC852" s="1074"/>
      <c r="AD852" s="1074"/>
      <c r="AE852" s="1074"/>
      <c r="AF852" s="1072"/>
      <c r="AG852" s="1073"/>
      <c r="AH852" s="1074"/>
      <c r="AI852" s="1074"/>
      <c r="AJ852" s="1074"/>
      <c r="AK852" s="1074"/>
    </row>
    <row r="853">
      <c r="A853" s="1072"/>
      <c r="B853" s="1072"/>
      <c r="C853" s="1075"/>
      <c r="D853" s="1074"/>
      <c r="E853" s="1074"/>
      <c r="F853" s="1074"/>
      <c r="G853" s="1076"/>
      <c r="H853" s="1074"/>
      <c r="I853" s="1074"/>
      <c r="J853" s="1072"/>
      <c r="K853" s="1075"/>
      <c r="L853" s="1074"/>
      <c r="M853" s="1074"/>
      <c r="N853" s="1074"/>
      <c r="O853" s="1076"/>
      <c r="P853" s="1074"/>
      <c r="Q853" s="1074"/>
      <c r="R853" s="1072"/>
      <c r="S853" s="1073"/>
      <c r="T853" s="1074"/>
      <c r="U853" s="1074"/>
      <c r="V853" s="1074"/>
      <c r="W853" s="1074"/>
      <c r="X853" s="1074"/>
      <c r="Y853" s="1072"/>
      <c r="Z853" s="1073"/>
      <c r="AA853" s="1074"/>
      <c r="AB853" s="1074"/>
      <c r="AC853" s="1074"/>
      <c r="AD853" s="1074"/>
      <c r="AE853" s="1074"/>
      <c r="AF853" s="1072"/>
      <c r="AG853" s="1073"/>
      <c r="AH853" s="1074"/>
      <c r="AI853" s="1074"/>
      <c r="AJ853" s="1074"/>
      <c r="AK853" s="1074"/>
    </row>
    <row r="854">
      <c r="A854" s="1072"/>
      <c r="B854" s="1072"/>
      <c r="C854" s="1075"/>
      <c r="D854" s="1074"/>
      <c r="E854" s="1074"/>
      <c r="F854" s="1074"/>
      <c r="G854" s="1076"/>
      <c r="H854" s="1074"/>
      <c r="I854" s="1074"/>
      <c r="J854" s="1072"/>
      <c r="K854" s="1075"/>
      <c r="L854" s="1074"/>
      <c r="M854" s="1074"/>
      <c r="N854" s="1074"/>
      <c r="O854" s="1076"/>
      <c r="P854" s="1074"/>
      <c r="Q854" s="1074"/>
      <c r="R854" s="1072"/>
      <c r="S854" s="1073"/>
      <c r="T854" s="1074"/>
      <c r="U854" s="1074"/>
      <c r="V854" s="1074"/>
      <c r="W854" s="1074"/>
      <c r="X854" s="1074"/>
      <c r="Y854" s="1072"/>
      <c r="Z854" s="1073"/>
      <c r="AA854" s="1074"/>
      <c r="AB854" s="1074"/>
      <c r="AC854" s="1074"/>
      <c r="AD854" s="1074"/>
      <c r="AE854" s="1074"/>
      <c r="AF854" s="1072"/>
      <c r="AG854" s="1073"/>
      <c r="AH854" s="1074"/>
      <c r="AI854" s="1074"/>
      <c r="AJ854" s="1074"/>
      <c r="AK854" s="1074"/>
    </row>
    <row r="855">
      <c r="A855" s="1072"/>
      <c r="B855" s="1072"/>
      <c r="C855" s="1075"/>
      <c r="D855" s="1074"/>
      <c r="E855" s="1074"/>
      <c r="F855" s="1074"/>
      <c r="G855" s="1076"/>
      <c r="H855" s="1074"/>
      <c r="I855" s="1074"/>
      <c r="J855" s="1072"/>
      <c r="K855" s="1075"/>
      <c r="L855" s="1074"/>
      <c r="M855" s="1074"/>
      <c r="N855" s="1074"/>
      <c r="O855" s="1076"/>
      <c r="P855" s="1074"/>
      <c r="Q855" s="1074"/>
      <c r="R855" s="1072"/>
      <c r="S855" s="1073"/>
      <c r="T855" s="1074"/>
      <c r="U855" s="1074"/>
      <c r="V855" s="1074"/>
      <c r="W855" s="1074"/>
      <c r="X855" s="1074"/>
      <c r="Y855" s="1072"/>
      <c r="Z855" s="1073"/>
      <c r="AA855" s="1074"/>
      <c r="AB855" s="1074"/>
      <c r="AC855" s="1074"/>
      <c r="AD855" s="1074"/>
      <c r="AE855" s="1074"/>
      <c r="AF855" s="1072"/>
      <c r="AG855" s="1073"/>
      <c r="AH855" s="1074"/>
      <c r="AI855" s="1074"/>
      <c r="AJ855" s="1074"/>
      <c r="AK855" s="1074"/>
    </row>
    <row r="856">
      <c r="A856" s="1072"/>
      <c r="B856" s="1072"/>
      <c r="C856" s="1075"/>
      <c r="D856" s="1074"/>
      <c r="E856" s="1074"/>
      <c r="F856" s="1074"/>
      <c r="G856" s="1076"/>
      <c r="H856" s="1074"/>
      <c r="I856" s="1074"/>
      <c r="J856" s="1072"/>
      <c r="K856" s="1075"/>
      <c r="L856" s="1074"/>
      <c r="M856" s="1074"/>
      <c r="N856" s="1074"/>
      <c r="O856" s="1076"/>
      <c r="P856" s="1074"/>
      <c r="Q856" s="1074"/>
      <c r="R856" s="1072"/>
      <c r="S856" s="1073"/>
      <c r="T856" s="1074"/>
      <c r="U856" s="1074"/>
      <c r="V856" s="1074"/>
      <c r="W856" s="1074"/>
      <c r="X856" s="1074"/>
      <c r="Y856" s="1072"/>
      <c r="Z856" s="1073"/>
      <c r="AA856" s="1074"/>
      <c r="AB856" s="1074"/>
      <c r="AC856" s="1074"/>
      <c r="AD856" s="1074"/>
      <c r="AE856" s="1074"/>
      <c r="AF856" s="1072"/>
      <c r="AG856" s="1073"/>
      <c r="AH856" s="1074"/>
      <c r="AI856" s="1074"/>
      <c r="AJ856" s="1074"/>
      <c r="AK856" s="1074"/>
    </row>
    <row r="857">
      <c r="A857" s="1072"/>
      <c r="B857" s="1072"/>
      <c r="C857" s="1075"/>
      <c r="D857" s="1074"/>
      <c r="E857" s="1074"/>
      <c r="F857" s="1074"/>
      <c r="G857" s="1076"/>
      <c r="H857" s="1074"/>
      <c r="I857" s="1074"/>
      <c r="J857" s="1072"/>
      <c r="K857" s="1075"/>
      <c r="L857" s="1074"/>
      <c r="M857" s="1074"/>
      <c r="N857" s="1074"/>
      <c r="O857" s="1076"/>
      <c r="P857" s="1074"/>
      <c r="Q857" s="1074"/>
      <c r="R857" s="1072"/>
      <c r="S857" s="1073"/>
      <c r="T857" s="1074"/>
      <c r="U857" s="1074"/>
      <c r="V857" s="1074"/>
      <c r="W857" s="1074"/>
      <c r="X857" s="1074"/>
      <c r="Y857" s="1072"/>
      <c r="Z857" s="1073"/>
      <c r="AA857" s="1074"/>
      <c r="AB857" s="1074"/>
      <c r="AC857" s="1074"/>
      <c r="AD857" s="1074"/>
      <c r="AE857" s="1074"/>
      <c r="AF857" s="1072"/>
      <c r="AG857" s="1073"/>
      <c r="AH857" s="1074"/>
      <c r="AI857" s="1074"/>
      <c r="AJ857" s="1074"/>
      <c r="AK857" s="1074"/>
    </row>
    <row r="858">
      <c r="A858" s="1072"/>
      <c r="B858" s="1072"/>
      <c r="C858" s="1075"/>
      <c r="D858" s="1074"/>
      <c r="E858" s="1074"/>
      <c r="F858" s="1074"/>
      <c r="G858" s="1076"/>
      <c r="H858" s="1074"/>
      <c r="I858" s="1074"/>
      <c r="J858" s="1072"/>
      <c r="K858" s="1075"/>
      <c r="L858" s="1074"/>
      <c r="M858" s="1074"/>
      <c r="N858" s="1074"/>
      <c r="O858" s="1076"/>
      <c r="P858" s="1074"/>
      <c r="Q858" s="1074"/>
      <c r="R858" s="1072"/>
      <c r="S858" s="1073"/>
      <c r="T858" s="1074"/>
      <c r="U858" s="1074"/>
      <c r="V858" s="1074"/>
      <c r="W858" s="1074"/>
      <c r="X858" s="1074"/>
      <c r="Y858" s="1072"/>
      <c r="Z858" s="1073"/>
      <c r="AA858" s="1074"/>
      <c r="AB858" s="1074"/>
      <c r="AC858" s="1074"/>
      <c r="AD858" s="1074"/>
      <c r="AE858" s="1074"/>
      <c r="AF858" s="1072"/>
      <c r="AG858" s="1073"/>
      <c r="AH858" s="1074"/>
      <c r="AI858" s="1074"/>
      <c r="AJ858" s="1074"/>
      <c r="AK858" s="1074"/>
    </row>
    <row r="859">
      <c r="A859" s="1072"/>
      <c r="B859" s="1072"/>
      <c r="C859" s="1075"/>
      <c r="D859" s="1074"/>
      <c r="E859" s="1074"/>
      <c r="F859" s="1074"/>
      <c r="G859" s="1076"/>
      <c r="H859" s="1074"/>
      <c r="I859" s="1074"/>
      <c r="J859" s="1072"/>
      <c r="K859" s="1075"/>
      <c r="L859" s="1074"/>
      <c r="M859" s="1074"/>
      <c r="N859" s="1074"/>
      <c r="O859" s="1076"/>
      <c r="P859" s="1074"/>
      <c r="Q859" s="1074"/>
      <c r="R859" s="1072"/>
      <c r="S859" s="1073"/>
      <c r="T859" s="1074"/>
      <c r="U859" s="1074"/>
      <c r="V859" s="1074"/>
      <c r="W859" s="1074"/>
      <c r="X859" s="1074"/>
      <c r="Y859" s="1072"/>
      <c r="Z859" s="1073"/>
      <c r="AA859" s="1074"/>
      <c r="AB859" s="1074"/>
      <c r="AC859" s="1074"/>
      <c r="AD859" s="1074"/>
      <c r="AE859" s="1074"/>
      <c r="AF859" s="1072"/>
      <c r="AG859" s="1073"/>
      <c r="AH859" s="1074"/>
      <c r="AI859" s="1074"/>
      <c r="AJ859" s="1074"/>
      <c r="AK859" s="1074"/>
    </row>
    <row r="860">
      <c r="A860" s="1072"/>
      <c r="B860" s="1072"/>
      <c r="C860" s="1075"/>
      <c r="D860" s="1074"/>
      <c r="E860" s="1074"/>
      <c r="F860" s="1074"/>
      <c r="G860" s="1076"/>
      <c r="H860" s="1074"/>
      <c r="I860" s="1074"/>
      <c r="J860" s="1072"/>
      <c r="K860" s="1075"/>
      <c r="L860" s="1074"/>
      <c r="M860" s="1074"/>
      <c r="N860" s="1074"/>
      <c r="O860" s="1076"/>
      <c r="P860" s="1074"/>
      <c r="Q860" s="1074"/>
      <c r="R860" s="1072"/>
      <c r="S860" s="1073"/>
      <c r="T860" s="1074"/>
      <c r="U860" s="1074"/>
      <c r="V860" s="1074"/>
      <c r="W860" s="1074"/>
      <c r="X860" s="1074"/>
      <c r="Y860" s="1072"/>
      <c r="Z860" s="1073"/>
      <c r="AA860" s="1074"/>
      <c r="AB860" s="1074"/>
      <c r="AC860" s="1074"/>
      <c r="AD860" s="1074"/>
      <c r="AE860" s="1074"/>
      <c r="AF860" s="1072"/>
      <c r="AG860" s="1073"/>
      <c r="AH860" s="1074"/>
      <c r="AI860" s="1074"/>
      <c r="AJ860" s="1074"/>
      <c r="AK860" s="1074"/>
    </row>
    <row r="861">
      <c r="A861" s="1072"/>
      <c r="B861" s="1072"/>
      <c r="C861" s="1075"/>
      <c r="D861" s="1074"/>
      <c r="E861" s="1074"/>
      <c r="F861" s="1074"/>
      <c r="G861" s="1076"/>
      <c r="H861" s="1074"/>
      <c r="I861" s="1074"/>
      <c r="J861" s="1072"/>
      <c r="K861" s="1075"/>
      <c r="L861" s="1074"/>
      <c r="M861" s="1074"/>
      <c r="N861" s="1074"/>
      <c r="O861" s="1076"/>
      <c r="P861" s="1074"/>
      <c r="Q861" s="1074"/>
      <c r="R861" s="1072"/>
      <c r="S861" s="1073"/>
      <c r="T861" s="1074"/>
      <c r="U861" s="1074"/>
      <c r="V861" s="1074"/>
      <c r="W861" s="1074"/>
      <c r="X861" s="1074"/>
      <c r="Y861" s="1072"/>
      <c r="Z861" s="1073"/>
      <c r="AA861" s="1074"/>
      <c r="AB861" s="1074"/>
      <c r="AC861" s="1074"/>
      <c r="AD861" s="1074"/>
      <c r="AE861" s="1074"/>
      <c r="AF861" s="1072"/>
      <c r="AG861" s="1073"/>
      <c r="AH861" s="1074"/>
      <c r="AI861" s="1074"/>
      <c r="AJ861" s="1074"/>
      <c r="AK861" s="1074"/>
    </row>
    <row r="862">
      <c r="A862" s="1072"/>
      <c r="B862" s="1072"/>
      <c r="C862" s="1075"/>
      <c r="D862" s="1074"/>
      <c r="E862" s="1074"/>
      <c r="F862" s="1074"/>
      <c r="G862" s="1076"/>
      <c r="H862" s="1074"/>
      <c r="I862" s="1074"/>
      <c r="J862" s="1072"/>
      <c r="K862" s="1075"/>
      <c r="L862" s="1074"/>
      <c r="M862" s="1074"/>
      <c r="N862" s="1074"/>
      <c r="O862" s="1076"/>
      <c r="P862" s="1074"/>
      <c r="Q862" s="1074"/>
      <c r="R862" s="1072"/>
      <c r="S862" s="1073"/>
      <c r="T862" s="1074"/>
      <c r="U862" s="1074"/>
      <c r="V862" s="1074"/>
      <c r="W862" s="1074"/>
      <c r="X862" s="1074"/>
      <c r="Y862" s="1072"/>
      <c r="Z862" s="1073"/>
      <c r="AA862" s="1074"/>
      <c r="AB862" s="1074"/>
      <c r="AC862" s="1074"/>
      <c r="AD862" s="1074"/>
      <c r="AE862" s="1074"/>
      <c r="AF862" s="1072"/>
      <c r="AG862" s="1073"/>
      <c r="AH862" s="1074"/>
      <c r="AI862" s="1074"/>
      <c r="AJ862" s="1074"/>
      <c r="AK862" s="1074"/>
    </row>
    <row r="863">
      <c r="A863" s="1072"/>
      <c r="B863" s="1072"/>
      <c r="C863" s="1075"/>
      <c r="D863" s="1074"/>
      <c r="E863" s="1074"/>
      <c r="F863" s="1074"/>
      <c r="G863" s="1076"/>
      <c r="H863" s="1074"/>
      <c r="I863" s="1074"/>
      <c r="J863" s="1072"/>
      <c r="K863" s="1075"/>
      <c r="L863" s="1074"/>
      <c r="M863" s="1074"/>
      <c r="N863" s="1074"/>
      <c r="O863" s="1076"/>
      <c r="P863" s="1074"/>
      <c r="Q863" s="1074"/>
      <c r="R863" s="1072"/>
      <c r="S863" s="1073"/>
      <c r="T863" s="1074"/>
      <c r="U863" s="1074"/>
      <c r="V863" s="1074"/>
      <c r="W863" s="1074"/>
      <c r="X863" s="1074"/>
      <c r="Y863" s="1072"/>
      <c r="Z863" s="1073"/>
      <c r="AA863" s="1074"/>
      <c r="AB863" s="1074"/>
      <c r="AC863" s="1074"/>
      <c r="AD863" s="1074"/>
      <c r="AE863" s="1074"/>
      <c r="AF863" s="1072"/>
      <c r="AG863" s="1073"/>
      <c r="AH863" s="1074"/>
      <c r="AI863" s="1074"/>
      <c r="AJ863" s="1074"/>
      <c r="AK863" s="1074"/>
    </row>
    <row r="864">
      <c r="A864" s="1072"/>
      <c r="B864" s="1072"/>
      <c r="C864" s="1075"/>
      <c r="D864" s="1074"/>
      <c r="E864" s="1074"/>
      <c r="F864" s="1074"/>
      <c r="G864" s="1076"/>
      <c r="H864" s="1074"/>
      <c r="I864" s="1074"/>
      <c r="J864" s="1072"/>
      <c r="K864" s="1075"/>
      <c r="L864" s="1074"/>
      <c r="M864" s="1074"/>
      <c r="N864" s="1074"/>
      <c r="O864" s="1076"/>
      <c r="P864" s="1074"/>
      <c r="Q864" s="1074"/>
      <c r="R864" s="1072"/>
      <c r="S864" s="1073"/>
      <c r="T864" s="1074"/>
      <c r="U864" s="1074"/>
      <c r="V864" s="1074"/>
      <c r="W864" s="1074"/>
      <c r="X864" s="1074"/>
      <c r="Y864" s="1072"/>
      <c r="Z864" s="1073"/>
      <c r="AA864" s="1074"/>
      <c r="AB864" s="1074"/>
      <c r="AC864" s="1074"/>
      <c r="AD864" s="1074"/>
      <c r="AE864" s="1074"/>
      <c r="AF864" s="1072"/>
      <c r="AG864" s="1073"/>
      <c r="AH864" s="1074"/>
      <c r="AI864" s="1074"/>
      <c r="AJ864" s="1074"/>
      <c r="AK864" s="1074"/>
    </row>
    <row r="865">
      <c r="A865" s="1072"/>
      <c r="B865" s="1072"/>
      <c r="C865" s="1075"/>
      <c r="D865" s="1074"/>
      <c r="E865" s="1074"/>
      <c r="F865" s="1074"/>
      <c r="G865" s="1076"/>
      <c r="H865" s="1074"/>
      <c r="I865" s="1074"/>
      <c r="J865" s="1072"/>
      <c r="K865" s="1075"/>
      <c r="L865" s="1074"/>
      <c r="M865" s="1074"/>
      <c r="N865" s="1074"/>
      <c r="O865" s="1076"/>
      <c r="P865" s="1074"/>
      <c r="Q865" s="1074"/>
      <c r="R865" s="1072"/>
      <c r="S865" s="1073"/>
      <c r="T865" s="1074"/>
      <c r="U865" s="1074"/>
      <c r="V865" s="1074"/>
      <c r="W865" s="1074"/>
      <c r="X865" s="1074"/>
      <c r="Y865" s="1072"/>
      <c r="Z865" s="1073"/>
      <c r="AA865" s="1074"/>
      <c r="AB865" s="1074"/>
      <c r="AC865" s="1074"/>
      <c r="AD865" s="1074"/>
      <c r="AE865" s="1074"/>
      <c r="AF865" s="1072"/>
      <c r="AG865" s="1073"/>
      <c r="AH865" s="1074"/>
      <c r="AI865" s="1074"/>
      <c r="AJ865" s="1074"/>
      <c r="AK865" s="1074"/>
    </row>
    <row r="866">
      <c r="A866" s="1072"/>
      <c r="B866" s="1072"/>
      <c r="C866" s="1075"/>
      <c r="D866" s="1074"/>
      <c r="E866" s="1074"/>
      <c r="F866" s="1074"/>
      <c r="G866" s="1076"/>
      <c r="H866" s="1074"/>
      <c r="I866" s="1074"/>
      <c r="J866" s="1072"/>
      <c r="K866" s="1075"/>
      <c r="L866" s="1074"/>
      <c r="M866" s="1074"/>
      <c r="N866" s="1074"/>
      <c r="O866" s="1076"/>
      <c r="P866" s="1074"/>
      <c r="Q866" s="1074"/>
      <c r="R866" s="1072"/>
      <c r="S866" s="1073"/>
      <c r="T866" s="1074"/>
      <c r="U866" s="1074"/>
      <c r="V866" s="1074"/>
      <c r="W866" s="1074"/>
      <c r="X866" s="1074"/>
      <c r="Y866" s="1072"/>
      <c r="Z866" s="1073"/>
      <c r="AA866" s="1074"/>
      <c r="AB866" s="1074"/>
      <c r="AC866" s="1074"/>
      <c r="AD866" s="1074"/>
      <c r="AE866" s="1074"/>
      <c r="AF866" s="1072"/>
      <c r="AG866" s="1073"/>
      <c r="AH866" s="1074"/>
      <c r="AI866" s="1074"/>
      <c r="AJ866" s="1074"/>
      <c r="AK866" s="1074"/>
    </row>
    <row r="867">
      <c r="A867" s="1072"/>
      <c r="B867" s="1072"/>
      <c r="C867" s="1075"/>
      <c r="D867" s="1074"/>
      <c r="E867" s="1074"/>
      <c r="F867" s="1074"/>
      <c r="G867" s="1076"/>
      <c r="H867" s="1074"/>
      <c r="I867" s="1074"/>
      <c r="J867" s="1072"/>
      <c r="K867" s="1075"/>
      <c r="L867" s="1074"/>
      <c r="M867" s="1074"/>
      <c r="N867" s="1074"/>
      <c r="O867" s="1076"/>
      <c r="P867" s="1074"/>
      <c r="Q867" s="1074"/>
      <c r="R867" s="1072"/>
      <c r="S867" s="1073"/>
      <c r="T867" s="1074"/>
      <c r="U867" s="1074"/>
      <c r="V867" s="1074"/>
      <c r="W867" s="1074"/>
      <c r="X867" s="1074"/>
      <c r="Y867" s="1072"/>
      <c r="Z867" s="1073"/>
      <c r="AA867" s="1074"/>
      <c r="AB867" s="1074"/>
      <c r="AC867" s="1074"/>
      <c r="AD867" s="1074"/>
      <c r="AE867" s="1074"/>
      <c r="AF867" s="1072"/>
      <c r="AG867" s="1073"/>
      <c r="AH867" s="1074"/>
      <c r="AI867" s="1074"/>
      <c r="AJ867" s="1074"/>
      <c r="AK867" s="1074"/>
    </row>
    <row r="868">
      <c r="A868" s="1072"/>
      <c r="B868" s="1072"/>
      <c r="C868" s="1075"/>
      <c r="D868" s="1074"/>
      <c r="E868" s="1074"/>
      <c r="F868" s="1074"/>
      <c r="G868" s="1076"/>
      <c r="H868" s="1074"/>
      <c r="I868" s="1074"/>
      <c r="J868" s="1072"/>
      <c r="K868" s="1075"/>
      <c r="L868" s="1074"/>
      <c r="M868" s="1074"/>
      <c r="N868" s="1074"/>
      <c r="O868" s="1076"/>
      <c r="P868" s="1074"/>
      <c r="Q868" s="1074"/>
      <c r="R868" s="1072"/>
      <c r="S868" s="1073"/>
      <c r="T868" s="1074"/>
      <c r="U868" s="1074"/>
      <c r="V868" s="1074"/>
      <c r="W868" s="1074"/>
      <c r="X868" s="1074"/>
      <c r="Y868" s="1072"/>
      <c r="Z868" s="1073"/>
      <c r="AA868" s="1074"/>
      <c r="AB868" s="1074"/>
      <c r="AC868" s="1074"/>
      <c r="AD868" s="1074"/>
      <c r="AE868" s="1074"/>
      <c r="AF868" s="1072"/>
      <c r="AG868" s="1073"/>
      <c r="AH868" s="1074"/>
      <c r="AI868" s="1074"/>
      <c r="AJ868" s="1074"/>
      <c r="AK868" s="1074"/>
    </row>
    <row r="869">
      <c r="A869" s="1072"/>
      <c r="B869" s="1072"/>
      <c r="C869" s="1075"/>
      <c r="D869" s="1074"/>
      <c r="E869" s="1074"/>
      <c r="F869" s="1074"/>
      <c r="G869" s="1076"/>
      <c r="H869" s="1074"/>
      <c r="I869" s="1074"/>
      <c r="J869" s="1072"/>
      <c r="K869" s="1075"/>
      <c r="L869" s="1074"/>
      <c r="M869" s="1074"/>
      <c r="N869" s="1074"/>
      <c r="O869" s="1076"/>
      <c r="P869" s="1074"/>
      <c r="Q869" s="1074"/>
      <c r="R869" s="1072"/>
      <c r="S869" s="1073"/>
      <c r="T869" s="1074"/>
      <c r="U869" s="1074"/>
      <c r="V869" s="1074"/>
      <c r="W869" s="1074"/>
      <c r="X869" s="1074"/>
      <c r="Y869" s="1072"/>
      <c r="Z869" s="1073"/>
      <c r="AA869" s="1074"/>
      <c r="AB869" s="1074"/>
      <c r="AC869" s="1074"/>
      <c r="AD869" s="1074"/>
      <c r="AE869" s="1074"/>
      <c r="AF869" s="1072"/>
      <c r="AG869" s="1073"/>
      <c r="AH869" s="1074"/>
      <c r="AI869" s="1074"/>
      <c r="AJ869" s="1074"/>
      <c r="AK869" s="1074"/>
    </row>
    <row r="870">
      <c r="A870" s="1072"/>
      <c r="B870" s="1072"/>
      <c r="C870" s="1075"/>
      <c r="D870" s="1074"/>
      <c r="E870" s="1074"/>
      <c r="F870" s="1074"/>
      <c r="G870" s="1076"/>
      <c r="H870" s="1074"/>
      <c r="I870" s="1074"/>
      <c r="J870" s="1072"/>
      <c r="K870" s="1075"/>
      <c r="L870" s="1074"/>
      <c r="M870" s="1074"/>
      <c r="N870" s="1074"/>
      <c r="O870" s="1076"/>
      <c r="P870" s="1074"/>
      <c r="Q870" s="1074"/>
      <c r="R870" s="1072"/>
      <c r="S870" s="1073"/>
      <c r="T870" s="1074"/>
      <c r="U870" s="1074"/>
      <c r="V870" s="1074"/>
      <c r="W870" s="1074"/>
      <c r="X870" s="1074"/>
      <c r="Y870" s="1072"/>
      <c r="Z870" s="1073"/>
      <c r="AA870" s="1074"/>
      <c r="AB870" s="1074"/>
      <c r="AC870" s="1074"/>
      <c r="AD870" s="1074"/>
      <c r="AE870" s="1074"/>
      <c r="AF870" s="1072"/>
      <c r="AG870" s="1073"/>
      <c r="AH870" s="1074"/>
      <c r="AI870" s="1074"/>
      <c r="AJ870" s="1074"/>
      <c r="AK870" s="1074"/>
    </row>
    <row r="871">
      <c r="A871" s="1072"/>
      <c r="B871" s="1072"/>
      <c r="C871" s="1075"/>
      <c r="D871" s="1074"/>
      <c r="E871" s="1074"/>
      <c r="F871" s="1074"/>
      <c r="G871" s="1076"/>
      <c r="H871" s="1074"/>
      <c r="I871" s="1074"/>
      <c r="J871" s="1072"/>
      <c r="K871" s="1075"/>
      <c r="L871" s="1074"/>
      <c r="M871" s="1074"/>
      <c r="N871" s="1074"/>
      <c r="O871" s="1076"/>
      <c r="P871" s="1074"/>
      <c r="Q871" s="1074"/>
      <c r="R871" s="1072"/>
      <c r="S871" s="1073"/>
      <c r="T871" s="1074"/>
      <c r="U871" s="1074"/>
      <c r="V871" s="1074"/>
      <c r="W871" s="1074"/>
      <c r="X871" s="1074"/>
      <c r="Y871" s="1072"/>
      <c r="Z871" s="1073"/>
      <c r="AA871" s="1074"/>
      <c r="AB871" s="1074"/>
      <c r="AC871" s="1074"/>
      <c r="AD871" s="1074"/>
      <c r="AE871" s="1074"/>
      <c r="AF871" s="1072"/>
      <c r="AG871" s="1073"/>
      <c r="AH871" s="1074"/>
      <c r="AI871" s="1074"/>
      <c r="AJ871" s="1074"/>
      <c r="AK871" s="1074"/>
    </row>
    <row r="872">
      <c r="A872" s="1072"/>
      <c r="B872" s="1072"/>
      <c r="C872" s="1075"/>
      <c r="D872" s="1074"/>
      <c r="E872" s="1074"/>
      <c r="F872" s="1074"/>
      <c r="G872" s="1076"/>
      <c r="H872" s="1074"/>
      <c r="I872" s="1074"/>
      <c r="J872" s="1072"/>
      <c r="K872" s="1075"/>
      <c r="L872" s="1074"/>
      <c r="M872" s="1074"/>
      <c r="N872" s="1074"/>
      <c r="O872" s="1076"/>
      <c r="P872" s="1074"/>
      <c r="Q872" s="1074"/>
      <c r="R872" s="1072"/>
      <c r="S872" s="1073"/>
      <c r="T872" s="1074"/>
      <c r="U872" s="1074"/>
      <c r="V872" s="1074"/>
      <c r="W872" s="1074"/>
      <c r="X872" s="1074"/>
      <c r="Y872" s="1072"/>
      <c r="Z872" s="1073"/>
      <c r="AA872" s="1074"/>
      <c r="AB872" s="1074"/>
      <c r="AC872" s="1074"/>
      <c r="AD872" s="1074"/>
      <c r="AE872" s="1074"/>
      <c r="AF872" s="1072"/>
      <c r="AG872" s="1073"/>
      <c r="AH872" s="1074"/>
      <c r="AI872" s="1074"/>
      <c r="AJ872" s="1074"/>
      <c r="AK872" s="1074"/>
    </row>
    <row r="873">
      <c r="A873" s="1072"/>
      <c r="B873" s="1072"/>
      <c r="C873" s="1075"/>
      <c r="D873" s="1074"/>
      <c r="E873" s="1074"/>
      <c r="F873" s="1074"/>
      <c r="G873" s="1076"/>
      <c r="H873" s="1074"/>
      <c r="I873" s="1074"/>
      <c r="J873" s="1072"/>
      <c r="K873" s="1075"/>
      <c r="L873" s="1074"/>
      <c r="M873" s="1074"/>
      <c r="N873" s="1074"/>
      <c r="O873" s="1076"/>
      <c r="P873" s="1074"/>
      <c r="Q873" s="1074"/>
      <c r="R873" s="1072"/>
      <c r="S873" s="1073"/>
      <c r="T873" s="1074"/>
      <c r="U873" s="1074"/>
      <c r="V873" s="1074"/>
      <c r="W873" s="1074"/>
      <c r="X873" s="1074"/>
      <c r="Y873" s="1072"/>
      <c r="Z873" s="1073"/>
      <c r="AA873" s="1074"/>
      <c r="AB873" s="1074"/>
      <c r="AC873" s="1074"/>
      <c r="AD873" s="1074"/>
      <c r="AE873" s="1074"/>
      <c r="AF873" s="1072"/>
      <c r="AG873" s="1073"/>
      <c r="AH873" s="1074"/>
      <c r="AI873" s="1074"/>
      <c r="AJ873" s="1074"/>
      <c r="AK873" s="1074"/>
    </row>
    <row r="874">
      <c r="A874" s="1072"/>
      <c r="B874" s="1072"/>
      <c r="C874" s="1075"/>
      <c r="D874" s="1074"/>
      <c r="E874" s="1074"/>
      <c r="F874" s="1074"/>
      <c r="G874" s="1076"/>
      <c r="H874" s="1074"/>
      <c r="I874" s="1074"/>
      <c r="J874" s="1072"/>
      <c r="K874" s="1075"/>
      <c r="L874" s="1074"/>
      <c r="M874" s="1074"/>
      <c r="N874" s="1074"/>
      <c r="O874" s="1076"/>
      <c r="P874" s="1074"/>
      <c r="Q874" s="1074"/>
      <c r="R874" s="1072"/>
      <c r="S874" s="1073"/>
      <c r="T874" s="1074"/>
      <c r="U874" s="1074"/>
      <c r="V874" s="1074"/>
      <c r="W874" s="1074"/>
      <c r="X874" s="1074"/>
      <c r="Y874" s="1072"/>
      <c r="Z874" s="1073"/>
      <c r="AA874" s="1074"/>
      <c r="AB874" s="1074"/>
      <c r="AC874" s="1074"/>
      <c r="AD874" s="1074"/>
      <c r="AE874" s="1074"/>
      <c r="AF874" s="1072"/>
      <c r="AG874" s="1073"/>
      <c r="AH874" s="1074"/>
      <c r="AI874" s="1074"/>
      <c r="AJ874" s="1074"/>
      <c r="AK874" s="1074"/>
    </row>
    <row r="875">
      <c r="A875" s="1072"/>
      <c r="B875" s="1072"/>
      <c r="C875" s="1075"/>
      <c r="D875" s="1074"/>
      <c r="E875" s="1074"/>
      <c r="F875" s="1074"/>
      <c r="G875" s="1076"/>
      <c r="H875" s="1074"/>
      <c r="I875" s="1074"/>
      <c r="J875" s="1072"/>
      <c r="K875" s="1075"/>
      <c r="L875" s="1074"/>
      <c r="M875" s="1074"/>
      <c r="N875" s="1074"/>
      <c r="O875" s="1076"/>
      <c r="P875" s="1074"/>
      <c r="Q875" s="1074"/>
      <c r="R875" s="1072"/>
      <c r="S875" s="1073"/>
      <c r="T875" s="1074"/>
      <c r="U875" s="1074"/>
      <c r="V875" s="1074"/>
      <c r="W875" s="1074"/>
      <c r="X875" s="1074"/>
      <c r="Y875" s="1072"/>
      <c r="Z875" s="1073"/>
      <c r="AA875" s="1074"/>
      <c r="AB875" s="1074"/>
      <c r="AC875" s="1074"/>
      <c r="AD875" s="1074"/>
      <c r="AE875" s="1074"/>
      <c r="AF875" s="1072"/>
      <c r="AG875" s="1073"/>
      <c r="AH875" s="1074"/>
      <c r="AI875" s="1074"/>
      <c r="AJ875" s="1074"/>
      <c r="AK875" s="1074"/>
    </row>
    <row r="876">
      <c r="A876" s="1072"/>
      <c r="B876" s="1072"/>
      <c r="C876" s="1075"/>
      <c r="D876" s="1074"/>
      <c r="E876" s="1074"/>
      <c r="F876" s="1074"/>
      <c r="G876" s="1076"/>
      <c r="H876" s="1074"/>
      <c r="I876" s="1074"/>
      <c r="J876" s="1072"/>
      <c r="K876" s="1075"/>
      <c r="L876" s="1074"/>
      <c r="M876" s="1074"/>
      <c r="N876" s="1074"/>
      <c r="O876" s="1076"/>
      <c r="P876" s="1074"/>
      <c r="Q876" s="1074"/>
      <c r="R876" s="1072"/>
      <c r="S876" s="1073"/>
      <c r="T876" s="1074"/>
      <c r="U876" s="1074"/>
      <c r="V876" s="1074"/>
      <c r="W876" s="1074"/>
      <c r="X876" s="1074"/>
      <c r="Y876" s="1072"/>
      <c r="Z876" s="1073"/>
      <c r="AA876" s="1074"/>
      <c r="AB876" s="1074"/>
      <c r="AC876" s="1074"/>
      <c r="AD876" s="1074"/>
      <c r="AE876" s="1074"/>
      <c r="AF876" s="1072"/>
      <c r="AG876" s="1073"/>
      <c r="AH876" s="1074"/>
      <c r="AI876" s="1074"/>
      <c r="AJ876" s="1074"/>
      <c r="AK876" s="1074"/>
    </row>
    <row r="877">
      <c r="A877" s="1072"/>
      <c r="B877" s="1072"/>
      <c r="C877" s="1075"/>
      <c r="D877" s="1074"/>
      <c r="E877" s="1074"/>
      <c r="F877" s="1074"/>
      <c r="G877" s="1076"/>
      <c r="H877" s="1074"/>
      <c r="I877" s="1074"/>
      <c r="J877" s="1072"/>
      <c r="K877" s="1075"/>
      <c r="L877" s="1074"/>
      <c r="M877" s="1074"/>
      <c r="N877" s="1074"/>
      <c r="O877" s="1076"/>
      <c r="P877" s="1074"/>
      <c r="Q877" s="1074"/>
      <c r="R877" s="1072"/>
      <c r="S877" s="1073"/>
      <c r="T877" s="1074"/>
      <c r="U877" s="1074"/>
      <c r="V877" s="1074"/>
      <c r="W877" s="1074"/>
      <c r="X877" s="1074"/>
      <c r="Y877" s="1072"/>
      <c r="Z877" s="1073"/>
      <c r="AA877" s="1074"/>
      <c r="AB877" s="1074"/>
      <c r="AC877" s="1074"/>
      <c r="AD877" s="1074"/>
      <c r="AE877" s="1074"/>
      <c r="AF877" s="1072"/>
      <c r="AG877" s="1073"/>
      <c r="AH877" s="1074"/>
      <c r="AI877" s="1074"/>
      <c r="AJ877" s="1074"/>
      <c r="AK877" s="1074"/>
    </row>
    <row r="878">
      <c r="A878" s="1072"/>
      <c r="B878" s="1072"/>
      <c r="C878" s="1075"/>
      <c r="D878" s="1074"/>
      <c r="E878" s="1074"/>
      <c r="F878" s="1074"/>
      <c r="G878" s="1076"/>
      <c r="H878" s="1074"/>
      <c r="I878" s="1074"/>
      <c r="J878" s="1072"/>
      <c r="K878" s="1075"/>
      <c r="L878" s="1074"/>
      <c r="M878" s="1074"/>
      <c r="N878" s="1074"/>
      <c r="O878" s="1076"/>
      <c r="P878" s="1074"/>
      <c r="Q878" s="1074"/>
      <c r="R878" s="1072"/>
      <c r="S878" s="1073"/>
      <c r="T878" s="1074"/>
      <c r="U878" s="1074"/>
      <c r="V878" s="1074"/>
      <c r="W878" s="1074"/>
      <c r="X878" s="1074"/>
      <c r="Y878" s="1072"/>
      <c r="Z878" s="1073"/>
      <c r="AA878" s="1074"/>
      <c r="AB878" s="1074"/>
      <c r="AC878" s="1074"/>
      <c r="AD878" s="1074"/>
      <c r="AE878" s="1074"/>
      <c r="AF878" s="1072"/>
      <c r="AG878" s="1073"/>
      <c r="AH878" s="1074"/>
      <c r="AI878" s="1074"/>
      <c r="AJ878" s="1074"/>
      <c r="AK878" s="1074"/>
    </row>
    <row r="879">
      <c r="A879" s="1072"/>
      <c r="B879" s="1072"/>
      <c r="C879" s="1075"/>
      <c r="D879" s="1074"/>
      <c r="E879" s="1074"/>
      <c r="F879" s="1074"/>
      <c r="G879" s="1076"/>
      <c r="H879" s="1074"/>
      <c r="I879" s="1074"/>
      <c r="J879" s="1072"/>
      <c r="K879" s="1075"/>
      <c r="L879" s="1074"/>
      <c r="M879" s="1074"/>
      <c r="N879" s="1074"/>
      <c r="O879" s="1076"/>
      <c r="P879" s="1074"/>
      <c r="Q879" s="1074"/>
      <c r="R879" s="1072"/>
      <c r="S879" s="1073"/>
      <c r="T879" s="1074"/>
      <c r="U879" s="1074"/>
      <c r="V879" s="1074"/>
      <c r="W879" s="1074"/>
      <c r="X879" s="1074"/>
      <c r="Y879" s="1072"/>
      <c r="Z879" s="1073"/>
      <c r="AA879" s="1074"/>
      <c r="AB879" s="1074"/>
      <c r="AC879" s="1074"/>
      <c r="AD879" s="1074"/>
      <c r="AE879" s="1074"/>
      <c r="AF879" s="1072"/>
      <c r="AG879" s="1073"/>
      <c r="AH879" s="1074"/>
      <c r="AI879" s="1074"/>
      <c r="AJ879" s="1074"/>
      <c r="AK879" s="1074"/>
    </row>
    <row r="880">
      <c r="A880" s="1072"/>
      <c r="B880" s="1072"/>
      <c r="C880" s="1075"/>
      <c r="D880" s="1074"/>
      <c r="E880" s="1074"/>
      <c r="F880" s="1074"/>
      <c r="G880" s="1076"/>
      <c r="H880" s="1074"/>
      <c r="I880" s="1074"/>
      <c r="J880" s="1072"/>
      <c r="K880" s="1075"/>
      <c r="L880" s="1074"/>
      <c r="M880" s="1074"/>
      <c r="N880" s="1074"/>
      <c r="O880" s="1076"/>
      <c r="P880" s="1074"/>
      <c r="Q880" s="1074"/>
      <c r="R880" s="1072"/>
      <c r="S880" s="1073"/>
      <c r="T880" s="1074"/>
      <c r="U880" s="1074"/>
      <c r="V880" s="1074"/>
      <c r="W880" s="1074"/>
      <c r="X880" s="1074"/>
      <c r="Y880" s="1072"/>
      <c r="Z880" s="1073"/>
      <c r="AA880" s="1074"/>
      <c r="AB880" s="1074"/>
      <c r="AC880" s="1074"/>
      <c r="AD880" s="1074"/>
      <c r="AE880" s="1074"/>
      <c r="AF880" s="1072"/>
      <c r="AG880" s="1073"/>
      <c r="AH880" s="1074"/>
      <c r="AI880" s="1074"/>
      <c r="AJ880" s="1074"/>
      <c r="AK880" s="1074"/>
    </row>
    <row r="881">
      <c r="A881" s="1072"/>
      <c r="B881" s="1072"/>
      <c r="C881" s="1075"/>
      <c r="D881" s="1074"/>
      <c r="E881" s="1074"/>
      <c r="F881" s="1074"/>
      <c r="G881" s="1076"/>
      <c r="H881" s="1074"/>
      <c r="I881" s="1074"/>
      <c r="J881" s="1072"/>
      <c r="K881" s="1075"/>
      <c r="L881" s="1074"/>
      <c r="M881" s="1074"/>
      <c r="N881" s="1074"/>
      <c r="O881" s="1076"/>
      <c r="P881" s="1074"/>
      <c r="Q881" s="1074"/>
      <c r="R881" s="1072"/>
      <c r="S881" s="1073"/>
      <c r="T881" s="1074"/>
      <c r="U881" s="1074"/>
      <c r="V881" s="1074"/>
      <c r="W881" s="1074"/>
      <c r="X881" s="1074"/>
      <c r="Y881" s="1072"/>
      <c r="Z881" s="1073"/>
      <c r="AA881" s="1074"/>
      <c r="AB881" s="1074"/>
      <c r="AC881" s="1074"/>
      <c r="AD881" s="1074"/>
      <c r="AE881" s="1074"/>
      <c r="AF881" s="1072"/>
      <c r="AG881" s="1073"/>
      <c r="AH881" s="1074"/>
      <c r="AI881" s="1074"/>
      <c r="AJ881" s="1074"/>
      <c r="AK881" s="1074"/>
    </row>
    <row r="882">
      <c r="A882" s="1072"/>
      <c r="B882" s="1072"/>
      <c r="C882" s="1075"/>
      <c r="D882" s="1074"/>
      <c r="E882" s="1074"/>
      <c r="F882" s="1074"/>
      <c r="G882" s="1076"/>
      <c r="H882" s="1074"/>
      <c r="I882" s="1074"/>
      <c r="J882" s="1072"/>
      <c r="K882" s="1075"/>
      <c r="L882" s="1074"/>
      <c r="M882" s="1074"/>
      <c r="N882" s="1074"/>
      <c r="O882" s="1076"/>
      <c r="P882" s="1074"/>
      <c r="Q882" s="1074"/>
      <c r="R882" s="1072"/>
      <c r="S882" s="1073"/>
      <c r="T882" s="1074"/>
      <c r="U882" s="1074"/>
      <c r="V882" s="1074"/>
      <c r="W882" s="1074"/>
      <c r="X882" s="1074"/>
      <c r="Y882" s="1072"/>
      <c r="Z882" s="1073"/>
      <c r="AA882" s="1074"/>
      <c r="AB882" s="1074"/>
      <c r="AC882" s="1074"/>
      <c r="AD882" s="1074"/>
      <c r="AE882" s="1074"/>
      <c r="AF882" s="1072"/>
      <c r="AG882" s="1073"/>
      <c r="AH882" s="1074"/>
      <c r="AI882" s="1074"/>
      <c r="AJ882" s="1074"/>
      <c r="AK882" s="1074"/>
    </row>
    <row r="883">
      <c r="A883" s="1072"/>
      <c r="B883" s="1072"/>
      <c r="C883" s="1075"/>
      <c r="D883" s="1074"/>
      <c r="E883" s="1074"/>
      <c r="F883" s="1074"/>
      <c r="G883" s="1076"/>
      <c r="H883" s="1074"/>
      <c r="I883" s="1074"/>
      <c r="J883" s="1072"/>
      <c r="K883" s="1075"/>
      <c r="L883" s="1074"/>
      <c r="M883" s="1074"/>
      <c r="N883" s="1074"/>
      <c r="O883" s="1076"/>
      <c r="P883" s="1074"/>
      <c r="Q883" s="1074"/>
      <c r="R883" s="1072"/>
      <c r="S883" s="1073"/>
      <c r="T883" s="1074"/>
      <c r="U883" s="1074"/>
      <c r="V883" s="1074"/>
      <c r="W883" s="1074"/>
      <c r="X883" s="1074"/>
      <c r="Y883" s="1072"/>
      <c r="Z883" s="1073"/>
      <c r="AA883" s="1074"/>
      <c r="AB883" s="1074"/>
      <c r="AC883" s="1074"/>
      <c r="AD883" s="1074"/>
      <c r="AE883" s="1074"/>
      <c r="AF883" s="1072"/>
      <c r="AG883" s="1073"/>
      <c r="AH883" s="1074"/>
      <c r="AI883" s="1074"/>
      <c r="AJ883" s="1074"/>
      <c r="AK883" s="1074"/>
    </row>
    <row r="884">
      <c r="A884" s="1072"/>
      <c r="B884" s="1072"/>
      <c r="C884" s="1075"/>
      <c r="D884" s="1074"/>
      <c r="E884" s="1074"/>
      <c r="F884" s="1074"/>
      <c r="G884" s="1076"/>
      <c r="H884" s="1074"/>
      <c r="I884" s="1074"/>
      <c r="J884" s="1072"/>
      <c r="K884" s="1075"/>
      <c r="L884" s="1074"/>
      <c r="M884" s="1074"/>
      <c r="N884" s="1074"/>
      <c r="O884" s="1076"/>
      <c r="P884" s="1074"/>
      <c r="Q884" s="1074"/>
      <c r="R884" s="1072"/>
      <c r="S884" s="1073"/>
      <c r="T884" s="1074"/>
      <c r="U884" s="1074"/>
      <c r="V884" s="1074"/>
      <c r="W884" s="1074"/>
      <c r="X884" s="1074"/>
      <c r="Y884" s="1072"/>
      <c r="Z884" s="1073"/>
      <c r="AA884" s="1074"/>
      <c r="AB884" s="1074"/>
      <c r="AC884" s="1074"/>
      <c r="AD884" s="1074"/>
      <c r="AE884" s="1074"/>
      <c r="AF884" s="1072"/>
      <c r="AG884" s="1073"/>
      <c r="AH884" s="1074"/>
      <c r="AI884" s="1074"/>
      <c r="AJ884" s="1074"/>
      <c r="AK884" s="1074"/>
    </row>
    <row r="885">
      <c r="A885" s="1072"/>
      <c r="B885" s="1072"/>
      <c r="C885" s="1075"/>
      <c r="D885" s="1074"/>
      <c r="E885" s="1074"/>
      <c r="F885" s="1074"/>
      <c r="G885" s="1076"/>
      <c r="H885" s="1074"/>
      <c r="I885" s="1074"/>
      <c r="J885" s="1072"/>
      <c r="K885" s="1075"/>
      <c r="L885" s="1074"/>
      <c r="M885" s="1074"/>
      <c r="N885" s="1074"/>
      <c r="O885" s="1076"/>
      <c r="P885" s="1074"/>
      <c r="Q885" s="1074"/>
      <c r="R885" s="1072"/>
      <c r="S885" s="1073"/>
      <c r="T885" s="1074"/>
      <c r="U885" s="1074"/>
      <c r="V885" s="1074"/>
      <c r="W885" s="1074"/>
      <c r="X885" s="1074"/>
      <c r="Y885" s="1072"/>
      <c r="Z885" s="1073"/>
      <c r="AA885" s="1074"/>
      <c r="AB885" s="1074"/>
      <c r="AC885" s="1074"/>
      <c r="AD885" s="1074"/>
      <c r="AE885" s="1074"/>
      <c r="AF885" s="1072"/>
      <c r="AG885" s="1073"/>
      <c r="AH885" s="1074"/>
      <c r="AI885" s="1074"/>
      <c r="AJ885" s="1074"/>
      <c r="AK885" s="1074"/>
    </row>
    <row r="886">
      <c r="A886" s="1072"/>
      <c r="B886" s="1072"/>
      <c r="C886" s="1075"/>
      <c r="D886" s="1074"/>
      <c r="E886" s="1074"/>
      <c r="F886" s="1074"/>
      <c r="G886" s="1076"/>
      <c r="H886" s="1074"/>
      <c r="I886" s="1074"/>
      <c r="J886" s="1072"/>
      <c r="K886" s="1075"/>
      <c r="L886" s="1074"/>
      <c r="M886" s="1074"/>
      <c r="N886" s="1074"/>
      <c r="O886" s="1076"/>
      <c r="P886" s="1074"/>
      <c r="Q886" s="1074"/>
      <c r="R886" s="1072"/>
      <c r="S886" s="1073"/>
      <c r="T886" s="1074"/>
      <c r="U886" s="1074"/>
      <c r="V886" s="1074"/>
      <c r="W886" s="1074"/>
      <c r="X886" s="1074"/>
      <c r="Y886" s="1072"/>
      <c r="Z886" s="1073"/>
      <c r="AA886" s="1074"/>
      <c r="AB886" s="1074"/>
      <c r="AC886" s="1074"/>
      <c r="AD886" s="1074"/>
      <c r="AE886" s="1074"/>
      <c r="AF886" s="1072"/>
      <c r="AG886" s="1073"/>
      <c r="AH886" s="1074"/>
      <c r="AI886" s="1074"/>
      <c r="AJ886" s="1074"/>
      <c r="AK886" s="1074"/>
    </row>
    <row r="887">
      <c r="A887" s="1072"/>
      <c r="B887" s="1072"/>
      <c r="C887" s="1075"/>
      <c r="D887" s="1074"/>
      <c r="E887" s="1074"/>
      <c r="F887" s="1074"/>
      <c r="G887" s="1076"/>
      <c r="H887" s="1074"/>
      <c r="I887" s="1074"/>
      <c r="J887" s="1072"/>
      <c r="K887" s="1075"/>
      <c r="L887" s="1074"/>
      <c r="M887" s="1074"/>
      <c r="N887" s="1074"/>
      <c r="O887" s="1076"/>
      <c r="P887" s="1074"/>
      <c r="Q887" s="1074"/>
      <c r="R887" s="1072"/>
      <c r="S887" s="1073"/>
      <c r="T887" s="1074"/>
      <c r="U887" s="1074"/>
      <c r="V887" s="1074"/>
      <c r="W887" s="1074"/>
      <c r="X887" s="1074"/>
      <c r="Y887" s="1072"/>
      <c r="Z887" s="1073"/>
      <c r="AA887" s="1074"/>
      <c r="AB887" s="1074"/>
      <c r="AC887" s="1074"/>
      <c r="AD887" s="1074"/>
      <c r="AE887" s="1074"/>
      <c r="AF887" s="1072"/>
      <c r="AG887" s="1073"/>
      <c r="AH887" s="1074"/>
      <c r="AI887" s="1074"/>
      <c r="AJ887" s="1074"/>
      <c r="AK887" s="1074"/>
    </row>
    <row r="888">
      <c r="A888" s="1072"/>
      <c r="B888" s="1072"/>
      <c r="C888" s="1075"/>
      <c r="D888" s="1074"/>
      <c r="E888" s="1074"/>
      <c r="F888" s="1074"/>
      <c r="G888" s="1076"/>
      <c r="H888" s="1074"/>
      <c r="I888" s="1074"/>
      <c r="J888" s="1072"/>
      <c r="K888" s="1075"/>
      <c r="L888" s="1074"/>
      <c r="M888" s="1074"/>
      <c r="N888" s="1074"/>
      <c r="O888" s="1076"/>
      <c r="P888" s="1074"/>
      <c r="Q888" s="1074"/>
      <c r="R888" s="1072"/>
      <c r="S888" s="1073"/>
      <c r="T888" s="1074"/>
      <c r="U888" s="1074"/>
      <c r="V888" s="1074"/>
      <c r="W888" s="1074"/>
      <c r="X888" s="1074"/>
      <c r="Y888" s="1072"/>
      <c r="Z888" s="1073"/>
      <c r="AA888" s="1074"/>
      <c r="AB888" s="1074"/>
      <c r="AC888" s="1074"/>
      <c r="AD888" s="1074"/>
      <c r="AE888" s="1074"/>
      <c r="AF888" s="1072"/>
      <c r="AG888" s="1073"/>
      <c r="AH888" s="1074"/>
      <c r="AI888" s="1074"/>
      <c r="AJ888" s="1074"/>
      <c r="AK888" s="1074"/>
    </row>
    <row r="889">
      <c r="A889" s="1072"/>
      <c r="B889" s="1072"/>
      <c r="C889" s="1075"/>
      <c r="D889" s="1074"/>
      <c r="E889" s="1074"/>
      <c r="F889" s="1074"/>
      <c r="G889" s="1076"/>
      <c r="H889" s="1074"/>
      <c r="I889" s="1074"/>
      <c r="J889" s="1072"/>
      <c r="K889" s="1075"/>
      <c r="L889" s="1074"/>
      <c r="M889" s="1074"/>
      <c r="N889" s="1074"/>
      <c r="O889" s="1076"/>
      <c r="P889" s="1074"/>
      <c r="Q889" s="1074"/>
      <c r="R889" s="1072"/>
      <c r="S889" s="1073"/>
      <c r="T889" s="1074"/>
      <c r="U889" s="1074"/>
      <c r="V889" s="1074"/>
      <c r="W889" s="1074"/>
      <c r="X889" s="1074"/>
      <c r="Y889" s="1072"/>
      <c r="Z889" s="1073"/>
      <c r="AA889" s="1074"/>
      <c r="AB889" s="1074"/>
      <c r="AC889" s="1074"/>
      <c r="AD889" s="1074"/>
      <c r="AE889" s="1074"/>
      <c r="AF889" s="1072"/>
      <c r="AG889" s="1073"/>
      <c r="AH889" s="1074"/>
      <c r="AI889" s="1074"/>
      <c r="AJ889" s="1074"/>
      <c r="AK889" s="1074"/>
    </row>
    <row r="890">
      <c r="A890" s="1072"/>
      <c r="B890" s="1072"/>
      <c r="C890" s="1075"/>
      <c r="D890" s="1074"/>
      <c r="E890" s="1074"/>
      <c r="F890" s="1074"/>
      <c r="G890" s="1076"/>
      <c r="H890" s="1074"/>
      <c r="I890" s="1074"/>
      <c r="J890" s="1072"/>
      <c r="K890" s="1075"/>
      <c r="L890" s="1074"/>
      <c r="M890" s="1074"/>
      <c r="N890" s="1074"/>
      <c r="O890" s="1076"/>
      <c r="P890" s="1074"/>
      <c r="Q890" s="1074"/>
      <c r="R890" s="1072"/>
      <c r="S890" s="1073"/>
      <c r="T890" s="1074"/>
      <c r="U890" s="1074"/>
      <c r="V890" s="1074"/>
      <c r="W890" s="1074"/>
      <c r="X890" s="1074"/>
      <c r="Y890" s="1072"/>
      <c r="Z890" s="1073"/>
      <c r="AA890" s="1074"/>
      <c r="AB890" s="1074"/>
      <c r="AC890" s="1074"/>
      <c r="AD890" s="1074"/>
      <c r="AE890" s="1074"/>
      <c r="AF890" s="1072"/>
      <c r="AG890" s="1073"/>
      <c r="AH890" s="1074"/>
      <c r="AI890" s="1074"/>
      <c r="AJ890" s="1074"/>
      <c r="AK890" s="1074"/>
    </row>
    <row r="891">
      <c r="A891" s="1072"/>
      <c r="B891" s="1072"/>
      <c r="C891" s="1075"/>
      <c r="D891" s="1074"/>
      <c r="E891" s="1074"/>
      <c r="F891" s="1074"/>
      <c r="G891" s="1076"/>
      <c r="H891" s="1074"/>
      <c r="I891" s="1074"/>
      <c r="J891" s="1072"/>
      <c r="K891" s="1075"/>
      <c r="L891" s="1074"/>
      <c r="M891" s="1074"/>
      <c r="N891" s="1074"/>
      <c r="O891" s="1076"/>
      <c r="P891" s="1074"/>
      <c r="Q891" s="1074"/>
      <c r="R891" s="1072"/>
      <c r="S891" s="1073"/>
      <c r="T891" s="1074"/>
      <c r="U891" s="1074"/>
      <c r="V891" s="1074"/>
      <c r="W891" s="1074"/>
      <c r="X891" s="1074"/>
      <c r="Y891" s="1072"/>
      <c r="Z891" s="1073"/>
      <c r="AA891" s="1074"/>
      <c r="AB891" s="1074"/>
      <c r="AC891" s="1074"/>
      <c r="AD891" s="1074"/>
      <c r="AE891" s="1074"/>
      <c r="AF891" s="1072"/>
      <c r="AG891" s="1073"/>
      <c r="AH891" s="1074"/>
      <c r="AI891" s="1074"/>
      <c r="AJ891" s="1074"/>
      <c r="AK891" s="1074"/>
    </row>
    <row r="892">
      <c r="A892" s="1072"/>
      <c r="B892" s="1072"/>
      <c r="C892" s="1075"/>
      <c r="D892" s="1074"/>
      <c r="E892" s="1074"/>
      <c r="F892" s="1074"/>
      <c r="G892" s="1076"/>
      <c r="H892" s="1074"/>
      <c r="I892" s="1074"/>
      <c r="J892" s="1072"/>
      <c r="K892" s="1075"/>
      <c r="L892" s="1074"/>
      <c r="M892" s="1074"/>
      <c r="N892" s="1074"/>
      <c r="O892" s="1076"/>
      <c r="P892" s="1074"/>
      <c r="Q892" s="1074"/>
      <c r="R892" s="1072"/>
      <c r="S892" s="1073"/>
      <c r="T892" s="1074"/>
      <c r="U892" s="1074"/>
      <c r="V892" s="1074"/>
      <c r="W892" s="1074"/>
      <c r="X892" s="1074"/>
      <c r="Y892" s="1072"/>
      <c r="Z892" s="1073"/>
      <c r="AA892" s="1074"/>
      <c r="AB892" s="1074"/>
      <c r="AC892" s="1074"/>
      <c r="AD892" s="1074"/>
      <c r="AE892" s="1074"/>
      <c r="AF892" s="1072"/>
      <c r="AG892" s="1073"/>
      <c r="AH892" s="1074"/>
      <c r="AI892" s="1074"/>
      <c r="AJ892" s="1074"/>
      <c r="AK892" s="1074"/>
    </row>
    <row r="893">
      <c r="A893" s="1072"/>
      <c r="B893" s="1072"/>
      <c r="C893" s="1075"/>
      <c r="D893" s="1074"/>
      <c r="E893" s="1074"/>
      <c r="F893" s="1074"/>
      <c r="G893" s="1076"/>
      <c r="H893" s="1074"/>
      <c r="I893" s="1074"/>
      <c r="J893" s="1072"/>
      <c r="K893" s="1075"/>
      <c r="L893" s="1074"/>
      <c r="M893" s="1074"/>
      <c r="N893" s="1074"/>
      <c r="O893" s="1076"/>
      <c r="P893" s="1074"/>
      <c r="Q893" s="1074"/>
      <c r="R893" s="1072"/>
      <c r="S893" s="1073"/>
      <c r="T893" s="1074"/>
      <c r="U893" s="1074"/>
      <c r="V893" s="1074"/>
      <c r="W893" s="1074"/>
      <c r="X893" s="1074"/>
      <c r="Y893" s="1072"/>
      <c r="Z893" s="1073"/>
      <c r="AA893" s="1074"/>
      <c r="AB893" s="1074"/>
      <c r="AC893" s="1074"/>
      <c r="AD893" s="1074"/>
      <c r="AE893" s="1074"/>
      <c r="AF893" s="1072"/>
      <c r="AG893" s="1073"/>
      <c r="AH893" s="1074"/>
      <c r="AI893" s="1074"/>
      <c r="AJ893" s="1074"/>
      <c r="AK893" s="1074"/>
    </row>
    <row r="894">
      <c r="A894" s="1072"/>
      <c r="B894" s="1072"/>
      <c r="C894" s="1075"/>
      <c r="D894" s="1074"/>
      <c r="E894" s="1074"/>
      <c r="F894" s="1074"/>
      <c r="G894" s="1076"/>
      <c r="H894" s="1074"/>
      <c r="I894" s="1074"/>
      <c r="J894" s="1072"/>
      <c r="K894" s="1075"/>
      <c r="L894" s="1074"/>
      <c r="M894" s="1074"/>
      <c r="N894" s="1074"/>
      <c r="O894" s="1076"/>
      <c r="P894" s="1074"/>
      <c r="Q894" s="1074"/>
      <c r="R894" s="1072"/>
      <c r="S894" s="1073"/>
      <c r="T894" s="1074"/>
      <c r="U894" s="1074"/>
      <c r="V894" s="1074"/>
      <c r="W894" s="1074"/>
      <c r="X894" s="1074"/>
      <c r="Y894" s="1072"/>
      <c r="Z894" s="1073"/>
      <c r="AA894" s="1074"/>
      <c r="AB894" s="1074"/>
      <c r="AC894" s="1074"/>
      <c r="AD894" s="1074"/>
      <c r="AE894" s="1074"/>
      <c r="AF894" s="1072"/>
      <c r="AG894" s="1073"/>
      <c r="AH894" s="1074"/>
      <c r="AI894" s="1074"/>
      <c r="AJ894" s="1074"/>
      <c r="AK894" s="1074"/>
    </row>
    <row r="895">
      <c r="A895" s="1072"/>
      <c r="B895" s="1072"/>
      <c r="C895" s="1075"/>
      <c r="D895" s="1074"/>
      <c r="E895" s="1074"/>
      <c r="F895" s="1074"/>
      <c r="G895" s="1076"/>
      <c r="H895" s="1074"/>
      <c r="I895" s="1074"/>
      <c r="J895" s="1072"/>
      <c r="K895" s="1075"/>
      <c r="L895" s="1074"/>
      <c r="M895" s="1074"/>
      <c r="N895" s="1074"/>
      <c r="O895" s="1076"/>
      <c r="P895" s="1074"/>
      <c r="Q895" s="1074"/>
      <c r="R895" s="1072"/>
      <c r="S895" s="1073"/>
      <c r="T895" s="1074"/>
      <c r="U895" s="1074"/>
      <c r="V895" s="1074"/>
      <c r="W895" s="1074"/>
      <c r="X895" s="1074"/>
      <c r="Y895" s="1072"/>
      <c r="Z895" s="1073"/>
      <c r="AA895" s="1074"/>
      <c r="AB895" s="1074"/>
      <c r="AC895" s="1074"/>
      <c r="AD895" s="1074"/>
      <c r="AE895" s="1074"/>
      <c r="AF895" s="1072"/>
      <c r="AG895" s="1073"/>
      <c r="AH895" s="1074"/>
      <c r="AI895" s="1074"/>
      <c r="AJ895" s="1074"/>
      <c r="AK895" s="1074"/>
    </row>
    <row r="896">
      <c r="A896" s="1072"/>
      <c r="B896" s="1072"/>
      <c r="C896" s="1075"/>
      <c r="D896" s="1074"/>
      <c r="E896" s="1074"/>
      <c r="F896" s="1074"/>
      <c r="G896" s="1076"/>
      <c r="H896" s="1074"/>
      <c r="I896" s="1074"/>
      <c r="J896" s="1072"/>
      <c r="K896" s="1075"/>
      <c r="L896" s="1074"/>
      <c r="M896" s="1074"/>
      <c r="N896" s="1074"/>
      <c r="O896" s="1076"/>
      <c r="P896" s="1074"/>
      <c r="Q896" s="1074"/>
      <c r="R896" s="1072"/>
      <c r="S896" s="1073"/>
      <c r="T896" s="1074"/>
      <c r="U896" s="1074"/>
      <c r="V896" s="1074"/>
      <c r="W896" s="1074"/>
      <c r="X896" s="1074"/>
      <c r="Y896" s="1072"/>
      <c r="Z896" s="1073"/>
      <c r="AA896" s="1074"/>
      <c r="AB896" s="1074"/>
      <c r="AC896" s="1074"/>
      <c r="AD896" s="1074"/>
      <c r="AE896" s="1074"/>
      <c r="AF896" s="1072"/>
      <c r="AG896" s="1073"/>
      <c r="AH896" s="1074"/>
      <c r="AI896" s="1074"/>
      <c r="AJ896" s="1074"/>
      <c r="AK896" s="1074"/>
    </row>
    <row r="897">
      <c r="A897" s="1072"/>
      <c r="B897" s="1072"/>
      <c r="C897" s="1075"/>
      <c r="D897" s="1074"/>
      <c r="E897" s="1074"/>
      <c r="F897" s="1074"/>
      <c r="G897" s="1076"/>
      <c r="H897" s="1074"/>
      <c r="I897" s="1074"/>
      <c r="J897" s="1072"/>
      <c r="K897" s="1075"/>
      <c r="L897" s="1074"/>
      <c r="M897" s="1074"/>
      <c r="N897" s="1074"/>
      <c r="O897" s="1076"/>
      <c r="P897" s="1074"/>
      <c r="Q897" s="1074"/>
      <c r="R897" s="1072"/>
      <c r="S897" s="1073"/>
      <c r="T897" s="1074"/>
      <c r="U897" s="1074"/>
      <c r="V897" s="1074"/>
      <c r="W897" s="1074"/>
      <c r="X897" s="1074"/>
      <c r="Y897" s="1072"/>
      <c r="Z897" s="1073"/>
      <c r="AA897" s="1074"/>
      <c r="AB897" s="1074"/>
      <c r="AC897" s="1074"/>
      <c r="AD897" s="1074"/>
      <c r="AE897" s="1074"/>
      <c r="AF897" s="1072"/>
      <c r="AG897" s="1073"/>
      <c r="AH897" s="1074"/>
      <c r="AI897" s="1074"/>
      <c r="AJ897" s="1074"/>
      <c r="AK897" s="1074"/>
    </row>
    <row r="898">
      <c r="A898" s="1072"/>
      <c r="B898" s="1072"/>
      <c r="C898" s="1075"/>
      <c r="D898" s="1074"/>
      <c r="E898" s="1074"/>
      <c r="F898" s="1074"/>
      <c r="G898" s="1076"/>
      <c r="H898" s="1074"/>
      <c r="I898" s="1074"/>
      <c r="J898" s="1072"/>
      <c r="K898" s="1075"/>
      <c r="L898" s="1074"/>
      <c r="M898" s="1074"/>
      <c r="N898" s="1074"/>
      <c r="O898" s="1076"/>
      <c r="P898" s="1074"/>
      <c r="Q898" s="1074"/>
      <c r="R898" s="1072"/>
      <c r="S898" s="1073"/>
      <c r="T898" s="1074"/>
      <c r="U898" s="1074"/>
      <c r="V898" s="1074"/>
      <c r="W898" s="1074"/>
      <c r="X898" s="1074"/>
      <c r="Y898" s="1072"/>
      <c r="Z898" s="1073"/>
      <c r="AA898" s="1074"/>
      <c r="AB898" s="1074"/>
      <c r="AC898" s="1074"/>
      <c r="AD898" s="1074"/>
      <c r="AE898" s="1074"/>
      <c r="AF898" s="1072"/>
      <c r="AG898" s="1073"/>
      <c r="AH898" s="1074"/>
      <c r="AI898" s="1074"/>
      <c r="AJ898" s="1074"/>
      <c r="AK898" s="1074"/>
    </row>
    <row r="899">
      <c r="A899" s="1072"/>
      <c r="B899" s="1072"/>
      <c r="C899" s="1075"/>
      <c r="D899" s="1074"/>
      <c r="E899" s="1074"/>
      <c r="F899" s="1074"/>
      <c r="G899" s="1076"/>
      <c r="H899" s="1074"/>
      <c r="I899" s="1074"/>
      <c r="J899" s="1072"/>
      <c r="K899" s="1075"/>
      <c r="L899" s="1074"/>
      <c r="M899" s="1074"/>
      <c r="N899" s="1074"/>
      <c r="O899" s="1076"/>
      <c r="P899" s="1074"/>
      <c r="Q899" s="1074"/>
      <c r="R899" s="1072"/>
      <c r="S899" s="1073"/>
      <c r="T899" s="1074"/>
      <c r="U899" s="1074"/>
      <c r="V899" s="1074"/>
      <c r="W899" s="1074"/>
      <c r="X899" s="1074"/>
      <c r="Y899" s="1072"/>
      <c r="Z899" s="1073"/>
      <c r="AA899" s="1074"/>
      <c r="AB899" s="1074"/>
      <c r="AC899" s="1074"/>
      <c r="AD899" s="1074"/>
      <c r="AE899" s="1074"/>
      <c r="AF899" s="1072"/>
      <c r="AG899" s="1073"/>
      <c r="AH899" s="1074"/>
      <c r="AI899" s="1074"/>
      <c r="AJ899" s="1074"/>
      <c r="AK899" s="1074"/>
    </row>
    <row r="900">
      <c r="A900" s="1072"/>
      <c r="B900" s="1072"/>
      <c r="C900" s="1075"/>
      <c r="D900" s="1074"/>
      <c r="E900" s="1074"/>
      <c r="F900" s="1074"/>
      <c r="G900" s="1076"/>
      <c r="H900" s="1074"/>
      <c r="I900" s="1074"/>
      <c r="J900" s="1072"/>
      <c r="K900" s="1075"/>
      <c r="L900" s="1074"/>
      <c r="M900" s="1074"/>
      <c r="N900" s="1074"/>
      <c r="O900" s="1076"/>
      <c r="P900" s="1074"/>
      <c r="Q900" s="1074"/>
      <c r="R900" s="1072"/>
      <c r="S900" s="1073"/>
      <c r="T900" s="1074"/>
      <c r="U900" s="1074"/>
      <c r="V900" s="1074"/>
      <c r="W900" s="1074"/>
      <c r="X900" s="1074"/>
      <c r="Y900" s="1072"/>
      <c r="Z900" s="1073"/>
      <c r="AA900" s="1074"/>
      <c r="AB900" s="1074"/>
      <c r="AC900" s="1074"/>
      <c r="AD900" s="1074"/>
      <c r="AE900" s="1074"/>
      <c r="AF900" s="1072"/>
      <c r="AG900" s="1073"/>
      <c r="AH900" s="1074"/>
      <c r="AI900" s="1074"/>
      <c r="AJ900" s="1074"/>
      <c r="AK900" s="1074"/>
    </row>
    <row r="901">
      <c r="A901" s="1072"/>
      <c r="B901" s="1072"/>
      <c r="C901" s="1075"/>
      <c r="D901" s="1074"/>
      <c r="E901" s="1074"/>
      <c r="F901" s="1074"/>
      <c r="G901" s="1076"/>
      <c r="H901" s="1074"/>
      <c r="I901" s="1074"/>
      <c r="J901" s="1072"/>
      <c r="K901" s="1075"/>
      <c r="L901" s="1074"/>
      <c r="M901" s="1074"/>
      <c r="N901" s="1074"/>
      <c r="O901" s="1076"/>
      <c r="P901" s="1074"/>
      <c r="Q901" s="1074"/>
      <c r="R901" s="1072"/>
      <c r="S901" s="1073"/>
      <c r="T901" s="1074"/>
      <c r="U901" s="1074"/>
      <c r="V901" s="1074"/>
      <c r="W901" s="1074"/>
      <c r="X901" s="1074"/>
      <c r="Y901" s="1072"/>
      <c r="Z901" s="1073"/>
      <c r="AA901" s="1074"/>
      <c r="AB901" s="1074"/>
      <c r="AC901" s="1074"/>
      <c r="AD901" s="1074"/>
      <c r="AE901" s="1074"/>
      <c r="AF901" s="1072"/>
      <c r="AG901" s="1073"/>
      <c r="AH901" s="1074"/>
      <c r="AI901" s="1074"/>
      <c r="AJ901" s="1074"/>
      <c r="AK901" s="1074"/>
    </row>
    <row r="902">
      <c r="A902" s="1072"/>
      <c r="B902" s="1072"/>
      <c r="C902" s="1075"/>
      <c r="D902" s="1074"/>
      <c r="E902" s="1074"/>
      <c r="F902" s="1074"/>
      <c r="G902" s="1076"/>
      <c r="H902" s="1074"/>
      <c r="I902" s="1074"/>
      <c r="J902" s="1072"/>
      <c r="K902" s="1075"/>
      <c r="L902" s="1074"/>
      <c r="M902" s="1074"/>
      <c r="N902" s="1074"/>
      <c r="O902" s="1076"/>
      <c r="P902" s="1074"/>
      <c r="Q902" s="1074"/>
      <c r="R902" s="1072"/>
      <c r="S902" s="1073"/>
      <c r="T902" s="1074"/>
      <c r="U902" s="1074"/>
      <c r="V902" s="1074"/>
      <c r="W902" s="1074"/>
      <c r="X902" s="1074"/>
      <c r="Y902" s="1072"/>
      <c r="Z902" s="1073"/>
      <c r="AA902" s="1074"/>
      <c r="AB902" s="1074"/>
      <c r="AC902" s="1074"/>
      <c r="AD902" s="1074"/>
      <c r="AE902" s="1074"/>
      <c r="AF902" s="1072"/>
      <c r="AG902" s="1073"/>
      <c r="AH902" s="1074"/>
      <c r="AI902" s="1074"/>
      <c r="AJ902" s="1074"/>
      <c r="AK902" s="1074"/>
    </row>
    <row r="903">
      <c r="A903" s="1072"/>
      <c r="B903" s="1072"/>
      <c r="C903" s="1075"/>
      <c r="D903" s="1074"/>
      <c r="E903" s="1074"/>
      <c r="F903" s="1074"/>
      <c r="G903" s="1076"/>
      <c r="H903" s="1074"/>
      <c r="I903" s="1074"/>
      <c r="J903" s="1072"/>
      <c r="K903" s="1075"/>
      <c r="L903" s="1074"/>
      <c r="M903" s="1074"/>
      <c r="N903" s="1074"/>
      <c r="O903" s="1076"/>
      <c r="P903" s="1074"/>
      <c r="Q903" s="1074"/>
      <c r="R903" s="1072"/>
      <c r="S903" s="1073"/>
      <c r="T903" s="1074"/>
      <c r="U903" s="1074"/>
      <c r="V903" s="1074"/>
      <c r="W903" s="1074"/>
      <c r="X903" s="1074"/>
      <c r="Y903" s="1072"/>
      <c r="Z903" s="1073"/>
      <c r="AA903" s="1074"/>
      <c r="AB903" s="1074"/>
      <c r="AC903" s="1074"/>
      <c r="AD903" s="1074"/>
      <c r="AE903" s="1074"/>
      <c r="AF903" s="1072"/>
      <c r="AG903" s="1073"/>
      <c r="AH903" s="1074"/>
      <c r="AI903" s="1074"/>
      <c r="AJ903" s="1074"/>
      <c r="AK903" s="1074"/>
    </row>
    <row r="904">
      <c r="A904" s="1072"/>
      <c r="B904" s="1072"/>
      <c r="C904" s="1075"/>
      <c r="D904" s="1074"/>
      <c r="E904" s="1074"/>
      <c r="F904" s="1074"/>
      <c r="G904" s="1076"/>
      <c r="H904" s="1074"/>
      <c r="I904" s="1074"/>
      <c r="J904" s="1072"/>
      <c r="K904" s="1075"/>
      <c r="L904" s="1074"/>
      <c r="M904" s="1074"/>
      <c r="N904" s="1074"/>
      <c r="O904" s="1076"/>
      <c r="P904" s="1074"/>
      <c r="Q904" s="1074"/>
      <c r="R904" s="1072"/>
      <c r="S904" s="1073"/>
      <c r="T904" s="1074"/>
      <c r="U904" s="1074"/>
      <c r="V904" s="1074"/>
      <c r="W904" s="1074"/>
      <c r="X904" s="1074"/>
      <c r="Y904" s="1072"/>
      <c r="Z904" s="1073"/>
      <c r="AA904" s="1074"/>
      <c r="AB904" s="1074"/>
      <c r="AC904" s="1074"/>
      <c r="AD904" s="1074"/>
      <c r="AE904" s="1074"/>
      <c r="AF904" s="1072"/>
      <c r="AG904" s="1073"/>
      <c r="AH904" s="1074"/>
      <c r="AI904" s="1074"/>
      <c r="AJ904" s="1074"/>
      <c r="AK904" s="1074"/>
    </row>
    <row r="905">
      <c r="A905" s="1072"/>
      <c r="B905" s="1072"/>
      <c r="C905" s="1075"/>
      <c r="D905" s="1074"/>
      <c r="E905" s="1074"/>
      <c r="F905" s="1074"/>
      <c r="G905" s="1076"/>
      <c r="H905" s="1074"/>
      <c r="I905" s="1074"/>
      <c r="J905" s="1072"/>
      <c r="K905" s="1075"/>
      <c r="L905" s="1074"/>
      <c r="M905" s="1074"/>
      <c r="N905" s="1074"/>
      <c r="O905" s="1076"/>
      <c r="P905" s="1074"/>
      <c r="Q905" s="1074"/>
      <c r="R905" s="1072"/>
      <c r="S905" s="1073"/>
      <c r="T905" s="1074"/>
      <c r="U905" s="1074"/>
      <c r="V905" s="1074"/>
      <c r="W905" s="1074"/>
      <c r="X905" s="1074"/>
      <c r="Y905" s="1072"/>
      <c r="Z905" s="1073"/>
      <c r="AA905" s="1074"/>
      <c r="AB905" s="1074"/>
      <c r="AC905" s="1074"/>
      <c r="AD905" s="1074"/>
      <c r="AE905" s="1074"/>
      <c r="AF905" s="1072"/>
      <c r="AG905" s="1073"/>
      <c r="AH905" s="1074"/>
      <c r="AI905" s="1074"/>
      <c r="AJ905" s="1074"/>
      <c r="AK905" s="1074"/>
    </row>
    <row r="906">
      <c r="A906" s="1072"/>
      <c r="B906" s="1072"/>
      <c r="C906" s="1075"/>
      <c r="D906" s="1074"/>
      <c r="E906" s="1074"/>
      <c r="F906" s="1074"/>
      <c r="G906" s="1076"/>
      <c r="H906" s="1074"/>
      <c r="I906" s="1074"/>
      <c r="J906" s="1072"/>
      <c r="K906" s="1075"/>
      <c r="L906" s="1074"/>
      <c r="M906" s="1074"/>
      <c r="N906" s="1074"/>
      <c r="O906" s="1076"/>
      <c r="P906" s="1074"/>
      <c r="Q906" s="1074"/>
      <c r="R906" s="1072"/>
      <c r="S906" s="1073"/>
      <c r="T906" s="1074"/>
      <c r="U906" s="1074"/>
      <c r="V906" s="1074"/>
      <c r="W906" s="1074"/>
      <c r="X906" s="1074"/>
      <c r="Y906" s="1072"/>
      <c r="Z906" s="1073"/>
      <c r="AA906" s="1074"/>
      <c r="AB906" s="1074"/>
      <c r="AC906" s="1074"/>
      <c r="AD906" s="1074"/>
      <c r="AE906" s="1074"/>
      <c r="AF906" s="1072"/>
      <c r="AG906" s="1073"/>
      <c r="AH906" s="1074"/>
      <c r="AI906" s="1074"/>
      <c r="AJ906" s="1074"/>
      <c r="AK906" s="1074"/>
    </row>
    <row r="907">
      <c r="A907" s="1072"/>
      <c r="B907" s="1072"/>
      <c r="C907" s="1075"/>
      <c r="D907" s="1074"/>
      <c r="E907" s="1074"/>
      <c r="F907" s="1074"/>
      <c r="G907" s="1076"/>
      <c r="H907" s="1074"/>
      <c r="I907" s="1074"/>
      <c r="J907" s="1072"/>
      <c r="K907" s="1075"/>
      <c r="L907" s="1074"/>
      <c r="M907" s="1074"/>
      <c r="N907" s="1074"/>
      <c r="O907" s="1076"/>
      <c r="P907" s="1074"/>
      <c r="Q907" s="1074"/>
      <c r="R907" s="1072"/>
      <c r="S907" s="1073"/>
      <c r="T907" s="1074"/>
      <c r="U907" s="1074"/>
      <c r="V907" s="1074"/>
      <c r="W907" s="1074"/>
      <c r="X907" s="1074"/>
      <c r="Y907" s="1072"/>
      <c r="Z907" s="1073"/>
      <c r="AA907" s="1074"/>
      <c r="AB907" s="1074"/>
      <c r="AC907" s="1074"/>
      <c r="AD907" s="1074"/>
      <c r="AE907" s="1074"/>
      <c r="AF907" s="1072"/>
      <c r="AG907" s="1073"/>
      <c r="AH907" s="1074"/>
      <c r="AI907" s="1074"/>
      <c r="AJ907" s="1074"/>
      <c r="AK907" s="1074"/>
    </row>
    <row r="908">
      <c r="A908" s="1072"/>
      <c r="B908" s="1072"/>
      <c r="C908" s="1075"/>
      <c r="D908" s="1074"/>
      <c r="E908" s="1074"/>
      <c r="F908" s="1074"/>
      <c r="G908" s="1076"/>
      <c r="H908" s="1074"/>
      <c r="I908" s="1074"/>
      <c r="J908" s="1072"/>
      <c r="K908" s="1075"/>
      <c r="L908" s="1074"/>
      <c r="M908" s="1074"/>
      <c r="N908" s="1074"/>
      <c r="O908" s="1076"/>
      <c r="P908" s="1074"/>
      <c r="Q908" s="1074"/>
      <c r="R908" s="1072"/>
      <c r="S908" s="1073"/>
      <c r="T908" s="1074"/>
      <c r="U908" s="1074"/>
      <c r="V908" s="1074"/>
      <c r="W908" s="1074"/>
      <c r="X908" s="1074"/>
      <c r="Y908" s="1072"/>
      <c r="Z908" s="1073"/>
      <c r="AA908" s="1074"/>
      <c r="AB908" s="1074"/>
      <c r="AC908" s="1074"/>
      <c r="AD908" s="1074"/>
      <c r="AE908" s="1074"/>
      <c r="AF908" s="1072"/>
      <c r="AG908" s="1073"/>
      <c r="AH908" s="1074"/>
      <c r="AI908" s="1074"/>
      <c r="AJ908" s="1074"/>
      <c r="AK908" s="1074"/>
    </row>
    <row r="909">
      <c r="A909" s="1072"/>
      <c r="B909" s="1072"/>
      <c r="C909" s="1075"/>
      <c r="D909" s="1074"/>
      <c r="E909" s="1074"/>
      <c r="F909" s="1074"/>
      <c r="G909" s="1076"/>
      <c r="H909" s="1074"/>
      <c r="I909" s="1074"/>
      <c r="J909" s="1072"/>
      <c r="K909" s="1075"/>
      <c r="L909" s="1074"/>
      <c r="M909" s="1074"/>
      <c r="N909" s="1074"/>
      <c r="O909" s="1076"/>
      <c r="P909" s="1074"/>
      <c r="Q909" s="1074"/>
      <c r="R909" s="1072"/>
      <c r="S909" s="1073"/>
      <c r="T909" s="1074"/>
      <c r="U909" s="1074"/>
      <c r="V909" s="1074"/>
      <c r="W909" s="1074"/>
      <c r="X909" s="1074"/>
      <c r="Y909" s="1072"/>
      <c r="Z909" s="1073"/>
      <c r="AA909" s="1074"/>
      <c r="AB909" s="1074"/>
      <c r="AC909" s="1074"/>
      <c r="AD909" s="1074"/>
      <c r="AE909" s="1074"/>
      <c r="AF909" s="1072"/>
      <c r="AG909" s="1073"/>
      <c r="AH909" s="1074"/>
      <c r="AI909" s="1074"/>
      <c r="AJ909" s="1074"/>
      <c r="AK909" s="1074"/>
    </row>
    <row r="910">
      <c r="A910" s="1072"/>
      <c r="B910" s="1072"/>
      <c r="C910" s="1075"/>
      <c r="D910" s="1074"/>
      <c r="E910" s="1074"/>
      <c r="F910" s="1074"/>
      <c r="G910" s="1076"/>
      <c r="H910" s="1074"/>
      <c r="I910" s="1074"/>
      <c r="J910" s="1072"/>
      <c r="K910" s="1075"/>
      <c r="L910" s="1074"/>
      <c r="M910" s="1074"/>
      <c r="N910" s="1074"/>
      <c r="O910" s="1076"/>
      <c r="P910" s="1074"/>
      <c r="Q910" s="1074"/>
      <c r="R910" s="1072"/>
      <c r="S910" s="1073"/>
      <c r="T910" s="1074"/>
      <c r="U910" s="1074"/>
      <c r="V910" s="1074"/>
      <c r="W910" s="1074"/>
      <c r="X910" s="1074"/>
      <c r="Y910" s="1072"/>
      <c r="Z910" s="1073"/>
      <c r="AA910" s="1074"/>
      <c r="AB910" s="1074"/>
      <c r="AC910" s="1074"/>
      <c r="AD910" s="1074"/>
      <c r="AE910" s="1074"/>
      <c r="AF910" s="1072"/>
      <c r="AG910" s="1073"/>
      <c r="AH910" s="1074"/>
      <c r="AI910" s="1074"/>
      <c r="AJ910" s="1074"/>
      <c r="AK910" s="1074"/>
    </row>
    <row r="911">
      <c r="A911" s="1072"/>
      <c r="B911" s="1072"/>
      <c r="C911" s="1075"/>
      <c r="D911" s="1074"/>
      <c r="E911" s="1074"/>
      <c r="F911" s="1074"/>
      <c r="G911" s="1076"/>
      <c r="H911" s="1074"/>
      <c r="I911" s="1074"/>
      <c r="J911" s="1072"/>
      <c r="K911" s="1075"/>
      <c r="L911" s="1074"/>
      <c r="M911" s="1074"/>
      <c r="N911" s="1074"/>
      <c r="O911" s="1076"/>
      <c r="P911" s="1074"/>
      <c r="Q911" s="1074"/>
      <c r="R911" s="1072"/>
      <c r="S911" s="1073"/>
      <c r="T911" s="1074"/>
      <c r="U911" s="1074"/>
      <c r="V911" s="1074"/>
      <c r="W911" s="1074"/>
      <c r="X911" s="1074"/>
      <c r="Y911" s="1072"/>
      <c r="Z911" s="1073"/>
      <c r="AA911" s="1074"/>
      <c r="AB911" s="1074"/>
      <c r="AC911" s="1074"/>
      <c r="AD911" s="1074"/>
      <c r="AE911" s="1074"/>
      <c r="AF911" s="1072"/>
      <c r="AG911" s="1073"/>
      <c r="AH911" s="1074"/>
      <c r="AI911" s="1074"/>
      <c r="AJ911" s="1074"/>
      <c r="AK911" s="1074"/>
    </row>
    <row r="912">
      <c r="A912" s="1072"/>
      <c r="B912" s="1072"/>
      <c r="C912" s="1075"/>
      <c r="D912" s="1074"/>
      <c r="E912" s="1074"/>
      <c r="F912" s="1074"/>
      <c r="G912" s="1076"/>
      <c r="H912" s="1074"/>
      <c r="I912" s="1074"/>
      <c r="J912" s="1072"/>
      <c r="K912" s="1075"/>
      <c r="L912" s="1074"/>
      <c r="M912" s="1074"/>
      <c r="N912" s="1074"/>
      <c r="O912" s="1076"/>
      <c r="P912" s="1074"/>
      <c r="Q912" s="1074"/>
      <c r="R912" s="1072"/>
      <c r="S912" s="1073"/>
      <c r="T912" s="1074"/>
      <c r="U912" s="1074"/>
      <c r="V912" s="1074"/>
      <c r="W912" s="1074"/>
      <c r="X912" s="1074"/>
      <c r="Y912" s="1072"/>
      <c r="Z912" s="1073"/>
      <c r="AA912" s="1074"/>
      <c r="AB912" s="1074"/>
      <c r="AC912" s="1074"/>
      <c r="AD912" s="1074"/>
      <c r="AE912" s="1074"/>
      <c r="AF912" s="1072"/>
      <c r="AG912" s="1073"/>
      <c r="AH912" s="1074"/>
      <c r="AI912" s="1074"/>
      <c r="AJ912" s="1074"/>
      <c r="AK912" s="1074"/>
    </row>
    <row r="913">
      <c r="A913" s="1072"/>
      <c r="B913" s="1072"/>
      <c r="C913" s="1075"/>
      <c r="D913" s="1074"/>
      <c r="E913" s="1074"/>
      <c r="F913" s="1074"/>
      <c r="G913" s="1076"/>
      <c r="H913" s="1074"/>
      <c r="I913" s="1074"/>
      <c r="J913" s="1072"/>
      <c r="K913" s="1075"/>
      <c r="L913" s="1074"/>
      <c r="M913" s="1074"/>
      <c r="N913" s="1074"/>
      <c r="O913" s="1076"/>
      <c r="P913" s="1074"/>
      <c r="Q913" s="1074"/>
      <c r="R913" s="1072"/>
      <c r="S913" s="1073"/>
      <c r="T913" s="1074"/>
      <c r="U913" s="1074"/>
      <c r="V913" s="1074"/>
      <c r="W913" s="1074"/>
      <c r="X913" s="1074"/>
      <c r="Y913" s="1072"/>
      <c r="Z913" s="1073"/>
      <c r="AA913" s="1074"/>
      <c r="AB913" s="1074"/>
      <c r="AC913" s="1074"/>
      <c r="AD913" s="1074"/>
      <c r="AE913" s="1074"/>
      <c r="AF913" s="1072"/>
      <c r="AG913" s="1073"/>
      <c r="AH913" s="1074"/>
      <c r="AI913" s="1074"/>
      <c r="AJ913" s="1074"/>
      <c r="AK913" s="1074"/>
    </row>
    <row r="914">
      <c r="A914" s="1072"/>
      <c r="B914" s="1072"/>
      <c r="C914" s="1075"/>
      <c r="D914" s="1074"/>
      <c r="E914" s="1074"/>
      <c r="F914" s="1074"/>
      <c r="G914" s="1076"/>
      <c r="H914" s="1074"/>
      <c r="I914" s="1074"/>
      <c r="J914" s="1072"/>
      <c r="K914" s="1075"/>
      <c r="L914" s="1074"/>
      <c r="M914" s="1074"/>
      <c r="N914" s="1074"/>
      <c r="O914" s="1076"/>
      <c r="P914" s="1074"/>
      <c r="Q914" s="1074"/>
      <c r="R914" s="1072"/>
      <c r="S914" s="1073"/>
      <c r="T914" s="1074"/>
      <c r="U914" s="1074"/>
      <c r="V914" s="1074"/>
      <c r="W914" s="1074"/>
      <c r="X914" s="1074"/>
      <c r="Y914" s="1072"/>
      <c r="Z914" s="1073"/>
      <c r="AA914" s="1074"/>
      <c r="AB914" s="1074"/>
      <c r="AC914" s="1074"/>
      <c r="AD914" s="1074"/>
      <c r="AE914" s="1074"/>
      <c r="AF914" s="1072"/>
      <c r="AG914" s="1073"/>
      <c r="AH914" s="1074"/>
      <c r="AI914" s="1074"/>
      <c r="AJ914" s="1074"/>
      <c r="AK914" s="1074"/>
    </row>
    <row r="915">
      <c r="A915" s="1072"/>
      <c r="B915" s="1072"/>
      <c r="C915" s="1075"/>
      <c r="D915" s="1074"/>
      <c r="E915" s="1074"/>
      <c r="F915" s="1074"/>
      <c r="G915" s="1076"/>
      <c r="H915" s="1074"/>
      <c r="I915" s="1074"/>
      <c r="J915" s="1072"/>
      <c r="K915" s="1075"/>
      <c r="L915" s="1074"/>
      <c r="M915" s="1074"/>
      <c r="N915" s="1074"/>
      <c r="O915" s="1076"/>
      <c r="P915" s="1074"/>
      <c r="Q915" s="1074"/>
      <c r="R915" s="1072"/>
      <c r="S915" s="1073"/>
      <c r="T915" s="1074"/>
      <c r="U915" s="1074"/>
      <c r="V915" s="1074"/>
      <c r="W915" s="1074"/>
      <c r="X915" s="1074"/>
      <c r="Y915" s="1072"/>
      <c r="Z915" s="1073"/>
      <c r="AA915" s="1074"/>
      <c r="AB915" s="1074"/>
      <c r="AC915" s="1074"/>
      <c r="AD915" s="1074"/>
      <c r="AE915" s="1074"/>
      <c r="AF915" s="1072"/>
      <c r="AG915" s="1073"/>
      <c r="AH915" s="1074"/>
      <c r="AI915" s="1074"/>
      <c r="AJ915" s="1074"/>
      <c r="AK915" s="1074"/>
    </row>
    <row r="916">
      <c r="A916" s="1072"/>
      <c r="B916" s="1072"/>
      <c r="C916" s="1075"/>
      <c r="D916" s="1074"/>
      <c r="E916" s="1074"/>
      <c r="F916" s="1074"/>
      <c r="G916" s="1076"/>
      <c r="H916" s="1074"/>
      <c r="I916" s="1074"/>
      <c r="J916" s="1072"/>
      <c r="K916" s="1075"/>
      <c r="L916" s="1074"/>
      <c r="M916" s="1074"/>
      <c r="N916" s="1074"/>
      <c r="O916" s="1076"/>
      <c r="P916" s="1074"/>
      <c r="Q916" s="1074"/>
      <c r="R916" s="1072"/>
      <c r="S916" s="1073"/>
      <c r="T916" s="1074"/>
      <c r="U916" s="1074"/>
      <c r="V916" s="1074"/>
      <c r="W916" s="1074"/>
      <c r="X916" s="1074"/>
      <c r="Y916" s="1072"/>
      <c r="Z916" s="1073"/>
      <c r="AA916" s="1074"/>
      <c r="AB916" s="1074"/>
      <c r="AC916" s="1074"/>
      <c r="AD916" s="1074"/>
      <c r="AE916" s="1074"/>
      <c r="AF916" s="1072"/>
      <c r="AG916" s="1073"/>
      <c r="AH916" s="1074"/>
      <c r="AI916" s="1074"/>
      <c r="AJ916" s="1074"/>
      <c r="AK916" s="1074"/>
    </row>
    <row r="917">
      <c r="A917" s="1072"/>
      <c r="B917" s="1072"/>
      <c r="C917" s="1075"/>
      <c r="D917" s="1074"/>
      <c r="E917" s="1074"/>
      <c r="F917" s="1074"/>
      <c r="G917" s="1076"/>
      <c r="H917" s="1074"/>
      <c r="I917" s="1074"/>
      <c r="J917" s="1072"/>
      <c r="K917" s="1075"/>
      <c r="L917" s="1074"/>
      <c r="M917" s="1074"/>
      <c r="N917" s="1074"/>
      <c r="O917" s="1076"/>
      <c r="P917" s="1074"/>
      <c r="Q917" s="1074"/>
      <c r="R917" s="1072"/>
      <c r="S917" s="1073"/>
      <c r="T917" s="1074"/>
      <c r="U917" s="1074"/>
      <c r="V917" s="1074"/>
      <c r="W917" s="1074"/>
      <c r="X917" s="1074"/>
      <c r="Y917" s="1072"/>
      <c r="Z917" s="1073"/>
      <c r="AA917" s="1074"/>
      <c r="AB917" s="1074"/>
      <c r="AC917" s="1074"/>
      <c r="AD917" s="1074"/>
      <c r="AE917" s="1074"/>
      <c r="AF917" s="1072"/>
      <c r="AG917" s="1073"/>
      <c r="AH917" s="1074"/>
      <c r="AI917" s="1074"/>
      <c r="AJ917" s="1074"/>
      <c r="AK917" s="1074"/>
    </row>
    <row r="918">
      <c r="A918" s="1072"/>
      <c r="B918" s="1072"/>
      <c r="C918" s="1075"/>
      <c r="D918" s="1074"/>
      <c r="E918" s="1074"/>
      <c r="F918" s="1074"/>
      <c r="G918" s="1076"/>
      <c r="H918" s="1074"/>
      <c r="I918" s="1074"/>
      <c r="J918" s="1072"/>
      <c r="K918" s="1075"/>
      <c r="L918" s="1074"/>
      <c r="M918" s="1074"/>
      <c r="N918" s="1074"/>
      <c r="O918" s="1076"/>
      <c r="P918" s="1074"/>
      <c r="Q918" s="1074"/>
      <c r="R918" s="1072"/>
      <c r="S918" s="1073"/>
      <c r="T918" s="1074"/>
      <c r="U918" s="1074"/>
      <c r="V918" s="1074"/>
      <c r="W918" s="1074"/>
      <c r="X918" s="1074"/>
      <c r="Y918" s="1072"/>
      <c r="Z918" s="1073"/>
      <c r="AA918" s="1074"/>
      <c r="AB918" s="1074"/>
      <c r="AC918" s="1074"/>
      <c r="AD918" s="1074"/>
      <c r="AE918" s="1074"/>
      <c r="AF918" s="1072"/>
      <c r="AG918" s="1073"/>
      <c r="AH918" s="1074"/>
      <c r="AI918" s="1074"/>
      <c r="AJ918" s="1074"/>
      <c r="AK918" s="1074"/>
    </row>
    <row r="919">
      <c r="A919" s="1072"/>
      <c r="B919" s="1072"/>
      <c r="C919" s="1075"/>
      <c r="D919" s="1074"/>
      <c r="E919" s="1074"/>
      <c r="F919" s="1074"/>
      <c r="G919" s="1076"/>
      <c r="H919" s="1074"/>
      <c r="I919" s="1074"/>
      <c r="J919" s="1072"/>
      <c r="K919" s="1075"/>
      <c r="L919" s="1074"/>
      <c r="M919" s="1074"/>
      <c r="N919" s="1074"/>
      <c r="O919" s="1076"/>
      <c r="P919" s="1074"/>
      <c r="Q919" s="1074"/>
      <c r="R919" s="1072"/>
      <c r="S919" s="1073"/>
      <c r="T919" s="1074"/>
      <c r="U919" s="1074"/>
      <c r="V919" s="1074"/>
      <c r="W919" s="1074"/>
      <c r="X919" s="1074"/>
      <c r="Y919" s="1072"/>
      <c r="Z919" s="1073"/>
      <c r="AA919" s="1074"/>
      <c r="AB919" s="1074"/>
      <c r="AC919" s="1074"/>
      <c r="AD919" s="1074"/>
      <c r="AE919" s="1074"/>
      <c r="AF919" s="1072"/>
      <c r="AG919" s="1073"/>
      <c r="AH919" s="1074"/>
      <c r="AI919" s="1074"/>
      <c r="AJ919" s="1074"/>
      <c r="AK919" s="1074"/>
    </row>
    <row r="920">
      <c r="A920" s="1072"/>
      <c r="B920" s="1072"/>
      <c r="C920" s="1075"/>
      <c r="D920" s="1074"/>
      <c r="E920" s="1074"/>
      <c r="F920" s="1074"/>
      <c r="G920" s="1076"/>
      <c r="H920" s="1074"/>
      <c r="I920" s="1074"/>
      <c r="J920" s="1072"/>
      <c r="K920" s="1075"/>
      <c r="L920" s="1074"/>
      <c r="M920" s="1074"/>
      <c r="N920" s="1074"/>
      <c r="O920" s="1076"/>
      <c r="P920" s="1074"/>
      <c r="Q920" s="1074"/>
      <c r="R920" s="1072"/>
      <c r="S920" s="1073"/>
      <c r="T920" s="1074"/>
      <c r="U920" s="1074"/>
      <c r="V920" s="1074"/>
      <c r="W920" s="1074"/>
      <c r="X920" s="1074"/>
      <c r="Y920" s="1072"/>
      <c r="Z920" s="1073"/>
      <c r="AA920" s="1074"/>
      <c r="AB920" s="1074"/>
      <c r="AC920" s="1074"/>
      <c r="AD920" s="1074"/>
      <c r="AE920" s="1074"/>
      <c r="AF920" s="1072"/>
      <c r="AG920" s="1073"/>
      <c r="AH920" s="1074"/>
      <c r="AI920" s="1074"/>
      <c r="AJ920" s="1074"/>
      <c r="AK920" s="1074"/>
    </row>
    <row r="921">
      <c r="A921" s="1072"/>
      <c r="B921" s="1072"/>
      <c r="C921" s="1075"/>
      <c r="D921" s="1074"/>
      <c r="E921" s="1074"/>
      <c r="F921" s="1074"/>
      <c r="G921" s="1076"/>
      <c r="H921" s="1074"/>
      <c r="I921" s="1074"/>
      <c r="J921" s="1072"/>
      <c r="K921" s="1075"/>
      <c r="L921" s="1074"/>
      <c r="M921" s="1074"/>
      <c r="N921" s="1074"/>
      <c r="O921" s="1076"/>
      <c r="P921" s="1074"/>
      <c r="Q921" s="1074"/>
      <c r="R921" s="1072"/>
      <c r="S921" s="1073"/>
      <c r="T921" s="1074"/>
      <c r="U921" s="1074"/>
      <c r="V921" s="1074"/>
      <c r="W921" s="1074"/>
      <c r="X921" s="1074"/>
      <c r="Y921" s="1072"/>
      <c r="Z921" s="1073"/>
      <c r="AA921" s="1074"/>
      <c r="AB921" s="1074"/>
      <c r="AC921" s="1074"/>
      <c r="AD921" s="1074"/>
      <c r="AE921" s="1074"/>
      <c r="AF921" s="1072"/>
      <c r="AG921" s="1073"/>
      <c r="AH921" s="1074"/>
      <c r="AI921" s="1074"/>
      <c r="AJ921" s="1074"/>
      <c r="AK921" s="1074"/>
    </row>
    <row r="922">
      <c r="A922" s="1072"/>
      <c r="B922" s="1072"/>
      <c r="C922" s="1075"/>
      <c r="D922" s="1074"/>
      <c r="E922" s="1074"/>
      <c r="F922" s="1074"/>
      <c r="G922" s="1076"/>
      <c r="H922" s="1074"/>
      <c r="I922" s="1074"/>
      <c r="J922" s="1072"/>
      <c r="K922" s="1075"/>
      <c r="L922" s="1074"/>
      <c r="M922" s="1074"/>
      <c r="N922" s="1074"/>
      <c r="O922" s="1076"/>
      <c r="P922" s="1074"/>
      <c r="Q922" s="1074"/>
      <c r="R922" s="1072"/>
      <c r="S922" s="1073"/>
      <c r="T922" s="1074"/>
      <c r="U922" s="1074"/>
      <c r="V922" s="1074"/>
      <c r="W922" s="1074"/>
      <c r="X922" s="1074"/>
      <c r="Y922" s="1072"/>
      <c r="Z922" s="1073"/>
      <c r="AA922" s="1074"/>
      <c r="AB922" s="1074"/>
      <c r="AC922" s="1074"/>
      <c r="AD922" s="1074"/>
      <c r="AE922" s="1074"/>
      <c r="AF922" s="1072"/>
      <c r="AG922" s="1073"/>
      <c r="AH922" s="1074"/>
      <c r="AI922" s="1074"/>
      <c r="AJ922" s="1074"/>
      <c r="AK922" s="1074"/>
    </row>
    <row r="923">
      <c r="A923" s="1072"/>
      <c r="B923" s="1072"/>
      <c r="C923" s="1075"/>
      <c r="D923" s="1074"/>
      <c r="E923" s="1074"/>
      <c r="F923" s="1074"/>
      <c r="G923" s="1076"/>
      <c r="H923" s="1074"/>
      <c r="I923" s="1074"/>
      <c r="J923" s="1072"/>
      <c r="K923" s="1075"/>
      <c r="L923" s="1074"/>
      <c r="M923" s="1074"/>
      <c r="N923" s="1074"/>
      <c r="O923" s="1076"/>
      <c r="P923" s="1074"/>
      <c r="Q923" s="1074"/>
      <c r="R923" s="1072"/>
      <c r="S923" s="1073"/>
      <c r="T923" s="1074"/>
      <c r="U923" s="1074"/>
      <c r="V923" s="1074"/>
      <c r="W923" s="1074"/>
      <c r="X923" s="1074"/>
      <c r="Y923" s="1072"/>
      <c r="Z923" s="1073"/>
      <c r="AA923" s="1074"/>
      <c r="AB923" s="1074"/>
      <c r="AC923" s="1074"/>
      <c r="AD923" s="1074"/>
      <c r="AE923" s="1074"/>
      <c r="AF923" s="1072"/>
      <c r="AG923" s="1073"/>
      <c r="AH923" s="1074"/>
      <c r="AI923" s="1074"/>
      <c r="AJ923" s="1074"/>
      <c r="AK923" s="1074"/>
    </row>
    <row r="924">
      <c r="A924" s="1072"/>
      <c r="B924" s="1072"/>
      <c r="C924" s="1075"/>
      <c r="D924" s="1074"/>
      <c r="E924" s="1074"/>
      <c r="F924" s="1074"/>
      <c r="G924" s="1076"/>
      <c r="H924" s="1074"/>
      <c r="I924" s="1074"/>
      <c r="J924" s="1072"/>
      <c r="K924" s="1075"/>
      <c r="L924" s="1074"/>
      <c r="M924" s="1074"/>
      <c r="N924" s="1074"/>
      <c r="O924" s="1076"/>
      <c r="P924" s="1074"/>
      <c r="Q924" s="1074"/>
      <c r="R924" s="1072"/>
      <c r="S924" s="1073"/>
      <c r="T924" s="1074"/>
      <c r="U924" s="1074"/>
      <c r="V924" s="1074"/>
      <c r="W924" s="1074"/>
      <c r="X924" s="1074"/>
      <c r="Y924" s="1072"/>
      <c r="Z924" s="1073"/>
      <c r="AA924" s="1074"/>
      <c r="AB924" s="1074"/>
      <c r="AC924" s="1074"/>
      <c r="AD924" s="1074"/>
      <c r="AE924" s="1074"/>
      <c r="AF924" s="1072"/>
      <c r="AG924" s="1073"/>
      <c r="AH924" s="1074"/>
      <c r="AI924" s="1074"/>
      <c r="AJ924" s="1074"/>
      <c r="AK924" s="1074"/>
    </row>
    <row r="925">
      <c r="A925" s="1072"/>
      <c r="B925" s="1072"/>
      <c r="C925" s="1075"/>
      <c r="D925" s="1074"/>
      <c r="E925" s="1074"/>
      <c r="F925" s="1074"/>
      <c r="G925" s="1076"/>
      <c r="H925" s="1074"/>
      <c r="I925" s="1074"/>
      <c r="J925" s="1072"/>
      <c r="K925" s="1075"/>
      <c r="L925" s="1074"/>
      <c r="M925" s="1074"/>
      <c r="N925" s="1074"/>
      <c r="O925" s="1076"/>
      <c r="P925" s="1074"/>
      <c r="Q925" s="1074"/>
      <c r="R925" s="1072"/>
      <c r="S925" s="1073"/>
      <c r="T925" s="1074"/>
      <c r="U925" s="1074"/>
      <c r="V925" s="1074"/>
      <c r="W925" s="1074"/>
      <c r="X925" s="1074"/>
      <c r="Y925" s="1072"/>
      <c r="Z925" s="1073"/>
      <c r="AA925" s="1074"/>
      <c r="AB925" s="1074"/>
      <c r="AC925" s="1074"/>
      <c r="AD925" s="1074"/>
      <c r="AE925" s="1074"/>
      <c r="AF925" s="1072"/>
      <c r="AG925" s="1073"/>
      <c r="AH925" s="1074"/>
      <c r="AI925" s="1074"/>
      <c r="AJ925" s="1074"/>
      <c r="AK925" s="1074"/>
    </row>
    <row r="926">
      <c r="A926" s="1072"/>
      <c r="B926" s="1072"/>
      <c r="C926" s="1075"/>
      <c r="D926" s="1074"/>
      <c r="E926" s="1074"/>
      <c r="F926" s="1074"/>
      <c r="G926" s="1076"/>
      <c r="H926" s="1074"/>
      <c r="I926" s="1074"/>
      <c r="J926" s="1072"/>
      <c r="K926" s="1075"/>
      <c r="L926" s="1074"/>
      <c r="M926" s="1074"/>
      <c r="N926" s="1074"/>
      <c r="O926" s="1076"/>
      <c r="P926" s="1074"/>
      <c r="Q926" s="1074"/>
      <c r="R926" s="1072"/>
      <c r="S926" s="1073"/>
      <c r="T926" s="1074"/>
      <c r="U926" s="1074"/>
      <c r="V926" s="1074"/>
      <c r="W926" s="1074"/>
      <c r="X926" s="1074"/>
      <c r="Y926" s="1072"/>
      <c r="Z926" s="1073"/>
      <c r="AA926" s="1074"/>
      <c r="AB926" s="1074"/>
      <c r="AC926" s="1074"/>
      <c r="AD926" s="1074"/>
      <c r="AE926" s="1074"/>
      <c r="AF926" s="1072"/>
      <c r="AG926" s="1073"/>
      <c r="AH926" s="1074"/>
      <c r="AI926" s="1074"/>
      <c r="AJ926" s="1074"/>
      <c r="AK926" s="1074"/>
    </row>
    <row r="927">
      <c r="A927" s="1072"/>
      <c r="B927" s="1072"/>
      <c r="C927" s="1075"/>
      <c r="D927" s="1074"/>
      <c r="E927" s="1074"/>
      <c r="F927" s="1074"/>
      <c r="G927" s="1076"/>
      <c r="H927" s="1074"/>
      <c r="I927" s="1074"/>
      <c r="J927" s="1072"/>
      <c r="K927" s="1075"/>
      <c r="L927" s="1074"/>
      <c r="M927" s="1074"/>
      <c r="N927" s="1074"/>
      <c r="O927" s="1076"/>
      <c r="P927" s="1074"/>
      <c r="Q927" s="1074"/>
      <c r="R927" s="1072"/>
      <c r="S927" s="1073"/>
      <c r="T927" s="1074"/>
      <c r="U927" s="1074"/>
      <c r="V927" s="1074"/>
      <c r="W927" s="1074"/>
      <c r="X927" s="1074"/>
      <c r="Y927" s="1072"/>
      <c r="Z927" s="1073"/>
      <c r="AA927" s="1074"/>
      <c r="AB927" s="1074"/>
      <c r="AC927" s="1074"/>
      <c r="AD927" s="1074"/>
      <c r="AE927" s="1074"/>
      <c r="AF927" s="1072"/>
      <c r="AG927" s="1073"/>
      <c r="AH927" s="1074"/>
      <c r="AI927" s="1074"/>
      <c r="AJ927" s="1074"/>
      <c r="AK927" s="1074"/>
    </row>
    <row r="928">
      <c r="A928" s="1072"/>
      <c r="B928" s="1072"/>
      <c r="C928" s="1075"/>
      <c r="D928" s="1074"/>
      <c r="E928" s="1074"/>
      <c r="F928" s="1074"/>
      <c r="G928" s="1076"/>
      <c r="H928" s="1074"/>
      <c r="I928" s="1074"/>
      <c r="J928" s="1072"/>
      <c r="K928" s="1075"/>
      <c r="L928" s="1074"/>
      <c r="M928" s="1074"/>
      <c r="N928" s="1074"/>
      <c r="O928" s="1076"/>
      <c r="P928" s="1074"/>
      <c r="Q928" s="1074"/>
      <c r="R928" s="1072"/>
      <c r="S928" s="1073"/>
      <c r="T928" s="1074"/>
      <c r="U928" s="1074"/>
      <c r="V928" s="1074"/>
      <c r="W928" s="1074"/>
      <c r="X928" s="1074"/>
      <c r="Y928" s="1072"/>
      <c r="Z928" s="1073"/>
      <c r="AA928" s="1074"/>
      <c r="AB928" s="1074"/>
      <c r="AC928" s="1074"/>
      <c r="AD928" s="1074"/>
      <c r="AE928" s="1074"/>
      <c r="AF928" s="1072"/>
      <c r="AG928" s="1073"/>
      <c r="AH928" s="1074"/>
      <c r="AI928" s="1074"/>
      <c r="AJ928" s="1074"/>
      <c r="AK928" s="1074"/>
    </row>
    <row r="929">
      <c r="A929" s="1072"/>
      <c r="B929" s="1072"/>
      <c r="C929" s="1075"/>
      <c r="D929" s="1074"/>
      <c r="E929" s="1074"/>
      <c r="F929" s="1074"/>
      <c r="G929" s="1076"/>
      <c r="H929" s="1074"/>
      <c r="I929" s="1074"/>
      <c r="J929" s="1072"/>
      <c r="K929" s="1075"/>
      <c r="L929" s="1074"/>
      <c r="M929" s="1074"/>
      <c r="N929" s="1074"/>
      <c r="O929" s="1076"/>
      <c r="P929" s="1074"/>
      <c r="Q929" s="1074"/>
      <c r="R929" s="1072"/>
      <c r="S929" s="1073"/>
      <c r="T929" s="1074"/>
      <c r="U929" s="1074"/>
      <c r="V929" s="1074"/>
      <c r="W929" s="1074"/>
      <c r="X929" s="1074"/>
      <c r="Y929" s="1072"/>
      <c r="Z929" s="1073"/>
      <c r="AA929" s="1074"/>
      <c r="AB929" s="1074"/>
      <c r="AC929" s="1074"/>
      <c r="AD929" s="1074"/>
      <c r="AE929" s="1074"/>
      <c r="AF929" s="1072"/>
      <c r="AG929" s="1073"/>
      <c r="AH929" s="1074"/>
      <c r="AI929" s="1074"/>
      <c r="AJ929" s="1074"/>
      <c r="AK929" s="1074"/>
    </row>
    <row r="930">
      <c r="A930" s="1072"/>
      <c r="B930" s="1072"/>
      <c r="C930" s="1075"/>
      <c r="D930" s="1074"/>
      <c r="E930" s="1074"/>
      <c r="F930" s="1074"/>
      <c r="G930" s="1076"/>
      <c r="H930" s="1074"/>
      <c r="I930" s="1074"/>
      <c r="J930" s="1072"/>
      <c r="K930" s="1075"/>
      <c r="L930" s="1074"/>
      <c r="M930" s="1074"/>
      <c r="N930" s="1074"/>
      <c r="O930" s="1076"/>
      <c r="P930" s="1074"/>
      <c r="Q930" s="1074"/>
      <c r="R930" s="1072"/>
      <c r="S930" s="1073"/>
      <c r="T930" s="1074"/>
      <c r="U930" s="1074"/>
      <c r="V930" s="1074"/>
      <c r="W930" s="1074"/>
      <c r="X930" s="1074"/>
      <c r="Y930" s="1072"/>
      <c r="Z930" s="1073"/>
      <c r="AA930" s="1074"/>
      <c r="AB930" s="1074"/>
      <c r="AC930" s="1074"/>
      <c r="AD930" s="1074"/>
      <c r="AE930" s="1074"/>
      <c r="AF930" s="1072"/>
      <c r="AG930" s="1073"/>
      <c r="AH930" s="1074"/>
      <c r="AI930" s="1074"/>
      <c r="AJ930" s="1074"/>
      <c r="AK930" s="1074"/>
    </row>
    <row r="931">
      <c r="A931" s="1072"/>
      <c r="B931" s="1072"/>
      <c r="C931" s="1075"/>
      <c r="D931" s="1074"/>
      <c r="E931" s="1074"/>
      <c r="F931" s="1074"/>
      <c r="G931" s="1076"/>
      <c r="H931" s="1074"/>
      <c r="I931" s="1074"/>
      <c r="J931" s="1072"/>
      <c r="K931" s="1075"/>
      <c r="L931" s="1074"/>
      <c r="M931" s="1074"/>
      <c r="N931" s="1074"/>
      <c r="O931" s="1076"/>
      <c r="P931" s="1074"/>
      <c r="Q931" s="1074"/>
      <c r="R931" s="1072"/>
      <c r="S931" s="1073"/>
      <c r="T931" s="1074"/>
      <c r="U931" s="1074"/>
      <c r="V931" s="1074"/>
      <c r="W931" s="1074"/>
      <c r="X931" s="1074"/>
      <c r="Y931" s="1072"/>
      <c r="Z931" s="1073"/>
      <c r="AA931" s="1074"/>
      <c r="AB931" s="1074"/>
      <c r="AC931" s="1074"/>
      <c r="AD931" s="1074"/>
      <c r="AE931" s="1074"/>
      <c r="AF931" s="1072"/>
      <c r="AG931" s="1073"/>
      <c r="AH931" s="1074"/>
      <c r="AI931" s="1074"/>
      <c r="AJ931" s="1074"/>
      <c r="AK931" s="1074"/>
    </row>
    <row r="932">
      <c r="A932" s="1072"/>
      <c r="B932" s="1072"/>
      <c r="C932" s="1075"/>
      <c r="D932" s="1074"/>
      <c r="E932" s="1074"/>
      <c r="F932" s="1074"/>
      <c r="G932" s="1076"/>
      <c r="H932" s="1074"/>
      <c r="I932" s="1074"/>
      <c r="J932" s="1072"/>
      <c r="K932" s="1075"/>
      <c r="L932" s="1074"/>
      <c r="M932" s="1074"/>
      <c r="N932" s="1074"/>
      <c r="O932" s="1076"/>
      <c r="P932" s="1074"/>
      <c r="Q932" s="1074"/>
      <c r="R932" s="1072"/>
      <c r="S932" s="1073"/>
      <c r="T932" s="1074"/>
      <c r="U932" s="1074"/>
      <c r="V932" s="1074"/>
      <c r="W932" s="1074"/>
      <c r="X932" s="1074"/>
      <c r="Y932" s="1072"/>
      <c r="Z932" s="1073"/>
      <c r="AA932" s="1074"/>
      <c r="AB932" s="1074"/>
      <c r="AC932" s="1074"/>
      <c r="AD932" s="1074"/>
      <c r="AE932" s="1074"/>
      <c r="AF932" s="1072"/>
      <c r="AG932" s="1073"/>
      <c r="AH932" s="1074"/>
      <c r="AI932" s="1074"/>
      <c r="AJ932" s="1074"/>
      <c r="AK932" s="1074"/>
    </row>
    <row r="933">
      <c r="A933" s="1072"/>
      <c r="B933" s="1072"/>
      <c r="C933" s="1075"/>
      <c r="D933" s="1074"/>
      <c r="E933" s="1074"/>
      <c r="F933" s="1074"/>
      <c r="G933" s="1076"/>
      <c r="H933" s="1074"/>
      <c r="I933" s="1074"/>
      <c r="J933" s="1072"/>
      <c r="K933" s="1075"/>
      <c r="L933" s="1074"/>
      <c r="M933" s="1074"/>
      <c r="N933" s="1074"/>
      <c r="O933" s="1076"/>
      <c r="P933" s="1074"/>
      <c r="Q933" s="1074"/>
      <c r="R933" s="1072"/>
      <c r="S933" s="1073"/>
      <c r="T933" s="1074"/>
      <c r="U933" s="1074"/>
      <c r="V933" s="1074"/>
      <c r="W933" s="1074"/>
      <c r="X933" s="1074"/>
      <c r="Y933" s="1072"/>
      <c r="Z933" s="1073"/>
      <c r="AA933" s="1074"/>
      <c r="AB933" s="1074"/>
      <c r="AC933" s="1074"/>
      <c r="AD933" s="1074"/>
      <c r="AE933" s="1074"/>
      <c r="AF933" s="1072"/>
      <c r="AG933" s="1073"/>
      <c r="AH933" s="1074"/>
      <c r="AI933" s="1074"/>
      <c r="AJ933" s="1074"/>
      <c r="AK933" s="1074"/>
    </row>
    <row r="934">
      <c r="A934" s="1072"/>
      <c r="B934" s="1072"/>
      <c r="C934" s="1075"/>
      <c r="D934" s="1074"/>
      <c r="E934" s="1074"/>
      <c r="F934" s="1074"/>
      <c r="G934" s="1076"/>
      <c r="H934" s="1074"/>
      <c r="I934" s="1074"/>
      <c r="J934" s="1072"/>
      <c r="K934" s="1075"/>
      <c r="L934" s="1074"/>
      <c r="M934" s="1074"/>
      <c r="N934" s="1074"/>
      <c r="O934" s="1076"/>
      <c r="P934" s="1074"/>
      <c r="Q934" s="1074"/>
      <c r="R934" s="1072"/>
      <c r="S934" s="1073"/>
      <c r="T934" s="1074"/>
      <c r="U934" s="1074"/>
      <c r="V934" s="1074"/>
      <c r="W934" s="1074"/>
      <c r="X934" s="1074"/>
      <c r="Y934" s="1072"/>
      <c r="Z934" s="1073"/>
      <c r="AA934" s="1074"/>
      <c r="AB934" s="1074"/>
      <c r="AC934" s="1074"/>
      <c r="AD934" s="1074"/>
      <c r="AE934" s="1074"/>
      <c r="AF934" s="1072"/>
      <c r="AG934" s="1073"/>
      <c r="AH934" s="1074"/>
      <c r="AI934" s="1074"/>
      <c r="AJ934" s="1074"/>
      <c r="AK934" s="1074"/>
    </row>
    <row r="935">
      <c r="A935" s="1072"/>
      <c r="B935" s="1072"/>
      <c r="C935" s="1075"/>
      <c r="D935" s="1074"/>
      <c r="E935" s="1074"/>
      <c r="F935" s="1074"/>
      <c r="G935" s="1076"/>
      <c r="H935" s="1074"/>
      <c r="I935" s="1074"/>
      <c r="J935" s="1072"/>
      <c r="K935" s="1075"/>
      <c r="L935" s="1074"/>
      <c r="M935" s="1074"/>
      <c r="N935" s="1074"/>
      <c r="O935" s="1076"/>
      <c r="P935" s="1074"/>
      <c r="Q935" s="1074"/>
      <c r="R935" s="1072"/>
      <c r="S935" s="1073"/>
      <c r="T935" s="1074"/>
      <c r="U935" s="1074"/>
      <c r="V935" s="1074"/>
      <c r="W935" s="1074"/>
      <c r="X935" s="1074"/>
      <c r="Y935" s="1072"/>
      <c r="Z935" s="1073"/>
      <c r="AA935" s="1074"/>
      <c r="AB935" s="1074"/>
      <c r="AC935" s="1074"/>
      <c r="AD935" s="1074"/>
      <c r="AE935" s="1074"/>
      <c r="AF935" s="1072"/>
      <c r="AG935" s="1073"/>
      <c r="AH935" s="1074"/>
      <c r="AI935" s="1074"/>
      <c r="AJ935" s="1074"/>
      <c r="AK935" s="1074"/>
    </row>
    <row r="936">
      <c r="A936" s="1072"/>
      <c r="B936" s="1072"/>
      <c r="C936" s="1075"/>
      <c r="D936" s="1074"/>
      <c r="E936" s="1074"/>
      <c r="F936" s="1074"/>
      <c r="G936" s="1076"/>
      <c r="H936" s="1074"/>
      <c r="I936" s="1074"/>
      <c r="J936" s="1072"/>
      <c r="K936" s="1075"/>
      <c r="L936" s="1074"/>
      <c r="M936" s="1074"/>
      <c r="N936" s="1074"/>
      <c r="O936" s="1076"/>
      <c r="P936" s="1074"/>
      <c r="Q936" s="1074"/>
      <c r="R936" s="1072"/>
      <c r="S936" s="1073"/>
      <c r="T936" s="1074"/>
      <c r="U936" s="1074"/>
      <c r="V936" s="1074"/>
      <c r="W936" s="1074"/>
      <c r="X936" s="1074"/>
      <c r="Y936" s="1072"/>
      <c r="Z936" s="1073"/>
      <c r="AA936" s="1074"/>
      <c r="AB936" s="1074"/>
      <c r="AC936" s="1074"/>
      <c r="AD936" s="1074"/>
      <c r="AE936" s="1074"/>
      <c r="AF936" s="1072"/>
      <c r="AG936" s="1073"/>
      <c r="AH936" s="1074"/>
      <c r="AI936" s="1074"/>
      <c r="AJ936" s="1074"/>
      <c r="AK936" s="1074"/>
    </row>
    <row r="937">
      <c r="A937" s="1072"/>
      <c r="B937" s="1072"/>
      <c r="C937" s="1075"/>
      <c r="D937" s="1074"/>
      <c r="E937" s="1074"/>
      <c r="F937" s="1074"/>
      <c r="G937" s="1076"/>
      <c r="H937" s="1074"/>
      <c r="I937" s="1074"/>
      <c r="J937" s="1072"/>
      <c r="K937" s="1075"/>
      <c r="L937" s="1074"/>
      <c r="M937" s="1074"/>
      <c r="N937" s="1074"/>
      <c r="O937" s="1076"/>
      <c r="P937" s="1074"/>
      <c r="Q937" s="1074"/>
      <c r="R937" s="1072"/>
      <c r="S937" s="1073"/>
      <c r="T937" s="1074"/>
      <c r="U937" s="1074"/>
      <c r="V937" s="1074"/>
      <c r="W937" s="1074"/>
      <c r="X937" s="1074"/>
      <c r="Y937" s="1072"/>
      <c r="Z937" s="1073"/>
      <c r="AA937" s="1074"/>
      <c r="AB937" s="1074"/>
      <c r="AC937" s="1074"/>
      <c r="AD937" s="1074"/>
      <c r="AE937" s="1074"/>
      <c r="AF937" s="1072"/>
      <c r="AG937" s="1073"/>
      <c r="AH937" s="1074"/>
      <c r="AI937" s="1074"/>
      <c r="AJ937" s="1074"/>
      <c r="AK937" s="1074"/>
    </row>
    <row r="938">
      <c r="A938" s="1072"/>
      <c r="B938" s="1072"/>
      <c r="C938" s="1075"/>
      <c r="D938" s="1074"/>
      <c r="E938" s="1074"/>
      <c r="F938" s="1074"/>
      <c r="G938" s="1076"/>
      <c r="H938" s="1074"/>
      <c r="I938" s="1074"/>
      <c r="J938" s="1072"/>
      <c r="K938" s="1075"/>
      <c r="L938" s="1074"/>
      <c r="M938" s="1074"/>
      <c r="N938" s="1074"/>
      <c r="O938" s="1076"/>
      <c r="P938" s="1074"/>
      <c r="Q938" s="1074"/>
      <c r="R938" s="1072"/>
      <c r="S938" s="1073"/>
      <c r="T938" s="1074"/>
      <c r="U938" s="1074"/>
      <c r="V938" s="1074"/>
      <c r="W938" s="1074"/>
      <c r="X938" s="1074"/>
      <c r="Y938" s="1072"/>
      <c r="Z938" s="1073"/>
      <c r="AA938" s="1074"/>
      <c r="AB938" s="1074"/>
      <c r="AC938" s="1074"/>
      <c r="AD938" s="1074"/>
      <c r="AE938" s="1074"/>
      <c r="AF938" s="1072"/>
      <c r="AG938" s="1073"/>
      <c r="AH938" s="1074"/>
      <c r="AI938" s="1074"/>
      <c r="AJ938" s="1074"/>
      <c r="AK938" s="1074"/>
    </row>
    <row r="939">
      <c r="A939" s="1072"/>
      <c r="B939" s="1072"/>
      <c r="C939" s="1075"/>
      <c r="D939" s="1074"/>
      <c r="E939" s="1074"/>
      <c r="F939" s="1074"/>
      <c r="G939" s="1076"/>
      <c r="H939" s="1074"/>
      <c r="I939" s="1074"/>
      <c r="J939" s="1072"/>
      <c r="K939" s="1075"/>
      <c r="L939" s="1074"/>
      <c r="M939" s="1074"/>
      <c r="N939" s="1074"/>
      <c r="O939" s="1076"/>
      <c r="P939" s="1074"/>
      <c r="Q939" s="1074"/>
      <c r="R939" s="1072"/>
      <c r="S939" s="1073"/>
      <c r="T939" s="1074"/>
      <c r="U939" s="1074"/>
      <c r="V939" s="1074"/>
      <c r="W939" s="1074"/>
      <c r="X939" s="1074"/>
      <c r="Y939" s="1072"/>
      <c r="Z939" s="1073"/>
      <c r="AA939" s="1074"/>
      <c r="AB939" s="1074"/>
      <c r="AC939" s="1074"/>
      <c r="AD939" s="1074"/>
      <c r="AE939" s="1074"/>
      <c r="AF939" s="1072"/>
      <c r="AG939" s="1073"/>
      <c r="AH939" s="1074"/>
      <c r="AI939" s="1074"/>
      <c r="AJ939" s="1074"/>
      <c r="AK939" s="1074"/>
    </row>
    <row r="940">
      <c r="A940" s="1072"/>
      <c r="B940" s="1072"/>
      <c r="C940" s="1075"/>
      <c r="D940" s="1074"/>
      <c r="E940" s="1074"/>
      <c r="F940" s="1074"/>
      <c r="G940" s="1076"/>
      <c r="H940" s="1074"/>
      <c r="I940" s="1074"/>
      <c r="J940" s="1072"/>
      <c r="K940" s="1075"/>
      <c r="L940" s="1074"/>
      <c r="M940" s="1074"/>
      <c r="N940" s="1074"/>
      <c r="O940" s="1076"/>
      <c r="P940" s="1074"/>
      <c r="Q940" s="1074"/>
      <c r="R940" s="1072"/>
      <c r="S940" s="1073"/>
      <c r="T940" s="1074"/>
      <c r="U940" s="1074"/>
      <c r="V940" s="1074"/>
      <c r="W940" s="1074"/>
      <c r="X940" s="1074"/>
      <c r="Y940" s="1072"/>
      <c r="Z940" s="1073"/>
      <c r="AA940" s="1074"/>
      <c r="AB940" s="1074"/>
      <c r="AC940" s="1074"/>
      <c r="AD940" s="1074"/>
      <c r="AE940" s="1074"/>
      <c r="AF940" s="1072"/>
      <c r="AG940" s="1073"/>
      <c r="AH940" s="1074"/>
      <c r="AI940" s="1074"/>
      <c r="AJ940" s="1074"/>
      <c r="AK940" s="1074"/>
    </row>
    <row r="941">
      <c r="A941" s="1072"/>
      <c r="B941" s="1072"/>
      <c r="C941" s="1075"/>
      <c r="D941" s="1074"/>
      <c r="E941" s="1074"/>
      <c r="F941" s="1074"/>
      <c r="G941" s="1076"/>
      <c r="H941" s="1074"/>
      <c r="I941" s="1074"/>
      <c r="J941" s="1072"/>
      <c r="K941" s="1075"/>
      <c r="L941" s="1074"/>
      <c r="M941" s="1074"/>
      <c r="N941" s="1074"/>
      <c r="O941" s="1076"/>
      <c r="P941" s="1074"/>
      <c r="Q941" s="1074"/>
      <c r="R941" s="1072"/>
      <c r="S941" s="1073"/>
      <c r="T941" s="1074"/>
      <c r="U941" s="1074"/>
      <c r="V941" s="1074"/>
      <c r="W941" s="1074"/>
      <c r="X941" s="1074"/>
      <c r="Y941" s="1072"/>
      <c r="Z941" s="1073"/>
      <c r="AA941" s="1074"/>
      <c r="AB941" s="1074"/>
      <c r="AC941" s="1074"/>
      <c r="AD941" s="1074"/>
      <c r="AE941" s="1074"/>
      <c r="AF941" s="1072"/>
      <c r="AG941" s="1073"/>
      <c r="AH941" s="1074"/>
      <c r="AI941" s="1074"/>
      <c r="AJ941" s="1074"/>
      <c r="AK941" s="1074"/>
    </row>
    <row r="942">
      <c r="A942" s="1072"/>
      <c r="B942" s="1072"/>
      <c r="C942" s="1075"/>
      <c r="D942" s="1074"/>
      <c r="E942" s="1074"/>
      <c r="F942" s="1074"/>
      <c r="G942" s="1076"/>
      <c r="H942" s="1074"/>
      <c r="I942" s="1074"/>
      <c r="J942" s="1072"/>
      <c r="K942" s="1075"/>
      <c r="L942" s="1074"/>
      <c r="M942" s="1074"/>
      <c r="N942" s="1074"/>
      <c r="O942" s="1076"/>
      <c r="P942" s="1074"/>
      <c r="Q942" s="1074"/>
      <c r="R942" s="1072"/>
      <c r="S942" s="1073"/>
      <c r="T942" s="1074"/>
      <c r="U942" s="1074"/>
      <c r="V942" s="1074"/>
      <c r="W942" s="1074"/>
      <c r="X942" s="1074"/>
      <c r="Y942" s="1072"/>
      <c r="Z942" s="1073"/>
      <c r="AA942" s="1074"/>
      <c r="AB942" s="1074"/>
      <c r="AC942" s="1074"/>
      <c r="AD942" s="1074"/>
      <c r="AE942" s="1074"/>
      <c r="AF942" s="1072"/>
      <c r="AG942" s="1073"/>
      <c r="AH942" s="1074"/>
      <c r="AI942" s="1074"/>
      <c r="AJ942" s="1074"/>
      <c r="AK942" s="1074"/>
    </row>
    <row r="943">
      <c r="A943" s="1072"/>
      <c r="B943" s="1072"/>
      <c r="C943" s="1075"/>
      <c r="D943" s="1074"/>
      <c r="E943" s="1074"/>
      <c r="F943" s="1074"/>
      <c r="G943" s="1076"/>
      <c r="H943" s="1074"/>
      <c r="I943" s="1074"/>
      <c r="J943" s="1072"/>
      <c r="K943" s="1075"/>
      <c r="L943" s="1074"/>
      <c r="M943" s="1074"/>
      <c r="N943" s="1074"/>
      <c r="O943" s="1076"/>
      <c r="P943" s="1074"/>
      <c r="Q943" s="1074"/>
      <c r="R943" s="1072"/>
      <c r="S943" s="1073"/>
      <c r="T943" s="1074"/>
      <c r="U943" s="1074"/>
      <c r="V943" s="1074"/>
      <c r="W943" s="1074"/>
      <c r="X943" s="1074"/>
      <c r="Y943" s="1072"/>
      <c r="Z943" s="1073"/>
      <c r="AA943" s="1074"/>
      <c r="AB943" s="1074"/>
      <c r="AC943" s="1074"/>
      <c r="AD943" s="1074"/>
      <c r="AE943" s="1074"/>
      <c r="AF943" s="1072"/>
      <c r="AG943" s="1073"/>
      <c r="AH943" s="1074"/>
      <c r="AI943" s="1074"/>
      <c r="AJ943" s="1074"/>
      <c r="AK943" s="1074"/>
    </row>
    <row r="944">
      <c r="A944" s="1072"/>
      <c r="B944" s="1072"/>
      <c r="C944" s="1075"/>
      <c r="D944" s="1074"/>
      <c r="E944" s="1074"/>
      <c r="F944" s="1074"/>
      <c r="G944" s="1076"/>
      <c r="H944" s="1074"/>
      <c r="I944" s="1074"/>
      <c r="J944" s="1072"/>
      <c r="K944" s="1075"/>
      <c r="L944" s="1074"/>
      <c r="M944" s="1074"/>
      <c r="N944" s="1074"/>
      <c r="O944" s="1076"/>
      <c r="P944" s="1074"/>
      <c r="Q944" s="1074"/>
      <c r="R944" s="1072"/>
      <c r="S944" s="1073"/>
      <c r="T944" s="1074"/>
      <c r="U944" s="1074"/>
      <c r="V944" s="1074"/>
      <c r="W944" s="1074"/>
      <c r="X944" s="1074"/>
      <c r="Y944" s="1072"/>
      <c r="Z944" s="1073"/>
      <c r="AA944" s="1074"/>
      <c r="AB944" s="1074"/>
      <c r="AC944" s="1074"/>
      <c r="AD944" s="1074"/>
      <c r="AE944" s="1074"/>
      <c r="AF944" s="1072"/>
      <c r="AG944" s="1073"/>
      <c r="AH944" s="1074"/>
      <c r="AI944" s="1074"/>
      <c r="AJ944" s="1074"/>
      <c r="AK944" s="1074"/>
    </row>
    <row r="945">
      <c r="A945" s="1072"/>
      <c r="B945" s="1072"/>
      <c r="C945" s="1075"/>
      <c r="D945" s="1074"/>
      <c r="E945" s="1074"/>
      <c r="F945" s="1074"/>
      <c r="G945" s="1076"/>
      <c r="H945" s="1074"/>
      <c r="I945" s="1074"/>
      <c r="J945" s="1072"/>
      <c r="K945" s="1075"/>
      <c r="L945" s="1074"/>
      <c r="M945" s="1074"/>
      <c r="N945" s="1074"/>
      <c r="O945" s="1076"/>
      <c r="P945" s="1074"/>
      <c r="Q945" s="1074"/>
      <c r="R945" s="1072"/>
      <c r="S945" s="1073"/>
      <c r="T945" s="1074"/>
      <c r="U945" s="1074"/>
      <c r="V945" s="1074"/>
      <c r="W945" s="1074"/>
      <c r="X945" s="1074"/>
      <c r="Y945" s="1072"/>
      <c r="Z945" s="1073"/>
      <c r="AA945" s="1074"/>
      <c r="AB945" s="1074"/>
      <c r="AC945" s="1074"/>
      <c r="AD945" s="1074"/>
      <c r="AE945" s="1074"/>
      <c r="AF945" s="1072"/>
      <c r="AG945" s="1073"/>
      <c r="AH945" s="1074"/>
      <c r="AI945" s="1074"/>
      <c r="AJ945" s="1074"/>
      <c r="AK945" s="1074"/>
    </row>
    <row r="946">
      <c r="A946" s="1072"/>
      <c r="B946" s="1072"/>
      <c r="C946" s="1075"/>
      <c r="D946" s="1074"/>
      <c r="E946" s="1074"/>
      <c r="F946" s="1074"/>
      <c r="G946" s="1076"/>
      <c r="H946" s="1074"/>
      <c r="I946" s="1074"/>
      <c r="J946" s="1072"/>
      <c r="K946" s="1075"/>
      <c r="L946" s="1074"/>
      <c r="M946" s="1074"/>
      <c r="N946" s="1074"/>
      <c r="O946" s="1076"/>
      <c r="P946" s="1074"/>
      <c r="Q946" s="1074"/>
      <c r="R946" s="1072"/>
      <c r="S946" s="1073"/>
      <c r="T946" s="1074"/>
      <c r="U946" s="1074"/>
      <c r="V946" s="1074"/>
      <c r="W946" s="1074"/>
      <c r="X946" s="1074"/>
      <c r="Y946" s="1072"/>
      <c r="Z946" s="1073"/>
      <c r="AA946" s="1074"/>
      <c r="AB946" s="1074"/>
      <c r="AC946" s="1074"/>
      <c r="AD946" s="1074"/>
      <c r="AE946" s="1074"/>
      <c r="AF946" s="1072"/>
      <c r="AG946" s="1073"/>
      <c r="AH946" s="1074"/>
      <c r="AI946" s="1074"/>
      <c r="AJ946" s="1074"/>
      <c r="AK946" s="1074"/>
    </row>
    <row r="947">
      <c r="A947" s="1072"/>
      <c r="B947" s="1072"/>
      <c r="C947" s="1075"/>
      <c r="D947" s="1074"/>
      <c r="E947" s="1074"/>
      <c r="F947" s="1074"/>
      <c r="G947" s="1076"/>
      <c r="H947" s="1074"/>
      <c r="I947" s="1074"/>
      <c r="J947" s="1072"/>
      <c r="K947" s="1075"/>
      <c r="L947" s="1074"/>
      <c r="M947" s="1074"/>
      <c r="N947" s="1074"/>
      <c r="O947" s="1076"/>
      <c r="P947" s="1074"/>
      <c r="Q947" s="1074"/>
      <c r="R947" s="1072"/>
      <c r="S947" s="1073"/>
      <c r="T947" s="1074"/>
      <c r="U947" s="1074"/>
      <c r="V947" s="1074"/>
      <c r="W947" s="1074"/>
      <c r="X947" s="1074"/>
      <c r="Y947" s="1072"/>
      <c r="Z947" s="1073"/>
      <c r="AA947" s="1074"/>
      <c r="AB947" s="1074"/>
      <c r="AC947" s="1074"/>
      <c r="AD947" s="1074"/>
      <c r="AE947" s="1074"/>
      <c r="AF947" s="1072"/>
      <c r="AG947" s="1073"/>
      <c r="AH947" s="1074"/>
      <c r="AI947" s="1074"/>
      <c r="AJ947" s="1074"/>
      <c r="AK947" s="1074"/>
    </row>
    <row r="948">
      <c r="A948" s="1072"/>
      <c r="B948" s="1072"/>
      <c r="C948" s="1075"/>
      <c r="D948" s="1074"/>
      <c r="E948" s="1074"/>
      <c r="F948" s="1074"/>
      <c r="G948" s="1076"/>
      <c r="H948" s="1074"/>
      <c r="I948" s="1074"/>
      <c r="J948" s="1072"/>
      <c r="K948" s="1075"/>
      <c r="L948" s="1074"/>
      <c r="M948" s="1074"/>
      <c r="N948" s="1074"/>
      <c r="O948" s="1076"/>
      <c r="P948" s="1074"/>
      <c r="Q948" s="1074"/>
      <c r="R948" s="1072"/>
      <c r="S948" s="1073"/>
      <c r="T948" s="1074"/>
      <c r="U948" s="1074"/>
      <c r="V948" s="1074"/>
      <c r="W948" s="1074"/>
      <c r="X948" s="1074"/>
      <c r="Y948" s="1072"/>
      <c r="Z948" s="1073"/>
      <c r="AA948" s="1074"/>
      <c r="AB948" s="1074"/>
      <c r="AC948" s="1074"/>
      <c r="AD948" s="1074"/>
      <c r="AE948" s="1074"/>
      <c r="AF948" s="1072"/>
      <c r="AG948" s="1073"/>
      <c r="AH948" s="1074"/>
      <c r="AI948" s="1074"/>
      <c r="AJ948" s="1074"/>
      <c r="AK948" s="1074"/>
    </row>
    <row r="949">
      <c r="A949" s="1072"/>
      <c r="B949" s="1072"/>
      <c r="C949" s="1075"/>
      <c r="D949" s="1074"/>
      <c r="E949" s="1074"/>
      <c r="F949" s="1074"/>
      <c r="G949" s="1076"/>
      <c r="H949" s="1074"/>
      <c r="I949" s="1074"/>
      <c r="J949" s="1072"/>
      <c r="K949" s="1075"/>
      <c r="L949" s="1074"/>
      <c r="M949" s="1074"/>
      <c r="N949" s="1074"/>
      <c r="O949" s="1076"/>
      <c r="P949" s="1074"/>
      <c r="Q949" s="1074"/>
      <c r="R949" s="1072"/>
      <c r="S949" s="1073"/>
      <c r="T949" s="1074"/>
      <c r="U949" s="1074"/>
      <c r="V949" s="1074"/>
      <c r="W949" s="1074"/>
      <c r="X949" s="1074"/>
      <c r="Y949" s="1072"/>
      <c r="Z949" s="1073"/>
      <c r="AA949" s="1074"/>
      <c r="AB949" s="1074"/>
      <c r="AC949" s="1074"/>
      <c r="AD949" s="1074"/>
      <c r="AE949" s="1074"/>
      <c r="AF949" s="1072"/>
      <c r="AG949" s="1073"/>
      <c r="AH949" s="1074"/>
      <c r="AI949" s="1074"/>
      <c r="AJ949" s="1074"/>
      <c r="AK949" s="1074"/>
    </row>
    <row r="950">
      <c r="A950" s="1072"/>
      <c r="B950" s="1072"/>
      <c r="C950" s="1075"/>
      <c r="D950" s="1074"/>
      <c r="E950" s="1074"/>
      <c r="F950" s="1074"/>
      <c r="G950" s="1076"/>
      <c r="H950" s="1074"/>
      <c r="I950" s="1074"/>
      <c r="J950" s="1072"/>
      <c r="K950" s="1075"/>
      <c r="L950" s="1074"/>
      <c r="M950" s="1074"/>
      <c r="N950" s="1074"/>
      <c r="O950" s="1076"/>
      <c r="P950" s="1074"/>
      <c r="Q950" s="1074"/>
      <c r="R950" s="1072"/>
      <c r="S950" s="1073"/>
      <c r="T950" s="1074"/>
      <c r="U950" s="1074"/>
      <c r="V950" s="1074"/>
      <c r="W950" s="1074"/>
      <c r="X950" s="1074"/>
      <c r="Y950" s="1072"/>
      <c r="Z950" s="1073"/>
      <c r="AA950" s="1074"/>
      <c r="AB950" s="1074"/>
      <c r="AC950" s="1074"/>
      <c r="AD950" s="1074"/>
      <c r="AE950" s="1074"/>
      <c r="AF950" s="1072"/>
      <c r="AG950" s="1073"/>
      <c r="AH950" s="1074"/>
      <c r="AI950" s="1074"/>
      <c r="AJ950" s="1074"/>
      <c r="AK950" s="1074"/>
    </row>
    <row r="951">
      <c r="A951" s="1072"/>
      <c r="B951" s="1072"/>
      <c r="C951" s="1075"/>
      <c r="D951" s="1074"/>
      <c r="E951" s="1074"/>
      <c r="F951" s="1074"/>
      <c r="G951" s="1076"/>
      <c r="H951" s="1074"/>
      <c r="I951" s="1074"/>
      <c r="J951" s="1072"/>
      <c r="K951" s="1075"/>
      <c r="L951" s="1074"/>
      <c r="M951" s="1074"/>
      <c r="N951" s="1074"/>
      <c r="O951" s="1076"/>
      <c r="P951" s="1074"/>
      <c r="Q951" s="1074"/>
      <c r="R951" s="1072"/>
      <c r="S951" s="1073"/>
      <c r="T951" s="1074"/>
      <c r="U951" s="1074"/>
      <c r="V951" s="1074"/>
      <c r="W951" s="1074"/>
      <c r="X951" s="1074"/>
      <c r="Y951" s="1072"/>
      <c r="Z951" s="1073"/>
      <c r="AA951" s="1074"/>
      <c r="AB951" s="1074"/>
      <c r="AC951" s="1074"/>
      <c r="AD951" s="1074"/>
      <c r="AE951" s="1074"/>
      <c r="AF951" s="1072"/>
      <c r="AG951" s="1073"/>
      <c r="AH951" s="1074"/>
      <c r="AI951" s="1074"/>
      <c r="AJ951" s="1074"/>
      <c r="AK951" s="1074"/>
    </row>
    <row r="952">
      <c r="A952" s="1072"/>
      <c r="B952" s="1072"/>
      <c r="C952" s="1075"/>
      <c r="D952" s="1074"/>
      <c r="E952" s="1074"/>
      <c r="F952" s="1074"/>
      <c r="G952" s="1076"/>
      <c r="H952" s="1074"/>
      <c r="I952" s="1074"/>
      <c r="J952" s="1072"/>
      <c r="K952" s="1075"/>
      <c r="L952" s="1074"/>
      <c r="M952" s="1074"/>
      <c r="N952" s="1074"/>
      <c r="O952" s="1076"/>
      <c r="P952" s="1074"/>
      <c r="Q952" s="1074"/>
      <c r="R952" s="1072"/>
      <c r="S952" s="1073"/>
      <c r="T952" s="1074"/>
      <c r="U952" s="1074"/>
      <c r="V952" s="1074"/>
      <c r="W952" s="1074"/>
      <c r="X952" s="1074"/>
      <c r="Y952" s="1072"/>
      <c r="Z952" s="1073"/>
      <c r="AA952" s="1074"/>
      <c r="AB952" s="1074"/>
      <c r="AC952" s="1074"/>
      <c r="AD952" s="1074"/>
      <c r="AE952" s="1074"/>
      <c r="AF952" s="1072"/>
      <c r="AG952" s="1073"/>
      <c r="AH952" s="1074"/>
      <c r="AI952" s="1074"/>
      <c r="AJ952" s="1074"/>
      <c r="AK952" s="1074"/>
    </row>
    <row r="953">
      <c r="A953" s="1072"/>
      <c r="B953" s="1072"/>
      <c r="C953" s="1075"/>
      <c r="D953" s="1074"/>
      <c r="E953" s="1074"/>
      <c r="F953" s="1074"/>
      <c r="G953" s="1076"/>
      <c r="H953" s="1074"/>
      <c r="I953" s="1074"/>
      <c r="J953" s="1072"/>
      <c r="K953" s="1075"/>
      <c r="L953" s="1074"/>
      <c r="M953" s="1074"/>
      <c r="N953" s="1074"/>
      <c r="O953" s="1076"/>
      <c r="P953" s="1074"/>
      <c r="Q953" s="1074"/>
      <c r="R953" s="1072"/>
      <c r="S953" s="1073"/>
      <c r="T953" s="1074"/>
      <c r="U953" s="1074"/>
      <c r="V953" s="1074"/>
      <c r="W953" s="1074"/>
      <c r="X953" s="1074"/>
      <c r="Y953" s="1072"/>
      <c r="Z953" s="1073"/>
      <c r="AA953" s="1074"/>
      <c r="AB953" s="1074"/>
      <c r="AC953" s="1074"/>
      <c r="AD953" s="1074"/>
      <c r="AE953" s="1074"/>
      <c r="AF953" s="1072"/>
      <c r="AG953" s="1073"/>
      <c r="AH953" s="1074"/>
      <c r="AI953" s="1074"/>
      <c r="AJ953" s="1074"/>
      <c r="AK953" s="1074"/>
    </row>
    <row r="954">
      <c r="A954" s="1072"/>
      <c r="B954" s="1072"/>
      <c r="C954" s="1075"/>
      <c r="D954" s="1074"/>
      <c r="E954" s="1074"/>
      <c r="F954" s="1074"/>
      <c r="G954" s="1076"/>
      <c r="H954" s="1074"/>
      <c r="I954" s="1074"/>
      <c r="J954" s="1072"/>
      <c r="K954" s="1075"/>
      <c r="L954" s="1074"/>
      <c r="M954" s="1074"/>
      <c r="N954" s="1074"/>
      <c r="O954" s="1076"/>
      <c r="P954" s="1074"/>
      <c r="Q954" s="1074"/>
      <c r="R954" s="1072"/>
      <c r="S954" s="1073"/>
      <c r="T954" s="1074"/>
      <c r="U954" s="1074"/>
      <c r="V954" s="1074"/>
      <c r="W954" s="1074"/>
      <c r="X954" s="1074"/>
      <c r="Y954" s="1072"/>
      <c r="Z954" s="1073"/>
      <c r="AA954" s="1074"/>
      <c r="AB954" s="1074"/>
      <c r="AC954" s="1074"/>
      <c r="AD954" s="1074"/>
      <c r="AE954" s="1074"/>
      <c r="AF954" s="1072"/>
      <c r="AG954" s="1073"/>
      <c r="AH954" s="1074"/>
      <c r="AI954" s="1074"/>
      <c r="AJ954" s="1074"/>
      <c r="AK954" s="1074"/>
    </row>
    <row r="955">
      <c r="A955" s="1072"/>
      <c r="B955" s="1072"/>
      <c r="C955" s="1075"/>
      <c r="D955" s="1074"/>
      <c r="E955" s="1074"/>
      <c r="F955" s="1074"/>
      <c r="G955" s="1076"/>
      <c r="H955" s="1074"/>
      <c r="I955" s="1074"/>
      <c r="J955" s="1072"/>
      <c r="K955" s="1075"/>
      <c r="L955" s="1074"/>
      <c r="M955" s="1074"/>
      <c r="N955" s="1074"/>
      <c r="O955" s="1076"/>
      <c r="P955" s="1074"/>
      <c r="Q955" s="1074"/>
      <c r="R955" s="1072"/>
      <c r="S955" s="1073"/>
      <c r="T955" s="1074"/>
      <c r="U955" s="1074"/>
      <c r="V955" s="1074"/>
      <c r="W955" s="1074"/>
      <c r="X955" s="1074"/>
      <c r="Y955" s="1072"/>
      <c r="Z955" s="1073"/>
      <c r="AA955" s="1074"/>
      <c r="AB955" s="1074"/>
      <c r="AC955" s="1074"/>
      <c r="AD955" s="1074"/>
      <c r="AE955" s="1074"/>
      <c r="AF955" s="1072"/>
      <c r="AG955" s="1073"/>
      <c r="AH955" s="1074"/>
      <c r="AI955" s="1074"/>
      <c r="AJ955" s="1074"/>
      <c r="AK955" s="1074"/>
    </row>
    <row r="956">
      <c r="A956" s="1072"/>
      <c r="B956" s="1072"/>
      <c r="C956" s="1075"/>
      <c r="D956" s="1074"/>
      <c r="E956" s="1074"/>
      <c r="F956" s="1074"/>
      <c r="G956" s="1076"/>
      <c r="H956" s="1074"/>
      <c r="I956" s="1074"/>
      <c r="J956" s="1072"/>
      <c r="K956" s="1075"/>
      <c r="L956" s="1074"/>
      <c r="M956" s="1074"/>
      <c r="N956" s="1074"/>
      <c r="O956" s="1076"/>
      <c r="P956" s="1074"/>
      <c r="Q956" s="1074"/>
      <c r="R956" s="1072"/>
      <c r="S956" s="1073"/>
      <c r="T956" s="1074"/>
      <c r="U956" s="1074"/>
      <c r="V956" s="1074"/>
      <c r="W956" s="1074"/>
      <c r="X956" s="1074"/>
      <c r="Y956" s="1072"/>
      <c r="Z956" s="1073"/>
      <c r="AA956" s="1074"/>
      <c r="AB956" s="1074"/>
      <c r="AC956" s="1074"/>
      <c r="AD956" s="1074"/>
      <c r="AE956" s="1074"/>
      <c r="AF956" s="1072"/>
      <c r="AG956" s="1073"/>
      <c r="AH956" s="1074"/>
      <c r="AI956" s="1074"/>
      <c r="AJ956" s="1074"/>
      <c r="AK956" s="1074"/>
    </row>
    <row r="957">
      <c r="A957" s="1072"/>
      <c r="B957" s="1072"/>
      <c r="C957" s="1075"/>
      <c r="D957" s="1074"/>
      <c r="E957" s="1074"/>
      <c r="F957" s="1074"/>
      <c r="G957" s="1076"/>
      <c r="H957" s="1074"/>
      <c r="I957" s="1074"/>
      <c r="J957" s="1072"/>
      <c r="K957" s="1075"/>
      <c r="L957" s="1074"/>
      <c r="M957" s="1074"/>
      <c r="N957" s="1074"/>
      <c r="O957" s="1076"/>
      <c r="P957" s="1074"/>
      <c r="Q957" s="1074"/>
      <c r="R957" s="1072"/>
      <c r="S957" s="1073"/>
      <c r="T957" s="1074"/>
      <c r="U957" s="1074"/>
      <c r="V957" s="1074"/>
      <c r="W957" s="1074"/>
      <c r="X957" s="1074"/>
      <c r="Y957" s="1072"/>
      <c r="Z957" s="1073"/>
      <c r="AA957" s="1074"/>
      <c r="AB957" s="1074"/>
      <c r="AC957" s="1074"/>
      <c r="AD957" s="1074"/>
      <c r="AE957" s="1074"/>
      <c r="AF957" s="1072"/>
      <c r="AG957" s="1073"/>
      <c r="AH957" s="1074"/>
      <c r="AI957" s="1074"/>
      <c r="AJ957" s="1074"/>
      <c r="AK957" s="1074"/>
    </row>
    <row r="958">
      <c r="A958" s="1072"/>
      <c r="B958" s="1072"/>
      <c r="C958" s="1075"/>
      <c r="D958" s="1074"/>
      <c r="E958" s="1074"/>
      <c r="F958" s="1074"/>
      <c r="G958" s="1076"/>
      <c r="H958" s="1074"/>
      <c r="I958" s="1074"/>
      <c r="J958" s="1072"/>
      <c r="K958" s="1075"/>
      <c r="L958" s="1074"/>
      <c r="M958" s="1074"/>
      <c r="N958" s="1074"/>
      <c r="O958" s="1076"/>
      <c r="P958" s="1074"/>
      <c r="Q958" s="1074"/>
      <c r="R958" s="1072"/>
      <c r="S958" s="1073"/>
      <c r="T958" s="1074"/>
      <c r="U958" s="1074"/>
      <c r="V958" s="1074"/>
      <c r="W958" s="1074"/>
      <c r="X958" s="1074"/>
      <c r="Y958" s="1072"/>
      <c r="Z958" s="1073"/>
      <c r="AA958" s="1074"/>
      <c r="AB958" s="1074"/>
      <c r="AC958" s="1074"/>
      <c r="AD958" s="1074"/>
      <c r="AE958" s="1074"/>
      <c r="AF958" s="1072"/>
      <c r="AG958" s="1073"/>
      <c r="AH958" s="1074"/>
      <c r="AI958" s="1074"/>
      <c r="AJ958" s="1074"/>
      <c r="AK958" s="1074"/>
    </row>
    <row r="959">
      <c r="A959" s="1072"/>
      <c r="B959" s="1072"/>
      <c r="C959" s="1075"/>
      <c r="D959" s="1074"/>
      <c r="E959" s="1074"/>
      <c r="F959" s="1074"/>
      <c r="G959" s="1076"/>
      <c r="H959" s="1074"/>
      <c r="I959" s="1074"/>
      <c r="J959" s="1072"/>
      <c r="K959" s="1075"/>
      <c r="L959" s="1074"/>
      <c r="M959" s="1074"/>
      <c r="N959" s="1074"/>
      <c r="O959" s="1076"/>
      <c r="P959" s="1074"/>
      <c r="Q959" s="1074"/>
      <c r="R959" s="1072"/>
      <c r="S959" s="1073"/>
      <c r="T959" s="1074"/>
      <c r="U959" s="1074"/>
      <c r="V959" s="1074"/>
      <c r="W959" s="1074"/>
      <c r="X959" s="1074"/>
      <c r="Y959" s="1072"/>
      <c r="Z959" s="1073"/>
      <c r="AA959" s="1074"/>
      <c r="AB959" s="1074"/>
      <c r="AC959" s="1074"/>
      <c r="AD959" s="1074"/>
      <c r="AE959" s="1074"/>
      <c r="AF959" s="1072"/>
      <c r="AG959" s="1073"/>
      <c r="AH959" s="1074"/>
      <c r="AI959" s="1074"/>
      <c r="AJ959" s="1074"/>
      <c r="AK959" s="1074"/>
    </row>
    <row r="960">
      <c r="A960" s="1072"/>
      <c r="B960" s="1072"/>
      <c r="C960" s="1075"/>
      <c r="D960" s="1074"/>
      <c r="E960" s="1074"/>
      <c r="F960" s="1074"/>
      <c r="G960" s="1076"/>
      <c r="H960" s="1074"/>
      <c r="I960" s="1074"/>
      <c r="J960" s="1072"/>
      <c r="K960" s="1075"/>
      <c r="L960" s="1074"/>
      <c r="M960" s="1074"/>
      <c r="N960" s="1074"/>
      <c r="O960" s="1076"/>
      <c r="P960" s="1074"/>
      <c r="Q960" s="1074"/>
      <c r="R960" s="1072"/>
      <c r="S960" s="1073"/>
      <c r="T960" s="1074"/>
      <c r="U960" s="1074"/>
      <c r="V960" s="1074"/>
      <c r="W960" s="1074"/>
      <c r="X960" s="1074"/>
      <c r="Y960" s="1072"/>
      <c r="Z960" s="1073"/>
      <c r="AA960" s="1074"/>
      <c r="AB960" s="1074"/>
      <c r="AC960" s="1074"/>
      <c r="AD960" s="1074"/>
      <c r="AE960" s="1074"/>
      <c r="AF960" s="1072"/>
      <c r="AG960" s="1073"/>
      <c r="AH960" s="1074"/>
      <c r="AI960" s="1074"/>
      <c r="AJ960" s="1074"/>
      <c r="AK960" s="1074"/>
    </row>
    <row r="961">
      <c r="A961" s="1072"/>
      <c r="B961" s="1072"/>
      <c r="C961" s="1075"/>
      <c r="D961" s="1074"/>
      <c r="E961" s="1074"/>
      <c r="F961" s="1074"/>
      <c r="G961" s="1076"/>
      <c r="H961" s="1074"/>
      <c r="I961" s="1074"/>
      <c r="J961" s="1072"/>
      <c r="K961" s="1075"/>
      <c r="L961" s="1074"/>
      <c r="M961" s="1074"/>
      <c r="N961" s="1074"/>
      <c r="O961" s="1076"/>
      <c r="P961" s="1074"/>
      <c r="Q961" s="1074"/>
      <c r="R961" s="1072"/>
      <c r="S961" s="1073"/>
      <c r="T961" s="1074"/>
      <c r="U961" s="1074"/>
      <c r="V961" s="1074"/>
      <c r="W961" s="1074"/>
      <c r="X961" s="1074"/>
      <c r="Y961" s="1072"/>
      <c r="Z961" s="1073"/>
      <c r="AA961" s="1074"/>
      <c r="AB961" s="1074"/>
      <c r="AC961" s="1074"/>
      <c r="AD961" s="1074"/>
      <c r="AE961" s="1074"/>
      <c r="AF961" s="1072"/>
      <c r="AG961" s="1073"/>
      <c r="AH961" s="1074"/>
      <c r="AI961" s="1074"/>
      <c r="AJ961" s="1074"/>
      <c r="AK961" s="1074"/>
    </row>
    <row r="962">
      <c r="A962" s="1072"/>
      <c r="B962" s="1072"/>
      <c r="C962" s="1075"/>
      <c r="D962" s="1074"/>
      <c r="E962" s="1074"/>
      <c r="F962" s="1074"/>
      <c r="G962" s="1076"/>
      <c r="H962" s="1074"/>
      <c r="I962" s="1074"/>
      <c r="J962" s="1072"/>
      <c r="K962" s="1075"/>
      <c r="L962" s="1074"/>
      <c r="M962" s="1074"/>
      <c r="N962" s="1074"/>
      <c r="O962" s="1076"/>
      <c r="P962" s="1074"/>
      <c r="Q962" s="1074"/>
      <c r="R962" s="1072"/>
      <c r="S962" s="1073"/>
      <c r="T962" s="1074"/>
      <c r="U962" s="1074"/>
      <c r="V962" s="1074"/>
      <c r="W962" s="1074"/>
      <c r="X962" s="1074"/>
      <c r="Y962" s="1072"/>
      <c r="Z962" s="1073"/>
      <c r="AA962" s="1074"/>
      <c r="AB962" s="1074"/>
      <c r="AC962" s="1074"/>
      <c r="AD962" s="1074"/>
      <c r="AE962" s="1074"/>
      <c r="AF962" s="1072"/>
      <c r="AG962" s="1073"/>
      <c r="AH962" s="1074"/>
      <c r="AI962" s="1074"/>
      <c r="AJ962" s="1074"/>
      <c r="AK962" s="1074"/>
    </row>
    <row r="963">
      <c r="A963" s="1072"/>
      <c r="B963" s="1072"/>
      <c r="C963" s="1075"/>
      <c r="D963" s="1074"/>
      <c r="E963" s="1074"/>
      <c r="F963" s="1074"/>
      <c r="G963" s="1076"/>
      <c r="H963" s="1074"/>
      <c r="I963" s="1074"/>
      <c r="J963" s="1072"/>
      <c r="K963" s="1075"/>
      <c r="L963" s="1074"/>
      <c r="M963" s="1074"/>
      <c r="N963" s="1074"/>
      <c r="O963" s="1076"/>
      <c r="P963" s="1074"/>
      <c r="Q963" s="1074"/>
      <c r="R963" s="1072"/>
      <c r="S963" s="1073"/>
      <c r="T963" s="1074"/>
      <c r="U963" s="1074"/>
      <c r="V963" s="1074"/>
      <c r="W963" s="1074"/>
      <c r="X963" s="1074"/>
      <c r="Y963" s="1072"/>
      <c r="Z963" s="1073"/>
      <c r="AA963" s="1074"/>
      <c r="AB963" s="1074"/>
      <c r="AC963" s="1074"/>
      <c r="AD963" s="1074"/>
      <c r="AE963" s="1074"/>
      <c r="AF963" s="1072"/>
      <c r="AG963" s="1073"/>
      <c r="AH963" s="1074"/>
      <c r="AI963" s="1074"/>
      <c r="AJ963" s="1074"/>
      <c r="AK963" s="1074"/>
    </row>
    <row r="964">
      <c r="A964" s="1072"/>
      <c r="B964" s="1072"/>
      <c r="C964" s="1075"/>
      <c r="D964" s="1074"/>
      <c r="E964" s="1074"/>
      <c r="F964" s="1074"/>
      <c r="G964" s="1076"/>
      <c r="H964" s="1074"/>
      <c r="I964" s="1074"/>
      <c r="J964" s="1072"/>
      <c r="K964" s="1075"/>
      <c r="L964" s="1074"/>
      <c r="M964" s="1074"/>
      <c r="N964" s="1074"/>
      <c r="O964" s="1076"/>
      <c r="P964" s="1074"/>
      <c r="Q964" s="1074"/>
      <c r="R964" s="1072"/>
      <c r="S964" s="1073"/>
      <c r="T964" s="1074"/>
      <c r="U964" s="1074"/>
      <c r="V964" s="1074"/>
      <c r="W964" s="1074"/>
      <c r="X964" s="1074"/>
      <c r="Y964" s="1072"/>
      <c r="Z964" s="1073"/>
      <c r="AA964" s="1074"/>
      <c r="AB964" s="1074"/>
      <c r="AC964" s="1074"/>
      <c r="AD964" s="1074"/>
      <c r="AE964" s="1074"/>
      <c r="AF964" s="1072"/>
      <c r="AG964" s="1073"/>
      <c r="AH964" s="1074"/>
      <c r="AI964" s="1074"/>
      <c r="AJ964" s="1074"/>
      <c r="AK964" s="1074"/>
    </row>
    <row r="965">
      <c r="A965" s="1072"/>
      <c r="B965" s="1072"/>
      <c r="C965" s="1075"/>
      <c r="D965" s="1074"/>
      <c r="E965" s="1074"/>
      <c r="F965" s="1074"/>
      <c r="G965" s="1076"/>
      <c r="H965" s="1074"/>
      <c r="I965" s="1074"/>
      <c r="J965" s="1072"/>
      <c r="K965" s="1075"/>
      <c r="L965" s="1074"/>
      <c r="M965" s="1074"/>
      <c r="N965" s="1074"/>
      <c r="O965" s="1076"/>
      <c r="P965" s="1074"/>
      <c r="Q965" s="1074"/>
      <c r="R965" s="1072"/>
      <c r="S965" s="1073"/>
      <c r="T965" s="1074"/>
      <c r="U965" s="1074"/>
      <c r="V965" s="1074"/>
      <c r="W965" s="1074"/>
      <c r="X965" s="1074"/>
      <c r="Y965" s="1072"/>
      <c r="Z965" s="1073"/>
      <c r="AA965" s="1074"/>
      <c r="AB965" s="1074"/>
      <c r="AC965" s="1074"/>
      <c r="AD965" s="1074"/>
      <c r="AE965" s="1074"/>
      <c r="AF965" s="1072"/>
      <c r="AG965" s="1073"/>
      <c r="AH965" s="1074"/>
      <c r="AI965" s="1074"/>
      <c r="AJ965" s="1074"/>
      <c r="AK965" s="1074"/>
    </row>
    <row r="966">
      <c r="A966" s="1072"/>
      <c r="B966" s="1072"/>
      <c r="C966" s="1075"/>
      <c r="D966" s="1074"/>
      <c r="E966" s="1074"/>
      <c r="F966" s="1074"/>
      <c r="G966" s="1076"/>
      <c r="H966" s="1074"/>
      <c r="I966" s="1074"/>
      <c r="J966" s="1072"/>
      <c r="K966" s="1075"/>
      <c r="L966" s="1074"/>
      <c r="M966" s="1074"/>
      <c r="N966" s="1074"/>
      <c r="O966" s="1076"/>
      <c r="P966" s="1074"/>
      <c r="Q966" s="1074"/>
      <c r="R966" s="1072"/>
      <c r="S966" s="1073"/>
      <c r="T966" s="1074"/>
      <c r="U966" s="1074"/>
      <c r="V966" s="1074"/>
      <c r="W966" s="1074"/>
      <c r="X966" s="1074"/>
      <c r="Y966" s="1072"/>
      <c r="Z966" s="1073"/>
      <c r="AA966" s="1074"/>
      <c r="AB966" s="1074"/>
      <c r="AC966" s="1074"/>
      <c r="AD966" s="1074"/>
      <c r="AE966" s="1074"/>
      <c r="AF966" s="1072"/>
      <c r="AG966" s="1073"/>
      <c r="AH966" s="1074"/>
      <c r="AI966" s="1074"/>
      <c r="AJ966" s="1074"/>
      <c r="AK966" s="1074"/>
    </row>
    <row r="967">
      <c r="A967" s="1072"/>
      <c r="B967" s="1072"/>
      <c r="C967" s="1075"/>
      <c r="D967" s="1074"/>
      <c r="E967" s="1074"/>
      <c r="F967" s="1074"/>
      <c r="G967" s="1076"/>
      <c r="H967" s="1074"/>
      <c r="I967" s="1074"/>
      <c r="J967" s="1072"/>
      <c r="K967" s="1075"/>
      <c r="L967" s="1074"/>
      <c r="M967" s="1074"/>
      <c r="N967" s="1074"/>
      <c r="O967" s="1076"/>
      <c r="P967" s="1074"/>
      <c r="Q967" s="1074"/>
      <c r="R967" s="1072"/>
      <c r="S967" s="1073"/>
      <c r="T967" s="1074"/>
      <c r="U967" s="1074"/>
      <c r="V967" s="1074"/>
      <c r="W967" s="1074"/>
      <c r="X967" s="1074"/>
      <c r="Y967" s="1072"/>
      <c r="Z967" s="1073"/>
      <c r="AA967" s="1074"/>
      <c r="AB967" s="1074"/>
      <c r="AC967" s="1074"/>
      <c r="AD967" s="1074"/>
      <c r="AE967" s="1074"/>
      <c r="AF967" s="1072"/>
      <c r="AG967" s="1073"/>
      <c r="AH967" s="1074"/>
      <c r="AI967" s="1074"/>
      <c r="AJ967" s="1074"/>
      <c r="AK967" s="1074"/>
    </row>
    <row r="968">
      <c r="A968" s="1072"/>
      <c r="B968" s="1072"/>
      <c r="C968" s="1075"/>
      <c r="D968" s="1074"/>
      <c r="E968" s="1074"/>
      <c r="F968" s="1074"/>
      <c r="G968" s="1076"/>
      <c r="H968" s="1074"/>
      <c r="I968" s="1074"/>
      <c r="J968" s="1072"/>
      <c r="K968" s="1075"/>
      <c r="L968" s="1074"/>
      <c r="M968" s="1074"/>
      <c r="N968" s="1074"/>
      <c r="O968" s="1076"/>
      <c r="P968" s="1074"/>
      <c r="Q968" s="1074"/>
      <c r="R968" s="1072"/>
      <c r="S968" s="1073"/>
      <c r="T968" s="1074"/>
      <c r="U968" s="1074"/>
      <c r="V968" s="1074"/>
      <c r="W968" s="1074"/>
      <c r="X968" s="1074"/>
      <c r="Y968" s="1072"/>
      <c r="Z968" s="1073"/>
      <c r="AA968" s="1074"/>
      <c r="AB968" s="1074"/>
      <c r="AC968" s="1074"/>
      <c r="AD968" s="1074"/>
      <c r="AE968" s="1074"/>
      <c r="AF968" s="1072"/>
      <c r="AG968" s="1073"/>
      <c r="AH968" s="1074"/>
      <c r="AI968" s="1074"/>
      <c r="AJ968" s="1074"/>
      <c r="AK968" s="1074"/>
    </row>
    <row r="969">
      <c r="A969" s="1072"/>
      <c r="B969" s="1072"/>
      <c r="C969" s="1075"/>
      <c r="D969" s="1074"/>
      <c r="E969" s="1074"/>
      <c r="F969" s="1074"/>
      <c r="G969" s="1076"/>
      <c r="H969" s="1074"/>
      <c r="I969" s="1074"/>
      <c r="J969" s="1072"/>
      <c r="K969" s="1075"/>
      <c r="L969" s="1074"/>
      <c r="M969" s="1074"/>
      <c r="N969" s="1074"/>
      <c r="O969" s="1076"/>
      <c r="P969" s="1074"/>
      <c r="Q969" s="1074"/>
      <c r="R969" s="1072"/>
      <c r="S969" s="1073"/>
      <c r="T969" s="1074"/>
      <c r="U969" s="1074"/>
      <c r="V969" s="1074"/>
      <c r="W969" s="1074"/>
      <c r="X969" s="1074"/>
      <c r="Y969" s="1072"/>
      <c r="Z969" s="1073"/>
      <c r="AA969" s="1074"/>
      <c r="AB969" s="1074"/>
      <c r="AC969" s="1074"/>
      <c r="AD969" s="1074"/>
      <c r="AE969" s="1074"/>
      <c r="AF969" s="1072"/>
      <c r="AG969" s="1073"/>
      <c r="AH969" s="1074"/>
      <c r="AI969" s="1074"/>
      <c r="AJ969" s="1074"/>
      <c r="AK969" s="1074"/>
    </row>
    <row r="970">
      <c r="A970" s="1072"/>
      <c r="B970" s="1072"/>
      <c r="C970" s="1075"/>
      <c r="D970" s="1074"/>
      <c r="E970" s="1074"/>
      <c r="F970" s="1074"/>
      <c r="G970" s="1076"/>
      <c r="H970" s="1074"/>
      <c r="I970" s="1074"/>
      <c r="J970" s="1072"/>
      <c r="K970" s="1075"/>
      <c r="L970" s="1074"/>
      <c r="M970" s="1074"/>
      <c r="N970" s="1074"/>
      <c r="O970" s="1076"/>
      <c r="P970" s="1074"/>
      <c r="Q970" s="1074"/>
      <c r="R970" s="1072"/>
      <c r="S970" s="1073"/>
      <c r="T970" s="1074"/>
      <c r="U970" s="1074"/>
      <c r="V970" s="1074"/>
      <c r="W970" s="1074"/>
      <c r="X970" s="1074"/>
      <c r="Y970" s="1072"/>
      <c r="Z970" s="1073"/>
      <c r="AA970" s="1074"/>
      <c r="AB970" s="1074"/>
      <c r="AC970" s="1074"/>
      <c r="AD970" s="1074"/>
      <c r="AE970" s="1074"/>
      <c r="AF970" s="1072"/>
      <c r="AG970" s="1073"/>
      <c r="AH970" s="1074"/>
      <c r="AI970" s="1074"/>
      <c r="AJ970" s="1074"/>
      <c r="AK970" s="1074"/>
    </row>
    <row r="971">
      <c r="A971" s="1072"/>
      <c r="B971" s="1072"/>
      <c r="C971" s="1075"/>
      <c r="D971" s="1074"/>
      <c r="E971" s="1074"/>
      <c r="F971" s="1074"/>
      <c r="G971" s="1076"/>
      <c r="H971" s="1074"/>
      <c r="I971" s="1074"/>
      <c r="J971" s="1072"/>
      <c r="K971" s="1075"/>
      <c r="L971" s="1074"/>
      <c r="M971" s="1074"/>
      <c r="N971" s="1074"/>
      <c r="O971" s="1076"/>
      <c r="P971" s="1074"/>
      <c r="Q971" s="1074"/>
      <c r="R971" s="1072"/>
      <c r="S971" s="1073"/>
      <c r="T971" s="1074"/>
      <c r="U971" s="1074"/>
      <c r="V971" s="1074"/>
      <c r="W971" s="1074"/>
      <c r="X971" s="1074"/>
      <c r="Y971" s="1072"/>
      <c r="Z971" s="1073"/>
      <c r="AA971" s="1074"/>
      <c r="AB971" s="1074"/>
      <c r="AC971" s="1074"/>
      <c r="AD971" s="1074"/>
      <c r="AE971" s="1074"/>
      <c r="AF971" s="1072"/>
      <c r="AG971" s="1073"/>
      <c r="AH971" s="1074"/>
      <c r="AI971" s="1074"/>
      <c r="AJ971" s="1074"/>
      <c r="AK971" s="1074"/>
    </row>
    <row r="972">
      <c r="A972" s="1072"/>
      <c r="B972" s="1072"/>
      <c r="C972" s="1075"/>
      <c r="D972" s="1074"/>
      <c r="E972" s="1074"/>
      <c r="F972" s="1074"/>
      <c r="G972" s="1076"/>
      <c r="H972" s="1074"/>
      <c r="I972" s="1074"/>
      <c r="J972" s="1072"/>
      <c r="K972" s="1075"/>
      <c r="L972" s="1074"/>
      <c r="M972" s="1074"/>
      <c r="N972" s="1074"/>
      <c r="O972" s="1076"/>
      <c r="P972" s="1074"/>
      <c r="Q972" s="1074"/>
      <c r="R972" s="1072"/>
      <c r="S972" s="1073"/>
      <c r="T972" s="1074"/>
      <c r="U972" s="1074"/>
      <c r="V972" s="1074"/>
      <c r="W972" s="1074"/>
      <c r="X972" s="1074"/>
      <c r="Y972" s="1072"/>
      <c r="Z972" s="1073"/>
      <c r="AA972" s="1074"/>
      <c r="AB972" s="1074"/>
      <c r="AC972" s="1074"/>
      <c r="AD972" s="1074"/>
      <c r="AE972" s="1074"/>
      <c r="AF972" s="1072"/>
      <c r="AG972" s="1073"/>
      <c r="AH972" s="1074"/>
      <c r="AI972" s="1074"/>
      <c r="AJ972" s="1074"/>
      <c r="AK972" s="1074"/>
    </row>
    <row r="973">
      <c r="A973" s="1072"/>
      <c r="B973" s="1072"/>
      <c r="C973" s="1075"/>
      <c r="D973" s="1074"/>
      <c r="E973" s="1074"/>
      <c r="F973" s="1074"/>
      <c r="G973" s="1076"/>
      <c r="H973" s="1074"/>
      <c r="I973" s="1074"/>
      <c r="J973" s="1072"/>
      <c r="K973" s="1075"/>
      <c r="L973" s="1074"/>
      <c r="M973" s="1074"/>
      <c r="N973" s="1074"/>
      <c r="O973" s="1076"/>
      <c r="P973" s="1074"/>
      <c r="Q973" s="1074"/>
      <c r="R973" s="1072"/>
      <c r="S973" s="1073"/>
      <c r="T973" s="1074"/>
      <c r="U973" s="1074"/>
      <c r="V973" s="1074"/>
      <c r="W973" s="1074"/>
      <c r="X973" s="1074"/>
      <c r="Y973" s="1072"/>
      <c r="Z973" s="1073"/>
      <c r="AA973" s="1074"/>
      <c r="AB973" s="1074"/>
      <c r="AC973" s="1074"/>
      <c r="AD973" s="1074"/>
      <c r="AE973" s="1074"/>
      <c r="AF973" s="1072"/>
      <c r="AG973" s="1073"/>
      <c r="AH973" s="1074"/>
      <c r="AI973" s="1074"/>
      <c r="AJ973" s="1074"/>
      <c r="AK973" s="1074"/>
    </row>
    <row r="974">
      <c r="A974" s="1072"/>
      <c r="B974" s="1072"/>
      <c r="C974" s="1075"/>
      <c r="D974" s="1074"/>
      <c r="E974" s="1074"/>
      <c r="F974" s="1074"/>
      <c r="G974" s="1076"/>
      <c r="H974" s="1074"/>
      <c r="I974" s="1074"/>
      <c r="J974" s="1072"/>
      <c r="K974" s="1075"/>
      <c r="L974" s="1074"/>
      <c r="M974" s="1074"/>
      <c r="N974" s="1074"/>
      <c r="O974" s="1076"/>
      <c r="P974" s="1074"/>
      <c r="Q974" s="1074"/>
      <c r="R974" s="1072"/>
      <c r="S974" s="1073"/>
      <c r="T974" s="1074"/>
      <c r="U974" s="1074"/>
      <c r="V974" s="1074"/>
      <c r="W974" s="1074"/>
      <c r="X974" s="1074"/>
      <c r="Y974" s="1072"/>
      <c r="Z974" s="1073"/>
      <c r="AA974" s="1074"/>
      <c r="AB974" s="1074"/>
      <c r="AC974" s="1074"/>
      <c r="AD974" s="1074"/>
      <c r="AE974" s="1074"/>
      <c r="AF974" s="1072"/>
      <c r="AG974" s="1073"/>
      <c r="AH974" s="1074"/>
      <c r="AI974" s="1074"/>
      <c r="AJ974" s="1074"/>
      <c r="AK974" s="1074"/>
    </row>
    <row r="975">
      <c r="A975" s="1072"/>
      <c r="B975" s="1072"/>
      <c r="C975" s="1075"/>
      <c r="D975" s="1074"/>
      <c r="E975" s="1074"/>
      <c r="F975" s="1074"/>
      <c r="G975" s="1076"/>
      <c r="H975" s="1074"/>
      <c r="I975" s="1074"/>
      <c r="J975" s="1072"/>
      <c r="K975" s="1075"/>
      <c r="L975" s="1074"/>
      <c r="M975" s="1074"/>
      <c r="N975" s="1074"/>
      <c r="O975" s="1076"/>
      <c r="P975" s="1074"/>
      <c r="Q975" s="1074"/>
      <c r="R975" s="1072"/>
      <c r="S975" s="1073"/>
      <c r="T975" s="1074"/>
      <c r="U975" s="1074"/>
      <c r="V975" s="1074"/>
      <c r="W975" s="1074"/>
      <c r="X975" s="1074"/>
      <c r="Y975" s="1072"/>
      <c r="Z975" s="1073"/>
      <c r="AA975" s="1074"/>
      <c r="AB975" s="1074"/>
      <c r="AC975" s="1074"/>
      <c r="AD975" s="1074"/>
      <c r="AE975" s="1074"/>
      <c r="AF975" s="1072"/>
      <c r="AG975" s="1073"/>
      <c r="AH975" s="1074"/>
      <c r="AI975" s="1074"/>
      <c r="AJ975" s="1074"/>
      <c r="AK975" s="1074"/>
    </row>
    <row r="976">
      <c r="A976" s="1072"/>
      <c r="B976" s="1072"/>
      <c r="C976" s="1075"/>
      <c r="D976" s="1074"/>
      <c r="E976" s="1074"/>
      <c r="F976" s="1074"/>
      <c r="G976" s="1076"/>
      <c r="H976" s="1074"/>
      <c r="I976" s="1074"/>
      <c r="J976" s="1072"/>
      <c r="K976" s="1075"/>
      <c r="L976" s="1074"/>
      <c r="M976" s="1074"/>
      <c r="N976" s="1074"/>
      <c r="O976" s="1076"/>
      <c r="P976" s="1074"/>
      <c r="Q976" s="1074"/>
      <c r="R976" s="1072"/>
      <c r="S976" s="1073"/>
      <c r="T976" s="1074"/>
      <c r="U976" s="1074"/>
      <c r="V976" s="1074"/>
      <c r="W976" s="1074"/>
      <c r="X976" s="1074"/>
      <c r="Y976" s="1072"/>
      <c r="Z976" s="1073"/>
      <c r="AA976" s="1074"/>
      <c r="AB976" s="1074"/>
      <c r="AC976" s="1074"/>
      <c r="AD976" s="1074"/>
      <c r="AE976" s="1074"/>
      <c r="AF976" s="1072"/>
      <c r="AG976" s="1073"/>
      <c r="AH976" s="1074"/>
      <c r="AI976" s="1074"/>
      <c r="AJ976" s="1074"/>
      <c r="AK976" s="1074"/>
    </row>
    <row r="977">
      <c r="A977" s="1072"/>
      <c r="B977" s="1072"/>
      <c r="C977" s="1075"/>
      <c r="D977" s="1074"/>
      <c r="E977" s="1074"/>
      <c r="F977" s="1074"/>
      <c r="G977" s="1076"/>
      <c r="H977" s="1074"/>
      <c r="I977" s="1074"/>
      <c r="J977" s="1072"/>
      <c r="K977" s="1075"/>
      <c r="L977" s="1074"/>
      <c r="M977" s="1074"/>
      <c r="N977" s="1074"/>
      <c r="O977" s="1076"/>
      <c r="P977" s="1074"/>
      <c r="Q977" s="1074"/>
      <c r="R977" s="1072"/>
      <c r="S977" s="1073"/>
      <c r="T977" s="1074"/>
      <c r="U977" s="1074"/>
      <c r="V977" s="1074"/>
      <c r="W977" s="1074"/>
      <c r="X977" s="1074"/>
      <c r="Y977" s="1072"/>
      <c r="Z977" s="1073"/>
      <c r="AA977" s="1074"/>
      <c r="AB977" s="1074"/>
      <c r="AC977" s="1074"/>
      <c r="AD977" s="1074"/>
      <c r="AE977" s="1074"/>
      <c r="AF977" s="1072"/>
      <c r="AG977" s="1073"/>
      <c r="AH977" s="1074"/>
      <c r="AI977" s="1074"/>
      <c r="AJ977" s="1074"/>
      <c r="AK977" s="1074"/>
    </row>
    <row r="978">
      <c r="A978" s="1072"/>
      <c r="B978" s="1072"/>
      <c r="C978" s="1075"/>
      <c r="D978" s="1074"/>
      <c r="E978" s="1074"/>
      <c r="F978" s="1074"/>
      <c r="G978" s="1076"/>
      <c r="H978" s="1074"/>
      <c r="I978" s="1074"/>
      <c r="J978" s="1072"/>
      <c r="K978" s="1075"/>
      <c r="L978" s="1074"/>
      <c r="M978" s="1074"/>
      <c r="N978" s="1074"/>
      <c r="O978" s="1076"/>
      <c r="P978" s="1074"/>
      <c r="Q978" s="1074"/>
      <c r="R978" s="1072"/>
      <c r="S978" s="1073"/>
      <c r="T978" s="1074"/>
      <c r="U978" s="1074"/>
      <c r="V978" s="1074"/>
      <c r="W978" s="1074"/>
      <c r="X978" s="1074"/>
      <c r="Y978" s="1072"/>
      <c r="Z978" s="1073"/>
      <c r="AA978" s="1074"/>
      <c r="AB978" s="1074"/>
      <c r="AC978" s="1074"/>
      <c r="AD978" s="1074"/>
      <c r="AE978" s="1074"/>
      <c r="AF978" s="1072"/>
      <c r="AG978" s="1073"/>
      <c r="AH978" s="1074"/>
      <c r="AI978" s="1074"/>
      <c r="AJ978" s="1074"/>
      <c r="AK978" s="1074"/>
    </row>
    <row r="979">
      <c r="A979" s="1072"/>
      <c r="B979" s="1072"/>
      <c r="C979" s="1075"/>
      <c r="D979" s="1074"/>
      <c r="E979" s="1074"/>
      <c r="F979" s="1074"/>
      <c r="G979" s="1076"/>
      <c r="H979" s="1074"/>
      <c r="I979" s="1074"/>
      <c r="J979" s="1072"/>
      <c r="K979" s="1075"/>
      <c r="L979" s="1074"/>
      <c r="M979" s="1074"/>
      <c r="N979" s="1074"/>
      <c r="O979" s="1076"/>
      <c r="P979" s="1074"/>
      <c r="Q979" s="1074"/>
      <c r="R979" s="1072"/>
      <c r="S979" s="1073"/>
      <c r="T979" s="1074"/>
      <c r="U979" s="1074"/>
      <c r="V979" s="1074"/>
      <c r="W979" s="1074"/>
      <c r="X979" s="1074"/>
      <c r="Y979" s="1072"/>
      <c r="Z979" s="1073"/>
      <c r="AA979" s="1074"/>
      <c r="AB979" s="1074"/>
      <c r="AC979" s="1074"/>
      <c r="AD979" s="1074"/>
      <c r="AE979" s="1074"/>
      <c r="AF979" s="1072"/>
      <c r="AG979" s="1073"/>
      <c r="AH979" s="1074"/>
      <c r="AI979" s="1074"/>
      <c r="AJ979" s="1074"/>
      <c r="AK979" s="1074"/>
    </row>
    <row r="980">
      <c r="A980" s="1072"/>
      <c r="B980" s="1072"/>
      <c r="C980" s="1075"/>
      <c r="D980" s="1074"/>
      <c r="E980" s="1074"/>
      <c r="F980" s="1074"/>
      <c r="G980" s="1076"/>
      <c r="H980" s="1074"/>
      <c r="I980" s="1074"/>
      <c r="J980" s="1072"/>
      <c r="K980" s="1075"/>
      <c r="L980" s="1074"/>
      <c r="M980" s="1074"/>
      <c r="N980" s="1074"/>
      <c r="O980" s="1076"/>
      <c r="P980" s="1074"/>
      <c r="Q980" s="1074"/>
      <c r="R980" s="1072"/>
      <c r="S980" s="1073"/>
      <c r="T980" s="1074"/>
      <c r="U980" s="1074"/>
      <c r="V980" s="1074"/>
      <c r="W980" s="1074"/>
      <c r="X980" s="1074"/>
      <c r="Y980" s="1072"/>
      <c r="Z980" s="1073"/>
      <c r="AA980" s="1074"/>
      <c r="AB980" s="1074"/>
      <c r="AC980" s="1074"/>
      <c r="AD980" s="1074"/>
      <c r="AE980" s="1074"/>
      <c r="AF980" s="1072"/>
      <c r="AG980" s="1073"/>
      <c r="AH980" s="1074"/>
      <c r="AI980" s="1074"/>
      <c r="AJ980" s="1074"/>
      <c r="AK980" s="1074"/>
    </row>
    <row r="981">
      <c r="A981" s="1072"/>
      <c r="B981" s="1072"/>
      <c r="C981" s="1075"/>
      <c r="D981" s="1074"/>
      <c r="E981" s="1074"/>
      <c r="F981" s="1074"/>
      <c r="G981" s="1076"/>
      <c r="H981" s="1074"/>
      <c r="I981" s="1074"/>
      <c r="J981" s="1072"/>
      <c r="K981" s="1075"/>
      <c r="L981" s="1074"/>
      <c r="M981" s="1074"/>
      <c r="N981" s="1074"/>
      <c r="O981" s="1076"/>
      <c r="P981" s="1074"/>
      <c r="Q981" s="1074"/>
      <c r="R981" s="1072"/>
      <c r="S981" s="1073"/>
      <c r="T981" s="1074"/>
      <c r="U981" s="1074"/>
      <c r="V981" s="1074"/>
      <c r="W981" s="1074"/>
      <c r="X981" s="1074"/>
      <c r="Y981" s="1072"/>
      <c r="Z981" s="1073"/>
      <c r="AA981" s="1074"/>
      <c r="AB981" s="1074"/>
      <c r="AC981" s="1074"/>
      <c r="AD981" s="1074"/>
      <c r="AE981" s="1074"/>
      <c r="AF981" s="1072"/>
      <c r="AG981" s="1073"/>
      <c r="AH981" s="1074"/>
      <c r="AI981" s="1074"/>
      <c r="AJ981" s="1074"/>
      <c r="AK981" s="1074"/>
    </row>
    <row r="982">
      <c r="A982" s="1072"/>
      <c r="B982" s="1072"/>
      <c r="C982" s="1075"/>
      <c r="D982" s="1074"/>
      <c r="E982" s="1074"/>
      <c r="F982" s="1074"/>
      <c r="G982" s="1076"/>
      <c r="H982" s="1074"/>
      <c r="I982" s="1074"/>
      <c r="J982" s="1072"/>
      <c r="K982" s="1075"/>
      <c r="L982" s="1074"/>
      <c r="M982" s="1074"/>
      <c r="N982" s="1074"/>
      <c r="O982" s="1076"/>
      <c r="P982" s="1074"/>
      <c r="Q982" s="1074"/>
      <c r="R982" s="1072"/>
      <c r="S982" s="1073"/>
      <c r="T982" s="1074"/>
      <c r="U982" s="1074"/>
      <c r="V982" s="1074"/>
      <c r="W982" s="1074"/>
      <c r="X982" s="1074"/>
      <c r="Y982" s="1072"/>
      <c r="Z982" s="1073"/>
      <c r="AA982" s="1074"/>
      <c r="AB982" s="1074"/>
      <c r="AC982" s="1074"/>
      <c r="AD982" s="1074"/>
      <c r="AE982" s="1074"/>
      <c r="AF982" s="1072"/>
      <c r="AG982" s="1073"/>
      <c r="AH982" s="1074"/>
      <c r="AI982" s="1074"/>
      <c r="AJ982" s="1074"/>
      <c r="AK982" s="1074"/>
    </row>
    <row r="983">
      <c r="A983" s="1072"/>
      <c r="B983" s="1072"/>
      <c r="C983" s="1075"/>
      <c r="D983" s="1074"/>
      <c r="E983" s="1074"/>
      <c r="F983" s="1074"/>
      <c r="G983" s="1076"/>
      <c r="H983" s="1074"/>
      <c r="I983" s="1074"/>
      <c r="J983" s="1072"/>
      <c r="K983" s="1075"/>
      <c r="L983" s="1074"/>
      <c r="M983" s="1074"/>
      <c r="N983" s="1074"/>
      <c r="O983" s="1076"/>
      <c r="P983" s="1074"/>
      <c r="Q983" s="1074"/>
      <c r="R983" s="1072"/>
      <c r="S983" s="1073"/>
      <c r="T983" s="1074"/>
      <c r="U983" s="1074"/>
      <c r="V983" s="1074"/>
      <c r="W983" s="1074"/>
      <c r="X983" s="1074"/>
      <c r="Y983" s="1072"/>
      <c r="Z983" s="1073"/>
      <c r="AA983" s="1074"/>
      <c r="AB983" s="1074"/>
      <c r="AC983" s="1074"/>
      <c r="AD983" s="1074"/>
      <c r="AE983" s="1074"/>
      <c r="AF983" s="1072"/>
      <c r="AG983" s="1073"/>
      <c r="AH983" s="1074"/>
      <c r="AI983" s="1074"/>
      <c r="AJ983" s="1074"/>
      <c r="AK983" s="1074"/>
    </row>
    <row r="984">
      <c r="A984" s="1072"/>
      <c r="B984" s="1072"/>
      <c r="C984" s="1075"/>
      <c r="D984" s="1074"/>
      <c r="E984" s="1074"/>
      <c r="F984" s="1074"/>
      <c r="G984" s="1076"/>
      <c r="H984" s="1074"/>
      <c r="I984" s="1074"/>
      <c r="J984" s="1072"/>
      <c r="K984" s="1075"/>
      <c r="L984" s="1074"/>
      <c r="M984" s="1074"/>
      <c r="N984" s="1074"/>
      <c r="O984" s="1076"/>
      <c r="P984" s="1074"/>
      <c r="Q984" s="1074"/>
      <c r="R984" s="1072"/>
      <c r="S984" s="1073"/>
      <c r="T984" s="1074"/>
      <c r="U984" s="1074"/>
      <c r="V984" s="1074"/>
      <c r="W984" s="1074"/>
      <c r="X984" s="1074"/>
      <c r="Y984" s="1072"/>
      <c r="Z984" s="1073"/>
      <c r="AA984" s="1074"/>
      <c r="AB984" s="1074"/>
      <c r="AC984" s="1074"/>
      <c r="AD984" s="1074"/>
      <c r="AE984" s="1074"/>
      <c r="AF984" s="1072"/>
      <c r="AG984" s="1073"/>
      <c r="AH984" s="1074"/>
      <c r="AI984" s="1074"/>
      <c r="AJ984" s="1074"/>
      <c r="AK984" s="1074"/>
    </row>
    <row r="985">
      <c r="A985" s="1072"/>
      <c r="B985" s="1072"/>
      <c r="C985" s="1075"/>
      <c r="D985" s="1074"/>
      <c r="E985" s="1074"/>
      <c r="F985" s="1074"/>
      <c r="G985" s="1076"/>
      <c r="H985" s="1074"/>
      <c r="I985" s="1074"/>
      <c r="J985" s="1072"/>
      <c r="K985" s="1075"/>
      <c r="L985" s="1074"/>
      <c r="M985" s="1074"/>
      <c r="N985" s="1074"/>
      <c r="O985" s="1076"/>
      <c r="P985" s="1074"/>
      <c r="Q985" s="1074"/>
      <c r="R985" s="1072"/>
      <c r="S985" s="1073"/>
      <c r="T985" s="1074"/>
      <c r="U985" s="1074"/>
      <c r="V985" s="1074"/>
      <c r="W985" s="1074"/>
      <c r="X985" s="1074"/>
      <c r="Y985" s="1072"/>
      <c r="Z985" s="1073"/>
      <c r="AA985" s="1074"/>
      <c r="AB985" s="1074"/>
      <c r="AC985" s="1074"/>
      <c r="AD985" s="1074"/>
      <c r="AE985" s="1074"/>
      <c r="AF985" s="1072"/>
      <c r="AG985" s="1073"/>
      <c r="AH985" s="1074"/>
      <c r="AI985" s="1074"/>
      <c r="AJ985" s="1074"/>
      <c r="AK985" s="1074"/>
    </row>
    <row r="986">
      <c r="A986" s="1072"/>
      <c r="B986" s="1072"/>
      <c r="C986" s="1075"/>
      <c r="D986" s="1074"/>
      <c r="E986" s="1074"/>
      <c r="F986" s="1074"/>
      <c r="G986" s="1076"/>
      <c r="H986" s="1074"/>
      <c r="I986" s="1074"/>
      <c r="J986" s="1072"/>
      <c r="K986" s="1075"/>
      <c r="L986" s="1074"/>
      <c r="M986" s="1074"/>
      <c r="N986" s="1074"/>
      <c r="O986" s="1076"/>
      <c r="P986" s="1074"/>
      <c r="Q986" s="1074"/>
      <c r="R986" s="1072"/>
      <c r="S986" s="1073"/>
      <c r="T986" s="1074"/>
      <c r="U986" s="1074"/>
      <c r="V986" s="1074"/>
      <c r="W986" s="1074"/>
      <c r="X986" s="1074"/>
      <c r="Y986" s="1072"/>
      <c r="Z986" s="1073"/>
      <c r="AA986" s="1074"/>
      <c r="AB986" s="1074"/>
      <c r="AC986" s="1074"/>
      <c r="AD986" s="1074"/>
      <c r="AE986" s="1074"/>
      <c r="AF986" s="1072"/>
      <c r="AG986" s="1073"/>
      <c r="AH986" s="1074"/>
      <c r="AI986" s="1074"/>
      <c r="AJ986" s="1074"/>
      <c r="AK986" s="1074"/>
    </row>
    <row r="987">
      <c r="A987" s="1072"/>
      <c r="B987" s="1072"/>
      <c r="C987" s="1075"/>
      <c r="D987" s="1074"/>
      <c r="E987" s="1074"/>
      <c r="F987" s="1074"/>
      <c r="G987" s="1076"/>
      <c r="H987" s="1074"/>
      <c r="I987" s="1074"/>
      <c r="J987" s="1072"/>
      <c r="K987" s="1075"/>
      <c r="L987" s="1074"/>
      <c r="M987" s="1074"/>
      <c r="N987" s="1074"/>
      <c r="O987" s="1076"/>
      <c r="P987" s="1074"/>
      <c r="Q987" s="1074"/>
      <c r="R987" s="1072"/>
      <c r="S987" s="1073"/>
      <c r="T987" s="1074"/>
      <c r="U987" s="1074"/>
      <c r="V987" s="1074"/>
      <c r="W987" s="1074"/>
      <c r="X987" s="1074"/>
      <c r="Y987" s="1072"/>
      <c r="Z987" s="1073"/>
      <c r="AA987" s="1074"/>
      <c r="AB987" s="1074"/>
      <c r="AC987" s="1074"/>
      <c r="AD987" s="1074"/>
      <c r="AE987" s="1074"/>
      <c r="AF987" s="1072"/>
      <c r="AG987" s="1073"/>
      <c r="AH987" s="1074"/>
      <c r="AI987" s="1074"/>
      <c r="AJ987" s="1074"/>
      <c r="AK987" s="1074"/>
    </row>
    <row r="988">
      <c r="A988" s="1072"/>
      <c r="B988" s="1072"/>
      <c r="C988" s="1075"/>
      <c r="D988" s="1074"/>
      <c r="E988" s="1074"/>
      <c r="F988" s="1074"/>
      <c r="G988" s="1076"/>
      <c r="H988" s="1074"/>
      <c r="I988" s="1074"/>
      <c r="J988" s="1072"/>
      <c r="K988" s="1075"/>
      <c r="L988" s="1074"/>
      <c r="M988" s="1074"/>
      <c r="N988" s="1074"/>
      <c r="O988" s="1076"/>
      <c r="P988" s="1074"/>
      <c r="Q988" s="1074"/>
      <c r="R988" s="1072"/>
      <c r="S988" s="1073"/>
      <c r="T988" s="1074"/>
      <c r="U988" s="1074"/>
      <c r="V988" s="1074"/>
      <c r="W988" s="1074"/>
      <c r="X988" s="1074"/>
      <c r="Y988" s="1072"/>
      <c r="Z988" s="1073"/>
      <c r="AA988" s="1074"/>
      <c r="AB988" s="1074"/>
      <c r="AC988" s="1074"/>
      <c r="AD988" s="1074"/>
      <c r="AE988" s="1074"/>
      <c r="AF988" s="1072"/>
      <c r="AG988" s="1073"/>
      <c r="AH988" s="1074"/>
      <c r="AI988" s="1074"/>
      <c r="AJ988" s="1074"/>
      <c r="AK988" s="1074"/>
    </row>
    <row r="989">
      <c r="A989" s="1072"/>
      <c r="B989" s="1072"/>
      <c r="C989" s="1075"/>
      <c r="D989" s="1074"/>
      <c r="E989" s="1074"/>
      <c r="F989" s="1074"/>
      <c r="G989" s="1076"/>
      <c r="H989" s="1074"/>
      <c r="I989" s="1074"/>
      <c r="J989" s="1072"/>
      <c r="K989" s="1075"/>
      <c r="L989" s="1074"/>
      <c r="M989" s="1074"/>
      <c r="N989" s="1074"/>
      <c r="O989" s="1076"/>
      <c r="P989" s="1074"/>
      <c r="Q989" s="1074"/>
      <c r="R989" s="1072"/>
      <c r="S989" s="1073"/>
      <c r="T989" s="1074"/>
      <c r="U989" s="1074"/>
      <c r="V989" s="1074"/>
      <c r="W989" s="1074"/>
      <c r="X989" s="1074"/>
      <c r="Y989" s="1072"/>
      <c r="Z989" s="1073"/>
      <c r="AA989" s="1074"/>
      <c r="AB989" s="1074"/>
      <c r="AC989" s="1074"/>
      <c r="AD989" s="1074"/>
      <c r="AE989" s="1074"/>
      <c r="AF989" s="1072"/>
      <c r="AG989" s="1073"/>
      <c r="AH989" s="1074"/>
      <c r="AI989" s="1074"/>
      <c r="AJ989" s="1074"/>
      <c r="AK989" s="1074"/>
    </row>
    <row r="990">
      <c r="A990" s="1072"/>
      <c r="B990" s="1072"/>
      <c r="C990" s="1075"/>
      <c r="D990" s="1074"/>
      <c r="E990" s="1074"/>
      <c r="F990" s="1074"/>
      <c r="G990" s="1076"/>
      <c r="H990" s="1074"/>
      <c r="I990" s="1074"/>
      <c r="J990" s="1072"/>
      <c r="K990" s="1075"/>
      <c r="L990" s="1074"/>
      <c r="M990" s="1074"/>
      <c r="N990" s="1074"/>
      <c r="O990" s="1076"/>
      <c r="P990" s="1074"/>
      <c r="Q990" s="1074"/>
      <c r="R990" s="1072"/>
      <c r="S990" s="1073"/>
      <c r="T990" s="1074"/>
      <c r="U990" s="1074"/>
      <c r="V990" s="1074"/>
      <c r="W990" s="1074"/>
      <c r="X990" s="1074"/>
      <c r="Y990" s="1072"/>
      <c r="Z990" s="1073"/>
      <c r="AA990" s="1074"/>
      <c r="AB990" s="1074"/>
      <c r="AC990" s="1074"/>
      <c r="AD990" s="1074"/>
      <c r="AE990" s="1074"/>
      <c r="AF990" s="1072"/>
      <c r="AG990" s="1073"/>
      <c r="AH990" s="1074"/>
      <c r="AI990" s="1074"/>
      <c r="AJ990" s="1074"/>
      <c r="AK990" s="1074"/>
    </row>
    <row r="991">
      <c r="A991" s="1072"/>
      <c r="B991" s="1072"/>
      <c r="C991" s="1075"/>
      <c r="D991" s="1074"/>
      <c r="E991" s="1074"/>
      <c r="F991" s="1074"/>
      <c r="G991" s="1076"/>
      <c r="H991" s="1074"/>
      <c r="I991" s="1074"/>
      <c r="J991" s="1072"/>
      <c r="K991" s="1075"/>
      <c r="L991" s="1074"/>
      <c r="M991" s="1074"/>
      <c r="N991" s="1074"/>
      <c r="O991" s="1076"/>
      <c r="P991" s="1074"/>
      <c r="Q991" s="1074"/>
      <c r="R991" s="1072"/>
      <c r="S991" s="1073"/>
      <c r="T991" s="1074"/>
      <c r="U991" s="1074"/>
      <c r="V991" s="1074"/>
      <c r="W991" s="1074"/>
      <c r="X991" s="1074"/>
      <c r="Y991" s="1072"/>
      <c r="Z991" s="1073"/>
      <c r="AA991" s="1074"/>
      <c r="AB991" s="1074"/>
      <c r="AC991" s="1074"/>
      <c r="AD991" s="1074"/>
      <c r="AE991" s="1074"/>
      <c r="AF991" s="1072"/>
      <c r="AG991" s="1073"/>
      <c r="AH991" s="1074"/>
      <c r="AI991" s="1074"/>
      <c r="AJ991" s="1074"/>
      <c r="AK991" s="1074"/>
    </row>
    <row r="992">
      <c r="A992" s="1072"/>
      <c r="B992" s="1072"/>
      <c r="C992" s="1075"/>
      <c r="D992" s="1074"/>
      <c r="E992" s="1074"/>
      <c r="F992" s="1074"/>
      <c r="G992" s="1076"/>
      <c r="H992" s="1074"/>
      <c r="I992" s="1074"/>
      <c r="J992" s="1072"/>
      <c r="K992" s="1075"/>
      <c r="L992" s="1074"/>
      <c r="M992" s="1074"/>
      <c r="N992" s="1074"/>
      <c r="O992" s="1076"/>
      <c r="P992" s="1074"/>
      <c r="Q992" s="1074"/>
      <c r="R992" s="1072"/>
      <c r="S992" s="1073"/>
      <c r="T992" s="1074"/>
      <c r="U992" s="1074"/>
      <c r="V992" s="1074"/>
      <c r="W992" s="1074"/>
      <c r="X992" s="1074"/>
      <c r="Y992" s="1072"/>
      <c r="Z992" s="1073"/>
      <c r="AA992" s="1074"/>
      <c r="AB992" s="1074"/>
      <c r="AC992" s="1074"/>
      <c r="AD992" s="1074"/>
      <c r="AE992" s="1074"/>
      <c r="AF992" s="1072"/>
      <c r="AG992" s="1073"/>
      <c r="AH992" s="1074"/>
      <c r="AI992" s="1074"/>
      <c r="AJ992" s="1074"/>
      <c r="AK992" s="1074"/>
    </row>
    <row r="993">
      <c r="A993" s="1072"/>
      <c r="B993" s="1072"/>
      <c r="C993" s="1075"/>
      <c r="D993" s="1074"/>
      <c r="E993" s="1074"/>
      <c r="F993" s="1074"/>
      <c r="G993" s="1076"/>
      <c r="H993" s="1074"/>
      <c r="I993" s="1074"/>
      <c r="J993" s="1072"/>
      <c r="K993" s="1075"/>
      <c r="L993" s="1074"/>
      <c r="M993" s="1074"/>
      <c r="N993" s="1074"/>
      <c r="O993" s="1076"/>
      <c r="P993" s="1074"/>
      <c r="Q993" s="1074"/>
      <c r="R993" s="1072"/>
      <c r="S993" s="1073"/>
      <c r="T993" s="1074"/>
      <c r="U993" s="1074"/>
      <c r="V993" s="1074"/>
      <c r="W993" s="1074"/>
      <c r="X993" s="1074"/>
      <c r="Y993" s="1072"/>
      <c r="Z993" s="1073"/>
      <c r="AA993" s="1074"/>
      <c r="AB993" s="1074"/>
      <c r="AC993" s="1074"/>
      <c r="AD993" s="1074"/>
      <c r="AE993" s="1074"/>
      <c r="AF993" s="1072"/>
      <c r="AG993" s="1073"/>
      <c r="AH993" s="1074"/>
      <c r="AI993" s="1074"/>
      <c r="AJ993" s="1074"/>
      <c r="AK993" s="1074"/>
    </row>
    <row r="994">
      <c r="A994" s="1072"/>
      <c r="B994" s="1072"/>
      <c r="C994" s="1075"/>
      <c r="D994" s="1074"/>
      <c r="E994" s="1074"/>
      <c r="F994" s="1074"/>
      <c r="G994" s="1076"/>
      <c r="H994" s="1074"/>
      <c r="I994" s="1074"/>
      <c r="J994" s="1072"/>
      <c r="K994" s="1075"/>
      <c r="L994" s="1074"/>
      <c r="M994" s="1074"/>
      <c r="N994" s="1074"/>
      <c r="O994" s="1076"/>
      <c r="P994" s="1074"/>
      <c r="Q994" s="1074"/>
      <c r="R994" s="1072"/>
      <c r="S994" s="1073"/>
      <c r="T994" s="1074"/>
      <c r="U994" s="1074"/>
      <c r="V994" s="1074"/>
      <c r="W994" s="1074"/>
      <c r="X994" s="1074"/>
      <c r="Y994" s="1072"/>
      <c r="Z994" s="1073"/>
      <c r="AA994" s="1074"/>
      <c r="AB994" s="1074"/>
      <c r="AC994" s="1074"/>
      <c r="AD994" s="1074"/>
      <c r="AE994" s="1074"/>
      <c r="AF994" s="1072"/>
      <c r="AG994" s="1073"/>
      <c r="AH994" s="1074"/>
      <c r="AI994" s="1074"/>
      <c r="AJ994" s="1074"/>
      <c r="AK994" s="1074"/>
    </row>
    <row r="995">
      <c r="A995" s="1072"/>
      <c r="B995" s="1072"/>
      <c r="C995" s="1075"/>
      <c r="D995" s="1074"/>
      <c r="E995" s="1074"/>
      <c r="F995" s="1074"/>
      <c r="G995" s="1076"/>
      <c r="H995" s="1074"/>
      <c r="I995" s="1074"/>
      <c r="J995" s="1072"/>
      <c r="K995" s="1075"/>
      <c r="L995" s="1074"/>
      <c r="M995" s="1074"/>
      <c r="N995" s="1074"/>
      <c r="O995" s="1076"/>
      <c r="P995" s="1074"/>
      <c r="Q995" s="1074"/>
      <c r="R995" s="1072"/>
      <c r="S995" s="1073"/>
      <c r="T995" s="1074"/>
      <c r="U995" s="1074"/>
      <c r="V995" s="1074"/>
      <c r="W995" s="1074"/>
      <c r="X995" s="1074"/>
      <c r="Y995" s="1072"/>
      <c r="Z995" s="1073"/>
      <c r="AA995" s="1074"/>
      <c r="AB995" s="1074"/>
      <c r="AC995" s="1074"/>
      <c r="AD995" s="1074"/>
      <c r="AE995" s="1074"/>
      <c r="AF995" s="1072"/>
      <c r="AG995" s="1073"/>
      <c r="AH995" s="1074"/>
      <c r="AI995" s="1074"/>
      <c r="AJ995" s="1074"/>
      <c r="AK995" s="1074"/>
    </row>
    <row r="996">
      <c r="A996" s="1072"/>
      <c r="B996" s="1072"/>
      <c r="C996" s="1075"/>
      <c r="D996" s="1074"/>
      <c r="E996" s="1074"/>
      <c r="F996" s="1074"/>
      <c r="G996" s="1076"/>
      <c r="H996" s="1074"/>
      <c r="I996" s="1074"/>
      <c r="J996" s="1072"/>
      <c r="K996" s="1075"/>
      <c r="L996" s="1074"/>
      <c r="M996" s="1074"/>
      <c r="N996" s="1074"/>
      <c r="O996" s="1076"/>
      <c r="P996" s="1074"/>
      <c r="Q996" s="1074"/>
      <c r="R996" s="1072"/>
      <c r="S996" s="1073"/>
      <c r="T996" s="1074"/>
      <c r="U996" s="1074"/>
      <c r="V996" s="1074"/>
      <c r="W996" s="1074"/>
      <c r="X996" s="1074"/>
      <c r="Y996" s="1072"/>
      <c r="Z996" s="1073"/>
      <c r="AA996" s="1074"/>
      <c r="AB996" s="1074"/>
      <c r="AC996" s="1074"/>
      <c r="AD996" s="1074"/>
      <c r="AE996" s="1074"/>
      <c r="AF996" s="1072"/>
      <c r="AG996" s="1073"/>
      <c r="AH996" s="1074"/>
      <c r="AI996" s="1074"/>
      <c r="AJ996" s="1074"/>
      <c r="AK996" s="1074"/>
    </row>
    <row r="997">
      <c r="A997" s="1072"/>
      <c r="B997" s="1072"/>
      <c r="C997" s="1075"/>
      <c r="D997" s="1074"/>
      <c r="E997" s="1074"/>
      <c r="F997" s="1074"/>
      <c r="G997" s="1076"/>
      <c r="H997" s="1074"/>
      <c r="I997" s="1074"/>
      <c r="J997" s="1072"/>
      <c r="K997" s="1075"/>
      <c r="L997" s="1074"/>
      <c r="M997" s="1074"/>
      <c r="N997" s="1074"/>
      <c r="O997" s="1076"/>
      <c r="P997" s="1074"/>
      <c r="Q997" s="1074"/>
      <c r="R997" s="1072"/>
      <c r="S997" s="1073"/>
      <c r="T997" s="1074"/>
      <c r="U997" s="1074"/>
      <c r="V997" s="1074"/>
      <c r="W997" s="1074"/>
      <c r="X997" s="1074"/>
      <c r="Y997" s="1072"/>
      <c r="Z997" s="1073"/>
      <c r="AA997" s="1074"/>
      <c r="AB997" s="1074"/>
      <c r="AC997" s="1074"/>
      <c r="AD997" s="1074"/>
      <c r="AE997" s="1074"/>
      <c r="AF997" s="1072"/>
      <c r="AG997" s="1073"/>
      <c r="AH997" s="1074"/>
      <c r="AI997" s="1074"/>
      <c r="AJ997" s="1074"/>
      <c r="AK997" s="1074"/>
    </row>
    <row r="998">
      <c r="A998" s="1072"/>
      <c r="B998" s="1072"/>
      <c r="C998" s="1075"/>
      <c r="D998" s="1074"/>
      <c r="E998" s="1074"/>
      <c r="F998" s="1074"/>
      <c r="G998" s="1076"/>
      <c r="H998" s="1074"/>
      <c r="I998" s="1074"/>
      <c r="J998" s="1072"/>
      <c r="K998" s="1075"/>
      <c r="L998" s="1074"/>
      <c r="M998" s="1074"/>
      <c r="N998" s="1074"/>
      <c r="O998" s="1076"/>
      <c r="P998" s="1074"/>
      <c r="Q998" s="1074"/>
      <c r="R998" s="1072"/>
      <c r="S998" s="1073"/>
      <c r="T998" s="1074"/>
      <c r="U998" s="1074"/>
      <c r="V998" s="1074"/>
      <c r="W998" s="1074"/>
      <c r="X998" s="1074"/>
      <c r="Y998" s="1072"/>
      <c r="Z998" s="1073"/>
      <c r="AA998" s="1074"/>
      <c r="AB998" s="1074"/>
      <c r="AC998" s="1074"/>
      <c r="AD998" s="1074"/>
      <c r="AE998" s="1074"/>
      <c r="AF998" s="1072"/>
      <c r="AG998" s="1073"/>
      <c r="AH998" s="1074"/>
      <c r="AI998" s="1074"/>
      <c r="AJ998" s="1074"/>
      <c r="AK998" s="1074"/>
    </row>
    <row r="999">
      <c r="A999" s="1072"/>
      <c r="B999" s="1072"/>
      <c r="C999" s="1075"/>
      <c r="D999" s="1074"/>
      <c r="E999" s="1074"/>
      <c r="F999" s="1074"/>
      <c r="G999" s="1076"/>
      <c r="H999" s="1074"/>
      <c r="I999" s="1074"/>
      <c r="J999" s="1072"/>
      <c r="K999" s="1075"/>
      <c r="L999" s="1074"/>
      <c r="M999" s="1074"/>
      <c r="N999" s="1074"/>
      <c r="O999" s="1076"/>
      <c r="P999" s="1074"/>
      <c r="Q999" s="1074"/>
      <c r="R999" s="1072"/>
      <c r="S999" s="1073"/>
      <c r="T999" s="1074"/>
      <c r="U999" s="1074"/>
      <c r="V999" s="1074"/>
      <c r="W999" s="1074"/>
      <c r="X999" s="1074"/>
      <c r="Y999" s="1072"/>
      <c r="Z999" s="1073"/>
      <c r="AA999" s="1074"/>
      <c r="AB999" s="1074"/>
      <c r="AC999" s="1074"/>
      <c r="AD999" s="1074"/>
      <c r="AE999" s="1074"/>
      <c r="AF999" s="1072"/>
      <c r="AG999" s="1073"/>
      <c r="AH999" s="1074"/>
      <c r="AI999" s="1074"/>
      <c r="AJ999" s="1074"/>
      <c r="AK999" s="1074"/>
    </row>
    <row r="1000">
      <c r="A1000" s="1072"/>
      <c r="B1000" s="1072"/>
      <c r="C1000" s="1075"/>
      <c r="D1000" s="1074"/>
      <c r="E1000" s="1074"/>
      <c r="F1000" s="1074"/>
      <c r="G1000" s="1076"/>
      <c r="H1000" s="1074"/>
      <c r="I1000" s="1074"/>
      <c r="J1000" s="1072"/>
      <c r="K1000" s="1075"/>
      <c r="L1000" s="1074"/>
      <c r="M1000" s="1074"/>
      <c r="N1000" s="1074"/>
      <c r="O1000" s="1076"/>
      <c r="P1000" s="1074"/>
      <c r="Q1000" s="1074"/>
      <c r="R1000" s="1072"/>
      <c r="S1000" s="1073"/>
      <c r="T1000" s="1074"/>
      <c r="U1000" s="1074"/>
      <c r="V1000" s="1074"/>
      <c r="W1000" s="1074"/>
      <c r="X1000" s="1074"/>
      <c r="Y1000" s="1072"/>
      <c r="Z1000" s="1073"/>
      <c r="AA1000" s="1074"/>
      <c r="AB1000" s="1074"/>
      <c r="AC1000" s="1074"/>
      <c r="AD1000" s="1074"/>
      <c r="AE1000" s="1074"/>
      <c r="AF1000" s="1072"/>
      <c r="AG1000" s="1073"/>
      <c r="AH1000" s="1074"/>
      <c r="AI1000" s="1074"/>
      <c r="AJ1000" s="1074"/>
      <c r="AK1000" s="1074"/>
    </row>
  </sheetData>
  <mergeCells count="11">
    <mergeCell ref="T1:X2"/>
    <mergeCell ref="AA1:AE2"/>
    <mergeCell ref="AH1:AK2"/>
    <mergeCell ref="A1:A2"/>
    <mergeCell ref="C1:C11"/>
    <mergeCell ref="D1:I2"/>
    <mergeCell ref="K1:K11"/>
    <mergeCell ref="L1:Q2"/>
    <mergeCell ref="S1:S11"/>
    <mergeCell ref="Z1:Z11"/>
    <mergeCell ref="AG1:AG11"/>
  </mergeCells>
  <dataValidations>
    <dataValidation type="list" allowBlank="1" sqref="A7:A13">
      <formula1>'config.parâmetros'!$B$17:$B$23</formula1>
    </dataValidation>
  </dataValidations>
  <drawing r:id="rId2"/>
  <legacyDrawing r:id="rId3"/>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99999"/>
    <outlinePr summaryBelow="0" summaryRight="0"/>
  </sheetPr>
  <sheetViews>
    <sheetView showGridLines="0" workbookViewId="0"/>
  </sheetViews>
  <sheetFormatPr customHeight="1" defaultColWidth="15.13" defaultRowHeight="15.75" outlineLevelCol="1"/>
  <cols>
    <col customWidth="1" min="1" max="1" width="16.63"/>
    <col customWidth="1" min="2" max="2" width="6.88"/>
    <col collapsed="1" customWidth="1" min="3" max="3" width="47.5"/>
    <col customWidth="1" hidden="1" min="4" max="4" width="6.88" outlineLevel="1"/>
    <col customWidth="1" hidden="1" min="5" max="5" width="66.13" outlineLevel="1"/>
    <col customWidth="1" min="6" max="6" width="1.13"/>
    <col customWidth="1" min="7" max="7" width="15.0"/>
    <col customWidth="1" min="8" max="11" width="11.88"/>
    <col customWidth="1" min="12" max="12" width="1.13"/>
    <col customWidth="1" hidden="1" min="13" max="13" width="9.25"/>
    <col customWidth="1" hidden="1" min="14" max="14" width="2.88"/>
    <col customWidth="1" hidden="1" min="15" max="15" width="9.25"/>
    <col customWidth="1" hidden="1" min="16" max="16" width="8.0"/>
  </cols>
  <sheetData>
    <row r="1" ht="12.75" customHeight="1">
      <c r="A1" s="1077" t="s">
        <v>772</v>
      </c>
      <c r="F1" s="1078"/>
      <c r="G1" s="1077" t="s">
        <v>773</v>
      </c>
      <c r="L1" s="1079"/>
      <c r="M1" s="1080" t="s">
        <v>774</v>
      </c>
      <c r="N1" s="56"/>
      <c r="O1" s="1080" t="s">
        <v>775</v>
      </c>
      <c r="P1" s="56"/>
    </row>
    <row r="2" ht="12.75" customHeight="1">
      <c r="F2" s="1078"/>
      <c r="L2" s="1079"/>
      <c r="M2" s="117" t="b">
        <v>0</v>
      </c>
      <c r="N2" s="56"/>
      <c r="O2" s="1081"/>
      <c r="P2" s="56"/>
    </row>
    <row r="3" ht="6.0" customHeight="1">
      <c r="A3" s="1082"/>
      <c r="B3" s="1082"/>
      <c r="C3" s="1082" t="s">
        <v>776</v>
      </c>
      <c r="E3" s="1082"/>
      <c r="F3" s="1078"/>
      <c r="G3" s="1082"/>
      <c r="H3" s="1082"/>
      <c r="I3" s="1082"/>
      <c r="J3" s="1082"/>
      <c r="K3" s="1082"/>
      <c r="L3" s="1082"/>
      <c r="M3" s="1082"/>
    </row>
    <row r="4" ht="15.75" customHeight="1">
      <c r="A4" s="1083" t="s">
        <v>777</v>
      </c>
      <c r="B4" s="1084"/>
      <c r="C4" s="111"/>
      <c r="D4" s="1085" t="s">
        <v>778</v>
      </c>
      <c r="E4" s="1085" t="s">
        <v>779</v>
      </c>
      <c r="F4" s="1086"/>
      <c r="G4" s="1087" t="s">
        <v>780</v>
      </c>
      <c r="H4" s="1088" t="s">
        <v>781</v>
      </c>
      <c r="I4" s="170"/>
      <c r="J4" s="170"/>
      <c r="K4" s="318"/>
      <c r="L4" s="1089"/>
      <c r="M4" s="1080" t="s">
        <v>782</v>
      </c>
      <c r="N4" s="56"/>
      <c r="O4" s="1090" t="s">
        <v>783</v>
      </c>
      <c r="P4" s="1090" t="s">
        <v>784</v>
      </c>
    </row>
    <row r="5" ht="15.75" customHeight="1">
      <c r="A5" s="1091" t="s">
        <v>785</v>
      </c>
      <c r="B5" s="727" t="b">
        <v>1</v>
      </c>
      <c r="C5" s="1092" t="s">
        <v>786</v>
      </c>
      <c r="D5" s="1085" t="s">
        <v>778</v>
      </c>
      <c r="E5" s="1093" t="s">
        <v>787</v>
      </c>
      <c r="F5" s="1094"/>
      <c r="G5" s="1095"/>
      <c r="H5" s="1096" t="s">
        <v>788</v>
      </c>
      <c r="I5" s="1097" t="s">
        <v>789</v>
      </c>
      <c r="J5" s="1097" t="s">
        <v>790</v>
      </c>
      <c r="K5" s="1097" t="s">
        <v>298</v>
      </c>
      <c r="L5" s="1089"/>
      <c r="M5" s="117" t="b">
        <v>1</v>
      </c>
      <c r="N5" s="56"/>
      <c r="O5" s="1098" t="s">
        <v>791</v>
      </c>
      <c r="P5" s="117"/>
    </row>
    <row r="6" ht="15.75" customHeight="1">
      <c r="A6" s="1094"/>
      <c r="B6" s="1094"/>
      <c r="C6" s="1094"/>
      <c r="D6" s="1094"/>
      <c r="E6" s="1094"/>
      <c r="F6" s="1094"/>
      <c r="G6" s="1099"/>
      <c r="H6" s="1100" t="s">
        <v>792</v>
      </c>
      <c r="I6" s="1101"/>
      <c r="J6" s="1101"/>
      <c r="K6" s="1102"/>
      <c r="L6" s="678"/>
      <c r="M6" s="678"/>
      <c r="N6" s="56"/>
      <c r="O6" s="1098" t="s">
        <v>793</v>
      </c>
      <c r="P6" s="117"/>
    </row>
    <row r="7" ht="15.75" customHeight="1">
      <c r="A7" s="1103"/>
      <c r="B7" s="1103"/>
      <c r="C7" s="1104" t="s">
        <v>794</v>
      </c>
      <c r="D7" s="1105"/>
      <c r="E7" s="1093"/>
      <c r="F7" s="1094"/>
      <c r="G7" s="1106" t="s">
        <v>117</v>
      </c>
      <c r="H7" s="1107" t="s">
        <v>788</v>
      </c>
      <c r="I7" s="1108" t="s">
        <v>795</v>
      </c>
      <c r="J7" s="1108" t="s">
        <v>796</v>
      </c>
      <c r="K7" s="1108" t="s">
        <v>298</v>
      </c>
      <c r="L7" s="1109"/>
      <c r="M7" s="112" t="s">
        <v>797</v>
      </c>
      <c r="N7" s="56"/>
      <c r="O7" s="1098" t="s">
        <v>798</v>
      </c>
      <c r="P7" s="117"/>
    </row>
    <row r="8" ht="15.75" customHeight="1">
      <c r="A8" s="1110" t="s">
        <v>799</v>
      </c>
      <c r="B8" s="1111" t="s">
        <v>458</v>
      </c>
      <c r="C8" s="1112" t="s">
        <v>800</v>
      </c>
      <c r="D8" s="1113"/>
      <c r="E8" s="1113"/>
      <c r="F8" s="1094"/>
      <c r="G8" s="1106" t="s">
        <v>499</v>
      </c>
      <c r="H8" s="1107" t="s">
        <v>801</v>
      </c>
      <c r="I8" s="1108" t="s">
        <v>802</v>
      </c>
      <c r="J8" s="1108"/>
      <c r="K8" s="1108"/>
      <c r="L8" s="1109"/>
      <c r="M8" s="117" t="b">
        <f t="array" ref="M8">IF(COUNTA(UNIQUE(B17:B23))=0,B10,OR(B10,B16))</f>
        <v>1</v>
      </c>
    </row>
    <row r="9" ht="15.75" customHeight="1">
      <c r="A9" s="1083" t="s">
        <v>803</v>
      </c>
      <c r="B9" s="1114" t="b">
        <v>1</v>
      </c>
      <c r="C9" s="1093" t="s">
        <v>804</v>
      </c>
      <c r="D9" s="1093" t="s">
        <v>805</v>
      </c>
      <c r="E9" s="1093" t="s">
        <v>806</v>
      </c>
      <c r="F9" s="1094"/>
      <c r="G9" s="1106" t="s">
        <v>807</v>
      </c>
      <c r="H9" s="1107"/>
      <c r="I9" s="1108" t="s">
        <v>808</v>
      </c>
      <c r="J9" s="1108"/>
      <c r="K9" s="1108"/>
      <c r="L9" s="1109"/>
      <c r="M9" s="1109"/>
      <c r="N9" s="56"/>
      <c r="O9" s="56"/>
      <c r="P9" s="56"/>
    </row>
    <row r="10" ht="15.75" customHeight="1">
      <c r="A10" s="1083" t="s">
        <v>797</v>
      </c>
      <c r="B10" s="1114" t="b">
        <v>1</v>
      </c>
      <c r="C10" s="1093" t="s">
        <v>809</v>
      </c>
      <c r="D10" s="1085" t="s">
        <v>778</v>
      </c>
      <c r="E10" s="1093" t="s">
        <v>810</v>
      </c>
      <c r="F10" s="1094"/>
      <c r="G10" s="1106" t="s">
        <v>811</v>
      </c>
      <c r="H10" s="1107"/>
      <c r="I10" s="1108" t="s">
        <v>812</v>
      </c>
      <c r="J10" s="1108"/>
      <c r="K10" s="1108"/>
      <c r="L10" s="1109"/>
      <c r="M10" s="112" t="s">
        <v>813</v>
      </c>
      <c r="N10" s="56"/>
      <c r="O10" s="112" t="s">
        <v>814</v>
      </c>
      <c r="P10" s="56"/>
    </row>
    <row r="11" ht="15.75" customHeight="1">
      <c r="A11" s="1083" t="s">
        <v>815</v>
      </c>
      <c r="B11" s="1114" t="b">
        <v>0</v>
      </c>
      <c r="C11" s="1093" t="s">
        <v>816</v>
      </c>
      <c r="D11" s="1085" t="s">
        <v>778</v>
      </c>
      <c r="E11" s="1093" t="s">
        <v>817</v>
      </c>
      <c r="F11" s="1094"/>
      <c r="G11" s="1106" t="s">
        <v>818</v>
      </c>
      <c r="H11" s="1107"/>
      <c r="I11" s="1108" t="s">
        <v>819</v>
      </c>
      <c r="J11" s="1108"/>
      <c r="K11" s="1108"/>
      <c r="L11" s="1109"/>
      <c r="M11" s="117" t="str">
        <f t="array" ref="M11:M62">sort(unique({O11:O61;config.outros!C6:C35}))</f>
        <v>AÇÃO</v>
      </c>
      <c r="N11" s="56"/>
      <c r="O11" s="117" t="s">
        <v>117</v>
      </c>
      <c r="P11" s="56"/>
    </row>
    <row r="12" ht="15.75" customHeight="1">
      <c r="A12" s="1083" t="s">
        <v>820</v>
      </c>
      <c r="B12" s="1114" t="b">
        <v>0</v>
      </c>
      <c r="C12" s="1093" t="s">
        <v>821</v>
      </c>
      <c r="D12" s="1085" t="s">
        <v>822</v>
      </c>
      <c r="E12" s="1093" t="s">
        <v>823</v>
      </c>
      <c r="F12" s="1094"/>
      <c r="G12" s="1106" t="s">
        <v>623</v>
      </c>
      <c r="H12" s="1107"/>
      <c r="I12" s="1108" t="s">
        <v>802</v>
      </c>
      <c r="J12" s="1108"/>
      <c r="K12" s="1108"/>
      <c r="L12" s="1109"/>
      <c r="M12" s="117" t="s">
        <v>824</v>
      </c>
      <c r="N12" s="56"/>
      <c r="O12" s="117" t="s">
        <v>824</v>
      </c>
      <c r="P12" s="56"/>
    </row>
    <row r="13" ht="15.75" customHeight="1">
      <c r="A13" s="1083" t="s">
        <v>825</v>
      </c>
      <c r="B13" s="1114">
        <v>2.0</v>
      </c>
      <c r="C13" s="1093" t="s">
        <v>826</v>
      </c>
      <c r="D13" s="1093"/>
      <c r="E13" s="1093"/>
      <c r="F13" s="1094"/>
      <c r="G13" s="1106" t="s">
        <v>827</v>
      </c>
      <c r="H13" s="1107"/>
      <c r="I13" s="1108" t="s">
        <v>828</v>
      </c>
      <c r="J13" s="1108"/>
      <c r="K13" s="1108"/>
      <c r="L13" s="1109"/>
      <c r="M13" s="117" t="s">
        <v>818</v>
      </c>
      <c r="N13" s="56"/>
      <c r="O13" s="117" t="s">
        <v>818</v>
      </c>
      <c r="P13" s="56"/>
    </row>
    <row r="14" ht="15.75" customHeight="1">
      <c r="A14" s="1094"/>
      <c r="B14" s="1094"/>
      <c r="C14" s="1094"/>
      <c r="D14" s="1094"/>
      <c r="E14" s="1094"/>
      <c r="F14" s="1094"/>
      <c r="G14" s="1106" t="s">
        <v>829</v>
      </c>
      <c r="H14" s="1107"/>
      <c r="I14" s="1108" t="s">
        <v>830</v>
      </c>
      <c r="J14" s="1108"/>
      <c r="K14" s="1108"/>
      <c r="L14" s="1109"/>
      <c r="M14" s="117" t="s">
        <v>831</v>
      </c>
      <c r="N14" s="56"/>
      <c r="O14" s="117" t="s">
        <v>831</v>
      </c>
      <c r="P14" s="56"/>
    </row>
    <row r="15" ht="15.75" customHeight="1">
      <c r="A15" s="1103"/>
      <c r="B15" s="1103"/>
      <c r="C15" s="1104" t="s">
        <v>832</v>
      </c>
      <c r="D15" s="1115" t="s">
        <v>778</v>
      </c>
      <c r="E15" s="1093" t="s">
        <v>833</v>
      </c>
      <c r="F15" s="1094"/>
      <c r="G15" s="1106" t="s">
        <v>834</v>
      </c>
      <c r="H15" s="1107"/>
      <c r="I15" s="1108" t="s">
        <v>835</v>
      </c>
      <c r="J15" s="1108"/>
      <c r="K15" s="1108"/>
      <c r="L15" s="1109"/>
      <c r="M15" s="117" t="s">
        <v>836</v>
      </c>
      <c r="N15" s="56"/>
      <c r="O15" s="117" t="s">
        <v>836</v>
      </c>
      <c r="P15" s="56"/>
    </row>
    <row r="16" ht="15.75" customHeight="1">
      <c r="A16" s="1110" t="s">
        <v>837</v>
      </c>
      <c r="B16" s="1107" t="b">
        <v>0</v>
      </c>
      <c r="C16" s="1112" t="s">
        <v>838</v>
      </c>
      <c r="D16" s="1093" t="s">
        <v>805</v>
      </c>
      <c r="E16" s="1093" t="s">
        <v>839</v>
      </c>
      <c r="F16" s="1094"/>
      <c r="G16" s="1106" t="s">
        <v>840</v>
      </c>
      <c r="H16" s="1107"/>
      <c r="I16" s="1108" t="s">
        <v>841</v>
      </c>
      <c r="J16" s="1108"/>
      <c r="K16" s="1108"/>
      <c r="L16" s="1109"/>
      <c r="M16" s="117" t="s">
        <v>842</v>
      </c>
      <c r="N16" s="56"/>
      <c r="O16" s="117" t="s">
        <v>842</v>
      </c>
      <c r="P16" s="56"/>
    </row>
    <row r="17" ht="15.75" customHeight="1">
      <c r="A17" s="1083" t="s">
        <v>843</v>
      </c>
      <c r="B17" s="1116"/>
      <c r="C17" s="1093" t="s">
        <v>844</v>
      </c>
      <c r="D17" s="1093" t="s">
        <v>805</v>
      </c>
      <c r="E17" s="1093" t="s">
        <v>845</v>
      </c>
      <c r="F17" s="1094"/>
      <c r="G17" s="1106" t="s">
        <v>846</v>
      </c>
      <c r="H17" s="1107"/>
      <c r="I17" s="1108"/>
      <c r="J17" s="1108"/>
      <c r="K17" s="1108"/>
      <c r="L17" s="1109"/>
      <c r="M17" s="117" t="s">
        <v>801</v>
      </c>
      <c r="N17" s="56"/>
      <c r="O17" s="117" t="s">
        <v>801</v>
      </c>
      <c r="P17" s="56"/>
    </row>
    <row r="18" ht="15.75" customHeight="1">
      <c r="A18" s="1083" t="s">
        <v>847</v>
      </c>
      <c r="B18" s="1116"/>
      <c r="C18" s="1093" t="s">
        <v>848</v>
      </c>
      <c r="D18" s="1093" t="s">
        <v>805</v>
      </c>
      <c r="E18" s="1093" t="s">
        <v>849</v>
      </c>
      <c r="F18" s="1094"/>
      <c r="G18" s="1106" t="s">
        <v>850</v>
      </c>
      <c r="H18" s="1107"/>
      <c r="I18" s="1108"/>
      <c r="J18" s="1108"/>
      <c r="K18" s="1108"/>
      <c r="L18" s="1109"/>
      <c r="M18" s="117" t="s">
        <v>851</v>
      </c>
      <c r="N18" s="56"/>
      <c r="O18" s="117" t="s">
        <v>851</v>
      </c>
      <c r="P18" s="56"/>
    </row>
    <row r="19" ht="15.75" customHeight="1">
      <c r="A19" s="1083" t="s">
        <v>852</v>
      </c>
      <c r="B19" s="1116"/>
      <c r="C19" s="1093" t="s">
        <v>853</v>
      </c>
      <c r="D19" s="1093" t="s">
        <v>805</v>
      </c>
      <c r="E19" s="1093" t="s">
        <v>854</v>
      </c>
      <c r="F19" s="1094"/>
      <c r="G19" s="1106" t="s">
        <v>855</v>
      </c>
      <c r="H19" s="1107"/>
      <c r="I19" s="1108"/>
      <c r="J19" s="1108"/>
      <c r="K19" s="1108"/>
      <c r="L19" s="1109"/>
      <c r="M19" s="117" t="s">
        <v>623</v>
      </c>
      <c r="N19" s="56"/>
      <c r="O19" s="117" t="s">
        <v>623</v>
      </c>
      <c r="P19" s="56"/>
    </row>
    <row r="20" ht="15.75" customHeight="1">
      <c r="A20" s="1083" t="s">
        <v>856</v>
      </c>
      <c r="B20" s="1116"/>
      <c r="C20" s="1093" t="s">
        <v>857</v>
      </c>
      <c r="D20" s="1093" t="s">
        <v>805</v>
      </c>
      <c r="E20" s="1093" t="s">
        <v>858</v>
      </c>
      <c r="F20" s="1094"/>
      <c r="G20" s="1106" t="s">
        <v>859</v>
      </c>
      <c r="H20" s="1107"/>
      <c r="I20" s="1108"/>
      <c r="J20" s="1108"/>
      <c r="K20" s="1108"/>
      <c r="L20" s="1109"/>
      <c r="M20" s="117" t="s">
        <v>827</v>
      </c>
      <c r="N20" s="56"/>
      <c r="O20" s="117" t="s">
        <v>827</v>
      </c>
      <c r="P20" s="56"/>
    </row>
    <row r="21" ht="15.75" customHeight="1">
      <c r="A21" s="1083" t="s">
        <v>860</v>
      </c>
      <c r="B21" s="1116"/>
      <c r="C21" s="1093" t="s">
        <v>861</v>
      </c>
      <c r="D21" s="1093" t="s">
        <v>805</v>
      </c>
      <c r="E21" s="1093" t="s">
        <v>862</v>
      </c>
      <c r="F21" s="1094"/>
      <c r="G21" s="1106"/>
      <c r="H21" s="1107"/>
      <c r="I21" s="1108"/>
      <c r="J21" s="1108"/>
      <c r="K21" s="1108"/>
      <c r="L21" s="1109"/>
      <c r="M21" s="117" t="s">
        <v>863</v>
      </c>
      <c r="N21" s="56"/>
      <c r="O21" s="117" t="s">
        <v>863</v>
      </c>
      <c r="P21" s="56"/>
    </row>
    <row r="22" ht="15.75" customHeight="1">
      <c r="A22" s="1083" t="s">
        <v>864</v>
      </c>
      <c r="B22" s="1116"/>
      <c r="C22" s="1093" t="s">
        <v>865</v>
      </c>
      <c r="D22" s="1093" t="s">
        <v>805</v>
      </c>
      <c r="E22" s="1093" t="s">
        <v>866</v>
      </c>
      <c r="F22" s="1094"/>
      <c r="G22" s="1106"/>
      <c r="H22" s="1107"/>
      <c r="I22" s="1108"/>
      <c r="J22" s="1108"/>
      <c r="K22" s="1108"/>
      <c r="L22" s="1117"/>
      <c r="M22" s="117" t="s">
        <v>867</v>
      </c>
      <c r="N22" s="56"/>
      <c r="O22" s="117" t="s">
        <v>867</v>
      </c>
      <c r="P22" s="56"/>
    </row>
    <row r="23" ht="15.75" customHeight="1">
      <c r="A23" s="1083" t="s">
        <v>868</v>
      </c>
      <c r="B23" s="1116"/>
      <c r="C23" s="1093" t="s">
        <v>869</v>
      </c>
      <c r="D23" s="1093"/>
      <c r="E23" s="1093"/>
      <c r="F23" s="1094"/>
      <c r="G23" s="1106"/>
      <c r="H23" s="1107"/>
      <c r="I23" s="1108"/>
      <c r="J23" s="1108"/>
      <c r="K23" s="1108"/>
      <c r="L23" s="1117"/>
      <c r="M23" s="117" t="s">
        <v>870</v>
      </c>
      <c r="N23" s="56"/>
      <c r="O23" s="117" t="s">
        <v>870</v>
      </c>
      <c r="P23" s="56"/>
    </row>
    <row r="24" ht="15.75" customHeight="1">
      <c r="A24" s="1094"/>
      <c r="B24" s="1094"/>
      <c r="C24" s="1094"/>
      <c r="D24" s="1094"/>
      <c r="E24" s="1094"/>
      <c r="F24" s="1094"/>
      <c r="G24" s="1106"/>
      <c r="H24" s="1107"/>
      <c r="I24" s="1108"/>
      <c r="J24" s="1108"/>
      <c r="K24" s="1108"/>
      <c r="L24" s="1079"/>
      <c r="M24" s="117" t="s">
        <v>829</v>
      </c>
      <c r="N24" s="56"/>
      <c r="O24" s="117" t="s">
        <v>829</v>
      </c>
      <c r="P24" s="56"/>
    </row>
    <row r="25" ht="15.75" customHeight="1">
      <c r="A25" s="1103"/>
      <c r="B25" s="1103"/>
      <c r="C25" s="1104" t="s">
        <v>871</v>
      </c>
      <c r="F25" s="1094"/>
      <c r="G25" s="1106"/>
      <c r="H25" s="1107"/>
      <c r="I25" s="1108"/>
      <c r="J25" s="1108"/>
      <c r="K25" s="1108"/>
      <c r="L25" s="599"/>
      <c r="M25" s="117" t="s">
        <v>872</v>
      </c>
      <c r="N25" s="56"/>
      <c r="O25" s="117" t="s">
        <v>872</v>
      </c>
      <c r="P25" s="56"/>
    </row>
    <row r="26" ht="15.75" customHeight="1">
      <c r="A26" s="1110" t="s">
        <v>873</v>
      </c>
      <c r="B26" s="1107" t="b">
        <v>1</v>
      </c>
      <c r="C26" s="1112" t="s">
        <v>874</v>
      </c>
      <c r="F26" s="1094"/>
      <c r="G26" s="1106"/>
      <c r="H26" s="1107"/>
      <c r="I26" s="1108"/>
      <c r="J26" s="1108"/>
      <c r="K26" s="1108"/>
      <c r="L26" s="599"/>
      <c r="M26" s="117" t="s">
        <v>812</v>
      </c>
      <c r="N26" s="56"/>
      <c r="O26" s="117" t="s">
        <v>812</v>
      </c>
      <c r="P26" s="56"/>
    </row>
    <row r="27" ht="15.75" customHeight="1">
      <c r="A27" s="1083" t="s">
        <v>875</v>
      </c>
      <c r="B27" s="1114" t="b">
        <v>1</v>
      </c>
      <c r="C27" s="1093" t="s">
        <v>876</v>
      </c>
      <c r="F27" s="1094"/>
      <c r="L27" s="599"/>
      <c r="M27" s="117" t="s">
        <v>841</v>
      </c>
      <c r="N27" s="56"/>
      <c r="O27" s="117" t="s">
        <v>841</v>
      </c>
      <c r="P27" s="56"/>
    </row>
    <row r="28" ht="15.75" customHeight="1">
      <c r="A28" s="1083" t="s">
        <v>877</v>
      </c>
      <c r="B28" s="1114" t="b">
        <v>1</v>
      </c>
      <c r="C28" s="1093" t="s">
        <v>878</v>
      </c>
      <c r="F28" s="1094"/>
      <c r="G28" s="1118" t="s">
        <v>879</v>
      </c>
      <c r="L28" s="599"/>
      <c r="M28" s="117" t="s">
        <v>819</v>
      </c>
      <c r="N28" s="56"/>
      <c r="O28" s="117" t="s">
        <v>819</v>
      </c>
      <c r="P28" s="56"/>
    </row>
    <row r="29" ht="15.75" customHeight="1">
      <c r="A29" s="1083" t="s">
        <v>880</v>
      </c>
      <c r="B29" s="1114" t="b">
        <v>1</v>
      </c>
      <c r="C29" s="1093" t="s">
        <v>881</v>
      </c>
      <c r="F29" s="1119"/>
      <c r="G29" s="1120" t="s">
        <v>390</v>
      </c>
      <c r="H29" s="1121" t="s">
        <v>882</v>
      </c>
      <c r="I29" s="1121" t="s">
        <v>883</v>
      </c>
      <c r="J29" s="1121" t="s">
        <v>884</v>
      </c>
      <c r="K29" s="1122" t="s">
        <v>885</v>
      </c>
      <c r="L29" s="599"/>
      <c r="M29" s="117" t="s">
        <v>802</v>
      </c>
      <c r="N29" s="56"/>
      <c r="O29" s="117" t="s">
        <v>802</v>
      </c>
      <c r="P29" s="56"/>
    </row>
    <row r="30" ht="15.75" customHeight="1">
      <c r="A30" s="1083" t="s">
        <v>886</v>
      </c>
      <c r="B30" s="1114" t="b">
        <v>0</v>
      </c>
      <c r="C30" s="1093" t="s">
        <v>887</v>
      </c>
      <c r="F30" s="1094"/>
      <c r="G30" s="1123" t="str">
        <f t="array" ref="G30">IF(COUNTA(UNIQUE(B17:B23))=0,"ÚNICO INVESTIDOR",B17:B23)</f>
        <v>ÚNICO INVESTIDOR</v>
      </c>
      <c r="H30" s="1114"/>
      <c r="I30" s="1114"/>
      <c r="J30" s="1114"/>
      <c r="K30" s="1114"/>
      <c r="L30" s="599"/>
      <c r="M30" s="117" t="s">
        <v>828</v>
      </c>
      <c r="N30" s="56"/>
      <c r="O30" s="117" t="s">
        <v>828</v>
      </c>
      <c r="P30" s="56"/>
    </row>
    <row r="31" ht="15.75" customHeight="1">
      <c r="A31" s="1083" t="s">
        <v>888</v>
      </c>
      <c r="B31" s="1114" t="b">
        <v>0</v>
      </c>
      <c r="C31" s="1093" t="s">
        <v>889</v>
      </c>
      <c r="F31" s="1094"/>
      <c r="G31" s="1124"/>
      <c r="H31" s="1114"/>
      <c r="I31" s="1114"/>
      <c r="J31" s="1114"/>
      <c r="K31" s="1114"/>
      <c r="L31" s="599"/>
      <c r="M31" s="117" t="s">
        <v>499</v>
      </c>
      <c r="N31" s="56"/>
      <c r="O31" s="117" t="s">
        <v>499</v>
      </c>
      <c r="P31" s="56"/>
    </row>
    <row r="32" ht="15.75" customHeight="1">
      <c r="A32" s="1083" t="s">
        <v>890</v>
      </c>
      <c r="B32" s="1114" t="b">
        <v>0</v>
      </c>
      <c r="C32" s="1093" t="s">
        <v>891</v>
      </c>
      <c r="F32" s="1094"/>
      <c r="G32" s="1124"/>
      <c r="H32" s="1114"/>
      <c r="I32" s="1114"/>
      <c r="J32" s="1114"/>
      <c r="K32" s="1114"/>
      <c r="L32" s="599"/>
      <c r="M32" s="117" t="s">
        <v>830</v>
      </c>
      <c r="N32" s="56"/>
      <c r="O32" s="117" t="s">
        <v>830</v>
      </c>
      <c r="P32" s="56"/>
    </row>
    <row r="33" ht="15.75" customHeight="1">
      <c r="A33" s="1083" t="s">
        <v>892</v>
      </c>
      <c r="B33" s="1114">
        <v>2020.0</v>
      </c>
      <c r="C33" s="1093" t="s">
        <v>893</v>
      </c>
      <c r="F33" s="1094"/>
      <c r="G33" s="1124"/>
      <c r="H33" s="1114"/>
      <c r="I33" s="1114"/>
      <c r="J33" s="1114"/>
      <c r="K33" s="1114"/>
      <c r="L33" s="599"/>
      <c r="M33" s="117" t="s">
        <v>835</v>
      </c>
      <c r="N33" s="56"/>
      <c r="O33" s="117" t="s">
        <v>835</v>
      </c>
      <c r="P33" s="56"/>
    </row>
    <row r="34" ht="15.75" customHeight="1">
      <c r="A34" s="1094"/>
      <c r="B34" s="1094"/>
      <c r="C34" s="1094"/>
      <c r="D34" s="1094"/>
      <c r="E34" s="1094"/>
      <c r="F34" s="1094"/>
      <c r="G34" s="1124"/>
      <c r="H34" s="1114"/>
      <c r="I34" s="1114"/>
      <c r="J34" s="1114"/>
      <c r="K34" s="1114"/>
      <c r="L34" s="599"/>
      <c r="M34" s="117" t="s">
        <v>796</v>
      </c>
      <c r="N34" s="56"/>
      <c r="O34" s="117" t="s">
        <v>796</v>
      </c>
      <c r="P34" s="56"/>
    </row>
    <row r="35" ht="15.75" customHeight="1">
      <c r="A35" s="1103"/>
      <c r="B35" s="1103"/>
      <c r="C35" s="1104" t="s">
        <v>894</v>
      </c>
      <c r="F35" s="1094"/>
      <c r="G35" s="1124"/>
      <c r="H35" s="1114"/>
      <c r="I35" s="1114"/>
      <c r="J35" s="1114"/>
      <c r="K35" s="1114"/>
      <c r="L35" s="599"/>
      <c r="M35" s="117" t="s">
        <v>895</v>
      </c>
      <c r="N35" s="56"/>
      <c r="O35" s="117" t="s">
        <v>895</v>
      </c>
      <c r="P35" s="56"/>
    </row>
    <row r="36" ht="15.75" customHeight="1">
      <c r="A36" s="1110" t="s">
        <v>896</v>
      </c>
      <c r="B36" s="1107">
        <v>2021.0</v>
      </c>
      <c r="C36" s="1112" t="s">
        <v>897</v>
      </c>
      <c r="F36" s="1094"/>
      <c r="G36" s="1124"/>
      <c r="H36" s="1114"/>
      <c r="I36" s="1114"/>
      <c r="J36" s="1114"/>
      <c r="K36" s="1114"/>
      <c r="L36" s="599"/>
      <c r="M36" s="117" t="s">
        <v>898</v>
      </c>
      <c r="N36" s="56"/>
      <c r="O36" s="117" t="s">
        <v>898</v>
      </c>
      <c r="P36" s="56"/>
    </row>
    <row r="37" ht="9.0" hidden="1" customHeight="1">
      <c r="L37" s="599"/>
      <c r="M37" s="117" t="s">
        <v>899</v>
      </c>
      <c r="N37" s="56"/>
      <c r="O37" s="117" t="s">
        <v>899</v>
      </c>
      <c r="P37" s="56"/>
    </row>
    <row r="38" hidden="1">
      <c r="A38" s="1125" t="s">
        <v>900</v>
      </c>
      <c r="B38" s="1126"/>
      <c r="C38" s="1127" t="s">
        <v>901</v>
      </c>
      <c r="F38" s="1094"/>
      <c r="L38" s="599"/>
      <c r="M38" s="117" t="s">
        <v>902</v>
      </c>
      <c r="N38" s="56"/>
      <c r="O38" s="117" t="s">
        <v>902</v>
      </c>
      <c r="P38" s="56"/>
    </row>
    <row r="39" hidden="1">
      <c r="A39" s="1125" t="s">
        <v>903</v>
      </c>
      <c r="B39" s="1126"/>
      <c r="C39" s="1127" t="s">
        <v>901</v>
      </c>
      <c r="F39" s="1094"/>
      <c r="L39" s="599"/>
      <c r="M39" s="117" t="s">
        <v>904</v>
      </c>
      <c r="N39" s="56"/>
      <c r="O39" s="117" t="s">
        <v>904</v>
      </c>
      <c r="P39" s="56"/>
    </row>
    <row r="40" hidden="1">
      <c r="A40" s="1125" t="s">
        <v>905</v>
      </c>
      <c r="B40" s="1126"/>
      <c r="C40" s="1127" t="s">
        <v>901</v>
      </c>
      <c r="F40" s="1094"/>
      <c r="L40" s="599"/>
      <c r="M40" s="117" t="s">
        <v>906</v>
      </c>
      <c r="N40" s="56"/>
      <c r="O40" s="117" t="s">
        <v>906</v>
      </c>
      <c r="P40" s="56"/>
    </row>
    <row r="41" hidden="1">
      <c r="A41" s="1125" t="s">
        <v>885</v>
      </c>
      <c r="B41" s="1126"/>
      <c r="C41" s="1127" t="s">
        <v>901</v>
      </c>
      <c r="F41" s="1094"/>
      <c r="L41" s="599"/>
      <c r="M41" s="117" t="s">
        <v>859</v>
      </c>
      <c r="N41" s="56"/>
      <c r="O41" s="117" t="s">
        <v>859</v>
      </c>
      <c r="P41" s="56"/>
    </row>
    <row r="42" hidden="1">
      <c r="F42" s="1119"/>
      <c r="L42" s="599"/>
      <c r="M42" s="117" t="s">
        <v>808</v>
      </c>
      <c r="N42" s="56"/>
      <c r="O42" s="117" t="s">
        <v>808</v>
      </c>
      <c r="P42" s="56"/>
    </row>
    <row r="43" hidden="1">
      <c r="F43" s="1119"/>
      <c r="L43" s="599"/>
      <c r="M43" s="117" t="s">
        <v>907</v>
      </c>
      <c r="N43" s="56"/>
      <c r="O43" s="117" t="s">
        <v>907</v>
      </c>
      <c r="P43" s="56"/>
    </row>
    <row r="44" hidden="1">
      <c r="F44" s="1119"/>
      <c r="L44" s="599"/>
      <c r="M44" s="117" t="s">
        <v>298</v>
      </c>
      <c r="N44" s="56"/>
      <c r="O44" s="117" t="s">
        <v>298</v>
      </c>
      <c r="P44" s="56"/>
    </row>
    <row r="45" hidden="1">
      <c r="F45" s="1119"/>
      <c r="L45" s="599"/>
      <c r="M45" s="117" t="s">
        <v>788</v>
      </c>
      <c r="N45" s="56"/>
      <c r="O45" s="117" t="s">
        <v>788</v>
      </c>
      <c r="P45" s="56"/>
    </row>
    <row r="46" hidden="1">
      <c r="F46" s="1094"/>
      <c r="L46" s="1128"/>
      <c r="M46" s="117" t="s">
        <v>795</v>
      </c>
      <c r="N46" s="56"/>
      <c r="O46" s="117" t="s">
        <v>795</v>
      </c>
      <c r="P46" s="56"/>
    </row>
    <row r="47" hidden="1">
      <c r="F47" s="1094"/>
      <c r="L47" s="1117"/>
      <c r="M47" s="117" t="s">
        <v>811</v>
      </c>
      <c r="N47" s="56"/>
      <c r="O47" s="117" t="s">
        <v>811</v>
      </c>
      <c r="P47" s="56"/>
    </row>
    <row r="48" hidden="1">
      <c r="F48" s="1094"/>
      <c r="L48" s="1117"/>
      <c r="M48" s="117" t="s">
        <v>908</v>
      </c>
      <c r="N48" s="56"/>
      <c r="O48" s="117" t="s">
        <v>908</v>
      </c>
      <c r="P48" s="56"/>
    </row>
    <row r="49" hidden="1">
      <c r="F49" s="1094"/>
      <c r="L49" s="1117"/>
      <c r="M49" s="117" t="s">
        <v>909</v>
      </c>
      <c r="N49" s="56"/>
      <c r="O49" s="117" t="s">
        <v>909</v>
      </c>
      <c r="P49" s="56"/>
    </row>
    <row r="50" hidden="1">
      <c r="F50" s="1094"/>
      <c r="L50" s="1117"/>
      <c r="M50" s="117" t="s">
        <v>807</v>
      </c>
      <c r="N50" s="56"/>
      <c r="O50" s="117" t="s">
        <v>807</v>
      </c>
      <c r="P50" s="56"/>
    </row>
    <row r="51" hidden="1">
      <c r="F51" s="1094"/>
      <c r="L51" s="1117"/>
      <c r="M51" s="117" t="s">
        <v>834</v>
      </c>
      <c r="N51" s="56"/>
      <c r="O51" s="117" t="s">
        <v>834</v>
      </c>
      <c r="P51" s="56"/>
    </row>
    <row r="52" hidden="1">
      <c r="F52" s="1094"/>
      <c r="L52" s="1117"/>
      <c r="M52" s="117" t="s">
        <v>840</v>
      </c>
      <c r="N52" s="56"/>
      <c r="O52" s="117" t="s">
        <v>840</v>
      </c>
      <c r="P52" s="56"/>
    </row>
    <row r="53" hidden="1">
      <c r="F53" s="1094"/>
      <c r="L53" s="1117"/>
      <c r="M53" s="117" t="s">
        <v>846</v>
      </c>
      <c r="N53" s="56"/>
      <c r="O53" s="117" t="s">
        <v>846</v>
      </c>
      <c r="P53" s="56"/>
    </row>
    <row r="54" hidden="1">
      <c r="F54" s="1094"/>
      <c r="L54" s="1117"/>
      <c r="M54" s="117" t="s">
        <v>850</v>
      </c>
      <c r="N54" s="56"/>
      <c r="O54" s="117" t="s">
        <v>850</v>
      </c>
      <c r="P54" s="56"/>
    </row>
    <row r="55" hidden="1">
      <c r="F55" s="1094"/>
      <c r="L55" s="1117"/>
      <c r="M55" s="117" t="s">
        <v>910</v>
      </c>
      <c r="N55" s="56"/>
      <c r="O55" s="117" t="s">
        <v>910</v>
      </c>
      <c r="P55" s="56"/>
    </row>
    <row r="56" hidden="1">
      <c r="F56" s="1094"/>
      <c r="L56" s="1117"/>
      <c r="M56" s="117" t="s">
        <v>911</v>
      </c>
      <c r="N56" s="56"/>
      <c r="O56" s="117" t="s">
        <v>911</v>
      </c>
      <c r="P56" s="56"/>
    </row>
    <row r="57" hidden="1">
      <c r="F57" s="1094"/>
      <c r="L57" s="1117"/>
      <c r="M57" s="117" t="s">
        <v>855</v>
      </c>
      <c r="N57" s="56"/>
      <c r="O57" s="117" t="s">
        <v>855</v>
      </c>
      <c r="P57" s="56"/>
    </row>
    <row r="58" hidden="1">
      <c r="F58" s="1094"/>
      <c r="L58" s="1117"/>
      <c r="M58" s="117" t="s">
        <v>912</v>
      </c>
      <c r="N58" s="56"/>
      <c r="O58" s="117" t="s">
        <v>912</v>
      </c>
      <c r="P58" s="56"/>
    </row>
    <row r="59" hidden="1">
      <c r="F59" s="1094"/>
      <c r="L59" s="1117"/>
      <c r="M59" s="117" t="s">
        <v>913</v>
      </c>
      <c r="N59" s="56"/>
      <c r="O59" s="117" t="s">
        <v>913</v>
      </c>
      <c r="P59" s="56"/>
    </row>
    <row r="60" hidden="1">
      <c r="F60" s="1094"/>
      <c r="L60" s="1117"/>
      <c r="M60" s="117" t="s">
        <v>914</v>
      </c>
      <c r="N60" s="56"/>
      <c r="O60" s="117" t="s">
        <v>914</v>
      </c>
      <c r="P60" s="56"/>
    </row>
    <row r="61" hidden="1">
      <c r="F61" s="1094"/>
      <c r="L61" s="1117"/>
      <c r="M61" s="117" t="s">
        <v>915</v>
      </c>
      <c r="N61" s="56"/>
      <c r="O61" s="117" t="s">
        <v>915</v>
      </c>
      <c r="P61" s="56"/>
    </row>
    <row r="62" hidden="1">
      <c r="F62" s="1094"/>
      <c r="L62" s="1117"/>
      <c r="M62" s="117"/>
      <c r="N62" s="56"/>
      <c r="P62" s="56"/>
    </row>
    <row r="63" hidden="1">
      <c r="F63" s="1094"/>
      <c r="L63" s="1117"/>
      <c r="M63" s="117"/>
      <c r="N63" s="56"/>
      <c r="P63" s="56"/>
    </row>
    <row r="64" hidden="1">
      <c r="F64" s="1094"/>
      <c r="L64" s="1117"/>
      <c r="M64" s="117"/>
      <c r="N64" s="56"/>
      <c r="P64" s="56"/>
    </row>
    <row r="65" hidden="1">
      <c r="F65" s="1094"/>
      <c r="L65" s="1117"/>
      <c r="M65" s="117"/>
      <c r="N65" s="56"/>
      <c r="P65" s="56"/>
    </row>
    <row r="66" hidden="1">
      <c r="F66" s="1094"/>
      <c r="L66" s="1117"/>
      <c r="M66" s="117"/>
      <c r="N66" s="56"/>
      <c r="P66" s="56"/>
    </row>
    <row r="67" hidden="1">
      <c r="F67" s="1094"/>
      <c r="L67" s="1117"/>
      <c r="M67" s="117"/>
      <c r="N67" s="56"/>
      <c r="P67" s="56"/>
    </row>
    <row r="68" hidden="1">
      <c r="F68" s="1094"/>
      <c r="L68" s="1117"/>
      <c r="M68" s="117"/>
      <c r="N68" s="56"/>
      <c r="P68" s="56"/>
    </row>
    <row r="69" hidden="1">
      <c r="F69" s="1094"/>
      <c r="L69" s="1117"/>
      <c r="M69" s="117"/>
      <c r="N69" s="56"/>
      <c r="P69" s="56"/>
    </row>
    <row r="70" hidden="1">
      <c r="F70" s="1094"/>
      <c r="L70" s="1117"/>
      <c r="M70" s="117"/>
      <c r="N70" s="56"/>
      <c r="P70" s="56"/>
    </row>
    <row r="71" hidden="1">
      <c r="F71" s="1094"/>
      <c r="L71" s="1117"/>
      <c r="M71" s="117"/>
      <c r="N71" s="56"/>
      <c r="P71" s="56"/>
    </row>
    <row r="72" hidden="1">
      <c r="F72" s="1094"/>
      <c r="L72" s="1117"/>
      <c r="M72" s="117"/>
      <c r="N72" s="56"/>
      <c r="P72" s="56"/>
    </row>
    <row r="73" hidden="1">
      <c r="F73" s="1094"/>
      <c r="L73" s="1117"/>
      <c r="M73" s="117"/>
      <c r="N73" s="56"/>
      <c r="P73" s="56"/>
    </row>
    <row r="74" hidden="1">
      <c r="F74" s="1094"/>
      <c r="L74" s="1117"/>
      <c r="M74" s="117"/>
      <c r="N74" s="56"/>
      <c r="P74" s="56"/>
    </row>
    <row r="75" hidden="1">
      <c r="F75" s="1094"/>
      <c r="L75" s="1117"/>
      <c r="M75" s="117"/>
      <c r="N75" s="56"/>
      <c r="P75" s="56"/>
    </row>
    <row r="76" hidden="1">
      <c r="F76" s="1094"/>
      <c r="L76" s="1117"/>
      <c r="M76" s="117"/>
      <c r="N76" s="56"/>
      <c r="P76" s="56"/>
    </row>
    <row r="77" hidden="1">
      <c r="F77" s="1094"/>
      <c r="L77" s="1117"/>
      <c r="M77" s="117"/>
      <c r="N77" s="56"/>
      <c r="P77" s="56"/>
    </row>
    <row r="78" hidden="1">
      <c r="F78" s="1094"/>
      <c r="L78" s="1117"/>
      <c r="M78" s="117"/>
      <c r="N78" s="56"/>
      <c r="P78" s="56"/>
    </row>
    <row r="79" hidden="1">
      <c r="F79" s="1094"/>
      <c r="L79" s="1117"/>
      <c r="M79" s="117"/>
      <c r="N79" s="56"/>
      <c r="P79" s="56"/>
    </row>
  </sheetData>
  <mergeCells count="8">
    <mergeCell ref="A1:E2"/>
    <mergeCell ref="G1:K2"/>
    <mergeCell ref="C3:D3"/>
    <mergeCell ref="B4:C4"/>
    <mergeCell ref="G4:G6"/>
    <mergeCell ref="H4:K4"/>
    <mergeCell ref="H6:K6"/>
    <mergeCell ref="G28:K28"/>
  </mergeCells>
  <dataValidations>
    <dataValidation type="list" allowBlank="1" sqref="G7:K26">
      <formula1>$M$11:$M$79</formula1>
    </dataValidation>
    <dataValidation type="list" allowBlank="1" sqref="B8">
      <formula1>"BRL,USD,AUD,CAD,CHF,EUR,GBP,GBX,HKD,JPY,SGD"</formula1>
    </dataValidation>
  </dataValidations>
  <drawing r:id="rId2"/>
  <legacyDrawing r:id="rId3"/>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99999"/>
    <outlinePr summaryBelow="0" summaryRight="0"/>
  </sheetPr>
  <sheetViews>
    <sheetView showGridLines="0" workbookViewId="0"/>
  </sheetViews>
  <sheetFormatPr customHeight="1" defaultColWidth="15.13" defaultRowHeight="15.75"/>
  <cols>
    <col customWidth="1" min="1" max="1" width="3.88"/>
    <col customWidth="1" min="2" max="2" width="25.38"/>
    <col customWidth="1" min="3" max="6" width="10.75"/>
  </cols>
  <sheetData>
    <row r="1" ht="25.5" customHeight="1">
      <c r="A1" s="1129" t="s">
        <v>916</v>
      </c>
      <c r="B1" s="1130"/>
      <c r="C1" s="1130"/>
      <c r="D1" s="1130"/>
      <c r="E1" s="1130"/>
      <c r="F1" s="1130"/>
    </row>
    <row r="2" ht="6.0" customHeight="1">
      <c r="A2" s="678"/>
      <c r="B2" s="678"/>
      <c r="C2" s="678"/>
      <c r="D2" s="678"/>
      <c r="E2" s="678"/>
      <c r="F2" s="678"/>
    </row>
    <row r="3">
      <c r="A3" s="1131" t="s">
        <v>917</v>
      </c>
      <c r="B3" s="1132" t="s">
        <v>188</v>
      </c>
      <c r="C3" s="1132" t="s">
        <v>189</v>
      </c>
      <c r="D3" s="1132" t="s">
        <v>300</v>
      </c>
      <c r="E3" s="1132" t="s">
        <v>918</v>
      </c>
      <c r="F3" s="1133" t="s">
        <v>616</v>
      </c>
    </row>
    <row r="4">
      <c r="A4" s="1134" t="s">
        <v>919</v>
      </c>
      <c r="B4" s="1135" t="s">
        <v>920</v>
      </c>
      <c r="C4" s="1135" t="s">
        <v>788</v>
      </c>
      <c r="D4" s="1135" t="s">
        <v>921</v>
      </c>
      <c r="E4" s="1135" t="s">
        <v>363</v>
      </c>
      <c r="F4" s="1135" t="s">
        <v>922</v>
      </c>
    </row>
    <row r="5">
      <c r="A5" s="1136" t="s">
        <v>919</v>
      </c>
      <c r="B5" s="1137" t="s">
        <v>923</v>
      </c>
      <c r="C5" s="1137" t="s">
        <v>795</v>
      </c>
      <c r="D5" s="1137" t="s">
        <v>924</v>
      </c>
      <c r="E5" s="1137" t="s">
        <v>925</v>
      </c>
      <c r="F5" s="1137" t="s">
        <v>926</v>
      </c>
    </row>
    <row r="6">
      <c r="A6" s="1136">
        <v>1.0</v>
      </c>
      <c r="B6" s="1138"/>
      <c r="C6" s="1138"/>
      <c r="D6" s="1138"/>
      <c r="E6" s="1138"/>
      <c r="F6" s="1138"/>
    </row>
    <row r="7">
      <c r="A7" s="1136">
        <v>2.0</v>
      </c>
      <c r="B7" s="1138"/>
      <c r="C7" s="1138"/>
      <c r="D7" s="1138"/>
      <c r="E7" s="1138"/>
      <c r="F7" s="1138"/>
    </row>
    <row r="8">
      <c r="A8" s="1136">
        <v>3.0</v>
      </c>
      <c r="B8" s="1138"/>
      <c r="C8" s="1138"/>
      <c r="D8" s="1138"/>
      <c r="E8" s="1138"/>
      <c r="F8" s="1138"/>
    </row>
    <row r="9">
      <c r="A9" s="1136">
        <v>4.0</v>
      </c>
      <c r="B9" s="1138"/>
      <c r="C9" s="1138"/>
      <c r="D9" s="1138"/>
      <c r="E9" s="1138"/>
      <c r="F9" s="1138"/>
    </row>
    <row r="10">
      <c r="A10" s="1136">
        <v>5.0</v>
      </c>
      <c r="B10" s="1138"/>
      <c r="C10" s="1138"/>
      <c r="D10" s="1138"/>
      <c r="E10" s="1138"/>
      <c r="F10" s="1138"/>
    </row>
    <row r="11">
      <c r="A11" s="1136">
        <v>6.0</v>
      </c>
      <c r="B11" s="1138"/>
      <c r="C11" s="1138"/>
      <c r="D11" s="1138"/>
      <c r="E11" s="1138"/>
      <c r="F11" s="1138"/>
    </row>
    <row r="12">
      <c r="A12" s="1136">
        <v>7.0</v>
      </c>
      <c r="B12" s="1138"/>
      <c r="C12" s="1138"/>
      <c r="D12" s="1138"/>
      <c r="E12" s="1138"/>
      <c r="F12" s="1138"/>
    </row>
    <row r="13">
      <c r="A13" s="1136">
        <v>8.0</v>
      </c>
      <c r="B13" s="1138"/>
      <c r="C13" s="1138"/>
      <c r="D13" s="1138"/>
      <c r="E13" s="1138"/>
      <c r="F13" s="1138"/>
    </row>
    <row r="14">
      <c r="A14" s="1136">
        <v>9.0</v>
      </c>
      <c r="B14" s="1138"/>
      <c r="C14" s="1138"/>
      <c r="D14" s="1138"/>
      <c r="E14" s="1138"/>
      <c r="F14" s="1138"/>
    </row>
    <row r="15">
      <c r="A15" s="1136">
        <v>10.0</v>
      </c>
      <c r="B15" s="1138"/>
      <c r="C15" s="1138"/>
      <c r="D15" s="1138"/>
      <c r="E15" s="1138"/>
      <c r="F15" s="1138"/>
    </row>
    <row r="16">
      <c r="A16" s="1136">
        <v>11.0</v>
      </c>
      <c r="B16" s="1138"/>
      <c r="C16" s="1138"/>
      <c r="D16" s="1138"/>
      <c r="E16" s="1138"/>
      <c r="F16" s="1138"/>
    </row>
    <row r="17">
      <c r="A17" s="1136">
        <v>12.0</v>
      </c>
      <c r="B17" s="1138"/>
      <c r="C17" s="1138"/>
      <c r="D17" s="1138"/>
      <c r="E17" s="1138"/>
      <c r="F17" s="1138"/>
    </row>
    <row r="18">
      <c r="A18" s="1136">
        <v>13.0</v>
      </c>
      <c r="B18" s="1138"/>
      <c r="C18" s="1138"/>
      <c r="D18" s="1138"/>
      <c r="E18" s="1138"/>
      <c r="F18" s="1138"/>
    </row>
    <row r="19">
      <c r="A19" s="1136">
        <v>14.0</v>
      </c>
      <c r="B19" s="1138"/>
      <c r="C19" s="1138"/>
      <c r="D19" s="1138"/>
      <c r="E19" s="1138"/>
      <c r="F19" s="1138"/>
    </row>
    <row r="20">
      <c r="A20" s="1136">
        <v>15.0</v>
      </c>
      <c r="B20" s="1138"/>
      <c r="C20" s="1138"/>
      <c r="D20" s="1138"/>
      <c r="E20" s="1138"/>
      <c r="F20" s="1138"/>
    </row>
    <row r="21">
      <c r="A21" s="1136">
        <v>16.0</v>
      </c>
      <c r="B21" s="1138"/>
      <c r="C21" s="1138"/>
      <c r="D21" s="1138"/>
      <c r="E21" s="1138"/>
      <c r="F21" s="1138"/>
    </row>
    <row r="22">
      <c r="A22" s="1136">
        <v>17.0</v>
      </c>
      <c r="B22" s="1138"/>
      <c r="C22" s="1138"/>
      <c r="D22" s="1138"/>
      <c r="E22" s="1138"/>
      <c r="F22" s="1138"/>
    </row>
    <row r="23">
      <c r="A23" s="1136">
        <v>18.0</v>
      </c>
      <c r="B23" s="1138"/>
      <c r="C23" s="1138"/>
      <c r="D23" s="1138"/>
      <c r="E23" s="1138"/>
      <c r="F23" s="1138"/>
    </row>
    <row r="24">
      <c r="A24" s="1136">
        <v>19.0</v>
      </c>
      <c r="B24" s="1138"/>
      <c r="C24" s="1138"/>
      <c r="D24" s="1138"/>
      <c r="E24" s="1138"/>
      <c r="F24" s="1138"/>
    </row>
    <row r="25">
      <c r="A25" s="1136">
        <v>20.0</v>
      </c>
      <c r="B25" s="1138"/>
      <c r="C25" s="1138"/>
      <c r="D25" s="1138"/>
      <c r="E25" s="1138"/>
      <c r="F25" s="1138"/>
    </row>
    <row r="26">
      <c r="A26" s="1136">
        <v>21.0</v>
      </c>
      <c r="B26" s="1138"/>
      <c r="C26" s="1138"/>
      <c r="D26" s="1138"/>
      <c r="E26" s="1138"/>
      <c r="F26" s="1138"/>
    </row>
    <row r="27">
      <c r="A27" s="1136">
        <v>22.0</v>
      </c>
      <c r="B27" s="1138"/>
      <c r="C27" s="1138"/>
      <c r="D27" s="1138"/>
      <c r="E27" s="1138"/>
      <c r="F27" s="1139"/>
    </row>
    <row r="28">
      <c r="A28" s="1136">
        <v>23.0</v>
      </c>
      <c r="B28" s="1138"/>
      <c r="C28" s="1138"/>
      <c r="D28" s="1138"/>
      <c r="E28" s="1138"/>
      <c r="F28" s="1138"/>
    </row>
    <row r="29">
      <c r="A29" s="1136">
        <v>24.0</v>
      </c>
      <c r="B29" s="1138"/>
      <c r="C29" s="1138"/>
      <c r="D29" s="1138"/>
      <c r="E29" s="1138"/>
      <c r="F29" s="1138"/>
    </row>
    <row r="30">
      <c r="A30" s="1136">
        <v>25.0</v>
      </c>
      <c r="B30" s="1138"/>
      <c r="C30" s="1138"/>
      <c r="D30" s="1138"/>
      <c r="E30" s="1138"/>
      <c r="F30" s="1138"/>
    </row>
    <row r="31">
      <c r="A31" s="1136">
        <v>26.0</v>
      </c>
      <c r="B31" s="1138"/>
      <c r="C31" s="1138"/>
      <c r="D31" s="1138"/>
      <c r="E31" s="1138"/>
      <c r="F31" s="1138"/>
    </row>
    <row r="32">
      <c r="A32" s="1136">
        <v>27.0</v>
      </c>
      <c r="B32" s="1138"/>
      <c r="C32" s="1138"/>
      <c r="D32" s="1138"/>
      <c r="E32" s="1138"/>
      <c r="F32" s="1138"/>
    </row>
    <row r="33">
      <c r="A33" s="1136">
        <v>28.0</v>
      </c>
      <c r="B33" s="1138"/>
      <c r="C33" s="1138"/>
      <c r="D33" s="1138"/>
      <c r="E33" s="1138"/>
      <c r="F33" s="1138"/>
    </row>
    <row r="34">
      <c r="A34" s="1136">
        <v>29.0</v>
      </c>
      <c r="B34" s="1138"/>
      <c r="C34" s="1138"/>
      <c r="D34" s="1138"/>
      <c r="E34" s="1138"/>
      <c r="F34" s="1138"/>
    </row>
    <row r="35">
      <c r="A35" s="1136">
        <v>30.0</v>
      </c>
      <c r="B35" s="1138"/>
      <c r="C35" s="1138"/>
      <c r="D35" s="1138"/>
      <c r="E35" s="1138"/>
      <c r="F35" s="1139"/>
    </row>
    <row r="36">
      <c r="A36" s="1140"/>
      <c r="B36" s="1141"/>
      <c r="C36" s="1141"/>
      <c r="D36" s="1141"/>
      <c r="E36" s="1141"/>
      <c r="F36" s="1142"/>
    </row>
    <row r="37">
      <c r="A37" s="1140"/>
      <c r="B37" s="1141"/>
      <c r="C37" s="1141"/>
      <c r="D37" s="1141"/>
      <c r="E37" s="1141"/>
      <c r="F37" s="1142"/>
    </row>
    <row r="38">
      <c r="A38" s="1140"/>
      <c r="B38" s="1141"/>
      <c r="C38" s="1141"/>
      <c r="D38" s="1141"/>
      <c r="E38" s="1141"/>
      <c r="F38" s="1142"/>
    </row>
    <row r="39">
      <c r="A39" s="1140"/>
      <c r="B39" s="1141"/>
      <c r="C39" s="1141"/>
      <c r="D39" s="1141"/>
      <c r="E39" s="1141"/>
      <c r="F39" s="1142"/>
    </row>
    <row r="40">
      <c r="A40" s="1140"/>
      <c r="B40" s="1141"/>
      <c r="C40" s="1141"/>
      <c r="D40" s="1141"/>
      <c r="E40" s="1141"/>
      <c r="F40" s="1142"/>
    </row>
    <row r="41">
      <c r="A41" s="1140"/>
      <c r="B41" s="1141"/>
      <c r="C41" s="1141"/>
      <c r="D41" s="1141"/>
      <c r="E41" s="1141"/>
      <c r="F41" s="1142"/>
    </row>
    <row r="42">
      <c r="A42" s="1140"/>
      <c r="B42" s="1141"/>
      <c r="C42" s="1141"/>
      <c r="D42" s="1141"/>
      <c r="E42" s="1141"/>
      <c r="F42" s="1142"/>
    </row>
    <row r="43">
      <c r="A43" s="1140"/>
      <c r="B43" s="1141"/>
      <c r="C43" s="1141"/>
      <c r="D43" s="1141"/>
      <c r="E43" s="1141"/>
      <c r="F43" s="1142"/>
    </row>
    <row r="44">
      <c r="A44" s="1140"/>
      <c r="B44" s="1141"/>
      <c r="C44" s="1141"/>
      <c r="D44" s="1141"/>
      <c r="E44" s="1141"/>
      <c r="F44" s="1142"/>
    </row>
    <row r="45">
      <c r="A45" s="1140"/>
      <c r="B45" s="1141"/>
      <c r="C45" s="1141"/>
      <c r="D45" s="1141"/>
      <c r="E45" s="1141"/>
      <c r="F45" s="1142"/>
    </row>
    <row r="46">
      <c r="A46" s="1140"/>
      <c r="B46" s="1141"/>
      <c r="C46" s="1141"/>
      <c r="D46" s="1141"/>
      <c r="E46" s="1141"/>
      <c r="F46" s="1142"/>
    </row>
    <row r="47">
      <c r="A47" s="1140"/>
      <c r="B47" s="1141"/>
      <c r="C47" s="1141"/>
      <c r="D47" s="1141"/>
      <c r="E47" s="1141"/>
      <c r="F47" s="1142"/>
    </row>
    <row r="48">
      <c r="A48" s="1140"/>
      <c r="B48" s="1141"/>
      <c r="C48" s="1141"/>
      <c r="D48" s="1141"/>
      <c r="E48" s="1141"/>
      <c r="F48" s="1142"/>
    </row>
    <row r="49">
      <c r="A49" s="1140"/>
      <c r="B49" s="1141"/>
      <c r="C49" s="1141"/>
      <c r="D49" s="1141"/>
      <c r="E49" s="1141"/>
      <c r="F49" s="1142"/>
    </row>
    <row r="50">
      <c r="A50" s="1140"/>
      <c r="B50" s="1141"/>
      <c r="C50" s="1141"/>
      <c r="D50" s="1141"/>
      <c r="E50" s="1141"/>
      <c r="F50" s="1142"/>
    </row>
    <row r="51">
      <c r="A51" s="1140"/>
      <c r="B51" s="1141"/>
      <c r="C51" s="1141"/>
      <c r="D51" s="1141"/>
      <c r="E51" s="1141"/>
      <c r="F51" s="1142"/>
    </row>
  </sheetData>
  <mergeCells count="1">
    <mergeCell ref="A1:F1"/>
  </mergeCells>
  <drawing r:id="rId2"/>
  <legacyDrawing r:id="rId3"/>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99999"/>
    <outlinePr summaryBelow="0" summaryRight="0"/>
  </sheetPr>
  <sheetViews>
    <sheetView showGridLines="0" workbookViewId="0">
      <pane xSplit="5.0" ySplit="6.0" topLeftCell="F7" activePane="bottomRight" state="frozen"/>
      <selection activeCell="F1" sqref="F1" pane="topRight"/>
      <selection activeCell="A7" sqref="A7" pane="bottomLeft"/>
      <selection activeCell="F7" sqref="F7" pane="bottomRight"/>
    </sheetView>
  </sheetViews>
  <sheetFormatPr customHeight="1" defaultColWidth="15.13" defaultRowHeight="15.75" outlineLevelCol="1"/>
  <cols>
    <col customWidth="1" min="1" max="1" width="2.25"/>
    <col customWidth="1" min="2" max="2" width="7.38"/>
    <col customWidth="1" min="3" max="3" width="19.38"/>
    <col customWidth="1" min="4" max="5" width="7.5"/>
    <col customWidth="1" min="6" max="6" width="3.88"/>
    <col customWidth="1" min="7" max="7" width="2.63"/>
    <col customWidth="1" min="8" max="8" width="7.75"/>
    <col collapsed="1" customWidth="1" min="9" max="9" width="7.75"/>
    <col customWidth="1" hidden="1" min="10" max="13" width="7.75" outlineLevel="1"/>
    <col customWidth="1" hidden="1" min="14" max="18" width="7.75"/>
    <col customWidth="1" min="19" max="20" width="7.75"/>
    <col customWidth="1" min="21" max="21" width="3.88"/>
    <col customWidth="1" min="22" max="22" width="2.63"/>
    <col customWidth="1" min="23" max="23" width="7.75"/>
    <col collapsed="1" customWidth="1" min="24" max="24" width="7.75"/>
    <col customWidth="1" hidden="1" min="25" max="28" width="7.75" outlineLevel="1"/>
    <col customWidth="1" hidden="1" min="29" max="33" width="7.75"/>
    <col customWidth="1" min="34" max="35" width="7.75"/>
    <col customWidth="1" min="36" max="36" width="3.88"/>
    <col customWidth="1" min="37" max="37" width="2.63"/>
    <col customWidth="1" min="38" max="38" width="7.75"/>
    <col collapsed="1" customWidth="1" min="39" max="39" width="7.75"/>
    <col customWidth="1" hidden="1" min="40" max="43" width="7.75" outlineLevel="1"/>
    <col customWidth="1" hidden="1" min="44" max="48" width="7.75"/>
    <col customWidth="1" min="49" max="50" width="7.75"/>
    <col customWidth="1" min="51" max="51" width="3.88"/>
    <col customWidth="1" min="52" max="52" width="2.63"/>
    <col customWidth="1" min="53" max="53" width="7.75"/>
    <col collapsed="1" customWidth="1" min="54" max="54" width="7.75"/>
    <col customWidth="1" hidden="1" min="55" max="58" width="7.75" outlineLevel="1"/>
    <col customWidth="1" hidden="1" min="59" max="63" width="7.75"/>
    <col customWidth="1" min="64" max="65" width="7.75"/>
    <col customWidth="1" min="66" max="66" width="3.88"/>
    <col customWidth="1" min="67" max="67" width="2.63"/>
    <col customWidth="1" min="68" max="68" width="7.75"/>
    <col collapsed="1" customWidth="1" min="69" max="69" width="7.75"/>
    <col customWidth="1" hidden="1" min="70" max="73" width="7.75" outlineLevel="1"/>
    <col customWidth="1" hidden="1" min="74" max="78" width="7.75"/>
    <col customWidth="1" min="79" max="80" width="7.75"/>
    <col customWidth="1" min="81" max="81" width="3.88"/>
    <col customWidth="1" min="82" max="82" width="2.63"/>
    <col customWidth="1" min="83" max="83" width="7.75"/>
    <col collapsed="1" customWidth="1" min="84" max="84" width="7.75"/>
    <col customWidth="1" hidden="1" min="85" max="88" width="7.75" outlineLevel="1"/>
    <col customWidth="1" hidden="1" min="89" max="93" width="7.5"/>
    <col customWidth="1" min="94" max="95" width="7.75"/>
    <col customWidth="1" min="96" max="96" width="3.88"/>
    <col customWidth="1" min="97" max="97" width="2.63"/>
    <col customWidth="1" min="98" max="98" width="7.75"/>
    <col collapsed="1" customWidth="1" min="99" max="99" width="7.75"/>
    <col customWidth="1" hidden="1" min="100" max="103" width="7.75" outlineLevel="1"/>
    <col customWidth="1" hidden="1" min="104" max="108" width="7.75"/>
    <col customWidth="1" min="109" max="110" width="7.75"/>
    <col customWidth="1" min="111" max="111" width="3.88"/>
    <col customWidth="1" min="112" max="112" width="2.63"/>
    <col customWidth="1" min="113" max="113" width="7.75"/>
    <col collapsed="1" customWidth="1" min="114" max="114" width="7.75"/>
    <col customWidth="1" hidden="1" min="115" max="118" width="7.75" outlineLevel="1"/>
    <col customWidth="1" hidden="1" min="119" max="123" width="7.75"/>
    <col customWidth="1" min="124" max="125" width="7.75"/>
    <col customWidth="1" min="126" max="126" width="3.88"/>
    <col customWidth="1" min="127" max="127" width="2.63"/>
    <col customWidth="1" min="128" max="128" width="7.75"/>
    <col collapsed="1" customWidth="1" min="129" max="129" width="7.75"/>
    <col customWidth="1" hidden="1" min="130" max="133" width="7.75" outlineLevel="1"/>
    <col customWidth="1" hidden="1" min="134" max="138" width="7.75"/>
    <col customWidth="1" min="139" max="140" width="7.75"/>
    <col customWidth="1" min="141" max="141" width="3.88"/>
    <col customWidth="1" min="142" max="142" width="2.63"/>
    <col customWidth="1" min="143" max="143" width="7.75"/>
    <col collapsed="1" customWidth="1" min="144" max="144" width="7.75"/>
    <col customWidth="1" hidden="1" min="145" max="148" width="7.75" outlineLevel="1"/>
    <col customWidth="1" hidden="1" min="149" max="153" width="7.75"/>
    <col customWidth="1" min="154" max="155" width="7.75"/>
    <col customWidth="1" min="156" max="156" width="3.88"/>
    <col customWidth="1" min="157" max="157" width="2.63"/>
    <col customWidth="1" min="158" max="158" width="7.75"/>
    <col collapsed="1" customWidth="1" min="159" max="159" width="7.75"/>
    <col customWidth="1" hidden="1" min="160" max="163" width="7.75" outlineLevel="1"/>
    <col customWidth="1" hidden="1" min="164" max="168" width="7.75"/>
    <col customWidth="1" min="169" max="170" width="7.75"/>
    <col customWidth="1" min="171" max="171" width="3.88"/>
    <col customWidth="1" min="172" max="172" width="2.63"/>
    <col customWidth="1" min="173" max="173" width="7.75"/>
    <col collapsed="1" customWidth="1" min="174" max="174" width="7.75"/>
    <col customWidth="1" hidden="1" min="175" max="178" width="7.75" outlineLevel="1"/>
    <col customWidth="1" hidden="1" min="179" max="183" width="7.75"/>
    <col customWidth="1" min="184" max="185" width="7.75"/>
    <col customWidth="1" min="186" max="186" width="3.88"/>
    <col customWidth="1" min="187" max="187" width="2.63"/>
    <col customWidth="1" min="188" max="188" width="7.75"/>
    <col collapsed="1" customWidth="1" min="189" max="189" width="7.75"/>
    <col customWidth="1" hidden="1" min="190" max="193" width="7.75" outlineLevel="1"/>
    <col customWidth="1" hidden="1" min="194" max="198" width="7.75"/>
    <col customWidth="1" min="199" max="200" width="7.75"/>
    <col customWidth="1" min="201" max="201" width="3.88"/>
    <col customWidth="1" min="202" max="202" width="2.63"/>
    <col customWidth="1" min="203" max="203" width="7.75"/>
    <col collapsed="1" customWidth="1" min="204" max="204" width="7.75"/>
    <col customWidth="1" hidden="1" min="205" max="208" width="7.75" outlineLevel="1"/>
    <col customWidth="1" hidden="1" min="209" max="213" width="7.75"/>
    <col customWidth="1" min="214" max="215" width="7.75"/>
    <col customWidth="1" min="216" max="216" width="3.88"/>
    <col customWidth="1" min="217" max="217" width="2.63"/>
    <col customWidth="1" min="218" max="218" width="7.75"/>
    <col collapsed="1" customWidth="1" min="219" max="219" width="7.75"/>
    <col customWidth="1" hidden="1" min="220" max="223" width="7.75" outlineLevel="1"/>
    <col customWidth="1" hidden="1" min="224" max="228" width="7.75"/>
    <col customWidth="1" min="229" max="230" width="7.75"/>
    <col customWidth="1" min="231" max="231" width="3.0"/>
  </cols>
  <sheetData>
    <row r="1" ht="15.75" hidden="1" customHeight="1">
      <c r="A1" s="1143"/>
      <c r="B1" s="1144"/>
      <c r="C1" s="1144"/>
      <c r="D1" s="1145">
        <f>SUM(D9:D23)</f>
        <v>0</v>
      </c>
      <c r="E1" s="1144"/>
      <c r="F1" s="624">
        <v>6.0</v>
      </c>
      <c r="G1" s="624">
        <v>7.0</v>
      </c>
      <c r="H1" s="624">
        <v>8.0</v>
      </c>
      <c r="I1" s="624">
        <v>9.0</v>
      </c>
      <c r="J1" s="624">
        <v>10.0</v>
      </c>
      <c r="K1" s="624">
        <v>11.0</v>
      </c>
      <c r="L1" s="624">
        <v>12.0</v>
      </c>
      <c r="M1" s="624">
        <v>13.0</v>
      </c>
      <c r="N1" s="624">
        <v>14.0</v>
      </c>
      <c r="O1" s="624">
        <v>15.0</v>
      </c>
      <c r="P1" s="624">
        <v>16.0</v>
      </c>
      <c r="Q1" s="624">
        <v>17.0</v>
      </c>
      <c r="R1" s="624">
        <v>18.0</v>
      </c>
      <c r="S1" s="624">
        <v>19.0</v>
      </c>
      <c r="T1" s="624">
        <v>20.0</v>
      </c>
      <c r="U1" s="624">
        <v>21.0</v>
      </c>
      <c r="V1" s="624">
        <v>22.0</v>
      </c>
      <c r="W1" s="624">
        <v>23.0</v>
      </c>
      <c r="X1" s="624">
        <v>24.0</v>
      </c>
      <c r="Y1" s="624">
        <v>25.0</v>
      </c>
      <c r="Z1" s="624">
        <v>26.0</v>
      </c>
      <c r="AA1" s="624">
        <v>27.0</v>
      </c>
      <c r="AB1" s="624">
        <v>28.0</v>
      </c>
      <c r="AC1" s="624">
        <v>29.0</v>
      </c>
      <c r="AD1" s="624">
        <v>30.0</v>
      </c>
      <c r="AE1" s="624">
        <v>31.0</v>
      </c>
      <c r="AF1" s="624">
        <v>32.0</v>
      </c>
      <c r="AG1" s="624">
        <v>33.0</v>
      </c>
      <c r="AH1" s="624">
        <v>34.0</v>
      </c>
      <c r="AI1" s="624">
        <v>35.0</v>
      </c>
      <c r="AJ1" s="624">
        <v>36.0</v>
      </c>
      <c r="AK1" s="624">
        <v>37.0</v>
      </c>
      <c r="AL1" s="624">
        <v>38.0</v>
      </c>
      <c r="AM1" s="624">
        <v>39.0</v>
      </c>
      <c r="AN1" s="624">
        <v>40.0</v>
      </c>
      <c r="AO1" s="624">
        <v>41.0</v>
      </c>
      <c r="AP1" s="624">
        <v>42.0</v>
      </c>
      <c r="AQ1" s="624">
        <v>43.0</v>
      </c>
      <c r="AR1" s="624">
        <v>44.0</v>
      </c>
      <c r="AS1" s="624">
        <v>45.0</v>
      </c>
      <c r="AT1" s="624">
        <v>46.0</v>
      </c>
      <c r="AU1" s="624">
        <v>47.0</v>
      </c>
      <c r="AV1" s="624">
        <v>48.0</v>
      </c>
      <c r="AW1" s="624">
        <v>49.0</v>
      </c>
      <c r="AX1" s="624">
        <v>50.0</v>
      </c>
      <c r="AY1" s="624">
        <v>51.0</v>
      </c>
      <c r="AZ1" s="624">
        <v>52.0</v>
      </c>
      <c r="BA1" s="624">
        <v>53.0</v>
      </c>
      <c r="BB1" s="624">
        <v>54.0</v>
      </c>
      <c r="BC1" s="624">
        <v>55.0</v>
      </c>
      <c r="BD1" s="624">
        <v>56.0</v>
      </c>
      <c r="BE1" s="624">
        <v>57.0</v>
      </c>
      <c r="BF1" s="624">
        <v>58.0</v>
      </c>
      <c r="BG1" s="624">
        <v>59.0</v>
      </c>
      <c r="BH1" s="624">
        <v>60.0</v>
      </c>
      <c r="BI1" s="624">
        <v>61.0</v>
      </c>
      <c r="BJ1" s="624">
        <v>62.0</v>
      </c>
      <c r="BK1" s="624">
        <v>63.0</v>
      </c>
      <c r="BL1" s="624">
        <v>64.0</v>
      </c>
      <c r="BM1" s="624">
        <v>65.0</v>
      </c>
      <c r="BN1" s="624">
        <v>66.0</v>
      </c>
      <c r="BO1" s="624">
        <v>67.0</v>
      </c>
      <c r="BP1" s="624">
        <v>68.0</v>
      </c>
      <c r="BQ1" s="624">
        <v>69.0</v>
      </c>
      <c r="BR1" s="624">
        <v>70.0</v>
      </c>
      <c r="BS1" s="624">
        <v>71.0</v>
      </c>
      <c r="BT1" s="624">
        <v>72.0</v>
      </c>
      <c r="BU1" s="624">
        <v>73.0</v>
      </c>
      <c r="BV1" s="624">
        <v>74.0</v>
      </c>
      <c r="BW1" s="624">
        <v>75.0</v>
      </c>
      <c r="BX1" s="624">
        <v>76.0</v>
      </c>
      <c r="BY1" s="624">
        <v>77.0</v>
      </c>
      <c r="BZ1" s="624">
        <v>78.0</v>
      </c>
      <c r="CA1" s="624">
        <v>79.0</v>
      </c>
      <c r="CB1" s="624">
        <v>80.0</v>
      </c>
      <c r="CC1" s="624">
        <v>81.0</v>
      </c>
      <c r="CD1" s="624">
        <v>82.0</v>
      </c>
      <c r="CE1" s="624">
        <v>83.0</v>
      </c>
      <c r="CF1" s="624">
        <v>84.0</v>
      </c>
      <c r="CG1" s="624">
        <v>85.0</v>
      </c>
      <c r="CH1" s="624">
        <v>86.0</v>
      </c>
      <c r="CI1" s="624">
        <v>87.0</v>
      </c>
      <c r="CJ1" s="624">
        <v>88.0</v>
      </c>
      <c r="CK1" s="624">
        <v>89.0</v>
      </c>
      <c r="CL1" s="624">
        <v>90.0</v>
      </c>
      <c r="CM1" s="624">
        <v>91.0</v>
      </c>
      <c r="CN1" s="624">
        <v>92.0</v>
      </c>
      <c r="CO1" s="624">
        <v>93.0</v>
      </c>
      <c r="CP1" s="624">
        <v>94.0</v>
      </c>
      <c r="CQ1" s="624">
        <v>95.0</v>
      </c>
      <c r="CR1" s="624">
        <v>96.0</v>
      </c>
      <c r="CS1" s="624">
        <v>97.0</v>
      </c>
      <c r="CT1" s="624">
        <v>98.0</v>
      </c>
      <c r="CU1" s="624">
        <v>99.0</v>
      </c>
      <c r="CV1" s="624">
        <v>100.0</v>
      </c>
      <c r="CW1" s="624">
        <v>101.0</v>
      </c>
      <c r="CX1" s="624">
        <v>102.0</v>
      </c>
      <c r="CY1" s="624">
        <v>103.0</v>
      </c>
      <c r="CZ1" s="624">
        <v>104.0</v>
      </c>
      <c r="DA1" s="624">
        <v>105.0</v>
      </c>
      <c r="DB1" s="624">
        <v>106.0</v>
      </c>
      <c r="DC1" s="624">
        <v>107.0</v>
      </c>
      <c r="DD1" s="624">
        <v>108.0</v>
      </c>
      <c r="DE1" s="624">
        <v>109.0</v>
      </c>
      <c r="DF1" s="624">
        <v>110.0</v>
      </c>
      <c r="DG1" s="624">
        <v>111.0</v>
      </c>
      <c r="DH1" s="624">
        <v>112.0</v>
      </c>
      <c r="DI1" s="624">
        <v>113.0</v>
      </c>
      <c r="DJ1" s="624">
        <v>114.0</v>
      </c>
      <c r="DK1" s="624">
        <v>115.0</v>
      </c>
      <c r="DL1" s="624">
        <v>116.0</v>
      </c>
      <c r="DM1" s="624">
        <v>117.0</v>
      </c>
      <c r="DN1" s="624">
        <v>118.0</v>
      </c>
      <c r="DO1" s="624">
        <v>119.0</v>
      </c>
      <c r="DP1" s="624">
        <v>120.0</v>
      </c>
      <c r="DQ1" s="624">
        <v>121.0</v>
      </c>
      <c r="DR1" s="624">
        <v>122.0</v>
      </c>
      <c r="DS1" s="624">
        <v>123.0</v>
      </c>
      <c r="DT1" s="624">
        <v>124.0</v>
      </c>
      <c r="DU1" s="624">
        <v>125.0</v>
      </c>
      <c r="DV1" s="624">
        <v>126.0</v>
      </c>
      <c r="DW1" s="624">
        <v>127.0</v>
      </c>
      <c r="DX1" s="624">
        <v>128.0</v>
      </c>
      <c r="DY1" s="624">
        <v>129.0</v>
      </c>
      <c r="DZ1" s="624">
        <v>130.0</v>
      </c>
      <c r="EA1" s="624">
        <v>131.0</v>
      </c>
      <c r="EB1" s="624">
        <v>132.0</v>
      </c>
      <c r="EC1" s="624">
        <v>133.0</v>
      </c>
      <c r="ED1" s="624">
        <v>134.0</v>
      </c>
      <c r="EE1" s="624">
        <v>135.0</v>
      </c>
      <c r="EF1" s="624">
        <v>136.0</v>
      </c>
      <c r="EG1" s="624">
        <v>137.0</v>
      </c>
      <c r="EH1" s="624">
        <v>138.0</v>
      </c>
      <c r="EI1" s="624">
        <v>139.0</v>
      </c>
      <c r="EJ1" s="624">
        <v>140.0</v>
      </c>
      <c r="EK1" s="624">
        <v>141.0</v>
      </c>
      <c r="EL1" s="624">
        <v>142.0</v>
      </c>
      <c r="EM1" s="624">
        <v>143.0</v>
      </c>
      <c r="EN1" s="624">
        <v>144.0</v>
      </c>
      <c r="EO1" s="624">
        <v>145.0</v>
      </c>
      <c r="EP1" s="624">
        <v>146.0</v>
      </c>
      <c r="EQ1" s="624">
        <v>147.0</v>
      </c>
      <c r="ER1" s="624">
        <v>148.0</v>
      </c>
      <c r="ES1" s="624">
        <v>149.0</v>
      </c>
      <c r="ET1" s="624">
        <v>150.0</v>
      </c>
      <c r="EU1" s="624">
        <v>151.0</v>
      </c>
      <c r="EV1" s="624">
        <v>152.0</v>
      </c>
      <c r="EW1" s="624">
        <v>153.0</v>
      </c>
      <c r="EX1" s="624">
        <v>154.0</v>
      </c>
      <c r="EY1" s="624">
        <v>155.0</v>
      </c>
      <c r="EZ1" s="624">
        <v>156.0</v>
      </c>
      <c r="FA1" s="624">
        <v>157.0</v>
      </c>
      <c r="FB1" s="624">
        <v>158.0</v>
      </c>
      <c r="FC1" s="624">
        <v>159.0</v>
      </c>
      <c r="FD1" s="624">
        <v>160.0</v>
      </c>
      <c r="FE1" s="624">
        <v>161.0</v>
      </c>
      <c r="FF1" s="624">
        <v>162.0</v>
      </c>
      <c r="FG1" s="624">
        <v>163.0</v>
      </c>
      <c r="FH1" s="624">
        <v>164.0</v>
      </c>
      <c r="FI1" s="624">
        <v>165.0</v>
      </c>
      <c r="FJ1" s="624">
        <v>166.0</v>
      </c>
      <c r="FK1" s="624">
        <v>167.0</v>
      </c>
      <c r="FL1" s="624">
        <v>168.0</v>
      </c>
      <c r="FM1" s="624">
        <v>169.0</v>
      </c>
      <c r="FN1" s="624">
        <v>170.0</v>
      </c>
      <c r="FO1" s="624">
        <v>171.0</v>
      </c>
      <c r="FP1" s="624">
        <v>172.0</v>
      </c>
      <c r="FQ1" s="624">
        <v>173.0</v>
      </c>
      <c r="FR1" s="624">
        <v>174.0</v>
      </c>
      <c r="FS1" s="624">
        <v>175.0</v>
      </c>
      <c r="FT1" s="624">
        <v>176.0</v>
      </c>
      <c r="FU1" s="624">
        <v>177.0</v>
      </c>
      <c r="FV1" s="624">
        <v>178.0</v>
      </c>
      <c r="FW1" s="624">
        <v>179.0</v>
      </c>
      <c r="FX1" s="624">
        <v>180.0</v>
      </c>
      <c r="FY1" s="624">
        <v>181.0</v>
      </c>
      <c r="FZ1" s="624">
        <v>182.0</v>
      </c>
      <c r="GA1" s="624">
        <v>183.0</v>
      </c>
      <c r="GB1" s="624">
        <v>184.0</v>
      </c>
      <c r="GC1" s="624">
        <v>185.0</v>
      </c>
      <c r="GD1" s="624">
        <v>186.0</v>
      </c>
      <c r="GE1" s="624">
        <v>187.0</v>
      </c>
      <c r="GF1" s="624">
        <v>188.0</v>
      </c>
      <c r="GG1" s="624">
        <v>189.0</v>
      </c>
      <c r="GH1" s="624">
        <v>190.0</v>
      </c>
      <c r="GI1" s="624">
        <v>191.0</v>
      </c>
      <c r="GJ1" s="624">
        <v>192.0</v>
      </c>
      <c r="GK1" s="624">
        <v>193.0</v>
      </c>
      <c r="GL1" s="624">
        <v>194.0</v>
      </c>
      <c r="GM1" s="624">
        <v>195.0</v>
      </c>
      <c r="GN1" s="624">
        <v>196.0</v>
      </c>
      <c r="GO1" s="624">
        <v>197.0</v>
      </c>
      <c r="GP1" s="624">
        <v>198.0</v>
      </c>
      <c r="GQ1" s="624">
        <v>199.0</v>
      </c>
      <c r="GR1" s="624">
        <v>200.0</v>
      </c>
      <c r="GS1" s="624">
        <v>201.0</v>
      </c>
      <c r="GT1" s="624">
        <v>202.0</v>
      </c>
      <c r="GU1" s="624">
        <v>203.0</v>
      </c>
      <c r="GV1" s="624">
        <v>204.0</v>
      </c>
      <c r="GW1" s="624">
        <v>205.0</v>
      </c>
      <c r="GX1" s="624">
        <v>206.0</v>
      </c>
      <c r="GY1" s="624">
        <v>207.0</v>
      </c>
      <c r="GZ1" s="624">
        <v>208.0</v>
      </c>
      <c r="HA1" s="624">
        <v>209.0</v>
      </c>
      <c r="HB1" s="624">
        <v>210.0</v>
      </c>
      <c r="HC1" s="624">
        <v>211.0</v>
      </c>
      <c r="HD1" s="624">
        <v>212.0</v>
      </c>
      <c r="HE1" s="624">
        <v>213.0</v>
      </c>
      <c r="HF1" s="624">
        <v>214.0</v>
      </c>
      <c r="HG1" s="624">
        <v>215.0</v>
      </c>
      <c r="HH1" s="624">
        <v>216.0</v>
      </c>
      <c r="HI1" s="624">
        <v>217.0</v>
      </c>
      <c r="HJ1" s="624">
        <v>218.0</v>
      </c>
      <c r="HK1" s="624">
        <v>219.0</v>
      </c>
      <c r="HL1" s="624">
        <v>220.0</v>
      </c>
      <c r="HM1" s="624">
        <v>221.0</v>
      </c>
      <c r="HN1" s="624">
        <v>222.0</v>
      </c>
      <c r="HO1" s="624">
        <v>223.0</v>
      </c>
      <c r="HP1" s="624">
        <v>224.0</v>
      </c>
      <c r="HQ1" s="624">
        <v>225.0</v>
      </c>
      <c r="HR1" s="624">
        <v>226.0</v>
      </c>
      <c r="HS1" s="624">
        <v>227.0</v>
      </c>
      <c r="HT1" s="624">
        <v>228.0</v>
      </c>
      <c r="HU1" s="624">
        <v>229.0</v>
      </c>
      <c r="HV1" s="624">
        <v>230.0</v>
      </c>
      <c r="HW1" s="624">
        <v>231.0</v>
      </c>
    </row>
    <row r="2" ht="22.5" customHeight="1">
      <c r="B2" s="1146" t="s">
        <v>927</v>
      </c>
      <c r="C2" s="135"/>
      <c r="D2" s="135"/>
      <c r="E2" s="1147"/>
      <c r="G2" s="1148" t="str">
        <f>HYPERLINK(ParametrosURL&amp;"/edit"&amp;"#gid="&amp;ParametrosIDAbaCarteira&amp;"range=A2","CARTEIRA #1")</f>
        <v>CARTEIRA #1</v>
      </c>
      <c r="H2" s="135"/>
      <c r="I2" s="135"/>
      <c r="J2" s="135"/>
      <c r="K2" s="135"/>
      <c r="L2" s="135"/>
      <c r="M2" s="1149"/>
      <c r="N2" s="1150"/>
      <c r="O2" s="1150"/>
      <c r="P2" s="1150"/>
      <c r="Q2" s="1150"/>
      <c r="R2" s="1150"/>
      <c r="S2" s="1150"/>
      <c r="T2" s="1151"/>
      <c r="V2" s="1148" t="str">
        <f>HYPERLINK(ParametrosURL&amp;"/edit"&amp;"#gid="&amp;ParametrosIDAbaCarteira&amp;"range=A2","CARTEIRA #2")</f>
        <v>CARTEIRA #2</v>
      </c>
      <c r="W2" s="135"/>
      <c r="X2" s="135"/>
      <c r="Y2" s="135"/>
      <c r="Z2" s="135"/>
      <c r="AA2" s="135"/>
      <c r="AB2" s="1149"/>
      <c r="AC2" s="1150"/>
      <c r="AD2" s="1150"/>
      <c r="AE2" s="1150"/>
      <c r="AF2" s="1150"/>
      <c r="AG2" s="1150"/>
      <c r="AH2" s="1150"/>
      <c r="AI2" s="1151"/>
      <c r="AK2" s="1148" t="str">
        <f>HYPERLINK(ParametrosURL&amp;"/edit"&amp;"#gid="&amp;ParametrosIDAbaCarteira&amp;"range=A2","CARTEIRA #3")</f>
        <v>CARTEIRA #3</v>
      </c>
      <c r="AL2" s="135"/>
      <c r="AM2" s="135"/>
      <c r="AN2" s="135"/>
      <c r="AO2" s="135"/>
      <c r="AP2" s="135"/>
      <c r="AQ2" s="1149"/>
      <c r="AR2" s="1150"/>
      <c r="AS2" s="1150"/>
      <c r="AT2" s="1150"/>
      <c r="AU2" s="1150"/>
      <c r="AV2" s="1150"/>
      <c r="AW2" s="1150"/>
      <c r="AX2" s="1151"/>
      <c r="AZ2" s="1148" t="str">
        <f>HYPERLINK(ParametrosURL&amp;"/edit"&amp;"#gid="&amp;ParametrosIDAbaCarteira&amp;"range=A2","CARTEIRA #4")</f>
        <v>CARTEIRA #4</v>
      </c>
      <c r="BA2" s="135"/>
      <c r="BB2" s="135"/>
      <c r="BC2" s="135"/>
      <c r="BD2" s="135"/>
      <c r="BE2" s="135"/>
      <c r="BF2" s="1149"/>
      <c r="BG2" s="1150"/>
      <c r="BH2" s="1150"/>
      <c r="BI2" s="1150"/>
      <c r="BJ2" s="1150"/>
      <c r="BK2" s="1150"/>
      <c r="BL2" s="1150"/>
      <c r="BM2" s="1151"/>
      <c r="BO2" s="1148" t="str">
        <f>HYPERLINK(ParametrosURL&amp;"/edit"&amp;"#gid="&amp;ParametrosIDAbaCarteira&amp;"range=A2","CARTEIRA #5")</f>
        <v>CARTEIRA #5</v>
      </c>
      <c r="BP2" s="135"/>
      <c r="BQ2" s="135"/>
      <c r="BR2" s="135"/>
      <c r="BS2" s="135"/>
      <c r="BT2" s="135"/>
      <c r="BU2" s="1149"/>
      <c r="BV2" s="1150"/>
      <c r="BW2" s="1150"/>
      <c r="BX2" s="1150"/>
      <c r="BY2" s="1150"/>
      <c r="BZ2" s="1150"/>
      <c r="CA2" s="1150"/>
      <c r="CB2" s="1151"/>
      <c r="CD2" s="1148" t="str">
        <f>HYPERLINK(ParametrosURL&amp;"/edit"&amp;"#gid="&amp;ParametrosIDAbaCarteira&amp;"range=A2","CARTEIRA #6")</f>
        <v>CARTEIRA #6</v>
      </c>
      <c r="CE2" s="135"/>
      <c r="CF2" s="135"/>
      <c r="CG2" s="135"/>
      <c r="CH2" s="135"/>
      <c r="CI2" s="135"/>
      <c r="CJ2" s="1152"/>
      <c r="CK2" s="909"/>
      <c r="CL2" s="909"/>
      <c r="CM2" s="909"/>
      <c r="CN2" s="909"/>
      <c r="CO2" s="909"/>
      <c r="CP2" s="909"/>
      <c r="CQ2" s="721"/>
      <c r="CR2" s="1153"/>
      <c r="CS2" s="1148" t="str">
        <f>HYPERLINK(ParametrosURL&amp;"/edit"&amp;"#gid="&amp;ParametrosIDAbaCarteira&amp;"range=A2","CARTEIRA #7")</f>
        <v>CARTEIRA #7</v>
      </c>
      <c r="CT2" s="135"/>
      <c r="CU2" s="135"/>
      <c r="CV2" s="135"/>
      <c r="CW2" s="135"/>
      <c r="CX2" s="135"/>
      <c r="CY2" s="1152"/>
      <c r="CZ2" s="909"/>
      <c r="DA2" s="909"/>
      <c r="DB2" s="909"/>
      <c r="DC2" s="909"/>
      <c r="DD2" s="909"/>
      <c r="DE2" s="909"/>
      <c r="DF2" s="721"/>
      <c r="DH2" s="1148" t="str">
        <f>HYPERLINK(ParametrosURL&amp;"/edit"&amp;"#gid="&amp;ParametrosIDAbaCarteira&amp;"range=A2","CARTEIRA #8")</f>
        <v>CARTEIRA #8</v>
      </c>
      <c r="DI2" s="135"/>
      <c r="DJ2" s="135"/>
      <c r="DK2" s="135"/>
      <c r="DL2" s="135"/>
      <c r="DM2" s="135"/>
      <c r="DN2" s="1149"/>
      <c r="DO2" s="1150"/>
      <c r="DP2" s="1150"/>
      <c r="DQ2" s="1150"/>
      <c r="DR2" s="1150"/>
      <c r="DS2" s="1150"/>
      <c r="DT2" s="1150"/>
      <c r="DU2" s="1151"/>
      <c r="DW2" s="1148" t="str">
        <f>HYPERLINK(ParametrosURL&amp;"/edit"&amp;"#gid="&amp;ParametrosIDAbaCarteira&amp;"range=A2","CARTEIRA #9")</f>
        <v>CARTEIRA #9</v>
      </c>
      <c r="DX2" s="135"/>
      <c r="DY2" s="135"/>
      <c r="DZ2" s="135"/>
      <c r="EA2" s="135"/>
      <c r="EB2" s="135"/>
      <c r="EC2" s="1152"/>
      <c r="ED2" s="909"/>
      <c r="EE2" s="909"/>
      <c r="EF2" s="909"/>
      <c r="EG2" s="909"/>
      <c r="EH2" s="909"/>
      <c r="EI2" s="909"/>
      <c r="EJ2" s="721"/>
      <c r="EL2" s="1148" t="str">
        <f>HYPERLINK(ParametrosURL&amp;"/edit"&amp;"#gid="&amp;ParametrosIDAbaCarteira&amp;"range=A2","CARTEIRA #10")</f>
        <v>CARTEIRA #10</v>
      </c>
      <c r="EM2" s="135"/>
      <c r="EN2" s="135"/>
      <c r="EO2" s="135"/>
      <c r="EP2" s="135"/>
      <c r="EQ2" s="135"/>
      <c r="ER2" s="1149"/>
      <c r="ES2" s="1150"/>
      <c r="ET2" s="1150"/>
      <c r="EU2" s="1150"/>
      <c r="EV2" s="1150"/>
      <c r="EW2" s="1150"/>
      <c r="EX2" s="1150"/>
      <c r="EY2" s="1151"/>
      <c r="FA2" s="1148" t="str">
        <f>HYPERLINK(ParametrosURL&amp;"/edit"&amp;"#gid="&amp;ParametrosIDAbaCarteira&amp;"range=A2","CARTEIRA #11")</f>
        <v>CARTEIRA #11</v>
      </c>
      <c r="FB2" s="135"/>
      <c r="FC2" s="135"/>
      <c r="FD2" s="135"/>
      <c r="FE2" s="135"/>
      <c r="FF2" s="135"/>
      <c r="FG2" s="1149"/>
      <c r="FH2" s="1150"/>
      <c r="FI2" s="1150"/>
      <c r="FJ2" s="1150"/>
      <c r="FK2" s="1150"/>
      <c r="FL2" s="1150"/>
      <c r="FM2" s="1150"/>
      <c r="FN2" s="1151"/>
      <c r="FP2" s="1148" t="str">
        <f>HYPERLINK(ParametrosURL&amp;"/edit"&amp;"#gid="&amp;ParametrosIDAbaCarteira&amp;"range=A2","CARTEIRA #12")</f>
        <v>CARTEIRA #12</v>
      </c>
      <c r="FQ2" s="135"/>
      <c r="FR2" s="135"/>
      <c r="FS2" s="135"/>
      <c r="FT2" s="135"/>
      <c r="FU2" s="135"/>
      <c r="FV2" s="1149"/>
      <c r="FW2" s="1150"/>
      <c r="FX2" s="1150"/>
      <c r="FY2" s="1150"/>
      <c r="FZ2" s="1150"/>
      <c r="GA2" s="1150"/>
      <c r="GB2" s="1150"/>
      <c r="GC2" s="1151"/>
      <c r="GE2" s="1148" t="str">
        <f>HYPERLINK(ParametrosURL&amp;"/edit"&amp;"#gid="&amp;ParametrosIDAbaCarteira&amp;"range=A2","CARTEIRA #13")</f>
        <v>CARTEIRA #13</v>
      </c>
      <c r="GF2" s="135"/>
      <c r="GG2" s="135"/>
      <c r="GH2" s="135"/>
      <c r="GI2" s="135"/>
      <c r="GJ2" s="135"/>
      <c r="GK2" s="1149"/>
      <c r="GL2" s="1150"/>
      <c r="GM2" s="1150"/>
      <c r="GN2" s="1150"/>
      <c r="GO2" s="1150"/>
      <c r="GP2" s="1150"/>
      <c r="GQ2" s="1150"/>
      <c r="GR2" s="1151"/>
      <c r="GT2" s="1148" t="str">
        <f>HYPERLINK(ParametrosURL&amp;"/edit"&amp;"#gid="&amp;ParametrosIDAbaCarteira&amp;"range=A2","CARTEIRA #14")</f>
        <v>CARTEIRA #14</v>
      </c>
      <c r="GU2" s="135"/>
      <c r="GV2" s="135"/>
      <c r="GW2" s="135"/>
      <c r="GX2" s="135"/>
      <c r="GY2" s="135"/>
      <c r="GZ2" s="1149"/>
      <c r="HA2" s="1150"/>
      <c r="HB2" s="1150"/>
      <c r="HC2" s="1150"/>
      <c r="HD2" s="1150"/>
      <c r="HE2" s="1150"/>
      <c r="HF2" s="1150"/>
      <c r="HG2" s="1151"/>
      <c r="HI2" s="1148" t="str">
        <f>HYPERLINK(ParametrosURL&amp;"/edit"&amp;"#gid="&amp;ParametrosIDAbaCarteira&amp;"range=A2","CARTEIRA #15")</f>
        <v>CARTEIRA #15</v>
      </c>
      <c r="HJ2" s="135"/>
      <c r="HK2" s="135"/>
      <c r="HL2" s="135"/>
      <c r="HM2" s="135"/>
      <c r="HN2" s="135"/>
      <c r="HO2" s="1149"/>
      <c r="HP2" s="1150"/>
      <c r="HQ2" s="1150"/>
      <c r="HR2" s="1150"/>
      <c r="HS2" s="1150"/>
      <c r="HT2" s="1150"/>
      <c r="HU2" s="1150"/>
      <c r="HV2" s="1151"/>
      <c r="HW2" s="1154"/>
    </row>
    <row r="3" ht="15.75" customHeight="1">
      <c r="B3" s="1026"/>
      <c r="E3" s="1027"/>
      <c r="G3" s="1155" t="s">
        <v>928</v>
      </c>
      <c r="H3" s="135"/>
      <c r="I3" s="1156">
        <f>D9</f>
        <v>0</v>
      </c>
      <c r="J3" s="1157" t="s">
        <v>929</v>
      </c>
      <c r="K3" s="135"/>
      <c r="L3" s="135"/>
      <c r="M3" s="1158"/>
      <c r="N3" s="1159"/>
      <c r="O3" s="1159"/>
      <c r="P3" s="1159"/>
      <c r="Q3" s="1159"/>
      <c r="R3" s="1159"/>
      <c r="S3" s="1159"/>
      <c r="T3" s="1160"/>
      <c r="V3" s="1161" t="s">
        <v>928</v>
      </c>
      <c r="W3" s="219"/>
      <c r="X3" s="1156">
        <f>D10</f>
        <v>0</v>
      </c>
      <c r="Y3" s="1157" t="s">
        <v>929</v>
      </c>
      <c r="Z3" s="135"/>
      <c r="AA3" s="135"/>
      <c r="AB3" s="1158"/>
      <c r="AC3" s="1159"/>
      <c r="AD3" s="1159"/>
      <c r="AE3" s="1159"/>
      <c r="AF3" s="1159"/>
      <c r="AG3" s="1159"/>
      <c r="AH3" s="1159"/>
      <c r="AI3" s="1160"/>
      <c r="AK3" s="1161" t="s">
        <v>928</v>
      </c>
      <c r="AL3" s="219"/>
      <c r="AM3" s="1156">
        <f>D11</f>
        <v>0</v>
      </c>
      <c r="AN3" s="1157" t="s">
        <v>929</v>
      </c>
      <c r="AO3" s="135"/>
      <c r="AP3" s="135"/>
      <c r="AQ3" s="1158"/>
      <c r="AR3" s="1159"/>
      <c r="AS3" s="1159"/>
      <c r="AT3" s="1159"/>
      <c r="AU3" s="1159"/>
      <c r="AV3" s="1159"/>
      <c r="AW3" s="1159"/>
      <c r="AX3" s="1160"/>
      <c r="AZ3" s="1161" t="s">
        <v>928</v>
      </c>
      <c r="BA3" s="219"/>
      <c r="BB3" s="1162">
        <f>D12</f>
        <v>0</v>
      </c>
      <c r="BC3" s="1157" t="s">
        <v>929</v>
      </c>
      <c r="BD3" s="135"/>
      <c r="BE3" s="135"/>
      <c r="BF3" s="1158"/>
      <c r="BG3" s="1159"/>
      <c r="BH3" s="1159"/>
      <c r="BI3" s="1159"/>
      <c r="BJ3" s="1159"/>
      <c r="BK3" s="1159"/>
      <c r="BL3" s="1159"/>
      <c r="BM3" s="1160"/>
      <c r="BO3" s="1161" t="s">
        <v>928</v>
      </c>
      <c r="BP3" s="219"/>
      <c r="BQ3" s="1156">
        <f>D13</f>
        <v>0</v>
      </c>
      <c r="BR3" s="1157" t="s">
        <v>929</v>
      </c>
      <c r="BS3" s="135"/>
      <c r="BT3" s="135"/>
      <c r="BU3" s="1158"/>
      <c r="BV3" s="1159"/>
      <c r="BW3" s="1159"/>
      <c r="BX3" s="1159"/>
      <c r="BY3" s="1159"/>
      <c r="BZ3" s="1159"/>
      <c r="CA3" s="1159"/>
      <c r="CB3" s="1160"/>
      <c r="CD3" s="1161" t="s">
        <v>928</v>
      </c>
      <c r="CE3" s="219"/>
      <c r="CF3" s="1156">
        <f>D14</f>
        <v>0</v>
      </c>
      <c r="CG3" s="1157" t="s">
        <v>929</v>
      </c>
      <c r="CH3" s="135"/>
      <c r="CI3" s="135"/>
      <c r="CJ3" s="1163"/>
      <c r="CK3" s="1164"/>
      <c r="CL3" s="1164"/>
      <c r="CM3" s="1164"/>
      <c r="CN3" s="1164"/>
      <c r="CO3" s="1164"/>
      <c r="CP3" s="1164"/>
      <c r="CQ3" s="1165"/>
      <c r="CR3" s="1166"/>
      <c r="CS3" s="1161" t="s">
        <v>928</v>
      </c>
      <c r="CT3" s="219"/>
      <c r="CU3" s="1156">
        <f>D15</f>
        <v>0</v>
      </c>
      <c r="CV3" s="1157" t="s">
        <v>929</v>
      </c>
      <c r="CW3" s="135"/>
      <c r="CX3" s="135"/>
      <c r="CY3" s="1163"/>
      <c r="CZ3" s="1164"/>
      <c r="DA3" s="1164"/>
      <c r="DB3" s="1164"/>
      <c r="DC3" s="1164"/>
      <c r="DD3" s="1164"/>
      <c r="DE3" s="1164"/>
      <c r="DF3" s="1165"/>
      <c r="DH3" s="1161" t="s">
        <v>928</v>
      </c>
      <c r="DI3" s="219"/>
      <c r="DJ3" s="1167">
        <f>D16</f>
        <v>0</v>
      </c>
      <c r="DK3" s="1157" t="s">
        <v>929</v>
      </c>
      <c r="DL3" s="135"/>
      <c r="DM3" s="135"/>
      <c r="DN3" s="1158"/>
      <c r="DO3" s="1159"/>
      <c r="DP3" s="1159"/>
      <c r="DQ3" s="1159"/>
      <c r="DR3" s="1159"/>
      <c r="DS3" s="1159"/>
      <c r="DT3" s="1159"/>
      <c r="DU3" s="1160"/>
      <c r="DW3" s="1161" t="s">
        <v>928</v>
      </c>
      <c r="DX3" s="219"/>
      <c r="DY3" s="1156">
        <f>D17</f>
        <v>0</v>
      </c>
      <c r="DZ3" s="1157" t="s">
        <v>929</v>
      </c>
      <c r="EA3" s="135"/>
      <c r="EB3" s="135"/>
      <c r="EC3" s="1163"/>
      <c r="ED3" s="1164"/>
      <c r="EE3" s="1164"/>
      <c r="EF3" s="1164"/>
      <c r="EG3" s="1164"/>
      <c r="EH3" s="1164"/>
      <c r="EI3" s="1164"/>
      <c r="EJ3" s="1165"/>
      <c r="EL3" s="1161" t="s">
        <v>928</v>
      </c>
      <c r="EM3" s="219"/>
      <c r="EN3" s="1156">
        <f>D18</f>
        <v>0</v>
      </c>
      <c r="EO3" s="1157" t="s">
        <v>929</v>
      </c>
      <c r="EP3" s="135"/>
      <c r="EQ3" s="135"/>
      <c r="ER3" s="1158"/>
      <c r="ES3" s="1159"/>
      <c r="ET3" s="1159"/>
      <c r="EU3" s="1159"/>
      <c r="EV3" s="1159"/>
      <c r="EW3" s="1159"/>
      <c r="EX3" s="1159"/>
      <c r="EY3" s="1160"/>
      <c r="FA3" s="1161" t="s">
        <v>928</v>
      </c>
      <c r="FB3" s="219"/>
      <c r="FC3" s="1156">
        <f>D19</f>
        <v>0</v>
      </c>
      <c r="FD3" s="1157" t="s">
        <v>929</v>
      </c>
      <c r="FE3" s="135"/>
      <c r="FF3" s="135"/>
      <c r="FG3" s="1158"/>
      <c r="FH3" s="1159"/>
      <c r="FI3" s="1159"/>
      <c r="FJ3" s="1159"/>
      <c r="FK3" s="1159"/>
      <c r="FL3" s="1159"/>
      <c r="FM3" s="1159"/>
      <c r="FN3" s="1160"/>
      <c r="FP3" s="1161" t="s">
        <v>928</v>
      </c>
      <c r="FQ3" s="219"/>
      <c r="FR3" s="1156">
        <f>D20</f>
        <v>0</v>
      </c>
      <c r="FS3" s="1157" t="s">
        <v>929</v>
      </c>
      <c r="FT3" s="135"/>
      <c r="FU3" s="135"/>
      <c r="FV3" s="1158"/>
      <c r="FW3" s="1159"/>
      <c r="FX3" s="1159"/>
      <c r="FY3" s="1159"/>
      <c r="FZ3" s="1159"/>
      <c r="GA3" s="1159"/>
      <c r="GB3" s="1159"/>
      <c r="GC3" s="1160"/>
      <c r="GE3" s="1161" t="s">
        <v>928</v>
      </c>
      <c r="GF3" s="219"/>
      <c r="GG3" s="1156">
        <f>D21</f>
        <v>0</v>
      </c>
      <c r="GH3" s="1157" t="s">
        <v>929</v>
      </c>
      <c r="GI3" s="135"/>
      <c r="GJ3" s="135"/>
      <c r="GK3" s="1158"/>
      <c r="GL3" s="1159"/>
      <c r="GM3" s="1159"/>
      <c r="GN3" s="1159"/>
      <c r="GO3" s="1159"/>
      <c r="GP3" s="1159"/>
      <c r="GQ3" s="1159"/>
      <c r="GR3" s="1160"/>
      <c r="GT3" s="1161" t="s">
        <v>928</v>
      </c>
      <c r="GU3" s="219"/>
      <c r="GV3" s="1156">
        <f>D22</f>
        <v>0</v>
      </c>
      <c r="GW3" s="1157" t="s">
        <v>929</v>
      </c>
      <c r="GX3" s="135"/>
      <c r="GY3" s="135"/>
      <c r="GZ3" s="1158"/>
      <c r="HA3" s="1159"/>
      <c r="HB3" s="1159"/>
      <c r="HC3" s="1159"/>
      <c r="HD3" s="1159"/>
      <c r="HE3" s="1159"/>
      <c r="HF3" s="1159"/>
      <c r="HG3" s="1160"/>
      <c r="HI3" s="1161" t="s">
        <v>928</v>
      </c>
      <c r="HJ3" s="219"/>
      <c r="HK3" s="1156">
        <f>D23</f>
        <v>0</v>
      </c>
      <c r="HL3" s="1157" t="s">
        <v>929</v>
      </c>
      <c r="HM3" s="135"/>
      <c r="HN3" s="135"/>
      <c r="HO3" s="1158"/>
      <c r="HP3" s="1159"/>
      <c r="HQ3" s="1159"/>
      <c r="HR3" s="1159"/>
      <c r="HS3" s="1159"/>
      <c r="HT3" s="1159"/>
      <c r="HU3" s="1159"/>
      <c r="HV3" s="1160"/>
      <c r="HW3" s="1168"/>
    </row>
    <row r="4" ht="15.75" customHeight="1">
      <c r="B4" s="1026"/>
      <c r="E4" s="1027"/>
      <c r="F4" s="890"/>
      <c r="G4" s="1169"/>
      <c r="H4" s="143"/>
      <c r="I4" s="1170"/>
      <c r="J4" s="1171" t="s">
        <v>930</v>
      </c>
      <c r="K4" s="50"/>
      <c r="L4" s="51"/>
      <c r="M4" s="1172"/>
      <c r="N4" s="1159"/>
      <c r="O4" s="1159"/>
      <c r="P4" s="1159"/>
      <c r="Q4" s="1159"/>
      <c r="R4" s="1159"/>
      <c r="S4" s="1159"/>
      <c r="T4" s="1160"/>
      <c r="U4" s="890"/>
      <c r="V4" s="1173"/>
      <c r="W4" s="1174"/>
      <c r="X4" s="1170"/>
      <c r="Y4" s="1171" t="s">
        <v>930</v>
      </c>
      <c r="Z4" s="50"/>
      <c r="AA4" s="51"/>
      <c r="AB4" s="1172"/>
      <c r="AC4" s="1159"/>
      <c r="AD4" s="1159"/>
      <c r="AE4" s="1159"/>
      <c r="AF4" s="1159"/>
      <c r="AG4" s="1159"/>
      <c r="AH4" s="1159"/>
      <c r="AI4" s="1160"/>
      <c r="AJ4" s="890"/>
      <c r="AK4" s="1173"/>
      <c r="AL4" s="1174"/>
      <c r="AM4" s="1170"/>
      <c r="AN4" s="1171" t="s">
        <v>930</v>
      </c>
      <c r="AO4" s="50"/>
      <c r="AP4" s="51"/>
      <c r="AQ4" s="1172"/>
      <c r="AR4" s="1159"/>
      <c r="AS4" s="1159"/>
      <c r="AT4" s="1159"/>
      <c r="AU4" s="1159"/>
      <c r="AV4" s="1159"/>
      <c r="AW4" s="1159"/>
      <c r="AX4" s="1160"/>
      <c r="AY4" s="890"/>
      <c r="AZ4" s="1173"/>
      <c r="BA4" s="1174"/>
      <c r="BB4" s="1170"/>
      <c r="BC4" s="1171" t="s">
        <v>930</v>
      </c>
      <c r="BD4" s="50"/>
      <c r="BE4" s="51"/>
      <c r="BF4" s="1172"/>
      <c r="BG4" s="1159"/>
      <c r="BH4" s="1159"/>
      <c r="BI4" s="1159"/>
      <c r="BJ4" s="1159"/>
      <c r="BK4" s="1159"/>
      <c r="BL4" s="1159"/>
      <c r="BM4" s="1160"/>
      <c r="BN4" s="890"/>
      <c r="BO4" s="1173"/>
      <c r="BP4" s="1174"/>
      <c r="BQ4" s="1170"/>
      <c r="BR4" s="1171" t="s">
        <v>930</v>
      </c>
      <c r="BS4" s="50"/>
      <c r="BT4" s="51"/>
      <c r="BU4" s="1172"/>
      <c r="BV4" s="1159"/>
      <c r="BW4" s="1159"/>
      <c r="BX4" s="1159"/>
      <c r="BY4" s="1159"/>
      <c r="BZ4" s="1159"/>
      <c r="CA4" s="1159"/>
      <c r="CB4" s="1160"/>
      <c r="CC4" s="890"/>
      <c r="CD4" s="1173"/>
      <c r="CE4" s="1174"/>
      <c r="CF4" s="1170"/>
      <c r="CG4" s="1171" t="s">
        <v>930</v>
      </c>
      <c r="CH4" s="50"/>
      <c r="CI4" s="51"/>
      <c r="CJ4" s="1172"/>
      <c r="CK4" s="1159"/>
      <c r="CL4" s="1159"/>
      <c r="CM4" s="1159"/>
      <c r="CN4" s="1159"/>
      <c r="CO4" s="1159"/>
      <c r="CP4" s="1159"/>
      <c r="CQ4" s="1160"/>
      <c r="CR4" s="1175"/>
      <c r="CS4" s="1173"/>
      <c r="CT4" s="1174"/>
      <c r="CU4" s="1170"/>
      <c r="CV4" s="1171" t="s">
        <v>930</v>
      </c>
      <c r="CW4" s="50"/>
      <c r="CX4" s="51"/>
      <c r="CY4" s="1172"/>
      <c r="CZ4" s="1159"/>
      <c r="DA4" s="1159"/>
      <c r="DB4" s="1159"/>
      <c r="DC4" s="1159"/>
      <c r="DD4" s="1159"/>
      <c r="DE4" s="1159"/>
      <c r="DF4" s="1160"/>
      <c r="DG4" s="890"/>
      <c r="DH4" s="1173"/>
      <c r="DI4" s="1174"/>
      <c r="DJ4" s="1170"/>
      <c r="DK4" s="1171" t="s">
        <v>930</v>
      </c>
      <c r="DL4" s="50"/>
      <c r="DM4" s="51"/>
      <c r="DN4" s="1172"/>
      <c r="DO4" s="1159"/>
      <c r="DP4" s="1159"/>
      <c r="DQ4" s="1159"/>
      <c r="DR4" s="1159"/>
      <c r="DS4" s="1159"/>
      <c r="DT4" s="1159"/>
      <c r="DU4" s="1160"/>
      <c r="DV4" s="890"/>
      <c r="DW4" s="1173"/>
      <c r="DX4" s="1174"/>
      <c r="DY4" s="1170"/>
      <c r="DZ4" s="1171" t="s">
        <v>930</v>
      </c>
      <c r="EA4" s="50"/>
      <c r="EB4" s="51"/>
      <c r="EC4" s="1172"/>
      <c r="ED4" s="1159"/>
      <c r="EE4" s="1159"/>
      <c r="EF4" s="1159"/>
      <c r="EG4" s="1159"/>
      <c r="EH4" s="1159"/>
      <c r="EI4" s="1159"/>
      <c r="EJ4" s="1160"/>
      <c r="EK4" s="890"/>
      <c r="EL4" s="1173"/>
      <c r="EM4" s="1174"/>
      <c r="EN4" s="1170"/>
      <c r="EO4" s="1171" t="s">
        <v>930</v>
      </c>
      <c r="EP4" s="50"/>
      <c r="EQ4" s="51"/>
      <c r="ER4" s="1172"/>
      <c r="ES4" s="1159"/>
      <c r="ET4" s="1159"/>
      <c r="EU4" s="1159"/>
      <c r="EV4" s="1159"/>
      <c r="EW4" s="1159"/>
      <c r="EX4" s="1159"/>
      <c r="EY4" s="1160"/>
      <c r="EZ4" s="890"/>
      <c r="FA4" s="1173"/>
      <c r="FB4" s="1174"/>
      <c r="FC4" s="1170"/>
      <c r="FD4" s="1171" t="s">
        <v>930</v>
      </c>
      <c r="FE4" s="50"/>
      <c r="FF4" s="51"/>
      <c r="FG4" s="1172"/>
      <c r="FH4" s="1159"/>
      <c r="FI4" s="1159"/>
      <c r="FJ4" s="1159"/>
      <c r="FK4" s="1159"/>
      <c r="FL4" s="1159"/>
      <c r="FM4" s="1159"/>
      <c r="FN4" s="1160"/>
      <c r="FO4" s="890"/>
      <c r="FP4" s="1173"/>
      <c r="FQ4" s="1174"/>
      <c r="FR4" s="1170"/>
      <c r="FS4" s="1171" t="s">
        <v>930</v>
      </c>
      <c r="FT4" s="50"/>
      <c r="FU4" s="51"/>
      <c r="FV4" s="1172"/>
      <c r="FW4" s="1159"/>
      <c r="FX4" s="1159"/>
      <c r="FY4" s="1159"/>
      <c r="FZ4" s="1159"/>
      <c r="GA4" s="1159"/>
      <c r="GB4" s="1159"/>
      <c r="GC4" s="1160"/>
      <c r="GD4" s="890"/>
      <c r="GE4" s="1173"/>
      <c r="GF4" s="1174"/>
      <c r="GG4" s="1170"/>
      <c r="GH4" s="1171" t="s">
        <v>930</v>
      </c>
      <c r="GI4" s="50"/>
      <c r="GJ4" s="51"/>
      <c r="GK4" s="1172"/>
      <c r="GL4" s="1159"/>
      <c r="GM4" s="1159"/>
      <c r="GN4" s="1159"/>
      <c r="GO4" s="1159"/>
      <c r="GP4" s="1159"/>
      <c r="GQ4" s="1159"/>
      <c r="GR4" s="1160"/>
      <c r="GS4" s="890"/>
      <c r="GT4" s="1173"/>
      <c r="GU4" s="1174"/>
      <c r="GV4" s="1170"/>
      <c r="GW4" s="1171" t="s">
        <v>930</v>
      </c>
      <c r="GX4" s="50"/>
      <c r="GY4" s="51"/>
      <c r="GZ4" s="1172"/>
      <c r="HA4" s="1159"/>
      <c r="HB4" s="1159"/>
      <c r="HC4" s="1159"/>
      <c r="HD4" s="1159"/>
      <c r="HE4" s="1159"/>
      <c r="HF4" s="1159"/>
      <c r="HG4" s="1160"/>
      <c r="HH4" s="890"/>
      <c r="HI4" s="1173"/>
      <c r="HJ4" s="1174"/>
      <c r="HK4" s="1170"/>
      <c r="HL4" s="1171" t="s">
        <v>930</v>
      </c>
      <c r="HM4" s="50"/>
      <c r="HN4" s="51"/>
      <c r="HO4" s="1172"/>
      <c r="HP4" s="1159"/>
      <c r="HQ4" s="1159"/>
      <c r="HR4" s="1159"/>
      <c r="HS4" s="1159"/>
      <c r="HT4" s="1159"/>
      <c r="HU4" s="1159"/>
      <c r="HV4" s="1160"/>
      <c r="HW4" s="1168"/>
    </row>
    <row r="5" ht="15.75" customHeight="1">
      <c r="B5" s="1176" t="str">
        <f>HYPERLINK("bit.ly/dlombelloplanilhas","dlombello®planilhas "&amp;leiame!B6)</f>
        <v>dlombello®planilhas v6.4.02</v>
      </c>
      <c r="C5" s="50"/>
      <c r="D5" s="50"/>
      <c r="E5" s="219"/>
      <c r="F5" s="890"/>
      <c r="G5" s="1177" t="s">
        <v>931</v>
      </c>
      <c r="H5" s="1178"/>
      <c r="I5" s="1179">
        <f>sum(O7:O106)</f>
        <v>0</v>
      </c>
      <c r="J5" s="1180" t="s">
        <v>24</v>
      </c>
      <c r="K5" s="170"/>
      <c r="L5" s="170"/>
      <c r="M5" s="318"/>
      <c r="N5" s="1181"/>
      <c r="O5" s="1181"/>
      <c r="P5" s="1181"/>
      <c r="Q5" s="1181"/>
      <c r="R5" s="1181"/>
      <c r="S5" s="1182" t="s">
        <v>932</v>
      </c>
      <c r="T5" s="1182" t="s">
        <v>933</v>
      </c>
      <c r="U5" s="890"/>
      <c r="V5" s="1177" t="s">
        <v>931</v>
      </c>
      <c r="W5" s="1178"/>
      <c r="X5" s="1179">
        <f>sum(AD7:AD106)</f>
        <v>0</v>
      </c>
      <c r="Y5" s="1180" t="s">
        <v>24</v>
      </c>
      <c r="Z5" s="170"/>
      <c r="AA5" s="170"/>
      <c r="AB5" s="318"/>
      <c r="AC5" s="1181"/>
      <c r="AD5" s="1181"/>
      <c r="AE5" s="1181"/>
      <c r="AF5" s="1181"/>
      <c r="AG5" s="1181"/>
      <c r="AH5" s="1182" t="s">
        <v>932</v>
      </c>
      <c r="AI5" s="1182" t="s">
        <v>933</v>
      </c>
      <c r="AJ5" s="890"/>
      <c r="AK5" s="1177" t="s">
        <v>931</v>
      </c>
      <c r="AL5" s="1178"/>
      <c r="AM5" s="1179">
        <f>sum(AS7:AS106)</f>
        <v>0</v>
      </c>
      <c r="AN5" s="1180" t="s">
        <v>24</v>
      </c>
      <c r="AO5" s="170"/>
      <c r="AP5" s="170"/>
      <c r="AQ5" s="318"/>
      <c r="AR5" s="1182"/>
      <c r="AS5" s="1182"/>
      <c r="AT5" s="1182"/>
      <c r="AU5" s="1182"/>
      <c r="AV5" s="1182"/>
      <c r="AW5" s="1182" t="s">
        <v>932</v>
      </c>
      <c r="AX5" s="1182" t="s">
        <v>933</v>
      </c>
      <c r="AY5" s="890"/>
      <c r="AZ5" s="1177" t="s">
        <v>931</v>
      </c>
      <c r="BA5" s="1178"/>
      <c r="BB5" s="1179">
        <f>sum(BH7:BH106)</f>
        <v>0</v>
      </c>
      <c r="BC5" s="1180" t="s">
        <v>24</v>
      </c>
      <c r="BD5" s="170"/>
      <c r="BE5" s="170"/>
      <c r="BF5" s="318"/>
      <c r="BG5" s="1183"/>
      <c r="BH5" s="1183"/>
      <c r="BI5" s="1183"/>
      <c r="BJ5" s="1183"/>
      <c r="BK5" s="1183"/>
      <c r="BL5" s="1182" t="s">
        <v>932</v>
      </c>
      <c r="BM5" s="1182" t="s">
        <v>933</v>
      </c>
      <c r="BN5" s="890"/>
      <c r="BO5" s="1177" t="s">
        <v>931</v>
      </c>
      <c r="BP5" s="1178"/>
      <c r="BQ5" s="1179">
        <f>sum(BW7:BW106)</f>
        <v>0</v>
      </c>
      <c r="BR5" s="1180" t="s">
        <v>24</v>
      </c>
      <c r="BS5" s="170"/>
      <c r="BT5" s="170"/>
      <c r="BU5" s="318"/>
      <c r="BV5" s="1183"/>
      <c r="BW5" s="1183"/>
      <c r="BX5" s="1183"/>
      <c r="BY5" s="1183"/>
      <c r="BZ5" s="1183"/>
      <c r="CA5" s="1182" t="s">
        <v>932</v>
      </c>
      <c r="CB5" s="1182" t="s">
        <v>933</v>
      </c>
      <c r="CC5" s="890"/>
      <c r="CD5" s="1184" t="s">
        <v>931</v>
      </c>
      <c r="CE5" s="1178"/>
      <c r="CF5" s="1179">
        <f>sum(CL7:CL106)</f>
        <v>0</v>
      </c>
      <c r="CG5" s="1180" t="s">
        <v>24</v>
      </c>
      <c r="CH5" s="170"/>
      <c r="CI5" s="170"/>
      <c r="CJ5" s="318"/>
      <c r="CK5" s="1183"/>
      <c r="CL5" s="1183"/>
      <c r="CM5" s="1183"/>
      <c r="CN5" s="1183"/>
      <c r="CO5" s="1183"/>
      <c r="CP5" s="1182" t="s">
        <v>932</v>
      </c>
      <c r="CQ5" s="1182" t="s">
        <v>933</v>
      </c>
      <c r="CR5" s="1175"/>
      <c r="CS5" s="1177" t="s">
        <v>931</v>
      </c>
      <c r="CT5" s="1178"/>
      <c r="CU5" s="1179">
        <f>sum(DA7:DA106)</f>
        <v>0</v>
      </c>
      <c r="CV5" s="1180" t="s">
        <v>24</v>
      </c>
      <c r="CW5" s="170"/>
      <c r="CX5" s="170"/>
      <c r="CY5" s="318"/>
      <c r="CZ5" s="1183"/>
      <c r="DA5" s="1183"/>
      <c r="DB5" s="1183"/>
      <c r="DC5" s="1183"/>
      <c r="DD5" s="1183"/>
      <c r="DE5" s="1182" t="s">
        <v>932</v>
      </c>
      <c r="DF5" s="1182" t="s">
        <v>933</v>
      </c>
      <c r="DG5" s="890"/>
      <c r="DH5" s="1177" t="s">
        <v>931</v>
      </c>
      <c r="DI5" s="1178"/>
      <c r="DJ5" s="1185">
        <f>sum(DP7:DP106)</f>
        <v>0</v>
      </c>
      <c r="DK5" s="1180" t="s">
        <v>24</v>
      </c>
      <c r="DL5" s="170"/>
      <c r="DM5" s="170"/>
      <c r="DN5" s="318"/>
      <c r="DO5" s="1183"/>
      <c r="DP5" s="1183"/>
      <c r="DQ5" s="1183"/>
      <c r="DR5" s="1183"/>
      <c r="DS5" s="1183"/>
      <c r="DT5" s="1182" t="s">
        <v>932</v>
      </c>
      <c r="DU5" s="1182" t="s">
        <v>933</v>
      </c>
      <c r="DV5" s="890"/>
      <c r="DW5" s="1177" t="s">
        <v>931</v>
      </c>
      <c r="DX5" s="1178"/>
      <c r="DY5" s="1179">
        <f>sum(EE7:EE106)</f>
        <v>0</v>
      </c>
      <c r="DZ5" s="1180" t="s">
        <v>24</v>
      </c>
      <c r="EA5" s="170"/>
      <c r="EB5" s="170"/>
      <c r="EC5" s="318"/>
      <c r="ED5" s="1183"/>
      <c r="EE5" s="1183"/>
      <c r="EF5" s="1183"/>
      <c r="EG5" s="1183"/>
      <c r="EH5" s="1183"/>
      <c r="EI5" s="1182" t="s">
        <v>932</v>
      </c>
      <c r="EJ5" s="1182" t="s">
        <v>933</v>
      </c>
      <c r="EK5" s="890"/>
      <c r="EL5" s="1177" t="s">
        <v>931</v>
      </c>
      <c r="EM5" s="1178"/>
      <c r="EN5" s="1179">
        <f>sum(ET7:ET106)</f>
        <v>0</v>
      </c>
      <c r="EO5" s="1180" t="s">
        <v>24</v>
      </c>
      <c r="EP5" s="170"/>
      <c r="EQ5" s="170"/>
      <c r="ER5" s="318"/>
      <c r="ES5" s="1183"/>
      <c r="ET5" s="1183"/>
      <c r="EU5" s="1183"/>
      <c r="EV5" s="1183"/>
      <c r="EW5" s="1183"/>
      <c r="EX5" s="1182" t="s">
        <v>932</v>
      </c>
      <c r="EY5" s="1182" t="s">
        <v>933</v>
      </c>
      <c r="EZ5" s="890"/>
      <c r="FA5" s="1177" t="s">
        <v>931</v>
      </c>
      <c r="FB5" s="1178"/>
      <c r="FC5" s="1179">
        <f>sum(FI7:FI106)</f>
        <v>0</v>
      </c>
      <c r="FD5" s="1180" t="s">
        <v>24</v>
      </c>
      <c r="FE5" s="170"/>
      <c r="FF5" s="170"/>
      <c r="FG5" s="318"/>
      <c r="FH5" s="1183"/>
      <c r="FI5" s="1183"/>
      <c r="FJ5" s="1183"/>
      <c r="FK5" s="1183"/>
      <c r="FL5" s="1183"/>
      <c r="FM5" s="1182" t="s">
        <v>932</v>
      </c>
      <c r="FN5" s="1182" t="s">
        <v>933</v>
      </c>
      <c r="FO5" s="890"/>
      <c r="FP5" s="1177" t="s">
        <v>931</v>
      </c>
      <c r="FQ5" s="1178"/>
      <c r="FR5" s="1179">
        <f>sum(FX7:FX106)</f>
        <v>0</v>
      </c>
      <c r="FS5" s="1180" t="s">
        <v>24</v>
      </c>
      <c r="FT5" s="170"/>
      <c r="FU5" s="170"/>
      <c r="FV5" s="318"/>
      <c r="FW5" s="1183"/>
      <c r="FX5" s="1183"/>
      <c r="FY5" s="1183"/>
      <c r="FZ5" s="1183"/>
      <c r="GA5" s="1183"/>
      <c r="GB5" s="1182" t="s">
        <v>932</v>
      </c>
      <c r="GC5" s="1182" t="s">
        <v>933</v>
      </c>
      <c r="GD5" s="890"/>
      <c r="GE5" s="1177" t="s">
        <v>931</v>
      </c>
      <c r="GF5" s="1178"/>
      <c r="GG5" s="1179">
        <f>sum(GM7:GM106)</f>
        <v>0</v>
      </c>
      <c r="GH5" s="1180" t="s">
        <v>24</v>
      </c>
      <c r="GI5" s="170"/>
      <c r="GJ5" s="170"/>
      <c r="GK5" s="318"/>
      <c r="GL5" s="1183"/>
      <c r="GM5" s="1183"/>
      <c r="GN5" s="1183"/>
      <c r="GO5" s="1183"/>
      <c r="GP5" s="1183"/>
      <c r="GQ5" s="1182" t="s">
        <v>932</v>
      </c>
      <c r="GR5" s="1182" t="s">
        <v>933</v>
      </c>
      <c r="GS5" s="890"/>
      <c r="GT5" s="1177" t="s">
        <v>931</v>
      </c>
      <c r="GU5" s="1178"/>
      <c r="GV5" s="1179">
        <f>sum(HB7:HB106)</f>
        <v>0</v>
      </c>
      <c r="GW5" s="1180" t="s">
        <v>24</v>
      </c>
      <c r="GX5" s="170"/>
      <c r="GY5" s="170"/>
      <c r="GZ5" s="318"/>
      <c r="HA5" s="1183"/>
      <c r="HB5" s="1183"/>
      <c r="HC5" s="1183"/>
      <c r="HD5" s="1183"/>
      <c r="HE5" s="1183"/>
      <c r="HF5" s="1182" t="s">
        <v>932</v>
      </c>
      <c r="HG5" s="1182" t="s">
        <v>933</v>
      </c>
      <c r="HH5" s="890"/>
      <c r="HI5" s="1177" t="s">
        <v>931</v>
      </c>
      <c r="HJ5" s="1178"/>
      <c r="HK5" s="1179">
        <f>sum(HQ7:HQ106)</f>
        <v>0</v>
      </c>
      <c r="HL5" s="1180" t="s">
        <v>24</v>
      </c>
      <c r="HM5" s="170"/>
      <c r="HN5" s="170"/>
      <c r="HO5" s="318"/>
      <c r="HP5" s="1183"/>
      <c r="HQ5" s="1183"/>
      <c r="HR5" s="1183"/>
      <c r="HS5" s="1183"/>
      <c r="HT5" s="1183"/>
      <c r="HU5" s="1182" t="s">
        <v>932</v>
      </c>
      <c r="HV5" s="1182" t="s">
        <v>933</v>
      </c>
      <c r="HW5" s="1168"/>
    </row>
    <row r="6" ht="22.5" customHeight="1">
      <c r="B6" s="1173"/>
      <c r="C6" s="69"/>
      <c r="D6" s="69"/>
      <c r="E6" s="1174"/>
      <c r="F6" s="1186">
        <v>0.0</v>
      </c>
      <c r="G6" s="1187" t="s">
        <v>917</v>
      </c>
      <c r="H6" s="1188" t="s">
        <v>206</v>
      </c>
      <c r="I6" s="1188" t="s">
        <v>934</v>
      </c>
      <c r="J6" s="1189" t="s">
        <v>935</v>
      </c>
      <c r="K6" s="1190" t="s">
        <v>936</v>
      </c>
      <c r="L6" s="1190" t="s">
        <v>937</v>
      </c>
      <c r="M6" s="1190" t="s">
        <v>938</v>
      </c>
      <c r="N6" s="1191">
        <f>SUM(N7:N106)</f>
        <v>0</v>
      </c>
      <c r="O6" s="1192">
        <f>COUNTA(S7:S106)-COUNTIF(N7:N106,"&gt;=0")</f>
        <v>0</v>
      </c>
      <c r="P6" s="1193" t="s">
        <v>939</v>
      </c>
      <c r="Q6" s="1182" t="s">
        <v>940</v>
      </c>
      <c r="R6" s="1182" t="s">
        <v>659</v>
      </c>
      <c r="S6" s="1194"/>
      <c r="T6" s="1194"/>
      <c r="U6" s="1186">
        <v>0.0</v>
      </c>
      <c r="V6" s="1187" t="s">
        <v>917</v>
      </c>
      <c r="W6" s="1188" t="s">
        <v>206</v>
      </c>
      <c r="X6" s="1188" t="s">
        <v>934</v>
      </c>
      <c r="Y6" s="1189" t="s">
        <v>935</v>
      </c>
      <c r="Z6" s="1190" t="s">
        <v>936</v>
      </c>
      <c r="AA6" s="1190" t="s">
        <v>937</v>
      </c>
      <c r="AB6" s="1190" t="s">
        <v>938</v>
      </c>
      <c r="AC6" s="1191">
        <f>SUM(AC7:AC106)</f>
        <v>0</v>
      </c>
      <c r="AD6" s="1192">
        <f>COUNTA(AH7:AH106)-COUNTIF(AC7:AC106,"&gt;=0")</f>
        <v>0</v>
      </c>
      <c r="AE6" s="1193" t="s">
        <v>934</v>
      </c>
      <c r="AF6" s="1182" t="s">
        <v>940</v>
      </c>
      <c r="AG6" s="1182" t="s">
        <v>659</v>
      </c>
      <c r="AH6" s="1194"/>
      <c r="AI6" s="1194"/>
      <c r="AJ6" s="1186">
        <v>0.0</v>
      </c>
      <c r="AK6" s="1161" t="s">
        <v>917</v>
      </c>
      <c r="AL6" s="1188" t="s">
        <v>206</v>
      </c>
      <c r="AM6" s="1188" t="s">
        <v>934</v>
      </c>
      <c r="AN6" s="1189" t="s">
        <v>935</v>
      </c>
      <c r="AO6" s="1190" t="s">
        <v>936</v>
      </c>
      <c r="AP6" s="1190" t="s">
        <v>937</v>
      </c>
      <c r="AQ6" s="1190" t="s">
        <v>938</v>
      </c>
      <c r="AR6" s="1191">
        <f>SUM(AR7:AR106)</f>
        <v>0</v>
      </c>
      <c r="AS6" s="1192">
        <f>COUNTA(AW7:AW106)-COUNTIF(AR7:AR106,"&gt;=0")</f>
        <v>0</v>
      </c>
      <c r="AT6" s="1182" t="s">
        <v>934</v>
      </c>
      <c r="AU6" s="1182" t="s">
        <v>940</v>
      </c>
      <c r="AV6" s="1182" t="s">
        <v>659</v>
      </c>
      <c r="AW6" s="1194"/>
      <c r="AX6" s="1194"/>
      <c r="AY6" s="1186">
        <v>0.0</v>
      </c>
      <c r="AZ6" s="1187" t="s">
        <v>917</v>
      </c>
      <c r="BA6" s="1188" t="s">
        <v>206</v>
      </c>
      <c r="BB6" s="1188" t="s">
        <v>934</v>
      </c>
      <c r="BC6" s="1189" t="s">
        <v>935</v>
      </c>
      <c r="BD6" s="1190" t="s">
        <v>936</v>
      </c>
      <c r="BE6" s="1190" t="s">
        <v>937</v>
      </c>
      <c r="BF6" s="1190" t="s">
        <v>938</v>
      </c>
      <c r="BG6" s="1191">
        <f>SUM(BG7:BG106)</f>
        <v>0</v>
      </c>
      <c r="BH6" s="1192">
        <f>COUNTA(BL7:BL106)-COUNTIF(BG7:BG106,"&gt;=0")</f>
        <v>0</v>
      </c>
      <c r="BI6" s="1182" t="s">
        <v>934</v>
      </c>
      <c r="BJ6" s="1182" t="s">
        <v>940</v>
      </c>
      <c r="BK6" s="1182" t="s">
        <v>659</v>
      </c>
      <c r="BL6" s="1194"/>
      <c r="BM6" s="1194"/>
      <c r="BN6" s="1186">
        <v>0.0</v>
      </c>
      <c r="BO6" s="1187" t="s">
        <v>917</v>
      </c>
      <c r="BP6" s="1188" t="s">
        <v>206</v>
      </c>
      <c r="BQ6" s="1188" t="s">
        <v>934</v>
      </c>
      <c r="BR6" s="1189" t="s">
        <v>935</v>
      </c>
      <c r="BS6" s="1190" t="s">
        <v>936</v>
      </c>
      <c r="BT6" s="1190" t="s">
        <v>937</v>
      </c>
      <c r="BU6" s="1190" t="s">
        <v>938</v>
      </c>
      <c r="BV6" s="1191">
        <f>SUM(BV7:BV106)</f>
        <v>0</v>
      </c>
      <c r="BW6" s="1192">
        <f>COUNTA(CA7:CA106)-COUNTIF(BV7:BV106,"&gt;=0")</f>
        <v>0</v>
      </c>
      <c r="BX6" s="1182" t="s">
        <v>934</v>
      </c>
      <c r="BY6" s="1182" t="s">
        <v>940</v>
      </c>
      <c r="BZ6" s="1182" t="s">
        <v>659</v>
      </c>
      <c r="CA6" s="1194"/>
      <c r="CB6" s="1194"/>
      <c r="CC6" s="1186">
        <v>0.0</v>
      </c>
      <c r="CD6" s="1187" t="s">
        <v>917</v>
      </c>
      <c r="CE6" s="1188" t="s">
        <v>206</v>
      </c>
      <c r="CF6" s="1188" t="s">
        <v>934</v>
      </c>
      <c r="CG6" s="1189" t="s">
        <v>935</v>
      </c>
      <c r="CH6" s="1190" t="s">
        <v>936</v>
      </c>
      <c r="CI6" s="1190" t="s">
        <v>937</v>
      </c>
      <c r="CJ6" s="1190" t="s">
        <v>938</v>
      </c>
      <c r="CK6" s="1191">
        <f>SUM(CK7:CK106)</f>
        <v>0</v>
      </c>
      <c r="CL6" s="1192">
        <f>COUNTA(CP7:CP106)-COUNTIF(CK7:CK106,"&gt;=0")</f>
        <v>0</v>
      </c>
      <c r="CM6" s="1182" t="s">
        <v>934</v>
      </c>
      <c r="CN6" s="1182" t="s">
        <v>940</v>
      </c>
      <c r="CO6" s="1182" t="s">
        <v>659</v>
      </c>
      <c r="CP6" s="1194"/>
      <c r="CQ6" s="1194"/>
      <c r="CR6" s="1186">
        <v>0.0</v>
      </c>
      <c r="CS6" s="1187" t="s">
        <v>917</v>
      </c>
      <c r="CT6" s="1188" t="s">
        <v>206</v>
      </c>
      <c r="CU6" s="1188" t="s">
        <v>934</v>
      </c>
      <c r="CV6" s="1189" t="s">
        <v>935</v>
      </c>
      <c r="CW6" s="1190" t="s">
        <v>936</v>
      </c>
      <c r="CX6" s="1190" t="s">
        <v>937</v>
      </c>
      <c r="CY6" s="1190" t="s">
        <v>938</v>
      </c>
      <c r="CZ6" s="1191">
        <f>SUM(CZ7:CZ106)</f>
        <v>0</v>
      </c>
      <c r="DA6" s="1192">
        <f>COUNTA(DE7:DE106)-COUNTIF(CZ7:CZ106,"&gt;=0")</f>
        <v>0</v>
      </c>
      <c r="DB6" s="1182" t="s">
        <v>934</v>
      </c>
      <c r="DC6" s="1182" t="s">
        <v>940</v>
      </c>
      <c r="DD6" s="1182" t="s">
        <v>659</v>
      </c>
      <c r="DE6" s="1194"/>
      <c r="DF6" s="1194"/>
      <c r="DG6" s="1186">
        <v>0.0</v>
      </c>
      <c r="DH6" s="1187" t="s">
        <v>917</v>
      </c>
      <c r="DI6" s="1188" t="s">
        <v>206</v>
      </c>
      <c r="DJ6" s="1195" t="s">
        <v>934</v>
      </c>
      <c r="DK6" s="1189" t="s">
        <v>935</v>
      </c>
      <c r="DL6" s="1190" t="s">
        <v>936</v>
      </c>
      <c r="DM6" s="1190" t="s">
        <v>937</v>
      </c>
      <c r="DN6" s="1190" t="s">
        <v>938</v>
      </c>
      <c r="DO6" s="1191">
        <f>SUM(DO7:DO106)</f>
        <v>0</v>
      </c>
      <c r="DP6" s="1192">
        <f>COUNTA(DT7:DT106)-COUNTIF(DO7:DO106,"&gt;=0")</f>
        <v>0</v>
      </c>
      <c r="DQ6" s="1182" t="s">
        <v>934</v>
      </c>
      <c r="DR6" s="1182" t="s">
        <v>940</v>
      </c>
      <c r="DS6" s="1182" t="s">
        <v>659</v>
      </c>
      <c r="DT6" s="1194"/>
      <c r="DU6" s="1194"/>
      <c r="DV6" s="1186">
        <v>0.0</v>
      </c>
      <c r="DW6" s="1187" t="s">
        <v>917</v>
      </c>
      <c r="DX6" s="1188" t="s">
        <v>206</v>
      </c>
      <c r="DY6" s="1188" t="s">
        <v>934</v>
      </c>
      <c r="DZ6" s="1189" t="s">
        <v>935</v>
      </c>
      <c r="EA6" s="1190" t="s">
        <v>936</v>
      </c>
      <c r="EB6" s="1190" t="s">
        <v>937</v>
      </c>
      <c r="EC6" s="1190" t="s">
        <v>938</v>
      </c>
      <c r="ED6" s="1191">
        <f>SUM(ED7:ED106)</f>
        <v>0</v>
      </c>
      <c r="EE6" s="1192">
        <f>COUNTA(EI7:EI106)-COUNTIF(ED7:ED106,"&gt;=0")</f>
        <v>0</v>
      </c>
      <c r="EF6" s="1182" t="s">
        <v>934</v>
      </c>
      <c r="EG6" s="1182" t="s">
        <v>940</v>
      </c>
      <c r="EH6" s="1182" t="s">
        <v>659</v>
      </c>
      <c r="EI6" s="1194"/>
      <c r="EJ6" s="1194"/>
      <c r="EK6" s="1186">
        <v>0.0</v>
      </c>
      <c r="EL6" s="1187" t="s">
        <v>917</v>
      </c>
      <c r="EM6" s="1188" t="s">
        <v>206</v>
      </c>
      <c r="EN6" s="1188" t="s">
        <v>934</v>
      </c>
      <c r="EO6" s="1189" t="s">
        <v>935</v>
      </c>
      <c r="EP6" s="1190" t="s">
        <v>936</v>
      </c>
      <c r="EQ6" s="1190" t="s">
        <v>937</v>
      </c>
      <c r="ER6" s="1190" t="s">
        <v>938</v>
      </c>
      <c r="ES6" s="1191">
        <f>SUM(ES7:ES106)</f>
        <v>0</v>
      </c>
      <c r="ET6" s="1192">
        <f>COUNTA(EX7:EX106)-COUNTIF(ES7:ES106,"&gt;=0")</f>
        <v>0</v>
      </c>
      <c r="EU6" s="1182" t="s">
        <v>934</v>
      </c>
      <c r="EV6" s="1182" t="s">
        <v>940</v>
      </c>
      <c r="EW6" s="1182" t="s">
        <v>659</v>
      </c>
      <c r="EX6" s="1194"/>
      <c r="EY6" s="1194"/>
      <c r="EZ6" s="1186">
        <v>0.0</v>
      </c>
      <c r="FA6" s="1187" t="s">
        <v>917</v>
      </c>
      <c r="FB6" s="1188" t="s">
        <v>206</v>
      </c>
      <c r="FC6" s="1188" t="s">
        <v>934</v>
      </c>
      <c r="FD6" s="1189" t="s">
        <v>935</v>
      </c>
      <c r="FE6" s="1190" t="s">
        <v>936</v>
      </c>
      <c r="FF6" s="1190" t="s">
        <v>937</v>
      </c>
      <c r="FG6" s="1190" t="s">
        <v>938</v>
      </c>
      <c r="FH6" s="1191">
        <f>SUM(FH7:FH106)</f>
        <v>0</v>
      </c>
      <c r="FI6" s="1192">
        <f>COUNTA(FM7:FM106)-COUNTIF(FH7:FH106,"&gt;=0")</f>
        <v>0</v>
      </c>
      <c r="FJ6" s="1182" t="s">
        <v>934</v>
      </c>
      <c r="FK6" s="1182" t="s">
        <v>940</v>
      </c>
      <c r="FL6" s="1182" t="s">
        <v>659</v>
      </c>
      <c r="FM6" s="1194"/>
      <c r="FN6" s="1194"/>
      <c r="FO6" s="1186">
        <v>0.0</v>
      </c>
      <c r="FP6" s="1187" t="s">
        <v>917</v>
      </c>
      <c r="FQ6" s="1188" t="s">
        <v>206</v>
      </c>
      <c r="FR6" s="1188" t="s">
        <v>934</v>
      </c>
      <c r="FS6" s="1189" t="s">
        <v>935</v>
      </c>
      <c r="FT6" s="1190" t="s">
        <v>936</v>
      </c>
      <c r="FU6" s="1190" t="s">
        <v>937</v>
      </c>
      <c r="FV6" s="1190" t="s">
        <v>938</v>
      </c>
      <c r="FW6" s="1191">
        <f>SUM(FW7:FW106)</f>
        <v>0</v>
      </c>
      <c r="FX6" s="1192">
        <f>COUNTA(GB7:GB106)-COUNTIF(FW7:FW106,"&gt;=0")</f>
        <v>0</v>
      </c>
      <c r="FY6" s="1182" t="s">
        <v>934</v>
      </c>
      <c r="FZ6" s="1182" t="s">
        <v>940</v>
      </c>
      <c r="GA6" s="1182" t="s">
        <v>659</v>
      </c>
      <c r="GB6" s="1194"/>
      <c r="GC6" s="1194"/>
      <c r="GD6" s="1186">
        <v>0.0</v>
      </c>
      <c r="GE6" s="1187" t="s">
        <v>917</v>
      </c>
      <c r="GF6" s="1188" t="s">
        <v>206</v>
      </c>
      <c r="GG6" s="1188" t="s">
        <v>934</v>
      </c>
      <c r="GH6" s="1189" t="s">
        <v>935</v>
      </c>
      <c r="GI6" s="1190" t="s">
        <v>936</v>
      </c>
      <c r="GJ6" s="1190" t="s">
        <v>937</v>
      </c>
      <c r="GK6" s="1190" t="s">
        <v>938</v>
      </c>
      <c r="GL6" s="1191">
        <f>SUM(GL7:GL106)</f>
        <v>0</v>
      </c>
      <c r="GM6" s="1192">
        <f>COUNTA(GQ7:GQ106)-COUNTIF(GL7:GL106,"&gt;=0")</f>
        <v>0</v>
      </c>
      <c r="GN6" s="1182" t="s">
        <v>934</v>
      </c>
      <c r="GO6" s="1182" t="s">
        <v>940</v>
      </c>
      <c r="GP6" s="1182" t="s">
        <v>659</v>
      </c>
      <c r="GQ6" s="1194"/>
      <c r="GR6" s="1194"/>
      <c r="GS6" s="1186">
        <v>0.0</v>
      </c>
      <c r="GT6" s="1187" t="s">
        <v>917</v>
      </c>
      <c r="GU6" s="1188" t="s">
        <v>206</v>
      </c>
      <c r="GV6" s="1188" t="s">
        <v>934</v>
      </c>
      <c r="GW6" s="1189" t="s">
        <v>935</v>
      </c>
      <c r="GX6" s="1190" t="s">
        <v>936</v>
      </c>
      <c r="GY6" s="1190" t="s">
        <v>937</v>
      </c>
      <c r="GZ6" s="1190" t="s">
        <v>938</v>
      </c>
      <c r="HA6" s="1191">
        <f>SUM(HA7:HA106)</f>
        <v>0</v>
      </c>
      <c r="HB6" s="1192">
        <f>COUNTA(HF7:HF106)-COUNTIF(HA7:HA106,"&gt;=0")</f>
        <v>0</v>
      </c>
      <c r="HC6" s="1182" t="s">
        <v>934</v>
      </c>
      <c r="HD6" s="1182" t="s">
        <v>940</v>
      </c>
      <c r="HE6" s="1182" t="s">
        <v>659</v>
      </c>
      <c r="HF6" s="1194"/>
      <c r="HG6" s="1194"/>
      <c r="HH6" s="1186">
        <v>0.0</v>
      </c>
      <c r="HI6" s="1187" t="s">
        <v>917</v>
      </c>
      <c r="HJ6" s="1188" t="s">
        <v>206</v>
      </c>
      <c r="HK6" s="1188" t="s">
        <v>934</v>
      </c>
      <c r="HL6" s="1189" t="s">
        <v>935</v>
      </c>
      <c r="HM6" s="1190" t="s">
        <v>936</v>
      </c>
      <c r="HN6" s="1190" t="s">
        <v>937</v>
      </c>
      <c r="HO6" s="1190" t="s">
        <v>938</v>
      </c>
      <c r="HP6" s="1191">
        <f>SUM(HP7:HP106)</f>
        <v>0</v>
      </c>
      <c r="HQ6" s="1192">
        <f>COUNTA(HU7:HU106)-COUNTIF(HP7:HP106,"&gt;=0")</f>
        <v>0</v>
      </c>
      <c r="HR6" s="1182" t="s">
        <v>934</v>
      </c>
      <c r="HS6" s="1182" t="s">
        <v>940</v>
      </c>
      <c r="HT6" s="1182" t="s">
        <v>659</v>
      </c>
      <c r="HU6" s="1194"/>
      <c r="HV6" s="1194"/>
      <c r="HW6" s="1168"/>
    </row>
    <row r="7" ht="15.75" customHeight="1">
      <c r="B7" s="1196" t="s">
        <v>941</v>
      </c>
      <c r="C7" s="1055" t="s">
        <v>942</v>
      </c>
      <c r="D7" s="1197" t="str">
        <f>"PESO 
("&amp;($D$1*100)&amp;"%)"</f>
        <v>PESO 
(0%)</v>
      </c>
      <c r="E7" s="1198" t="s">
        <v>943</v>
      </c>
      <c r="F7" s="1199" t="str">
        <f t="shared" ref="F7:F106" si="1">IF(G7="","","✔")</f>
        <v/>
      </c>
      <c r="G7" s="1200"/>
      <c r="H7" s="1200"/>
      <c r="I7" s="1201"/>
      <c r="J7" s="1202"/>
      <c r="K7" s="1202"/>
      <c r="L7" s="1203"/>
      <c r="M7" s="1203"/>
      <c r="N7" s="1204" t="str">
        <f t="array" ref="N7:N106">IF(H7:H106="","",IF(G7:G106="","",I7:I106))</f>
        <v/>
      </c>
      <c r="O7" s="1204" t="str">
        <f t="array" ref="O7:O106">IF(H7:H106="","",IF(G7:G106="","",IF(N7:N106="",MAX((1-N$6)/O$6,0),N7:N106)))</f>
        <v/>
      </c>
      <c r="P7" s="1205" t="str">
        <f t="array" ref="P7:P106">IF(H7:H106="","",I$3)</f>
        <v/>
      </c>
      <c r="Q7" s="1206"/>
      <c r="R7" s="1207" t="str">
        <f t="array" ref="R7:R106">IF(H7:H106="","",M2)</f>
        <v/>
      </c>
      <c r="S7" s="1207" t="str">
        <f>IFERROR(__xludf.DUMMYFUNCTION("IFERROR(SORT(FILTER(H7:H106,G7:G106&lt;&gt;"""")))"),"")</f>
        <v/>
      </c>
      <c r="T7" s="1207" t="str">
        <f>IFERROR(__xludf.DUMMYFUNCTION("IFERROR(SORT(FILTER(H7:H106,G7:G106="""")))"),"")</f>
        <v/>
      </c>
      <c r="U7" s="1199" t="str">
        <f t="shared" ref="U7:U106" si="2">IF(V7="","","✔")</f>
        <v/>
      </c>
      <c r="V7" s="1208"/>
      <c r="W7" s="1208"/>
      <c r="X7" s="1201"/>
      <c r="Y7" s="1209"/>
      <c r="Z7" s="1209"/>
      <c r="AA7" s="1210"/>
      <c r="AB7" s="1211"/>
      <c r="AC7" s="1204" t="str">
        <f t="array" ref="AC7:AC106">IF(W7:W106="","",IF(V7:V106="","",X7:X106))</f>
        <v/>
      </c>
      <c r="AD7" s="1204" t="str">
        <f t="array" ref="AD7:AD106">IF(W7:W106="","",IF(V7:V106="","",IF(AC7:AC106="",MAX((1-AC$6)/AD$6,0),AC7:AC106)))</f>
        <v/>
      </c>
      <c r="AE7" s="1205" t="str">
        <f t="array" ref="AE7:AE106">IF(W7:W106="","",IF(V7:V106="","",X$3))</f>
        <v/>
      </c>
      <c r="AF7" s="1206"/>
      <c r="AG7" s="1207" t="str">
        <f t="array" ref="AG7:AG106">IF(W7:W106="","",AB2)</f>
        <v/>
      </c>
      <c r="AH7" s="1207" t="str">
        <f>IFERROR(__xludf.DUMMYFUNCTION("IFERROR(SORT(FILTER(W7:W106,V7:V106&lt;&gt;"""")))"),"")</f>
        <v/>
      </c>
      <c r="AI7" s="1207" t="str">
        <f>IFERROR(__xludf.DUMMYFUNCTION("IFERROR(SORT(FILTER(W7:W106,V7:V106="""")))"),"")</f>
        <v/>
      </c>
      <c r="AJ7" s="1199" t="str">
        <f t="shared" ref="AJ7:AJ106" si="3">IF(AK7="","","✔")</f>
        <v/>
      </c>
      <c r="AK7" s="1208"/>
      <c r="AL7" s="1208"/>
      <c r="AM7" s="1201"/>
      <c r="AN7" s="1209"/>
      <c r="AO7" s="1209"/>
      <c r="AP7" s="1212"/>
      <c r="AQ7" s="1211"/>
      <c r="AR7" s="1204" t="str">
        <f t="array" ref="AR7:AR106">IF(AL7:AL106="","",IF(AK7:AK106="","",AM7:AM106))</f>
        <v/>
      </c>
      <c r="AS7" s="1204" t="str">
        <f t="array" ref="AS7:AS106">IF(AL7:AL106="","",IF(AK7:AK106="","",IF(AR7:AR106="",MAX((1-AR$6)/AS$6,0),AR7:AR106)))</f>
        <v/>
      </c>
      <c r="AT7" s="1205" t="str">
        <f t="array" ref="AT7:AT106">IF(AL7:AL106="","",IF(AK7:AK106="","",AM$3))</f>
        <v/>
      </c>
      <c r="AU7" s="1206"/>
      <c r="AV7" s="1207" t="str">
        <f t="array" ref="AV7:AV106">IF(AL7:AL106="","",AQ2)</f>
        <v/>
      </c>
      <c r="AW7" s="1207" t="str">
        <f>IFERROR(__xludf.DUMMYFUNCTION("IFERROR(SORT(FILTER(AL7:AL106,AK7:AK106&lt;&gt;"""")))"),"")</f>
        <v/>
      </c>
      <c r="AX7" s="1207" t="str">
        <f>IFERROR(__xludf.DUMMYFUNCTION("IFERROR(SORT(FILTER(AL7:AL106,AK7:AK106="""")))"),"")</f>
        <v/>
      </c>
      <c r="AY7" s="1199" t="str">
        <f t="shared" ref="AY7:AY106" si="4">IF(AZ7="","","✔")</f>
        <v/>
      </c>
      <c r="AZ7" s="1208"/>
      <c r="BA7" s="1213"/>
      <c r="BB7" s="1201"/>
      <c r="BC7" s="1202"/>
      <c r="BD7" s="1202"/>
      <c r="BE7" s="1212"/>
      <c r="BF7" s="1214"/>
      <c r="BG7" s="1204" t="str">
        <f t="array" ref="BG7:BG106">IF(BA7:BA106="","",IF(AZ7:AZ106="","",BB7:BB106))</f>
        <v/>
      </c>
      <c r="BH7" s="1204" t="str">
        <f t="array" ref="BH7:BH106">IF(BA7:BA106="","",IF(AZ7:AZ106="","",IF(BG7:BG106="",MAX((1-BG$6)/BH$6,0),BG7:BG106)))</f>
        <v/>
      </c>
      <c r="BI7" s="1205" t="str">
        <f t="array" ref="BI7:BI106">IF(BA7:BA106="","",IF(AZ7:AZ106="","",BB$3))</f>
        <v/>
      </c>
      <c r="BJ7" s="1206"/>
      <c r="BK7" s="1207" t="str">
        <f t="array" ref="BK7:BK106">IF(BA7:BA106="","",BF2)</f>
        <v/>
      </c>
      <c r="BL7" s="1207" t="str">
        <f>IFERROR(__xludf.DUMMYFUNCTION("IFERROR(SORT(FILTER(BA7:BA106,AZ7:AZ106&lt;&gt;"""")))"),"")</f>
        <v/>
      </c>
      <c r="BM7" s="1207" t="str">
        <f>IFERROR(__xludf.DUMMYFUNCTION("IFERROR(SORT(FILTER(BA7:BA106,AZ7:AZ106="""")))"),"")</f>
        <v/>
      </c>
      <c r="BN7" s="1199" t="str">
        <f t="shared" ref="BN7:BN106" si="5">IF(BO7="","","✔")</f>
        <v/>
      </c>
      <c r="BO7" s="1208"/>
      <c r="BP7" s="1215"/>
      <c r="BQ7" s="1201"/>
      <c r="BR7" s="1209"/>
      <c r="BS7" s="1209"/>
      <c r="BT7" s="1212"/>
      <c r="BU7" s="1216"/>
      <c r="BV7" s="1204" t="str">
        <f t="array" ref="BV7:BV106">IF(BP7:BP106="","",IF(BO7:BO106="","",BQ7:BQ106))</f>
        <v/>
      </c>
      <c r="BW7" s="1204" t="str">
        <f t="array" ref="BW7:BW106">IF(BP7:BP106="","",IF(BO7:BO106="","",IF(BV7:BV106="",MAX((1-BV$6)/BW$6,0),BV7:BV106)))</f>
        <v/>
      </c>
      <c r="BX7" s="1205" t="str">
        <f t="array" ref="BX7:BX106">IF(BP7:BP106="","",IF(BO7:BO106="","",BQ$3))</f>
        <v/>
      </c>
      <c r="BY7" s="1206"/>
      <c r="BZ7" s="1207" t="str">
        <f t="array" ref="BZ7:BZ106">IF(BP7:BP106="","",BU2)</f>
        <v/>
      </c>
      <c r="CA7" s="1207" t="str">
        <f>IFERROR(__xludf.DUMMYFUNCTION("IFERROR(SORT(FILTER(BP7:BP106,BO7:BO106&lt;&gt;"""")))"),"")</f>
        <v/>
      </c>
      <c r="CB7" s="1207" t="str">
        <f>IFERROR(__xludf.DUMMYFUNCTION("IFERROR(SORT(FILTER(BP7:BP106,BO7:BO106="""")))"),"")</f>
        <v/>
      </c>
      <c r="CC7" s="1199" t="str">
        <f t="shared" ref="CC7:CC106" si="6">IF(CD7="","","✔")</f>
        <v/>
      </c>
      <c r="CD7" s="1208"/>
      <c r="CE7" s="1213"/>
      <c r="CF7" s="1201"/>
      <c r="CG7" s="1217"/>
      <c r="CH7" s="1217"/>
      <c r="CI7" s="1218"/>
      <c r="CJ7" s="1219"/>
      <c r="CK7" s="1204" t="str">
        <f t="array" ref="CK7:CK106">IF(CE7:CE106="","",IF(CD7:CD106="","",CF7:CF106))</f>
        <v/>
      </c>
      <c r="CL7" s="1204" t="str">
        <f t="array" ref="CL7:CL106">IF(CE7:CE106="","",IF(CD7:CD106="","",IF(CK7:CK106="",MAX((1-CK$6)/CL$6,0),CK7:CK106)))</f>
        <v/>
      </c>
      <c r="CM7" s="1205" t="str">
        <f t="array" ref="CM7:CM106">IF(CE7:CE106="","",IF(CD7:CD106="","",CF$3))</f>
        <v/>
      </c>
      <c r="CN7" s="1206"/>
      <c r="CO7" s="1207" t="str">
        <f t="array" ref="CO7:CO106">IF(CE7:CE106="","",CJ2)</f>
        <v/>
      </c>
      <c r="CP7" s="1207" t="str">
        <f>IFERROR(__xludf.DUMMYFUNCTION("IFERROR(SORT(FILTER(CE7:CE106,CD7:CD106&lt;&gt;"""")))"),"")</f>
        <v/>
      </c>
      <c r="CQ7" s="1207" t="str">
        <f>IFERROR(__xludf.DUMMYFUNCTION("IFERROR(SORT(FILTER(CE7:CE106,CD7:CD106="""")))"),"")</f>
        <v/>
      </c>
      <c r="CR7" s="1199" t="str">
        <f t="shared" ref="CR7:CR106" si="7">IF(CS7="","","✔")</f>
        <v/>
      </c>
      <c r="CS7" s="1208"/>
      <c r="CT7" s="1213"/>
      <c r="CU7" s="1201"/>
      <c r="CV7" s="1202"/>
      <c r="CW7" s="1202"/>
      <c r="CX7" s="1220"/>
      <c r="CY7" s="1221"/>
      <c r="CZ7" s="1204" t="str">
        <f t="array" ref="CZ7:CZ106">IF(CT7:CT106="","",IF(CS7:CS106="","",CU7:CU106))</f>
        <v/>
      </c>
      <c r="DA7" s="1204" t="str">
        <f t="array" ref="DA7:DA106">IF(CT7:CT106="","",IF(CS7:CS106="","",IF(CZ7:CZ106="",MAX((1-CZ$6)/DA$6,0),CZ7:CZ106)))</f>
        <v/>
      </c>
      <c r="DB7" s="1205" t="str">
        <f t="array" ref="DB7:DB106">IF(CT7:CT106="","",IF(CS7:CS106="","",CU$3))</f>
        <v/>
      </c>
      <c r="DC7" s="1206"/>
      <c r="DD7" s="1207" t="str">
        <f t="array" ref="DD7:DD106">IF(CT7:CT106="","",CY2)</f>
        <v/>
      </c>
      <c r="DE7" s="1207" t="str">
        <f>IFERROR(__xludf.DUMMYFUNCTION("IFERROR(SORT(FILTER(CT7:CT106,CS7:CS106&lt;&gt;"""")))"),"")</f>
        <v/>
      </c>
      <c r="DF7" s="1207" t="str">
        <f>IFERROR(__xludf.DUMMYFUNCTION("IFERROR(SORT(FILTER(CT7:CT106,CS7:CS106="""")))"),"")</f>
        <v/>
      </c>
      <c r="DG7" s="1199" t="str">
        <f t="shared" ref="DG7:DG106" si="8">IF(DH7="","","✔")</f>
        <v/>
      </c>
      <c r="DH7" s="1208"/>
      <c r="DI7" s="1213"/>
      <c r="DJ7" s="1222"/>
      <c r="DK7" s="1217"/>
      <c r="DL7" s="1202"/>
      <c r="DM7" s="1218"/>
      <c r="DN7" s="1221"/>
      <c r="DO7" s="1204" t="str">
        <f t="array" ref="DO7:DO106">IF(DI7:DI106="","",IF(DH7:DH106="","",DJ7:DJ106))</f>
        <v/>
      </c>
      <c r="DP7" s="1204" t="str">
        <f t="array" ref="DP7:DP106">IF(DI7:DI106="","",IF(DH7:DH106="","",IF(DO7:DO106="",MAX((1-DO$6)/DP$6,0),DO7:DO106)))</f>
        <v/>
      </c>
      <c r="DQ7" s="1205" t="str">
        <f t="array" ref="DQ7:DQ106">IF(DI7:DI106="","",IF(DH7:DH106="","",DJ$3))</f>
        <v/>
      </c>
      <c r="DR7" s="1206"/>
      <c r="DS7" s="1207" t="str">
        <f t="array" ref="DS7:DS106">IF(DI7:DI106="","",DN2)</f>
        <v/>
      </c>
      <c r="DT7" s="1207" t="str">
        <f>IFERROR(__xludf.DUMMYFUNCTION("IFERROR(SORT(FILTER(DI7:DI106,DH7:DH106&lt;&gt;"""")))"),"")</f>
        <v/>
      </c>
      <c r="DU7" s="1207" t="str">
        <f>IFERROR(__xludf.DUMMYFUNCTION("IFERROR(SORT(FILTER(DI7:DI106,DH7:DH106="""")))"),"")</f>
        <v/>
      </c>
      <c r="DV7" s="1199" t="str">
        <f t="shared" ref="DV7:DV106" si="9">IF(DW7="","","✔")</f>
        <v/>
      </c>
      <c r="DW7" s="1208"/>
      <c r="DX7" s="1223"/>
      <c r="DY7" s="1201"/>
      <c r="DZ7" s="1209"/>
      <c r="EA7" s="1209"/>
      <c r="EB7" s="1212"/>
      <c r="EC7" s="1221"/>
      <c r="ED7" s="1204" t="str">
        <f t="array" ref="ED7:ED106">IF(DX7:DX106="","",IF(DW7:DW106="","",DY7:DY106))</f>
        <v/>
      </c>
      <c r="EE7" s="1204" t="str">
        <f t="array" ref="EE7:EE106">IF(DX7:DX106="","",IF(DW7:DW106="","",IF(ED7:ED106="",MAX((1-ED$6)/EE$6,0),ED7:ED106)))</f>
        <v/>
      </c>
      <c r="EF7" s="1205" t="str">
        <f t="array" ref="EF7:EF106">IF(DX7:DX106="","",IF(DW7:DW106="","",DY$3))</f>
        <v/>
      </c>
      <c r="EG7" s="1206"/>
      <c r="EH7" s="1207" t="str">
        <f t="array" ref="EH7:EH106">IF(DX7:DX106="","",EC2)</f>
        <v/>
      </c>
      <c r="EI7" s="1207" t="str">
        <f>IFERROR(__xludf.DUMMYFUNCTION("IFERROR(SORT(FILTER(DX7:DX106,DW7:DW106&lt;&gt;"""")))"),"")</f>
        <v/>
      </c>
      <c r="EJ7" s="1207" t="str">
        <f>IFERROR(__xludf.DUMMYFUNCTION("IFERROR(SORT(FILTER(DX7:DX106,DW7:DW106="""")))"),"")</f>
        <v/>
      </c>
      <c r="EK7" s="1199" t="str">
        <f t="shared" ref="EK7:EK106" si="10">IF(EL7="","","✔")</f>
        <v/>
      </c>
      <c r="EL7" s="1208"/>
      <c r="EM7" s="1208"/>
      <c r="EN7" s="1201"/>
      <c r="EO7" s="1224"/>
      <c r="EP7" s="1224"/>
      <c r="EQ7" s="1212"/>
      <c r="ER7" s="1221"/>
      <c r="ES7" s="1204" t="str">
        <f t="array" ref="ES7:ES106">IF(EM7:EM106="","",IF(EL7:EL106="","",EN7:EN106))</f>
        <v/>
      </c>
      <c r="ET7" s="1204" t="str">
        <f t="array" ref="ET7:ET106">IF(EM7:EM106="","",IF(EL7:EL106="","",IF(ES7:ES106="",MAX((1-ES$6)/ET$6,0),ES7:ES106)))</f>
        <v/>
      </c>
      <c r="EU7" s="1205" t="str">
        <f t="array" ref="EU7:EU106">IF(EM7:EM106="","",IF(EL7:EL106="","",EN$3))</f>
        <v/>
      </c>
      <c r="EV7" s="1206"/>
      <c r="EW7" s="1207" t="str">
        <f t="array" ref="EW7:EW106">IF(EM7:EM106="","",ER2)</f>
        <v/>
      </c>
      <c r="EX7" s="1207" t="str">
        <f>IFERROR(__xludf.DUMMYFUNCTION("IFERROR(SORT(FILTER(EM7:EM106,EL7:EL106&lt;&gt;"""")))"),"")</f>
        <v/>
      </c>
      <c r="EY7" s="1207" t="str">
        <f>IFERROR(__xludf.DUMMYFUNCTION("IFERROR(SORT(FILTER(EM7:EM106,EL7:EL106="""")))"),"")</f>
        <v/>
      </c>
      <c r="EZ7" s="1199" t="str">
        <f t="shared" ref="EZ7:EZ106" si="11">IF(FA7="","","✔")</f>
        <v/>
      </c>
      <c r="FA7" s="1208"/>
      <c r="FB7" s="1208"/>
      <c r="FC7" s="1201"/>
      <c r="FD7" s="1224"/>
      <c r="FE7" s="1224"/>
      <c r="FF7" s="1212"/>
      <c r="FG7" s="1221"/>
      <c r="FH7" s="1204" t="str">
        <f t="array" ref="FH7:FH106">IF(FB7:FB106="","",IF(FA7:FA106="","",FC7:FC106))</f>
        <v/>
      </c>
      <c r="FI7" s="1204" t="str">
        <f t="array" ref="FI7:FI106">IF(FB7:FB106="","",IF(FA7:FA106="","",IF(FH7:FH106="",MAX((1-FH$6)/FI$6,0),FH7:FH106)))</f>
        <v/>
      </c>
      <c r="FJ7" s="1205" t="str">
        <f t="array" ref="FJ7:FJ106">IF(FB7:FB106="","",IF(FA7:FA106="","",FC$3))</f>
        <v/>
      </c>
      <c r="FK7" s="1206"/>
      <c r="FL7" s="1207" t="str">
        <f t="array" ref="FL7:FL106">IF(FB7:FB106="","",FG2)</f>
        <v/>
      </c>
      <c r="FM7" s="1207" t="str">
        <f>IFERROR(__xludf.DUMMYFUNCTION("IFERROR(SORT(FILTER(FB7:FB106,FA7:FA106&lt;&gt;"""")))"),"")</f>
        <v/>
      </c>
      <c r="FN7" s="1207" t="str">
        <f>IFERROR(__xludf.DUMMYFUNCTION("IFERROR(SORT(FILTER(FB7:FB106,FA7:FA106="""")))"),"")</f>
        <v/>
      </c>
      <c r="FO7" s="1199" t="str">
        <f t="shared" ref="FO7:FO106" si="12">IF(FP7="","","✔")</f>
        <v/>
      </c>
      <c r="FP7" s="1208"/>
      <c r="FQ7" s="1200"/>
      <c r="FR7" s="1201"/>
      <c r="FS7" s="1202"/>
      <c r="FT7" s="1217"/>
      <c r="FU7" s="1218"/>
      <c r="FV7" s="1225"/>
      <c r="FW7" s="1204" t="str">
        <f t="array" ref="FW7:FW106">IF(FQ7:FQ106="","",IF(FP7:FP106="","",FR7:FR106))</f>
        <v/>
      </c>
      <c r="FX7" s="1204" t="str">
        <f t="array" ref="FX7:FX106">IF(FQ7:FQ106="","",IF(FP7:FP106="","",IF(FW7:FW106="",MAX((1-FW$6)/FX$6,0),FW7:FW106)))</f>
        <v/>
      </c>
      <c r="FY7" s="1205" t="str">
        <f t="array" ref="FY7:FY106">IF(FQ7:FQ106="","",IF(FP7:FP106="","",FR$3))</f>
        <v/>
      </c>
      <c r="FZ7" s="1206"/>
      <c r="GA7" s="1207" t="str">
        <f t="array" ref="GA7:GA106">IF(FQ7:FQ106="","",FV2)</f>
        <v/>
      </c>
      <c r="GB7" s="1207" t="str">
        <f>IFERROR(__xludf.DUMMYFUNCTION("IFERROR(SORT(FILTER(FQ7:FQ106,FP7:FP106&lt;&gt;"""")))"),"")</f>
        <v/>
      </c>
      <c r="GC7" s="1207" t="str">
        <f>IFERROR(__xludf.DUMMYFUNCTION("IFERROR(SORT(FILTER(FQ7:FQ106,FP7:FP106="""")))"),"")</f>
        <v/>
      </c>
      <c r="GD7" s="1199" t="str">
        <f t="shared" ref="GD7:GD106" si="13">IF(GE7="","","✔")</f>
        <v/>
      </c>
      <c r="GE7" s="1208"/>
      <c r="GF7" s="1208"/>
      <c r="GG7" s="1201"/>
      <c r="GH7" s="1209"/>
      <c r="GI7" s="1209"/>
      <c r="GJ7" s="1212"/>
      <c r="GK7" s="1226"/>
      <c r="GL7" s="1204" t="str">
        <f t="array" ref="GL7:GL106">IF(GF7:GF106="","",IF(GE7:GE106="","",GG7:GG106))</f>
        <v/>
      </c>
      <c r="GM7" s="1204" t="str">
        <f t="array" ref="GM7:GM106">IF(GF7:GF106="","",IF(GE7:GE106="","",IF(GL7:GL106="",MAX((1-GL$6)/GM$6,0),GL7:GL106)))</f>
        <v/>
      </c>
      <c r="GN7" s="1205" t="str">
        <f t="array" ref="GN7:GN106">IF(GF7:GF106="","",IF(GE7:GE106="","",GG$3))</f>
        <v/>
      </c>
      <c r="GO7" s="1206"/>
      <c r="GP7" s="1207" t="str">
        <f t="array" ref="GP7:GP106">IF(GF7:GF106="","",GK2)</f>
        <v/>
      </c>
      <c r="GQ7" s="1207" t="str">
        <f>IFERROR(__xludf.DUMMYFUNCTION("IFERROR(SORT(FILTER(GF7:GF106,GE7:GE106&lt;&gt;"""")))"),"")</f>
        <v/>
      </c>
      <c r="GR7" s="1207" t="str">
        <f>IFERROR(__xludf.DUMMYFUNCTION("IFERROR(SORT(FILTER(GF7:GF106,GE7:GE106="""")))"),"")</f>
        <v/>
      </c>
      <c r="GS7" s="1199" t="str">
        <f t="shared" ref="GS7:GS106" si="14">IF(GT7="","","✔")</f>
        <v/>
      </c>
      <c r="GT7" s="1208"/>
      <c r="GU7" s="1200"/>
      <c r="GV7" s="1201"/>
      <c r="GW7" s="1202"/>
      <c r="GX7" s="1217"/>
      <c r="GY7" s="1218"/>
      <c r="GZ7" s="1225"/>
      <c r="HA7" s="1204" t="str">
        <f t="array" ref="HA7:HA106">IF(GU7:GU106="","",IF(GT7:GT106="","",GV7:GV106))</f>
        <v/>
      </c>
      <c r="HB7" s="1204" t="str">
        <f t="array" ref="HB7:HB106">IF(GU7:GU106="","",IF(GT7:GT106="","",IF(HA7:HA106="",MAX((1-HA$6)/HB$6,0),HA7:HA106)))</f>
        <v/>
      </c>
      <c r="HC7" s="1205" t="str">
        <f t="array" ref="HC7:HC106">IF(GU7:GU106="","",IF(GT7:GT106="","",GV$3))</f>
        <v/>
      </c>
      <c r="HD7" s="1206"/>
      <c r="HE7" s="1207" t="str">
        <f t="array" ref="HE7:HE106">IF(GU7:GU106="","",GZ2)</f>
        <v/>
      </c>
      <c r="HF7" s="1207" t="str">
        <f>IFERROR(__xludf.DUMMYFUNCTION("IFERROR(SORT(FILTER(GU7:GU106,GT7:GT106&lt;&gt;"""")))"),"")</f>
        <v/>
      </c>
      <c r="HG7" s="1207" t="str">
        <f>IFERROR(__xludf.DUMMYFUNCTION("IFERROR(SORT(FILTER(GU7:GU106,GT7:GT106="""")))"),"")</f>
        <v/>
      </c>
      <c r="HH7" s="1199" t="str">
        <f t="shared" ref="HH7:HH106" si="15">IF(HI7="","","✔")</f>
        <v/>
      </c>
      <c r="HI7" s="1208"/>
      <c r="HJ7" s="1200"/>
      <c r="HK7" s="1201"/>
      <c r="HL7" s="1202"/>
      <c r="HM7" s="1217"/>
      <c r="HN7" s="1218"/>
      <c r="HO7" s="1225"/>
      <c r="HP7" s="1204" t="str">
        <f t="array" ref="HP7:HP106">IF(HJ7:HJ106="","",IF(HI7:HI106="","",HK7:HK106))</f>
        <v/>
      </c>
      <c r="HQ7" s="1204" t="str">
        <f t="array" ref="HQ7:HQ106">IF(HJ7:HJ106="","",IF(HI7:HI106="","",IF(HP7:HP106="",MAX((1-HP$6)/HQ$6,0),HP7:HP106)))</f>
        <v/>
      </c>
      <c r="HR7" s="1205" t="str">
        <f t="array" ref="HR7:HR106">IF(HJ7:HJ106="","",IF(HI7:HI106="","",HK$3))</f>
        <v/>
      </c>
      <c r="HS7" s="1206"/>
      <c r="HT7" s="1207" t="str">
        <f t="array" ref="HT7:HT106">IF(HJ7:HJ106="","",HO2)</f>
        <v/>
      </c>
      <c r="HU7" s="1207" t="str">
        <f>IFERROR(__xludf.DUMMYFUNCTION("IFERROR(SORT(FILTER(HJ7:HJ106,HI7:HI106&lt;&gt;"""")))"),"")</f>
        <v/>
      </c>
      <c r="HV7" s="1207" t="str">
        <f>IFERROR(__xludf.DUMMYFUNCTION("IFERROR(SORT(FILTER(HJ7:HJ106,HI7:HI106="""")))"),"")</f>
        <v/>
      </c>
      <c r="HW7" s="1227"/>
    </row>
    <row r="8" ht="15.75" customHeight="1">
      <c r="A8" s="1228"/>
      <c r="B8" s="817"/>
      <c r="D8" s="113"/>
      <c r="E8" s="1229"/>
      <c r="F8" s="1199" t="str">
        <f t="shared" si="1"/>
        <v/>
      </c>
      <c r="G8" s="1200"/>
      <c r="H8" s="1200"/>
      <c r="I8" s="1201"/>
      <c r="J8" s="1202"/>
      <c r="K8" s="1202"/>
      <c r="L8" s="1203"/>
      <c r="M8" s="1203"/>
      <c r="N8" s="1230" t="s">
        <v>123</v>
      </c>
      <c r="O8" s="1230" t="s">
        <v>123</v>
      </c>
      <c r="P8" s="1231" t="s">
        <v>123</v>
      </c>
      <c r="Q8" s="1207"/>
      <c r="R8" s="1207" t="s">
        <v>123</v>
      </c>
      <c r="S8" s="1207"/>
      <c r="T8" s="1207"/>
      <c r="U8" s="1199" t="str">
        <f t="shared" si="2"/>
        <v/>
      </c>
      <c r="V8" s="1208"/>
      <c r="W8" s="1208"/>
      <c r="X8" s="1201"/>
      <c r="Y8" s="1209"/>
      <c r="Z8" s="1209"/>
      <c r="AA8" s="1210"/>
      <c r="AB8" s="1211"/>
      <c r="AC8" s="1204" t="s">
        <v>123</v>
      </c>
      <c r="AD8" s="1204" t="s">
        <v>123</v>
      </c>
      <c r="AE8" s="1205" t="s">
        <v>123</v>
      </c>
      <c r="AF8" s="1206"/>
      <c r="AG8" s="1232" t="s">
        <v>123</v>
      </c>
      <c r="AH8" s="1207"/>
      <c r="AI8" s="1233"/>
      <c r="AJ8" s="1199" t="str">
        <f t="shared" si="3"/>
        <v/>
      </c>
      <c r="AK8" s="1208"/>
      <c r="AL8" s="1208"/>
      <c r="AM8" s="1201"/>
      <c r="AN8" s="1209"/>
      <c r="AO8" s="1209"/>
      <c r="AP8" s="1212"/>
      <c r="AQ8" s="1211"/>
      <c r="AR8" s="1204" t="s">
        <v>123</v>
      </c>
      <c r="AS8" s="1204" t="s">
        <v>123</v>
      </c>
      <c r="AT8" s="1206" t="s">
        <v>123</v>
      </c>
      <c r="AU8" s="1206"/>
      <c r="AV8" s="1232" t="s">
        <v>123</v>
      </c>
      <c r="AW8" s="1233"/>
      <c r="AX8" s="1207"/>
      <c r="AY8" s="1199" t="str">
        <f t="shared" si="4"/>
        <v/>
      </c>
      <c r="AZ8" s="1208"/>
      <c r="BA8" s="1223"/>
      <c r="BB8" s="1234"/>
      <c r="BC8" s="1209"/>
      <c r="BD8" s="1209"/>
      <c r="BE8" s="1212"/>
      <c r="BF8" s="1212"/>
      <c r="BG8" s="1204" t="s">
        <v>123</v>
      </c>
      <c r="BH8" s="1204" t="s">
        <v>123</v>
      </c>
      <c r="BI8" s="1206" t="s">
        <v>123</v>
      </c>
      <c r="BJ8" s="1206"/>
      <c r="BK8" s="1235" t="s">
        <v>123</v>
      </c>
      <c r="BL8" s="1207"/>
      <c r="BM8" s="1207"/>
      <c r="BN8" s="1199" t="str">
        <f t="shared" si="5"/>
        <v/>
      </c>
      <c r="BO8" s="1208"/>
      <c r="BP8" s="1215"/>
      <c r="BQ8" s="1234"/>
      <c r="BR8" s="1209"/>
      <c r="BS8" s="1209"/>
      <c r="BT8" s="1212"/>
      <c r="BU8" s="1216"/>
      <c r="BV8" s="1230" t="s">
        <v>123</v>
      </c>
      <c r="BW8" s="1230" t="s">
        <v>123</v>
      </c>
      <c r="BX8" s="1236" t="s">
        <v>123</v>
      </c>
      <c r="BY8" s="1236"/>
      <c r="BZ8" s="1232" t="s">
        <v>123</v>
      </c>
      <c r="CA8" s="1207"/>
      <c r="CB8" s="1207"/>
      <c r="CC8" s="1199" t="str">
        <f t="shared" si="6"/>
        <v/>
      </c>
      <c r="CD8" s="1208"/>
      <c r="CE8" s="1223"/>
      <c r="CF8" s="1237"/>
      <c r="CG8" s="1224"/>
      <c r="CH8" s="1224"/>
      <c r="CI8" s="1212"/>
      <c r="CJ8" s="1238"/>
      <c r="CK8" s="1230" t="s">
        <v>123</v>
      </c>
      <c r="CL8" s="1230" t="s">
        <v>123</v>
      </c>
      <c r="CM8" s="1206" t="s">
        <v>123</v>
      </c>
      <c r="CN8" s="1239"/>
      <c r="CO8" s="1239" t="s">
        <v>123</v>
      </c>
      <c r="CP8" s="1207"/>
      <c r="CQ8" s="1207"/>
      <c r="CR8" s="1199" t="str">
        <f t="shared" si="7"/>
        <v/>
      </c>
      <c r="CS8" s="1208"/>
      <c r="CT8" s="1213"/>
      <c r="CU8" s="1201"/>
      <c r="CV8" s="1202"/>
      <c r="CW8" s="1202"/>
      <c r="CX8" s="1240"/>
      <c r="CY8" s="1241"/>
      <c r="CZ8" s="1230" t="s">
        <v>123</v>
      </c>
      <c r="DA8" s="1230" t="s">
        <v>123</v>
      </c>
      <c r="DB8" s="1206" t="s">
        <v>123</v>
      </c>
      <c r="DC8" s="1239"/>
      <c r="DD8" s="1239" t="s">
        <v>123</v>
      </c>
      <c r="DE8" s="1207"/>
      <c r="DF8" s="1207"/>
      <c r="DG8" s="1199" t="str">
        <f t="shared" si="8"/>
        <v/>
      </c>
      <c r="DH8" s="1208"/>
      <c r="DI8" s="1223"/>
      <c r="DJ8" s="1222"/>
      <c r="DK8" s="1224"/>
      <c r="DL8" s="1209"/>
      <c r="DM8" s="1212"/>
      <c r="DN8" s="1242"/>
      <c r="DO8" s="1230" t="s">
        <v>123</v>
      </c>
      <c r="DP8" s="1230" t="s">
        <v>123</v>
      </c>
      <c r="DQ8" s="1206" t="s">
        <v>123</v>
      </c>
      <c r="DR8" s="1206"/>
      <c r="DS8" s="1239" t="s">
        <v>123</v>
      </c>
      <c r="DT8" s="1207"/>
      <c r="DU8" s="1207"/>
      <c r="DV8" s="1199" t="str">
        <f t="shared" si="9"/>
        <v/>
      </c>
      <c r="DW8" s="1208"/>
      <c r="DX8" s="1223"/>
      <c r="DY8" s="1234"/>
      <c r="DZ8" s="1209"/>
      <c r="EA8" s="1209"/>
      <c r="EB8" s="1212"/>
      <c r="EC8" s="1242"/>
      <c r="ED8" s="1230" t="s">
        <v>123</v>
      </c>
      <c r="EE8" s="1230" t="s">
        <v>123</v>
      </c>
      <c r="EF8" s="1206" t="s">
        <v>123</v>
      </c>
      <c r="EG8" s="1206"/>
      <c r="EH8" s="1232" t="s">
        <v>123</v>
      </c>
      <c r="EI8" s="1207"/>
      <c r="EJ8" s="1207"/>
      <c r="EK8" s="1199" t="str">
        <f t="shared" si="10"/>
        <v/>
      </c>
      <c r="EL8" s="1208"/>
      <c r="EM8" s="1223"/>
      <c r="EN8" s="1243"/>
      <c r="EO8" s="1224"/>
      <c r="EP8" s="1224"/>
      <c r="EQ8" s="1212"/>
      <c r="ER8" s="1242"/>
      <c r="ES8" s="1230" t="s">
        <v>123</v>
      </c>
      <c r="ET8" s="1230" t="s">
        <v>123</v>
      </c>
      <c r="EU8" s="1206" t="s">
        <v>123</v>
      </c>
      <c r="EV8" s="1206"/>
      <c r="EW8" s="1232" t="s">
        <v>123</v>
      </c>
      <c r="EX8" s="1207"/>
      <c r="EY8" s="1207"/>
      <c r="EZ8" s="1199" t="str">
        <f t="shared" si="11"/>
        <v/>
      </c>
      <c r="FA8" s="1208"/>
      <c r="FB8" s="1223"/>
      <c r="FC8" s="1243"/>
      <c r="FD8" s="1217"/>
      <c r="FE8" s="1217"/>
      <c r="FF8" s="1218"/>
      <c r="FG8" s="1241"/>
      <c r="FH8" s="1230" t="s">
        <v>123</v>
      </c>
      <c r="FI8" s="1230" t="s">
        <v>123</v>
      </c>
      <c r="FJ8" s="1206" t="s">
        <v>123</v>
      </c>
      <c r="FK8" s="1206"/>
      <c r="FL8" s="1232" t="s">
        <v>123</v>
      </c>
      <c r="FM8" s="1207"/>
      <c r="FN8" s="1207"/>
      <c r="FO8" s="1199" t="str">
        <f t="shared" si="12"/>
        <v/>
      </c>
      <c r="FP8" s="1208"/>
      <c r="FQ8" s="1208"/>
      <c r="FR8" s="1234"/>
      <c r="FS8" s="1209"/>
      <c r="FT8" s="1209"/>
      <c r="FU8" s="1212"/>
      <c r="FV8" s="1216"/>
      <c r="FW8" s="1204" t="s">
        <v>123</v>
      </c>
      <c r="FX8" s="1204" t="s">
        <v>123</v>
      </c>
      <c r="FY8" s="1236" t="s">
        <v>123</v>
      </c>
      <c r="FZ8" s="1236"/>
      <c r="GA8" s="1232" t="s">
        <v>123</v>
      </c>
      <c r="GB8" s="1207"/>
      <c r="GC8" s="1207"/>
      <c r="GD8" s="1199" t="str">
        <f t="shared" si="13"/>
        <v/>
      </c>
      <c r="GE8" s="1208"/>
      <c r="GF8" s="1200"/>
      <c r="GG8" s="1234"/>
      <c r="GH8" s="1202"/>
      <c r="GI8" s="1217"/>
      <c r="GJ8" s="1218"/>
      <c r="GK8" s="1244"/>
      <c r="GL8" s="1204" t="s">
        <v>123</v>
      </c>
      <c r="GM8" s="1204" t="s">
        <v>123</v>
      </c>
      <c r="GN8" s="1236" t="s">
        <v>123</v>
      </c>
      <c r="GO8" s="1236"/>
      <c r="GP8" s="1232" t="s">
        <v>123</v>
      </c>
      <c r="GQ8" s="1207"/>
      <c r="GR8" s="1207"/>
      <c r="GS8" s="1199" t="str">
        <f t="shared" si="14"/>
        <v/>
      </c>
      <c r="GT8" s="1208"/>
      <c r="GU8" s="1208"/>
      <c r="GV8" s="1234"/>
      <c r="GW8" s="1209"/>
      <c r="GX8" s="1209"/>
      <c r="GY8" s="1212"/>
      <c r="GZ8" s="1216"/>
      <c r="HA8" s="1204" t="s">
        <v>123</v>
      </c>
      <c r="HB8" s="1204" t="s">
        <v>123</v>
      </c>
      <c r="HC8" s="1236" t="s">
        <v>123</v>
      </c>
      <c r="HD8" s="1236"/>
      <c r="HE8" s="1232" t="s">
        <v>123</v>
      </c>
      <c r="HF8" s="1207"/>
      <c r="HG8" s="1207"/>
      <c r="HH8" s="1199" t="str">
        <f t="shared" si="15"/>
        <v/>
      </c>
      <c r="HI8" s="1208"/>
      <c r="HJ8" s="1208"/>
      <c r="HK8" s="1234"/>
      <c r="HL8" s="1209"/>
      <c r="HM8" s="1209"/>
      <c r="HN8" s="1212"/>
      <c r="HO8" s="1216"/>
      <c r="HP8" s="1204" t="s">
        <v>123</v>
      </c>
      <c r="HQ8" s="1204" t="s">
        <v>123</v>
      </c>
      <c r="HR8" s="1236" t="s">
        <v>123</v>
      </c>
      <c r="HS8" s="1236"/>
      <c r="HT8" s="1232" t="s">
        <v>123</v>
      </c>
      <c r="HU8" s="1207"/>
      <c r="HV8" s="1207"/>
      <c r="HW8" s="1227"/>
    </row>
    <row r="9" ht="15.75" customHeight="1">
      <c r="A9" s="619">
        <v>1.0</v>
      </c>
      <c r="B9" s="730" t="b">
        <v>1</v>
      </c>
      <c r="C9" s="1245" t="str">
        <f>HYPERLINK(ParametrosURL&amp;"/edit"&amp;"#gid="&amp;ParametrosIDAbaCarteira&amp;"range=F2",IF($M$2="","Carteira #1",$M$2))</f>
        <v>Carteira #1</v>
      </c>
      <c r="D9" s="1246">
        <v>0.0</v>
      </c>
      <c r="E9" s="1247" t="str">
        <f>IFERROR(__xludf.DUMMYFUNCTION("IF($M$2="""","""",COUNTUNIQUE(S$7:S106)&amp;"" (""&amp;countunique(T$7:T106)&amp;"")"")"),"")</f>
        <v/>
      </c>
      <c r="F9" s="1248" t="str">
        <f t="shared" si="1"/>
        <v/>
      </c>
      <c r="G9" s="1208"/>
      <c r="H9" s="1208"/>
      <c r="I9" s="1201"/>
      <c r="J9" s="1209"/>
      <c r="K9" s="1209"/>
      <c r="L9" s="1203"/>
      <c r="M9" s="1203"/>
      <c r="N9" s="1249" t="s">
        <v>123</v>
      </c>
      <c r="O9" s="1249" t="s">
        <v>123</v>
      </c>
      <c r="P9" s="1250" t="s">
        <v>123</v>
      </c>
      <c r="Q9" s="1251"/>
      <c r="R9" s="1251" t="s">
        <v>123</v>
      </c>
      <c r="S9" s="1207"/>
      <c r="T9" s="1207"/>
      <c r="U9" s="1199" t="str">
        <f t="shared" si="2"/>
        <v/>
      </c>
      <c r="V9" s="1208"/>
      <c r="W9" s="1208"/>
      <c r="X9" s="1201"/>
      <c r="Y9" s="1209"/>
      <c r="Z9" s="1209"/>
      <c r="AA9" s="1210"/>
      <c r="AB9" s="1211"/>
      <c r="AC9" s="1204" t="s">
        <v>123</v>
      </c>
      <c r="AD9" s="1204" t="s">
        <v>123</v>
      </c>
      <c r="AE9" s="1205" t="s">
        <v>123</v>
      </c>
      <c r="AF9" s="1206"/>
      <c r="AG9" s="1232" t="s">
        <v>123</v>
      </c>
      <c r="AH9" s="1207"/>
      <c r="AI9" s="1233"/>
      <c r="AJ9" s="1199" t="str">
        <f t="shared" si="3"/>
        <v/>
      </c>
      <c r="AK9" s="1208"/>
      <c r="AL9" s="1208"/>
      <c r="AM9" s="1201"/>
      <c r="AN9" s="1209"/>
      <c r="AO9" s="1209"/>
      <c r="AP9" s="1212"/>
      <c r="AQ9" s="1226"/>
      <c r="AR9" s="1204" t="s">
        <v>123</v>
      </c>
      <c r="AS9" s="1204" t="s">
        <v>123</v>
      </c>
      <c r="AT9" s="1206" t="s">
        <v>123</v>
      </c>
      <c r="AU9" s="1206"/>
      <c r="AV9" s="1232" t="s">
        <v>123</v>
      </c>
      <c r="AW9" s="1233"/>
      <c r="AX9" s="1207"/>
      <c r="AY9" s="1199" t="str">
        <f t="shared" si="4"/>
        <v/>
      </c>
      <c r="AZ9" s="1208"/>
      <c r="BA9" s="1223"/>
      <c r="BB9" s="1234"/>
      <c r="BC9" s="1209"/>
      <c r="BD9" s="1209"/>
      <c r="BE9" s="1212"/>
      <c r="BF9" s="1252"/>
      <c r="BG9" s="1204" t="s">
        <v>123</v>
      </c>
      <c r="BH9" s="1204" t="s">
        <v>123</v>
      </c>
      <c r="BI9" s="1206" t="s">
        <v>123</v>
      </c>
      <c r="BJ9" s="1206"/>
      <c r="BK9" s="1235" t="s">
        <v>123</v>
      </c>
      <c r="BL9" s="1207"/>
      <c r="BM9" s="1207"/>
      <c r="BN9" s="1199" t="str">
        <f t="shared" si="5"/>
        <v/>
      </c>
      <c r="BO9" s="1208"/>
      <c r="BP9" s="1215"/>
      <c r="BQ9" s="1234"/>
      <c r="BR9" s="1209"/>
      <c r="BS9" s="1209"/>
      <c r="BT9" s="1212"/>
      <c r="BU9" s="1238"/>
      <c r="BV9" s="1230" t="s">
        <v>123</v>
      </c>
      <c r="BW9" s="1230" t="s">
        <v>123</v>
      </c>
      <c r="BX9" s="1236" t="s">
        <v>123</v>
      </c>
      <c r="BY9" s="1236"/>
      <c r="BZ9" s="1232" t="s">
        <v>123</v>
      </c>
      <c r="CA9" s="1207"/>
      <c r="CB9" s="1207"/>
      <c r="CC9" s="1199" t="str">
        <f t="shared" si="6"/>
        <v/>
      </c>
      <c r="CD9" s="1208"/>
      <c r="CE9" s="1223"/>
      <c r="CF9" s="1237"/>
      <c r="CG9" s="1224"/>
      <c r="CH9" s="1224"/>
      <c r="CI9" s="1212"/>
      <c r="CJ9" s="1238"/>
      <c r="CK9" s="1230" t="s">
        <v>123</v>
      </c>
      <c r="CL9" s="1230" t="s">
        <v>123</v>
      </c>
      <c r="CM9" s="1206" t="s">
        <v>123</v>
      </c>
      <c r="CN9" s="1239"/>
      <c r="CO9" s="1239" t="s">
        <v>123</v>
      </c>
      <c r="CP9" s="1207"/>
      <c r="CQ9" s="1207"/>
      <c r="CR9" s="1199" t="str">
        <f t="shared" si="7"/>
        <v/>
      </c>
      <c r="CS9" s="1208"/>
      <c r="CT9" s="1223"/>
      <c r="CU9" s="1234"/>
      <c r="CV9" s="1209"/>
      <c r="CW9" s="1209"/>
      <c r="CX9" s="1240"/>
      <c r="CY9" s="1242"/>
      <c r="CZ9" s="1230" t="s">
        <v>123</v>
      </c>
      <c r="DA9" s="1230" t="s">
        <v>123</v>
      </c>
      <c r="DB9" s="1206" t="s">
        <v>123</v>
      </c>
      <c r="DC9" s="1239"/>
      <c r="DD9" s="1239" t="s">
        <v>123</v>
      </c>
      <c r="DE9" s="1207"/>
      <c r="DF9" s="1207"/>
      <c r="DG9" s="1199" t="str">
        <f t="shared" si="8"/>
        <v/>
      </c>
      <c r="DH9" s="1208"/>
      <c r="DI9" s="1223"/>
      <c r="DJ9" s="1222"/>
      <c r="DK9" s="1224"/>
      <c r="DL9" s="1209"/>
      <c r="DM9" s="1212"/>
      <c r="DN9" s="1242"/>
      <c r="DO9" s="1230" t="s">
        <v>123</v>
      </c>
      <c r="DP9" s="1230" t="s">
        <v>123</v>
      </c>
      <c r="DQ9" s="1206" t="s">
        <v>123</v>
      </c>
      <c r="DR9" s="1206"/>
      <c r="DS9" s="1239" t="s">
        <v>123</v>
      </c>
      <c r="DT9" s="1207"/>
      <c r="DU9" s="1207"/>
      <c r="DV9" s="1199" t="str">
        <f t="shared" si="9"/>
        <v/>
      </c>
      <c r="DW9" s="1208"/>
      <c r="DX9" s="1213"/>
      <c r="DY9" s="1234"/>
      <c r="DZ9" s="1202"/>
      <c r="EA9" s="1202"/>
      <c r="EB9" s="1218"/>
      <c r="EC9" s="1242"/>
      <c r="ED9" s="1230" t="s">
        <v>123</v>
      </c>
      <c r="EE9" s="1230" t="s">
        <v>123</v>
      </c>
      <c r="EF9" s="1206" t="s">
        <v>123</v>
      </c>
      <c r="EG9" s="1206"/>
      <c r="EH9" s="1232" t="s">
        <v>123</v>
      </c>
      <c r="EI9" s="1207"/>
      <c r="EJ9" s="1207"/>
      <c r="EK9" s="1199" t="str">
        <f t="shared" si="10"/>
        <v/>
      </c>
      <c r="EL9" s="1208"/>
      <c r="EM9" s="1223"/>
      <c r="EN9" s="1243"/>
      <c r="EO9" s="1224"/>
      <c r="EP9" s="1224"/>
      <c r="EQ9" s="1212"/>
      <c r="ER9" s="1242"/>
      <c r="ES9" s="1230" t="s">
        <v>123</v>
      </c>
      <c r="ET9" s="1230" t="s">
        <v>123</v>
      </c>
      <c r="EU9" s="1206" t="s">
        <v>123</v>
      </c>
      <c r="EV9" s="1206"/>
      <c r="EW9" s="1232" t="s">
        <v>123</v>
      </c>
      <c r="EX9" s="1207"/>
      <c r="EY9" s="1207"/>
      <c r="EZ9" s="1199" t="str">
        <f t="shared" si="11"/>
        <v/>
      </c>
      <c r="FA9" s="1208"/>
      <c r="FB9" s="1208"/>
      <c r="FC9" s="1243"/>
      <c r="FD9" s="1224"/>
      <c r="FE9" s="1224"/>
      <c r="FF9" s="1212"/>
      <c r="FG9" s="1241"/>
      <c r="FH9" s="1230" t="s">
        <v>123</v>
      </c>
      <c r="FI9" s="1230" t="s">
        <v>123</v>
      </c>
      <c r="FJ9" s="1206" t="s">
        <v>123</v>
      </c>
      <c r="FK9" s="1206"/>
      <c r="FL9" s="1232" t="s">
        <v>123</v>
      </c>
      <c r="FM9" s="1207"/>
      <c r="FN9" s="1207"/>
      <c r="FO9" s="1199" t="str">
        <f t="shared" si="12"/>
        <v/>
      </c>
      <c r="FP9" s="1208"/>
      <c r="FQ9" s="1208"/>
      <c r="FR9" s="1234"/>
      <c r="FS9" s="1209"/>
      <c r="FT9" s="1209"/>
      <c r="FU9" s="1212"/>
      <c r="FV9" s="1238"/>
      <c r="FW9" s="1204" t="s">
        <v>123</v>
      </c>
      <c r="FX9" s="1204" t="s">
        <v>123</v>
      </c>
      <c r="FY9" s="1236" t="s">
        <v>123</v>
      </c>
      <c r="FZ9" s="1236"/>
      <c r="GA9" s="1232" t="s">
        <v>123</v>
      </c>
      <c r="GB9" s="1207"/>
      <c r="GC9" s="1207"/>
      <c r="GD9" s="1199" t="str">
        <f t="shared" si="13"/>
        <v/>
      </c>
      <c r="GE9" s="1208"/>
      <c r="GF9" s="1208"/>
      <c r="GG9" s="1234"/>
      <c r="GH9" s="1209"/>
      <c r="GI9" s="1209"/>
      <c r="GJ9" s="1212"/>
      <c r="GK9" s="1238"/>
      <c r="GL9" s="1204" t="s">
        <v>123</v>
      </c>
      <c r="GM9" s="1204" t="s">
        <v>123</v>
      </c>
      <c r="GN9" s="1236" t="s">
        <v>123</v>
      </c>
      <c r="GO9" s="1236"/>
      <c r="GP9" s="1232" t="s">
        <v>123</v>
      </c>
      <c r="GQ9" s="1207"/>
      <c r="GR9" s="1207"/>
      <c r="GS9" s="1199" t="str">
        <f t="shared" si="14"/>
        <v/>
      </c>
      <c r="GT9" s="1208"/>
      <c r="GU9" s="1208"/>
      <c r="GV9" s="1234"/>
      <c r="GW9" s="1209"/>
      <c r="GX9" s="1209"/>
      <c r="GY9" s="1212"/>
      <c r="GZ9" s="1216"/>
      <c r="HA9" s="1204" t="s">
        <v>123</v>
      </c>
      <c r="HB9" s="1204" t="s">
        <v>123</v>
      </c>
      <c r="HC9" s="1236" t="s">
        <v>123</v>
      </c>
      <c r="HD9" s="1236"/>
      <c r="HE9" s="1232" t="s">
        <v>123</v>
      </c>
      <c r="HF9" s="1207"/>
      <c r="HG9" s="1207"/>
      <c r="HH9" s="1199" t="str">
        <f t="shared" si="15"/>
        <v/>
      </c>
      <c r="HI9" s="1208"/>
      <c r="HJ9" s="1208"/>
      <c r="HK9" s="1234"/>
      <c r="HL9" s="1209"/>
      <c r="HM9" s="1253"/>
      <c r="HN9" s="1212"/>
      <c r="HO9" s="1238"/>
      <c r="HP9" s="1204" t="s">
        <v>123</v>
      </c>
      <c r="HQ9" s="1204" t="s">
        <v>123</v>
      </c>
      <c r="HR9" s="1236" t="s">
        <v>123</v>
      </c>
      <c r="HS9" s="1236"/>
      <c r="HT9" s="1232" t="s">
        <v>123</v>
      </c>
      <c r="HU9" s="1207"/>
      <c r="HV9" s="1207"/>
      <c r="HW9" s="1227"/>
    </row>
    <row r="10" ht="15.75" customHeight="1">
      <c r="A10" s="619">
        <v>2.0</v>
      </c>
      <c r="B10" s="730" t="b">
        <v>1</v>
      </c>
      <c r="C10" s="1245" t="str">
        <f>HYPERLINK(ParametrosURL&amp;"/edit"&amp;"#gid="&amp;ParametrosIDAbaCarteira&amp;"range=U2",IF($AB$2="","Carteira #2",$AB$2))</f>
        <v>Carteira #2</v>
      </c>
      <c r="D10" s="1246">
        <v>0.0</v>
      </c>
      <c r="E10" s="1254" t="str">
        <f>IFERROR(__xludf.DUMMYFUNCTION("IF($AB$2="""","""",COUNTUNIQUE(AH$7:AH106)&amp;"" (""&amp;countunique(AI$7:AI106)&amp;"")"")"),"")</f>
        <v/>
      </c>
      <c r="F10" s="1199" t="str">
        <f t="shared" si="1"/>
        <v/>
      </c>
      <c r="G10" s="1208"/>
      <c r="H10" s="1208"/>
      <c r="I10" s="1201"/>
      <c r="J10" s="1209"/>
      <c r="K10" s="1209"/>
      <c r="L10" s="1203"/>
      <c r="M10" s="1203"/>
      <c r="N10" s="1230" t="s">
        <v>123</v>
      </c>
      <c r="O10" s="1230" t="s">
        <v>123</v>
      </c>
      <c r="P10" s="1231" t="s">
        <v>123</v>
      </c>
      <c r="Q10" s="1207"/>
      <c r="R10" s="1207" t="s">
        <v>123</v>
      </c>
      <c r="S10" s="1207"/>
      <c r="T10" s="1207"/>
      <c r="U10" s="1199" t="str">
        <f t="shared" si="2"/>
        <v/>
      </c>
      <c r="V10" s="1208"/>
      <c r="W10" s="1208"/>
      <c r="X10" s="1201"/>
      <c r="Y10" s="1209"/>
      <c r="Z10" s="1209"/>
      <c r="AA10" s="1210"/>
      <c r="AB10" s="1211"/>
      <c r="AC10" s="1204" t="s">
        <v>123</v>
      </c>
      <c r="AD10" s="1204" t="s">
        <v>123</v>
      </c>
      <c r="AE10" s="1205" t="s">
        <v>123</v>
      </c>
      <c r="AF10" s="1206"/>
      <c r="AG10" s="1232" t="s">
        <v>123</v>
      </c>
      <c r="AH10" s="1207"/>
      <c r="AI10" s="1233"/>
      <c r="AJ10" s="1199" t="str">
        <f t="shared" si="3"/>
        <v/>
      </c>
      <c r="AK10" s="1208"/>
      <c r="AL10" s="1200"/>
      <c r="AM10" s="1201"/>
      <c r="AN10" s="1202"/>
      <c r="AO10" s="1202"/>
      <c r="AP10" s="1218"/>
      <c r="AQ10" s="1226"/>
      <c r="AR10" s="1204" t="s">
        <v>123</v>
      </c>
      <c r="AS10" s="1204" t="s">
        <v>123</v>
      </c>
      <c r="AT10" s="1206" t="s">
        <v>123</v>
      </c>
      <c r="AU10" s="1206"/>
      <c r="AV10" s="1232" t="s">
        <v>123</v>
      </c>
      <c r="AW10" s="1233"/>
      <c r="AX10" s="1207"/>
      <c r="AY10" s="1199" t="str">
        <f t="shared" si="4"/>
        <v/>
      </c>
      <c r="AZ10" s="1208"/>
      <c r="BA10" s="1223"/>
      <c r="BB10" s="1234"/>
      <c r="BC10" s="1209"/>
      <c r="BD10" s="1209"/>
      <c r="BE10" s="1212"/>
      <c r="BF10" s="1252"/>
      <c r="BG10" s="1204" t="s">
        <v>123</v>
      </c>
      <c r="BH10" s="1204" t="s">
        <v>123</v>
      </c>
      <c r="BI10" s="1206" t="s">
        <v>123</v>
      </c>
      <c r="BJ10" s="1206"/>
      <c r="BK10" s="1235" t="s">
        <v>123</v>
      </c>
      <c r="BL10" s="1207"/>
      <c r="BM10" s="1207"/>
      <c r="BN10" s="1199" t="str">
        <f t="shared" si="5"/>
        <v/>
      </c>
      <c r="BO10" s="1208"/>
      <c r="BP10" s="1215"/>
      <c r="BQ10" s="1234"/>
      <c r="BR10" s="1209"/>
      <c r="BS10" s="1209"/>
      <c r="BT10" s="1212"/>
      <c r="BU10" s="1238"/>
      <c r="BV10" s="1230" t="s">
        <v>123</v>
      </c>
      <c r="BW10" s="1230" t="s">
        <v>123</v>
      </c>
      <c r="BX10" s="1236" t="s">
        <v>123</v>
      </c>
      <c r="BY10" s="1236"/>
      <c r="BZ10" s="1232" t="s">
        <v>123</v>
      </c>
      <c r="CA10" s="1207"/>
      <c r="CB10" s="1207"/>
      <c r="CC10" s="1199" t="str">
        <f t="shared" si="6"/>
        <v/>
      </c>
      <c r="CD10" s="1208"/>
      <c r="CE10" s="1223"/>
      <c r="CF10" s="1237"/>
      <c r="CG10" s="1224"/>
      <c r="CH10" s="1224"/>
      <c r="CI10" s="1212"/>
      <c r="CJ10" s="1238"/>
      <c r="CK10" s="1230" t="s">
        <v>123</v>
      </c>
      <c r="CL10" s="1230" t="s">
        <v>123</v>
      </c>
      <c r="CM10" s="1206" t="s">
        <v>123</v>
      </c>
      <c r="CN10" s="1239"/>
      <c r="CO10" s="1239" t="s">
        <v>123</v>
      </c>
      <c r="CP10" s="1207"/>
      <c r="CQ10" s="1207"/>
      <c r="CR10" s="1199" t="str">
        <f t="shared" si="7"/>
        <v/>
      </c>
      <c r="CS10" s="1208"/>
      <c r="CT10" s="1223"/>
      <c r="CU10" s="1234"/>
      <c r="CV10" s="1209"/>
      <c r="CW10" s="1209"/>
      <c r="CX10" s="1240"/>
      <c r="CY10" s="1242"/>
      <c r="CZ10" s="1230" t="s">
        <v>123</v>
      </c>
      <c r="DA10" s="1230" t="s">
        <v>123</v>
      </c>
      <c r="DB10" s="1206" t="s">
        <v>123</v>
      </c>
      <c r="DC10" s="1239"/>
      <c r="DD10" s="1239" t="s">
        <v>123</v>
      </c>
      <c r="DE10" s="1207"/>
      <c r="DF10" s="1207"/>
      <c r="DG10" s="1199" t="str">
        <f t="shared" si="8"/>
        <v/>
      </c>
      <c r="DH10" s="1208"/>
      <c r="DI10" s="1223"/>
      <c r="DJ10" s="1222"/>
      <c r="DK10" s="1224"/>
      <c r="DL10" s="1209"/>
      <c r="DM10" s="1212"/>
      <c r="DN10" s="1242"/>
      <c r="DO10" s="1230" t="s">
        <v>123</v>
      </c>
      <c r="DP10" s="1230" t="s">
        <v>123</v>
      </c>
      <c r="DQ10" s="1206" t="s">
        <v>123</v>
      </c>
      <c r="DR10" s="1206"/>
      <c r="DS10" s="1239" t="s">
        <v>123</v>
      </c>
      <c r="DT10" s="1207"/>
      <c r="DU10" s="1207"/>
      <c r="DV10" s="1199" t="str">
        <f t="shared" si="9"/>
        <v/>
      </c>
      <c r="DW10" s="1208"/>
      <c r="DX10" s="1223"/>
      <c r="DY10" s="1234"/>
      <c r="DZ10" s="1209"/>
      <c r="EA10" s="1209"/>
      <c r="EB10" s="1212"/>
      <c r="EC10" s="1242"/>
      <c r="ED10" s="1230" t="s">
        <v>123</v>
      </c>
      <c r="EE10" s="1230" t="s">
        <v>123</v>
      </c>
      <c r="EF10" s="1206" t="s">
        <v>123</v>
      </c>
      <c r="EG10" s="1206"/>
      <c r="EH10" s="1232" t="s">
        <v>123</v>
      </c>
      <c r="EI10" s="1207"/>
      <c r="EJ10" s="1207"/>
      <c r="EK10" s="1199" t="str">
        <f t="shared" si="10"/>
        <v/>
      </c>
      <c r="EL10" s="1208"/>
      <c r="EM10" s="1208"/>
      <c r="EN10" s="1243"/>
      <c r="EO10" s="1224"/>
      <c r="EP10" s="1224"/>
      <c r="EQ10" s="1212"/>
      <c r="ER10" s="1242"/>
      <c r="ES10" s="1230" t="s">
        <v>123</v>
      </c>
      <c r="ET10" s="1230" t="s">
        <v>123</v>
      </c>
      <c r="EU10" s="1206" t="s">
        <v>123</v>
      </c>
      <c r="EV10" s="1206"/>
      <c r="EW10" s="1232" t="s">
        <v>123</v>
      </c>
      <c r="EX10" s="1207"/>
      <c r="EY10" s="1207"/>
      <c r="EZ10" s="1199" t="str">
        <f t="shared" si="11"/>
        <v/>
      </c>
      <c r="FA10" s="1208"/>
      <c r="FB10" s="1208"/>
      <c r="FC10" s="1243"/>
      <c r="FD10" s="1224"/>
      <c r="FE10" s="1224"/>
      <c r="FF10" s="1212"/>
      <c r="FG10" s="1241"/>
      <c r="FH10" s="1230" t="s">
        <v>123</v>
      </c>
      <c r="FI10" s="1230" t="s">
        <v>123</v>
      </c>
      <c r="FJ10" s="1206" t="s">
        <v>123</v>
      </c>
      <c r="FK10" s="1206"/>
      <c r="FL10" s="1232" t="s">
        <v>123</v>
      </c>
      <c r="FM10" s="1207"/>
      <c r="FN10" s="1207"/>
      <c r="FO10" s="1199" t="str">
        <f t="shared" si="12"/>
        <v/>
      </c>
      <c r="FP10" s="1208"/>
      <c r="FQ10" s="1208"/>
      <c r="FR10" s="1234"/>
      <c r="FS10" s="1209"/>
      <c r="FT10" s="1209"/>
      <c r="FU10" s="1212"/>
      <c r="FV10" s="1238"/>
      <c r="FW10" s="1204" t="s">
        <v>123</v>
      </c>
      <c r="FX10" s="1204" t="s">
        <v>123</v>
      </c>
      <c r="FY10" s="1236" t="s">
        <v>123</v>
      </c>
      <c r="FZ10" s="1236"/>
      <c r="GA10" s="1232" t="s">
        <v>123</v>
      </c>
      <c r="GB10" s="1207"/>
      <c r="GC10" s="1207"/>
      <c r="GD10" s="1199" t="str">
        <f t="shared" si="13"/>
        <v/>
      </c>
      <c r="GE10" s="1208"/>
      <c r="GF10" s="1208"/>
      <c r="GG10" s="1234"/>
      <c r="GH10" s="1209"/>
      <c r="GI10" s="1209"/>
      <c r="GJ10" s="1212"/>
      <c r="GK10" s="1238"/>
      <c r="GL10" s="1204" t="s">
        <v>123</v>
      </c>
      <c r="GM10" s="1204" t="s">
        <v>123</v>
      </c>
      <c r="GN10" s="1236" t="s">
        <v>123</v>
      </c>
      <c r="GO10" s="1236"/>
      <c r="GP10" s="1232" t="s">
        <v>123</v>
      </c>
      <c r="GQ10" s="1207"/>
      <c r="GR10" s="1207"/>
      <c r="GS10" s="1199" t="str">
        <f t="shared" si="14"/>
        <v/>
      </c>
      <c r="GT10" s="1208"/>
      <c r="GU10" s="1208"/>
      <c r="GV10" s="1234"/>
      <c r="GW10" s="1209"/>
      <c r="GX10" s="1209"/>
      <c r="GY10" s="1212"/>
      <c r="GZ10" s="1238"/>
      <c r="HA10" s="1204" t="s">
        <v>123</v>
      </c>
      <c r="HB10" s="1204" t="s">
        <v>123</v>
      </c>
      <c r="HC10" s="1236" t="s">
        <v>123</v>
      </c>
      <c r="HD10" s="1236"/>
      <c r="HE10" s="1232" t="s">
        <v>123</v>
      </c>
      <c r="HF10" s="1207"/>
      <c r="HG10" s="1207"/>
      <c r="HH10" s="1199" t="str">
        <f t="shared" si="15"/>
        <v/>
      </c>
      <c r="HI10" s="1208"/>
      <c r="HJ10" s="1208"/>
      <c r="HK10" s="1234"/>
      <c r="HL10" s="1209"/>
      <c r="HM10" s="1209"/>
      <c r="HN10" s="1212"/>
      <c r="HO10" s="1238"/>
      <c r="HP10" s="1204" t="s">
        <v>123</v>
      </c>
      <c r="HQ10" s="1204" t="s">
        <v>123</v>
      </c>
      <c r="HR10" s="1236" t="s">
        <v>123</v>
      </c>
      <c r="HS10" s="1236"/>
      <c r="HT10" s="1232" t="s">
        <v>123</v>
      </c>
      <c r="HU10" s="1207"/>
      <c r="HV10" s="1207"/>
      <c r="HW10" s="1227"/>
    </row>
    <row r="11" ht="15.75" customHeight="1">
      <c r="A11" s="619">
        <v>3.0</v>
      </c>
      <c r="B11" s="730" t="b">
        <v>1</v>
      </c>
      <c r="C11" s="1245" t="str">
        <f>HYPERLINK(ParametrosURL&amp;"/edit"&amp;"#gid="&amp;ParametrosIDAbaCarteira&amp;"range=AJ2",IF($AQ$2="","Carteira #3",$AQ$2))</f>
        <v>Carteira #3</v>
      </c>
      <c r="D11" s="1246">
        <v>0.0</v>
      </c>
      <c r="E11" s="1254" t="str">
        <f>IFERROR(__xludf.DUMMYFUNCTION("IF($AQ$2="""","""",COUNTUNIQUE(AW$7:AW106)&amp;"" (""&amp;countunique(AX$7:AX106)&amp;"")"")"),"")</f>
        <v/>
      </c>
      <c r="F11" s="1199" t="str">
        <f t="shared" si="1"/>
        <v/>
      </c>
      <c r="G11" s="1208"/>
      <c r="H11" s="1208"/>
      <c r="I11" s="1201"/>
      <c r="J11" s="1209"/>
      <c r="K11" s="1209"/>
      <c r="L11" s="1203"/>
      <c r="M11" s="1203"/>
      <c r="N11" s="1230" t="s">
        <v>123</v>
      </c>
      <c r="O11" s="1230" t="s">
        <v>123</v>
      </c>
      <c r="P11" s="1231" t="s">
        <v>123</v>
      </c>
      <c r="Q11" s="1207"/>
      <c r="R11" s="1207" t="s">
        <v>123</v>
      </c>
      <c r="S11" s="1207"/>
      <c r="T11" s="1207"/>
      <c r="U11" s="1199" t="str">
        <f t="shared" si="2"/>
        <v/>
      </c>
      <c r="V11" s="1208"/>
      <c r="W11" s="1208"/>
      <c r="X11" s="1201"/>
      <c r="Y11" s="1209"/>
      <c r="Z11" s="1209"/>
      <c r="AA11" s="1210"/>
      <c r="AB11" s="1211"/>
      <c r="AC11" s="1204" t="s">
        <v>123</v>
      </c>
      <c r="AD11" s="1204" t="s">
        <v>123</v>
      </c>
      <c r="AE11" s="1205" t="s">
        <v>123</v>
      </c>
      <c r="AF11" s="1206"/>
      <c r="AG11" s="1232" t="s">
        <v>123</v>
      </c>
      <c r="AH11" s="1207"/>
      <c r="AI11" s="1233"/>
      <c r="AJ11" s="1199" t="str">
        <f t="shared" si="3"/>
        <v/>
      </c>
      <c r="AK11" s="1208"/>
      <c r="AL11" s="1200"/>
      <c r="AM11" s="1201"/>
      <c r="AN11" s="1202"/>
      <c r="AO11" s="1202"/>
      <c r="AP11" s="1218"/>
      <c r="AQ11" s="1211"/>
      <c r="AR11" s="1204" t="s">
        <v>123</v>
      </c>
      <c r="AS11" s="1204" t="s">
        <v>123</v>
      </c>
      <c r="AT11" s="1206" t="s">
        <v>123</v>
      </c>
      <c r="AU11" s="1206"/>
      <c r="AV11" s="1232" t="s">
        <v>123</v>
      </c>
      <c r="AW11" s="1233"/>
      <c r="AX11" s="1207"/>
      <c r="AY11" s="1199" t="str">
        <f t="shared" si="4"/>
        <v/>
      </c>
      <c r="AZ11" s="1208"/>
      <c r="BA11" s="1223"/>
      <c r="BB11" s="1234"/>
      <c r="BC11" s="1209"/>
      <c r="BD11" s="1209"/>
      <c r="BE11" s="1212"/>
      <c r="BF11" s="1252"/>
      <c r="BG11" s="1204" t="s">
        <v>123</v>
      </c>
      <c r="BH11" s="1204" t="s">
        <v>123</v>
      </c>
      <c r="BI11" s="1206" t="s">
        <v>123</v>
      </c>
      <c r="BJ11" s="1206"/>
      <c r="BK11" s="1235" t="s">
        <v>123</v>
      </c>
      <c r="BL11" s="1207"/>
      <c r="BM11" s="1207"/>
      <c r="BN11" s="1199" t="str">
        <f t="shared" si="5"/>
        <v/>
      </c>
      <c r="BO11" s="1208"/>
      <c r="BP11" s="1215"/>
      <c r="BQ11" s="1234"/>
      <c r="BR11" s="1209"/>
      <c r="BS11" s="1209"/>
      <c r="BT11" s="1212"/>
      <c r="BU11" s="1238"/>
      <c r="BV11" s="1230" t="s">
        <v>123</v>
      </c>
      <c r="BW11" s="1230" t="s">
        <v>123</v>
      </c>
      <c r="BX11" s="1236" t="s">
        <v>123</v>
      </c>
      <c r="BY11" s="1236"/>
      <c r="BZ11" s="1232" t="s">
        <v>123</v>
      </c>
      <c r="CA11" s="1207"/>
      <c r="CB11" s="1207"/>
      <c r="CC11" s="1199" t="str">
        <f t="shared" si="6"/>
        <v/>
      </c>
      <c r="CD11" s="1208"/>
      <c r="CE11" s="1223"/>
      <c r="CF11" s="1237"/>
      <c r="CG11" s="1224"/>
      <c r="CH11" s="1224"/>
      <c r="CI11" s="1212"/>
      <c r="CJ11" s="1238"/>
      <c r="CK11" s="1230" t="s">
        <v>123</v>
      </c>
      <c r="CL11" s="1230" t="s">
        <v>123</v>
      </c>
      <c r="CM11" s="1206" t="s">
        <v>123</v>
      </c>
      <c r="CN11" s="1239"/>
      <c r="CO11" s="1239" t="s">
        <v>123</v>
      </c>
      <c r="CP11" s="1207"/>
      <c r="CQ11" s="1207"/>
      <c r="CR11" s="1199" t="str">
        <f t="shared" si="7"/>
        <v/>
      </c>
      <c r="CS11" s="1208"/>
      <c r="CT11" s="1223"/>
      <c r="CU11" s="1234"/>
      <c r="CV11" s="1209"/>
      <c r="CW11" s="1209"/>
      <c r="CX11" s="1240"/>
      <c r="CY11" s="1242"/>
      <c r="CZ11" s="1230" t="s">
        <v>123</v>
      </c>
      <c r="DA11" s="1230" t="s">
        <v>123</v>
      </c>
      <c r="DB11" s="1206" t="s">
        <v>123</v>
      </c>
      <c r="DC11" s="1239"/>
      <c r="DD11" s="1239" t="s">
        <v>123</v>
      </c>
      <c r="DE11" s="1207"/>
      <c r="DF11" s="1207"/>
      <c r="DG11" s="1199" t="str">
        <f t="shared" si="8"/>
        <v/>
      </c>
      <c r="DH11" s="1208"/>
      <c r="DI11" s="1223"/>
      <c r="DJ11" s="1222"/>
      <c r="DK11" s="1224"/>
      <c r="DL11" s="1209"/>
      <c r="DM11" s="1212"/>
      <c r="DN11" s="1241"/>
      <c r="DO11" s="1230" t="s">
        <v>123</v>
      </c>
      <c r="DP11" s="1230" t="s">
        <v>123</v>
      </c>
      <c r="DQ11" s="1206" t="s">
        <v>123</v>
      </c>
      <c r="DR11" s="1206"/>
      <c r="DS11" s="1239" t="s">
        <v>123</v>
      </c>
      <c r="DT11" s="1207"/>
      <c r="DU11" s="1207"/>
      <c r="DV11" s="1199" t="str">
        <f t="shared" si="9"/>
        <v/>
      </c>
      <c r="DW11" s="1208"/>
      <c r="DX11" s="1223"/>
      <c r="DY11" s="1234"/>
      <c r="DZ11" s="1209"/>
      <c r="EA11" s="1209"/>
      <c r="EB11" s="1212"/>
      <c r="EC11" s="1242"/>
      <c r="ED11" s="1230" t="s">
        <v>123</v>
      </c>
      <c r="EE11" s="1230" t="s">
        <v>123</v>
      </c>
      <c r="EF11" s="1206" t="s">
        <v>123</v>
      </c>
      <c r="EG11" s="1206"/>
      <c r="EH11" s="1232" t="s">
        <v>123</v>
      </c>
      <c r="EI11" s="1207"/>
      <c r="EJ11" s="1207"/>
      <c r="EK11" s="1199" t="str">
        <f t="shared" si="10"/>
        <v/>
      </c>
      <c r="EL11" s="1208"/>
      <c r="EM11" s="1208"/>
      <c r="EN11" s="1243"/>
      <c r="EO11" s="1224"/>
      <c r="EP11" s="1224"/>
      <c r="EQ11" s="1212"/>
      <c r="ER11" s="1242"/>
      <c r="ES11" s="1230" t="s">
        <v>123</v>
      </c>
      <c r="ET11" s="1230" t="s">
        <v>123</v>
      </c>
      <c r="EU11" s="1206" t="s">
        <v>123</v>
      </c>
      <c r="EV11" s="1206"/>
      <c r="EW11" s="1232" t="s">
        <v>123</v>
      </c>
      <c r="EX11" s="1207"/>
      <c r="EY11" s="1207"/>
      <c r="EZ11" s="1199" t="str">
        <f t="shared" si="11"/>
        <v/>
      </c>
      <c r="FA11" s="1208"/>
      <c r="FB11" s="1208"/>
      <c r="FC11" s="1234"/>
      <c r="FD11" s="1209"/>
      <c r="FE11" s="1209"/>
      <c r="FF11" s="1212"/>
      <c r="FG11" s="1255"/>
      <c r="FH11" s="1230" t="s">
        <v>123</v>
      </c>
      <c r="FI11" s="1230" t="s">
        <v>123</v>
      </c>
      <c r="FJ11" s="1206" t="s">
        <v>123</v>
      </c>
      <c r="FK11" s="1206"/>
      <c r="FL11" s="1232" t="s">
        <v>123</v>
      </c>
      <c r="FM11" s="1207"/>
      <c r="FN11" s="1207"/>
      <c r="FO11" s="1199" t="str">
        <f t="shared" si="12"/>
        <v/>
      </c>
      <c r="FP11" s="1208"/>
      <c r="FQ11" s="1208"/>
      <c r="FR11" s="1234"/>
      <c r="FS11" s="1209"/>
      <c r="FT11" s="1209"/>
      <c r="FU11" s="1212"/>
      <c r="FV11" s="1238"/>
      <c r="FW11" s="1204" t="s">
        <v>123</v>
      </c>
      <c r="FX11" s="1204" t="s">
        <v>123</v>
      </c>
      <c r="FY11" s="1236" t="s">
        <v>123</v>
      </c>
      <c r="FZ11" s="1236"/>
      <c r="GA11" s="1232" t="s">
        <v>123</v>
      </c>
      <c r="GB11" s="1207"/>
      <c r="GC11" s="1207"/>
      <c r="GD11" s="1199" t="str">
        <f t="shared" si="13"/>
        <v/>
      </c>
      <c r="GE11" s="1208"/>
      <c r="GF11" s="1208"/>
      <c r="GG11" s="1234"/>
      <c r="GH11" s="1209"/>
      <c r="GI11" s="1209"/>
      <c r="GJ11" s="1212"/>
      <c r="GK11" s="1238"/>
      <c r="GL11" s="1204" t="s">
        <v>123</v>
      </c>
      <c r="GM11" s="1204" t="s">
        <v>123</v>
      </c>
      <c r="GN11" s="1236" t="s">
        <v>123</v>
      </c>
      <c r="GO11" s="1236"/>
      <c r="GP11" s="1232" t="s">
        <v>123</v>
      </c>
      <c r="GQ11" s="1207"/>
      <c r="GR11" s="1207"/>
      <c r="GS11" s="1199" t="str">
        <f t="shared" si="14"/>
        <v/>
      </c>
      <c r="GT11" s="1208"/>
      <c r="GU11" s="1208"/>
      <c r="GV11" s="1234"/>
      <c r="GW11" s="1209"/>
      <c r="GX11" s="1209"/>
      <c r="GY11" s="1212"/>
      <c r="GZ11" s="1238"/>
      <c r="HA11" s="1204" t="s">
        <v>123</v>
      </c>
      <c r="HB11" s="1204" t="s">
        <v>123</v>
      </c>
      <c r="HC11" s="1236" t="s">
        <v>123</v>
      </c>
      <c r="HD11" s="1236"/>
      <c r="HE11" s="1232" t="s">
        <v>123</v>
      </c>
      <c r="HF11" s="1207"/>
      <c r="HG11" s="1207"/>
      <c r="HH11" s="1199" t="str">
        <f t="shared" si="15"/>
        <v/>
      </c>
      <c r="HI11" s="1208"/>
      <c r="HJ11" s="1208"/>
      <c r="HK11" s="1234"/>
      <c r="HL11" s="1209"/>
      <c r="HM11" s="1209"/>
      <c r="HN11" s="1212"/>
      <c r="HO11" s="1238"/>
      <c r="HP11" s="1204" t="s">
        <v>123</v>
      </c>
      <c r="HQ11" s="1204" t="s">
        <v>123</v>
      </c>
      <c r="HR11" s="1236" t="s">
        <v>123</v>
      </c>
      <c r="HS11" s="1236"/>
      <c r="HT11" s="1232" t="s">
        <v>123</v>
      </c>
      <c r="HU11" s="1207"/>
      <c r="HV11" s="1207"/>
      <c r="HW11" s="1227"/>
    </row>
    <row r="12" ht="15.75" customHeight="1">
      <c r="A12" s="619">
        <v>4.0</v>
      </c>
      <c r="B12" s="730" t="b">
        <v>1</v>
      </c>
      <c r="C12" s="1245" t="str">
        <f>HYPERLINK(ParametrosURL&amp;"/edit"&amp;"#gid="&amp;ParametrosIDAbaCarteira&amp;"range=AY2",IF($BF$2="","Carteira #4",$BF$2))</f>
        <v>Carteira #4</v>
      </c>
      <c r="D12" s="1246">
        <v>0.0</v>
      </c>
      <c r="E12" s="1254" t="str">
        <f>IFERROR(__xludf.DUMMYFUNCTION("IF($BF$2="""","""",COUNTUNIQUE(BL$7:BL106)&amp;"" (""&amp;countunique(BM$7:BM106)&amp;"")"")"),"")</f>
        <v/>
      </c>
      <c r="F12" s="1199" t="str">
        <f t="shared" si="1"/>
        <v/>
      </c>
      <c r="G12" s="1223"/>
      <c r="H12" s="1223"/>
      <c r="I12" s="1201"/>
      <c r="J12" s="1209"/>
      <c r="K12" s="1209"/>
      <c r="L12" s="1203"/>
      <c r="M12" s="1203"/>
      <c r="N12" s="1230" t="s">
        <v>123</v>
      </c>
      <c r="O12" s="1230" t="s">
        <v>123</v>
      </c>
      <c r="P12" s="1231" t="s">
        <v>123</v>
      </c>
      <c r="Q12" s="1207"/>
      <c r="R12" s="1207" t="s">
        <v>123</v>
      </c>
      <c r="S12" s="1207"/>
      <c r="T12" s="1207"/>
      <c r="U12" s="1199" t="str">
        <f t="shared" si="2"/>
        <v/>
      </c>
      <c r="V12" s="1208"/>
      <c r="W12" s="1208"/>
      <c r="X12" s="1201"/>
      <c r="Y12" s="1209"/>
      <c r="Z12" s="1209"/>
      <c r="AA12" s="1210"/>
      <c r="AB12" s="1211"/>
      <c r="AC12" s="1204" t="s">
        <v>123</v>
      </c>
      <c r="AD12" s="1204" t="s">
        <v>123</v>
      </c>
      <c r="AE12" s="1205" t="s">
        <v>123</v>
      </c>
      <c r="AF12" s="1206"/>
      <c r="AG12" s="1232" t="s">
        <v>123</v>
      </c>
      <c r="AH12" s="1207"/>
      <c r="AI12" s="1233"/>
      <c r="AJ12" s="1199" t="str">
        <f t="shared" si="3"/>
        <v/>
      </c>
      <c r="AK12" s="1208"/>
      <c r="AL12" s="1208"/>
      <c r="AM12" s="1201"/>
      <c r="AN12" s="1209"/>
      <c r="AO12" s="1209"/>
      <c r="AP12" s="1212"/>
      <c r="AQ12" s="1211"/>
      <c r="AR12" s="1204" t="s">
        <v>123</v>
      </c>
      <c r="AS12" s="1204" t="s">
        <v>123</v>
      </c>
      <c r="AT12" s="1206" t="s">
        <v>123</v>
      </c>
      <c r="AU12" s="1206"/>
      <c r="AV12" s="1232" t="s">
        <v>123</v>
      </c>
      <c r="AW12" s="1233"/>
      <c r="AX12" s="1207"/>
      <c r="AY12" s="1199" t="str">
        <f t="shared" si="4"/>
        <v/>
      </c>
      <c r="AZ12" s="1208"/>
      <c r="BA12" s="1223"/>
      <c r="BB12" s="1234"/>
      <c r="BC12" s="1209"/>
      <c r="BD12" s="1209"/>
      <c r="BE12" s="1212"/>
      <c r="BF12" s="1252"/>
      <c r="BG12" s="1204" t="s">
        <v>123</v>
      </c>
      <c r="BH12" s="1204" t="s">
        <v>123</v>
      </c>
      <c r="BI12" s="1206" t="s">
        <v>123</v>
      </c>
      <c r="BJ12" s="1206"/>
      <c r="BK12" s="1235" t="s">
        <v>123</v>
      </c>
      <c r="BL12" s="1207"/>
      <c r="BM12" s="1207"/>
      <c r="BN12" s="1199" t="str">
        <f t="shared" si="5"/>
        <v/>
      </c>
      <c r="BO12" s="1208"/>
      <c r="BP12" s="1215"/>
      <c r="BQ12" s="1234"/>
      <c r="BR12" s="1224"/>
      <c r="BS12" s="1209"/>
      <c r="BT12" s="1212"/>
      <c r="BU12" s="1238"/>
      <c r="BV12" s="1230" t="s">
        <v>123</v>
      </c>
      <c r="BW12" s="1230" t="s">
        <v>123</v>
      </c>
      <c r="BX12" s="1236" t="s">
        <v>123</v>
      </c>
      <c r="BY12" s="1236"/>
      <c r="BZ12" s="1232" t="s">
        <v>123</v>
      </c>
      <c r="CA12" s="1207"/>
      <c r="CB12" s="1207"/>
      <c r="CC12" s="1199" t="str">
        <f t="shared" si="6"/>
        <v/>
      </c>
      <c r="CD12" s="1208"/>
      <c r="CE12" s="1223"/>
      <c r="CF12" s="1237"/>
      <c r="CG12" s="1224"/>
      <c r="CH12" s="1224"/>
      <c r="CI12" s="1212"/>
      <c r="CJ12" s="1211"/>
      <c r="CK12" s="1230" t="s">
        <v>123</v>
      </c>
      <c r="CL12" s="1230" t="s">
        <v>123</v>
      </c>
      <c r="CM12" s="1206" t="s">
        <v>123</v>
      </c>
      <c r="CN12" s="1239"/>
      <c r="CO12" s="1239" t="s">
        <v>123</v>
      </c>
      <c r="CP12" s="1207"/>
      <c r="CQ12" s="1207"/>
      <c r="CR12" s="1199" t="str">
        <f t="shared" si="7"/>
        <v/>
      </c>
      <c r="CS12" s="1208"/>
      <c r="CT12" s="1223"/>
      <c r="CU12" s="1234"/>
      <c r="CV12" s="1224"/>
      <c r="CW12" s="1209"/>
      <c r="CX12" s="1256"/>
      <c r="CY12" s="1242"/>
      <c r="CZ12" s="1230" t="s">
        <v>123</v>
      </c>
      <c r="DA12" s="1230" t="s">
        <v>123</v>
      </c>
      <c r="DB12" s="1206" t="s">
        <v>123</v>
      </c>
      <c r="DC12" s="1239"/>
      <c r="DD12" s="1239" t="s">
        <v>123</v>
      </c>
      <c r="DE12" s="1207"/>
      <c r="DF12" s="1207"/>
      <c r="DG12" s="1199" t="str">
        <f t="shared" si="8"/>
        <v/>
      </c>
      <c r="DH12" s="1208"/>
      <c r="DI12" s="1223"/>
      <c r="DJ12" s="1222"/>
      <c r="DK12" s="1224"/>
      <c r="DL12" s="1209"/>
      <c r="DM12" s="1212"/>
      <c r="DN12" s="1241"/>
      <c r="DO12" s="1230" t="s">
        <v>123</v>
      </c>
      <c r="DP12" s="1230" t="s">
        <v>123</v>
      </c>
      <c r="DQ12" s="1206" t="s">
        <v>123</v>
      </c>
      <c r="DR12" s="1206"/>
      <c r="DS12" s="1239" t="s">
        <v>123</v>
      </c>
      <c r="DT12" s="1207"/>
      <c r="DU12" s="1207"/>
      <c r="DV12" s="1199" t="str">
        <f t="shared" si="9"/>
        <v/>
      </c>
      <c r="DW12" s="1208"/>
      <c r="DX12" s="1223"/>
      <c r="DY12" s="1234"/>
      <c r="DZ12" s="1209"/>
      <c r="EA12" s="1209"/>
      <c r="EB12" s="1212"/>
      <c r="EC12" s="1242"/>
      <c r="ED12" s="1230" t="s">
        <v>123</v>
      </c>
      <c r="EE12" s="1230" t="s">
        <v>123</v>
      </c>
      <c r="EF12" s="1206" t="s">
        <v>123</v>
      </c>
      <c r="EG12" s="1206"/>
      <c r="EH12" s="1232" t="s">
        <v>123</v>
      </c>
      <c r="EI12" s="1207"/>
      <c r="EJ12" s="1207"/>
      <c r="EK12" s="1199" t="str">
        <f t="shared" si="10"/>
        <v/>
      </c>
      <c r="EL12" s="1208"/>
      <c r="EM12" s="1223"/>
      <c r="EN12" s="1243"/>
      <c r="EO12" s="1217"/>
      <c r="EP12" s="1217"/>
      <c r="EQ12" s="1218"/>
      <c r="ER12" s="1242"/>
      <c r="ES12" s="1230" t="s">
        <v>123</v>
      </c>
      <c r="ET12" s="1230" t="s">
        <v>123</v>
      </c>
      <c r="EU12" s="1206" t="s">
        <v>123</v>
      </c>
      <c r="EV12" s="1206"/>
      <c r="EW12" s="1232" t="s">
        <v>123</v>
      </c>
      <c r="EX12" s="1207"/>
      <c r="EY12" s="1207"/>
      <c r="EZ12" s="1199" t="str">
        <f t="shared" si="11"/>
        <v/>
      </c>
      <c r="FA12" s="1208"/>
      <c r="FB12" s="1208"/>
      <c r="FC12" s="1243"/>
      <c r="FD12" s="1224"/>
      <c r="FE12" s="1224"/>
      <c r="FF12" s="1212"/>
      <c r="FG12" s="1242"/>
      <c r="FH12" s="1230" t="s">
        <v>123</v>
      </c>
      <c r="FI12" s="1230" t="s">
        <v>123</v>
      </c>
      <c r="FJ12" s="1206" t="s">
        <v>123</v>
      </c>
      <c r="FK12" s="1206"/>
      <c r="FL12" s="1232" t="s">
        <v>123</v>
      </c>
      <c r="FM12" s="1207"/>
      <c r="FN12" s="1207"/>
      <c r="FO12" s="1199" t="str">
        <f t="shared" si="12"/>
        <v/>
      </c>
      <c r="FP12" s="1208"/>
      <c r="FQ12" s="1208"/>
      <c r="FR12" s="1243"/>
      <c r="FS12" s="1224"/>
      <c r="FT12" s="1209"/>
      <c r="FU12" s="1212"/>
      <c r="FV12" s="1238"/>
      <c r="FW12" s="1204" t="s">
        <v>123</v>
      </c>
      <c r="FX12" s="1204" t="s">
        <v>123</v>
      </c>
      <c r="FY12" s="1236" t="s">
        <v>123</v>
      </c>
      <c r="FZ12" s="1236"/>
      <c r="GA12" s="1232" t="s">
        <v>123</v>
      </c>
      <c r="GB12" s="1207"/>
      <c r="GC12" s="1207"/>
      <c r="GD12" s="1199" t="str">
        <f t="shared" si="13"/>
        <v/>
      </c>
      <c r="GE12" s="1208"/>
      <c r="GF12" s="1208"/>
      <c r="GG12" s="1234"/>
      <c r="GH12" s="1209"/>
      <c r="GI12" s="1209"/>
      <c r="GJ12" s="1212"/>
      <c r="GK12" s="1238"/>
      <c r="GL12" s="1204" t="s">
        <v>123</v>
      </c>
      <c r="GM12" s="1204" t="s">
        <v>123</v>
      </c>
      <c r="GN12" s="1236" t="s">
        <v>123</v>
      </c>
      <c r="GO12" s="1236"/>
      <c r="GP12" s="1232" t="s">
        <v>123</v>
      </c>
      <c r="GQ12" s="1207"/>
      <c r="GR12" s="1207"/>
      <c r="GS12" s="1199" t="str">
        <f t="shared" si="14"/>
        <v/>
      </c>
      <c r="GT12" s="1208"/>
      <c r="GU12" s="1208"/>
      <c r="GV12" s="1234"/>
      <c r="GW12" s="1209"/>
      <c r="GX12" s="1209"/>
      <c r="GY12" s="1212"/>
      <c r="GZ12" s="1238"/>
      <c r="HA12" s="1204" t="s">
        <v>123</v>
      </c>
      <c r="HB12" s="1204" t="s">
        <v>123</v>
      </c>
      <c r="HC12" s="1236" t="s">
        <v>123</v>
      </c>
      <c r="HD12" s="1236"/>
      <c r="HE12" s="1232" t="s">
        <v>123</v>
      </c>
      <c r="HF12" s="1207"/>
      <c r="HG12" s="1207"/>
      <c r="HH12" s="1199" t="str">
        <f t="shared" si="15"/>
        <v/>
      </c>
      <c r="HI12" s="1208"/>
      <c r="HJ12" s="1208"/>
      <c r="HK12" s="1234"/>
      <c r="HL12" s="1209"/>
      <c r="HM12" s="1209"/>
      <c r="HN12" s="1212"/>
      <c r="HO12" s="1238"/>
      <c r="HP12" s="1204" t="s">
        <v>123</v>
      </c>
      <c r="HQ12" s="1204" t="s">
        <v>123</v>
      </c>
      <c r="HR12" s="1236" t="s">
        <v>123</v>
      </c>
      <c r="HS12" s="1236"/>
      <c r="HT12" s="1232" t="s">
        <v>123</v>
      </c>
      <c r="HU12" s="1207"/>
      <c r="HV12" s="1207"/>
      <c r="HW12" s="1227"/>
    </row>
    <row r="13" ht="15.75" customHeight="1">
      <c r="A13" s="619">
        <v>5.0</v>
      </c>
      <c r="B13" s="730" t="b">
        <v>1</v>
      </c>
      <c r="C13" s="1245" t="str">
        <f>HYPERLINK(ParametrosURL&amp;"/edit"&amp;"#gid="&amp;ParametrosIDAbaCarteira&amp;"range=BN2",IF($BU$2="","Carteira #5",$BU$2))</f>
        <v>Carteira #5</v>
      </c>
      <c r="D13" s="1246">
        <v>0.0</v>
      </c>
      <c r="E13" s="1254" t="str">
        <f>IFERROR(__xludf.DUMMYFUNCTION("IF($BU$2="""","""",COUNTUNIQUE(CA$7:CA106)&amp;"" (""&amp;countunique(CB$7:CB106)&amp;"")"")"),"")</f>
        <v/>
      </c>
      <c r="F13" s="1199" t="str">
        <f t="shared" si="1"/>
        <v/>
      </c>
      <c r="G13" s="1200"/>
      <c r="H13" s="1200"/>
      <c r="I13" s="1201"/>
      <c r="J13" s="1202"/>
      <c r="K13" s="1202"/>
      <c r="L13" s="1203"/>
      <c r="M13" s="1203"/>
      <c r="N13" s="1230" t="s">
        <v>123</v>
      </c>
      <c r="O13" s="1230" t="s">
        <v>123</v>
      </c>
      <c r="P13" s="1231" t="s">
        <v>123</v>
      </c>
      <c r="Q13" s="1207"/>
      <c r="R13" s="1207" t="s">
        <v>123</v>
      </c>
      <c r="S13" s="1207"/>
      <c r="T13" s="1207"/>
      <c r="U13" s="1199" t="str">
        <f t="shared" si="2"/>
        <v/>
      </c>
      <c r="V13" s="1208"/>
      <c r="W13" s="1208"/>
      <c r="X13" s="1201"/>
      <c r="Y13" s="1209"/>
      <c r="Z13" s="1209"/>
      <c r="AA13" s="1210"/>
      <c r="AB13" s="1211"/>
      <c r="AC13" s="1204" t="s">
        <v>123</v>
      </c>
      <c r="AD13" s="1204" t="s">
        <v>123</v>
      </c>
      <c r="AE13" s="1205" t="s">
        <v>123</v>
      </c>
      <c r="AF13" s="1206"/>
      <c r="AG13" s="1232" t="s">
        <v>123</v>
      </c>
      <c r="AH13" s="1207"/>
      <c r="AI13" s="1233"/>
      <c r="AJ13" s="1199" t="str">
        <f t="shared" si="3"/>
        <v/>
      </c>
      <c r="AK13" s="1208"/>
      <c r="AL13" s="1208"/>
      <c r="AM13" s="1201"/>
      <c r="AN13" s="1209"/>
      <c r="AO13" s="1209"/>
      <c r="AP13" s="1212"/>
      <c r="AQ13" s="1211"/>
      <c r="AR13" s="1204" t="s">
        <v>123</v>
      </c>
      <c r="AS13" s="1204" t="s">
        <v>123</v>
      </c>
      <c r="AT13" s="1206" t="s">
        <v>123</v>
      </c>
      <c r="AU13" s="1206"/>
      <c r="AV13" s="1232" t="s">
        <v>123</v>
      </c>
      <c r="AW13" s="1233"/>
      <c r="AX13" s="1207"/>
      <c r="AY13" s="1199" t="str">
        <f t="shared" si="4"/>
        <v/>
      </c>
      <c r="AZ13" s="1208"/>
      <c r="BA13" s="1223"/>
      <c r="BB13" s="1234"/>
      <c r="BC13" s="1209"/>
      <c r="BD13" s="1209"/>
      <c r="BE13" s="1212"/>
      <c r="BF13" s="1212"/>
      <c r="BG13" s="1204" t="s">
        <v>123</v>
      </c>
      <c r="BH13" s="1204" t="s">
        <v>123</v>
      </c>
      <c r="BI13" s="1206" t="s">
        <v>123</v>
      </c>
      <c r="BJ13" s="1206"/>
      <c r="BK13" s="1235" t="s">
        <v>123</v>
      </c>
      <c r="BL13" s="1207"/>
      <c r="BM13" s="1207"/>
      <c r="BN13" s="1199" t="str">
        <f t="shared" si="5"/>
        <v/>
      </c>
      <c r="BO13" s="1208"/>
      <c r="BP13" s="1215"/>
      <c r="BQ13" s="1234"/>
      <c r="BR13" s="1209"/>
      <c r="BS13" s="1209"/>
      <c r="BT13" s="1212"/>
      <c r="BU13" s="1238"/>
      <c r="BV13" s="1230" t="s">
        <v>123</v>
      </c>
      <c r="BW13" s="1230" t="s">
        <v>123</v>
      </c>
      <c r="BX13" s="1236" t="s">
        <v>123</v>
      </c>
      <c r="BY13" s="1236"/>
      <c r="BZ13" s="1232" t="s">
        <v>123</v>
      </c>
      <c r="CA13" s="1207"/>
      <c r="CB13" s="1207"/>
      <c r="CC13" s="1199" t="str">
        <f t="shared" si="6"/>
        <v/>
      </c>
      <c r="CD13" s="1208"/>
      <c r="CE13" s="1223"/>
      <c r="CF13" s="1237"/>
      <c r="CG13" s="1224"/>
      <c r="CH13" s="1224"/>
      <c r="CI13" s="1212"/>
      <c r="CJ13" s="1211"/>
      <c r="CK13" s="1204" t="s">
        <v>123</v>
      </c>
      <c r="CL13" s="1204" t="s">
        <v>123</v>
      </c>
      <c r="CM13" s="1206" t="s">
        <v>123</v>
      </c>
      <c r="CN13" s="1239"/>
      <c r="CO13" s="1239" t="s">
        <v>123</v>
      </c>
      <c r="CP13" s="1207"/>
      <c r="CQ13" s="1207"/>
      <c r="CR13" s="1199" t="str">
        <f t="shared" si="7"/>
        <v/>
      </c>
      <c r="CS13" s="1208"/>
      <c r="CT13" s="1223"/>
      <c r="CU13" s="1234"/>
      <c r="CV13" s="1209"/>
      <c r="CW13" s="1209"/>
      <c r="CX13" s="1240"/>
      <c r="CY13" s="1241"/>
      <c r="CZ13" s="1230" t="s">
        <v>123</v>
      </c>
      <c r="DA13" s="1230" t="s">
        <v>123</v>
      </c>
      <c r="DB13" s="1206" t="s">
        <v>123</v>
      </c>
      <c r="DC13" s="1239"/>
      <c r="DD13" s="1239" t="s">
        <v>123</v>
      </c>
      <c r="DE13" s="1207"/>
      <c r="DF13" s="1207"/>
      <c r="DG13" s="1199" t="str">
        <f t="shared" si="8"/>
        <v/>
      </c>
      <c r="DH13" s="1208"/>
      <c r="DI13" s="1223"/>
      <c r="DJ13" s="1222"/>
      <c r="DK13" s="1224"/>
      <c r="DL13" s="1209"/>
      <c r="DM13" s="1212"/>
      <c r="DN13" s="1241"/>
      <c r="DO13" s="1230" t="s">
        <v>123</v>
      </c>
      <c r="DP13" s="1230" t="s">
        <v>123</v>
      </c>
      <c r="DQ13" s="1206" t="s">
        <v>123</v>
      </c>
      <c r="DR13" s="1206"/>
      <c r="DS13" s="1239" t="s">
        <v>123</v>
      </c>
      <c r="DT13" s="1207"/>
      <c r="DU13" s="1207"/>
      <c r="DV13" s="1199" t="str">
        <f t="shared" si="9"/>
        <v/>
      </c>
      <c r="DW13" s="1208"/>
      <c r="DX13" s="1257"/>
      <c r="DY13" s="1234"/>
      <c r="DZ13" s="1209"/>
      <c r="EA13" s="1224"/>
      <c r="EB13" s="1212"/>
      <c r="EC13" s="1242"/>
      <c r="ED13" s="1230" t="s">
        <v>123</v>
      </c>
      <c r="EE13" s="1230" t="s">
        <v>123</v>
      </c>
      <c r="EF13" s="1206" t="s">
        <v>123</v>
      </c>
      <c r="EG13" s="1206"/>
      <c r="EH13" s="1232" t="s">
        <v>123</v>
      </c>
      <c r="EI13" s="1207"/>
      <c r="EJ13" s="1207"/>
      <c r="EK13" s="1199" t="str">
        <f t="shared" si="10"/>
        <v/>
      </c>
      <c r="EL13" s="1208"/>
      <c r="EM13" s="1208"/>
      <c r="EN13" s="1243"/>
      <c r="EO13" s="1224"/>
      <c r="EP13" s="1224"/>
      <c r="EQ13" s="1212"/>
      <c r="ER13" s="1242"/>
      <c r="ES13" s="1230" t="s">
        <v>123</v>
      </c>
      <c r="ET13" s="1230" t="s">
        <v>123</v>
      </c>
      <c r="EU13" s="1206" t="s">
        <v>123</v>
      </c>
      <c r="EV13" s="1206"/>
      <c r="EW13" s="1232" t="s">
        <v>123</v>
      </c>
      <c r="EX13" s="1207"/>
      <c r="EY13" s="1207"/>
      <c r="EZ13" s="1199" t="str">
        <f t="shared" si="11"/>
        <v/>
      </c>
      <c r="FA13" s="1208"/>
      <c r="FB13" s="1208"/>
      <c r="FC13" s="1243"/>
      <c r="FD13" s="1224"/>
      <c r="FE13" s="1224"/>
      <c r="FF13" s="1212"/>
      <c r="FG13" s="1241"/>
      <c r="FH13" s="1230" t="s">
        <v>123</v>
      </c>
      <c r="FI13" s="1230" t="s">
        <v>123</v>
      </c>
      <c r="FJ13" s="1206" t="s">
        <v>123</v>
      </c>
      <c r="FK13" s="1206"/>
      <c r="FL13" s="1232" t="s">
        <v>123</v>
      </c>
      <c r="FM13" s="1207"/>
      <c r="FN13" s="1207"/>
      <c r="FO13" s="1199" t="str">
        <f t="shared" si="12"/>
        <v/>
      </c>
      <c r="FP13" s="1208"/>
      <c r="FQ13" s="1208"/>
      <c r="FR13" s="1234"/>
      <c r="FS13" s="1209"/>
      <c r="FT13" s="1209"/>
      <c r="FU13" s="1212"/>
      <c r="FV13" s="1238"/>
      <c r="FW13" s="1204" t="s">
        <v>123</v>
      </c>
      <c r="FX13" s="1204" t="s">
        <v>123</v>
      </c>
      <c r="FY13" s="1236" t="s">
        <v>123</v>
      </c>
      <c r="FZ13" s="1236"/>
      <c r="GA13" s="1232" t="s">
        <v>123</v>
      </c>
      <c r="GB13" s="1207"/>
      <c r="GC13" s="1207"/>
      <c r="GD13" s="1199" t="str">
        <f t="shared" si="13"/>
        <v/>
      </c>
      <c r="GE13" s="1208"/>
      <c r="GF13" s="1208"/>
      <c r="GG13" s="1243"/>
      <c r="GH13" s="1224"/>
      <c r="GI13" s="1209"/>
      <c r="GJ13" s="1212"/>
      <c r="GK13" s="1211"/>
      <c r="GL13" s="1204" t="s">
        <v>123</v>
      </c>
      <c r="GM13" s="1204" t="s">
        <v>123</v>
      </c>
      <c r="GN13" s="1236" t="s">
        <v>123</v>
      </c>
      <c r="GO13" s="1236"/>
      <c r="GP13" s="1232" t="s">
        <v>123</v>
      </c>
      <c r="GQ13" s="1207"/>
      <c r="GR13" s="1207"/>
      <c r="GS13" s="1199" t="str">
        <f t="shared" si="14"/>
        <v/>
      </c>
      <c r="GT13" s="1208"/>
      <c r="GU13" s="1208"/>
      <c r="GV13" s="1243"/>
      <c r="GW13" s="1224"/>
      <c r="GX13" s="1209"/>
      <c r="GY13" s="1212"/>
      <c r="GZ13" s="1238"/>
      <c r="HA13" s="1204" t="s">
        <v>123</v>
      </c>
      <c r="HB13" s="1204" t="s">
        <v>123</v>
      </c>
      <c r="HC13" s="1236" t="s">
        <v>123</v>
      </c>
      <c r="HD13" s="1236"/>
      <c r="HE13" s="1232" t="s">
        <v>123</v>
      </c>
      <c r="HF13" s="1207"/>
      <c r="HG13" s="1207"/>
      <c r="HH13" s="1199" t="str">
        <f t="shared" si="15"/>
        <v/>
      </c>
      <c r="HI13" s="1208"/>
      <c r="HJ13" s="1208"/>
      <c r="HK13" s="1243"/>
      <c r="HL13" s="1224"/>
      <c r="HM13" s="1209"/>
      <c r="HN13" s="1212"/>
      <c r="HO13" s="1238"/>
      <c r="HP13" s="1204" t="s">
        <v>123</v>
      </c>
      <c r="HQ13" s="1204" t="s">
        <v>123</v>
      </c>
      <c r="HR13" s="1236" t="s">
        <v>123</v>
      </c>
      <c r="HS13" s="1236"/>
      <c r="HT13" s="1232" t="s">
        <v>123</v>
      </c>
      <c r="HU13" s="1207"/>
      <c r="HV13" s="1207"/>
      <c r="HW13" s="1227"/>
    </row>
    <row r="14" ht="15.75" customHeight="1">
      <c r="A14" s="619">
        <v>6.0</v>
      </c>
      <c r="B14" s="730" t="b">
        <v>1</v>
      </c>
      <c r="C14" s="1245" t="str">
        <f>HYPERLINK(ParametrosURL&amp;"/edit"&amp;"#gid="&amp;ParametrosIDAbaCarteira&amp;"range=CC2",IF($CJ$2="","Carteira #6",$CJ$2))</f>
        <v>Carteira #6</v>
      </c>
      <c r="D14" s="1246">
        <v>0.0</v>
      </c>
      <c r="E14" s="1254" t="str">
        <f>IFERROR(__xludf.DUMMYFUNCTION("IF($CJ$2="""","""",COUNTUNIQUE(CP$7:CP106)&amp;"" (""&amp;countunique(CQ$7:CQ106)&amp;"")"")"),"")</f>
        <v/>
      </c>
      <c r="F14" s="1199" t="str">
        <f t="shared" si="1"/>
        <v/>
      </c>
      <c r="G14" s="1208"/>
      <c r="H14" s="1208"/>
      <c r="I14" s="1201"/>
      <c r="J14" s="1209"/>
      <c r="K14" s="1209"/>
      <c r="L14" s="1203"/>
      <c r="M14" s="1203"/>
      <c r="N14" s="1230" t="s">
        <v>123</v>
      </c>
      <c r="O14" s="1230" t="s">
        <v>123</v>
      </c>
      <c r="P14" s="1231" t="s">
        <v>123</v>
      </c>
      <c r="Q14" s="1207"/>
      <c r="R14" s="1207" t="s">
        <v>123</v>
      </c>
      <c r="S14" s="1207"/>
      <c r="T14" s="1207"/>
      <c r="U14" s="1199" t="str">
        <f t="shared" si="2"/>
        <v/>
      </c>
      <c r="V14" s="1208"/>
      <c r="W14" s="1208"/>
      <c r="X14" s="1201"/>
      <c r="Y14" s="1209"/>
      <c r="Z14" s="1209"/>
      <c r="AA14" s="1210"/>
      <c r="AB14" s="1211"/>
      <c r="AC14" s="1204" t="s">
        <v>123</v>
      </c>
      <c r="AD14" s="1204" t="s">
        <v>123</v>
      </c>
      <c r="AE14" s="1205" t="s">
        <v>123</v>
      </c>
      <c r="AF14" s="1206"/>
      <c r="AG14" s="1232" t="s">
        <v>123</v>
      </c>
      <c r="AH14" s="1207"/>
      <c r="AI14" s="1233"/>
      <c r="AJ14" s="1199" t="str">
        <f t="shared" si="3"/>
        <v/>
      </c>
      <c r="AK14" s="1208"/>
      <c r="AL14" s="1208"/>
      <c r="AM14" s="1201"/>
      <c r="AN14" s="1209"/>
      <c r="AO14" s="1209"/>
      <c r="AP14" s="1212"/>
      <c r="AQ14" s="1211"/>
      <c r="AR14" s="1204" t="s">
        <v>123</v>
      </c>
      <c r="AS14" s="1204" t="s">
        <v>123</v>
      </c>
      <c r="AT14" s="1206" t="s">
        <v>123</v>
      </c>
      <c r="AU14" s="1206"/>
      <c r="AV14" s="1232" t="s">
        <v>123</v>
      </c>
      <c r="AW14" s="1233"/>
      <c r="AX14" s="1207"/>
      <c r="AY14" s="1199" t="str">
        <f t="shared" si="4"/>
        <v/>
      </c>
      <c r="AZ14" s="1208"/>
      <c r="BA14" s="1223"/>
      <c r="BB14" s="1234"/>
      <c r="BC14" s="1209"/>
      <c r="BD14" s="1209"/>
      <c r="BE14" s="1212"/>
      <c r="BF14" s="1212"/>
      <c r="BG14" s="1204" t="s">
        <v>123</v>
      </c>
      <c r="BH14" s="1204" t="s">
        <v>123</v>
      </c>
      <c r="BI14" s="1206" t="s">
        <v>123</v>
      </c>
      <c r="BJ14" s="1206"/>
      <c r="BK14" s="1235" t="s">
        <v>123</v>
      </c>
      <c r="BL14" s="1207"/>
      <c r="BM14" s="1207"/>
      <c r="BN14" s="1199" t="str">
        <f t="shared" si="5"/>
        <v/>
      </c>
      <c r="BO14" s="1208"/>
      <c r="BP14" s="1258"/>
      <c r="BQ14" s="1234"/>
      <c r="BR14" s="1209"/>
      <c r="BS14" s="1209"/>
      <c r="BT14" s="1212"/>
      <c r="BU14" s="1238"/>
      <c r="BV14" s="1230" t="s">
        <v>123</v>
      </c>
      <c r="BW14" s="1230" t="s">
        <v>123</v>
      </c>
      <c r="BX14" s="1236" t="s">
        <v>123</v>
      </c>
      <c r="BY14" s="1236"/>
      <c r="BZ14" s="1232" t="s">
        <v>123</v>
      </c>
      <c r="CA14" s="1207"/>
      <c r="CB14" s="1207"/>
      <c r="CC14" s="1199" t="str">
        <f t="shared" si="6"/>
        <v/>
      </c>
      <c r="CD14" s="1208"/>
      <c r="CE14" s="1223"/>
      <c r="CF14" s="1243"/>
      <c r="CG14" s="1224"/>
      <c r="CH14" s="1224"/>
      <c r="CI14" s="1212"/>
      <c r="CJ14" s="1211"/>
      <c r="CK14" s="1204" t="s">
        <v>123</v>
      </c>
      <c r="CL14" s="1204" t="s">
        <v>123</v>
      </c>
      <c r="CM14" s="1206" t="s">
        <v>123</v>
      </c>
      <c r="CN14" s="1239"/>
      <c r="CO14" s="1239" t="s">
        <v>123</v>
      </c>
      <c r="CP14" s="1207"/>
      <c r="CQ14" s="1207"/>
      <c r="CR14" s="1199" t="str">
        <f t="shared" si="7"/>
        <v/>
      </c>
      <c r="CS14" s="1208"/>
      <c r="CT14" s="1223"/>
      <c r="CU14" s="1234"/>
      <c r="CV14" s="1209"/>
      <c r="CW14" s="1209"/>
      <c r="CX14" s="1240"/>
      <c r="CY14" s="1241"/>
      <c r="CZ14" s="1204" t="s">
        <v>123</v>
      </c>
      <c r="DA14" s="1204" t="s">
        <v>123</v>
      </c>
      <c r="DB14" s="1206" t="s">
        <v>123</v>
      </c>
      <c r="DC14" s="1239"/>
      <c r="DD14" s="1239" t="s">
        <v>123</v>
      </c>
      <c r="DE14" s="1207"/>
      <c r="DF14" s="1207"/>
      <c r="DG14" s="1199" t="str">
        <f t="shared" si="8"/>
        <v/>
      </c>
      <c r="DH14" s="1208"/>
      <c r="DI14" s="1223"/>
      <c r="DJ14" s="1222"/>
      <c r="DK14" s="1224"/>
      <c r="DL14" s="1209"/>
      <c r="DM14" s="1212"/>
      <c r="DN14" s="1241"/>
      <c r="DO14" s="1230" t="s">
        <v>123</v>
      </c>
      <c r="DP14" s="1230" t="s">
        <v>123</v>
      </c>
      <c r="DQ14" s="1206" t="s">
        <v>123</v>
      </c>
      <c r="DR14" s="1206"/>
      <c r="DS14" s="1239" t="s">
        <v>123</v>
      </c>
      <c r="DT14" s="1207"/>
      <c r="DU14" s="1207"/>
      <c r="DV14" s="1199" t="str">
        <f t="shared" si="9"/>
        <v/>
      </c>
      <c r="DW14" s="1208"/>
      <c r="DX14" s="1223"/>
      <c r="DY14" s="1234"/>
      <c r="DZ14" s="1209"/>
      <c r="EA14" s="1209"/>
      <c r="EB14" s="1212"/>
      <c r="EC14" s="1242"/>
      <c r="ED14" s="1230" t="s">
        <v>123</v>
      </c>
      <c r="EE14" s="1230" t="s">
        <v>123</v>
      </c>
      <c r="EF14" s="1206" t="s">
        <v>123</v>
      </c>
      <c r="EG14" s="1206"/>
      <c r="EH14" s="1232" t="s">
        <v>123</v>
      </c>
      <c r="EI14" s="1207"/>
      <c r="EJ14" s="1207"/>
      <c r="EK14" s="1199" t="str">
        <f t="shared" si="10"/>
        <v/>
      </c>
      <c r="EL14" s="1208"/>
      <c r="EM14" s="1208"/>
      <c r="EN14" s="1243"/>
      <c r="EO14" s="1224"/>
      <c r="EP14" s="1224"/>
      <c r="EQ14" s="1212"/>
      <c r="ER14" s="1242"/>
      <c r="ES14" s="1230" t="s">
        <v>123</v>
      </c>
      <c r="ET14" s="1230" t="s">
        <v>123</v>
      </c>
      <c r="EU14" s="1206" t="s">
        <v>123</v>
      </c>
      <c r="EV14" s="1206"/>
      <c r="EW14" s="1232" t="s">
        <v>123</v>
      </c>
      <c r="EX14" s="1207"/>
      <c r="EY14" s="1207"/>
      <c r="EZ14" s="1199" t="str">
        <f t="shared" si="11"/>
        <v/>
      </c>
      <c r="FA14" s="1208"/>
      <c r="FB14" s="1208"/>
      <c r="FC14" s="1243"/>
      <c r="FD14" s="1224"/>
      <c r="FE14" s="1224"/>
      <c r="FF14" s="1212"/>
      <c r="FG14" s="1241"/>
      <c r="FH14" s="1230" t="s">
        <v>123</v>
      </c>
      <c r="FI14" s="1230" t="s">
        <v>123</v>
      </c>
      <c r="FJ14" s="1206" t="s">
        <v>123</v>
      </c>
      <c r="FK14" s="1206"/>
      <c r="FL14" s="1232" t="s">
        <v>123</v>
      </c>
      <c r="FM14" s="1207"/>
      <c r="FN14" s="1207"/>
      <c r="FO14" s="1199" t="str">
        <f t="shared" si="12"/>
        <v/>
      </c>
      <c r="FP14" s="1208"/>
      <c r="FQ14" s="1208"/>
      <c r="FR14" s="1234"/>
      <c r="FS14" s="1209"/>
      <c r="FT14" s="1209"/>
      <c r="FU14" s="1212"/>
      <c r="FV14" s="1238"/>
      <c r="FW14" s="1204" t="s">
        <v>123</v>
      </c>
      <c r="FX14" s="1204" t="s">
        <v>123</v>
      </c>
      <c r="FY14" s="1236" t="s">
        <v>123</v>
      </c>
      <c r="FZ14" s="1236"/>
      <c r="GA14" s="1232" t="s">
        <v>123</v>
      </c>
      <c r="GB14" s="1207"/>
      <c r="GC14" s="1207"/>
      <c r="GD14" s="1199" t="str">
        <f t="shared" si="13"/>
        <v/>
      </c>
      <c r="GE14" s="1208"/>
      <c r="GF14" s="1208"/>
      <c r="GG14" s="1259"/>
      <c r="GH14" s="1209"/>
      <c r="GI14" s="1209"/>
      <c r="GJ14" s="1212"/>
      <c r="GK14" s="1211"/>
      <c r="GL14" s="1204" t="s">
        <v>123</v>
      </c>
      <c r="GM14" s="1204" t="s">
        <v>123</v>
      </c>
      <c r="GN14" s="1236" t="s">
        <v>123</v>
      </c>
      <c r="GO14" s="1236"/>
      <c r="GP14" s="1232" t="s">
        <v>123</v>
      </c>
      <c r="GQ14" s="1207"/>
      <c r="GR14" s="1207"/>
      <c r="GS14" s="1199" t="str">
        <f t="shared" si="14"/>
        <v/>
      </c>
      <c r="GT14" s="1208"/>
      <c r="GU14" s="1208"/>
      <c r="GV14" s="1234"/>
      <c r="GW14" s="1209"/>
      <c r="GX14" s="1209"/>
      <c r="GY14" s="1212"/>
      <c r="GZ14" s="1211"/>
      <c r="HA14" s="1204" t="s">
        <v>123</v>
      </c>
      <c r="HB14" s="1204" t="s">
        <v>123</v>
      </c>
      <c r="HC14" s="1236" t="s">
        <v>123</v>
      </c>
      <c r="HD14" s="1236"/>
      <c r="HE14" s="1232" t="s">
        <v>123</v>
      </c>
      <c r="HF14" s="1207"/>
      <c r="HG14" s="1207"/>
      <c r="HH14" s="1199" t="str">
        <f t="shared" si="15"/>
        <v/>
      </c>
      <c r="HI14" s="1208"/>
      <c r="HJ14" s="1208"/>
      <c r="HK14" s="1234"/>
      <c r="HL14" s="1209"/>
      <c r="HM14" s="1209"/>
      <c r="HN14" s="1212"/>
      <c r="HO14" s="1211"/>
      <c r="HP14" s="1204" t="s">
        <v>123</v>
      </c>
      <c r="HQ14" s="1204" t="s">
        <v>123</v>
      </c>
      <c r="HR14" s="1236" t="s">
        <v>123</v>
      </c>
      <c r="HS14" s="1236"/>
      <c r="HT14" s="1232" t="s">
        <v>123</v>
      </c>
      <c r="HU14" s="1207"/>
      <c r="HV14" s="1207"/>
      <c r="HW14" s="1227"/>
    </row>
    <row r="15" ht="15.75" customHeight="1">
      <c r="A15" s="619">
        <v>7.0</v>
      </c>
      <c r="B15" s="730" t="b">
        <v>1</v>
      </c>
      <c r="C15" s="1245" t="str">
        <f>HYPERLINK(ParametrosURL&amp;"/edit"&amp;"#gid="&amp;ParametrosIDAbaCarteira&amp;"range=CR2",IF($CY$2="","Carteira #7",$CY$2))</f>
        <v>Carteira #7</v>
      </c>
      <c r="D15" s="1246">
        <v>0.0</v>
      </c>
      <c r="E15" s="1254" t="str">
        <f>IFERROR(__xludf.DUMMYFUNCTION("IF($CY$2="""","""",COUNTUNIQUE(DE$7:DE106)&amp;"" (""&amp;countunique(DF$7:DF106)&amp;"")"")"),"")</f>
        <v/>
      </c>
      <c r="F15" s="1199" t="str">
        <f t="shared" si="1"/>
        <v/>
      </c>
      <c r="G15" s="1208"/>
      <c r="H15" s="1208"/>
      <c r="I15" s="1201"/>
      <c r="J15" s="1209"/>
      <c r="K15" s="1209"/>
      <c r="L15" s="1203"/>
      <c r="M15" s="1203"/>
      <c r="N15" s="1230" t="s">
        <v>123</v>
      </c>
      <c r="O15" s="1230" t="s">
        <v>123</v>
      </c>
      <c r="P15" s="1231" t="s">
        <v>123</v>
      </c>
      <c r="Q15" s="1207"/>
      <c r="R15" s="1207" t="s">
        <v>123</v>
      </c>
      <c r="S15" s="1207"/>
      <c r="T15" s="1207"/>
      <c r="U15" s="1199" t="str">
        <f t="shared" si="2"/>
        <v/>
      </c>
      <c r="V15" s="1208"/>
      <c r="W15" s="1208"/>
      <c r="X15" s="1201"/>
      <c r="Y15" s="1209"/>
      <c r="Z15" s="1209"/>
      <c r="AA15" s="1210"/>
      <c r="AB15" s="1211"/>
      <c r="AC15" s="1204" t="s">
        <v>123</v>
      </c>
      <c r="AD15" s="1204" t="s">
        <v>123</v>
      </c>
      <c r="AE15" s="1205" t="s">
        <v>123</v>
      </c>
      <c r="AF15" s="1206"/>
      <c r="AG15" s="1232" t="s">
        <v>123</v>
      </c>
      <c r="AH15" s="1207"/>
      <c r="AI15" s="1233"/>
      <c r="AJ15" s="1199" t="str">
        <f t="shared" si="3"/>
        <v/>
      </c>
      <c r="AK15" s="1208"/>
      <c r="AL15" s="1200"/>
      <c r="AM15" s="1201"/>
      <c r="AN15" s="1202"/>
      <c r="AO15" s="1202"/>
      <c r="AP15" s="1218"/>
      <c r="AQ15" s="1211"/>
      <c r="AR15" s="1204" t="s">
        <v>123</v>
      </c>
      <c r="AS15" s="1204" t="s">
        <v>123</v>
      </c>
      <c r="AT15" s="1206" t="s">
        <v>123</v>
      </c>
      <c r="AU15" s="1206"/>
      <c r="AV15" s="1232" t="s">
        <v>123</v>
      </c>
      <c r="AW15" s="1233"/>
      <c r="AX15" s="1207"/>
      <c r="AY15" s="1199" t="str">
        <f t="shared" si="4"/>
        <v/>
      </c>
      <c r="AZ15" s="1208"/>
      <c r="BA15" s="1223"/>
      <c r="BB15" s="1234"/>
      <c r="BC15" s="1209"/>
      <c r="BD15" s="1209"/>
      <c r="BE15" s="1212"/>
      <c r="BF15" s="1252"/>
      <c r="BG15" s="1204" t="s">
        <v>123</v>
      </c>
      <c r="BH15" s="1204" t="s">
        <v>123</v>
      </c>
      <c r="BI15" s="1206" t="s">
        <v>123</v>
      </c>
      <c r="BJ15" s="1206"/>
      <c r="BK15" s="1232" t="s">
        <v>123</v>
      </c>
      <c r="BL15" s="1207"/>
      <c r="BM15" s="1207"/>
      <c r="BN15" s="1199" t="str">
        <f t="shared" si="5"/>
        <v/>
      </c>
      <c r="BO15" s="1208"/>
      <c r="BP15" s="1208"/>
      <c r="BQ15" s="1234"/>
      <c r="BR15" s="1224"/>
      <c r="BS15" s="1209"/>
      <c r="BT15" s="1210"/>
      <c r="BU15" s="1211"/>
      <c r="BV15" s="1230" t="s">
        <v>123</v>
      </c>
      <c r="BW15" s="1230" t="s">
        <v>123</v>
      </c>
      <c r="BX15" s="1236" t="s">
        <v>123</v>
      </c>
      <c r="BY15" s="1236"/>
      <c r="BZ15" s="1232" t="s">
        <v>123</v>
      </c>
      <c r="CA15" s="1207"/>
      <c r="CB15" s="1207"/>
      <c r="CC15" s="1199" t="str">
        <f t="shared" si="6"/>
        <v/>
      </c>
      <c r="CD15" s="1208"/>
      <c r="CE15" s="1223"/>
      <c r="CF15" s="1234"/>
      <c r="CG15" s="1209"/>
      <c r="CH15" s="1209"/>
      <c r="CI15" s="1212"/>
      <c r="CJ15" s="1211"/>
      <c r="CK15" s="1204" t="s">
        <v>123</v>
      </c>
      <c r="CL15" s="1204" t="s">
        <v>123</v>
      </c>
      <c r="CM15" s="1206" t="s">
        <v>123</v>
      </c>
      <c r="CN15" s="1239"/>
      <c r="CO15" s="1239" t="s">
        <v>123</v>
      </c>
      <c r="CP15" s="1207"/>
      <c r="CQ15" s="1207"/>
      <c r="CR15" s="1199" t="str">
        <f t="shared" si="7"/>
        <v/>
      </c>
      <c r="CS15" s="1208"/>
      <c r="CT15" s="1223"/>
      <c r="CU15" s="1234"/>
      <c r="CV15" s="1209"/>
      <c r="CW15" s="1209"/>
      <c r="CX15" s="1240"/>
      <c r="CY15" s="1242"/>
      <c r="CZ15" s="1204" t="s">
        <v>123</v>
      </c>
      <c r="DA15" s="1204" t="s">
        <v>123</v>
      </c>
      <c r="DB15" s="1206" t="s">
        <v>123</v>
      </c>
      <c r="DC15" s="1239"/>
      <c r="DD15" s="1239" t="s">
        <v>123</v>
      </c>
      <c r="DE15" s="1207"/>
      <c r="DF15" s="1207"/>
      <c r="DG15" s="1199" t="str">
        <f t="shared" si="8"/>
        <v/>
      </c>
      <c r="DH15" s="1208"/>
      <c r="DI15" s="1223"/>
      <c r="DJ15" s="1222"/>
      <c r="DK15" s="1224"/>
      <c r="DL15" s="1209"/>
      <c r="DM15" s="1212"/>
      <c r="DN15" s="1242"/>
      <c r="DO15" s="1230" t="s">
        <v>123</v>
      </c>
      <c r="DP15" s="1230" t="s">
        <v>123</v>
      </c>
      <c r="DQ15" s="1206" t="s">
        <v>123</v>
      </c>
      <c r="DR15" s="1206"/>
      <c r="DS15" s="1239" t="s">
        <v>123</v>
      </c>
      <c r="DT15" s="1207"/>
      <c r="DU15" s="1207"/>
      <c r="DV15" s="1199" t="str">
        <f t="shared" si="9"/>
        <v/>
      </c>
      <c r="DW15" s="1208"/>
      <c r="DX15" s="1223"/>
      <c r="DY15" s="1234"/>
      <c r="DZ15" s="1209"/>
      <c r="EA15" s="1209"/>
      <c r="EB15" s="1212"/>
      <c r="EC15" s="1242"/>
      <c r="ED15" s="1230" t="s">
        <v>123</v>
      </c>
      <c r="EE15" s="1230" t="s">
        <v>123</v>
      </c>
      <c r="EF15" s="1206" t="s">
        <v>123</v>
      </c>
      <c r="EG15" s="1206"/>
      <c r="EH15" s="1232" t="s">
        <v>123</v>
      </c>
      <c r="EI15" s="1207"/>
      <c r="EJ15" s="1207"/>
      <c r="EK15" s="1199" t="str">
        <f t="shared" si="10"/>
        <v/>
      </c>
      <c r="EL15" s="1208"/>
      <c r="EM15" s="1208"/>
      <c r="EN15" s="1234"/>
      <c r="EO15" s="1209"/>
      <c r="EP15" s="1209"/>
      <c r="EQ15" s="1212"/>
      <c r="ER15" s="1241"/>
      <c r="ES15" s="1230" t="s">
        <v>123</v>
      </c>
      <c r="ET15" s="1230" t="s">
        <v>123</v>
      </c>
      <c r="EU15" s="1206" t="s">
        <v>123</v>
      </c>
      <c r="EV15" s="1206"/>
      <c r="EW15" s="1232" t="s">
        <v>123</v>
      </c>
      <c r="EX15" s="1207"/>
      <c r="EY15" s="1207"/>
      <c r="EZ15" s="1199" t="str">
        <f t="shared" si="11"/>
        <v/>
      </c>
      <c r="FA15" s="1208"/>
      <c r="FB15" s="1208"/>
      <c r="FC15" s="1243"/>
      <c r="FD15" s="1224"/>
      <c r="FE15" s="1224"/>
      <c r="FF15" s="1212"/>
      <c r="FG15" s="1241"/>
      <c r="FH15" s="1230" t="s">
        <v>123</v>
      </c>
      <c r="FI15" s="1230" t="s">
        <v>123</v>
      </c>
      <c r="FJ15" s="1206" t="s">
        <v>123</v>
      </c>
      <c r="FK15" s="1206"/>
      <c r="FL15" s="1232" t="s">
        <v>123</v>
      </c>
      <c r="FM15" s="1207"/>
      <c r="FN15" s="1207"/>
      <c r="FO15" s="1199" t="str">
        <f t="shared" si="12"/>
        <v/>
      </c>
      <c r="FP15" s="1208"/>
      <c r="FQ15" s="1208"/>
      <c r="FR15" s="1234"/>
      <c r="FS15" s="1209"/>
      <c r="FT15" s="1209"/>
      <c r="FU15" s="1212"/>
      <c r="FV15" s="1211"/>
      <c r="FW15" s="1204" t="s">
        <v>123</v>
      </c>
      <c r="FX15" s="1204" t="s">
        <v>123</v>
      </c>
      <c r="FY15" s="1236" t="s">
        <v>123</v>
      </c>
      <c r="FZ15" s="1236"/>
      <c r="GA15" s="1232" t="s">
        <v>123</v>
      </c>
      <c r="GB15" s="1207"/>
      <c r="GC15" s="1207"/>
      <c r="GD15" s="1199" t="str">
        <f t="shared" si="13"/>
        <v/>
      </c>
      <c r="GE15" s="1208"/>
      <c r="GF15" s="1208"/>
      <c r="GG15" s="1234"/>
      <c r="GH15" s="1209"/>
      <c r="GI15" s="1209"/>
      <c r="GJ15" s="1212"/>
      <c r="GK15" s="1211"/>
      <c r="GL15" s="1204" t="s">
        <v>123</v>
      </c>
      <c r="GM15" s="1204" t="s">
        <v>123</v>
      </c>
      <c r="GN15" s="1236" t="s">
        <v>123</v>
      </c>
      <c r="GO15" s="1236"/>
      <c r="GP15" s="1232" t="s">
        <v>123</v>
      </c>
      <c r="GQ15" s="1207"/>
      <c r="GR15" s="1207"/>
      <c r="GS15" s="1199" t="str">
        <f t="shared" si="14"/>
        <v/>
      </c>
      <c r="GT15" s="1208"/>
      <c r="GU15" s="1208"/>
      <c r="GV15" s="1234"/>
      <c r="GW15" s="1209"/>
      <c r="GX15" s="1209"/>
      <c r="GY15" s="1212"/>
      <c r="GZ15" s="1211"/>
      <c r="HA15" s="1204" t="s">
        <v>123</v>
      </c>
      <c r="HB15" s="1204" t="s">
        <v>123</v>
      </c>
      <c r="HC15" s="1236" t="s">
        <v>123</v>
      </c>
      <c r="HD15" s="1236"/>
      <c r="HE15" s="1232" t="s">
        <v>123</v>
      </c>
      <c r="HF15" s="1207"/>
      <c r="HG15" s="1207"/>
      <c r="HH15" s="1199" t="str">
        <f t="shared" si="15"/>
        <v/>
      </c>
      <c r="HI15" s="1208"/>
      <c r="HJ15" s="1208"/>
      <c r="HK15" s="1234"/>
      <c r="HL15" s="1209"/>
      <c r="HM15" s="1253"/>
      <c r="HN15" s="1212"/>
      <c r="HO15" s="1211"/>
      <c r="HP15" s="1204" t="s">
        <v>123</v>
      </c>
      <c r="HQ15" s="1204" t="s">
        <v>123</v>
      </c>
      <c r="HR15" s="1236" t="s">
        <v>123</v>
      </c>
      <c r="HS15" s="1236"/>
      <c r="HT15" s="1232" t="s">
        <v>123</v>
      </c>
      <c r="HU15" s="1207"/>
      <c r="HV15" s="1207"/>
      <c r="HW15" s="1227"/>
    </row>
    <row r="16" ht="15.75" customHeight="1">
      <c r="A16" s="619">
        <v>8.0</v>
      </c>
      <c r="B16" s="730" t="b">
        <v>1</v>
      </c>
      <c r="C16" s="1245" t="str">
        <f>HYPERLINK(ParametrosURL&amp;"/edit"&amp;"#gid="&amp;ParametrosIDAbaCarteira&amp;"range=DG2",IF($DN$2="","Carteira #8",$DN$2))</f>
        <v>Carteira #8</v>
      </c>
      <c r="D16" s="1246">
        <v>0.0</v>
      </c>
      <c r="E16" s="1254" t="str">
        <f>IFERROR(__xludf.DUMMYFUNCTION("IF($DN$2="""","""",COUNTUNIQUE(DT$7:DT106)&amp;"" (""&amp;countunique(DU$7:DU106)&amp;"")"")"),"")</f>
        <v/>
      </c>
      <c r="F16" s="1199" t="str">
        <f t="shared" si="1"/>
        <v/>
      </c>
      <c r="G16" s="1200"/>
      <c r="H16" s="1200"/>
      <c r="I16" s="1201"/>
      <c r="J16" s="1202"/>
      <c r="K16" s="1202"/>
      <c r="L16" s="1203"/>
      <c r="M16" s="1203"/>
      <c r="N16" s="1230" t="s">
        <v>123</v>
      </c>
      <c r="O16" s="1230" t="s">
        <v>123</v>
      </c>
      <c r="P16" s="1231" t="s">
        <v>123</v>
      </c>
      <c r="Q16" s="1207"/>
      <c r="R16" s="1207" t="s">
        <v>123</v>
      </c>
      <c r="S16" s="1207"/>
      <c r="T16" s="1207"/>
      <c r="U16" s="1199" t="str">
        <f t="shared" si="2"/>
        <v/>
      </c>
      <c r="V16" s="1208"/>
      <c r="W16" s="1208"/>
      <c r="X16" s="1201"/>
      <c r="Y16" s="1209"/>
      <c r="Z16" s="1209"/>
      <c r="AA16" s="1210"/>
      <c r="AB16" s="1211"/>
      <c r="AC16" s="1204" t="s">
        <v>123</v>
      </c>
      <c r="AD16" s="1204" t="s">
        <v>123</v>
      </c>
      <c r="AE16" s="1205" t="s">
        <v>123</v>
      </c>
      <c r="AF16" s="1206"/>
      <c r="AG16" s="1232" t="s">
        <v>123</v>
      </c>
      <c r="AH16" s="1207"/>
      <c r="AI16" s="1233"/>
      <c r="AJ16" s="1199" t="str">
        <f t="shared" si="3"/>
        <v/>
      </c>
      <c r="AK16" s="1208"/>
      <c r="AL16" s="1208"/>
      <c r="AM16" s="1201"/>
      <c r="AN16" s="1209"/>
      <c r="AO16" s="1209"/>
      <c r="AP16" s="1212"/>
      <c r="AQ16" s="1211"/>
      <c r="AR16" s="1204" t="s">
        <v>123</v>
      </c>
      <c r="AS16" s="1204" t="s">
        <v>123</v>
      </c>
      <c r="AT16" s="1206" t="s">
        <v>123</v>
      </c>
      <c r="AU16" s="1206"/>
      <c r="AV16" s="1232" t="s">
        <v>123</v>
      </c>
      <c r="AW16" s="1233"/>
      <c r="AX16" s="1207"/>
      <c r="AY16" s="1199" t="str">
        <f t="shared" si="4"/>
        <v/>
      </c>
      <c r="AZ16" s="1208"/>
      <c r="BA16" s="1223"/>
      <c r="BB16" s="1234"/>
      <c r="BC16" s="1209"/>
      <c r="BD16" s="1209"/>
      <c r="BE16" s="1212"/>
      <c r="BF16" s="1212"/>
      <c r="BG16" s="1204" t="s">
        <v>123</v>
      </c>
      <c r="BH16" s="1204" t="s">
        <v>123</v>
      </c>
      <c r="BI16" s="1206" t="s">
        <v>123</v>
      </c>
      <c r="BJ16" s="1206"/>
      <c r="BK16" s="1232" t="s">
        <v>123</v>
      </c>
      <c r="BL16" s="1207"/>
      <c r="BM16" s="1207"/>
      <c r="BN16" s="1199" t="str">
        <f t="shared" si="5"/>
        <v/>
      </c>
      <c r="BO16" s="1208"/>
      <c r="BP16" s="1223"/>
      <c r="BQ16" s="1234"/>
      <c r="BR16" s="1224"/>
      <c r="BS16" s="1209"/>
      <c r="BT16" s="1212"/>
      <c r="BU16" s="1241"/>
      <c r="BV16" s="1230" t="s">
        <v>123</v>
      </c>
      <c r="BW16" s="1230" t="s">
        <v>123</v>
      </c>
      <c r="BX16" s="1236" t="s">
        <v>123</v>
      </c>
      <c r="BY16" s="1236"/>
      <c r="BZ16" s="1232" t="s">
        <v>123</v>
      </c>
      <c r="CA16" s="1207"/>
      <c r="CB16" s="1207"/>
      <c r="CC16" s="1199" t="str">
        <f t="shared" si="6"/>
        <v/>
      </c>
      <c r="CD16" s="1208"/>
      <c r="CE16" s="1223"/>
      <c r="CF16" s="1234"/>
      <c r="CG16" s="1209"/>
      <c r="CH16" s="1209"/>
      <c r="CI16" s="1212"/>
      <c r="CJ16" s="1211"/>
      <c r="CK16" s="1204" t="s">
        <v>123</v>
      </c>
      <c r="CL16" s="1204" t="s">
        <v>123</v>
      </c>
      <c r="CM16" s="1206" t="s">
        <v>123</v>
      </c>
      <c r="CN16" s="1239"/>
      <c r="CO16" s="1239" t="s">
        <v>123</v>
      </c>
      <c r="CP16" s="1207"/>
      <c r="CQ16" s="1207"/>
      <c r="CR16" s="1199" t="str">
        <f t="shared" si="7"/>
        <v/>
      </c>
      <c r="CS16" s="1208"/>
      <c r="CT16" s="1223"/>
      <c r="CU16" s="1234"/>
      <c r="CV16" s="1209"/>
      <c r="CW16" s="1209"/>
      <c r="CX16" s="1240"/>
      <c r="CY16" s="1241"/>
      <c r="CZ16" s="1204" t="s">
        <v>123</v>
      </c>
      <c r="DA16" s="1204" t="s">
        <v>123</v>
      </c>
      <c r="DB16" s="1206" t="s">
        <v>123</v>
      </c>
      <c r="DC16" s="1239"/>
      <c r="DD16" s="1239" t="s">
        <v>123</v>
      </c>
      <c r="DE16" s="1207"/>
      <c r="DF16" s="1207"/>
      <c r="DG16" s="1199" t="str">
        <f t="shared" si="8"/>
        <v/>
      </c>
      <c r="DH16" s="1208"/>
      <c r="DI16" s="1223"/>
      <c r="DJ16" s="1222"/>
      <c r="DK16" s="1224"/>
      <c r="DL16" s="1209"/>
      <c r="DM16" s="1212"/>
      <c r="DN16" s="1242"/>
      <c r="DO16" s="1230" t="s">
        <v>123</v>
      </c>
      <c r="DP16" s="1230" t="s">
        <v>123</v>
      </c>
      <c r="DQ16" s="1206" t="s">
        <v>123</v>
      </c>
      <c r="DR16" s="1206"/>
      <c r="DS16" s="1239" t="s">
        <v>123</v>
      </c>
      <c r="DT16" s="1207"/>
      <c r="DU16" s="1207"/>
      <c r="DV16" s="1199" t="str">
        <f t="shared" si="9"/>
        <v/>
      </c>
      <c r="DW16" s="1208"/>
      <c r="DX16" s="1223"/>
      <c r="DY16" s="1234"/>
      <c r="DZ16" s="1209"/>
      <c r="EA16" s="1209"/>
      <c r="EB16" s="1212"/>
      <c r="EC16" s="1242"/>
      <c r="ED16" s="1230" t="s">
        <v>123</v>
      </c>
      <c r="EE16" s="1230" t="s">
        <v>123</v>
      </c>
      <c r="EF16" s="1206" t="s">
        <v>123</v>
      </c>
      <c r="EG16" s="1206"/>
      <c r="EH16" s="1232" t="s">
        <v>123</v>
      </c>
      <c r="EI16" s="1207"/>
      <c r="EJ16" s="1207"/>
      <c r="EK16" s="1199" t="str">
        <f t="shared" si="10"/>
        <v/>
      </c>
      <c r="EL16" s="1208"/>
      <c r="EM16" s="1208"/>
      <c r="EN16" s="1243"/>
      <c r="EO16" s="1224"/>
      <c r="EP16" s="1224"/>
      <c r="EQ16" s="1212"/>
      <c r="ER16" s="1242"/>
      <c r="ES16" s="1230" t="s">
        <v>123</v>
      </c>
      <c r="ET16" s="1230" t="s">
        <v>123</v>
      </c>
      <c r="EU16" s="1206" t="s">
        <v>123</v>
      </c>
      <c r="EV16" s="1206"/>
      <c r="EW16" s="1232" t="s">
        <v>123</v>
      </c>
      <c r="EX16" s="1207"/>
      <c r="EY16" s="1207"/>
      <c r="EZ16" s="1199" t="str">
        <f t="shared" si="11"/>
        <v/>
      </c>
      <c r="FA16" s="1208"/>
      <c r="FB16" s="1208"/>
      <c r="FC16" s="1243"/>
      <c r="FD16" s="1224"/>
      <c r="FE16" s="1224"/>
      <c r="FF16" s="1212"/>
      <c r="FG16" s="1241"/>
      <c r="FH16" s="1230" t="s">
        <v>123</v>
      </c>
      <c r="FI16" s="1230" t="s">
        <v>123</v>
      </c>
      <c r="FJ16" s="1206" t="s">
        <v>123</v>
      </c>
      <c r="FK16" s="1206"/>
      <c r="FL16" s="1232" t="s">
        <v>123</v>
      </c>
      <c r="FM16" s="1207"/>
      <c r="FN16" s="1207"/>
      <c r="FO16" s="1199" t="str">
        <f t="shared" si="12"/>
        <v/>
      </c>
      <c r="FP16" s="1208"/>
      <c r="FQ16" s="1208"/>
      <c r="FR16" s="1234"/>
      <c r="FS16" s="1209"/>
      <c r="FT16" s="1209"/>
      <c r="FU16" s="1212"/>
      <c r="FV16" s="1211"/>
      <c r="FW16" s="1204" t="s">
        <v>123</v>
      </c>
      <c r="FX16" s="1204" t="s">
        <v>123</v>
      </c>
      <c r="FY16" s="1236" t="s">
        <v>123</v>
      </c>
      <c r="FZ16" s="1236"/>
      <c r="GA16" s="1232" t="s">
        <v>123</v>
      </c>
      <c r="GB16" s="1207"/>
      <c r="GC16" s="1207"/>
      <c r="GD16" s="1199" t="str">
        <f t="shared" si="13"/>
        <v/>
      </c>
      <c r="GE16" s="1208"/>
      <c r="GF16" s="1208"/>
      <c r="GG16" s="1234"/>
      <c r="GH16" s="1209"/>
      <c r="GI16" s="1209"/>
      <c r="GJ16" s="1212"/>
      <c r="GK16" s="1211"/>
      <c r="GL16" s="1204" t="s">
        <v>123</v>
      </c>
      <c r="GM16" s="1204" t="s">
        <v>123</v>
      </c>
      <c r="GN16" s="1236" t="s">
        <v>123</v>
      </c>
      <c r="GO16" s="1236"/>
      <c r="GP16" s="1232" t="s">
        <v>123</v>
      </c>
      <c r="GQ16" s="1207"/>
      <c r="GR16" s="1207"/>
      <c r="GS16" s="1199" t="str">
        <f t="shared" si="14"/>
        <v/>
      </c>
      <c r="GT16" s="1208"/>
      <c r="GU16" s="1208"/>
      <c r="GV16" s="1234"/>
      <c r="GW16" s="1209"/>
      <c r="GX16" s="1209"/>
      <c r="GY16" s="1212"/>
      <c r="GZ16" s="1238"/>
      <c r="HA16" s="1204" t="s">
        <v>123</v>
      </c>
      <c r="HB16" s="1204" t="s">
        <v>123</v>
      </c>
      <c r="HC16" s="1236" t="s">
        <v>123</v>
      </c>
      <c r="HD16" s="1236"/>
      <c r="HE16" s="1232" t="s">
        <v>123</v>
      </c>
      <c r="HF16" s="1207"/>
      <c r="HG16" s="1207"/>
      <c r="HH16" s="1199" t="str">
        <f t="shared" si="15"/>
        <v/>
      </c>
      <c r="HI16" s="1208"/>
      <c r="HJ16" s="1208"/>
      <c r="HK16" s="1234"/>
      <c r="HL16" s="1209"/>
      <c r="HM16" s="1253"/>
      <c r="HN16" s="1212"/>
      <c r="HO16" s="1238"/>
      <c r="HP16" s="1204" t="s">
        <v>123</v>
      </c>
      <c r="HQ16" s="1204" t="s">
        <v>123</v>
      </c>
      <c r="HR16" s="1236" t="s">
        <v>123</v>
      </c>
      <c r="HS16" s="1236"/>
      <c r="HT16" s="1232" t="s">
        <v>123</v>
      </c>
      <c r="HU16" s="1207"/>
      <c r="HV16" s="1207"/>
      <c r="HW16" s="1227"/>
    </row>
    <row r="17" ht="15.75" customHeight="1">
      <c r="A17" s="619">
        <v>9.0</v>
      </c>
      <c r="B17" s="730" t="b">
        <v>1</v>
      </c>
      <c r="C17" s="1245" t="str">
        <f>HYPERLINK(ParametrosURL&amp;"/edit"&amp;"#gid="&amp;ParametrosIDAbaCarteira&amp;"range=DV2",IF($EC$2="","Carteira #9",$EC$2))</f>
        <v>Carteira #9</v>
      </c>
      <c r="D17" s="1246">
        <v>0.0</v>
      </c>
      <c r="E17" s="1254" t="str">
        <f>IFERROR(__xludf.DUMMYFUNCTION("IF($EC$2="""","""",COUNTUNIQUE(EI$7:EI106)&amp;"" (""&amp;countunique(EJ$7:EJ106)&amp;"")"")"),"")</f>
        <v/>
      </c>
      <c r="F17" s="1199" t="str">
        <f t="shared" si="1"/>
        <v/>
      </c>
      <c r="G17" s="1223"/>
      <c r="H17" s="1223"/>
      <c r="I17" s="1201"/>
      <c r="J17" s="1209"/>
      <c r="K17" s="1209"/>
      <c r="L17" s="1203"/>
      <c r="M17" s="1203"/>
      <c r="N17" s="1230" t="s">
        <v>123</v>
      </c>
      <c r="O17" s="1230" t="s">
        <v>123</v>
      </c>
      <c r="P17" s="1231" t="s">
        <v>123</v>
      </c>
      <c r="Q17" s="1207"/>
      <c r="R17" s="1207" t="s">
        <v>123</v>
      </c>
      <c r="S17" s="1207"/>
      <c r="T17" s="1207"/>
      <c r="U17" s="1199" t="str">
        <f t="shared" si="2"/>
        <v/>
      </c>
      <c r="V17" s="1208"/>
      <c r="W17" s="1208"/>
      <c r="X17" s="1201"/>
      <c r="Y17" s="1209"/>
      <c r="Z17" s="1209"/>
      <c r="AA17" s="1210"/>
      <c r="AB17" s="1226"/>
      <c r="AC17" s="1204" t="s">
        <v>123</v>
      </c>
      <c r="AD17" s="1204" t="s">
        <v>123</v>
      </c>
      <c r="AE17" s="1205" t="s">
        <v>123</v>
      </c>
      <c r="AF17" s="1206"/>
      <c r="AG17" s="1232" t="s">
        <v>123</v>
      </c>
      <c r="AH17" s="1207"/>
      <c r="AI17" s="1233"/>
      <c r="AJ17" s="1199" t="str">
        <f t="shared" si="3"/>
        <v/>
      </c>
      <c r="AK17" s="1208"/>
      <c r="AL17" s="1208"/>
      <c r="AM17" s="1201"/>
      <c r="AN17" s="1209"/>
      <c r="AO17" s="1209"/>
      <c r="AP17" s="1212"/>
      <c r="AQ17" s="1211"/>
      <c r="AR17" s="1204" t="s">
        <v>123</v>
      </c>
      <c r="AS17" s="1204" t="s">
        <v>123</v>
      </c>
      <c r="AT17" s="1206" t="s">
        <v>123</v>
      </c>
      <c r="AU17" s="1206"/>
      <c r="AV17" s="1232" t="s">
        <v>123</v>
      </c>
      <c r="AW17" s="1233"/>
      <c r="AX17" s="1207"/>
      <c r="AY17" s="1199" t="str">
        <f t="shared" si="4"/>
        <v/>
      </c>
      <c r="AZ17" s="1208"/>
      <c r="BA17" s="1223"/>
      <c r="BB17" s="1234"/>
      <c r="BC17" s="1209"/>
      <c r="BD17" s="1209"/>
      <c r="BE17" s="1212"/>
      <c r="BF17" s="1252"/>
      <c r="BG17" s="1204" t="s">
        <v>123</v>
      </c>
      <c r="BH17" s="1204" t="s">
        <v>123</v>
      </c>
      <c r="BI17" s="1206" t="s">
        <v>123</v>
      </c>
      <c r="BJ17" s="1206"/>
      <c r="BK17" s="1232" t="s">
        <v>123</v>
      </c>
      <c r="BL17" s="1207"/>
      <c r="BM17" s="1207"/>
      <c r="BN17" s="1199" t="str">
        <f t="shared" si="5"/>
        <v/>
      </c>
      <c r="BO17" s="1208"/>
      <c r="BP17" s="1223"/>
      <c r="BQ17" s="1234"/>
      <c r="BR17" s="1209"/>
      <c r="BS17" s="1209"/>
      <c r="BT17" s="1212"/>
      <c r="BU17" s="1241"/>
      <c r="BV17" s="1230" t="s">
        <v>123</v>
      </c>
      <c r="BW17" s="1230" t="s">
        <v>123</v>
      </c>
      <c r="BX17" s="1206" t="s">
        <v>123</v>
      </c>
      <c r="BY17" s="1206"/>
      <c r="BZ17" s="1232" t="s">
        <v>123</v>
      </c>
      <c r="CA17" s="1207"/>
      <c r="CB17" s="1207"/>
      <c r="CC17" s="1199" t="str">
        <f t="shared" si="6"/>
        <v/>
      </c>
      <c r="CD17" s="1208"/>
      <c r="CE17" s="1223"/>
      <c r="CF17" s="1260"/>
      <c r="CG17" s="1253"/>
      <c r="CH17" s="1209"/>
      <c r="CI17" s="1212"/>
      <c r="CJ17" s="1211"/>
      <c r="CK17" s="1204" t="s">
        <v>123</v>
      </c>
      <c r="CL17" s="1204" t="s">
        <v>123</v>
      </c>
      <c r="CM17" s="1206" t="s">
        <v>123</v>
      </c>
      <c r="CN17" s="1239"/>
      <c r="CO17" s="1239" t="s">
        <v>123</v>
      </c>
      <c r="CP17" s="1207"/>
      <c r="CQ17" s="1207"/>
      <c r="CR17" s="1199" t="str">
        <f t="shared" si="7"/>
        <v/>
      </c>
      <c r="CS17" s="1208"/>
      <c r="CT17" s="1223"/>
      <c r="CU17" s="1234"/>
      <c r="CV17" s="1209"/>
      <c r="CW17" s="1209"/>
      <c r="CX17" s="1240"/>
      <c r="CY17" s="1242"/>
      <c r="CZ17" s="1204" t="s">
        <v>123</v>
      </c>
      <c r="DA17" s="1204" t="s">
        <v>123</v>
      </c>
      <c r="DB17" s="1206" t="s">
        <v>123</v>
      </c>
      <c r="DC17" s="1206"/>
      <c r="DD17" s="1232" t="s">
        <v>123</v>
      </c>
      <c r="DE17" s="1207"/>
      <c r="DF17" s="1207"/>
      <c r="DG17" s="1199" t="str">
        <f t="shared" si="8"/>
        <v/>
      </c>
      <c r="DH17" s="1208"/>
      <c r="DI17" s="1223"/>
      <c r="DJ17" s="1222"/>
      <c r="DK17" s="1224"/>
      <c r="DL17" s="1209"/>
      <c r="DM17" s="1212"/>
      <c r="DN17" s="1242"/>
      <c r="DO17" s="1230" t="s">
        <v>123</v>
      </c>
      <c r="DP17" s="1230" t="s">
        <v>123</v>
      </c>
      <c r="DQ17" s="1206" t="s">
        <v>123</v>
      </c>
      <c r="DR17" s="1206"/>
      <c r="DS17" s="1239" t="s">
        <v>123</v>
      </c>
      <c r="DT17" s="1207"/>
      <c r="DU17" s="1207"/>
      <c r="DV17" s="1199" t="str">
        <f t="shared" si="9"/>
        <v/>
      </c>
      <c r="DW17" s="1208"/>
      <c r="DX17" s="1223"/>
      <c r="DY17" s="1234"/>
      <c r="DZ17" s="1209"/>
      <c r="EA17" s="1209"/>
      <c r="EB17" s="1212"/>
      <c r="EC17" s="1242"/>
      <c r="ED17" s="1230" t="s">
        <v>123</v>
      </c>
      <c r="EE17" s="1230" t="s">
        <v>123</v>
      </c>
      <c r="EF17" s="1206" t="s">
        <v>123</v>
      </c>
      <c r="EG17" s="1206"/>
      <c r="EH17" s="1232" t="s">
        <v>123</v>
      </c>
      <c r="EI17" s="1207"/>
      <c r="EJ17" s="1207"/>
      <c r="EK17" s="1199" t="str">
        <f t="shared" si="10"/>
        <v/>
      </c>
      <c r="EL17" s="1208"/>
      <c r="EM17" s="1208"/>
      <c r="EN17" s="1243"/>
      <c r="EO17" s="1224"/>
      <c r="EP17" s="1224"/>
      <c r="EQ17" s="1212"/>
      <c r="ER17" s="1242"/>
      <c r="ES17" s="1230" t="s">
        <v>123</v>
      </c>
      <c r="ET17" s="1230" t="s">
        <v>123</v>
      </c>
      <c r="EU17" s="1206" t="s">
        <v>123</v>
      </c>
      <c r="EV17" s="1206"/>
      <c r="EW17" s="1232" t="s">
        <v>123</v>
      </c>
      <c r="EX17" s="1207"/>
      <c r="EY17" s="1207"/>
      <c r="EZ17" s="1199" t="str">
        <f t="shared" si="11"/>
        <v/>
      </c>
      <c r="FA17" s="1208"/>
      <c r="FB17" s="1208"/>
      <c r="FC17" s="1234"/>
      <c r="FD17" s="1209"/>
      <c r="FE17" s="1209"/>
      <c r="FF17" s="1212"/>
      <c r="FG17" s="1241"/>
      <c r="FH17" s="1230" t="s">
        <v>123</v>
      </c>
      <c r="FI17" s="1230" t="s">
        <v>123</v>
      </c>
      <c r="FJ17" s="1206" t="s">
        <v>123</v>
      </c>
      <c r="FK17" s="1206"/>
      <c r="FL17" s="1232" t="s">
        <v>123</v>
      </c>
      <c r="FM17" s="1207"/>
      <c r="FN17" s="1207"/>
      <c r="FO17" s="1199" t="str">
        <f t="shared" si="12"/>
        <v/>
      </c>
      <c r="FP17" s="1208"/>
      <c r="FQ17" s="1208"/>
      <c r="FR17" s="1234"/>
      <c r="FS17" s="1209"/>
      <c r="FT17" s="1209"/>
      <c r="FU17" s="1212"/>
      <c r="FV17" s="1241"/>
      <c r="FW17" s="1204" t="s">
        <v>123</v>
      </c>
      <c r="FX17" s="1204" t="s">
        <v>123</v>
      </c>
      <c r="FY17" s="1206" t="s">
        <v>123</v>
      </c>
      <c r="FZ17" s="1206"/>
      <c r="GA17" s="1232" t="s">
        <v>123</v>
      </c>
      <c r="GB17" s="1207"/>
      <c r="GC17" s="1207"/>
      <c r="GD17" s="1199" t="str">
        <f t="shared" si="13"/>
        <v/>
      </c>
      <c r="GE17" s="1208"/>
      <c r="GF17" s="1208"/>
      <c r="GG17" s="1243"/>
      <c r="GH17" s="1224"/>
      <c r="GI17" s="1209"/>
      <c r="GJ17" s="1210"/>
      <c r="GK17" s="1241"/>
      <c r="GL17" s="1204" t="s">
        <v>123</v>
      </c>
      <c r="GM17" s="1204" t="s">
        <v>123</v>
      </c>
      <c r="GN17" s="1206" t="s">
        <v>123</v>
      </c>
      <c r="GO17" s="1206"/>
      <c r="GP17" s="1232" t="s">
        <v>123</v>
      </c>
      <c r="GQ17" s="1207"/>
      <c r="GR17" s="1207"/>
      <c r="GS17" s="1199" t="str">
        <f t="shared" si="14"/>
        <v/>
      </c>
      <c r="GT17" s="1208"/>
      <c r="GU17" s="1208"/>
      <c r="GV17" s="1243"/>
      <c r="GW17" s="1224"/>
      <c r="GX17" s="1209"/>
      <c r="GY17" s="1210"/>
      <c r="GZ17" s="1241"/>
      <c r="HA17" s="1204" t="s">
        <v>123</v>
      </c>
      <c r="HB17" s="1204" t="s">
        <v>123</v>
      </c>
      <c r="HC17" s="1206" t="s">
        <v>123</v>
      </c>
      <c r="HD17" s="1206"/>
      <c r="HE17" s="1232" t="s">
        <v>123</v>
      </c>
      <c r="HF17" s="1207"/>
      <c r="HG17" s="1207"/>
      <c r="HH17" s="1199" t="str">
        <f t="shared" si="15"/>
        <v/>
      </c>
      <c r="HI17" s="1208"/>
      <c r="HJ17" s="1208"/>
      <c r="HK17" s="1243"/>
      <c r="HL17" s="1224"/>
      <c r="HM17" s="1253"/>
      <c r="HN17" s="1210"/>
      <c r="HO17" s="1242"/>
      <c r="HP17" s="1204" t="s">
        <v>123</v>
      </c>
      <c r="HQ17" s="1204" t="s">
        <v>123</v>
      </c>
      <c r="HR17" s="1206" t="s">
        <v>123</v>
      </c>
      <c r="HS17" s="1206"/>
      <c r="HT17" s="1232" t="s">
        <v>123</v>
      </c>
      <c r="HU17" s="1207"/>
      <c r="HV17" s="1207"/>
      <c r="HW17" s="1227"/>
    </row>
    <row r="18" ht="15.75" customHeight="1">
      <c r="A18" s="619">
        <v>10.0</v>
      </c>
      <c r="B18" s="730" t="b">
        <v>1</v>
      </c>
      <c r="C18" s="1245" t="str">
        <f>HYPERLINK(ParametrosURL&amp;"/edit"&amp;"#gid="&amp;ParametrosIDAbaCarteira&amp;"range=EK2",IF($ER$2="","Carteira #10",$ER$2))</f>
        <v>Carteira #10</v>
      </c>
      <c r="D18" s="1246">
        <v>0.0</v>
      </c>
      <c r="E18" s="1254" t="str">
        <f>IFERROR(__xludf.DUMMYFUNCTION("IF($ER$2="""","""",COUNTUNIQUE(EX$7:EX106)&amp;"" (""&amp;countunique(EY$7:EY106)&amp;"")"")"),"")</f>
        <v/>
      </c>
      <c r="F18" s="1199" t="str">
        <f t="shared" si="1"/>
        <v/>
      </c>
      <c r="G18" s="1208"/>
      <c r="H18" s="1208"/>
      <c r="I18" s="1201"/>
      <c r="J18" s="1209"/>
      <c r="K18" s="1209"/>
      <c r="L18" s="1212"/>
      <c r="M18" s="1203"/>
      <c r="N18" s="1230" t="s">
        <v>123</v>
      </c>
      <c r="O18" s="1230" t="s">
        <v>123</v>
      </c>
      <c r="P18" s="1231" t="s">
        <v>123</v>
      </c>
      <c r="Q18" s="1207"/>
      <c r="R18" s="1207" t="s">
        <v>123</v>
      </c>
      <c r="S18" s="1207"/>
      <c r="T18" s="1207"/>
      <c r="U18" s="1199" t="str">
        <f t="shared" si="2"/>
        <v/>
      </c>
      <c r="V18" s="1208"/>
      <c r="W18" s="1208"/>
      <c r="X18" s="1201"/>
      <c r="Y18" s="1209"/>
      <c r="Z18" s="1209"/>
      <c r="AA18" s="1210"/>
      <c r="AB18" s="1211"/>
      <c r="AC18" s="1204" t="s">
        <v>123</v>
      </c>
      <c r="AD18" s="1204" t="s">
        <v>123</v>
      </c>
      <c r="AE18" s="1205" t="s">
        <v>123</v>
      </c>
      <c r="AF18" s="1206"/>
      <c r="AG18" s="1232" t="s">
        <v>123</v>
      </c>
      <c r="AH18" s="1207"/>
      <c r="AI18" s="1233"/>
      <c r="AJ18" s="1199" t="str">
        <f t="shared" si="3"/>
        <v/>
      </c>
      <c r="AK18" s="1208"/>
      <c r="AL18" s="1208"/>
      <c r="AM18" s="1201"/>
      <c r="AN18" s="1209"/>
      <c r="AO18" s="1209"/>
      <c r="AP18" s="1212"/>
      <c r="AQ18" s="1211"/>
      <c r="AR18" s="1204" t="s">
        <v>123</v>
      </c>
      <c r="AS18" s="1204" t="s">
        <v>123</v>
      </c>
      <c r="AT18" s="1206" t="s">
        <v>123</v>
      </c>
      <c r="AU18" s="1206"/>
      <c r="AV18" s="1232" t="s">
        <v>123</v>
      </c>
      <c r="AW18" s="1233"/>
      <c r="AX18" s="1207"/>
      <c r="AY18" s="1199" t="str">
        <f t="shared" si="4"/>
        <v/>
      </c>
      <c r="AZ18" s="1208"/>
      <c r="BA18" s="1223"/>
      <c r="BB18" s="1234"/>
      <c r="BC18" s="1209"/>
      <c r="BD18" s="1209"/>
      <c r="BE18" s="1212"/>
      <c r="BF18" s="1252"/>
      <c r="BG18" s="1204" t="s">
        <v>123</v>
      </c>
      <c r="BH18" s="1204" t="s">
        <v>123</v>
      </c>
      <c r="BI18" s="1206" t="s">
        <v>123</v>
      </c>
      <c r="BJ18" s="1206"/>
      <c r="BK18" s="1232" t="s">
        <v>123</v>
      </c>
      <c r="BL18" s="1207"/>
      <c r="BM18" s="1207"/>
      <c r="BN18" s="1199" t="str">
        <f t="shared" si="5"/>
        <v/>
      </c>
      <c r="BO18" s="1208"/>
      <c r="BP18" s="1223"/>
      <c r="BQ18" s="1234"/>
      <c r="BR18" s="1209"/>
      <c r="BS18" s="1209"/>
      <c r="BT18" s="1212"/>
      <c r="BU18" s="1241"/>
      <c r="BV18" s="1230" t="s">
        <v>123</v>
      </c>
      <c r="BW18" s="1230" t="s">
        <v>123</v>
      </c>
      <c r="BX18" s="1206" t="s">
        <v>123</v>
      </c>
      <c r="BY18" s="1206"/>
      <c r="BZ18" s="1232" t="s">
        <v>123</v>
      </c>
      <c r="CA18" s="1207"/>
      <c r="CB18" s="1207"/>
      <c r="CC18" s="1199" t="str">
        <f t="shared" si="6"/>
        <v/>
      </c>
      <c r="CD18" s="1208"/>
      <c r="CE18" s="1223"/>
      <c r="CF18" s="1234"/>
      <c r="CG18" s="1209"/>
      <c r="CH18" s="1209"/>
      <c r="CI18" s="1212"/>
      <c r="CJ18" s="1211"/>
      <c r="CK18" s="1204" t="s">
        <v>123</v>
      </c>
      <c r="CL18" s="1204" t="s">
        <v>123</v>
      </c>
      <c r="CM18" s="1206" t="s">
        <v>123</v>
      </c>
      <c r="CN18" s="1239"/>
      <c r="CO18" s="1239" t="s">
        <v>123</v>
      </c>
      <c r="CP18" s="1207"/>
      <c r="CQ18" s="1207"/>
      <c r="CR18" s="1199" t="str">
        <f t="shared" si="7"/>
        <v/>
      </c>
      <c r="CS18" s="1208"/>
      <c r="CT18" s="1223"/>
      <c r="CU18" s="1234"/>
      <c r="CV18" s="1209"/>
      <c r="CW18" s="1209"/>
      <c r="CX18" s="1240"/>
      <c r="CY18" s="1242"/>
      <c r="CZ18" s="1204" t="s">
        <v>123</v>
      </c>
      <c r="DA18" s="1204" t="s">
        <v>123</v>
      </c>
      <c r="DB18" s="1206" t="s">
        <v>123</v>
      </c>
      <c r="DC18" s="1206"/>
      <c r="DD18" s="1232" t="s">
        <v>123</v>
      </c>
      <c r="DE18" s="1207"/>
      <c r="DF18" s="1207"/>
      <c r="DG18" s="1199" t="str">
        <f t="shared" si="8"/>
        <v/>
      </c>
      <c r="DH18" s="1208"/>
      <c r="DI18" s="1223"/>
      <c r="DJ18" s="1222"/>
      <c r="DK18" s="1209"/>
      <c r="DL18" s="1209"/>
      <c r="DM18" s="1252"/>
      <c r="DN18" s="1242"/>
      <c r="DO18" s="1230" t="s">
        <v>123</v>
      </c>
      <c r="DP18" s="1230" t="s">
        <v>123</v>
      </c>
      <c r="DQ18" s="1206" t="s">
        <v>123</v>
      </c>
      <c r="DR18" s="1206"/>
      <c r="DS18" s="1239" t="s">
        <v>123</v>
      </c>
      <c r="DT18" s="1207"/>
      <c r="DU18" s="1207"/>
      <c r="DV18" s="1199" t="str">
        <f t="shared" si="9"/>
        <v/>
      </c>
      <c r="DW18" s="1208"/>
      <c r="DX18" s="1223"/>
      <c r="DY18" s="1234"/>
      <c r="DZ18" s="1209"/>
      <c r="EA18" s="1209"/>
      <c r="EB18" s="1212"/>
      <c r="EC18" s="1242"/>
      <c r="ED18" s="1230" t="s">
        <v>123</v>
      </c>
      <c r="EE18" s="1230" t="s">
        <v>123</v>
      </c>
      <c r="EF18" s="1206" t="s">
        <v>123</v>
      </c>
      <c r="EG18" s="1206"/>
      <c r="EH18" s="1232" t="s">
        <v>123</v>
      </c>
      <c r="EI18" s="1207"/>
      <c r="EJ18" s="1207"/>
      <c r="EK18" s="1199" t="str">
        <f t="shared" si="10"/>
        <v/>
      </c>
      <c r="EL18" s="1208"/>
      <c r="EM18" s="1208"/>
      <c r="EN18" s="1243"/>
      <c r="EO18" s="1224"/>
      <c r="EP18" s="1224"/>
      <c r="EQ18" s="1212"/>
      <c r="ER18" s="1241"/>
      <c r="ES18" s="1230" t="s">
        <v>123</v>
      </c>
      <c r="ET18" s="1230" t="s">
        <v>123</v>
      </c>
      <c r="EU18" s="1206" t="s">
        <v>123</v>
      </c>
      <c r="EV18" s="1206"/>
      <c r="EW18" s="1232" t="s">
        <v>123</v>
      </c>
      <c r="EX18" s="1207"/>
      <c r="EY18" s="1207"/>
      <c r="EZ18" s="1199" t="str">
        <f t="shared" si="11"/>
        <v/>
      </c>
      <c r="FA18" s="1208"/>
      <c r="FB18" s="1208"/>
      <c r="FC18" s="1234"/>
      <c r="FD18" s="1209"/>
      <c r="FE18" s="1209"/>
      <c r="FF18" s="1212"/>
      <c r="FG18" s="1241"/>
      <c r="FH18" s="1230" t="s">
        <v>123</v>
      </c>
      <c r="FI18" s="1230" t="s">
        <v>123</v>
      </c>
      <c r="FJ18" s="1206" t="s">
        <v>123</v>
      </c>
      <c r="FK18" s="1206"/>
      <c r="FL18" s="1232" t="s">
        <v>123</v>
      </c>
      <c r="FM18" s="1207"/>
      <c r="FN18" s="1207"/>
      <c r="FO18" s="1199" t="str">
        <f t="shared" si="12"/>
        <v/>
      </c>
      <c r="FP18" s="1208"/>
      <c r="FQ18" s="1208"/>
      <c r="FR18" s="1234"/>
      <c r="FS18" s="1209"/>
      <c r="FT18" s="1209"/>
      <c r="FU18" s="1212"/>
      <c r="FV18" s="1241"/>
      <c r="FW18" s="1204" t="s">
        <v>123</v>
      </c>
      <c r="FX18" s="1204" t="s">
        <v>123</v>
      </c>
      <c r="FY18" s="1206" t="s">
        <v>123</v>
      </c>
      <c r="FZ18" s="1206"/>
      <c r="GA18" s="1232" t="s">
        <v>123</v>
      </c>
      <c r="GB18" s="1207"/>
      <c r="GC18" s="1207"/>
      <c r="GD18" s="1199" t="str">
        <f t="shared" si="13"/>
        <v/>
      </c>
      <c r="GE18" s="1208"/>
      <c r="GF18" s="1208"/>
      <c r="GG18" s="1243"/>
      <c r="GH18" s="1224"/>
      <c r="GI18" s="1209"/>
      <c r="GJ18" s="1210"/>
      <c r="GK18" s="1242"/>
      <c r="GL18" s="1204" t="s">
        <v>123</v>
      </c>
      <c r="GM18" s="1204" t="s">
        <v>123</v>
      </c>
      <c r="GN18" s="1206" t="s">
        <v>123</v>
      </c>
      <c r="GO18" s="1206"/>
      <c r="GP18" s="1232" t="s">
        <v>123</v>
      </c>
      <c r="GQ18" s="1207"/>
      <c r="GR18" s="1207"/>
      <c r="GS18" s="1199" t="str">
        <f t="shared" si="14"/>
        <v/>
      </c>
      <c r="GT18" s="1208"/>
      <c r="GU18" s="1208"/>
      <c r="GV18" s="1243"/>
      <c r="GW18" s="1224"/>
      <c r="GX18" s="1209"/>
      <c r="GY18" s="1210"/>
      <c r="GZ18" s="1241"/>
      <c r="HA18" s="1204" t="s">
        <v>123</v>
      </c>
      <c r="HB18" s="1204" t="s">
        <v>123</v>
      </c>
      <c r="HC18" s="1206" t="s">
        <v>123</v>
      </c>
      <c r="HD18" s="1206"/>
      <c r="HE18" s="1232" t="s">
        <v>123</v>
      </c>
      <c r="HF18" s="1207"/>
      <c r="HG18" s="1207"/>
      <c r="HH18" s="1199" t="str">
        <f t="shared" si="15"/>
        <v/>
      </c>
      <c r="HI18" s="1208"/>
      <c r="HJ18" s="1208"/>
      <c r="HK18" s="1243"/>
      <c r="HL18" s="1224"/>
      <c r="HM18" s="1209"/>
      <c r="HN18" s="1210"/>
      <c r="HO18" s="1242"/>
      <c r="HP18" s="1204" t="s">
        <v>123</v>
      </c>
      <c r="HQ18" s="1204" t="s">
        <v>123</v>
      </c>
      <c r="HR18" s="1206" t="s">
        <v>123</v>
      </c>
      <c r="HS18" s="1206"/>
      <c r="HT18" s="1232" t="s">
        <v>123</v>
      </c>
      <c r="HU18" s="1207"/>
      <c r="HV18" s="1207"/>
      <c r="HW18" s="1227"/>
    </row>
    <row r="19" ht="15.75" customHeight="1">
      <c r="A19" s="619">
        <v>11.0</v>
      </c>
      <c r="B19" s="730" t="b">
        <v>1</v>
      </c>
      <c r="C19" s="1245" t="str">
        <f>HYPERLINK(ParametrosURL&amp;"/edit"&amp;"#gid="&amp;ParametrosIDAbaCarteira&amp;"range=EZ2",IF($FG$2="","Carteira #11",$FG$2))</f>
        <v>Carteira #11</v>
      </c>
      <c r="D19" s="1246">
        <v>0.0</v>
      </c>
      <c r="E19" s="1254" t="str">
        <f>IFERROR(__xludf.DUMMYFUNCTION("IF($FG$2="""","""",COUNTUNIQUE(FM$7:FM106)&amp;"" (""&amp;countunique(FN$7:FN106)&amp;"")"")"),"")</f>
        <v/>
      </c>
      <c r="F19" s="1199" t="str">
        <f t="shared" si="1"/>
        <v/>
      </c>
      <c r="G19" s="1208"/>
      <c r="H19" s="1208"/>
      <c r="I19" s="1201"/>
      <c r="J19" s="1209"/>
      <c r="K19" s="1209"/>
      <c r="L19" s="1212"/>
      <c r="M19" s="1203"/>
      <c r="N19" s="1230" t="s">
        <v>123</v>
      </c>
      <c r="O19" s="1230" t="s">
        <v>123</v>
      </c>
      <c r="P19" s="1231" t="s">
        <v>123</v>
      </c>
      <c r="Q19" s="1207"/>
      <c r="R19" s="1207" t="s">
        <v>123</v>
      </c>
      <c r="S19" s="1207"/>
      <c r="T19" s="1207"/>
      <c r="U19" s="1199" t="str">
        <f t="shared" si="2"/>
        <v/>
      </c>
      <c r="V19" s="1208"/>
      <c r="W19" s="1208"/>
      <c r="X19" s="1201"/>
      <c r="Y19" s="1209"/>
      <c r="Z19" s="1209"/>
      <c r="AA19" s="1210"/>
      <c r="AB19" s="1211"/>
      <c r="AC19" s="1204" t="s">
        <v>123</v>
      </c>
      <c r="AD19" s="1204" t="s">
        <v>123</v>
      </c>
      <c r="AE19" s="1205" t="s">
        <v>123</v>
      </c>
      <c r="AF19" s="1206"/>
      <c r="AG19" s="1232" t="s">
        <v>123</v>
      </c>
      <c r="AH19" s="1207"/>
      <c r="AI19" s="1233"/>
      <c r="AJ19" s="1199" t="str">
        <f t="shared" si="3"/>
        <v/>
      </c>
      <c r="AK19" s="1208"/>
      <c r="AL19" s="1208"/>
      <c r="AM19" s="1201"/>
      <c r="AN19" s="1209"/>
      <c r="AO19" s="1209"/>
      <c r="AP19" s="1212"/>
      <c r="AQ19" s="1211"/>
      <c r="AR19" s="1204" t="s">
        <v>123</v>
      </c>
      <c r="AS19" s="1204" t="s">
        <v>123</v>
      </c>
      <c r="AT19" s="1206" t="s">
        <v>123</v>
      </c>
      <c r="AU19" s="1206"/>
      <c r="AV19" s="1232" t="s">
        <v>123</v>
      </c>
      <c r="AW19" s="1233"/>
      <c r="AX19" s="1207"/>
      <c r="AY19" s="1199" t="str">
        <f t="shared" si="4"/>
        <v/>
      </c>
      <c r="AZ19" s="1208"/>
      <c r="BA19" s="1223"/>
      <c r="BB19" s="1234"/>
      <c r="BC19" s="1209"/>
      <c r="BD19" s="1209"/>
      <c r="BE19" s="1212"/>
      <c r="BF19" s="1252"/>
      <c r="BG19" s="1204" t="s">
        <v>123</v>
      </c>
      <c r="BH19" s="1204" t="s">
        <v>123</v>
      </c>
      <c r="BI19" s="1206" t="s">
        <v>123</v>
      </c>
      <c r="BJ19" s="1206"/>
      <c r="BK19" s="1232" t="s">
        <v>123</v>
      </c>
      <c r="BL19" s="1207"/>
      <c r="BM19" s="1207"/>
      <c r="BN19" s="1199" t="str">
        <f t="shared" si="5"/>
        <v/>
      </c>
      <c r="BO19" s="1208"/>
      <c r="BP19" s="1223"/>
      <c r="BQ19" s="1234"/>
      <c r="BR19" s="1224"/>
      <c r="BS19" s="1209"/>
      <c r="BT19" s="1212"/>
      <c r="BU19" s="1241"/>
      <c r="BV19" s="1230" t="s">
        <v>123</v>
      </c>
      <c r="BW19" s="1230" t="s">
        <v>123</v>
      </c>
      <c r="BX19" s="1206" t="s">
        <v>123</v>
      </c>
      <c r="BY19" s="1206"/>
      <c r="BZ19" s="1232" t="s">
        <v>123</v>
      </c>
      <c r="CA19" s="1207"/>
      <c r="CB19" s="1207"/>
      <c r="CC19" s="1199" t="str">
        <f t="shared" si="6"/>
        <v/>
      </c>
      <c r="CD19" s="1208"/>
      <c r="CE19" s="1223"/>
      <c r="CF19" s="1234"/>
      <c r="CG19" s="1209"/>
      <c r="CH19" s="1209"/>
      <c r="CI19" s="1212"/>
      <c r="CJ19" s="1211"/>
      <c r="CK19" s="1204" t="s">
        <v>123</v>
      </c>
      <c r="CL19" s="1204" t="s">
        <v>123</v>
      </c>
      <c r="CM19" s="1206" t="s">
        <v>123</v>
      </c>
      <c r="CN19" s="1239"/>
      <c r="CO19" s="1239" t="s">
        <v>123</v>
      </c>
      <c r="CP19" s="1207"/>
      <c r="CQ19" s="1207"/>
      <c r="CR19" s="1199" t="str">
        <f t="shared" si="7"/>
        <v/>
      </c>
      <c r="CS19" s="1208"/>
      <c r="CT19" s="1213"/>
      <c r="CU19" s="1201"/>
      <c r="CV19" s="1202"/>
      <c r="CW19" s="1202"/>
      <c r="CX19" s="1212"/>
      <c r="CY19" s="1242"/>
      <c r="CZ19" s="1204" t="s">
        <v>123</v>
      </c>
      <c r="DA19" s="1204" t="s">
        <v>123</v>
      </c>
      <c r="DB19" s="1206" t="s">
        <v>123</v>
      </c>
      <c r="DC19" s="1206"/>
      <c r="DD19" s="1232" t="s">
        <v>123</v>
      </c>
      <c r="DE19" s="1207"/>
      <c r="DF19" s="1207"/>
      <c r="DG19" s="1199" t="str">
        <f t="shared" si="8"/>
        <v/>
      </c>
      <c r="DH19" s="1208"/>
      <c r="DI19" s="1261"/>
      <c r="DJ19" s="1222"/>
      <c r="DK19" s="1262"/>
      <c r="DL19" s="1262"/>
      <c r="DM19" s="1263"/>
      <c r="DN19" s="1264"/>
      <c r="DO19" s="1230" t="s">
        <v>123</v>
      </c>
      <c r="DP19" s="1230" t="s">
        <v>123</v>
      </c>
      <c r="DQ19" s="1206" t="s">
        <v>123</v>
      </c>
      <c r="DR19" s="1206"/>
      <c r="DS19" s="1232" t="s">
        <v>123</v>
      </c>
      <c r="DT19" s="1207"/>
      <c r="DU19" s="1207"/>
      <c r="DV19" s="1199" t="str">
        <f t="shared" si="9"/>
        <v/>
      </c>
      <c r="DW19" s="1208"/>
      <c r="DX19" s="1223"/>
      <c r="DY19" s="1234"/>
      <c r="DZ19" s="1209"/>
      <c r="EA19" s="1209"/>
      <c r="EB19" s="1212"/>
      <c r="EC19" s="1242"/>
      <c r="ED19" s="1230" t="s">
        <v>123</v>
      </c>
      <c r="EE19" s="1230" t="s">
        <v>123</v>
      </c>
      <c r="EF19" s="1206" t="s">
        <v>123</v>
      </c>
      <c r="EG19" s="1206"/>
      <c r="EH19" s="1232" t="s">
        <v>123</v>
      </c>
      <c r="EI19" s="1207"/>
      <c r="EJ19" s="1207"/>
      <c r="EK19" s="1199" t="str">
        <f t="shared" si="10"/>
        <v/>
      </c>
      <c r="EL19" s="1208"/>
      <c r="EM19" s="1208"/>
      <c r="EN19" s="1234"/>
      <c r="EO19" s="1209"/>
      <c r="EP19" s="1209"/>
      <c r="EQ19" s="1212"/>
      <c r="ER19" s="1241"/>
      <c r="ES19" s="1230" t="s">
        <v>123</v>
      </c>
      <c r="ET19" s="1230" t="s">
        <v>123</v>
      </c>
      <c r="EU19" s="1206" t="s">
        <v>123</v>
      </c>
      <c r="EV19" s="1206"/>
      <c r="EW19" s="1232" t="s">
        <v>123</v>
      </c>
      <c r="EX19" s="1207"/>
      <c r="EY19" s="1207"/>
      <c r="EZ19" s="1199" t="str">
        <f t="shared" si="11"/>
        <v/>
      </c>
      <c r="FA19" s="1208"/>
      <c r="FB19" s="1208"/>
      <c r="FC19" s="1243"/>
      <c r="FD19" s="1224"/>
      <c r="FE19" s="1224"/>
      <c r="FF19" s="1212"/>
      <c r="FG19" s="1241"/>
      <c r="FH19" s="1230" t="s">
        <v>123</v>
      </c>
      <c r="FI19" s="1230" t="s">
        <v>123</v>
      </c>
      <c r="FJ19" s="1206" t="s">
        <v>123</v>
      </c>
      <c r="FK19" s="1206"/>
      <c r="FL19" s="1232" t="s">
        <v>123</v>
      </c>
      <c r="FM19" s="1207"/>
      <c r="FN19" s="1207"/>
      <c r="FO19" s="1199" t="str">
        <f t="shared" si="12"/>
        <v/>
      </c>
      <c r="FP19" s="1208"/>
      <c r="FQ19" s="1223"/>
      <c r="FR19" s="1243"/>
      <c r="FS19" s="1224"/>
      <c r="FT19" s="1209"/>
      <c r="FU19" s="1212"/>
      <c r="FV19" s="1242"/>
      <c r="FW19" s="1204" t="s">
        <v>123</v>
      </c>
      <c r="FX19" s="1204" t="s">
        <v>123</v>
      </c>
      <c r="FY19" s="1206" t="s">
        <v>123</v>
      </c>
      <c r="FZ19" s="1206"/>
      <c r="GA19" s="1232" t="s">
        <v>123</v>
      </c>
      <c r="GB19" s="1207"/>
      <c r="GC19" s="1207"/>
      <c r="GD19" s="1199" t="str">
        <f t="shared" si="13"/>
        <v/>
      </c>
      <c r="GE19" s="1208"/>
      <c r="GF19" s="1223"/>
      <c r="GG19" s="1243"/>
      <c r="GH19" s="1224"/>
      <c r="GI19" s="1209"/>
      <c r="GJ19" s="1212"/>
      <c r="GK19" s="1242"/>
      <c r="GL19" s="1204" t="s">
        <v>123</v>
      </c>
      <c r="GM19" s="1204" t="s">
        <v>123</v>
      </c>
      <c r="GN19" s="1206" t="s">
        <v>123</v>
      </c>
      <c r="GO19" s="1206"/>
      <c r="GP19" s="1232" t="s">
        <v>123</v>
      </c>
      <c r="GQ19" s="1207"/>
      <c r="GR19" s="1207"/>
      <c r="GS19" s="1199" t="str">
        <f t="shared" si="14"/>
        <v/>
      </c>
      <c r="GT19" s="1208"/>
      <c r="GU19" s="1223"/>
      <c r="GV19" s="1243"/>
      <c r="GW19" s="1224"/>
      <c r="GX19" s="1209"/>
      <c r="GY19" s="1212"/>
      <c r="GZ19" s="1242"/>
      <c r="HA19" s="1204" t="s">
        <v>123</v>
      </c>
      <c r="HB19" s="1204" t="s">
        <v>123</v>
      </c>
      <c r="HC19" s="1206" t="s">
        <v>123</v>
      </c>
      <c r="HD19" s="1206"/>
      <c r="HE19" s="1232" t="s">
        <v>123</v>
      </c>
      <c r="HF19" s="1207"/>
      <c r="HG19" s="1207"/>
      <c r="HH19" s="1199" t="str">
        <f t="shared" si="15"/>
        <v/>
      </c>
      <c r="HI19" s="1208"/>
      <c r="HJ19" s="1223"/>
      <c r="HK19" s="1243"/>
      <c r="HL19" s="1224"/>
      <c r="HM19" s="1253"/>
      <c r="HN19" s="1212"/>
      <c r="HO19" s="1241"/>
      <c r="HP19" s="1204" t="s">
        <v>123</v>
      </c>
      <c r="HQ19" s="1204" t="s">
        <v>123</v>
      </c>
      <c r="HR19" s="1206" t="s">
        <v>123</v>
      </c>
      <c r="HS19" s="1206"/>
      <c r="HT19" s="1232" t="s">
        <v>123</v>
      </c>
      <c r="HU19" s="1207"/>
      <c r="HV19" s="1207"/>
      <c r="HW19" s="1227"/>
    </row>
    <row r="20" ht="15.75" customHeight="1">
      <c r="A20" s="619">
        <v>12.0</v>
      </c>
      <c r="B20" s="730" t="b">
        <v>1</v>
      </c>
      <c r="C20" s="1245" t="str">
        <f>HYPERLINK(ParametrosURL&amp;"/edit"&amp;"#gid="&amp;ParametrosIDAbaCarteira&amp;"range=FO2",IF($FV$2="","Carteira #12",$FV$2))</f>
        <v>Carteira #12</v>
      </c>
      <c r="D20" s="1246">
        <v>0.0</v>
      </c>
      <c r="E20" s="1254" t="str">
        <f>IFERROR(__xludf.DUMMYFUNCTION("IF($FV$2="""","""",COUNTUNIQUE(GB$7:GB106)&amp;"" (""&amp;countunique(GC$7:GC106)&amp;"")"")"),"")</f>
        <v/>
      </c>
      <c r="F20" s="1199" t="str">
        <f t="shared" si="1"/>
        <v/>
      </c>
      <c r="G20" s="1223"/>
      <c r="H20" s="1223"/>
      <c r="I20" s="1201"/>
      <c r="J20" s="1209"/>
      <c r="K20" s="1209"/>
      <c r="L20" s="1212"/>
      <c r="M20" s="1265"/>
      <c r="N20" s="1230" t="s">
        <v>123</v>
      </c>
      <c r="O20" s="1230" t="s">
        <v>123</v>
      </c>
      <c r="P20" s="1231" t="s">
        <v>123</v>
      </c>
      <c r="Q20" s="1207"/>
      <c r="R20" s="1207" t="s">
        <v>123</v>
      </c>
      <c r="S20" s="1207"/>
      <c r="T20" s="1207"/>
      <c r="U20" s="1199" t="str">
        <f t="shared" si="2"/>
        <v/>
      </c>
      <c r="V20" s="1208"/>
      <c r="W20" s="1200"/>
      <c r="X20" s="1201"/>
      <c r="Y20" s="1202"/>
      <c r="Z20" s="1202"/>
      <c r="AA20" s="1266"/>
      <c r="AB20" s="1211"/>
      <c r="AC20" s="1204" t="s">
        <v>123</v>
      </c>
      <c r="AD20" s="1204" t="s">
        <v>123</v>
      </c>
      <c r="AE20" s="1205" t="s">
        <v>123</v>
      </c>
      <c r="AF20" s="1206"/>
      <c r="AG20" s="1232" t="s">
        <v>123</v>
      </c>
      <c r="AH20" s="1207"/>
      <c r="AI20" s="1233"/>
      <c r="AJ20" s="1199" t="str">
        <f t="shared" si="3"/>
        <v/>
      </c>
      <c r="AK20" s="1208"/>
      <c r="AL20" s="1208"/>
      <c r="AM20" s="1201"/>
      <c r="AN20" s="1209"/>
      <c r="AO20" s="1209"/>
      <c r="AP20" s="1212"/>
      <c r="AQ20" s="1241"/>
      <c r="AR20" s="1204" t="s">
        <v>123</v>
      </c>
      <c r="AS20" s="1204" t="s">
        <v>123</v>
      </c>
      <c r="AT20" s="1206" t="s">
        <v>123</v>
      </c>
      <c r="AU20" s="1206"/>
      <c r="AV20" s="1232" t="s">
        <v>123</v>
      </c>
      <c r="AW20" s="1233"/>
      <c r="AX20" s="1207"/>
      <c r="AY20" s="1199" t="str">
        <f t="shared" si="4"/>
        <v/>
      </c>
      <c r="AZ20" s="1208"/>
      <c r="BA20" s="1223"/>
      <c r="BB20" s="1234"/>
      <c r="BC20" s="1209"/>
      <c r="BD20" s="1209"/>
      <c r="BE20" s="1212"/>
      <c r="BF20" s="1252"/>
      <c r="BG20" s="1204" t="s">
        <v>123</v>
      </c>
      <c r="BH20" s="1204" t="s">
        <v>123</v>
      </c>
      <c r="BI20" s="1206" t="s">
        <v>123</v>
      </c>
      <c r="BJ20" s="1206"/>
      <c r="BK20" s="1232" t="s">
        <v>123</v>
      </c>
      <c r="BL20" s="1207"/>
      <c r="BM20" s="1207"/>
      <c r="BN20" s="1199" t="str">
        <f t="shared" si="5"/>
        <v/>
      </c>
      <c r="BO20" s="1208"/>
      <c r="BP20" s="1208"/>
      <c r="BQ20" s="1234"/>
      <c r="BR20" s="1224"/>
      <c r="BS20" s="1209"/>
      <c r="BT20" s="1212"/>
      <c r="BU20" s="1242"/>
      <c r="BV20" s="1230" t="s">
        <v>123</v>
      </c>
      <c r="BW20" s="1230" t="s">
        <v>123</v>
      </c>
      <c r="BX20" s="1206" t="s">
        <v>123</v>
      </c>
      <c r="BY20" s="1206"/>
      <c r="BZ20" s="1232" t="s">
        <v>123</v>
      </c>
      <c r="CA20" s="1207"/>
      <c r="CB20" s="1207"/>
      <c r="CC20" s="1199" t="str">
        <f t="shared" si="6"/>
        <v/>
      </c>
      <c r="CD20" s="1208"/>
      <c r="CE20" s="1223"/>
      <c r="CF20" s="1234"/>
      <c r="CG20" s="1209"/>
      <c r="CH20" s="1209"/>
      <c r="CI20" s="1212"/>
      <c r="CJ20" s="1211"/>
      <c r="CK20" s="1204" t="s">
        <v>123</v>
      </c>
      <c r="CL20" s="1204" t="s">
        <v>123</v>
      </c>
      <c r="CM20" s="1206" t="s">
        <v>123</v>
      </c>
      <c r="CN20" s="1239"/>
      <c r="CO20" s="1239" t="s">
        <v>123</v>
      </c>
      <c r="CP20" s="1207"/>
      <c r="CQ20" s="1207"/>
      <c r="CR20" s="1199" t="str">
        <f t="shared" si="7"/>
        <v/>
      </c>
      <c r="CS20" s="1208"/>
      <c r="CT20" s="1223"/>
      <c r="CU20" s="1234"/>
      <c r="CV20" s="1209"/>
      <c r="CW20" s="1209"/>
      <c r="CX20" s="1212"/>
      <c r="CY20" s="1242"/>
      <c r="CZ20" s="1204" t="s">
        <v>123</v>
      </c>
      <c r="DA20" s="1204" t="s">
        <v>123</v>
      </c>
      <c r="DB20" s="1206" t="s">
        <v>123</v>
      </c>
      <c r="DC20" s="1206"/>
      <c r="DD20" s="1232" t="s">
        <v>123</v>
      </c>
      <c r="DE20" s="1207"/>
      <c r="DF20" s="1207"/>
      <c r="DG20" s="1199" t="str">
        <f t="shared" si="8"/>
        <v/>
      </c>
      <c r="DH20" s="1208"/>
      <c r="DI20" s="1223"/>
      <c r="DJ20" s="1222"/>
      <c r="DK20" s="1209"/>
      <c r="DL20" s="1209"/>
      <c r="DM20" s="1212"/>
      <c r="DN20" s="1241"/>
      <c r="DO20" s="1230" t="s">
        <v>123</v>
      </c>
      <c r="DP20" s="1230" t="s">
        <v>123</v>
      </c>
      <c r="DQ20" s="1206" t="s">
        <v>123</v>
      </c>
      <c r="DR20" s="1206"/>
      <c r="DS20" s="1232" t="s">
        <v>123</v>
      </c>
      <c r="DT20" s="1207"/>
      <c r="DU20" s="1207"/>
      <c r="DV20" s="1199" t="str">
        <f t="shared" si="9"/>
        <v/>
      </c>
      <c r="DW20" s="1208"/>
      <c r="DX20" s="1257"/>
      <c r="DY20" s="1234"/>
      <c r="DZ20" s="1209"/>
      <c r="EA20" s="1224"/>
      <c r="EB20" s="1212"/>
      <c r="EC20" s="1242"/>
      <c r="ED20" s="1230" t="s">
        <v>123</v>
      </c>
      <c r="EE20" s="1230" t="s">
        <v>123</v>
      </c>
      <c r="EF20" s="1206" t="s">
        <v>123</v>
      </c>
      <c r="EG20" s="1206"/>
      <c r="EH20" s="1232" t="s">
        <v>123</v>
      </c>
      <c r="EI20" s="1207"/>
      <c r="EJ20" s="1207"/>
      <c r="EK20" s="1199" t="str">
        <f t="shared" si="10"/>
        <v/>
      </c>
      <c r="EL20" s="1208"/>
      <c r="EM20" s="1208"/>
      <c r="EN20" s="1234"/>
      <c r="EO20" s="1209"/>
      <c r="EP20" s="1209"/>
      <c r="EQ20" s="1212"/>
      <c r="ER20" s="1241"/>
      <c r="ES20" s="1230" t="s">
        <v>123</v>
      </c>
      <c r="ET20" s="1230" t="s">
        <v>123</v>
      </c>
      <c r="EU20" s="1206" t="s">
        <v>123</v>
      </c>
      <c r="EV20" s="1206"/>
      <c r="EW20" s="1232" t="s">
        <v>123</v>
      </c>
      <c r="EX20" s="1207"/>
      <c r="EY20" s="1207"/>
      <c r="EZ20" s="1199" t="str">
        <f t="shared" si="11"/>
        <v/>
      </c>
      <c r="FA20" s="1208"/>
      <c r="FB20" s="1223"/>
      <c r="FC20" s="1243"/>
      <c r="FD20" s="1224"/>
      <c r="FE20" s="1224"/>
      <c r="FF20" s="1212"/>
      <c r="FG20" s="1241"/>
      <c r="FH20" s="1204" t="s">
        <v>123</v>
      </c>
      <c r="FI20" s="1204" t="s">
        <v>123</v>
      </c>
      <c r="FJ20" s="1206" t="s">
        <v>123</v>
      </c>
      <c r="FK20" s="1206"/>
      <c r="FL20" s="1232" t="s">
        <v>123</v>
      </c>
      <c r="FM20" s="1207"/>
      <c r="FN20" s="1207"/>
      <c r="FO20" s="1199" t="str">
        <f t="shared" si="12"/>
        <v/>
      </c>
      <c r="FP20" s="1208"/>
      <c r="FQ20" s="1223"/>
      <c r="FR20" s="1234"/>
      <c r="FS20" s="1209"/>
      <c r="FT20" s="1209"/>
      <c r="FU20" s="1212"/>
      <c r="FV20" s="1242"/>
      <c r="FW20" s="1204" t="s">
        <v>123</v>
      </c>
      <c r="FX20" s="1204" t="s">
        <v>123</v>
      </c>
      <c r="FY20" s="1206" t="s">
        <v>123</v>
      </c>
      <c r="FZ20" s="1206"/>
      <c r="GA20" s="1232" t="s">
        <v>123</v>
      </c>
      <c r="GB20" s="1207"/>
      <c r="GC20" s="1207"/>
      <c r="GD20" s="1199" t="str">
        <f t="shared" si="13"/>
        <v/>
      </c>
      <c r="GE20" s="1208"/>
      <c r="GF20" s="1267"/>
      <c r="GG20" s="1259"/>
      <c r="GH20" s="1253"/>
      <c r="GI20" s="1253"/>
      <c r="GJ20" s="1252"/>
      <c r="GK20" s="1242"/>
      <c r="GL20" s="1204" t="s">
        <v>123</v>
      </c>
      <c r="GM20" s="1204" t="s">
        <v>123</v>
      </c>
      <c r="GN20" s="1206" t="s">
        <v>123</v>
      </c>
      <c r="GO20" s="1206"/>
      <c r="GP20" s="1232" t="s">
        <v>123</v>
      </c>
      <c r="GQ20" s="1207"/>
      <c r="GR20" s="1207"/>
      <c r="GS20" s="1199" t="str">
        <f t="shared" si="14"/>
        <v/>
      </c>
      <c r="GT20" s="1208"/>
      <c r="GU20" s="1223"/>
      <c r="GV20" s="1234"/>
      <c r="GW20" s="1209"/>
      <c r="GX20" s="1209"/>
      <c r="GY20" s="1212"/>
      <c r="GZ20" s="1242"/>
      <c r="HA20" s="1204" t="s">
        <v>123</v>
      </c>
      <c r="HB20" s="1204" t="s">
        <v>123</v>
      </c>
      <c r="HC20" s="1206" t="s">
        <v>123</v>
      </c>
      <c r="HD20" s="1206"/>
      <c r="HE20" s="1232" t="s">
        <v>123</v>
      </c>
      <c r="HF20" s="1207"/>
      <c r="HG20" s="1207"/>
      <c r="HH20" s="1199" t="str">
        <f t="shared" si="15"/>
        <v/>
      </c>
      <c r="HI20" s="1208"/>
      <c r="HJ20" s="1223"/>
      <c r="HK20" s="1234"/>
      <c r="HL20" s="1209"/>
      <c r="HM20" s="1253"/>
      <c r="HN20" s="1212"/>
      <c r="HO20" s="1241"/>
      <c r="HP20" s="1204" t="s">
        <v>123</v>
      </c>
      <c r="HQ20" s="1204" t="s">
        <v>123</v>
      </c>
      <c r="HR20" s="1206" t="s">
        <v>123</v>
      </c>
      <c r="HS20" s="1206"/>
      <c r="HT20" s="1232" t="s">
        <v>123</v>
      </c>
      <c r="HU20" s="1207"/>
      <c r="HV20" s="1207"/>
      <c r="HW20" s="1227"/>
    </row>
    <row r="21" ht="15.75" customHeight="1">
      <c r="A21" s="619">
        <v>13.0</v>
      </c>
      <c r="B21" s="730" t="b">
        <v>1</v>
      </c>
      <c r="C21" s="1245" t="str">
        <f>HYPERLINK(ParametrosURL&amp;"/edit"&amp;"#gid="&amp;ParametrosIDAbaCarteira&amp;"range=GD2",IF($GK$2="","Carteira #13",$GK$2))</f>
        <v>Carteira #13</v>
      </c>
      <c r="D21" s="1246">
        <v>0.0</v>
      </c>
      <c r="E21" s="1254" t="str">
        <f>IFERROR(__xludf.DUMMYFUNCTION("IF($GK$2="""","""",COUNTUNIQUE(GQ$7:GQ106)&amp;"" (""&amp;countunique(GR$7:GR106)&amp;"")"")"),"")</f>
        <v/>
      </c>
      <c r="F21" s="1199" t="str">
        <f t="shared" si="1"/>
        <v/>
      </c>
      <c r="G21" s="1208"/>
      <c r="H21" s="1208"/>
      <c r="I21" s="1201"/>
      <c r="J21" s="1209"/>
      <c r="K21" s="1209"/>
      <c r="L21" s="1212"/>
      <c r="M21" s="1203"/>
      <c r="N21" s="1230" t="s">
        <v>123</v>
      </c>
      <c r="O21" s="1230" t="s">
        <v>123</v>
      </c>
      <c r="P21" s="1231" t="s">
        <v>123</v>
      </c>
      <c r="Q21" s="1207"/>
      <c r="R21" s="1207" t="s">
        <v>123</v>
      </c>
      <c r="S21" s="1207"/>
      <c r="T21" s="1207"/>
      <c r="U21" s="1199" t="str">
        <f t="shared" si="2"/>
        <v/>
      </c>
      <c r="V21" s="1208"/>
      <c r="W21" s="1208"/>
      <c r="X21" s="1201"/>
      <c r="Y21" s="1209"/>
      <c r="Z21" s="1209"/>
      <c r="AA21" s="1210"/>
      <c r="AB21" s="1211"/>
      <c r="AC21" s="1204" t="s">
        <v>123</v>
      </c>
      <c r="AD21" s="1204" t="s">
        <v>123</v>
      </c>
      <c r="AE21" s="1205" t="s">
        <v>123</v>
      </c>
      <c r="AF21" s="1206"/>
      <c r="AG21" s="1232" t="s">
        <v>123</v>
      </c>
      <c r="AH21" s="1207"/>
      <c r="AI21" s="1233"/>
      <c r="AJ21" s="1199" t="str">
        <f t="shared" si="3"/>
        <v/>
      </c>
      <c r="AK21" s="1208"/>
      <c r="AL21" s="1208"/>
      <c r="AM21" s="1259"/>
      <c r="AN21" s="1209"/>
      <c r="AO21" s="1253"/>
      <c r="AP21" s="1212"/>
      <c r="AQ21" s="1241"/>
      <c r="AR21" s="1204" t="s">
        <v>123</v>
      </c>
      <c r="AS21" s="1204" t="s">
        <v>123</v>
      </c>
      <c r="AT21" s="1206" t="s">
        <v>123</v>
      </c>
      <c r="AU21" s="1206"/>
      <c r="AV21" s="1232" t="s">
        <v>123</v>
      </c>
      <c r="AW21" s="1207"/>
      <c r="AX21" s="1207"/>
      <c r="AY21" s="1199" t="str">
        <f t="shared" si="4"/>
        <v/>
      </c>
      <c r="AZ21" s="1208"/>
      <c r="BA21" s="1223"/>
      <c r="BB21" s="1234"/>
      <c r="BC21" s="1209"/>
      <c r="BD21" s="1209"/>
      <c r="BE21" s="1212"/>
      <c r="BF21" s="1212"/>
      <c r="BG21" s="1204" t="s">
        <v>123</v>
      </c>
      <c r="BH21" s="1204" t="s">
        <v>123</v>
      </c>
      <c r="BI21" s="1206" t="s">
        <v>123</v>
      </c>
      <c r="BJ21" s="1206"/>
      <c r="BK21" s="1232" t="s">
        <v>123</v>
      </c>
      <c r="BL21" s="1207"/>
      <c r="BM21" s="1207"/>
      <c r="BN21" s="1199" t="str">
        <f t="shared" si="5"/>
        <v/>
      </c>
      <c r="BO21" s="1208"/>
      <c r="BP21" s="1208"/>
      <c r="BQ21" s="1234"/>
      <c r="BR21" s="1224"/>
      <c r="BS21" s="1209"/>
      <c r="BT21" s="1212"/>
      <c r="BU21" s="1242"/>
      <c r="BV21" s="1230" t="s">
        <v>123</v>
      </c>
      <c r="BW21" s="1230" t="s">
        <v>123</v>
      </c>
      <c r="BX21" s="1206" t="s">
        <v>123</v>
      </c>
      <c r="BY21" s="1206"/>
      <c r="BZ21" s="1232" t="s">
        <v>123</v>
      </c>
      <c r="CA21" s="1207"/>
      <c r="CB21" s="1207"/>
      <c r="CC21" s="1199" t="str">
        <f t="shared" si="6"/>
        <v/>
      </c>
      <c r="CD21" s="1208"/>
      <c r="CE21" s="1223"/>
      <c r="CF21" s="1234"/>
      <c r="CG21" s="1209"/>
      <c r="CH21" s="1209"/>
      <c r="CI21" s="1212"/>
      <c r="CJ21" s="1241"/>
      <c r="CK21" s="1204" t="s">
        <v>123</v>
      </c>
      <c r="CL21" s="1204" t="s">
        <v>123</v>
      </c>
      <c r="CM21" s="1206" t="s">
        <v>123</v>
      </c>
      <c r="CN21" s="1239"/>
      <c r="CO21" s="1239" t="s">
        <v>123</v>
      </c>
      <c r="CP21" s="1207"/>
      <c r="CQ21" s="1207"/>
      <c r="CR21" s="1199" t="str">
        <f t="shared" si="7"/>
        <v/>
      </c>
      <c r="CS21" s="1208"/>
      <c r="CT21" s="1223"/>
      <c r="CU21" s="1234"/>
      <c r="CV21" s="1209"/>
      <c r="CW21" s="1209"/>
      <c r="CX21" s="1212"/>
      <c r="CY21" s="1241"/>
      <c r="CZ21" s="1204" t="s">
        <v>123</v>
      </c>
      <c r="DA21" s="1204" t="s">
        <v>123</v>
      </c>
      <c r="DB21" s="1206" t="s">
        <v>123</v>
      </c>
      <c r="DC21" s="1206"/>
      <c r="DD21" s="1232" t="s">
        <v>123</v>
      </c>
      <c r="DE21" s="1207"/>
      <c r="DF21" s="1207"/>
      <c r="DG21" s="1199" t="str">
        <f t="shared" si="8"/>
        <v/>
      </c>
      <c r="DH21" s="1208"/>
      <c r="DI21" s="1223"/>
      <c r="DJ21" s="1222"/>
      <c r="DK21" s="1209"/>
      <c r="DL21" s="1253"/>
      <c r="DM21" s="1252"/>
      <c r="DN21" s="1241"/>
      <c r="DO21" s="1230" t="s">
        <v>123</v>
      </c>
      <c r="DP21" s="1230" t="s">
        <v>123</v>
      </c>
      <c r="DQ21" s="1206" t="s">
        <v>123</v>
      </c>
      <c r="DR21" s="1206"/>
      <c r="DS21" s="1232" t="s">
        <v>123</v>
      </c>
      <c r="DT21" s="1207"/>
      <c r="DU21" s="1207"/>
      <c r="DV21" s="1199" t="str">
        <f t="shared" si="9"/>
        <v/>
      </c>
      <c r="DW21" s="1208"/>
      <c r="DX21" s="1223"/>
      <c r="DY21" s="1234"/>
      <c r="DZ21" s="1209"/>
      <c r="EA21" s="1209"/>
      <c r="EB21" s="1212"/>
      <c r="EC21" s="1242"/>
      <c r="ED21" s="1230" t="s">
        <v>123</v>
      </c>
      <c r="EE21" s="1230" t="s">
        <v>123</v>
      </c>
      <c r="EF21" s="1206" t="s">
        <v>123</v>
      </c>
      <c r="EG21" s="1206"/>
      <c r="EH21" s="1232" t="s">
        <v>123</v>
      </c>
      <c r="EI21" s="1207"/>
      <c r="EJ21" s="1207"/>
      <c r="EK21" s="1199" t="str">
        <f t="shared" si="10"/>
        <v/>
      </c>
      <c r="EL21" s="1208"/>
      <c r="EM21" s="1208"/>
      <c r="EN21" s="1243"/>
      <c r="EO21" s="1224"/>
      <c r="EP21" s="1224"/>
      <c r="EQ21" s="1212"/>
      <c r="ER21" s="1241"/>
      <c r="ES21" s="1230" t="s">
        <v>123</v>
      </c>
      <c r="ET21" s="1230" t="s">
        <v>123</v>
      </c>
      <c r="EU21" s="1206" t="s">
        <v>123</v>
      </c>
      <c r="EV21" s="1206"/>
      <c r="EW21" s="1232" t="s">
        <v>123</v>
      </c>
      <c r="EX21" s="1207"/>
      <c r="EY21" s="1207"/>
      <c r="EZ21" s="1199" t="str">
        <f t="shared" si="11"/>
        <v/>
      </c>
      <c r="FA21" s="1208"/>
      <c r="FB21" s="1223"/>
      <c r="FC21" s="1243"/>
      <c r="FD21" s="1217"/>
      <c r="FE21" s="1217"/>
      <c r="FF21" s="1218"/>
      <c r="FG21" s="1241"/>
      <c r="FH21" s="1204" t="s">
        <v>123</v>
      </c>
      <c r="FI21" s="1204" t="s">
        <v>123</v>
      </c>
      <c r="FJ21" s="1206" t="s">
        <v>123</v>
      </c>
      <c r="FK21" s="1206"/>
      <c r="FL21" s="1232" t="s">
        <v>123</v>
      </c>
      <c r="FM21" s="1207"/>
      <c r="FN21" s="1207"/>
      <c r="FO21" s="1199" t="str">
        <f t="shared" si="12"/>
        <v/>
      </c>
      <c r="FP21" s="1208"/>
      <c r="FQ21" s="1223"/>
      <c r="FR21" s="1234"/>
      <c r="FS21" s="1209"/>
      <c r="FT21" s="1209"/>
      <c r="FU21" s="1212"/>
      <c r="FV21" s="1242"/>
      <c r="FW21" s="1204" t="s">
        <v>123</v>
      </c>
      <c r="FX21" s="1204" t="s">
        <v>123</v>
      </c>
      <c r="FY21" s="1206" t="s">
        <v>123</v>
      </c>
      <c r="FZ21" s="1206"/>
      <c r="GA21" s="1232" t="s">
        <v>123</v>
      </c>
      <c r="GB21" s="1207"/>
      <c r="GC21" s="1207"/>
      <c r="GD21" s="1199" t="str">
        <f t="shared" si="13"/>
        <v/>
      </c>
      <c r="GE21" s="1208"/>
      <c r="GF21" s="1223"/>
      <c r="GG21" s="1234"/>
      <c r="GH21" s="1209"/>
      <c r="GI21" s="1209"/>
      <c r="GJ21" s="1212"/>
      <c r="GK21" s="1242"/>
      <c r="GL21" s="1204" t="s">
        <v>123</v>
      </c>
      <c r="GM21" s="1204" t="s">
        <v>123</v>
      </c>
      <c r="GN21" s="1206" t="s">
        <v>123</v>
      </c>
      <c r="GO21" s="1206"/>
      <c r="GP21" s="1232" t="s">
        <v>123</v>
      </c>
      <c r="GQ21" s="1207"/>
      <c r="GR21" s="1207"/>
      <c r="GS21" s="1199" t="str">
        <f t="shared" si="14"/>
        <v/>
      </c>
      <c r="GT21" s="1208"/>
      <c r="GU21" s="1223"/>
      <c r="GV21" s="1234"/>
      <c r="GW21" s="1209"/>
      <c r="GX21" s="1209"/>
      <c r="GY21" s="1212"/>
      <c r="GZ21" s="1242"/>
      <c r="HA21" s="1204" t="s">
        <v>123</v>
      </c>
      <c r="HB21" s="1204" t="s">
        <v>123</v>
      </c>
      <c r="HC21" s="1206" t="s">
        <v>123</v>
      </c>
      <c r="HD21" s="1206"/>
      <c r="HE21" s="1232" t="s">
        <v>123</v>
      </c>
      <c r="HF21" s="1207"/>
      <c r="HG21" s="1207"/>
      <c r="HH21" s="1199" t="str">
        <f t="shared" si="15"/>
        <v/>
      </c>
      <c r="HI21" s="1208"/>
      <c r="HJ21" s="1223"/>
      <c r="HK21" s="1234"/>
      <c r="HL21" s="1209"/>
      <c r="HM21" s="1253"/>
      <c r="HN21" s="1212"/>
      <c r="HO21" s="1241"/>
      <c r="HP21" s="1204" t="s">
        <v>123</v>
      </c>
      <c r="HQ21" s="1204" t="s">
        <v>123</v>
      </c>
      <c r="HR21" s="1206" t="s">
        <v>123</v>
      </c>
      <c r="HS21" s="1206"/>
      <c r="HT21" s="1232" t="s">
        <v>123</v>
      </c>
      <c r="HU21" s="1207"/>
      <c r="HV21" s="1207"/>
      <c r="HW21" s="1227"/>
    </row>
    <row r="22" ht="15.75" customHeight="1">
      <c r="A22" s="619">
        <v>14.0</v>
      </c>
      <c r="B22" s="730" t="b">
        <v>1</v>
      </c>
      <c r="C22" s="1245" t="str">
        <f>HYPERLINK(ParametrosURL&amp;"/edit"&amp;"#gid="&amp;ParametrosIDAbaCarteira&amp;"range=GS2",IF($GZ$2="","Carteira #14",$GZ$2))</f>
        <v>Carteira #14</v>
      </c>
      <c r="D22" s="1246">
        <v>0.0</v>
      </c>
      <c r="E22" s="1254" t="str">
        <f>IFERROR(__xludf.DUMMYFUNCTION("IF($GZ$2="""","""",COUNTUNIQUE(HF$7:HF106)&amp;"" (""&amp;countunique(HG$7:HG106)&amp;"")"")"),"")</f>
        <v/>
      </c>
      <c r="F22" s="1199" t="str">
        <f t="shared" si="1"/>
        <v/>
      </c>
      <c r="G22" s="1208"/>
      <c r="H22" s="1208"/>
      <c r="I22" s="1201"/>
      <c r="J22" s="1209"/>
      <c r="K22" s="1209"/>
      <c r="L22" s="1212"/>
      <c r="M22" s="1203"/>
      <c r="N22" s="1230" t="s">
        <v>123</v>
      </c>
      <c r="O22" s="1230" t="s">
        <v>123</v>
      </c>
      <c r="P22" s="1231" t="s">
        <v>123</v>
      </c>
      <c r="Q22" s="1207"/>
      <c r="R22" s="1207" t="s">
        <v>123</v>
      </c>
      <c r="S22" s="1207"/>
      <c r="T22" s="1207"/>
      <c r="U22" s="1199" t="str">
        <f t="shared" si="2"/>
        <v/>
      </c>
      <c r="V22" s="1208"/>
      <c r="W22" s="1208"/>
      <c r="X22" s="1201"/>
      <c r="Y22" s="1209"/>
      <c r="Z22" s="1209"/>
      <c r="AA22" s="1210"/>
      <c r="AB22" s="1211"/>
      <c r="AC22" s="1204" t="s">
        <v>123</v>
      </c>
      <c r="AD22" s="1204" t="s">
        <v>123</v>
      </c>
      <c r="AE22" s="1205" t="s">
        <v>123</v>
      </c>
      <c r="AF22" s="1206"/>
      <c r="AG22" s="1232" t="s">
        <v>123</v>
      </c>
      <c r="AH22" s="1207"/>
      <c r="AI22" s="1207"/>
      <c r="AJ22" s="1199" t="str">
        <f t="shared" si="3"/>
        <v/>
      </c>
      <c r="AK22" s="1208"/>
      <c r="AL22" s="1208"/>
      <c r="AM22" s="1268"/>
      <c r="AN22" s="1257"/>
      <c r="AO22" s="1253"/>
      <c r="AP22" s="1212"/>
      <c r="AQ22" s="1241"/>
      <c r="AR22" s="1204" t="s">
        <v>123</v>
      </c>
      <c r="AS22" s="1204" t="s">
        <v>123</v>
      </c>
      <c r="AT22" s="1206" t="s">
        <v>123</v>
      </c>
      <c r="AU22" s="1206"/>
      <c r="AV22" s="1232" t="s">
        <v>123</v>
      </c>
      <c r="AW22" s="1207"/>
      <c r="AX22" s="1207"/>
      <c r="AY22" s="1199" t="str">
        <f t="shared" si="4"/>
        <v/>
      </c>
      <c r="AZ22" s="1208"/>
      <c r="BA22" s="1223"/>
      <c r="BB22" s="1234"/>
      <c r="BC22" s="1209"/>
      <c r="BD22" s="1209"/>
      <c r="BE22" s="1212"/>
      <c r="BF22" s="1242"/>
      <c r="BG22" s="1204" t="s">
        <v>123</v>
      </c>
      <c r="BH22" s="1204" t="s">
        <v>123</v>
      </c>
      <c r="BI22" s="1206" t="s">
        <v>123</v>
      </c>
      <c r="BJ22" s="1206"/>
      <c r="BK22" s="1232" t="s">
        <v>123</v>
      </c>
      <c r="BL22" s="1207"/>
      <c r="BM22" s="1207"/>
      <c r="BN22" s="1199" t="str">
        <f t="shared" si="5"/>
        <v/>
      </c>
      <c r="BO22" s="1208"/>
      <c r="BP22" s="1208"/>
      <c r="BQ22" s="1234"/>
      <c r="BR22" s="1224"/>
      <c r="BS22" s="1209"/>
      <c r="BT22" s="1212"/>
      <c r="BU22" s="1242"/>
      <c r="BV22" s="1230" t="s">
        <v>123</v>
      </c>
      <c r="BW22" s="1230" t="s">
        <v>123</v>
      </c>
      <c r="BX22" s="1206" t="s">
        <v>123</v>
      </c>
      <c r="BY22" s="1206"/>
      <c r="BZ22" s="1232" t="s">
        <v>123</v>
      </c>
      <c r="CA22" s="1207"/>
      <c r="CB22" s="1207"/>
      <c r="CC22" s="1199" t="str">
        <f t="shared" si="6"/>
        <v/>
      </c>
      <c r="CD22" s="1208"/>
      <c r="CE22" s="1223"/>
      <c r="CF22" s="1259"/>
      <c r="CG22" s="1253"/>
      <c r="CH22" s="1209"/>
      <c r="CI22" s="1212"/>
      <c r="CJ22" s="1242"/>
      <c r="CK22" s="1204" t="s">
        <v>123</v>
      </c>
      <c r="CL22" s="1204" t="s">
        <v>123</v>
      </c>
      <c r="CM22" s="1206" t="s">
        <v>123</v>
      </c>
      <c r="CN22" s="1239"/>
      <c r="CO22" s="1239" t="s">
        <v>123</v>
      </c>
      <c r="CP22" s="1207"/>
      <c r="CQ22" s="1207"/>
      <c r="CR22" s="1199" t="str">
        <f t="shared" si="7"/>
        <v/>
      </c>
      <c r="CS22" s="1208"/>
      <c r="CT22" s="1223"/>
      <c r="CU22" s="1234"/>
      <c r="CV22" s="1209"/>
      <c r="CW22" s="1209"/>
      <c r="CX22" s="1212"/>
      <c r="CY22" s="1242"/>
      <c r="CZ22" s="1204" t="s">
        <v>123</v>
      </c>
      <c r="DA22" s="1204" t="s">
        <v>123</v>
      </c>
      <c r="DB22" s="1206" t="s">
        <v>123</v>
      </c>
      <c r="DC22" s="1206"/>
      <c r="DD22" s="1232" t="s">
        <v>123</v>
      </c>
      <c r="DE22" s="1207"/>
      <c r="DF22" s="1207"/>
      <c r="DG22" s="1199" t="str">
        <f t="shared" si="8"/>
        <v/>
      </c>
      <c r="DH22" s="1208"/>
      <c r="DI22" s="1213"/>
      <c r="DJ22" s="1222"/>
      <c r="DK22" s="1202"/>
      <c r="DL22" s="1202"/>
      <c r="DM22" s="1269"/>
      <c r="DN22" s="1221"/>
      <c r="DO22" s="1230" t="s">
        <v>123</v>
      </c>
      <c r="DP22" s="1230" t="s">
        <v>123</v>
      </c>
      <c r="DQ22" s="1206" t="s">
        <v>123</v>
      </c>
      <c r="DR22" s="1206"/>
      <c r="DS22" s="1232" t="s">
        <v>123</v>
      </c>
      <c r="DT22" s="1207"/>
      <c r="DU22" s="1207"/>
      <c r="DV22" s="1199" t="str">
        <f t="shared" si="9"/>
        <v/>
      </c>
      <c r="DW22" s="1208"/>
      <c r="DX22" s="1213"/>
      <c r="DY22" s="1201"/>
      <c r="DZ22" s="1202"/>
      <c r="EA22" s="1202"/>
      <c r="EB22" s="1218"/>
      <c r="EC22" s="1241"/>
      <c r="ED22" s="1204" t="s">
        <v>123</v>
      </c>
      <c r="EE22" s="1204" t="s">
        <v>123</v>
      </c>
      <c r="EF22" s="1206" t="s">
        <v>123</v>
      </c>
      <c r="EG22" s="1206"/>
      <c r="EH22" s="1232" t="s">
        <v>123</v>
      </c>
      <c r="EI22" s="1207"/>
      <c r="EJ22" s="1207"/>
      <c r="EK22" s="1199" t="str">
        <f t="shared" si="10"/>
        <v/>
      </c>
      <c r="EL22" s="1208"/>
      <c r="EM22" s="1208"/>
      <c r="EN22" s="1234"/>
      <c r="EO22" s="1209"/>
      <c r="EP22" s="1209"/>
      <c r="EQ22" s="1212"/>
      <c r="ER22" s="1270"/>
      <c r="ES22" s="1204" t="s">
        <v>123</v>
      </c>
      <c r="ET22" s="1204" t="s">
        <v>123</v>
      </c>
      <c r="EU22" s="1206" t="s">
        <v>123</v>
      </c>
      <c r="EV22" s="1206"/>
      <c r="EW22" s="1232" t="s">
        <v>123</v>
      </c>
      <c r="EX22" s="1207"/>
      <c r="EY22" s="1207"/>
      <c r="EZ22" s="1199" t="str">
        <f t="shared" si="11"/>
        <v/>
      </c>
      <c r="FA22" s="1208"/>
      <c r="FB22" s="1223"/>
      <c r="FC22" s="1243"/>
      <c r="FD22" s="1224"/>
      <c r="FE22" s="1224"/>
      <c r="FF22" s="1212"/>
      <c r="FG22" s="1241"/>
      <c r="FH22" s="1204" t="s">
        <v>123</v>
      </c>
      <c r="FI22" s="1204" t="s">
        <v>123</v>
      </c>
      <c r="FJ22" s="1206" t="s">
        <v>123</v>
      </c>
      <c r="FK22" s="1206"/>
      <c r="FL22" s="1232" t="s">
        <v>123</v>
      </c>
      <c r="FM22" s="1207"/>
      <c r="FN22" s="1207"/>
      <c r="FO22" s="1199" t="str">
        <f t="shared" si="12"/>
        <v/>
      </c>
      <c r="FP22" s="1208"/>
      <c r="FQ22" s="1223"/>
      <c r="FR22" s="1234"/>
      <c r="FS22" s="1209"/>
      <c r="FT22" s="1209"/>
      <c r="FU22" s="1212"/>
      <c r="FV22" s="1242"/>
      <c r="FW22" s="1204" t="s">
        <v>123</v>
      </c>
      <c r="FX22" s="1204" t="s">
        <v>123</v>
      </c>
      <c r="FY22" s="1206" t="s">
        <v>123</v>
      </c>
      <c r="FZ22" s="1206"/>
      <c r="GA22" s="1232" t="s">
        <v>123</v>
      </c>
      <c r="GB22" s="1207"/>
      <c r="GC22" s="1207"/>
      <c r="GD22" s="1199" t="str">
        <f t="shared" si="13"/>
        <v/>
      </c>
      <c r="GE22" s="1208"/>
      <c r="GF22" s="1223"/>
      <c r="GG22" s="1234"/>
      <c r="GH22" s="1209"/>
      <c r="GI22" s="1209"/>
      <c r="GJ22" s="1212"/>
      <c r="GK22" s="1242"/>
      <c r="GL22" s="1204" t="s">
        <v>123</v>
      </c>
      <c r="GM22" s="1204" t="s">
        <v>123</v>
      </c>
      <c r="GN22" s="1206" t="s">
        <v>123</v>
      </c>
      <c r="GO22" s="1206"/>
      <c r="GP22" s="1232" t="s">
        <v>123</v>
      </c>
      <c r="GQ22" s="1207"/>
      <c r="GR22" s="1207"/>
      <c r="GS22" s="1199" t="str">
        <f t="shared" si="14"/>
        <v/>
      </c>
      <c r="GT22" s="1208"/>
      <c r="GU22" s="1223"/>
      <c r="GV22" s="1234"/>
      <c r="GW22" s="1209"/>
      <c r="GX22" s="1209"/>
      <c r="GY22" s="1212"/>
      <c r="GZ22" s="1242"/>
      <c r="HA22" s="1204" t="s">
        <v>123</v>
      </c>
      <c r="HB22" s="1204" t="s">
        <v>123</v>
      </c>
      <c r="HC22" s="1206" t="s">
        <v>123</v>
      </c>
      <c r="HD22" s="1206"/>
      <c r="HE22" s="1232" t="s">
        <v>123</v>
      </c>
      <c r="HF22" s="1207"/>
      <c r="HG22" s="1207"/>
      <c r="HH22" s="1199" t="str">
        <f t="shared" si="15"/>
        <v/>
      </c>
      <c r="HI22" s="1208"/>
      <c r="HJ22" s="1223"/>
      <c r="HK22" s="1234"/>
      <c r="HL22" s="1209"/>
      <c r="HM22" s="1253"/>
      <c r="HN22" s="1212"/>
      <c r="HO22" s="1241"/>
      <c r="HP22" s="1204" t="s">
        <v>123</v>
      </c>
      <c r="HQ22" s="1204" t="s">
        <v>123</v>
      </c>
      <c r="HR22" s="1206" t="s">
        <v>123</v>
      </c>
      <c r="HS22" s="1206"/>
      <c r="HT22" s="1232" t="s">
        <v>123</v>
      </c>
      <c r="HU22" s="1207"/>
      <c r="HV22" s="1207"/>
      <c r="HW22" s="1227"/>
    </row>
    <row r="23" ht="15.75" customHeight="1">
      <c r="A23" s="619">
        <v>15.0</v>
      </c>
      <c r="B23" s="730" t="b">
        <v>1</v>
      </c>
      <c r="C23" s="1245" t="str">
        <f>HYPERLINK(ParametrosURL&amp;"/edit"&amp;"#gid="&amp;ParametrosIDAbaCarteira&amp;"range=HH2",IF($HO$2="","Carteira #15",$HO$2))</f>
        <v>Carteira #15</v>
      </c>
      <c r="D23" s="1271">
        <v>0.0</v>
      </c>
      <c r="E23" s="1272" t="str">
        <f>IFERROR(__xludf.DUMMYFUNCTION("IF($HO$2="""","""",COUNTUNIQUE(HU$7:HU106)&amp;"" (""&amp;countunique(HV$7:HV106)&amp;"")"")"),"")</f>
        <v/>
      </c>
      <c r="F23" s="1199" t="str">
        <f t="shared" si="1"/>
        <v/>
      </c>
      <c r="G23" s="1223"/>
      <c r="H23" s="1223"/>
      <c r="I23" s="1259"/>
      <c r="J23" s="1209"/>
      <c r="K23" s="1209"/>
      <c r="L23" s="1212"/>
      <c r="M23" s="1273"/>
      <c r="N23" s="1230" t="s">
        <v>123</v>
      </c>
      <c r="O23" s="1230" t="s">
        <v>123</v>
      </c>
      <c r="P23" s="1231" t="s">
        <v>123</v>
      </c>
      <c r="Q23" s="1207"/>
      <c r="R23" s="1207" t="s">
        <v>123</v>
      </c>
      <c r="S23" s="1207"/>
      <c r="T23" s="1207"/>
      <c r="U23" s="1199" t="str">
        <f t="shared" si="2"/>
        <v/>
      </c>
      <c r="V23" s="1208"/>
      <c r="W23" s="1208"/>
      <c r="X23" s="1201"/>
      <c r="Y23" s="1209"/>
      <c r="Z23" s="1209"/>
      <c r="AA23" s="1210"/>
      <c r="AB23" s="1211"/>
      <c r="AC23" s="1204" t="s">
        <v>123</v>
      </c>
      <c r="AD23" s="1204" t="s">
        <v>123</v>
      </c>
      <c r="AE23" s="1205" t="s">
        <v>123</v>
      </c>
      <c r="AF23" s="1206"/>
      <c r="AG23" s="1232" t="s">
        <v>123</v>
      </c>
      <c r="AH23" s="1207"/>
      <c r="AI23" s="1207"/>
      <c r="AJ23" s="1199" t="str">
        <f t="shared" si="3"/>
        <v/>
      </c>
      <c r="AK23" s="1208"/>
      <c r="AL23" s="1200"/>
      <c r="AM23" s="1274"/>
      <c r="AN23" s="1202"/>
      <c r="AO23" s="1202"/>
      <c r="AP23" s="1218"/>
      <c r="AQ23" s="1226"/>
      <c r="AR23" s="1204" t="s">
        <v>123</v>
      </c>
      <c r="AS23" s="1204" t="s">
        <v>123</v>
      </c>
      <c r="AT23" s="1206" t="s">
        <v>123</v>
      </c>
      <c r="AU23" s="1206"/>
      <c r="AV23" s="1232" t="s">
        <v>123</v>
      </c>
      <c r="AW23" s="1207"/>
      <c r="AX23" s="1207"/>
      <c r="AY23" s="1199" t="str">
        <f t="shared" si="4"/>
        <v/>
      </c>
      <c r="AZ23" s="1208"/>
      <c r="BA23" s="1223"/>
      <c r="BB23" s="1234"/>
      <c r="BC23" s="1209"/>
      <c r="BD23" s="1209"/>
      <c r="BE23" s="1212"/>
      <c r="BF23" s="1242"/>
      <c r="BG23" s="1204" t="s">
        <v>123</v>
      </c>
      <c r="BH23" s="1204" t="s">
        <v>123</v>
      </c>
      <c r="BI23" s="1206" t="s">
        <v>123</v>
      </c>
      <c r="BJ23" s="1206"/>
      <c r="BK23" s="1232" t="s">
        <v>123</v>
      </c>
      <c r="BL23" s="1207"/>
      <c r="BM23" s="1207"/>
      <c r="BN23" s="1199" t="str">
        <f t="shared" si="5"/>
        <v/>
      </c>
      <c r="BO23" s="1208"/>
      <c r="BP23" s="1223"/>
      <c r="BQ23" s="1234"/>
      <c r="BR23" s="1224"/>
      <c r="BS23" s="1209"/>
      <c r="BT23" s="1212"/>
      <c r="BU23" s="1242"/>
      <c r="BV23" s="1230" t="s">
        <v>123</v>
      </c>
      <c r="BW23" s="1230" t="s">
        <v>123</v>
      </c>
      <c r="BX23" s="1206" t="s">
        <v>123</v>
      </c>
      <c r="BY23" s="1206"/>
      <c r="BZ23" s="1232" t="s">
        <v>123</v>
      </c>
      <c r="CA23" s="1207"/>
      <c r="CB23" s="1207"/>
      <c r="CC23" s="1199" t="str">
        <f t="shared" si="6"/>
        <v/>
      </c>
      <c r="CD23" s="1208"/>
      <c r="CE23" s="1223"/>
      <c r="CF23" s="1259"/>
      <c r="CG23" s="1253"/>
      <c r="CH23" s="1209"/>
      <c r="CI23" s="1212"/>
      <c r="CJ23" s="1242"/>
      <c r="CK23" s="1204" t="s">
        <v>123</v>
      </c>
      <c r="CL23" s="1204" t="s">
        <v>123</v>
      </c>
      <c r="CM23" s="1206" t="s">
        <v>123</v>
      </c>
      <c r="CN23" s="1206"/>
      <c r="CO23" s="1232" t="s">
        <v>123</v>
      </c>
      <c r="CP23" s="1207"/>
      <c r="CQ23" s="1207"/>
      <c r="CR23" s="1199" t="str">
        <f t="shared" si="7"/>
        <v/>
      </c>
      <c r="CS23" s="1208"/>
      <c r="CT23" s="1223"/>
      <c r="CU23" s="1234"/>
      <c r="CV23" s="1209"/>
      <c r="CW23" s="1209"/>
      <c r="CX23" s="1212"/>
      <c r="CY23" s="1242"/>
      <c r="CZ23" s="1204" t="s">
        <v>123</v>
      </c>
      <c r="DA23" s="1204" t="s">
        <v>123</v>
      </c>
      <c r="DB23" s="1206" t="s">
        <v>123</v>
      </c>
      <c r="DC23" s="1206"/>
      <c r="DD23" s="1232" t="s">
        <v>123</v>
      </c>
      <c r="DE23" s="1207"/>
      <c r="DF23" s="1207"/>
      <c r="DG23" s="1199" t="str">
        <f t="shared" si="8"/>
        <v/>
      </c>
      <c r="DH23" s="1208"/>
      <c r="DI23" s="1223"/>
      <c r="DJ23" s="1222"/>
      <c r="DK23" s="1202"/>
      <c r="DL23" s="1202"/>
      <c r="DM23" s="1267"/>
      <c r="DN23" s="1242"/>
      <c r="DO23" s="1204" t="s">
        <v>123</v>
      </c>
      <c r="DP23" s="1204" t="s">
        <v>123</v>
      </c>
      <c r="DQ23" s="1206" t="s">
        <v>123</v>
      </c>
      <c r="DR23" s="1206"/>
      <c r="DS23" s="1232" t="s">
        <v>123</v>
      </c>
      <c r="DT23" s="1207"/>
      <c r="DU23" s="1207"/>
      <c r="DV23" s="1199" t="str">
        <f t="shared" si="9"/>
        <v/>
      </c>
      <c r="DW23" s="1208"/>
      <c r="DX23" s="1223"/>
      <c r="DY23" s="1234"/>
      <c r="DZ23" s="1209"/>
      <c r="EA23" s="1209"/>
      <c r="EB23" s="1212"/>
      <c r="EC23" s="1241"/>
      <c r="ED23" s="1204" t="s">
        <v>123</v>
      </c>
      <c r="EE23" s="1204" t="s">
        <v>123</v>
      </c>
      <c r="EF23" s="1206" t="s">
        <v>123</v>
      </c>
      <c r="EG23" s="1206"/>
      <c r="EH23" s="1232" t="s">
        <v>123</v>
      </c>
      <c r="EI23" s="1207"/>
      <c r="EJ23" s="1207"/>
      <c r="EK23" s="1199" t="str">
        <f t="shared" si="10"/>
        <v/>
      </c>
      <c r="EL23" s="1208"/>
      <c r="EM23" s="1208"/>
      <c r="EN23" s="1234"/>
      <c r="EO23" s="1209"/>
      <c r="EP23" s="1209"/>
      <c r="EQ23" s="1212"/>
      <c r="ER23" s="1242"/>
      <c r="ES23" s="1204" t="s">
        <v>123</v>
      </c>
      <c r="ET23" s="1204" t="s">
        <v>123</v>
      </c>
      <c r="EU23" s="1206" t="s">
        <v>123</v>
      </c>
      <c r="EV23" s="1206"/>
      <c r="EW23" s="1232" t="s">
        <v>123</v>
      </c>
      <c r="EX23" s="1207"/>
      <c r="EY23" s="1207"/>
      <c r="EZ23" s="1199" t="str">
        <f t="shared" si="11"/>
        <v/>
      </c>
      <c r="FA23" s="1208"/>
      <c r="FB23" s="1208"/>
      <c r="FC23" s="1243"/>
      <c r="FD23" s="1224"/>
      <c r="FE23" s="1224"/>
      <c r="FF23" s="1212"/>
      <c r="FG23" s="1241"/>
      <c r="FH23" s="1204" t="s">
        <v>123</v>
      </c>
      <c r="FI23" s="1204" t="s">
        <v>123</v>
      </c>
      <c r="FJ23" s="1206" t="s">
        <v>123</v>
      </c>
      <c r="FK23" s="1206"/>
      <c r="FL23" s="1232" t="s">
        <v>123</v>
      </c>
      <c r="FM23" s="1207"/>
      <c r="FN23" s="1207"/>
      <c r="FO23" s="1199" t="str">
        <f t="shared" si="12"/>
        <v/>
      </c>
      <c r="FP23" s="1208"/>
      <c r="FQ23" s="1223"/>
      <c r="FR23" s="1234"/>
      <c r="FS23" s="1209"/>
      <c r="FT23" s="1209"/>
      <c r="FU23" s="1212"/>
      <c r="FV23" s="1242"/>
      <c r="FW23" s="1204" t="s">
        <v>123</v>
      </c>
      <c r="FX23" s="1204" t="s">
        <v>123</v>
      </c>
      <c r="FY23" s="1206" t="s">
        <v>123</v>
      </c>
      <c r="FZ23" s="1206"/>
      <c r="GA23" s="1232" t="s">
        <v>123</v>
      </c>
      <c r="GB23" s="1207"/>
      <c r="GC23" s="1207"/>
      <c r="GD23" s="1199" t="str">
        <f t="shared" si="13"/>
        <v/>
      </c>
      <c r="GE23" s="1208"/>
      <c r="GF23" s="1223"/>
      <c r="GG23" s="1234"/>
      <c r="GH23" s="1209"/>
      <c r="GI23" s="1209"/>
      <c r="GJ23" s="1212"/>
      <c r="GK23" s="1242"/>
      <c r="GL23" s="1204" t="s">
        <v>123</v>
      </c>
      <c r="GM23" s="1204" t="s">
        <v>123</v>
      </c>
      <c r="GN23" s="1206" t="s">
        <v>123</v>
      </c>
      <c r="GO23" s="1206"/>
      <c r="GP23" s="1232" t="s">
        <v>123</v>
      </c>
      <c r="GQ23" s="1207"/>
      <c r="GR23" s="1207"/>
      <c r="GS23" s="1199" t="str">
        <f t="shared" si="14"/>
        <v/>
      </c>
      <c r="GT23" s="1208"/>
      <c r="GU23" s="1223"/>
      <c r="GV23" s="1234"/>
      <c r="GW23" s="1209"/>
      <c r="GX23" s="1209"/>
      <c r="GY23" s="1212"/>
      <c r="GZ23" s="1242"/>
      <c r="HA23" s="1204" t="s">
        <v>123</v>
      </c>
      <c r="HB23" s="1204" t="s">
        <v>123</v>
      </c>
      <c r="HC23" s="1206" t="s">
        <v>123</v>
      </c>
      <c r="HD23" s="1206"/>
      <c r="HE23" s="1232" t="s">
        <v>123</v>
      </c>
      <c r="HF23" s="1207"/>
      <c r="HG23" s="1207"/>
      <c r="HH23" s="1199" t="str">
        <f t="shared" si="15"/>
        <v/>
      </c>
      <c r="HI23" s="1208"/>
      <c r="HJ23" s="1223"/>
      <c r="HK23" s="1234"/>
      <c r="HL23" s="1209"/>
      <c r="HM23" s="1253"/>
      <c r="HN23" s="1212"/>
      <c r="HO23" s="1241"/>
      <c r="HP23" s="1204" t="s">
        <v>123</v>
      </c>
      <c r="HQ23" s="1204" t="s">
        <v>123</v>
      </c>
      <c r="HR23" s="1206" t="s">
        <v>123</v>
      </c>
      <c r="HS23" s="1206"/>
      <c r="HT23" s="1232" t="s">
        <v>123</v>
      </c>
      <c r="HU23" s="1207"/>
      <c r="HV23" s="1207"/>
      <c r="HW23" s="1227"/>
    </row>
    <row r="24" ht="15.75" customHeight="1">
      <c r="F24" s="1199" t="str">
        <f t="shared" si="1"/>
        <v/>
      </c>
      <c r="G24" s="1208"/>
      <c r="H24" s="1208"/>
      <c r="I24" s="1234"/>
      <c r="J24" s="1209"/>
      <c r="K24" s="1209"/>
      <c r="L24" s="1212"/>
      <c r="M24" s="1203"/>
      <c r="N24" s="1230" t="s">
        <v>123</v>
      </c>
      <c r="O24" s="1230" t="s">
        <v>123</v>
      </c>
      <c r="P24" s="1231" t="s">
        <v>123</v>
      </c>
      <c r="Q24" s="1207"/>
      <c r="R24" s="1207" t="s">
        <v>123</v>
      </c>
      <c r="S24" s="1207"/>
      <c r="T24" s="1207"/>
      <c r="U24" s="1199" t="str">
        <f t="shared" si="2"/>
        <v/>
      </c>
      <c r="V24" s="1208"/>
      <c r="W24" s="1208"/>
      <c r="X24" s="1201"/>
      <c r="Y24" s="1209"/>
      <c r="Z24" s="1209"/>
      <c r="AA24" s="1210"/>
      <c r="AB24" s="1211"/>
      <c r="AC24" s="1204" t="s">
        <v>123</v>
      </c>
      <c r="AD24" s="1204" t="s">
        <v>123</v>
      </c>
      <c r="AE24" s="1205" t="s">
        <v>123</v>
      </c>
      <c r="AF24" s="1206"/>
      <c r="AG24" s="1232" t="s">
        <v>123</v>
      </c>
      <c r="AH24" s="1207"/>
      <c r="AI24" s="1207"/>
      <c r="AJ24" s="1199" t="str">
        <f t="shared" si="3"/>
        <v/>
      </c>
      <c r="AK24" s="1208"/>
      <c r="AL24" s="1208"/>
      <c r="AM24" s="1274"/>
      <c r="AN24" s="1209"/>
      <c r="AO24" s="1253"/>
      <c r="AP24" s="1212"/>
      <c r="AQ24" s="1211"/>
      <c r="AR24" s="1204" t="s">
        <v>123</v>
      </c>
      <c r="AS24" s="1204" t="s">
        <v>123</v>
      </c>
      <c r="AT24" s="1206" t="s">
        <v>123</v>
      </c>
      <c r="AU24" s="1206"/>
      <c r="AV24" s="1232" t="s">
        <v>123</v>
      </c>
      <c r="AW24" s="1207"/>
      <c r="AX24" s="1207"/>
      <c r="AY24" s="1199" t="str">
        <f t="shared" si="4"/>
        <v/>
      </c>
      <c r="AZ24" s="1208"/>
      <c r="BA24" s="1223"/>
      <c r="BB24" s="1234"/>
      <c r="BC24" s="1209"/>
      <c r="BD24" s="1209"/>
      <c r="BE24" s="1212"/>
      <c r="BF24" s="1242"/>
      <c r="BG24" s="1204" t="s">
        <v>123</v>
      </c>
      <c r="BH24" s="1204" t="s">
        <v>123</v>
      </c>
      <c r="BI24" s="1206" t="s">
        <v>123</v>
      </c>
      <c r="BJ24" s="1206"/>
      <c r="BK24" s="1232" t="s">
        <v>123</v>
      </c>
      <c r="BL24" s="1207"/>
      <c r="BM24" s="1207"/>
      <c r="BN24" s="1199" t="str">
        <f t="shared" si="5"/>
        <v/>
      </c>
      <c r="BO24" s="1208"/>
      <c r="BP24" s="1223"/>
      <c r="BQ24" s="1234"/>
      <c r="BR24" s="1209"/>
      <c r="BS24" s="1209"/>
      <c r="BT24" s="1212"/>
      <c r="BU24" s="1241"/>
      <c r="BV24" s="1230" t="s">
        <v>123</v>
      </c>
      <c r="BW24" s="1230" t="s">
        <v>123</v>
      </c>
      <c r="BX24" s="1206" t="s">
        <v>123</v>
      </c>
      <c r="BY24" s="1206"/>
      <c r="BZ24" s="1232" t="s">
        <v>123</v>
      </c>
      <c r="CA24" s="1207"/>
      <c r="CB24" s="1207"/>
      <c r="CC24" s="1199" t="str">
        <f t="shared" si="6"/>
        <v/>
      </c>
      <c r="CD24" s="1208"/>
      <c r="CE24" s="1223"/>
      <c r="CF24" s="1259"/>
      <c r="CG24" s="1253"/>
      <c r="CH24" s="1209"/>
      <c r="CI24" s="1212"/>
      <c r="CJ24" s="1242"/>
      <c r="CK24" s="1204" t="s">
        <v>123</v>
      </c>
      <c r="CL24" s="1204" t="s">
        <v>123</v>
      </c>
      <c r="CM24" s="1206" t="s">
        <v>123</v>
      </c>
      <c r="CN24" s="1206"/>
      <c r="CO24" s="1232" t="s">
        <v>123</v>
      </c>
      <c r="CP24" s="1207"/>
      <c r="CQ24" s="1207"/>
      <c r="CR24" s="1199" t="str">
        <f t="shared" si="7"/>
        <v/>
      </c>
      <c r="CS24" s="1208"/>
      <c r="CT24" s="1223"/>
      <c r="CU24" s="1234"/>
      <c r="CV24" s="1209"/>
      <c r="CW24" s="1209"/>
      <c r="CX24" s="1212"/>
      <c r="CY24" s="1242"/>
      <c r="CZ24" s="1204" t="s">
        <v>123</v>
      </c>
      <c r="DA24" s="1204" t="s">
        <v>123</v>
      </c>
      <c r="DB24" s="1206" t="s">
        <v>123</v>
      </c>
      <c r="DC24" s="1206"/>
      <c r="DD24" s="1232" t="s">
        <v>123</v>
      </c>
      <c r="DE24" s="1207"/>
      <c r="DF24" s="1207"/>
      <c r="DG24" s="1199" t="str">
        <f t="shared" si="8"/>
        <v/>
      </c>
      <c r="DH24" s="1208"/>
      <c r="DI24" s="1223"/>
      <c r="DJ24" s="1222"/>
      <c r="DK24" s="1209"/>
      <c r="DL24" s="1209"/>
      <c r="DM24" s="1267"/>
      <c r="DN24" s="1242"/>
      <c r="DO24" s="1204" t="s">
        <v>123</v>
      </c>
      <c r="DP24" s="1204" t="s">
        <v>123</v>
      </c>
      <c r="DQ24" s="1206" t="s">
        <v>123</v>
      </c>
      <c r="DR24" s="1206"/>
      <c r="DS24" s="1232" t="s">
        <v>123</v>
      </c>
      <c r="DT24" s="1207"/>
      <c r="DU24" s="1207"/>
      <c r="DV24" s="1199" t="str">
        <f t="shared" si="9"/>
        <v/>
      </c>
      <c r="DW24" s="1208"/>
      <c r="DX24" s="1223"/>
      <c r="DY24" s="1234"/>
      <c r="DZ24" s="1209"/>
      <c r="EA24" s="1209"/>
      <c r="EB24" s="1212"/>
      <c r="EC24" s="1242"/>
      <c r="ED24" s="1204" t="s">
        <v>123</v>
      </c>
      <c r="EE24" s="1204" t="s">
        <v>123</v>
      </c>
      <c r="EF24" s="1206" t="s">
        <v>123</v>
      </c>
      <c r="EG24" s="1206"/>
      <c r="EH24" s="1232" t="s">
        <v>123</v>
      </c>
      <c r="EI24" s="1207"/>
      <c r="EJ24" s="1207"/>
      <c r="EK24" s="1199" t="str">
        <f t="shared" si="10"/>
        <v/>
      </c>
      <c r="EL24" s="1208"/>
      <c r="EM24" s="1208"/>
      <c r="EN24" s="1243"/>
      <c r="EO24" s="1224"/>
      <c r="EP24" s="1224"/>
      <c r="EQ24" s="1212"/>
      <c r="ER24" s="1242"/>
      <c r="ES24" s="1204" t="s">
        <v>123</v>
      </c>
      <c r="ET24" s="1204" t="s">
        <v>123</v>
      </c>
      <c r="EU24" s="1206" t="s">
        <v>123</v>
      </c>
      <c r="EV24" s="1206"/>
      <c r="EW24" s="1232" t="s">
        <v>123</v>
      </c>
      <c r="EX24" s="1207"/>
      <c r="EY24" s="1207"/>
      <c r="EZ24" s="1199" t="str">
        <f t="shared" si="11"/>
        <v/>
      </c>
      <c r="FA24" s="1208"/>
      <c r="FB24" s="1208"/>
      <c r="FC24" s="1243"/>
      <c r="FD24" s="1224"/>
      <c r="FE24" s="1224"/>
      <c r="FF24" s="1212"/>
      <c r="FG24" s="1241"/>
      <c r="FH24" s="1204" t="s">
        <v>123</v>
      </c>
      <c r="FI24" s="1204" t="s">
        <v>123</v>
      </c>
      <c r="FJ24" s="1206" t="s">
        <v>123</v>
      </c>
      <c r="FK24" s="1206"/>
      <c r="FL24" s="1232" t="s">
        <v>123</v>
      </c>
      <c r="FM24" s="1207"/>
      <c r="FN24" s="1207"/>
      <c r="FO24" s="1199" t="str">
        <f t="shared" si="12"/>
        <v/>
      </c>
      <c r="FP24" s="1208"/>
      <c r="FQ24" s="1267"/>
      <c r="FR24" s="1259"/>
      <c r="FS24" s="1253"/>
      <c r="FT24" s="1253"/>
      <c r="FU24" s="1252"/>
      <c r="FV24" s="1242"/>
      <c r="FW24" s="1204" t="s">
        <v>123</v>
      </c>
      <c r="FX24" s="1204" t="s">
        <v>123</v>
      </c>
      <c r="FY24" s="1206" t="s">
        <v>123</v>
      </c>
      <c r="FZ24" s="1206"/>
      <c r="GA24" s="1232" t="s">
        <v>123</v>
      </c>
      <c r="GB24" s="1207"/>
      <c r="GC24" s="1207"/>
      <c r="GD24" s="1199" t="str">
        <f t="shared" si="13"/>
        <v/>
      </c>
      <c r="GE24" s="1208"/>
      <c r="GF24" s="1267"/>
      <c r="GG24" s="1259"/>
      <c r="GH24" s="1253"/>
      <c r="GI24" s="1253"/>
      <c r="GJ24" s="1252"/>
      <c r="GK24" s="1242"/>
      <c r="GL24" s="1204" t="s">
        <v>123</v>
      </c>
      <c r="GM24" s="1204" t="s">
        <v>123</v>
      </c>
      <c r="GN24" s="1206" t="s">
        <v>123</v>
      </c>
      <c r="GO24" s="1206"/>
      <c r="GP24" s="1232" t="s">
        <v>123</v>
      </c>
      <c r="GQ24" s="1207"/>
      <c r="GR24" s="1207"/>
      <c r="GS24" s="1199" t="str">
        <f t="shared" si="14"/>
        <v/>
      </c>
      <c r="GT24" s="1208"/>
      <c r="GU24" s="1267"/>
      <c r="GV24" s="1259"/>
      <c r="GW24" s="1253"/>
      <c r="GX24" s="1253"/>
      <c r="GY24" s="1252"/>
      <c r="GZ24" s="1242"/>
      <c r="HA24" s="1204" t="s">
        <v>123</v>
      </c>
      <c r="HB24" s="1204" t="s">
        <v>123</v>
      </c>
      <c r="HC24" s="1206" t="s">
        <v>123</v>
      </c>
      <c r="HD24" s="1206"/>
      <c r="HE24" s="1232" t="s">
        <v>123</v>
      </c>
      <c r="HF24" s="1207"/>
      <c r="HG24" s="1207"/>
      <c r="HH24" s="1199" t="str">
        <f t="shared" si="15"/>
        <v/>
      </c>
      <c r="HI24" s="1208"/>
      <c r="HJ24" s="1223"/>
      <c r="HK24" s="1234"/>
      <c r="HL24" s="1209"/>
      <c r="HM24" s="1253"/>
      <c r="HN24" s="1212"/>
      <c r="HO24" s="1241"/>
      <c r="HP24" s="1204" t="s">
        <v>123</v>
      </c>
      <c r="HQ24" s="1204" t="s">
        <v>123</v>
      </c>
      <c r="HR24" s="1206" t="s">
        <v>123</v>
      </c>
      <c r="HS24" s="1206"/>
      <c r="HT24" s="1232" t="s">
        <v>123</v>
      </c>
      <c r="HU24" s="1207"/>
      <c r="HV24" s="1207"/>
      <c r="HW24" s="1227"/>
    </row>
    <row r="25" ht="15.75" customHeight="1">
      <c r="A25" s="56"/>
      <c r="B25" s="1275" t="s">
        <v>944</v>
      </c>
      <c r="C25" s="135"/>
      <c r="D25" s="135"/>
      <c r="E25" s="1276" t="s">
        <v>945</v>
      </c>
      <c r="F25" s="1199" t="str">
        <f t="shared" si="1"/>
        <v/>
      </c>
      <c r="G25" s="1208"/>
      <c r="H25" s="1208"/>
      <c r="I25" s="1259"/>
      <c r="J25" s="1209"/>
      <c r="K25" s="1209"/>
      <c r="L25" s="1212"/>
      <c r="M25" s="1203"/>
      <c r="N25" s="1230" t="s">
        <v>123</v>
      </c>
      <c r="O25" s="1230" t="s">
        <v>123</v>
      </c>
      <c r="P25" s="1231" t="s">
        <v>123</v>
      </c>
      <c r="Q25" s="1207"/>
      <c r="R25" s="1207" t="s">
        <v>123</v>
      </c>
      <c r="S25" s="1207"/>
      <c r="T25" s="1207"/>
      <c r="U25" s="1199" t="str">
        <f t="shared" si="2"/>
        <v/>
      </c>
      <c r="V25" s="1208"/>
      <c r="W25" s="1208"/>
      <c r="X25" s="1274"/>
      <c r="Y25" s="1209"/>
      <c r="Z25" s="1209"/>
      <c r="AA25" s="1210"/>
      <c r="AB25" s="1211"/>
      <c r="AC25" s="1204" t="s">
        <v>123</v>
      </c>
      <c r="AD25" s="1204" t="s">
        <v>123</v>
      </c>
      <c r="AE25" s="1205" t="s">
        <v>123</v>
      </c>
      <c r="AF25" s="1206"/>
      <c r="AG25" s="1232" t="s">
        <v>123</v>
      </c>
      <c r="AH25" s="1207"/>
      <c r="AI25" s="1207"/>
      <c r="AJ25" s="1199" t="str">
        <f t="shared" si="3"/>
        <v/>
      </c>
      <c r="AK25" s="1208"/>
      <c r="AL25" s="1208"/>
      <c r="AM25" s="1201"/>
      <c r="AN25" s="1209"/>
      <c r="AO25" s="1209"/>
      <c r="AP25" s="1212"/>
      <c r="AQ25" s="1211"/>
      <c r="AR25" s="1204" t="s">
        <v>123</v>
      </c>
      <c r="AS25" s="1204" t="s">
        <v>123</v>
      </c>
      <c r="AT25" s="1206" t="s">
        <v>123</v>
      </c>
      <c r="AU25" s="1206"/>
      <c r="AV25" s="1232" t="s">
        <v>123</v>
      </c>
      <c r="AW25" s="1207"/>
      <c r="AX25" s="1207"/>
      <c r="AY25" s="1199" t="str">
        <f t="shared" si="4"/>
        <v/>
      </c>
      <c r="AZ25" s="1208"/>
      <c r="BA25" s="1223"/>
      <c r="BB25" s="1234"/>
      <c r="BC25" s="1209"/>
      <c r="BD25" s="1253"/>
      <c r="BE25" s="1212"/>
      <c r="BF25" s="1241"/>
      <c r="BG25" s="1204" t="s">
        <v>123</v>
      </c>
      <c r="BH25" s="1204" t="s">
        <v>123</v>
      </c>
      <c r="BI25" s="1206" t="s">
        <v>123</v>
      </c>
      <c r="BJ25" s="1206"/>
      <c r="BK25" s="1232" t="s">
        <v>123</v>
      </c>
      <c r="BL25" s="1207"/>
      <c r="BM25" s="1207"/>
      <c r="BN25" s="1199" t="str">
        <f t="shared" si="5"/>
        <v/>
      </c>
      <c r="BO25" s="1208"/>
      <c r="BP25" s="1223"/>
      <c r="BQ25" s="1259"/>
      <c r="BR25" s="1224"/>
      <c r="BS25" s="1209"/>
      <c r="BT25" s="1212"/>
      <c r="BU25" s="1241"/>
      <c r="BV25" s="1230" t="s">
        <v>123</v>
      </c>
      <c r="BW25" s="1230" t="s">
        <v>123</v>
      </c>
      <c r="BX25" s="1206" t="s">
        <v>123</v>
      </c>
      <c r="BY25" s="1206"/>
      <c r="BZ25" s="1232" t="s">
        <v>123</v>
      </c>
      <c r="CA25" s="1207"/>
      <c r="CB25" s="1207"/>
      <c r="CC25" s="1199" t="str">
        <f t="shared" si="6"/>
        <v/>
      </c>
      <c r="CD25" s="1208"/>
      <c r="CE25" s="1223"/>
      <c r="CF25" s="1259"/>
      <c r="CG25" s="1253"/>
      <c r="CH25" s="1209"/>
      <c r="CI25" s="1212"/>
      <c r="CJ25" s="1242"/>
      <c r="CK25" s="1204" t="s">
        <v>123</v>
      </c>
      <c r="CL25" s="1204" t="s">
        <v>123</v>
      </c>
      <c r="CM25" s="1206" t="s">
        <v>123</v>
      </c>
      <c r="CN25" s="1206"/>
      <c r="CO25" s="1232" t="s">
        <v>123</v>
      </c>
      <c r="CP25" s="1207"/>
      <c r="CQ25" s="1207"/>
      <c r="CR25" s="1199" t="str">
        <f t="shared" si="7"/>
        <v/>
      </c>
      <c r="CS25" s="1208"/>
      <c r="CT25" s="1223"/>
      <c r="CU25" s="1234"/>
      <c r="CV25" s="1209"/>
      <c r="CW25" s="1253"/>
      <c r="CX25" s="1212"/>
      <c r="CY25" s="1242"/>
      <c r="CZ25" s="1204" t="s">
        <v>123</v>
      </c>
      <c r="DA25" s="1204" t="s">
        <v>123</v>
      </c>
      <c r="DB25" s="1206" t="s">
        <v>123</v>
      </c>
      <c r="DC25" s="1206"/>
      <c r="DD25" s="1232" t="s">
        <v>123</v>
      </c>
      <c r="DE25" s="1207"/>
      <c r="DF25" s="1207"/>
      <c r="DG25" s="1199" t="str">
        <f t="shared" si="8"/>
        <v/>
      </c>
      <c r="DH25" s="1208"/>
      <c r="DI25" s="1223"/>
      <c r="DJ25" s="1222"/>
      <c r="DK25" s="1209"/>
      <c r="DL25" s="1209"/>
      <c r="DM25" s="1256"/>
      <c r="DN25" s="1242"/>
      <c r="DO25" s="1204" t="s">
        <v>123</v>
      </c>
      <c r="DP25" s="1204" t="s">
        <v>123</v>
      </c>
      <c r="DQ25" s="1206" t="s">
        <v>123</v>
      </c>
      <c r="DR25" s="1206"/>
      <c r="DS25" s="1232" t="s">
        <v>123</v>
      </c>
      <c r="DT25" s="1207"/>
      <c r="DU25" s="1207"/>
      <c r="DV25" s="1199" t="str">
        <f t="shared" si="9"/>
        <v/>
      </c>
      <c r="DW25" s="1208"/>
      <c r="DX25" s="1223"/>
      <c r="DY25" s="1234"/>
      <c r="DZ25" s="1209"/>
      <c r="EA25" s="1209"/>
      <c r="EB25" s="1212"/>
      <c r="EC25" s="1242"/>
      <c r="ED25" s="1204" t="s">
        <v>123</v>
      </c>
      <c r="EE25" s="1204" t="s">
        <v>123</v>
      </c>
      <c r="EF25" s="1206" t="s">
        <v>123</v>
      </c>
      <c r="EG25" s="1206"/>
      <c r="EH25" s="1232" t="s">
        <v>123</v>
      </c>
      <c r="EI25" s="1207"/>
      <c r="EJ25" s="1207"/>
      <c r="EK25" s="1199" t="str">
        <f t="shared" si="10"/>
        <v/>
      </c>
      <c r="EL25" s="1208"/>
      <c r="EM25" s="1208"/>
      <c r="EN25" s="1243"/>
      <c r="EO25" s="1224"/>
      <c r="EP25" s="1224"/>
      <c r="EQ25" s="1212"/>
      <c r="ER25" s="1242"/>
      <c r="ES25" s="1204" t="s">
        <v>123</v>
      </c>
      <c r="ET25" s="1204" t="s">
        <v>123</v>
      </c>
      <c r="EU25" s="1206" t="s">
        <v>123</v>
      </c>
      <c r="EV25" s="1206"/>
      <c r="EW25" s="1232" t="s">
        <v>123</v>
      </c>
      <c r="EX25" s="1207"/>
      <c r="EY25" s="1207"/>
      <c r="EZ25" s="1199" t="str">
        <f t="shared" si="11"/>
        <v/>
      </c>
      <c r="FA25" s="1208"/>
      <c r="FB25" s="1208"/>
      <c r="FC25" s="1243"/>
      <c r="FD25" s="1224"/>
      <c r="FE25" s="1224"/>
      <c r="FF25" s="1212"/>
      <c r="FG25" s="1241"/>
      <c r="FH25" s="1204" t="s">
        <v>123</v>
      </c>
      <c r="FI25" s="1204" t="s">
        <v>123</v>
      </c>
      <c r="FJ25" s="1206" t="s">
        <v>123</v>
      </c>
      <c r="FK25" s="1206"/>
      <c r="FL25" s="1232" t="s">
        <v>123</v>
      </c>
      <c r="FM25" s="1207"/>
      <c r="FN25" s="1207"/>
      <c r="FO25" s="1199" t="str">
        <f t="shared" si="12"/>
        <v/>
      </c>
      <c r="FP25" s="1208"/>
      <c r="FQ25" s="1223"/>
      <c r="FR25" s="1234"/>
      <c r="FS25" s="1209"/>
      <c r="FT25" s="1209"/>
      <c r="FU25" s="1212"/>
      <c r="FV25" s="1242"/>
      <c r="FW25" s="1204" t="s">
        <v>123</v>
      </c>
      <c r="FX25" s="1204" t="s">
        <v>123</v>
      </c>
      <c r="FY25" s="1206" t="s">
        <v>123</v>
      </c>
      <c r="FZ25" s="1206"/>
      <c r="GA25" s="1232" t="s">
        <v>123</v>
      </c>
      <c r="GB25" s="1207"/>
      <c r="GC25" s="1207"/>
      <c r="GD25" s="1199" t="str">
        <f t="shared" si="13"/>
        <v/>
      </c>
      <c r="GE25" s="1208"/>
      <c r="GF25" s="1223"/>
      <c r="GG25" s="1234"/>
      <c r="GH25" s="1209"/>
      <c r="GI25" s="1209"/>
      <c r="GJ25" s="1212"/>
      <c r="GK25" s="1242"/>
      <c r="GL25" s="1204" t="s">
        <v>123</v>
      </c>
      <c r="GM25" s="1204" t="s">
        <v>123</v>
      </c>
      <c r="GN25" s="1206" t="s">
        <v>123</v>
      </c>
      <c r="GO25" s="1206"/>
      <c r="GP25" s="1232" t="s">
        <v>123</v>
      </c>
      <c r="GQ25" s="1207"/>
      <c r="GR25" s="1207"/>
      <c r="GS25" s="1199" t="str">
        <f t="shared" si="14"/>
        <v/>
      </c>
      <c r="GT25" s="1208"/>
      <c r="GU25" s="1223"/>
      <c r="GV25" s="1234"/>
      <c r="GW25" s="1209"/>
      <c r="GX25" s="1209"/>
      <c r="GY25" s="1212"/>
      <c r="GZ25" s="1242"/>
      <c r="HA25" s="1204" t="s">
        <v>123</v>
      </c>
      <c r="HB25" s="1204" t="s">
        <v>123</v>
      </c>
      <c r="HC25" s="1206" t="s">
        <v>123</v>
      </c>
      <c r="HD25" s="1206"/>
      <c r="HE25" s="1232" t="s">
        <v>123</v>
      </c>
      <c r="HF25" s="1207"/>
      <c r="HG25" s="1207"/>
      <c r="HH25" s="1199" t="str">
        <f t="shared" si="15"/>
        <v/>
      </c>
      <c r="HI25" s="1208"/>
      <c r="HJ25" s="1223"/>
      <c r="HK25" s="1234"/>
      <c r="HL25" s="1209"/>
      <c r="HM25" s="1253"/>
      <c r="HN25" s="1212"/>
      <c r="HO25" s="1241"/>
      <c r="HP25" s="1204" t="s">
        <v>123</v>
      </c>
      <c r="HQ25" s="1204" t="s">
        <v>123</v>
      </c>
      <c r="HR25" s="1206" t="s">
        <v>123</v>
      </c>
      <c r="HS25" s="1206"/>
      <c r="HT25" s="1232" t="s">
        <v>123</v>
      </c>
      <c r="HU25" s="1207"/>
      <c r="HV25" s="1207"/>
      <c r="HW25" s="1227"/>
    </row>
    <row r="26" ht="15.75" customHeight="1">
      <c r="B26" s="142"/>
      <c r="C26" s="143"/>
      <c r="D26" s="143"/>
      <c r="E26" s="1277"/>
      <c r="F26" s="1199" t="str">
        <f t="shared" si="1"/>
        <v/>
      </c>
      <c r="G26" s="1208"/>
      <c r="H26" s="1208"/>
      <c r="I26" s="1259"/>
      <c r="J26" s="1209"/>
      <c r="K26" s="1209"/>
      <c r="L26" s="1212"/>
      <c r="M26" s="1203"/>
      <c r="N26" s="1230" t="s">
        <v>123</v>
      </c>
      <c r="O26" s="1230" t="s">
        <v>123</v>
      </c>
      <c r="P26" s="1231" t="s">
        <v>123</v>
      </c>
      <c r="Q26" s="1207"/>
      <c r="R26" s="1207" t="s">
        <v>123</v>
      </c>
      <c r="S26" s="1207"/>
      <c r="T26" s="1207"/>
      <c r="U26" s="1199" t="str">
        <f t="shared" si="2"/>
        <v/>
      </c>
      <c r="V26" s="1208"/>
      <c r="W26" s="1208"/>
      <c r="X26" s="1274"/>
      <c r="Y26" s="1209"/>
      <c r="Z26" s="1209"/>
      <c r="AA26" s="1210"/>
      <c r="AB26" s="1211"/>
      <c r="AC26" s="1204" t="s">
        <v>123</v>
      </c>
      <c r="AD26" s="1204" t="s">
        <v>123</v>
      </c>
      <c r="AE26" s="1205" t="s">
        <v>123</v>
      </c>
      <c r="AF26" s="1206"/>
      <c r="AG26" s="1232" t="s">
        <v>123</v>
      </c>
      <c r="AH26" s="1207"/>
      <c r="AI26" s="1207"/>
      <c r="AJ26" s="1199" t="str">
        <f t="shared" si="3"/>
        <v/>
      </c>
      <c r="AK26" s="1208"/>
      <c r="AL26" s="1278"/>
      <c r="AM26" s="1274"/>
      <c r="AN26" s="1279"/>
      <c r="AO26" s="1202"/>
      <c r="AP26" s="1214"/>
      <c r="AQ26" s="1225"/>
      <c r="AR26" s="1204" t="s">
        <v>123</v>
      </c>
      <c r="AS26" s="1204" t="s">
        <v>123</v>
      </c>
      <c r="AT26" s="1206" t="s">
        <v>123</v>
      </c>
      <c r="AU26" s="1206"/>
      <c r="AV26" s="1232" t="s">
        <v>123</v>
      </c>
      <c r="AW26" s="1207"/>
      <c r="AX26" s="1207"/>
      <c r="AY26" s="1199" t="str">
        <f t="shared" si="4"/>
        <v/>
      </c>
      <c r="AZ26" s="1208"/>
      <c r="BA26" s="1223"/>
      <c r="BB26" s="1234"/>
      <c r="BC26" s="1209"/>
      <c r="BD26" s="1253"/>
      <c r="BE26" s="1212"/>
      <c r="BF26" s="1241"/>
      <c r="BG26" s="1204" t="s">
        <v>123</v>
      </c>
      <c r="BH26" s="1204" t="s">
        <v>123</v>
      </c>
      <c r="BI26" s="1206" t="s">
        <v>123</v>
      </c>
      <c r="BJ26" s="1206"/>
      <c r="BK26" s="1232" t="s">
        <v>123</v>
      </c>
      <c r="BL26" s="1207"/>
      <c r="BM26" s="1207"/>
      <c r="BN26" s="1199" t="str">
        <f t="shared" si="5"/>
        <v/>
      </c>
      <c r="BO26" s="1208"/>
      <c r="BP26" s="1223"/>
      <c r="BQ26" s="1234"/>
      <c r="BR26" s="1209"/>
      <c r="BS26" s="1209"/>
      <c r="BT26" s="1212"/>
      <c r="BU26" s="1241"/>
      <c r="BV26" s="1204" t="s">
        <v>123</v>
      </c>
      <c r="BW26" s="1204" t="s">
        <v>123</v>
      </c>
      <c r="BX26" s="1206" t="s">
        <v>123</v>
      </c>
      <c r="BY26" s="1206"/>
      <c r="BZ26" s="1232" t="s">
        <v>123</v>
      </c>
      <c r="CA26" s="1207"/>
      <c r="CB26" s="1207"/>
      <c r="CC26" s="1199" t="str">
        <f t="shared" si="6"/>
        <v/>
      </c>
      <c r="CD26" s="1208"/>
      <c r="CE26" s="1223"/>
      <c r="CF26" s="1259"/>
      <c r="CG26" s="1253"/>
      <c r="CH26" s="1209"/>
      <c r="CI26" s="1212"/>
      <c r="CJ26" s="1241"/>
      <c r="CK26" s="1204" t="s">
        <v>123</v>
      </c>
      <c r="CL26" s="1204" t="s">
        <v>123</v>
      </c>
      <c r="CM26" s="1206" t="s">
        <v>123</v>
      </c>
      <c r="CN26" s="1206"/>
      <c r="CO26" s="1232" t="s">
        <v>123</v>
      </c>
      <c r="CP26" s="1207"/>
      <c r="CQ26" s="1207"/>
      <c r="CR26" s="1199" t="str">
        <f t="shared" si="7"/>
        <v/>
      </c>
      <c r="CS26" s="1208"/>
      <c r="CT26" s="1223"/>
      <c r="CU26" s="1234"/>
      <c r="CV26" s="1209"/>
      <c r="CW26" s="1253"/>
      <c r="CX26" s="1212"/>
      <c r="CY26" s="1242"/>
      <c r="CZ26" s="1204" t="s">
        <v>123</v>
      </c>
      <c r="DA26" s="1204" t="s">
        <v>123</v>
      </c>
      <c r="DB26" s="1206" t="s">
        <v>123</v>
      </c>
      <c r="DC26" s="1206"/>
      <c r="DD26" s="1232" t="s">
        <v>123</v>
      </c>
      <c r="DE26" s="1207"/>
      <c r="DF26" s="1207"/>
      <c r="DG26" s="1199" t="str">
        <f t="shared" si="8"/>
        <v/>
      </c>
      <c r="DH26" s="1208"/>
      <c r="DI26" s="1223"/>
      <c r="DJ26" s="1222"/>
      <c r="DK26" s="1209"/>
      <c r="DL26" s="1209"/>
      <c r="DM26" s="1240"/>
      <c r="DN26" s="1242"/>
      <c r="DO26" s="1204" t="s">
        <v>123</v>
      </c>
      <c r="DP26" s="1204" t="s">
        <v>123</v>
      </c>
      <c r="DQ26" s="1206" t="s">
        <v>123</v>
      </c>
      <c r="DR26" s="1206"/>
      <c r="DS26" s="1232" t="s">
        <v>123</v>
      </c>
      <c r="DT26" s="1207"/>
      <c r="DU26" s="1207"/>
      <c r="DV26" s="1199" t="str">
        <f t="shared" si="9"/>
        <v/>
      </c>
      <c r="DW26" s="1208"/>
      <c r="DX26" s="1223"/>
      <c r="DY26" s="1234"/>
      <c r="DZ26" s="1209"/>
      <c r="EA26" s="1209"/>
      <c r="EB26" s="1212"/>
      <c r="EC26" s="1242"/>
      <c r="ED26" s="1204" t="s">
        <v>123</v>
      </c>
      <c r="EE26" s="1204" t="s">
        <v>123</v>
      </c>
      <c r="EF26" s="1206" t="s">
        <v>123</v>
      </c>
      <c r="EG26" s="1206"/>
      <c r="EH26" s="1232" t="s">
        <v>123</v>
      </c>
      <c r="EI26" s="1207"/>
      <c r="EJ26" s="1207"/>
      <c r="EK26" s="1199" t="str">
        <f t="shared" si="10"/>
        <v/>
      </c>
      <c r="EL26" s="1208"/>
      <c r="EM26" s="1208"/>
      <c r="EN26" s="1243"/>
      <c r="EO26" s="1224"/>
      <c r="EP26" s="1224"/>
      <c r="EQ26" s="1212"/>
      <c r="ER26" s="1241"/>
      <c r="ES26" s="1204" t="s">
        <v>123</v>
      </c>
      <c r="ET26" s="1204" t="s">
        <v>123</v>
      </c>
      <c r="EU26" s="1206" t="s">
        <v>123</v>
      </c>
      <c r="EV26" s="1206"/>
      <c r="EW26" s="1232" t="s">
        <v>123</v>
      </c>
      <c r="EX26" s="1207"/>
      <c r="EY26" s="1207"/>
      <c r="EZ26" s="1199" t="str">
        <f t="shared" si="11"/>
        <v/>
      </c>
      <c r="FA26" s="1208"/>
      <c r="FB26" s="1208"/>
      <c r="FC26" s="1243"/>
      <c r="FD26" s="1224"/>
      <c r="FE26" s="1224"/>
      <c r="FF26" s="1212"/>
      <c r="FG26" s="1241"/>
      <c r="FH26" s="1204" t="s">
        <v>123</v>
      </c>
      <c r="FI26" s="1204" t="s">
        <v>123</v>
      </c>
      <c r="FJ26" s="1206" t="s">
        <v>123</v>
      </c>
      <c r="FK26" s="1206"/>
      <c r="FL26" s="1232" t="s">
        <v>123</v>
      </c>
      <c r="FM26" s="1207"/>
      <c r="FN26" s="1207"/>
      <c r="FO26" s="1199" t="str">
        <f t="shared" si="12"/>
        <v/>
      </c>
      <c r="FP26" s="1208"/>
      <c r="FQ26" s="1223"/>
      <c r="FR26" s="1234"/>
      <c r="FS26" s="1209"/>
      <c r="FT26" s="1209"/>
      <c r="FU26" s="1212"/>
      <c r="FV26" s="1242"/>
      <c r="FW26" s="1204" t="s">
        <v>123</v>
      </c>
      <c r="FX26" s="1204" t="s">
        <v>123</v>
      </c>
      <c r="FY26" s="1206" t="s">
        <v>123</v>
      </c>
      <c r="FZ26" s="1206"/>
      <c r="GA26" s="1232" t="s">
        <v>123</v>
      </c>
      <c r="GB26" s="1207"/>
      <c r="GC26" s="1207"/>
      <c r="GD26" s="1199" t="str">
        <f t="shared" si="13"/>
        <v/>
      </c>
      <c r="GE26" s="1208"/>
      <c r="GF26" s="1223"/>
      <c r="GG26" s="1234"/>
      <c r="GH26" s="1209"/>
      <c r="GI26" s="1209"/>
      <c r="GJ26" s="1212"/>
      <c r="GK26" s="1242"/>
      <c r="GL26" s="1204" t="s">
        <v>123</v>
      </c>
      <c r="GM26" s="1204" t="s">
        <v>123</v>
      </c>
      <c r="GN26" s="1206" t="s">
        <v>123</v>
      </c>
      <c r="GO26" s="1206"/>
      <c r="GP26" s="1232" t="s">
        <v>123</v>
      </c>
      <c r="GQ26" s="1207"/>
      <c r="GR26" s="1207"/>
      <c r="GS26" s="1199" t="str">
        <f t="shared" si="14"/>
        <v/>
      </c>
      <c r="GT26" s="1208"/>
      <c r="GU26" s="1223"/>
      <c r="GV26" s="1234"/>
      <c r="GW26" s="1209"/>
      <c r="GX26" s="1209"/>
      <c r="GY26" s="1212"/>
      <c r="GZ26" s="1242"/>
      <c r="HA26" s="1204" t="s">
        <v>123</v>
      </c>
      <c r="HB26" s="1204" t="s">
        <v>123</v>
      </c>
      <c r="HC26" s="1206" t="s">
        <v>123</v>
      </c>
      <c r="HD26" s="1206"/>
      <c r="HE26" s="1232" t="s">
        <v>123</v>
      </c>
      <c r="HF26" s="1207"/>
      <c r="HG26" s="1207"/>
      <c r="HH26" s="1199" t="str">
        <f t="shared" si="15"/>
        <v/>
      </c>
      <c r="HI26" s="1208"/>
      <c r="HJ26" s="1223"/>
      <c r="HK26" s="1234"/>
      <c r="HL26" s="1209"/>
      <c r="HM26" s="1253"/>
      <c r="HN26" s="1212"/>
      <c r="HO26" s="1241"/>
      <c r="HP26" s="1204" t="s">
        <v>123</v>
      </c>
      <c r="HQ26" s="1204" t="s">
        <v>123</v>
      </c>
      <c r="HR26" s="1206" t="s">
        <v>123</v>
      </c>
      <c r="HS26" s="1206"/>
      <c r="HT26" s="1232" t="s">
        <v>123</v>
      </c>
      <c r="HU26" s="1207"/>
      <c r="HV26" s="1207"/>
      <c r="HW26" s="1227"/>
    </row>
    <row r="27" ht="15.75" customHeight="1">
      <c r="A27" s="619">
        <v>1.0</v>
      </c>
      <c r="B27" s="1280" t="s">
        <v>946</v>
      </c>
      <c r="C27" s="611"/>
      <c r="D27" s="611"/>
      <c r="E27" s="1281">
        <f t="shared" ref="E27:E36" si="16">IF(B27="","",COUNTIF(M$4:HO$4,B27))</f>
        <v>0</v>
      </c>
      <c r="F27" s="1282" t="str">
        <f t="shared" si="1"/>
        <v/>
      </c>
      <c r="G27" s="1283"/>
      <c r="H27" s="1283"/>
      <c r="I27" s="1284"/>
      <c r="J27" s="1285"/>
      <c r="K27" s="1285"/>
      <c r="L27" s="1212"/>
      <c r="M27" s="1286"/>
      <c r="N27" s="1230" t="s">
        <v>123</v>
      </c>
      <c r="O27" s="1230" t="s">
        <v>123</v>
      </c>
      <c r="P27" s="1231" t="s">
        <v>123</v>
      </c>
      <c r="Q27" s="1207"/>
      <c r="R27" s="1207" t="s">
        <v>123</v>
      </c>
      <c r="S27" s="1207"/>
      <c r="T27" s="1207"/>
      <c r="U27" s="1199" t="str">
        <f t="shared" si="2"/>
        <v/>
      </c>
      <c r="V27" s="1208"/>
      <c r="W27" s="1208"/>
      <c r="X27" s="1274"/>
      <c r="Y27" s="1209"/>
      <c r="Z27" s="1209"/>
      <c r="AA27" s="1210"/>
      <c r="AB27" s="1211"/>
      <c r="AC27" s="1204" t="s">
        <v>123</v>
      </c>
      <c r="AD27" s="1204" t="s">
        <v>123</v>
      </c>
      <c r="AE27" s="1205" t="s">
        <v>123</v>
      </c>
      <c r="AF27" s="1206"/>
      <c r="AG27" s="1232" t="s">
        <v>123</v>
      </c>
      <c r="AH27" s="1207"/>
      <c r="AI27" s="1207"/>
      <c r="AJ27" s="1199" t="str">
        <f t="shared" si="3"/>
        <v/>
      </c>
      <c r="AK27" s="1208"/>
      <c r="AL27" s="1278"/>
      <c r="AM27" s="1274"/>
      <c r="AN27" s="1279"/>
      <c r="AO27" s="1279"/>
      <c r="AP27" s="1214"/>
      <c r="AQ27" s="1225"/>
      <c r="AR27" s="1204" t="s">
        <v>123</v>
      </c>
      <c r="AS27" s="1204" t="s">
        <v>123</v>
      </c>
      <c r="AT27" s="1206" t="s">
        <v>123</v>
      </c>
      <c r="AU27" s="1206"/>
      <c r="AV27" s="1232" t="s">
        <v>123</v>
      </c>
      <c r="AW27" s="1207"/>
      <c r="AX27" s="1207"/>
      <c r="AY27" s="1199" t="str">
        <f t="shared" si="4"/>
        <v/>
      </c>
      <c r="AZ27" s="1208"/>
      <c r="BA27" s="1223"/>
      <c r="BB27" s="1234"/>
      <c r="BC27" s="1209"/>
      <c r="BD27" s="1253"/>
      <c r="BE27" s="1212"/>
      <c r="BF27" s="1241"/>
      <c r="BG27" s="1204" t="s">
        <v>123</v>
      </c>
      <c r="BH27" s="1204" t="s">
        <v>123</v>
      </c>
      <c r="BI27" s="1206" t="s">
        <v>123</v>
      </c>
      <c r="BJ27" s="1206"/>
      <c r="BK27" s="1232" t="s">
        <v>123</v>
      </c>
      <c r="BL27" s="1207"/>
      <c r="BM27" s="1207"/>
      <c r="BN27" s="1199" t="str">
        <f t="shared" si="5"/>
        <v/>
      </c>
      <c r="BO27" s="1208"/>
      <c r="BP27" s="1223"/>
      <c r="BQ27" s="1234"/>
      <c r="BR27" s="1209"/>
      <c r="BS27" s="1209"/>
      <c r="BT27" s="1212"/>
      <c r="BU27" s="1241"/>
      <c r="BV27" s="1204" t="s">
        <v>123</v>
      </c>
      <c r="BW27" s="1204" t="s">
        <v>123</v>
      </c>
      <c r="BX27" s="1206" t="s">
        <v>123</v>
      </c>
      <c r="BY27" s="1206"/>
      <c r="BZ27" s="1232" t="s">
        <v>123</v>
      </c>
      <c r="CA27" s="1207"/>
      <c r="CB27" s="1207"/>
      <c r="CC27" s="1199" t="str">
        <f t="shared" si="6"/>
        <v/>
      </c>
      <c r="CD27" s="1208"/>
      <c r="CE27" s="1223"/>
      <c r="CF27" s="1259"/>
      <c r="CG27" s="1253"/>
      <c r="CH27" s="1209"/>
      <c r="CI27" s="1212"/>
      <c r="CJ27" s="1241"/>
      <c r="CK27" s="1204" t="s">
        <v>123</v>
      </c>
      <c r="CL27" s="1204" t="s">
        <v>123</v>
      </c>
      <c r="CM27" s="1206" t="s">
        <v>123</v>
      </c>
      <c r="CN27" s="1206"/>
      <c r="CO27" s="1232" t="s">
        <v>123</v>
      </c>
      <c r="CP27" s="1207"/>
      <c r="CQ27" s="1207"/>
      <c r="CR27" s="1199" t="str">
        <f t="shared" si="7"/>
        <v/>
      </c>
      <c r="CS27" s="1208"/>
      <c r="CT27" s="1223"/>
      <c r="CU27" s="1234"/>
      <c r="CV27" s="1209"/>
      <c r="CW27" s="1253"/>
      <c r="CX27" s="1212"/>
      <c r="CY27" s="1241"/>
      <c r="CZ27" s="1204" t="s">
        <v>123</v>
      </c>
      <c r="DA27" s="1204" t="s">
        <v>123</v>
      </c>
      <c r="DB27" s="1206" t="s">
        <v>123</v>
      </c>
      <c r="DC27" s="1206"/>
      <c r="DD27" s="1232" t="s">
        <v>123</v>
      </c>
      <c r="DE27" s="1207"/>
      <c r="DF27" s="1207"/>
      <c r="DG27" s="1199" t="str">
        <f t="shared" si="8"/>
        <v/>
      </c>
      <c r="DH27" s="1208"/>
      <c r="DI27" s="1213"/>
      <c r="DJ27" s="1222"/>
      <c r="DK27" s="1253"/>
      <c r="DL27" s="1253"/>
      <c r="DM27" s="1252"/>
      <c r="DN27" s="1242"/>
      <c r="DO27" s="1204" t="s">
        <v>123</v>
      </c>
      <c r="DP27" s="1204" t="s">
        <v>123</v>
      </c>
      <c r="DQ27" s="1206" t="s">
        <v>123</v>
      </c>
      <c r="DR27" s="1206"/>
      <c r="DS27" s="1232" t="s">
        <v>123</v>
      </c>
      <c r="DT27" s="1207"/>
      <c r="DU27" s="1207"/>
      <c r="DV27" s="1199" t="str">
        <f t="shared" si="9"/>
        <v/>
      </c>
      <c r="DW27" s="1208"/>
      <c r="DX27" s="1223"/>
      <c r="DY27" s="1234"/>
      <c r="DZ27" s="1209"/>
      <c r="EA27" s="1209"/>
      <c r="EB27" s="1212"/>
      <c r="EC27" s="1242"/>
      <c r="ED27" s="1204" t="s">
        <v>123</v>
      </c>
      <c r="EE27" s="1204" t="s">
        <v>123</v>
      </c>
      <c r="EF27" s="1206" t="s">
        <v>123</v>
      </c>
      <c r="EG27" s="1206"/>
      <c r="EH27" s="1232" t="s">
        <v>123</v>
      </c>
      <c r="EI27" s="1207"/>
      <c r="EJ27" s="1207"/>
      <c r="EK27" s="1199" t="str">
        <f t="shared" si="10"/>
        <v/>
      </c>
      <c r="EL27" s="1208"/>
      <c r="EM27" s="1208"/>
      <c r="EN27" s="1243"/>
      <c r="EO27" s="1224"/>
      <c r="EP27" s="1224"/>
      <c r="EQ27" s="1212"/>
      <c r="ER27" s="1241"/>
      <c r="ES27" s="1204" t="s">
        <v>123</v>
      </c>
      <c r="ET27" s="1204" t="s">
        <v>123</v>
      </c>
      <c r="EU27" s="1206" t="s">
        <v>123</v>
      </c>
      <c r="EV27" s="1206"/>
      <c r="EW27" s="1232" t="s">
        <v>123</v>
      </c>
      <c r="EX27" s="1207"/>
      <c r="EY27" s="1207"/>
      <c r="EZ27" s="1199" t="str">
        <f t="shared" si="11"/>
        <v/>
      </c>
      <c r="FA27" s="1208"/>
      <c r="FB27" s="1208"/>
      <c r="FC27" s="1243"/>
      <c r="FD27" s="1224"/>
      <c r="FE27" s="1224"/>
      <c r="FF27" s="1212"/>
      <c r="FG27" s="1241"/>
      <c r="FH27" s="1204" t="s">
        <v>123</v>
      </c>
      <c r="FI27" s="1204" t="s">
        <v>123</v>
      </c>
      <c r="FJ27" s="1206" t="s">
        <v>123</v>
      </c>
      <c r="FK27" s="1206"/>
      <c r="FL27" s="1232" t="s">
        <v>123</v>
      </c>
      <c r="FM27" s="1207"/>
      <c r="FN27" s="1207"/>
      <c r="FO27" s="1199" t="str">
        <f t="shared" si="12"/>
        <v/>
      </c>
      <c r="FP27" s="1208"/>
      <c r="FQ27" s="1223"/>
      <c r="FR27" s="1234"/>
      <c r="FS27" s="1209"/>
      <c r="FT27" s="1209"/>
      <c r="FU27" s="1212"/>
      <c r="FV27" s="1242"/>
      <c r="FW27" s="1204" t="s">
        <v>123</v>
      </c>
      <c r="FX27" s="1204" t="s">
        <v>123</v>
      </c>
      <c r="FY27" s="1206" t="s">
        <v>123</v>
      </c>
      <c r="FZ27" s="1206"/>
      <c r="GA27" s="1232" t="s">
        <v>123</v>
      </c>
      <c r="GB27" s="1207"/>
      <c r="GC27" s="1207"/>
      <c r="GD27" s="1199" t="str">
        <f t="shared" si="13"/>
        <v/>
      </c>
      <c r="GE27" s="1208"/>
      <c r="GF27" s="1223"/>
      <c r="GG27" s="1234"/>
      <c r="GH27" s="1209"/>
      <c r="GI27" s="1209"/>
      <c r="GJ27" s="1212"/>
      <c r="GK27" s="1242"/>
      <c r="GL27" s="1204" t="s">
        <v>123</v>
      </c>
      <c r="GM27" s="1204" t="s">
        <v>123</v>
      </c>
      <c r="GN27" s="1206" t="s">
        <v>123</v>
      </c>
      <c r="GO27" s="1206"/>
      <c r="GP27" s="1232" t="s">
        <v>123</v>
      </c>
      <c r="GQ27" s="1207"/>
      <c r="GR27" s="1207"/>
      <c r="GS27" s="1199" t="str">
        <f t="shared" si="14"/>
        <v/>
      </c>
      <c r="GT27" s="1208"/>
      <c r="GU27" s="1223"/>
      <c r="GV27" s="1234"/>
      <c r="GW27" s="1209"/>
      <c r="GX27" s="1209"/>
      <c r="GY27" s="1212"/>
      <c r="GZ27" s="1242"/>
      <c r="HA27" s="1204" t="s">
        <v>123</v>
      </c>
      <c r="HB27" s="1204" t="s">
        <v>123</v>
      </c>
      <c r="HC27" s="1206" t="s">
        <v>123</v>
      </c>
      <c r="HD27" s="1206"/>
      <c r="HE27" s="1232" t="s">
        <v>123</v>
      </c>
      <c r="HF27" s="1207"/>
      <c r="HG27" s="1207"/>
      <c r="HH27" s="1199" t="str">
        <f t="shared" si="15"/>
        <v/>
      </c>
      <c r="HI27" s="1208"/>
      <c r="HJ27" s="1223"/>
      <c r="HK27" s="1234"/>
      <c r="HL27" s="1209"/>
      <c r="HM27" s="1253"/>
      <c r="HN27" s="1212"/>
      <c r="HO27" s="1241"/>
      <c r="HP27" s="1204" t="s">
        <v>123</v>
      </c>
      <c r="HQ27" s="1204" t="s">
        <v>123</v>
      </c>
      <c r="HR27" s="1206" t="s">
        <v>123</v>
      </c>
      <c r="HS27" s="1206"/>
      <c r="HT27" s="1232" t="s">
        <v>123</v>
      </c>
      <c r="HU27" s="1207"/>
      <c r="HV27" s="1207"/>
      <c r="HW27" s="1227"/>
    </row>
    <row r="28" ht="15.75" customHeight="1">
      <c r="A28" s="619">
        <v>2.0</v>
      </c>
      <c r="B28" s="1280" t="s">
        <v>947</v>
      </c>
      <c r="C28" s="611"/>
      <c r="D28" s="611"/>
      <c r="E28" s="1281">
        <f t="shared" si="16"/>
        <v>0</v>
      </c>
      <c r="F28" s="1282" t="str">
        <f t="shared" si="1"/>
        <v/>
      </c>
      <c r="G28" s="1208"/>
      <c r="H28" s="1208"/>
      <c r="I28" s="1259"/>
      <c r="J28" s="1209"/>
      <c r="K28" s="1209"/>
      <c r="L28" s="1212"/>
      <c r="M28" s="1203"/>
      <c r="N28" s="1230" t="s">
        <v>123</v>
      </c>
      <c r="O28" s="1230" t="s">
        <v>123</v>
      </c>
      <c r="P28" s="1231" t="s">
        <v>123</v>
      </c>
      <c r="Q28" s="1207"/>
      <c r="R28" s="1207" t="s">
        <v>123</v>
      </c>
      <c r="S28" s="1207"/>
      <c r="T28" s="1207"/>
      <c r="U28" s="1199" t="str">
        <f t="shared" si="2"/>
        <v/>
      </c>
      <c r="V28" s="1208"/>
      <c r="W28" s="1208"/>
      <c r="X28" s="1274"/>
      <c r="Y28" s="1209"/>
      <c r="Z28" s="1209"/>
      <c r="AA28" s="1210"/>
      <c r="AB28" s="1211"/>
      <c r="AC28" s="1204" t="s">
        <v>123</v>
      </c>
      <c r="AD28" s="1204" t="s">
        <v>123</v>
      </c>
      <c r="AE28" s="1205" t="s">
        <v>123</v>
      </c>
      <c r="AF28" s="1206"/>
      <c r="AG28" s="1232" t="s">
        <v>123</v>
      </c>
      <c r="AH28" s="1207"/>
      <c r="AI28" s="1207"/>
      <c r="AJ28" s="1199" t="str">
        <f t="shared" si="3"/>
        <v/>
      </c>
      <c r="AK28" s="1208"/>
      <c r="AL28" s="1287"/>
      <c r="AM28" s="1274"/>
      <c r="AN28" s="1253"/>
      <c r="AO28" s="1209"/>
      <c r="AP28" s="1252"/>
      <c r="AQ28" s="1238"/>
      <c r="AR28" s="1204" t="s">
        <v>123</v>
      </c>
      <c r="AS28" s="1204" t="s">
        <v>123</v>
      </c>
      <c r="AT28" s="1206" t="s">
        <v>123</v>
      </c>
      <c r="AU28" s="1206"/>
      <c r="AV28" s="1232" t="s">
        <v>123</v>
      </c>
      <c r="AW28" s="1207"/>
      <c r="AX28" s="1207"/>
      <c r="AY28" s="1199" t="str">
        <f t="shared" si="4"/>
        <v/>
      </c>
      <c r="AZ28" s="1208"/>
      <c r="BA28" s="1223"/>
      <c r="BB28" s="1234"/>
      <c r="BC28" s="1209"/>
      <c r="BD28" s="1253"/>
      <c r="BE28" s="1212"/>
      <c r="BF28" s="1241"/>
      <c r="BG28" s="1204" t="s">
        <v>123</v>
      </c>
      <c r="BH28" s="1204" t="s">
        <v>123</v>
      </c>
      <c r="BI28" s="1206" t="s">
        <v>123</v>
      </c>
      <c r="BJ28" s="1206"/>
      <c r="BK28" s="1232" t="s">
        <v>123</v>
      </c>
      <c r="BL28" s="1207"/>
      <c r="BM28" s="1207"/>
      <c r="BN28" s="1199" t="str">
        <f t="shared" si="5"/>
        <v/>
      </c>
      <c r="BO28" s="1208"/>
      <c r="BP28" s="1223"/>
      <c r="BQ28" s="1234"/>
      <c r="BR28" s="1209"/>
      <c r="BS28" s="1209"/>
      <c r="BT28" s="1212"/>
      <c r="BU28" s="1241"/>
      <c r="BV28" s="1204" t="s">
        <v>123</v>
      </c>
      <c r="BW28" s="1204" t="s">
        <v>123</v>
      </c>
      <c r="BX28" s="1206" t="s">
        <v>123</v>
      </c>
      <c r="BY28" s="1206"/>
      <c r="BZ28" s="1232" t="s">
        <v>123</v>
      </c>
      <c r="CA28" s="1207"/>
      <c r="CB28" s="1207"/>
      <c r="CC28" s="1199" t="str">
        <f t="shared" si="6"/>
        <v/>
      </c>
      <c r="CD28" s="1208"/>
      <c r="CE28" s="1267"/>
      <c r="CF28" s="1259"/>
      <c r="CG28" s="1253"/>
      <c r="CH28" s="1253"/>
      <c r="CI28" s="1252"/>
      <c r="CJ28" s="1242"/>
      <c r="CK28" s="1204" t="s">
        <v>123</v>
      </c>
      <c r="CL28" s="1204" t="s">
        <v>123</v>
      </c>
      <c r="CM28" s="1206" t="s">
        <v>123</v>
      </c>
      <c r="CN28" s="1206"/>
      <c r="CO28" s="1232" t="s">
        <v>123</v>
      </c>
      <c r="CP28" s="1207"/>
      <c r="CQ28" s="1207"/>
      <c r="CR28" s="1199" t="str">
        <f t="shared" si="7"/>
        <v/>
      </c>
      <c r="CS28" s="1208"/>
      <c r="CT28" s="1223"/>
      <c r="CU28" s="1234"/>
      <c r="CV28" s="1209"/>
      <c r="CW28" s="1253"/>
      <c r="CX28" s="1212"/>
      <c r="CY28" s="1241"/>
      <c r="CZ28" s="1204" t="s">
        <v>123</v>
      </c>
      <c r="DA28" s="1204" t="s">
        <v>123</v>
      </c>
      <c r="DB28" s="1206" t="s">
        <v>123</v>
      </c>
      <c r="DC28" s="1206"/>
      <c r="DD28" s="1232" t="s">
        <v>123</v>
      </c>
      <c r="DE28" s="1207"/>
      <c r="DF28" s="1207"/>
      <c r="DG28" s="1199" t="str">
        <f t="shared" si="8"/>
        <v/>
      </c>
      <c r="DH28" s="1208"/>
      <c r="DI28" s="1223"/>
      <c r="DJ28" s="1222"/>
      <c r="DK28" s="1288"/>
      <c r="DL28" s="1288"/>
      <c r="DM28" s="1289"/>
      <c r="DN28" s="1255"/>
      <c r="DO28" s="1204" t="s">
        <v>123</v>
      </c>
      <c r="DP28" s="1204" t="s">
        <v>123</v>
      </c>
      <c r="DQ28" s="1206" t="s">
        <v>123</v>
      </c>
      <c r="DR28" s="1206"/>
      <c r="DS28" s="1232" t="s">
        <v>123</v>
      </c>
      <c r="DT28" s="1207"/>
      <c r="DU28" s="1207"/>
      <c r="DV28" s="1199" t="str">
        <f t="shared" si="9"/>
        <v/>
      </c>
      <c r="DW28" s="1208"/>
      <c r="DX28" s="1223"/>
      <c r="DY28" s="1234"/>
      <c r="DZ28" s="1209"/>
      <c r="EA28" s="1209"/>
      <c r="EB28" s="1212"/>
      <c r="EC28" s="1242"/>
      <c r="ED28" s="1204" t="s">
        <v>123</v>
      </c>
      <c r="EE28" s="1204" t="s">
        <v>123</v>
      </c>
      <c r="EF28" s="1206" t="s">
        <v>123</v>
      </c>
      <c r="EG28" s="1206"/>
      <c r="EH28" s="1232" t="s">
        <v>123</v>
      </c>
      <c r="EI28" s="1207"/>
      <c r="EJ28" s="1207"/>
      <c r="EK28" s="1199" t="str">
        <f t="shared" si="10"/>
        <v/>
      </c>
      <c r="EL28" s="1208"/>
      <c r="EM28" s="1208"/>
      <c r="EN28" s="1243"/>
      <c r="EO28" s="1224"/>
      <c r="EP28" s="1224"/>
      <c r="EQ28" s="1212"/>
      <c r="ER28" s="1241"/>
      <c r="ES28" s="1204" t="s">
        <v>123</v>
      </c>
      <c r="ET28" s="1204" t="s">
        <v>123</v>
      </c>
      <c r="EU28" s="1206" t="s">
        <v>123</v>
      </c>
      <c r="EV28" s="1206"/>
      <c r="EW28" s="1232" t="s">
        <v>123</v>
      </c>
      <c r="EX28" s="1207"/>
      <c r="EY28" s="1207"/>
      <c r="EZ28" s="1199" t="str">
        <f t="shared" si="11"/>
        <v/>
      </c>
      <c r="FA28" s="1208"/>
      <c r="FB28" s="1208"/>
      <c r="FC28" s="1243"/>
      <c r="FD28" s="1224"/>
      <c r="FE28" s="1224"/>
      <c r="FF28" s="1212"/>
      <c r="FG28" s="1241"/>
      <c r="FH28" s="1204" t="s">
        <v>123</v>
      </c>
      <c r="FI28" s="1204" t="s">
        <v>123</v>
      </c>
      <c r="FJ28" s="1206" t="s">
        <v>123</v>
      </c>
      <c r="FK28" s="1206"/>
      <c r="FL28" s="1232" t="s">
        <v>123</v>
      </c>
      <c r="FM28" s="1207"/>
      <c r="FN28" s="1207"/>
      <c r="FO28" s="1199" t="str">
        <f t="shared" si="12"/>
        <v/>
      </c>
      <c r="FP28" s="1208"/>
      <c r="FQ28" s="1223"/>
      <c r="FR28" s="1234"/>
      <c r="FS28" s="1209"/>
      <c r="FT28" s="1209"/>
      <c r="FU28" s="1212"/>
      <c r="FV28" s="1242"/>
      <c r="FW28" s="1204" t="s">
        <v>123</v>
      </c>
      <c r="FX28" s="1204" t="s">
        <v>123</v>
      </c>
      <c r="FY28" s="1206" t="s">
        <v>123</v>
      </c>
      <c r="FZ28" s="1206"/>
      <c r="GA28" s="1232" t="s">
        <v>123</v>
      </c>
      <c r="GB28" s="1207"/>
      <c r="GC28" s="1207"/>
      <c r="GD28" s="1199" t="str">
        <f t="shared" si="13"/>
        <v/>
      </c>
      <c r="GE28" s="1208"/>
      <c r="GF28" s="1223"/>
      <c r="GG28" s="1234"/>
      <c r="GH28" s="1209"/>
      <c r="GI28" s="1209"/>
      <c r="GJ28" s="1212"/>
      <c r="GK28" s="1242"/>
      <c r="GL28" s="1204" t="s">
        <v>123</v>
      </c>
      <c r="GM28" s="1204" t="s">
        <v>123</v>
      </c>
      <c r="GN28" s="1206" t="s">
        <v>123</v>
      </c>
      <c r="GO28" s="1206"/>
      <c r="GP28" s="1232" t="s">
        <v>123</v>
      </c>
      <c r="GQ28" s="1207"/>
      <c r="GR28" s="1207"/>
      <c r="GS28" s="1199" t="str">
        <f t="shared" si="14"/>
        <v/>
      </c>
      <c r="GT28" s="1208"/>
      <c r="GU28" s="1223"/>
      <c r="GV28" s="1234"/>
      <c r="GW28" s="1209"/>
      <c r="GX28" s="1209"/>
      <c r="GY28" s="1212"/>
      <c r="GZ28" s="1242"/>
      <c r="HA28" s="1204" t="s">
        <v>123</v>
      </c>
      <c r="HB28" s="1204" t="s">
        <v>123</v>
      </c>
      <c r="HC28" s="1206" t="s">
        <v>123</v>
      </c>
      <c r="HD28" s="1206"/>
      <c r="HE28" s="1232" t="s">
        <v>123</v>
      </c>
      <c r="HF28" s="1207"/>
      <c r="HG28" s="1207"/>
      <c r="HH28" s="1199" t="str">
        <f t="shared" si="15"/>
        <v/>
      </c>
      <c r="HI28" s="1208"/>
      <c r="HJ28" s="1223"/>
      <c r="HK28" s="1234"/>
      <c r="HL28" s="1209"/>
      <c r="HM28" s="1253"/>
      <c r="HN28" s="1212"/>
      <c r="HO28" s="1241"/>
      <c r="HP28" s="1204" t="s">
        <v>123</v>
      </c>
      <c r="HQ28" s="1204" t="s">
        <v>123</v>
      </c>
      <c r="HR28" s="1206" t="s">
        <v>123</v>
      </c>
      <c r="HS28" s="1206"/>
      <c r="HT28" s="1232" t="s">
        <v>123</v>
      </c>
      <c r="HU28" s="1207"/>
      <c r="HV28" s="1207"/>
      <c r="HW28" s="1227"/>
    </row>
    <row r="29" ht="15.75" customHeight="1">
      <c r="A29" s="619">
        <v>3.0</v>
      </c>
      <c r="B29" s="1280" t="s">
        <v>948</v>
      </c>
      <c r="C29" s="611"/>
      <c r="D29" s="611"/>
      <c r="E29" s="1281">
        <f t="shared" si="16"/>
        <v>0</v>
      </c>
      <c r="F29" s="1199" t="str">
        <f t="shared" si="1"/>
        <v/>
      </c>
      <c r="G29" s="1208"/>
      <c r="H29" s="1208"/>
      <c r="I29" s="1201"/>
      <c r="J29" s="1209"/>
      <c r="K29" s="1209"/>
      <c r="L29" s="1212"/>
      <c r="M29" s="1203"/>
      <c r="N29" s="1230" t="s">
        <v>123</v>
      </c>
      <c r="O29" s="1230" t="s">
        <v>123</v>
      </c>
      <c r="P29" s="1231" t="s">
        <v>123</v>
      </c>
      <c r="Q29" s="1207"/>
      <c r="R29" s="1207" t="s">
        <v>123</v>
      </c>
      <c r="S29" s="1207"/>
      <c r="T29" s="1207"/>
      <c r="U29" s="1199" t="str">
        <f t="shared" si="2"/>
        <v/>
      </c>
      <c r="V29" s="1208"/>
      <c r="W29" s="1208"/>
      <c r="X29" s="1274"/>
      <c r="Y29" s="1209"/>
      <c r="Z29" s="1209"/>
      <c r="AA29" s="1210"/>
      <c r="AB29" s="1211"/>
      <c r="AC29" s="1204" t="s">
        <v>123</v>
      </c>
      <c r="AD29" s="1204" t="s">
        <v>123</v>
      </c>
      <c r="AE29" s="1205" t="s">
        <v>123</v>
      </c>
      <c r="AF29" s="1206"/>
      <c r="AG29" s="1232" t="s">
        <v>123</v>
      </c>
      <c r="AH29" s="1207"/>
      <c r="AI29" s="1207"/>
      <c r="AJ29" s="1199" t="str">
        <f t="shared" si="3"/>
        <v/>
      </c>
      <c r="AK29" s="1208"/>
      <c r="AL29" s="1287"/>
      <c r="AM29" s="1274"/>
      <c r="AN29" s="1253"/>
      <c r="AO29" s="1253"/>
      <c r="AP29" s="1252"/>
      <c r="AQ29" s="1238"/>
      <c r="AR29" s="1204" t="s">
        <v>123</v>
      </c>
      <c r="AS29" s="1204" t="s">
        <v>123</v>
      </c>
      <c r="AT29" s="1206" t="s">
        <v>123</v>
      </c>
      <c r="AU29" s="1206"/>
      <c r="AV29" s="1232" t="s">
        <v>123</v>
      </c>
      <c r="AW29" s="1207"/>
      <c r="AX29" s="1207"/>
      <c r="AY29" s="1199" t="str">
        <f t="shared" si="4"/>
        <v/>
      </c>
      <c r="AZ29" s="1208"/>
      <c r="BA29" s="1223"/>
      <c r="BB29" s="1234"/>
      <c r="BC29" s="1209"/>
      <c r="BD29" s="1253"/>
      <c r="BE29" s="1212"/>
      <c r="BF29" s="1212"/>
      <c r="BG29" s="1204" t="s">
        <v>123</v>
      </c>
      <c r="BH29" s="1204" t="s">
        <v>123</v>
      </c>
      <c r="BI29" s="1206" t="s">
        <v>123</v>
      </c>
      <c r="BJ29" s="1206"/>
      <c r="BK29" s="1232" t="s">
        <v>123</v>
      </c>
      <c r="BL29" s="1207"/>
      <c r="BM29" s="1207"/>
      <c r="BN29" s="1199" t="str">
        <f t="shared" si="5"/>
        <v/>
      </c>
      <c r="BO29" s="1208"/>
      <c r="BP29" s="1223"/>
      <c r="BQ29" s="1234"/>
      <c r="BR29" s="1209"/>
      <c r="BS29" s="1209"/>
      <c r="BT29" s="1212"/>
      <c r="BU29" s="1242"/>
      <c r="BV29" s="1204" t="s">
        <v>123</v>
      </c>
      <c r="BW29" s="1204" t="s">
        <v>123</v>
      </c>
      <c r="BX29" s="1206" t="s">
        <v>123</v>
      </c>
      <c r="BY29" s="1206"/>
      <c r="BZ29" s="1232" t="s">
        <v>123</v>
      </c>
      <c r="CA29" s="1207"/>
      <c r="CB29" s="1207"/>
      <c r="CC29" s="1199" t="str">
        <f t="shared" si="6"/>
        <v/>
      </c>
      <c r="CD29" s="1208"/>
      <c r="CE29" s="1267"/>
      <c r="CF29" s="1259"/>
      <c r="CG29" s="1253"/>
      <c r="CH29" s="1253"/>
      <c r="CI29" s="1252"/>
      <c r="CJ29" s="1242"/>
      <c r="CK29" s="1204" t="s">
        <v>123</v>
      </c>
      <c r="CL29" s="1204" t="s">
        <v>123</v>
      </c>
      <c r="CM29" s="1206" t="s">
        <v>123</v>
      </c>
      <c r="CN29" s="1206"/>
      <c r="CO29" s="1232" t="s">
        <v>123</v>
      </c>
      <c r="CP29" s="1207"/>
      <c r="CQ29" s="1207"/>
      <c r="CR29" s="1199" t="str">
        <f t="shared" si="7"/>
        <v/>
      </c>
      <c r="CS29" s="1208"/>
      <c r="CT29" s="1223"/>
      <c r="CU29" s="1234"/>
      <c r="CV29" s="1209"/>
      <c r="CW29" s="1253"/>
      <c r="CX29" s="1212"/>
      <c r="CY29" s="1241"/>
      <c r="CZ29" s="1204" t="s">
        <v>123</v>
      </c>
      <c r="DA29" s="1204" t="s">
        <v>123</v>
      </c>
      <c r="DB29" s="1206" t="s">
        <v>123</v>
      </c>
      <c r="DC29" s="1206"/>
      <c r="DD29" s="1232" t="s">
        <v>123</v>
      </c>
      <c r="DE29" s="1207"/>
      <c r="DF29" s="1207"/>
      <c r="DG29" s="1199" t="str">
        <f t="shared" si="8"/>
        <v/>
      </c>
      <c r="DH29" s="1208"/>
      <c r="DI29" s="1223"/>
      <c r="DJ29" s="1222"/>
      <c r="DK29" s="1288"/>
      <c r="DL29" s="1288"/>
      <c r="DM29" s="1289"/>
      <c r="DN29" s="1255"/>
      <c r="DO29" s="1204" t="s">
        <v>123</v>
      </c>
      <c r="DP29" s="1204" t="s">
        <v>123</v>
      </c>
      <c r="DQ29" s="1206" t="s">
        <v>123</v>
      </c>
      <c r="DR29" s="1206"/>
      <c r="DS29" s="1232" t="s">
        <v>123</v>
      </c>
      <c r="DT29" s="1207"/>
      <c r="DU29" s="1207"/>
      <c r="DV29" s="1199" t="str">
        <f t="shared" si="9"/>
        <v/>
      </c>
      <c r="DW29" s="1208"/>
      <c r="DX29" s="1223"/>
      <c r="DY29" s="1234"/>
      <c r="DZ29" s="1209"/>
      <c r="EA29" s="1209"/>
      <c r="EB29" s="1212"/>
      <c r="EC29" s="1242"/>
      <c r="ED29" s="1204" t="s">
        <v>123</v>
      </c>
      <c r="EE29" s="1204" t="s">
        <v>123</v>
      </c>
      <c r="EF29" s="1206" t="s">
        <v>123</v>
      </c>
      <c r="EG29" s="1206"/>
      <c r="EH29" s="1232" t="s">
        <v>123</v>
      </c>
      <c r="EI29" s="1207"/>
      <c r="EJ29" s="1207"/>
      <c r="EK29" s="1199" t="str">
        <f t="shared" si="10"/>
        <v/>
      </c>
      <c r="EL29" s="1208"/>
      <c r="EM29" s="1208"/>
      <c r="EN29" s="1243"/>
      <c r="EO29" s="1224"/>
      <c r="EP29" s="1224"/>
      <c r="EQ29" s="1212"/>
      <c r="ER29" s="1241"/>
      <c r="ES29" s="1204" t="s">
        <v>123</v>
      </c>
      <c r="ET29" s="1204" t="s">
        <v>123</v>
      </c>
      <c r="EU29" s="1206" t="s">
        <v>123</v>
      </c>
      <c r="EV29" s="1206"/>
      <c r="EW29" s="1232" t="s">
        <v>123</v>
      </c>
      <c r="EX29" s="1207"/>
      <c r="EY29" s="1207"/>
      <c r="EZ29" s="1199" t="str">
        <f t="shared" si="11"/>
        <v/>
      </c>
      <c r="FA29" s="1208"/>
      <c r="FB29" s="1208"/>
      <c r="FC29" s="1243"/>
      <c r="FD29" s="1224"/>
      <c r="FE29" s="1224"/>
      <c r="FF29" s="1212"/>
      <c r="FG29" s="1241"/>
      <c r="FH29" s="1204" t="s">
        <v>123</v>
      </c>
      <c r="FI29" s="1204" t="s">
        <v>123</v>
      </c>
      <c r="FJ29" s="1206" t="s">
        <v>123</v>
      </c>
      <c r="FK29" s="1206"/>
      <c r="FL29" s="1232" t="s">
        <v>123</v>
      </c>
      <c r="FM29" s="1207"/>
      <c r="FN29" s="1207"/>
      <c r="FO29" s="1199" t="str">
        <f t="shared" si="12"/>
        <v/>
      </c>
      <c r="FP29" s="1208"/>
      <c r="FQ29" s="1223"/>
      <c r="FR29" s="1234"/>
      <c r="FS29" s="1209"/>
      <c r="FT29" s="1209"/>
      <c r="FU29" s="1212"/>
      <c r="FV29" s="1242"/>
      <c r="FW29" s="1204" t="s">
        <v>123</v>
      </c>
      <c r="FX29" s="1204" t="s">
        <v>123</v>
      </c>
      <c r="FY29" s="1206" t="s">
        <v>123</v>
      </c>
      <c r="FZ29" s="1206"/>
      <c r="GA29" s="1232" t="s">
        <v>123</v>
      </c>
      <c r="GB29" s="1207"/>
      <c r="GC29" s="1207"/>
      <c r="GD29" s="1199" t="str">
        <f t="shared" si="13"/>
        <v/>
      </c>
      <c r="GE29" s="1208"/>
      <c r="GF29" s="1223"/>
      <c r="GG29" s="1234"/>
      <c r="GH29" s="1209"/>
      <c r="GI29" s="1209"/>
      <c r="GJ29" s="1212"/>
      <c r="GK29" s="1242"/>
      <c r="GL29" s="1204" t="s">
        <v>123</v>
      </c>
      <c r="GM29" s="1204" t="s">
        <v>123</v>
      </c>
      <c r="GN29" s="1206" t="s">
        <v>123</v>
      </c>
      <c r="GO29" s="1206"/>
      <c r="GP29" s="1232" t="s">
        <v>123</v>
      </c>
      <c r="GQ29" s="1207"/>
      <c r="GR29" s="1207"/>
      <c r="GS29" s="1199" t="str">
        <f t="shared" si="14"/>
        <v/>
      </c>
      <c r="GT29" s="1208"/>
      <c r="GU29" s="1223"/>
      <c r="GV29" s="1234"/>
      <c r="GW29" s="1209"/>
      <c r="GX29" s="1209"/>
      <c r="GY29" s="1212"/>
      <c r="GZ29" s="1242"/>
      <c r="HA29" s="1204" t="s">
        <v>123</v>
      </c>
      <c r="HB29" s="1204" t="s">
        <v>123</v>
      </c>
      <c r="HC29" s="1206" t="s">
        <v>123</v>
      </c>
      <c r="HD29" s="1206"/>
      <c r="HE29" s="1232" t="s">
        <v>123</v>
      </c>
      <c r="HF29" s="1207"/>
      <c r="HG29" s="1207"/>
      <c r="HH29" s="1199" t="str">
        <f t="shared" si="15"/>
        <v/>
      </c>
      <c r="HI29" s="1208"/>
      <c r="HJ29" s="1223"/>
      <c r="HK29" s="1234"/>
      <c r="HL29" s="1209"/>
      <c r="HM29" s="1253"/>
      <c r="HN29" s="1212"/>
      <c r="HO29" s="1241"/>
      <c r="HP29" s="1204" t="s">
        <v>123</v>
      </c>
      <c r="HQ29" s="1204" t="s">
        <v>123</v>
      </c>
      <c r="HR29" s="1206" t="s">
        <v>123</v>
      </c>
      <c r="HS29" s="1206"/>
      <c r="HT29" s="1232" t="s">
        <v>123</v>
      </c>
      <c r="HU29" s="1207"/>
      <c r="HV29" s="1207"/>
      <c r="HW29" s="1227"/>
    </row>
    <row r="30" ht="15.75" customHeight="1">
      <c r="A30" s="619">
        <v>4.0</v>
      </c>
      <c r="B30" s="1280"/>
      <c r="C30" s="611"/>
      <c r="D30" s="611"/>
      <c r="E30" s="1281" t="str">
        <f t="shared" si="16"/>
        <v/>
      </c>
      <c r="F30" s="1199" t="str">
        <f t="shared" si="1"/>
        <v/>
      </c>
      <c r="G30" s="1208"/>
      <c r="H30" s="1208"/>
      <c r="I30" s="1201"/>
      <c r="J30" s="1209"/>
      <c r="K30" s="1209"/>
      <c r="L30" s="1212"/>
      <c r="M30" s="1203"/>
      <c r="N30" s="1230" t="s">
        <v>123</v>
      </c>
      <c r="O30" s="1230" t="s">
        <v>123</v>
      </c>
      <c r="P30" s="1231" t="s">
        <v>123</v>
      </c>
      <c r="Q30" s="1207"/>
      <c r="R30" s="1207" t="s">
        <v>123</v>
      </c>
      <c r="S30" s="1207"/>
      <c r="T30" s="1207"/>
      <c r="U30" s="1199" t="str">
        <f t="shared" si="2"/>
        <v/>
      </c>
      <c r="V30" s="1208"/>
      <c r="W30" s="1208"/>
      <c r="X30" s="1259"/>
      <c r="Y30" s="1209"/>
      <c r="Z30" s="1209"/>
      <c r="AA30" s="1210"/>
      <c r="AB30" s="1211"/>
      <c r="AC30" s="1204" t="s">
        <v>123</v>
      </c>
      <c r="AD30" s="1204" t="s">
        <v>123</v>
      </c>
      <c r="AE30" s="1205" t="s">
        <v>123</v>
      </c>
      <c r="AF30" s="1206"/>
      <c r="AG30" s="1232" t="s">
        <v>123</v>
      </c>
      <c r="AH30" s="1207"/>
      <c r="AI30" s="1207"/>
      <c r="AJ30" s="1199" t="str">
        <f t="shared" si="3"/>
        <v/>
      </c>
      <c r="AK30" s="1208"/>
      <c r="AL30" s="1287"/>
      <c r="AM30" s="1274"/>
      <c r="AN30" s="1253"/>
      <c r="AO30" s="1253"/>
      <c r="AP30" s="1252"/>
      <c r="AQ30" s="1238"/>
      <c r="AR30" s="1204" t="s">
        <v>123</v>
      </c>
      <c r="AS30" s="1204" t="s">
        <v>123</v>
      </c>
      <c r="AT30" s="1206" t="s">
        <v>123</v>
      </c>
      <c r="AU30" s="1206"/>
      <c r="AV30" s="1232" t="s">
        <v>123</v>
      </c>
      <c r="AW30" s="1207"/>
      <c r="AX30" s="1207"/>
      <c r="AY30" s="1199" t="str">
        <f t="shared" si="4"/>
        <v/>
      </c>
      <c r="AZ30" s="1208"/>
      <c r="BA30" s="1223"/>
      <c r="BB30" s="1234"/>
      <c r="BC30" s="1209"/>
      <c r="BD30" s="1253"/>
      <c r="BE30" s="1289"/>
      <c r="BF30" s="1212"/>
      <c r="BG30" s="1204" t="s">
        <v>123</v>
      </c>
      <c r="BH30" s="1204" t="s">
        <v>123</v>
      </c>
      <c r="BI30" s="1206" t="s">
        <v>123</v>
      </c>
      <c r="BJ30" s="1206"/>
      <c r="BK30" s="1232" t="s">
        <v>123</v>
      </c>
      <c r="BL30" s="1207"/>
      <c r="BM30" s="1207"/>
      <c r="BN30" s="1199" t="str">
        <f t="shared" si="5"/>
        <v/>
      </c>
      <c r="BO30" s="1208"/>
      <c r="BP30" s="1208"/>
      <c r="BQ30" s="1234"/>
      <c r="BR30" s="1209"/>
      <c r="BS30" s="1209"/>
      <c r="BT30" s="1212"/>
      <c r="BU30" s="1212"/>
      <c r="BV30" s="1204" t="s">
        <v>123</v>
      </c>
      <c r="BW30" s="1204" t="s">
        <v>123</v>
      </c>
      <c r="BX30" s="1206" t="s">
        <v>123</v>
      </c>
      <c r="BY30" s="1206"/>
      <c r="BZ30" s="1232" t="s">
        <v>123</v>
      </c>
      <c r="CA30" s="1207"/>
      <c r="CB30" s="1207"/>
      <c r="CC30" s="1199" t="str">
        <f t="shared" si="6"/>
        <v/>
      </c>
      <c r="CD30" s="1208"/>
      <c r="CE30" s="1267"/>
      <c r="CF30" s="1259"/>
      <c r="CG30" s="1253"/>
      <c r="CH30" s="1253"/>
      <c r="CI30" s="1252"/>
      <c r="CJ30" s="1242"/>
      <c r="CK30" s="1204" t="s">
        <v>123</v>
      </c>
      <c r="CL30" s="1204" t="s">
        <v>123</v>
      </c>
      <c r="CM30" s="1206" t="s">
        <v>123</v>
      </c>
      <c r="CN30" s="1206"/>
      <c r="CO30" s="1232" t="s">
        <v>123</v>
      </c>
      <c r="CP30" s="1207"/>
      <c r="CQ30" s="1207"/>
      <c r="CR30" s="1199" t="str">
        <f t="shared" si="7"/>
        <v/>
      </c>
      <c r="CS30" s="1208"/>
      <c r="CT30" s="1223"/>
      <c r="CU30" s="1234"/>
      <c r="CV30" s="1209"/>
      <c r="CW30" s="1253"/>
      <c r="CX30" s="1212"/>
      <c r="CY30" s="1241"/>
      <c r="CZ30" s="1204" t="s">
        <v>123</v>
      </c>
      <c r="DA30" s="1204" t="s">
        <v>123</v>
      </c>
      <c r="DB30" s="1206" t="s">
        <v>123</v>
      </c>
      <c r="DC30" s="1206"/>
      <c r="DD30" s="1232" t="s">
        <v>123</v>
      </c>
      <c r="DE30" s="1207"/>
      <c r="DF30" s="1207"/>
      <c r="DG30" s="1199" t="str">
        <f t="shared" si="8"/>
        <v/>
      </c>
      <c r="DH30" s="1208"/>
      <c r="DI30" s="1223"/>
      <c r="DJ30" s="1222"/>
      <c r="DK30" s="1288"/>
      <c r="DL30" s="1288"/>
      <c r="DM30" s="1289"/>
      <c r="DN30" s="1255"/>
      <c r="DO30" s="1204" t="s">
        <v>123</v>
      </c>
      <c r="DP30" s="1204" t="s">
        <v>123</v>
      </c>
      <c r="DQ30" s="1206" t="s">
        <v>123</v>
      </c>
      <c r="DR30" s="1206"/>
      <c r="DS30" s="1232" t="s">
        <v>123</v>
      </c>
      <c r="DT30" s="1207"/>
      <c r="DU30" s="1207"/>
      <c r="DV30" s="1199" t="str">
        <f t="shared" si="9"/>
        <v/>
      </c>
      <c r="DW30" s="1208"/>
      <c r="DX30" s="1223"/>
      <c r="DY30" s="1234"/>
      <c r="DZ30" s="1209"/>
      <c r="EA30" s="1209"/>
      <c r="EB30" s="1212"/>
      <c r="EC30" s="1242"/>
      <c r="ED30" s="1204" t="s">
        <v>123</v>
      </c>
      <c r="EE30" s="1204" t="s">
        <v>123</v>
      </c>
      <c r="EF30" s="1206" t="s">
        <v>123</v>
      </c>
      <c r="EG30" s="1206"/>
      <c r="EH30" s="1232" t="s">
        <v>123</v>
      </c>
      <c r="EI30" s="1207"/>
      <c r="EJ30" s="1207"/>
      <c r="EK30" s="1199" t="str">
        <f t="shared" si="10"/>
        <v/>
      </c>
      <c r="EL30" s="1208"/>
      <c r="EM30" s="1208"/>
      <c r="EN30" s="1243"/>
      <c r="EO30" s="1224"/>
      <c r="EP30" s="1224"/>
      <c r="EQ30" s="1212"/>
      <c r="ER30" s="1241"/>
      <c r="ES30" s="1204" t="s">
        <v>123</v>
      </c>
      <c r="ET30" s="1204" t="s">
        <v>123</v>
      </c>
      <c r="EU30" s="1206" t="s">
        <v>123</v>
      </c>
      <c r="EV30" s="1206"/>
      <c r="EW30" s="1232" t="s">
        <v>123</v>
      </c>
      <c r="EX30" s="1207"/>
      <c r="EY30" s="1207"/>
      <c r="EZ30" s="1199" t="str">
        <f t="shared" si="11"/>
        <v/>
      </c>
      <c r="FA30" s="1208"/>
      <c r="FB30" s="1208"/>
      <c r="FC30" s="1243"/>
      <c r="FD30" s="1224"/>
      <c r="FE30" s="1224"/>
      <c r="FF30" s="1212"/>
      <c r="FG30" s="1241"/>
      <c r="FH30" s="1204" t="s">
        <v>123</v>
      </c>
      <c r="FI30" s="1204" t="s">
        <v>123</v>
      </c>
      <c r="FJ30" s="1206" t="s">
        <v>123</v>
      </c>
      <c r="FK30" s="1206"/>
      <c r="FL30" s="1232" t="s">
        <v>123</v>
      </c>
      <c r="FM30" s="1207"/>
      <c r="FN30" s="1207"/>
      <c r="FO30" s="1199" t="str">
        <f t="shared" si="12"/>
        <v/>
      </c>
      <c r="FP30" s="1208"/>
      <c r="FQ30" s="1267"/>
      <c r="FR30" s="1259"/>
      <c r="FS30" s="1253"/>
      <c r="FT30" s="1253"/>
      <c r="FU30" s="1252"/>
      <c r="FV30" s="1242"/>
      <c r="FW30" s="1204" t="s">
        <v>123</v>
      </c>
      <c r="FX30" s="1204" t="s">
        <v>123</v>
      </c>
      <c r="FY30" s="1206" t="s">
        <v>123</v>
      </c>
      <c r="FZ30" s="1206"/>
      <c r="GA30" s="1232" t="s">
        <v>123</v>
      </c>
      <c r="GB30" s="1207"/>
      <c r="GC30" s="1207"/>
      <c r="GD30" s="1199" t="str">
        <f t="shared" si="13"/>
        <v/>
      </c>
      <c r="GE30" s="1208"/>
      <c r="GF30" s="1267"/>
      <c r="GG30" s="1259"/>
      <c r="GH30" s="1253"/>
      <c r="GI30" s="1253"/>
      <c r="GJ30" s="1252"/>
      <c r="GK30" s="1242"/>
      <c r="GL30" s="1204" t="s">
        <v>123</v>
      </c>
      <c r="GM30" s="1204" t="s">
        <v>123</v>
      </c>
      <c r="GN30" s="1206" t="s">
        <v>123</v>
      </c>
      <c r="GO30" s="1206"/>
      <c r="GP30" s="1232" t="s">
        <v>123</v>
      </c>
      <c r="GQ30" s="1207"/>
      <c r="GR30" s="1207"/>
      <c r="GS30" s="1199" t="str">
        <f t="shared" si="14"/>
        <v/>
      </c>
      <c r="GT30" s="1208"/>
      <c r="GU30" s="1267"/>
      <c r="GV30" s="1259"/>
      <c r="GW30" s="1253"/>
      <c r="GX30" s="1253"/>
      <c r="GY30" s="1252"/>
      <c r="GZ30" s="1242"/>
      <c r="HA30" s="1204" t="s">
        <v>123</v>
      </c>
      <c r="HB30" s="1204" t="s">
        <v>123</v>
      </c>
      <c r="HC30" s="1206" t="s">
        <v>123</v>
      </c>
      <c r="HD30" s="1206"/>
      <c r="HE30" s="1232" t="s">
        <v>123</v>
      </c>
      <c r="HF30" s="1207"/>
      <c r="HG30" s="1207"/>
      <c r="HH30" s="1199" t="str">
        <f t="shared" si="15"/>
        <v/>
      </c>
      <c r="HI30" s="1208"/>
      <c r="HJ30" s="1223"/>
      <c r="HK30" s="1234"/>
      <c r="HL30" s="1209"/>
      <c r="HM30" s="1253"/>
      <c r="HN30" s="1212"/>
      <c r="HO30" s="1241"/>
      <c r="HP30" s="1204" t="s">
        <v>123</v>
      </c>
      <c r="HQ30" s="1204" t="s">
        <v>123</v>
      </c>
      <c r="HR30" s="1206" t="s">
        <v>123</v>
      </c>
      <c r="HS30" s="1206"/>
      <c r="HT30" s="1232" t="s">
        <v>123</v>
      </c>
      <c r="HU30" s="1207"/>
      <c r="HV30" s="1207"/>
      <c r="HW30" s="1227"/>
    </row>
    <row r="31" ht="15.75" customHeight="1">
      <c r="A31" s="619">
        <v>5.0</v>
      </c>
      <c r="B31" s="1280"/>
      <c r="C31" s="611"/>
      <c r="D31" s="611"/>
      <c r="E31" s="1281" t="str">
        <f t="shared" si="16"/>
        <v/>
      </c>
      <c r="F31" s="1199" t="str">
        <f t="shared" si="1"/>
        <v/>
      </c>
      <c r="G31" s="1208"/>
      <c r="H31" s="1208"/>
      <c r="I31" s="1259"/>
      <c r="J31" s="1209"/>
      <c r="K31" s="1209"/>
      <c r="L31" s="1212"/>
      <c r="M31" s="1290"/>
      <c r="N31" s="1230" t="s">
        <v>123</v>
      </c>
      <c r="O31" s="1230" t="s">
        <v>123</v>
      </c>
      <c r="P31" s="1231" t="s">
        <v>123</v>
      </c>
      <c r="Q31" s="1291"/>
      <c r="R31" s="1291" t="s">
        <v>123</v>
      </c>
      <c r="S31" s="1291"/>
      <c r="T31" s="1291"/>
      <c r="U31" s="1199" t="str">
        <f t="shared" si="2"/>
        <v/>
      </c>
      <c r="V31" s="1208"/>
      <c r="W31" s="1208"/>
      <c r="X31" s="1201"/>
      <c r="Y31" s="1209"/>
      <c r="Z31" s="1209"/>
      <c r="AA31" s="1210"/>
      <c r="AB31" s="1211"/>
      <c r="AC31" s="1204" t="s">
        <v>123</v>
      </c>
      <c r="AD31" s="1204" t="s">
        <v>123</v>
      </c>
      <c r="AE31" s="1205" t="s">
        <v>123</v>
      </c>
      <c r="AF31" s="1206"/>
      <c r="AG31" s="1206" t="s">
        <v>123</v>
      </c>
      <c r="AH31" s="1291"/>
      <c r="AI31" s="1291"/>
      <c r="AJ31" s="1199" t="str">
        <f t="shared" si="3"/>
        <v/>
      </c>
      <c r="AK31" s="1208"/>
      <c r="AL31" s="1287"/>
      <c r="AM31" s="1274"/>
      <c r="AN31" s="1253"/>
      <c r="AO31" s="1253"/>
      <c r="AP31" s="1252"/>
      <c r="AQ31" s="1238"/>
      <c r="AR31" s="1204" t="s">
        <v>123</v>
      </c>
      <c r="AS31" s="1204" t="s">
        <v>123</v>
      </c>
      <c r="AT31" s="1206" t="s">
        <v>123</v>
      </c>
      <c r="AU31" s="1206"/>
      <c r="AV31" s="1206" t="s">
        <v>123</v>
      </c>
      <c r="AW31" s="1291"/>
      <c r="AX31" s="1291"/>
      <c r="AY31" s="1199" t="str">
        <f t="shared" si="4"/>
        <v/>
      </c>
      <c r="AZ31" s="1208"/>
      <c r="BA31" s="1223"/>
      <c r="BB31" s="1234"/>
      <c r="BC31" s="1209"/>
      <c r="BD31" s="1253"/>
      <c r="BE31" s="1212"/>
      <c r="BF31" s="1212"/>
      <c r="BG31" s="1204" t="s">
        <v>123</v>
      </c>
      <c r="BH31" s="1204" t="s">
        <v>123</v>
      </c>
      <c r="BI31" s="1206" t="s">
        <v>123</v>
      </c>
      <c r="BJ31" s="1206"/>
      <c r="BK31" s="1206" t="s">
        <v>123</v>
      </c>
      <c r="BL31" s="1291"/>
      <c r="BM31" s="1291"/>
      <c r="BN31" s="1199" t="str">
        <f t="shared" si="5"/>
        <v/>
      </c>
      <c r="BO31" s="1208"/>
      <c r="BP31" s="1223"/>
      <c r="BQ31" s="1234"/>
      <c r="BR31" s="1224"/>
      <c r="BS31" s="1209"/>
      <c r="BT31" s="1212"/>
      <c r="BU31" s="1241"/>
      <c r="BV31" s="1204" t="s">
        <v>123</v>
      </c>
      <c r="BW31" s="1204" t="s">
        <v>123</v>
      </c>
      <c r="BX31" s="1206" t="s">
        <v>123</v>
      </c>
      <c r="BY31" s="1206"/>
      <c r="BZ31" s="1206" t="s">
        <v>123</v>
      </c>
      <c r="CA31" s="1291"/>
      <c r="CB31" s="1291"/>
      <c r="CC31" s="1199" t="str">
        <f t="shared" si="6"/>
        <v/>
      </c>
      <c r="CD31" s="1208"/>
      <c r="CE31" s="1208"/>
      <c r="CF31" s="1292"/>
      <c r="CG31" s="1288"/>
      <c r="CH31" s="1288"/>
      <c r="CI31" s="1289"/>
      <c r="CJ31" s="1255"/>
      <c r="CK31" s="1204" t="s">
        <v>123</v>
      </c>
      <c r="CL31" s="1204" t="s">
        <v>123</v>
      </c>
      <c r="CM31" s="1206" t="s">
        <v>123</v>
      </c>
      <c r="CN31" s="1206"/>
      <c r="CO31" s="1206" t="s">
        <v>123</v>
      </c>
      <c r="CP31" s="1291"/>
      <c r="CQ31" s="1291"/>
      <c r="CR31" s="1199" t="str">
        <f t="shared" si="7"/>
        <v/>
      </c>
      <c r="CS31" s="1208"/>
      <c r="CT31" s="1208"/>
      <c r="CU31" s="1292"/>
      <c r="CV31" s="1288"/>
      <c r="CW31" s="1293"/>
      <c r="CX31" s="1289"/>
      <c r="CY31" s="1255"/>
      <c r="CZ31" s="1204" t="s">
        <v>123</v>
      </c>
      <c r="DA31" s="1204" t="s">
        <v>123</v>
      </c>
      <c r="DB31" s="1206" t="s">
        <v>123</v>
      </c>
      <c r="DC31" s="1206"/>
      <c r="DD31" s="1206" t="s">
        <v>123</v>
      </c>
      <c r="DE31" s="1291"/>
      <c r="DF31" s="1291"/>
      <c r="DG31" s="1199" t="str">
        <f t="shared" si="8"/>
        <v/>
      </c>
      <c r="DH31" s="1208"/>
      <c r="DI31" s="1223"/>
      <c r="DJ31" s="1294"/>
      <c r="DK31" s="1209"/>
      <c r="DL31" s="1253"/>
      <c r="DM31" s="1252"/>
      <c r="DN31" s="1241"/>
      <c r="DO31" s="1204" t="s">
        <v>123</v>
      </c>
      <c r="DP31" s="1204" t="s">
        <v>123</v>
      </c>
      <c r="DQ31" s="1206" t="s">
        <v>123</v>
      </c>
      <c r="DR31" s="1206"/>
      <c r="DS31" s="1206" t="s">
        <v>123</v>
      </c>
      <c r="DT31" s="1291"/>
      <c r="DU31" s="1291"/>
      <c r="DV31" s="1199" t="str">
        <f t="shared" si="9"/>
        <v/>
      </c>
      <c r="DW31" s="1208"/>
      <c r="DX31" s="1223"/>
      <c r="DY31" s="1234"/>
      <c r="DZ31" s="1209"/>
      <c r="EA31" s="1209"/>
      <c r="EB31" s="1212"/>
      <c r="EC31" s="1255"/>
      <c r="ED31" s="1204" t="s">
        <v>123</v>
      </c>
      <c r="EE31" s="1204" t="s">
        <v>123</v>
      </c>
      <c r="EF31" s="1206" t="s">
        <v>123</v>
      </c>
      <c r="EG31" s="1206"/>
      <c r="EH31" s="1206" t="s">
        <v>123</v>
      </c>
      <c r="EI31" s="1291"/>
      <c r="EJ31" s="1291"/>
      <c r="EK31" s="1199" t="str">
        <f t="shared" si="10"/>
        <v/>
      </c>
      <c r="EL31" s="1208"/>
      <c r="EM31" s="1208"/>
      <c r="EN31" s="1243"/>
      <c r="EO31" s="1224"/>
      <c r="EP31" s="1224"/>
      <c r="EQ31" s="1212"/>
      <c r="ER31" s="1241"/>
      <c r="ES31" s="1204" t="s">
        <v>123</v>
      </c>
      <c r="ET31" s="1204" t="s">
        <v>123</v>
      </c>
      <c r="EU31" s="1206" t="s">
        <v>123</v>
      </c>
      <c r="EV31" s="1206"/>
      <c r="EW31" s="1206" t="s">
        <v>123</v>
      </c>
      <c r="EX31" s="1291"/>
      <c r="EY31" s="1291"/>
      <c r="EZ31" s="1199" t="str">
        <f t="shared" si="11"/>
        <v/>
      </c>
      <c r="FA31" s="1208"/>
      <c r="FB31" s="1208"/>
      <c r="FC31" s="1234"/>
      <c r="FD31" s="1209"/>
      <c r="FE31" s="1209"/>
      <c r="FF31" s="1212"/>
      <c r="FG31" s="1255"/>
      <c r="FH31" s="1204" t="s">
        <v>123</v>
      </c>
      <c r="FI31" s="1204" t="s">
        <v>123</v>
      </c>
      <c r="FJ31" s="1206" t="s">
        <v>123</v>
      </c>
      <c r="FK31" s="1206"/>
      <c r="FL31" s="1206" t="s">
        <v>123</v>
      </c>
      <c r="FM31" s="1291"/>
      <c r="FN31" s="1291"/>
      <c r="FO31" s="1199" t="str">
        <f t="shared" si="12"/>
        <v/>
      </c>
      <c r="FP31" s="1208"/>
      <c r="FQ31" s="1208"/>
      <c r="FR31" s="1292"/>
      <c r="FS31" s="1288"/>
      <c r="FT31" s="1288"/>
      <c r="FU31" s="1289"/>
      <c r="FV31" s="1255"/>
      <c r="FW31" s="1204" t="s">
        <v>123</v>
      </c>
      <c r="FX31" s="1204" t="s">
        <v>123</v>
      </c>
      <c r="FY31" s="1206" t="s">
        <v>123</v>
      </c>
      <c r="FZ31" s="1206"/>
      <c r="GA31" s="1206" t="s">
        <v>123</v>
      </c>
      <c r="GB31" s="1291"/>
      <c r="GC31" s="1291"/>
      <c r="GD31" s="1199" t="str">
        <f t="shared" si="13"/>
        <v/>
      </c>
      <c r="GE31" s="1208"/>
      <c r="GF31" s="1208"/>
      <c r="GG31" s="1292"/>
      <c r="GH31" s="1288"/>
      <c r="GI31" s="1288"/>
      <c r="GJ31" s="1289"/>
      <c r="GK31" s="1255"/>
      <c r="GL31" s="1204" t="s">
        <v>123</v>
      </c>
      <c r="GM31" s="1204" t="s">
        <v>123</v>
      </c>
      <c r="GN31" s="1206" t="s">
        <v>123</v>
      </c>
      <c r="GO31" s="1206"/>
      <c r="GP31" s="1206" t="s">
        <v>123</v>
      </c>
      <c r="GQ31" s="1291"/>
      <c r="GR31" s="1291"/>
      <c r="GS31" s="1199" t="str">
        <f t="shared" si="14"/>
        <v/>
      </c>
      <c r="GT31" s="1208"/>
      <c r="GU31" s="1208"/>
      <c r="GV31" s="1292"/>
      <c r="GW31" s="1288"/>
      <c r="GX31" s="1288"/>
      <c r="GY31" s="1289"/>
      <c r="GZ31" s="1255"/>
      <c r="HA31" s="1204" t="s">
        <v>123</v>
      </c>
      <c r="HB31" s="1204" t="s">
        <v>123</v>
      </c>
      <c r="HC31" s="1206" t="s">
        <v>123</v>
      </c>
      <c r="HD31" s="1206"/>
      <c r="HE31" s="1206" t="s">
        <v>123</v>
      </c>
      <c r="HF31" s="1291"/>
      <c r="HG31" s="1291"/>
      <c r="HH31" s="1199" t="str">
        <f t="shared" si="15"/>
        <v/>
      </c>
      <c r="HI31" s="1208"/>
      <c r="HJ31" s="1208"/>
      <c r="HK31" s="1292"/>
      <c r="HL31" s="1288"/>
      <c r="HM31" s="1293"/>
      <c r="HN31" s="1289"/>
      <c r="HO31" s="1255"/>
      <c r="HP31" s="1204" t="s">
        <v>123</v>
      </c>
      <c r="HQ31" s="1204" t="s">
        <v>123</v>
      </c>
      <c r="HR31" s="1206" t="s">
        <v>123</v>
      </c>
      <c r="HS31" s="1206"/>
      <c r="HT31" s="1206" t="s">
        <v>123</v>
      </c>
      <c r="HU31" s="1291"/>
      <c r="HV31" s="1291"/>
      <c r="HW31" s="1227"/>
    </row>
    <row r="32" ht="15.75" customHeight="1">
      <c r="A32" s="619">
        <v>6.0</v>
      </c>
      <c r="B32" s="1280"/>
      <c r="C32" s="611"/>
      <c r="D32" s="611"/>
      <c r="E32" s="1281" t="str">
        <f t="shared" si="16"/>
        <v/>
      </c>
      <c r="F32" s="1199" t="str">
        <f t="shared" si="1"/>
        <v/>
      </c>
      <c r="G32" s="1208"/>
      <c r="H32" s="1208"/>
      <c r="I32" s="1201"/>
      <c r="J32" s="1209"/>
      <c r="K32" s="1209"/>
      <c r="L32" s="1212"/>
      <c r="M32" s="1203"/>
      <c r="N32" s="1230" t="s">
        <v>123</v>
      </c>
      <c r="O32" s="1230" t="s">
        <v>123</v>
      </c>
      <c r="P32" s="1231" t="s">
        <v>123</v>
      </c>
      <c r="Q32" s="1291"/>
      <c r="R32" s="1291" t="s">
        <v>123</v>
      </c>
      <c r="S32" s="1291"/>
      <c r="T32" s="1291"/>
      <c r="U32" s="1199" t="str">
        <f t="shared" si="2"/>
        <v/>
      </c>
      <c r="V32" s="1208"/>
      <c r="W32" s="1200"/>
      <c r="X32" s="1201"/>
      <c r="Y32" s="1202"/>
      <c r="Z32" s="1202"/>
      <c r="AA32" s="1266"/>
      <c r="AB32" s="1226"/>
      <c r="AC32" s="1204" t="s">
        <v>123</v>
      </c>
      <c r="AD32" s="1204" t="s">
        <v>123</v>
      </c>
      <c r="AE32" s="1205" t="s">
        <v>123</v>
      </c>
      <c r="AF32" s="1206"/>
      <c r="AG32" s="1206" t="s">
        <v>123</v>
      </c>
      <c r="AH32" s="1291"/>
      <c r="AI32" s="1291"/>
      <c r="AJ32" s="1199" t="str">
        <f t="shared" si="3"/>
        <v/>
      </c>
      <c r="AK32" s="1208"/>
      <c r="AL32" s="1287"/>
      <c r="AM32" s="1274"/>
      <c r="AN32" s="1253"/>
      <c r="AO32" s="1253"/>
      <c r="AP32" s="1252"/>
      <c r="AQ32" s="1238"/>
      <c r="AR32" s="1204" t="s">
        <v>123</v>
      </c>
      <c r="AS32" s="1204" t="s">
        <v>123</v>
      </c>
      <c r="AT32" s="1206" t="s">
        <v>123</v>
      </c>
      <c r="AU32" s="1206"/>
      <c r="AV32" s="1206" t="s">
        <v>123</v>
      </c>
      <c r="AW32" s="1291"/>
      <c r="AX32" s="1291"/>
      <c r="AY32" s="1199" t="str">
        <f t="shared" si="4"/>
        <v/>
      </c>
      <c r="AZ32" s="1208"/>
      <c r="BA32" s="1223"/>
      <c r="BB32" s="1259"/>
      <c r="BC32" s="1209"/>
      <c r="BD32" s="1253"/>
      <c r="BE32" s="1212"/>
      <c r="BF32" s="1212"/>
      <c r="BG32" s="1204" t="s">
        <v>123</v>
      </c>
      <c r="BH32" s="1204" t="s">
        <v>123</v>
      </c>
      <c r="BI32" s="1206" t="s">
        <v>123</v>
      </c>
      <c r="BJ32" s="1206"/>
      <c r="BK32" s="1206" t="s">
        <v>123</v>
      </c>
      <c r="BL32" s="1291"/>
      <c r="BM32" s="1291"/>
      <c r="BN32" s="1199" t="str">
        <f t="shared" si="5"/>
        <v/>
      </c>
      <c r="BO32" s="1208"/>
      <c r="BP32" s="1208"/>
      <c r="BQ32" s="1234"/>
      <c r="BR32" s="1224"/>
      <c r="BS32" s="1209"/>
      <c r="BT32" s="1210"/>
      <c r="BU32" s="1241"/>
      <c r="BV32" s="1204" t="s">
        <v>123</v>
      </c>
      <c r="BW32" s="1204" t="s">
        <v>123</v>
      </c>
      <c r="BX32" s="1206" t="s">
        <v>123</v>
      </c>
      <c r="BY32" s="1206"/>
      <c r="BZ32" s="1206" t="s">
        <v>123</v>
      </c>
      <c r="CA32" s="1291"/>
      <c r="CB32" s="1291"/>
      <c r="CC32" s="1199" t="str">
        <f t="shared" si="6"/>
        <v/>
      </c>
      <c r="CD32" s="1208"/>
      <c r="CE32" s="1208"/>
      <c r="CF32" s="1292"/>
      <c r="CG32" s="1288"/>
      <c r="CH32" s="1288"/>
      <c r="CI32" s="1289"/>
      <c r="CJ32" s="1255"/>
      <c r="CK32" s="1204" t="s">
        <v>123</v>
      </c>
      <c r="CL32" s="1204" t="s">
        <v>123</v>
      </c>
      <c r="CM32" s="1206" t="s">
        <v>123</v>
      </c>
      <c r="CN32" s="1206"/>
      <c r="CO32" s="1206" t="s">
        <v>123</v>
      </c>
      <c r="CP32" s="1291"/>
      <c r="CQ32" s="1291"/>
      <c r="CR32" s="1199" t="str">
        <f t="shared" si="7"/>
        <v/>
      </c>
      <c r="CS32" s="1208"/>
      <c r="CT32" s="1208"/>
      <c r="CU32" s="1292"/>
      <c r="CV32" s="1288"/>
      <c r="CW32" s="1288"/>
      <c r="CX32" s="1289"/>
      <c r="CY32" s="1255"/>
      <c r="CZ32" s="1204" t="s">
        <v>123</v>
      </c>
      <c r="DA32" s="1204" t="s">
        <v>123</v>
      </c>
      <c r="DB32" s="1206" t="s">
        <v>123</v>
      </c>
      <c r="DC32" s="1206"/>
      <c r="DD32" s="1206" t="s">
        <v>123</v>
      </c>
      <c r="DE32" s="1291"/>
      <c r="DF32" s="1291"/>
      <c r="DG32" s="1199" t="str">
        <f t="shared" si="8"/>
        <v/>
      </c>
      <c r="DH32" s="1208"/>
      <c r="DI32" s="1223"/>
      <c r="DJ32" s="1294"/>
      <c r="DK32" s="1209"/>
      <c r="DL32" s="1209"/>
      <c r="DM32" s="1252"/>
      <c r="DN32" s="1241"/>
      <c r="DO32" s="1204" t="s">
        <v>123</v>
      </c>
      <c r="DP32" s="1204" t="s">
        <v>123</v>
      </c>
      <c r="DQ32" s="1206" t="s">
        <v>123</v>
      </c>
      <c r="DR32" s="1206"/>
      <c r="DS32" s="1206" t="s">
        <v>123</v>
      </c>
      <c r="DT32" s="1291"/>
      <c r="DU32" s="1291"/>
      <c r="DV32" s="1199" t="str">
        <f t="shared" si="9"/>
        <v/>
      </c>
      <c r="DW32" s="1208"/>
      <c r="DX32" s="1257"/>
      <c r="DY32" s="1234"/>
      <c r="DZ32" s="1209"/>
      <c r="EA32" s="1224"/>
      <c r="EB32" s="1212"/>
      <c r="EC32" s="1255"/>
      <c r="ED32" s="1204" t="s">
        <v>123</v>
      </c>
      <c r="EE32" s="1204" t="s">
        <v>123</v>
      </c>
      <c r="EF32" s="1206" t="s">
        <v>123</v>
      </c>
      <c r="EG32" s="1206"/>
      <c r="EH32" s="1206" t="s">
        <v>123</v>
      </c>
      <c r="EI32" s="1291"/>
      <c r="EJ32" s="1291"/>
      <c r="EK32" s="1199" t="str">
        <f t="shared" si="10"/>
        <v/>
      </c>
      <c r="EL32" s="1208"/>
      <c r="EM32" s="1208"/>
      <c r="EN32" s="1234"/>
      <c r="EO32" s="1209"/>
      <c r="EP32" s="1209"/>
      <c r="EQ32" s="1212"/>
      <c r="ER32" s="1241"/>
      <c r="ES32" s="1204" t="s">
        <v>123</v>
      </c>
      <c r="ET32" s="1204" t="s">
        <v>123</v>
      </c>
      <c r="EU32" s="1206" t="s">
        <v>123</v>
      </c>
      <c r="EV32" s="1206"/>
      <c r="EW32" s="1206" t="s">
        <v>123</v>
      </c>
      <c r="EX32" s="1291"/>
      <c r="EY32" s="1291"/>
      <c r="EZ32" s="1199" t="str">
        <f t="shared" si="11"/>
        <v/>
      </c>
      <c r="FA32" s="1208"/>
      <c r="FB32" s="1208"/>
      <c r="FC32" s="1234"/>
      <c r="FD32" s="1209"/>
      <c r="FE32" s="1209"/>
      <c r="FF32" s="1212"/>
      <c r="FG32" s="1255"/>
      <c r="FH32" s="1204" t="s">
        <v>123</v>
      </c>
      <c r="FI32" s="1204" t="s">
        <v>123</v>
      </c>
      <c r="FJ32" s="1206" t="s">
        <v>123</v>
      </c>
      <c r="FK32" s="1206"/>
      <c r="FL32" s="1206" t="s">
        <v>123</v>
      </c>
      <c r="FM32" s="1291"/>
      <c r="FN32" s="1291"/>
      <c r="FO32" s="1199" t="str">
        <f t="shared" si="12"/>
        <v/>
      </c>
      <c r="FP32" s="1208"/>
      <c r="FQ32" s="1208"/>
      <c r="FR32" s="1292"/>
      <c r="FS32" s="1288"/>
      <c r="FT32" s="1288"/>
      <c r="FU32" s="1289"/>
      <c r="FV32" s="1255"/>
      <c r="FW32" s="1204" t="s">
        <v>123</v>
      </c>
      <c r="FX32" s="1204" t="s">
        <v>123</v>
      </c>
      <c r="FY32" s="1206" t="s">
        <v>123</v>
      </c>
      <c r="FZ32" s="1206"/>
      <c r="GA32" s="1206" t="s">
        <v>123</v>
      </c>
      <c r="GB32" s="1291"/>
      <c r="GC32" s="1291"/>
      <c r="GD32" s="1199" t="str">
        <f t="shared" si="13"/>
        <v/>
      </c>
      <c r="GE32" s="1208"/>
      <c r="GF32" s="1208"/>
      <c r="GG32" s="1292"/>
      <c r="GH32" s="1288"/>
      <c r="GI32" s="1288"/>
      <c r="GJ32" s="1289"/>
      <c r="GK32" s="1255"/>
      <c r="GL32" s="1204" t="s">
        <v>123</v>
      </c>
      <c r="GM32" s="1204" t="s">
        <v>123</v>
      </c>
      <c r="GN32" s="1206" t="s">
        <v>123</v>
      </c>
      <c r="GO32" s="1206"/>
      <c r="GP32" s="1206" t="s">
        <v>123</v>
      </c>
      <c r="GQ32" s="1291"/>
      <c r="GR32" s="1291"/>
      <c r="GS32" s="1199" t="str">
        <f t="shared" si="14"/>
        <v/>
      </c>
      <c r="GT32" s="1208"/>
      <c r="GU32" s="1208"/>
      <c r="GV32" s="1292"/>
      <c r="GW32" s="1288"/>
      <c r="GX32" s="1288"/>
      <c r="GY32" s="1289"/>
      <c r="GZ32" s="1255"/>
      <c r="HA32" s="1204" t="s">
        <v>123</v>
      </c>
      <c r="HB32" s="1204" t="s">
        <v>123</v>
      </c>
      <c r="HC32" s="1206" t="s">
        <v>123</v>
      </c>
      <c r="HD32" s="1206"/>
      <c r="HE32" s="1206" t="s">
        <v>123</v>
      </c>
      <c r="HF32" s="1291"/>
      <c r="HG32" s="1291"/>
      <c r="HH32" s="1199" t="str">
        <f t="shared" si="15"/>
        <v/>
      </c>
      <c r="HI32" s="1208"/>
      <c r="HJ32" s="1208"/>
      <c r="HK32" s="1292"/>
      <c r="HL32" s="1288"/>
      <c r="HM32" s="1293"/>
      <c r="HN32" s="1289"/>
      <c r="HO32" s="1255"/>
      <c r="HP32" s="1204" t="s">
        <v>123</v>
      </c>
      <c r="HQ32" s="1204" t="s">
        <v>123</v>
      </c>
      <c r="HR32" s="1206" t="s">
        <v>123</v>
      </c>
      <c r="HS32" s="1206"/>
      <c r="HT32" s="1206" t="s">
        <v>123</v>
      </c>
      <c r="HU32" s="1291"/>
      <c r="HV32" s="1291"/>
      <c r="HW32" s="1227"/>
    </row>
    <row r="33" ht="15.75" customHeight="1">
      <c r="A33" s="619">
        <v>7.0</v>
      </c>
      <c r="B33" s="1280"/>
      <c r="C33" s="611"/>
      <c r="D33" s="611"/>
      <c r="E33" s="1281" t="str">
        <f t="shared" si="16"/>
        <v/>
      </c>
      <c r="F33" s="1199" t="str">
        <f t="shared" si="1"/>
        <v/>
      </c>
      <c r="G33" s="1223"/>
      <c r="H33" s="1223"/>
      <c r="I33" s="1259"/>
      <c r="J33" s="1209"/>
      <c r="K33" s="1209"/>
      <c r="L33" s="1212"/>
      <c r="M33" s="1273"/>
      <c r="N33" s="1230" t="s">
        <v>123</v>
      </c>
      <c r="O33" s="1230" t="s">
        <v>123</v>
      </c>
      <c r="P33" s="1231" t="s">
        <v>123</v>
      </c>
      <c r="Q33" s="1291"/>
      <c r="R33" s="1291" t="s">
        <v>123</v>
      </c>
      <c r="S33" s="1291"/>
      <c r="T33" s="1291"/>
      <c r="U33" s="1199" t="str">
        <f t="shared" si="2"/>
        <v/>
      </c>
      <c r="V33" s="1208"/>
      <c r="W33" s="1208"/>
      <c r="X33" s="1201"/>
      <c r="Y33" s="1209"/>
      <c r="Z33" s="1209"/>
      <c r="AA33" s="1210"/>
      <c r="AB33" s="1211"/>
      <c r="AC33" s="1204" t="s">
        <v>123</v>
      </c>
      <c r="AD33" s="1204" t="s">
        <v>123</v>
      </c>
      <c r="AE33" s="1205" t="s">
        <v>123</v>
      </c>
      <c r="AF33" s="1206"/>
      <c r="AG33" s="1206" t="s">
        <v>123</v>
      </c>
      <c r="AH33" s="1291"/>
      <c r="AI33" s="1291"/>
      <c r="AJ33" s="1199" t="str">
        <f t="shared" si="3"/>
        <v/>
      </c>
      <c r="AK33" s="1208"/>
      <c r="AL33" s="1287"/>
      <c r="AM33" s="1274"/>
      <c r="AN33" s="1253"/>
      <c r="AO33" s="1253"/>
      <c r="AP33" s="1252"/>
      <c r="AQ33" s="1238"/>
      <c r="AR33" s="1204" t="s">
        <v>123</v>
      </c>
      <c r="AS33" s="1204" t="s">
        <v>123</v>
      </c>
      <c r="AT33" s="1206" t="s">
        <v>123</v>
      </c>
      <c r="AU33" s="1206"/>
      <c r="AV33" s="1206" t="s">
        <v>123</v>
      </c>
      <c r="AW33" s="1291"/>
      <c r="AX33" s="1291"/>
      <c r="AY33" s="1199" t="str">
        <f t="shared" si="4"/>
        <v/>
      </c>
      <c r="AZ33" s="1208"/>
      <c r="BA33" s="1223"/>
      <c r="BB33" s="1259"/>
      <c r="BC33" s="1209"/>
      <c r="BD33" s="1253"/>
      <c r="BE33" s="1212"/>
      <c r="BF33" s="1241"/>
      <c r="BG33" s="1204" t="s">
        <v>123</v>
      </c>
      <c r="BH33" s="1204" t="s">
        <v>123</v>
      </c>
      <c r="BI33" s="1206" t="s">
        <v>123</v>
      </c>
      <c r="BJ33" s="1206"/>
      <c r="BK33" s="1206" t="s">
        <v>123</v>
      </c>
      <c r="BL33" s="1291"/>
      <c r="BM33" s="1291"/>
      <c r="BN33" s="1199" t="str">
        <f t="shared" si="5"/>
        <v/>
      </c>
      <c r="BO33" s="1208"/>
      <c r="BP33" s="1295"/>
      <c r="BQ33" s="1234"/>
      <c r="BR33" s="1202"/>
      <c r="BS33" s="1217"/>
      <c r="BT33" s="1218"/>
      <c r="BU33" s="1211"/>
      <c r="BV33" s="1204" t="s">
        <v>123</v>
      </c>
      <c r="BW33" s="1204" t="s">
        <v>123</v>
      </c>
      <c r="BX33" s="1206" t="s">
        <v>123</v>
      </c>
      <c r="BY33" s="1206"/>
      <c r="BZ33" s="1206" t="s">
        <v>123</v>
      </c>
      <c r="CA33" s="1291"/>
      <c r="CB33" s="1291"/>
      <c r="CC33" s="1199" t="str">
        <f t="shared" si="6"/>
        <v/>
      </c>
      <c r="CD33" s="1208"/>
      <c r="CE33" s="1208"/>
      <c r="CF33" s="1292"/>
      <c r="CG33" s="1288"/>
      <c r="CH33" s="1288"/>
      <c r="CI33" s="1289"/>
      <c r="CJ33" s="1255"/>
      <c r="CK33" s="1204" t="s">
        <v>123</v>
      </c>
      <c r="CL33" s="1204" t="s">
        <v>123</v>
      </c>
      <c r="CM33" s="1206" t="s">
        <v>123</v>
      </c>
      <c r="CN33" s="1206"/>
      <c r="CO33" s="1206" t="s">
        <v>123</v>
      </c>
      <c r="CP33" s="1291"/>
      <c r="CQ33" s="1291"/>
      <c r="CR33" s="1199" t="str">
        <f t="shared" si="7"/>
        <v/>
      </c>
      <c r="CS33" s="1208"/>
      <c r="CT33" s="1208"/>
      <c r="CU33" s="1292"/>
      <c r="CV33" s="1288"/>
      <c r="CW33" s="1288"/>
      <c r="CX33" s="1289"/>
      <c r="CY33" s="1255"/>
      <c r="CZ33" s="1204" t="s">
        <v>123</v>
      </c>
      <c r="DA33" s="1204" t="s">
        <v>123</v>
      </c>
      <c r="DB33" s="1206" t="s">
        <v>123</v>
      </c>
      <c r="DC33" s="1206"/>
      <c r="DD33" s="1206" t="s">
        <v>123</v>
      </c>
      <c r="DE33" s="1291"/>
      <c r="DF33" s="1291"/>
      <c r="DG33" s="1199" t="str">
        <f t="shared" si="8"/>
        <v/>
      </c>
      <c r="DH33" s="1208"/>
      <c r="DI33" s="1223"/>
      <c r="DJ33" s="1296"/>
      <c r="DK33" s="1253"/>
      <c r="DL33" s="1253"/>
      <c r="DM33" s="1252"/>
      <c r="DN33" s="1241"/>
      <c r="DO33" s="1204" t="s">
        <v>123</v>
      </c>
      <c r="DP33" s="1204" t="s">
        <v>123</v>
      </c>
      <c r="DQ33" s="1206" t="s">
        <v>123</v>
      </c>
      <c r="DR33" s="1206"/>
      <c r="DS33" s="1206" t="s">
        <v>123</v>
      </c>
      <c r="DT33" s="1291"/>
      <c r="DU33" s="1291"/>
      <c r="DV33" s="1199" t="str">
        <f t="shared" si="9"/>
        <v/>
      </c>
      <c r="DW33" s="1208"/>
      <c r="DX33" s="1257"/>
      <c r="DY33" s="1234"/>
      <c r="DZ33" s="1209"/>
      <c r="EA33" s="1224"/>
      <c r="EB33" s="1212"/>
      <c r="EC33" s="1255"/>
      <c r="ED33" s="1204" t="s">
        <v>123</v>
      </c>
      <c r="EE33" s="1204" t="s">
        <v>123</v>
      </c>
      <c r="EF33" s="1206" t="s">
        <v>123</v>
      </c>
      <c r="EG33" s="1206"/>
      <c r="EH33" s="1206" t="s">
        <v>123</v>
      </c>
      <c r="EI33" s="1291"/>
      <c r="EJ33" s="1291"/>
      <c r="EK33" s="1199" t="str">
        <f t="shared" si="10"/>
        <v/>
      </c>
      <c r="EL33" s="1208"/>
      <c r="EM33" s="1208"/>
      <c r="EN33" s="1234"/>
      <c r="EO33" s="1209"/>
      <c r="EP33" s="1209"/>
      <c r="EQ33" s="1212"/>
      <c r="ER33" s="1241"/>
      <c r="ES33" s="1204" t="s">
        <v>123</v>
      </c>
      <c r="ET33" s="1204" t="s">
        <v>123</v>
      </c>
      <c r="EU33" s="1206" t="s">
        <v>123</v>
      </c>
      <c r="EV33" s="1206"/>
      <c r="EW33" s="1206" t="s">
        <v>123</v>
      </c>
      <c r="EX33" s="1291"/>
      <c r="EY33" s="1291"/>
      <c r="EZ33" s="1199" t="str">
        <f t="shared" si="11"/>
        <v/>
      </c>
      <c r="FA33" s="1208"/>
      <c r="FB33" s="1208"/>
      <c r="FC33" s="1292"/>
      <c r="FD33" s="1288"/>
      <c r="FE33" s="1288"/>
      <c r="FF33" s="1289"/>
      <c r="FG33" s="1255"/>
      <c r="FH33" s="1204" t="s">
        <v>123</v>
      </c>
      <c r="FI33" s="1204" t="s">
        <v>123</v>
      </c>
      <c r="FJ33" s="1206" t="s">
        <v>123</v>
      </c>
      <c r="FK33" s="1206"/>
      <c r="FL33" s="1206" t="s">
        <v>123</v>
      </c>
      <c r="FM33" s="1291"/>
      <c r="FN33" s="1291"/>
      <c r="FO33" s="1199" t="str">
        <f t="shared" si="12"/>
        <v/>
      </c>
      <c r="FP33" s="1208"/>
      <c r="FQ33" s="1208"/>
      <c r="FR33" s="1292"/>
      <c r="FS33" s="1288"/>
      <c r="FT33" s="1288"/>
      <c r="FU33" s="1289"/>
      <c r="FV33" s="1255"/>
      <c r="FW33" s="1204" t="s">
        <v>123</v>
      </c>
      <c r="FX33" s="1204" t="s">
        <v>123</v>
      </c>
      <c r="FY33" s="1206" t="s">
        <v>123</v>
      </c>
      <c r="FZ33" s="1206"/>
      <c r="GA33" s="1206" t="s">
        <v>123</v>
      </c>
      <c r="GB33" s="1291"/>
      <c r="GC33" s="1291"/>
      <c r="GD33" s="1199" t="str">
        <f t="shared" si="13"/>
        <v/>
      </c>
      <c r="GE33" s="1208"/>
      <c r="GF33" s="1208"/>
      <c r="GG33" s="1292"/>
      <c r="GH33" s="1288"/>
      <c r="GI33" s="1288"/>
      <c r="GJ33" s="1289"/>
      <c r="GK33" s="1255"/>
      <c r="GL33" s="1204" t="s">
        <v>123</v>
      </c>
      <c r="GM33" s="1204" t="s">
        <v>123</v>
      </c>
      <c r="GN33" s="1206" t="s">
        <v>123</v>
      </c>
      <c r="GO33" s="1206"/>
      <c r="GP33" s="1206" t="s">
        <v>123</v>
      </c>
      <c r="GQ33" s="1291"/>
      <c r="GR33" s="1291"/>
      <c r="GS33" s="1199" t="str">
        <f t="shared" si="14"/>
        <v/>
      </c>
      <c r="GT33" s="1208"/>
      <c r="GU33" s="1208"/>
      <c r="GV33" s="1292"/>
      <c r="GW33" s="1288"/>
      <c r="GX33" s="1288"/>
      <c r="GY33" s="1289"/>
      <c r="GZ33" s="1255"/>
      <c r="HA33" s="1204" t="s">
        <v>123</v>
      </c>
      <c r="HB33" s="1204" t="s">
        <v>123</v>
      </c>
      <c r="HC33" s="1206" t="s">
        <v>123</v>
      </c>
      <c r="HD33" s="1206"/>
      <c r="HE33" s="1206" t="s">
        <v>123</v>
      </c>
      <c r="HF33" s="1291"/>
      <c r="HG33" s="1291"/>
      <c r="HH33" s="1199" t="str">
        <f t="shared" si="15"/>
        <v/>
      </c>
      <c r="HI33" s="1208"/>
      <c r="HJ33" s="1208"/>
      <c r="HK33" s="1292"/>
      <c r="HL33" s="1288"/>
      <c r="HM33" s="1293"/>
      <c r="HN33" s="1289"/>
      <c r="HO33" s="1255"/>
      <c r="HP33" s="1204" t="s">
        <v>123</v>
      </c>
      <c r="HQ33" s="1204" t="s">
        <v>123</v>
      </c>
      <c r="HR33" s="1206" t="s">
        <v>123</v>
      </c>
      <c r="HS33" s="1206"/>
      <c r="HT33" s="1206" t="s">
        <v>123</v>
      </c>
      <c r="HU33" s="1291"/>
      <c r="HV33" s="1291"/>
      <c r="HW33" s="1227"/>
    </row>
    <row r="34" ht="15.75" customHeight="1">
      <c r="A34" s="619">
        <v>8.0</v>
      </c>
      <c r="B34" s="1280"/>
      <c r="C34" s="611"/>
      <c r="D34" s="611"/>
      <c r="E34" s="1281" t="str">
        <f t="shared" si="16"/>
        <v/>
      </c>
      <c r="F34" s="1199" t="str">
        <f t="shared" si="1"/>
        <v/>
      </c>
      <c r="G34" s="1208"/>
      <c r="H34" s="1208"/>
      <c r="I34" s="1234"/>
      <c r="J34" s="1209"/>
      <c r="K34" s="1209"/>
      <c r="L34" s="1212"/>
      <c r="M34" s="1203"/>
      <c r="N34" s="1230" t="s">
        <v>123</v>
      </c>
      <c r="O34" s="1230" t="s">
        <v>123</v>
      </c>
      <c r="P34" s="1231" t="s">
        <v>123</v>
      </c>
      <c r="Q34" s="1291"/>
      <c r="R34" s="1291" t="s">
        <v>123</v>
      </c>
      <c r="S34" s="1291"/>
      <c r="T34" s="1291"/>
      <c r="U34" s="1199" t="str">
        <f t="shared" si="2"/>
        <v/>
      </c>
      <c r="V34" s="1208"/>
      <c r="W34" s="1208"/>
      <c r="X34" s="1201"/>
      <c r="Y34" s="1209"/>
      <c r="Z34" s="1209"/>
      <c r="AA34" s="1210"/>
      <c r="AB34" s="1211"/>
      <c r="AC34" s="1204" t="s">
        <v>123</v>
      </c>
      <c r="AD34" s="1204" t="s">
        <v>123</v>
      </c>
      <c r="AE34" s="1205" t="s">
        <v>123</v>
      </c>
      <c r="AF34" s="1206"/>
      <c r="AG34" s="1206" t="s">
        <v>123</v>
      </c>
      <c r="AH34" s="1291"/>
      <c r="AI34" s="1291"/>
      <c r="AJ34" s="1199" t="str">
        <f t="shared" si="3"/>
        <v/>
      </c>
      <c r="AK34" s="1208"/>
      <c r="AL34" s="1287"/>
      <c r="AM34" s="1274"/>
      <c r="AN34" s="1253"/>
      <c r="AO34" s="1209"/>
      <c r="AP34" s="1252"/>
      <c r="AQ34" s="1238"/>
      <c r="AR34" s="1204" t="s">
        <v>123</v>
      </c>
      <c r="AS34" s="1204" t="s">
        <v>123</v>
      </c>
      <c r="AT34" s="1206" t="s">
        <v>123</v>
      </c>
      <c r="AU34" s="1206"/>
      <c r="AV34" s="1206" t="s">
        <v>123</v>
      </c>
      <c r="AW34" s="1291"/>
      <c r="AX34" s="1291"/>
      <c r="AY34" s="1199" t="str">
        <f t="shared" si="4"/>
        <v/>
      </c>
      <c r="AZ34" s="1208"/>
      <c r="BA34" s="1208"/>
      <c r="BB34" s="1292"/>
      <c r="BC34" s="1288"/>
      <c r="BD34" s="1288"/>
      <c r="BE34" s="1289"/>
      <c r="BF34" s="1255"/>
      <c r="BG34" s="1204" t="s">
        <v>123</v>
      </c>
      <c r="BH34" s="1204" t="s">
        <v>123</v>
      </c>
      <c r="BI34" s="1206" t="s">
        <v>123</v>
      </c>
      <c r="BJ34" s="1206"/>
      <c r="BK34" s="1206" t="s">
        <v>123</v>
      </c>
      <c r="BL34" s="1291"/>
      <c r="BM34" s="1291"/>
      <c r="BN34" s="1199" t="str">
        <f t="shared" si="5"/>
        <v/>
      </c>
      <c r="BO34" s="1208"/>
      <c r="BP34" s="1215"/>
      <c r="BQ34" s="1234"/>
      <c r="BR34" s="1209"/>
      <c r="BS34" s="1209"/>
      <c r="BT34" s="1212"/>
      <c r="BU34" s="1211"/>
      <c r="BV34" s="1204" t="s">
        <v>123</v>
      </c>
      <c r="BW34" s="1204" t="s">
        <v>123</v>
      </c>
      <c r="BX34" s="1206" t="s">
        <v>123</v>
      </c>
      <c r="BY34" s="1206"/>
      <c r="BZ34" s="1206" t="s">
        <v>123</v>
      </c>
      <c r="CA34" s="1291"/>
      <c r="CB34" s="1291"/>
      <c r="CC34" s="1199" t="str">
        <f t="shared" si="6"/>
        <v/>
      </c>
      <c r="CD34" s="1208"/>
      <c r="CE34" s="1208"/>
      <c r="CF34" s="1292"/>
      <c r="CG34" s="1288"/>
      <c r="CH34" s="1288"/>
      <c r="CI34" s="1289"/>
      <c r="CJ34" s="1255"/>
      <c r="CK34" s="1204" t="s">
        <v>123</v>
      </c>
      <c r="CL34" s="1204" t="s">
        <v>123</v>
      </c>
      <c r="CM34" s="1206" t="s">
        <v>123</v>
      </c>
      <c r="CN34" s="1206"/>
      <c r="CO34" s="1206" t="s">
        <v>123</v>
      </c>
      <c r="CP34" s="1291"/>
      <c r="CQ34" s="1291"/>
      <c r="CR34" s="1199" t="str">
        <f t="shared" si="7"/>
        <v/>
      </c>
      <c r="CS34" s="1208"/>
      <c r="CT34" s="1208"/>
      <c r="CU34" s="1292"/>
      <c r="CV34" s="1288"/>
      <c r="CW34" s="1288"/>
      <c r="CX34" s="1289"/>
      <c r="CY34" s="1255"/>
      <c r="CZ34" s="1204" t="s">
        <v>123</v>
      </c>
      <c r="DA34" s="1204" t="s">
        <v>123</v>
      </c>
      <c r="DB34" s="1206" t="s">
        <v>123</v>
      </c>
      <c r="DC34" s="1206"/>
      <c r="DD34" s="1206" t="s">
        <v>123</v>
      </c>
      <c r="DE34" s="1291"/>
      <c r="DF34" s="1291"/>
      <c r="DG34" s="1199" t="str">
        <f t="shared" si="8"/>
        <v/>
      </c>
      <c r="DH34" s="1208"/>
      <c r="DI34" s="1223"/>
      <c r="DJ34" s="1294"/>
      <c r="DK34" s="1209"/>
      <c r="DL34" s="1253"/>
      <c r="DM34" s="1252"/>
      <c r="DN34" s="1241"/>
      <c r="DO34" s="1204" t="s">
        <v>123</v>
      </c>
      <c r="DP34" s="1204" t="s">
        <v>123</v>
      </c>
      <c r="DQ34" s="1206" t="s">
        <v>123</v>
      </c>
      <c r="DR34" s="1206"/>
      <c r="DS34" s="1206" t="s">
        <v>123</v>
      </c>
      <c r="DT34" s="1291"/>
      <c r="DU34" s="1291"/>
      <c r="DV34" s="1199" t="str">
        <f t="shared" si="9"/>
        <v/>
      </c>
      <c r="DW34" s="1208"/>
      <c r="DX34" s="1223"/>
      <c r="DY34" s="1234"/>
      <c r="DZ34" s="1209"/>
      <c r="EA34" s="1209"/>
      <c r="EB34" s="1212"/>
      <c r="EC34" s="1255"/>
      <c r="ED34" s="1204" t="s">
        <v>123</v>
      </c>
      <c r="EE34" s="1204" t="s">
        <v>123</v>
      </c>
      <c r="EF34" s="1206" t="s">
        <v>123</v>
      </c>
      <c r="EG34" s="1206"/>
      <c r="EH34" s="1206" t="s">
        <v>123</v>
      </c>
      <c r="EI34" s="1291"/>
      <c r="EJ34" s="1291"/>
      <c r="EK34" s="1199" t="str">
        <f t="shared" si="10"/>
        <v/>
      </c>
      <c r="EL34" s="1208"/>
      <c r="EM34" s="1208"/>
      <c r="EN34" s="1234"/>
      <c r="EO34" s="1209"/>
      <c r="EP34" s="1209"/>
      <c r="EQ34" s="1212"/>
      <c r="ER34" s="1241"/>
      <c r="ES34" s="1204" t="s">
        <v>123</v>
      </c>
      <c r="ET34" s="1204" t="s">
        <v>123</v>
      </c>
      <c r="EU34" s="1206" t="s">
        <v>123</v>
      </c>
      <c r="EV34" s="1206"/>
      <c r="EW34" s="1206" t="s">
        <v>123</v>
      </c>
      <c r="EX34" s="1291"/>
      <c r="EY34" s="1291"/>
      <c r="EZ34" s="1199" t="str">
        <f t="shared" si="11"/>
        <v/>
      </c>
      <c r="FA34" s="1208"/>
      <c r="FB34" s="1213"/>
      <c r="FC34" s="1234"/>
      <c r="FD34" s="1288"/>
      <c r="FE34" s="1288"/>
      <c r="FF34" s="1289"/>
      <c r="FG34" s="1255"/>
      <c r="FH34" s="1204" t="s">
        <v>123</v>
      </c>
      <c r="FI34" s="1204" t="s">
        <v>123</v>
      </c>
      <c r="FJ34" s="1206" t="s">
        <v>123</v>
      </c>
      <c r="FK34" s="1206"/>
      <c r="FL34" s="1206" t="s">
        <v>123</v>
      </c>
      <c r="FM34" s="1291"/>
      <c r="FN34" s="1291"/>
      <c r="FO34" s="1199" t="str">
        <f t="shared" si="12"/>
        <v/>
      </c>
      <c r="FP34" s="1208"/>
      <c r="FQ34" s="1208"/>
      <c r="FR34" s="1292"/>
      <c r="FS34" s="1288"/>
      <c r="FT34" s="1288"/>
      <c r="FU34" s="1289"/>
      <c r="FV34" s="1255"/>
      <c r="FW34" s="1204" t="s">
        <v>123</v>
      </c>
      <c r="FX34" s="1204" t="s">
        <v>123</v>
      </c>
      <c r="FY34" s="1206" t="s">
        <v>123</v>
      </c>
      <c r="FZ34" s="1206"/>
      <c r="GA34" s="1206" t="s">
        <v>123</v>
      </c>
      <c r="GB34" s="1291"/>
      <c r="GC34" s="1291"/>
      <c r="GD34" s="1199" t="str">
        <f t="shared" si="13"/>
        <v/>
      </c>
      <c r="GE34" s="1208"/>
      <c r="GF34" s="1208"/>
      <c r="GG34" s="1292"/>
      <c r="GH34" s="1288"/>
      <c r="GI34" s="1288"/>
      <c r="GJ34" s="1289"/>
      <c r="GK34" s="1255"/>
      <c r="GL34" s="1204" t="s">
        <v>123</v>
      </c>
      <c r="GM34" s="1204" t="s">
        <v>123</v>
      </c>
      <c r="GN34" s="1206" t="s">
        <v>123</v>
      </c>
      <c r="GO34" s="1206"/>
      <c r="GP34" s="1206" t="s">
        <v>123</v>
      </c>
      <c r="GQ34" s="1291"/>
      <c r="GR34" s="1291"/>
      <c r="GS34" s="1199" t="str">
        <f t="shared" si="14"/>
        <v/>
      </c>
      <c r="GT34" s="1208"/>
      <c r="GU34" s="1208"/>
      <c r="GV34" s="1292"/>
      <c r="GW34" s="1288"/>
      <c r="GX34" s="1288"/>
      <c r="GY34" s="1289"/>
      <c r="GZ34" s="1255"/>
      <c r="HA34" s="1204" t="s">
        <v>123</v>
      </c>
      <c r="HB34" s="1204" t="s">
        <v>123</v>
      </c>
      <c r="HC34" s="1206" t="s">
        <v>123</v>
      </c>
      <c r="HD34" s="1206"/>
      <c r="HE34" s="1206" t="s">
        <v>123</v>
      </c>
      <c r="HF34" s="1291"/>
      <c r="HG34" s="1291"/>
      <c r="HH34" s="1199" t="str">
        <f t="shared" si="15"/>
        <v/>
      </c>
      <c r="HI34" s="1208"/>
      <c r="HJ34" s="1208"/>
      <c r="HK34" s="1292"/>
      <c r="HL34" s="1288"/>
      <c r="HM34" s="1293"/>
      <c r="HN34" s="1289"/>
      <c r="HO34" s="1255"/>
      <c r="HP34" s="1204" t="s">
        <v>123</v>
      </c>
      <c r="HQ34" s="1204" t="s">
        <v>123</v>
      </c>
      <c r="HR34" s="1206" t="s">
        <v>123</v>
      </c>
      <c r="HS34" s="1206"/>
      <c r="HT34" s="1206" t="s">
        <v>123</v>
      </c>
      <c r="HU34" s="1291"/>
      <c r="HV34" s="1291"/>
      <c r="HW34" s="1227"/>
    </row>
    <row r="35" ht="15.75" customHeight="1">
      <c r="A35" s="619">
        <v>9.0</v>
      </c>
      <c r="B35" s="1280"/>
      <c r="C35" s="611"/>
      <c r="D35" s="611"/>
      <c r="E35" s="1281" t="str">
        <f t="shared" si="16"/>
        <v/>
      </c>
      <c r="F35" s="1199" t="str">
        <f t="shared" si="1"/>
        <v/>
      </c>
      <c r="G35" s="1208"/>
      <c r="H35" s="1208"/>
      <c r="I35" s="1259"/>
      <c r="J35" s="1209"/>
      <c r="K35" s="1209"/>
      <c r="L35" s="1212"/>
      <c r="M35" s="1203"/>
      <c r="N35" s="1230" t="s">
        <v>123</v>
      </c>
      <c r="O35" s="1230" t="s">
        <v>123</v>
      </c>
      <c r="P35" s="1231" t="s">
        <v>123</v>
      </c>
      <c r="Q35" s="1291"/>
      <c r="R35" s="1291" t="s">
        <v>123</v>
      </c>
      <c r="S35" s="1291"/>
      <c r="T35" s="1291"/>
      <c r="U35" s="1199" t="str">
        <f t="shared" si="2"/>
        <v/>
      </c>
      <c r="V35" s="1208"/>
      <c r="W35" s="1208"/>
      <c r="X35" s="1201"/>
      <c r="Y35" s="1209"/>
      <c r="Z35" s="1209"/>
      <c r="AA35" s="1210"/>
      <c r="AB35" s="1211"/>
      <c r="AC35" s="1204" t="s">
        <v>123</v>
      </c>
      <c r="AD35" s="1204" t="s">
        <v>123</v>
      </c>
      <c r="AE35" s="1205" t="s">
        <v>123</v>
      </c>
      <c r="AF35" s="1206"/>
      <c r="AG35" s="1206" t="s">
        <v>123</v>
      </c>
      <c r="AH35" s="1291"/>
      <c r="AI35" s="1291"/>
      <c r="AJ35" s="1199" t="str">
        <f t="shared" si="3"/>
        <v/>
      </c>
      <c r="AK35" s="1208"/>
      <c r="AL35" s="1287"/>
      <c r="AM35" s="1274"/>
      <c r="AN35" s="1253"/>
      <c r="AO35" s="1253"/>
      <c r="AP35" s="1252"/>
      <c r="AQ35" s="1238"/>
      <c r="AR35" s="1204" t="s">
        <v>123</v>
      </c>
      <c r="AS35" s="1204" t="s">
        <v>123</v>
      </c>
      <c r="AT35" s="1206" t="s">
        <v>123</v>
      </c>
      <c r="AU35" s="1206"/>
      <c r="AV35" s="1206" t="s">
        <v>123</v>
      </c>
      <c r="AW35" s="1291"/>
      <c r="AX35" s="1291"/>
      <c r="AY35" s="1199" t="str">
        <f t="shared" si="4"/>
        <v/>
      </c>
      <c r="AZ35" s="1208"/>
      <c r="BA35" s="1223"/>
      <c r="BB35" s="1259"/>
      <c r="BC35" s="1209"/>
      <c r="BD35" s="1253"/>
      <c r="BE35" s="1212"/>
      <c r="BF35" s="1212"/>
      <c r="BG35" s="1204" t="s">
        <v>123</v>
      </c>
      <c r="BH35" s="1204" t="s">
        <v>123</v>
      </c>
      <c r="BI35" s="1206" t="s">
        <v>123</v>
      </c>
      <c r="BJ35" s="1206"/>
      <c r="BK35" s="1206" t="s">
        <v>123</v>
      </c>
      <c r="BL35" s="1291"/>
      <c r="BM35" s="1291"/>
      <c r="BN35" s="1199" t="str">
        <f t="shared" si="5"/>
        <v/>
      </c>
      <c r="BO35" s="1208"/>
      <c r="BP35" s="1215"/>
      <c r="BQ35" s="1234"/>
      <c r="BR35" s="1209"/>
      <c r="BS35" s="1209"/>
      <c r="BT35" s="1212"/>
      <c r="BU35" s="1211"/>
      <c r="BV35" s="1204" t="s">
        <v>123</v>
      </c>
      <c r="BW35" s="1204" t="s">
        <v>123</v>
      </c>
      <c r="BX35" s="1206" t="s">
        <v>123</v>
      </c>
      <c r="BY35" s="1206"/>
      <c r="BZ35" s="1206" t="s">
        <v>123</v>
      </c>
      <c r="CA35" s="1291"/>
      <c r="CB35" s="1291"/>
      <c r="CC35" s="1199" t="str">
        <f t="shared" si="6"/>
        <v/>
      </c>
      <c r="CD35" s="1208"/>
      <c r="CE35" s="1208"/>
      <c r="CF35" s="1292"/>
      <c r="CG35" s="1288"/>
      <c r="CH35" s="1288"/>
      <c r="CI35" s="1289"/>
      <c r="CJ35" s="1255"/>
      <c r="CK35" s="1204" t="s">
        <v>123</v>
      </c>
      <c r="CL35" s="1204" t="s">
        <v>123</v>
      </c>
      <c r="CM35" s="1206" t="s">
        <v>123</v>
      </c>
      <c r="CN35" s="1206"/>
      <c r="CO35" s="1206" t="s">
        <v>123</v>
      </c>
      <c r="CP35" s="1291"/>
      <c r="CQ35" s="1291"/>
      <c r="CR35" s="1199" t="str">
        <f t="shared" si="7"/>
        <v/>
      </c>
      <c r="CS35" s="1208"/>
      <c r="CT35" s="1208"/>
      <c r="CU35" s="1292"/>
      <c r="CV35" s="1288"/>
      <c r="CW35" s="1288"/>
      <c r="CX35" s="1289"/>
      <c r="CY35" s="1255"/>
      <c r="CZ35" s="1204" t="s">
        <v>123</v>
      </c>
      <c r="DA35" s="1204" t="s">
        <v>123</v>
      </c>
      <c r="DB35" s="1206" t="s">
        <v>123</v>
      </c>
      <c r="DC35" s="1206"/>
      <c r="DD35" s="1206" t="s">
        <v>123</v>
      </c>
      <c r="DE35" s="1291"/>
      <c r="DF35" s="1291"/>
      <c r="DG35" s="1199" t="str">
        <f t="shared" si="8"/>
        <v/>
      </c>
      <c r="DH35" s="1208"/>
      <c r="DI35" s="1223"/>
      <c r="DJ35" s="1294"/>
      <c r="DK35" s="1209"/>
      <c r="DL35" s="1209"/>
      <c r="DM35" s="1252"/>
      <c r="DN35" s="1241"/>
      <c r="DO35" s="1204" t="s">
        <v>123</v>
      </c>
      <c r="DP35" s="1204" t="s">
        <v>123</v>
      </c>
      <c r="DQ35" s="1206" t="s">
        <v>123</v>
      </c>
      <c r="DR35" s="1206"/>
      <c r="DS35" s="1206" t="s">
        <v>123</v>
      </c>
      <c r="DT35" s="1291"/>
      <c r="DU35" s="1291"/>
      <c r="DV35" s="1199" t="str">
        <f t="shared" si="9"/>
        <v/>
      </c>
      <c r="DW35" s="1208"/>
      <c r="DX35" s="1208"/>
      <c r="DY35" s="1292"/>
      <c r="DZ35" s="1288"/>
      <c r="EA35" s="1288"/>
      <c r="EB35" s="1289"/>
      <c r="EC35" s="1255"/>
      <c r="ED35" s="1204" t="s">
        <v>123</v>
      </c>
      <c r="EE35" s="1204" t="s">
        <v>123</v>
      </c>
      <c r="EF35" s="1206" t="s">
        <v>123</v>
      </c>
      <c r="EG35" s="1206"/>
      <c r="EH35" s="1206" t="s">
        <v>123</v>
      </c>
      <c r="EI35" s="1291"/>
      <c r="EJ35" s="1291"/>
      <c r="EK35" s="1199" t="str">
        <f t="shared" si="10"/>
        <v/>
      </c>
      <c r="EL35" s="1208"/>
      <c r="EM35" s="1208"/>
      <c r="EN35" s="1234"/>
      <c r="EO35" s="1209"/>
      <c r="EP35" s="1209"/>
      <c r="EQ35" s="1212"/>
      <c r="ER35" s="1241"/>
      <c r="ES35" s="1204" t="s">
        <v>123</v>
      </c>
      <c r="ET35" s="1204" t="s">
        <v>123</v>
      </c>
      <c r="EU35" s="1206" t="s">
        <v>123</v>
      </c>
      <c r="EV35" s="1206"/>
      <c r="EW35" s="1206" t="s">
        <v>123</v>
      </c>
      <c r="EX35" s="1291"/>
      <c r="EY35" s="1291"/>
      <c r="EZ35" s="1199" t="str">
        <f t="shared" si="11"/>
        <v/>
      </c>
      <c r="FA35" s="1208"/>
      <c r="FB35" s="1223"/>
      <c r="FC35" s="1234"/>
      <c r="FD35" s="1288"/>
      <c r="FE35" s="1288"/>
      <c r="FF35" s="1289"/>
      <c r="FG35" s="1255"/>
      <c r="FH35" s="1204" t="s">
        <v>123</v>
      </c>
      <c r="FI35" s="1204" t="s">
        <v>123</v>
      </c>
      <c r="FJ35" s="1206" t="s">
        <v>123</v>
      </c>
      <c r="FK35" s="1206"/>
      <c r="FL35" s="1206" t="s">
        <v>123</v>
      </c>
      <c r="FM35" s="1291"/>
      <c r="FN35" s="1291"/>
      <c r="FO35" s="1199" t="str">
        <f t="shared" si="12"/>
        <v/>
      </c>
      <c r="FP35" s="1208"/>
      <c r="FQ35" s="1208"/>
      <c r="FR35" s="1292"/>
      <c r="FS35" s="1288"/>
      <c r="FT35" s="1288"/>
      <c r="FU35" s="1289"/>
      <c r="FV35" s="1255"/>
      <c r="FW35" s="1204" t="s">
        <v>123</v>
      </c>
      <c r="FX35" s="1204" t="s">
        <v>123</v>
      </c>
      <c r="FY35" s="1206" t="s">
        <v>123</v>
      </c>
      <c r="FZ35" s="1206"/>
      <c r="GA35" s="1206" t="s">
        <v>123</v>
      </c>
      <c r="GB35" s="1291"/>
      <c r="GC35" s="1291"/>
      <c r="GD35" s="1199" t="str">
        <f t="shared" si="13"/>
        <v/>
      </c>
      <c r="GE35" s="1208"/>
      <c r="GF35" s="1208"/>
      <c r="GG35" s="1292"/>
      <c r="GH35" s="1288"/>
      <c r="GI35" s="1288"/>
      <c r="GJ35" s="1289"/>
      <c r="GK35" s="1255"/>
      <c r="GL35" s="1204" t="s">
        <v>123</v>
      </c>
      <c r="GM35" s="1204" t="s">
        <v>123</v>
      </c>
      <c r="GN35" s="1206" t="s">
        <v>123</v>
      </c>
      <c r="GO35" s="1206"/>
      <c r="GP35" s="1206" t="s">
        <v>123</v>
      </c>
      <c r="GQ35" s="1291"/>
      <c r="GR35" s="1291"/>
      <c r="GS35" s="1199" t="str">
        <f t="shared" si="14"/>
        <v/>
      </c>
      <c r="GT35" s="1208"/>
      <c r="GU35" s="1208"/>
      <c r="GV35" s="1292"/>
      <c r="GW35" s="1288"/>
      <c r="GX35" s="1288"/>
      <c r="GY35" s="1289"/>
      <c r="GZ35" s="1255"/>
      <c r="HA35" s="1204" t="s">
        <v>123</v>
      </c>
      <c r="HB35" s="1204" t="s">
        <v>123</v>
      </c>
      <c r="HC35" s="1206" t="s">
        <v>123</v>
      </c>
      <c r="HD35" s="1206"/>
      <c r="HE35" s="1206" t="s">
        <v>123</v>
      </c>
      <c r="HF35" s="1291"/>
      <c r="HG35" s="1291"/>
      <c r="HH35" s="1199" t="str">
        <f t="shared" si="15"/>
        <v/>
      </c>
      <c r="HI35" s="1208"/>
      <c r="HJ35" s="1208"/>
      <c r="HK35" s="1292"/>
      <c r="HL35" s="1288"/>
      <c r="HM35" s="1293"/>
      <c r="HN35" s="1289"/>
      <c r="HO35" s="1255"/>
      <c r="HP35" s="1204" t="s">
        <v>123</v>
      </c>
      <c r="HQ35" s="1204" t="s">
        <v>123</v>
      </c>
      <c r="HR35" s="1206" t="s">
        <v>123</v>
      </c>
      <c r="HS35" s="1206"/>
      <c r="HT35" s="1206" t="s">
        <v>123</v>
      </c>
      <c r="HU35" s="1291"/>
      <c r="HV35" s="1291"/>
      <c r="HW35" s="1227"/>
    </row>
    <row r="36" ht="15.75" customHeight="1">
      <c r="A36" s="619">
        <v>10.0</v>
      </c>
      <c r="B36" s="1280"/>
      <c r="C36" s="611"/>
      <c r="D36" s="611"/>
      <c r="E36" s="1281" t="str">
        <f t="shared" si="16"/>
        <v/>
      </c>
      <c r="F36" s="1199" t="str">
        <f t="shared" si="1"/>
        <v/>
      </c>
      <c r="G36" s="1208"/>
      <c r="H36" s="1208"/>
      <c r="I36" s="1259"/>
      <c r="J36" s="1209"/>
      <c r="K36" s="1209"/>
      <c r="L36" s="1212"/>
      <c r="M36" s="1203"/>
      <c r="N36" s="1230" t="s">
        <v>123</v>
      </c>
      <c r="O36" s="1230" t="s">
        <v>123</v>
      </c>
      <c r="P36" s="1231" t="s">
        <v>123</v>
      </c>
      <c r="Q36" s="1291"/>
      <c r="R36" s="1291" t="s">
        <v>123</v>
      </c>
      <c r="S36" s="1291"/>
      <c r="T36" s="1291"/>
      <c r="U36" s="1199" t="str">
        <f t="shared" si="2"/>
        <v/>
      </c>
      <c r="V36" s="1208"/>
      <c r="W36" s="1208"/>
      <c r="X36" s="1201"/>
      <c r="Y36" s="1209"/>
      <c r="Z36" s="1209"/>
      <c r="AA36" s="1210"/>
      <c r="AB36" s="1211"/>
      <c r="AC36" s="1204" t="s">
        <v>123</v>
      </c>
      <c r="AD36" s="1204" t="s">
        <v>123</v>
      </c>
      <c r="AE36" s="1205" t="s">
        <v>123</v>
      </c>
      <c r="AF36" s="1206"/>
      <c r="AG36" s="1206" t="s">
        <v>123</v>
      </c>
      <c r="AH36" s="1291"/>
      <c r="AI36" s="1291"/>
      <c r="AJ36" s="1199" t="str">
        <f t="shared" si="3"/>
        <v/>
      </c>
      <c r="AK36" s="1208"/>
      <c r="AL36" s="1287"/>
      <c r="AM36" s="1274"/>
      <c r="AN36" s="1253"/>
      <c r="AO36" s="1253"/>
      <c r="AP36" s="1252"/>
      <c r="AQ36" s="1238"/>
      <c r="AR36" s="1204" t="s">
        <v>123</v>
      </c>
      <c r="AS36" s="1204" t="s">
        <v>123</v>
      </c>
      <c r="AT36" s="1206" t="s">
        <v>123</v>
      </c>
      <c r="AU36" s="1206"/>
      <c r="AV36" s="1206" t="s">
        <v>123</v>
      </c>
      <c r="AW36" s="1291"/>
      <c r="AX36" s="1291"/>
      <c r="AY36" s="1199" t="str">
        <f t="shared" si="4"/>
        <v/>
      </c>
      <c r="AZ36" s="1208"/>
      <c r="BA36" s="1223"/>
      <c r="BB36" s="1259"/>
      <c r="BC36" s="1253"/>
      <c r="BD36" s="1253"/>
      <c r="BE36" s="1252"/>
      <c r="BF36" s="1212"/>
      <c r="BG36" s="1204" t="s">
        <v>123</v>
      </c>
      <c r="BH36" s="1204" t="s">
        <v>123</v>
      </c>
      <c r="BI36" s="1206" t="s">
        <v>123</v>
      </c>
      <c r="BJ36" s="1206"/>
      <c r="BK36" s="1206" t="s">
        <v>123</v>
      </c>
      <c r="BL36" s="1291"/>
      <c r="BM36" s="1291"/>
      <c r="BN36" s="1199" t="str">
        <f t="shared" si="5"/>
        <v/>
      </c>
      <c r="BO36" s="1208"/>
      <c r="BP36" s="1258"/>
      <c r="BQ36" s="1234"/>
      <c r="BR36" s="1209"/>
      <c r="BS36" s="1209"/>
      <c r="BT36" s="1212"/>
      <c r="BU36" s="1211"/>
      <c r="BV36" s="1204" t="s">
        <v>123</v>
      </c>
      <c r="BW36" s="1204" t="s">
        <v>123</v>
      </c>
      <c r="BX36" s="1206" t="s">
        <v>123</v>
      </c>
      <c r="BY36" s="1206"/>
      <c r="BZ36" s="1206" t="s">
        <v>123</v>
      </c>
      <c r="CA36" s="1291"/>
      <c r="CB36" s="1291"/>
      <c r="CC36" s="1199" t="str">
        <f t="shared" si="6"/>
        <v/>
      </c>
      <c r="CD36" s="1208"/>
      <c r="CE36" s="1208"/>
      <c r="CF36" s="1292"/>
      <c r="CG36" s="1288"/>
      <c r="CH36" s="1288"/>
      <c r="CI36" s="1289"/>
      <c r="CJ36" s="1255"/>
      <c r="CK36" s="1204" t="s">
        <v>123</v>
      </c>
      <c r="CL36" s="1204" t="s">
        <v>123</v>
      </c>
      <c r="CM36" s="1206" t="s">
        <v>123</v>
      </c>
      <c r="CN36" s="1206"/>
      <c r="CO36" s="1206" t="s">
        <v>123</v>
      </c>
      <c r="CP36" s="1291"/>
      <c r="CQ36" s="1291"/>
      <c r="CR36" s="1199" t="str">
        <f t="shared" si="7"/>
        <v/>
      </c>
      <c r="CS36" s="1208"/>
      <c r="CT36" s="1208"/>
      <c r="CU36" s="1292"/>
      <c r="CV36" s="1288"/>
      <c r="CW36" s="1288"/>
      <c r="CX36" s="1289"/>
      <c r="CY36" s="1255"/>
      <c r="CZ36" s="1204" t="s">
        <v>123</v>
      </c>
      <c r="DA36" s="1204" t="s">
        <v>123</v>
      </c>
      <c r="DB36" s="1206" t="s">
        <v>123</v>
      </c>
      <c r="DC36" s="1206"/>
      <c r="DD36" s="1206" t="s">
        <v>123</v>
      </c>
      <c r="DE36" s="1291"/>
      <c r="DF36" s="1291"/>
      <c r="DG36" s="1199" t="str">
        <f t="shared" si="8"/>
        <v/>
      </c>
      <c r="DH36" s="1208"/>
      <c r="DI36" s="1223"/>
      <c r="DJ36" s="1296"/>
      <c r="DK36" s="1253"/>
      <c r="DL36" s="1253"/>
      <c r="DM36" s="1252"/>
      <c r="DN36" s="1241"/>
      <c r="DO36" s="1204" t="s">
        <v>123</v>
      </c>
      <c r="DP36" s="1204" t="s">
        <v>123</v>
      </c>
      <c r="DQ36" s="1206" t="s">
        <v>123</v>
      </c>
      <c r="DR36" s="1206"/>
      <c r="DS36" s="1206" t="s">
        <v>123</v>
      </c>
      <c r="DT36" s="1291"/>
      <c r="DU36" s="1291"/>
      <c r="DV36" s="1199" t="str">
        <f t="shared" si="9"/>
        <v/>
      </c>
      <c r="DW36" s="1208"/>
      <c r="DX36" s="1208"/>
      <c r="DY36" s="1292"/>
      <c r="DZ36" s="1288"/>
      <c r="EA36" s="1288"/>
      <c r="EB36" s="1289"/>
      <c r="EC36" s="1255"/>
      <c r="ED36" s="1204" t="s">
        <v>123</v>
      </c>
      <c r="EE36" s="1204" t="s">
        <v>123</v>
      </c>
      <c r="EF36" s="1206" t="s">
        <v>123</v>
      </c>
      <c r="EG36" s="1206"/>
      <c r="EH36" s="1206" t="s">
        <v>123</v>
      </c>
      <c r="EI36" s="1291"/>
      <c r="EJ36" s="1291"/>
      <c r="EK36" s="1199" t="str">
        <f t="shared" si="10"/>
        <v/>
      </c>
      <c r="EL36" s="1208"/>
      <c r="EM36" s="1208"/>
      <c r="EN36" s="1234"/>
      <c r="EO36" s="1209"/>
      <c r="EP36" s="1209"/>
      <c r="EQ36" s="1212"/>
      <c r="ER36" s="1241"/>
      <c r="ES36" s="1204" t="s">
        <v>123</v>
      </c>
      <c r="ET36" s="1204" t="s">
        <v>123</v>
      </c>
      <c r="EU36" s="1206" t="s">
        <v>123</v>
      </c>
      <c r="EV36" s="1206"/>
      <c r="EW36" s="1206" t="s">
        <v>123</v>
      </c>
      <c r="EX36" s="1291"/>
      <c r="EY36" s="1291"/>
      <c r="EZ36" s="1199" t="str">
        <f t="shared" si="11"/>
        <v/>
      </c>
      <c r="FA36" s="1208"/>
      <c r="FB36" s="1223"/>
      <c r="FC36" s="1234"/>
      <c r="FD36" s="1288"/>
      <c r="FE36" s="1288"/>
      <c r="FF36" s="1289"/>
      <c r="FG36" s="1255"/>
      <c r="FH36" s="1204" t="s">
        <v>123</v>
      </c>
      <c r="FI36" s="1204" t="s">
        <v>123</v>
      </c>
      <c r="FJ36" s="1206" t="s">
        <v>123</v>
      </c>
      <c r="FK36" s="1206"/>
      <c r="FL36" s="1206" t="s">
        <v>123</v>
      </c>
      <c r="FM36" s="1291"/>
      <c r="FN36" s="1291"/>
      <c r="FO36" s="1199" t="str">
        <f t="shared" si="12"/>
        <v/>
      </c>
      <c r="FP36" s="1208"/>
      <c r="FQ36" s="1208"/>
      <c r="FR36" s="1292"/>
      <c r="FS36" s="1288"/>
      <c r="FT36" s="1288"/>
      <c r="FU36" s="1289"/>
      <c r="FV36" s="1255"/>
      <c r="FW36" s="1204" t="s">
        <v>123</v>
      </c>
      <c r="FX36" s="1204" t="s">
        <v>123</v>
      </c>
      <c r="FY36" s="1206" t="s">
        <v>123</v>
      </c>
      <c r="FZ36" s="1206"/>
      <c r="GA36" s="1206" t="s">
        <v>123</v>
      </c>
      <c r="GB36" s="1291"/>
      <c r="GC36" s="1291"/>
      <c r="GD36" s="1199" t="str">
        <f t="shared" si="13"/>
        <v/>
      </c>
      <c r="GE36" s="1208"/>
      <c r="GF36" s="1208"/>
      <c r="GG36" s="1292"/>
      <c r="GH36" s="1288"/>
      <c r="GI36" s="1288"/>
      <c r="GJ36" s="1289"/>
      <c r="GK36" s="1255"/>
      <c r="GL36" s="1204" t="s">
        <v>123</v>
      </c>
      <c r="GM36" s="1204" t="s">
        <v>123</v>
      </c>
      <c r="GN36" s="1206" t="s">
        <v>123</v>
      </c>
      <c r="GO36" s="1206"/>
      <c r="GP36" s="1206" t="s">
        <v>123</v>
      </c>
      <c r="GQ36" s="1291"/>
      <c r="GR36" s="1291"/>
      <c r="GS36" s="1199" t="str">
        <f t="shared" si="14"/>
        <v/>
      </c>
      <c r="GT36" s="1208"/>
      <c r="GU36" s="1208"/>
      <c r="GV36" s="1292"/>
      <c r="GW36" s="1288"/>
      <c r="GX36" s="1288"/>
      <c r="GY36" s="1289"/>
      <c r="GZ36" s="1255"/>
      <c r="HA36" s="1204" t="s">
        <v>123</v>
      </c>
      <c r="HB36" s="1204" t="s">
        <v>123</v>
      </c>
      <c r="HC36" s="1206" t="s">
        <v>123</v>
      </c>
      <c r="HD36" s="1206"/>
      <c r="HE36" s="1206" t="s">
        <v>123</v>
      </c>
      <c r="HF36" s="1291"/>
      <c r="HG36" s="1291"/>
      <c r="HH36" s="1199" t="str">
        <f t="shared" si="15"/>
        <v/>
      </c>
      <c r="HI36" s="1208"/>
      <c r="HJ36" s="1208"/>
      <c r="HK36" s="1292"/>
      <c r="HL36" s="1288"/>
      <c r="HM36" s="1288"/>
      <c r="HN36" s="1289"/>
      <c r="HO36" s="1255"/>
      <c r="HP36" s="1204" t="s">
        <v>123</v>
      </c>
      <c r="HQ36" s="1204" t="s">
        <v>123</v>
      </c>
      <c r="HR36" s="1206" t="s">
        <v>123</v>
      </c>
      <c r="HS36" s="1206"/>
      <c r="HT36" s="1206" t="s">
        <v>123</v>
      </c>
      <c r="HU36" s="1291"/>
      <c r="HV36" s="1291"/>
      <c r="HW36" s="1227"/>
    </row>
    <row r="37" ht="15.75" customHeight="1">
      <c r="F37" s="1199" t="str">
        <f t="shared" si="1"/>
        <v/>
      </c>
      <c r="G37" s="1208"/>
      <c r="H37" s="1208"/>
      <c r="I37" s="1259"/>
      <c r="J37" s="1209"/>
      <c r="K37" s="1209"/>
      <c r="L37" s="1212"/>
      <c r="M37" s="1286"/>
      <c r="N37" s="1230" t="s">
        <v>123</v>
      </c>
      <c r="O37" s="1230" t="s">
        <v>123</v>
      </c>
      <c r="P37" s="1231" t="s">
        <v>123</v>
      </c>
      <c r="Q37" s="1291"/>
      <c r="R37" s="1291" t="s">
        <v>123</v>
      </c>
      <c r="S37" s="1291"/>
      <c r="T37" s="1291"/>
      <c r="U37" s="1199" t="str">
        <f t="shared" si="2"/>
        <v/>
      </c>
      <c r="V37" s="1208"/>
      <c r="W37" s="1208"/>
      <c r="X37" s="1201"/>
      <c r="Y37" s="1209"/>
      <c r="Z37" s="1209"/>
      <c r="AA37" s="1210"/>
      <c r="AB37" s="1211"/>
      <c r="AC37" s="1204" t="s">
        <v>123</v>
      </c>
      <c r="AD37" s="1204" t="s">
        <v>123</v>
      </c>
      <c r="AE37" s="1205" t="s">
        <v>123</v>
      </c>
      <c r="AF37" s="1206"/>
      <c r="AG37" s="1206" t="s">
        <v>123</v>
      </c>
      <c r="AH37" s="1291"/>
      <c r="AI37" s="1291"/>
      <c r="AJ37" s="1199" t="str">
        <f t="shared" si="3"/>
        <v/>
      </c>
      <c r="AK37" s="1208"/>
      <c r="AL37" s="1287"/>
      <c r="AM37" s="1259"/>
      <c r="AN37" s="1253"/>
      <c r="AO37" s="1253"/>
      <c r="AP37" s="1252"/>
      <c r="AQ37" s="1242"/>
      <c r="AR37" s="1204" t="s">
        <v>123</v>
      </c>
      <c r="AS37" s="1204" t="s">
        <v>123</v>
      </c>
      <c r="AT37" s="1206" t="s">
        <v>123</v>
      </c>
      <c r="AU37" s="1206"/>
      <c r="AV37" s="1206" t="s">
        <v>123</v>
      </c>
      <c r="AW37" s="1291"/>
      <c r="AX37" s="1291"/>
      <c r="AY37" s="1199" t="str">
        <f t="shared" si="4"/>
        <v/>
      </c>
      <c r="AZ37" s="1208"/>
      <c r="BA37" s="1223"/>
      <c r="BB37" s="1234"/>
      <c r="BC37" s="1253"/>
      <c r="BD37" s="1253"/>
      <c r="BE37" s="1289"/>
      <c r="BF37" s="1212"/>
      <c r="BG37" s="1204" t="s">
        <v>123</v>
      </c>
      <c r="BH37" s="1204" t="s">
        <v>123</v>
      </c>
      <c r="BI37" s="1206" t="s">
        <v>123</v>
      </c>
      <c r="BJ37" s="1206"/>
      <c r="BK37" s="1206" t="s">
        <v>123</v>
      </c>
      <c r="BL37" s="1291"/>
      <c r="BM37" s="1291"/>
      <c r="BN37" s="1199" t="str">
        <f t="shared" si="5"/>
        <v/>
      </c>
      <c r="BO37" s="1208"/>
      <c r="BP37" s="1223"/>
      <c r="BQ37" s="1234"/>
      <c r="BR37" s="1209"/>
      <c r="BS37" s="1209"/>
      <c r="BT37" s="1212"/>
      <c r="BU37" s="1241"/>
      <c r="BV37" s="1204" t="s">
        <v>123</v>
      </c>
      <c r="BW37" s="1204" t="s">
        <v>123</v>
      </c>
      <c r="BX37" s="1206" t="s">
        <v>123</v>
      </c>
      <c r="BY37" s="1206"/>
      <c r="BZ37" s="1206" t="s">
        <v>123</v>
      </c>
      <c r="CA37" s="1291"/>
      <c r="CB37" s="1291"/>
      <c r="CC37" s="1199" t="str">
        <f t="shared" si="6"/>
        <v/>
      </c>
      <c r="CD37" s="1208"/>
      <c r="CE37" s="1208"/>
      <c r="CF37" s="1292"/>
      <c r="CG37" s="1288"/>
      <c r="CH37" s="1288"/>
      <c r="CI37" s="1289"/>
      <c r="CJ37" s="1255"/>
      <c r="CK37" s="1204" t="s">
        <v>123</v>
      </c>
      <c r="CL37" s="1204" t="s">
        <v>123</v>
      </c>
      <c r="CM37" s="1206" t="s">
        <v>123</v>
      </c>
      <c r="CN37" s="1206"/>
      <c r="CO37" s="1206" t="s">
        <v>123</v>
      </c>
      <c r="CP37" s="1291"/>
      <c r="CQ37" s="1291"/>
      <c r="CR37" s="1199" t="str">
        <f t="shared" si="7"/>
        <v/>
      </c>
      <c r="CS37" s="1208"/>
      <c r="CT37" s="1208"/>
      <c r="CU37" s="1292"/>
      <c r="CV37" s="1288"/>
      <c r="CW37" s="1288"/>
      <c r="CX37" s="1289"/>
      <c r="CY37" s="1255"/>
      <c r="CZ37" s="1204" t="s">
        <v>123</v>
      </c>
      <c r="DA37" s="1204" t="s">
        <v>123</v>
      </c>
      <c r="DB37" s="1206" t="s">
        <v>123</v>
      </c>
      <c r="DC37" s="1206"/>
      <c r="DD37" s="1206" t="s">
        <v>123</v>
      </c>
      <c r="DE37" s="1291"/>
      <c r="DF37" s="1291"/>
      <c r="DG37" s="1199" t="str">
        <f t="shared" si="8"/>
        <v/>
      </c>
      <c r="DH37" s="1208"/>
      <c r="DI37" s="1223"/>
      <c r="DJ37" s="1296"/>
      <c r="DK37" s="1253"/>
      <c r="DL37" s="1209"/>
      <c r="DM37" s="1267"/>
      <c r="DN37" s="1241"/>
      <c r="DO37" s="1204" t="s">
        <v>123</v>
      </c>
      <c r="DP37" s="1204" t="s">
        <v>123</v>
      </c>
      <c r="DQ37" s="1206" t="s">
        <v>123</v>
      </c>
      <c r="DR37" s="1206"/>
      <c r="DS37" s="1206" t="s">
        <v>123</v>
      </c>
      <c r="DT37" s="1291"/>
      <c r="DU37" s="1291"/>
      <c r="DV37" s="1199" t="str">
        <f t="shared" si="9"/>
        <v/>
      </c>
      <c r="DW37" s="1208"/>
      <c r="DX37" s="1208"/>
      <c r="DY37" s="1292"/>
      <c r="DZ37" s="1288"/>
      <c r="EA37" s="1288"/>
      <c r="EB37" s="1289"/>
      <c r="EC37" s="1255"/>
      <c r="ED37" s="1204" t="s">
        <v>123</v>
      </c>
      <c r="EE37" s="1204" t="s">
        <v>123</v>
      </c>
      <c r="EF37" s="1206" t="s">
        <v>123</v>
      </c>
      <c r="EG37" s="1206"/>
      <c r="EH37" s="1206" t="s">
        <v>123</v>
      </c>
      <c r="EI37" s="1291"/>
      <c r="EJ37" s="1291"/>
      <c r="EK37" s="1199" t="str">
        <f t="shared" si="10"/>
        <v/>
      </c>
      <c r="EL37" s="1208"/>
      <c r="EM37" s="1208"/>
      <c r="EN37" s="1234"/>
      <c r="EO37" s="1209"/>
      <c r="EP37" s="1209"/>
      <c r="EQ37" s="1212"/>
      <c r="ER37" s="1241"/>
      <c r="ES37" s="1204" t="s">
        <v>123</v>
      </c>
      <c r="ET37" s="1204" t="s">
        <v>123</v>
      </c>
      <c r="EU37" s="1206" t="s">
        <v>123</v>
      </c>
      <c r="EV37" s="1206"/>
      <c r="EW37" s="1206" t="s">
        <v>123</v>
      </c>
      <c r="EX37" s="1291"/>
      <c r="EY37" s="1291"/>
      <c r="EZ37" s="1199" t="str">
        <f t="shared" si="11"/>
        <v/>
      </c>
      <c r="FA37" s="1208"/>
      <c r="FB37" s="1223"/>
      <c r="FC37" s="1234"/>
      <c r="FD37" s="1288"/>
      <c r="FE37" s="1288"/>
      <c r="FF37" s="1289"/>
      <c r="FG37" s="1255"/>
      <c r="FH37" s="1204" t="s">
        <v>123</v>
      </c>
      <c r="FI37" s="1204" t="s">
        <v>123</v>
      </c>
      <c r="FJ37" s="1206" t="s">
        <v>123</v>
      </c>
      <c r="FK37" s="1206"/>
      <c r="FL37" s="1206" t="s">
        <v>123</v>
      </c>
      <c r="FM37" s="1291"/>
      <c r="FN37" s="1291"/>
      <c r="FO37" s="1199" t="str">
        <f t="shared" si="12"/>
        <v/>
      </c>
      <c r="FP37" s="1208"/>
      <c r="FQ37" s="1208"/>
      <c r="FR37" s="1292"/>
      <c r="FS37" s="1288"/>
      <c r="FT37" s="1288"/>
      <c r="FU37" s="1289"/>
      <c r="FV37" s="1255"/>
      <c r="FW37" s="1204" t="s">
        <v>123</v>
      </c>
      <c r="FX37" s="1204" t="s">
        <v>123</v>
      </c>
      <c r="FY37" s="1206" t="s">
        <v>123</v>
      </c>
      <c r="FZ37" s="1206"/>
      <c r="GA37" s="1206" t="s">
        <v>123</v>
      </c>
      <c r="GB37" s="1291"/>
      <c r="GC37" s="1291"/>
      <c r="GD37" s="1199" t="str">
        <f t="shared" si="13"/>
        <v/>
      </c>
      <c r="GE37" s="1208"/>
      <c r="GF37" s="1208"/>
      <c r="GG37" s="1292"/>
      <c r="GH37" s="1288"/>
      <c r="GI37" s="1288"/>
      <c r="GJ37" s="1289"/>
      <c r="GK37" s="1255"/>
      <c r="GL37" s="1204" t="s">
        <v>123</v>
      </c>
      <c r="GM37" s="1204" t="s">
        <v>123</v>
      </c>
      <c r="GN37" s="1206" t="s">
        <v>123</v>
      </c>
      <c r="GO37" s="1206"/>
      <c r="GP37" s="1206" t="s">
        <v>123</v>
      </c>
      <c r="GQ37" s="1291"/>
      <c r="GR37" s="1291"/>
      <c r="GS37" s="1199" t="str">
        <f t="shared" si="14"/>
        <v/>
      </c>
      <c r="GT37" s="1208"/>
      <c r="GU37" s="1208"/>
      <c r="GV37" s="1292"/>
      <c r="GW37" s="1288"/>
      <c r="GX37" s="1288"/>
      <c r="GY37" s="1289"/>
      <c r="GZ37" s="1255"/>
      <c r="HA37" s="1204" t="s">
        <v>123</v>
      </c>
      <c r="HB37" s="1204" t="s">
        <v>123</v>
      </c>
      <c r="HC37" s="1206" t="s">
        <v>123</v>
      </c>
      <c r="HD37" s="1206"/>
      <c r="HE37" s="1206" t="s">
        <v>123</v>
      </c>
      <c r="HF37" s="1291"/>
      <c r="HG37" s="1291"/>
      <c r="HH37" s="1199" t="str">
        <f t="shared" si="15"/>
        <v/>
      </c>
      <c r="HI37" s="1208"/>
      <c r="HJ37" s="1208"/>
      <c r="HK37" s="1292"/>
      <c r="HL37" s="1288"/>
      <c r="HM37" s="1288"/>
      <c r="HN37" s="1289"/>
      <c r="HO37" s="1255"/>
      <c r="HP37" s="1204" t="s">
        <v>123</v>
      </c>
      <c r="HQ37" s="1204" t="s">
        <v>123</v>
      </c>
      <c r="HR37" s="1206" t="s">
        <v>123</v>
      </c>
      <c r="HS37" s="1206"/>
      <c r="HT37" s="1206" t="s">
        <v>123</v>
      </c>
      <c r="HU37" s="1291"/>
      <c r="HV37" s="1291"/>
      <c r="HW37" s="1227"/>
    </row>
    <row r="38" ht="15.75" customHeight="1">
      <c r="A38" s="1297"/>
      <c r="B38" s="1298"/>
      <c r="C38" s="1298"/>
      <c r="D38" s="1297"/>
      <c r="E38" s="1299"/>
      <c r="F38" s="1199" t="str">
        <f t="shared" si="1"/>
        <v/>
      </c>
      <c r="G38" s="1208"/>
      <c r="H38" s="1208"/>
      <c r="I38" s="1259"/>
      <c r="J38" s="1209"/>
      <c r="K38" s="1209"/>
      <c r="L38" s="1212"/>
      <c r="M38" s="1203"/>
      <c r="N38" s="1230" t="s">
        <v>123</v>
      </c>
      <c r="O38" s="1230" t="s">
        <v>123</v>
      </c>
      <c r="P38" s="1231" t="s">
        <v>123</v>
      </c>
      <c r="Q38" s="1291"/>
      <c r="R38" s="1291" t="s">
        <v>123</v>
      </c>
      <c r="S38" s="1291"/>
      <c r="T38" s="1291"/>
      <c r="U38" s="1199" t="str">
        <f t="shared" si="2"/>
        <v/>
      </c>
      <c r="V38" s="1208"/>
      <c r="W38" s="1208"/>
      <c r="X38" s="1201"/>
      <c r="Y38" s="1209"/>
      <c r="Z38" s="1209"/>
      <c r="AA38" s="1210"/>
      <c r="AB38" s="1211"/>
      <c r="AC38" s="1204" t="s">
        <v>123</v>
      </c>
      <c r="AD38" s="1204" t="s">
        <v>123</v>
      </c>
      <c r="AE38" s="1205" t="s">
        <v>123</v>
      </c>
      <c r="AF38" s="1206"/>
      <c r="AG38" s="1206" t="s">
        <v>123</v>
      </c>
      <c r="AH38" s="1291"/>
      <c r="AI38" s="1291"/>
      <c r="AJ38" s="1199" t="str">
        <f t="shared" si="3"/>
        <v/>
      </c>
      <c r="AK38" s="1208"/>
      <c r="AL38" s="1287"/>
      <c r="AM38" s="1268"/>
      <c r="AN38" s="1300"/>
      <c r="AO38" s="1253"/>
      <c r="AP38" s="1252"/>
      <c r="AQ38" s="1242"/>
      <c r="AR38" s="1204" t="s">
        <v>123</v>
      </c>
      <c r="AS38" s="1204" t="s">
        <v>123</v>
      </c>
      <c r="AT38" s="1206" t="s">
        <v>123</v>
      </c>
      <c r="AU38" s="1206"/>
      <c r="AV38" s="1206" t="s">
        <v>123</v>
      </c>
      <c r="AW38" s="1291"/>
      <c r="AX38" s="1291"/>
      <c r="AY38" s="1199" t="str">
        <f t="shared" si="4"/>
        <v/>
      </c>
      <c r="AZ38" s="1208"/>
      <c r="BA38" s="1223"/>
      <c r="BB38" s="1234"/>
      <c r="BC38" s="1253"/>
      <c r="BD38" s="1253"/>
      <c r="BE38" s="1252"/>
      <c r="BF38" s="1212"/>
      <c r="BG38" s="1204" t="s">
        <v>123</v>
      </c>
      <c r="BH38" s="1204" t="s">
        <v>123</v>
      </c>
      <c r="BI38" s="1206" t="s">
        <v>123</v>
      </c>
      <c r="BJ38" s="1206"/>
      <c r="BK38" s="1206" t="s">
        <v>123</v>
      </c>
      <c r="BL38" s="1291"/>
      <c r="BM38" s="1291"/>
      <c r="BN38" s="1199" t="str">
        <f t="shared" si="5"/>
        <v/>
      </c>
      <c r="BO38" s="1208"/>
      <c r="BP38" s="1223"/>
      <c r="BQ38" s="1234"/>
      <c r="BR38" s="1224"/>
      <c r="BS38" s="1209"/>
      <c r="BT38" s="1210"/>
      <c r="BU38" s="1255"/>
      <c r="BV38" s="1204" t="s">
        <v>123</v>
      </c>
      <c r="BW38" s="1204" t="s">
        <v>123</v>
      </c>
      <c r="BX38" s="1206" t="s">
        <v>123</v>
      </c>
      <c r="BY38" s="1206"/>
      <c r="BZ38" s="1206" t="s">
        <v>123</v>
      </c>
      <c r="CA38" s="1291"/>
      <c r="CB38" s="1291"/>
      <c r="CC38" s="1199" t="str">
        <f t="shared" si="6"/>
        <v/>
      </c>
      <c r="CD38" s="1208"/>
      <c r="CE38" s="1208"/>
      <c r="CF38" s="1292"/>
      <c r="CG38" s="1288"/>
      <c r="CH38" s="1288"/>
      <c r="CI38" s="1289"/>
      <c r="CJ38" s="1255"/>
      <c r="CK38" s="1204" t="s">
        <v>123</v>
      </c>
      <c r="CL38" s="1204" t="s">
        <v>123</v>
      </c>
      <c r="CM38" s="1206" t="s">
        <v>123</v>
      </c>
      <c r="CN38" s="1206"/>
      <c r="CO38" s="1206" t="s">
        <v>123</v>
      </c>
      <c r="CP38" s="1291"/>
      <c r="CQ38" s="1291"/>
      <c r="CR38" s="1199" t="str">
        <f t="shared" si="7"/>
        <v/>
      </c>
      <c r="CS38" s="1208"/>
      <c r="CT38" s="1208"/>
      <c r="CU38" s="1292"/>
      <c r="CV38" s="1288"/>
      <c r="CW38" s="1288"/>
      <c r="CX38" s="1289"/>
      <c r="CY38" s="1255"/>
      <c r="CZ38" s="1204" t="s">
        <v>123</v>
      </c>
      <c r="DA38" s="1204" t="s">
        <v>123</v>
      </c>
      <c r="DB38" s="1206" t="s">
        <v>123</v>
      </c>
      <c r="DC38" s="1206"/>
      <c r="DD38" s="1206" t="s">
        <v>123</v>
      </c>
      <c r="DE38" s="1291"/>
      <c r="DF38" s="1291"/>
      <c r="DG38" s="1199" t="str">
        <f t="shared" si="8"/>
        <v/>
      </c>
      <c r="DH38" s="1208"/>
      <c r="DI38" s="1223"/>
      <c r="DJ38" s="1294"/>
      <c r="DK38" s="1209"/>
      <c r="DL38" s="1209"/>
      <c r="DM38" s="1267"/>
      <c r="DN38" s="1241"/>
      <c r="DO38" s="1204" t="s">
        <v>123</v>
      </c>
      <c r="DP38" s="1204" t="s">
        <v>123</v>
      </c>
      <c r="DQ38" s="1206" t="s">
        <v>123</v>
      </c>
      <c r="DR38" s="1206"/>
      <c r="DS38" s="1206" t="s">
        <v>123</v>
      </c>
      <c r="DT38" s="1291"/>
      <c r="DU38" s="1291"/>
      <c r="DV38" s="1199" t="str">
        <f t="shared" si="9"/>
        <v/>
      </c>
      <c r="DW38" s="1208"/>
      <c r="DX38" s="1208"/>
      <c r="DY38" s="1292"/>
      <c r="DZ38" s="1288"/>
      <c r="EA38" s="1288"/>
      <c r="EB38" s="1289"/>
      <c r="EC38" s="1255"/>
      <c r="ED38" s="1204" t="s">
        <v>123</v>
      </c>
      <c r="EE38" s="1204" t="s">
        <v>123</v>
      </c>
      <c r="EF38" s="1206" t="s">
        <v>123</v>
      </c>
      <c r="EG38" s="1206"/>
      <c r="EH38" s="1206" t="s">
        <v>123</v>
      </c>
      <c r="EI38" s="1291"/>
      <c r="EJ38" s="1291"/>
      <c r="EK38" s="1199" t="str">
        <f t="shared" si="10"/>
        <v/>
      </c>
      <c r="EL38" s="1208"/>
      <c r="EM38" s="1223"/>
      <c r="EN38" s="1234"/>
      <c r="EO38" s="1288"/>
      <c r="EP38" s="1288"/>
      <c r="EQ38" s="1289"/>
      <c r="ER38" s="1255"/>
      <c r="ES38" s="1204" t="s">
        <v>123</v>
      </c>
      <c r="ET38" s="1204" t="s">
        <v>123</v>
      </c>
      <c r="EU38" s="1206" t="s">
        <v>123</v>
      </c>
      <c r="EV38" s="1206"/>
      <c r="EW38" s="1206" t="s">
        <v>123</v>
      </c>
      <c r="EX38" s="1291"/>
      <c r="EY38" s="1291"/>
      <c r="EZ38" s="1199" t="str">
        <f t="shared" si="11"/>
        <v/>
      </c>
      <c r="FA38" s="1208"/>
      <c r="FB38" s="1223"/>
      <c r="FC38" s="1234"/>
      <c r="FD38" s="1288"/>
      <c r="FE38" s="1288"/>
      <c r="FF38" s="1289"/>
      <c r="FG38" s="1255"/>
      <c r="FH38" s="1204" t="s">
        <v>123</v>
      </c>
      <c r="FI38" s="1204" t="s">
        <v>123</v>
      </c>
      <c r="FJ38" s="1206" t="s">
        <v>123</v>
      </c>
      <c r="FK38" s="1206"/>
      <c r="FL38" s="1206" t="s">
        <v>123</v>
      </c>
      <c r="FM38" s="1291"/>
      <c r="FN38" s="1291"/>
      <c r="FO38" s="1199" t="str">
        <f t="shared" si="12"/>
        <v/>
      </c>
      <c r="FP38" s="1208"/>
      <c r="FQ38" s="1208"/>
      <c r="FR38" s="1292"/>
      <c r="FS38" s="1288"/>
      <c r="FT38" s="1288"/>
      <c r="FU38" s="1289"/>
      <c r="FV38" s="1255"/>
      <c r="FW38" s="1204" t="s">
        <v>123</v>
      </c>
      <c r="FX38" s="1204" t="s">
        <v>123</v>
      </c>
      <c r="FY38" s="1206" t="s">
        <v>123</v>
      </c>
      <c r="FZ38" s="1206"/>
      <c r="GA38" s="1206" t="s">
        <v>123</v>
      </c>
      <c r="GB38" s="1291"/>
      <c r="GC38" s="1291"/>
      <c r="GD38" s="1199" t="str">
        <f t="shared" si="13"/>
        <v/>
      </c>
      <c r="GE38" s="1208"/>
      <c r="GF38" s="1208"/>
      <c r="GG38" s="1292"/>
      <c r="GH38" s="1288"/>
      <c r="GI38" s="1288"/>
      <c r="GJ38" s="1289"/>
      <c r="GK38" s="1255"/>
      <c r="GL38" s="1204" t="s">
        <v>123</v>
      </c>
      <c r="GM38" s="1204" t="s">
        <v>123</v>
      </c>
      <c r="GN38" s="1206" t="s">
        <v>123</v>
      </c>
      <c r="GO38" s="1206"/>
      <c r="GP38" s="1206" t="s">
        <v>123</v>
      </c>
      <c r="GQ38" s="1291"/>
      <c r="GR38" s="1291"/>
      <c r="GS38" s="1199" t="str">
        <f t="shared" si="14"/>
        <v/>
      </c>
      <c r="GT38" s="1208"/>
      <c r="GU38" s="1208"/>
      <c r="GV38" s="1292"/>
      <c r="GW38" s="1288"/>
      <c r="GX38" s="1288"/>
      <c r="GY38" s="1289"/>
      <c r="GZ38" s="1255"/>
      <c r="HA38" s="1204" t="s">
        <v>123</v>
      </c>
      <c r="HB38" s="1204" t="s">
        <v>123</v>
      </c>
      <c r="HC38" s="1206" t="s">
        <v>123</v>
      </c>
      <c r="HD38" s="1206"/>
      <c r="HE38" s="1206" t="s">
        <v>123</v>
      </c>
      <c r="HF38" s="1291"/>
      <c r="HG38" s="1291"/>
      <c r="HH38" s="1199" t="str">
        <f t="shared" si="15"/>
        <v/>
      </c>
      <c r="HI38" s="1208"/>
      <c r="HJ38" s="1208"/>
      <c r="HK38" s="1292"/>
      <c r="HL38" s="1288"/>
      <c r="HM38" s="1293"/>
      <c r="HN38" s="1289"/>
      <c r="HO38" s="1255"/>
      <c r="HP38" s="1204" t="s">
        <v>123</v>
      </c>
      <c r="HQ38" s="1204" t="s">
        <v>123</v>
      </c>
      <c r="HR38" s="1206" t="s">
        <v>123</v>
      </c>
      <c r="HS38" s="1206"/>
      <c r="HT38" s="1206" t="s">
        <v>123</v>
      </c>
      <c r="HU38" s="1291"/>
      <c r="HV38" s="1291"/>
      <c r="HW38" s="1227"/>
    </row>
    <row r="39" ht="15.75" customHeight="1">
      <c r="A39" s="1297"/>
      <c r="B39" s="1298"/>
      <c r="C39" s="1298"/>
      <c r="D39" s="1297"/>
      <c r="E39" s="1299"/>
      <c r="F39" s="1199" t="str">
        <f t="shared" si="1"/>
        <v/>
      </c>
      <c r="G39" s="1208"/>
      <c r="H39" s="1208"/>
      <c r="I39" s="1201"/>
      <c r="J39" s="1209"/>
      <c r="K39" s="1209"/>
      <c r="L39" s="1212"/>
      <c r="M39" s="1203"/>
      <c r="N39" s="1230" t="s">
        <v>123</v>
      </c>
      <c r="O39" s="1230" t="s">
        <v>123</v>
      </c>
      <c r="P39" s="1231" t="s">
        <v>123</v>
      </c>
      <c r="Q39" s="1291"/>
      <c r="R39" s="1291" t="s">
        <v>123</v>
      </c>
      <c r="S39" s="1291"/>
      <c r="T39" s="1291"/>
      <c r="U39" s="1199" t="str">
        <f t="shared" si="2"/>
        <v/>
      </c>
      <c r="V39" s="1208"/>
      <c r="W39" s="1208"/>
      <c r="X39" s="1201"/>
      <c r="Y39" s="1209"/>
      <c r="Z39" s="1209"/>
      <c r="AA39" s="1210"/>
      <c r="AB39" s="1226"/>
      <c r="AC39" s="1204" t="s">
        <v>123</v>
      </c>
      <c r="AD39" s="1204" t="s">
        <v>123</v>
      </c>
      <c r="AE39" s="1205" t="s">
        <v>123</v>
      </c>
      <c r="AF39" s="1206"/>
      <c r="AG39" s="1206" t="s">
        <v>123</v>
      </c>
      <c r="AH39" s="1291"/>
      <c r="AI39" s="1291"/>
      <c r="AJ39" s="1199" t="str">
        <f t="shared" si="3"/>
        <v/>
      </c>
      <c r="AK39" s="1208"/>
      <c r="AL39" s="1287"/>
      <c r="AM39" s="1268"/>
      <c r="AN39" s="1300"/>
      <c r="AO39" s="1253"/>
      <c r="AP39" s="1252"/>
      <c r="AQ39" s="1242"/>
      <c r="AR39" s="1204" t="s">
        <v>123</v>
      </c>
      <c r="AS39" s="1204" t="s">
        <v>123</v>
      </c>
      <c r="AT39" s="1206" t="s">
        <v>123</v>
      </c>
      <c r="AU39" s="1206"/>
      <c r="AV39" s="1206" t="s">
        <v>123</v>
      </c>
      <c r="AW39" s="1291"/>
      <c r="AX39" s="1291"/>
      <c r="AY39" s="1199" t="str">
        <f t="shared" si="4"/>
        <v/>
      </c>
      <c r="AZ39" s="1208"/>
      <c r="BA39" s="1208"/>
      <c r="BB39" s="1234"/>
      <c r="BC39" s="1209"/>
      <c r="BD39" s="1209"/>
      <c r="BE39" s="1212"/>
      <c r="BF39" s="1214"/>
      <c r="BG39" s="1204" t="s">
        <v>123</v>
      </c>
      <c r="BH39" s="1204" t="s">
        <v>123</v>
      </c>
      <c r="BI39" s="1206" t="s">
        <v>123</v>
      </c>
      <c r="BJ39" s="1206"/>
      <c r="BK39" s="1206" t="s">
        <v>123</v>
      </c>
      <c r="BL39" s="1291"/>
      <c r="BM39" s="1291"/>
      <c r="BN39" s="1199" t="str">
        <f t="shared" si="5"/>
        <v/>
      </c>
      <c r="BO39" s="1208"/>
      <c r="BP39" s="1208"/>
      <c r="BQ39" s="1234"/>
      <c r="BR39" s="1224"/>
      <c r="BS39" s="1209"/>
      <c r="BT39" s="1210"/>
      <c r="BU39" s="1211"/>
      <c r="BV39" s="1204" t="s">
        <v>123</v>
      </c>
      <c r="BW39" s="1204" t="s">
        <v>123</v>
      </c>
      <c r="BX39" s="1206" t="s">
        <v>123</v>
      </c>
      <c r="BY39" s="1206"/>
      <c r="BZ39" s="1206" t="s">
        <v>123</v>
      </c>
      <c r="CA39" s="1291"/>
      <c r="CB39" s="1291"/>
      <c r="CC39" s="1199" t="str">
        <f t="shared" si="6"/>
        <v/>
      </c>
      <c r="CD39" s="1208"/>
      <c r="CE39" s="1208"/>
      <c r="CF39" s="1292"/>
      <c r="CG39" s="1288"/>
      <c r="CH39" s="1288"/>
      <c r="CI39" s="1289"/>
      <c r="CJ39" s="1255"/>
      <c r="CK39" s="1204" t="s">
        <v>123</v>
      </c>
      <c r="CL39" s="1204" t="s">
        <v>123</v>
      </c>
      <c r="CM39" s="1206" t="s">
        <v>123</v>
      </c>
      <c r="CN39" s="1206"/>
      <c r="CO39" s="1206" t="s">
        <v>123</v>
      </c>
      <c r="CP39" s="1291"/>
      <c r="CQ39" s="1291"/>
      <c r="CR39" s="1199" t="str">
        <f t="shared" si="7"/>
        <v/>
      </c>
      <c r="CS39" s="1208"/>
      <c r="CT39" s="1208"/>
      <c r="CU39" s="1292"/>
      <c r="CV39" s="1288"/>
      <c r="CW39" s="1288"/>
      <c r="CX39" s="1289"/>
      <c r="CY39" s="1255"/>
      <c r="CZ39" s="1204" t="s">
        <v>123</v>
      </c>
      <c r="DA39" s="1204" t="s">
        <v>123</v>
      </c>
      <c r="DB39" s="1206" t="s">
        <v>123</v>
      </c>
      <c r="DC39" s="1206"/>
      <c r="DD39" s="1206" t="s">
        <v>123</v>
      </c>
      <c r="DE39" s="1291"/>
      <c r="DF39" s="1291"/>
      <c r="DG39" s="1199" t="str">
        <f t="shared" si="8"/>
        <v/>
      </c>
      <c r="DH39" s="1208"/>
      <c r="DI39" s="1223"/>
      <c r="DJ39" s="1296"/>
      <c r="DK39" s="1253"/>
      <c r="DL39" s="1209"/>
      <c r="DM39" s="1267"/>
      <c r="DN39" s="1241"/>
      <c r="DO39" s="1204" t="s">
        <v>123</v>
      </c>
      <c r="DP39" s="1204" t="s">
        <v>123</v>
      </c>
      <c r="DQ39" s="1206" t="s">
        <v>123</v>
      </c>
      <c r="DR39" s="1206"/>
      <c r="DS39" s="1206" t="s">
        <v>123</v>
      </c>
      <c r="DT39" s="1291"/>
      <c r="DU39" s="1291"/>
      <c r="DV39" s="1199" t="str">
        <f t="shared" si="9"/>
        <v/>
      </c>
      <c r="DW39" s="1208"/>
      <c r="DX39" s="1208"/>
      <c r="DY39" s="1292"/>
      <c r="DZ39" s="1288"/>
      <c r="EA39" s="1288"/>
      <c r="EB39" s="1289"/>
      <c r="EC39" s="1255"/>
      <c r="ED39" s="1204" t="s">
        <v>123</v>
      </c>
      <c r="EE39" s="1204" t="s">
        <v>123</v>
      </c>
      <c r="EF39" s="1206" t="s">
        <v>123</v>
      </c>
      <c r="EG39" s="1206"/>
      <c r="EH39" s="1206" t="s">
        <v>123</v>
      </c>
      <c r="EI39" s="1291"/>
      <c r="EJ39" s="1291"/>
      <c r="EK39" s="1199" t="str">
        <f t="shared" si="10"/>
        <v/>
      </c>
      <c r="EL39" s="1208"/>
      <c r="EM39" s="1223"/>
      <c r="EN39" s="1234"/>
      <c r="EO39" s="1288"/>
      <c r="EP39" s="1288"/>
      <c r="EQ39" s="1289"/>
      <c r="ER39" s="1255"/>
      <c r="ES39" s="1204" t="s">
        <v>123</v>
      </c>
      <c r="ET39" s="1204" t="s">
        <v>123</v>
      </c>
      <c r="EU39" s="1206" t="s">
        <v>123</v>
      </c>
      <c r="EV39" s="1206"/>
      <c r="EW39" s="1206" t="s">
        <v>123</v>
      </c>
      <c r="EX39" s="1291"/>
      <c r="EY39" s="1291"/>
      <c r="EZ39" s="1199" t="str">
        <f t="shared" si="11"/>
        <v/>
      </c>
      <c r="FA39" s="1208"/>
      <c r="FB39" s="1223"/>
      <c r="FC39" s="1234"/>
      <c r="FD39" s="1288"/>
      <c r="FE39" s="1288"/>
      <c r="FF39" s="1289"/>
      <c r="FG39" s="1255"/>
      <c r="FH39" s="1204" t="s">
        <v>123</v>
      </c>
      <c r="FI39" s="1204" t="s">
        <v>123</v>
      </c>
      <c r="FJ39" s="1206" t="s">
        <v>123</v>
      </c>
      <c r="FK39" s="1206"/>
      <c r="FL39" s="1206" t="s">
        <v>123</v>
      </c>
      <c r="FM39" s="1291"/>
      <c r="FN39" s="1291"/>
      <c r="FO39" s="1199" t="str">
        <f t="shared" si="12"/>
        <v/>
      </c>
      <c r="FP39" s="1208"/>
      <c r="FQ39" s="1208"/>
      <c r="FR39" s="1292"/>
      <c r="FS39" s="1288"/>
      <c r="FT39" s="1288"/>
      <c r="FU39" s="1289"/>
      <c r="FV39" s="1255"/>
      <c r="FW39" s="1204" t="s">
        <v>123</v>
      </c>
      <c r="FX39" s="1204" t="s">
        <v>123</v>
      </c>
      <c r="FY39" s="1206" t="s">
        <v>123</v>
      </c>
      <c r="FZ39" s="1206"/>
      <c r="GA39" s="1206" t="s">
        <v>123</v>
      </c>
      <c r="GB39" s="1291"/>
      <c r="GC39" s="1291"/>
      <c r="GD39" s="1199" t="str">
        <f t="shared" si="13"/>
        <v/>
      </c>
      <c r="GE39" s="1208"/>
      <c r="GF39" s="1208"/>
      <c r="GG39" s="1292"/>
      <c r="GH39" s="1288"/>
      <c r="GI39" s="1288"/>
      <c r="GJ39" s="1289"/>
      <c r="GK39" s="1255"/>
      <c r="GL39" s="1204" t="s">
        <v>123</v>
      </c>
      <c r="GM39" s="1204" t="s">
        <v>123</v>
      </c>
      <c r="GN39" s="1206" t="s">
        <v>123</v>
      </c>
      <c r="GO39" s="1206"/>
      <c r="GP39" s="1206" t="s">
        <v>123</v>
      </c>
      <c r="GQ39" s="1291"/>
      <c r="GR39" s="1291"/>
      <c r="GS39" s="1199" t="str">
        <f t="shared" si="14"/>
        <v/>
      </c>
      <c r="GT39" s="1208"/>
      <c r="GU39" s="1208"/>
      <c r="GV39" s="1292"/>
      <c r="GW39" s="1288"/>
      <c r="GX39" s="1288"/>
      <c r="GY39" s="1289"/>
      <c r="GZ39" s="1255"/>
      <c r="HA39" s="1204" t="s">
        <v>123</v>
      </c>
      <c r="HB39" s="1204" t="s">
        <v>123</v>
      </c>
      <c r="HC39" s="1206" t="s">
        <v>123</v>
      </c>
      <c r="HD39" s="1206"/>
      <c r="HE39" s="1206" t="s">
        <v>123</v>
      </c>
      <c r="HF39" s="1291"/>
      <c r="HG39" s="1291"/>
      <c r="HH39" s="1199" t="str">
        <f t="shared" si="15"/>
        <v/>
      </c>
      <c r="HI39" s="1208"/>
      <c r="HJ39" s="1208"/>
      <c r="HK39" s="1292"/>
      <c r="HL39" s="1288"/>
      <c r="HM39" s="1293"/>
      <c r="HN39" s="1289"/>
      <c r="HO39" s="1255"/>
      <c r="HP39" s="1204" t="s">
        <v>123</v>
      </c>
      <c r="HQ39" s="1204" t="s">
        <v>123</v>
      </c>
      <c r="HR39" s="1206" t="s">
        <v>123</v>
      </c>
      <c r="HS39" s="1206"/>
      <c r="HT39" s="1206" t="s">
        <v>123</v>
      </c>
      <c r="HU39" s="1291"/>
      <c r="HV39" s="1291"/>
      <c r="HW39" s="1227"/>
    </row>
    <row r="40" ht="15.75" customHeight="1">
      <c r="A40" s="1297"/>
      <c r="B40" s="1298"/>
      <c r="C40" s="1298"/>
      <c r="D40" s="1297"/>
      <c r="E40" s="1299"/>
      <c r="F40" s="1199" t="str">
        <f t="shared" si="1"/>
        <v/>
      </c>
      <c r="G40" s="1208"/>
      <c r="H40" s="1208"/>
      <c r="I40" s="1201"/>
      <c r="J40" s="1209"/>
      <c r="K40" s="1209"/>
      <c r="L40" s="1212"/>
      <c r="M40" s="1203"/>
      <c r="N40" s="1230" t="s">
        <v>123</v>
      </c>
      <c r="O40" s="1230" t="s">
        <v>123</v>
      </c>
      <c r="P40" s="1231" t="s">
        <v>123</v>
      </c>
      <c r="Q40" s="1291"/>
      <c r="R40" s="1291" t="s">
        <v>123</v>
      </c>
      <c r="S40" s="1291"/>
      <c r="T40" s="1291"/>
      <c r="U40" s="1199" t="str">
        <f t="shared" si="2"/>
        <v/>
      </c>
      <c r="V40" s="1208"/>
      <c r="W40" s="1208"/>
      <c r="X40" s="1201"/>
      <c r="Y40" s="1209"/>
      <c r="Z40" s="1209"/>
      <c r="AA40" s="1210"/>
      <c r="AB40" s="1211"/>
      <c r="AC40" s="1204" t="s">
        <v>123</v>
      </c>
      <c r="AD40" s="1204" t="s">
        <v>123</v>
      </c>
      <c r="AE40" s="1205" t="s">
        <v>123</v>
      </c>
      <c r="AF40" s="1206"/>
      <c r="AG40" s="1206" t="s">
        <v>123</v>
      </c>
      <c r="AH40" s="1291"/>
      <c r="AI40" s="1291"/>
      <c r="AJ40" s="1199" t="str">
        <f t="shared" si="3"/>
        <v/>
      </c>
      <c r="AK40" s="1208"/>
      <c r="AL40" s="1208"/>
      <c r="AM40" s="1292"/>
      <c r="AN40" s="1288"/>
      <c r="AO40" s="1288"/>
      <c r="AP40" s="1289"/>
      <c r="AQ40" s="1255"/>
      <c r="AR40" s="1204" t="s">
        <v>123</v>
      </c>
      <c r="AS40" s="1204" t="s">
        <v>123</v>
      </c>
      <c r="AT40" s="1206" t="s">
        <v>123</v>
      </c>
      <c r="AU40" s="1206"/>
      <c r="AV40" s="1206" t="s">
        <v>123</v>
      </c>
      <c r="AW40" s="1291"/>
      <c r="AX40" s="1291"/>
      <c r="AY40" s="1199" t="str">
        <f t="shared" si="4"/>
        <v/>
      </c>
      <c r="AZ40" s="1208"/>
      <c r="BA40" s="1208"/>
      <c r="BB40" s="1234"/>
      <c r="BC40" s="1209"/>
      <c r="BD40" s="1209"/>
      <c r="BE40" s="1212"/>
      <c r="BF40" s="1212"/>
      <c r="BG40" s="1204" t="s">
        <v>123</v>
      </c>
      <c r="BH40" s="1204" t="s">
        <v>123</v>
      </c>
      <c r="BI40" s="1206" t="s">
        <v>123</v>
      </c>
      <c r="BJ40" s="1206"/>
      <c r="BK40" s="1206" t="s">
        <v>123</v>
      </c>
      <c r="BL40" s="1291"/>
      <c r="BM40" s="1291"/>
      <c r="BN40" s="1199" t="str">
        <f t="shared" si="5"/>
        <v/>
      </c>
      <c r="BO40" s="1208"/>
      <c r="BP40" s="1208"/>
      <c r="BQ40" s="1234"/>
      <c r="BR40" s="1224"/>
      <c r="BS40" s="1209"/>
      <c r="BT40" s="1210"/>
      <c r="BU40" s="1211"/>
      <c r="BV40" s="1204" t="s">
        <v>123</v>
      </c>
      <c r="BW40" s="1204" t="s">
        <v>123</v>
      </c>
      <c r="BX40" s="1206" t="s">
        <v>123</v>
      </c>
      <c r="BY40" s="1206"/>
      <c r="BZ40" s="1206" t="s">
        <v>123</v>
      </c>
      <c r="CA40" s="1291"/>
      <c r="CB40" s="1291"/>
      <c r="CC40" s="1199" t="str">
        <f t="shared" si="6"/>
        <v/>
      </c>
      <c r="CD40" s="1208"/>
      <c r="CE40" s="1208"/>
      <c r="CF40" s="1292"/>
      <c r="CG40" s="1288"/>
      <c r="CH40" s="1288"/>
      <c r="CI40" s="1289"/>
      <c r="CJ40" s="1255"/>
      <c r="CK40" s="1204" t="s">
        <v>123</v>
      </c>
      <c r="CL40" s="1204" t="s">
        <v>123</v>
      </c>
      <c r="CM40" s="1206" t="s">
        <v>123</v>
      </c>
      <c r="CN40" s="1206"/>
      <c r="CO40" s="1206" t="s">
        <v>123</v>
      </c>
      <c r="CP40" s="1291"/>
      <c r="CQ40" s="1291"/>
      <c r="CR40" s="1199" t="str">
        <f t="shared" si="7"/>
        <v/>
      </c>
      <c r="CS40" s="1208"/>
      <c r="CT40" s="1208"/>
      <c r="CU40" s="1292"/>
      <c r="CV40" s="1288"/>
      <c r="CW40" s="1288"/>
      <c r="CX40" s="1289"/>
      <c r="CY40" s="1255"/>
      <c r="CZ40" s="1204" t="s">
        <v>123</v>
      </c>
      <c r="DA40" s="1204" t="s">
        <v>123</v>
      </c>
      <c r="DB40" s="1206" t="s">
        <v>123</v>
      </c>
      <c r="DC40" s="1206"/>
      <c r="DD40" s="1206" t="s">
        <v>123</v>
      </c>
      <c r="DE40" s="1291"/>
      <c r="DF40" s="1291"/>
      <c r="DG40" s="1199" t="str">
        <f t="shared" si="8"/>
        <v/>
      </c>
      <c r="DH40" s="1208"/>
      <c r="DI40" s="1223"/>
      <c r="DJ40" s="1296"/>
      <c r="DK40" s="1253"/>
      <c r="DL40" s="1253"/>
      <c r="DM40" s="1267"/>
      <c r="DN40" s="1241"/>
      <c r="DO40" s="1204" t="s">
        <v>123</v>
      </c>
      <c r="DP40" s="1204" t="s">
        <v>123</v>
      </c>
      <c r="DQ40" s="1206" t="s">
        <v>123</v>
      </c>
      <c r="DR40" s="1206"/>
      <c r="DS40" s="1206" t="s">
        <v>123</v>
      </c>
      <c r="DT40" s="1291"/>
      <c r="DU40" s="1291"/>
      <c r="DV40" s="1199" t="str">
        <f t="shared" si="9"/>
        <v/>
      </c>
      <c r="DW40" s="1208"/>
      <c r="DX40" s="1208"/>
      <c r="DY40" s="1292"/>
      <c r="DZ40" s="1288"/>
      <c r="EA40" s="1288"/>
      <c r="EB40" s="1289"/>
      <c r="EC40" s="1255"/>
      <c r="ED40" s="1204" t="s">
        <v>123</v>
      </c>
      <c r="EE40" s="1204" t="s">
        <v>123</v>
      </c>
      <c r="EF40" s="1206" t="s">
        <v>123</v>
      </c>
      <c r="EG40" s="1206"/>
      <c r="EH40" s="1206" t="s">
        <v>123</v>
      </c>
      <c r="EI40" s="1291"/>
      <c r="EJ40" s="1291"/>
      <c r="EK40" s="1199" t="str">
        <f t="shared" si="10"/>
        <v/>
      </c>
      <c r="EL40" s="1208"/>
      <c r="EM40" s="1223"/>
      <c r="EN40" s="1234"/>
      <c r="EO40" s="1288"/>
      <c r="EP40" s="1288"/>
      <c r="EQ40" s="1289"/>
      <c r="ER40" s="1255"/>
      <c r="ES40" s="1204" t="s">
        <v>123</v>
      </c>
      <c r="ET40" s="1204" t="s">
        <v>123</v>
      </c>
      <c r="EU40" s="1206" t="s">
        <v>123</v>
      </c>
      <c r="EV40" s="1206"/>
      <c r="EW40" s="1206" t="s">
        <v>123</v>
      </c>
      <c r="EX40" s="1291"/>
      <c r="EY40" s="1291"/>
      <c r="EZ40" s="1199" t="str">
        <f t="shared" si="11"/>
        <v/>
      </c>
      <c r="FA40" s="1208"/>
      <c r="FB40" s="1223"/>
      <c r="FC40" s="1234"/>
      <c r="FD40" s="1288"/>
      <c r="FE40" s="1288"/>
      <c r="FF40" s="1289"/>
      <c r="FG40" s="1255"/>
      <c r="FH40" s="1204" t="s">
        <v>123</v>
      </c>
      <c r="FI40" s="1204" t="s">
        <v>123</v>
      </c>
      <c r="FJ40" s="1206" t="s">
        <v>123</v>
      </c>
      <c r="FK40" s="1206"/>
      <c r="FL40" s="1206" t="s">
        <v>123</v>
      </c>
      <c r="FM40" s="1291"/>
      <c r="FN40" s="1291"/>
      <c r="FO40" s="1199" t="str">
        <f t="shared" si="12"/>
        <v/>
      </c>
      <c r="FP40" s="1208"/>
      <c r="FQ40" s="1208"/>
      <c r="FR40" s="1292"/>
      <c r="FS40" s="1288"/>
      <c r="FT40" s="1288"/>
      <c r="FU40" s="1289"/>
      <c r="FV40" s="1255"/>
      <c r="FW40" s="1204" t="s">
        <v>123</v>
      </c>
      <c r="FX40" s="1204" t="s">
        <v>123</v>
      </c>
      <c r="FY40" s="1206" t="s">
        <v>123</v>
      </c>
      <c r="FZ40" s="1206"/>
      <c r="GA40" s="1206" t="s">
        <v>123</v>
      </c>
      <c r="GB40" s="1291"/>
      <c r="GC40" s="1291"/>
      <c r="GD40" s="1199" t="str">
        <f t="shared" si="13"/>
        <v/>
      </c>
      <c r="GE40" s="1208"/>
      <c r="GF40" s="1208"/>
      <c r="GG40" s="1292"/>
      <c r="GH40" s="1288"/>
      <c r="GI40" s="1288"/>
      <c r="GJ40" s="1289"/>
      <c r="GK40" s="1255"/>
      <c r="GL40" s="1204" t="s">
        <v>123</v>
      </c>
      <c r="GM40" s="1204" t="s">
        <v>123</v>
      </c>
      <c r="GN40" s="1206" t="s">
        <v>123</v>
      </c>
      <c r="GO40" s="1206"/>
      <c r="GP40" s="1206" t="s">
        <v>123</v>
      </c>
      <c r="GQ40" s="1291"/>
      <c r="GR40" s="1291"/>
      <c r="GS40" s="1199" t="str">
        <f t="shared" si="14"/>
        <v/>
      </c>
      <c r="GT40" s="1208"/>
      <c r="GU40" s="1208"/>
      <c r="GV40" s="1292"/>
      <c r="GW40" s="1288"/>
      <c r="GX40" s="1288"/>
      <c r="GY40" s="1289"/>
      <c r="GZ40" s="1255"/>
      <c r="HA40" s="1204" t="s">
        <v>123</v>
      </c>
      <c r="HB40" s="1204" t="s">
        <v>123</v>
      </c>
      <c r="HC40" s="1206" t="s">
        <v>123</v>
      </c>
      <c r="HD40" s="1206"/>
      <c r="HE40" s="1206" t="s">
        <v>123</v>
      </c>
      <c r="HF40" s="1291"/>
      <c r="HG40" s="1291"/>
      <c r="HH40" s="1199" t="str">
        <f t="shared" si="15"/>
        <v/>
      </c>
      <c r="HI40" s="1208"/>
      <c r="HJ40" s="1208"/>
      <c r="HK40" s="1292"/>
      <c r="HL40" s="1288"/>
      <c r="HM40" s="1293"/>
      <c r="HN40" s="1289"/>
      <c r="HO40" s="1255"/>
      <c r="HP40" s="1204" t="s">
        <v>123</v>
      </c>
      <c r="HQ40" s="1204" t="s">
        <v>123</v>
      </c>
      <c r="HR40" s="1206" t="s">
        <v>123</v>
      </c>
      <c r="HS40" s="1206"/>
      <c r="HT40" s="1206" t="s">
        <v>123</v>
      </c>
      <c r="HU40" s="1291"/>
      <c r="HV40" s="1291"/>
      <c r="HW40" s="1227"/>
    </row>
    <row r="41" ht="15.75" customHeight="1">
      <c r="A41" s="1297"/>
      <c r="B41" s="1298"/>
      <c r="C41" s="1298"/>
      <c r="D41" s="1297"/>
      <c r="E41" s="1299"/>
      <c r="F41" s="1199" t="str">
        <f t="shared" si="1"/>
        <v/>
      </c>
      <c r="G41" s="1208"/>
      <c r="H41" s="1208"/>
      <c r="I41" s="1259"/>
      <c r="J41" s="1209"/>
      <c r="K41" s="1209"/>
      <c r="L41" s="1212"/>
      <c r="M41" s="1290"/>
      <c r="N41" s="1230" t="s">
        <v>123</v>
      </c>
      <c r="O41" s="1230" t="s">
        <v>123</v>
      </c>
      <c r="P41" s="1231" t="s">
        <v>123</v>
      </c>
      <c r="Q41" s="1291"/>
      <c r="R41" s="1291" t="s">
        <v>123</v>
      </c>
      <c r="S41" s="1291"/>
      <c r="T41" s="1291"/>
      <c r="U41" s="1199" t="str">
        <f t="shared" si="2"/>
        <v/>
      </c>
      <c r="V41" s="1208"/>
      <c r="W41" s="1208"/>
      <c r="X41" s="1201"/>
      <c r="Y41" s="1209"/>
      <c r="Z41" s="1209"/>
      <c r="AA41" s="1210"/>
      <c r="AB41" s="1211"/>
      <c r="AC41" s="1204" t="s">
        <v>123</v>
      </c>
      <c r="AD41" s="1204" t="s">
        <v>123</v>
      </c>
      <c r="AE41" s="1205" t="s">
        <v>123</v>
      </c>
      <c r="AF41" s="1206"/>
      <c r="AG41" s="1206" t="s">
        <v>123</v>
      </c>
      <c r="AH41" s="1291"/>
      <c r="AI41" s="1291"/>
      <c r="AJ41" s="1199" t="str">
        <f t="shared" si="3"/>
        <v/>
      </c>
      <c r="AK41" s="1208"/>
      <c r="AL41" s="1208"/>
      <c r="AM41" s="1292"/>
      <c r="AN41" s="1288"/>
      <c r="AO41" s="1288"/>
      <c r="AP41" s="1289"/>
      <c r="AQ41" s="1255"/>
      <c r="AR41" s="1204" t="s">
        <v>123</v>
      </c>
      <c r="AS41" s="1204" t="s">
        <v>123</v>
      </c>
      <c r="AT41" s="1206" t="s">
        <v>123</v>
      </c>
      <c r="AU41" s="1206"/>
      <c r="AV41" s="1206" t="s">
        <v>123</v>
      </c>
      <c r="AW41" s="1291"/>
      <c r="AX41" s="1291"/>
      <c r="AY41" s="1199" t="str">
        <f t="shared" si="4"/>
        <v/>
      </c>
      <c r="AZ41" s="1208"/>
      <c r="BA41" s="1208"/>
      <c r="BB41" s="1234"/>
      <c r="BC41" s="1209"/>
      <c r="BD41" s="1209"/>
      <c r="BE41" s="1212"/>
      <c r="BF41" s="1241"/>
      <c r="BG41" s="1204" t="s">
        <v>123</v>
      </c>
      <c r="BH41" s="1204" t="s">
        <v>123</v>
      </c>
      <c r="BI41" s="1206" t="s">
        <v>123</v>
      </c>
      <c r="BJ41" s="1206"/>
      <c r="BK41" s="1206" t="s">
        <v>123</v>
      </c>
      <c r="BL41" s="1291"/>
      <c r="BM41" s="1291"/>
      <c r="BN41" s="1199" t="str">
        <f t="shared" si="5"/>
        <v/>
      </c>
      <c r="BO41" s="1208"/>
      <c r="BP41" s="1208"/>
      <c r="BQ41" s="1234"/>
      <c r="BR41" s="1224"/>
      <c r="BS41" s="1209"/>
      <c r="BT41" s="1210"/>
      <c r="BU41" s="1211"/>
      <c r="BV41" s="1204" t="s">
        <v>123</v>
      </c>
      <c r="BW41" s="1204" t="s">
        <v>123</v>
      </c>
      <c r="BX41" s="1206" t="s">
        <v>123</v>
      </c>
      <c r="BY41" s="1206"/>
      <c r="BZ41" s="1206" t="s">
        <v>123</v>
      </c>
      <c r="CA41" s="1291"/>
      <c r="CB41" s="1291"/>
      <c r="CC41" s="1199" t="str">
        <f t="shared" si="6"/>
        <v/>
      </c>
      <c r="CD41" s="1208"/>
      <c r="CE41" s="1208"/>
      <c r="CF41" s="1292"/>
      <c r="CG41" s="1288"/>
      <c r="CH41" s="1288"/>
      <c r="CI41" s="1289"/>
      <c r="CJ41" s="1255"/>
      <c r="CK41" s="1204" t="s">
        <v>123</v>
      </c>
      <c r="CL41" s="1204" t="s">
        <v>123</v>
      </c>
      <c r="CM41" s="1206" t="s">
        <v>123</v>
      </c>
      <c r="CN41" s="1206"/>
      <c r="CO41" s="1206" t="s">
        <v>123</v>
      </c>
      <c r="CP41" s="1291"/>
      <c r="CQ41" s="1291"/>
      <c r="CR41" s="1199" t="str">
        <f t="shared" si="7"/>
        <v/>
      </c>
      <c r="CS41" s="1208"/>
      <c r="CT41" s="1208"/>
      <c r="CU41" s="1292"/>
      <c r="CV41" s="1288"/>
      <c r="CW41" s="1288"/>
      <c r="CX41" s="1289"/>
      <c r="CY41" s="1255"/>
      <c r="CZ41" s="1204" t="s">
        <v>123</v>
      </c>
      <c r="DA41" s="1204" t="s">
        <v>123</v>
      </c>
      <c r="DB41" s="1206" t="s">
        <v>123</v>
      </c>
      <c r="DC41" s="1206"/>
      <c r="DD41" s="1206" t="s">
        <v>123</v>
      </c>
      <c r="DE41" s="1291"/>
      <c r="DF41" s="1291"/>
      <c r="DG41" s="1199" t="str">
        <f t="shared" si="8"/>
        <v/>
      </c>
      <c r="DH41" s="1208"/>
      <c r="DI41" s="1213"/>
      <c r="DJ41" s="1301"/>
      <c r="DK41" s="1279"/>
      <c r="DL41" s="1202"/>
      <c r="DM41" s="1252"/>
      <c r="DN41" s="1241"/>
      <c r="DO41" s="1204" t="s">
        <v>123</v>
      </c>
      <c r="DP41" s="1204" t="s">
        <v>123</v>
      </c>
      <c r="DQ41" s="1206" t="s">
        <v>123</v>
      </c>
      <c r="DR41" s="1206"/>
      <c r="DS41" s="1206" t="s">
        <v>123</v>
      </c>
      <c r="DT41" s="1291"/>
      <c r="DU41" s="1291"/>
      <c r="DV41" s="1199" t="str">
        <f t="shared" si="9"/>
        <v/>
      </c>
      <c r="DW41" s="1208"/>
      <c r="DX41" s="1208"/>
      <c r="DY41" s="1292"/>
      <c r="DZ41" s="1288"/>
      <c r="EA41" s="1288"/>
      <c r="EB41" s="1289"/>
      <c r="EC41" s="1255"/>
      <c r="ED41" s="1204" t="s">
        <v>123</v>
      </c>
      <c r="EE41" s="1204" t="s">
        <v>123</v>
      </c>
      <c r="EF41" s="1206" t="s">
        <v>123</v>
      </c>
      <c r="EG41" s="1206"/>
      <c r="EH41" s="1206" t="s">
        <v>123</v>
      </c>
      <c r="EI41" s="1291"/>
      <c r="EJ41" s="1291"/>
      <c r="EK41" s="1199" t="str">
        <f t="shared" si="10"/>
        <v/>
      </c>
      <c r="EL41" s="1208"/>
      <c r="EM41" s="1223"/>
      <c r="EN41" s="1234"/>
      <c r="EO41" s="1288"/>
      <c r="EP41" s="1288"/>
      <c r="EQ41" s="1289"/>
      <c r="ER41" s="1255"/>
      <c r="ES41" s="1204" t="s">
        <v>123</v>
      </c>
      <c r="ET41" s="1204" t="s">
        <v>123</v>
      </c>
      <c r="EU41" s="1206" t="s">
        <v>123</v>
      </c>
      <c r="EV41" s="1206"/>
      <c r="EW41" s="1206" t="s">
        <v>123</v>
      </c>
      <c r="EX41" s="1291"/>
      <c r="EY41" s="1291"/>
      <c r="EZ41" s="1199" t="str">
        <f t="shared" si="11"/>
        <v/>
      </c>
      <c r="FA41" s="1208"/>
      <c r="FB41" s="1223"/>
      <c r="FC41" s="1234"/>
      <c r="FD41" s="1288"/>
      <c r="FE41" s="1288"/>
      <c r="FF41" s="1289"/>
      <c r="FG41" s="1255"/>
      <c r="FH41" s="1204" t="s">
        <v>123</v>
      </c>
      <c r="FI41" s="1204" t="s">
        <v>123</v>
      </c>
      <c r="FJ41" s="1206" t="s">
        <v>123</v>
      </c>
      <c r="FK41" s="1206"/>
      <c r="FL41" s="1206" t="s">
        <v>123</v>
      </c>
      <c r="FM41" s="1291"/>
      <c r="FN41" s="1291"/>
      <c r="FO41" s="1199" t="str">
        <f t="shared" si="12"/>
        <v/>
      </c>
      <c r="FP41" s="1208"/>
      <c r="FQ41" s="1208"/>
      <c r="FR41" s="1292"/>
      <c r="FS41" s="1288"/>
      <c r="FT41" s="1288"/>
      <c r="FU41" s="1289"/>
      <c r="FV41" s="1255"/>
      <c r="FW41" s="1204" t="s">
        <v>123</v>
      </c>
      <c r="FX41" s="1204" t="s">
        <v>123</v>
      </c>
      <c r="FY41" s="1206" t="s">
        <v>123</v>
      </c>
      <c r="FZ41" s="1206"/>
      <c r="GA41" s="1206" t="s">
        <v>123</v>
      </c>
      <c r="GB41" s="1291"/>
      <c r="GC41" s="1291"/>
      <c r="GD41" s="1199" t="str">
        <f t="shared" si="13"/>
        <v/>
      </c>
      <c r="GE41" s="1208"/>
      <c r="GF41" s="1208"/>
      <c r="GG41" s="1292"/>
      <c r="GH41" s="1288"/>
      <c r="GI41" s="1288"/>
      <c r="GJ41" s="1289"/>
      <c r="GK41" s="1255"/>
      <c r="GL41" s="1204" t="s">
        <v>123</v>
      </c>
      <c r="GM41" s="1204" t="s">
        <v>123</v>
      </c>
      <c r="GN41" s="1206" t="s">
        <v>123</v>
      </c>
      <c r="GO41" s="1206"/>
      <c r="GP41" s="1206" t="s">
        <v>123</v>
      </c>
      <c r="GQ41" s="1291"/>
      <c r="GR41" s="1291"/>
      <c r="GS41" s="1199" t="str">
        <f t="shared" si="14"/>
        <v/>
      </c>
      <c r="GT41" s="1208"/>
      <c r="GU41" s="1208"/>
      <c r="GV41" s="1292"/>
      <c r="GW41" s="1288"/>
      <c r="GX41" s="1288"/>
      <c r="GY41" s="1289"/>
      <c r="GZ41" s="1255"/>
      <c r="HA41" s="1204" t="s">
        <v>123</v>
      </c>
      <c r="HB41" s="1204" t="s">
        <v>123</v>
      </c>
      <c r="HC41" s="1206" t="s">
        <v>123</v>
      </c>
      <c r="HD41" s="1206"/>
      <c r="HE41" s="1206" t="s">
        <v>123</v>
      </c>
      <c r="HF41" s="1291"/>
      <c r="HG41" s="1291"/>
      <c r="HH41" s="1199" t="str">
        <f t="shared" si="15"/>
        <v/>
      </c>
      <c r="HI41" s="1208"/>
      <c r="HJ41" s="1208"/>
      <c r="HK41" s="1292"/>
      <c r="HL41" s="1288"/>
      <c r="HM41" s="1288"/>
      <c r="HN41" s="1289"/>
      <c r="HO41" s="1255"/>
      <c r="HP41" s="1204" t="s">
        <v>123</v>
      </c>
      <c r="HQ41" s="1204" t="s">
        <v>123</v>
      </c>
      <c r="HR41" s="1206" t="s">
        <v>123</v>
      </c>
      <c r="HS41" s="1206"/>
      <c r="HT41" s="1206" t="s">
        <v>123</v>
      </c>
      <c r="HU41" s="1291"/>
      <c r="HV41" s="1291"/>
      <c r="HW41" s="1227"/>
    </row>
    <row r="42" ht="15.75" customHeight="1">
      <c r="A42" s="1297"/>
      <c r="B42" s="1298"/>
      <c r="C42" s="1298"/>
      <c r="D42" s="1297"/>
      <c r="E42" s="1299"/>
      <c r="F42" s="1199" t="str">
        <f t="shared" si="1"/>
        <v/>
      </c>
      <c r="G42" s="1287"/>
      <c r="H42" s="1208"/>
      <c r="I42" s="1201"/>
      <c r="J42" s="1209"/>
      <c r="K42" s="1209"/>
      <c r="L42" s="1212"/>
      <c r="M42" s="1203"/>
      <c r="N42" s="1230" t="s">
        <v>123</v>
      </c>
      <c r="O42" s="1230" t="s">
        <v>123</v>
      </c>
      <c r="P42" s="1231" t="s">
        <v>123</v>
      </c>
      <c r="Q42" s="1291"/>
      <c r="R42" s="1291" t="s">
        <v>123</v>
      </c>
      <c r="S42" s="1291"/>
      <c r="T42" s="1291"/>
      <c r="U42" s="1199" t="str">
        <f t="shared" si="2"/>
        <v/>
      </c>
      <c r="V42" s="1208"/>
      <c r="W42" s="1200"/>
      <c r="X42" s="1201"/>
      <c r="Y42" s="1202"/>
      <c r="Z42" s="1202"/>
      <c r="AA42" s="1266"/>
      <c r="AB42" s="1211"/>
      <c r="AC42" s="1204" t="s">
        <v>123</v>
      </c>
      <c r="AD42" s="1204" t="s">
        <v>123</v>
      </c>
      <c r="AE42" s="1205" t="s">
        <v>123</v>
      </c>
      <c r="AF42" s="1206"/>
      <c r="AG42" s="1206" t="s">
        <v>123</v>
      </c>
      <c r="AH42" s="1291"/>
      <c r="AI42" s="1291"/>
      <c r="AJ42" s="1199" t="str">
        <f t="shared" si="3"/>
        <v/>
      </c>
      <c r="AK42" s="1208"/>
      <c r="AL42" s="1208"/>
      <c r="AM42" s="1292"/>
      <c r="AN42" s="1288"/>
      <c r="AO42" s="1288"/>
      <c r="AP42" s="1289"/>
      <c r="AQ42" s="1255"/>
      <c r="AR42" s="1204" t="s">
        <v>123</v>
      </c>
      <c r="AS42" s="1204" t="s">
        <v>123</v>
      </c>
      <c r="AT42" s="1206" t="s">
        <v>123</v>
      </c>
      <c r="AU42" s="1206"/>
      <c r="AV42" s="1206" t="s">
        <v>123</v>
      </c>
      <c r="AW42" s="1291"/>
      <c r="AX42" s="1291"/>
      <c r="AY42" s="1199" t="str">
        <f t="shared" si="4"/>
        <v/>
      </c>
      <c r="AZ42" s="1208"/>
      <c r="BA42" s="1208"/>
      <c r="BB42" s="1234"/>
      <c r="BC42" s="1209"/>
      <c r="BD42" s="1209"/>
      <c r="BE42" s="1212"/>
      <c r="BF42" s="1255"/>
      <c r="BG42" s="1204" t="s">
        <v>123</v>
      </c>
      <c r="BH42" s="1204" t="s">
        <v>123</v>
      </c>
      <c r="BI42" s="1206" t="s">
        <v>123</v>
      </c>
      <c r="BJ42" s="1206"/>
      <c r="BK42" s="1206" t="s">
        <v>123</v>
      </c>
      <c r="BL42" s="1291"/>
      <c r="BM42" s="1291"/>
      <c r="BN42" s="1199" t="str">
        <f t="shared" si="5"/>
        <v/>
      </c>
      <c r="BO42" s="1208"/>
      <c r="BP42" s="1258"/>
      <c r="BQ42" s="1234"/>
      <c r="BR42" s="1209"/>
      <c r="BS42" s="1209"/>
      <c r="BT42" s="1212"/>
      <c r="BU42" s="1242"/>
      <c r="BV42" s="1204" t="s">
        <v>123</v>
      </c>
      <c r="BW42" s="1204" t="s">
        <v>123</v>
      </c>
      <c r="BX42" s="1206" t="s">
        <v>123</v>
      </c>
      <c r="BY42" s="1206"/>
      <c r="BZ42" s="1206" t="s">
        <v>123</v>
      </c>
      <c r="CA42" s="1291"/>
      <c r="CB42" s="1291"/>
      <c r="CC42" s="1199" t="str">
        <f t="shared" si="6"/>
        <v/>
      </c>
      <c r="CD42" s="1208"/>
      <c r="CE42" s="1208"/>
      <c r="CF42" s="1292"/>
      <c r="CG42" s="1288"/>
      <c r="CH42" s="1288"/>
      <c r="CI42" s="1289"/>
      <c r="CJ42" s="1255"/>
      <c r="CK42" s="1204" t="s">
        <v>123</v>
      </c>
      <c r="CL42" s="1204" t="s">
        <v>123</v>
      </c>
      <c r="CM42" s="1206" t="s">
        <v>123</v>
      </c>
      <c r="CN42" s="1206"/>
      <c r="CO42" s="1206" t="s">
        <v>123</v>
      </c>
      <c r="CP42" s="1291"/>
      <c r="CQ42" s="1291"/>
      <c r="CR42" s="1199" t="str">
        <f t="shared" si="7"/>
        <v/>
      </c>
      <c r="CS42" s="1208"/>
      <c r="CT42" s="1208"/>
      <c r="CU42" s="1292"/>
      <c r="CV42" s="1288"/>
      <c r="CW42" s="1288"/>
      <c r="CX42" s="1289"/>
      <c r="CY42" s="1255"/>
      <c r="CZ42" s="1204" t="s">
        <v>123</v>
      </c>
      <c r="DA42" s="1204" t="s">
        <v>123</v>
      </c>
      <c r="DB42" s="1206" t="s">
        <v>123</v>
      </c>
      <c r="DC42" s="1206"/>
      <c r="DD42" s="1206" t="s">
        <v>123</v>
      </c>
      <c r="DE42" s="1291"/>
      <c r="DF42" s="1291"/>
      <c r="DG42" s="1199" t="str">
        <f t="shared" si="8"/>
        <v/>
      </c>
      <c r="DH42" s="1208"/>
      <c r="DI42" s="1223"/>
      <c r="DJ42" s="1296"/>
      <c r="DK42" s="1253"/>
      <c r="DL42" s="1209"/>
      <c r="DM42" s="1267"/>
      <c r="DN42" s="1241"/>
      <c r="DO42" s="1204" t="s">
        <v>123</v>
      </c>
      <c r="DP42" s="1204" t="s">
        <v>123</v>
      </c>
      <c r="DQ42" s="1206" t="s">
        <v>123</v>
      </c>
      <c r="DR42" s="1206"/>
      <c r="DS42" s="1206" t="s">
        <v>123</v>
      </c>
      <c r="DT42" s="1291"/>
      <c r="DU42" s="1291"/>
      <c r="DV42" s="1199" t="str">
        <f t="shared" si="9"/>
        <v/>
      </c>
      <c r="DW42" s="1208"/>
      <c r="DX42" s="1208"/>
      <c r="DY42" s="1292"/>
      <c r="DZ42" s="1288"/>
      <c r="EA42" s="1288"/>
      <c r="EB42" s="1289"/>
      <c r="EC42" s="1255"/>
      <c r="ED42" s="1204" t="s">
        <v>123</v>
      </c>
      <c r="EE42" s="1204" t="s">
        <v>123</v>
      </c>
      <c r="EF42" s="1206" t="s">
        <v>123</v>
      </c>
      <c r="EG42" s="1206"/>
      <c r="EH42" s="1206" t="s">
        <v>123</v>
      </c>
      <c r="EI42" s="1291"/>
      <c r="EJ42" s="1291"/>
      <c r="EK42" s="1199" t="str">
        <f t="shared" si="10"/>
        <v/>
      </c>
      <c r="EL42" s="1208"/>
      <c r="EM42" s="1223"/>
      <c r="EN42" s="1234"/>
      <c r="EO42" s="1288"/>
      <c r="EP42" s="1288"/>
      <c r="EQ42" s="1289"/>
      <c r="ER42" s="1255"/>
      <c r="ES42" s="1204" t="s">
        <v>123</v>
      </c>
      <c r="ET42" s="1204" t="s">
        <v>123</v>
      </c>
      <c r="EU42" s="1206" t="s">
        <v>123</v>
      </c>
      <c r="EV42" s="1206"/>
      <c r="EW42" s="1206" t="s">
        <v>123</v>
      </c>
      <c r="EX42" s="1291"/>
      <c r="EY42" s="1291"/>
      <c r="EZ42" s="1199" t="str">
        <f t="shared" si="11"/>
        <v/>
      </c>
      <c r="FA42" s="1208"/>
      <c r="FB42" s="1223"/>
      <c r="FC42" s="1234"/>
      <c r="FD42" s="1288"/>
      <c r="FE42" s="1288"/>
      <c r="FF42" s="1289"/>
      <c r="FG42" s="1255"/>
      <c r="FH42" s="1204" t="s">
        <v>123</v>
      </c>
      <c r="FI42" s="1204" t="s">
        <v>123</v>
      </c>
      <c r="FJ42" s="1206" t="s">
        <v>123</v>
      </c>
      <c r="FK42" s="1206"/>
      <c r="FL42" s="1206" t="s">
        <v>123</v>
      </c>
      <c r="FM42" s="1291"/>
      <c r="FN42" s="1291"/>
      <c r="FO42" s="1199" t="str">
        <f t="shared" si="12"/>
        <v/>
      </c>
      <c r="FP42" s="1208"/>
      <c r="FQ42" s="1208"/>
      <c r="FR42" s="1292"/>
      <c r="FS42" s="1288"/>
      <c r="FT42" s="1288"/>
      <c r="FU42" s="1289"/>
      <c r="FV42" s="1255"/>
      <c r="FW42" s="1204" t="s">
        <v>123</v>
      </c>
      <c r="FX42" s="1204" t="s">
        <v>123</v>
      </c>
      <c r="FY42" s="1206" t="s">
        <v>123</v>
      </c>
      <c r="FZ42" s="1206"/>
      <c r="GA42" s="1206" t="s">
        <v>123</v>
      </c>
      <c r="GB42" s="1291"/>
      <c r="GC42" s="1291"/>
      <c r="GD42" s="1199" t="str">
        <f t="shared" si="13"/>
        <v/>
      </c>
      <c r="GE42" s="1208"/>
      <c r="GF42" s="1208"/>
      <c r="GG42" s="1292"/>
      <c r="GH42" s="1288"/>
      <c r="GI42" s="1288"/>
      <c r="GJ42" s="1289"/>
      <c r="GK42" s="1255"/>
      <c r="GL42" s="1204" t="s">
        <v>123</v>
      </c>
      <c r="GM42" s="1204" t="s">
        <v>123</v>
      </c>
      <c r="GN42" s="1206" t="s">
        <v>123</v>
      </c>
      <c r="GO42" s="1206"/>
      <c r="GP42" s="1206" t="s">
        <v>123</v>
      </c>
      <c r="GQ42" s="1291"/>
      <c r="GR42" s="1291"/>
      <c r="GS42" s="1199" t="str">
        <f t="shared" si="14"/>
        <v/>
      </c>
      <c r="GT42" s="1208"/>
      <c r="GU42" s="1208"/>
      <c r="GV42" s="1292"/>
      <c r="GW42" s="1288"/>
      <c r="GX42" s="1288"/>
      <c r="GY42" s="1289"/>
      <c r="GZ42" s="1255"/>
      <c r="HA42" s="1204" t="s">
        <v>123</v>
      </c>
      <c r="HB42" s="1204" t="s">
        <v>123</v>
      </c>
      <c r="HC42" s="1206" t="s">
        <v>123</v>
      </c>
      <c r="HD42" s="1206"/>
      <c r="HE42" s="1206" t="s">
        <v>123</v>
      </c>
      <c r="HF42" s="1291"/>
      <c r="HG42" s="1291"/>
      <c r="HH42" s="1199" t="str">
        <f t="shared" si="15"/>
        <v/>
      </c>
      <c r="HI42" s="1208"/>
      <c r="HJ42" s="1208"/>
      <c r="HK42" s="1292"/>
      <c r="HL42" s="1288"/>
      <c r="HM42" s="1288"/>
      <c r="HN42" s="1289"/>
      <c r="HO42" s="1255"/>
      <c r="HP42" s="1204" t="s">
        <v>123</v>
      </c>
      <c r="HQ42" s="1204" t="s">
        <v>123</v>
      </c>
      <c r="HR42" s="1206" t="s">
        <v>123</v>
      </c>
      <c r="HS42" s="1206"/>
      <c r="HT42" s="1206" t="s">
        <v>123</v>
      </c>
      <c r="HU42" s="1291"/>
      <c r="HV42" s="1291"/>
      <c r="HW42" s="1227"/>
    </row>
    <row r="43" ht="15.75" customHeight="1">
      <c r="A43" s="1297"/>
      <c r="B43" s="1298"/>
      <c r="C43" s="1298"/>
      <c r="D43" s="1297"/>
      <c r="E43" s="1299"/>
      <c r="F43" s="1199" t="str">
        <f t="shared" si="1"/>
        <v/>
      </c>
      <c r="G43" s="1287"/>
      <c r="H43" s="1208"/>
      <c r="I43" s="1201"/>
      <c r="J43" s="1209"/>
      <c r="K43" s="1209"/>
      <c r="L43" s="1212"/>
      <c r="M43" s="1203"/>
      <c r="N43" s="1230" t="s">
        <v>123</v>
      </c>
      <c r="O43" s="1230" t="s">
        <v>123</v>
      </c>
      <c r="P43" s="1231" t="s">
        <v>123</v>
      </c>
      <c r="Q43" s="1291"/>
      <c r="R43" s="1291" t="s">
        <v>123</v>
      </c>
      <c r="S43" s="1291"/>
      <c r="T43" s="1291"/>
      <c r="U43" s="1199" t="str">
        <f t="shared" si="2"/>
        <v/>
      </c>
      <c r="V43" s="1208"/>
      <c r="W43" s="1208"/>
      <c r="X43" s="1201"/>
      <c r="Y43" s="1209"/>
      <c r="Z43" s="1209"/>
      <c r="AA43" s="1210"/>
      <c r="AB43" s="1211"/>
      <c r="AC43" s="1204" t="s">
        <v>123</v>
      </c>
      <c r="AD43" s="1204" t="s">
        <v>123</v>
      </c>
      <c r="AE43" s="1205" t="s">
        <v>123</v>
      </c>
      <c r="AF43" s="1206"/>
      <c r="AG43" s="1206" t="s">
        <v>123</v>
      </c>
      <c r="AH43" s="1291"/>
      <c r="AI43" s="1291"/>
      <c r="AJ43" s="1199" t="str">
        <f t="shared" si="3"/>
        <v/>
      </c>
      <c r="AK43" s="1208"/>
      <c r="AL43" s="1208"/>
      <c r="AM43" s="1292"/>
      <c r="AN43" s="1288"/>
      <c r="AO43" s="1288"/>
      <c r="AP43" s="1289"/>
      <c r="AQ43" s="1255"/>
      <c r="AR43" s="1204" t="s">
        <v>123</v>
      </c>
      <c r="AS43" s="1204" t="s">
        <v>123</v>
      </c>
      <c r="AT43" s="1206" t="s">
        <v>123</v>
      </c>
      <c r="AU43" s="1206"/>
      <c r="AV43" s="1206" t="s">
        <v>123</v>
      </c>
      <c r="AW43" s="1291"/>
      <c r="AX43" s="1291"/>
      <c r="AY43" s="1199" t="str">
        <f t="shared" si="4"/>
        <v/>
      </c>
      <c r="AZ43" s="1208"/>
      <c r="BA43" s="1223"/>
      <c r="BB43" s="1259"/>
      <c r="BC43" s="1209"/>
      <c r="BD43" s="1253"/>
      <c r="BE43" s="1252"/>
      <c r="BF43" s="1212"/>
      <c r="BG43" s="1204" t="s">
        <v>123</v>
      </c>
      <c r="BH43" s="1204" t="s">
        <v>123</v>
      </c>
      <c r="BI43" s="1206" t="s">
        <v>123</v>
      </c>
      <c r="BJ43" s="1206"/>
      <c r="BK43" s="1206" t="s">
        <v>123</v>
      </c>
      <c r="BL43" s="1291"/>
      <c r="BM43" s="1291"/>
      <c r="BN43" s="1199" t="str">
        <f t="shared" si="5"/>
        <v/>
      </c>
      <c r="BO43" s="1208"/>
      <c r="BP43" s="1258"/>
      <c r="BQ43" s="1234"/>
      <c r="BR43" s="1209"/>
      <c r="BS43" s="1209"/>
      <c r="BT43" s="1212"/>
      <c r="BU43" s="1242"/>
      <c r="BV43" s="1204" t="s">
        <v>123</v>
      </c>
      <c r="BW43" s="1204" t="s">
        <v>123</v>
      </c>
      <c r="BX43" s="1206" t="s">
        <v>123</v>
      </c>
      <c r="BY43" s="1206"/>
      <c r="BZ43" s="1206" t="s">
        <v>123</v>
      </c>
      <c r="CA43" s="1291"/>
      <c r="CB43" s="1291"/>
      <c r="CC43" s="1199" t="str">
        <f t="shared" si="6"/>
        <v/>
      </c>
      <c r="CD43" s="1208"/>
      <c r="CE43" s="1208"/>
      <c r="CF43" s="1292"/>
      <c r="CG43" s="1288"/>
      <c r="CH43" s="1288"/>
      <c r="CI43" s="1289"/>
      <c r="CJ43" s="1255"/>
      <c r="CK43" s="1204" t="s">
        <v>123</v>
      </c>
      <c r="CL43" s="1204" t="s">
        <v>123</v>
      </c>
      <c r="CM43" s="1206" t="s">
        <v>123</v>
      </c>
      <c r="CN43" s="1206"/>
      <c r="CO43" s="1206" t="s">
        <v>123</v>
      </c>
      <c r="CP43" s="1291"/>
      <c r="CQ43" s="1291"/>
      <c r="CR43" s="1199" t="str">
        <f t="shared" si="7"/>
        <v/>
      </c>
      <c r="CS43" s="1208"/>
      <c r="CT43" s="1208"/>
      <c r="CU43" s="1292"/>
      <c r="CV43" s="1288"/>
      <c r="CW43" s="1288"/>
      <c r="CX43" s="1289"/>
      <c r="CY43" s="1255"/>
      <c r="CZ43" s="1204" t="s">
        <v>123</v>
      </c>
      <c r="DA43" s="1204" t="s">
        <v>123</v>
      </c>
      <c r="DB43" s="1206" t="s">
        <v>123</v>
      </c>
      <c r="DC43" s="1206"/>
      <c r="DD43" s="1206" t="s">
        <v>123</v>
      </c>
      <c r="DE43" s="1291"/>
      <c r="DF43" s="1291"/>
      <c r="DG43" s="1199" t="str">
        <f t="shared" si="8"/>
        <v/>
      </c>
      <c r="DH43" s="1208"/>
      <c r="DI43" s="1223"/>
      <c r="DJ43" s="1296"/>
      <c r="DK43" s="1253"/>
      <c r="DL43" s="1253"/>
      <c r="DM43" s="1267"/>
      <c r="DN43" s="1241"/>
      <c r="DO43" s="1204" t="s">
        <v>123</v>
      </c>
      <c r="DP43" s="1204" t="s">
        <v>123</v>
      </c>
      <c r="DQ43" s="1206" t="s">
        <v>123</v>
      </c>
      <c r="DR43" s="1206"/>
      <c r="DS43" s="1206" t="s">
        <v>123</v>
      </c>
      <c r="DT43" s="1291"/>
      <c r="DU43" s="1291"/>
      <c r="DV43" s="1199" t="str">
        <f t="shared" si="9"/>
        <v/>
      </c>
      <c r="DW43" s="1208"/>
      <c r="DX43" s="1208"/>
      <c r="DY43" s="1292"/>
      <c r="DZ43" s="1288"/>
      <c r="EA43" s="1288"/>
      <c r="EB43" s="1289"/>
      <c r="EC43" s="1255"/>
      <c r="ED43" s="1204" t="s">
        <v>123</v>
      </c>
      <c r="EE43" s="1204" t="s">
        <v>123</v>
      </c>
      <c r="EF43" s="1206" t="s">
        <v>123</v>
      </c>
      <c r="EG43" s="1206"/>
      <c r="EH43" s="1206" t="s">
        <v>123</v>
      </c>
      <c r="EI43" s="1291"/>
      <c r="EJ43" s="1291"/>
      <c r="EK43" s="1199" t="str">
        <f t="shared" si="10"/>
        <v/>
      </c>
      <c r="EL43" s="1208"/>
      <c r="EM43" s="1223"/>
      <c r="EN43" s="1234"/>
      <c r="EO43" s="1288"/>
      <c r="EP43" s="1288"/>
      <c r="EQ43" s="1289"/>
      <c r="ER43" s="1255"/>
      <c r="ES43" s="1204" t="s">
        <v>123</v>
      </c>
      <c r="ET43" s="1204" t="s">
        <v>123</v>
      </c>
      <c r="EU43" s="1206" t="s">
        <v>123</v>
      </c>
      <c r="EV43" s="1206"/>
      <c r="EW43" s="1206" t="s">
        <v>123</v>
      </c>
      <c r="EX43" s="1291"/>
      <c r="EY43" s="1291"/>
      <c r="EZ43" s="1199" t="str">
        <f t="shared" si="11"/>
        <v/>
      </c>
      <c r="FA43" s="1208"/>
      <c r="FB43" s="1223"/>
      <c r="FC43" s="1234"/>
      <c r="FD43" s="1288"/>
      <c r="FE43" s="1288"/>
      <c r="FF43" s="1289"/>
      <c r="FG43" s="1255"/>
      <c r="FH43" s="1204" t="s">
        <v>123</v>
      </c>
      <c r="FI43" s="1204" t="s">
        <v>123</v>
      </c>
      <c r="FJ43" s="1206" t="s">
        <v>123</v>
      </c>
      <c r="FK43" s="1206"/>
      <c r="FL43" s="1206" t="s">
        <v>123</v>
      </c>
      <c r="FM43" s="1291"/>
      <c r="FN43" s="1291"/>
      <c r="FO43" s="1199" t="str">
        <f t="shared" si="12"/>
        <v/>
      </c>
      <c r="FP43" s="1208"/>
      <c r="FQ43" s="1208"/>
      <c r="FR43" s="1292"/>
      <c r="FS43" s="1288"/>
      <c r="FT43" s="1288"/>
      <c r="FU43" s="1289"/>
      <c r="FV43" s="1255"/>
      <c r="FW43" s="1204" t="s">
        <v>123</v>
      </c>
      <c r="FX43" s="1204" t="s">
        <v>123</v>
      </c>
      <c r="FY43" s="1206" t="s">
        <v>123</v>
      </c>
      <c r="FZ43" s="1206"/>
      <c r="GA43" s="1206" t="s">
        <v>123</v>
      </c>
      <c r="GB43" s="1291"/>
      <c r="GC43" s="1291"/>
      <c r="GD43" s="1199" t="str">
        <f t="shared" si="13"/>
        <v/>
      </c>
      <c r="GE43" s="1208"/>
      <c r="GF43" s="1208"/>
      <c r="GG43" s="1292"/>
      <c r="GH43" s="1288"/>
      <c r="GI43" s="1288"/>
      <c r="GJ43" s="1289"/>
      <c r="GK43" s="1255"/>
      <c r="GL43" s="1204" t="s">
        <v>123</v>
      </c>
      <c r="GM43" s="1204" t="s">
        <v>123</v>
      </c>
      <c r="GN43" s="1206" t="s">
        <v>123</v>
      </c>
      <c r="GO43" s="1206"/>
      <c r="GP43" s="1206" t="s">
        <v>123</v>
      </c>
      <c r="GQ43" s="1291"/>
      <c r="GR43" s="1291"/>
      <c r="GS43" s="1199" t="str">
        <f t="shared" si="14"/>
        <v/>
      </c>
      <c r="GT43" s="1208"/>
      <c r="GU43" s="1208"/>
      <c r="GV43" s="1292"/>
      <c r="GW43" s="1288"/>
      <c r="GX43" s="1288"/>
      <c r="GY43" s="1289"/>
      <c r="GZ43" s="1255"/>
      <c r="HA43" s="1204" t="s">
        <v>123</v>
      </c>
      <c r="HB43" s="1204" t="s">
        <v>123</v>
      </c>
      <c r="HC43" s="1206" t="s">
        <v>123</v>
      </c>
      <c r="HD43" s="1206"/>
      <c r="HE43" s="1206" t="s">
        <v>123</v>
      </c>
      <c r="HF43" s="1291"/>
      <c r="HG43" s="1291"/>
      <c r="HH43" s="1199" t="str">
        <f t="shared" si="15"/>
        <v/>
      </c>
      <c r="HI43" s="1208"/>
      <c r="HJ43" s="1208"/>
      <c r="HK43" s="1292"/>
      <c r="HL43" s="1288"/>
      <c r="HM43" s="1288"/>
      <c r="HN43" s="1289"/>
      <c r="HO43" s="1255"/>
      <c r="HP43" s="1204" t="s">
        <v>123</v>
      </c>
      <c r="HQ43" s="1204" t="s">
        <v>123</v>
      </c>
      <c r="HR43" s="1206" t="s">
        <v>123</v>
      </c>
      <c r="HS43" s="1206"/>
      <c r="HT43" s="1206" t="s">
        <v>123</v>
      </c>
      <c r="HU43" s="1291"/>
      <c r="HV43" s="1291"/>
      <c r="HW43" s="1227"/>
    </row>
    <row r="44" ht="15.75" customHeight="1">
      <c r="A44" s="1297"/>
      <c r="B44" s="1298"/>
      <c r="C44" s="1298"/>
      <c r="D44" s="1297"/>
      <c r="E44" s="1299"/>
      <c r="F44" s="1199" t="str">
        <f t="shared" si="1"/>
        <v/>
      </c>
      <c r="G44" s="1287"/>
      <c r="H44" s="1208"/>
      <c r="I44" s="1234"/>
      <c r="J44" s="1209"/>
      <c r="K44" s="1209"/>
      <c r="L44" s="1212"/>
      <c r="M44" s="1203"/>
      <c r="N44" s="1230" t="s">
        <v>123</v>
      </c>
      <c r="O44" s="1230" t="s">
        <v>123</v>
      </c>
      <c r="P44" s="1231" t="s">
        <v>123</v>
      </c>
      <c r="Q44" s="1291"/>
      <c r="R44" s="1291" t="s">
        <v>123</v>
      </c>
      <c r="S44" s="1291"/>
      <c r="T44" s="1291"/>
      <c r="U44" s="1199" t="str">
        <f t="shared" si="2"/>
        <v/>
      </c>
      <c r="V44" s="1208"/>
      <c r="W44" s="1208"/>
      <c r="X44" s="1201"/>
      <c r="Y44" s="1209"/>
      <c r="Z44" s="1209"/>
      <c r="AA44" s="1210"/>
      <c r="AB44" s="1211"/>
      <c r="AC44" s="1204" t="s">
        <v>123</v>
      </c>
      <c r="AD44" s="1204" t="s">
        <v>123</v>
      </c>
      <c r="AE44" s="1205" t="s">
        <v>123</v>
      </c>
      <c r="AF44" s="1206"/>
      <c r="AG44" s="1206" t="s">
        <v>123</v>
      </c>
      <c r="AH44" s="1291"/>
      <c r="AI44" s="1291"/>
      <c r="AJ44" s="1199" t="str">
        <f t="shared" si="3"/>
        <v/>
      </c>
      <c r="AK44" s="1208"/>
      <c r="AL44" s="1208"/>
      <c r="AM44" s="1292"/>
      <c r="AN44" s="1288"/>
      <c r="AO44" s="1288"/>
      <c r="AP44" s="1289"/>
      <c r="AQ44" s="1255"/>
      <c r="AR44" s="1204" t="s">
        <v>123</v>
      </c>
      <c r="AS44" s="1204" t="s">
        <v>123</v>
      </c>
      <c r="AT44" s="1206" t="s">
        <v>123</v>
      </c>
      <c r="AU44" s="1206"/>
      <c r="AV44" s="1206" t="s">
        <v>123</v>
      </c>
      <c r="AW44" s="1291"/>
      <c r="AX44" s="1291"/>
      <c r="AY44" s="1199" t="str">
        <f t="shared" si="4"/>
        <v/>
      </c>
      <c r="AZ44" s="1208"/>
      <c r="BA44" s="1223"/>
      <c r="BB44" s="1234"/>
      <c r="BC44" s="1253"/>
      <c r="BD44" s="1253"/>
      <c r="BE44" s="1289"/>
      <c r="BF44" s="1212"/>
      <c r="BG44" s="1204" t="s">
        <v>123</v>
      </c>
      <c r="BH44" s="1204" t="s">
        <v>123</v>
      </c>
      <c r="BI44" s="1206" t="s">
        <v>123</v>
      </c>
      <c r="BJ44" s="1206"/>
      <c r="BK44" s="1206" t="s">
        <v>123</v>
      </c>
      <c r="BL44" s="1291"/>
      <c r="BM44" s="1291"/>
      <c r="BN44" s="1199" t="str">
        <f t="shared" si="5"/>
        <v/>
      </c>
      <c r="BO44" s="1208"/>
      <c r="BP44" s="1223"/>
      <c r="BQ44" s="1234"/>
      <c r="BR44" s="1209"/>
      <c r="BS44" s="1209"/>
      <c r="BT44" s="1212"/>
      <c r="BU44" s="1242"/>
      <c r="BV44" s="1204" t="s">
        <v>123</v>
      </c>
      <c r="BW44" s="1204" t="s">
        <v>123</v>
      </c>
      <c r="BX44" s="1206" t="s">
        <v>123</v>
      </c>
      <c r="BY44" s="1206"/>
      <c r="BZ44" s="1206" t="s">
        <v>123</v>
      </c>
      <c r="CA44" s="1291"/>
      <c r="CB44" s="1291"/>
      <c r="CC44" s="1199" t="str">
        <f t="shared" si="6"/>
        <v/>
      </c>
      <c r="CD44" s="1208"/>
      <c r="CE44" s="1208"/>
      <c r="CF44" s="1292"/>
      <c r="CG44" s="1288"/>
      <c r="CH44" s="1288"/>
      <c r="CI44" s="1289"/>
      <c r="CJ44" s="1255"/>
      <c r="CK44" s="1204" t="s">
        <v>123</v>
      </c>
      <c r="CL44" s="1204" t="s">
        <v>123</v>
      </c>
      <c r="CM44" s="1206" t="s">
        <v>123</v>
      </c>
      <c r="CN44" s="1206"/>
      <c r="CO44" s="1206" t="s">
        <v>123</v>
      </c>
      <c r="CP44" s="1291"/>
      <c r="CQ44" s="1291"/>
      <c r="CR44" s="1199" t="str">
        <f t="shared" si="7"/>
        <v/>
      </c>
      <c r="CS44" s="1208"/>
      <c r="CT44" s="1208"/>
      <c r="CU44" s="1292"/>
      <c r="CV44" s="1288"/>
      <c r="CW44" s="1288"/>
      <c r="CX44" s="1289"/>
      <c r="CY44" s="1255"/>
      <c r="CZ44" s="1204" t="s">
        <v>123</v>
      </c>
      <c r="DA44" s="1204" t="s">
        <v>123</v>
      </c>
      <c r="DB44" s="1206" t="s">
        <v>123</v>
      </c>
      <c r="DC44" s="1206"/>
      <c r="DD44" s="1206" t="s">
        <v>123</v>
      </c>
      <c r="DE44" s="1291"/>
      <c r="DF44" s="1291"/>
      <c r="DG44" s="1199" t="str">
        <f t="shared" si="8"/>
        <v/>
      </c>
      <c r="DH44" s="1208"/>
      <c r="DI44" s="1213"/>
      <c r="DJ44" s="1301"/>
      <c r="DK44" s="1279"/>
      <c r="DL44" s="1202"/>
      <c r="DM44" s="1252"/>
      <c r="DN44" s="1241"/>
      <c r="DO44" s="1204" t="s">
        <v>123</v>
      </c>
      <c r="DP44" s="1204" t="s">
        <v>123</v>
      </c>
      <c r="DQ44" s="1206" t="s">
        <v>123</v>
      </c>
      <c r="DR44" s="1206"/>
      <c r="DS44" s="1206" t="s">
        <v>123</v>
      </c>
      <c r="DT44" s="1291"/>
      <c r="DU44" s="1291"/>
      <c r="DV44" s="1199" t="str">
        <f t="shared" si="9"/>
        <v/>
      </c>
      <c r="DW44" s="1208"/>
      <c r="DX44" s="1208"/>
      <c r="DY44" s="1292"/>
      <c r="DZ44" s="1288"/>
      <c r="EA44" s="1288"/>
      <c r="EB44" s="1289"/>
      <c r="EC44" s="1255"/>
      <c r="ED44" s="1204" t="s">
        <v>123</v>
      </c>
      <c r="EE44" s="1204" t="s">
        <v>123</v>
      </c>
      <c r="EF44" s="1206" t="s">
        <v>123</v>
      </c>
      <c r="EG44" s="1206"/>
      <c r="EH44" s="1206" t="s">
        <v>123</v>
      </c>
      <c r="EI44" s="1291"/>
      <c r="EJ44" s="1291"/>
      <c r="EK44" s="1199" t="str">
        <f t="shared" si="10"/>
        <v/>
      </c>
      <c r="EL44" s="1208"/>
      <c r="EM44" s="1223"/>
      <c r="EN44" s="1234"/>
      <c r="EO44" s="1288"/>
      <c r="EP44" s="1288"/>
      <c r="EQ44" s="1289"/>
      <c r="ER44" s="1255"/>
      <c r="ES44" s="1204" t="s">
        <v>123</v>
      </c>
      <c r="ET44" s="1204" t="s">
        <v>123</v>
      </c>
      <c r="EU44" s="1206" t="s">
        <v>123</v>
      </c>
      <c r="EV44" s="1206"/>
      <c r="EW44" s="1206" t="s">
        <v>123</v>
      </c>
      <c r="EX44" s="1291"/>
      <c r="EY44" s="1291"/>
      <c r="EZ44" s="1199" t="str">
        <f t="shared" si="11"/>
        <v/>
      </c>
      <c r="FA44" s="1208"/>
      <c r="FB44" s="1223"/>
      <c r="FC44" s="1234"/>
      <c r="FD44" s="1288"/>
      <c r="FE44" s="1288"/>
      <c r="FF44" s="1289"/>
      <c r="FG44" s="1255"/>
      <c r="FH44" s="1204" t="s">
        <v>123</v>
      </c>
      <c r="FI44" s="1204" t="s">
        <v>123</v>
      </c>
      <c r="FJ44" s="1206" t="s">
        <v>123</v>
      </c>
      <c r="FK44" s="1206"/>
      <c r="FL44" s="1206" t="s">
        <v>123</v>
      </c>
      <c r="FM44" s="1291"/>
      <c r="FN44" s="1291"/>
      <c r="FO44" s="1199" t="str">
        <f t="shared" si="12"/>
        <v/>
      </c>
      <c r="FP44" s="1208"/>
      <c r="FQ44" s="1208"/>
      <c r="FR44" s="1292"/>
      <c r="FS44" s="1288"/>
      <c r="FT44" s="1288"/>
      <c r="FU44" s="1289"/>
      <c r="FV44" s="1255"/>
      <c r="FW44" s="1204" t="s">
        <v>123</v>
      </c>
      <c r="FX44" s="1204" t="s">
        <v>123</v>
      </c>
      <c r="FY44" s="1206" t="s">
        <v>123</v>
      </c>
      <c r="FZ44" s="1206"/>
      <c r="GA44" s="1206" t="s">
        <v>123</v>
      </c>
      <c r="GB44" s="1291"/>
      <c r="GC44" s="1291"/>
      <c r="GD44" s="1199" t="str">
        <f t="shared" si="13"/>
        <v/>
      </c>
      <c r="GE44" s="1208"/>
      <c r="GF44" s="1208"/>
      <c r="GG44" s="1292"/>
      <c r="GH44" s="1288"/>
      <c r="GI44" s="1288"/>
      <c r="GJ44" s="1289"/>
      <c r="GK44" s="1255"/>
      <c r="GL44" s="1204" t="s">
        <v>123</v>
      </c>
      <c r="GM44" s="1204" t="s">
        <v>123</v>
      </c>
      <c r="GN44" s="1206" t="s">
        <v>123</v>
      </c>
      <c r="GO44" s="1206"/>
      <c r="GP44" s="1206" t="s">
        <v>123</v>
      </c>
      <c r="GQ44" s="1291"/>
      <c r="GR44" s="1291"/>
      <c r="GS44" s="1199" t="str">
        <f t="shared" si="14"/>
        <v/>
      </c>
      <c r="GT44" s="1208"/>
      <c r="GU44" s="1208"/>
      <c r="GV44" s="1292"/>
      <c r="GW44" s="1288"/>
      <c r="GX44" s="1288"/>
      <c r="GY44" s="1289"/>
      <c r="GZ44" s="1255"/>
      <c r="HA44" s="1204" t="s">
        <v>123</v>
      </c>
      <c r="HB44" s="1204" t="s">
        <v>123</v>
      </c>
      <c r="HC44" s="1206" t="s">
        <v>123</v>
      </c>
      <c r="HD44" s="1206"/>
      <c r="HE44" s="1206" t="s">
        <v>123</v>
      </c>
      <c r="HF44" s="1291"/>
      <c r="HG44" s="1291"/>
      <c r="HH44" s="1199" t="str">
        <f t="shared" si="15"/>
        <v/>
      </c>
      <c r="HI44" s="1208"/>
      <c r="HJ44" s="1208"/>
      <c r="HK44" s="1292"/>
      <c r="HL44" s="1288"/>
      <c r="HM44" s="1288"/>
      <c r="HN44" s="1289"/>
      <c r="HO44" s="1255"/>
      <c r="HP44" s="1204" t="s">
        <v>123</v>
      </c>
      <c r="HQ44" s="1204" t="s">
        <v>123</v>
      </c>
      <c r="HR44" s="1206" t="s">
        <v>123</v>
      </c>
      <c r="HS44" s="1206"/>
      <c r="HT44" s="1206" t="s">
        <v>123</v>
      </c>
      <c r="HU44" s="1291"/>
      <c r="HV44" s="1291"/>
      <c r="HW44" s="1227"/>
    </row>
    <row r="45" ht="15.75" customHeight="1">
      <c r="A45" s="1297"/>
      <c r="B45" s="1298"/>
      <c r="C45" s="1298"/>
      <c r="D45" s="1297"/>
      <c r="E45" s="1299"/>
      <c r="F45" s="1199" t="str">
        <f t="shared" si="1"/>
        <v/>
      </c>
      <c r="G45" s="1287"/>
      <c r="H45" s="1208"/>
      <c r="I45" s="1259"/>
      <c r="J45" s="1209"/>
      <c r="K45" s="1209"/>
      <c r="L45" s="1212"/>
      <c r="M45" s="1203"/>
      <c r="N45" s="1230" t="s">
        <v>123</v>
      </c>
      <c r="O45" s="1230" t="s">
        <v>123</v>
      </c>
      <c r="P45" s="1231" t="s">
        <v>123</v>
      </c>
      <c r="Q45" s="1291"/>
      <c r="R45" s="1291" t="s">
        <v>123</v>
      </c>
      <c r="S45" s="1291"/>
      <c r="T45" s="1291"/>
      <c r="U45" s="1199" t="str">
        <f t="shared" si="2"/>
        <v/>
      </c>
      <c r="V45" s="1208"/>
      <c r="W45" s="1208"/>
      <c r="X45" s="1201"/>
      <c r="Y45" s="1209"/>
      <c r="Z45" s="1209"/>
      <c r="AA45" s="1210"/>
      <c r="AB45" s="1211"/>
      <c r="AC45" s="1204" t="s">
        <v>123</v>
      </c>
      <c r="AD45" s="1204" t="s">
        <v>123</v>
      </c>
      <c r="AE45" s="1205" t="s">
        <v>123</v>
      </c>
      <c r="AF45" s="1206"/>
      <c r="AG45" s="1206" t="s">
        <v>123</v>
      </c>
      <c r="AH45" s="1291"/>
      <c r="AI45" s="1291"/>
      <c r="AJ45" s="1199" t="str">
        <f t="shared" si="3"/>
        <v/>
      </c>
      <c r="AK45" s="1208"/>
      <c r="AL45" s="1208"/>
      <c r="AM45" s="1292"/>
      <c r="AN45" s="1288"/>
      <c r="AO45" s="1288"/>
      <c r="AP45" s="1289"/>
      <c r="AQ45" s="1255"/>
      <c r="AR45" s="1204" t="s">
        <v>123</v>
      </c>
      <c r="AS45" s="1204" t="s">
        <v>123</v>
      </c>
      <c r="AT45" s="1206" t="s">
        <v>123</v>
      </c>
      <c r="AU45" s="1206"/>
      <c r="AV45" s="1206" t="s">
        <v>123</v>
      </c>
      <c r="AW45" s="1291"/>
      <c r="AX45" s="1291"/>
      <c r="AY45" s="1199" t="str">
        <f t="shared" si="4"/>
        <v/>
      </c>
      <c r="AZ45" s="1208"/>
      <c r="BA45" s="1223"/>
      <c r="BB45" s="1234"/>
      <c r="BC45" s="1253"/>
      <c r="BD45" s="1253"/>
      <c r="BE45" s="1252"/>
      <c r="BF45" s="1212"/>
      <c r="BG45" s="1204" t="s">
        <v>123</v>
      </c>
      <c r="BH45" s="1204" t="s">
        <v>123</v>
      </c>
      <c r="BI45" s="1206" t="s">
        <v>123</v>
      </c>
      <c r="BJ45" s="1206"/>
      <c r="BK45" s="1206" t="s">
        <v>123</v>
      </c>
      <c r="BL45" s="1291"/>
      <c r="BM45" s="1291"/>
      <c r="BN45" s="1199" t="str">
        <f t="shared" si="5"/>
        <v/>
      </c>
      <c r="BO45" s="1208"/>
      <c r="BP45" s="1208"/>
      <c r="BQ45" s="1234"/>
      <c r="BR45" s="1224"/>
      <c r="BS45" s="1253"/>
      <c r="BT45" s="1210"/>
      <c r="BU45" s="1241"/>
      <c r="BV45" s="1204" t="s">
        <v>123</v>
      </c>
      <c r="BW45" s="1204" t="s">
        <v>123</v>
      </c>
      <c r="BX45" s="1206" t="s">
        <v>123</v>
      </c>
      <c r="BY45" s="1206"/>
      <c r="BZ45" s="1206" t="s">
        <v>123</v>
      </c>
      <c r="CA45" s="1291"/>
      <c r="CB45" s="1291"/>
      <c r="CC45" s="1199" t="str">
        <f t="shared" si="6"/>
        <v/>
      </c>
      <c r="CD45" s="1208"/>
      <c r="CE45" s="1208"/>
      <c r="CF45" s="1292"/>
      <c r="CG45" s="1288"/>
      <c r="CH45" s="1288"/>
      <c r="CI45" s="1289"/>
      <c r="CJ45" s="1255"/>
      <c r="CK45" s="1204" t="s">
        <v>123</v>
      </c>
      <c r="CL45" s="1204" t="s">
        <v>123</v>
      </c>
      <c r="CM45" s="1206" t="s">
        <v>123</v>
      </c>
      <c r="CN45" s="1206"/>
      <c r="CO45" s="1206" t="s">
        <v>123</v>
      </c>
      <c r="CP45" s="1291"/>
      <c r="CQ45" s="1291"/>
      <c r="CR45" s="1199" t="str">
        <f t="shared" si="7"/>
        <v/>
      </c>
      <c r="CS45" s="1208"/>
      <c r="CT45" s="1208"/>
      <c r="CU45" s="1292"/>
      <c r="CV45" s="1288"/>
      <c r="CW45" s="1288"/>
      <c r="CX45" s="1289"/>
      <c r="CY45" s="1255"/>
      <c r="CZ45" s="1204" t="s">
        <v>123</v>
      </c>
      <c r="DA45" s="1204" t="s">
        <v>123</v>
      </c>
      <c r="DB45" s="1206" t="s">
        <v>123</v>
      </c>
      <c r="DC45" s="1206"/>
      <c r="DD45" s="1206" t="s">
        <v>123</v>
      </c>
      <c r="DE45" s="1291"/>
      <c r="DF45" s="1291"/>
      <c r="DG45" s="1199" t="str">
        <f t="shared" si="8"/>
        <v/>
      </c>
      <c r="DH45" s="1208"/>
      <c r="DI45" s="1223"/>
      <c r="DJ45" s="1294"/>
      <c r="DK45" s="1209"/>
      <c r="DL45" s="1209"/>
      <c r="DM45" s="1267"/>
      <c r="DN45" s="1241"/>
      <c r="DO45" s="1204" t="s">
        <v>123</v>
      </c>
      <c r="DP45" s="1204" t="s">
        <v>123</v>
      </c>
      <c r="DQ45" s="1206" t="s">
        <v>123</v>
      </c>
      <c r="DR45" s="1206"/>
      <c r="DS45" s="1206" t="s">
        <v>123</v>
      </c>
      <c r="DT45" s="1291"/>
      <c r="DU45" s="1291"/>
      <c r="DV45" s="1199" t="str">
        <f t="shared" si="9"/>
        <v/>
      </c>
      <c r="DW45" s="1208"/>
      <c r="DX45" s="1208"/>
      <c r="DY45" s="1292"/>
      <c r="DZ45" s="1288"/>
      <c r="EA45" s="1288"/>
      <c r="EB45" s="1289"/>
      <c r="EC45" s="1255"/>
      <c r="ED45" s="1204" t="s">
        <v>123</v>
      </c>
      <c r="EE45" s="1204" t="s">
        <v>123</v>
      </c>
      <c r="EF45" s="1206" t="s">
        <v>123</v>
      </c>
      <c r="EG45" s="1206"/>
      <c r="EH45" s="1206" t="s">
        <v>123</v>
      </c>
      <c r="EI45" s="1291"/>
      <c r="EJ45" s="1291"/>
      <c r="EK45" s="1199" t="str">
        <f t="shared" si="10"/>
        <v/>
      </c>
      <c r="EL45" s="1208"/>
      <c r="EM45" s="1223"/>
      <c r="EN45" s="1234"/>
      <c r="EO45" s="1288"/>
      <c r="EP45" s="1288"/>
      <c r="EQ45" s="1289"/>
      <c r="ER45" s="1255"/>
      <c r="ES45" s="1204" t="s">
        <v>123</v>
      </c>
      <c r="ET45" s="1204" t="s">
        <v>123</v>
      </c>
      <c r="EU45" s="1206" t="s">
        <v>123</v>
      </c>
      <c r="EV45" s="1206"/>
      <c r="EW45" s="1206" t="s">
        <v>123</v>
      </c>
      <c r="EX45" s="1291"/>
      <c r="EY45" s="1291"/>
      <c r="EZ45" s="1199" t="str">
        <f t="shared" si="11"/>
        <v/>
      </c>
      <c r="FA45" s="1208"/>
      <c r="FB45" s="1223"/>
      <c r="FC45" s="1234"/>
      <c r="FD45" s="1288"/>
      <c r="FE45" s="1288"/>
      <c r="FF45" s="1289"/>
      <c r="FG45" s="1255"/>
      <c r="FH45" s="1204" t="s">
        <v>123</v>
      </c>
      <c r="FI45" s="1204" t="s">
        <v>123</v>
      </c>
      <c r="FJ45" s="1206" t="s">
        <v>123</v>
      </c>
      <c r="FK45" s="1206"/>
      <c r="FL45" s="1206" t="s">
        <v>123</v>
      </c>
      <c r="FM45" s="1291"/>
      <c r="FN45" s="1291"/>
      <c r="FO45" s="1199" t="str">
        <f t="shared" si="12"/>
        <v/>
      </c>
      <c r="FP45" s="1208"/>
      <c r="FQ45" s="1208"/>
      <c r="FR45" s="1292"/>
      <c r="FS45" s="1288"/>
      <c r="FT45" s="1288"/>
      <c r="FU45" s="1289"/>
      <c r="FV45" s="1255"/>
      <c r="FW45" s="1204" t="s">
        <v>123</v>
      </c>
      <c r="FX45" s="1204" t="s">
        <v>123</v>
      </c>
      <c r="FY45" s="1206" t="s">
        <v>123</v>
      </c>
      <c r="FZ45" s="1206"/>
      <c r="GA45" s="1206" t="s">
        <v>123</v>
      </c>
      <c r="GB45" s="1291"/>
      <c r="GC45" s="1291"/>
      <c r="GD45" s="1199" t="str">
        <f t="shared" si="13"/>
        <v/>
      </c>
      <c r="GE45" s="1208"/>
      <c r="GF45" s="1208"/>
      <c r="GG45" s="1292"/>
      <c r="GH45" s="1288"/>
      <c r="GI45" s="1288"/>
      <c r="GJ45" s="1289"/>
      <c r="GK45" s="1255"/>
      <c r="GL45" s="1204" t="s">
        <v>123</v>
      </c>
      <c r="GM45" s="1204" t="s">
        <v>123</v>
      </c>
      <c r="GN45" s="1206" t="s">
        <v>123</v>
      </c>
      <c r="GO45" s="1206"/>
      <c r="GP45" s="1206" t="s">
        <v>123</v>
      </c>
      <c r="GQ45" s="1291"/>
      <c r="GR45" s="1291"/>
      <c r="GS45" s="1199" t="str">
        <f t="shared" si="14"/>
        <v/>
      </c>
      <c r="GT45" s="1208"/>
      <c r="GU45" s="1208"/>
      <c r="GV45" s="1292"/>
      <c r="GW45" s="1288"/>
      <c r="GX45" s="1288"/>
      <c r="GY45" s="1289"/>
      <c r="GZ45" s="1255"/>
      <c r="HA45" s="1204" t="s">
        <v>123</v>
      </c>
      <c r="HB45" s="1204" t="s">
        <v>123</v>
      </c>
      <c r="HC45" s="1206" t="s">
        <v>123</v>
      </c>
      <c r="HD45" s="1206"/>
      <c r="HE45" s="1206" t="s">
        <v>123</v>
      </c>
      <c r="HF45" s="1291"/>
      <c r="HG45" s="1291"/>
      <c r="HH45" s="1199" t="str">
        <f t="shared" si="15"/>
        <v/>
      </c>
      <c r="HI45" s="1208"/>
      <c r="HJ45" s="1208"/>
      <c r="HK45" s="1292"/>
      <c r="HL45" s="1288"/>
      <c r="HM45" s="1288"/>
      <c r="HN45" s="1289"/>
      <c r="HO45" s="1255"/>
      <c r="HP45" s="1204" t="s">
        <v>123</v>
      </c>
      <c r="HQ45" s="1204" t="s">
        <v>123</v>
      </c>
      <c r="HR45" s="1206" t="s">
        <v>123</v>
      </c>
      <c r="HS45" s="1206"/>
      <c r="HT45" s="1206" t="s">
        <v>123</v>
      </c>
      <c r="HU45" s="1291"/>
      <c r="HV45" s="1291"/>
      <c r="HW45" s="1227"/>
    </row>
    <row r="46" ht="15.75" customHeight="1">
      <c r="A46" s="1297"/>
      <c r="B46" s="1298"/>
      <c r="C46" s="1298"/>
      <c r="D46" s="1297"/>
      <c r="E46" s="1299"/>
      <c r="F46" s="1199" t="str">
        <f t="shared" si="1"/>
        <v/>
      </c>
      <c r="G46" s="1287"/>
      <c r="H46" s="1208"/>
      <c r="I46" s="1259"/>
      <c r="J46" s="1209"/>
      <c r="K46" s="1209"/>
      <c r="L46" s="1212"/>
      <c r="M46" s="1203"/>
      <c r="N46" s="1230" t="s">
        <v>123</v>
      </c>
      <c r="O46" s="1230" t="s">
        <v>123</v>
      </c>
      <c r="P46" s="1231" t="s">
        <v>123</v>
      </c>
      <c r="Q46" s="1291"/>
      <c r="R46" s="1291" t="s">
        <v>123</v>
      </c>
      <c r="S46" s="1291"/>
      <c r="T46" s="1291"/>
      <c r="U46" s="1199" t="str">
        <f t="shared" si="2"/>
        <v/>
      </c>
      <c r="V46" s="1208"/>
      <c r="W46" s="1208"/>
      <c r="X46" s="1201"/>
      <c r="Y46" s="1209"/>
      <c r="Z46" s="1209"/>
      <c r="AA46" s="1210"/>
      <c r="AB46" s="1211"/>
      <c r="AC46" s="1204" t="s">
        <v>123</v>
      </c>
      <c r="AD46" s="1204" t="s">
        <v>123</v>
      </c>
      <c r="AE46" s="1205" t="s">
        <v>123</v>
      </c>
      <c r="AF46" s="1206"/>
      <c r="AG46" s="1206" t="s">
        <v>123</v>
      </c>
      <c r="AH46" s="1291"/>
      <c r="AI46" s="1291"/>
      <c r="AJ46" s="1199" t="str">
        <f t="shared" si="3"/>
        <v/>
      </c>
      <c r="AK46" s="1208"/>
      <c r="AL46" s="1208"/>
      <c r="AM46" s="1292"/>
      <c r="AN46" s="1288"/>
      <c r="AO46" s="1288"/>
      <c r="AP46" s="1289"/>
      <c r="AQ46" s="1255"/>
      <c r="AR46" s="1204" t="s">
        <v>123</v>
      </c>
      <c r="AS46" s="1204" t="s">
        <v>123</v>
      </c>
      <c r="AT46" s="1206" t="s">
        <v>123</v>
      </c>
      <c r="AU46" s="1206"/>
      <c r="AV46" s="1206" t="s">
        <v>123</v>
      </c>
      <c r="AW46" s="1291"/>
      <c r="AX46" s="1291"/>
      <c r="AY46" s="1199" t="str">
        <f t="shared" si="4"/>
        <v/>
      </c>
      <c r="AZ46" s="1208"/>
      <c r="BA46" s="1223"/>
      <c r="BB46" s="1234"/>
      <c r="BC46" s="1253"/>
      <c r="BD46" s="1253"/>
      <c r="BE46" s="1252"/>
      <c r="BF46" s="1252"/>
      <c r="BG46" s="1204" t="s">
        <v>123</v>
      </c>
      <c r="BH46" s="1204" t="s">
        <v>123</v>
      </c>
      <c r="BI46" s="1206" t="s">
        <v>123</v>
      </c>
      <c r="BJ46" s="1206"/>
      <c r="BK46" s="1206" t="s">
        <v>123</v>
      </c>
      <c r="BL46" s="1291"/>
      <c r="BM46" s="1291"/>
      <c r="BN46" s="1199" t="str">
        <f t="shared" si="5"/>
        <v/>
      </c>
      <c r="BO46" s="1208"/>
      <c r="BP46" s="1208"/>
      <c r="BQ46" s="1234"/>
      <c r="BR46" s="1224"/>
      <c r="BS46" s="1253"/>
      <c r="BT46" s="1210"/>
      <c r="BU46" s="1241"/>
      <c r="BV46" s="1204" t="s">
        <v>123</v>
      </c>
      <c r="BW46" s="1204" t="s">
        <v>123</v>
      </c>
      <c r="BX46" s="1206" t="s">
        <v>123</v>
      </c>
      <c r="BY46" s="1206"/>
      <c r="BZ46" s="1206" t="s">
        <v>123</v>
      </c>
      <c r="CA46" s="1291"/>
      <c r="CB46" s="1291"/>
      <c r="CC46" s="1199" t="str">
        <f t="shared" si="6"/>
        <v/>
      </c>
      <c r="CD46" s="1208"/>
      <c r="CE46" s="1208"/>
      <c r="CF46" s="1292"/>
      <c r="CG46" s="1288"/>
      <c r="CH46" s="1288"/>
      <c r="CI46" s="1289"/>
      <c r="CJ46" s="1255"/>
      <c r="CK46" s="1204" t="s">
        <v>123</v>
      </c>
      <c r="CL46" s="1204" t="s">
        <v>123</v>
      </c>
      <c r="CM46" s="1206" t="s">
        <v>123</v>
      </c>
      <c r="CN46" s="1206"/>
      <c r="CO46" s="1206" t="s">
        <v>123</v>
      </c>
      <c r="CP46" s="1291"/>
      <c r="CQ46" s="1291"/>
      <c r="CR46" s="1199" t="str">
        <f t="shared" si="7"/>
        <v/>
      </c>
      <c r="CS46" s="1208"/>
      <c r="CT46" s="1208"/>
      <c r="CU46" s="1292"/>
      <c r="CV46" s="1288"/>
      <c r="CW46" s="1288"/>
      <c r="CX46" s="1289"/>
      <c r="CY46" s="1255"/>
      <c r="CZ46" s="1204" t="s">
        <v>123</v>
      </c>
      <c r="DA46" s="1204" t="s">
        <v>123</v>
      </c>
      <c r="DB46" s="1206" t="s">
        <v>123</v>
      </c>
      <c r="DC46" s="1206"/>
      <c r="DD46" s="1206" t="s">
        <v>123</v>
      </c>
      <c r="DE46" s="1291"/>
      <c r="DF46" s="1291"/>
      <c r="DG46" s="1199" t="str">
        <f t="shared" si="8"/>
        <v/>
      </c>
      <c r="DH46" s="1208"/>
      <c r="DI46" s="1223"/>
      <c r="DJ46" s="1296"/>
      <c r="DK46" s="1253"/>
      <c r="DL46" s="1209"/>
      <c r="DM46" s="1267"/>
      <c r="DN46" s="1241"/>
      <c r="DO46" s="1204" t="s">
        <v>123</v>
      </c>
      <c r="DP46" s="1204" t="s">
        <v>123</v>
      </c>
      <c r="DQ46" s="1206" t="s">
        <v>123</v>
      </c>
      <c r="DR46" s="1206"/>
      <c r="DS46" s="1206" t="s">
        <v>123</v>
      </c>
      <c r="DT46" s="1291"/>
      <c r="DU46" s="1291"/>
      <c r="DV46" s="1199" t="str">
        <f t="shared" si="9"/>
        <v/>
      </c>
      <c r="DW46" s="1208"/>
      <c r="DX46" s="1208"/>
      <c r="DY46" s="1292"/>
      <c r="DZ46" s="1288"/>
      <c r="EA46" s="1288"/>
      <c r="EB46" s="1289"/>
      <c r="EC46" s="1255"/>
      <c r="ED46" s="1204" t="s">
        <v>123</v>
      </c>
      <c r="EE46" s="1204" t="s">
        <v>123</v>
      </c>
      <c r="EF46" s="1206" t="s">
        <v>123</v>
      </c>
      <c r="EG46" s="1206"/>
      <c r="EH46" s="1206" t="s">
        <v>123</v>
      </c>
      <c r="EI46" s="1291"/>
      <c r="EJ46" s="1291"/>
      <c r="EK46" s="1199" t="str">
        <f t="shared" si="10"/>
        <v/>
      </c>
      <c r="EL46" s="1208"/>
      <c r="EM46" s="1223"/>
      <c r="EN46" s="1234"/>
      <c r="EO46" s="1288"/>
      <c r="EP46" s="1288"/>
      <c r="EQ46" s="1289"/>
      <c r="ER46" s="1255"/>
      <c r="ES46" s="1204" t="s">
        <v>123</v>
      </c>
      <c r="ET46" s="1204" t="s">
        <v>123</v>
      </c>
      <c r="EU46" s="1206" t="s">
        <v>123</v>
      </c>
      <c r="EV46" s="1206"/>
      <c r="EW46" s="1206" t="s">
        <v>123</v>
      </c>
      <c r="EX46" s="1291"/>
      <c r="EY46" s="1291"/>
      <c r="EZ46" s="1199" t="str">
        <f t="shared" si="11"/>
        <v/>
      </c>
      <c r="FA46" s="1208"/>
      <c r="FB46" s="1223"/>
      <c r="FC46" s="1234"/>
      <c r="FD46" s="1288"/>
      <c r="FE46" s="1288"/>
      <c r="FF46" s="1289"/>
      <c r="FG46" s="1255"/>
      <c r="FH46" s="1204" t="s">
        <v>123</v>
      </c>
      <c r="FI46" s="1204" t="s">
        <v>123</v>
      </c>
      <c r="FJ46" s="1206" t="s">
        <v>123</v>
      </c>
      <c r="FK46" s="1206"/>
      <c r="FL46" s="1206" t="s">
        <v>123</v>
      </c>
      <c r="FM46" s="1291"/>
      <c r="FN46" s="1291"/>
      <c r="FO46" s="1199" t="str">
        <f t="shared" si="12"/>
        <v/>
      </c>
      <c r="FP46" s="1208"/>
      <c r="FQ46" s="1208"/>
      <c r="FR46" s="1292"/>
      <c r="FS46" s="1288"/>
      <c r="FT46" s="1288"/>
      <c r="FU46" s="1289"/>
      <c r="FV46" s="1255"/>
      <c r="FW46" s="1204" t="s">
        <v>123</v>
      </c>
      <c r="FX46" s="1204" t="s">
        <v>123</v>
      </c>
      <c r="FY46" s="1206" t="s">
        <v>123</v>
      </c>
      <c r="FZ46" s="1206"/>
      <c r="GA46" s="1206" t="s">
        <v>123</v>
      </c>
      <c r="GB46" s="1291"/>
      <c r="GC46" s="1291"/>
      <c r="GD46" s="1199" t="str">
        <f t="shared" si="13"/>
        <v/>
      </c>
      <c r="GE46" s="1208"/>
      <c r="GF46" s="1208"/>
      <c r="GG46" s="1292"/>
      <c r="GH46" s="1288"/>
      <c r="GI46" s="1288"/>
      <c r="GJ46" s="1289"/>
      <c r="GK46" s="1255"/>
      <c r="GL46" s="1204" t="s">
        <v>123</v>
      </c>
      <c r="GM46" s="1204" t="s">
        <v>123</v>
      </c>
      <c r="GN46" s="1206" t="s">
        <v>123</v>
      </c>
      <c r="GO46" s="1206"/>
      <c r="GP46" s="1206" t="s">
        <v>123</v>
      </c>
      <c r="GQ46" s="1291"/>
      <c r="GR46" s="1291"/>
      <c r="GS46" s="1199" t="str">
        <f t="shared" si="14"/>
        <v/>
      </c>
      <c r="GT46" s="1208"/>
      <c r="GU46" s="1208"/>
      <c r="GV46" s="1292"/>
      <c r="GW46" s="1288"/>
      <c r="GX46" s="1288"/>
      <c r="GY46" s="1289"/>
      <c r="GZ46" s="1255"/>
      <c r="HA46" s="1204" t="s">
        <v>123</v>
      </c>
      <c r="HB46" s="1204" t="s">
        <v>123</v>
      </c>
      <c r="HC46" s="1206" t="s">
        <v>123</v>
      </c>
      <c r="HD46" s="1206"/>
      <c r="HE46" s="1206" t="s">
        <v>123</v>
      </c>
      <c r="HF46" s="1291"/>
      <c r="HG46" s="1291"/>
      <c r="HH46" s="1199" t="str">
        <f t="shared" si="15"/>
        <v/>
      </c>
      <c r="HI46" s="1208"/>
      <c r="HJ46" s="1208"/>
      <c r="HK46" s="1292"/>
      <c r="HL46" s="1288"/>
      <c r="HM46" s="1288"/>
      <c r="HN46" s="1289"/>
      <c r="HO46" s="1255"/>
      <c r="HP46" s="1204" t="s">
        <v>123</v>
      </c>
      <c r="HQ46" s="1204" t="s">
        <v>123</v>
      </c>
      <c r="HR46" s="1206" t="s">
        <v>123</v>
      </c>
      <c r="HS46" s="1206"/>
      <c r="HT46" s="1206" t="s">
        <v>123</v>
      </c>
      <c r="HU46" s="1291"/>
      <c r="HV46" s="1291"/>
      <c r="HW46" s="1227"/>
    </row>
    <row r="47" ht="15.75" customHeight="1">
      <c r="A47" s="1297"/>
      <c r="B47" s="1298"/>
      <c r="C47" s="1298"/>
      <c r="D47" s="1297"/>
      <c r="E47" s="1299"/>
      <c r="F47" s="1199" t="str">
        <f t="shared" si="1"/>
        <v/>
      </c>
      <c r="G47" s="1287"/>
      <c r="H47" s="1208"/>
      <c r="I47" s="1259"/>
      <c r="J47" s="1209"/>
      <c r="K47" s="1209"/>
      <c r="L47" s="1212"/>
      <c r="M47" s="1286"/>
      <c r="N47" s="1230" t="s">
        <v>123</v>
      </c>
      <c r="O47" s="1230" t="s">
        <v>123</v>
      </c>
      <c r="P47" s="1231" t="s">
        <v>123</v>
      </c>
      <c r="Q47" s="1291"/>
      <c r="R47" s="1291" t="s">
        <v>123</v>
      </c>
      <c r="S47" s="1291"/>
      <c r="T47" s="1291"/>
      <c r="U47" s="1199" t="str">
        <f t="shared" si="2"/>
        <v/>
      </c>
      <c r="V47" s="1208"/>
      <c r="W47" s="1208"/>
      <c r="X47" s="1201"/>
      <c r="Y47" s="1209"/>
      <c r="Z47" s="1209"/>
      <c r="AA47" s="1210"/>
      <c r="AB47" s="1211"/>
      <c r="AC47" s="1204" t="s">
        <v>123</v>
      </c>
      <c r="AD47" s="1204" t="s">
        <v>123</v>
      </c>
      <c r="AE47" s="1205" t="s">
        <v>123</v>
      </c>
      <c r="AF47" s="1206"/>
      <c r="AG47" s="1206" t="s">
        <v>123</v>
      </c>
      <c r="AH47" s="1291"/>
      <c r="AI47" s="1291"/>
      <c r="AJ47" s="1199" t="str">
        <f t="shared" si="3"/>
        <v/>
      </c>
      <c r="AK47" s="1208"/>
      <c r="AL47" s="1208"/>
      <c r="AM47" s="1292"/>
      <c r="AN47" s="1288"/>
      <c r="AO47" s="1288"/>
      <c r="AP47" s="1289"/>
      <c r="AQ47" s="1255"/>
      <c r="AR47" s="1204" t="s">
        <v>123</v>
      </c>
      <c r="AS47" s="1204" t="s">
        <v>123</v>
      </c>
      <c r="AT47" s="1206" t="s">
        <v>123</v>
      </c>
      <c r="AU47" s="1206"/>
      <c r="AV47" s="1206" t="s">
        <v>123</v>
      </c>
      <c r="AW47" s="1291"/>
      <c r="AX47" s="1291"/>
      <c r="AY47" s="1199" t="str">
        <f t="shared" si="4"/>
        <v/>
      </c>
      <c r="AZ47" s="1208"/>
      <c r="BA47" s="1223"/>
      <c r="BB47" s="1234"/>
      <c r="BC47" s="1253"/>
      <c r="BD47" s="1253"/>
      <c r="BE47" s="1252"/>
      <c r="BF47" s="1252"/>
      <c r="BG47" s="1204" t="s">
        <v>123</v>
      </c>
      <c r="BH47" s="1204" t="s">
        <v>123</v>
      </c>
      <c r="BI47" s="1206" t="s">
        <v>123</v>
      </c>
      <c r="BJ47" s="1206"/>
      <c r="BK47" s="1206" t="s">
        <v>123</v>
      </c>
      <c r="BL47" s="1291"/>
      <c r="BM47" s="1291"/>
      <c r="BN47" s="1199" t="str">
        <f t="shared" si="5"/>
        <v/>
      </c>
      <c r="BO47" s="1208"/>
      <c r="BP47" s="1223"/>
      <c r="BQ47" s="1234"/>
      <c r="BR47" s="1224"/>
      <c r="BS47" s="1253"/>
      <c r="BT47" s="1210"/>
      <c r="BU47" s="1241"/>
      <c r="BV47" s="1204" t="s">
        <v>123</v>
      </c>
      <c r="BW47" s="1204" t="s">
        <v>123</v>
      </c>
      <c r="BX47" s="1206" t="s">
        <v>123</v>
      </c>
      <c r="BY47" s="1206"/>
      <c r="BZ47" s="1206" t="s">
        <v>123</v>
      </c>
      <c r="CA47" s="1291"/>
      <c r="CB47" s="1291"/>
      <c r="CC47" s="1199" t="str">
        <f t="shared" si="6"/>
        <v/>
      </c>
      <c r="CD47" s="1208"/>
      <c r="CE47" s="1208"/>
      <c r="CF47" s="1292"/>
      <c r="CG47" s="1288"/>
      <c r="CH47" s="1288"/>
      <c r="CI47" s="1289"/>
      <c r="CJ47" s="1255"/>
      <c r="CK47" s="1204" t="s">
        <v>123</v>
      </c>
      <c r="CL47" s="1204" t="s">
        <v>123</v>
      </c>
      <c r="CM47" s="1206" t="s">
        <v>123</v>
      </c>
      <c r="CN47" s="1206"/>
      <c r="CO47" s="1206" t="s">
        <v>123</v>
      </c>
      <c r="CP47" s="1291"/>
      <c r="CQ47" s="1291"/>
      <c r="CR47" s="1199" t="str">
        <f t="shared" si="7"/>
        <v/>
      </c>
      <c r="CS47" s="1208"/>
      <c r="CT47" s="1208"/>
      <c r="CU47" s="1292"/>
      <c r="CV47" s="1288"/>
      <c r="CW47" s="1288"/>
      <c r="CX47" s="1289"/>
      <c r="CY47" s="1255"/>
      <c r="CZ47" s="1204" t="s">
        <v>123</v>
      </c>
      <c r="DA47" s="1204" t="s">
        <v>123</v>
      </c>
      <c r="DB47" s="1206" t="s">
        <v>123</v>
      </c>
      <c r="DC47" s="1206"/>
      <c r="DD47" s="1206" t="s">
        <v>123</v>
      </c>
      <c r="DE47" s="1291"/>
      <c r="DF47" s="1291"/>
      <c r="DG47" s="1199" t="str">
        <f t="shared" si="8"/>
        <v/>
      </c>
      <c r="DH47" s="1208"/>
      <c r="DI47" s="1223"/>
      <c r="DJ47" s="1296"/>
      <c r="DK47" s="1253"/>
      <c r="DL47" s="1253"/>
      <c r="DM47" s="1267"/>
      <c r="DN47" s="1241"/>
      <c r="DO47" s="1204" t="s">
        <v>123</v>
      </c>
      <c r="DP47" s="1204" t="s">
        <v>123</v>
      </c>
      <c r="DQ47" s="1206" t="s">
        <v>123</v>
      </c>
      <c r="DR47" s="1206"/>
      <c r="DS47" s="1206" t="s">
        <v>123</v>
      </c>
      <c r="DT47" s="1291"/>
      <c r="DU47" s="1291"/>
      <c r="DV47" s="1199" t="str">
        <f t="shared" si="9"/>
        <v/>
      </c>
      <c r="DW47" s="1208"/>
      <c r="DX47" s="1208"/>
      <c r="DY47" s="1292"/>
      <c r="DZ47" s="1288"/>
      <c r="EA47" s="1288"/>
      <c r="EB47" s="1289"/>
      <c r="EC47" s="1255"/>
      <c r="ED47" s="1204" t="s">
        <v>123</v>
      </c>
      <c r="EE47" s="1204" t="s">
        <v>123</v>
      </c>
      <c r="EF47" s="1206" t="s">
        <v>123</v>
      </c>
      <c r="EG47" s="1206"/>
      <c r="EH47" s="1206" t="s">
        <v>123</v>
      </c>
      <c r="EI47" s="1291"/>
      <c r="EJ47" s="1291"/>
      <c r="EK47" s="1199" t="str">
        <f t="shared" si="10"/>
        <v/>
      </c>
      <c r="EL47" s="1208"/>
      <c r="EM47" s="1223"/>
      <c r="EN47" s="1234"/>
      <c r="EO47" s="1288"/>
      <c r="EP47" s="1288"/>
      <c r="EQ47" s="1289"/>
      <c r="ER47" s="1255"/>
      <c r="ES47" s="1204" t="s">
        <v>123</v>
      </c>
      <c r="ET47" s="1204" t="s">
        <v>123</v>
      </c>
      <c r="EU47" s="1206" t="s">
        <v>123</v>
      </c>
      <c r="EV47" s="1206"/>
      <c r="EW47" s="1206" t="s">
        <v>123</v>
      </c>
      <c r="EX47" s="1291"/>
      <c r="EY47" s="1291"/>
      <c r="EZ47" s="1199" t="str">
        <f t="shared" si="11"/>
        <v/>
      </c>
      <c r="FA47" s="1208"/>
      <c r="FB47" s="1223"/>
      <c r="FC47" s="1234"/>
      <c r="FD47" s="1288"/>
      <c r="FE47" s="1288"/>
      <c r="FF47" s="1289"/>
      <c r="FG47" s="1255"/>
      <c r="FH47" s="1204" t="s">
        <v>123</v>
      </c>
      <c r="FI47" s="1204" t="s">
        <v>123</v>
      </c>
      <c r="FJ47" s="1206" t="s">
        <v>123</v>
      </c>
      <c r="FK47" s="1206"/>
      <c r="FL47" s="1206" t="s">
        <v>123</v>
      </c>
      <c r="FM47" s="1291"/>
      <c r="FN47" s="1291"/>
      <c r="FO47" s="1199" t="str">
        <f t="shared" si="12"/>
        <v/>
      </c>
      <c r="FP47" s="1208"/>
      <c r="FQ47" s="1208"/>
      <c r="FR47" s="1292"/>
      <c r="FS47" s="1288"/>
      <c r="FT47" s="1288"/>
      <c r="FU47" s="1289"/>
      <c r="FV47" s="1255"/>
      <c r="FW47" s="1204" t="s">
        <v>123</v>
      </c>
      <c r="FX47" s="1204" t="s">
        <v>123</v>
      </c>
      <c r="FY47" s="1206" t="s">
        <v>123</v>
      </c>
      <c r="FZ47" s="1206"/>
      <c r="GA47" s="1206" t="s">
        <v>123</v>
      </c>
      <c r="GB47" s="1291"/>
      <c r="GC47" s="1291"/>
      <c r="GD47" s="1199" t="str">
        <f t="shared" si="13"/>
        <v/>
      </c>
      <c r="GE47" s="1208"/>
      <c r="GF47" s="1208"/>
      <c r="GG47" s="1292"/>
      <c r="GH47" s="1288"/>
      <c r="GI47" s="1288"/>
      <c r="GJ47" s="1289"/>
      <c r="GK47" s="1255"/>
      <c r="GL47" s="1204" t="s">
        <v>123</v>
      </c>
      <c r="GM47" s="1204" t="s">
        <v>123</v>
      </c>
      <c r="GN47" s="1206" t="s">
        <v>123</v>
      </c>
      <c r="GO47" s="1206"/>
      <c r="GP47" s="1206" t="s">
        <v>123</v>
      </c>
      <c r="GQ47" s="1291"/>
      <c r="GR47" s="1291"/>
      <c r="GS47" s="1199" t="str">
        <f t="shared" si="14"/>
        <v/>
      </c>
      <c r="GT47" s="1208"/>
      <c r="GU47" s="1208"/>
      <c r="GV47" s="1292"/>
      <c r="GW47" s="1288"/>
      <c r="GX47" s="1288"/>
      <c r="GY47" s="1289"/>
      <c r="GZ47" s="1255"/>
      <c r="HA47" s="1204" t="s">
        <v>123</v>
      </c>
      <c r="HB47" s="1204" t="s">
        <v>123</v>
      </c>
      <c r="HC47" s="1206" t="s">
        <v>123</v>
      </c>
      <c r="HD47" s="1206"/>
      <c r="HE47" s="1206" t="s">
        <v>123</v>
      </c>
      <c r="HF47" s="1291"/>
      <c r="HG47" s="1291"/>
      <c r="HH47" s="1199" t="str">
        <f t="shared" si="15"/>
        <v/>
      </c>
      <c r="HI47" s="1208"/>
      <c r="HJ47" s="1208"/>
      <c r="HK47" s="1292"/>
      <c r="HL47" s="1288"/>
      <c r="HM47" s="1288"/>
      <c r="HN47" s="1289"/>
      <c r="HO47" s="1255"/>
      <c r="HP47" s="1204" t="s">
        <v>123</v>
      </c>
      <c r="HQ47" s="1204" t="s">
        <v>123</v>
      </c>
      <c r="HR47" s="1206" t="s">
        <v>123</v>
      </c>
      <c r="HS47" s="1206"/>
      <c r="HT47" s="1206" t="s">
        <v>123</v>
      </c>
      <c r="HU47" s="1291"/>
      <c r="HV47" s="1291"/>
      <c r="HW47" s="1227"/>
    </row>
    <row r="48" ht="15.75" customHeight="1">
      <c r="A48" s="1297"/>
      <c r="B48" s="1298"/>
      <c r="C48" s="1298"/>
      <c r="D48" s="1297"/>
      <c r="E48" s="1299"/>
      <c r="F48" s="1199" t="str">
        <f t="shared" si="1"/>
        <v/>
      </c>
      <c r="G48" s="1287"/>
      <c r="H48" s="1208"/>
      <c r="I48" s="1259"/>
      <c r="J48" s="1209"/>
      <c r="K48" s="1209"/>
      <c r="L48" s="1212"/>
      <c r="M48" s="1203"/>
      <c r="N48" s="1230" t="s">
        <v>123</v>
      </c>
      <c r="O48" s="1230" t="s">
        <v>123</v>
      </c>
      <c r="P48" s="1231" t="s">
        <v>123</v>
      </c>
      <c r="Q48" s="1291"/>
      <c r="R48" s="1291" t="s">
        <v>123</v>
      </c>
      <c r="S48" s="1291"/>
      <c r="T48" s="1291"/>
      <c r="U48" s="1199" t="str">
        <f t="shared" si="2"/>
        <v/>
      </c>
      <c r="V48" s="1208"/>
      <c r="W48" s="1208"/>
      <c r="X48" s="1274"/>
      <c r="Y48" s="1209"/>
      <c r="Z48" s="1209"/>
      <c r="AA48" s="1210"/>
      <c r="AB48" s="1211"/>
      <c r="AC48" s="1204" t="s">
        <v>123</v>
      </c>
      <c r="AD48" s="1204" t="s">
        <v>123</v>
      </c>
      <c r="AE48" s="1205" t="s">
        <v>123</v>
      </c>
      <c r="AF48" s="1206"/>
      <c r="AG48" s="1206" t="s">
        <v>123</v>
      </c>
      <c r="AH48" s="1291"/>
      <c r="AI48" s="1291"/>
      <c r="AJ48" s="1199" t="str">
        <f t="shared" si="3"/>
        <v/>
      </c>
      <c r="AK48" s="1208"/>
      <c r="AL48" s="1208"/>
      <c r="AM48" s="1292"/>
      <c r="AN48" s="1288"/>
      <c r="AO48" s="1288"/>
      <c r="AP48" s="1289"/>
      <c r="AQ48" s="1255"/>
      <c r="AR48" s="1204" t="s">
        <v>123</v>
      </c>
      <c r="AS48" s="1204" t="s">
        <v>123</v>
      </c>
      <c r="AT48" s="1206" t="s">
        <v>123</v>
      </c>
      <c r="AU48" s="1206"/>
      <c r="AV48" s="1206" t="s">
        <v>123</v>
      </c>
      <c r="AW48" s="1291"/>
      <c r="AX48" s="1291"/>
      <c r="AY48" s="1199" t="str">
        <f t="shared" si="4"/>
        <v/>
      </c>
      <c r="AZ48" s="1208"/>
      <c r="BA48" s="1223"/>
      <c r="BB48" s="1259"/>
      <c r="BC48" s="1253"/>
      <c r="BD48" s="1253"/>
      <c r="BE48" s="1252"/>
      <c r="BF48" s="1212"/>
      <c r="BG48" s="1204" t="s">
        <v>123</v>
      </c>
      <c r="BH48" s="1204" t="s">
        <v>123</v>
      </c>
      <c r="BI48" s="1206" t="s">
        <v>123</v>
      </c>
      <c r="BJ48" s="1206"/>
      <c r="BK48" s="1206" t="s">
        <v>123</v>
      </c>
      <c r="BL48" s="1291"/>
      <c r="BM48" s="1291"/>
      <c r="BN48" s="1199" t="str">
        <f t="shared" si="5"/>
        <v/>
      </c>
      <c r="BO48" s="1208"/>
      <c r="BP48" s="1208"/>
      <c r="BQ48" s="1234"/>
      <c r="BR48" s="1224"/>
      <c r="BS48" s="1253"/>
      <c r="BT48" s="1210"/>
      <c r="BU48" s="1241"/>
      <c r="BV48" s="1204" t="s">
        <v>123</v>
      </c>
      <c r="BW48" s="1204" t="s">
        <v>123</v>
      </c>
      <c r="BX48" s="1206" t="s">
        <v>123</v>
      </c>
      <c r="BY48" s="1206"/>
      <c r="BZ48" s="1206" t="s">
        <v>123</v>
      </c>
      <c r="CA48" s="1291"/>
      <c r="CB48" s="1291"/>
      <c r="CC48" s="1199" t="str">
        <f t="shared" si="6"/>
        <v/>
      </c>
      <c r="CD48" s="1208"/>
      <c r="CE48" s="1208"/>
      <c r="CF48" s="1292"/>
      <c r="CG48" s="1288"/>
      <c r="CH48" s="1288"/>
      <c r="CI48" s="1289"/>
      <c r="CJ48" s="1255"/>
      <c r="CK48" s="1204" t="s">
        <v>123</v>
      </c>
      <c r="CL48" s="1204" t="s">
        <v>123</v>
      </c>
      <c r="CM48" s="1206" t="s">
        <v>123</v>
      </c>
      <c r="CN48" s="1206"/>
      <c r="CO48" s="1206" t="s">
        <v>123</v>
      </c>
      <c r="CP48" s="1291"/>
      <c r="CQ48" s="1291"/>
      <c r="CR48" s="1199" t="str">
        <f t="shared" si="7"/>
        <v/>
      </c>
      <c r="CS48" s="1208"/>
      <c r="CT48" s="1208"/>
      <c r="CU48" s="1292"/>
      <c r="CV48" s="1288"/>
      <c r="CW48" s="1288"/>
      <c r="CX48" s="1289"/>
      <c r="CY48" s="1255"/>
      <c r="CZ48" s="1204" t="s">
        <v>123</v>
      </c>
      <c r="DA48" s="1204" t="s">
        <v>123</v>
      </c>
      <c r="DB48" s="1206" t="s">
        <v>123</v>
      </c>
      <c r="DC48" s="1206"/>
      <c r="DD48" s="1206" t="s">
        <v>123</v>
      </c>
      <c r="DE48" s="1291"/>
      <c r="DF48" s="1291"/>
      <c r="DG48" s="1199" t="str">
        <f t="shared" si="8"/>
        <v/>
      </c>
      <c r="DH48" s="1208"/>
      <c r="DI48" s="1213"/>
      <c r="DJ48" s="1301"/>
      <c r="DK48" s="1279"/>
      <c r="DL48" s="1202"/>
      <c r="DM48" s="1252"/>
      <c r="DN48" s="1241"/>
      <c r="DO48" s="1204" t="s">
        <v>123</v>
      </c>
      <c r="DP48" s="1204" t="s">
        <v>123</v>
      </c>
      <c r="DQ48" s="1206" t="s">
        <v>123</v>
      </c>
      <c r="DR48" s="1206"/>
      <c r="DS48" s="1206" t="s">
        <v>123</v>
      </c>
      <c r="DT48" s="1291"/>
      <c r="DU48" s="1291"/>
      <c r="DV48" s="1199" t="str">
        <f t="shared" si="9"/>
        <v/>
      </c>
      <c r="DW48" s="1208"/>
      <c r="DX48" s="1208"/>
      <c r="DY48" s="1292"/>
      <c r="DZ48" s="1288"/>
      <c r="EA48" s="1288"/>
      <c r="EB48" s="1289"/>
      <c r="EC48" s="1255"/>
      <c r="ED48" s="1204" t="s">
        <v>123</v>
      </c>
      <c r="EE48" s="1204" t="s">
        <v>123</v>
      </c>
      <c r="EF48" s="1206" t="s">
        <v>123</v>
      </c>
      <c r="EG48" s="1206"/>
      <c r="EH48" s="1206" t="s">
        <v>123</v>
      </c>
      <c r="EI48" s="1291"/>
      <c r="EJ48" s="1291"/>
      <c r="EK48" s="1199" t="str">
        <f t="shared" si="10"/>
        <v/>
      </c>
      <c r="EL48" s="1208"/>
      <c r="EM48" s="1223"/>
      <c r="EN48" s="1234"/>
      <c r="EO48" s="1288"/>
      <c r="EP48" s="1288"/>
      <c r="EQ48" s="1289"/>
      <c r="ER48" s="1255"/>
      <c r="ES48" s="1204" t="s">
        <v>123</v>
      </c>
      <c r="ET48" s="1204" t="s">
        <v>123</v>
      </c>
      <c r="EU48" s="1206" t="s">
        <v>123</v>
      </c>
      <c r="EV48" s="1206"/>
      <c r="EW48" s="1206" t="s">
        <v>123</v>
      </c>
      <c r="EX48" s="1291"/>
      <c r="EY48" s="1291"/>
      <c r="EZ48" s="1199" t="str">
        <f t="shared" si="11"/>
        <v/>
      </c>
      <c r="FA48" s="1208"/>
      <c r="FB48" s="1223"/>
      <c r="FC48" s="1234"/>
      <c r="FD48" s="1288"/>
      <c r="FE48" s="1288"/>
      <c r="FF48" s="1289"/>
      <c r="FG48" s="1255"/>
      <c r="FH48" s="1204" t="s">
        <v>123</v>
      </c>
      <c r="FI48" s="1204" t="s">
        <v>123</v>
      </c>
      <c r="FJ48" s="1206" t="s">
        <v>123</v>
      </c>
      <c r="FK48" s="1206"/>
      <c r="FL48" s="1206" t="s">
        <v>123</v>
      </c>
      <c r="FM48" s="1291"/>
      <c r="FN48" s="1291"/>
      <c r="FO48" s="1199" t="str">
        <f t="shared" si="12"/>
        <v/>
      </c>
      <c r="FP48" s="1208"/>
      <c r="FQ48" s="1208"/>
      <c r="FR48" s="1292"/>
      <c r="FS48" s="1288"/>
      <c r="FT48" s="1288"/>
      <c r="FU48" s="1289"/>
      <c r="FV48" s="1255"/>
      <c r="FW48" s="1204" t="s">
        <v>123</v>
      </c>
      <c r="FX48" s="1204" t="s">
        <v>123</v>
      </c>
      <c r="FY48" s="1206" t="s">
        <v>123</v>
      </c>
      <c r="FZ48" s="1206"/>
      <c r="GA48" s="1206" t="s">
        <v>123</v>
      </c>
      <c r="GB48" s="1291"/>
      <c r="GC48" s="1291"/>
      <c r="GD48" s="1199" t="str">
        <f t="shared" si="13"/>
        <v/>
      </c>
      <c r="GE48" s="1208"/>
      <c r="GF48" s="1208"/>
      <c r="GG48" s="1292"/>
      <c r="GH48" s="1288"/>
      <c r="GI48" s="1288"/>
      <c r="GJ48" s="1289"/>
      <c r="GK48" s="1255"/>
      <c r="GL48" s="1204" t="s">
        <v>123</v>
      </c>
      <c r="GM48" s="1204" t="s">
        <v>123</v>
      </c>
      <c r="GN48" s="1206" t="s">
        <v>123</v>
      </c>
      <c r="GO48" s="1206"/>
      <c r="GP48" s="1206" t="s">
        <v>123</v>
      </c>
      <c r="GQ48" s="1291"/>
      <c r="GR48" s="1291"/>
      <c r="GS48" s="1199" t="str">
        <f t="shared" si="14"/>
        <v/>
      </c>
      <c r="GT48" s="1208"/>
      <c r="GU48" s="1208"/>
      <c r="GV48" s="1292"/>
      <c r="GW48" s="1288"/>
      <c r="GX48" s="1288"/>
      <c r="GY48" s="1289"/>
      <c r="GZ48" s="1255"/>
      <c r="HA48" s="1204" t="s">
        <v>123</v>
      </c>
      <c r="HB48" s="1204" t="s">
        <v>123</v>
      </c>
      <c r="HC48" s="1206" t="s">
        <v>123</v>
      </c>
      <c r="HD48" s="1206"/>
      <c r="HE48" s="1206" t="s">
        <v>123</v>
      </c>
      <c r="HF48" s="1291"/>
      <c r="HG48" s="1291"/>
      <c r="HH48" s="1199" t="str">
        <f t="shared" si="15"/>
        <v/>
      </c>
      <c r="HI48" s="1208"/>
      <c r="HJ48" s="1208"/>
      <c r="HK48" s="1292"/>
      <c r="HL48" s="1288"/>
      <c r="HM48" s="1288"/>
      <c r="HN48" s="1289"/>
      <c r="HO48" s="1255"/>
      <c r="HP48" s="1204" t="s">
        <v>123</v>
      </c>
      <c r="HQ48" s="1204" t="s">
        <v>123</v>
      </c>
      <c r="HR48" s="1206" t="s">
        <v>123</v>
      </c>
      <c r="HS48" s="1206"/>
      <c r="HT48" s="1206" t="s">
        <v>123</v>
      </c>
      <c r="HU48" s="1291"/>
      <c r="HV48" s="1291"/>
      <c r="HW48" s="1227"/>
    </row>
    <row r="49" ht="15.75" customHeight="1">
      <c r="A49" s="1297"/>
      <c r="B49" s="1298"/>
      <c r="C49" s="1298"/>
      <c r="D49" s="1297"/>
      <c r="E49" s="1299"/>
      <c r="F49" s="1199" t="str">
        <f t="shared" si="1"/>
        <v/>
      </c>
      <c r="G49" s="1223"/>
      <c r="H49" s="1223"/>
      <c r="I49" s="1259"/>
      <c r="J49" s="1209"/>
      <c r="K49" s="1209"/>
      <c r="L49" s="1212"/>
      <c r="M49" s="1273"/>
      <c r="N49" s="1230" t="s">
        <v>123</v>
      </c>
      <c r="O49" s="1230" t="s">
        <v>123</v>
      </c>
      <c r="P49" s="1231" t="s">
        <v>123</v>
      </c>
      <c r="Q49" s="1291"/>
      <c r="R49" s="1291" t="s">
        <v>123</v>
      </c>
      <c r="S49" s="1291"/>
      <c r="T49" s="1291"/>
      <c r="U49" s="1199" t="str">
        <f t="shared" si="2"/>
        <v/>
      </c>
      <c r="V49" s="1208"/>
      <c r="W49" s="1208"/>
      <c r="X49" s="1274"/>
      <c r="Y49" s="1209"/>
      <c r="Z49" s="1209"/>
      <c r="AA49" s="1210"/>
      <c r="AB49" s="1211"/>
      <c r="AC49" s="1204" t="s">
        <v>123</v>
      </c>
      <c r="AD49" s="1204" t="s">
        <v>123</v>
      </c>
      <c r="AE49" s="1205" t="s">
        <v>123</v>
      </c>
      <c r="AF49" s="1206"/>
      <c r="AG49" s="1206" t="s">
        <v>123</v>
      </c>
      <c r="AH49" s="1291"/>
      <c r="AI49" s="1291"/>
      <c r="AJ49" s="1199" t="str">
        <f t="shared" si="3"/>
        <v/>
      </c>
      <c r="AK49" s="1208"/>
      <c r="AL49" s="1208"/>
      <c r="AM49" s="1292"/>
      <c r="AN49" s="1288"/>
      <c r="AO49" s="1288"/>
      <c r="AP49" s="1289"/>
      <c r="AQ49" s="1255"/>
      <c r="AR49" s="1204" t="s">
        <v>123</v>
      </c>
      <c r="AS49" s="1204" t="s">
        <v>123</v>
      </c>
      <c r="AT49" s="1206" t="s">
        <v>123</v>
      </c>
      <c r="AU49" s="1206"/>
      <c r="AV49" s="1206" t="s">
        <v>123</v>
      </c>
      <c r="AW49" s="1291"/>
      <c r="AX49" s="1291"/>
      <c r="AY49" s="1199" t="str">
        <f t="shared" si="4"/>
        <v/>
      </c>
      <c r="AZ49" s="1208"/>
      <c r="BA49" s="1223"/>
      <c r="BB49" s="1234"/>
      <c r="BC49" s="1253"/>
      <c r="BD49" s="1253"/>
      <c r="BE49" s="1252"/>
      <c r="BF49" s="1252"/>
      <c r="BG49" s="1204" t="s">
        <v>123</v>
      </c>
      <c r="BH49" s="1204" t="s">
        <v>123</v>
      </c>
      <c r="BI49" s="1206" t="s">
        <v>123</v>
      </c>
      <c r="BJ49" s="1206"/>
      <c r="BK49" s="1206" t="s">
        <v>123</v>
      </c>
      <c r="BL49" s="1291"/>
      <c r="BM49" s="1291"/>
      <c r="BN49" s="1199" t="str">
        <f t="shared" si="5"/>
        <v/>
      </c>
      <c r="BO49" s="1208"/>
      <c r="BP49" s="1208"/>
      <c r="BQ49" s="1234"/>
      <c r="BR49" s="1224"/>
      <c r="BS49" s="1253"/>
      <c r="BT49" s="1210"/>
      <c r="BU49" s="1241"/>
      <c r="BV49" s="1204" t="s">
        <v>123</v>
      </c>
      <c r="BW49" s="1204" t="s">
        <v>123</v>
      </c>
      <c r="BX49" s="1206" t="s">
        <v>123</v>
      </c>
      <c r="BY49" s="1206"/>
      <c r="BZ49" s="1206" t="s">
        <v>123</v>
      </c>
      <c r="CA49" s="1291"/>
      <c r="CB49" s="1291"/>
      <c r="CC49" s="1199" t="str">
        <f t="shared" si="6"/>
        <v/>
      </c>
      <c r="CD49" s="1208"/>
      <c r="CE49" s="1208"/>
      <c r="CF49" s="1292"/>
      <c r="CG49" s="1288"/>
      <c r="CH49" s="1288"/>
      <c r="CI49" s="1289"/>
      <c r="CJ49" s="1255"/>
      <c r="CK49" s="1204" t="s">
        <v>123</v>
      </c>
      <c r="CL49" s="1204" t="s">
        <v>123</v>
      </c>
      <c r="CM49" s="1206" t="s">
        <v>123</v>
      </c>
      <c r="CN49" s="1206"/>
      <c r="CO49" s="1206" t="s">
        <v>123</v>
      </c>
      <c r="CP49" s="1291"/>
      <c r="CQ49" s="1291"/>
      <c r="CR49" s="1199" t="str">
        <f t="shared" si="7"/>
        <v/>
      </c>
      <c r="CS49" s="1208"/>
      <c r="CT49" s="1208"/>
      <c r="CU49" s="1292"/>
      <c r="CV49" s="1288"/>
      <c r="CW49" s="1288"/>
      <c r="CX49" s="1289"/>
      <c r="CY49" s="1255"/>
      <c r="CZ49" s="1204" t="s">
        <v>123</v>
      </c>
      <c r="DA49" s="1204" t="s">
        <v>123</v>
      </c>
      <c r="DB49" s="1206" t="s">
        <v>123</v>
      </c>
      <c r="DC49" s="1206"/>
      <c r="DD49" s="1206" t="s">
        <v>123</v>
      </c>
      <c r="DE49" s="1291"/>
      <c r="DF49" s="1291"/>
      <c r="DG49" s="1199" t="str">
        <f t="shared" si="8"/>
        <v/>
      </c>
      <c r="DH49" s="1208"/>
      <c r="DI49" s="1208"/>
      <c r="DJ49" s="1302"/>
      <c r="DK49" s="1288"/>
      <c r="DL49" s="1288"/>
      <c r="DM49" s="1289"/>
      <c r="DN49" s="1255"/>
      <c r="DO49" s="1204" t="s">
        <v>123</v>
      </c>
      <c r="DP49" s="1204" t="s">
        <v>123</v>
      </c>
      <c r="DQ49" s="1206" t="s">
        <v>123</v>
      </c>
      <c r="DR49" s="1206"/>
      <c r="DS49" s="1206" t="s">
        <v>123</v>
      </c>
      <c r="DT49" s="1291"/>
      <c r="DU49" s="1291"/>
      <c r="DV49" s="1199" t="str">
        <f t="shared" si="9"/>
        <v/>
      </c>
      <c r="DW49" s="1208"/>
      <c r="DX49" s="1208"/>
      <c r="DY49" s="1292"/>
      <c r="DZ49" s="1288"/>
      <c r="EA49" s="1288"/>
      <c r="EB49" s="1289"/>
      <c r="EC49" s="1255"/>
      <c r="ED49" s="1204" t="s">
        <v>123</v>
      </c>
      <c r="EE49" s="1204" t="s">
        <v>123</v>
      </c>
      <c r="EF49" s="1206" t="s">
        <v>123</v>
      </c>
      <c r="EG49" s="1206"/>
      <c r="EH49" s="1206" t="s">
        <v>123</v>
      </c>
      <c r="EI49" s="1291"/>
      <c r="EJ49" s="1291"/>
      <c r="EK49" s="1199" t="str">
        <f t="shared" si="10"/>
        <v/>
      </c>
      <c r="EL49" s="1208"/>
      <c r="EM49" s="1223"/>
      <c r="EN49" s="1234"/>
      <c r="EO49" s="1288"/>
      <c r="EP49" s="1288"/>
      <c r="EQ49" s="1289"/>
      <c r="ER49" s="1255"/>
      <c r="ES49" s="1204" t="s">
        <v>123</v>
      </c>
      <c r="ET49" s="1204" t="s">
        <v>123</v>
      </c>
      <c r="EU49" s="1206" t="s">
        <v>123</v>
      </c>
      <c r="EV49" s="1206"/>
      <c r="EW49" s="1206" t="s">
        <v>123</v>
      </c>
      <c r="EX49" s="1291"/>
      <c r="EY49" s="1291"/>
      <c r="EZ49" s="1199" t="str">
        <f t="shared" si="11"/>
        <v/>
      </c>
      <c r="FA49" s="1208"/>
      <c r="FB49" s="1223"/>
      <c r="FC49" s="1234"/>
      <c r="FD49" s="1288"/>
      <c r="FE49" s="1288"/>
      <c r="FF49" s="1289"/>
      <c r="FG49" s="1255"/>
      <c r="FH49" s="1204" t="s">
        <v>123</v>
      </c>
      <c r="FI49" s="1204" t="s">
        <v>123</v>
      </c>
      <c r="FJ49" s="1206" t="s">
        <v>123</v>
      </c>
      <c r="FK49" s="1206"/>
      <c r="FL49" s="1206" t="s">
        <v>123</v>
      </c>
      <c r="FM49" s="1291"/>
      <c r="FN49" s="1291"/>
      <c r="FO49" s="1199" t="str">
        <f t="shared" si="12"/>
        <v/>
      </c>
      <c r="FP49" s="1208"/>
      <c r="FQ49" s="1208"/>
      <c r="FR49" s="1292"/>
      <c r="FS49" s="1288"/>
      <c r="FT49" s="1288"/>
      <c r="FU49" s="1289"/>
      <c r="FV49" s="1255"/>
      <c r="FW49" s="1204" t="s">
        <v>123</v>
      </c>
      <c r="FX49" s="1204" t="s">
        <v>123</v>
      </c>
      <c r="FY49" s="1206" t="s">
        <v>123</v>
      </c>
      <c r="FZ49" s="1206"/>
      <c r="GA49" s="1206" t="s">
        <v>123</v>
      </c>
      <c r="GB49" s="1291"/>
      <c r="GC49" s="1291"/>
      <c r="GD49" s="1199" t="str">
        <f t="shared" si="13"/>
        <v/>
      </c>
      <c r="GE49" s="1208"/>
      <c r="GF49" s="1208"/>
      <c r="GG49" s="1292"/>
      <c r="GH49" s="1288"/>
      <c r="GI49" s="1288"/>
      <c r="GJ49" s="1289"/>
      <c r="GK49" s="1255"/>
      <c r="GL49" s="1204" t="s">
        <v>123</v>
      </c>
      <c r="GM49" s="1204" t="s">
        <v>123</v>
      </c>
      <c r="GN49" s="1206" t="s">
        <v>123</v>
      </c>
      <c r="GO49" s="1206"/>
      <c r="GP49" s="1206" t="s">
        <v>123</v>
      </c>
      <c r="GQ49" s="1291"/>
      <c r="GR49" s="1291"/>
      <c r="GS49" s="1199" t="str">
        <f t="shared" si="14"/>
        <v/>
      </c>
      <c r="GT49" s="1208"/>
      <c r="GU49" s="1208"/>
      <c r="GV49" s="1292"/>
      <c r="GW49" s="1288"/>
      <c r="GX49" s="1288"/>
      <c r="GY49" s="1289"/>
      <c r="GZ49" s="1255"/>
      <c r="HA49" s="1204" t="s">
        <v>123</v>
      </c>
      <c r="HB49" s="1204" t="s">
        <v>123</v>
      </c>
      <c r="HC49" s="1206" t="s">
        <v>123</v>
      </c>
      <c r="HD49" s="1206"/>
      <c r="HE49" s="1206" t="s">
        <v>123</v>
      </c>
      <c r="HF49" s="1291"/>
      <c r="HG49" s="1291"/>
      <c r="HH49" s="1199" t="str">
        <f t="shared" si="15"/>
        <v/>
      </c>
      <c r="HI49" s="1208"/>
      <c r="HJ49" s="1208"/>
      <c r="HK49" s="1292"/>
      <c r="HL49" s="1288"/>
      <c r="HM49" s="1288"/>
      <c r="HN49" s="1289"/>
      <c r="HO49" s="1255"/>
      <c r="HP49" s="1204" t="s">
        <v>123</v>
      </c>
      <c r="HQ49" s="1204" t="s">
        <v>123</v>
      </c>
      <c r="HR49" s="1206" t="s">
        <v>123</v>
      </c>
      <c r="HS49" s="1206"/>
      <c r="HT49" s="1206" t="s">
        <v>123</v>
      </c>
      <c r="HU49" s="1291"/>
      <c r="HV49" s="1291"/>
      <c r="HW49" s="1227"/>
    </row>
    <row r="50" ht="15.75" customHeight="1">
      <c r="A50" s="1297"/>
      <c r="B50" s="1298"/>
      <c r="C50" s="1298"/>
      <c r="D50" s="1297"/>
      <c r="E50" s="1299"/>
      <c r="F50" s="1199" t="str">
        <f t="shared" si="1"/>
        <v/>
      </c>
      <c r="G50" s="1223"/>
      <c r="H50" s="1223"/>
      <c r="I50" s="1201"/>
      <c r="J50" s="1209"/>
      <c r="K50" s="1209"/>
      <c r="L50" s="1212"/>
      <c r="M50" s="1273"/>
      <c r="N50" s="1230" t="s">
        <v>123</v>
      </c>
      <c r="O50" s="1230" t="s">
        <v>123</v>
      </c>
      <c r="P50" s="1231" t="s">
        <v>123</v>
      </c>
      <c r="Q50" s="1291"/>
      <c r="R50" s="1291" t="s">
        <v>123</v>
      </c>
      <c r="S50" s="1291"/>
      <c r="T50" s="1291"/>
      <c r="U50" s="1199" t="str">
        <f t="shared" si="2"/>
        <v/>
      </c>
      <c r="V50" s="1208"/>
      <c r="W50" s="1208"/>
      <c r="X50" s="1274"/>
      <c r="Y50" s="1209"/>
      <c r="Z50" s="1209"/>
      <c r="AA50" s="1210"/>
      <c r="AB50" s="1211"/>
      <c r="AC50" s="1204" t="s">
        <v>123</v>
      </c>
      <c r="AD50" s="1204" t="s">
        <v>123</v>
      </c>
      <c r="AE50" s="1205" t="s">
        <v>123</v>
      </c>
      <c r="AF50" s="1206"/>
      <c r="AG50" s="1206" t="s">
        <v>123</v>
      </c>
      <c r="AH50" s="1291"/>
      <c r="AI50" s="1291"/>
      <c r="AJ50" s="1199" t="str">
        <f t="shared" si="3"/>
        <v/>
      </c>
      <c r="AK50" s="1208"/>
      <c r="AL50" s="1208"/>
      <c r="AM50" s="1292"/>
      <c r="AN50" s="1288"/>
      <c r="AO50" s="1288"/>
      <c r="AP50" s="1289"/>
      <c r="AQ50" s="1255"/>
      <c r="AR50" s="1204" t="s">
        <v>123</v>
      </c>
      <c r="AS50" s="1204" t="s">
        <v>123</v>
      </c>
      <c r="AT50" s="1206" t="s">
        <v>123</v>
      </c>
      <c r="AU50" s="1206"/>
      <c r="AV50" s="1206" t="s">
        <v>123</v>
      </c>
      <c r="AW50" s="1291"/>
      <c r="AX50" s="1291"/>
      <c r="AY50" s="1199" t="str">
        <f t="shared" si="4"/>
        <v/>
      </c>
      <c r="AZ50" s="1208"/>
      <c r="BA50" s="1223"/>
      <c r="BB50" s="1234"/>
      <c r="BC50" s="1253"/>
      <c r="BD50" s="1253"/>
      <c r="BE50" s="1252"/>
      <c r="BF50" s="1252"/>
      <c r="BG50" s="1204" t="s">
        <v>123</v>
      </c>
      <c r="BH50" s="1204" t="s">
        <v>123</v>
      </c>
      <c r="BI50" s="1206" t="s">
        <v>123</v>
      </c>
      <c r="BJ50" s="1206"/>
      <c r="BK50" s="1206" t="s">
        <v>123</v>
      </c>
      <c r="BL50" s="1291"/>
      <c r="BM50" s="1291"/>
      <c r="BN50" s="1199" t="str">
        <f t="shared" si="5"/>
        <v/>
      </c>
      <c r="BO50" s="1208"/>
      <c r="BP50" s="1223"/>
      <c r="BQ50" s="1234"/>
      <c r="BR50" s="1224"/>
      <c r="BS50" s="1253"/>
      <c r="BT50" s="1212"/>
      <c r="BU50" s="1241"/>
      <c r="BV50" s="1204" t="s">
        <v>123</v>
      </c>
      <c r="BW50" s="1204" t="s">
        <v>123</v>
      </c>
      <c r="BX50" s="1206" t="s">
        <v>123</v>
      </c>
      <c r="BY50" s="1206"/>
      <c r="BZ50" s="1206" t="s">
        <v>123</v>
      </c>
      <c r="CA50" s="1291"/>
      <c r="CB50" s="1291"/>
      <c r="CC50" s="1199" t="str">
        <f t="shared" si="6"/>
        <v/>
      </c>
      <c r="CD50" s="1208"/>
      <c r="CE50" s="1208"/>
      <c r="CF50" s="1292"/>
      <c r="CG50" s="1288"/>
      <c r="CH50" s="1288"/>
      <c r="CI50" s="1289"/>
      <c r="CJ50" s="1255"/>
      <c r="CK50" s="1204" t="s">
        <v>123</v>
      </c>
      <c r="CL50" s="1204" t="s">
        <v>123</v>
      </c>
      <c r="CM50" s="1206" t="s">
        <v>123</v>
      </c>
      <c r="CN50" s="1206"/>
      <c r="CO50" s="1206" t="s">
        <v>123</v>
      </c>
      <c r="CP50" s="1291"/>
      <c r="CQ50" s="1291"/>
      <c r="CR50" s="1199" t="str">
        <f t="shared" si="7"/>
        <v/>
      </c>
      <c r="CS50" s="1208"/>
      <c r="CT50" s="1208"/>
      <c r="CU50" s="1292"/>
      <c r="CV50" s="1288"/>
      <c r="CW50" s="1288"/>
      <c r="CX50" s="1289"/>
      <c r="CY50" s="1255"/>
      <c r="CZ50" s="1204" t="s">
        <v>123</v>
      </c>
      <c r="DA50" s="1204" t="s">
        <v>123</v>
      </c>
      <c r="DB50" s="1206" t="s">
        <v>123</v>
      </c>
      <c r="DC50" s="1206"/>
      <c r="DD50" s="1206" t="s">
        <v>123</v>
      </c>
      <c r="DE50" s="1291"/>
      <c r="DF50" s="1291"/>
      <c r="DG50" s="1199" t="str">
        <f t="shared" si="8"/>
        <v/>
      </c>
      <c r="DH50" s="1208"/>
      <c r="DI50" s="1208"/>
      <c r="DJ50" s="1302"/>
      <c r="DK50" s="1288"/>
      <c r="DL50" s="1288"/>
      <c r="DM50" s="1289"/>
      <c r="DN50" s="1255"/>
      <c r="DO50" s="1204" t="s">
        <v>123</v>
      </c>
      <c r="DP50" s="1204" t="s">
        <v>123</v>
      </c>
      <c r="DQ50" s="1206" t="s">
        <v>123</v>
      </c>
      <c r="DR50" s="1206"/>
      <c r="DS50" s="1206" t="s">
        <v>123</v>
      </c>
      <c r="DT50" s="1291"/>
      <c r="DU50" s="1291"/>
      <c r="DV50" s="1199" t="str">
        <f t="shared" si="9"/>
        <v/>
      </c>
      <c r="DW50" s="1208"/>
      <c r="DX50" s="1208"/>
      <c r="DY50" s="1292"/>
      <c r="DZ50" s="1288"/>
      <c r="EA50" s="1288"/>
      <c r="EB50" s="1289"/>
      <c r="EC50" s="1255"/>
      <c r="ED50" s="1204" t="s">
        <v>123</v>
      </c>
      <c r="EE50" s="1204" t="s">
        <v>123</v>
      </c>
      <c r="EF50" s="1206" t="s">
        <v>123</v>
      </c>
      <c r="EG50" s="1206"/>
      <c r="EH50" s="1206" t="s">
        <v>123</v>
      </c>
      <c r="EI50" s="1291"/>
      <c r="EJ50" s="1291"/>
      <c r="EK50" s="1199" t="str">
        <f t="shared" si="10"/>
        <v/>
      </c>
      <c r="EL50" s="1208"/>
      <c r="EM50" s="1223"/>
      <c r="EN50" s="1234"/>
      <c r="EO50" s="1288"/>
      <c r="EP50" s="1288"/>
      <c r="EQ50" s="1289"/>
      <c r="ER50" s="1255"/>
      <c r="ES50" s="1204" t="s">
        <v>123</v>
      </c>
      <c r="ET50" s="1204" t="s">
        <v>123</v>
      </c>
      <c r="EU50" s="1206" t="s">
        <v>123</v>
      </c>
      <c r="EV50" s="1206"/>
      <c r="EW50" s="1206" t="s">
        <v>123</v>
      </c>
      <c r="EX50" s="1291"/>
      <c r="EY50" s="1291"/>
      <c r="EZ50" s="1199" t="str">
        <f t="shared" si="11"/>
        <v/>
      </c>
      <c r="FA50" s="1208"/>
      <c r="FB50" s="1223"/>
      <c r="FC50" s="1234"/>
      <c r="FD50" s="1288"/>
      <c r="FE50" s="1288"/>
      <c r="FF50" s="1289"/>
      <c r="FG50" s="1255"/>
      <c r="FH50" s="1204" t="s">
        <v>123</v>
      </c>
      <c r="FI50" s="1204" t="s">
        <v>123</v>
      </c>
      <c r="FJ50" s="1206" t="s">
        <v>123</v>
      </c>
      <c r="FK50" s="1206"/>
      <c r="FL50" s="1206" t="s">
        <v>123</v>
      </c>
      <c r="FM50" s="1291"/>
      <c r="FN50" s="1291"/>
      <c r="FO50" s="1199" t="str">
        <f t="shared" si="12"/>
        <v/>
      </c>
      <c r="FP50" s="1208"/>
      <c r="FQ50" s="1208"/>
      <c r="FR50" s="1292"/>
      <c r="FS50" s="1288"/>
      <c r="FT50" s="1288"/>
      <c r="FU50" s="1289"/>
      <c r="FV50" s="1255"/>
      <c r="FW50" s="1204" t="s">
        <v>123</v>
      </c>
      <c r="FX50" s="1204" t="s">
        <v>123</v>
      </c>
      <c r="FY50" s="1206" t="s">
        <v>123</v>
      </c>
      <c r="FZ50" s="1206"/>
      <c r="GA50" s="1206" t="s">
        <v>123</v>
      </c>
      <c r="GB50" s="1291"/>
      <c r="GC50" s="1291"/>
      <c r="GD50" s="1199" t="str">
        <f t="shared" si="13"/>
        <v/>
      </c>
      <c r="GE50" s="1208"/>
      <c r="GF50" s="1208"/>
      <c r="GG50" s="1292"/>
      <c r="GH50" s="1288"/>
      <c r="GI50" s="1288"/>
      <c r="GJ50" s="1289"/>
      <c r="GK50" s="1255"/>
      <c r="GL50" s="1204" t="s">
        <v>123</v>
      </c>
      <c r="GM50" s="1204" t="s">
        <v>123</v>
      </c>
      <c r="GN50" s="1206" t="s">
        <v>123</v>
      </c>
      <c r="GO50" s="1206"/>
      <c r="GP50" s="1206" t="s">
        <v>123</v>
      </c>
      <c r="GQ50" s="1291"/>
      <c r="GR50" s="1291"/>
      <c r="GS50" s="1199" t="str">
        <f t="shared" si="14"/>
        <v/>
      </c>
      <c r="GT50" s="1208"/>
      <c r="GU50" s="1208"/>
      <c r="GV50" s="1292"/>
      <c r="GW50" s="1288"/>
      <c r="GX50" s="1288"/>
      <c r="GY50" s="1289"/>
      <c r="GZ50" s="1255"/>
      <c r="HA50" s="1204" t="s">
        <v>123</v>
      </c>
      <c r="HB50" s="1204" t="s">
        <v>123</v>
      </c>
      <c r="HC50" s="1206" t="s">
        <v>123</v>
      </c>
      <c r="HD50" s="1206"/>
      <c r="HE50" s="1206" t="s">
        <v>123</v>
      </c>
      <c r="HF50" s="1291"/>
      <c r="HG50" s="1291"/>
      <c r="HH50" s="1199" t="str">
        <f t="shared" si="15"/>
        <v/>
      </c>
      <c r="HI50" s="1208"/>
      <c r="HJ50" s="1208"/>
      <c r="HK50" s="1292"/>
      <c r="HL50" s="1288"/>
      <c r="HM50" s="1288"/>
      <c r="HN50" s="1289"/>
      <c r="HO50" s="1255"/>
      <c r="HP50" s="1204" t="s">
        <v>123</v>
      </c>
      <c r="HQ50" s="1204" t="s">
        <v>123</v>
      </c>
      <c r="HR50" s="1206" t="s">
        <v>123</v>
      </c>
      <c r="HS50" s="1206"/>
      <c r="HT50" s="1206" t="s">
        <v>123</v>
      </c>
      <c r="HU50" s="1291"/>
      <c r="HV50" s="1291"/>
      <c r="HW50" s="1227"/>
    </row>
    <row r="51" ht="15.75" customHeight="1">
      <c r="A51" s="1297"/>
      <c r="B51" s="1298"/>
      <c r="C51" s="1298"/>
      <c r="D51" s="1297"/>
      <c r="E51" s="1299"/>
      <c r="F51" s="1199" t="str">
        <f t="shared" si="1"/>
        <v/>
      </c>
      <c r="G51" s="1208"/>
      <c r="H51" s="1208"/>
      <c r="I51" s="1292"/>
      <c r="J51" s="1288"/>
      <c r="K51" s="1288"/>
      <c r="L51" s="1212"/>
      <c r="M51" s="1255"/>
      <c r="N51" s="1204" t="s">
        <v>123</v>
      </c>
      <c r="O51" s="1204" t="s">
        <v>123</v>
      </c>
      <c r="P51" s="1205" t="s">
        <v>123</v>
      </c>
      <c r="Q51" s="1291"/>
      <c r="R51" s="1291" t="s">
        <v>123</v>
      </c>
      <c r="S51" s="1291"/>
      <c r="T51" s="1291"/>
      <c r="U51" s="1199" t="str">
        <f t="shared" si="2"/>
        <v/>
      </c>
      <c r="V51" s="1208"/>
      <c r="W51" s="1208"/>
      <c r="X51" s="1274"/>
      <c r="Y51" s="1209"/>
      <c r="Z51" s="1209"/>
      <c r="AA51" s="1210"/>
      <c r="AB51" s="1211"/>
      <c r="AC51" s="1204" t="s">
        <v>123</v>
      </c>
      <c r="AD51" s="1204" t="s">
        <v>123</v>
      </c>
      <c r="AE51" s="1205" t="s">
        <v>123</v>
      </c>
      <c r="AF51" s="1206"/>
      <c r="AG51" s="1206" t="s">
        <v>123</v>
      </c>
      <c r="AH51" s="1291"/>
      <c r="AI51" s="1291"/>
      <c r="AJ51" s="1199" t="str">
        <f t="shared" si="3"/>
        <v/>
      </c>
      <c r="AK51" s="1208"/>
      <c r="AL51" s="1208"/>
      <c r="AM51" s="1292"/>
      <c r="AN51" s="1288"/>
      <c r="AO51" s="1288"/>
      <c r="AP51" s="1289"/>
      <c r="AQ51" s="1255"/>
      <c r="AR51" s="1204" t="s">
        <v>123</v>
      </c>
      <c r="AS51" s="1204" t="s">
        <v>123</v>
      </c>
      <c r="AT51" s="1206" t="s">
        <v>123</v>
      </c>
      <c r="AU51" s="1206"/>
      <c r="AV51" s="1206" t="s">
        <v>123</v>
      </c>
      <c r="AW51" s="1291"/>
      <c r="AX51" s="1291"/>
      <c r="AY51" s="1199" t="str">
        <f t="shared" si="4"/>
        <v/>
      </c>
      <c r="AZ51" s="1208"/>
      <c r="BA51" s="1223"/>
      <c r="BB51" s="1234"/>
      <c r="BC51" s="1253"/>
      <c r="BD51" s="1253"/>
      <c r="BE51" s="1252"/>
      <c r="BF51" s="1252"/>
      <c r="BG51" s="1204" t="s">
        <v>123</v>
      </c>
      <c r="BH51" s="1204" t="s">
        <v>123</v>
      </c>
      <c r="BI51" s="1206" t="s">
        <v>123</v>
      </c>
      <c r="BJ51" s="1206"/>
      <c r="BK51" s="1206" t="s">
        <v>123</v>
      </c>
      <c r="BL51" s="1291"/>
      <c r="BM51" s="1291"/>
      <c r="BN51" s="1199" t="str">
        <f t="shared" si="5"/>
        <v/>
      </c>
      <c r="BO51" s="1208"/>
      <c r="BP51" s="1223"/>
      <c r="BQ51" s="1234"/>
      <c r="BR51" s="1209"/>
      <c r="BS51" s="1253"/>
      <c r="BT51" s="1212"/>
      <c r="BU51" s="1241"/>
      <c r="BV51" s="1204" t="s">
        <v>123</v>
      </c>
      <c r="BW51" s="1204" t="s">
        <v>123</v>
      </c>
      <c r="BX51" s="1206" t="s">
        <v>123</v>
      </c>
      <c r="BY51" s="1206"/>
      <c r="BZ51" s="1206" t="s">
        <v>123</v>
      </c>
      <c r="CA51" s="1291"/>
      <c r="CB51" s="1291"/>
      <c r="CC51" s="1199" t="str">
        <f t="shared" si="6"/>
        <v/>
      </c>
      <c r="CD51" s="1208"/>
      <c r="CE51" s="1208"/>
      <c r="CF51" s="1292"/>
      <c r="CG51" s="1288"/>
      <c r="CH51" s="1288"/>
      <c r="CI51" s="1289"/>
      <c r="CJ51" s="1255"/>
      <c r="CK51" s="1204" t="s">
        <v>123</v>
      </c>
      <c r="CL51" s="1204" t="s">
        <v>123</v>
      </c>
      <c r="CM51" s="1206" t="s">
        <v>123</v>
      </c>
      <c r="CN51" s="1206"/>
      <c r="CO51" s="1206" t="s">
        <v>123</v>
      </c>
      <c r="CP51" s="1291"/>
      <c r="CQ51" s="1291"/>
      <c r="CR51" s="1199" t="str">
        <f t="shared" si="7"/>
        <v/>
      </c>
      <c r="CS51" s="1208"/>
      <c r="CT51" s="1208"/>
      <c r="CU51" s="1292"/>
      <c r="CV51" s="1288"/>
      <c r="CW51" s="1288"/>
      <c r="CX51" s="1289"/>
      <c r="CY51" s="1255"/>
      <c r="CZ51" s="1204" t="s">
        <v>123</v>
      </c>
      <c r="DA51" s="1204" t="s">
        <v>123</v>
      </c>
      <c r="DB51" s="1206" t="s">
        <v>123</v>
      </c>
      <c r="DC51" s="1206"/>
      <c r="DD51" s="1206" t="s">
        <v>123</v>
      </c>
      <c r="DE51" s="1291"/>
      <c r="DF51" s="1291"/>
      <c r="DG51" s="1199" t="str">
        <f t="shared" si="8"/>
        <v/>
      </c>
      <c r="DH51" s="1208"/>
      <c r="DI51" s="1208"/>
      <c r="DJ51" s="1302"/>
      <c r="DK51" s="1288"/>
      <c r="DL51" s="1288"/>
      <c r="DM51" s="1289"/>
      <c r="DN51" s="1255"/>
      <c r="DO51" s="1204" t="s">
        <v>123</v>
      </c>
      <c r="DP51" s="1204" t="s">
        <v>123</v>
      </c>
      <c r="DQ51" s="1206" t="s">
        <v>123</v>
      </c>
      <c r="DR51" s="1206"/>
      <c r="DS51" s="1206" t="s">
        <v>123</v>
      </c>
      <c r="DT51" s="1291"/>
      <c r="DU51" s="1291"/>
      <c r="DV51" s="1199" t="str">
        <f t="shared" si="9"/>
        <v/>
      </c>
      <c r="DW51" s="1208"/>
      <c r="DX51" s="1208"/>
      <c r="DY51" s="1292"/>
      <c r="DZ51" s="1288"/>
      <c r="EA51" s="1288"/>
      <c r="EB51" s="1289"/>
      <c r="EC51" s="1255"/>
      <c r="ED51" s="1204" t="s">
        <v>123</v>
      </c>
      <c r="EE51" s="1204" t="s">
        <v>123</v>
      </c>
      <c r="EF51" s="1206" t="s">
        <v>123</v>
      </c>
      <c r="EG51" s="1206"/>
      <c r="EH51" s="1206" t="s">
        <v>123</v>
      </c>
      <c r="EI51" s="1291"/>
      <c r="EJ51" s="1291"/>
      <c r="EK51" s="1199" t="str">
        <f t="shared" si="10"/>
        <v/>
      </c>
      <c r="EL51" s="1208"/>
      <c r="EM51" s="1223"/>
      <c r="EN51" s="1234"/>
      <c r="EO51" s="1288"/>
      <c r="EP51" s="1288"/>
      <c r="EQ51" s="1289"/>
      <c r="ER51" s="1255"/>
      <c r="ES51" s="1204" t="s">
        <v>123</v>
      </c>
      <c r="ET51" s="1204" t="s">
        <v>123</v>
      </c>
      <c r="EU51" s="1206" t="s">
        <v>123</v>
      </c>
      <c r="EV51" s="1206"/>
      <c r="EW51" s="1206" t="s">
        <v>123</v>
      </c>
      <c r="EX51" s="1291"/>
      <c r="EY51" s="1291"/>
      <c r="EZ51" s="1199" t="str">
        <f t="shared" si="11"/>
        <v/>
      </c>
      <c r="FA51" s="1208"/>
      <c r="FB51" s="1223"/>
      <c r="FC51" s="1234"/>
      <c r="FD51" s="1288"/>
      <c r="FE51" s="1288"/>
      <c r="FF51" s="1289"/>
      <c r="FG51" s="1255"/>
      <c r="FH51" s="1204" t="s">
        <v>123</v>
      </c>
      <c r="FI51" s="1204" t="s">
        <v>123</v>
      </c>
      <c r="FJ51" s="1206" t="s">
        <v>123</v>
      </c>
      <c r="FK51" s="1206"/>
      <c r="FL51" s="1206" t="s">
        <v>123</v>
      </c>
      <c r="FM51" s="1291"/>
      <c r="FN51" s="1291"/>
      <c r="FO51" s="1199" t="str">
        <f t="shared" si="12"/>
        <v/>
      </c>
      <c r="FP51" s="1208"/>
      <c r="FQ51" s="1208"/>
      <c r="FR51" s="1292"/>
      <c r="FS51" s="1288"/>
      <c r="FT51" s="1288"/>
      <c r="FU51" s="1289"/>
      <c r="FV51" s="1255"/>
      <c r="FW51" s="1204" t="s">
        <v>123</v>
      </c>
      <c r="FX51" s="1204" t="s">
        <v>123</v>
      </c>
      <c r="FY51" s="1206" t="s">
        <v>123</v>
      </c>
      <c r="FZ51" s="1206"/>
      <c r="GA51" s="1206" t="s">
        <v>123</v>
      </c>
      <c r="GB51" s="1291"/>
      <c r="GC51" s="1291"/>
      <c r="GD51" s="1199" t="str">
        <f t="shared" si="13"/>
        <v/>
      </c>
      <c r="GE51" s="1208"/>
      <c r="GF51" s="1208"/>
      <c r="GG51" s="1292"/>
      <c r="GH51" s="1288"/>
      <c r="GI51" s="1288"/>
      <c r="GJ51" s="1289"/>
      <c r="GK51" s="1255"/>
      <c r="GL51" s="1204" t="s">
        <v>123</v>
      </c>
      <c r="GM51" s="1204" t="s">
        <v>123</v>
      </c>
      <c r="GN51" s="1206" t="s">
        <v>123</v>
      </c>
      <c r="GO51" s="1206"/>
      <c r="GP51" s="1206" t="s">
        <v>123</v>
      </c>
      <c r="GQ51" s="1291"/>
      <c r="GR51" s="1291"/>
      <c r="GS51" s="1199" t="str">
        <f t="shared" si="14"/>
        <v/>
      </c>
      <c r="GT51" s="1208"/>
      <c r="GU51" s="1208"/>
      <c r="GV51" s="1292"/>
      <c r="GW51" s="1288"/>
      <c r="GX51" s="1288"/>
      <c r="GY51" s="1289"/>
      <c r="GZ51" s="1255"/>
      <c r="HA51" s="1204" t="s">
        <v>123</v>
      </c>
      <c r="HB51" s="1204" t="s">
        <v>123</v>
      </c>
      <c r="HC51" s="1206" t="s">
        <v>123</v>
      </c>
      <c r="HD51" s="1206"/>
      <c r="HE51" s="1206" t="s">
        <v>123</v>
      </c>
      <c r="HF51" s="1291"/>
      <c r="HG51" s="1291"/>
      <c r="HH51" s="1199" t="str">
        <f t="shared" si="15"/>
        <v/>
      </c>
      <c r="HI51" s="1208"/>
      <c r="HJ51" s="1208"/>
      <c r="HK51" s="1292"/>
      <c r="HL51" s="1288"/>
      <c r="HM51" s="1288"/>
      <c r="HN51" s="1289"/>
      <c r="HO51" s="1255"/>
      <c r="HP51" s="1204" t="s">
        <v>123</v>
      </c>
      <c r="HQ51" s="1204" t="s">
        <v>123</v>
      </c>
      <c r="HR51" s="1206" t="s">
        <v>123</v>
      </c>
      <c r="HS51" s="1206"/>
      <c r="HT51" s="1206" t="s">
        <v>123</v>
      </c>
      <c r="HU51" s="1291"/>
      <c r="HV51" s="1291"/>
      <c r="HW51" s="1227"/>
    </row>
    <row r="52" ht="15.75" customHeight="1">
      <c r="A52" s="1297"/>
      <c r="B52" s="1298"/>
      <c r="C52" s="1298"/>
      <c r="D52" s="1297"/>
      <c r="E52" s="1299"/>
      <c r="F52" s="1199" t="str">
        <f t="shared" si="1"/>
        <v/>
      </c>
      <c r="G52" s="1208"/>
      <c r="H52" s="1208"/>
      <c r="I52" s="1292"/>
      <c r="J52" s="1288"/>
      <c r="K52" s="1288"/>
      <c r="L52" s="1289"/>
      <c r="M52" s="1255"/>
      <c r="N52" s="1204" t="s">
        <v>123</v>
      </c>
      <c r="O52" s="1204" t="s">
        <v>123</v>
      </c>
      <c r="P52" s="1205" t="s">
        <v>123</v>
      </c>
      <c r="Q52" s="1291"/>
      <c r="R52" s="1291" t="s">
        <v>123</v>
      </c>
      <c r="S52" s="1291"/>
      <c r="T52" s="1291"/>
      <c r="U52" s="1199" t="str">
        <f t="shared" si="2"/>
        <v/>
      </c>
      <c r="V52" s="1208"/>
      <c r="W52" s="1208"/>
      <c r="X52" s="1274"/>
      <c r="Y52" s="1209"/>
      <c r="Z52" s="1209"/>
      <c r="AA52" s="1210"/>
      <c r="AB52" s="1211"/>
      <c r="AC52" s="1204" t="s">
        <v>123</v>
      </c>
      <c r="AD52" s="1204" t="s">
        <v>123</v>
      </c>
      <c r="AE52" s="1205" t="s">
        <v>123</v>
      </c>
      <c r="AF52" s="1206"/>
      <c r="AG52" s="1206" t="s">
        <v>123</v>
      </c>
      <c r="AH52" s="1291"/>
      <c r="AI52" s="1291"/>
      <c r="AJ52" s="1199" t="str">
        <f t="shared" si="3"/>
        <v/>
      </c>
      <c r="AK52" s="1208"/>
      <c r="AL52" s="1208"/>
      <c r="AM52" s="1292"/>
      <c r="AN52" s="1288"/>
      <c r="AO52" s="1288"/>
      <c r="AP52" s="1289"/>
      <c r="AQ52" s="1255"/>
      <c r="AR52" s="1204" t="s">
        <v>123</v>
      </c>
      <c r="AS52" s="1204" t="s">
        <v>123</v>
      </c>
      <c r="AT52" s="1206" t="s">
        <v>123</v>
      </c>
      <c r="AU52" s="1206"/>
      <c r="AV52" s="1206" t="s">
        <v>123</v>
      </c>
      <c r="AW52" s="1291"/>
      <c r="AX52" s="1291"/>
      <c r="AY52" s="1199" t="str">
        <f t="shared" si="4"/>
        <v/>
      </c>
      <c r="AZ52" s="1208"/>
      <c r="BA52" s="1223"/>
      <c r="BB52" s="1234"/>
      <c r="BC52" s="1253"/>
      <c r="BD52" s="1253"/>
      <c r="BE52" s="1252"/>
      <c r="BF52" s="1252"/>
      <c r="BG52" s="1204" t="s">
        <v>123</v>
      </c>
      <c r="BH52" s="1204" t="s">
        <v>123</v>
      </c>
      <c r="BI52" s="1206" t="s">
        <v>123</v>
      </c>
      <c r="BJ52" s="1206"/>
      <c r="BK52" s="1206" t="s">
        <v>123</v>
      </c>
      <c r="BL52" s="1291"/>
      <c r="BM52" s="1291"/>
      <c r="BN52" s="1199" t="str">
        <f t="shared" si="5"/>
        <v/>
      </c>
      <c r="BO52" s="1208"/>
      <c r="BP52" s="1223"/>
      <c r="BQ52" s="1234"/>
      <c r="BR52" s="1209"/>
      <c r="BS52" s="1253"/>
      <c r="BT52" s="1212"/>
      <c r="BU52" s="1241"/>
      <c r="BV52" s="1204" t="s">
        <v>123</v>
      </c>
      <c r="BW52" s="1204" t="s">
        <v>123</v>
      </c>
      <c r="BX52" s="1206" t="s">
        <v>123</v>
      </c>
      <c r="BY52" s="1206"/>
      <c r="BZ52" s="1206" t="s">
        <v>123</v>
      </c>
      <c r="CA52" s="1291"/>
      <c r="CB52" s="1291"/>
      <c r="CC52" s="1199" t="str">
        <f t="shared" si="6"/>
        <v/>
      </c>
      <c r="CD52" s="1208"/>
      <c r="CE52" s="1208"/>
      <c r="CF52" s="1292"/>
      <c r="CG52" s="1288"/>
      <c r="CH52" s="1288"/>
      <c r="CI52" s="1289"/>
      <c r="CJ52" s="1255"/>
      <c r="CK52" s="1204" t="s">
        <v>123</v>
      </c>
      <c r="CL52" s="1204" t="s">
        <v>123</v>
      </c>
      <c r="CM52" s="1206" t="s">
        <v>123</v>
      </c>
      <c r="CN52" s="1206"/>
      <c r="CO52" s="1206" t="s">
        <v>123</v>
      </c>
      <c r="CP52" s="1291"/>
      <c r="CQ52" s="1291"/>
      <c r="CR52" s="1199" t="str">
        <f t="shared" si="7"/>
        <v/>
      </c>
      <c r="CS52" s="1208"/>
      <c r="CT52" s="1208"/>
      <c r="CU52" s="1292"/>
      <c r="CV52" s="1288"/>
      <c r="CW52" s="1288"/>
      <c r="CX52" s="1289"/>
      <c r="CY52" s="1255"/>
      <c r="CZ52" s="1204" t="s">
        <v>123</v>
      </c>
      <c r="DA52" s="1204" t="s">
        <v>123</v>
      </c>
      <c r="DB52" s="1206" t="s">
        <v>123</v>
      </c>
      <c r="DC52" s="1206"/>
      <c r="DD52" s="1206" t="s">
        <v>123</v>
      </c>
      <c r="DE52" s="1291"/>
      <c r="DF52" s="1291"/>
      <c r="DG52" s="1199" t="str">
        <f t="shared" si="8"/>
        <v/>
      </c>
      <c r="DH52" s="1208"/>
      <c r="DI52" s="1208"/>
      <c r="DJ52" s="1302"/>
      <c r="DK52" s="1288"/>
      <c r="DL52" s="1288"/>
      <c r="DM52" s="1289"/>
      <c r="DN52" s="1255"/>
      <c r="DO52" s="1204" t="s">
        <v>123</v>
      </c>
      <c r="DP52" s="1204" t="s">
        <v>123</v>
      </c>
      <c r="DQ52" s="1206" t="s">
        <v>123</v>
      </c>
      <c r="DR52" s="1206"/>
      <c r="DS52" s="1206" t="s">
        <v>123</v>
      </c>
      <c r="DT52" s="1291"/>
      <c r="DU52" s="1291"/>
      <c r="DV52" s="1199" t="str">
        <f t="shared" si="9"/>
        <v/>
      </c>
      <c r="DW52" s="1208"/>
      <c r="DX52" s="1208"/>
      <c r="DY52" s="1292"/>
      <c r="DZ52" s="1288"/>
      <c r="EA52" s="1288"/>
      <c r="EB52" s="1289"/>
      <c r="EC52" s="1255"/>
      <c r="ED52" s="1204" t="s">
        <v>123</v>
      </c>
      <c r="EE52" s="1204" t="s">
        <v>123</v>
      </c>
      <c r="EF52" s="1206" t="s">
        <v>123</v>
      </c>
      <c r="EG52" s="1206"/>
      <c r="EH52" s="1206" t="s">
        <v>123</v>
      </c>
      <c r="EI52" s="1291"/>
      <c r="EJ52" s="1291"/>
      <c r="EK52" s="1199" t="str">
        <f t="shared" si="10"/>
        <v/>
      </c>
      <c r="EL52" s="1208"/>
      <c r="EM52" s="1223"/>
      <c r="EN52" s="1234"/>
      <c r="EO52" s="1288"/>
      <c r="EP52" s="1288"/>
      <c r="EQ52" s="1289"/>
      <c r="ER52" s="1255"/>
      <c r="ES52" s="1204" t="s">
        <v>123</v>
      </c>
      <c r="ET52" s="1204" t="s">
        <v>123</v>
      </c>
      <c r="EU52" s="1206" t="s">
        <v>123</v>
      </c>
      <c r="EV52" s="1206"/>
      <c r="EW52" s="1206" t="s">
        <v>123</v>
      </c>
      <c r="EX52" s="1291"/>
      <c r="EY52" s="1291"/>
      <c r="EZ52" s="1199" t="str">
        <f t="shared" si="11"/>
        <v/>
      </c>
      <c r="FA52" s="1208"/>
      <c r="FB52" s="1223"/>
      <c r="FC52" s="1234"/>
      <c r="FD52" s="1288"/>
      <c r="FE52" s="1288"/>
      <c r="FF52" s="1289"/>
      <c r="FG52" s="1255"/>
      <c r="FH52" s="1204" t="s">
        <v>123</v>
      </c>
      <c r="FI52" s="1204" t="s">
        <v>123</v>
      </c>
      <c r="FJ52" s="1206" t="s">
        <v>123</v>
      </c>
      <c r="FK52" s="1206"/>
      <c r="FL52" s="1206" t="s">
        <v>123</v>
      </c>
      <c r="FM52" s="1291"/>
      <c r="FN52" s="1291"/>
      <c r="FO52" s="1199" t="str">
        <f t="shared" si="12"/>
        <v/>
      </c>
      <c r="FP52" s="1208"/>
      <c r="FQ52" s="1208"/>
      <c r="FR52" s="1292"/>
      <c r="FS52" s="1288"/>
      <c r="FT52" s="1288"/>
      <c r="FU52" s="1289"/>
      <c r="FV52" s="1255"/>
      <c r="FW52" s="1204" t="s">
        <v>123</v>
      </c>
      <c r="FX52" s="1204" t="s">
        <v>123</v>
      </c>
      <c r="FY52" s="1206" t="s">
        <v>123</v>
      </c>
      <c r="FZ52" s="1206"/>
      <c r="GA52" s="1206" t="s">
        <v>123</v>
      </c>
      <c r="GB52" s="1291"/>
      <c r="GC52" s="1291"/>
      <c r="GD52" s="1199" t="str">
        <f t="shared" si="13"/>
        <v/>
      </c>
      <c r="GE52" s="1208"/>
      <c r="GF52" s="1208"/>
      <c r="GG52" s="1292"/>
      <c r="GH52" s="1288"/>
      <c r="GI52" s="1288"/>
      <c r="GJ52" s="1289"/>
      <c r="GK52" s="1255"/>
      <c r="GL52" s="1204" t="s">
        <v>123</v>
      </c>
      <c r="GM52" s="1204" t="s">
        <v>123</v>
      </c>
      <c r="GN52" s="1206" t="s">
        <v>123</v>
      </c>
      <c r="GO52" s="1206"/>
      <c r="GP52" s="1206" t="s">
        <v>123</v>
      </c>
      <c r="GQ52" s="1291"/>
      <c r="GR52" s="1291"/>
      <c r="GS52" s="1199" t="str">
        <f t="shared" si="14"/>
        <v/>
      </c>
      <c r="GT52" s="1208"/>
      <c r="GU52" s="1208"/>
      <c r="GV52" s="1292"/>
      <c r="GW52" s="1288"/>
      <c r="GX52" s="1288"/>
      <c r="GY52" s="1289"/>
      <c r="GZ52" s="1255"/>
      <c r="HA52" s="1204" t="s">
        <v>123</v>
      </c>
      <c r="HB52" s="1204" t="s">
        <v>123</v>
      </c>
      <c r="HC52" s="1206" t="s">
        <v>123</v>
      </c>
      <c r="HD52" s="1206"/>
      <c r="HE52" s="1206" t="s">
        <v>123</v>
      </c>
      <c r="HF52" s="1291"/>
      <c r="HG52" s="1291"/>
      <c r="HH52" s="1199" t="str">
        <f t="shared" si="15"/>
        <v/>
      </c>
      <c r="HI52" s="1208"/>
      <c r="HJ52" s="1208"/>
      <c r="HK52" s="1292"/>
      <c r="HL52" s="1288"/>
      <c r="HM52" s="1288"/>
      <c r="HN52" s="1289"/>
      <c r="HO52" s="1255"/>
      <c r="HP52" s="1204" t="s">
        <v>123</v>
      </c>
      <c r="HQ52" s="1204" t="s">
        <v>123</v>
      </c>
      <c r="HR52" s="1206" t="s">
        <v>123</v>
      </c>
      <c r="HS52" s="1206"/>
      <c r="HT52" s="1206" t="s">
        <v>123</v>
      </c>
      <c r="HU52" s="1291"/>
      <c r="HV52" s="1291"/>
      <c r="HW52" s="1227"/>
    </row>
    <row r="53" ht="15.75" customHeight="1">
      <c r="A53" s="1297"/>
      <c r="B53" s="1298"/>
      <c r="C53" s="1298"/>
      <c r="D53" s="1297"/>
      <c r="E53" s="1299"/>
      <c r="F53" s="1199" t="str">
        <f t="shared" si="1"/>
        <v/>
      </c>
      <c r="G53" s="1208"/>
      <c r="H53" s="1208"/>
      <c r="I53" s="1292"/>
      <c r="J53" s="1288"/>
      <c r="K53" s="1288"/>
      <c r="L53" s="1289"/>
      <c r="M53" s="1255"/>
      <c r="N53" s="1204" t="s">
        <v>123</v>
      </c>
      <c r="O53" s="1204" t="s">
        <v>123</v>
      </c>
      <c r="P53" s="1205" t="s">
        <v>123</v>
      </c>
      <c r="Q53" s="1291"/>
      <c r="R53" s="1291" t="s">
        <v>123</v>
      </c>
      <c r="S53" s="1291"/>
      <c r="T53" s="1291"/>
      <c r="U53" s="1199" t="str">
        <f t="shared" si="2"/>
        <v/>
      </c>
      <c r="V53" s="1208"/>
      <c r="W53" s="1208"/>
      <c r="X53" s="1274"/>
      <c r="Y53" s="1209"/>
      <c r="Z53" s="1209"/>
      <c r="AA53" s="1210"/>
      <c r="AB53" s="1211"/>
      <c r="AC53" s="1204" t="s">
        <v>123</v>
      </c>
      <c r="AD53" s="1204" t="s">
        <v>123</v>
      </c>
      <c r="AE53" s="1205" t="s">
        <v>123</v>
      </c>
      <c r="AF53" s="1206"/>
      <c r="AG53" s="1206" t="s">
        <v>123</v>
      </c>
      <c r="AH53" s="1291"/>
      <c r="AI53" s="1291"/>
      <c r="AJ53" s="1199" t="str">
        <f t="shared" si="3"/>
        <v/>
      </c>
      <c r="AK53" s="1208"/>
      <c r="AL53" s="1208"/>
      <c r="AM53" s="1292"/>
      <c r="AN53" s="1288"/>
      <c r="AO53" s="1288"/>
      <c r="AP53" s="1289"/>
      <c r="AQ53" s="1255"/>
      <c r="AR53" s="1204" t="s">
        <v>123</v>
      </c>
      <c r="AS53" s="1204" t="s">
        <v>123</v>
      </c>
      <c r="AT53" s="1206" t="s">
        <v>123</v>
      </c>
      <c r="AU53" s="1206"/>
      <c r="AV53" s="1206" t="s">
        <v>123</v>
      </c>
      <c r="AW53" s="1291"/>
      <c r="AX53" s="1291"/>
      <c r="AY53" s="1199" t="str">
        <f t="shared" si="4"/>
        <v/>
      </c>
      <c r="AZ53" s="1208"/>
      <c r="BA53" s="1223"/>
      <c r="BB53" s="1259"/>
      <c r="BC53" s="1253"/>
      <c r="BD53" s="1253"/>
      <c r="BE53" s="1252"/>
      <c r="BF53" s="1212"/>
      <c r="BG53" s="1204" t="s">
        <v>123</v>
      </c>
      <c r="BH53" s="1204" t="s">
        <v>123</v>
      </c>
      <c r="BI53" s="1206" t="s">
        <v>123</v>
      </c>
      <c r="BJ53" s="1206"/>
      <c r="BK53" s="1206" t="s">
        <v>123</v>
      </c>
      <c r="BL53" s="1291"/>
      <c r="BM53" s="1291"/>
      <c r="BN53" s="1199" t="str">
        <f t="shared" si="5"/>
        <v/>
      </c>
      <c r="BO53" s="1208"/>
      <c r="BP53" s="1223"/>
      <c r="BQ53" s="1234"/>
      <c r="BR53" s="1209"/>
      <c r="BS53" s="1253"/>
      <c r="BT53" s="1212"/>
      <c r="BU53" s="1241"/>
      <c r="BV53" s="1204" t="s">
        <v>123</v>
      </c>
      <c r="BW53" s="1204" t="s">
        <v>123</v>
      </c>
      <c r="BX53" s="1206" t="s">
        <v>123</v>
      </c>
      <c r="BY53" s="1206"/>
      <c r="BZ53" s="1206" t="s">
        <v>123</v>
      </c>
      <c r="CA53" s="1291"/>
      <c r="CB53" s="1291"/>
      <c r="CC53" s="1199" t="str">
        <f t="shared" si="6"/>
        <v/>
      </c>
      <c r="CD53" s="1208"/>
      <c r="CE53" s="1208"/>
      <c r="CF53" s="1292"/>
      <c r="CG53" s="1288"/>
      <c r="CH53" s="1288"/>
      <c r="CI53" s="1289"/>
      <c r="CJ53" s="1255"/>
      <c r="CK53" s="1204" t="s">
        <v>123</v>
      </c>
      <c r="CL53" s="1204" t="s">
        <v>123</v>
      </c>
      <c r="CM53" s="1206" t="s">
        <v>123</v>
      </c>
      <c r="CN53" s="1206"/>
      <c r="CO53" s="1206" t="s">
        <v>123</v>
      </c>
      <c r="CP53" s="1291"/>
      <c r="CQ53" s="1291"/>
      <c r="CR53" s="1199" t="str">
        <f t="shared" si="7"/>
        <v/>
      </c>
      <c r="CS53" s="1208"/>
      <c r="CT53" s="1208"/>
      <c r="CU53" s="1292"/>
      <c r="CV53" s="1288"/>
      <c r="CW53" s="1288"/>
      <c r="CX53" s="1289"/>
      <c r="CY53" s="1255"/>
      <c r="CZ53" s="1204" t="s">
        <v>123</v>
      </c>
      <c r="DA53" s="1204" t="s">
        <v>123</v>
      </c>
      <c r="DB53" s="1206" t="s">
        <v>123</v>
      </c>
      <c r="DC53" s="1206"/>
      <c r="DD53" s="1206" t="s">
        <v>123</v>
      </c>
      <c r="DE53" s="1291"/>
      <c r="DF53" s="1291"/>
      <c r="DG53" s="1199" t="str">
        <f t="shared" si="8"/>
        <v/>
      </c>
      <c r="DH53" s="1208"/>
      <c r="DI53" s="1208"/>
      <c r="DJ53" s="1302"/>
      <c r="DK53" s="1288"/>
      <c r="DL53" s="1288"/>
      <c r="DM53" s="1289"/>
      <c r="DN53" s="1255"/>
      <c r="DO53" s="1204" t="s">
        <v>123</v>
      </c>
      <c r="DP53" s="1204" t="s">
        <v>123</v>
      </c>
      <c r="DQ53" s="1206" t="s">
        <v>123</v>
      </c>
      <c r="DR53" s="1206"/>
      <c r="DS53" s="1206" t="s">
        <v>123</v>
      </c>
      <c r="DT53" s="1291"/>
      <c r="DU53" s="1291"/>
      <c r="DV53" s="1199" t="str">
        <f t="shared" si="9"/>
        <v/>
      </c>
      <c r="DW53" s="1208"/>
      <c r="DX53" s="1208"/>
      <c r="DY53" s="1292"/>
      <c r="DZ53" s="1288"/>
      <c r="EA53" s="1288"/>
      <c r="EB53" s="1289"/>
      <c r="EC53" s="1255"/>
      <c r="ED53" s="1204" t="s">
        <v>123</v>
      </c>
      <c r="EE53" s="1204" t="s">
        <v>123</v>
      </c>
      <c r="EF53" s="1206" t="s">
        <v>123</v>
      </c>
      <c r="EG53" s="1206"/>
      <c r="EH53" s="1206" t="s">
        <v>123</v>
      </c>
      <c r="EI53" s="1291"/>
      <c r="EJ53" s="1291"/>
      <c r="EK53" s="1199" t="str">
        <f t="shared" si="10"/>
        <v/>
      </c>
      <c r="EL53" s="1208"/>
      <c r="EM53" s="1223"/>
      <c r="EN53" s="1234"/>
      <c r="EO53" s="1288"/>
      <c r="EP53" s="1288"/>
      <c r="EQ53" s="1289"/>
      <c r="ER53" s="1255"/>
      <c r="ES53" s="1204" t="s">
        <v>123</v>
      </c>
      <c r="ET53" s="1204" t="s">
        <v>123</v>
      </c>
      <c r="EU53" s="1206" t="s">
        <v>123</v>
      </c>
      <c r="EV53" s="1206"/>
      <c r="EW53" s="1206" t="s">
        <v>123</v>
      </c>
      <c r="EX53" s="1291"/>
      <c r="EY53" s="1291"/>
      <c r="EZ53" s="1199" t="str">
        <f t="shared" si="11"/>
        <v/>
      </c>
      <c r="FA53" s="1208"/>
      <c r="FB53" s="1223"/>
      <c r="FC53" s="1234"/>
      <c r="FD53" s="1288"/>
      <c r="FE53" s="1288"/>
      <c r="FF53" s="1289"/>
      <c r="FG53" s="1255"/>
      <c r="FH53" s="1204" t="s">
        <v>123</v>
      </c>
      <c r="FI53" s="1204" t="s">
        <v>123</v>
      </c>
      <c r="FJ53" s="1206" t="s">
        <v>123</v>
      </c>
      <c r="FK53" s="1206"/>
      <c r="FL53" s="1206" t="s">
        <v>123</v>
      </c>
      <c r="FM53" s="1291"/>
      <c r="FN53" s="1291"/>
      <c r="FO53" s="1199" t="str">
        <f t="shared" si="12"/>
        <v/>
      </c>
      <c r="FP53" s="1208"/>
      <c r="FQ53" s="1208"/>
      <c r="FR53" s="1292"/>
      <c r="FS53" s="1288"/>
      <c r="FT53" s="1288"/>
      <c r="FU53" s="1289"/>
      <c r="FV53" s="1255"/>
      <c r="FW53" s="1204" t="s">
        <v>123</v>
      </c>
      <c r="FX53" s="1204" t="s">
        <v>123</v>
      </c>
      <c r="FY53" s="1206" t="s">
        <v>123</v>
      </c>
      <c r="FZ53" s="1206"/>
      <c r="GA53" s="1206" t="s">
        <v>123</v>
      </c>
      <c r="GB53" s="1291"/>
      <c r="GC53" s="1291"/>
      <c r="GD53" s="1199" t="str">
        <f t="shared" si="13"/>
        <v/>
      </c>
      <c r="GE53" s="1208"/>
      <c r="GF53" s="1208"/>
      <c r="GG53" s="1292"/>
      <c r="GH53" s="1288"/>
      <c r="GI53" s="1288"/>
      <c r="GJ53" s="1289"/>
      <c r="GK53" s="1255"/>
      <c r="GL53" s="1204" t="s">
        <v>123</v>
      </c>
      <c r="GM53" s="1204" t="s">
        <v>123</v>
      </c>
      <c r="GN53" s="1206" t="s">
        <v>123</v>
      </c>
      <c r="GO53" s="1206"/>
      <c r="GP53" s="1206" t="s">
        <v>123</v>
      </c>
      <c r="GQ53" s="1291"/>
      <c r="GR53" s="1291"/>
      <c r="GS53" s="1199" t="str">
        <f t="shared" si="14"/>
        <v/>
      </c>
      <c r="GT53" s="1208"/>
      <c r="GU53" s="1208"/>
      <c r="GV53" s="1292"/>
      <c r="GW53" s="1288"/>
      <c r="GX53" s="1288"/>
      <c r="GY53" s="1289"/>
      <c r="GZ53" s="1255"/>
      <c r="HA53" s="1204" t="s">
        <v>123</v>
      </c>
      <c r="HB53" s="1204" t="s">
        <v>123</v>
      </c>
      <c r="HC53" s="1206" t="s">
        <v>123</v>
      </c>
      <c r="HD53" s="1206"/>
      <c r="HE53" s="1206" t="s">
        <v>123</v>
      </c>
      <c r="HF53" s="1291"/>
      <c r="HG53" s="1291"/>
      <c r="HH53" s="1199" t="str">
        <f t="shared" si="15"/>
        <v/>
      </c>
      <c r="HI53" s="1208"/>
      <c r="HJ53" s="1208"/>
      <c r="HK53" s="1292"/>
      <c r="HL53" s="1288"/>
      <c r="HM53" s="1288"/>
      <c r="HN53" s="1289"/>
      <c r="HO53" s="1255"/>
      <c r="HP53" s="1204" t="s">
        <v>123</v>
      </c>
      <c r="HQ53" s="1204" t="s">
        <v>123</v>
      </c>
      <c r="HR53" s="1206" t="s">
        <v>123</v>
      </c>
      <c r="HS53" s="1206"/>
      <c r="HT53" s="1206" t="s">
        <v>123</v>
      </c>
      <c r="HU53" s="1291"/>
      <c r="HV53" s="1291"/>
      <c r="HW53" s="1227"/>
    </row>
    <row r="54" ht="15.75" customHeight="1">
      <c r="A54" s="1297"/>
      <c r="B54" s="1298"/>
      <c r="C54" s="1298"/>
      <c r="D54" s="1297"/>
      <c r="E54" s="1299"/>
      <c r="F54" s="1199" t="str">
        <f t="shared" si="1"/>
        <v/>
      </c>
      <c r="G54" s="1208"/>
      <c r="H54" s="1208"/>
      <c r="I54" s="1292"/>
      <c r="J54" s="1288"/>
      <c r="K54" s="1288"/>
      <c r="L54" s="1289"/>
      <c r="M54" s="1255"/>
      <c r="N54" s="1204" t="s">
        <v>123</v>
      </c>
      <c r="O54" s="1204" t="s">
        <v>123</v>
      </c>
      <c r="P54" s="1205" t="s">
        <v>123</v>
      </c>
      <c r="Q54" s="1291"/>
      <c r="R54" s="1291" t="s">
        <v>123</v>
      </c>
      <c r="S54" s="1291"/>
      <c r="T54" s="1291"/>
      <c r="U54" s="1199" t="str">
        <f t="shared" si="2"/>
        <v/>
      </c>
      <c r="V54" s="1208"/>
      <c r="W54" s="1208"/>
      <c r="X54" s="1259"/>
      <c r="Y54" s="1209"/>
      <c r="Z54" s="1209"/>
      <c r="AA54" s="1210"/>
      <c r="AB54" s="1211"/>
      <c r="AC54" s="1204" t="s">
        <v>123</v>
      </c>
      <c r="AD54" s="1204" t="s">
        <v>123</v>
      </c>
      <c r="AE54" s="1205" t="s">
        <v>123</v>
      </c>
      <c r="AF54" s="1206"/>
      <c r="AG54" s="1206" t="s">
        <v>123</v>
      </c>
      <c r="AH54" s="1291"/>
      <c r="AI54" s="1291"/>
      <c r="AJ54" s="1199" t="str">
        <f t="shared" si="3"/>
        <v/>
      </c>
      <c r="AK54" s="1208"/>
      <c r="AL54" s="1208"/>
      <c r="AM54" s="1292"/>
      <c r="AN54" s="1288"/>
      <c r="AO54" s="1288"/>
      <c r="AP54" s="1289"/>
      <c r="AQ54" s="1255"/>
      <c r="AR54" s="1204" t="s">
        <v>123</v>
      </c>
      <c r="AS54" s="1204" t="s">
        <v>123</v>
      </c>
      <c r="AT54" s="1206" t="s">
        <v>123</v>
      </c>
      <c r="AU54" s="1206"/>
      <c r="AV54" s="1206" t="s">
        <v>123</v>
      </c>
      <c r="AW54" s="1291"/>
      <c r="AX54" s="1291"/>
      <c r="AY54" s="1199" t="str">
        <f t="shared" si="4"/>
        <v/>
      </c>
      <c r="AZ54" s="1208"/>
      <c r="BA54" s="1223"/>
      <c r="BB54" s="1234"/>
      <c r="BC54" s="1253"/>
      <c r="BD54" s="1253"/>
      <c r="BE54" s="1212"/>
      <c r="BF54" s="1242"/>
      <c r="BG54" s="1204" t="s">
        <v>123</v>
      </c>
      <c r="BH54" s="1204" t="s">
        <v>123</v>
      </c>
      <c r="BI54" s="1206" t="s">
        <v>123</v>
      </c>
      <c r="BJ54" s="1206"/>
      <c r="BK54" s="1206" t="s">
        <v>123</v>
      </c>
      <c r="BL54" s="1291"/>
      <c r="BM54" s="1291"/>
      <c r="BN54" s="1199" t="str">
        <f t="shared" si="5"/>
        <v/>
      </c>
      <c r="BO54" s="1208"/>
      <c r="BP54" s="1223"/>
      <c r="BQ54" s="1234"/>
      <c r="BR54" s="1209"/>
      <c r="BS54" s="1253"/>
      <c r="BT54" s="1212"/>
      <c r="BU54" s="1241"/>
      <c r="BV54" s="1204" t="s">
        <v>123</v>
      </c>
      <c r="BW54" s="1204" t="s">
        <v>123</v>
      </c>
      <c r="BX54" s="1206" t="s">
        <v>123</v>
      </c>
      <c r="BY54" s="1206"/>
      <c r="BZ54" s="1206" t="s">
        <v>123</v>
      </c>
      <c r="CA54" s="1291"/>
      <c r="CB54" s="1291"/>
      <c r="CC54" s="1199" t="str">
        <f t="shared" si="6"/>
        <v/>
      </c>
      <c r="CD54" s="1208"/>
      <c r="CE54" s="1208"/>
      <c r="CF54" s="1292"/>
      <c r="CG54" s="1288"/>
      <c r="CH54" s="1288"/>
      <c r="CI54" s="1289"/>
      <c r="CJ54" s="1255"/>
      <c r="CK54" s="1204" t="s">
        <v>123</v>
      </c>
      <c r="CL54" s="1204" t="s">
        <v>123</v>
      </c>
      <c r="CM54" s="1206" t="s">
        <v>123</v>
      </c>
      <c r="CN54" s="1206"/>
      <c r="CO54" s="1206" t="s">
        <v>123</v>
      </c>
      <c r="CP54" s="1291"/>
      <c r="CQ54" s="1291"/>
      <c r="CR54" s="1199" t="str">
        <f t="shared" si="7"/>
        <v/>
      </c>
      <c r="CS54" s="1208"/>
      <c r="CT54" s="1208"/>
      <c r="CU54" s="1292"/>
      <c r="CV54" s="1288"/>
      <c r="CW54" s="1288"/>
      <c r="CX54" s="1289"/>
      <c r="CY54" s="1255"/>
      <c r="CZ54" s="1204" t="s">
        <v>123</v>
      </c>
      <c r="DA54" s="1204" t="s">
        <v>123</v>
      </c>
      <c r="DB54" s="1206" t="s">
        <v>123</v>
      </c>
      <c r="DC54" s="1206"/>
      <c r="DD54" s="1206" t="s">
        <v>123</v>
      </c>
      <c r="DE54" s="1291"/>
      <c r="DF54" s="1291"/>
      <c r="DG54" s="1199" t="str">
        <f t="shared" si="8"/>
        <v/>
      </c>
      <c r="DH54" s="1208"/>
      <c r="DI54" s="1208"/>
      <c r="DJ54" s="1302"/>
      <c r="DK54" s="1288"/>
      <c r="DL54" s="1288"/>
      <c r="DM54" s="1289"/>
      <c r="DN54" s="1255"/>
      <c r="DO54" s="1204" t="s">
        <v>123</v>
      </c>
      <c r="DP54" s="1204" t="s">
        <v>123</v>
      </c>
      <c r="DQ54" s="1206" t="s">
        <v>123</v>
      </c>
      <c r="DR54" s="1206"/>
      <c r="DS54" s="1206" t="s">
        <v>123</v>
      </c>
      <c r="DT54" s="1291"/>
      <c r="DU54" s="1291"/>
      <c r="DV54" s="1199" t="str">
        <f t="shared" si="9"/>
        <v/>
      </c>
      <c r="DW54" s="1208"/>
      <c r="DX54" s="1208"/>
      <c r="DY54" s="1292"/>
      <c r="DZ54" s="1288"/>
      <c r="EA54" s="1288"/>
      <c r="EB54" s="1289"/>
      <c r="EC54" s="1255"/>
      <c r="ED54" s="1204" t="s">
        <v>123</v>
      </c>
      <c r="EE54" s="1204" t="s">
        <v>123</v>
      </c>
      <c r="EF54" s="1206" t="s">
        <v>123</v>
      </c>
      <c r="EG54" s="1206"/>
      <c r="EH54" s="1206" t="s">
        <v>123</v>
      </c>
      <c r="EI54" s="1291"/>
      <c r="EJ54" s="1291"/>
      <c r="EK54" s="1199" t="str">
        <f t="shared" si="10"/>
        <v/>
      </c>
      <c r="EL54" s="1208"/>
      <c r="EM54" s="1208"/>
      <c r="EN54" s="1292"/>
      <c r="EO54" s="1288"/>
      <c r="EP54" s="1288"/>
      <c r="EQ54" s="1289"/>
      <c r="ER54" s="1255"/>
      <c r="ES54" s="1204" t="s">
        <v>123</v>
      </c>
      <c r="ET54" s="1204" t="s">
        <v>123</v>
      </c>
      <c r="EU54" s="1206" t="s">
        <v>123</v>
      </c>
      <c r="EV54" s="1206"/>
      <c r="EW54" s="1206" t="s">
        <v>123</v>
      </c>
      <c r="EX54" s="1291"/>
      <c r="EY54" s="1291"/>
      <c r="EZ54" s="1199" t="str">
        <f t="shared" si="11"/>
        <v/>
      </c>
      <c r="FA54" s="1208"/>
      <c r="FB54" s="1208"/>
      <c r="FC54" s="1292"/>
      <c r="FD54" s="1288"/>
      <c r="FE54" s="1288"/>
      <c r="FF54" s="1289"/>
      <c r="FG54" s="1255"/>
      <c r="FH54" s="1204" t="s">
        <v>123</v>
      </c>
      <c r="FI54" s="1204" t="s">
        <v>123</v>
      </c>
      <c r="FJ54" s="1206" t="s">
        <v>123</v>
      </c>
      <c r="FK54" s="1206"/>
      <c r="FL54" s="1206" t="s">
        <v>123</v>
      </c>
      <c r="FM54" s="1291"/>
      <c r="FN54" s="1291"/>
      <c r="FO54" s="1199" t="str">
        <f t="shared" si="12"/>
        <v/>
      </c>
      <c r="FP54" s="1208"/>
      <c r="FQ54" s="1208"/>
      <c r="FR54" s="1292"/>
      <c r="FS54" s="1288"/>
      <c r="FT54" s="1288"/>
      <c r="FU54" s="1289"/>
      <c r="FV54" s="1255"/>
      <c r="FW54" s="1204" t="s">
        <v>123</v>
      </c>
      <c r="FX54" s="1204" t="s">
        <v>123</v>
      </c>
      <c r="FY54" s="1206" t="s">
        <v>123</v>
      </c>
      <c r="FZ54" s="1206"/>
      <c r="GA54" s="1206" t="s">
        <v>123</v>
      </c>
      <c r="GB54" s="1291"/>
      <c r="GC54" s="1291"/>
      <c r="GD54" s="1199" t="str">
        <f t="shared" si="13"/>
        <v/>
      </c>
      <c r="GE54" s="1208"/>
      <c r="GF54" s="1208"/>
      <c r="GG54" s="1292"/>
      <c r="GH54" s="1288"/>
      <c r="GI54" s="1288"/>
      <c r="GJ54" s="1289"/>
      <c r="GK54" s="1255"/>
      <c r="GL54" s="1204" t="s">
        <v>123</v>
      </c>
      <c r="GM54" s="1204" t="s">
        <v>123</v>
      </c>
      <c r="GN54" s="1206" t="s">
        <v>123</v>
      </c>
      <c r="GO54" s="1206"/>
      <c r="GP54" s="1206" t="s">
        <v>123</v>
      </c>
      <c r="GQ54" s="1291"/>
      <c r="GR54" s="1291"/>
      <c r="GS54" s="1199" t="str">
        <f t="shared" si="14"/>
        <v/>
      </c>
      <c r="GT54" s="1208"/>
      <c r="GU54" s="1208"/>
      <c r="GV54" s="1292"/>
      <c r="GW54" s="1288"/>
      <c r="GX54" s="1288"/>
      <c r="GY54" s="1289"/>
      <c r="GZ54" s="1255"/>
      <c r="HA54" s="1204" t="s">
        <v>123</v>
      </c>
      <c r="HB54" s="1204" t="s">
        <v>123</v>
      </c>
      <c r="HC54" s="1206" t="s">
        <v>123</v>
      </c>
      <c r="HD54" s="1206"/>
      <c r="HE54" s="1206" t="s">
        <v>123</v>
      </c>
      <c r="HF54" s="1291"/>
      <c r="HG54" s="1291"/>
      <c r="HH54" s="1199" t="str">
        <f t="shared" si="15"/>
        <v/>
      </c>
      <c r="HI54" s="1208"/>
      <c r="HJ54" s="1208"/>
      <c r="HK54" s="1292"/>
      <c r="HL54" s="1288"/>
      <c r="HM54" s="1288"/>
      <c r="HN54" s="1289"/>
      <c r="HO54" s="1255"/>
      <c r="HP54" s="1204" t="s">
        <v>123</v>
      </c>
      <c r="HQ54" s="1204" t="s">
        <v>123</v>
      </c>
      <c r="HR54" s="1206" t="s">
        <v>123</v>
      </c>
      <c r="HS54" s="1206"/>
      <c r="HT54" s="1206" t="s">
        <v>123</v>
      </c>
      <c r="HU54" s="1291"/>
      <c r="HV54" s="1291"/>
      <c r="HW54" s="1227"/>
    </row>
    <row r="55" ht="15.75" customHeight="1">
      <c r="A55" s="1297"/>
      <c r="B55" s="1298"/>
      <c r="C55" s="1298"/>
      <c r="D55" s="1297"/>
      <c r="E55" s="1299"/>
      <c r="F55" s="1199" t="str">
        <f t="shared" si="1"/>
        <v/>
      </c>
      <c r="G55" s="1208"/>
      <c r="H55" s="1208"/>
      <c r="I55" s="1292"/>
      <c r="J55" s="1288"/>
      <c r="K55" s="1288"/>
      <c r="L55" s="1289"/>
      <c r="M55" s="1255"/>
      <c r="N55" s="1204" t="s">
        <v>123</v>
      </c>
      <c r="O55" s="1204" t="s">
        <v>123</v>
      </c>
      <c r="P55" s="1205" t="s">
        <v>123</v>
      </c>
      <c r="Q55" s="1291"/>
      <c r="R55" s="1291" t="s">
        <v>123</v>
      </c>
      <c r="S55" s="1291"/>
      <c r="T55" s="1291"/>
      <c r="U55" s="1199" t="str">
        <f t="shared" si="2"/>
        <v/>
      </c>
      <c r="V55" s="1208"/>
      <c r="W55" s="1208"/>
      <c r="X55" s="1201"/>
      <c r="Y55" s="1209"/>
      <c r="Z55" s="1209"/>
      <c r="AA55" s="1210"/>
      <c r="AB55" s="1211"/>
      <c r="AC55" s="1204" t="s">
        <v>123</v>
      </c>
      <c r="AD55" s="1204" t="s">
        <v>123</v>
      </c>
      <c r="AE55" s="1205" t="s">
        <v>123</v>
      </c>
      <c r="AF55" s="1206"/>
      <c r="AG55" s="1206" t="s">
        <v>123</v>
      </c>
      <c r="AH55" s="1291"/>
      <c r="AI55" s="1291"/>
      <c r="AJ55" s="1199" t="str">
        <f t="shared" si="3"/>
        <v/>
      </c>
      <c r="AK55" s="1208"/>
      <c r="AL55" s="1208"/>
      <c r="AM55" s="1292"/>
      <c r="AN55" s="1288"/>
      <c r="AO55" s="1288"/>
      <c r="AP55" s="1289"/>
      <c r="AQ55" s="1255"/>
      <c r="AR55" s="1204" t="s">
        <v>123</v>
      </c>
      <c r="AS55" s="1204" t="s">
        <v>123</v>
      </c>
      <c r="AT55" s="1206" t="s">
        <v>123</v>
      </c>
      <c r="AU55" s="1206"/>
      <c r="AV55" s="1206" t="s">
        <v>123</v>
      </c>
      <c r="AW55" s="1291"/>
      <c r="AX55" s="1291"/>
      <c r="AY55" s="1199" t="str">
        <f t="shared" si="4"/>
        <v/>
      </c>
      <c r="AZ55" s="1208"/>
      <c r="BA55" s="1223"/>
      <c r="BB55" s="1234"/>
      <c r="BC55" s="1253"/>
      <c r="BD55" s="1253"/>
      <c r="BE55" s="1252"/>
      <c r="BF55" s="1242"/>
      <c r="BG55" s="1204" t="s">
        <v>123</v>
      </c>
      <c r="BH55" s="1204" t="s">
        <v>123</v>
      </c>
      <c r="BI55" s="1206" t="s">
        <v>123</v>
      </c>
      <c r="BJ55" s="1206"/>
      <c r="BK55" s="1206" t="s">
        <v>123</v>
      </c>
      <c r="BL55" s="1291"/>
      <c r="BM55" s="1291"/>
      <c r="BN55" s="1199" t="str">
        <f t="shared" si="5"/>
        <v/>
      </c>
      <c r="BO55" s="1208"/>
      <c r="BP55" s="1208"/>
      <c r="BQ55" s="1234"/>
      <c r="BR55" s="1209"/>
      <c r="BS55" s="1253"/>
      <c r="BT55" s="1212"/>
      <c r="BU55" s="1212"/>
      <c r="BV55" s="1204" t="s">
        <v>123</v>
      </c>
      <c r="BW55" s="1204" t="s">
        <v>123</v>
      </c>
      <c r="BX55" s="1206" t="s">
        <v>123</v>
      </c>
      <c r="BY55" s="1206"/>
      <c r="BZ55" s="1206" t="s">
        <v>123</v>
      </c>
      <c r="CA55" s="1291"/>
      <c r="CB55" s="1291"/>
      <c r="CC55" s="1199" t="str">
        <f t="shared" si="6"/>
        <v/>
      </c>
      <c r="CD55" s="1208"/>
      <c r="CE55" s="1208"/>
      <c r="CF55" s="1292"/>
      <c r="CG55" s="1288"/>
      <c r="CH55" s="1288"/>
      <c r="CI55" s="1289"/>
      <c r="CJ55" s="1255"/>
      <c r="CK55" s="1204" t="s">
        <v>123</v>
      </c>
      <c r="CL55" s="1204" t="s">
        <v>123</v>
      </c>
      <c r="CM55" s="1206" t="s">
        <v>123</v>
      </c>
      <c r="CN55" s="1206"/>
      <c r="CO55" s="1206" t="s">
        <v>123</v>
      </c>
      <c r="CP55" s="1291"/>
      <c r="CQ55" s="1291"/>
      <c r="CR55" s="1199" t="str">
        <f t="shared" si="7"/>
        <v/>
      </c>
      <c r="CS55" s="1208"/>
      <c r="CT55" s="1208"/>
      <c r="CU55" s="1292"/>
      <c r="CV55" s="1288"/>
      <c r="CW55" s="1288"/>
      <c r="CX55" s="1289"/>
      <c r="CY55" s="1255"/>
      <c r="CZ55" s="1204" t="s">
        <v>123</v>
      </c>
      <c r="DA55" s="1204" t="s">
        <v>123</v>
      </c>
      <c r="DB55" s="1206" t="s">
        <v>123</v>
      </c>
      <c r="DC55" s="1206"/>
      <c r="DD55" s="1206" t="s">
        <v>123</v>
      </c>
      <c r="DE55" s="1291"/>
      <c r="DF55" s="1291"/>
      <c r="DG55" s="1199" t="str">
        <f t="shared" si="8"/>
        <v/>
      </c>
      <c r="DH55" s="1208"/>
      <c r="DI55" s="1208"/>
      <c r="DJ55" s="1302"/>
      <c r="DK55" s="1288"/>
      <c r="DL55" s="1288"/>
      <c r="DM55" s="1289"/>
      <c r="DN55" s="1255"/>
      <c r="DO55" s="1204" t="s">
        <v>123</v>
      </c>
      <c r="DP55" s="1204" t="s">
        <v>123</v>
      </c>
      <c r="DQ55" s="1206" t="s">
        <v>123</v>
      </c>
      <c r="DR55" s="1206"/>
      <c r="DS55" s="1206" t="s">
        <v>123</v>
      </c>
      <c r="DT55" s="1291"/>
      <c r="DU55" s="1291"/>
      <c r="DV55" s="1199" t="str">
        <f t="shared" si="9"/>
        <v/>
      </c>
      <c r="DW55" s="1208"/>
      <c r="DX55" s="1208"/>
      <c r="DY55" s="1292"/>
      <c r="DZ55" s="1288"/>
      <c r="EA55" s="1288"/>
      <c r="EB55" s="1289"/>
      <c r="EC55" s="1255"/>
      <c r="ED55" s="1204" t="s">
        <v>123</v>
      </c>
      <c r="EE55" s="1204" t="s">
        <v>123</v>
      </c>
      <c r="EF55" s="1206" t="s">
        <v>123</v>
      </c>
      <c r="EG55" s="1206"/>
      <c r="EH55" s="1206" t="s">
        <v>123</v>
      </c>
      <c r="EI55" s="1291"/>
      <c r="EJ55" s="1291"/>
      <c r="EK55" s="1199" t="str">
        <f t="shared" si="10"/>
        <v/>
      </c>
      <c r="EL55" s="1208"/>
      <c r="EM55" s="1208"/>
      <c r="EN55" s="1292"/>
      <c r="EO55" s="1288"/>
      <c r="EP55" s="1288"/>
      <c r="EQ55" s="1289"/>
      <c r="ER55" s="1255"/>
      <c r="ES55" s="1204" t="s">
        <v>123</v>
      </c>
      <c r="ET55" s="1204" t="s">
        <v>123</v>
      </c>
      <c r="EU55" s="1206" t="s">
        <v>123</v>
      </c>
      <c r="EV55" s="1206"/>
      <c r="EW55" s="1206" t="s">
        <v>123</v>
      </c>
      <c r="EX55" s="1291"/>
      <c r="EY55" s="1291"/>
      <c r="EZ55" s="1199" t="str">
        <f t="shared" si="11"/>
        <v/>
      </c>
      <c r="FA55" s="1208"/>
      <c r="FB55" s="1208"/>
      <c r="FC55" s="1292"/>
      <c r="FD55" s="1288"/>
      <c r="FE55" s="1288"/>
      <c r="FF55" s="1289"/>
      <c r="FG55" s="1255"/>
      <c r="FH55" s="1204" t="s">
        <v>123</v>
      </c>
      <c r="FI55" s="1204" t="s">
        <v>123</v>
      </c>
      <c r="FJ55" s="1206" t="s">
        <v>123</v>
      </c>
      <c r="FK55" s="1206"/>
      <c r="FL55" s="1206" t="s">
        <v>123</v>
      </c>
      <c r="FM55" s="1291"/>
      <c r="FN55" s="1291"/>
      <c r="FO55" s="1199" t="str">
        <f t="shared" si="12"/>
        <v/>
      </c>
      <c r="FP55" s="1208"/>
      <c r="FQ55" s="1208"/>
      <c r="FR55" s="1292"/>
      <c r="FS55" s="1288"/>
      <c r="FT55" s="1288"/>
      <c r="FU55" s="1289"/>
      <c r="FV55" s="1255"/>
      <c r="FW55" s="1204" t="s">
        <v>123</v>
      </c>
      <c r="FX55" s="1204" t="s">
        <v>123</v>
      </c>
      <c r="FY55" s="1206" t="s">
        <v>123</v>
      </c>
      <c r="FZ55" s="1206"/>
      <c r="GA55" s="1206" t="s">
        <v>123</v>
      </c>
      <c r="GB55" s="1291"/>
      <c r="GC55" s="1291"/>
      <c r="GD55" s="1199" t="str">
        <f t="shared" si="13"/>
        <v/>
      </c>
      <c r="GE55" s="1208"/>
      <c r="GF55" s="1208"/>
      <c r="GG55" s="1292"/>
      <c r="GH55" s="1288"/>
      <c r="GI55" s="1288"/>
      <c r="GJ55" s="1289"/>
      <c r="GK55" s="1255"/>
      <c r="GL55" s="1204" t="s">
        <v>123</v>
      </c>
      <c r="GM55" s="1204" t="s">
        <v>123</v>
      </c>
      <c r="GN55" s="1206" t="s">
        <v>123</v>
      </c>
      <c r="GO55" s="1206"/>
      <c r="GP55" s="1206" t="s">
        <v>123</v>
      </c>
      <c r="GQ55" s="1291"/>
      <c r="GR55" s="1291"/>
      <c r="GS55" s="1199" t="str">
        <f t="shared" si="14"/>
        <v/>
      </c>
      <c r="GT55" s="1208"/>
      <c r="GU55" s="1208"/>
      <c r="GV55" s="1292"/>
      <c r="GW55" s="1288"/>
      <c r="GX55" s="1288"/>
      <c r="GY55" s="1289"/>
      <c r="GZ55" s="1255"/>
      <c r="HA55" s="1204" t="s">
        <v>123</v>
      </c>
      <c r="HB55" s="1204" t="s">
        <v>123</v>
      </c>
      <c r="HC55" s="1206" t="s">
        <v>123</v>
      </c>
      <c r="HD55" s="1206"/>
      <c r="HE55" s="1206" t="s">
        <v>123</v>
      </c>
      <c r="HF55" s="1291"/>
      <c r="HG55" s="1291"/>
      <c r="HH55" s="1199" t="str">
        <f t="shared" si="15"/>
        <v/>
      </c>
      <c r="HI55" s="1208"/>
      <c r="HJ55" s="1208"/>
      <c r="HK55" s="1292"/>
      <c r="HL55" s="1288"/>
      <c r="HM55" s="1288"/>
      <c r="HN55" s="1289"/>
      <c r="HO55" s="1255"/>
      <c r="HP55" s="1204" t="s">
        <v>123</v>
      </c>
      <c r="HQ55" s="1204" t="s">
        <v>123</v>
      </c>
      <c r="HR55" s="1206" t="s">
        <v>123</v>
      </c>
      <c r="HS55" s="1206"/>
      <c r="HT55" s="1206" t="s">
        <v>123</v>
      </c>
      <c r="HU55" s="1291"/>
      <c r="HV55" s="1291"/>
      <c r="HW55" s="1227"/>
    </row>
    <row r="56" ht="15.75" customHeight="1">
      <c r="A56" s="1297"/>
      <c r="B56" s="1298"/>
      <c r="C56" s="1298"/>
      <c r="D56" s="1297"/>
      <c r="E56" s="1299"/>
      <c r="F56" s="1199" t="str">
        <f t="shared" si="1"/>
        <v/>
      </c>
      <c r="G56" s="1208"/>
      <c r="H56" s="1208"/>
      <c r="I56" s="1292"/>
      <c r="J56" s="1288"/>
      <c r="K56" s="1288"/>
      <c r="L56" s="1289"/>
      <c r="M56" s="1255"/>
      <c r="N56" s="1204" t="s">
        <v>123</v>
      </c>
      <c r="O56" s="1204" t="s">
        <v>123</v>
      </c>
      <c r="P56" s="1205" t="s">
        <v>123</v>
      </c>
      <c r="Q56" s="1291"/>
      <c r="R56" s="1291" t="s">
        <v>123</v>
      </c>
      <c r="S56" s="1291"/>
      <c r="T56" s="1291"/>
      <c r="U56" s="1199" t="str">
        <f t="shared" si="2"/>
        <v/>
      </c>
      <c r="V56" s="1208"/>
      <c r="W56" s="1208"/>
      <c r="X56" s="1292"/>
      <c r="Y56" s="1288"/>
      <c r="Z56" s="1288"/>
      <c r="AA56" s="1289"/>
      <c r="AB56" s="1255"/>
      <c r="AC56" s="1204" t="s">
        <v>123</v>
      </c>
      <c r="AD56" s="1204" t="s">
        <v>123</v>
      </c>
      <c r="AE56" s="1205" t="s">
        <v>123</v>
      </c>
      <c r="AF56" s="1206"/>
      <c r="AG56" s="1206" t="s">
        <v>123</v>
      </c>
      <c r="AH56" s="1291"/>
      <c r="AI56" s="1291"/>
      <c r="AJ56" s="1199" t="str">
        <f t="shared" si="3"/>
        <v/>
      </c>
      <c r="AK56" s="1208"/>
      <c r="AL56" s="1208"/>
      <c r="AM56" s="1292"/>
      <c r="AN56" s="1288"/>
      <c r="AO56" s="1288"/>
      <c r="AP56" s="1289"/>
      <c r="AQ56" s="1255"/>
      <c r="AR56" s="1204" t="s">
        <v>123</v>
      </c>
      <c r="AS56" s="1204" t="s">
        <v>123</v>
      </c>
      <c r="AT56" s="1206" t="s">
        <v>123</v>
      </c>
      <c r="AU56" s="1206"/>
      <c r="AV56" s="1206" t="s">
        <v>123</v>
      </c>
      <c r="AW56" s="1291"/>
      <c r="AX56" s="1291"/>
      <c r="AY56" s="1199" t="str">
        <f t="shared" si="4"/>
        <v/>
      </c>
      <c r="AZ56" s="1208"/>
      <c r="BA56" s="1223"/>
      <c r="BB56" s="1234"/>
      <c r="BC56" s="1253"/>
      <c r="BD56" s="1253"/>
      <c r="BE56" s="1252"/>
      <c r="BF56" s="1242"/>
      <c r="BG56" s="1204" t="s">
        <v>123</v>
      </c>
      <c r="BH56" s="1204" t="s">
        <v>123</v>
      </c>
      <c r="BI56" s="1206" t="s">
        <v>123</v>
      </c>
      <c r="BJ56" s="1206"/>
      <c r="BK56" s="1206" t="s">
        <v>123</v>
      </c>
      <c r="BL56" s="1291"/>
      <c r="BM56" s="1291"/>
      <c r="BN56" s="1199" t="str">
        <f t="shared" si="5"/>
        <v/>
      </c>
      <c r="BO56" s="1208"/>
      <c r="BP56" s="1223"/>
      <c r="BQ56" s="1234"/>
      <c r="BR56" s="1224"/>
      <c r="BS56" s="1253"/>
      <c r="BT56" s="1212"/>
      <c r="BU56" s="1241"/>
      <c r="BV56" s="1204" t="s">
        <v>123</v>
      </c>
      <c r="BW56" s="1204" t="s">
        <v>123</v>
      </c>
      <c r="BX56" s="1206" t="s">
        <v>123</v>
      </c>
      <c r="BY56" s="1206"/>
      <c r="BZ56" s="1206" t="s">
        <v>123</v>
      </c>
      <c r="CA56" s="1291"/>
      <c r="CB56" s="1291"/>
      <c r="CC56" s="1199" t="str">
        <f t="shared" si="6"/>
        <v/>
      </c>
      <c r="CD56" s="1208"/>
      <c r="CE56" s="1208"/>
      <c r="CF56" s="1292"/>
      <c r="CG56" s="1288"/>
      <c r="CH56" s="1288"/>
      <c r="CI56" s="1289"/>
      <c r="CJ56" s="1255"/>
      <c r="CK56" s="1204" t="s">
        <v>123</v>
      </c>
      <c r="CL56" s="1204" t="s">
        <v>123</v>
      </c>
      <c r="CM56" s="1206" t="s">
        <v>123</v>
      </c>
      <c r="CN56" s="1206"/>
      <c r="CO56" s="1206" t="s">
        <v>123</v>
      </c>
      <c r="CP56" s="1291"/>
      <c r="CQ56" s="1291"/>
      <c r="CR56" s="1199" t="str">
        <f t="shared" si="7"/>
        <v/>
      </c>
      <c r="CS56" s="1208"/>
      <c r="CT56" s="1208"/>
      <c r="CU56" s="1292"/>
      <c r="CV56" s="1288"/>
      <c r="CW56" s="1288"/>
      <c r="CX56" s="1289"/>
      <c r="CY56" s="1255"/>
      <c r="CZ56" s="1204" t="s">
        <v>123</v>
      </c>
      <c r="DA56" s="1204" t="s">
        <v>123</v>
      </c>
      <c r="DB56" s="1206" t="s">
        <v>123</v>
      </c>
      <c r="DC56" s="1206"/>
      <c r="DD56" s="1206" t="s">
        <v>123</v>
      </c>
      <c r="DE56" s="1291"/>
      <c r="DF56" s="1291"/>
      <c r="DG56" s="1199" t="str">
        <f t="shared" si="8"/>
        <v/>
      </c>
      <c r="DH56" s="1208"/>
      <c r="DI56" s="1208"/>
      <c r="DJ56" s="1302"/>
      <c r="DK56" s="1288"/>
      <c r="DL56" s="1288"/>
      <c r="DM56" s="1289"/>
      <c r="DN56" s="1255"/>
      <c r="DO56" s="1204" t="s">
        <v>123</v>
      </c>
      <c r="DP56" s="1204" t="s">
        <v>123</v>
      </c>
      <c r="DQ56" s="1206" t="s">
        <v>123</v>
      </c>
      <c r="DR56" s="1206"/>
      <c r="DS56" s="1206" t="s">
        <v>123</v>
      </c>
      <c r="DT56" s="1291"/>
      <c r="DU56" s="1291"/>
      <c r="DV56" s="1199" t="str">
        <f t="shared" si="9"/>
        <v/>
      </c>
      <c r="DW56" s="1208"/>
      <c r="DX56" s="1208"/>
      <c r="DY56" s="1292"/>
      <c r="DZ56" s="1288"/>
      <c r="EA56" s="1288"/>
      <c r="EB56" s="1289"/>
      <c r="EC56" s="1255"/>
      <c r="ED56" s="1204" t="s">
        <v>123</v>
      </c>
      <c r="EE56" s="1204" t="s">
        <v>123</v>
      </c>
      <c r="EF56" s="1206" t="s">
        <v>123</v>
      </c>
      <c r="EG56" s="1206"/>
      <c r="EH56" s="1206" t="s">
        <v>123</v>
      </c>
      <c r="EI56" s="1291"/>
      <c r="EJ56" s="1291"/>
      <c r="EK56" s="1199" t="str">
        <f t="shared" si="10"/>
        <v/>
      </c>
      <c r="EL56" s="1208"/>
      <c r="EM56" s="1208"/>
      <c r="EN56" s="1292"/>
      <c r="EO56" s="1288"/>
      <c r="EP56" s="1288"/>
      <c r="EQ56" s="1289"/>
      <c r="ER56" s="1255"/>
      <c r="ES56" s="1204" t="s">
        <v>123</v>
      </c>
      <c r="ET56" s="1204" t="s">
        <v>123</v>
      </c>
      <c r="EU56" s="1206" t="s">
        <v>123</v>
      </c>
      <c r="EV56" s="1206"/>
      <c r="EW56" s="1206" t="s">
        <v>123</v>
      </c>
      <c r="EX56" s="1291"/>
      <c r="EY56" s="1291"/>
      <c r="EZ56" s="1199" t="str">
        <f t="shared" si="11"/>
        <v/>
      </c>
      <c r="FA56" s="1208"/>
      <c r="FB56" s="1208"/>
      <c r="FC56" s="1292"/>
      <c r="FD56" s="1288"/>
      <c r="FE56" s="1288"/>
      <c r="FF56" s="1289"/>
      <c r="FG56" s="1255"/>
      <c r="FH56" s="1204" t="s">
        <v>123</v>
      </c>
      <c r="FI56" s="1204" t="s">
        <v>123</v>
      </c>
      <c r="FJ56" s="1206" t="s">
        <v>123</v>
      </c>
      <c r="FK56" s="1206"/>
      <c r="FL56" s="1206" t="s">
        <v>123</v>
      </c>
      <c r="FM56" s="1291"/>
      <c r="FN56" s="1291"/>
      <c r="FO56" s="1199" t="str">
        <f t="shared" si="12"/>
        <v/>
      </c>
      <c r="FP56" s="1208"/>
      <c r="FQ56" s="1208"/>
      <c r="FR56" s="1292"/>
      <c r="FS56" s="1288"/>
      <c r="FT56" s="1288"/>
      <c r="FU56" s="1289"/>
      <c r="FV56" s="1255"/>
      <c r="FW56" s="1204" t="s">
        <v>123</v>
      </c>
      <c r="FX56" s="1204" t="s">
        <v>123</v>
      </c>
      <c r="FY56" s="1206" t="s">
        <v>123</v>
      </c>
      <c r="FZ56" s="1206"/>
      <c r="GA56" s="1206" t="s">
        <v>123</v>
      </c>
      <c r="GB56" s="1291"/>
      <c r="GC56" s="1291"/>
      <c r="GD56" s="1199" t="str">
        <f t="shared" si="13"/>
        <v/>
      </c>
      <c r="GE56" s="1208"/>
      <c r="GF56" s="1208"/>
      <c r="GG56" s="1292"/>
      <c r="GH56" s="1288"/>
      <c r="GI56" s="1288"/>
      <c r="GJ56" s="1289"/>
      <c r="GK56" s="1255"/>
      <c r="GL56" s="1204" t="s">
        <v>123</v>
      </c>
      <c r="GM56" s="1204" t="s">
        <v>123</v>
      </c>
      <c r="GN56" s="1206" t="s">
        <v>123</v>
      </c>
      <c r="GO56" s="1206"/>
      <c r="GP56" s="1206" t="s">
        <v>123</v>
      </c>
      <c r="GQ56" s="1291"/>
      <c r="GR56" s="1291"/>
      <c r="GS56" s="1199" t="str">
        <f t="shared" si="14"/>
        <v/>
      </c>
      <c r="GT56" s="1208"/>
      <c r="GU56" s="1208"/>
      <c r="GV56" s="1292"/>
      <c r="GW56" s="1288"/>
      <c r="GX56" s="1288"/>
      <c r="GY56" s="1289"/>
      <c r="GZ56" s="1255"/>
      <c r="HA56" s="1204" t="s">
        <v>123</v>
      </c>
      <c r="HB56" s="1204" t="s">
        <v>123</v>
      </c>
      <c r="HC56" s="1206" t="s">
        <v>123</v>
      </c>
      <c r="HD56" s="1206"/>
      <c r="HE56" s="1206" t="s">
        <v>123</v>
      </c>
      <c r="HF56" s="1291"/>
      <c r="HG56" s="1291"/>
      <c r="HH56" s="1199" t="str">
        <f t="shared" si="15"/>
        <v/>
      </c>
      <c r="HI56" s="1208"/>
      <c r="HJ56" s="1208"/>
      <c r="HK56" s="1292"/>
      <c r="HL56" s="1288"/>
      <c r="HM56" s="1288"/>
      <c r="HN56" s="1289"/>
      <c r="HO56" s="1255"/>
      <c r="HP56" s="1204" t="s">
        <v>123</v>
      </c>
      <c r="HQ56" s="1204" t="s">
        <v>123</v>
      </c>
      <c r="HR56" s="1206" t="s">
        <v>123</v>
      </c>
      <c r="HS56" s="1206"/>
      <c r="HT56" s="1206" t="s">
        <v>123</v>
      </c>
      <c r="HU56" s="1291"/>
      <c r="HV56" s="1291"/>
      <c r="HW56" s="1227"/>
    </row>
    <row r="57" ht="15.75" customHeight="1">
      <c r="A57" s="1297"/>
      <c r="B57" s="1298"/>
      <c r="C57" s="1298"/>
      <c r="D57" s="1297"/>
      <c r="E57" s="1299"/>
      <c r="F57" s="1199" t="str">
        <f t="shared" si="1"/>
        <v/>
      </c>
      <c r="G57" s="1208"/>
      <c r="H57" s="1208"/>
      <c r="I57" s="1292"/>
      <c r="J57" s="1288"/>
      <c r="K57" s="1288"/>
      <c r="L57" s="1289"/>
      <c r="M57" s="1255"/>
      <c r="N57" s="1204" t="s">
        <v>123</v>
      </c>
      <c r="O57" s="1204" t="s">
        <v>123</v>
      </c>
      <c r="P57" s="1205" t="s">
        <v>123</v>
      </c>
      <c r="Q57" s="1291"/>
      <c r="R57" s="1291" t="s">
        <v>123</v>
      </c>
      <c r="S57" s="1291"/>
      <c r="T57" s="1291"/>
      <c r="U57" s="1199" t="str">
        <f t="shared" si="2"/>
        <v/>
      </c>
      <c r="V57" s="1208"/>
      <c r="W57" s="1208"/>
      <c r="X57" s="1292"/>
      <c r="Y57" s="1288"/>
      <c r="Z57" s="1288"/>
      <c r="AA57" s="1289"/>
      <c r="AB57" s="1255"/>
      <c r="AC57" s="1204" t="s">
        <v>123</v>
      </c>
      <c r="AD57" s="1204" t="s">
        <v>123</v>
      </c>
      <c r="AE57" s="1205" t="s">
        <v>123</v>
      </c>
      <c r="AF57" s="1206"/>
      <c r="AG57" s="1206" t="s">
        <v>123</v>
      </c>
      <c r="AH57" s="1291"/>
      <c r="AI57" s="1291"/>
      <c r="AJ57" s="1199" t="str">
        <f t="shared" si="3"/>
        <v/>
      </c>
      <c r="AK57" s="1208"/>
      <c r="AL57" s="1208"/>
      <c r="AM57" s="1292"/>
      <c r="AN57" s="1288"/>
      <c r="AO57" s="1288"/>
      <c r="AP57" s="1289"/>
      <c r="AQ57" s="1255"/>
      <c r="AR57" s="1204" t="s">
        <v>123</v>
      </c>
      <c r="AS57" s="1204" t="s">
        <v>123</v>
      </c>
      <c r="AT57" s="1206" t="s">
        <v>123</v>
      </c>
      <c r="AU57" s="1206"/>
      <c r="AV57" s="1206" t="s">
        <v>123</v>
      </c>
      <c r="AW57" s="1291"/>
      <c r="AX57" s="1291"/>
      <c r="AY57" s="1199" t="str">
        <f t="shared" si="4"/>
        <v/>
      </c>
      <c r="AZ57" s="1208"/>
      <c r="BA57" s="1223"/>
      <c r="BB57" s="1234"/>
      <c r="BC57" s="1253"/>
      <c r="BD57" s="1253"/>
      <c r="BE57" s="1252"/>
      <c r="BF57" s="1242"/>
      <c r="BG57" s="1204" t="s">
        <v>123</v>
      </c>
      <c r="BH57" s="1204" t="s">
        <v>123</v>
      </c>
      <c r="BI57" s="1206" t="s">
        <v>123</v>
      </c>
      <c r="BJ57" s="1206"/>
      <c r="BK57" s="1206" t="s">
        <v>123</v>
      </c>
      <c r="BL57" s="1291"/>
      <c r="BM57" s="1291"/>
      <c r="BN57" s="1199" t="str">
        <f t="shared" si="5"/>
        <v/>
      </c>
      <c r="BO57" s="1208"/>
      <c r="BP57" s="1208"/>
      <c r="BQ57" s="1234"/>
      <c r="BR57" s="1224"/>
      <c r="BS57" s="1253"/>
      <c r="BT57" s="1210"/>
      <c r="BU57" s="1241"/>
      <c r="BV57" s="1204" t="s">
        <v>123</v>
      </c>
      <c r="BW57" s="1204" t="s">
        <v>123</v>
      </c>
      <c r="BX57" s="1206" t="s">
        <v>123</v>
      </c>
      <c r="BY57" s="1206"/>
      <c r="BZ57" s="1206" t="s">
        <v>123</v>
      </c>
      <c r="CA57" s="1291"/>
      <c r="CB57" s="1291"/>
      <c r="CC57" s="1199" t="str">
        <f t="shared" si="6"/>
        <v/>
      </c>
      <c r="CD57" s="1208"/>
      <c r="CE57" s="1208"/>
      <c r="CF57" s="1292"/>
      <c r="CG57" s="1288"/>
      <c r="CH57" s="1288"/>
      <c r="CI57" s="1289"/>
      <c r="CJ57" s="1255"/>
      <c r="CK57" s="1204" t="s">
        <v>123</v>
      </c>
      <c r="CL57" s="1204" t="s">
        <v>123</v>
      </c>
      <c r="CM57" s="1206" t="s">
        <v>123</v>
      </c>
      <c r="CN57" s="1206"/>
      <c r="CO57" s="1206" t="s">
        <v>123</v>
      </c>
      <c r="CP57" s="1291"/>
      <c r="CQ57" s="1291"/>
      <c r="CR57" s="1199" t="str">
        <f t="shared" si="7"/>
        <v/>
      </c>
      <c r="CS57" s="1208"/>
      <c r="CT57" s="1208"/>
      <c r="CU57" s="1292"/>
      <c r="CV57" s="1288"/>
      <c r="CW57" s="1288"/>
      <c r="CX57" s="1289"/>
      <c r="CY57" s="1255"/>
      <c r="CZ57" s="1204" t="s">
        <v>123</v>
      </c>
      <c r="DA57" s="1204" t="s">
        <v>123</v>
      </c>
      <c r="DB57" s="1206" t="s">
        <v>123</v>
      </c>
      <c r="DC57" s="1206"/>
      <c r="DD57" s="1206" t="s">
        <v>123</v>
      </c>
      <c r="DE57" s="1291"/>
      <c r="DF57" s="1291"/>
      <c r="DG57" s="1199" t="str">
        <f t="shared" si="8"/>
        <v/>
      </c>
      <c r="DH57" s="1208"/>
      <c r="DI57" s="1208"/>
      <c r="DJ57" s="1302"/>
      <c r="DK57" s="1288"/>
      <c r="DL57" s="1288"/>
      <c r="DM57" s="1289"/>
      <c r="DN57" s="1255"/>
      <c r="DO57" s="1204" t="s">
        <v>123</v>
      </c>
      <c r="DP57" s="1204" t="s">
        <v>123</v>
      </c>
      <c r="DQ57" s="1206" t="s">
        <v>123</v>
      </c>
      <c r="DR57" s="1206"/>
      <c r="DS57" s="1206" t="s">
        <v>123</v>
      </c>
      <c r="DT57" s="1291"/>
      <c r="DU57" s="1291"/>
      <c r="DV57" s="1199" t="str">
        <f t="shared" si="9"/>
        <v/>
      </c>
      <c r="DW57" s="1208"/>
      <c r="DX57" s="1208"/>
      <c r="DY57" s="1292"/>
      <c r="DZ57" s="1288"/>
      <c r="EA57" s="1288"/>
      <c r="EB57" s="1289"/>
      <c r="EC57" s="1255"/>
      <c r="ED57" s="1204" t="s">
        <v>123</v>
      </c>
      <c r="EE57" s="1204" t="s">
        <v>123</v>
      </c>
      <c r="EF57" s="1206" t="s">
        <v>123</v>
      </c>
      <c r="EG57" s="1206"/>
      <c r="EH57" s="1206" t="s">
        <v>123</v>
      </c>
      <c r="EI57" s="1291"/>
      <c r="EJ57" s="1291"/>
      <c r="EK57" s="1199" t="str">
        <f t="shared" si="10"/>
        <v/>
      </c>
      <c r="EL57" s="1208"/>
      <c r="EM57" s="1208"/>
      <c r="EN57" s="1292"/>
      <c r="EO57" s="1288"/>
      <c r="EP57" s="1288"/>
      <c r="EQ57" s="1289"/>
      <c r="ER57" s="1255"/>
      <c r="ES57" s="1204" t="s">
        <v>123</v>
      </c>
      <c r="ET57" s="1204" t="s">
        <v>123</v>
      </c>
      <c r="EU57" s="1206" t="s">
        <v>123</v>
      </c>
      <c r="EV57" s="1206"/>
      <c r="EW57" s="1206" t="s">
        <v>123</v>
      </c>
      <c r="EX57" s="1291"/>
      <c r="EY57" s="1291"/>
      <c r="EZ57" s="1199" t="str">
        <f t="shared" si="11"/>
        <v/>
      </c>
      <c r="FA57" s="1208"/>
      <c r="FB57" s="1208"/>
      <c r="FC57" s="1292"/>
      <c r="FD57" s="1288"/>
      <c r="FE57" s="1288"/>
      <c r="FF57" s="1289"/>
      <c r="FG57" s="1255"/>
      <c r="FH57" s="1204" t="s">
        <v>123</v>
      </c>
      <c r="FI57" s="1204" t="s">
        <v>123</v>
      </c>
      <c r="FJ57" s="1206" t="s">
        <v>123</v>
      </c>
      <c r="FK57" s="1206"/>
      <c r="FL57" s="1206" t="s">
        <v>123</v>
      </c>
      <c r="FM57" s="1291"/>
      <c r="FN57" s="1291"/>
      <c r="FO57" s="1199" t="str">
        <f t="shared" si="12"/>
        <v/>
      </c>
      <c r="FP57" s="1208"/>
      <c r="FQ57" s="1208"/>
      <c r="FR57" s="1292"/>
      <c r="FS57" s="1288"/>
      <c r="FT57" s="1288"/>
      <c r="FU57" s="1289"/>
      <c r="FV57" s="1255"/>
      <c r="FW57" s="1204" t="s">
        <v>123</v>
      </c>
      <c r="FX57" s="1204" t="s">
        <v>123</v>
      </c>
      <c r="FY57" s="1206" t="s">
        <v>123</v>
      </c>
      <c r="FZ57" s="1206"/>
      <c r="GA57" s="1206" t="s">
        <v>123</v>
      </c>
      <c r="GB57" s="1291"/>
      <c r="GC57" s="1291"/>
      <c r="GD57" s="1199" t="str">
        <f t="shared" si="13"/>
        <v/>
      </c>
      <c r="GE57" s="1208"/>
      <c r="GF57" s="1208"/>
      <c r="GG57" s="1292"/>
      <c r="GH57" s="1288"/>
      <c r="GI57" s="1288"/>
      <c r="GJ57" s="1289"/>
      <c r="GK57" s="1255"/>
      <c r="GL57" s="1204" t="s">
        <v>123</v>
      </c>
      <c r="GM57" s="1204" t="s">
        <v>123</v>
      </c>
      <c r="GN57" s="1206" t="s">
        <v>123</v>
      </c>
      <c r="GO57" s="1206"/>
      <c r="GP57" s="1206" t="s">
        <v>123</v>
      </c>
      <c r="GQ57" s="1291"/>
      <c r="GR57" s="1291"/>
      <c r="GS57" s="1199" t="str">
        <f t="shared" si="14"/>
        <v/>
      </c>
      <c r="GT57" s="1208"/>
      <c r="GU57" s="1208"/>
      <c r="GV57" s="1292"/>
      <c r="GW57" s="1288"/>
      <c r="GX57" s="1288"/>
      <c r="GY57" s="1289"/>
      <c r="GZ57" s="1255"/>
      <c r="HA57" s="1204" t="s">
        <v>123</v>
      </c>
      <c r="HB57" s="1204" t="s">
        <v>123</v>
      </c>
      <c r="HC57" s="1206" t="s">
        <v>123</v>
      </c>
      <c r="HD57" s="1206"/>
      <c r="HE57" s="1206" t="s">
        <v>123</v>
      </c>
      <c r="HF57" s="1291"/>
      <c r="HG57" s="1291"/>
      <c r="HH57" s="1199" t="str">
        <f t="shared" si="15"/>
        <v/>
      </c>
      <c r="HI57" s="1208"/>
      <c r="HJ57" s="1208"/>
      <c r="HK57" s="1292"/>
      <c r="HL57" s="1288"/>
      <c r="HM57" s="1288"/>
      <c r="HN57" s="1289"/>
      <c r="HO57" s="1255"/>
      <c r="HP57" s="1204" t="s">
        <v>123</v>
      </c>
      <c r="HQ57" s="1204" t="s">
        <v>123</v>
      </c>
      <c r="HR57" s="1206" t="s">
        <v>123</v>
      </c>
      <c r="HS57" s="1206"/>
      <c r="HT57" s="1206" t="s">
        <v>123</v>
      </c>
      <c r="HU57" s="1291"/>
      <c r="HV57" s="1291"/>
      <c r="HW57" s="1227"/>
    </row>
    <row r="58" ht="15.75" customHeight="1">
      <c r="A58" s="1297"/>
      <c r="B58" s="1298"/>
      <c r="C58" s="1298"/>
      <c r="D58" s="1297"/>
      <c r="E58" s="1299"/>
      <c r="F58" s="1199" t="str">
        <f t="shared" si="1"/>
        <v/>
      </c>
      <c r="G58" s="1208"/>
      <c r="H58" s="1208"/>
      <c r="I58" s="1292"/>
      <c r="J58" s="1288"/>
      <c r="K58" s="1288"/>
      <c r="L58" s="1289"/>
      <c r="M58" s="1255"/>
      <c r="N58" s="1204" t="s">
        <v>123</v>
      </c>
      <c r="O58" s="1204" t="s">
        <v>123</v>
      </c>
      <c r="P58" s="1205" t="s">
        <v>123</v>
      </c>
      <c r="Q58" s="1291"/>
      <c r="R58" s="1291" t="s">
        <v>123</v>
      </c>
      <c r="S58" s="1291"/>
      <c r="T58" s="1291"/>
      <c r="U58" s="1199" t="str">
        <f t="shared" si="2"/>
        <v/>
      </c>
      <c r="V58" s="1208"/>
      <c r="W58" s="1208"/>
      <c r="X58" s="1292"/>
      <c r="Y58" s="1288"/>
      <c r="Z58" s="1288"/>
      <c r="AA58" s="1289"/>
      <c r="AB58" s="1255"/>
      <c r="AC58" s="1204" t="s">
        <v>123</v>
      </c>
      <c r="AD58" s="1204" t="s">
        <v>123</v>
      </c>
      <c r="AE58" s="1205" t="s">
        <v>123</v>
      </c>
      <c r="AF58" s="1206"/>
      <c r="AG58" s="1206" t="s">
        <v>123</v>
      </c>
      <c r="AH58" s="1291"/>
      <c r="AI58" s="1291"/>
      <c r="AJ58" s="1199" t="str">
        <f t="shared" si="3"/>
        <v/>
      </c>
      <c r="AK58" s="1208"/>
      <c r="AL58" s="1208"/>
      <c r="AM58" s="1292"/>
      <c r="AN58" s="1288"/>
      <c r="AO58" s="1288"/>
      <c r="AP58" s="1289"/>
      <c r="AQ58" s="1255"/>
      <c r="AR58" s="1204" t="s">
        <v>123</v>
      </c>
      <c r="AS58" s="1204" t="s">
        <v>123</v>
      </c>
      <c r="AT58" s="1206" t="s">
        <v>123</v>
      </c>
      <c r="AU58" s="1206"/>
      <c r="AV58" s="1206" t="s">
        <v>123</v>
      </c>
      <c r="AW58" s="1291"/>
      <c r="AX58" s="1291"/>
      <c r="AY58" s="1199" t="str">
        <f t="shared" si="4"/>
        <v/>
      </c>
      <c r="AZ58" s="1208"/>
      <c r="BA58" s="1223"/>
      <c r="BB58" s="1234"/>
      <c r="BC58" s="1253"/>
      <c r="BD58" s="1253"/>
      <c r="BE58" s="1252"/>
      <c r="BF58" s="1242"/>
      <c r="BG58" s="1204" t="s">
        <v>123</v>
      </c>
      <c r="BH58" s="1204" t="s">
        <v>123</v>
      </c>
      <c r="BI58" s="1206" t="s">
        <v>123</v>
      </c>
      <c r="BJ58" s="1206"/>
      <c r="BK58" s="1206" t="s">
        <v>123</v>
      </c>
      <c r="BL58" s="1291"/>
      <c r="BM58" s="1291"/>
      <c r="BN58" s="1199" t="str">
        <f t="shared" si="5"/>
        <v/>
      </c>
      <c r="BO58" s="1208"/>
      <c r="BP58" s="1208"/>
      <c r="BQ58" s="1234"/>
      <c r="BR58" s="1224"/>
      <c r="BS58" s="1253"/>
      <c r="BT58" s="1210"/>
      <c r="BU58" s="1241"/>
      <c r="BV58" s="1204" t="s">
        <v>123</v>
      </c>
      <c r="BW58" s="1204" t="s">
        <v>123</v>
      </c>
      <c r="BX58" s="1206" t="s">
        <v>123</v>
      </c>
      <c r="BY58" s="1206"/>
      <c r="BZ58" s="1206" t="s">
        <v>123</v>
      </c>
      <c r="CA58" s="1291"/>
      <c r="CB58" s="1291"/>
      <c r="CC58" s="1199" t="str">
        <f t="shared" si="6"/>
        <v/>
      </c>
      <c r="CD58" s="1208"/>
      <c r="CE58" s="1208"/>
      <c r="CF58" s="1292"/>
      <c r="CG58" s="1288"/>
      <c r="CH58" s="1288"/>
      <c r="CI58" s="1289"/>
      <c r="CJ58" s="1255"/>
      <c r="CK58" s="1204" t="s">
        <v>123</v>
      </c>
      <c r="CL58" s="1204" t="s">
        <v>123</v>
      </c>
      <c r="CM58" s="1206" t="s">
        <v>123</v>
      </c>
      <c r="CN58" s="1206"/>
      <c r="CO58" s="1206" t="s">
        <v>123</v>
      </c>
      <c r="CP58" s="1291"/>
      <c r="CQ58" s="1291"/>
      <c r="CR58" s="1199" t="str">
        <f t="shared" si="7"/>
        <v/>
      </c>
      <c r="CS58" s="1208"/>
      <c r="CT58" s="1208"/>
      <c r="CU58" s="1292"/>
      <c r="CV58" s="1288"/>
      <c r="CW58" s="1288"/>
      <c r="CX58" s="1289"/>
      <c r="CY58" s="1255"/>
      <c r="CZ58" s="1204" t="s">
        <v>123</v>
      </c>
      <c r="DA58" s="1204" t="s">
        <v>123</v>
      </c>
      <c r="DB58" s="1206" t="s">
        <v>123</v>
      </c>
      <c r="DC58" s="1206"/>
      <c r="DD58" s="1206" t="s">
        <v>123</v>
      </c>
      <c r="DE58" s="1291"/>
      <c r="DF58" s="1291"/>
      <c r="DG58" s="1199" t="str">
        <f t="shared" si="8"/>
        <v/>
      </c>
      <c r="DH58" s="1208"/>
      <c r="DI58" s="1208"/>
      <c r="DJ58" s="1302"/>
      <c r="DK58" s="1288"/>
      <c r="DL58" s="1288"/>
      <c r="DM58" s="1289"/>
      <c r="DN58" s="1255"/>
      <c r="DO58" s="1204" t="s">
        <v>123</v>
      </c>
      <c r="DP58" s="1204" t="s">
        <v>123</v>
      </c>
      <c r="DQ58" s="1206" t="s">
        <v>123</v>
      </c>
      <c r="DR58" s="1206"/>
      <c r="DS58" s="1206" t="s">
        <v>123</v>
      </c>
      <c r="DT58" s="1291"/>
      <c r="DU58" s="1291"/>
      <c r="DV58" s="1199" t="str">
        <f t="shared" si="9"/>
        <v/>
      </c>
      <c r="DW58" s="1208"/>
      <c r="DX58" s="1208"/>
      <c r="DY58" s="1292"/>
      <c r="DZ58" s="1288"/>
      <c r="EA58" s="1288"/>
      <c r="EB58" s="1289"/>
      <c r="EC58" s="1255"/>
      <c r="ED58" s="1204" t="s">
        <v>123</v>
      </c>
      <c r="EE58" s="1204" t="s">
        <v>123</v>
      </c>
      <c r="EF58" s="1206" t="s">
        <v>123</v>
      </c>
      <c r="EG58" s="1206"/>
      <c r="EH58" s="1206" t="s">
        <v>123</v>
      </c>
      <c r="EI58" s="1291"/>
      <c r="EJ58" s="1291"/>
      <c r="EK58" s="1199" t="str">
        <f t="shared" si="10"/>
        <v/>
      </c>
      <c r="EL58" s="1208"/>
      <c r="EM58" s="1208"/>
      <c r="EN58" s="1292"/>
      <c r="EO58" s="1288"/>
      <c r="EP58" s="1288"/>
      <c r="EQ58" s="1289"/>
      <c r="ER58" s="1255"/>
      <c r="ES58" s="1204" t="s">
        <v>123</v>
      </c>
      <c r="ET58" s="1204" t="s">
        <v>123</v>
      </c>
      <c r="EU58" s="1206" t="s">
        <v>123</v>
      </c>
      <c r="EV58" s="1206"/>
      <c r="EW58" s="1206" t="s">
        <v>123</v>
      </c>
      <c r="EX58" s="1291"/>
      <c r="EY58" s="1291"/>
      <c r="EZ58" s="1199" t="str">
        <f t="shared" si="11"/>
        <v/>
      </c>
      <c r="FA58" s="1208"/>
      <c r="FB58" s="1208"/>
      <c r="FC58" s="1292"/>
      <c r="FD58" s="1288"/>
      <c r="FE58" s="1288"/>
      <c r="FF58" s="1289"/>
      <c r="FG58" s="1255"/>
      <c r="FH58" s="1204" t="s">
        <v>123</v>
      </c>
      <c r="FI58" s="1204" t="s">
        <v>123</v>
      </c>
      <c r="FJ58" s="1206" t="s">
        <v>123</v>
      </c>
      <c r="FK58" s="1206"/>
      <c r="FL58" s="1206" t="s">
        <v>123</v>
      </c>
      <c r="FM58" s="1291"/>
      <c r="FN58" s="1291"/>
      <c r="FO58" s="1199" t="str">
        <f t="shared" si="12"/>
        <v/>
      </c>
      <c r="FP58" s="1208"/>
      <c r="FQ58" s="1208"/>
      <c r="FR58" s="1292"/>
      <c r="FS58" s="1288"/>
      <c r="FT58" s="1288"/>
      <c r="FU58" s="1289"/>
      <c r="FV58" s="1255"/>
      <c r="FW58" s="1204" t="s">
        <v>123</v>
      </c>
      <c r="FX58" s="1204" t="s">
        <v>123</v>
      </c>
      <c r="FY58" s="1206" t="s">
        <v>123</v>
      </c>
      <c r="FZ58" s="1206"/>
      <c r="GA58" s="1206" t="s">
        <v>123</v>
      </c>
      <c r="GB58" s="1291"/>
      <c r="GC58" s="1291"/>
      <c r="GD58" s="1199" t="str">
        <f t="shared" si="13"/>
        <v/>
      </c>
      <c r="GE58" s="1208"/>
      <c r="GF58" s="1208"/>
      <c r="GG58" s="1292"/>
      <c r="GH58" s="1288"/>
      <c r="GI58" s="1288"/>
      <c r="GJ58" s="1289"/>
      <c r="GK58" s="1255"/>
      <c r="GL58" s="1204" t="s">
        <v>123</v>
      </c>
      <c r="GM58" s="1204" t="s">
        <v>123</v>
      </c>
      <c r="GN58" s="1206" t="s">
        <v>123</v>
      </c>
      <c r="GO58" s="1206"/>
      <c r="GP58" s="1206" t="s">
        <v>123</v>
      </c>
      <c r="GQ58" s="1291"/>
      <c r="GR58" s="1291"/>
      <c r="GS58" s="1199" t="str">
        <f t="shared" si="14"/>
        <v/>
      </c>
      <c r="GT58" s="1208"/>
      <c r="GU58" s="1208"/>
      <c r="GV58" s="1292"/>
      <c r="GW58" s="1288"/>
      <c r="GX58" s="1288"/>
      <c r="GY58" s="1289"/>
      <c r="GZ58" s="1255"/>
      <c r="HA58" s="1204" t="s">
        <v>123</v>
      </c>
      <c r="HB58" s="1204" t="s">
        <v>123</v>
      </c>
      <c r="HC58" s="1206" t="s">
        <v>123</v>
      </c>
      <c r="HD58" s="1206"/>
      <c r="HE58" s="1206" t="s">
        <v>123</v>
      </c>
      <c r="HF58" s="1291"/>
      <c r="HG58" s="1291"/>
      <c r="HH58" s="1199" t="str">
        <f t="shared" si="15"/>
        <v/>
      </c>
      <c r="HI58" s="1208"/>
      <c r="HJ58" s="1208"/>
      <c r="HK58" s="1292"/>
      <c r="HL58" s="1288"/>
      <c r="HM58" s="1288"/>
      <c r="HN58" s="1289"/>
      <c r="HO58" s="1255"/>
      <c r="HP58" s="1204" t="s">
        <v>123</v>
      </c>
      <c r="HQ58" s="1204" t="s">
        <v>123</v>
      </c>
      <c r="HR58" s="1206" t="s">
        <v>123</v>
      </c>
      <c r="HS58" s="1206"/>
      <c r="HT58" s="1206" t="s">
        <v>123</v>
      </c>
      <c r="HU58" s="1291"/>
      <c r="HV58" s="1291"/>
      <c r="HW58" s="1227"/>
    </row>
    <row r="59" ht="15.75" customHeight="1">
      <c r="A59" s="1297"/>
      <c r="B59" s="1298"/>
      <c r="C59" s="1298"/>
      <c r="D59" s="1297"/>
      <c r="E59" s="1299"/>
      <c r="F59" s="1199" t="str">
        <f t="shared" si="1"/>
        <v/>
      </c>
      <c r="G59" s="1208"/>
      <c r="H59" s="1208"/>
      <c r="I59" s="1292"/>
      <c r="J59" s="1288"/>
      <c r="K59" s="1288"/>
      <c r="L59" s="1289"/>
      <c r="M59" s="1255"/>
      <c r="N59" s="1204" t="s">
        <v>123</v>
      </c>
      <c r="O59" s="1204" t="s">
        <v>123</v>
      </c>
      <c r="P59" s="1205" t="s">
        <v>123</v>
      </c>
      <c r="Q59" s="1291"/>
      <c r="R59" s="1291" t="s">
        <v>123</v>
      </c>
      <c r="S59" s="1291"/>
      <c r="T59" s="1291"/>
      <c r="U59" s="1199" t="str">
        <f t="shared" si="2"/>
        <v/>
      </c>
      <c r="V59" s="1208"/>
      <c r="W59" s="1208"/>
      <c r="X59" s="1292"/>
      <c r="Y59" s="1288"/>
      <c r="Z59" s="1288"/>
      <c r="AA59" s="1289"/>
      <c r="AB59" s="1255"/>
      <c r="AC59" s="1204" t="s">
        <v>123</v>
      </c>
      <c r="AD59" s="1204" t="s">
        <v>123</v>
      </c>
      <c r="AE59" s="1205" t="s">
        <v>123</v>
      </c>
      <c r="AF59" s="1206"/>
      <c r="AG59" s="1206" t="s">
        <v>123</v>
      </c>
      <c r="AH59" s="1291"/>
      <c r="AI59" s="1291"/>
      <c r="AJ59" s="1199" t="str">
        <f t="shared" si="3"/>
        <v/>
      </c>
      <c r="AK59" s="1208"/>
      <c r="AL59" s="1208"/>
      <c r="AM59" s="1292"/>
      <c r="AN59" s="1288"/>
      <c r="AO59" s="1288"/>
      <c r="AP59" s="1289"/>
      <c r="AQ59" s="1255"/>
      <c r="AR59" s="1204" t="s">
        <v>123</v>
      </c>
      <c r="AS59" s="1204" t="s">
        <v>123</v>
      </c>
      <c r="AT59" s="1206" t="s">
        <v>123</v>
      </c>
      <c r="AU59" s="1206"/>
      <c r="AV59" s="1206" t="s">
        <v>123</v>
      </c>
      <c r="AW59" s="1291"/>
      <c r="AX59" s="1291"/>
      <c r="AY59" s="1199" t="str">
        <f t="shared" si="4"/>
        <v/>
      </c>
      <c r="AZ59" s="1208"/>
      <c r="BA59" s="1223"/>
      <c r="BB59" s="1234"/>
      <c r="BC59" s="1253"/>
      <c r="BD59" s="1253"/>
      <c r="BE59" s="1252"/>
      <c r="BF59" s="1242"/>
      <c r="BG59" s="1204" t="s">
        <v>123</v>
      </c>
      <c r="BH59" s="1204" t="s">
        <v>123</v>
      </c>
      <c r="BI59" s="1206" t="s">
        <v>123</v>
      </c>
      <c r="BJ59" s="1206"/>
      <c r="BK59" s="1206" t="s">
        <v>123</v>
      </c>
      <c r="BL59" s="1291"/>
      <c r="BM59" s="1291"/>
      <c r="BN59" s="1199" t="str">
        <f t="shared" si="5"/>
        <v/>
      </c>
      <c r="BO59" s="1208"/>
      <c r="BP59" s="1223"/>
      <c r="BQ59" s="1234"/>
      <c r="BR59" s="1224"/>
      <c r="BS59" s="1253"/>
      <c r="BT59" s="1212"/>
      <c r="BU59" s="1241"/>
      <c r="BV59" s="1204" t="s">
        <v>123</v>
      </c>
      <c r="BW59" s="1204" t="s">
        <v>123</v>
      </c>
      <c r="BX59" s="1206" t="s">
        <v>123</v>
      </c>
      <c r="BY59" s="1206"/>
      <c r="BZ59" s="1206" t="s">
        <v>123</v>
      </c>
      <c r="CA59" s="1291"/>
      <c r="CB59" s="1291"/>
      <c r="CC59" s="1199" t="str">
        <f t="shared" si="6"/>
        <v/>
      </c>
      <c r="CD59" s="1208"/>
      <c r="CE59" s="1208"/>
      <c r="CF59" s="1292"/>
      <c r="CG59" s="1288"/>
      <c r="CH59" s="1288"/>
      <c r="CI59" s="1289"/>
      <c r="CJ59" s="1255"/>
      <c r="CK59" s="1204" t="s">
        <v>123</v>
      </c>
      <c r="CL59" s="1204" t="s">
        <v>123</v>
      </c>
      <c r="CM59" s="1206" t="s">
        <v>123</v>
      </c>
      <c r="CN59" s="1206"/>
      <c r="CO59" s="1206" t="s">
        <v>123</v>
      </c>
      <c r="CP59" s="1291"/>
      <c r="CQ59" s="1291"/>
      <c r="CR59" s="1199" t="str">
        <f t="shared" si="7"/>
        <v/>
      </c>
      <c r="CS59" s="1208"/>
      <c r="CT59" s="1208"/>
      <c r="CU59" s="1292"/>
      <c r="CV59" s="1288"/>
      <c r="CW59" s="1288"/>
      <c r="CX59" s="1289"/>
      <c r="CY59" s="1255"/>
      <c r="CZ59" s="1204" t="s">
        <v>123</v>
      </c>
      <c r="DA59" s="1204" t="s">
        <v>123</v>
      </c>
      <c r="DB59" s="1206" t="s">
        <v>123</v>
      </c>
      <c r="DC59" s="1206"/>
      <c r="DD59" s="1206" t="s">
        <v>123</v>
      </c>
      <c r="DE59" s="1291"/>
      <c r="DF59" s="1291"/>
      <c r="DG59" s="1199" t="str">
        <f t="shared" si="8"/>
        <v/>
      </c>
      <c r="DH59" s="1208"/>
      <c r="DI59" s="1208"/>
      <c r="DJ59" s="1302"/>
      <c r="DK59" s="1288"/>
      <c r="DL59" s="1288"/>
      <c r="DM59" s="1289"/>
      <c r="DN59" s="1255"/>
      <c r="DO59" s="1204" t="s">
        <v>123</v>
      </c>
      <c r="DP59" s="1204" t="s">
        <v>123</v>
      </c>
      <c r="DQ59" s="1206" t="s">
        <v>123</v>
      </c>
      <c r="DR59" s="1206"/>
      <c r="DS59" s="1206" t="s">
        <v>123</v>
      </c>
      <c r="DT59" s="1291"/>
      <c r="DU59" s="1291"/>
      <c r="DV59" s="1199" t="str">
        <f t="shared" si="9"/>
        <v/>
      </c>
      <c r="DW59" s="1208"/>
      <c r="DX59" s="1208"/>
      <c r="DY59" s="1292"/>
      <c r="DZ59" s="1288"/>
      <c r="EA59" s="1288"/>
      <c r="EB59" s="1289"/>
      <c r="EC59" s="1255"/>
      <c r="ED59" s="1204" t="s">
        <v>123</v>
      </c>
      <c r="EE59" s="1204" t="s">
        <v>123</v>
      </c>
      <c r="EF59" s="1206" t="s">
        <v>123</v>
      </c>
      <c r="EG59" s="1206"/>
      <c r="EH59" s="1206" t="s">
        <v>123</v>
      </c>
      <c r="EI59" s="1291"/>
      <c r="EJ59" s="1291"/>
      <c r="EK59" s="1199" t="str">
        <f t="shared" si="10"/>
        <v/>
      </c>
      <c r="EL59" s="1208"/>
      <c r="EM59" s="1208"/>
      <c r="EN59" s="1292"/>
      <c r="EO59" s="1288"/>
      <c r="EP59" s="1288"/>
      <c r="EQ59" s="1289"/>
      <c r="ER59" s="1255"/>
      <c r="ES59" s="1204" t="s">
        <v>123</v>
      </c>
      <c r="ET59" s="1204" t="s">
        <v>123</v>
      </c>
      <c r="EU59" s="1206" t="s">
        <v>123</v>
      </c>
      <c r="EV59" s="1206"/>
      <c r="EW59" s="1206" t="s">
        <v>123</v>
      </c>
      <c r="EX59" s="1291"/>
      <c r="EY59" s="1291"/>
      <c r="EZ59" s="1199" t="str">
        <f t="shared" si="11"/>
        <v/>
      </c>
      <c r="FA59" s="1208"/>
      <c r="FB59" s="1208"/>
      <c r="FC59" s="1292"/>
      <c r="FD59" s="1288"/>
      <c r="FE59" s="1288"/>
      <c r="FF59" s="1289"/>
      <c r="FG59" s="1255"/>
      <c r="FH59" s="1204" t="s">
        <v>123</v>
      </c>
      <c r="FI59" s="1204" t="s">
        <v>123</v>
      </c>
      <c r="FJ59" s="1206" t="s">
        <v>123</v>
      </c>
      <c r="FK59" s="1206"/>
      <c r="FL59" s="1206" t="s">
        <v>123</v>
      </c>
      <c r="FM59" s="1291"/>
      <c r="FN59" s="1291"/>
      <c r="FO59" s="1199" t="str">
        <f t="shared" si="12"/>
        <v/>
      </c>
      <c r="FP59" s="1208"/>
      <c r="FQ59" s="1208"/>
      <c r="FR59" s="1292"/>
      <c r="FS59" s="1288"/>
      <c r="FT59" s="1288"/>
      <c r="FU59" s="1289"/>
      <c r="FV59" s="1255"/>
      <c r="FW59" s="1204" t="s">
        <v>123</v>
      </c>
      <c r="FX59" s="1204" t="s">
        <v>123</v>
      </c>
      <c r="FY59" s="1206" t="s">
        <v>123</v>
      </c>
      <c r="FZ59" s="1206"/>
      <c r="GA59" s="1206" t="s">
        <v>123</v>
      </c>
      <c r="GB59" s="1291"/>
      <c r="GC59" s="1291"/>
      <c r="GD59" s="1199" t="str">
        <f t="shared" si="13"/>
        <v/>
      </c>
      <c r="GE59" s="1208"/>
      <c r="GF59" s="1208"/>
      <c r="GG59" s="1292"/>
      <c r="GH59" s="1288"/>
      <c r="GI59" s="1288"/>
      <c r="GJ59" s="1289"/>
      <c r="GK59" s="1255"/>
      <c r="GL59" s="1204" t="s">
        <v>123</v>
      </c>
      <c r="GM59" s="1204" t="s">
        <v>123</v>
      </c>
      <c r="GN59" s="1206" t="s">
        <v>123</v>
      </c>
      <c r="GO59" s="1206"/>
      <c r="GP59" s="1206" t="s">
        <v>123</v>
      </c>
      <c r="GQ59" s="1291"/>
      <c r="GR59" s="1291"/>
      <c r="GS59" s="1199" t="str">
        <f t="shared" si="14"/>
        <v/>
      </c>
      <c r="GT59" s="1208"/>
      <c r="GU59" s="1208"/>
      <c r="GV59" s="1292"/>
      <c r="GW59" s="1288"/>
      <c r="GX59" s="1288"/>
      <c r="GY59" s="1289"/>
      <c r="GZ59" s="1255"/>
      <c r="HA59" s="1204" t="s">
        <v>123</v>
      </c>
      <c r="HB59" s="1204" t="s">
        <v>123</v>
      </c>
      <c r="HC59" s="1206" t="s">
        <v>123</v>
      </c>
      <c r="HD59" s="1206"/>
      <c r="HE59" s="1206" t="s">
        <v>123</v>
      </c>
      <c r="HF59" s="1291"/>
      <c r="HG59" s="1291"/>
      <c r="HH59" s="1199" t="str">
        <f t="shared" si="15"/>
        <v/>
      </c>
      <c r="HI59" s="1208"/>
      <c r="HJ59" s="1208"/>
      <c r="HK59" s="1292"/>
      <c r="HL59" s="1288"/>
      <c r="HM59" s="1288"/>
      <c r="HN59" s="1289"/>
      <c r="HO59" s="1255"/>
      <c r="HP59" s="1204" t="s">
        <v>123</v>
      </c>
      <c r="HQ59" s="1204" t="s">
        <v>123</v>
      </c>
      <c r="HR59" s="1206" t="s">
        <v>123</v>
      </c>
      <c r="HS59" s="1206"/>
      <c r="HT59" s="1206" t="s">
        <v>123</v>
      </c>
      <c r="HU59" s="1291"/>
      <c r="HV59" s="1291"/>
      <c r="HW59" s="1227"/>
    </row>
    <row r="60" ht="15.75" customHeight="1">
      <c r="A60" s="1297"/>
      <c r="B60" s="1298"/>
      <c r="C60" s="1298"/>
      <c r="D60" s="1297"/>
      <c r="E60" s="1299"/>
      <c r="F60" s="1199" t="str">
        <f t="shared" si="1"/>
        <v/>
      </c>
      <c r="G60" s="1208"/>
      <c r="H60" s="1208"/>
      <c r="I60" s="1292"/>
      <c r="J60" s="1288"/>
      <c r="K60" s="1288"/>
      <c r="L60" s="1289"/>
      <c r="M60" s="1255"/>
      <c r="N60" s="1204" t="s">
        <v>123</v>
      </c>
      <c r="O60" s="1204" t="s">
        <v>123</v>
      </c>
      <c r="P60" s="1205" t="s">
        <v>123</v>
      </c>
      <c r="Q60" s="1291"/>
      <c r="R60" s="1291" t="s">
        <v>123</v>
      </c>
      <c r="S60" s="1291"/>
      <c r="T60" s="1291"/>
      <c r="U60" s="1199" t="str">
        <f t="shared" si="2"/>
        <v/>
      </c>
      <c r="V60" s="1208"/>
      <c r="W60" s="1208"/>
      <c r="X60" s="1292"/>
      <c r="Y60" s="1288"/>
      <c r="Z60" s="1288"/>
      <c r="AA60" s="1289"/>
      <c r="AB60" s="1255"/>
      <c r="AC60" s="1204" t="s">
        <v>123</v>
      </c>
      <c r="AD60" s="1204" t="s">
        <v>123</v>
      </c>
      <c r="AE60" s="1205" t="s">
        <v>123</v>
      </c>
      <c r="AF60" s="1206"/>
      <c r="AG60" s="1206" t="s">
        <v>123</v>
      </c>
      <c r="AH60" s="1291"/>
      <c r="AI60" s="1291"/>
      <c r="AJ60" s="1199" t="str">
        <f t="shared" si="3"/>
        <v/>
      </c>
      <c r="AK60" s="1208"/>
      <c r="AL60" s="1208"/>
      <c r="AM60" s="1292"/>
      <c r="AN60" s="1288"/>
      <c r="AO60" s="1288"/>
      <c r="AP60" s="1289"/>
      <c r="AQ60" s="1255"/>
      <c r="AR60" s="1204" t="s">
        <v>123</v>
      </c>
      <c r="AS60" s="1204" t="s">
        <v>123</v>
      </c>
      <c r="AT60" s="1206" t="s">
        <v>123</v>
      </c>
      <c r="AU60" s="1206"/>
      <c r="AV60" s="1206" t="s">
        <v>123</v>
      </c>
      <c r="AW60" s="1291"/>
      <c r="AX60" s="1291"/>
      <c r="AY60" s="1199" t="str">
        <f t="shared" si="4"/>
        <v/>
      </c>
      <c r="AZ60" s="1208"/>
      <c r="BA60" s="1223"/>
      <c r="BB60" s="1259"/>
      <c r="BC60" s="1253"/>
      <c r="BD60" s="1253"/>
      <c r="BE60" s="1252"/>
      <c r="BF60" s="1241"/>
      <c r="BG60" s="1204" t="s">
        <v>123</v>
      </c>
      <c r="BH60" s="1204" t="s">
        <v>123</v>
      </c>
      <c r="BI60" s="1206" t="s">
        <v>123</v>
      </c>
      <c r="BJ60" s="1206"/>
      <c r="BK60" s="1206" t="s">
        <v>123</v>
      </c>
      <c r="BL60" s="1291"/>
      <c r="BM60" s="1291"/>
      <c r="BN60" s="1199" t="str">
        <f t="shared" si="5"/>
        <v/>
      </c>
      <c r="BO60" s="1208"/>
      <c r="BP60" s="1208"/>
      <c r="BQ60" s="1292"/>
      <c r="BR60" s="1288"/>
      <c r="BS60" s="1288"/>
      <c r="BT60" s="1289"/>
      <c r="BU60" s="1255"/>
      <c r="BV60" s="1204" t="s">
        <v>123</v>
      </c>
      <c r="BW60" s="1204" t="s">
        <v>123</v>
      </c>
      <c r="BX60" s="1206" t="s">
        <v>123</v>
      </c>
      <c r="BY60" s="1206"/>
      <c r="BZ60" s="1206" t="s">
        <v>123</v>
      </c>
      <c r="CA60" s="1291"/>
      <c r="CB60" s="1291"/>
      <c r="CC60" s="1199" t="str">
        <f t="shared" si="6"/>
        <v/>
      </c>
      <c r="CD60" s="1208"/>
      <c r="CE60" s="1208"/>
      <c r="CF60" s="1292"/>
      <c r="CG60" s="1288"/>
      <c r="CH60" s="1288"/>
      <c r="CI60" s="1289"/>
      <c r="CJ60" s="1255"/>
      <c r="CK60" s="1204" t="s">
        <v>123</v>
      </c>
      <c r="CL60" s="1204" t="s">
        <v>123</v>
      </c>
      <c r="CM60" s="1206" t="s">
        <v>123</v>
      </c>
      <c r="CN60" s="1206"/>
      <c r="CO60" s="1206" t="s">
        <v>123</v>
      </c>
      <c r="CP60" s="1291"/>
      <c r="CQ60" s="1291"/>
      <c r="CR60" s="1199" t="str">
        <f t="shared" si="7"/>
        <v/>
      </c>
      <c r="CS60" s="1208"/>
      <c r="CT60" s="1208"/>
      <c r="CU60" s="1292"/>
      <c r="CV60" s="1288"/>
      <c r="CW60" s="1288"/>
      <c r="CX60" s="1289"/>
      <c r="CY60" s="1255"/>
      <c r="CZ60" s="1204" t="s">
        <v>123</v>
      </c>
      <c r="DA60" s="1204" t="s">
        <v>123</v>
      </c>
      <c r="DB60" s="1206" t="s">
        <v>123</v>
      </c>
      <c r="DC60" s="1206"/>
      <c r="DD60" s="1206" t="s">
        <v>123</v>
      </c>
      <c r="DE60" s="1291"/>
      <c r="DF60" s="1291"/>
      <c r="DG60" s="1199" t="str">
        <f t="shared" si="8"/>
        <v/>
      </c>
      <c r="DH60" s="1208"/>
      <c r="DI60" s="1208"/>
      <c r="DJ60" s="1302"/>
      <c r="DK60" s="1288"/>
      <c r="DL60" s="1288"/>
      <c r="DM60" s="1289"/>
      <c r="DN60" s="1255"/>
      <c r="DO60" s="1204" t="s">
        <v>123</v>
      </c>
      <c r="DP60" s="1204" t="s">
        <v>123</v>
      </c>
      <c r="DQ60" s="1206" t="s">
        <v>123</v>
      </c>
      <c r="DR60" s="1206"/>
      <c r="DS60" s="1206" t="s">
        <v>123</v>
      </c>
      <c r="DT60" s="1291"/>
      <c r="DU60" s="1291"/>
      <c r="DV60" s="1199" t="str">
        <f t="shared" si="9"/>
        <v/>
      </c>
      <c r="DW60" s="1208"/>
      <c r="DX60" s="1208"/>
      <c r="DY60" s="1292"/>
      <c r="DZ60" s="1288"/>
      <c r="EA60" s="1288"/>
      <c r="EB60" s="1289"/>
      <c r="EC60" s="1255"/>
      <c r="ED60" s="1204" t="s">
        <v>123</v>
      </c>
      <c r="EE60" s="1204" t="s">
        <v>123</v>
      </c>
      <c r="EF60" s="1206" t="s">
        <v>123</v>
      </c>
      <c r="EG60" s="1206"/>
      <c r="EH60" s="1206" t="s">
        <v>123</v>
      </c>
      <c r="EI60" s="1291"/>
      <c r="EJ60" s="1291"/>
      <c r="EK60" s="1199" t="str">
        <f t="shared" si="10"/>
        <v/>
      </c>
      <c r="EL60" s="1208"/>
      <c r="EM60" s="1208"/>
      <c r="EN60" s="1292"/>
      <c r="EO60" s="1288"/>
      <c r="EP60" s="1288"/>
      <c r="EQ60" s="1289"/>
      <c r="ER60" s="1255"/>
      <c r="ES60" s="1204" t="s">
        <v>123</v>
      </c>
      <c r="ET60" s="1204" t="s">
        <v>123</v>
      </c>
      <c r="EU60" s="1206" t="s">
        <v>123</v>
      </c>
      <c r="EV60" s="1206"/>
      <c r="EW60" s="1206" t="s">
        <v>123</v>
      </c>
      <c r="EX60" s="1291"/>
      <c r="EY60" s="1291"/>
      <c r="EZ60" s="1199" t="str">
        <f t="shared" si="11"/>
        <v/>
      </c>
      <c r="FA60" s="1208"/>
      <c r="FB60" s="1208"/>
      <c r="FC60" s="1292"/>
      <c r="FD60" s="1288"/>
      <c r="FE60" s="1288"/>
      <c r="FF60" s="1289"/>
      <c r="FG60" s="1255"/>
      <c r="FH60" s="1204" t="s">
        <v>123</v>
      </c>
      <c r="FI60" s="1204" t="s">
        <v>123</v>
      </c>
      <c r="FJ60" s="1206" t="s">
        <v>123</v>
      </c>
      <c r="FK60" s="1206"/>
      <c r="FL60" s="1206" t="s">
        <v>123</v>
      </c>
      <c r="FM60" s="1291"/>
      <c r="FN60" s="1291"/>
      <c r="FO60" s="1199" t="str">
        <f t="shared" si="12"/>
        <v/>
      </c>
      <c r="FP60" s="1208"/>
      <c r="FQ60" s="1208"/>
      <c r="FR60" s="1292"/>
      <c r="FS60" s="1288"/>
      <c r="FT60" s="1288"/>
      <c r="FU60" s="1289"/>
      <c r="FV60" s="1255"/>
      <c r="FW60" s="1204" t="s">
        <v>123</v>
      </c>
      <c r="FX60" s="1204" t="s">
        <v>123</v>
      </c>
      <c r="FY60" s="1206" t="s">
        <v>123</v>
      </c>
      <c r="FZ60" s="1206"/>
      <c r="GA60" s="1206" t="s">
        <v>123</v>
      </c>
      <c r="GB60" s="1291"/>
      <c r="GC60" s="1291"/>
      <c r="GD60" s="1199" t="str">
        <f t="shared" si="13"/>
        <v/>
      </c>
      <c r="GE60" s="1208"/>
      <c r="GF60" s="1208"/>
      <c r="GG60" s="1292"/>
      <c r="GH60" s="1288"/>
      <c r="GI60" s="1288"/>
      <c r="GJ60" s="1289"/>
      <c r="GK60" s="1255"/>
      <c r="GL60" s="1204" t="s">
        <v>123</v>
      </c>
      <c r="GM60" s="1204" t="s">
        <v>123</v>
      </c>
      <c r="GN60" s="1206" t="s">
        <v>123</v>
      </c>
      <c r="GO60" s="1206"/>
      <c r="GP60" s="1206" t="s">
        <v>123</v>
      </c>
      <c r="GQ60" s="1291"/>
      <c r="GR60" s="1291"/>
      <c r="GS60" s="1199" t="str">
        <f t="shared" si="14"/>
        <v/>
      </c>
      <c r="GT60" s="1208"/>
      <c r="GU60" s="1208"/>
      <c r="GV60" s="1292"/>
      <c r="GW60" s="1288"/>
      <c r="GX60" s="1288"/>
      <c r="GY60" s="1289"/>
      <c r="GZ60" s="1255"/>
      <c r="HA60" s="1204" t="s">
        <v>123</v>
      </c>
      <c r="HB60" s="1204" t="s">
        <v>123</v>
      </c>
      <c r="HC60" s="1206" t="s">
        <v>123</v>
      </c>
      <c r="HD60" s="1206"/>
      <c r="HE60" s="1206" t="s">
        <v>123</v>
      </c>
      <c r="HF60" s="1291"/>
      <c r="HG60" s="1291"/>
      <c r="HH60" s="1199" t="str">
        <f t="shared" si="15"/>
        <v/>
      </c>
      <c r="HI60" s="1208"/>
      <c r="HJ60" s="1208"/>
      <c r="HK60" s="1292"/>
      <c r="HL60" s="1288"/>
      <c r="HM60" s="1288"/>
      <c r="HN60" s="1289"/>
      <c r="HO60" s="1255"/>
      <c r="HP60" s="1204" t="s">
        <v>123</v>
      </c>
      <c r="HQ60" s="1204" t="s">
        <v>123</v>
      </c>
      <c r="HR60" s="1206" t="s">
        <v>123</v>
      </c>
      <c r="HS60" s="1206"/>
      <c r="HT60" s="1206" t="s">
        <v>123</v>
      </c>
      <c r="HU60" s="1291"/>
      <c r="HV60" s="1291"/>
      <c r="HW60" s="1227"/>
    </row>
    <row r="61" ht="15.75" customHeight="1">
      <c r="A61" s="1297"/>
      <c r="B61" s="1298"/>
      <c r="C61" s="1298"/>
      <c r="D61" s="1297"/>
      <c r="E61" s="1299"/>
      <c r="F61" s="1199" t="str">
        <f t="shared" si="1"/>
        <v/>
      </c>
      <c r="G61" s="1208"/>
      <c r="H61" s="1208"/>
      <c r="I61" s="1292"/>
      <c r="J61" s="1288"/>
      <c r="K61" s="1288"/>
      <c r="L61" s="1289"/>
      <c r="M61" s="1255"/>
      <c r="N61" s="1204" t="s">
        <v>123</v>
      </c>
      <c r="O61" s="1204" t="s">
        <v>123</v>
      </c>
      <c r="P61" s="1205" t="s">
        <v>123</v>
      </c>
      <c r="Q61" s="1291"/>
      <c r="R61" s="1291" t="s">
        <v>123</v>
      </c>
      <c r="S61" s="1291"/>
      <c r="T61" s="1291"/>
      <c r="U61" s="1199" t="str">
        <f t="shared" si="2"/>
        <v/>
      </c>
      <c r="V61" s="1208"/>
      <c r="W61" s="1208"/>
      <c r="X61" s="1292"/>
      <c r="Y61" s="1288"/>
      <c r="Z61" s="1288"/>
      <c r="AA61" s="1289"/>
      <c r="AB61" s="1255"/>
      <c r="AC61" s="1204" t="s">
        <v>123</v>
      </c>
      <c r="AD61" s="1204" t="s">
        <v>123</v>
      </c>
      <c r="AE61" s="1205" t="s">
        <v>123</v>
      </c>
      <c r="AF61" s="1206"/>
      <c r="AG61" s="1206" t="s">
        <v>123</v>
      </c>
      <c r="AH61" s="1291"/>
      <c r="AI61" s="1291"/>
      <c r="AJ61" s="1199" t="str">
        <f t="shared" si="3"/>
        <v/>
      </c>
      <c r="AK61" s="1208"/>
      <c r="AL61" s="1208"/>
      <c r="AM61" s="1292"/>
      <c r="AN61" s="1288"/>
      <c r="AO61" s="1288"/>
      <c r="AP61" s="1289"/>
      <c r="AQ61" s="1255"/>
      <c r="AR61" s="1204" t="s">
        <v>123</v>
      </c>
      <c r="AS61" s="1204" t="s">
        <v>123</v>
      </c>
      <c r="AT61" s="1206" t="s">
        <v>123</v>
      </c>
      <c r="AU61" s="1206"/>
      <c r="AV61" s="1206" t="s">
        <v>123</v>
      </c>
      <c r="AW61" s="1291"/>
      <c r="AX61" s="1291"/>
      <c r="AY61" s="1199" t="str">
        <f t="shared" si="4"/>
        <v/>
      </c>
      <c r="AZ61" s="1208"/>
      <c r="BA61" s="1208"/>
      <c r="BB61" s="1292"/>
      <c r="BC61" s="1288"/>
      <c r="BD61" s="1288"/>
      <c r="BE61" s="1289"/>
      <c r="BF61" s="1255"/>
      <c r="BG61" s="1204" t="s">
        <v>123</v>
      </c>
      <c r="BH61" s="1204" t="s">
        <v>123</v>
      </c>
      <c r="BI61" s="1206" t="s">
        <v>123</v>
      </c>
      <c r="BJ61" s="1206"/>
      <c r="BK61" s="1206" t="s">
        <v>123</v>
      </c>
      <c r="BL61" s="1291"/>
      <c r="BM61" s="1291"/>
      <c r="BN61" s="1199" t="str">
        <f t="shared" si="5"/>
        <v/>
      </c>
      <c r="BO61" s="1208"/>
      <c r="BP61" s="1208"/>
      <c r="BQ61" s="1292"/>
      <c r="BR61" s="1288"/>
      <c r="BS61" s="1288"/>
      <c r="BT61" s="1289"/>
      <c r="BU61" s="1255"/>
      <c r="BV61" s="1204" t="s">
        <v>123</v>
      </c>
      <c r="BW61" s="1204" t="s">
        <v>123</v>
      </c>
      <c r="BX61" s="1206" t="s">
        <v>123</v>
      </c>
      <c r="BY61" s="1206"/>
      <c r="BZ61" s="1206" t="s">
        <v>123</v>
      </c>
      <c r="CA61" s="1291"/>
      <c r="CB61" s="1291"/>
      <c r="CC61" s="1199" t="str">
        <f t="shared" si="6"/>
        <v/>
      </c>
      <c r="CD61" s="1208"/>
      <c r="CE61" s="1208"/>
      <c r="CF61" s="1292"/>
      <c r="CG61" s="1288"/>
      <c r="CH61" s="1288"/>
      <c r="CI61" s="1289"/>
      <c r="CJ61" s="1255"/>
      <c r="CK61" s="1204" t="s">
        <v>123</v>
      </c>
      <c r="CL61" s="1204" t="s">
        <v>123</v>
      </c>
      <c r="CM61" s="1206" t="s">
        <v>123</v>
      </c>
      <c r="CN61" s="1206"/>
      <c r="CO61" s="1206" t="s">
        <v>123</v>
      </c>
      <c r="CP61" s="1291"/>
      <c r="CQ61" s="1291"/>
      <c r="CR61" s="1199" t="str">
        <f t="shared" si="7"/>
        <v/>
      </c>
      <c r="CS61" s="1208"/>
      <c r="CT61" s="1208"/>
      <c r="CU61" s="1292"/>
      <c r="CV61" s="1288"/>
      <c r="CW61" s="1288"/>
      <c r="CX61" s="1289"/>
      <c r="CY61" s="1255"/>
      <c r="CZ61" s="1204" t="s">
        <v>123</v>
      </c>
      <c r="DA61" s="1204" t="s">
        <v>123</v>
      </c>
      <c r="DB61" s="1206" t="s">
        <v>123</v>
      </c>
      <c r="DC61" s="1206"/>
      <c r="DD61" s="1206" t="s">
        <v>123</v>
      </c>
      <c r="DE61" s="1291"/>
      <c r="DF61" s="1291"/>
      <c r="DG61" s="1199" t="str">
        <f t="shared" si="8"/>
        <v/>
      </c>
      <c r="DH61" s="1208"/>
      <c r="DI61" s="1208"/>
      <c r="DJ61" s="1302"/>
      <c r="DK61" s="1288"/>
      <c r="DL61" s="1288"/>
      <c r="DM61" s="1289"/>
      <c r="DN61" s="1255"/>
      <c r="DO61" s="1204" t="s">
        <v>123</v>
      </c>
      <c r="DP61" s="1204" t="s">
        <v>123</v>
      </c>
      <c r="DQ61" s="1206" t="s">
        <v>123</v>
      </c>
      <c r="DR61" s="1206"/>
      <c r="DS61" s="1206" t="s">
        <v>123</v>
      </c>
      <c r="DT61" s="1291"/>
      <c r="DU61" s="1291"/>
      <c r="DV61" s="1199" t="str">
        <f t="shared" si="9"/>
        <v/>
      </c>
      <c r="DW61" s="1208"/>
      <c r="DX61" s="1208"/>
      <c r="DY61" s="1292"/>
      <c r="DZ61" s="1288"/>
      <c r="EA61" s="1288"/>
      <c r="EB61" s="1289"/>
      <c r="EC61" s="1255"/>
      <c r="ED61" s="1204" t="s">
        <v>123</v>
      </c>
      <c r="EE61" s="1204" t="s">
        <v>123</v>
      </c>
      <c r="EF61" s="1206" t="s">
        <v>123</v>
      </c>
      <c r="EG61" s="1206"/>
      <c r="EH61" s="1206" t="s">
        <v>123</v>
      </c>
      <c r="EI61" s="1291"/>
      <c r="EJ61" s="1291"/>
      <c r="EK61" s="1199" t="str">
        <f t="shared" si="10"/>
        <v/>
      </c>
      <c r="EL61" s="1208"/>
      <c r="EM61" s="1208"/>
      <c r="EN61" s="1292"/>
      <c r="EO61" s="1288"/>
      <c r="EP61" s="1288"/>
      <c r="EQ61" s="1289"/>
      <c r="ER61" s="1255"/>
      <c r="ES61" s="1204" t="s">
        <v>123</v>
      </c>
      <c r="ET61" s="1204" t="s">
        <v>123</v>
      </c>
      <c r="EU61" s="1206" t="s">
        <v>123</v>
      </c>
      <c r="EV61" s="1206"/>
      <c r="EW61" s="1206" t="s">
        <v>123</v>
      </c>
      <c r="EX61" s="1291"/>
      <c r="EY61" s="1291"/>
      <c r="EZ61" s="1199" t="str">
        <f t="shared" si="11"/>
        <v/>
      </c>
      <c r="FA61" s="1208"/>
      <c r="FB61" s="1208"/>
      <c r="FC61" s="1292"/>
      <c r="FD61" s="1288"/>
      <c r="FE61" s="1288"/>
      <c r="FF61" s="1289"/>
      <c r="FG61" s="1255"/>
      <c r="FH61" s="1204" t="s">
        <v>123</v>
      </c>
      <c r="FI61" s="1204" t="s">
        <v>123</v>
      </c>
      <c r="FJ61" s="1206" t="s">
        <v>123</v>
      </c>
      <c r="FK61" s="1206"/>
      <c r="FL61" s="1206" t="s">
        <v>123</v>
      </c>
      <c r="FM61" s="1291"/>
      <c r="FN61" s="1291"/>
      <c r="FO61" s="1199" t="str">
        <f t="shared" si="12"/>
        <v/>
      </c>
      <c r="FP61" s="1208"/>
      <c r="FQ61" s="1208"/>
      <c r="FR61" s="1292"/>
      <c r="FS61" s="1288"/>
      <c r="FT61" s="1288"/>
      <c r="FU61" s="1289"/>
      <c r="FV61" s="1255"/>
      <c r="FW61" s="1204" t="s">
        <v>123</v>
      </c>
      <c r="FX61" s="1204" t="s">
        <v>123</v>
      </c>
      <c r="FY61" s="1206" t="s">
        <v>123</v>
      </c>
      <c r="FZ61" s="1206"/>
      <c r="GA61" s="1206" t="s">
        <v>123</v>
      </c>
      <c r="GB61" s="1291"/>
      <c r="GC61" s="1291"/>
      <c r="GD61" s="1199" t="str">
        <f t="shared" si="13"/>
        <v/>
      </c>
      <c r="GE61" s="1208"/>
      <c r="GF61" s="1208"/>
      <c r="GG61" s="1292"/>
      <c r="GH61" s="1288"/>
      <c r="GI61" s="1288"/>
      <c r="GJ61" s="1289"/>
      <c r="GK61" s="1255"/>
      <c r="GL61" s="1204" t="s">
        <v>123</v>
      </c>
      <c r="GM61" s="1204" t="s">
        <v>123</v>
      </c>
      <c r="GN61" s="1206" t="s">
        <v>123</v>
      </c>
      <c r="GO61" s="1206"/>
      <c r="GP61" s="1206" t="s">
        <v>123</v>
      </c>
      <c r="GQ61" s="1291"/>
      <c r="GR61" s="1291"/>
      <c r="GS61" s="1199" t="str">
        <f t="shared" si="14"/>
        <v/>
      </c>
      <c r="GT61" s="1208"/>
      <c r="GU61" s="1208"/>
      <c r="GV61" s="1292"/>
      <c r="GW61" s="1288"/>
      <c r="GX61" s="1288"/>
      <c r="GY61" s="1289"/>
      <c r="GZ61" s="1255"/>
      <c r="HA61" s="1204" t="s">
        <v>123</v>
      </c>
      <c r="HB61" s="1204" t="s">
        <v>123</v>
      </c>
      <c r="HC61" s="1206" t="s">
        <v>123</v>
      </c>
      <c r="HD61" s="1206"/>
      <c r="HE61" s="1206" t="s">
        <v>123</v>
      </c>
      <c r="HF61" s="1291"/>
      <c r="HG61" s="1291"/>
      <c r="HH61" s="1199" t="str">
        <f t="shared" si="15"/>
        <v/>
      </c>
      <c r="HI61" s="1208"/>
      <c r="HJ61" s="1208"/>
      <c r="HK61" s="1292"/>
      <c r="HL61" s="1288"/>
      <c r="HM61" s="1288"/>
      <c r="HN61" s="1289"/>
      <c r="HO61" s="1255"/>
      <c r="HP61" s="1204" t="s">
        <v>123</v>
      </c>
      <c r="HQ61" s="1204" t="s">
        <v>123</v>
      </c>
      <c r="HR61" s="1206" t="s">
        <v>123</v>
      </c>
      <c r="HS61" s="1206"/>
      <c r="HT61" s="1206" t="s">
        <v>123</v>
      </c>
      <c r="HU61" s="1291"/>
      <c r="HV61" s="1291"/>
      <c r="HW61" s="1227"/>
    </row>
    <row r="62" ht="15.75" customHeight="1">
      <c r="A62" s="1297"/>
      <c r="B62" s="1298"/>
      <c r="C62" s="1298"/>
      <c r="D62" s="1297"/>
      <c r="E62" s="1299"/>
      <c r="F62" s="1199" t="str">
        <f t="shared" si="1"/>
        <v/>
      </c>
      <c r="G62" s="1208"/>
      <c r="H62" s="1208"/>
      <c r="I62" s="1292"/>
      <c r="J62" s="1288"/>
      <c r="K62" s="1288"/>
      <c r="L62" s="1289"/>
      <c r="M62" s="1255"/>
      <c r="N62" s="1204" t="s">
        <v>123</v>
      </c>
      <c r="O62" s="1204" t="s">
        <v>123</v>
      </c>
      <c r="P62" s="1205" t="s">
        <v>123</v>
      </c>
      <c r="Q62" s="1291"/>
      <c r="R62" s="1291" t="s">
        <v>123</v>
      </c>
      <c r="S62" s="1291"/>
      <c r="T62" s="1291"/>
      <c r="U62" s="1199" t="str">
        <f t="shared" si="2"/>
        <v/>
      </c>
      <c r="V62" s="1208"/>
      <c r="W62" s="1208"/>
      <c r="X62" s="1292"/>
      <c r="Y62" s="1288"/>
      <c r="Z62" s="1288"/>
      <c r="AA62" s="1289"/>
      <c r="AB62" s="1255"/>
      <c r="AC62" s="1204" t="s">
        <v>123</v>
      </c>
      <c r="AD62" s="1204" t="s">
        <v>123</v>
      </c>
      <c r="AE62" s="1205" t="s">
        <v>123</v>
      </c>
      <c r="AF62" s="1206"/>
      <c r="AG62" s="1206" t="s">
        <v>123</v>
      </c>
      <c r="AH62" s="1291"/>
      <c r="AI62" s="1291"/>
      <c r="AJ62" s="1199" t="str">
        <f t="shared" si="3"/>
        <v/>
      </c>
      <c r="AK62" s="1208"/>
      <c r="AL62" s="1208"/>
      <c r="AM62" s="1292"/>
      <c r="AN62" s="1288"/>
      <c r="AO62" s="1288"/>
      <c r="AP62" s="1289"/>
      <c r="AQ62" s="1255"/>
      <c r="AR62" s="1204" t="s">
        <v>123</v>
      </c>
      <c r="AS62" s="1204" t="s">
        <v>123</v>
      </c>
      <c r="AT62" s="1206" t="s">
        <v>123</v>
      </c>
      <c r="AU62" s="1206"/>
      <c r="AV62" s="1206" t="s">
        <v>123</v>
      </c>
      <c r="AW62" s="1291"/>
      <c r="AX62" s="1291"/>
      <c r="AY62" s="1199" t="str">
        <f t="shared" si="4"/>
        <v/>
      </c>
      <c r="AZ62" s="1208"/>
      <c r="BA62" s="1223"/>
      <c r="BB62" s="1234"/>
      <c r="BC62" s="1253"/>
      <c r="BD62" s="1253"/>
      <c r="BE62" s="1252"/>
      <c r="BF62" s="1242"/>
      <c r="BG62" s="1204" t="s">
        <v>123</v>
      </c>
      <c r="BH62" s="1204" t="s">
        <v>123</v>
      </c>
      <c r="BI62" s="1206" t="s">
        <v>123</v>
      </c>
      <c r="BJ62" s="1206"/>
      <c r="BK62" s="1206" t="s">
        <v>123</v>
      </c>
      <c r="BL62" s="1291"/>
      <c r="BM62" s="1291"/>
      <c r="BN62" s="1199" t="str">
        <f t="shared" si="5"/>
        <v/>
      </c>
      <c r="BO62" s="1208"/>
      <c r="BP62" s="1208"/>
      <c r="BQ62" s="1292"/>
      <c r="BR62" s="1288"/>
      <c r="BS62" s="1288"/>
      <c r="BT62" s="1289"/>
      <c r="BU62" s="1255"/>
      <c r="BV62" s="1204" t="s">
        <v>123</v>
      </c>
      <c r="BW62" s="1204" t="s">
        <v>123</v>
      </c>
      <c r="BX62" s="1206" t="s">
        <v>123</v>
      </c>
      <c r="BY62" s="1206"/>
      <c r="BZ62" s="1206" t="s">
        <v>123</v>
      </c>
      <c r="CA62" s="1291"/>
      <c r="CB62" s="1291"/>
      <c r="CC62" s="1199" t="str">
        <f t="shared" si="6"/>
        <v/>
      </c>
      <c r="CD62" s="1208"/>
      <c r="CE62" s="1208"/>
      <c r="CF62" s="1292"/>
      <c r="CG62" s="1288"/>
      <c r="CH62" s="1288"/>
      <c r="CI62" s="1289"/>
      <c r="CJ62" s="1255"/>
      <c r="CK62" s="1204" t="s">
        <v>123</v>
      </c>
      <c r="CL62" s="1204" t="s">
        <v>123</v>
      </c>
      <c r="CM62" s="1206" t="s">
        <v>123</v>
      </c>
      <c r="CN62" s="1206"/>
      <c r="CO62" s="1206" t="s">
        <v>123</v>
      </c>
      <c r="CP62" s="1291"/>
      <c r="CQ62" s="1291"/>
      <c r="CR62" s="1199" t="str">
        <f t="shared" si="7"/>
        <v/>
      </c>
      <c r="CS62" s="1208"/>
      <c r="CT62" s="1208"/>
      <c r="CU62" s="1292"/>
      <c r="CV62" s="1288"/>
      <c r="CW62" s="1288"/>
      <c r="CX62" s="1289"/>
      <c r="CY62" s="1255"/>
      <c r="CZ62" s="1204" t="s">
        <v>123</v>
      </c>
      <c r="DA62" s="1204" t="s">
        <v>123</v>
      </c>
      <c r="DB62" s="1206" t="s">
        <v>123</v>
      </c>
      <c r="DC62" s="1206"/>
      <c r="DD62" s="1206" t="s">
        <v>123</v>
      </c>
      <c r="DE62" s="1291"/>
      <c r="DF62" s="1291"/>
      <c r="DG62" s="1199" t="str">
        <f t="shared" si="8"/>
        <v/>
      </c>
      <c r="DH62" s="1208"/>
      <c r="DI62" s="1208"/>
      <c r="DJ62" s="1302"/>
      <c r="DK62" s="1288"/>
      <c r="DL62" s="1288"/>
      <c r="DM62" s="1289"/>
      <c r="DN62" s="1255"/>
      <c r="DO62" s="1204" t="s">
        <v>123</v>
      </c>
      <c r="DP62" s="1204" t="s">
        <v>123</v>
      </c>
      <c r="DQ62" s="1206" t="s">
        <v>123</v>
      </c>
      <c r="DR62" s="1206"/>
      <c r="DS62" s="1206" t="s">
        <v>123</v>
      </c>
      <c r="DT62" s="1291"/>
      <c r="DU62" s="1291"/>
      <c r="DV62" s="1199" t="str">
        <f t="shared" si="9"/>
        <v/>
      </c>
      <c r="DW62" s="1208"/>
      <c r="DX62" s="1208"/>
      <c r="DY62" s="1292"/>
      <c r="DZ62" s="1288"/>
      <c r="EA62" s="1288"/>
      <c r="EB62" s="1289"/>
      <c r="EC62" s="1255"/>
      <c r="ED62" s="1204" t="s">
        <v>123</v>
      </c>
      <c r="EE62" s="1204" t="s">
        <v>123</v>
      </c>
      <c r="EF62" s="1206" t="s">
        <v>123</v>
      </c>
      <c r="EG62" s="1206"/>
      <c r="EH62" s="1206" t="s">
        <v>123</v>
      </c>
      <c r="EI62" s="1291"/>
      <c r="EJ62" s="1291"/>
      <c r="EK62" s="1199" t="str">
        <f t="shared" si="10"/>
        <v/>
      </c>
      <c r="EL62" s="1208"/>
      <c r="EM62" s="1208"/>
      <c r="EN62" s="1292"/>
      <c r="EO62" s="1288"/>
      <c r="EP62" s="1288"/>
      <c r="EQ62" s="1289"/>
      <c r="ER62" s="1255"/>
      <c r="ES62" s="1204" t="s">
        <v>123</v>
      </c>
      <c r="ET62" s="1204" t="s">
        <v>123</v>
      </c>
      <c r="EU62" s="1206" t="s">
        <v>123</v>
      </c>
      <c r="EV62" s="1206"/>
      <c r="EW62" s="1206" t="s">
        <v>123</v>
      </c>
      <c r="EX62" s="1291"/>
      <c r="EY62" s="1291"/>
      <c r="EZ62" s="1199" t="str">
        <f t="shared" si="11"/>
        <v/>
      </c>
      <c r="FA62" s="1208"/>
      <c r="FB62" s="1208"/>
      <c r="FC62" s="1292"/>
      <c r="FD62" s="1288"/>
      <c r="FE62" s="1288"/>
      <c r="FF62" s="1289"/>
      <c r="FG62" s="1255"/>
      <c r="FH62" s="1204" t="s">
        <v>123</v>
      </c>
      <c r="FI62" s="1204" t="s">
        <v>123</v>
      </c>
      <c r="FJ62" s="1206" t="s">
        <v>123</v>
      </c>
      <c r="FK62" s="1206"/>
      <c r="FL62" s="1206" t="s">
        <v>123</v>
      </c>
      <c r="FM62" s="1291"/>
      <c r="FN62" s="1291"/>
      <c r="FO62" s="1199" t="str">
        <f t="shared" si="12"/>
        <v/>
      </c>
      <c r="FP62" s="1208"/>
      <c r="FQ62" s="1208"/>
      <c r="FR62" s="1292"/>
      <c r="FS62" s="1288"/>
      <c r="FT62" s="1288"/>
      <c r="FU62" s="1289"/>
      <c r="FV62" s="1255"/>
      <c r="FW62" s="1204" t="s">
        <v>123</v>
      </c>
      <c r="FX62" s="1204" t="s">
        <v>123</v>
      </c>
      <c r="FY62" s="1206" t="s">
        <v>123</v>
      </c>
      <c r="FZ62" s="1206"/>
      <c r="GA62" s="1206" t="s">
        <v>123</v>
      </c>
      <c r="GB62" s="1291"/>
      <c r="GC62" s="1291"/>
      <c r="GD62" s="1199" t="str">
        <f t="shared" si="13"/>
        <v/>
      </c>
      <c r="GE62" s="1208"/>
      <c r="GF62" s="1208"/>
      <c r="GG62" s="1292"/>
      <c r="GH62" s="1288"/>
      <c r="GI62" s="1288"/>
      <c r="GJ62" s="1289"/>
      <c r="GK62" s="1255"/>
      <c r="GL62" s="1204" t="s">
        <v>123</v>
      </c>
      <c r="GM62" s="1204" t="s">
        <v>123</v>
      </c>
      <c r="GN62" s="1206" t="s">
        <v>123</v>
      </c>
      <c r="GO62" s="1206"/>
      <c r="GP62" s="1206" t="s">
        <v>123</v>
      </c>
      <c r="GQ62" s="1291"/>
      <c r="GR62" s="1291"/>
      <c r="GS62" s="1199" t="str">
        <f t="shared" si="14"/>
        <v/>
      </c>
      <c r="GT62" s="1208"/>
      <c r="GU62" s="1208"/>
      <c r="GV62" s="1292"/>
      <c r="GW62" s="1288"/>
      <c r="GX62" s="1288"/>
      <c r="GY62" s="1289"/>
      <c r="GZ62" s="1255"/>
      <c r="HA62" s="1204" t="s">
        <v>123</v>
      </c>
      <c r="HB62" s="1204" t="s">
        <v>123</v>
      </c>
      <c r="HC62" s="1206" t="s">
        <v>123</v>
      </c>
      <c r="HD62" s="1206"/>
      <c r="HE62" s="1206" t="s">
        <v>123</v>
      </c>
      <c r="HF62" s="1291"/>
      <c r="HG62" s="1291"/>
      <c r="HH62" s="1199" t="str">
        <f t="shared" si="15"/>
        <v/>
      </c>
      <c r="HI62" s="1208"/>
      <c r="HJ62" s="1208"/>
      <c r="HK62" s="1292"/>
      <c r="HL62" s="1288"/>
      <c r="HM62" s="1288"/>
      <c r="HN62" s="1289"/>
      <c r="HO62" s="1255"/>
      <c r="HP62" s="1204" t="s">
        <v>123</v>
      </c>
      <c r="HQ62" s="1204" t="s">
        <v>123</v>
      </c>
      <c r="HR62" s="1206" t="s">
        <v>123</v>
      </c>
      <c r="HS62" s="1206"/>
      <c r="HT62" s="1206" t="s">
        <v>123</v>
      </c>
      <c r="HU62" s="1291"/>
      <c r="HV62" s="1291"/>
      <c r="HW62" s="1227"/>
    </row>
    <row r="63" ht="15.75" customHeight="1">
      <c r="A63" s="1297"/>
      <c r="B63" s="1298"/>
      <c r="C63" s="1298"/>
      <c r="D63" s="1297"/>
      <c r="E63" s="1299"/>
      <c r="F63" s="1199" t="str">
        <f t="shared" si="1"/>
        <v/>
      </c>
      <c r="G63" s="1208"/>
      <c r="H63" s="1208"/>
      <c r="I63" s="1292"/>
      <c r="J63" s="1288"/>
      <c r="K63" s="1288"/>
      <c r="L63" s="1289"/>
      <c r="M63" s="1255"/>
      <c r="N63" s="1204" t="s">
        <v>123</v>
      </c>
      <c r="O63" s="1204" t="s">
        <v>123</v>
      </c>
      <c r="P63" s="1205" t="s">
        <v>123</v>
      </c>
      <c r="Q63" s="1291"/>
      <c r="R63" s="1291" t="s">
        <v>123</v>
      </c>
      <c r="S63" s="1291"/>
      <c r="T63" s="1291"/>
      <c r="U63" s="1199" t="str">
        <f t="shared" si="2"/>
        <v/>
      </c>
      <c r="V63" s="1208"/>
      <c r="W63" s="1208"/>
      <c r="X63" s="1292"/>
      <c r="Y63" s="1288"/>
      <c r="Z63" s="1288"/>
      <c r="AA63" s="1289"/>
      <c r="AB63" s="1255"/>
      <c r="AC63" s="1204" t="s">
        <v>123</v>
      </c>
      <c r="AD63" s="1204" t="s">
        <v>123</v>
      </c>
      <c r="AE63" s="1205" t="s">
        <v>123</v>
      </c>
      <c r="AF63" s="1206"/>
      <c r="AG63" s="1206" t="s">
        <v>123</v>
      </c>
      <c r="AH63" s="1291"/>
      <c r="AI63" s="1291"/>
      <c r="AJ63" s="1199" t="str">
        <f t="shared" si="3"/>
        <v/>
      </c>
      <c r="AK63" s="1208"/>
      <c r="AL63" s="1208"/>
      <c r="AM63" s="1292"/>
      <c r="AN63" s="1288"/>
      <c r="AO63" s="1288"/>
      <c r="AP63" s="1289"/>
      <c r="AQ63" s="1255"/>
      <c r="AR63" s="1204" t="s">
        <v>123</v>
      </c>
      <c r="AS63" s="1204" t="s">
        <v>123</v>
      </c>
      <c r="AT63" s="1206" t="s">
        <v>123</v>
      </c>
      <c r="AU63" s="1206"/>
      <c r="AV63" s="1206" t="s">
        <v>123</v>
      </c>
      <c r="AW63" s="1291"/>
      <c r="AX63" s="1291"/>
      <c r="AY63" s="1199" t="str">
        <f t="shared" si="4"/>
        <v/>
      </c>
      <c r="AZ63" s="1208"/>
      <c r="BA63" s="1223"/>
      <c r="BB63" s="1234"/>
      <c r="BC63" s="1253"/>
      <c r="BD63" s="1253"/>
      <c r="BE63" s="1252"/>
      <c r="BF63" s="1242"/>
      <c r="BG63" s="1204" t="s">
        <v>123</v>
      </c>
      <c r="BH63" s="1204" t="s">
        <v>123</v>
      </c>
      <c r="BI63" s="1206" t="s">
        <v>123</v>
      </c>
      <c r="BJ63" s="1206"/>
      <c r="BK63" s="1206" t="s">
        <v>123</v>
      </c>
      <c r="BL63" s="1291"/>
      <c r="BM63" s="1291"/>
      <c r="BN63" s="1199" t="str">
        <f t="shared" si="5"/>
        <v/>
      </c>
      <c r="BO63" s="1208"/>
      <c r="BP63" s="1208"/>
      <c r="BQ63" s="1292"/>
      <c r="BR63" s="1288"/>
      <c r="BS63" s="1288"/>
      <c r="BT63" s="1289"/>
      <c r="BU63" s="1255"/>
      <c r="BV63" s="1204" t="s">
        <v>123</v>
      </c>
      <c r="BW63" s="1204" t="s">
        <v>123</v>
      </c>
      <c r="BX63" s="1206" t="s">
        <v>123</v>
      </c>
      <c r="BY63" s="1206"/>
      <c r="BZ63" s="1206" t="s">
        <v>123</v>
      </c>
      <c r="CA63" s="1291"/>
      <c r="CB63" s="1291"/>
      <c r="CC63" s="1199" t="str">
        <f t="shared" si="6"/>
        <v/>
      </c>
      <c r="CD63" s="1208"/>
      <c r="CE63" s="1208"/>
      <c r="CF63" s="1292"/>
      <c r="CG63" s="1288"/>
      <c r="CH63" s="1288"/>
      <c r="CI63" s="1289"/>
      <c r="CJ63" s="1255"/>
      <c r="CK63" s="1204" t="s">
        <v>123</v>
      </c>
      <c r="CL63" s="1204" t="s">
        <v>123</v>
      </c>
      <c r="CM63" s="1206" t="s">
        <v>123</v>
      </c>
      <c r="CN63" s="1206"/>
      <c r="CO63" s="1206" t="s">
        <v>123</v>
      </c>
      <c r="CP63" s="1291"/>
      <c r="CQ63" s="1291"/>
      <c r="CR63" s="1199" t="str">
        <f t="shared" si="7"/>
        <v/>
      </c>
      <c r="CS63" s="1208"/>
      <c r="CT63" s="1208"/>
      <c r="CU63" s="1292"/>
      <c r="CV63" s="1288"/>
      <c r="CW63" s="1288"/>
      <c r="CX63" s="1289"/>
      <c r="CY63" s="1255"/>
      <c r="CZ63" s="1204" t="s">
        <v>123</v>
      </c>
      <c r="DA63" s="1204" t="s">
        <v>123</v>
      </c>
      <c r="DB63" s="1206" t="s">
        <v>123</v>
      </c>
      <c r="DC63" s="1206"/>
      <c r="DD63" s="1206" t="s">
        <v>123</v>
      </c>
      <c r="DE63" s="1291"/>
      <c r="DF63" s="1291"/>
      <c r="DG63" s="1199" t="str">
        <f t="shared" si="8"/>
        <v/>
      </c>
      <c r="DH63" s="1208"/>
      <c r="DI63" s="1208"/>
      <c r="DJ63" s="1302"/>
      <c r="DK63" s="1288"/>
      <c r="DL63" s="1288"/>
      <c r="DM63" s="1289"/>
      <c r="DN63" s="1255"/>
      <c r="DO63" s="1204" t="s">
        <v>123</v>
      </c>
      <c r="DP63" s="1204" t="s">
        <v>123</v>
      </c>
      <c r="DQ63" s="1206" t="s">
        <v>123</v>
      </c>
      <c r="DR63" s="1206"/>
      <c r="DS63" s="1206" t="s">
        <v>123</v>
      </c>
      <c r="DT63" s="1291"/>
      <c r="DU63" s="1291"/>
      <c r="DV63" s="1199" t="str">
        <f t="shared" si="9"/>
        <v/>
      </c>
      <c r="DW63" s="1208"/>
      <c r="DX63" s="1208"/>
      <c r="DY63" s="1292"/>
      <c r="DZ63" s="1288"/>
      <c r="EA63" s="1288"/>
      <c r="EB63" s="1289"/>
      <c r="EC63" s="1255"/>
      <c r="ED63" s="1204" t="s">
        <v>123</v>
      </c>
      <c r="EE63" s="1204" t="s">
        <v>123</v>
      </c>
      <c r="EF63" s="1206" t="s">
        <v>123</v>
      </c>
      <c r="EG63" s="1206"/>
      <c r="EH63" s="1206" t="s">
        <v>123</v>
      </c>
      <c r="EI63" s="1291"/>
      <c r="EJ63" s="1291"/>
      <c r="EK63" s="1199" t="str">
        <f t="shared" si="10"/>
        <v/>
      </c>
      <c r="EL63" s="1208"/>
      <c r="EM63" s="1208"/>
      <c r="EN63" s="1292"/>
      <c r="EO63" s="1288"/>
      <c r="EP63" s="1288"/>
      <c r="EQ63" s="1289"/>
      <c r="ER63" s="1255"/>
      <c r="ES63" s="1204" t="s">
        <v>123</v>
      </c>
      <c r="ET63" s="1204" t="s">
        <v>123</v>
      </c>
      <c r="EU63" s="1206" t="s">
        <v>123</v>
      </c>
      <c r="EV63" s="1206"/>
      <c r="EW63" s="1206" t="s">
        <v>123</v>
      </c>
      <c r="EX63" s="1291"/>
      <c r="EY63" s="1291"/>
      <c r="EZ63" s="1199" t="str">
        <f t="shared" si="11"/>
        <v/>
      </c>
      <c r="FA63" s="1208"/>
      <c r="FB63" s="1208"/>
      <c r="FC63" s="1292"/>
      <c r="FD63" s="1288"/>
      <c r="FE63" s="1288"/>
      <c r="FF63" s="1289"/>
      <c r="FG63" s="1255"/>
      <c r="FH63" s="1204" t="s">
        <v>123</v>
      </c>
      <c r="FI63" s="1204" t="s">
        <v>123</v>
      </c>
      <c r="FJ63" s="1206" t="s">
        <v>123</v>
      </c>
      <c r="FK63" s="1206"/>
      <c r="FL63" s="1206" t="s">
        <v>123</v>
      </c>
      <c r="FM63" s="1291"/>
      <c r="FN63" s="1291"/>
      <c r="FO63" s="1199" t="str">
        <f t="shared" si="12"/>
        <v/>
      </c>
      <c r="FP63" s="1208"/>
      <c r="FQ63" s="1208"/>
      <c r="FR63" s="1292"/>
      <c r="FS63" s="1288"/>
      <c r="FT63" s="1288"/>
      <c r="FU63" s="1289"/>
      <c r="FV63" s="1255"/>
      <c r="FW63" s="1204" t="s">
        <v>123</v>
      </c>
      <c r="FX63" s="1204" t="s">
        <v>123</v>
      </c>
      <c r="FY63" s="1206" t="s">
        <v>123</v>
      </c>
      <c r="FZ63" s="1206"/>
      <c r="GA63" s="1206" t="s">
        <v>123</v>
      </c>
      <c r="GB63" s="1291"/>
      <c r="GC63" s="1291"/>
      <c r="GD63" s="1199" t="str">
        <f t="shared" si="13"/>
        <v/>
      </c>
      <c r="GE63" s="1208"/>
      <c r="GF63" s="1208"/>
      <c r="GG63" s="1292"/>
      <c r="GH63" s="1288"/>
      <c r="GI63" s="1288"/>
      <c r="GJ63" s="1289"/>
      <c r="GK63" s="1255"/>
      <c r="GL63" s="1204" t="s">
        <v>123</v>
      </c>
      <c r="GM63" s="1204" t="s">
        <v>123</v>
      </c>
      <c r="GN63" s="1206" t="s">
        <v>123</v>
      </c>
      <c r="GO63" s="1206"/>
      <c r="GP63" s="1206" t="s">
        <v>123</v>
      </c>
      <c r="GQ63" s="1291"/>
      <c r="GR63" s="1291"/>
      <c r="GS63" s="1199" t="str">
        <f t="shared" si="14"/>
        <v/>
      </c>
      <c r="GT63" s="1208"/>
      <c r="GU63" s="1208"/>
      <c r="GV63" s="1292"/>
      <c r="GW63" s="1288"/>
      <c r="GX63" s="1288"/>
      <c r="GY63" s="1289"/>
      <c r="GZ63" s="1255"/>
      <c r="HA63" s="1204" t="s">
        <v>123</v>
      </c>
      <c r="HB63" s="1204" t="s">
        <v>123</v>
      </c>
      <c r="HC63" s="1206" t="s">
        <v>123</v>
      </c>
      <c r="HD63" s="1206"/>
      <c r="HE63" s="1206" t="s">
        <v>123</v>
      </c>
      <c r="HF63" s="1291"/>
      <c r="HG63" s="1291"/>
      <c r="HH63" s="1199" t="str">
        <f t="shared" si="15"/>
        <v/>
      </c>
      <c r="HI63" s="1208"/>
      <c r="HJ63" s="1208"/>
      <c r="HK63" s="1292"/>
      <c r="HL63" s="1288"/>
      <c r="HM63" s="1288"/>
      <c r="HN63" s="1289"/>
      <c r="HO63" s="1255"/>
      <c r="HP63" s="1204" t="s">
        <v>123</v>
      </c>
      <c r="HQ63" s="1204" t="s">
        <v>123</v>
      </c>
      <c r="HR63" s="1206" t="s">
        <v>123</v>
      </c>
      <c r="HS63" s="1206"/>
      <c r="HT63" s="1206" t="s">
        <v>123</v>
      </c>
      <c r="HU63" s="1291"/>
      <c r="HV63" s="1291"/>
      <c r="HW63" s="1227"/>
    </row>
    <row r="64" ht="15.75" customHeight="1">
      <c r="A64" s="1297"/>
      <c r="B64" s="1298"/>
      <c r="C64" s="1298"/>
      <c r="D64" s="1297"/>
      <c r="E64" s="1299"/>
      <c r="F64" s="1199" t="str">
        <f t="shared" si="1"/>
        <v/>
      </c>
      <c r="G64" s="1208"/>
      <c r="H64" s="1208"/>
      <c r="I64" s="1292"/>
      <c r="J64" s="1288"/>
      <c r="K64" s="1288"/>
      <c r="L64" s="1289"/>
      <c r="M64" s="1255"/>
      <c r="N64" s="1204" t="s">
        <v>123</v>
      </c>
      <c r="O64" s="1204" t="s">
        <v>123</v>
      </c>
      <c r="P64" s="1205" t="s">
        <v>123</v>
      </c>
      <c r="Q64" s="1291"/>
      <c r="R64" s="1291" t="s">
        <v>123</v>
      </c>
      <c r="S64" s="1291"/>
      <c r="T64" s="1291"/>
      <c r="U64" s="1199" t="str">
        <f t="shared" si="2"/>
        <v/>
      </c>
      <c r="V64" s="1208"/>
      <c r="W64" s="1208"/>
      <c r="X64" s="1292"/>
      <c r="Y64" s="1288"/>
      <c r="Z64" s="1288"/>
      <c r="AA64" s="1289"/>
      <c r="AB64" s="1255"/>
      <c r="AC64" s="1204" t="s">
        <v>123</v>
      </c>
      <c r="AD64" s="1204" t="s">
        <v>123</v>
      </c>
      <c r="AE64" s="1205" t="s">
        <v>123</v>
      </c>
      <c r="AF64" s="1206"/>
      <c r="AG64" s="1206" t="s">
        <v>123</v>
      </c>
      <c r="AH64" s="1291"/>
      <c r="AI64" s="1291"/>
      <c r="AJ64" s="1199" t="str">
        <f t="shared" si="3"/>
        <v/>
      </c>
      <c r="AK64" s="1208"/>
      <c r="AL64" s="1208"/>
      <c r="AM64" s="1292"/>
      <c r="AN64" s="1288"/>
      <c r="AO64" s="1288"/>
      <c r="AP64" s="1289"/>
      <c r="AQ64" s="1255"/>
      <c r="AR64" s="1204" t="s">
        <v>123</v>
      </c>
      <c r="AS64" s="1204" t="s">
        <v>123</v>
      </c>
      <c r="AT64" s="1206" t="s">
        <v>123</v>
      </c>
      <c r="AU64" s="1206"/>
      <c r="AV64" s="1206" t="s">
        <v>123</v>
      </c>
      <c r="AW64" s="1291"/>
      <c r="AX64" s="1291"/>
      <c r="AY64" s="1199" t="str">
        <f t="shared" si="4"/>
        <v/>
      </c>
      <c r="AZ64" s="1208"/>
      <c r="BA64" s="1223"/>
      <c r="BB64" s="1234"/>
      <c r="BC64" s="1253"/>
      <c r="BD64" s="1253"/>
      <c r="BE64" s="1252"/>
      <c r="BF64" s="1242"/>
      <c r="BG64" s="1204" t="s">
        <v>123</v>
      </c>
      <c r="BH64" s="1204" t="s">
        <v>123</v>
      </c>
      <c r="BI64" s="1206" t="s">
        <v>123</v>
      </c>
      <c r="BJ64" s="1206"/>
      <c r="BK64" s="1206" t="s">
        <v>123</v>
      </c>
      <c r="BL64" s="1291"/>
      <c r="BM64" s="1291"/>
      <c r="BN64" s="1199" t="str">
        <f t="shared" si="5"/>
        <v/>
      </c>
      <c r="BO64" s="1208"/>
      <c r="BP64" s="1208"/>
      <c r="BQ64" s="1292"/>
      <c r="BR64" s="1288"/>
      <c r="BS64" s="1288"/>
      <c r="BT64" s="1289"/>
      <c r="BU64" s="1255"/>
      <c r="BV64" s="1204" t="s">
        <v>123</v>
      </c>
      <c r="BW64" s="1204" t="s">
        <v>123</v>
      </c>
      <c r="BX64" s="1206" t="s">
        <v>123</v>
      </c>
      <c r="BY64" s="1206"/>
      <c r="BZ64" s="1206" t="s">
        <v>123</v>
      </c>
      <c r="CA64" s="1291"/>
      <c r="CB64" s="1291"/>
      <c r="CC64" s="1199" t="str">
        <f t="shared" si="6"/>
        <v/>
      </c>
      <c r="CD64" s="1208"/>
      <c r="CE64" s="1208"/>
      <c r="CF64" s="1292"/>
      <c r="CG64" s="1288"/>
      <c r="CH64" s="1288"/>
      <c r="CI64" s="1289"/>
      <c r="CJ64" s="1255"/>
      <c r="CK64" s="1204" t="s">
        <v>123</v>
      </c>
      <c r="CL64" s="1204" t="s">
        <v>123</v>
      </c>
      <c r="CM64" s="1206" t="s">
        <v>123</v>
      </c>
      <c r="CN64" s="1206"/>
      <c r="CO64" s="1206" t="s">
        <v>123</v>
      </c>
      <c r="CP64" s="1291"/>
      <c r="CQ64" s="1291"/>
      <c r="CR64" s="1199" t="str">
        <f t="shared" si="7"/>
        <v/>
      </c>
      <c r="CS64" s="1208"/>
      <c r="CT64" s="1208"/>
      <c r="CU64" s="1292"/>
      <c r="CV64" s="1288"/>
      <c r="CW64" s="1288"/>
      <c r="CX64" s="1289"/>
      <c r="CY64" s="1255"/>
      <c r="CZ64" s="1204" t="s">
        <v>123</v>
      </c>
      <c r="DA64" s="1204" t="s">
        <v>123</v>
      </c>
      <c r="DB64" s="1206" t="s">
        <v>123</v>
      </c>
      <c r="DC64" s="1206"/>
      <c r="DD64" s="1206" t="s">
        <v>123</v>
      </c>
      <c r="DE64" s="1291"/>
      <c r="DF64" s="1291"/>
      <c r="DG64" s="1199" t="str">
        <f t="shared" si="8"/>
        <v/>
      </c>
      <c r="DH64" s="1208"/>
      <c r="DI64" s="1208"/>
      <c r="DJ64" s="1302"/>
      <c r="DK64" s="1288"/>
      <c r="DL64" s="1288"/>
      <c r="DM64" s="1289"/>
      <c r="DN64" s="1255"/>
      <c r="DO64" s="1204" t="s">
        <v>123</v>
      </c>
      <c r="DP64" s="1204" t="s">
        <v>123</v>
      </c>
      <c r="DQ64" s="1206" t="s">
        <v>123</v>
      </c>
      <c r="DR64" s="1206"/>
      <c r="DS64" s="1206" t="s">
        <v>123</v>
      </c>
      <c r="DT64" s="1291"/>
      <c r="DU64" s="1291"/>
      <c r="DV64" s="1199" t="str">
        <f t="shared" si="9"/>
        <v/>
      </c>
      <c r="DW64" s="1208"/>
      <c r="DX64" s="1208"/>
      <c r="DY64" s="1292"/>
      <c r="DZ64" s="1288"/>
      <c r="EA64" s="1288"/>
      <c r="EB64" s="1289"/>
      <c r="EC64" s="1255"/>
      <c r="ED64" s="1204" t="s">
        <v>123</v>
      </c>
      <c r="EE64" s="1204" t="s">
        <v>123</v>
      </c>
      <c r="EF64" s="1206" t="s">
        <v>123</v>
      </c>
      <c r="EG64" s="1206"/>
      <c r="EH64" s="1206" t="s">
        <v>123</v>
      </c>
      <c r="EI64" s="1291"/>
      <c r="EJ64" s="1291"/>
      <c r="EK64" s="1199" t="str">
        <f t="shared" si="10"/>
        <v/>
      </c>
      <c r="EL64" s="1208"/>
      <c r="EM64" s="1208"/>
      <c r="EN64" s="1292"/>
      <c r="EO64" s="1288"/>
      <c r="EP64" s="1288"/>
      <c r="EQ64" s="1289"/>
      <c r="ER64" s="1255"/>
      <c r="ES64" s="1204" t="s">
        <v>123</v>
      </c>
      <c r="ET64" s="1204" t="s">
        <v>123</v>
      </c>
      <c r="EU64" s="1206" t="s">
        <v>123</v>
      </c>
      <c r="EV64" s="1206"/>
      <c r="EW64" s="1206" t="s">
        <v>123</v>
      </c>
      <c r="EX64" s="1291"/>
      <c r="EY64" s="1291"/>
      <c r="EZ64" s="1199" t="str">
        <f t="shared" si="11"/>
        <v/>
      </c>
      <c r="FA64" s="1208"/>
      <c r="FB64" s="1208"/>
      <c r="FC64" s="1292"/>
      <c r="FD64" s="1288"/>
      <c r="FE64" s="1288"/>
      <c r="FF64" s="1289"/>
      <c r="FG64" s="1255"/>
      <c r="FH64" s="1204" t="s">
        <v>123</v>
      </c>
      <c r="FI64" s="1204" t="s">
        <v>123</v>
      </c>
      <c r="FJ64" s="1206" t="s">
        <v>123</v>
      </c>
      <c r="FK64" s="1206"/>
      <c r="FL64" s="1206" t="s">
        <v>123</v>
      </c>
      <c r="FM64" s="1291"/>
      <c r="FN64" s="1291"/>
      <c r="FO64" s="1199" t="str">
        <f t="shared" si="12"/>
        <v/>
      </c>
      <c r="FP64" s="1208"/>
      <c r="FQ64" s="1208"/>
      <c r="FR64" s="1292"/>
      <c r="FS64" s="1288"/>
      <c r="FT64" s="1288"/>
      <c r="FU64" s="1289"/>
      <c r="FV64" s="1255"/>
      <c r="FW64" s="1204" t="s">
        <v>123</v>
      </c>
      <c r="FX64" s="1204" t="s">
        <v>123</v>
      </c>
      <c r="FY64" s="1206" t="s">
        <v>123</v>
      </c>
      <c r="FZ64" s="1206"/>
      <c r="GA64" s="1206" t="s">
        <v>123</v>
      </c>
      <c r="GB64" s="1291"/>
      <c r="GC64" s="1291"/>
      <c r="GD64" s="1199" t="str">
        <f t="shared" si="13"/>
        <v/>
      </c>
      <c r="GE64" s="1208"/>
      <c r="GF64" s="1208"/>
      <c r="GG64" s="1292"/>
      <c r="GH64" s="1288"/>
      <c r="GI64" s="1288"/>
      <c r="GJ64" s="1289"/>
      <c r="GK64" s="1255"/>
      <c r="GL64" s="1204" t="s">
        <v>123</v>
      </c>
      <c r="GM64" s="1204" t="s">
        <v>123</v>
      </c>
      <c r="GN64" s="1206" t="s">
        <v>123</v>
      </c>
      <c r="GO64" s="1206"/>
      <c r="GP64" s="1206" t="s">
        <v>123</v>
      </c>
      <c r="GQ64" s="1291"/>
      <c r="GR64" s="1291"/>
      <c r="GS64" s="1199" t="str">
        <f t="shared" si="14"/>
        <v/>
      </c>
      <c r="GT64" s="1208"/>
      <c r="GU64" s="1208"/>
      <c r="GV64" s="1292"/>
      <c r="GW64" s="1288"/>
      <c r="GX64" s="1288"/>
      <c r="GY64" s="1289"/>
      <c r="GZ64" s="1255"/>
      <c r="HA64" s="1204" t="s">
        <v>123</v>
      </c>
      <c r="HB64" s="1204" t="s">
        <v>123</v>
      </c>
      <c r="HC64" s="1206" t="s">
        <v>123</v>
      </c>
      <c r="HD64" s="1206"/>
      <c r="HE64" s="1206" t="s">
        <v>123</v>
      </c>
      <c r="HF64" s="1291"/>
      <c r="HG64" s="1291"/>
      <c r="HH64" s="1199" t="str">
        <f t="shared" si="15"/>
        <v/>
      </c>
      <c r="HI64" s="1208"/>
      <c r="HJ64" s="1208"/>
      <c r="HK64" s="1292"/>
      <c r="HL64" s="1288"/>
      <c r="HM64" s="1288"/>
      <c r="HN64" s="1289"/>
      <c r="HO64" s="1255"/>
      <c r="HP64" s="1204" t="s">
        <v>123</v>
      </c>
      <c r="HQ64" s="1204" t="s">
        <v>123</v>
      </c>
      <c r="HR64" s="1206" t="s">
        <v>123</v>
      </c>
      <c r="HS64" s="1206"/>
      <c r="HT64" s="1206" t="s">
        <v>123</v>
      </c>
      <c r="HU64" s="1291"/>
      <c r="HV64" s="1291"/>
      <c r="HW64" s="1227"/>
    </row>
    <row r="65" ht="15.75" customHeight="1">
      <c r="A65" s="1297"/>
      <c r="B65" s="1298"/>
      <c r="C65" s="1298"/>
      <c r="D65" s="1297"/>
      <c r="E65" s="1299"/>
      <c r="F65" s="1199" t="str">
        <f t="shared" si="1"/>
        <v/>
      </c>
      <c r="G65" s="1208"/>
      <c r="H65" s="1208"/>
      <c r="I65" s="1292"/>
      <c r="J65" s="1288"/>
      <c r="K65" s="1288"/>
      <c r="L65" s="1289"/>
      <c r="M65" s="1255"/>
      <c r="N65" s="1204" t="s">
        <v>123</v>
      </c>
      <c r="O65" s="1204" t="s">
        <v>123</v>
      </c>
      <c r="P65" s="1205" t="s">
        <v>123</v>
      </c>
      <c r="Q65" s="1291"/>
      <c r="R65" s="1291" t="s">
        <v>123</v>
      </c>
      <c r="S65" s="1291"/>
      <c r="T65" s="1291"/>
      <c r="U65" s="1199" t="str">
        <f t="shared" si="2"/>
        <v/>
      </c>
      <c r="V65" s="1208"/>
      <c r="W65" s="1208"/>
      <c r="X65" s="1292"/>
      <c r="Y65" s="1288"/>
      <c r="Z65" s="1288"/>
      <c r="AA65" s="1289"/>
      <c r="AB65" s="1255"/>
      <c r="AC65" s="1204" t="s">
        <v>123</v>
      </c>
      <c r="AD65" s="1204" t="s">
        <v>123</v>
      </c>
      <c r="AE65" s="1205" t="s">
        <v>123</v>
      </c>
      <c r="AF65" s="1206"/>
      <c r="AG65" s="1206" t="s">
        <v>123</v>
      </c>
      <c r="AH65" s="1291"/>
      <c r="AI65" s="1291"/>
      <c r="AJ65" s="1199" t="str">
        <f t="shared" si="3"/>
        <v/>
      </c>
      <c r="AK65" s="1208"/>
      <c r="AL65" s="1208"/>
      <c r="AM65" s="1292"/>
      <c r="AN65" s="1288"/>
      <c r="AO65" s="1288"/>
      <c r="AP65" s="1289"/>
      <c r="AQ65" s="1255"/>
      <c r="AR65" s="1204" t="s">
        <v>123</v>
      </c>
      <c r="AS65" s="1204" t="s">
        <v>123</v>
      </c>
      <c r="AT65" s="1206" t="s">
        <v>123</v>
      </c>
      <c r="AU65" s="1206"/>
      <c r="AV65" s="1206" t="s">
        <v>123</v>
      </c>
      <c r="AW65" s="1291"/>
      <c r="AX65" s="1291"/>
      <c r="AY65" s="1199" t="str">
        <f t="shared" si="4"/>
        <v/>
      </c>
      <c r="AZ65" s="1208"/>
      <c r="BA65" s="1208"/>
      <c r="BB65" s="1234"/>
      <c r="BC65" s="1288"/>
      <c r="BD65" s="1288"/>
      <c r="BE65" s="1289"/>
      <c r="BF65" s="1255"/>
      <c r="BG65" s="1204" t="s">
        <v>123</v>
      </c>
      <c r="BH65" s="1204" t="s">
        <v>123</v>
      </c>
      <c r="BI65" s="1206" t="s">
        <v>123</v>
      </c>
      <c r="BJ65" s="1206"/>
      <c r="BK65" s="1206" t="s">
        <v>123</v>
      </c>
      <c r="BL65" s="1291"/>
      <c r="BM65" s="1291"/>
      <c r="BN65" s="1199" t="str">
        <f t="shared" si="5"/>
        <v/>
      </c>
      <c r="BO65" s="1208"/>
      <c r="BP65" s="1208"/>
      <c r="BQ65" s="1292"/>
      <c r="BR65" s="1288"/>
      <c r="BS65" s="1288"/>
      <c r="BT65" s="1289"/>
      <c r="BU65" s="1255"/>
      <c r="BV65" s="1204" t="s">
        <v>123</v>
      </c>
      <c r="BW65" s="1204" t="s">
        <v>123</v>
      </c>
      <c r="BX65" s="1206" t="s">
        <v>123</v>
      </c>
      <c r="BY65" s="1206"/>
      <c r="BZ65" s="1206" t="s">
        <v>123</v>
      </c>
      <c r="CA65" s="1291"/>
      <c r="CB65" s="1291"/>
      <c r="CC65" s="1199" t="str">
        <f t="shared" si="6"/>
        <v/>
      </c>
      <c r="CD65" s="1208"/>
      <c r="CE65" s="1208"/>
      <c r="CF65" s="1292"/>
      <c r="CG65" s="1288"/>
      <c r="CH65" s="1288"/>
      <c r="CI65" s="1289"/>
      <c r="CJ65" s="1255"/>
      <c r="CK65" s="1204" t="s">
        <v>123</v>
      </c>
      <c r="CL65" s="1204" t="s">
        <v>123</v>
      </c>
      <c r="CM65" s="1206" t="s">
        <v>123</v>
      </c>
      <c r="CN65" s="1206"/>
      <c r="CO65" s="1206" t="s">
        <v>123</v>
      </c>
      <c r="CP65" s="1291"/>
      <c r="CQ65" s="1291"/>
      <c r="CR65" s="1199" t="str">
        <f t="shared" si="7"/>
        <v/>
      </c>
      <c r="CS65" s="1208"/>
      <c r="CT65" s="1208"/>
      <c r="CU65" s="1292"/>
      <c r="CV65" s="1288"/>
      <c r="CW65" s="1288"/>
      <c r="CX65" s="1289"/>
      <c r="CY65" s="1255"/>
      <c r="CZ65" s="1204" t="s">
        <v>123</v>
      </c>
      <c r="DA65" s="1204" t="s">
        <v>123</v>
      </c>
      <c r="DB65" s="1206" t="s">
        <v>123</v>
      </c>
      <c r="DC65" s="1206"/>
      <c r="DD65" s="1206" t="s">
        <v>123</v>
      </c>
      <c r="DE65" s="1291"/>
      <c r="DF65" s="1291"/>
      <c r="DG65" s="1199" t="str">
        <f t="shared" si="8"/>
        <v/>
      </c>
      <c r="DH65" s="1208"/>
      <c r="DI65" s="1208"/>
      <c r="DJ65" s="1302"/>
      <c r="DK65" s="1288"/>
      <c r="DL65" s="1288"/>
      <c r="DM65" s="1289"/>
      <c r="DN65" s="1255"/>
      <c r="DO65" s="1204" t="s">
        <v>123</v>
      </c>
      <c r="DP65" s="1204" t="s">
        <v>123</v>
      </c>
      <c r="DQ65" s="1206" t="s">
        <v>123</v>
      </c>
      <c r="DR65" s="1206"/>
      <c r="DS65" s="1206" t="s">
        <v>123</v>
      </c>
      <c r="DT65" s="1291"/>
      <c r="DU65" s="1291"/>
      <c r="DV65" s="1199" t="str">
        <f t="shared" si="9"/>
        <v/>
      </c>
      <c r="DW65" s="1208"/>
      <c r="DX65" s="1208"/>
      <c r="DY65" s="1292"/>
      <c r="DZ65" s="1288"/>
      <c r="EA65" s="1288"/>
      <c r="EB65" s="1289"/>
      <c r="EC65" s="1255"/>
      <c r="ED65" s="1204" t="s">
        <v>123</v>
      </c>
      <c r="EE65" s="1204" t="s">
        <v>123</v>
      </c>
      <c r="EF65" s="1206" t="s">
        <v>123</v>
      </c>
      <c r="EG65" s="1206"/>
      <c r="EH65" s="1206" t="s">
        <v>123</v>
      </c>
      <c r="EI65" s="1291"/>
      <c r="EJ65" s="1291"/>
      <c r="EK65" s="1199" t="str">
        <f t="shared" si="10"/>
        <v/>
      </c>
      <c r="EL65" s="1208"/>
      <c r="EM65" s="1208"/>
      <c r="EN65" s="1292"/>
      <c r="EO65" s="1288"/>
      <c r="EP65" s="1288"/>
      <c r="EQ65" s="1289"/>
      <c r="ER65" s="1255"/>
      <c r="ES65" s="1204" t="s">
        <v>123</v>
      </c>
      <c r="ET65" s="1204" t="s">
        <v>123</v>
      </c>
      <c r="EU65" s="1206" t="s">
        <v>123</v>
      </c>
      <c r="EV65" s="1206"/>
      <c r="EW65" s="1206" t="s">
        <v>123</v>
      </c>
      <c r="EX65" s="1291"/>
      <c r="EY65" s="1291"/>
      <c r="EZ65" s="1199" t="str">
        <f t="shared" si="11"/>
        <v/>
      </c>
      <c r="FA65" s="1208"/>
      <c r="FB65" s="1208"/>
      <c r="FC65" s="1292"/>
      <c r="FD65" s="1288"/>
      <c r="FE65" s="1288"/>
      <c r="FF65" s="1289"/>
      <c r="FG65" s="1255"/>
      <c r="FH65" s="1204" t="s">
        <v>123</v>
      </c>
      <c r="FI65" s="1204" t="s">
        <v>123</v>
      </c>
      <c r="FJ65" s="1206" t="s">
        <v>123</v>
      </c>
      <c r="FK65" s="1206"/>
      <c r="FL65" s="1206" t="s">
        <v>123</v>
      </c>
      <c r="FM65" s="1291"/>
      <c r="FN65" s="1291"/>
      <c r="FO65" s="1199" t="str">
        <f t="shared" si="12"/>
        <v/>
      </c>
      <c r="FP65" s="1208"/>
      <c r="FQ65" s="1208"/>
      <c r="FR65" s="1292"/>
      <c r="FS65" s="1288"/>
      <c r="FT65" s="1288"/>
      <c r="FU65" s="1289"/>
      <c r="FV65" s="1255"/>
      <c r="FW65" s="1204" t="s">
        <v>123</v>
      </c>
      <c r="FX65" s="1204" t="s">
        <v>123</v>
      </c>
      <c r="FY65" s="1206" t="s">
        <v>123</v>
      </c>
      <c r="FZ65" s="1206"/>
      <c r="GA65" s="1206" t="s">
        <v>123</v>
      </c>
      <c r="GB65" s="1291"/>
      <c r="GC65" s="1291"/>
      <c r="GD65" s="1199" t="str">
        <f t="shared" si="13"/>
        <v/>
      </c>
      <c r="GE65" s="1208"/>
      <c r="GF65" s="1208"/>
      <c r="GG65" s="1292"/>
      <c r="GH65" s="1288"/>
      <c r="GI65" s="1288"/>
      <c r="GJ65" s="1289"/>
      <c r="GK65" s="1255"/>
      <c r="GL65" s="1204" t="s">
        <v>123</v>
      </c>
      <c r="GM65" s="1204" t="s">
        <v>123</v>
      </c>
      <c r="GN65" s="1206" t="s">
        <v>123</v>
      </c>
      <c r="GO65" s="1206"/>
      <c r="GP65" s="1206" t="s">
        <v>123</v>
      </c>
      <c r="GQ65" s="1291"/>
      <c r="GR65" s="1291"/>
      <c r="GS65" s="1199" t="str">
        <f t="shared" si="14"/>
        <v/>
      </c>
      <c r="GT65" s="1208"/>
      <c r="GU65" s="1208"/>
      <c r="GV65" s="1292"/>
      <c r="GW65" s="1288"/>
      <c r="GX65" s="1288"/>
      <c r="GY65" s="1289"/>
      <c r="GZ65" s="1255"/>
      <c r="HA65" s="1204" t="s">
        <v>123</v>
      </c>
      <c r="HB65" s="1204" t="s">
        <v>123</v>
      </c>
      <c r="HC65" s="1206" t="s">
        <v>123</v>
      </c>
      <c r="HD65" s="1206"/>
      <c r="HE65" s="1206" t="s">
        <v>123</v>
      </c>
      <c r="HF65" s="1291"/>
      <c r="HG65" s="1291"/>
      <c r="HH65" s="1199" t="str">
        <f t="shared" si="15"/>
        <v/>
      </c>
      <c r="HI65" s="1208"/>
      <c r="HJ65" s="1208"/>
      <c r="HK65" s="1292"/>
      <c r="HL65" s="1288"/>
      <c r="HM65" s="1288"/>
      <c r="HN65" s="1289"/>
      <c r="HO65" s="1255"/>
      <c r="HP65" s="1204" t="s">
        <v>123</v>
      </c>
      <c r="HQ65" s="1204" t="s">
        <v>123</v>
      </c>
      <c r="HR65" s="1206" t="s">
        <v>123</v>
      </c>
      <c r="HS65" s="1206"/>
      <c r="HT65" s="1206" t="s">
        <v>123</v>
      </c>
      <c r="HU65" s="1291"/>
      <c r="HV65" s="1291"/>
      <c r="HW65" s="1227"/>
    </row>
    <row r="66" ht="15.75" customHeight="1">
      <c r="A66" s="1297"/>
      <c r="B66" s="1298"/>
      <c r="C66" s="1298"/>
      <c r="D66" s="1297"/>
      <c r="E66" s="1299"/>
      <c r="F66" s="1199" t="str">
        <f t="shared" si="1"/>
        <v/>
      </c>
      <c r="G66" s="1208"/>
      <c r="H66" s="1208"/>
      <c r="I66" s="1292"/>
      <c r="J66" s="1288"/>
      <c r="K66" s="1288"/>
      <c r="L66" s="1289"/>
      <c r="M66" s="1255"/>
      <c r="N66" s="1204" t="s">
        <v>123</v>
      </c>
      <c r="O66" s="1204" t="s">
        <v>123</v>
      </c>
      <c r="P66" s="1205" t="s">
        <v>123</v>
      </c>
      <c r="Q66" s="1291"/>
      <c r="R66" s="1291" t="s">
        <v>123</v>
      </c>
      <c r="S66" s="1291"/>
      <c r="T66" s="1291"/>
      <c r="U66" s="1199" t="str">
        <f t="shared" si="2"/>
        <v/>
      </c>
      <c r="V66" s="1208"/>
      <c r="W66" s="1208"/>
      <c r="X66" s="1292"/>
      <c r="Y66" s="1288"/>
      <c r="Z66" s="1288"/>
      <c r="AA66" s="1289"/>
      <c r="AB66" s="1255"/>
      <c r="AC66" s="1204" t="s">
        <v>123</v>
      </c>
      <c r="AD66" s="1204" t="s">
        <v>123</v>
      </c>
      <c r="AE66" s="1205" t="s">
        <v>123</v>
      </c>
      <c r="AF66" s="1206"/>
      <c r="AG66" s="1206" t="s">
        <v>123</v>
      </c>
      <c r="AH66" s="1291"/>
      <c r="AI66" s="1291"/>
      <c r="AJ66" s="1199" t="str">
        <f t="shared" si="3"/>
        <v/>
      </c>
      <c r="AK66" s="1208"/>
      <c r="AL66" s="1208"/>
      <c r="AM66" s="1292"/>
      <c r="AN66" s="1288"/>
      <c r="AO66" s="1288"/>
      <c r="AP66" s="1289"/>
      <c r="AQ66" s="1255"/>
      <c r="AR66" s="1204" t="s">
        <v>123</v>
      </c>
      <c r="AS66" s="1204" t="s">
        <v>123</v>
      </c>
      <c r="AT66" s="1206" t="s">
        <v>123</v>
      </c>
      <c r="AU66" s="1206"/>
      <c r="AV66" s="1206" t="s">
        <v>123</v>
      </c>
      <c r="AW66" s="1291"/>
      <c r="AX66" s="1291"/>
      <c r="AY66" s="1199" t="str">
        <f t="shared" si="4"/>
        <v/>
      </c>
      <c r="AZ66" s="1208"/>
      <c r="BA66" s="1208"/>
      <c r="BB66" s="1234"/>
      <c r="BC66" s="1288"/>
      <c r="BD66" s="1288"/>
      <c r="BE66" s="1289"/>
      <c r="BF66" s="1255"/>
      <c r="BG66" s="1204" t="s">
        <v>123</v>
      </c>
      <c r="BH66" s="1204" t="s">
        <v>123</v>
      </c>
      <c r="BI66" s="1206" t="s">
        <v>123</v>
      </c>
      <c r="BJ66" s="1206"/>
      <c r="BK66" s="1206" t="s">
        <v>123</v>
      </c>
      <c r="BL66" s="1291"/>
      <c r="BM66" s="1291"/>
      <c r="BN66" s="1199" t="str">
        <f t="shared" si="5"/>
        <v/>
      </c>
      <c r="BO66" s="1208"/>
      <c r="BP66" s="1208"/>
      <c r="BQ66" s="1292"/>
      <c r="BR66" s="1288"/>
      <c r="BS66" s="1288"/>
      <c r="BT66" s="1289"/>
      <c r="BU66" s="1255"/>
      <c r="BV66" s="1204" t="s">
        <v>123</v>
      </c>
      <c r="BW66" s="1204" t="s">
        <v>123</v>
      </c>
      <c r="BX66" s="1206" t="s">
        <v>123</v>
      </c>
      <c r="BY66" s="1206"/>
      <c r="BZ66" s="1206" t="s">
        <v>123</v>
      </c>
      <c r="CA66" s="1291"/>
      <c r="CB66" s="1291"/>
      <c r="CC66" s="1199" t="str">
        <f t="shared" si="6"/>
        <v/>
      </c>
      <c r="CD66" s="1208"/>
      <c r="CE66" s="1208"/>
      <c r="CF66" s="1292"/>
      <c r="CG66" s="1288"/>
      <c r="CH66" s="1288"/>
      <c r="CI66" s="1289"/>
      <c r="CJ66" s="1255"/>
      <c r="CK66" s="1204" t="s">
        <v>123</v>
      </c>
      <c r="CL66" s="1204" t="s">
        <v>123</v>
      </c>
      <c r="CM66" s="1206" t="s">
        <v>123</v>
      </c>
      <c r="CN66" s="1206"/>
      <c r="CO66" s="1206" t="s">
        <v>123</v>
      </c>
      <c r="CP66" s="1291"/>
      <c r="CQ66" s="1291"/>
      <c r="CR66" s="1199" t="str">
        <f t="shared" si="7"/>
        <v/>
      </c>
      <c r="CS66" s="1208"/>
      <c r="CT66" s="1208"/>
      <c r="CU66" s="1292"/>
      <c r="CV66" s="1288"/>
      <c r="CW66" s="1288"/>
      <c r="CX66" s="1289"/>
      <c r="CY66" s="1255"/>
      <c r="CZ66" s="1204" t="s">
        <v>123</v>
      </c>
      <c r="DA66" s="1204" t="s">
        <v>123</v>
      </c>
      <c r="DB66" s="1206" t="s">
        <v>123</v>
      </c>
      <c r="DC66" s="1206"/>
      <c r="DD66" s="1206" t="s">
        <v>123</v>
      </c>
      <c r="DE66" s="1291"/>
      <c r="DF66" s="1291"/>
      <c r="DG66" s="1199" t="str">
        <f t="shared" si="8"/>
        <v/>
      </c>
      <c r="DH66" s="1208"/>
      <c r="DI66" s="1208"/>
      <c r="DJ66" s="1302"/>
      <c r="DK66" s="1288"/>
      <c r="DL66" s="1288"/>
      <c r="DM66" s="1289"/>
      <c r="DN66" s="1255"/>
      <c r="DO66" s="1204" t="s">
        <v>123</v>
      </c>
      <c r="DP66" s="1204" t="s">
        <v>123</v>
      </c>
      <c r="DQ66" s="1206" t="s">
        <v>123</v>
      </c>
      <c r="DR66" s="1206"/>
      <c r="DS66" s="1206" t="s">
        <v>123</v>
      </c>
      <c r="DT66" s="1291"/>
      <c r="DU66" s="1291"/>
      <c r="DV66" s="1199" t="str">
        <f t="shared" si="9"/>
        <v/>
      </c>
      <c r="DW66" s="1208"/>
      <c r="DX66" s="1208"/>
      <c r="DY66" s="1292"/>
      <c r="DZ66" s="1288"/>
      <c r="EA66" s="1288"/>
      <c r="EB66" s="1289"/>
      <c r="EC66" s="1255"/>
      <c r="ED66" s="1204" t="s">
        <v>123</v>
      </c>
      <c r="EE66" s="1204" t="s">
        <v>123</v>
      </c>
      <c r="EF66" s="1206" t="s">
        <v>123</v>
      </c>
      <c r="EG66" s="1206"/>
      <c r="EH66" s="1206" t="s">
        <v>123</v>
      </c>
      <c r="EI66" s="1291"/>
      <c r="EJ66" s="1291"/>
      <c r="EK66" s="1199" t="str">
        <f t="shared" si="10"/>
        <v/>
      </c>
      <c r="EL66" s="1208"/>
      <c r="EM66" s="1208"/>
      <c r="EN66" s="1292"/>
      <c r="EO66" s="1288"/>
      <c r="EP66" s="1288"/>
      <c r="EQ66" s="1289"/>
      <c r="ER66" s="1255"/>
      <c r="ES66" s="1204" t="s">
        <v>123</v>
      </c>
      <c r="ET66" s="1204" t="s">
        <v>123</v>
      </c>
      <c r="EU66" s="1206" t="s">
        <v>123</v>
      </c>
      <c r="EV66" s="1206"/>
      <c r="EW66" s="1206" t="s">
        <v>123</v>
      </c>
      <c r="EX66" s="1291"/>
      <c r="EY66" s="1291"/>
      <c r="EZ66" s="1199" t="str">
        <f t="shared" si="11"/>
        <v/>
      </c>
      <c r="FA66" s="1208"/>
      <c r="FB66" s="1208"/>
      <c r="FC66" s="1292"/>
      <c r="FD66" s="1288"/>
      <c r="FE66" s="1288"/>
      <c r="FF66" s="1289"/>
      <c r="FG66" s="1255"/>
      <c r="FH66" s="1204" t="s">
        <v>123</v>
      </c>
      <c r="FI66" s="1204" t="s">
        <v>123</v>
      </c>
      <c r="FJ66" s="1206" t="s">
        <v>123</v>
      </c>
      <c r="FK66" s="1206"/>
      <c r="FL66" s="1206" t="s">
        <v>123</v>
      </c>
      <c r="FM66" s="1291"/>
      <c r="FN66" s="1291"/>
      <c r="FO66" s="1199" t="str">
        <f t="shared" si="12"/>
        <v/>
      </c>
      <c r="FP66" s="1208"/>
      <c r="FQ66" s="1208"/>
      <c r="FR66" s="1292"/>
      <c r="FS66" s="1288"/>
      <c r="FT66" s="1288"/>
      <c r="FU66" s="1289"/>
      <c r="FV66" s="1255"/>
      <c r="FW66" s="1204" t="s">
        <v>123</v>
      </c>
      <c r="FX66" s="1204" t="s">
        <v>123</v>
      </c>
      <c r="FY66" s="1206" t="s">
        <v>123</v>
      </c>
      <c r="FZ66" s="1206"/>
      <c r="GA66" s="1206" t="s">
        <v>123</v>
      </c>
      <c r="GB66" s="1291"/>
      <c r="GC66" s="1291"/>
      <c r="GD66" s="1199" t="str">
        <f t="shared" si="13"/>
        <v/>
      </c>
      <c r="GE66" s="1208"/>
      <c r="GF66" s="1208"/>
      <c r="GG66" s="1292"/>
      <c r="GH66" s="1288"/>
      <c r="GI66" s="1288"/>
      <c r="GJ66" s="1289"/>
      <c r="GK66" s="1255"/>
      <c r="GL66" s="1204" t="s">
        <v>123</v>
      </c>
      <c r="GM66" s="1204" t="s">
        <v>123</v>
      </c>
      <c r="GN66" s="1206" t="s">
        <v>123</v>
      </c>
      <c r="GO66" s="1206"/>
      <c r="GP66" s="1206" t="s">
        <v>123</v>
      </c>
      <c r="GQ66" s="1291"/>
      <c r="GR66" s="1291"/>
      <c r="GS66" s="1199" t="str">
        <f t="shared" si="14"/>
        <v/>
      </c>
      <c r="GT66" s="1208"/>
      <c r="GU66" s="1208"/>
      <c r="GV66" s="1292"/>
      <c r="GW66" s="1288"/>
      <c r="GX66" s="1288"/>
      <c r="GY66" s="1289"/>
      <c r="GZ66" s="1255"/>
      <c r="HA66" s="1204" t="s">
        <v>123</v>
      </c>
      <c r="HB66" s="1204" t="s">
        <v>123</v>
      </c>
      <c r="HC66" s="1206" t="s">
        <v>123</v>
      </c>
      <c r="HD66" s="1206"/>
      <c r="HE66" s="1206" t="s">
        <v>123</v>
      </c>
      <c r="HF66" s="1291"/>
      <c r="HG66" s="1291"/>
      <c r="HH66" s="1199" t="str">
        <f t="shared" si="15"/>
        <v/>
      </c>
      <c r="HI66" s="1208"/>
      <c r="HJ66" s="1208"/>
      <c r="HK66" s="1292"/>
      <c r="HL66" s="1288"/>
      <c r="HM66" s="1288"/>
      <c r="HN66" s="1289"/>
      <c r="HO66" s="1255"/>
      <c r="HP66" s="1204" t="s">
        <v>123</v>
      </c>
      <c r="HQ66" s="1204" t="s">
        <v>123</v>
      </c>
      <c r="HR66" s="1206" t="s">
        <v>123</v>
      </c>
      <c r="HS66" s="1206"/>
      <c r="HT66" s="1206" t="s">
        <v>123</v>
      </c>
      <c r="HU66" s="1291"/>
      <c r="HV66" s="1291"/>
      <c r="HW66" s="1227"/>
    </row>
    <row r="67" ht="15.75" customHeight="1">
      <c r="A67" s="1297"/>
      <c r="B67" s="1298"/>
      <c r="C67" s="1298"/>
      <c r="D67" s="1297"/>
      <c r="E67" s="1299"/>
      <c r="F67" s="1199" t="str">
        <f t="shared" si="1"/>
        <v/>
      </c>
      <c r="G67" s="1208"/>
      <c r="H67" s="1208"/>
      <c r="I67" s="1292"/>
      <c r="J67" s="1288"/>
      <c r="K67" s="1288"/>
      <c r="L67" s="1289"/>
      <c r="M67" s="1255"/>
      <c r="N67" s="1204" t="s">
        <v>123</v>
      </c>
      <c r="O67" s="1204" t="s">
        <v>123</v>
      </c>
      <c r="P67" s="1205" t="s">
        <v>123</v>
      </c>
      <c r="Q67" s="1291"/>
      <c r="R67" s="1291" t="s">
        <v>123</v>
      </c>
      <c r="S67" s="1291"/>
      <c r="T67" s="1291"/>
      <c r="U67" s="1199" t="str">
        <f t="shared" si="2"/>
        <v/>
      </c>
      <c r="V67" s="1208"/>
      <c r="W67" s="1208"/>
      <c r="X67" s="1292"/>
      <c r="Y67" s="1288"/>
      <c r="Z67" s="1288"/>
      <c r="AA67" s="1289"/>
      <c r="AB67" s="1255"/>
      <c r="AC67" s="1204" t="s">
        <v>123</v>
      </c>
      <c r="AD67" s="1204" t="s">
        <v>123</v>
      </c>
      <c r="AE67" s="1205" t="s">
        <v>123</v>
      </c>
      <c r="AF67" s="1206"/>
      <c r="AG67" s="1206" t="s">
        <v>123</v>
      </c>
      <c r="AH67" s="1291"/>
      <c r="AI67" s="1291"/>
      <c r="AJ67" s="1199" t="str">
        <f t="shared" si="3"/>
        <v/>
      </c>
      <c r="AK67" s="1208"/>
      <c r="AL67" s="1208"/>
      <c r="AM67" s="1292"/>
      <c r="AN67" s="1288"/>
      <c r="AO67" s="1288"/>
      <c r="AP67" s="1289"/>
      <c r="AQ67" s="1255"/>
      <c r="AR67" s="1204" t="s">
        <v>123</v>
      </c>
      <c r="AS67" s="1204" t="s">
        <v>123</v>
      </c>
      <c r="AT67" s="1206" t="s">
        <v>123</v>
      </c>
      <c r="AU67" s="1206"/>
      <c r="AV67" s="1206" t="s">
        <v>123</v>
      </c>
      <c r="AW67" s="1291"/>
      <c r="AX67" s="1291"/>
      <c r="AY67" s="1199" t="str">
        <f t="shared" si="4"/>
        <v/>
      </c>
      <c r="AZ67" s="1208"/>
      <c r="BA67" s="1208"/>
      <c r="BB67" s="1234"/>
      <c r="BC67" s="1288"/>
      <c r="BD67" s="1288"/>
      <c r="BE67" s="1289"/>
      <c r="BF67" s="1255"/>
      <c r="BG67" s="1204" t="s">
        <v>123</v>
      </c>
      <c r="BH67" s="1204" t="s">
        <v>123</v>
      </c>
      <c r="BI67" s="1206" t="s">
        <v>123</v>
      </c>
      <c r="BJ67" s="1206"/>
      <c r="BK67" s="1206" t="s">
        <v>123</v>
      </c>
      <c r="BL67" s="1291"/>
      <c r="BM67" s="1291"/>
      <c r="BN67" s="1199" t="str">
        <f t="shared" si="5"/>
        <v/>
      </c>
      <c r="BO67" s="1208"/>
      <c r="BP67" s="1208"/>
      <c r="BQ67" s="1292"/>
      <c r="BR67" s="1288"/>
      <c r="BS67" s="1288"/>
      <c r="BT67" s="1289"/>
      <c r="BU67" s="1255"/>
      <c r="BV67" s="1204" t="s">
        <v>123</v>
      </c>
      <c r="BW67" s="1204" t="s">
        <v>123</v>
      </c>
      <c r="BX67" s="1206" t="s">
        <v>123</v>
      </c>
      <c r="BY67" s="1206"/>
      <c r="BZ67" s="1206" t="s">
        <v>123</v>
      </c>
      <c r="CA67" s="1291"/>
      <c r="CB67" s="1291"/>
      <c r="CC67" s="1199" t="str">
        <f t="shared" si="6"/>
        <v/>
      </c>
      <c r="CD67" s="1208"/>
      <c r="CE67" s="1208"/>
      <c r="CF67" s="1292"/>
      <c r="CG67" s="1288"/>
      <c r="CH67" s="1288"/>
      <c r="CI67" s="1289"/>
      <c r="CJ67" s="1255"/>
      <c r="CK67" s="1204" t="s">
        <v>123</v>
      </c>
      <c r="CL67" s="1204" t="s">
        <v>123</v>
      </c>
      <c r="CM67" s="1206" t="s">
        <v>123</v>
      </c>
      <c r="CN67" s="1206"/>
      <c r="CO67" s="1206" t="s">
        <v>123</v>
      </c>
      <c r="CP67" s="1291"/>
      <c r="CQ67" s="1291"/>
      <c r="CR67" s="1199" t="str">
        <f t="shared" si="7"/>
        <v/>
      </c>
      <c r="CS67" s="1208"/>
      <c r="CT67" s="1208"/>
      <c r="CU67" s="1292"/>
      <c r="CV67" s="1288"/>
      <c r="CW67" s="1288"/>
      <c r="CX67" s="1289"/>
      <c r="CY67" s="1255"/>
      <c r="CZ67" s="1204" t="s">
        <v>123</v>
      </c>
      <c r="DA67" s="1204" t="s">
        <v>123</v>
      </c>
      <c r="DB67" s="1206" t="s">
        <v>123</v>
      </c>
      <c r="DC67" s="1206"/>
      <c r="DD67" s="1206" t="s">
        <v>123</v>
      </c>
      <c r="DE67" s="1291"/>
      <c r="DF67" s="1291"/>
      <c r="DG67" s="1199" t="str">
        <f t="shared" si="8"/>
        <v/>
      </c>
      <c r="DH67" s="1208"/>
      <c r="DI67" s="1208"/>
      <c r="DJ67" s="1302"/>
      <c r="DK67" s="1288"/>
      <c r="DL67" s="1288"/>
      <c r="DM67" s="1289"/>
      <c r="DN67" s="1255"/>
      <c r="DO67" s="1204" t="s">
        <v>123</v>
      </c>
      <c r="DP67" s="1204" t="s">
        <v>123</v>
      </c>
      <c r="DQ67" s="1206" t="s">
        <v>123</v>
      </c>
      <c r="DR67" s="1206"/>
      <c r="DS67" s="1206" t="s">
        <v>123</v>
      </c>
      <c r="DT67" s="1291"/>
      <c r="DU67" s="1291"/>
      <c r="DV67" s="1199" t="str">
        <f t="shared" si="9"/>
        <v/>
      </c>
      <c r="DW67" s="1208"/>
      <c r="DX67" s="1208"/>
      <c r="DY67" s="1292"/>
      <c r="DZ67" s="1288"/>
      <c r="EA67" s="1288"/>
      <c r="EB67" s="1289"/>
      <c r="EC67" s="1255"/>
      <c r="ED67" s="1204" t="s">
        <v>123</v>
      </c>
      <c r="EE67" s="1204" t="s">
        <v>123</v>
      </c>
      <c r="EF67" s="1206" t="s">
        <v>123</v>
      </c>
      <c r="EG67" s="1206"/>
      <c r="EH67" s="1206" t="s">
        <v>123</v>
      </c>
      <c r="EI67" s="1291"/>
      <c r="EJ67" s="1291"/>
      <c r="EK67" s="1199" t="str">
        <f t="shared" si="10"/>
        <v/>
      </c>
      <c r="EL67" s="1208"/>
      <c r="EM67" s="1208"/>
      <c r="EN67" s="1292"/>
      <c r="EO67" s="1288"/>
      <c r="EP67" s="1288"/>
      <c r="EQ67" s="1289"/>
      <c r="ER67" s="1255"/>
      <c r="ES67" s="1204" t="s">
        <v>123</v>
      </c>
      <c r="ET67" s="1204" t="s">
        <v>123</v>
      </c>
      <c r="EU67" s="1206" t="s">
        <v>123</v>
      </c>
      <c r="EV67" s="1206"/>
      <c r="EW67" s="1206" t="s">
        <v>123</v>
      </c>
      <c r="EX67" s="1291"/>
      <c r="EY67" s="1291"/>
      <c r="EZ67" s="1199" t="str">
        <f t="shared" si="11"/>
        <v/>
      </c>
      <c r="FA67" s="1208"/>
      <c r="FB67" s="1208"/>
      <c r="FC67" s="1292"/>
      <c r="FD67" s="1288"/>
      <c r="FE67" s="1288"/>
      <c r="FF67" s="1289"/>
      <c r="FG67" s="1255"/>
      <c r="FH67" s="1204" t="s">
        <v>123</v>
      </c>
      <c r="FI67" s="1204" t="s">
        <v>123</v>
      </c>
      <c r="FJ67" s="1206" t="s">
        <v>123</v>
      </c>
      <c r="FK67" s="1206"/>
      <c r="FL67" s="1206" t="s">
        <v>123</v>
      </c>
      <c r="FM67" s="1291"/>
      <c r="FN67" s="1291"/>
      <c r="FO67" s="1199" t="str">
        <f t="shared" si="12"/>
        <v/>
      </c>
      <c r="FP67" s="1208"/>
      <c r="FQ67" s="1208"/>
      <c r="FR67" s="1292"/>
      <c r="FS67" s="1288"/>
      <c r="FT67" s="1288"/>
      <c r="FU67" s="1289"/>
      <c r="FV67" s="1255"/>
      <c r="FW67" s="1204" t="s">
        <v>123</v>
      </c>
      <c r="FX67" s="1204" t="s">
        <v>123</v>
      </c>
      <c r="FY67" s="1206" t="s">
        <v>123</v>
      </c>
      <c r="FZ67" s="1206"/>
      <c r="GA67" s="1206" t="s">
        <v>123</v>
      </c>
      <c r="GB67" s="1291"/>
      <c r="GC67" s="1291"/>
      <c r="GD67" s="1199" t="str">
        <f t="shared" si="13"/>
        <v/>
      </c>
      <c r="GE67" s="1208"/>
      <c r="GF67" s="1208"/>
      <c r="GG67" s="1292"/>
      <c r="GH67" s="1288"/>
      <c r="GI67" s="1288"/>
      <c r="GJ67" s="1289"/>
      <c r="GK67" s="1255"/>
      <c r="GL67" s="1204" t="s">
        <v>123</v>
      </c>
      <c r="GM67" s="1204" t="s">
        <v>123</v>
      </c>
      <c r="GN67" s="1206" t="s">
        <v>123</v>
      </c>
      <c r="GO67" s="1206"/>
      <c r="GP67" s="1206" t="s">
        <v>123</v>
      </c>
      <c r="GQ67" s="1291"/>
      <c r="GR67" s="1291"/>
      <c r="GS67" s="1199" t="str">
        <f t="shared" si="14"/>
        <v/>
      </c>
      <c r="GT67" s="1208"/>
      <c r="GU67" s="1208"/>
      <c r="GV67" s="1292"/>
      <c r="GW67" s="1288"/>
      <c r="GX67" s="1288"/>
      <c r="GY67" s="1289"/>
      <c r="GZ67" s="1255"/>
      <c r="HA67" s="1204" t="s">
        <v>123</v>
      </c>
      <c r="HB67" s="1204" t="s">
        <v>123</v>
      </c>
      <c r="HC67" s="1206" t="s">
        <v>123</v>
      </c>
      <c r="HD67" s="1206"/>
      <c r="HE67" s="1206" t="s">
        <v>123</v>
      </c>
      <c r="HF67" s="1291"/>
      <c r="HG67" s="1291"/>
      <c r="HH67" s="1199" t="str">
        <f t="shared" si="15"/>
        <v/>
      </c>
      <c r="HI67" s="1208"/>
      <c r="HJ67" s="1208"/>
      <c r="HK67" s="1292"/>
      <c r="HL67" s="1288"/>
      <c r="HM67" s="1288"/>
      <c r="HN67" s="1289"/>
      <c r="HO67" s="1255"/>
      <c r="HP67" s="1204" t="s">
        <v>123</v>
      </c>
      <c r="HQ67" s="1204" t="s">
        <v>123</v>
      </c>
      <c r="HR67" s="1206" t="s">
        <v>123</v>
      </c>
      <c r="HS67" s="1206"/>
      <c r="HT67" s="1206" t="s">
        <v>123</v>
      </c>
      <c r="HU67" s="1291"/>
      <c r="HV67" s="1291"/>
      <c r="HW67" s="1227"/>
    </row>
    <row r="68" ht="15.75" customHeight="1">
      <c r="A68" s="1297"/>
      <c r="B68" s="1298"/>
      <c r="C68" s="1298"/>
      <c r="D68" s="1297"/>
      <c r="E68" s="1299"/>
      <c r="F68" s="1199" t="str">
        <f t="shared" si="1"/>
        <v/>
      </c>
      <c r="G68" s="1208"/>
      <c r="H68" s="1208"/>
      <c r="I68" s="1292"/>
      <c r="J68" s="1288"/>
      <c r="K68" s="1288"/>
      <c r="L68" s="1289"/>
      <c r="M68" s="1255"/>
      <c r="N68" s="1204" t="s">
        <v>123</v>
      </c>
      <c r="O68" s="1204" t="s">
        <v>123</v>
      </c>
      <c r="P68" s="1205" t="s">
        <v>123</v>
      </c>
      <c r="Q68" s="1291"/>
      <c r="R68" s="1291" t="s">
        <v>123</v>
      </c>
      <c r="S68" s="1291"/>
      <c r="T68" s="1291"/>
      <c r="U68" s="1199" t="str">
        <f t="shared" si="2"/>
        <v/>
      </c>
      <c r="V68" s="1208"/>
      <c r="W68" s="1208"/>
      <c r="X68" s="1292"/>
      <c r="Y68" s="1288"/>
      <c r="Z68" s="1288"/>
      <c r="AA68" s="1289"/>
      <c r="AB68" s="1255"/>
      <c r="AC68" s="1204" t="s">
        <v>123</v>
      </c>
      <c r="AD68" s="1204" t="s">
        <v>123</v>
      </c>
      <c r="AE68" s="1205" t="s">
        <v>123</v>
      </c>
      <c r="AF68" s="1206"/>
      <c r="AG68" s="1206" t="s">
        <v>123</v>
      </c>
      <c r="AH68" s="1291"/>
      <c r="AI68" s="1291"/>
      <c r="AJ68" s="1199" t="str">
        <f t="shared" si="3"/>
        <v/>
      </c>
      <c r="AK68" s="1208"/>
      <c r="AL68" s="1208"/>
      <c r="AM68" s="1292"/>
      <c r="AN68" s="1288"/>
      <c r="AO68" s="1288"/>
      <c r="AP68" s="1289"/>
      <c r="AQ68" s="1255"/>
      <c r="AR68" s="1204" t="s">
        <v>123</v>
      </c>
      <c r="AS68" s="1204" t="s">
        <v>123</v>
      </c>
      <c r="AT68" s="1206" t="s">
        <v>123</v>
      </c>
      <c r="AU68" s="1206"/>
      <c r="AV68" s="1206" t="s">
        <v>123</v>
      </c>
      <c r="AW68" s="1291"/>
      <c r="AX68" s="1291"/>
      <c r="AY68" s="1199" t="str">
        <f t="shared" si="4"/>
        <v/>
      </c>
      <c r="AZ68" s="1208"/>
      <c r="BA68" s="1208"/>
      <c r="BB68" s="1292"/>
      <c r="BC68" s="1288"/>
      <c r="BD68" s="1288"/>
      <c r="BE68" s="1289"/>
      <c r="BF68" s="1255"/>
      <c r="BG68" s="1204" t="s">
        <v>123</v>
      </c>
      <c r="BH68" s="1204" t="s">
        <v>123</v>
      </c>
      <c r="BI68" s="1206" t="s">
        <v>123</v>
      </c>
      <c r="BJ68" s="1206"/>
      <c r="BK68" s="1206" t="s">
        <v>123</v>
      </c>
      <c r="BL68" s="1291"/>
      <c r="BM68" s="1291"/>
      <c r="BN68" s="1199" t="str">
        <f t="shared" si="5"/>
        <v/>
      </c>
      <c r="BO68" s="1208"/>
      <c r="BP68" s="1208"/>
      <c r="BQ68" s="1292"/>
      <c r="BR68" s="1288"/>
      <c r="BS68" s="1288"/>
      <c r="BT68" s="1289"/>
      <c r="BU68" s="1255"/>
      <c r="BV68" s="1204" t="s">
        <v>123</v>
      </c>
      <c r="BW68" s="1204" t="s">
        <v>123</v>
      </c>
      <c r="BX68" s="1206" t="s">
        <v>123</v>
      </c>
      <c r="BY68" s="1206"/>
      <c r="BZ68" s="1206" t="s">
        <v>123</v>
      </c>
      <c r="CA68" s="1291"/>
      <c r="CB68" s="1291"/>
      <c r="CC68" s="1199" t="str">
        <f t="shared" si="6"/>
        <v/>
      </c>
      <c r="CD68" s="1208"/>
      <c r="CE68" s="1208"/>
      <c r="CF68" s="1292"/>
      <c r="CG68" s="1288"/>
      <c r="CH68" s="1288"/>
      <c r="CI68" s="1289"/>
      <c r="CJ68" s="1255"/>
      <c r="CK68" s="1204" t="s">
        <v>123</v>
      </c>
      <c r="CL68" s="1204" t="s">
        <v>123</v>
      </c>
      <c r="CM68" s="1206" t="s">
        <v>123</v>
      </c>
      <c r="CN68" s="1206"/>
      <c r="CO68" s="1206" t="s">
        <v>123</v>
      </c>
      <c r="CP68" s="1291"/>
      <c r="CQ68" s="1291"/>
      <c r="CR68" s="1199" t="str">
        <f t="shared" si="7"/>
        <v/>
      </c>
      <c r="CS68" s="1208"/>
      <c r="CT68" s="1208"/>
      <c r="CU68" s="1292"/>
      <c r="CV68" s="1288"/>
      <c r="CW68" s="1288"/>
      <c r="CX68" s="1289"/>
      <c r="CY68" s="1255"/>
      <c r="CZ68" s="1204" t="s">
        <v>123</v>
      </c>
      <c r="DA68" s="1204" t="s">
        <v>123</v>
      </c>
      <c r="DB68" s="1206" t="s">
        <v>123</v>
      </c>
      <c r="DC68" s="1206"/>
      <c r="DD68" s="1206" t="s">
        <v>123</v>
      </c>
      <c r="DE68" s="1291"/>
      <c r="DF68" s="1291"/>
      <c r="DG68" s="1199" t="str">
        <f t="shared" si="8"/>
        <v/>
      </c>
      <c r="DH68" s="1208"/>
      <c r="DI68" s="1208"/>
      <c r="DJ68" s="1302"/>
      <c r="DK68" s="1288"/>
      <c r="DL68" s="1288"/>
      <c r="DM68" s="1289"/>
      <c r="DN68" s="1255"/>
      <c r="DO68" s="1204" t="s">
        <v>123</v>
      </c>
      <c r="DP68" s="1204" t="s">
        <v>123</v>
      </c>
      <c r="DQ68" s="1206" t="s">
        <v>123</v>
      </c>
      <c r="DR68" s="1206"/>
      <c r="DS68" s="1206" t="s">
        <v>123</v>
      </c>
      <c r="DT68" s="1291"/>
      <c r="DU68" s="1291"/>
      <c r="DV68" s="1199" t="str">
        <f t="shared" si="9"/>
        <v/>
      </c>
      <c r="DW68" s="1208"/>
      <c r="DX68" s="1208"/>
      <c r="DY68" s="1292"/>
      <c r="DZ68" s="1288"/>
      <c r="EA68" s="1288"/>
      <c r="EB68" s="1289"/>
      <c r="EC68" s="1255"/>
      <c r="ED68" s="1204" t="s">
        <v>123</v>
      </c>
      <c r="EE68" s="1204" t="s">
        <v>123</v>
      </c>
      <c r="EF68" s="1206" t="s">
        <v>123</v>
      </c>
      <c r="EG68" s="1206"/>
      <c r="EH68" s="1206" t="s">
        <v>123</v>
      </c>
      <c r="EI68" s="1291"/>
      <c r="EJ68" s="1291"/>
      <c r="EK68" s="1199" t="str">
        <f t="shared" si="10"/>
        <v/>
      </c>
      <c r="EL68" s="1208"/>
      <c r="EM68" s="1208"/>
      <c r="EN68" s="1292"/>
      <c r="EO68" s="1288"/>
      <c r="EP68" s="1288"/>
      <c r="EQ68" s="1289"/>
      <c r="ER68" s="1255"/>
      <c r="ES68" s="1204" t="s">
        <v>123</v>
      </c>
      <c r="ET68" s="1204" t="s">
        <v>123</v>
      </c>
      <c r="EU68" s="1206" t="s">
        <v>123</v>
      </c>
      <c r="EV68" s="1206"/>
      <c r="EW68" s="1206" t="s">
        <v>123</v>
      </c>
      <c r="EX68" s="1291"/>
      <c r="EY68" s="1291"/>
      <c r="EZ68" s="1199" t="str">
        <f t="shared" si="11"/>
        <v/>
      </c>
      <c r="FA68" s="1208"/>
      <c r="FB68" s="1208"/>
      <c r="FC68" s="1292"/>
      <c r="FD68" s="1288"/>
      <c r="FE68" s="1288"/>
      <c r="FF68" s="1289"/>
      <c r="FG68" s="1255"/>
      <c r="FH68" s="1204" t="s">
        <v>123</v>
      </c>
      <c r="FI68" s="1204" t="s">
        <v>123</v>
      </c>
      <c r="FJ68" s="1206" t="s">
        <v>123</v>
      </c>
      <c r="FK68" s="1206"/>
      <c r="FL68" s="1206" t="s">
        <v>123</v>
      </c>
      <c r="FM68" s="1291"/>
      <c r="FN68" s="1291"/>
      <c r="FO68" s="1199" t="str">
        <f t="shared" si="12"/>
        <v/>
      </c>
      <c r="FP68" s="1208"/>
      <c r="FQ68" s="1208"/>
      <c r="FR68" s="1292"/>
      <c r="FS68" s="1288"/>
      <c r="FT68" s="1288"/>
      <c r="FU68" s="1289"/>
      <c r="FV68" s="1255"/>
      <c r="FW68" s="1204" t="s">
        <v>123</v>
      </c>
      <c r="FX68" s="1204" t="s">
        <v>123</v>
      </c>
      <c r="FY68" s="1206" t="s">
        <v>123</v>
      </c>
      <c r="FZ68" s="1206"/>
      <c r="GA68" s="1206" t="s">
        <v>123</v>
      </c>
      <c r="GB68" s="1291"/>
      <c r="GC68" s="1291"/>
      <c r="GD68" s="1199" t="str">
        <f t="shared" si="13"/>
        <v/>
      </c>
      <c r="GE68" s="1208"/>
      <c r="GF68" s="1208"/>
      <c r="GG68" s="1292"/>
      <c r="GH68" s="1288"/>
      <c r="GI68" s="1288"/>
      <c r="GJ68" s="1289"/>
      <c r="GK68" s="1255"/>
      <c r="GL68" s="1204" t="s">
        <v>123</v>
      </c>
      <c r="GM68" s="1204" t="s">
        <v>123</v>
      </c>
      <c r="GN68" s="1206" t="s">
        <v>123</v>
      </c>
      <c r="GO68" s="1206"/>
      <c r="GP68" s="1206" t="s">
        <v>123</v>
      </c>
      <c r="GQ68" s="1291"/>
      <c r="GR68" s="1291"/>
      <c r="GS68" s="1199" t="str">
        <f t="shared" si="14"/>
        <v/>
      </c>
      <c r="GT68" s="1208"/>
      <c r="GU68" s="1208"/>
      <c r="GV68" s="1292"/>
      <c r="GW68" s="1288"/>
      <c r="GX68" s="1288"/>
      <c r="GY68" s="1289"/>
      <c r="GZ68" s="1255"/>
      <c r="HA68" s="1204" t="s">
        <v>123</v>
      </c>
      <c r="HB68" s="1204" t="s">
        <v>123</v>
      </c>
      <c r="HC68" s="1206" t="s">
        <v>123</v>
      </c>
      <c r="HD68" s="1206"/>
      <c r="HE68" s="1206" t="s">
        <v>123</v>
      </c>
      <c r="HF68" s="1291"/>
      <c r="HG68" s="1291"/>
      <c r="HH68" s="1199" t="str">
        <f t="shared" si="15"/>
        <v/>
      </c>
      <c r="HI68" s="1208"/>
      <c r="HJ68" s="1208"/>
      <c r="HK68" s="1292"/>
      <c r="HL68" s="1288"/>
      <c r="HM68" s="1288"/>
      <c r="HN68" s="1289"/>
      <c r="HO68" s="1255"/>
      <c r="HP68" s="1204" t="s">
        <v>123</v>
      </c>
      <c r="HQ68" s="1204" t="s">
        <v>123</v>
      </c>
      <c r="HR68" s="1206" t="s">
        <v>123</v>
      </c>
      <c r="HS68" s="1206"/>
      <c r="HT68" s="1206" t="s">
        <v>123</v>
      </c>
      <c r="HU68" s="1291"/>
      <c r="HV68" s="1291"/>
      <c r="HW68" s="1227"/>
    </row>
    <row r="69" ht="15.75" customHeight="1">
      <c r="A69" s="1297"/>
      <c r="B69" s="1298"/>
      <c r="C69" s="1298"/>
      <c r="D69" s="1297"/>
      <c r="E69" s="1299"/>
      <c r="F69" s="1199" t="str">
        <f t="shared" si="1"/>
        <v/>
      </c>
      <c r="G69" s="1208"/>
      <c r="H69" s="1208"/>
      <c r="I69" s="1292"/>
      <c r="J69" s="1288"/>
      <c r="K69" s="1288"/>
      <c r="L69" s="1289"/>
      <c r="M69" s="1255"/>
      <c r="N69" s="1204" t="s">
        <v>123</v>
      </c>
      <c r="O69" s="1204" t="s">
        <v>123</v>
      </c>
      <c r="P69" s="1205" t="s">
        <v>123</v>
      </c>
      <c r="Q69" s="1291"/>
      <c r="R69" s="1291" t="s">
        <v>123</v>
      </c>
      <c r="S69" s="1291"/>
      <c r="T69" s="1291"/>
      <c r="U69" s="1199" t="str">
        <f t="shared" si="2"/>
        <v/>
      </c>
      <c r="V69" s="1208"/>
      <c r="W69" s="1208"/>
      <c r="X69" s="1292"/>
      <c r="Y69" s="1288"/>
      <c r="Z69" s="1288"/>
      <c r="AA69" s="1289"/>
      <c r="AB69" s="1255"/>
      <c r="AC69" s="1204" t="s">
        <v>123</v>
      </c>
      <c r="AD69" s="1204" t="s">
        <v>123</v>
      </c>
      <c r="AE69" s="1205" t="s">
        <v>123</v>
      </c>
      <c r="AF69" s="1206"/>
      <c r="AG69" s="1206" t="s">
        <v>123</v>
      </c>
      <c r="AH69" s="1291"/>
      <c r="AI69" s="1291"/>
      <c r="AJ69" s="1199" t="str">
        <f t="shared" si="3"/>
        <v/>
      </c>
      <c r="AK69" s="1208"/>
      <c r="AL69" s="1208"/>
      <c r="AM69" s="1292"/>
      <c r="AN69" s="1288"/>
      <c r="AO69" s="1288"/>
      <c r="AP69" s="1289"/>
      <c r="AQ69" s="1255"/>
      <c r="AR69" s="1204" t="s">
        <v>123</v>
      </c>
      <c r="AS69" s="1204" t="s">
        <v>123</v>
      </c>
      <c r="AT69" s="1206" t="s">
        <v>123</v>
      </c>
      <c r="AU69" s="1206"/>
      <c r="AV69" s="1206" t="s">
        <v>123</v>
      </c>
      <c r="AW69" s="1291"/>
      <c r="AX69" s="1291"/>
      <c r="AY69" s="1199" t="str">
        <f t="shared" si="4"/>
        <v/>
      </c>
      <c r="AZ69" s="1208"/>
      <c r="BA69" s="1208"/>
      <c r="BB69" s="1292"/>
      <c r="BC69" s="1288"/>
      <c r="BD69" s="1288"/>
      <c r="BE69" s="1289"/>
      <c r="BF69" s="1255"/>
      <c r="BG69" s="1204" t="s">
        <v>123</v>
      </c>
      <c r="BH69" s="1204" t="s">
        <v>123</v>
      </c>
      <c r="BI69" s="1206" t="s">
        <v>123</v>
      </c>
      <c r="BJ69" s="1206"/>
      <c r="BK69" s="1206" t="s">
        <v>123</v>
      </c>
      <c r="BL69" s="1291"/>
      <c r="BM69" s="1291"/>
      <c r="BN69" s="1199" t="str">
        <f t="shared" si="5"/>
        <v/>
      </c>
      <c r="BO69" s="1208"/>
      <c r="BP69" s="1208"/>
      <c r="BQ69" s="1292"/>
      <c r="BR69" s="1288"/>
      <c r="BS69" s="1288"/>
      <c r="BT69" s="1289"/>
      <c r="BU69" s="1255"/>
      <c r="BV69" s="1204" t="s">
        <v>123</v>
      </c>
      <c r="BW69" s="1204" t="s">
        <v>123</v>
      </c>
      <c r="BX69" s="1206" t="s">
        <v>123</v>
      </c>
      <c r="BY69" s="1206"/>
      <c r="BZ69" s="1206" t="s">
        <v>123</v>
      </c>
      <c r="CA69" s="1291"/>
      <c r="CB69" s="1291"/>
      <c r="CC69" s="1199" t="str">
        <f t="shared" si="6"/>
        <v/>
      </c>
      <c r="CD69" s="1208"/>
      <c r="CE69" s="1208"/>
      <c r="CF69" s="1292"/>
      <c r="CG69" s="1288"/>
      <c r="CH69" s="1288"/>
      <c r="CI69" s="1289"/>
      <c r="CJ69" s="1255"/>
      <c r="CK69" s="1204" t="s">
        <v>123</v>
      </c>
      <c r="CL69" s="1204" t="s">
        <v>123</v>
      </c>
      <c r="CM69" s="1206" t="s">
        <v>123</v>
      </c>
      <c r="CN69" s="1206"/>
      <c r="CO69" s="1206" t="s">
        <v>123</v>
      </c>
      <c r="CP69" s="1291"/>
      <c r="CQ69" s="1291"/>
      <c r="CR69" s="1199" t="str">
        <f t="shared" si="7"/>
        <v/>
      </c>
      <c r="CS69" s="1208"/>
      <c r="CT69" s="1208"/>
      <c r="CU69" s="1292"/>
      <c r="CV69" s="1288"/>
      <c r="CW69" s="1288"/>
      <c r="CX69" s="1289"/>
      <c r="CY69" s="1255"/>
      <c r="CZ69" s="1204" t="s">
        <v>123</v>
      </c>
      <c r="DA69" s="1204" t="s">
        <v>123</v>
      </c>
      <c r="DB69" s="1206" t="s">
        <v>123</v>
      </c>
      <c r="DC69" s="1206"/>
      <c r="DD69" s="1206" t="s">
        <v>123</v>
      </c>
      <c r="DE69" s="1291"/>
      <c r="DF69" s="1291"/>
      <c r="DG69" s="1199" t="str">
        <f t="shared" si="8"/>
        <v/>
      </c>
      <c r="DH69" s="1208"/>
      <c r="DI69" s="1208"/>
      <c r="DJ69" s="1302"/>
      <c r="DK69" s="1288"/>
      <c r="DL69" s="1288"/>
      <c r="DM69" s="1289"/>
      <c r="DN69" s="1255"/>
      <c r="DO69" s="1204" t="s">
        <v>123</v>
      </c>
      <c r="DP69" s="1204" t="s">
        <v>123</v>
      </c>
      <c r="DQ69" s="1206" t="s">
        <v>123</v>
      </c>
      <c r="DR69" s="1206"/>
      <c r="DS69" s="1206" t="s">
        <v>123</v>
      </c>
      <c r="DT69" s="1291"/>
      <c r="DU69" s="1291"/>
      <c r="DV69" s="1199" t="str">
        <f t="shared" si="9"/>
        <v/>
      </c>
      <c r="DW69" s="1208"/>
      <c r="DX69" s="1208"/>
      <c r="DY69" s="1292"/>
      <c r="DZ69" s="1288"/>
      <c r="EA69" s="1288"/>
      <c r="EB69" s="1289"/>
      <c r="EC69" s="1255"/>
      <c r="ED69" s="1204" t="s">
        <v>123</v>
      </c>
      <c r="EE69" s="1204" t="s">
        <v>123</v>
      </c>
      <c r="EF69" s="1206" t="s">
        <v>123</v>
      </c>
      <c r="EG69" s="1206"/>
      <c r="EH69" s="1206" t="s">
        <v>123</v>
      </c>
      <c r="EI69" s="1291"/>
      <c r="EJ69" s="1291"/>
      <c r="EK69" s="1199" t="str">
        <f t="shared" si="10"/>
        <v/>
      </c>
      <c r="EL69" s="1208"/>
      <c r="EM69" s="1208"/>
      <c r="EN69" s="1292"/>
      <c r="EO69" s="1288"/>
      <c r="EP69" s="1288"/>
      <c r="EQ69" s="1289"/>
      <c r="ER69" s="1255"/>
      <c r="ES69" s="1204" t="s">
        <v>123</v>
      </c>
      <c r="ET69" s="1204" t="s">
        <v>123</v>
      </c>
      <c r="EU69" s="1206" t="s">
        <v>123</v>
      </c>
      <c r="EV69" s="1206"/>
      <c r="EW69" s="1206" t="s">
        <v>123</v>
      </c>
      <c r="EX69" s="1291"/>
      <c r="EY69" s="1291"/>
      <c r="EZ69" s="1199" t="str">
        <f t="shared" si="11"/>
        <v/>
      </c>
      <c r="FA69" s="1208"/>
      <c r="FB69" s="1208"/>
      <c r="FC69" s="1292"/>
      <c r="FD69" s="1288"/>
      <c r="FE69" s="1288"/>
      <c r="FF69" s="1289"/>
      <c r="FG69" s="1255"/>
      <c r="FH69" s="1204" t="s">
        <v>123</v>
      </c>
      <c r="FI69" s="1204" t="s">
        <v>123</v>
      </c>
      <c r="FJ69" s="1206" t="s">
        <v>123</v>
      </c>
      <c r="FK69" s="1206"/>
      <c r="FL69" s="1206" t="s">
        <v>123</v>
      </c>
      <c r="FM69" s="1291"/>
      <c r="FN69" s="1291"/>
      <c r="FO69" s="1199" t="str">
        <f t="shared" si="12"/>
        <v/>
      </c>
      <c r="FP69" s="1208"/>
      <c r="FQ69" s="1208"/>
      <c r="FR69" s="1292"/>
      <c r="FS69" s="1288"/>
      <c r="FT69" s="1288"/>
      <c r="FU69" s="1289"/>
      <c r="FV69" s="1255"/>
      <c r="FW69" s="1204" t="s">
        <v>123</v>
      </c>
      <c r="FX69" s="1204" t="s">
        <v>123</v>
      </c>
      <c r="FY69" s="1206" t="s">
        <v>123</v>
      </c>
      <c r="FZ69" s="1206"/>
      <c r="GA69" s="1206" t="s">
        <v>123</v>
      </c>
      <c r="GB69" s="1291"/>
      <c r="GC69" s="1291"/>
      <c r="GD69" s="1199" t="str">
        <f t="shared" si="13"/>
        <v/>
      </c>
      <c r="GE69" s="1208"/>
      <c r="GF69" s="1208"/>
      <c r="GG69" s="1292"/>
      <c r="GH69" s="1288"/>
      <c r="GI69" s="1288"/>
      <c r="GJ69" s="1289"/>
      <c r="GK69" s="1255"/>
      <c r="GL69" s="1204" t="s">
        <v>123</v>
      </c>
      <c r="GM69" s="1204" t="s">
        <v>123</v>
      </c>
      <c r="GN69" s="1206" t="s">
        <v>123</v>
      </c>
      <c r="GO69" s="1206"/>
      <c r="GP69" s="1206" t="s">
        <v>123</v>
      </c>
      <c r="GQ69" s="1291"/>
      <c r="GR69" s="1291"/>
      <c r="GS69" s="1199" t="str">
        <f t="shared" si="14"/>
        <v/>
      </c>
      <c r="GT69" s="1208"/>
      <c r="GU69" s="1208"/>
      <c r="GV69" s="1292"/>
      <c r="GW69" s="1288"/>
      <c r="GX69" s="1288"/>
      <c r="GY69" s="1289"/>
      <c r="GZ69" s="1255"/>
      <c r="HA69" s="1204" t="s">
        <v>123</v>
      </c>
      <c r="HB69" s="1204" t="s">
        <v>123</v>
      </c>
      <c r="HC69" s="1206" t="s">
        <v>123</v>
      </c>
      <c r="HD69" s="1206"/>
      <c r="HE69" s="1206" t="s">
        <v>123</v>
      </c>
      <c r="HF69" s="1291"/>
      <c r="HG69" s="1291"/>
      <c r="HH69" s="1199" t="str">
        <f t="shared" si="15"/>
        <v/>
      </c>
      <c r="HI69" s="1208"/>
      <c r="HJ69" s="1208"/>
      <c r="HK69" s="1292"/>
      <c r="HL69" s="1288"/>
      <c r="HM69" s="1288"/>
      <c r="HN69" s="1289"/>
      <c r="HO69" s="1255"/>
      <c r="HP69" s="1204" t="s">
        <v>123</v>
      </c>
      <c r="HQ69" s="1204" t="s">
        <v>123</v>
      </c>
      <c r="HR69" s="1206" t="s">
        <v>123</v>
      </c>
      <c r="HS69" s="1206"/>
      <c r="HT69" s="1206" t="s">
        <v>123</v>
      </c>
      <c r="HU69" s="1291"/>
      <c r="HV69" s="1291"/>
      <c r="HW69" s="1227"/>
    </row>
    <row r="70" ht="15.75" customHeight="1">
      <c r="A70" s="1297"/>
      <c r="B70" s="1298"/>
      <c r="C70" s="1298"/>
      <c r="D70" s="1297"/>
      <c r="E70" s="1299"/>
      <c r="F70" s="1199" t="str">
        <f t="shared" si="1"/>
        <v/>
      </c>
      <c r="G70" s="1208"/>
      <c r="H70" s="1208"/>
      <c r="I70" s="1292"/>
      <c r="J70" s="1288"/>
      <c r="K70" s="1288"/>
      <c r="L70" s="1289"/>
      <c r="M70" s="1255"/>
      <c r="N70" s="1204" t="s">
        <v>123</v>
      </c>
      <c r="O70" s="1204" t="s">
        <v>123</v>
      </c>
      <c r="P70" s="1205" t="s">
        <v>123</v>
      </c>
      <c r="Q70" s="1291"/>
      <c r="R70" s="1291" t="s">
        <v>123</v>
      </c>
      <c r="S70" s="1291"/>
      <c r="T70" s="1291"/>
      <c r="U70" s="1199" t="str">
        <f t="shared" si="2"/>
        <v/>
      </c>
      <c r="V70" s="1208"/>
      <c r="W70" s="1208"/>
      <c r="X70" s="1292"/>
      <c r="Y70" s="1288"/>
      <c r="Z70" s="1288"/>
      <c r="AA70" s="1289"/>
      <c r="AB70" s="1255"/>
      <c r="AC70" s="1204" t="s">
        <v>123</v>
      </c>
      <c r="AD70" s="1204" t="s">
        <v>123</v>
      </c>
      <c r="AE70" s="1205" t="s">
        <v>123</v>
      </c>
      <c r="AF70" s="1206"/>
      <c r="AG70" s="1206" t="s">
        <v>123</v>
      </c>
      <c r="AH70" s="1291"/>
      <c r="AI70" s="1291"/>
      <c r="AJ70" s="1199" t="str">
        <f t="shared" si="3"/>
        <v/>
      </c>
      <c r="AK70" s="1208"/>
      <c r="AL70" s="1208"/>
      <c r="AM70" s="1292"/>
      <c r="AN70" s="1288"/>
      <c r="AO70" s="1288"/>
      <c r="AP70" s="1289"/>
      <c r="AQ70" s="1255"/>
      <c r="AR70" s="1204" t="s">
        <v>123</v>
      </c>
      <c r="AS70" s="1204" t="s">
        <v>123</v>
      </c>
      <c r="AT70" s="1206" t="s">
        <v>123</v>
      </c>
      <c r="AU70" s="1206"/>
      <c r="AV70" s="1206" t="s">
        <v>123</v>
      </c>
      <c r="AW70" s="1291"/>
      <c r="AX70" s="1291"/>
      <c r="AY70" s="1199" t="str">
        <f t="shared" si="4"/>
        <v/>
      </c>
      <c r="AZ70" s="1208"/>
      <c r="BA70" s="1208"/>
      <c r="BB70" s="1292"/>
      <c r="BC70" s="1288"/>
      <c r="BD70" s="1288"/>
      <c r="BE70" s="1289"/>
      <c r="BF70" s="1255"/>
      <c r="BG70" s="1204" t="s">
        <v>123</v>
      </c>
      <c r="BH70" s="1204" t="s">
        <v>123</v>
      </c>
      <c r="BI70" s="1206" t="s">
        <v>123</v>
      </c>
      <c r="BJ70" s="1206"/>
      <c r="BK70" s="1206" t="s">
        <v>123</v>
      </c>
      <c r="BL70" s="1291"/>
      <c r="BM70" s="1291"/>
      <c r="BN70" s="1199" t="str">
        <f t="shared" si="5"/>
        <v/>
      </c>
      <c r="BO70" s="1208"/>
      <c r="BP70" s="1208"/>
      <c r="BQ70" s="1292"/>
      <c r="BR70" s="1288"/>
      <c r="BS70" s="1288"/>
      <c r="BT70" s="1289"/>
      <c r="BU70" s="1255"/>
      <c r="BV70" s="1204" t="s">
        <v>123</v>
      </c>
      <c r="BW70" s="1204" t="s">
        <v>123</v>
      </c>
      <c r="BX70" s="1206" t="s">
        <v>123</v>
      </c>
      <c r="BY70" s="1206"/>
      <c r="BZ70" s="1206" t="s">
        <v>123</v>
      </c>
      <c r="CA70" s="1291"/>
      <c r="CB70" s="1291"/>
      <c r="CC70" s="1199" t="str">
        <f t="shared" si="6"/>
        <v/>
      </c>
      <c r="CD70" s="1208"/>
      <c r="CE70" s="1208"/>
      <c r="CF70" s="1292"/>
      <c r="CG70" s="1288"/>
      <c r="CH70" s="1288"/>
      <c r="CI70" s="1289"/>
      <c r="CJ70" s="1255"/>
      <c r="CK70" s="1204" t="s">
        <v>123</v>
      </c>
      <c r="CL70" s="1204" t="s">
        <v>123</v>
      </c>
      <c r="CM70" s="1206" t="s">
        <v>123</v>
      </c>
      <c r="CN70" s="1206"/>
      <c r="CO70" s="1206" t="s">
        <v>123</v>
      </c>
      <c r="CP70" s="1291"/>
      <c r="CQ70" s="1291"/>
      <c r="CR70" s="1199" t="str">
        <f t="shared" si="7"/>
        <v/>
      </c>
      <c r="CS70" s="1208"/>
      <c r="CT70" s="1208"/>
      <c r="CU70" s="1292"/>
      <c r="CV70" s="1288"/>
      <c r="CW70" s="1288"/>
      <c r="CX70" s="1289"/>
      <c r="CY70" s="1255"/>
      <c r="CZ70" s="1204" t="s">
        <v>123</v>
      </c>
      <c r="DA70" s="1204" t="s">
        <v>123</v>
      </c>
      <c r="DB70" s="1206" t="s">
        <v>123</v>
      </c>
      <c r="DC70" s="1206"/>
      <c r="DD70" s="1206" t="s">
        <v>123</v>
      </c>
      <c r="DE70" s="1291"/>
      <c r="DF70" s="1291"/>
      <c r="DG70" s="1199" t="str">
        <f t="shared" si="8"/>
        <v/>
      </c>
      <c r="DH70" s="1208"/>
      <c r="DI70" s="1208"/>
      <c r="DJ70" s="1302"/>
      <c r="DK70" s="1288"/>
      <c r="DL70" s="1288"/>
      <c r="DM70" s="1289"/>
      <c r="DN70" s="1255"/>
      <c r="DO70" s="1204" t="s">
        <v>123</v>
      </c>
      <c r="DP70" s="1204" t="s">
        <v>123</v>
      </c>
      <c r="DQ70" s="1206" t="s">
        <v>123</v>
      </c>
      <c r="DR70" s="1206"/>
      <c r="DS70" s="1206" t="s">
        <v>123</v>
      </c>
      <c r="DT70" s="1291"/>
      <c r="DU70" s="1291"/>
      <c r="DV70" s="1199" t="str">
        <f t="shared" si="9"/>
        <v/>
      </c>
      <c r="DW70" s="1208"/>
      <c r="DX70" s="1208"/>
      <c r="DY70" s="1292"/>
      <c r="DZ70" s="1288"/>
      <c r="EA70" s="1288"/>
      <c r="EB70" s="1289"/>
      <c r="EC70" s="1255"/>
      <c r="ED70" s="1204" t="s">
        <v>123</v>
      </c>
      <c r="EE70" s="1204" t="s">
        <v>123</v>
      </c>
      <c r="EF70" s="1206" t="s">
        <v>123</v>
      </c>
      <c r="EG70" s="1206"/>
      <c r="EH70" s="1206" t="s">
        <v>123</v>
      </c>
      <c r="EI70" s="1291"/>
      <c r="EJ70" s="1291"/>
      <c r="EK70" s="1199" t="str">
        <f t="shared" si="10"/>
        <v/>
      </c>
      <c r="EL70" s="1208"/>
      <c r="EM70" s="1208"/>
      <c r="EN70" s="1292"/>
      <c r="EO70" s="1288"/>
      <c r="EP70" s="1288"/>
      <c r="EQ70" s="1289"/>
      <c r="ER70" s="1255"/>
      <c r="ES70" s="1204" t="s">
        <v>123</v>
      </c>
      <c r="ET70" s="1204" t="s">
        <v>123</v>
      </c>
      <c r="EU70" s="1206" t="s">
        <v>123</v>
      </c>
      <c r="EV70" s="1206"/>
      <c r="EW70" s="1206" t="s">
        <v>123</v>
      </c>
      <c r="EX70" s="1291"/>
      <c r="EY70" s="1291"/>
      <c r="EZ70" s="1199" t="str">
        <f t="shared" si="11"/>
        <v/>
      </c>
      <c r="FA70" s="1208"/>
      <c r="FB70" s="1208"/>
      <c r="FC70" s="1292"/>
      <c r="FD70" s="1288"/>
      <c r="FE70" s="1288"/>
      <c r="FF70" s="1289"/>
      <c r="FG70" s="1255"/>
      <c r="FH70" s="1204" t="s">
        <v>123</v>
      </c>
      <c r="FI70" s="1204" t="s">
        <v>123</v>
      </c>
      <c r="FJ70" s="1206" t="s">
        <v>123</v>
      </c>
      <c r="FK70" s="1206"/>
      <c r="FL70" s="1206" t="s">
        <v>123</v>
      </c>
      <c r="FM70" s="1291"/>
      <c r="FN70" s="1291"/>
      <c r="FO70" s="1199" t="str">
        <f t="shared" si="12"/>
        <v/>
      </c>
      <c r="FP70" s="1208"/>
      <c r="FQ70" s="1208"/>
      <c r="FR70" s="1292"/>
      <c r="FS70" s="1288"/>
      <c r="FT70" s="1288"/>
      <c r="FU70" s="1289"/>
      <c r="FV70" s="1255"/>
      <c r="FW70" s="1204" t="s">
        <v>123</v>
      </c>
      <c r="FX70" s="1204" t="s">
        <v>123</v>
      </c>
      <c r="FY70" s="1206" t="s">
        <v>123</v>
      </c>
      <c r="FZ70" s="1206"/>
      <c r="GA70" s="1206" t="s">
        <v>123</v>
      </c>
      <c r="GB70" s="1291"/>
      <c r="GC70" s="1291"/>
      <c r="GD70" s="1199" t="str">
        <f t="shared" si="13"/>
        <v/>
      </c>
      <c r="GE70" s="1208"/>
      <c r="GF70" s="1208"/>
      <c r="GG70" s="1292"/>
      <c r="GH70" s="1288"/>
      <c r="GI70" s="1288"/>
      <c r="GJ70" s="1289"/>
      <c r="GK70" s="1255"/>
      <c r="GL70" s="1204" t="s">
        <v>123</v>
      </c>
      <c r="GM70" s="1204" t="s">
        <v>123</v>
      </c>
      <c r="GN70" s="1206" t="s">
        <v>123</v>
      </c>
      <c r="GO70" s="1206"/>
      <c r="GP70" s="1206" t="s">
        <v>123</v>
      </c>
      <c r="GQ70" s="1291"/>
      <c r="GR70" s="1291"/>
      <c r="GS70" s="1199" t="str">
        <f t="shared" si="14"/>
        <v/>
      </c>
      <c r="GT70" s="1208"/>
      <c r="GU70" s="1208"/>
      <c r="GV70" s="1292"/>
      <c r="GW70" s="1288"/>
      <c r="GX70" s="1288"/>
      <c r="GY70" s="1289"/>
      <c r="GZ70" s="1255"/>
      <c r="HA70" s="1204" t="s">
        <v>123</v>
      </c>
      <c r="HB70" s="1204" t="s">
        <v>123</v>
      </c>
      <c r="HC70" s="1206" t="s">
        <v>123</v>
      </c>
      <c r="HD70" s="1206"/>
      <c r="HE70" s="1206" t="s">
        <v>123</v>
      </c>
      <c r="HF70" s="1291"/>
      <c r="HG70" s="1291"/>
      <c r="HH70" s="1199" t="str">
        <f t="shared" si="15"/>
        <v/>
      </c>
      <c r="HI70" s="1208"/>
      <c r="HJ70" s="1208"/>
      <c r="HK70" s="1292"/>
      <c r="HL70" s="1288"/>
      <c r="HM70" s="1288"/>
      <c r="HN70" s="1289"/>
      <c r="HO70" s="1255"/>
      <c r="HP70" s="1204" t="s">
        <v>123</v>
      </c>
      <c r="HQ70" s="1204" t="s">
        <v>123</v>
      </c>
      <c r="HR70" s="1206" t="s">
        <v>123</v>
      </c>
      <c r="HS70" s="1206"/>
      <c r="HT70" s="1206" t="s">
        <v>123</v>
      </c>
      <c r="HU70" s="1291"/>
      <c r="HV70" s="1291"/>
      <c r="HW70" s="1227"/>
    </row>
    <row r="71" ht="15.75" customHeight="1">
      <c r="A71" s="1297"/>
      <c r="B71" s="1298"/>
      <c r="C71" s="1298"/>
      <c r="D71" s="1297"/>
      <c r="E71" s="1299"/>
      <c r="F71" s="1199" t="str">
        <f t="shared" si="1"/>
        <v/>
      </c>
      <c r="G71" s="1208"/>
      <c r="H71" s="1208"/>
      <c r="I71" s="1292"/>
      <c r="J71" s="1288"/>
      <c r="K71" s="1288"/>
      <c r="L71" s="1289"/>
      <c r="M71" s="1255"/>
      <c r="N71" s="1204" t="s">
        <v>123</v>
      </c>
      <c r="O71" s="1204" t="s">
        <v>123</v>
      </c>
      <c r="P71" s="1205" t="s">
        <v>123</v>
      </c>
      <c r="Q71" s="1291"/>
      <c r="R71" s="1291" t="s">
        <v>123</v>
      </c>
      <c r="S71" s="1291"/>
      <c r="T71" s="1291"/>
      <c r="U71" s="1199" t="str">
        <f t="shared" si="2"/>
        <v/>
      </c>
      <c r="V71" s="1208"/>
      <c r="W71" s="1208"/>
      <c r="X71" s="1292"/>
      <c r="Y71" s="1288"/>
      <c r="Z71" s="1288"/>
      <c r="AA71" s="1289"/>
      <c r="AB71" s="1255"/>
      <c r="AC71" s="1204" t="s">
        <v>123</v>
      </c>
      <c r="AD71" s="1204" t="s">
        <v>123</v>
      </c>
      <c r="AE71" s="1205" t="s">
        <v>123</v>
      </c>
      <c r="AF71" s="1206"/>
      <c r="AG71" s="1206" t="s">
        <v>123</v>
      </c>
      <c r="AH71" s="1291"/>
      <c r="AI71" s="1291"/>
      <c r="AJ71" s="1199" t="str">
        <f t="shared" si="3"/>
        <v/>
      </c>
      <c r="AK71" s="1208"/>
      <c r="AL71" s="1208"/>
      <c r="AM71" s="1292"/>
      <c r="AN71" s="1288"/>
      <c r="AO71" s="1288"/>
      <c r="AP71" s="1289"/>
      <c r="AQ71" s="1255"/>
      <c r="AR71" s="1204" t="s">
        <v>123</v>
      </c>
      <c r="AS71" s="1204" t="s">
        <v>123</v>
      </c>
      <c r="AT71" s="1206" t="s">
        <v>123</v>
      </c>
      <c r="AU71" s="1206"/>
      <c r="AV71" s="1206" t="s">
        <v>123</v>
      </c>
      <c r="AW71" s="1291"/>
      <c r="AX71" s="1291"/>
      <c r="AY71" s="1199" t="str">
        <f t="shared" si="4"/>
        <v/>
      </c>
      <c r="AZ71" s="1208"/>
      <c r="BA71" s="1208"/>
      <c r="BB71" s="1292"/>
      <c r="BC71" s="1288"/>
      <c r="BD71" s="1288"/>
      <c r="BE71" s="1289"/>
      <c r="BF71" s="1255"/>
      <c r="BG71" s="1204" t="s">
        <v>123</v>
      </c>
      <c r="BH71" s="1204" t="s">
        <v>123</v>
      </c>
      <c r="BI71" s="1206" t="s">
        <v>123</v>
      </c>
      <c r="BJ71" s="1206"/>
      <c r="BK71" s="1206" t="s">
        <v>123</v>
      </c>
      <c r="BL71" s="1291"/>
      <c r="BM71" s="1291"/>
      <c r="BN71" s="1199" t="str">
        <f t="shared" si="5"/>
        <v/>
      </c>
      <c r="BO71" s="1208"/>
      <c r="BP71" s="1208"/>
      <c r="BQ71" s="1292"/>
      <c r="BR71" s="1288"/>
      <c r="BS71" s="1288"/>
      <c r="BT71" s="1289"/>
      <c r="BU71" s="1255"/>
      <c r="BV71" s="1204" t="s">
        <v>123</v>
      </c>
      <c r="BW71" s="1204" t="s">
        <v>123</v>
      </c>
      <c r="BX71" s="1206" t="s">
        <v>123</v>
      </c>
      <c r="BY71" s="1206"/>
      <c r="BZ71" s="1206" t="s">
        <v>123</v>
      </c>
      <c r="CA71" s="1291"/>
      <c r="CB71" s="1291"/>
      <c r="CC71" s="1199" t="str">
        <f t="shared" si="6"/>
        <v/>
      </c>
      <c r="CD71" s="1208"/>
      <c r="CE71" s="1208"/>
      <c r="CF71" s="1292"/>
      <c r="CG71" s="1288"/>
      <c r="CH71" s="1288"/>
      <c r="CI71" s="1289"/>
      <c r="CJ71" s="1255"/>
      <c r="CK71" s="1204" t="s">
        <v>123</v>
      </c>
      <c r="CL71" s="1204" t="s">
        <v>123</v>
      </c>
      <c r="CM71" s="1206" t="s">
        <v>123</v>
      </c>
      <c r="CN71" s="1206"/>
      <c r="CO71" s="1206" t="s">
        <v>123</v>
      </c>
      <c r="CP71" s="1291"/>
      <c r="CQ71" s="1291"/>
      <c r="CR71" s="1199" t="str">
        <f t="shared" si="7"/>
        <v/>
      </c>
      <c r="CS71" s="1208"/>
      <c r="CT71" s="1208"/>
      <c r="CU71" s="1292"/>
      <c r="CV71" s="1288"/>
      <c r="CW71" s="1288"/>
      <c r="CX71" s="1289"/>
      <c r="CY71" s="1255"/>
      <c r="CZ71" s="1204" t="s">
        <v>123</v>
      </c>
      <c r="DA71" s="1204" t="s">
        <v>123</v>
      </c>
      <c r="DB71" s="1206" t="s">
        <v>123</v>
      </c>
      <c r="DC71" s="1206"/>
      <c r="DD71" s="1206" t="s">
        <v>123</v>
      </c>
      <c r="DE71" s="1291"/>
      <c r="DF71" s="1291"/>
      <c r="DG71" s="1199" t="str">
        <f t="shared" si="8"/>
        <v/>
      </c>
      <c r="DH71" s="1208"/>
      <c r="DI71" s="1208"/>
      <c r="DJ71" s="1302"/>
      <c r="DK71" s="1288"/>
      <c r="DL71" s="1288"/>
      <c r="DM71" s="1289"/>
      <c r="DN71" s="1255"/>
      <c r="DO71" s="1204" t="s">
        <v>123</v>
      </c>
      <c r="DP71" s="1204" t="s">
        <v>123</v>
      </c>
      <c r="DQ71" s="1206" t="s">
        <v>123</v>
      </c>
      <c r="DR71" s="1206"/>
      <c r="DS71" s="1206" t="s">
        <v>123</v>
      </c>
      <c r="DT71" s="1291"/>
      <c r="DU71" s="1291"/>
      <c r="DV71" s="1199" t="str">
        <f t="shared" si="9"/>
        <v/>
      </c>
      <c r="DW71" s="1208"/>
      <c r="DX71" s="1208"/>
      <c r="DY71" s="1292"/>
      <c r="DZ71" s="1288"/>
      <c r="EA71" s="1288"/>
      <c r="EB71" s="1289"/>
      <c r="EC71" s="1255"/>
      <c r="ED71" s="1204" t="s">
        <v>123</v>
      </c>
      <c r="EE71" s="1204" t="s">
        <v>123</v>
      </c>
      <c r="EF71" s="1206" t="s">
        <v>123</v>
      </c>
      <c r="EG71" s="1206"/>
      <c r="EH71" s="1206" t="s">
        <v>123</v>
      </c>
      <c r="EI71" s="1291"/>
      <c r="EJ71" s="1291"/>
      <c r="EK71" s="1199" t="str">
        <f t="shared" si="10"/>
        <v/>
      </c>
      <c r="EL71" s="1208"/>
      <c r="EM71" s="1208"/>
      <c r="EN71" s="1292"/>
      <c r="EO71" s="1288"/>
      <c r="EP71" s="1288"/>
      <c r="EQ71" s="1289"/>
      <c r="ER71" s="1255"/>
      <c r="ES71" s="1204" t="s">
        <v>123</v>
      </c>
      <c r="ET71" s="1204" t="s">
        <v>123</v>
      </c>
      <c r="EU71" s="1206" t="s">
        <v>123</v>
      </c>
      <c r="EV71" s="1206"/>
      <c r="EW71" s="1206" t="s">
        <v>123</v>
      </c>
      <c r="EX71" s="1291"/>
      <c r="EY71" s="1291"/>
      <c r="EZ71" s="1199" t="str">
        <f t="shared" si="11"/>
        <v/>
      </c>
      <c r="FA71" s="1208"/>
      <c r="FB71" s="1208"/>
      <c r="FC71" s="1292"/>
      <c r="FD71" s="1288"/>
      <c r="FE71" s="1288"/>
      <c r="FF71" s="1289"/>
      <c r="FG71" s="1255"/>
      <c r="FH71" s="1204" t="s">
        <v>123</v>
      </c>
      <c r="FI71" s="1204" t="s">
        <v>123</v>
      </c>
      <c r="FJ71" s="1206" t="s">
        <v>123</v>
      </c>
      <c r="FK71" s="1206"/>
      <c r="FL71" s="1206" t="s">
        <v>123</v>
      </c>
      <c r="FM71" s="1291"/>
      <c r="FN71" s="1291"/>
      <c r="FO71" s="1199" t="str">
        <f t="shared" si="12"/>
        <v/>
      </c>
      <c r="FP71" s="1208"/>
      <c r="FQ71" s="1208"/>
      <c r="FR71" s="1292"/>
      <c r="FS71" s="1288"/>
      <c r="FT71" s="1288"/>
      <c r="FU71" s="1289"/>
      <c r="FV71" s="1255"/>
      <c r="FW71" s="1204" t="s">
        <v>123</v>
      </c>
      <c r="FX71" s="1204" t="s">
        <v>123</v>
      </c>
      <c r="FY71" s="1206" t="s">
        <v>123</v>
      </c>
      <c r="FZ71" s="1206"/>
      <c r="GA71" s="1206" t="s">
        <v>123</v>
      </c>
      <c r="GB71" s="1291"/>
      <c r="GC71" s="1291"/>
      <c r="GD71" s="1199" t="str">
        <f t="shared" si="13"/>
        <v/>
      </c>
      <c r="GE71" s="1208"/>
      <c r="GF71" s="1208"/>
      <c r="GG71" s="1292"/>
      <c r="GH71" s="1288"/>
      <c r="GI71" s="1288"/>
      <c r="GJ71" s="1289"/>
      <c r="GK71" s="1255"/>
      <c r="GL71" s="1204" t="s">
        <v>123</v>
      </c>
      <c r="GM71" s="1204" t="s">
        <v>123</v>
      </c>
      <c r="GN71" s="1206" t="s">
        <v>123</v>
      </c>
      <c r="GO71" s="1206"/>
      <c r="GP71" s="1206" t="s">
        <v>123</v>
      </c>
      <c r="GQ71" s="1291"/>
      <c r="GR71" s="1291"/>
      <c r="GS71" s="1199" t="str">
        <f t="shared" si="14"/>
        <v/>
      </c>
      <c r="GT71" s="1208"/>
      <c r="GU71" s="1208"/>
      <c r="GV71" s="1292"/>
      <c r="GW71" s="1288"/>
      <c r="GX71" s="1288"/>
      <c r="GY71" s="1289"/>
      <c r="GZ71" s="1255"/>
      <c r="HA71" s="1204" t="s">
        <v>123</v>
      </c>
      <c r="HB71" s="1204" t="s">
        <v>123</v>
      </c>
      <c r="HC71" s="1206" t="s">
        <v>123</v>
      </c>
      <c r="HD71" s="1206"/>
      <c r="HE71" s="1206" t="s">
        <v>123</v>
      </c>
      <c r="HF71" s="1291"/>
      <c r="HG71" s="1291"/>
      <c r="HH71" s="1199" t="str">
        <f t="shared" si="15"/>
        <v/>
      </c>
      <c r="HI71" s="1208"/>
      <c r="HJ71" s="1208"/>
      <c r="HK71" s="1292"/>
      <c r="HL71" s="1288"/>
      <c r="HM71" s="1288"/>
      <c r="HN71" s="1289"/>
      <c r="HO71" s="1255"/>
      <c r="HP71" s="1204" t="s">
        <v>123</v>
      </c>
      <c r="HQ71" s="1204" t="s">
        <v>123</v>
      </c>
      <c r="HR71" s="1206" t="s">
        <v>123</v>
      </c>
      <c r="HS71" s="1206"/>
      <c r="HT71" s="1206" t="s">
        <v>123</v>
      </c>
      <c r="HU71" s="1291"/>
      <c r="HV71" s="1291"/>
      <c r="HW71" s="1227"/>
    </row>
    <row r="72" ht="15.75" customHeight="1">
      <c r="A72" s="1297"/>
      <c r="B72" s="1298"/>
      <c r="C72" s="1298"/>
      <c r="D72" s="1297"/>
      <c r="E72" s="1299"/>
      <c r="F72" s="1199" t="str">
        <f t="shared" si="1"/>
        <v/>
      </c>
      <c r="G72" s="1208"/>
      <c r="H72" s="1208"/>
      <c r="I72" s="1292"/>
      <c r="J72" s="1288"/>
      <c r="K72" s="1288"/>
      <c r="L72" s="1289"/>
      <c r="M72" s="1255"/>
      <c r="N72" s="1204" t="s">
        <v>123</v>
      </c>
      <c r="O72" s="1204" t="s">
        <v>123</v>
      </c>
      <c r="P72" s="1205" t="s">
        <v>123</v>
      </c>
      <c r="Q72" s="1291"/>
      <c r="R72" s="1291" t="s">
        <v>123</v>
      </c>
      <c r="S72" s="1291"/>
      <c r="T72" s="1291"/>
      <c r="U72" s="1199" t="str">
        <f t="shared" si="2"/>
        <v/>
      </c>
      <c r="V72" s="1208"/>
      <c r="W72" s="1208"/>
      <c r="X72" s="1292"/>
      <c r="Y72" s="1288"/>
      <c r="Z72" s="1288"/>
      <c r="AA72" s="1289"/>
      <c r="AB72" s="1255"/>
      <c r="AC72" s="1204" t="s">
        <v>123</v>
      </c>
      <c r="AD72" s="1204" t="s">
        <v>123</v>
      </c>
      <c r="AE72" s="1205" t="s">
        <v>123</v>
      </c>
      <c r="AF72" s="1206"/>
      <c r="AG72" s="1206" t="s">
        <v>123</v>
      </c>
      <c r="AH72" s="1291"/>
      <c r="AI72" s="1291"/>
      <c r="AJ72" s="1199" t="str">
        <f t="shared" si="3"/>
        <v/>
      </c>
      <c r="AK72" s="1208"/>
      <c r="AL72" s="1208"/>
      <c r="AM72" s="1292"/>
      <c r="AN72" s="1288"/>
      <c r="AO72" s="1288"/>
      <c r="AP72" s="1289"/>
      <c r="AQ72" s="1255"/>
      <c r="AR72" s="1204" t="s">
        <v>123</v>
      </c>
      <c r="AS72" s="1204" t="s">
        <v>123</v>
      </c>
      <c r="AT72" s="1206" t="s">
        <v>123</v>
      </c>
      <c r="AU72" s="1206"/>
      <c r="AV72" s="1206" t="s">
        <v>123</v>
      </c>
      <c r="AW72" s="1291"/>
      <c r="AX72" s="1291"/>
      <c r="AY72" s="1199" t="str">
        <f t="shared" si="4"/>
        <v/>
      </c>
      <c r="AZ72" s="1208"/>
      <c r="BA72" s="1208"/>
      <c r="BB72" s="1292"/>
      <c r="BC72" s="1288"/>
      <c r="BD72" s="1288"/>
      <c r="BE72" s="1289"/>
      <c r="BF72" s="1255"/>
      <c r="BG72" s="1204" t="s">
        <v>123</v>
      </c>
      <c r="BH72" s="1204" t="s">
        <v>123</v>
      </c>
      <c r="BI72" s="1206" t="s">
        <v>123</v>
      </c>
      <c r="BJ72" s="1206"/>
      <c r="BK72" s="1206" t="s">
        <v>123</v>
      </c>
      <c r="BL72" s="1291"/>
      <c r="BM72" s="1291"/>
      <c r="BN72" s="1199" t="str">
        <f t="shared" si="5"/>
        <v/>
      </c>
      <c r="BO72" s="1208"/>
      <c r="BP72" s="1208"/>
      <c r="BQ72" s="1292"/>
      <c r="BR72" s="1288"/>
      <c r="BS72" s="1288"/>
      <c r="BT72" s="1289"/>
      <c r="BU72" s="1255"/>
      <c r="BV72" s="1204" t="s">
        <v>123</v>
      </c>
      <c r="BW72" s="1204" t="s">
        <v>123</v>
      </c>
      <c r="BX72" s="1206" t="s">
        <v>123</v>
      </c>
      <c r="BY72" s="1206"/>
      <c r="BZ72" s="1206" t="s">
        <v>123</v>
      </c>
      <c r="CA72" s="1291"/>
      <c r="CB72" s="1291"/>
      <c r="CC72" s="1199" t="str">
        <f t="shared" si="6"/>
        <v/>
      </c>
      <c r="CD72" s="1208"/>
      <c r="CE72" s="1208"/>
      <c r="CF72" s="1292"/>
      <c r="CG72" s="1288"/>
      <c r="CH72" s="1288"/>
      <c r="CI72" s="1289"/>
      <c r="CJ72" s="1255"/>
      <c r="CK72" s="1204" t="s">
        <v>123</v>
      </c>
      <c r="CL72" s="1204" t="s">
        <v>123</v>
      </c>
      <c r="CM72" s="1206" t="s">
        <v>123</v>
      </c>
      <c r="CN72" s="1206"/>
      <c r="CO72" s="1206" t="s">
        <v>123</v>
      </c>
      <c r="CP72" s="1291"/>
      <c r="CQ72" s="1291"/>
      <c r="CR72" s="1199" t="str">
        <f t="shared" si="7"/>
        <v/>
      </c>
      <c r="CS72" s="1208"/>
      <c r="CT72" s="1208"/>
      <c r="CU72" s="1292"/>
      <c r="CV72" s="1288"/>
      <c r="CW72" s="1288"/>
      <c r="CX72" s="1289"/>
      <c r="CY72" s="1255"/>
      <c r="CZ72" s="1204" t="s">
        <v>123</v>
      </c>
      <c r="DA72" s="1204" t="s">
        <v>123</v>
      </c>
      <c r="DB72" s="1206" t="s">
        <v>123</v>
      </c>
      <c r="DC72" s="1206"/>
      <c r="DD72" s="1206" t="s">
        <v>123</v>
      </c>
      <c r="DE72" s="1291"/>
      <c r="DF72" s="1291"/>
      <c r="DG72" s="1199" t="str">
        <f t="shared" si="8"/>
        <v/>
      </c>
      <c r="DH72" s="1208"/>
      <c r="DI72" s="1208"/>
      <c r="DJ72" s="1302"/>
      <c r="DK72" s="1288"/>
      <c r="DL72" s="1288"/>
      <c r="DM72" s="1289"/>
      <c r="DN72" s="1255"/>
      <c r="DO72" s="1204" t="s">
        <v>123</v>
      </c>
      <c r="DP72" s="1204" t="s">
        <v>123</v>
      </c>
      <c r="DQ72" s="1206" t="s">
        <v>123</v>
      </c>
      <c r="DR72" s="1206"/>
      <c r="DS72" s="1206" t="s">
        <v>123</v>
      </c>
      <c r="DT72" s="1291"/>
      <c r="DU72" s="1291"/>
      <c r="DV72" s="1199" t="str">
        <f t="shared" si="9"/>
        <v/>
      </c>
      <c r="DW72" s="1208"/>
      <c r="DX72" s="1208"/>
      <c r="DY72" s="1292"/>
      <c r="DZ72" s="1288"/>
      <c r="EA72" s="1288"/>
      <c r="EB72" s="1289"/>
      <c r="EC72" s="1255"/>
      <c r="ED72" s="1204" t="s">
        <v>123</v>
      </c>
      <c r="EE72" s="1204" t="s">
        <v>123</v>
      </c>
      <c r="EF72" s="1206" t="s">
        <v>123</v>
      </c>
      <c r="EG72" s="1206"/>
      <c r="EH72" s="1206" t="s">
        <v>123</v>
      </c>
      <c r="EI72" s="1291"/>
      <c r="EJ72" s="1291"/>
      <c r="EK72" s="1199" t="str">
        <f t="shared" si="10"/>
        <v/>
      </c>
      <c r="EL72" s="1208"/>
      <c r="EM72" s="1208"/>
      <c r="EN72" s="1292"/>
      <c r="EO72" s="1288"/>
      <c r="EP72" s="1288"/>
      <c r="EQ72" s="1289"/>
      <c r="ER72" s="1255"/>
      <c r="ES72" s="1204" t="s">
        <v>123</v>
      </c>
      <c r="ET72" s="1204" t="s">
        <v>123</v>
      </c>
      <c r="EU72" s="1206" t="s">
        <v>123</v>
      </c>
      <c r="EV72" s="1206"/>
      <c r="EW72" s="1206" t="s">
        <v>123</v>
      </c>
      <c r="EX72" s="1291"/>
      <c r="EY72" s="1291"/>
      <c r="EZ72" s="1199" t="str">
        <f t="shared" si="11"/>
        <v/>
      </c>
      <c r="FA72" s="1208"/>
      <c r="FB72" s="1208"/>
      <c r="FC72" s="1292"/>
      <c r="FD72" s="1288"/>
      <c r="FE72" s="1288"/>
      <c r="FF72" s="1289"/>
      <c r="FG72" s="1255"/>
      <c r="FH72" s="1204" t="s">
        <v>123</v>
      </c>
      <c r="FI72" s="1204" t="s">
        <v>123</v>
      </c>
      <c r="FJ72" s="1206" t="s">
        <v>123</v>
      </c>
      <c r="FK72" s="1206"/>
      <c r="FL72" s="1206" t="s">
        <v>123</v>
      </c>
      <c r="FM72" s="1291"/>
      <c r="FN72" s="1291"/>
      <c r="FO72" s="1199" t="str">
        <f t="shared" si="12"/>
        <v/>
      </c>
      <c r="FP72" s="1208"/>
      <c r="FQ72" s="1208"/>
      <c r="FR72" s="1292"/>
      <c r="FS72" s="1288"/>
      <c r="FT72" s="1288"/>
      <c r="FU72" s="1289"/>
      <c r="FV72" s="1255"/>
      <c r="FW72" s="1204" t="s">
        <v>123</v>
      </c>
      <c r="FX72" s="1204" t="s">
        <v>123</v>
      </c>
      <c r="FY72" s="1206" t="s">
        <v>123</v>
      </c>
      <c r="FZ72" s="1206"/>
      <c r="GA72" s="1206" t="s">
        <v>123</v>
      </c>
      <c r="GB72" s="1291"/>
      <c r="GC72" s="1291"/>
      <c r="GD72" s="1199" t="str">
        <f t="shared" si="13"/>
        <v/>
      </c>
      <c r="GE72" s="1208"/>
      <c r="GF72" s="1208"/>
      <c r="GG72" s="1292"/>
      <c r="GH72" s="1288"/>
      <c r="GI72" s="1288"/>
      <c r="GJ72" s="1289"/>
      <c r="GK72" s="1255"/>
      <c r="GL72" s="1204" t="s">
        <v>123</v>
      </c>
      <c r="GM72" s="1204" t="s">
        <v>123</v>
      </c>
      <c r="GN72" s="1206" t="s">
        <v>123</v>
      </c>
      <c r="GO72" s="1206"/>
      <c r="GP72" s="1206" t="s">
        <v>123</v>
      </c>
      <c r="GQ72" s="1291"/>
      <c r="GR72" s="1291"/>
      <c r="GS72" s="1199" t="str">
        <f t="shared" si="14"/>
        <v/>
      </c>
      <c r="GT72" s="1208"/>
      <c r="GU72" s="1208"/>
      <c r="GV72" s="1292"/>
      <c r="GW72" s="1288"/>
      <c r="GX72" s="1288"/>
      <c r="GY72" s="1289"/>
      <c r="GZ72" s="1255"/>
      <c r="HA72" s="1204" t="s">
        <v>123</v>
      </c>
      <c r="HB72" s="1204" t="s">
        <v>123</v>
      </c>
      <c r="HC72" s="1206" t="s">
        <v>123</v>
      </c>
      <c r="HD72" s="1206"/>
      <c r="HE72" s="1206" t="s">
        <v>123</v>
      </c>
      <c r="HF72" s="1291"/>
      <c r="HG72" s="1291"/>
      <c r="HH72" s="1199" t="str">
        <f t="shared" si="15"/>
        <v/>
      </c>
      <c r="HI72" s="1208"/>
      <c r="HJ72" s="1208"/>
      <c r="HK72" s="1292"/>
      <c r="HL72" s="1288"/>
      <c r="HM72" s="1288"/>
      <c r="HN72" s="1289"/>
      <c r="HO72" s="1255"/>
      <c r="HP72" s="1204" t="s">
        <v>123</v>
      </c>
      <c r="HQ72" s="1204" t="s">
        <v>123</v>
      </c>
      <c r="HR72" s="1206" t="s">
        <v>123</v>
      </c>
      <c r="HS72" s="1206"/>
      <c r="HT72" s="1206" t="s">
        <v>123</v>
      </c>
      <c r="HU72" s="1291"/>
      <c r="HV72" s="1291"/>
      <c r="HW72" s="1227"/>
    </row>
    <row r="73" ht="15.75" customHeight="1">
      <c r="A73" s="1297"/>
      <c r="B73" s="1298"/>
      <c r="C73" s="1298"/>
      <c r="D73" s="1297"/>
      <c r="E73" s="1299"/>
      <c r="F73" s="1199" t="str">
        <f t="shared" si="1"/>
        <v/>
      </c>
      <c r="G73" s="1208"/>
      <c r="H73" s="1208"/>
      <c r="I73" s="1292"/>
      <c r="J73" s="1288"/>
      <c r="K73" s="1288"/>
      <c r="L73" s="1289"/>
      <c r="M73" s="1255"/>
      <c r="N73" s="1204" t="s">
        <v>123</v>
      </c>
      <c r="O73" s="1204" t="s">
        <v>123</v>
      </c>
      <c r="P73" s="1205" t="s">
        <v>123</v>
      </c>
      <c r="Q73" s="1291"/>
      <c r="R73" s="1291" t="s">
        <v>123</v>
      </c>
      <c r="S73" s="1291"/>
      <c r="T73" s="1291"/>
      <c r="U73" s="1199" t="str">
        <f t="shared" si="2"/>
        <v/>
      </c>
      <c r="V73" s="1208"/>
      <c r="W73" s="1208"/>
      <c r="X73" s="1292"/>
      <c r="Y73" s="1288"/>
      <c r="Z73" s="1288"/>
      <c r="AA73" s="1289"/>
      <c r="AB73" s="1255"/>
      <c r="AC73" s="1204" t="s">
        <v>123</v>
      </c>
      <c r="AD73" s="1204" t="s">
        <v>123</v>
      </c>
      <c r="AE73" s="1205" t="s">
        <v>123</v>
      </c>
      <c r="AF73" s="1206"/>
      <c r="AG73" s="1206" t="s">
        <v>123</v>
      </c>
      <c r="AH73" s="1291"/>
      <c r="AI73" s="1291"/>
      <c r="AJ73" s="1199" t="str">
        <f t="shared" si="3"/>
        <v/>
      </c>
      <c r="AK73" s="1208"/>
      <c r="AL73" s="1208"/>
      <c r="AM73" s="1292"/>
      <c r="AN73" s="1288"/>
      <c r="AO73" s="1288"/>
      <c r="AP73" s="1289"/>
      <c r="AQ73" s="1255"/>
      <c r="AR73" s="1204" t="s">
        <v>123</v>
      </c>
      <c r="AS73" s="1204" t="s">
        <v>123</v>
      </c>
      <c r="AT73" s="1206" t="s">
        <v>123</v>
      </c>
      <c r="AU73" s="1206"/>
      <c r="AV73" s="1206" t="s">
        <v>123</v>
      </c>
      <c r="AW73" s="1291"/>
      <c r="AX73" s="1291"/>
      <c r="AY73" s="1199" t="str">
        <f t="shared" si="4"/>
        <v/>
      </c>
      <c r="AZ73" s="1208"/>
      <c r="BA73" s="1208"/>
      <c r="BB73" s="1292"/>
      <c r="BC73" s="1288"/>
      <c r="BD73" s="1288"/>
      <c r="BE73" s="1289"/>
      <c r="BF73" s="1255"/>
      <c r="BG73" s="1204" t="s">
        <v>123</v>
      </c>
      <c r="BH73" s="1204" t="s">
        <v>123</v>
      </c>
      <c r="BI73" s="1206" t="s">
        <v>123</v>
      </c>
      <c r="BJ73" s="1206"/>
      <c r="BK73" s="1206" t="s">
        <v>123</v>
      </c>
      <c r="BL73" s="1291"/>
      <c r="BM73" s="1291"/>
      <c r="BN73" s="1199" t="str">
        <f t="shared" si="5"/>
        <v/>
      </c>
      <c r="BO73" s="1208"/>
      <c r="BP73" s="1208"/>
      <c r="BQ73" s="1292"/>
      <c r="BR73" s="1288"/>
      <c r="BS73" s="1288"/>
      <c r="BT73" s="1289"/>
      <c r="BU73" s="1255"/>
      <c r="BV73" s="1204" t="s">
        <v>123</v>
      </c>
      <c r="BW73" s="1204" t="s">
        <v>123</v>
      </c>
      <c r="BX73" s="1206" t="s">
        <v>123</v>
      </c>
      <c r="BY73" s="1206"/>
      <c r="BZ73" s="1206" t="s">
        <v>123</v>
      </c>
      <c r="CA73" s="1291"/>
      <c r="CB73" s="1291"/>
      <c r="CC73" s="1199" t="str">
        <f t="shared" si="6"/>
        <v/>
      </c>
      <c r="CD73" s="1208"/>
      <c r="CE73" s="1208"/>
      <c r="CF73" s="1292"/>
      <c r="CG73" s="1288"/>
      <c r="CH73" s="1288"/>
      <c r="CI73" s="1289"/>
      <c r="CJ73" s="1255"/>
      <c r="CK73" s="1204" t="s">
        <v>123</v>
      </c>
      <c r="CL73" s="1204" t="s">
        <v>123</v>
      </c>
      <c r="CM73" s="1206" t="s">
        <v>123</v>
      </c>
      <c r="CN73" s="1206"/>
      <c r="CO73" s="1206" t="s">
        <v>123</v>
      </c>
      <c r="CP73" s="1291"/>
      <c r="CQ73" s="1291"/>
      <c r="CR73" s="1199" t="str">
        <f t="shared" si="7"/>
        <v/>
      </c>
      <c r="CS73" s="1208"/>
      <c r="CT73" s="1208"/>
      <c r="CU73" s="1292"/>
      <c r="CV73" s="1288"/>
      <c r="CW73" s="1288"/>
      <c r="CX73" s="1289"/>
      <c r="CY73" s="1255"/>
      <c r="CZ73" s="1204" t="s">
        <v>123</v>
      </c>
      <c r="DA73" s="1204" t="s">
        <v>123</v>
      </c>
      <c r="DB73" s="1206" t="s">
        <v>123</v>
      </c>
      <c r="DC73" s="1206"/>
      <c r="DD73" s="1206" t="s">
        <v>123</v>
      </c>
      <c r="DE73" s="1291"/>
      <c r="DF73" s="1291"/>
      <c r="DG73" s="1199" t="str">
        <f t="shared" si="8"/>
        <v/>
      </c>
      <c r="DH73" s="1208"/>
      <c r="DI73" s="1208"/>
      <c r="DJ73" s="1302"/>
      <c r="DK73" s="1288"/>
      <c r="DL73" s="1288"/>
      <c r="DM73" s="1289"/>
      <c r="DN73" s="1255"/>
      <c r="DO73" s="1204" t="s">
        <v>123</v>
      </c>
      <c r="DP73" s="1204" t="s">
        <v>123</v>
      </c>
      <c r="DQ73" s="1206" t="s">
        <v>123</v>
      </c>
      <c r="DR73" s="1206"/>
      <c r="DS73" s="1206" t="s">
        <v>123</v>
      </c>
      <c r="DT73" s="1291"/>
      <c r="DU73" s="1291"/>
      <c r="DV73" s="1199" t="str">
        <f t="shared" si="9"/>
        <v/>
      </c>
      <c r="DW73" s="1208"/>
      <c r="DX73" s="1208"/>
      <c r="DY73" s="1292"/>
      <c r="DZ73" s="1288"/>
      <c r="EA73" s="1288"/>
      <c r="EB73" s="1289"/>
      <c r="EC73" s="1255"/>
      <c r="ED73" s="1204" t="s">
        <v>123</v>
      </c>
      <c r="EE73" s="1204" t="s">
        <v>123</v>
      </c>
      <c r="EF73" s="1206" t="s">
        <v>123</v>
      </c>
      <c r="EG73" s="1206"/>
      <c r="EH73" s="1206" t="s">
        <v>123</v>
      </c>
      <c r="EI73" s="1291"/>
      <c r="EJ73" s="1291"/>
      <c r="EK73" s="1199" t="str">
        <f t="shared" si="10"/>
        <v/>
      </c>
      <c r="EL73" s="1208"/>
      <c r="EM73" s="1208"/>
      <c r="EN73" s="1292"/>
      <c r="EO73" s="1288"/>
      <c r="EP73" s="1288"/>
      <c r="EQ73" s="1289"/>
      <c r="ER73" s="1255"/>
      <c r="ES73" s="1204" t="s">
        <v>123</v>
      </c>
      <c r="ET73" s="1204" t="s">
        <v>123</v>
      </c>
      <c r="EU73" s="1206" t="s">
        <v>123</v>
      </c>
      <c r="EV73" s="1206"/>
      <c r="EW73" s="1206" t="s">
        <v>123</v>
      </c>
      <c r="EX73" s="1291"/>
      <c r="EY73" s="1291"/>
      <c r="EZ73" s="1199" t="str">
        <f t="shared" si="11"/>
        <v/>
      </c>
      <c r="FA73" s="1208"/>
      <c r="FB73" s="1208"/>
      <c r="FC73" s="1292"/>
      <c r="FD73" s="1288"/>
      <c r="FE73" s="1288"/>
      <c r="FF73" s="1289"/>
      <c r="FG73" s="1255"/>
      <c r="FH73" s="1204" t="s">
        <v>123</v>
      </c>
      <c r="FI73" s="1204" t="s">
        <v>123</v>
      </c>
      <c r="FJ73" s="1206" t="s">
        <v>123</v>
      </c>
      <c r="FK73" s="1206"/>
      <c r="FL73" s="1206" t="s">
        <v>123</v>
      </c>
      <c r="FM73" s="1291"/>
      <c r="FN73" s="1291"/>
      <c r="FO73" s="1199" t="str">
        <f t="shared" si="12"/>
        <v/>
      </c>
      <c r="FP73" s="1208"/>
      <c r="FQ73" s="1208"/>
      <c r="FR73" s="1292"/>
      <c r="FS73" s="1288"/>
      <c r="FT73" s="1288"/>
      <c r="FU73" s="1289"/>
      <c r="FV73" s="1255"/>
      <c r="FW73" s="1204" t="s">
        <v>123</v>
      </c>
      <c r="FX73" s="1204" t="s">
        <v>123</v>
      </c>
      <c r="FY73" s="1206" t="s">
        <v>123</v>
      </c>
      <c r="FZ73" s="1206"/>
      <c r="GA73" s="1206" t="s">
        <v>123</v>
      </c>
      <c r="GB73" s="1291"/>
      <c r="GC73" s="1291"/>
      <c r="GD73" s="1199" t="str">
        <f t="shared" si="13"/>
        <v/>
      </c>
      <c r="GE73" s="1208"/>
      <c r="GF73" s="1208"/>
      <c r="GG73" s="1292"/>
      <c r="GH73" s="1288"/>
      <c r="GI73" s="1288"/>
      <c r="GJ73" s="1289"/>
      <c r="GK73" s="1255"/>
      <c r="GL73" s="1204" t="s">
        <v>123</v>
      </c>
      <c r="GM73" s="1204" t="s">
        <v>123</v>
      </c>
      <c r="GN73" s="1206" t="s">
        <v>123</v>
      </c>
      <c r="GO73" s="1206"/>
      <c r="GP73" s="1206" t="s">
        <v>123</v>
      </c>
      <c r="GQ73" s="1291"/>
      <c r="GR73" s="1291"/>
      <c r="GS73" s="1199" t="str">
        <f t="shared" si="14"/>
        <v/>
      </c>
      <c r="GT73" s="1208"/>
      <c r="GU73" s="1208"/>
      <c r="GV73" s="1292"/>
      <c r="GW73" s="1288"/>
      <c r="GX73" s="1288"/>
      <c r="GY73" s="1289"/>
      <c r="GZ73" s="1255"/>
      <c r="HA73" s="1204" t="s">
        <v>123</v>
      </c>
      <c r="HB73" s="1204" t="s">
        <v>123</v>
      </c>
      <c r="HC73" s="1206" t="s">
        <v>123</v>
      </c>
      <c r="HD73" s="1206"/>
      <c r="HE73" s="1206" t="s">
        <v>123</v>
      </c>
      <c r="HF73" s="1291"/>
      <c r="HG73" s="1291"/>
      <c r="HH73" s="1199" t="str">
        <f t="shared" si="15"/>
        <v/>
      </c>
      <c r="HI73" s="1208"/>
      <c r="HJ73" s="1208"/>
      <c r="HK73" s="1292"/>
      <c r="HL73" s="1288"/>
      <c r="HM73" s="1288"/>
      <c r="HN73" s="1289"/>
      <c r="HO73" s="1255"/>
      <c r="HP73" s="1204" t="s">
        <v>123</v>
      </c>
      <c r="HQ73" s="1204" t="s">
        <v>123</v>
      </c>
      <c r="HR73" s="1206" t="s">
        <v>123</v>
      </c>
      <c r="HS73" s="1206"/>
      <c r="HT73" s="1206" t="s">
        <v>123</v>
      </c>
      <c r="HU73" s="1291"/>
      <c r="HV73" s="1291"/>
      <c r="HW73" s="1227"/>
    </row>
    <row r="74" ht="15.75" customHeight="1">
      <c r="A74" s="1297"/>
      <c r="B74" s="1298"/>
      <c r="C74" s="1298"/>
      <c r="D74" s="1297"/>
      <c r="E74" s="1299"/>
      <c r="F74" s="1199" t="str">
        <f t="shared" si="1"/>
        <v/>
      </c>
      <c r="G74" s="1208"/>
      <c r="H74" s="1208"/>
      <c r="I74" s="1292"/>
      <c r="J74" s="1288"/>
      <c r="K74" s="1288"/>
      <c r="L74" s="1289"/>
      <c r="M74" s="1255"/>
      <c r="N74" s="1204" t="s">
        <v>123</v>
      </c>
      <c r="O74" s="1204" t="s">
        <v>123</v>
      </c>
      <c r="P74" s="1205" t="s">
        <v>123</v>
      </c>
      <c r="Q74" s="1291"/>
      <c r="R74" s="1291" t="s">
        <v>123</v>
      </c>
      <c r="S74" s="1291"/>
      <c r="T74" s="1291"/>
      <c r="U74" s="1199" t="str">
        <f t="shared" si="2"/>
        <v/>
      </c>
      <c r="V74" s="1208"/>
      <c r="W74" s="1208"/>
      <c r="X74" s="1292"/>
      <c r="Y74" s="1288"/>
      <c r="Z74" s="1288"/>
      <c r="AA74" s="1289"/>
      <c r="AB74" s="1255"/>
      <c r="AC74" s="1204" t="s">
        <v>123</v>
      </c>
      <c r="AD74" s="1204" t="s">
        <v>123</v>
      </c>
      <c r="AE74" s="1205" t="s">
        <v>123</v>
      </c>
      <c r="AF74" s="1206"/>
      <c r="AG74" s="1206" t="s">
        <v>123</v>
      </c>
      <c r="AH74" s="1291"/>
      <c r="AI74" s="1291"/>
      <c r="AJ74" s="1199" t="str">
        <f t="shared" si="3"/>
        <v/>
      </c>
      <c r="AK74" s="1208"/>
      <c r="AL74" s="1208"/>
      <c r="AM74" s="1292"/>
      <c r="AN74" s="1288"/>
      <c r="AO74" s="1288"/>
      <c r="AP74" s="1289"/>
      <c r="AQ74" s="1255"/>
      <c r="AR74" s="1204" t="s">
        <v>123</v>
      </c>
      <c r="AS74" s="1204" t="s">
        <v>123</v>
      </c>
      <c r="AT74" s="1206" t="s">
        <v>123</v>
      </c>
      <c r="AU74" s="1206"/>
      <c r="AV74" s="1206" t="s">
        <v>123</v>
      </c>
      <c r="AW74" s="1291"/>
      <c r="AX74" s="1291"/>
      <c r="AY74" s="1199" t="str">
        <f t="shared" si="4"/>
        <v/>
      </c>
      <c r="AZ74" s="1208"/>
      <c r="BA74" s="1208"/>
      <c r="BB74" s="1292"/>
      <c r="BC74" s="1288"/>
      <c r="BD74" s="1288"/>
      <c r="BE74" s="1289"/>
      <c r="BF74" s="1255"/>
      <c r="BG74" s="1204" t="s">
        <v>123</v>
      </c>
      <c r="BH74" s="1204" t="s">
        <v>123</v>
      </c>
      <c r="BI74" s="1206" t="s">
        <v>123</v>
      </c>
      <c r="BJ74" s="1206"/>
      <c r="BK74" s="1206" t="s">
        <v>123</v>
      </c>
      <c r="BL74" s="1291"/>
      <c r="BM74" s="1291"/>
      <c r="BN74" s="1199" t="str">
        <f t="shared" si="5"/>
        <v/>
      </c>
      <c r="BO74" s="1208"/>
      <c r="BP74" s="1208"/>
      <c r="BQ74" s="1292"/>
      <c r="BR74" s="1288"/>
      <c r="BS74" s="1288"/>
      <c r="BT74" s="1289"/>
      <c r="BU74" s="1255"/>
      <c r="BV74" s="1204" t="s">
        <v>123</v>
      </c>
      <c r="BW74" s="1204" t="s">
        <v>123</v>
      </c>
      <c r="BX74" s="1206" t="s">
        <v>123</v>
      </c>
      <c r="BY74" s="1206"/>
      <c r="BZ74" s="1206" t="s">
        <v>123</v>
      </c>
      <c r="CA74" s="1291"/>
      <c r="CB74" s="1291"/>
      <c r="CC74" s="1199" t="str">
        <f t="shared" si="6"/>
        <v/>
      </c>
      <c r="CD74" s="1208"/>
      <c r="CE74" s="1208"/>
      <c r="CF74" s="1292"/>
      <c r="CG74" s="1288"/>
      <c r="CH74" s="1288"/>
      <c r="CI74" s="1289"/>
      <c r="CJ74" s="1255"/>
      <c r="CK74" s="1204" t="s">
        <v>123</v>
      </c>
      <c r="CL74" s="1204" t="s">
        <v>123</v>
      </c>
      <c r="CM74" s="1206" t="s">
        <v>123</v>
      </c>
      <c r="CN74" s="1206"/>
      <c r="CO74" s="1206" t="s">
        <v>123</v>
      </c>
      <c r="CP74" s="1291"/>
      <c r="CQ74" s="1291"/>
      <c r="CR74" s="1199" t="str">
        <f t="shared" si="7"/>
        <v/>
      </c>
      <c r="CS74" s="1208"/>
      <c r="CT74" s="1208"/>
      <c r="CU74" s="1292"/>
      <c r="CV74" s="1288"/>
      <c r="CW74" s="1288"/>
      <c r="CX74" s="1289"/>
      <c r="CY74" s="1255"/>
      <c r="CZ74" s="1204" t="s">
        <v>123</v>
      </c>
      <c r="DA74" s="1204" t="s">
        <v>123</v>
      </c>
      <c r="DB74" s="1206" t="s">
        <v>123</v>
      </c>
      <c r="DC74" s="1206"/>
      <c r="DD74" s="1206" t="s">
        <v>123</v>
      </c>
      <c r="DE74" s="1291"/>
      <c r="DF74" s="1291"/>
      <c r="DG74" s="1199" t="str">
        <f t="shared" si="8"/>
        <v/>
      </c>
      <c r="DH74" s="1208"/>
      <c r="DI74" s="1208"/>
      <c r="DJ74" s="1302"/>
      <c r="DK74" s="1288"/>
      <c r="DL74" s="1288"/>
      <c r="DM74" s="1289"/>
      <c r="DN74" s="1255"/>
      <c r="DO74" s="1204" t="s">
        <v>123</v>
      </c>
      <c r="DP74" s="1204" t="s">
        <v>123</v>
      </c>
      <c r="DQ74" s="1206" t="s">
        <v>123</v>
      </c>
      <c r="DR74" s="1206"/>
      <c r="DS74" s="1206" t="s">
        <v>123</v>
      </c>
      <c r="DT74" s="1291"/>
      <c r="DU74" s="1291"/>
      <c r="DV74" s="1199" t="str">
        <f t="shared" si="9"/>
        <v/>
      </c>
      <c r="DW74" s="1208"/>
      <c r="DX74" s="1208"/>
      <c r="DY74" s="1292"/>
      <c r="DZ74" s="1288"/>
      <c r="EA74" s="1288"/>
      <c r="EB74" s="1289"/>
      <c r="EC74" s="1255"/>
      <c r="ED74" s="1204" t="s">
        <v>123</v>
      </c>
      <c r="EE74" s="1204" t="s">
        <v>123</v>
      </c>
      <c r="EF74" s="1206" t="s">
        <v>123</v>
      </c>
      <c r="EG74" s="1206"/>
      <c r="EH74" s="1206" t="s">
        <v>123</v>
      </c>
      <c r="EI74" s="1291"/>
      <c r="EJ74" s="1291"/>
      <c r="EK74" s="1199" t="str">
        <f t="shared" si="10"/>
        <v/>
      </c>
      <c r="EL74" s="1208"/>
      <c r="EM74" s="1208"/>
      <c r="EN74" s="1292"/>
      <c r="EO74" s="1288"/>
      <c r="EP74" s="1288"/>
      <c r="EQ74" s="1289"/>
      <c r="ER74" s="1255"/>
      <c r="ES74" s="1204" t="s">
        <v>123</v>
      </c>
      <c r="ET74" s="1204" t="s">
        <v>123</v>
      </c>
      <c r="EU74" s="1206" t="s">
        <v>123</v>
      </c>
      <c r="EV74" s="1206"/>
      <c r="EW74" s="1206" t="s">
        <v>123</v>
      </c>
      <c r="EX74" s="1291"/>
      <c r="EY74" s="1291"/>
      <c r="EZ74" s="1199" t="str">
        <f t="shared" si="11"/>
        <v/>
      </c>
      <c r="FA74" s="1208"/>
      <c r="FB74" s="1208"/>
      <c r="FC74" s="1292"/>
      <c r="FD74" s="1288"/>
      <c r="FE74" s="1288"/>
      <c r="FF74" s="1289"/>
      <c r="FG74" s="1255"/>
      <c r="FH74" s="1204" t="s">
        <v>123</v>
      </c>
      <c r="FI74" s="1204" t="s">
        <v>123</v>
      </c>
      <c r="FJ74" s="1206" t="s">
        <v>123</v>
      </c>
      <c r="FK74" s="1206"/>
      <c r="FL74" s="1206" t="s">
        <v>123</v>
      </c>
      <c r="FM74" s="1291"/>
      <c r="FN74" s="1291"/>
      <c r="FO74" s="1199" t="str">
        <f t="shared" si="12"/>
        <v/>
      </c>
      <c r="FP74" s="1208"/>
      <c r="FQ74" s="1208"/>
      <c r="FR74" s="1292"/>
      <c r="FS74" s="1288"/>
      <c r="FT74" s="1288"/>
      <c r="FU74" s="1289"/>
      <c r="FV74" s="1255"/>
      <c r="FW74" s="1204" t="s">
        <v>123</v>
      </c>
      <c r="FX74" s="1204" t="s">
        <v>123</v>
      </c>
      <c r="FY74" s="1206" t="s">
        <v>123</v>
      </c>
      <c r="FZ74" s="1206"/>
      <c r="GA74" s="1206" t="s">
        <v>123</v>
      </c>
      <c r="GB74" s="1291"/>
      <c r="GC74" s="1291"/>
      <c r="GD74" s="1199" t="str">
        <f t="shared" si="13"/>
        <v/>
      </c>
      <c r="GE74" s="1208"/>
      <c r="GF74" s="1208"/>
      <c r="GG74" s="1292"/>
      <c r="GH74" s="1288"/>
      <c r="GI74" s="1288"/>
      <c r="GJ74" s="1289"/>
      <c r="GK74" s="1255"/>
      <c r="GL74" s="1204" t="s">
        <v>123</v>
      </c>
      <c r="GM74" s="1204" t="s">
        <v>123</v>
      </c>
      <c r="GN74" s="1206" t="s">
        <v>123</v>
      </c>
      <c r="GO74" s="1206"/>
      <c r="GP74" s="1206" t="s">
        <v>123</v>
      </c>
      <c r="GQ74" s="1291"/>
      <c r="GR74" s="1291"/>
      <c r="GS74" s="1199" t="str">
        <f t="shared" si="14"/>
        <v/>
      </c>
      <c r="GT74" s="1208"/>
      <c r="GU74" s="1208"/>
      <c r="GV74" s="1292"/>
      <c r="GW74" s="1288"/>
      <c r="GX74" s="1288"/>
      <c r="GY74" s="1289"/>
      <c r="GZ74" s="1255"/>
      <c r="HA74" s="1204" t="s">
        <v>123</v>
      </c>
      <c r="HB74" s="1204" t="s">
        <v>123</v>
      </c>
      <c r="HC74" s="1206" t="s">
        <v>123</v>
      </c>
      <c r="HD74" s="1206"/>
      <c r="HE74" s="1206" t="s">
        <v>123</v>
      </c>
      <c r="HF74" s="1291"/>
      <c r="HG74" s="1291"/>
      <c r="HH74" s="1199" t="str">
        <f t="shared" si="15"/>
        <v/>
      </c>
      <c r="HI74" s="1208"/>
      <c r="HJ74" s="1208"/>
      <c r="HK74" s="1292"/>
      <c r="HL74" s="1288"/>
      <c r="HM74" s="1288"/>
      <c r="HN74" s="1289"/>
      <c r="HO74" s="1255"/>
      <c r="HP74" s="1204" t="s">
        <v>123</v>
      </c>
      <c r="HQ74" s="1204" t="s">
        <v>123</v>
      </c>
      <c r="HR74" s="1206" t="s">
        <v>123</v>
      </c>
      <c r="HS74" s="1206"/>
      <c r="HT74" s="1206" t="s">
        <v>123</v>
      </c>
      <c r="HU74" s="1291"/>
      <c r="HV74" s="1291"/>
      <c r="HW74" s="1227"/>
    </row>
    <row r="75" ht="15.75" customHeight="1">
      <c r="A75" s="1297"/>
      <c r="B75" s="1298"/>
      <c r="C75" s="1298"/>
      <c r="D75" s="1297"/>
      <c r="E75" s="1299"/>
      <c r="F75" s="1199" t="str">
        <f t="shared" si="1"/>
        <v/>
      </c>
      <c r="G75" s="1208"/>
      <c r="H75" s="1208"/>
      <c r="I75" s="1292"/>
      <c r="J75" s="1288"/>
      <c r="K75" s="1288"/>
      <c r="L75" s="1289"/>
      <c r="M75" s="1255"/>
      <c r="N75" s="1204" t="s">
        <v>123</v>
      </c>
      <c r="O75" s="1204" t="s">
        <v>123</v>
      </c>
      <c r="P75" s="1205" t="s">
        <v>123</v>
      </c>
      <c r="Q75" s="1291"/>
      <c r="R75" s="1291" t="s">
        <v>123</v>
      </c>
      <c r="S75" s="1291"/>
      <c r="T75" s="1291"/>
      <c r="U75" s="1199" t="str">
        <f t="shared" si="2"/>
        <v/>
      </c>
      <c r="V75" s="1208"/>
      <c r="W75" s="1208"/>
      <c r="X75" s="1292"/>
      <c r="Y75" s="1288"/>
      <c r="Z75" s="1288"/>
      <c r="AA75" s="1289"/>
      <c r="AB75" s="1255"/>
      <c r="AC75" s="1204" t="s">
        <v>123</v>
      </c>
      <c r="AD75" s="1204" t="s">
        <v>123</v>
      </c>
      <c r="AE75" s="1205" t="s">
        <v>123</v>
      </c>
      <c r="AF75" s="1206"/>
      <c r="AG75" s="1206" t="s">
        <v>123</v>
      </c>
      <c r="AH75" s="1291"/>
      <c r="AI75" s="1291"/>
      <c r="AJ75" s="1199" t="str">
        <f t="shared" si="3"/>
        <v/>
      </c>
      <c r="AK75" s="1208"/>
      <c r="AL75" s="1208"/>
      <c r="AM75" s="1292"/>
      <c r="AN75" s="1288"/>
      <c r="AO75" s="1288"/>
      <c r="AP75" s="1289"/>
      <c r="AQ75" s="1255"/>
      <c r="AR75" s="1204" t="s">
        <v>123</v>
      </c>
      <c r="AS75" s="1204" t="s">
        <v>123</v>
      </c>
      <c r="AT75" s="1206" t="s">
        <v>123</v>
      </c>
      <c r="AU75" s="1206"/>
      <c r="AV75" s="1206" t="s">
        <v>123</v>
      </c>
      <c r="AW75" s="1291"/>
      <c r="AX75" s="1291"/>
      <c r="AY75" s="1199" t="str">
        <f t="shared" si="4"/>
        <v/>
      </c>
      <c r="AZ75" s="1208"/>
      <c r="BA75" s="1208"/>
      <c r="BB75" s="1292"/>
      <c r="BC75" s="1288"/>
      <c r="BD75" s="1288"/>
      <c r="BE75" s="1289"/>
      <c r="BF75" s="1255"/>
      <c r="BG75" s="1204" t="s">
        <v>123</v>
      </c>
      <c r="BH75" s="1204" t="s">
        <v>123</v>
      </c>
      <c r="BI75" s="1206" t="s">
        <v>123</v>
      </c>
      <c r="BJ75" s="1206"/>
      <c r="BK75" s="1206" t="s">
        <v>123</v>
      </c>
      <c r="BL75" s="1291"/>
      <c r="BM75" s="1291"/>
      <c r="BN75" s="1199" t="str">
        <f t="shared" si="5"/>
        <v/>
      </c>
      <c r="BO75" s="1208"/>
      <c r="BP75" s="1208"/>
      <c r="BQ75" s="1292"/>
      <c r="BR75" s="1288"/>
      <c r="BS75" s="1288"/>
      <c r="BT75" s="1289"/>
      <c r="BU75" s="1255"/>
      <c r="BV75" s="1204" t="s">
        <v>123</v>
      </c>
      <c r="BW75" s="1204" t="s">
        <v>123</v>
      </c>
      <c r="BX75" s="1206" t="s">
        <v>123</v>
      </c>
      <c r="BY75" s="1206"/>
      <c r="BZ75" s="1206" t="s">
        <v>123</v>
      </c>
      <c r="CA75" s="1291"/>
      <c r="CB75" s="1291"/>
      <c r="CC75" s="1199" t="str">
        <f t="shared" si="6"/>
        <v/>
      </c>
      <c r="CD75" s="1208"/>
      <c r="CE75" s="1208"/>
      <c r="CF75" s="1292"/>
      <c r="CG75" s="1288"/>
      <c r="CH75" s="1288"/>
      <c r="CI75" s="1289"/>
      <c r="CJ75" s="1255"/>
      <c r="CK75" s="1204" t="s">
        <v>123</v>
      </c>
      <c r="CL75" s="1204" t="s">
        <v>123</v>
      </c>
      <c r="CM75" s="1206" t="s">
        <v>123</v>
      </c>
      <c r="CN75" s="1206"/>
      <c r="CO75" s="1206" t="s">
        <v>123</v>
      </c>
      <c r="CP75" s="1291"/>
      <c r="CQ75" s="1291"/>
      <c r="CR75" s="1199" t="str">
        <f t="shared" si="7"/>
        <v/>
      </c>
      <c r="CS75" s="1208"/>
      <c r="CT75" s="1208"/>
      <c r="CU75" s="1292"/>
      <c r="CV75" s="1288"/>
      <c r="CW75" s="1288"/>
      <c r="CX75" s="1289"/>
      <c r="CY75" s="1255"/>
      <c r="CZ75" s="1204" t="s">
        <v>123</v>
      </c>
      <c r="DA75" s="1204" t="s">
        <v>123</v>
      </c>
      <c r="DB75" s="1206" t="s">
        <v>123</v>
      </c>
      <c r="DC75" s="1206"/>
      <c r="DD75" s="1206" t="s">
        <v>123</v>
      </c>
      <c r="DE75" s="1291"/>
      <c r="DF75" s="1291"/>
      <c r="DG75" s="1199" t="str">
        <f t="shared" si="8"/>
        <v/>
      </c>
      <c r="DH75" s="1208"/>
      <c r="DI75" s="1208"/>
      <c r="DJ75" s="1302"/>
      <c r="DK75" s="1288"/>
      <c r="DL75" s="1288"/>
      <c r="DM75" s="1289"/>
      <c r="DN75" s="1255"/>
      <c r="DO75" s="1204" t="s">
        <v>123</v>
      </c>
      <c r="DP75" s="1204" t="s">
        <v>123</v>
      </c>
      <c r="DQ75" s="1206" t="s">
        <v>123</v>
      </c>
      <c r="DR75" s="1206"/>
      <c r="DS75" s="1206" t="s">
        <v>123</v>
      </c>
      <c r="DT75" s="1291"/>
      <c r="DU75" s="1291"/>
      <c r="DV75" s="1199" t="str">
        <f t="shared" si="9"/>
        <v/>
      </c>
      <c r="DW75" s="1208"/>
      <c r="DX75" s="1208"/>
      <c r="DY75" s="1292"/>
      <c r="DZ75" s="1288"/>
      <c r="EA75" s="1288"/>
      <c r="EB75" s="1289"/>
      <c r="EC75" s="1255"/>
      <c r="ED75" s="1204" t="s">
        <v>123</v>
      </c>
      <c r="EE75" s="1204" t="s">
        <v>123</v>
      </c>
      <c r="EF75" s="1206" t="s">
        <v>123</v>
      </c>
      <c r="EG75" s="1206"/>
      <c r="EH75" s="1206" t="s">
        <v>123</v>
      </c>
      <c r="EI75" s="1291"/>
      <c r="EJ75" s="1291"/>
      <c r="EK75" s="1199" t="str">
        <f t="shared" si="10"/>
        <v/>
      </c>
      <c r="EL75" s="1208"/>
      <c r="EM75" s="1208"/>
      <c r="EN75" s="1292"/>
      <c r="EO75" s="1288"/>
      <c r="EP75" s="1288"/>
      <c r="EQ75" s="1289"/>
      <c r="ER75" s="1255"/>
      <c r="ES75" s="1204" t="s">
        <v>123</v>
      </c>
      <c r="ET75" s="1204" t="s">
        <v>123</v>
      </c>
      <c r="EU75" s="1206" t="s">
        <v>123</v>
      </c>
      <c r="EV75" s="1206"/>
      <c r="EW75" s="1206" t="s">
        <v>123</v>
      </c>
      <c r="EX75" s="1291"/>
      <c r="EY75" s="1291"/>
      <c r="EZ75" s="1199" t="str">
        <f t="shared" si="11"/>
        <v/>
      </c>
      <c r="FA75" s="1208"/>
      <c r="FB75" s="1208"/>
      <c r="FC75" s="1292"/>
      <c r="FD75" s="1288"/>
      <c r="FE75" s="1288"/>
      <c r="FF75" s="1289"/>
      <c r="FG75" s="1255"/>
      <c r="FH75" s="1204" t="s">
        <v>123</v>
      </c>
      <c r="FI75" s="1204" t="s">
        <v>123</v>
      </c>
      <c r="FJ75" s="1206" t="s">
        <v>123</v>
      </c>
      <c r="FK75" s="1206"/>
      <c r="FL75" s="1206" t="s">
        <v>123</v>
      </c>
      <c r="FM75" s="1291"/>
      <c r="FN75" s="1291"/>
      <c r="FO75" s="1199" t="str">
        <f t="shared" si="12"/>
        <v/>
      </c>
      <c r="FP75" s="1208"/>
      <c r="FQ75" s="1208"/>
      <c r="FR75" s="1292"/>
      <c r="FS75" s="1288"/>
      <c r="FT75" s="1288"/>
      <c r="FU75" s="1289"/>
      <c r="FV75" s="1255"/>
      <c r="FW75" s="1204" t="s">
        <v>123</v>
      </c>
      <c r="FX75" s="1204" t="s">
        <v>123</v>
      </c>
      <c r="FY75" s="1206" t="s">
        <v>123</v>
      </c>
      <c r="FZ75" s="1206"/>
      <c r="GA75" s="1206" t="s">
        <v>123</v>
      </c>
      <c r="GB75" s="1291"/>
      <c r="GC75" s="1291"/>
      <c r="GD75" s="1199" t="str">
        <f t="shared" si="13"/>
        <v/>
      </c>
      <c r="GE75" s="1208"/>
      <c r="GF75" s="1208"/>
      <c r="GG75" s="1292"/>
      <c r="GH75" s="1288"/>
      <c r="GI75" s="1288"/>
      <c r="GJ75" s="1289"/>
      <c r="GK75" s="1255"/>
      <c r="GL75" s="1204" t="s">
        <v>123</v>
      </c>
      <c r="GM75" s="1204" t="s">
        <v>123</v>
      </c>
      <c r="GN75" s="1206" t="s">
        <v>123</v>
      </c>
      <c r="GO75" s="1206"/>
      <c r="GP75" s="1206" t="s">
        <v>123</v>
      </c>
      <c r="GQ75" s="1291"/>
      <c r="GR75" s="1291"/>
      <c r="GS75" s="1199" t="str">
        <f t="shared" si="14"/>
        <v/>
      </c>
      <c r="GT75" s="1208"/>
      <c r="GU75" s="1208"/>
      <c r="GV75" s="1292"/>
      <c r="GW75" s="1288"/>
      <c r="GX75" s="1288"/>
      <c r="GY75" s="1289"/>
      <c r="GZ75" s="1255"/>
      <c r="HA75" s="1204" t="s">
        <v>123</v>
      </c>
      <c r="HB75" s="1204" t="s">
        <v>123</v>
      </c>
      <c r="HC75" s="1206" t="s">
        <v>123</v>
      </c>
      <c r="HD75" s="1206"/>
      <c r="HE75" s="1206" t="s">
        <v>123</v>
      </c>
      <c r="HF75" s="1291"/>
      <c r="HG75" s="1291"/>
      <c r="HH75" s="1199" t="str">
        <f t="shared" si="15"/>
        <v/>
      </c>
      <c r="HI75" s="1208"/>
      <c r="HJ75" s="1208"/>
      <c r="HK75" s="1292"/>
      <c r="HL75" s="1288"/>
      <c r="HM75" s="1288"/>
      <c r="HN75" s="1289"/>
      <c r="HO75" s="1255"/>
      <c r="HP75" s="1204" t="s">
        <v>123</v>
      </c>
      <c r="HQ75" s="1204" t="s">
        <v>123</v>
      </c>
      <c r="HR75" s="1206" t="s">
        <v>123</v>
      </c>
      <c r="HS75" s="1206"/>
      <c r="HT75" s="1206" t="s">
        <v>123</v>
      </c>
      <c r="HU75" s="1291"/>
      <c r="HV75" s="1291"/>
      <c r="HW75" s="1227"/>
    </row>
    <row r="76" ht="15.75" customHeight="1">
      <c r="A76" s="1297"/>
      <c r="B76" s="1298"/>
      <c r="C76" s="1298"/>
      <c r="D76" s="1297"/>
      <c r="E76" s="1299"/>
      <c r="F76" s="1199" t="str">
        <f t="shared" si="1"/>
        <v/>
      </c>
      <c r="G76" s="1208"/>
      <c r="H76" s="1208"/>
      <c r="I76" s="1292"/>
      <c r="J76" s="1288"/>
      <c r="K76" s="1288"/>
      <c r="L76" s="1289"/>
      <c r="M76" s="1255"/>
      <c r="N76" s="1204" t="s">
        <v>123</v>
      </c>
      <c r="O76" s="1204" t="s">
        <v>123</v>
      </c>
      <c r="P76" s="1205" t="s">
        <v>123</v>
      </c>
      <c r="Q76" s="1291"/>
      <c r="R76" s="1291" t="s">
        <v>123</v>
      </c>
      <c r="S76" s="1291"/>
      <c r="T76" s="1291"/>
      <c r="U76" s="1199" t="str">
        <f t="shared" si="2"/>
        <v/>
      </c>
      <c r="V76" s="1208"/>
      <c r="W76" s="1208"/>
      <c r="X76" s="1292"/>
      <c r="Y76" s="1288"/>
      <c r="Z76" s="1288"/>
      <c r="AA76" s="1289"/>
      <c r="AB76" s="1255"/>
      <c r="AC76" s="1204" t="s">
        <v>123</v>
      </c>
      <c r="AD76" s="1204" t="s">
        <v>123</v>
      </c>
      <c r="AE76" s="1205" t="s">
        <v>123</v>
      </c>
      <c r="AF76" s="1206"/>
      <c r="AG76" s="1206" t="s">
        <v>123</v>
      </c>
      <c r="AH76" s="1291"/>
      <c r="AI76" s="1291"/>
      <c r="AJ76" s="1199" t="str">
        <f t="shared" si="3"/>
        <v/>
      </c>
      <c r="AK76" s="1208"/>
      <c r="AL76" s="1208"/>
      <c r="AM76" s="1292"/>
      <c r="AN76" s="1288"/>
      <c r="AO76" s="1288"/>
      <c r="AP76" s="1289"/>
      <c r="AQ76" s="1255"/>
      <c r="AR76" s="1204" t="s">
        <v>123</v>
      </c>
      <c r="AS76" s="1204" t="s">
        <v>123</v>
      </c>
      <c r="AT76" s="1206" t="s">
        <v>123</v>
      </c>
      <c r="AU76" s="1206"/>
      <c r="AV76" s="1206" t="s">
        <v>123</v>
      </c>
      <c r="AW76" s="1291"/>
      <c r="AX76" s="1291"/>
      <c r="AY76" s="1199" t="str">
        <f t="shared" si="4"/>
        <v/>
      </c>
      <c r="AZ76" s="1208"/>
      <c r="BA76" s="1208"/>
      <c r="BB76" s="1292"/>
      <c r="BC76" s="1288"/>
      <c r="BD76" s="1288"/>
      <c r="BE76" s="1289"/>
      <c r="BF76" s="1255"/>
      <c r="BG76" s="1204" t="s">
        <v>123</v>
      </c>
      <c r="BH76" s="1204" t="s">
        <v>123</v>
      </c>
      <c r="BI76" s="1206" t="s">
        <v>123</v>
      </c>
      <c r="BJ76" s="1206"/>
      <c r="BK76" s="1206" t="s">
        <v>123</v>
      </c>
      <c r="BL76" s="1291"/>
      <c r="BM76" s="1291"/>
      <c r="BN76" s="1199" t="str">
        <f t="shared" si="5"/>
        <v/>
      </c>
      <c r="BO76" s="1208"/>
      <c r="BP76" s="1208"/>
      <c r="BQ76" s="1292"/>
      <c r="BR76" s="1288"/>
      <c r="BS76" s="1288"/>
      <c r="BT76" s="1289"/>
      <c r="BU76" s="1255"/>
      <c r="BV76" s="1204" t="s">
        <v>123</v>
      </c>
      <c r="BW76" s="1204" t="s">
        <v>123</v>
      </c>
      <c r="BX76" s="1206" t="s">
        <v>123</v>
      </c>
      <c r="BY76" s="1206"/>
      <c r="BZ76" s="1206" t="s">
        <v>123</v>
      </c>
      <c r="CA76" s="1291"/>
      <c r="CB76" s="1291"/>
      <c r="CC76" s="1199" t="str">
        <f t="shared" si="6"/>
        <v/>
      </c>
      <c r="CD76" s="1208"/>
      <c r="CE76" s="1208"/>
      <c r="CF76" s="1292"/>
      <c r="CG76" s="1288"/>
      <c r="CH76" s="1288"/>
      <c r="CI76" s="1289"/>
      <c r="CJ76" s="1255"/>
      <c r="CK76" s="1204" t="s">
        <v>123</v>
      </c>
      <c r="CL76" s="1204" t="s">
        <v>123</v>
      </c>
      <c r="CM76" s="1206" t="s">
        <v>123</v>
      </c>
      <c r="CN76" s="1206"/>
      <c r="CO76" s="1206" t="s">
        <v>123</v>
      </c>
      <c r="CP76" s="1291"/>
      <c r="CQ76" s="1291"/>
      <c r="CR76" s="1199" t="str">
        <f t="shared" si="7"/>
        <v/>
      </c>
      <c r="CS76" s="1208"/>
      <c r="CT76" s="1208"/>
      <c r="CU76" s="1292"/>
      <c r="CV76" s="1288"/>
      <c r="CW76" s="1288"/>
      <c r="CX76" s="1289"/>
      <c r="CY76" s="1255"/>
      <c r="CZ76" s="1204" t="s">
        <v>123</v>
      </c>
      <c r="DA76" s="1204" t="s">
        <v>123</v>
      </c>
      <c r="DB76" s="1206" t="s">
        <v>123</v>
      </c>
      <c r="DC76" s="1206"/>
      <c r="DD76" s="1206" t="s">
        <v>123</v>
      </c>
      <c r="DE76" s="1291"/>
      <c r="DF76" s="1291"/>
      <c r="DG76" s="1199" t="str">
        <f t="shared" si="8"/>
        <v/>
      </c>
      <c r="DH76" s="1208"/>
      <c r="DI76" s="1208"/>
      <c r="DJ76" s="1302"/>
      <c r="DK76" s="1288"/>
      <c r="DL76" s="1288"/>
      <c r="DM76" s="1289"/>
      <c r="DN76" s="1255"/>
      <c r="DO76" s="1204" t="s">
        <v>123</v>
      </c>
      <c r="DP76" s="1204" t="s">
        <v>123</v>
      </c>
      <c r="DQ76" s="1206" t="s">
        <v>123</v>
      </c>
      <c r="DR76" s="1206"/>
      <c r="DS76" s="1206" t="s">
        <v>123</v>
      </c>
      <c r="DT76" s="1291"/>
      <c r="DU76" s="1291"/>
      <c r="DV76" s="1199" t="str">
        <f t="shared" si="9"/>
        <v/>
      </c>
      <c r="DW76" s="1208"/>
      <c r="DX76" s="1208"/>
      <c r="DY76" s="1292"/>
      <c r="DZ76" s="1288"/>
      <c r="EA76" s="1288"/>
      <c r="EB76" s="1289"/>
      <c r="EC76" s="1255"/>
      <c r="ED76" s="1204" t="s">
        <v>123</v>
      </c>
      <c r="EE76" s="1204" t="s">
        <v>123</v>
      </c>
      <c r="EF76" s="1206" t="s">
        <v>123</v>
      </c>
      <c r="EG76" s="1206"/>
      <c r="EH76" s="1206" t="s">
        <v>123</v>
      </c>
      <c r="EI76" s="1291"/>
      <c r="EJ76" s="1291"/>
      <c r="EK76" s="1199" t="str">
        <f t="shared" si="10"/>
        <v/>
      </c>
      <c r="EL76" s="1208"/>
      <c r="EM76" s="1208"/>
      <c r="EN76" s="1292"/>
      <c r="EO76" s="1288"/>
      <c r="EP76" s="1288"/>
      <c r="EQ76" s="1289"/>
      <c r="ER76" s="1255"/>
      <c r="ES76" s="1204" t="s">
        <v>123</v>
      </c>
      <c r="ET76" s="1204" t="s">
        <v>123</v>
      </c>
      <c r="EU76" s="1206" t="s">
        <v>123</v>
      </c>
      <c r="EV76" s="1206"/>
      <c r="EW76" s="1206" t="s">
        <v>123</v>
      </c>
      <c r="EX76" s="1291"/>
      <c r="EY76" s="1291"/>
      <c r="EZ76" s="1199" t="str">
        <f t="shared" si="11"/>
        <v/>
      </c>
      <c r="FA76" s="1208"/>
      <c r="FB76" s="1208"/>
      <c r="FC76" s="1292"/>
      <c r="FD76" s="1288"/>
      <c r="FE76" s="1288"/>
      <c r="FF76" s="1289"/>
      <c r="FG76" s="1255"/>
      <c r="FH76" s="1204" t="s">
        <v>123</v>
      </c>
      <c r="FI76" s="1204" t="s">
        <v>123</v>
      </c>
      <c r="FJ76" s="1206" t="s">
        <v>123</v>
      </c>
      <c r="FK76" s="1206"/>
      <c r="FL76" s="1206" t="s">
        <v>123</v>
      </c>
      <c r="FM76" s="1291"/>
      <c r="FN76" s="1291"/>
      <c r="FO76" s="1199" t="str">
        <f t="shared" si="12"/>
        <v/>
      </c>
      <c r="FP76" s="1208"/>
      <c r="FQ76" s="1208"/>
      <c r="FR76" s="1292"/>
      <c r="FS76" s="1288"/>
      <c r="FT76" s="1288"/>
      <c r="FU76" s="1289"/>
      <c r="FV76" s="1255"/>
      <c r="FW76" s="1204" t="s">
        <v>123</v>
      </c>
      <c r="FX76" s="1204" t="s">
        <v>123</v>
      </c>
      <c r="FY76" s="1206" t="s">
        <v>123</v>
      </c>
      <c r="FZ76" s="1206"/>
      <c r="GA76" s="1206" t="s">
        <v>123</v>
      </c>
      <c r="GB76" s="1291"/>
      <c r="GC76" s="1291"/>
      <c r="GD76" s="1199" t="str">
        <f t="shared" si="13"/>
        <v/>
      </c>
      <c r="GE76" s="1208"/>
      <c r="GF76" s="1208"/>
      <c r="GG76" s="1292"/>
      <c r="GH76" s="1288"/>
      <c r="GI76" s="1288"/>
      <c r="GJ76" s="1289"/>
      <c r="GK76" s="1255"/>
      <c r="GL76" s="1204" t="s">
        <v>123</v>
      </c>
      <c r="GM76" s="1204" t="s">
        <v>123</v>
      </c>
      <c r="GN76" s="1206" t="s">
        <v>123</v>
      </c>
      <c r="GO76" s="1206"/>
      <c r="GP76" s="1206" t="s">
        <v>123</v>
      </c>
      <c r="GQ76" s="1291"/>
      <c r="GR76" s="1291"/>
      <c r="GS76" s="1199" t="str">
        <f t="shared" si="14"/>
        <v/>
      </c>
      <c r="GT76" s="1208"/>
      <c r="GU76" s="1208"/>
      <c r="GV76" s="1292"/>
      <c r="GW76" s="1288"/>
      <c r="GX76" s="1288"/>
      <c r="GY76" s="1289"/>
      <c r="GZ76" s="1255"/>
      <c r="HA76" s="1204" t="s">
        <v>123</v>
      </c>
      <c r="HB76" s="1204" t="s">
        <v>123</v>
      </c>
      <c r="HC76" s="1206" t="s">
        <v>123</v>
      </c>
      <c r="HD76" s="1206"/>
      <c r="HE76" s="1206" t="s">
        <v>123</v>
      </c>
      <c r="HF76" s="1291"/>
      <c r="HG76" s="1291"/>
      <c r="HH76" s="1199" t="str">
        <f t="shared" si="15"/>
        <v/>
      </c>
      <c r="HI76" s="1208"/>
      <c r="HJ76" s="1208"/>
      <c r="HK76" s="1292"/>
      <c r="HL76" s="1288"/>
      <c r="HM76" s="1288"/>
      <c r="HN76" s="1289"/>
      <c r="HO76" s="1255"/>
      <c r="HP76" s="1204" t="s">
        <v>123</v>
      </c>
      <c r="HQ76" s="1204" t="s">
        <v>123</v>
      </c>
      <c r="HR76" s="1206" t="s">
        <v>123</v>
      </c>
      <c r="HS76" s="1206"/>
      <c r="HT76" s="1206" t="s">
        <v>123</v>
      </c>
      <c r="HU76" s="1291"/>
      <c r="HV76" s="1291"/>
      <c r="HW76" s="1227"/>
    </row>
    <row r="77" ht="15.75" customHeight="1">
      <c r="A77" s="1297"/>
      <c r="B77" s="1298"/>
      <c r="C77" s="1298"/>
      <c r="D77" s="1297"/>
      <c r="E77" s="1299"/>
      <c r="F77" s="1199" t="str">
        <f t="shared" si="1"/>
        <v/>
      </c>
      <c r="G77" s="1208"/>
      <c r="H77" s="1208"/>
      <c r="I77" s="1292"/>
      <c r="J77" s="1288"/>
      <c r="K77" s="1288"/>
      <c r="L77" s="1289"/>
      <c r="M77" s="1255"/>
      <c r="N77" s="1204" t="s">
        <v>123</v>
      </c>
      <c r="O77" s="1204" t="s">
        <v>123</v>
      </c>
      <c r="P77" s="1205" t="s">
        <v>123</v>
      </c>
      <c r="Q77" s="1291"/>
      <c r="R77" s="1291" t="s">
        <v>123</v>
      </c>
      <c r="S77" s="1291"/>
      <c r="T77" s="1291"/>
      <c r="U77" s="1199" t="str">
        <f t="shared" si="2"/>
        <v/>
      </c>
      <c r="V77" s="1208"/>
      <c r="W77" s="1208"/>
      <c r="X77" s="1292"/>
      <c r="Y77" s="1288"/>
      <c r="Z77" s="1288"/>
      <c r="AA77" s="1289"/>
      <c r="AB77" s="1255"/>
      <c r="AC77" s="1204" t="s">
        <v>123</v>
      </c>
      <c r="AD77" s="1204" t="s">
        <v>123</v>
      </c>
      <c r="AE77" s="1205" t="s">
        <v>123</v>
      </c>
      <c r="AF77" s="1206"/>
      <c r="AG77" s="1206" t="s">
        <v>123</v>
      </c>
      <c r="AH77" s="1291"/>
      <c r="AI77" s="1291"/>
      <c r="AJ77" s="1199" t="str">
        <f t="shared" si="3"/>
        <v/>
      </c>
      <c r="AK77" s="1208"/>
      <c r="AL77" s="1208"/>
      <c r="AM77" s="1292"/>
      <c r="AN77" s="1288"/>
      <c r="AO77" s="1288"/>
      <c r="AP77" s="1289"/>
      <c r="AQ77" s="1255"/>
      <c r="AR77" s="1204" t="s">
        <v>123</v>
      </c>
      <c r="AS77" s="1204" t="s">
        <v>123</v>
      </c>
      <c r="AT77" s="1206" t="s">
        <v>123</v>
      </c>
      <c r="AU77" s="1206"/>
      <c r="AV77" s="1206" t="s">
        <v>123</v>
      </c>
      <c r="AW77" s="1291"/>
      <c r="AX77" s="1291"/>
      <c r="AY77" s="1199" t="str">
        <f t="shared" si="4"/>
        <v/>
      </c>
      <c r="AZ77" s="1208"/>
      <c r="BA77" s="1208"/>
      <c r="BB77" s="1292"/>
      <c r="BC77" s="1288"/>
      <c r="BD77" s="1288"/>
      <c r="BE77" s="1289"/>
      <c r="BF77" s="1255"/>
      <c r="BG77" s="1204" t="s">
        <v>123</v>
      </c>
      <c r="BH77" s="1204" t="s">
        <v>123</v>
      </c>
      <c r="BI77" s="1206" t="s">
        <v>123</v>
      </c>
      <c r="BJ77" s="1206"/>
      <c r="BK77" s="1206" t="s">
        <v>123</v>
      </c>
      <c r="BL77" s="1291"/>
      <c r="BM77" s="1291"/>
      <c r="BN77" s="1199" t="str">
        <f t="shared" si="5"/>
        <v/>
      </c>
      <c r="BO77" s="1208"/>
      <c r="BP77" s="1208"/>
      <c r="BQ77" s="1292"/>
      <c r="BR77" s="1288"/>
      <c r="BS77" s="1288"/>
      <c r="BT77" s="1289"/>
      <c r="BU77" s="1255"/>
      <c r="BV77" s="1204" t="s">
        <v>123</v>
      </c>
      <c r="BW77" s="1204" t="s">
        <v>123</v>
      </c>
      <c r="BX77" s="1206" t="s">
        <v>123</v>
      </c>
      <c r="BY77" s="1206"/>
      <c r="BZ77" s="1206" t="s">
        <v>123</v>
      </c>
      <c r="CA77" s="1291"/>
      <c r="CB77" s="1291"/>
      <c r="CC77" s="1199" t="str">
        <f t="shared" si="6"/>
        <v/>
      </c>
      <c r="CD77" s="1208"/>
      <c r="CE77" s="1208"/>
      <c r="CF77" s="1292"/>
      <c r="CG77" s="1288"/>
      <c r="CH77" s="1288"/>
      <c r="CI77" s="1289"/>
      <c r="CJ77" s="1255"/>
      <c r="CK77" s="1204" t="s">
        <v>123</v>
      </c>
      <c r="CL77" s="1204" t="s">
        <v>123</v>
      </c>
      <c r="CM77" s="1206" t="s">
        <v>123</v>
      </c>
      <c r="CN77" s="1206"/>
      <c r="CO77" s="1206" t="s">
        <v>123</v>
      </c>
      <c r="CP77" s="1291"/>
      <c r="CQ77" s="1291"/>
      <c r="CR77" s="1199" t="str">
        <f t="shared" si="7"/>
        <v/>
      </c>
      <c r="CS77" s="1208"/>
      <c r="CT77" s="1208"/>
      <c r="CU77" s="1292"/>
      <c r="CV77" s="1288"/>
      <c r="CW77" s="1288"/>
      <c r="CX77" s="1289"/>
      <c r="CY77" s="1255"/>
      <c r="CZ77" s="1204" t="s">
        <v>123</v>
      </c>
      <c r="DA77" s="1204" t="s">
        <v>123</v>
      </c>
      <c r="DB77" s="1206" t="s">
        <v>123</v>
      </c>
      <c r="DC77" s="1206"/>
      <c r="DD77" s="1206" t="s">
        <v>123</v>
      </c>
      <c r="DE77" s="1291"/>
      <c r="DF77" s="1291"/>
      <c r="DG77" s="1199" t="str">
        <f t="shared" si="8"/>
        <v/>
      </c>
      <c r="DH77" s="1208"/>
      <c r="DI77" s="1208"/>
      <c r="DJ77" s="1302"/>
      <c r="DK77" s="1288"/>
      <c r="DL77" s="1288"/>
      <c r="DM77" s="1289"/>
      <c r="DN77" s="1255"/>
      <c r="DO77" s="1204" t="s">
        <v>123</v>
      </c>
      <c r="DP77" s="1204" t="s">
        <v>123</v>
      </c>
      <c r="DQ77" s="1206" t="s">
        <v>123</v>
      </c>
      <c r="DR77" s="1206"/>
      <c r="DS77" s="1206" t="s">
        <v>123</v>
      </c>
      <c r="DT77" s="1291"/>
      <c r="DU77" s="1291"/>
      <c r="DV77" s="1199" t="str">
        <f t="shared" si="9"/>
        <v/>
      </c>
      <c r="DW77" s="1208"/>
      <c r="DX77" s="1208"/>
      <c r="DY77" s="1292"/>
      <c r="DZ77" s="1288"/>
      <c r="EA77" s="1288"/>
      <c r="EB77" s="1289"/>
      <c r="EC77" s="1255"/>
      <c r="ED77" s="1204" t="s">
        <v>123</v>
      </c>
      <c r="EE77" s="1204" t="s">
        <v>123</v>
      </c>
      <c r="EF77" s="1206" t="s">
        <v>123</v>
      </c>
      <c r="EG77" s="1206"/>
      <c r="EH77" s="1206" t="s">
        <v>123</v>
      </c>
      <c r="EI77" s="1291"/>
      <c r="EJ77" s="1291"/>
      <c r="EK77" s="1199" t="str">
        <f t="shared" si="10"/>
        <v/>
      </c>
      <c r="EL77" s="1208"/>
      <c r="EM77" s="1208"/>
      <c r="EN77" s="1292"/>
      <c r="EO77" s="1288"/>
      <c r="EP77" s="1288"/>
      <c r="EQ77" s="1289"/>
      <c r="ER77" s="1255"/>
      <c r="ES77" s="1204" t="s">
        <v>123</v>
      </c>
      <c r="ET77" s="1204" t="s">
        <v>123</v>
      </c>
      <c r="EU77" s="1206" t="s">
        <v>123</v>
      </c>
      <c r="EV77" s="1206"/>
      <c r="EW77" s="1206" t="s">
        <v>123</v>
      </c>
      <c r="EX77" s="1291"/>
      <c r="EY77" s="1291"/>
      <c r="EZ77" s="1199" t="str">
        <f t="shared" si="11"/>
        <v/>
      </c>
      <c r="FA77" s="1208"/>
      <c r="FB77" s="1208"/>
      <c r="FC77" s="1292"/>
      <c r="FD77" s="1288"/>
      <c r="FE77" s="1288"/>
      <c r="FF77" s="1289"/>
      <c r="FG77" s="1255"/>
      <c r="FH77" s="1204" t="s">
        <v>123</v>
      </c>
      <c r="FI77" s="1204" t="s">
        <v>123</v>
      </c>
      <c r="FJ77" s="1206" t="s">
        <v>123</v>
      </c>
      <c r="FK77" s="1206"/>
      <c r="FL77" s="1206" t="s">
        <v>123</v>
      </c>
      <c r="FM77" s="1291"/>
      <c r="FN77" s="1291"/>
      <c r="FO77" s="1199" t="str">
        <f t="shared" si="12"/>
        <v/>
      </c>
      <c r="FP77" s="1208"/>
      <c r="FQ77" s="1208"/>
      <c r="FR77" s="1292"/>
      <c r="FS77" s="1288"/>
      <c r="FT77" s="1288"/>
      <c r="FU77" s="1289"/>
      <c r="FV77" s="1255"/>
      <c r="FW77" s="1204" t="s">
        <v>123</v>
      </c>
      <c r="FX77" s="1204" t="s">
        <v>123</v>
      </c>
      <c r="FY77" s="1206" t="s">
        <v>123</v>
      </c>
      <c r="FZ77" s="1206"/>
      <c r="GA77" s="1206" t="s">
        <v>123</v>
      </c>
      <c r="GB77" s="1291"/>
      <c r="GC77" s="1291"/>
      <c r="GD77" s="1199" t="str">
        <f t="shared" si="13"/>
        <v/>
      </c>
      <c r="GE77" s="1208"/>
      <c r="GF77" s="1208"/>
      <c r="GG77" s="1292"/>
      <c r="GH77" s="1288"/>
      <c r="GI77" s="1288"/>
      <c r="GJ77" s="1289"/>
      <c r="GK77" s="1255"/>
      <c r="GL77" s="1204" t="s">
        <v>123</v>
      </c>
      <c r="GM77" s="1204" t="s">
        <v>123</v>
      </c>
      <c r="GN77" s="1206" t="s">
        <v>123</v>
      </c>
      <c r="GO77" s="1206"/>
      <c r="GP77" s="1206" t="s">
        <v>123</v>
      </c>
      <c r="GQ77" s="1291"/>
      <c r="GR77" s="1291"/>
      <c r="GS77" s="1199" t="str">
        <f t="shared" si="14"/>
        <v/>
      </c>
      <c r="GT77" s="1208"/>
      <c r="GU77" s="1208"/>
      <c r="GV77" s="1292"/>
      <c r="GW77" s="1288"/>
      <c r="GX77" s="1288"/>
      <c r="GY77" s="1289"/>
      <c r="GZ77" s="1255"/>
      <c r="HA77" s="1204" t="s">
        <v>123</v>
      </c>
      <c r="HB77" s="1204" t="s">
        <v>123</v>
      </c>
      <c r="HC77" s="1206" t="s">
        <v>123</v>
      </c>
      <c r="HD77" s="1206"/>
      <c r="HE77" s="1206" t="s">
        <v>123</v>
      </c>
      <c r="HF77" s="1291"/>
      <c r="HG77" s="1291"/>
      <c r="HH77" s="1199" t="str">
        <f t="shared" si="15"/>
        <v/>
      </c>
      <c r="HI77" s="1208"/>
      <c r="HJ77" s="1208"/>
      <c r="HK77" s="1292"/>
      <c r="HL77" s="1288"/>
      <c r="HM77" s="1288"/>
      <c r="HN77" s="1289"/>
      <c r="HO77" s="1255"/>
      <c r="HP77" s="1204" t="s">
        <v>123</v>
      </c>
      <c r="HQ77" s="1204" t="s">
        <v>123</v>
      </c>
      <c r="HR77" s="1206" t="s">
        <v>123</v>
      </c>
      <c r="HS77" s="1206"/>
      <c r="HT77" s="1206" t="s">
        <v>123</v>
      </c>
      <c r="HU77" s="1291"/>
      <c r="HV77" s="1291"/>
      <c r="HW77" s="1227"/>
    </row>
    <row r="78" ht="15.75" customHeight="1">
      <c r="A78" s="1297"/>
      <c r="B78" s="1298"/>
      <c r="C78" s="1298"/>
      <c r="D78" s="1297"/>
      <c r="E78" s="1299"/>
      <c r="F78" s="1199" t="str">
        <f t="shared" si="1"/>
        <v/>
      </c>
      <c r="G78" s="1208"/>
      <c r="H78" s="1208"/>
      <c r="I78" s="1292"/>
      <c r="J78" s="1288"/>
      <c r="K78" s="1288"/>
      <c r="L78" s="1289"/>
      <c r="M78" s="1255"/>
      <c r="N78" s="1204" t="s">
        <v>123</v>
      </c>
      <c r="O78" s="1204" t="s">
        <v>123</v>
      </c>
      <c r="P78" s="1205" t="s">
        <v>123</v>
      </c>
      <c r="Q78" s="1291"/>
      <c r="R78" s="1291" t="s">
        <v>123</v>
      </c>
      <c r="S78" s="1291"/>
      <c r="T78" s="1291"/>
      <c r="U78" s="1199" t="str">
        <f t="shared" si="2"/>
        <v/>
      </c>
      <c r="V78" s="1208"/>
      <c r="W78" s="1208"/>
      <c r="X78" s="1292"/>
      <c r="Y78" s="1288"/>
      <c r="Z78" s="1288"/>
      <c r="AA78" s="1289"/>
      <c r="AB78" s="1255"/>
      <c r="AC78" s="1204" t="s">
        <v>123</v>
      </c>
      <c r="AD78" s="1204" t="s">
        <v>123</v>
      </c>
      <c r="AE78" s="1205" t="s">
        <v>123</v>
      </c>
      <c r="AF78" s="1206"/>
      <c r="AG78" s="1206" t="s">
        <v>123</v>
      </c>
      <c r="AH78" s="1291"/>
      <c r="AI78" s="1291"/>
      <c r="AJ78" s="1199" t="str">
        <f t="shared" si="3"/>
        <v/>
      </c>
      <c r="AK78" s="1208"/>
      <c r="AL78" s="1208"/>
      <c r="AM78" s="1292"/>
      <c r="AN78" s="1288"/>
      <c r="AO78" s="1288"/>
      <c r="AP78" s="1289"/>
      <c r="AQ78" s="1255"/>
      <c r="AR78" s="1204" t="s">
        <v>123</v>
      </c>
      <c r="AS78" s="1204" t="s">
        <v>123</v>
      </c>
      <c r="AT78" s="1206" t="s">
        <v>123</v>
      </c>
      <c r="AU78" s="1206"/>
      <c r="AV78" s="1206" t="s">
        <v>123</v>
      </c>
      <c r="AW78" s="1291"/>
      <c r="AX78" s="1291"/>
      <c r="AY78" s="1199" t="str">
        <f t="shared" si="4"/>
        <v/>
      </c>
      <c r="AZ78" s="1208"/>
      <c r="BA78" s="1208"/>
      <c r="BB78" s="1292"/>
      <c r="BC78" s="1288"/>
      <c r="BD78" s="1288"/>
      <c r="BE78" s="1289"/>
      <c r="BF78" s="1255"/>
      <c r="BG78" s="1204" t="s">
        <v>123</v>
      </c>
      <c r="BH78" s="1204" t="s">
        <v>123</v>
      </c>
      <c r="BI78" s="1206" t="s">
        <v>123</v>
      </c>
      <c r="BJ78" s="1206"/>
      <c r="BK78" s="1206" t="s">
        <v>123</v>
      </c>
      <c r="BL78" s="1291"/>
      <c r="BM78" s="1291"/>
      <c r="BN78" s="1199" t="str">
        <f t="shared" si="5"/>
        <v/>
      </c>
      <c r="BO78" s="1208"/>
      <c r="BP78" s="1208"/>
      <c r="BQ78" s="1292"/>
      <c r="BR78" s="1288"/>
      <c r="BS78" s="1288"/>
      <c r="BT78" s="1289"/>
      <c r="BU78" s="1255"/>
      <c r="BV78" s="1204" t="s">
        <v>123</v>
      </c>
      <c r="BW78" s="1204" t="s">
        <v>123</v>
      </c>
      <c r="BX78" s="1206" t="s">
        <v>123</v>
      </c>
      <c r="BY78" s="1206"/>
      <c r="BZ78" s="1206" t="s">
        <v>123</v>
      </c>
      <c r="CA78" s="1291"/>
      <c r="CB78" s="1291"/>
      <c r="CC78" s="1199" t="str">
        <f t="shared" si="6"/>
        <v/>
      </c>
      <c r="CD78" s="1208"/>
      <c r="CE78" s="1208"/>
      <c r="CF78" s="1292"/>
      <c r="CG78" s="1288"/>
      <c r="CH78" s="1288"/>
      <c r="CI78" s="1289"/>
      <c r="CJ78" s="1255"/>
      <c r="CK78" s="1204" t="s">
        <v>123</v>
      </c>
      <c r="CL78" s="1204" t="s">
        <v>123</v>
      </c>
      <c r="CM78" s="1206" t="s">
        <v>123</v>
      </c>
      <c r="CN78" s="1206"/>
      <c r="CO78" s="1206" t="s">
        <v>123</v>
      </c>
      <c r="CP78" s="1291"/>
      <c r="CQ78" s="1291"/>
      <c r="CR78" s="1199" t="str">
        <f t="shared" si="7"/>
        <v/>
      </c>
      <c r="CS78" s="1208"/>
      <c r="CT78" s="1208"/>
      <c r="CU78" s="1292"/>
      <c r="CV78" s="1288"/>
      <c r="CW78" s="1288"/>
      <c r="CX78" s="1289"/>
      <c r="CY78" s="1255"/>
      <c r="CZ78" s="1204" t="s">
        <v>123</v>
      </c>
      <c r="DA78" s="1204" t="s">
        <v>123</v>
      </c>
      <c r="DB78" s="1206" t="s">
        <v>123</v>
      </c>
      <c r="DC78" s="1206"/>
      <c r="DD78" s="1206" t="s">
        <v>123</v>
      </c>
      <c r="DE78" s="1291"/>
      <c r="DF78" s="1291"/>
      <c r="DG78" s="1199" t="str">
        <f t="shared" si="8"/>
        <v/>
      </c>
      <c r="DH78" s="1208"/>
      <c r="DI78" s="1208"/>
      <c r="DJ78" s="1302"/>
      <c r="DK78" s="1288"/>
      <c r="DL78" s="1288"/>
      <c r="DM78" s="1289"/>
      <c r="DN78" s="1255"/>
      <c r="DO78" s="1204" t="s">
        <v>123</v>
      </c>
      <c r="DP78" s="1204" t="s">
        <v>123</v>
      </c>
      <c r="DQ78" s="1206" t="s">
        <v>123</v>
      </c>
      <c r="DR78" s="1206"/>
      <c r="DS78" s="1206" t="s">
        <v>123</v>
      </c>
      <c r="DT78" s="1291"/>
      <c r="DU78" s="1291"/>
      <c r="DV78" s="1199" t="str">
        <f t="shared" si="9"/>
        <v/>
      </c>
      <c r="DW78" s="1208"/>
      <c r="DX78" s="1208"/>
      <c r="DY78" s="1292"/>
      <c r="DZ78" s="1288"/>
      <c r="EA78" s="1288"/>
      <c r="EB78" s="1289"/>
      <c r="EC78" s="1255"/>
      <c r="ED78" s="1204" t="s">
        <v>123</v>
      </c>
      <c r="EE78" s="1204" t="s">
        <v>123</v>
      </c>
      <c r="EF78" s="1206" t="s">
        <v>123</v>
      </c>
      <c r="EG78" s="1206"/>
      <c r="EH78" s="1206" t="s">
        <v>123</v>
      </c>
      <c r="EI78" s="1291"/>
      <c r="EJ78" s="1291"/>
      <c r="EK78" s="1199" t="str">
        <f t="shared" si="10"/>
        <v/>
      </c>
      <c r="EL78" s="1208"/>
      <c r="EM78" s="1208"/>
      <c r="EN78" s="1292"/>
      <c r="EO78" s="1288"/>
      <c r="EP78" s="1288"/>
      <c r="EQ78" s="1289"/>
      <c r="ER78" s="1255"/>
      <c r="ES78" s="1204" t="s">
        <v>123</v>
      </c>
      <c r="ET78" s="1204" t="s">
        <v>123</v>
      </c>
      <c r="EU78" s="1206" t="s">
        <v>123</v>
      </c>
      <c r="EV78" s="1206"/>
      <c r="EW78" s="1206" t="s">
        <v>123</v>
      </c>
      <c r="EX78" s="1291"/>
      <c r="EY78" s="1291"/>
      <c r="EZ78" s="1199" t="str">
        <f t="shared" si="11"/>
        <v/>
      </c>
      <c r="FA78" s="1208"/>
      <c r="FB78" s="1208"/>
      <c r="FC78" s="1292"/>
      <c r="FD78" s="1288"/>
      <c r="FE78" s="1288"/>
      <c r="FF78" s="1289"/>
      <c r="FG78" s="1255"/>
      <c r="FH78" s="1204" t="s">
        <v>123</v>
      </c>
      <c r="FI78" s="1204" t="s">
        <v>123</v>
      </c>
      <c r="FJ78" s="1206" t="s">
        <v>123</v>
      </c>
      <c r="FK78" s="1206"/>
      <c r="FL78" s="1206" t="s">
        <v>123</v>
      </c>
      <c r="FM78" s="1291"/>
      <c r="FN78" s="1291"/>
      <c r="FO78" s="1199" t="str">
        <f t="shared" si="12"/>
        <v/>
      </c>
      <c r="FP78" s="1208"/>
      <c r="FQ78" s="1208"/>
      <c r="FR78" s="1292"/>
      <c r="FS78" s="1288"/>
      <c r="FT78" s="1288"/>
      <c r="FU78" s="1289"/>
      <c r="FV78" s="1255"/>
      <c r="FW78" s="1204" t="s">
        <v>123</v>
      </c>
      <c r="FX78" s="1204" t="s">
        <v>123</v>
      </c>
      <c r="FY78" s="1206" t="s">
        <v>123</v>
      </c>
      <c r="FZ78" s="1206"/>
      <c r="GA78" s="1206" t="s">
        <v>123</v>
      </c>
      <c r="GB78" s="1291"/>
      <c r="GC78" s="1291"/>
      <c r="GD78" s="1199" t="str">
        <f t="shared" si="13"/>
        <v/>
      </c>
      <c r="GE78" s="1208"/>
      <c r="GF78" s="1208"/>
      <c r="GG78" s="1292"/>
      <c r="GH78" s="1288"/>
      <c r="GI78" s="1288"/>
      <c r="GJ78" s="1289"/>
      <c r="GK78" s="1255"/>
      <c r="GL78" s="1204" t="s">
        <v>123</v>
      </c>
      <c r="GM78" s="1204" t="s">
        <v>123</v>
      </c>
      <c r="GN78" s="1206" t="s">
        <v>123</v>
      </c>
      <c r="GO78" s="1206"/>
      <c r="GP78" s="1206" t="s">
        <v>123</v>
      </c>
      <c r="GQ78" s="1291"/>
      <c r="GR78" s="1291"/>
      <c r="GS78" s="1199" t="str">
        <f t="shared" si="14"/>
        <v/>
      </c>
      <c r="GT78" s="1208"/>
      <c r="GU78" s="1208"/>
      <c r="GV78" s="1292"/>
      <c r="GW78" s="1288"/>
      <c r="GX78" s="1288"/>
      <c r="GY78" s="1289"/>
      <c r="GZ78" s="1255"/>
      <c r="HA78" s="1204" t="s">
        <v>123</v>
      </c>
      <c r="HB78" s="1204" t="s">
        <v>123</v>
      </c>
      <c r="HC78" s="1206" t="s">
        <v>123</v>
      </c>
      <c r="HD78" s="1206"/>
      <c r="HE78" s="1206" t="s">
        <v>123</v>
      </c>
      <c r="HF78" s="1291"/>
      <c r="HG78" s="1291"/>
      <c r="HH78" s="1199" t="str">
        <f t="shared" si="15"/>
        <v/>
      </c>
      <c r="HI78" s="1208"/>
      <c r="HJ78" s="1208"/>
      <c r="HK78" s="1292"/>
      <c r="HL78" s="1288"/>
      <c r="HM78" s="1288"/>
      <c r="HN78" s="1289"/>
      <c r="HO78" s="1255"/>
      <c r="HP78" s="1204" t="s">
        <v>123</v>
      </c>
      <c r="HQ78" s="1204" t="s">
        <v>123</v>
      </c>
      <c r="HR78" s="1206" t="s">
        <v>123</v>
      </c>
      <c r="HS78" s="1206"/>
      <c r="HT78" s="1206" t="s">
        <v>123</v>
      </c>
      <c r="HU78" s="1291"/>
      <c r="HV78" s="1291"/>
      <c r="HW78" s="1227"/>
    </row>
    <row r="79" ht="15.75" customHeight="1">
      <c r="A79" s="1297"/>
      <c r="B79" s="1298"/>
      <c r="C79" s="1298"/>
      <c r="D79" s="1297"/>
      <c r="E79" s="1299"/>
      <c r="F79" s="1199" t="str">
        <f t="shared" si="1"/>
        <v/>
      </c>
      <c r="G79" s="1208"/>
      <c r="H79" s="1208"/>
      <c r="I79" s="1292"/>
      <c r="J79" s="1288"/>
      <c r="K79" s="1288"/>
      <c r="L79" s="1289"/>
      <c r="M79" s="1255"/>
      <c r="N79" s="1204" t="s">
        <v>123</v>
      </c>
      <c r="O79" s="1204" t="s">
        <v>123</v>
      </c>
      <c r="P79" s="1205" t="s">
        <v>123</v>
      </c>
      <c r="Q79" s="1291"/>
      <c r="R79" s="1291" t="s">
        <v>123</v>
      </c>
      <c r="S79" s="1291"/>
      <c r="T79" s="1291"/>
      <c r="U79" s="1199" t="str">
        <f t="shared" si="2"/>
        <v/>
      </c>
      <c r="V79" s="1208"/>
      <c r="W79" s="1208"/>
      <c r="X79" s="1292"/>
      <c r="Y79" s="1288"/>
      <c r="Z79" s="1288"/>
      <c r="AA79" s="1289"/>
      <c r="AB79" s="1255"/>
      <c r="AC79" s="1204" t="s">
        <v>123</v>
      </c>
      <c r="AD79" s="1204" t="s">
        <v>123</v>
      </c>
      <c r="AE79" s="1205" t="s">
        <v>123</v>
      </c>
      <c r="AF79" s="1206"/>
      <c r="AG79" s="1206" t="s">
        <v>123</v>
      </c>
      <c r="AH79" s="1291"/>
      <c r="AI79" s="1291"/>
      <c r="AJ79" s="1199" t="str">
        <f t="shared" si="3"/>
        <v/>
      </c>
      <c r="AK79" s="1208"/>
      <c r="AL79" s="1208"/>
      <c r="AM79" s="1292"/>
      <c r="AN79" s="1288"/>
      <c r="AO79" s="1288"/>
      <c r="AP79" s="1289"/>
      <c r="AQ79" s="1255"/>
      <c r="AR79" s="1204" t="s">
        <v>123</v>
      </c>
      <c r="AS79" s="1204" t="s">
        <v>123</v>
      </c>
      <c r="AT79" s="1206" t="s">
        <v>123</v>
      </c>
      <c r="AU79" s="1206"/>
      <c r="AV79" s="1206" t="s">
        <v>123</v>
      </c>
      <c r="AW79" s="1291"/>
      <c r="AX79" s="1291"/>
      <c r="AY79" s="1199" t="str">
        <f t="shared" si="4"/>
        <v/>
      </c>
      <c r="AZ79" s="1208"/>
      <c r="BA79" s="1208"/>
      <c r="BB79" s="1292"/>
      <c r="BC79" s="1288"/>
      <c r="BD79" s="1288"/>
      <c r="BE79" s="1289"/>
      <c r="BF79" s="1255"/>
      <c r="BG79" s="1204" t="s">
        <v>123</v>
      </c>
      <c r="BH79" s="1204" t="s">
        <v>123</v>
      </c>
      <c r="BI79" s="1206" t="s">
        <v>123</v>
      </c>
      <c r="BJ79" s="1206"/>
      <c r="BK79" s="1206" t="s">
        <v>123</v>
      </c>
      <c r="BL79" s="1291"/>
      <c r="BM79" s="1291"/>
      <c r="BN79" s="1199" t="str">
        <f t="shared" si="5"/>
        <v/>
      </c>
      <c r="BO79" s="1208"/>
      <c r="BP79" s="1208"/>
      <c r="BQ79" s="1292"/>
      <c r="BR79" s="1288"/>
      <c r="BS79" s="1288"/>
      <c r="BT79" s="1289"/>
      <c r="BU79" s="1255"/>
      <c r="BV79" s="1204" t="s">
        <v>123</v>
      </c>
      <c r="BW79" s="1204" t="s">
        <v>123</v>
      </c>
      <c r="BX79" s="1206" t="s">
        <v>123</v>
      </c>
      <c r="BY79" s="1206"/>
      <c r="BZ79" s="1206" t="s">
        <v>123</v>
      </c>
      <c r="CA79" s="1291"/>
      <c r="CB79" s="1291"/>
      <c r="CC79" s="1199" t="str">
        <f t="shared" si="6"/>
        <v/>
      </c>
      <c r="CD79" s="1208"/>
      <c r="CE79" s="1208"/>
      <c r="CF79" s="1292"/>
      <c r="CG79" s="1288"/>
      <c r="CH79" s="1288"/>
      <c r="CI79" s="1289"/>
      <c r="CJ79" s="1255"/>
      <c r="CK79" s="1204" t="s">
        <v>123</v>
      </c>
      <c r="CL79" s="1204" t="s">
        <v>123</v>
      </c>
      <c r="CM79" s="1206" t="s">
        <v>123</v>
      </c>
      <c r="CN79" s="1206"/>
      <c r="CO79" s="1206" t="s">
        <v>123</v>
      </c>
      <c r="CP79" s="1291"/>
      <c r="CQ79" s="1291"/>
      <c r="CR79" s="1199" t="str">
        <f t="shared" si="7"/>
        <v/>
      </c>
      <c r="CS79" s="1208"/>
      <c r="CT79" s="1208"/>
      <c r="CU79" s="1292"/>
      <c r="CV79" s="1288"/>
      <c r="CW79" s="1288"/>
      <c r="CX79" s="1289"/>
      <c r="CY79" s="1255"/>
      <c r="CZ79" s="1204" t="s">
        <v>123</v>
      </c>
      <c r="DA79" s="1204" t="s">
        <v>123</v>
      </c>
      <c r="DB79" s="1206" t="s">
        <v>123</v>
      </c>
      <c r="DC79" s="1206"/>
      <c r="DD79" s="1206" t="s">
        <v>123</v>
      </c>
      <c r="DE79" s="1291"/>
      <c r="DF79" s="1291"/>
      <c r="DG79" s="1199" t="str">
        <f t="shared" si="8"/>
        <v/>
      </c>
      <c r="DH79" s="1208"/>
      <c r="DI79" s="1208"/>
      <c r="DJ79" s="1302"/>
      <c r="DK79" s="1288"/>
      <c r="DL79" s="1288"/>
      <c r="DM79" s="1289"/>
      <c r="DN79" s="1255"/>
      <c r="DO79" s="1204" t="s">
        <v>123</v>
      </c>
      <c r="DP79" s="1204" t="s">
        <v>123</v>
      </c>
      <c r="DQ79" s="1206" t="s">
        <v>123</v>
      </c>
      <c r="DR79" s="1206"/>
      <c r="DS79" s="1206" t="s">
        <v>123</v>
      </c>
      <c r="DT79" s="1291"/>
      <c r="DU79" s="1291"/>
      <c r="DV79" s="1199" t="str">
        <f t="shared" si="9"/>
        <v/>
      </c>
      <c r="DW79" s="1208"/>
      <c r="DX79" s="1208"/>
      <c r="DY79" s="1292"/>
      <c r="DZ79" s="1288"/>
      <c r="EA79" s="1288"/>
      <c r="EB79" s="1289"/>
      <c r="EC79" s="1255"/>
      <c r="ED79" s="1204" t="s">
        <v>123</v>
      </c>
      <c r="EE79" s="1204" t="s">
        <v>123</v>
      </c>
      <c r="EF79" s="1206" t="s">
        <v>123</v>
      </c>
      <c r="EG79" s="1206"/>
      <c r="EH79" s="1206" t="s">
        <v>123</v>
      </c>
      <c r="EI79" s="1291"/>
      <c r="EJ79" s="1291"/>
      <c r="EK79" s="1199" t="str">
        <f t="shared" si="10"/>
        <v/>
      </c>
      <c r="EL79" s="1208"/>
      <c r="EM79" s="1208"/>
      <c r="EN79" s="1292"/>
      <c r="EO79" s="1288"/>
      <c r="EP79" s="1288"/>
      <c r="EQ79" s="1289"/>
      <c r="ER79" s="1255"/>
      <c r="ES79" s="1204" t="s">
        <v>123</v>
      </c>
      <c r="ET79" s="1204" t="s">
        <v>123</v>
      </c>
      <c r="EU79" s="1206" t="s">
        <v>123</v>
      </c>
      <c r="EV79" s="1206"/>
      <c r="EW79" s="1206" t="s">
        <v>123</v>
      </c>
      <c r="EX79" s="1291"/>
      <c r="EY79" s="1291"/>
      <c r="EZ79" s="1199" t="str">
        <f t="shared" si="11"/>
        <v/>
      </c>
      <c r="FA79" s="1208"/>
      <c r="FB79" s="1208"/>
      <c r="FC79" s="1292"/>
      <c r="FD79" s="1288"/>
      <c r="FE79" s="1288"/>
      <c r="FF79" s="1289"/>
      <c r="FG79" s="1255"/>
      <c r="FH79" s="1204" t="s">
        <v>123</v>
      </c>
      <c r="FI79" s="1204" t="s">
        <v>123</v>
      </c>
      <c r="FJ79" s="1206" t="s">
        <v>123</v>
      </c>
      <c r="FK79" s="1206"/>
      <c r="FL79" s="1206" t="s">
        <v>123</v>
      </c>
      <c r="FM79" s="1291"/>
      <c r="FN79" s="1291"/>
      <c r="FO79" s="1199" t="str">
        <f t="shared" si="12"/>
        <v/>
      </c>
      <c r="FP79" s="1208"/>
      <c r="FQ79" s="1208"/>
      <c r="FR79" s="1292"/>
      <c r="FS79" s="1288"/>
      <c r="FT79" s="1288"/>
      <c r="FU79" s="1289"/>
      <c r="FV79" s="1255"/>
      <c r="FW79" s="1204" t="s">
        <v>123</v>
      </c>
      <c r="FX79" s="1204" t="s">
        <v>123</v>
      </c>
      <c r="FY79" s="1206" t="s">
        <v>123</v>
      </c>
      <c r="FZ79" s="1206"/>
      <c r="GA79" s="1206" t="s">
        <v>123</v>
      </c>
      <c r="GB79" s="1291"/>
      <c r="GC79" s="1291"/>
      <c r="GD79" s="1199" t="str">
        <f t="shared" si="13"/>
        <v/>
      </c>
      <c r="GE79" s="1208"/>
      <c r="GF79" s="1208"/>
      <c r="GG79" s="1292"/>
      <c r="GH79" s="1288"/>
      <c r="GI79" s="1288"/>
      <c r="GJ79" s="1289"/>
      <c r="GK79" s="1255"/>
      <c r="GL79" s="1204" t="s">
        <v>123</v>
      </c>
      <c r="GM79" s="1204" t="s">
        <v>123</v>
      </c>
      <c r="GN79" s="1206" t="s">
        <v>123</v>
      </c>
      <c r="GO79" s="1206"/>
      <c r="GP79" s="1206" t="s">
        <v>123</v>
      </c>
      <c r="GQ79" s="1291"/>
      <c r="GR79" s="1291"/>
      <c r="GS79" s="1199" t="str">
        <f t="shared" si="14"/>
        <v/>
      </c>
      <c r="GT79" s="1208"/>
      <c r="GU79" s="1208"/>
      <c r="GV79" s="1292"/>
      <c r="GW79" s="1288"/>
      <c r="GX79" s="1288"/>
      <c r="GY79" s="1289"/>
      <c r="GZ79" s="1255"/>
      <c r="HA79" s="1204" t="s">
        <v>123</v>
      </c>
      <c r="HB79" s="1204" t="s">
        <v>123</v>
      </c>
      <c r="HC79" s="1206" t="s">
        <v>123</v>
      </c>
      <c r="HD79" s="1206"/>
      <c r="HE79" s="1206" t="s">
        <v>123</v>
      </c>
      <c r="HF79" s="1291"/>
      <c r="HG79" s="1291"/>
      <c r="HH79" s="1199" t="str">
        <f t="shared" si="15"/>
        <v/>
      </c>
      <c r="HI79" s="1208"/>
      <c r="HJ79" s="1208"/>
      <c r="HK79" s="1292"/>
      <c r="HL79" s="1288"/>
      <c r="HM79" s="1288"/>
      <c r="HN79" s="1289"/>
      <c r="HO79" s="1255"/>
      <c r="HP79" s="1204" t="s">
        <v>123</v>
      </c>
      <c r="HQ79" s="1204" t="s">
        <v>123</v>
      </c>
      <c r="HR79" s="1206" t="s">
        <v>123</v>
      </c>
      <c r="HS79" s="1206"/>
      <c r="HT79" s="1206" t="s">
        <v>123</v>
      </c>
      <c r="HU79" s="1291"/>
      <c r="HV79" s="1291"/>
      <c r="HW79" s="1227"/>
    </row>
    <row r="80" ht="15.75" customHeight="1">
      <c r="A80" s="1297"/>
      <c r="B80" s="1298"/>
      <c r="C80" s="1298"/>
      <c r="D80" s="1297"/>
      <c r="E80" s="1299"/>
      <c r="F80" s="1199" t="str">
        <f t="shared" si="1"/>
        <v/>
      </c>
      <c r="G80" s="1208"/>
      <c r="H80" s="1208"/>
      <c r="I80" s="1292"/>
      <c r="J80" s="1288"/>
      <c r="K80" s="1288"/>
      <c r="L80" s="1289"/>
      <c r="M80" s="1255"/>
      <c r="N80" s="1204" t="s">
        <v>123</v>
      </c>
      <c r="O80" s="1204" t="s">
        <v>123</v>
      </c>
      <c r="P80" s="1205" t="s">
        <v>123</v>
      </c>
      <c r="Q80" s="1291"/>
      <c r="R80" s="1291" t="s">
        <v>123</v>
      </c>
      <c r="S80" s="1291"/>
      <c r="T80" s="1291"/>
      <c r="U80" s="1199" t="str">
        <f t="shared" si="2"/>
        <v/>
      </c>
      <c r="V80" s="1208"/>
      <c r="W80" s="1208"/>
      <c r="X80" s="1292"/>
      <c r="Y80" s="1288"/>
      <c r="Z80" s="1288"/>
      <c r="AA80" s="1289"/>
      <c r="AB80" s="1255"/>
      <c r="AC80" s="1204" t="s">
        <v>123</v>
      </c>
      <c r="AD80" s="1204" t="s">
        <v>123</v>
      </c>
      <c r="AE80" s="1205" t="s">
        <v>123</v>
      </c>
      <c r="AF80" s="1206"/>
      <c r="AG80" s="1206" t="s">
        <v>123</v>
      </c>
      <c r="AH80" s="1291"/>
      <c r="AI80" s="1291"/>
      <c r="AJ80" s="1199" t="str">
        <f t="shared" si="3"/>
        <v/>
      </c>
      <c r="AK80" s="1208"/>
      <c r="AL80" s="1208"/>
      <c r="AM80" s="1292"/>
      <c r="AN80" s="1288"/>
      <c r="AO80" s="1288"/>
      <c r="AP80" s="1289"/>
      <c r="AQ80" s="1255"/>
      <c r="AR80" s="1204" t="s">
        <v>123</v>
      </c>
      <c r="AS80" s="1204" t="s">
        <v>123</v>
      </c>
      <c r="AT80" s="1206" t="s">
        <v>123</v>
      </c>
      <c r="AU80" s="1206"/>
      <c r="AV80" s="1206" t="s">
        <v>123</v>
      </c>
      <c r="AW80" s="1291"/>
      <c r="AX80" s="1291"/>
      <c r="AY80" s="1199" t="str">
        <f t="shared" si="4"/>
        <v/>
      </c>
      <c r="AZ80" s="1208"/>
      <c r="BA80" s="1208"/>
      <c r="BB80" s="1292"/>
      <c r="BC80" s="1288"/>
      <c r="BD80" s="1288"/>
      <c r="BE80" s="1289"/>
      <c r="BF80" s="1255"/>
      <c r="BG80" s="1204" t="s">
        <v>123</v>
      </c>
      <c r="BH80" s="1204" t="s">
        <v>123</v>
      </c>
      <c r="BI80" s="1206" t="s">
        <v>123</v>
      </c>
      <c r="BJ80" s="1206"/>
      <c r="BK80" s="1206" t="s">
        <v>123</v>
      </c>
      <c r="BL80" s="1291"/>
      <c r="BM80" s="1291"/>
      <c r="BN80" s="1199" t="str">
        <f t="shared" si="5"/>
        <v/>
      </c>
      <c r="BO80" s="1208"/>
      <c r="BP80" s="1208"/>
      <c r="BQ80" s="1292"/>
      <c r="BR80" s="1288"/>
      <c r="BS80" s="1288"/>
      <c r="BT80" s="1289"/>
      <c r="BU80" s="1255"/>
      <c r="BV80" s="1204" t="s">
        <v>123</v>
      </c>
      <c r="BW80" s="1204" t="s">
        <v>123</v>
      </c>
      <c r="BX80" s="1206" t="s">
        <v>123</v>
      </c>
      <c r="BY80" s="1206"/>
      <c r="BZ80" s="1206" t="s">
        <v>123</v>
      </c>
      <c r="CA80" s="1291"/>
      <c r="CB80" s="1291"/>
      <c r="CC80" s="1199" t="str">
        <f t="shared" si="6"/>
        <v/>
      </c>
      <c r="CD80" s="1208"/>
      <c r="CE80" s="1208"/>
      <c r="CF80" s="1292"/>
      <c r="CG80" s="1288"/>
      <c r="CH80" s="1288"/>
      <c r="CI80" s="1289"/>
      <c r="CJ80" s="1255"/>
      <c r="CK80" s="1204" t="s">
        <v>123</v>
      </c>
      <c r="CL80" s="1204" t="s">
        <v>123</v>
      </c>
      <c r="CM80" s="1206" t="s">
        <v>123</v>
      </c>
      <c r="CN80" s="1206"/>
      <c r="CO80" s="1206" t="s">
        <v>123</v>
      </c>
      <c r="CP80" s="1291"/>
      <c r="CQ80" s="1291"/>
      <c r="CR80" s="1199" t="str">
        <f t="shared" si="7"/>
        <v/>
      </c>
      <c r="CS80" s="1208"/>
      <c r="CT80" s="1208"/>
      <c r="CU80" s="1292"/>
      <c r="CV80" s="1288"/>
      <c r="CW80" s="1288"/>
      <c r="CX80" s="1289"/>
      <c r="CY80" s="1255"/>
      <c r="CZ80" s="1204" t="s">
        <v>123</v>
      </c>
      <c r="DA80" s="1204" t="s">
        <v>123</v>
      </c>
      <c r="DB80" s="1206" t="s">
        <v>123</v>
      </c>
      <c r="DC80" s="1206"/>
      <c r="DD80" s="1206" t="s">
        <v>123</v>
      </c>
      <c r="DE80" s="1291"/>
      <c r="DF80" s="1291"/>
      <c r="DG80" s="1199" t="str">
        <f t="shared" si="8"/>
        <v/>
      </c>
      <c r="DH80" s="1208"/>
      <c r="DI80" s="1208"/>
      <c r="DJ80" s="1302"/>
      <c r="DK80" s="1288"/>
      <c r="DL80" s="1288"/>
      <c r="DM80" s="1289"/>
      <c r="DN80" s="1255"/>
      <c r="DO80" s="1204" t="s">
        <v>123</v>
      </c>
      <c r="DP80" s="1204" t="s">
        <v>123</v>
      </c>
      <c r="DQ80" s="1206" t="s">
        <v>123</v>
      </c>
      <c r="DR80" s="1206"/>
      <c r="DS80" s="1206" t="s">
        <v>123</v>
      </c>
      <c r="DT80" s="1291"/>
      <c r="DU80" s="1291"/>
      <c r="DV80" s="1199" t="str">
        <f t="shared" si="9"/>
        <v/>
      </c>
      <c r="DW80" s="1208"/>
      <c r="DX80" s="1208"/>
      <c r="DY80" s="1292"/>
      <c r="DZ80" s="1288"/>
      <c r="EA80" s="1288"/>
      <c r="EB80" s="1289"/>
      <c r="EC80" s="1255"/>
      <c r="ED80" s="1204" t="s">
        <v>123</v>
      </c>
      <c r="EE80" s="1204" t="s">
        <v>123</v>
      </c>
      <c r="EF80" s="1206" t="s">
        <v>123</v>
      </c>
      <c r="EG80" s="1206"/>
      <c r="EH80" s="1206" t="s">
        <v>123</v>
      </c>
      <c r="EI80" s="1291"/>
      <c r="EJ80" s="1291"/>
      <c r="EK80" s="1199" t="str">
        <f t="shared" si="10"/>
        <v/>
      </c>
      <c r="EL80" s="1208"/>
      <c r="EM80" s="1208"/>
      <c r="EN80" s="1292"/>
      <c r="EO80" s="1288"/>
      <c r="EP80" s="1288"/>
      <c r="EQ80" s="1289"/>
      <c r="ER80" s="1255"/>
      <c r="ES80" s="1204" t="s">
        <v>123</v>
      </c>
      <c r="ET80" s="1204" t="s">
        <v>123</v>
      </c>
      <c r="EU80" s="1206" t="s">
        <v>123</v>
      </c>
      <c r="EV80" s="1206"/>
      <c r="EW80" s="1206" t="s">
        <v>123</v>
      </c>
      <c r="EX80" s="1291"/>
      <c r="EY80" s="1291"/>
      <c r="EZ80" s="1199" t="str">
        <f t="shared" si="11"/>
        <v/>
      </c>
      <c r="FA80" s="1208"/>
      <c r="FB80" s="1208"/>
      <c r="FC80" s="1292"/>
      <c r="FD80" s="1288"/>
      <c r="FE80" s="1288"/>
      <c r="FF80" s="1289"/>
      <c r="FG80" s="1255"/>
      <c r="FH80" s="1204" t="s">
        <v>123</v>
      </c>
      <c r="FI80" s="1204" t="s">
        <v>123</v>
      </c>
      <c r="FJ80" s="1206" t="s">
        <v>123</v>
      </c>
      <c r="FK80" s="1206"/>
      <c r="FL80" s="1206" t="s">
        <v>123</v>
      </c>
      <c r="FM80" s="1291"/>
      <c r="FN80" s="1291"/>
      <c r="FO80" s="1199" t="str">
        <f t="shared" si="12"/>
        <v/>
      </c>
      <c r="FP80" s="1208"/>
      <c r="FQ80" s="1208"/>
      <c r="FR80" s="1292"/>
      <c r="FS80" s="1288"/>
      <c r="FT80" s="1288"/>
      <c r="FU80" s="1289"/>
      <c r="FV80" s="1255"/>
      <c r="FW80" s="1204" t="s">
        <v>123</v>
      </c>
      <c r="FX80" s="1204" t="s">
        <v>123</v>
      </c>
      <c r="FY80" s="1206" t="s">
        <v>123</v>
      </c>
      <c r="FZ80" s="1206"/>
      <c r="GA80" s="1206" t="s">
        <v>123</v>
      </c>
      <c r="GB80" s="1291"/>
      <c r="GC80" s="1291"/>
      <c r="GD80" s="1199" t="str">
        <f t="shared" si="13"/>
        <v/>
      </c>
      <c r="GE80" s="1208"/>
      <c r="GF80" s="1208"/>
      <c r="GG80" s="1292"/>
      <c r="GH80" s="1288"/>
      <c r="GI80" s="1288"/>
      <c r="GJ80" s="1289"/>
      <c r="GK80" s="1255"/>
      <c r="GL80" s="1204" t="s">
        <v>123</v>
      </c>
      <c r="GM80" s="1204" t="s">
        <v>123</v>
      </c>
      <c r="GN80" s="1206" t="s">
        <v>123</v>
      </c>
      <c r="GO80" s="1206"/>
      <c r="GP80" s="1206" t="s">
        <v>123</v>
      </c>
      <c r="GQ80" s="1291"/>
      <c r="GR80" s="1291"/>
      <c r="GS80" s="1199" t="str">
        <f t="shared" si="14"/>
        <v/>
      </c>
      <c r="GT80" s="1208"/>
      <c r="GU80" s="1208"/>
      <c r="GV80" s="1292"/>
      <c r="GW80" s="1288"/>
      <c r="GX80" s="1288"/>
      <c r="GY80" s="1289"/>
      <c r="GZ80" s="1255"/>
      <c r="HA80" s="1204" t="s">
        <v>123</v>
      </c>
      <c r="HB80" s="1204" t="s">
        <v>123</v>
      </c>
      <c r="HC80" s="1206" t="s">
        <v>123</v>
      </c>
      <c r="HD80" s="1206"/>
      <c r="HE80" s="1206" t="s">
        <v>123</v>
      </c>
      <c r="HF80" s="1291"/>
      <c r="HG80" s="1291"/>
      <c r="HH80" s="1199" t="str">
        <f t="shared" si="15"/>
        <v/>
      </c>
      <c r="HI80" s="1208"/>
      <c r="HJ80" s="1208"/>
      <c r="HK80" s="1292"/>
      <c r="HL80" s="1288"/>
      <c r="HM80" s="1288"/>
      <c r="HN80" s="1289"/>
      <c r="HO80" s="1255"/>
      <c r="HP80" s="1204" t="s">
        <v>123</v>
      </c>
      <c r="HQ80" s="1204" t="s">
        <v>123</v>
      </c>
      <c r="HR80" s="1206" t="s">
        <v>123</v>
      </c>
      <c r="HS80" s="1206"/>
      <c r="HT80" s="1206" t="s">
        <v>123</v>
      </c>
      <c r="HU80" s="1291"/>
      <c r="HV80" s="1291"/>
      <c r="HW80" s="1227"/>
    </row>
    <row r="81" ht="15.75" customHeight="1">
      <c r="A81" s="1297"/>
      <c r="B81" s="1298"/>
      <c r="C81" s="1298"/>
      <c r="D81" s="1297"/>
      <c r="E81" s="1299"/>
      <c r="F81" s="1199" t="str">
        <f t="shared" si="1"/>
        <v/>
      </c>
      <c r="G81" s="1208"/>
      <c r="H81" s="1208"/>
      <c r="I81" s="1292"/>
      <c r="J81" s="1288"/>
      <c r="K81" s="1288"/>
      <c r="L81" s="1289"/>
      <c r="M81" s="1255"/>
      <c r="N81" s="1204" t="s">
        <v>123</v>
      </c>
      <c r="O81" s="1204" t="s">
        <v>123</v>
      </c>
      <c r="P81" s="1205" t="s">
        <v>123</v>
      </c>
      <c r="Q81" s="1291"/>
      <c r="R81" s="1291" t="s">
        <v>123</v>
      </c>
      <c r="S81" s="1291"/>
      <c r="T81" s="1291"/>
      <c r="U81" s="1199" t="str">
        <f t="shared" si="2"/>
        <v/>
      </c>
      <c r="V81" s="1208"/>
      <c r="W81" s="1208"/>
      <c r="X81" s="1292"/>
      <c r="Y81" s="1288"/>
      <c r="Z81" s="1288"/>
      <c r="AA81" s="1289"/>
      <c r="AB81" s="1255"/>
      <c r="AC81" s="1204" t="s">
        <v>123</v>
      </c>
      <c r="AD81" s="1204" t="s">
        <v>123</v>
      </c>
      <c r="AE81" s="1205" t="s">
        <v>123</v>
      </c>
      <c r="AF81" s="1206"/>
      <c r="AG81" s="1206" t="s">
        <v>123</v>
      </c>
      <c r="AH81" s="1291"/>
      <c r="AI81" s="1291"/>
      <c r="AJ81" s="1199" t="str">
        <f t="shared" si="3"/>
        <v/>
      </c>
      <c r="AK81" s="1208"/>
      <c r="AL81" s="1208"/>
      <c r="AM81" s="1292"/>
      <c r="AN81" s="1288"/>
      <c r="AO81" s="1288"/>
      <c r="AP81" s="1289"/>
      <c r="AQ81" s="1255"/>
      <c r="AR81" s="1204" t="s">
        <v>123</v>
      </c>
      <c r="AS81" s="1204" t="s">
        <v>123</v>
      </c>
      <c r="AT81" s="1206" t="s">
        <v>123</v>
      </c>
      <c r="AU81" s="1206"/>
      <c r="AV81" s="1206" t="s">
        <v>123</v>
      </c>
      <c r="AW81" s="1291"/>
      <c r="AX81" s="1291"/>
      <c r="AY81" s="1199" t="str">
        <f t="shared" si="4"/>
        <v/>
      </c>
      <c r="AZ81" s="1208"/>
      <c r="BA81" s="1208"/>
      <c r="BB81" s="1292"/>
      <c r="BC81" s="1288"/>
      <c r="BD81" s="1288"/>
      <c r="BE81" s="1289"/>
      <c r="BF81" s="1255"/>
      <c r="BG81" s="1204" t="s">
        <v>123</v>
      </c>
      <c r="BH81" s="1204" t="s">
        <v>123</v>
      </c>
      <c r="BI81" s="1206" t="s">
        <v>123</v>
      </c>
      <c r="BJ81" s="1206"/>
      <c r="BK81" s="1206" t="s">
        <v>123</v>
      </c>
      <c r="BL81" s="1291"/>
      <c r="BM81" s="1291"/>
      <c r="BN81" s="1199" t="str">
        <f t="shared" si="5"/>
        <v/>
      </c>
      <c r="BO81" s="1208"/>
      <c r="BP81" s="1208"/>
      <c r="BQ81" s="1292"/>
      <c r="BR81" s="1288"/>
      <c r="BS81" s="1288"/>
      <c r="BT81" s="1289"/>
      <c r="BU81" s="1255"/>
      <c r="BV81" s="1204" t="s">
        <v>123</v>
      </c>
      <c r="BW81" s="1204" t="s">
        <v>123</v>
      </c>
      <c r="BX81" s="1206" t="s">
        <v>123</v>
      </c>
      <c r="BY81" s="1206"/>
      <c r="BZ81" s="1206" t="s">
        <v>123</v>
      </c>
      <c r="CA81" s="1291"/>
      <c r="CB81" s="1291"/>
      <c r="CC81" s="1199" t="str">
        <f t="shared" si="6"/>
        <v/>
      </c>
      <c r="CD81" s="1208"/>
      <c r="CE81" s="1208"/>
      <c r="CF81" s="1292"/>
      <c r="CG81" s="1288"/>
      <c r="CH81" s="1288"/>
      <c r="CI81" s="1289"/>
      <c r="CJ81" s="1255"/>
      <c r="CK81" s="1204" t="s">
        <v>123</v>
      </c>
      <c r="CL81" s="1204" t="s">
        <v>123</v>
      </c>
      <c r="CM81" s="1206" t="s">
        <v>123</v>
      </c>
      <c r="CN81" s="1206"/>
      <c r="CO81" s="1206" t="s">
        <v>123</v>
      </c>
      <c r="CP81" s="1291"/>
      <c r="CQ81" s="1291"/>
      <c r="CR81" s="1199" t="str">
        <f t="shared" si="7"/>
        <v/>
      </c>
      <c r="CS81" s="1208"/>
      <c r="CT81" s="1208"/>
      <c r="CU81" s="1292"/>
      <c r="CV81" s="1288"/>
      <c r="CW81" s="1288"/>
      <c r="CX81" s="1289"/>
      <c r="CY81" s="1255"/>
      <c r="CZ81" s="1204" t="s">
        <v>123</v>
      </c>
      <c r="DA81" s="1204" t="s">
        <v>123</v>
      </c>
      <c r="DB81" s="1206" t="s">
        <v>123</v>
      </c>
      <c r="DC81" s="1206"/>
      <c r="DD81" s="1206" t="s">
        <v>123</v>
      </c>
      <c r="DE81" s="1291"/>
      <c r="DF81" s="1291"/>
      <c r="DG81" s="1199" t="str">
        <f t="shared" si="8"/>
        <v/>
      </c>
      <c r="DH81" s="1208"/>
      <c r="DI81" s="1208"/>
      <c r="DJ81" s="1302"/>
      <c r="DK81" s="1288"/>
      <c r="DL81" s="1288"/>
      <c r="DM81" s="1289"/>
      <c r="DN81" s="1255"/>
      <c r="DO81" s="1204" t="s">
        <v>123</v>
      </c>
      <c r="DP81" s="1204" t="s">
        <v>123</v>
      </c>
      <c r="DQ81" s="1206" t="s">
        <v>123</v>
      </c>
      <c r="DR81" s="1206"/>
      <c r="DS81" s="1206" t="s">
        <v>123</v>
      </c>
      <c r="DT81" s="1291"/>
      <c r="DU81" s="1291"/>
      <c r="DV81" s="1199" t="str">
        <f t="shared" si="9"/>
        <v/>
      </c>
      <c r="DW81" s="1208"/>
      <c r="DX81" s="1208"/>
      <c r="DY81" s="1292"/>
      <c r="DZ81" s="1288"/>
      <c r="EA81" s="1288"/>
      <c r="EB81" s="1289"/>
      <c r="EC81" s="1255"/>
      <c r="ED81" s="1204" t="s">
        <v>123</v>
      </c>
      <c r="EE81" s="1204" t="s">
        <v>123</v>
      </c>
      <c r="EF81" s="1206" t="s">
        <v>123</v>
      </c>
      <c r="EG81" s="1206"/>
      <c r="EH81" s="1206" t="s">
        <v>123</v>
      </c>
      <c r="EI81" s="1291"/>
      <c r="EJ81" s="1291"/>
      <c r="EK81" s="1199" t="str">
        <f t="shared" si="10"/>
        <v/>
      </c>
      <c r="EL81" s="1208"/>
      <c r="EM81" s="1208"/>
      <c r="EN81" s="1292"/>
      <c r="EO81" s="1288"/>
      <c r="EP81" s="1288"/>
      <c r="EQ81" s="1289"/>
      <c r="ER81" s="1255"/>
      <c r="ES81" s="1204" t="s">
        <v>123</v>
      </c>
      <c r="ET81" s="1204" t="s">
        <v>123</v>
      </c>
      <c r="EU81" s="1206" t="s">
        <v>123</v>
      </c>
      <c r="EV81" s="1206"/>
      <c r="EW81" s="1206" t="s">
        <v>123</v>
      </c>
      <c r="EX81" s="1291"/>
      <c r="EY81" s="1291"/>
      <c r="EZ81" s="1199" t="str">
        <f t="shared" si="11"/>
        <v/>
      </c>
      <c r="FA81" s="1208"/>
      <c r="FB81" s="1208"/>
      <c r="FC81" s="1292"/>
      <c r="FD81" s="1288"/>
      <c r="FE81" s="1288"/>
      <c r="FF81" s="1289"/>
      <c r="FG81" s="1255"/>
      <c r="FH81" s="1204" t="s">
        <v>123</v>
      </c>
      <c r="FI81" s="1204" t="s">
        <v>123</v>
      </c>
      <c r="FJ81" s="1206" t="s">
        <v>123</v>
      </c>
      <c r="FK81" s="1206"/>
      <c r="FL81" s="1206" t="s">
        <v>123</v>
      </c>
      <c r="FM81" s="1291"/>
      <c r="FN81" s="1291"/>
      <c r="FO81" s="1199" t="str">
        <f t="shared" si="12"/>
        <v/>
      </c>
      <c r="FP81" s="1208"/>
      <c r="FQ81" s="1208"/>
      <c r="FR81" s="1292"/>
      <c r="FS81" s="1288"/>
      <c r="FT81" s="1288"/>
      <c r="FU81" s="1289"/>
      <c r="FV81" s="1255"/>
      <c r="FW81" s="1204" t="s">
        <v>123</v>
      </c>
      <c r="FX81" s="1204" t="s">
        <v>123</v>
      </c>
      <c r="FY81" s="1206" t="s">
        <v>123</v>
      </c>
      <c r="FZ81" s="1206"/>
      <c r="GA81" s="1206" t="s">
        <v>123</v>
      </c>
      <c r="GB81" s="1291"/>
      <c r="GC81" s="1291"/>
      <c r="GD81" s="1199" t="str">
        <f t="shared" si="13"/>
        <v/>
      </c>
      <c r="GE81" s="1208"/>
      <c r="GF81" s="1208"/>
      <c r="GG81" s="1292"/>
      <c r="GH81" s="1288"/>
      <c r="GI81" s="1288"/>
      <c r="GJ81" s="1289"/>
      <c r="GK81" s="1255"/>
      <c r="GL81" s="1204" t="s">
        <v>123</v>
      </c>
      <c r="GM81" s="1204" t="s">
        <v>123</v>
      </c>
      <c r="GN81" s="1206" t="s">
        <v>123</v>
      </c>
      <c r="GO81" s="1206"/>
      <c r="GP81" s="1206" t="s">
        <v>123</v>
      </c>
      <c r="GQ81" s="1291"/>
      <c r="GR81" s="1291"/>
      <c r="GS81" s="1199" t="str">
        <f t="shared" si="14"/>
        <v/>
      </c>
      <c r="GT81" s="1208"/>
      <c r="GU81" s="1208"/>
      <c r="GV81" s="1292"/>
      <c r="GW81" s="1288"/>
      <c r="GX81" s="1288"/>
      <c r="GY81" s="1289"/>
      <c r="GZ81" s="1255"/>
      <c r="HA81" s="1204" t="s">
        <v>123</v>
      </c>
      <c r="HB81" s="1204" t="s">
        <v>123</v>
      </c>
      <c r="HC81" s="1206" t="s">
        <v>123</v>
      </c>
      <c r="HD81" s="1206"/>
      <c r="HE81" s="1206" t="s">
        <v>123</v>
      </c>
      <c r="HF81" s="1291"/>
      <c r="HG81" s="1291"/>
      <c r="HH81" s="1199" t="str">
        <f t="shared" si="15"/>
        <v/>
      </c>
      <c r="HI81" s="1208"/>
      <c r="HJ81" s="1208"/>
      <c r="HK81" s="1292"/>
      <c r="HL81" s="1288"/>
      <c r="HM81" s="1288"/>
      <c r="HN81" s="1289"/>
      <c r="HO81" s="1255"/>
      <c r="HP81" s="1204" t="s">
        <v>123</v>
      </c>
      <c r="HQ81" s="1204" t="s">
        <v>123</v>
      </c>
      <c r="HR81" s="1206" t="s">
        <v>123</v>
      </c>
      <c r="HS81" s="1206"/>
      <c r="HT81" s="1206" t="s">
        <v>123</v>
      </c>
      <c r="HU81" s="1291"/>
      <c r="HV81" s="1291"/>
      <c r="HW81" s="1227"/>
    </row>
    <row r="82" ht="15.75" customHeight="1">
      <c r="A82" s="1297"/>
      <c r="B82" s="1298"/>
      <c r="C82" s="1298"/>
      <c r="D82" s="1297"/>
      <c r="E82" s="1299"/>
      <c r="F82" s="1199" t="str">
        <f t="shared" si="1"/>
        <v/>
      </c>
      <c r="G82" s="1208"/>
      <c r="H82" s="1208"/>
      <c r="I82" s="1292"/>
      <c r="J82" s="1288"/>
      <c r="K82" s="1288"/>
      <c r="L82" s="1289"/>
      <c r="M82" s="1255"/>
      <c r="N82" s="1204" t="s">
        <v>123</v>
      </c>
      <c r="O82" s="1204" t="s">
        <v>123</v>
      </c>
      <c r="P82" s="1205" t="s">
        <v>123</v>
      </c>
      <c r="Q82" s="1291"/>
      <c r="R82" s="1291" t="s">
        <v>123</v>
      </c>
      <c r="S82" s="1291"/>
      <c r="T82" s="1291"/>
      <c r="U82" s="1199" t="str">
        <f t="shared" si="2"/>
        <v/>
      </c>
      <c r="V82" s="1208"/>
      <c r="W82" s="1208"/>
      <c r="X82" s="1292"/>
      <c r="Y82" s="1288"/>
      <c r="Z82" s="1288"/>
      <c r="AA82" s="1289"/>
      <c r="AB82" s="1255"/>
      <c r="AC82" s="1204" t="s">
        <v>123</v>
      </c>
      <c r="AD82" s="1204" t="s">
        <v>123</v>
      </c>
      <c r="AE82" s="1205" t="s">
        <v>123</v>
      </c>
      <c r="AF82" s="1206"/>
      <c r="AG82" s="1206" t="s">
        <v>123</v>
      </c>
      <c r="AH82" s="1291"/>
      <c r="AI82" s="1291"/>
      <c r="AJ82" s="1199" t="str">
        <f t="shared" si="3"/>
        <v/>
      </c>
      <c r="AK82" s="1208"/>
      <c r="AL82" s="1208"/>
      <c r="AM82" s="1292"/>
      <c r="AN82" s="1288"/>
      <c r="AO82" s="1288"/>
      <c r="AP82" s="1289"/>
      <c r="AQ82" s="1255"/>
      <c r="AR82" s="1204" t="s">
        <v>123</v>
      </c>
      <c r="AS82" s="1204" t="s">
        <v>123</v>
      </c>
      <c r="AT82" s="1206" t="s">
        <v>123</v>
      </c>
      <c r="AU82" s="1206"/>
      <c r="AV82" s="1206" t="s">
        <v>123</v>
      </c>
      <c r="AW82" s="1291"/>
      <c r="AX82" s="1291"/>
      <c r="AY82" s="1199" t="str">
        <f t="shared" si="4"/>
        <v/>
      </c>
      <c r="AZ82" s="1208"/>
      <c r="BA82" s="1208"/>
      <c r="BB82" s="1292"/>
      <c r="BC82" s="1288"/>
      <c r="BD82" s="1288"/>
      <c r="BE82" s="1289"/>
      <c r="BF82" s="1255"/>
      <c r="BG82" s="1204" t="s">
        <v>123</v>
      </c>
      <c r="BH82" s="1204" t="s">
        <v>123</v>
      </c>
      <c r="BI82" s="1206" t="s">
        <v>123</v>
      </c>
      <c r="BJ82" s="1206"/>
      <c r="BK82" s="1206" t="s">
        <v>123</v>
      </c>
      <c r="BL82" s="1291"/>
      <c r="BM82" s="1291"/>
      <c r="BN82" s="1199" t="str">
        <f t="shared" si="5"/>
        <v/>
      </c>
      <c r="BO82" s="1208"/>
      <c r="BP82" s="1208"/>
      <c r="BQ82" s="1292"/>
      <c r="BR82" s="1288"/>
      <c r="BS82" s="1288"/>
      <c r="BT82" s="1289"/>
      <c r="BU82" s="1255"/>
      <c r="BV82" s="1204" t="s">
        <v>123</v>
      </c>
      <c r="BW82" s="1204" t="s">
        <v>123</v>
      </c>
      <c r="BX82" s="1206" t="s">
        <v>123</v>
      </c>
      <c r="BY82" s="1206"/>
      <c r="BZ82" s="1206" t="s">
        <v>123</v>
      </c>
      <c r="CA82" s="1291"/>
      <c r="CB82" s="1291"/>
      <c r="CC82" s="1199" t="str">
        <f t="shared" si="6"/>
        <v/>
      </c>
      <c r="CD82" s="1208"/>
      <c r="CE82" s="1208"/>
      <c r="CF82" s="1292"/>
      <c r="CG82" s="1288"/>
      <c r="CH82" s="1288"/>
      <c r="CI82" s="1289"/>
      <c r="CJ82" s="1255"/>
      <c r="CK82" s="1204" t="s">
        <v>123</v>
      </c>
      <c r="CL82" s="1204" t="s">
        <v>123</v>
      </c>
      <c r="CM82" s="1206" t="s">
        <v>123</v>
      </c>
      <c r="CN82" s="1206"/>
      <c r="CO82" s="1206" t="s">
        <v>123</v>
      </c>
      <c r="CP82" s="1291"/>
      <c r="CQ82" s="1291"/>
      <c r="CR82" s="1199" t="str">
        <f t="shared" si="7"/>
        <v/>
      </c>
      <c r="CS82" s="1208"/>
      <c r="CT82" s="1208"/>
      <c r="CU82" s="1292"/>
      <c r="CV82" s="1288"/>
      <c r="CW82" s="1288"/>
      <c r="CX82" s="1289"/>
      <c r="CY82" s="1255"/>
      <c r="CZ82" s="1204" t="s">
        <v>123</v>
      </c>
      <c r="DA82" s="1204" t="s">
        <v>123</v>
      </c>
      <c r="DB82" s="1206" t="s">
        <v>123</v>
      </c>
      <c r="DC82" s="1206"/>
      <c r="DD82" s="1206" t="s">
        <v>123</v>
      </c>
      <c r="DE82" s="1291"/>
      <c r="DF82" s="1291"/>
      <c r="DG82" s="1199" t="str">
        <f t="shared" si="8"/>
        <v/>
      </c>
      <c r="DH82" s="1208"/>
      <c r="DI82" s="1208"/>
      <c r="DJ82" s="1302"/>
      <c r="DK82" s="1288"/>
      <c r="DL82" s="1288"/>
      <c r="DM82" s="1289"/>
      <c r="DN82" s="1255"/>
      <c r="DO82" s="1204" t="s">
        <v>123</v>
      </c>
      <c r="DP82" s="1204" t="s">
        <v>123</v>
      </c>
      <c r="DQ82" s="1206" t="s">
        <v>123</v>
      </c>
      <c r="DR82" s="1206"/>
      <c r="DS82" s="1206" t="s">
        <v>123</v>
      </c>
      <c r="DT82" s="1291"/>
      <c r="DU82" s="1291"/>
      <c r="DV82" s="1199" t="str">
        <f t="shared" si="9"/>
        <v/>
      </c>
      <c r="DW82" s="1208"/>
      <c r="DX82" s="1208"/>
      <c r="DY82" s="1292"/>
      <c r="DZ82" s="1288"/>
      <c r="EA82" s="1288"/>
      <c r="EB82" s="1289"/>
      <c r="EC82" s="1255"/>
      <c r="ED82" s="1204" t="s">
        <v>123</v>
      </c>
      <c r="EE82" s="1204" t="s">
        <v>123</v>
      </c>
      <c r="EF82" s="1206" t="s">
        <v>123</v>
      </c>
      <c r="EG82" s="1206"/>
      <c r="EH82" s="1206" t="s">
        <v>123</v>
      </c>
      <c r="EI82" s="1291"/>
      <c r="EJ82" s="1291"/>
      <c r="EK82" s="1199" t="str">
        <f t="shared" si="10"/>
        <v/>
      </c>
      <c r="EL82" s="1208"/>
      <c r="EM82" s="1208"/>
      <c r="EN82" s="1292"/>
      <c r="EO82" s="1288"/>
      <c r="EP82" s="1288"/>
      <c r="EQ82" s="1289"/>
      <c r="ER82" s="1255"/>
      <c r="ES82" s="1204" t="s">
        <v>123</v>
      </c>
      <c r="ET82" s="1204" t="s">
        <v>123</v>
      </c>
      <c r="EU82" s="1206" t="s">
        <v>123</v>
      </c>
      <c r="EV82" s="1206"/>
      <c r="EW82" s="1206" t="s">
        <v>123</v>
      </c>
      <c r="EX82" s="1291"/>
      <c r="EY82" s="1291"/>
      <c r="EZ82" s="1199" t="str">
        <f t="shared" si="11"/>
        <v/>
      </c>
      <c r="FA82" s="1208"/>
      <c r="FB82" s="1208"/>
      <c r="FC82" s="1292"/>
      <c r="FD82" s="1288"/>
      <c r="FE82" s="1288"/>
      <c r="FF82" s="1289"/>
      <c r="FG82" s="1255"/>
      <c r="FH82" s="1204" t="s">
        <v>123</v>
      </c>
      <c r="FI82" s="1204" t="s">
        <v>123</v>
      </c>
      <c r="FJ82" s="1206" t="s">
        <v>123</v>
      </c>
      <c r="FK82" s="1206"/>
      <c r="FL82" s="1206" t="s">
        <v>123</v>
      </c>
      <c r="FM82" s="1291"/>
      <c r="FN82" s="1291"/>
      <c r="FO82" s="1199" t="str">
        <f t="shared" si="12"/>
        <v/>
      </c>
      <c r="FP82" s="1208"/>
      <c r="FQ82" s="1208"/>
      <c r="FR82" s="1292"/>
      <c r="FS82" s="1288"/>
      <c r="FT82" s="1288"/>
      <c r="FU82" s="1289"/>
      <c r="FV82" s="1255"/>
      <c r="FW82" s="1204" t="s">
        <v>123</v>
      </c>
      <c r="FX82" s="1204" t="s">
        <v>123</v>
      </c>
      <c r="FY82" s="1206" t="s">
        <v>123</v>
      </c>
      <c r="FZ82" s="1206"/>
      <c r="GA82" s="1206" t="s">
        <v>123</v>
      </c>
      <c r="GB82" s="1291"/>
      <c r="GC82" s="1291"/>
      <c r="GD82" s="1199" t="str">
        <f t="shared" si="13"/>
        <v/>
      </c>
      <c r="GE82" s="1208"/>
      <c r="GF82" s="1208"/>
      <c r="GG82" s="1292"/>
      <c r="GH82" s="1288"/>
      <c r="GI82" s="1288"/>
      <c r="GJ82" s="1289"/>
      <c r="GK82" s="1255"/>
      <c r="GL82" s="1204" t="s">
        <v>123</v>
      </c>
      <c r="GM82" s="1204" t="s">
        <v>123</v>
      </c>
      <c r="GN82" s="1206" t="s">
        <v>123</v>
      </c>
      <c r="GO82" s="1206"/>
      <c r="GP82" s="1206" t="s">
        <v>123</v>
      </c>
      <c r="GQ82" s="1291"/>
      <c r="GR82" s="1291"/>
      <c r="GS82" s="1199" t="str">
        <f t="shared" si="14"/>
        <v/>
      </c>
      <c r="GT82" s="1208"/>
      <c r="GU82" s="1208"/>
      <c r="GV82" s="1292"/>
      <c r="GW82" s="1288"/>
      <c r="GX82" s="1288"/>
      <c r="GY82" s="1289"/>
      <c r="GZ82" s="1255"/>
      <c r="HA82" s="1204" t="s">
        <v>123</v>
      </c>
      <c r="HB82" s="1204" t="s">
        <v>123</v>
      </c>
      <c r="HC82" s="1206" t="s">
        <v>123</v>
      </c>
      <c r="HD82" s="1206"/>
      <c r="HE82" s="1206" t="s">
        <v>123</v>
      </c>
      <c r="HF82" s="1291"/>
      <c r="HG82" s="1291"/>
      <c r="HH82" s="1199" t="str">
        <f t="shared" si="15"/>
        <v/>
      </c>
      <c r="HI82" s="1208"/>
      <c r="HJ82" s="1208"/>
      <c r="HK82" s="1292"/>
      <c r="HL82" s="1288"/>
      <c r="HM82" s="1288"/>
      <c r="HN82" s="1289"/>
      <c r="HO82" s="1255"/>
      <c r="HP82" s="1204" t="s">
        <v>123</v>
      </c>
      <c r="HQ82" s="1204" t="s">
        <v>123</v>
      </c>
      <c r="HR82" s="1206" t="s">
        <v>123</v>
      </c>
      <c r="HS82" s="1206"/>
      <c r="HT82" s="1206" t="s">
        <v>123</v>
      </c>
      <c r="HU82" s="1291"/>
      <c r="HV82" s="1291"/>
      <c r="HW82" s="1227"/>
    </row>
    <row r="83" ht="15.75" customHeight="1">
      <c r="A83" s="1297"/>
      <c r="B83" s="1298"/>
      <c r="C83" s="1298"/>
      <c r="D83" s="1297"/>
      <c r="E83" s="1299"/>
      <c r="F83" s="1199" t="str">
        <f t="shared" si="1"/>
        <v/>
      </c>
      <c r="G83" s="1208"/>
      <c r="H83" s="1208"/>
      <c r="I83" s="1292"/>
      <c r="J83" s="1288"/>
      <c r="K83" s="1288"/>
      <c r="L83" s="1289"/>
      <c r="M83" s="1255"/>
      <c r="N83" s="1204" t="s">
        <v>123</v>
      </c>
      <c r="O83" s="1204" t="s">
        <v>123</v>
      </c>
      <c r="P83" s="1205" t="s">
        <v>123</v>
      </c>
      <c r="Q83" s="1291"/>
      <c r="R83" s="1291" t="s">
        <v>123</v>
      </c>
      <c r="S83" s="1291"/>
      <c r="T83" s="1291"/>
      <c r="U83" s="1199" t="str">
        <f t="shared" si="2"/>
        <v/>
      </c>
      <c r="V83" s="1208"/>
      <c r="W83" s="1208"/>
      <c r="X83" s="1292"/>
      <c r="Y83" s="1288"/>
      <c r="Z83" s="1288"/>
      <c r="AA83" s="1289"/>
      <c r="AB83" s="1255"/>
      <c r="AC83" s="1204" t="s">
        <v>123</v>
      </c>
      <c r="AD83" s="1204" t="s">
        <v>123</v>
      </c>
      <c r="AE83" s="1205" t="s">
        <v>123</v>
      </c>
      <c r="AF83" s="1206"/>
      <c r="AG83" s="1206" t="s">
        <v>123</v>
      </c>
      <c r="AH83" s="1291"/>
      <c r="AI83" s="1291"/>
      <c r="AJ83" s="1199" t="str">
        <f t="shared" si="3"/>
        <v/>
      </c>
      <c r="AK83" s="1208"/>
      <c r="AL83" s="1208"/>
      <c r="AM83" s="1292"/>
      <c r="AN83" s="1288"/>
      <c r="AO83" s="1288"/>
      <c r="AP83" s="1289"/>
      <c r="AQ83" s="1255"/>
      <c r="AR83" s="1204" t="s">
        <v>123</v>
      </c>
      <c r="AS83" s="1204" t="s">
        <v>123</v>
      </c>
      <c r="AT83" s="1206" t="s">
        <v>123</v>
      </c>
      <c r="AU83" s="1206"/>
      <c r="AV83" s="1206" t="s">
        <v>123</v>
      </c>
      <c r="AW83" s="1291"/>
      <c r="AX83" s="1291"/>
      <c r="AY83" s="1199" t="str">
        <f t="shared" si="4"/>
        <v/>
      </c>
      <c r="AZ83" s="1208"/>
      <c r="BA83" s="1208"/>
      <c r="BB83" s="1292"/>
      <c r="BC83" s="1288"/>
      <c r="BD83" s="1288"/>
      <c r="BE83" s="1289"/>
      <c r="BF83" s="1255"/>
      <c r="BG83" s="1204" t="s">
        <v>123</v>
      </c>
      <c r="BH83" s="1204" t="s">
        <v>123</v>
      </c>
      <c r="BI83" s="1206" t="s">
        <v>123</v>
      </c>
      <c r="BJ83" s="1206"/>
      <c r="BK83" s="1206" t="s">
        <v>123</v>
      </c>
      <c r="BL83" s="1291"/>
      <c r="BM83" s="1291"/>
      <c r="BN83" s="1199" t="str">
        <f t="shared" si="5"/>
        <v/>
      </c>
      <c r="BO83" s="1208"/>
      <c r="BP83" s="1208"/>
      <c r="BQ83" s="1292"/>
      <c r="BR83" s="1288"/>
      <c r="BS83" s="1288"/>
      <c r="BT83" s="1289"/>
      <c r="BU83" s="1255"/>
      <c r="BV83" s="1204" t="s">
        <v>123</v>
      </c>
      <c r="BW83" s="1204" t="s">
        <v>123</v>
      </c>
      <c r="BX83" s="1206" t="s">
        <v>123</v>
      </c>
      <c r="BY83" s="1206"/>
      <c r="BZ83" s="1206" t="s">
        <v>123</v>
      </c>
      <c r="CA83" s="1291"/>
      <c r="CB83" s="1291"/>
      <c r="CC83" s="1199" t="str">
        <f t="shared" si="6"/>
        <v/>
      </c>
      <c r="CD83" s="1208"/>
      <c r="CE83" s="1208"/>
      <c r="CF83" s="1292"/>
      <c r="CG83" s="1288"/>
      <c r="CH83" s="1288"/>
      <c r="CI83" s="1289"/>
      <c r="CJ83" s="1255"/>
      <c r="CK83" s="1204" t="s">
        <v>123</v>
      </c>
      <c r="CL83" s="1204" t="s">
        <v>123</v>
      </c>
      <c r="CM83" s="1206" t="s">
        <v>123</v>
      </c>
      <c r="CN83" s="1206"/>
      <c r="CO83" s="1206" t="s">
        <v>123</v>
      </c>
      <c r="CP83" s="1291"/>
      <c r="CQ83" s="1291"/>
      <c r="CR83" s="1199" t="str">
        <f t="shared" si="7"/>
        <v/>
      </c>
      <c r="CS83" s="1208"/>
      <c r="CT83" s="1208"/>
      <c r="CU83" s="1292"/>
      <c r="CV83" s="1288"/>
      <c r="CW83" s="1288"/>
      <c r="CX83" s="1289"/>
      <c r="CY83" s="1255"/>
      <c r="CZ83" s="1204" t="s">
        <v>123</v>
      </c>
      <c r="DA83" s="1204" t="s">
        <v>123</v>
      </c>
      <c r="DB83" s="1206" t="s">
        <v>123</v>
      </c>
      <c r="DC83" s="1206"/>
      <c r="DD83" s="1206" t="s">
        <v>123</v>
      </c>
      <c r="DE83" s="1291"/>
      <c r="DF83" s="1291"/>
      <c r="DG83" s="1199" t="str">
        <f t="shared" si="8"/>
        <v/>
      </c>
      <c r="DH83" s="1208"/>
      <c r="DI83" s="1208"/>
      <c r="DJ83" s="1302"/>
      <c r="DK83" s="1288"/>
      <c r="DL83" s="1288"/>
      <c r="DM83" s="1289"/>
      <c r="DN83" s="1255"/>
      <c r="DO83" s="1204" t="s">
        <v>123</v>
      </c>
      <c r="DP83" s="1204" t="s">
        <v>123</v>
      </c>
      <c r="DQ83" s="1206" t="s">
        <v>123</v>
      </c>
      <c r="DR83" s="1206"/>
      <c r="DS83" s="1206" t="s">
        <v>123</v>
      </c>
      <c r="DT83" s="1291"/>
      <c r="DU83" s="1291"/>
      <c r="DV83" s="1199" t="str">
        <f t="shared" si="9"/>
        <v/>
      </c>
      <c r="DW83" s="1208"/>
      <c r="DX83" s="1208"/>
      <c r="DY83" s="1292"/>
      <c r="DZ83" s="1288"/>
      <c r="EA83" s="1288"/>
      <c r="EB83" s="1289"/>
      <c r="EC83" s="1255"/>
      <c r="ED83" s="1204" t="s">
        <v>123</v>
      </c>
      <c r="EE83" s="1204" t="s">
        <v>123</v>
      </c>
      <c r="EF83" s="1206" t="s">
        <v>123</v>
      </c>
      <c r="EG83" s="1206"/>
      <c r="EH83" s="1206" t="s">
        <v>123</v>
      </c>
      <c r="EI83" s="1291"/>
      <c r="EJ83" s="1291"/>
      <c r="EK83" s="1199" t="str">
        <f t="shared" si="10"/>
        <v/>
      </c>
      <c r="EL83" s="1208"/>
      <c r="EM83" s="1208"/>
      <c r="EN83" s="1292"/>
      <c r="EO83" s="1288"/>
      <c r="EP83" s="1288"/>
      <c r="EQ83" s="1289"/>
      <c r="ER83" s="1255"/>
      <c r="ES83" s="1204" t="s">
        <v>123</v>
      </c>
      <c r="ET83" s="1204" t="s">
        <v>123</v>
      </c>
      <c r="EU83" s="1206" t="s">
        <v>123</v>
      </c>
      <c r="EV83" s="1206"/>
      <c r="EW83" s="1206" t="s">
        <v>123</v>
      </c>
      <c r="EX83" s="1291"/>
      <c r="EY83" s="1291"/>
      <c r="EZ83" s="1199" t="str">
        <f t="shared" si="11"/>
        <v/>
      </c>
      <c r="FA83" s="1208"/>
      <c r="FB83" s="1208"/>
      <c r="FC83" s="1292"/>
      <c r="FD83" s="1288"/>
      <c r="FE83" s="1288"/>
      <c r="FF83" s="1289"/>
      <c r="FG83" s="1255"/>
      <c r="FH83" s="1204" t="s">
        <v>123</v>
      </c>
      <c r="FI83" s="1204" t="s">
        <v>123</v>
      </c>
      <c r="FJ83" s="1206" t="s">
        <v>123</v>
      </c>
      <c r="FK83" s="1206"/>
      <c r="FL83" s="1206" t="s">
        <v>123</v>
      </c>
      <c r="FM83" s="1291"/>
      <c r="FN83" s="1291"/>
      <c r="FO83" s="1199" t="str">
        <f t="shared" si="12"/>
        <v/>
      </c>
      <c r="FP83" s="1208"/>
      <c r="FQ83" s="1208"/>
      <c r="FR83" s="1292"/>
      <c r="FS83" s="1288"/>
      <c r="FT83" s="1288"/>
      <c r="FU83" s="1289"/>
      <c r="FV83" s="1255"/>
      <c r="FW83" s="1204" t="s">
        <v>123</v>
      </c>
      <c r="FX83" s="1204" t="s">
        <v>123</v>
      </c>
      <c r="FY83" s="1206" t="s">
        <v>123</v>
      </c>
      <c r="FZ83" s="1206"/>
      <c r="GA83" s="1206" t="s">
        <v>123</v>
      </c>
      <c r="GB83" s="1291"/>
      <c r="GC83" s="1291"/>
      <c r="GD83" s="1199" t="str">
        <f t="shared" si="13"/>
        <v/>
      </c>
      <c r="GE83" s="1208"/>
      <c r="GF83" s="1208"/>
      <c r="GG83" s="1292"/>
      <c r="GH83" s="1288"/>
      <c r="GI83" s="1288"/>
      <c r="GJ83" s="1289"/>
      <c r="GK83" s="1255"/>
      <c r="GL83" s="1204" t="s">
        <v>123</v>
      </c>
      <c r="GM83" s="1204" t="s">
        <v>123</v>
      </c>
      <c r="GN83" s="1206" t="s">
        <v>123</v>
      </c>
      <c r="GO83" s="1206"/>
      <c r="GP83" s="1206" t="s">
        <v>123</v>
      </c>
      <c r="GQ83" s="1291"/>
      <c r="GR83" s="1291"/>
      <c r="GS83" s="1199" t="str">
        <f t="shared" si="14"/>
        <v/>
      </c>
      <c r="GT83" s="1208"/>
      <c r="GU83" s="1208"/>
      <c r="GV83" s="1292"/>
      <c r="GW83" s="1288"/>
      <c r="GX83" s="1288"/>
      <c r="GY83" s="1289"/>
      <c r="GZ83" s="1255"/>
      <c r="HA83" s="1204" t="s">
        <v>123</v>
      </c>
      <c r="HB83" s="1204" t="s">
        <v>123</v>
      </c>
      <c r="HC83" s="1206" t="s">
        <v>123</v>
      </c>
      <c r="HD83" s="1206"/>
      <c r="HE83" s="1206" t="s">
        <v>123</v>
      </c>
      <c r="HF83" s="1291"/>
      <c r="HG83" s="1291"/>
      <c r="HH83" s="1199" t="str">
        <f t="shared" si="15"/>
        <v/>
      </c>
      <c r="HI83" s="1208"/>
      <c r="HJ83" s="1208"/>
      <c r="HK83" s="1292"/>
      <c r="HL83" s="1288"/>
      <c r="HM83" s="1288"/>
      <c r="HN83" s="1289"/>
      <c r="HO83" s="1255"/>
      <c r="HP83" s="1204" t="s">
        <v>123</v>
      </c>
      <c r="HQ83" s="1204" t="s">
        <v>123</v>
      </c>
      <c r="HR83" s="1206" t="s">
        <v>123</v>
      </c>
      <c r="HS83" s="1206"/>
      <c r="HT83" s="1206" t="s">
        <v>123</v>
      </c>
      <c r="HU83" s="1291"/>
      <c r="HV83" s="1291"/>
      <c r="HW83" s="1227"/>
    </row>
    <row r="84" ht="15.75" customHeight="1">
      <c r="A84" s="1297"/>
      <c r="B84" s="1298"/>
      <c r="C84" s="1298"/>
      <c r="D84" s="1297"/>
      <c r="E84" s="1299"/>
      <c r="F84" s="1199" t="str">
        <f t="shared" si="1"/>
        <v/>
      </c>
      <c r="G84" s="1208"/>
      <c r="H84" s="1208"/>
      <c r="I84" s="1292"/>
      <c r="J84" s="1288"/>
      <c r="K84" s="1288"/>
      <c r="L84" s="1289"/>
      <c r="M84" s="1255"/>
      <c r="N84" s="1204" t="s">
        <v>123</v>
      </c>
      <c r="O84" s="1204" t="s">
        <v>123</v>
      </c>
      <c r="P84" s="1205" t="s">
        <v>123</v>
      </c>
      <c r="Q84" s="1291"/>
      <c r="R84" s="1291" t="s">
        <v>123</v>
      </c>
      <c r="S84" s="1291"/>
      <c r="T84" s="1291"/>
      <c r="U84" s="1199" t="str">
        <f t="shared" si="2"/>
        <v/>
      </c>
      <c r="V84" s="1208"/>
      <c r="W84" s="1208"/>
      <c r="X84" s="1292"/>
      <c r="Y84" s="1288"/>
      <c r="Z84" s="1288"/>
      <c r="AA84" s="1289"/>
      <c r="AB84" s="1255"/>
      <c r="AC84" s="1204" t="s">
        <v>123</v>
      </c>
      <c r="AD84" s="1204" t="s">
        <v>123</v>
      </c>
      <c r="AE84" s="1205" t="s">
        <v>123</v>
      </c>
      <c r="AF84" s="1206"/>
      <c r="AG84" s="1206" t="s">
        <v>123</v>
      </c>
      <c r="AH84" s="1291"/>
      <c r="AI84" s="1291"/>
      <c r="AJ84" s="1199" t="str">
        <f t="shared" si="3"/>
        <v/>
      </c>
      <c r="AK84" s="1208"/>
      <c r="AL84" s="1208"/>
      <c r="AM84" s="1292"/>
      <c r="AN84" s="1288"/>
      <c r="AO84" s="1288"/>
      <c r="AP84" s="1289"/>
      <c r="AQ84" s="1255"/>
      <c r="AR84" s="1204" t="s">
        <v>123</v>
      </c>
      <c r="AS84" s="1204" t="s">
        <v>123</v>
      </c>
      <c r="AT84" s="1206" t="s">
        <v>123</v>
      </c>
      <c r="AU84" s="1206"/>
      <c r="AV84" s="1206" t="s">
        <v>123</v>
      </c>
      <c r="AW84" s="1291"/>
      <c r="AX84" s="1291"/>
      <c r="AY84" s="1199" t="str">
        <f t="shared" si="4"/>
        <v/>
      </c>
      <c r="AZ84" s="1208"/>
      <c r="BA84" s="1208"/>
      <c r="BB84" s="1292"/>
      <c r="BC84" s="1288"/>
      <c r="BD84" s="1288"/>
      <c r="BE84" s="1289"/>
      <c r="BF84" s="1255"/>
      <c r="BG84" s="1204" t="s">
        <v>123</v>
      </c>
      <c r="BH84" s="1204" t="s">
        <v>123</v>
      </c>
      <c r="BI84" s="1206" t="s">
        <v>123</v>
      </c>
      <c r="BJ84" s="1206"/>
      <c r="BK84" s="1206" t="s">
        <v>123</v>
      </c>
      <c r="BL84" s="1291"/>
      <c r="BM84" s="1291"/>
      <c r="BN84" s="1199" t="str">
        <f t="shared" si="5"/>
        <v/>
      </c>
      <c r="BO84" s="1208"/>
      <c r="BP84" s="1208"/>
      <c r="BQ84" s="1292"/>
      <c r="BR84" s="1288"/>
      <c r="BS84" s="1288"/>
      <c r="BT84" s="1289"/>
      <c r="BU84" s="1255"/>
      <c r="BV84" s="1204" t="s">
        <v>123</v>
      </c>
      <c r="BW84" s="1204" t="s">
        <v>123</v>
      </c>
      <c r="BX84" s="1206" t="s">
        <v>123</v>
      </c>
      <c r="BY84" s="1206"/>
      <c r="BZ84" s="1206" t="s">
        <v>123</v>
      </c>
      <c r="CA84" s="1291"/>
      <c r="CB84" s="1291"/>
      <c r="CC84" s="1199" t="str">
        <f t="shared" si="6"/>
        <v/>
      </c>
      <c r="CD84" s="1208"/>
      <c r="CE84" s="1208"/>
      <c r="CF84" s="1292"/>
      <c r="CG84" s="1288"/>
      <c r="CH84" s="1288"/>
      <c r="CI84" s="1289"/>
      <c r="CJ84" s="1255"/>
      <c r="CK84" s="1204" t="s">
        <v>123</v>
      </c>
      <c r="CL84" s="1204" t="s">
        <v>123</v>
      </c>
      <c r="CM84" s="1206" t="s">
        <v>123</v>
      </c>
      <c r="CN84" s="1206"/>
      <c r="CO84" s="1206" t="s">
        <v>123</v>
      </c>
      <c r="CP84" s="1291"/>
      <c r="CQ84" s="1291"/>
      <c r="CR84" s="1199" t="str">
        <f t="shared" si="7"/>
        <v/>
      </c>
      <c r="CS84" s="1208"/>
      <c r="CT84" s="1208"/>
      <c r="CU84" s="1292"/>
      <c r="CV84" s="1288"/>
      <c r="CW84" s="1288"/>
      <c r="CX84" s="1289"/>
      <c r="CY84" s="1255"/>
      <c r="CZ84" s="1204" t="s">
        <v>123</v>
      </c>
      <c r="DA84" s="1204" t="s">
        <v>123</v>
      </c>
      <c r="DB84" s="1206" t="s">
        <v>123</v>
      </c>
      <c r="DC84" s="1206"/>
      <c r="DD84" s="1206" t="s">
        <v>123</v>
      </c>
      <c r="DE84" s="1291"/>
      <c r="DF84" s="1291"/>
      <c r="DG84" s="1199" t="str">
        <f t="shared" si="8"/>
        <v/>
      </c>
      <c r="DH84" s="1208"/>
      <c r="DI84" s="1208"/>
      <c r="DJ84" s="1302"/>
      <c r="DK84" s="1288"/>
      <c r="DL84" s="1288"/>
      <c r="DM84" s="1289"/>
      <c r="DN84" s="1255"/>
      <c r="DO84" s="1204" t="s">
        <v>123</v>
      </c>
      <c r="DP84" s="1204" t="s">
        <v>123</v>
      </c>
      <c r="DQ84" s="1206" t="s">
        <v>123</v>
      </c>
      <c r="DR84" s="1206"/>
      <c r="DS84" s="1206" t="s">
        <v>123</v>
      </c>
      <c r="DT84" s="1291"/>
      <c r="DU84" s="1291"/>
      <c r="DV84" s="1199" t="str">
        <f t="shared" si="9"/>
        <v/>
      </c>
      <c r="DW84" s="1208"/>
      <c r="DX84" s="1208"/>
      <c r="DY84" s="1292"/>
      <c r="DZ84" s="1288"/>
      <c r="EA84" s="1288"/>
      <c r="EB84" s="1289"/>
      <c r="EC84" s="1255"/>
      <c r="ED84" s="1204" t="s">
        <v>123</v>
      </c>
      <c r="EE84" s="1204" t="s">
        <v>123</v>
      </c>
      <c r="EF84" s="1206" t="s">
        <v>123</v>
      </c>
      <c r="EG84" s="1206"/>
      <c r="EH84" s="1206" t="s">
        <v>123</v>
      </c>
      <c r="EI84" s="1291"/>
      <c r="EJ84" s="1291"/>
      <c r="EK84" s="1199" t="str">
        <f t="shared" si="10"/>
        <v/>
      </c>
      <c r="EL84" s="1208"/>
      <c r="EM84" s="1208"/>
      <c r="EN84" s="1292"/>
      <c r="EO84" s="1288"/>
      <c r="EP84" s="1288"/>
      <c r="EQ84" s="1289"/>
      <c r="ER84" s="1255"/>
      <c r="ES84" s="1204" t="s">
        <v>123</v>
      </c>
      <c r="ET84" s="1204" t="s">
        <v>123</v>
      </c>
      <c r="EU84" s="1206" t="s">
        <v>123</v>
      </c>
      <c r="EV84" s="1206"/>
      <c r="EW84" s="1206" t="s">
        <v>123</v>
      </c>
      <c r="EX84" s="1291"/>
      <c r="EY84" s="1291"/>
      <c r="EZ84" s="1199" t="str">
        <f t="shared" si="11"/>
        <v/>
      </c>
      <c r="FA84" s="1208"/>
      <c r="FB84" s="1208"/>
      <c r="FC84" s="1292"/>
      <c r="FD84" s="1288"/>
      <c r="FE84" s="1288"/>
      <c r="FF84" s="1289"/>
      <c r="FG84" s="1255"/>
      <c r="FH84" s="1204" t="s">
        <v>123</v>
      </c>
      <c r="FI84" s="1204" t="s">
        <v>123</v>
      </c>
      <c r="FJ84" s="1206" t="s">
        <v>123</v>
      </c>
      <c r="FK84" s="1206"/>
      <c r="FL84" s="1206" t="s">
        <v>123</v>
      </c>
      <c r="FM84" s="1291"/>
      <c r="FN84" s="1291"/>
      <c r="FO84" s="1199" t="str">
        <f t="shared" si="12"/>
        <v/>
      </c>
      <c r="FP84" s="1208"/>
      <c r="FQ84" s="1208"/>
      <c r="FR84" s="1292"/>
      <c r="FS84" s="1288"/>
      <c r="FT84" s="1288"/>
      <c r="FU84" s="1289"/>
      <c r="FV84" s="1255"/>
      <c r="FW84" s="1204" t="s">
        <v>123</v>
      </c>
      <c r="FX84" s="1204" t="s">
        <v>123</v>
      </c>
      <c r="FY84" s="1206" t="s">
        <v>123</v>
      </c>
      <c r="FZ84" s="1206"/>
      <c r="GA84" s="1206" t="s">
        <v>123</v>
      </c>
      <c r="GB84" s="1291"/>
      <c r="GC84" s="1291"/>
      <c r="GD84" s="1199" t="str">
        <f t="shared" si="13"/>
        <v/>
      </c>
      <c r="GE84" s="1208"/>
      <c r="GF84" s="1208"/>
      <c r="GG84" s="1292"/>
      <c r="GH84" s="1288"/>
      <c r="GI84" s="1288"/>
      <c r="GJ84" s="1289"/>
      <c r="GK84" s="1255"/>
      <c r="GL84" s="1204" t="s">
        <v>123</v>
      </c>
      <c r="GM84" s="1204" t="s">
        <v>123</v>
      </c>
      <c r="GN84" s="1206" t="s">
        <v>123</v>
      </c>
      <c r="GO84" s="1206"/>
      <c r="GP84" s="1206" t="s">
        <v>123</v>
      </c>
      <c r="GQ84" s="1291"/>
      <c r="GR84" s="1291"/>
      <c r="GS84" s="1199" t="str">
        <f t="shared" si="14"/>
        <v/>
      </c>
      <c r="GT84" s="1208"/>
      <c r="GU84" s="1208"/>
      <c r="GV84" s="1292"/>
      <c r="GW84" s="1288"/>
      <c r="GX84" s="1288"/>
      <c r="GY84" s="1289"/>
      <c r="GZ84" s="1255"/>
      <c r="HA84" s="1204" t="s">
        <v>123</v>
      </c>
      <c r="HB84" s="1204" t="s">
        <v>123</v>
      </c>
      <c r="HC84" s="1206" t="s">
        <v>123</v>
      </c>
      <c r="HD84" s="1206"/>
      <c r="HE84" s="1206" t="s">
        <v>123</v>
      </c>
      <c r="HF84" s="1291"/>
      <c r="HG84" s="1291"/>
      <c r="HH84" s="1199" t="str">
        <f t="shared" si="15"/>
        <v/>
      </c>
      <c r="HI84" s="1208"/>
      <c r="HJ84" s="1208"/>
      <c r="HK84" s="1292"/>
      <c r="HL84" s="1288"/>
      <c r="HM84" s="1288"/>
      <c r="HN84" s="1289"/>
      <c r="HO84" s="1255"/>
      <c r="HP84" s="1204" t="s">
        <v>123</v>
      </c>
      <c r="HQ84" s="1204" t="s">
        <v>123</v>
      </c>
      <c r="HR84" s="1206" t="s">
        <v>123</v>
      </c>
      <c r="HS84" s="1206"/>
      <c r="HT84" s="1206" t="s">
        <v>123</v>
      </c>
      <c r="HU84" s="1291"/>
      <c r="HV84" s="1291"/>
      <c r="HW84" s="1227"/>
    </row>
    <row r="85" ht="15.75" customHeight="1">
      <c r="A85" s="1297"/>
      <c r="B85" s="1298"/>
      <c r="C85" s="1298"/>
      <c r="D85" s="1297"/>
      <c r="E85" s="1299"/>
      <c r="F85" s="1199" t="str">
        <f t="shared" si="1"/>
        <v/>
      </c>
      <c r="G85" s="1208"/>
      <c r="H85" s="1208"/>
      <c r="I85" s="1292"/>
      <c r="J85" s="1288"/>
      <c r="K85" s="1288"/>
      <c r="L85" s="1289"/>
      <c r="M85" s="1255"/>
      <c r="N85" s="1204" t="s">
        <v>123</v>
      </c>
      <c r="O85" s="1204" t="s">
        <v>123</v>
      </c>
      <c r="P85" s="1205" t="s">
        <v>123</v>
      </c>
      <c r="Q85" s="1291"/>
      <c r="R85" s="1291" t="s">
        <v>123</v>
      </c>
      <c r="S85" s="1291"/>
      <c r="T85" s="1291"/>
      <c r="U85" s="1199" t="str">
        <f t="shared" si="2"/>
        <v/>
      </c>
      <c r="V85" s="1208"/>
      <c r="W85" s="1208"/>
      <c r="X85" s="1292"/>
      <c r="Y85" s="1288"/>
      <c r="Z85" s="1288"/>
      <c r="AA85" s="1289"/>
      <c r="AB85" s="1255"/>
      <c r="AC85" s="1204" t="s">
        <v>123</v>
      </c>
      <c r="AD85" s="1204" t="s">
        <v>123</v>
      </c>
      <c r="AE85" s="1205" t="s">
        <v>123</v>
      </c>
      <c r="AF85" s="1206"/>
      <c r="AG85" s="1206" t="s">
        <v>123</v>
      </c>
      <c r="AH85" s="1291"/>
      <c r="AI85" s="1291"/>
      <c r="AJ85" s="1199" t="str">
        <f t="shared" si="3"/>
        <v/>
      </c>
      <c r="AK85" s="1208"/>
      <c r="AL85" s="1208"/>
      <c r="AM85" s="1292"/>
      <c r="AN85" s="1288"/>
      <c r="AO85" s="1288"/>
      <c r="AP85" s="1289"/>
      <c r="AQ85" s="1255"/>
      <c r="AR85" s="1204" t="s">
        <v>123</v>
      </c>
      <c r="AS85" s="1204" t="s">
        <v>123</v>
      </c>
      <c r="AT85" s="1206" t="s">
        <v>123</v>
      </c>
      <c r="AU85" s="1206"/>
      <c r="AV85" s="1206" t="s">
        <v>123</v>
      </c>
      <c r="AW85" s="1291"/>
      <c r="AX85" s="1291"/>
      <c r="AY85" s="1199" t="str">
        <f t="shared" si="4"/>
        <v/>
      </c>
      <c r="AZ85" s="1208"/>
      <c r="BA85" s="1208"/>
      <c r="BB85" s="1292"/>
      <c r="BC85" s="1288"/>
      <c r="BD85" s="1288"/>
      <c r="BE85" s="1289"/>
      <c r="BF85" s="1255"/>
      <c r="BG85" s="1204" t="s">
        <v>123</v>
      </c>
      <c r="BH85" s="1204" t="s">
        <v>123</v>
      </c>
      <c r="BI85" s="1206" t="s">
        <v>123</v>
      </c>
      <c r="BJ85" s="1206"/>
      <c r="BK85" s="1206" t="s">
        <v>123</v>
      </c>
      <c r="BL85" s="1291"/>
      <c r="BM85" s="1291"/>
      <c r="BN85" s="1199" t="str">
        <f t="shared" si="5"/>
        <v/>
      </c>
      <c r="BO85" s="1208"/>
      <c r="BP85" s="1208"/>
      <c r="BQ85" s="1292"/>
      <c r="BR85" s="1288"/>
      <c r="BS85" s="1288"/>
      <c r="BT85" s="1289"/>
      <c r="BU85" s="1255"/>
      <c r="BV85" s="1204" t="s">
        <v>123</v>
      </c>
      <c r="BW85" s="1204" t="s">
        <v>123</v>
      </c>
      <c r="BX85" s="1206" t="s">
        <v>123</v>
      </c>
      <c r="BY85" s="1206"/>
      <c r="BZ85" s="1206" t="s">
        <v>123</v>
      </c>
      <c r="CA85" s="1291"/>
      <c r="CB85" s="1291"/>
      <c r="CC85" s="1199" t="str">
        <f t="shared" si="6"/>
        <v/>
      </c>
      <c r="CD85" s="1208"/>
      <c r="CE85" s="1208"/>
      <c r="CF85" s="1292"/>
      <c r="CG85" s="1288"/>
      <c r="CH85" s="1288"/>
      <c r="CI85" s="1289"/>
      <c r="CJ85" s="1255"/>
      <c r="CK85" s="1204" t="s">
        <v>123</v>
      </c>
      <c r="CL85" s="1204" t="s">
        <v>123</v>
      </c>
      <c r="CM85" s="1206" t="s">
        <v>123</v>
      </c>
      <c r="CN85" s="1206"/>
      <c r="CO85" s="1206" t="s">
        <v>123</v>
      </c>
      <c r="CP85" s="1291"/>
      <c r="CQ85" s="1291"/>
      <c r="CR85" s="1199" t="str">
        <f t="shared" si="7"/>
        <v/>
      </c>
      <c r="CS85" s="1208"/>
      <c r="CT85" s="1208"/>
      <c r="CU85" s="1292"/>
      <c r="CV85" s="1288"/>
      <c r="CW85" s="1288"/>
      <c r="CX85" s="1289"/>
      <c r="CY85" s="1255"/>
      <c r="CZ85" s="1204" t="s">
        <v>123</v>
      </c>
      <c r="DA85" s="1204" t="s">
        <v>123</v>
      </c>
      <c r="DB85" s="1206" t="s">
        <v>123</v>
      </c>
      <c r="DC85" s="1206"/>
      <c r="DD85" s="1206" t="s">
        <v>123</v>
      </c>
      <c r="DE85" s="1291"/>
      <c r="DF85" s="1291"/>
      <c r="DG85" s="1199" t="str">
        <f t="shared" si="8"/>
        <v/>
      </c>
      <c r="DH85" s="1208"/>
      <c r="DI85" s="1208"/>
      <c r="DJ85" s="1302"/>
      <c r="DK85" s="1288"/>
      <c r="DL85" s="1288"/>
      <c r="DM85" s="1289"/>
      <c r="DN85" s="1255"/>
      <c r="DO85" s="1204" t="s">
        <v>123</v>
      </c>
      <c r="DP85" s="1204" t="s">
        <v>123</v>
      </c>
      <c r="DQ85" s="1206" t="s">
        <v>123</v>
      </c>
      <c r="DR85" s="1206"/>
      <c r="DS85" s="1206" t="s">
        <v>123</v>
      </c>
      <c r="DT85" s="1291"/>
      <c r="DU85" s="1291"/>
      <c r="DV85" s="1199" t="str">
        <f t="shared" si="9"/>
        <v/>
      </c>
      <c r="DW85" s="1208"/>
      <c r="DX85" s="1208"/>
      <c r="DY85" s="1292"/>
      <c r="DZ85" s="1288"/>
      <c r="EA85" s="1288"/>
      <c r="EB85" s="1289"/>
      <c r="EC85" s="1255"/>
      <c r="ED85" s="1204" t="s">
        <v>123</v>
      </c>
      <c r="EE85" s="1204" t="s">
        <v>123</v>
      </c>
      <c r="EF85" s="1206" t="s">
        <v>123</v>
      </c>
      <c r="EG85" s="1206"/>
      <c r="EH85" s="1206" t="s">
        <v>123</v>
      </c>
      <c r="EI85" s="1291"/>
      <c r="EJ85" s="1291"/>
      <c r="EK85" s="1199" t="str">
        <f t="shared" si="10"/>
        <v/>
      </c>
      <c r="EL85" s="1208"/>
      <c r="EM85" s="1208"/>
      <c r="EN85" s="1292"/>
      <c r="EO85" s="1288"/>
      <c r="EP85" s="1288"/>
      <c r="EQ85" s="1289"/>
      <c r="ER85" s="1255"/>
      <c r="ES85" s="1204" t="s">
        <v>123</v>
      </c>
      <c r="ET85" s="1204" t="s">
        <v>123</v>
      </c>
      <c r="EU85" s="1206" t="s">
        <v>123</v>
      </c>
      <c r="EV85" s="1206"/>
      <c r="EW85" s="1206" t="s">
        <v>123</v>
      </c>
      <c r="EX85" s="1291"/>
      <c r="EY85" s="1291"/>
      <c r="EZ85" s="1199" t="str">
        <f t="shared" si="11"/>
        <v/>
      </c>
      <c r="FA85" s="1208"/>
      <c r="FB85" s="1208"/>
      <c r="FC85" s="1292"/>
      <c r="FD85" s="1288"/>
      <c r="FE85" s="1288"/>
      <c r="FF85" s="1289"/>
      <c r="FG85" s="1255"/>
      <c r="FH85" s="1204" t="s">
        <v>123</v>
      </c>
      <c r="FI85" s="1204" t="s">
        <v>123</v>
      </c>
      <c r="FJ85" s="1206" t="s">
        <v>123</v>
      </c>
      <c r="FK85" s="1206"/>
      <c r="FL85" s="1206" t="s">
        <v>123</v>
      </c>
      <c r="FM85" s="1291"/>
      <c r="FN85" s="1291"/>
      <c r="FO85" s="1199" t="str">
        <f t="shared" si="12"/>
        <v/>
      </c>
      <c r="FP85" s="1208"/>
      <c r="FQ85" s="1208"/>
      <c r="FR85" s="1292"/>
      <c r="FS85" s="1288"/>
      <c r="FT85" s="1288"/>
      <c r="FU85" s="1289"/>
      <c r="FV85" s="1255"/>
      <c r="FW85" s="1204" t="s">
        <v>123</v>
      </c>
      <c r="FX85" s="1204" t="s">
        <v>123</v>
      </c>
      <c r="FY85" s="1206" t="s">
        <v>123</v>
      </c>
      <c r="FZ85" s="1206"/>
      <c r="GA85" s="1206" t="s">
        <v>123</v>
      </c>
      <c r="GB85" s="1291"/>
      <c r="GC85" s="1291"/>
      <c r="GD85" s="1199" t="str">
        <f t="shared" si="13"/>
        <v/>
      </c>
      <c r="GE85" s="1208"/>
      <c r="GF85" s="1208"/>
      <c r="GG85" s="1292"/>
      <c r="GH85" s="1288"/>
      <c r="GI85" s="1288"/>
      <c r="GJ85" s="1289"/>
      <c r="GK85" s="1255"/>
      <c r="GL85" s="1204" t="s">
        <v>123</v>
      </c>
      <c r="GM85" s="1204" t="s">
        <v>123</v>
      </c>
      <c r="GN85" s="1206" t="s">
        <v>123</v>
      </c>
      <c r="GO85" s="1206"/>
      <c r="GP85" s="1206" t="s">
        <v>123</v>
      </c>
      <c r="GQ85" s="1291"/>
      <c r="GR85" s="1291"/>
      <c r="GS85" s="1199" t="str">
        <f t="shared" si="14"/>
        <v/>
      </c>
      <c r="GT85" s="1208"/>
      <c r="GU85" s="1208"/>
      <c r="GV85" s="1292"/>
      <c r="GW85" s="1288"/>
      <c r="GX85" s="1288"/>
      <c r="GY85" s="1289"/>
      <c r="GZ85" s="1255"/>
      <c r="HA85" s="1204" t="s">
        <v>123</v>
      </c>
      <c r="HB85" s="1204" t="s">
        <v>123</v>
      </c>
      <c r="HC85" s="1206" t="s">
        <v>123</v>
      </c>
      <c r="HD85" s="1206"/>
      <c r="HE85" s="1206" t="s">
        <v>123</v>
      </c>
      <c r="HF85" s="1291"/>
      <c r="HG85" s="1291"/>
      <c r="HH85" s="1199" t="str">
        <f t="shared" si="15"/>
        <v/>
      </c>
      <c r="HI85" s="1208"/>
      <c r="HJ85" s="1208"/>
      <c r="HK85" s="1292"/>
      <c r="HL85" s="1288"/>
      <c r="HM85" s="1288"/>
      <c r="HN85" s="1289"/>
      <c r="HO85" s="1255"/>
      <c r="HP85" s="1204" t="s">
        <v>123</v>
      </c>
      <c r="HQ85" s="1204" t="s">
        <v>123</v>
      </c>
      <c r="HR85" s="1206" t="s">
        <v>123</v>
      </c>
      <c r="HS85" s="1206"/>
      <c r="HT85" s="1206" t="s">
        <v>123</v>
      </c>
      <c r="HU85" s="1291"/>
      <c r="HV85" s="1291"/>
      <c r="HW85" s="1227"/>
    </row>
    <row r="86" ht="15.75" customHeight="1">
      <c r="A86" s="1297"/>
      <c r="B86" s="1298"/>
      <c r="C86" s="1298"/>
      <c r="D86" s="1297"/>
      <c r="E86" s="1299"/>
      <c r="F86" s="1199" t="str">
        <f t="shared" si="1"/>
        <v/>
      </c>
      <c r="G86" s="1208"/>
      <c r="H86" s="1208"/>
      <c r="I86" s="1292"/>
      <c r="J86" s="1288"/>
      <c r="K86" s="1288"/>
      <c r="L86" s="1289"/>
      <c r="M86" s="1255"/>
      <c r="N86" s="1204" t="s">
        <v>123</v>
      </c>
      <c r="O86" s="1204" t="s">
        <v>123</v>
      </c>
      <c r="P86" s="1205" t="s">
        <v>123</v>
      </c>
      <c r="Q86" s="1291"/>
      <c r="R86" s="1291" t="s">
        <v>123</v>
      </c>
      <c r="S86" s="1291"/>
      <c r="T86" s="1291"/>
      <c r="U86" s="1199" t="str">
        <f t="shared" si="2"/>
        <v/>
      </c>
      <c r="V86" s="1208"/>
      <c r="W86" s="1208"/>
      <c r="X86" s="1292"/>
      <c r="Y86" s="1288"/>
      <c r="Z86" s="1288"/>
      <c r="AA86" s="1289"/>
      <c r="AB86" s="1255"/>
      <c r="AC86" s="1204" t="s">
        <v>123</v>
      </c>
      <c r="AD86" s="1204" t="s">
        <v>123</v>
      </c>
      <c r="AE86" s="1205" t="s">
        <v>123</v>
      </c>
      <c r="AF86" s="1206"/>
      <c r="AG86" s="1206" t="s">
        <v>123</v>
      </c>
      <c r="AH86" s="1291"/>
      <c r="AI86" s="1291"/>
      <c r="AJ86" s="1199" t="str">
        <f t="shared" si="3"/>
        <v/>
      </c>
      <c r="AK86" s="1208"/>
      <c r="AL86" s="1208"/>
      <c r="AM86" s="1292"/>
      <c r="AN86" s="1288"/>
      <c r="AO86" s="1288"/>
      <c r="AP86" s="1289"/>
      <c r="AQ86" s="1255"/>
      <c r="AR86" s="1204" t="s">
        <v>123</v>
      </c>
      <c r="AS86" s="1204" t="s">
        <v>123</v>
      </c>
      <c r="AT86" s="1206" t="s">
        <v>123</v>
      </c>
      <c r="AU86" s="1206"/>
      <c r="AV86" s="1206" t="s">
        <v>123</v>
      </c>
      <c r="AW86" s="1291"/>
      <c r="AX86" s="1291"/>
      <c r="AY86" s="1199" t="str">
        <f t="shared" si="4"/>
        <v/>
      </c>
      <c r="AZ86" s="1208"/>
      <c r="BA86" s="1208"/>
      <c r="BB86" s="1292"/>
      <c r="BC86" s="1288"/>
      <c r="BD86" s="1288"/>
      <c r="BE86" s="1289"/>
      <c r="BF86" s="1255"/>
      <c r="BG86" s="1204" t="s">
        <v>123</v>
      </c>
      <c r="BH86" s="1204" t="s">
        <v>123</v>
      </c>
      <c r="BI86" s="1206" t="s">
        <v>123</v>
      </c>
      <c r="BJ86" s="1206"/>
      <c r="BK86" s="1206" t="s">
        <v>123</v>
      </c>
      <c r="BL86" s="1291"/>
      <c r="BM86" s="1291"/>
      <c r="BN86" s="1199" t="str">
        <f t="shared" si="5"/>
        <v/>
      </c>
      <c r="BO86" s="1208"/>
      <c r="BP86" s="1208"/>
      <c r="BQ86" s="1292"/>
      <c r="BR86" s="1288"/>
      <c r="BS86" s="1288"/>
      <c r="BT86" s="1289"/>
      <c r="BU86" s="1255"/>
      <c r="BV86" s="1204" t="s">
        <v>123</v>
      </c>
      <c r="BW86" s="1204" t="s">
        <v>123</v>
      </c>
      <c r="BX86" s="1206" t="s">
        <v>123</v>
      </c>
      <c r="BY86" s="1206"/>
      <c r="BZ86" s="1206" t="s">
        <v>123</v>
      </c>
      <c r="CA86" s="1291"/>
      <c r="CB86" s="1291"/>
      <c r="CC86" s="1199" t="str">
        <f t="shared" si="6"/>
        <v/>
      </c>
      <c r="CD86" s="1208"/>
      <c r="CE86" s="1208"/>
      <c r="CF86" s="1292"/>
      <c r="CG86" s="1288"/>
      <c r="CH86" s="1288"/>
      <c r="CI86" s="1289"/>
      <c r="CJ86" s="1255"/>
      <c r="CK86" s="1204" t="s">
        <v>123</v>
      </c>
      <c r="CL86" s="1204" t="s">
        <v>123</v>
      </c>
      <c r="CM86" s="1206" t="s">
        <v>123</v>
      </c>
      <c r="CN86" s="1206"/>
      <c r="CO86" s="1206" t="s">
        <v>123</v>
      </c>
      <c r="CP86" s="1291"/>
      <c r="CQ86" s="1291"/>
      <c r="CR86" s="1199" t="str">
        <f t="shared" si="7"/>
        <v/>
      </c>
      <c r="CS86" s="1208"/>
      <c r="CT86" s="1208"/>
      <c r="CU86" s="1292"/>
      <c r="CV86" s="1288"/>
      <c r="CW86" s="1288"/>
      <c r="CX86" s="1289"/>
      <c r="CY86" s="1255"/>
      <c r="CZ86" s="1204" t="s">
        <v>123</v>
      </c>
      <c r="DA86" s="1204" t="s">
        <v>123</v>
      </c>
      <c r="DB86" s="1206" t="s">
        <v>123</v>
      </c>
      <c r="DC86" s="1206"/>
      <c r="DD86" s="1206" t="s">
        <v>123</v>
      </c>
      <c r="DE86" s="1291"/>
      <c r="DF86" s="1291"/>
      <c r="DG86" s="1199" t="str">
        <f t="shared" si="8"/>
        <v/>
      </c>
      <c r="DH86" s="1208"/>
      <c r="DI86" s="1208"/>
      <c r="DJ86" s="1302"/>
      <c r="DK86" s="1288"/>
      <c r="DL86" s="1288"/>
      <c r="DM86" s="1289"/>
      <c r="DN86" s="1255"/>
      <c r="DO86" s="1204" t="s">
        <v>123</v>
      </c>
      <c r="DP86" s="1204" t="s">
        <v>123</v>
      </c>
      <c r="DQ86" s="1206" t="s">
        <v>123</v>
      </c>
      <c r="DR86" s="1206"/>
      <c r="DS86" s="1206" t="s">
        <v>123</v>
      </c>
      <c r="DT86" s="1291"/>
      <c r="DU86" s="1291"/>
      <c r="DV86" s="1199" t="str">
        <f t="shared" si="9"/>
        <v/>
      </c>
      <c r="DW86" s="1208"/>
      <c r="DX86" s="1208"/>
      <c r="DY86" s="1292"/>
      <c r="DZ86" s="1288"/>
      <c r="EA86" s="1288"/>
      <c r="EB86" s="1289"/>
      <c r="EC86" s="1255"/>
      <c r="ED86" s="1204" t="s">
        <v>123</v>
      </c>
      <c r="EE86" s="1204" t="s">
        <v>123</v>
      </c>
      <c r="EF86" s="1206" t="s">
        <v>123</v>
      </c>
      <c r="EG86" s="1206"/>
      <c r="EH86" s="1206" t="s">
        <v>123</v>
      </c>
      <c r="EI86" s="1291"/>
      <c r="EJ86" s="1291"/>
      <c r="EK86" s="1199" t="str">
        <f t="shared" si="10"/>
        <v/>
      </c>
      <c r="EL86" s="1208"/>
      <c r="EM86" s="1208"/>
      <c r="EN86" s="1292"/>
      <c r="EO86" s="1288"/>
      <c r="EP86" s="1288"/>
      <c r="EQ86" s="1289"/>
      <c r="ER86" s="1255"/>
      <c r="ES86" s="1204" t="s">
        <v>123</v>
      </c>
      <c r="ET86" s="1204" t="s">
        <v>123</v>
      </c>
      <c r="EU86" s="1206" t="s">
        <v>123</v>
      </c>
      <c r="EV86" s="1206"/>
      <c r="EW86" s="1206" t="s">
        <v>123</v>
      </c>
      <c r="EX86" s="1291"/>
      <c r="EY86" s="1291"/>
      <c r="EZ86" s="1199" t="str">
        <f t="shared" si="11"/>
        <v/>
      </c>
      <c r="FA86" s="1208"/>
      <c r="FB86" s="1208"/>
      <c r="FC86" s="1292"/>
      <c r="FD86" s="1288"/>
      <c r="FE86" s="1288"/>
      <c r="FF86" s="1289"/>
      <c r="FG86" s="1255"/>
      <c r="FH86" s="1204" t="s">
        <v>123</v>
      </c>
      <c r="FI86" s="1204" t="s">
        <v>123</v>
      </c>
      <c r="FJ86" s="1206" t="s">
        <v>123</v>
      </c>
      <c r="FK86" s="1206"/>
      <c r="FL86" s="1206" t="s">
        <v>123</v>
      </c>
      <c r="FM86" s="1291"/>
      <c r="FN86" s="1291"/>
      <c r="FO86" s="1199" t="str">
        <f t="shared" si="12"/>
        <v/>
      </c>
      <c r="FP86" s="1208"/>
      <c r="FQ86" s="1208"/>
      <c r="FR86" s="1292"/>
      <c r="FS86" s="1288"/>
      <c r="FT86" s="1288"/>
      <c r="FU86" s="1289"/>
      <c r="FV86" s="1255"/>
      <c r="FW86" s="1204" t="s">
        <v>123</v>
      </c>
      <c r="FX86" s="1204" t="s">
        <v>123</v>
      </c>
      <c r="FY86" s="1206" t="s">
        <v>123</v>
      </c>
      <c r="FZ86" s="1206"/>
      <c r="GA86" s="1206" t="s">
        <v>123</v>
      </c>
      <c r="GB86" s="1291"/>
      <c r="GC86" s="1291"/>
      <c r="GD86" s="1199" t="str">
        <f t="shared" si="13"/>
        <v/>
      </c>
      <c r="GE86" s="1208"/>
      <c r="GF86" s="1208"/>
      <c r="GG86" s="1292"/>
      <c r="GH86" s="1288"/>
      <c r="GI86" s="1288"/>
      <c r="GJ86" s="1289"/>
      <c r="GK86" s="1255"/>
      <c r="GL86" s="1204" t="s">
        <v>123</v>
      </c>
      <c r="GM86" s="1204" t="s">
        <v>123</v>
      </c>
      <c r="GN86" s="1206" t="s">
        <v>123</v>
      </c>
      <c r="GO86" s="1206"/>
      <c r="GP86" s="1206" t="s">
        <v>123</v>
      </c>
      <c r="GQ86" s="1291"/>
      <c r="GR86" s="1291"/>
      <c r="GS86" s="1199" t="str">
        <f t="shared" si="14"/>
        <v/>
      </c>
      <c r="GT86" s="1208"/>
      <c r="GU86" s="1208"/>
      <c r="GV86" s="1292"/>
      <c r="GW86" s="1288"/>
      <c r="GX86" s="1288"/>
      <c r="GY86" s="1289"/>
      <c r="GZ86" s="1255"/>
      <c r="HA86" s="1204" t="s">
        <v>123</v>
      </c>
      <c r="HB86" s="1204" t="s">
        <v>123</v>
      </c>
      <c r="HC86" s="1206" t="s">
        <v>123</v>
      </c>
      <c r="HD86" s="1206"/>
      <c r="HE86" s="1206" t="s">
        <v>123</v>
      </c>
      <c r="HF86" s="1291"/>
      <c r="HG86" s="1291"/>
      <c r="HH86" s="1199" t="str">
        <f t="shared" si="15"/>
        <v/>
      </c>
      <c r="HI86" s="1208"/>
      <c r="HJ86" s="1208"/>
      <c r="HK86" s="1292"/>
      <c r="HL86" s="1288"/>
      <c r="HM86" s="1288"/>
      <c r="HN86" s="1289"/>
      <c r="HO86" s="1255"/>
      <c r="HP86" s="1204" t="s">
        <v>123</v>
      </c>
      <c r="HQ86" s="1204" t="s">
        <v>123</v>
      </c>
      <c r="HR86" s="1206" t="s">
        <v>123</v>
      </c>
      <c r="HS86" s="1206"/>
      <c r="HT86" s="1206" t="s">
        <v>123</v>
      </c>
      <c r="HU86" s="1291"/>
      <c r="HV86" s="1291"/>
      <c r="HW86" s="1227"/>
    </row>
    <row r="87" ht="15.75" customHeight="1">
      <c r="A87" s="1297"/>
      <c r="B87" s="1298"/>
      <c r="C87" s="1298"/>
      <c r="D87" s="1297"/>
      <c r="E87" s="1299"/>
      <c r="F87" s="1199" t="str">
        <f t="shared" si="1"/>
        <v/>
      </c>
      <c r="G87" s="1208"/>
      <c r="H87" s="1208"/>
      <c r="I87" s="1292"/>
      <c r="J87" s="1288"/>
      <c r="K87" s="1288"/>
      <c r="L87" s="1289"/>
      <c r="M87" s="1255"/>
      <c r="N87" s="1204" t="s">
        <v>123</v>
      </c>
      <c r="O87" s="1204" t="s">
        <v>123</v>
      </c>
      <c r="P87" s="1205" t="s">
        <v>123</v>
      </c>
      <c r="Q87" s="1291"/>
      <c r="R87" s="1291" t="s">
        <v>123</v>
      </c>
      <c r="S87" s="1291"/>
      <c r="T87" s="1291"/>
      <c r="U87" s="1199" t="str">
        <f t="shared" si="2"/>
        <v/>
      </c>
      <c r="V87" s="1208"/>
      <c r="W87" s="1208"/>
      <c r="X87" s="1292"/>
      <c r="Y87" s="1288"/>
      <c r="Z87" s="1288"/>
      <c r="AA87" s="1289"/>
      <c r="AB87" s="1255"/>
      <c r="AC87" s="1204" t="s">
        <v>123</v>
      </c>
      <c r="AD87" s="1204" t="s">
        <v>123</v>
      </c>
      <c r="AE87" s="1205" t="s">
        <v>123</v>
      </c>
      <c r="AF87" s="1206"/>
      <c r="AG87" s="1206" t="s">
        <v>123</v>
      </c>
      <c r="AH87" s="1291"/>
      <c r="AI87" s="1291"/>
      <c r="AJ87" s="1199" t="str">
        <f t="shared" si="3"/>
        <v/>
      </c>
      <c r="AK87" s="1208"/>
      <c r="AL87" s="1208"/>
      <c r="AM87" s="1292"/>
      <c r="AN87" s="1288"/>
      <c r="AO87" s="1288"/>
      <c r="AP87" s="1289"/>
      <c r="AQ87" s="1255"/>
      <c r="AR87" s="1204" t="s">
        <v>123</v>
      </c>
      <c r="AS87" s="1204" t="s">
        <v>123</v>
      </c>
      <c r="AT87" s="1206" t="s">
        <v>123</v>
      </c>
      <c r="AU87" s="1206"/>
      <c r="AV87" s="1206" t="s">
        <v>123</v>
      </c>
      <c r="AW87" s="1291"/>
      <c r="AX87" s="1291"/>
      <c r="AY87" s="1199" t="str">
        <f t="shared" si="4"/>
        <v/>
      </c>
      <c r="AZ87" s="1208"/>
      <c r="BA87" s="1208"/>
      <c r="BB87" s="1292"/>
      <c r="BC87" s="1288"/>
      <c r="BD87" s="1288"/>
      <c r="BE87" s="1289"/>
      <c r="BF87" s="1255"/>
      <c r="BG87" s="1204" t="s">
        <v>123</v>
      </c>
      <c r="BH87" s="1204" t="s">
        <v>123</v>
      </c>
      <c r="BI87" s="1206" t="s">
        <v>123</v>
      </c>
      <c r="BJ87" s="1206"/>
      <c r="BK87" s="1206" t="s">
        <v>123</v>
      </c>
      <c r="BL87" s="1291"/>
      <c r="BM87" s="1291"/>
      <c r="BN87" s="1199" t="str">
        <f t="shared" si="5"/>
        <v/>
      </c>
      <c r="BO87" s="1208"/>
      <c r="BP87" s="1208"/>
      <c r="BQ87" s="1292"/>
      <c r="BR87" s="1288"/>
      <c r="BS87" s="1288"/>
      <c r="BT87" s="1289"/>
      <c r="BU87" s="1255"/>
      <c r="BV87" s="1204" t="s">
        <v>123</v>
      </c>
      <c r="BW87" s="1204" t="s">
        <v>123</v>
      </c>
      <c r="BX87" s="1206" t="s">
        <v>123</v>
      </c>
      <c r="BY87" s="1206"/>
      <c r="BZ87" s="1206" t="s">
        <v>123</v>
      </c>
      <c r="CA87" s="1291"/>
      <c r="CB87" s="1291"/>
      <c r="CC87" s="1199" t="str">
        <f t="shared" si="6"/>
        <v/>
      </c>
      <c r="CD87" s="1208"/>
      <c r="CE87" s="1208"/>
      <c r="CF87" s="1292"/>
      <c r="CG87" s="1288"/>
      <c r="CH87" s="1288"/>
      <c r="CI87" s="1289"/>
      <c r="CJ87" s="1255"/>
      <c r="CK87" s="1204" t="s">
        <v>123</v>
      </c>
      <c r="CL87" s="1204" t="s">
        <v>123</v>
      </c>
      <c r="CM87" s="1206" t="s">
        <v>123</v>
      </c>
      <c r="CN87" s="1206"/>
      <c r="CO87" s="1206" t="s">
        <v>123</v>
      </c>
      <c r="CP87" s="1291"/>
      <c r="CQ87" s="1291"/>
      <c r="CR87" s="1199" t="str">
        <f t="shared" si="7"/>
        <v/>
      </c>
      <c r="CS87" s="1208"/>
      <c r="CT87" s="1208"/>
      <c r="CU87" s="1292"/>
      <c r="CV87" s="1288"/>
      <c r="CW87" s="1288"/>
      <c r="CX87" s="1289"/>
      <c r="CY87" s="1255"/>
      <c r="CZ87" s="1204" t="s">
        <v>123</v>
      </c>
      <c r="DA87" s="1204" t="s">
        <v>123</v>
      </c>
      <c r="DB87" s="1206" t="s">
        <v>123</v>
      </c>
      <c r="DC87" s="1206"/>
      <c r="DD87" s="1206" t="s">
        <v>123</v>
      </c>
      <c r="DE87" s="1291"/>
      <c r="DF87" s="1291"/>
      <c r="DG87" s="1199" t="str">
        <f t="shared" si="8"/>
        <v/>
      </c>
      <c r="DH87" s="1208"/>
      <c r="DI87" s="1208"/>
      <c r="DJ87" s="1302"/>
      <c r="DK87" s="1288"/>
      <c r="DL87" s="1288"/>
      <c r="DM87" s="1289"/>
      <c r="DN87" s="1255"/>
      <c r="DO87" s="1204" t="s">
        <v>123</v>
      </c>
      <c r="DP87" s="1204" t="s">
        <v>123</v>
      </c>
      <c r="DQ87" s="1206" t="s">
        <v>123</v>
      </c>
      <c r="DR87" s="1206"/>
      <c r="DS87" s="1206" t="s">
        <v>123</v>
      </c>
      <c r="DT87" s="1291"/>
      <c r="DU87" s="1291"/>
      <c r="DV87" s="1199" t="str">
        <f t="shared" si="9"/>
        <v/>
      </c>
      <c r="DW87" s="1208"/>
      <c r="DX87" s="1208"/>
      <c r="DY87" s="1292"/>
      <c r="DZ87" s="1288"/>
      <c r="EA87" s="1288"/>
      <c r="EB87" s="1289"/>
      <c r="EC87" s="1255"/>
      <c r="ED87" s="1204" t="s">
        <v>123</v>
      </c>
      <c r="EE87" s="1204" t="s">
        <v>123</v>
      </c>
      <c r="EF87" s="1206" t="s">
        <v>123</v>
      </c>
      <c r="EG87" s="1206"/>
      <c r="EH87" s="1206" t="s">
        <v>123</v>
      </c>
      <c r="EI87" s="1291"/>
      <c r="EJ87" s="1291"/>
      <c r="EK87" s="1199" t="str">
        <f t="shared" si="10"/>
        <v/>
      </c>
      <c r="EL87" s="1208"/>
      <c r="EM87" s="1208"/>
      <c r="EN87" s="1292"/>
      <c r="EO87" s="1288"/>
      <c r="EP87" s="1288"/>
      <c r="EQ87" s="1289"/>
      <c r="ER87" s="1255"/>
      <c r="ES87" s="1204" t="s">
        <v>123</v>
      </c>
      <c r="ET87" s="1204" t="s">
        <v>123</v>
      </c>
      <c r="EU87" s="1206" t="s">
        <v>123</v>
      </c>
      <c r="EV87" s="1206"/>
      <c r="EW87" s="1206" t="s">
        <v>123</v>
      </c>
      <c r="EX87" s="1291"/>
      <c r="EY87" s="1291"/>
      <c r="EZ87" s="1199" t="str">
        <f t="shared" si="11"/>
        <v/>
      </c>
      <c r="FA87" s="1208"/>
      <c r="FB87" s="1208"/>
      <c r="FC87" s="1292"/>
      <c r="FD87" s="1288"/>
      <c r="FE87" s="1288"/>
      <c r="FF87" s="1289"/>
      <c r="FG87" s="1255"/>
      <c r="FH87" s="1204" t="s">
        <v>123</v>
      </c>
      <c r="FI87" s="1204" t="s">
        <v>123</v>
      </c>
      <c r="FJ87" s="1206" t="s">
        <v>123</v>
      </c>
      <c r="FK87" s="1206"/>
      <c r="FL87" s="1206" t="s">
        <v>123</v>
      </c>
      <c r="FM87" s="1291"/>
      <c r="FN87" s="1291"/>
      <c r="FO87" s="1199" t="str">
        <f t="shared" si="12"/>
        <v/>
      </c>
      <c r="FP87" s="1208"/>
      <c r="FQ87" s="1208"/>
      <c r="FR87" s="1292"/>
      <c r="FS87" s="1288"/>
      <c r="FT87" s="1288"/>
      <c r="FU87" s="1289"/>
      <c r="FV87" s="1255"/>
      <c r="FW87" s="1204" t="s">
        <v>123</v>
      </c>
      <c r="FX87" s="1204" t="s">
        <v>123</v>
      </c>
      <c r="FY87" s="1206" t="s">
        <v>123</v>
      </c>
      <c r="FZ87" s="1206"/>
      <c r="GA87" s="1206" t="s">
        <v>123</v>
      </c>
      <c r="GB87" s="1291"/>
      <c r="GC87" s="1291"/>
      <c r="GD87" s="1199" t="str">
        <f t="shared" si="13"/>
        <v/>
      </c>
      <c r="GE87" s="1208"/>
      <c r="GF87" s="1208"/>
      <c r="GG87" s="1292"/>
      <c r="GH87" s="1288"/>
      <c r="GI87" s="1288"/>
      <c r="GJ87" s="1289"/>
      <c r="GK87" s="1255"/>
      <c r="GL87" s="1204" t="s">
        <v>123</v>
      </c>
      <c r="GM87" s="1204" t="s">
        <v>123</v>
      </c>
      <c r="GN87" s="1206" t="s">
        <v>123</v>
      </c>
      <c r="GO87" s="1206"/>
      <c r="GP87" s="1206" t="s">
        <v>123</v>
      </c>
      <c r="GQ87" s="1291"/>
      <c r="GR87" s="1291"/>
      <c r="GS87" s="1199" t="str">
        <f t="shared" si="14"/>
        <v/>
      </c>
      <c r="GT87" s="1208"/>
      <c r="GU87" s="1208"/>
      <c r="GV87" s="1292"/>
      <c r="GW87" s="1288"/>
      <c r="GX87" s="1288"/>
      <c r="GY87" s="1289"/>
      <c r="GZ87" s="1255"/>
      <c r="HA87" s="1204" t="s">
        <v>123</v>
      </c>
      <c r="HB87" s="1204" t="s">
        <v>123</v>
      </c>
      <c r="HC87" s="1206" t="s">
        <v>123</v>
      </c>
      <c r="HD87" s="1206"/>
      <c r="HE87" s="1206" t="s">
        <v>123</v>
      </c>
      <c r="HF87" s="1291"/>
      <c r="HG87" s="1291"/>
      <c r="HH87" s="1199" t="str">
        <f t="shared" si="15"/>
        <v/>
      </c>
      <c r="HI87" s="1208"/>
      <c r="HJ87" s="1208"/>
      <c r="HK87" s="1292"/>
      <c r="HL87" s="1288"/>
      <c r="HM87" s="1288"/>
      <c r="HN87" s="1289"/>
      <c r="HO87" s="1255"/>
      <c r="HP87" s="1204" t="s">
        <v>123</v>
      </c>
      <c r="HQ87" s="1204" t="s">
        <v>123</v>
      </c>
      <c r="HR87" s="1206" t="s">
        <v>123</v>
      </c>
      <c r="HS87" s="1206"/>
      <c r="HT87" s="1206" t="s">
        <v>123</v>
      </c>
      <c r="HU87" s="1291"/>
      <c r="HV87" s="1291"/>
      <c r="HW87" s="1227"/>
    </row>
    <row r="88" ht="15.75" customHeight="1">
      <c r="A88" s="1297"/>
      <c r="B88" s="1298"/>
      <c r="C88" s="1298"/>
      <c r="D88" s="1297"/>
      <c r="E88" s="1299"/>
      <c r="F88" s="1199" t="str">
        <f t="shared" si="1"/>
        <v/>
      </c>
      <c r="G88" s="1208"/>
      <c r="H88" s="1208"/>
      <c r="I88" s="1292"/>
      <c r="J88" s="1288"/>
      <c r="K88" s="1288"/>
      <c r="L88" s="1289"/>
      <c r="M88" s="1255"/>
      <c r="N88" s="1204" t="s">
        <v>123</v>
      </c>
      <c r="O88" s="1204" t="s">
        <v>123</v>
      </c>
      <c r="P88" s="1205" t="s">
        <v>123</v>
      </c>
      <c r="Q88" s="1291"/>
      <c r="R88" s="1291" t="s">
        <v>123</v>
      </c>
      <c r="S88" s="1291"/>
      <c r="T88" s="1291"/>
      <c r="U88" s="1199" t="str">
        <f t="shared" si="2"/>
        <v/>
      </c>
      <c r="V88" s="1208"/>
      <c r="W88" s="1208"/>
      <c r="X88" s="1292"/>
      <c r="Y88" s="1288"/>
      <c r="Z88" s="1288"/>
      <c r="AA88" s="1289"/>
      <c r="AB88" s="1255"/>
      <c r="AC88" s="1204" t="s">
        <v>123</v>
      </c>
      <c r="AD88" s="1204" t="s">
        <v>123</v>
      </c>
      <c r="AE88" s="1205" t="s">
        <v>123</v>
      </c>
      <c r="AF88" s="1206"/>
      <c r="AG88" s="1206" t="s">
        <v>123</v>
      </c>
      <c r="AH88" s="1291"/>
      <c r="AI88" s="1291"/>
      <c r="AJ88" s="1199" t="str">
        <f t="shared" si="3"/>
        <v/>
      </c>
      <c r="AK88" s="1208"/>
      <c r="AL88" s="1208"/>
      <c r="AM88" s="1292"/>
      <c r="AN88" s="1288"/>
      <c r="AO88" s="1288"/>
      <c r="AP88" s="1289"/>
      <c r="AQ88" s="1255"/>
      <c r="AR88" s="1204" t="s">
        <v>123</v>
      </c>
      <c r="AS88" s="1204" t="s">
        <v>123</v>
      </c>
      <c r="AT88" s="1206" t="s">
        <v>123</v>
      </c>
      <c r="AU88" s="1206"/>
      <c r="AV88" s="1206" t="s">
        <v>123</v>
      </c>
      <c r="AW88" s="1291"/>
      <c r="AX88" s="1291"/>
      <c r="AY88" s="1199" t="str">
        <f t="shared" si="4"/>
        <v/>
      </c>
      <c r="AZ88" s="1208"/>
      <c r="BA88" s="1208"/>
      <c r="BB88" s="1292"/>
      <c r="BC88" s="1288"/>
      <c r="BD88" s="1288"/>
      <c r="BE88" s="1289"/>
      <c r="BF88" s="1255"/>
      <c r="BG88" s="1204" t="s">
        <v>123</v>
      </c>
      <c r="BH88" s="1204" t="s">
        <v>123</v>
      </c>
      <c r="BI88" s="1206" t="s">
        <v>123</v>
      </c>
      <c r="BJ88" s="1206"/>
      <c r="BK88" s="1206" t="s">
        <v>123</v>
      </c>
      <c r="BL88" s="1291"/>
      <c r="BM88" s="1291"/>
      <c r="BN88" s="1199" t="str">
        <f t="shared" si="5"/>
        <v/>
      </c>
      <c r="BO88" s="1208"/>
      <c r="BP88" s="1208"/>
      <c r="BQ88" s="1292"/>
      <c r="BR88" s="1288"/>
      <c r="BS88" s="1288"/>
      <c r="BT88" s="1289"/>
      <c r="BU88" s="1255"/>
      <c r="BV88" s="1204" t="s">
        <v>123</v>
      </c>
      <c r="BW88" s="1204" t="s">
        <v>123</v>
      </c>
      <c r="BX88" s="1206" t="s">
        <v>123</v>
      </c>
      <c r="BY88" s="1206"/>
      <c r="BZ88" s="1206" t="s">
        <v>123</v>
      </c>
      <c r="CA88" s="1291"/>
      <c r="CB88" s="1291"/>
      <c r="CC88" s="1199" t="str">
        <f t="shared" si="6"/>
        <v/>
      </c>
      <c r="CD88" s="1208"/>
      <c r="CE88" s="1208"/>
      <c r="CF88" s="1292"/>
      <c r="CG88" s="1288"/>
      <c r="CH88" s="1288"/>
      <c r="CI88" s="1289"/>
      <c r="CJ88" s="1255"/>
      <c r="CK88" s="1204" t="s">
        <v>123</v>
      </c>
      <c r="CL88" s="1204" t="s">
        <v>123</v>
      </c>
      <c r="CM88" s="1206" t="s">
        <v>123</v>
      </c>
      <c r="CN88" s="1206"/>
      <c r="CO88" s="1206" t="s">
        <v>123</v>
      </c>
      <c r="CP88" s="1291"/>
      <c r="CQ88" s="1291"/>
      <c r="CR88" s="1199" t="str">
        <f t="shared" si="7"/>
        <v/>
      </c>
      <c r="CS88" s="1208"/>
      <c r="CT88" s="1208"/>
      <c r="CU88" s="1292"/>
      <c r="CV88" s="1288"/>
      <c r="CW88" s="1288"/>
      <c r="CX88" s="1289"/>
      <c r="CY88" s="1255"/>
      <c r="CZ88" s="1204" t="s">
        <v>123</v>
      </c>
      <c r="DA88" s="1204" t="s">
        <v>123</v>
      </c>
      <c r="DB88" s="1206" t="s">
        <v>123</v>
      </c>
      <c r="DC88" s="1206"/>
      <c r="DD88" s="1206" t="s">
        <v>123</v>
      </c>
      <c r="DE88" s="1291"/>
      <c r="DF88" s="1291"/>
      <c r="DG88" s="1199" t="str">
        <f t="shared" si="8"/>
        <v/>
      </c>
      <c r="DH88" s="1208"/>
      <c r="DI88" s="1208"/>
      <c r="DJ88" s="1302"/>
      <c r="DK88" s="1288"/>
      <c r="DL88" s="1288"/>
      <c r="DM88" s="1289"/>
      <c r="DN88" s="1255"/>
      <c r="DO88" s="1204" t="s">
        <v>123</v>
      </c>
      <c r="DP88" s="1204" t="s">
        <v>123</v>
      </c>
      <c r="DQ88" s="1206" t="s">
        <v>123</v>
      </c>
      <c r="DR88" s="1206"/>
      <c r="DS88" s="1206" t="s">
        <v>123</v>
      </c>
      <c r="DT88" s="1291"/>
      <c r="DU88" s="1291"/>
      <c r="DV88" s="1199" t="str">
        <f t="shared" si="9"/>
        <v/>
      </c>
      <c r="DW88" s="1208"/>
      <c r="DX88" s="1208"/>
      <c r="DY88" s="1292"/>
      <c r="DZ88" s="1288"/>
      <c r="EA88" s="1288"/>
      <c r="EB88" s="1289"/>
      <c r="EC88" s="1255"/>
      <c r="ED88" s="1204" t="s">
        <v>123</v>
      </c>
      <c r="EE88" s="1204" t="s">
        <v>123</v>
      </c>
      <c r="EF88" s="1206" t="s">
        <v>123</v>
      </c>
      <c r="EG88" s="1206"/>
      <c r="EH88" s="1206" t="s">
        <v>123</v>
      </c>
      <c r="EI88" s="1291"/>
      <c r="EJ88" s="1291"/>
      <c r="EK88" s="1199" t="str">
        <f t="shared" si="10"/>
        <v/>
      </c>
      <c r="EL88" s="1208"/>
      <c r="EM88" s="1208"/>
      <c r="EN88" s="1292"/>
      <c r="EO88" s="1288"/>
      <c r="EP88" s="1288"/>
      <c r="EQ88" s="1289"/>
      <c r="ER88" s="1255"/>
      <c r="ES88" s="1204" t="s">
        <v>123</v>
      </c>
      <c r="ET88" s="1204" t="s">
        <v>123</v>
      </c>
      <c r="EU88" s="1206" t="s">
        <v>123</v>
      </c>
      <c r="EV88" s="1206"/>
      <c r="EW88" s="1206" t="s">
        <v>123</v>
      </c>
      <c r="EX88" s="1291"/>
      <c r="EY88" s="1291"/>
      <c r="EZ88" s="1199" t="str">
        <f t="shared" si="11"/>
        <v/>
      </c>
      <c r="FA88" s="1208"/>
      <c r="FB88" s="1208"/>
      <c r="FC88" s="1292"/>
      <c r="FD88" s="1288"/>
      <c r="FE88" s="1288"/>
      <c r="FF88" s="1289"/>
      <c r="FG88" s="1255"/>
      <c r="FH88" s="1204" t="s">
        <v>123</v>
      </c>
      <c r="FI88" s="1204" t="s">
        <v>123</v>
      </c>
      <c r="FJ88" s="1206" t="s">
        <v>123</v>
      </c>
      <c r="FK88" s="1206"/>
      <c r="FL88" s="1206" t="s">
        <v>123</v>
      </c>
      <c r="FM88" s="1291"/>
      <c r="FN88" s="1291"/>
      <c r="FO88" s="1199" t="str">
        <f t="shared" si="12"/>
        <v/>
      </c>
      <c r="FP88" s="1208"/>
      <c r="FQ88" s="1208"/>
      <c r="FR88" s="1292"/>
      <c r="FS88" s="1288"/>
      <c r="FT88" s="1288"/>
      <c r="FU88" s="1289"/>
      <c r="FV88" s="1255"/>
      <c r="FW88" s="1204" t="s">
        <v>123</v>
      </c>
      <c r="FX88" s="1204" t="s">
        <v>123</v>
      </c>
      <c r="FY88" s="1206" t="s">
        <v>123</v>
      </c>
      <c r="FZ88" s="1206"/>
      <c r="GA88" s="1206" t="s">
        <v>123</v>
      </c>
      <c r="GB88" s="1291"/>
      <c r="GC88" s="1291"/>
      <c r="GD88" s="1199" t="str">
        <f t="shared" si="13"/>
        <v/>
      </c>
      <c r="GE88" s="1208"/>
      <c r="GF88" s="1208"/>
      <c r="GG88" s="1292"/>
      <c r="GH88" s="1288"/>
      <c r="GI88" s="1288"/>
      <c r="GJ88" s="1289"/>
      <c r="GK88" s="1255"/>
      <c r="GL88" s="1204" t="s">
        <v>123</v>
      </c>
      <c r="GM88" s="1204" t="s">
        <v>123</v>
      </c>
      <c r="GN88" s="1206" t="s">
        <v>123</v>
      </c>
      <c r="GO88" s="1206"/>
      <c r="GP88" s="1206" t="s">
        <v>123</v>
      </c>
      <c r="GQ88" s="1291"/>
      <c r="GR88" s="1291"/>
      <c r="GS88" s="1199" t="str">
        <f t="shared" si="14"/>
        <v/>
      </c>
      <c r="GT88" s="1208"/>
      <c r="GU88" s="1208"/>
      <c r="GV88" s="1292"/>
      <c r="GW88" s="1288"/>
      <c r="GX88" s="1288"/>
      <c r="GY88" s="1289"/>
      <c r="GZ88" s="1255"/>
      <c r="HA88" s="1204" t="s">
        <v>123</v>
      </c>
      <c r="HB88" s="1204" t="s">
        <v>123</v>
      </c>
      <c r="HC88" s="1206" t="s">
        <v>123</v>
      </c>
      <c r="HD88" s="1206"/>
      <c r="HE88" s="1206" t="s">
        <v>123</v>
      </c>
      <c r="HF88" s="1291"/>
      <c r="HG88" s="1291"/>
      <c r="HH88" s="1199" t="str">
        <f t="shared" si="15"/>
        <v/>
      </c>
      <c r="HI88" s="1208"/>
      <c r="HJ88" s="1208"/>
      <c r="HK88" s="1292"/>
      <c r="HL88" s="1288"/>
      <c r="HM88" s="1288"/>
      <c r="HN88" s="1289"/>
      <c r="HO88" s="1255"/>
      <c r="HP88" s="1204" t="s">
        <v>123</v>
      </c>
      <c r="HQ88" s="1204" t="s">
        <v>123</v>
      </c>
      <c r="HR88" s="1206" t="s">
        <v>123</v>
      </c>
      <c r="HS88" s="1206"/>
      <c r="HT88" s="1206" t="s">
        <v>123</v>
      </c>
      <c r="HU88" s="1291"/>
      <c r="HV88" s="1291"/>
      <c r="HW88" s="1227"/>
    </row>
    <row r="89" ht="15.75" customHeight="1">
      <c r="A89" s="1297"/>
      <c r="B89" s="1298"/>
      <c r="C89" s="1298"/>
      <c r="D89" s="1297"/>
      <c r="E89" s="1299"/>
      <c r="F89" s="1199" t="str">
        <f t="shared" si="1"/>
        <v/>
      </c>
      <c r="G89" s="1208"/>
      <c r="H89" s="1208"/>
      <c r="I89" s="1292"/>
      <c r="J89" s="1288"/>
      <c r="K89" s="1288"/>
      <c r="L89" s="1289"/>
      <c r="M89" s="1255"/>
      <c r="N89" s="1204" t="s">
        <v>123</v>
      </c>
      <c r="O89" s="1204" t="s">
        <v>123</v>
      </c>
      <c r="P89" s="1205" t="s">
        <v>123</v>
      </c>
      <c r="Q89" s="1291"/>
      <c r="R89" s="1291" t="s">
        <v>123</v>
      </c>
      <c r="S89" s="1291"/>
      <c r="T89" s="1291"/>
      <c r="U89" s="1199" t="str">
        <f t="shared" si="2"/>
        <v/>
      </c>
      <c r="V89" s="1208"/>
      <c r="W89" s="1208"/>
      <c r="X89" s="1292"/>
      <c r="Y89" s="1288"/>
      <c r="Z89" s="1288"/>
      <c r="AA89" s="1289"/>
      <c r="AB89" s="1255"/>
      <c r="AC89" s="1204" t="s">
        <v>123</v>
      </c>
      <c r="AD89" s="1204" t="s">
        <v>123</v>
      </c>
      <c r="AE89" s="1205" t="s">
        <v>123</v>
      </c>
      <c r="AF89" s="1206"/>
      <c r="AG89" s="1206" t="s">
        <v>123</v>
      </c>
      <c r="AH89" s="1291"/>
      <c r="AI89" s="1291"/>
      <c r="AJ89" s="1199" t="str">
        <f t="shared" si="3"/>
        <v/>
      </c>
      <c r="AK89" s="1208"/>
      <c r="AL89" s="1208"/>
      <c r="AM89" s="1292"/>
      <c r="AN89" s="1288"/>
      <c r="AO89" s="1288"/>
      <c r="AP89" s="1289"/>
      <c r="AQ89" s="1255"/>
      <c r="AR89" s="1204" t="s">
        <v>123</v>
      </c>
      <c r="AS89" s="1204" t="s">
        <v>123</v>
      </c>
      <c r="AT89" s="1206" t="s">
        <v>123</v>
      </c>
      <c r="AU89" s="1206"/>
      <c r="AV89" s="1206" t="s">
        <v>123</v>
      </c>
      <c r="AW89" s="1291"/>
      <c r="AX89" s="1291"/>
      <c r="AY89" s="1199" t="str">
        <f t="shared" si="4"/>
        <v/>
      </c>
      <c r="AZ89" s="1208"/>
      <c r="BA89" s="1208"/>
      <c r="BB89" s="1292"/>
      <c r="BC89" s="1288"/>
      <c r="BD89" s="1288"/>
      <c r="BE89" s="1289"/>
      <c r="BF89" s="1255"/>
      <c r="BG89" s="1204" t="s">
        <v>123</v>
      </c>
      <c r="BH89" s="1204" t="s">
        <v>123</v>
      </c>
      <c r="BI89" s="1206" t="s">
        <v>123</v>
      </c>
      <c r="BJ89" s="1206"/>
      <c r="BK89" s="1206" t="s">
        <v>123</v>
      </c>
      <c r="BL89" s="1291"/>
      <c r="BM89" s="1291"/>
      <c r="BN89" s="1199" t="str">
        <f t="shared" si="5"/>
        <v/>
      </c>
      <c r="BO89" s="1208"/>
      <c r="BP89" s="1208"/>
      <c r="BQ89" s="1292"/>
      <c r="BR89" s="1288"/>
      <c r="BS89" s="1288"/>
      <c r="BT89" s="1289"/>
      <c r="BU89" s="1255"/>
      <c r="BV89" s="1204" t="s">
        <v>123</v>
      </c>
      <c r="BW89" s="1204" t="s">
        <v>123</v>
      </c>
      <c r="BX89" s="1206" t="s">
        <v>123</v>
      </c>
      <c r="BY89" s="1206"/>
      <c r="BZ89" s="1206" t="s">
        <v>123</v>
      </c>
      <c r="CA89" s="1291"/>
      <c r="CB89" s="1291"/>
      <c r="CC89" s="1199" t="str">
        <f t="shared" si="6"/>
        <v/>
      </c>
      <c r="CD89" s="1208"/>
      <c r="CE89" s="1208"/>
      <c r="CF89" s="1292"/>
      <c r="CG89" s="1288"/>
      <c r="CH89" s="1288"/>
      <c r="CI89" s="1289"/>
      <c r="CJ89" s="1255"/>
      <c r="CK89" s="1204" t="s">
        <v>123</v>
      </c>
      <c r="CL89" s="1204" t="s">
        <v>123</v>
      </c>
      <c r="CM89" s="1206" t="s">
        <v>123</v>
      </c>
      <c r="CN89" s="1206"/>
      <c r="CO89" s="1206" t="s">
        <v>123</v>
      </c>
      <c r="CP89" s="1291"/>
      <c r="CQ89" s="1291"/>
      <c r="CR89" s="1199" t="str">
        <f t="shared" si="7"/>
        <v/>
      </c>
      <c r="CS89" s="1208"/>
      <c r="CT89" s="1208"/>
      <c r="CU89" s="1292"/>
      <c r="CV89" s="1288"/>
      <c r="CW89" s="1288"/>
      <c r="CX89" s="1289"/>
      <c r="CY89" s="1255"/>
      <c r="CZ89" s="1204" t="s">
        <v>123</v>
      </c>
      <c r="DA89" s="1204" t="s">
        <v>123</v>
      </c>
      <c r="DB89" s="1206" t="s">
        <v>123</v>
      </c>
      <c r="DC89" s="1206"/>
      <c r="DD89" s="1206" t="s">
        <v>123</v>
      </c>
      <c r="DE89" s="1291"/>
      <c r="DF89" s="1291"/>
      <c r="DG89" s="1199" t="str">
        <f t="shared" si="8"/>
        <v/>
      </c>
      <c r="DH89" s="1208"/>
      <c r="DI89" s="1208"/>
      <c r="DJ89" s="1302"/>
      <c r="DK89" s="1288"/>
      <c r="DL89" s="1288"/>
      <c r="DM89" s="1289"/>
      <c r="DN89" s="1255"/>
      <c r="DO89" s="1204" t="s">
        <v>123</v>
      </c>
      <c r="DP89" s="1204" t="s">
        <v>123</v>
      </c>
      <c r="DQ89" s="1206" t="s">
        <v>123</v>
      </c>
      <c r="DR89" s="1206"/>
      <c r="DS89" s="1206" t="s">
        <v>123</v>
      </c>
      <c r="DT89" s="1291"/>
      <c r="DU89" s="1291"/>
      <c r="DV89" s="1199" t="str">
        <f t="shared" si="9"/>
        <v/>
      </c>
      <c r="DW89" s="1208"/>
      <c r="DX89" s="1208"/>
      <c r="DY89" s="1292"/>
      <c r="DZ89" s="1288"/>
      <c r="EA89" s="1288"/>
      <c r="EB89" s="1289"/>
      <c r="EC89" s="1255"/>
      <c r="ED89" s="1204" t="s">
        <v>123</v>
      </c>
      <c r="EE89" s="1204" t="s">
        <v>123</v>
      </c>
      <c r="EF89" s="1206" t="s">
        <v>123</v>
      </c>
      <c r="EG89" s="1206"/>
      <c r="EH89" s="1206" t="s">
        <v>123</v>
      </c>
      <c r="EI89" s="1291"/>
      <c r="EJ89" s="1291"/>
      <c r="EK89" s="1199" t="str">
        <f t="shared" si="10"/>
        <v/>
      </c>
      <c r="EL89" s="1208"/>
      <c r="EM89" s="1208"/>
      <c r="EN89" s="1292"/>
      <c r="EO89" s="1288"/>
      <c r="EP89" s="1288"/>
      <c r="EQ89" s="1289"/>
      <c r="ER89" s="1255"/>
      <c r="ES89" s="1204" t="s">
        <v>123</v>
      </c>
      <c r="ET89" s="1204" t="s">
        <v>123</v>
      </c>
      <c r="EU89" s="1206" t="s">
        <v>123</v>
      </c>
      <c r="EV89" s="1206"/>
      <c r="EW89" s="1206" t="s">
        <v>123</v>
      </c>
      <c r="EX89" s="1291"/>
      <c r="EY89" s="1291"/>
      <c r="EZ89" s="1199" t="str">
        <f t="shared" si="11"/>
        <v/>
      </c>
      <c r="FA89" s="1208"/>
      <c r="FB89" s="1208"/>
      <c r="FC89" s="1292"/>
      <c r="FD89" s="1288"/>
      <c r="FE89" s="1288"/>
      <c r="FF89" s="1289"/>
      <c r="FG89" s="1255"/>
      <c r="FH89" s="1204" t="s">
        <v>123</v>
      </c>
      <c r="FI89" s="1204" t="s">
        <v>123</v>
      </c>
      <c r="FJ89" s="1206" t="s">
        <v>123</v>
      </c>
      <c r="FK89" s="1206"/>
      <c r="FL89" s="1206" t="s">
        <v>123</v>
      </c>
      <c r="FM89" s="1291"/>
      <c r="FN89" s="1291"/>
      <c r="FO89" s="1199" t="str">
        <f t="shared" si="12"/>
        <v/>
      </c>
      <c r="FP89" s="1208"/>
      <c r="FQ89" s="1208"/>
      <c r="FR89" s="1292"/>
      <c r="FS89" s="1288"/>
      <c r="FT89" s="1288"/>
      <c r="FU89" s="1289"/>
      <c r="FV89" s="1255"/>
      <c r="FW89" s="1204" t="s">
        <v>123</v>
      </c>
      <c r="FX89" s="1204" t="s">
        <v>123</v>
      </c>
      <c r="FY89" s="1206" t="s">
        <v>123</v>
      </c>
      <c r="FZ89" s="1206"/>
      <c r="GA89" s="1206" t="s">
        <v>123</v>
      </c>
      <c r="GB89" s="1291"/>
      <c r="GC89" s="1291"/>
      <c r="GD89" s="1199" t="str">
        <f t="shared" si="13"/>
        <v/>
      </c>
      <c r="GE89" s="1208"/>
      <c r="GF89" s="1208"/>
      <c r="GG89" s="1292"/>
      <c r="GH89" s="1288"/>
      <c r="GI89" s="1288"/>
      <c r="GJ89" s="1289"/>
      <c r="GK89" s="1255"/>
      <c r="GL89" s="1204" t="s">
        <v>123</v>
      </c>
      <c r="GM89" s="1204" t="s">
        <v>123</v>
      </c>
      <c r="GN89" s="1206" t="s">
        <v>123</v>
      </c>
      <c r="GO89" s="1206"/>
      <c r="GP89" s="1206" t="s">
        <v>123</v>
      </c>
      <c r="GQ89" s="1291"/>
      <c r="GR89" s="1291"/>
      <c r="GS89" s="1199" t="str">
        <f t="shared" si="14"/>
        <v/>
      </c>
      <c r="GT89" s="1208"/>
      <c r="GU89" s="1208"/>
      <c r="GV89" s="1292"/>
      <c r="GW89" s="1288"/>
      <c r="GX89" s="1288"/>
      <c r="GY89" s="1289"/>
      <c r="GZ89" s="1255"/>
      <c r="HA89" s="1204" t="s">
        <v>123</v>
      </c>
      <c r="HB89" s="1204" t="s">
        <v>123</v>
      </c>
      <c r="HC89" s="1206" t="s">
        <v>123</v>
      </c>
      <c r="HD89" s="1206"/>
      <c r="HE89" s="1206" t="s">
        <v>123</v>
      </c>
      <c r="HF89" s="1291"/>
      <c r="HG89" s="1291"/>
      <c r="HH89" s="1199" t="str">
        <f t="shared" si="15"/>
        <v/>
      </c>
      <c r="HI89" s="1208"/>
      <c r="HJ89" s="1208"/>
      <c r="HK89" s="1292"/>
      <c r="HL89" s="1288"/>
      <c r="HM89" s="1288"/>
      <c r="HN89" s="1289"/>
      <c r="HO89" s="1255"/>
      <c r="HP89" s="1204" t="s">
        <v>123</v>
      </c>
      <c r="HQ89" s="1204" t="s">
        <v>123</v>
      </c>
      <c r="HR89" s="1206" t="s">
        <v>123</v>
      </c>
      <c r="HS89" s="1206"/>
      <c r="HT89" s="1206" t="s">
        <v>123</v>
      </c>
      <c r="HU89" s="1291"/>
      <c r="HV89" s="1291"/>
      <c r="HW89" s="1227"/>
    </row>
    <row r="90" ht="15.75" customHeight="1">
      <c r="A90" s="1297"/>
      <c r="B90" s="1298"/>
      <c r="C90" s="1298"/>
      <c r="D90" s="1297"/>
      <c r="E90" s="1299"/>
      <c r="F90" s="1199" t="str">
        <f t="shared" si="1"/>
        <v/>
      </c>
      <c r="G90" s="1208"/>
      <c r="H90" s="1208"/>
      <c r="I90" s="1292"/>
      <c r="J90" s="1288"/>
      <c r="K90" s="1288"/>
      <c r="L90" s="1289"/>
      <c r="M90" s="1255"/>
      <c r="N90" s="1204" t="s">
        <v>123</v>
      </c>
      <c r="O90" s="1204" t="s">
        <v>123</v>
      </c>
      <c r="P90" s="1205" t="s">
        <v>123</v>
      </c>
      <c r="Q90" s="1291"/>
      <c r="R90" s="1291" t="s">
        <v>123</v>
      </c>
      <c r="S90" s="1291"/>
      <c r="T90" s="1291"/>
      <c r="U90" s="1199" t="str">
        <f t="shared" si="2"/>
        <v/>
      </c>
      <c r="V90" s="1208"/>
      <c r="W90" s="1208"/>
      <c r="X90" s="1292"/>
      <c r="Y90" s="1288"/>
      <c r="Z90" s="1288"/>
      <c r="AA90" s="1289"/>
      <c r="AB90" s="1255"/>
      <c r="AC90" s="1204" t="s">
        <v>123</v>
      </c>
      <c r="AD90" s="1204" t="s">
        <v>123</v>
      </c>
      <c r="AE90" s="1205" t="s">
        <v>123</v>
      </c>
      <c r="AF90" s="1206"/>
      <c r="AG90" s="1206" t="s">
        <v>123</v>
      </c>
      <c r="AH90" s="1291"/>
      <c r="AI90" s="1291"/>
      <c r="AJ90" s="1199" t="str">
        <f t="shared" si="3"/>
        <v/>
      </c>
      <c r="AK90" s="1208"/>
      <c r="AL90" s="1208"/>
      <c r="AM90" s="1292"/>
      <c r="AN90" s="1288"/>
      <c r="AO90" s="1288"/>
      <c r="AP90" s="1289"/>
      <c r="AQ90" s="1255"/>
      <c r="AR90" s="1204" t="s">
        <v>123</v>
      </c>
      <c r="AS90" s="1204" t="s">
        <v>123</v>
      </c>
      <c r="AT90" s="1206" t="s">
        <v>123</v>
      </c>
      <c r="AU90" s="1206"/>
      <c r="AV90" s="1206" t="s">
        <v>123</v>
      </c>
      <c r="AW90" s="1291"/>
      <c r="AX90" s="1291"/>
      <c r="AY90" s="1199" t="str">
        <f t="shared" si="4"/>
        <v/>
      </c>
      <c r="AZ90" s="1208"/>
      <c r="BA90" s="1208"/>
      <c r="BB90" s="1292"/>
      <c r="BC90" s="1288"/>
      <c r="BD90" s="1288"/>
      <c r="BE90" s="1289"/>
      <c r="BF90" s="1255"/>
      <c r="BG90" s="1204" t="s">
        <v>123</v>
      </c>
      <c r="BH90" s="1204" t="s">
        <v>123</v>
      </c>
      <c r="BI90" s="1206" t="s">
        <v>123</v>
      </c>
      <c r="BJ90" s="1206"/>
      <c r="BK90" s="1206" t="s">
        <v>123</v>
      </c>
      <c r="BL90" s="1291"/>
      <c r="BM90" s="1291"/>
      <c r="BN90" s="1199" t="str">
        <f t="shared" si="5"/>
        <v/>
      </c>
      <c r="BO90" s="1208"/>
      <c r="BP90" s="1208"/>
      <c r="BQ90" s="1292"/>
      <c r="BR90" s="1288"/>
      <c r="BS90" s="1288"/>
      <c r="BT90" s="1289"/>
      <c r="BU90" s="1255"/>
      <c r="BV90" s="1204" t="s">
        <v>123</v>
      </c>
      <c r="BW90" s="1204" t="s">
        <v>123</v>
      </c>
      <c r="BX90" s="1206" t="s">
        <v>123</v>
      </c>
      <c r="BY90" s="1206"/>
      <c r="BZ90" s="1206" t="s">
        <v>123</v>
      </c>
      <c r="CA90" s="1291"/>
      <c r="CB90" s="1291"/>
      <c r="CC90" s="1199" t="str">
        <f t="shared" si="6"/>
        <v/>
      </c>
      <c r="CD90" s="1208"/>
      <c r="CE90" s="1208"/>
      <c r="CF90" s="1292"/>
      <c r="CG90" s="1288"/>
      <c r="CH90" s="1288"/>
      <c r="CI90" s="1289"/>
      <c r="CJ90" s="1255"/>
      <c r="CK90" s="1204" t="s">
        <v>123</v>
      </c>
      <c r="CL90" s="1204" t="s">
        <v>123</v>
      </c>
      <c r="CM90" s="1206" t="s">
        <v>123</v>
      </c>
      <c r="CN90" s="1206"/>
      <c r="CO90" s="1206" t="s">
        <v>123</v>
      </c>
      <c r="CP90" s="1291"/>
      <c r="CQ90" s="1291"/>
      <c r="CR90" s="1199" t="str">
        <f t="shared" si="7"/>
        <v/>
      </c>
      <c r="CS90" s="1208"/>
      <c r="CT90" s="1208"/>
      <c r="CU90" s="1292"/>
      <c r="CV90" s="1288"/>
      <c r="CW90" s="1288"/>
      <c r="CX90" s="1289"/>
      <c r="CY90" s="1255"/>
      <c r="CZ90" s="1204" t="s">
        <v>123</v>
      </c>
      <c r="DA90" s="1204" t="s">
        <v>123</v>
      </c>
      <c r="DB90" s="1206" t="s">
        <v>123</v>
      </c>
      <c r="DC90" s="1206"/>
      <c r="DD90" s="1206" t="s">
        <v>123</v>
      </c>
      <c r="DE90" s="1291"/>
      <c r="DF90" s="1291"/>
      <c r="DG90" s="1199" t="str">
        <f t="shared" si="8"/>
        <v/>
      </c>
      <c r="DH90" s="1208"/>
      <c r="DI90" s="1208"/>
      <c r="DJ90" s="1302"/>
      <c r="DK90" s="1288"/>
      <c r="DL90" s="1288"/>
      <c r="DM90" s="1289"/>
      <c r="DN90" s="1255"/>
      <c r="DO90" s="1204" t="s">
        <v>123</v>
      </c>
      <c r="DP90" s="1204" t="s">
        <v>123</v>
      </c>
      <c r="DQ90" s="1206" t="s">
        <v>123</v>
      </c>
      <c r="DR90" s="1206"/>
      <c r="DS90" s="1206" t="s">
        <v>123</v>
      </c>
      <c r="DT90" s="1291"/>
      <c r="DU90" s="1291"/>
      <c r="DV90" s="1199" t="str">
        <f t="shared" si="9"/>
        <v/>
      </c>
      <c r="DW90" s="1208"/>
      <c r="DX90" s="1208"/>
      <c r="DY90" s="1292"/>
      <c r="DZ90" s="1288"/>
      <c r="EA90" s="1288"/>
      <c r="EB90" s="1289"/>
      <c r="EC90" s="1255"/>
      <c r="ED90" s="1204" t="s">
        <v>123</v>
      </c>
      <c r="EE90" s="1204" t="s">
        <v>123</v>
      </c>
      <c r="EF90" s="1206" t="s">
        <v>123</v>
      </c>
      <c r="EG90" s="1206"/>
      <c r="EH90" s="1206" t="s">
        <v>123</v>
      </c>
      <c r="EI90" s="1291"/>
      <c r="EJ90" s="1291"/>
      <c r="EK90" s="1199" t="str">
        <f t="shared" si="10"/>
        <v/>
      </c>
      <c r="EL90" s="1208"/>
      <c r="EM90" s="1208"/>
      <c r="EN90" s="1292"/>
      <c r="EO90" s="1288"/>
      <c r="EP90" s="1288"/>
      <c r="EQ90" s="1289"/>
      <c r="ER90" s="1255"/>
      <c r="ES90" s="1204" t="s">
        <v>123</v>
      </c>
      <c r="ET90" s="1204" t="s">
        <v>123</v>
      </c>
      <c r="EU90" s="1206" t="s">
        <v>123</v>
      </c>
      <c r="EV90" s="1206"/>
      <c r="EW90" s="1206" t="s">
        <v>123</v>
      </c>
      <c r="EX90" s="1291"/>
      <c r="EY90" s="1291"/>
      <c r="EZ90" s="1199" t="str">
        <f t="shared" si="11"/>
        <v/>
      </c>
      <c r="FA90" s="1208"/>
      <c r="FB90" s="1208"/>
      <c r="FC90" s="1292"/>
      <c r="FD90" s="1288"/>
      <c r="FE90" s="1288"/>
      <c r="FF90" s="1289"/>
      <c r="FG90" s="1255"/>
      <c r="FH90" s="1204" t="s">
        <v>123</v>
      </c>
      <c r="FI90" s="1204" t="s">
        <v>123</v>
      </c>
      <c r="FJ90" s="1206" t="s">
        <v>123</v>
      </c>
      <c r="FK90" s="1206"/>
      <c r="FL90" s="1206" t="s">
        <v>123</v>
      </c>
      <c r="FM90" s="1291"/>
      <c r="FN90" s="1291"/>
      <c r="FO90" s="1199" t="str">
        <f t="shared" si="12"/>
        <v/>
      </c>
      <c r="FP90" s="1208"/>
      <c r="FQ90" s="1208"/>
      <c r="FR90" s="1292"/>
      <c r="FS90" s="1288"/>
      <c r="FT90" s="1288"/>
      <c r="FU90" s="1289"/>
      <c r="FV90" s="1255"/>
      <c r="FW90" s="1204" t="s">
        <v>123</v>
      </c>
      <c r="FX90" s="1204" t="s">
        <v>123</v>
      </c>
      <c r="FY90" s="1206" t="s">
        <v>123</v>
      </c>
      <c r="FZ90" s="1206"/>
      <c r="GA90" s="1206" t="s">
        <v>123</v>
      </c>
      <c r="GB90" s="1291"/>
      <c r="GC90" s="1291"/>
      <c r="GD90" s="1199" t="str">
        <f t="shared" si="13"/>
        <v/>
      </c>
      <c r="GE90" s="1208"/>
      <c r="GF90" s="1208"/>
      <c r="GG90" s="1292"/>
      <c r="GH90" s="1288"/>
      <c r="GI90" s="1288"/>
      <c r="GJ90" s="1289"/>
      <c r="GK90" s="1255"/>
      <c r="GL90" s="1204" t="s">
        <v>123</v>
      </c>
      <c r="GM90" s="1204" t="s">
        <v>123</v>
      </c>
      <c r="GN90" s="1206" t="s">
        <v>123</v>
      </c>
      <c r="GO90" s="1206"/>
      <c r="GP90" s="1206" t="s">
        <v>123</v>
      </c>
      <c r="GQ90" s="1291"/>
      <c r="GR90" s="1291"/>
      <c r="GS90" s="1199" t="str">
        <f t="shared" si="14"/>
        <v/>
      </c>
      <c r="GT90" s="1208"/>
      <c r="GU90" s="1208"/>
      <c r="GV90" s="1292"/>
      <c r="GW90" s="1288"/>
      <c r="GX90" s="1288"/>
      <c r="GY90" s="1289"/>
      <c r="GZ90" s="1255"/>
      <c r="HA90" s="1204" t="s">
        <v>123</v>
      </c>
      <c r="HB90" s="1204" t="s">
        <v>123</v>
      </c>
      <c r="HC90" s="1206" t="s">
        <v>123</v>
      </c>
      <c r="HD90" s="1206"/>
      <c r="HE90" s="1206" t="s">
        <v>123</v>
      </c>
      <c r="HF90" s="1291"/>
      <c r="HG90" s="1291"/>
      <c r="HH90" s="1199" t="str">
        <f t="shared" si="15"/>
        <v/>
      </c>
      <c r="HI90" s="1208"/>
      <c r="HJ90" s="1208"/>
      <c r="HK90" s="1292"/>
      <c r="HL90" s="1288"/>
      <c r="HM90" s="1288"/>
      <c r="HN90" s="1289"/>
      <c r="HO90" s="1255"/>
      <c r="HP90" s="1204" t="s">
        <v>123</v>
      </c>
      <c r="HQ90" s="1204" t="s">
        <v>123</v>
      </c>
      <c r="HR90" s="1206" t="s">
        <v>123</v>
      </c>
      <c r="HS90" s="1206"/>
      <c r="HT90" s="1206" t="s">
        <v>123</v>
      </c>
      <c r="HU90" s="1291"/>
      <c r="HV90" s="1291"/>
      <c r="HW90" s="1227"/>
    </row>
    <row r="91" ht="15.75" customHeight="1">
      <c r="A91" s="1297"/>
      <c r="B91" s="1298"/>
      <c r="C91" s="1298"/>
      <c r="D91" s="1297"/>
      <c r="E91" s="1299"/>
      <c r="F91" s="1199" t="str">
        <f t="shared" si="1"/>
        <v/>
      </c>
      <c r="G91" s="1208"/>
      <c r="H91" s="1208"/>
      <c r="I91" s="1292"/>
      <c r="J91" s="1288"/>
      <c r="K91" s="1288"/>
      <c r="L91" s="1289"/>
      <c r="M91" s="1255"/>
      <c r="N91" s="1204" t="s">
        <v>123</v>
      </c>
      <c r="O91" s="1204" t="s">
        <v>123</v>
      </c>
      <c r="P91" s="1205" t="s">
        <v>123</v>
      </c>
      <c r="Q91" s="1291"/>
      <c r="R91" s="1291" t="s">
        <v>123</v>
      </c>
      <c r="S91" s="1291"/>
      <c r="T91" s="1291"/>
      <c r="U91" s="1199" t="str">
        <f t="shared" si="2"/>
        <v/>
      </c>
      <c r="V91" s="1208"/>
      <c r="W91" s="1208"/>
      <c r="X91" s="1292"/>
      <c r="Y91" s="1288"/>
      <c r="Z91" s="1288"/>
      <c r="AA91" s="1289"/>
      <c r="AB91" s="1255"/>
      <c r="AC91" s="1204" t="s">
        <v>123</v>
      </c>
      <c r="AD91" s="1204" t="s">
        <v>123</v>
      </c>
      <c r="AE91" s="1205" t="s">
        <v>123</v>
      </c>
      <c r="AF91" s="1206"/>
      <c r="AG91" s="1206" t="s">
        <v>123</v>
      </c>
      <c r="AH91" s="1291"/>
      <c r="AI91" s="1291"/>
      <c r="AJ91" s="1199" t="str">
        <f t="shared" si="3"/>
        <v/>
      </c>
      <c r="AK91" s="1208"/>
      <c r="AL91" s="1208"/>
      <c r="AM91" s="1292"/>
      <c r="AN91" s="1288"/>
      <c r="AO91" s="1288"/>
      <c r="AP91" s="1289"/>
      <c r="AQ91" s="1255"/>
      <c r="AR91" s="1204" t="s">
        <v>123</v>
      </c>
      <c r="AS91" s="1204" t="s">
        <v>123</v>
      </c>
      <c r="AT91" s="1206" t="s">
        <v>123</v>
      </c>
      <c r="AU91" s="1206"/>
      <c r="AV91" s="1206" t="s">
        <v>123</v>
      </c>
      <c r="AW91" s="1291"/>
      <c r="AX91" s="1291"/>
      <c r="AY91" s="1199" t="str">
        <f t="shared" si="4"/>
        <v/>
      </c>
      <c r="AZ91" s="1208"/>
      <c r="BA91" s="1208"/>
      <c r="BB91" s="1292"/>
      <c r="BC91" s="1288"/>
      <c r="BD91" s="1288"/>
      <c r="BE91" s="1289"/>
      <c r="BF91" s="1255"/>
      <c r="BG91" s="1204" t="s">
        <v>123</v>
      </c>
      <c r="BH91" s="1204" t="s">
        <v>123</v>
      </c>
      <c r="BI91" s="1206" t="s">
        <v>123</v>
      </c>
      <c r="BJ91" s="1206"/>
      <c r="BK91" s="1206" t="s">
        <v>123</v>
      </c>
      <c r="BL91" s="1291"/>
      <c r="BM91" s="1291"/>
      <c r="BN91" s="1199" t="str">
        <f t="shared" si="5"/>
        <v/>
      </c>
      <c r="BO91" s="1208"/>
      <c r="BP91" s="1208"/>
      <c r="BQ91" s="1292"/>
      <c r="BR91" s="1288"/>
      <c r="BS91" s="1288"/>
      <c r="BT91" s="1289"/>
      <c r="BU91" s="1255"/>
      <c r="BV91" s="1204" t="s">
        <v>123</v>
      </c>
      <c r="BW91" s="1204" t="s">
        <v>123</v>
      </c>
      <c r="BX91" s="1206" t="s">
        <v>123</v>
      </c>
      <c r="BY91" s="1206"/>
      <c r="BZ91" s="1206" t="s">
        <v>123</v>
      </c>
      <c r="CA91" s="1291"/>
      <c r="CB91" s="1291"/>
      <c r="CC91" s="1199" t="str">
        <f t="shared" si="6"/>
        <v/>
      </c>
      <c r="CD91" s="1208"/>
      <c r="CE91" s="1208"/>
      <c r="CF91" s="1292"/>
      <c r="CG91" s="1288"/>
      <c r="CH91" s="1288"/>
      <c r="CI91" s="1289"/>
      <c r="CJ91" s="1255"/>
      <c r="CK91" s="1204" t="s">
        <v>123</v>
      </c>
      <c r="CL91" s="1204" t="s">
        <v>123</v>
      </c>
      <c r="CM91" s="1206" t="s">
        <v>123</v>
      </c>
      <c r="CN91" s="1206"/>
      <c r="CO91" s="1206" t="s">
        <v>123</v>
      </c>
      <c r="CP91" s="1291"/>
      <c r="CQ91" s="1291"/>
      <c r="CR91" s="1199" t="str">
        <f t="shared" si="7"/>
        <v/>
      </c>
      <c r="CS91" s="1208"/>
      <c r="CT91" s="1208"/>
      <c r="CU91" s="1292"/>
      <c r="CV91" s="1288"/>
      <c r="CW91" s="1288"/>
      <c r="CX91" s="1289"/>
      <c r="CY91" s="1255"/>
      <c r="CZ91" s="1204" t="s">
        <v>123</v>
      </c>
      <c r="DA91" s="1204" t="s">
        <v>123</v>
      </c>
      <c r="DB91" s="1206" t="s">
        <v>123</v>
      </c>
      <c r="DC91" s="1206"/>
      <c r="DD91" s="1206" t="s">
        <v>123</v>
      </c>
      <c r="DE91" s="1291"/>
      <c r="DF91" s="1291"/>
      <c r="DG91" s="1199" t="str">
        <f t="shared" si="8"/>
        <v/>
      </c>
      <c r="DH91" s="1208"/>
      <c r="DI91" s="1208"/>
      <c r="DJ91" s="1302"/>
      <c r="DK91" s="1288"/>
      <c r="DL91" s="1288"/>
      <c r="DM91" s="1289"/>
      <c r="DN91" s="1255"/>
      <c r="DO91" s="1204" t="s">
        <v>123</v>
      </c>
      <c r="DP91" s="1204" t="s">
        <v>123</v>
      </c>
      <c r="DQ91" s="1206" t="s">
        <v>123</v>
      </c>
      <c r="DR91" s="1206"/>
      <c r="DS91" s="1206" t="s">
        <v>123</v>
      </c>
      <c r="DT91" s="1291"/>
      <c r="DU91" s="1291"/>
      <c r="DV91" s="1199" t="str">
        <f t="shared" si="9"/>
        <v/>
      </c>
      <c r="DW91" s="1208"/>
      <c r="DX91" s="1208"/>
      <c r="DY91" s="1292"/>
      <c r="DZ91" s="1288"/>
      <c r="EA91" s="1288"/>
      <c r="EB91" s="1289"/>
      <c r="EC91" s="1255"/>
      <c r="ED91" s="1204" t="s">
        <v>123</v>
      </c>
      <c r="EE91" s="1204" t="s">
        <v>123</v>
      </c>
      <c r="EF91" s="1206" t="s">
        <v>123</v>
      </c>
      <c r="EG91" s="1206"/>
      <c r="EH91" s="1206" t="s">
        <v>123</v>
      </c>
      <c r="EI91" s="1291"/>
      <c r="EJ91" s="1291"/>
      <c r="EK91" s="1199" t="str">
        <f t="shared" si="10"/>
        <v/>
      </c>
      <c r="EL91" s="1208"/>
      <c r="EM91" s="1208"/>
      <c r="EN91" s="1292"/>
      <c r="EO91" s="1288"/>
      <c r="EP91" s="1288"/>
      <c r="EQ91" s="1289"/>
      <c r="ER91" s="1255"/>
      <c r="ES91" s="1204" t="s">
        <v>123</v>
      </c>
      <c r="ET91" s="1204" t="s">
        <v>123</v>
      </c>
      <c r="EU91" s="1206" t="s">
        <v>123</v>
      </c>
      <c r="EV91" s="1206"/>
      <c r="EW91" s="1206" t="s">
        <v>123</v>
      </c>
      <c r="EX91" s="1291"/>
      <c r="EY91" s="1291"/>
      <c r="EZ91" s="1199" t="str">
        <f t="shared" si="11"/>
        <v/>
      </c>
      <c r="FA91" s="1208"/>
      <c r="FB91" s="1208"/>
      <c r="FC91" s="1292"/>
      <c r="FD91" s="1288"/>
      <c r="FE91" s="1288"/>
      <c r="FF91" s="1289"/>
      <c r="FG91" s="1255"/>
      <c r="FH91" s="1204" t="s">
        <v>123</v>
      </c>
      <c r="FI91" s="1204" t="s">
        <v>123</v>
      </c>
      <c r="FJ91" s="1206" t="s">
        <v>123</v>
      </c>
      <c r="FK91" s="1206"/>
      <c r="FL91" s="1206" t="s">
        <v>123</v>
      </c>
      <c r="FM91" s="1291"/>
      <c r="FN91" s="1291"/>
      <c r="FO91" s="1199" t="str">
        <f t="shared" si="12"/>
        <v/>
      </c>
      <c r="FP91" s="1208"/>
      <c r="FQ91" s="1208"/>
      <c r="FR91" s="1292"/>
      <c r="FS91" s="1288"/>
      <c r="FT91" s="1288"/>
      <c r="FU91" s="1289"/>
      <c r="FV91" s="1255"/>
      <c r="FW91" s="1204" t="s">
        <v>123</v>
      </c>
      <c r="FX91" s="1204" t="s">
        <v>123</v>
      </c>
      <c r="FY91" s="1206" t="s">
        <v>123</v>
      </c>
      <c r="FZ91" s="1206"/>
      <c r="GA91" s="1206" t="s">
        <v>123</v>
      </c>
      <c r="GB91" s="1291"/>
      <c r="GC91" s="1291"/>
      <c r="GD91" s="1199" t="str">
        <f t="shared" si="13"/>
        <v/>
      </c>
      <c r="GE91" s="1208"/>
      <c r="GF91" s="1208"/>
      <c r="GG91" s="1292"/>
      <c r="GH91" s="1288"/>
      <c r="GI91" s="1288"/>
      <c r="GJ91" s="1289"/>
      <c r="GK91" s="1255"/>
      <c r="GL91" s="1204" t="s">
        <v>123</v>
      </c>
      <c r="GM91" s="1204" t="s">
        <v>123</v>
      </c>
      <c r="GN91" s="1206" t="s">
        <v>123</v>
      </c>
      <c r="GO91" s="1206"/>
      <c r="GP91" s="1206" t="s">
        <v>123</v>
      </c>
      <c r="GQ91" s="1291"/>
      <c r="GR91" s="1291"/>
      <c r="GS91" s="1199" t="str">
        <f t="shared" si="14"/>
        <v/>
      </c>
      <c r="GT91" s="1208"/>
      <c r="GU91" s="1208"/>
      <c r="GV91" s="1292"/>
      <c r="GW91" s="1288"/>
      <c r="GX91" s="1288"/>
      <c r="GY91" s="1289"/>
      <c r="GZ91" s="1255"/>
      <c r="HA91" s="1204" t="s">
        <v>123</v>
      </c>
      <c r="HB91" s="1204" t="s">
        <v>123</v>
      </c>
      <c r="HC91" s="1206" t="s">
        <v>123</v>
      </c>
      <c r="HD91" s="1206"/>
      <c r="HE91" s="1206" t="s">
        <v>123</v>
      </c>
      <c r="HF91" s="1291"/>
      <c r="HG91" s="1291"/>
      <c r="HH91" s="1199" t="str">
        <f t="shared" si="15"/>
        <v/>
      </c>
      <c r="HI91" s="1208"/>
      <c r="HJ91" s="1208"/>
      <c r="HK91" s="1292"/>
      <c r="HL91" s="1288"/>
      <c r="HM91" s="1288"/>
      <c r="HN91" s="1289"/>
      <c r="HO91" s="1255"/>
      <c r="HP91" s="1204" t="s">
        <v>123</v>
      </c>
      <c r="HQ91" s="1204" t="s">
        <v>123</v>
      </c>
      <c r="HR91" s="1206" t="s">
        <v>123</v>
      </c>
      <c r="HS91" s="1206"/>
      <c r="HT91" s="1206" t="s">
        <v>123</v>
      </c>
      <c r="HU91" s="1291"/>
      <c r="HV91" s="1291"/>
      <c r="HW91" s="1227"/>
    </row>
    <row r="92" ht="15.75" customHeight="1">
      <c r="A92" s="1297"/>
      <c r="B92" s="1298"/>
      <c r="C92" s="1298"/>
      <c r="D92" s="1297"/>
      <c r="E92" s="1299"/>
      <c r="F92" s="1199" t="str">
        <f t="shared" si="1"/>
        <v/>
      </c>
      <c r="G92" s="1208"/>
      <c r="H92" s="1208"/>
      <c r="I92" s="1292"/>
      <c r="J92" s="1288"/>
      <c r="K92" s="1288"/>
      <c r="L92" s="1289"/>
      <c r="M92" s="1255"/>
      <c r="N92" s="1204" t="s">
        <v>123</v>
      </c>
      <c r="O92" s="1204" t="s">
        <v>123</v>
      </c>
      <c r="P92" s="1205" t="s">
        <v>123</v>
      </c>
      <c r="Q92" s="1291"/>
      <c r="R92" s="1291" t="s">
        <v>123</v>
      </c>
      <c r="S92" s="1291"/>
      <c r="T92" s="1291"/>
      <c r="U92" s="1199" t="str">
        <f t="shared" si="2"/>
        <v/>
      </c>
      <c r="V92" s="1208"/>
      <c r="W92" s="1208"/>
      <c r="X92" s="1292"/>
      <c r="Y92" s="1288"/>
      <c r="Z92" s="1288"/>
      <c r="AA92" s="1289"/>
      <c r="AB92" s="1255"/>
      <c r="AC92" s="1204" t="s">
        <v>123</v>
      </c>
      <c r="AD92" s="1204" t="s">
        <v>123</v>
      </c>
      <c r="AE92" s="1205" t="s">
        <v>123</v>
      </c>
      <c r="AF92" s="1206"/>
      <c r="AG92" s="1206" t="s">
        <v>123</v>
      </c>
      <c r="AH92" s="1291"/>
      <c r="AI92" s="1291"/>
      <c r="AJ92" s="1199" t="str">
        <f t="shared" si="3"/>
        <v/>
      </c>
      <c r="AK92" s="1208"/>
      <c r="AL92" s="1208"/>
      <c r="AM92" s="1292"/>
      <c r="AN92" s="1288"/>
      <c r="AO92" s="1288"/>
      <c r="AP92" s="1289"/>
      <c r="AQ92" s="1255"/>
      <c r="AR92" s="1204" t="s">
        <v>123</v>
      </c>
      <c r="AS92" s="1204" t="s">
        <v>123</v>
      </c>
      <c r="AT92" s="1206" t="s">
        <v>123</v>
      </c>
      <c r="AU92" s="1206"/>
      <c r="AV92" s="1206" t="s">
        <v>123</v>
      </c>
      <c r="AW92" s="1291"/>
      <c r="AX92" s="1291"/>
      <c r="AY92" s="1199" t="str">
        <f t="shared" si="4"/>
        <v/>
      </c>
      <c r="AZ92" s="1208"/>
      <c r="BA92" s="1208"/>
      <c r="BB92" s="1292"/>
      <c r="BC92" s="1288"/>
      <c r="BD92" s="1288"/>
      <c r="BE92" s="1289"/>
      <c r="BF92" s="1255"/>
      <c r="BG92" s="1204" t="s">
        <v>123</v>
      </c>
      <c r="BH92" s="1204" t="s">
        <v>123</v>
      </c>
      <c r="BI92" s="1206" t="s">
        <v>123</v>
      </c>
      <c r="BJ92" s="1206"/>
      <c r="BK92" s="1206" t="s">
        <v>123</v>
      </c>
      <c r="BL92" s="1291"/>
      <c r="BM92" s="1291"/>
      <c r="BN92" s="1199" t="str">
        <f t="shared" si="5"/>
        <v/>
      </c>
      <c r="BO92" s="1208"/>
      <c r="BP92" s="1208"/>
      <c r="BQ92" s="1292"/>
      <c r="BR92" s="1288"/>
      <c r="BS92" s="1288"/>
      <c r="BT92" s="1289"/>
      <c r="BU92" s="1255"/>
      <c r="BV92" s="1204" t="s">
        <v>123</v>
      </c>
      <c r="BW92" s="1204" t="s">
        <v>123</v>
      </c>
      <c r="BX92" s="1206" t="s">
        <v>123</v>
      </c>
      <c r="BY92" s="1206"/>
      <c r="BZ92" s="1206" t="s">
        <v>123</v>
      </c>
      <c r="CA92" s="1291"/>
      <c r="CB92" s="1291"/>
      <c r="CC92" s="1199" t="str">
        <f t="shared" si="6"/>
        <v/>
      </c>
      <c r="CD92" s="1208"/>
      <c r="CE92" s="1208"/>
      <c r="CF92" s="1292"/>
      <c r="CG92" s="1288"/>
      <c r="CH92" s="1288"/>
      <c r="CI92" s="1289"/>
      <c r="CJ92" s="1255"/>
      <c r="CK92" s="1204" t="s">
        <v>123</v>
      </c>
      <c r="CL92" s="1204" t="s">
        <v>123</v>
      </c>
      <c r="CM92" s="1206" t="s">
        <v>123</v>
      </c>
      <c r="CN92" s="1206"/>
      <c r="CO92" s="1206" t="s">
        <v>123</v>
      </c>
      <c r="CP92" s="1291"/>
      <c r="CQ92" s="1291"/>
      <c r="CR92" s="1199" t="str">
        <f t="shared" si="7"/>
        <v/>
      </c>
      <c r="CS92" s="1208"/>
      <c r="CT92" s="1208"/>
      <c r="CU92" s="1292"/>
      <c r="CV92" s="1288"/>
      <c r="CW92" s="1288"/>
      <c r="CX92" s="1289"/>
      <c r="CY92" s="1255"/>
      <c r="CZ92" s="1204" t="s">
        <v>123</v>
      </c>
      <c r="DA92" s="1204" t="s">
        <v>123</v>
      </c>
      <c r="DB92" s="1206" t="s">
        <v>123</v>
      </c>
      <c r="DC92" s="1206"/>
      <c r="DD92" s="1206" t="s">
        <v>123</v>
      </c>
      <c r="DE92" s="1291"/>
      <c r="DF92" s="1291"/>
      <c r="DG92" s="1199" t="str">
        <f t="shared" si="8"/>
        <v/>
      </c>
      <c r="DH92" s="1208"/>
      <c r="DI92" s="1208"/>
      <c r="DJ92" s="1302"/>
      <c r="DK92" s="1288"/>
      <c r="DL92" s="1288"/>
      <c r="DM92" s="1289"/>
      <c r="DN92" s="1255"/>
      <c r="DO92" s="1204" t="s">
        <v>123</v>
      </c>
      <c r="DP92" s="1204" t="s">
        <v>123</v>
      </c>
      <c r="DQ92" s="1206" t="s">
        <v>123</v>
      </c>
      <c r="DR92" s="1206"/>
      <c r="DS92" s="1206" t="s">
        <v>123</v>
      </c>
      <c r="DT92" s="1291"/>
      <c r="DU92" s="1291"/>
      <c r="DV92" s="1199" t="str">
        <f t="shared" si="9"/>
        <v/>
      </c>
      <c r="DW92" s="1208"/>
      <c r="DX92" s="1208"/>
      <c r="DY92" s="1292"/>
      <c r="DZ92" s="1288"/>
      <c r="EA92" s="1288"/>
      <c r="EB92" s="1289"/>
      <c r="EC92" s="1255"/>
      <c r="ED92" s="1204" t="s">
        <v>123</v>
      </c>
      <c r="EE92" s="1204" t="s">
        <v>123</v>
      </c>
      <c r="EF92" s="1206" t="s">
        <v>123</v>
      </c>
      <c r="EG92" s="1206"/>
      <c r="EH92" s="1206" t="s">
        <v>123</v>
      </c>
      <c r="EI92" s="1291"/>
      <c r="EJ92" s="1291"/>
      <c r="EK92" s="1199" t="str">
        <f t="shared" si="10"/>
        <v/>
      </c>
      <c r="EL92" s="1208"/>
      <c r="EM92" s="1208"/>
      <c r="EN92" s="1292"/>
      <c r="EO92" s="1288"/>
      <c r="EP92" s="1288"/>
      <c r="EQ92" s="1289"/>
      <c r="ER92" s="1255"/>
      <c r="ES92" s="1204" t="s">
        <v>123</v>
      </c>
      <c r="ET92" s="1204" t="s">
        <v>123</v>
      </c>
      <c r="EU92" s="1206" t="s">
        <v>123</v>
      </c>
      <c r="EV92" s="1206"/>
      <c r="EW92" s="1206" t="s">
        <v>123</v>
      </c>
      <c r="EX92" s="1291"/>
      <c r="EY92" s="1291"/>
      <c r="EZ92" s="1199" t="str">
        <f t="shared" si="11"/>
        <v/>
      </c>
      <c r="FA92" s="1208"/>
      <c r="FB92" s="1208"/>
      <c r="FC92" s="1292"/>
      <c r="FD92" s="1288"/>
      <c r="FE92" s="1288"/>
      <c r="FF92" s="1289"/>
      <c r="FG92" s="1255"/>
      <c r="FH92" s="1204" t="s">
        <v>123</v>
      </c>
      <c r="FI92" s="1204" t="s">
        <v>123</v>
      </c>
      <c r="FJ92" s="1206" t="s">
        <v>123</v>
      </c>
      <c r="FK92" s="1206"/>
      <c r="FL92" s="1206" t="s">
        <v>123</v>
      </c>
      <c r="FM92" s="1291"/>
      <c r="FN92" s="1291"/>
      <c r="FO92" s="1199" t="str">
        <f t="shared" si="12"/>
        <v/>
      </c>
      <c r="FP92" s="1208"/>
      <c r="FQ92" s="1208"/>
      <c r="FR92" s="1292"/>
      <c r="FS92" s="1288"/>
      <c r="FT92" s="1288"/>
      <c r="FU92" s="1289"/>
      <c r="FV92" s="1255"/>
      <c r="FW92" s="1204" t="s">
        <v>123</v>
      </c>
      <c r="FX92" s="1204" t="s">
        <v>123</v>
      </c>
      <c r="FY92" s="1206" t="s">
        <v>123</v>
      </c>
      <c r="FZ92" s="1206"/>
      <c r="GA92" s="1206" t="s">
        <v>123</v>
      </c>
      <c r="GB92" s="1291"/>
      <c r="GC92" s="1291"/>
      <c r="GD92" s="1199" t="str">
        <f t="shared" si="13"/>
        <v/>
      </c>
      <c r="GE92" s="1208"/>
      <c r="GF92" s="1208"/>
      <c r="GG92" s="1292"/>
      <c r="GH92" s="1288"/>
      <c r="GI92" s="1288"/>
      <c r="GJ92" s="1289"/>
      <c r="GK92" s="1255"/>
      <c r="GL92" s="1204" t="s">
        <v>123</v>
      </c>
      <c r="GM92" s="1204" t="s">
        <v>123</v>
      </c>
      <c r="GN92" s="1206" t="s">
        <v>123</v>
      </c>
      <c r="GO92" s="1206"/>
      <c r="GP92" s="1206" t="s">
        <v>123</v>
      </c>
      <c r="GQ92" s="1291"/>
      <c r="GR92" s="1291"/>
      <c r="GS92" s="1199" t="str">
        <f t="shared" si="14"/>
        <v/>
      </c>
      <c r="GT92" s="1208"/>
      <c r="GU92" s="1208"/>
      <c r="GV92" s="1292"/>
      <c r="GW92" s="1288"/>
      <c r="GX92" s="1288"/>
      <c r="GY92" s="1289"/>
      <c r="GZ92" s="1255"/>
      <c r="HA92" s="1204" t="s">
        <v>123</v>
      </c>
      <c r="HB92" s="1204" t="s">
        <v>123</v>
      </c>
      <c r="HC92" s="1206" t="s">
        <v>123</v>
      </c>
      <c r="HD92" s="1206"/>
      <c r="HE92" s="1206" t="s">
        <v>123</v>
      </c>
      <c r="HF92" s="1291"/>
      <c r="HG92" s="1291"/>
      <c r="HH92" s="1199" t="str">
        <f t="shared" si="15"/>
        <v/>
      </c>
      <c r="HI92" s="1208"/>
      <c r="HJ92" s="1208"/>
      <c r="HK92" s="1292"/>
      <c r="HL92" s="1288"/>
      <c r="HM92" s="1288"/>
      <c r="HN92" s="1289"/>
      <c r="HO92" s="1255"/>
      <c r="HP92" s="1204" t="s">
        <v>123</v>
      </c>
      <c r="HQ92" s="1204" t="s">
        <v>123</v>
      </c>
      <c r="HR92" s="1206" t="s">
        <v>123</v>
      </c>
      <c r="HS92" s="1206"/>
      <c r="HT92" s="1206" t="s">
        <v>123</v>
      </c>
      <c r="HU92" s="1291"/>
      <c r="HV92" s="1291"/>
      <c r="HW92" s="1227"/>
    </row>
    <row r="93" ht="15.75" customHeight="1">
      <c r="A93" s="1297"/>
      <c r="B93" s="1298"/>
      <c r="C93" s="1298"/>
      <c r="D93" s="1297"/>
      <c r="E93" s="1299"/>
      <c r="F93" s="1199" t="str">
        <f t="shared" si="1"/>
        <v/>
      </c>
      <c r="G93" s="1208"/>
      <c r="H93" s="1208"/>
      <c r="I93" s="1292"/>
      <c r="J93" s="1288"/>
      <c r="K93" s="1288"/>
      <c r="L93" s="1289"/>
      <c r="M93" s="1255"/>
      <c r="N93" s="1204" t="s">
        <v>123</v>
      </c>
      <c r="O93" s="1204" t="s">
        <v>123</v>
      </c>
      <c r="P93" s="1205" t="s">
        <v>123</v>
      </c>
      <c r="Q93" s="1291"/>
      <c r="R93" s="1291" t="s">
        <v>123</v>
      </c>
      <c r="S93" s="1291"/>
      <c r="T93" s="1291"/>
      <c r="U93" s="1199" t="str">
        <f t="shared" si="2"/>
        <v/>
      </c>
      <c r="V93" s="1208"/>
      <c r="W93" s="1208"/>
      <c r="X93" s="1292"/>
      <c r="Y93" s="1288"/>
      <c r="Z93" s="1288"/>
      <c r="AA93" s="1289"/>
      <c r="AB93" s="1255"/>
      <c r="AC93" s="1204" t="s">
        <v>123</v>
      </c>
      <c r="AD93" s="1204" t="s">
        <v>123</v>
      </c>
      <c r="AE93" s="1205" t="s">
        <v>123</v>
      </c>
      <c r="AF93" s="1206"/>
      <c r="AG93" s="1206" t="s">
        <v>123</v>
      </c>
      <c r="AH93" s="1291"/>
      <c r="AI93" s="1291"/>
      <c r="AJ93" s="1199" t="str">
        <f t="shared" si="3"/>
        <v/>
      </c>
      <c r="AK93" s="1208"/>
      <c r="AL93" s="1208"/>
      <c r="AM93" s="1292"/>
      <c r="AN93" s="1288"/>
      <c r="AO93" s="1288"/>
      <c r="AP93" s="1289"/>
      <c r="AQ93" s="1255"/>
      <c r="AR93" s="1204" t="s">
        <v>123</v>
      </c>
      <c r="AS93" s="1204" t="s">
        <v>123</v>
      </c>
      <c r="AT93" s="1206" t="s">
        <v>123</v>
      </c>
      <c r="AU93" s="1206"/>
      <c r="AV93" s="1206" t="s">
        <v>123</v>
      </c>
      <c r="AW93" s="1291"/>
      <c r="AX93" s="1291"/>
      <c r="AY93" s="1199" t="str">
        <f t="shared" si="4"/>
        <v/>
      </c>
      <c r="AZ93" s="1208"/>
      <c r="BA93" s="1208"/>
      <c r="BB93" s="1292"/>
      <c r="BC93" s="1288"/>
      <c r="BD93" s="1288"/>
      <c r="BE93" s="1289"/>
      <c r="BF93" s="1255"/>
      <c r="BG93" s="1204" t="s">
        <v>123</v>
      </c>
      <c r="BH93" s="1204" t="s">
        <v>123</v>
      </c>
      <c r="BI93" s="1206" t="s">
        <v>123</v>
      </c>
      <c r="BJ93" s="1206"/>
      <c r="BK93" s="1206" t="s">
        <v>123</v>
      </c>
      <c r="BL93" s="1291"/>
      <c r="BM93" s="1291"/>
      <c r="BN93" s="1199" t="str">
        <f t="shared" si="5"/>
        <v/>
      </c>
      <c r="BO93" s="1208"/>
      <c r="BP93" s="1208"/>
      <c r="BQ93" s="1292"/>
      <c r="BR93" s="1288"/>
      <c r="BS93" s="1288"/>
      <c r="BT93" s="1289"/>
      <c r="BU93" s="1255"/>
      <c r="BV93" s="1204" t="s">
        <v>123</v>
      </c>
      <c r="BW93" s="1204" t="s">
        <v>123</v>
      </c>
      <c r="BX93" s="1206" t="s">
        <v>123</v>
      </c>
      <c r="BY93" s="1206"/>
      <c r="BZ93" s="1206" t="s">
        <v>123</v>
      </c>
      <c r="CA93" s="1291"/>
      <c r="CB93" s="1291"/>
      <c r="CC93" s="1199" t="str">
        <f t="shared" si="6"/>
        <v/>
      </c>
      <c r="CD93" s="1208"/>
      <c r="CE93" s="1208"/>
      <c r="CF93" s="1292"/>
      <c r="CG93" s="1288"/>
      <c r="CH93" s="1288"/>
      <c r="CI93" s="1289"/>
      <c r="CJ93" s="1255"/>
      <c r="CK93" s="1204" t="s">
        <v>123</v>
      </c>
      <c r="CL93" s="1204" t="s">
        <v>123</v>
      </c>
      <c r="CM93" s="1206" t="s">
        <v>123</v>
      </c>
      <c r="CN93" s="1206"/>
      <c r="CO93" s="1206" t="s">
        <v>123</v>
      </c>
      <c r="CP93" s="1291"/>
      <c r="CQ93" s="1291"/>
      <c r="CR93" s="1199" t="str">
        <f t="shared" si="7"/>
        <v/>
      </c>
      <c r="CS93" s="1208"/>
      <c r="CT93" s="1208"/>
      <c r="CU93" s="1292"/>
      <c r="CV93" s="1288"/>
      <c r="CW93" s="1288"/>
      <c r="CX93" s="1289"/>
      <c r="CY93" s="1255"/>
      <c r="CZ93" s="1204" t="s">
        <v>123</v>
      </c>
      <c r="DA93" s="1204" t="s">
        <v>123</v>
      </c>
      <c r="DB93" s="1206" t="s">
        <v>123</v>
      </c>
      <c r="DC93" s="1206"/>
      <c r="DD93" s="1206" t="s">
        <v>123</v>
      </c>
      <c r="DE93" s="1291"/>
      <c r="DF93" s="1291"/>
      <c r="DG93" s="1199" t="str">
        <f t="shared" si="8"/>
        <v/>
      </c>
      <c r="DH93" s="1208"/>
      <c r="DI93" s="1208"/>
      <c r="DJ93" s="1302"/>
      <c r="DK93" s="1288"/>
      <c r="DL93" s="1288"/>
      <c r="DM93" s="1289"/>
      <c r="DN93" s="1255"/>
      <c r="DO93" s="1204" t="s">
        <v>123</v>
      </c>
      <c r="DP93" s="1204" t="s">
        <v>123</v>
      </c>
      <c r="DQ93" s="1206" t="s">
        <v>123</v>
      </c>
      <c r="DR93" s="1206"/>
      <c r="DS93" s="1206" t="s">
        <v>123</v>
      </c>
      <c r="DT93" s="1291"/>
      <c r="DU93" s="1291"/>
      <c r="DV93" s="1199" t="str">
        <f t="shared" si="9"/>
        <v/>
      </c>
      <c r="DW93" s="1208"/>
      <c r="DX93" s="1208"/>
      <c r="DY93" s="1292"/>
      <c r="DZ93" s="1288"/>
      <c r="EA93" s="1288"/>
      <c r="EB93" s="1289"/>
      <c r="EC93" s="1255"/>
      <c r="ED93" s="1204" t="s">
        <v>123</v>
      </c>
      <c r="EE93" s="1204" t="s">
        <v>123</v>
      </c>
      <c r="EF93" s="1206" t="s">
        <v>123</v>
      </c>
      <c r="EG93" s="1206"/>
      <c r="EH93" s="1206" t="s">
        <v>123</v>
      </c>
      <c r="EI93" s="1291"/>
      <c r="EJ93" s="1291"/>
      <c r="EK93" s="1199" t="str">
        <f t="shared" si="10"/>
        <v/>
      </c>
      <c r="EL93" s="1208"/>
      <c r="EM93" s="1208"/>
      <c r="EN93" s="1292"/>
      <c r="EO93" s="1288"/>
      <c r="EP93" s="1288"/>
      <c r="EQ93" s="1289"/>
      <c r="ER93" s="1255"/>
      <c r="ES93" s="1204" t="s">
        <v>123</v>
      </c>
      <c r="ET93" s="1204" t="s">
        <v>123</v>
      </c>
      <c r="EU93" s="1206" t="s">
        <v>123</v>
      </c>
      <c r="EV93" s="1206"/>
      <c r="EW93" s="1206" t="s">
        <v>123</v>
      </c>
      <c r="EX93" s="1291"/>
      <c r="EY93" s="1291"/>
      <c r="EZ93" s="1199" t="str">
        <f t="shared" si="11"/>
        <v/>
      </c>
      <c r="FA93" s="1208"/>
      <c r="FB93" s="1208"/>
      <c r="FC93" s="1292"/>
      <c r="FD93" s="1288"/>
      <c r="FE93" s="1288"/>
      <c r="FF93" s="1289"/>
      <c r="FG93" s="1255"/>
      <c r="FH93" s="1204" t="s">
        <v>123</v>
      </c>
      <c r="FI93" s="1204" t="s">
        <v>123</v>
      </c>
      <c r="FJ93" s="1206" t="s">
        <v>123</v>
      </c>
      <c r="FK93" s="1206"/>
      <c r="FL93" s="1206" t="s">
        <v>123</v>
      </c>
      <c r="FM93" s="1291"/>
      <c r="FN93" s="1291"/>
      <c r="FO93" s="1199" t="str">
        <f t="shared" si="12"/>
        <v/>
      </c>
      <c r="FP93" s="1208"/>
      <c r="FQ93" s="1208"/>
      <c r="FR93" s="1292"/>
      <c r="FS93" s="1288"/>
      <c r="FT93" s="1288"/>
      <c r="FU93" s="1289"/>
      <c r="FV93" s="1255"/>
      <c r="FW93" s="1204" t="s">
        <v>123</v>
      </c>
      <c r="FX93" s="1204" t="s">
        <v>123</v>
      </c>
      <c r="FY93" s="1206" t="s">
        <v>123</v>
      </c>
      <c r="FZ93" s="1206"/>
      <c r="GA93" s="1206" t="s">
        <v>123</v>
      </c>
      <c r="GB93" s="1291"/>
      <c r="GC93" s="1291"/>
      <c r="GD93" s="1199" t="str">
        <f t="shared" si="13"/>
        <v/>
      </c>
      <c r="GE93" s="1208"/>
      <c r="GF93" s="1208"/>
      <c r="GG93" s="1292"/>
      <c r="GH93" s="1288"/>
      <c r="GI93" s="1288"/>
      <c r="GJ93" s="1289"/>
      <c r="GK93" s="1255"/>
      <c r="GL93" s="1204" t="s">
        <v>123</v>
      </c>
      <c r="GM93" s="1204" t="s">
        <v>123</v>
      </c>
      <c r="GN93" s="1206" t="s">
        <v>123</v>
      </c>
      <c r="GO93" s="1206"/>
      <c r="GP93" s="1206" t="s">
        <v>123</v>
      </c>
      <c r="GQ93" s="1291"/>
      <c r="GR93" s="1291"/>
      <c r="GS93" s="1199" t="str">
        <f t="shared" si="14"/>
        <v/>
      </c>
      <c r="GT93" s="1208"/>
      <c r="GU93" s="1208"/>
      <c r="GV93" s="1292"/>
      <c r="GW93" s="1288"/>
      <c r="GX93" s="1288"/>
      <c r="GY93" s="1289"/>
      <c r="GZ93" s="1255"/>
      <c r="HA93" s="1204" t="s">
        <v>123</v>
      </c>
      <c r="HB93" s="1204" t="s">
        <v>123</v>
      </c>
      <c r="HC93" s="1206" t="s">
        <v>123</v>
      </c>
      <c r="HD93" s="1206"/>
      <c r="HE93" s="1206" t="s">
        <v>123</v>
      </c>
      <c r="HF93" s="1291"/>
      <c r="HG93" s="1291"/>
      <c r="HH93" s="1199" t="str">
        <f t="shared" si="15"/>
        <v/>
      </c>
      <c r="HI93" s="1208"/>
      <c r="HJ93" s="1208"/>
      <c r="HK93" s="1292"/>
      <c r="HL93" s="1288"/>
      <c r="HM93" s="1288"/>
      <c r="HN93" s="1289"/>
      <c r="HO93" s="1255"/>
      <c r="HP93" s="1204" t="s">
        <v>123</v>
      </c>
      <c r="HQ93" s="1204" t="s">
        <v>123</v>
      </c>
      <c r="HR93" s="1206" t="s">
        <v>123</v>
      </c>
      <c r="HS93" s="1206"/>
      <c r="HT93" s="1206" t="s">
        <v>123</v>
      </c>
      <c r="HU93" s="1291"/>
      <c r="HV93" s="1291"/>
      <c r="HW93" s="1227"/>
    </row>
    <row r="94" ht="15.75" customHeight="1">
      <c r="A94" s="1297"/>
      <c r="B94" s="1298"/>
      <c r="C94" s="1298"/>
      <c r="D94" s="1297"/>
      <c r="E94" s="1299"/>
      <c r="F94" s="1199" t="str">
        <f t="shared" si="1"/>
        <v/>
      </c>
      <c r="G94" s="1208"/>
      <c r="H94" s="1208"/>
      <c r="I94" s="1292"/>
      <c r="J94" s="1288"/>
      <c r="K94" s="1288"/>
      <c r="L94" s="1289"/>
      <c r="M94" s="1255"/>
      <c r="N94" s="1204" t="s">
        <v>123</v>
      </c>
      <c r="O94" s="1204" t="s">
        <v>123</v>
      </c>
      <c r="P94" s="1205" t="s">
        <v>123</v>
      </c>
      <c r="Q94" s="1291"/>
      <c r="R94" s="1291" t="s">
        <v>123</v>
      </c>
      <c r="S94" s="1291"/>
      <c r="T94" s="1291"/>
      <c r="U94" s="1199" t="str">
        <f t="shared" si="2"/>
        <v/>
      </c>
      <c r="V94" s="1208"/>
      <c r="W94" s="1208"/>
      <c r="X94" s="1292"/>
      <c r="Y94" s="1288"/>
      <c r="Z94" s="1288"/>
      <c r="AA94" s="1289"/>
      <c r="AB94" s="1255"/>
      <c r="AC94" s="1204" t="s">
        <v>123</v>
      </c>
      <c r="AD94" s="1204" t="s">
        <v>123</v>
      </c>
      <c r="AE94" s="1205" t="s">
        <v>123</v>
      </c>
      <c r="AF94" s="1206"/>
      <c r="AG94" s="1206" t="s">
        <v>123</v>
      </c>
      <c r="AH94" s="1291"/>
      <c r="AI94" s="1291"/>
      <c r="AJ94" s="1199" t="str">
        <f t="shared" si="3"/>
        <v/>
      </c>
      <c r="AK94" s="1208"/>
      <c r="AL94" s="1208"/>
      <c r="AM94" s="1292"/>
      <c r="AN94" s="1288"/>
      <c r="AO94" s="1288"/>
      <c r="AP94" s="1289"/>
      <c r="AQ94" s="1255"/>
      <c r="AR94" s="1204" t="s">
        <v>123</v>
      </c>
      <c r="AS94" s="1204" t="s">
        <v>123</v>
      </c>
      <c r="AT94" s="1206" t="s">
        <v>123</v>
      </c>
      <c r="AU94" s="1206"/>
      <c r="AV94" s="1206" t="s">
        <v>123</v>
      </c>
      <c r="AW94" s="1291"/>
      <c r="AX94" s="1291"/>
      <c r="AY94" s="1199" t="str">
        <f t="shared" si="4"/>
        <v/>
      </c>
      <c r="AZ94" s="1208"/>
      <c r="BA94" s="1208"/>
      <c r="BB94" s="1292"/>
      <c r="BC94" s="1288"/>
      <c r="BD94" s="1288"/>
      <c r="BE94" s="1289"/>
      <c r="BF94" s="1255"/>
      <c r="BG94" s="1204" t="s">
        <v>123</v>
      </c>
      <c r="BH94" s="1204" t="s">
        <v>123</v>
      </c>
      <c r="BI94" s="1206" t="s">
        <v>123</v>
      </c>
      <c r="BJ94" s="1206"/>
      <c r="BK94" s="1206" t="s">
        <v>123</v>
      </c>
      <c r="BL94" s="1291"/>
      <c r="BM94" s="1291"/>
      <c r="BN94" s="1199" t="str">
        <f t="shared" si="5"/>
        <v/>
      </c>
      <c r="BO94" s="1208"/>
      <c r="BP94" s="1208"/>
      <c r="BQ94" s="1292"/>
      <c r="BR94" s="1288"/>
      <c r="BS94" s="1288"/>
      <c r="BT94" s="1289"/>
      <c r="BU94" s="1255"/>
      <c r="BV94" s="1204" t="s">
        <v>123</v>
      </c>
      <c r="BW94" s="1204" t="s">
        <v>123</v>
      </c>
      <c r="BX94" s="1206" t="s">
        <v>123</v>
      </c>
      <c r="BY94" s="1206"/>
      <c r="BZ94" s="1206" t="s">
        <v>123</v>
      </c>
      <c r="CA94" s="1291"/>
      <c r="CB94" s="1291"/>
      <c r="CC94" s="1199" t="str">
        <f t="shared" si="6"/>
        <v/>
      </c>
      <c r="CD94" s="1208"/>
      <c r="CE94" s="1208"/>
      <c r="CF94" s="1292"/>
      <c r="CG94" s="1288"/>
      <c r="CH94" s="1288"/>
      <c r="CI94" s="1289"/>
      <c r="CJ94" s="1255"/>
      <c r="CK94" s="1204" t="s">
        <v>123</v>
      </c>
      <c r="CL94" s="1204" t="s">
        <v>123</v>
      </c>
      <c r="CM94" s="1206" t="s">
        <v>123</v>
      </c>
      <c r="CN94" s="1206"/>
      <c r="CO94" s="1206" t="s">
        <v>123</v>
      </c>
      <c r="CP94" s="1291"/>
      <c r="CQ94" s="1291"/>
      <c r="CR94" s="1199" t="str">
        <f t="shared" si="7"/>
        <v/>
      </c>
      <c r="CS94" s="1208"/>
      <c r="CT94" s="1208"/>
      <c r="CU94" s="1292"/>
      <c r="CV94" s="1288"/>
      <c r="CW94" s="1288"/>
      <c r="CX94" s="1289"/>
      <c r="CY94" s="1255"/>
      <c r="CZ94" s="1204" t="s">
        <v>123</v>
      </c>
      <c r="DA94" s="1204" t="s">
        <v>123</v>
      </c>
      <c r="DB94" s="1206" t="s">
        <v>123</v>
      </c>
      <c r="DC94" s="1206"/>
      <c r="DD94" s="1206" t="s">
        <v>123</v>
      </c>
      <c r="DE94" s="1291"/>
      <c r="DF94" s="1291"/>
      <c r="DG94" s="1199" t="str">
        <f t="shared" si="8"/>
        <v/>
      </c>
      <c r="DH94" s="1208"/>
      <c r="DI94" s="1208"/>
      <c r="DJ94" s="1302"/>
      <c r="DK94" s="1288"/>
      <c r="DL94" s="1288"/>
      <c r="DM94" s="1289"/>
      <c r="DN94" s="1255"/>
      <c r="DO94" s="1204" t="s">
        <v>123</v>
      </c>
      <c r="DP94" s="1204" t="s">
        <v>123</v>
      </c>
      <c r="DQ94" s="1206" t="s">
        <v>123</v>
      </c>
      <c r="DR94" s="1206"/>
      <c r="DS94" s="1206" t="s">
        <v>123</v>
      </c>
      <c r="DT94" s="1291"/>
      <c r="DU94" s="1291"/>
      <c r="DV94" s="1199" t="str">
        <f t="shared" si="9"/>
        <v/>
      </c>
      <c r="DW94" s="1208"/>
      <c r="DX94" s="1208"/>
      <c r="DY94" s="1292"/>
      <c r="DZ94" s="1288"/>
      <c r="EA94" s="1288"/>
      <c r="EB94" s="1289"/>
      <c r="EC94" s="1255"/>
      <c r="ED94" s="1204" t="s">
        <v>123</v>
      </c>
      <c r="EE94" s="1204" t="s">
        <v>123</v>
      </c>
      <c r="EF94" s="1206" t="s">
        <v>123</v>
      </c>
      <c r="EG94" s="1206"/>
      <c r="EH94" s="1206" t="s">
        <v>123</v>
      </c>
      <c r="EI94" s="1291"/>
      <c r="EJ94" s="1291"/>
      <c r="EK94" s="1199" t="str">
        <f t="shared" si="10"/>
        <v/>
      </c>
      <c r="EL94" s="1208"/>
      <c r="EM94" s="1208"/>
      <c r="EN94" s="1292"/>
      <c r="EO94" s="1288"/>
      <c r="EP94" s="1288"/>
      <c r="EQ94" s="1289"/>
      <c r="ER94" s="1255"/>
      <c r="ES94" s="1204" t="s">
        <v>123</v>
      </c>
      <c r="ET94" s="1204" t="s">
        <v>123</v>
      </c>
      <c r="EU94" s="1206" t="s">
        <v>123</v>
      </c>
      <c r="EV94" s="1206"/>
      <c r="EW94" s="1206" t="s">
        <v>123</v>
      </c>
      <c r="EX94" s="1291"/>
      <c r="EY94" s="1291"/>
      <c r="EZ94" s="1199" t="str">
        <f t="shared" si="11"/>
        <v/>
      </c>
      <c r="FA94" s="1208"/>
      <c r="FB94" s="1208"/>
      <c r="FC94" s="1292"/>
      <c r="FD94" s="1288"/>
      <c r="FE94" s="1288"/>
      <c r="FF94" s="1289"/>
      <c r="FG94" s="1255"/>
      <c r="FH94" s="1204" t="s">
        <v>123</v>
      </c>
      <c r="FI94" s="1204" t="s">
        <v>123</v>
      </c>
      <c r="FJ94" s="1206" t="s">
        <v>123</v>
      </c>
      <c r="FK94" s="1206"/>
      <c r="FL94" s="1206" t="s">
        <v>123</v>
      </c>
      <c r="FM94" s="1291"/>
      <c r="FN94" s="1291"/>
      <c r="FO94" s="1199" t="str">
        <f t="shared" si="12"/>
        <v/>
      </c>
      <c r="FP94" s="1208"/>
      <c r="FQ94" s="1208"/>
      <c r="FR94" s="1292"/>
      <c r="FS94" s="1288"/>
      <c r="FT94" s="1288"/>
      <c r="FU94" s="1289"/>
      <c r="FV94" s="1255"/>
      <c r="FW94" s="1204" t="s">
        <v>123</v>
      </c>
      <c r="FX94" s="1204" t="s">
        <v>123</v>
      </c>
      <c r="FY94" s="1206" t="s">
        <v>123</v>
      </c>
      <c r="FZ94" s="1206"/>
      <c r="GA94" s="1206" t="s">
        <v>123</v>
      </c>
      <c r="GB94" s="1291"/>
      <c r="GC94" s="1291"/>
      <c r="GD94" s="1199" t="str">
        <f t="shared" si="13"/>
        <v/>
      </c>
      <c r="GE94" s="1208"/>
      <c r="GF94" s="1208"/>
      <c r="GG94" s="1292"/>
      <c r="GH94" s="1288"/>
      <c r="GI94" s="1288"/>
      <c r="GJ94" s="1289"/>
      <c r="GK94" s="1255"/>
      <c r="GL94" s="1204" t="s">
        <v>123</v>
      </c>
      <c r="GM94" s="1204" t="s">
        <v>123</v>
      </c>
      <c r="GN94" s="1206" t="s">
        <v>123</v>
      </c>
      <c r="GO94" s="1206"/>
      <c r="GP94" s="1206" t="s">
        <v>123</v>
      </c>
      <c r="GQ94" s="1291"/>
      <c r="GR94" s="1291"/>
      <c r="GS94" s="1199" t="str">
        <f t="shared" si="14"/>
        <v/>
      </c>
      <c r="GT94" s="1208"/>
      <c r="GU94" s="1208"/>
      <c r="GV94" s="1292"/>
      <c r="GW94" s="1288"/>
      <c r="GX94" s="1288"/>
      <c r="GY94" s="1289"/>
      <c r="GZ94" s="1255"/>
      <c r="HA94" s="1204" t="s">
        <v>123</v>
      </c>
      <c r="HB94" s="1204" t="s">
        <v>123</v>
      </c>
      <c r="HC94" s="1206" t="s">
        <v>123</v>
      </c>
      <c r="HD94" s="1206"/>
      <c r="HE94" s="1206" t="s">
        <v>123</v>
      </c>
      <c r="HF94" s="1291"/>
      <c r="HG94" s="1291"/>
      <c r="HH94" s="1199" t="str">
        <f t="shared" si="15"/>
        <v/>
      </c>
      <c r="HI94" s="1208"/>
      <c r="HJ94" s="1208"/>
      <c r="HK94" s="1292"/>
      <c r="HL94" s="1288"/>
      <c r="HM94" s="1288"/>
      <c r="HN94" s="1289"/>
      <c r="HO94" s="1255"/>
      <c r="HP94" s="1204" t="s">
        <v>123</v>
      </c>
      <c r="HQ94" s="1204" t="s">
        <v>123</v>
      </c>
      <c r="HR94" s="1206" t="s">
        <v>123</v>
      </c>
      <c r="HS94" s="1206"/>
      <c r="HT94" s="1206" t="s">
        <v>123</v>
      </c>
      <c r="HU94" s="1291"/>
      <c r="HV94" s="1291"/>
      <c r="HW94" s="1227"/>
    </row>
    <row r="95" ht="15.75" customHeight="1">
      <c r="A95" s="1297"/>
      <c r="B95" s="1298"/>
      <c r="C95" s="1298"/>
      <c r="D95" s="1297"/>
      <c r="E95" s="1299"/>
      <c r="F95" s="1199" t="str">
        <f t="shared" si="1"/>
        <v/>
      </c>
      <c r="G95" s="1208"/>
      <c r="H95" s="1208"/>
      <c r="I95" s="1292"/>
      <c r="J95" s="1288"/>
      <c r="K95" s="1288"/>
      <c r="L95" s="1289"/>
      <c r="M95" s="1255"/>
      <c r="N95" s="1204" t="s">
        <v>123</v>
      </c>
      <c r="O95" s="1204" t="s">
        <v>123</v>
      </c>
      <c r="P95" s="1205" t="s">
        <v>123</v>
      </c>
      <c r="Q95" s="1291"/>
      <c r="R95" s="1291" t="s">
        <v>123</v>
      </c>
      <c r="S95" s="1291"/>
      <c r="T95" s="1291"/>
      <c r="U95" s="1199" t="str">
        <f t="shared" si="2"/>
        <v/>
      </c>
      <c r="V95" s="1208"/>
      <c r="W95" s="1208"/>
      <c r="X95" s="1292"/>
      <c r="Y95" s="1288"/>
      <c r="Z95" s="1288"/>
      <c r="AA95" s="1289"/>
      <c r="AB95" s="1255"/>
      <c r="AC95" s="1204" t="s">
        <v>123</v>
      </c>
      <c r="AD95" s="1204" t="s">
        <v>123</v>
      </c>
      <c r="AE95" s="1205" t="s">
        <v>123</v>
      </c>
      <c r="AF95" s="1206"/>
      <c r="AG95" s="1206" t="s">
        <v>123</v>
      </c>
      <c r="AH95" s="1291"/>
      <c r="AI95" s="1291"/>
      <c r="AJ95" s="1199" t="str">
        <f t="shared" si="3"/>
        <v/>
      </c>
      <c r="AK95" s="1208"/>
      <c r="AL95" s="1208"/>
      <c r="AM95" s="1292"/>
      <c r="AN95" s="1288"/>
      <c r="AO95" s="1288"/>
      <c r="AP95" s="1289"/>
      <c r="AQ95" s="1255"/>
      <c r="AR95" s="1204" t="s">
        <v>123</v>
      </c>
      <c r="AS95" s="1204" t="s">
        <v>123</v>
      </c>
      <c r="AT95" s="1206" t="s">
        <v>123</v>
      </c>
      <c r="AU95" s="1206"/>
      <c r="AV95" s="1206" t="s">
        <v>123</v>
      </c>
      <c r="AW95" s="1291"/>
      <c r="AX95" s="1291"/>
      <c r="AY95" s="1199" t="str">
        <f t="shared" si="4"/>
        <v/>
      </c>
      <c r="AZ95" s="1208"/>
      <c r="BA95" s="1208"/>
      <c r="BB95" s="1292"/>
      <c r="BC95" s="1288"/>
      <c r="BD95" s="1288"/>
      <c r="BE95" s="1289"/>
      <c r="BF95" s="1255"/>
      <c r="BG95" s="1204" t="s">
        <v>123</v>
      </c>
      <c r="BH95" s="1204" t="s">
        <v>123</v>
      </c>
      <c r="BI95" s="1206" t="s">
        <v>123</v>
      </c>
      <c r="BJ95" s="1206"/>
      <c r="BK95" s="1206" t="s">
        <v>123</v>
      </c>
      <c r="BL95" s="1291"/>
      <c r="BM95" s="1291"/>
      <c r="BN95" s="1199" t="str">
        <f t="shared" si="5"/>
        <v/>
      </c>
      <c r="BO95" s="1208"/>
      <c r="BP95" s="1208"/>
      <c r="BQ95" s="1292"/>
      <c r="BR95" s="1288"/>
      <c r="BS95" s="1288"/>
      <c r="BT95" s="1289"/>
      <c r="BU95" s="1255"/>
      <c r="BV95" s="1204" t="s">
        <v>123</v>
      </c>
      <c r="BW95" s="1204" t="s">
        <v>123</v>
      </c>
      <c r="BX95" s="1206" t="s">
        <v>123</v>
      </c>
      <c r="BY95" s="1206"/>
      <c r="BZ95" s="1206" t="s">
        <v>123</v>
      </c>
      <c r="CA95" s="1291"/>
      <c r="CB95" s="1291"/>
      <c r="CC95" s="1199" t="str">
        <f t="shared" si="6"/>
        <v/>
      </c>
      <c r="CD95" s="1208"/>
      <c r="CE95" s="1208"/>
      <c r="CF95" s="1292"/>
      <c r="CG95" s="1288"/>
      <c r="CH95" s="1288"/>
      <c r="CI95" s="1289"/>
      <c r="CJ95" s="1255"/>
      <c r="CK95" s="1204" t="s">
        <v>123</v>
      </c>
      <c r="CL95" s="1204" t="s">
        <v>123</v>
      </c>
      <c r="CM95" s="1206" t="s">
        <v>123</v>
      </c>
      <c r="CN95" s="1206"/>
      <c r="CO95" s="1206" t="s">
        <v>123</v>
      </c>
      <c r="CP95" s="1291"/>
      <c r="CQ95" s="1291"/>
      <c r="CR95" s="1199" t="str">
        <f t="shared" si="7"/>
        <v/>
      </c>
      <c r="CS95" s="1208"/>
      <c r="CT95" s="1208"/>
      <c r="CU95" s="1292"/>
      <c r="CV95" s="1288"/>
      <c r="CW95" s="1288"/>
      <c r="CX95" s="1289"/>
      <c r="CY95" s="1255"/>
      <c r="CZ95" s="1204" t="s">
        <v>123</v>
      </c>
      <c r="DA95" s="1204" t="s">
        <v>123</v>
      </c>
      <c r="DB95" s="1206" t="s">
        <v>123</v>
      </c>
      <c r="DC95" s="1206"/>
      <c r="DD95" s="1206" t="s">
        <v>123</v>
      </c>
      <c r="DE95" s="1291"/>
      <c r="DF95" s="1291"/>
      <c r="DG95" s="1199" t="str">
        <f t="shared" si="8"/>
        <v/>
      </c>
      <c r="DH95" s="1208"/>
      <c r="DI95" s="1208"/>
      <c r="DJ95" s="1302"/>
      <c r="DK95" s="1288"/>
      <c r="DL95" s="1288"/>
      <c r="DM95" s="1289"/>
      <c r="DN95" s="1255"/>
      <c r="DO95" s="1204" t="s">
        <v>123</v>
      </c>
      <c r="DP95" s="1204" t="s">
        <v>123</v>
      </c>
      <c r="DQ95" s="1206" t="s">
        <v>123</v>
      </c>
      <c r="DR95" s="1206"/>
      <c r="DS95" s="1206" t="s">
        <v>123</v>
      </c>
      <c r="DT95" s="1291"/>
      <c r="DU95" s="1291"/>
      <c r="DV95" s="1199" t="str">
        <f t="shared" si="9"/>
        <v/>
      </c>
      <c r="DW95" s="1208"/>
      <c r="DX95" s="1208"/>
      <c r="DY95" s="1292"/>
      <c r="DZ95" s="1288"/>
      <c r="EA95" s="1288"/>
      <c r="EB95" s="1289"/>
      <c r="EC95" s="1255"/>
      <c r="ED95" s="1204" t="s">
        <v>123</v>
      </c>
      <c r="EE95" s="1204" t="s">
        <v>123</v>
      </c>
      <c r="EF95" s="1206" t="s">
        <v>123</v>
      </c>
      <c r="EG95" s="1206"/>
      <c r="EH95" s="1206" t="s">
        <v>123</v>
      </c>
      <c r="EI95" s="1291"/>
      <c r="EJ95" s="1291"/>
      <c r="EK95" s="1199" t="str">
        <f t="shared" si="10"/>
        <v/>
      </c>
      <c r="EL95" s="1208"/>
      <c r="EM95" s="1208"/>
      <c r="EN95" s="1292"/>
      <c r="EO95" s="1288"/>
      <c r="EP95" s="1288"/>
      <c r="EQ95" s="1289"/>
      <c r="ER95" s="1255"/>
      <c r="ES95" s="1204" t="s">
        <v>123</v>
      </c>
      <c r="ET95" s="1204" t="s">
        <v>123</v>
      </c>
      <c r="EU95" s="1206" t="s">
        <v>123</v>
      </c>
      <c r="EV95" s="1206"/>
      <c r="EW95" s="1206" t="s">
        <v>123</v>
      </c>
      <c r="EX95" s="1291"/>
      <c r="EY95" s="1291"/>
      <c r="EZ95" s="1199" t="str">
        <f t="shared" si="11"/>
        <v/>
      </c>
      <c r="FA95" s="1208"/>
      <c r="FB95" s="1208"/>
      <c r="FC95" s="1292"/>
      <c r="FD95" s="1288"/>
      <c r="FE95" s="1288"/>
      <c r="FF95" s="1289"/>
      <c r="FG95" s="1255"/>
      <c r="FH95" s="1204" t="s">
        <v>123</v>
      </c>
      <c r="FI95" s="1204" t="s">
        <v>123</v>
      </c>
      <c r="FJ95" s="1206" t="s">
        <v>123</v>
      </c>
      <c r="FK95" s="1206"/>
      <c r="FL95" s="1206" t="s">
        <v>123</v>
      </c>
      <c r="FM95" s="1291"/>
      <c r="FN95" s="1291"/>
      <c r="FO95" s="1199" t="str">
        <f t="shared" si="12"/>
        <v/>
      </c>
      <c r="FP95" s="1208"/>
      <c r="FQ95" s="1208"/>
      <c r="FR95" s="1292"/>
      <c r="FS95" s="1288"/>
      <c r="FT95" s="1288"/>
      <c r="FU95" s="1289"/>
      <c r="FV95" s="1255"/>
      <c r="FW95" s="1204" t="s">
        <v>123</v>
      </c>
      <c r="FX95" s="1204" t="s">
        <v>123</v>
      </c>
      <c r="FY95" s="1206" t="s">
        <v>123</v>
      </c>
      <c r="FZ95" s="1206"/>
      <c r="GA95" s="1206" t="s">
        <v>123</v>
      </c>
      <c r="GB95" s="1291"/>
      <c r="GC95" s="1291"/>
      <c r="GD95" s="1199" t="str">
        <f t="shared" si="13"/>
        <v/>
      </c>
      <c r="GE95" s="1208"/>
      <c r="GF95" s="1208"/>
      <c r="GG95" s="1292"/>
      <c r="GH95" s="1288"/>
      <c r="GI95" s="1288"/>
      <c r="GJ95" s="1289"/>
      <c r="GK95" s="1255"/>
      <c r="GL95" s="1204" t="s">
        <v>123</v>
      </c>
      <c r="GM95" s="1204" t="s">
        <v>123</v>
      </c>
      <c r="GN95" s="1206" t="s">
        <v>123</v>
      </c>
      <c r="GO95" s="1206"/>
      <c r="GP95" s="1206" t="s">
        <v>123</v>
      </c>
      <c r="GQ95" s="1291"/>
      <c r="GR95" s="1291"/>
      <c r="GS95" s="1199" t="str">
        <f t="shared" si="14"/>
        <v/>
      </c>
      <c r="GT95" s="1208"/>
      <c r="GU95" s="1208"/>
      <c r="GV95" s="1292"/>
      <c r="GW95" s="1288"/>
      <c r="GX95" s="1288"/>
      <c r="GY95" s="1289"/>
      <c r="GZ95" s="1255"/>
      <c r="HA95" s="1204" t="s">
        <v>123</v>
      </c>
      <c r="HB95" s="1204" t="s">
        <v>123</v>
      </c>
      <c r="HC95" s="1206" t="s">
        <v>123</v>
      </c>
      <c r="HD95" s="1206"/>
      <c r="HE95" s="1206" t="s">
        <v>123</v>
      </c>
      <c r="HF95" s="1291"/>
      <c r="HG95" s="1291"/>
      <c r="HH95" s="1199" t="str">
        <f t="shared" si="15"/>
        <v/>
      </c>
      <c r="HI95" s="1208"/>
      <c r="HJ95" s="1208"/>
      <c r="HK95" s="1292"/>
      <c r="HL95" s="1288"/>
      <c r="HM95" s="1288"/>
      <c r="HN95" s="1289"/>
      <c r="HO95" s="1255"/>
      <c r="HP95" s="1204" t="s">
        <v>123</v>
      </c>
      <c r="HQ95" s="1204" t="s">
        <v>123</v>
      </c>
      <c r="HR95" s="1206" t="s">
        <v>123</v>
      </c>
      <c r="HS95" s="1206"/>
      <c r="HT95" s="1206" t="s">
        <v>123</v>
      </c>
      <c r="HU95" s="1291"/>
      <c r="HV95" s="1291"/>
      <c r="HW95" s="1227"/>
    </row>
    <row r="96" ht="15.75" customHeight="1">
      <c r="A96" s="1297"/>
      <c r="B96" s="1298"/>
      <c r="C96" s="1298"/>
      <c r="D96" s="1297"/>
      <c r="E96" s="1299"/>
      <c r="F96" s="1199" t="str">
        <f t="shared" si="1"/>
        <v/>
      </c>
      <c r="G96" s="1208"/>
      <c r="H96" s="1208"/>
      <c r="I96" s="1292"/>
      <c r="J96" s="1288"/>
      <c r="K96" s="1288"/>
      <c r="L96" s="1289"/>
      <c r="M96" s="1255"/>
      <c r="N96" s="1204" t="s">
        <v>123</v>
      </c>
      <c r="O96" s="1204" t="s">
        <v>123</v>
      </c>
      <c r="P96" s="1205" t="s">
        <v>123</v>
      </c>
      <c r="Q96" s="1291"/>
      <c r="R96" s="1291" t="s">
        <v>123</v>
      </c>
      <c r="S96" s="1291"/>
      <c r="T96" s="1291"/>
      <c r="U96" s="1199" t="str">
        <f t="shared" si="2"/>
        <v/>
      </c>
      <c r="V96" s="1208"/>
      <c r="W96" s="1208"/>
      <c r="X96" s="1292"/>
      <c r="Y96" s="1288"/>
      <c r="Z96" s="1288"/>
      <c r="AA96" s="1289"/>
      <c r="AB96" s="1255"/>
      <c r="AC96" s="1204" t="s">
        <v>123</v>
      </c>
      <c r="AD96" s="1204" t="s">
        <v>123</v>
      </c>
      <c r="AE96" s="1205" t="s">
        <v>123</v>
      </c>
      <c r="AF96" s="1206"/>
      <c r="AG96" s="1206" t="s">
        <v>123</v>
      </c>
      <c r="AH96" s="1291"/>
      <c r="AI96" s="1291"/>
      <c r="AJ96" s="1199" t="str">
        <f t="shared" si="3"/>
        <v/>
      </c>
      <c r="AK96" s="1208"/>
      <c r="AL96" s="1208"/>
      <c r="AM96" s="1292"/>
      <c r="AN96" s="1288"/>
      <c r="AO96" s="1288"/>
      <c r="AP96" s="1289"/>
      <c r="AQ96" s="1255"/>
      <c r="AR96" s="1204" t="s">
        <v>123</v>
      </c>
      <c r="AS96" s="1204" t="s">
        <v>123</v>
      </c>
      <c r="AT96" s="1206" t="s">
        <v>123</v>
      </c>
      <c r="AU96" s="1206"/>
      <c r="AV96" s="1206" t="s">
        <v>123</v>
      </c>
      <c r="AW96" s="1291"/>
      <c r="AX96" s="1291"/>
      <c r="AY96" s="1199" t="str">
        <f t="shared" si="4"/>
        <v/>
      </c>
      <c r="AZ96" s="1208"/>
      <c r="BA96" s="1208"/>
      <c r="BB96" s="1292"/>
      <c r="BC96" s="1288"/>
      <c r="BD96" s="1288"/>
      <c r="BE96" s="1289"/>
      <c r="BF96" s="1255"/>
      <c r="BG96" s="1204" t="s">
        <v>123</v>
      </c>
      <c r="BH96" s="1204" t="s">
        <v>123</v>
      </c>
      <c r="BI96" s="1206" t="s">
        <v>123</v>
      </c>
      <c r="BJ96" s="1206"/>
      <c r="BK96" s="1206" t="s">
        <v>123</v>
      </c>
      <c r="BL96" s="1291"/>
      <c r="BM96" s="1291"/>
      <c r="BN96" s="1199" t="str">
        <f t="shared" si="5"/>
        <v/>
      </c>
      <c r="BO96" s="1208"/>
      <c r="BP96" s="1208"/>
      <c r="BQ96" s="1292"/>
      <c r="BR96" s="1288"/>
      <c r="BS96" s="1288"/>
      <c r="BT96" s="1289"/>
      <c r="BU96" s="1255"/>
      <c r="BV96" s="1204" t="s">
        <v>123</v>
      </c>
      <c r="BW96" s="1204" t="s">
        <v>123</v>
      </c>
      <c r="BX96" s="1206" t="s">
        <v>123</v>
      </c>
      <c r="BY96" s="1206"/>
      <c r="BZ96" s="1206" t="s">
        <v>123</v>
      </c>
      <c r="CA96" s="1291"/>
      <c r="CB96" s="1291"/>
      <c r="CC96" s="1199" t="str">
        <f t="shared" si="6"/>
        <v/>
      </c>
      <c r="CD96" s="1208"/>
      <c r="CE96" s="1208"/>
      <c r="CF96" s="1292"/>
      <c r="CG96" s="1288"/>
      <c r="CH96" s="1288"/>
      <c r="CI96" s="1289"/>
      <c r="CJ96" s="1255"/>
      <c r="CK96" s="1204" t="s">
        <v>123</v>
      </c>
      <c r="CL96" s="1204" t="s">
        <v>123</v>
      </c>
      <c r="CM96" s="1206" t="s">
        <v>123</v>
      </c>
      <c r="CN96" s="1206"/>
      <c r="CO96" s="1206" t="s">
        <v>123</v>
      </c>
      <c r="CP96" s="1291"/>
      <c r="CQ96" s="1291"/>
      <c r="CR96" s="1199" t="str">
        <f t="shared" si="7"/>
        <v/>
      </c>
      <c r="CS96" s="1208"/>
      <c r="CT96" s="1208"/>
      <c r="CU96" s="1292"/>
      <c r="CV96" s="1288"/>
      <c r="CW96" s="1288"/>
      <c r="CX96" s="1289"/>
      <c r="CY96" s="1255"/>
      <c r="CZ96" s="1204" t="s">
        <v>123</v>
      </c>
      <c r="DA96" s="1204" t="s">
        <v>123</v>
      </c>
      <c r="DB96" s="1206" t="s">
        <v>123</v>
      </c>
      <c r="DC96" s="1206"/>
      <c r="DD96" s="1206" t="s">
        <v>123</v>
      </c>
      <c r="DE96" s="1291"/>
      <c r="DF96" s="1291"/>
      <c r="DG96" s="1199" t="str">
        <f t="shared" si="8"/>
        <v/>
      </c>
      <c r="DH96" s="1208"/>
      <c r="DI96" s="1208"/>
      <c r="DJ96" s="1302"/>
      <c r="DK96" s="1288"/>
      <c r="DL96" s="1288"/>
      <c r="DM96" s="1289"/>
      <c r="DN96" s="1255"/>
      <c r="DO96" s="1204" t="s">
        <v>123</v>
      </c>
      <c r="DP96" s="1204" t="s">
        <v>123</v>
      </c>
      <c r="DQ96" s="1206" t="s">
        <v>123</v>
      </c>
      <c r="DR96" s="1206"/>
      <c r="DS96" s="1206" t="s">
        <v>123</v>
      </c>
      <c r="DT96" s="1291"/>
      <c r="DU96" s="1291"/>
      <c r="DV96" s="1199" t="str">
        <f t="shared" si="9"/>
        <v/>
      </c>
      <c r="DW96" s="1208"/>
      <c r="DX96" s="1208"/>
      <c r="DY96" s="1292"/>
      <c r="DZ96" s="1288"/>
      <c r="EA96" s="1288"/>
      <c r="EB96" s="1289"/>
      <c r="EC96" s="1255"/>
      <c r="ED96" s="1204" t="s">
        <v>123</v>
      </c>
      <c r="EE96" s="1204" t="s">
        <v>123</v>
      </c>
      <c r="EF96" s="1206" t="s">
        <v>123</v>
      </c>
      <c r="EG96" s="1206"/>
      <c r="EH96" s="1206" t="s">
        <v>123</v>
      </c>
      <c r="EI96" s="1291"/>
      <c r="EJ96" s="1291"/>
      <c r="EK96" s="1199" t="str">
        <f t="shared" si="10"/>
        <v/>
      </c>
      <c r="EL96" s="1208"/>
      <c r="EM96" s="1208"/>
      <c r="EN96" s="1292"/>
      <c r="EO96" s="1288"/>
      <c r="EP96" s="1288"/>
      <c r="EQ96" s="1289"/>
      <c r="ER96" s="1255"/>
      <c r="ES96" s="1204" t="s">
        <v>123</v>
      </c>
      <c r="ET96" s="1204" t="s">
        <v>123</v>
      </c>
      <c r="EU96" s="1206" t="s">
        <v>123</v>
      </c>
      <c r="EV96" s="1206"/>
      <c r="EW96" s="1206" t="s">
        <v>123</v>
      </c>
      <c r="EX96" s="1291"/>
      <c r="EY96" s="1291"/>
      <c r="EZ96" s="1199" t="str">
        <f t="shared" si="11"/>
        <v/>
      </c>
      <c r="FA96" s="1208"/>
      <c r="FB96" s="1208"/>
      <c r="FC96" s="1292"/>
      <c r="FD96" s="1288"/>
      <c r="FE96" s="1288"/>
      <c r="FF96" s="1289"/>
      <c r="FG96" s="1255"/>
      <c r="FH96" s="1204" t="s">
        <v>123</v>
      </c>
      <c r="FI96" s="1204" t="s">
        <v>123</v>
      </c>
      <c r="FJ96" s="1206" t="s">
        <v>123</v>
      </c>
      <c r="FK96" s="1206"/>
      <c r="FL96" s="1206" t="s">
        <v>123</v>
      </c>
      <c r="FM96" s="1291"/>
      <c r="FN96" s="1291"/>
      <c r="FO96" s="1199" t="str">
        <f t="shared" si="12"/>
        <v/>
      </c>
      <c r="FP96" s="1208"/>
      <c r="FQ96" s="1208"/>
      <c r="FR96" s="1292"/>
      <c r="FS96" s="1288"/>
      <c r="FT96" s="1288"/>
      <c r="FU96" s="1289"/>
      <c r="FV96" s="1255"/>
      <c r="FW96" s="1204" t="s">
        <v>123</v>
      </c>
      <c r="FX96" s="1204" t="s">
        <v>123</v>
      </c>
      <c r="FY96" s="1206" t="s">
        <v>123</v>
      </c>
      <c r="FZ96" s="1206"/>
      <c r="GA96" s="1206" t="s">
        <v>123</v>
      </c>
      <c r="GB96" s="1291"/>
      <c r="GC96" s="1291"/>
      <c r="GD96" s="1199" t="str">
        <f t="shared" si="13"/>
        <v/>
      </c>
      <c r="GE96" s="1208"/>
      <c r="GF96" s="1208"/>
      <c r="GG96" s="1292"/>
      <c r="GH96" s="1288"/>
      <c r="GI96" s="1288"/>
      <c r="GJ96" s="1289"/>
      <c r="GK96" s="1255"/>
      <c r="GL96" s="1204" t="s">
        <v>123</v>
      </c>
      <c r="GM96" s="1204" t="s">
        <v>123</v>
      </c>
      <c r="GN96" s="1206" t="s">
        <v>123</v>
      </c>
      <c r="GO96" s="1206"/>
      <c r="GP96" s="1206" t="s">
        <v>123</v>
      </c>
      <c r="GQ96" s="1291"/>
      <c r="GR96" s="1291"/>
      <c r="GS96" s="1199" t="str">
        <f t="shared" si="14"/>
        <v/>
      </c>
      <c r="GT96" s="1208"/>
      <c r="GU96" s="1208"/>
      <c r="GV96" s="1292"/>
      <c r="GW96" s="1288"/>
      <c r="GX96" s="1288"/>
      <c r="GY96" s="1289"/>
      <c r="GZ96" s="1255"/>
      <c r="HA96" s="1204" t="s">
        <v>123</v>
      </c>
      <c r="HB96" s="1204" t="s">
        <v>123</v>
      </c>
      <c r="HC96" s="1206" t="s">
        <v>123</v>
      </c>
      <c r="HD96" s="1206"/>
      <c r="HE96" s="1206" t="s">
        <v>123</v>
      </c>
      <c r="HF96" s="1291"/>
      <c r="HG96" s="1291"/>
      <c r="HH96" s="1199" t="str">
        <f t="shared" si="15"/>
        <v/>
      </c>
      <c r="HI96" s="1208"/>
      <c r="HJ96" s="1208"/>
      <c r="HK96" s="1292"/>
      <c r="HL96" s="1288"/>
      <c r="HM96" s="1288"/>
      <c r="HN96" s="1289"/>
      <c r="HO96" s="1255"/>
      <c r="HP96" s="1204" t="s">
        <v>123</v>
      </c>
      <c r="HQ96" s="1204" t="s">
        <v>123</v>
      </c>
      <c r="HR96" s="1206" t="s">
        <v>123</v>
      </c>
      <c r="HS96" s="1206"/>
      <c r="HT96" s="1206" t="s">
        <v>123</v>
      </c>
      <c r="HU96" s="1291"/>
      <c r="HV96" s="1291"/>
      <c r="HW96" s="1227"/>
    </row>
    <row r="97" ht="15.75" customHeight="1">
      <c r="A97" s="1297"/>
      <c r="B97" s="1298"/>
      <c r="C97" s="1298"/>
      <c r="D97" s="1297"/>
      <c r="E97" s="1299"/>
      <c r="F97" s="1199" t="str">
        <f t="shared" si="1"/>
        <v/>
      </c>
      <c r="G97" s="1208"/>
      <c r="H97" s="1208"/>
      <c r="I97" s="1292"/>
      <c r="J97" s="1288"/>
      <c r="K97" s="1288"/>
      <c r="L97" s="1289"/>
      <c r="M97" s="1255"/>
      <c r="N97" s="1204" t="s">
        <v>123</v>
      </c>
      <c r="O97" s="1204" t="s">
        <v>123</v>
      </c>
      <c r="P97" s="1205" t="s">
        <v>123</v>
      </c>
      <c r="Q97" s="1291"/>
      <c r="R97" s="1291" t="s">
        <v>123</v>
      </c>
      <c r="S97" s="1291"/>
      <c r="T97" s="1291"/>
      <c r="U97" s="1199" t="str">
        <f t="shared" si="2"/>
        <v/>
      </c>
      <c r="V97" s="1208"/>
      <c r="W97" s="1208"/>
      <c r="X97" s="1292"/>
      <c r="Y97" s="1288"/>
      <c r="Z97" s="1288"/>
      <c r="AA97" s="1289"/>
      <c r="AB97" s="1255"/>
      <c r="AC97" s="1204" t="s">
        <v>123</v>
      </c>
      <c r="AD97" s="1204" t="s">
        <v>123</v>
      </c>
      <c r="AE97" s="1205" t="s">
        <v>123</v>
      </c>
      <c r="AF97" s="1206"/>
      <c r="AG97" s="1206" t="s">
        <v>123</v>
      </c>
      <c r="AH97" s="1291"/>
      <c r="AI97" s="1291"/>
      <c r="AJ97" s="1199" t="str">
        <f t="shared" si="3"/>
        <v/>
      </c>
      <c r="AK97" s="1208"/>
      <c r="AL97" s="1208"/>
      <c r="AM97" s="1292"/>
      <c r="AN97" s="1288"/>
      <c r="AO97" s="1288"/>
      <c r="AP97" s="1289"/>
      <c r="AQ97" s="1255"/>
      <c r="AR97" s="1204" t="s">
        <v>123</v>
      </c>
      <c r="AS97" s="1204" t="s">
        <v>123</v>
      </c>
      <c r="AT97" s="1206" t="s">
        <v>123</v>
      </c>
      <c r="AU97" s="1206"/>
      <c r="AV97" s="1206" t="s">
        <v>123</v>
      </c>
      <c r="AW97" s="1291"/>
      <c r="AX97" s="1291"/>
      <c r="AY97" s="1199" t="str">
        <f t="shared" si="4"/>
        <v/>
      </c>
      <c r="AZ97" s="1208"/>
      <c r="BA97" s="1208"/>
      <c r="BB97" s="1292"/>
      <c r="BC97" s="1288"/>
      <c r="BD97" s="1288"/>
      <c r="BE97" s="1289"/>
      <c r="BF97" s="1255"/>
      <c r="BG97" s="1204" t="s">
        <v>123</v>
      </c>
      <c r="BH97" s="1204" t="s">
        <v>123</v>
      </c>
      <c r="BI97" s="1206" t="s">
        <v>123</v>
      </c>
      <c r="BJ97" s="1206"/>
      <c r="BK97" s="1206" t="s">
        <v>123</v>
      </c>
      <c r="BL97" s="1291"/>
      <c r="BM97" s="1291"/>
      <c r="BN97" s="1199" t="str">
        <f t="shared" si="5"/>
        <v/>
      </c>
      <c r="BO97" s="1208"/>
      <c r="BP97" s="1208"/>
      <c r="BQ97" s="1292"/>
      <c r="BR97" s="1288"/>
      <c r="BS97" s="1288"/>
      <c r="BT97" s="1289"/>
      <c r="BU97" s="1255"/>
      <c r="BV97" s="1204" t="s">
        <v>123</v>
      </c>
      <c r="BW97" s="1204" t="s">
        <v>123</v>
      </c>
      <c r="BX97" s="1206" t="s">
        <v>123</v>
      </c>
      <c r="BY97" s="1206"/>
      <c r="BZ97" s="1206" t="s">
        <v>123</v>
      </c>
      <c r="CA97" s="1291"/>
      <c r="CB97" s="1291"/>
      <c r="CC97" s="1199" t="str">
        <f t="shared" si="6"/>
        <v/>
      </c>
      <c r="CD97" s="1208"/>
      <c r="CE97" s="1208"/>
      <c r="CF97" s="1292"/>
      <c r="CG97" s="1288"/>
      <c r="CH97" s="1288"/>
      <c r="CI97" s="1289"/>
      <c r="CJ97" s="1255"/>
      <c r="CK97" s="1204" t="s">
        <v>123</v>
      </c>
      <c r="CL97" s="1204" t="s">
        <v>123</v>
      </c>
      <c r="CM97" s="1206" t="s">
        <v>123</v>
      </c>
      <c r="CN97" s="1206"/>
      <c r="CO97" s="1206" t="s">
        <v>123</v>
      </c>
      <c r="CP97" s="1291"/>
      <c r="CQ97" s="1291"/>
      <c r="CR97" s="1199" t="str">
        <f t="shared" si="7"/>
        <v/>
      </c>
      <c r="CS97" s="1208"/>
      <c r="CT97" s="1208"/>
      <c r="CU97" s="1292"/>
      <c r="CV97" s="1288"/>
      <c r="CW97" s="1288"/>
      <c r="CX97" s="1289"/>
      <c r="CY97" s="1255"/>
      <c r="CZ97" s="1204" t="s">
        <v>123</v>
      </c>
      <c r="DA97" s="1204" t="s">
        <v>123</v>
      </c>
      <c r="DB97" s="1206" t="s">
        <v>123</v>
      </c>
      <c r="DC97" s="1206"/>
      <c r="DD97" s="1206" t="s">
        <v>123</v>
      </c>
      <c r="DE97" s="1291"/>
      <c r="DF97" s="1291"/>
      <c r="DG97" s="1199" t="str">
        <f t="shared" si="8"/>
        <v/>
      </c>
      <c r="DH97" s="1208"/>
      <c r="DI97" s="1208"/>
      <c r="DJ97" s="1302"/>
      <c r="DK97" s="1288"/>
      <c r="DL97" s="1288"/>
      <c r="DM97" s="1289"/>
      <c r="DN97" s="1255"/>
      <c r="DO97" s="1204" t="s">
        <v>123</v>
      </c>
      <c r="DP97" s="1204" t="s">
        <v>123</v>
      </c>
      <c r="DQ97" s="1206" t="s">
        <v>123</v>
      </c>
      <c r="DR97" s="1206"/>
      <c r="DS97" s="1206" t="s">
        <v>123</v>
      </c>
      <c r="DT97" s="1291"/>
      <c r="DU97" s="1291"/>
      <c r="DV97" s="1199" t="str">
        <f t="shared" si="9"/>
        <v/>
      </c>
      <c r="DW97" s="1208"/>
      <c r="DX97" s="1208"/>
      <c r="DY97" s="1292"/>
      <c r="DZ97" s="1288"/>
      <c r="EA97" s="1288"/>
      <c r="EB97" s="1289"/>
      <c r="EC97" s="1255"/>
      <c r="ED97" s="1204" t="s">
        <v>123</v>
      </c>
      <c r="EE97" s="1204" t="s">
        <v>123</v>
      </c>
      <c r="EF97" s="1206" t="s">
        <v>123</v>
      </c>
      <c r="EG97" s="1206"/>
      <c r="EH97" s="1206" t="s">
        <v>123</v>
      </c>
      <c r="EI97" s="1291"/>
      <c r="EJ97" s="1291"/>
      <c r="EK97" s="1199" t="str">
        <f t="shared" si="10"/>
        <v/>
      </c>
      <c r="EL97" s="1208"/>
      <c r="EM97" s="1208"/>
      <c r="EN97" s="1292"/>
      <c r="EO97" s="1288"/>
      <c r="EP97" s="1288"/>
      <c r="EQ97" s="1289"/>
      <c r="ER97" s="1255"/>
      <c r="ES97" s="1204" t="s">
        <v>123</v>
      </c>
      <c r="ET97" s="1204" t="s">
        <v>123</v>
      </c>
      <c r="EU97" s="1206" t="s">
        <v>123</v>
      </c>
      <c r="EV97" s="1206"/>
      <c r="EW97" s="1206" t="s">
        <v>123</v>
      </c>
      <c r="EX97" s="1291"/>
      <c r="EY97" s="1291"/>
      <c r="EZ97" s="1199" t="str">
        <f t="shared" si="11"/>
        <v/>
      </c>
      <c r="FA97" s="1208"/>
      <c r="FB97" s="1208"/>
      <c r="FC97" s="1292"/>
      <c r="FD97" s="1288"/>
      <c r="FE97" s="1288"/>
      <c r="FF97" s="1289"/>
      <c r="FG97" s="1255"/>
      <c r="FH97" s="1204" t="s">
        <v>123</v>
      </c>
      <c r="FI97" s="1204" t="s">
        <v>123</v>
      </c>
      <c r="FJ97" s="1206" t="s">
        <v>123</v>
      </c>
      <c r="FK97" s="1206"/>
      <c r="FL97" s="1206" t="s">
        <v>123</v>
      </c>
      <c r="FM97" s="1291"/>
      <c r="FN97" s="1291"/>
      <c r="FO97" s="1199" t="str">
        <f t="shared" si="12"/>
        <v/>
      </c>
      <c r="FP97" s="1208"/>
      <c r="FQ97" s="1208"/>
      <c r="FR97" s="1292"/>
      <c r="FS97" s="1288"/>
      <c r="FT97" s="1288"/>
      <c r="FU97" s="1289"/>
      <c r="FV97" s="1255"/>
      <c r="FW97" s="1204" t="s">
        <v>123</v>
      </c>
      <c r="FX97" s="1204" t="s">
        <v>123</v>
      </c>
      <c r="FY97" s="1206" t="s">
        <v>123</v>
      </c>
      <c r="FZ97" s="1206"/>
      <c r="GA97" s="1206" t="s">
        <v>123</v>
      </c>
      <c r="GB97" s="1291"/>
      <c r="GC97" s="1291"/>
      <c r="GD97" s="1199" t="str">
        <f t="shared" si="13"/>
        <v/>
      </c>
      <c r="GE97" s="1208"/>
      <c r="GF97" s="1208"/>
      <c r="GG97" s="1292"/>
      <c r="GH97" s="1288"/>
      <c r="GI97" s="1288"/>
      <c r="GJ97" s="1289"/>
      <c r="GK97" s="1255"/>
      <c r="GL97" s="1204" t="s">
        <v>123</v>
      </c>
      <c r="GM97" s="1204" t="s">
        <v>123</v>
      </c>
      <c r="GN97" s="1206" t="s">
        <v>123</v>
      </c>
      <c r="GO97" s="1206"/>
      <c r="GP97" s="1206" t="s">
        <v>123</v>
      </c>
      <c r="GQ97" s="1291"/>
      <c r="GR97" s="1291"/>
      <c r="GS97" s="1199" t="str">
        <f t="shared" si="14"/>
        <v/>
      </c>
      <c r="GT97" s="1208"/>
      <c r="GU97" s="1208"/>
      <c r="GV97" s="1292"/>
      <c r="GW97" s="1288"/>
      <c r="GX97" s="1288"/>
      <c r="GY97" s="1289"/>
      <c r="GZ97" s="1255"/>
      <c r="HA97" s="1204" t="s">
        <v>123</v>
      </c>
      <c r="HB97" s="1204" t="s">
        <v>123</v>
      </c>
      <c r="HC97" s="1206" t="s">
        <v>123</v>
      </c>
      <c r="HD97" s="1206"/>
      <c r="HE97" s="1206" t="s">
        <v>123</v>
      </c>
      <c r="HF97" s="1291"/>
      <c r="HG97" s="1291"/>
      <c r="HH97" s="1199" t="str">
        <f t="shared" si="15"/>
        <v/>
      </c>
      <c r="HI97" s="1208"/>
      <c r="HJ97" s="1208"/>
      <c r="HK97" s="1292"/>
      <c r="HL97" s="1288"/>
      <c r="HM97" s="1288"/>
      <c r="HN97" s="1289"/>
      <c r="HO97" s="1255"/>
      <c r="HP97" s="1204" t="s">
        <v>123</v>
      </c>
      <c r="HQ97" s="1204" t="s">
        <v>123</v>
      </c>
      <c r="HR97" s="1206" t="s">
        <v>123</v>
      </c>
      <c r="HS97" s="1206"/>
      <c r="HT97" s="1206" t="s">
        <v>123</v>
      </c>
      <c r="HU97" s="1291"/>
      <c r="HV97" s="1291"/>
      <c r="HW97" s="1227"/>
    </row>
    <row r="98" ht="15.75" customHeight="1">
      <c r="A98" s="1297"/>
      <c r="B98" s="1298"/>
      <c r="C98" s="1298"/>
      <c r="D98" s="1297"/>
      <c r="E98" s="1299"/>
      <c r="F98" s="1199" t="str">
        <f t="shared" si="1"/>
        <v/>
      </c>
      <c r="G98" s="1208"/>
      <c r="H98" s="1208"/>
      <c r="I98" s="1292"/>
      <c r="J98" s="1288"/>
      <c r="K98" s="1288"/>
      <c r="L98" s="1289"/>
      <c r="M98" s="1255"/>
      <c r="N98" s="1204" t="s">
        <v>123</v>
      </c>
      <c r="O98" s="1204" t="s">
        <v>123</v>
      </c>
      <c r="P98" s="1205" t="s">
        <v>123</v>
      </c>
      <c r="Q98" s="1291"/>
      <c r="R98" s="1291" t="s">
        <v>123</v>
      </c>
      <c r="S98" s="1291"/>
      <c r="T98" s="1291"/>
      <c r="U98" s="1199" t="str">
        <f t="shared" si="2"/>
        <v/>
      </c>
      <c r="V98" s="1208"/>
      <c r="W98" s="1208"/>
      <c r="X98" s="1292"/>
      <c r="Y98" s="1288"/>
      <c r="Z98" s="1288"/>
      <c r="AA98" s="1289"/>
      <c r="AB98" s="1255"/>
      <c r="AC98" s="1204" t="s">
        <v>123</v>
      </c>
      <c r="AD98" s="1204" t="s">
        <v>123</v>
      </c>
      <c r="AE98" s="1205" t="s">
        <v>123</v>
      </c>
      <c r="AF98" s="1206"/>
      <c r="AG98" s="1206" t="s">
        <v>123</v>
      </c>
      <c r="AH98" s="1291"/>
      <c r="AI98" s="1291"/>
      <c r="AJ98" s="1199" t="str">
        <f t="shared" si="3"/>
        <v/>
      </c>
      <c r="AK98" s="1208"/>
      <c r="AL98" s="1208"/>
      <c r="AM98" s="1292"/>
      <c r="AN98" s="1288"/>
      <c r="AO98" s="1288"/>
      <c r="AP98" s="1289"/>
      <c r="AQ98" s="1255"/>
      <c r="AR98" s="1204" t="s">
        <v>123</v>
      </c>
      <c r="AS98" s="1204" t="s">
        <v>123</v>
      </c>
      <c r="AT98" s="1206" t="s">
        <v>123</v>
      </c>
      <c r="AU98" s="1206"/>
      <c r="AV98" s="1206" t="s">
        <v>123</v>
      </c>
      <c r="AW98" s="1291"/>
      <c r="AX98" s="1291"/>
      <c r="AY98" s="1199" t="str">
        <f t="shared" si="4"/>
        <v/>
      </c>
      <c r="AZ98" s="1208"/>
      <c r="BA98" s="1208"/>
      <c r="BB98" s="1292"/>
      <c r="BC98" s="1288"/>
      <c r="BD98" s="1288"/>
      <c r="BE98" s="1289"/>
      <c r="BF98" s="1255"/>
      <c r="BG98" s="1204" t="s">
        <v>123</v>
      </c>
      <c r="BH98" s="1204" t="s">
        <v>123</v>
      </c>
      <c r="BI98" s="1206" t="s">
        <v>123</v>
      </c>
      <c r="BJ98" s="1206"/>
      <c r="BK98" s="1206" t="s">
        <v>123</v>
      </c>
      <c r="BL98" s="1291"/>
      <c r="BM98" s="1291"/>
      <c r="BN98" s="1199" t="str">
        <f t="shared" si="5"/>
        <v/>
      </c>
      <c r="BO98" s="1208"/>
      <c r="BP98" s="1208"/>
      <c r="BQ98" s="1292"/>
      <c r="BR98" s="1288"/>
      <c r="BS98" s="1288"/>
      <c r="BT98" s="1289"/>
      <c r="BU98" s="1255"/>
      <c r="BV98" s="1204" t="s">
        <v>123</v>
      </c>
      <c r="BW98" s="1204" t="s">
        <v>123</v>
      </c>
      <c r="BX98" s="1206" t="s">
        <v>123</v>
      </c>
      <c r="BY98" s="1206"/>
      <c r="BZ98" s="1206" t="s">
        <v>123</v>
      </c>
      <c r="CA98" s="1291"/>
      <c r="CB98" s="1291"/>
      <c r="CC98" s="1199" t="str">
        <f t="shared" si="6"/>
        <v/>
      </c>
      <c r="CD98" s="1208"/>
      <c r="CE98" s="1208"/>
      <c r="CF98" s="1292"/>
      <c r="CG98" s="1288"/>
      <c r="CH98" s="1288"/>
      <c r="CI98" s="1289"/>
      <c r="CJ98" s="1255"/>
      <c r="CK98" s="1204" t="s">
        <v>123</v>
      </c>
      <c r="CL98" s="1204" t="s">
        <v>123</v>
      </c>
      <c r="CM98" s="1206" t="s">
        <v>123</v>
      </c>
      <c r="CN98" s="1206"/>
      <c r="CO98" s="1206" t="s">
        <v>123</v>
      </c>
      <c r="CP98" s="1291"/>
      <c r="CQ98" s="1291"/>
      <c r="CR98" s="1199" t="str">
        <f t="shared" si="7"/>
        <v/>
      </c>
      <c r="CS98" s="1208"/>
      <c r="CT98" s="1208"/>
      <c r="CU98" s="1292"/>
      <c r="CV98" s="1288"/>
      <c r="CW98" s="1288"/>
      <c r="CX98" s="1289"/>
      <c r="CY98" s="1255"/>
      <c r="CZ98" s="1204" t="s">
        <v>123</v>
      </c>
      <c r="DA98" s="1204" t="s">
        <v>123</v>
      </c>
      <c r="DB98" s="1206" t="s">
        <v>123</v>
      </c>
      <c r="DC98" s="1206"/>
      <c r="DD98" s="1206" t="s">
        <v>123</v>
      </c>
      <c r="DE98" s="1291"/>
      <c r="DF98" s="1291"/>
      <c r="DG98" s="1199" t="str">
        <f t="shared" si="8"/>
        <v/>
      </c>
      <c r="DH98" s="1208"/>
      <c r="DI98" s="1208"/>
      <c r="DJ98" s="1302"/>
      <c r="DK98" s="1288"/>
      <c r="DL98" s="1288"/>
      <c r="DM98" s="1289"/>
      <c r="DN98" s="1255"/>
      <c r="DO98" s="1204" t="s">
        <v>123</v>
      </c>
      <c r="DP98" s="1204" t="s">
        <v>123</v>
      </c>
      <c r="DQ98" s="1206" t="s">
        <v>123</v>
      </c>
      <c r="DR98" s="1206"/>
      <c r="DS98" s="1206" t="s">
        <v>123</v>
      </c>
      <c r="DT98" s="1291"/>
      <c r="DU98" s="1291"/>
      <c r="DV98" s="1199" t="str">
        <f t="shared" si="9"/>
        <v/>
      </c>
      <c r="DW98" s="1208"/>
      <c r="DX98" s="1208"/>
      <c r="DY98" s="1292"/>
      <c r="DZ98" s="1288"/>
      <c r="EA98" s="1288"/>
      <c r="EB98" s="1289"/>
      <c r="EC98" s="1255"/>
      <c r="ED98" s="1204" t="s">
        <v>123</v>
      </c>
      <c r="EE98" s="1204" t="s">
        <v>123</v>
      </c>
      <c r="EF98" s="1206" t="s">
        <v>123</v>
      </c>
      <c r="EG98" s="1206"/>
      <c r="EH98" s="1206" t="s">
        <v>123</v>
      </c>
      <c r="EI98" s="1291"/>
      <c r="EJ98" s="1291"/>
      <c r="EK98" s="1199" t="str">
        <f t="shared" si="10"/>
        <v/>
      </c>
      <c r="EL98" s="1208"/>
      <c r="EM98" s="1208"/>
      <c r="EN98" s="1292"/>
      <c r="EO98" s="1288"/>
      <c r="EP98" s="1288"/>
      <c r="EQ98" s="1289"/>
      <c r="ER98" s="1255"/>
      <c r="ES98" s="1204" t="s">
        <v>123</v>
      </c>
      <c r="ET98" s="1204" t="s">
        <v>123</v>
      </c>
      <c r="EU98" s="1206" t="s">
        <v>123</v>
      </c>
      <c r="EV98" s="1206"/>
      <c r="EW98" s="1206" t="s">
        <v>123</v>
      </c>
      <c r="EX98" s="1291"/>
      <c r="EY98" s="1291"/>
      <c r="EZ98" s="1199" t="str">
        <f t="shared" si="11"/>
        <v/>
      </c>
      <c r="FA98" s="1208"/>
      <c r="FB98" s="1208"/>
      <c r="FC98" s="1292"/>
      <c r="FD98" s="1288"/>
      <c r="FE98" s="1288"/>
      <c r="FF98" s="1289"/>
      <c r="FG98" s="1255"/>
      <c r="FH98" s="1204" t="s">
        <v>123</v>
      </c>
      <c r="FI98" s="1204" t="s">
        <v>123</v>
      </c>
      <c r="FJ98" s="1206" t="s">
        <v>123</v>
      </c>
      <c r="FK98" s="1206"/>
      <c r="FL98" s="1206" t="s">
        <v>123</v>
      </c>
      <c r="FM98" s="1291"/>
      <c r="FN98" s="1291"/>
      <c r="FO98" s="1199" t="str">
        <f t="shared" si="12"/>
        <v/>
      </c>
      <c r="FP98" s="1208"/>
      <c r="FQ98" s="1208"/>
      <c r="FR98" s="1292"/>
      <c r="FS98" s="1288"/>
      <c r="FT98" s="1288"/>
      <c r="FU98" s="1289"/>
      <c r="FV98" s="1255"/>
      <c r="FW98" s="1204" t="s">
        <v>123</v>
      </c>
      <c r="FX98" s="1204" t="s">
        <v>123</v>
      </c>
      <c r="FY98" s="1206" t="s">
        <v>123</v>
      </c>
      <c r="FZ98" s="1206"/>
      <c r="GA98" s="1206" t="s">
        <v>123</v>
      </c>
      <c r="GB98" s="1291"/>
      <c r="GC98" s="1291"/>
      <c r="GD98" s="1199" t="str">
        <f t="shared" si="13"/>
        <v/>
      </c>
      <c r="GE98" s="1208"/>
      <c r="GF98" s="1208"/>
      <c r="GG98" s="1292"/>
      <c r="GH98" s="1288"/>
      <c r="GI98" s="1288"/>
      <c r="GJ98" s="1289"/>
      <c r="GK98" s="1255"/>
      <c r="GL98" s="1204" t="s">
        <v>123</v>
      </c>
      <c r="GM98" s="1204" t="s">
        <v>123</v>
      </c>
      <c r="GN98" s="1206" t="s">
        <v>123</v>
      </c>
      <c r="GO98" s="1206"/>
      <c r="GP98" s="1206" t="s">
        <v>123</v>
      </c>
      <c r="GQ98" s="1291"/>
      <c r="GR98" s="1291"/>
      <c r="GS98" s="1199" t="str">
        <f t="shared" si="14"/>
        <v/>
      </c>
      <c r="GT98" s="1208"/>
      <c r="GU98" s="1208"/>
      <c r="GV98" s="1292"/>
      <c r="GW98" s="1288"/>
      <c r="GX98" s="1288"/>
      <c r="GY98" s="1289"/>
      <c r="GZ98" s="1255"/>
      <c r="HA98" s="1204" t="s">
        <v>123</v>
      </c>
      <c r="HB98" s="1204" t="s">
        <v>123</v>
      </c>
      <c r="HC98" s="1206" t="s">
        <v>123</v>
      </c>
      <c r="HD98" s="1206"/>
      <c r="HE98" s="1206" t="s">
        <v>123</v>
      </c>
      <c r="HF98" s="1291"/>
      <c r="HG98" s="1291"/>
      <c r="HH98" s="1199" t="str">
        <f t="shared" si="15"/>
        <v/>
      </c>
      <c r="HI98" s="1208"/>
      <c r="HJ98" s="1208"/>
      <c r="HK98" s="1292"/>
      <c r="HL98" s="1288"/>
      <c r="HM98" s="1288"/>
      <c r="HN98" s="1289"/>
      <c r="HO98" s="1255"/>
      <c r="HP98" s="1204" t="s">
        <v>123</v>
      </c>
      <c r="HQ98" s="1204" t="s">
        <v>123</v>
      </c>
      <c r="HR98" s="1206" t="s">
        <v>123</v>
      </c>
      <c r="HS98" s="1206"/>
      <c r="HT98" s="1206" t="s">
        <v>123</v>
      </c>
      <c r="HU98" s="1291"/>
      <c r="HV98" s="1291"/>
      <c r="HW98" s="1227"/>
    </row>
    <row r="99" ht="15.75" customHeight="1">
      <c r="A99" s="1297"/>
      <c r="B99" s="1298"/>
      <c r="C99" s="1298"/>
      <c r="D99" s="1297"/>
      <c r="E99" s="1299"/>
      <c r="F99" s="1199" t="str">
        <f t="shared" si="1"/>
        <v/>
      </c>
      <c r="G99" s="1208"/>
      <c r="H99" s="1208"/>
      <c r="I99" s="1292"/>
      <c r="J99" s="1288"/>
      <c r="K99" s="1288"/>
      <c r="L99" s="1289"/>
      <c r="M99" s="1255"/>
      <c r="N99" s="1204" t="s">
        <v>123</v>
      </c>
      <c r="O99" s="1204" t="s">
        <v>123</v>
      </c>
      <c r="P99" s="1205" t="s">
        <v>123</v>
      </c>
      <c r="Q99" s="1291"/>
      <c r="R99" s="1291" t="s">
        <v>123</v>
      </c>
      <c r="S99" s="1291"/>
      <c r="T99" s="1291"/>
      <c r="U99" s="1199" t="str">
        <f t="shared" si="2"/>
        <v/>
      </c>
      <c r="V99" s="1208"/>
      <c r="W99" s="1208"/>
      <c r="X99" s="1292"/>
      <c r="Y99" s="1288"/>
      <c r="Z99" s="1288"/>
      <c r="AA99" s="1289"/>
      <c r="AB99" s="1255"/>
      <c r="AC99" s="1204" t="s">
        <v>123</v>
      </c>
      <c r="AD99" s="1204" t="s">
        <v>123</v>
      </c>
      <c r="AE99" s="1205" t="s">
        <v>123</v>
      </c>
      <c r="AF99" s="1206"/>
      <c r="AG99" s="1206" t="s">
        <v>123</v>
      </c>
      <c r="AH99" s="1291"/>
      <c r="AI99" s="1291"/>
      <c r="AJ99" s="1199" t="str">
        <f t="shared" si="3"/>
        <v/>
      </c>
      <c r="AK99" s="1208"/>
      <c r="AL99" s="1208"/>
      <c r="AM99" s="1292"/>
      <c r="AN99" s="1288"/>
      <c r="AO99" s="1288"/>
      <c r="AP99" s="1289"/>
      <c r="AQ99" s="1255"/>
      <c r="AR99" s="1204" t="s">
        <v>123</v>
      </c>
      <c r="AS99" s="1204" t="s">
        <v>123</v>
      </c>
      <c r="AT99" s="1206" t="s">
        <v>123</v>
      </c>
      <c r="AU99" s="1206"/>
      <c r="AV99" s="1206" t="s">
        <v>123</v>
      </c>
      <c r="AW99" s="1291"/>
      <c r="AX99" s="1291"/>
      <c r="AY99" s="1199" t="str">
        <f t="shared" si="4"/>
        <v/>
      </c>
      <c r="AZ99" s="1208"/>
      <c r="BA99" s="1208"/>
      <c r="BB99" s="1292"/>
      <c r="BC99" s="1288"/>
      <c r="BD99" s="1288"/>
      <c r="BE99" s="1289"/>
      <c r="BF99" s="1255"/>
      <c r="BG99" s="1204" t="s">
        <v>123</v>
      </c>
      <c r="BH99" s="1204" t="s">
        <v>123</v>
      </c>
      <c r="BI99" s="1206" t="s">
        <v>123</v>
      </c>
      <c r="BJ99" s="1206"/>
      <c r="BK99" s="1206" t="s">
        <v>123</v>
      </c>
      <c r="BL99" s="1291"/>
      <c r="BM99" s="1291"/>
      <c r="BN99" s="1199" t="str">
        <f t="shared" si="5"/>
        <v/>
      </c>
      <c r="BO99" s="1208"/>
      <c r="BP99" s="1208"/>
      <c r="BQ99" s="1292"/>
      <c r="BR99" s="1288"/>
      <c r="BS99" s="1288"/>
      <c r="BT99" s="1289"/>
      <c r="BU99" s="1255"/>
      <c r="BV99" s="1204" t="s">
        <v>123</v>
      </c>
      <c r="BW99" s="1204" t="s">
        <v>123</v>
      </c>
      <c r="BX99" s="1206" t="s">
        <v>123</v>
      </c>
      <c r="BY99" s="1206"/>
      <c r="BZ99" s="1206" t="s">
        <v>123</v>
      </c>
      <c r="CA99" s="1291"/>
      <c r="CB99" s="1291"/>
      <c r="CC99" s="1199" t="str">
        <f t="shared" si="6"/>
        <v/>
      </c>
      <c r="CD99" s="1208"/>
      <c r="CE99" s="1208"/>
      <c r="CF99" s="1292"/>
      <c r="CG99" s="1288"/>
      <c r="CH99" s="1288"/>
      <c r="CI99" s="1289"/>
      <c r="CJ99" s="1255"/>
      <c r="CK99" s="1204" t="s">
        <v>123</v>
      </c>
      <c r="CL99" s="1204" t="s">
        <v>123</v>
      </c>
      <c r="CM99" s="1206" t="s">
        <v>123</v>
      </c>
      <c r="CN99" s="1206"/>
      <c r="CO99" s="1206" t="s">
        <v>123</v>
      </c>
      <c r="CP99" s="1291"/>
      <c r="CQ99" s="1291"/>
      <c r="CR99" s="1199" t="str">
        <f t="shared" si="7"/>
        <v/>
      </c>
      <c r="CS99" s="1208"/>
      <c r="CT99" s="1208"/>
      <c r="CU99" s="1292"/>
      <c r="CV99" s="1288"/>
      <c r="CW99" s="1288"/>
      <c r="CX99" s="1289"/>
      <c r="CY99" s="1255"/>
      <c r="CZ99" s="1204" t="s">
        <v>123</v>
      </c>
      <c r="DA99" s="1204" t="s">
        <v>123</v>
      </c>
      <c r="DB99" s="1206" t="s">
        <v>123</v>
      </c>
      <c r="DC99" s="1206"/>
      <c r="DD99" s="1206" t="s">
        <v>123</v>
      </c>
      <c r="DE99" s="1291"/>
      <c r="DF99" s="1291"/>
      <c r="DG99" s="1199" t="str">
        <f t="shared" si="8"/>
        <v/>
      </c>
      <c r="DH99" s="1208"/>
      <c r="DI99" s="1208"/>
      <c r="DJ99" s="1302"/>
      <c r="DK99" s="1288"/>
      <c r="DL99" s="1288"/>
      <c r="DM99" s="1289"/>
      <c r="DN99" s="1255"/>
      <c r="DO99" s="1204" t="s">
        <v>123</v>
      </c>
      <c r="DP99" s="1204" t="s">
        <v>123</v>
      </c>
      <c r="DQ99" s="1206" t="s">
        <v>123</v>
      </c>
      <c r="DR99" s="1206"/>
      <c r="DS99" s="1206" t="s">
        <v>123</v>
      </c>
      <c r="DT99" s="1291"/>
      <c r="DU99" s="1291"/>
      <c r="DV99" s="1199" t="str">
        <f t="shared" si="9"/>
        <v/>
      </c>
      <c r="DW99" s="1208"/>
      <c r="DX99" s="1208"/>
      <c r="DY99" s="1292"/>
      <c r="DZ99" s="1288"/>
      <c r="EA99" s="1288"/>
      <c r="EB99" s="1289"/>
      <c r="EC99" s="1255"/>
      <c r="ED99" s="1204" t="s">
        <v>123</v>
      </c>
      <c r="EE99" s="1204" t="s">
        <v>123</v>
      </c>
      <c r="EF99" s="1206" t="s">
        <v>123</v>
      </c>
      <c r="EG99" s="1206"/>
      <c r="EH99" s="1206" t="s">
        <v>123</v>
      </c>
      <c r="EI99" s="1291"/>
      <c r="EJ99" s="1291"/>
      <c r="EK99" s="1199" t="str">
        <f t="shared" si="10"/>
        <v/>
      </c>
      <c r="EL99" s="1208"/>
      <c r="EM99" s="1208"/>
      <c r="EN99" s="1292"/>
      <c r="EO99" s="1288"/>
      <c r="EP99" s="1288"/>
      <c r="EQ99" s="1289"/>
      <c r="ER99" s="1255"/>
      <c r="ES99" s="1204" t="s">
        <v>123</v>
      </c>
      <c r="ET99" s="1204" t="s">
        <v>123</v>
      </c>
      <c r="EU99" s="1206" t="s">
        <v>123</v>
      </c>
      <c r="EV99" s="1206"/>
      <c r="EW99" s="1206" t="s">
        <v>123</v>
      </c>
      <c r="EX99" s="1291"/>
      <c r="EY99" s="1291"/>
      <c r="EZ99" s="1199" t="str">
        <f t="shared" si="11"/>
        <v/>
      </c>
      <c r="FA99" s="1208"/>
      <c r="FB99" s="1208"/>
      <c r="FC99" s="1292"/>
      <c r="FD99" s="1288"/>
      <c r="FE99" s="1288"/>
      <c r="FF99" s="1289"/>
      <c r="FG99" s="1255"/>
      <c r="FH99" s="1204" t="s">
        <v>123</v>
      </c>
      <c r="FI99" s="1204" t="s">
        <v>123</v>
      </c>
      <c r="FJ99" s="1206" t="s">
        <v>123</v>
      </c>
      <c r="FK99" s="1206"/>
      <c r="FL99" s="1206" t="s">
        <v>123</v>
      </c>
      <c r="FM99" s="1291"/>
      <c r="FN99" s="1291"/>
      <c r="FO99" s="1199" t="str">
        <f t="shared" si="12"/>
        <v/>
      </c>
      <c r="FP99" s="1208"/>
      <c r="FQ99" s="1208"/>
      <c r="FR99" s="1292"/>
      <c r="FS99" s="1288"/>
      <c r="FT99" s="1288"/>
      <c r="FU99" s="1289"/>
      <c r="FV99" s="1255"/>
      <c r="FW99" s="1204" t="s">
        <v>123</v>
      </c>
      <c r="FX99" s="1204" t="s">
        <v>123</v>
      </c>
      <c r="FY99" s="1206" t="s">
        <v>123</v>
      </c>
      <c r="FZ99" s="1206"/>
      <c r="GA99" s="1206" t="s">
        <v>123</v>
      </c>
      <c r="GB99" s="1291"/>
      <c r="GC99" s="1291"/>
      <c r="GD99" s="1199" t="str">
        <f t="shared" si="13"/>
        <v/>
      </c>
      <c r="GE99" s="1208"/>
      <c r="GF99" s="1208"/>
      <c r="GG99" s="1292"/>
      <c r="GH99" s="1288"/>
      <c r="GI99" s="1288"/>
      <c r="GJ99" s="1289"/>
      <c r="GK99" s="1255"/>
      <c r="GL99" s="1204" t="s">
        <v>123</v>
      </c>
      <c r="GM99" s="1204" t="s">
        <v>123</v>
      </c>
      <c r="GN99" s="1206" t="s">
        <v>123</v>
      </c>
      <c r="GO99" s="1206"/>
      <c r="GP99" s="1206" t="s">
        <v>123</v>
      </c>
      <c r="GQ99" s="1291"/>
      <c r="GR99" s="1291"/>
      <c r="GS99" s="1199" t="str">
        <f t="shared" si="14"/>
        <v/>
      </c>
      <c r="GT99" s="1208"/>
      <c r="GU99" s="1208"/>
      <c r="GV99" s="1292"/>
      <c r="GW99" s="1288"/>
      <c r="GX99" s="1288"/>
      <c r="GY99" s="1289"/>
      <c r="GZ99" s="1255"/>
      <c r="HA99" s="1204" t="s">
        <v>123</v>
      </c>
      <c r="HB99" s="1204" t="s">
        <v>123</v>
      </c>
      <c r="HC99" s="1206" t="s">
        <v>123</v>
      </c>
      <c r="HD99" s="1206"/>
      <c r="HE99" s="1206" t="s">
        <v>123</v>
      </c>
      <c r="HF99" s="1291"/>
      <c r="HG99" s="1291"/>
      <c r="HH99" s="1199" t="str">
        <f t="shared" si="15"/>
        <v/>
      </c>
      <c r="HI99" s="1208"/>
      <c r="HJ99" s="1208"/>
      <c r="HK99" s="1292"/>
      <c r="HL99" s="1288"/>
      <c r="HM99" s="1288"/>
      <c r="HN99" s="1289"/>
      <c r="HO99" s="1255"/>
      <c r="HP99" s="1204" t="s">
        <v>123</v>
      </c>
      <c r="HQ99" s="1204" t="s">
        <v>123</v>
      </c>
      <c r="HR99" s="1206" t="s">
        <v>123</v>
      </c>
      <c r="HS99" s="1206"/>
      <c r="HT99" s="1206" t="s">
        <v>123</v>
      </c>
      <c r="HU99" s="1291"/>
      <c r="HV99" s="1291"/>
      <c r="HW99" s="1227"/>
    </row>
    <row r="100" ht="15.75" customHeight="1">
      <c r="A100" s="1297"/>
      <c r="B100" s="1298"/>
      <c r="C100" s="1298"/>
      <c r="D100" s="1297"/>
      <c r="E100" s="1299"/>
      <c r="F100" s="1199" t="str">
        <f t="shared" si="1"/>
        <v/>
      </c>
      <c r="G100" s="1208"/>
      <c r="H100" s="1208"/>
      <c r="I100" s="1292"/>
      <c r="J100" s="1288"/>
      <c r="K100" s="1288"/>
      <c r="L100" s="1289"/>
      <c r="M100" s="1255"/>
      <c r="N100" s="1204" t="s">
        <v>123</v>
      </c>
      <c r="O100" s="1204" t="s">
        <v>123</v>
      </c>
      <c r="P100" s="1205" t="s">
        <v>123</v>
      </c>
      <c r="Q100" s="1291"/>
      <c r="R100" s="1291" t="s">
        <v>123</v>
      </c>
      <c r="S100" s="1291"/>
      <c r="T100" s="1291"/>
      <c r="U100" s="1199" t="str">
        <f t="shared" si="2"/>
        <v/>
      </c>
      <c r="V100" s="1208"/>
      <c r="W100" s="1208"/>
      <c r="X100" s="1292"/>
      <c r="Y100" s="1288"/>
      <c r="Z100" s="1288"/>
      <c r="AA100" s="1289"/>
      <c r="AB100" s="1255"/>
      <c r="AC100" s="1204" t="s">
        <v>123</v>
      </c>
      <c r="AD100" s="1204" t="s">
        <v>123</v>
      </c>
      <c r="AE100" s="1205" t="s">
        <v>123</v>
      </c>
      <c r="AF100" s="1206"/>
      <c r="AG100" s="1206" t="s">
        <v>123</v>
      </c>
      <c r="AH100" s="1291"/>
      <c r="AI100" s="1291"/>
      <c r="AJ100" s="1199" t="str">
        <f t="shared" si="3"/>
        <v/>
      </c>
      <c r="AK100" s="1208"/>
      <c r="AL100" s="1208"/>
      <c r="AM100" s="1292"/>
      <c r="AN100" s="1288"/>
      <c r="AO100" s="1288"/>
      <c r="AP100" s="1289"/>
      <c r="AQ100" s="1255"/>
      <c r="AR100" s="1204" t="s">
        <v>123</v>
      </c>
      <c r="AS100" s="1204" t="s">
        <v>123</v>
      </c>
      <c r="AT100" s="1206" t="s">
        <v>123</v>
      </c>
      <c r="AU100" s="1206"/>
      <c r="AV100" s="1206" t="s">
        <v>123</v>
      </c>
      <c r="AW100" s="1291"/>
      <c r="AX100" s="1291"/>
      <c r="AY100" s="1199" t="str">
        <f t="shared" si="4"/>
        <v/>
      </c>
      <c r="AZ100" s="1208"/>
      <c r="BA100" s="1208"/>
      <c r="BB100" s="1292"/>
      <c r="BC100" s="1288"/>
      <c r="BD100" s="1288"/>
      <c r="BE100" s="1289"/>
      <c r="BF100" s="1255"/>
      <c r="BG100" s="1204" t="s">
        <v>123</v>
      </c>
      <c r="BH100" s="1204" t="s">
        <v>123</v>
      </c>
      <c r="BI100" s="1206" t="s">
        <v>123</v>
      </c>
      <c r="BJ100" s="1206"/>
      <c r="BK100" s="1206" t="s">
        <v>123</v>
      </c>
      <c r="BL100" s="1291"/>
      <c r="BM100" s="1291"/>
      <c r="BN100" s="1199" t="str">
        <f t="shared" si="5"/>
        <v/>
      </c>
      <c r="BO100" s="1208"/>
      <c r="BP100" s="1208"/>
      <c r="BQ100" s="1292"/>
      <c r="BR100" s="1288"/>
      <c r="BS100" s="1288"/>
      <c r="BT100" s="1289"/>
      <c r="BU100" s="1255"/>
      <c r="BV100" s="1204" t="s">
        <v>123</v>
      </c>
      <c r="BW100" s="1204" t="s">
        <v>123</v>
      </c>
      <c r="BX100" s="1206" t="s">
        <v>123</v>
      </c>
      <c r="BY100" s="1206"/>
      <c r="BZ100" s="1206" t="s">
        <v>123</v>
      </c>
      <c r="CA100" s="1291"/>
      <c r="CB100" s="1291"/>
      <c r="CC100" s="1199" t="str">
        <f t="shared" si="6"/>
        <v/>
      </c>
      <c r="CD100" s="1208"/>
      <c r="CE100" s="1208"/>
      <c r="CF100" s="1292"/>
      <c r="CG100" s="1288"/>
      <c r="CH100" s="1288"/>
      <c r="CI100" s="1289"/>
      <c r="CJ100" s="1255"/>
      <c r="CK100" s="1204" t="s">
        <v>123</v>
      </c>
      <c r="CL100" s="1204" t="s">
        <v>123</v>
      </c>
      <c r="CM100" s="1206" t="s">
        <v>123</v>
      </c>
      <c r="CN100" s="1206"/>
      <c r="CO100" s="1206" t="s">
        <v>123</v>
      </c>
      <c r="CP100" s="1291"/>
      <c r="CQ100" s="1291"/>
      <c r="CR100" s="1199" t="str">
        <f t="shared" si="7"/>
        <v/>
      </c>
      <c r="CS100" s="1208"/>
      <c r="CT100" s="1208"/>
      <c r="CU100" s="1292"/>
      <c r="CV100" s="1288"/>
      <c r="CW100" s="1288"/>
      <c r="CX100" s="1289"/>
      <c r="CY100" s="1255"/>
      <c r="CZ100" s="1204" t="s">
        <v>123</v>
      </c>
      <c r="DA100" s="1204" t="s">
        <v>123</v>
      </c>
      <c r="DB100" s="1206" t="s">
        <v>123</v>
      </c>
      <c r="DC100" s="1206"/>
      <c r="DD100" s="1206" t="s">
        <v>123</v>
      </c>
      <c r="DE100" s="1291"/>
      <c r="DF100" s="1291"/>
      <c r="DG100" s="1199" t="str">
        <f t="shared" si="8"/>
        <v/>
      </c>
      <c r="DH100" s="1208"/>
      <c r="DI100" s="1208"/>
      <c r="DJ100" s="1302"/>
      <c r="DK100" s="1288"/>
      <c r="DL100" s="1288"/>
      <c r="DM100" s="1289"/>
      <c r="DN100" s="1255"/>
      <c r="DO100" s="1204" t="s">
        <v>123</v>
      </c>
      <c r="DP100" s="1204" t="s">
        <v>123</v>
      </c>
      <c r="DQ100" s="1206" t="s">
        <v>123</v>
      </c>
      <c r="DR100" s="1206"/>
      <c r="DS100" s="1206" t="s">
        <v>123</v>
      </c>
      <c r="DT100" s="1291"/>
      <c r="DU100" s="1291"/>
      <c r="DV100" s="1199" t="str">
        <f t="shared" si="9"/>
        <v/>
      </c>
      <c r="DW100" s="1208"/>
      <c r="DX100" s="1208"/>
      <c r="DY100" s="1292"/>
      <c r="DZ100" s="1288"/>
      <c r="EA100" s="1288"/>
      <c r="EB100" s="1289"/>
      <c r="EC100" s="1255"/>
      <c r="ED100" s="1204" t="s">
        <v>123</v>
      </c>
      <c r="EE100" s="1204" t="s">
        <v>123</v>
      </c>
      <c r="EF100" s="1206" t="s">
        <v>123</v>
      </c>
      <c r="EG100" s="1206"/>
      <c r="EH100" s="1206" t="s">
        <v>123</v>
      </c>
      <c r="EI100" s="1291"/>
      <c r="EJ100" s="1291"/>
      <c r="EK100" s="1199" t="str">
        <f t="shared" si="10"/>
        <v/>
      </c>
      <c r="EL100" s="1208"/>
      <c r="EM100" s="1208"/>
      <c r="EN100" s="1292"/>
      <c r="EO100" s="1288"/>
      <c r="EP100" s="1288"/>
      <c r="EQ100" s="1289"/>
      <c r="ER100" s="1255"/>
      <c r="ES100" s="1204" t="s">
        <v>123</v>
      </c>
      <c r="ET100" s="1204" t="s">
        <v>123</v>
      </c>
      <c r="EU100" s="1206" t="s">
        <v>123</v>
      </c>
      <c r="EV100" s="1206"/>
      <c r="EW100" s="1206" t="s">
        <v>123</v>
      </c>
      <c r="EX100" s="1291"/>
      <c r="EY100" s="1291"/>
      <c r="EZ100" s="1199" t="str">
        <f t="shared" si="11"/>
        <v/>
      </c>
      <c r="FA100" s="1208"/>
      <c r="FB100" s="1208"/>
      <c r="FC100" s="1292"/>
      <c r="FD100" s="1288"/>
      <c r="FE100" s="1288"/>
      <c r="FF100" s="1289"/>
      <c r="FG100" s="1255"/>
      <c r="FH100" s="1204" t="s">
        <v>123</v>
      </c>
      <c r="FI100" s="1204" t="s">
        <v>123</v>
      </c>
      <c r="FJ100" s="1206" t="s">
        <v>123</v>
      </c>
      <c r="FK100" s="1206"/>
      <c r="FL100" s="1206" t="s">
        <v>123</v>
      </c>
      <c r="FM100" s="1291"/>
      <c r="FN100" s="1291"/>
      <c r="FO100" s="1199" t="str">
        <f t="shared" si="12"/>
        <v/>
      </c>
      <c r="FP100" s="1208"/>
      <c r="FQ100" s="1208"/>
      <c r="FR100" s="1292"/>
      <c r="FS100" s="1288"/>
      <c r="FT100" s="1288"/>
      <c r="FU100" s="1289"/>
      <c r="FV100" s="1255"/>
      <c r="FW100" s="1204" t="s">
        <v>123</v>
      </c>
      <c r="FX100" s="1204" t="s">
        <v>123</v>
      </c>
      <c r="FY100" s="1206" t="s">
        <v>123</v>
      </c>
      <c r="FZ100" s="1206"/>
      <c r="GA100" s="1206" t="s">
        <v>123</v>
      </c>
      <c r="GB100" s="1291"/>
      <c r="GC100" s="1291"/>
      <c r="GD100" s="1199" t="str">
        <f t="shared" si="13"/>
        <v/>
      </c>
      <c r="GE100" s="1208"/>
      <c r="GF100" s="1208"/>
      <c r="GG100" s="1292"/>
      <c r="GH100" s="1288"/>
      <c r="GI100" s="1288"/>
      <c r="GJ100" s="1289"/>
      <c r="GK100" s="1255"/>
      <c r="GL100" s="1204" t="s">
        <v>123</v>
      </c>
      <c r="GM100" s="1204" t="s">
        <v>123</v>
      </c>
      <c r="GN100" s="1206" t="s">
        <v>123</v>
      </c>
      <c r="GO100" s="1206"/>
      <c r="GP100" s="1206" t="s">
        <v>123</v>
      </c>
      <c r="GQ100" s="1291"/>
      <c r="GR100" s="1291"/>
      <c r="GS100" s="1199" t="str">
        <f t="shared" si="14"/>
        <v/>
      </c>
      <c r="GT100" s="1208"/>
      <c r="GU100" s="1208"/>
      <c r="GV100" s="1292"/>
      <c r="GW100" s="1288"/>
      <c r="GX100" s="1288"/>
      <c r="GY100" s="1289"/>
      <c r="GZ100" s="1255"/>
      <c r="HA100" s="1204" t="s">
        <v>123</v>
      </c>
      <c r="HB100" s="1204" t="s">
        <v>123</v>
      </c>
      <c r="HC100" s="1206" t="s">
        <v>123</v>
      </c>
      <c r="HD100" s="1206"/>
      <c r="HE100" s="1206" t="s">
        <v>123</v>
      </c>
      <c r="HF100" s="1291"/>
      <c r="HG100" s="1291"/>
      <c r="HH100" s="1199" t="str">
        <f t="shared" si="15"/>
        <v/>
      </c>
      <c r="HI100" s="1208"/>
      <c r="HJ100" s="1208"/>
      <c r="HK100" s="1292"/>
      <c r="HL100" s="1288"/>
      <c r="HM100" s="1288"/>
      <c r="HN100" s="1289"/>
      <c r="HO100" s="1255"/>
      <c r="HP100" s="1204" t="s">
        <v>123</v>
      </c>
      <c r="HQ100" s="1204" t="s">
        <v>123</v>
      </c>
      <c r="HR100" s="1206" t="s">
        <v>123</v>
      </c>
      <c r="HS100" s="1206"/>
      <c r="HT100" s="1206" t="s">
        <v>123</v>
      </c>
      <c r="HU100" s="1291"/>
      <c r="HV100" s="1291"/>
      <c r="HW100" s="1227"/>
    </row>
    <row r="101" ht="15.75" customHeight="1">
      <c r="A101" s="1297"/>
      <c r="B101" s="1298"/>
      <c r="C101" s="1298"/>
      <c r="D101" s="1297"/>
      <c r="E101" s="1299"/>
      <c r="F101" s="1199" t="str">
        <f t="shared" si="1"/>
        <v/>
      </c>
      <c r="G101" s="1208"/>
      <c r="H101" s="1208"/>
      <c r="I101" s="1292"/>
      <c r="J101" s="1288"/>
      <c r="K101" s="1288"/>
      <c r="L101" s="1289"/>
      <c r="M101" s="1255"/>
      <c r="N101" s="1204" t="s">
        <v>123</v>
      </c>
      <c r="O101" s="1204" t="s">
        <v>123</v>
      </c>
      <c r="P101" s="1205" t="s">
        <v>123</v>
      </c>
      <c r="Q101" s="1291"/>
      <c r="R101" s="1291" t="s">
        <v>123</v>
      </c>
      <c r="S101" s="1291"/>
      <c r="T101" s="1291"/>
      <c r="U101" s="1199" t="str">
        <f t="shared" si="2"/>
        <v/>
      </c>
      <c r="V101" s="1208"/>
      <c r="W101" s="1208"/>
      <c r="X101" s="1292"/>
      <c r="Y101" s="1288"/>
      <c r="Z101" s="1288"/>
      <c r="AA101" s="1289"/>
      <c r="AB101" s="1255"/>
      <c r="AC101" s="1204" t="s">
        <v>123</v>
      </c>
      <c r="AD101" s="1204" t="s">
        <v>123</v>
      </c>
      <c r="AE101" s="1205" t="s">
        <v>123</v>
      </c>
      <c r="AF101" s="1206"/>
      <c r="AG101" s="1206" t="s">
        <v>123</v>
      </c>
      <c r="AH101" s="1291"/>
      <c r="AI101" s="1291"/>
      <c r="AJ101" s="1199" t="str">
        <f t="shared" si="3"/>
        <v/>
      </c>
      <c r="AK101" s="1208"/>
      <c r="AL101" s="1208"/>
      <c r="AM101" s="1292"/>
      <c r="AN101" s="1288"/>
      <c r="AO101" s="1288"/>
      <c r="AP101" s="1289"/>
      <c r="AQ101" s="1255"/>
      <c r="AR101" s="1204" t="s">
        <v>123</v>
      </c>
      <c r="AS101" s="1204" t="s">
        <v>123</v>
      </c>
      <c r="AT101" s="1206" t="s">
        <v>123</v>
      </c>
      <c r="AU101" s="1206"/>
      <c r="AV101" s="1206" t="s">
        <v>123</v>
      </c>
      <c r="AW101" s="1291"/>
      <c r="AX101" s="1291"/>
      <c r="AY101" s="1199" t="str">
        <f t="shared" si="4"/>
        <v/>
      </c>
      <c r="AZ101" s="1208"/>
      <c r="BA101" s="1208"/>
      <c r="BB101" s="1292"/>
      <c r="BC101" s="1288"/>
      <c r="BD101" s="1288"/>
      <c r="BE101" s="1289"/>
      <c r="BF101" s="1255"/>
      <c r="BG101" s="1204" t="s">
        <v>123</v>
      </c>
      <c r="BH101" s="1204" t="s">
        <v>123</v>
      </c>
      <c r="BI101" s="1206" t="s">
        <v>123</v>
      </c>
      <c r="BJ101" s="1206"/>
      <c r="BK101" s="1206" t="s">
        <v>123</v>
      </c>
      <c r="BL101" s="1291"/>
      <c r="BM101" s="1291"/>
      <c r="BN101" s="1199" t="str">
        <f t="shared" si="5"/>
        <v/>
      </c>
      <c r="BO101" s="1208"/>
      <c r="BP101" s="1208"/>
      <c r="BQ101" s="1292"/>
      <c r="BR101" s="1288"/>
      <c r="BS101" s="1288"/>
      <c r="BT101" s="1289"/>
      <c r="BU101" s="1255"/>
      <c r="BV101" s="1204" t="s">
        <v>123</v>
      </c>
      <c r="BW101" s="1204" t="s">
        <v>123</v>
      </c>
      <c r="BX101" s="1206" t="s">
        <v>123</v>
      </c>
      <c r="BY101" s="1206"/>
      <c r="BZ101" s="1206" t="s">
        <v>123</v>
      </c>
      <c r="CA101" s="1291"/>
      <c r="CB101" s="1291"/>
      <c r="CC101" s="1199" t="str">
        <f t="shared" si="6"/>
        <v/>
      </c>
      <c r="CD101" s="1208"/>
      <c r="CE101" s="1208"/>
      <c r="CF101" s="1292"/>
      <c r="CG101" s="1288"/>
      <c r="CH101" s="1288"/>
      <c r="CI101" s="1289"/>
      <c r="CJ101" s="1255"/>
      <c r="CK101" s="1204" t="s">
        <v>123</v>
      </c>
      <c r="CL101" s="1204" t="s">
        <v>123</v>
      </c>
      <c r="CM101" s="1206" t="s">
        <v>123</v>
      </c>
      <c r="CN101" s="1206"/>
      <c r="CO101" s="1206" t="s">
        <v>123</v>
      </c>
      <c r="CP101" s="1291"/>
      <c r="CQ101" s="1291"/>
      <c r="CR101" s="1199" t="str">
        <f t="shared" si="7"/>
        <v/>
      </c>
      <c r="CS101" s="1208"/>
      <c r="CT101" s="1208"/>
      <c r="CU101" s="1292"/>
      <c r="CV101" s="1288"/>
      <c r="CW101" s="1288"/>
      <c r="CX101" s="1289"/>
      <c r="CY101" s="1255"/>
      <c r="CZ101" s="1204" t="s">
        <v>123</v>
      </c>
      <c r="DA101" s="1204" t="s">
        <v>123</v>
      </c>
      <c r="DB101" s="1206" t="s">
        <v>123</v>
      </c>
      <c r="DC101" s="1206"/>
      <c r="DD101" s="1206" t="s">
        <v>123</v>
      </c>
      <c r="DE101" s="1291"/>
      <c r="DF101" s="1291"/>
      <c r="DG101" s="1199" t="str">
        <f t="shared" si="8"/>
        <v/>
      </c>
      <c r="DH101" s="1208"/>
      <c r="DI101" s="1208"/>
      <c r="DJ101" s="1302"/>
      <c r="DK101" s="1288"/>
      <c r="DL101" s="1288"/>
      <c r="DM101" s="1289"/>
      <c r="DN101" s="1255"/>
      <c r="DO101" s="1204" t="s">
        <v>123</v>
      </c>
      <c r="DP101" s="1204" t="s">
        <v>123</v>
      </c>
      <c r="DQ101" s="1206" t="s">
        <v>123</v>
      </c>
      <c r="DR101" s="1206"/>
      <c r="DS101" s="1206" t="s">
        <v>123</v>
      </c>
      <c r="DT101" s="1291"/>
      <c r="DU101" s="1291"/>
      <c r="DV101" s="1199" t="str">
        <f t="shared" si="9"/>
        <v/>
      </c>
      <c r="DW101" s="1208"/>
      <c r="DX101" s="1208"/>
      <c r="DY101" s="1292"/>
      <c r="DZ101" s="1288"/>
      <c r="EA101" s="1288"/>
      <c r="EB101" s="1289"/>
      <c r="EC101" s="1255"/>
      <c r="ED101" s="1204" t="s">
        <v>123</v>
      </c>
      <c r="EE101" s="1204" t="s">
        <v>123</v>
      </c>
      <c r="EF101" s="1206" t="s">
        <v>123</v>
      </c>
      <c r="EG101" s="1206"/>
      <c r="EH101" s="1206" t="s">
        <v>123</v>
      </c>
      <c r="EI101" s="1291"/>
      <c r="EJ101" s="1291"/>
      <c r="EK101" s="1199" t="str">
        <f t="shared" si="10"/>
        <v/>
      </c>
      <c r="EL101" s="1208"/>
      <c r="EM101" s="1208"/>
      <c r="EN101" s="1292"/>
      <c r="EO101" s="1288"/>
      <c r="EP101" s="1288"/>
      <c r="EQ101" s="1289"/>
      <c r="ER101" s="1255"/>
      <c r="ES101" s="1204" t="s">
        <v>123</v>
      </c>
      <c r="ET101" s="1204" t="s">
        <v>123</v>
      </c>
      <c r="EU101" s="1206" t="s">
        <v>123</v>
      </c>
      <c r="EV101" s="1206"/>
      <c r="EW101" s="1206" t="s">
        <v>123</v>
      </c>
      <c r="EX101" s="1291"/>
      <c r="EY101" s="1291"/>
      <c r="EZ101" s="1199" t="str">
        <f t="shared" si="11"/>
        <v/>
      </c>
      <c r="FA101" s="1208"/>
      <c r="FB101" s="1208"/>
      <c r="FC101" s="1292"/>
      <c r="FD101" s="1288"/>
      <c r="FE101" s="1288"/>
      <c r="FF101" s="1289"/>
      <c r="FG101" s="1255"/>
      <c r="FH101" s="1204" t="s">
        <v>123</v>
      </c>
      <c r="FI101" s="1204" t="s">
        <v>123</v>
      </c>
      <c r="FJ101" s="1206" t="s">
        <v>123</v>
      </c>
      <c r="FK101" s="1206"/>
      <c r="FL101" s="1206" t="s">
        <v>123</v>
      </c>
      <c r="FM101" s="1291"/>
      <c r="FN101" s="1291"/>
      <c r="FO101" s="1199" t="str">
        <f t="shared" si="12"/>
        <v/>
      </c>
      <c r="FP101" s="1208"/>
      <c r="FQ101" s="1208"/>
      <c r="FR101" s="1292"/>
      <c r="FS101" s="1288"/>
      <c r="FT101" s="1288"/>
      <c r="FU101" s="1289"/>
      <c r="FV101" s="1255"/>
      <c r="FW101" s="1204" t="s">
        <v>123</v>
      </c>
      <c r="FX101" s="1204" t="s">
        <v>123</v>
      </c>
      <c r="FY101" s="1206" t="s">
        <v>123</v>
      </c>
      <c r="FZ101" s="1206"/>
      <c r="GA101" s="1206" t="s">
        <v>123</v>
      </c>
      <c r="GB101" s="1291"/>
      <c r="GC101" s="1291"/>
      <c r="GD101" s="1199" t="str">
        <f t="shared" si="13"/>
        <v/>
      </c>
      <c r="GE101" s="1208"/>
      <c r="GF101" s="1208"/>
      <c r="GG101" s="1292"/>
      <c r="GH101" s="1288"/>
      <c r="GI101" s="1288"/>
      <c r="GJ101" s="1289"/>
      <c r="GK101" s="1255"/>
      <c r="GL101" s="1204" t="s">
        <v>123</v>
      </c>
      <c r="GM101" s="1204" t="s">
        <v>123</v>
      </c>
      <c r="GN101" s="1206" t="s">
        <v>123</v>
      </c>
      <c r="GO101" s="1206"/>
      <c r="GP101" s="1206" t="s">
        <v>123</v>
      </c>
      <c r="GQ101" s="1291"/>
      <c r="GR101" s="1291"/>
      <c r="GS101" s="1199" t="str">
        <f t="shared" si="14"/>
        <v/>
      </c>
      <c r="GT101" s="1208"/>
      <c r="GU101" s="1208"/>
      <c r="GV101" s="1292"/>
      <c r="GW101" s="1288"/>
      <c r="GX101" s="1288"/>
      <c r="GY101" s="1289"/>
      <c r="GZ101" s="1255"/>
      <c r="HA101" s="1204" t="s">
        <v>123</v>
      </c>
      <c r="HB101" s="1204" t="s">
        <v>123</v>
      </c>
      <c r="HC101" s="1206" t="s">
        <v>123</v>
      </c>
      <c r="HD101" s="1206"/>
      <c r="HE101" s="1206" t="s">
        <v>123</v>
      </c>
      <c r="HF101" s="1291"/>
      <c r="HG101" s="1291"/>
      <c r="HH101" s="1199" t="str">
        <f t="shared" si="15"/>
        <v/>
      </c>
      <c r="HI101" s="1208"/>
      <c r="HJ101" s="1208"/>
      <c r="HK101" s="1292"/>
      <c r="HL101" s="1288"/>
      <c r="HM101" s="1288"/>
      <c r="HN101" s="1289"/>
      <c r="HO101" s="1255"/>
      <c r="HP101" s="1204" t="s">
        <v>123</v>
      </c>
      <c r="HQ101" s="1204" t="s">
        <v>123</v>
      </c>
      <c r="HR101" s="1206" t="s">
        <v>123</v>
      </c>
      <c r="HS101" s="1206"/>
      <c r="HT101" s="1206" t="s">
        <v>123</v>
      </c>
      <c r="HU101" s="1291"/>
      <c r="HV101" s="1291"/>
      <c r="HW101" s="1227"/>
    </row>
    <row r="102" ht="15.75" customHeight="1">
      <c r="A102" s="1297"/>
      <c r="B102" s="1298"/>
      <c r="C102" s="1298"/>
      <c r="D102" s="1297"/>
      <c r="E102" s="1299"/>
      <c r="F102" s="1199" t="str">
        <f t="shared" si="1"/>
        <v/>
      </c>
      <c r="G102" s="1208"/>
      <c r="H102" s="1208"/>
      <c r="I102" s="1292"/>
      <c r="J102" s="1288"/>
      <c r="K102" s="1288"/>
      <c r="L102" s="1289"/>
      <c r="M102" s="1255"/>
      <c r="N102" s="1204" t="s">
        <v>123</v>
      </c>
      <c r="O102" s="1204" t="s">
        <v>123</v>
      </c>
      <c r="P102" s="1205" t="s">
        <v>123</v>
      </c>
      <c r="Q102" s="1291"/>
      <c r="R102" s="1291" t="s">
        <v>123</v>
      </c>
      <c r="S102" s="1291"/>
      <c r="T102" s="1291"/>
      <c r="U102" s="1199" t="str">
        <f t="shared" si="2"/>
        <v/>
      </c>
      <c r="V102" s="1208"/>
      <c r="W102" s="1208"/>
      <c r="X102" s="1292"/>
      <c r="Y102" s="1288"/>
      <c r="Z102" s="1288"/>
      <c r="AA102" s="1289"/>
      <c r="AB102" s="1255"/>
      <c r="AC102" s="1204" t="s">
        <v>123</v>
      </c>
      <c r="AD102" s="1204" t="s">
        <v>123</v>
      </c>
      <c r="AE102" s="1205" t="s">
        <v>123</v>
      </c>
      <c r="AF102" s="1206"/>
      <c r="AG102" s="1206" t="s">
        <v>123</v>
      </c>
      <c r="AH102" s="1291"/>
      <c r="AI102" s="1291"/>
      <c r="AJ102" s="1199" t="str">
        <f t="shared" si="3"/>
        <v/>
      </c>
      <c r="AK102" s="1208"/>
      <c r="AL102" s="1208"/>
      <c r="AM102" s="1292"/>
      <c r="AN102" s="1288"/>
      <c r="AO102" s="1288"/>
      <c r="AP102" s="1289"/>
      <c r="AQ102" s="1255"/>
      <c r="AR102" s="1204" t="s">
        <v>123</v>
      </c>
      <c r="AS102" s="1204" t="s">
        <v>123</v>
      </c>
      <c r="AT102" s="1206" t="s">
        <v>123</v>
      </c>
      <c r="AU102" s="1206"/>
      <c r="AV102" s="1206" t="s">
        <v>123</v>
      </c>
      <c r="AW102" s="1291"/>
      <c r="AX102" s="1291"/>
      <c r="AY102" s="1199" t="str">
        <f t="shared" si="4"/>
        <v/>
      </c>
      <c r="AZ102" s="1208"/>
      <c r="BA102" s="1208"/>
      <c r="BB102" s="1292"/>
      <c r="BC102" s="1288"/>
      <c r="BD102" s="1288"/>
      <c r="BE102" s="1289"/>
      <c r="BF102" s="1255"/>
      <c r="BG102" s="1204" t="s">
        <v>123</v>
      </c>
      <c r="BH102" s="1204" t="s">
        <v>123</v>
      </c>
      <c r="BI102" s="1206" t="s">
        <v>123</v>
      </c>
      <c r="BJ102" s="1206"/>
      <c r="BK102" s="1206" t="s">
        <v>123</v>
      </c>
      <c r="BL102" s="1291"/>
      <c r="BM102" s="1291"/>
      <c r="BN102" s="1199" t="str">
        <f t="shared" si="5"/>
        <v/>
      </c>
      <c r="BO102" s="1208"/>
      <c r="BP102" s="1208"/>
      <c r="BQ102" s="1292"/>
      <c r="BR102" s="1288"/>
      <c r="BS102" s="1288"/>
      <c r="BT102" s="1289"/>
      <c r="BU102" s="1255"/>
      <c r="BV102" s="1204" t="s">
        <v>123</v>
      </c>
      <c r="BW102" s="1204" t="s">
        <v>123</v>
      </c>
      <c r="BX102" s="1206" t="s">
        <v>123</v>
      </c>
      <c r="BY102" s="1206"/>
      <c r="BZ102" s="1206" t="s">
        <v>123</v>
      </c>
      <c r="CA102" s="1291"/>
      <c r="CB102" s="1291"/>
      <c r="CC102" s="1199" t="str">
        <f t="shared" si="6"/>
        <v/>
      </c>
      <c r="CD102" s="1208"/>
      <c r="CE102" s="1208"/>
      <c r="CF102" s="1292"/>
      <c r="CG102" s="1288"/>
      <c r="CH102" s="1288"/>
      <c r="CI102" s="1289"/>
      <c r="CJ102" s="1255"/>
      <c r="CK102" s="1204" t="s">
        <v>123</v>
      </c>
      <c r="CL102" s="1204" t="s">
        <v>123</v>
      </c>
      <c r="CM102" s="1206" t="s">
        <v>123</v>
      </c>
      <c r="CN102" s="1206"/>
      <c r="CO102" s="1206" t="s">
        <v>123</v>
      </c>
      <c r="CP102" s="1291"/>
      <c r="CQ102" s="1291"/>
      <c r="CR102" s="1199" t="str">
        <f t="shared" si="7"/>
        <v/>
      </c>
      <c r="CS102" s="1208"/>
      <c r="CT102" s="1208"/>
      <c r="CU102" s="1292"/>
      <c r="CV102" s="1288"/>
      <c r="CW102" s="1288"/>
      <c r="CX102" s="1289"/>
      <c r="CY102" s="1255"/>
      <c r="CZ102" s="1204" t="s">
        <v>123</v>
      </c>
      <c r="DA102" s="1204" t="s">
        <v>123</v>
      </c>
      <c r="DB102" s="1206" t="s">
        <v>123</v>
      </c>
      <c r="DC102" s="1206"/>
      <c r="DD102" s="1206" t="s">
        <v>123</v>
      </c>
      <c r="DE102" s="1291"/>
      <c r="DF102" s="1291"/>
      <c r="DG102" s="1199" t="str">
        <f t="shared" si="8"/>
        <v/>
      </c>
      <c r="DH102" s="1208"/>
      <c r="DI102" s="1208"/>
      <c r="DJ102" s="1302"/>
      <c r="DK102" s="1288"/>
      <c r="DL102" s="1288"/>
      <c r="DM102" s="1289"/>
      <c r="DN102" s="1255"/>
      <c r="DO102" s="1204" t="s">
        <v>123</v>
      </c>
      <c r="DP102" s="1204" t="s">
        <v>123</v>
      </c>
      <c r="DQ102" s="1206" t="s">
        <v>123</v>
      </c>
      <c r="DR102" s="1206"/>
      <c r="DS102" s="1206" t="s">
        <v>123</v>
      </c>
      <c r="DT102" s="1291"/>
      <c r="DU102" s="1291"/>
      <c r="DV102" s="1199" t="str">
        <f t="shared" si="9"/>
        <v/>
      </c>
      <c r="DW102" s="1208"/>
      <c r="DX102" s="1208"/>
      <c r="DY102" s="1292"/>
      <c r="DZ102" s="1288"/>
      <c r="EA102" s="1288"/>
      <c r="EB102" s="1289"/>
      <c r="EC102" s="1255"/>
      <c r="ED102" s="1204" t="s">
        <v>123</v>
      </c>
      <c r="EE102" s="1204" t="s">
        <v>123</v>
      </c>
      <c r="EF102" s="1206" t="s">
        <v>123</v>
      </c>
      <c r="EG102" s="1206"/>
      <c r="EH102" s="1206" t="s">
        <v>123</v>
      </c>
      <c r="EI102" s="1291"/>
      <c r="EJ102" s="1291"/>
      <c r="EK102" s="1199" t="str">
        <f t="shared" si="10"/>
        <v/>
      </c>
      <c r="EL102" s="1208"/>
      <c r="EM102" s="1208"/>
      <c r="EN102" s="1292"/>
      <c r="EO102" s="1288"/>
      <c r="EP102" s="1288"/>
      <c r="EQ102" s="1289"/>
      <c r="ER102" s="1255"/>
      <c r="ES102" s="1204" t="s">
        <v>123</v>
      </c>
      <c r="ET102" s="1204" t="s">
        <v>123</v>
      </c>
      <c r="EU102" s="1206" t="s">
        <v>123</v>
      </c>
      <c r="EV102" s="1206"/>
      <c r="EW102" s="1206" t="s">
        <v>123</v>
      </c>
      <c r="EX102" s="1291"/>
      <c r="EY102" s="1291"/>
      <c r="EZ102" s="1199" t="str">
        <f t="shared" si="11"/>
        <v/>
      </c>
      <c r="FA102" s="1208"/>
      <c r="FB102" s="1208"/>
      <c r="FC102" s="1292"/>
      <c r="FD102" s="1288"/>
      <c r="FE102" s="1288"/>
      <c r="FF102" s="1289"/>
      <c r="FG102" s="1255"/>
      <c r="FH102" s="1204" t="s">
        <v>123</v>
      </c>
      <c r="FI102" s="1204" t="s">
        <v>123</v>
      </c>
      <c r="FJ102" s="1206" t="s">
        <v>123</v>
      </c>
      <c r="FK102" s="1206"/>
      <c r="FL102" s="1206" t="s">
        <v>123</v>
      </c>
      <c r="FM102" s="1291"/>
      <c r="FN102" s="1291"/>
      <c r="FO102" s="1199" t="str">
        <f t="shared" si="12"/>
        <v/>
      </c>
      <c r="FP102" s="1208"/>
      <c r="FQ102" s="1208"/>
      <c r="FR102" s="1292"/>
      <c r="FS102" s="1288"/>
      <c r="FT102" s="1288"/>
      <c r="FU102" s="1289"/>
      <c r="FV102" s="1255"/>
      <c r="FW102" s="1204" t="s">
        <v>123</v>
      </c>
      <c r="FX102" s="1204" t="s">
        <v>123</v>
      </c>
      <c r="FY102" s="1206" t="s">
        <v>123</v>
      </c>
      <c r="FZ102" s="1206"/>
      <c r="GA102" s="1206" t="s">
        <v>123</v>
      </c>
      <c r="GB102" s="1291"/>
      <c r="GC102" s="1291"/>
      <c r="GD102" s="1199" t="str">
        <f t="shared" si="13"/>
        <v/>
      </c>
      <c r="GE102" s="1208"/>
      <c r="GF102" s="1208"/>
      <c r="GG102" s="1292"/>
      <c r="GH102" s="1288"/>
      <c r="GI102" s="1288"/>
      <c r="GJ102" s="1289"/>
      <c r="GK102" s="1255"/>
      <c r="GL102" s="1204" t="s">
        <v>123</v>
      </c>
      <c r="GM102" s="1204" t="s">
        <v>123</v>
      </c>
      <c r="GN102" s="1206" t="s">
        <v>123</v>
      </c>
      <c r="GO102" s="1206"/>
      <c r="GP102" s="1206" t="s">
        <v>123</v>
      </c>
      <c r="GQ102" s="1291"/>
      <c r="GR102" s="1291"/>
      <c r="GS102" s="1199" t="str">
        <f t="shared" si="14"/>
        <v/>
      </c>
      <c r="GT102" s="1208"/>
      <c r="GU102" s="1208"/>
      <c r="GV102" s="1292"/>
      <c r="GW102" s="1288"/>
      <c r="GX102" s="1288"/>
      <c r="GY102" s="1289"/>
      <c r="GZ102" s="1255"/>
      <c r="HA102" s="1204" t="s">
        <v>123</v>
      </c>
      <c r="HB102" s="1204" t="s">
        <v>123</v>
      </c>
      <c r="HC102" s="1206" t="s">
        <v>123</v>
      </c>
      <c r="HD102" s="1206"/>
      <c r="HE102" s="1206" t="s">
        <v>123</v>
      </c>
      <c r="HF102" s="1291"/>
      <c r="HG102" s="1291"/>
      <c r="HH102" s="1199" t="str">
        <f t="shared" si="15"/>
        <v/>
      </c>
      <c r="HI102" s="1208"/>
      <c r="HJ102" s="1208"/>
      <c r="HK102" s="1292"/>
      <c r="HL102" s="1288"/>
      <c r="HM102" s="1288"/>
      <c r="HN102" s="1289"/>
      <c r="HO102" s="1255"/>
      <c r="HP102" s="1204" t="s">
        <v>123</v>
      </c>
      <c r="HQ102" s="1204" t="s">
        <v>123</v>
      </c>
      <c r="HR102" s="1206" t="s">
        <v>123</v>
      </c>
      <c r="HS102" s="1206"/>
      <c r="HT102" s="1206" t="s">
        <v>123</v>
      </c>
      <c r="HU102" s="1291"/>
      <c r="HV102" s="1291"/>
      <c r="HW102" s="1227"/>
    </row>
    <row r="103" ht="15.75" customHeight="1">
      <c r="A103" s="1297"/>
      <c r="B103" s="1298"/>
      <c r="C103" s="1298"/>
      <c r="D103" s="1297"/>
      <c r="E103" s="1299"/>
      <c r="F103" s="1199" t="str">
        <f t="shared" si="1"/>
        <v/>
      </c>
      <c r="G103" s="1208"/>
      <c r="H103" s="1208"/>
      <c r="I103" s="1292"/>
      <c r="J103" s="1288"/>
      <c r="K103" s="1288"/>
      <c r="L103" s="1289"/>
      <c r="M103" s="1255"/>
      <c r="N103" s="1204" t="s">
        <v>123</v>
      </c>
      <c r="O103" s="1204" t="s">
        <v>123</v>
      </c>
      <c r="P103" s="1205" t="s">
        <v>123</v>
      </c>
      <c r="Q103" s="1291"/>
      <c r="R103" s="1291" t="s">
        <v>123</v>
      </c>
      <c r="S103" s="1291"/>
      <c r="T103" s="1291"/>
      <c r="U103" s="1199" t="str">
        <f t="shared" si="2"/>
        <v/>
      </c>
      <c r="V103" s="1208"/>
      <c r="W103" s="1208"/>
      <c r="X103" s="1292"/>
      <c r="Y103" s="1288"/>
      <c r="Z103" s="1288"/>
      <c r="AA103" s="1289"/>
      <c r="AB103" s="1255"/>
      <c r="AC103" s="1204" t="s">
        <v>123</v>
      </c>
      <c r="AD103" s="1204" t="s">
        <v>123</v>
      </c>
      <c r="AE103" s="1205" t="s">
        <v>123</v>
      </c>
      <c r="AF103" s="1206"/>
      <c r="AG103" s="1206" t="s">
        <v>123</v>
      </c>
      <c r="AH103" s="1291"/>
      <c r="AI103" s="1291"/>
      <c r="AJ103" s="1199" t="str">
        <f t="shared" si="3"/>
        <v/>
      </c>
      <c r="AK103" s="1208"/>
      <c r="AL103" s="1208"/>
      <c r="AM103" s="1292"/>
      <c r="AN103" s="1288"/>
      <c r="AO103" s="1288"/>
      <c r="AP103" s="1289"/>
      <c r="AQ103" s="1255"/>
      <c r="AR103" s="1204" t="s">
        <v>123</v>
      </c>
      <c r="AS103" s="1204" t="s">
        <v>123</v>
      </c>
      <c r="AT103" s="1206" t="s">
        <v>123</v>
      </c>
      <c r="AU103" s="1206"/>
      <c r="AV103" s="1206" t="s">
        <v>123</v>
      </c>
      <c r="AW103" s="1291"/>
      <c r="AX103" s="1291"/>
      <c r="AY103" s="1199" t="str">
        <f t="shared" si="4"/>
        <v/>
      </c>
      <c r="AZ103" s="1208"/>
      <c r="BA103" s="1208"/>
      <c r="BB103" s="1292"/>
      <c r="BC103" s="1288"/>
      <c r="BD103" s="1288"/>
      <c r="BE103" s="1289"/>
      <c r="BF103" s="1255"/>
      <c r="BG103" s="1204" t="s">
        <v>123</v>
      </c>
      <c r="BH103" s="1204" t="s">
        <v>123</v>
      </c>
      <c r="BI103" s="1206" t="s">
        <v>123</v>
      </c>
      <c r="BJ103" s="1206"/>
      <c r="BK103" s="1206" t="s">
        <v>123</v>
      </c>
      <c r="BL103" s="1291"/>
      <c r="BM103" s="1291"/>
      <c r="BN103" s="1199" t="str">
        <f t="shared" si="5"/>
        <v/>
      </c>
      <c r="BO103" s="1208"/>
      <c r="BP103" s="1208"/>
      <c r="BQ103" s="1292"/>
      <c r="BR103" s="1288"/>
      <c r="BS103" s="1288"/>
      <c r="BT103" s="1289"/>
      <c r="BU103" s="1255"/>
      <c r="BV103" s="1204" t="s">
        <v>123</v>
      </c>
      <c r="BW103" s="1204" t="s">
        <v>123</v>
      </c>
      <c r="BX103" s="1206" t="s">
        <v>123</v>
      </c>
      <c r="BY103" s="1206"/>
      <c r="BZ103" s="1206" t="s">
        <v>123</v>
      </c>
      <c r="CA103" s="1291"/>
      <c r="CB103" s="1291"/>
      <c r="CC103" s="1199" t="str">
        <f t="shared" si="6"/>
        <v/>
      </c>
      <c r="CD103" s="1208"/>
      <c r="CE103" s="1208"/>
      <c r="CF103" s="1292"/>
      <c r="CG103" s="1288"/>
      <c r="CH103" s="1288"/>
      <c r="CI103" s="1289"/>
      <c r="CJ103" s="1255"/>
      <c r="CK103" s="1204" t="s">
        <v>123</v>
      </c>
      <c r="CL103" s="1204" t="s">
        <v>123</v>
      </c>
      <c r="CM103" s="1206" t="s">
        <v>123</v>
      </c>
      <c r="CN103" s="1206"/>
      <c r="CO103" s="1206" t="s">
        <v>123</v>
      </c>
      <c r="CP103" s="1291"/>
      <c r="CQ103" s="1291"/>
      <c r="CR103" s="1199" t="str">
        <f t="shared" si="7"/>
        <v/>
      </c>
      <c r="CS103" s="1208"/>
      <c r="CT103" s="1208"/>
      <c r="CU103" s="1292"/>
      <c r="CV103" s="1288"/>
      <c r="CW103" s="1288"/>
      <c r="CX103" s="1289"/>
      <c r="CY103" s="1255"/>
      <c r="CZ103" s="1204" t="s">
        <v>123</v>
      </c>
      <c r="DA103" s="1204" t="s">
        <v>123</v>
      </c>
      <c r="DB103" s="1206" t="s">
        <v>123</v>
      </c>
      <c r="DC103" s="1206"/>
      <c r="DD103" s="1206" t="s">
        <v>123</v>
      </c>
      <c r="DE103" s="1291"/>
      <c r="DF103" s="1291"/>
      <c r="DG103" s="1199" t="str">
        <f t="shared" si="8"/>
        <v/>
      </c>
      <c r="DH103" s="1208"/>
      <c r="DI103" s="1208"/>
      <c r="DJ103" s="1302"/>
      <c r="DK103" s="1288"/>
      <c r="DL103" s="1288"/>
      <c r="DM103" s="1289"/>
      <c r="DN103" s="1255"/>
      <c r="DO103" s="1204" t="s">
        <v>123</v>
      </c>
      <c r="DP103" s="1204" t="s">
        <v>123</v>
      </c>
      <c r="DQ103" s="1206" t="s">
        <v>123</v>
      </c>
      <c r="DR103" s="1206"/>
      <c r="DS103" s="1206" t="s">
        <v>123</v>
      </c>
      <c r="DT103" s="1291"/>
      <c r="DU103" s="1291"/>
      <c r="DV103" s="1199" t="str">
        <f t="shared" si="9"/>
        <v/>
      </c>
      <c r="DW103" s="1208"/>
      <c r="DX103" s="1208"/>
      <c r="DY103" s="1292"/>
      <c r="DZ103" s="1288"/>
      <c r="EA103" s="1288"/>
      <c r="EB103" s="1289"/>
      <c r="EC103" s="1255"/>
      <c r="ED103" s="1204" t="s">
        <v>123</v>
      </c>
      <c r="EE103" s="1204" t="s">
        <v>123</v>
      </c>
      <c r="EF103" s="1206" t="s">
        <v>123</v>
      </c>
      <c r="EG103" s="1206"/>
      <c r="EH103" s="1206" t="s">
        <v>123</v>
      </c>
      <c r="EI103" s="1291"/>
      <c r="EJ103" s="1291"/>
      <c r="EK103" s="1199" t="str">
        <f t="shared" si="10"/>
        <v/>
      </c>
      <c r="EL103" s="1208"/>
      <c r="EM103" s="1208"/>
      <c r="EN103" s="1292"/>
      <c r="EO103" s="1288"/>
      <c r="EP103" s="1288"/>
      <c r="EQ103" s="1289"/>
      <c r="ER103" s="1255"/>
      <c r="ES103" s="1204" t="s">
        <v>123</v>
      </c>
      <c r="ET103" s="1204" t="s">
        <v>123</v>
      </c>
      <c r="EU103" s="1206" t="s">
        <v>123</v>
      </c>
      <c r="EV103" s="1206"/>
      <c r="EW103" s="1206" t="s">
        <v>123</v>
      </c>
      <c r="EX103" s="1291"/>
      <c r="EY103" s="1291"/>
      <c r="EZ103" s="1199" t="str">
        <f t="shared" si="11"/>
        <v/>
      </c>
      <c r="FA103" s="1208"/>
      <c r="FB103" s="1208"/>
      <c r="FC103" s="1292"/>
      <c r="FD103" s="1288"/>
      <c r="FE103" s="1288"/>
      <c r="FF103" s="1289"/>
      <c r="FG103" s="1255"/>
      <c r="FH103" s="1204" t="s">
        <v>123</v>
      </c>
      <c r="FI103" s="1204" t="s">
        <v>123</v>
      </c>
      <c r="FJ103" s="1206" t="s">
        <v>123</v>
      </c>
      <c r="FK103" s="1206"/>
      <c r="FL103" s="1206" t="s">
        <v>123</v>
      </c>
      <c r="FM103" s="1291"/>
      <c r="FN103" s="1291"/>
      <c r="FO103" s="1199" t="str">
        <f t="shared" si="12"/>
        <v/>
      </c>
      <c r="FP103" s="1208"/>
      <c r="FQ103" s="1208"/>
      <c r="FR103" s="1292"/>
      <c r="FS103" s="1288"/>
      <c r="FT103" s="1288"/>
      <c r="FU103" s="1289"/>
      <c r="FV103" s="1255"/>
      <c r="FW103" s="1204" t="s">
        <v>123</v>
      </c>
      <c r="FX103" s="1204" t="s">
        <v>123</v>
      </c>
      <c r="FY103" s="1206" t="s">
        <v>123</v>
      </c>
      <c r="FZ103" s="1206"/>
      <c r="GA103" s="1206" t="s">
        <v>123</v>
      </c>
      <c r="GB103" s="1291"/>
      <c r="GC103" s="1291"/>
      <c r="GD103" s="1199" t="str">
        <f t="shared" si="13"/>
        <v/>
      </c>
      <c r="GE103" s="1208"/>
      <c r="GF103" s="1208"/>
      <c r="GG103" s="1292"/>
      <c r="GH103" s="1288"/>
      <c r="GI103" s="1288"/>
      <c r="GJ103" s="1289"/>
      <c r="GK103" s="1255"/>
      <c r="GL103" s="1204" t="s">
        <v>123</v>
      </c>
      <c r="GM103" s="1204" t="s">
        <v>123</v>
      </c>
      <c r="GN103" s="1206" t="s">
        <v>123</v>
      </c>
      <c r="GO103" s="1206"/>
      <c r="GP103" s="1206" t="s">
        <v>123</v>
      </c>
      <c r="GQ103" s="1291"/>
      <c r="GR103" s="1291"/>
      <c r="GS103" s="1199" t="str">
        <f t="shared" si="14"/>
        <v/>
      </c>
      <c r="GT103" s="1208"/>
      <c r="GU103" s="1208"/>
      <c r="GV103" s="1292"/>
      <c r="GW103" s="1288"/>
      <c r="GX103" s="1288"/>
      <c r="GY103" s="1289"/>
      <c r="GZ103" s="1255"/>
      <c r="HA103" s="1204" t="s">
        <v>123</v>
      </c>
      <c r="HB103" s="1204" t="s">
        <v>123</v>
      </c>
      <c r="HC103" s="1206" t="s">
        <v>123</v>
      </c>
      <c r="HD103" s="1206"/>
      <c r="HE103" s="1206" t="s">
        <v>123</v>
      </c>
      <c r="HF103" s="1291"/>
      <c r="HG103" s="1291"/>
      <c r="HH103" s="1199" t="str">
        <f t="shared" si="15"/>
        <v/>
      </c>
      <c r="HI103" s="1208"/>
      <c r="HJ103" s="1208"/>
      <c r="HK103" s="1292"/>
      <c r="HL103" s="1288"/>
      <c r="HM103" s="1288"/>
      <c r="HN103" s="1289"/>
      <c r="HO103" s="1255"/>
      <c r="HP103" s="1204" t="s">
        <v>123</v>
      </c>
      <c r="HQ103" s="1204" t="s">
        <v>123</v>
      </c>
      <c r="HR103" s="1206" t="s">
        <v>123</v>
      </c>
      <c r="HS103" s="1206"/>
      <c r="HT103" s="1206" t="s">
        <v>123</v>
      </c>
      <c r="HU103" s="1291"/>
      <c r="HV103" s="1291"/>
      <c r="HW103" s="1227"/>
    </row>
    <row r="104" ht="15.75" customHeight="1">
      <c r="A104" s="1297"/>
      <c r="B104" s="1298"/>
      <c r="C104" s="1298"/>
      <c r="D104" s="1297"/>
      <c r="E104" s="1299"/>
      <c r="F104" s="1199" t="str">
        <f t="shared" si="1"/>
        <v/>
      </c>
      <c r="G104" s="1208"/>
      <c r="H104" s="1208"/>
      <c r="I104" s="1292"/>
      <c r="J104" s="1288"/>
      <c r="K104" s="1288"/>
      <c r="L104" s="1289"/>
      <c r="M104" s="1255"/>
      <c r="N104" s="1204" t="s">
        <v>123</v>
      </c>
      <c r="O104" s="1204" t="s">
        <v>123</v>
      </c>
      <c r="P104" s="1205" t="s">
        <v>123</v>
      </c>
      <c r="Q104" s="1291"/>
      <c r="R104" s="1291" t="s">
        <v>123</v>
      </c>
      <c r="S104" s="1291"/>
      <c r="T104" s="1291"/>
      <c r="U104" s="1199" t="str">
        <f t="shared" si="2"/>
        <v/>
      </c>
      <c r="V104" s="1208"/>
      <c r="W104" s="1208"/>
      <c r="X104" s="1292"/>
      <c r="Y104" s="1288"/>
      <c r="Z104" s="1288"/>
      <c r="AA104" s="1289"/>
      <c r="AB104" s="1255"/>
      <c r="AC104" s="1204" t="s">
        <v>123</v>
      </c>
      <c r="AD104" s="1204" t="s">
        <v>123</v>
      </c>
      <c r="AE104" s="1205" t="s">
        <v>123</v>
      </c>
      <c r="AF104" s="1206"/>
      <c r="AG104" s="1206" t="s">
        <v>123</v>
      </c>
      <c r="AH104" s="1291"/>
      <c r="AI104" s="1291"/>
      <c r="AJ104" s="1199" t="str">
        <f t="shared" si="3"/>
        <v/>
      </c>
      <c r="AK104" s="1208"/>
      <c r="AL104" s="1208"/>
      <c r="AM104" s="1292"/>
      <c r="AN104" s="1288"/>
      <c r="AO104" s="1288"/>
      <c r="AP104" s="1289"/>
      <c r="AQ104" s="1255"/>
      <c r="AR104" s="1204" t="s">
        <v>123</v>
      </c>
      <c r="AS104" s="1204" t="s">
        <v>123</v>
      </c>
      <c r="AT104" s="1206" t="s">
        <v>123</v>
      </c>
      <c r="AU104" s="1206"/>
      <c r="AV104" s="1206" t="s">
        <v>123</v>
      </c>
      <c r="AW104" s="1291"/>
      <c r="AX104" s="1291"/>
      <c r="AY104" s="1199" t="str">
        <f t="shared" si="4"/>
        <v/>
      </c>
      <c r="AZ104" s="1208"/>
      <c r="BA104" s="1208"/>
      <c r="BB104" s="1292"/>
      <c r="BC104" s="1288"/>
      <c r="BD104" s="1288"/>
      <c r="BE104" s="1289"/>
      <c r="BF104" s="1255"/>
      <c r="BG104" s="1204" t="s">
        <v>123</v>
      </c>
      <c r="BH104" s="1204" t="s">
        <v>123</v>
      </c>
      <c r="BI104" s="1206" t="s">
        <v>123</v>
      </c>
      <c r="BJ104" s="1206"/>
      <c r="BK104" s="1206" t="s">
        <v>123</v>
      </c>
      <c r="BL104" s="1291"/>
      <c r="BM104" s="1291"/>
      <c r="BN104" s="1199" t="str">
        <f t="shared" si="5"/>
        <v/>
      </c>
      <c r="BO104" s="1208"/>
      <c r="BP104" s="1208"/>
      <c r="BQ104" s="1292"/>
      <c r="BR104" s="1288"/>
      <c r="BS104" s="1288"/>
      <c r="BT104" s="1289"/>
      <c r="BU104" s="1255"/>
      <c r="BV104" s="1204" t="s">
        <v>123</v>
      </c>
      <c r="BW104" s="1204" t="s">
        <v>123</v>
      </c>
      <c r="BX104" s="1206" t="s">
        <v>123</v>
      </c>
      <c r="BY104" s="1206"/>
      <c r="BZ104" s="1206" t="s">
        <v>123</v>
      </c>
      <c r="CA104" s="1291"/>
      <c r="CB104" s="1291"/>
      <c r="CC104" s="1199" t="str">
        <f t="shared" si="6"/>
        <v/>
      </c>
      <c r="CD104" s="1208"/>
      <c r="CE104" s="1208"/>
      <c r="CF104" s="1292"/>
      <c r="CG104" s="1288"/>
      <c r="CH104" s="1288"/>
      <c r="CI104" s="1289"/>
      <c r="CJ104" s="1255"/>
      <c r="CK104" s="1204" t="s">
        <v>123</v>
      </c>
      <c r="CL104" s="1204" t="s">
        <v>123</v>
      </c>
      <c r="CM104" s="1206" t="s">
        <v>123</v>
      </c>
      <c r="CN104" s="1206"/>
      <c r="CO104" s="1206" t="s">
        <v>123</v>
      </c>
      <c r="CP104" s="1291"/>
      <c r="CQ104" s="1291"/>
      <c r="CR104" s="1199" t="str">
        <f t="shared" si="7"/>
        <v/>
      </c>
      <c r="CS104" s="1208"/>
      <c r="CT104" s="1208"/>
      <c r="CU104" s="1292"/>
      <c r="CV104" s="1288"/>
      <c r="CW104" s="1288"/>
      <c r="CX104" s="1289"/>
      <c r="CY104" s="1255"/>
      <c r="CZ104" s="1204" t="s">
        <v>123</v>
      </c>
      <c r="DA104" s="1204" t="s">
        <v>123</v>
      </c>
      <c r="DB104" s="1206" t="s">
        <v>123</v>
      </c>
      <c r="DC104" s="1206"/>
      <c r="DD104" s="1206" t="s">
        <v>123</v>
      </c>
      <c r="DE104" s="1291"/>
      <c r="DF104" s="1291"/>
      <c r="DG104" s="1199" t="str">
        <f t="shared" si="8"/>
        <v/>
      </c>
      <c r="DH104" s="1208"/>
      <c r="DI104" s="1208"/>
      <c r="DJ104" s="1302"/>
      <c r="DK104" s="1288"/>
      <c r="DL104" s="1288"/>
      <c r="DM104" s="1289"/>
      <c r="DN104" s="1255"/>
      <c r="DO104" s="1204" t="s">
        <v>123</v>
      </c>
      <c r="DP104" s="1204" t="s">
        <v>123</v>
      </c>
      <c r="DQ104" s="1206" t="s">
        <v>123</v>
      </c>
      <c r="DR104" s="1206"/>
      <c r="DS104" s="1206" t="s">
        <v>123</v>
      </c>
      <c r="DT104" s="1291"/>
      <c r="DU104" s="1291"/>
      <c r="DV104" s="1199" t="str">
        <f t="shared" si="9"/>
        <v/>
      </c>
      <c r="DW104" s="1208"/>
      <c r="DX104" s="1208"/>
      <c r="DY104" s="1292"/>
      <c r="DZ104" s="1288"/>
      <c r="EA104" s="1288"/>
      <c r="EB104" s="1289"/>
      <c r="EC104" s="1255"/>
      <c r="ED104" s="1204" t="s">
        <v>123</v>
      </c>
      <c r="EE104" s="1204" t="s">
        <v>123</v>
      </c>
      <c r="EF104" s="1206" t="s">
        <v>123</v>
      </c>
      <c r="EG104" s="1206"/>
      <c r="EH104" s="1206" t="s">
        <v>123</v>
      </c>
      <c r="EI104" s="1291"/>
      <c r="EJ104" s="1291"/>
      <c r="EK104" s="1199" t="str">
        <f t="shared" si="10"/>
        <v/>
      </c>
      <c r="EL104" s="1208"/>
      <c r="EM104" s="1208"/>
      <c r="EN104" s="1292"/>
      <c r="EO104" s="1288"/>
      <c r="EP104" s="1288"/>
      <c r="EQ104" s="1289"/>
      <c r="ER104" s="1255"/>
      <c r="ES104" s="1204" t="s">
        <v>123</v>
      </c>
      <c r="ET104" s="1204" t="s">
        <v>123</v>
      </c>
      <c r="EU104" s="1206" t="s">
        <v>123</v>
      </c>
      <c r="EV104" s="1206"/>
      <c r="EW104" s="1206" t="s">
        <v>123</v>
      </c>
      <c r="EX104" s="1291"/>
      <c r="EY104" s="1291"/>
      <c r="EZ104" s="1199" t="str">
        <f t="shared" si="11"/>
        <v/>
      </c>
      <c r="FA104" s="1208"/>
      <c r="FB104" s="1208"/>
      <c r="FC104" s="1292"/>
      <c r="FD104" s="1288"/>
      <c r="FE104" s="1288"/>
      <c r="FF104" s="1289"/>
      <c r="FG104" s="1255"/>
      <c r="FH104" s="1204" t="s">
        <v>123</v>
      </c>
      <c r="FI104" s="1204" t="s">
        <v>123</v>
      </c>
      <c r="FJ104" s="1206" t="s">
        <v>123</v>
      </c>
      <c r="FK104" s="1206"/>
      <c r="FL104" s="1206" t="s">
        <v>123</v>
      </c>
      <c r="FM104" s="1291"/>
      <c r="FN104" s="1291"/>
      <c r="FO104" s="1199" t="str">
        <f t="shared" si="12"/>
        <v/>
      </c>
      <c r="FP104" s="1208"/>
      <c r="FQ104" s="1208"/>
      <c r="FR104" s="1292"/>
      <c r="FS104" s="1288"/>
      <c r="FT104" s="1288"/>
      <c r="FU104" s="1289"/>
      <c r="FV104" s="1255"/>
      <c r="FW104" s="1204" t="s">
        <v>123</v>
      </c>
      <c r="FX104" s="1204" t="s">
        <v>123</v>
      </c>
      <c r="FY104" s="1206" t="s">
        <v>123</v>
      </c>
      <c r="FZ104" s="1206"/>
      <c r="GA104" s="1206" t="s">
        <v>123</v>
      </c>
      <c r="GB104" s="1291"/>
      <c r="GC104" s="1291"/>
      <c r="GD104" s="1199" t="str">
        <f t="shared" si="13"/>
        <v/>
      </c>
      <c r="GE104" s="1208"/>
      <c r="GF104" s="1208"/>
      <c r="GG104" s="1292"/>
      <c r="GH104" s="1288"/>
      <c r="GI104" s="1288"/>
      <c r="GJ104" s="1289"/>
      <c r="GK104" s="1255"/>
      <c r="GL104" s="1204" t="s">
        <v>123</v>
      </c>
      <c r="GM104" s="1204" t="s">
        <v>123</v>
      </c>
      <c r="GN104" s="1206" t="s">
        <v>123</v>
      </c>
      <c r="GO104" s="1206"/>
      <c r="GP104" s="1206" t="s">
        <v>123</v>
      </c>
      <c r="GQ104" s="1291"/>
      <c r="GR104" s="1291"/>
      <c r="GS104" s="1199" t="str">
        <f t="shared" si="14"/>
        <v/>
      </c>
      <c r="GT104" s="1208"/>
      <c r="GU104" s="1208"/>
      <c r="GV104" s="1292"/>
      <c r="GW104" s="1288"/>
      <c r="GX104" s="1288"/>
      <c r="GY104" s="1289"/>
      <c r="GZ104" s="1255"/>
      <c r="HA104" s="1204" t="s">
        <v>123</v>
      </c>
      <c r="HB104" s="1204" t="s">
        <v>123</v>
      </c>
      <c r="HC104" s="1206" t="s">
        <v>123</v>
      </c>
      <c r="HD104" s="1206"/>
      <c r="HE104" s="1206" t="s">
        <v>123</v>
      </c>
      <c r="HF104" s="1291"/>
      <c r="HG104" s="1291"/>
      <c r="HH104" s="1199" t="str">
        <f t="shared" si="15"/>
        <v/>
      </c>
      <c r="HI104" s="1208"/>
      <c r="HJ104" s="1208"/>
      <c r="HK104" s="1292"/>
      <c r="HL104" s="1288"/>
      <c r="HM104" s="1288"/>
      <c r="HN104" s="1289"/>
      <c r="HO104" s="1255"/>
      <c r="HP104" s="1204" t="s">
        <v>123</v>
      </c>
      <c r="HQ104" s="1204" t="s">
        <v>123</v>
      </c>
      <c r="HR104" s="1206" t="s">
        <v>123</v>
      </c>
      <c r="HS104" s="1206"/>
      <c r="HT104" s="1206" t="s">
        <v>123</v>
      </c>
      <c r="HU104" s="1291"/>
      <c r="HV104" s="1291"/>
      <c r="HW104" s="1227"/>
    </row>
    <row r="105" ht="15.75" customHeight="1">
      <c r="A105" s="1297"/>
      <c r="B105" s="1298"/>
      <c r="C105" s="1298"/>
      <c r="D105" s="1297"/>
      <c r="E105" s="1299"/>
      <c r="F105" s="1199" t="str">
        <f t="shared" si="1"/>
        <v/>
      </c>
      <c r="G105" s="1208"/>
      <c r="H105" s="1208"/>
      <c r="I105" s="1292"/>
      <c r="J105" s="1288"/>
      <c r="K105" s="1288"/>
      <c r="L105" s="1289"/>
      <c r="M105" s="1255"/>
      <c r="N105" s="1204" t="s">
        <v>123</v>
      </c>
      <c r="O105" s="1204" t="s">
        <v>123</v>
      </c>
      <c r="P105" s="1205" t="s">
        <v>123</v>
      </c>
      <c r="Q105" s="1291"/>
      <c r="R105" s="1291" t="s">
        <v>123</v>
      </c>
      <c r="S105" s="1291"/>
      <c r="T105" s="1291"/>
      <c r="U105" s="1199" t="str">
        <f t="shared" si="2"/>
        <v/>
      </c>
      <c r="V105" s="1208"/>
      <c r="W105" s="1208"/>
      <c r="X105" s="1292"/>
      <c r="Y105" s="1288"/>
      <c r="Z105" s="1288"/>
      <c r="AA105" s="1289"/>
      <c r="AB105" s="1255"/>
      <c r="AC105" s="1204" t="s">
        <v>123</v>
      </c>
      <c r="AD105" s="1204" t="s">
        <v>123</v>
      </c>
      <c r="AE105" s="1205" t="s">
        <v>123</v>
      </c>
      <c r="AF105" s="1206"/>
      <c r="AG105" s="1206" t="s">
        <v>123</v>
      </c>
      <c r="AH105" s="1291"/>
      <c r="AI105" s="1291"/>
      <c r="AJ105" s="1199" t="str">
        <f t="shared" si="3"/>
        <v/>
      </c>
      <c r="AK105" s="1208"/>
      <c r="AL105" s="1208"/>
      <c r="AM105" s="1292"/>
      <c r="AN105" s="1288"/>
      <c r="AO105" s="1288"/>
      <c r="AP105" s="1289"/>
      <c r="AQ105" s="1255"/>
      <c r="AR105" s="1204" t="s">
        <v>123</v>
      </c>
      <c r="AS105" s="1204" t="s">
        <v>123</v>
      </c>
      <c r="AT105" s="1206" t="s">
        <v>123</v>
      </c>
      <c r="AU105" s="1206"/>
      <c r="AV105" s="1206" t="s">
        <v>123</v>
      </c>
      <c r="AW105" s="1291"/>
      <c r="AX105" s="1291"/>
      <c r="AY105" s="1199" t="str">
        <f t="shared" si="4"/>
        <v/>
      </c>
      <c r="AZ105" s="1208"/>
      <c r="BA105" s="1208"/>
      <c r="BB105" s="1292"/>
      <c r="BC105" s="1288"/>
      <c r="BD105" s="1288"/>
      <c r="BE105" s="1289"/>
      <c r="BF105" s="1255"/>
      <c r="BG105" s="1204" t="s">
        <v>123</v>
      </c>
      <c r="BH105" s="1204" t="s">
        <v>123</v>
      </c>
      <c r="BI105" s="1206" t="s">
        <v>123</v>
      </c>
      <c r="BJ105" s="1206"/>
      <c r="BK105" s="1206" t="s">
        <v>123</v>
      </c>
      <c r="BL105" s="1291"/>
      <c r="BM105" s="1291"/>
      <c r="BN105" s="1199" t="str">
        <f t="shared" si="5"/>
        <v/>
      </c>
      <c r="BO105" s="1208"/>
      <c r="BP105" s="1208"/>
      <c r="BQ105" s="1292"/>
      <c r="BR105" s="1288"/>
      <c r="BS105" s="1288"/>
      <c r="BT105" s="1289"/>
      <c r="BU105" s="1255"/>
      <c r="BV105" s="1204" t="s">
        <v>123</v>
      </c>
      <c r="BW105" s="1204" t="s">
        <v>123</v>
      </c>
      <c r="BX105" s="1206" t="s">
        <v>123</v>
      </c>
      <c r="BY105" s="1206"/>
      <c r="BZ105" s="1206" t="s">
        <v>123</v>
      </c>
      <c r="CA105" s="1291"/>
      <c r="CB105" s="1291"/>
      <c r="CC105" s="1199" t="str">
        <f t="shared" si="6"/>
        <v/>
      </c>
      <c r="CD105" s="1208"/>
      <c r="CE105" s="1208"/>
      <c r="CF105" s="1292"/>
      <c r="CG105" s="1288"/>
      <c r="CH105" s="1288"/>
      <c r="CI105" s="1289"/>
      <c r="CJ105" s="1255"/>
      <c r="CK105" s="1204" t="s">
        <v>123</v>
      </c>
      <c r="CL105" s="1204" t="s">
        <v>123</v>
      </c>
      <c r="CM105" s="1206" t="s">
        <v>123</v>
      </c>
      <c r="CN105" s="1206"/>
      <c r="CO105" s="1206" t="s">
        <v>123</v>
      </c>
      <c r="CP105" s="1291"/>
      <c r="CQ105" s="1291"/>
      <c r="CR105" s="1199" t="str">
        <f t="shared" si="7"/>
        <v/>
      </c>
      <c r="CS105" s="1208"/>
      <c r="CT105" s="1208"/>
      <c r="CU105" s="1292"/>
      <c r="CV105" s="1288"/>
      <c r="CW105" s="1288"/>
      <c r="CX105" s="1289"/>
      <c r="CY105" s="1255"/>
      <c r="CZ105" s="1204" t="s">
        <v>123</v>
      </c>
      <c r="DA105" s="1204" t="s">
        <v>123</v>
      </c>
      <c r="DB105" s="1206" t="s">
        <v>123</v>
      </c>
      <c r="DC105" s="1206"/>
      <c r="DD105" s="1206" t="s">
        <v>123</v>
      </c>
      <c r="DE105" s="1291"/>
      <c r="DF105" s="1291"/>
      <c r="DG105" s="1199" t="str">
        <f t="shared" si="8"/>
        <v/>
      </c>
      <c r="DH105" s="1208"/>
      <c r="DI105" s="1208"/>
      <c r="DJ105" s="1302"/>
      <c r="DK105" s="1288"/>
      <c r="DL105" s="1288"/>
      <c r="DM105" s="1289"/>
      <c r="DN105" s="1255"/>
      <c r="DO105" s="1204" t="s">
        <v>123</v>
      </c>
      <c r="DP105" s="1204" t="s">
        <v>123</v>
      </c>
      <c r="DQ105" s="1206" t="s">
        <v>123</v>
      </c>
      <c r="DR105" s="1206"/>
      <c r="DS105" s="1206" t="s">
        <v>123</v>
      </c>
      <c r="DT105" s="1291"/>
      <c r="DU105" s="1291"/>
      <c r="DV105" s="1199" t="str">
        <f t="shared" si="9"/>
        <v/>
      </c>
      <c r="DW105" s="1208"/>
      <c r="DX105" s="1208"/>
      <c r="DY105" s="1292"/>
      <c r="DZ105" s="1288"/>
      <c r="EA105" s="1288"/>
      <c r="EB105" s="1289"/>
      <c r="EC105" s="1255"/>
      <c r="ED105" s="1204" t="s">
        <v>123</v>
      </c>
      <c r="EE105" s="1204" t="s">
        <v>123</v>
      </c>
      <c r="EF105" s="1206" t="s">
        <v>123</v>
      </c>
      <c r="EG105" s="1206"/>
      <c r="EH105" s="1206" t="s">
        <v>123</v>
      </c>
      <c r="EI105" s="1291"/>
      <c r="EJ105" s="1291"/>
      <c r="EK105" s="1199" t="str">
        <f t="shared" si="10"/>
        <v/>
      </c>
      <c r="EL105" s="1208"/>
      <c r="EM105" s="1208"/>
      <c r="EN105" s="1292"/>
      <c r="EO105" s="1288"/>
      <c r="EP105" s="1288"/>
      <c r="EQ105" s="1289"/>
      <c r="ER105" s="1255"/>
      <c r="ES105" s="1204" t="s">
        <v>123</v>
      </c>
      <c r="ET105" s="1204" t="s">
        <v>123</v>
      </c>
      <c r="EU105" s="1206" t="s">
        <v>123</v>
      </c>
      <c r="EV105" s="1206"/>
      <c r="EW105" s="1206" t="s">
        <v>123</v>
      </c>
      <c r="EX105" s="1291"/>
      <c r="EY105" s="1291"/>
      <c r="EZ105" s="1199" t="str">
        <f t="shared" si="11"/>
        <v/>
      </c>
      <c r="FA105" s="1208"/>
      <c r="FB105" s="1208"/>
      <c r="FC105" s="1292"/>
      <c r="FD105" s="1288"/>
      <c r="FE105" s="1288"/>
      <c r="FF105" s="1289"/>
      <c r="FG105" s="1255"/>
      <c r="FH105" s="1204" t="s">
        <v>123</v>
      </c>
      <c r="FI105" s="1204" t="s">
        <v>123</v>
      </c>
      <c r="FJ105" s="1206" t="s">
        <v>123</v>
      </c>
      <c r="FK105" s="1206"/>
      <c r="FL105" s="1206" t="s">
        <v>123</v>
      </c>
      <c r="FM105" s="1291"/>
      <c r="FN105" s="1291"/>
      <c r="FO105" s="1199" t="str">
        <f t="shared" si="12"/>
        <v/>
      </c>
      <c r="FP105" s="1208"/>
      <c r="FQ105" s="1208"/>
      <c r="FR105" s="1292"/>
      <c r="FS105" s="1288"/>
      <c r="FT105" s="1288"/>
      <c r="FU105" s="1289"/>
      <c r="FV105" s="1255"/>
      <c r="FW105" s="1204" t="s">
        <v>123</v>
      </c>
      <c r="FX105" s="1204" t="s">
        <v>123</v>
      </c>
      <c r="FY105" s="1206" t="s">
        <v>123</v>
      </c>
      <c r="FZ105" s="1206"/>
      <c r="GA105" s="1206" t="s">
        <v>123</v>
      </c>
      <c r="GB105" s="1291"/>
      <c r="GC105" s="1291"/>
      <c r="GD105" s="1199" t="str">
        <f t="shared" si="13"/>
        <v/>
      </c>
      <c r="GE105" s="1208"/>
      <c r="GF105" s="1208"/>
      <c r="GG105" s="1292"/>
      <c r="GH105" s="1288"/>
      <c r="GI105" s="1288"/>
      <c r="GJ105" s="1289"/>
      <c r="GK105" s="1255"/>
      <c r="GL105" s="1204" t="s">
        <v>123</v>
      </c>
      <c r="GM105" s="1204" t="s">
        <v>123</v>
      </c>
      <c r="GN105" s="1206" t="s">
        <v>123</v>
      </c>
      <c r="GO105" s="1206"/>
      <c r="GP105" s="1206" t="s">
        <v>123</v>
      </c>
      <c r="GQ105" s="1291"/>
      <c r="GR105" s="1291"/>
      <c r="GS105" s="1199" t="str">
        <f t="shared" si="14"/>
        <v/>
      </c>
      <c r="GT105" s="1208"/>
      <c r="GU105" s="1208"/>
      <c r="GV105" s="1292"/>
      <c r="GW105" s="1288"/>
      <c r="GX105" s="1288"/>
      <c r="GY105" s="1289"/>
      <c r="GZ105" s="1255"/>
      <c r="HA105" s="1204" t="s">
        <v>123</v>
      </c>
      <c r="HB105" s="1204" t="s">
        <v>123</v>
      </c>
      <c r="HC105" s="1206" t="s">
        <v>123</v>
      </c>
      <c r="HD105" s="1206"/>
      <c r="HE105" s="1206" t="s">
        <v>123</v>
      </c>
      <c r="HF105" s="1291"/>
      <c r="HG105" s="1291"/>
      <c r="HH105" s="1199" t="str">
        <f t="shared" si="15"/>
        <v/>
      </c>
      <c r="HI105" s="1208"/>
      <c r="HJ105" s="1208"/>
      <c r="HK105" s="1292"/>
      <c r="HL105" s="1288"/>
      <c r="HM105" s="1288"/>
      <c r="HN105" s="1289"/>
      <c r="HO105" s="1255"/>
      <c r="HP105" s="1204" t="s">
        <v>123</v>
      </c>
      <c r="HQ105" s="1204" t="s">
        <v>123</v>
      </c>
      <c r="HR105" s="1206" t="s">
        <v>123</v>
      </c>
      <c r="HS105" s="1206"/>
      <c r="HT105" s="1206" t="s">
        <v>123</v>
      </c>
      <c r="HU105" s="1291"/>
      <c r="HV105" s="1291"/>
      <c r="HW105" s="1227"/>
    </row>
    <row r="106" ht="15.75" customHeight="1">
      <c r="A106" s="1297"/>
      <c r="B106" s="1298"/>
      <c r="C106" s="1298"/>
      <c r="D106" s="1297"/>
      <c r="E106" s="1299"/>
      <c r="F106" s="1199" t="str">
        <f t="shared" si="1"/>
        <v/>
      </c>
      <c r="G106" s="1208"/>
      <c r="H106" s="1208"/>
      <c r="I106" s="1292"/>
      <c r="J106" s="1288"/>
      <c r="K106" s="1288"/>
      <c r="L106" s="1289"/>
      <c r="M106" s="1255"/>
      <c r="N106" s="1204" t="s">
        <v>123</v>
      </c>
      <c r="O106" s="1204" t="s">
        <v>123</v>
      </c>
      <c r="P106" s="1205" t="s">
        <v>123</v>
      </c>
      <c r="Q106" s="1291"/>
      <c r="R106" s="1291" t="s">
        <v>123</v>
      </c>
      <c r="S106" s="1291"/>
      <c r="T106" s="1291"/>
      <c r="U106" s="1199" t="str">
        <f t="shared" si="2"/>
        <v/>
      </c>
      <c r="V106" s="1208"/>
      <c r="W106" s="1208"/>
      <c r="X106" s="1292"/>
      <c r="Y106" s="1288"/>
      <c r="Z106" s="1288"/>
      <c r="AA106" s="1289"/>
      <c r="AB106" s="1255"/>
      <c r="AC106" s="1204" t="s">
        <v>123</v>
      </c>
      <c r="AD106" s="1204" t="s">
        <v>123</v>
      </c>
      <c r="AE106" s="1205" t="s">
        <v>123</v>
      </c>
      <c r="AF106" s="1206"/>
      <c r="AG106" s="1206" t="s">
        <v>123</v>
      </c>
      <c r="AH106" s="1291"/>
      <c r="AI106" s="1291"/>
      <c r="AJ106" s="1199" t="str">
        <f t="shared" si="3"/>
        <v/>
      </c>
      <c r="AK106" s="1208"/>
      <c r="AL106" s="1208"/>
      <c r="AM106" s="1292"/>
      <c r="AN106" s="1288"/>
      <c r="AO106" s="1288"/>
      <c r="AP106" s="1289"/>
      <c r="AQ106" s="1255"/>
      <c r="AR106" s="1204" t="s">
        <v>123</v>
      </c>
      <c r="AS106" s="1204" t="s">
        <v>123</v>
      </c>
      <c r="AT106" s="1206" t="s">
        <v>123</v>
      </c>
      <c r="AU106" s="1206"/>
      <c r="AV106" s="1206" t="s">
        <v>123</v>
      </c>
      <c r="AW106" s="1291"/>
      <c r="AX106" s="1291"/>
      <c r="AY106" s="1199" t="str">
        <f t="shared" si="4"/>
        <v/>
      </c>
      <c r="AZ106" s="1208"/>
      <c r="BA106" s="1208"/>
      <c r="BB106" s="1292"/>
      <c r="BC106" s="1288"/>
      <c r="BD106" s="1288"/>
      <c r="BE106" s="1289"/>
      <c r="BF106" s="1255"/>
      <c r="BG106" s="1204" t="s">
        <v>123</v>
      </c>
      <c r="BH106" s="1204" t="s">
        <v>123</v>
      </c>
      <c r="BI106" s="1206" t="s">
        <v>123</v>
      </c>
      <c r="BJ106" s="1206"/>
      <c r="BK106" s="1206" t="s">
        <v>123</v>
      </c>
      <c r="BL106" s="1291"/>
      <c r="BM106" s="1291"/>
      <c r="BN106" s="1199" t="str">
        <f t="shared" si="5"/>
        <v/>
      </c>
      <c r="BO106" s="1208"/>
      <c r="BP106" s="1208"/>
      <c r="BQ106" s="1292"/>
      <c r="BR106" s="1288"/>
      <c r="BS106" s="1288"/>
      <c r="BT106" s="1289"/>
      <c r="BU106" s="1255"/>
      <c r="BV106" s="1204" t="s">
        <v>123</v>
      </c>
      <c r="BW106" s="1204" t="s">
        <v>123</v>
      </c>
      <c r="BX106" s="1206" t="s">
        <v>123</v>
      </c>
      <c r="BY106" s="1206"/>
      <c r="BZ106" s="1206" t="s">
        <v>123</v>
      </c>
      <c r="CA106" s="1291"/>
      <c r="CB106" s="1291"/>
      <c r="CC106" s="1199" t="str">
        <f t="shared" si="6"/>
        <v/>
      </c>
      <c r="CD106" s="1208"/>
      <c r="CE106" s="1208"/>
      <c r="CF106" s="1292"/>
      <c r="CG106" s="1288"/>
      <c r="CH106" s="1288"/>
      <c r="CI106" s="1289"/>
      <c r="CJ106" s="1255"/>
      <c r="CK106" s="1204" t="s">
        <v>123</v>
      </c>
      <c r="CL106" s="1204" t="s">
        <v>123</v>
      </c>
      <c r="CM106" s="1206" t="s">
        <v>123</v>
      </c>
      <c r="CN106" s="1206"/>
      <c r="CO106" s="1206" t="s">
        <v>123</v>
      </c>
      <c r="CP106" s="1291"/>
      <c r="CQ106" s="1291"/>
      <c r="CR106" s="1199" t="str">
        <f t="shared" si="7"/>
        <v/>
      </c>
      <c r="CS106" s="1208"/>
      <c r="CT106" s="1208"/>
      <c r="CU106" s="1292"/>
      <c r="CV106" s="1288"/>
      <c r="CW106" s="1288"/>
      <c r="CX106" s="1289"/>
      <c r="CY106" s="1255"/>
      <c r="CZ106" s="1204" t="s">
        <v>123</v>
      </c>
      <c r="DA106" s="1204" t="s">
        <v>123</v>
      </c>
      <c r="DB106" s="1206" t="s">
        <v>123</v>
      </c>
      <c r="DC106" s="1206"/>
      <c r="DD106" s="1206" t="s">
        <v>123</v>
      </c>
      <c r="DE106" s="1291"/>
      <c r="DF106" s="1291"/>
      <c r="DG106" s="1199" t="str">
        <f t="shared" si="8"/>
        <v/>
      </c>
      <c r="DH106" s="1208"/>
      <c r="DI106" s="1208"/>
      <c r="DJ106" s="1302"/>
      <c r="DK106" s="1288"/>
      <c r="DL106" s="1288"/>
      <c r="DM106" s="1289"/>
      <c r="DN106" s="1255"/>
      <c r="DO106" s="1204" t="s">
        <v>123</v>
      </c>
      <c r="DP106" s="1204" t="s">
        <v>123</v>
      </c>
      <c r="DQ106" s="1206" t="s">
        <v>123</v>
      </c>
      <c r="DR106" s="1206"/>
      <c r="DS106" s="1206" t="s">
        <v>123</v>
      </c>
      <c r="DT106" s="1291"/>
      <c r="DU106" s="1291"/>
      <c r="DV106" s="1199" t="str">
        <f t="shared" si="9"/>
        <v/>
      </c>
      <c r="DW106" s="1208"/>
      <c r="DX106" s="1208"/>
      <c r="DY106" s="1292"/>
      <c r="DZ106" s="1288"/>
      <c r="EA106" s="1288"/>
      <c r="EB106" s="1289"/>
      <c r="EC106" s="1255"/>
      <c r="ED106" s="1204" t="s">
        <v>123</v>
      </c>
      <c r="EE106" s="1204" t="s">
        <v>123</v>
      </c>
      <c r="EF106" s="1206" t="s">
        <v>123</v>
      </c>
      <c r="EG106" s="1206"/>
      <c r="EH106" s="1206" t="s">
        <v>123</v>
      </c>
      <c r="EI106" s="1291"/>
      <c r="EJ106" s="1291"/>
      <c r="EK106" s="1199" t="str">
        <f t="shared" si="10"/>
        <v/>
      </c>
      <c r="EL106" s="1208"/>
      <c r="EM106" s="1208"/>
      <c r="EN106" s="1292"/>
      <c r="EO106" s="1288"/>
      <c r="EP106" s="1288"/>
      <c r="EQ106" s="1289"/>
      <c r="ER106" s="1255"/>
      <c r="ES106" s="1204" t="s">
        <v>123</v>
      </c>
      <c r="ET106" s="1204" t="s">
        <v>123</v>
      </c>
      <c r="EU106" s="1206" t="s">
        <v>123</v>
      </c>
      <c r="EV106" s="1206"/>
      <c r="EW106" s="1206" t="s">
        <v>123</v>
      </c>
      <c r="EX106" s="1291"/>
      <c r="EY106" s="1291"/>
      <c r="EZ106" s="1199" t="str">
        <f t="shared" si="11"/>
        <v/>
      </c>
      <c r="FA106" s="1208"/>
      <c r="FB106" s="1208"/>
      <c r="FC106" s="1292"/>
      <c r="FD106" s="1288"/>
      <c r="FE106" s="1288"/>
      <c r="FF106" s="1289"/>
      <c r="FG106" s="1255"/>
      <c r="FH106" s="1204" t="s">
        <v>123</v>
      </c>
      <c r="FI106" s="1204" t="s">
        <v>123</v>
      </c>
      <c r="FJ106" s="1206" t="s">
        <v>123</v>
      </c>
      <c r="FK106" s="1206"/>
      <c r="FL106" s="1206" t="s">
        <v>123</v>
      </c>
      <c r="FM106" s="1291"/>
      <c r="FN106" s="1291"/>
      <c r="FO106" s="1199" t="str">
        <f t="shared" si="12"/>
        <v/>
      </c>
      <c r="FP106" s="1208"/>
      <c r="FQ106" s="1208"/>
      <c r="FR106" s="1292"/>
      <c r="FS106" s="1288"/>
      <c r="FT106" s="1288"/>
      <c r="FU106" s="1289"/>
      <c r="FV106" s="1255"/>
      <c r="FW106" s="1204" t="s">
        <v>123</v>
      </c>
      <c r="FX106" s="1204" t="s">
        <v>123</v>
      </c>
      <c r="FY106" s="1206" t="s">
        <v>123</v>
      </c>
      <c r="FZ106" s="1206"/>
      <c r="GA106" s="1206" t="s">
        <v>123</v>
      </c>
      <c r="GB106" s="1291"/>
      <c r="GC106" s="1291"/>
      <c r="GD106" s="1199" t="str">
        <f t="shared" si="13"/>
        <v/>
      </c>
      <c r="GE106" s="1208"/>
      <c r="GF106" s="1208"/>
      <c r="GG106" s="1292"/>
      <c r="GH106" s="1288"/>
      <c r="GI106" s="1288"/>
      <c r="GJ106" s="1289"/>
      <c r="GK106" s="1255"/>
      <c r="GL106" s="1204" t="s">
        <v>123</v>
      </c>
      <c r="GM106" s="1204" t="s">
        <v>123</v>
      </c>
      <c r="GN106" s="1206" t="s">
        <v>123</v>
      </c>
      <c r="GO106" s="1206"/>
      <c r="GP106" s="1206" t="s">
        <v>123</v>
      </c>
      <c r="GQ106" s="1291"/>
      <c r="GR106" s="1291"/>
      <c r="GS106" s="1199" t="str">
        <f t="shared" si="14"/>
        <v/>
      </c>
      <c r="GT106" s="1208"/>
      <c r="GU106" s="1208"/>
      <c r="GV106" s="1292"/>
      <c r="GW106" s="1288"/>
      <c r="GX106" s="1288"/>
      <c r="GY106" s="1289"/>
      <c r="GZ106" s="1255"/>
      <c r="HA106" s="1204" t="s">
        <v>123</v>
      </c>
      <c r="HB106" s="1204" t="s">
        <v>123</v>
      </c>
      <c r="HC106" s="1206" t="s">
        <v>123</v>
      </c>
      <c r="HD106" s="1206"/>
      <c r="HE106" s="1206" t="s">
        <v>123</v>
      </c>
      <c r="HF106" s="1291"/>
      <c r="HG106" s="1291"/>
      <c r="HH106" s="1199" t="str">
        <f t="shared" si="15"/>
        <v/>
      </c>
      <c r="HI106" s="1208"/>
      <c r="HJ106" s="1208"/>
      <c r="HK106" s="1292"/>
      <c r="HL106" s="1288"/>
      <c r="HM106" s="1288"/>
      <c r="HN106" s="1289"/>
      <c r="HO106" s="1255"/>
      <c r="HP106" s="1204" t="s">
        <v>123</v>
      </c>
      <c r="HQ106" s="1204" t="s">
        <v>123</v>
      </c>
      <c r="HR106" s="1206" t="s">
        <v>123</v>
      </c>
      <c r="HS106" s="1206"/>
      <c r="HT106" s="1206" t="s">
        <v>123</v>
      </c>
      <c r="HU106" s="1291"/>
      <c r="HV106" s="1291"/>
      <c r="HW106" s="1227"/>
    </row>
  </sheetData>
  <mergeCells count="198">
    <mergeCell ref="BC4:BE4"/>
    <mergeCell ref="BF4:BM4"/>
    <mergeCell ref="V3:W4"/>
    <mergeCell ref="X3:X4"/>
    <mergeCell ref="AZ3:BA4"/>
    <mergeCell ref="BB3:BB4"/>
    <mergeCell ref="BC3:BE3"/>
    <mergeCell ref="BF3:BM3"/>
    <mergeCell ref="BO3:BP4"/>
    <mergeCell ref="BR4:BT4"/>
    <mergeCell ref="BU4:CB4"/>
    <mergeCell ref="CG4:CI4"/>
    <mergeCell ref="CJ4:CQ4"/>
    <mergeCell ref="BQ3:BQ4"/>
    <mergeCell ref="BR3:BT3"/>
    <mergeCell ref="BU3:CB3"/>
    <mergeCell ref="CD3:CE4"/>
    <mergeCell ref="CF3:CF4"/>
    <mergeCell ref="CG3:CI3"/>
    <mergeCell ref="CJ3:CQ3"/>
    <mergeCell ref="CV4:CX4"/>
    <mergeCell ref="CY4:DF4"/>
    <mergeCell ref="CS3:CT4"/>
    <mergeCell ref="CU3:CU4"/>
    <mergeCell ref="CV3:CX3"/>
    <mergeCell ref="CY3:DF3"/>
    <mergeCell ref="DH3:DI4"/>
    <mergeCell ref="DJ3:DJ4"/>
    <mergeCell ref="DK3:DM3"/>
    <mergeCell ref="DK4:DM4"/>
    <mergeCell ref="DZ3:EB3"/>
    <mergeCell ref="DZ4:EB4"/>
    <mergeCell ref="DN3:DU3"/>
    <mergeCell ref="DW3:DX4"/>
    <mergeCell ref="DY3:DY4"/>
    <mergeCell ref="EC3:EJ3"/>
    <mergeCell ref="EL3:EM4"/>
    <mergeCell ref="EN3:EN4"/>
    <mergeCell ref="DN4:DU4"/>
    <mergeCell ref="EC4:EJ4"/>
    <mergeCell ref="EO4:EQ4"/>
    <mergeCell ref="ER4:EY4"/>
    <mergeCell ref="FD4:FF4"/>
    <mergeCell ref="FG4:FN4"/>
    <mergeCell ref="EO3:EQ3"/>
    <mergeCell ref="ER3:EY3"/>
    <mergeCell ref="FA3:FB4"/>
    <mergeCell ref="FC3:FC4"/>
    <mergeCell ref="FD3:FF3"/>
    <mergeCell ref="FG3:FN3"/>
    <mergeCell ref="FP3:FQ4"/>
    <mergeCell ref="FS4:FU4"/>
    <mergeCell ref="FV4:GC4"/>
    <mergeCell ref="GH4:GJ4"/>
    <mergeCell ref="GK4:GR4"/>
    <mergeCell ref="FR3:FR4"/>
    <mergeCell ref="FS3:FU3"/>
    <mergeCell ref="FV3:GC3"/>
    <mergeCell ref="GE3:GF4"/>
    <mergeCell ref="GG3:GG4"/>
    <mergeCell ref="GH3:GJ3"/>
    <mergeCell ref="GK3:GR3"/>
    <mergeCell ref="HL3:HN3"/>
    <mergeCell ref="HL4:HN4"/>
    <mergeCell ref="GT3:GU4"/>
    <mergeCell ref="GV3:GV4"/>
    <mergeCell ref="GZ3:HG3"/>
    <mergeCell ref="HI3:HJ4"/>
    <mergeCell ref="HK3:HK4"/>
    <mergeCell ref="HO3:HV3"/>
    <mergeCell ref="GZ4:HG4"/>
    <mergeCell ref="HO4:HV4"/>
    <mergeCell ref="AZ2:BE2"/>
    <mergeCell ref="BF2:BM2"/>
    <mergeCell ref="BO2:BT2"/>
    <mergeCell ref="BU2:CB2"/>
    <mergeCell ref="CD2:CI2"/>
    <mergeCell ref="CJ2:CQ2"/>
    <mergeCell ref="CS2:CX2"/>
    <mergeCell ref="CY2:DF2"/>
    <mergeCell ref="DH2:DM2"/>
    <mergeCell ref="DN2:DU2"/>
    <mergeCell ref="DW2:EB2"/>
    <mergeCell ref="EC2:EJ2"/>
    <mergeCell ref="EL2:EQ2"/>
    <mergeCell ref="ER2:EY2"/>
    <mergeCell ref="GZ2:HG2"/>
    <mergeCell ref="HI2:HN2"/>
    <mergeCell ref="HO2:HV2"/>
    <mergeCell ref="FA2:FF2"/>
    <mergeCell ref="FG2:FN2"/>
    <mergeCell ref="FP2:FU2"/>
    <mergeCell ref="FV2:GC2"/>
    <mergeCell ref="GE2:GJ2"/>
    <mergeCell ref="GK2:GR2"/>
    <mergeCell ref="GT2:GY2"/>
    <mergeCell ref="G3:H4"/>
    <mergeCell ref="I3:I4"/>
    <mergeCell ref="J3:L3"/>
    <mergeCell ref="M3:T3"/>
    <mergeCell ref="GW3:GY3"/>
    <mergeCell ref="GW4:GY4"/>
    <mergeCell ref="BL5:BL6"/>
    <mergeCell ref="BM5:BM6"/>
    <mergeCell ref="BO5:BP5"/>
    <mergeCell ref="BR5:BU5"/>
    <mergeCell ref="CA5:CA6"/>
    <mergeCell ref="CB5:CB6"/>
    <mergeCell ref="CD5:CE5"/>
    <mergeCell ref="CG5:CJ5"/>
    <mergeCell ref="CP5:CP6"/>
    <mergeCell ref="CQ5:CQ6"/>
    <mergeCell ref="CS5:CT5"/>
    <mergeCell ref="CV5:CY5"/>
    <mergeCell ref="DE5:DE6"/>
    <mergeCell ref="DF5:DF6"/>
    <mergeCell ref="DH5:DI5"/>
    <mergeCell ref="DK5:DN5"/>
    <mergeCell ref="DT5:DT6"/>
    <mergeCell ref="DU5:DU6"/>
    <mergeCell ref="DW5:DX5"/>
    <mergeCell ref="DZ5:EC5"/>
    <mergeCell ref="EI5:EI6"/>
    <mergeCell ref="EJ5:EJ6"/>
    <mergeCell ref="EL5:EM5"/>
    <mergeCell ref="EO5:ER5"/>
    <mergeCell ref="EX5:EX6"/>
    <mergeCell ref="EY5:EY6"/>
    <mergeCell ref="FA5:FB5"/>
    <mergeCell ref="FD5:FG5"/>
    <mergeCell ref="FM5:FM6"/>
    <mergeCell ref="FN5:FN6"/>
    <mergeCell ref="FP5:FQ5"/>
    <mergeCell ref="FS5:FV5"/>
    <mergeCell ref="GB5:GB6"/>
    <mergeCell ref="GC5:GC6"/>
    <mergeCell ref="GE5:GF5"/>
    <mergeCell ref="HI5:HJ5"/>
    <mergeCell ref="HL5:HO5"/>
    <mergeCell ref="HU5:HU6"/>
    <mergeCell ref="HV5:HV6"/>
    <mergeCell ref="GH5:GK5"/>
    <mergeCell ref="GQ5:GQ6"/>
    <mergeCell ref="GR5:GR6"/>
    <mergeCell ref="GT5:GU5"/>
    <mergeCell ref="GW5:GZ5"/>
    <mergeCell ref="HF5:HF6"/>
    <mergeCell ref="HG5:HG6"/>
    <mergeCell ref="B5:E6"/>
    <mergeCell ref="B7:B8"/>
    <mergeCell ref="C7:C8"/>
    <mergeCell ref="D7:D8"/>
    <mergeCell ref="E7:E8"/>
    <mergeCell ref="B25:D26"/>
    <mergeCell ref="E25:E26"/>
    <mergeCell ref="B34:D34"/>
    <mergeCell ref="B35:D35"/>
    <mergeCell ref="B36:D36"/>
    <mergeCell ref="B27:D27"/>
    <mergeCell ref="B28:D28"/>
    <mergeCell ref="B29:D29"/>
    <mergeCell ref="B30:D30"/>
    <mergeCell ref="B31:D31"/>
    <mergeCell ref="B32:D32"/>
    <mergeCell ref="B33:D33"/>
    <mergeCell ref="Y3:AA3"/>
    <mergeCell ref="AB3:AI3"/>
    <mergeCell ref="AK3:AL4"/>
    <mergeCell ref="AM3:AM4"/>
    <mergeCell ref="AK5:AL5"/>
    <mergeCell ref="AN3:AP3"/>
    <mergeCell ref="AQ3:AX3"/>
    <mergeCell ref="Y4:AA4"/>
    <mergeCell ref="AB4:AI4"/>
    <mergeCell ref="Y5:AB5"/>
    <mergeCell ref="AH5:AH6"/>
    <mergeCell ref="AI5:AI6"/>
    <mergeCell ref="B2:E4"/>
    <mergeCell ref="G2:L2"/>
    <mergeCell ref="M2:T2"/>
    <mergeCell ref="V2:AA2"/>
    <mergeCell ref="AB2:AI2"/>
    <mergeCell ref="AK2:AP2"/>
    <mergeCell ref="AQ2:AX2"/>
    <mergeCell ref="AN4:AP4"/>
    <mergeCell ref="AQ4:AX4"/>
    <mergeCell ref="AN5:AQ5"/>
    <mergeCell ref="AW5:AW6"/>
    <mergeCell ref="AX5:AX6"/>
    <mergeCell ref="AZ5:BA5"/>
    <mergeCell ref="BC5:BF5"/>
    <mergeCell ref="J4:L4"/>
    <mergeCell ref="M4:T4"/>
    <mergeCell ref="G5:H5"/>
    <mergeCell ref="J5:M5"/>
    <mergeCell ref="S5:S6"/>
    <mergeCell ref="T5:T6"/>
    <mergeCell ref="V5:W5"/>
  </mergeCells>
  <conditionalFormatting sqref="DY5">
    <cfRule type="expression" dxfId="46" priority="1">
      <formula>IF(DY3=0,TRUE)</formula>
    </cfRule>
  </conditionalFormatting>
  <conditionalFormatting sqref="I5 X5 AM5 BB5 BQ5 CF5 CU5 DJ5 DY5 EN5 FC5 FR5 GG5 GV5 HK5">
    <cfRule type="expression" dxfId="46" priority="2">
      <formula>IF(I3=0,TRUE)</formula>
    </cfRule>
  </conditionalFormatting>
  <conditionalFormatting sqref="I5 X5 AM5 BB5 BQ5 CF5 CU5 DJ5 DY5 EN5 FC5 FR5 GG5 GV5 HK5">
    <cfRule type="cellIs" dxfId="0" priority="3" operator="notEqual">
      <formula>1</formula>
    </cfRule>
  </conditionalFormatting>
  <conditionalFormatting sqref="D7:D8">
    <cfRule type="expression" dxfId="0" priority="4">
      <formula>($D$1&gt;1)</formula>
    </cfRule>
  </conditionalFormatting>
  <dataValidations>
    <dataValidation type="list" allowBlank="1" sqref="M4 AB4 AQ4 BF4 BU4 CJ4 CY4 DN4 EC4 ER4 FG4 FV4 GK4 GZ4 HO4">
      <formula1>$B$27:$D$36</formula1>
    </dataValidation>
  </dataValidations>
  <drawing r:id="rId2"/>
  <legacyDrawing r:id="rId3"/>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99999"/>
    <outlinePr summaryBelow="0" summaryRight="0"/>
  </sheetPr>
  <sheetViews>
    <sheetView showGridLines="0" workbookViewId="0">
      <pane ySplit="4.0" topLeftCell="A5" activePane="bottomLeft" state="frozen"/>
      <selection activeCell="B6" sqref="B6" pane="bottomLeft"/>
    </sheetView>
  </sheetViews>
  <sheetFormatPr customHeight="1" defaultColWidth="15.13" defaultRowHeight="15.75"/>
  <cols>
    <col customWidth="1" min="1" max="1" width="2.63"/>
    <col customWidth="1" min="2" max="3" width="14.25"/>
    <col customWidth="1" min="4" max="4" width="5.88"/>
    <col customWidth="1" min="5" max="5" width="14.25"/>
    <col customWidth="1" min="6" max="6" width="1.13"/>
    <col customWidth="1" min="7" max="7" width="9.5"/>
    <col customWidth="1" min="8" max="8" width="8.75"/>
    <col customWidth="1" min="9" max="18" width="7.75"/>
    <col customWidth="1" min="19" max="19" width="1.13"/>
    <col customWidth="1" hidden="1" min="20" max="24" width="9.38"/>
    <col customWidth="1" hidden="1" min="25" max="25" width="4.25"/>
    <col customWidth="1" hidden="1" min="26" max="31" width="9.63"/>
    <col customWidth="1" hidden="1" min="32" max="32" width="2.88"/>
    <col customWidth="1" hidden="1" min="33" max="42" width="9.63"/>
    <col customWidth="1" hidden="1" min="43" max="43" width="2.38"/>
    <col customWidth="1" hidden="1" min="44" max="53" width="9.63"/>
    <col customWidth="1" hidden="1" min="54" max="54" width="2.63"/>
    <col customWidth="1" hidden="1" min="55" max="64" width="9.63"/>
    <col customWidth="1" hidden="1" min="65" max="65" width="2.88"/>
    <col customWidth="1" hidden="1" min="66" max="74" width="11.25"/>
    <col customWidth="1" hidden="1" min="75" max="75" width="1.88"/>
    <col customWidth="1" hidden="1" min="76" max="95" width="11.25"/>
    <col customWidth="1" hidden="1" min="96" max="96" width="3.0"/>
    <col customWidth="1" hidden="1" min="97" max="97" width="18.75"/>
    <col customWidth="1" hidden="1" min="98" max="98" width="4.75"/>
    <col customWidth="1" hidden="1" min="99" max="111" width="9.38"/>
  </cols>
  <sheetData>
    <row r="1" ht="22.5" customHeight="1">
      <c r="B1" s="1303" t="str">
        <f>HYPERLINK("bit.ly/dlombelloplanilhas","dlombello®planilhas "&amp;leiame!B6)</f>
        <v>dlombello®planilhas v6.4.02</v>
      </c>
      <c r="C1" s="519"/>
      <c r="D1" s="1304"/>
      <c r="E1" s="1304"/>
      <c r="F1" s="1305"/>
      <c r="G1" s="1305" t="s">
        <v>949</v>
      </c>
      <c r="H1" s="1306"/>
      <c r="I1" s="1306"/>
      <c r="J1" s="1306"/>
      <c r="K1" s="1306"/>
      <c r="L1" s="1306"/>
      <c r="M1" s="1306"/>
      <c r="N1" s="1306"/>
      <c r="O1" s="1306"/>
      <c r="P1" s="1306"/>
      <c r="Q1" s="1306"/>
      <c r="R1" s="1306"/>
      <c r="T1" s="1307"/>
      <c r="U1" s="1307"/>
      <c r="V1" s="1307"/>
      <c r="W1" s="1307"/>
      <c r="X1" s="1307"/>
      <c r="Y1" s="1307"/>
      <c r="Z1" s="1307"/>
      <c r="AA1" s="1307"/>
      <c r="AB1" s="1307"/>
      <c r="AC1" s="1307"/>
      <c r="AD1" s="1307"/>
      <c r="AE1" s="1307"/>
      <c r="AF1" s="1308"/>
      <c r="AG1" s="1309" t="s">
        <v>131</v>
      </c>
      <c r="AH1" s="611"/>
      <c r="AI1" s="611"/>
      <c r="AJ1" s="611"/>
      <c r="AK1" s="611"/>
      <c r="AL1" s="611"/>
      <c r="AM1" s="611"/>
      <c r="AN1" s="611"/>
      <c r="AO1" s="611"/>
      <c r="AP1" s="111"/>
      <c r="AQ1" s="1310"/>
      <c r="AR1" s="1311" t="s">
        <v>289</v>
      </c>
      <c r="AS1" s="1150"/>
      <c r="AT1" s="1150"/>
      <c r="AU1" s="1150"/>
      <c r="AV1" s="1150"/>
      <c r="AW1" s="1150"/>
      <c r="AX1" s="1150"/>
      <c r="AY1" s="1150"/>
      <c r="AZ1" s="1150"/>
      <c r="BA1" s="1312"/>
      <c r="BB1" s="1310"/>
      <c r="BC1" s="1313" t="s">
        <v>143</v>
      </c>
      <c r="BD1" s="1150"/>
      <c r="BE1" s="1150"/>
      <c r="BF1" s="1150"/>
      <c r="BG1" s="1150"/>
      <c r="BH1" s="1150"/>
      <c r="BI1" s="1150"/>
      <c r="BJ1" s="1150"/>
      <c r="BK1" s="1150"/>
      <c r="BL1" s="1312"/>
      <c r="BM1" s="1314"/>
      <c r="BN1" s="382" t="s">
        <v>950</v>
      </c>
      <c r="BO1" s="1315" t="b">
        <f>'portfólio'!M10</f>
        <v>0</v>
      </c>
      <c r="BP1" s="382" t="s">
        <v>951</v>
      </c>
      <c r="BQ1" s="1315" t="b">
        <f>if(COUNTIF(D19:E29,"&lt;&gt;")=11,true,false)</f>
        <v>1</v>
      </c>
      <c r="BR1" s="382" t="s">
        <v>952</v>
      </c>
      <c r="BS1" s="1315" t="b">
        <f>IF(COUNTIF(W5:W574,"&lt;&gt;")&gt;0,TRUE,FALSE)</f>
        <v>0</v>
      </c>
      <c r="BT1" s="382" t="s">
        <v>953</v>
      </c>
      <c r="BU1" s="1316" t="b">
        <f>AND(BO1,BQ1,BS1,ConfigOn)</f>
        <v>0</v>
      </c>
      <c r="BV1" s="1314"/>
      <c r="BW1" s="1314"/>
      <c r="BX1" s="1314"/>
      <c r="BY1" s="1314"/>
      <c r="BZ1" s="1314"/>
      <c r="CA1" s="1314"/>
      <c r="CB1" s="1314"/>
      <c r="CC1" s="1314"/>
      <c r="CD1" s="1314"/>
      <c r="CE1" s="1314"/>
      <c r="CF1" s="1314"/>
      <c r="CG1" s="1314"/>
      <c r="CH1" s="1314"/>
      <c r="CI1" s="1314"/>
      <c r="CJ1" s="1314"/>
      <c r="CK1" s="1314"/>
      <c r="CL1" s="1314"/>
      <c r="CM1" s="1314"/>
      <c r="CN1" s="1314"/>
      <c r="CO1" s="1314"/>
      <c r="CP1" s="1314"/>
      <c r="CQ1" s="1314"/>
      <c r="CR1" s="1314"/>
      <c r="CS1" s="1314"/>
      <c r="CT1" s="1317"/>
      <c r="CU1" s="382" t="s">
        <v>954</v>
      </c>
      <c r="CV1" s="135"/>
      <c r="CW1" s="135"/>
      <c r="CX1" s="135"/>
      <c r="CY1" s="135"/>
      <c r="CZ1" s="135"/>
      <c r="DA1" s="135"/>
      <c r="DB1" s="135"/>
      <c r="DC1" s="135"/>
      <c r="DD1" s="135"/>
      <c r="DE1" s="135"/>
      <c r="DF1" s="135"/>
      <c r="DG1" s="135"/>
    </row>
    <row r="2" ht="6.75" customHeight="1">
      <c r="A2" s="1318"/>
      <c r="B2" s="1318"/>
      <c r="C2" s="1318"/>
      <c r="D2" s="1318"/>
      <c r="E2" s="1318"/>
      <c r="F2" s="1318"/>
      <c r="G2" s="1318"/>
      <c r="H2" s="1318"/>
      <c r="I2" s="1318"/>
      <c r="J2" s="1318"/>
      <c r="K2" s="1318"/>
      <c r="L2" s="1318"/>
      <c r="M2" s="1318"/>
      <c r="N2" s="1318"/>
      <c r="O2" s="1318"/>
      <c r="P2" s="1318"/>
      <c r="Q2" s="1318"/>
      <c r="R2" s="1318"/>
      <c r="S2" s="1318"/>
      <c r="T2" s="1318"/>
      <c r="U2" s="1318"/>
      <c r="V2" s="1318"/>
      <c r="W2" s="1318"/>
      <c r="X2" s="1318"/>
      <c r="Y2" s="1318"/>
      <c r="Z2" s="1318"/>
      <c r="AA2" s="1319"/>
      <c r="AB2" s="1319"/>
      <c r="AC2" s="1319"/>
      <c r="AD2" s="1319"/>
      <c r="AE2" s="1319"/>
      <c r="AF2" s="1319"/>
      <c r="AG2" s="1320"/>
      <c r="AH2" s="1320"/>
      <c r="AI2" s="1320"/>
      <c r="AJ2" s="1320"/>
      <c r="AK2" s="1320"/>
      <c r="AL2" s="1320"/>
      <c r="AM2" s="1320"/>
      <c r="AN2" s="1320"/>
      <c r="AO2" s="1320"/>
      <c r="AP2" s="1320"/>
      <c r="AQ2" s="1320"/>
      <c r="AR2" s="1319"/>
      <c r="AS2" s="1319"/>
      <c r="AT2" s="1319"/>
      <c r="AU2" s="1319"/>
      <c r="AV2" s="1319"/>
      <c r="AW2" s="1319"/>
      <c r="AX2" s="1319"/>
      <c r="AY2" s="1319"/>
      <c r="AZ2" s="1319"/>
      <c r="BA2" s="1320"/>
      <c r="BB2" s="1321"/>
      <c r="BC2" s="1319"/>
      <c r="BD2" s="1319"/>
      <c r="BE2" s="1319"/>
      <c r="BF2" s="1319"/>
      <c r="BG2" s="1319"/>
      <c r="BH2" s="1319"/>
      <c r="BI2" s="1319"/>
      <c r="BJ2" s="1319"/>
      <c r="BK2" s="1319"/>
      <c r="BL2" s="1320"/>
      <c r="BM2" s="1322"/>
      <c r="BN2" s="1319"/>
      <c r="BO2" s="1319"/>
      <c r="BP2" s="1319"/>
      <c r="BQ2" s="1319"/>
      <c r="BR2" s="1319"/>
      <c r="BS2" s="1319"/>
      <c r="BT2" s="1319"/>
      <c r="BU2" s="1319"/>
      <c r="BV2" s="1322"/>
      <c r="BW2" s="1322"/>
      <c r="BX2" s="1322"/>
      <c r="BY2" s="1322"/>
      <c r="BZ2" s="1322"/>
      <c r="CA2" s="1322"/>
      <c r="CB2" s="1322"/>
      <c r="CC2" s="1322"/>
      <c r="CD2" s="1322"/>
      <c r="CE2" s="1322"/>
      <c r="CF2" s="1322"/>
      <c r="CG2" s="1322"/>
      <c r="CH2" s="1322"/>
      <c r="CI2" s="1322"/>
      <c r="CJ2" s="1322"/>
      <c r="CK2" s="1322"/>
      <c r="CL2" s="1322"/>
      <c r="CM2" s="1322"/>
      <c r="CN2" s="1322"/>
      <c r="CO2" s="1322"/>
      <c r="CP2" s="1322"/>
      <c r="CQ2" s="1322"/>
      <c r="CR2" s="1322"/>
      <c r="CS2" s="1322"/>
      <c r="CT2" s="1323"/>
      <c r="CU2" s="1323"/>
      <c r="CV2" s="1323"/>
      <c r="CW2" s="1323"/>
      <c r="CX2" s="1323"/>
      <c r="CY2" s="1323"/>
      <c r="CZ2" s="1323"/>
      <c r="DA2" s="1323"/>
      <c r="DB2" s="1323"/>
      <c r="DC2" s="1323"/>
      <c r="DD2" s="1323"/>
      <c r="DE2" s="1323"/>
      <c r="DF2" s="1323"/>
      <c r="DG2" s="1323"/>
    </row>
    <row r="3" ht="18.75" customHeight="1">
      <c r="B3" s="1324" t="s">
        <v>955</v>
      </c>
      <c r="C3" s="50"/>
      <c r="D3" s="50"/>
      <c r="E3" s="50"/>
      <c r="G3" s="1324" t="str">
        <f>IF(COUNTIF(PortfolioAtivosNovos,"&lt;&gt;")=0,"MATRIZ DOS PERCENTUAIS DOS ATIVOS EM CADA BOOK","EXISTEM ATIVOS NOVOS. ATUALIZE A LISTA DE ATIVOS PELO MENU dlombello HTML -&gt; Recursos Alpha -&gt; Books...")</f>
        <v>MATRIZ DOS PERCENTUAIS DOS ATIVOS EM CADA BOOK</v>
      </c>
      <c r="H3" s="50"/>
      <c r="I3" s="50"/>
      <c r="J3" s="50"/>
      <c r="K3" s="50"/>
      <c r="L3" s="50"/>
      <c r="M3" s="50"/>
      <c r="N3" s="50"/>
      <c r="O3" s="50"/>
      <c r="P3" s="50"/>
      <c r="Q3" s="50"/>
      <c r="R3" s="51"/>
      <c r="T3" s="1325" t="s">
        <v>956</v>
      </c>
      <c r="U3" s="170"/>
      <c r="V3" s="318"/>
      <c r="W3" s="555" t="s">
        <v>957</v>
      </c>
      <c r="X3" s="1326" t="s">
        <v>958</v>
      </c>
      <c r="Y3" s="1308"/>
      <c r="Z3" s="581" t="str">
        <f>"Col"&amp;MATCH(Z4,portfolio.!$A$3:$AZ$3,0)</f>
        <v>Col15</v>
      </c>
      <c r="AA3" s="581" t="str">
        <f>"Col"&amp;MATCH(AA4,portfolio.!$A$3:$AZ$3,0)</f>
        <v>Col40</v>
      </c>
      <c r="AB3" s="581" t="str">
        <f>"Col"&amp;MATCH(AB4,portfolio.!$A$3:$AZ$3,0)</f>
        <v>Col43</v>
      </c>
      <c r="AC3" s="581" t="str">
        <f>"Col"&amp;MATCH(AC4,portfolio.!$A$3:$AZ$3,0)</f>
        <v>Col50</v>
      </c>
      <c r="AD3" s="581" t="str">
        <f>"Col"&amp;MATCH(AD4,portfolio.!$A$3:$AZ$3,0)</f>
        <v>Col52</v>
      </c>
      <c r="AE3" s="1308"/>
      <c r="AF3" s="1308"/>
      <c r="AG3" s="437">
        <f t="shared" ref="AG3:AP3" si="1">SUM(AG5:AG574)</f>
        <v>0</v>
      </c>
      <c r="AH3" s="437">
        <f t="shared" si="1"/>
        <v>0</v>
      </c>
      <c r="AI3" s="437">
        <f t="shared" si="1"/>
        <v>0</v>
      </c>
      <c r="AJ3" s="437">
        <f t="shared" si="1"/>
        <v>0</v>
      </c>
      <c r="AK3" s="437">
        <f t="shared" si="1"/>
        <v>0</v>
      </c>
      <c r="AL3" s="437">
        <f t="shared" si="1"/>
        <v>0</v>
      </c>
      <c r="AM3" s="437">
        <f t="shared" si="1"/>
        <v>0</v>
      </c>
      <c r="AN3" s="437">
        <f t="shared" si="1"/>
        <v>0</v>
      </c>
      <c r="AO3" s="437">
        <f t="shared" si="1"/>
        <v>0</v>
      </c>
      <c r="AP3" s="437">
        <f t="shared" si="1"/>
        <v>0</v>
      </c>
      <c r="AQ3" s="1327"/>
      <c r="AR3" s="437">
        <f t="shared" ref="AR3:BA3" si="2">SUM(AR5:AR574)</f>
        <v>0</v>
      </c>
      <c r="AS3" s="437">
        <f t="shared" si="2"/>
        <v>0</v>
      </c>
      <c r="AT3" s="437">
        <f t="shared" si="2"/>
        <v>0</v>
      </c>
      <c r="AU3" s="437">
        <f t="shared" si="2"/>
        <v>0</v>
      </c>
      <c r="AV3" s="437">
        <f t="shared" si="2"/>
        <v>0</v>
      </c>
      <c r="AW3" s="437">
        <f t="shared" si="2"/>
        <v>0</v>
      </c>
      <c r="AX3" s="437">
        <f t="shared" si="2"/>
        <v>0</v>
      </c>
      <c r="AY3" s="437">
        <f t="shared" si="2"/>
        <v>0</v>
      </c>
      <c r="AZ3" s="437">
        <f t="shared" si="2"/>
        <v>0</v>
      </c>
      <c r="BA3" s="437">
        <f t="shared" si="2"/>
        <v>0</v>
      </c>
      <c r="BB3" s="1327"/>
      <c r="BC3" s="437">
        <f t="shared" ref="BC3:BL3" si="3">SUM(BC5:BC574)</f>
        <v>0</v>
      </c>
      <c r="BD3" s="437">
        <f t="shared" si="3"/>
        <v>0</v>
      </c>
      <c r="BE3" s="437">
        <f t="shared" si="3"/>
        <v>0</v>
      </c>
      <c r="BF3" s="437">
        <f t="shared" si="3"/>
        <v>0</v>
      </c>
      <c r="BG3" s="437">
        <f t="shared" si="3"/>
        <v>0</v>
      </c>
      <c r="BH3" s="437">
        <f t="shared" si="3"/>
        <v>0</v>
      </c>
      <c r="BI3" s="437">
        <f t="shared" si="3"/>
        <v>0</v>
      </c>
      <c r="BJ3" s="437">
        <f t="shared" si="3"/>
        <v>0</v>
      </c>
      <c r="BK3" s="437">
        <f t="shared" si="3"/>
        <v>0</v>
      </c>
      <c r="BL3" s="437">
        <f t="shared" si="3"/>
        <v>0</v>
      </c>
      <c r="BM3" s="1327"/>
      <c r="BN3" s="1308"/>
      <c r="BO3" s="1308"/>
      <c r="BP3" s="1308"/>
      <c r="BQ3" s="1308"/>
      <c r="BR3" s="1308"/>
      <c r="BS3" s="1308"/>
      <c r="BT3" s="1308"/>
      <c r="BU3" s="1308"/>
      <c r="BV3" s="1327"/>
      <c r="BW3" s="1327"/>
      <c r="BX3" s="1327"/>
      <c r="BY3" s="1327"/>
      <c r="BZ3" s="1327"/>
      <c r="CA3" s="1327"/>
      <c r="CB3" s="1327"/>
      <c r="CC3" s="1327"/>
      <c r="CD3" s="1327"/>
      <c r="CE3" s="1327"/>
      <c r="CF3" s="1327"/>
      <c r="CG3" s="1327"/>
      <c r="CH3" s="1327"/>
      <c r="CI3" s="1327"/>
      <c r="CJ3" s="1327"/>
      <c r="CK3" s="1328">
        <f>IFERROR(__xludf.DUMMYFUNCTION("IF('config.parâmetros'!$B$8=""BRL"",1,GOOGLEFINANCE(""BRL""&amp;if('config.parâmetros'!$B$8=""GBX"",""GBP"",'config.parâmetros'!$B$8))/IF('config.parâmetros'!$B$8=""GBX"",100,1))"),1.0)</f>
        <v>1</v>
      </c>
      <c r="CL3" s="1327"/>
      <c r="CM3" s="1327"/>
      <c r="CN3" s="1327"/>
      <c r="CO3" s="1327"/>
      <c r="CP3" s="1327"/>
      <c r="CQ3" s="1327"/>
      <c r="CR3" s="1327"/>
      <c r="CS3" s="1327"/>
      <c r="CT3" s="1317"/>
    </row>
    <row r="4" ht="29.25" customHeight="1">
      <c r="B4" s="1275" t="s">
        <v>959</v>
      </c>
      <c r="C4" s="1329" t="s">
        <v>960</v>
      </c>
      <c r="D4" s="1330" t="s">
        <v>216</v>
      </c>
      <c r="E4" s="1331" t="s">
        <v>961</v>
      </c>
      <c r="G4" s="1332" t="s">
        <v>384</v>
      </c>
      <c r="H4" s="1333" t="s">
        <v>962</v>
      </c>
      <c r="I4" s="1326" t="str">
        <f t="array" ref="I4:R4">TRANSPOSE(C6:C15)</f>
        <v>Reserva Emergência</v>
      </c>
      <c r="J4" s="1326" t="s">
        <v>963</v>
      </c>
      <c r="K4" s="1326" t="s">
        <v>964</v>
      </c>
      <c r="L4" s="1326" t="s">
        <v>965</v>
      </c>
      <c r="M4" s="1326" t="s">
        <v>966</v>
      </c>
      <c r="N4" s="1326" t="s">
        <v>967</v>
      </c>
      <c r="O4" s="1326" t="s">
        <v>968</v>
      </c>
      <c r="P4" s="1326" t="s">
        <v>969</v>
      </c>
      <c r="Q4" s="1326" t="s">
        <v>970</v>
      </c>
      <c r="R4" s="1326" t="s">
        <v>971</v>
      </c>
      <c r="T4" s="555" t="s">
        <v>972</v>
      </c>
      <c r="U4" s="1334" t="s">
        <v>208</v>
      </c>
      <c r="V4" s="1334" t="s">
        <v>973</v>
      </c>
      <c r="W4" s="1334" t="s">
        <v>974</v>
      </c>
      <c r="X4" s="1335" t="s">
        <v>975</v>
      </c>
      <c r="Y4" s="1308"/>
      <c r="Z4" s="1334" t="s">
        <v>160</v>
      </c>
      <c r="AA4" s="1334" t="s">
        <v>161</v>
      </c>
      <c r="AB4" s="1334" t="s">
        <v>163</v>
      </c>
      <c r="AC4" s="1334" t="s">
        <v>186</v>
      </c>
      <c r="AD4" s="1334" t="s">
        <v>187</v>
      </c>
      <c r="AE4" s="1336" t="s">
        <v>976</v>
      </c>
      <c r="AF4" s="1337"/>
      <c r="AG4" s="1338" t="str">
        <f t="array" ref="AG4">IF(NOT($BU$1),"",TRANSPOSE(C6:C15))</f>
        <v/>
      </c>
      <c r="AH4" s="1334"/>
      <c r="AI4" s="1334"/>
      <c r="AJ4" s="1334"/>
      <c r="AK4" s="1334"/>
      <c r="AL4" s="1334"/>
      <c r="AM4" s="1334"/>
      <c r="AN4" s="1334"/>
      <c r="AO4" s="1334"/>
      <c r="AP4" s="1339"/>
      <c r="AQ4" s="1337"/>
      <c r="AR4" s="1338" t="str">
        <f t="array" ref="AR4">IF(NOT($BU$1),"",TRANSPOSE(C6:C15))</f>
        <v/>
      </c>
      <c r="AS4" s="1334"/>
      <c r="AT4" s="1334"/>
      <c r="AU4" s="1334"/>
      <c r="AV4" s="1334"/>
      <c r="AW4" s="1334"/>
      <c r="AX4" s="1334"/>
      <c r="AY4" s="1334"/>
      <c r="AZ4" s="1334"/>
      <c r="BA4" s="1339"/>
      <c r="BB4" s="1337"/>
      <c r="BC4" s="1338" t="str">
        <f t="array" ref="BC4">IF(NOT($BU$1),"",TRANSPOSE(C6:C15))</f>
        <v/>
      </c>
      <c r="BD4" s="1334"/>
      <c r="BE4" s="1334"/>
      <c r="BF4" s="1334"/>
      <c r="BG4" s="1334"/>
      <c r="BH4" s="1334"/>
      <c r="BI4" s="1334"/>
      <c r="BJ4" s="1334"/>
      <c r="BK4" s="1334"/>
      <c r="BL4" s="1334"/>
      <c r="BM4" s="1337"/>
      <c r="BN4" s="382" t="s">
        <v>959</v>
      </c>
      <c r="BO4" s="382" t="s">
        <v>960</v>
      </c>
      <c r="BP4" s="382" t="s">
        <v>977</v>
      </c>
      <c r="BQ4" s="382" t="s">
        <v>258</v>
      </c>
      <c r="BR4" s="382" t="s">
        <v>259</v>
      </c>
      <c r="BS4" s="382" t="s">
        <v>216</v>
      </c>
      <c r="BT4" s="382" t="s">
        <v>264</v>
      </c>
      <c r="BU4" s="382" t="s">
        <v>216</v>
      </c>
      <c r="BV4" s="382" t="s">
        <v>267</v>
      </c>
      <c r="BW4" s="1337"/>
      <c r="BX4" s="382" t="s">
        <v>177</v>
      </c>
      <c r="BY4" s="382" t="s">
        <v>178</v>
      </c>
      <c r="BZ4" s="382" t="s">
        <v>89</v>
      </c>
      <c r="CA4" s="382" t="s">
        <v>978</v>
      </c>
      <c r="CB4" s="382" t="s">
        <v>979</v>
      </c>
      <c r="CC4" s="382" t="s">
        <v>980</v>
      </c>
      <c r="CD4" s="382" t="s">
        <v>981</v>
      </c>
      <c r="CE4" s="382" t="s">
        <v>982</v>
      </c>
      <c r="CF4" s="382" t="s">
        <v>983</v>
      </c>
      <c r="CG4" s="382" t="s">
        <v>984</v>
      </c>
      <c r="CH4" s="382" t="s">
        <v>985</v>
      </c>
      <c r="CI4" s="382" t="s">
        <v>986</v>
      </c>
      <c r="CJ4" s="382" t="s">
        <v>987</v>
      </c>
      <c r="CK4" s="382" t="s">
        <v>988</v>
      </c>
      <c r="CL4" s="382" t="s">
        <v>989</v>
      </c>
      <c r="CM4" s="382" t="s">
        <v>990</v>
      </c>
      <c r="CN4" s="382" t="s">
        <v>991</v>
      </c>
      <c r="CO4" s="382" t="s">
        <v>992</v>
      </c>
      <c r="CP4" s="382" t="s">
        <v>993</v>
      </c>
      <c r="CQ4" s="382" t="s">
        <v>994</v>
      </c>
      <c r="CR4" s="1337"/>
      <c r="CS4" s="382" t="s">
        <v>995</v>
      </c>
      <c r="CT4" s="1340"/>
      <c r="CU4" s="382" t="s">
        <v>972</v>
      </c>
      <c r="CV4" s="382" t="s">
        <v>208</v>
      </c>
      <c r="CW4" s="382"/>
      <c r="CX4" s="382" t="str">
        <f t="array" ref="CX4:DG4">TRANSPOSE(C6:C15)</f>
        <v>Reserva Emergência</v>
      </c>
      <c r="CY4" s="382" t="s">
        <v>963</v>
      </c>
      <c r="CZ4" s="382" t="s">
        <v>964</v>
      </c>
      <c r="DA4" s="382" t="s">
        <v>965</v>
      </c>
      <c r="DB4" s="382" t="s">
        <v>966</v>
      </c>
      <c r="DC4" s="382" t="s">
        <v>967</v>
      </c>
      <c r="DD4" s="382" t="s">
        <v>968</v>
      </c>
      <c r="DE4" s="382" t="s">
        <v>969</v>
      </c>
      <c r="DF4" s="382" t="s">
        <v>970</v>
      </c>
      <c r="DG4" s="382" t="s">
        <v>971</v>
      </c>
    </row>
    <row r="5" ht="18.75" customHeight="1">
      <c r="B5" s="1341" t="s">
        <v>996</v>
      </c>
      <c r="C5" s="170"/>
      <c r="D5" s="1342">
        <f>SUM(D6:D15)</f>
        <v>1</v>
      </c>
      <c r="E5" s="1343"/>
      <c r="G5" s="1344" t="str">
        <f t="array" ref="G5:G574">T5:T574</f>
        <v/>
      </c>
      <c r="H5" s="1345">
        <f t="shared" ref="H5:H574" si="4">SUM(I5:R5)</f>
        <v>0</v>
      </c>
      <c r="I5" s="1346"/>
      <c r="J5" s="1347"/>
      <c r="K5" s="1347"/>
      <c r="L5" s="1347"/>
      <c r="M5" s="1347"/>
      <c r="N5" s="1347"/>
      <c r="O5" s="1347"/>
      <c r="P5" s="1347"/>
      <c r="Q5" s="1347"/>
      <c r="R5" s="1347"/>
      <c r="S5" s="56"/>
      <c r="T5" s="419" t="str">
        <f>IFERROR(__xludf.DUMMYFUNCTION("IFERROR(query({W5:W574;X5:X574},""select Col1 where Col1 is not null""))"),"")</f>
        <v/>
      </c>
      <c r="U5" s="1348" t="str">
        <f t="array" ref="U5:U574">IF($T$5:$T574="","",IFERROR(VLOOKUP($T$5:$T574,AtivosDados,MATCH("classe",portfolio.!$A$3:DG$3,0),FALSE),""))</f>
        <v/>
      </c>
      <c r="V5" s="1349" t="str">
        <f t="array" ref="V5:V574">if($T$5:$T574="","",IFERROR(VLOOKUP($T$5:$T574,$X5:$X574,1,FALSE),""))</f>
        <v/>
      </c>
      <c r="W5" s="1349"/>
      <c r="X5" s="1349" t="str">
        <f>IFERROR(__xludf.DUMMYFUNCTION("IFERROR(UNIQUE(query({AtivosDados},""select Col1 where Col1 is not null ""&amp;IF(LEN(PortfolioAtivosClassificados),""and (not (Col1 = '""&amp;join(""' or Col1 = '"",filter(PortfolioAtivosClassificados,PortfolioAtivosClassificados&lt;&gt;""""))&amp;""'))"",""""))))"),"")</f>
        <v/>
      </c>
      <c r="Y5" s="1308"/>
      <c r="Z5" s="437" t="str">
        <f>IFERROR(__xludf.DUMMYFUNCTION("IF(NOT('portfólio'!$AV$7),"""",IF($T5="""","""",IFERROR(query({AtivosDados},""select sum(""&amp;Z$3&amp;"") where Col1='""&amp;$T5&amp;""' label sum(""&amp;Z$3&amp;"") ''""),0)))"),"")</f>
        <v/>
      </c>
      <c r="AA5" s="437" t="str">
        <f>IFERROR(__xludf.DUMMYFUNCTION("IF(NOT('portfólio'!$AV$7),"""",IF($T5="""","""",IFERROR(query({AtivosDados},""select sum(""&amp;AA$3&amp;"") where Col1='""&amp;$T5&amp;""' label sum(""&amp;AA$3&amp;"") ''""),0)))"),"")</f>
        <v/>
      </c>
      <c r="AB5" s="437" t="str">
        <f>IFERROR(__xludf.DUMMYFUNCTION("IF(NOT('portfólio'!$AV$7),"""",IF($T5="""","""",IFERROR(query({AtivosDados},""select sum(""&amp;AB$3&amp;"") where Col1='""&amp;$T5&amp;""' label sum(""&amp;AB$3&amp;"") ''""),0)))"),"")</f>
        <v/>
      </c>
      <c r="AC5" s="437" t="str">
        <f>IFERROR(__xludf.DUMMYFUNCTION("IF(NOT('portfólio'!$AV$7),"""",IF($T5="""","""",IFERROR(query({AtivosDados},""select sum(""&amp;AC$3&amp;"") where Col1='""&amp;$T5&amp;""' label sum(""&amp;AC$3&amp;"") ''""),0)))"),"")</f>
        <v/>
      </c>
      <c r="AD5" s="437" t="str">
        <f>IFERROR(__xludf.DUMMYFUNCTION("IF(NOT('portfólio'!$AV$7),"""",IF($T5="""","""",IFERROR(query({AtivosDados},""select sum(""&amp;AD$3&amp;"") where Col1='""&amp;$T5&amp;""' label sum(""&amp;AD$3&amp;"") ''""),0)))"),"")</f>
        <v/>
      </c>
      <c r="AE5" s="1350" t="str">
        <f t="array" ref="AE5">IF(NOT('portfólio'!$AV$7),"",IF($T$5:$T574="","",$AA5:$AA574-($AB5:$AB574+$AC5:$AC574+$AD5:$AD574)))</f>
        <v/>
      </c>
      <c r="AF5" s="1327"/>
      <c r="AG5" s="437" t="str">
        <f t="array" ref="AG5">IF(AG4="","",IF($T$5:$T574="","",IF($H5:$H574&lt;1,0,IF($V5:$V574&lt;&gt;"",0,$Z5:$Z574*I5:I574))))</f>
        <v/>
      </c>
      <c r="AH5" s="437" t="str">
        <f t="array" ref="AH5">IF(AH4="","",IF($T$5:$T574="","",IF($H5:$H574&lt;1,0,IF($V5:$V574&lt;&gt;"",0,$Z5:$Z574*J5:J574))))</f>
        <v/>
      </c>
      <c r="AI5" s="437" t="str">
        <f t="array" ref="AI5">IF(AI4="","",IF($T$5:$T574="","",IF($H5:$H574&lt;1,0,IF($V5:$V574&lt;&gt;"",0,$Z5:$Z574*K5:K574))))</f>
        <v/>
      </c>
      <c r="AJ5" s="437" t="str">
        <f t="array" ref="AJ5">IF(AJ4="","",IF($T$5:$T574="","",IF($H5:$H574&lt;1,0,IF($V5:$V574&lt;&gt;"",0,$Z5:$Z574*L5:L574))))</f>
        <v/>
      </c>
      <c r="AK5" s="437" t="str">
        <f t="array" ref="AK5">IF(AK4="","",IF($T$5:$T574="","",IF($H5:$H574&lt;1,0,IF($V5:$V574&lt;&gt;"",0,$Z5:$Z574*M5:M574))))</f>
        <v/>
      </c>
      <c r="AL5" s="437" t="str">
        <f t="array" ref="AL5">IF(AL4="","",IF($T$5:$T574="","",IF($H5:$H574&lt;1,0,IF($V5:$V574&lt;&gt;"",0,$Z5:$Z574*N5:N574))))</f>
        <v/>
      </c>
      <c r="AM5" s="437" t="str">
        <f t="array" ref="AM5">IF(AM4="","",IF($T$5:$T574="","",IF($H5:$H574&lt;1,0,IF($V5:$V574&lt;&gt;"",0,$Z5:$Z574*O5:O574))))</f>
        <v/>
      </c>
      <c r="AN5" s="437" t="str">
        <f t="array" ref="AN5">IF(AN4="","",IF($T$5:$T574="","",IF($H5:$H574&lt;1,0,IF($V5:$V574&lt;&gt;"",0,$Z5:$Z574*P5:P574))))</f>
        <v/>
      </c>
      <c r="AO5" s="437" t="str">
        <f t="array" ref="AO5">IF(AO4="","",IF($T$5:$T574="","",IF($H5:$H574&lt;1,0,IF($V5:$V574&lt;&gt;"",0,$Z5:$Z574*Q5:Q574))))</f>
        <v/>
      </c>
      <c r="AP5" s="437" t="str">
        <f t="array" ref="AP5">IF(AP4="","",IF($T$5:$T574="","",IF($H5:$H574&lt;1,0,IF($V5:$V574&lt;&gt;"",0,$Z5:$Z574*R5:R574))))</f>
        <v/>
      </c>
      <c r="AQ5" s="1327"/>
      <c r="AR5" s="437" t="str">
        <f t="array" ref="AR5">IF(AR4="","",IF($T$5:$T574="","",IF($H5:$H574&lt;1,0,IF($V5:$V574&lt;&gt;"",0,$AA5:$AA574*I5:I574))))</f>
        <v/>
      </c>
      <c r="AS5" s="437" t="str">
        <f t="array" ref="AS5">IF(AS4="","",IF($T$5:$T574="","",IF($H5:$H574&lt;1,0,IF($V5:$V574&lt;&gt;"",0,$AA5:$AA574*J5:J574))))</f>
        <v/>
      </c>
      <c r="AT5" s="437" t="str">
        <f t="array" ref="AT5">IF(AT4="","",IF($T$5:$T574="","",IF($H5:$H574&lt;1,0,IF($V5:$V574&lt;&gt;"",0,$AA5:$AA574*K5:K574))))</f>
        <v/>
      </c>
      <c r="AU5" s="437" t="str">
        <f t="array" ref="AU5">IF(AU4="","",IF($T$5:$T574="","",IF($H5:$H574&lt;1,0,IF($V5:$V574&lt;&gt;"",0,$AA5:$AA574*L5:L574))))</f>
        <v/>
      </c>
      <c r="AV5" s="437" t="str">
        <f t="array" ref="AV5">IF(AV4="","",IF($T$5:$T574="","",IF($H5:$H574&lt;1,0,IF($V5:$V574&lt;&gt;"",0,$AA5:$AA574*M5:M574))))</f>
        <v/>
      </c>
      <c r="AW5" s="437" t="str">
        <f t="array" ref="AW5">IF(AW4="","",IF($T$5:$T574="","",IF($H5:$H574&lt;1,0,IF($V5:$V574&lt;&gt;"",0,$AA5:$AA574*N5:N574))))</f>
        <v/>
      </c>
      <c r="AX5" s="437" t="str">
        <f t="array" ref="AX5">IF(AX4="","",IF($T$5:$T574="","",IF($H5:$H574&lt;1,0,IF($V5:$V574&lt;&gt;"",0,$AA5:$AA574*O5:O574))))</f>
        <v/>
      </c>
      <c r="AY5" s="437" t="str">
        <f t="array" ref="AY5">IF(AY4="","",IF($T$5:$T574="","",IF($H5:$H574&lt;1,0,IF($V5:$V574&lt;&gt;"",0,$AA5:$AA574*P5:P574))))</f>
        <v/>
      </c>
      <c r="AZ5" s="437" t="str">
        <f t="array" ref="AZ5">IF(AZ4="","",IF($T$5:$T574="","",IF($H5:$H574&lt;1,0,IF($V5:$V574&lt;&gt;"",0,$AA5:$AA574*Q5:Q574))))</f>
        <v/>
      </c>
      <c r="BA5" s="437" t="str">
        <f t="array" ref="BA5">IF(BA4="","",IF($T$5:$T574="","",IF($H5:$H574&lt;1,0,IF($V5:$V574&lt;&gt;"",0,$AA5:$AA574*R5:R574))))</f>
        <v/>
      </c>
      <c r="BB5" s="1327"/>
      <c r="BC5" s="437" t="str">
        <f t="array" ref="BC5">IF(BC4="","",IF($T$5:$T574="","",IF($H5:$H574&lt;1,0,IF($V5:$V574&lt;&gt;"",0,$AB5:$AB574*I5:I574))))</f>
        <v/>
      </c>
      <c r="BD5" s="1351" t="str">
        <f t="array" ref="BD5">IF(BD4="","",IF($T$5:$T574="","",IF($H5:$H574&lt;1,0,IF($V5:$V574&lt;&gt;"",0,$AB5:$AB574*J5:J574))))</f>
        <v/>
      </c>
      <c r="BE5" s="1351" t="str">
        <f t="array" ref="BE5">IF(BE4="","",IF($T$5:$T574="","",IF($H5:$H574&lt;1,0,IF($V5:$V574&lt;&gt;"",0,$AB5:$AB574*K5:K574))))</f>
        <v/>
      </c>
      <c r="BF5" s="1351" t="str">
        <f t="array" ref="BF5">IF(BF4="","",IF($T$5:$T574="","",IF($H5:$H574&lt;1,0,IF($V5:$V574&lt;&gt;"",0,$AB5:$AB574*L5:L574))))</f>
        <v/>
      </c>
      <c r="BG5" s="1351" t="str">
        <f t="array" ref="BG5">IF(BG4="","",IF($T$5:$T574="","",IF($H5:$H574&lt;1,0,IF($V5:$V574&lt;&gt;"",0,$AB5:$AB574*M5:M574))))</f>
        <v/>
      </c>
      <c r="BH5" s="1351" t="str">
        <f t="array" ref="BH5">IF(BH4="","",IF($T$5:$T574="","",IF($H5:$H574&lt;1,0,IF($V5:$V574&lt;&gt;"",0,$AB5:$AB574*N5:N574))))</f>
        <v/>
      </c>
      <c r="BI5" s="1351" t="str">
        <f t="array" ref="BI5">IF(BI4="","",IF($T$5:$T574="","",IF($H5:$H574&lt;1,0,IF($V5:$V574&lt;&gt;"",0,$AB5:$AB574*O5:O574))))</f>
        <v/>
      </c>
      <c r="BJ5" s="1351" t="str">
        <f t="array" ref="BJ5">IF(BJ4="","",IF($T$5:$T574="","",IF($H5:$H574&lt;1,0,IF($V5:$V574&lt;&gt;"",0,$AB5:$AB574*P5:P574))))</f>
        <v/>
      </c>
      <c r="BK5" s="1351" t="str">
        <f t="array" ref="BK5">IF(BK4="","",IF($T$5:$T574="","",IF($H5:$H574&lt;1,0,IF($V5:$V574&lt;&gt;"",0,$AB5:$AB574*Q5:Q574))))</f>
        <v/>
      </c>
      <c r="BL5" s="1351" t="str">
        <f t="array" ref="BL5">IF(BL4="","",IF($T$5:$T574="","",IF($H5:$H574&lt;1,0,IF($V5:$V574&lt;&gt;"",0,$AB5:$AB574*R5:R574))))</f>
        <v/>
      </c>
      <c r="BM5" s="1327"/>
      <c r="BN5" s="1316" t="str">
        <f t="array" ref="BN5">IF(NOT($BU$1),"",B6:D15)</f>
        <v/>
      </c>
      <c r="BO5" s="1315"/>
      <c r="BP5" s="1352"/>
      <c r="BQ5" s="1351" t="str">
        <f t="array" ref="BQ5">IF(NOT($BU$1),"",BX5:BX14+CK5:CK14-CA5:CA14-CB5:CB14-CC5:CC14-CD5:CD14-CE5:CE14-CF5:CF14-CG5:CG14-CH5:CH14-CI5:CI14-CJ5:CJ14)</f>
        <v/>
      </c>
      <c r="BR5" s="437" t="str">
        <f t="array" ref="BR5">IF(NOT($BU$1),"",BY5:BY14+CK5:CK14)</f>
        <v/>
      </c>
      <c r="BS5" s="1353" t="str">
        <f t="array" ref="BS5">IF(NOT($BU$1),"",IFERROR(BR5:BR14/BP$18,0))</f>
        <v/>
      </c>
      <c r="BT5" s="437" t="str">
        <f t="array" ref="BT5">IF(NOT($BU$1),"",BZ5:BZ14+CA5:CA14+CB5:CB14+CC5:CC14+CD5:CD14+CE5:CE14+CF5:CF14+CG5:CG14+CH5:CH14+CI5:CI14+CJ5:CJ14)</f>
        <v/>
      </c>
      <c r="BU5" s="1353" t="str">
        <f t="array" ref="BU5">IF(NOT($BU$1),"",IFERROR(IF(BT5:BT14&lt;0,abs(BT5:BT14/BQ5:BQ14)*-1,abs(BT5:BT14/BQ5:BQ14)),0))</f>
        <v/>
      </c>
      <c r="BV5" s="1354" t="str">
        <f t="array" ref="BV5">IF(NOT($BU$1),"",IF(BN5:BN14=$CS$5,2,4))</f>
        <v/>
      </c>
      <c r="BW5" s="1327"/>
      <c r="BX5" s="1349" t="str">
        <f t="array" ref="BX5">IF(NOT($BU$1),"",TRANSPOSE(AG3:AP3))</f>
        <v/>
      </c>
      <c r="BY5" s="1349" t="str">
        <f t="array" ref="BY5">IF(NOT($BU$1),"",TRANSPOSE(AR3:BA3))</f>
        <v/>
      </c>
      <c r="BZ5" s="1349" t="str">
        <f t="array" ref="BZ5">IF(NOT($BU$1),"",TRANSPOSE(BC3:BL3))</f>
        <v/>
      </c>
      <c r="CA5" s="437" t="str">
        <f t="array" ref="CA5">IF(NOT($BU$1),"",IF($BO5:BO14=$D$19,$BR$18,0))</f>
        <v/>
      </c>
      <c r="CB5" s="1351" t="str">
        <f t="array" ref="CB5">IF(NOT($BU$1),"",IF($BO5:$BO14=$D$21,$BS$18,0))</f>
        <v/>
      </c>
      <c r="CC5" s="1351" t="str">
        <f t="array" ref="CC5">IF(NOT($BU$1),"",IF($BO5:$BO14=$D$20,$BT$18,0))</f>
        <v/>
      </c>
      <c r="CD5" s="1351" t="str">
        <f t="array" ref="CD5">IF(NOT($BU$1),"",IF($BO5:$BO14=$D$22,$BU$18,0))</f>
        <v/>
      </c>
      <c r="CE5" s="1351" t="str">
        <f t="array" ref="CE5">IF(NOT($BU$1),"",IF($BO5:$BO14=$D$23,$BX$18,0))</f>
        <v/>
      </c>
      <c r="CF5" s="1351" t="str">
        <f t="array" ref="CF5">IF(NOT($BU$1),"",IF($BO5:$BO14=$D$24,$BY$18,0))</f>
        <v/>
      </c>
      <c r="CG5" s="1351" t="str">
        <f t="array" ref="CG5">IF(NOT($BU$1),"",IF($BO5:$BO14=$D$25,$BZ$18,0))</f>
        <v/>
      </c>
      <c r="CH5" s="1351" t="str">
        <f t="array" ref="CH5">IF(NOT($BU$1),"",IF($BO5:$BO14=$D$26,$CA$18,0))</f>
        <v/>
      </c>
      <c r="CI5" s="1351" t="str">
        <f t="array" ref="CI5">IF(NOT($BU$1),"",IF($BO5:$BO14=$D$27,$CB$18,0))</f>
        <v/>
      </c>
      <c r="CJ5" s="1355" t="str">
        <f t="array" ref="CJ5">IF(NOT($BU$1),"",IF($BO5:$BO14=$D$28,$CC$18,0))</f>
        <v/>
      </c>
      <c r="CK5" s="1355">
        <f t="shared" ref="CK5:CK14" si="5">SUM(CL5:CQ5)*$CK$3</f>
        <v>0</v>
      </c>
      <c r="CL5" s="1355" t="str">
        <f t="array" ref="CL5">IF(NOT($BU$1),"",IF($BO5:$BO14=$D$29,caixa!$AK$8,0))</f>
        <v/>
      </c>
      <c r="CM5" s="1351"/>
      <c r="CN5" s="1351"/>
      <c r="CO5" s="1351"/>
      <c r="CP5" s="1351"/>
      <c r="CQ5" s="1351"/>
      <c r="CR5" s="1327"/>
      <c r="CS5" s="419" t="s">
        <v>997</v>
      </c>
      <c r="CT5" s="1317"/>
      <c r="CU5" s="419"/>
      <c r="CV5" s="419"/>
      <c r="CW5" s="419"/>
      <c r="CX5" s="419"/>
      <c r="CY5" s="419"/>
      <c r="CZ5" s="419"/>
      <c r="DA5" s="419"/>
      <c r="DB5" s="419"/>
      <c r="DC5" s="419"/>
      <c r="DD5" s="419"/>
      <c r="DE5" s="419"/>
      <c r="DF5" s="419"/>
      <c r="DG5" s="419"/>
    </row>
    <row r="6" ht="18.75" customHeight="1">
      <c r="A6" s="624">
        <v>1.0</v>
      </c>
      <c r="B6" s="1356" t="s">
        <v>997</v>
      </c>
      <c r="C6" s="1357" t="s">
        <v>998</v>
      </c>
      <c r="D6" s="1358">
        <v>0.1</v>
      </c>
      <c r="E6" s="1359"/>
      <c r="G6" s="1344"/>
      <c r="H6" s="1345">
        <f t="shared" si="4"/>
        <v>0</v>
      </c>
      <c r="I6" s="1347"/>
      <c r="J6" s="1347"/>
      <c r="K6" s="1347"/>
      <c r="L6" s="1347"/>
      <c r="M6" s="1347"/>
      <c r="N6" s="1347"/>
      <c r="O6" s="1347"/>
      <c r="P6" s="1347"/>
      <c r="Q6" s="1347"/>
      <c r="R6" s="1347"/>
      <c r="S6" s="56"/>
      <c r="T6" s="419"/>
      <c r="U6" s="1348" t="s">
        <v>123</v>
      </c>
      <c r="V6" s="1349" t="s">
        <v>123</v>
      </c>
      <c r="W6" s="1349"/>
      <c r="X6" s="1349"/>
      <c r="Y6" s="1308"/>
      <c r="Z6" s="437" t="str">
        <f>IFERROR(__xludf.DUMMYFUNCTION("IF(NOT('portfólio'!$AV$7),"""",IF($T6="""","""",IFERROR(query({AtivosDados},""select sum(""&amp;Z$3&amp;"") where Col1='""&amp;$T6&amp;""' label sum(""&amp;Z$3&amp;"") ''""),0)))"),"")</f>
        <v/>
      </c>
      <c r="AA6" s="437" t="str">
        <f>IFERROR(__xludf.DUMMYFUNCTION("IF(NOT('portfólio'!$AV$7),"""",IF($T6="""","""",IFERROR(query({AtivosDados},""select sum(""&amp;AA$3&amp;"") where Col1='""&amp;$T6&amp;""' label sum(""&amp;AA$3&amp;"") ''""),0)))"),"")</f>
        <v/>
      </c>
      <c r="AB6" s="437" t="str">
        <f>IFERROR(__xludf.DUMMYFUNCTION("IF(NOT('portfólio'!$AV$7),"""",IF($T6="""","""",IFERROR(query({AtivosDados},""select sum(""&amp;AB$3&amp;"") where Col1='""&amp;$T6&amp;""' label sum(""&amp;AB$3&amp;"") ''""),0)))"),"")</f>
        <v/>
      </c>
      <c r="AC6" s="437" t="str">
        <f>IFERROR(__xludf.DUMMYFUNCTION("IF(NOT('portfólio'!$AV$7),"""",IF($T6="""","""",IFERROR(query({AtivosDados},""select sum(""&amp;AC$3&amp;"") where Col1='""&amp;$T6&amp;""' label sum(""&amp;AC$3&amp;"") ''""),0)))"),"")</f>
        <v/>
      </c>
      <c r="AD6" s="437" t="str">
        <f>IFERROR(__xludf.DUMMYFUNCTION("IF(NOT('portfólio'!$AV$7),"""",IF($T6="""","""",IFERROR(query({AtivosDados},""select sum(""&amp;AD$3&amp;"") where Col1='""&amp;$T6&amp;""' label sum(""&amp;AD$3&amp;"") ''""),0)))"),"")</f>
        <v/>
      </c>
      <c r="AE6" s="437"/>
      <c r="AF6" s="1327"/>
      <c r="AG6" s="437"/>
      <c r="AH6" s="437"/>
      <c r="AI6" s="437"/>
      <c r="AJ6" s="437"/>
      <c r="AK6" s="437"/>
      <c r="AL6" s="437"/>
      <c r="AM6" s="437"/>
      <c r="AN6" s="437"/>
      <c r="AO6" s="437"/>
      <c r="AP6" s="437"/>
      <c r="AQ6" s="1327"/>
      <c r="AR6" s="437"/>
      <c r="AS6" s="437"/>
      <c r="AT6" s="437"/>
      <c r="AU6" s="437"/>
      <c r="AV6" s="437"/>
      <c r="AW6" s="437"/>
      <c r="AX6" s="437"/>
      <c r="AY6" s="437"/>
      <c r="AZ6" s="437"/>
      <c r="BA6" s="437"/>
      <c r="BB6" s="1327"/>
      <c r="BC6" s="437"/>
      <c r="BD6" s="437"/>
      <c r="BE6" s="437"/>
      <c r="BF6" s="437"/>
      <c r="BG6" s="437"/>
      <c r="BH6" s="437"/>
      <c r="BI6" s="437"/>
      <c r="BJ6" s="437"/>
      <c r="BK6" s="437"/>
      <c r="BL6" s="437"/>
      <c r="BM6" s="1327"/>
      <c r="BN6" s="1315"/>
      <c r="BO6" s="1315"/>
      <c r="BP6" s="1360"/>
      <c r="BQ6" s="1351"/>
      <c r="BR6" s="437"/>
      <c r="BS6" s="1353"/>
      <c r="BT6" s="437"/>
      <c r="BU6" s="1353"/>
      <c r="BV6" s="1354"/>
      <c r="BW6" s="1327"/>
      <c r="BX6" s="1349"/>
      <c r="BY6" s="1349"/>
      <c r="BZ6" s="1349"/>
      <c r="CA6" s="415"/>
      <c r="CB6" s="1355"/>
      <c r="CC6" s="1355"/>
      <c r="CD6" s="1355"/>
      <c r="CE6" s="1355"/>
      <c r="CF6" s="1355"/>
      <c r="CG6" s="1355"/>
      <c r="CH6" s="1355"/>
      <c r="CI6" s="1355"/>
      <c r="CJ6" s="1355"/>
      <c r="CK6" s="1355">
        <f t="shared" si="5"/>
        <v>0</v>
      </c>
      <c r="CL6" s="1355"/>
      <c r="CM6" s="1351"/>
      <c r="CN6" s="1351"/>
      <c r="CO6" s="1351"/>
      <c r="CP6" s="1351"/>
      <c r="CQ6" s="1351"/>
      <c r="CR6" s="1327"/>
      <c r="CS6" s="419" t="s">
        <v>999</v>
      </c>
      <c r="CT6" s="1317"/>
      <c r="CU6" s="419"/>
      <c r="CV6" s="419"/>
      <c r="CW6" s="419"/>
      <c r="CX6" s="419"/>
      <c r="CY6" s="419"/>
      <c r="CZ6" s="419"/>
      <c r="DA6" s="419"/>
      <c r="DB6" s="419"/>
      <c r="DC6" s="419"/>
      <c r="DD6" s="419"/>
      <c r="DE6" s="419"/>
      <c r="DF6" s="419"/>
      <c r="DG6" s="419"/>
    </row>
    <row r="7" ht="18.75" customHeight="1">
      <c r="A7" s="624">
        <v>2.0</v>
      </c>
      <c r="B7" s="1361" t="s">
        <v>997</v>
      </c>
      <c r="C7" s="1362" t="s">
        <v>963</v>
      </c>
      <c r="D7" s="1363">
        <v>0.1</v>
      </c>
      <c r="E7" s="1359"/>
      <c r="G7" s="1344"/>
      <c r="H7" s="1345">
        <f t="shared" si="4"/>
        <v>0</v>
      </c>
      <c r="I7" s="1347"/>
      <c r="J7" s="1347"/>
      <c r="K7" s="1347"/>
      <c r="L7" s="1347"/>
      <c r="M7" s="1347"/>
      <c r="N7" s="1347"/>
      <c r="O7" s="1347"/>
      <c r="P7" s="1347"/>
      <c r="Q7" s="1347"/>
      <c r="R7" s="1347"/>
      <c r="S7" s="56"/>
      <c r="T7" s="419"/>
      <c r="U7" s="1348" t="s">
        <v>123</v>
      </c>
      <c r="V7" s="1349" t="s">
        <v>123</v>
      </c>
      <c r="W7" s="1349"/>
      <c r="X7" s="1349"/>
      <c r="Y7" s="1308"/>
      <c r="Z7" s="437" t="str">
        <f>IFERROR(__xludf.DUMMYFUNCTION("IF(NOT('portfólio'!$AV$7),"""",IF($T7="""","""",IFERROR(query({AtivosDados},""select sum(""&amp;Z$3&amp;"") where Col1='""&amp;$T7&amp;""' label sum(""&amp;Z$3&amp;"") ''""),0)))"),"")</f>
        <v/>
      </c>
      <c r="AA7" s="437" t="str">
        <f>IFERROR(__xludf.DUMMYFUNCTION("IF(NOT('portfólio'!$AV$7),"""",IF($T7="""","""",IFERROR(query({AtivosDados},""select sum(""&amp;AA$3&amp;"") where Col1='""&amp;$T7&amp;""' label sum(""&amp;AA$3&amp;"") ''""),0)))"),"")</f>
        <v/>
      </c>
      <c r="AB7" s="437" t="str">
        <f>IFERROR(__xludf.DUMMYFUNCTION("IF(NOT('portfólio'!$AV$7),"""",IF($T7="""","""",IFERROR(query({AtivosDados},""select sum(""&amp;AB$3&amp;"") where Col1='""&amp;$T7&amp;""' label sum(""&amp;AB$3&amp;"") ''""),0)))"),"")</f>
        <v/>
      </c>
      <c r="AC7" s="437" t="str">
        <f>IFERROR(__xludf.DUMMYFUNCTION("IF(NOT('portfólio'!$AV$7),"""",IF($T7="""","""",IFERROR(query({AtivosDados},""select sum(""&amp;AC$3&amp;"") where Col1='""&amp;$T7&amp;""' label sum(""&amp;AC$3&amp;"") ''""),0)))"),"")</f>
        <v/>
      </c>
      <c r="AD7" s="437" t="str">
        <f>IFERROR(__xludf.DUMMYFUNCTION("IF(NOT('portfólio'!$AV$7),"""",IF($T7="""","""",IFERROR(query({AtivosDados},""select sum(""&amp;AD$3&amp;"") where Col1='""&amp;$T7&amp;""' label sum(""&amp;AD$3&amp;"") ''""),0)))"),"")</f>
        <v/>
      </c>
      <c r="AE7" s="437"/>
      <c r="AF7" s="1327"/>
      <c r="AG7" s="437"/>
      <c r="AH7" s="437"/>
      <c r="AI7" s="437"/>
      <c r="AJ7" s="437"/>
      <c r="AK7" s="437"/>
      <c r="AL7" s="437"/>
      <c r="AM7" s="437"/>
      <c r="AN7" s="437"/>
      <c r="AO7" s="437"/>
      <c r="AP7" s="437"/>
      <c r="AQ7" s="1327"/>
      <c r="AR7" s="437"/>
      <c r="AS7" s="437"/>
      <c r="AT7" s="437"/>
      <c r="AU7" s="437"/>
      <c r="AV7" s="437"/>
      <c r="AW7" s="437"/>
      <c r="AX7" s="437"/>
      <c r="AY7" s="437"/>
      <c r="AZ7" s="437"/>
      <c r="BA7" s="437"/>
      <c r="BB7" s="1327"/>
      <c r="BC7" s="437"/>
      <c r="BD7" s="437"/>
      <c r="BE7" s="437"/>
      <c r="BF7" s="437"/>
      <c r="BG7" s="437"/>
      <c r="BH7" s="437"/>
      <c r="BI7" s="437"/>
      <c r="BJ7" s="437"/>
      <c r="BK7" s="437"/>
      <c r="BL7" s="437"/>
      <c r="BM7" s="1327"/>
      <c r="BN7" s="1315"/>
      <c r="BO7" s="1315"/>
      <c r="BP7" s="1360"/>
      <c r="BQ7" s="1351"/>
      <c r="BR7" s="437"/>
      <c r="BS7" s="1353"/>
      <c r="BT7" s="437"/>
      <c r="BU7" s="1353"/>
      <c r="BV7" s="1354"/>
      <c r="BW7" s="1327"/>
      <c r="BX7" s="1349"/>
      <c r="BY7" s="1349"/>
      <c r="BZ7" s="1349"/>
      <c r="CA7" s="415"/>
      <c r="CB7" s="1355"/>
      <c r="CC7" s="1355"/>
      <c r="CD7" s="1355"/>
      <c r="CE7" s="1355"/>
      <c r="CF7" s="1355"/>
      <c r="CG7" s="1355"/>
      <c r="CH7" s="1355"/>
      <c r="CI7" s="1355"/>
      <c r="CJ7" s="1355"/>
      <c r="CK7" s="1355">
        <f t="shared" si="5"/>
        <v>0</v>
      </c>
      <c r="CL7" s="1355"/>
      <c r="CM7" s="1351"/>
      <c r="CN7" s="1351"/>
      <c r="CO7" s="1351"/>
      <c r="CP7" s="1351"/>
      <c r="CQ7" s="1351"/>
      <c r="CR7" s="1327"/>
      <c r="CS7" s="1327"/>
      <c r="CT7" s="1317"/>
      <c r="CU7" s="419"/>
      <c r="CV7" s="419"/>
      <c r="CW7" s="419"/>
      <c r="CX7" s="419"/>
      <c r="CY7" s="419"/>
      <c r="CZ7" s="419"/>
      <c r="DA7" s="419"/>
      <c r="DB7" s="419"/>
      <c r="DC7" s="419"/>
      <c r="DD7" s="419"/>
      <c r="DE7" s="419"/>
      <c r="DF7" s="419"/>
      <c r="DG7" s="419"/>
    </row>
    <row r="8" ht="18.75" customHeight="1">
      <c r="A8" s="624">
        <v>3.0</v>
      </c>
      <c r="B8" s="1361" t="s">
        <v>997</v>
      </c>
      <c r="C8" s="1362" t="s">
        <v>964</v>
      </c>
      <c r="D8" s="1363">
        <v>0.2</v>
      </c>
      <c r="E8" s="1359"/>
      <c r="G8" s="1344"/>
      <c r="H8" s="1345">
        <f t="shared" si="4"/>
        <v>0</v>
      </c>
      <c r="I8" s="1347"/>
      <c r="J8" s="1347"/>
      <c r="K8" s="1347"/>
      <c r="L8" s="1347"/>
      <c r="M8" s="1347"/>
      <c r="N8" s="1347"/>
      <c r="O8" s="1347"/>
      <c r="P8" s="1347"/>
      <c r="Q8" s="1347"/>
      <c r="R8" s="1347"/>
      <c r="S8" s="56"/>
      <c r="T8" s="419"/>
      <c r="U8" s="1348" t="s">
        <v>123</v>
      </c>
      <c r="V8" s="1349" t="s">
        <v>123</v>
      </c>
      <c r="W8" s="1349"/>
      <c r="X8" s="1349"/>
      <c r="Y8" s="1308"/>
      <c r="Z8" s="437" t="str">
        <f>IFERROR(__xludf.DUMMYFUNCTION("IF(NOT('portfólio'!$AV$7),"""",IF($T8="""","""",IFERROR(query({AtivosDados},""select sum(""&amp;Z$3&amp;"") where Col1='""&amp;$T8&amp;""' label sum(""&amp;Z$3&amp;"") ''""),0)))"),"")</f>
        <v/>
      </c>
      <c r="AA8" s="437" t="str">
        <f>IFERROR(__xludf.DUMMYFUNCTION("IF(NOT('portfólio'!$AV$7),"""",IF($T8="""","""",IFERROR(query({AtivosDados},""select sum(""&amp;AA$3&amp;"") where Col1='""&amp;$T8&amp;""' label sum(""&amp;AA$3&amp;"") ''""),0)))"),"")</f>
        <v/>
      </c>
      <c r="AB8" s="437" t="str">
        <f>IFERROR(__xludf.DUMMYFUNCTION("IF(NOT('portfólio'!$AV$7),"""",IF($T8="""","""",IFERROR(query({AtivosDados},""select sum(""&amp;AB$3&amp;"") where Col1='""&amp;$T8&amp;""' label sum(""&amp;AB$3&amp;"") ''""),0)))"),"")</f>
        <v/>
      </c>
      <c r="AC8" s="437" t="str">
        <f>IFERROR(__xludf.DUMMYFUNCTION("IF(NOT('portfólio'!$AV$7),"""",IF($T8="""","""",IFERROR(query({AtivosDados},""select sum(""&amp;AC$3&amp;"") where Col1='""&amp;$T8&amp;""' label sum(""&amp;AC$3&amp;"") ''""),0)))"),"")</f>
        <v/>
      </c>
      <c r="AD8" s="437" t="str">
        <f>IFERROR(__xludf.DUMMYFUNCTION("IF(NOT('portfólio'!$AV$7),"""",IF($T8="""","""",IFERROR(query({AtivosDados},""select sum(""&amp;AD$3&amp;"") where Col1='""&amp;$T8&amp;""' label sum(""&amp;AD$3&amp;"") ''""),0)))"),"")</f>
        <v/>
      </c>
      <c r="AE8" s="437"/>
      <c r="AF8" s="1327"/>
      <c r="AG8" s="437"/>
      <c r="AH8" s="437"/>
      <c r="AI8" s="437"/>
      <c r="AJ8" s="437"/>
      <c r="AK8" s="437"/>
      <c r="AL8" s="437"/>
      <c r="AM8" s="437"/>
      <c r="AN8" s="437"/>
      <c r="AO8" s="437"/>
      <c r="AP8" s="437"/>
      <c r="AQ8" s="1327"/>
      <c r="AR8" s="437"/>
      <c r="AS8" s="437"/>
      <c r="AT8" s="437"/>
      <c r="AU8" s="437"/>
      <c r="AV8" s="437"/>
      <c r="AW8" s="437"/>
      <c r="AX8" s="437"/>
      <c r="AY8" s="437"/>
      <c r="AZ8" s="437"/>
      <c r="BA8" s="437"/>
      <c r="BB8" s="1327"/>
      <c r="BC8" s="437"/>
      <c r="BD8" s="437"/>
      <c r="BE8" s="437"/>
      <c r="BF8" s="437"/>
      <c r="BG8" s="437"/>
      <c r="BH8" s="437"/>
      <c r="BI8" s="437"/>
      <c r="BJ8" s="437"/>
      <c r="BK8" s="437"/>
      <c r="BL8" s="437"/>
      <c r="BM8" s="1327"/>
      <c r="BN8" s="1315"/>
      <c r="BO8" s="1315"/>
      <c r="BP8" s="1360"/>
      <c r="BQ8" s="1351"/>
      <c r="BR8" s="437"/>
      <c r="BS8" s="1353"/>
      <c r="BT8" s="437"/>
      <c r="BU8" s="1353"/>
      <c r="BV8" s="1354"/>
      <c r="BW8" s="1327"/>
      <c r="BX8" s="1349"/>
      <c r="BY8" s="1349"/>
      <c r="BZ8" s="1349"/>
      <c r="CA8" s="415"/>
      <c r="CB8" s="1355"/>
      <c r="CC8" s="1355"/>
      <c r="CD8" s="1355"/>
      <c r="CE8" s="1355"/>
      <c r="CF8" s="1355"/>
      <c r="CG8" s="1355"/>
      <c r="CH8" s="1355"/>
      <c r="CI8" s="1355"/>
      <c r="CJ8" s="1355"/>
      <c r="CK8" s="1355">
        <f t="shared" si="5"/>
        <v>0</v>
      </c>
      <c r="CL8" s="1355"/>
      <c r="CM8" s="1351"/>
      <c r="CN8" s="1351"/>
      <c r="CO8" s="1351"/>
      <c r="CP8" s="1351"/>
      <c r="CQ8" s="1351"/>
      <c r="CR8" s="1327"/>
      <c r="CS8" s="1327"/>
      <c r="CT8" s="1317"/>
      <c r="CU8" s="419"/>
      <c r="CV8" s="419"/>
      <c r="CW8" s="419"/>
      <c r="CX8" s="419"/>
      <c r="CY8" s="419"/>
      <c r="CZ8" s="419"/>
      <c r="DA8" s="419"/>
      <c r="DB8" s="419"/>
      <c r="DC8" s="419"/>
      <c r="DD8" s="419"/>
      <c r="DE8" s="419"/>
      <c r="DF8" s="419"/>
      <c r="DG8" s="419"/>
    </row>
    <row r="9" ht="18.75" customHeight="1">
      <c r="A9" s="624">
        <v>4.0</v>
      </c>
      <c r="B9" s="1361" t="s">
        <v>997</v>
      </c>
      <c r="C9" s="1362" t="s">
        <v>965</v>
      </c>
      <c r="D9" s="1363">
        <v>0.2</v>
      </c>
      <c r="E9" s="1359"/>
      <c r="G9" s="1344"/>
      <c r="H9" s="1345">
        <f t="shared" si="4"/>
        <v>0</v>
      </c>
      <c r="I9" s="1347"/>
      <c r="J9" s="1347"/>
      <c r="K9" s="1347"/>
      <c r="L9" s="1347"/>
      <c r="M9" s="1347"/>
      <c r="N9" s="1347"/>
      <c r="O9" s="1347"/>
      <c r="P9" s="1347"/>
      <c r="Q9" s="1347"/>
      <c r="R9" s="1347"/>
      <c r="S9" s="56"/>
      <c r="T9" s="419"/>
      <c r="U9" s="1348" t="s">
        <v>123</v>
      </c>
      <c r="V9" s="1349" t="s">
        <v>123</v>
      </c>
      <c r="W9" s="1349"/>
      <c r="X9" s="1349"/>
      <c r="Y9" s="1308"/>
      <c r="Z9" s="437" t="str">
        <f>IFERROR(__xludf.DUMMYFUNCTION("IF(NOT('portfólio'!$AV$7),"""",IF($T9="""","""",IFERROR(query({AtivosDados},""select sum(""&amp;Z$3&amp;"") where Col1='""&amp;$T9&amp;""' label sum(""&amp;Z$3&amp;"") ''""),0)))"),"")</f>
        <v/>
      </c>
      <c r="AA9" s="437" t="str">
        <f>IFERROR(__xludf.DUMMYFUNCTION("IF(NOT('portfólio'!$AV$7),"""",IF($T9="""","""",IFERROR(query({AtivosDados},""select sum(""&amp;AA$3&amp;"") where Col1='""&amp;$T9&amp;""' label sum(""&amp;AA$3&amp;"") ''""),0)))"),"")</f>
        <v/>
      </c>
      <c r="AB9" s="437" t="str">
        <f>IFERROR(__xludf.DUMMYFUNCTION("IF(NOT('portfólio'!$AV$7),"""",IF($T9="""","""",IFERROR(query({AtivosDados},""select sum(""&amp;AB$3&amp;"") where Col1='""&amp;$T9&amp;""' label sum(""&amp;AB$3&amp;"") ''""),0)))"),"")</f>
        <v/>
      </c>
      <c r="AC9" s="437" t="str">
        <f>IFERROR(__xludf.DUMMYFUNCTION("IF(NOT('portfólio'!$AV$7),"""",IF($T9="""","""",IFERROR(query({AtivosDados},""select sum(""&amp;AC$3&amp;"") where Col1='""&amp;$T9&amp;""' label sum(""&amp;AC$3&amp;"") ''""),0)))"),"")</f>
        <v/>
      </c>
      <c r="AD9" s="437" t="str">
        <f>IFERROR(__xludf.DUMMYFUNCTION("IF(NOT('portfólio'!$AV$7),"""",IF($T9="""","""",IFERROR(query({AtivosDados},""select sum(""&amp;AD$3&amp;"") where Col1='""&amp;$T9&amp;""' label sum(""&amp;AD$3&amp;"") ''""),0)))"),"")</f>
        <v/>
      </c>
      <c r="AE9" s="437"/>
      <c r="AF9" s="1327"/>
      <c r="AG9" s="437"/>
      <c r="AH9" s="437"/>
      <c r="AI9" s="437"/>
      <c r="AJ9" s="437"/>
      <c r="AK9" s="437"/>
      <c r="AL9" s="437"/>
      <c r="AM9" s="437"/>
      <c r="AN9" s="437"/>
      <c r="AO9" s="437"/>
      <c r="AP9" s="437"/>
      <c r="AQ9" s="1327"/>
      <c r="AR9" s="437"/>
      <c r="AS9" s="437"/>
      <c r="AT9" s="437"/>
      <c r="AU9" s="437"/>
      <c r="AV9" s="437"/>
      <c r="AW9" s="437"/>
      <c r="AX9" s="437"/>
      <c r="AY9" s="437"/>
      <c r="AZ9" s="437"/>
      <c r="BA9" s="437"/>
      <c r="BB9" s="1327"/>
      <c r="BC9" s="437"/>
      <c r="BD9" s="437"/>
      <c r="BE9" s="437"/>
      <c r="BF9" s="437"/>
      <c r="BG9" s="437"/>
      <c r="BH9" s="437"/>
      <c r="BI9" s="437"/>
      <c r="BJ9" s="437"/>
      <c r="BK9" s="437"/>
      <c r="BL9" s="437"/>
      <c r="BM9" s="1327"/>
      <c r="BN9" s="1315"/>
      <c r="BO9" s="1315"/>
      <c r="BP9" s="1360"/>
      <c r="BQ9" s="1351"/>
      <c r="BR9" s="437"/>
      <c r="BS9" s="1353"/>
      <c r="BT9" s="437"/>
      <c r="BU9" s="1353"/>
      <c r="BV9" s="1354"/>
      <c r="BW9" s="1327"/>
      <c r="BX9" s="1349"/>
      <c r="BY9" s="1349"/>
      <c r="BZ9" s="1349"/>
      <c r="CA9" s="415"/>
      <c r="CB9" s="1355"/>
      <c r="CC9" s="1355"/>
      <c r="CD9" s="1355"/>
      <c r="CE9" s="1355"/>
      <c r="CF9" s="1355"/>
      <c r="CG9" s="1355"/>
      <c r="CH9" s="1355"/>
      <c r="CI9" s="1355"/>
      <c r="CJ9" s="1355"/>
      <c r="CK9" s="1355">
        <f t="shared" si="5"/>
        <v>0</v>
      </c>
      <c r="CL9" s="1355"/>
      <c r="CM9" s="1351"/>
      <c r="CN9" s="1351"/>
      <c r="CO9" s="1351"/>
      <c r="CP9" s="1351"/>
      <c r="CQ9" s="1351"/>
      <c r="CR9" s="1327"/>
      <c r="CS9" s="1327"/>
      <c r="CT9" s="1317"/>
      <c r="CU9" s="419"/>
      <c r="CV9" s="419"/>
      <c r="CW9" s="419"/>
      <c r="CX9" s="419"/>
      <c r="CY9" s="419"/>
      <c r="CZ9" s="419"/>
      <c r="DA9" s="419"/>
      <c r="DB9" s="419"/>
      <c r="DC9" s="419"/>
      <c r="DD9" s="419"/>
      <c r="DE9" s="419"/>
      <c r="DF9" s="419"/>
      <c r="DG9" s="419"/>
    </row>
    <row r="10" ht="18.75" customHeight="1">
      <c r="A10" s="624">
        <v>5.0</v>
      </c>
      <c r="B10" s="1361" t="s">
        <v>999</v>
      </c>
      <c r="C10" s="1362" t="s">
        <v>966</v>
      </c>
      <c r="D10" s="1363">
        <v>0.15</v>
      </c>
      <c r="E10" s="1359" t="s">
        <v>117</v>
      </c>
      <c r="G10" s="1344"/>
      <c r="H10" s="1345">
        <f t="shared" si="4"/>
        <v>0</v>
      </c>
      <c r="I10" s="1347"/>
      <c r="J10" s="1347"/>
      <c r="K10" s="1347"/>
      <c r="L10" s="1347"/>
      <c r="M10" s="1347"/>
      <c r="N10" s="1347"/>
      <c r="O10" s="1347"/>
      <c r="P10" s="1347"/>
      <c r="Q10" s="1347"/>
      <c r="R10" s="1347"/>
      <c r="S10" s="56"/>
      <c r="T10" s="419"/>
      <c r="U10" s="1348" t="s">
        <v>123</v>
      </c>
      <c r="V10" s="1349" t="s">
        <v>123</v>
      </c>
      <c r="W10" s="1349"/>
      <c r="X10" s="1349"/>
      <c r="Y10" s="1308"/>
      <c r="Z10" s="437" t="str">
        <f>IFERROR(__xludf.DUMMYFUNCTION("IF(NOT('portfólio'!$AV$7),"""",IF($T10="""","""",IFERROR(query({AtivosDados},""select sum(""&amp;Z$3&amp;"") where Col1='""&amp;$T10&amp;""' label sum(""&amp;Z$3&amp;"") ''""),0)))"),"")</f>
        <v/>
      </c>
      <c r="AA10" s="437" t="str">
        <f>IFERROR(__xludf.DUMMYFUNCTION("IF(NOT('portfólio'!$AV$7),"""",IF($T10="""","""",IFERROR(query({AtivosDados},""select sum(""&amp;AA$3&amp;"") where Col1='""&amp;$T10&amp;""' label sum(""&amp;AA$3&amp;"") ''""),0)))"),"")</f>
        <v/>
      </c>
      <c r="AB10" s="437" t="str">
        <f>IFERROR(__xludf.DUMMYFUNCTION("IF(NOT('portfólio'!$AV$7),"""",IF($T10="""","""",IFERROR(query({AtivosDados},""select sum(""&amp;AB$3&amp;"") where Col1='""&amp;$T10&amp;""' label sum(""&amp;AB$3&amp;"") ''""),0)))"),"")</f>
        <v/>
      </c>
      <c r="AC10" s="437" t="str">
        <f>IFERROR(__xludf.DUMMYFUNCTION("IF(NOT('portfólio'!$AV$7),"""",IF($T10="""","""",IFERROR(query({AtivosDados},""select sum(""&amp;AC$3&amp;"") where Col1='""&amp;$T10&amp;""' label sum(""&amp;AC$3&amp;"") ''""),0)))"),"")</f>
        <v/>
      </c>
      <c r="AD10" s="437" t="str">
        <f>IFERROR(__xludf.DUMMYFUNCTION("IF(NOT('portfólio'!$AV$7),"""",IF($T10="""","""",IFERROR(query({AtivosDados},""select sum(""&amp;AD$3&amp;"") where Col1='""&amp;$T10&amp;""' label sum(""&amp;AD$3&amp;"") ''""),0)))"),"")</f>
        <v/>
      </c>
      <c r="AE10" s="437"/>
      <c r="AF10" s="1327"/>
      <c r="AG10" s="437"/>
      <c r="AH10" s="437"/>
      <c r="AI10" s="437"/>
      <c r="AJ10" s="437"/>
      <c r="AK10" s="437"/>
      <c r="AL10" s="437"/>
      <c r="AM10" s="437"/>
      <c r="AN10" s="437"/>
      <c r="AO10" s="437"/>
      <c r="AP10" s="437"/>
      <c r="AQ10" s="1327"/>
      <c r="AR10" s="437"/>
      <c r="AS10" s="437"/>
      <c r="AT10" s="437"/>
      <c r="AU10" s="437"/>
      <c r="AV10" s="437"/>
      <c r="AW10" s="437"/>
      <c r="AX10" s="437"/>
      <c r="AY10" s="437"/>
      <c r="AZ10" s="437"/>
      <c r="BA10" s="437"/>
      <c r="BB10" s="1327"/>
      <c r="BC10" s="437"/>
      <c r="BD10" s="437"/>
      <c r="BE10" s="437"/>
      <c r="BF10" s="437"/>
      <c r="BG10" s="437"/>
      <c r="BH10" s="437"/>
      <c r="BI10" s="437"/>
      <c r="BJ10" s="437"/>
      <c r="BK10" s="437"/>
      <c r="BL10" s="437"/>
      <c r="BM10" s="1327"/>
      <c r="BN10" s="1315"/>
      <c r="BO10" s="1315"/>
      <c r="BP10" s="1360"/>
      <c r="BQ10" s="1351"/>
      <c r="BR10" s="437"/>
      <c r="BS10" s="1353"/>
      <c r="BT10" s="437"/>
      <c r="BU10" s="1353"/>
      <c r="BV10" s="1354"/>
      <c r="BW10" s="1327"/>
      <c r="BX10" s="1349"/>
      <c r="BY10" s="1349"/>
      <c r="BZ10" s="1349"/>
      <c r="CA10" s="415"/>
      <c r="CB10" s="1355"/>
      <c r="CC10" s="1355"/>
      <c r="CD10" s="1355"/>
      <c r="CE10" s="1355"/>
      <c r="CF10" s="1355"/>
      <c r="CG10" s="1355"/>
      <c r="CH10" s="1355"/>
      <c r="CI10" s="1355"/>
      <c r="CJ10" s="1355"/>
      <c r="CK10" s="1355">
        <f t="shared" si="5"/>
        <v>0</v>
      </c>
      <c r="CL10" s="1355"/>
      <c r="CM10" s="1351"/>
      <c r="CN10" s="1351"/>
      <c r="CO10" s="1351"/>
      <c r="CP10" s="1351"/>
      <c r="CQ10" s="1351"/>
      <c r="CR10" s="1327"/>
      <c r="CS10" s="1327"/>
      <c r="CT10" s="1317"/>
      <c r="CU10" s="419"/>
      <c r="CV10" s="419"/>
      <c r="CW10" s="419"/>
      <c r="CX10" s="419"/>
      <c r="CY10" s="419"/>
      <c r="CZ10" s="419"/>
      <c r="DA10" s="419"/>
      <c r="DB10" s="419"/>
      <c r="DC10" s="419"/>
      <c r="DD10" s="419"/>
      <c r="DE10" s="419"/>
      <c r="DF10" s="419"/>
      <c r="DG10" s="419"/>
    </row>
    <row r="11" ht="18.75" customHeight="1">
      <c r="A11" s="624">
        <v>6.0</v>
      </c>
      <c r="B11" s="1361" t="s">
        <v>999</v>
      </c>
      <c r="C11" s="1362" t="s">
        <v>967</v>
      </c>
      <c r="D11" s="1363">
        <v>0.08</v>
      </c>
      <c r="E11" s="1359" t="s">
        <v>499</v>
      </c>
      <c r="G11" s="1344"/>
      <c r="H11" s="1345">
        <f t="shared" si="4"/>
        <v>0</v>
      </c>
      <c r="I11" s="1347"/>
      <c r="J11" s="1347"/>
      <c r="K11" s="1347"/>
      <c r="L11" s="1347"/>
      <c r="M11" s="1347"/>
      <c r="N11" s="1347"/>
      <c r="O11" s="1347"/>
      <c r="P11" s="1347"/>
      <c r="Q11" s="1347"/>
      <c r="R11" s="1347"/>
      <c r="S11" s="56"/>
      <c r="T11" s="419"/>
      <c r="U11" s="1348" t="s">
        <v>123</v>
      </c>
      <c r="V11" s="1349" t="s">
        <v>123</v>
      </c>
      <c r="W11" s="1349"/>
      <c r="X11" s="1349"/>
      <c r="Y11" s="1308"/>
      <c r="Z11" s="437" t="str">
        <f>IFERROR(__xludf.DUMMYFUNCTION("IF(NOT('portfólio'!$AV$7),"""",IF($T11="""","""",IFERROR(query({AtivosDados},""select sum(""&amp;Z$3&amp;"") where Col1='""&amp;$T11&amp;""' label sum(""&amp;Z$3&amp;"") ''""),0)))"),"")</f>
        <v/>
      </c>
      <c r="AA11" s="437" t="str">
        <f>IFERROR(__xludf.DUMMYFUNCTION("IF(NOT('portfólio'!$AV$7),"""",IF($T11="""","""",IFERROR(query({AtivosDados},""select sum(""&amp;AA$3&amp;"") where Col1='""&amp;$T11&amp;""' label sum(""&amp;AA$3&amp;"") ''""),0)))"),"")</f>
        <v/>
      </c>
      <c r="AB11" s="437" t="str">
        <f>IFERROR(__xludf.DUMMYFUNCTION("IF(NOT('portfólio'!$AV$7),"""",IF($T11="""","""",IFERROR(query({AtivosDados},""select sum(""&amp;AB$3&amp;"") where Col1='""&amp;$T11&amp;""' label sum(""&amp;AB$3&amp;"") ''""),0)))"),"")</f>
        <v/>
      </c>
      <c r="AC11" s="437" t="str">
        <f>IFERROR(__xludf.DUMMYFUNCTION("IF(NOT('portfólio'!$AV$7),"""",IF($T11="""","""",IFERROR(query({AtivosDados},""select sum(""&amp;AC$3&amp;"") where Col1='""&amp;$T11&amp;""' label sum(""&amp;AC$3&amp;"") ''""),0)))"),"")</f>
        <v/>
      </c>
      <c r="AD11" s="437" t="str">
        <f>IFERROR(__xludf.DUMMYFUNCTION("IF(NOT('portfólio'!$AV$7),"""",IF($T11="""","""",IFERROR(query({AtivosDados},""select sum(""&amp;AD$3&amp;"") where Col1='""&amp;$T11&amp;""' label sum(""&amp;AD$3&amp;"") ''""),0)))"),"")</f>
        <v/>
      </c>
      <c r="AE11" s="437"/>
      <c r="AF11" s="1327"/>
      <c r="AG11" s="437"/>
      <c r="AH11" s="437"/>
      <c r="AI11" s="437"/>
      <c r="AJ11" s="437"/>
      <c r="AK11" s="437"/>
      <c r="AL11" s="437"/>
      <c r="AM11" s="437"/>
      <c r="AN11" s="437"/>
      <c r="AO11" s="437"/>
      <c r="AP11" s="437"/>
      <c r="AQ11" s="1327"/>
      <c r="AR11" s="437"/>
      <c r="AS11" s="1351"/>
      <c r="AT11" s="437"/>
      <c r="AU11" s="437"/>
      <c r="AV11" s="437"/>
      <c r="AW11" s="437"/>
      <c r="AX11" s="437"/>
      <c r="AY11" s="437"/>
      <c r="AZ11" s="437"/>
      <c r="BA11" s="437"/>
      <c r="BB11" s="1327"/>
      <c r="BC11" s="437"/>
      <c r="BD11" s="437"/>
      <c r="BE11" s="437"/>
      <c r="BF11" s="437"/>
      <c r="BG11" s="437"/>
      <c r="BH11" s="437"/>
      <c r="BI11" s="437"/>
      <c r="BJ11" s="437"/>
      <c r="BK11" s="437"/>
      <c r="BL11" s="437"/>
      <c r="BM11" s="1327"/>
      <c r="BN11" s="1315"/>
      <c r="BO11" s="1315"/>
      <c r="BP11" s="1360"/>
      <c r="BQ11" s="1351"/>
      <c r="BR11" s="437"/>
      <c r="BS11" s="1353"/>
      <c r="BT11" s="437"/>
      <c r="BU11" s="1353"/>
      <c r="BV11" s="1354"/>
      <c r="BW11" s="1327"/>
      <c r="BX11" s="1349"/>
      <c r="BY11" s="1349"/>
      <c r="BZ11" s="1349"/>
      <c r="CA11" s="415"/>
      <c r="CB11" s="1355"/>
      <c r="CC11" s="1355"/>
      <c r="CD11" s="1355"/>
      <c r="CE11" s="1355"/>
      <c r="CF11" s="1355"/>
      <c r="CG11" s="1355"/>
      <c r="CH11" s="1355"/>
      <c r="CI11" s="1355"/>
      <c r="CJ11" s="1355"/>
      <c r="CK11" s="1355">
        <f t="shared" si="5"/>
        <v>0</v>
      </c>
      <c r="CL11" s="1355"/>
      <c r="CM11" s="1351"/>
      <c r="CN11" s="1351"/>
      <c r="CO11" s="1351"/>
      <c r="CP11" s="1351"/>
      <c r="CQ11" s="1351"/>
      <c r="CR11" s="1327"/>
      <c r="CS11" s="1327"/>
      <c r="CT11" s="1317"/>
      <c r="CU11" s="419"/>
      <c r="CV11" s="419"/>
      <c r="CW11" s="419"/>
      <c r="CX11" s="419"/>
      <c r="CY11" s="419"/>
      <c r="CZ11" s="419"/>
      <c r="DA11" s="419"/>
      <c r="DB11" s="419"/>
      <c r="DC11" s="419"/>
      <c r="DD11" s="419"/>
      <c r="DE11" s="419"/>
      <c r="DF11" s="419"/>
      <c r="DG11" s="419"/>
    </row>
    <row r="12" ht="18.75" customHeight="1">
      <c r="A12" s="624">
        <v>7.0</v>
      </c>
      <c r="B12" s="1361" t="s">
        <v>999</v>
      </c>
      <c r="C12" s="1362" t="s">
        <v>968</v>
      </c>
      <c r="D12" s="1363">
        <v>0.05</v>
      </c>
      <c r="E12" s="1359" t="s">
        <v>807</v>
      </c>
      <c r="G12" s="1344"/>
      <c r="H12" s="1345">
        <f t="shared" si="4"/>
        <v>0</v>
      </c>
      <c r="I12" s="1347"/>
      <c r="J12" s="1347"/>
      <c r="K12" s="1347"/>
      <c r="L12" s="1347"/>
      <c r="M12" s="1347"/>
      <c r="N12" s="1347"/>
      <c r="O12" s="1347"/>
      <c r="P12" s="1347"/>
      <c r="Q12" s="1347"/>
      <c r="R12" s="1347"/>
      <c r="S12" s="56"/>
      <c r="T12" s="419"/>
      <c r="U12" s="1348" t="s">
        <v>123</v>
      </c>
      <c r="V12" s="1349" t="s">
        <v>123</v>
      </c>
      <c r="W12" s="1349"/>
      <c r="X12" s="1349"/>
      <c r="Y12" s="1308"/>
      <c r="Z12" s="437" t="str">
        <f>IFERROR(__xludf.DUMMYFUNCTION("IF(NOT('portfólio'!$AV$7),"""",IF($T12="""","""",IFERROR(query({AtivosDados},""select sum(""&amp;Z$3&amp;"") where Col1='""&amp;$T12&amp;""' label sum(""&amp;Z$3&amp;"") ''""),0)))"),"")</f>
        <v/>
      </c>
      <c r="AA12" s="437" t="str">
        <f>IFERROR(__xludf.DUMMYFUNCTION("IF(NOT('portfólio'!$AV$7),"""",IF($T12="""","""",IFERROR(query({AtivosDados},""select sum(""&amp;AA$3&amp;"") where Col1='""&amp;$T12&amp;""' label sum(""&amp;AA$3&amp;"") ''""),0)))"),"")</f>
        <v/>
      </c>
      <c r="AB12" s="437" t="str">
        <f>IFERROR(__xludf.DUMMYFUNCTION("IF(NOT('portfólio'!$AV$7),"""",IF($T12="""","""",IFERROR(query({AtivosDados},""select sum(""&amp;AB$3&amp;"") where Col1='""&amp;$T12&amp;""' label sum(""&amp;AB$3&amp;"") ''""),0)))"),"")</f>
        <v/>
      </c>
      <c r="AC12" s="437" t="str">
        <f>IFERROR(__xludf.DUMMYFUNCTION("IF(NOT('portfólio'!$AV$7),"""",IF($T12="""","""",IFERROR(query({AtivosDados},""select sum(""&amp;AC$3&amp;"") where Col1='""&amp;$T12&amp;""' label sum(""&amp;AC$3&amp;"") ''""),0)))"),"")</f>
        <v/>
      </c>
      <c r="AD12" s="437" t="str">
        <f>IFERROR(__xludf.DUMMYFUNCTION("IF(NOT('portfólio'!$AV$7),"""",IF($T12="""","""",IFERROR(query({AtivosDados},""select sum(""&amp;AD$3&amp;"") where Col1='""&amp;$T12&amp;""' label sum(""&amp;AD$3&amp;"") ''""),0)))"),"")</f>
        <v/>
      </c>
      <c r="AE12" s="437"/>
      <c r="AF12" s="1327"/>
      <c r="AG12" s="437"/>
      <c r="AH12" s="437"/>
      <c r="AI12" s="437"/>
      <c r="AJ12" s="437"/>
      <c r="AK12" s="437"/>
      <c r="AL12" s="437"/>
      <c r="AM12" s="437"/>
      <c r="AN12" s="437"/>
      <c r="AO12" s="437"/>
      <c r="AP12" s="437"/>
      <c r="AQ12" s="1327"/>
      <c r="AR12" s="437"/>
      <c r="AS12" s="437"/>
      <c r="AT12" s="437"/>
      <c r="AU12" s="437"/>
      <c r="AV12" s="437"/>
      <c r="AW12" s="437"/>
      <c r="AX12" s="437"/>
      <c r="AY12" s="437"/>
      <c r="AZ12" s="437"/>
      <c r="BA12" s="437"/>
      <c r="BB12" s="1327"/>
      <c r="BC12" s="437"/>
      <c r="BD12" s="437"/>
      <c r="BE12" s="437"/>
      <c r="BF12" s="437"/>
      <c r="BG12" s="437"/>
      <c r="BH12" s="437"/>
      <c r="BI12" s="437"/>
      <c r="BJ12" s="437"/>
      <c r="BK12" s="437"/>
      <c r="BL12" s="437"/>
      <c r="BM12" s="1327"/>
      <c r="BN12" s="1315"/>
      <c r="BO12" s="1315"/>
      <c r="BP12" s="1360"/>
      <c r="BQ12" s="1351"/>
      <c r="BR12" s="437"/>
      <c r="BS12" s="1353"/>
      <c r="BT12" s="437"/>
      <c r="BU12" s="1353"/>
      <c r="BV12" s="1354"/>
      <c r="BW12" s="1327"/>
      <c r="BX12" s="1349"/>
      <c r="BY12" s="1349"/>
      <c r="BZ12" s="1349"/>
      <c r="CA12" s="415"/>
      <c r="CB12" s="1355"/>
      <c r="CC12" s="1355"/>
      <c r="CD12" s="1355"/>
      <c r="CE12" s="1355"/>
      <c r="CF12" s="1355"/>
      <c r="CG12" s="1355"/>
      <c r="CH12" s="1355"/>
      <c r="CI12" s="1355"/>
      <c r="CJ12" s="1355"/>
      <c r="CK12" s="1355">
        <f t="shared" si="5"/>
        <v>0</v>
      </c>
      <c r="CL12" s="1355"/>
      <c r="CM12" s="1351"/>
      <c r="CN12" s="1351"/>
      <c r="CO12" s="1351"/>
      <c r="CP12" s="1351"/>
      <c r="CQ12" s="1351"/>
      <c r="CR12" s="1327"/>
      <c r="CS12" s="1327"/>
      <c r="CT12" s="1317"/>
      <c r="CU12" s="419"/>
      <c r="CV12" s="419"/>
      <c r="CW12" s="419"/>
      <c r="CX12" s="419"/>
      <c r="CY12" s="419"/>
      <c r="CZ12" s="419"/>
      <c r="DA12" s="419"/>
      <c r="DB12" s="419"/>
      <c r="DC12" s="419"/>
      <c r="DD12" s="419"/>
      <c r="DE12" s="419"/>
      <c r="DF12" s="419"/>
      <c r="DG12" s="419"/>
    </row>
    <row r="13" ht="18.75" customHeight="1">
      <c r="A13" s="624">
        <v>8.0</v>
      </c>
      <c r="B13" s="1361" t="s">
        <v>999</v>
      </c>
      <c r="C13" s="1362" t="s">
        <v>969</v>
      </c>
      <c r="D13" s="1363">
        <v>0.05</v>
      </c>
      <c r="E13" s="1359" t="s">
        <v>811</v>
      </c>
      <c r="G13" s="1344"/>
      <c r="H13" s="1345">
        <f t="shared" si="4"/>
        <v>0</v>
      </c>
      <c r="I13" s="1347"/>
      <c r="J13" s="1347"/>
      <c r="K13" s="1347"/>
      <c r="L13" s="1347"/>
      <c r="M13" s="1347"/>
      <c r="N13" s="1347"/>
      <c r="O13" s="1347"/>
      <c r="P13" s="1347"/>
      <c r="Q13" s="1347"/>
      <c r="R13" s="1347"/>
      <c r="S13" s="56"/>
      <c r="T13" s="419"/>
      <c r="U13" s="1348" t="s">
        <v>123</v>
      </c>
      <c r="V13" s="1349" t="s">
        <v>123</v>
      </c>
      <c r="W13" s="1349"/>
      <c r="X13" s="1349"/>
      <c r="Y13" s="1308"/>
      <c r="Z13" s="437" t="str">
        <f>IFERROR(__xludf.DUMMYFUNCTION("IF(NOT('portfólio'!$AV$7),"""",IF($T13="""","""",IFERROR(query({AtivosDados},""select sum(""&amp;Z$3&amp;"") where Col1='""&amp;$T13&amp;""' label sum(""&amp;Z$3&amp;"") ''""),0)))"),"")</f>
        <v/>
      </c>
      <c r="AA13" s="437" t="str">
        <f>IFERROR(__xludf.DUMMYFUNCTION("IF(NOT('portfólio'!$AV$7),"""",IF($T13="""","""",IFERROR(query({AtivosDados},""select sum(""&amp;AA$3&amp;"") where Col1='""&amp;$T13&amp;""' label sum(""&amp;AA$3&amp;"") ''""),0)))"),"")</f>
        <v/>
      </c>
      <c r="AB13" s="437" t="str">
        <f>IFERROR(__xludf.DUMMYFUNCTION("IF(NOT('portfólio'!$AV$7),"""",IF($T13="""","""",IFERROR(query({AtivosDados},""select sum(""&amp;AB$3&amp;"") where Col1='""&amp;$T13&amp;""' label sum(""&amp;AB$3&amp;"") ''""),0)))"),"")</f>
        <v/>
      </c>
      <c r="AC13" s="437" t="str">
        <f>IFERROR(__xludf.DUMMYFUNCTION("IF(NOT('portfólio'!$AV$7),"""",IF($T13="""","""",IFERROR(query({AtivosDados},""select sum(""&amp;AC$3&amp;"") where Col1='""&amp;$T13&amp;""' label sum(""&amp;AC$3&amp;"") ''""),0)))"),"")</f>
        <v/>
      </c>
      <c r="AD13" s="437" t="str">
        <f>IFERROR(__xludf.DUMMYFUNCTION("IF(NOT('portfólio'!$AV$7),"""",IF($T13="""","""",IFERROR(query({AtivosDados},""select sum(""&amp;AD$3&amp;"") where Col1='""&amp;$T13&amp;""' label sum(""&amp;AD$3&amp;"") ''""),0)))"),"")</f>
        <v/>
      </c>
      <c r="AE13" s="437"/>
      <c r="AF13" s="1327"/>
      <c r="AG13" s="437"/>
      <c r="AH13" s="437"/>
      <c r="AI13" s="437"/>
      <c r="AJ13" s="437"/>
      <c r="AK13" s="437"/>
      <c r="AL13" s="437"/>
      <c r="AM13" s="437"/>
      <c r="AN13" s="437"/>
      <c r="AO13" s="437"/>
      <c r="AP13" s="437"/>
      <c r="AQ13" s="1327"/>
      <c r="AR13" s="437"/>
      <c r="AS13" s="437"/>
      <c r="AT13" s="437"/>
      <c r="AU13" s="437"/>
      <c r="AV13" s="437"/>
      <c r="AW13" s="437"/>
      <c r="AX13" s="437"/>
      <c r="AY13" s="437"/>
      <c r="AZ13" s="437"/>
      <c r="BA13" s="437"/>
      <c r="BB13" s="1327"/>
      <c r="BC13" s="437"/>
      <c r="BD13" s="437"/>
      <c r="BE13" s="437"/>
      <c r="BF13" s="437"/>
      <c r="BG13" s="437"/>
      <c r="BH13" s="437"/>
      <c r="BI13" s="437"/>
      <c r="BJ13" s="437"/>
      <c r="BK13" s="437"/>
      <c r="BL13" s="437"/>
      <c r="BM13" s="1327"/>
      <c r="BN13" s="1315"/>
      <c r="BO13" s="1315"/>
      <c r="BP13" s="1360"/>
      <c r="BQ13" s="1351"/>
      <c r="BR13" s="437"/>
      <c r="BS13" s="1353"/>
      <c r="BT13" s="437"/>
      <c r="BU13" s="1353"/>
      <c r="BV13" s="1354"/>
      <c r="BW13" s="1327"/>
      <c r="BX13" s="1349"/>
      <c r="BY13" s="1349"/>
      <c r="BZ13" s="1349"/>
      <c r="CA13" s="415"/>
      <c r="CB13" s="1355"/>
      <c r="CC13" s="1355"/>
      <c r="CD13" s="1355"/>
      <c r="CE13" s="1355"/>
      <c r="CF13" s="1355"/>
      <c r="CG13" s="1355"/>
      <c r="CH13" s="1355"/>
      <c r="CI13" s="1355"/>
      <c r="CJ13" s="1355"/>
      <c r="CK13" s="1355">
        <f t="shared" si="5"/>
        <v>0</v>
      </c>
      <c r="CL13" s="1355"/>
      <c r="CM13" s="1351"/>
      <c r="CN13" s="1351"/>
      <c r="CO13" s="1351"/>
      <c r="CP13" s="1351"/>
      <c r="CQ13" s="1351"/>
      <c r="CR13" s="1327"/>
      <c r="CS13" s="1327"/>
      <c r="CT13" s="1317"/>
      <c r="CU13" s="419"/>
      <c r="CV13" s="419"/>
      <c r="CW13" s="419"/>
      <c r="CX13" s="419"/>
      <c r="CY13" s="419"/>
      <c r="CZ13" s="419"/>
      <c r="DA13" s="419"/>
      <c r="DB13" s="419"/>
      <c r="DC13" s="419"/>
      <c r="DD13" s="419"/>
      <c r="DE13" s="419"/>
      <c r="DF13" s="419"/>
      <c r="DG13" s="419"/>
    </row>
    <row r="14" ht="18.75" customHeight="1">
      <c r="A14" s="624">
        <v>9.0</v>
      </c>
      <c r="B14" s="1361" t="s">
        <v>999</v>
      </c>
      <c r="C14" s="1362" t="s">
        <v>970</v>
      </c>
      <c r="D14" s="1363">
        <v>0.05</v>
      </c>
      <c r="E14" s="1359" t="s">
        <v>859</v>
      </c>
      <c r="G14" s="1344"/>
      <c r="H14" s="1345">
        <f t="shared" si="4"/>
        <v>0</v>
      </c>
      <c r="I14" s="1347"/>
      <c r="J14" s="1347"/>
      <c r="K14" s="1347"/>
      <c r="L14" s="1347"/>
      <c r="M14" s="1347"/>
      <c r="N14" s="1347"/>
      <c r="O14" s="1347"/>
      <c r="P14" s="1347"/>
      <c r="Q14" s="1347"/>
      <c r="R14" s="1347"/>
      <c r="T14" s="419"/>
      <c r="U14" s="1348" t="s">
        <v>123</v>
      </c>
      <c r="V14" s="1349" t="s">
        <v>123</v>
      </c>
      <c r="W14" s="1349"/>
      <c r="X14" s="1349"/>
      <c r="Y14" s="1308"/>
      <c r="Z14" s="437" t="str">
        <f>IFERROR(__xludf.DUMMYFUNCTION("IF(NOT('portfólio'!$AV$7),"""",IF($T14="""","""",IFERROR(query({AtivosDados},""select sum(""&amp;Z$3&amp;"") where Col1='""&amp;$T14&amp;""' label sum(""&amp;Z$3&amp;"") ''""),0)))"),"")</f>
        <v/>
      </c>
      <c r="AA14" s="437" t="str">
        <f>IFERROR(__xludf.DUMMYFUNCTION("IF(NOT('portfólio'!$AV$7),"""",IF($T14="""","""",IFERROR(query({AtivosDados},""select sum(""&amp;AA$3&amp;"") where Col1='""&amp;$T14&amp;""' label sum(""&amp;AA$3&amp;"") ''""),0)))"),"")</f>
        <v/>
      </c>
      <c r="AB14" s="437" t="str">
        <f>IFERROR(__xludf.DUMMYFUNCTION("IF(NOT('portfólio'!$AV$7),"""",IF($T14="""","""",IFERROR(query({AtivosDados},""select sum(""&amp;AB$3&amp;"") where Col1='""&amp;$T14&amp;""' label sum(""&amp;AB$3&amp;"") ''""),0)))"),"")</f>
        <v/>
      </c>
      <c r="AC14" s="437" t="str">
        <f>IFERROR(__xludf.DUMMYFUNCTION("IF(NOT('portfólio'!$AV$7),"""",IF($T14="""","""",IFERROR(query({AtivosDados},""select sum(""&amp;AC$3&amp;"") where Col1='""&amp;$T14&amp;""' label sum(""&amp;AC$3&amp;"") ''""),0)))"),"")</f>
        <v/>
      </c>
      <c r="AD14" s="437" t="str">
        <f>IFERROR(__xludf.DUMMYFUNCTION("IF(NOT('portfólio'!$AV$7),"""",IF($T14="""","""",IFERROR(query({AtivosDados},""select sum(""&amp;AD$3&amp;"") where Col1='""&amp;$T14&amp;""' label sum(""&amp;AD$3&amp;"") ''""),0)))"),"")</f>
        <v/>
      </c>
      <c r="AE14" s="437"/>
      <c r="AF14" s="1327"/>
      <c r="AG14" s="437"/>
      <c r="AH14" s="437"/>
      <c r="AI14" s="437"/>
      <c r="AJ14" s="437"/>
      <c r="AK14" s="437"/>
      <c r="AL14" s="437"/>
      <c r="AM14" s="437"/>
      <c r="AN14" s="437"/>
      <c r="AO14" s="437"/>
      <c r="AP14" s="437"/>
      <c r="AQ14" s="1327"/>
      <c r="AR14" s="437"/>
      <c r="AS14" s="437"/>
      <c r="AT14" s="437"/>
      <c r="AU14" s="437"/>
      <c r="AV14" s="437"/>
      <c r="AW14" s="437"/>
      <c r="AX14" s="437"/>
      <c r="AY14" s="437"/>
      <c r="AZ14" s="437"/>
      <c r="BA14" s="437"/>
      <c r="BB14" s="1327"/>
      <c r="BC14" s="437"/>
      <c r="BD14" s="437"/>
      <c r="BE14" s="437"/>
      <c r="BF14" s="437"/>
      <c r="BG14" s="437"/>
      <c r="BH14" s="437"/>
      <c r="BI14" s="437"/>
      <c r="BJ14" s="437"/>
      <c r="BK14" s="437"/>
      <c r="BL14" s="437"/>
      <c r="BM14" s="1327"/>
      <c r="BN14" s="1315"/>
      <c r="BO14" s="1315"/>
      <c r="BP14" s="1360"/>
      <c r="BQ14" s="1351"/>
      <c r="BR14" s="437"/>
      <c r="BS14" s="1353"/>
      <c r="BT14" s="437"/>
      <c r="BU14" s="1353"/>
      <c r="BV14" s="1354"/>
      <c r="BW14" s="1327"/>
      <c r="BX14" s="1349"/>
      <c r="BY14" s="1349"/>
      <c r="BZ14" s="1349"/>
      <c r="CA14" s="415"/>
      <c r="CB14" s="1355"/>
      <c r="CC14" s="1355"/>
      <c r="CD14" s="1355"/>
      <c r="CE14" s="1355"/>
      <c r="CF14" s="1355"/>
      <c r="CG14" s="1355"/>
      <c r="CH14" s="1355"/>
      <c r="CI14" s="1355"/>
      <c r="CJ14" s="1355"/>
      <c r="CK14" s="1355">
        <f t="shared" si="5"/>
        <v>0</v>
      </c>
      <c r="CL14" s="1355"/>
      <c r="CM14" s="1351"/>
      <c r="CN14" s="1351"/>
      <c r="CO14" s="1351"/>
      <c r="CP14" s="1351"/>
      <c r="CQ14" s="1351"/>
      <c r="CR14" s="1327"/>
      <c r="CS14" s="1327"/>
      <c r="CT14" s="1317"/>
      <c r="CU14" s="419"/>
      <c r="CV14" s="419"/>
      <c r="CW14" s="419"/>
      <c r="CX14" s="419"/>
      <c r="CY14" s="419"/>
      <c r="CZ14" s="419"/>
      <c r="DA14" s="419"/>
      <c r="DB14" s="419"/>
      <c r="DC14" s="419"/>
      <c r="DD14" s="419"/>
      <c r="DE14" s="419"/>
      <c r="DF14" s="419"/>
      <c r="DG14" s="419"/>
    </row>
    <row r="15" ht="18.75" customHeight="1">
      <c r="A15" s="624">
        <v>10.0</v>
      </c>
      <c r="B15" s="1361" t="s">
        <v>999</v>
      </c>
      <c r="C15" s="1362" t="s">
        <v>971</v>
      </c>
      <c r="D15" s="1363">
        <v>0.02</v>
      </c>
      <c r="E15" s="1359" t="s">
        <v>842</v>
      </c>
      <c r="G15" s="1344"/>
      <c r="H15" s="1345">
        <f t="shared" si="4"/>
        <v>0</v>
      </c>
      <c r="I15" s="1347"/>
      <c r="J15" s="1347"/>
      <c r="K15" s="1347"/>
      <c r="L15" s="1347"/>
      <c r="M15" s="1347"/>
      <c r="N15" s="1347"/>
      <c r="O15" s="1347"/>
      <c r="P15" s="1347"/>
      <c r="Q15" s="1347"/>
      <c r="R15" s="1347"/>
      <c r="S15" s="56"/>
      <c r="T15" s="419"/>
      <c r="U15" s="1348" t="s">
        <v>123</v>
      </c>
      <c r="V15" s="1349" t="s">
        <v>123</v>
      </c>
      <c r="W15" s="1349"/>
      <c r="X15" s="1349"/>
      <c r="Y15" s="1308"/>
      <c r="Z15" s="437" t="str">
        <f>IFERROR(__xludf.DUMMYFUNCTION("IF(NOT('portfólio'!$AV$7),"""",IF($T15="""","""",IFERROR(query({AtivosDados},""select sum(""&amp;Z$3&amp;"") where Col1='""&amp;$T15&amp;""' label sum(""&amp;Z$3&amp;"") ''""),0)))"),"")</f>
        <v/>
      </c>
      <c r="AA15" s="437" t="str">
        <f>IFERROR(__xludf.DUMMYFUNCTION("IF(NOT('portfólio'!$AV$7),"""",IF($T15="""","""",IFERROR(query({AtivosDados},""select sum(""&amp;AA$3&amp;"") where Col1='""&amp;$T15&amp;""' label sum(""&amp;AA$3&amp;"") ''""),0)))"),"")</f>
        <v/>
      </c>
      <c r="AB15" s="437" t="str">
        <f>IFERROR(__xludf.DUMMYFUNCTION("IF(NOT('portfólio'!$AV$7),"""",IF($T15="""","""",IFERROR(query({AtivosDados},""select sum(""&amp;AB$3&amp;"") where Col1='""&amp;$T15&amp;""' label sum(""&amp;AB$3&amp;"") ''""),0)))"),"")</f>
        <v/>
      </c>
      <c r="AC15" s="437" t="str">
        <f>IFERROR(__xludf.DUMMYFUNCTION("IF(NOT('portfólio'!$AV$7),"""",IF($T15="""","""",IFERROR(query({AtivosDados},""select sum(""&amp;AC$3&amp;"") where Col1='""&amp;$T15&amp;""' label sum(""&amp;AC$3&amp;"") ''""),0)))"),"")</f>
        <v/>
      </c>
      <c r="AD15" s="437" t="str">
        <f>IFERROR(__xludf.DUMMYFUNCTION("IF(NOT('portfólio'!$AV$7),"""",IF($T15="""","""",IFERROR(query({AtivosDados},""select sum(""&amp;AD$3&amp;"") where Col1='""&amp;$T15&amp;""' label sum(""&amp;AD$3&amp;"") ''""),0)))"),"")</f>
        <v/>
      </c>
      <c r="AE15" s="437"/>
      <c r="AF15" s="1327"/>
      <c r="AG15" s="437"/>
      <c r="AH15" s="437"/>
      <c r="AI15" s="437"/>
      <c r="AJ15" s="437"/>
      <c r="AK15" s="437"/>
      <c r="AL15" s="437"/>
      <c r="AM15" s="437"/>
      <c r="AN15" s="437"/>
      <c r="AO15" s="437"/>
      <c r="AP15" s="437"/>
      <c r="AQ15" s="1327"/>
      <c r="AR15" s="437"/>
      <c r="AS15" s="437"/>
      <c r="AT15" s="437"/>
      <c r="AU15" s="437"/>
      <c r="AV15" s="437"/>
      <c r="AW15" s="437"/>
      <c r="AX15" s="437"/>
      <c r="AY15" s="437"/>
      <c r="AZ15" s="437"/>
      <c r="BA15" s="437"/>
      <c r="BB15" s="1327"/>
      <c r="BC15" s="437"/>
      <c r="BD15" s="437"/>
      <c r="BE15" s="437"/>
      <c r="BF15" s="437"/>
      <c r="BG15" s="437"/>
      <c r="BH15" s="437"/>
      <c r="BI15" s="437"/>
      <c r="BJ15" s="437"/>
      <c r="BK15" s="437"/>
      <c r="BL15" s="437"/>
      <c r="BM15" s="1327"/>
      <c r="BN15" s="576"/>
      <c r="BO15" s="576"/>
      <c r="BP15" s="576"/>
      <c r="BQ15" s="576"/>
      <c r="BR15" s="576"/>
      <c r="BS15" s="576"/>
      <c r="BT15" s="576"/>
      <c r="BU15" s="576"/>
      <c r="BV15" s="1327"/>
      <c r="BW15" s="1364"/>
      <c r="BX15" s="1364"/>
      <c r="BY15" s="1364"/>
      <c r="BZ15" s="1364"/>
      <c r="CA15" s="1364"/>
      <c r="CB15" s="1364"/>
      <c r="CC15" s="1364"/>
      <c r="CD15" s="1364"/>
      <c r="CE15" s="1364"/>
      <c r="CF15" s="1364"/>
      <c r="CG15" s="1364"/>
      <c r="CH15" s="1364"/>
      <c r="CI15" s="1364"/>
      <c r="CJ15" s="1364"/>
      <c r="CK15" s="1364"/>
      <c r="CL15" s="1364"/>
      <c r="CM15" s="1364"/>
      <c r="CN15" s="1364"/>
      <c r="CO15" s="1364"/>
      <c r="CP15" s="1364"/>
      <c r="CQ15" s="1364"/>
      <c r="CR15" s="1364"/>
      <c r="CS15" s="1364"/>
      <c r="CT15" s="1317"/>
      <c r="CU15" s="419"/>
      <c r="CV15" s="419"/>
      <c r="CW15" s="419"/>
      <c r="CX15" s="419"/>
      <c r="CY15" s="419"/>
      <c r="CZ15" s="419"/>
      <c r="DA15" s="419"/>
      <c r="DB15" s="419"/>
      <c r="DC15" s="419"/>
      <c r="DD15" s="419"/>
      <c r="DE15" s="419"/>
      <c r="DF15" s="419"/>
      <c r="DG15" s="419"/>
    </row>
    <row r="16" ht="18.75" customHeight="1">
      <c r="G16" s="1344"/>
      <c r="H16" s="1345">
        <f t="shared" si="4"/>
        <v>0</v>
      </c>
      <c r="I16" s="1347"/>
      <c r="J16" s="1347"/>
      <c r="K16" s="1347"/>
      <c r="L16" s="1347"/>
      <c r="M16" s="1347"/>
      <c r="N16" s="1347"/>
      <c r="O16" s="1347"/>
      <c r="P16" s="1347"/>
      <c r="Q16" s="1347"/>
      <c r="R16" s="1347"/>
      <c r="S16" s="56"/>
      <c r="T16" s="419"/>
      <c r="U16" s="1348" t="s">
        <v>123</v>
      </c>
      <c r="V16" s="1349" t="s">
        <v>123</v>
      </c>
      <c r="W16" s="1349"/>
      <c r="X16" s="1349"/>
      <c r="Y16" s="1308"/>
      <c r="Z16" s="437" t="str">
        <f>IFERROR(__xludf.DUMMYFUNCTION("IF(NOT('portfólio'!$AV$7),"""",IF($T16="""","""",IFERROR(query({AtivosDados},""select sum(""&amp;Z$3&amp;"") where Col1='""&amp;$T16&amp;""' label sum(""&amp;Z$3&amp;"") ''""),0)))"),"")</f>
        <v/>
      </c>
      <c r="AA16" s="437" t="str">
        <f>IFERROR(__xludf.DUMMYFUNCTION("IF(NOT('portfólio'!$AV$7),"""",IF($T16="""","""",IFERROR(query({AtivosDados},""select sum(""&amp;AA$3&amp;"") where Col1='""&amp;$T16&amp;""' label sum(""&amp;AA$3&amp;"") ''""),0)))"),"")</f>
        <v/>
      </c>
      <c r="AB16" s="437" t="str">
        <f>IFERROR(__xludf.DUMMYFUNCTION("IF(NOT('portfólio'!$AV$7),"""",IF($T16="""","""",IFERROR(query({AtivosDados},""select sum(""&amp;AB$3&amp;"") where Col1='""&amp;$T16&amp;""' label sum(""&amp;AB$3&amp;"") ''""),0)))"),"")</f>
        <v/>
      </c>
      <c r="AC16" s="437" t="str">
        <f>IFERROR(__xludf.DUMMYFUNCTION("IF(NOT('portfólio'!$AV$7),"""",IF($T16="""","""",IFERROR(query({AtivosDados},""select sum(""&amp;AC$3&amp;"") where Col1='""&amp;$T16&amp;""' label sum(""&amp;AC$3&amp;"") ''""),0)))"),"")</f>
        <v/>
      </c>
      <c r="AD16" s="437" t="str">
        <f>IFERROR(__xludf.DUMMYFUNCTION("IF(NOT('portfólio'!$AV$7),"""",IF($T16="""","""",IFERROR(query({AtivosDados},""select sum(""&amp;AD$3&amp;"") where Col1='""&amp;$T16&amp;""' label sum(""&amp;AD$3&amp;"") ''""),0)))"),"")</f>
        <v/>
      </c>
      <c r="AE16" s="437"/>
      <c r="AF16" s="1327"/>
      <c r="AG16" s="437"/>
      <c r="AH16" s="437"/>
      <c r="AI16" s="437"/>
      <c r="AJ16" s="437"/>
      <c r="AK16" s="437"/>
      <c r="AL16" s="437"/>
      <c r="AM16" s="437"/>
      <c r="AN16" s="437"/>
      <c r="AO16" s="437"/>
      <c r="AP16" s="437"/>
      <c r="AQ16" s="1327"/>
      <c r="AR16" s="437"/>
      <c r="AS16" s="437"/>
      <c r="AT16" s="437"/>
      <c r="AU16" s="437"/>
      <c r="AV16" s="437"/>
      <c r="AW16" s="437"/>
      <c r="AX16" s="437"/>
      <c r="AY16" s="437"/>
      <c r="AZ16" s="437"/>
      <c r="BA16" s="437"/>
      <c r="BB16" s="1327"/>
      <c r="BC16" s="437"/>
      <c r="BD16" s="437"/>
      <c r="BE16" s="437"/>
      <c r="BF16" s="437"/>
      <c r="BG16" s="437"/>
      <c r="BH16" s="437"/>
      <c r="BI16" s="437"/>
      <c r="BJ16" s="437"/>
      <c r="BK16" s="437"/>
      <c r="BL16" s="437"/>
      <c r="BM16" s="1327"/>
      <c r="BN16" s="1365" t="s">
        <v>1000</v>
      </c>
      <c r="BO16" s="1366"/>
      <c r="BP16" s="1366"/>
      <c r="BQ16" s="1366"/>
      <c r="BR16" s="1366"/>
      <c r="BS16" s="1366"/>
      <c r="BT16" s="1366"/>
      <c r="BU16" s="1366"/>
      <c r="BV16" s="1366"/>
      <c r="BW16" s="1366"/>
      <c r="BX16" s="1366"/>
      <c r="BY16" s="1366"/>
      <c r="BZ16" s="1366"/>
      <c r="CA16" s="1366"/>
      <c r="CB16" s="1366"/>
      <c r="CC16" s="1367"/>
      <c r="CD16" s="1364"/>
      <c r="CE16" s="1364"/>
      <c r="CF16" s="1364"/>
      <c r="CG16" s="1364"/>
      <c r="CH16" s="1364"/>
      <c r="CI16" s="1364"/>
      <c r="CJ16" s="1364"/>
      <c r="CK16" s="1364"/>
      <c r="CL16" s="1364"/>
      <c r="CM16" s="1364"/>
      <c r="CN16" s="1364"/>
      <c r="CO16" s="1364"/>
      <c r="CP16" s="1364"/>
      <c r="CQ16" s="1364"/>
      <c r="CR16" s="1364"/>
      <c r="CS16" s="1364"/>
      <c r="CT16" s="1317"/>
      <c r="CU16" s="419"/>
      <c r="CV16" s="419"/>
      <c r="CW16" s="419"/>
      <c r="CX16" s="419"/>
      <c r="CY16" s="419"/>
      <c r="CZ16" s="419"/>
      <c r="DA16" s="419"/>
      <c r="DB16" s="419"/>
      <c r="DC16" s="419"/>
      <c r="DD16" s="419"/>
      <c r="DE16" s="419"/>
      <c r="DF16" s="419"/>
      <c r="DG16" s="419"/>
    </row>
    <row r="17" ht="18.75" customHeight="1">
      <c r="B17" s="1368" t="s">
        <v>1001</v>
      </c>
      <c r="C17" s="1159"/>
      <c r="D17" s="1159"/>
      <c r="E17" s="1159"/>
      <c r="G17" s="1344"/>
      <c r="H17" s="1345">
        <f t="shared" si="4"/>
        <v>0</v>
      </c>
      <c r="I17" s="1347"/>
      <c r="J17" s="1347"/>
      <c r="K17" s="1347"/>
      <c r="L17" s="1347"/>
      <c r="M17" s="1347"/>
      <c r="N17" s="1347"/>
      <c r="O17" s="1347"/>
      <c r="P17" s="1347"/>
      <c r="Q17" s="1347"/>
      <c r="R17" s="1347"/>
      <c r="T17" s="1369"/>
      <c r="U17" s="1349" t="s">
        <v>123</v>
      </c>
      <c r="V17" s="1349" t="s">
        <v>123</v>
      </c>
      <c r="W17" s="1349"/>
      <c r="X17" s="1349"/>
      <c r="Y17" s="1308"/>
      <c r="Z17" s="437" t="str">
        <f>IFERROR(__xludf.DUMMYFUNCTION("IF(NOT('portfólio'!$AV$7),"""",IF($T17="""","""",IFERROR(query({AtivosDados},""select sum(""&amp;Z$3&amp;"") where Col1='""&amp;$T17&amp;""' label sum(""&amp;Z$3&amp;"") ''""),0)))"),"")</f>
        <v/>
      </c>
      <c r="AA17" s="437" t="str">
        <f>IFERROR(__xludf.DUMMYFUNCTION("IF(NOT('portfólio'!$AV$7),"""",IF($T17="""","""",IFERROR(query({AtivosDados},""select sum(""&amp;AA$3&amp;"") where Col1='""&amp;$T17&amp;""' label sum(""&amp;AA$3&amp;"") ''""),0)))"),"")</f>
        <v/>
      </c>
      <c r="AB17" s="437" t="str">
        <f>IFERROR(__xludf.DUMMYFUNCTION("IF(NOT('portfólio'!$AV$7),"""",IF($T17="""","""",IFERROR(query({AtivosDados},""select sum(""&amp;AB$3&amp;"") where Col1='""&amp;$T17&amp;""' label sum(""&amp;AB$3&amp;"") ''""),0)))"),"")</f>
        <v/>
      </c>
      <c r="AC17" s="437" t="str">
        <f>IFERROR(__xludf.DUMMYFUNCTION("IF(NOT('portfólio'!$AV$7),"""",IF($T17="""","""",IFERROR(query({AtivosDados},""select sum(""&amp;AC$3&amp;"") where Col1='""&amp;$T17&amp;""' label sum(""&amp;AC$3&amp;"") ''""),0)))"),"")</f>
        <v/>
      </c>
      <c r="AD17" s="437" t="str">
        <f>IFERROR(__xludf.DUMMYFUNCTION("IF(NOT('portfólio'!$AV$7),"""",IF($T17="""","""",IFERROR(query({AtivosDados},""select sum(""&amp;AD$3&amp;"") where Col1='""&amp;$T17&amp;""' label sum(""&amp;AD$3&amp;"") ''""),0)))"),"")</f>
        <v/>
      </c>
      <c r="AE17" s="437"/>
      <c r="AF17" s="1327"/>
      <c r="AG17" s="437"/>
      <c r="AH17" s="437"/>
      <c r="AI17" s="437"/>
      <c r="AJ17" s="437"/>
      <c r="AK17" s="437"/>
      <c r="AL17" s="437"/>
      <c r="AM17" s="437"/>
      <c r="AN17" s="437"/>
      <c r="AO17" s="437"/>
      <c r="AP17" s="437"/>
      <c r="AQ17" s="1327"/>
      <c r="AR17" s="437"/>
      <c r="AS17" s="437"/>
      <c r="AT17" s="437"/>
      <c r="AU17" s="437"/>
      <c r="AV17" s="437"/>
      <c r="AW17" s="437"/>
      <c r="AX17" s="437"/>
      <c r="AY17" s="437"/>
      <c r="AZ17" s="437"/>
      <c r="BA17" s="437"/>
      <c r="BB17" s="1327"/>
      <c r="BC17" s="437"/>
      <c r="BD17" s="437"/>
      <c r="BE17" s="437"/>
      <c r="BF17" s="437"/>
      <c r="BG17" s="437"/>
      <c r="BH17" s="437"/>
      <c r="BI17" s="437"/>
      <c r="BJ17" s="437"/>
      <c r="BK17" s="437"/>
      <c r="BL17" s="437"/>
      <c r="BM17" s="1327"/>
      <c r="BN17" s="1370" t="s">
        <v>1002</v>
      </c>
      <c r="BO17" s="1370" t="s">
        <v>177</v>
      </c>
      <c r="BP17" s="1370" t="s">
        <v>259</v>
      </c>
      <c r="BQ17" s="1370" t="s">
        <v>1003</v>
      </c>
      <c r="BR17" s="1370" t="s">
        <v>978</v>
      </c>
      <c r="BS17" s="1370" t="s">
        <v>979</v>
      </c>
      <c r="BT17" s="1370" t="s">
        <v>980</v>
      </c>
      <c r="BU17" s="1370" t="s">
        <v>981</v>
      </c>
      <c r="BV17" s="1370" t="s">
        <v>264</v>
      </c>
      <c r="BW17" s="1327"/>
      <c r="BX17" s="1370" t="s">
        <v>982</v>
      </c>
      <c r="BY17" s="1370" t="s">
        <v>983</v>
      </c>
      <c r="BZ17" s="1370" t="s">
        <v>984</v>
      </c>
      <c r="CA17" s="1370" t="s">
        <v>985</v>
      </c>
      <c r="CB17" s="1370" t="s">
        <v>986</v>
      </c>
      <c r="CC17" s="1370" t="s">
        <v>1004</v>
      </c>
      <c r="CD17" s="1327"/>
      <c r="CE17" s="1327"/>
      <c r="CF17" s="1327"/>
      <c r="CG17" s="1327"/>
      <c r="CH17" s="1327"/>
      <c r="CI17" s="1327"/>
      <c r="CJ17" s="1327"/>
      <c r="CK17" s="1327"/>
      <c r="CL17" s="1327"/>
      <c r="CM17" s="1327"/>
      <c r="CN17" s="1327"/>
      <c r="CO17" s="1327"/>
      <c r="CP17" s="1327"/>
      <c r="CQ17" s="1327"/>
      <c r="CR17" s="1327"/>
      <c r="CS17" s="1327"/>
      <c r="CT17" s="1317"/>
      <c r="CU17" s="419"/>
      <c r="CV17" s="419"/>
      <c r="CW17" s="419"/>
      <c r="CX17" s="419"/>
      <c r="CY17" s="419"/>
      <c r="CZ17" s="419"/>
      <c r="DA17" s="419"/>
      <c r="DB17" s="419"/>
      <c r="DC17" s="419"/>
      <c r="DD17" s="419"/>
      <c r="DE17" s="419"/>
      <c r="DF17" s="419"/>
      <c r="DG17" s="419"/>
    </row>
    <row r="18" ht="18.75" customHeight="1">
      <c r="B18" s="1329" t="s">
        <v>1005</v>
      </c>
      <c r="C18" s="135"/>
      <c r="D18" s="1329" t="s">
        <v>1006</v>
      </c>
      <c r="E18" s="135"/>
      <c r="G18" s="1344"/>
      <c r="H18" s="1345">
        <f t="shared" si="4"/>
        <v>0</v>
      </c>
      <c r="I18" s="1347"/>
      <c r="J18" s="1347"/>
      <c r="K18" s="1347"/>
      <c r="L18" s="1347"/>
      <c r="M18" s="1347"/>
      <c r="N18" s="1347"/>
      <c r="O18" s="1347"/>
      <c r="P18" s="1347"/>
      <c r="Q18" s="1347"/>
      <c r="R18" s="1347"/>
      <c r="T18" s="1349"/>
      <c r="U18" s="1349" t="s">
        <v>123</v>
      </c>
      <c r="V18" s="1349" t="s">
        <v>123</v>
      </c>
      <c r="W18" s="1349"/>
      <c r="X18" s="1349"/>
      <c r="Y18" s="1308"/>
      <c r="Z18" s="437" t="str">
        <f>IFERROR(__xludf.DUMMYFUNCTION("IF(NOT('portfólio'!$AV$7),"""",IF($T18="""","""",IFERROR(query({AtivosDados},""select sum(""&amp;Z$3&amp;"") where Col1='""&amp;$T18&amp;""' label sum(""&amp;Z$3&amp;"") ''""),0)))"),"")</f>
        <v/>
      </c>
      <c r="AA18" s="437" t="str">
        <f>IFERROR(__xludf.DUMMYFUNCTION("IF(NOT('portfólio'!$AV$7),"""",IF($T18="""","""",IFERROR(query({AtivosDados},""select sum(""&amp;AA$3&amp;"") where Col1='""&amp;$T18&amp;""' label sum(""&amp;AA$3&amp;"") ''""),0)))"),"")</f>
        <v/>
      </c>
      <c r="AB18" s="437" t="str">
        <f>IFERROR(__xludf.DUMMYFUNCTION("IF(NOT('portfólio'!$AV$7),"""",IF($T18="""","""",IFERROR(query({AtivosDados},""select sum(""&amp;AB$3&amp;"") where Col1='""&amp;$T18&amp;""' label sum(""&amp;AB$3&amp;"") ''""),0)))"),"")</f>
        <v/>
      </c>
      <c r="AC18" s="437" t="str">
        <f>IFERROR(__xludf.DUMMYFUNCTION("IF(NOT('portfólio'!$AV$7),"""",IF($T18="""","""",IFERROR(query({AtivosDados},""select sum(""&amp;AC$3&amp;"") where Col1='""&amp;$T18&amp;""' label sum(""&amp;AC$3&amp;"") ''""),0)))"),"")</f>
        <v/>
      </c>
      <c r="AD18" s="437" t="str">
        <f>IFERROR(__xludf.DUMMYFUNCTION("IF(NOT('portfólio'!$AV$7),"""",IF($T18="""","""",IFERROR(query({AtivosDados},""select sum(""&amp;AD$3&amp;"") where Col1='""&amp;$T18&amp;""' label sum(""&amp;AD$3&amp;"") ''""),0)))"),"")</f>
        <v/>
      </c>
      <c r="AE18" s="437"/>
      <c r="AF18" s="1327"/>
      <c r="AG18" s="437"/>
      <c r="AH18" s="437"/>
      <c r="AI18" s="437"/>
      <c r="AJ18" s="437"/>
      <c r="AK18" s="437"/>
      <c r="AL18" s="437"/>
      <c r="AM18" s="437"/>
      <c r="AN18" s="437"/>
      <c r="AO18" s="437"/>
      <c r="AP18" s="437"/>
      <c r="AQ18" s="1327"/>
      <c r="AR18" s="437"/>
      <c r="AS18" s="437"/>
      <c r="AT18" s="437"/>
      <c r="AU18" s="437"/>
      <c r="AV18" s="437"/>
      <c r="AW18" s="437"/>
      <c r="AX18" s="437"/>
      <c r="AY18" s="437"/>
      <c r="AZ18" s="437"/>
      <c r="BA18" s="437"/>
      <c r="BB18" s="1327"/>
      <c r="BC18" s="437"/>
      <c r="BD18" s="437"/>
      <c r="BE18" s="437"/>
      <c r="BF18" s="437"/>
      <c r="BG18" s="437"/>
      <c r="BH18" s="437"/>
      <c r="BI18" s="437"/>
      <c r="BJ18" s="437"/>
      <c r="BK18" s="437"/>
      <c r="BL18" s="437"/>
      <c r="BM18" s="1327"/>
      <c r="BN18" s="411" t="str">
        <f>IF(NOT($BU$1),"",BO18-BV18+BQ18+SUM(CK5:CK14))</f>
        <v/>
      </c>
      <c r="BO18" s="411" t="str">
        <f>IF(NOT($BU$1),"",'portfólio'!DF63)</f>
        <v/>
      </c>
      <c r="BP18" s="411" t="str">
        <f>IF(NOT($BU$1),"",'portfólio'!DG63+SUM(CK5:CK14))</f>
        <v/>
      </c>
      <c r="BQ18" s="411" t="str">
        <f>IF(NOT($BU$1),"",BP18-BO18)</f>
        <v/>
      </c>
      <c r="BR18" s="411" t="str">
        <f>IFERROR(__xludf.DUMMYFUNCTION("IF(NOT($BU$1),"""",IFERROR(query({op.normal!$B$5:$P574},""select sum(Col15) where Col12='AÇÃO' label sum(Col15) ''""),0))"),"")</f>
        <v/>
      </c>
      <c r="BS18" s="411" t="str">
        <f>IFERROR(__xludf.DUMMYFUNCTION("IF(NOT($BU$1),"""",IFERROR(query({op.normal!$B$5:$P574},""select sum(Col15) where Col12='FII' label sum(Col15) ''""),0))"),"")</f>
        <v/>
      </c>
      <c r="BT18" s="411" t="str">
        <f>IFERROR(__xludf.DUMMYFUNCTION("IF(NOT($BU$1),"""",IFERROR(query({proventos!B4:Q574},""select sum(Col16) where Col12='AÇÃO' label sum(Col16) ''""),0))"),"")</f>
        <v/>
      </c>
      <c r="BU18" s="411" t="str">
        <f>IFERROR(__xludf.DUMMYFUNCTION("IF(NOT($BU$1),"""",IFERROR(query({proventos!B4:Q574},""select sum(Col16) where Col12='FII' label sum(Col16) ''""),0))"),"")</f>
        <v/>
      </c>
      <c r="BV18" s="411" t="str">
        <f>IF(NOT($BU$1),"",'portfólio'!DM63)</f>
        <v/>
      </c>
      <c r="BW18" s="1327"/>
      <c r="BX18" s="419" t="str">
        <f>IFERROR(__xludf.DUMMYFUNCTION("IF(NOT($BU$1),"""",IFERROR(query({op.normal!$B$5:$P574},""select sum(Col15) where Col12 like 'STOCK%' label sum(Col15) ''""),0))"),"")</f>
        <v/>
      </c>
      <c r="BY18" s="419" t="str">
        <f>IFERROR(__xludf.DUMMYFUNCTION("IF(NOT($BU$1),"""",IFERROR(query({proventos!B4:Q574},""select sum(Col16) where Col12 like 'STOCK%' label sum(Col16) ''""),0))"),"")</f>
        <v/>
      </c>
      <c r="BZ18" s="419" t="str">
        <f>IFERROR(__xludf.DUMMYFUNCTION("IF(NOT($BU$1),"""",IFERROR(query({op.normal!$B$5:$P574},""select sum(Col15) where Col12='REIT' label sum(Col15) ''""),0))"),"")</f>
        <v/>
      </c>
      <c r="CA18" s="419" t="str">
        <f>IFERROR(__xludf.DUMMYFUNCTION("IF(NOT($BU$1),"""",IFERROR(query({proventos!B4:Q574},""select sum(Col16) where Col12 like 'REIT%' label sum(Col16) ''""),0))"),"")</f>
        <v/>
      </c>
      <c r="CB18" s="419" t="str">
        <f>IF(NOT($BU$1),"",'portfólio'!DN65)</f>
        <v/>
      </c>
      <c r="CC18" s="419" t="str">
        <f>IF(NOT($BU$1),"",TRUNC(BV18-SUM(BQ18:BU18,BX18:CB18)+SUM(CK5:CK14),4))</f>
        <v/>
      </c>
      <c r="CD18" s="1327"/>
      <c r="CE18" s="1327"/>
      <c r="CF18" s="1327"/>
      <c r="CG18" s="1327"/>
      <c r="CH18" s="1327"/>
      <c r="CI18" s="1327"/>
      <c r="CJ18" s="1327"/>
      <c r="CK18" s="1327"/>
      <c r="CL18" s="1327"/>
      <c r="CM18" s="1327"/>
      <c r="CN18" s="1327"/>
      <c r="CO18" s="1327"/>
      <c r="CP18" s="1327"/>
      <c r="CQ18" s="1327"/>
      <c r="CR18" s="1327"/>
      <c r="CS18" s="1327"/>
      <c r="CT18" s="1317"/>
      <c r="CU18" s="419"/>
      <c r="CV18" s="419"/>
      <c r="CW18" s="419"/>
      <c r="CX18" s="419"/>
      <c r="CY18" s="419"/>
      <c r="CZ18" s="419"/>
      <c r="DA18" s="419"/>
      <c r="DB18" s="419"/>
      <c r="DC18" s="419"/>
      <c r="DD18" s="419"/>
      <c r="DE18" s="419"/>
      <c r="DF18" s="419"/>
      <c r="DG18" s="419"/>
    </row>
    <row r="19" ht="18.75" customHeight="1">
      <c r="B19" s="1371" t="s">
        <v>1007</v>
      </c>
      <c r="C19" s="1372" t="s">
        <v>218</v>
      </c>
      <c r="D19" s="1373" t="s">
        <v>966</v>
      </c>
      <c r="E19" s="1374"/>
      <c r="G19" s="1344"/>
      <c r="H19" s="1345">
        <f t="shared" si="4"/>
        <v>0</v>
      </c>
      <c r="I19" s="1347"/>
      <c r="J19" s="1347"/>
      <c r="K19" s="1347"/>
      <c r="L19" s="1347"/>
      <c r="M19" s="1347"/>
      <c r="N19" s="1347"/>
      <c r="O19" s="1347"/>
      <c r="P19" s="1347"/>
      <c r="Q19" s="1347"/>
      <c r="R19" s="1347"/>
      <c r="T19" s="1349"/>
      <c r="U19" s="1349" t="s">
        <v>123</v>
      </c>
      <c r="V19" s="1349" t="s">
        <v>123</v>
      </c>
      <c r="W19" s="1349"/>
      <c r="X19" s="1349"/>
      <c r="Y19" s="1308"/>
      <c r="Z19" s="437" t="str">
        <f>IFERROR(__xludf.DUMMYFUNCTION("IF(NOT('portfólio'!$AV$7),"""",IF($T19="""","""",IFERROR(query({AtivosDados},""select sum(""&amp;Z$3&amp;"") where Col1='""&amp;$T19&amp;""' label sum(""&amp;Z$3&amp;"") ''""),0)))"),"")</f>
        <v/>
      </c>
      <c r="AA19" s="437" t="str">
        <f>IFERROR(__xludf.DUMMYFUNCTION("IF(NOT('portfólio'!$AV$7),"""",IF($T19="""","""",IFERROR(query({AtivosDados},""select sum(""&amp;AA$3&amp;"") where Col1='""&amp;$T19&amp;""' label sum(""&amp;AA$3&amp;"") ''""),0)))"),"")</f>
        <v/>
      </c>
      <c r="AB19" s="437" t="str">
        <f>IFERROR(__xludf.DUMMYFUNCTION("IF(NOT('portfólio'!$AV$7),"""",IF($T19="""","""",IFERROR(query({AtivosDados},""select sum(""&amp;AB$3&amp;"") where Col1='""&amp;$T19&amp;""' label sum(""&amp;AB$3&amp;"") ''""),0)))"),"")</f>
        <v/>
      </c>
      <c r="AC19" s="437" t="str">
        <f>IFERROR(__xludf.DUMMYFUNCTION("IF(NOT('portfólio'!$AV$7),"""",IF($T19="""","""",IFERROR(query({AtivosDados},""select sum(""&amp;AC$3&amp;"") where Col1='""&amp;$T19&amp;""' label sum(""&amp;AC$3&amp;"") ''""),0)))"),"")</f>
        <v/>
      </c>
      <c r="AD19" s="437" t="str">
        <f>IFERROR(__xludf.DUMMYFUNCTION("IF(NOT('portfólio'!$AV$7),"""",IF($T19="""","""",IFERROR(query({AtivosDados},""select sum(""&amp;AD$3&amp;"") where Col1='""&amp;$T19&amp;""' label sum(""&amp;AD$3&amp;"") ''""),0)))"),"")</f>
        <v/>
      </c>
      <c r="AE19" s="437"/>
      <c r="AF19" s="1327"/>
      <c r="AG19" s="437"/>
      <c r="AH19" s="437"/>
      <c r="AI19" s="437"/>
      <c r="AJ19" s="437"/>
      <c r="AK19" s="437"/>
      <c r="AL19" s="437"/>
      <c r="AM19" s="437"/>
      <c r="AN19" s="437"/>
      <c r="AO19" s="437"/>
      <c r="AP19" s="437"/>
      <c r="AQ19" s="1327"/>
      <c r="AR19" s="437"/>
      <c r="AS19" s="437"/>
      <c r="AT19" s="437"/>
      <c r="AU19" s="437"/>
      <c r="AV19" s="437"/>
      <c r="AW19" s="437"/>
      <c r="AX19" s="437"/>
      <c r="AY19" s="437"/>
      <c r="AZ19" s="437"/>
      <c r="BA19" s="437"/>
      <c r="BB19" s="1327"/>
      <c r="BC19" s="437"/>
      <c r="BD19" s="437"/>
      <c r="BE19" s="437"/>
      <c r="BF19" s="437"/>
      <c r="BG19" s="437"/>
      <c r="BH19" s="437"/>
      <c r="BI19" s="437"/>
      <c r="BJ19" s="437"/>
      <c r="BK19" s="437"/>
      <c r="BL19" s="437"/>
      <c r="BM19" s="1327"/>
      <c r="BN19" s="1308"/>
      <c r="BO19" s="1308"/>
      <c r="BP19" s="1308"/>
      <c r="BQ19" s="1308"/>
      <c r="BR19" s="1308"/>
      <c r="BS19" s="1308"/>
      <c r="BT19" s="1308"/>
      <c r="BU19" s="1308"/>
      <c r="BV19" s="1308"/>
      <c r="BW19" s="1327"/>
      <c r="BX19" s="1327"/>
      <c r="BY19" s="1327"/>
      <c r="BZ19" s="1327"/>
      <c r="CA19" s="1327"/>
      <c r="CB19" s="1327"/>
      <c r="CC19" s="1375"/>
      <c r="CD19" s="1327"/>
      <c r="CE19" s="1327"/>
      <c r="CF19" s="1327"/>
      <c r="CG19" s="1327"/>
      <c r="CH19" s="1327"/>
      <c r="CI19" s="1327"/>
      <c r="CJ19" s="1327"/>
      <c r="CK19" s="1327"/>
      <c r="CL19" s="1327"/>
      <c r="CM19" s="1327"/>
      <c r="CN19" s="1327"/>
      <c r="CO19" s="1327"/>
      <c r="CP19" s="1327"/>
      <c r="CQ19" s="1327"/>
      <c r="CR19" s="1327"/>
      <c r="CS19" s="1327"/>
      <c r="CT19" s="1317"/>
      <c r="CU19" s="419"/>
      <c r="CV19" s="419"/>
      <c r="CW19" s="419"/>
      <c r="CX19" s="419"/>
      <c r="CY19" s="419"/>
      <c r="CZ19" s="419"/>
      <c r="DA19" s="419"/>
      <c r="DB19" s="419"/>
      <c r="DC19" s="419"/>
      <c r="DD19" s="419"/>
      <c r="DE19" s="419"/>
      <c r="DF19" s="419"/>
      <c r="DG19" s="419"/>
    </row>
    <row r="20" ht="18.75" customHeight="1">
      <c r="B20" s="818"/>
      <c r="C20" s="1372" t="s">
        <v>92</v>
      </c>
      <c r="D20" s="1373" t="s">
        <v>966</v>
      </c>
      <c r="E20" s="1374"/>
      <c r="G20" s="1344"/>
      <c r="H20" s="1345">
        <f t="shared" si="4"/>
        <v>0</v>
      </c>
      <c r="I20" s="1347"/>
      <c r="J20" s="1347"/>
      <c r="K20" s="1347"/>
      <c r="L20" s="1347"/>
      <c r="M20" s="1347"/>
      <c r="N20" s="1347"/>
      <c r="O20" s="1347"/>
      <c r="P20" s="1347"/>
      <c r="Q20" s="1347"/>
      <c r="R20" s="1347"/>
      <c r="T20" s="1349"/>
      <c r="U20" s="1349" t="s">
        <v>123</v>
      </c>
      <c r="V20" s="1349" t="s">
        <v>123</v>
      </c>
      <c r="W20" s="1349"/>
      <c r="X20" s="1349"/>
      <c r="Y20" s="1308"/>
      <c r="Z20" s="437" t="str">
        <f>IFERROR(__xludf.DUMMYFUNCTION("IF(NOT('portfólio'!$AV$7),"""",IF($T20="""","""",IFERROR(query({AtivosDados},""select sum(""&amp;Z$3&amp;"") where Col1='""&amp;$T20&amp;""' label sum(""&amp;Z$3&amp;"") ''""),0)))"),"")</f>
        <v/>
      </c>
      <c r="AA20" s="437" t="str">
        <f>IFERROR(__xludf.DUMMYFUNCTION("IF(NOT('portfólio'!$AV$7),"""",IF($T20="""","""",IFERROR(query({AtivosDados},""select sum(""&amp;AA$3&amp;"") where Col1='""&amp;$T20&amp;""' label sum(""&amp;AA$3&amp;"") ''""),0)))"),"")</f>
        <v/>
      </c>
      <c r="AB20" s="437" t="str">
        <f>IFERROR(__xludf.DUMMYFUNCTION("IF(NOT('portfólio'!$AV$7),"""",IF($T20="""","""",IFERROR(query({AtivosDados},""select sum(""&amp;AB$3&amp;"") where Col1='""&amp;$T20&amp;""' label sum(""&amp;AB$3&amp;"") ''""),0)))"),"")</f>
        <v/>
      </c>
      <c r="AC20" s="437" t="str">
        <f>IFERROR(__xludf.DUMMYFUNCTION("IF(NOT('portfólio'!$AV$7),"""",IF($T20="""","""",IFERROR(query({AtivosDados},""select sum(""&amp;AC$3&amp;"") where Col1='""&amp;$T20&amp;""' label sum(""&amp;AC$3&amp;"") ''""),0)))"),"")</f>
        <v/>
      </c>
      <c r="AD20" s="437" t="str">
        <f>IFERROR(__xludf.DUMMYFUNCTION("IF(NOT('portfólio'!$AV$7),"""",IF($T20="""","""",IFERROR(query({AtivosDados},""select sum(""&amp;AD$3&amp;"") where Col1='""&amp;$T20&amp;""' label sum(""&amp;AD$3&amp;"") ''""),0)))"),"")</f>
        <v/>
      </c>
      <c r="AE20" s="437"/>
      <c r="AF20" s="1327"/>
      <c r="AG20" s="437"/>
      <c r="AH20" s="437"/>
      <c r="AI20" s="437"/>
      <c r="AJ20" s="437"/>
      <c r="AK20" s="437"/>
      <c r="AL20" s="437"/>
      <c r="AM20" s="437"/>
      <c r="AN20" s="437"/>
      <c r="AO20" s="437"/>
      <c r="AP20" s="437"/>
      <c r="AQ20" s="1327"/>
      <c r="AR20" s="437"/>
      <c r="AS20" s="437"/>
      <c r="AT20" s="437"/>
      <c r="AU20" s="437"/>
      <c r="AV20" s="437"/>
      <c r="AW20" s="437"/>
      <c r="AX20" s="437"/>
      <c r="AY20" s="437"/>
      <c r="AZ20" s="437"/>
      <c r="BA20" s="437"/>
      <c r="BB20" s="1327"/>
      <c r="BC20" s="437"/>
      <c r="BD20" s="437"/>
      <c r="BE20" s="437"/>
      <c r="BF20" s="437"/>
      <c r="BG20" s="437"/>
      <c r="BH20" s="437"/>
      <c r="BI20" s="437"/>
      <c r="BJ20" s="437"/>
      <c r="BK20" s="437"/>
      <c r="BL20" s="437"/>
      <c r="BM20" s="1327"/>
      <c r="BN20" s="382" t="s">
        <v>1008</v>
      </c>
      <c r="BO20" s="135"/>
      <c r="BP20" s="135"/>
      <c r="BQ20" s="135"/>
      <c r="BR20" s="135"/>
      <c r="BS20" s="135"/>
      <c r="BT20" s="135"/>
      <c r="BU20" s="135"/>
      <c r="BV20" s="135"/>
      <c r="BW20" s="1327"/>
      <c r="BX20" s="1327"/>
      <c r="BY20" s="1327"/>
      <c r="BZ20" s="1327"/>
      <c r="CA20" s="1327"/>
      <c r="CB20" s="1327"/>
      <c r="CC20" s="1327"/>
      <c r="CD20" s="1327"/>
      <c r="CE20" s="1327"/>
      <c r="CF20" s="1327"/>
      <c r="CG20" s="1327"/>
      <c r="CH20" s="1327"/>
      <c r="CI20" s="1327"/>
      <c r="CJ20" s="1327"/>
      <c r="CK20" s="1327"/>
      <c r="CL20" s="1327"/>
      <c r="CM20" s="1327"/>
      <c r="CN20" s="1327"/>
      <c r="CO20" s="1327"/>
      <c r="CP20" s="1327"/>
      <c r="CQ20" s="1327"/>
      <c r="CR20" s="1327"/>
      <c r="CS20" s="1327"/>
      <c r="CT20" s="1317"/>
      <c r="CU20" s="419"/>
      <c r="CV20" s="419"/>
      <c r="CW20" s="419"/>
      <c r="CX20" s="419"/>
      <c r="CY20" s="419"/>
      <c r="CZ20" s="419"/>
      <c r="DA20" s="419"/>
      <c r="DB20" s="419"/>
      <c r="DC20" s="419"/>
      <c r="DD20" s="419"/>
      <c r="DE20" s="419"/>
      <c r="DF20" s="419"/>
      <c r="DG20" s="419"/>
    </row>
    <row r="21" ht="18.75" customHeight="1">
      <c r="B21" s="1371" t="s">
        <v>1009</v>
      </c>
      <c r="C21" s="1372" t="s">
        <v>218</v>
      </c>
      <c r="D21" s="1373" t="s">
        <v>967</v>
      </c>
      <c r="E21" s="1374"/>
      <c r="G21" s="1344"/>
      <c r="H21" s="1345">
        <f t="shared" si="4"/>
        <v>0</v>
      </c>
      <c r="I21" s="1347"/>
      <c r="J21" s="1347"/>
      <c r="K21" s="1347"/>
      <c r="L21" s="1347"/>
      <c r="M21" s="1347"/>
      <c r="N21" s="1347"/>
      <c r="O21" s="1347"/>
      <c r="P21" s="1347"/>
      <c r="Q21" s="1347"/>
      <c r="R21" s="1347"/>
      <c r="T21" s="1349"/>
      <c r="U21" s="1349" t="s">
        <v>123</v>
      </c>
      <c r="V21" s="1349" t="s">
        <v>123</v>
      </c>
      <c r="W21" s="1349"/>
      <c r="X21" s="1349"/>
      <c r="Y21" s="1308"/>
      <c r="Z21" s="437" t="str">
        <f>IFERROR(__xludf.DUMMYFUNCTION("IF(NOT('portfólio'!$AV$7),"""",IF($T21="""","""",IFERROR(query({AtivosDados},""select sum(""&amp;Z$3&amp;"") where Col1='""&amp;$T21&amp;""' label sum(""&amp;Z$3&amp;"") ''""),0)))"),"")</f>
        <v/>
      </c>
      <c r="AA21" s="437" t="str">
        <f>IFERROR(__xludf.DUMMYFUNCTION("IF(NOT('portfólio'!$AV$7),"""",IF($T21="""","""",IFERROR(query({AtivosDados},""select sum(""&amp;AA$3&amp;"") where Col1='""&amp;$T21&amp;""' label sum(""&amp;AA$3&amp;"") ''""),0)))"),"")</f>
        <v/>
      </c>
      <c r="AB21" s="437" t="str">
        <f>IFERROR(__xludf.DUMMYFUNCTION("IF(NOT('portfólio'!$AV$7),"""",IF($T21="""","""",IFERROR(query({AtivosDados},""select sum(""&amp;AB$3&amp;"") where Col1='""&amp;$T21&amp;""' label sum(""&amp;AB$3&amp;"") ''""),0)))"),"")</f>
        <v/>
      </c>
      <c r="AC21" s="437" t="str">
        <f>IFERROR(__xludf.DUMMYFUNCTION("IF(NOT('portfólio'!$AV$7),"""",IF($T21="""","""",IFERROR(query({AtivosDados},""select sum(""&amp;AC$3&amp;"") where Col1='""&amp;$T21&amp;""' label sum(""&amp;AC$3&amp;"") ''""),0)))"),"")</f>
        <v/>
      </c>
      <c r="AD21" s="437" t="str">
        <f>IFERROR(__xludf.DUMMYFUNCTION("IF(NOT('portfólio'!$AV$7),"""",IF($T21="""","""",IFERROR(query({AtivosDados},""select sum(""&amp;AD$3&amp;"") where Col1='""&amp;$T21&amp;""' label sum(""&amp;AD$3&amp;"") ''""),0)))"),"")</f>
        <v/>
      </c>
      <c r="AE21" s="437"/>
      <c r="AF21" s="1327"/>
      <c r="AG21" s="437"/>
      <c r="AH21" s="437"/>
      <c r="AI21" s="437"/>
      <c r="AJ21" s="437"/>
      <c r="AK21" s="437"/>
      <c r="AL21" s="437"/>
      <c r="AM21" s="437"/>
      <c r="AN21" s="437"/>
      <c r="AO21" s="437"/>
      <c r="AP21" s="437"/>
      <c r="AQ21" s="1327"/>
      <c r="AR21" s="437"/>
      <c r="AS21" s="437"/>
      <c r="AT21" s="437"/>
      <c r="AU21" s="437"/>
      <c r="AV21" s="437"/>
      <c r="AW21" s="437"/>
      <c r="AX21" s="437"/>
      <c r="AY21" s="437"/>
      <c r="AZ21" s="437"/>
      <c r="BA21" s="437"/>
      <c r="BB21" s="1327"/>
      <c r="BC21" s="437"/>
      <c r="BD21" s="437"/>
      <c r="BE21" s="437"/>
      <c r="BF21" s="437"/>
      <c r="BG21" s="437"/>
      <c r="BH21" s="437"/>
      <c r="BI21" s="437"/>
      <c r="BJ21" s="437"/>
      <c r="BK21" s="437"/>
      <c r="BL21" s="437"/>
      <c r="BM21" s="1327"/>
      <c r="BN21" s="382" t="s">
        <v>959</v>
      </c>
      <c r="BO21" s="382" t="s">
        <v>960</v>
      </c>
      <c r="BP21" s="382"/>
      <c r="BQ21" s="382" t="s">
        <v>258</v>
      </c>
      <c r="BR21" s="382" t="s">
        <v>259</v>
      </c>
      <c r="BS21" s="382" t="s">
        <v>216</v>
      </c>
      <c r="BT21" s="382" t="s">
        <v>264</v>
      </c>
      <c r="BU21" s="382" t="s">
        <v>216</v>
      </c>
      <c r="BV21" s="382" t="s">
        <v>267</v>
      </c>
      <c r="BW21" s="1327"/>
      <c r="BX21" s="382" t="s">
        <v>177</v>
      </c>
      <c r="BY21" s="1327"/>
      <c r="BZ21" s="1327"/>
      <c r="CA21" s="1327"/>
      <c r="CB21" s="1327"/>
      <c r="CC21" s="1327"/>
      <c r="CD21" s="1327"/>
      <c r="CE21" s="1327"/>
      <c r="CF21" s="1327"/>
      <c r="CG21" s="1327"/>
      <c r="CH21" s="1327"/>
      <c r="CI21" s="1327"/>
      <c r="CJ21" s="1327"/>
      <c r="CK21" s="1327"/>
      <c r="CL21" s="1327"/>
      <c r="CM21" s="1327"/>
      <c r="CN21" s="1327"/>
      <c r="CO21" s="1327"/>
      <c r="CP21" s="1327"/>
      <c r="CQ21" s="1327"/>
      <c r="CR21" s="1327"/>
      <c r="CS21" s="1327"/>
      <c r="CT21" s="1317"/>
      <c r="CU21" s="419"/>
      <c r="CV21" s="419"/>
      <c r="CW21" s="419"/>
      <c r="CX21" s="419"/>
      <c r="CY21" s="419"/>
      <c r="CZ21" s="419"/>
      <c r="DA21" s="419"/>
      <c r="DB21" s="419"/>
      <c r="DC21" s="419"/>
      <c r="DD21" s="419"/>
      <c r="DE21" s="419"/>
      <c r="DF21" s="419"/>
      <c r="DG21" s="419"/>
    </row>
    <row r="22" ht="18.75" customHeight="1">
      <c r="B22" s="818"/>
      <c r="C22" s="1372" t="s">
        <v>1010</v>
      </c>
      <c r="D22" s="1373" t="s">
        <v>967</v>
      </c>
      <c r="E22" s="1374"/>
      <c r="G22" s="1344"/>
      <c r="H22" s="1345">
        <f t="shared" si="4"/>
        <v>0</v>
      </c>
      <c r="I22" s="1347"/>
      <c r="J22" s="1347"/>
      <c r="K22" s="1347"/>
      <c r="L22" s="1347"/>
      <c r="M22" s="1347"/>
      <c r="N22" s="1347"/>
      <c r="O22" s="1347"/>
      <c r="P22" s="1347"/>
      <c r="Q22" s="1347"/>
      <c r="R22" s="1347"/>
      <c r="T22" s="1349"/>
      <c r="U22" s="1349" t="s">
        <v>123</v>
      </c>
      <c r="V22" s="1349" t="s">
        <v>123</v>
      </c>
      <c r="W22" s="1349"/>
      <c r="X22" s="1349"/>
      <c r="Y22" s="1308"/>
      <c r="Z22" s="437" t="str">
        <f>IFERROR(__xludf.DUMMYFUNCTION("IF(NOT('portfólio'!$AV$7),"""",IF($T22="""","""",IFERROR(query({AtivosDados},""select sum(""&amp;Z$3&amp;"") where Col1='""&amp;$T22&amp;""' label sum(""&amp;Z$3&amp;"") ''""),0)))"),"")</f>
        <v/>
      </c>
      <c r="AA22" s="437" t="str">
        <f>IFERROR(__xludf.DUMMYFUNCTION("IF(NOT('portfólio'!$AV$7),"""",IF($T22="""","""",IFERROR(query({AtivosDados},""select sum(""&amp;AA$3&amp;"") where Col1='""&amp;$T22&amp;""' label sum(""&amp;AA$3&amp;"") ''""),0)))"),"")</f>
        <v/>
      </c>
      <c r="AB22" s="437" t="str">
        <f>IFERROR(__xludf.DUMMYFUNCTION("IF(NOT('portfólio'!$AV$7),"""",IF($T22="""","""",IFERROR(query({AtivosDados},""select sum(""&amp;AB$3&amp;"") where Col1='""&amp;$T22&amp;""' label sum(""&amp;AB$3&amp;"") ''""),0)))"),"")</f>
        <v/>
      </c>
      <c r="AC22" s="437" t="str">
        <f>IFERROR(__xludf.DUMMYFUNCTION("IF(NOT('portfólio'!$AV$7),"""",IF($T22="""","""",IFERROR(query({AtivosDados},""select sum(""&amp;AC$3&amp;"") where Col1='""&amp;$T22&amp;""' label sum(""&amp;AC$3&amp;"") ''""),0)))"),"")</f>
        <v/>
      </c>
      <c r="AD22" s="437" t="str">
        <f>IFERROR(__xludf.DUMMYFUNCTION("IF(NOT('portfólio'!$AV$7),"""",IF($T22="""","""",IFERROR(query({AtivosDados},""select sum(""&amp;AD$3&amp;"") where Col1='""&amp;$T22&amp;""' label sum(""&amp;AD$3&amp;"") ''""),0)))"),"")</f>
        <v/>
      </c>
      <c r="AE22" s="437"/>
      <c r="AF22" s="1327"/>
      <c r="AG22" s="437"/>
      <c r="AH22" s="437"/>
      <c r="AI22" s="437"/>
      <c r="AJ22" s="437"/>
      <c r="AK22" s="437"/>
      <c r="AL22" s="437"/>
      <c r="AM22" s="437"/>
      <c r="AN22" s="437"/>
      <c r="AO22" s="437"/>
      <c r="AP22" s="437"/>
      <c r="AQ22" s="1327"/>
      <c r="AR22" s="437"/>
      <c r="AS22" s="437"/>
      <c r="AT22" s="437"/>
      <c r="AU22" s="437"/>
      <c r="AV22" s="437"/>
      <c r="AW22" s="437"/>
      <c r="AX22" s="437"/>
      <c r="AY22" s="437"/>
      <c r="AZ22" s="437"/>
      <c r="BA22" s="437"/>
      <c r="BB22" s="1327"/>
      <c r="BC22" s="437"/>
      <c r="BD22" s="437"/>
      <c r="BE22" s="437"/>
      <c r="BF22" s="437"/>
      <c r="BG22" s="437"/>
      <c r="BH22" s="437"/>
      <c r="BI22" s="437"/>
      <c r="BJ22" s="437"/>
      <c r="BK22" s="437"/>
      <c r="BL22" s="437"/>
      <c r="BM22" s="1327"/>
      <c r="BN22" s="419" t="str">
        <f t="shared" ref="BN22:BN23" si="6">CS5</f>
        <v>Renda Fixa</v>
      </c>
      <c r="BO22" s="419" t="str">
        <f t="shared" ref="BO22:BO23" si="7">UPPER(CS5)</f>
        <v>RENDA FIXA</v>
      </c>
      <c r="BP22" s="1376" t="str">
        <f>IFERROR(__xludf.DUMMYFUNCTION("IF(BN5="""","""",IFERROR(query({BN5:BU14},CONCATENATE(""select sum(Col3) where Col1 = '"",CS5,""' label sum(Col3) ''"")),0))"),"")</f>
        <v/>
      </c>
      <c r="BQ22" s="411">
        <f>IFERROR(__xludf.DUMMYFUNCTION("IF(BN5="""",0,query({BN5:BU14},CONCATENATE(""select sum(Col4) where Col1 = '"",CS5,""' label sum(Col4) ''"")))"),0.0)</f>
        <v>0</v>
      </c>
      <c r="BR22" s="411" t="str">
        <f>IFERROR(__xludf.DUMMYFUNCTION("IF(BN5="""","""",query({BN5:BU14},CONCATENATE(""select sum(Col5) where Col1 = '"",CS5,""' label sum(Col5) ''"")))"),"")</f>
        <v/>
      </c>
      <c r="BS22" s="1376" t="str">
        <f t="shared" ref="BS22:BS24" si="8">IFERROR(BR22/SUM(BR$22:BR$24),"")</f>
        <v/>
      </c>
      <c r="BT22" s="411" t="str">
        <f>IFERROR(__xludf.DUMMYFUNCTION("IF(BN5="""","""",query({BN5:BU14},CONCATENATE(""select sum(Col7) where Col1 = '"",CS5,""' label sum(Col7) ''"")))"),"")</f>
        <v/>
      </c>
      <c r="BU22" s="1377">
        <f t="shared" ref="BU22:BU24" si="9">IFERROR(BT22/BQ22,0)</f>
        <v>0</v>
      </c>
      <c r="BV22" s="412">
        <v>1.0</v>
      </c>
      <c r="BW22" s="1327"/>
      <c r="BX22" s="1349" t="str">
        <f>IFERROR(__xludf.DUMMYFUNCTION("IF(BN5="""","""",query({BN5:BX14},CONCATENATE(""select sum(Col11) where Col1 = '"",CS5,""' label sum(Col11) ''"")))"),"")</f>
        <v/>
      </c>
      <c r="BY22" s="1327"/>
      <c r="BZ22" s="1327"/>
      <c r="CA22" s="1327"/>
      <c r="CB22" s="1327"/>
      <c r="CC22" s="1327"/>
      <c r="CD22" s="1327"/>
      <c r="CE22" s="1327"/>
      <c r="CF22" s="1327"/>
      <c r="CG22" s="1327"/>
      <c r="CH22" s="1327"/>
      <c r="CI22" s="1327"/>
      <c r="CJ22" s="1327"/>
      <c r="CK22" s="1327"/>
      <c r="CL22" s="1327"/>
      <c r="CM22" s="1327"/>
      <c r="CN22" s="1327"/>
      <c r="CO22" s="1327"/>
      <c r="CP22" s="1327"/>
      <c r="CQ22" s="1327"/>
      <c r="CR22" s="1327"/>
      <c r="CS22" s="1327"/>
      <c r="CT22" s="1317"/>
      <c r="CU22" s="419"/>
      <c r="CV22" s="419"/>
      <c r="CW22" s="419"/>
      <c r="CX22" s="419"/>
      <c r="CY22" s="419"/>
      <c r="CZ22" s="419"/>
      <c r="DA22" s="419"/>
      <c r="DB22" s="419"/>
      <c r="DC22" s="419"/>
      <c r="DD22" s="419"/>
      <c r="DE22" s="419"/>
      <c r="DF22" s="419"/>
      <c r="DG22" s="419"/>
    </row>
    <row r="23" ht="18.75" customHeight="1">
      <c r="B23" s="1371" t="s">
        <v>1011</v>
      </c>
      <c r="C23" s="1372" t="s">
        <v>218</v>
      </c>
      <c r="D23" s="1373" t="s">
        <v>968</v>
      </c>
      <c r="E23" s="1374"/>
      <c r="G23" s="1344"/>
      <c r="H23" s="1345">
        <f t="shared" si="4"/>
        <v>0</v>
      </c>
      <c r="I23" s="1347"/>
      <c r="J23" s="1347"/>
      <c r="K23" s="1347"/>
      <c r="L23" s="1347"/>
      <c r="M23" s="1347"/>
      <c r="N23" s="1347"/>
      <c r="O23" s="1347"/>
      <c r="P23" s="1347"/>
      <c r="Q23" s="1347"/>
      <c r="R23" s="1347"/>
      <c r="T23" s="1349"/>
      <c r="U23" s="1349" t="s">
        <v>123</v>
      </c>
      <c r="V23" s="1349" t="s">
        <v>123</v>
      </c>
      <c r="W23" s="1349"/>
      <c r="X23" s="1349"/>
      <c r="Y23" s="1308"/>
      <c r="Z23" s="437" t="str">
        <f>IFERROR(__xludf.DUMMYFUNCTION("IF(NOT('portfólio'!$AV$7),"""",IF($T23="""","""",IFERROR(query({AtivosDados},""select sum(""&amp;Z$3&amp;"") where Col1='""&amp;$T23&amp;""' label sum(""&amp;Z$3&amp;"") ''""),0)))"),"")</f>
        <v/>
      </c>
      <c r="AA23" s="437" t="str">
        <f>IFERROR(__xludf.DUMMYFUNCTION("IF(NOT('portfólio'!$AV$7),"""",IF($T23="""","""",IFERROR(query({AtivosDados},""select sum(""&amp;AA$3&amp;"") where Col1='""&amp;$T23&amp;""' label sum(""&amp;AA$3&amp;"") ''""),0)))"),"")</f>
        <v/>
      </c>
      <c r="AB23" s="437" t="str">
        <f>IFERROR(__xludf.DUMMYFUNCTION("IF(NOT('portfólio'!$AV$7),"""",IF($T23="""","""",IFERROR(query({AtivosDados},""select sum(""&amp;AB$3&amp;"") where Col1='""&amp;$T23&amp;""' label sum(""&amp;AB$3&amp;"") ''""),0)))"),"")</f>
        <v/>
      </c>
      <c r="AC23" s="437" t="str">
        <f>IFERROR(__xludf.DUMMYFUNCTION("IF(NOT('portfólio'!$AV$7),"""",IF($T23="""","""",IFERROR(query({AtivosDados},""select sum(""&amp;AC$3&amp;"") where Col1='""&amp;$T23&amp;""' label sum(""&amp;AC$3&amp;"") ''""),0)))"),"")</f>
        <v/>
      </c>
      <c r="AD23" s="437" t="str">
        <f>IFERROR(__xludf.DUMMYFUNCTION("IF(NOT('portfólio'!$AV$7),"""",IF($T23="""","""",IFERROR(query({AtivosDados},""select sum(""&amp;AD$3&amp;"") where Col1='""&amp;$T23&amp;""' label sum(""&amp;AD$3&amp;"") ''""),0)))"),"")</f>
        <v/>
      </c>
      <c r="AE23" s="437"/>
      <c r="AF23" s="1327"/>
      <c r="AG23" s="437"/>
      <c r="AH23" s="437"/>
      <c r="AI23" s="437"/>
      <c r="AJ23" s="437"/>
      <c r="AK23" s="437"/>
      <c r="AL23" s="437"/>
      <c r="AM23" s="437"/>
      <c r="AN23" s="437"/>
      <c r="AO23" s="437"/>
      <c r="AP23" s="437"/>
      <c r="AQ23" s="1327"/>
      <c r="AR23" s="437"/>
      <c r="AS23" s="437"/>
      <c r="AT23" s="437"/>
      <c r="AU23" s="437"/>
      <c r="AV23" s="437"/>
      <c r="AW23" s="437"/>
      <c r="AX23" s="437"/>
      <c r="AY23" s="437"/>
      <c r="AZ23" s="437"/>
      <c r="BA23" s="437"/>
      <c r="BB23" s="1327"/>
      <c r="BC23" s="437"/>
      <c r="BD23" s="437"/>
      <c r="BE23" s="437"/>
      <c r="BF23" s="437"/>
      <c r="BG23" s="437"/>
      <c r="BH23" s="437"/>
      <c r="BI23" s="437"/>
      <c r="BJ23" s="437"/>
      <c r="BK23" s="437"/>
      <c r="BL23" s="437"/>
      <c r="BM23" s="1327"/>
      <c r="BN23" s="419" t="str">
        <f t="shared" si="6"/>
        <v>Renda Variável</v>
      </c>
      <c r="BO23" s="419" t="str">
        <f t="shared" si="7"/>
        <v>RENDA VARIÁVEL</v>
      </c>
      <c r="BP23" s="1376" t="str">
        <f>IFERROR(__xludf.DUMMYFUNCTION("IF(BN5="""","""",IFERROR(query({BN5:BU14},CONCATENATE(""select sum(Col3) where Col1 = '"",CS6,""' label sum(Col3) ''"")),0))"),"")</f>
        <v/>
      </c>
      <c r="BQ23" s="411">
        <f>IFERROR(__xludf.DUMMYFUNCTION("IF(BN5="""",0,query({BN5:BU14},CONCATENATE(""select sum(Col4) where Col1 = '"",CS6,""' label sum(Col4) ''"")))"),0.0)</f>
        <v>0</v>
      </c>
      <c r="BR23" s="411" t="str">
        <f>IFERROR(__xludf.DUMMYFUNCTION("IF(BN5="""","""",query({BN5:BU14},CONCATENATE(""select sum(Col5) where Col1 = '"",CS6,""' label sum(Col5) ''"")))"),"")</f>
        <v/>
      </c>
      <c r="BS23" s="1376" t="str">
        <f t="shared" si="8"/>
        <v/>
      </c>
      <c r="BT23" s="411" t="str">
        <f>IFERROR(__xludf.DUMMYFUNCTION("IF(BN5="""","""",query({BN5:BU14},CONCATENATE(""select sum(Col7) where Col1 = '"",CS6,""' label sum(Col7) ''"")))"),"")</f>
        <v/>
      </c>
      <c r="BU23" s="1377">
        <f t="shared" si="9"/>
        <v>0</v>
      </c>
      <c r="BV23" s="412">
        <v>3.0</v>
      </c>
      <c r="BW23" s="1327"/>
      <c r="BX23" s="1349" t="str">
        <f>IFERROR(__xludf.DUMMYFUNCTION("IF(BN5="""","""",query({BN5:BX14},CONCATENATE(""select sum(Col11) where Col1 = '"",CS6,""' label sum(Col11) ''"")))"),"")</f>
        <v/>
      </c>
      <c r="BY23" s="1327"/>
      <c r="BZ23" s="1327"/>
      <c r="CA23" s="1327"/>
      <c r="CB23" s="1327"/>
      <c r="CC23" s="1327"/>
      <c r="CD23" s="1327"/>
      <c r="CE23" s="1327"/>
      <c r="CF23" s="1327"/>
      <c r="CG23" s="1327"/>
      <c r="CH23" s="1327"/>
      <c r="CI23" s="1327"/>
      <c r="CJ23" s="1327"/>
      <c r="CK23" s="1327"/>
      <c r="CL23" s="1327"/>
      <c r="CM23" s="1327"/>
      <c r="CN23" s="1327"/>
      <c r="CO23" s="1327"/>
      <c r="CP23" s="1327"/>
      <c r="CQ23" s="1327"/>
      <c r="CR23" s="1327"/>
      <c r="CS23" s="1327"/>
      <c r="CT23" s="1317"/>
      <c r="CU23" s="419"/>
      <c r="CV23" s="419"/>
      <c r="CW23" s="419"/>
      <c r="CX23" s="419"/>
      <c r="CY23" s="419"/>
      <c r="CZ23" s="419"/>
      <c r="DA23" s="419"/>
      <c r="DB23" s="419"/>
      <c r="DC23" s="419"/>
      <c r="DD23" s="419"/>
      <c r="DE23" s="419"/>
      <c r="DF23" s="419"/>
      <c r="DG23" s="419"/>
    </row>
    <row r="24" ht="18.75" customHeight="1">
      <c r="B24" s="818"/>
      <c r="C24" s="1372" t="s">
        <v>92</v>
      </c>
      <c r="D24" s="1373" t="s">
        <v>968</v>
      </c>
      <c r="E24" s="1374"/>
      <c r="G24" s="1344"/>
      <c r="H24" s="1345">
        <f t="shared" si="4"/>
        <v>0</v>
      </c>
      <c r="I24" s="1347"/>
      <c r="J24" s="1347"/>
      <c r="K24" s="1347"/>
      <c r="L24" s="1347"/>
      <c r="M24" s="1347"/>
      <c r="N24" s="1347"/>
      <c r="O24" s="1347"/>
      <c r="P24" s="1347"/>
      <c r="Q24" s="1347"/>
      <c r="R24" s="1347"/>
      <c r="T24" s="1349"/>
      <c r="U24" s="1349" t="s">
        <v>123</v>
      </c>
      <c r="V24" s="1349" t="s">
        <v>123</v>
      </c>
      <c r="W24" s="1349"/>
      <c r="X24" s="1349"/>
      <c r="Y24" s="1308"/>
      <c r="Z24" s="437" t="str">
        <f>IFERROR(__xludf.DUMMYFUNCTION("IF(NOT('portfólio'!$AV$7),"""",IF($T24="""","""",IFERROR(query({AtivosDados},""select sum(""&amp;Z$3&amp;"") where Col1='""&amp;$T24&amp;""' label sum(""&amp;Z$3&amp;"") ''""),0)))"),"")</f>
        <v/>
      </c>
      <c r="AA24" s="437" t="str">
        <f>IFERROR(__xludf.DUMMYFUNCTION("IF(NOT('portfólio'!$AV$7),"""",IF($T24="""","""",IFERROR(query({AtivosDados},""select sum(""&amp;AA$3&amp;"") where Col1='""&amp;$T24&amp;""' label sum(""&amp;AA$3&amp;"") ''""),0)))"),"")</f>
        <v/>
      </c>
      <c r="AB24" s="437" t="str">
        <f>IFERROR(__xludf.DUMMYFUNCTION("IF(NOT('portfólio'!$AV$7),"""",IF($T24="""","""",IFERROR(query({AtivosDados},""select sum(""&amp;AB$3&amp;"") where Col1='""&amp;$T24&amp;""' label sum(""&amp;AB$3&amp;"") ''""),0)))"),"")</f>
        <v/>
      </c>
      <c r="AC24" s="437" t="str">
        <f>IFERROR(__xludf.DUMMYFUNCTION("IF(NOT('portfólio'!$AV$7),"""",IF($T24="""","""",IFERROR(query({AtivosDados},""select sum(""&amp;AC$3&amp;"") where Col1='""&amp;$T24&amp;""' label sum(""&amp;AC$3&amp;"") ''""),0)))"),"")</f>
        <v/>
      </c>
      <c r="AD24" s="437" t="str">
        <f>IFERROR(__xludf.DUMMYFUNCTION("IF(NOT('portfólio'!$AV$7),"""",IF($T24="""","""",IFERROR(query({AtivosDados},""select sum(""&amp;AD$3&amp;"") where Col1='""&amp;$T24&amp;""' label sum(""&amp;AD$3&amp;"") ''""),0)))"),"")</f>
        <v/>
      </c>
      <c r="AE24" s="437"/>
      <c r="AF24" s="1327"/>
      <c r="AG24" s="437"/>
      <c r="AH24" s="437"/>
      <c r="AI24" s="437"/>
      <c r="AJ24" s="437"/>
      <c r="AK24" s="437"/>
      <c r="AL24" s="437"/>
      <c r="AM24" s="437"/>
      <c r="AN24" s="437"/>
      <c r="AO24" s="437"/>
      <c r="AP24" s="437"/>
      <c r="AQ24" s="1327"/>
      <c r="AR24" s="437"/>
      <c r="AS24" s="437"/>
      <c r="AT24" s="437"/>
      <c r="AU24" s="437"/>
      <c r="AV24" s="437"/>
      <c r="AW24" s="437"/>
      <c r="AX24" s="437"/>
      <c r="AY24" s="437"/>
      <c r="AZ24" s="437"/>
      <c r="BA24" s="437"/>
      <c r="BB24" s="1327"/>
      <c r="BC24" s="437"/>
      <c r="BD24" s="437"/>
      <c r="BE24" s="437"/>
      <c r="BF24" s="437"/>
      <c r="BG24" s="437"/>
      <c r="BH24" s="437"/>
      <c r="BI24" s="437"/>
      <c r="BJ24" s="437"/>
      <c r="BK24" s="437"/>
      <c r="BL24" s="437"/>
      <c r="BM24" s="1327"/>
      <c r="BN24" s="419" t="s">
        <v>293</v>
      </c>
      <c r="BO24" s="419" t="str">
        <f>IF(BR24&lt;&gt;0,"FALTA BOOK","")</f>
        <v/>
      </c>
      <c r="BP24" s="1378">
        <v>0.0</v>
      </c>
      <c r="BQ24" s="411">
        <f>TRUNC(BN18-BQ22-BQ23-SUM(CK5:CK14),2)</f>
        <v>0</v>
      </c>
      <c r="BR24" s="411">
        <f>TRUNC(BP18-BR22-BR23,2)</f>
        <v>0</v>
      </c>
      <c r="BS24" s="1376" t="str">
        <f t="shared" si="8"/>
        <v/>
      </c>
      <c r="BT24" s="411">
        <f>TRUNC(BV18-BT22-BT23,2)</f>
        <v>0</v>
      </c>
      <c r="BU24" s="1377">
        <f t="shared" si="9"/>
        <v>0</v>
      </c>
      <c r="BV24" s="412">
        <v>5.0</v>
      </c>
      <c r="BW24" s="1327"/>
      <c r="BX24" s="1349">
        <f>BO18-BX23-BX22</f>
        <v>0</v>
      </c>
      <c r="BY24" s="1327"/>
      <c r="BZ24" s="1327"/>
      <c r="CA24" s="1327"/>
      <c r="CB24" s="1327"/>
      <c r="CC24" s="1327"/>
      <c r="CD24" s="1327"/>
      <c r="CE24" s="1327"/>
      <c r="CF24" s="1327"/>
      <c r="CG24" s="1327"/>
      <c r="CH24" s="1327"/>
      <c r="CI24" s="1327"/>
      <c r="CJ24" s="1327"/>
      <c r="CK24" s="1327"/>
      <c r="CL24" s="1327"/>
      <c r="CM24" s="1327"/>
      <c r="CN24" s="1327"/>
      <c r="CO24" s="1327"/>
      <c r="CP24" s="1327"/>
      <c r="CQ24" s="1327"/>
      <c r="CR24" s="1327"/>
      <c r="CS24" s="1327"/>
      <c r="CT24" s="1317"/>
      <c r="CU24" s="419"/>
      <c r="CV24" s="419"/>
      <c r="CW24" s="419"/>
      <c r="CX24" s="419"/>
      <c r="CY24" s="419"/>
      <c r="CZ24" s="419"/>
      <c r="DA24" s="419"/>
      <c r="DB24" s="419"/>
      <c r="DC24" s="419"/>
      <c r="DD24" s="419"/>
      <c r="DE24" s="419"/>
      <c r="DF24" s="419"/>
      <c r="DG24" s="419"/>
    </row>
    <row r="25" ht="18.75" customHeight="1">
      <c r="B25" s="1371" t="s">
        <v>1012</v>
      </c>
      <c r="C25" s="1372" t="s">
        <v>218</v>
      </c>
      <c r="D25" s="1373" t="s">
        <v>969</v>
      </c>
      <c r="E25" s="1374"/>
      <c r="G25" s="1344"/>
      <c r="H25" s="1345">
        <f t="shared" si="4"/>
        <v>0</v>
      </c>
      <c r="I25" s="1347"/>
      <c r="J25" s="1347"/>
      <c r="K25" s="1347"/>
      <c r="L25" s="1347"/>
      <c r="M25" s="1347"/>
      <c r="N25" s="1347"/>
      <c r="O25" s="1347"/>
      <c r="P25" s="1347"/>
      <c r="Q25" s="1347"/>
      <c r="R25" s="1347"/>
      <c r="T25" s="1349"/>
      <c r="U25" s="1349" t="s">
        <v>123</v>
      </c>
      <c r="V25" s="1349" t="s">
        <v>123</v>
      </c>
      <c r="W25" s="1349"/>
      <c r="X25" s="1349"/>
      <c r="Y25" s="1308"/>
      <c r="Z25" s="437" t="str">
        <f>IFERROR(__xludf.DUMMYFUNCTION("IF(NOT('portfólio'!$AV$7),"""",IF($T25="""","""",IFERROR(query({AtivosDados},""select sum(""&amp;Z$3&amp;"") where Col1='""&amp;$T25&amp;""' label sum(""&amp;Z$3&amp;"") ''""),0)))"),"")</f>
        <v/>
      </c>
      <c r="AA25" s="437" t="str">
        <f>IFERROR(__xludf.DUMMYFUNCTION("IF(NOT('portfólio'!$AV$7),"""",IF($T25="""","""",IFERROR(query({AtivosDados},""select sum(""&amp;AA$3&amp;"") where Col1='""&amp;$T25&amp;""' label sum(""&amp;AA$3&amp;"") ''""),0)))"),"")</f>
        <v/>
      </c>
      <c r="AB25" s="437" t="str">
        <f>IFERROR(__xludf.DUMMYFUNCTION("IF(NOT('portfólio'!$AV$7),"""",IF($T25="""","""",IFERROR(query({AtivosDados},""select sum(""&amp;AB$3&amp;"") where Col1='""&amp;$T25&amp;""' label sum(""&amp;AB$3&amp;"") ''""),0)))"),"")</f>
        <v/>
      </c>
      <c r="AC25" s="437" t="str">
        <f>IFERROR(__xludf.DUMMYFUNCTION("IF(NOT('portfólio'!$AV$7),"""",IF($T25="""","""",IFERROR(query({AtivosDados},""select sum(""&amp;AC$3&amp;"") where Col1='""&amp;$T25&amp;""' label sum(""&amp;AC$3&amp;"") ''""),0)))"),"")</f>
        <v/>
      </c>
      <c r="AD25" s="437" t="str">
        <f>IFERROR(__xludf.DUMMYFUNCTION("IF(NOT('portfólio'!$AV$7),"""",IF($T25="""","""",IFERROR(query({AtivosDados},""select sum(""&amp;AD$3&amp;"") where Col1='""&amp;$T25&amp;""' label sum(""&amp;AD$3&amp;"") ''""),0)))"),"")</f>
        <v/>
      </c>
      <c r="AE25" s="437"/>
      <c r="AF25" s="1327"/>
      <c r="AG25" s="437"/>
      <c r="AH25" s="437"/>
      <c r="AI25" s="437"/>
      <c r="AJ25" s="437"/>
      <c r="AK25" s="437"/>
      <c r="AL25" s="437"/>
      <c r="AM25" s="437"/>
      <c r="AN25" s="437"/>
      <c r="AO25" s="437"/>
      <c r="AP25" s="437"/>
      <c r="AQ25" s="1327"/>
      <c r="AR25" s="437"/>
      <c r="AS25" s="437"/>
      <c r="AT25" s="437"/>
      <c r="AU25" s="437"/>
      <c r="AV25" s="437"/>
      <c r="AW25" s="437"/>
      <c r="AX25" s="437"/>
      <c r="AY25" s="437"/>
      <c r="AZ25" s="437"/>
      <c r="BA25" s="437"/>
      <c r="BB25" s="1327"/>
      <c r="BC25" s="437"/>
      <c r="BD25" s="437"/>
      <c r="BE25" s="437"/>
      <c r="BF25" s="437"/>
      <c r="BG25" s="437"/>
      <c r="BH25" s="437"/>
      <c r="BI25" s="437"/>
      <c r="BJ25" s="437"/>
      <c r="BK25" s="437"/>
      <c r="BL25" s="437"/>
      <c r="BM25" s="1327"/>
      <c r="BN25" s="1308"/>
      <c r="BO25" s="1308"/>
      <c r="BP25" s="1327"/>
      <c r="BQ25" s="1327"/>
      <c r="BR25" s="1327"/>
      <c r="BS25" s="1327"/>
      <c r="BT25" s="1327"/>
      <c r="BU25" s="1327"/>
      <c r="BV25" s="1327"/>
      <c r="BW25" s="1327"/>
      <c r="BX25" s="1327"/>
      <c r="BY25" s="1327"/>
      <c r="BZ25" s="1327"/>
      <c r="CA25" s="1327"/>
      <c r="CB25" s="1327"/>
      <c r="CC25" s="1327"/>
      <c r="CD25" s="1327"/>
      <c r="CE25" s="1327"/>
      <c r="CF25" s="1327"/>
      <c r="CG25" s="1327"/>
      <c r="CH25" s="1327"/>
      <c r="CI25" s="1327"/>
      <c r="CJ25" s="1327"/>
      <c r="CK25" s="1327"/>
      <c r="CL25" s="1327"/>
      <c r="CM25" s="1327"/>
      <c r="CN25" s="1327"/>
      <c r="CO25" s="1327"/>
      <c r="CP25" s="1327"/>
      <c r="CQ25" s="1327"/>
      <c r="CR25" s="1327"/>
      <c r="CS25" s="1327"/>
      <c r="CT25" s="1317"/>
      <c r="CU25" s="419"/>
      <c r="CV25" s="419"/>
      <c r="CW25" s="419"/>
      <c r="CX25" s="419"/>
      <c r="CY25" s="419"/>
      <c r="CZ25" s="419"/>
      <c r="DA25" s="419"/>
      <c r="DB25" s="419"/>
      <c r="DC25" s="419"/>
      <c r="DD25" s="419"/>
      <c r="DE25" s="419"/>
      <c r="DF25" s="419"/>
      <c r="DG25" s="419"/>
    </row>
    <row r="26" ht="18.75" customHeight="1">
      <c r="B26" s="818"/>
      <c r="C26" s="1372" t="s">
        <v>1010</v>
      </c>
      <c r="D26" s="1373" t="s">
        <v>969</v>
      </c>
      <c r="E26" s="1374"/>
      <c r="G26" s="1344"/>
      <c r="H26" s="1345">
        <f t="shared" si="4"/>
        <v>0</v>
      </c>
      <c r="I26" s="1347"/>
      <c r="J26" s="1347"/>
      <c r="K26" s="1347"/>
      <c r="L26" s="1347"/>
      <c r="M26" s="1347"/>
      <c r="N26" s="1347"/>
      <c r="O26" s="1347"/>
      <c r="P26" s="1347"/>
      <c r="Q26" s="1347"/>
      <c r="R26" s="1347"/>
      <c r="T26" s="1349"/>
      <c r="U26" s="1349" t="s">
        <v>123</v>
      </c>
      <c r="V26" s="1349" t="s">
        <v>123</v>
      </c>
      <c r="W26" s="1349"/>
      <c r="X26" s="1349"/>
      <c r="Y26" s="1308"/>
      <c r="Z26" s="437" t="str">
        <f>IFERROR(__xludf.DUMMYFUNCTION("IF(NOT('portfólio'!$AV$7),"""",IF($T26="""","""",IFERROR(query({AtivosDados},""select sum(""&amp;Z$3&amp;"") where Col1='""&amp;$T26&amp;""' label sum(""&amp;Z$3&amp;"") ''""),0)))"),"")</f>
        <v/>
      </c>
      <c r="AA26" s="437" t="str">
        <f>IFERROR(__xludf.DUMMYFUNCTION("IF(NOT('portfólio'!$AV$7),"""",IF($T26="""","""",IFERROR(query({AtivosDados},""select sum(""&amp;AA$3&amp;"") where Col1='""&amp;$T26&amp;""' label sum(""&amp;AA$3&amp;"") ''""),0)))"),"")</f>
        <v/>
      </c>
      <c r="AB26" s="437" t="str">
        <f>IFERROR(__xludf.DUMMYFUNCTION("IF(NOT('portfólio'!$AV$7),"""",IF($T26="""","""",IFERROR(query({AtivosDados},""select sum(""&amp;AB$3&amp;"") where Col1='""&amp;$T26&amp;""' label sum(""&amp;AB$3&amp;"") ''""),0)))"),"")</f>
        <v/>
      </c>
      <c r="AC26" s="437" t="str">
        <f>IFERROR(__xludf.DUMMYFUNCTION("IF(NOT('portfólio'!$AV$7),"""",IF($T26="""","""",IFERROR(query({AtivosDados},""select sum(""&amp;AC$3&amp;"") where Col1='""&amp;$T26&amp;""' label sum(""&amp;AC$3&amp;"") ''""),0)))"),"")</f>
        <v/>
      </c>
      <c r="AD26" s="437" t="str">
        <f>IFERROR(__xludf.DUMMYFUNCTION("IF(NOT('portfólio'!$AV$7),"""",IF($T26="""","""",IFERROR(query({AtivosDados},""select sum(""&amp;AD$3&amp;"") where Col1='""&amp;$T26&amp;""' label sum(""&amp;AD$3&amp;"") ''""),0)))"),"")</f>
        <v/>
      </c>
      <c r="AE26" s="437"/>
      <c r="AF26" s="1327"/>
      <c r="AG26" s="437"/>
      <c r="AH26" s="437"/>
      <c r="AI26" s="437"/>
      <c r="AJ26" s="437"/>
      <c r="AK26" s="437"/>
      <c r="AL26" s="437"/>
      <c r="AM26" s="437"/>
      <c r="AN26" s="437"/>
      <c r="AO26" s="437"/>
      <c r="AP26" s="437"/>
      <c r="AQ26" s="1327"/>
      <c r="AR26" s="437"/>
      <c r="AS26" s="437"/>
      <c r="AT26" s="437"/>
      <c r="AU26" s="437"/>
      <c r="AV26" s="437"/>
      <c r="AW26" s="437"/>
      <c r="AX26" s="437"/>
      <c r="AY26" s="437"/>
      <c r="AZ26" s="437"/>
      <c r="BA26" s="437"/>
      <c r="BB26" s="1327"/>
      <c r="BC26" s="437"/>
      <c r="BD26" s="437"/>
      <c r="BE26" s="437"/>
      <c r="BF26" s="437"/>
      <c r="BG26" s="437"/>
      <c r="BH26" s="437"/>
      <c r="BI26" s="437"/>
      <c r="BJ26" s="437"/>
      <c r="BK26" s="437"/>
      <c r="BL26" s="437"/>
      <c r="BM26" s="1327"/>
      <c r="BN26" s="382" t="s">
        <v>1013</v>
      </c>
      <c r="BO26" s="135"/>
      <c r="BP26" s="135"/>
      <c r="BQ26" s="1327"/>
      <c r="BR26" s="1327"/>
      <c r="BS26" s="1327"/>
      <c r="BT26" s="1327"/>
      <c r="BU26" s="1327"/>
      <c r="BV26" s="1327"/>
      <c r="BW26" s="1327"/>
      <c r="BX26" s="1327"/>
      <c r="BY26" s="1327"/>
      <c r="BZ26" s="1327"/>
      <c r="CA26" s="1327"/>
      <c r="CB26" s="1327"/>
      <c r="CC26" s="1327"/>
      <c r="CD26" s="1327"/>
      <c r="CE26" s="1327"/>
      <c r="CF26" s="1327"/>
      <c r="CG26" s="1327"/>
      <c r="CH26" s="1327"/>
      <c r="CI26" s="1327"/>
      <c r="CJ26" s="1327"/>
      <c r="CK26" s="1327"/>
      <c r="CL26" s="1327"/>
      <c r="CM26" s="1327"/>
      <c r="CN26" s="1327"/>
      <c r="CO26" s="1327"/>
      <c r="CP26" s="1327"/>
      <c r="CQ26" s="1327"/>
      <c r="CR26" s="1327"/>
      <c r="CS26" s="1327"/>
      <c r="CT26" s="1317"/>
      <c r="CU26" s="419"/>
      <c r="CV26" s="419"/>
      <c r="CW26" s="419"/>
      <c r="CX26" s="419"/>
      <c r="CY26" s="419"/>
      <c r="CZ26" s="419"/>
      <c r="DA26" s="419"/>
      <c r="DB26" s="419"/>
      <c r="DC26" s="419"/>
      <c r="DD26" s="419"/>
      <c r="DE26" s="419"/>
      <c r="DF26" s="419"/>
      <c r="DG26" s="419"/>
    </row>
    <row r="27" ht="18.75" customHeight="1">
      <c r="B27" s="1379" t="s">
        <v>1014</v>
      </c>
      <c r="C27" s="1372" t="s">
        <v>986</v>
      </c>
      <c r="D27" s="1373" t="s">
        <v>966</v>
      </c>
      <c r="E27" s="1374"/>
      <c r="G27" s="1344"/>
      <c r="H27" s="1345">
        <f t="shared" si="4"/>
        <v>0</v>
      </c>
      <c r="I27" s="1347"/>
      <c r="J27" s="1347"/>
      <c r="K27" s="1347"/>
      <c r="L27" s="1347"/>
      <c r="M27" s="1347"/>
      <c r="N27" s="1347"/>
      <c r="O27" s="1347"/>
      <c r="P27" s="1347"/>
      <c r="Q27" s="1347"/>
      <c r="R27" s="1347"/>
      <c r="T27" s="1349"/>
      <c r="U27" s="1349" t="s">
        <v>123</v>
      </c>
      <c r="V27" s="1349" t="s">
        <v>123</v>
      </c>
      <c r="W27" s="1349"/>
      <c r="X27" s="1349"/>
      <c r="Y27" s="1308"/>
      <c r="Z27" s="437" t="str">
        <f>IFERROR(__xludf.DUMMYFUNCTION("IF(NOT('portfólio'!$AV$7),"""",IF($T27="""","""",IFERROR(query({AtivosDados},""select sum(""&amp;Z$3&amp;"") where Col1='""&amp;$T27&amp;""' label sum(""&amp;Z$3&amp;"") ''""),0)))"),"")</f>
        <v/>
      </c>
      <c r="AA27" s="437" t="str">
        <f>IFERROR(__xludf.DUMMYFUNCTION("IF(NOT('portfólio'!$AV$7),"""",IF($T27="""","""",IFERROR(query({AtivosDados},""select sum(""&amp;AA$3&amp;"") where Col1='""&amp;$T27&amp;""' label sum(""&amp;AA$3&amp;"") ''""),0)))"),"")</f>
        <v/>
      </c>
      <c r="AB27" s="437" t="str">
        <f>IFERROR(__xludf.DUMMYFUNCTION("IF(NOT('portfólio'!$AV$7),"""",IF($T27="""","""",IFERROR(query({AtivosDados},""select sum(""&amp;AB$3&amp;"") where Col1='""&amp;$T27&amp;""' label sum(""&amp;AB$3&amp;"") ''""),0)))"),"")</f>
        <v/>
      </c>
      <c r="AC27" s="437" t="str">
        <f>IFERROR(__xludf.DUMMYFUNCTION("IF(NOT('portfólio'!$AV$7),"""",IF($T27="""","""",IFERROR(query({AtivosDados},""select sum(""&amp;AC$3&amp;"") where Col1='""&amp;$T27&amp;""' label sum(""&amp;AC$3&amp;"") ''""),0)))"),"")</f>
        <v/>
      </c>
      <c r="AD27" s="437" t="str">
        <f>IFERROR(__xludf.DUMMYFUNCTION("IF(NOT('portfólio'!$AV$7),"""",IF($T27="""","""",IFERROR(query({AtivosDados},""select sum(""&amp;AD$3&amp;"") where Col1='""&amp;$T27&amp;""' label sum(""&amp;AD$3&amp;"") ''""),0)))"),"")</f>
        <v/>
      </c>
      <c r="AE27" s="437"/>
      <c r="AF27" s="1327"/>
      <c r="AG27" s="437"/>
      <c r="AH27" s="437"/>
      <c r="AI27" s="437"/>
      <c r="AJ27" s="437"/>
      <c r="AK27" s="437"/>
      <c r="AL27" s="437"/>
      <c r="AM27" s="437"/>
      <c r="AN27" s="437"/>
      <c r="AO27" s="437"/>
      <c r="AP27" s="437"/>
      <c r="AQ27" s="1327"/>
      <c r="AR27" s="437"/>
      <c r="AS27" s="437"/>
      <c r="AT27" s="437"/>
      <c r="AU27" s="437"/>
      <c r="AV27" s="437"/>
      <c r="AW27" s="437"/>
      <c r="AX27" s="437"/>
      <c r="AY27" s="437"/>
      <c r="AZ27" s="437"/>
      <c r="BA27" s="437"/>
      <c r="BB27" s="1327"/>
      <c r="BC27" s="437"/>
      <c r="BD27" s="437"/>
      <c r="BE27" s="437"/>
      <c r="BF27" s="437"/>
      <c r="BG27" s="437"/>
      <c r="BH27" s="437"/>
      <c r="BI27" s="437"/>
      <c r="BJ27" s="437"/>
      <c r="BK27" s="437"/>
      <c r="BL27" s="437"/>
      <c r="BM27" s="1327"/>
      <c r="BN27" s="382" t="s">
        <v>960</v>
      </c>
      <c r="BO27" s="382" t="s">
        <v>259</v>
      </c>
      <c r="BP27" s="382" t="s">
        <v>88</v>
      </c>
      <c r="BQ27" s="1327"/>
      <c r="BR27" s="1327"/>
      <c r="BS27" s="1327"/>
      <c r="BT27" s="1327"/>
      <c r="BU27" s="1327"/>
      <c r="BV27" s="1327"/>
      <c r="BW27" s="1327"/>
      <c r="BX27" s="1327"/>
      <c r="BY27" s="1327"/>
      <c r="BZ27" s="1327"/>
      <c r="CA27" s="1327"/>
      <c r="CB27" s="1327"/>
      <c r="CC27" s="1327"/>
      <c r="CD27" s="1327"/>
      <c r="CE27" s="1327"/>
      <c r="CF27" s="1327"/>
      <c r="CG27" s="1327"/>
      <c r="CH27" s="1327"/>
      <c r="CI27" s="1327"/>
      <c r="CJ27" s="1327"/>
      <c r="CK27" s="1327"/>
      <c r="CL27" s="1327"/>
      <c r="CM27" s="1327"/>
      <c r="CN27" s="1327"/>
      <c r="CO27" s="1327"/>
      <c r="CP27" s="1327"/>
      <c r="CQ27" s="1327"/>
      <c r="CR27" s="1327"/>
      <c r="CS27" s="1327"/>
      <c r="CT27" s="1317"/>
      <c r="CU27" s="419"/>
      <c r="CV27" s="419"/>
      <c r="CW27" s="419"/>
      <c r="CX27" s="419"/>
      <c r="CY27" s="419"/>
      <c r="CZ27" s="419"/>
      <c r="DA27" s="419"/>
      <c r="DB27" s="419"/>
      <c r="DC27" s="419"/>
      <c r="DD27" s="419"/>
      <c r="DE27" s="419"/>
      <c r="DF27" s="419"/>
      <c r="DG27" s="419"/>
    </row>
    <row r="28" ht="18.75" customHeight="1">
      <c r="B28" s="156"/>
      <c r="C28" s="1372" t="s">
        <v>1015</v>
      </c>
      <c r="D28" s="1373" t="s">
        <v>964</v>
      </c>
      <c r="E28" s="1374"/>
      <c r="G28" s="1344"/>
      <c r="H28" s="1345">
        <f t="shared" si="4"/>
        <v>0</v>
      </c>
      <c r="I28" s="1347"/>
      <c r="J28" s="1347"/>
      <c r="K28" s="1347"/>
      <c r="L28" s="1347"/>
      <c r="M28" s="1347"/>
      <c r="N28" s="1347"/>
      <c r="O28" s="1347"/>
      <c r="P28" s="1347"/>
      <c r="Q28" s="1347"/>
      <c r="R28" s="1347"/>
      <c r="T28" s="1349"/>
      <c r="U28" s="1349" t="s">
        <v>123</v>
      </c>
      <c r="V28" s="1349" t="s">
        <v>123</v>
      </c>
      <c r="W28" s="1349"/>
      <c r="X28" s="1349"/>
      <c r="Y28" s="1308"/>
      <c r="Z28" s="437" t="str">
        <f>IFERROR(__xludf.DUMMYFUNCTION("IF(NOT('portfólio'!$AV$7),"""",IF($T28="""","""",IFERROR(query({AtivosDados},""select sum(""&amp;Z$3&amp;"") where Col1='""&amp;$T28&amp;""' label sum(""&amp;Z$3&amp;"") ''""),0)))"),"")</f>
        <v/>
      </c>
      <c r="AA28" s="437" t="str">
        <f>IFERROR(__xludf.DUMMYFUNCTION("IF(NOT('portfólio'!$AV$7),"""",IF($T28="""","""",IFERROR(query({AtivosDados},""select sum(""&amp;AA$3&amp;"") where Col1='""&amp;$T28&amp;""' label sum(""&amp;AA$3&amp;"") ''""),0)))"),"")</f>
        <v/>
      </c>
      <c r="AB28" s="437" t="str">
        <f>IFERROR(__xludf.DUMMYFUNCTION("IF(NOT('portfólio'!$AV$7),"""",IF($T28="""","""",IFERROR(query({AtivosDados},""select sum(""&amp;AB$3&amp;"") where Col1='""&amp;$T28&amp;""' label sum(""&amp;AB$3&amp;"") ''""),0)))"),"")</f>
        <v/>
      </c>
      <c r="AC28" s="437" t="str">
        <f>IFERROR(__xludf.DUMMYFUNCTION("IF(NOT('portfólio'!$AV$7),"""",IF($T28="""","""",IFERROR(query({AtivosDados},""select sum(""&amp;AC$3&amp;"") where Col1='""&amp;$T28&amp;""' label sum(""&amp;AC$3&amp;"") ''""),0)))"),"")</f>
        <v/>
      </c>
      <c r="AD28" s="437" t="str">
        <f>IFERROR(__xludf.DUMMYFUNCTION("IF(NOT('portfólio'!$AV$7),"""",IF($T28="""","""",IFERROR(query({AtivosDados},""select sum(""&amp;AD$3&amp;"") where Col1='""&amp;$T28&amp;""' label sum(""&amp;AD$3&amp;"") ''""),0)))"),"")</f>
        <v/>
      </c>
      <c r="AE28" s="437"/>
      <c r="AF28" s="1327"/>
      <c r="AG28" s="437"/>
      <c r="AH28" s="437"/>
      <c r="AI28" s="437"/>
      <c r="AJ28" s="437"/>
      <c r="AK28" s="437"/>
      <c r="AL28" s="437"/>
      <c r="AM28" s="437"/>
      <c r="AN28" s="437"/>
      <c r="AO28" s="437"/>
      <c r="AP28" s="437"/>
      <c r="AQ28" s="1327"/>
      <c r="AR28" s="437"/>
      <c r="AS28" s="437"/>
      <c r="AT28" s="437"/>
      <c r="AU28" s="437"/>
      <c r="AV28" s="437"/>
      <c r="AW28" s="437"/>
      <c r="AX28" s="437"/>
      <c r="AY28" s="437"/>
      <c r="AZ28" s="437"/>
      <c r="BA28" s="437"/>
      <c r="BB28" s="1327"/>
      <c r="BC28" s="437"/>
      <c r="BD28" s="437"/>
      <c r="BE28" s="437"/>
      <c r="BF28" s="437"/>
      <c r="BG28" s="437"/>
      <c r="BH28" s="437"/>
      <c r="BI28" s="437"/>
      <c r="BJ28" s="437"/>
      <c r="BK28" s="437"/>
      <c r="BL28" s="437"/>
      <c r="BM28" s="1327"/>
      <c r="BN28" s="411" t="str">
        <f>IFERROR(__xludf.DUMMYFUNCTION("IFERROR(query({BN5:BV14},""select Col2,Col5, Col7 where Col5&gt;=0 order by Col9""))"),"")</f>
        <v/>
      </c>
      <c r="BO28" s="411"/>
      <c r="BP28" s="411"/>
      <c r="BQ28" s="1327"/>
      <c r="BR28" s="1327"/>
      <c r="BS28" s="1327"/>
      <c r="BT28" s="1327"/>
      <c r="BU28" s="1327"/>
      <c r="BV28" s="1327"/>
      <c r="BW28" s="1327"/>
      <c r="BX28" s="1327"/>
      <c r="BY28" s="1327"/>
      <c r="BZ28" s="1327"/>
      <c r="CA28" s="1327"/>
      <c r="CB28" s="1327"/>
      <c r="CC28" s="1327"/>
      <c r="CD28" s="1327"/>
      <c r="CE28" s="1327"/>
      <c r="CF28" s="1327"/>
      <c r="CG28" s="1327"/>
      <c r="CH28" s="1327"/>
      <c r="CI28" s="1327"/>
      <c r="CJ28" s="1327"/>
      <c r="CK28" s="1327"/>
      <c r="CL28" s="1327"/>
      <c r="CM28" s="1327"/>
      <c r="CN28" s="1327"/>
      <c r="CO28" s="1327"/>
      <c r="CP28" s="1327"/>
      <c r="CQ28" s="1327"/>
      <c r="CR28" s="1327"/>
      <c r="CS28" s="1327"/>
      <c r="CT28" s="1317"/>
      <c r="CU28" s="419"/>
      <c r="CV28" s="419"/>
      <c r="CW28" s="419"/>
      <c r="CX28" s="419"/>
      <c r="CY28" s="419"/>
      <c r="CZ28" s="419"/>
      <c r="DA28" s="419"/>
      <c r="DB28" s="419"/>
      <c r="DC28" s="419"/>
      <c r="DD28" s="419"/>
      <c r="DE28" s="419"/>
      <c r="DF28" s="419"/>
      <c r="DG28" s="419"/>
    </row>
    <row r="29" ht="18.75" customHeight="1">
      <c r="B29" s="142"/>
      <c r="C29" s="1372" t="s">
        <v>1016</v>
      </c>
      <c r="D29" s="1373" t="s">
        <v>998</v>
      </c>
      <c r="E29" s="1374"/>
      <c r="G29" s="1344"/>
      <c r="H29" s="1345">
        <f t="shared" si="4"/>
        <v>0</v>
      </c>
      <c r="I29" s="1347"/>
      <c r="J29" s="1347"/>
      <c r="K29" s="1347"/>
      <c r="L29" s="1347"/>
      <c r="M29" s="1347"/>
      <c r="N29" s="1347"/>
      <c r="O29" s="1347"/>
      <c r="P29" s="1347"/>
      <c r="Q29" s="1347"/>
      <c r="R29" s="1347"/>
      <c r="T29" s="1349"/>
      <c r="U29" s="1349" t="s">
        <v>123</v>
      </c>
      <c r="V29" s="1349" t="s">
        <v>123</v>
      </c>
      <c r="W29" s="1349"/>
      <c r="X29" s="1349"/>
      <c r="Y29" s="1308"/>
      <c r="Z29" s="437" t="str">
        <f>IFERROR(__xludf.DUMMYFUNCTION("IF(NOT('portfólio'!$AV$7),"""",IF($T29="""","""",IFERROR(query({AtivosDados},""select sum(""&amp;Z$3&amp;"") where Col1='""&amp;$T29&amp;""' label sum(""&amp;Z$3&amp;"") ''""),0)))"),"")</f>
        <v/>
      </c>
      <c r="AA29" s="437" t="str">
        <f>IFERROR(__xludf.DUMMYFUNCTION("IF(NOT('portfólio'!$AV$7),"""",IF($T29="""","""",IFERROR(query({AtivosDados},""select sum(""&amp;AA$3&amp;"") where Col1='""&amp;$T29&amp;""' label sum(""&amp;AA$3&amp;"") ''""),0)))"),"")</f>
        <v/>
      </c>
      <c r="AB29" s="437" t="str">
        <f>IFERROR(__xludf.DUMMYFUNCTION("IF(NOT('portfólio'!$AV$7),"""",IF($T29="""","""",IFERROR(query({AtivosDados},""select sum(""&amp;AB$3&amp;"") where Col1='""&amp;$T29&amp;""' label sum(""&amp;AB$3&amp;"") ''""),0)))"),"")</f>
        <v/>
      </c>
      <c r="AC29" s="437" t="str">
        <f>IFERROR(__xludf.DUMMYFUNCTION("IF(NOT('portfólio'!$AV$7),"""",IF($T29="""","""",IFERROR(query({AtivosDados},""select sum(""&amp;AC$3&amp;"") where Col1='""&amp;$T29&amp;""' label sum(""&amp;AC$3&amp;"") ''""),0)))"),"")</f>
        <v/>
      </c>
      <c r="AD29" s="437" t="str">
        <f>IFERROR(__xludf.DUMMYFUNCTION("IF(NOT('portfólio'!$AV$7),"""",IF($T29="""","""",IFERROR(query({AtivosDados},""select sum(""&amp;AD$3&amp;"") where Col1='""&amp;$T29&amp;""' label sum(""&amp;AD$3&amp;"") ''""),0)))"),"")</f>
        <v/>
      </c>
      <c r="AE29" s="437"/>
      <c r="AF29" s="1327"/>
      <c r="AG29" s="437"/>
      <c r="AH29" s="437"/>
      <c r="AI29" s="437"/>
      <c r="AJ29" s="437"/>
      <c r="AK29" s="437"/>
      <c r="AL29" s="437"/>
      <c r="AM29" s="437"/>
      <c r="AN29" s="437"/>
      <c r="AO29" s="437"/>
      <c r="AP29" s="437"/>
      <c r="AQ29" s="1327"/>
      <c r="AR29" s="437"/>
      <c r="AS29" s="437"/>
      <c r="AT29" s="437"/>
      <c r="AU29" s="437"/>
      <c r="AV29" s="437"/>
      <c r="AW29" s="437"/>
      <c r="AX29" s="437"/>
      <c r="AY29" s="437"/>
      <c r="AZ29" s="437"/>
      <c r="BA29" s="437"/>
      <c r="BB29" s="1327"/>
      <c r="BC29" s="437"/>
      <c r="BD29" s="437"/>
      <c r="BE29" s="437"/>
      <c r="BF29" s="437"/>
      <c r="BG29" s="437"/>
      <c r="BH29" s="437"/>
      <c r="BI29" s="437"/>
      <c r="BJ29" s="437"/>
      <c r="BK29" s="437"/>
      <c r="BL29" s="437"/>
      <c r="BM29" s="1327"/>
      <c r="BN29" s="411"/>
      <c r="BO29" s="411"/>
      <c r="BP29" s="411"/>
      <c r="BQ29" s="1327"/>
      <c r="BR29" s="1327"/>
      <c r="BS29" s="1327"/>
      <c r="BT29" s="1327"/>
      <c r="BU29" s="1327"/>
      <c r="BV29" s="1327"/>
      <c r="BW29" s="1327"/>
      <c r="BX29" s="1327"/>
      <c r="BY29" s="1327"/>
      <c r="BZ29" s="1327"/>
      <c r="CA29" s="1327"/>
      <c r="CB29" s="1327"/>
      <c r="CC29" s="1327"/>
      <c r="CD29" s="1327"/>
      <c r="CE29" s="1327"/>
      <c r="CF29" s="1327"/>
      <c r="CG29" s="1327"/>
      <c r="CH29" s="1327"/>
      <c r="CI29" s="1327"/>
      <c r="CJ29" s="1327"/>
      <c r="CK29" s="1327"/>
      <c r="CL29" s="1327"/>
      <c r="CM29" s="1327"/>
      <c r="CN29" s="1327"/>
      <c r="CO29" s="1327"/>
      <c r="CP29" s="1327"/>
      <c r="CQ29" s="1327"/>
      <c r="CR29" s="1327"/>
      <c r="CS29" s="1327"/>
      <c r="CT29" s="1317"/>
      <c r="CU29" s="419"/>
      <c r="CV29" s="419"/>
      <c r="CW29" s="419"/>
      <c r="CX29" s="419"/>
      <c r="CY29" s="419"/>
      <c r="CZ29" s="419"/>
      <c r="DA29" s="419"/>
      <c r="DB29" s="419"/>
      <c r="DC29" s="419"/>
      <c r="DD29" s="419"/>
      <c r="DE29" s="419"/>
      <c r="DF29" s="419"/>
      <c r="DG29" s="419"/>
    </row>
    <row r="30" ht="18.75" customHeight="1">
      <c r="B30" s="545"/>
      <c r="C30" s="545"/>
      <c r="D30" s="1380"/>
      <c r="E30" s="1380"/>
      <c r="G30" s="1344"/>
      <c r="H30" s="1345">
        <f t="shared" si="4"/>
        <v>0</v>
      </c>
      <c r="I30" s="1347"/>
      <c r="J30" s="1347"/>
      <c r="K30" s="1347"/>
      <c r="L30" s="1347"/>
      <c r="M30" s="1347"/>
      <c r="N30" s="1347"/>
      <c r="O30" s="1347"/>
      <c r="P30" s="1347"/>
      <c r="Q30" s="1347"/>
      <c r="R30" s="1347"/>
      <c r="T30" s="1349"/>
      <c r="U30" s="1349" t="s">
        <v>123</v>
      </c>
      <c r="V30" s="1349" t="s">
        <v>123</v>
      </c>
      <c r="W30" s="1349"/>
      <c r="X30" s="1349"/>
      <c r="Y30" s="1308"/>
      <c r="Z30" s="437" t="str">
        <f>IFERROR(__xludf.DUMMYFUNCTION("IF(NOT('portfólio'!$AV$7),"""",IF($T30="""","""",IFERROR(query({AtivosDados},""select sum(""&amp;Z$3&amp;"") where Col1='""&amp;$T30&amp;""' label sum(""&amp;Z$3&amp;"") ''""),0)))"),"")</f>
        <v/>
      </c>
      <c r="AA30" s="437" t="str">
        <f>IFERROR(__xludf.DUMMYFUNCTION("IF(NOT('portfólio'!$AV$7),"""",IF($T30="""","""",IFERROR(query({AtivosDados},""select sum(""&amp;AA$3&amp;"") where Col1='""&amp;$T30&amp;""' label sum(""&amp;AA$3&amp;"") ''""),0)))"),"")</f>
        <v/>
      </c>
      <c r="AB30" s="437" t="str">
        <f>IFERROR(__xludf.DUMMYFUNCTION("IF(NOT('portfólio'!$AV$7),"""",IF($T30="""","""",IFERROR(query({AtivosDados},""select sum(""&amp;AB$3&amp;"") where Col1='""&amp;$T30&amp;""' label sum(""&amp;AB$3&amp;"") ''""),0)))"),"")</f>
        <v/>
      </c>
      <c r="AC30" s="437" t="str">
        <f>IFERROR(__xludf.DUMMYFUNCTION("IF(NOT('portfólio'!$AV$7),"""",IF($T30="""","""",IFERROR(query({AtivosDados},""select sum(""&amp;AC$3&amp;"") where Col1='""&amp;$T30&amp;""' label sum(""&amp;AC$3&amp;"") ''""),0)))"),"")</f>
        <v/>
      </c>
      <c r="AD30" s="437" t="str">
        <f>IFERROR(__xludf.DUMMYFUNCTION("IF(NOT('portfólio'!$AV$7),"""",IF($T30="""","""",IFERROR(query({AtivosDados},""select sum(""&amp;AD$3&amp;"") where Col1='""&amp;$T30&amp;""' label sum(""&amp;AD$3&amp;"") ''""),0)))"),"")</f>
        <v/>
      </c>
      <c r="AE30" s="437"/>
      <c r="AF30" s="1327"/>
      <c r="AG30" s="437"/>
      <c r="AH30" s="437"/>
      <c r="AI30" s="437"/>
      <c r="AJ30" s="437"/>
      <c r="AK30" s="437"/>
      <c r="AL30" s="437"/>
      <c r="AM30" s="437"/>
      <c r="AN30" s="437"/>
      <c r="AO30" s="437"/>
      <c r="AP30" s="437"/>
      <c r="AQ30" s="1327"/>
      <c r="AR30" s="437"/>
      <c r="AS30" s="437"/>
      <c r="AT30" s="437"/>
      <c r="AU30" s="437"/>
      <c r="AV30" s="437"/>
      <c r="AW30" s="437"/>
      <c r="AX30" s="437"/>
      <c r="AY30" s="437"/>
      <c r="AZ30" s="437"/>
      <c r="BA30" s="437"/>
      <c r="BB30" s="1327"/>
      <c r="BC30" s="437"/>
      <c r="BD30" s="437"/>
      <c r="BE30" s="437"/>
      <c r="BF30" s="437"/>
      <c r="BG30" s="437"/>
      <c r="BH30" s="437"/>
      <c r="BI30" s="437"/>
      <c r="BJ30" s="437"/>
      <c r="BK30" s="437"/>
      <c r="BL30" s="437"/>
      <c r="BM30" s="1327"/>
      <c r="BN30" s="411"/>
      <c r="BO30" s="411"/>
      <c r="BP30" s="411"/>
      <c r="BQ30" s="1327"/>
      <c r="BR30" s="1327"/>
      <c r="BS30" s="1327"/>
      <c r="BT30" s="1327"/>
      <c r="BU30" s="1327"/>
      <c r="BV30" s="1327"/>
      <c r="BW30" s="1327"/>
      <c r="BX30" s="1327"/>
      <c r="BY30" s="1327"/>
      <c r="BZ30" s="1327"/>
      <c r="CA30" s="1327"/>
      <c r="CB30" s="1327"/>
      <c r="CC30" s="1327"/>
      <c r="CD30" s="1327"/>
      <c r="CE30" s="1327"/>
      <c r="CF30" s="1327"/>
      <c r="CG30" s="1327"/>
      <c r="CH30" s="1327"/>
      <c r="CI30" s="1327"/>
      <c r="CJ30" s="1327"/>
      <c r="CK30" s="1327"/>
      <c r="CL30" s="1327"/>
      <c r="CM30" s="1327"/>
      <c r="CN30" s="1327"/>
      <c r="CO30" s="1327"/>
      <c r="CP30" s="1327"/>
      <c r="CQ30" s="1327"/>
      <c r="CR30" s="1327"/>
      <c r="CS30" s="1327"/>
      <c r="CT30" s="1317"/>
      <c r="CU30" s="419"/>
      <c r="CV30" s="419"/>
      <c r="CW30" s="419"/>
      <c r="CX30" s="419"/>
      <c r="CY30" s="419"/>
      <c r="CZ30" s="419"/>
      <c r="DA30" s="419"/>
      <c r="DB30" s="419"/>
      <c r="DC30" s="419"/>
      <c r="DD30" s="419"/>
      <c r="DE30" s="419"/>
      <c r="DF30" s="419"/>
      <c r="DG30" s="419"/>
    </row>
    <row r="31" ht="18.75" customHeight="1">
      <c r="B31" s="545"/>
      <c r="C31" s="545"/>
      <c r="D31" s="1380"/>
      <c r="E31" s="1380"/>
      <c r="G31" s="1344"/>
      <c r="H31" s="1345">
        <f t="shared" si="4"/>
        <v>0</v>
      </c>
      <c r="I31" s="1347"/>
      <c r="J31" s="1347"/>
      <c r="K31" s="1347"/>
      <c r="L31" s="1347"/>
      <c r="M31" s="1347"/>
      <c r="N31" s="1347"/>
      <c r="O31" s="1347"/>
      <c r="P31" s="1347"/>
      <c r="Q31" s="1347"/>
      <c r="R31" s="1347"/>
      <c r="T31" s="1349"/>
      <c r="U31" s="1349" t="s">
        <v>123</v>
      </c>
      <c r="V31" s="1349" t="s">
        <v>123</v>
      </c>
      <c r="W31" s="1349"/>
      <c r="X31" s="1349"/>
      <c r="Y31" s="1308"/>
      <c r="Z31" s="437" t="str">
        <f>IFERROR(__xludf.DUMMYFUNCTION("IF(NOT('portfólio'!$AV$7),"""",IF($T31="""","""",IFERROR(query({AtivosDados},""select sum(""&amp;Z$3&amp;"") where Col1='""&amp;$T31&amp;""' label sum(""&amp;Z$3&amp;"") ''""),0)))"),"")</f>
        <v/>
      </c>
      <c r="AA31" s="437" t="str">
        <f>IFERROR(__xludf.DUMMYFUNCTION("IF(NOT('portfólio'!$AV$7),"""",IF($T31="""","""",IFERROR(query({AtivosDados},""select sum(""&amp;AA$3&amp;"") where Col1='""&amp;$T31&amp;""' label sum(""&amp;AA$3&amp;"") ''""),0)))"),"")</f>
        <v/>
      </c>
      <c r="AB31" s="437" t="str">
        <f>IFERROR(__xludf.DUMMYFUNCTION("IF(NOT('portfólio'!$AV$7),"""",IF($T31="""","""",IFERROR(query({AtivosDados},""select sum(""&amp;AB$3&amp;"") where Col1='""&amp;$T31&amp;""' label sum(""&amp;AB$3&amp;"") ''""),0)))"),"")</f>
        <v/>
      </c>
      <c r="AC31" s="437" t="str">
        <f>IFERROR(__xludf.DUMMYFUNCTION("IF(NOT('portfólio'!$AV$7),"""",IF($T31="""","""",IFERROR(query({AtivosDados},""select sum(""&amp;AC$3&amp;"") where Col1='""&amp;$T31&amp;""' label sum(""&amp;AC$3&amp;"") ''""),0)))"),"")</f>
        <v/>
      </c>
      <c r="AD31" s="437" t="str">
        <f>IFERROR(__xludf.DUMMYFUNCTION("IF(NOT('portfólio'!$AV$7),"""",IF($T31="""","""",IFERROR(query({AtivosDados},""select sum(""&amp;AD$3&amp;"") where Col1='""&amp;$T31&amp;""' label sum(""&amp;AD$3&amp;"") ''""),0)))"),"")</f>
        <v/>
      </c>
      <c r="AE31" s="437"/>
      <c r="AF31" s="1327"/>
      <c r="AG31" s="437"/>
      <c r="AH31" s="437"/>
      <c r="AI31" s="437"/>
      <c r="AJ31" s="437"/>
      <c r="AK31" s="437"/>
      <c r="AL31" s="437"/>
      <c r="AM31" s="437"/>
      <c r="AN31" s="437"/>
      <c r="AO31" s="437"/>
      <c r="AP31" s="437"/>
      <c r="AQ31" s="1327"/>
      <c r="AR31" s="437"/>
      <c r="AS31" s="437"/>
      <c r="AT31" s="437"/>
      <c r="AU31" s="437"/>
      <c r="AV31" s="437"/>
      <c r="AW31" s="437"/>
      <c r="AX31" s="437"/>
      <c r="AY31" s="437"/>
      <c r="AZ31" s="437"/>
      <c r="BA31" s="437"/>
      <c r="BB31" s="1327"/>
      <c r="BC31" s="437"/>
      <c r="BD31" s="437"/>
      <c r="BE31" s="437"/>
      <c r="BF31" s="437"/>
      <c r="BG31" s="437"/>
      <c r="BH31" s="437"/>
      <c r="BI31" s="437"/>
      <c r="BJ31" s="437"/>
      <c r="BK31" s="437"/>
      <c r="BL31" s="437"/>
      <c r="BM31" s="1327"/>
      <c r="BN31" s="411"/>
      <c r="BO31" s="411"/>
      <c r="BP31" s="411"/>
      <c r="BQ31" s="1327"/>
      <c r="BR31" s="1327"/>
      <c r="BS31" s="1327"/>
      <c r="BT31" s="1327"/>
      <c r="BU31" s="1327"/>
      <c r="BV31" s="1327"/>
      <c r="BW31" s="1327"/>
      <c r="BX31" s="1327"/>
      <c r="BY31" s="1327"/>
      <c r="BZ31" s="1327"/>
      <c r="CA31" s="1327"/>
      <c r="CB31" s="1327"/>
      <c r="CC31" s="1327"/>
      <c r="CD31" s="1327"/>
      <c r="CE31" s="1327"/>
      <c r="CF31" s="1327"/>
      <c r="CG31" s="1327"/>
      <c r="CH31" s="1327"/>
      <c r="CI31" s="1327"/>
      <c r="CJ31" s="1327"/>
      <c r="CK31" s="1327"/>
      <c r="CL31" s="1327"/>
      <c r="CM31" s="1327"/>
      <c r="CN31" s="1327"/>
      <c r="CO31" s="1327"/>
      <c r="CP31" s="1327"/>
      <c r="CQ31" s="1327"/>
      <c r="CR31" s="1327"/>
      <c r="CS31" s="1327"/>
      <c r="CT31" s="1317"/>
      <c r="CU31" s="419"/>
      <c r="CV31" s="419"/>
      <c r="CW31" s="419"/>
      <c r="CX31" s="419"/>
      <c r="CY31" s="419"/>
      <c r="CZ31" s="419"/>
      <c r="DA31" s="419"/>
      <c r="DB31" s="419"/>
      <c r="DC31" s="419"/>
      <c r="DD31" s="419"/>
      <c r="DE31" s="419"/>
      <c r="DF31" s="419"/>
      <c r="DG31" s="419"/>
    </row>
    <row r="32" ht="18.75" customHeight="1">
      <c r="B32" s="545"/>
      <c r="C32" s="545"/>
      <c r="D32" s="1380"/>
      <c r="E32" s="1380"/>
      <c r="G32" s="1344"/>
      <c r="H32" s="1345">
        <f t="shared" si="4"/>
        <v>0</v>
      </c>
      <c r="I32" s="1381"/>
      <c r="J32" s="1381"/>
      <c r="K32" s="1381"/>
      <c r="L32" s="1381"/>
      <c r="M32" s="1347"/>
      <c r="N32" s="1381"/>
      <c r="O32" s="1381"/>
      <c r="P32" s="1381"/>
      <c r="Q32" s="1381"/>
      <c r="R32" s="1381"/>
      <c r="T32" s="1349"/>
      <c r="U32" s="1349" t="s">
        <v>123</v>
      </c>
      <c r="V32" s="1349" t="s">
        <v>123</v>
      </c>
      <c r="W32" s="1349"/>
      <c r="X32" s="1349"/>
      <c r="Y32" s="1308"/>
      <c r="Z32" s="437" t="str">
        <f>IFERROR(__xludf.DUMMYFUNCTION("IF(NOT('portfólio'!$AV$7),"""",IF($T32="""","""",IFERROR(query({AtivosDados},""select sum(""&amp;Z$3&amp;"") where Col1='""&amp;$T32&amp;""' label sum(""&amp;Z$3&amp;"") ''""),0)))"),"")</f>
        <v/>
      </c>
      <c r="AA32" s="437" t="str">
        <f>IFERROR(__xludf.DUMMYFUNCTION("IF(NOT('portfólio'!$AV$7),"""",IF($T32="""","""",IFERROR(query({AtivosDados},""select sum(""&amp;AA$3&amp;"") where Col1='""&amp;$T32&amp;""' label sum(""&amp;AA$3&amp;"") ''""),0)))"),"")</f>
        <v/>
      </c>
      <c r="AB32" s="437" t="str">
        <f>IFERROR(__xludf.DUMMYFUNCTION("IF(NOT('portfólio'!$AV$7),"""",IF($T32="""","""",IFERROR(query({AtivosDados},""select sum(""&amp;AB$3&amp;"") where Col1='""&amp;$T32&amp;""' label sum(""&amp;AB$3&amp;"") ''""),0)))"),"")</f>
        <v/>
      </c>
      <c r="AC32" s="437" t="str">
        <f>IFERROR(__xludf.DUMMYFUNCTION("IF(NOT('portfólio'!$AV$7),"""",IF($T32="""","""",IFERROR(query({AtivosDados},""select sum(""&amp;AC$3&amp;"") where Col1='""&amp;$T32&amp;""' label sum(""&amp;AC$3&amp;"") ''""),0)))"),"")</f>
        <v/>
      </c>
      <c r="AD32" s="437" t="str">
        <f>IFERROR(__xludf.DUMMYFUNCTION("IF(NOT('portfólio'!$AV$7),"""",IF($T32="""","""",IFERROR(query({AtivosDados},""select sum(""&amp;AD$3&amp;"") where Col1='""&amp;$T32&amp;""' label sum(""&amp;AD$3&amp;"") ''""),0)))"),"")</f>
        <v/>
      </c>
      <c r="AE32" s="437"/>
      <c r="AF32" s="1327"/>
      <c r="AG32" s="437"/>
      <c r="AH32" s="437"/>
      <c r="AI32" s="437"/>
      <c r="AJ32" s="437"/>
      <c r="AK32" s="437"/>
      <c r="AL32" s="437"/>
      <c r="AM32" s="437"/>
      <c r="AN32" s="437"/>
      <c r="AO32" s="437"/>
      <c r="AP32" s="437"/>
      <c r="AQ32" s="1327"/>
      <c r="AR32" s="437"/>
      <c r="AS32" s="437"/>
      <c r="AT32" s="437"/>
      <c r="AU32" s="437"/>
      <c r="AV32" s="437"/>
      <c r="AW32" s="437"/>
      <c r="AX32" s="437"/>
      <c r="AY32" s="437"/>
      <c r="AZ32" s="437"/>
      <c r="BA32" s="437"/>
      <c r="BB32" s="1327"/>
      <c r="BC32" s="437"/>
      <c r="BD32" s="437"/>
      <c r="BE32" s="437"/>
      <c r="BF32" s="437"/>
      <c r="BG32" s="437"/>
      <c r="BH32" s="437"/>
      <c r="BI32" s="437"/>
      <c r="BJ32" s="437"/>
      <c r="BK32" s="437"/>
      <c r="BL32" s="437"/>
      <c r="BM32" s="1327"/>
      <c r="BN32" s="411"/>
      <c r="BO32" s="411"/>
      <c r="BP32" s="411"/>
      <c r="BQ32" s="1327"/>
      <c r="BR32" s="1327"/>
      <c r="BS32" s="1327"/>
      <c r="BT32" s="1327"/>
      <c r="BU32" s="1327"/>
      <c r="BV32" s="1327"/>
      <c r="BW32" s="1327"/>
      <c r="BX32" s="1327"/>
      <c r="BY32" s="1327"/>
      <c r="BZ32" s="1327"/>
      <c r="CA32" s="1327"/>
      <c r="CB32" s="1327"/>
      <c r="CC32" s="1327"/>
      <c r="CD32" s="1327"/>
      <c r="CE32" s="1327"/>
      <c r="CF32" s="1327"/>
      <c r="CG32" s="1327"/>
      <c r="CH32" s="1327"/>
      <c r="CI32" s="1327"/>
      <c r="CJ32" s="1327"/>
      <c r="CK32" s="1327"/>
      <c r="CL32" s="1327"/>
      <c r="CM32" s="1327"/>
      <c r="CN32" s="1327"/>
      <c r="CO32" s="1327"/>
      <c r="CP32" s="1327"/>
      <c r="CQ32" s="1327"/>
      <c r="CR32" s="1327"/>
      <c r="CS32" s="1327"/>
      <c r="CT32" s="1317"/>
      <c r="CU32" s="419"/>
      <c r="CV32" s="419"/>
      <c r="CW32" s="419"/>
      <c r="CX32" s="419"/>
      <c r="CY32" s="419"/>
      <c r="CZ32" s="419"/>
      <c r="DA32" s="419"/>
      <c r="DB32" s="419"/>
      <c r="DC32" s="419"/>
      <c r="DD32" s="419"/>
      <c r="DE32" s="419"/>
      <c r="DF32" s="419"/>
      <c r="DG32" s="419"/>
    </row>
    <row r="33" ht="18.75" customHeight="1">
      <c r="B33" s="545"/>
      <c r="C33" s="545"/>
      <c r="D33" s="1380"/>
      <c r="E33" s="1380"/>
      <c r="G33" s="1344"/>
      <c r="H33" s="1345">
        <f t="shared" si="4"/>
        <v>0</v>
      </c>
      <c r="I33" s="1381"/>
      <c r="J33" s="1381"/>
      <c r="K33" s="1381"/>
      <c r="L33" s="1381"/>
      <c r="M33" s="1347"/>
      <c r="N33" s="1381"/>
      <c r="O33" s="1381"/>
      <c r="P33" s="1381"/>
      <c r="Q33" s="1381"/>
      <c r="R33" s="1381"/>
      <c r="T33" s="1349"/>
      <c r="U33" s="1349" t="s">
        <v>123</v>
      </c>
      <c r="V33" s="1349" t="s">
        <v>123</v>
      </c>
      <c r="W33" s="1349"/>
      <c r="X33" s="1349"/>
      <c r="Y33" s="1308"/>
      <c r="Z33" s="437" t="str">
        <f>IFERROR(__xludf.DUMMYFUNCTION("IF(NOT('portfólio'!$AV$7),"""",IF($T33="""","""",IFERROR(query({AtivosDados},""select sum(""&amp;Z$3&amp;"") where Col1='""&amp;$T33&amp;""' label sum(""&amp;Z$3&amp;"") ''""),0)))"),"")</f>
        <v/>
      </c>
      <c r="AA33" s="437" t="str">
        <f>IFERROR(__xludf.DUMMYFUNCTION("IF(NOT('portfólio'!$AV$7),"""",IF($T33="""","""",IFERROR(query({AtivosDados},""select sum(""&amp;AA$3&amp;"") where Col1='""&amp;$T33&amp;""' label sum(""&amp;AA$3&amp;"") ''""),0)))"),"")</f>
        <v/>
      </c>
      <c r="AB33" s="437" t="str">
        <f>IFERROR(__xludf.DUMMYFUNCTION("IF(NOT('portfólio'!$AV$7),"""",IF($T33="""","""",IFERROR(query({AtivosDados},""select sum(""&amp;AB$3&amp;"") where Col1='""&amp;$T33&amp;""' label sum(""&amp;AB$3&amp;"") ''""),0)))"),"")</f>
        <v/>
      </c>
      <c r="AC33" s="437" t="str">
        <f>IFERROR(__xludf.DUMMYFUNCTION("IF(NOT('portfólio'!$AV$7),"""",IF($T33="""","""",IFERROR(query({AtivosDados},""select sum(""&amp;AC$3&amp;"") where Col1='""&amp;$T33&amp;""' label sum(""&amp;AC$3&amp;"") ''""),0)))"),"")</f>
        <v/>
      </c>
      <c r="AD33" s="437" t="str">
        <f>IFERROR(__xludf.DUMMYFUNCTION("IF(NOT('portfólio'!$AV$7),"""",IF($T33="""","""",IFERROR(query({AtivosDados},""select sum(""&amp;AD$3&amp;"") where Col1='""&amp;$T33&amp;""' label sum(""&amp;AD$3&amp;"") ''""),0)))"),"")</f>
        <v/>
      </c>
      <c r="AE33" s="437"/>
      <c r="AF33" s="1327"/>
      <c r="AG33" s="437"/>
      <c r="AH33" s="437"/>
      <c r="AI33" s="437"/>
      <c r="AJ33" s="437"/>
      <c r="AK33" s="437"/>
      <c r="AL33" s="437"/>
      <c r="AM33" s="437"/>
      <c r="AN33" s="437"/>
      <c r="AO33" s="437"/>
      <c r="AP33" s="437"/>
      <c r="AQ33" s="1327"/>
      <c r="AR33" s="437"/>
      <c r="AS33" s="437"/>
      <c r="AT33" s="437"/>
      <c r="AU33" s="437"/>
      <c r="AV33" s="437"/>
      <c r="AW33" s="437"/>
      <c r="AX33" s="437"/>
      <c r="AY33" s="437"/>
      <c r="AZ33" s="437"/>
      <c r="BA33" s="437"/>
      <c r="BB33" s="1327"/>
      <c r="BC33" s="437"/>
      <c r="BD33" s="437"/>
      <c r="BE33" s="437"/>
      <c r="BF33" s="437"/>
      <c r="BG33" s="437"/>
      <c r="BH33" s="437"/>
      <c r="BI33" s="437"/>
      <c r="BJ33" s="437"/>
      <c r="BK33" s="437"/>
      <c r="BL33" s="437"/>
      <c r="BM33" s="1327"/>
      <c r="BN33" s="411"/>
      <c r="BO33" s="411"/>
      <c r="BP33" s="411"/>
      <c r="BQ33" s="1327"/>
      <c r="BR33" s="1327"/>
      <c r="BS33" s="1327"/>
      <c r="BT33" s="1327"/>
      <c r="BU33" s="1327"/>
      <c r="BV33" s="1327"/>
      <c r="BW33" s="1327"/>
      <c r="BX33" s="1327"/>
      <c r="BY33" s="1327"/>
      <c r="BZ33" s="1327"/>
      <c r="CA33" s="1327"/>
      <c r="CB33" s="1327"/>
      <c r="CC33" s="1327"/>
      <c r="CD33" s="1327"/>
      <c r="CE33" s="1327"/>
      <c r="CF33" s="1327"/>
      <c r="CG33" s="1327"/>
      <c r="CH33" s="1327"/>
      <c r="CI33" s="1327"/>
      <c r="CJ33" s="1327"/>
      <c r="CK33" s="1327"/>
      <c r="CL33" s="1327"/>
      <c r="CM33" s="1327"/>
      <c r="CN33" s="1327"/>
      <c r="CO33" s="1327"/>
      <c r="CP33" s="1327"/>
      <c r="CQ33" s="1327"/>
      <c r="CR33" s="1327"/>
      <c r="CS33" s="1327"/>
      <c r="CT33" s="1317"/>
      <c r="CU33" s="419"/>
      <c r="CV33" s="419"/>
      <c r="CW33" s="419"/>
      <c r="CX33" s="419"/>
      <c r="CY33" s="419"/>
      <c r="CZ33" s="419"/>
      <c r="DA33" s="419"/>
      <c r="DB33" s="419"/>
      <c r="DC33" s="419"/>
      <c r="DD33" s="419"/>
      <c r="DE33" s="419"/>
      <c r="DF33" s="419"/>
      <c r="DG33" s="419"/>
    </row>
    <row r="34" ht="18.75" customHeight="1">
      <c r="B34" s="545"/>
      <c r="C34" s="545"/>
      <c r="G34" s="1344"/>
      <c r="H34" s="1345">
        <f t="shared" si="4"/>
        <v>0</v>
      </c>
      <c r="I34" s="1381"/>
      <c r="J34" s="1381"/>
      <c r="K34" s="1381"/>
      <c r="L34" s="1381"/>
      <c r="M34" s="1347"/>
      <c r="N34" s="1381"/>
      <c r="O34" s="1381"/>
      <c r="P34" s="1381"/>
      <c r="Q34" s="1381"/>
      <c r="R34" s="1381"/>
      <c r="T34" s="1349"/>
      <c r="U34" s="1349" t="s">
        <v>123</v>
      </c>
      <c r="V34" s="1349" t="s">
        <v>123</v>
      </c>
      <c r="W34" s="1349"/>
      <c r="X34" s="1349"/>
      <c r="Y34" s="1308"/>
      <c r="Z34" s="437" t="str">
        <f>IFERROR(__xludf.DUMMYFUNCTION("IF(NOT('portfólio'!$AV$7),"""",IF($T34="""","""",IFERROR(query({AtivosDados},""select sum(""&amp;Z$3&amp;"") where Col1='""&amp;$T34&amp;""' label sum(""&amp;Z$3&amp;"") ''""),0)))"),"")</f>
        <v/>
      </c>
      <c r="AA34" s="437" t="str">
        <f>IFERROR(__xludf.DUMMYFUNCTION("IF(NOT('portfólio'!$AV$7),"""",IF($T34="""","""",IFERROR(query({AtivosDados},""select sum(""&amp;AA$3&amp;"") where Col1='""&amp;$T34&amp;""' label sum(""&amp;AA$3&amp;"") ''""),0)))"),"")</f>
        <v/>
      </c>
      <c r="AB34" s="437" t="str">
        <f>IFERROR(__xludf.DUMMYFUNCTION("IF(NOT('portfólio'!$AV$7),"""",IF($T34="""","""",IFERROR(query({AtivosDados},""select sum(""&amp;AB$3&amp;"") where Col1='""&amp;$T34&amp;""' label sum(""&amp;AB$3&amp;"") ''""),0)))"),"")</f>
        <v/>
      </c>
      <c r="AC34" s="437" t="str">
        <f>IFERROR(__xludf.DUMMYFUNCTION("IF(NOT('portfólio'!$AV$7),"""",IF($T34="""","""",IFERROR(query({AtivosDados},""select sum(""&amp;AC$3&amp;"") where Col1='""&amp;$T34&amp;""' label sum(""&amp;AC$3&amp;"") ''""),0)))"),"")</f>
        <v/>
      </c>
      <c r="AD34" s="437" t="str">
        <f>IFERROR(__xludf.DUMMYFUNCTION("IF(NOT('portfólio'!$AV$7),"""",IF($T34="""","""",IFERROR(query({AtivosDados},""select sum(""&amp;AD$3&amp;"") where Col1='""&amp;$T34&amp;""' label sum(""&amp;AD$3&amp;"") ''""),0)))"),"")</f>
        <v/>
      </c>
      <c r="AE34" s="437"/>
      <c r="AF34" s="1327"/>
      <c r="AG34" s="437"/>
      <c r="AH34" s="437"/>
      <c r="AI34" s="437"/>
      <c r="AJ34" s="437"/>
      <c r="AK34" s="437"/>
      <c r="AL34" s="437"/>
      <c r="AM34" s="437"/>
      <c r="AN34" s="437"/>
      <c r="AO34" s="437"/>
      <c r="AP34" s="437"/>
      <c r="AQ34" s="1327"/>
      <c r="AR34" s="437"/>
      <c r="AS34" s="437"/>
      <c r="AT34" s="437"/>
      <c r="AU34" s="437"/>
      <c r="AV34" s="437"/>
      <c r="AW34" s="437"/>
      <c r="AX34" s="437"/>
      <c r="AY34" s="437"/>
      <c r="AZ34" s="437"/>
      <c r="BA34" s="437"/>
      <c r="BB34" s="1327"/>
      <c r="BC34" s="437"/>
      <c r="BD34" s="437"/>
      <c r="BE34" s="437"/>
      <c r="BF34" s="437"/>
      <c r="BG34" s="437"/>
      <c r="BH34" s="437"/>
      <c r="BI34" s="437"/>
      <c r="BJ34" s="437"/>
      <c r="BK34" s="437"/>
      <c r="BL34" s="437"/>
      <c r="BM34" s="1327"/>
      <c r="BN34" s="411"/>
      <c r="BO34" s="411"/>
      <c r="BP34" s="411"/>
      <c r="BQ34" s="1327"/>
      <c r="BR34" s="1327"/>
      <c r="BS34" s="1327"/>
      <c r="BT34" s="1327"/>
      <c r="BU34" s="1327"/>
      <c r="BV34" s="1327"/>
      <c r="BW34" s="1327"/>
      <c r="BX34" s="1327"/>
      <c r="BY34" s="1327"/>
      <c r="BZ34" s="1327"/>
      <c r="CA34" s="1327"/>
      <c r="CB34" s="1327"/>
      <c r="CC34" s="1327"/>
      <c r="CD34" s="1327"/>
      <c r="CE34" s="1327"/>
      <c r="CF34" s="1327"/>
      <c r="CG34" s="1327"/>
      <c r="CH34" s="1327"/>
      <c r="CI34" s="1327"/>
      <c r="CJ34" s="1327"/>
      <c r="CK34" s="1327"/>
      <c r="CL34" s="1327"/>
      <c r="CM34" s="1327"/>
      <c r="CN34" s="1327"/>
      <c r="CO34" s="1327"/>
      <c r="CP34" s="1327"/>
      <c r="CQ34" s="1327"/>
      <c r="CR34" s="1327"/>
      <c r="CS34" s="1327"/>
      <c r="CT34" s="1317"/>
      <c r="CU34" s="419"/>
      <c r="CV34" s="419"/>
      <c r="CW34" s="419"/>
      <c r="CX34" s="419"/>
      <c r="CY34" s="419"/>
      <c r="CZ34" s="419"/>
      <c r="DA34" s="419"/>
      <c r="DB34" s="419"/>
      <c r="DC34" s="419"/>
      <c r="DD34" s="419"/>
      <c r="DE34" s="419"/>
      <c r="DF34" s="419"/>
      <c r="DG34" s="419"/>
    </row>
    <row r="35" ht="18.75" customHeight="1">
      <c r="B35" s="545"/>
      <c r="C35" s="545"/>
      <c r="G35" s="1344"/>
      <c r="H35" s="1345">
        <f t="shared" si="4"/>
        <v>0</v>
      </c>
      <c r="I35" s="1381"/>
      <c r="J35" s="1381"/>
      <c r="K35" s="1381"/>
      <c r="L35" s="1381"/>
      <c r="M35" s="1347"/>
      <c r="N35" s="1381"/>
      <c r="O35" s="1381"/>
      <c r="P35" s="1381"/>
      <c r="Q35" s="1381"/>
      <c r="R35" s="1381"/>
      <c r="T35" s="1349"/>
      <c r="U35" s="1349" t="s">
        <v>123</v>
      </c>
      <c r="V35" s="1349" t="s">
        <v>123</v>
      </c>
      <c r="W35" s="1349"/>
      <c r="X35" s="1349"/>
      <c r="Y35" s="1308"/>
      <c r="Z35" s="437" t="str">
        <f>IFERROR(__xludf.DUMMYFUNCTION("IF(NOT('portfólio'!$AV$7),"""",IF($T35="""","""",IFERROR(query({AtivosDados},""select sum(""&amp;Z$3&amp;"") where Col1='""&amp;$T35&amp;""' label sum(""&amp;Z$3&amp;"") ''""),0)))"),"")</f>
        <v/>
      </c>
      <c r="AA35" s="437" t="str">
        <f>IFERROR(__xludf.DUMMYFUNCTION("IF(NOT('portfólio'!$AV$7),"""",IF($T35="""","""",IFERROR(query({AtivosDados},""select sum(""&amp;AA$3&amp;"") where Col1='""&amp;$T35&amp;""' label sum(""&amp;AA$3&amp;"") ''""),0)))"),"")</f>
        <v/>
      </c>
      <c r="AB35" s="437" t="str">
        <f>IFERROR(__xludf.DUMMYFUNCTION("IF(NOT('portfólio'!$AV$7),"""",IF($T35="""","""",IFERROR(query({AtivosDados},""select sum(""&amp;AB$3&amp;"") where Col1='""&amp;$T35&amp;""' label sum(""&amp;AB$3&amp;"") ''""),0)))"),"")</f>
        <v/>
      </c>
      <c r="AC35" s="437" t="str">
        <f>IFERROR(__xludf.DUMMYFUNCTION("IF(NOT('portfólio'!$AV$7),"""",IF($T35="""","""",IFERROR(query({AtivosDados},""select sum(""&amp;AC$3&amp;"") where Col1='""&amp;$T35&amp;""' label sum(""&amp;AC$3&amp;"") ''""),0)))"),"")</f>
        <v/>
      </c>
      <c r="AD35" s="437" t="str">
        <f>IFERROR(__xludf.DUMMYFUNCTION("IF(NOT('portfólio'!$AV$7),"""",IF($T35="""","""",IFERROR(query({AtivosDados},""select sum(""&amp;AD$3&amp;"") where Col1='""&amp;$T35&amp;""' label sum(""&amp;AD$3&amp;"") ''""),0)))"),"")</f>
        <v/>
      </c>
      <c r="AE35" s="437"/>
      <c r="AF35" s="1327"/>
      <c r="AG35" s="437"/>
      <c r="AH35" s="437"/>
      <c r="AI35" s="437"/>
      <c r="AJ35" s="437"/>
      <c r="AK35" s="437"/>
      <c r="AL35" s="437"/>
      <c r="AM35" s="437"/>
      <c r="AN35" s="437"/>
      <c r="AO35" s="437"/>
      <c r="AP35" s="437"/>
      <c r="AQ35" s="1327"/>
      <c r="AR35" s="437"/>
      <c r="AS35" s="437"/>
      <c r="AT35" s="437"/>
      <c r="AU35" s="437"/>
      <c r="AV35" s="437"/>
      <c r="AW35" s="437"/>
      <c r="AX35" s="437"/>
      <c r="AY35" s="437"/>
      <c r="AZ35" s="437"/>
      <c r="BA35" s="437"/>
      <c r="BB35" s="1327"/>
      <c r="BC35" s="437"/>
      <c r="BD35" s="437"/>
      <c r="BE35" s="437"/>
      <c r="BF35" s="437"/>
      <c r="BG35" s="437"/>
      <c r="BH35" s="437"/>
      <c r="BI35" s="437"/>
      <c r="BJ35" s="437"/>
      <c r="BK35" s="437"/>
      <c r="BL35" s="437"/>
      <c r="BM35" s="1327"/>
      <c r="BN35" s="411"/>
      <c r="BO35" s="411"/>
      <c r="BP35" s="411"/>
      <c r="BQ35" s="1327"/>
      <c r="BR35" s="1327"/>
      <c r="BS35" s="1327"/>
      <c r="BT35" s="1327"/>
      <c r="BU35" s="1327"/>
      <c r="BV35" s="1327"/>
      <c r="BW35" s="1327"/>
      <c r="BX35" s="1327"/>
      <c r="BY35" s="1327"/>
      <c r="BZ35" s="1327"/>
      <c r="CA35" s="1327"/>
      <c r="CB35" s="1327"/>
      <c r="CC35" s="1327"/>
      <c r="CD35" s="1327"/>
      <c r="CE35" s="1327"/>
      <c r="CF35" s="1327"/>
      <c r="CG35" s="1327"/>
      <c r="CH35" s="1327"/>
      <c r="CI35" s="1327"/>
      <c r="CJ35" s="1327"/>
      <c r="CK35" s="1327"/>
      <c r="CL35" s="1327"/>
      <c r="CM35" s="1327"/>
      <c r="CN35" s="1327"/>
      <c r="CO35" s="1327"/>
      <c r="CP35" s="1327"/>
      <c r="CQ35" s="1327"/>
      <c r="CR35" s="1327"/>
      <c r="CS35" s="1327"/>
      <c r="CT35" s="1317"/>
      <c r="CU35" s="419"/>
      <c r="CV35" s="419"/>
      <c r="CW35" s="419"/>
      <c r="CX35" s="419"/>
      <c r="CY35" s="419"/>
      <c r="CZ35" s="419"/>
      <c r="DA35" s="419"/>
      <c r="DB35" s="419"/>
      <c r="DC35" s="419"/>
      <c r="DD35" s="419"/>
      <c r="DE35" s="419"/>
      <c r="DF35" s="419"/>
      <c r="DG35" s="419"/>
    </row>
    <row r="36" ht="18.75" customHeight="1">
      <c r="B36" s="545"/>
      <c r="C36" s="545"/>
      <c r="G36" s="1344"/>
      <c r="H36" s="1345">
        <f t="shared" si="4"/>
        <v>0</v>
      </c>
      <c r="I36" s="1381"/>
      <c r="J36" s="1381"/>
      <c r="K36" s="1381"/>
      <c r="L36" s="1381"/>
      <c r="M36" s="1381"/>
      <c r="N36" s="1381"/>
      <c r="O36" s="1381"/>
      <c r="P36" s="1381"/>
      <c r="Q36" s="1381"/>
      <c r="R36" s="1381"/>
      <c r="T36" s="1349"/>
      <c r="U36" s="1349" t="s">
        <v>123</v>
      </c>
      <c r="V36" s="1349" t="s">
        <v>123</v>
      </c>
      <c r="W36" s="1349"/>
      <c r="X36" s="1349"/>
      <c r="Y36" s="1308"/>
      <c r="Z36" s="437" t="str">
        <f>IFERROR(__xludf.DUMMYFUNCTION("IF(NOT('portfólio'!$AV$7),"""",IF($T36="""","""",IFERROR(query({AtivosDados},""select sum(""&amp;Z$3&amp;"") where Col1='""&amp;$T36&amp;""' label sum(""&amp;Z$3&amp;"") ''""),0)))"),"")</f>
        <v/>
      </c>
      <c r="AA36" s="437" t="str">
        <f>IFERROR(__xludf.DUMMYFUNCTION("IF(NOT('portfólio'!$AV$7),"""",IF($T36="""","""",IFERROR(query({AtivosDados},""select sum(""&amp;AA$3&amp;"") where Col1='""&amp;$T36&amp;""' label sum(""&amp;AA$3&amp;"") ''""),0)))"),"")</f>
        <v/>
      </c>
      <c r="AB36" s="437" t="str">
        <f>IFERROR(__xludf.DUMMYFUNCTION("IF(NOT('portfólio'!$AV$7),"""",IF($T36="""","""",IFERROR(query({AtivosDados},""select sum(""&amp;AB$3&amp;"") where Col1='""&amp;$T36&amp;""' label sum(""&amp;AB$3&amp;"") ''""),0)))"),"")</f>
        <v/>
      </c>
      <c r="AC36" s="437" t="str">
        <f>IFERROR(__xludf.DUMMYFUNCTION("IF(NOT('portfólio'!$AV$7),"""",IF($T36="""","""",IFERROR(query({AtivosDados},""select sum(""&amp;AC$3&amp;"") where Col1='""&amp;$T36&amp;""' label sum(""&amp;AC$3&amp;"") ''""),0)))"),"")</f>
        <v/>
      </c>
      <c r="AD36" s="437" t="str">
        <f>IFERROR(__xludf.DUMMYFUNCTION("IF(NOT('portfólio'!$AV$7),"""",IF($T36="""","""",IFERROR(query({AtivosDados},""select sum(""&amp;AD$3&amp;"") where Col1='""&amp;$T36&amp;""' label sum(""&amp;AD$3&amp;"") ''""),0)))"),"")</f>
        <v/>
      </c>
      <c r="AE36" s="437"/>
      <c r="AF36" s="1327"/>
      <c r="AG36" s="437"/>
      <c r="AH36" s="437"/>
      <c r="AI36" s="437"/>
      <c r="AJ36" s="437"/>
      <c r="AK36" s="437"/>
      <c r="AL36" s="437"/>
      <c r="AM36" s="437"/>
      <c r="AN36" s="437"/>
      <c r="AO36" s="437"/>
      <c r="AP36" s="437"/>
      <c r="AQ36" s="1327"/>
      <c r="AR36" s="437"/>
      <c r="AS36" s="437"/>
      <c r="AT36" s="437"/>
      <c r="AU36" s="437"/>
      <c r="AV36" s="437"/>
      <c r="AW36" s="437"/>
      <c r="AX36" s="437"/>
      <c r="AY36" s="437"/>
      <c r="AZ36" s="437"/>
      <c r="BA36" s="437"/>
      <c r="BB36" s="1327"/>
      <c r="BC36" s="437"/>
      <c r="BD36" s="437"/>
      <c r="BE36" s="437"/>
      <c r="BF36" s="437"/>
      <c r="BG36" s="437"/>
      <c r="BH36" s="437"/>
      <c r="BI36" s="437"/>
      <c r="BJ36" s="437"/>
      <c r="BK36" s="437"/>
      <c r="BL36" s="437"/>
      <c r="BM36" s="1327"/>
      <c r="BN36" s="411"/>
      <c r="BO36" s="411"/>
      <c r="BP36" s="411"/>
      <c r="BQ36" s="1327"/>
      <c r="BR36" s="1327"/>
      <c r="BS36" s="1327"/>
      <c r="BT36" s="1327"/>
      <c r="BU36" s="1327"/>
      <c r="BV36" s="1327"/>
      <c r="BW36" s="1327"/>
      <c r="BX36" s="1327"/>
      <c r="BY36" s="1327"/>
      <c r="BZ36" s="1327"/>
      <c r="CA36" s="1327"/>
      <c r="CB36" s="1327"/>
      <c r="CC36" s="1327"/>
      <c r="CD36" s="1327"/>
      <c r="CE36" s="1327"/>
      <c r="CF36" s="1327"/>
      <c r="CG36" s="1327"/>
      <c r="CH36" s="1327"/>
      <c r="CI36" s="1327"/>
      <c r="CJ36" s="1327"/>
      <c r="CK36" s="1327"/>
      <c r="CL36" s="1327"/>
      <c r="CM36" s="1327"/>
      <c r="CN36" s="1327"/>
      <c r="CO36" s="1327"/>
      <c r="CP36" s="1327"/>
      <c r="CQ36" s="1327"/>
      <c r="CR36" s="1327"/>
      <c r="CS36" s="1327"/>
      <c r="CT36" s="1317"/>
      <c r="CU36" s="419"/>
      <c r="CV36" s="419"/>
      <c r="CW36" s="419"/>
      <c r="CX36" s="419"/>
      <c r="CY36" s="419"/>
      <c r="CZ36" s="419"/>
      <c r="DA36" s="419"/>
      <c r="DB36" s="419"/>
      <c r="DC36" s="419"/>
      <c r="DD36" s="419"/>
      <c r="DE36" s="419"/>
      <c r="DF36" s="419"/>
      <c r="DG36" s="419"/>
    </row>
    <row r="37" ht="18.75" customHeight="1">
      <c r="B37" s="545"/>
      <c r="C37" s="545"/>
      <c r="G37" s="1344"/>
      <c r="H37" s="1345">
        <f t="shared" si="4"/>
        <v>0</v>
      </c>
      <c r="I37" s="1381"/>
      <c r="J37" s="1381"/>
      <c r="K37" s="1381"/>
      <c r="L37" s="1381"/>
      <c r="M37" s="1381"/>
      <c r="N37" s="1381"/>
      <c r="O37" s="1381"/>
      <c r="P37" s="1381"/>
      <c r="Q37" s="1381"/>
      <c r="R37" s="1381"/>
      <c r="T37" s="1349"/>
      <c r="U37" s="1349" t="s">
        <v>123</v>
      </c>
      <c r="V37" s="1349" t="s">
        <v>123</v>
      </c>
      <c r="W37" s="1349"/>
      <c r="X37" s="1349"/>
      <c r="Y37" s="1308"/>
      <c r="Z37" s="437" t="str">
        <f>IFERROR(__xludf.DUMMYFUNCTION("IF(NOT('portfólio'!$AV$7),"""",IF($T37="""","""",IFERROR(query({AtivosDados},""select sum(""&amp;Z$3&amp;"") where Col1='""&amp;$T37&amp;""' label sum(""&amp;Z$3&amp;"") ''""),0)))"),"")</f>
        <v/>
      </c>
      <c r="AA37" s="437" t="str">
        <f>IFERROR(__xludf.DUMMYFUNCTION("IF(NOT('portfólio'!$AV$7),"""",IF($T37="""","""",IFERROR(query({AtivosDados},""select sum(""&amp;AA$3&amp;"") where Col1='""&amp;$T37&amp;""' label sum(""&amp;AA$3&amp;"") ''""),0)))"),"")</f>
        <v/>
      </c>
      <c r="AB37" s="437" t="str">
        <f>IFERROR(__xludf.DUMMYFUNCTION("IF(NOT('portfólio'!$AV$7),"""",IF($T37="""","""",IFERROR(query({AtivosDados},""select sum(""&amp;AB$3&amp;"") where Col1='""&amp;$T37&amp;""' label sum(""&amp;AB$3&amp;"") ''""),0)))"),"")</f>
        <v/>
      </c>
      <c r="AC37" s="437" t="str">
        <f>IFERROR(__xludf.DUMMYFUNCTION("IF(NOT('portfólio'!$AV$7),"""",IF($T37="""","""",IFERROR(query({AtivosDados},""select sum(""&amp;AC$3&amp;"") where Col1='""&amp;$T37&amp;""' label sum(""&amp;AC$3&amp;"") ''""),0)))"),"")</f>
        <v/>
      </c>
      <c r="AD37" s="437" t="str">
        <f>IFERROR(__xludf.DUMMYFUNCTION("IF(NOT('portfólio'!$AV$7),"""",IF($T37="""","""",IFERROR(query({AtivosDados},""select sum(""&amp;AD$3&amp;"") where Col1='""&amp;$T37&amp;""' label sum(""&amp;AD$3&amp;"") ''""),0)))"),"")</f>
        <v/>
      </c>
      <c r="AE37" s="437"/>
      <c r="AF37" s="1327"/>
      <c r="AG37" s="437"/>
      <c r="AH37" s="437"/>
      <c r="AI37" s="437"/>
      <c r="AJ37" s="437"/>
      <c r="AK37" s="437"/>
      <c r="AL37" s="437"/>
      <c r="AM37" s="437"/>
      <c r="AN37" s="437"/>
      <c r="AO37" s="437"/>
      <c r="AP37" s="437"/>
      <c r="AQ37" s="1327"/>
      <c r="AR37" s="437"/>
      <c r="AS37" s="437"/>
      <c r="AT37" s="437"/>
      <c r="AU37" s="437"/>
      <c r="AV37" s="437"/>
      <c r="AW37" s="437"/>
      <c r="AX37" s="437"/>
      <c r="AY37" s="437"/>
      <c r="AZ37" s="437"/>
      <c r="BA37" s="437"/>
      <c r="BB37" s="1327"/>
      <c r="BC37" s="437"/>
      <c r="BD37" s="437"/>
      <c r="BE37" s="437"/>
      <c r="BF37" s="437"/>
      <c r="BG37" s="437"/>
      <c r="BH37" s="437"/>
      <c r="BI37" s="437"/>
      <c r="BJ37" s="437"/>
      <c r="BK37" s="437"/>
      <c r="BL37" s="437"/>
      <c r="BM37" s="1327"/>
      <c r="BN37" s="411"/>
      <c r="BO37" s="411"/>
      <c r="BP37" s="411"/>
      <c r="BQ37" s="1327"/>
      <c r="BR37" s="1327"/>
      <c r="BS37" s="1327"/>
      <c r="BT37" s="1327"/>
      <c r="BU37" s="1327"/>
      <c r="BV37" s="1327"/>
      <c r="BW37" s="1327"/>
      <c r="BX37" s="1327"/>
      <c r="BY37" s="1327"/>
      <c r="BZ37" s="1327"/>
      <c r="CA37" s="1327"/>
      <c r="CB37" s="1327"/>
      <c r="CC37" s="1327"/>
      <c r="CD37" s="1327"/>
      <c r="CE37" s="1327"/>
      <c r="CF37" s="1327"/>
      <c r="CG37" s="1327"/>
      <c r="CH37" s="1327"/>
      <c r="CI37" s="1327"/>
      <c r="CJ37" s="1327"/>
      <c r="CK37" s="1327"/>
      <c r="CL37" s="1327"/>
      <c r="CM37" s="1327"/>
      <c r="CN37" s="1327"/>
      <c r="CO37" s="1327"/>
      <c r="CP37" s="1327"/>
      <c r="CQ37" s="1327"/>
      <c r="CR37" s="1327"/>
      <c r="CS37" s="1327"/>
      <c r="CT37" s="1317"/>
      <c r="CU37" s="419"/>
      <c r="CV37" s="419"/>
      <c r="CW37" s="419"/>
      <c r="CX37" s="419"/>
      <c r="CY37" s="419"/>
      <c r="CZ37" s="419"/>
      <c r="DA37" s="419"/>
      <c r="DB37" s="419"/>
      <c r="DC37" s="419"/>
      <c r="DD37" s="419"/>
      <c r="DE37" s="419"/>
      <c r="DF37" s="419"/>
      <c r="DG37" s="419"/>
    </row>
    <row r="38" ht="18.75" customHeight="1">
      <c r="B38" s="545"/>
      <c r="C38" s="545"/>
      <c r="G38" s="1344"/>
      <c r="H38" s="1345">
        <f t="shared" si="4"/>
        <v>0</v>
      </c>
      <c r="I38" s="1381"/>
      <c r="J38" s="1381"/>
      <c r="K38" s="1381"/>
      <c r="L38" s="1381"/>
      <c r="M38" s="1381"/>
      <c r="N38" s="1381"/>
      <c r="O38" s="1381"/>
      <c r="P38" s="1381"/>
      <c r="Q38" s="1381"/>
      <c r="R38" s="1381"/>
      <c r="T38" s="1349"/>
      <c r="U38" s="1349" t="s">
        <v>123</v>
      </c>
      <c r="V38" s="1349" t="s">
        <v>123</v>
      </c>
      <c r="W38" s="1349"/>
      <c r="X38" s="1349"/>
      <c r="Y38" s="1308"/>
      <c r="Z38" s="437" t="str">
        <f>IFERROR(__xludf.DUMMYFUNCTION("IF(NOT('portfólio'!$AV$7),"""",IF($T38="""","""",IFERROR(query({AtivosDados},""select sum(""&amp;Z$3&amp;"") where Col1='""&amp;$T38&amp;""' label sum(""&amp;Z$3&amp;"") ''""),0)))"),"")</f>
        <v/>
      </c>
      <c r="AA38" s="437" t="str">
        <f>IFERROR(__xludf.DUMMYFUNCTION("IF(NOT('portfólio'!$AV$7),"""",IF($T38="""","""",IFERROR(query({AtivosDados},""select sum(""&amp;AA$3&amp;"") where Col1='""&amp;$T38&amp;""' label sum(""&amp;AA$3&amp;"") ''""),0)))"),"")</f>
        <v/>
      </c>
      <c r="AB38" s="437" t="str">
        <f>IFERROR(__xludf.DUMMYFUNCTION("IF(NOT('portfólio'!$AV$7),"""",IF($T38="""","""",IFERROR(query({AtivosDados},""select sum(""&amp;AB$3&amp;"") where Col1='""&amp;$T38&amp;""' label sum(""&amp;AB$3&amp;"") ''""),0)))"),"")</f>
        <v/>
      </c>
      <c r="AC38" s="437" t="str">
        <f>IFERROR(__xludf.DUMMYFUNCTION("IF(NOT('portfólio'!$AV$7),"""",IF($T38="""","""",IFERROR(query({AtivosDados},""select sum(""&amp;AC$3&amp;"") where Col1='""&amp;$T38&amp;""' label sum(""&amp;AC$3&amp;"") ''""),0)))"),"")</f>
        <v/>
      </c>
      <c r="AD38" s="437" t="str">
        <f>IFERROR(__xludf.DUMMYFUNCTION("IF(NOT('portfólio'!$AV$7),"""",IF($T38="""","""",IFERROR(query({AtivosDados},""select sum(""&amp;AD$3&amp;"") where Col1='""&amp;$T38&amp;""' label sum(""&amp;AD$3&amp;"") ''""),0)))"),"")</f>
        <v/>
      </c>
      <c r="AE38" s="437"/>
      <c r="AF38" s="1327"/>
      <c r="AG38" s="437"/>
      <c r="AH38" s="437"/>
      <c r="AI38" s="437"/>
      <c r="AJ38" s="437"/>
      <c r="AK38" s="437"/>
      <c r="AL38" s="437"/>
      <c r="AM38" s="437"/>
      <c r="AN38" s="437"/>
      <c r="AO38" s="437"/>
      <c r="AP38" s="437"/>
      <c r="AQ38" s="1327"/>
      <c r="AR38" s="437"/>
      <c r="AS38" s="437"/>
      <c r="AT38" s="437"/>
      <c r="AU38" s="437"/>
      <c r="AV38" s="437"/>
      <c r="AW38" s="437"/>
      <c r="AX38" s="437"/>
      <c r="AY38" s="437"/>
      <c r="AZ38" s="437"/>
      <c r="BA38" s="437"/>
      <c r="BB38" s="1327"/>
      <c r="BC38" s="437"/>
      <c r="BD38" s="437"/>
      <c r="BE38" s="437"/>
      <c r="BF38" s="437"/>
      <c r="BG38" s="437"/>
      <c r="BH38" s="437"/>
      <c r="BI38" s="437"/>
      <c r="BJ38" s="437"/>
      <c r="BK38" s="437"/>
      <c r="BL38" s="437"/>
      <c r="BM38" s="1327"/>
      <c r="BN38" s="419" t="s">
        <v>293</v>
      </c>
      <c r="BO38" s="411">
        <f>TRUNC(BP18-SUM(BO28:BO37),2)</f>
        <v>0</v>
      </c>
      <c r="BP38" s="419">
        <v>0.0</v>
      </c>
      <c r="BQ38" s="1327"/>
      <c r="BR38" s="1327"/>
      <c r="BS38" s="1327"/>
      <c r="BT38" s="1327"/>
      <c r="BU38" s="1327"/>
      <c r="BV38" s="1327"/>
      <c r="BW38" s="1327"/>
      <c r="BX38" s="1327"/>
      <c r="BY38" s="1327"/>
      <c r="BZ38" s="1327"/>
      <c r="CA38" s="1327"/>
      <c r="CB38" s="1327"/>
      <c r="CC38" s="1327"/>
      <c r="CD38" s="1327"/>
      <c r="CE38" s="1327"/>
      <c r="CF38" s="1327"/>
      <c r="CG38" s="1327"/>
      <c r="CH38" s="1327"/>
      <c r="CI38" s="1327"/>
      <c r="CJ38" s="1327"/>
      <c r="CK38" s="1327"/>
      <c r="CL38" s="1327"/>
      <c r="CM38" s="1327"/>
      <c r="CN38" s="1327"/>
      <c r="CO38" s="1327"/>
      <c r="CP38" s="1327"/>
      <c r="CQ38" s="1327"/>
      <c r="CR38" s="1327"/>
      <c r="CS38" s="1327"/>
      <c r="CT38" s="1317"/>
      <c r="CU38" s="419"/>
      <c r="CV38" s="419"/>
      <c r="CW38" s="419"/>
      <c r="CX38" s="419"/>
      <c r="CY38" s="419"/>
      <c r="CZ38" s="419"/>
      <c r="DA38" s="419"/>
      <c r="DB38" s="419"/>
      <c r="DC38" s="419"/>
      <c r="DD38" s="419"/>
      <c r="DE38" s="419"/>
      <c r="DF38" s="419"/>
      <c r="DG38" s="419"/>
    </row>
    <row r="39" ht="18.75" customHeight="1">
      <c r="B39" s="545"/>
      <c r="C39" s="545"/>
      <c r="G39" s="1344"/>
      <c r="H39" s="1345">
        <f t="shared" si="4"/>
        <v>0</v>
      </c>
      <c r="I39" s="1381"/>
      <c r="J39" s="1381"/>
      <c r="K39" s="1381"/>
      <c r="L39" s="1381"/>
      <c r="M39" s="1381"/>
      <c r="N39" s="1381"/>
      <c r="O39" s="1381"/>
      <c r="P39" s="1381"/>
      <c r="Q39" s="1381"/>
      <c r="R39" s="1381"/>
      <c r="T39" s="1349"/>
      <c r="U39" s="1349" t="s">
        <v>123</v>
      </c>
      <c r="V39" s="1349" t="s">
        <v>123</v>
      </c>
      <c r="W39" s="1349"/>
      <c r="X39" s="1349"/>
      <c r="Y39" s="1308"/>
      <c r="Z39" s="437" t="str">
        <f>IFERROR(__xludf.DUMMYFUNCTION("IF(NOT('portfólio'!$AV$7),"""",IF($T39="""","""",IFERROR(query({AtivosDados},""select sum(""&amp;Z$3&amp;"") where Col1='""&amp;$T39&amp;""' label sum(""&amp;Z$3&amp;"") ''""),0)))"),"")</f>
        <v/>
      </c>
      <c r="AA39" s="437" t="str">
        <f>IFERROR(__xludf.DUMMYFUNCTION("IF(NOT('portfólio'!$AV$7),"""",IF($T39="""","""",IFERROR(query({AtivosDados},""select sum(""&amp;AA$3&amp;"") where Col1='""&amp;$T39&amp;""' label sum(""&amp;AA$3&amp;"") ''""),0)))"),"")</f>
        <v/>
      </c>
      <c r="AB39" s="437" t="str">
        <f>IFERROR(__xludf.DUMMYFUNCTION("IF(NOT('portfólio'!$AV$7),"""",IF($T39="""","""",IFERROR(query({AtivosDados},""select sum(""&amp;AB$3&amp;"") where Col1='""&amp;$T39&amp;""' label sum(""&amp;AB$3&amp;"") ''""),0)))"),"")</f>
        <v/>
      </c>
      <c r="AC39" s="437" t="str">
        <f>IFERROR(__xludf.DUMMYFUNCTION("IF(NOT('portfólio'!$AV$7),"""",IF($T39="""","""",IFERROR(query({AtivosDados},""select sum(""&amp;AC$3&amp;"") where Col1='""&amp;$T39&amp;""' label sum(""&amp;AC$3&amp;"") ''""),0)))"),"")</f>
        <v/>
      </c>
      <c r="AD39" s="437" t="str">
        <f>IFERROR(__xludf.DUMMYFUNCTION("IF(NOT('portfólio'!$AV$7),"""",IF($T39="""","""",IFERROR(query({AtivosDados},""select sum(""&amp;AD$3&amp;"") where Col1='""&amp;$T39&amp;""' label sum(""&amp;AD$3&amp;"") ''""),0)))"),"")</f>
        <v/>
      </c>
      <c r="AE39" s="437"/>
      <c r="AF39" s="1327"/>
      <c r="AG39" s="437"/>
      <c r="AH39" s="437"/>
      <c r="AI39" s="437"/>
      <c r="AJ39" s="437"/>
      <c r="AK39" s="437"/>
      <c r="AL39" s="437"/>
      <c r="AM39" s="437"/>
      <c r="AN39" s="437"/>
      <c r="AO39" s="437"/>
      <c r="AP39" s="437"/>
      <c r="AQ39" s="1327"/>
      <c r="AR39" s="437"/>
      <c r="AS39" s="437"/>
      <c r="AT39" s="437"/>
      <c r="AU39" s="437"/>
      <c r="AV39" s="437"/>
      <c r="AW39" s="437"/>
      <c r="AX39" s="437"/>
      <c r="AY39" s="437"/>
      <c r="AZ39" s="437"/>
      <c r="BA39" s="437"/>
      <c r="BB39" s="1327"/>
      <c r="BC39" s="437"/>
      <c r="BD39" s="437"/>
      <c r="BE39" s="437"/>
      <c r="BF39" s="437"/>
      <c r="BG39" s="437"/>
      <c r="BH39" s="437"/>
      <c r="BI39" s="437"/>
      <c r="BJ39" s="437"/>
      <c r="BK39" s="437"/>
      <c r="BL39" s="437"/>
      <c r="BM39" s="1327"/>
      <c r="BN39" s="1327"/>
      <c r="BO39" s="1327"/>
      <c r="BP39" s="1327"/>
      <c r="BQ39" s="1327"/>
      <c r="BR39" s="1327"/>
      <c r="BS39" s="1327"/>
      <c r="BT39" s="1327"/>
      <c r="BU39" s="1327"/>
      <c r="BV39" s="1327"/>
      <c r="BW39" s="1327"/>
      <c r="BX39" s="1327"/>
      <c r="BY39" s="1327"/>
      <c r="BZ39" s="1327"/>
      <c r="CA39" s="1327"/>
      <c r="CB39" s="1327"/>
      <c r="CC39" s="1327"/>
      <c r="CD39" s="1327"/>
      <c r="CE39" s="1327"/>
      <c r="CF39" s="1327"/>
      <c r="CG39" s="1327"/>
      <c r="CH39" s="1327"/>
      <c r="CI39" s="1327"/>
      <c r="CJ39" s="1327"/>
      <c r="CK39" s="1327"/>
      <c r="CL39" s="1327"/>
      <c r="CM39" s="1327"/>
      <c r="CN39" s="1327"/>
      <c r="CO39" s="1327"/>
      <c r="CP39" s="1327"/>
      <c r="CQ39" s="1327"/>
      <c r="CR39" s="1327"/>
      <c r="CS39" s="1327"/>
      <c r="CT39" s="1317"/>
      <c r="CU39" s="419"/>
      <c r="CV39" s="419"/>
      <c r="CW39" s="419"/>
      <c r="CX39" s="419"/>
      <c r="CY39" s="419"/>
      <c r="CZ39" s="419"/>
      <c r="DA39" s="419"/>
      <c r="DB39" s="419"/>
      <c r="DC39" s="419"/>
      <c r="DD39" s="419"/>
      <c r="DE39" s="419"/>
      <c r="DF39" s="419"/>
      <c r="DG39" s="419"/>
    </row>
    <row r="40" ht="18.75" customHeight="1">
      <c r="B40" s="545"/>
      <c r="C40" s="545"/>
      <c r="G40" s="1344"/>
      <c r="H40" s="1345">
        <f t="shared" si="4"/>
        <v>0</v>
      </c>
      <c r="I40" s="1381"/>
      <c r="J40" s="1381"/>
      <c r="K40" s="1381"/>
      <c r="L40" s="1381"/>
      <c r="M40" s="1381"/>
      <c r="N40" s="1381"/>
      <c r="O40" s="1381"/>
      <c r="P40" s="1381"/>
      <c r="Q40" s="1381"/>
      <c r="R40" s="1381"/>
      <c r="T40" s="1349"/>
      <c r="U40" s="1349" t="s">
        <v>123</v>
      </c>
      <c r="V40" s="1349" t="s">
        <v>123</v>
      </c>
      <c r="W40" s="1349"/>
      <c r="X40" s="1349"/>
      <c r="Y40" s="1308"/>
      <c r="Z40" s="437" t="str">
        <f>IFERROR(__xludf.DUMMYFUNCTION("IF(NOT('portfólio'!$AV$7),"""",IF($T40="""","""",IFERROR(query({AtivosDados},""select sum(""&amp;Z$3&amp;"") where Col1='""&amp;$T40&amp;""' label sum(""&amp;Z$3&amp;"") ''""),0)))"),"")</f>
        <v/>
      </c>
      <c r="AA40" s="437" t="str">
        <f>IFERROR(__xludf.DUMMYFUNCTION("IF(NOT('portfólio'!$AV$7),"""",IF($T40="""","""",IFERROR(query({AtivosDados},""select sum(""&amp;AA$3&amp;"") where Col1='""&amp;$T40&amp;""' label sum(""&amp;AA$3&amp;"") ''""),0)))"),"")</f>
        <v/>
      </c>
      <c r="AB40" s="437" t="str">
        <f>IFERROR(__xludf.DUMMYFUNCTION("IF(NOT('portfólio'!$AV$7),"""",IF($T40="""","""",IFERROR(query({AtivosDados},""select sum(""&amp;AB$3&amp;"") where Col1='""&amp;$T40&amp;""' label sum(""&amp;AB$3&amp;"") ''""),0)))"),"")</f>
        <v/>
      </c>
      <c r="AC40" s="437" t="str">
        <f>IFERROR(__xludf.DUMMYFUNCTION("IF(NOT('portfólio'!$AV$7),"""",IF($T40="""","""",IFERROR(query({AtivosDados},""select sum(""&amp;AC$3&amp;"") where Col1='""&amp;$T40&amp;""' label sum(""&amp;AC$3&amp;"") ''""),0)))"),"")</f>
        <v/>
      </c>
      <c r="AD40" s="437" t="str">
        <f>IFERROR(__xludf.DUMMYFUNCTION("IF(NOT('portfólio'!$AV$7),"""",IF($T40="""","""",IFERROR(query({AtivosDados},""select sum(""&amp;AD$3&amp;"") where Col1='""&amp;$T40&amp;""' label sum(""&amp;AD$3&amp;"") ''""),0)))"),"")</f>
        <v/>
      </c>
      <c r="AE40" s="437"/>
      <c r="AF40" s="1327"/>
      <c r="AG40" s="437"/>
      <c r="AH40" s="437"/>
      <c r="AI40" s="437"/>
      <c r="AJ40" s="437"/>
      <c r="AK40" s="437"/>
      <c r="AL40" s="437"/>
      <c r="AM40" s="437"/>
      <c r="AN40" s="437"/>
      <c r="AO40" s="437"/>
      <c r="AP40" s="437"/>
      <c r="AQ40" s="1327"/>
      <c r="AR40" s="437"/>
      <c r="AS40" s="437"/>
      <c r="AT40" s="437"/>
      <c r="AU40" s="437"/>
      <c r="AV40" s="437"/>
      <c r="AW40" s="437"/>
      <c r="AX40" s="437"/>
      <c r="AY40" s="437"/>
      <c r="AZ40" s="437"/>
      <c r="BA40" s="437"/>
      <c r="BB40" s="1327"/>
      <c r="BC40" s="437"/>
      <c r="BD40" s="437"/>
      <c r="BE40" s="437"/>
      <c r="BF40" s="437"/>
      <c r="BG40" s="437"/>
      <c r="BH40" s="437"/>
      <c r="BI40" s="437"/>
      <c r="BJ40" s="437"/>
      <c r="BK40" s="437"/>
      <c r="BL40" s="437"/>
      <c r="BM40" s="1327"/>
      <c r="BN40" s="1327"/>
      <c r="BO40" s="1327"/>
      <c r="BP40" s="1327"/>
      <c r="BQ40" s="1327"/>
      <c r="BR40" s="1327"/>
      <c r="BS40" s="1327"/>
      <c r="BT40" s="1327"/>
      <c r="BU40" s="1327"/>
      <c r="BV40" s="1327"/>
      <c r="BW40" s="1327"/>
      <c r="BX40" s="1327"/>
      <c r="BY40" s="1327"/>
      <c r="BZ40" s="1327"/>
      <c r="CA40" s="1327"/>
      <c r="CB40" s="1327"/>
      <c r="CC40" s="1327"/>
      <c r="CD40" s="1327"/>
      <c r="CE40" s="1327"/>
      <c r="CF40" s="1327"/>
      <c r="CG40" s="1327"/>
      <c r="CH40" s="1327"/>
      <c r="CI40" s="1327"/>
      <c r="CJ40" s="1327"/>
      <c r="CK40" s="1327"/>
      <c r="CL40" s="1327"/>
      <c r="CM40" s="1327"/>
      <c r="CN40" s="1327"/>
      <c r="CO40" s="1327"/>
      <c r="CP40" s="1327"/>
      <c r="CQ40" s="1327"/>
      <c r="CR40" s="1327"/>
      <c r="CS40" s="1327"/>
      <c r="CT40" s="1317"/>
      <c r="CU40" s="419"/>
      <c r="CV40" s="419"/>
      <c r="CW40" s="419"/>
      <c r="CX40" s="419"/>
      <c r="CY40" s="419"/>
      <c r="CZ40" s="419"/>
      <c r="DA40" s="419"/>
      <c r="DB40" s="419"/>
      <c r="DC40" s="419"/>
      <c r="DD40" s="419"/>
      <c r="DE40" s="419"/>
      <c r="DF40" s="419"/>
      <c r="DG40" s="419"/>
    </row>
    <row r="41" ht="18.75" customHeight="1">
      <c r="B41" s="545"/>
      <c r="C41" s="545"/>
      <c r="G41" s="1344"/>
      <c r="H41" s="1345">
        <f t="shared" si="4"/>
        <v>0</v>
      </c>
      <c r="I41" s="1381"/>
      <c r="J41" s="1381"/>
      <c r="K41" s="1381"/>
      <c r="L41" s="1381"/>
      <c r="M41" s="1381"/>
      <c r="N41" s="1381"/>
      <c r="O41" s="1381"/>
      <c r="P41" s="1381"/>
      <c r="Q41" s="1381"/>
      <c r="R41" s="1381"/>
      <c r="T41" s="1349"/>
      <c r="U41" s="1349" t="s">
        <v>123</v>
      </c>
      <c r="V41" s="1349" t="s">
        <v>123</v>
      </c>
      <c r="W41" s="1349"/>
      <c r="X41" s="1349"/>
      <c r="Y41" s="1308"/>
      <c r="Z41" s="437" t="str">
        <f>IFERROR(__xludf.DUMMYFUNCTION("IF(NOT('portfólio'!$AV$7),"""",IF($T41="""","""",IFERROR(query({AtivosDados},""select sum(""&amp;Z$3&amp;"") where Col1='""&amp;$T41&amp;""' label sum(""&amp;Z$3&amp;"") ''""),0)))"),"")</f>
        <v/>
      </c>
      <c r="AA41" s="437" t="str">
        <f>IFERROR(__xludf.DUMMYFUNCTION("IF(NOT('portfólio'!$AV$7),"""",IF($T41="""","""",IFERROR(query({AtivosDados},""select sum(""&amp;AA$3&amp;"") where Col1='""&amp;$T41&amp;""' label sum(""&amp;AA$3&amp;"") ''""),0)))"),"")</f>
        <v/>
      </c>
      <c r="AB41" s="437" t="str">
        <f>IFERROR(__xludf.DUMMYFUNCTION("IF(NOT('portfólio'!$AV$7),"""",IF($T41="""","""",IFERROR(query({AtivosDados},""select sum(""&amp;AB$3&amp;"") where Col1='""&amp;$T41&amp;""' label sum(""&amp;AB$3&amp;"") ''""),0)))"),"")</f>
        <v/>
      </c>
      <c r="AC41" s="437" t="str">
        <f>IFERROR(__xludf.DUMMYFUNCTION("IF(NOT('portfólio'!$AV$7),"""",IF($T41="""","""",IFERROR(query({AtivosDados},""select sum(""&amp;AC$3&amp;"") where Col1='""&amp;$T41&amp;""' label sum(""&amp;AC$3&amp;"") ''""),0)))"),"")</f>
        <v/>
      </c>
      <c r="AD41" s="437" t="str">
        <f>IFERROR(__xludf.DUMMYFUNCTION("IF(NOT('portfólio'!$AV$7),"""",IF($T41="""","""",IFERROR(query({AtivosDados},""select sum(""&amp;AD$3&amp;"") where Col1='""&amp;$T41&amp;""' label sum(""&amp;AD$3&amp;"") ''""),0)))"),"")</f>
        <v/>
      </c>
      <c r="AE41" s="437"/>
      <c r="AF41" s="1327"/>
      <c r="AG41" s="437"/>
      <c r="AH41" s="437"/>
      <c r="AI41" s="437"/>
      <c r="AJ41" s="437"/>
      <c r="AK41" s="437"/>
      <c r="AL41" s="437"/>
      <c r="AM41" s="437"/>
      <c r="AN41" s="437"/>
      <c r="AO41" s="437"/>
      <c r="AP41" s="437"/>
      <c r="AQ41" s="1327"/>
      <c r="AR41" s="437"/>
      <c r="AS41" s="437"/>
      <c r="AT41" s="437"/>
      <c r="AU41" s="437"/>
      <c r="AV41" s="437"/>
      <c r="AW41" s="437"/>
      <c r="AX41" s="437"/>
      <c r="AY41" s="437"/>
      <c r="AZ41" s="437"/>
      <c r="BA41" s="437"/>
      <c r="BB41" s="1327"/>
      <c r="BC41" s="437"/>
      <c r="BD41" s="437"/>
      <c r="BE41" s="437"/>
      <c r="BF41" s="437"/>
      <c r="BG41" s="437"/>
      <c r="BH41" s="437"/>
      <c r="BI41" s="437"/>
      <c r="BJ41" s="437"/>
      <c r="BK41" s="437"/>
      <c r="BL41" s="437"/>
      <c r="BM41" s="1327"/>
      <c r="BN41" s="1327"/>
      <c r="BO41" s="1327"/>
      <c r="BP41" s="1327"/>
      <c r="BQ41" s="1327"/>
      <c r="BR41" s="1327"/>
      <c r="BS41" s="1327"/>
      <c r="BT41" s="1327"/>
      <c r="BU41" s="1327"/>
      <c r="BV41" s="1327"/>
      <c r="BW41" s="1327"/>
      <c r="BX41" s="1327"/>
      <c r="BY41" s="1327"/>
      <c r="BZ41" s="1327"/>
      <c r="CA41" s="1327"/>
      <c r="CB41" s="1327"/>
      <c r="CC41" s="1327"/>
      <c r="CD41" s="1327"/>
      <c r="CE41" s="1327"/>
      <c r="CF41" s="1327"/>
      <c r="CG41" s="1327"/>
      <c r="CH41" s="1327"/>
      <c r="CI41" s="1327"/>
      <c r="CJ41" s="1327"/>
      <c r="CK41" s="1327"/>
      <c r="CL41" s="1327"/>
      <c r="CM41" s="1327"/>
      <c r="CN41" s="1327"/>
      <c r="CO41" s="1327"/>
      <c r="CP41" s="1327"/>
      <c r="CQ41" s="1327"/>
      <c r="CR41" s="1327"/>
      <c r="CS41" s="1327"/>
      <c r="CT41" s="1317"/>
      <c r="CU41" s="419"/>
      <c r="CV41" s="419"/>
      <c r="CW41" s="419"/>
      <c r="CX41" s="419"/>
      <c r="CY41" s="419"/>
      <c r="CZ41" s="419"/>
      <c r="DA41" s="419"/>
      <c r="DB41" s="419"/>
      <c r="DC41" s="419"/>
      <c r="DD41" s="419"/>
      <c r="DE41" s="419"/>
      <c r="DF41" s="419"/>
      <c r="DG41" s="419"/>
    </row>
    <row r="42" ht="18.75" customHeight="1">
      <c r="B42" s="545"/>
      <c r="C42" s="545"/>
      <c r="G42" s="1344"/>
      <c r="H42" s="1345">
        <f t="shared" si="4"/>
        <v>0</v>
      </c>
      <c r="I42" s="1381"/>
      <c r="J42" s="1381"/>
      <c r="K42" s="1381"/>
      <c r="L42" s="1381"/>
      <c r="M42" s="1381"/>
      <c r="N42" s="1381"/>
      <c r="O42" s="1381"/>
      <c r="P42" s="1381"/>
      <c r="Q42" s="1381"/>
      <c r="R42" s="1381"/>
      <c r="T42" s="1349"/>
      <c r="U42" s="1349" t="s">
        <v>123</v>
      </c>
      <c r="V42" s="1349" t="s">
        <v>123</v>
      </c>
      <c r="W42" s="1349"/>
      <c r="X42" s="1349"/>
      <c r="Y42" s="1308"/>
      <c r="Z42" s="437" t="str">
        <f>IFERROR(__xludf.DUMMYFUNCTION("IF(NOT('portfólio'!$AV$7),"""",IF($T42="""","""",IFERROR(query({AtivosDados},""select sum(""&amp;Z$3&amp;"") where Col1='""&amp;$T42&amp;""' label sum(""&amp;Z$3&amp;"") ''""),0)))"),"")</f>
        <v/>
      </c>
      <c r="AA42" s="437" t="str">
        <f>IFERROR(__xludf.DUMMYFUNCTION("IF(NOT('portfólio'!$AV$7),"""",IF($T42="""","""",IFERROR(query({AtivosDados},""select sum(""&amp;AA$3&amp;"") where Col1='""&amp;$T42&amp;""' label sum(""&amp;AA$3&amp;"") ''""),0)))"),"")</f>
        <v/>
      </c>
      <c r="AB42" s="437" t="str">
        <f>IFERROR(__xludf.DUMMYFUNCTION("IF(NOT('portfólio'!$AV$7),"""",IF($T42="""","""",IFERROR(query({AtivosDados},""select sum(""&amp;AB$3&amp;"") where Col1='""&amp;$T42&amp;""' label sum(""&amp;AB$3&amp;"") ''""),0)))"),"")</f>
        <v/>
      </c>
      <c r="AC42" s="437" t="str">
        <f>IFERROR(__xludf.DUMMYFUNCTION("IF(NOT('portfólio'!$AV$7),"""",IF($T42="""","""",IFERROR(query({AtivosDados},""select sum(""&amp;AC$3&amp;"") where Col1='""&amp;$T42&amp;""' label sum(""&amp;AC$3&amp;"") ''""),0)))"),"")</f>
        <v/>
      </c>
      <c r="AD42" s="437" t="str">
        <f>IFERROR(__xludf.DUMMYFUNCTION("IF(NOT('portfólio'!$AV$7),"""",IF($T42="""","""",IFERROR(query({AtivosDados},""select sum(""&amp;AD$3&amp;"") where Col1='""&amp;$T42&amp;""' label sum(""&amp;AD$3&amp;"") ''""),0)))"),"")</f>
        <v/>
      </c>
      <c r="AE42" s="437"/>
      <c r="AF42" s="1327"/>
      <c r="AG42" s="437"/>
      <c r="AH42" s="437"/>
      <c r="AI42" s="437"/>
      <c r="AJ42" s="437"/>
      <c r="AK42" s="437"/>
      <c r="AL42" s="437"/>
      <c r="AM42" s="437"/>
      <c r="AN42" s="437"/>
      <c r="AO42" s="437"/>
      <c r="AP42" s="437"/>
      <c r="AQ42" s="1327"/>
      <c r="AR42" s="437"/>
      <c r="AS42" s="437"/>
      <c r="AT42" s="437"/>
      <c r="AU42" s="437"/>
      <c r="AV42" s="437"/>
      <c r="AW42" s="437"/>
      <c r="AX42" s="437"/>
      <c r="AY42" s="437"/>
      <c r="AZ42" s="437"/>
      <c r="BA42" s="437"/>
      <c r="BB42" s="1327"/>
      <c r="BC42" s="437"/>
      <c r="BD42" s="437"/>
      <c r="BE42" s="437"/>
      <c r="BF42" s="437"/>
      <c r="BG42" s="437"/>
      <c r="BH42" s="437"/>
      <c r="BI42" s="437"/>
      <c r="BJ42" s="437"/>
      <c r="BK42" s="437"/>
      <c r="BL42" s="437"/>
      <c r="BM42" s="1327"/>
      <c r="BN42" s="1327"/>
      <c r="BO42" s="1327"/>
      <c r="BP42" s="1327"/>
      <c r="BQ42" s="1327"/>
      <c r="BR42" s="1327"/>
      <c r="BS42" s="1327"/>
      <c r="BT42" s="1327"/>
      <c r="BU42" s="1327"/>
      <c r="BV42" s="1327"/>
      <c r="BW42" s="1327"/>
      <c r="BX42" s="1327"/>
      <c r="BY42" s="1327"/>
      <c r="BZ42" s="1327"/>
      <c r="CA42" s="1327"/>
      <c r="CB42" s="1327"/>
      <c r="CC42" s="1327"/>
      <c r="CD42" s="1327"/>
      <c r="CE42" s="1327"/>
      <c r="CF42" s="1327"/>
      <c r="CG42" s="1327"/>
      <c r="CH42" s="1327"/>
      <c r="CI42" s="1327"/>
      <c r="CJ42" s="1327"/>
      <c r="CK42" s="1327"/>
      <c r="CL42" s="1327"/>
      <c r="CM42" s="1327"/>
      <c r="CN42" s="1327"/>
      <c r="CO42" s="1327"/>
      <c r="CP42" s="1327"/>
      <c r="CQ42" s="1327"/>
      <c r="CR42" s="1327"/>
      <c r="CS42" s="1327"/>
      <c r="CT42" s="1317"/>
      <c r="CU42" s="419"/>
      <c r="CV42" s="419"/>
      <c r="CW42" s="419"/>
      <c r="CX42" s="419"/>
      <c r="CY42" s="419"/>
      <c r="CZ42" s="419"/>
      <c r="DA42" s="419"/>
      <c r="DB42" s="419"/>
      <c r="DC42" s="419"/>
      <c r="DD42" s="419"/>
      <c r="DE42" s="419"/>
      <c r="DF42" s="419"/>
      <c r="DG42" s="419"/>
    </row>
    <row r="43" ht="18.75" customHeight="1">
      <c r="B43" s="545"/>
      <c r="C43" s="545"/>
      <c r="G43" s="1344"/>
      <c r="H43" s="1345">
        <f t="shared" si="4"/>
        <v>0</v>
      </c>
      <c r="I43" s="1381"/>
      <c r="J43" s="1381"/>
      <c r="K43" s="1381"/>
      <c r="L43" s="1381"/>
      <c r="M43" s="1381"/>
      <c r="N43" s="1381"/>
      <c r="O43" s="1381"/>
      <c r="P43" s="1381"/>
      <c r="Q43" s="1381"/>
      <c r="R43" s="1381"/>
      <c r="T43" s="1349"/>
      <c r="U43" s="1349" t="s">
        <v>123</v>
      </c>
      <c r="V43" s="1349" t="s">
        <v>123</v>
      </c>
      <c r="W43" s="1349"/>
      <c r="X43" s="1349"/>
      <c r="Y43" s="1308"/>
      <c r="Z43" s="437" t="str">
        <f>IFERROR(__xludf.DUMMYFUNCTION("IF(NOT('portfólio'!$AV$7),"""",IF($T43="""","""",IFERROR(query({AtivosDados},""select sum(""&amp;Z$3&amp;"") where Col1='""&amp;$T43&amp;""' label sum(""&amp;Z$3&amp;"") ''""),0)))"),"")</f>
        <v/>
      </c>
      <c r="AA43" s="437" t="str">
        <f>IFERROR(__xludf.DUMMYFUNCTION("IF(NOT('portfólio'!$AV$7),"""",IF($T43="""","""",IFERROR(query({AtivosDados},""select sum(""&amp;AA$3&amp;"") where Col1='""&amp;$T43&amp;""' label sum(""&amp;AA$3&amp;"") ''""),0)))"),"")</f>
        <v/>
      </c>
      <c r="AB43" s="437" t="str">
        <f>IFERROR(__xludf.DUMMYFUNCTION("IF(NOT('portfólio'!$AV$7),"""",IF($T43="""","""",IFERROR(query({AtivosDados},""select sum(""&amp;AB$3&amp;"") where Col1='""&amp;$T43&amp;""' label sum(""&amp;AB$3&amp;"") ''""),0)))"),"")</f>
        <v/>
      </c>
      <c r="AC43" s="437" t="str">
        <f>IFERROR(__xludf.DUMMYFUNCTION("IF(NOT('portfólio'!$AV$7),"""",IF($T43="""","""",IFERROR(query({AtivosDados},""select sum(""&amp;AC$3&amp;"") where Col1='""&amp;$T43&amp;""' label sum(""&amp;AC$3&amp;"") ''""),0)))"),"")</f>
        <v/>
      </c>
      <c r="AD43" s="437" t="str">
        <f>IFERROR(__xludf.DUMMYFUNCTION("IF(NOT('portfólio'!$AV$7),"""",IF($T43="""","""",IFERROR(query({AtivosDados},""select sum(""&amp;AD$3&amp;"") where Col1='""&amp;$T43&amp;""' label sum(""&amp;AD$3&amp;"") ''""),0)))"),"")</f>
        <v/>
      </c>
      <c r="AE43" s="437"/>
      <c r="AF43" s="1327"/>
      <c r="AG43" s="437"/>
      <c r="AH43" s="437"/>
      <c r="AI43" s="437"/>
      <c r="AJ43" s="437"/>
      <c r="AK43" s="437"/>
      <c r="AL43" s="437"/>
      <c r="AM43" s="437"/>
      <c r="AN43" s="437"/>
      <c r="AO43" s="437"/>
      <c r="AP43" s="437"/>
      <c r="AQ43" s="1327"/>
      <c r="AR43" s="437"/>
      <c r="AS43" s="437"/>
      <c r="AT43" s="437"/>
      <c r="AU43" s="437"/>
      <c r="AV43" s="437"/>
      <c r="AW43" s="437"/>
      <c r="AX43" s="437"/>
      <c r="AY43" s="437"/>
      <c r="AZ43" s="437"/>
      <c r="BA43" s="437"/>
      <c r="BB43" s="1327"/>
      <c r="BC43" s="437"/>
      <c r="BD43" s="437"/>
      <c r="BE43" s="437"/>
      <c r="BF43" s="437"/>
      <c r="BG43" s="437"/>
      <c r="BH43" s="437"/>
      <c r="BI43" s="437"/>
      <c r="BJ43" s="437"/>
      <c r="BK43" s="437"/>
      <c r="BL43" s="437"/>
      <c r="BM43" s="1327"/>
      <c r="BN43" s="1327"/>
      <c r="BO43" s="1327"/>
      <c r="BP43" s="1327"/>
      <c r="BQ43" s="1327"/>
      <c r="BR43" s="1327"/>
      <c r="BS43" s="1327"/>
      <c r="BT43" s="1327"/>
      <c r="BU43" s="1327"/>
      <c r="BV43" s="1327"/>
      <c r="BW43" s="1327"/>
      <c r="BX43" s="1327"/>
      <c r="BY43" s="1327"/>
      <c r="BZ43" s="1327"/>
      <c r="CA43" s="1327"/>
      <c r="CB43" s="1327"/>
      <c r="CC43" s="1327"/>
      <c r="CD43" s="1327"/>
      <c r="CE43" s="1327"/>
      <c r="CF43" s="1327"/>
      <c r="CG43" s="1327"/>
      <c r="CH43" s="1327"/>
      <c r="CI43" s="1327"/>
      <c r="CJ43" s="1327"/>
      <c r="CK43" s="1327"/>
      <c r="CL43" s="1327"/>
      <c r="CM43" s="1327"/>
      <c r="CN43" s="1327"/>
      <c r="CO43" s="1327"/>
      <c r="CP43" s="1327"/>
      <c r="CQ43" s="1327"/>
      <c r="CR43" s="1327"/>
      <c r="CS43" s="1327"/>
      <c r="CT43" s="1317"/>
      <c r="CU43" s="419"/>
      <c r="CV43" s="419"/>
      <c r="CW43" s="419"/>
      <c r="CX43" s="419"/>
      <c r="CY43" s="419"/>
      <c r="CZ43" s="419"/>
      <c r="DA43" s="419"/>
      <c r="DB43" s="419"/>
      <c r="DC43" s="419"/>
      <c r="DD43" s="419"/>
      <c r="DE43" s="419"/>
      <c r="DF43" s="419"/>
      <c r="DG43" s="419"/>
    </row>
    <row r="44" ht="18.75" customHeight="1">
      <c r="B44" s="545"/>
      <c r="C44" s="545"/>
      <c r="G44" s="1344"/>
      <c r="H44" s="1345">
        <f t="shared" si="4"/>
        <v>0</v>
      </c>
      <c r="I44" s="1381"/>
      <c r="J44" s="1381"/>
      <c r="K44" s="1381"/>
      <c r="L44" s="1381"/>
      <c r="M44" s="1381"/>
      <c r="N44" s="1381"/>
      <c r="O44" s="1381"/>
      <c r="P44" s="1381"/>
      <c r="Q44" s="1381"/>
      <c r="R44" s="1381"/>
      <c r="T44" s="1349"/>
      <c r="U44" s="1349" t="s">
        <v>123</v>
      </c>
      <c r="V44" s="1349" t="s">
        <v>123</v>
      </c>
      <c r="W44" s="1349"/>
      <c r="X44" s="1349"/>
      <c r="Y44" s="1308"/>
      <c r="Z44" s="437" t="str">
        <f>IFERROR(__xludf.DUMMYFUNCTION("IF(NOT('portfólio'!$AV$7),"""",IF($T44="""","""",IFERROR(query({AtivosDados},""select sum(""&amp;Z$3&amp;"") where Col1='""&amp;$T44&amp;""' label sum(""&amp;Z$3&amp;"") ''""),0)))"),"")</f>
        <v/>
      </c>
      <c r="AA44" s="437" t="str">
        <f>IFERROR(__xludf.DUMMYFUNCTION("IF(NOT('portfólio'!$AV$7),"""",IF($T44="""","""",IFERROR(query({AtivosDados},""select sum(""&amp;AA$3&amp;"") where Col1='""&amp;$T44&amp;""' label sum(""&amp;AA$3&amp;"") ''""),0)))"),"")</f>
        <v/>
      </c>
      <c r="AB44" s="437" t="str">
        <f>IFERROR(__xludf.DUMMYFUNCTION("IF(NOT('portfólio'!$AV$7),"""",IF($T44="""","""",IFERROR(query({AtivosDados},""select sum(""&amp;AB$3&amp;"") where Col1='""&amp;$T44&amp;""' label sum(""&amp;AB$3&amp;"") ''""),0)))"),"")</f>
        <v/>
      </c>
      <c r="AC44" s="437" t="str">
        <f>IFERROR(__xludf.DUMMYFUNCTION("IF(NOT('portfólio'!$AV$7),"""",IF($T44="""","""",IFERROR(query({AtivosDados},""select sum(""&amp;AC$3&amp;"") where Col1='""&amp;$T44&amp;""' label sum(""&amp;AC$3&amp;"") ''""),0)))"),"")</f>
        <v/>
      </c>
      <c r="AD44" s="437" t="str">
        <f>IFERROR(__xludf.DUMMYFUNCTION("IF(NOT('portfólio'!$AV$7),"""",IF($T44="""","""",IFERROR(query({AtivosDados},""select sum(""&amp;AD$3&amp;"") where Col1='""&amp;$T44&amp;""' label sum(""&amp;AD$3&amp;"") ''""),0)))"),"")</f>
        <v/>
      </c>
      <c r="AE44" s="437"/>
      <c r="AF44" s="1327"/>
      <c r="AG44" s="437"/>
      <c r="AH44" s="437"/>
      <c r="AI44" s="437"/>
      <c r="AJ44" s="437"/>
      <c r="AK44" s="437"/>
      <c r="AL44" s="437"/>
      <c r="AM44" s="437"/>
      <c r="AN44" s="437"/>
      <c r="AO44" s="437"/>
      <c r="AP44" s="437"/>
      <c r="AQ44" s="1327"/>
      <c r="AR44" s="437"/>
      <c r="AS44" s="437"/>
      <c r="AT44" s="437"/>
      <c r="AU44" s="437"/>
      <c r="AV44" s="437"/>
      <c r="AW44" s="437"/>
      <c r="AX44" s="437"/>
      <c r="AY44" s="437"/>
      <c r="AZ44" s="437"/>
      <c r="BA44" s="437"/>
      <c r="BB44" s="1327"/>
      <c r="BC44" s="437"/>
      <c r="BD44" s="437"/>
      <c r="BE44" s="437"/>
      <c r="BF44" s="437"/>
      <c r="BG44" s="437"/>
      <c r="BH44" s="437"/>
      <c r="BI44" s="437"/>
      <c r="BJ44" s="437"/>
      <c r="BK44" s="437"/>
      <c r="BL44" s="437"/>
      <c r="BM44" s="1327"/>
      <c r="BN44" s="1327"/>
      <c r="BO44" s="1327"/>
      <c r="BP44" s="1327"/>
      <c r="BQ44" s="1327"/>
      <c r="BR44" s="1327"/>
      <c r="BS44" s="1327"/>
      <c r="BT44" s="1327"/>
      <c r="BU44" s="1327"/>
      <c r="BV44" s="1327"/>
      <c r="BW44" s="1327"/>
      <c r="BX44" s="1327"/>
      <c r="BY44" s="1327"/>
      <c r="BZ44" s="1327"/>
      <c r="CA44" s="1327"/>
      <c r="CB44" s="1327"/>
      <c r="CC44" s="1327"/>
      <c r="CD44" s="1327"/>
      <c r="CE44" s="1327"/>
      <c r="CF44" s="1327"/>
      <c r="CG44" s="1327"/>
      <c r="CH44" s="1327"/>
      <c r="CI44" s="1327"/>
      <c r="CJ44" s="1327"/>
      <c r="CK44" s="1327"/>
      <c r="CL44" s="1327"/>
      <c r="CM44" s="1327"/>
      <c r="CN44" s="1327"/>
      <c r="CO44" s="1327"/>
      <c r="CP44" s="1327"/>
      <c r="CQ44" s="1327"/>
      <c r="CR44" s="1327"/>
      <c r="CS44" s="1327"/>
      <c r="CT44" s="1317"/>
      <c r="CU44" s="419"/>
      <c r="CV44" s="419"/>
      <c r="CW44" s="419"/>
      <c r="CX44" s="419"/>
      <c r="CY44" s="419"/>
      <c r="CZ44" s="419"/>
      <c r="DA44" s="419"/>
      <c r="DB44" s="419"/>
      <c r="DC44" s="419"/>
      <c r="DD44" s="419"/>
      <c r="DE44" s="419"/>
      <c r="DF44" s="419"/>
      <c r="DG44" s="419"/>
    </row>
    <row r="45" ht="18.75" customHeight="1">
      <c r="B45" s="545"/>
      <c r="C45" s="545"/>
      <c r="G45" s="1344"/>
      <c r="H45" s="1345">
        <f t="shared" si="4"/>
        <v>0</v>
      </c>
      <c r="I45" s="1381"/>
      <c r="J45" s="1381"/>
      <c r="K45" s="1381"/>
      <c r="L45" s="1381"/>
      <c r="M45" s="1381"/>
      <c r="N45" s="1381"/>
      <c r="O45" s="1381"/>
      <c r="P45" s="1381"/>
      <c r="Q45" s="1381"/>
      <c r="R45" s="1381"/>
      <c r="T45" s="1349"/>
      <c r="U45" s="1349" t="s">
        <v>123</v>
      </c>
      <c r="V45" s="1349" t="s">
        <v>123</v>
      </c>
      <c r="W45" s="1349"/>
      <c r="X45" s="1349"/>
      <c r="Y45" s="1308"/>
      <c r="Z45" s="437" t="str">
        <f>IFERROR(__xludf.DUMMYFUNCTION("IF(NOT('portfólio'!$AV$7),"""",IF($T45="""","""",IFERROR(query({AtivosDados},""select sum(""&amp;Z$3&amp;"") where Col1='""&amp;$T45&amp;""' label sum(""&amp;Z$3&amp;"") ''""),0)))"),"")</f>
        <v/>
      </c>
      <c r="AA45" s="437" t="str">
        <f>IFERROR(__xludf.DUMMYFUNCTION("IF(NOT('portfólio'!$AV$7),"""",IF($T45="""","""",IFERROR(query({AtivosDados},""select sum(""&amp;AA$3&amp;"") where Col1='""&amp;$T45&amp;""' label sum(""&amp;AA$3&amp;"") ''""),0)))"),"")</f>
        <v/>
      </c>
      <c r="AB45" s="437" t="str">
        <f>IFERROR(__xludf.DUMMYFUNCTION("IF(NOT('portfólio'!$AV$7),"""",IF($T45="""","""",IFERROR(query({AtivosDados},""select sum(""&amp;AB$3&amp;"") where Col1='""&amp;$T45&amp;""' label sum(""&amp;AB$3&amp;"") ''""),0)))"),"")</f>
        <v/>
      </c>
      <c r="AC45" s="437" t="str">
        <f>IFERROR(__xludf.DUMMYFUNCTION("IF(NOT('portfólio'!$AV$7),"""",IF($T45="""","""",IFERROR(query({AtivosDados},""select sum(""&amp;AC$3&amp;"") where Col1='""&amp;$T45&amp;""' label sum(""&amp;AC$3&amp;"") ''""),0)))"),"")</f>
        <v/>
      </c>
      <c r="AD45" s="437" t="str">
        <f>IFERROR(__xludf.DUMMYFUNCTION("IF(NOT('portfólio'!$AV$7),"""",IF($T45="""","""",IFERROR(query({AtivosDados},""select sum(""&amp;AD$3&amp;"") where Col1='""&amp;$T45&amp;""' label sum(""&amp;AD$3&amp;"") ''""),0)))"),"")</f>
        <v/>
      </c>
      <c r="AE45" s="437"/>
      <c r="AF45" s="1327"/>
      <c r="AG45" s="437"/>
      <c r="AH45" s="437"/>
      <c r="AI45" s="437"/>
      <c r="AJ45" s="437"/>
      <c r="AK45" s="437"/>
      <c r="AL45" s="437"/>
      <c r="AM45" s="437"/>
      <c r="AN45" s="437"/>
      <c r="AO45" s="437"/>
      <c r="AP45" s="437"/>
      <c r="AQ45" s="1327"/>
      <c r="AR45" s="437"/>
      <c r="AS45" s="437"/>
      <c r="AT45" s="437"/>
      <c r="AU45" s="437"/>
      <c r="AV45" s="437"/>
      <c r="AW45" s="437"/>
      <c r="AX45" s="437"/>
      <c r="AY45" s="437"/>
      <c r="AZ45" s="437"/>
      <c r="BA45" s="437"/>
      <c r="BB45" s="1327"/>
      <c r="BC45" s="437"/>
      <c r="BD45" s="437"/>
      <c r="BE45" s="437"/>
      <c r="BF45" s="437"/>
      <c r="BG45" s="437"/>
      <c r="BH45" s="437"/>
      <c r="BI45" s="437"/>
      <c r="BJ45" s="437"/>
      <c r="BK45" s="437"/>
      <c r="BL45" s="437"/>
      <c r="BM45" s="1327"/>
      <c r="BN45" s="1327"/>
      <c r="BO45" s="1327"/>
      <c r="BP45" s="1327"/>
      <c r="BQ45" s="1327"/>
      <c r="BR45" s="1327"/>
      <c r="BS45" s="1327"/>
      <c r="BT45" s="1327"/>
      <c r="BU45" s="1327"/>
      <c r="BV45" s="1327"/>
      <c r="BW45" s="1327"/>
      <c r="BX45" s="1327"/>
      <c r="BY45" s="1327"/>
      <c r="BZ45" s="1327"/>
      <c r="CA45" s="1327"/>
      <c r="CB45" s="1327"/>
      <c r="CC45" s="1327"/>
      <c r="CD45" s="1327"/>
      <c r="CE45" s="1327"/>
      <c r="CF45" s="1327"/>
      <c r="CG45" s="1327"/>
      <c r="CH45" s="1327"/>
      <c r="CI45" s="1327"/>
      <c r="CJ45" s="1327"/>
      <c r="CK45" s="1327"/>
      <c r="CL45" s="1327"/>
      <c r="CM45" s="1327"/>
      <c r="CN45" s="1327"/>
      <c r="CO45" s="1327"/>
      <c r="CP45" s="1327"/>
      <c r="CQ45" s="1327"/>
      <c r="CR45" s="1327"/>
      <c r="CS45" s="1327"/>
      <c r="CT45" s="1317"/>
      <c r="CU45" s="419"/>
      <c r="CV45" s="419"/>
      <c r="CW45" s="419"/>
      <c r="CX45" s="419"/>
      <c r="CY45" s="419"/>
      <c r="CZ45" s="419"/>
      <c r="DA45" s="419"/>
      <c r="DB45" s="419"/>
      <c r="DC45" s="419"/>
      <c r="DD45" s="419"/>
      <c r="DE45" s="419"/>
      <c r="DF45" s="419"/>
      <c r="DG45" s="419"/>
    </row>
    <row r="46" ht="18.75" customHeight="1">
      <c r="B46" s="545"/>
      <c r="C46" s="545"/>
      <c r="G46" s="1344"/>
      <c r="H46" s="1345">
        <f t="shared" si="4"/>
        <v>0</v>
      </c>
      <c r="I46" s="1381"/>
      <c r="J46" s="1381"/>
      <c r="K46" s="1381"/>
      <c r="L46" s="1381"/>
      <c r="M46" s="1381"/>
      <c r="N46" s="1381"/>
      <c r="O46" s="1381"/>
      <c r="P46" s="1381"/>
      <c r="Q46" s="1381"/>
      <c r="R46" s="1381"/>
      <c r="T46" s="1349"/>
      <c r="U46" s="1349" t="s">
        <v>123</v>
      </c>
      <c r="V46" s="1349" t="s">
        <v>123</v>
      </c>
      <c r="W46" s="1349"/>
      <c r="X46" s="1349"/>
      <c r="Y46" s="1308"/>
      <c r="Z46" s="437" t="str">
        <f>IFERROR(__xludf.DUMMYFUNCTION("IF(NOT('portfólio'!$AV$7),"""",IF($T46="""","""",IFERROR(query({AtivosDados},""select sum(""&amp;Z$3&amp;"") where Col1='""&amp;$T46&amp;""' label sum(""&amp;Z$3&amp;"") ''""),0)))"),"")</f>
        <v/>
      </c>
      <c r="AA46" s="437" t="str">
        <f>IFERROR(__xludf.DUMMYFUNCTION("IF(NOT('portfólio'!$AV$7),"""",IF($T46="""","""",IFERROR(query({AtivosDados},""select sum(""&amp;AA$3&amp;"") where Col1='""&amp;$T46&amp;""' label sum(""&amp;AA$3&amp;"") ''""),0)))"),"")</f>
        <v/>
      </c>
      <c r="AB46" s="437" t="str">
        <f>IFERROR(__xludf.DUMMYFUNCTION("IF(NOT('portfólio'!$AV$7),"""",IF($T46="""","""",IFERROR(query({AtivosDados},""select sum(""&amp;AB$3&amp;"") where Col1='""&amp;$T46&amp;""' label sum(""&amp;AB$3&amp;"") ''""),0)))"),"")</f>
        <v/>
      </c>
      <c r="AC46" s="437" t="str">
        <f>IFERROR(__xludf.DUMMYFUNCTION("IF(NOT('portfólio'!$AV$7),"""",IF($T46="""","""",IFERROR(query({AtivosDados},""select sum(""&amp;AC$3&amp;"") where Col1='""&amp;$T46&amp;""' label sum(""&amp;AC$3&amp;"") ''""),0)))"),"")</f>
        <v/>
      </c>
      <c r="AD46" s="437" t="str">
        <f>IFERROR(__xludf.DUMMYFUNCTION("IF(NOT('portfólio'!$AV$7),"""",IF($T46="""","""",IFERROR(query({AtivosDados},""select sum(""&amp;AD$3&amp;"") where Col1='""&amp;$T46&amp;""' label sum(""&amp;AD$3&amp;"") ''""),0)))"),"")</f>
        <v/>
      </c>
      <c r="AE46" s="437"/>
      <c r="AF46" s="1327"/>
      <c r="AG46" s="437"/>
      <c r="AH46" s="437"/>
      <c r="AI46" s="437"/>
      <c r="AJ46" s="437"/>
      <c r="AK46" s="437"/>
      <c r="AL46" s="437"/>
      <c r="AM46" s="437"/>
      <c r="AN46" s="437"/>
      <c r="AO46" s="437"/>
      <c r="AP46" s="437"/>
      <c r="AQ46" s="1327"/>
      <c r="AR46" s="437"/>
      <c r="AS46" s="437"/>
      <c r="AT46" s="437"/>
      <c r="AU46" s="437"/>
      <c r="AV46" s="437"/>
      <c r="AW46" s="437"/>
      <c r="AX46" s="437"/>
      <c r="AY46" s="437"/>
      <c r="AZ46" s="437"/>
      <c r="BA46" s="437"/>
      <c r="BB46" s="1327"/>
      <c r="BC46" s="437"/>
      <c r="BD46" s="437"/>
      <c r="BE46" s="437"/>
      <c r="BF46" s="437"/>
      <c r="BG46" s="437"/>
      <c r="BH46" s="437"/>
      <c r="BI46" s="437"/>
      <c r="BJ46" s="437"/>
      <c r="BK46" s="437"/>
      <c r="BL46" s="437"/>
      <c r="BM46" s="1327"/>
      <c r="BN46" s="1327"/>
      <c r="BO46" s="1327"/>
      <c r="BP46" s="1327"/>
      <c r="BQ46" s="1327"/>
      <c r="BR46" s="1327"/>
      <c r="BS46" s="1327"/>
      <c r="BT46" s="1327"/>
      <c r="BU46" s="1327"/>
      <c r="BV46" s="1327"/>
      <c r="BW46" s="1327"/>
      <c r="BX46" s="1327"/>
      <c r="BY46" s="1327"/>
      <c r="BZ46" s="1327"/>
      <c r="CA46" s="1327"/>
      <c r="CB46" s="1327"/>
      <c r="CC46" s="1327"/>
      <c r="CD46" s="1327"/>
      <c r="CE46" s="1327"/>
      <c r="CF46" s="1327"/>
      <c r="CG46" s="1327"/>
      <c r="CH46" s="1327"/>
      <c r="CI46" s="1327"/>
      <c r="CJ46" s="1327"/>
      <c r="CK46" s="1327"/>
      <c r="CL46" s="1327"/>
      <c r="CM46" s="1327"/>
      <c r="CN46" s="1327"/>
      <c r="CO46" s="1327"/>
      <c r="CP46" s="1327"/>
      <c r="CQ46" s="1327"/>
      <c r="CR46" s="1327"/>
      <c r="CS46" s="1327"/>
      <c r="CT46" s="1317"/>
      <c r="CU46" s="419"/>
      <c r="CV46" s="419"/>
      <c r="CW46" s="419"/>
      <c r="CX46" s="419"/>
      <c r="CY46" s="419"/>
      <c r="CZ46" s="419"/>
      <c r="DA46" s="419"/>
      <c r="DB46" s="419"/>
      <c r="DC46" s="419"/>
      <c r="DD46" s="419"/>
      <c r="DE46" s="419"/>
      <c r="DF46" s="419"/>
      <c r="DG46" s="419"/>
    </row>
    <row r="47" ht="18.75" customHeight="1">
      <c r="B47" s="545"/>
      <c r="C47" s="545"/>
      <c r="G47" s="1344"/>
      <c r="H47" s="1345">
        <f t="shared" si="4"/>
        <v>0</v>
      </c>
      <c r="I47" s="1381"/>
      <c r="J47" s="1381"/>
      <c r="K47" s="1381"/>
      <c r="L47" s="1381"/>
      <c r="M47" s="1381"/>
      <c r="N47" s="1381"/>
      <c r="O47" s="1381"/>
      <c r="P47" s="1381"/>
      <c r="Q47" s="1381"/>
      <c r="R47" s="1381"/>
      <c r="T47" s="1349"/>
      <c r="U47" s="1349" t="s">
        <v>123</v>
      </c>
      <c r="V47" s="1349" t="s">
        <v>123</v>
      </c>
      <c r="W47" s="1349"/>
      <c r="X47" s="1349"/>
      <c r="Y47" s="1308"/>
      <c r="Z47" s="437" t="str">
        <f>IFERROR(__xludf.DUMMYFUNCTION("IF(NOT('portfólio'!$AV$7),"""",IF($T47="""","""",IFERROR(query({AtivosDados},""select sum(""&amp;Z$3&amp;"") where Col1='""&amp;$T47&amp;""' label sum(""&amp;Z$3&amp;"") ''""),0)))"),"")</f>
        <v/>
      </c>
      <c r="AA47" s="437" t="str">
        <f>IFERROR(__xludf.DUMMYFUNCTION("IF(NOT('portfólio'!$AV$7),"""",IF($T47="""","""",IFERROR(query({AtivosDados},""select sum(""&amp;AA$3&amp;"") where Col1='""&amp;$T47&amp;""' label sum(""&amp;AA$3&amp;"") ''""),0)))"),"")</f>
        <v/>
      </c>
      <c r="AB47" s="437" t="str">
        <f>IFERROR(__xludf.DUMMYFUNCTION("IF(NOT('portfólio'!$AV$7),"""",IF($T47="""","""",IFERROR(query({AtivosDados},""select sum(""&amp;AB$3&amp;"") where Col1='""&amp;$T47&amp;""' label sum(""&amp;AB$3&amp;"") ''""),0)))"),"")</f>
        <v/>
      </c>
      <c r="AC47" s="437" t="str">
        <f>IFERROR(__xludf.DUMMYFUNCTION("IF(NOT('portfólio'!$AV$7),"""",IF($T47="""","""",IFERROR(query({AtivosDados},""select sum(""&amp;AC$3&amp;"") where Col1='""&amp;$T47&amp;""' label sum(""&amp;AC$3&amp;"") ''""),0)))"),"")</f>
        <v/>
      </c>
      <c r="AD47" s="437" t="str">
        <f>IFERROR(__xludf.DUMMYFUNCTION("IF(NOT('portfólio'!$AV$7),"""",IF($T47="""","""",IFERROR(query({AtivosDados},""select sum(""&amp;AD$3&amp;"") where Col1='""&amp;$T47&amp;""' label sum(""&amp;AD$3&amp;"") ''""),0)))"),"")</f>
        <v/>
      </c>
      <c r="AE47" s="437"/>
      <c r="AF47" s="1327"/>
      <c r="AG47" s="437"/>
      <c r="AH47" s="437"/>
      <c r="AI47" s="437"/>
      <c r="AJ47" s="437"/>
      <c r="AK47" s="437"/>
      <c r="AL47" s="437"/>
      <c r="AM47" s="437"/>
      <c r="AN47" s="437"/>
      <c r="AO47" s="437"/>
      <c r="AP47" s="437"/>
      <c r="AQ47" s="1327"/>
      <c r="AR47" s="437"/>
      <c r="AS47" s="437"/>
      <c r="AT47" s="437"/>
      <c r="AU47" s="437"/>
      <c r="AV47" s="437"/>
      <c r="AW47" s="437"/>
      <c r="AX47" s="437"/>
      <c r="AY47" s="437"/>
      <c r="AZ47" s="437"/>
      <c r="BA47" s="437"/>
      <c r="BB47" s="1327"/>
      <c r="BC47" s="437"/>
      <c r="BD47" s="437"/>
      <c r="BE47" s="437"/>
      <c r="BF47" s="437"/>
      <c r="BG47" s="437"/>
      <c r="BH47" s="437"/>
      <c r="BI47" s="437"/>
      <c r="BJ47" s="437"/>
      <c r="BK47" s="437"/>
      <c r="BL47" s="437"/>
      <c r="BM47" s="1327"/>
      <c r="BN47" s="1327"/>
      <c r="BO47" s="1327"/>
      <c r="BP47" s="1327"/>
      <c r="BQ47" s="1327"/>
      <c r="BR47" s="1327"/>
      <c r="BS47" s="1327"/>
      <c r="BT47" s="1327"/>
      <c r="BU47" s="1327"/>
      <c r="BV47" s="1327"/>
      <c r="BW47" s="1327"/>
      <c r="BX47" s="1327"/>
      <c r="BY47" s="1327"/>
      <c r="BZ47" s="1327"/>
      <c r="CA47" s="1327"/>
      <c r="CB47" s="1327"/>
      <c r="CC47" s="1327"/>
      <c r="CD47" s="1327"/>
      <c r="CE47" s="1327"/>
      <c r="CF47" s="1327"/>
      <c r="CG47" s="1327"/>
      <c r="CH47" s="1327"/>
      <c r="CI47" s="1327"/>
      <c r="CJ47" s="1327"/>
      <c r="CK47" s="1327"/>
      <c r="CL47" s="1327"/>
      <c r="CM47" s="1327"/>
      <c r="CN47" s="1327"/>
      <c r="CO47" s="1327"/>
      <c r="CP47" s="1327"/>
      <c r="CQ47" s="1327"/>
      <c r="CR47" s="1327"/>
      <c r="CS47" s="1327"/>
      <c r="CT47" s="1317"/>
      <c r="CU47" s="419"/>
      <c r="CV47" s="419"/>
      <c r="CW47" s="419"/>
      <c r="CX47" s="419"/>
      <c r="CY47" s="419"/>
      <c r="CZ47" s="419"/>
      <c r="DA47" s="419"/>
      <c r="DB47" s="419"/>
      <c r="DC47" s="419"/>
      <c r="DD47" s="419"/>
      <c r="DE47" s="419"/>
      <c r="DF47" s="419"/>
      <c r="DG47" s="419"/>
    </row>
    <row r="48" ht="18.75" customHeight="1">
      <c r="B48" s="545"/>
      <c r="C48" s="545"/>
      <c r="G48" s="1344"/>
      <c r="H48" s="1345">
        <f t="shared" si="4"/>
        <v>0</v>
      </c>
      <c r="I48" s="1381"/>
      <c r="J48" s="1381"/>
      <c r="K48" s="1381"/>
      <c r="L48" s="1381"/>
      <c r="M48" s="1381"/>
      <c r="N48" s="1381"/>
      <c r="O48" s="1381"/>
      <c r="P48" s="1381"/>
      <c r="Q48" s="1381"/>
      <c r="R48" s="1381"/>
      <c r="T48" s="1349"/>
      <c r="U48" s="1349" t="s">
        <v>123</v>
      </c>
      <c r="V48" s="1349" t="s">
        <v>123</v>
      </c>
      <c r="W48" s="1349"/>
      <c r="X48" s="1349"/>
      <c r="Y48" s="1308"/>
      <c r="Z48" s="437" t="str">
        <f>IFERROR(__xludf.DUMMYFUNCTION("IF(NOT('portfólio'!$AV$7),"""",IF($T48="""","""",IFERROR(query({AtivosDados},""select sum(""&amp;Z$3&amp;"") where Col1='""&amp;$T48&amp;""' label sum(""&amp;Z$3&amp;"") ''""),0)))"),"")</f>
        <v/>
      </c>
      <c r="AA48" s="437" t="str">
        <f>IFERROR(__xludf.DUMMYFUNCTION("IF(NOT('portfólio'!$AV$7),"""",IF($T48="""","""",IFERROR(query({AtivosDados},""select sum(""&amp;AA$3&amp;"") where Col1='""&amp;$T48&amp;""' label sum(""&amp;AA$3&amp;"") ''""),0)))"),"")</f>
        <v/>
      </c>
      <c r="AB48" s="437" t="str">
        <f>IFERROR(__xludf.DUMMYFUNCTION("IF(NOT('portfólio'!$AV$7),"""",IF($T48="""","""",IFERROR(query({AtivosDados},""select sum(""&amp;AB$3&amp;"") where Col1='""&amp;$T48&amp;""' label sum(""&amp;AB$3&amp;"") ''""),0)))"),"")</f>
        <v/>
      </c>
      <c r="AC48" s="437" t="str">
        <f>IFERROR(__xludf.DUMMYFUNCTION("IF(NOT('portfólio'!$AV$7),"""",IF($T48="""","""",IFERROR(query({AtivosDados},""select sum(""&amp;AC$3&amp;"") where Col1='""&amp;$T48&amp;""' label sum(""&amp;AC$3&amp;"") ''""),0)))"),"")</f>
        <v/>
      </c>
      <c r="AD48" s="437" t="str">
        <f>IFERROR(__xludf.DUMMYFUNCTION("IF(NOT('portfólio'!$AV$7),"""",IF($T48="""","""",IFERROR(query({AtivosDados},""select sum(""&amp;AD$3&amp;"") where Col1='""&amp;$T48&amp;""' label sum(""&amp;AD$3&amp;"") ''""),0)))"),"")</f>
        <v/>
      </c>
      <c r="AE48" s="437"/>
      <c r="AF48" s="1327"/>
      <c r="AG48" s="437"/>
      <c r="AH48" s="437"/>
      <c r="AI48" s="437"/>
      <c r="AJ48" s="437"/>
      <c r="AK48" s="437"/>
      <c r="AL48" s="437"/>
      <c r="AM48" s="437"/>
      <c r="AN48" s="437"/>
      <c r="AO48" s="437"/>
      <c r="AP48" s="437"/>
      <c r="AQ48" s="1327"/>
      <c r="AR48" s="437"/>
      <c r="AS48" s="437"/>
      <c r="AT48" s="437"/>
      <c r="AU48" s="437"/>
      <c r="AV48" s="437"/>
      <c r="AW48" s="437"/>
      <c r="AX48" s="437"/>
      <c r="AY48" s="437"/>
      <c r="AZ48" s="437"/>
      <c r="BA48" s="437"/>
      <c r="BB48" s="1327"/>
      <c r="BC48" s="437"/>
      <c r="BD48" s="437"/>
      <c r="BE48" s="437"/>
      <c r="BF48" s="437"/>
      <c r="BG48" s="437"/>
      <c r="BH48" s="437"/>
      <c r="BI48" s="437"/>
      <c r="BJ48" s="437"/>
      <c r="BK48" s="437"/>
      <c r="BL48" s="437"/>
      <c r="BM48" s="1327"/>
      <c r="BN48" s="1327"/>
      <c r="BO48" s="1327"/>
      <c r="BP48" s="1327"/>
      <c r="BQ48" s="1327"/>
      <c r="BR48" s="1327"/>
      <c r="BS48" s="1327"/>
      <c r="BT48" s="1327"/>
      <c r="BU48" s="1327"/>
      <c r="BV48" s="1327"/>
      <c r="BW48" s="1327"/>
      <c r="BX48" s="1327"/>
      <c r="BY48" s="1327"/>
      <c r="BZ48" s="1327"/>
      <c r="CA48" s="1327"/>
      <c r="CB48" s="1327"/>
      <c r="CC48" s="1327"/>
      <c r="CD48" s="1327"/>
      <c r="CE48" s="1327"/>
      <c r="CF48" s="1327"/>
      <c r="CG48" s="1327"/>
      <c r="CH48" s="1327"/>
      <c r="CI48" s="1327"/>
      <c r="CJ48" s="1327"/>
      <c r="CK48" s="1327"/>
      <c r="CL48" s="1327"/>
      <c r="CM48" s="1327"/>
      <c r="CN48" s="1327"/>
      <c r="CO48" s="1327"/>
      <c r="CP48" s="1327"/>
      <c r="CQ48" s="1327"/>
      <c r="CR48" s="1327"/>
      <c r="CS48" s="1327"/>
      <c r="CT48" s="1317"/>
      <c r="CU48" s="419"/>
      <c r="CV48" s="419"/>
      <c r="CW48" s="419"/>
      <c r="CX48" s="419"/>
      <c r="CY48" s="419"/>
      <c r="CZ48" s="419"/>
      <c r="DA48" s="419"/>
      <c r="DB48" s="419"/>
      <c r="DC48" s="419"/>
      <c r="DD48" s="419"/>
      <c r="DE48" s="419"/>
      <c r="DF48" s="419"/>
      <c r="DG48" s="419"/>
    </row>
    <row r="49" ht="18.75" customHeight="1">
      <c r="B49" s="545"/>
      <c r="C49" s="545"/>
      <c r="G49" s="1344"/>
      <c r="H49" s="1345">
        <f t="shared" si="4"/>
        <v>0</v>
      </c>
      <c r="I49" s="1381"/>
      <c r="J49" s="1381"/>
      <c r="K49" s="1381"/>
      <c r="L49" s="1381"/>
      <c r="M49" s="1381"/>
      <c r="N49" s="1381"/>
      <c r="O49" s="1381"/>
      <c r="P49" s="1381"/>
      <c r="Q49" s="1381"/>
      <c r="R49" s="1381"/>
      <c r="T49" s="1349"/>
      <c r="U49" s="1349" t="s">
        <v>123</v>
      </c>
      <c r="V49" s="1349" t="s">
        <v>123</v>
      </c>
      <c r="W49" s="1349"/>
      <c r="X49" s="1349"/>
      <c r="Y49" s="1308"/>
      <c r="Z49" s="437" t="str">
        <f>IFERROR(__xludf.DUMMYFUNCTION("IF(NOT('portfólio'!$AV$7),"""",IF($T49="""","""",IFERROR(query({AtivosDados},""select sum(""&amp;Z$3&amp;"") where Col1='""&amp;$T49&amp;""' label sum(""&amp;Z$3&amp;"") ''""),0)))"),"")</f>
        <v/>
      </c>
      <c r="AA49" s="437" t="str">
        <f>IFERROR(__xludf.DUMMYFUNCTION("IF(NOT('portfólio'!$AV$7),"""",IF($T49="""","""",IFERROR(query({AtivosDados},""select sum(""&amp;AA$3&amp;"") where Col1='""&amp;$T49&amp;""' label sum(""&amp;AA$3&amp;"") ''""),0)))"),"")</f>
        <v/>
      </c>
      <c r="AB49" s="437" t="str">
        <f>IFERROR(__xludf.DUMMYFUNCTION("IF(NOT('portfólio'!$AV$7),"""",IF($T49="""","""",IFERROR(query({AtivosDados},""select sum(""&amp;AB$3&amp;"") where Col1='""&amp;$T49&amp;""' label sum(""&amp;AB$3&amp;"") ''""),0)))"),"")</f>
        <v/>
      </c>
      <c r="AC49" s="437" t="str">
        <f>IFERROR(__xludf.DUMMYFUNCTION("IF(NOT('portfólio'!$AV$7),"""",IF($T49="""","""",IFERROR(query({AtivosDados},""select sum(""&amp;AC$3&amp;"") where Col1='""&amp;$T49&amp;""' label sum(""&amp;AC$3&amp;"") ''""),0)))"),"")</f>
        <v/>
      </c>
      <c r="AD49" s="437" t="str">
        <f>IFERROR(__xludf.DUMMYFUNCTION("IF(NOT('portfólio'!$AV$7),"""",IF($T49="""","""",IFERROR(query({AtivosDados},""select sum(""&amp;AD$3&amp;"") where Col1='""&amp;$T49&amp;""' label sum(""&amp;AD$3&amp;"") ''""),0)))"),"")</f>
        <v/>
      </c>
      <c r="AE49" s="437"/>
      <c r="AF49" s="1327"/>
      <c r="AG49" s="437"/>
      <c r="AH49" s="437"/>
      <c r="AI49" s="437"/>
      <c r="AJ49" s="437"/>
      <c r="AK49" s="437"/>
      <c r="AL49" s="437"/>
      <c r="AM49" s="437"/>
      <c r="AN49" s="437"/>
      <c r="AO49" s="437"/>
      <c r="AP49" s="437"/>
      <c r="AQ49" s="1327"/>
      <c r="AR49" s="437"/>
      <c r="AS49" s="437"/>
      <c r="AT49" s="437"/>
      <c r="AU49" s="437"/>
      <c r="AV49" s="437"/>
      <c r="AW49" s="437"/>
      <c r="AX49" s="437"/>
      <c r="AY49" s="437"/>
      <c r="AZ49" s="437"/>
      <c r="BA49" s="437"/>
      <c r="BB49" s="1327"/>
      <c r="BC49" s="437"/>
      <c r="BD49" s="437"/>
      <c r="BE49" s="437"/>
      <c r="BF49" s="437"/>
      <c r="BG49" s="437"/>
      <c r="BH49" s="437"/>
      <c r="BI49" s="437"/>
      <c r="BJ49" s="437"/>
      <c r="BK49" s="437"/>
      <c r="BL49" s="437"/>
      <c r="BM49" s="1327"/>
      <c r="BN49" s="1327"/>
      <c r="BO49" s="1327"/>
      <c r="BP49" s="1327"/>
      <c r="BQ49" s="1327"/>
      <c r="BR49" s="1327"/>
      <c r="BS49" s="1327"/>
      <c r="BT49" s="1327"/>
      <c r="BU49" s="1327"/>
      <c r="BV49" s="1327"/>
      <c r="BW49" s="1327"/>
      <c r="BX49" s="1327"/>
      <c r="BY49" s="1327"/>
      <c r="BZ49" s="1327"/>
      <c r="CA49" s="1327"/>
      <c r="CB49" s="1327"/>
      <c r="CC49" s="1327"/>
      <c r="CD49" s="1327"/>
      <c r="CE49" s="1327"/>
      <c r="CF49" s="1327"/>
      <c r="CG49" s="1327"/>
      <c r="CH49" s="1327"/>
      <c r="CI49" s="1327"/>
      <c r="CJ49" s="1327"/>
      <c r="CK49" s="1327"/>
      <c r="CL49" s="1327"/>
      <c r="CM49" s="1327"/>
      <c r="CN49" s="1327"/>
      <c r="CO49" s="1327"/>
      <c r="CP49" s="1327"/>
      <c r="CQ49" s="1327"/>
      <c r="CR49" s="1327"/>
      <c r="CS49" s="1327"/>
      <c r="CT49" s="1317"/>
      <c r="CU49" s="419"/>
      <c r="CV49" s="419"/>
      <c r="CW49" s="419"/>
      <c r="CX49" s="419"/>
      <c r="CY49" s="419"/>
      <c r="CZ49" s="419"/>
      <c r="DA49" s="419"/>
      <c r="DB49" s="419"/>
      <c r="DC49" s="419"/>
      <c r="DD49" s="419"/>
      <c r="DE49" s="419"/>
      <c r="DF49" s="419"/>
      <c r="DG49" s="419"/>
    </row>
    <row r="50" ht="18.75" customHeight="1">
      <c r="B50" s="545"/>
      <c r="C50" s="545"/>
      <c r="G50" s="1344"/>
      <c r="H50" s="1345">
        <f t="shared" si="4"/>
        <v>0</v>
      </c>
      <c r="I50" s="1381"/>
      <c r="J50" s="1381"/>
      <c r="K50" s="1381"/>
      <c r="L50" s="1381"/>
      <c r="M50" s="1381"/>
      <c r="N50" s="1381"/>
      <c r="O50" s="1381"/>
      <c r="P50" s="1381"/>
      <c r="Q50" s="1381"/>
      <c r="R50" s="1381"/>
      <c r="T50" s="1349"/>
      <c r="U50" s="1349" t="s">
        <v>123</v>
      </c>
      <c r="V50" s="1349" t="s">
        <v>123</v>
      </c>
      <c r="W50" s="1349"/>
      <c r="X50" s="1349"/>
      <c r="Y50" s="1308"/>
      <c r="Z50" s="437" t="str">
        <f>IFERROR(__xludf.DUMMYFUNCTION("IF(NOT('portfólio'!$AV$7),"""",IF($T50="""","""",IFERROR(query({AtivosDados},""select sum(""&amp;Z$3&amp;"") where Col1='""&amp;$T50&amp;""' label sum(""&amp;Z$3&amp;"") ''""),0)))"),"")</f>
        <v/>
      </c>
      <c r="AA50" s="437" t="str">
        <f>IFERROR(__xludf.DUMMYFUNCTION("IF(NOT('portfólio'!$AV$7),"""",IF($T50="""","""",IFERROR(query({AtivosDados},""select sum(""&amp;AA$3&amp;"") where Col1='""&amp;$T50&amp;""' label sum(""&amp;AA$3&amp;"") ''""),0)))"),"")</f>
        <v/>
      </c>
      <c r="AB50" s="437" t="str">
        <f>IFERROR(__xludf.DUMMYFUNCTION("IF(NOT('portfólio'!$AV$7),"""",IF($T50="""","""",IFERROR(query({AtivosDados},""select sum(""&amp;AB$3&amp;"") where Col1='""&amp;$T50&amp;""' label sum(""&amp;AB$3&amp;"") ''""),0)))"),"")</f>
        <v/>
      </c>
      <c r="AC50" s="437" t="str">
        <f>IFERROR(__xludf.DUMMYFUNCTION("IF(NOT('portfólio'!$AV$7),"""",IF($T50="""","""",IFERROR(query({AtivosDados},""select sum(""&amp;AC$3&amp;"") where Col1='""&amp;$T50&amp;""' label sum(""&amp;AC$3&amp;"") ''""),0)))"),"")</f>
        <v/>
      </c>
      <c r="AD50" s="437" t="str">
        <f>IFERROR(__xludf.DUMMYFUNCTION("IF(NOT('portfólio'!$AV$7),"""",IF($T50="""","""",IFERROR(query({AtivosDados},""select sum(""&amp;AD$3&amp;"") where Col1='""&amp;$T50&amp;""' label sum(""&amp;AD$3&amp;"") ''""),0)))"),"")</f>
        <v/>
      </c>
      <c r="AE50" s="437"/>
      <c r="AF50" s="1327"/>
      <c r="AG50" s="437"/>
      <c r="AH50" s="437"/>
      <c r="AI50" s="437"/>
      <c r="AJ50" s="437"/>
      <c r="AK50" s="437"/>
      <c r="AL50" s="437"/>
      <c r="AM50" s="437"/>
      <c r="AN50" s="437"/>
      <c r="AO50" s="437"/>
      <c r="AP50" s="437"/>
      <c r="AQ50" s="1327"/>
      <c r="AR50" s="437"/>
      <c r="AS50" s="437"/>
      <c r="AT50" s="437"/>
      <c r="AU50" s="437"/>
      <c r="AV50" s="437"/>
      <c r="AW50" s="437"/>
      <c r="AX50" s="437"/>
      <c r="AY50" s="437"/>
      <c r="AZ50" s="437"/>
      <c r="BA50" s="437"/>
      <c r="BB50" s="1327"/>
      <c r="BC50" s="437"/>
      <c r="BD50" s="437"/>
      <c r="BE50" s="437"/>
      <c r="BF50" s="437"/>
      <c r="BG50" s="437"/>
      <c r="BH50" s="437"/>
      <c r="BI50" s="437"/>
      <c r="BJ50" s="437"/>
      <c r="BK50" s="437"/>
      <c r="BL50" s="437"/>
      <c r="BM50" s="1327"/>
      <c r="BN50" s="1327"/>
      <c r="BO50" s="1327"/>
      <c r="BP50" s="1327"/>
      <c r="BQ50" s="1327"/>
      <c r="BR50" s="1327"/>
      <c r="BS50" s="1327"/>
      <c r="BT50" s="1327"/>
      <c r="BU50" s="1327"/>
      <c r="BV50" s="1327"/>
      <c r="BW50" s="1327"/>
      <c r="BX50" s="1327"/>
      <c r="BY50" s="1327"/>
      <c r="BZ50" s="1327"/>
      <c r="CA50" s="1327"/>
      <c r="CB50" s="1327"/>
      <c r="CC50" s="1327"/>
      <c r="CD50" s="1327"/>
      <c r="CE50" s="1327"/>
      <c r="CF50" s="1327"/>
      <c r="CG50" s="1327"/>
      <c r="CH50" s="1327"/>
      <c r="CI50" s="1327"/>
      <c r="CJ50" s="1327"/>
      <c r="CK50" s="1327"/>
      <c r="CL50" s="1327"/>
      <c r="CM50" s="1327"/>
      <c r="CN50" s="1327"/>
      <c r="CO50" s="1327"/>
      <c r="CP50" s="1327"/>
      <c r="CQ50" s="1327"/>
      <c r="CR50" s="1327"/>
      <c r="CS50" s="1327"/>
      <c r="CT50" s="1317"/>
      <c r="CU50" s="419"/>
      <c r="CV50" s="419"/>
      <c r="CW50" s="419"/>
      <c r="CX50" s="419"/>
      <c r="CY50" s="419"/>
      <c r="CZ50" s="419"/>
      <c r="DA50" s="419"/>
      <c r="DB50" s="419"/>
      <c r="DC50" s="419"/>
      <c r="DD50" s="419"/>
      <c r="DE50" s="419"/>
      <c r="DF50" s="419"/>
      <c r="DG50" s="419"/>
    </row>
    <row r="51" ht="18.75" customHeight="1">
      <c r="B51" s="545"/>
      <c r="C51" s="545"/>
      <c r="G51" s="1344"/>
      <c r="H51" s="1345">
        <f t="shared" si="4"/>
        <v>0</v>
      </c>
      <c r="I51" s="1381"/>
      <c r="J51" s="1381"/>
      <c r="K51" s="1381"/>
      <c r="L51" s="1381"/>
      <c r="M51" s="1381"/>
      <c r="N51" s="1381"/>
      <c r="O51" s="1381"/>
      <c r="P51" s="1381"/>
      <c r="Q51" s="1381"/>
      <c r="R51" s="1381"/>
      <c r="T51" s="1349"/>
      <c r="U51" s="1349" t="s">
        <v>123</v>
      </c>
      <c r="V51" s="1349" t="s">
        <v>123</v>
      </c>
      <c r="W51" s="1349"/>
      <c r="X51" s="1349"/>
      <c r="Y51" s="1308"/>
      <c r="Z51" s="437" t="str">
        <f>IFERROR(__xludf.DUMMYFUNCTION("IF(NOT('portfólio'!$AV$7),"""",IF($T51="""","""",IFERROR(query({AtivosDados},""select sum(""&amp;Z$3&amp;"") where Col1='""&amp;$T51&amp;""' label sum(""&amp;Z$3&amp;"") ''""),0)))"),"")</f>
        <v/>
      </c>
      <c r="AA51" s="437" t="str">
        <f>IFERROR(__xludf.DUMMYFUNCTION("IF(NOT('portfólio'!$AV$7),"""",IF($T51="""","""",IFERROR(query({AtivosDados},""select sum(""&amp;AA$3&amp;"") where Col1='""&amp;$T51&amp;""' label sum(""&amp;AA$3&amp;"") ''""),0)))"),"")</f>
        <v/>
      </c>
      <c r="AB51" s="437" t="str">
        <f>IFERROR(__xludf.DUMMYFUNCTION("IF(NOT('portfólio'!$AV$7),"""",IF($T51="""","""",IFERROR(query({AtivosDados},""select sum(""&amp;AB$3&amp;"") where Col1='""&amp;$T51&amp;""' label sum(""&amp;AB$3&amp;"") ''""),0)))"),"")</f>
        <v/>
      </c>
      <c r="AC51" s="437" t="str">
        <f>IFERROR(__xludf.DUMMYFUNCTION("IF(NOT('portfólio'!$AV$7),"""",IF($T51="""","""",IFERROR(query({AtivosDados},""select sum(""&amp;AC$3&amp;"") where Col1='""&amp;$T51&amp;""' label sum(""&amp;AC$3&amp;"") ''""),0)))"),"")</f>
        <v/>
      </c>
      <c r="AD51" s="437" t="str">
        <f>IFERROR(__xludf.DUMMYFUNCTION("IF(NOT('portfólio'!$AV$7),"""",IF($T51="""","""",IFERROR(query({AtivosDados},""select sum(""&amp;AD$3&amp;"") where Col1='""&amp;$T51&amp;""' label sum(""&amp;AD$3&amp;"") ''""),0)))"),"")</f>
        <v/>
      </c>
      <c r="AE51" s="437"/>
      <c r="AF51" s="1327"/>
      <c r="AG51" s="437"/>
      <c r="AH51" s="437"/>
      <c r="AI51" s="437"/>
      <c r="AJ51" s="437"/>
      <c r="AK51" s="437"/>
      <c r="AL51" s="437"/>
      <c r="AM51" s="437"/>
      <c r="AN51" s="437"/>
      <c r="AO51" s="437"/>
      <c r="AP51" s="437"/>
      <c r="AQ51" s="1327"/>
      <c r="AR51" s="437"/>
      <c r="AS51" s="437"/>
      <c r="AT51" s="437"/>
      <c r="AU51" s="437"/>
      <c r="AV51" s="437"/>
      <c r="AW51" s="437"/>
      <c r="AX51" s="437"/>
      <c r="AY51" s="437"/>
      <c r="AZ51" s="437"/>
      <c r="BA51" s="437"/>
      <c r="BB51" s="1327"/>
      <c r="BC51" s="437"/>
      <c r="BD51" s="437"/>
      <c r="BE51" s="437"/>
      <c r="BF51" s="437"/>
      <c r="BG51" s="437"/>
      <c r="BH51" s="437"/>
      <c r="BI51" s="437"/>
      <c r="BJ51" s="437"/>
      <c r="BK51" s="437"/>
      <c r="BL51" s="437"/>
      <c r="BM51" s="1327"/>
      <c r="BN51" s="1327"/>
      <c r="BO51" s="1327"/>
      <c r="BP51" s="1327"/>
      <c r="BQ51" s="1327"/>
      <c r="BR51" s="1327"/>
      <c r="BS51" s="1327"/>
      <c r="BT51" s="1327"/>
      <c r="BU51" s="1327"/>
      <c r="BV51" s="1327"/>
      <c r="BW51" s="1327"/>
      <c r="BX51" s="1327"/>
      <c r="BY51" s="1327"/>
      <c r="BZ51" s="1327"/>
      <c r="CA51" s="1327"/>
      <c r="CB51" s="1327"/>
      <c r="CC51" s="1327"/>
      <c r="CD51" s="1327"/>
      <c r="CE51" s="1327"/>
      <c r="CF51" s="1327"/>
      <c r="CG51" s="1327"/>
      <c r="CH51" s="1327"/>
      <c r="CI51" s="1327"/>
      <c r="CJ51" s="1327"/>
      <c r="CK51" s="1327"/>
      <c r="CL51" s="1327"/>
      <c r="CM51" s="1327"/>
      <c r="CN51" s="1327"/>
      <c r="CO51" s="1327"/>
      <c r="CP51" s="1327"/>
      <c r="CQ51" s="1327"/>
      <c r="CR51" s="1327"/>
      <c r="CS51" s="1327"/>
      <c r="CT51" s="1317"/>
      <c r="CU51" s="419"/>
      <c r="CV51" s="419"/>
      <c r="CW51" s="419"/>
      <c r="CX51" s="419"/>
      <c r="CY51" s="419"/>
      <c r="CZ51" s="419"/>
      <c r="DA51" s="419"/>
      <c r="DB51" s="419"/>
      <c r="DC51" s="419"/>
      <c r="DD51" s="419"/>
      <c r="DE51" s="419"/>
      <c r="DF51" s="419"/>
      <c r="DG51" s="419"/>
    </row>
    <row r="52" ht="18.75" customHeight="1">
      <c r="B52" s="545"/>
      <c r="C52" s="545"/>
      <c r="G52" s="1344"/>
      <c r="H52" s="1345">
        <f t="shared" si="4"/>
        <v>0</v>
      </c>
      <c r="I52" s="1381"/>
      <c r="J52" s="1381"/>
      <c r="K52" s="1381"/>
      <c r="L52" s="1381"/>
      <c r="M52" s="1381"/>
      <c r="N52" s="1381"/>
      <c r="O52" s="1381"/>
      <c r="P52" s="1381"/>
      <c r="Q52" s="1381"/>
      <c r="R52" s="1381"/>
      <c r="T52" s="1349"/>
      <c r="U52" s="1349" t="s">
        <v>123</v>
      </c>
      <c r="V52" s="1349" t="s">
        <v>123</v>
      </c>
      <c r="W52" s="1349"/>
      <c r="X52" s="1349"/>
      <c r="Y52" s="1308"/>
      <c r="Z52" s="437" t="str">
        <f>IFERROR(__xludf.DUMMYFUNCTION("IF(NOT('portfólio'!$AV$7),"""",IF($T52="""","""",IFERROR(query({AtivosDados},""select sum(""&amp;Z$3&amp;"") where Col1='""&amp;$T52&amp;""' label sum(""&amp;Z$3&amp;"") ''""),0)))"),"")</f>
        <v/>
      </c>
      <c r="AA52" s="437" t="str">
        <f>IFERROR(__xludf.DUMMYFUNCTION("IF(NOT('portfólio'!$AV$7),"""",IF($T52="""","""",IFERROR(query({AtivosDados},""select sum(""&amp;AA$3&amp;"") where Col1='""&amp;$T52&amp;""' label sum(""&amp;AA$3&amp;"") ''""),0)))"),"")</f>
        <v/>
      </c>
      <c r="AB52" s="437" t="str">
        <f>IFERROR(__xludf.DUMMYFUNCTION("IF(NOT('portfólio'!$AV$7),"""",IF($T52="""","""",IFERROR(query({AtivosDados},""select sum(""&amp;AB$3&amp;"") where Col1='""&amp;$T52&amp;""' label sum(""&amp;AB$3&amp;"") ''""),0)))"),"")</f>
        <v/>
      </c>
      <c r="AC52" s="437" t="str">
        <f>IFERROR(__xludf.DUMMYFUNCTION("IF(NOT('portfólio'!$AV$7),"""",IF($T52="""","""",IFERROR(query({AtivosDados},""select sum(""&amp;AC$3&amp;"") where Col1='""&amp;$T52&amp;""' label sum(""&amp;AC$3&amp;"") ''""),0)))"),"")</f>
        <v/>
      </c>
      <c r="AD52" s="437" t="str">
        <f>IFERROR(__xludf.DUMMYFUNCTION("IF(NOT('portfólio'!$AV$7),"""",IF($T52="""","""",IFERROR(query({AtivosDados},""select sum(""&amp;AD$3&amp;"") where Col1='""&amp;$T52&amp;""' label sum(""&amp;AD$3&amp;"") ''""),0)))"),"")</f>
        <v/>
      </c>
      <c r="AE52" s="437"/>
      <c r="AF52" s="1327"/>
      <c r="AG52" s="437"/>
      <c r="AH52" s="437"/>
      <c r="AI52" s="437"/>
      <c r="AJ52" s="437"/>
      <c r="AK52" s="437"/>
      <c r="AL52" s="437"/>
      <c r="AM52" s="437"/>
      <c r="AN52" s="437"/>
      <c r="AO52" s="437"/>
      <c r="AP52" s="437"/>
      <c r="AQ52" s="1327"/>
      <c r="AR52" s="437"/>
      <c r="AS52" s="437"/>
      <c r="AT52" s="437"/>
      <c r="AU52" s="437"/>
      <c r="AV52" s="437"/>
      <c r="AW52" s="437"/>
      <c r="AX52" s="437"/>
      <c r="AY52" s="437"/>
      <c r="AZ52" s="437"/>
      <c r="BA52" s="437"/>
      <c r="BB52" s="1327"/>
      <c r="BC52" s="437"/>
      <c r="BD52" s="437"/>
      <c r="BE52" s="437"/>
      <c r="BF52" s="437"/>
      <c r="BG52" s="437"/>
      <c r="BH52" s="437"/>
      <c r="BI52" s="437"/>
      <c r="BJ52" s="437"/>
      <c r="BK52" s="437"/>
      <c r="BL52" s="437"/>
      <c r="BM52" s="1327"/>
      <c r="BN52" s="1327"/>
      <c r="BO52" s="1327"/>
      <c r="BP52" s="1327"/>
      <c r="BQ52" s="1327"/>
      <c r="BR52" s="1327"/>
      <c r="BS52" s="1327"/>
      <c r="BT52" s="1327"/>
      <c r="BU52" s="1327"/>
      <c r="BV52" s="1327"/>
      <c r="BW52" s="1327"/>
      <c r="BX52" s="1327"/>
      <c r="BY52" s="1327"/>
      <c r="BZ52" s="1327"/>
      <c r="CA52" s="1327"/>
      <c r="CB52" s="1327"/>
      <c r="CC52" s="1327"/>
      <c r="CD52" s="1327"/>
      <c r="CE52" s="1327"/>
      <c r="CF52" s="1327"/>
      <c r="CG52" s="1327"/>
      <c r="CH52" s="1327"/>
      <c r="CI52" s="1327"/>
      <c r="CJ52" s="1327"/>
      <c r="CK52" s="1327"/>
      <c r="CL52" s="1327"/>
      <c r="CM52" s="1327"/>
      <c r="CN52" s="1327"/>
      <c r="CO52" s="1327"/>
      <c r="CP52" s="1327"/>
      <c r="CQ52" s="1327"/>
      <c r="CR52" s="1327"/>
      <c r="CS52" s="1327"/>
      <c r="CT52" s="1317"/>
      <c r="CU52" s="419"/>
      <c r="CV52" s="419"/>
      <c r="CW52" s="419"/>
      <c r="CX52" s="419"/>
      <c r="CY52" s="419"/>
      <c r="CZ52" s="419"/>
      <c r="DA52" s="419"/>
      <c r="DB52" s="419"/>
      <c r="DC52" s="419"/>
      <c r="DD52" s="419"/>
      <c r="DE52" s="419"/>
      <c r="DF52" s="419"/>
      <c r="DG52" s="419"/>
    </row>
    <row r="53" ht="18.75" customHeight="1">
      <c r="G53" s="1344"/>
      <c r="H53" s="1345">
        <f t="shared" si="4"/>
        <v>0</v>
      </c>
      <c r="I53" s="1381"/>
      <c r="J53" s="1381"/>
      <c r="K53" s="1381"/>
      <c r="L53" s="1381"/>
      <c r="M53" s="1381"/>
      <c r="N53" s="1381"/>
      <c r="O53" s="1381"/>
      <c r="P53" s="1381"/>
      <c r="Q53" s="1381"/>
      <c r="R53" s="1381"/>
      <c r="T53" s="1349"/>
      <c r="U53" s="1349" t="s">
        <v>123</v>
      </c>
      <c r="V53" s="1349" t="s">
        <v>123</v>
      </c>
      <c r="W53" s="1349"/>
      <c r="X53" s="1349"/>
      <c r="Y53" s="1308"/>
      <c r="Z53" s="437" t="str">
        <f>IFERROR(__xludf.DUMMYFUNCTION("IF(NOT('portfólio'!$AV$7),"""",IF($T53="""","""",IFERROR(query({AtivosDados},""select sum(""&amp;Z$3&amp;"") where Col1='""&amp;$T53&amp;""' label sum(""&amp;Z$3&amp;"") ''""),0)))"),"")</f>
        <v/>
      </c>
      <c r="AA53" s="437" t="str">
        <f>IFERROR(__xludf.DUMMYFUNCTION("IF(NOT('portfólio'!$AV$7),"""",IF($T53="""","""",IFERROR(query({AtivosDados},""select sum(""&amp;AA$3&amp;"") where Col1='""&amp;$T53&amp;""' label sum(""&amp;AA$3&amp;"") ''""),0)))"),"")</f>
        <v/>
      </c>
      <c r="AB53" s="437" t="str">
        <f>IFERROR(__xludf.DUMMYFUNCTION("IF(NOT('portfólio'!$AV$7),"""",IF($T53="""","""",IFERROR(query({AtivosDados},""select sum(""&amp;AB$3&amp;"") where Col1='""&amp;$T53&amp;""' label sum(""&amp;AB$3&amp;"") ''""),0)))"),"")</f>
        <v/>
      </c>
      <c r="AC53" s="437" t="str">
        <f>IFERROR(__xludf.DUMMYFUNCTION("IF(NOT('portfólio'!$AV$7),"""",IF($T53="""","""",IFERROR(query({AtivosDados},""select sum(""&amp;AC$3&amp;"") where Col1='""&amp;$T53&amp;""' label sum(""&amp;AC$3&amp;"") ''""),0)))"),"")</f>
        <v/>
      </c>
      <c r="AD53" s="437" t="str">
        <f>IFERROR(__xludf.DUMMYFUNCTION("IF(NOT('portfólio'!$AV$7),"""",IF($T53="""","""",IFERROR(query({AtivosDados},""select sum(""&amp;AD$3&amp;"") where Col1='""&amp;$T53&amp;""' label sum(""&amp;AD$3&amp;"") ''""),0)))"),"")</f>
        <v/>
      </c>
      <c r="AE53" s="437"/>
      <c r="AF53" s="1327"/>
      <c r="AG53" s="437"/>
      <c r="AH53" s="437"/>
      <c r="AI53" s="437"/>
      <c r="AJ53" s="437"/>
      <c r="AK53" s="437"/>
      <c r="AL53" s="437"/>
      <c r="AM53" s="437"/>
      <c r="AN53" s="437"/>
      <c r="AO53" s="437"/>
      <c r="AP53" s="437"/>
      <c r="AQ53" s="1327"/>
      <c r="AR53" s="437"/>
      <c r="AS53" s="437"/>
      <c r="AT53" s="437"/>
      <c r="AU53" s="437"/>
      <c r="AV53" s="437"/>
      <c r="AW53" s="437"/>
      <c r="AX53" s="437"/>
      <c r="AY53" s="437"/>
      <c r="AZ53" s="437"/>
      <c r="BA53" s="437"/>
      <c r="BB53" s="1327"/>
      <c r="BC53" s="437"/>
      <c r="BD53" s="437"/>
      <c r="BE53" s="437"/>
      <c r="BF53" s="437"/>
      <c r="BG53" s="437"/>
      <c r="BH53" s="437"/>
      <c r="BI53" s="437"/>
      <c r="BJ53" s="437"/>
      <c r="BK53" s="437"/>
      <c r="BL53" s="437"/>
      <c r="BM53" s="1327"/>
      <c r="BN53" s="1327"/>
      <c r="BO53" s="1327"/>
      <c r="BP53" s="1327"/>
      <c r="BQ53" s="1327"/>
      <c r="BR53" s="1327"/>
      <c r="BS53" s="1327"/>
      <c r="BT53" s="1327"/>
      <c r="BU53" s="1327"/>
      <c r="BV53" s="1327"/>
      <c r="BW53" s="1327"/>
      <c r="BX53" s="1327"/>
      <c r="BY53" s="1327"/>
      <c r="BZ53" s="1327"/>
      <c r="CA53" s="1327"/>
      <c r="CB53" s="1327"/>
      <c r="CC53" s="1327"/>
      <c r="CD53" s="1327"/>
      <c r="CE53" s="1327"/>
      <c r="CF53" s="1327"/>
      <c r="CG53" s="1327"/>
      <c r="CH53" s="1327"/>
      <c r="CI53" s="1327"/>
      <c r="CJ53" s="1327"/>
      <c r="CK53" s="1327"/>
      <c r="CL53" s="1327"/>
      <c r="CM53" s="1327"/>
      <c r="CN53" s="1327"/>
      <c r="CO53" s="1327"/>
      <c r="CP53" s="1327"/>
      <c r="CQ53" s="1327"/>
      <c r="CR53" s="1327"/>
      <c r="CS53" s="1327"/>
      <c r="CT53" s="1317"/>
      <c r="CU53" s="419"/>
      <c r="CV53" s="419"/>
      <c r="CW53" s="419"/>
      <c r="CX53" s="419"/>
      <c r="CY53" s="419"/>
      <c r="CZ53" s="419"/>
      <c r="DA53" s="419"/>
      <c r="DB53" s="419"/>
      <c r="DC53" s="419"/>
      <c r="DD53" s="419"/>
      <c r="DE53" s="419"/>
      <c r="DF53" s="419"/>
      <c r="DG53" s="419"/>
    </row>
    <row r="54" ht="18.75" customHeight="1">
      <c r="G54" s="1344"/>
      <c r="H54" s="1345">
        <f t="shared" si="4"/>
        <v>0</v>
      </c>
      <c r="I54" s="1381"/>
      <c r="J54" s="1381"/>
      <c r="K54" s="1381"/>
      <c r="L54" s="1381"/>
      <c r="M54" s="1381"/>
      <c r="N54" s="1381"/>
      <c r="O54" s="1381"/>
      <c r="P54" s="1381"/>
      <c r="Q54" s="1381"/>
      <c r="R54" s="1381"/>
      <c r="T54" s="1349"/>
      <c r="U54" s="1349" t="s">
        <v>123</v>
      </c>
      <c r="V54" s="1349" t="s">
        <v>123</v>
      </c>
      <c r="W54" s="1349"/>
      <c r="X54" s="1349"/>
      <c r="Y54" s="1308"/>
      <c r="Z54" s="437" t="str">
        <f>IFERROR(__xludf.DUMMYFUNCTION("IF(NOT('portfólio'!$AV$7),"""",IF($T54="""","""",IFERROR(query({AtivosDados},""select sum(""&amp;Z$3&amp;"") where Col1='""&amp;$T54&amp;""' label sum(""&amp;Z$3&amp;"") ''""),0)))"),"")</f>
        <v/>
      </c>
      <c r="AA54" s="437" t="str">
        <f>IFERROR(__xludf.DUMMYFUNCTION("IF(NOT('portfólio'!$AV$7),"""",IF($T54="""","""",IFERROR(query({AtivosDados},""select sum(""&amp;AA$3&amp;"") where Col1='""&amp;$T54&amp;""' label sum(""&amp;AA$3&amp;"") ''""),0)))"),"")</f>
        <v/>
      </c>
      <c r="AB54" s="437" t="str">
        <f>IFERROR(__xludf.DUMMYFUNCTION("IF(NOT('portfólio'!$AV$7),"""",IF($T54="""","""",IFERROR(query({AtivosDados},""select sum(""&amp;AB$3&amp;"") where Col1='""&amp;$T54&amp;""' label sum(""&amp;AB$3&amp;"") ''""),0)))"),"")</f>
        <v/>
      </c>
      <c r="AC54" s="437" t="str">
        <f>IFERROR(__xludf.DUMMYFUNCTION("IF(NOT('portfólio'!$AV$7),"""",IF($T54="""","""",IFERROR(query({AtivosDados},""select sum(""&amp;AC$3&amp;"") where Col1='""&amp;$T54&amp;""' label sum(""&amp;AC$3&amp;"") ''""),0)))"),"")</f>
        <v/>
      </c>
      <c r="AD54" s="437" t="str">
        <f>IFERROR(__xludf.DUMMYFUNCTION("IF(NOT('portfólio'!$AV$7),"""",IF($T54="""","""",IFERROR(query({AtivosDados},""select sum(""&amp;AD$3&amp;"") where Col1='""&amp;$T54&amp;""' label sum(""&amp;AD$3&amp;"") ''""),0)))"),"")</f>
        <v/>
      </c>
      <c r="AE54" s="437"/>
      <c r="AF54" s="1327"/>
      <c r="AG54" s="437"/>
      <c r="AH54" s="437"/>
      <c r="AI54" s="437"/>
      <c r="AJ54" s="437"/>
      <c r="AK54" s="437"/>
      <c r="AL54" s="437"/>
      <c r="AM54" s="437"/>
      <c r="AN54" s="437"/>
      <c r="AO54" s="437"/>
      <c r="AP54" s="437"/>
      <c r="AQ54" s="1327"/>
      <c r="AR54" s="437"/>
      <c r="AS54" s="437"/>
      <c r="AT54" s="437"/>
      <c r="AU54" s="437"/>
      <c r="AV54" s="437"/>
      <c r="AW54" s="437"/>
      <c r="AX54" s="437"/>
      <c r="AY54" s="437"/>
      <c r="AZ54" s="437"/>
      <c r="BA54" s="437"/>
      <c r="BB54" s="1327"/>
      <c r="BC54" s="437"/>
      <c r="BD54" s="437"/>
      <c r="BE54" s="437"/>
      <c r="BF54" s="437"/>
      <c r="BG54" s="437"/>
      <c r="BH54" s="437"/>
      <c r="BI54" s="437"/>
      <c r="BJ54" s="437"/>
      <c r="BK54" s="437"/>
      <c r="BL54" s="437"/>
      <c r="BM54" s="1327"/>
      <c r="BN54" s="1327"/>
      <c r="BO54" s="1327"/>
      <c r="BP54" s="1327"/>
      <c r="BQ54" s="1327"/>
      <c r="BR54" s="1327"/>
      <c r="BS54" s="1327"/>
      <c r="BT54" s="1327"/>
      <c r="BU54" s="1327"/>
      <c r="BV54" s="1327"/>
      <c r="BW54" s="1327"/>
      <c r="BX54" s="1327"/>
      <c r="BY54" s="1327"/>
      <c r="BZ54" s="1327"/>
      <c r="CA54" s="1327"/>
      <c r="CB54" s="1327"/>
      <c r="CC54" s="1327"/>
      <c r="CD54" s="1327"/>
      <c r="CE54" s="1327"/>
      <c r="CF54" s="1327"/>
      <c r="CG54" s="1327"/>
      <c r="CH54" s="1327"/>
      <c r="CI54" s="1327"/>
      <c r="CJ54" s="1327"/>
      <c r="CK54" s="1327"/>
      <c r="CL54" s="1327"/>
      <c r="CM54" s="1327"/>
      <c r="CN54" s="1327"/>
      <c r="CO54" s="1327"/>
      <c r="CP54" s="1327"/>
      <c r="CQ54" s="1327"/>
      <c r="CR54" s="1327"/>
      <c r="CS54" s="1327"/>
      <c r="CT54" s="1317"/>
      <c r="CU54" s="419"/>
      <c r="CV54" s="419"/>
      <c r="CW54" s="419"/>
      <c r="CX54" s="419"/>
      <c r="CY54" s="419"/>
      <c r="CZ54" s="419"/>
      <c r="DA54" s="419"/>
      <c r="DB54" s="419"/>
      <c r="DC54" s="419"/>
      <c r="DD54" s="419"/>
      <c r="DE54" s="419"/>
      <c r="DF54" s="419"/>
      <c r="DG54" s="419"/>
    </row>
    <row r="55" ht="18.75" customHeight="1">
      <c r="G55" s="1344"/>
      <c r="H55" s="1345">
        <f t="shared" si="4"/>
        <v>0</v>
      </c>
      <c r="I55" s="1381"/>
      <c r="J55" s="1381"/>
      <c r="K55" s="1381"/>
      <c r="L55" s="1381"/>
      <c r="M55" s="1381"/>
      <c r="N55" s="1381"/>
      <c r="O55" s="1381"/>
      <c r="P55" s="1381"/>
      <c r="Q55" s="1381"/>
      <c r="R55" s="1381"/>
      <c r="T55" s="1349"/>
      <c r="U55" s="1349" t="s">
        <v>123</v>
      </c>
      <c r="V55" s="1349" t="s">
        <v>123</v>
      </c>
      <c r="W55" s="1349"/>
      <c r="X55" s="1349"/>
      <c r="Y55" s="1308"/>
      <c r="Z55" s="437" t="str">
        <f>IFERROR(__xludf.DUMMYFUNCTION("IF(NOT('portfólio'!$AV$7),"""",IF($T55="""","""",IFERROR(query({AtivosDados},""select sum(""&amp;Z$3&amp;"") where Col1='""&amp;$T55&amp;""' label sum(""&amp;Z$3&amp;"") ''""),0)))"),"")</f>
        <v/>
      </c>
      <c r="AA55" s="437" t="str">
        <f>IFERROR(__xludf.DUMMYFUNCTION("IF(NOT('portfólio'!$AV$7),"""",IF($T55="""","""",IFERROR(query({AtivosDados},""select sum(""&amp;AA$3&amp;"") where Col1='""&amp;$T55&amp;""' label sum(""&amp;AA$3&amp;"") ''""),0)))"),"")</f>
        <v/>
      </c>
      <c r="AB55" s="437" t="str">
        <f>IFERROR(__xludf.DUMMYFUNCTION("IF(NOT('portfólio'!$AV$7),"""",IF($T55="""","""",IFERROR(query({AtivosDados},""select sum(""&amp;AB$3&amp;"") where Col1='""&amp;$T55&amp;""' label sum(""&amp;AB$3&amp;"") ''""),0)))"),"")</f>
        <v/>
      </c>
      <c r="AC55" s="437" t="str">
        <f>IFERROR(__xludf.DUMMYFUNCTION("IF(NOT('portfólio'!$AV$7),"""",IF($T55="""","""",IFERROR(query({AtivosDados},""select sum(""&amp;AC$3&amp;"") where Col1='""&amp;$T55&amp;""' label sum(""&amp;AC$3&amp;"") ''""),0)))"),"")</f>
        <v/>
      </c>
      <c r="AD55" s="437" t="str">
        <f>IFERROR(__xludf.DUMMYFUNCTION("IF(NOT('portfólio'!$AV$7),"""",IF($T55="""","""",IFERROR(query({AtivosDados},""select sum(""&amp;AD$3&amp;"") where Col1='""&amp;$T55&amp;""' label sum(""&amp;AD$3&amp;"") ''""),0)))"),"")</f>
        <v/>
      </c>
      <c r="AE55" s="437"/>
      <c r="AF55" s="1327"/>
      <c r="AG55" s="437"/>
      <c r="AH55" s="437"/>
      <c r="AI55" s="437"/>
      <c r="AJ55" s="437"/>
      <c r="AK55" s="437"/>
      <c r="AL55" s="437"/>
      <c r="AM55" s="437"/>
      <c r="AN55" s="437"/>
      <c r="AO55" s="437"/>
      <c r="AP55" s="437"/>
      <c r="AQ55" s="1327"/>
      <c r="AR55" s="437"/>
      <c r="AS55" s="437"/>
      <c r="AT55" s="437"/>
      <c r="AU55" s="437"/>
      <c r="AV55" s="437"/>
      <c r="AW55" s="437"/>
      <c r="AX55" s="437"/>
      <c r="AY55" s="437"/>
      <c r="AZ55" s="437"/>
      <c r="BA55" s="437"/>
      <c r="BB55" s="1327"/>
      <c r="BC55" s="437"/>
      <c r="BD55" s="437"/>
      <c r="BE55" s="437"/>
      <c r="BF55" s="437"/>
      <c r="BG55" s="437"/>
      <c r="BH55" s="437"/>
      <c r="BI55" s="437"/>
      <c r="BJ55" s="437"/>
      <c r="BK55" s="437"/>
      <c r="BL55" s="437"/>
      <c r="BM55" s="1327"/>
      <c r="BN55" s="1327"/>
      <c r="BO55" s="1327"/>
      <c r="BP55" s="1327"/>
      <c r="BQ55" s="1327"/>
      <c r="BR55" s="1327"/>
      <c r="BS55" s="1327"/>
      <c r="BT55" s="1327"/>
      <c r="BU55" s="1327"/>
      <c r="BV55" s="1327"/>
      <c r="BW55" s="1327"/>
      <c r="BX55" s="1327"/>
      <c r="BY55" s="1327"/>
      <c r="BZ55" s="1327"/>
      <c r="CA55" s="1327"/>
      <c r="CB55" s="1327"/>
      <c r="CC55" s="1327"/>
      <c r="CD55" s="1327"/>
      <c r="CE55" s="1327"/>
      <c r="CF55" s="1327"/>
      <c r="CG55" s="1327"/>
      <c r="CH55" s="1327"/>
      <c r="CI55" s="1327"/>
      <c r="CJ55" s="1327"/>
      <c r="CK55" s="1327"/>
      <c r="CL55" s="1327"/>
      <c r="CM55" s="1327"/>
      <c r="CN55" s="1327"/>
      <c r="CO55" s="1327"/>
      <c r="CP55" s="1327"/>
      <c r="CQ55" s="1327"/>
      <c r="CR55" s="1327"/>
      <c r="CS55" s="1327"/>
      <c r="CT55" s="1317"/>
      <c r="CU55" s="419"/>
      <c r="CV55" s="419"/>
      <c r="CW55" s="419"/>
      <c r="CX55" s="419"/>
      <c r="CY55" s="419"/>
      <c r="CZ55" s="419"/>
      <c r="DA55" s="419"/>
      <c r="DB55" s="419"/>
      <c r="DC55" s="419"/>
      <c r="DD55" s="419"/>
      <c r="DE55" s="419"/>
      <c r="DF55" s="419"/>
      <c r="DG55" s="419"/>
    </row>
    <row r="56" ht="18.75" customHeight="1">
      <c r="G56" s="1344"/>
      <c r="H56" s="1345">
        <f t="shared" si="4"/>
        <v>0</v>
      </c>
      <c r="I56" s="1381"/>
      <c r="J56" s="1381"/>
      <c r="K56" s="1381"/>
      <c r="L56" s="1381"/>
      <c r="M56" s="1381"/>
      <c r="N56" s="1381"/>
      <c r="O56" s="1381"/>
      <c r="P56" s="1381"/>
      <c r="Q56" s="1381"/>
      <c r="R56" s="1381"/>
      <c r="T56" s="1349"/>
      <c r="U56" s="1349" t="s">
        <v>123</v>
      </c>
      <c r="V56" s="1349" t="s">
        <v>123</v>
      </c>
      <c r="W56" s="1349"/>
      <c r="X56" s="1349"/>
      <c r="Y56" s="1308"/>
      <c r="Z56" s="437" t="str">
        <f>IFERROR(__xludf.DUMMYFUNCTION("IF(NOT('portfólio'!$AV$7),"""",IF($T56="""","""",IFERROR(query({AtivosDados},""select sum(""&amp;Z$3&amp;"") where Col1='""&amp;$T56&amp;""' label sum(""&amp;Z$3&amp;"") ''""),0)))"),"")</f>
        <v/>
      </c>
      <c r="AA56" s="437" t="str">
        <f>IFERROR(__xludf.DUMMYFUNCTION("IF(NOT('portfólio'!$AV$7),"""",IF($T56="""","""",IFERROR(query({AtivosDados},""select sum(""&amp;AA$3&amp;"") where Col1='""&amp;$T56&amp;""' label sum(""&amp;AA$3&amp;"") ''""),0)))"),"")</f>
        <v/>
      </c>
      <c r="AB56" s="437" t="str">
        <f>IFERROR(__xludf.DUMMYFUNCTION("IF(NOT('portfólio'!$AV$7),"""",IF($T56="""","""",IFERROR(query({AtivosDados},""select sum(""&amp;AB$3&amp;"") where Col1='""&amp;$T56&amp;""' label sum(""&amp;AB$3&amp;"") ''""),0)))"),"")</f>
        <v/>
      </c>
      <c r="AC56" s="437" t="str">
        <f>IFERROR(__xludf.DUMMYFUNCTION("IF(NOT('portfólio'!$AV$7),"""",IF($T56="""","""",IFERROR(query({AtivosDados},""select sum(""&amp;AC$3&amp;"") where Col1='""&amp;$T56&amp;""' label sum(""&amp;AC$3&amp;"") ''""),0)))"),"")</f>
        <v/>
      </c>
      <c r="AD56" s="437" t="str">
        <f>IFERROR(__xludf.DUMMYFUNCTION("IF(NOT('portfólio'!$AV$7),"""",IF($T56="""","""",IFERROR(query({AtivosDados},""select sum(""&amp;AD$3&amp;"") where Col1='""&amp;$T56&amp;""' label sum(""&amp;AD$3&amp;"") ''""),0)))"),"")</f>
        <v/>
      </c>
      <c r="AE56" s="437"/>
      <c r="AF56" s="1327"/>
      <c r="AG56" s="437"/>
      <c r="AH56" s="437"/>
      <c r="AI56" s="437"/>
      <c r="AJ56" s="437"/>
      <c r="AK56" s="437"/>
      <c r="AL56" s="437"/>
      <c r="AM56" s="437"/>
      <c r="AN56" s="437"/>
      <c r="AO56" s="437"/>
      <c r="AP56" s="437"/>
      <c r="AQ56" s="1327"/>
      <c r="AR56" s="437"/>
      <c r="AS56" s="437"/>
      <c r="AT56" s="437"/>
      <c r="AU56" s="437"/>
      <c r="AV56" s="437"/>
      <c r="AW56" s="437"/>
      <c r="AX56" s="437"/>
      <c r="AY56" s="437"/>
      <c r="AZ56" s="437"/>
      <c r="BA56" s="437"/>
      <c r="BB56" s="1327"/>
      <c r="BC56" s="437"/>
      <c r="BD56" s="437"/>
      <c r="BE56" s="437"/>
      <c r="BF56" s="437"/>
      <c r="BG56" s="437"/>
      <c r="BH56" s="437"/>
      <c r="BI56" s="437"/>
      <c r="BJ56" s="437"/>
      <c r="BK56" s="437"/>
      <c r="BL56" s="437"/>
      <c r="BM56" s="1327"/>
      <c r="BN56" s="1327"/>
      <c r="BO56" s="1327"/>
      <c r="BP56" s="1327"/>
      <c r="BQ56" s="1327"/>
      <c r="BR56" s="1327"/>
      <c r="BS56" s="1327"/>
      <c r="BT56" s="1327"/>
      <c r="BU56" s="1327"/>
      <c r="BV56" s="1327"/>
      <c r="BW56" s="1327"/>
      <c r="BX56" s="1327"/>
      <c r="BY56" s="1327"/>
      <c r="BZ56" s="1327"/>
      <c r="CA56" s="1327"/>
      <c r="CB56" s="1327"/>
      <c r="CC56" s="1327"/>
      <c r="CD56" s="1327"/>
      <c r="CE56" s="1327"/>
      <c r="CF56" s="1327"/>
      <c r="CG56" s="1327"/>
      <c r="CH56" s="1327"/>
      <c r="CI56" s="1327"/>
      <c r="CJ56" s="1327"/>
      <c r="CK56" s="1327"/>
      <c r="CL56" s="1327"/>
      <c r="CM56" s="1327"/>
      <c r="CN56" s="1327"/>
      <c r="CO56" s="1327"/>
      <c r="CP56" s="1327"/>
      <c r="CQ56" s="1327"/>
      <c r="CR56" s="1327"/>
      <c r="CS56" s="1327"/>
      <c r="CT56" s="1317"/>
      <c r="CU56" s="419"/>
      <c r="CV56" s="419"/>
      <c r="CW56" s="419"/>
      <c r="CX56" s="419"/>
      <c r="CY56" s="419"/>
      <c r="CZ56" s="419"/>
      <c r="DA56" s="419"/>
      <c r="DB56" s="419"/>
      <c r="DC56" s="419"/>
      <c r="DD56" s="419"/>
      <c r="DE56" s="419"/>
      <c r="DF56" s="419"/>
      <c r="DG56" s="419"/>
    </row>
    <row r="57" ht="18.75" customHeight="1">
      <c r="G57" s="1344"/>
      <c r="H57" s="1345">
        <f t="shared" si="4"/>
        <v>0</v>
      </c>
      <c r="I57" s="1381"/>
      <c r="J57" s="1381"/>
      <c r="K57" s="1381"/>
      <c r="L57" s="1381"/>
      <c r="M57" s="1381"/>
      <c r="N57" s="1381"/>
      <c r="O57" s="1381"/>
      <c r="P57" s="1381"/>
      <c r="Q57" s="1381"/>
      <c r="R57" s="1381"/>
      <c r="T57" s="1349"/>
      <c r="U57" s="1349" t="s">
        <v>123</v>
      </c>
      <c r="V57" s="1349" t="s">
        <v>123</v>
      </c>
      <c r="W57" s="1349"/>
      <c r="X57" s="1349"/>
      <c r="Y57" s="1308"/>
      <c r="Z57" s="437" t="str">
        <f>IFERROR(__xludf.DUMMYFUNCTION("IF(NOT('portfólio'!$AV$7),"""",IF($T57="""","""",IFERROR(query({AtivosDados},""select sum(""&amp;Z$3&amp;"") where Col1='""&amp;$T57&amp;""' label sum(""&amp;Z$3&amp;"") ''""),0)))"),"")</f>
        <v/>
      </c>
      <c r="AA57" s="437" t="str">
        <f>IFERROR(__xludf.DUMMYFUNCTION("IF(NOT('portfólio'!$AV$7),"""",IF($T57="""","""",IFERROR(query({AtivosDados},""select sum(""&amp;AA$3&amp;"") where Col1='""&amp;$T57&amp;""' label sum(""&amp;AA$3&amp;"") ''""),0)))"),"")</f>
        <v/>
      </c>
      <c r="AB57" s="437" t="str">
        <f>IFERROR(__xludf.DUMMYFUNCTION("IF(NOT('portfólio'!$AV$7),"""",IF($T57="""","""",IFERROR(query({AtivosDados},""select sum(""&amp;AB$3&amp;"") where Col1='""&amp;$T57&amp;""' label sum(""&amp;AB$3&amp;"") ''""),0)))"),"")</f>
        <v/>
      </c>
      <c r="AC57" s="437" t="str">
        <f>IFERROR(__xludf.DUMMYFUNCTION("IF(NOT('portfólio'!$AV$7),"""",IF($T57="""","""",IFERROR(query({AtivosDados},""select sum(""&amp;AC$3&amp;"") where Col1='""&amp;$T57&amp;""' label sum(""&amp;AC$3&amp;"") ''""),0)))"),"")</f>
        <v/>
      </c>
      <c r="AD57" s="437" t="str">
        <f>IFERROR(__xludf.DUMMYFUNCTION("IF(NOT('portfólio'!$AV$7),"""",IF($T57="""","""",IFERROR(query({AtivosDados},""select sum(""&amp;AD$3&amp;"") where Col1='""&amp;$T57&amp;""' label sum(""&amp;AD$3&amp;"") ''""),0)))"),"")</f>
        <v/>
      </c>
      <c r="AE57" s="437"/>
      <c r="AF57" s="1327"/>
      <c r="AG57" s="437"/>
      <c r="AH57" s="437"/>
      <c r="AI57" s="437"/>
      <c r="AJ57" s="437"/>
      <c r="AK57" s="437"/>
      <c r="AL57" s="437"/>
      <c r="AM57" s="437"/>
      <c r="AN57" s="437"/>
      <c r="AO57" s="437"/>
      <c r="AP57" s="437"/>
      <c r="AQ57" s="1327"/>
      <c r="AR57" s="437"/>
      <c r="AS57" s="437"/>
      <c r="AT57" s="437"/>
      <c r="AU57" s="437"/>
      <c r="AV57" s="437"/>
      <c r="AW57" s="437"/>
      <c r="AX57" s="437"/>
      <c r="AY57" s="437"/>
      <c r="AZ57" s="437"/>
      <c r="BA57" s="437"/>
      <c r="BB57" s="1327"/>
      <c r="BC57" s="437"/>
      <c r="BD57" s="437"/>
      <c r="BE57" s="437"/>
      <c r="BF57" s="437"/>
      <c r="BG57" s="437"/>
      <c r="BH57" s="437"/>
      <c r="BI57" s="437"/>
      <c r="BJ57" s="437"/>
      <c r="BK57" s="437"/>
      <c r="BL57" s="437"/>
      <c r="BM57" s="1327"/>
      <c r="BN57" s="1327"/>
      <c r="BO57" s="1327"/>
      <c r="BP57" s="1327"/>
      <c r="BQ57" s="1327"/>
      <c r="BR57" s="1327"/>
      <c r="BS57" s="1327"/>
      <c r="BT57" s="1327"/>
      <c r="BU57" s="1327"/>
      <c r="BV57" s="1327"/>
      <c r="BW57" s="1327"/>
      <c r="BX57" s="1327"/>
      <c r="BY57" s="1327"/>
      <c r="BZ57" s="1327"/>
      <c r="CA57" s="1327"/>
      <c r="CB57" s="1327"/>
      <c r="CC57" s="1327"/>
      <c r="CD57" s="1327"/>
      <c r="CE57" s="1327"/>
      <c r="CF57" s="1327"/>
      <c r="CG57" s="1327"/>
      <c r="CH57" s="1327"/>
      <c r="CI57" s="1327"/>
      <c r="CJ57" s="1327"/>
      <c r="CK57" s="1327"/>
      <c r="CL57" s="1327"/>
      <c r="CM57" s="1327"/>
      <c r="CN57" s="1327"/>
      <c r="CO57" s="1327"/>
      <c r="CP57" s="1327"/>
      <c r="CQ57" s="1327"/>
      <c r="CR57" s="1327"/>
      <c r="CS57" s="1327"/>
      <c r="CT57" s="1317"/>
      <c r="CU57" s="419"/>
      <c r="CV57" s="419"/>
      <c r="CW57" s="419"/>
      <c r="CX57" s="419"/>
      <c r="CY57" s="419"/>
      <c r="CZ57" s="419"/>
      <c r="DA57" s="419"/>
      <c r="DB57" s="419"/>
      <c r="DC57" s="419"/>
      <c r="DD57" s="419"/>
      <c r="DE57" s="419"/>
      <c r="DF57" s="419"/>
      <c r="DG57" s="419"/>
    </row>
    <row r="58" ht="18.75" customHeight="1">
      <c r="G58" s="1344"/>
      <c r="H58" s="1345">
        <f t="shared" si="4"/>
        <v>0</v>
      </c>
      <c r="I58" s="1381"/>
      <c r="J58" s="1381"/>
      <c r="K58" s="1381"/>
      <c r="L58" s="1381"/>
      <c r="M58" s="1381"/>
      <c r="N58" s="1381"/>
      <c r="O58" s="1381"/>
      <c r="P58" s="1381"/>
      <c r="Q58" s="1381"/>
      <c r="R58" s="1381"/>
      <c r="T58" s="1349"/>
      <c r="U58" s="1349" t="s">
        <v>123</v>
      </c>
      <c r="V58" s="1349" t="s">
        <v>123</v>
      </c>
      <c r="W58" s="1349"/>
      <c r="X58" s="1349"/>
      <c r="Y58" s="1308"/>
      <c r="Z58" s="437" t="str">
        <f>IFERROR(__xludf.DUMMYFUNCTION("IF(NOT('portfólio'!$AV$7),"""",IF($T58="""","""",IFERROR(query({AtivosDados},""select sum(""&amp;Z$3&amp;"") where Col1='""&amp;$T58&amp;""' label sum(""&amp;Z$3&amp;"") ''""),0)))"),"")</f>
        <v/>
      </c>
      <c r="AA58" s="437" t="str">
        <f>IFERROR(__xludf.DUMMYFUNCTION("IF(NOT('portfólio'!$AV$7),"""",IF($T58="""","""",IFERROR(query({AtivosDados},""select sum(""&amp;AA$3&amp;"") where Col1='""&amp;$T58&amp;""' label sum(""&amp;AA$3&amp;"") ''""),0)))"),"")</f>
        <v/>
      </c>
      <c r="AB58" s="437" t="str">
        <f>IFERROR(__xludf.DUMMYFUNCTION("IF(NOT('portfólio'!$AV$7),"""",IF($T58="""","""",IFERROR(query({AtivosDados},""select sum(""&amp;AB$3&amp;"") where Col1='""&amp;$T58&amp;""' label sum(""&amp;AB$3&amp;"") ''""),0)))"),"")</f>
        <v/>
      </c>
      <c r="AC58" s="437" t="str">
        <f>IFERROR(__xludf.DUMMYFUNCTION("IF(NOT('portfólio'!$AV$7),"""",IF($T58="""","""",IFERROR(query({AtivosDados},""select sum(""&amp;AC$3&amp;"") where Col1='""&amp;$T58&amp;""' label sum(""&amp;AC$3&amp;"") ''""),0)))"),"")</f>
        <v/>
      </c>
      <c r="AD58" s="437" t="str">
        <f>IFERROR(__xludf.DUMMYFUNCTION("IF(NOT('portfólio'!$AV$7),"""",IF($T58="""","""",IFERROR(query({AtivosDados},""select sum(""&amp;AD$3&amp;"") where Col1='""&amp;$T58&amp;""' label sum(""&amp;AD$3&amp;"") ''""),0)))"),"")</f>
        <v/>
      </c>
      <c r="AE58" s="437"/>
      <c r="AF58" s="1327"/>
      <c r="AG58" s="437"/>
      <c r="AH58" s="437"/>
      <c r="AI58" s="437"/>
      <c r="AJ58" s="437"/>
      <c r="AK58" s="437"/>
      <c r="AL58" s="437"/>
      <c r="AM58" s="437"/>
      <c r="AN58" s="437"/>
      <c r="AO58" s="437"/>
      <c r="AP58" s="437"/>
      <c r="AQ58" s="1327"/>
      <c r="AR58" s="437"/>
      <c r="AS58" s="437"/>
      <c r="AT58" s="437"/>
      <c r="AU58" s="437"/>
      <c r="AV58" s="437"/>
      <c r="AW58" s="437"/>
      <c r="AX58" s="437"/>
      <c r="AY58" s="437"/>
      <c r="AZ58" s="437"/>
      <c r="BA58" s="437"/>
      <c r="BB58" s="1327"/>
      <c r="BC58" s="437"/>
      <c r="BD58" s="437"/>
      <c r="BE58" s="437"/>
      <c r="BF58" s="437"/>
      <c r="BG58" s="437"/>
      <c r="BH58" s="437"/>
      <c r="BI58" s="437"/>
      <c r="BJ58" s="437"/>
      <c r="BK58" s="437"/>
      <c r="BL58" s="437"/>
      <c r="BM58" s="1327"/>
      <c r="BN58" s="1327"/>
      <c r="BO58" s="1327"/>
      <c r="BP58" s="1327"/>
      <c r="BQ58" s="1327"/>
      <c r="BR58" s="1327"/>
      <c r="BS58" s="1327"/>
      <c r="BT58" s="1327"/>
      <c r="BU58" s="1327"/>
      <c r="BV58" s="1327"/>
      <c r="BW58" s="1327"/>
      <c r="BX58" s="1327"/>
      <c r="BY58" s="1327"/>
      <c r="BZ58" s="1327"/>
      <c r="CA58" s="1327"/>
      <c r="CB58" s="1327"/>
      <c r="CC58" s="1327"/>
      <c r="CD58" s="1327"/>
      <c r="CE58" s="1327"/>
      <c r="CF58" s="1327"/>
      <c r="CG58" s="1327"/>
      <c r="CH58" s="1327"/>
      <c r="CI58" s="1327"/>
      <c r="CJ58" s="1327"/>
      <c r="CK58" s="1327"/>
      <c r="CL58" s="1327"/>
      <c r="CM58" s="1327"/>
      <c r="CN58" s="1327"/>
      <c r="CO58" s="1327"/>
      <c r="CP58" s="1327"/>
      <c r="CQ58" s="1327"/>
      <c r="CR58" s="1327"/>
      <c r="CS58" s="1327"/>
      <c r="CT58" s="1317"/>
      <c r="CU58" s="419"/>
      <c r="CV58" s="419"/>
      <c r="CW58" s="419"/>
      <c r="CX58" s="419"/>
      <c r="CY58" s="419"/>
      <c r="CZ58" s="419"/>
      <c r="DA58" s="419"/>
      <c r="DB58" s="419"/>
      <c r="DC58" s="419"/>
      <c r="DD58" s="419"/>
      <c r="DE58" s="419"/>
      <c r="DF58" s="419"/>
      <c r="DG58" s="419"/>
    </row>
    <row r="59" ht="18.75" customHeight="1">
      <c r="G59" s="1344"/>
      <c r="H59" s="1345">
        <f t="shared" si="4"/>
        <v>0</v>
      </c>
      <c r="I59" s="1381"/>
      <c r="J59" s="1381"/>
      <c r="K59" s="1381"/>
      <c r="L59" s="1381"/>
      <c r="M59" s="1381"/>
      <c r="N59" s="1381"/>
      <c r="O59" s="1381"/>
      <c r="P59" s="1381"/>
      <c r="Q59" s="1381"/>
      <c r="R59" s="1381"/>
      <c r="T59" s="1349"/>
      <c r="U59" s="1349" t="s">
        <v>123</v>
      </c>
      <c r="V59" s="1349" t="s">
        <v>123</v>
      </c>
      <c r="W59" s="1349"/>
      <c r="X59" s="1349"/>
      <c r="Y59" s="1308"/>
      <c r="Z59" s="437" t="str">
        <f>IFERROR(__xludf.DUMMYFUNCTION("IF(NOT('portfólio'!$AV$7),"""",IF($T59="""","""",IFERROR(query({AtivosDados},""select sum(""&amp;Z$3&amp;"") where Col1='""&amp;$T59&amp;""' label sum(""&amp;Z$3&amp;"") ''""),0)))"),"")</f>
        <v/>
      </c>
      <c r="AA59" s="437" t="str">
        <f>IFERROR(__xludf.DUMMYFUNCTION("IF(NOT('portfólio'!$AV$7),"""",IF($T59="""","""",IFERROR(query({AtivosDados},""select sum(""&amp;AA$3&amp;"") where Col1='""&amp;$T59&amp;""' label sum(""&amp;AA$3&amp;"") ''""),0)))"),"")</f>
        <v/>
      </c>
      <c r="AB59" s="437" t="str">
        <f>IFERROR(__xludf.DUMMYFUNCTION("IF(NOT('portfólio'!$AV$7),"""",IF($T59="""","""",IFERROR(query({AtivosDados},""select sum(""&amp;AB$3&amp;"") where Col1='""&amp;$T59&amp;""' label sum(""&amp;AB$3&amp;"") ''""),0)))"),"")</f>
        <v/>
      </c>
      <c r="AC59" s="437" t="str">
        <f>IFERROR(__xludf.DUMMYFUNCTION("IF(NOT('portfólio'!$AV$7),"""",IF($T59="""","""",IFERROR(query({AtivosDados},""select sum(""&amp;AC$3&amp;"") where Col1='""&amp;$T59&amp;""' label sum(""&amp;AC$3&amp;"") ''""),0)))"),"")</f>
        <v/>
      </c>
      <c r="AD59" s="437" t="str">
        <f>IFERROR(__xludf.DUMMYFUNCTION("IF(NOT('portfólio'!$AV$7),"""",IF($T59="""","""",IFERROR(query({AtivosDados},""select sum(""&amp;AD$3&amp;"") where Col1='""&amp;$T59&amp;""' label sum(""&amp;AD$3&amp;"") ''""),0)))"),"")</f>
        <v/>
      </c>
      <c r="AE59" s="437"/>
      <c r="AF59" s="1327"/>
      <c r="AG59" s="437"/>
      <c r="AH59" s="437"/>
      <c r="AI59" s="437"/>
      <c r="AJ59" s="437"/>
      <c r="AK59" s="437"/>
      <c r="AL59" s="437"/>
      <c r="AM59" s="437"/>
      <c r="AN59" s="437"/>
      <c r="AO59" s="437"/>
      <c r="AP59" s="437"/>
      <c r="AQ59" s="1327"/>
      <c r="AR59" s="437"/>
      <c r="AS59" s="437"/>
      <c r="AT59" s="437"/>
      <c r="AU59" s="437"/>
      <c r="AV59" s="437"/>
      <c r="AW59" s="437"/>
      <c r="AX59" s="437"/>
      <c r="AY59" s="437"/>
      <c r="AZ59" s="437"/>
      <c r="BA59" s="437"/>
      <c r="BB59" s="1327"/>
      <c r="BC59" s="437"/>
      <c r="BD59" s="437"/>
      <c r="BE59" s="437"/>
      <c r="BF59" s="437"/>
      <c r="BG59" s="437"/>
      <c r="BH59" s="437"/>
      <c r="BI59" s="437"/>
      <c r="BJ59" s="437"/>
      <c r="BK59" s="437"/>
      <c r="BL59" s="437"/>
      <c r="BM59" s="1327"/>
      <c r="BN59" s="1327"/>
      <c r="BO59" s="1327"/>
      <c r="BP59" s="1327"/>
      <c r="BQ59" s="1327"/>
      <c r="BR59" s="1327"/>
      <c r="BS59" s="1327"/>
      <c r="BT59" s="1327"/>
      <c r="BU59" s="1327"/>
      <c r="BV59" s="1327"/>
      <c r="BW59" s="1327"/>
      <c r="BX59" s="1327"/>
      <c r="BY59" s="1327"/>
      <c r="BZ59" s="1327"/>
      <c r="CA59" s="1327"/>
      <c r="CB59" s="1327"/>
      <c r="CC59" s="1327"/>
      <c r="CD59" s="1327"/>
      <c r="CE59" s="1327"/>
      <c r="CF59" s="1327"/>
      <c r="CG59" s="1327"/>
      <c r="CH59" s="1327"/>
      <c r="CI59" s="1327"/>
      <c r="CJ59" s="1327"/>
      <c r="CK59" s="1327"/>
      <c r="CL59" s="1327"/>
      <c r="CM59" s="1327"/>
      <c r="CN59" s="1327"/>
      <c r="CO59" s="1327"/>
      <c r="CP59" s="1327"/>
      <c r="CQ59" s="1327"/>
      <c r="CR59" s="1327"/>
      <c r="CS59" s="1327"/>
      <c r="CT59" s="1317"/>
      <c r="CU59" s="419"/>
      <c r="CV59" s="419"/>
      <c r="CW59" s="419"/>
      <c r="CX59" s="419"/>
      <c r="CY59" s="419"/>
      <c r="CZ59" s="419"/>
      <c r="DA59" s="419"/>
      <c r="DB59" s="419"/>
      <c r="DC59" s="419"/>
      <c r="DD59" s="419"/>
      <c r="DE59" s="419"/>
      <c r="DF59" s="419"/>
      <c r="DG59" s="419"/>
    </row>
    <row r="60" ht="18.75" customHeight="1">
      <c r="G60" s="1344"/>
      <c r="H60" s="1345">
        <f t="shared" si="4"/>
        <v>0</v>
      </c>
      <c r="I60" s="1381"/>
      <c r="J60" s="1381"/>
      <c r="K60" s="1381"/>
      <c r="L60" s="1381"/>
      <c r="M60" s="1381"/>
      <c r="N60" s="1381"/>
      <c r="O60" s="1381"/>
      <c r="P60" s="1381"/>
      <c r="Q60" s="1381"/>
      <c r="R60" s="1381"/>
      <c r="T60" s="1349"/>
      <c r="U60" s="1349" t="s">
        <v>123</v>
      </c>
      <c r="V60" s="1349" t="s">
        <v>123</v>
      </c>
      <c r="W60" s="1349"/>
      <c r="X60" s="1349"/>
      <c r="Y60" s="1308"/>
      <c r="Z60" s="437" t="str">
        <f>IFERROR(__xludf.DUMMYFUNCTION("IF(NOT('portfólio'!$AV$7),"""",IF($T60="""","""",IFERROR(query({AtivosDados},""select sum(""&amp;Z$3&amp;"") where Col1='""&amp;$T60&amp;""' label sum(""&amp;Z$3&amp;"") ''""),0)))"),"")</f>
        <v/>
      </c>
      <c r="AA60" s="437" t="str">
        <f>IFERROR(__xludf.DUMMYFUNCTION("IF(NOT('portfólio'!$AV$7),"""",IF($T60="""","""",IFERROR(query({AtivosDados},""select sum(""&amp;AA$3&amp;"") where Col1='""&amp;$T60&amp;""' label sum(""&amp;AA$3&amp;"") ''""),0)))"),"")</f>
        <v/>
      </c>
      <c r="AB60" s="437" t="str">
        <f>IFERROR(__xludf.DUMMYFUNCTION("IF(NOT('portfólio'!$AV$7),"""",IF($T60="""","""",IFERROR(query({AtivosDados},""select sum(""&amp;AB$3&amp;"") where Col1='""&amp;$T60&amp;""' label sum(""&amp;AB$3&amp;"") ''""),0)))"),"")</f>
        <v/>
      </c>
      <c r="AC60" s="437" t="str">
        <f>IFERROR(__xludf.DUMMYFUNCTION("IF(NOT('portfólio'!$AV$7),"""",IF($T60="""","""",IFERROR(query({AtivosDados},""select sum(""&amp;AC$3&amp;"") where Col1='""&amp;$T60&amp;""' label sum(""&amp;AC$3&amp;"") ''""),0)))"),"")</f>
        <v/>
      </c>
      <c r="AD60" s="437" t="str">
        <f>IFERROR(__xludf.DUMMYFUNCTION("IF(NOT('portfólio'!$AV$7),"""",IF($T60="""","""",IFERROR(query({AtivosDados},""select sum(""&amp;AD$3&amp;"") where Col1='""&amp;$T60&amp;""' label sum(""&amp;AD$3&amp;"") ''""),0)))"),"")</f>
        <v/>
      </c>
      <c r="AE60" s="437"/>
      <c r="AF60" s="1327"/>
      <c r="AG60" s="437"/>
      <c r="AH60" s="437"/>
      <c r="AI60" s="437"/>
      <c r="AJ60" s="437"/>
      <c r="AK60" s="437"/>
      <c r="AL60" s="437"/>
      <c r="AM60" s="437"/>
      <c r="AN60" s="437"/>
      <c r="AO60" s="437"/>
      <c r="AP60" s="437"/>
      <c r="AQ60" s="1327"/>
      <c r="AR60" s="437"/>
      <c r="AS60" s="437"/>
      <c r="AT60" s="437"/>
      <c r="AU60" s="437"/>
      <c r="AV60" s="437"/>
      <c r="AW60" s="437"/>
      <c r="AX60" s="437"/>
      <c r="AY60" s="437"/>
      <c r="AZ60" s="437"/>
      <c r="BA60" s="437"/>
      <c r="BB60" s="1327"/>
      <c r="BC60" s="437"/>
      <c r="BD60" s="437"/>
      <c r="BE60" s="437"/>
      <c r="BF60" s="437"/>
      <c r="BG60" s="437"/>
      <c r="BH60" s="437"/>
      <c r="BI60" s="437"/>
      <c r="BJ60" s="437"/>
      <c r="BK60" s="437"/>
      <c r="BL60" s="437"/>
      <c r="BM60" s="1327"/>
      <c r="BN60" s="1327"/>
      <c r="BO60" s="1327"/>
      <c r="BP60" s="1327"/>
      <c r="BQ60" s="1327"/>
      <c r="BR60" s="1327"/>
      <c r="BS60" s="1327"/>
      <c r="BT60" s="1327"/>
      <c r="BU60" s="1327"/>
      <c r="BV60" s="1327"/>
      <c r="BW60" s="1327"/>
      <c r="BX60" s="1327"/>
      <c r="BY60" s="1327"/>
      <c r="BZ60" s="1327"/>
      <c r="CA60" s="1327"/>
      <c r="CB60" s="1327"/>
      <c r="CC60" s="1327"/>
      <c r="CD60" s="1327"/>
      <c r="CE60" s="1327"/>
      <c r="CF60" s="1327"/>
      <c r="CG60" s="1327"/>
      <c r="CH60" s="1327"/>
      <c r="CI60" s="1327"/>
      <c r="CJ60" s="1327"/>
      <c r="CK60" s="1327"/>
      <c r="CL60" s="1327"/>
      <c r="CM60" s="1327"/>
      <c r="CN60" s="1327"/>
      <c r="CO60" s="1327"/>
      <c r="CP60" s="1327"/>
      <c r="CQ60" s="1327"/>
      <c r="CR60" s="1327"/>
      <c r="CS60" s="1327"/>
      <c r="CT60" s="1317"/>
      <c r="CU60" s="419"/>
      <c r="CV60" s="419"/>
      <c r="CW60" s="419"/>
      <c r="CX60" s="419"/>
      <c r="CY60" s="419"/>
      <c r="CZ60" s="419"/>
      <c r="DA60" s="419"/>
      <c r="DB60" s="419"/>
      <c r="DC60" s="419"/>
      <c r="DD60" s="419"/>
      <c r="DE60" s="419"/>
      <c r="DF60" s="419"/>
      <c r="DG60" s="419"/>
    </row>
    <row r="61" ht="18.75" customHeight="1">
      <c r="G61" s="1344"/>
      <c r="H61" s="1345">
        <f t="shared" si="4"/>
        <v>0</v>
      </c>
      <c r="I61" s="1381"/>
      <c r="J61" s="1381"/>
      <c r="K61" s="1381"/>
      <c r="L61" s="1381"/>
      <c r="M61" s="1381"/>
      <c r="N61" s="1381"/>
      <c r="O61" s="1381"/>
      <c r="P61" s="1381"/>
      <c r="Q61" s="1381"/>
      <c r="R61" s="1381"/>
      <c r="T61" s="1349"/>
      <c r="U61" s="1349" t="s">
        <v>123</v>
      </c>
      <c r="V61" s="1349" t="s">
        <v>123</v>
      </c>
      <c r="W61" s="1349"/>
      <c r="X61" s="1349"/>
      <c r="Y61" s="1308"/>
      <c r="Z61" s="437" t="str">
        <f>IFERROR(__xludf.DUMMYFUNCTION("IF(NOT('portfólio'!$AV$7),"""",IF($T61="""","""",IFERROR(query({AtivosDados},""select sum(""&amp;Z$3&amp;"") where Col1='""&amp;$T61&amp;""' label sum(""&amp;Z$3&amp;"") ''""),0)))"),"")</f>
        <v/>
      </c>
      <c r="AA61" s="437" t="str">
        <f>IFERROR(__xludf.DUMMYFUNCTION("IF(NOT('portfólio'!$AV$7),"""",IF($T61="""","""",IFERROR(query({AtivosDados},""select sum(""&amp;AA$3&amp;"") where Col1='""&amp;$T61&amp;""' label sum(""&amp;AA$3&amp;"") ''""),0)))"),"")</f>
        <v/>
      </c>
      <c r="AB61" s="437" t="str">
        <f>IFERROR(__xludf.DUMMYFUNCTION("IF(NOT('portfólio'!$AV$7),"""",IF($T61="""","""",IFERROR(query({AtivosDados},""select sum(""&amp;AB$3&amp;"") where Col1='""&amp;$T61&amp;""' label sum(""&amp;AB$3&amp;"") ''""),0)))"),"")</f>
        <v/>
      </c>
      <c r="AC61" s="437" t="str">
        <f>IFERROR(__xludf.DUMMYFUNCTION("IF(NOT('portfólio'!$AV$7),"""",IF($T61="""","""",IFERROR(query({AtivosDados},""select sum(""&amp;AC$3&amp;"") where Col1='""&amp;$T61&amp;""' label sum(""&amp;AC$3&amp;"") ''""),0)))"),"")</f>
        <v/>
      </c>
      <c r="AD61" s="437" t="str">
        <f>IFERROR(__xludf.DUMMYFUNCTION("IF(NOT('portfólio'!$AV$7),"""",IF($T61="""","""",IFERROR(query({AtivosDados},""select sum(""&amp;AD$3&amp;"") where Col1='""&amp;$T61&amp;""' label sum(""&amp;AD$3&amp;"") ''""),0)))"),"")</f>
        <v/>
      </c>
      <c r="AE61" s="437"/>
      <c r="AF61" s="1327"/>
      <c r="AG61" s="437"/>
      <c r="AH61" s="437"/>
      <c r="AI61" s="437"/>
      <c r="AJ61" s="437"/>
      <c r="AK61" s="437"/>
      <c r="AL61" s="437"/>
      <c r="AM61" s="437"/>
      <c r="AN61" s="437"/>
      <c r="AO61" s="437"/>
      <c r="AP61" s="437"/>
      <c r="AQ61" s="1327"/>
      <c r="AR61" s="437"/>
      <c r="AS61" s="437"/>
      <c r="AT61" s="437"/>
      <c r="AU61" s="437"/>
      <c r="AV61" s="437"/>
      <c r="AW61" s="437"/>
      <c r="AX61" s="437"/>
      <c r="AY61" s="437"/>
      <c r="AZ61" s="437"/>
      <c r="BA61" s="437"/>
      <c r="BB61" s="1327"/>
      <c r="BC61" s="437"/>
      <c r="BD61" s="437"/>
      <c r="BE61" s="437"/>
      <c r="BF61" s="437"/>
      <c r="BG61" s="437"/>
      <c r="BH61" s="437"/>
      <c r="BI61" s="437"/>
      <c r="BJ61" s="437"/>
      <c r="BK61" s="437"/>
      <c r="BL61" s="437"/>
      <c r="BM61" s="1327"/>
      <c r="BN61" s="1327"/>
      <c r="BO61" s="1327"/>
      <c r="BP61" s="1327"/>
      <c r="BQ61" s="1327"/>
      <c r="BR61" s="1327"/>
      <c r="BS61" s="1327"/>
      <c r="BT61" s="1327"/>
      <c r="BU61" s="1327"/>
      <c r="BV61" s="1327"/>
      <c r="BW61" s="1327"/>
      <c r="BX61" s="1327"/>
      <c r="BY61" s="1327"/>
      <c r="BZ61" s="1327"/>
      <c r="CA61" s="1327"/>
      <c r="CB61" s="1327"/>
      <c r="CC61" s="1327"/>
      <c r="CD61" s="1327"/>
      <c r="CE61" s="1327"/>
      <c r="CF61" s="1327"/>
      <c r="CG61" s="1327"/>
      <c r="CH61" s="1327"/>
      <c r="CI61" s="1327"/>
      <c r="CJ61" s="1327"/>
      <c r="CK61" s="1327"/>
      <c r="CL61" s="1327"/>
      <c r="CM61" s="1327"/>
      <c r="CN61" s="1327"/>
      <c r="CO61" s="1327"/>
      <c r="CP61" s="1327"/>
      <c r="CQ61" s="1327"/>
      <c r="CR61" s="1327"/>
      <c r="CS61" s="1327"/>
      <c r="CT61" s="1317"/>
      <c r="CU61" s="419"/>
      <c r="CV61" s="419"/>
      <c r="CW61" s="419"/>
      <c r="CX61" s="419"/>
      <c r="CY61" s="419"/>
      <c r="CZ61" s="419"/>
      <c r="DA61" s="419"/>
      <c r="DB61" s="419"/>
      <c r="DC61" s="419"/>
      <c r="DD61" s="419"/>
      <c r="DE61" s="419"/>
      <c r="DF61" s="419"/>
      <c r="DG61" s="419"/>
    </row>
    <row r="62" ht="18.75" customHeight="1">
      <c r="G62" s="1344"/>
      <c r="H62" s="1345">
        <f t="shared" si="4"/>
        <v>0</v>
      </c>
      <c r="I62" s="1381"/>
      <c r="J62" s="1381"/>
      <c r="K62" s="1381"/>
      <c r="L62" s="1381"/>
      <c r="M62" s="1381"/>
      <c r="N62" s="1381"/>
      <c r="O62" s="1381"/>
      <c r="P62" s="1381"/>
      <c r="Q62" s="1381"/>
      <c r="R62" s="1381"/>
      <c r="T62" s="1349"/>
      <c r="U62" s="1349" t="s">
        <v>123</v>
      </c>
      <c r="V62" s="1349" t="s">
        <v>123</v>
      </c>
      <c r="W62" s="1349"/>
      <c r="X62" s="1349"/>
      <c r="Y62" s="1308"/>
      <c r="Z62" s="437" t="str">
        <f>IFERROR(__xludf.DUMMYFUNCTION("IF(NOT('portfólio'!$AV$7),"""",IF($T62="""","""",IFERROR(query({AtivosDados},""select sum(""&amp;Z$3&amp;"") where Col1='""&amp;$T62&amp;""' label sum(""&amp;Z$3&amp;"") ''""),0)))"),"")</f>
        <v/>
      </c>
      <c r="AA62" s="437" t="str">
        <f>IFERROR(__xludf.DUMMYFUNCTION("IF(NOT('portfólio'!$AV$7),"""",IF($T62="""","""",IFERROR(query({AtivosDados},""select sum(""&amp;AA$3&amp;"") where Col1='""&amp;$T62&amp;""' label sum(""&amp;AA$3&amp;"") ''""),0)))"),"")</f>
        <v/>
      </c>
      <c r="AB62" s="437" t="str">
        <f>IFERROR(__xludf.DUMMYFUNCTION("IF(NOT('portfólio'!$AV$7),"""",IF($T62="""","""",IFERROR(query({AtivosDados},""select sum(""&amp;AB$3&amp;"") where Col1='""&amp;$T62&amp;""' label sum(""&amp;AB$3&amp;"") ''""),0)))"),"")</f>
        <v/>
      </c>
      <c r="AC62" s="437" t="str">
        <f>IFERROR(__xludf.DUMMYFUNCTION("IF(NOT('portfólio'!$AV$7),"""",IF($T62="""","""",IFERROR(query({AtivosDados},""select sum(""&amp;AC$3&amp;"") where Col1='""&amp;$T62&amp;""' label sum(""&amp;AC$3&amp;"") ''""),0)))"),"")</f>
        <v/>
      </c>
      <c r="AD62" s="437" t="str">
        <f>IFERROR(__xludf.DUMMYFUNCTION("IF(NOT('portfólio'!$AV$7),"""",IF($T62="""","""",IFERROR(query({AtivosDados},""select sum(""&amp;AD$3&amp;"") where Col1='""&amp;$T62&amp;""' label sum(""&amp;AD$3&amp;"") ''""),0)))"),"")</f>
        <v/>
      </c>
      <c r="AE62" s="437"/>
      <c r="AF62" s="1327"/>
      <c r="AG62" s="437"/>
      <c r="AH62" s="437"/>
      <c r="AI62" s="437"/>
      <c r="AJ62" s="437"/>
      <c r="AK62" s="437"/>
      <c r="AL62" s="437"/>
      <c r="AM62" s="437"/>
      <c r="AN62" s="437"/>
      <c r="AO62" s="437"/>
      <c r="AP62" s="437"/>
      <c r="AQ62" s="1327"/>
      <c r="AR62" s="437"/>
      <c r="AS62" s="437"/>
      <c r="AT62" s="437"/>
      <c r="AU62" s="437"/>
      <c r="AV62" s="437"/>
      <c r="AW62" s="437"/>
      <c r="AX62" s="437"/>
      <c r="AY62" s="437"/>
      <c r="AZ62" s="437"/>
      <c r="BA62" s="437"/>
      <c r="BB62" s="1327"/>
      <c r="BC62" s="437"/>
      <c r="BD62" s="437"/>
      <c r="BE62" s="437"/>
      <c r="BF62" s="437"/>
      <c r="BG62" s="437"/>
      <c r="BH62" s="437"/>
      <c r="BI62" s="437"/>
      <c r="BJ62" s="437"/>
      <c r="BK62" s="437"/>
      <c r="BL62" s="437"/>
      <c r="BM62" s="1327"/>
      <c r="BN62" s="1327"/>
      <c r="BO62" s="1327"/>
      <c r="BP62" s="1327"/>
      <c r="BQ62" s="1327"/>
      <c r="BR62" s="1327"/>
      <c r="BS62" s="1327"/>
      <c r="BT62" s="1327"/>
      <c r="BU62" s="1327"/>
      <c r="BV62" s="1327"/>
      <c r="BW62" s="1327"/>
      <c r="BX62" s="1327"/>
      <c r="BY62" s="1327"/>
      <c r="BZ62" s="1327"/>
      <c r="CA62" s="1327"/>
      <c r="CB62" s="1327"/>
      <c r="CC62" s="1327"/>
      <c r="CD62" s="1327"/>
      <c r="CE62" s="1327"/>
      <c r="CF62" s="1327"/>
      <c r="CG62" s="1327"/>
      <c r="CH62" s="1327"/>
      <c r="CI62" s="1327"/>
      <c r="CJ62" s="1327"/>
      <c r="CK62" s="1327"/>
      <c r="CL62" s="1327"/>
      <c r="CM62" s="1327"/>
      <c r="CN62" s="1327"/>
      <c r="CO62" s="1327"/>
      <c r="CP62" s="1327"/>
      <c r="CQ62" s="1327"/>
      <c r="CR62" s="1327"/>
      <c r="CS62" s="1327"/>
      <c r="CT62" s="1317"/>
      <c r="CU62" s="419"/>
      <c r="CV62" s="419"/>
      <c r="CW62" s="419"/>
      <c r="CX62" s="419"/>
      <c r="CY62" s="419"/>
      <c r="CZ62" s="419"/>
      <c r="DA62" s="419"/>
      <c r="DB62" s="419"/>
      <c r="DC62" s="419"/>
      <c r="DD62" s="419"/>
      <c r="DE62" s="419"/>
      <c r="DF62" s="419"/>
      <c r="DG62" s="419"/>
    </row>
    <row r="63" ht="18.75" customHeight="1">
      <c r="G63" s="1344"/>
      <c r="H63" s="1345">
        <f t="shared" si="4"/>
        <v>0</v>
      </c>
      <c r="I63" s="1381"/>
      <c r="J63" s="1381"/>
      <c r="K63" s="1381"/>
      <c r="L63" s="1381"/>
      <c r="M63" s="1381"/>
      <c r="N63" s="1381"/>
      <c r="O63" s="1381"/>
      <c r="P63" s="1381"/>
      <c r="Q63" s="1381"/>
      <c r="R63" s="1381"/>
      <c r="T63" s="1349"/>
      <c r="U63" s="1349" t="s">
        <v>123</v>
      </c>
      <c r="V63" s="1349" t="s">
        <v>123</v>
      </c>
      <c r="W63" s="1349"/>
      <c r="X63" s="1349"/>
      <c r="Y63" s="1308"/>
      <c r="Z63" s="437" t="str">
        <f>IFERROR(__xludf.DUMMYFUNCTION("IF(NOT('portfólio'!$AV$7),"""",IF($T63="""","""",IFERROR(query({AtivosDados},""select sum(""&amp;Z$3&amp;"") where Col1='""&amp;$T63&amp;""' label sum(""&amp;Z$3&amp;"") ''""),0)))"),"")</f>
        <v/>
      </c>
      <c r="AA63" s="437" t="str">
        <f>IFERROR(__xludf.DUMMYFUNCTION("IF(NOT('portfólio'!$AV$7),"""",IF($T63="""","""",IFERROR(query({AtivosDados},""select sum(""&amp;AA$3&amp;"") where Col1='""&amp;$T63&amp;""' label sum(""&amp;AA$3&amp;"") ''""),0)))"),"")</f>
        <v/>
      </c>
      <c r="AB63" s="437" t="str">
        <f>IFERROR(__xludf.DUMMYFUNCTION("IF(NOT('portfólio'!$AV$7),"""",IF($T63="""","""",IFERROR(query({AtivosDados},""select sum(""&amp;AB$3&amp;"") where Col1='""&amp;$T63&amp;""' label sum(""&amp;AB$3&amp;"") ''""),0)))"),"")</f>
        <v/>
      </c>
      <c r="AC63" s="437" t="str">
        <f>IFERROR(__xludf.DUMMYFUNCTION("IF(NOT('portfólio'!$AV$7),"""",IF($T63="""","""",IFERROR(query({AtivosDados},""select sum(""&amp;AC$3&amp;"") where Col1='""&amp;$T63&amp;""' label sum(""&amp;AC$3&amp;"") ''""),0)))"),"")</f>
        <v/>
      </c>
      <c r="AD63" s="437" t="str">
        <f>IFERROR(__xludf.DUMMYFUNCTION("IF(NOT('portfólio'!$AV$7),"""",IF($T63="""","""",IFERROR(query({AtivosDados},""select sum(""&amp;AD$3&amp;"") where Col1='""&amp;$T63&amp;""' label sum(""&amp;AD$3&amp;"") ''""),0)))"),"")</f>
        <v/>
      </c>
      <c r="AE63" s="437"/>
      <c r="AF63" s="1327"/>
      <c r="AG63" s="437"/>
      <c r="AH63" s="437"/>
      <c r="AI63" s="437"/>
      <c r="AJ63" s="437"/>
      <c r="AK63" s="437"/>
      <c r="AL63" s="437"/>
      <c r="AM63" s="437"/>
      <c r="AN63" s="437"/>
      <c r="AO63" s="437"/>
      <c r="AP63" s="437"/>
      <c r="AQ63" s="1327"/>
      <c r="AR63" s="437"/>
      <c r="AS63" s="437"/>
      <c r="AT63" s="437"/>
      <c r="AU63" s="437"/>
      <c r="AV63" s="437"/>
      <c r="AW63" s="437"/>
      <c r="AX63" s="437"/>
      <c r="AY63" s="437"/>
      <c r="AZ63" s="437"/>
      <c r="BA63" s="437"/>
      <c r="BB63" s="1327"/>
      <c r="BC63" s="437"/>
      <c r="BD63" s="437"/>
      <c r="BE63" s="437"/>
      <c r="BF63" s="437"/>
      <c r="BG63" s="437"/>
      <c r="BH63" s="437"/>
      <c r="BI63" s="437"/>
      <c r="BJ63" s="437"/>
      <c r="BK63" s="437"/>
      <c r="BL63" s="437"/>
      <c r="BM63" s="1327"/>
      <c r="BN63" s="1327"/>
      <c r="BO63" s="1327"/>
      <c r="BP63" s="1327"/>
      <c r="BQ63" s="1327"/>
      <c r="BR63" s="1327"/>
      <c r="BS63" s="1327"/>
      <c r="BT63" s="1327"/>
      <c r="BU63" s="1327"/>
      <c r="BV63" s="1327"/>
      <c r="BW63" s="1327"/>
      <c r="BX63" s="1327"/>
      <c r="BY63" s="1327"/>
      <c r="BZ63" s="1327"/>
      <c r="CA63" s="1327"/>
      <c r="CB63" s="1327"/>
      <c r="CC63" s="1327"/>
      <c r="CD63" s="1327"/>
      <c r="CE63" s="1327"/>
      <c r="CF63" s="1327"/>
      <c r="CG63" s="1327"/>
      <c r="CH63" s="1327"/>
      <c r="CI63" s="1327"/>
      <c r="CJ63" s="1327"/>
      <c r="CK63" s="1327"/>
      <c r="CL63" s="1327"/>
      <c r="CM63" s="1327"/>
      <c r="CN63" s="1327"/>
      <c r="CO63" s="1327"/>
      <c r="CP63" s="1327"/>
      <c r="CQ63" s="1327"/>
      <c r="CR63" s="1327"/>
      <c r="CS63" s="1327"/>
      <c r="CT63" s="1317"/>
      <c r="CU63" s="419"/>
      <c r="CV63" s="419"/>
      <c r="CW63" s="419"/>
      <c r="CX63" s="419"/>
      <c r="CY63" s="419"/>
      <c r="CZ63" s="419"/>
      <c r="DA63" s="419"/>
      <c r="DB63" s="419"/>
      <c r="DC63" s="419"/>
      <c r="DD63" s="419"/>
      <c r="DE63" s="419"/>
      <c r="DF63" s="419"/>
      <c r="DG63" s="419"/>
    </row>
    <row r="64" ht="18.75" customHeight="1">
      <c r="G64" s="1344"/>
      <c r="H64" s="1345">
        <f t="shared" si="4"/>
        <v>0</v>
      </c>
      <c r="I64" s="1381"/>
      <c r="J64" s="1381"/>
      <c r="K64" s="1381"/>
      <c r="L64" s="1381"/>
      <c r="M64" s="1381"/>
      <c r="N64" s="1381"/>
      <c r="O64" s="1381"/>
      <c r="P64" s="1381"/>
      <c r="Q64" s="1381"/>
      <c r="R64" s="1381"/>
      <c r="T64" s="1349"/>
      <c r="U64" s="1349" t="s">
        <v>123</v>
      </c>
      <c r="V64" s="1349" t="s">
        <v>123</v>
      </c>
      <c r="W64" s="1349"/>
      <c r="X64" s="1349"/>
      <c r="Y64" s="1308"/>
      <c r="Z64" s="437" t="str">
        <f>IFERROR(__xludf.DUMMYFUNCTION("IF(NOT('portfólio'!$AV$7),"""",IF($T64="""","""",IFERROR(query({AtivosDados},""select sum(""&amp;Z$3&amp;"") where Col1='""&amp;$T64&amp;""' label sum(""&amp;Z$3&amp;"") ''""),0)))"),"")</f>
        <v/>
      </c>
      <c r="AA64" s="437" t="str">
        <f>IFERROR(__xludf.DUMMYFUNCTION("IF(NOT('portfólio'!$AV$7),"""",IF($T64="""","""",IFERROR(query({AtivosDados},""select sum(""&amp;AA$3&amp;"") where Col1='""&amp;$T64&amp;""' label sum(""&amp;AA$3&amp;"") ''""),0)))"),"")</f>
        <v/>
      </c>
      <c r="AB64" s="437" t="str">
        <f>IFERROR(__xludf.DUMMYFUNCTION("IF(NOT('portfólio'!$AV$7),"""",IF($T64="""","""",IFERROR(query({AtivosDados},""select sum(""&amp;AB$3&amp;"") where Col1='""&amp;$T64&amp;""' label sum(""&amp;AB$3&amp;"") ''""),0)))"),"")</f>
        <v/>
      </c>
      <c r="AC64" s="437" t="str">
        <f>IFERROR(__xludf.DUMMYFUNCTION("IF(NOT('portfólio'!$AV$7),"""",IF($T64="""","""",IFERROR(query({AtivosDados},""select sum(""&amp;AC$3&amp;"") where Col1='""&amp;$T64&amp;""' label sum(""&amp;AC$3&amp;"") ''""),0)))"),"")</f>
        <v/>
      </c>
      <c r="AD64" s="437" t="str">
        <f>IFERROR(__xludf.DUMMYFUNCTION("IF(NOT('portfólio'!$AV$7),"""",IF($T64="""","""",IFERROR(query({AtivosDados},""select sum(""&amp;AD$3&amp;"") where Col1='""&amp;$T64&amp;""' label sum(""&amp;AD$3&amp;"") ''""),0)))"),"")</f>
        <v/>
      </c>
      <c r="AE64" s="437"/>
      <c r="AF64" s="1327"/>
      <c r="AG64" s="437"/>
      <c r="AH64" s="437"/>
      <c r="AI64" s="437"/>
      <c r="AJ64" s="437"/>
      <c r="AK64" s="437"/>
      <c r="AL64" s="437"/>
      <c r="AM64" s="437"/>
      <c r="AN64" s="437"/>
      <c r="AO64" s="437"/>
      <c r="AP64" s="437"/>
      <c r="AQ64" s="1327"/>
      <c r="AR64" s="437"/>
      <c r="AS64" s="437"/>
      <c r="AT64" s="437"/>
      <c r="AU64" s="437"/>
      <c r="AV64" s="437"/>
      <c r="AW64" s="437"/>
      <c r="AX64" s="437"/>
      <c r="AY64" s="437"/>
      <c r="AZ64" s="437"/>
      <c r="BA64" s="437"/>
      <c r="BB64" s="1327"/>
      <c r="BC64" s="437"/>
      <c r="BD64" s="437"/>
      <c r="BE64" s="437"/>
      <c r="BF64" s="437"/>
      <c r="BG64" s="437"/>
      <c r="BH64" s="437"/>
      <c r="BI64" s="437"/>
      <c r="BJ64" s="437"/>
      <c r="BK64" s="437"/>
      <c r="BL64" s="437"/>
      <c r="BM64" s="1327"/>
      <c r="BN64" s="1327"/>
      <c r="BO64" s="1327"/>
      <c r="BP64" s="1327"/>
      <c r="BQ64" s="1327"/>
      <c r="BR64" s="1327"/>
      <c r="BS64" s="1327"/>
      <c r="BT64" s="1327"/>
      <c r="BU64" s="1327"/>
      <c r="BV64" s="1327"/>
      <c r="BW64" s="1327"/>
      <c r="BX64" s="1327"/>
      <c r="BY64" s="1327"/>
      <c r="BZ64" s="1327"/>
      <c r="CA64" s="1327"/>
      <c r="CB64" s="1327"/>
      <c r="CC64" s="1327"/>
      <c r="CD64" s="1327"/>
      <c r="CE64" s="1327"/>
      <c r="CF64" s="1327"/>
      <c r="CG64" s="1327"/>
      <c r="CH64" s="1327"/>
      <c r="CI64" s="1327"/>
      <c r="CJ64" s="1327"/>
      <c r="CK64" s="1327"/>
      <c r="CL64" s="1327"/>
      <c r="CM64" s="1327"/>
      <c r="CN64" s="1327"/>
      <c r="CO64" s="1327"/>
      <c r="CP64" s="1327"/>
      <c r="CQ64" s="1327"/>
      <c r="CR64" s="1327"/>
      <c r="CS64" s="1327"/>
      <c r="CT64" s="1317"/>
      <c r="CU64" s="419"/>
      <c r="CV64" s="419"/>
      <c r="CW64" s="419"/>
      <c r="CX64" s="419"/>
      <c r="CY64" s="419"/>
      <c r="CZ64" s="419"/>
      <c r="DA64" s="419"/>
      <c r="DB64" s="419"/>
      <c r="DC64" s="419"/>
      <c r="DD64" s="419"/>
      <c r="DE64" s="419"/>
      <c r="DF64" s="419"/>
      <c r="DG64" s="419"/>
    </row>
    <row r="65" ht="18.75" customHeight="1">
      <c r="G65" s="1344"/>
      <c r="H65" s="1345">
        <f t="shared" si="4"/>
        <v>0</v>
      </c>
      <c r="I65" s="1381"/>
      <c r="J65" s="1381"/>
      <c r="K65" s="1381"/>
      <c r="L65" s="1381"/>
      <c r="M65" s="1381"/>
      <c r="N65" s="1381"/>
      <c r="O65" s="1381"/>
      <c r="P65" s="1381"/>
      <c r="Q65" s="1381"/>
      <c r="R65" s="1381"/>
      <c r="T65" s="1349"/>
      <c r="U65" s="1349" t="s">
        <v>123</v>
      </c>
      <c r="V65" s="1349" t="s">
        <v>123</v>
      </c>
      <c r="W65" s="1349"/>
      <c r="X65" s="1349"/>
      <c r="Y65" s="1308"/>
      <c r="Z65" s="437" t="str">
        <f>IFERROR(__xludf.DUMMYFUNCTION("IF(NOT('portfólio'!$AV$7),"""",IF($T65="""","""",IFERROR(query({AtivosDados},""select sum(""&amp;Z$3&amp;"") where Col1='""&amp;$T65&amp;""' label sum(""&amp;Z$3&amp;"") ''""),0)))"),"")</f>
        <v/>
      </c>
      <c r="AA65" s="437" t="str">
        <f>IFERROR(__xludf.DUMMYFUNCTION("IF(NOT('portfólio'!$AV$7),"""",IF($T65="""","""",IFERROR(query({AtivosDados},""select sum(""&amp;AA$3&amp;"") where Col1='""&amp;$T65&amp;""' label sum(""&amp;AA$3&amp;"") ''""),0)))"),"")</f>
        <v/>
      </c>
      <c r="AB65" s="437" t="str">
        <f>IFERROR(__xludf.DUMMYFUNCTION("IF(NOT('portfólio'!$AV$7),"""",IF($T65="""","""",IFERROR(query({AtivosDados},""select sum(""&amp;AB$3&amp;"") where Col1='""&amp;$T65&amp;""' label sum(""&amp;AB$3&amp;"") ''""),0)))"),"")</f>
        <v/>
      </c>
      <c r="AC65" s="437" t="str">
        <f>IFERROR(__xludf.DUMMYFUNCTION("IF(NOT('portfólio'!$AV$7),"""",IF($T65="""","""",IFERROR(query({AtivosDados},""select sum(""&amp;AC$3&amp;"") where Col1='""&amp;$T65&amp;""' label sum(""&amp;AC$3&amp;"") ''""),0)))"),"")</f>
        <v/>
      </c>
      <c r="AD65" s="437" t="str">
        <f>IFERROR(__xludf.DUMMYFUNCTION("IF(NOT('portfólio'!$AV$7),"""",IF($T65="""","""",IFERROR(query({AtivosDados},""select sum(""&amp;AD$3&amp;"") where Col1='""&amp;$T65&amp;""' label sum(""&amp;AD$3&amp;"") ''""),0)))"),"")</f>
        <v/>
      </c>
      <c r="AE65" s="437"/>
      <c r="AF65" s="1327"/>
      <c r="AG65" s="437"/>
      <c r="AH65" s="437"/>
      <c r="AI65" s="437"/>
      <c r="AJ65" s="437"/>
      <c r="AK65" s="437"/>
      <c r="AL65" s="437"/>
      <c r="AM65" s="437"/>
      <c r="AN65" s="437"/>
      <c r="AO65" s="437"/>
      <c r="AP65" s="437"/>
      <c r="AQ65" s="1327"/>
      <c r="AR65" s="437"/>
      <c r="AS65" s="437"/>
      <c r="AT65" s="437"/>
      <c r="AU65" s="437"/>
      <c r="AV65" s="437"/>
      <c r="AW65" s="437"/>
      <c r="AX65" s="437"/>
      <c r="AY65" s="437"/>
      <c r="AZ65" s="437"/>
      <c r="BA65" s="437"/>
      <c r="BB65" s="1327"/>
      <c r="BC65" s="437"/>
      <c r="BD65" s="437"/>
      <c r="BE65" s="437"/>
      <c r="BF65" s="437"/>
      <c r="BG65" s="437"/>
      <c r="BH65" s="437"/>
      <c r="BI65" s="437"/>
      <c r="BJ65" s="437"/>
      <c r="BK65" s="437"/>
      <c r="BL65" s="437"/>
      <c r="BM65" s="1327"/>
      <c r="BN65" s="1327"/>
      <c r="BO65" s="1327"/>
      <c r="BP65" s="1327"/>
      <c r="BQ65" s="1327"/>
      <c r="BR65" s="1327"/>
      <c r="BS65" s="1327"/>
      <c r="BT65" s="1327"/>
      <c r="BU65" s="1327"/>
      <c r="BV65" s="1327"/>
      <c r="BW65" s="1327"/>
      <c r="BX65" s="1327"/>
      <c r="BY65" s="1327"/>
      <c r="BZ65" s="1327"/>
      <c r="CA65" s="1327"/>
      <c r="CB65" s="1327"/>
      <c r="CC65" s="1327"/>
      <c r="CD65" s="1327"/>
      <c r="CE65" s="1327"/>
      <c r="CF65" s="1327"/>
      <c r="CG65" s="1327"/>
      <c r="CH65" s="1327"/>
      <c r="CI65" s="1327"/>
      <c r="CJ65" s="1327"/>
      <c r="CK65" s="1327"/>
      <c r="CL65" s="1327"/>
      <c r="CM65" s="1327"/>
      <c r="CN65" s="1327"/>
      <c r="CO65" s="1327"/>
      <c r="CP65" s="1327"/>
      <c r="CQ65" s="1327"/>
      <c r="CR65" s="1327"/>
      <c r="CS65" s="1327"/>
      <c r="CT65" s="1317"/>
      <c r="CU65" s="419"/>
      <c r="CV65" s="419"/>
      <c r="CW65" s="419"/>
      <c r="CX65" s="419"/>
      <c r="CY65" s="419"/>
      <c r="CZ65" s="419"/>
      <c r="DA65" s="419"/>
      <c r="DB65" s="419"/>
      <c r="DC65" s="419"/>
      <c r="DD65" s="419"/>
      <c r="DE65" s="419"/>
      <c r="DF65" s="419"/>
      <c r="DG65" s="419"/>
    </row>
    <row r="66" ht="18.75" customHeight="1">
      <c r="G66" s="1344"/>
      <c r="H66" s="1345">
        <f t="shared" si="4"/>
        <v>0</v>
      </c>
      <c r="I66" s="1381"/>
      <c r="J66" s="1381"/>
      <c r="K66" s="1381"/>
      <c r="L66" s="1381"/>
      <c r="M66" s="1381"/>
      <c r="N66" s="1381"/>
      <c r="O66" s="1381"/>
      <c r="P66" s="1381"/>
      <c r="Q66" s="1381"/>
      <c r="R66" s="1381"/>
      <c r="T66" s="1349"/>
      <c r="U66" s="1349" t="s">
        <v>123</v>
      </c>
      <c r="V66" s="1349" t="s">
        <v>123</v>
      </c>
      <c r="W66" s="1349"/>
      <c r="X66" s="1349"/>
      <c r="Y66" s="1308"/>
      <c r="Z66" s="437" t="str">
        <f>IFERROR(__xludf.DUMMYFUNCTION("IF(NOT('portfólio'!$AV$7),"""",IF($T66="""","""",IFERROR(query({AtivosDados},""select sum(""&amp;Z$3&amp;"") where Col1='""&amp;$T66&amp;""' label sum(""&amp;Z$3&amp;"") ''""),0)))"),"")</f>
        <v/>
      </c>
      <c r="AA66" s="437" t="str">
        <f>IFERROR(__xludf.DUMMYFUNCTION("IF(NOT('portfólio'!$AV$7),"""",IF($T66="""","""",IFERROR(query({AtivosDados},""select sum(""&amp;AA$3&amp;"") where Col1='""&amp;$T66&amp;""' label sum(""&amp;AA$3&amp;"") ''""),0)))"),"")</f>
        <v/>
      </c>
      <c r="AB66" s="437" t="str">
        <f>IFERROR(__xludf.DUMMYFUNCTION("IF(NOT('portfólio'!$AV$7),"""",IF($T66="""","""",IFERROR(query({AtivosDados},""select sum(""&amp;AB$3&amp;"") where Col1='""&amp;$T66&amp;""' label sum(""&amp;AB$3&amp;"") ''""),0)))"),"")</f>
        <v/>
      </c>
      <c r="AC66" s="437" t="str">
        <f>IFERROR(__xludf.DUMMYFUNCTION("IF(NOT('portfólio'!$AV$7),"""",IF($T66="""","""",IFERROR(query({AtivosDados},""select sum(""&amp;AC$3&amp;"") where Col1='""&amp;$T66&amp;""' label sum(""&amp;AC$3&amp;"") ''""),0)))"),"")</f>
        <v/>
      </c>
      <c r="AD66" s="437" t="str">
        <f>IFERROR(__xludf.DUMMYFUNCTION("IF(NOT('portfólio'!$AV$7),"""",IF($T66="""","""",IFERROR(query({AtivosDados},""select sum(""&amp;AD$3&amp;"") where Col1='""&amp;$T66&amp;""' label sum(""&amp;AD$3&amp;"") ''""),0)))"),"")</f>
        <v/>
      </c>
      <c r="AE66" s="437"/>
      <c r="AF66" s="1327"/>
      <c r="AG66" s="437"/>
      <c r="AH66" s="437"/>
      <c r="AI66" s="437"/>
      <c r="AJ66" s="437"/>
      <c r="AK66" s="437"/>
      <c r="AL66" s="437"/>
      <c r="AM66" s="437"/>
      <c r="AN66" s="437"/>
      <c r="AO66" s="437"/>
      <c r="AP66" s="437"/>
      <c r="AQ66" s="1327"/>
      <c r="AR66" s="437"/>
      <c r="AS66" s="437"/>
      <c r="AT66" s="437"/>
      <c r="AU66" s="437"/>
      <c r="AV66" s="437"/>
      <c r="AW66" s="437"/>
      <c r="AX66" s="437"/>
      <c r="AY66" s="437"/>
      <c r="AZ66" s="437"/>
      <c r="BA66" s="437"/>
      <c r="BB66" s="1327"/>
      <c r="BC66" s="437"/>
      <c r="BD66" s="437"/>
      <c r="BE66" s="437"/>
      <c r="BF66" s="437"/>
      <c r="BG66" s="437"/>
      <c r="BH66" s="437"/>
      <c r="BI66" s="437"/>
      <c r="BJ66" s="437"/>
      <c r="BK66" s="437"/>
      <c r="BL66" s="437"/>
      <c r="BM66" s="1327"/>
      <c r="BN66" s="1327"/>
      <c r="BO66" s="1327"/>
      <c r="BP66" s="1327"/>
      <c r="BQ66" s="1327"/>
      <c r="BR66" s="1327"/>
      <c r="BS66" s="1327"/>
      <c r="BT66" s="1327"/>
      <c r="BU66" s="1327"/>
      <c r="BV66" s="1327"/>
      <c r="BW66" s="1327"/>
      <c r="BX66" s="1327"/>
      <c r="BY66" s="1327"/>
      <c r="BZ66" s="1327"/>
      <c r="CA66" s="1327"/>
      <c r="CB66" s="1327"/>
      <c r="CC66" s="1327"/>
      <c r="CD66" s="1327"/>
      <c r="CE66" s="1327"/>
      <c r="CF66" s="1327"/>
      <c r="CG66" s="1327"/>
      <c r="CH66" s="1327"/>
      <c r="CI66" s="1327"/>
      <c r="CJ66" s="1327"/>
      <c r="CK66" s="1327"/>
      <c r="CL66" s="1327"/>
      <c r="CM66" s="1327"/>
      <c r="CN66" s="1327"/>
      <c r="CO66" s="1327"/>
      <c r="CP66" s="1327"/>
      <c r="CQ66" s="1327"/>
      <c r="CR66" s="1327"/>
      <c r="CS66" s="1327"/>
      <c r="CT66" s="1317"/>
      <c r="CU66" s="419"/>
      <c r="CV66" s="419"/>
      <c r="CW66" s="419"/>
      <c r="CX66" s="419"/>
      <c r="CY66" s="419"/>
      <c r="CZ66" s="419"/>
      <c r="DA66" s="419"/>
      <c r="DB66" s="419"/>
      <c r="DC66" s="419"/>
      <c r="DD66" s="419"/>
      <c r="DE66" s="419"/>
      <c r="DF66" s="419"/>
      <c r="DG66" s="419"/>
    </row>
    <row r="67" ht="18.75" customHeight="1">
      <c r="G67" s="1344"/>
      <c r="H67" s="1345">
        <f t="shared" si="4"/>
        <v>0</v>
      </c>
      <c r="I67" s="1381"/>
      <c r="J67" s="1381"/>
      <c r="K67" s="1381"/>
      <c r="L67" s="1381"/>
      <c r="M67" s="1381"/>
      <c r="N67" s="1381"/>
      <c r="O67" s="1381"/>
      <c r="P67" s="1381"/>
      <c r="Q67" s="1381"/>
      <c r="R67" s="1381"/>
      <c r="T67" s="1349"/>
      <c r="U67" s="1349" t="s">
        <v>123</v>
      </c>
      <c r="V67" s="1349" t="s">
        <v>123</v>
      </c>
      <c r="W67" s="1349"/>
      <c r="X67" s="1349"/>
      <c r="Y67" s="1308"/>
      <c r="Z67" s="437" t="str">
        <f>IFERROR(__xludf.DUMMYFUNCTION("IF(NOT('portfólio'!$AV$7),"""",IF($T67="""","""",IFERROR(query({AtivosDados},""select sum(""&amp;Z$3&amp;"") where Col1='""&amp;$T67&amp;""' label sum(""&amp;Z$3&amp;"") ''""),0)))"),"")</f>
        <v/>
      </c>
      <c r="AA67" s="437" t="str">
        <f>IFERROR(__xludf.DUMMYFUNCTION("IF(NOT('portfólio'!$AV$7),"""",IF($T67="""","""",IFERROR(query({AtivosDados},""select sum(""&amp;AA$3&amp;"") where Col1='""&amp;$T67&amp;""' label sum(""&amp;AA$3&amp;"") ''""),0)))"),"")</f>
        <v/>
      </c>
      <c r="AB67" s="437" t="str">
        <f>IFERROR(__xludf.DUMMYFUNCTION("IF(NOT('portfólio'!$AV$7),"""",IF($T67="""","""",IFERROR(query({AtivosDados},""select sum(""&amp;AB$3&amp;"") where Col1='""&amp;$T67&amp;""' label sum(""&amp;AB$3&amp;"") ''""),0)))"),"")</f>
        <v/>
      </c>
      <c r="AC67" s="437" t="str">
        <f>IFERROR(__xludf.DUMMYFUNCTION("IF(NOT('portfólio'!$AV$7),"""",IF($T67="""","""",IFERROR(query({AtivosDados},""select sum(""&amp;AC$3&amp;"") where Col1='""&amp;$T67&amp;""' label sum(""&amp;AC$3&amp;"") ''""),0)))"),"")</f>
        <v/>
      </c>
      <c r="AD67" s="437" t="str">
        <f>IFERROR(__xludf.DUMMYFUNCTION("IF(NOT('portfólio'!$AV$7),"""",IF($T67="""","""",IFERROR(query({AtivosDados},""select sum(""&amp;AD$3&amp;"") where Col1='""&amp;$T67&amp;""' label sum(""&amp;AD$3&amp;"") ''""),0)))"),"")</f>
        <v/>
      </c>
      <c r="AE67" s="437"/>
      <c r="AF67" s="1327"/>
      <c r="AG67" s="437"/>
      <c r="AH67" s="437"/>
      <c r="AI67" s="437"/>
      <c r="AJ67" s="437"/>
      <c r="AK67" s="437"/>
      <c r="AL67" s="437"/>
      <c r="AM67" s="437"/>
      <c r="AN67" s="437"/>
      <c r="AO67" s="437"/>
      <c r="AP67" s="437"/>
      <c r="AQ67" s="1327"/>
      <c r="AR67" s="437"/>
      <c r="AS67" s="437"/>
      <c r="AT67" s="437"/>
      <c r="AU67" s="437"/>
      <c r="AV67" s="437"/>
      <c r="AW67" s="437"/>
      <c r="AX67" s="437"/>
      <c r="AY67" s="437"/>
      <c r="AZ67" s="437"/>
      <c r="BA67" s="437"/>
      <c r="BB67" s="1327"/>
      <c r="BC67" s="437"/>
      <c r="BD67" s="437"/>
      <c r="BE67" s="437"/>
      <c r="BF67" s="437"/>
      <c r="BG67" s="437"/>
      <c r="BH67" s="437"/>
      <c r="BI67" s="437"/>
      <c r="BJ67" s="437"/>
      <c r="BK67" s="437"/>
      <c r="BL67" s="437"/>
      <c r="BM67" s="1327"/>
      <c r="BN67" s="1327"/>
      <c r="BO67" s="1327"/>
      <c r="BP67" s="1327"/>
      <c r="BQ67" s="1327"/>
      <c r="BR67" s="1327"/>
      <c r="BS67" s="1327"/>
      <c r="BT67" s="1327"/>
      <c r="BU67" s="1327"/>
      <c r="BV67" s="1327"/>
      <c r="BW67" s="1327"/>
      <c r="BX67" s="1327"/>
      <c r="BY67" s="1327"/>
      <c r="BZ67" s="1327"/>
      <c r="CA67" s="1327"/>
      <c r="CB67" s="1327"/>
      <c r="CC67" s="1327"/>
      <c r="CD67" s="1327"/>
      <c r="CE67" s="1327"/>
      <c r="CF67" s="1327"/>
      <c r="CG67" s="1327"/>
      <c r="CH67" s="1327"/>
      <c r="CI67" s="1327"/>
      <c r="CJ67" s="1327"/>
      <c r="CK67" s="1327"/>
      <c r="CL67" s="1327"/>
      <c r="CM67" s="1327"/>
      <c r="CN67" s="1327"/>
      <c r="CO67" s="1327"/>
      <c r="CP67" s="1327"/>
      <c r="CQ67" s="1327"/>
      <c r="CR67" s="1327"/>
      <c r="CS67" s="1327"/>
      <c r="CT67" s="1317"/>
      <c r="CU67" s="419"/>
      <c r="CV67" s="419"/>
      <c r="CW67" s="419"/>
      <c r="CX67" s="419"/>
      <c r="CY67" s="419"/>
      <c r="CZ67" s="419"/>
      <c r="DA67" s="419"/>
      <c r="DB67" s="419"/>
      <c r="DC67" s="419"/>
      <c r="DD67" s="419"/>
      <c r="DE67" s="419"/>
      <c r="DF67" s="419"/>
      <c r="DG67" s="419"/>
    </row>
    <row r="68" ht="18.75" customHeight="1">
      <c r="G68" s="1344"/>
      <c r="H68" s="1345">
        <f t="shared" si="4"/>
        <v>0</v>
      </c>
      <c r="I68" s="1381"/>
      <c r="J68" s="1381"/>
      <c r="K68" s="1381"/>
      <c r="L68" s="1381"/>
      <c r="M68" s="1381"/>
      <c r="N68" s="1381"/>
      <c r="O68" s="1381"/>
      <c r="P68" s="1381"/>
      <c r="Q68" s="1381"/>
      <c r="R68" s="1381"/>
      <c r="T68" s="1349"/>
      <c r="U68" s="1349" t="s">
        <v>123</v>
      </c>
      <c r="V68" s="1349" t="s">
        <v>123</v>
      </c>
      <c r="W68" s="1349"/>
      <c r="X68" s="1349"/>
      <c r="Y68" s="1308"/>
      <c r="Z68" s="437" t="str">
        <f>IFERROR(__xludf.DUMMYFUNCTION("IF(NOT('portfólio'!$AV$7),"""",IF($T68="""","""",IFERROR(query({AtivosDados},""select sum(""&amp;Z$3&amp;"") where Col1='""&amp;$T68&amp;""' label sum(""&amp;Z$3&amp;"") ''""),0)))"),"")</f>
        <v/>
      </c>
      <c r="AA68" s="437" t="str">
        <f>IFERROR(__xludf.DUMMYFUNCTION("IF(NOT('portfólio'!$AV$7),"""",IF($T68="""","""",IFERROR(query({AtivosDados},""select sum(""&amp;AA$3&amp;"") where Col1='""&amp;$T68&amp;""' label sum(""&amp;AA$3&amp;"") ''""),0)))"),"")</f>
        <v/>
      </c>
      <c r="AB68" s="437" t="str">
        <f>IFERROR(__xludf.DUMMYFUNCTION("IF(NOT('portfólio'!$AV$7),"""",IF($T68="""","""",IFERROR(query({AtivosDados},""select sum(""&amp;AB$3&amp;"") where Col1='""&amp;$T68&amp;""' label sum(""&amp;AB$3&amp;"") ''""),0)))"),"")</f>
        <v/>
      </c>
      <c r="AC68" s="437" t="str">
        <f>IFERROR(__xludf.DUMMYFUNCTION("IF(NOT('portfólio'!$AV$7),"""",IF($T68="""","""",IFERROR(query({AtivosDados},""select sum(""&amp;AC$3&amp;"") where Col1='""&amp;$T68&amp;""' label sum(""&amp;AC$3&amp;"") ''""),0)))"),"")</f>
        <v/>
      </c>
      <c r="AD68" s="437" t="str">
        <f>IFERROR(__xludf.DUMMYFUNCTION("IF(NOT('portfólio'!$AV$7),"""",IF($T68="""","""",IFERROR(query({AtivosDados},""select sum(""&amp;AD$3&amp;"") where Col1='""&amp;$T68&amp;""' label sum(""&amp;AD$3&amp;"") ''""),0)))"),"")</f>
        <v/>
      </c>
      <c r="AE68" s="437"/>
      <c r="AF68" s="1327"/>
      <c r="AG68" s="437"/>
      <c r="AH68" s="437"/>
      <c r="AI68" s="437"/>
      <c r="AJ68" s="437"/>
      <c r="AK68" s="437"/>
      <c r="AL68" s="437"/>
      <c r="AM68" s="437"/>
      <c r="AN68" s="437"/>
      <c r="AO68" s="437"/>
      <c r="AP68" s="437"/>
      <c r="AQ68" s="1327"/>
      <c r="AR68" s="437"/>
      <c r="AS68" s="437"/>
      <c r="AT68" s="437"/>
      <c r="AU68" s="437"/>
      <c r="AV68" s="437"/>
      <c r="AW68" s="437"/>
      <c r="AX68" s="437"/>
      <c r="AY68" s="437"/>
      <c r="AZ68" s="437"/>
      <c r="BA68" s="437"/>
      <c r="BB68" s="1327"/>
      <c r="BC68" s="437"/>
      <c r="BD68" s="437"/>
      <c r="BE68" s="437"/>
      <c r="BF68" s="437"/>
      <c r="BG68" s="437"/>
      <c r="BH68" s="437"/>
      <c r="BI68" s="437"/>
      <c r="BJ68" s="437"/>
      <c r="BK68" s="437"/>
      <c r="BL68" s="437"/>
      <c r="BM68" s="1327"/>
      <c r="BN68" s="1327"/>
      <c r="BO68" s="1327"/>
      <c r="BP68" s="1327"/>
      <c r="BQ68" s="1327"/>
      <c r="BR68" s="1327"/>
      <c r="BS68" s="1327"/>
      <c r="BT68" s="1327"/>
      <c r="BU68" s="1327"/>
      <c r="BV68" s="1327"/>
      <c r="BW68" s="1327"/>
      <c r="BX68" s="1327"/>
      <c r="BY68" s="1327"/>
      <c r="BZ68" s="1327"/>
      <c r="CA68" s="1327"/>
      <c r="CB68" s="1327"/>
      <c r="CC68" s="1327"/>
      <c r="CD68" s="1327"/>
      <c r="CE68" s="1327"/>
      <c r="CF68" s="1327"/>
      <c r="CG68" s="1327"/>
      <c r="CH68" s="1327"/>
      <c r="CI68" s="1327"/>
      <c r="CJ68" s="1327"/>
      <c r="CK68" s="1327"/>
      <c r="CL68" s="1327"/>
      <c r="CM68" s="1327"/>
      <c r="CN68" s="1327"/>
      <c r="CO68" s="1327"/>
      <c r="CP68" s="1327"/>
      <c r="CQ68" s="1327"/>
      <c r="CR68" s="1327"/>
      <c r="CS68" s="1327"/>
      <c r="CT68" s="1317"/>
      <c r="CU68" s="419"/>
      <c r="CV68" s="419"/>
      <c r="CW68" s="419"/>
      <c r="CX68" s="419"/>
      <c r="CY68" s="419"/>
      <c r="CZ68" s="419"/>
      <c r="DA68" s="419"/>
      <c r="DB68" s="419"/>
      <c r="DC68" s="419"/>
      <c r="DD68" s="419"/>
      <c r="DE68" s="419"/>
      <c r="DF68" s="419"/>
      <c r="DG68" s="419"/>
    </row>
    <row r="69" ht="18.75" customHeight="1">
      <c r="G69" s="1344"/>
      <c r="H69" s="1345">
        <f t="shared" si="4"/>
        <v>0</v>
      </c>
      <c r="I69" s="1381"/>
      <c r="J69" s="1381"/>
      <c r="K69" s="1381"/>
      <c r="L69" s="1381"/>
      <c r="M69" s="1381"/>
      <c r="N69" s="1381"/>
      <c r="O69" s="1381"/>
      <c r="P69" s="1381"/>
      <c r="Q69" s="1381"/>
      <c r="R69" s="1381"/>
      <c r="T69" s="1349"/>
      <c r="U69" s="1349" t="s">
        <v>123</v>
      </c>
      <c r="V69" s="1349" t="s">
        <v>123</v>
      </c>
      <c r="W69" s="1349"/>
      <c r="X69" s="1349"/>
      <c r="Y69" s="1308"/>
      <c r="Z69" s="437" t="str">
        <f>IFERROR(__xludf.DUMMYFUNCTION("IF(NOT('portfólio'!$AV$7),"""",IF($T69="""","""",IFERROR(query({AtivosDados},""select sum(""&amp;Z$3&amp;"") where Col1='""&amp;$T69&amp;""' label sum(""&amp;Z$3&amp;"") ''""),0)))"),"")</f>
        <v/>
      </c>
      <c r="AA69" s="437" t="str">
        <f>IFERROR(__xludf.DUMMYFUNCTION("IF(NOT('portfólio'!$AV$7),"""",IF($T69="""","""",IFERROR(query({AtivosDados},""select sum(""&amp;AA$3&amp;"") where Col1='""&amp;$T69&amp;""' label sum(""&amp;AA$3&amp;"") ''""),0)))"),"")</f>
        <v/>
      </c>
      <c r="AB69" s="437" t="str">
        <f>IFERROR(__xludf.DUMMYFUNCTION("IF(NOT('portfólio'!$AV$7),"""",IF($T69="""","""",IFERROR(query({AtivosDados},""select sum(""&amp;AB$3&amp;"") where Col1='""&amp;$T69&amp;""' label sum(""&amp;AB$3&amp;"") ''""),0)))"),"")</f>
        <v/>
      </c>
      <c r="AC69" s="437" t="str">
        <f>IFERROR(__xludf.DUMMYFUNCTION("IF(NOT('portfólio'!$AV$7),"""",IF($T69="""","""",IFERROR(query({AtivosDados},""select sum(""&amp;AC$3&amp;"") where Col1='""&amp;$T69&amp;""' label sum(""&amp;AC$3&amp;"") ''""),0)))"),"")</f>
        <v/>
      </c>
      <c r="AD69" s="437" t="str">
        <f>IFERROR(__xludf.DUMMYFUNCTION("IF(NOT('portfólio'!$AV$7),"""",IF($T69="""","""",IFERROR(query({AtivosDados},""select sum(""&amp;AD$3&amp;"") where Col1='""&amp;$T69&amp;""' label sum(""&amp;AD$3&amp;"") ''""),0)))"),"")</f>
        <v/>
      </c>
      <c r="AE69" s="437"/>
      <c r="AF69" s="1327"/>
      <c r="AG69" s="437"/>
      <c r="AH69" s="437"/>
      <c r="AI69" s="437"/>
      <c r="AJ69" s="437"/>
      <c r="AK69" s="437"/>
      <c r="AL69" s="437"/>
      <c r="AM69" s="437"/>
      <c r="AN69" s="437"/>
      <c r="AO69" s="437"/>
      <c r="AP69" s="437"/>
      <c r="AQ69" s="1327"/>
      <c r="AR69" s="437"/>
      <c r="AS69" s="437"/>
      <c r="AT69" s="437"/>
      <c r="AU69" s="437"/>
      <c r="AV69" s="437"/>
      <c r="AW69" s="437"/>
      <c r="AX69" s="437"/>
      <c r="AY69" s="437"/>
      <c r="AZ69" s="437"/>
      <c r="BA69" s="437"/>
      <c r="BB69" s="1327"/>
      <c r="BC69" s="437"/>
      <c r="BD69" s="437"/>
      <c r="BE69" s="437"/>
      <c r="BF69" s="437"/>
      <c r="BG69" s="437"/>
      <c r="BH69" s="437"/>
      <c r="BI69" s="437"/>
      <c r="BJ69" s="437"/>
      <c r="BK69" s="437"/>
      <c r="BL69" s="437"/>
      <c r="BM69" s="1327"/>
      <c r="BN69" s="1327"/>
      <c r="BO69" s="1327"/>
      <c r="BP69" s="1327"/>
      <c r="BQ69" s="1327"/>
      <c r="BR69" s="1327"/>
      <c r="BS69" s="1327"/>
      <c r="BT69" s="1327"/>
      <c r="BU69" s="1327"/>
      <c r="BV69" s="1327"/>
      <c r="BW69" s="1327"/>
      <c r="BX69" s="1327"/>
      <c r="BY69" s="1327"/>
      <c r="BZ69" s="1327"/>
      <c r="CA69" s="1327"/>
      <c r="CB69" s="1327"/>
      <c r="CC69" s="1327"/>
      <c r="CD69" s="1327"/>
      <c r="CE69" s="1327"/>
      <c r="CF69" s="1327"/>
      <c r="CG69" s="1327"/>
      <c r="CH69" s="1327"/>
      <c r="CI69" s="1327"/>
      <c r="CJ69" s="1327"/>
      <c r="CK69" s="1327"/>
      <c r="CL69" s="1327"/>
      <c r="CM69" s="1327"/>
      <c r="CN69" s="1327"/>
      <c r="CO69" s="1327"/>
      <c r="CP69" s="1327"/>
      <c r="CQ69" s="1327"/>
      <c r="CR69" s="1327"/>
      <c r="CS69" s="1327"/>
      <c r="CT69" s="1317"/>
      <c r="CU69" s="419"/>
      <c r="CV69" s="419"/>
      <c r="CW69" s="419"/>
      <c r="CX69" s="419"/>
      <c r="CY69" s="419"/>
      <c r="CZ69" s="419"/>
      <c r="DA69" s="419"/>
      <c r="DB69" s="419"/>
      <c r="DC69" s="419"/>
      <c r="DD69" s="419"/>
      <c r="DE69" s="419"/>
      <c r="DF69" s="419"/>
      <c r="DG69" s="419"/>
    </row>
    <row r="70" ht="18.75" customHeight="1">
      <c r="G70" s="1344"/>
      <c r="H70" s="1345">
        <f t="shared" si="4"/>
        <v>0</v>
      </c>
      <c r="I70" s="1381"/>
      <c r="J70" s="1381"/>
      <c r="K70" s="1381"/>
      <c r="L70" s="1381"/>
      <c r="M70" s="1381"/>
      <c r="N70" s="1381"/>
      <c r="O70" s="1381"/>
      <c r="P70" s="1381"/>
      <c r="Q70" s="1381"/>
      <c r="R70" s="1381"/>
      <c r="T70" s="1349"/>
      <c r="U70" s="1349" t="s">
        <v>123</v>
      </c>
      <c r="V70" s="1349" t="s">
        <v>123</v>
      </c>
      <c r="W70" s="1349"/>
      <c r="X70" s="1349"/>
      <c r="Y70" s="1308"/>
      <c r="Z70" s="437" t="str">
        <f>IFERROR(__xludf.DUMMYFUNCTION("IF(NOT('portfólio'!$AV$7),"""",IF($T70="""","""",IFERROR(query({AtivosDados},""select sum(""&amp;Z$3&amp;"") where Col1='""&amp;$T70&amp;""' label sum(""&amp;Z$3&amp;"") ''""),0)))"),"")</f>
        <v/>
      </c>
      <c r="AA70" s="437" t="str">
        <f>IFERROR(__xludf.DUMMYFUNCTION("IF(NOT('portfólio'!$AV$7),"""",IF($T70="""","""",IFERROR(query({AtivosDados},""select sum(""&amp;AA$3&amp;"") where Col1='""&amp;$T70&amp;""' label sum(""&amp;AA$3&amp;"") ''""),0)))"),"")</f>
        <v/>
      </c>
      <c r="AB70" s="437" t="str">
        <f>IFERROR(__xludf.DUMMYFUNCTION("IF(NOT('portfólio'!$AV$7),"""",IF($T70="""","""",IFERROR(query({AtivosDados},""select sum(""&amp;AB$3&amp;"") where Col1='""&amp;$T70&amp;""' label sum(""&amp;AB$3&amp;"") ''""),0)))"),"")</f>
        <v/>
      </c>
      <c r="AC70" s="437" t="str">
        <f>IFERROR(__xludf.DUMMYFUNCTION("IF(NOT('portfólio'!$AV$7),"""",IF($T70="""","""",IFERROR(query({AtivosDados},""select sum(""&amp;AC$3&amp;"") where Col1='""&amp;$T70&amp;""' label sum(""&amp;AC$3&amp;"") ''""),0)))"),"")</f>
        <v/>
      </c>
      <c r="AD70" s="437" t="str">
        <f>IFERROR(__xludf.DUMMYFUNCTION("IF(NOT('portfólio'!$AV$7),"""",IF($T70="""","""",IFERROR(query({AtivosDados},""select sum(""&amp;AD$3&amp;"") where Col1='""&amp;$T70&amp;""' label sum(""&amp;AD$3&amp;"") ''""),0)))"),"")</f>
        <v/>
      </c>
      <c r="AE70" s="437"/>
      <c r="AF70" s="1327"/>
      <c r="AG70" s="437"/>
      <c r="AH70" s="437"/>
      <c r="AI70" s="437"/>
      <c r="AJ70" s="437"/>
      <c r="AK70" s="437"/>
      <c r="AL70" s="437"/>
      <c r="AM70" s="437"/>
      <c r="AN70" s="437"/>
      <c r="AO70" s="437"/>
      <c r="AP70" s="437"/>
      <c r="AQ70" s="1327"/>
      <c r="AR70" s="437"/>
      <c r="AS70" s="437"/>
      <c r="AT70" s="437"/>
      <c r="AU70" s="437"/>
      <c r="AV70" s="437"/>
      <c r="AW70" s="437"/>
      <c r="AX70" s="437"/>
      <c r="AY70" s="437"/>
      <c r="AZ70" s="437"/>
      <c r="BA70" s="437"/>
      <c r="BB70" s="1327"/>
      <c r="BC70" s="437"/>
      <c r="BD70" s="437"/>
      <c r="BE70" s="437"/>
      <c r="BF70" s="437"/>
      <c r="BG70" s="437"/>
      <c r="BH70" s="437"/>
      <c r="BI70" s="437"/>
      <c r="BJ70" s="437"/>
      <c r="BK70" s="437"/>
      <c r="BL70" s="437"/>
      <c r="BM70" s="1327"/>
      <c r="BN70" s="1327"/>
      <c r="BO70" s="1327"/>
      <c r="BP70" s="1327"/>
      <c r="BQ70" s="1327"/>
      <c r="BR70" s="1327"/>
      <c r="BS70" s="1327"/>
      <c r="BT70" s="1327"/>
      <c r="BU70" s="1327"/>
      <c r="BV70" s="1327"/>
      <c r="BW70" s="1327"/>
      <c r="BX70" s="1327"/>
      <c r="BY70" s="1327"/>
      <c r="BZ70" s="1327"/>
      <c r="CA70" s="1327"/>
      <c r="CB70" s="1327"/>
      <c r="CC70" s="1327"/>
      <c r="CD70" s="1327"/>
      <c r="CE70" s="1327"/>
      <c r="CF70" s="1327"/>
      <c r="CG70" s="1327"/>
      <c r="CH70" s="1327"/>
      <c r="CI70" s="1327"/>
      <c r="CJ70" s="1327"/>
      <c r="CK70" s="1327"/>
      <c r="CL70" s="1327"/>
      <c r="CM70" s="1327"/>
      <c r="CN70" s="1327"/>
      <c r="CO70" s="1327"/>
      <c r="CP70" s="1327"/>
      <c r="CQ70" s="1327"/>
      <c r="CR70" s="1327"/>
      <c r="CS70" s="1327"/>
      <c r="CT70" s="1317"/>
      <c r="CU70" s="419"/>
      <c r="CV70" s="419"/>
      <c r="CW70" s="419"/>
      <c r="CX70" s="419"/>
      <c r="CY70" s="419"/>
      <c r="CZ70" s="419"/>
      <c r="DA70" s="419"/>
      <c r="DB70" s="419"/>
      <c r="DC70" s="419"/>
      <c r="DD70" s="419"/>
      <c r="DE70" s="419"/>
      <c r="DF70" s="419"/>
      <c r="DG70" s="419"/>
    </row>
    <row r="71" ht="18.75" customHeight="1">
      <c r="G71" s="1344"/>
      <c r="H71" s="1345">
        <f t="shared" si="4"/>
        <v>0</v>
      </c>
      <c r="I71" s="1381"/>
      <c r="J71" s="1381"/>
      <c r="K71" s="1381"/>
      <c r="L71" s="1381"/>
      <c r="M71" s="1381"/>
      <c r="N71" s="1381"/>
      <c r="O71" s="1381"/>
      <c r="P71" s="1381"/>
      <c r="Q71" s="1381"/>
      <c r="R71" s="1381"/>
      <c r="T71" s="1349"/>
      <c r="U71" s="1349" t="s">
        <v>123</v>
      </c>
      <c r="V71" s="1349" t="s">
        <v>123</v>
      </c>
      <c r="W71" s="1349"/>
      <c r="X71" s="1349"/>
      <c r="Y71" s="1308"/>
      <c r="Z71" s="437" t="str">
        <f>IFERROR(__xludf.DUMMYFUNCTION("IF(NOT('portfólio'!$AV$7),"""",IF($T71="""","""",IFERROR(query({AtivosDados},""select sum(""&amp;Z$3&amp;"") where Col1='""&amp;$T71&amp;""' label sum(""&amp;Z$3&amp;"") ''""),0)))"),"")</f>
        <v/>
      </c>
      <c r="AA71" s="437" t="str">
        <f>IFERROR(__xludf.DUMMYFUNCTION("IF(NOT('portfólio'!$AV$7),"""",IF($T71="""","""",IFERROR(query({AtivosDados},""select sum(""&amp;AA$3&amp;"") where Col1='""&amp;$T71&amp;""' label sum(""&amp;AA$3&amp;"") ''""),0)))"),"")</f>
        <v/>
      </c>
      <c r="AB71" s="437" t="str">
        <f>IFERROR(__xludf.DUMMYFUNCTION("IF(NOT('portfólio'!$AV$7),"""",IF($T71="""","""",IFERROR(query({AtivosDados},""select sum(""&amp;AB$3&amp;"") where Col1='""&amp;$T71&amp;""' label sum(""&amp;AB$3&amp;"") ''""),0)))"),"")</f>
        <v/>
      </c>
      <c r="AC71" s="437" t="str">
        <f>IFERROR(__xludf.DUMMYFUNCTION("IF(NOT('portfólio'!$AV$7),"""",IF($T71="""","""",IFERROR(query({AtivosDados},""select sum(""&amp;AC$3&amp;"") where Col1='""&amp;$T71&amp;""' label sum(""&amp;AC$3&amp;"") ''""),0)))"),"")</f>
        <v/>
      </c>
      <c r="AD71" s="437" t="str">
        <f>IFERROR(__xludf.DUMMYFUNCTION("IF(NOT('portfólio'!$AV$7),"""",IF($T71="""","""",IFERROR(query({AtivosDados},""select sum(""&amp;AD$3&amp;"") where Col1='""&amp;$T71&amp;""' label sum(""&amp;AD$3&amp;"") ''""),0)))"),"")</f>
        <v/>
      </c>
      <c r="AE71" s="437"/>
      <c r="AF71" s="1327"/>
      <c r="AG71" s="437"/>
      <c r="AH71" s="437"/>
      <c r="AI71" s="437"/>
      <c r="AJ71" s="437"/>
      <c r="AK71" s="437"/>
      <c r="AL71" s="437"/>
      <c r="AM71" s="437"/>
      <c r="AN71" s="437"/>
      <c r="AO71" s="437"/>
      <c r="AP71" s="437"/>
      <c r="AQ71" s="1327"/>
      <c r="AR71" s="437"/>
      <c r="AS71" s="437"/>
      <c r="AT71" s="437"/>
      <c r="AU71" s="437"/>
      <c r="AV71" s="437"/>
      <c r="AW71" s="437"/>
      <c r="AX71" s="437"/>
      <c r="AY71" s="437"/>
      <c r="AZ71" s="437"/>
      <c r="BA71" s="437"/>
      <c r="BB71" s="1327"/>
      <c r="BC71" s="437"/>
      <c r="BD71" s="437"/>
      <c r="BE71" s="437"/>
      <c r="BF71" s="437"/>
      <c r="BG71" s="437"/>
      <c r="BH71" s="437"/>
      <c r="BI71" s="437"/>
      <c r="BJ71" s="437"/>
      <c r="BK71" s="437"/>
      <c r="BL71" s="437"/>
      <c r="BM71" s="1327"/>
      <c r="BN71" s="1327"/>
      <c r="BO71" s="1327"/>
      <c r="BP71" s="1327"/>
      <c r="BQ71" s="1327"/>
      <c r="BR71" s="1327"/>
      <c r="BS71" s="1327"/>
      <c r="BT71" s="1327"/>
      <c r="BU71" s="1327"/>
      <c r="BV71" s="1327"/>
      <c r="BW71" s="1327"/>
      <c r="BX71" s="1327"/>
      <c r="BY71" s="1327"/>
      <c r="BZ71" s="1327"/>
      <c r="CA71" s="1327"/>
      <c r="CB71" s="1327"/>
      <c r="CC71" s="1327"/>
      <c r="CD71" s="1327"/>
      <c r="CE71" s="1327"/>
      <c r="CF71" s="1327"/>
      <c r="CG71" s="1327"/>
      <c r="CH71" s="1327"/>
      <c r="CI71" s="1327"/>
      <c r="CJ71" s="1327"/>
      <c r="CK71" s="1327"/>
      <c r="CL71" s="1327"/>
      <c r="CM71" s="1327"/>
      <c r="CN71" s="1327"/>
      <c r="CO71" s="1327"/>
      <c r="CP71" s="1327"/>
      <c r="CQ71" s="1327"/>
      <c r="CR71" s="1327"/>
      <c r="CS71" s="1327"/>
      <c r="CT71" s="1317"/>
      <c r="CU71" s="419"/>
      <c r="CV71" s="419"/>
      <c r="CW71" s="419"/>
      <c r="CX71" s="419"/>
      <c r="CY71" s="419"/>
      <c r="CZ71" s="419"/>
      <c r="DA71" s="419"/>
      <c r="DB71" s="419"/>
      <c r="DC71" s="419"/>
      <c r="DD71" s="419"/>
      <c r="DE71" s="419"/>
      <c r="DF71" s="419"/>
      <c r="DG71" s="419"/>
    </row>
    <row r="72" ht="18.75" customHeight="1">
      <c r="G72" s="1344"/>
      <c r="H72" s="1345">
        <f t="shared" si="4"/>
        <v>0</v>
      </c>
      <c r="I72" s="1381"/>
      <c r="J72" s="1381"/>
      <c r="K72" s="1381"/>
      <c r="L72" s="1381"/>
      <c r="M72" s="1381"/>
      <c r="N72" s="1381"/>
      <c r="O72" s="1381"/>
      <c r="P72" s="1381"/>
      <c r="Q72" s="1381"/>
      <c r="R72" s="1381"/>
      <c r="T72" s="1349"/>
      <c r="U72" s="1349" t="s">
        <v>123</v>
      </c>
      <c r="V72" s="1349" t="s">
        <v>123</v>
      </c>
      <c r="W72" s="1349"/>
      <c r="X72" s="1349"/>
      <c r="Y72" s="1308"/>
      <c r="Z72" s="437" t="str">
        <f>IFERROR(__xludf.DUMMYFUNCTION("IF(NOT('portfólio'!$AV$7),"""",IF($T72="""","""",IFERROR(query({AtivosDados},""select sum(""&amp;Z$3&amp;"") where Col1='""&amp;$T72&amp;""' label sum(""&amp;Z$3&amp;"") ''""),0)))"),"")</f>
        <v/>
      </c>
      <c r="AA72" s="437" t="str">
        <f>IFERROR(__xludf.DUMMYFUNCTION("IF(NOT('portfólio'!$AV$7),"""",IF($T72="""","""",IFERROR(query({AtivosDados},""select sum(""&amp;AA$3&amp;"") where Col1='""&amp;$T72&amp;""' label sum(""&amp;AA$3&amp;"") ''""),0)))"),"")</f>
        <v/>
      </c>
      <c r="AB72" s="437" t="str">
        <f>IFERROR(__xludf.DUMMYFUNCTION("IF(NOT('portfólio'!$AV$7),"""",IF($T72="""","""",IFERROR(query({AtivosDados},""select sum(""&amp;AB$3&amp;"") where Col1='""&amp;$T72&amp;""' label sum(""&amp;AB$3&amp;"") ''""),0)))"),"")</f>
        <v/>
      </c>
      <c r="AC72" s="437" t="str">
        <f>IFERROR(__xludf.DUMMYFUNCTION("IF(NOT('portfólio'!$AV$7),"""",IF($T72="""","""",IFERROR(query({AtivosDados},""select sum(""&amp;AC$3&amp;"") where Col1='""&amp;$T72&amp;""' label sum(""&amp;AC$3&amp;"") ''""),0)))"),"")</f>
        <v/>
      </c>
      <c r="AD72" s="437" t="str">
        <f>IFERROR(__xludf.DUMMYFUNCTION("IF(NOT('portfólio'!$AV$7),"""",IF($T72="""","""",IFERROR(query({AtivosDados},""select sum(""&amp;AD$3&amp;"") where Col1='""&amp;$T72&amp;""' label sum(""&amp;AD$3&amp;"") ''""),0)))"),"")</f>
        <v/>
      </c>
      <c r="AE72" s="437"/>
      <c r="AF72" s="1327"/>
      <c r="AG72" s="437"/>
      <c r="AH72" s="437"/>
      <c r="AI72" s="437"/>
      <c r="AJ72" s="437"/>
      <c r="AK72" s="437"/>
      <c r="AL72" s="437"/>
      <c r="AM72" s="437"/>
      <c r="AN72" s="437"/>
      <c r="AO72" s="437"/>
      <c r="AP72" s="437"/>
      <c r="AQ72" s="1327"/>
      <c r="AR72" s="437"/>
      <c r="AS72" s="437"/>
      <c r="AT72" s="437"/>
      <c r="AU72" s="437"/>
      <c r="AV72" s="437"/>
      <c r="AW72" s="437"/>
      <c r="AX72" s="437"/>
      <c r="AY72" s="437"/>
      <c r="AZ72" s="437"/>
      <c r="BA72" s="437"/>
      <c r="BB72" s="1327"/>
      <c r="BC72" s="437"/>
      <c r="BD72" s="437"/>
      <c r="BE72" s="437"/>
      <c r="BF72" s="437"/>
      <c r="BG72" s="437"/>
      <c r="BH72" s="437"/>
      <c r="BI72" s="437"/>
      <c r="BJ72" s="437"/>
      <c r="BK72" s="437"/>
      <c r="BL72" s="437"/>
      <c r="BM72" s="1327"/>
      <c r="BN72" s="1327"/>
      <c r="BO72" s="1327"/>
      <c r="BP72" s="1327"/>
      <c r="BQ72" s="1327"/>
      <c r="BR72" s="1327"/>
      <c r="BS72" s="1327"/>
      <c r="BT72" s="1327"/>
      <c r="BU72" s="1327"/>
      <c r="BV72" s="1327"/>
      <c r="BW72" s="1327"/>
      <c r="BX72" s="1327"/>
      <c r="BY72" s="1327"/>
      <c r="BZ72" s="1327"/>
      <c r="CA72" s="1327"/>
      <c r="CB72" s="1327"/>
      <c r="CC72" s="1327"/>
      <c r="CD72" s="1327"/>
      <c r="CE72" s="1327"/>
      <c r="CF72" s="1327"/>
      <c r="CG72" s="1327"/>
      <c r="CH72" s="1327"/>
      <c r="CI72" s="1327"/>
      <c r="CJ72" s="1327"/>
      <c r="CK72" s="1327"/>
      <c r="CL72" s="1327"/>
      <c r="CM72" s="1327"/>
      <c r="CN72" s="1327"/>
      <c r="CO72" s="1327"/>
      <c r="CP72" s="1327"/>
      <c r="CQ72" s="1327"/>
      <c r="CR72" s="1327"/>
      <c r="CS72" s="1327"/>
      <c r="CT72" s="1317"/>
      <c r="CU72" s="419"/>
      <c r="CV72" s="419"/>
      <c r="CW72" s="419"/>
      <c r="CX72" s="419"/>
      <c r="CY72" s="419"/>
      <c r="CZ72" s="419"/>
      <c r="DA72" s="419"/>
      <c r="DB72" s="419"/>
      <c r="DC72" s="419"/>
      <c r="DD72" s="419"/>
      <c r="DE72" s="419"/>
      <c r="DF72" s="419"/>
      <c r="DG72" s="419"/>
    </row>
    <row r="73" ht="18.75" customHeight="1">
      <c r="G73" s="1344"/>
      <c r="H73" s="1345">
        <f t="shared" si="4"/>
        <v>0</v>
      </c>
      <c r="I73" s="1381"/>
      <c r="J73" s="1381"/>
      <c r="K73" s="1381"/>
      <c r="L73" s="1381"/>
      <c r="M73" s="1381"/>
      <c r="N73" s="1381"/>
      <c r="O73" s="1381"/>
      <c r="P73" s="1381"/>
      <c r="Q73" s="1381"/>
      <c r="R73" s="1381"/>
      <c r="T73" s="1349"/>
      <c r="U73" s="1349" t="s">
        <v>123</v>
      </c>
      <c r="V73" s="1349" t="s">
        <v>123</v>
      </c>
      <c r="W73" s="1349"/>
      <c r="X73" s="1349"/>
      <c r="Y73" s="1308"/>
      <c r="Z73" s="437" t="str">
        <f>IFERROR(__xludf.DUMMYFUNCTION("IF(NOT('portfólio'!$AV$7),"""",IF($T73="""","""",IFERROR(query({AtivosDados},""select sum(""&amp;Z$3&amp;"") where Col1='""&amp;$T73&amp;""' label sum(""&amp;Z$3&amp;"") ''""),0)))"),"")</f>
        <v/>
      </c>
      <c r="AA73" s="437" t="str">
        <f>IFERROR(__xludf.DUMMYFUNCTION("IF(NOT('portfólio'!$AV$7),"""",IF($T73="""","""",IFERROR(query({AtivosDados},""select sum(""&amp;AA$3&amp;"") where Col1='""&amp;$T73&amp;""' label sum(""&amp;AA$3&amp;"") ''""),0)))"),"")</f>
        <v/>
      </c>
      <c r="AB73" s="437" t="str">
        <f>IFERROR(__xludf.DUMMYFUNCTION("IF(NOT('portfólio'!$AV$7),"""",IF($T73="""","""",IFERROR(query({AtivosDados},""select sum(""&amp;AB$3&amp;"") where Col1='""&amp;$T73&amp;""' label sum(""&amp;AB$3&amp;"") ''""),0)))"),"")</f>
        <v/>
      </c>
      <c r="AC73" s="437" t="str">
        <f>IFERROR(__xludf.DUMMYFUNCTION("IF(NOT('portfólio'!$AV$7),"""",IF($T73="""","""",IFERROR(query({AtivosDados},""select sum(""&amp;AC$3&amp;"") where Col1='""&amp;$T73&amp;""' label sum(""&amp;AC$3&amp;"") ''""),0)))"),"")</f>
        <v/>
      </c>
      <c r="AD73" s="437" t="str">
        <f>IFERROR(__xludf.DUMMYFUNCTION("IF(NOT('portfólio'!$AV$7),"""",IF($T73="""","""",IFERROR(query({AtivosDados},""select sum(""&amp;AD$3&amp;"") where Col1='""&amp;$T73&amp;""' label sum(""&amp;AD$3&amp;"") ''""),0)))"),"")</f>
        <v/>
      </c>
      <c r="AE73" s="437"/>
      <c r="AF73" s="1327"/>
      <c r="AG73" s="437"/>
      <c r="AH73" s="437"/>
      <c r="AI73" s="437"/>
      <c r="AJ73" s="437"/>
      <c r="AK73" s="437"/>
      <c r="AL73" s="437"/>
      <c r="AM73" s="437"/>
      <c r="AN73" s="437"/>
      <c r="AO73" s="437"/>
      <c r="AP73" s="437"/>
      <c r="AQ73" s="1327"/>
      <c r="AR73" s="437"/>
      <c r="AS73" s="437"/>
      <c r="AT73" s="437"/>
      <c r="AU73" s="437"/>
      <c r="AV73" s="437"/>
      <c r="AW73" s="437"/>
      <c r="AX73" s="437"/>
      <c r="AY73" s="437"/>
      <c r="AZ73" s="437"/>
      <c r="BA73" s="437"/>
      <c r="BB73" s="1327"/>
      <c r="BC73" s="437"/>
      <c r="BD73" s="437"/>
      <c r="BE73" s="437"/>
      <c r="BF73" s="437"/>
      <c r="BG73" s="437"/>
      <c r="BH73" s="437"/>
      <c r="BI73" s="437"/>
      <c r="BJ73" s="437"/>
      <c r="BK73" s="437"/>
      <c r="BL73" s="437"/>
      <c r="BM73" s="1327"/>
      <c r="BN73" s="1327"/>
      <c r="BO73" s="1327"/>
      <c r="BP73" s="1327"/>
      <c r="BQ73" s="1327"/>
      <c r="BR73" s="1327"/>
      <c r="BS73" s="1327"/>
      <c r="BT73" s="1327"/>
      <c r="BU73" s="1327"/>
      <c r="BV73" s="1327"/>
      <c r="BW73" s="1327"/>
      <c r="BX73" s="1327"/>
      <c r="BY73" s="1327"/>
      <c r="BZ73" s="1327"/>
      <c r="CA73" s="1327"/>
      <c r="CB73" s="1327"/>
      <c r="CC73" s="1327"/>
      <c r="CD73" s="1327"/>
      <c r="CE73" s="1327"/>
      <c r="CF73" s="1327"/>
      <c r="CG73" s="1327"/>
      <c r="CH73" s="1327"/>
      <c r="CI73" s="1327"/>
      <c r="CJ73" s="1327"/>
      <c r="CK73" s="1327"/>
      <c r="CL73" s="1327"/>
      <c r="CM73" s="1327"/>
      <c r="CN73" s="1327"/>
      <c r="CO73" s="1327"/>
      <c r="CP73" s="1327"/>
      <c r="CQ73" s="1327"/>
      <c r="CR73" s="1327"/>
      <c r="CS73" s="1327"/>
      <c r="CT73" s="1317"/>
      <c r="CU73" s="419"/>
      <c r="CV73" s="419"/>
      <c r="CW73" s="419"/>
      <c r="CX73" s="419"/>
      <c r="CY73" s="419"/>
      <c r="CZ73" s="419"/>
      <c r="DA73" s="419"/>
      <c r="DB73" s="419"/>
      <c r="DC73" s="419"/>
      <c r="DD73" s="419"/>
      <c r="DE73" s="419"/>
      <c r="DF73" s="419"/>
      <c r="DG73" s="419"/>
    </row>
    <row r="74" ht="18.75" customHeight="1">
      <c r="G74" s="1344"/>
      <c r="H74" s="1345">
        <f t="shared" si="4"/>
        <v>0</v>
      </c>
      <c r="I74" s="1381"/>
      <c r="J74" s="1381"/>
      <c r="K74" s="1381"/>
      <c r="L74" s="1381"/>
      <c r="M74" s="1381"/>
      <c r="N74" s="1381"/>
      <c r="O74" s="1381"/>
      <c r="P74" s="1381"/>
      <c r="Q74" s="1381"/>
      <c r="R74" s="1381"/>
      <c r="T74" s="1349"/>
      <c r="U74" s="1349" t="s">
        <v>123</v>
      </c>
      <c r="V74" s="1349" t="s">
        <v>123</v>
      </c>
      <c r="W74" s="1349"/>
      <c r="X74" s="1349"/>
      <c r="Y74" s="1308"/>
      <c r="Z74" s="437" t="str">
        <f>IFERROR(__xludf.DUMMYFUNCTION("IF(NOT('portfólio'!$AV$7),"""",IF($T74="""","""",IFERROR(query({AtivosDados},""select sum(""&amp;Z$3&amp;"") where Col1='""&amp;$T74&amp;""' label sum(""&amp;Z$3&amp;"") ''""),0)))"),"")</f>
        <v/>
      </c>
      <c r="AA74" s="437" t="str">
        <f>IFERROR(__xludf.DUMMYFUNCTION("IF(NOT('portfólio'!$AV$7),"""",IF($T74="""","""",IFERROR(query({AtivosDados},""select sum(""&amp;AA$3&amp;"") where Col1='""&amp;$T74&amp;""' label sum(""&amp;AA$3&amp;"") ''""),0)))"),"")</f>
        <v/>
      </c>
      <c r="AB74" s="437" t="str">
        <f>IFERROR(__xludf.DUMMYFUNCTION("IF(NOT('portfólio'!$AV$7),"""",IF($T74="""","""",IFERROR(query({AtivosDados},""select sum(""&amp;AB$3&amp;"") where Col1='""&amp;$T74&amp;""' label sum(""&amp;AB$3&amp;"") ''""),0)))"),"")</f>
        <v/>
      </c>
      <c r="AC74" s="437" t="str">
        <f>IFERROR(__xludf.DUMMYFUNCTION("IF(NOT('portfólio'!$AV$7),"""",IF($T74="""","""",IFERROR(query({AtivosDados},""select sum(""&amp;AC$3&amp;"") where Col1='""&amp;$T74&amp;""' label sum(""&amp;AC$3&amp;"") ''""),0)))"),"")</f>
        <v/>
      </c>
      <c r="AD74" s="437" t="str">
        <f>IFERROR(__xludf.DUMMYFUNCTION("IF(NOT('portfólio'!$AV$7),"""",IF($T74="""","""",IFERROR(query({AtivosDados},""select sum(""&amp;AD$3&amp;"") where Col1='""&amp;$T74&amp;""' label sum(""&amp;AD$3&amp;"") ''""),0)))"),"")</f>
        <v/>
      </c>
      <c r="AE74" s="437"/>
      <c r="AF74" s="1327"/>
      <c r="AG74" s="437"/>
      <c r="AH74" s="437"/>
      <c r="AI74" s="437"/>
      <c r="AJ74" s="437"/>
      <c r="AK74" s="437"/>
      <c r="AL74" s="437"/>
      <c r="AM74" s="437"/>
      <c r="AN74" s="437"/>
      <c r="AO74" s="437"/>
      <c r="AP74" s="437"/>
      <c r="AQ74" s="1327"/>
      <c r="AR74" s="437"/>
      <c r="AS74" s="437"/>
      <c r="AT74" s="437"/>
      <c r="AU74" s="437"/>
      <c r="AV74" s="437"/>
      <c r="AW74" s="437"/>
      <c r="AX74" s="437"/>
      <c r="AY74" s="437"/>
      <c r="AZ74" s="437"/>
      <c r="BA74" s="437"/>
      <c r="BB74" s="1327"/>
      <c r="BC74" s="437"/>
      <c r="BD74" s="437"/>
      <c r="BE74" s="437"/>
      <c r="BF74" s="437"/>
      <c r="BG74" s="437"/>
      <c r="BH74" s="437"/>
      <c r="BI74" s="437"/>
      <c r="BJ74" s="437"/>
      <c r="BK74" s="437"/>
      <c r="BL74" s="437"/>
      <c r="BM74" s="1327"/>
      <c r="BN74" s="1327"/>
      <c r="BO74" s="1327"/>
      <c r="BP74" s="1327"/>
      <c r="BQ74" s="1327"/>
      <c r="BR74" s="1327"/>
      <c r="BS74" s="1327"/>
      <c r="BT74" s="1327"/>
      <c r="BU74" s="1327"/>
      <c r="BV74" s="1327"/>
      <c r="BW74" s="1327"/>
      <c r="BX74" s="1327"/>
      <c r="BY74" s="1327"/>
      <c r="BZ74" s="1327"/>
      <c r="CA74" s="1327"/>
      <c r="CB74" s="1327"/>
      <c r="CC74" s="1327"/>
      <c r="CD74" s="1327"/>
      <c r="CE74" s="1327"/>
      <c r="CF74" s="1327"/>
      <c r="CG74" s="1327"/>
      <c r="CH74" s="1327"/>
      <c r="CI74" s="1327"/>
      <c r="CJ74" s="1327"/>
      <c r="CK74" s="1327"/>
      <c r="CL74" s="1327"/>
      <c r="CM74" s="1327"/>
      <c r="CN74" s="1327"/>
      <c r="CO74" s="1327"/>
      <c r="CP74" s="1327"/>
      <c r="CQ74" s="1327"/>
      <c r="CR74" s="1327"/>
      <c r="CS74" s="1327"/>
      <c r="CT74" s="1317"/>
      <c r="CU74" s="419"/>
      <c r="CV74" s="419"/>
      <c r="CW74" s="419"/>
      <c r="CX74" s="419"/>
      <c r="CY74" s="419"/>
      <c r="CZ74" s="419"/>
      <c r="DA74" s="419"/>
      <c r="DB74" s="419"/>
      <c r="DC74" s="419"/>
      <c r="DD74" s="419"/>
      <c r="DE74" s="419"/>
      <c r="DF74" s="419"/>
      <c r="DG74" s="419"/>
    </row>
    <row r="75" ht="18.75" customHeight="1">
      <c r="G75" s="1344"/>
      <c r="H75" s="1345">
        <f t="shared" si="4"/>
        <v>0</v>
      </c>
      <c r="I75" s="1381"/>
      <c r="J75" s="1381"/>
      <c r="K75" s="1381"/>
      <c r="L75" s="1381"/>
      <c r="M75" s="1381"/>
      <c r="N75" s="1381"/>
      <c r="O75" s="1381"/>
      <c r="P75" s="1381"/>
      <c r="Q75" s="1381"/>
      <c r="R75" s="1381"/>
      <c r="T75" s="1349"/>
      <c r="U75" s="1349" t="s">
        <v>123</v>
      </c>
      <c r="V75" s="1349" t="s">
        <v>123</v>
      </c>
      <c r="W75" s="1349"/>
      <c r="X75" s="1349"/>
      <c r="Y75" s="1308"/>
      <c r="Z75" s="437" t="str">
        <f>IFERROR(__xludf.DUMMYFUNCTION("IF(NOT('portfólio'!$AV$7),"""",IF($T75="""","""",IFERROR(query({AtivosDados},""select sum(""&amp;Z$3&amp;"") where Col1='""&amp;$T75&amp;""' label sum(""&amp;Z$3&amp;"") ''""),0)))"),"")</f>
        <v/>
      </c>
      <c r="AA75" s="437" t="str">
        <f>IFERROR(__xludf.DUMMYFUNCTION("IF(NOT('portfólio'!$AV$7),"""",IF($T75="""","""",IFERROR(query({AtivosDados},""select sum(""&amp;AA$3&amp;"") where Col1='""&amp;$T75&amp;""' label sum(""&amp;AA$3&amp;"") ''""),0)))"),"")</f>
        <v/>
      </c>
      <c r="AB75" s="437" t="str">
        <f>IFERROR(__xludf.DUMMYFUNCTION("IF(NOT('portfólio'!$AV$7),"""",IF($T75="""","""",IFERROR(query({AtivosDados},""select sum(""&amp;AB$3&amp;"") where Col1='""&amp;$T75&amp;""' label sum(""&amp;AB$3&amp;"") ''""),0)))"),"")</f>
        <v/>
      </c>
      <c r="AC75" s="437" t="str">
        <f>IFERROR(__xludf.DUMMYFUNCTION("IF(NOT('portfólio'!$AV$7),"""",IF($T75="""","""",IFERROR(query({AtivosDados},""select sum(""&amp;AC$3&amp;"") where Col1='""&amp;$T75&amp;""' label sum(""&amp;AC$3&amp;"") ''""),0)))"),"")</f>
        <v/>
      </c>
      <c r="AD75" s="437" t="str">
        <f>IFERROR(__xludf.DUMMYFUNCTION("IF(NOT('portfólio'!$AV$7),"""",IF($T75="""","""",IFERROR(query({AtivosDados},""select sum(""&amp;AD$3&amp;"") where Col1='""&amp;$T75&amp;""' label sum(""&amp;AD$3&amp;"") ''""),0)))"),"")</f>
        <v/>
      </c>
      <c r="AE75" s="437"/>
      <c r="AF75" s="1327"/>
      <c r="AG75" s="437"/>
      <c r="AH75" s="437"/>
      <c r="AI75" s="437"/>
      <c r="AJ75" s="437"/>
      <c r="AK75" s="437"/>
      <c r="AL75" s="437"/>
      <c r="AM75" s="437"/>
      <c r="AN75" s="437"/>
      <c r="AO75" s="437"/>
      <c r="AP75" s="437"/>
      <c r="AQ75" s="1327"/>
      <c r="AR75" s="437"/>
      <c r="AS75" s="437"/>
      <c r="AT75" s="437"/>
      <c r="AU75" s="437"/>
      <c r="AV75" s="437"/>
      <c r="AW75" s="437"/>
      <c r="AX75" s="437"/>
      <c r="AY75" s="437"/>
      <c r="AZ75" s="437"/>
      <c r="BA75" s="437"/>
      <c r="BB75" s="1327"/>
      <c r="BC75" s="437"/>
      <c r="BD75" s="437"/>
      <c r="BE75" s="437"/>
      <c r="BF75" s="437"/>
      <c r="BG75" s="437"/>
      <c r="BH75" s="437"/>
      <c r="BI75" s="437"/>
      <c r="BJ75" s="437"/>
      <c r="BK75" s="437"/>
      <c r="BL75" s="437"/>
      <c r="BM75" s="1327"/>
      <c r="BN75" s="1327"/>
      <c r="BO75" s="1327"/>
      <c r="BP75" s="1327"/>
      <c r="BQ75" s="1327"/>
      <c r="BR75" s="1327"/>
      <c r="BS75" s="1327"/>
      <c r="BT75" s="1327"/>
      <c r="BU75" s="1327"/>
      <c r="BV75" s="1327"/>
      <c r="BW75" s="1327"/>
      <c r="BX75" s="1327"/>
      <c r="BY75" s="1327"/>
      <c r="BZ75" s="1327"/>
      <c r="CA75" s="1327"/>
      <c r="CB75" s="1327"/>
      <c r="CC75" s="1327"/>
      <c r="CD75" s="1327"/>
      <c r="CE75" s="1327"/>
      <c r="CF75" s="1327"/>
      <c r="CG75" s="1327"/>
      <c r="CH75" s="1327"/>
      <c r="CI75" s="1327"/>
      <c r="CJ75" s="1327"/>
      <c r="CK75" s="1327"/>
      <c r="CL75" s="1327"/>
      <c r="CM75" s="1327"/>
      <c r="CN75" s="1327"/>
      <c r="CO75" s="1327"/>
      <c r="CP75" s="1327"/>
      <c r="CQ75" s="1327"/>
      <c r="CR75" s="1327"/>
      <c r="CS75" s="1327"/>
      <c r="CT75" s="1317"/>
      <c r="CU75" s="419"/>
      <c r="CV75" s="419"/>
      <c r="CW75" s="419"/>
      <c r="CX75" s="419"/>
      <c r="CY75" s="419"/>
      <c r="CZ75" s="419"/>
      <c r="DA75" s="419"/>
      <c r="DB75" s="419"/>
      <c r="DC75" s="419"/>
      <c r="DD75" s="419"/>
      <c r="DE75" s="419"/>
      <c r="DF75" s="419"/>
      <c r="DG75" s="419"/>
    </row>
    <row r="76" ht="18.75" customHeight="1">
      <c r="G76" s="1344"/>
      <c r="H76" s="1345">
        <f t="shared" si="4"/>
        <v>0</v>
      </c>
      <c r="I76" s="1381"/>
      <c r="J76" s="1381"/>
      <c r="K76" s="1381"/>
      <c r="L76" s="1381"/>
      <c r="M76" s="1381"/>
      <c r="N76" s="1381"/>
      <c r="O76" s="1381"/>
      <c r="P76" s="1381"/>
      <c r="Q76" s="1381"/>
      <c r="R76" s="1381"/>
      <c r="T76" s="1349"/>
      <c r="U76" s="1349" t="s">
        <v>123</v>
      </c>
      <c r="V76" s="1349" t="s">
        <v>123</v>
      </c>
      <c r="W76" s="1349"/>
      <c r="X76" s="1349"/>
      <c r="Y76" s="1308"/>
      <c r="Z76" s="437" t="str">
        <f>IFERROR(__xludf.DUMMYFUNCTION("IF(NOT('portfólio'!$AV$7),"""",IF($T76="""","""",IFERROR(query({AtivosDados},""select sum(""&amp;Z$3&amp;"") where Col1='""&amp;$T76&amp;""' label sum(""&amp;Z$3&amp;"") ''""),0)))"),"")</f>
        <v/>
      </c>
      <c r="AA76" s="437" t="str">
        <f>IFERROR(__xludf.DUMMYFUNCTION("IF(NOT('portfólio'!$AV$7),"""",IF($T76="""","""",IFERROR(query({AtivosDados},""select sum(""&amp;AA$3&amp;"") where Col1='""&amp;$T76&amp;""' label sum(""&amp;AA$3&amp;"") ''""),0)))"),"")</f>
        <v/>
      </c>
      <c r="AB76" s="437" t="str">
        <f>IFERROR(__xludf.DUMMYFUNCTION("IF(NOT('portfólio'!$AV$7),"""",IF($T76="""","""",IFERROR(query({AtivosDados},""select sum(""&amp;AB$3&amp;"") where Col1='""&amp;$T76&amp;""' label sum(""&amp;AB$3&amp;"") ''""),0)))"),"")</f>
        <v/>
      </c>
      <c r="AC76" s="437" t="str">
        <f>IFERROR(__xludf.DUMMYFUNCTION("IF(NOT('portfólio'!$AV$7),"""",IF($T76="""","""",IFERROR(query({AtivosDados},""select sum(""&amp;AC$3&amp;"") where Col1='""&amp;$T76&amp;""' label sum(""&amp;AC$3&amp;"") ''""),0)))"),"")</f>
        <v/>
      </c>
      <c r="AD76" s="437" t="str">
        <f>IFERROR(__xludf.DUMMYFUNCTION("IF(NOT('portfólio'!$AV$7),"""",IF($T76="""","""",IFERROR(query({AtivosDados},""select sum(""&amp;AD$3&amp;"") where Col1='""&amp;$T76&amp;""' label sum(""&amp;AD$3&amp;"") ''""),0)))"),"")</f>
        <v/>
      </c>
      <c r="AE76" s="437"/>
      <c r="AF76" s="1327"/>
      <c r="AG76" s="437"/>
      <c r="AH76" s="437"/>
      <c r="AI76" s="437"/>
      <c r="AJ76" s="437"/>
      <c r="AK76" s="437"/>
      <c r="AL76" s="437"/>
      <c r="AM76" s="437"/>
      <c r="AN76" s="437"/>
      <c r="AO76" s="437"/>
      <c r="AP76" s="437"/>
      <c r="AQ76" s="1327"/>
      <c r="AR76" s="437"/>
      <c r="AS76" s="437"/>
      <c r="AT76" s="437"/>
      <c r="AU76" s="437"/>
      <c r="AV76" s="437"/>
      <c r="AW76" s="437"/>
      <c r="AX76" s="437"/>
      <c r="AY76" s="437"/>
      <c r="AZ76" s="437"/>
      <c r="BA76" s="437"/>
      <c r="BB76" s="1327"/>
      <c r="BC76" s="437"/>
      <c r="BD76" s="437"/>
      <c r="BE76" s="437"/>
      <c r="BF76" s="437"/>
      <c r="BG76" s="437"/>
      <c r="BH76" s="437"/>
      <c r="BI76" s="437"/>
      <c r="BJ76" s="437"/>
      <c r="BK76" s="437"/>
      <c r="BL76" s="437"/>
      <c r="BM76" s="1327"/>
      <c r="BN76" s="1327"/>
      <c r="BO76" s="1327"/>
      <c r="BP76" s="1327"/>
      <c r="BQ76" s="1327"/>
      <c r="BR76" s="1327"/>
      <c r="BS76" s="1327"/>
      <c r="BT76" s="1327"/>
      <c r="BU76" s="1327"/>
      <c r="BV76" s="1327"/>
      <c r="BW76" s="1327"/>
      <c r="BX76" s="1327"/>
      <c r="BY76" s="1327"/>
      <c r="BZ76" s="1327"/>
      <c r="CA76" s="1327"/>
      <c r="CB76" s="1327"/>
      <c r="CC76" s="1327"/>
      <c r="CD76" s="1327"/>
      <c r="CE76" s="1327"/>
      <c r="CF76" s="1327"/>
      <c r="CG76" s="1327"/>
      <c r="CH76" s="1327"/>
      <c r="CI76" s="1327"/>
      <c r="CJ76" s="1327"/>
      <c r="CK76" s="1327"/>
      <c r="CL76" s="1327"/>
      <c r="CM76" s="1327"/>
      <c r="CN76" s="1327"/>
      <c r="CO76" s="1327"/>
      <c r="CP76" s="1327"/>
      <c r="CQ76" s="1327"/>
      <c r="CR76" s="1327"/>
      <c r="CS76" s="1327"/>
      <c r="CT76" s="1317"/>
      <c r="CU76" s="419"/>
      <c r="CV76" s="419"/>
      <c r="CW76" s="419"/>
      <c r="CX76" s="419"/>
      <c r="CY76" s="419"/>
      <c r="CZ76" s="419"/>
      <c r="DA76" s="419"/>
      <c r="DB76" s="419"/>
      <c r="DC76" s="419"/>
      <c r="DD76" s="419"/>
      <c r="DE76" s="419"/>
      <c r="DF76" s="419"/>
      <c r="DG76" s="419"/>
    </row>
    <row r="77" ht="18.75" customHeight="1">
      <c r="G77" s="1344"/>
      <c r="H77" s="1345">
        <f t="shared" si="4"/>
        <v>0</v>
      </c>
      <c r="I77" s="1381"/>
      <c r="J77" s="1381"/>
      <c r="K77" s="1381"/>
      <c r="L77" s="1381"/>
      <c r="M77" s="1381"/>
      <c r="N77" s="1381"/>
      <c r="O77" s="1381"/>
      <c r="P77" s="1381"/>
      <c r="Q77" s="1381"/>
      <c r="R77" s="1381"/>
      <c r="T77" s="1349"/>
      <c r="U77" s="1349" t="s">
        <v>123</v>
      </c>
      <c r="V77" s="1349" t="s">
        <v>123</v>
      </c>
      <c r="W77" s="1349"/>
      <c r="X77" s="1349"/>
      <c r="Y77" s="1308"/>
      <c r="Z77" s="437" t="str">
        <f>IFERROR(__xludf.DUMMYFUNCTION("IF(NOT('portfólio'!$AV$7),"""",IF($T77="""","""",IFERROR(query({AtivosDados},""select sum(""&amp;Z$3&amp;"") where Col1='""&amp;$T77&amp;""' label sum(""&amp;Z$3&amp;"") ''""),0)))"),"")</f>
        <v/>
      </c>
      <c r="AA77" s="437" t="str">
        <f>IFERROR(__xludf.DUMMYFUNCTION("IF(NOT('portfólio'!$AV$7),"""",IF($T77="""","""",IFERROR(query({AtivosDados},""select sum(""&amp;AA$3&amp;"") where Col1='""&amp;$T77&amp;""' label sum(""&amp;AA$3&amp;"") ''""),0)))"),"")</f>
        <v/>
      </c>
      <c r="AB77" s="437" t="str">
        <f>IFERROR(__xludf.DUMMYFUNCTION("IF(NOT('portfólio'!$AV$7),"""",IF($T77="""","""",IFERROR(query({AtivosDados},""select sum(""&amp;AB$3&amp;"") where Col1='""&amp;$T77&amp;""' label sum(""&amp;AB$3&amp;"") ''""),0)))"),"")</f>
        <v/>
      </c>
      <c r="AC77" s="437" t="str">
        <f>IFERROR(__xludf.DUMMYFUNCTION("IF(NOT('portfólio'!$AV$7),"""",IF($T77="""","""",IFERROR(query({AtivosDados},""select sum(""&amp;AC$3&amp;"") where Col1='""&amp;$T77&amp;""' label sum(""&amp;AC$3&amp;"") ''""),0)))"),"")</f>
        <v/>
      </c>
      <c r="AD77" s="437" t="str">
        <f>IFERROR(__xludf.DUMMYFUNCTION("IF(NOT('portfólio'!$AV$7),"""",IF($T77="""","""",IFERROR(query({AtivosDados},""select sum(""&amp;AD$3&amp;"") where Col1='""&amp;$T77&amp;""' label sum(""&amp;AD$3&amp;"") ''""),0)))"),"")</f>
        <v/>
      </c>
      <c r="AE77" s="437"/>
      <c r="AF77" s="1327"/>
      <c r="AG77" s="437"/>
      <c r="AH77" s="437"/>
      <c r="AI77" s="437"/>
      <c r="AJ77" s="437"/>
      <c r="AK77" s="437"/>
      <c r="AL77" s="437"/>
      <c r="AM77" s="437"/>
      <c r="AN77" s="437"/>
      <c r="AO77" s="437"/>
      <c r="AP77" s="437"/>
      <c r="AQ77" s="1327"/>
      <c r="AR77" s="437"/>
      <c r="AS77" s="437"/>
      <c r="AT77" s="437"/>
      <c r="AU77" s="437"/>
      <c r="AV77" s="437"/>
      <c r="AW77" s="437"/>
      <c r="AX77" s="437"/>
      <c r="AY77" s="437"/>
      <c r="AZ77" s="437"/>
      <c r="BA77" s="437"/>
      <c r="BB77" s="1327"/>
      <c r="BC77" s="437"/>
      <c r="BD77" s="437"/>
      <c r="BE77" s="437"/>
      <c r="BF77" s="437"/>
      <c r="BG77" s="437"/>
      <c r="BH77" s="437"/>
      <c r="BI77" s="437"/>
      <c r="BJ77" s="437"/>
      <c r="BK77" s="437"/>
      <c r="BL77" s="437"/>
      <c r="BM77" s="1327"/>
      <c r="BN77" s="1327"/>
      <c r="BO77" s="1327"/>
      <c r="BP77" s="1327"/>
      <c r="BQ77" s="1327"/>
      <c r="BR77" s="1327"/>
      <c r="BS77" s="1327"/>
      <c r="BT77" s="1327"/>
      <c r="BU77" s="1327"/>
      <c r="BV77" s="1327"/>
      <c r="BW77" s="1327"/>
      <c r="BX77" s="1327"/>
      <c r="BY77" s="1327"/>
      <c r="BZ77" s="1327"/>
      <c r="CA77" s="1327"/>
      <c r="CB77" s="1327"/>
      <c r="CC77" s="1327"/>
      <c r="CD77" s="1327"/>
      <c r="CE77" s="1327"/>
      <c r="CF77" s="1327"/>
      <c r="CG77" s="1327"/>
      <c r="CH77" s="1327"/>
      <c r="CI77" s="1327"/>
      <c r="CJ77" s="1327"/>
      <c r="CK77" s="1327"/>
      <c r="CL77" s="1327"/>
      <c r="CM77" s="1327"/>
      <c r="CN77" s="1327"/>
      <c r="CO77" s="1327"/>
      <c r="CP77" s="1327"/>
      <c r="CQ77" s="1327"/>
      <c r="CR77" s="1327"/>
      <c r="CS77" s="1327"/>
      <c r="CT77" s="1317"/>
      <c r="CU77" s="419"/>
      <c r="CV77" s="419"/>
      <c r="CW77" s="419"/>
      <c r="CX77" s="419"/>
      <c r="CY77" s="419"/>
      <c r="CZ77" s="419"/>
      <c r="DA77" s="419"/>
      <c r="DB77" s="419"/>
      <c r="DC77" s="419"/>
      <c r="DD77" s="419"/>
      <c r="DE77" s="419"/>
      <c r="DF77" s="419"/>
      <c r="DG77" s="419"/>
    </row>
    <row r="78" ht="18.75" customHeight="1">
      <c r="G78" s="1344"/>
      <c r="H78" s="1345">
        <f t="shared" si="4"/>
        <v>0</v>
      </c>
      <c r="I78" s="1381"/>
      <c r="J78" s="1381"/>
      <c r="K78" s="1381"/>
      <c r="L78" s="1381"/>
      <c r="M78" s="1381"/>
      <c r="N78" s="1381"/>
      <c r="O78" s="1381"/>
      <c r="P78" s="1381"/>
      <c r="Q78" s="1381"/>
      <c r="R78" s="1381"/>
      <c r="T78" s="1349"/>
      <c r="U78" s="1349" t="s">
        <v>123</v>
      </c>
      <c r="V78" s="1349" t="s">
        <v>123</v>
      </c>
      <c r="W78" s="1349"/>
      <c r="X78" s="1349"/>
      <c r="Y78" s="1308"/>
      <c r="Z78" s="437" t="str">
        <f>IFERROR(__xludf.DUMMYFUNCTION("IF(NOT('portfólio'!$AV$7),"""",IF($T78="""","""",IFERROR(query({AtivosDados},""select sum(""&amp;Z$3&amp;"") where Col1='""&amp;$T78&amp;""' label sum(""&amp;Z$3&amp;"") ''""),0)))"),"")</f>
        <v/>
      </c>
      <c r="AA78" s="437" t="str">
        <f>IFERROR(__xludf.DUMMYFUNCTION("IF(NOT('portfólio'!$AV$7),"""",IF($T78="""","""",IFERROR(query({AtivosDados},""select sum(""&amp;AA$3&amp;"") where Col1='""&amp;$T78&amp;""' label sum(""&amp;AA$3&amp;"") ''""),0)))"),"")</f>
        <v/>
      </c>
      <c r="AB78" s="437" t="str">
        <f>IFERROR(__xludf.DUMMYFUNCTION("IF(NOT('portfólio'!$AV$7),"""",IF($T78="""","""",IFERROR(query({AtivosDados},""select sum(""&amp;AB$3&amp;"") where Col1='""&amp;$T78&amp;""' label sum(""&amp;AB$3&amp;"") ''""),0)))"),"")</f>
        <v/>
      </c>
      <c r="AC78" s="437" t="str">
        <f>IFERROR(__xludf.DUMMYFUNCTION("IF(NOT('portfólio'!$AV$7),"""",IF($T78="""","""",IFERROR(query({AtivosDados},""select sum(""&amp;AC$3&amp;"") where Col1='""&amp;$T78&amp;""' label sum(""&amp;AC$3&amp;"") ''""),0)))"),"")</f>
        <v/>
      </c>
      <c r="AD78" s="437" t="str">
        <f>IFERROR(__xludf.DUMMYFUNCTION("IF(NOT('portfólio'!$AV$7),"""",IF($T78="""","""",IFERROR(query({AtivosDados},""select sum(""&amp;AD$3&amp;"") where Col1='""&amp;$T78&amp;""' label sum(""&amp;AD$3&amp;"") ''""),0)))"),"")</f>
        <v/>
      </c>
      <c r="AE78" s="437"/>
      <c r="AF78" s="1327"/>
      <c r="AG78" s="437"/>
      <c r="AH78" s="437"/>
      <c r="AI78" s="437"/>
      <c r="AJ78" s="437"/>
      <c r="AK78" s="437"/>
      <c r="AL78" s="437"/>
      <c r="AM78" s="437"/>
      <c r="AN78" s="437"/>
      <c r="AO78" s="437"/>
      <c r="AP78" s="437"/>
      <c r="AQ78" s="1327"/>
      <c r="AR78" s="437"/>
      <c r="AS78" s="437"/>
      <c r="AT78" s="437"/>
      <c r="AU78" s="437"/>
      <c r="AV78" s="437"/>
      <c r="AW78" s="437"/>
      <c r="AX78" s="437"/>
      <c r="AY78" s="437"/>
      <c r="AZ78" s="437"/>
      <c r="BA78" s="437"/>
      <c r="BB78" s="1327"/>
      <c r="BC78" s="437"/>
      <c r="BD78" s="437"/>
      <c r="BE78" s="437"/>
      <c r="BF78" s="437"/>
      <c r="BG78" s="437"/>
      <c r="BH78" s="437"/>
      <c r="BI78" s="437"/>
      <c r="BJ78" s="437"/>
      <c r="BK78" s="437"/>
      <c r="BL78" s="437"/>
      <c r="BM78" s="1327"/>
      <c r="BN78" s="1327"/>
      <c r="BO78" s="1327"/>
      <c r="BP78" s="1327"/>
      <c r="BQ78" s="1327"/>
      <c r="BR78" s="1327"/>
      <c r="BS78" s="1327"/>
      <c r="BT78" s="1327"/>
      <c r="BU78" s="1327"/>
      <c r="BV78" s="1327"/>
      <c r="BW78" s="1327"/>
      <c r="BX78" s="1327"/>
      <c r="BY78" s="1327"/>
      <c r="BZ78" s="1327"/>
      <c r="CA78" s="1327"/>
      <c r="CB78" s="1327"/>
      <c r="CC78" s="1327"/>
      <c r="CD78" s="1327"/>
      <c r="CE78" s="1327"/>
      <c r="CF78" s="1327"/>
      <c r="CG78" s="1327"/>
      <c r="CH78" s="1327"/>
      <c r="CI78" s="1327"/>
      <c r="CJ78" s="1327"/>
      <c r="CK78" s="1327"/>
      <c r="CL78" s="1327"/>
      <c r="CM78" s="1327"/>
      <c r="CN78" s="1327"/>
      <c r="CO78" s="1327"/>
      <c r="CP78" s="1327"/>
      <c r="CQ78" s="1327"/>
      <c r="CR78" s="1327"/>
      <c r="CS78" s="1327"/>
      <c r="CT78" s="1317"/>
      <c r="CU78" s="419"/>
      <c r="CV78" s="419"/>
      <c r="CW78" s="419"/>
      <c r="CX78" s="419"/>
      <c r="CY78" s="419"/>
      <c r="CZ78" s="419"/>
      <c r="DA78" s="419"/>
      <c r="DB78" s="419"/>
      <c r="DC78" s="419"/>
      <c r="DD78" s="419"/>
      <c r="DE78" s="419"/>
      <c r="DF78" s="419"/>
      <c r="DG78" s="419"/>
    </row>
    <row r="79" ht="18.75" customHeight="1">
      <c r="G79" s="1344"/>
      <c r="H79" s="1345">
        <f t="shared" si="4"/>
        <v>0</v>
      </c>
      <c r="I79" s="1381"/>
      <c r="J79" s="1381"/>
      <c r="K79" s="1381"/>
      <c r="L79" s="1381"/>
      <c r="M79" s="1381"/>
      <c r="N79" s="1381"/>
      <c r="O79" s="1381"/>
      <c r="P79" s="1381"/>
      <c r="Q79" s="1381"/>
      <c r="R79" s="1381"/>
      <c r="T79" s="1349"/>
      <c r="U79" s="1349" t="s">
        <v>123</v>
      </c>
      <c r="V79" s="1349" t="s">
        <v>123</v>
      </c>
      <c r="W79" s="1349"/>
      <c r="X79" s="1349"/>
      <c r="Y79" s="1308"/>
      <c r="Z79" s="437" t="str">
        <f>IFERROR(__xludf.DUMMYFUNCTION("IF(NOT('portfólio'!$AV$7),"""",IF($T79="""","""",IFERROR(query({AtivosDados},""select sum(""&amp;Z$3&amp;"") where Col1='""&amp;$T79&amp;""' label sum(""&amp;Z$3&amp;"") ''""),0)))"),"")</f>
        <v/>
      </c>
      <c r="AA79" s="437" t="str">
        <f>IFERROR(__xludf.DUMMYFUNCTION("IF(NOT('portfólio'!$AV$7),"""",IF($T79="""","""",IFERROR(query({AtivosDados},""select sum(""&amp;AA$3&amp;"") where Col1='""&amp;$T79&amp;""' label sum(""&amp;AA$3&amp;"") ''""),0)))"),"")</f>
        <v/>
      </c>
      <c r="AB79" s="437" t="str">
        <f>IFERROR(__xludf.DUMMYFUNCTION("IF(NOT('portfólio'!$AV$7),"""",IF($T79="""","""",IFERROR(query({AtivosDados},""select sum(""&amp;AB$3&amp;"") where Col1='""&amp;$T79&amp;""' label sum(""&amp;AB$3&amp;"") ''""),0)))"),"")</f>
        <v/>
      </c>
      <c r="AC79" s="437" t="str">
        <f>IFERROR(__xludf.DUMMYFUNCTION("IF(NOT('portfólio'!$AV$7),"""",IF($T79="""","""",IFERROR(query({AtivosDados},""select sum(""&amp;AC$3&amp;"") where Col1='""&amp;$T79&amp;""' label sum(""&amp;AC$3&amp;"") ''""),0)))"),"")</f>
        <v/>
      </c>
      <c r="AD79" s="437" t="str">
        <f>IFERROR(__xludf.DUMMYFUNCTION("IF(NOT('portfólio'!$AV$7),"""",IF($T79="""","""",IFERROR(query({AtivosDados},""select sum(""&amp;AD$3&amp;"") where Col1='""&amp;$T79&amp;""' label sum(""&amp;AD$3&amp;"") ''""),0)))"),"")</f>
        <v/>
      </c>
      <c r="AE79" s="437"/>
      <c r="AF79" s="1327"/>
      <c r="AG79" s="437"/>
      <c r="AH79" s="437"/>
      <c r="AI79" s="437"/>
      <c r="AJ79" s="437"/>
      <c r="AK79" s="437"/>
      <c r="AL79" s="437"/>
      <c r="AM79" s="437"/>
      <c r="AN79" s="437"/>
      <c r="AO79" s="437"/>
      <c r="AP79" s="437"/>
      <c r="AQ79" s="1327"/>
      <c r="AR79" s="437"/>
      <c r="AS79" s="437"/>
      <c r="AT79" s="437"/>
      <c r="AU79" s="437"/>
      <c r="AV79" s="437"/>
      <c r="AW79" s="437"/>
      <c r="AX79" s="437"/>
      <c r="AY79" s="437"/>
      <c r="AZ79" s="437"/>
      <c r="BA79" s="437"/>
      <c r="BB79" s="1327"/>
      <c r="BC79" s="437"/>
      <c r="BD79" s="437"/>
      <c r="BE79" s="437"/>
      <c r="BF79" s="437"/>
      <c r="BG79" s="437"/>
      <c r="BH79" s="437"/>
      <c r="BI79" s="437"/>
      <c r="BJ79" s="437"/>
      <c r="BK79" s="437"/>
      <c r="BL79" s="437"/>
      <c r="BM79" s="1327"/>
      <c r="BN79" s="1327"/>
      <c r="BO79" s="1327"/>
      <c r="BP79" s="1327"/>
      <c r="BQ79" s="1327"/>
      <c r="BR79" s="1327"/>
      <c r="BS79" s="1327"/>
      <c r="BT79" s="1327"/>
      <c r="BU79" s="1327"/>
      <c r="BV79" s="1327"/>
      <c r="BW79" s="1327"/>
      <c r="BX79" s="1327"/>
      <c r="BY79" s="1327"/>
      <c r="BZ79" s="1327"/>
      <c r="CA79" s="1327"/>
      <c r="CB79" s="1327"/>
      <c r="CC79" s="1327"/>
      <c r="CD79" s="1327"/>
      <c r="CE79" s="1327"/>
      <c r="CF79" s="1327"/>
      <c r="CG79" s="1327"/>
      <c r="CH79" s="1327"/>
      <c r="CI79" s="1327"/>
      <c r="CJ79" s="1327"/>
      <c r="CK79" s="1327"/>
      <c r="CL79" s="1327"/>
      <c r="CM79" s="1327"/>
      <c r="CN79" s="1327"/>
      <c r="CO79" s="1327"/>
      <c r="CP79" s="1327"/>
      <c r="CQ79" s="1327"/>
      <c r="CR79" s="1327"/>
      <c r="CS79" s="1327"/>
      <c r="CT79" s="1317"/>
      <c r="CU79" s="419"/>
      <c r="CV79" s="419"/>
      <c r="CW79" s="419"/>
      <c r="CX79" s="419"/>
      <c r="CY79" s="419"/>
      <c r="CZ79" s="419"/>
      <c r="DA79" s="419"/>
      <c r="DB79" s="419"/>
      <c r="DC79" s="419"/>
      <c r="DD79" s="419"/>
      <c r="DE79" s="419"/>
      <c r="DF79" s="419"/>
      <c r="DG79" s="419"/>
    </row>
    <row r="80" ht="18.75" customHeight="1">
      <c r="G80" s="1344"/>
      <c r="H80" s="1345">
        <f t="shared" si="4"/>
        <v>0</v>
      </c>
      <c r="I80" s="1381"/>
      <c r="J80" s="1381"/>
      <c r="K80" s="1381"/>
      <c r="L80" s="1381"/>
      <c r="M80" s="1381"/>
      <c r="N80" s="1381"/>
      <c r="O80" s="1381"/>
      <c r="P80" s="1381"/>
      <c r="Q80" s="1381"/>
      <c r="R80" s="1381"/>
      <c r="T80" s="1349"/>
      <c r="U80" s="1349" t="s">
        <v>123</v>
      </c>
      <c r="V80" s="1349" t="s">
        <v>123</v>
      </c>
      <c r="W80" s="1349"/>
      <c r="X80" s="1349"/>
      <c r="Y80" s="1308"/>
      <c r="Z80" s="437" t="str">
        <f>IFERROR(__xludf.DUMMYFUNCTION("IF(NOT('portfólio'!$AV$7),"""",IF($T80="""","""",IFERROR(query({AtivosDados},""select sum(""&amp;Z$3&amp;"") where Col1='""&amp;$T80&amp;""' label sum(""&amp;Z$3&amp;"") ''""),0)))"),"")</f>
        <v/>
      </c>
      <c r="AA80" s="437" t="str">
        <f>IFERROR(__xludf.DUMMYFUNCTION("IF(NOT('portfólio'!$AV$7),"""",IF($T80="""","""",IFERROR(query({AtivosDados},""select sum(""&amp;AA$3&amp;"") where Col1='""&amp;$T80&amp;""' label sum(""&amp;AA$3&amp;"") ''""),0)))"),"")</f>
        <v/>
      </c>
      <c r="AB80" s="437" t="str">
        <f>IFERROR(__xludf.DUMMYFUNCTION("IF(NOT('portfólio'!$AV$7),"""",IF($T80="""","""",IFERROR(query({AtivosDados},""select sum(""&amp;AB$3&amp;"") where Col1='""&amp;$T80&amp;""' label sum(""&amp;AB$3&amp;"") ''""),0)))"),"")</f>
        <v/>
      </c>
      <c r="AC80" s="437" t="str">
        <f>IFERROR(__xludf.DUMMYFUNCTION("IF(NOT('portfólio'!$AV$7),"""",IF($T80="""","""",IFERROR(query({AtivosDados},""select sum(""&amp;AC$3&amp;"") where Col1='""&amp;$T80&amp;""' label sum(""&amp;AC$3&amp;"") ''""),0)))"),"")</f>
        <v/>
      </c>
      <c r="AD80" s="437" t="str">
        <f>IFERROR(__xludf.DUMMYFUNCTION("IF(NOT('portfólio'!$AV$7),"""",IF($T80="""","""",IFERROR(query({AtivosDados},""select sum(""&amp;AD$3&amp;"") where Col1='""&amp;$T80&amp;""' label sum(""&amp;AD$3&amp;"") ''""),0)))"),"")</f>
        <v/>
      </c>
      <c r="AE80" s="437"/>
      <c r="AF80" s="1327"/>
      <c r="AG80" s="437"/>
      <c r="AH80" s="437"/>
      <c r="AI80" s="437"/>
      <c r="AJ80" s="437"/>
      <c r="AK80" s="437"/>
      <c r="AL80" s="437"/>
      <c r="AM80" s="437"/>
      <c r="AN80" s="437"/>
      <c r="AO80" s="437"/>
      <c r="AP80" s="437"/>
      <c r="AQ80" s="1327"/>
      <c r="AR80" s="437"/>
      <c r="AS80" s="437"/>
      <c r="AT80" s="437"/>
      <c r="AU80" s="437"/>
      <c r="AV80" s="437"/>
      <c r="AW80" s="437"/>
      <c r="AX80" s="437"/>
      <c r="AY80" s="437"/>
      <c r="AZ80" s="437"/>
      <c r="BA80" s="437"/>
      <c r="BB80" s="1327"/>
      <c r="BC80" s="437"/>
      <c r="BD80" s="437"/>
      <c r="BE80" s="437"/>
      <c r="BF80" s="437"/>
      <c r="BG80" s="437"/>
      <c r="BH80" s="437"/>
      <c r="BI80" s="437"/>
      <c r="BJ80" s="437"/>
      <c r="BK80" s="437"/>
      <c r="BL80" s="437"/>
      <c r="BM80" s="1327"/>
      <c r="BN80" s="1327"/>
      <c r="BO80" s="1327"/>
      <c r="BP80" s="1327"/>
      <c r="BQ80" s="1327"/>
      <c r="BR80" s="1327"/>
      <c r="BS80" s="1327"/>
      <c r="BT80" s="1327"/>
      <c r="BU80" s="1327"/>
      <c r="BV80" s="1327"/>
      <c r="BW80" s="1327"/>
      <c r="BX80" s="1327"/>
      <c r="BY80" s="1327"/>
      <c r="BZ80" s="1327"/>
      <c r="CA80" s="1327"/>
      <c r="CB80" s="1327"/>
      <c r="CC80" s="1327"/>
      <c r="CD80" s="1327"/>
      <c r="CE80" s="1327"/>
      <c r="CF80" s="1327"/>
      <c r="CG80" s="1327"/>
      <c r="CH80" s="1327"/>
      <c r="CI80" s="1327"/>
      <c r="CJ80" s="1327"/>
      <c r="CK80" s="1327"/>
      <c r="CL80" s="1327"/>
      <c r="CM80" s="1327"/>
      <c r="CN80" s="1327"/>
      <c r="CO80" s="1327"/>
      <c r="CP80" s="1327"/>
      <c r="CQ80" s="1327"/>
      <c r="CR80" s="1327"/>
      <c r="CS80" s="1327"/>
      <c r="CT80" s="1317"/>
      <c r="CU80" s="419"/>
      <c r="CV80" s="419"/>
      <c r="CW80" s="419"/>
      <c r="CX80" s="419"/>
      <c r="CY80" s="419"/>
      <c r="CZ80" s="419"/>
      <c r="DA80" s="419"/>
      <c r="DB80" s="419"/>
      <c r="DC80" s="419"/>
      <c r="DD80" s="419"/>
      <c r="DE80" s="419"/>
      <c r="DF80" s="419"/>
      <c r="DG80" s="419"/>
    </row>
    <row r="81" ht="18.75" customHeight="1">
      <c r="G81" s="1344"/>
      <c r="H81" s="1345">
        <f t="shared" si="4"/>
        <v>0</v>
      </c>
      <c r="I81" s="1381"/>
      <c r="J81" s="1381"/>
      <c r="K81" s="1381"/>
      <c r="L81" s="1381"/>
      <c r="M81" s="1381"/>
      <c r="N81" s="1381"/>
      <c r="O81" s="1381"/>
      <c r="P81" s="1381"/>
      <c r="Q81" s="1381"/>
      <c r="R81" s="1381"/>
      <c r="T81" s="1349"/>
      <c r="U81" s="1349" t="s">
        <v>123</v>
      </c>
      <c r="V81" s="1349" t="s">
        <v>123</v>
      </c>
      <c r="W81" s="1349"/>
      <c r="X81" s="1349"/>
      <c r="Y81" s="1308"/>
      <c r="Z81" s="437" t="str">
        <f>IFERROR(__xludf.DUMMYFUNCTION("IF(NOT('portfólio'!$AV$7),"""",IF($T81="""","""",IFERROR(query({AtivosDados},""select sum(""&amp;Z$3&amp;"") where Col1='""&amp;$T81&amp;""' label sum(""&amp;Z$3&amp;"") ''""),0)))"),"")</f>
        <v/>
      </c>
      <c r="AA81" s="437" t="str">
        <f>IFERROR(__xludf.DUMMYFUNCTION("IF(NOT('portfólio'!$AV$7),"""",IF($T81="""","""",IFERROR(query({AtivosDados},""select sum(""&amp;AA$3&amp;"") where Col1='""&amp;$T81&amp;""' label sum(""&amp;AA$3&amp;"") ''""),0)))"),"")</f>
        <v/>
      </c>
      <c r="AB81" s="437" t="str">
        <f>IFERROR(__xludf.DUMMYFUNCTION("IF(NOT('portfólio'!$AV$7),"""",IF($T81="""","""",IFERROR(query({AtivosDados},""select sum(""&amp;AB$3&amp;"") where Col1='""&amp;$T81&amp;""' label sum(""&amp;AB$3&amp;"") ''""),0)))"),"")</f>
        <v/>
      </c>
      <c r="AC81" s="437" t="str">
        <f>IFERROR(__xludf.DUMMYFUNCTION("IF(NOT('portfólio'!$AV$7),"""",IF($T81="""","""",IFERROR(query({AtivosDados},""select sum(""&amp;AC$3&amp;"") where Col1='""&amp;$T81&amp;""' label sum(""&amp;AC$3&amp;"") ''""),0)))"),"")</f>
        <v/>
      </c>
      <c r="AD81" s="437" t="str">
        <f>IFERROR(__xludf.DUMMYFUNCTION("IF(NOT('portfólio'!$AV$7),"""",IF($T81="""","""",IFERROR(query({AtivosDados},""select sum(""&amp;AD$3&amp;"") where Col1='""&amp;$T81&amp;""' label sum(""&amp;AD$3&amp;"") ''""),0)))"),"")</f>
        <v/>
      </c>
      <c r="AE81" s="437"/>
      <c r="AF81" s="1327"/>
      <c r="AG81" s="437"/>
      <c r="AH81" s="437"/>
      <c r="AI81" s="437"/>
      <c r="AJ81" s="437"/>
      <c r="AK81" s="437"/>
      <c r="AL81" s="437"/>
      <c r="AM81" s="437"/>
      <c r="AN81" s="437"/>
      <c r="AO81" s="437"/>
      <c r="AP81" s="437"/>
      <c r="AQ81" s="1327"/>
      <c r="AR81" s="437"/>
      <c r="AS81" s="437"/>
      <c r="AT81" s="437"/>
      <c r="AU81" s="437"/>
      <c r="AV81" s="437"/>
      <c r="AW81" s="437"/>
      <c r="AX81" s="437"/>
      <c r="AY81" s="437"/>
      <c r="AZ81" s="437"/>
      <c r="BA81" s="437"/>
      <c r="BB81" s="1327"/>
      <c r="BC81" s="437"/>
      <c r="BD81" s="437"/>
      <c r="BE81" s="437"/>
      <c r="BF81" s="437"/>
      <c r="BG81" s="437"/>
      <c r="BH81" s="437"/>
      <c r="BI81" s="437"/>
      <c r="BJ81" s="437"/>
      <c r="BK81" s="437"/>
      <c r="BL81" s="437"/>
      <c r="BM81" s="1327"/>
      <c r="BN81" s="1327"/>
      <c r="BO81" s="1327"/>
      <c r="BP81" s="1327"/>
      <c r="BQ81" s="1327"/>
      <c r="BR81" s="1327"/>
      <c r="BS81" s="1327"/>
      <c r="BT81" s="1327"/>
      <c r="BU81" s="1327"/>
      <c r="BV81" s="1327"/>
      <c r="BW81" s="1327"/>
      <c r="BX81" s="1327"/>
      <c r="BY81" s="1327"/>
      <c r="BZ81" s="1327"/>
      <c r="CA81" s="1327"/>
      <c r="CB81" s="1327"/>
      <c r="CC81" s="1327"/>
      <c r="CD81" s="1327"/>
      <c r="CE81" s="1327"/>
      <c r="CF81" s="1327"/>
      <c r="CG81" s="1327"/>
      <c r="CH81" s="1327"/>
      <c r="CI81" s="1327"/>
      <c r="CJ81" s="1327"/>
      <c r="CK81" s="1327"/>
      <c r="CL81" s="1327"/>
      <c r="CM81" s="1327"/>
      <c r="CN81" s="1327"/>
      <c r="CO81" s="1327"/>
      <c r="CP81" s="1327"/>
      <c r="CQ81" s="1327"/>
      <c r="CR81" s="1327"/>
      <c r="CS81" s="1327"/>
      <c r="CT81" s="1317"/>
      <c r="CU81" s="419"/>
      <c r="CV81" s="419"/>
      <c r="CW81" s="419"/>
      <c r="CX81" s="419"/>
      <c r="CY81" s="419"/>
      <c r="CZ81" s="419"/>
      <c r="DA81" s="419"/>
      <c r="DB81" s="419"/>
      <c r="DC81" s="419"/>
      <c r="DD81" s="419"/>
      <c r="DE81" s="419"/>
      <c r="DF81" s="419"/>
      <c r="DG81" s="419"/>
    </row>
    <row r="82" ht="18.75" customHeight="1">
      <c r="G82" s="1344"/>
      <c r="H82" s="1345">
        <f t="shared" si="4"/>
        <v>0</v>
      </c>
      <c r="I82" s="1381"/>
      <c r="J82" s="1381"/>
      <c r="K82" s="1381"/>
      <c r="L82" s="1381"/>
      <c r="M82" s="1381"/>
      <c r="N82" s="1381"/>
      <c r="O82" s="1381"/>
      <c r="P82" s="1381"/>
      <c r="Q82" s="1381"/>
      <c r="R82" s="1381"/>
      <c r="T82" s="1349"/>
      <c r="U82" s="1349" t="s">
        <v>123</v>
      </c>
      <c r="V82" s="1349" t="s">
        <v>123</v>
      </c>
      <c r="W82" s="1349"/>
      <c r="X82" s="1349"/>
      <c r="Y82" s="1308"/>
      <c r="Z82" s="437" t="str">
        <f>IFERROR(__xludf.DUMMYFUNCTION("IF(NOT('portfólio'!$AV$7),"""",IF($T82="""","""",IFERROR(query({AtivosDados},""select sum(""&amp;Z$3&amp;"") where Col1='""&amp;$T82&amp;""' label sum(""&amp;Z$3&amp;"") ''""),0)))"),"")</f>
        <v/>
      </c>
      <c r="AA82" s="437" t="str">
        <f>IFERROR(__xludf.DUMMYFUNCTION("IF(NOT('portfólio'!$AV$7),"""",IF($T82="""","""",IFERROR(query({AtivosDados},""select sum(""&amp;AA$3&amp;"") where Col1='""&amp;$T82&amp;""' label sum(""&amp;AA$3&amp;"") ''""),0)))"),"")</f>
        <v/>
      </c>
      <c r="AB82" s="437" t="str">
        <f>IFERROR(__xludf.DUMMYFUNCTION("IF(NOT('portfólio'!$AV$7),"""",IF($T82="""","""",IFERROR(query({AtivosDados},""select sum(""&amp;AB$3&amp;"") where Col1='""&amp;$T82&amp;""' label sum(""&amp;AB$3&amp;"") ''""),0)))"),"")</f>
        <v/>
      </c>
      <c r="AC82" s="437" t="str">
        <f>IFERROR(__xludf.DUMMYFUNCTION("IF(NOT('portfólio'!$AV$7),"""",IF($T82="""","""",IFERROR(query({AtivosDados},""select sum(""&amp;AC$3&amp;"") where Col1='""&amp;$T82&amp;""' label sum(""&amp;AC$3&amp;"") ''""),0)))"),"")</f>
        <v/>
      </c>
      <c r="AD82" s="437" t="str">
        <f>IFERROR(__xludf.DUMMYFUNCTION("IF(NOT('portfólio'!$AV$7),"""",IF($T82="""","""",IFERROR(query({AtivosDados},""select sum(""&amp;AD$3&amp;"") where Col1='""&amp;$T82&amp;""' label sum(""&amp;AD$3&amp;"") ''""),0)))"),"")</f>
        <v/>
      </c>
      <c r="AE82" s="437"/>
      <c r="AF82" s="1327"/>
      <c r="AG82" s="437"/>
      <c r="AH82" s="437"/>
      <c r="AI82" s="437"/>
      <c r="AJ82" s="437"/>
      <c r="AK82" s="437"/>
      <c r="AL82" s="437"/>
      <c r="AM82" s="437"/>
      <c r="AN82" s="437"/>
      <c r="AO82" s="437"/>
      <c r="AP82" s="437"/>
      <c r="AQ82" s="1327"/>
      <c r="AR82" s="437"/>
      <c r="AS82" s="437"/>
      <c r="AT82" s="437"/>
      <c r="AU82" s="437"/>
      <c r="AV82" s="437"/>
      <c r="AW82" s="437"/>
      <c r="AX82" s="437"/>
      <c r="AY82" s="437"/>
      <c r="AZ82" s="437"/>
      <c r="BA82" s="437"/>
      <c r="BB82" s="1327"/>
      <c r="BC82" s="437"/>
      <c r="BD82" s="437"/>
      <c r="BE82" s="437"/>
      <c r="BF82" s="437"/>
      <c r="BG82" s="437"/>
      <c r="BH82" s="437"/>
      <c r="BI82" s="437"/>
      <c r="BJ82" s="437"/>
      <c r="BK82" s="437"/>
      <c r="BL82" s="437"/>
      <c r="BM82" s="1327"/>
      <c r="BN82" s="1327"/>
      <c r="BO82" s="1327"/>
      <c r="BP82" s="1327"/>
      <c r="BQ82" s="1327"/>
      <c r="BR82" s="1327"/>
      <c r="BS82" s="1327"/>
      <c r="BT82" s="1327"/>
      <c r="BU82" s="1327"/>
      <c r="BV82" s="1327"/>
      <c r="BW82" s="1327"/>
      <c r="BX82" s="1327"/>
      <c r="BY82" s="1327"/>
      <c r="BZ82" s="1327"/>
      <c r="CA82" s="1327"/>
      <c r="CB82" s="1327"/>
      <c r="CC82" s="1327"/>
      <c r="CD82" s="1327"/>
      <c r="CE82" s="1327"/>
      <c r="CF82" s="1327"/>
      <c r="CG82" s="1327"/>
      <c r="CH82" s="1327"/>
      <c r="CI82" s="1327"/>
      <c r="CJ82" s="1327"/>
      <c r="CK82" s="1327"/>
      <c r="CL82" s="1327"/>
      <c r="CM82" s="1327"/>
      <c r="CN82" s="1327"/>
      <c r="CO82" s="1327"/>
      <c r="CP82" s="1327"/>
      <c r="CQ82" s="1327"/>
      <c r="CR82" s="1327"/>
      <c r="CS82" s="1327"/>
      <c r="CT82" s="1317"/>
      <c r="CU82" s="419"/>
      <c r="CV82" s="419"/>
      <c r="CW82" s="419"/>
      <c r="CX82" s="419"/>
      <c r="CY82" s="419"/>
      <c r="CZ82" s="419"/>
      <c r="DA82" s="419"/>
      <c r="DB82" s="419"/>
      <c r="DC82" s="419"/>
      <c r="DD82" s="419"/>
      <c r="DE82" s="419"/>
      <c r="DF82" s="419"/>
      <c r="DG82" s="419"/>
    </row>
    <row r="83" ht="18.75" customHeight="1">
      <c r="G83" s="1344"/>
      <c r="H83" s="1345">
        <f t="shared" si="4"/>
        <v>0</v>
      </c>
      <c r="I83" s="1381"/>
      <c r="J83" s="1381"/>
      <c r="K83" s="1381"/>
      <c r="L83" s="1381"/>
      <c r="M83" s="1381"/>
      <c r="N83" s="1381"/>
      <c r="O83" s="1381"/>
      <c r="P83" s="1381"/>
      <c r="Q83" s="1381"/>
      <c r="R83" s="1381"/>
      <c r="T83" s="1349"/>
      <c r="U83" s="1349" t="s">
        <v>123</v>
      </c>
      <c r="V83" s="1349" t="s">
        <v>123</v>
      </c>
      <c r="W83" s="1349"/>
      <c r="X83" s="1349"/>
      <c r="Y83" s="1308"/>
      <c r="Z83" s="437" t="str">
        <f>IFERROR(__xludf.DUMMYFUNCTION("IF(NOT('portfólio'!$AV$7),"""",IF($T83="""","""",IFERROR(query({AtivosDados},""select sum(""&amp;Z$3&amp;"") where Col1='""&amp;$T83&amp;""' label sum(""&amp;Z$3&amp;"") ''""),0)))"),"")</f>
        <v/>
      </c>
      <c r="AA83" s="437" t="str">
        <f>IFERROR(__xludf.DUMMYFUNCTION("IF(NOT('portfólio'!$AV$7),"""",IF($T83="""","""",IFERROR(query({AtivosDados},""select sum(""&amp;AA$3&amp;"") where Col1='""&amp;$T83&amp;""' label sum(""&amp;AA$3&amp;"") ''""),0)))"),"")</f>
        <v/>
      </c>
      <c r="AB83" s="437" t="str">
        <f>IFERROR(__xludf.DUMMYFUNCTION("IF(NOT('portfólio'!$AV$7),"""",IF($T83="""","""",IFERROR(query({AtivosDados},""select sum(""&amp;AB$3&amp;"") where Col1='""&amp;$T83&amp;""' label sum(""&amp;AB$3&amp;"") ''""),0)))"),"")</f>
        <v/>
      </c>
      <c r="AC83" s="437" t="str">
        <f>IFERROR(__xludf.DUMMYFUNCTION("IF(NOT('portfólio'!$AV$7),"""",IF($T83="""","""",IFERROR(query({AtivosDados},""select sum(""&amp;AC$3&amp;"") where Col1='""&amp;$T83&amp;""' label sum(""&amp;AC$3&amp;"") ''""),0)))"),"")</f>
        <v/>
      </c>
      <c r="AD83" s="437" t="str">
        <f>IFERROR(__xludf.DUMMYFUNCTION("IF(NOT('portfólio'!$AV$7),"""",IF($T83="""","""",IFERROR(query({AtivosDados},""select sum(""&amp;AD$3&amp;"") where Col1='""&amp;$T83&amp;""' label sum(""&amp;AD$3&amp;"") ''""),0)))"),"")</f>
        <v/>
      </c>
      <c r="AE83" s="437"/>
      <c r="AF83" s="1327"/>
      <c r="AG83" s="437"/>
      <c r="AH83" s="437"/>
      <c r="AI83" s="437"/>
      <c r="AJ83" s="437"/>
      <c r="AK83" s="437"/>
      <c r="AL83" s="437"/>
      <c r="AM83" s="437"/>
      <c r="AN83" s="437"/>
      <c r="AO83" s="437"/>
      <c r="AP83" s="437"/>
      <c r="AQ83" s="1327"/>
      <c r="AR83" s="437"/>
      <c r="AS83" s="437"/>
      <c r="AT83" s="437"/>
      <c r="AU83" s="437"/>
      <c r="AV83" s="437"/>
      <c r="AW83" s="437"/>
      <c r="AX83" s="437"/>
      <c r="AY83" s="437"/>
      <c r="AZ83" s="437"/>
      <c r="BA83" s="437"/>
      <c r="BB83" s="1327"/>
      <c r="BC83" s="437"/>
      <c r="BD83" s="437"/>
      <c r="BE83" s="437"/>
      <c r="BF83" s="437"/>
      <c r="BG83" s="437"/>
      <c r="BH83" s="437"/>
      <c r="BI83" s="437"/>
      <c r="BJ83" s="437"/>
      <c r="BK83" s="437"/>
      <c r="BL83" s="437"/>
      <c r="BM83" s="1327"/>
      <c r="BN83" s="1327"/>
      <c r="BO83" s="1327"/>
      <c r="BP83" s="1327"/>
      <c r="BQ83" s="1327"/>
      <c r="BR83" s="1327"/>
      <c r="BS83" s="1327"/>
      <c r="BT83" s="1327"/>
      <c r="BU83" s="1327"/>
      <c r="BV83" s="1327"/>
      <c r="BW83" s="1327"/>
      <c r="BX83" s="1327"/>
      <c r="BY83" s="1327"/>
      <c r="BZ83" s="1327"/>
      <c r="CA83" s="1327"/>
      <c r="CB83" s="1327"/>
      <c r="CC83" s="1327"/>
      <c r="CD83" s="1327"/>
      <c r="CE83" s="1327"/>
      <c r="CF83" s="1327"/>
      <c r="CG83" s="1327"/>
      <c r="CH83" s="1327"/>
      <c r="CI83" s="1327"/>
      <c r="CJ83" s="1327"/>
      <c r="CK83" s="1327"/>
      <c r="CL83" s="1327"/>
      <c r="CM83" s="1327"/>
      <c r="CN83" s="1327"/>
      <c r="CO83" s="1327"/>
      <c r="CP83" s="1327"/>
      <c r="CQ83" s="1327"/>
      <c r="CR83" s="1327"/>
      <c r="CS83" s="1327"/>
      <c r="CT83" s="1317"/>
      <c r="CU83" s="419"/>
      <c r="CV83" s="419"/>
      <c r="CW83" s="419"/>
      <c r="CX83" s="419"/>
      <c r="CY83" s="419"/>
      <c r="CZ83" s="419"/>
      <c r="DA83" s="419"/>
      <c r="DB83" s="419"/>
      <c r="DC83" s="419"/>
      <c r="DD83" s="419"/>
      <c r="DE83" s="419"/>
      <c r="DF83" s="419"/>
      <c r="DG83" s="419"/>
    </row>
    <row r="84" ht="18.75" customHeight="1">
      <c r="G84" s="1344"/>
      <c r="H84" s="1345">
        <f t="shared" si="4"/>
        <v>0</v>
      </c>
      <c r="I84" s="1381"/>
      <c r="J84" s="1381"/>
      <c r="K84" s="1381"/>
      <c r="L84" s="1381"/>
      <c r="M84" s="1381"/>
      <c r="N84" s="1381"/>
      <c r="O84" s="1381"/>
      <c r="P84" s="1381"/>
      <c r="Q84" s="1381"/>
      <c r="R84" s="1381"/>
      <c r="T84" s="1349"/>
      <c r="U84" s="1349" t="s">
        <v>123</v>
      </c>
      <c r="V84" s="1349" t="s">
        <v>123</v>
      </c>
      <c r="W84" s="1349"/>
      <c r="X84" s="1349"/>
      <c r="Y84" s="1308"/>
      <c r="Z84" s="437" t="str">
        <f>IFERROR(__xludf.DUMMYFUNCTION("IF(NOT('portfólio'!$AV$7),"""",IF($T84="""","""",IFERROR(query({AtivosDados},""select sum(""&amp;Z$3&amp;"") where Col1='""&amp;$T84&amp;""' label sum(""&amp;Z$3&amp;"") ''""),0)))"),"")</f>
        <v/>
      </c>
      <c r="AA84" s="437" t="str">
        <f>IFERROR(__xludf.DUMMYFUNCTION("IF(NOT('portfólio'!$AV$7),"""",IF($T84="""","""",IFERROR(query({AtivosDados},""select sum(""&amp;AA$3&amp;"") where Col1='""&amp;$T84&amp;""' label sum(""&amp;AA$3&amp;"") ''""),0)))"),"")</f>
        <v/>
      </c>
      <c r="AB84" s="437" t="str">
        <f>IFERROR(__xludf.DUMMYFUNCTION("IF(NOT('portfólio'!$AV$7),"""",IF($T84="""","""",IFERROR(query({AtivosDados},""select sum(""&amp;AB$3&amp;"") where Col1='""&amp;$T84&amp;""' label sum(""&amp;AB$3&amp;"") ''""),0)))"),"")</f>
        <v/>
      </c>
      <c r="AC84" s="437" t="str">
        <f>IFERROR(__xludf.DUMMYFUNCTION("IF(NOT('portfólio'!$AV$7),"""",IF($T84="""","""",IFERROR(query({AtivosDados},""select sum(""&amp;AC$3&amp;"") where Col1='""&amp;$T84&amp;""' label sum(""&amp;AC$3&amp;"") ''""),0)))"),"")</f>
        <v/>
      </c>
      <c r="AD84" s="437" t="str">
        <f>IFERROR(__xludf.DUMMYFUNCTION("IF(NOT('portfólio'!$AV$7),"""",IF($T84="""","""",IFERROR(query({AtivosDados},""select sum(""&amp;AD$3&amp;"") where Col1='""&amp;$T84&amp;""' label sum(""&amp;AD$3&amp;"") ''""),0)))"),"")</f>
        <v/>
      </c>
      <c r="AE84" s="437"/>
      <c r="AF84" s="1327"/>
      <c r="AG84" s="437"/>
      <c r="AH84" s="437"/>
      <c r="AI84" s="437"/>
      <c r="AJ84" s="437"/>
      <c r="AK84" s="437"/>
      <c r="AL84" s="437"/>
      <c r="AM84" s="437"/>
      <c r="AN84" s="437"/>
      <c r="AO84" s="437"/>
      <c r="AP84" s="437"/>
      <c r="AQ84" s="1327"/>
      <c r="AR84" s="437"/>
      <c r="AS84" s="437"/>
      <c r="AT84" s="437"/>
      <c r="AU84" s="437"/>
      <c r="AV84" s="437"/>
      <c r="AW84" s="437"/>
      <c r="AX84" s="437"/>
      <c r="AY84" s="437"/>
      <c r="AZ84" s="437"/>
      <c r="BA84" s="437"/>
      <c r="BB84" s="1327"/>
      <c r="BC84" s="437"/>
      <c r="BD84" s="437"/>
      <c r="BE84" s="437"/>
      <c r="BF84" s="437"/>
      <c r="BG84" s="437"/>
      <c r="BH84" s="437"/>
      <c r="BI84" s="437"/>
      <c r="BJ84" s="437"/>
      <c r="BK84" s="437"/>
      <c r="BL84" s="437"/>
      <c r="BM84" s="1327"/>
      <c r="BN84" s="1327"/>
      <c r="BO84" s="1327"/>
      <c r="BP84" s="1327"/>
      <c r="BQ84" s="1327"/>
      <c r="BR84" s="1327"/>
      <c r="BS84" s="1327"/>
      <c r="BT84" s="1327"/>
      <c r="BU84" s="1327"/>
      <c r="BV84" s="1327"/>
      <c r="BW84" s="1327"/>
      <c r="BX84" s="1327"/>
      <c r="BY84" s="1327"/>
      <c r="BZ84" s="1327"/>
      <c r="CA84" s="1327"/>
      <c r="CB84" s="1327"/>
      <c r="CC84" s="1327"/>
      <c r="CD84" s="1327"/>
      <c r="CE84" s="1327"/>
      <c r="CF84" s="1327"/>
      <c r="CG84" s="1327"/>
      <c r="CH84" s="1327"/>
      <c r="CI84" s="1327"/>
      <c r="CJ84" s="1327"/>
      <c r="CK84" s="1327"/>
      <c r="CL84" s="1327"/>
      <c r="CM84" s="1327"/>
      <c r="CN84" s="1327"/>
      <c r="CO84" s="1327"/>
      <c r="CP84" s="1327"/>
      <c r="CQ84" s="1327"/>
      <c r="CR84" s="1327"/>
      <c r="CS84" s="1327"/>
      <c r="CT84" s="1317"/>
      <c r="CU84" s="419"/>
      <c r="CV84" s="419"/>
      <c r="CW84" s="419"/>
      <c r="CX84" s="419"/>
      <c r="CY84" s="419"/>
      <c r="CZ84" s="419"/>
      <c r="DA84" s="419"/>
      <c r="DB84" s="419"/>
      <c r="DC84" s="419"/>
      <c r="DD84" s="419"/>
      <c r="DE84" s="419"/>
      <c r="DF84" s="419"/>
      <c r="DG84" s="419"/>
    </row>
    <row r="85" ht="18.75" customHeight="1">
      <c r="G85" s="1344"/>
      <c r="H85" s="1345">
        <f t="shared" si="4"/>
        <v>0</v>
      </c>
      <c r="I85" s="1381"/>
      <c r="J85" s="1381"/>
      <c r="K85" s="1381"/>
      <c r="L85" s="1381"/>
      <c r="M85" s="1381"/>
      <c r="N85" s="1381"/>
      <c r="O85" s="1381"/>
      <c r="P85" s="1381"/>
      <c r="Q85" s="1381"/>
      <c r="R85" s="1381"/>
      <c r="T85" s="1349"/>
      <c r="U85" s="1349" t="s">
        <v>123</v>
      </c>
      <c r="V85" s="1349" t="s">
        <v>123</v>
      </c>
      <c r="W85" s="1349"/>
      <c r="X85" s="1349"/>
      <c r="Y85" s="1308"/>
      <c r="Z85" s="437" t="str">
        <f>IFERROR(__xludf.DUMMYFUNCTION("IF(NOT('portfólio'!$AV$7),"""",IF($T85="""","""",IFERROR(query({AtivosDados},""select sum(""&amp;Z$3&amp;"") where Col1='""&amp;$T85&amp;""' label sum(""&amp;Z$3&amp;"") ''""),0)))"),"")</f>
        <v/>
      </c>
      <c r="AA85" s="437" t="str">
        <f>IFERROR(__xludf.DUMMYFUNCTION("IF(NOT('portfólio'!$AV$7),"""",IF($T85="""","""",IFERROR(query({AtivosDados},""select sum(""&amp;AA$3&amp;"") where Col1='""&amp;$T85&amp;""' label sum(""&amp;AA$3&amp;"") ''""),0)))"),"")</f>
        <v/>
      </c>
      <c r="AB85" s="437" t="str">
        <f>IFERROR(__xludf.DUMMYFUNCTION("IF(NOT('portfólio'!$AV$7),"""",IF($T85="""","""",IFERROR(query({AtivosDados},""select sum(""&amp;AB$3&amp;"") where Col1='""&amp;$T85&amp;""' label sum(""&amp;AB$3&amp;"") ''""),0)))"),"")</f>
        <v/>
      </c>
      <c r="AC85" s="437" t="str">
        <f>IFERROR(__xludf.DUMMYFUNCTION("IF(NOT('portfólio'!$AV$7),"""",IF($T85="""","""",IFERROR(query({AtivosDados},""select sum(""&amp;AC$3&amp;"") where Col1='""&amp;$T85&amp;""' label sum(""&amp;AC$3&amp;"") ''""),0)))"),"")</f>
        <v/>
      </c>
      <c r="AD85" s="437" t="str">
        <f>IFERROR(__xludf.DUMMYFUNCTION("IF(NOT('portfólio'!$AV$7),"""",IF($T85="""","""",IFERROR(query({AtivosDados},""select sum(""&amp;AD$3&amp;"") where Col1='""&amp;$T85&amp;""' label sum(""&amp;AD$3&amp;"") ''""),0)))"),"")</f>
        <v/>
      </c>
      <c r="AE85" s="437"/>
      <c r="AF85" s="1327"/>
      <c r="AG85" s="437"/>
      <c r="AH85" s="437"/>
      <c r="AI85" s="437"/>
      <c r="AJ85" s="437"/>
      <c r="AK85" s="437"/>
      <c r="AL85" s="437"/>
      <c r="AM85" s="437"/>
      <c r="AN85" s="437"/>
      <c r="AO85" s="437"/>
      <c r="AP85" s="437"/>
      <c r="AQ85" s="1327"/>
      <c r="AR85" s="437"/>
      <c r="AS85" s="437"/>
      <c r="AT85" s="437"/>
      <c r="AU85" s="437"/>
      <c r="AV85" s="437"/>
      <c r="AW85" s="437"/>
      <c r="AX85" s="437"/>
      <c r="AY85" s="437"/>
      <c r="AZ85" s="437"/>
      <c r="BA85" s="437"/>
      <c r="BB85" s="1327"/>
      <c r="BC85" s="437"/>
      <c r="BD85" s="437"/>
      <c r="BE85" s="437"/>
      <c r="BF85" s="437"/>
      <c r="BG85" s="437"/>
      <c r="BH85" s="437"/>
      <c r="BI85" s="437"/>
      <c r="BJ85" s="437"/>
      <c r="BK85" s="437"/>
      <c r="BL85" s="437"/>
      <c r="BM85" s="1327"/>
      <c r="BN85" s="1327"/>
      <c r="BO85" s="1327"/>
      <c r="BP85" s="1327"/>
      <c r="BQ85" s="1327"/>
      <c r="BR85" s="1327"/>
      <c r="BS85" s="1327"/>
      <c r="BT85" s="1327"/>
      <c r="BU85" s="1327"/>
      <c r="BV85" s="1327"/>
      <c r="BW85" s="1327"/>
      <c r="BX85" s="1327"/>
      <c r="BY85" s="1327"/>
      <c r="BZ85" s="1327"/>
      <c r="CA85" s="1327"/>
      <c r="CB85" s="1327"/>
      <c r="CC85" s="1327"/>
      <c r="CD85" s="1327"/>
      <c r="CE85" s="1327"/>
      <c r="CF85" s="1327"/>
      <c r="CG85" s="1327"/>
      <c r="CH85" s="1327"/>
      <c r="CI85" s="1327"/>
      <c r="CJ85" s="1327"/>
      <c r="CK85" s="1327"/>
      <c r="CL85" s="1327"/>
      <c r="CM85" s="1327"/>
      <c r="CN85" s="1327"/>
      <c r="CO85" s="1327"/>
      <c r="CP85" s="1327"/>
      <c r="CQ85" s="1327"/>
      <c r="CR85" s="1327"/>
      <c r="CS85" s="1327"/>
      <c r="CT85" s="1317"/>
      <c r="CU85" s="419"/>
      <c r="CV85" s="419"/>
      <c r="CW85" s="419"/>
      <c r="CX85" s="419"/>
      <c r="CY85" s="419"/>
      <c r="CZ85" s="419"/>
      <c r="DA85" s="419"/>
      <c r="DB85" s="419"/>
      <c r="DC85" s="419"/>
      <c r="DD85" s="419"/>
      <c r="DE85" s="419"/>
      <c r="DF85" s="419"/>
      <c r="DG85" s="419"/>
    </row>
    <row r="86" ht="18.75" customHeight="1">
      <c r="G86" s="1344"/>
      <c r="H86" s="1345">
        <f t="shared" si="4"/>
        <v>0</v>
      </c>
      <c r="I86" s="1381"/>
      <c r="J86" s="1381"/>
      <c r="K86" s="1381"/>
      <c r="L86" s="1381"/>
      <c r="M86" s="1381"/>
      <c r="N86" s="1381"/>
      <c r="O86" s="1381"/>
      <c r="P86" s="1381"/>
      <c r="Q86" s="1381"/>
      <c r="R86" s="1381"/>
      <c r="T86" s="1349"/>
      <c r="U86" s="1349" t="s">
        <v>123</v>
      </c>
      <c r="V86" s="1349" t="s">
        <v>123</v>
      </c>
      <c r="W86" s="1349"/>
      <c r="X86" s="1349"/>
      <c r="Y86" s="1308"/>
      <c r="Z86" s="437" t="str">
        <f>IFERROR(__xludf.DUMMYFUNCTION("IF(NOT('portfólio'!$AV$7),"""",IF($T86="""","""",IFERROR(query({AtivosDados},""select sum(""&amp;Z$3&amp;"") where Col1='""&amp;$T86&amp;""' label sum(""&amp;Z$3&amp;"") ''""),0)))"),"")</f>
        <v/>
      </c>
      <c r="AA86" s="437" t="str">
        <f>IFERROR(__xludf.DUMMYFUNCTION("IF(NOT('portfólio'!$AV$7),"""",IF($T86="""","""",IFERROR(query({AtivosDados},""select sum(""&amp;AA$3&amp;"") where Col1='""&amp;$T86&amp;""' label sum(""&amp;AA$3&amp;"") ''""),0)))"),"")</f>
        <v/>
      </c>
      <c r="AB86" s="437" t="str">
        <f>IFERROR(__xludf.DUMMYFUNCTION("IF(NOT('portfólio'!$AV$7),"""",IF($T86="""","""",IFERROR(query({AtivosDados},""select sum(""&amp;AB$3&amp;"") where Col1='""&amp;$T86&amp;""' label sum(""&amp;AB$3&amp;"") ''""),0)))"),"")</f>
        <v/>
      </c>
      <c r="AC86" s="437" t="str">
        <f>IFERROR(__xludf.DUMMYFUNCTION("IF(NOT('portfólio'!$AV$7),"""",IF($T86="""","""",IFERROR(query({AtivosDados},""select sum(""&amp;AC$3&amp;"") where Col1='""&amp;$T86&amp;""' label sum(""&amp;AC$3&amp;"") ''""),0)))"),"")</f>
        <v/>
      </c>
      <c r="AD86" s="437" t="str">
        <f>IFERROR(__xludf.DUMMYFUNCTION("IF(NOT('portfólio'!$AV$7),"""",IF($T86="""","""",IFERROR(query({AtivosDados},""select sum(""&amp;AD$3&amp;"") where Col1='""&amp;$T86&amp;""' label sum(""&amp;AD$3&amp;"") ''""),0)))"),"")</f>
        <v/>
      </c>
      <c r="AE86" s="437"/>
      <c r="AF86" s="1327"/>
      <c r="AG86" s="437"/>
      <c r="AH86" s="437"/>
      <c r="AI86" s="437"/>
      <c r="AJ86" s="437"/>
      <c r="AK86" s="437"/>
      <c r="AL86" s="437"/>
      <c r="AM86" s="437"/>
      <c r="AN86" s="437"/>
      <c r="AO86" s="437"/>
      <c r="AP86" s="437"/>
      <c r="AQ86" s="1327"/>
      <c r="AR86" s="437"/>
      <c r="AS86" s="437"/>
      <c r="AT86" s="437"/>
      <c r="AU86" s="437"/>
      <c r="AV86" s="437"/>
      <c r="AW86" s="437"/>
      <c r="AX86" s="437"/>
      <c r="AY86" s="437"/>
      <c r="AZ86" s="437"/>
      <c r="BA86" s="437"/>
      <c r="BB86" s="1327"/>
      <c r="BC86" s="437"/>
      <c r="BD86" s="437"/>
      <c r="BE86" s="437"/>
      <c r="BF86" s="437"/>
      <c r="BG86" s="437"/>
      <c r="BH86" s="437"/>
      <c r="BI86" s="437"/>
      <c r="BJ86" s="437"/>
      <c r="BK86" s="437"/>
      <c r="BL86" s="437"/>
      <c r="BM86" s="1327"/>
      <c r="BN86" s="1327"/>
      <c r="BO86" s="1327"/>
      <c r="BP86" s="1327"/>
      <c r="BQ86" s="1327"/>
      <c r="BR86" s="1327"/>
      <c r="BS86" s="1327"/>
      <c r="BT86" s="1327"/>
      <c r="BU86" s="1327"/>
      <c r="BV86" s="1327"/>
      <c r="BW86" s="1327"/>
      <c r="BX86" s="1327"/>
      <c r="BY86" s="1327"/>
      <c r="BZ86" s="1327"/>
      <c r="CA86" s="1327"/>
      <c r="CB86" s="1327"/>
      <c r="CC86" s="1327"/>
      <c r="CD86" s="1327"/>
      <c r="CE86" s="1327"/>
      <c r="CF86" s="1327"/>
      <c r="CG86" s="1327"/>
      <c r="CH86" s="1327"/>
      <c r="CI86" s="1327"/>
      <c r="CJ86" s="1327"/>
      <c r="CK86" s="1327"/>
      <c r="CL86" s="1327"/>
      <c r="CM86" s="1327"/>
      <c r="CN86" s="1327"/>
      <c r="CO86" s="1327"/>
      <c r="CP86" s="1327"/>
      <c r="CQ86" s="1327"/>
      <c r="CR86" s="1327"/>
      <c r="CS86" s="1327"/>
      <c r="CT86" s="1317"/>
      <c r="CU86" s="419"/>
      <c r="CV86" s="419"/>
      <c r="CW86" s="419"/>
      <c r="CX86" s="419"/>
      <c r="CY86" s="419"/>
      <c r="CZ86" s="419"/>
      <c r="DA86" s="419"/>
      <c r="DB86" s="419"/>
      <c r="DC86" s="419"/>
      <c r="DD86" s="419"/>
      <c r="DE86" s="419"/>
      <c r="DF86" s="419"/>
      <c r="DG86" s="419"/>
    </row>
    <row r="87" ht="18.75" customHeight="1">
      <c r="G87" s="1344"/>
      <c r="H87" s="1345">
        <f t="shared" si="4"/>
        <v>0</v>
      </c>
      <c r="I87" s="1381"/>
      <c r="J87" s="1381"/>
      <c r="K87" s="1381"/>
      <c r="L87" s="1381"/>
      <c r="M87" s="1381"/>
      <c r="N87" s="1381"/>
      <c r="O87" s="1381"/>
      <c r="P87" s="1381"/>
      <c r="Q87" s="1381"/>
      <c r="R87" s="1381"/>
      <c r="T87" s="1349"/>
      <c r="U87" s="1349" t="s">
        <v>123</v>
      </c>
      <c r="V87" s="1349" t="s">
        <v>123</v>
      </c>
      <c r="W87" s="1349"/>
      <c r="X87" s="1349"/>
      <c r="Y87" s="1308"/>
      <c r="Z87" s="437" t="str">
        <f>IFERROR(__xludf.DUMMYFUNCTION("IF(NOT('portfólio'!$AV$7),"""",IF($T87="""","""",IFERROR(query({AtivosDados},""select sum(""&amp;Z$3&amp;"") where Col1='""&amp;$T87&amp;""' label sum(""&amp;Z$3&amp;"") ''""),0)))"),"")</f>
        <v/>
      </c>
      <c r="AA87" s="437" t="str">
        <f>IFERROR(__xludf.DUMMYFUNCTION("IF(NOT('portfólio'!$AV$7),"""",IF($T87="""","""",IFERROR(query({AtivosDados},""select sum(""&amp;AA$3&amp;"") where Col1='""&amp;$T87&amp;""' label sum(""&amp;AA$3&amp;"") ''""),0)))"),"")</f>
        <v/>
      </c>
      <c r="AB87" s="437" t="str">
        <f>IFERROR(__xludf.DUMMYFUNCTION("IF(NOT('portfólio'!$AV$7),"""",IF($T87="""","""",IFERROR(query({AtivosDados},""select sum(""&amp;AB$3&amp;"") where Col1='""&amp;$T87&amp;""' label sum(""&amp;AB$3&amp;"") ''""),0)))"),"")</f>
        <v/>
      </c>
      <c r="AC87" s="437" t="str">
        <f>IFERROR(__xludf.DUMMYFUNCTION("IF(NOT('portfólio'!$AV$7),"""",IF($T87="""","""",IFERROR(query({AtivosDados},""select sum(""&amp;AC$3&amp;"") where Col1='""&amp;$T87&amp;""' label sum(""&amp;AC$3&amp;"") ''""),0)))"),"")</f>
        <v/>
      </c>
      <c r="AD87" s="437" t="str">
        <f>IFERROR(__xludf.DUMMYFUNCTION("IF(NOT('portfólio'!$AV$7),"""",IF($T87="""","""",IFERROR(query({AtivosDados},""select sum(""&amp;AD$3&amp;"") where Col1='""&amp;$T87&amp;""' label sum(""&amp;AD$3&amp;"") ''""),0)))"),"")</f>
        <v/>
      </c>
      <c r="AE87" s="437"/>
      <c r="AF87" s="1327"/>
      <c r="AG87" s="437"/>
      <c r="AH87" s="437"/>
      <c r="AI87" s="437"/>
      <c r="AJ87" s="437"/>
      <c r="AK87" s="437"/>
      <c r="AL87" s="437"/>
      <c r="AM87" s="437"/>
      <c r="AN87" s="437"/>
      <c r="AO87" s="437"/>
      <c r="AP87" s="437"/>
      <c r="AQ87" s="1327"/>
      <c r="AR87" s="437"/>
      <c r="AS87" s="437"/>
      <c r="AT87" s="437"/>
      <c r="AU87" s="437"/>
      <c r="AV87" s="437"/>
      <c r="AW87" s="437"/>
      <c r="AX87" s="437"/>
      <c r="AY87" s="437"/>
      <c r="AZ87" s="437"/>
      <c r="BA87" s="437"/>
      <c r="BB87" s="1327"/>
      <c r="BC87" s="437"/>
      <c r="BD87" s="437"/>
      <c r="BE87" s="437"/>
      <c r="BF87" s="437"/>
      <c r="BG87" s="437"/>
      <c r="BH87" s="437"/>
      <c r="BI87" s="437"/>
      <c r="BJ87" s="437"/>
      <c r="BK87" s="437"/>
      <c r="BL87" s="437"/>
      <c r="BM87" s="1327"/>
      <c r="BN87" s="1327"/>
      <c r="BO87" s="1327"/>
      <c r="BP87" s="1327"/>
      <c r="BQ87" s="1327"/>
      <c r="BR87" s="1327"/>
      <c r="BS87" s="1327"/>
      <c r="BT87" s="1327"/>
      <c r="BU87" s="1327"/>
      <c r="BV87" s="1327"/>
      <c r="BW87" s="1327"/>
      <c r="BX87" s="1327"/>
      <c r="BY87" s="1327"/>
      <c r="BZ87" s="1327"/>
      <c r="CA87" s="1327"/>
      <c r="CB87" s="1327"/>
      <c r="CC87" s="1327"/>
      <c r="CD87" s="1327"/>
      <c r="CE87" s="1327"/>
      <c r="CF87" s="1327"/>
      <c r="CG87" s="1327"/>
      <c r="CH87" s="1327"/>
      <c r="CI87" s="1327"/>
      <c r="CJ87" s="1327"/>
      <c r="CK87" s="1327"/>
      <c r="CL87" s="1327"/>
      <c r="CM87" s="1327"/>
      <c r="CN87" s="1327"/>
      <c r="CO87" s="1327"/>
      <c r="CP87" s="1327"/>
      <c r="CQ87" s="1327"/>
      <c r="CR87" s="1327"/>
      <c r="CS87" s="1327"/>
      <c r="CT87" s="1317"/>
      <c r="CU87" s="419"/>
      <c r="CV87" s="419"/>
      <c r="CW87" s="419"/>
      <c r="CX87" s="419"/>
      <c r="CY87" s="419"/>
      <c r="CZ87" s="419"/>
      <c r="DA87" s="419"/>
      <c r="DB87" s="419"/>
      <c r="DC87" s="419"/>
      <c r="DD87" s="419"/>
      <c r="DE87" s="419"/>
      <c r="DF87" s="419"/>
      <c r="DG87" s="419"/>
    </row>
    <row r="88" ht="18.75" customHeight="1">
      <c r="G88" s="1344"/>
      <c r="H88" s="1345">
        <f t="shared" si="4"/>
        <v>0</v>
      </c>
      <c r="I88" s="1381"/>
      <c r="J88" s="1381"/>
      <c r="K88" s="1381"/>
      <c r="L88" s="1381"/>
      <c r="M88" s="1381"/>
      <c r="N88" s="1381"/>
      <c r="O88" s="1381"/>
      <c r="P88" s="1381"/>
      <c r="Q88" s="1381"/>
      <c r="R88" s="1381"/>
      <c r="T88" s="1349"/>
      <c r="U88" s="1349" t="s">
        <v>123</v>
      </c>
      <c r="V88" s="1349" t="s">
        <v>123</v>
      </c>
      <c r="W88" s="1349"/>
      <c r="X88" s="1349"/>
      <c r="Y88" s="1308"/>
      <c r="Z88" s="437" t="str">
        <f>IFERROR(__xludf.DUMMYFUNCTION("IF(NOT('portfólio'!$AV$7),"""",IF($T88="""","""",IFERROR(query({AtivosDados},""select sum(""&amp;Z$3&amp;"") where Col1='""&amp;$T88&amp;""' label sum(""&amp;Z$3&amp;"") ''""),0)))"),"")</f>
        <v/>
      </c>
      <c r="AA88" s="437" t="str">
        <f>IFERROR(__xludf.DUMMYFUNCTION("IF(NOT('portfólio'!$AV$7),"""",IF($T88="""","""",IFERROR(query({AtivosDados},""select sum(""&amp;AA$3&amp;"") where Col1='""&amp;$T88&amp;""' label sum(""&amp;AA$3&amp;"") ''""),0)))"),"")</f>
        <v/>
      </c>
      <c r="AB88" s="437" t="str">
        <f>IFERROR(__xludf.DUMMYFUNCTION("IF(NOT('portfólio'!$AV$7),"""",IF($T88="""","""",IFERROR(query({AtivosDados},""select sum(""&amp;AB$3&amp;"") where Col1='""&amp;$T88&amp;""' label sum(""&amp;AB$3&amp;"") ''""),0)))"),"")</f>
        <v/>
      </c>
      <c r="AC88" s="437" t="str">
        <f>IFERROR(__xludf.DUMMYFUNCTION("IF(NOT('portfólio'!$AV$7),"""",IF($T88="""","""",IFERROR(query({AtivosDados},""select sum(""&amp;AC$3&amp;"") where Col1='""&amp;$T88&amp;""' label sum(""&amp;AC$3&amp;"") ''""),0)))"),"")</f>
        <v/>
      </c>
      <c r="AD88" s="437" t="str">
        <f>IFERROR(__xludf.DUMMYFUNCTION("IF(NOT('portfólio'!$AV$7),"""",IF($T88="""","""",IFERROR(query({AtivosDados},""select sum(""&amp;AD$3&amp;"") where Col1='""&amp;$T88&amp;""' label sum(""&amp;AD$3&amp;"") ''""),0)))"),"")</f>
        <v/>
      </c>
      <c r="AE88" s="437"/>
      <c r="AF88" s="1327"/>
      <c r="AG88" s="437"/>
      <c r="AH88" s="437"/>
      <c r="AI88" s="437"/>
      <c r="AJ88" s="437"/>
      <c r="AK88" s="437"/>
      <c r="AL88" s="437"/>
      <c r="AM88" s="437"/>
      <c r="AN88" s="437"/>
      <c r="AO88" s="437"/>
      <c r="AP88" s="437"/>
      <c r="AQ88" s="1327"/>
      <c r="AR88" s="437"/>
      <c r="AS88" s="437"/>
      <c r="AT88" s="437"/>
      <c r="AU88" s="437"/>
      <c r="AV88" s="437"/>
      <c r="AW88" s="437"/>
      <c r="AX88" s="437"/>
      <c r="AY88" s="437"/>
      <c r="AZ88" s="437"/>
      <c r="BA88" s="437"/>
      <c r="BB88" s="1327"/>
      <c r="BC88" s="437"/>
      <c r="BD88" s="437"/>
      <c r="BE88" s="437"/>
      <c r="BF88" s="437"/>
      <c r="BG88" s="437"/>
      <c r="BH88" s="437"/>
      <c r="BI88" s="437"/>
      <c r="BJ88" s="437"/>
      <c r="BK88" s="437"/>
      <c r="BL88" s="437"/>
      <c r="BM88" s="1327"/>
      <c r="BN88" s="1327"/>
      <c r="BO88" s="1327"/>
      <c r="BP88" s="1327"/>
      <c r="BQ88" s="1327"/>
      <c r="BR88" s="1327"/>
      <c r="BS88" s="1327"/>
      <c r="BT88" s="1327"/>
      <c r="BU88" s="1327"/>
      <c r="BV88" s="1327"/>
      <c r="BW88" s="1327"/>
      <c r="BX88" s="1327"/>
      <c r="BY88" s="1327"/>
      <c r="BZ88" s="1327"/>
      <c r="CA88" s="1327"/>
      <c r="CB88" s="1327"/>
      <c r="CC88" s="1327"/>
      <c r="CD88" s="1327"/>
      <c r="CE88" s="1327"/>
      <c r="CF88" s="1327"/>
      <c r="CG88" s="1327"/>
      <c r="CH88" s="1327"/>
      <c r="CI88" s="1327"/>
      <c r="CJ88" s="1327"/>
      <c r="CK88" s="1327"/>
      <c r="CL88" s="1327"/>
      <c r="CM88" s="1327"/>
      <c r="CN88" s="1327"/>
      <c r="CO88" s="1327"/>
      <c r="CP88" s="1327"/>
      <c r="CQ88" s="1327"/>
      <c r="CR88" s="1327"/>
      <c r="CS88" s="1327"/>
      <c r="CT88" s="1317"/>
      <c r="CU88" s="419"/>
      <c r="CV88" s="419"/>
      <c r="CW88" s="419"/>
      <c r="CX88" s="419"/>
      <c r="CY88" s="419"/>
      <c r="CZ88" s="419"/>
      <c r="DA88" s="419"/>
      <c r="DB88" s="419"/>
      <c r="DC88" s="419"/>
      <c r="DD88" s="419"/>
      <c r="DE88" s="419"/>
      <c r="DF88" s="419"/>
      <c r="DG88" s="419"/>
    </row>
    <row r="89" ht="18.75" customHeight="1">
      <c r="G89" s="1344"/>
      <c r="H89" s="1345">
        <f t="shared" si="4"/>
        <v>0</v>
      </c>
      <c r="I89" s="1381"/>
      <c r="J89" s="1381"/>
      <c r="K89" s="1381"/>
      <c r="L89" s="1381"/>
      <c r="M89" s="1381"/>
      <c r="N89" s="1381"/>
      <c r="O89" s="1381"/>
      <c r="P89" s="1381"/>
      <c r="Q89" s="1381"/>
      <c r="R89" s="1381"/>
      <c r="T89" s="1349"/>
      <c r="U89" s="1349" t="s">
        <v>123</v>
      </c>
      <c r="V89" s="1349" t="s">
        <v>123</v>
      </c>
      <c r="W89" s="1349"/>
      <c r="X89" s="1349"/>
      <c r="Y89" s="1308"/>
      <c r="Z89" s="437" t="str">
        <f>IFERROR(__xludf.DUMMYFUNCTION("IF(NOT('portfólio'!$AV$7),"""",IF($T89="""","""",IFERROR(query({AtivosDados},""select sum(""&amp;Z$3&amp;"") where Col1='""&amp;$T89&amp;""' label sum(""&amp;Z$3&amp;"") ''""),0)))"),"")</f>
        <v/>
      </c>
      <c r="AA89" s="437" t="str">
        <f>IFERROR(__xludf.DUMMYFUNCTION("IF(NOT('portfólio'!$AV$7),"""",IF($T89="""","""",IFERROR(query({AtivosDados},""select sum(""&amp;AA$3&amp;"") where Col1='""&amp;$T89&amp;""' label sum(""&amp;AA$3&amp;"") ''""),0)))"),"")</f>
        <v/>
      </c>
      <c r="AB89" s="437" t="str">
        <f>IFERROR(__xludf.DUMMYFUNCTION("IF(NOT('portfólio'!$AV$7),"""",IF($T89="""","""",IFERROR(query({AtivosDados},""select sum(""&amp;AB$3&amp;"") where Col1='""&amp;$T89&amp;""' label sum(""&amp;AB$3&amp;"") ''""),0)))"),"")</f>
        <v/>
      </c>
      <c r="AC89" s="437" t="str">
        <f>IFERROR(__xludf.DUMMYFUNCTION("IF(NOT('portfólio'!$AV$7),"""",IF($T89="""","""",IFERROR(query({AtivosDados},""select sum(""&amp;AC$3&amp;"") where Col1='""&amp;$T89&amp;""' label sum(""&amp;AC$3&amp;"") ''""),0)))"),"")</f>
        <v/>
      </c>
      <c r="AD89" s="437" t="str">
        <f>IFERROR(__xludf.DUMMYFUNCTION("IF(NOT('portfólio'!$AV$7),"""",IF($T89="""","""",IFERROR(query({AtivosDados},""select sum(""&amp;AD$3&amp;"") where Col1='""&amp;$T89&amp;""' label sum(""&amp;AD$3&amp;"") ''""),0)))"),"")</f>
        <v/>
      </c>
      <c r="AE89" s="437"/>
      <c r="AF89" s="1327"/>
      <c r="AG89" s="437"/>
      <c r="AH89" s="437"/>
      <c r="AI89" s="437"/>
      <c r="AJ89" s="437"/>
      <c r="AK89" s="437"/>
      <c r="AL89" s="437"/>
      <c r="AM89" s="437"/>
      <c r="AN89" s="437"/>
      <c r="AO89" s="437"/>
      <c r="AP89" s="437"/>
      <c r="AQ89" s="1327"/>
      <c r="AR89" s="437"/>
      <c r="AS89" s="437"/>
      <c r="AT89" s="437"/>
      <c r="AU89" s="437"/>
      <c r="AV89" s="437"/>
      <c r="AW89" s="437"/>
      <c r="AX89" s="437"/>
      <c r="AY89" s="437"/>
      <c r="AZ89" s="437"/>
      <c r="BA89" s="437"/>
      <c r="BB89" s="1327"/>
      <c r="BC89" s="437"/>
      <c r="BD89" s="437"/>
      <c r="BE89" s="437"/>
      <c r="BF89" s="437"/>
      <c r="BG89" s="437"/>
      <c r="BH89" s="437"/>
      <c r="BI89" s="437"/>
      <c r="BJ89" s="437"/>
      <c r="BK89" s="437"/>
      <c r="BL89" s="437"/>
      <c r="BM89" s="1327"/>
      <c r="BN89" s="1327"/>
      <c r="BO89" s="1327"/>
      <c r="BP89" s="1327"/>
      <c r="BQ89" s="1327"/>
      <c r="BR89" s="1327"/>
      <c r="BS89" s="1327"/>
      <c r="BT89" s="1327"/>
      <c r="BU89" s="1327"/>
      <c r="BV89" s="1327"/>
      <c r="BW89" s="1327"/>
      <c r="BX89" s="1327"/>
      <c r="BY89" s="1327"/>
      <c r="BZ89" s="1327"/>
      <c r="CA89" s="1327"/>
      <c r="CB89" s="1327"/>
      <c r="CC89" s="1327"/>
      <c r="CD89" s="1327"/>
      <c r="CE89" s="1327"/>
      <c r="CF89" s="1327"/>
      <c r="CG89" s="1327"/>
      <c r="CH89" s="1327"/>
      <c r="CI89" s="1327"/>
      <c r="CJ89" s="1327"/>
      <c r="CK89" s="1327"/>
      <c r="CL89" s="1327"/>
      <c r="CM89" s="1327"/>
      <c r="CN89" s="1327"/>
      <c r="CO89" s="1327"/>
      <c r="CP89" s="1327"/>
      <c r="CQ89" s="1327"/>
      <c r="CR89" s="1327"/>
      <c r="CS89" s="1327"/>
      <c r="CT89" s="1317"/>
      <c r="CU89" s="419"/>
      <c r="CV89" s="419"/>
      <c r="CW89" s="419"/>
      <c r="CX89" s="419"/>
      <c r="CY89" s="419"/>
      <c r="CZ89" s="419"/>
      <c r="DA89" s="419"/>
      <c r="DB89" s="419"/>
      <c r="DC89" s="419"/>
      <c r="DD89" s="419"/>
      <c r="DE89" s="419"/>
      <c r="DF89" s="419"/>
      <c r="DG89" s="419"/>
    </row>
    <row r="90" ht="18.75" customHeight="1">
      <c r="G90" s="1344"/>
      <c r="H90" s="1345">
        <f t="shared" si="4"/>
        <v>0</v>
      </c>
      <c r="I90" s="1381"/>
      <c r="J90" s="1381"/>
      <c r="K90" s="1381"/>
      <c r="L90" s="1381"/>
      <c r="M90" s="1381"/>
      <c r="N90" s="1381"/>
      <c r="O90" s="1381"/>
      <c r="P90" s="1381"/>
      <c r="Q90" s="1381"/>
      <c r="R90" s="1381"/>
      <c r="T90" s="1349"/>
      <c r="U90" s="1349" t="s">
        <v>123</v>
      </c>
      <c r="V90" s="1349" t="s">
        <v>123</v>
      </c>
      <c r="W90" s="1349"/>
      <c r="X90" s="1349"/>
      <c r="Y90" s="1308"/>
      <c r="Z90" s="437" t="str">
        <f>IFERROR(__xludf.DUMMYFUNCTION("IF(NOT('portfólio'!$AV$7),"""",IF($T90="""","""",IFERROR(query({AtivosDados},""select sum(""&amp;Z$3&amp;"") where Col1='""&amp;$T90&amp;""' label sum(""&amp;Z$3&amp;"") ''""),0)))"),"")</f>
        <v/>
      </c>
      <c r="AA90" s="437" t="str">
        <f>IFERROR(__xludf.DUMMYFUNCTION("IF(NOT('portfólio'!$AV$7),"""",IF($T90="""","""",IFERROR(query({AtivosDados},""select sum(""&amp;AA$3&amp;"") where Col1='""&amp;$T90&amp;""' label sum(""&amp;AA$3&amp;"") ''""),0)))"),"")</f>
        <v/>
      </c>
      <c r="AB90" s="437" t="str">
        <f>IFERROR(__xludf.DUMMYFUNCTION("IF(NOT('portfólio'!$AV$7),"""",IF($T90="""","""",IFERROR(query({AtivosDados},""select sum(""&amp;AB$3&amp;"") where Col1='""&amp;$T90&amp;""' label sum(""&amp;AB$3&amp;"") ''""),0)))"),"")</f>
        <v/>
      </c>
      <c r="AC90" s="437" t="str">
        <f>IFERROR(__xludf.DUMMYFUNCTION("IF(NOT('portfólio'!$AV$7),"""",IF($T90="""","""",IFERROR(query({AtivosDados},""select sum(""&amp;AC$3&amp;"") where Col1='""&amp;$T90&amp;""' label sum(""&amp;AC$3&amp;"") ''""),0)))"),"")</f>
        <v/>
      </c>
      <c r="AD90" s="437" t="str">
        <f>IFERROR(__xludf.DUMMYFUNCTION("IF(NOT('portfólio'!$AV$7),"""",IF($T90="""","""",IFERROR(query({AtivosDados},""select sum(""&amp;AD$3&amp;"") where Col1='""&amp;$T90&amp;""' label sum(""&amp;AD$3&amp;"") ''""),0)))"),"")</f>
        <v/>
      </c>
      <c r="AE90" s="437"/>
      <c r="AF90" s="1327"/>
      <c r="AG90" s="437"/>
      <c r="AH90" s="437"/>
      <c r="AI90" s="437"/>
      <c r="AJ90" s="437"/>
      <c r="AK90" s="437"/>
      <c r="AL90" s="437"/>
      <c r="AM90" s="437"/>
      <c r="AN90" s="437"/>
      <c r="AO90" s="437"/>
      <c r="AP90" s="437"/>
      <c r="AQ90" s="1327"/>
      <c r="AR90" s="437"/>
      <c r="AS90" s="437"/>
      <c r="AT90" s="437"/>
      <c r="AU90" s="437"/>
      <c r="AV90" s="437"/>
      <c r="AW90" s="437"/>
      <c r="AX90" s="437"/>
      <c r="AY90" s="437"/>
      <c r="AZ90" s="437"/>
      <c r="BA90" s="437"/>
      <c r="BB90" s="1327"/>
      <c r="BC90" s="437"/>
      <c r="BD90" s="437"/>
      <c r="BE90" s="437"/>
      <c r="BF90" s="437"/>
      <c r="BG90" s="437"/>
      <c r="BH90" s="437"/>
      <c r="BI90" s="437"/>
      <c r="BJ90" s="437"/>
      <c r="BK90" s="437"/>
      <c r="BL90" s="437"/>
      <c r="BM90" s="1327"/>
      <c r="BN90" s="1327"/>
      <c r="BO90" s="1327"/>
      <c r="BP90" s="1327"/>
      <c r="BQ90" s="1327"/>
      <c r="BR90" s="1327"/>
      <c r="BS90" s="1327"/>
      <c r="BT90" s="1327"/>
      <c r="BU90" s="1327"/>
      <c r="BV90" s="1327"/>
      <c r="BW90" s="1327"/>
      <c r="BX90" s="1327"/>
      <c r="BY90" s="1327"/>
      <c r="BZ90" s="1327"/>
      <c r="CA90" s="1327"/>
      <c r="CB90" s="1327"/>
      <c r="CC90" s="1327"/>
      <c r="CD90" s="1327"/>
      <c r="CE90" s="1327"/>
      <c r="CF90" s="1327"/>
      <c r="CG90" s="1327"/>
      <c r="CH90" s="1327"/>
      <c r="CI90" s="1327"/>
      <c r="CJ90" s="1327"/>
      <c r="CK90" s="1327"/>
      <c r="CL90" s="1327"/>
      <c r="CM90" s="1327"/>
      <c r="CN90" s="1327"/>
      <c r="CO90" s="1327"/>
      <c r="CP90" s="1327"/>
      <c r="CQ90" s="1327"/>
      <c r="CR90" s="1327"/>
      <c r="CS90" s="1327"/>
      <c r="CT90" s="1317"/>
      <c r="CU90" s="419"/>
      <c r="CV90" s="419"/>
      <c r="CW90" s="419"/>
      <c r="CX90" s="419"/>
      <c r="CY90" s="419"/>
      <c r="CZ90" s="419"/>
      <c r="DA90" s="419"/>
      <c r="DB90" s="419"/>
      <c r="DC90" s="419"/>
      <c r="DD90" s="419"/>
      <c r="DE90" s="419"/>
      <c r="DF90" s="419"/>
      <c r="DG90" s="419"/>
    </row>
    <row r="91" ht="18.75" customHeight="1">
      <c r="G91" s="1344"/>
      <c r="H91" s="1345">
        <f t="shared" si="4"/>
        <v>0</v>
      </c>
      <c r="I91" s="1381"/>
      <c r="J91" s="1381"/>
      <c r="K91" s="1381"/>
      <c r="L91" s="1381"/>
      <c r="M91" s="1381"/>
      <c r="N91" s="1381"/>
      <c r="O91" s="1381"/>
      <c r="P91" s="1381"/>
      <c r="Q91" s="1381"/>
      <c r="R91" s="1381"/>
      <c r="T91" s="1349"/>
      <c r="U91" s="1349" t="s">
        <v>123</v>
      </c>
      <c r="V91" s="1349" t="s">
        <v>123</v>
      </c>
      <c r="W91" s="1349"/>
      <c r="X91" s="1349"/>
      <c r="Y91" s="1308"/>
      <c r="Z91" s="437" t="str">
        <f>IFERROR(__xludf.DUMMYFUNCTION("IF(NOT('portfólio'!$AV$7),"""",IF($T91="""","""",IFERROR(query({AtivosDados},""select sum(""&amp;Z$3&amp;"") where Col1='""&amp;$T91&amp;""' label sum(""&amp;Z$3&amp;"") ''""),0)))"),"")</f>
        <v/>
      </c>
      <c r="AA91" s="437" t="str">
        <f>IFERROR(__xludf.DUMMYFUNCTION("IF(NOT('portfólio'!$AV$7),"""",IF($T91="""","""",IFERROR(query({AtivosDados},""select sum(""&amp;AA$3&amp;"") where Col1='""&amp;$T91&amp;""' label sum(""&amp;AA$3&amp;"") ''""),0)))"),"")</f>
        <v/>
      </c>
      <c r="AB91" s="437" t="str">
        <f>IFERROR(__xludf.DUMMYFUNCTION("IF(NOT('portfólio'!$AV$7),"""",IF($T91="""","""",IFERROR(query({AtivosDados},""select sum(""&amp;AB$3&amp;"") where Col1='""&amp;$T91&amp;""' label sum(""&amp;AB$3&amp;"") ''""),0)))"),"")</f>
        <v/>
      </c>
      <c r="AC91" s="437" t="str">
        <f>IFERROR(__xludf.DUMMYFUNCTION("IF(NOT('portfólio'!$AV$7),"""",IF($T91="""","""",IFERROR(query({AtivosDados},""select sum(""&amp;AC$3&amp;"") where Col1='""&amp;$T91&amp;""' label sum(""&amp;AC$3&amp;"") ''""),0)))"),"")</f>
        <v/>
      </c>
      <c r="AD91" s="437" t="str">
        <f>IFERROR(__xludf.DUMMYFUNCTION("IF(NOT('portfólio'!$AV$7),"""",IF($T91="""","""",IFERROR(query({AtivosDados},""select sum(""&amp;AD$3&amp;"") where Col1='""&amp;$T91&amp;""' label sum(""&amp;AD$3&amp;"") ''""),0)))"),"")</f>
        <v/>
      </c>
      <c r="AE91" s="437"/>
      <c r="AF91" s="1327"/>
      <c r="AG91" s="437"/>
      <c r="AH91" s="437"/>
      <c r="AI91" s="437"/>
      <c r="AJ91" s="437"/>
      <c r="AK91" s="437"/>
      <c r="AL91" s="437"/>
      <c r="AM91" s="437"/>
      <c r="AN91" s="437"/>
      <c r="AO91" s="437"/>
      <c r="AP91" s="437"/>
      <c r="AQ91" s="1327"/>
      <c r="AR91" s="437"/>
      <c r="AS91" s="437"/>
      <c r="AT91" s="437"/>
      <c r="AU91" s="437"/>
      <c r="AV91" s="437"/>
      <c r="AW91" s="437"/>
      <c r="AX91" s="437"/>
      <c r="AY91" s="437"/>
      <c r="AZ91" s="437"/>
      <c r="BA91" s="437"/>
      <c r="BB91" s="1327"/>
      <c r="BC91" s="437"/>
      <c r="BD91" s="437"/>
      <c r="BE91" s="437"/>
      <c r="BF91" s="437"/>
      <c r="BG91" s="437"/>
      <c r="BH91" s="437"/>
      <c r="BI91" s="437"/>
      <c r="BJ91" s="437"/>
      <c r="BK91" s="437"/>
      <c r="BL91" s="437"/>
      <c r="BM91" s="1327"/>
      <c r="BN91" s="1327"/>
      <c r="BO91" s="1327"/>
      <c r="BP91" s="1327"/>
      <c r="BQ91" s="1327"/>
      <c r="BR91" s="1327"/>
      <c r="BS91" s="1327"/>
      <c r="BT91" s="1327"/>
      <c r="BU91" s="1327"/>
      <c r="BV91" s="1327"/>
      <c r="BW91" s="1327"/>
      <c r="BX91" s="1327"/>
      <c r="BY91" s="1327"/>
      <c r="BZ91" s="1327"/>
      <c r="CA91" s="1327"/>
      <c r="CB91" s="1327"/>
      <c r="CC91" s="1327"/>
      <c r="CD91" s="1327"/>
      <c r="CE91" s="1327"/>
      <c r="CF91" s="1327"/>
      <c r="CG91" s="1327"/>
      <c r="CH91" s="1327"/>
      <c r="CI91" s="1327"/>
      <c r="CJ91" s="1327"/>
      <c r="CK91" s="1327"/>
      <c r="CL91" s="1327"/>
      <c r="CM91" s="1327"/>
      <c r="CN91" s="1327"/>
      <c r="CO91" s="1327"/>
      <c r="CP91" s="1327"/>
      <c r="CQ91" s="1327"/>
      <c r="CR91" s="1327"/>
      <c r="CS91" s="1327"/>
      <c r="CT91" s="1317"/>
      <c r="CU91" s="419"/>
      <c r="CV91" s="419"/>
      <c r="CW91" s="419"/>
      <c r="CX91" s="419"/>
      <c r="CY91" s="419"/>
      <c r="CZ91" s="419"/>
      <c r="DA91" s="419"/>
      <c r="DB91" s="419"/>
      <c r="DC91" s="419"/>
      <c r="DD91" s="419"/>
      <c r="DE91" s="419"/>
      <c r="DF91" s="419"/>
      <c r="DG91" s="419"/>
    </row>
    <row r="92" ht="18.75" customHeight="1">
      <c r="G92" s="1344"/>
      <c r="H92" s="1345">
        <f t="shared" si="4"/>
        <v>0</v>
      </c>
      <c r="I92" s="1381"/>
      <c r="J92" s="1381"/>
      <c r="K92" s="1381"/>
      <c r="L92" s="1381"/>
      <c r="M92" s="1381"/>
      <c r="N92" s="1381"/>
      <c r="O92" s="1381"/>
      <c r="P92" s="1381"/>
      <c r="Q92" s="1381"/>
      <c r="R92" s="1381"/>
      <c r="T92" s="1349"/>
      <c r="U92" s="1349" t="s">
        <v>123</v>
      </c>
      <c r="V92" s="1349" t="s">
        <v>123</v>
      </c>
      <c r="W92" s="1349"/>
      <c r="X92" s="1349"/>
      <c r="Y92" s="1308"/>
      <c r="Z92" s="437" t="str">
        <f>IFERROR(__xludf.DUMMYFUNCTION("IF(NOT('portfólio'!$AV$7),"""",IF($T92="""","""",IFERROR(query({AtivosDados},""select sum(""&amp;Z$3&amp;"") where Col1='""&amp;$T92&amp;""' label sum(""&amp;Z$3&amp;"") ''""),0)))"),"")</f>
        <v/>
      </c>
      <c r="AA92" s="437" t="str">
        <f>IFERROR(__xludf.DUMMYFUNCTION("IF(NOT('portfólio'!$AV$7),"""",IF($T92="""","""",IFERROR(query({AtivosDados},""select sum(""&amp;AA$3&amp;"") where Col1='""&amp;$T92&amp;""' label sum(""&amp;AA$3&amp;"") ''""),0)))"),"")</f>
        <v/>
      </c>
      <c r="AB92" s="437" t="str">
        <f>IFERROR(__xludf.DUMMYFUNCTION("IF(NOT('portfólio'!$AV$7),"""",IF($T92="""","""",IFERROR(query({AtivosDados},""select sum(""&amp;AB$3&amp;"") where Col1='""&amp;$T92&amp;""' label sum(""&amp;AB$3&amp;"") ''""),0)))"),"")</f>
        <v/>
      </c>
      <c r="AC92" s="437" t="str">
        <f>IFERROR(__xludf.DUMMYFUNCTION("IF(NOT('portfólio'!$AV$7),"""",IF($T92="""","""",IFERROR(query({AtivosDados},""select sum(""&amp;AC$3&amp;"") where Col1='""&amp;$T92&amp;""' label sum(""&amp;AC$3&amp;"") ''""),0)))"),"")</f>
        <v/>
      </c>
      <c r="AD92" s="437" t="str">
        <f>IFERROR(__xludf.DUMMYFUNCTION("IF(NOT('portfólio'!$AV$7),"""",IF($T92="""","""",IFERROR(query({AtivosDados},""select sum(""&amp;AD$3&amp;"") where Col1='""&amp;$T92&amp;""' label sum(""&amp;AD$3&amp;"") ''""),0)))"),"")</f>
        <v/>
      </c>
      <c r="AE92" s="437"/>
      <c r="AF92" s="1327"/>
      <c r="AG92" s="437"/>
      <c r="AH92" s="437"/>
      <c r="AI92" s="437"/>
      <c r="AJ92" s="437"/>
      <c r="AK92" s="437"/>
      <c r="AL92" s="437"/>
      <c r="AM92" s="437"/>
      <c r="AN92" s="437"/>
      <c r="AO92" s="437"/>
      <c r="AP92" s="437"/>
      <c r="AQ92" s="1327"/>
      <c r="AR92" s="437"/>
      <c r="AS92" s="437"/>
      <c r="AT92" s="437"/>
      <c r="AU92" s="437"/>
      <c r="AV92" s="437"/>
      <c r="AW92" s="437"/>
      <c r="AX92" s="437"/>
      <c r="AY92" s="437"/>
      <c r="AZ92" s="437"/>
      <c r="BA92" s="437"/>
      <c r="BB92" s="1327"/>
      <c r="BC92" s="437"/>
      <c r="BD92" s="437"/>
      <c r="BE92" s="437"/>
      <c r="BF92" s="437"/>
      <c r="BG92" s="437"/>
      <c r="BH92" s="437"/>
      <c r="BI92" s="437"/>
      <c r="BJ92" s="437"/>
      <c r="BK92" s="437"/>
      <c r="BL92" s="437"/>
      <c r="BM92" s="1327"/>
      <c r="BN92" s="1327"/>
      <c r="BO92" s="1327"/>
      <c r="BP92" s="1327"/>
      <c r="BQ92" s="1327"/>
      <c r="BR92" s="1327"/>
      <c r="BS92" s="1327"/>
      <c r="BT92" s="1327"/>
      <c r="BU92" s="1327"/>
      <c r="BV92" s="1327"/>
      <c r="BW92" s="1327"/>
      <c r="BX92" s="1327"/>
      <c r="BY92" s="1327"/>
      <c r="BZ92" s="1327"/>
      <c r="CA92" s="1327"/>
      <c r="CB92" s="1327"/>
      <c r="CC92" s="1327"/>
      <c r="CD92" s="1327"/>
      <c r="CE92" s="1327"/>
      <c r="CF92" s="1327"/>
      <c r="CG92" s="1327"/>
      <c r="CH92" s="1327"/>
      <c r="CI92" s="1327"/>
      <c r="CJ92" s="1327"/>
      <c r="CK92" s="1327"/>
      <c r="CL92" s="1327"/>
      <c r="CM92" s="1327"/>
      <c r="CN92" s="1327"/>
      <c r="CO92" s="1327"/>
      <c r="CP92" s="1327"/>
      <c r="CQ92" s="1327"/>
      <c r="CR92" s="1327"/>
      <c r="CS92" s="1327"/>
      <c r="CT92" s="1317"/>
      <c r="CU92" s="419"/>
      <c r="CV92" s="419"/>
      <c r="CW92" s="419"/>
      <c r="CX92" s="419"/>
      <c r="CY92" s="419"/>
      <c r="CZ92" s="419"/>
      <c r="DA92" s="419"/>
      <c r="DB92" s="419"/>
      <c r="DC92" s="419"/>
      <c r="DD92" s="419"/>
      <c r="DE92" s="419"/>
      <c r="DF92" s="419"/>
      <c r="DG92" s="419"/>
    </row>
    <row r="93" ht="18.75" customHeight="1">
      <c r="G93" s="1344"/>
      <c r="H93" s="1345">
        <f t="shared" si="4"/>
        <v>0</v>
      </c>
      <c r="I93" s="1381"/>
      <c r="J93" s="1381"/>
      <c r="K93" s="1381"/>
      <c r="L93" s="1381"/>
      <c r="M93" s="1381"/>
      <c r="N93" s="1381"/>
      <c r="O93" s="1381"/>
      <c r="P93" s="1381"/>
      <c r="Q93" s="1381"/>
      <c r="R93" s="1381"/>
      <c r="T93" s="1349"/>
      <c r="U93" s="1349" t="s">
        <v>123</v>
      </c>
      <c r="V93" s="1349" t="s">
        <v>123</v>
      </c>
      <c r="W93" s="1349"/>
      <c r="X93" s="1349"/>
      <c r="Y93" s="1308"/>
      <c r="Z93" s="437" t="str">
        <f>IFERROR(__xludf.DUMMYFUNCTION("IF(NOT('portfólio'!$AV$7),"""",IF($T93="""","""",IFERROR(query({AtivosDados},""select sum(""&amp;Z$3&amp;"") where Col1='""&amp;$T93&amp;""' label sum(""&amp;Z$3&amp;"") ''""),0)))"),"")</f>
        <v/>
      </c>
      <c r="AA93" s="437" t="str">
        <f>IFERROR(__xludf.DUMMYFUNCTION("IF(NOT('portfólio'!$AV$7),"""",IF($T93="""","""",IFERROR(query({AtivosDados},""select sum(""&amp;AA$3&amp;"") where Col1='""&amp;$T93&amp;""' label sum(""&amp;AA$3&amp;"") ''""),0)))"),"")</f>
        <v/>
      </c>
      <c r="AB93" s="437" t="str">
        <f>IFERROR(__xludf.DUMMYFUNCTION("IF(NOT('portfólio'!$AV$7),"""",IF($T93="""","""",IFERROR(query({AtivosDados},""select sum(""&amp;AB$3&amp;"") where Col1='""&amp;$T93&amp;""' label sum(""&amp;AB$3&amp;"") ''""),0)))"),"")</f>
        <v/>
      </c>
      <c r="AC93" s="437" t="str">
        <f>IFERROR(__xludf.DUMMYFUNCTION("IF(NOT('portfólio'!$AV$7),"""",IF($T93="""","""",IFERROR(query({AtivosDados},""select sum(""&amp;AC$3&amp;"") where Col1='""&amp;$T93&amp;""' label sum(""&amp;AC$3&amp;"") ''""),0)))"),"")</f>
        <v/>
      </c>
      <c r="AD93" s="437" t="str">
        <f>IFERROR(__xludf.DUMMYFUNCTION("IF(NOT('portfólio'!$AV$7),"""",IF($T93="""","""",IFERROR(query({AtivosDados},""select sum(""&amp;AD$3&amp;"") where Col1='""&amp;$T93&amp;""' label sum(""&amp;AD$3&amp;"") ''""),0)))"),"")</f>
        <v/>
      </c>
      <c r="AE93" s="437"/>
      <c r="AF93" s="1327"/>
      <c r="AG93" s="437"/>
      <c r="AH93" s="437"/>
      <c r="AI93" s="437"/>
      <c r="AJ93" s="437"/>
      <c r="AK93" s="437"/>
      <c r="AL93" s="437"/>
      <c r="AM93" s="437"/>
      <c r="AN93" s="437"/>
      <c r="AO93" s="437"/>
      <c r="AP93" s="437"/>
      <c r="AQ93" s="1327"/>
      <c r="AR93" s="437"/>
      <c r="AS93" s="437"/>
      <c r="AT93" s="437"/>
      <c r="AU93" s="437"/>
      <c r="AV93" s="437"/>
      <c r="AW93" s="437"/>
      <c r="AX93" s="437"/>
      <c r="AY93" s="437"/>
      <c r="AZ93" s="437"/>
      <c r="BA93" s="437"/>
      <c r="BB93" s="1327"/>
      <c r="BC93" s="437"/>
      <c r="BD93" s="437"/>
      <c r="BE93" s="437"/>
      <c r="BF93" s="437"/>
      <c r="BG93" s="437"/>
      <c r="BH93" s="437"/>
      <c r="BI93" s="437"/>
      <c r="BJ93" s="437"/>
      <c r="BK93" s="437"/>
      <c r="BL93" s="437"/>
      <c r="BM93" s="1327"/>
      <c r="BN93" s="1327"/>
      <c r="BO93" s="1327"/>
      <c r="BP93" s="1327"/>
      <c r="BQ93" s="1327"/>
      <c r="BR93" s="1327"/>
      <c r="BS93" s="1327"/>
      <c r="BT93" s="1327"/>
      <c r="BU93" s="1327"/>
      <c r="BV93" s="1327"/>
      <c r="BW93" s="1327"/>
      <c r="BX93" s="1327"/>
      <c r="BY93" s="1327"/>
      <c r="BZ93" s="1327"/>
      <c r="CA93" s="1327"/>
      <c r="CB93" s="1327"/>
      <c r="CC93" s="1327"/>
      <c r="CD93" s="1327"/>
      <c r="CE93" s="1327"/>
      <c r="CF93" s="1327"/>
      <c r="CG93" s="1327"/>
      <c r="CH93" s="1327"/>
      <c r="CI93" s="1327"/>
      <c r="CJ93" s="1327"/>
      <c r="CK93" s="1327"/>
      <c r="CL93" s="1327"/>
      <c r="CM93" s="1327"/>
      <c r="CN93" s="1327"/>
      <c r="CO93" s="1327"/>
      <c r="CP93" s="1327"/>
      <c r="CQ93" s="1327"/>
      <c r="CR93" s="1327"/>
      <c r="CS93" s="1327"/>
      <c r="CT93" s="1317"/>
      <c r="CU93" s="419"/>
      <c r="CV93" s="419"/>
      <c r="CW93" s="419"/>
      <c r="CX93" s="419"/>
      <c r="CY93" s="419"/>
      <c r="CZ93" s="419"/>
      <c r="DA93" s="419"/>
      <c r="DB93" s="419"/>
      <c r="DC93" s="419"/>
      <c r="DD93" s="419"/>
      <c r="DE93" s="419"/>
      <c r="DF93" s="419"/>
      <c r="DG93" s="419"/>
    </row>
    <row r="94" ht="18.75" customHeight="1">
      <c r="G94" s="1344"/>
      <c r="H94" s="1345">
        <f t="shared" si="4"/>
        <v>0</v>
      </c>
      <c r="I94" s="1381"/>
      <c r="J94" s="1381"/>
      <c r="K94" s="1381"/>
      <c r="L94" s="1381"/>
      <c r="M94" s="1381"/>
      <c r="N94" s="1381"/>
      <c r="O94" s="1381"/>
      <c r="P94" s="1381"/>
      <c r="Q94" s="1381"/>
      <c r="R94" s="1381"/>
      <c r="T94" s="1349"/>
      <c r="U94" s="1349" t="s">
        <v>123</v>
      </c>
      <c r="V94" s="1349" t="s">
        <v>123</v>
      </c>
      <c r="W94" s="1349"/>
      <c r="X94" s="1349"/>
      <c r="Y94" s="1308"/>
      <c r="Z94" s="437" t="str">
        <f>IFERROR(__xludf.DUMMYFUNCTION("IF(NOT('portfólio'!$AV$7),"""",IF($T94="""","""",IFERROR(query({AtivosDados},""select sum(""&amp;Z$3&amp;"") where Col1='""&amp;$T94&amp;""' label sum(""&amp;Z$3&amp;"") ''""),0)))"),"")</f>
        <v/>
      </c>
      <c r="AA94" s="437" t="str">
        <f>IFERROR(__xludf.DUMMYFUNCTION("IF(NOT('portfólio'!$AV$7),"""",IF($T94="""","""",IFERROR(query({AtivosDados},""select sum(""&amp;AA$3&amp;"") where Col1='""&amp;$T94&amp;""' label sum(""&amp;AA$3&amp;"") ''""),0)))"),"")</f>
        <v/>
      </c>
      <c r="AB94" s="437" t="str">
        <f>IFERROR(__xludf.DUMMYFUNCTION("IF(NOT('portfólio'!$AV$7),"""",IF($T94="""","""",IFERROR(query({AtivosDados},""select sum(""&amp;AB$3&amp;"") where Col1='""&amp;$T94&amp;""' label sum(""&amp;AB$3&amp;"") ''""),0)))"),"")</f>
        <v/>
      </c>
      <c r="AC94" s="437" t="str">
        <f>IFERROR(__xludf.DUMMYFUNCTION("IF(NOT('portfólio'!$AV$7),"""",IF($T94="""","""",IFERROR(query({AtivosDados},""select sum(""&amp;AC$3&amp;"") where Col1='""&amp;$T94&amp;""' label sum(""&amp;AC$3&amp;"") ''""),0)))"),"")</f>
        <v/>
      </c>
      <c r="AD94" s="437" t="str">
        <f>IFERROR(__xludf.DUMMYFUNCTION("IF(NOT('portfólio'!$AV$7),"""",IF($T94="""","""",IFERROR(query({AtivosDados},""select sum(""&amp;AD$3&amp;"") where Col1='""&amp;$T94&amp;""' label sum(""&amp;AD$3&amp;"") ''""),0)))"),"")</f>
        <v/>
      </c>
      <c r="AE94" s="437"/>
      <c r="AF94" s="1327"/>
      <c r="AG94" s="437"/>
      <c r="AH94" s="437"/>
      <c r="AI94" s="437"/>
      <c r="AJ94" s="437"/>
      <c r="AK94" s="437"/>
      <c r="AL94" s="437"/>
      <c r="AM94" s="437"/>
      <c r="AN94" s="437"/>
      <c r="AO94" s="437"/>
      <c r="AP94" s="437"/>
      <c r="AQ94" s="1327"/>
      <c r="AR94" s="437"/>
      <c r="AS94" s="437"/>
      <c r="AT94" s="437"/>
      <c r="AU94" s="437"/>
      <c r="AV94" s="437"/>
      <c r="AW94" s="437"/>
      <c r="AX94" s="437"/>
      <c r="AY94" s="437"/>
      <c r="AZ94" s="437"/>
      <c r="BA94" s="437"/>
      <c r="BB94" s="1327"/>
      <c r="BC94" s="437"/>
      <c r="BD94" s="437"/>
      <c r="BE94" s="437"/>
      <c r="BF94" s="437"/>
      <c r="BG94" s="437"/>
      <c r="BH94" s="437"/>
      <c r="BI94" s="437"/>
      <c r="BJ94" s="437"/>
      <c r="BK94" s="437"/>
      <c r="BL94" s="437"/>
      <c r="BM94" s="1327"/>
      <c r="BN94" s="1327"/>
      <c r="BO94" s="1327"/>
      <c r="BP94" s="1327"/>
      <c r="BQ94" s="1327"/>
      <c r="BR94" s="1327"/>
      <c r="BS94" s="1327"/>
      <c r="BT94" s="1327"/>
      <c r="BU94" s="1327"/>
      <c r="BV94" s="1327"/>
      <c r="BW94" s="1327"/>
      <c r="BX94" s="1327"/>
      <c r="BY94" s="1327"/>
      <c r="BZ94" s="1327"/>
      <c r="CA94" s="1327"/>
      <c r="CB94" s="1327"/>
      <c r="CC94" s="1327"/>
      <c r="CD94" s="1327"/>
      <c r="CE94" s="1327"/>
      <c r="CF94" s="1327"/>
      <c r="CG94" s="1327"/>
      <c r="CH94" s="1327"/>
      <c r="CI94" s="1327"/>
      <c r="CJ94" s="1327"/>
      <c r="CK94" s="1327"/>
      <c r="CL94" s="1327"/>
      <c r="CM94" s="1327"/>
      <c r="CN94" s="1327"/>
      <c r="CO94" s="1327"/>
      <c r="CP94" s="1327"/>
      <c r="CQ94" s="1327"/>
      <c r="CR94" s="1327"/>
      <c r="CS94" s="1327"/>
      <c r="CT94" s="1317"/>
      <c r="CU94" s="419"/>
      <c r="CV94" s="419"/>
      <c r="CW94" s="419"/>
      <c r="CX94" s="419"/>
      <c r="CY94" s="419"/>
      <c r="CZ94" s="419"/>
      <c r="DA94" s="419"/>
      <c r="DB94" s="419"/>
      <c r="DC94" s="419"/>
      <c r="DD94" s="419"/>
      <c r="DE94" s="419"/>
      <c r="DF94" s="419"/>
      <c r="DG94" s="419"/>
    </row>
    <row r="95" ht="18.75" customHeight="1">
      <c r="G95" s="1344"/>
      <c r="H95" s="1345">
        <f t="shared" si="4"/>
        <v>0</v>
      </c>
      <c r="I95" s="1381"/>
      <c r="J95" s="1381"/>
      <c r="K95" s="1381"/>
      <c r="L95" s="1381"/>
      <c r="M95" s="1381"/>
      <c r="N95" s="1381"/>
      <c r="O95" s="1381"/>
      <c r="P95" s="1381"/>
      <c r="Q95" s="1381"/>
      <c r="R95" s="1381"/>
      <c r="T95" s="1349"/>
      <c r="U95" s="1349" t="s">
        <v>123</v>
      </c>
      <c r="V95" s="1349" t="s">
        <v>123</v>
      </c>
      <c r="W95" s="1349"/>
      <c r="X95" s="1349"/>
      <c r="Y95" s="1308"/>
      <c r="Z95" s="437" t="str">
        <f>IFERROR(__xludf.DUMMYFUNCTION("IF(NOT('portfólio'!$AV$7),"""",IF($T95="""","""",IFERROR(query({AtivosDados},""select sum(""&amp;Z$3&amp;"") where Col1='""&amp;$T95&amp;""' label sum(""&amp;Z$3&amp;"") ''""),0)))"),"")</f>
        <v/>
      </c>
      <c r="AA95" s="437" t="str">
        <f>IFERROR(__xludf.DUMMYFUNCTION("IF(NOT('portfólio'!$AV$7),"""",IF($T95="""","""",IFERROR(query({AtivosDados},""select sum(""&amp;AA$3&amp;"") where Col1='""&amp;$T95&amp;""' label sum(""&amp;AA$3&amp;"") ''""),0)))"),"")</f>
        <v/>
      </c>
      <c r="AB95" s="437" t="str">
        <f>IFERROR(__xludf.DUMMYFUNCTION("IF(NOT('portfólio'!$AV$7),"""",IF($T95="""","""",IFERROR(query({AtivosDados},""select sum(""&amp;AB$3&amp;"") where Col1='""&amp;$T95&amp;""' label sum(""&amp;AB$3&amp;"") ''""),0)))"),"")</f>
        <v/>
      </c>
      <c r="AC95" s="437" t="str">
        <f>IFERROR(__xludf.DUMMYFUNCTION("IF(NOT('portfólio'!$AV$7),"""",IF($T95="""","""",IFERROR(query({AtivosDados},""select sum(""&amp;AC$3&amp;"") where Col1='""&amp;$T95&amp;""' label sum(""&amp;AC$3&amp;"") ''""),0)))"),"")</f>
        <v/>
      </c>
      <c r="AD95" s="437" t="str">
        <f>IFERROR(__xludf.DUMMYFUNCTION("IF(NOT('portfólio'!$AV$7),"""",IF($T95="""","""",IFERROR(query({AtivosDados},""select sum(""&amp;AD$3&amp;"") where Col1='""&amp;$T95&amp;""' label sum(""&amp;AD$3&amp;"") ''""),0)))"),"")</f>
        <v/>
      </c>
      <c r="AE95" s="437"/>
      <c r="AF95" s="1327"/>
      <c r="AG95" s="437"/>
      <c r="AH95" s="437"/>
      <c r="AI95" s="437"/>
      <c r="AJ95" s="437"/>
      <c r="AK95" s="437"/>
      <c r="AL95" s="437"/>
      <c r="AM95" s="437"/>
      <c r="AN95" s="437"/>
      <c r="AO95" s="437"/>
      <c r="AP95" s="437"/>
      <c r="AQ95" s="1327"/>
      <c r="AR95" s="437"/>
      <c r="AS95" s="437"/>
      <c r="AT95" s="437"/>
      <c r="AU95" s="437"/>
      <c r="AV95" s="437"/>
      <c r="AW95" s="437"/>
      <c r="AX95" s="437"/>
      <c r="AY95" s="437"/>
      <c r="AZ95" s="437"/>
      <c r="BA95" s="437"/>
      <c r="BB95" s="1327"/>
      <c r="BC95" s="437"/>
      <c r="BD95" s="437"/>
      <c r="BE95" s="437"/>
      <c r="BF95" s="437"/>
      <c r="BG95" s="437"/>
      <c r="BH95" s="437"/>
      <c r="BI95" s="437"/>
      <c r="BJ95" s="437"/>
      <c r="BK95" s="437"/>
      <c r="BL95" s="437"/>
      <c r="BM95" s="1327"/>
      <c r="BN95" s="1327"/>
      <c r="BO95" s="1327"/>
      <c r="BP95" s="1327"/>
      <c r="BQ95" s="1327"/>
      <c r="BR95" s="1327"/>
      <c r="BS95" s="1327"/>
      <c r="BT95" s="1327"/>
      <c r="BU95" s="1327"/>
      <c r="BV95" s="1327"/>
      <c r="BW95" s="1327"/>
      <c r="BX95" s="1327"/>
      <c r="BY95" s="1327"/>
      <c r="BZ95" s="1327"/>
      <c r="CA95" s="1327"/>
      <c r="CB95" s="1327"/>
      <c r="CC95" s="1327"/>
      <c r="CD95" s="1327"/>
      <c r="CE95" s="1327"/>
      <c r="CF95" s="1327"/>
      <c r="CG95" s="1327"/>
      <c r="CH95" s="1327"/>
      <c r="CI95" s="1327"/>
      <c r="CJ95" s="1327"/>
      <c r="CK95" s="1327"/>
      <c r="CL95" s="1327"/>
      <c r="CM95" s="1327"/>
      <c r="CN95" s="1327"/>
      <c r="CO95" s="1327"/>
      <c r="CP95" s="1327"/>
      <c r="CQ95" s="1327"/>
      <c r="CR95" s="1327"/>
      <c r="CS95" s="1327"/>
      <c r="CT95" s="1317"/>
      <c r="CU95" s="419"/>
      <c r="CV95" s="419"/>
      <c r="CW95" s="419"/>
      <c r="CX95" s="419"/>
      <c r="CY95" s="419"/>
      <c r="CZ95" s="419"/>
      <c r="DA95" s="419"/>
      <c r="DB95" s="419"/>
      <c r="DC95" s="419"/>
      <c r="DD95" s="419"/>
      <c r="DE95" s="419"/>
      <c r="DF95" s="419"/>
      <c r="DG95" s="419"/>
    </row>
    <row r="96" ht="18.75" customHeight="1">
      <c r="G96" s="1344"/>
      <c r="H96" s="1345">
        <f t="shared" si="4"/>
        <v>0</v>
      </c>
      <c r="I96" s="1381"/>
      <c r="J96" s="1381"/>
      <c r="K96" s="1381"/>
      <c r="L96" s="1381"/>
      <c r="M96" s="1381"/>
      <c r="N96" s="1381"/>
      <c r="O96" s="1381"/>
      <c r="P96" s="1381"/>
      <c r="Q96" s="1381"/>
      <c r="R96" s="1381"/>
      <c r="T96" s="1349"/>
      <c r="U96" s="1349" t="s">
        <v>123</v>
      </c>
      <c r="V96" s="1349" t="s">
        <v>123</v>
      </c>
      <c r="W96" s="1349"/>
      <c r="X96" s="1349"/>
      <c r="Y96" s="1308"/>
      <c r="Z96" s="437" t="str">
        <f>IFERROR(__xludf.DUMMYFUNCTION("IF(NOT('portfólio'!$AV$7),"""",IF($T96="""","""",IFERROR(query({AtivosDados},""select sum(""&amp;Z$3&amp;"") where Col1='""&amp;$T96&amp;""' label sum(""&amp;Z$3&amp;"") ''""),0)))"),"")</f>
        <v/>
      </c>
      <c r="AA96" s="437" t="str">
        <f>IFERROR(__xludf.DUMMYFUNCTION("IF(NOT('portfólio'!$AV$7),"""",IF($T96="""","""",IFERROR(query({AtivosDados},""select sum(""&amp;AA$3&amp;"") where Col1='""&amp;$T96&amp;""' label sum(""&amp;AA$3&amp;"") ''""),0)))"),"")</f>
        <v/>
      </c>
      <c r="AB96" s="437" t="str">
        <f>IFERROR(__xludf.DUMMYFUNCTION("IF(NOT('portfólio'!$AV$7),"""",IF($T96="""","""",IFERROR(query({AtivosDados},""select sum(""&amp;AB$3&amp;"") where Col1='""&amp;$T96&amp;""' label sum(""&amp;AB$3&amp;"") ''""),0)))"),"")</f>
        <v/>
      </c>
      <c r="AC96" s="437" t="str">
        <f>IFERROR(__xludf.DUMMYFUNCTION("IF(NOT('portfólio'!$AV$7),"""",IF($T96="""","""",IFERROR(query({AtivosDados},""select sum(""&amp;AC$3&amp;"") where Col1='""&amp;$T96&amp;""' label sum(""&amp;AC$3&amp;"") ''""),0)))"),"")</f>
        <v/>
      </c>
      <c r="AD96" s="437" t="str">
        <f>IFERROR(__xludf.DUMMYFUNCTION("IF(NOT('portfólio'!$AV$7),"""",IF($T96="""","""",IFERROR(query({AtivosDados},""select sum(""&amp;AD$3&amp;"") where Col1='""&amp;$T96&amp;""' label sum(""&amp;AD$3&amp;"") ''""),0)))"),"")</f>
        <v/>
      </c>
      <c r="AE96" s="437"/>
      <c r="AF96" s="1327"/>
      <c r="AG96" s="437"/>
      <c r="AH96" s="437"/>
      <c r="AI96" s="437"/>
      <c r="AJ96" s="437"/>
      <c r="AK96" s="437"/>
      <c r="AL96" s="437"/>
      <c r="AM96" s="437"/>
      <c r="AN96" s="437"/>
      <c r="AO96" s="437"/>
      <c r="AP96" s="437"/>
      <c r="AQ96" s="1327"/>
      <c r="AR96" s="437"/>
      <c r="AS96" s="437"/>
      <c r="AT96" s="437"/>
      <c r="AU96" s="437"/>
      <c r="AV96" s="437"/>
      <c r="AW96" s="437"/>
      <c r="AX96" s="437"/>
      <c r="AY96" s="437"/>
      <c r="AZ96" s="437"/>
      <c r="BA96" s="437"/>
      <c r="BB96" s="1327"/>
      <c r="BC96" s="437"/>
      <c r="BD96" s="437"/>
      <c r="BE96" s="437"/>
      <c r="BF96" s="437"/>
      <c r="BG96" s="437"/>
      <c r="BH96" s="437"/>
      <c r="BI96" s="437"/>
      <c r="BJ96" s="437"/>
      <c r="BK96" s="437"/>
      <c r="BL96" s="437"/>
      <c r="BM96" s="1327"/>
      <c r="BN96" s="1327"/>
      <c r="BO96" s="1327"/>
      <c r="BP96" s="1327"/>
      <c r="BQ96" s="1327"/>
      <c r="BR96" s="1327"/>
      <c r="BS96" s="1327"/>
      <c r="BT96" s="1327"/>
      <c r="BU96" s="1327"/>
      <c r="BV96" s="1327"/>
      <c r="BW96" s="1327"/>
      <c r="BX96" s="1327"/>
      <c r="BY96" s="1327"/>
      <c r="BZ96" s="1327"/>
      <c r="CA96" s="1327"/>
      <c r="CB96" s="1327"/>
      <c r="CC96" s="1327"/>
      <c r="CD96" s="1327"/>
      <c r="CE96" s="1327"/>
      <c r="CF96" s="1327"/>
      <c r="CG96" s="1327"/>
      <c r="CH96" s="1327"/>
      <c r="CI96" s="1327"/>
      <c r="CJ96" s="1327"/>
      <c r="CK96" s="1327"/>
      <c r="CL96" s="1327"/>
      <c r="CM96" s="1327"/>
      <c r="CN96" s="1327"/>
      <c r="CO96" s="1327"/>
      <c r="CP96" s="1327"/>
      <c r="CQ96" s="1327"/>
      <c r="CR96" s="1327"/>
      <c r="CS96" s="1327"/>
      <c r="CT96" s="1317"/>
      <c r="CU96" s="419"/>
      <c r="CV96" s="419"/>
      <c r="CW96" s="419"/>
      <c r="CX96" s="419"/>
      <c r="CY96" s="419"/>
      <c r="CZ96" s="419"/>
      <c r="DA96" s="419"/>
      <c r="DB96" s="419"/>
      <c r="DC96" s="419"/>
      <c r="DD96" s="419"/>
      <c r="DE96" s="419"/>
      <c r="DF96" s="419"/>
      <c r="DG96" s="419"/>
    </row>
    <row r="97" ht="18.75" customHeight="1">
      <c r="G97" s="1344"/>
      <c r="H97" s="1345">
        <f t="shared" si="4"/>
        <v>0</v>
      </c>
      <c r="I97" s="1381"/>
      <c r="J97" s="1381"/>
      <c r="K97" s="1381"/>
      <c r="L97" s="1381"/>
      <c r="M97" s="1381"/>
      <c r="N97" s="1381"/>
      <c r="O97" s="1381"/>
      <c r="P97" s="1381"/>
      <c r="Q97" s="1381"/>
      <c r="R97" s="1381"/>
      <c r="T97" s="1349"/>
      <c r="U97" s="1349" t="s">
        <v>123</v>
      </c>
      <c r="V97" s="1349" t="s">
        <v>123</v>
      </c>
      <c r="W97" s="1349"/>
      <c r="X97" s="1349"/>
      <c r="Y97" s="1308"/>
      <c r="Z97" s="437" t="str">
        <f>IFERROR(__xludf.DUMMYFUNCTION("IF(NOT('portfólio'!$AV$7),"""",IF($T97="""","""",IFERROR(query({AtivosDados},""select sum(""&amp;Z$3&amp;"") where Col1='""&amp;$T97&amp;""' label sum(""&amp;Z$3&amp;"") ''""),0)))"),"")</f>
        <v/>
      </c>
      <c r="AA97" s="437" t="str">
        <f>IFERROR(__xludf.DUMMYFUNCTION("IF(NOT('portfólio'!$AV$7),"""",IF($T97="""","""",IFERROR(query({AtivosDados},""select sum(""&amp;AA$3&amp;"") where Col1='""&amp;$T97&amp;""' label sum(""&amp;AA$3&amp;"") ''""),0)))"),"")</f>
        <v/>
      </c>
      <c r="AB97" s="437" t="str">
        <f>IFERROR(__xludf.DUMMYFUNCTION("IF(NOT('portfólio'!$AV$7),"""",IF($T97="""","""",IFERROR(query({AtivosDados},""select sum(""&amp;AB$3&amp;"") where Col1='""&amp;$T97&amp;""' label sum(""&amp;AB$3&amp;"") ''""),0)))"),"")</f>
        <v/>
      </c>
      <c r="AC97" s="437" t="str">
        <f>IFERROR(__xludf.DUMMYFUNCTION("IF(NOT('portfólio'!$AV$7),"""",IF($T97="""","""",IFERROR(query({AtivosDados},""select sum(""&amp;AC$3&amp;"") where Col1='""&amp;$T97&amp;""' label sum(""&amp;AC$3&amp;"") ''""),0)))"),"")</f>
        <v/>
      </c>
      <c r="AD97" s="437" t="str">
        <f>IFERROR(__xludf.DUMMYFUNCTION("IF(NOT('portfólio'!$AV$7),"""",IF($T97="""","""",IFERROR(query({AtivosDados},""select sum(""&amp;AD$3&amp;"") where Col1='""&amp;$T97&amp;""' label sum(""&amp;AD$3&amp;"") ''""),0)))"),"")</f>
        <v/>
      </c>
      <c r="AE97" s="437"/>
      <c r="AF97" s="1327"/>
      <c r="AG97" s="437"/>
      <c r="AH97" s="437"/>
      <c r="AI97" s="437"/>
      <c r="AJ97" s="437"/>
      <c r="AK97" s="437"/>
      <c r="AL97" s="437"/>
      <c r="AM97" s="437"/>
      <c r="AN97" s="437"/>
      <c r="AO97" s="437"/>
      <c r="AP97" s="437"/>
      <c r="AQ97" s="1327"/>
      <c r="AR97" s="437"/>
      <c r="AS97" s="437"/>
      <c r="AT97" s="437"/>
      <c r="AU97" s="437"/>
      <c r="AV97" s="437"/>
      <c r="AW97" s="437"/>
      <c r="AX97" s="437"/>
      <c r="AY97" s="437"/>
      <c r="AZ97" s="437"/>
      <c r="BA97" s="437"/>
      <c r="BB97" s="1327"/>
      <c r="BC97" s="437"/>
      <c r="BD97" s="437"/>
      <c r="BE97" s="437"/>
      <c r="BF97" s="437"/>
      <c r="BG97" s="437"/>
      <c r="BH97" s="437"/>
      <c r="BI97" s="437"/>
      <c r="BJ97" s="437"/>
      <c r="BK97" s="437"/>
      <c r="BL97" s="437"/>
      <c r="BM97" s="1327"/>
      <c r="BN97" s="1327"/>
      <c r="BO97" s="1327"/>
      <c r="BP97" s="1327"/>
      <c r="BQ97" s="1327"/>
      <c r="BR97" s="1327"/>
      <c r="BS97" s="1327"/>
      <c r="BT97" s="1327"/>
      <c r="BU97" s="1327"/>
      <c r="BV97" s="1327"/>
      <c r="BW97" s="1327"/>
      <c r="BX97" s="1327"/>
      <c r="BY97" s="1327"/>
      <c r="BZ97" s="1327"/>
      <c r="CA97" s="1327"/>
      <c r="CB97" s="1327"/>
      <c r="CC97" s="1327"/>
      <c r="CD97" s="1327"/>
      <c r="CE97" s="1327"/>
      <c r="CF97" s="1327"/>
      <c r="CG97" s="1327"/>
      <c r="CH97" s="1327"/>
      <c r="CI97" s="1327"/>
      <c r="CJ97" s="1327"/>
      <c r="CK97" s="1327"/>
      <c r="CL97" s="1327"/>
      <c r="CM97" s="1327"/>
      <c r="CN97" s="1327"/>
      <c r="CO97" s="1327"/>
      <c r="CP97" s="1327"/>
      <c r="CQ97" s="1327"/>
      <c r="CR97" s="1327"/>
      <c r="CS97" s="1327"/>
      <c r="CT97" s="1317"/>
      <c r="CU97" s="419"/>
      <c r="CV97" s="419"/>
      <c r="CW97" s="419"/>
      <c r="CX97" s="419"/>
      <c r="CY97" s="419"/>
      <c r="CZ97" s="419"/>
      <c r="DA97" s="419"/>
      <c r="DB97" s="419"/>
      <c r="DC97" s="419"/>
      <c r="DD97" s="419"/>
      <c r="DE97" s="419"/>
      <c r="DF97" s="419"/>
      <c r="DG97" s="419"/>
    </row>
    <row r="98" ht="18.75" customHeight="1">
      <c r="G98" s="1344"/>
      <c r="H98" s="1345">
        <f t="shared" si="4"/>
        <v>0</v>
      </c>
      <c r="I98" s="1381"/>
      <c r="J98" s="1381"/>
      <c r="K98" s="1381"/>
      <c r="L98" s="1381"/>
      <c r="M98" s="1381"/>
      <c r="N98" s="1381"/>
      <c r="O98" s="1381"/>
      <c r="P98" s="1381"/>
      <c r="Q98" s="1381"/>
      <c r="R98" s="1381"/>
      <c r="T98" s="1349"/>
      <c r="U98" s="1349" t="s">
        <v>123</v>
      </c>
      <c r="V98" s="1349" t="s">
        <v>123</v>
      </c>
      <c r="W98" s="1349"/>
      <c r="X98" s="1349"/>
      <c r="Y98" s="1308"/>
      <c r="Z98" s="437" t="str">
        <f>IFERROR(__xludf.DUMMYFUNCTION("IF(NOT('portfólio'!$AV$7),"""",IF($T98="""","""",IFERROR(query({AtivosDados},""select sum(""&amp;Z$3&amp;"") where Col1='""&amp;$T98&amp;""' label sum(""&amp;Z$3&amp;"") ''""),0)))"),"")</f>
        <v/>
      </c>
      <c r="AA98" s="437" t="str">
        <f>IFERROR(__xludf.DUMMYFUNCTION("IF(NOT('portfólio'!$AV$7),"""",IF($T98="""","""",IFERROR(query({AtivosDados},""select sum(""&amp;AA$3&amp;"") where Col1='""&amp;$T98&amp;""' label sum(""&amp;AA$3&amp;"") ''""),0)))"),"")</f>
        <v/>
      </c>
      <c r="AB98" s="437" t="str">
        <f>IFERROR(__xludf.DUMMYFUNCTION("IF(NOT('portfólio'!$AV$7),"""",IF($T98="""","""",IFERROR(query({AtivosDados},""select sum(""&amp;AB$3&amp;"") where Col1='""&amp;$T98&amp;""' label sum(""&amp;AB$3&amp;"") ''""),0)))"),"")</f>
        <v/>
      </c>
      <c r="AC98" s="437" t="str">
        <f>IFERROR(__xludf.DUMMYFUNCTION("IF(NOT('portfólio'!$AV$7),"""",IF($T98="""","""",IFERROR(query({AtivosDados},""select sum(""&amp;AC$3&amp;"") where Col1='""&amp;$T98&amp;""' label sum(""&amp;AC$3&amp;"") ''""),0)))"),"")</f>
        <v/>
      </c>
      <c r="AD98" s="437" t="str">
        <f>IFERROR(__xludf.DUMMYFUNCTION("IF(NOT('portfólio'!$AV$7),"""",IF($T98="""","""",IFERROR(query({AtivosDados},""select sum(""&amp;AD$3&amp;"") where Col1='""&amp;$T98&amp;""' label sum(""&amp;AD$3&amp;"") ''""),0)))"),"")</f>
        <v/>
      </c>
      <c r="AE98" s="437"/>
      <c r="AF98" s="1327"/>
      <c r="AG98" s="437"/>
      <c r="AH98" s="437"/>
      <c r="AI98" s="437"/>
      <c r="AJ98" s="437"/>
      <c r="AK98" s="437"/>
      <c r="AL98" s="437"/>
      <c r="AM98" s="437"/>
      <c r="AN98" s="437"/>
      <c r="AO98" s="437"/>
      <c r="AP98" s="437"/>
      <c r="AQ98" s="1327"/>
      <c r="AR98" s="437"/>
      <c r="AS98" s="437"/>
      <c r="AT98" s="437"/>
      <c r="AU98" s="437"/>
      <c r="AV98" s="437"/>
      <c r="AW98" s="437"/>
      <c r="AX98" s="437"/>
      <c r="AY98" s="437"/>
      <c r="AZ98" s="437"/>
      <c r="BA98" s="437"/>
      <c r="BB98" s="1327"/>
      <c r="BC98" s="437"/>
      <c r="BD98" s="437"/>
      <c r="BE98" s="437"/>
      <c r="BF98" s="437"/>
      <c r="BG98" s="437"/>
      <c r="BH98" s="437"/>
      <c r="BI98" s="437"/>
      <c r="BJ98" s="437"/>
      <c r="BK98" s="437"/>
      <c r="BL98" s="437"/>
      <c r="BM98" s="1327"/>
      <c r="BN98" s="1327"/>
      <c r="BO98" s="1327"/>
      <c r="BP98" s="1327"/>
      <c r="BQ98" s="1327"/>
      <c r="BR98" s="1327"/>
      <c r="BS98" s="1327"/>
      <c r="BT98" s="1327"/>
      <c r="BU98" s="1327"/>
      <c r="BV98" s="1327"/>
      <c r="BW98" s="1327"/>
      <c r="BX98" s="1327"/>
      <c r="BY98" s="1327"/>
      <c r="BZ98" s="1327"/>
      <c r="CA98" s="1327"/>
      <c r="CB98" s="1327"/>
      <c r="CC98" s="1327"/>
      <c r="CD98" s="1327"/>
      <c r="CE98" s="1327"/>
      <c r="CF98" s="1327"/>
      <c r="CG98" s="1327"/>
      <c r="CH98" s="1327"/>
      <c r="CI98" s="1327"/>
      <c r="CJ98" s="1327"/>
      <c r="CK98" s="1327"/>
      <c r="CL98" s="1327"/>
      <c r="CM98" s="1327"/>
      <c r="CN98" s="1327"/>
      <c r="CO98" s="1327"/>
      <c r="CP98" s="1327"/>
      <c r="CQ98" s="1327"/>
      <c r="CR98" s="1327"/>
      <c r="CS98" s="1327"/>
      <c r="CT98" s="1317"/>
      <c r="CU98" s="419"/>
      <c r="CV98" s="419"/>
      <c r="CW98" s="419"/>
      <c r="CX98" s="419"/>
      <c r="CY98" s="419"/>
      <c r="CZ98" s="419"/>
      <c r="DA98" s="419"/>
      <c r="DB98" s="419"/>
      <c r="DC98" s="419"/>
      <c r="DD98" s="419"/>
      <c r="DE98" s="419"/>
      <c r="DF98" s="419"/>
      <c r="DG98" s="419"/>
    </row>
    <row r="99" ht="18.75" customHeight="1">
      <c r="G99" s="1344"/>
      <c r="H99" s="1345">
        <f t="shared" si="4"/>
        <v>0</v>
      </c>
      <c r="I99" s="1381"/>
      <c r="J99" s="1381"/>
      <c r="K99" s="1381"/>
      <c r="L99" s="1381"/>
      <c r="M99" s="1381"/>
      <c r="N99" s="1381"/>
      <c r="O99" s="1381"/>
      <c r="P99" s="1381"/>
      <c r="Q99" s="1381"/>
      <c r="R99" s="1381"/>
      <c r="T99" s="1349"/>
      <c r="U99" s="1349" t="s">
        <v>123</v>
      </c>
      <c r="V99" s="1349" t="s">
        <v>123</v>
      </c>
      <c r="W99" s="1349"/>
      <c r="X99" s="1349"/>
      <c r="Y99" s="1308"/>
      <c r="Z99" s="437" t="str">
        <f>IFERROR(__xludf.DUMMYFUNCTION("IF(NOT('portfólio'!$AV$7),"""",IF($T99="""","""",IFERROR(query({AtivosDados},""select sum(""&amp;Z$3&amp;"") where Col1='""&amp;$T99&amp;""' label sum(""&amp;Z$3&amp;"") ''""),0)))"),"")</f>
        <v/>
      </c>
      <c r="AA99" s="437" t="str">
        <f>IFERROR(__xludf.DUMMYFUNCTION("IF(NOT('portfólio'!$AV$7),"""",IF($T99="""","""",IFERROR(query({AtivosDados},""select sum(""&amp;AA$3&amp;"") where Col1='""&amp;$T99&amp;""' label sum(""&amp;AA$3&amp;"") ''""),0)))"),"")</f>
        <v/>
      </c>
      <c r="AB99" s="437" t="str">
        <f>IFERROR(__xludf.DUMMYFUNCTION("IF(NOT('portfólio'!$AV$7),"""",IF($T99="""","""",IFERROR(query({AtivosDados},""select sum(""&amp;AB$3&amp;"") where Col1='""&amp;$T99&amp;""' label sum(""&amp;AB$3&amp;"") ''""),0)))"),"")</f>
        <v/>
      </c>
      <c r="AC99" s="437" t="str">
        <f>IFERROR(__xludf.DUMMYFUNCTION("IF(NOT('portfólio'!$AV$7),"""",IF($T99="""","""",IFERROR(query({AtivosDados},""select sum(""&amp;AC$3&amp;"") where Col1='""&amp;$T99&amp;""' label sum(""&amp;AC$3&amp;"") ''""),0)))"),"")</f>
        <v/>
      </c>
      <c r="AD99" s="437" t="str">
        <f>IFERROR(__xludf.DUMMYFUNCTION("IF(NOT('portfólio'!$AV$7),"""",IF($T99="""","""",IFERROR(query({AtivosDados},""select sum(""&amp;AD$3&amp;"") where Col1='""&amp;$T99&amp;""' label sum(""&amp;AD$3&amp;"") ''""),0)))"),"")</f>
        <v/>
      </c>
      <c r="AE99" s="437"/>
      <c r="AF99" s="1327"/>
      <c r="AG99" s="437"/>
      <c r="AH99" s="437"/>
      <c r="AI99" s="437"/>
      <c r="AJ99" s="437"/>
      <c r="AK99" s="437"/>
      <c r="AL99" s="437"/>
      <c r="AM99" s="437"/>
      <c r="AN99" s="437"/>
      <c r="AO99" s="437"/>
      <c r="AP99" s="437"/>
      <c r="AQ99" s="1327"/>
      <c r="AR99" s="437"/>
      <c r="AS99" s="437"/>
      <c r="AT99" s="437"/>
      <c r="AU99" s="437"/>
      <c r="AV99" s="437"/>
      <c r="AW99" s="437"/>
      <c r="AX99" s="437"/>
      <c r="AY99" s="437"/>
      <c r="AZ99" s="437"/>
      <c r="BA99" s="437"/>
      <c r="BB99" s="1327"/>
      <c r="BC99" s="437"/>
      <c r="BD99" s="437"/>
      <c r="BE99" s="437"/>
      <c r="BF99" s="437"/>
      <c r="BG99" s="437"/>
      <c r="BH99" s="437"/>
      <c r="BI99" s="437"/>
      <c r="BJ99" s="437"/>
      <c r="BK99" s="437"/>
      <c r="BL99" s="437"/>
      <c r="BM99" s="1327"/>
      <c r="BN99" s="1327"/>
      <c r="BO99" s="1327"/>
      <c r="BP99" s="1327"/>
      <c r="BQ99" s="1327"/>
      <c r="BR99" s="1327"/>
      <c r="BS99" s="1327"/>
      <c r="BT99" s="1327"/>
      <c r="BU99" s="1327"/>
      <c r="BV99" s="1327"/>
      <c r="BW99" s="1327"/>
      <c r="BX99" s="1327"/>
      <c r="BY99" s="1327"/>
      <c r="BZ99" s="1327"/>
      <c r="CA99" s="1327"/>
      <c r="CB99" s="1327"/>
      <c r="CC99" s="1327"/>
      <c r="CD99" s="1327"/>
      <c r="CE99" s="1327"/>
      <c r="CF99" s="1327"/>
      <c r="CG99" s="1327"/>
      <c r="CH99" s="1327"/>
      <c r="CI99" s="1327"/>
      <c r="CJ99" s="1327"/>
      <c r="CK99" s="1327"/>
      <c r="CL99" s="1327"/>
      <c r="CM99" s="1327"/>
      <c r="CN99" s="1327"/>
      <c r="CO99" s="1327"/>
      <c r="CP99" s="1327"/>
      <c r="CQ99" s="1327"/>
      <c r="CR99" s="1327"/>
      <c r="CS99" s="1327"/>
      <c r="CT99" s="1317"/>
      <c r="CU99" s="419"/>
      <c r="CV99" s="419"/>
      <c r="CW99" s="419"/>
      <c r="CX99" s="419"/>
      <c r="CY99" s="419"/>
      <c r="CZ99" s="419"/>
      <c r="DA99" s="419"/>
      <c r="DB99" s="419"/>
      <c r="DC99" s="419"/>
      <c r="DD99" s="419"/>
      <c r="DE99" s="419"/>
      <c r="DF99" s="419"/>
      <c r="DG99" s="419"/>
    </row>
    <row r="100" ht="18.75" customHeight="1">
      <c r="G100" s="1344"/>
      <c r="H100" s="1345">
        <f t="shared" si="4"/>
        <v>0</v>
      </c>
      <c r="I100" s="1381"/>
      <c r="J100" s="1381"/>
      <c r="K100" s="1381"/>
      <c r="L100" s="1381"/>
      <c r="M100" s="1381"/>
      <c r="N100" s="1381"/>
      <c r="O100" s="1381"/>
      <c r="P100" s="1381"/>
      <c r="Q100" s="1381"/>
      <c r="R100" s="1381"/>
      <c r="T100" s="1349"/>
      <c r="U100" s="1349" t="s">
        <v>123</v>
      </c>
      <c r="V100" s="1349" t="s">
        <v>123</v>
      </c>
      <c r="W100" s="1349"/>
      <c r="X100" s="1349"/>
      <c r="Y100" s="1308"/>
      <c r="Z100" s="437" t="str">
        <f>IFERROR(__xludf.DUMMYFUNCTION("IF(NOT('portfólio'!$AV$7),"""",IF($T100="""","""",IFERROR(query({AtivosDados},""select sum(""&amp;Z$3&amp;"") where Col1='""&amp;$T100&amp;""' label sum(""&amp;Z$3&amp;"") ''""),0)))"),"")</f>
        <v/>
      </c>
      <c r="AA100" s="437" t="str">
        <f>IFERROR(__xludf.DUMMYFUNCTION("IF(NOT('portfólio'!$AV$7),"""",IF($T100="""","""",IFERROR(query({AtivosDados},""select sum(""&amp;AA$3&amp;"") where Col1='""&amp;$T100&amp;""' label sum(""&amp;AA$3&amp;"") ''""),0)))"),"")</f>
        <v/>
      </c>
      <c r="AB100" s="437" t="str">
        <f>IFERROR(__xludf.DUMMYFUNCTION("IF(NOT('portfólio'!$AV$7),"""",IF($T100="""","""",IFERROR(query({AtivosDados},""select sum(""&amp;AB$3&amp;"") where Col1='""&amp;$T100&amp;""' label sum(""&amp;AB$3&amp;"") ''""),0)))"),"")</f>
        <v/>
      </c>
      <c r="AC100" s="437" t="str">
        <f>IFERROR(__xludf.DUMMYFUNCTION("IF(NOT('portfólio'!$AV$7),"""",IF($T100="""","""",IFERROR(query({AtivosDados},""select sum(""&amp;AC$3&amp;"") where Col1='""&amp;$T100&amp;""' label sum(""&amp;AC$3&amp;"") ''""),0)))"),"")</f>
        <v/>
      </c>
      <c r="AD100" s="437" t="str">
        <f>IFERROR(__xludf.DUMMYFUNCTION("IF(NOT('portfólio'!$AV$7),"""",IF($T100="""","""",IFERROR(query({AtivosDados},""select sum(""&amp;AD$3&amp;"") where Col1='""&amp;$T100&amp;""' label sum(""&amp;AD$3&amp;"") ''""),0)))"),"")</f>
        <v/>
      </c>
      <c r="AE100" s="437"/>
      <c r="AF100" s="1327"/>
      <c r="AG100" s="437"/>
      <c r="AH100" s="437"/>
      <c r="AI100" s="437"/>
      <c r="AJ100" s="437"/>
      <c r="AK100" s="437"/>
      <c r="AL100" s="437"/>
      <c r="AM100" s="437"/>
      <c r="AN100" s="437"/>
      <c r="AO100" s="437"/>
      <c r="AP100" s="437"/>
      <c r="AQ100" s="1327"/>
      <c r="AR100" s="437"/>
      <c r="AS100" s="437"/>
      <c r="AT100" s="437"/>
      <c r="AU100" s="437"/>
      <c r="AV100" s="437"/>
      <c r="AW100" s="437"/>
      <c r="AX100" s="437"/>
      <c r="AY100" s="437"/>
      <c r="AZ100" s="437"/>
      <c r="BA100" s="437"/>
      <c r="BB100" s="1327"/>
      <c r="BC100" s="437"/>
      <c r="BD100" s="437"/>
      <c r="BE100" s="437"/>
      <c r="BF100" s="437"/>
      <c r="BG100" s="437"/>
      <c r="BH100" s="437"/>
      <c r="BI100" s="437"/>
      <c r="BJ100" s="437"/>
      <c r="BK100" s="437"/>
      <c r="BL100" s="437"/>
      <c r="BM100" s="1327"/>
      <c r="BN100" s="1327"/>
      <c r="BO100" s="1327"/>
      <c r="BP100" s="1327"/>
      <c r="BQ100" s="1327"/>
      <c r="BR100" s="1327"/>
      <c r="BS100" s="1327"/>
      <c r="BT100" s="1327"/>
      <c r="BU100" s="1327"/>
      <c r="BV100" s="1327"/>
      <c r="BW100" s="1327"/>
      <c r="BX100" s="1327"/>
      <c r="BY100" s="1327"/>
      <c r="BZ100" s="1327"/>
      <c r="CA100" s="1327"/>
      <c r="CB100" s="1327"/>
      <c r="CC100" s="1327"/>
      <c r="CD100" s="1327"/>
      <c r="CE100" s="1327"/>
      <c r="CF100" s="1327"/>
      <c r="CG100" s="1327"/>
      <c r="CH100" s="1327"/>
      <c r="CI100" s="1327"/>
      <c r="CJ100" s="1327"/>
      <c r="CK100" s="1327"/>
      <c r="CL100" s="1327"/>
      <c r="CM100" s="1327"/>
      <c r="CN100" s="1327"/>
      <c r="CO100" s="1327"/>
      <c r="CP100" s="1327"/>
      <c r="CQ100" s="1327"/>
      <c r="CR100" s="1327"/>
      <c r="CS100" s="1327"/>
      <c r="CT100" s="1317"/>
      <c r="CU100" s="419"/>
      <c r="CV100" s="419"/>
      <c r="CW100" s="419"/>
      <c r="CX100" s="419"/>
      <c r="CY100" s="419"/>
      <c r="CZ100" s="419"/>
      <c r="DA100" s="419"/>
      <c r="DB100" s="419"/>
      <c r="DC100" s="419"/>
      <c r="DD100" s="419"/>
      <c r="DE100" s="419"/>
      <c r="DF100" s="419"/>
      <c r="DG100" s="419"/>
    </row>
    <row r="101" ht="18.75" customHeight="1">
      <c r="G101" s="1344"/>
      <c r="H101" s="1345">
        <f t="shared" si="4"/>
        <v>0</v>
      </c>
      <c r="I101" s="1381"/>
      <c r="J101" s="1381"/>
      <c r="K101" s="1381"/>
      <c r="L101" s="1381"/>
      <c r="M101" s="1381"/>
      <c r="N101" s="1381"/>
      <c r="O101" s="1381"/>
      <c r="P101" s="1381"/>
      <c r="Q101" s="1381"/>
      <c r="R101" s="1381"/>
      <c r="T101" s="1349"/>
      <c r="U101" s="1349" t="s">
        <v>123</v>
      </c>
      <c r="V101" s="1349" t="s">
        <v>123</v>
      </c>
      <c r="W101" s="1349"/>
      <c r="X101" s="1349"/>
      <c r="Y101" s="1308"/>
      <c r="Z101" s="437" t="str">
        <f>IFERROR(__xludf.DUMMYFUNCTION("IF(NOT('portfólio'!$AV$7),"""",IF($T101="""","""",IFERROR(query({AtivosDados},""select sum(""&amp;Z$3&amp;"") where Col1='""&amp;$T101&amp;""' label sum(""&amp;Z$3&amp;"") ''""),0)))"),"")</f>
        <v/>
      </c>
      <c r="AA101" s="437" t="str">
        <f>IFERROR(__xludf.DUMMYFUNCTION("IF(NOT('portfólio'!$AV$7),"""",IF($T101="""","""",IFERROR(query({AtivosDados},""select sum(""&amp;AA$3&amp;"") where Col1='""&amp;$T101&amp;""' label sum(""&amp;AA$3&amp;"") ''""),0)))"),"")</f>
        <v/>
      </c>
      <c r="AB101" s="437" t="str">
        <f>IFERROR(__xludf.DUMMYFUNCTION("IF(NOT('portfólio'!$AV$7),"""",IF($T101="""","""",IFERROR(query({AtivosDados},""select sum(""&amp;AB$3&amp;"") where Col1='""&amp;$T101&amp;""' label sum(""&amp;AB$3&amp;"") ''""),0)))"),"")</f>
        <v/>
      </c>
      <c r="AC101" s="437" t="str">
        <f>IFERROR(__xludf.DUMMYFUNCTION("IF(NOT('portfólio'!$AV$7),"""",IF($T101="""","""",IFERROR(query({AtivosDados},""select sum(""&amp;AC$3&amp;"") where Col1='""&amp;$T101&amp;""' label sum(""&amp;AC$3&amp;"") ''""),0)))"),"")</f>
        <v/>
      </c>
      <c r="AD101" s="437" t="str">
        <f>IFERROR(__xludf.DUMMYFUNCTION("IF(NOT('portfólio'!$AV$7),"""",IF($T101="""","""",IFERROR(query({AtivosDados},""select sum(""&amp;AD$3&amp;"") where Col1='""&amp;$T101&amp;""' label sum(""&amp;AD$3&amp;"") ''""),0)))"),"")</f>
        <v/>
      </c>
      <c r="AE101" s="437"/>
      <c r="AF101" s="1327"/>
      <c r="AG101" s="437"/>
      <c r="AH101" s="437"/>
      <c r="AI101" s="437"/>
      <c r="AJ101" s="437"/>
      <c r="AK101" s="437"/>
      <c r="AL101" s="437"/>
      <c r="AM101" s="437"/>
      <c r="AN101" s="437"/>
      <c r="AO101" s="437"/>
      <c r="AP101" s="437"/>
      <c r="AQ101" s="1327"/>
      <c r="AR101" s="437"/>
      <c r="AS101" s="437"/>
      <c r="AT101" s="437"/>
      <c r="AU101" s="437"/>
      <c r="AV101" s="437"/>
      <c r="AW101" s="437"/>
      <c r="AX101" s="437"/>
      <c r="AY101" s="437"/>
      <c r="AZ101" s="437"/>
      <c r="BA101" s="437"/>
      <c r="BB101" s="1327"/>
      <c r="BC101" s="437"/>
      <c r="BD101" s="437"/>
      <c r="BE101" s="437"/>
      <c r="BF101" s="437"/>
      <c r="BG101" s="437"/>
      <c r="BH101" s="437"/>
      <c r="BI101" s="437"/>
      <c r="BJ101" s="437"/>
      <c r="BK101" s="437"/>
      <c r="BL101" s="437"/>
      <c r="BM101" s="1327"/>
      <c r="BN101" s="1327"/>
      <c r="BO101" s="1327"/>
      <c r="BP101" s="1327"/>
      <c r="BQ101" s="1327"/>
      <c r="BR101" s="1327"/>
      <c r="BS101" s="1327"/>
      <c r="BT101" s="1327"/>
      <c r="BU101" s="1327"/>
      <c r="BV101" s="1327"/>
      <c r="BW101" s="1327"/>
      <c r="BX101" s="1327"/>
      <c r="BY101" s="1327"/>
      <c r="BZ101" s="1327"/>
      <c r="CA101" s="1327"/>
      <c r="CB101" s="1327"/>
      <c r="CC101" s="1327"/>
      <c r="CD101" s="1327"/>
      <c r="CE101" s="1327"/>
      <c r="CF101" s="1327"/>
      <c r="CG101" s="1327"/>
      <c r="CH101" s="1327"/>
      <c r="CI101" s="1327"/>
      <c r="CJ101" s="1327"/>
      <c r="CK101" s="1327"/>
      <c r="CL101" s="1327"/>
      <c r="CM101" s="1327"/>
      <c r="CN101" s="1327"/>
      <c r="CO101" s="1327"/>
      <c r="CP101" s="1327"/>
      <c r="CQ101" s="1327"/>
      <c r="CR101" s="1327"/>
      <c r="CS101" s="1327"/>
      <c r="CT101" s="1317"/>
      <c r="CU101" s="419"/>
      <c r="CV101" s="419"/>
      <c r="CW101" s="419"/>
      <c r="CX101" s="419"/>
      <c r="CY101" s="419"/>
      <c r="CZ101" s="419"/>
      <c r="DA101" s="419"/>
      <c r="DB101" s="419"/>
      <c r="DC101" s="419"/>
      <c r="DD101" s="419"/>
      <c r="DE101" s="419"/>
      <c r="DF101" s="419"/>
      <c r="DG101" s="419"/>
    </row>
    <row r="102" ht="18.75" customHeight="1">
      <c r="G102" s="1344"/>
      <c r="H102" s="1345">
        <f t="shared" si="4"/>
        <v>0</v>
      </c>
      <c r="I102" s="1381"/>
      <c r="J102" s="1381"/>
      <c r="K102" s="1381"/>
      <c r="L102" s="1381"/>
      <c r="M102" s="1381"/>
      <c r="N102" s="1381"/>
      <c r="O102" s="1381"/>
      <c r="P102" s="1381"/>
      <c r="Q102" s="1381"/>
      <c r="R102" s="1381"/>
      <c r="T102" s="1349"/>
      <c r="U102" s="1349" t="s">
        <v>123</v>
      </c>
      <c r="V102" s="1349" t="s">
        <v>123</v>
      </c>
      <c r="W102" s="1349"/>
      <c r="X102" s="1349"/>
      <c r="Y102" s="1308"/>
      <c r="Z102" s="437" t="str">
        <f>IFERROR(__xludf.DUMMYFUNCTION("IF(NOT('portfólio'!$AV$7),"""",IF($T102="""","""",IFERROR(query({AtivosDados},""select sum(""&amp;Z$3&amp;"") where Col1='""&amp;$T102&amp;""' label sum(""&amp;Z$3&amp;"") ''""),0)))"),"")</f>
        <v/>
      </c>
      <c r="AA102" s="437" t="str">
        <f>IFERROR(__xludf.DUMMYFUNCTION("IF(NOT('portfólio'!$AV$7),"""",IF($T102="""","""",IFERROR(query({AtivosDados},""select sum(""&amp;AA$3&amp;"") where Col1='""&amp;$T102&amp;""' label sum(""&amp;AA$3&amp;"") ''""),0)))"),"")</f>
        <v/>
      </c>
      <c r="AB102" s="437" t="str">
        <f>IFERROR(__xludf.DUMMYFUNCTION("IF(NOT('portfólio'!$AV$7),"""",IF($T102="""","""",IFERROR(query({AtivosDados},""select sum(""&amp;AB$3&amp;"") where Col1='""&amp;$T102&amp;""' label sum(""&amp;AB$3&amp;"") ''""),0)))"),"")</f>
        <v/>
      </c>
      <c r="AC102" s="437" t="str">
        <f>IFERROR(__xludf.DUMMYFUNCTION("IF(NOT('portfólio'!$AV$7),"""",IF($T102="""","""",IFERROR(query({AtivosDados},""select sum(""&amp;AC$3&amp;"") where Col1='""&amp;$T102&amp;""' label sum(""&amp;AC$3&amp;"") ''""),0)))"),"")</f>
        <v/>
      </c>
      <c r="AD102" s="437" t="str">
        <f>IFERROR(__xludf.DUMMYFUNCTION("IF(NOT('portfólio'!$AV$7),"""",IF($T102="""","""",IFERROR(query({AtivosDados},""select sum(""&amp;AD$3&amp;"") where Col1='""&amp;$T102&amp;""' label sum(""&amp;AD$3&amp;"") ''""),0)))"),"")</f>
        <v/>
      </c>
      <c r="AE102" s="437"/>
      <c r="AF102" s="1327"/>
      <c r="AG102" s="437"/>
      <c r="AH102" s="437"/>
      <c r="AI102" s="437"/>
      <c r="AJ102" s="437"/>
      <c r="AK102" s="437"/>
      <c r="AL102" s="437"/>
      <c r="AM102" s="437"/>
      <c r="AN102" s="437"/>
      <c r="AO102" s="437"/>
      <c r="AP102" s="437"/>
      <c r="AQ102" s="1327"/>
      <c r="AR102" s="437"/>
      <c r="AS102" s="437"/>
      <c r="AT102" s="437"/>
      <c r="AU102" s="437"/>
      <c r="AV102" s="437"/>
      <c r="AW102" s="437"/>
      <c r="AX102" s="437"/>
      <c r="AY102" s="437"/>
      <c r="AZ102" s="437"/>
      <c r="BA102" s="437"/>
      <c r="BB102" s="1327"/>
      <c r="BC102" s="437"/>
      <c r="BD102" s="437"/>
      <c r="BE102" s="437"/>
      <c r="BF102" s="437"/>
      <c r="BG102" s="437"/>
      <c r="BH102" s="437"/>
      <c r="BI102" s="437"/>
      <c r="BJ102" s="437"/>
      <c r="BK102" s="437"/>
      <c r="BL102" s="437"/>
      <c r="BM102" s="1327"/>
      <c r="BN102" s="1327"/>
      <c r="BO102" s="1327"/>
      <c r="BP102" s="1327"/>
      <c r="BQ102" s="1327"/>
      <c r="BR102" s="1327"/>
      <c r="BS102" s="1327"/>
      <c r="BT102" s="1327"/>
      <c r="BU102" s="1327"/>
      <c r="BV102" s="1327"/>
      <c r="BW102" s="1327"/>
      <c r="BX102" s="1327"/>
      <c r="BY102" s="1327"/>
      <c r="BZ102" s="1327"/>
      <c r="CA102" s="1327"/>
      <c r="CB102" s="1327"/>
      <c r="CC102" s="1327"/>
      <c r="CD102" s="1327"/>
      <c r="CE102" s="1327"/>
      <c r="CF102" s="1327"/>
      <c r="CG102" s="1327"/>
      <c r="CH102" s="1327"/>
      <c r="CI102" s="1327"/>
      <c r="CJ102" s="1327"/>
      <c r="CK102" s="1327"/>
      <c r="CL102" s="1327"/>
      <c r="CM102" s="1327"/>
      <c r="CN102" s="1327"/>
      <c r="CO102" s="1327"/>
      <c r="CP102" s="1327"/>
      <c r="CQ102" s="1327"/>
      <c r="CR102" s="1327"/>
      <c r="CS102" s="1327"/>
      <c r="CT102" s="1317"/>
      <c r="CU102" s="419"/>
      <c r="CV102" s="419"/>
      <c r="CW102" s="419"/>
      <c r="CX102" s="419"/>
      <c r="CY102" s="419"/>
      <c r="CZ102" s="419"/>
      <c r="DA102" s="419"/>
      <c r="DB102" s="419"/>
      <c r="DC102" s="419"/>
      <c r="DD102" s="419"/>
      <c r="DE102" s="419"/>
      <c r="DF102" s="419"/>
      <c r="DG102" s="419"/>
    </row>
    <row r="103" ht="18.75" customHeight="1">
      <c r="G103" s="1344"/>
      <c r="H103" s="1345">
        <f t="shared" si="4"/>
        <v>0</v>
      </c>
      <c r="I103" s="1381"/>
      <c r="J103" s="1381"/>
      <c r="K103" s="1381"/>
      <c r="L103" s="1381"/>
      <c r="M103" s="1381"/>
      <c r="N103" s="1381"/>
      <c r="O103" s="1381"/>
      <c r="P103" s="1381"/>
      <c r="Q103" s="1381"/>
      <c r="R103" s="1381"/>
      <c r="T103" s="1349"/>
      <c r="U103" s="1349" t="s">
        <v>123</v>
      </c>
      <c r="V103" s="1349" t="s">
        <v>123</v>
      </c>
      <c r="W103" s="1349"/>
      <c r="X103" s="1349"/>
      <c r="Y103" s="1308"/>
      <c r="Z103" s="437" t="str">
        <f>IFERROR(__xludf.DUMMYFUNCTION("IF(NOT('portfólio'!$AV$7),"""",IF($T103="""","""",IFERROR(query({AtivosDados},""select sum(""&amp;Z$3&amp;"") where Col1='""&amp;$T103&amp;""' label sum(""&amp;Z$3&amp;"") ''""),0)))"),"")</f>
        <v/>
      </c>
      <c r="AA103" s="437" t="str">
        <f>IFERROR(__xludf.DUMMYFUNCTION("IF(NOT('portfólio'!$AV$7),"""",IF($T103="""","""",IFERROR(query({AtivosDados},""select sum(""&amp;AA$3&amp;"") where Col1='""&amp;$T103&amp;""' label sum(""&amp;AA$3&amp;"") ''""),0)))"),"")</f>
        <v/>
      </c>
      <c r="AB103" s="437" t="str">
        <f>IFERROR(__xludf.DUMMYFUNCTION("IF(NOT('portfólio'!$AV$7),"""",IF($T103="""","""",IFERROR(query({AtivosDados},""select sum(""&amp;AB$3&amp;"") where Col1='""&amp;$T103&amp;""' label sum(""&amp;AB$3&amp;"") ''""),0)))"),"")</f>
        <v/>
      </c>
      <c r="AC103" s="437" t="str">
        <f>IFERROR(__xludf.DUMMYFUNCTION("IF(NOT('portfólio'!$AV$7),"""",IF($T103="""","""",IFERROR(query({AtivosDados},""select sum(""&amp;AC$3&amp;"") where Col1='""&amp;$T103&amp;""' label sum(""&amp;AC$3&amp;"") ''""),0)))"),"")</f>
        <v/>
      </c>
      <c r="AD103" s="437" t="str">
        <f>IFERROR(__xludf.DUMMYFUNCTION("IF(NOT('portfólio'!$AV$7),"""",IF($T103="""","""",IFERROR(query({AtivosDados},""select sum(""&amp;AD$3&amp;"") where Col1='""&amp;$T103&amp;""' label sum(""&amp;AD$3&amp;"") ''""),0)))"),"")</f>
        <v/>
      </c>
      <c r="AE103" s="437"/>
      <c r="AF103" s="1327"/>
      <c r="AG103" s="437"/>
      <c r="AH103" s="437"/>
      <c r="AI103" s="437"/>
      <c r="AJ103" s="437"/>
      <c r="AK103" s="437"/>
      <c r="AL103" s="437"/>
      <c r="AM103" s="437"/>
      <c r="AN103" s="437"/>
      <c r="AO103" s="437"/>
      <c r="AP103" s="437"/>
      <c r="AQ103" s="1327"/>
      <c r="AR103" s="437"/>
      <c r="AS103" s="437"/>
      <c r="AT103" s="437"/>
      <c r="AU103" s="437"/>
      <c r="AV103" s="437"/>
      <c r="AW103" s="437"/>
      <c r="AX103" s="437"/>
      <c r="AY103" s="437"/>
      <c r="AZ103" s="437"/>
      <c r="BA103" s="437"/>
      <c r="BB103" s="1327"/>
      <c r="BC103" s="437"/>
      <c r="BD103" s="437"/>
      <c r="BE103" s="437"/>
      <c r="BF103" s="437"/>
      <c r="BG103" s="437"/>
      <c r="BH103" s="437"/>
      <c r="BI103" s="437"/>
      <c r="BJ103" s="437"/>
      <c r="BK103" s="437"/>
      <c r="BL103" s="437"/>
      <c r="BM103" s="1327"/>
      <c r="BN103" s="1327"/>
      <c r="BO103" s="1327"/>
      <c r="BP103" s="1327"/>
      <c r="BQ103" s="1327"/>
      <c r="BR103" s="1327"/>
      <c r="BS103" s="1327"/>
      <c r="BT103" s="1327"/>
      <c r="BU103" s="1327"/>
      <c r="BV103" s="1327"/>
      <c r="BW103" s="1327"/>
      <c r="BX103" s="1327"/>
      <c r="BY103" s="1327"/>
      <c r="BZ103" s="1327"/>
      <c r="CA103" s="1327"/>
      <c r="CB103" s="1327"/>
      <c r="CC103" s="1327"/>
      <c r="CD103" s="1327"/>
      <c r="CE103" s="1327"/>
      <c r="CF103" s="1327"/>
      <c r="CG103" s="1327"/>
      <c r="CH103" s="1327"/>
      <c r="CI103" s="1327"/>
      <c r="CJ103" s="1327"/>
      <c r="CK103" s="1327"/>
      <c r="CL103" s="1327"/>
      <c r="CM103" s="1327"/>
      <c r="CN103" s="1327"/>
      <c r="CO103" s="1327"/>
      <c r="CP103" s="1327"/>
      <c r="CQ103" s="1327"/>
      <c r="CR103" s="1327"/>
      <c r="CS103" s="1327"/>
      <c r="CT103" s="1317"/>
      <c r="CU103" s="419"/>
      <c r="CV103" s="419"/>
      <c r="CW103" s="419"/>
      <c r="CX103" s="419"/>
      <c r="CY103" s="419"/>
      <c r="CZ103" s="419"/>
      <c r="DA103" s="419"/>
      <c r="DB103" s="419"/>
      <c r="DC103" s="419"/>
      <c r="DD103" s="419"/>
      <c r="DE103" s="419"/>
      <c r="DF103" s="419"/>
      <c r="DG103" s="419"/>
    </row>
    <row r="104" ht="18.75" customHeight="1">
      <c r="G104" s="1344"/>
      <c r="H104" s="1345">
        <f t="shared" si="4"/>
        <v>0</v>
      </c>
      <c r="I104" s="1381"/>
      <c r="J104" s="1381"/>
      <c r="K104" s="1381"/>
      <c r="L104" s="1381"/>
      <c r="M104" s="1381"/>
      <c r="N104" s="1381"/>
      <c r="O104" s="1381"/>
      <c r="P104" s="1381"/>
      <c r="Q104" s="1381"/>
      <c r="R104" s="1381"/>
      <c r="T104" s="1349"/>
      <c r="U104" s="1349" t="s">
        <v>123</v>
      </c>
      <c r="V104" s="1349" t="s">
        <v>123</v>
      </c>
      <c r="W104" s="1349"/>
      <c r="X104" s="1349"/>
      <c r="Y104" s="1308"/>
      <c r="Z104" s="437" t="str">
        <f>IFERROR(__xludf.DUMMYFUNCTION("IF(NOT('portfólio'!$AV$7),"""",IF($T104="""","""",IFERROR(query({AtivosDados},""select sum(""&amp;Z$3&amp;"") where Col1='""&amp;$T104&amp;""' label sum(""&amp;Z$3&amp;"") ''""),0)))"),"")</f>
        <v/>
      </c>
      <c r="AA104" s="437" t="str">
        <f>IFERROR(__xludf.DUMMYFUNCTION("IF(NOT('portfólio'!$AV$7),"""",IF($T104="""","""",IFERROR(query({AtivosDados},""select sum(""&amp;AA$3&amp;"") where Col1='""&amp;$T104&amp;""' label sum(""&amp;AA$3&amp;"") ''""),0)))"),"")</f>
        <v/>
      </c>
      <c r="AB104" s="437" t="str">
        <f>IFERROR(__xludf.DUMMYFUNCTION("IF(NOT('portfólio'!$AV$7),"""",IF($T104="""","""",IFERROR(query({AtivosDados},""select sum(""&amp;AB$3&amp;"") where Col1='""&amp;$T104&amp;""' label sum(""&amp;AB$3&amp;"") ''""),0)))"),"")</f>
        <v/>
      </c>
      <c r="AC104" s="437" t="str">
        <f>IFERROR(__xludf.DUMMYFUNCTION("IF(NOT('portfólio'!$AV$7),"""",IF($T104="""","""",IFERROR(query({AtivosDados},""select sum(""&amp;AC$3&amp;"") where Col1='""&amp;$T104&amp;""' label sum(""&amp;AC$3&amp;"") ''""),0)))"),"")</f>
        <v/>
      </c>
      <c r="AD104" s="437" t="str">
        <f>IFERROR(__xludf.DUMMYFUNCTION("IF(NOT('portfólio'!$AV$7),"""",IF($T104="""","""",IFERROR(query({AtivosDados},""select sum(""&amp;AD$3&amp;"") where Col1='""&amp;$T104&amp;""' label sum(""&amp;AD$3&amp;"") ''""),0)))"),"")</f>
        <v/>
      </c>
      <c r="AE104" s="437"/>
      <c r="AF104" s="1327"/>
      <c r="AG104" s="437"/>
      <c r="AH104" s="437"/>
      <c r="AI104" s="437"/>
      <c r="AJ104" s="437"/>
      <c r="AK104" s="437"/>
      <c r="AL104" s="437"/>
      <c r="AM104" s="437"/>
      <c r="AN104" s="437"/>
      <c r="AO104" s="437"/>
      <c r="AP104" s="437"/>
      <c r="AQ104" s="1327"/>
      <c r="AR104" s="437"/>
      <c r="AS104" s="437"/>
      <c r="AT104" s="437"/>
      <c r="AU104" s="437"/>
      <c r="AV104" s="437"/>
      <c r="AW104" s="437"/>
      <c r="AX104" s="437"/>
      <c r="AY104" s="437"/>
      <c r="AZ104" s="437"/>
      <c r="BA104" s="437"/>
      <c r="BB104" s="1327"/>
      <c r="BC104" s="437"/>
      <c r="BD104" s="437"/>
      <c r="BE104" s="437"/>
      <c r="BF104" s="437"/>
      <c r="BG104" s="437"/>
      <c r="BH104" s="437"/>
      <c r="BI104" s="437"/>
      <c r="BJ104" s="437"/>
      <c r="BK104" s="437"/>
      <c r="BL104" s="437"/>
      <c r="BM104" s="1327"/>
      <c r="BN104" s="1327"/>
      <c r="BO104" s="1327"/>
      <c r="BP104" s="1327"/>
      <c r="BQ104" s="1327"/>
      <c r="BR104" s="1327"/>
      <c r="BS104" s="1327"/>
      <c r="BT104" s="1327"/>
      <c r="BU104" s="1327"/>
      <c r="BV104" s="1327"/>
      <c r="BW104" s="1327"/>
      <c r="BX104" s="1327"/>
      <c r="BY104" s="1327"/>
      <c r="BZ104" s="1327"/>
      <c r="CA104" s="1327"/>
      <c r="CB104" s="1327"/>
      <c r="CC104" s="1327"/>
      <c r="CD104" s="1327"/>
      <c r="CE104" s="1327"/>
      <c r="CF104" s="1327"/>
      <c r="CG104" s="1327"/>
      <c r="CH104" s="1327"/>
      <c r="CI104" s="1327"/>
      <c r="CJ104" s="1327"/>
      <c r="CK104" s="1327"/>
      <c r="CL104" s="1327"/>
      <c r="CM104" s="1327"/>
      <c r="CN104" s="1327"/>
      <c r="CO104" s="1327"/>
      <c r="CP104" s="1327"/>
      <c r="CQ104" s="1327"/>
      <c r="CR104" s="1327"/>
      <c r="CS104" s="1327"/>
      <c r="CT104" s="1317"/>
      <c r="CU104" s="419"/>
      <c r="CV104" s="419"/>
      <c r="CW104" s="419"/>
      <c r="CX104" s="419"/>
      <c r="CY104" s="419"/>
      <c r="CZ104" s="419"/>
      <c r="DA104" s="419"/>
      <c r="DB104" s="419"/>
      <c r="DC104" s="419"/>
      <c r="DD104" s="419"/>
      <c r="DE104" s="419"/>
      <c r="DF104" s="419"/>
      <c r="DG104" s="419"/>
    </row>
    <row r="105" ht="18.75" customHeight="1">
      <c r="G105" s="1344"/>
      <c r="H105" s="1345">
        <f t="shared" si="4"/>
        <v>0</v>
      </c>
      <c r="I105" s="1381"/>
      <c r="J105" s="1381"/>
      <c r="K105" s="1381"/>
      <c r="L105" s="1381"/>
      <c r="M105" s="1381"/>
      <c r="N105" s="1381"/>
      <c r="O105" s="1381"/>
      <c r="P105" s="1381"/>
      <c r="Q105" s="1381"/>
      <c r="R105" s="1381"/>
      <c r="T105" s="1349"/>
      <c r="U105" s="1349" t="s">
        <v>123</v>
      </c>
      <c r="V105" s="1349" t="s">
        <v>123</v>
      </c>
      <c r="W105" s="1349"/>
      <c r="X105" s="1349"/>
      <c r="Y105" s="1308"/>
      <c r="Z105" s="437" t="str">
        <f>IFERROR(__xludf.DUMMYFUNCTION("IF(NOT('portfólio'!$AV$7),"""",IF($T105="""","""",IFERROR(query({AtivosDados},""select sum(""&amp;Z$3&amp;"") where Col1='""&amp;$T105&amp;""' label sum(""&amp;Z$3&amp;"") ''""),0)))"),"")</f>
        <v/>
      </c>
      <c r="AA105" s="437" t="str">
        <f>IFERROR(__xludf.DUMMYFUNCTION("IF(NOT('portfólio'!$AV$7),"""",IF($T105="""","""",IFERROR(query({AtivosDados},""select sum(""&amp;AA$3&amp;"") where Col1='""&amp;$T105&amp;""' label sum(""&amp;AA$3&amp;"") ''""),0)))"),"")</f>
        <v/>
      </c>
      <c r="AB105" s="437" t="str">
        <f>IFERROR(__xludf.DUMMYFUNCTION("IF(NOT('portfólio'!$AV$7),"""",IF($T105="""","""",IFERROR(query({AtivosDados},""select sum(""&amp;AB$3&amp;"") where Col1='""&amp;$T105&amp;""' label sum(""&amp;AB$3&amp;"") ''""),0)))"),"")</f>
        <v/>
      </c>
      <c r="AC105" s="437" t="str">
        <f>IFERROR(__xludf.DUMMYFUNCTION("IF(NOT('portfólio'!$AV$7),"""",IF($T105="""","""",IFERROR(query({AtivosDados},""select sum(""&amp;AC$3&amp;"") where Col1='""&amp;$T105&amp;""' label sum(""&amp;AC$3&amp;"") ''""),0)))"),"")</f>
        <v/>
      </c>
      <c r="AD105" s="437" t="str">
        <f>IFERROR(__xludf.DUMMYFUNCTION("IF(NOT('portfólio'!$AV$7),"""",IF($T105="""","""",IFERROR(query({AtivosDados},""select sum(""&amp;AD$3&amp;"") where Col1='""&amp;$T105&amp;""' label sum(""&amp;AD$3&amp;"") ''""),0)))"),"")</f>
        <v/>
      </c>
      <c r="AE105" s="437"/>
      <c r="AF105" s="1327"/>
      <c r="AG105" s="437"/>
      <c r="AH105" s="437"/>
      <c r="AI105" s="437"/>
      <c r="AJ105" s="437"/>
      <c r="AK105" s="437"/>
      <c r="AL105" s="437"/>
      <c r="AM105" s="437"/>
      <c r="AN105" s="437"/>
      <c r="AO105" s="437"/>
      <c r="AP105" s="437"/>
      <c r="AQ105" s="1327"/>
      <c r="AR105" s="437"/>
      <c r="AS105" s="437"/>
      <c r="AT105" s="437"/>
      <c r="AU105" s="437"/>
      <c r="AV105" s="437"/>
      <c r="AW105" s="437"/>
      <c r="AX105" s="437"/>
      <c r="AY105" s="437"/>
      <c r="AZ105" s="437"/>
      <c r="BA105" s="437"/>
      <c r="BB105" s="1327"/>
      <c r="BC105" s="437"/>
      <c r="BD105" s="437"/>
      <c r="BE105" s="437"/>
      <c r="BF105" s="437"/>
      <c r="BG105" s="437"/>
      <c r="BH105" s="437"/>
      <c r="BI105" s="437"/>
      <c r="BJ105" s="437"/>
      <c r="BK105" s="437"/>
      <c r="BL105" s="437"/>
      <c r="BM105" s="1327"/>
      <c r="BN105" s="1327"/>
      <c r="BO105" s="1327"/>
      <c r="BP105" s="1327"/>
      <c r="BQ105" s="1327"/>
      <c r="BR105" s="1327"/>
      <c r="BS105" s="1327"/>
      <c r="BT105" s="1327"/>
      <c r="BU105" s="1327"/>
      <c r="BV105" s="1327"/>
      <c r="BW105" s="1327"/>
      <c r="BX105" s="1327"/>
      <c r="BY105" s="1327"/>
      <c r="BZ105" s="1327"/>
      <c r="CA105" s="1327"/>
      <c r="CB105" s="1327"/>
      <c r="CC105" s="1327"/>
      <c r="CD105" s="1327"/>
      <c r="CE105" s="1327"/>
      <c r="CF105" s="1327"/>
      <c r="CG105" s="1327"/>
      <c r="CH105" s="1327"/>
      <c r="CI105" s="1327"/>
      <c r="CJ105" s="1327"/>
      <c r="CK105" s="1327"/>
      <c r="CL105" s="1327"/>
      <c r="CM105" s="1327"/>
      <c r="CN105" s="1327"/>
      <c r="CO105" s="1327"/>
      <c r="CP105" s="1327"/>
      <c r="CQ105" s="1327"/>
      <c r="CR105" s="1327"/>
      <c r="CS105" s="1327"/>
      <c r="CT105" s="1317"/>
      <c r="CU105" s="419"/>
      <c r="CV105" s="419"/>
      <c r="CW105" s="419"/>
      <c r="CX105" s="419"/>
      <c r="CY105" s="419"/>
      <c r="CZ105" s="419"/>
      <c r="DA105" s="419"/>
      <c r="DB105" s="419"/>
      <c r="DC105" s="419"/>
      <c r="DD105" s="419"/>
      <c r="DE105" s="419"/>
      <c r="DF105" s="419"/>
      <c r="DG105" s="419"/>
    </row>
    <row r="106" ht="18.75" customHeight="1">
      <c r="G106" s="1344"/>
      <c r="H106" s="1345">
        <f t="shared" si="4"/>
        <v>0</v>
      </c>
      <c r="I106" s="1381"/>
      <c r="J106" s="1381"/>
      <c r="K106" s="1381"/>
      <c r="L106" s="1381"/>
      <c r="M106" s="1381"/>
      <c r="N106" s="1381"/>
      <c r="O106" s="1381"/>
      <c r="P106" s="1381"/>
      <c r="Q106" s="1381"/>
      <c r="R106" s="1381"/>
      <c r="T106" s="1349"/>
      <c r="U106" s="1349" t="s">
        <v>123</v>
      </c>
      <c r="V106" s="1349" t="s">
        <v>123</v>
      </c>
      <c r="W106" s="1349"/>
      <c r="X106" s="1349"/>
      <c r="Y106" s="1308"/>
      <c r="Z106" s="437" t="str">
        <f>IFERROR(__xludf.DUMMYFUNCTION("IF(NOT('portfólio'!$AV$7),"""",IF($T106="""","""",IFERROR(query({AtivosDados},""select sum(""&amp;Z$3&amp;"") where Col1='""&amp;$T106&amp;""' label sum(""&amp;Z$3&amp;"") ''""),0)))"),"")</f>
        <v/>
      </c>
      <c r="AA106" s="437" t="str">
        <f>IFERROR(__xludf.DUMMYFUNCTION("IF(NOT('portfólio'!$AV$7),"""",IF($T106="""","""",IFERROR(query({AtivosDados},""select sum(""&amp;AA$3&amp;"") where Col1='""&amp;$T106&amp;""' label sum(""&amp;AA$3&amp;"") ''""),0)))"),"")</f>
        <v/>
      </c>
      <c r="AB106" s="437" t="str">
        <f>IFERROR(__xludf.DUMMYFUNCTION("IF(NOT('portfólio'!$AV$7),"""",IF($T106="""","""",IFERROR(query({AtivosDados},""select sum(""&amp;AB$3&amp;"") where Col1='""&amp;$T106&amp;""' label sum(""&amp;AB$3&amp;"") ''""),0)))"),"")</f>
        <v/>
      </c>
      <c r="AC106" s="437" t="str">
        <f>IFERROR(__xludf.DUMMYFUNCTION("IF(NOT('portfólio'!$AV$7),"""",IF($T106="""","""",IFERROR(query({AtivosDados},""select sum(""&amp;AC$3&amp;"") where Col1='""&amp;$T106&amp;""' label sum(""&amp;AC$3&amp;"") ''""),0)))"),"")</f>
        <v/>
      </c>
      <c r="AD106" s="437" t="str">
        <f>IFERROR(__xludf.DUMMYFUNCTION("IF(NOT('portfólio'!$AV$7),"""",IF($T106="""","""",IFERROR(query({AtivosDados},""select sum(""&amp;AD$3&amp;"") where Col1='""&amp;$T106&amp;""' label sum(""&amp;AD$3&amp;"") ''""),0)))"),"")</f>
        <v/>
      </c>
      <c r="AE106" s="437"/>
      <c r="AF106" s="1327"/>
      <c r="AG106" s="437"/>
      <c r="AH106" s="437"/>
      <c r="AI106" s="437"/>
      <c r="AJ106" s="437"/>
      <c r="AK106" s="437"/>
      <c r="AL106" s="437"/>
      <c r="AM106" s="437"/>
      <c r="AN106" s="437"/>
      <c r="AO106" s="437"/>
      <c r="AP106" s="437"/>
      <c r="AQ106" s="1327"/>
      <c r="AR106" s="437"/>
      <c r="AS106" s="437"/>
      <c r="AT106" s="437"/>
      <c r="AU106" s="437"/>
      <c r="AV106" s="437"/>
      <c r="AW106" s="437"/>
      <c r="AX106" s="437"/>
      <c r="AY106" s="437"/>
      <c r="AZ106" s="437"/>
      <c r="BA106" s="437"/>
      <c r="BB106" s="1327"/>
      <c r="BC106" s="437"/>
      <c r="BD106" s="437"/>
      <c r="BE106" s="437"/>
      <c r="BF106" s="437"/>
      <c r="BG106" s="437"/>
      <c r="BH106" s="437"/>
      <c r="BI106" s="437"/>
      <c r="BJ106" s="437"/>
      <c r="BK106" s="437"/>
      <c r="BL106" s="437"/>
      <c r="BM106" s="1327"/>
      <c r="BN106" s="1327"/>
      <c r="BO106" s="1327"/>
      <c r="BP106" s="1327"/>
      <c r="BQ106" s="1327"/>
      <c r="BR106" s="1327"/>
      <c r="BS106" s="1327"/>
      <c r="BT106" s="1327"/>
      <c r="BU106" s="1327"/>
      <c r="BV106" s="1327"/>
      <c r="BW106" s="1327"/>
      <c r="BX106" s="1327"/>
      <c r="BY106" s="1327"/>
      <c r="BZ106" s="1327"/>
      <c r="CA106" s="1327"/>
      <c r="CB106" s="1327"/>
      <c r="CC106" s="1327"/>
      <c r="CD106" s="1327"/>
      <c r="CE106" s="1327"/>
      <c r="CF106" s="1327"/>
      <c r="CG106" s="1327"/>
      <c r="CH106" s="1327"/>
      <c r="CI106" s="1327"/>
      <c r="CJ106" s="1327"/>
      <c r="CK106" s="1327"/>
      <c r="CL106" s="1327"/>
      <c r="CM106" s="1327"/>
      <c r="CN106" s="1327"/>
      <c r="CO106" s="1327"/>
      <c r="CP106" s="1327"/>
      <c r="CQ106" s="1327"/>
      <c r="CR106" s="1327"/>
      <c r="CS106" s="1327"/>
      <c r="CT106" s="1317"/>
      <c r="CU106" s="419"/>
      <c r="CV106" s="419"/>
      <c r="CW106" s="419"/>
      <c r="CX106" s="419"/>
      <c r="CY106" s="419"/>
      <c r="CZ106" s="419"/>
      <c r="DA106" s="419"/>
      <c r="DB106" s="419"/>
      <c r="DC106" s="419"/>
      <c r="DD106" s="419"/>
      <c r="DE106" s="419"/>
      <c r="DF106" s="419"/>
      <c r="DG106" s="419"/>
    </row>
    <row r="107" ht="18.75" customHeight="1">
      <c r="G107" s="1344"/>
      <c r="H107" s="1345">
        <f t="shared" si="4"/>
        <v>0</v>
      </c>
      <c r="I107" s="1381"/>
      <c r="J107" s="1381"/>
      <c r="K107" s="1381"/>
      <c r="L107" s="1381"/>
      <c r="M107" s="1381"/>
      <c r="N107" s="1381"/>
      <c r="O107" s="1381"/>
      <c r="P107" s="1381"/>
      <c r="Q107" s="1381"/>
      <c r="R107" s="1381"/>
      <c r="T107" s="1349"/>
      <c r="U107" s="1349" t="s">
        <v>123</v>
      </c>
      <c r="V107" s="1349" t="s">
        <v>123</v>
      </c>
      <c r="W107" s="1349"/>
      <c r="X107" s="1349"/>
      <c r="Y107" s="1308"/>
      <c r="Z107" s="437" t="str">
        <f>IFERROR(__xludf.DUMMYFUNCTION("IF(NOT('portfólio'!$AV$7),"""",IF($T107="""","""",IFERROR(query({AtivosDados},""select sum(""&amp;Z$3&amp;"") where Col1='""&amp;$T107&amp;""' label sum(""&amp;Z$3&amp;"") ''""),0)))"),"")</f>
        <v/>
      </c>
      <c r="AA107" s="437" t="str">
        <f>IFERROR(__xludf.DUMMYFUNCTION("IF(NOT('portfólio'!$AV$7),"""",IF($T107="""","""",IFERROR(query({AtivosDados},""select sum(""&amp;AA$3&amp;"") where Col1='""&amp;$T107&amp;""' label sum(""&amp;AA$3&amp;"") ''""),0)))"),"")</f>
        <v/>
      </c>
      <c r="AB107" s="437" t="str">
        <f>IFERROR(__xludf.DUMMYFUNCTION("IF(NOT('portfólio'!$AV$7),"""",IF($T107="""","""",IFERROR(query({AtivosDados},""select sum(""&amp;AB$3&amp;"") where Col1='""&amp;$T107&amp;""' label sum(""&amp;AB$3&amp;"") ''""),0)))"),"")</f>
        <v/>
      </c>
      <c r="AC107" s="437" t="str">
        <f>IFERROR(__xludf.DUMMYFUNCTION("IF(NOT('portfólio'!$AV$7),"""",IF($T107="""","""",IFERROR(query({AtivosDados},""select sum(""&amp;AC$3&amp;"") where Col1='""&amp;$T107&amp;""' label sum(""&amp;AC$3&amp;"") ''""),0)))"),"")</f>
        <v/>
      </c>
      <c r="AD107" s="437" t="str">
        <f>IFERROR(__xludf.DUMMYFUNCTION("IF(NOT('portfólio'!$AV$7),"""",IF($T107="""","""",IFERROR(query({AtivosDados},""select sum(""&amp;AD$3&amp;"") where Col1='""&amp;$T107&amp;""' label sum(""&amp;AD$3&amp;"") ''""),0)))"),"")</f>
        <v/>
      </c>
      <c r="AE107" s="437"/>
      <c r="AF107" s="1327"/>
      <c r="AG107" s="437"/>
      <c r="AH107" s="437"/>
      <c r="AI107" s="437"/>
      <c r="AJ107" s="437"/>
      <c r="AK107" s="437"/>
      <c r="AL107" s="437"/>
      <c r="AM107" s="437"/>
      <c r="AN107" s="437"/>
      <c r="AO107" s="437"/>
      <c r="AP107" s="437"/>
      <c r="AQ107" s="1327"/>
      <c r="AR107" s="437"/>
      <c r="AS107" s="437"/>
      <c r="AT107" s="437"/>
      <c r="AU107" s="437"/>
      <c r="AV107" s="437"/>
      <c r="AW107" s="437"/>
      <c r="AX107" s="437"/>
      <c r="AY107" s="437"/>
      <c r="AZ107" s="437"/>
      <c r="BA107" s="437"/>
      <c r="BB107" s="1327"/>
      <c r="BC107" s="437"/>
      <c r="BD107" s="437"/>
      <c r="BE107" s="437"/>
      <c r="BF107" s="437"/>
      <c r="BG107" s="437"/>
      <c r="BH107" s="437"/>
      <c r="BI107" s="437"/>
      <c r="BJ107" s="437"/>
      <c r="BK107" s="437"/>
      <c r="BL107" s="437"/>
      <c r="BM107" s="1327"/>
      <c r="BN107" s="1327"/>
      <c r="BO107" s="1327"/>
      <c r="BP107" s="1327"/>
      <c r="BQ107" s="1327"/>
      <c r="BR107" s="1327"/>
      <c r="BS107" s="1327"/>
      <c r="BT107" s="1327"/>
      <c r="BU107" s="1327"/>
      <c r="BV107" s="1327"/>
      <c r="BW107" s="1327"/>
      <c r="BX107" s="1327"/>
      <c r="BY107" s="1327"/>
      <c r="BZ107" s="1327"/>
      <c r="CA107" s="1327"/>
      <c r="CB107" s="1327"/>
      <c r="CC107" s="1327"/>
      <c r="CD107" s="1327"/>
      <c r="CE107" s="1327"/>
      <c r="CF107" s="1327"/>
      <c r="CG107" s="1327"/>
      <c r="CH107" s="1327"/>
      <c r="CI107" s="1327"/>
      <c r="CJ107" s="1327"/>
      <c r="CK107" s="1327"/>
      <c r="CL107" s="1327"/>
      <c r="CM107" s="1327"/>
      <c r="CN107" s="1327"/>
      <c r="CO107" s="1327"/>
      <c r="CP107" s="1327"/>
      <c r="CQ107" s="1327"/>
      <c r="CR107" s="1327"/>
      <c r="CS107" s="1327"/>
      <c r="CT107" s="1317"/>
      <c r="CU107" s="419"/>
      <c r="CV107" s="419"/>
      <c r="CW107" s="419"/>
      <c r="CX107" s="419"/>
      <c r="CY107" s="419"/>
      <c r="CZ107" s="419"/>
      <c r="DA107" s="419"/>
      <c r="DB107" s="419"/>
      <c r="DC107" s="419"/>
      <c r="DD107" s="419"/>
      <c r="DE107" s="419"/>
      <c r="DF107" s="419"/>
      <c r="DG107" s="419"/>
    </row>
    <row r="108" ht="18.75" customHeight="1">
      <c r="G108" s="1344"/>
      <c r="H108" s="1345">
        <f t="shared" si="4"/>
        <v>0</v>
      </c>
      <c r="I108" s="1381"/>
      <c r="J108" s="1381"/>
      <c r="K108" s="1381"/>
      <c r="L108" s="1381"/>
      <c r="M108" s="1381"/>
      <c r="N108" s="1381"/>
      <c r="O108" s="1381"/>
      <c r="P108" s="1381"/>
      <c r="Q108" s="1381"/>
      <c r="R108" s="1381"/>
      <c r="T108" s="1349"/>
      <c r="U108" s="1349" t="s">
        <v>123</v>
      </c>
      <c r="V108" s="1349" t="s">
        <v>123</v>
      </c>
      <c r="W108" s="1349"/>
      <c r="X108" s="1349"/>
      <c r="Y108" s="1308"/>
      <c r="Z108" s="437" t="str">
        <f>IFERROR(__xludf.DUMMYFUNCTION("IF(NOT('portfólio'!$AV$7),"""",IF($T108="""","""",IFERROR(query({AtivosDados},""select sum(""&amp;Z$3&amp;"") where Col1='""&amp;$T108&amp;""' label sum(""&amp;Z$3&amp;"") ''""),0)))"),"")</f>
        <v/>
      </c>
      <c r="AA108" s="437" t="str">
        <f>IFERROR(__xludf.DUMMYFUNCTION("IF(NOT('portfólio'!$AV$7),"""",IF($T108="""","""",IFERROR(query({AtivosDados},""select sum(""&amp;AA$3&amp;"") where Col1='""&amp;$T108&amp;""' label sum(""&amp;AA$3&amp;"") ''""),0)))"),"")</f>
        <v/>
      </c>
      <c r="AB108" s="437" t="str">
        <f>IFERROR(__xludf.DUMMYFUNCTION("IF(NOT('portfólio'!$AV$7),"""",IF($T108="""","""",IFERROR(query({AtivosDados},""select sum(""&amp;AB$3&amp;"") where Col1='""&amp;$T108&amp;""' label sum(""&amp;AB$3&amp;"") ''""),0)))"),"")</f>
        <v/>
      </c>
      <c r="AC108" s="437" t="str">
        <f>IFERROR(__xludf.DUMMYFUNCTION("IF(NOT('portfólio'!$AV$7),"""",IF($T108="""","""",IFERROR(query({AtivosDados},""select sum(""&amp;AC$3&amp;"") where Col1='""&amp;$T108&amp;""' label sum(""&amp;AC$3&amp;"") ''""),0)))"),"")</f>
        <v/>
      </c>
      <c r="AD108" s="437" t="str">
        <f>IFERROR(__xludf.DUMMYFUNCTION("IF(NOT('portfólio'!$AV$7),"""",IF($T108="""","""",IFERROR(query({AtivosDados},""select sum(""&amp;AD$3&amp;"") where Col1='""&amp;$T108&amp;""' label sum(""&amp;AD$3&amp;"") ''""),0)))"),"")</f>
        <v/>
      </c>
      <c r="AE108" s="437"/>
      <c r="AF108" s="1327"/>
      <c r="AG108" s="437"/>
      <c r="AH108" s="437"/>
      <c r="AI108" s="437"/>
      <c r="AJ108" s="437"/>
      <c r="AK108" s="437"/>
      <c r="AL108" s="437"/>
      <c r="AM108" s="437"/>
      <c r="AN108" s="437"/>
      <c r="AO108" s="437"/>
      <c r="AP108" s="437"/>
      <c r="AQ108" s="1327"/>
      <c r="AR108" s="437"/>
      <c r="AS108" s="437"/>
      <c r="AT108" s="437"/>
      <c r="AU108" s="437"/>
      <c r="AV108" s="437"/>
      <c r="AW108" s="437"/>
      <c r="AX108" s="437"/>
      <c r="AY108" s="437"/>
      <c r="AZ108" s="437"/>
      <c r="BA108" s="437"/>
      <c r="BB108" s="1327"/>
      <c r="BC108" s="437"/>
      <c r="BD108" s="437"/>
      <c r="BE108" s="437"/>
      <c r="BF108" s="437"/>
      <c r="BG108" s="437"/>
      <c r="BH108" s="437"/>
      <c r="BI108" s="437"/>
      <c r="BJ108" s="437"/>
      <c r="BK108" s="437"/>
      <c r="BL108" s="437"/>
      <c r="BM108" s="1327"/>
      <c r="BN108" s="1327"/>
      <c r="BO108" s="1327"/>
      <c r="BP108" s="1327"/>
      <c r="BQ108" s="1327"/>
      <c r="BR108" s="1327"/>
      <c r="BS108" s="1327"/>
      <c r="BT108" s="1327"/>
      <c r="BU108" s="1327"/>
      <c r="BV108" s="1327"/>
      <c r="BW108" s="1327"/>
      <c r="BX108" s="1327"/>
      <c r="BY108" s="1327"/>
      <c r="BZ108" s="1327"/>
      <c r="CA108" s="1327"/>
      <c r="CB108" s="1327"/>
      <c r="CC108" s="1327"/>
      <c r="CD108" s="1327"/>
      <c r="CE108" s="1327"/>
      <c r="CF108" s="1327"/>
      <c r="CG108" s="1327"/>
      <c r="CH108" s="1327"/>
      <c r="CI108" s="1327"/>
      <c r="CJ108" s="1327"/>
      <c r="CK108" s="1327"/>
      <c r="CL108" s="1327"/>
      <c r="CM108" s="1327"/>
      <c r="CN108" s="1327"/>
      <c r="CO108" s="1327"/>
      <c r="CP108" s="1327"/>
      <c r="CQ108" s="1327"/>
      <c r="CR108" s="1327"/>
      <c r="CS108" s="1327"/>
      <c r="CT108" s="1317"/>
      <c r="CU108" s="419"/>
      <c r="CV108" s="419"/>
      <c r="CW108" s="419"/>
      <c r="CX108" s="419"/>
      <c r="CY108" s="419"/>
      <c r="CZ108" s="419"/>
      <c r="DA108" s="419"/>
      <c r="DB108" s="419"/>
      <c r="DC108" s="419"/>
      <c r="DD108" s="419"/>
      <c r="DE108" s="419"/>
      <c r="DF108" s="419"/>
      <c r="DG108" s="419"/>
    </row>
    <row r="109" ht="18.75" customHeight="1">
      <c r="G109" s="1344"/>
      <c r="H109" s="1345">
        <f t="shared" si="4"/>
        <v>0</v>
      </c>
      <c r="I109" s="1381"/>
      <c r="J109" s="1381"/>
      <c r="K109" s="1381"/>
      <c r="L109" s="1381"/>
      <c r="M109" s="1381"/>
      <c r="N109" s="1381"/>
      <c r="O109" s="1381"/>
      <c r="P109" s="1381"/>
      <c r="Q109" s="1381"/>
      <c r="R109" s="1381"/>
      <c r="T109" s="1349"/>
      <c r="U109" s="1349" t="s">
        <v>123</v>
      </c>
      <c r="V109" s="1349" t="s">
        <v>123</v>
      </c>
      <c r="W109" s="1349"/>
      <c r="X109" s="1349"/>
      <c r="Y109" s="1308"/>
      <c r="Z109" s="437" t="str">
        <f>IFERROR(__xludf.DUMMYFUNCTION("IF(NOT('portfólio'!$AV$7),"""",IF($T109="""","""",IFERROR(query({AtivosDados},""select sum(""&amp;Z$3&amp;"") where Col1='""&amp;$T109&amp;""' label sum(""&amp;Z$3&amp;"") ''""),0)))"),"")</f>
        <v/>
      </c>
      <c r="AA109" s="437" t="str">
        <f>IFERROR(__xludf.DUMMYFUNCTION("IF(NOT('portfólio'!$AV$7),"""",IF($T109="""","""",IFERROR(query({AtivosDados},""select sum(""&amp;AA$3&amp;"") where Col1='""&amp;$T109&amp;""' label sum(""&amp;AA$3&amp;"") ''""),0)))"),"")</f>
        <v/>
      </c>
      <c r="AB109" s="437" t="str">
        <f>IFERROR(__xludf.DUMMYFUNCTION("IF(NOT('portfólio'!$AV$7),"""",IF($T109="""","""",IFERROR(query({AtivosDados},""select sum(""&amp;AB$3&amp;"") where Col1='""&amp;$T109&amp;""' label sum(""&amp;AB$3&amp;"") ''""),0)))"),"")</f>
        <v/>
      </c>
      <c r="AC109" s="437" t="str">
        <f>IFERROR(__xludf.DUMMYFUNCTION("IF(NOT('portfólio'!$AV$7),"""",IF($T109="""","""",IFERROR(query({AtivosDados},""select sum(""&amp;AC$3&amp;"") where Col1='""&amp;$T109&amp;""' label sum(""&amp;AC$3&amp;"") ''""),0)))"),"")</f>
        <v/>
      </c>
      <c r="AD109" s="437" t="str">
        <f>IFERROR(__xludf.DUMMYFUNCTION("IF(NOT('portfólio'!$AV$7),"""",IF($T109="""","""",IFERROR(query({AtivosDados},""select sum(""&amp;AD$3&amp;"") where Col1='""&amp;$T109&amp;""' label sum(""&amp;AD$3&amp;"") ''""),0)))"),"")</f>
        <v/>
      </c>
      <c r="AE109" s="437"/>
      <c r="AF109" s="1327"/>
      <c r="AG109" s="437"/>
      <c r="AH109" s="437"/>
      <c r="AI109" s="437"/>
      <c r="AJ109" s="437"/>
      <c r="AK109" s="437"/>
      <c r="AL109" s="437"/>
      <c r="AM109" s="437"/>
      <c r="AN109" s="437"/>
      <c r="AO109" s="437"/>
      <c r="AP109" s="437"/>
      <c r="AQ109" s="1327"/>
      <c r="AR109" s="437"/>
      <c r="AS109" s="437"/>
      <c r="AT109" s="437"/>
      <c r="AU109" s="437"/>
      <c r="AV109" s="437"/>
      <c r="AW109" s="437"/>
      <c r="AX109" s="437"/>
      <c r="AY109" s="437"/>
      <c r="AZ109" s="437"/>
      <c r="BA109" s="437"/>
      <c r="BB109" s="1327"/>
      <c r="BC109" s="437"/>
      <c r="BD109" s="437"/>
      <c r="BE109" s="437"/>
      <c r="BF109" s="437"/>
      <c r="BG109" s="437"/>
      <c r="BH109" s="437"/>
      <c r="BI109" s="437"/>
      <c r="BJ109" s="437"/>
      <c r="BK109" s="437"/>
      <c r="BL109" s="437"/>
      <c r="BM109" s="1327"/>
      <c r="BN109" s="1327"/>
      <c r="BO109" s="1327"/>
      <c r="BP109" s="1327"/>
      <c r="BQ109" s="1327"/>
      <c r="BR109" s="1327"/>
      <c r="BS109" s="1327"/>
      <c r="BT109" s="1327"/>
      <c r="BU109" s="1327"/>
      <c r="BV109" s="1327"/>
      <c r="BW109" s="1327"/>
      <c r="BX109" s="1327"/>
      <c r="BY109" s="1327"/>
      <c r="BZ109" s="1327"/>
      <c r="CA109" s="1327"/>
      <c r="CB109" s="1327"/>
      <c r="CC109" s="1327"/>
      <c r="CD109" s="1327"/>
      <c r="CE109" s="1327"/>
      <c r="CF109" s="1327"/>
      <c r="CG109" s="1327"/>
      <c r="CH109" s="1327"/>
      <c r="CI109" s="1327"/>
      <c r="CJ109" s="1327"/>
      <c r="CK109" s="1327"/>
      <c r="CL109" s="1327"/>
      <c r="CM109" s="1327"/>
      <c r="CN109" s="1327"/>
      <c r="CO109" s="1327"/>
      <c r="CP109" s="1327"/>
      <c r="CQ109" s="1327"/>
      <c r="CR109" s="1327"/>
      <c r="CS109" s="1327"/>
      <c r="CT109" s="1317"/>
      <c r="CU109" s="419"/>
      <c r="CV109" s="419"/>
      <c r="CW109" s="419"/>
      <c r="CX109" s="419"/>
      <c r="CY109" s="419"/>
      <c r="CZ109" s="419"/>
      <c r="DA109" s="419"/>
      <c r="DB109" s="419"/>
      <c r="DC109" s="419"/>
      <c r="DD109" s="419"/>
      <c r="DE109" s="419"/>
      <c r="DF109" s="419"/>
      <c r="DG109" s="419"/>
    </row>
    <row r="110" ht="18.75" customHeight="1">
      <c r="G110" s="1344"/>
      <c r="H110" s="1345">
        <f t="shared" si="4"/>
        <v>0</v>
      </c>
      <c r="I110" s="1381"/>
      <c r="J110" s="1381"/>
      <c r="K110" s="1381"/>
      <c r="L110" s="1381"/>
      <c r="M110" s="1381"/>
      <c r="N110" s="1381"/>
      <c r="O110" s="1381"/>
      <c r="P110" s="1381"/>
      <c r="Q110" s="1381"/>
      <c r="R110" s="1381"/>
      <c r="T110" s="1349"/>
      <c r="U110" s="1349" t="s">
        <v>123</v>
      </c>
      <c r="V110" s="1349" t="s">
        <v>123</v>
      </c>
      <c r="W110" s="1349"/>
      <c r="X110" s="1349"/>
      <c r="Y110" s="1308"/>
      <c r="Z110" s="437" t="str">
        <f>IFERROR(__xludf.DUMMYFUNCTION("IF(NOT('portfólio'!$AV$7),"""",IF($T110="""","""",IFERROR(query({AtivosDados},""select sum(""&amp;Z$3&amp;"") where Col1='""&amp;$T110&amp;""' label sum(""&amp;Z$3&amp;"") ''""),0)))"),"")</f>
        <v/>
      </c>
      <c r="AA110" s="437" t="str">
        <f>IFERROR(__xludf.DUMMYFUNCTION("IF(NOT('portfólio'!$AV$7),"""",IF($T110="""","""",IFERROR(query({AtivosDados},""select sum(""&amp;AA$3&amp;"") where Col1='""&amp;$T110&amp;""' label sum(""&amp;AA$3&amp;"") ''""),0)))"),"")</f>
        <v/>
      </c>
      <c r="AB110" s="437" t="str">
        <f>IFERROR(__xludf.DUMMYFUNCTION("IF(NOT('portfólio'!$AV$7),"""",IF($T110="""","""",IFERROR(query({AtivosDados},""select sum(""&amp;AB$3&amp;"") where Col1='""&amp;$T110&amp;""' label sum(""&amp;AB$3&amp;"") ''""),0)))"),"")</f>
        <v/>
      </c>
      <c r="AC110" s="437" t="str">
        <f>IFERROR(__xludf.DUMMYFUNCTION("IF(NOT('portfólio'!$AV$7),"""",IF($T110="""","""",IFERROR(query({AtivosDados},""select sum(""&amp;AC$3&amp;"") where Col1='""&amp;$T110&amp;""' label sum(""&amp;AC$3&amp;"") ''""),0)))"),"")</f>
        <v/>
      </c>
      <c r="AD110" s="437" t="str">
        <f>IFERROR(__xludf.DUMMYFUNCTION("IF(NOT('portfólio'!$AV$7),"""",IF($T110="""","""",IFERROR(query({AtivosDados},""select sum(""&amp;AD$3&amp;"") where Col1='""&amp;$T110&amp;""' label sum(""&amp;AD$3&amp;"") ''""),0)))"),"")</f>
        <v/>
      </c>
      <c r="AE110" s="437"/>
      <c r="AF110" s="1327"/>
      <c r="AG110" s="437"/>
      <c r="AH110" s="437"/>
      <c r="AI110" s="437"/>
      <c r="AJ110" s="437"/>
      <c r="AK110" s="437"/>
      <c r="AL110" s="437"/>
      <c r="AM110" s="437"/>
      <c r="AN110" s="437"/>
      <c r="AO110" s="437"/>
      <c r="AP110" s="437"/>
      <c r="AQ110" s="1327"/>
      <c r="AR110" s="437"/>
      <c r="AS110" s="437"/>
      <c r="AT110" s="437"/>
      <c r="AU110" s="437"/>
      <c r="AV110" s="437"/>
      <c r="AW110" s="437"/>
      <c r="AX110" s="437"/>
      <c r="AY110" s="437"/>
      <c r="AZ110" s="437"/>
      <c r="BA110" s="437"/>
      <c r="BB110" s="1327"/>
      <c r="BC110" s="437"/>
      <c r="BD110" s="437"/>
      <c r="BE110" s="437"/>
      <c r="BF110" s="437"/>
      <c r="BG110" s="437"/>
      <c r="BH110" s="437"/>
      <c r="BI110" s="437"/>
      <c r="BJ110" s="437"/>
      <c r="BK110" s="437"/>
      <c r="BL110" s="437"/>
      <c r="BM110" s="1327"/>
      <c r="BN110" s="1327"/>
      <c r="BO110" s="1327"/>
      <c r="BP110" s="1327"/>
      <c r="BQ110" s="1327"/>
      <c r="BR110" s="1327"/>
      <c r="BS110" s="1327"/>
      <c r="BT110" s="1327"/>
      <c r="BU110" s="1327"/>
      <c r="BV110" s="1327"/>
      <c r="BW110" s="1327"/>
      <c r="BX110" s="1327"/>
      <c r="BY110" s="1327"/>
      <c r="BZ110" s="1327"/>
      <c r="CA110" s="1327"/>
      <c r="CB110" s="1327"/>
      <c r="CC110" s="1327"/>
      <c r="CD110" s="1327"/>
      <c r="CE110" s="1327"/>
      <c r="CF110" s="1327"/>
      <c r="CG110" s="1327"/>
      <c r="CH110" s="1327"/>
      <c r="CI110" s="1327"/>
      <c r="CJ110" s="1327"/>
      <c r="CK110" s="1327"/>
      <c r="CL110" s="1327"/>
      <c r="CM110" s="1327"/>
      <c r="CN110" s="1327"/>
      <c r="CO110" s="1327"/>
      <c r="CP110" s="1327"/>
      <c r="CQ110" s="1327"/>
      <c r="CR110" s="1327"/>
      <c r="CS110" s="1327"/>
      <c r="CT110" s="1317"/>
      <c r="CU110" s="419"/>
      <c r="CV110" s="419"/>
      <c r="CW110" s="419"/>
      <c r="CX110" s="419"/>
      <c r="CY110" s="419"/>
      <c r="CZ110" s="419"/>
      <c r="DA110" s="419"/>
      <c r="DB110" s="419"/>
      <c r="DC110" s="419"/>
      <c r="DD110" s="419"/>
      <c r="DE110" s="419"/>
      <c r="DF110" s="419"/>
      <c r="DG110" s="419"/>
    </row>
    <row r="111" ht="18.75" customHeight="1">
      <c r="G111" s="1344"/>
      <c r="H111" s="1345">
        <f t="shared" si="4"/>
        <v>0</v>
      </c>
      <c r="I111" s="1381"/>
      <c r="J111" s="1381"/>
      <c r="K111" s="1381"/>
      <c r="L111" s="1381"/>
      <c r="M111" s="1381"/>
      <c r="N111" s="1381"/>
      <c r="O111" s="1381"/>
      <c r="P111" s="1381"/>
      <c r="Q111" s="1381"/>
      <c r="R111" s="1381"/>
      <c r="T111" s="1349"/>
      <c r="U111" s="1349" t="s">
        <v>123</v>
      </c>
      <c r="V111" s="1349" t="s">
        <v>123</v>
      </c>
      <c r="W111" s="1349"/>
      <c r="X111" s="1349"/>
      <c r="Y111" s="1308"/>
      <c r="Z111" s="437" t="str">
        <f>IFERROR(__xludf.DUMMYFUNCTION("IF(NOT('portfólio'!$AV$7),"""",IF($T111="""","""",IFERROR(query({AtivosDados},""select sum(""&amp;Z$3&amp;"") where Col1='""&amp;$T111&amp;""' label sum(""&amp;Z$3&amp;"") ''""),0)))"),"")</f>
        <v/>
      </c>
      <c r="AA111" s="437" t="str">
        <f>IFERROR(__xludf.DUMMYFUNCTION("IF(NOT('portfólio'!$AV$7),"""",IF($T111="""","""",IFERROR(query({AtivosDados},""select sum(""&amp;AA$3&amp;"") where Col1='""&amp;$T111&amp;""' label sum(""&amp;AA$3&amp;"") ''""),0)))"),"")</f>
        <v/>
      </c>
      <c r="AB111" s="437" t="str">
        <f>IFERROR(__xludf.DUMMYFUNCTION("IF(NOT('portfólio'!$AV$7),"""",IF($T111="""","""",IFERROR(query({AtivosDados},""select sum(""&amp;AB$3&amp;"") where Col1='""&amp;$T111&amp;""' label sum(""&amp;AB$3&amp;"") ''""),0)))"),"")</f>
        <v/>
      </c>
      <c r="AC111" s="437" t="str">
        <f>IFERROR(__xludf.DUMMYFUNCTION("IF(NOT('portfólio'!$AV$7),"""",IF($T111="""","""",IFERROR(query({AtivosDados},""select sum(""&amp;AC$3&amp;"") where Col1='""&amp;$T111&amp;""' label sum(""&amp;AC$3&amp;"") ''""),0)))"),"")</f>
        <v/>
      </c>
      <c r="AD111" s="437" t="str">
        <f>IFERROR(__xludf.DUMMYFUNCTION("IF(NOT('portfólio'!$AV$7),"""",IF($T111="""","""",IFERROR(query({AtivosDados},""select sum(""&amp;AD$3&amp;"") where Col1='""&amp;$T111&amp;""' label sum(""&amp;AD$3&amp;"") ''""),0)))"),"")</f>
        <v/>
      </c>
      <c r="AE111" s="437"/>
      <c r="AF111" s="1327"/>
      <c r="AG111" s="437"/>
      <c r="AH111" s="437"/>
      <c r="AI111" s="437"/>
      <c r="AJ111" s="437"/>
      <c r="AK111" s="437"/>
      <c r="AL111" s="437"/>
      <c r="AM111" s="437"/>
      <c r="AN111" s="437"/>
      <c r="AO111" s="437"/>
      <c r="AP111" s="437"/>
      <c r="AQ111" s="1327"/>
      <c r="AR111" s="437"/>
      <c r="AS111" s="437"/>
      <c r="AT111" s="437"/>
      <c r="AU111" s="437"/>
      <c r="AV111" s="437"/>
      <c r="AW111" s="437"/>
      <c r="AX111" s="437"/>
      <c r="AY111" s="437"/>
      <c r="AZ111" s="437"/>
      <c r="BA111" s="437"/>
      <c r="BB111" s="1327"/>
      <c r="BC111" s="437"/>
      <c r="BD111" s="437"/>
      <c r="BE111" s="437"/>
      <c r="BF111" s="437"/>
      <c r="BG111" s="437"/>
      <c r="BH111" s="437"/>
      <c r="BI111" s="437"/>
      <c r="BJ111" s="437"/>
      <c r="BK111" s="437"/>
      <c r="BL111" s="437"/>
      <c r="BM111" s="1327"/>
      <c r="BN111" s="1327"/>
      <c r="BO111" s="1327"/>
      <c r="BP111" s="1327"/>
      <c r="BQ111" s="1327"/>
      <c r="BR111" s="1327"/>
      <c r="BS111" s="1327"/>
      <c r="BT111" s="1327"/>
      <c r="BU111" s="1327"/>
      <c r="BV111" s="1327"/>
      <c r="BW111" s="1327"/>
      <c r="BX111" s="1327"/>
      <c r="BY111" s="1327"/>
      <c r="BZ111" s="1327"/>
      <c r="CA111" s="1327"/>
      <c r="CB111" s="1327"/>
      <c r="CC111" s="1327"/>
      <c r="CD111" s="1327"/>
      <c r="CE111" s="1327"/>
      <c r="CF111" s="1327"/>
      <c r="CG111" s="1327"/>
      <c r="CH111" s="1327"/>
      <c r="CI111" s="1327"/>
      <c r="CJ111" s="1327"/>
      <c r="CK111" s="1327"/>
      <c r="CL111" s="1327"/>
      <c r="CM111" s="1327"/>
      <c r="CN111" s="1327"/>
      <c r="CO111" s="1327"/>
      <c r="CP111" s="1327"/>
      <c r="CQ111" s="1327"/>
      <c r="CR111" s="1327"/>
      <c r="CS111" s="1327"/>
      <c r="CT111" s="1317"/>
      <c r="CU111" s="419"/>
      <c r="CV111" s="419"/>
      <c r="CW111" s="419"/>
      <c r="CX111" s="419"/>
      <c r="CY111" s="419"/>
      <c r="CZ111" s="419"/>
      <c r="DA111" s="419"/>
      <c r="DB111" s="419"/>
      <c r="DC111" s="419"/>
      <c r="DD111" s="419"/>
      <c r="DE111" s="419"/>
      <c r="DF111" s="419"/>
      <c r="DG111" s="419"/>
    </row>
    <row r="112" ht="18.75" customHeight="1">
      <c r="G112" s="1344"/>
      <c r="H112" s="1345">
        <f t="shared" si="4"/>
        <v>0</v>
      </c>
      <c r="I112" s="1381"/>
      <c r="J112" s="1381"/>
      <c r="K112" s="1381"/>
      <c r="L112" s="1381"/>
      <c r="M112" s="1381"/>
      <c r="N112" s="1381"/>
      <c r="O112" s="1381"/>
      <c r="P112" s="1381"/>
      <c r="Q112" s="1381"/>
      <c r="R112" s="1381"/>
      <c r="T112" s="1349"/>
      <c r="U112" s="1349" t="s">
        <v>123</v>
      </c>
      <c r="V112" s="1349" t="s">
        <v>123</v>
      </c>
      <c r="W112" s="1349"/>
      <c r="X112" s="1349"/>
      <c r="Y112" s="1308"/>
      <c r="Z112" s="437" t="str">
        <f>IFERROR(__xludf.DUMMYFUNCTION("IF(NOT('portfólio'!$AV$7),"""",IF($T112="""","""",IFERROR(query({AtivosDados},""select sum(""&amp;Z$3&amp;"") where Col1='""&amp;$T112&amp;""' label sum(""&amp;Z$3&amp;"") ''""),0)))"),"")</f>
        <v/>
      </c>
      <c r="AA112" s="437" t="str">
        <f>IFERROR(__xludf.DUMMYFUNCTION("IF(NOT('portfólio'!$AV$7),"""",IF($T112="""","""",IFERROR(query({AtivosDados},""select sum(""&amp;AA$3&amp;"") where Col1='""&amp;$T112&amp;""' label sum(""&amp;AA$3&amp;"") ''""),0)))"),"")</f>
        <v/>
      </c>
      <c r="AB112" s="437" t="str">
        <f>IFERROR(__xludf.DUMMYFUNCTION("IF(NOT('portfólio'!$AV$7),"""",IF($T112="""","""",IFERROR(query({AtivosDados},""select sum(""&amp;AB$3&amp;"") where Col1='""&amp;$T112&amp;""' label sum(""&amp;AB$3&amp;"") ''""),0)))"),"")</f>
        <v/>
      </c>
      <c r="AC112" s="437" t="str">
        <f>IFERROR(__xludf.DUMMYFUNCTION("IF(NOT('portfólio'!$AV$7),"""",IF($T112="""","""",IFERROR(query({AtivosDados},""select sum(""&amp;AC$3&amp;"") where Col1='""&amp;$T112&amp;""' label sum(""&amp;AC$3&amp;"") ''""),0)))"),"")</f>
        <v/>
      </c>
      <c r="AD112" s="437" t="str">
        <f>IFERROR(__xludf.DUMMYFUNCTION("IF(NOT('portfólio'!$AV$7),"""",IF($T112="""","""",IFERROR(query({AtivosDados},""select sum(""&amp;AD$3&amp;"") where Col1='""&amp;$T112&amp;""' label sum(""&amp;AD$3&amp;"") ''""),0)))"),"")</f>
        <v/>
      </c>
      <c r="AE112" s="437"/>
      <c r="AF112" s="1327"/>
      <c r="AG112" s="437"/>
      <c r="AH112" s="437"/>
      <c r="AI112" s="437"/>
      <c r="AJ112" s="437"/>
      <c r="AK112" s="437"/>
      <c r="AL112" s="437"/>
      <c r="AM112" s="437"/>
      <c r="AN112" s="437"/>
      <c r="AO112" s="437"/>
      <c r="AP112" s="437"/>
      <c r="AQ112" s="1327"/>
      <c r="AR112" s="437"/>
      <c r="AS112" s="437"/>
      <c r="AT112" s="437"/>
      <c r="AU112" s="437"/>
      <c r="AV112" s="437"/>
      <c r="AW112" s="437"/>
      <c r="AX112" s="437"/>
      <c r="AY112" s="437"/>
      <c r="AZ112" s="437"/>
      <c r="BA112" s="437"/>
      <c r="BB112" s="1327"/>
      <c r="BC112" s="437"/>
      <c r="BD112" s="437"/>
      <c r="BE112" s="437"/>
      <c r="BF112" s="437"/>
      <c r="BG112" s="437"/>
      <c r="BH112" s="437"/>
      <c r="BI112" s="437"/>
      <c r="BJ112" s="437"/>
      <c r="BK112" s="437"/>
      <c r="BL112" s="437"/>
      <c r="BM112" s="1327"/>
      <c r="BN112" s="1327"/>
      <c r="BO112" s="1327"/>
      <c r="BP112" s="1327"/>
      <c r="BQ112" s="1327"/>
      <c r="BR112" s="1327"/>
      <c r="BS112" s="1327"/>
      <c r="BT112" s="1327"/>
      <c r="BU112" s="1327"/>
      <c r="BV112" s="1327"/>
      <c r="BW112" s="1327"/>
      <c r="BX112" s="1327"/>
      <c r="BY112" s="1327"/>
      <c r="BZ112" s="1327"/>
      <c r="CA112" s="1327"/>
      <c r="CB112" s="1327"/>
      <c r="CC112" s="1327"/>
      <c r="CD112" s="1327"/>
      <c r="CE112" s="1327"/>
      <c r="CF112" s="1327"/>
      <c r="CG112" s="1327"/>
      <c r="CH112" s="1327"/>
      <c r="CI112" s="1327"/>
      <c r="CJ112" s="1327"/>
      <c r="CK112" s="1327"/>
      <c r="CL112" s="1327"/>
      <c r="CM112" s="1327"/>
      <c r="CN112" s="1327"/>
      <c r="CO112" s="1327"/>
      <c r="CP112" s="1327"/>
      <c r="CQ112" s="1327"/>
      <c r="CR112" s="1327"/>
      <c r="CS112" s="1327"/>
      <c r="CT112" s="1317"/>
      <c r="CU112" s="419"/>
      <c r="CV112" s="419"/>
      <c r="CW112" s="419"/>
      <c r="CX112" s="419"/>
      <c r="CY112" s="419"/>
      <c r="CZ112" s="419"/>
      <c r="DA112" s="419"/>
      <c r="DB112" s="419"/>
      <c r="DC112" s="419"/>
      <c r="DD112" s="419"/>
      <c r="DE112" s="419"/>
      <c r="DF112" s="419"/>
      <c r="DG112" s="419"/>
    </row>
    <row r="113" ht="18.75" customHeight="1">
      <c r="G113" s="1344"/>
      <c r="H113" s="1345">
        <f t="shared" si="4"/>
        <v>0</v>
      </c>
      <c r="I113" s="1381"/>
      <c r="J113" s="1381"/>
      <c r="K113" s="1381"/>
      <c r="L113" s="1381"/>
      <c r="M113" s="1381"/>
      <c r="N113" s="1381"/>
      <c r="O113" s="1381"/>
      <c r="P113" s="1381"/>
      <c r="Q113" s="1381"/>
      <c r="R113" s="1381"/>
      <c r="T113" s="1349"/>
      <c r="U113" s="1349" t="s">
        <v>123</v>
      </c>
      <c r="V113" s="1349" t="s">
        <v>123</v>
      </c>
      <c r="W113" s="1349"/>
      <c r="X113" s="1349"/>
      <c r="Y113" s="1308"/>
      <c r="Z113" s="437" t="str">
        <f>IFERROR(__xludf.DUMMYFUNCTION("IF(NOT('portfólio'!$AV$7),"""",IF($T113="""","""",IFERROR(query({AtivosDados},""select sum(""&amp;Z$3&amp;"") where Col1='""&amp;$T113&amp;""' label sum(""&amp;Z$3&amp;"") ''""),0)))"),"")</f>
        <v/>
      </c>
      <c r="AA113" s="437" t="str">
        <f>IFERROR(__xludf.DUMMYFUNCTION("IF(NOT('portfólio'!$AV$7),"""",IF($T113="""","""",IFERROR(query({AtivosDados},""select sum(""&amp;AA$3&amp;"") where Col1='""&amp;$T113&amp;""' label sum(""&amp;AA$3&amp;"") ''""),0)))"),"")</f>
        <v/>
      </c>
      <c r="AB113" s="437" t="str">
        <f>IFERROR(__xludf.DUMMYFUNCTION("IF(NOT('portfólio'!$AV$7),"""",IF($T113="""","""",IFERROR(query({AtivosDados},""select sum(""&amp;AB$3&amp;"") where Col1='""&amp;$T113&amp;""' label sum(""&amp;AB$3&amp;"") ''""),0)))"),"")</f>
        <v/>
      </c>
      <c r="AC113" s="437" t="str">
        <f>IFERROR(__xludf.DUMMYFUNCTION("IF(NOT('portfólio'!$AV$7),"""",IF($T113="""","""",IFERROR(query({AtivosDados},""select sum(""&amp;AC$3&amp;"") where Col1='""&amp;$T113&amp;""' label sum(""&amp;AC$3&amp;"") ''""),0)))"),"")</f>
        <v/>
      </c>
      <c r="AD113" s="437" t="str">
        <f>IFERROR(__xludf.DUMMYFUNCTION("IF(NOT('portfólio'!$AV$7),"""",IF($T113="""","""",IFERROR(query({AtivosDados},""select sum(""&amp;AD$3&amp;"") where Col1='""&amp;$T113&amp;""' label sum(""&amp;AD$3&amp;"") ''""),0)))"),"")</f>
        <v/>
      </c>
      <c r="AE113" s="437"/>
      <c r="AF113" s="1327"/>
      <c r="AG113" s="437"/>
      <c r="AH113" s="437"/>
      <c r="AI113" s="437"/>
      <c r="AJ113" s="437"/>
      <c r="AK113" s="437"/>
      <c r="AL113" s="437"/>
      <c r="AM113" s="437"/>
      <c r="AN113" s="437"/>
      <c r="AO113" s="437"/>
      <c r="AP113" s="437"/>
      <c r="AQ113" s="1327"/>
      <c r="AR113" s="437"/>
      <c r="AS113" s="437"/>
      <c r="AT113" s="437"/>
      <c r="AU113" s="437"/>
      <c r="AV113" s="437"/>
      <c r="AW113" s="437"/>
      <c r="AX113" s="437"/>
      <c r="AY113" s="437"/>
      <c r="AZ113" s="437"/>
      <c r="BA113" s="437"/>
      <c r="BB113" s="1327"/>
      <c r="BC113" s="437"/>
      <c r="BD113" s="437"/>
      <c r="BE113" s="437"/>
      <c r="BF113" s="437"/>
      <c r="BG113" s="437"/>
      <c r="BH113" s="437"/>
      <c r="BI113" s="437"/>
      <c r="BJ113" s="437"/>
      <c r="BK113" s="437"/>
      <c r="BL113" s="437"/>
      <c r="BM113" s="1327"/>
      <c r="BN113" s="1327"/>
      <c r="BO113" s="1327"/>
      <c r="BP113" s="1327"/>
      <c r="BQ113" s="1327"/>
      <c r="BR113" s="1327"/>
      <c r="BS113" s="1327"/>
      <c r="BT113" s="1327"/>
      <c r="BU113" s="1327"/>
      <c r="BV113" s="1327"/>
      <c r="BW113" s="1327"/>
      <c r="BX113" s="1327"/>
      <c r="BY113" s="1327"/>
      <c r="BZ113" s="1327"/>
      <c r="CA113" s="1327"/>
      <c r="CB113" s="1327"/>
      <c r="CC113" s="1327"/>
      <c r="CD113" s="1327"/>
      <c r="CE113" s="1327"/>
      <c r="CF113" s="1327"/>
      <c r="CG113" s="1327"/>
      <c r="CH113" s="1327"/>
      <c r="CI113" s="1327"/>
      <c r="CJ113" s="1327"/>
      <c r="CK113" s="1327"/>
      <c r="CL113" s="1327"/>
      <c r="CM113" s="1327"/>
      <c r="CN113" s="1327"/>
      <c r="CO113" s="1327"/>
      <c r="CP113" s="1327"/>
      <c r="CQ113" s="1327"/>
      <c r="CR113" s="1327"/>
      <c r="CS113" s="1327"/>
      <c r="CT113" s="1317"/>
      <c r="CU113" s="419"/>
      <c r="CV113" s="419"/>
      <c r="CW113" s="419"/>
      <c r="CX113" s="419"/>
      <c r="CY113" s="419"/>
      <c r="CZ113" s="419"/>
      <c r="DA113" s="419"/>
      <c r="DB113" s="419"/>
      <c r="DC113" s="419"/>
      <c r="DD113" s="419"/>
      <c r="DE113" s="419"/>
      <c r="DF113" s="419"/>
      <c r="DG113" s="419"/>
    </row>
    <row r="114" ht="18.75" customHeight="1">
      <c r="G114" s="1344"/>
      <c r="H114" s="1345">
        <f t="shared" si="4"/>
        <v>0</v>
      </c>
      <c r="I114" s="1381"/>
      <c r="J114" s="1381"/>
      <c r="K114" s="1381"/>
      <c r="L114" s="1381"/>
      <c r="M114" s="1381"/>
      <c r="N114" s="1381"/>
      <c r="O114" s="1381"/>
      <c r="P114" s="1381"/>
      <c r="Q114" s="1381"/>
      <c r="R114" s="1381"/>
      <c r="T114" s="1349"/>
      <c r="U114" s="1349" t="s">
        <v>123</v>
      </c>
      <c r="V114" s="1349" t="s">
        <v>123</v>
      </c>
      <c r="W114" s="1349"/>
      <c r="X114" s="1349"/>
      <c r="Y114" s="1308"/>
      <c r="Z114" s="437" t="str">
        <f>IFERROR(__xludf.DUMMYFUNCTION("IF(NOT('portfólio'!$AV$7),"""",IF($T114="""","""",IFERROR(query({AtivosDados},""select sum(""&amp;Z$3&amp;"") where Col1='""&amp;$T114&amp;""' label sum(""&amp;Z$3&amp;"") ''""),0)))"),"")</f>
        <v/>
      </c>
      <c r="AA114" s="437" t="str">
        <f>IFERROR(__xludf.DUMMYFUNCTION("IF(NOT('portfólio'!$AV$7),"""",IF($T114="""","""",IFERROR(query({AtivosDados},""select sum(""&amp;AA$3&amp;"") where Col1='""&amp;$T114&amp;""' label sum(""&amp;AA$3&amp;"") ''""),0)))"),"")</f>
        <v/>
      </c>
      <c r="AB114" s="437" t="str">
        <f>IFERROR(__xludf.DUMMYFUNCTION("IF(NOT('portfólio'!$AV$7),"""",IF($T114="""","""",IFERROR(query({AtivosDados},""select sum(""&amp;AB$3&amp;"") where Col1='""&amp;$T114&amp;""' label sum(""&amp;AB$3&amp;"") ''""),0)))"),"")</f>
        <v/>
      </c>
      <c r="AC114" s="437" t="str">
        <f>IFERROR(__xludf.DUMMYFUNCTION("IF(NOT('portfólio'!$AV$7),"""",IF($T114="""","""",IFERROR(query({AtivosDados},""select sum(""&amp;AC$3&amp;"") where Col1='""&amp;$T114&amp;""' label sum(""&amp;AC$3&amp;"") ''""),0)))"),"")</f>
        <v/>
      </c>
      <c r="AD114" s="437" t="str">
        <f>IFERROR(__xludf.DUMMYFUNCTION("IF(NOT('portfólio'!$AV$7),"""",IF($T114="""","""",IFERROR(query({AtivosDados},""select sum(""&amp;AD$3&amp;"") where Col1='""&amp;$T114&amp;""' label sum(""&amp;AD$3&amp;"") ''""),0)))"),"")</f>
        <v/>
      </c>
      <c r="AE114" s="437"/>
      <c r="AF114" s="1327"/>
      <c r="AG114" s="437"/>
      <c r="AH114" s="437"/>
      <c r="AI114" s="437"/>
      <c r="AJ114" s="437"/>
      <c r="AK114" s="437"/>
      <c r="AL114" s="437"/>
      <c r="AM114" s="437"/>
      <c r="AN114" s="437"/>
      <c r="AO114" s="437"/>
      <c r="AP114" s="437"/>
      <c r="AQ114" s="1327"/>
      <c r="AR114" s="437"/>
      <c r="AS114" s="437"/>
      <c r="AT114" s="437"/>
      <c r="AU114" s="437"/>
      <c r="AV114" s="437"/>
      <c r="AW114" s="437"/>
      <c r="AX114" s="437"/>
      <c r="AY114" s="437"/>
      <c r="AZ114" s="437"/>
      <c r="BA114" s="437"/>
      <c r="BB114" s="1327"/>
      <c r="BC114" s="437"/>
      <c r="BD114" s="437"/>
      <c r="BE114" s="437"/>
      <c r="BF114" s="437"/>
      <c r="BG114" s="437"/>
      <c r="BH114" s="437"/>
      <c r="BI114" s="437"/>
      <c r="BJ114" s="437"/>
      <c r="BK114" s="437"/>
      <c r="BL114" s="437"/>
      <c r="BM114" s="1327"/>
      <c r="BN114" s="1327"/>
      <c r="BO114" s="1327"/>
      <c r="BP114" s="1327"/>
      <c r="BQ114" s="1327"/>
      <c r="BR114" s="1327"/>
      <c r="BS114" s="1327"/>
      <c r="BT114" s="1327"/>
      <c r="BU114" s="1327"/>
      <c r="BV114" s="1327"/>
      <c r="BW114" s="1327"/>
      <c r="BX114" s="1327"/>
      <c r="BY114" s="1327"/>
      <c r="BZ114" s="1327"/>
      <c r="CA114" s="1327"/>
      <c r="CB114" s="1327"/>
      <c r="CC114" s="1327"/>
      <c r="CD114" s="1327"/>
      <c r="CE114" s="1327"/>
      <c r="CF114" s="1327"/>
      <c r="CG114" s="1327"/>
      <c r="CH114" s="1327"/>
      <c r="CI114" s="1327"/>
      <c r="CJ114" s="1327"/>
      <c r="CK114" s="1327"/>
      <c r="CL114" s="1327"/>
      <c r="CM114" s="1327"/>
      <c r="CN114" s="1327"/>
      <c r="CO114" s="1327"/>
      <c r="CP114" s="1327"/>
      <c r="CQ114" s="1327"/>
      <c r="CR114" s="1327"/>
      <c r="CS114" s="1327"/>
      <c r="CT114" s="1317"/>
      <c r="CU114" s="1317"/>
      <c r="CV114" s="1317"/>
      <c r="CW114" s="1317"/>
      <c r="CX114" s="1317"/>
      <c r="CY114" s="1317"/>
      <c r="CZ114" s="1317"/>
      <c r="DA114" s="1317"/>
      <c r="DB114" s="1317"/>
      <c r="DC114" s="1317"/>
      <c r="DD114" s="1317"/>
      <c r="DE114" s="1317"/>
      <c r="DF114" s="1317"/>
      <c r="DG114" s="1317"/>
    </row>
    <row r="115" ht="18.75" customHeight="1">
      <c r="G115" s="1344"/>
      <c r="H115" s="1345">
        <f t="shared" si="4"/>
        <v>0</v>
      </c>
      <c r="I115" s="1381"/>
      <c r="J115" s="1381"/>
      <c r="K115" s="1381"/>
      <c r="L115" s="1381"/>
      <c r="M115" s="1381"/>
      <c r="N115" s="1381"/>
      <c r="O115" s="1381"/>
      <c r="P115" s="1381"/>
      <c r="Q115" s="1381"/>
      <c r="R115" s="1381"/>
      <c r="T115" s="1349"/>
      <c r="U115" s="1349" t="s">
        <v>123</v>
      </c>
      <c r="V115" s="1349" t="s">
        <v>123</v>
      </c>
      <c r="W115" s="1349"/>
      <c r="X115" s="1349"/>
      <c r="Y115" s="1308"/>
      <c r="Z115" s="437" t="str">
        <f>IFERROR(__xludf.DUMMYFUNCTION("IF(NOT('portfólio'!$AV$7),"""",IF($T115="""","""",IFERROR(query({AtivosDados},""select sum(""&amp;Z$3&amp;"") where Col1='""&amp;$T115&amp;""' label sum(""&amp;Z$3&amp;"") ''""),0)))"),"")</f>
        <v/>
      </c>
      <c r="AA115" s="437" t="str">
        <f>IFERROR(__xludf.DUMMYFUNCTION("IF(NOT('portfólio'!$AV$7),"""",IF($T115="""","""",IFERROR(query({AtivosDados},""select sum(""&amp;AA$3&amp;"") where Col1='""&amp;$T115&amp;""' label sum(""&amp;AA$3&amp;"") ''""),0)))"),"")</f>
        <v/>
      </c>
      <c r="AB115" s="437" t="str">
        <f>IFERROR(__xludf.DUMMYFUNCTION("IF(NOT('portfólio'!$AV$7),"""",IF($T115="""","""",IFERROR(query({AtivosDados},""select sum(""&amp;AB$3&amp;"") where Col1='""&amp;$T115&amp;""' label sum(""&amp;AB$3&amp;"") ''""),0)))"),"")</f>
        <v/>
      </c>
      <c r="AC115" s="437" t="str">
        <f>IFERROR(__xludf.DUMMYFUNCTION("IF(NOT('portfólio'!$AV$7),"""",IF($T115="""","""",IFERROR(query({AtivosDados},""select sum(""&amp;AC$3&amp;"") where Col1='""&amp;$T115&amp;""' label sum(""&amp;AC$3&amp;"") ''""),0)))"),"")</f>
        <v/>
      </c>
      <c r="AD115" s="437" t="str">
        <f>IFERROR(__xludf.DUMMYFUNCTION("IF(NOT('portfólio'!$AV$7),"""",IF($T115="""","""",IFERROR(query({AtivosDados},""select sum(""&amp;AD$3&amp;"") where Col1='""&amp;$T115&amp;""' label sum(""&amp;AD$3&amp;"") ''""),0)))"),"")</f>
        <v/>
      </c>
      <c r="AE115" s="437"/>
      <c r="AF115" s="1327"/>
      <c r="AG115" s="437"/>
      <c r="AH115" s="437"/>
      <c r="AI115" s="437"/>
      <c r="AJ115" s="437"/>
      <c r="AK115" s="437"/>
      <c r="AL115" s="437"/>
      <c r="AM115" s="437"/>
      <c r="AN115" s="437"/>
      <c r="AO115" s="437"/>
      <c r="AP115" s="437"/>
      <c r="AQ115" s="1327"/>
      <c r="AR115" s="437"/>
      <c r="AS115" s="437"/>
      <c r="AT115" s="437"/>
      <c r="AU115" s="437"/>
      <c r="AV115" s="437"/>
      <c r="AW115" s="437"/>
      <c r="AX115" s="437"/>
      <c r="AY115" s="437"/>
      <c r="AZ115" s="437"/>
      <c r="BA115" s="437"/>
      <c r="BB115" s="1327"/>
      <c r="BC115" s="437"/>
      <c r="BD115" s="437"/>
      <c r="BE115" s="437"/>
      <c r="BF115" s="437"/>
      <c r="BG115" s="437"/>
      <c r="BH115" s="437"/>
      <c r="BI115" s="437"/>
      <c r="BJ115" s="437"/>
      <c r="BK115" s="437"/>
      <c r="BL115" s="437"/>
      <c r="BM115" s="1327"/>
      <c r="BN115" s="1327"/>
      <c r="BO115" s="1327"/>
      <c r="BP115" s="1327"/>
      <c r="BQ115" s="1327"/>
      <c r="BR115" s="1327"/>
      <c r="BS115" s="1327"/>
      <c r="BT115" s="1327"/>
      <c r="BU115" s="1327"/>
      <c r="BV115" s="1327"/>
      <c r="BW115" s="1327"/>
      <c r="BX115" s="1327"/>
      <c r="BY115" s="1327"/>
      <c r="BZ115" s="1327"/>
      <c r="CA115" s="1327"/>
      <c r="CB115" s="1327"/>
      <c r="CC115" s="1327"/>
      <c r="CD115" s="1327"/>
      <c r="CE115" s="1327"/>
      <c r="CF115" s="1327"/>
      <c r="CG115" s="1327"/>
      <c r="CH115" s="1327"/>
      <c r="CI115" s="1327"/>
      <c r="CJ115" s="1327"/>
      <c r="CK115" s="1327"/>
      <c r="CL115" s="1327"/>
      <c r="CM115" s="1327"/>
      <c r="CN115" s="1327"/>
      <c r="CO115" s="1327"/>
      <c r="CP115" s="1327"/>
      <c r="CQ115" s="1327"/>
      <c r="CR115" s="1327"/>
      <c r="CS115" s="1327"/>
      <c r="CT115" s="1317"/>
      <c r="CU115" s="1317"/>
      <c r="CV115" s="1317"/>
      <c r="CW115" s="1317"/>
      <c r="CX115" s="1317"/>
      <c r="CY115" s="1317"/>
      <c r="CZ115" s="1317"/>
      <c r="DA115" s="1317"/>
      <c r="DB115" s="1317"/>
      <c r="DC115" s="1317"/>
      <c r="DD115" s="1317"/>
      <c r="DE115" s="1317"/>
      <c r="DF115" s="1317"/>
      <c r="DG115" s="1317"/>
    </row>
    <row r="116" ht="18.75" customHeight="1">
      <c r="G116" s="1344"/>
      <c r="H116" s="1345">
        <f t="shared" si="4"/>
        <v>0</v>
      </c>
      <c r="I116" s="1381"/>
      <c r="J116" s="1381"/>
      <c r="K116" s="1381"/>
      <c r="L116" s="1381"/>
      <c r="M116" s="1381"/>
      <c r="N116" s="1381"/>
      <c r="O116" s="1381"/>
      <c r="P116" s="1381"/>
      <c r="Q116" s="1381"/>
      <c r="R116" s="1381"/>
      <c r="T116" s="1349"/>
      <c r="U116" s="1349" t="s">
        <v>123</v>
      </c>
      <c r="V116" s="1349" t="s">
        <v>123</v>
      </c>
      <c r="W116" s="1349"/>
      <c r="X116" s="1349"/>
      <c r="Y116" s="1308"/>
      <c r="Z116" s="437" t="str">
        <f>IFERROR(__xludf.DUMMYFUNCTION("IF(NOT('portfólio'!$AV$7),"""",IF($T116="""","""",IFERROR(query({AtivosDados},""select sum(""&amp;Z$3&amp;"") where Col1='""&amp;$T116&amp;""' label sum(""&amp;Z$3&amp;"") ''""),0)))"),"")</f>
        <v/>
      </c>
      <c r="AA116" s="437" t="str">
        <f>IFERROR(__xludf.DUMMYFUNCTION("IF(NOT('portfólio'!$AV$7),"""",IF($T116="""","""",IFERROR(query({AtivosDados},""select sum(""&amp;AA$3&amp;"") where Col1='""&amp;$T116&amp;""' label sum(""&amp;AA$3&amp;"") ''""),0)))"),"")</f>
        <v/>
      </c>
      <c r="AB116" s="437" t="str">
        <f>IFERROR(__xludf.DUMMYFUNCTION("IF(NOT('portfólio'!$AV$7),"""",IF($T116="""","""",IFERROR(query({AtivosDados},""select sum(""&amp;AB$3&amp;"") where Col1='""&amp;$T116&amp;""' label sum(""&amp;AB$3&amp;"") ''""),0)))"),"")</f>
        <v/>
      </c>
      <c r="AC116" s="437" t="str">
        <f>IFERROR(__xludf.DUMMYFUNCTION("IF(NOT('portfólio'!$AV$7),"""",IF($T116="""","""",IFERROR(query({AtivosDados},""select sum(""&amp;AC$3&amp;"") where Col1='""&amp;$T116&amp;""' label sum(""&amp;AC$3&amp;"") ''""),0)))"),"")</f>
        <v/>
      </c>
      <c r="AD116" s="437" t="str">
        <f>IFERROR(__xludf.DUMMYFUNCTION("IF(NOT('portfólio'!$AV$7),"""",IF($T116="""","""",IFERROR(query({AtivosDados},""select sum(""&amp;AD$3&amp;"") where Col1='""&amp;$T116&amp;""' label sum(""&amp;AD$3&amp;"") ''""),0)))"),"")</f>
        <v/>
      </c>
      <c r="AE116" s="437"/>
      <c r="AF116" s="1327"/>
      <c r="AG116" s="437"/>
      <c r="AH116" s="437"/>
      <c r="AI116" s="437"/>
      <c r="AJ116" s="437"/>
      <c r="AK116" s="437"/>
      <c r="AL116" s="437"/>
      <c r="AM116" s="437"/>
      <c r="AN116" s="437"/>
      <c r="AO116" s="437"/>
      <c r="AP116" s="437"/>
      <c r="AQ116" s="1327"/>
      <c r="AR116" s="437"/>
      <c r="AS116" s="437"/>
      <c r="AT116" s="437"/>
      <c r="AU116" s="437"/>
      <c r="AV116" s="437"/>
      <c r="AW116" s="437"/>
      <c r="AX116" s="437"/>
      <c r="AY116" s="437"/>
      <c r="AZ116" s="437"/>
      <c r="BA116" s="437"/>
      <c r="BB116" s="1327"/>
      <c r="BC116" s="437"/>
      <c r="BD116" s="437"/>
      <c r="BE116" s="437"/>
      <c r="BF116" s="437"/>
      <c r="BG116" s="437"/>
      <c r="BH116" s="437"/>
      <c r="BI116" s="437"/>
      <c r="BJ116" s="437"/>
      <c r="BK116" s="437"/>
      <c r="BL116" s="437"/>
      <c r="BM116" s="1327"/>
      <c r="BN116" s="1327"/>
      <c r="BO116" s="1327"/>
      <c r="BP116" s="1327"/>
      <c r="BQ116" s="1327"/>
      <c r="BR116" s="1327"/>
      <c r="BS116" s="1327"/>
      <c r="BT116" s="1327"/>
      <c r="BU116" s="1327"/>
      <c r="BV116" s="1327"/>
      <c r="BW116" s="1327"/>
      <c r="BX116" s="1327"/>
      <c r="BY116" s="1327"/>
      <c r="BZ116" s="1327"/>
      <c r="CA116" s="1327"/>
      <c r="CB116" s="1327"/>
      <c r="CC116" s="1327"/>
      <c r="CD116" s="1327"/>
      <c r="CE116" s="1327"/>
      <c r="CF116" s="1327"/>
      <c r="CG116" s="1327"/>
      <c r="CH116" s="1327"/>
      <c r="CI116" s="1327"/>
      <c r="CJ116" s="1327"/>
      <c r="CK116" s="1327"/>
      <c r="CL116" s="1327"/>
      <c r="CM116" s="1327"/>
      <c r="CN116" s="1327"/>
      <c r="CO116" s="1327"/>
      <c r="CP116" s="1327"/>
      <c r="CQ116" s="1327"/>
      <c r="CR116" s="1327"/>
      <c r="CS116" s="1327"/>
      <c r="CT116" s="1317"/>
      <c r="CU116" s="1317"/>
      <c r="CV116" s="1317"/>
      <c r="CW116" s="1317"/>
      <c r="CX116" s="1317"/>
      <c r="CY116" s="1317"/>
      <c r="CZ116" s="1317"/>
      <c r="DA116" s="1317"/>
      <c r="DB116" s="1317"/>
      <c r="DC116" s="1317"/>
      <c r="DD116" s="1317"/>
      <c r="DE116" s="1317"/>
      <c r="DF116" s="1317"/>
      <c r="DG116" s="1317"/>
    </row>
    <row r="117" ht="18.75" customHeight="1">
      <c r="G117" s="1344"/>
      <c r="H117" s="1345">
        <f t="shared" si="4"/>
        <v>0</v>
      </c>
      <c r="I117" s="1381"/>
      <c r="J117" s="1381"/>
      <c r="K117" s="1381"/>
      <c r="L117" s="1381"/>
      <c r="M117" s="1381"/>
      <c r="N117" s="1381"/>
      <c r="O117" s="1381"/>
      <c r="P117" s="1381"/>
      <c r="Q117" s="1381"/>
      <c r="R117" s="1381"/>
      <c r="T117" s="1349"/>
      <c r="U117" s="1349" t="s">
        <v>123</v>
      </c>
      <c r="V117" s="1349" t="s">
        <v>123</v>
      </c>
      <c r="W117" s="1349"/>
      <c r="X117" s="1349"/>
      <c r="Y117" s="1308"/>
      <c r="Z117" s="437" t="str">
        <f>IFERROR(__xludf.DUMMYFUNCTION("IF(NOT('portfólio'!$AV$7),"""",IF($T117="""","""",IFERROR(query({AtivosDados},""select sum(""&amp;Z$3&amp;"") where Col1='""&amp;$T117&amp;""' label sum(""&amp;Z$3&amp;"") ''""),0)))"),"")</f>
        <v/>
      </c>
      <c r="AA117" s="437" t="str">
        <f>IFERROR(__xludf.DUMMYFUNCTION("IF(NOT('portfólio'!$AV$7),"""",IF($T117="""","""",IFERROR(query({AtivosDados},""select sum(""&amp;AA$3&amp;"") where Col1='""&amp;$T117&amp;""' label sum(""&amp;AA$3&amp;"") ''""),0)))"),"")</f>
        <v/>
      </c>
      <c r="AB117" s="437" t="str">
        <f>IFERROR(__xludf.DUMMYFUNCTION("IF(NOT('portfólio'!$AV$7),"""",IF($T117="""","""",IFERROR(query({AtivosDados},""select sum(""&amp;AB$3&amp;"") where Col1='""&amp;$T117&amp;""' label sum(""&amp;AB$3&amp;"") ''""),0)))"),"")</f>
        <v/>
      </c>
      <c r="AC117" s="437" t="str">
        <f>IFERROR(__xludf.DUMMYFUNCTION("IF(NOT('portfólio'!$AV$7),"""",IF($T117="""","""",IFERROR(query({AtivosDados},""select sum(""&amp;AC$3&amp;"") where Col1='""&amp;$T117&amp;""' label sum(""&amp;AC$3&amp;"") ''""),0)))"),"")</f>
        <v/>
      </c>
      <c r="AD117" s="437" t="str">
        <f>IFERROR(__xludf.DUMMYFUNCTION("IF(NOT('portfólio'!$AV$7),"""",IF($T117="""","""",IFERROR(query({AtivosDados},""select sum(""&amp;AD$3&amp;"") where Col1='""&amp;$T117&amp;""' label sum(""&amp;AD$3&amp;"") ''""),0)))"),"")</f>
        <v/>
      </c>
      <c r="AE117" s="437"/>
      <c r="AF117" s="1327"/>
      <c r="AG117" s="437"/>
      <c r="AH117" s="437"/>
      <c r="AI117" s="437"/>
      <c r="AJ117" s="437"/>
      <c r="AK117" s="437"/>
      <c r="AL117" s="437"/>
      <c r="AM117" s="437"/>
      <c r="AN117" s="437"/>
      <c r="AO117" s="437"/>
      <c r="AP117" s="437"/>
      <c r="AQ117" s="1327"/>
      <c r="AR117" s="437"/>
      <c r="AS117" s="437"/>
      <c r="AT117" s="437"/>
      <c r="AU117" s="437"/>
      <c r="AV117" s="437"/>
      <c r="AW117" s="437"/>
      <c r="AX117" s="437"/>
      <c r="AY117" s="437"/>
      <c r="AZ117" s="437"/>
      <c r="BA117" s="437"/>
      <c r="BB117" s="1327"/>
      <c r="BC117" s="437"/>
      <c r="BD117" s="437"/>
      <c r="BE117" s="437"/>
      <c r="BF117" s="437"/>
      <c r="BG117" s="437"/>
      <c r="BH117" s="437"/>
      <c r="BI117" s="437"/>
      <c r="BJ117" s="437"/>
      <c r="BK117" s="437"/>
      <c r="BL117" s="437"/>
      <c r="BM117" s="1327"/>
      <c r="BN117" s="1327"/>
      <c r="BO117" s="1327"/>
      <c r="BP117" s="1327"/>
      <c r="BQ117" s="1327"/>
      <c r="BR117" s="1327"/>
      <c r="BS117" s="1327"/>
      <c r="BT117" s="1327"/>
      <c r="BU117" s="1327"/>
      <c r="BV117" s="1327"/>
      <c r="BW117" s="1327"/>
      <c r="BX117" s="1327"/>
      <c r="BY117" s="1327"/>
      <c r="BZ117" s="1327"/>
      <c r="CA117" s="1327"/>
      <c r="CB117" s="1327"/>
      <c r="CC117" s="1327"/>
      <c r="CD117" s="1327"/>
      <c r="CE117" s="1327"/>
      <c r="CF117" s="1327"/>
      <c r="CG117" s="1327"/>
      <c r="CH117" s="1327"/>
      <c r="CI117" s="1327"/>
      <c r="CJ117" s="1327"/>
      <c r="CK117" s="1327"/>
      <c r="CL117" s="1327"/>
      <c r="CM117" s="1327"/>
      <c r="CN117" s="1327"/>
      <c r="CO117" s="1327"/>
      <c r="CP117" s="1327"/>
      <c r="CQ117" s="1327"/>
      <c r="CR117" s="1327"/>
      <c r="CS117" s="1327"/>
      <c r="CT117" s="1317"/>
      <c r="CU117" s="1317"/>
      <c r="CV117" s="1317"/>
      <c r="CW117" s="1317"/>
      <c r="CX117" s="1317"/>
      <c r="CY117" s="1317"/>
      <c r="CZ117" s="1317"/>
      <c r="DA117" s="1317"/>
      <c r="DB117" s="1317"/>
      <c r="DC117" s="1317"/>
      <c r="DD117" s="1317"/>
      <c r="DE117" s="1317"/>
      <c r="DF117" s="1317"/>
      <c r="DG117" s="1317"/>
    </row>
    <row r="118" ht="18.75" customHeight="1">
      <c r="G118" s="1344"/>
      <c r="H118" s="1345">
        <f t="shared" si="4"/>
        <v>0</v>
      </c>
      <c r="I118" s="1381"/>
      <c r="J118" s="1381"/>
      <c r="K118" s="1381"/>
      <c r="L118" s="1381"/>
      <c r="M118" s="1381"/>
      <c r="N118" s="1381"/>
      <c r="O118" s="1381"/>
      <c r="P118" s="1381"/>
      <c r="Q118" s="1381"/>
      <c r="R118" s="1381"/>
      <c r="T118" s="1349"/>
      <c r="U118" s="1349" t="s">
        <v>123</v>
      </c>
      <c r="V118" s="1349" t="s">
        <v>123</v>
      </c>
      <c r="W118" s="1349"/>
      <c r="X118" s="1349"/>
      <c r="Y118" s="1308"/>
      <c r="Z118" s="437" t="str">
        <f>IFERROR(__xludf.DUMMYFUNCTION("IF(NOT('portfólio'!$AV$7),"""",IF($T118="""","""",IFERROR(query({AtivosDados},""select sum(""&amp;Z$3&amp;"") where Col1='""&amp;$T118&amp;""' label sum(""&amp;Z$3&amp;"") ''""),0)))"),"")</f>
        <v/>
      </c>
      <c r="AA118" s="437" t="str">
        <f>IFERROR(__xludf.DUMMYFUNCTION("IF(NOT('portfólio'!$AV$7),"""",IF($T118="""","""",IFERROR(query({AtivosDados},""select sum(""&amp;AA$3&amp;"") where Col1='""&amp;$T118&amp;""' label sum(""&amp;AA$3&amp;"") ''""),0)))"),"")</f>
        <v/>
      </c>
      <c r="AB118" s="437" t="str">
        <f>IFERROR(__xludf.DUMMYFUNCTION("IF(NOT('portfólio'!$AV$7),"""",IF($T118="""","""",IFERROR(query({AtivosDados},""select sum(""&amp;AB$3&amp;"") where Col1='""&amp;$T118&amp;""' label sum(""&amp;AB$3&amp;"") ''""),0)))"),"")</f>
        <v/>
      </c>
      <c r="AC118" s="437" t="str">
        <f>IFERROR(__xludf.DUMMYFUNCTION("IF(NOT('portfólio'!$AV$7),"""",IF($T118="""","""",IFERROR(query({AtivosDados},""select sum(""&amp;AC$3&amp;"") where Col1='""&amp;$T118&amp;""' label sum(""&amp;AC$3&amp;"") ''""),0)))"),"")</f>
        <v/>
      </c>
      <c r="AD118" s="437" t="str">
        <f>IFERROR(__xludf.DUMMYFUNCTION("IF(NOT('portfólio'!$AV$7),"""",IF($T118="""","""",IFERROR(query({AtivosDados},""select sum(""&amp;AD$3&amp;"") where Col1='""&amp;$T118&amp;""' label sum(""&amp;AD$3&amp;"") ''""),0)))"),"")</f>
        <v/>
      </c>
      <c r="AE118" s="437"/>
      <c r="AF118" s="1327"/>
      <c r="AG118" s="437"/>
      <c r="AH118" s="437"/>
      <c r="AI118" s="437"/>
      <c r="AJ118" s="437"/>
      <c r="AK118" s="437"/>
      <c r="AL118" s="437"/>
      <c r="AM118" s="437"/>
      <c r="AN118" s="437"/>
      <c r="AO118" s="437"/>
      <c r="AP118" s="437"/>
      <c r="AQ118" s="1327"/>
      <c r="AR118" s="437"/>
      <c r="AS118" s="437"/>
      <c r="AT118" s="437"/>
      <c r="AU118" s="437"/>
      <c r="AV118" s="437"/>
      <c r="AW118" s="437"/>
      <c r="AX118" s="437"/>
      <c r="AY118" s="437"/>
      <c r="AZ118" s="437"/>
      <c r="BA118" s="437"/>
      <c r="BB118" s="1327"/>
      <c r="BC118" s="437"/>
      <c r="BD118" s="437"/>
      <c r="BE118" s="437"/>
      <c r="BF118" s="437"/>
      <c r="BG118" s="437"/>
      <c r="BH118" s="437"/>
      <c r="BI118" s="437"/>
      <c r="BJ118" s="437"/>
      <c r="BK118" s="437"/>
      <c r="BL118" s="437"/>
      <c r="BM118" s="1327"/>
      <c r="BN118" s="1327"/>
      <c r="BO118" s="1327"/>
      <c r="BP118" s="1327"/>
      <c r="BQ118" s="1327"/>
      <c r="BR118" s="1327"/>
      <c r="BS118" s="1327"/>
      <c r="BT118" s="1327"/>
      <c r="BU118" s="1327"/>
      <c r="BV118" s="1327"/>
      <c r="BW118" s="1327"/>
      <c r="BX118" s="1327"/>
      <c r="BY118" s="1327"/>
      <c r="BZ118" s="1327"/>
      <c r="CA118" s="1327"/>
      <c r="CB118" s="1327"/>
      <c r="CC118" s="1327"/>
      <c r="CD118" s="1327"/>
      <c r="CE118" s="1327"/>
      <c r="CF118" s="1327"/>
      <c r="CG118" s="1327"/>
      <c r="CH118" s="1327"/>
      <c r="CI118" s="1327"/>
      <c r="CJ118" s="1327"/>
      <c r="CK118" s="1327"/>
      <c r="CL118" s="1327"/>
      <c r="CM118" s="1327"/>
      <c r="CN118" s="1327"/>
      <c r="CO118" s="1327"/>
      <c r="CP118" s="1327"/>
      <c r="CQ118" s="1327"/>
      <c r="CR118" s="1327"/>
      <c r="CS118" s="1327"/>
      <c r="CT118" s="1317"/>
      <c r="CU118" s="1317"/>
      <c r="CV118" s="1317"/>
      <c r="CW118" s="1317"/>
      <c r="CX118" s="1317"/>
      <c r="CY118" s="1317"/>
      <c r="CZ118" s="1317"/>
      <c r="DA118" s="1317"/>
      <c r="DB118" s="1317"/>
      <c r="DC118" s="1317"/>
      <c r="DD118" s="1317"/>
      <c r="DE118" s="1317"/>
      <c r="DF118" s="1317"/>
      <c r="DG118" s="1317"/>
    </row>
    <row r="119" ht="18.75" customHeight="1">
      <c r="G119" s="1344"/>
      <c r="H119" s="1345">
        <f t="shared" si="4"/>
        <v>0</v>
      </c>
      <c r="I119" s="1381"/>
      <c r="J119" s="1381"/>
      <c r="K119" s="1381"/>
      <c r="L119" s="1381"/>
      <c r="M119" s="1381"/>
      <c r="N119" s="1381"/>
      <c r="O119" s="1381"/>
      <c r="P119" s="1381"/>
      <c r="Q119" s="1381"/>
      <c r="R119" s="1381"/>
      <c r="T119" s="1349"/>
      <c r="U119" s="1349" t="s">
        <v>123</v>
      </c>
      <c r="V119" s="1349" t="s">
        <v>123</v>
      </c>
      <c r="W119" s="1349"/>
      <c r="X119" s="1349"/>
      <c r="Y119" s="1308"/>
      <c r="Z119" s="437" t="str">
        <f>IFERROR(__xludf.DUMMYFUNCTION("IF(NOT('portfólio'!$AV$7),"""",IF($T119="""","""",IFERROR(query({AtivosDados},""select sum(""&amp;Z$3&amp;"") where Col1='""&amp;$T119&amp;""' label sum(""&amp;Z$3&amp;"") ''""),0)))"),"")</f>
        <v/>
      </c>
      <c r="AA119" s="437" t="str">
        <f>IFERROR(__xludf.DUMMYFUNCTION("IF(NOT('portfólio'!$AV$7),"""",IF($T119="""","""",IFERROR(query({AtivosDados},""select sum(""&amp;AA$3&amp;"") where Col1='""&amp;$T119&amp;""' label sum(""&amp;AA$3&amp;"") ''""),0)))"),"")</f>
        <v/>
      </c>
      <c r="AB119" s="437" t="str">
        <f>IFERROR(__xludf.DUMMYFUNCTION("IF(NOT('portfólio'!$AV$7),"""",IF($T119="""","""",IFERROR(query({AtivosDados},""select sum(""&amp;AB$3&amp;"") where Col1='""&amp;$T119&amp;""' label sum(""&amp;AB$3&amp;"") ''""),0)))"),"")</f>
        <v/>
      </c>
      <c r="AC119" s="437" t="str">
        <f>IFERROR(__xludf.DUMMYFUNCTION("IF(NOT('portfólio'!$AV$7),"""",IF($T119="""","""",IFERROR(query({AtivosDados},""select sum(""&amp;AC$3&amp;"") where Col1='""&amp;$T119&amp;""' label sum(""&amp;AC$3&amp;"") ''""),0)))"),"")</f>
        <v/>
      </c>
      <c r="AD119" s="437" t="str">
        <f>IFERROR(__xludf.DUMMYFUNCTION("IF(NOT('portfólio'!$AV$7),"""",IF($T119="""","""",IFERROR(query({AtivosDados},""select sum(""&amp;AD$3&amp;"") where Col1='""&amp;$T119&amp;""' label sum(""&amp;AD$3&amp;"") ''""),0)))"),"")</f>
        <v/>
      </c>
      <c r="AE119" s="437"/>
      <c r="AF119" s="1327"/>
      <c r="AG119" s="437"/>
      <c r="AH119" s="437"/>
      <c r="AI119" s="437"/>
      <c r="AJ119" s="437"/>
      <c r="AK119" s="437"/>
      <c r="AL119" s="437"/>
      <c r="AM119" s="437"/>
      <c r="AN119" s="437"/>
      <c r="AO119" s="437"/>
      <c r="AP119" s="437"/>
      <c r="AQ119" s="1327"/>
      <c r="AR119" s="437"/>
      <c r="AS119" s="437"/>
      <c r="AT119" s="437"/>
      <c r="AU119" s="437"/>
      <c r="AV119" s="437"/>
      <c r="AW119" s="437"/>
      <c r="AX119" s="437"/>
      <c r="AY119" s="437"/>
      <c r="AZ119" s="437"/>
      <c r="BA119" s="437"/>
      <c r="BB119" s="1327"/>
      <c r="BC119" s="437"/>
      <c r="BD119" s="437"/>
      <c r="BE119" s="437"/>
      <c r="BF119" s="437"/>
      <c r="BG119" s="437"/>
      <c r="BH119" s="437"/>
      <c r="BI119" s="437"/>
      <c r="BJ119" s="437"/>
      <c r="BK119" s="437"/>
      <c r="BL119" s="437"/>
      <c r="BM119" s="1327"/>
      <c r="BN119" s="1327"/>
      <c r="BO119" s="1327"/>
      <c r="BP119" s="1327"/>
      <c r="BQ119" s="1327"/>
      <c r="BR119" s="1327"/>
      <c r="BS119" s="1327"/>
      <c r="BT119" s="1327"/>
      <c r="BU119" s="1327"/>
      <c r="BV119" s="1327"/>
      <c r="BW119" s="1327"/>
      <c r="BX119" s="1327"/>
      <c r="BY119" s="1327"/>
      <c r="BZ119" s="1327"/>
      <c r="CA119" s="1327"/>
      <c r="CB119" s="1327"/>
      <c r="CC119" s="1327"/>
      <c r="CD119" s="1327"/>
      <c r="CE119" s="1327"/>
      <c r="CF119" s="1327"/>
      <c r="CG119" s="1327"/>
      <c r="CH119" s="1327"/>
      <c r="CI119" s="1327"/>
      <c r="CJ119" s="1327"/>
      <c r="CK119" s="1327"/>
      <c r="CL119" s="1327"/>
      <c r="CM119" s="1327"/>
      <c r="CN119" s="1327"/>
      <c r="CO119" s="1327"/>
      <c r="CP119" s="1327"/>
      <c r="CQ119" s="1327"/>
      <c r="CR119" s="1327"/>
      <c r="CS119" s="1327"/>
      <c r="CT119" s="1317"/>
      <c r="CU119" s="1317"/>
      <c r="CV119" s="1317"/>
      <c r="CW119" s="1317"/>
      <c r="CX119" s="1317"/>
      <c r="CY119" s="1317"/>
      <c r="CZ119" s="1317"/>
      <c r="DA119" s="1317"/>
      <c r="DB119" s="1317"/>
      <c r="DC119" s="1317"/>
      <c r="DD119" s="1317"/>
      <c r="DE119" s="1317"/>
      <c r="DF119" s="1317"/>
      <c r="DG119" s="1317"/>
    </row>
    <row r="120" ht="18.75" customHeight="1">
      <c r="G120" s="1344"/>
      <c r="H120" s="1345">
        <f t="shared" si="4"/>
        <v>0</v>
      </c>
      <c r="I120" s="1381"/>
      <c r="J120" s="1381"/>
      <c r="K120" s="1381"/>
      <c r="L120" s="1381"/>
      <c r="M120" s="1381"/>
      <c r="N120" s="1381"/>
      <c r="O120" s="1381"/>
      <c r="P120" s="1381"/>
      <c r="Q120" s="1381"/>
      <c r="R120" s="1381"/>
      <c r="T120" s="1349"/>
      <c r="U120" s="1349" t="s">
        <v>123</v>
      </c>
      <c r="V120" s="1349" t="s">
        <v>123</v>
      </c>
      <c r="W120" s="1349"/>
      <c r="X120" s="1349"/>
      <c r="Y120" s="1308"/>
      <c r="Z120" s="437" t="str">
        <f>IFERROR(__xludf.DUMMYFUNCTION("IF(NOT('portfólio'!$AV$7),"""",IF($T120="""","""",IFERROR(query({AtivosDados},""select sum(""&amp;Z$3&amp;"") where Col1='""&amp;$T120&amp;""' label sum(""&amp;Z$3&amp;"") ''""),0)))"),"")</f>
        <v/>
      </c>
      <c r="AA120" s="437" t="str">
        <f>IFERROR(__xludf.DUMMYFUNCTION("IF(NOT('portfólio'!$AV$7),"""",IF($T120="""","""",IFERROR(query({AtivosDados},""select sum(""&amp;AA$3&amp;"") where Col1='""&amp;$T120&amp;""' label sum(""&amp;AA$3&amp;"") ''""),0)))"),"")</f>
        <v/>
      </c>
      <c r="AB120" s="437" t="str">
        <f>IFERROR(__xludf.DUMMYFUNCTION("IF(NOT('portfólio'!$AV$7),"""",IF($T120="""","""",IFERROR(query({AtivosDados},""select sum(""&amp;AB$3&amp;"") where Col1='""&amp;$T120&amp;""' label sum(""&amp;AB$3&amp;"") ''""),0)))"),"")</f>
        <v/>
      </c>
      <c r="AC120" s="437" t="str">
        <f>IFERROR(__xludf.DUMMYFUNCTION("IF(NOT('portfólio'!$AV$7),"""",IF($T120="""","""",IFERROR(query({AtivosDados},""select sum(""&amp;AC$3&amp;"") where Col1='""&amp;$T120&amp;""' label sum(""&amp;AC$3&amp;"") ''""),0)))"),"")</f>
        <v/>
      </c>
      <c r="AD120" s="437" t="str">
        <f>IFERROR(__xludf.DUMMYFUNCTION("IF(NOT('portfólio'!$AV$7),"""",IF($T120="""","""",IFERROR(query({AtivosDados},""select sum(""&amp;AD$3&amp;"") where Col1='""&amp;$T120&amp;""' label sum(""&amp;AD$3&amp;"") ''""),0)))"),"")</f>
        <v/>
      </c>
      <c r="AE120" s="437"/>
      <c r="AF120" s="1327"/>
      <c r="AG120" s="437"/>
      <c r="AH120" s="437"/>
      <c r="AI120" s="437"/>
      <c r="AJ120" s="437"/>
      <c r="AK120" s="437"/>
      <c r="AL120" s="437"/>
      <c r="AM120" s="437"/>
      <c r="AN120" s="437"/>
      <c r="AO120" s="437"/>
      <c r="AP120" s="437"/>
      <c r="AQ120" s="1327"/>
      <c r="AR120" s="437"/>
      <c r="AS120" s="437"/>
      <c r="AT120" s="437"/>
      <c r="AU120" s="437"/>
      <c r="AV120" s="437"/>
      <c r="AW120" s="437"/>
      <c r="AX120" s="437"/>
      <c r="AY120" s="437"/>
      <c r="AZ120" s="437"/>
      <c r="BA120" s="437"/>
      <c r="BB120" s="1327"/>
      <c r="BC120" s="437"/>
      <c r="BD120" s="437"/>
      <c r="BE120" s="437"/>
      <c r="BF120" s="437"/>
      <c r="BG120" s="437"/>
      <c r="BH120" s="437"/>
      <c r="BI120" s="437"/>
      <c r="BJ120" s="437"/>
      <c r="BK120" s="437"/>
      <c r="BL120" s="437"/>
      <c r="BM120" s="1327"/>
      <c r="BN120" s="1327"/>
      <c r="BO120" s="1327"/>
      <c r="BP120" s="1327"/>
      <c r="BQ120" s="1327"/>
      <c r="BR120" s="1327"/>
      <c r="BS120" s="1327"/>
      <c r="BT120" s="1327"/>
      <c r="BU120" s="1327"/>
      <c r="BV120" s="1327"/>
      <c r="BW120" s="1327"/>
      <c r="BX120" s="1327"/>
      <c r="BY120" s="1327"/>
      <c r="BZ120" s="1327"/>
      <c r="CA120" s="1327"/>
      <c r="CB120" s="1327"/>
      <c r="CC120" s="1327"/>
      <c r="CD120" s="1327"/>
      <c r="CE120" s="1327"/>
      <c r="CF120" s="1327"/>
      <c r="CG120" s="1327"/>
      <c r="CH120" s="1327"/>
      <c r="CI120" s="1327"/>
      <c r="CJ120" s="1327"/>
      <c r="CK120" s="1327"/>
      <c r="CL120" s="1327"/>
      <c r="CM120" s="1327"/>
      <c r="CN120" s="1327"/>
      <c r="CO120" s="1327"/>
      <c r="CP120" s="1327"/>
      <c r="CQ120" s="1327"/>
      <c r="CR120" s="1327"/>
      <c r="CS120" s="1327"/>
      <c r="CT120" s="1317"/>
      <c r="CU120" s="1317"/>
      <c r="CV120" s="1317"/>
      <c r="CW120" s="1317"/>
      <c r="CX120" s="1317"/>
      <c r="CY120" s="1317"/>
      <c r="CZ120" s="1317"/>
      <c r="DA120" s="1317"/>
      <c r="DB120" s="1317"/>
      <c r="DC120" s="1317"/>
      <c r="DD120" s="1317"/>
      <c r="DE120" s="1317"/>
      <c r="DF120" s="1317"/>
      <c r="DG120" s="1317"/>
    </row>
    <row r="121" ht="18.75" customHeight="1">
      <c r="G121" s="1344"/>
      <c r="H121" s="1345">
        <f t="shared" si="4"/>
        <v>0</v>
      </c>
      <c r="I121" s="1381"/>
      <c r="J121" s="1381"/>
      <c r="K121" s="1381"/>
      <c r="L121" s="1381"/>
      <c r="M121" s="1381"/>
      <c r="N121" s="1381"/>
      <c r="O121" s="1381"/>
      <c r="P121" s="1381"/>
      <c r="Q121" s="1381"/>
      <c r="R121" s="1381"/>
      <c r="T121" s="1349"/>
      <c r="U121" s="1349" t="s">
        <v>123</v>
      </c>
      <c r="V121" s="1349" t="s">
        <v>123</v>
      </c>
      <c r="W121" s="1349"/>
      <c r="X121" s="1349"/>
      <c r="Y121" s="1308"/>
      <c r="Z121" s="437" t="str">
        <f>IFERROR(__xludf.DUMMYFUNCTION("IF(NOT('portfólio'!$AV$7),"""",IF($T121="""","""",IFERROR(query({AtivosDados},""select sum(""&amp;Z$3&amp;"") where Col1='""&amp;$T121&amp;""' label sum(""&amp;Z$3&amp;"") ''""),0)))"),"")</f>
        <v/>
      </c>
      <c r="AA121" s="437" t="str">
        <f>IFERROR(__xludf.DUMMYFUNCTION("IF(NOT('portfólio'!$AV$7),"""",IF($T121="""","""",IFERROR(query({AtivosDados},""select sum(""&amp;AA$3&amp;"") where Col1='""&amp;$T121&amp;""' label sum(""&amp;AA$3&amp;"") ''""),0)))"),"")</f>
        <v/>
      </c>
      <c r="AB121" s="437" t="str">
        <f>IFERROR(__xludf.DUMMYFUNCTION("IF(NOT('portfólio'!$AV$7),"""",IF($T121="""","""",IFERROR(query({AtivosDados},""select sum(""&amp;AB$3&amp;"") where Col1='""&amp;$T121&amp;""' label sum(""&amp;AB$3&amp;"") ''""),0)))"),"")</f>
        <v/>
      </c>
      <c r="AC121" s="437" t="str">
        <f>IFERROR(__xludf.DUMMYFUNCTION("IF(NOT('portfólio'!$AV$7),"""",IF($T121="""","""",IFERROR(query({AtivosDados},""select sum(""&amp;AC$3&amp;"") where Col1='""&amp;$T121&amp;""' label sum(""&amp;AC$3&amp;"") ''""),0)))"),"")</f>
        <v/>
      </c>
      <c r="AD121" s="437" t="str">
        <f>IFERROR(__xludf.DUMMYFUNCTION("IF(NOT('portfólio'!$AV$7),"""",IF($T121="""","""",IFERROR(query({AtivosDados},""select sum(""&amp;AD$3&amp;"") where Col1='""&amp;$T121&amp;""' label sum(""&amp;AD$3&amp;"") ''""),0)))"),"")</f>
        <v/>
      </c>
      <c r="AE121" s="437"/>
      <c r="AF121" s="1327"/>
      <c r="AG121" s="437"/>
      <c r="AH121" s="437"/>
      <c r="AI121" s="437"/>
      <c r="AJ121" s="437"/>
      <c r="AK121" s="437"/>
      <c r="AL121" s="437"/>
      <c r="AM121" s="437"/>
      <c r="AN121" s="437"/>
      <c r="AO121" s="437"/>
      <c r="AP121" s="437"/>
      <c r="AQ121" s="1327"/>
      <c r="AR121" s="437"/>
      <c r="AS121" s="437"/>
      <c r="AT121" s="437"/>
      <c r="AU121" s="437"/>
      <c r="AV121" s="437"/>
      <c r="AW121" s="437"/>
      <c r="AX121" s="437"/>
      <c r="AY121" s="437"/>
      <c r="AZ121" s="437"/>
      <c r="BA121" s="437"/>
      <c r="BB121" s="1327"/>
      <c r="BC121" s="437"/>
      <c r="BD121" s="437"/>
      <c r="BE121" s="437"/>
      <c r="BF121" s="437"/>
      <c r="BG121" s="437"/>
      <c r="BH121" s="437"/>
      <c r="BI121" s="437"/>
      <c r="BJ121" s="437"/>
      <c r="BK121" s="437"/>
      <c r="BL121" s="437"/>
      <c r="BM121" s="1327"/>
      <c r="BN121" s="1327"/>
      <c r="BO121" s="1327"/>
      <c r="BP121" s="1327"/>
      <c r="BQ121" s="1327"/>
      <c r="BR121" s="1327"/>
      <c r="BS121" s="1327"/>
      <c r="BT121" s="1327"/>
      <c r="BU121" s="1327"/>
      <c r="BV121" s="1327"/>
      <c r="BW121" s="1327"/>
      <c r="BX121" s="1327"/>
      <c r="BY121" s="1327"/>
      <c r="BZ121" s="1327"/>
      <c r="CA121" s="1327"/>
      <c r="CB121" s="1327"/>
      <c r="CC121" s="1327"/>
      <c r="CD121" s="1327"/>
      <c r="CE121" s="1327"/>
      <c r="CF121" s="1327"/>
      <c r="CG121" s="1327"/>
      <c r="CH121" s="1327"/>
      <c r="CI121" s="1327"/>
      <c r="CJ121" s="1327"/>
      <c r="CK121" s="1327"/>
      <c r="CL121" s="1327"/>
      <c r="CM121" s="1327"/>
      <c r="CN121" s="1327"/>
      <c r="CO121" s="1327"/>
      <c r="CP121" s="1327"/>
      <c r="CQ121" s="1327"/>
      <c r="CR121" s="1327"/>
      <c r="CS121" s="1327"/>
      <c r="CT121" s="1317"/>
      <c r="CU121" s="1317"/>
      <c r="CV121" s="1317"/>
      <c r="CW121" s="1317"/>
      <c r="CX121" s="1317"/>
      <c r="CY121" s="1317"/>
      <c r="CZ121" s="1317"/>
      <c r="DA121" s="1317"/>
      <c r="DB121" s="1317"/>
      <c r="DC121" s="1317"/>
      <c r="DD121" s="1317"/>
      <c r="DE121" s="1317"/>
      <c r="DF121" s="1317"/>
      <c r="DG121" s="1317"/>
    </row>
    <row r="122" ht="18.75" customHeight="1">
      <c r="G122" s="1344"/>
      <c r="H122" s="1345">
        <f t="shared" si="4"/>
        <v>0</v>
      </c>
      <c r="I122" s="1381"/>
      <c r="J122" s="1381"/>
      <c r="K122" s="1381"/>
      <c r="L122" s="1381"/>
      <c r="M122" s="1381"/>
      <c r="N122" s="1381"/>
      <c r="O122" s="1381"/>
      <c r="P122" s="1381"/>
      <c r="Q122" s="1381"/>
      <c r="R122" s="1381"/>
      <c r="T122" s="1349"/>
      <c r="U122" s="1349" t="s">
        <v>123</v>
      </c>
      <c r="V122" s="1349" t="s">
        <v>123</v>
      </c>
      <c r="W122" s="1349"/>
      <c r="X122" s="1349"/>
      <c r="Y122" s="1308"/>
      <c r="Z122" s="437" t="str">
        <f>IFERROR(__xludf.DUMMYFUNCTION("IF(NOT('portfólio'!$AV$7),"""",IF($T122="""","""",IFERROR(query({AtivosDados},""select sum(""&amp;Z$3&amp;"") where Col1='""&amp;$T122&amp;""' label sum(""&amp;Z$3&amp;"") ''""),0)))"),"")</f>
        <v/>
      </c>
      <c r="AA122" s="437" t="str">
        <f>IFERROR(__xludf.DUMMYFUNCTION("IF(NOT('portfólio'!$AV$7),"""",IF($T122="""","""",IFERROR(query({AtivosDados},""select sum(""&amp;AA$3&amp;"") where Col1='""&amp;$T122&amp;""' label sum(""&amp;AA$3&amp;"") ''""),0)))"),"")</f>
        <v/>
      </c>
      <c r="AB122" s="437" t="str">
        <f>IFERROR(__xludf.DUMMYFUNCTION("IF(NOT('portfólio'!$AV$7),"""",IF($T122="""","""",IFERROR(query({AtivosDados},""select sum(""&amp;AB$3&amp;"") where Col1='""&amp;$T122&amp;""' label sum(""&amp;AB$3&amp;"") ''""),0)))"),"")</f>
        <v/>
      </c>
      <c r="AC122" s="437" t="str">
        <f>IFERROR(__xludf.DUMMYFUNCTION("IF(NOT('portfólio'!$AV$7),"""",IF($T122="""","""",IFERROR(query({AtivosDados},""select sum(""&amp;AC$3&amp;"") where Col1='""&amp;$T122&amp;""' label sum(""&amp;AC$3&amp;"") ''""),0)))"),"")</f>
        <v/>
      </c>
      <c r="AD122" s="437" t="str">
        <f>IFERROR(__xludf.DUMMYFUNCTION("IF(NOT('portfólio'!$AV$7),"""",IF($T122="""","""",IFERROR(query({AtivosDados},""select sum(""&amp;AD$3&amp;"") where Col1='""&amp;$T122&amp;""' label sum(""&amp;AD$3&amp;"") ''""),0)))"),"")</f>
        <v/>
      </c>
      <c r="AE122" s="437"/>
      <c r="AF122" s="1327"/>
      <c r="AG122" s="437"/>
      <c r="AH122" s="437"/>
      <c r="AI122" s="437"/>
      <c r="AJ122" s="437"/>
      <c r="AK122" s="437"/>
      <c r="AL122" s="437"/>
      <c r="AM122" s="437"/>
      <c r="AN122" s="437"/>
      <c r="AO122" s="437"/>
      <c r="AP122" s="437"/>
      <c r="AQ122" s="1327"/>
      <c r="AR122" s="437"/>
      <c r="AS122" s="437"/>
      <c r="AT122" s="437"/>
      <c r="AU122" s="437"/>
      <c r="AV122" s="437"/>
      <c r="AW122" s="437"/>
      <c r="AX122" s="437"/>
      <c r="AY122" s="437"/>
      <c r="AZ122" s="437"/>
      <c r="BA122" s="437"/>
      <c r="BB122" s="1327"/>
      <c r="BC122" s="437"/>
      <c r="BD122" s="437"/>
      <c r="BE122" s="437"/>
      <c r="BF122" s="437"/>
      <c r="BG122" s="437"/>
      <c r="BH122" s="437"/>
      <c r="BI122" s="437"/>
      <c r="BJ122" s="437"/>
      <c r="BK122" s="437"/>
      <c r="BL122" s="437"/>
      <c r="BM122" s="1327"/>
      <c r="BN122" s="1327"/>
      <c r="BO122" s="1327"/>
      <c r="BP122" s="1327"/>
      <c r="BQ122" s="1327"/>
      <c r="BR122" s="1327"/>
      <c r="BS122" s="1327"/>
      <c r="BT122" s="1327"/>
      <c r="BU122" s="1327"/>
      <c r="BV122" s="1327"/>
      <c r="BW122" s="1327"/>
      <c r="BX122" s="1327"/>
      <c r="BY122" s="1327"/>
      <c r="BZ122" s="1327"/>
      <c r="CA122" s="1327"/>
      <c r="CB122" s="1327"/>
      <c r="CC122" s="1327"/>
      <c r="CD122" s="1327"/>
      <c r="CE122" s="1327"/>
      <c r="CF122" s="1327"/>
      <c r="CG122" s="1327"/>
      <c r="CH122" s="1327"/>
      <c r="CI122" s="1327"/>
      <c r="CJ122" s="1327"/>
      <c r="CK122" s="1327"/>
      <c r="CL122" s="1327"/>
      <c r="CM122" s="1327"/>
      <c r="CN122" s="1327"/>
      <c r="CO122" s="1327"/>
      <c r="CP122" s="1327"/>
      <c r="CQ122" s="1327"/>
      <c r="CR122" s="1327"/>
      <c r="CS122" s="1327"/>
      <c r="CT122" s="1317"/>
      <c r="CU122" s="1317"/>
      <c r="CV122" s="1317"/>
      <c r="CW122" s="1317"/>
      <c r="CX122" s="1317"/>
      <c r="CY122" s="1317"/>
      <c r="CZ122" s="1317"/>
      <c r="DA122" s="1317"/>
      <c r="DB122" s="1317"/>
      <c r="DC122" s="1317"/>
      <c r="DD122" s="1317"/>
      <c r="DE122" s="1317"/>
      <c r="DF122" s="1317"/>
      <c r="DG122" s="1317"/>
    </row>
    <row r="123" ht="18.75" customHeight="1">
      <c r="G123" s="1344"/>
      <c r="H123" s="1345">
        <f t="shared" si="4"/>
        <v>0</v>
      </c>
      <c r="I123" s="1381"/>
      <c r="J123" s="1381"/>
      <c r="K123" s="1381"/>
      <c r="L123" s="1381"/>
      <c r="M123" s="1381"/>
      <c r="N123" s="1381"/>
      <c r="O123" s="1381"/>
      <c r="P123" s="1381"/>
      <c r="Q123" s="1381"/>
      <c r="R123" s="1381"/>
      <c r="T123" s="1349"/>
      <c r="U123" s="1349" t="s">
        <v>123</v>
      </c>
      <c r="V123" s="1349" t="s">
        <v>123</v>
      </c>
      <c r="W123" s="1349"/>
      <c r="X123" s="1349"/>
      <c r="Y123" s="1308"/>
      <c r="Z123" s="437" t="str">
        <f>IFERROR(__xludf.DUMMYFUNCTION("IF(NOT('portfólio'!$AV$7),"""",IF($T123="""","""",IFERROR(query({AtivosDados},""select sum(""&amp;Z$3&amp;"") where Col1='""&amp;$T123&amp;""' label sum(""&amp;Z$3&amp;"") ''""),0)))"),"")</f>
        <v/>
      </c>
      <c r="AA123" s="437" t="str">
        <f>IFERROR(__xludf.DUMMYFUNCTION("IF(NOT('portfólio'!$AV$7),"""",IF($T123="""","""",IFERROR(query({AtivosDados},""select sum(""&amp;AA$3&amp;"") where Col1='""&amp;$T123&amp;""' label sum(""&amp;AA$3&amp;"") ''""),0)))"),"")</f>
        <v/>
      </c>
      <c r="AB123" s="437" t="str">
        <f>IFERROR(__xludf.DUMMYFUNCTION("IF(NOT('portfólio'!$AV$7),"""",IF($T123="""","""",IFERROR(query({AtivosDados},""select sum(""&amp;AB$3&amp;"") where Col1='""&amp;$T123&amp;""' label sum(""&amp;AB$3&amp;"") ''""),0)))"),"")</f>
        <v/>
      </c>
      <c r="AC123" s="437" t="str">
        <f>IFERROR(__xludf.DUMMYFUNCTION("IF(NOT('portfólio'!$AV$7),"""",IF($T123="""","""",IFERROR(query({AtivosDados},""select sum(""&amp;AC$3&amp;"") where Col1='""&amp;$T123&amp;""' label sum(""&amp;AC$3&amp;"") ''""),0)))"),"")</f>
        <v/>
      </c>
      <c r="AD123" s="437" t="str">
        <f>IFERROR(__xludf.DUMMYFUNCTION("IF(NOT('portfólio'!$AV$7),"""",IF($T123="""","""",IFERROR(query({AtivosDados},""select sum(""&amp;AD$3&amp;"") where Col1='""&amp;$T123&amp;""' label sum(""&amp;AD$3&amp;"") ''""),0)))"),"")</f>
        <v/>
      </c>
      <c r="AE123" s="437"/>
      <c r="AF123" s="1327"/>
      <c r="AG123" s="437"/>
      <c r="AH123" s="437"/>
      <c r="AI123" s="437"/>
      <c r="AJ123" s="437"/>
      <c r="AK123" s="437"/>
      <c r="AL123" s="437"/>
      <c r="AM123" s="437"/>
      <c r="AN123" s="437"/>
      <c r="AO123" s="437"/>
      <c r="AP123" s="437"/>
      <c r="AQ123" s="1327"/>
      <c r="AR123" s="437"/>
      <c r="AS123" s="437"/>
      <c r="AT123" s="437"/>
      <c r="AU123" s="437"/>
      <c r="AV123" s="437"/>
      <c r="AW123" s="437"/>
      <c r="AX123" s="437"/>
      <c r="AY123" s="437"/>
      <c r="AZ123" s="437"/>
      <c r="BA123" s="437"/>
      <c r="BB123" s="1327"/>
      <c r="BC123" s="437"/>
      <c r="BD123" s="437"/>
      <c r="BE123" s="437"/>
      <c r="BF123" s="437"/>
      <c r="BG123" s="437"/>
      <c r="BH123" s="437"/>
      <c r="BI123" s="437"/>
      <c r="BJ123" s="437"/>
      <c r="BK123" s="437"/>
      <c r="BL123" s="437"/>
      <c r="BM123" s="1327"/>
      <c r="BN123" s="1327"/>
      <c r="BO123" s="1327"/>
      <c r="BP123" s="1327"/>
      <c r="BQ123" s="1327"/>
      <c r="BR123" s="1327"/>
      <c r="BS123" s="1327"/>
      <c r="BT123" s="1327"/>
      <c r="BU123" s="1327"/>
      <c r="BV123" s="1327"/>
      <c r="BW123" s="1327"/>
      <c r="BX123" s="1327"/>
      <c r="BY123" s="1327"/>
      <c r="BZ123" s="1327"/>
      <c r="CA123" s="1327"/>
      <c r="CB123" s="1327"/>
      <c r="CC123" s="1327"/>
      <c r="CD123" s="1327"/>
      <c r="CE123" s="1327"/>
      <c r="CF123" s="1327"/>
      <c r="CG123" s="1327"/>
      <c r="CH123" s="1327"/>
      <c r="CI123" s="1327"/>
      <c r="CJ123" s="1327"/>
      <c r="CK123" s="1327"/>
      <c r="CL123" s="1327"/>
      <c r="CM123" s="1327"/>
      <c r="CN123" s="1327"/>
      <c r="CO123" s="1327"/>
      <c r="CP123" s="1327"/>
      <c r="CQ123" s="1327"/>
      <c r="CR123" s="1327"/>
      <c r="CS123" s="1327"/>
      <c r="CT123" s="1317"/>
      <c r="CU123" s="1317"/>
      <c r="CV123" s="1317"/>
      <c r="CW123" s="1317"/>
      <c r="CX123" s="1317"/>
      <c r="CY123" s="1317"/>
      <c r="CZ123" s="1317"/>
      <c r="DA123" s="1317"/>
      <c r="DB123" s="1317"/>
      <c r="DC123" s="1317"/>
      <c r="DD123" s="1317"/>
      <c r="DE123" s="1317"/>
      <c r="DF123" s="1317"/>
      <c r="DG123" s="1317"/>
    </row>
    <row r="124" ht="18.75" customHeight="1">
      <c r="G124" s="1344"/>
      <c r="H124" s="1345">
        <f t="shared" si="4"/>
        <v>0</v>
      </c>
      <c r="I124" s="1381"/>
      <c r="J124" s="1381"/>
      <c r="K124" s="1381"/>
      <c r="L124" s="1381"/>
      <c r="M124" s="1381"/>
      <c r="N124" s="1381"/>
      <c r="O124" s="1381"/>
      <c r="P124" s="1381"/>
      <c r="Q124" s="1381"/>
      <c r="R124" s="1381"/>
      <c r="T124" s="1349"/>
      <c r="U124" s="1349" t="s">
        <v>123</v>
      </c>
      <c r="V124" s="1349" t="s">
        <v>123</v>
      </c>
      <c r="W124" s="1349"/>
      <c r="X124" s="1349"/>
      <c r="Y124" s="1308"/>
      <c r="Z124" s="437" t="str">
        <f>IFERROR(__xludf.DUMMYFUNCTION("IF(NOT('portfólio'!$AV$7),"""",IF($T124="""","""",IFERROR(query({AtivosDados},""select sum(""&amp;Z$3&amp;"") where Col1='""&amp;$T124&amp;""' label sum(""&amp;Z$3&amp;"") ''""),0)))"),"")</f>
        <v/>
      </c>
      <c r="AA124" s="437" t="str">
        <f>IFERROR(__xludf.DUMMYFUNCTION("IF(NOT('portfólio'!$AV$7),"""",IF($T124="""","""",IFERROR(query({AtivosDados},""select sum(""&amp;AA$3&amp;"") where Col1='""&amp;$T124&amp;""' label sum(""&amp;AA$3&amp;"") ''""),0)))"),"")</f>
        <v/>
      </c>
      <c r="AB124" s="437" t="str">
        <f>IFERROR(__xludf.DUMMYFUNCTION("IF(NOT('portfólio'!$AV$7),"""",IF($T124="""","""",IFERROR(query({AtivosDados},""select sum(""&amp;AB$3&amp;"") where Col1='""&amp;$T124&amp;""' label sum(""&amp;AB$3&amp;"") ''""),0)))"),"")</f>
        <v/>
      </c>
      <c r="AC124" s="437" t="str">
        <f>IFERROR(__xludf.DUMMYFUNCTION("IF(NOT('portfólio'!$AV$7),"""",IF($T124="""","""",IFERROR(query({AtivosDados},""select sum(""&amp;AC$3&amp;"") where Col1='""&amp;$T124&amp;""' label sum(""&amp;AC$3&amp;"") ''""),0)))"),"")</f>
        <v/>
      </c>
      <c r="AD124" s="437" t="str">
        <f>IFERROR(__xludf.DUMMYFUNCTION("IF(NOT('portfólio'!$AV$7),"""",IF($T124="""","""",IFERROR(query({AtivosDados},""select sum(""&amp;AD$3&amp;"") where Col1='""&amp;$T124&amp;""' label sum(""&amp;AD$3&amp;"") ''""),0)))"),"")</f>
        <v/>
      </c>
      <c r="AE124" s="437"/>
      <c r="AF124" s="1327"/>
      <c r="AG124" s="437"/>
      <c r="AH124" s="437"/>
      <c r="AI124" s="437"/>
      <c r="AJ124" s="437"/>
      <c r="AK124" s="437"/>
      <c r="AL124" s="437"/>
      <c r="AM124" s="437"/>
      <c r="AN124" s="437"/>
      <c r="AO124" s="437"/>
      <c r="AP124" s="437"/>
      <c r="AQ124" s="1327"/>
      <c r="AR124" s="437"/>
      <c r="AS124" s="437"/>
      <c r="AT124" s="437"/>
      <c r="AU124" s="437"/>
      <c r="AV124" s="437"/>
      <c r="AW124" s="437"/>
      <c r="AX124" s="437"/>
      <c r="AY124" s="437"/>
      <c r="AZ124" s="437"/>
      <c r="BA124" s="437"/>
      <c r="BB124" s="1327"/>
      <c r="BC124" s="437"/>
      <c r="BD124" s="437"/>
      <c r="BE124" s="437"/>
      <c r="BF124" s="437"/>
      <c r="BG124" s="437"/>
      <c r="BH124" s="437"/>
      <c r="BI124" s="437"/>
      <c r="BJ124" s="437"/>
      <c r="BK124" s="437"/>
      <c r="BL124" s="437"/>
      <c r="BM124" s="1327"/>
      <c r="BN124" s="1327"/>
      <c r="BO124" s="1327"/>
      <c r="BP124" s="1327"/>
      <c r="BQ124" s="1327"/>
      <c r="BR124" s="1327"/>
      <c r="BS124" s="1327"/>
      <c r="BT124" s="1327"/>
      <c r="BU124" s="1327"/>
      <c r="BV124" s="1327"/>
      <c r="BW124" s="1327"/>
      <c r="BX124" s="1327"/>
      <c r="BY124" s="1327"/>
      <c r="BZ124" s="1327"/>
      <c r="CA124" s="1327"/>
      <c r="CB124" s="1327"/>
      <c r="CC124" s="1327"/>
      <c r="CD124" s="1327"/>
      <c r="CE124" s="1327"/>
      <c r="CF124" s="1327"/>
      <c r="CG124" s="1327"/>
      <c r="CH124" s="1327"/>
      <c r="CI124" s="1327"/>
      <c r="CJ124" s="1327"/>
      <c r="CK124" s="1327"/>
      <c r="CL124" s="1327"/>
      <c r="CM124" s="1327"/>
      <c r="CN124" s="1327"/>
      <c r="CO124" s="1327"/>
      <c r="CP124" s="1327"/>
      <c r="CQ124" s="1327"/>
      <c r="CR124" s="1327"/>
      <c r="CS124" s="1327"/>
      <c r="CT124" s="1317"/>
      <c r="CU124" s="1317"/>
      <c r="CV124" s="1317"/>
      <c r="CW124" s="1317"/>
      <c r="CX124" s="1317"/>
      <c r="CY124" s="1317"/>
      <c r="CZ124" s="1317"/>
      <c r="DA124" s="1317"/>
      <c r="DB124" s="1317"/>
      <c r="DC124" s="1317"/>
      <c r="DD124" s="1317"/>
      <c r="DE124" s="1317"/>
      <c r="DF124" s="1317"/>
      <c r="DG124" s="1317"/>
    </row>
    <row r="125" ht="18.75" customHeight="1">
      <c r="G125" s="1344"/>
      <c r="H125" s="1345">
        <f t="shared" si="4"/>
        <v>0</v>
      </c>
      <c r="I125" s="1381"/>
      <c r="J125" s="1381"/>
      <c r="K125" s="1381"/>
      <c r="L125" s="1381"/>
      <c r="M125" s="1381"/>
      <c r="N125" s="1381"/>
      <c r="O125" s="1381"/>
      <c r="P125" s="1381"/>
      <c r="Q125" s="1381"/>
      <c r="R125" s="1381"/>
      <c r="T125" s="1349"/>
      <c r="U125" s="1349" t="s">
        <v>123</v>
      </c>
      <c r="V125" s="1349" t="s">
        <v>123</v>
      </c>
      <c r="W125" s="1349"/>
      <c r="X125" s="1349"/>
      <c r="Y125" s="1308"/>
      <c r="Z125" s="437" t="str">
        <f>IFERROR(__xludf.DUMMYFUNCTION("IF(NOT('portfólio'!$AV$7),"""",IF($T125="""","""",IFERROR(query({AtivosDados},""select sum(""&amp;Z$3&amp;"") where Col1='""&amp;$T125&amp;""' label sum(""&amp;Z$3&amp;"") ''""),0)))"),"")</f>
        <v/>
      </c>
      <c r="AA125" s="437" t="str">
        <f>IFERROR(__xludf.DUMMYFUNCTION("IF(NOT('portfólio'!$AV$7),"""",IF($T125="""","""",IFERROR(query({AtivosDados},""select sum(""&amp;AA$3&amp;"") where Col1='""&amp;$T125&amp;""' label sum(""&amp;AA$3&amp;"") ''""),0)))"),"")</f>
        <v/>
      </c>
      <c r="AB125" s="437" t="str">
        <f>IFERROR(__xludf.DUMMYFUNCTION("IF(NOT('portfólio'!$AV$7),"""",IF($T125="""","""",IFERROR(query({AtivosDados},""select sum(""&amp;AB$3&amp;"") where Col1='""&amp;$T125&amp;""' label sum(""&amp;AB$3&amp;"") ''""),0)))"),"")</f>
        <v/>
      </c>
      <c r="AC125" s="437" t="str">
        <f>IFERROR(__xludf.DUMMYFUNCTION("IF(NOT('portfólio'!$AV$7),"""",IF($T125="""","""",IFERROR(query({AtivosDados},""select sum(""&amp;AC$3&amp;"") where Col1='""&amp;$T125&amp;""' label sum(""&amp;AC$3&amp;"") ''""),0)))"),"")</f>
        <v/>
      </c>
      <c r="AD125" s="437" t="str">
        <f>IFERROR(__xludf.DUMMYFUNCTION("IF(NOT('portfólio'!$AV$7),"""",IF($T125="""","""",IFERROR(query({AtivosDados},""select sum(""&amp;AD$3&amp;"") where Col1='""&amp;$T125&amp;""' label sum(""&amp;AD$3&amp;"") ''""),0)))"),"")</f>
        <v/>
      </c>
      <c r="AE125" s="437"/>
      <c r="AF125" s="1327"/>
      <c r="AG125" s="437"/>
      <c r="AH125" s="437"/>
      <c r="AI125" s="437"/>
      <c r="AJ125" s="437"/>
      <c r="AK125" s="437"/>
      <c r="AL125" s="437"/>
      <c r="AM125" s="437"/>
      <c r="AN125" s="437"/>
      <c r="AO125" s="437"/>
      <c r="AP125" s="437"/>
      <c r="AQ125" s="1327"/>
      <c r="AR125" s="437"/>
      <c r="AS125" s="437"/>
      <c r="AT125" s="437"/>
      <c r="AU125" s="437"/>
      <c r="AV125" s="437"/>
      <c r="AW125" s="437"/>
      <c r="AX125" s="437"/>
      <c r="AY125" s="437"/>
      <c r="AZ125" s="437"/>
      <c r="BA125" s="437"/>
      <c r="BB125" s="1327"/>
      <c r="BC125" s="437"/>
      <c r="BD125" s="437"/>
      <c r="BE125" s="437"/>
      <c r="BF125" s="437"/>
      <c r="BG125" s="437"/>
      <c r="BH125" s="437"/>
      <c r="BI125" s="437"/>
      <c r="BJ125" s="437"/>
      <c r="BK125" s="437"/>
      <c r="BL125" s="437"/>
      <c r="BM125" s="1327"/>
      <c r="BN125" s="1327"/>
      <c r="BO125" s="1327"/>
      <c r="BP125" s="1327"/>
      <c r="BQ125" s="1327"/>
      <c r="BR125" s="1327"/>
      <c r="BS125" s="1327"/>
      <c r="BT125" s="1327"/>
      <c r="BU125" s="1327"/>
      <c r="BV125" s="1327"/>
      <c r="BW125" s="1327"/>
      <c r="BX125" s="1327"/>
      <c r="BY125" s="1327"/>
      <c r="BZ125" s="1327"/>
      <c r="CA125" s="1327"/>
      <c r="CB125" s="1327"/>
      <c r="CC125" s="1327"/>
      <c r="CD125" s="1327"/>
      <c r="CE125" s="1327"/>
      <c r="CF125" s="1327"/>
      <c r="CG125" s="1327"/>
      <c r="CH125" s="1327"/>
      <c r="CI125" s="1327"/>
      <c r="CJ125" s="1327"/>
      <c r="CK125" s="1327"/>
      <c r="CL125" s="1327"/>
      <c r="CM125" s="1327"/>
      <c r="CN125" s="1327"/>
      <c r="CO125" s="1327"/>
      <c r="CP125" s="1327"/>
      <c r="CQ125" s="1327"/>
      <c r="CR125" s="1327"/>
      <c r="CS125" s="1327"/>
      <c r="CT125" s="1317"/>
      <c r="CU125" s="1317"/>
      <c r="CV125" s="1317"/>
      <c r="CW125" s="1317"/>
      <c r="CX125" s="1317"/>
      <c r="CY125" s="1317"/>
      <c r="CZ125" s="1317"/>
      <c r="DA125" s="1317"/>
      <c r="DB125" s="1317"/>
      <c r="DC125" s="1317"/>
      <c r="DD125" s="1317"/>
      <c r="DE125" s="1317"/>
      <c r="DF125" s="1317"/>
      <c r="DG125" s="1317"/>
    </row>
    <row r="126" ht="18.75" customHeight="1">
      <c r="G126" s="1344"/>
      <c r="H126" s="1345">
        <f t="shared" si="4"/>
        <v>0</v>
      </c>
      <c r="I126" s="1381"/>
      <c r="J126" s="1381"/>
      <c r="K126" s="1381"/>
      <c r="L126" s="1381"/>
      <c r="M126" s="1381"/>
      <c r="N126" s="1381"/>
      <c r="O126" s="1381"/>
      <c r="P126" s="1381"/>
      <c r="Q126" s="1381"/>
      <c r="R126" s="1381"/>
      <c r="T126" s="1349"/>
      <c r="U126" s="1349" t="s">
        <v>123</v>
      </c>
      <c r="V126" s="1349" t="s">
        <v>123</v>
      </c>
      <c r="W126" s="1349"/>
      <c r="X126" s="1349"/>
      <c r="Y126" s="1308"/>
      <c r="Z126" s="437" t="str">
        <f>IFERROR(__xludf.DUMMYFUNCTION("IF(NOT('portfólio'!$AV$7),"""",IF($T126="""","""",IFERROR(query({AtivosDados},""select sum(""&amp;Z$3&amp;"") where Col1='""&amp;$T126&amp;""' label sum(""&amp;Z$3&amp;"") ''""),0)))"),"")</f>
        <v/>
      </c>
      <c r="AA126" s="437" t="str">
        <f>IFERROR(__xludf.DUMMYFUNCTION("IF(NOT('portfólio'!$AV$7),"""",IF($T126="""","""",IFERROR(query({AtivosDados},""select sum(""&amp;AA$3&amp;"") where Col1='""&amp;$T126&amp;""' label sum(""&amp;AA$3&amp;"") ''""),0)))"),"")</f>
        <v/>
      </c>
      <c r="AB126" s="437" t="str">
        <f>IFERROR(__xludf.DUMMYFUNCTION("IF(NOT('portfólio'!$AV$7),"""",IF($T126="""","""",IFERROR(query({AtivosDados},""select sum(""&amp;AB$3&amp;"") where Col1='""&amp;$T126&amp;""' label sum(""&amp;AB$3&amp;"") ''""),0)))"),"")</f>
        <v/>
      </c>
      <c r="AC126" s="437" t="str">
        <f>IFERROR(__xludf.DUMMYFUNCTION("IF(NOT('portfólio'!$AV$7),"""",IF($T126="""","""",IFERROR(query({AtivosDados},""select sum(""&amp;AC$3&amp;"") where Col1='""&amp;$T126&amp;""' label sum(""&amp;AC$3&amp;"") ''""),0)))"),"")</f>
        <v/>
      </c>
      <c r="AD126" s="437" t="str">
        <f>IFERROR(__xludf.DUMMYFUNCTION("IF(NOT('portfólio'!$AV$7),"""",IF($T126="""","""",IFERROR(query({AtivosDados},""select sum(""&amp;AD$3&amp;"") where Col1='""&amp;$T126&amp;""' label sum(""&amp;AD$3&amp;"") ''""),0)))"),"")</f>
        <v/>
      </c>
      <c r="AE126" s="437"/>
      <c r="AF126" s="1327"/>
      <c r="AG126" s="437"/>
      <c r="AH126" s="437"/>
      <c r="AI126" s="437"/>
      <c r="AJ126" s="437"/>
      <c r="AK126" s="437"/>
      <c r="AL126" s="437"/>
      <c r="AM126" s="437"/>
      <c r="AN126" s="437"/>
      <c r="AO126" s="437"/>
      <c r="AP126" s="437"/>
      <c r="AQ126" s="1327"/>
      <c r="AR126" s="437"/>
      <c r="AS126" s="437"/>
      <c r="AT126" s="437"/>
      <c r="AU126" s="437"/>
      <c r="AV126" s="437"/>
      <c r="AW126" s="437"/>
      <c r="AX126" s="437"/>
      <c r="AY126" s="437"/>
      <c r="AZ126" s="437"/>
      <c r="BA126" s="437"/>
      <c r="BB126" s="1327"/>
      <c r="BC126" s="437"/>
      <c r="BD126" s="437"/>
      <c r="BE126" s="437"/>
      <c r="BF126" s="437"/>
      <c r="BG126" s="437"/>
      <c r="BH126" s="437"/>
      <c r="BI126" s="437"/>
      <c r="BJ126" s="437"/>
      <c r="BK126" s="437"/>
      <c r="BL126" s="437"/>
      <c r="BM126" s="1327"/>
      <c r="BN126" s="1327"/>
      <c r="BO126" s="1327"/>
      <c r="BP126" s="1327"/>
      <c r="BQ126" s="1327"/>
      <c r="BR126" s="1327"/>
      <c r="BS126" s="1327"/>
      <c r="BT126" s="1327"/>
      <c r="BU126" s="1327"/>
      <c r="BV126" s="1327"/>
      <c r="BW126" s="1327"/>
      <c r="BX126" s="1327"/>
      <c r="BY126" s="1327"/>
      <c r="BZ126" s="1327"/>
      <c r="CA126" s="1327"/>
      <c r="CB126" s="1327"/>
      <c r="CC126" s="1327"/>
      <c r="CD126" s="1327"/>
      <c r="CE126" s="1327"/>
      <c r="CF126" s="1327"/>
      <c r="CG126" s="1327"/>
      <c r="CH126" s="1327"/>
      <c r="CI126" s="1327"/>
      <c r="CJ126" s="1327"/>
      <c r="CK126" s="1327"/>
      <c r="CL126" s="1327"/>
      <c r="CM126" s="1327"/>
      <c r="CN126" s="1327"/>
      <c r="CO126" s="1327"/>
      <c r="CP126" s="1327"/>
      <c r="CQ126" s="1327"/>
      <c r="CR126" s="1327"/>
      <c r="CS126" s="1327"/>
      <c r="CT126" s="1317"/>
      <c r="CU126" s="1317"/>
      <c r="CV126" s="1317"/>
      <c r="CW126" s="1317"/>
      <c r="CX126" s="1317"/>
      <c r="CY126" s="1317"/>
      <c r="CZ126" s="1317"/>
      <c r="DA126" s="1317"/>
      <c r="DB126" s="1317"/>
      <c r="DC126" s="1317"/>
      <c r="DD126" s="1317"/>
      <c r="DE126" s="1317"/>
      <c r="DF126" s="1317"/>
      <c r="DG126" s="1317"/>
    </row>
    <row r="127" ht="18.75" customHeight="1">
      <c r="G127" s="1344"/>
      <c r="H127" s="1345">
        <f t="shared" si="4"/>
        <v>0</v>
      </c>
      <c r="I127" s="1381"/>
      <c r="J127" s="1381"/>
      <c r="K127" s="1381"/>
      <c r="L127" s="1381"/>
      <c r="M127" s="1381"/>
      <c r="N127" s="1381"/>
      <c r="O127" s="1381"/>
      <c r="P127" s="1381"/>
      <c r="Q127" s="1381"/>
      <c r="R127" s="1381"/>
      <c r="T127" s="1349"/>
      <c r="U127" s="1349" t="s">
        <v>123</v>
      </c>
      <c r="V127" s="1349" t="s">
        <v>123</v>
      </c>
      <c r="W127" s="1349"/>
      <c r="X127" s="1349"/>
      <c r="Y127" s="1308"/>
      <c r="Z127" s="437" t="str">
        <f>IFERROR(__xludf.DUMMYFUNCTION("IF(NOT('portfólio'!$AV$7),"""",IF($T127="""","""",IFERROR(query({AtivosDados},""select sum(""&amp;Z$3&amp;"") where Col1='""&amp;$T127&amp;""' label sum(""&amp;Z$3&amp;"") ''""),0)))"),"")</f>
        <v/>
      </c>
      <c r="AA127" s="437" t="str">
        <f>IFERROR(__xludf.DUMMYFUNCTION("IF(NOT('portfólio'!$AV$7),"""",IF($T127="""","""",IFERROR(query({AtivosDados},""select sum(""&amp;AA$3&amp;"") where Col1='""&amp;$T127&amp;""' label sum(""&amp;AA$3&amp;"") ''""),0)))"),"")</f>
        <v/>
      </c>
      <c r="AB127" s="437" t="str">
        <f>IFERROR(__xludf.DUMMYFUNCTION("IF(NOT('portfólio'!$AV$7),"""",IF($T127="""","""",IFERROR(query({AtivosDados},""select sum(""&amp;AB$3&amp;"") where Col1='""&amp;$T127&amp;""' label sum(""&amp;AB$3&amp;"") ''""),0)))"),"")</f>
        <v/>
      </c>
      <c r="AC127" s="437" t="str">
        <f>IFERROR(__xludf.DUMMYFUNCTION("IF(NOT('portfólio'!$AV$7),"""",IF($T127="""","""",IFERROR(query({AtivosDados},""select sum(""&amp;AC$3&amp;"") where Col1='""&amp;$T127&amp;""' label sum(""&amp;AC$3&amp;"") ''""),0)))"),"")</f>
        <v/>
      </c>
      <c r="AD127" s="437" t="str">
        <f>IFERROR(__xludf.DUMMYFUNCTION("IF(NOT('portfólio'!$AV$7),"""",IF($T127="""","""",IFERROR(query({AtivosDados},""select sum(""&amp;AD$3&amp;"") where Col1='""&amp;$T127&amp;""' label sum(""&amp;AD$3&amp;"") ''""),0)))"),"")</f>
        <v/>
      </c>
      <c r="AE127" s="437"/>
      <c r="AF127" s="1327"/>
      <c r="AG127" s="437"/>
      <c r="AH127" s="437"/>
      <c r="AI127" s="437"/>
      <c r="AJ127" s="437"/>
      <c r="AK127" s="437"/>
      <c r="AL127" s="437"/>
      <c r="AM127" s="437"/>
      <c r="AN127" s="437"/>
      <c r="AO127" s="437"/>
      <c r="AP127" s="437"/>
      <c r="AQ127" s="1327"/>
      <c r="AR127" s="437"/>
      <c r="AS127" s="437"/>
      <c r="AT127" s="437"/>
      <c r="AU127" s="437"/>
      <c r="AV127" s="437"/>
      <c r="AW127" s="437"/>
      <c r="AX127" s="437"/>
      <c r="AY127" s="437"/>
      <c r="AZ127" s="437"/>
      <c r="BA127" s="437"/>
      <c r="BB127" s="1327"/>
      <c r="BC127" s="437"/>
      <c r="BD127" s="437"/>
      <c r="BE127" s="437"/>
      <c r="BF127" s="437"/>
      <c r="BG127" s="437"/>
      <c r="BH127" s="437"/>
      <c r="BI127" s="437"/>
      <c r="BJ127" s="437"/>
      <c r="BK127" s="437"/>
      <c r="BL127" s="437"/>
      <c r="BM127" s="1327"/>
      <c r="BN127" s="1327"/>
      <c r="BO127" s="1327"/>
      <c r="BP127" s="1327"/>
      <c r="BQ127" s="1327"/>
      <c r="BR127" s="1327"/>
      <c r="BS127" s="1327"/>
      <c r="BT127" s="1327"/>
      <c r="BU127" s="1327"/>
      <c r="BV127" s="1327"/>
      <c r="BW127" s="1327"/>
      <c r="BX127" s="1327"/>
      <c r="BY127" s="1327"/>
      <c r="BZ127" s="1327"/>
      <c r="CA127" s="1327"/>
      <c r="CB127" s="1327"/>
      <c r="CC127" s="1327"/>
      <c r="CD127" s="1327"/>
      <c r="CE127" s="1327"/>
      <c r="CF127" s="1327"/>
      <c r="CG127" s="1327"/>
      <c r="CH127" s="1327"/>
      <c r="CI127" s="1327"/>
      <c r="CJ127" s="1327"/>
      <c r="CK127" s="1327"/>
      <c r="CL127" s="1327"/>
      <c r="CM127" s="1327"/>
      <c r="CN127" s="1327"/>
      <c r="CO127" s="1327"/>
      <c r="CP127" s="1327"/>
      <c r="CQ127" s="1327"/>
      <c r="CR127" s="1327"/>
      <c r="CS127" s="1327"/>
      <c r="CT127" s="1317"/>
      <c r="CU127" s="1317"/>
      <c r="CV127" s="1317"/>
      <c r="CW127" s="1317"/>
      <c r="CX127" s="1317"/>
      <c r="CY127" s="1317"/>
      <c r="CZ127" s="1317"/>
      <c r="DA127" s="1317"/>
      <c r="DB127" s="1317"/>
      <c r="DC127" s="1317"/>
      <c r="DD127" s="1317"/>
      <c r="DE127" s="1317"/>
      <c r="DF127" s="1317"/>
      <c r="DG127" s="1317"/>
    </row>
    <row r="128" ht="18.75" customHeight="1">
      <c r="G128" s="1344"/>
      <c r="H128" s="1345">
        <f t="shared" si="4"/>
        <v>0</v>
      </c>
      <c r="I128" s="1381"/>
      <c r="J128" s="1381"/>
      <c r="K128" s="1381"/>
      <c r="L128" s="1381"/>
      <c r="M128" s="1381"/>
      <c r="N128" s="1381"/>
      <c r="O128" s="1381"/>
      <c r="P128" s="1381"/>
      <c r="Q128" s="1381"/>
      <c r="R128" s="1381"/>
      <c r="T128" s="1349"/>
      <c r="U128" s="1349" t="s">
        <v>123</v>
      </c>
      <c r="V128" s="1349" t="s">
        <v>123</v>
      </c>
      <c r="W128" s="1349"/>
      <c r="X128" s="1349"/>
      <c r="Y128" s="1308"/>
      <c r="Z128" s="437" t="str">
        <f>IFERROR(__xludf.DUMMYFUNCTION("IF(NOT('portfólio'!$AV$7),"""",IF($T128="""","""",IFERROR(query({AtivosDados},""select sum(""&amp;Z$3&amp;"") where Col1='""&amp;$T128&amp;""' label sum(""&amp;Z$3&amp;"") ''""),0)))"),"")</f>
        <v/>
      </c>
      <c r="AA128" s="437" t="str">
        <f>IFERROR(__xludf.DUMMYFUNCTION("IF(NOT('portfólio'!$AV$7),"""",IF($T128="""","""",IFERROR(query({AtivosDados},""select sum(""&amp;AA$3&amp;"") where Col1='""&amp;$T128&amp;""' label sum(""&amp;AA$3&amp;"") ''""),0)))"),"")</f>
        <v/>
      </c>
      <c r="AB128" s="437" t="str">
        <f>IFERROR(__xludf.DUMMYFUNCTION("IF(NOT('portfólio'!$AV$7),"""",IF($T128="""","""",IFERROR(query({AtivosDados},""select sum(""&amp;AB$3&amp;"") where Col1='""&amp;$T128&amp;""' label sum(""&amp;AB$3&amp;"") ''""),0)))"),"")</f>
        <v/>
      </c>
      <c r="AC128" s="437" t="str">
        <f>IFERROR(__xludf.DUMMYFUNCTION("IF(NOT('portfólio'!$AV$7),"""",IF($T128="""","""",IFERROR(query({AtivosDados},""select sum(""&amp;AC$3&amp;"") where Col1='""&amp;$T128&amp;""' label sum(""&amp;AC$3&amp;"") ''""),0)))"),"")</f>
        <v/>
      </c>
      <c r="AD128" s="437" t="str">
        <f>IFERROR(__xludf.DUMMYFUNCTION("IF(NOT('portfólio'!$AV$7),"""",IF($T128="""","""",IFERROR(query({AtivosDados},""select sum(""&amp;AD$3&amp;"") where Col1='""&amp;$T128&amp;""' label sum(""&amp;AD$3&amp;"") ''""),0)))"),"")</f>
        <v/>
      </c>
      <c r="AE128" s="437"/>
      <c r="AF128" s="1327"/>
      <c r="AG128" s="437"/>
      <c r="AH128" s="437"/>
      <c r="AI128" s="437"/>
      <c r="AJ128" s="437"/>
      <c r="AK128" s="437"/>
      <c r="AL128" s="437"/>
      <c r="AM128" s="437"/>
      <c r="AN128" s="437"/>
      <c r="AO128" s="437"/>
      <c r="AP128" s="437"/>
      <c r="AQ128" s="1327"/>
      <c r="AR128" s="437"/>
      <c r="AS128" s="437"/>
      <c r="AT128" s="437"/>
      <c r="AU128" s="437"/>
      <c r="AV128" s="437"/>
      <c r="AW128" s="437"/>
      <c r="AX128" s="437"/>
      <c r="AY128" s="437"/>
      <c r="AZ128" s="437"/>
      <c r="BA128" s="437"/>
      <c r="BB128" s="1327"/>
      <c r="BC128" s="437"/>
      <c r="BD128" s="437"/>
      <c r="BE128" s="437"/>
      <c r="BF128" s="437"/>
      <c r="BG128" s="437"/>
      <c r="BH128" s="437"/>
      <c r="BI128" s="437"/>
      <c r="BJ128" s="437"/>
      <c r="BK128" s="437"/>
      <c r="BL128" s="437"/>
      <c r="BM128" s="1327"/>
      <c r="BN128" s="1327"/>
      <c r="BO128" s="1327"/>
      <c r="BP128" s="1327"/>
      <c r="BQ128" s="1327"/>
      <c r="BR128" s="1327"/>
      <c r="BS128" s="1327"/>
      <c r="BT128" s="1327"/>
      <c r="BU128" s="1327"/>
      <c r="BV128" s="1327"/>
      <c r="BW128" s="1327"/>
      <c r="BX128" s="1327"/>
      <c r="BY128" s="1327"/>
      <c r="BZ128" s="1327"/>
      <c r="CA128" s="1327"/>
      <c r="CB128" s="1327"/>
      <c r="CC128" s="1327"/>
      <c r="CD128" s="1327"/>
      <c r="CE128" s="1327"/>
      <c r="CF128" s="1327"/>
      <c r="CG128" s="1327"/>
      <c r="CH128" s="1327"/>
      <c r="CI128" s="1327"/>
      <c r="CJ128" s="1327"/>
      <c r="CK128" s="1327"/>
      <c r="CL128" s="1327"/>
      <c r="CM128" s="1327"/>
      <c r="CN128" s="1327"/>
      <c r="CO128" s="1327"/>
      <c r="CP128" s="1327"/>
      <c r="CQ128" s="1327"/>
      <c r="CR128" s="1327"/>
      <c r="CS128" s="1327"/>
      <c r="CT128" s="1317"/>
      <c r="CU128" s="1317"/>
      <c r="CV128" s="1317"/>
      <c r="CW128" s="1317"/>
      <c r="CX128" s="1317"/>
      <c r="CY128" s="1317"/>
      <c r="CZ128" s="1317"/>
      <c r="DA128" s="1317"/>
      <c r="DB128" s="1317"/>
      <c r="DC128" s="1317"/>
      <c r="DD128" s="1317"/>
      <c r="DE128" s="1317"/>
      <c r="DF128" s="1317"/>
      <c r="DG128" s="1317"/>
    </row>
    <row r="129" ht="18.75" customHeight="1">
      <c r="G129" s="1344"/>
      <c r="H129" s="1345">
        <f t="shared" si="4"/>
        <v>0</v>
      </c>
      <c r="I129" s="1381"/>
      <c r="J129" s="1381"/>
      <c r="K129" s="1381"/>
      <c r="L129" s="1381"/>
      <c r="M129" s="1381"/>
      <c r="N129" s="1381"/>
      <c r="O129" s="1381"/>
      <c r="P129" s="1381"/>
      <c r="Q129" s="1381"/>
      <c r="R129" s="1381"/>
      <c r="T129" s="1349"/>
      <c r="U129" s="1349" t="s">
        <v>123</v>
      </c>
      <c r="V129" s="1349" t="s">
        <v>123</v>
      </c>
      <c r="W129" s="1349"/>
      <c r="X129" s="1349"/>
      <c r="Y129" s="1308"/>
      <c r="Z129" s="437" t="str">
        <f>IFERROR(__xludf.DUMMYFUNCTION("IF(NOT('portfólio'!$AV$7),"""",IF($T129="""","""",IFERROR(query({AtivosDados},""select sum(""&amp;Z$3&amp;"") where Col1='""&amp;$T129&amp;""' label sum(""&amp;Z$3&amp;"") ''""),0)))"),"")</f>
        <v/>
      </c>
      <c r="AA129" s="437" t="str">
        <f>IFERROR(__xludf.DUMMYFUNCTION("IF(NOT('portfólio'!$AV$7),"""",IF($T129="""","""",IFERROR(query({AtivosDados},""select sum(""&amp;AA$3&amp;"") where Col1='""&amp;$T129&amp;""' label sum(""&amp;AA$3&amp;"") ''""),0)))"),"")</f>
        <v/>
      </c>
      <c r="AB129" s="437" t="str">
        <f>IFERROR(__xludf.DUMMYFUNCTION("IF(NOT('portfólio'!$AV$7),"""",IF($T129="""","""",IFERROR(query({AtivosDados},""select sum(""&amp;AB$3&amp;"") where Col1='""&amp;$T129&amp;""' label sum(""&amp;AB$3&amp;"") ''""),0)))"),"")</f>
        <v/>
      </c>
      <c r="AC129" s="437" t="str">
        <f>IFERROR(__xludf.DUMMYFUNCTION("IF(NOT('portfólio'!$AV$7),"""",IF($T129="""","""",IFERROR(query({AtivosDados},""select sum(""&amp;AC$3&amp;"") where Col1='""&amp;$T129&amp;""' label sum(""&amp;AC$3&amp;"") ''""),0)))"),"")</f>
        <v/>
      </c>
      <c r="AD129" s="437" t="str">
        <f>IFERROR(__xludf.DUMMYFUNCTION("IF(NOT('portfólio'!$AV$7),"""",IF($T129="""","""",IFERROR(query({AtivosDados},""select sum(""&amp;AD$3&amp;"") where Col1='""&amp;$T129&amp;""' label sum(""&amp;AD$3&amp;"") ''""),0)))"),"")</f>
        <v/>
      </c>
      <c r="AE129" s="437"/>
      <c r="AF129" s="1327"/>
      <c r="AG129" s="437"/>
      <c r="AH129" s="437"/>
      <c r="AI129" s="437"/>
      <c r="AJ129" s="437"/>
      <c r="AK129" s="437"/>
      <c r="AL129" s="437"/>
      <c r="AM129" s="437"/>
      <c r="AN129" s="437"/>
      <c r="AO129" s="437"/>
      <c r="AP129" s="437"/>
      <c r="AQ129" s="1327"/>
      <c r="AR129" s="437"/>
      <c r="AS129" s="437"/>
      <c r="AT129" s="437"/>
      <c r="AU129" s="437"/>
      <c r="AV129" s="437"/>
      <c r="AW129" s="437"/>
      <c r="AX129" s="437"/>
      <c r="AY129" s="437"/>
      <c r="AZ129" s="437"/>
      <c r="BA129" s="437"/>
      <c r="BB129" s="1327"/>
      <c r="BC129" s="437"/>
      <c r="BD129" s="437"/>
      <c r="BE129" s="437"/>
      <c r="BF129" s="437"/>
      <c r="BG129" s="437"/>
      <c r="BH129" s="437"/>
      <c r="BI129" s="437"/>
      <c r="BJ129" s="437"/>
      <c r="BK129" s="437"/>
      <c r="BL129" s="437"/>
      <c r="BM129" s="1327"/>
      <c r="BN129" s="1327"/>
      <c r="BO129" s="1327"/>
      <c r="BP129" s="1327"/>
      <c r="BQ129" s="1327"/>
      <c r="BR129" s="1327"/>
      <c r="BS129" s="1327"/>
      <c r="BT129" s="1327"/>
      <c r="BU129" s="1327"/>
      <c r="BV129" s="1327"/>
      <c r="BW129" s="1327"/>
      <c r="BX129" s="1327"/>
      <c r="BY129" s="1327"/>
      <c r="BZ129" s="1327"/>
      <c r="CA129" s="1327"/>
      <c r="CB129" s="1327"/>
      <c r="CC129" s="1327"/>
      <c r="CD129" s="1327"/>
      <c r="CE129" s="1327"/>
      <c r="CF129" s="1327"/>
      <c r="CG129" s="1327"/>
      <c r="CH129" s="1327"/>
      <c r="CI129" s="1327"/>
      <c r="CJ129" s="1327"/>
      <c r="CK129" s="1327"/>
      <c r="CL129" s="1327"/>
      <c r="CM129" s="1327"/>
      <c r="CN129" s="1327"/>
      <c r="CO129" s="1327"/>
      <c r="CP129" s="1327"/>
      <c r="CQ129" s="1327"/>
      <c r="CR129" s="1327"/>
      <c r="CS129" s="1327"/>
      <c r="CT129" s="1317"/>
      <c r="CU129" s="1317"/>
      <c r="CV129" s="1317"/>
      <c r="CW129" s="1317"/>
      <c r="CX129" s="1317"/>
      <c r="CY129" s="1317"/>
      <c r="CZ129" s="1317"/>
      <c r="DA129" s="1317"/>
      <c r="DB129" s="1317"/>
      <c r="DC129" s="1317"/>
      <c r="DD129" s="1317"/>
      <c r="DE129" s="1317"/>
      <c r="DF129" s="1317"/>
      <c r="DG129" s="1317"/>
    </row>
    <row r="130" ht="18.75" customHeight="1">
      <c r="G130" s="1344"/>
      <c r="H130" s="1345">
        <f t="shared" si="4"/>
        <v>0</v>
      </c>
      <c r="I130" s="1381"/>
      <c r="J130" s="1381"/>
      <c r="K130" s="1381"/>
      <c r="L130" s="1381"/>
      <c r="M130" s="1381"/>
      <c r="N130" s="1381"/>
      <c r="O130" s="1381"/>
      <c r="P130" s="1381"/>
      <c r="Q130" s="1381"/>
      <c r="R130" s="1381"/>
      <c r="T130" s="1349"/>
      <c r="U130" s="1349" t="s">
        <v>123</v>
      </c>
      <c r="V130" s="1349" t="s">
        <v>123</v>
      </c>
      <c r="W130" s="1349"/>
      <c r="X130" s="1349"/>
      <c r="Y130" s="1308"/>
      <c r="Z130" s="437" t="str">
        <f>IFERROR(__xludf.DUMMYFUNCTION("IF(NOT('portfólio'!$AV$7),"""",IF($T130="""","""",IFERROR(query({AtivosDados},""select sum(""&amp;Z$3&amp;"") where Col1='""&amp;$T130&amp;""' label sum(""&amp;Z$3&amp;"") ''""),0)))"),"")</f>
        <v/>
      </c>
      <c r="AA130" s="437" t="str">
        <f>IFERROR(__xludf.DUMMYFUNCTION("IF(NOT('portfólio'!$AV$7),"""",IF($T130="""","""",IFERROR(query({AtivosDados},""select sum(""&amp;AA$3&amp;"") where Col1='""&amp;$T130&amp;""' label sum(""&amp;AA$3&amp;"") ''""),0)))"),"")</f>
        <v/>
      </c>
      <c r="AB130" s="437" t="str">
        <f>IFERROR(__xludf.DUMMYFUNCTION("IF(NOT('portfólio'!$AV$7),"""",IF($T130="""","""",IFERROR(query({AtivosDados},""select sum(""&amp;AB$3&amp;"") where Col1='""&amp;$T130&amp;""' label sum(""&amp;AB$3&amp;"") ''""),0)))"),"")</f>
        <v/>
      </c>
      <c r="AC130" s="437" t="str">
        <f>IFERROR(__xludf.DUMMYFUNCTION("IF(NOT('portfólio'!$AV$7),"""",IF($T130="""","""",IFERROR(query({AtivosDados},""select sum(""&amp;AC$3&amp;"") where Col1='""&amp;$T130&amp;""' label sum(""&amp;AC$3&amp;"") ''""),0)))"),"")</f>
        <v/>
      </c>
      <c r="AD130" s="437" t="str">
        <f>IFERROR(__xludf.DUMMYFUNCTION("IF(NOT('portfólio'!$AV$7),"""",IF($T130="""","""",IFERROR(query({AtivosDados},""select sum(""&amp;AD$3&amp;"") where Col1='""&amp;$T130&amp;""' label sum(""&amp;AD$3&amp;"") ''""),0)))"),"")</f>
        <v/>
      </c>
      <c r="AE130" s="437"/>
      <c r="AF130" s="1327"/>
      <c r="AG130" s="437"/>
      <c r="AH130" s="437"/>
      <c r="AI130" s="437"/>
      <c r="AJ130" s="437"/>
      <c r="AK130" s="437"/>
      <c r="AL130" s="437"/>
      <c r="AM130" s="437"/>
      <c r="AN130" s="437"/>
      <c r="AO130" s="437"/>
      <c r="AP130" s="437"/>
      <c r="AQ130" s="1327"/>
      <c r="AR130" s="437"/>
      <c r="AS130" s="437"/>
      <c r="AT130" s="437"/>
      <c r="AU130" s="437"/>
      <c r="AV130" s="437"/>
      <c r="AW130" s="437"/>
      <c r="AX130" s="437"/>
      <c r="AY130" s="437"/>
      <c r="AZ130" s="437"/>
      <c r="BA130" s="437"/>
      <c r="BB130" s="1327"/>
      <c r="BC130" s="437"/>
      <c r="BD130" s="437"/>
      <c r="BE130" s="437"/>
      <c r="BF130" s="437"/>
      <c r="BG130" s="437"/>
      <c r="BH130" s="437"/>
      <c r="BI130" s="437"/>
      <c r="BJ130" s="437"/>
      <c r="BK130" s="437"/>
      <c r="BL130" s="437"/>
      <c r="BM130" s="1327"/>
      <c r="BN130" s="1327"/>
      <c r="BO130" s="1327"/>
      <c r="BP130" s="1327"/>
      <c r="BQ130" s="1327"/>
      <c r="BR130" s="1327"/>
      <c r="BS130" s="1327"/>
      <c r="BT130" s="1327"/>
      <c r="BU130" s="1327"/>
      <c r="BV130" s="1327"/>
      <c r="BW130" s="1327"/>
      <c r="BX130" s="1327"/>
      <c r="BY130" s="1327"/>
      <c r="BZ130" s="1327"/>
      <c r="CA130" s="1327"/>
      <c r="CB130" s="1327"/>
      <c r="CC130" s="1327"/>
      <c r="CD130" s="1327"/>
      <c r="CE130" s="1327"/>
      <c r="CF130" s="1327"/>
      <c r="CG130" s="1327"/>
      <c r="CH130" s="1327"/>
      <c r="CI130" s="1327"/>
      <c r="CJ130" s="1327"/>
      <c r="CK130" s="1327"/>
      <c r="CL130" s="1327"/>
      <c r="CM130" s="1327"/>
      <c r="CN130" s="1327"/>
      <c r="CO130" s="1327"/>
      <c r="CP130" s="1327"/>
      <c r="CQ130" s="1327"/>
      <c r="CR130" s="1327"/>
      <c r="CS130" s="1327"/>
      <c r="CT130" s="1317"/>
      <c r="CU130" s="1317"/>
      <c r="CV130" s="1317"/>
      <c r="CW130" s="1317"/>
      <c r="CX130" s="1317"/>
      <c r="CY130" s="1317"/>
      <c r="CZ130" s="1317"/>
      <c r="DA130" s="1317"/>
      <c r="DB130" s="1317"/>
      <c r="DC130" s="1317"/>
      <c r="DD130" s="1317"/>
      <c r="DE130" s="1317"/>
      <c r="DF130" s="1317"/>
      <c r="DG130" s="1317"/>
    </row>
    <row r="131" ht="18.75" customHeight="1">
      <c r="G131" s="1344"/>
      <c r="H131" s="1345">
        <f t="shared" si="4"/>
        <v>0</v>
      </c>
      <c r="I131" s="1381"/>
      <c r="J131" s="1381"/>
      <c r="K131" s="1381"/>
      <c r="L131" s="1381"/>
      <c r="M131" s="1381"/>
      <c r="N131" s="1381"/>
      <c r="O131" s="1381"/>
      <c r="P131" s="1381"/>
      <c r="Q131" s="1381"/>
      <c r="R131" s="1381"/>
      <c r="T131" s="1349"/>
      <c r="U131" s="1349" t="s">
        <v>123</v>
      </c>
      <c r="V131" s="1349" t="s">
        <v>123</v>
      </c>
      <c r="W131" s="1349"/>
      <c r="X131" s="1349"/>
      <c r="Y131" s="1308"/>
      <c r="Z131" s="437" t="str">
        <f>IFERROR(__xludf.DUMMYFUNCTION("IF(NOT('portfólio'!$AV$7),"""",IF($T131="""","""",IFERROR(query({AtivosDados},""select sum(""&amp;Z$3&amp;"") where Col1='""&amp;$T131&amp;""' label sum(""&amp;Z$3&amp;"") ''""),0)))"),"")</f>
        <v/>
      </c>
      <c r="AA131" s="437" t="str">
        <f>IFERROR(__xludf.DUMMYFUNCTION("IF(NOT('portfólio'!$AV$7),"""",IF($T131="""","""",IFERROR(query({AtivosDados},""select sum(""&amp;AA$3&amp;"") where Col1='""&amp;$T131&amp;""' label sum(""&amp;AA$3&amp;"") ''""),0)))"),"")</f>
        <v/>
      </c>
      <c r="AB131" s="437" t="str">
        <f>IFERROR(__xludf.DUMMYFUNCTION("IF(NOT('portfólio'!$AV$7),"""",IF($T131="""","""",IFERROR(query({AtivosDados},""select sum(""&amp;AB$3&amp;"") where Col1='""&amp;$T131&amp;""' label sum(""&amp;AB$3&amp;"") ''""),0)))"),"")</f>
        <v/>
      </c>
      <c r="AC131" s="437" t="str">
        <f>IFERROR(__xludf.DUMMYFUNCTION("IF(NOT('portfólio'!$AV$7),"""",IF($T131="""","""",IFERROR(query({AtivosDados},""select sum(""&amp;AC$3&amp;"") where Col1='""&amp;$T131&amp;""' label sum(""&amp;AC$3&amp;"") ''""),0)))"),"")</f>
        <v/>
      </c>
      <c r="AD131" s="437" t="str">
        <f>IFERROR(__xludf.DUMMYFUNCTION("IF(NOT('portfólio'!$AV$7),"""",IF($T131="""","""",IFERROR(query({AtivosDados},""select sum(""&amp;AD$3&amp;"") where Col1='""&amp;$T131&amp;""' label sum(""&amp;AD$3&amp;"") ''""),0)))"),"")</f>
        <v/>
      </c>
      <c r="AE131" s="437"/>
      <c r="AF131" s="1327"/>
      <c r="AG131" s="437"/>
      <c r="AH131" s="437"/>
      <c r="AI131" s="437"/>
      <c r="AJ131" s="437"/>
      <c r="AK131" s="437"/>
      <c r="AL131" s="437"/>
      <c r="AM131" s="437"/>
      <c r="AN131" s="437"/>
      <c r="AO131" s="437"/>
      <c r="AP131" s="437"/>
      <c r="AQ131" s="1327"/>
      <c r="AR131" s="437"/>
      <c r="AS131" s="437"/>
      <c r="AT131" s="437"/>
      <c r="AU131" s="437"/>
      <c r="AV131" s="437"/>
      <c r="AW131" s="437"/>
      <c r="AX131" s="437"/>
      <c r="AY131" s="437"/>
      <c r="AZ131" s="437"/>
      <c r="BA131" s="437"/>
      <c r="BB131" s="1327"/>
      <c r="BC131" s="437"/>
      <c r="BD131" s="437"/>
      <c r="BE131" s="437"/>
      <c r="BF131" s="437"/>
      <c r="BG131" s="437"/>
      <c r="BH131" s="437"/>
      <c r="BI131" s="437"/>
      <c r="BJ131" s="437"/>
      <c r="BK131" s="437"/>
      <c r="BL131" s="437"/>
      <c r="BM131" s="1327"/>
      <c r="BN131" s="1327"/>
      <c r="BO131" s="1327"/>
      <c r="BP131" s="1327"/>
      <c r="BQ131" s="1327"/>
      <c r="BR131" s="1327"/>
      <c r="BS131" s="1327"/>
      <c r="BT131" s="1327"/>
      <c r="BU131" s="1327"/>
      <c r="BV131" s="1327"/>
      <c r="BW131" s="1327"/>
      <c r="BX131" s="1327"/>
      <c r="BY131" s="1327"/>
      <c r="BZ131" s="1327"/>
      <c r="CA131" s="1327"/>
      <c r="CB131" s="1327"/>
      <c r="CC131" s="1327"/>
      <c r="CD131" s="1327"/>
      <c r="CE131" s="1327"/>
      <c r="CF131" s="1327"/>
      <c r="CG131" s="1327"/>
      <c r="CH131" s="1327"/>
      <c r="CI131" s="1327"/>
      <c r="CJ131" s="1327"/>
      <c r="CK131" s="1327"/>
      <c r="CL131" s="1327"/>
      <c r="CM131" s="1327"/>
      <c r="CN131" s="1327"/>
      <c r="CO131" s="1327"/>
      <c r="CP131" s="1327"/>
      <c r="CQ131" s="1327"/>
      <c r="CR131" s="1327"/>
      <c r="CS131" s="1327"/>
      <c r="CT131" s="1317"/>
      <c r="CU131" s="1317"/>
      <c r="CV131" s="1317"/>
      <c r="CW131" s="1317"/>
      <c r="CX131" s="1317"/>
      <c r="CY131" s="1317"/>
      <c r="CZ131" s="1317"/>
      <c r="DA131" s="1317"/>
      <c r="DB131" s="1317"/>
      <c r="DC131" s="1317"/>
      <c r="DD131" s="1317"/>
      <c r="DE131" s="1317"/>
      <c r="DF131" s="1317"/>
      <c r="DG131" s="1317"/>
    </row>
    <row r="132" ht="18.75" customHeight="1">
      <c r="G132" s="1344"/>
      <c r="H132" s="1345">
        <f t="shared" si="4"/>
        <v>0</v>
      </c>
      <c r="I132" s="1381"/>
      <c r="J132" s="1381"/>
      <c r="K132" s="1381"/>
      <c r="L132" s="1381"/>
      <c r="M132" s="1381"/>
      <c r="N132" s="1381"/>
      <c r="O132" s="1381"/>
      <c r="P132" s="1381"/>
      <c r="Q132" s="1381"/>
      <c r="R132" s="1381"/>
      <c r="T132" s="1349"/>
      <c r="U132" s="1349" t="s">
        <v>123</v>
      </c>
      <c r="V132" s="1349" t="s">
        <v>123</v>
      </c>
      <c r="W132" s="1349"/>
      <c r="X132" s="1349"/>
      <c r="Y132" s="1308"/>
      <c r="Z132" s="437" t="str">
        <f>IFERROR(__xludf.DUMMYFUNCTION("IF(NOT('portfólio'!$AV$7),"""",IF($T132="""","""",IFERROR(query({AtivosDados},""select sum(""&amp;Z$3&amp;"") where Col1='""&amp;$T132&amp;""' label sum(""&amp;Z$3&amp;"") ''""),0)))"),"")</f>
        <v/>
      </c>
      <c r="AA132" s="437" t="str">
        <f>IFERROR(__xludf.DUMMYFUNCTION("IF(NOT('portfólio'!$AV$7),"""",IF($T132="""","""",IFERROR(query({AtivosDados},""select sum(""&amp;AA$3&amp;"") where Col1='""&amp;$T132&amp;""' label sum(""&amp;AA$3&amp;"") ''""),0)))"),"")</f>
        <v/>
      </c>
      <c r="AB132" s="437" t="str">
        <f>IFERROR(__xludf.DUMMYFUNCTION("IF(NOT('portfólio'!$AV$7),"""",IF($T132="""","""",IFERROR(query({AtivosDados},""select sum(""&amp;AB$3&amp;"") where Col1='""&amp;$T132&amp;""' label sum(""&amp;AB$3&amp;"") ''""),0)))"),"")</f>
        <v/>
      </c>
      <c r="AC132" s="437" t="str">
        <f>IFERROR(__xludf.DUMMYFUNCTION("IF(NOT('portfólio'!$AV$7),"""",IF($T132="""","""",IFERROR(query({AtivosDados},""select sum(""&amp;AC$3&amp;"") where Col1='""&amp;$T132&amp;""' label sum(""&amp;AC$3&amp;"") ''""),0)))"),"")</f>
        <v/>
      </c>
      <c r="AD132" s="437" t="str">
        <f>IFERROR(__xludf.DUMMYFUNCTION("IF(NOT('portfólio'!$AV$7),"""",IF($T132="""","""",IFERROR(query({AtivosDados},""select sum(""&amp;AD$3&amp;"") where Col1='""&amp;$T132&amp;""' label sum(""&amp;AD$3&amp;"") ''""),0)))"),"")</f>
        <v/>
      </c>
      <c r="AE132" s="437"/>
      <c r="AF132" s="1327"/>
      <c r="AG132" s="437"/>
      <c r="AH132" s="437"/>
      <c r="AI132" s="437"/>
      <c r="AJ132" s="437"/>
      <c r="AK132" s="437"/>
      <c r="AL132" s="437"/>
      <c r="AM132" s="437"/>
      <c r="AN132" s="437"/>
      <c r="AO132" s="437"/>
      <c r="AP132" s="437"/>
      <c r="AQ132" s="1327"/>
      <c r="AR132" s="437"/>
      <c r="AS132" s="437"/>
      <c r="AT132" s="437"/>
      <c r="AU132" s="437"/>
      <c r="AV132" s="437"/>
      <c r="AW132" s="437"/>
      <c r="AX132" s="437"/>
      <c r="AY132" s="437"/>
      <c r="AZ132" s="437"/>
      <c r="BA132" s="437"/>
      <c r="BB132" s="1327"/>
      <c r="BC132" s="437"/>
      <c r="BD132" s="437"/>
      <c r="BE132" s="437"/>
      <c r="BF132" s="437"/>
      <c r="BG132" s="437"/>
      <c r="BH132" s="437"/>
      <c r="BI132" s="437"/>
      <c r="BJ132" s="437"/>
      <c r="BK132" s="437"/>
      <c r="BL132" s="437"/>
      <c r="BM132" s="1327"/>
      <c r="BN132" s="1327"/>
      <c r="BO132" s="1327"/>
      <c r="BP132" s="1327"/>
      <c r="BQ132" s="1327"/>
      <c r="BR132" s="1327"/>
      <c r="BS132" s="1327"/>
      <c r="BT132" s="1327"/>
      <c r="BU132" s="1327"/>
      <c r="BV132" s="1327"/>
      <c r="BW132" s="1327"/>
      <c r="BX132" s="1327"/>
      <c r="BY132" s="1327"/>
      <c r="BZ132" s="1327"/>
      <c r="CA132" s="1327"/>
      <c r="CB132" s="1327"/>
      <c r="CC132" s="1327"/>
      <c r="CD132" s="1327"/>
      <c r="CE132" s="1327"/>
      <c r="CF132" s="1327"/>
      <c r="CG132" s="1327"/>
      <c r="CH132" s="1327"/>
      <c r="CI132" s="1327"/>
      <c r="CJ132" s="1327"/>
      <c r="CK132" s="1327"/>
      <c r="CL132" s="1327"/>
      <c r="CM132" s="1327"/>
      <c r="CN132" s="1327"/>
      <c r="CO132" s="1327"/>
      <c r="CP132" s="1327"/>
      <c r="CQ132" s="1327"/>
      <c r="CR132" s="1327"/>
      <c r="CS132" s="1327"/>
      <c r="CT132" s="1317"/>
      <c r="CU132" s="1317"/>
      <c r="CV132" s="1317"/>
      <c r="CW132" s="1317"/>
      <c r="CX132" s="1317"/>
      <c r="CY132" s="1317"/>
      <c r="CZ132" s="1317"/>
      <c r="DA132" s="1317"/>
      <c r="DB132" s="1317"/>
      <c r="DC132" s="1317"/>
      <c r="DD132" s="1317"/>
      <c r="DE132" s="1317"/>
      <c r="DF132" s="1317"/>
      <c r="DG132" s="1317"/>
    </row>
    <row r="133" ht="18.75" customHeight="1">
      <c r="G133" s="1344"/>
      <c r="H133" s="1345">
        <f t="shared" si="4"/>
        <v>0</v>
      </c>
      <c r="I133" s="1381"/>
      <c r="J133" s="1381"/>
      <c r="K133" s="1381"/>
      <c r="L133" s="1381"/>
      <c r="M133" s="1381"/>
      <c r="N133" s="1381"/>
      <c r="O133" s="1381"/>
      <c r="P133" s="1381"/>
      <c r="Q133" s="1381"/>
      <c r="R133" s="1381"/>
      <c r="T133" s="1349"/>
      <c r="U133" s="1349" t="s">
        <v>123</v>
      </c>
      <c r="V133" s="1349" t="s">
        <v>123</v>
      </c>
      <c r="W133" s="1349"/>
      <c r="X133" s="1349"/>
      <c r="Y133" s="1308"/>
      <c r="Z133" s="437" t="str">
        <f>IFERROR(__xludf.DUMMYFUNCTION("IF(NOT('portfólio'!$AV$7),"""",IF($T133="""","""",IFERROR(query({AtivosDados},""select sum(""&amp;Z$3&amp;"") where Col1='""&amp;$T133&amp;""' label sum(""&amp;Z$3&amp;"") ''""),0)))"),"")</f>
        <v/>
      </c>
      <c r="AA133" s="437" t="str">
        <f>IFERROR(__xludf.DUMMYFUNCTION("IF(NOT('portfólio'!$AV$7),"""",IF($T133="""","""",IFERROR(query({AtivosDados},""select sum(""&amp;AA$3&amp;"") where Col1='""&amp;$T133&amp;""' label sum(""&amp;AA$3&amp;"") ''""),0)))"),"")</f>
        <v/>
      </c>
      <c r="AB133" s="437" t="str">
        <f>IFERROR(__xludf.DUMMYFUNCTION("IF(NOT('portfólio'!$AV$7),"""",IF($T133="""","""",IFERROR(query({AtivosDados},""select sum(""&amp;AB$3&amp;"") where Col1='""&amp;$T133&amp;""' label sum(""&amp;AB$3&amp;"") ''""),0)))"),"")</f>
        <v/>
      </c>
      <c r="AC133" s="437" t="str">
        <f>IFERROR(__xludf.DUMMYFUNCTION("IF(NOT('portfólio'!$AV$7),"""",IF($T133="""","""",IFERROR(query({AtivosDados},""select sum(""&amp;AC$3&amp;"") where Col1='""&amp;$T133&amp;""' label sum(""&amp;AC$3&amp;"") ''""),0)))"),"")</f>
        <v/>
      </c>
      <c r="AD133" s="437" t="str">
        <f>IFERROR(__xludf.DUMMYFUNCTION("IF(NOT('portfólio'!$AV$7),"""",IF($T133="""","""",IFERROR(query({AtivosDados},""select sum(""&amp;AD$3&amp;"") where Col1='""&amp;$T133&amp;""' label sum(""&amp;AD$3&amp;"") ''""),0)))"),"")</f>
        <v/>
      </c>
      <c r="AE133" s="437"/>
      <c r="AF133" s="1327"/>
      <c r="AG133" s="437"/>
      <c r="AH133" s="437"/>
      <c r="AI133" s="437"/>
      <c r="AJ133" s="437"/>
      <c r="AK133" s="437"/>
      <c r="AL133" s="437"/>
      <c r="AM133" s="437"/>
      <c r="AN133" s="437"/>
      <c r="AO133" s="437"/>
      <c r="AP133" s="437"/>
      <c r="AQ133" s="1327"/>
      <c r="AR133" s="437"/>
      <c r="AS133" s="437"/>
      <c r="AT133" s="437"/>
      <c r="AU133" s="437"/>
      <c r="AV133" s="437"/>
      <c r="AW133" s="437"/>
      <c r="AX133" s="437"/>
      <c r="AY133" s="437"/>
      <c r="AZ133" s="437"/>
      <c r="BA133" s="437"/>
      <c r="BB133" s="1327"/>
      <c r="BC133" s="437"/>
      <c r="BD133" s="437"/>
      <c r="BE133" s="437"/>
      <c r="BF133" s="437"/>
      <c r="BG133" s="437"/>
      <c r="BH133" s="437"/>
      <c r="BI133" s="437"/>
      <c r="BJ133" s="437"/>
      <c r="BK133" s="437"/>
      <c r="BL133" s="437"/>
      <c r="BM133" s="1327"/>
      <c r="BN133" s="1327"/>
      <c r="BO133" s="1327"/>
      <c r="BP133" s="1327"/>
      <c r="BQ133" s="1327"/>
      <c r="BR133" s="1327"/>
      <c r="BS133" s="1327"/>
      <c r="BT133" s="1327"/>
      <c r="BU133" s="1327"/>
      <c r="BV133" s="1327"/>
      <c r="BW133" s="1327"/>
      <c r="BX133" s="1327"/>
      <c r="BY133" s="1327"/>
      <c r="BZ133" s="1327"/>
      <c r="CA133" s="1327"/>
      <c r="CB133" s="1327"/>
      <c r="CC133" s="1327"/>
      <c r="CD133" s="1327"/>
      <c r="CE133" s="1327"/>
      <c r="CF133" s="1327"/>
      <c r="CG133" s="1327"/>
      <c r="CH133" s="1327"/>
      <c r="CI133" s="1327"/>
      <c r="CJ133" s="1327"/>
      <c r="CK133" s="1327"/>
      <c r="CL133" s="1327"/>
      <c r="CM133" s="1327"/>
      <c r="CN133" s="1327"/>
      <c r="CO133" s="1327"/>
      <c r="CP133" s="1327"/>
      <c r="CQ133" s="1327"/>
      <c r="CR133" s="1327"/>
      <c r="CS133" s="1327"/>
      <c r="CT133" s="1317"/>
      <c r="CU133" s="1317"/>
      <c r="CV133" s="1317"/>
      <c r="CW133" s="1317"/>
      <c r="CX133" s="1317"/>
      <c r="CY133" s="1317"/>
      <c r="CZ133" s="1317"/>
      <c r="DA133" s="1317"/>
      <c r="DB133" s="1317"/>
      <c r="DC133" s="1317"/>
      <c r="DD133" s="1317"/>
      <c r="DE133" s="1317"/>
      <c r="DF133" s="1317"/>
      <c r="DG133" s="1317"/>
    </row>
    <row r="134" ht="18.75" customHeight="1">
      <c r="G134" s="1344"/>
      <c r="H134" s="1345">
        <f t="shared" si="4"/>
        <v>0</v>
      </c>
      <c r="I134" s="1381"/>
      <c r="J134" s="1381"/>
      <c r="K134" s="1381"/>
      <c r="L134" s="1381"/>
      <c r="M134" s="1381"/>
      <c r="N134" s="1381"/>
      <c r="O134" s="1381"/>
      <c r="P134" s="1381"/>
      <c r="Q134" s="1381"/>
      <c r="R134" s="1381"/>
      <c r="T134" s="1349"/>
      <c r="U134" s="1349" t="s">
        <v>123</v>
      </c>
      <c r="V134" s="1349" t="s">
        <v>123</v>
      </c>
      <c r="W134" s="1349"/>
      <c r="X134" s="1349"/>
      <c r="Y134" s="1308"/>
      <c r="Z134" s="437" t="str">
        <f>IFERROR(__xludf.DUMMYFUNCTION("IF(NOT('portfólio'!$AV$7),"""",IF($T134="""","""",IFERROR(query({AtivosDados},""select sum(""&amp;Z$3&amp;"") where Col1='""&amp;$T134&amp;""' label sum(""&amp;Z$3&amp;"") ''""),0)))"),"")</f>
        <v/>
      </c>
      <c r="AA134" s="437" t="str">
        <f>IFERROR(__xludf.DUMMYFUNCTION("IF(NOT('portfólio'!$AV$7),"""",IF($T134="""","""",IFERROR(query({AtivosDados},""select sum(""&amp;AA$3&amp;"") where Col1='""&amp;$T134&amp;""' label sum(""&amp;AA$3&amp;"") ''""),0)))"),"")</f>
        <v/>
      </c>
      <c r="AB134" s="437" t="str">
        <f>IFERROR(__xludf.DUMMYFUNCTION("IF(NOT('portfólio'!$AV$7),"""",IF($T134="""","""",IFERROR(query({AtivosDados},""select sum(""&amp;AB$3&amp;"") where Col1='""&amp;$T134&amp;""' label sum(""&amp;AB$3&amp;"") ''""),0)))"),"")</f>
        <v/>
      </c>
      <c r="AC134" s="437" t="str">
        <f>IFERROR(__xludf.DUMMYFUNCTION("IF(NOT('portfólio'!$AV$7),"""",IF($T134="""","""",IFERROR(query({AtivosDados},""select sum(""&amp;AC$3&amp;"") where Col1='""&amp;$T134&amp;""' label sum(""&amp;AC$3&amp;"") ''""),0)))"),"")</f>
        <v/>
      </c>
      <c r="AD134" s="437" t="str">
        <f>IFERROR(__xludf.DUMMYFUNCTION("IF(NOT('portfólio'!$AV$7),"""",IF($T134="""","""",IFERROR(query({AtivosDados},""select sum(""&amp;AD$3&amp;"") where Col1='""&amp;$T134&amp;""' label sum(""&amp;AD$3&amp;"") ''""),0)))"),"")</f>
        <v/>
      </c>
      <c r="AE134" s="437"/>
      <c r="AF134" s="1327"/>
      <c r="AG134" s="437"/>
      <c r="AH134" s="437"/>
      <c r="AI134" s="437"/>
      <c r="AJ134" s="437"/>
      <c r="AK134" s="437"/>
      <c r="AL134" s="437"/>
      <c r="AM134" s="437"/>
      <c r="AN134" s="437"/>
      <c r="AO134" s="437"/>
      <c r="AP134" s="437"/>
      <c r="AQ134" s="1327"/>
      <c r="AR134" s="437"/>
      <c r="AS134" s="437"/>
      <c r="AT134" s="437"/>
      <c r="AU134" s="437"/>
      <c r="AV134" s="437"/>
      <c r="AW134" s="437"/>
      <c r="AX134" s="437"/>
      <c r="AY134" s="437"/>
      <c r="AZ134" s="437"/>
      <c r="BA134" s="437"/>
      <c r="BB134" s="1327"/>
      <c r="BC134" s="437"/>
      <c r="BD134" s="437"/>
      <c r="BE134" s="437"/>
      <c r="BF134" s="437"/>
      <c r="BG134" s="437"/>
      <c r="BH134" s="437"/>
      <c r="BI134" s="437"/>
      <c r="BJ134" s="437"/>
      <c r="BK134" s="437"/>
      <c r="BL134" s="437"/>
      <c r="BM134" s="1327"/>
      <c r="BN134" s="1327"/>
      <c r="BO134" s="1327"/>
      <c r="BP134" s="1327"/>
      <c r="BQ134" s="1327"/>
      <c r="BR134" s="1327"/>
      <c r="BS134" s="1327"/>
      <c r="BT134" s="1327"/>
      <c r="BU134" s="1327"/>
      <c r="BV134" s="1327"/>
      <c r="BW134" s="1327"/>
      <c r="BX134" s="1327"/>
      <c r="BY134" s="1327"/>
      <c r="BZ134" s="1327"/>
      <c r="CA134" s="1327"/>
      <c r="CB134" s="1327"/>
      <c r="CC134" s="1327"/>
      <c r="CD134" s="1327"/>
      <c r="CE134" s="1327"/>
      <c r="CF134" s="1327"/>
      <c r="CG134" s="1327"/>
      <c r="CH134" s="1327"/>
      <c r="CI134" s="1327"/>
      <c r="CJ134" s="1327"/>
      <c r="CK134" s="1327"/>
      <c r="CL134" s="1327"/>
      <c r="CM134" s="1327"/>
      <c r="CN134" s="1327"/>
      <c r="CO134" s="1327"/>
      <c r="CP134" s="1327"/>
      <c r="CQ134" s="1327"/>
      <c r="CR134" s="1327"/>
      <c r="CS134" s="1327"/>
      <c r="CT134" s="1317"/>
      <c r="CU134" s="1317"/>
      <c r="CV134" s="1317"/>
      <c r="CW134" s="1317"/>
      <c r="CX134" s="1317"/>
      <c r="CY134" s="1317"/>
      <c r="CZ134" s="1317"/>
      <c r="DA134" s="1317"/>
      <c r="DB134" s="1317"/>
      <c r="DC134" s="1317"/>
      <c r="DD134" s="1317"/>
      <c r="DE134" s="1317"/>
      <c r="DF134" s="1317"/>
      <c r="DG134" s="1317"/>
    </row>
    <row r="135" ht="18.75" customHeight="1">
      <c r="G135" s="1344"/>
      <c r="H135" s="1345">
        <f t="shared" si="4"/>
        <v>0</v>
      </c>
      <c r="I135" s="1381"/>
      <c r="J135" s="1381"/>
      <c r="K135" s="1381"/>
      <c r="L135" s="1381"/>
      <c r="M135" s="1381"/>
      <c r="N135" s="1381"/>
      <c r="O135" s="1381"/>
      <c r="P135" s="1381"/>
      <c r="Q135" s="1381"/>
      <c r="R135" s="1381"/>
      <c r="T135" s="1349"/>
      <c r="U135" s="1349" t="s">
        <v>123</v>
      </c>
      <c r="V135" s="1349" t="s">
        <v>123</v>
      </c>
      <c r="W135" s="1349"/>
      <c r="X135" s="1349"/>
      <c r="Y135" s="1308"/>
      <c r="Z135" s="437" t="str">
        <f>IFERROR(__xludf.DUMMYFUNCTION("IF(NOT('portfólio'!$AV$7),"""",IF($T135="""","""",IFERROR(query({AtivosDados},""select sum(""&amp;Z$3&amp;"") where Col1='""&amp;$T135&amp;""' label sum(""&amp;Z$3&amp;"") ''""),0)))"),"")</f>
        <v/>
      </c>
      <c r="AA135" s="437" t="str">
        <f>IFERROR(__xludf.DUMMYFUNCTION("IF(NOT('portfólio'!$AV$7),"""",IF($T135="""","""",IFERROR(query({AtivosDados},""select sum(""&amp;AA$3&amp;"") where Col1='""&amp;$T135&amp;""' label sum(""&amp;AA$3&amp;"") ''""),0)))"),"")</f>
        <v/>
      </c>
      <c r="AB135" s="437" t="str">
        <f>IFERROR(__xludf.DUMMYFUNCTION("IF(NOT('portfólio'!$AV$7),"""",IF($T135="""","""",IFERROR(query({AtivosDados},""select sum(""&amp;AB$3&amp;"") where Col1='""&amp;$T135&amp;""' label sum(""&amp;AB$3&amp;"") ''""),0)))"),"")</f>
        <v/>
      </c>
      <c r="AC135" s="437" t="str">
        <f>IFERROR(__xludf.DUMMYFUNCTION("IF(NOT('portfólio'!$AV$7),"""",IF($T135="""","""",IFERROR(query({AtivosDados},""select sum(""&amp;AC$3&amp;"") where Col1='""&amp;$T135&amp;""' label sum(""&amp;AC$3&amp;"") ''""),0)))"),"")</f>
        <v/>
      </c>
      <c r="AD135" s="437" t="str">
        <f>IFERROR(__xludf.DUMMYFUNCTION("IF(NOT('portfólio'!$AV$7),"""",IF($T135="""","""",IFERROR(query({AtivosDados},""select sum(""&amp;AD$3&amp;"") where Col1='""&amp;$T135&amp;""' label sum(""&amp;AD$3&amp;"") ''""),0)))"),"")</f>
        <v/>
      </c>
      <c r="AE135" s="437"/>
      <c r="AF135" s="1327"/>
      <c r="AG135" s="437"/>
      <c r="AH135" s="437"/>
      <c r="AI135" s="437"/>
      <c r="AJ135" s="437"/>
      <c r="AK135" s="437"/>
      <c r="AL135" s="437"/>
      <c r="AM135" s="437"/>
      <c r="AN135" s="437"/>
      <c r="AO135" s="437"/>
      <c r="AP135" s="437"/>
      <c r="AQ135" s="1327"/>
      <c r="AR135" s="437"/>
      <c r="AS135" s="437"/>
      <c r="AT135" s="437"/>
      <c r="AU135" s="437"/>
      <c r="AV135" s="437"/>
      <c r="AW135" s="437"/>
      <c r="AX135" s="437"/>
      <c r="AY135" s="437"/>
      <c r="AZ135" s="437"/>
      <c r="BA135" s="437"/>
      <c r="BB135" s="1327"/>
      <c r="BC135" s="437"/>
      <c r="BD135" s="437"/>
      <c r="BE135" s="437"/>
      <c r="BF135" s="437"/>
      <c r="BG135" s="437"/>
      <c r="BH135" s="437"/>
      <c r="BI135" s="437"/>
      <c r="BJ135" s="437"/>
      <c r="BK135" s="437"/>
      <c r="BL135" s="437"/>
      <c r="BM135" s="1327"/>
      <c r="BN135" s="1327"/>
      <c r="BO135" s="1327"/>
      <c r="BP135" s="1327"/>
      <c r="BQ135" s="1327"/>
      <c r="BR135" s="1327"/>
      <c r="BS135" s="1327"/>
      <c r="BT135" s="1327"/>
      <c r="BU135" s="1327"/>
      <c r="BV135" s="1327"/>
      <c r="BW135" s="1327"/>
      <c r="BX135" s="1327"/>
      <c r="BY135" s="1327"/>
      <c r="BZ135" s="1327"/>
      <c r="CA135" s="1327"/>
      <c r="CB135" s="1327"/>
      <c r="CC135" s="1327"/>
      <c r="CD135" s="1327"/>
      <c r="CE135" s="1327"/>
      <c r="CF135" s="1327"/>
      <c r="CG135" s="1327"/>
      <c r="CH135" s="1327"/>
      <c r="CI135" s="1327"/>
      <c r="CJ135" s="1327"/>
      <c r="CK135" s="1327"/>
      <c r="CL135" s="1327"/>
      <c r="CM135" s="1327"/>
      <c r="CN135" s="1327"/>
      <c r="CO135" s="1327"/>
      <c r="CP135" s="1327"/>
      <c r="CQ135" s="1327"/>
      <c r="CR135" s="1327"/>
      <c r="CS135" s="1327"/>
      <c r="CT135" s="1317"/>
      <c r="CU135" s="1317"/>
      <c r="CV135" s="1317"/>
      <c r="CW135" s="1317"/>
      <c r="CX135" s="1317"/>
      <c r="CY135" s="1317"/>
      <c r="CZ135" s="1317"/>
      <c r="DA135" s="1317"/>
      <c r="DB135" s="1317"/>
      <c r="DC135" s="1317"/>
      <c r="DD135" s="1317"/>
      <c r="DE135" s="1317"/>
      <c r="DF135" s="1317"/>
      <c r="DG135" s="1317"/>
    </row>
    <row r="136" ht="18.75" customHeight="1">
      <c r="G136" s="1344"/>
      <c r="H136" s="1345">
        <f t="shared" si="4"/>
        <v>0</v>
      </c>
      <c r="I136" s="1381"/>
      <c r="J136" s="1381"/>
      <c r="K136" s="1381"/>
      <c r="L136" s="1381"/>
      <c r="M136" s="1381"/>
      <c r="N136" s="1381"/>
      <c r="O136" s="1381"/>
      <c r="P136" s="1381"/>
      <c r="Q136" s="1381"/>
      <c r="R136" s="1381"/>
      <c r="T136" s="1349"/>
      <c r="U136" s="1349" t="s">
        <v>123</v>
      </c>
      <c r="V136" s="1349" t="s">
        <v>123</v>
      </c>
      <c r="W136" s="1349"/>
      <c r="X136" s="1349"/>
      <c r="Y136" s="1308"/>
      <c r="Z136" s="437" t="str">
        <f>IFERROR(__xludf.DUMMYFUNCTION("IF(NOT('portfólio'!$AV$7),"""",IF($T136="""","""",IFERROR(query({AtivosDados},""select sum(""&amp;Z$3&amp;"") where Col1='""&amp;$T136&amp;""' label sum(""&amp;Z$3&amp;"") ''""),0)))"),"")</f>
        <v/>
      </c>
      <c r="AA136" s="437" t="str">
        <f>IFERROR(__xludf.DUMMYFUNCTION("IF(NOT('portfólio'!$AV$7),"""",IF($T136="""","""",IFERROR(query({AtivosDados},""select sum(""&amp;AA$3&amp;"") where Col1='""&amp;$T136&amp;""' label sum(""&amp;AA$3&amp;"") ''""),0)))"),"")</f>
        <v/>
      </c>
      <c r="AB136" s="437" t="str">
        <f>IFERROR(__xludf.DUMMYFUNCTION("IF(NOT('portfólio'!$AV$7),"""",IF($T136="""","""",IFERROR(query({AtivosDados},""select sum(""&amp;AB$3&amp;"") where Col1='""&amp;$T136&amp;""' label sum(""&amp;AB$3&amp;"") ''""),0)))"),"")</f>
        <v/>
      </c>
      <c r="AC136" s="437" t="str">
        <f>IFERROR(__xludf.DUMMYFUNCTION("IF(NOT('portfólio'!$AV$7),"""",IF($T136="""","""",IFERROR(query({AtivosDados},""select sum(""&amp;AC$3&amp;"") where Col1='""&amp;$T136&amp;""' label sum(""&amp;AC$3&amp;"") ''""),0)))"),"")</f>
        <v/>
      </c>
      <c r="AD136" s="437" t="str">
        <f>IFERROR(__xludf.DUMMYFUNCTION("IF(NOT('portfólio'!$AV$7),"""",IF($T136="""","""",IFERROR(query({AtivosDados},""select sum(""&amp;AD$3&amp;"") where Col1='""&amp;$T136&amp;""' label sum(""&amp;AD$3&amp;"") ''""),0)))"),"")</f>
        <v/>
      </c>
      <c r="AE136" s="437"/>
      <c r="AF136" s="1327"/>
      <c r="AG136" s="437"/>
      <c r="AH136" s="437"/>
      <c r="AI136" s="437"/>
      <c r="AJ136" s="437"/>
      <c r="AK136" s="437"/>
      <c r="AL136" s="437"/>
      <c r="AM136" s="437"/>
      <c r="AN136" s="437"/>
      <c r="AO136" s="437"/>
      <c r="AP136" s="437"/>
      <c r="AQ136" s="1327"/>
      <c r="AR136" s="437"/>
      <c r="AS136" s="437"/>
      <c r="AT136" s="437"/>
      <c r="AU136" s="437"/>
      <c r="AV136" s="437"/>
      <c r="AW136" s="437"/>
      <c r="AX136" s="437"/>
      <c r="AY136" s="437"/>
      <c r="AZ136" s="437"/>
      <c r="BA136" s="437"/>
      <c r="BB136" s="1327"/>
      <c r="BC136" s="437"/>
      <c r="BD136" s="437"/>
      <c r="BE136" s="437"/>
      <c r="BF136" s="437"/>
      <c r="BG136" s="437"/>
      <c r="BH136" s="437"/>
      <c r="BI136" s="437"/>
      <c r="BJ136" s="437"/>
      <c r="BK136" s="437"/>
      <c r="BL136" s="437"/>
      <c r="BM136" s="1327"/>
      <c r="BN136" s="1327"/>
      <c r="BO136" s="1327"/>
      <c r="BP136" s="1327"/>
      <c r="BQ136" s="1327"/>
      <c r="BR136" s="1327"/>
      <c r="BS136" s="1327"/>
      <c r="BT136" s="1327"/>
      <c r="BU136" s="1327"/>
      <c r="BV136" s="1327"/>
      <c r="BW136" s="1327"/>
      <c r="BX136" s="1327"/>
      <c r="BY136" s="1327"/>
      <c r="BZ136" s="1327"/>
      <c r="CA136" s="1327"/>
      <c r="CB136" s="1327"/>
      <c r="CC136" s="1327"/>
      <c r="CD136" s="1327"/>
      <c r="CE136" s="1327"/>
      <c r="CF136" s="1327"/>
      <c r="CG136" s="1327"/>
      <c r="CH136" s="1327"/>
      <c r="CI136" s="1327"/>
      <c r="CJ136" s="1327"/>
      <c r="CK136" s="1327"/>
      <c r="CL136" s="1327"/>
      <c r="CM136" s="1327"/>
      <c r="CN136" s="1327"/>
      <c r="CO136" s="1327"/>
      <c r="CP136" s="1327"/>
      <c r="CQ136" s="1327"/>
      <c r="CR136" s="1327"/>
      <c r="CS136" s="1327"/>
      <c r="CT136" s="1317"/>
      <c r="CU136" s="1317"/>
      <c r="CV136" s="1317"/>
      <c r="CW136" s="1317"/>
      <c r="CX136" s="1317"/>
      <c r="CY136" s="1317"/>
      <c r="CZ136" s="1317"/>
      <c r="DA136" s="1317"/>
      <c r="DB136" s="1317"/>
      <c r="DC136" s="1317"/>
      <c r="DD136" s="1317"/>
      <c r="DE136" s="1317"/>
      <c r="DF136" s="1317"/>
      <c r="DG136" s="1317"/>
    </row>
    <row r="137" ht="18.75" customHeight="1">
      <c r="G137" s="1344"/>
      <c r="H137" s="1345">
        <f t="shared" si="4"/>
        <v>0</v>
      </c>
      <c r="I137" s="1381"/>
      <c r="J137" s="1381"/>
      <c r="K137" s="1381"/>
      <c r="L137" s="1381"/>
      <c r="M137" s="1381"/>
      <c r="N137" s="1381"/>
      <c r="O137" s="1381"/>
      <c r="P137" s="1381"/>
      <c r="Q137" s="1381"/>
      <c r="R137" s="1381"/>
      <c r="T137" s="1349"/>
      <c r="U137" s="1349" t="s">
        <v>123</v>
      </c>
      <c r="V137" s="1349" t="s">
        <v>123</v>
      </c>
      <c r="W137" s="1349"/>
      <c r="X137" s="1349"/>
      <c r="Y137" s="1308"/>
      <c r="Z137" s="437" t="str">
        <f>IFERROR(__xludf.DUMMYFUNCTION("IF(NOT('portfólio'!$AV$7),"""",IF($T137="""","""",IFERROR(query({AtivosDados},""select sum(""&amp;Z$3&amp;"") where Col1='""&amp;$T137&amp;""' label sum(""&amp;Z$3&amp;"") ''""),0)))"),"")</f>
        <v/>
      </c>
      <c r="AA137" s="437" t="str">
        <f>IFERROR(__xludf.DUMMYFUNCTION("IF(NOT('portfólio'!$AV$7),"""",IF($T137="""","""",IFERROR(query({AtivosDados},""select sum(""&amp;AA$3&amp;"") where Col1='""&amp;$T137&amp;""' label sum(""&amp;AA$3&amp;"") ''""),0)))"),"")</f>
        <v/>
      </c>
      <c r="AB137" s="437" t="str">
        <f>IFERROR(__xludf.DUMMYFUNCTION("IF(NOT('portfólio'!$AV$7),"""",IF($T137="""","""",IFERROR(query({AtivosDados},""select sum(""&amp;AB$3&amp;"") where Col1='""&amp;$T137&amp;""' label sum(""&amp;AB$3&amp;"") ''""),0)))"),"")</f>
        <v/>
      </c>
      <c r="AC137" s="437" t="str">
        <f>IFERROR(__xludf.DUMMYFUNCTION("IF(NOT('portfólio'!$AV$7),"""",IF($T137="""","""",IFERROR(query({AtivosDados},""select sum(""&amp;AC$3&amp;"") where Col1='""&amp;$T137&amp;""' label sum(""&amp;AC$3&amp;"") ''""),0)))"),"")</f>
        <v/>
      </c>
      <c r="AD137" s="437" t="str">
        <f>IFERROR(__xludf.DUMMYFUNCTION("IF(NOT('portfólio'!$AV$7),"""",IF($T137="""","""",IFERROR(query({AtivosDados},""select sum(""&amp;AD$3&amp;"") where Col1='""&amp;$T137&amp;""' label sum(""&amp;AD$3&amp;"") ''""),0)))"),"")</f>
        <v/>
      </c>
      <c r="AE137" s="437"/>
      <c r="AF137" s="1327"/>
      <c r="AG137" s="437"/>
      <c r="AH137" s="437"/>
      <c r="AI137" s="437"/>
      <c r="AJ137" s="437"/>
      <c r="AK137" s="437"/>
      <c r="AL137" s="437"/>
      <c r="AM137" s="437"/>
      <c r="AN137" s="437"/>
      <c r="AO137" s="437"/>
      <c r="AP137" s="437"/>
      <c r="AQ137" s="1327"/>
      <c r="AR137" s="437"/>
      <c r="AS137" s="437"/>
      <c r="AT137" s="437"/>
      <c r="AU137" s="437"/>
      <c r="AV137" s="437"/>
      <c r="AW137" s="437"/>
      <c r="AX137" s="437"/>
      <c r="AY137" s="437"/>
      <c r="AZ137" s="437"/>
      <c r="BA137" s="437"/>
      <c r="BB137" s="1327"/>
      <c r="BC137" s="437"/>
      <c r="BD137" s="437"/>
      <c r="BE137" s="437"/>
      <c r="BF137" s="437"/>
      <c r="BG137" s="437"/>
      <c r="BH137" s="437"/>
      <c r="BI137" s="437"/>
      <c r="BJ137" s="437"/>
      <c r="BK137" s="437"/>
      <c r="BL137" s="437"/>
      <c r="BM137" s="1327"/>
      <c r="BN137" s="1327"/>
      <c r="BO137" s="1327"/>
      <c r="BP137" s="1327"/>
      <c r="BQ137" s="1327"/>
      <c r="BR137" s="1327"/>
      <c r="BS137" s="1327"/>
      <c r="BT137" s="1327"/>
      <c r="BU137" s="1327"/>
      <c r="BV137" s="1327"/>
      <c r="BW137" s="1327"/>
      <c r="BX137" s="1327"/>
      <c r="BY137" s="1327"/>
      <c r="BZ137" s="1327"/>
      <c r="CA137" s="1327"/>
      <c r="CB137" s="1327"/>
      <c r="CC137" s="1327"/>
      <c r="CD137" s="1327"/>
      <c r="CE137" s="1327"/>
      <c r="CF137" s="1327"/>
      <c r="CG137" s="1327"/>
      <c r="CH137" s="1327"/>
      <c r="CI137" s="1327"/>
      <c r="CJ137" s="1327"/>
      <c r="CK137" s="1327"/>
      <c r="CL137" s="1327"/>
      <c r="CM137" s="1327"/>
      <c r="CN137" s="1327"/>
      <c r="CO137" s="1327"/>
      <c r="CP137" s="1327"/>
      <c r="CQ137" s="1327"/>
      <c r="CR137" s="1327"/>
      <c r="CS137" s="1327"/>
      <c r="CT137" s="1317"/>
      <c r="CU137" s="1317"/>
      <c r="CV137" s="1317"/>
      <c r="CW137" s="1317"/>
      <c r="CX137" s="1317"/>
      <c r="CY137" s="1317"/>
      <c r="CZ137" s="1317"/>
      <c r="DA137" s="1317"/>
      <c r="DB137" s="1317"/>
      <c r="DC137" s="1317"/>
      <c r="DD137" s="1317"/>
      <c r="DE137" s="1317"/>
      <c r="DF137" s="1317"/>
      <c r="DG137" s="1317"/>
    </row>
    <row r="138" ht="18.75" customHeight="1">
      <c r="G138" s="1344"/>
      <c r="H138" s="1345">
        <f t="shared" si="4"/>
        <v>0</v>
      </c>
      <c r="I138" s="1381"/>
      <c r="J138" s="1381"/>
      <c r="K138" s="1381"/>
      <c r="L138" s="1381"/>
      <c r="M138" s="1381"/>
      <c r="N138" s="1381"/>
      <c r="O138" s="1381"/>
      <c r="P138" s="1381"/>
      <c r="Q138" s="1381"/>
      <c r="R138" s="1381"/>
      <c r="T138" s="1349"/>
      <c r="U138" s="1349" t="s">
        <v>123</v>
      </c>
      <c r="V138" s="1349" t="s">
        <v>123</v>
      </c>
      <c r="W138" s="1349"/>
      <c r="X138" s="1349"/>
      <c r="Y138" s="1308"/>
      <c r="Z138" s="437" t="str">
        <f>IFERROR(__xludf.DUMMYFUNCTION("IF(NOT('portfólio'!$AV$7),"""",IF($T138="""","""",IFERROR(query({AtivosDados},""select sum(""&amp;Z$3&amp;"") where Col1='""&amp;$T138&amp;""' label sum(""&amp;Z$3&amp;"") ''""),0)))"),"")</f>
        <v/>
      </c>
      <c r="AA138" s="437" t="str">
        <f>IFERROR(__xludf.DUMMYFUNCTION("IF(NOT('portfólio'!$AV$7),"""",IF($T138="""","""",IFERROR(query({AtivosDados},""select sum(""&amp;AA$3&amp;"") where Col1='""&amp;$T138&amp;""' label sum(""&amp;AA$3&amp;"") ''""),0)))"),"")</f>
        <v/>
      </c>
      <c r="AB138" s="437" t="str">
        <f>IFERROR(__xludf.DUMMYFUNCTION("IF(NOT('portfólio'!$AV$7),"""",IF($T138="""","""",IFERROR(query({AtivosDados},""select sum(""&amp;AB$3&amp;"") where Col1='""&amp;$T138&amp;""' label sum(""&amp;AB$3&amp;"") ''""),0)))"),"")</f>
        <v/>
      </c>
      <c r="AC138" s="437" t="str">
        <f>IFERROR(__xludf.DUMMYFUNCTION("IF(NOT('portfólio'!$AV$7),"""",IF($T138="""","""",IFERROR(query({AtivosDados},""select sum(""&amp;AC$3&amp;"") where Col1='""&amp;$T138&amp;""' label sum(""&amp;AC$3&amp;"") ''""),0)))"),"")</f>
        <v/>
      </c>
      <c r="AD138" s="437" t="str">
        <f>IFERROR(__xludf.DUMMYFUNCTION("IF(NOT('portfólio'!$AV$7),"""",IF($T138="""","""",IFERROR(query({AtivosDados},""select sum(""&amp;AD$3&amp;"") where Col1='""&amp;$T138&amp;""' label sum(""&amp;AD$3&amp;"") ''""),0)))"),"")</f>
        <v/>
      </c>
      <c r="AE138" s="437"/>
      <c r="AF138" s="1327"/>
      <c r="AG138" s="437"/>
      <c r="AH138" s="437"/>
      <c r="AI138" s="437"/>
      <c r="AJ138" s="437"/>
      <c r="AK138" s="437"/>
      <c r="AL138" s="437"/>
      <c r="AM138" s="437"/>
      <c r="AN138" s="437"/>
      <c r="AO138" s="437"/>
      <c r="AP138" s="437"/>
      <c r="AQ138" s="1327"/>
      <c r="AR138" s="437"/>
      <c r="AS138" s="437"/>
      <c r="AT138" s="437"/>
      <c r="AU138" s="437"/>
      <c r="AV138" s="437"/>
      <c r="AW138" s="437"/>
      <c r="AX138" s="437"/>
      <c r="AY138" s="437"/>
      <c r="AZ138" s="437"/>
      <c r="BA138" s="437"/>
      <c r="BB138" s="1327"/>
      <c r="BC138" s="437"/>
      <c r="BD138" s="437"/>
      <c r="BE138" s="437"/>
      <c r="BF138" s="437"/>
      <c r="BG138" s="437"/>
      <c r="BH138" s="437"/>
      <c r="BI138" s="437"/>
      <c r="BJ138" s="437"/>
      <c r="BK138" s="437"/>
      <c r="BL138" s="437"/>
      <c r="BM138" s="1327"/>
      <c r="BN138" s="1327"/>
      <c r="BO138" s="1327"/>
      <c r="BP138" s="1327"/>
      <c r="BQ138" s="1327"/>
      <c r="BR138" s="1327"/>
      <c r="BS138" s="1327"/>
      <c r="BT138" s="1327"/>
      <c r="BU138" s="1327"/>
      <c r="BV138" s="1327"/>
      <c r="BW138" s="1327"/>
      <c r="BX138" s="1327"/>
      <c r="BY138" s="1327"/>
      <c r="BZ138" s="1327"/>
      <c r="CA138" s="1327"/>
      <c r="CB138" s="1327"/>
      <c r="CC138" s="1327"/>
      <c r="CD138" s="1327"/>
      <c r="CE138" s="1327"/>
      <c r="CF138" s="1327"/>
      <c r="CG138" s="1327"/>
      <c r="CH138" s="1327"/>
      <c r="CI138" s="1327"/>
      <c r="CJ138" s="1327"/>
      <c r="CK138" s="1327"/>
      <c r="CL138" s="1327"/>
      <c r="CM138" s="1327"/>
      <c r="CN138" s="1327"/>
      <c r="CO138" s="1327"/>
      <c r="CP138" s="1327"/>
      <c r="CQ138" s="1327"/>
      <c r="CR138" s="1327"/>
      <c r="CS138" s="1327"/>
      <c r="CT138" s="1317"/>
      <c r="CU138" s="1317"/>
      <c r="CV138" s="1317"/>
      <c r="CW138" s="1317"/>
      <c r="CX138" s="1317"/>
      <c r="CY138" s="1317"/>
      <c r="CZ138" s="1317"/>
      <c r="DA138" s="1317"/>
      <c r="DB138" s="1317"/>
      <c r="DC138" s="1317"/>
      <c r="DD138" s="1317"/>
      <c r="DE138" s="1317"/>
      <c r="DF138" s="1317"/>
      <c r="DG138" s="1317"/>
    </row>
    <row r="139" ht="18.75" customHeight="1">
      <c r="G139" s="1344"/>
      <c r="H139" s="1345">
        <f t="shared" si="4"/>
        <v>0</v>
      </c>
      <c r="I139" s="1381"/>
      <c r="J139" s="1381"/>
      <c r="K139" s="1381"/>
      <c r="L139" s="1381"/>
      <c r="M139" s="1381"/>
      <c r="N139" s="1381"/>
      <c r="O139" s="1381"/>
      <c r="P139" s="1381"/>
      <c r="Q139" s="1381"/>
      <c r="R139" s="1381"/>
      <c r="T139" s="1349"/>
      <c r="U139" s="1349" t="s">
        <v>123</v>
      </c>
      <c r="V139" s="1349" t="s">
        <v>123</v>
      </c>
      <c r="W139" s="1349"/>
      <c r="X139" s="1349"/>
      <c r="Y139" s="1308"/>
      <c r="Z139" s="437" t="str">
        <f>IFERROR(__xludf.DUMMYFUNCTION("IF(NOT('portfólio'!$AV$7),"""",IF($T139="""","""",IFERROR(query({AtivosDados},""select sum(""&amp;Z$3&amp;"") where Col1='""&amp;$T139&amp;""' label sum(""&amp;Z$3&amp;"") ''""),0)))"),"")</f>
        <v/>
      </c>
      <c r="AA139" s="437" t="str">
        <f>IFERROR(__xludf.DUMMYFUNCTION("IF(NOT('portfólio'!$AV$7),"""",IF($T139="""","""",IFERROR(query({AtivosDados},""select sum(""&amp;AA$3&amp;"") where Col1='""&amp;$T139&amp;""' label sum(""&amp;AA$3&amp;"") ''""),0)))"),"")</f>
        <v/>
      </c>
      <c r="AB139" s="437" t="str">
        <f>IFERROR(__xludf.DUMMYFUNCTION("IF(NOT('portfólio'!$AV$7),"""",IF($T139="""","""",IFERROR(query({AtivosDados},""select sum(""&amp;AB$3&amp;"") where Col1='""&amp;$T139&amp;""' label sum(""&amp;AB$3&amp;"") ''""),0)))"),"")</f>
        <v/>
      </c>
      <c r="AC139" s="437" t="str">
        <f>IFERROR(__xludf.DUMMYFUNCTION("IF(NOT('portfólio'!$AV$7),"""",IF($T139="""","""",IFERROR(query({AtivosDados},""select sum(""&amp;AC$3&amp;"") where Col1='""&amp;$T139&amp;""' label sum(""&amp;AC$3&amp;"") ''""),0)))"),"")</f>
        <v/>
      </c>
      <c r="AD139" s="437" t="str">
        <f>IFERROR(__xludf.DUMMYFUNCTION("IF(NOT('portfólio'!$AV$7),"""",IF($T139="""","""",IFERROR(query({AtivosDados},""select sum(""&amp;AD$3&amp;"") where Col1='""&amp;$T139&amp;""' label sum(""&amp;AD$3&amp;"") ''""),0)))"),"")</f>
        <v/>
      </c>
      <c r="AE139" s="437"/>
      <c r="AF139" s="1327"/>
      <c r="AG139" s="437"/>
      <c r="AH139" s="437"/>
      <c r="AI139" s="437"/>
      <c r="AJ139" s="437"/>
      <c r="AK139" s="437"/>
      <c r="AL139" s="437"/>
      <c r="AM139" s="437"/>
      <c r="AN139" s="437"/>
      <c r="AO139" s="437"/>
      <c r="AP139" s="437"/>
      <c r="AQ139" s="1327"/>
      <c r="AR139" s="437"/>
      <c r="AS139" s="437"/>
      <c r="AT139" s="437"/>
      <c r="AU139" s="437"/>
      <c r="AV139" s="437"/>
      <c r="AW139" s="437"/>
      <c r="AX139" s="437"/>
      <c r="AY139" s="437"/>
      <c r="AZ139" s="437"/>
      <c r="BA139" s="437"/>
      <c r="BB139" s="1327"/>
      <c r="BC139" s="437"/>
      <c r="BD139" s="437"/>
      <c r="BE139" s="437"/>
      <c r="BF139" s="437"/>
      <c r="BG139" s="437"/>
      <c r="BH139" s="437"/>
      <c r="BI139" s="437"/>
      <c r="BJ139" s="437"/>
      <c r="BK139" s="437"/>
      <c r="BL139" s="437"/>
      <c r="BM139" s="1327"/>
      <c r="BN139" s="1327"/>
      <c r="BO139" s="1327"/>
      <c r="BP139" s="1327"/>
      <c r="BQ139" s="1327"/>
      <c r="BR139" s="1327"/>
      <c r="BS139" s="1327"/>
      <c r="BT139" s="1327"/>
      <c r="BU139" s="1327"/>
      <c r="BV139" s="1327"/>
      <c r="BW139" s="1327"/>
      <c r="BX139" s="1327"/>
      <c r="BY139" s="1327"/>
      <c r="BZ139" s="1327"/>
      <c r="CA139" s="1327"/>
      <c r="CB139" s="1327"/>
      <c r="CC139" s="1327"/>
      <c r="CD139" s="1327"/>
      <c r="CE139" s="1327"/>
      <c r="CF139" s="1327"/>
      <c r="CG139" s="1327"/>
      <c r="CH139" s="1327"/>
      <c r="CI139" s="1327"/>
      <c r="CJ139" s="1327"/>
      <c r="CK139" s="1327"/>
      <c r="CL139" s="1327"/>
      <c r="CM139" s="1327"/>
      <c r="CN139" s="1327"/>
      <c r="CO139" s="1327"/>
      <c r="CP139" s="1327"/>
      <c r="CQ139" s="1327"/>
      <c r="CR139" s="1327"/>
      <c r="CS139" s="1327"/>
      <c r="CT139" s="1317"/>
      <c r="CU139" s="1317"/>
      <c r="CV139" s="1317"/>
      <c r="CW139" s="1317"/>
      <c r="CX139" s="1317"/>
      <c r="CY139" s="1317"/>
      <c r="CZ139" s="1317"/>
      <c r="DA139" s="1317"/>
      <c r="DB139" s="1317"/>
      <c r="DC139" s="1317"/>
      <c r="DD139" s="1317"/>
      <c r="DE139" s="1317"/>
      <c r="DF139" s="1317"/>
      <c r="DG139" s="1317"/>
    </row>
    <row r="140" ht="18.75" customHeight="1">
      <c r="G140" s="1344"/>
      <c r="H140" s="1345">
        <f t="shared" si="4"/>
        <v>0</v>
      </c>
      <c r="I140" s="1381"/>
      <c r="J140" s="1381"/>
      <c r="K140" s="1381"/>
      <c r="L140" s="1381"/>
      <c r="M140" s="1381"/>
      <c r="N140" s="1381"/>
      <c r="O140" s="1381"/>
      <c r="P140" s="1381"/>
      <c r="Q140" s="1381"/>
      <c r="R140" s="1381"/>
      <c r="T140" s="1349"/>
      <c r="U140" s="1349" t="s">
        <v>123</v>
      </c>
      <c r="V140" s="1349" t="s">
        <v>123</v>
      </c>
      <c r="W140" s="1349"/>
      <c r="X140" s="1349"/>
      <c r="Y140" s="1308"/>
      <c r="Z140" s="437" t="str">
        <f>IFERROR(__xludf.DUMMYFUNCTION("IF(NOT('portfólio'!$AV$7),"""",IF($T140="""","""",IFERROR(query({AtivosDados},""select sum(""&amp;Z$3&amp;"") where Col1='""&amp;$T140&amp;""' label sum(""&amp;Z$3&amp;"") ''""),0)))"),"")</f>
        <v/>
      </c>
      <c r="AA140" s="437" t="str">
        <f>IFERROR(__xludf.DUMMYFUNCTION("IF(NOT('portfólio'!$AV$7),"""",IF($T140="""","""",IFERROR(query({AtivosDados},""select sum(""&amp;AA$3&amp;"") where Col1='""&amp;$T140&amp;""' label sum(""&amp;AA$3&amp;"") ''""),0)))"),"")</f>
        <v/>
      </c>
      <c r="AB140" s="437" t="str">
        <f>IFERROR(__xludf.DUMMYFUNCTION("IF(NOT('portfólio'!$AV$7),"""",IF($T140="""","""",IFERROR(query({AtivosDados},""select sum(""&amp;AB$3&amp;"") where Col1='""&amp;$T140&amp;""' label sum(""&amp;AB$3&amp;"") ''""),0)))"),"")</f>
        <v/>
      </c>
      <c r="AC140" s="437" t="str">
        <f>IFERROR(__xludf.DUMMYFUNCTION("IF(NOT('portfólio'!$AV$7),"""",IF($T140="""","""",IFERROR(query({AtivosDados},""select sum(""&amp;AC$3&amp;"") where Col1='""&amp;$T140&amp;""' label sum(""&amp;AC$3&amp;"") ''""),0)))"),"")</f>
        <v/>
      </c>
      <c r="AD140" s="437" t="str">
        <f>IFERROR(__xludf.DUMMYFUNCTION("IF(NOT('portfólio'!$AV$7),"""",IF($T140="""","""",IFERROR(query({AtivosDados},""select sum(""&amp;AD$3&amp;"") where Col1='""&amp;$T140&amp;""' label sum(""&amp;AD$3&amp;"") ''""),0)))"),"")</f>
        <v/>
      </c>
      <c r="AE140" s="437"/>
      <c r="AF140" s="1327"/>
      <c r="AG140" s="437"/>
      <c r="AH140" s="437"/>
      <c r="AI140" s="437"/>
      <c r="AJ140" s="437"/>
      <c r="AK140" s="437"/>
      <c r="AL140" s="437"/>
      <c r="AM140" s="437"/>
      <c r="AN140" s="437"/>
      <c r="AO140" s="437"/>
      <c r="AP140" s="437"/>
      <c r="AQ140" s="1327"/>
      <c r="AR140" s="437"/>
      <c r="AS140" s="437"/>
      <c r="AT140" s="437"/>
      <c r="AU140" s="437"/>
      <c r="AV140" s="437"/>
      <c r="AW140" s="437"/>
      <c r="AX140" s="437"/>
      <c r="AY140" s="437"/>
      <c r="AZ140" s="437"/>
      <c r="BA140" s="437"/>
      <c r="BB140" s="1327"/>
      <c r="BC140" s="437"/>
      <c r="BD140" s="437"/>
      <c r="BE140" s="437"/>
      <c r="BF140" s="437"/>
      <c r="BG140" s="437"/>
      <c r="BH140" s="437"/>
      <c r="BI140" s="437"/>
      <c r="BJ140" s="437"/>
      <c r="BK140" s="437"/>
      <c r="BL140" s="437"/>
      <c r="BM140" s="1327"/>
      <c r="BN140" s="1327"/>
      <c r="BO140" s="1327"/>
      <c r="BP140" s="1327"/>
      <c r="BQ140" s="1327"/>
      <c r="BR140" s="1327"/>
      <c r="BS140" s="1327"/>
      <c r="BT140" s="1327"/>
      <c r="BU140" s="1327"/>
      <c r="BV140" s="1327"/>
      <c r="BW140" s="1327"/>
      <c r="BX140" s="1327"/>
      <c r="BY140" s="1327"/>
      <c r="BZ140" s="1327"/>
      <c r="CA140" s="1327"/>
      <c r="CB140" s="1327"/>
      <c r="CC140" s="1327"/>
      <c r="CD140" s="1327"/>
      <c r="CE140" s="1327"/>
      <c r="CF140" s="1327"/>
      <c r="CG140" s="1327"/>
      <c r="CH140" s="1327"/>
      <c r="CI140" s="1327"/>
      <c r="CJ140" s="1327"/>
      <c r="CK140" s="1327"/>
      <c r="CL140" s="1327"/>
      <c r="CM140" s="1327"/>
      <c r="CN140" s="1327"/>
      <c r="CO140" s="1327"/>
      <c r="CP140" s="1327"/>
      <c r="CQ140" s="1327"/>
      <c r="CR140" s="1327"/>
      <c r="CS140" s="1327"/>
      <c r="CT140" s="1317"/>
      <c r="CU140" s="1317"/>
      <c r="CV140" s="1317"/>
      <c r="CW140" s="1317"/>
      <c r="CX140" s="1317"/>
      <c r="CY140" s="1317"/>
      <c r="CZ140" s="1317"/>
      <c r="DA140" s="1317"/>
      <c r="DB140" s="1317"/>
      <c r="DC140" s="1317"/>
      <c r="DD140" s="1317"/>
      <c r="DE140" s="1317"/>
      <c r="DF140" s="1317"/>
      <c r="DG140" s="1317"/>
    </row>
    <row r="141" ht="18.75" customHeight="1">
      <c r="G141" s="1344"/>
      <c r="H141" s="1345">
        <f t="shared" si="4"/>
        <v>0</v>
      </c>
      <c r="I141" s="1381"/>
      <c r="J141" s="1381"/>
      <c r="K141" s="1381"/>
      <c r="L141" s="1381"/>
      <c r="M141" s="1381"/>
      <c r="N141" s="1381"/>
      <c r="O141" s="1381"/>
      <c r="P141" s="1381"/>
      <c r="Q141" s="1381"/>
      <c r="R141" s="1381"/>
      <c r="T141" s="1349"/>
      <c r="U141" s="1349" t="s">
        <v>123</v>
      </c>
      <c r="V141" s="1349" t="s">
        <v>123</v>
      </c>
      <c r="W141" s="1349"/>
      <c r="X141" s="1349"/>
      <c r="Y141" s="1308"/>
      <c r="Z141" s="437" t="str">
        <f>IFERROR(__xludf.DUMMYFUNCTION("IF(NOT('portfólio'!$AV$7),"""",IF($T141="""","""",IFERROR(query({AtivosDados},""select sum(""&amp;Z$3&amp;"") where Col1='""&amp;$T141&amp;""' label sum(""&amp;Z$3&amp;"") ''""),0)))"),"")</f>
        <v/>
      </c>
      <c r="AA141" s="437" t="str">
        <f>IFERROR(__xludf.DUMMYFUNCTION("IF(NOT('portfólio'!$AV$7),"""",IF($T141="""","""",IFERROR(query({AtivosDados},""select sum(""&amp;AA$3&amp;"") where Col1='""&amp;$T141&amp;""' label sum(""&amp;AA$3&amp;"") ''""),0)))"),"")</f>
        <v/>
      </c>
      <c r="AB141" s="437" t="str">
        <f>IFERROR(__xludf.DUMMYFUNCTION("IF(NOT('portfólio'!$AV$7),"""",IF($T141="""","""",IFERROR(query({AtivosDados},""select sum(""&amp;AB$3&amp;"") where Col1='""&amp;$T141&amp;""' label sum(""&amp;AB$3&amp;"") ''""),0)))"),"")</f>
        <v/>
      </c>
      <c r="AC141" s="437" t="str">
        <f>IFERROR(__xludf.DUMMYFUNCTION("IF(NOT('portfólio'!$AV$7),"""",IF($T141="""","""",IFERROR(query({AtivosDados},""select sum(""&amp;AC$3&amp;"") where Col1='""&amp;$T141&amp;""' label sum(""&amp;AC$3&amp;"") ''""),0)))"),"")</f>
        <v/>
      </c>
      <c r="AD141" s="437" t="str">
        <f>IFERROR(__xludf.DUMMYFUNCTION("IF(NOT('portfólio'!$AV$7),"""",IF($T141="""","""",IFERROR(query({AtivosDados},""select sum(""&amp;AD$3&amp;"") where Col1='""&amp;$T141&amp;""' label sum(""&amp;AD$3&amp;"") ''""),0)))"),"")</f>
        <v/>
      </c>
      <c r="AE141" s="437"/>
      <c r="AF141" s="1327"/>
      <c r="AG141" s="437"/>
      <c r="AH141" s="437"/>
      <c r="AI141" s="437"/>
      <c r="AJ141" s="437"/>
      <c r="AK141" s="437"/>
      <c r="AL141" s="437"/>
      <c r="AM141" s="437"/>
      <c r="AN141" s="437"/>
      <c r="AO141" s="437"/>
      <c r="AP141" s="437"/>
      <c r="AQ141" s="1327"/>
      <c r="AR141" s="437"/>
      <c r="AS141" s="437"/>
      <c r="AT141" s="437"/>
      <c r="AU141" s="437"/>
      <c r="AV141" s="437"/>
      <c r="AW141" s="437"/>
      <c r="AX141" s="437"/>
      <c r="AY141" s="437"/>
      <c r="AZ141" s="437"/>
      <c r="BA141" s="437"/>
      <c r="BB141" s="1327"/>
      <c r="BC141" s="437"/>
      <c r="BD141" s="437"/>
      <c r="BE141" s="437"/>
      <c r="BF141" s="437"/>
      <c r="BG141" s="437"/>
      <c r="BH141" s="437"/>
      <c r="BI141" s="437"/>
      <c r="BJ141" s="437"/>
      <c r="BK141" s="437"/>
      <c r="BL141" s="437"/>
      <c r="BM141" s="1327"/>
      <c r="BN141" s="1327"/>
      <c r="BO141" s="1327"/>
      <c r="BP141" s="1327"/>
      <c r="BQ141" s="1327"/>
      <c r="BR141" s="1327"/>
      <c r="BS141" s="1327"/>
      <c r="BT141" s="1327"/>
      <c r="BU141" s="1327"/>
      <c r="BV141" s="1327"/>
      <c r="BW141" s="1327"/>
      <c r="BX141" s="1327"/>
      <c r="BY141" s="1327"/>
      <c r="BZ141" s="1327"/>
      <c r="CA141" s="1327"/>
      <c r="CB141" s="1327"/>
      <c r="CC141" s="1327"/>
      <c r="CD141" s="1327"/>
      <c r="CE141" s="1327"/>
      <c r="CF141" s="1327"/>
      <c r="CG141" s="1327"/>
      <c r="CH141" s="1327"/>
      <c r="CI141" s="1327"/>
      <c r="CJ141" s="1327"/>
      <c r="CK141" s="1327"/>
      <c r="CL141" s="1327"/>
      <c r="CM141" s="1327"/>
      <c r="CN141" s="1327"/>
      <c r="CO141" s="1327"/>
      <c r="CP141" s="1327"/>
      <c r="CQ141" s="1327"/>
      <c r="CR141" s="1327"/>
      <c r="CS141" s="1327"/>
      <c r="CT141" s="1317"/>
      <c r="CU141" s="1317"/>
      <c r="CV141" s="1317"/>
      <c r="CW141" s="1317"/>
      <c r="CX141" s="1317"/>
      <c r="CY141" s="1317"/>
      <c r="CZ141" s="1317"/>
      <c r="DA141" s="1317"/>
      <c r="DB141" s="1317"/>
      <c r="DC141" s="1317"/>
      <c r="DD141" s="1317"/>
      <c r="DE141" s="1317"/>
      <c r="DF141" s="1317"/>
      <c r="DG141" s="1317"/>
    </row>
    <row r="142" ht="18.75" customHeight="1">
      <c r="G142" s="1344"/>
      <c r="H142" s="1345">
        <f t="shared" si="4"/>
        <v>0</v>
      </c>
      <c r="I142" s="1381"/>
      <c r="J142" s="1381"/>
      <c r="K142" s="1381"/>
      <c r="L142" s="1381"/>
      <c r="M142" s="1381"/>
      <c r="N142" s="1381"/>
      <c r="O142" s="1381"/>
      <c r="P142" s="1381"/>
      <c r="Q142" s="1381"/>
      <c r="R142" s="1381"/>
      <c r="T142" s="1349"/>
      <c r="U142" s="1349" t="s">
        <v>123</v>
      </c>
      <c r="V142" s="1349" t="s">
        <v>123</v>
      </c>
      <c r="W142" s="1349"/>
      <c r="X142" s="1349"/>
      <c r="Y142" s="1308"/>
      <c r="Z142" s="437" t="str">
        <f>IFERROR(__xludf.DUMMYFUNCTION("IF(NOT('portfólio'!$AV$7),"""",IF($T142="""","""",IFERROR(query({AtivosDados},""select sum(""&amp;Z$3&amp;"") where Col1='""&amp;$T142&amp;""' label sum(""&amp;Z$3&amp;"") ''""),0)))"),"")</f>
        <v/>
      </c>
      <c r="AA142" s="437" t="str">
        <f>IFERROR(__xludf.DUMMYFUNCTION("IF(NOT('portfólio'!$AV$7),"""",IF($T142="""","""",IFERROR(query({AtivosDados},""select sum(""&amp;AA$3&amp;"") where Col1='""&amp;$T142&amp;""' label sum(""&amp;AA$3&amp;"") ''""),0)))"),"")</f>
        <v/>
      </c>
      <c r="AB142" s="437" t="str">
        <f>IFERROR(__xludf.DUMMYFUNCTION("IF(NOT('portfólio'!$AV$7),"""",IF($T142="""","""",IFERROR(query({AtivosDados},""select sum(""&amp;AB$3&amp;"") where Col1='""&amp;$T142&amp;""' label sum(""&amp;AB$3&amp;"") ''""),0)))"),"")</f>
        <v/>
      </c>
      <c r="AC142" s="437" t="str">
        <f>IFERROR(__xludf.DUMMYFUNCTION("IF(NOT('portfólio'!$AV$7),"""",IF($T142="""","""",IFERROR(query({AtivosDados},""select sum(""&amp;AC$3&amp;"") where Col1='""&amp;$T142&amp;""' label sum(""&amp;AC$3&amp;"") ''""),0)))"),"")</f>
        <v/>
      </c>
      <c r="AD142" s="437" t="str">
        <f>IFERROR(__xludf.DUMMYFUNCTION("IF(NOT('portfólio'!$AV$7),"""",IF($T142="""","""",IFERROR(query({AtivosDados},""select sum(""&amp;AD$3&amp;"") where Col1='""&amp;$T142&amp;""' label sum(""&amp;AD$3&amp;"") ''""),0)))"),"")</f>
        <v/>
      </c>
      <c r="AE142" s="437"/>
      <c r="AF142" s="1327"/>
      <c r="AG142" s="437"/>
      <c r="AH142" s="437"/>
      <c r="AI142" s="437"/>
      <c r="AJ142" s="437"/>
      <c r="AK142" s="437"/>
      <c r="AL142" s="437"/>
      <c r="AM142" s="437"/>
      <c r="AN142" s="437"/>
      <c r="AO142" s="437"/>
      <c r="AP142" s="437"/>
      <c r="AQ142" s="1327"/>
      <c r="AR142" s="437"/>
      <c r="AS142" s="437"/>
      <c r="AT142" s="437"/>
      <c r="AU142" s="437"/>
      <c r="AV142" s="437"/>
      <c r="AW142" s="437"/>
      <c r="AX142" s="437"/>
      <c r="AY142" s="437"/>
      <c r="AZ142" s="437"/>
      <c r="BA142" s="437"/>
      <c r="BB142" s="1327"/>
      <c r="BC142" s="437"/>
      <c r="BD142" s="437"/>
      <c r="BE142" s="437"/>
      <c r="BF142" s="437"/>
      <c r="BG142" s="437"/>
      <c r="BH142" s="437"/>
      <c r="BI142" s="437"/>
      <c r="BJ142" s="437"/>
      <c r="BK142" s="437"/>
      <c r="BL142" s="437"/>
      <c r="BM142" s="1327"/>
      <c r="BN142" s="1327"/>
      <c r="BO142" s="1327"/>
      <c r="BP142" s="1327"/>
      <c r="BQ142" s="1327"/>
      <c r="BR142" s="1327"/>
      <c r="BS142" s="1327"/>
      <c r="BT142" s="1327"/>
      <c r="BU142" s="1327"/>
      <c r="BV142" s="1327"/>
      <c r="BW142" s="1327"/>
      <c r="BX142" s="1327"/>
      <c r="BY142" s="1327"/>
      <c r="BZ142" s="1327"/>
      <c r="CA142" s="1327"/>
      <c r="CB142" s="1327"/>
      <c r="CC142" s="1327"/>
      <c r="CD142" s="1327"/>
      <c r="CE142" s="1327"/>
      <c r="CF142" s="1327"/>
      <c r="CG142" s="1327"/>
      <c r="CH142" s="1327"/>
      <c r="CI142" s="1327"/>
      <c r="CJ142" s="1327"/>
      <c r="CK142" s="1327"/>
      <c r="CL142" s="1327"/>
      <c r="CM142" s="1327"/>
      <c r="CN142" s="1327"/>
      <c r="CO142" s="1327"/>
      <c r="CP142" s="1327"/>
      <c r="CQ142" s="1327"/>
      <c r="CR142" s="1327"/>
      <c r="CS142" s="1327"/>
      <c r="CT142" s="1317"/>
      <c r="CU142" s="1317"/>
      <c r="CV142" s="1317"/>
      <c r="CW142" s="1317"/>
      <c r="CX142" s="1317"/>
      <c r="CY142" s="1317"/>
      <c r="CZ142" s="1317"/>
      <c r="DA142" s="1317"/>
      <c r="DB142" s="1317"/>
      <c r="DC142" s="1317"/>
      <c r="DD142" s="1317"/>
      <c r="DE142" s="1317"/>
      <c r="DF142" s="1317"/>
      <c r="DG142" s="1317"/>
    </row>
    <row r="143" ht="18.75" customHeight="1">
      <c r="G143" s="1344"/>
      <c r="H143" s="1345">
        <f t="shared" si="4"/>
        <v>0</v>
      </c>
      <c r="I143" s="1381"/>
      <c r="J143" s="1381"/>
      <c r="K143" s="1381"/>
      <c r="L143" s="1381"/>
      <c r="M143" s="1381"/>
      <c r="N143" s="1381"/>
      <c r="O143" s="1381"/>
      <c r="P143" s="1381"/>
      <c r="Q143" s="1381"/>
      <c r="R143" s="1381"/>
      <c r="T143" s="1349"/>
      <c r="U143" s="1349" t="s">
        <v>123</v>
      </c>
      <c r="V143" s="1349" t="s">
        <v>123</v>
      </c>
      <c r="W143" s="1349"/>
      <c r="X143" s="1349"/>
      <c r="Y143" s="1308"/>
      <c r="Z143" s="437" t="str">
        <f>IFERROR(__xludf.DUMMYFUNCTION("IF(NOT('portfólio'!$AV$7),"""",IF($T143="""","""",IFERROR(query({AtivosDados},""select sum(""&amp;Z$3&amp;"") where Col1='""&amp;$T143&amp;""' label sum(""&amp;Z$3&amp;"") ''""),0)))"),"")</f>
        <v/>
      </c>
      <c r="AA143" s="437" t="str">
        <f>IFERROR(__xludf.DUMMYFUNCTION("IF(NOT('portfólio'!$AV$7),"""",IF($T143="""","""",IFERROR(query({AtivosDados},""select sum(""&amp;AA$3&amp;"") where Col1='""&amp;$T143&amp;""' label sum(""&amp;AA$3&amp;"") ''""),0)))"),"")</f>
        <v/>
      </c>
      <c r="AB143" s="437" t="str">
        <f>IFERROR(__xludf.DUMMYFUNCTION("IF(NOT('portfólio'!$AV$7),"""",IF($T143="""","""",IFERROR(query({AtivosDados},""select sum(""&amp;AB$3&amp;"") where Col1='""&amp;$T143&amp;""' label sum(""&amp;AB$3&amp;"") ''""),0)))"),"")</f>
        <v/>
      </c>
      <c r="AC143" s="437" t="str">
        <f>IFERROR(__xludf.DUMMYFUNCTION("IF(NOT('portfólio'!$AV$7),"""",IF($T143="""","""",IFERROR(query({AtivosDados},""select sum(""&amp;AC$3&amp;"") where Col1='""&amp;$T143&amp;""' label sum(""&amp;AC$3&amp;"") ''""),0)))"),"")</f>
        <v/>
      </c>
      <c r="AD143" s="437" t="str">
        <f>IFERROR(__xludf.DUMMYFUNCTION("IF(NOT('portfólio'!$AV$7),"""",IF($T143="""","""",IFERROR(query({AtivosDados},""select sum(""&amp;AD$3&amp;"") where Col1='""&amp;$T143&amp;""' label sum(""&amp;AD$3&amp;"") ''""),0)))"),"")</f>
        <v/>
      </c>
      <c r="AE143" s="437"/>
      <c r="AF143" s="1327"/>
      <c r="AG143" s="437"/>
      <c r="AH143" s="437"/>
      <c r="AI143" s="437"/>
      <c r="AJ143" s="437"/>
      <c r="AK143" s="437"/>
      <c r="AL143" s="437"/>
      <c r="AM143" s="437"/>
      <c r="AN143" s="437"/>
      <c r="AO143" s="437"/>
      <c r="AP143" s="437"/>
      <c r="AQ143" s="1327"/>
      <c r="AR143" s="437"/>
      <c r="AS143" s="437"/>
      <c r="AT143" s="437"/>
      <c r="AU143" s="437"/>
      <c r="AV143" s="437"/>
      <c r="AW143" s="437"/>
      <c r="AX143" s="437"/>
      <c r="AY143" s="437"/>
      <c r="AZ143" s="437"/>
      <c r="BA143" s="437"/>
      <c r="BB143" s="1327"/>
      <c r="BC143" s="437"/>
      <c r="BD143" s="437"/>
      <c r="BE143" s="437"/>
      <c r="BF143" s="437"/>
      <c r="BG143" s="437"/>
      <c r="BH143" s="437"/>
      <c r="BI143" s="437"/>
      <c r="BJ143" s="437"/>
      <c r="BK143" s="437"/>
      <c r="BL143" s="437"/>
      <c r="BM143" s="1327"/>
      <c r="BN143" s="1327"/>
      <c r="BO143" s="1327"/>
      <c r="BP143" s="1327"/>
      <c r="BQ143" s="1327"/>
      <c r="BR143" s="1327"/>
      <c r="BS143" s="1327"/>
      <c r="BT143" s="1327"/>
      <c r="BU143" s="1327"/>
      <c r="BV143" s="1327"/>
      <c r="BW143" s="1327"/>
      <c r="BX143" s="1327"/>
      <c r="BY143" s="1327"/>
      <c r="BZ143" s="1327"/>
      <c r="CA143" s="1327"/>
      <c r="CB143" s="1327"/>
      <c r="CC143" s="1327"/>
      <c r="CD143" s="1327"/>
      <c r="CE143" s="1327"/>
      <c r="CF143" s="1327"/>
      <c r="CG143" s="1327"/>
      <c r="CH143" s="1327"/>
      <c r="CI143" s="1327"/>
      <c r="CJ143" s="1327"/>
      <c r="CK143" s="1327"/>
      <c r="CL143" s="1327"/>
      <c r="CM143" s="1327"/>
      <c r="CN143" s="1327"/>
      <c r="CO143" s="1327"/>
      <c r="CP143" s="1327"/>
      <c r="CQ143" s="1327"/>
      <c r="CR143" s="1327"/>
      <c r="CS143" s="1327"/>
      <c r="CT143" s="1317"/>
      <c r="CU143" s="1317"/>
      <c r="CV143" s="1317"/>
      <c r="CW143" s="1317"/>
      <c r="CX143" s="1317"/>
      <c r="CY143" s="1317"/>
      <c r="CZ143" s="1317"/>
      <c r="DA143" s="1317"/>
      <c r="DB143" s="1317"/>
      <c r="DC143" s="1317"/>
      <c r="DD143" s="1317"/>
      <c r="DE143" s="1317"/>
      <c r="DF143" s="1317"/>
      <c r="DG143" s="1317"/>
    </row>
    <row r="144" ht="18.75" customHeight="1">
      <c r="G144" s="1344"/>
      <c r="H144" s="1345">
        <f t="shared" si="4"/>
        <v>0</v>
      </c>
      <c r="I144" s="1381"/>
      <c r="J144" s="1381"/>
      <c r="K144" s="1381"/>
      <c r="L144" s="1381"/>
      <c r="M144" s="1381"/>
      <c r="N144" s="1381"/>
      <c r="O144" s="1381"/>
      <c r="P144" s="1381"/>
      <c r="Q144" s="1381"/>
      <c r="R144" s="1381"/>
      <c r="T144" s="1349"/>
      <c r="U144" s="1349" t="s">
        <v>123</v>
      </c>
      <c r="V144" s="1349" t="s">
        <v>123</v>
      </c>
      <c r="W144" s="1349"/>
      <c r="X144" s="1349"/>
      <c r="Y144" s="1308"/>
      <c r="Z144" s="437" t="str">
        <f>IFERROR(__xludf.DUMMYFUNCTION("IF(NOT('portfólio'!$AV$7),"""",IF($T144="""","""",IFERROR(query({AtivosDados},""select sum(""&amp;Z$3&amp;"") where Col1='""&amp;$T144&amp;""' label sum(""&amp;Z$3&amp;"") ''""),0)))"),"")</f>
        <v/>
      </c>
      <c r="AA144" s="437" t="str">
        <f>IFERROR(__xludf.DUMMYFUNCTION("IF(NOT('portfólio'!$AV$7),"""",IF($T144="""","""",IFERROR(query({AtivosDados},""select sum(""&amp;AA$3&amp;"") where Col1='""&amp;$T144&amp;""' label sum(""&amp;AA$3&amp;"") ''""),0)))"),"")</f>
        <v/>
      </c>
      <c r="AB144" s="437" t="str">
        <f>IFERROR(__xludf.DUMMYFUNCTION("IF(NOT('portfólio'!$AV$7),"""",IF($T144="""","""",IFERROR(query({AtivosDados},""select sum(""&amp;AB$3&amp;"") where Col1='""&amp;$T144&amp;""' label sum(""&amp;AB$3&amp;"") ''""),0)))"),"")</f>
        <v/>
      </c>
      <c r="AC144" s="437" t="str">
        <f>IFERROR(__xludf.DUMMYFUNCTION("IF(NOT('portfólio'!$AV$7),"""",IF($T144="""","""",IFERROR(query({AtivosDados},""select sum(""&amp;AC$3&amp;"") where Col1='""&amp;$T144&amp;""' label sum(""&amp;AC$3&amp;"") ''""),0)))"),"")</f>
        <v/>
      </c>
      <c r="AD144" s="437" t="str">
        <f>IFERROR(__xludf.DUMMYFUNCTION("IF(NOT('portfólio'!$AV$7),"""",IF($T144="""","""",IFERROR(query({AtivosDados},""select sum(""&amp;AD$3&amp;"") where Col1='""&amp;$T144&amp;""' label sum(""&amp;AD$3&amp;"") ''""),0)))"),"")</f>
        <v/>
      </c>
      <c r="AE144" s="437"/>
      <c r="AF144" s="1327"/>
      <c r="AG144" s="437"/>
      <c r="AH144" s="437"/>
      <c r="AI144" s="437"/>
      <c r="AJ144" s="437"/>
      <c r="AK144" s="437"/>
      <c r="AL144" s="437"/>
      <c r="AM144" s="437"/>
      <c r="AN144" s="437"/>
      <c r="AO144" s="437"/>
      <c r="AP144" s="437"/>
      <c r="AQ144" s="1327"/>
      <c r="AR144" s="437"/>
      <c r="AS144" s="437"/>
      <c r="AT144" s="437"/>
      <c r="AU144" s="437"/>
      <c r="AV144" s="437"/>
      <c r="AW144" s="437"/>
      <c r="AX144" s="437"/>
      <c r="AY144" s="437"/>
      <c r="AZ144" s="437"/>
      <c r="BA144" s="437"/>
      <c r="BB144" s="1327"/>
      <c r="BC144" s="437"/>
      <c r="BD144" s="437"/>
      <c r="BE144" s="437"/>
      <c r="BF144" s="437"/>
      <c r="BG144" s="437"/>
      <c r="BH144" s="437"/>
      <c r="BI144" s="437"/>
      <c r="BJ144" s="437"/>
      <c r="BK144" s="437"/>
      <c r="BL144" s="437"/>
      <c r="BM144" s="1327"/>
      <c r="BN144" s="1327"/>
      <c r="BO144" s="1327"/>
      <c r="BP144" s="1327"/>
      <c r="BQ144" s="1327"/>
      <c r="BR144" s="1327"/>
      <c r="BS144" s="1327"/>
      <c r="BT144" s="1327"/>
      <c r="BU144" s="1327"/>
      <c r="BV144" s="1327"/>
      <c r="BW144" s="1327"/>
      <c r="BX144" s="1327"/>
      <c r="BY144" s="1327"/>
      <c r="BZ144" s="1327"/>
      <c r="CA144" s="1327"/>
      <c r="CB144" s="1327"/>
      <c r="CC144" s="1327"/>
      <c r="CD144" s="1327"/>
      <c r="CE144" s="1327"/>
      <c r="CF144" s="1327"/>
      <c r="CG144" s="1327"/>
      <c r="CH144" s="1327"/>
      <c r="CI144" s="1327"/>
      <c r="CJ144" s="1327"/>
      <c r="CK144" s="1327"/>
      <c r="CL144" s="1327"/>
      <c r="CM144" s="1327"/>
      <c r="CN144" s="1327"/>
      <c r="CO144" s="1327"/>
      <c r="CP144" s="1327"/>
      <c r="CQ144" s="1327"/>
      <c r="CR144" s="1327"/>
      <c r="CS144" s="1327"/>
      <c r="CT144" s="1317"/>
      <c r="CU144" s="1317"/>
      <c r="CV144" s="1317"/>
      <c r="CW144" s="1317"/>
      <c r="CX144" s="1317"/>
      <c r="CY144" s="1317"/>
      <c r="CZ144" s="1317"/>
      <c r="DA144" s="1317"/>
      <c r="DB144" s="1317"/>
      <c r="DC144" s="1317"/>
      <c r="DD144" s="1317"/>
      <c r="DE144" s="1317"/>
      <c r="DF144" s="1317"/>
      <c r="DG144" s="1317"/>
    </row>
    <row r="145" ht="18.75" customHeight="1">
      <c r="G145" s="1344"/>
      <c r="H145" s="1345">
        <f t="shared" si="4"/>
        <v>0</v>
      </c>
      <c r="I145" s="1381"/>
      <c r="J145" s="1381"/>
      <c r="K145" s="1381"/>
      <c r="L145" s="1381"/>
      <c r="M145" s="1381"/>
      <c r="N145" s="1381"/>
      <c r="O145" s="1381"/>
      <c r="P145" s="1381"/>
      <c r="Q145" s="1381"/>
      <c r="R145" s="1381"/>
      <c r="T145" s="1349"/>
      <c r="U145" s="1349" t="s">
        <v>123</v>
      </c>
      <c r="V145" s="1349" t="s">
        <v>123</v>
      </c>
      <c r="W145" s="1349"/>
      <c r="X145" s="1349"/>
      <c r="Y145" s="1308"/>
      <c r="Z145" s="437" t="str">
        <f>IFERROR(__xludf.DUMMYFUNCTION("IF(NOT('portfólio'!$AV$7),"""",IF($T145="""","""",IFERROR(query({AtivosDados},""select sum(""&amp;Z$3&amp;"") where Col1='""&amp;$T145&amp;""' label sum(""&amp;Z$3&amp;"") ''""),0)))"),"")</f>
        <v/>
      </c>
      <c r="AA145" s="437" t="str">
        <f>IFERROR(__xludf.DUMMYFUNCTION("IF(NOT('portfólio'!$AV$7),"""",IF($T145="""","""",IFERROR(query({AtivosDados},""select sum(""&amp;AA$3&amp;"") where Col1='""&amp;$T145&amp;""' label sum(""&amp;AA$3&amp;"") ''""),0)))"),"")</f>
        <v/>
      </c>
      <c r="AB145" s="437" t="str">
        <f>IFERROR(__xludf.DUMMYFUNCTION("IF(NOT('portfólio'!$AV$7),"""",IF($T145="""","""",IFERROR(query({AtivosDados},""select sum(""&amp;AB$3&amp;"") where Col1='""&amp;$T145&amp;""' label sum(""&amp;AB$3&amp;"") ''""),0)))"),"")</f>
        <v/>
      </c>
      <c r="AC145" s="437" t="str">
        <f>IFERROR(__xludf.DUMMYFUNCTION("IF(NOT('portfólio'!$AV$7),"""",IF($T145="""","""",IFERROR(query({AtivosDados},""select sum(""&amp;AC$3&amp;"") where Col1='""&amp;$T145&amp;""' label sum(""&amp;AC$3&amp;"") ''""),0)))"),"")</f>
        <v/>
      </c>
      <c r="AD145" s="437" t="str">
        <f>IFERROR(__xludf.DUMMYFUNCTION("IF(NOT('portfólio'!$AV$7),"""",IF($T145="""","""",IFERROR(query({AtivosDados},""select sum(""&amp;AD$3&amp;"") where Col1='""&amp;$T145&amp;""' label sum(""&amp;AD$3&amp;"") ''""),0)))"),"")</f>
        <v/>
      </c>
      <c r="AE145" s="437"/>
      <c r="AF145" s="1327"/>
      <c r="AG145" s="437"/>
      <c r="AH145" s="437"/>
      <c r="AI145" s="437"/>
      <c r="AJ145" s="437"/>
      <c r="AK145" s="437"/>
      <c r="AL145" s="437"/>
      <c r="AM145" s="437"/>
      <c r="AN145" s="437"/>
      <c r="AO145" s="437"/>
      <c r="AP145" s="437"/>
      <c r="AQ145" s="1327"/>
      <c r="AR145" s="437"/>
      <c r="AS145" s="437"/>
      <c r="AT145" s="437"/>
      <c r="AU145" s="437"/>
      <c r="AV145" s="437"/>
      <c r="AW145" s="437"/>
      <c r="AX145" s="437"/>
      <c r="AY145" s="437"/>
      <c r="AZ145" s="437"/>
      <c r="BA145" s="437"/>
      <c r="BB145" s="1327"/>
      <c r="BC145" s="437"/>
      <c r="BD145" s="437"/>
      <c r="BE145" s="437"/>
      <c r="BF145" s="437"/>
      <c r="BG145" s="437"/>
      <c r="BH145" s="437"/>
      <c r="BI145" s="437"/>
      <c r="BJ145" s="437"/>
      <c r="BK145" s="437"/>
      <c r="BL145" s="437"/>
      <c r="BM145" s="1327"/>
      <c r="BN145" s="1327"/>
      <c r="BO145" s="1327"/>
      <c r="BP145" s="1327"/>
      <c r="BQ145" s="1327"/>
      <c r="BR145" s="1327"/>
      <c r="BS145" s="1327"/>
      <c r="BT145" s="1327"/>
      <c r="BU145" s="1327"/>
      <c r="BV145" s="1327"/>
      <c r="BW145" s="1327"/>
      <c r="BX145" s="1327"/>
      <c r="BY145" s="1327"/>
      <c r="BZ145" s="1327"/>
      <c r="CA145" s="1327"/>
      <c r="CB145" s="1327"/>
      <c r="CC145" s="1327"/>
      <c r="CD145" s="1327"/>
      <c r="CE145" s="1327"/>
      <c r="CF145" s="1327"/>
      <c r="CG145" s="1327"/>
      <c r="CH145" s="1327"/>
      <c r="CI145" s="1327"/>
      <c r="CJ145" s="1327"/>
      <c r="CK145" s="1327"/>
      <c r="CL145" s="1327"/>
      <c r="CM145" s="1327"/>
      <c r="CN145" s="1327"/>
      <c r="CO145" s="1327"/>
      <c r="CP145" s="1327"/>
      <c r="CQ145" s="1327"/>
      <c r="CR145" s="1327"/>
      <c r="CS145" s="1327"/>
      <c r="CT145" s="1317"/>
      <c r="CU145" s="1317"/>
      <c r="CV145" s="1317"/>
      <c r="CW145" s="1317"/>
      <c r="CX145" s="1317"/>
      <c r="CY145" s="1317"/>
      <c r="CZ145" s="1317"/>
      <c r="DA145" s="1317"/>
      <c r="DB145" s="1317"/>
      <c r="DC145" s="1317"/>
      <c r="DD145" s="1317"/>
      <c r="DE145" s="1317"/>
      <c r="DF145" s="1317"/>
      <c r="DG145" s="1317"/>
    </row>
    <row r="146" ht="18.75" customHeight="1">
      <c r="G146" s="1344"/>
      <c r="H146" s="1345">
        <f t="shared" si="4"/>
        <v>0</v>
      </c>
      <c r="I146" s="1381"/>
      <c r="J146" s="1381"/>
      <c r="K146" s="1381"/>
      <c r="L146" s="1381"/>
      <c r="M146" s="1381"/>
      <c r="N146" s="1381"/>
      <c r="O146" s="1381"/>
      <c r="P146" s="1381"/>
      <c r="Q146" s="1381"/>
      <c r="R146" s="1381"/>
      <c r="T146" s="1349"/>
      <c r="U146" s="1349" t="s">
        <v>123</v>
      </c>
      <c r="V146" s="1349" t="s">
        <v>123</v>
      </c>
      <c r="W146" s="1349"/>
      <c r="X146" s="1349"/>
      <c r="Y146" s="1308"/>
      <c r="Z146" s="437" t="str">
        <f>IFERROR(__xludf.DUMMYFUNCTION("IF(NOT('portfólio'!$AV$7),"""",IF($T146="""","""",IFERROR(query({AtivosDados},""select sum(""&amp;Z$3&amp;"") where Col1='""&amp;$T146&amp;""' label sum(""&amp;Z$3&amp;"") ''""),0)))"),"")</f>
        <v/>
      </c>
      <c r="AA146" s="437" t="str">
        <f>IFERROR(__xludf.DUMMYFUNCTION("IF(NOT('portfólio'!$AV$7),"""",IF($T146="""","""",IFERROR(query({AtivosDados},""select sum(""&amp;AA$3&amp;"") where Col1='""&amp;$T146&amp;""' label sum(""&amp;AA$3&amp;"") ''""),0)))"),"")</f>
        <v/>
      </c>
      <c r="AB146" s="437" t="str">
        <f>IFERROR(__xludf.DUMMYFUNCTION("IF(NOT('portfólio'!$AV$7),"""",IF($T146="""","""",IFERROR(query({AtivosDados},""select sum(""&amp;AB$3&amp;"") where Col1='""&amp;$T146&amp;""' label sum(""&amp;AB$3&amp;"") ''""),0)))"),"")</f>
        <v/>
      </c>
      <c r="AC146" s="437" t="str">
        <f>IFERROR(__xludf.DUMMYFUNCTION("IF(NOT('portfólio'!$AV$7),"""",IF($T146="""","""",IFERROR(query({AtivosDados},""select sum(""&amp;AC$3&amp;"") where Col1='""&amp;$T146&amp;""' label sum(""&amp;AC$3&amp;"") ''""),0)))"),"")</f>
        <v/>
      </c>
      <c r="AD146" s="437" t="str">
        <f>IFERROR(__xludf.DUMMYFUNCTION("IF(NOT('portfólio'!$AV$7),"""",IF($T146="""","""",IFERROR(query({AtivosDados},""select sum(""&amp;AD$3&amp;"") where Col1='""&amp;$T146&amp;""' label sum(""&amp;AD$3&amp;"") ''""),0)))"),"")</f>
        <v/>
      </c>
      <c r="AE146" s="437"/>
      <c r="AF146" s="1327"/>
      <c r="AG146" s="437"/>
      <c r="AH146" s="437"/>
      <c r="AI146" s="437"/>
      <c r="AJ146" s="437"/>
      <c r="AK146" s="437"/>
      <c r="AL146" s="437"/>
      <c r="AM146" s="437"/>
      <c r="AN146" s="437"/>
      <c r="AO146" s="437"/>
      <c r="AP146" s="437"/>
      <c r="AQ146" s="1327"/>
      <c r="AR146" s="437"/>
      <c r="AS146" s="437"/>
      <c r="AT146" s="437"/>
      <c r="AU146" s="437"/>
      <c r="AV146" s="437"/>
      <c r="AW146" s="437"/>
      <c r="AX146" s="437"/>
      <c r="AY146" s="437"/>
      <c r="AZ146" s="437"/>
      <c r="BA146" s="437"/>
      <c r="BB146" s="1327"/>
      <c r="BC146" s="437"/>
      <c r="BD146" s="437"/>
      <c r="BE146" s="437"/>
      <c r="BF146" s="437"/>
      <c r="BG146" s="437"/>
      <c r="BH146" s="437"/>
      <c r="BI146" s="437"/>
      <c r="BJ146" s="437"/>
      <c r="BK146" s="437"/>
      <c r="BL146" s="437"/>
      <c r="BM146" s="1327"/>
      <c r="BN146" s="1327"/>
      <c r="BO146" s="1327"/>
      <c r="BP146" s="1327"/>
      <c r="BQ146" s="1327"/>
      <c r="BR146" s="1327"/>
      <c r="BS146" s="1327"/>
      <c r="BT146" s="1327"/>
      <c r="BU146" s="1327"/>
      <c r="BV146" s="1327"/>
      <c r="BW146" s="1327"/>
      <c r="BX146" s="1327"/>
      <c r="BY146" s="1327"/>
      <c r="BZ146" s="1327"/>
      <c r="CA146" s="1327"/>
      <c r="CB146" s="1327"/>
      <c r="CC146" s="1327"/>
      <c r="CD146" s="1327"/>
      <c r="CE146" s="1327"/>
      <c r="CF146" s="1327"/>
      <c r="CG146" s="1327"/>
      <c r="CH146" s="1327"/>
      <c r="CI146" s="1327"/>
      <c r="CJ146" s="1327"/>
      <c r="CK146" s="1327"/>
      <c r="CL146" s="1327"/>
      <c r="CM146" s="1327"/>
      <c r="CN146" s="1327"/>
      <c r="CO146" s="1327"/>
      <c r="CP146" s="1327"/>
      <c r="CQ146" s="1327"/>
      <c r="CR146" s="1327"/>
      <c r="CS146" s="1327"/>
      <c r="CT146" s="1317"/>
      <c r="CU146" s="1317"/>
      <c r="CV146" s="1317"/>
      <c r="CW146" s="1317"/>
      <c r="CX146" s="1317"/>
      <c r="CY146" s="1317"/>
      <c r="CZ146" s="1317"/>
      <c r="DA146" s="1317"/>
      <c r="DB146" s="1317"/>
      <c r="DC146" s="1317"/>
      <c r="DD146" s="1317"/>
      <c r="DE146" s="1317"/>
      <c r="DF146" s="1317"/>
      <c r="DG146" s="1317"/>
    </row>
    <row r="147" ht="18.75" customHeight="1">
      <c r="G147" s="1344"/>
      <c r="H147" s="1345">
        <f t="shared" si="4"/>
        <v>0</v>
      </c>
      <c r="I147" s="1381"/>
      <c r="J147" s="1381"/>
      <c r="K147" s="1381"/>
      <c r="L147" s="1381"/>
      <c r="M147" s="1381"/>
      <c r="N147" s="1381"/>
      <c r="O147" s="1381"/>
      <c r="P147" s="1381"/>
      <c r="Q147" s="1381"/>
      <c r="R147" s="1381"/>
      <c r="T147" s="1349"/>
      <c r="U147" s="1349" t="s">
        <v>123</v>
      </c>
      <c r="V147" s="1349" t="s">
        <v>123</v>
      </c>
      <c r="W147" s="1349"/>
      <c r="X147" s="1349"/>
      <c r="Y147" s="1308"/>
      <c r="Z147" s="437" t="str">
        <f>IFERROR(__xludf.DUMMYFUNCTION("IF(NOT('portfólio'!$AV$7),"""",IF($T147="""","""",IFERROR(query({AtivosDados},""select sum(""&amp;Z$3&amp;"") where Col1='""&amp;$T147&amp;""' label sum(""&amp;Z$3&amp;"") ''""),0)))"),"")</f>
        <v/>
      </c>
      <c r="AA147" s="437" t="str">
        <f>IFERROR(__xludf.DUMMYFUNCTION("IF(NOT('portfólio'!$AV$7),"""",IF($T147="""","""",IFERROR(query({AtivosDados},""select sum(""&amp;AA$3&amp;"") where Col1='""&amp;$T147&amp;""' label sum(""&amp;AA$3&amp;"") ''""),0)))"),"")</f>
        <v/>
      </c>
      <c r="AB147" s="437" t="str">
        <f>IFERROR(__xludf.DUMMYFUNCTION("IF(NOT('portfólio'!$AV$7),"""",IF($T147="""","""",IFERROR(query({AtivosDados},""select sum(""&amp;AB$3&amp;"") where Col1='""&amp;$T147&amp;""' label sum(""&amp;AB$3&amp;"") ''""),0)))"),"")</f>
        <v/>
      </c>
      <c r="AC147" s="437" t="str">
        <f>IFERROR(__xludf.DUMMYFUNCTION("IF(NOT('portfólio'!$AV$7),"""",IF($T147="""","""",IFERROR(query({AtivosDados},""select sum(""&amp;AC$3&amp;"") where Col1='""&amp;$T147&amp;""' label sum(""&amp;AC$3&amp;"") ''""),0)))"),"")</f>
        <v/>
      </c>
      <c r="AD147" s="437" t="str">
        <f>IFERROR(__xludf.DUMMYFUNCTION("IF(NOT('portfólio'!$AV$7),"""",IF($T147="""","""",IFERROR(query({AtivosDados},""select sum(""&amp;AD$3&amp;"") where Col1='""&amp;$T147&amp;""' label sum(""&amp;AD$3&amp;"") ''""),0)))"),"")</f>
        <v/>
      </c>
      <c r="AE147" s="437"/>
      <c r="AF147" s="1327"/>
      <c r="AG147" s="437"/>
      <c r="AH147" s="437"/>
      <c r="AI147" s="437"/>
      <c r="AJ147" s="437"/>
      <c r="AK147" s="437"/>
      <c r="AL147" s="437"/>
      <c r="AM147" s="437"/>
      <c r="AN147" s="437"/>
      <c r="AO147" s="437"/>
      <c r="AP147" s="437"/>
      <c r="AQ147" s="1327"/>
      <c r="AR147" s="437"/>
      <c r="AS147" s="437"/>
      <c r="AT147" s="437"/>
      <c r="AU147" s="437"/>
      <c r="AV147" s="437"/>
      <c r="AW147" s="437"/>
      <c r="AX147" s="437"/>
      <c r="AY147" s="437"/>
      <c r="AZ147" s="437"/>
      <c r="BA147" s="437"/>
      <c r="BB147" s="1327"/>
      <c r="BC147" s="437"/>
      <c r="BD147" s="437"/>
      <c r="BE147" s="437"/>
      <c r="BF147" s="437"/>
      <c r="BG147" s="437"/>
      <c r="BH147" s="437"/>
      <c r="BI147" s="437"/>
      <c r="BJ147" s="437"/>
      <c r="BK147" s="437"/>
      <c r="BL147" s="437"/>
      <c r="BM147" s="1327"/>
      <c r="BN147" s="1327"/>
      <c r="BO147" s="1327"/>
      <c r="BP147" s="1327"/>
      <c r="BQ147" s="1327"/>
      <c r="BR147" s="1327"/>
      <c r="BS147" s="1327"/>
      <c r="BT147" s="1327"/>
      <c r="BU147" s="1327"/>
      <c r="BV147" s="1327"/>
      <c r="BW147" s="1327"/>
      <c r="BX147" s="1327"/>
      <c r="BY147" s="1327"/>
      <c r="BZ147" s="1327"/>
      <c r="CA147" s="1327"/>
      <c r="CB147" s="1327"/>
      <c r="CC147" s="1327"/>
      <c r="CD147" s="1327"/>
      <c r="CE147" s="1327"/>
      <c r="CF147" s="1327"/>
      <c r="CG147" s="1327"/>
      <c r="CH147" s="1327"/>
      <c r="CI147" s="1327"/>
      <c r="CJ147" s="1327"/>
      <c r="CK147" s="1327"/>
      <c r="CL147" s="1327"/>
      <c r="CM147" s="1327"/>
      <c r="CN147" s="1327"/>
      <c r="CO147" s="1327"/>
      <c r="CP147" s="1327"/>
      <c r="CQ147" s="1327"/>
      <c r="CR147" s="1327"/>
      <c r="CS147" s="1327"/>
      <c r="CT147" s="1317"/>
      <c r="CU147" s="1317"/>
      <c r="CV147" s="1317"/>
      <c r="CW147" s="1317"/>
      <c r="CX147" s="1317"/>
      <c r="CY147" s="1317"/>
      <c r="CZ147" s="1317"/>
      <c r="DA147" s="1317"/>
      <c r="DB147" s="1317"/>
      <c r="DC147" s="1317"/>
      <c r="DD147" s="1317"/>
      <c r="DE147" s="1317"/>
      <c r="DF147" s="1317"/>
      <c r="DG147" s="1317"/>
    </row>
    <row r="148" ht="18.75" customHeight="1">
      <c r="G148" s="1344"/>
      <c r="H148" s="1345">
        <f t="shared" si="4"/>
        <v>0</v>
      </c>
      <c r="I148" s="1381"/>
      <c r="J148" s="1381"/>
      <c r="K148" s="1381"/>
      <c r="L148" s="1381"/>
      <c r="M148" s="1381"/>
      <c r="N148" s="1381"/>
      <c r="O148" s="1381"/>
      <c r="P148" s="1381"/>
      <c r="Q148" s="1381"/>
      <c r="R148" s="1381"/>
      <c r="T148" s="1349"/>
      <c r="U148" s="1349" t="s">
        <v>123</v>
      </c>
      <c r="V148" s="1349" t="s">
        <v>123</v>
      </c>
      <c r="W148" s="1349"/>
      <c r="X148" s="1349"/>
      <c r="Y148" s="1308"/>
      <c r="Z148" s="437" t="str">
        <f>IFERROR(__xludf.DUMMYFUNCTION("IF(NOT('portfólio'!$AV$7),"""",IF($T148="""","""",IFERROR(query({AtivosDados},""select sum(""&amp;Z$3&amp;"") where Col1='""&amp;$T148&amp;""' label sum(""&amp;Z$3&amp;"") ''""),0)))"),"")</f>
        <v/>
      </c>
      <c r="AA148" s="437" t="str">
        <f>IFERROR(__xludf.DUMMYFUNCTION("IF(NOT('portfólio'!$AV$7),"""",IF($T148="""","""",IFERROR(query({AtivosDados},""select sum(""&amp;AA$3&amp;"") where Col1='""&amp;$T148&amp;""' label sum(""&amp;AA$3&amp;"") ''""),0)))"),"")</f>
        <v/>
      </c>
      <c r="AB148" s="437" t="str">
        <f>IFERROR(__xludf.DUMMYFUNCTION("IF(NOT('portfólio'!$AV$7),"""",IF($T148="""","""",IFERROR(query({AtivosDados},""select sum(""&amp;AB$3&amp;"") where Col1='""&amp;$T148&amp;""' label sum(""&amp;AB$3&amp;"") ''""),0)))"),"")</f>
        <v/>
      </c>
      <c r="AC148" s="437" t="str">
        <f>IFERROR(__xludf.DUMMYFUNCTION("IF(NOT('portfólio'!$AV$7),"""",IF($T148="""","""",IFERROR(query({AtivosDados},""select sum(""&amp;AC$3&amp;"") where Col1='""&amp;$T148&amp;""' label sum(""&amp;AC$3&amp;"") ''""),0)))"),"")</f>
        <v/>
      </c>
      <c r="AD148" s="437" t="str">
        <f>IFERROR(__xludf.DUMMYFUNCTION("IF(NOT('portfólio'!$AV$7),"""",IF($T148="""","""",IFERROR(query({AtivosDados},""select sum(""&amp;AD$3&amp;"") where Col1='""&amp;$T148&amp;""' label sum(""&amp;AD$3&amp;"") ''""),0)))"),"")</f>
        <v/>
      </c>
      <c r="AE148" s="437"/>
      <c r="AF148" s="1327"/>
      <c r="AG148" s="437"/>
      <c r="AH148" s="437"/>
      <c r="AI148" s="437"/>
      <c r="AJ148" s="437"/>
      <c r="AK148" s="437"/>
      <c r="AL148" s="437"/>
      <c r="AM148" s="437"/>
      <c r="AN148" s="437"/>
      <c r="AO148" s="437"/>
      <c r="AP148" s="437"/>
      <c r="AQ148" s="1327"/>
      <c r="AR148" s="437"/>
      <c r="AS148" s="437"/>
      <c r="AT148" s="437"/>
      <c r="AU148" s="437"/>
      <c r="AV148" s="437"/>
      <c r="AW148" s="437"/>
      <c r="AX148" s="437"/>
      <c r="AY148" s="437"/>
      <c r="AZ148" s="437"/>
      <c r="BA148" s="437"/>
      <c r="BB148" s="1327"/>
      <c r="BC148" s="437"/>
      <c r="BD148" s="437"/>
      <c r="BE148" s="437"/>
      <c r="BF148" s="437"/>
      <c r="BG148" s="437"/>
      <c r="BH148" s="437"/>
      <c r="BI148" s="437"/>
      <c r="BJ148" s="437"/>
      <c r="BK148" s="437"/>
      <c r="BL148" s="437"/>
      <c r="BM148" s="1327"/>
      <c r="BN148" s="1327"/>
      <c r="BO148" s="1327"/>
      <c r="BP148" s="1327"/>
      <c r="BQ148" s="1327"/>
      <c r="BR148" s="1327"/>
      <c r="BS148" s="1327"/>
      <c r="BT148" s="1327"/>
      <c r="BU148" s="1327"/>
      <c r="BV148" s="1327"/>
      <c r="BW148" s="1327"/>
      <c r="BX148" s="1327"/>
      <c r="BY148" s="1327"/>
      <c r="BZ148" s="1327"/>
      <c r="CA148" s="1327"/>
      <c r="CB148" s="1327"/>
      <c r="CC148" s="1327"/>
      <c r="CD148" s="1327"/>
      <c r="CE148" s="1327"/>
      <c r="CF148" s="1327"/>
      <c r="CG148" s="1327"/>
      <c r="CH148" s="1327"/>
      <c r="CI148" s="1327"/>
      <c r="CJ148" s="1327"/>
      <c r="CK148" s="1327"/>
      <c r="CL148" s="1327"/>
      <c r="CM148" s="1327"/>
      <c r="CN148" s="1327"/>
      <c r="CO148" s="1327"/>
      <c r="CP148" s="1327"/>
      <c r="CQ148" s="1327"/>
      <c r="CR148" s="1327"/>
      <c r="CS148" s="1327"/>
      <c r="CT148" s="1317"/>
      <c r="CU148" s="1317"/>
      <c r="CV148" s="1317"/>
      <c r="CW148" s="1317"/>
      <c r="CX148" s="1317"/>
      <c r="CY148" s="1317"/>
      <c r="CZ148" s="1317"/>
      <c r="DA148" s="1317"/>
      <c r="DB148" s="1317"/>
      <c r="DC148" s="1317"/>
      <c r="DD148" s="1317"/>
      <c r="DE148" s="1317"/>
      <c r="DF148" s="1317"/>
      <c r="DG148" s="1317"/>
    </row>
    <row r="149" ht="18.75" customHeight="1">
      <c r="G149" s="1344"/>
      <c r="H149" s="1345">
        <f t="shared" si="4"/>
        <v>0</v>
      </c>
      <c r="I149" s="1381"/>
      <c r="J149" s="1381"/>
      <c r="K149" s="1381"/>
      <c r="L149" s="1381"/>
      <c r="M149" s="1381"/>
      <c r="N149" s="1381"/>
      <c r="O149" s="1381"/>
      <c r="P149" s="1381"/>
      <c r="Q149" s="1381"/>
      <c r="R149" s="1381"/>
      <c r="T149" s="1349"/>
      <c r="U149" s="1349" t="s">
        <v>123</v>
      </c>
      <c r="V149" s="1349" t="s">
        <v>123</v>
      </c>
      <c r="W149" s="1349"/>
      <c r="X149" s="1349"/>
      <c r="Y149" s="1308"/>
      <c r="Z149" s="437" t="str">
        <f>IFERROR(__xludf.DUMMYFUNCTION("IF(NOT('portfólio'!$AV$7),"""",IF($T149="""","""",IFERROR(query({AtivosDados},""select sum(""&amp;Z$3&amp;"") where Col1='""&amp;$T149&amp;""' label sum(""&amp;Z$3&amp;"") ''""),0)))"),"")</f>
        <v/>
      </c>
      <c r="AA149" s="437" t="str">
        <f>IFERROR(__xludf.DUMMYFUNCTION("IF(NOT('portfólio'!$AV$7),"""",IF($T149="""","""",IFERROR(query({AtivosDados},""select sum(""&amp;AA$3&amp;"") where Col1='""&amp;$T149&amp;""' label sum(""&amp;AA$3&amp;"") ''""),0)))"),"")</f>
        <v/>
      </c>
      <c r="AB149" s="437" t="str">
        <f>IFERROR(__xludf.DUMMYFUNCTION("IF(NOT('portfólio'!$AV$7),"""",IF($T149="""","""",IFERROR(query({AtivosDados},""select sum(""&amp;AB$3&amp;"") where Col1='""&amp;$T149&amp;""' label sum(""&amp;AB$3&amp;"") ''""),0)))"),"")</f>
        <v/>
      </c>
      <c r="AC149" s="437" t="str">
        <f>IFERROR(__xludf.DUMMYFUNCTION("IF(NOT('portfólio'!$AV$7),"""",IF($T149="""","""",IFERROR(query({AtivosDados},""select sum(""&amp;AC$3&amp;"") where Col1='""&amp;$T149&amp;""' label sum(""&amp;AC$3&amp;"") ''""),0)))"),"")</f>
        <v/>
      </c>
      <c r="AD149" s="437" t="str">
        <f>IFERROR(__xludf.DUMMYFUNCTION("IF(NOT('portfólio'!$AV$7),"""",IF($T149="""","""",IFERROR(query({AtivosDados},""select sum(""&amp;AD$3&amp;"") where Col1='""&amp;$T149&amp;""' label sum(""&amp;AD$3&amp;"") ''""),0)))"),"")</f>
        <v/>
      </c>
      <c r="AE149" s="437"/>
      <c r="AF149" s="1327"/>
      <c r="AG149" s="437"/>
      <c r="AH149" s="437"/>
      <c r="AI149" s="437"/>
      <c r="AJ149" s="437"/>
      <c r="AK149" s="437"/>
      <c r="AL149" s="437"/>
      <c r="AM149" s="437"/>
      <c r="AN149" s="437"/>
      <c r="AO149" s="437"/>
      <c r="AP149" s="437"/>
      <c r="AQ149" s="1327"/>
      <c r="AR149" s="437"/>
      <c r="AS149" s="437"/>
      <c r="AT149" s="437"/>
      <c r="AU149" s="437"/>
      <c r="AV149" s="437"/>
      <c r="AW149" s="437"/>
      <c r="AX149" s="437"/>
      <c r="AY149" s="437"/>
      <c r="AZ149" s="437"/>
      <c r="BA149" s="437"/>
      <c r="BB149" s="1327"/>
      <c r="BC149" s="437"/>
      <c r="BD149" s="437"/>
      <c r="BE149" s="437"/>
      <c r="BF149" s="437"/>
      <c r="BG149" s="437"/>
      <c r="BH149" s="437"/>
      <c r="BI149" s="437"/>
      <c r="BJ149" s="437"/>
      <c r="BK149" s="437"/>
      <c r="BL149" s="437"/>
      <c r="BM149" s="1327"/>
      <c r="BN149" s="1327"/>
      <c r="BO149" s="1327"/>
      <c r="BP149" s="1327"/>
      <c r="BQ149" s="1327"/>
      <c r="BR149" s="1327"/>
      <c r="BS149" s="1327"/>
      <c r="BT149" s="1327"/>
      <c r="BU149" s="1327"/>
      <c r="BV149" s="1327"/>
      <c r="BW149" s="1327"/>
      <c r="BX149" s="1327"/>
      <c r="BY149" s="1327"/>
      <c r="BZ149" s="1327"/>
      <c r="CA149" s="1327"/>
      <c r="CB149" s="1327"/>
      <c r="CC149" s="1327"/>
      <c r="CD149" s="1327"/>
      <c r="CE149" s="1327"/>
      <c r="CF149" s="1327"/>
      <c r="CG149" s="1327"/>
      <c r="CH149" s="1327"/>
      <c r="CI149" s="1327"/>
      <c r="CJ149" s="1327"/>
      <c r="CK149" s="1327"/>
      <c r="CL149" s="1327"/>
      <c r="CM149" s="1327"/>
      <c r="CN149" s="1327"/>
      <c r="CO149" s="1327"/>
      <c r="CP149" s="1327"/>
      <c r="CQ149" s="1327"/>
      <c r="CR149" s="1327"/>
      <c r="CS149" s="1327"/>
      <c r="CT149" s="1317"/>
      <c r="CU149" s="1317"/>
      <c r="CV149" s="1317"/>
      <c r="CW149" s="1317"/>
      <c r="CX149" s="1317"/>
      <c r="CY149" s="1317"/>
      <c r="CZ149" s="1317"/>
      <c r="DA149" s="1317"/>
      <c r="DB149" s="1317"/>
      <c r="DC149" s="1317"/>
      <c r="DD149" s="1317"/>
      <c r="DE149" s="1317"/>
      <c r="DF149" s="1317"/>
      <c r="DG149" s="1317"/>
    </row>
    <row r="150" ht="18.75" customHeight="1">
      <c r="G150" s="1344"/>
      <c r="H150" s="1345">
        <f t="shared" si="4"/>
        <v>0</v>
      </c>
      <c r="I150" s="1381"/>
      <c r="J150" s="1381"/>
      <c r="K150" s="1381"/>
      <c r="L150" s="1381"/>
      <c r="M150" s="1381"/>
      <c r="N150" s="1381"/>
      <c r="O150" s="1381"/>
      <c r="P150" s="1381"/>
      <c r="Q150" s="1381"/>
      <c r="R150" s="1381"/>
      <c r="T150" s="1349"/>
      <c r="U150" s="1349" t="s">
        <v>123</v>
      </c>
      <c r="V150" s="1349" t="s">
        <v>123</v>
      </c>
      <c r="W150" s="1349"/>
      <c r="X150" s="1349"/>
      <c r="Y150" s="1308"/>
      <c r="Z150" s="437" t="str">
        <f>IFERROR(__xludf.DUMMYFUNCTION("IF(NOT('portfólio'!$AV$7),"""",IF($T150="""","""",IFERROR(query({AtivosDados},""select sum(""&amp;Z$3&amp;"") where Col1='""&amp;$T150&amp;""' label sum(""&amp;Z$3&amp;"") ''""),0)))"),"")</f>
        <v/>
      </c>
      <c r="AA150" s="437" t="str">
        <f>IFERROR(__xludf.DUMMYFUNCTION("IF(NOT('portfólio'!$AV$7),"""",IF($T150="""","""",IFERROR(query({AtivosDados},""select sum(""&amp;AA$3&amp;"") where Col1='""&amp;$T150&amp;""' label sum(""&amp;AA$3&amp;"") ''""),0)))"),"")</f>
        <v/>
      </c>
      <c r="AB150" s="437" t="str">
        <f>IFERROR(__xludf.DUMMYFUNCTION("IF(NOT('portfólio'!$AV$7),"""",IF($T150="""","""",IFERROR(query({AtivosDados},""select sum(""&amp;AB$3&amp;"") where Col1='""&amp;$T150&amp;""' label sum(""&amp;AB$3&amp;"") ''""),0)))"),"")</f>
        <v/>
      </c>
      <c r="AC150" s="437" t="str">
        <f>IFERROR(__xludf.DUMMYFUNCTION("IF(NOT('portfólio'!$AV$7),"""",IF($T150="""","""",IFERROR(query({AtivosDados},""select sum(""&amp;AC$3&amp;"") where Col1='""&amp;$T150&amp;""' label sum(""&amp;AC$3&amp;"") ''""),0)))"),"")</f>
        <v/>
      </c>
      <c r="AD150" s="437" t="str">
        <f>IFERROR(__xludf.DUMMYFUNCTION("IF(NOT('portfólio'!$AV$7),"""",IF($T150="""","""",IFERROR(query({AtivosDados},""select sum(""&amp;AD$3&amp;"") where Col1='""&amp;$T150&amp;""' label sum(""&amp;AD$3&amp;"") ''""),0)))"),"")</f>
        <v/>
      </c>
      <c r="AE150" s="437"/>
      <c r="AF150" s="1327"/>
      <c r="AG150" s="437"/>
      <c r="AH150" s="437"/>
      <c r="AI150" s="437"/>
      <c r="AJ150" s="437"/>
      <c r="AK150" s="437"/>
      <c r="AL150" s="437"/>
      <c r="AM150" s="437"/>
      <c r="AN150" s="437"/>
      <c r="AO150" s="437"/>
      <c r="AP150" s="437"/>
      <c r="AQ150" s="1327"/>
      <c r="AR150" s="437"/>
      <c r="AS150" s="437"/>
      <c r="AT150" s="437"/>
      <c r="AU150" s="437"/>
      <c r="AV150" s="437"/>
      <c r="AW150" s="437"/>
      <c r="AX150" s="437"/>
      <c r="AY150" s="437"/>
      <c r="AZ150" s="437"/>
      <c r="BA150" s="437"/>
      <c r="BB150" s="1327"/>
      <c r="BC150" s="437"/>
      <c r="BD150" s="437"/>
      <c r="BE150" s="437"/>
      <c r="BF150" s="437"/>
      <c r="BG150" s="437"/>
      <c r="BH150" s="437"/>
      <c r="BI150" s="437"/>
      <c r="BJ150" s="437"/>
      <c r="BK150" s="437"/>
      <c r="BL150" s="437"/>
      <c r="BM150" s="1327"/>
      <c r="BN150" s="1327"/>
      <c r="BO150" s="1327"/>
      <c r="BP150" s="1327"/>
      <c r="BQ150" s="1327"/>
      <c r="BR150" s="1327"/>
      <c r="BS150" s="1327"/>
      <c r="BT150" s="1327"/>
      <c r="BU150" s="1327"/>
      <c r="BV150" s="1327"/>
      <c r="BW150" s="1327"/>
      <c r="BX150" s="1327"/>
      <c r="BY150" s="1327"/>
      <c r="BZ150" s="1327"/>
      <c r="CA150" s="1327"/>
      <c r="CB150" s="1327"/>
      <c r="CC150" s="1327"/>
      <c r="CD150" s="1327"/>
      <c r="CE150" s="1327"/>
      <c r="CF150" s="1327"/>
      <c r="CG150" s="1327"/>
      <c r="CH150" s="1327"/>
      <c r="CI150" s="1327"/>
      <c r="CJ150" s="1327"/>
      <c r="CK150" s="1327"/>
      <c r="CL150" s="1327"/>
      <c r="CM150" s="1327"/>
      <c r="CN150" s="1327"/>
      <c r="CO150" s="1327"/>
      <c r="CP150" s="1327"/>
      <c r="CQ150" s="1327"/>
      <c r="CR150" s="1327"/>
      <c r="CS150" s="1327"/>
      <c r="CT150" s="1317"/>
      <c r="CU150" s="1317"/>
      <c r="CV150" s="1317"/>
      <c r="CW150" s="1317"/>
      <c r="CX150" s="1317"/>
      <c r="CY150" s="1317"/>
      <c r="CZ150" s="1317"/>
      <c r="DA150" s="1317"/>
      <c r="DB150" s="1317"/>
      <c r="DC150" s="1317"/>
      <c r="DD150" s="1317"/>
      <c r="DE150" s="1317"/>
      <c r="DF150" s="1317"/>
      <c r="DG150" s="1317"/>
    </row>
    <row r="151" ht="18.75" customHeight="1">
      <c r="G151" s="1344"/>
      <c r="H151" s="1345">
        <f t="shared" si="4"/>
        <v>0</v>
      </c>
      <c r="I151" s="1381"/>
      <c r="J151" s="1381"/>
      <c r="K151" s="1381"/>
      <c r="L151" s="1381"/>
      <c r="M151" s="1381"/>
      <c r="N151" s="1381"/>
      <c r="O151" s="1381"/>
      <c r="P151" s="1381"/>
      <c r="Q151" s="1381"/>
      <c r="R151" s="1381"/>
      <c r="T151" s="1349"/>
      <c r="U151" s="1349" t="s">
        <v>123</v>
      </c>
      <c r="V151" s="1349" t="s">
        <v>123</v>
      </c>
      <c r="W151" s="1349"/>
      <c r="X151" s="1349"/>
      <c r="Y151" s="1308"/>
      <c r="Z151" s="437" t="str">
        <f>IFERROR(__xludf.DUMMYFUNCTION("IF(NOT('portfólio'!$AV$7),"""",IF($T151="""","""",IFERROR(query({AtivosDados},""select sum(""&amp;Z$3&amp;"") where Col1='""&amp;$T151&amp;""' label sum(""&amp;Z$3&amp;"") ''""),0)))"),"")</f>
        <v/>
      </c>
      <c r="AA151" s="437" t="str">
        <f>IFERROR(__xludf.DUMMYFUNCTION("IF(NOT('portfólio'!$AV$7),"""",IF($T151="""","""",IFERROR(query({AtivosDados},""select sum(""&amp;AA$3&amp;"") where Col1='""&amp;$T151&amp;""' label sum(""&amp;AA$3&amp;"") ''""),0)))"),"")</f>
        <v/>
      </c>
      <c r="AB151" s="437" t="str">
        <f>IFERROR(__xludf.DUMMYFUNCTION("IF(NOT('portfólio'!$AV$7),"""",IF($T151="""","""",IFERROR(query({AtivosDados},""select sum(""&amp;AB$3&amp;"") where Col1='""&amp;$T151&amp;""' label sum(""&amp;AB$3&amp;"") ''""),0)))"),"")</f>
        <v/>
      </c>
      <c r="AC151" s="437" t="str">
        <f>IFERROR(__xludf.DUMMYFUNCTION("IF(NOT('portfólio'!$AV$7),"""",IF($T151="""","""",IFERROR(query({AtivosDados},""select sum(""&amp;AC$3&amp;"") where Col1='""&amp;$T151&amp;""' label sum(""&amp;AC$3&amp;"") ''""),0)))"),"")</f>
        <v/>
      </c>
      <c r="AD151" s="437" t="str">
        <f>IFERROR(__xludf.DUMMYFUNCTION("IF(NOT('portfólio'!$AV$7),"""",IF($T151="""","""",IFERROR(query({AtivosDados},""select sum(""&amp;AD$3&amp;"") where Col1='""&amp;$T151&amp;""' label sum(""&amp;AD$3&amp;"") ''""),0)))"),"")</f>
        <v/>
      </c>
      <c r="AE151" s="437"/>
      <c r="AF151" s="1327"/>
      <c r="AG151" s="437"/>
      <c r="AH151" s="437"/>
      <c r="AI151" s="437"/>
      <c r="AJ151" s="437"/>
      <c r="AK151" s="437"/>
      <c r="AL151" s="437"/>
      <c r="AM151" s="437"/>
      <c r="AN151" s="437"/>
      <c r="AO151" s="437"/>
      <c r="AP151" s="437"/>
      <c r="AQ151" s="1327"/>
      <c r="AR151" s="437"/>
      <c r="AS151" s="437"/>
      <c r="AT151" s="437"/>
      <c r="AU151" s="437"/>
      <c r="AV151" s="437"/>
      <c r="AW151" s="437"/>
      <c r="AX151" s="437"/>
      <c r="AY151" s="437"/>
      <c r="AZ151" s="437"/>
      <c r="BA151" s="437"/>
      <c r="BB151" s="1327"/>
      <c r="BC151" s="437"/>
      <c r="BD151" s="437"/>
      <c r="BE151" s="437"/>
      <c r="BF151" s="437"/>
      <c r="BG151" s="437"/>
      <c r="BH151" s="437"/>
      <c r="BI151" s="437"/>
      <c r="BJ151" s="437"/>
      <c r="BK151" s="437"/>
      <c r="BL151" s="437"/>
      <c r="BM151" s="1327"/>
      <c r="BN151" s="1327"/>
      <c r="BO151" s="1327"/>
      <c r="BP151" s="1327"/>
      <c r="BQ151" s="1327"/>
      <c r="BR151" s="1327"/>
      <c r="BS151" s="1327"/>
      <c r="BT151" s="1327"/>
      <c r="BU151" s="1327"/>
      <c r="BV151" s="1327"/>
      <c r="BW151" s="1327"/>
      <c r="BX151" s="1327"/>
      <c r="BY151" s="1327"/>
      <c r="BZ151" s="1327"/>
      <c r="CA151" s="1327"/>
      <c r="CB151" s="1327"/>
      <c r="CC151" s="1327"/>
      <c r="CD151" s="1327"/>
      <c r="CE151" s="1327"/>
      <c r="CF151" s="1327"/>
      <c r="CG151" s="1327"/>
      <c r="CH151" s="1327"/>
      <c r="CI151" s="1327"/>
      <c r="CJ151" s="1327"/>
      <c r="CK151" s="1327"/>
      <c r="CL151" s="1327"/>
      <c r="CM151" s="1327"/>
      <c r="CN151" s="1327"/>
      <c r="CO151" s="1327"/>
      <c r="CP151" s="1327"/>
      <c r="CQ151" s="1327"/>
      <c r="CR151" s="1327"/>
      <c r="CS151" s="1327"/>
      <c r="CT151" s="1317"/>
      <c r="CU151" s="1317"/>
      <c r="CV151" s="1317"/>
      <c r="CW151" s="1317"/>
      <c r="CX151" s="1317"/>
      <c r="CY151" s="1317"/>
      <c r="CZ151" s="1317"/>
      <c r="DA151" s="1317"/>
      <c r="DB151" s="1317"/>
      <c r="DC151" s="1317"/>
      <c r="DD151" s="1317"/>
      <c r="DE151" s="1317"/>
      <c r="DF151" s="1317"/>
      <c r="DG151" s="1317"/>
    </row>
    <row r="152" ht="18.75" customHeight="1">
      <c r="G152" s="1344"/>
      <c r="H152" s="1345">
        <f t="shared" si="4"/>
        <v>0</v>
      </c>
      <c r="I152" s="1381"/>
      <c r="J152" s="1381"/>
      <c r="K152" s="1381"/>
      <c r="L152" s="1381"/>
      <c r="M152" s="1381"/>
      <c r="N152" s="1381"/>
      <c r="O152" s="1381"/>
      <c r="P152" s="1381"/>
      <c r="Q152" s="1381"/>
      <c r="R152" s="1381"/>
      <c r="T152" s="1349"/>
      <c r="U152" s="1349" t="s">
        <v>123</v>
      </c>
      <c r="V152" s="1349" t="s">
        <v>123</v>
      </c>
      <c r="W152" s="1349"/>
      <c r="X152" s="1349"/>
      <c r="Y152" s="1308"/>
      <c r="Z152" s="437" t="str">
        <f>IFERROR(__xludf.DUMMYFUNCTION("IF(NOT('portfólio'!$AV$7),"""",IF($T152="""","""",IFERROR(query({AtivosDados},""select sum(""&amp;Z$3&amp;"") where Col1='""&amp;$T152&amp;""' label sum(""&amp;Z$3&amp;"") ''""),0)))"),"")</f>
        <v/>
      </c>
      <c r="AA152" s="437" t="str">
        <f>IFERROR(__xludf.DUMMYFUNCTION("IF(NOT('portfólio'!$AV$7),"""",IF($T152="""","""",IFERROR(query({AtivosDados},""select sum(""&amp;AA$3&amp;"") where Col1='""&amp;$T152&amp;""' label sum(""&amp;AA$3&amp;"") ''""),0)))"),"")</f>
        <v/>
      </c>
      <c r="AB152" s="437" t="str">
        <f>IFERROR(__xludf.DUMMYFUNCTION("IF(NOT('portfólio'!$AV$7),"""",IF($T152="""","""",IFERROR(query({AtivosDados},""select sum(""&amp;AB$3&amp;"") where Col1='""&amp;$T152&amp;""' label sum(""&amp;AB$3&amp;"") ''""),0)))"),"")</f>
        <v/>
      </c>
      <c r="AC152" s="437" t="str">
        <f>IFERROR(__xludf.DUMMYFUNCTION("IF(NOT('portfólio'!$AV$7),"""",IF($T152="""","""",IFERROR(query({AtivosDados},""select sum(""&amp;AC$3&amp;"") where Col1='""&amp;$T152&amp;""' label sum(""&amp;AC$3&amp;"") ''""),0)))"),"")</f>
        <v/>
      </c>
      <c r="AD152" s="437" t="str">
        <f>IFERROR(__xludf.DUMMYFUNCTION("IF(NOT('portfólio'!$AV$7),"""",IF($T152="""","""",IFERROR(query({AtivosDados},""select sum(""&amp;AD$3&amp;"") where Col1='""&amp;$T152&amp;""' label sum(""&amp;AD$3&amp;"") ''""),0)))"),"")</f>
        <v/>
      </c>
      <c r="AE152" s="437"/>
      <c r="AF152" s="1327"/>
      <c r="AG152" s="437"/>
      <c r="AH152" s="437"/>
      <c r="AI152" s="437"/>
      <c r="AJ152" s="437"/>
      <c r="AK152" s="437"/>
      <c r="AL152" s="437"/>
      <c r="AM152" s="437"/>
      <c r="AN152" s="437"/>
      <c r="AO152" s="437"/>
      <c r="AP152" s="437"/>
      <c r="AQ152" s="1327"/>
      <c r="AR152" s="437"/>
      <c r="AS152" s="437"/>
      <c r="AT152" s="437"/>
      <c r="AU152" s="437"/>
      <c r="AV152" s="437"/>
      <c r="AW152" s="437"/>
      <c r="AX152" s="437"/>
      <c r="AY152" s="437"/>
      <c r="AZ152" s="437"/>
      <c r="BA152" s="437"/>
      <c r="BB152" s="1327"/>
      <c r="BC152" s="437"/>
      <c r="BD152" s="437"/>
      <c r="BE152" s="437"/>
      <c r="BF152" s="437"/>
      <c r="BG152" s="437"/>
      <c r="BH152" s="437"/>
      <c r="BI152" s="437"/>
      <c r="BJ152" s="437"/>
      <c r="BK152" s="437"/>
      <c r="BL152" s="437"/>
      <c r="BM152" s="1327"/>
      <c r="BN152" s="1327"/>
      <c r="BO152" s="1327"/>
      <c r="BP152" s="1327"/>
      <c r="BQ152" s="1327"/>
      <c r="BR152" s="1327"/>
      <c r="BS152" s="1327"/>
      <c r="BT152" s="1327"/>
      <c r="BU152" s="1327"/>
      <c r="BV152" s="1327"/>
      <c r="BW152" s="1327"/>
      <c r="BX152" s="1327"/>
      <c r="BY152" s="1327"/>
      <c r="BZ152" s="1327"/>
      <c r="CA152" s="1327"/>
      <c r="CB152" s="1327"/>
      <c r="CC152" s="1327"/>
      <c r="CD152" s="1327"/>
      <c r="CE152" s="1327"/>
      <c r="CF152" s="1327"/>
      <c r="CG152" s="1327"/>
      <c r="CH152" s="1327"/>
      <c r="CI152" s="1327"/>
      <c r="CJ152" s="1327"/>
      <c r="CK152" s="1327"/>
      <c r="CL152" s="1327"/>
      <c r="CM152" s="1327"/>
      <c r="CN152" s="1327"/>
      <c r="CO152" s="1327"/>
      <c r="CP152" s="1327"/>
      <c r="CQ152" s="1327"/>
      <c r="CR152" s="1327"/>
      <c r="CS152" s="1327"/>
      <c r="CT152" s="1317"/>
      <c r="CU152" s="1317"/>
      <c r="CV152" s="1317"/>
      <c r="CW152" s="1317"/>
      <c r="CX152" s="1317"/>
      <c r="CY152" s="1317"/>
      <c r="CZ152" s="1317"/>
      <c r="DA152" s="1317"/>
      <c r="DB152" s="1317"/>
      <c r="DC152" s="1317"/>
      <c r="DD152" s="1317"/>
      <c r="DE152" s="1317"/>
      <c r="DF152" s="1317"/>
      <c r="DG152" s="1317"/>
    </row>
    <row r="153" ht="18.75" customHeight="1">
      <c r="G153" s="1344"/>
      <c r="H153" s="1345">
        <f t="shared" si="4"/>
        <v>0</v>
      </c>
      <c r="I153" s="1381"/>
      <c r="J153" s="1381"/>
      <c r="K153" s="1381"/>
      <c r="L153" s="1381"/>
      <c r="M153" s="1381"/>
      <c r="N153" s="1381"/>
      <c r="O153" s="1381"/>
      <c r="P153" s="1381"/>
      <c r="Q153" s="1381"/>
      <c r="R153" s="1381"/>
      <c r="T153" s="1349"/>
      <c r="U153" s="1349" t="s">
        <v>123</v>
      </c>
      <c r="V153" s="1349" t="s">
        <v>123</v>
      </c>
      <c r="W153" s="1349"/>
      <c r="X153" s="1349"/>
      <c r="Y153" s="1308"/>
      <c r="Z153" s="437" t="str">
        <f>IFERROR(__xludf.DUMMYFUNCTION("IF(NOT('portfólio'!$AV$7),"""",IF($T153="""","""",IFERROR(query({AtivosDados},""select sum(""&amp;Z$3&amp;"") where Col1='""&amp;$T153&amp;""' label sum(""&amp;Z$3&amp;"") ''""),0)))"),"")</f>
        <v/>
      </c>
      <c r="AA153" s="437" t="str">
        <f>IFERROR(__xludf.DUMMYFUNCTION("IF(NOT('portfólio'!$AV$7),"""",IF($T153="""","""",IFERROR(query({AtivosDados},""select sum(""&amp;AA$3&amp;"") where Col1='""&amp;$T153&amp;""' label sum(""&amp;AA$3&amp;"") ''""),0)))"),"")</f>
        <v/>
      </c>
      <c r="AB153" s="437" t="str">
        <f>IFERROR(__xludf.DUMMYFUNCTION("IF(NOT('portfólio'!$AV$7),"""",IF($T153="""","""",IFERROR(query({AtivosDados},""select sum(""&amp;AB$3&amp;"") where Col1='""&amp;$T153&amp;""' label sum(""&amp;AB$3&amp;"") ''""),0)))"),"")</f>
        <v/>
      </c>
      <c r="AC153" s="437" t="str">
        <f>IFERROR(__xludf.DUMMYFUNCTION("IF(NOT('portfólio'!$AV$7),"""",IF($T153="""","""",IFERROR(query({AtivosDados},""select sum(""&amp;AC$3&amp;"") where Col1='""&amp;$T153&amp;""' label sum(""&amp;AC$3&amp;"") ''""),0)))"),"")</f>
        <v/>
      </c>
      <c r="AD153" s="437" t="str">
        <f>IFERROR(__xludf.DUMMYFUNCTION("IF(NOT('portfólio'!$AV$7),"""",IF($T153="""","""",IFERROR(query({AtivosDados},""select sum(""&amp;AD$3&amp;"") where Col1='""&amp;$T153&amp;""' label sum(""&amp;AD$3&amp;"") ''""),0)))"),"")</f>
        <v/>
      </c>
      <c r="AE153" s="437"/>
      <c r="AF153" s="1327"/>
      <c r="AG153" s="437"/>
      <c r="AH153" s="437"/>
      <c r="AI153" s="437"/>
      <c r="AJ153" s="437"/>
      <c r="AK153" s="437"/>
      <c r="AL153" s="437"/>
      <c r="AM153" s="437"/>
      <c r="AN153" s="437"/>
      <c r="AO153" s="437"/>
      <c r="AP153" s="437"/>
      <c r="AQ153" s="1327"/>
      <c r="AR153" s="437"/>
      <c r="AS153" s="437"/>
      <c r="AT153" s="437"/>
      <c r="AU153" s="437"/>
      <c r="AV153" s="437"/>
      <c r="AW153" s="437"/>
      <c r="AX153" s="437"/>
      <c r="AY153" s="437"/>
      <c r="AZ153" s="437"/>
      <c r="BA153" s="437"/>
      <c r="BB153" s="1327"/>
      <c r="BC153" s="437"/>
      <c r="BD153" s="437"/>
      <c r="BE153" s="437"/>
      <c r="BF153" s="437"/>
      <c r="BG153" s="437"/>
      <c r="BH153" s="437"/>
      <c r="BI153" s="437"/>
      <c r="BJ153" s="437"/>
      <c r="BK153" s="437"/>
      <c r="BL153" s="437"/>
      <c r="BM153" s="1327"/>
      <c r="BN153" s="1327"/>
      <c r="BO153" s="1327"/>
      <c r="BP153" s="1327"/>
      <c r="BQ153" s="1327"/>
      <c r="BR153" s="1327"/>
      <c r="BS153" s="1327"/>
      <c r="BT153" s="1327"/>
      <c r="BU153" s="1327"/>
      <c r="BV153" s="1327"/>
      <c r="BW153" s="1327"/>
      <c r="BX153" s="1327"/>
      <c r="BY153" s="1327"/>
      <c r="BZ153" s="1327"/>
      <c r="CA153" s="1327"/>
      <c r="CB153" s="1327"/>
      <c r="CC153" s="1327"/>
      <c r="CD153" s="1327"/>
      <c r="CE153" s="1327"/>
      <c r="CF153" s="1327"/>
      <c r="CG153" s="1327"/>
      <c r="CH153" s="1327"/>
      <c r="CI153" s="1327"/>
      <c r="CJ153" s="1327"/>
      <c r="CK153" s="1327"/>
      <c r="CL153" s="1327"/>
      <c r="CM153" s="1327"/>
      <c r="CN153" s="1327"/>
      <c r="CO153" s="1327"/>
      <c r="CP153" s="1327"/>
      <c r="CQ153" s="1327"/>
      <c r="CR153" s="1327"/>
      <c r="CS153" s="1327"/>
      <c r="CT153" s="1317"/>
      <c r="CU153" s="1317"/>
      <c r="CV153" s="1317"/>
      <c r="CW153" s="1317"/>
      <c r="CX153" s="1317"/>
      <c r="CY153" s="1317"/>
      <c r="CZ153" s="1317"/>
      <c r="DA153" s="1317"/>
      <c r="DB153" s="1317"/>
      <c r="DC153" s="1317"/>
      <c r="DD153" s="1317"/>
      <c r="DE153" s="1317"/>
      <c r="DF153" s="1317"/>
      <c r="DG153" s="1317"/>
    </row>
    <row r="154" ht="18.75" customHeight="1">
      <c r="G154" s="1344"/>
      <c r="H154" s="1345">
        <f t="shared" si="4"/>
        <v>0</v>
      </c>
      <c r="I154" s="1381"/>
      <c r="J154" s="1381"/>
      <c r="K154" s="1381"/>
      <c r="L154" s="1381"/>
      <c r="M154" s="1381"/>
      <c r="N154" s="1381"/>
      <c r="O154" s="1381"/>
      <c r="P154" s="1381"/>
      <c r="Q154" s="1381"/>
      <c r="R154" s="1381"/>
      <c r="T154" s="1349"/>
      <c r="U154" s="1349" t="s">
        <v>123</v>
      </c>
      <c r="V154" s="1349" t="s">
        <v>123</v>
      </c>
      <c r="W154" s="1349"/>
      <c r="X154" s="1349"/>
      <c r="Y154" s="1308"/>
      <c r="Z154" s="437" t="str">
        <f>IFERROR(__xludf.DUMMYFUNCTION("IF(NOT('portfólio'!$AV$7),"""",IF($T154="""","""",IFERROR(query({AtivosDados},""select sum(""&amp;Z$3&amp;"") where Col1='""&amp;$T154&amp;""' label sum(""&amp;Z$3&amp;"") ''""),0)))"),"")</f>
        <v/>
      </c>
      <c r="AA154" s="437" t="str">
        <f>IFERROR(__xludf.DUMMYFUNCTION("IF(NOT('portfólio'!$AV$7),"""",IF($T154="""","""",IFERROR(query({AtivosDados},""select sum(""&amp;AA$3&amp;"") where Col1='""&amp;$T154&amp;""' label sum(""&amp;AA$3&amp;"") ''""),0)))"),"")</f>
        <v/>
      </c>
      <c r="AB154" s="437" t="str">
        <f>IFERROR(__xludf.DUMMYFUNCTION("IF(NOT('portfólio'!$AV$7),"""",IF($T154="""","""",IFERROR(query({AtivosDados},""select sum(""&amp;AB$3&amp;"") where Col1='""&amp;$T154&amp;""' label sum(""&amp;AB$3&amp;"") ''""),0)))"),"")</f>
        <v/>
      </c>
      <c r="AC154" s="437" t="str">
        <f>IFERROR(__xludf.DUMMYFUNCTION("IF(NOT('portfólio'!$AV$7),"""",IF($T154="""","""",IFERROR(query({AtivosDados},""select sum(""&amp;AC$3&amp;"") where Col1='""&amp;$T154&amp;""' label sum(""&amp;AC$3&amp;"") ''""),0)))"),"")</f>
        <v/>
      </c>
      <c r="AD154" s="437" t="str">
        <f>IFERROR(__xludf.DUMMYFUNCTION("IF(NOT('portfólio'!$AV$7),"""",IF($T154="""","""",IFERROR(query({AtivosDados},""select sum(""&amp;AD$3&amp;"") where Col1='""&amp;$T154&amp;""' label sum(""&amp;AD$3&amp;"") ''""),0)))"),"")</f>
        <v/>
      </c>
      <c r="AE154" s="437"/>
      <c r="AF154" s="1327"/>
      <c r="AG154" s="437"/>
      <c r="AH154" s="437"/>
      <c r="AI154" s="437"/>
      <c r="AJ154" s="437"/>
      <c r="AK154" s="437"/>
      <c r="AL154" s="437"/>
      <c r="AM154" s="437"/>
      <c r="AN154" s="437"/>
      <c r="AO154" s="437"/>
      <c r="AP154" s="437"/>
      <c r="AQ154" s="1327"/>
      <c r="AR154" s="437"/>
      <c r="AS154" s="437"/>
      <c r="AT154" s="437"/>
      <c r="AU154" s="437"/>
      <c r="AV154" s="437"/>
      <c r="AW154" s="437"/>
      <c r="AX154" s="437"/>
      <c r="AY154" s="437"/>
      <c r="AZ154" s="437"/>
      <c r="BA154" s="437"/>
      <c r="BB154" s="1327"/>
      <c r="BC154" s="437"/>
      <c r="BD154" s="437"/>
      <c r="BE154" s="437"/>
      <c r="BF154" s="437"/>
      <c r="BG154" s="437"/>
      <c r="BH154" s="437"/>
      <c r="BI154" s="437"/>
      <c r="BJ154" s="437"/>
      <c r="BK154" s="437"/>
      <c r="BL154" s="437"/>
      <c r="BM154" s="1327"/>
      <c r="BN154" s="1327"/>
      <c r="BO154" s="1327"/>
      <c r="BP154" s="1327"/>
      <c r="BQ154" s="1327"/>
      <c r="BR154" s="1327"/>
      <c r="BS154" s="1327"/>
      <c r="BT154" s="1327"/>
      <c r="BU154" s="1327"/>
      <c r="BV154" s="1327"/>
      <c r="BW154" s="1327"/>
      <c r="BX154" s="1327"/>
      <c r="BY154" s="1327"/>
      <c r="BZ154" s="1327"/>
      <c r="CA154" s="1327"/>
      <c r="CB154" s="1327"/>
      <c r="CC154" s="1327"/>
      <c r="CD154" s="1327"/>
      <c r="CE154" s="1327"/>
      <c r="CF154" s="1327"/>
      <c r="CG154" s="1327"/>
      <c r="CH154" s="1327"/>
      <c r="CI154" s="1327"/>
      <c r="CJ154" s="1327"/>
      <c r="CK154" s="1327"/>
      <c r="CL154" s="1327"/>
      <c r="CM154" s="1327"/>
      <c r="CN154" s="1327"/>
      <c r="CO154" s="1327"/>
      <c r="CP154" s="1327"/>
      <c r="CQ154" s="1327"/>
      <c r="CR154" s="1327"/>
      <c r="CS154" s="1327"/>
      <c r="CT154" s="1317"/>
      <c r="CU154" s="1317"/>
      <c r="CV154" s="1317"/>
      <c r="CW154" s="1317"/>
      <c r="CX154" s="1317"/>
      <c r="CY154" s="1317"/>
      <c r="CZ154" s="1317"/>
      <c r="DA154" s="1317"/>
      <c r="DB154" s="1317"/>
      <c r="DC154" s="1317"/>
      <c r="DD154" s="1317"/>
      <c r="DE154" s="1317"/>
      <c r="DF154" s="1317"/>
      <c r="DG154" s="1317"/>
    </row>
    <row r="155" ht="18.75" customHeight="1">
      <c r="G155" s="1344"/>
      <c r="H155" s="1345">
        <f t="shared" si="4"/>
        <v>0</v>
      </c>
      <c r="I155" s="1381"/>
      <c r="J155" s="1381"/>
      <c r="K155" s="1381"/>
      <c r="L155" s="1381"/>
      <c r="M155" s="1381"/>
      <c r="N155" s="1381"/>
      <c r="O155" s="1381"/>
      <c r="P155" s="1381"/>
      <c r="Q155" s="1381"/>
      <c r="R155" s="1381"/>
      <c r="T155" s="1349"/>
      <c r="U155" s="1349" t="s">
        <v>123</v>
      </c>
      <c r="V155" s="1349" t="s">
        <v>123</v>
      </c>
      <c r="W155" s="1349"/>
      <c r="X155" s="1349"/>
      <c r="Y155" s="1308"/>
      <c r="Z155" s="437" t="str">
        <f>IFERROR(__xludf.DUMMYFUNCTION("IF(NOT('portfólio'!$AV$7),"""",IF($T155="""","""",IFERROR(query({AtivosDados},""select sum(""&amp;Z$3&amp;"") where Col1='""&amp;$T155&amp;""' label sum(""&amp;Z$3&amp;"") ''""),0)))"),"")</f>
        <v/>
      </c>
      <c r="AA155" s="437" t="str">
        <f>IFERROR(__xludf.DUMMYFUNCTION("IF(NOT('portfólio'!$AV$7),"""",IF($T155="""","""",IFERROR(query({AtivosDados},""select sum(""&amp;AA$3&amp;"") where Col1='""&amp;$T155&amp;""' label sum(""&amp;AA$3&amp;"") ''""),0)))"),"")</f>
        <v/>
      </c>
      <c r="AB155" s="437" t="str">
        <f>IFERROR(__xludf.DUMMYFUNCTION("IF(NOT('portfólio'!$AV$7),"""",IF($T155="""","""",IFERROR(query({AtivosDados},""select sum(""&amp;AB$3&amp;"") where Col1='""&amp;$T155&amp;""' label sum(""&amp;AB$3&amp;"") ''""),0)))"),"")</f>
        <v/>
      </c>
      <c r="AC155" s="437" t="str">
        <f>IFERROR(__xludf.DUMMYFUNCTION("IF(NOT('portfólio'!$AV$7),"""",IF($T155="""","""",IFERROR(query({AtivosDados},""select sum(""&amp;AC$3&amp;"") where Col1='""&amp;$T155&amp;""' label sum(""&amp;AC$3&amp;"") ''""),0)))"),"")</f>
        <v/>
      </c>
      <c r="AD155" s="437" t="str">
        <f>IFERROR(__xludf.DUMMYFUNCTION("IF(NOT('portfólio'!$AV$7),"""",IF($T155="""","""",IFERROR(query({AtivosDados},""select sum(""&amp;AD$3&amp;"") where Col1='""&amp;$T155&amp;""' label sum(""&amp;AD$3&amp;"") ''""),0)))"),"")</f>
        <v/>
      </c>
      <c r="AE155" s="437"/>
      <c r="AF155" s="1327"/>
      <c r="AG155" s="437"/>
      <c r="AH155" s="437"/>
      <c r="AI155" s="437"/>
      <c r="AJ155" s="437"/>
      <c r="AK155" s="437"/>
      <c r="AL155" s="437"/>
      <c r="AM155" s="437"/>
      <c r="AN155" s="437"/>
      <c r="AO155" s="437"/>
      <c r="AP155" s="437"/>
      <c r="AQ155" s="1327"/>
      <c r="AR155" s="437"/>
      <c r="AS155" s="437"/>
      <c r="AT155" s="437"/>
      <c r="AU155" s="437"/>
      <c r="AV155" s="437"/>
      <c r="AW155" s="437"/>
      <c r="AX155" s="437"/>
      <c r="AY155" s="437"/>
      <c r="AZ155" s="437"/>
      <c r="BA155" s="437"/>
      <c r="BB155" s="1327"/>
      <c r="BC155" s="437"/>
      <c r="BD155" s="437"/>
      <c r="BE155" s="437"/>
      <c r="BF155" s="437"/>
      <c r="BG155" s="437"/>
      <c r="BH155" s="437"/>
      <c r="BI155" s="437"/>
      <c r="BJ155" s="437"/>
      <c r="BK155" s="437"/>
      <c r="BL155" s="437"/>
      <c r="BM155" s="1327"/>
      <c r="BN155" s="1327"/>
      <c r="BO155" s="1327"/>
      <c r="BP155" s="1327"/>
      <c r="BQ155" s="1327"/>
      <c r="BR155" s="1327"/>
      <c r="BS155" s="1327"/>
      <c r="BT155" s="1327"/>
      <c r="BU155" s="1327"/>
      <c r="BV155" s="1327"/>
      <c r="BW155" s="1327"/>
      <c r="BX155" s="1327"/>
      <c r="BY155" s="1327"/>
      <c r="BZ155" s="1327"/>
      <c r="CA155" s="1327"/>
      <c r="CB155" s="1327"/>
      <c r="CC155" s="1327"/>
      <c r="CD155" s="1327"/>
      <c r="CE155" s="1327"/>
      <c r="CF155" s="1327"/>
      <c r="CG155" s="1327"/>
      <c r="CH155" s="1327"/>
      <c r="CI155" s="1327"/>
      <c r="CJ155" s="1327"/>
      <c r="CK155" s="1327"/>
      <c r="CL155" s="1327"/>
      <c r="CM155" s="1327"/>
      <c r="CN155" s="1327"/>
      <c r="CO155" s="1327"/>
      <c r="CP155" s="1327"/>
      <c r="CQ155" s="1327"/>
      <c r="CR155" s="1327"/>
      <c r="CS155" s="1327"/>
      <c r="CT155" s="1317"/>
      <c r="CU155" s="1317"/>
      <c r="CV155" s="1317"/>
      <c r="CW155" s="1317"/>
      <c r="CX155" s="1317"/>
      <c r="CY155" s="1317"/>
      <c r="CZ155" s="1317"/>
      <c r="DA155" s="1317"/>
      <c r="DB155" s="1317"/>
      <c r="DC155" s="1317"/>
      <c r="DD155" s="1317"/>
      <c r="DE155" s="1317"/>
      <c r="DF155" s="1317"/>
      <c r="DG155" s="1317"/>
    </row>
    <row r="156" ht="18.75" customHeight="1">
      <c r="G156" s="1344"/>
      <c r="H156" s="1345">
        <f t="shared" si="4"/>
        <v>0</v>
      </c>
      <c r="I156" s="1381"/>
      <c r="J156" s="1381"/>
      <c r="K156" s="1381"/>
      <c r="L156" s="1381"/>
      <c r="M156" s="1381"/>
      <c r="N156" s="1381"/>
      <c r="O156" s="1381"/>
      <c r="P156" s="1381"/>
      <c r="Q156" s="1381"/>
      <c r="R156" s="1381"/>
      <c r="T156" s="1349"/>
      <c r="U156" s="1349" t="s">
        <v>123</v>
      </c>
      <c r="V156" s="1349" t="s">
        <v>123</v>
      </c>
      <c r="W156" s="1349"/>
      <c r="X156" s="1349"/>
      <c r="Y156" s="1308"/>
      <c r="Z156" s="437" t="str">
        <f>IFERROR(__xludf.DUMMYFUNCTION("IF(NOT('portfólio'!$AV$7),"""",IF($T156="""","""",IFERROR(query({AtivosDados},""select sum(""&amp;Z$3&amp;"") where Col1='""&amp;$T156&amp;""' label sum(""&amp;Z$3&amp;"") ''""),0)))"),"")</f>
        <v/>
      </c>
      <c r="AA156" s="437" t="str">
        <f>IFERROR(__xludf.DUMMYFUNCTION("IF(NOT('portfólio'!$AV$7),"""",IF($T156="""","""",IFERROR(query({AtivosDados},""select sum(""&amp;AA$3&amp;"") where Col1='""&amp;$T156&amp;""' label sum(""&amp;AA$3&amp;"") ''""),0)))"),"")</f>
        <v/>
      </c>
      <c r="AB156" s="437" t="str">
        <f>IFERROR(__xludf.DUMMYFUNCTION("IF(NOT('portfólio'!$AV$7),"""",IF($T156="""","""",IFERROR(query({AtivosDados},""select sum(""&amp;AB$3&amp;"") where Col1='""&amp;$T156&amp;""' label sum(""&amp;AB$3&amp;"") ''""),0)))"),"")</f>
        <v/>
      </c>
      <c r="AC156" s="437" t="str">
        <f>IFERROR(__xludf.DUMMYFUNCTION("IF(NOT('portfólio'!$AV$7),"""",IF($T156="""","""",IFERROR(query({AtivosDados},""select sum(""&amp;AC$3&amp;"") where Col1='""&amp;$T156&amp;""' label sum(""&amp;AC$3&amp;"") ''""),0)))"),"")</f>
        <v/>
      </c>
      <c r="AD156" s="437" t="str">
        <f>IFERROR(__xludf.DUMMYFUNCTION("IF(NOT('portfólio'!$AV$7),"""",IF($T156="""","""",IFERROR(query({AtivosDados},""select sum(""&amp;AD$3&amp;"") where Col1='""&amp;$T156&amp;""' label sum(""&amp;AD$3&amp;"") ''""),0)))"),"")</f>
        <v/>
      </c>
      <c r="AE156" s="437"/>
      <c r="AF156" s="1327"/>
      <c r="AG156" s="437"/>
      <c r="AH156" s="437"/>
      <c r="AI156" s="437"/>
      <c r="AJ156" s="437"/>
      <c r="AK156" s="437"/>
      <c r="AL156" s="437"/>
      <c r="AM156" s="437"/>
      <c r="AN156" s="437"/>
      <c r="AO156" s="437"/>
      <c r="AP156" s="437"/>
      <c r="AQ156" s="1327"/>
      <c r="AR156" s="437"/>
      <c r="AS156" s="437"/>
      <c r="AT156" s="437"/>
      <c r="AU156" s="437"/>
      <c r="AV156" s="437"/>
      <c r="AW156" s="437"/>
      <c r="AX156" s="437"/>
      <c r="AY156" s="437"/>
      <c r="AZ156" s="437"/>
      <c r="BA156" s="437"/>
      <c r="BB156" s="1327"/>
      <c r="BC156" s="437"/>
      <c r="BD156" s="437"/>
      <c r="BE156" s="437"/>
      <c r="BF156" s="437"/>
      <c r="BG156" s="437"/>
      <c r="BH156" s="437"/>
      <c r="BI156" s="437"/>
      <c r="BJ156" s="437"/>
      <c r="BK156" s="437"/>
      <c r="BL156" s="437"/>
      <c r="BM156" s="1327"/>
      <c r="BN156" s="1327"/>
      <c r="BO156" s="1327"/>
      <c r="BP156" s="1327"/>
      <c r="BQ156" s="1327"/>
      <c r="BR156" s="1327"/>
      <c r="BS156" s="1327"/>
      <c r="BT156" s="1327"/>
      <c r="BU156" s="1327"/>
      <c r="BV156" s="1327"/>
      <c r="BW156" s="1327"/>
      <c r="BX156" s="1327"/>
      <c r="BY156" s="1327"/>
      <c r="BZ156" s="1327"/>
      <c r="CA156" s="1327"/>
      <c r="CB156" s="1327"/>
      <c r="CC156" s="1327"/>
      <c r="CD156" s="1327"/>
      <c r="CE156" s="1327"/>
      <c r="CF156" s="1327"/>
      <c r="CG156" s="1327"/>
      <c r="CH156" s="1327"/>
      <c r="CI156" s="1327"/>
      <c r="CJ156" s="1327"/>
      <c r="CK156" s="1327"/>
      <c r="CL156" s="1327"/>
      <c r="CM156" s="1327"/>
      <c r="CN156" s="1327"/>
      <c r="CO156" s="1327"/>
      <c r="CP156" s="1327"/>
      <c r="CQ156" s="1327"/>
      <c r="CR156" s="1327"/>
      <c r="CS156" s="1327"/>
      <c r="CT156" s="1317"/>
      <c r="CU156" s="1317"/>
      <c r="CV156" s="1317"/>
      <c r="CW156" s="1317"/>
      <c r="CX156" s="1317"/>
      <c r="CY156" s="1317"/>
      <c r="CZ156" s="1317"/>
      <c r="DA156" s="1317"/>
      <c r="DB156" s="1317"/>
      <c r="DC156" s="1317"/>
      <c r="DD156" s="1317"/>
      <c r="DE156" s="1317"/>
      <c r="DF156" s="1317"/>
      <c r="DG156" s="1317"/>
    </row>
    <row r="157" ht="18.75" customHeight="1">
      <c r="G157" s="1344"/>
      <c r="H157" s="1345">
        <f t="shared" si="4"/>
        <v>0</v>
      </c>
      <c r="I157" s="1381"/>
      <c r="J157" s="1381"/>
      <c r="K157" s="1381"/>
      <c r="L157" s="1381"/>
      <c r="M157" s="1381"/>
      <c r="N157" s="1381"/>
      <c r="O157" s="1381"/>
      <c r="P157" s="1381"/>
      <c r="Q157" s="1381"/>
      <c r="R157" s="1381"/>
      <c r="T157" s="1349"/>
      <c r="U157" s="1349" t="s">
        <v>123</v>
      </c>
      <c r="V157" s="1349" t="s">
        <v>123</v>
      </c>
      <c r="W157" s="1349"/>
      <c r="X157" s="1349"/>
      <c r="Y157" s="1308"/>
      <c r="Z157" s="437" t="str">
        <f>IFERROR(__xludf.DUMMYFUNCTION("IF(NOT('portfólio'!$AV$7),"""",IF($T157="""","""",IFERROR(query({AtivosDados},""select sum(""&amp;Z$3&amp;"") where Col1='""&amp;$T157&amp;""' label sum(""&amp;Z$3&amp;"") ''""),0)))"),"")</f>
        <v/>
      </c>
      <c r="AA157" s="437" t="str">
        <f>IFERROR(__xludf.DUMMYFUNCTION("IF(NOT('portfólio'!$AV$7),"""",IF($T157="""","""",IFERROR(query({AtivosDados},""select sum(""&amp;AA$3&amp;"") where Col1='""&amp;$T157&amp;""' label sum(""&amp;AA$3&amp;"") ''""),0)))"),"")</f>
        <v/>
      </c>
      <c r="AB157" s="437" t="str">
        <f>IFERROR(__xludf.DUMMYFUNCTION("IF(NOT('portfólio'!$AV$7),"""",IF($T157="""","""",IFERROR(query({AtivosDados},""select sum(""&amp;AB$3&amp;"") where Col1='""&amp;$T157&amp;""' label sum(""&amp;AB$3&amp;"") ''""),0)))"),"")</f>
        <v/>
      </c>
      <c r="AC157" s="437" t="str">
        <f>IFERROR(__xludf.DUMMYFUNCTION("IF(NOT('portfólio'!$AV$7),"""",IF($T157="""","""",IFERROR(query({AtivosDados},""select sum(""&amp;AC$3&amp;"") where Col1='""&amp;$T157&amp;""' label sum(""&amp;AC$3&amp;"") ''""),0)))"),"")</f>
        <v/>
      </c>
      <c r="AD157" s="437" t="str">
        <f>IFERROR(__xludf.DUMMYFUNCTION("IF(NOT('portfólio'!$AV$7),"""",IF($T157="""","""",IFERROR(query({AtivosDados},""select sum(""&amp;AD$3&amp;"") where Col1='""&amp;$T157&amp;""' label sum(""&amp;AD$3&amp;"") ''""),0)))"),"")</f>
        <v/>
      </c>
      <c r="AE157" s="437"/>
      <c r="AF157" s="1327"/>
      <c r="AG157" s="437"/>
      <c r="AH157" s="437"/>
      <c r="AI157" s="437"/>
      <c r="AJ157" s="437"/>
      <c r="AK157" s="437"/>
      <c r="AL157" s="437"/>
      <c r="AM157" s="437"/>
      <c r="AN157" s="437"/>
      <c r="AO157" s="437"/>
      <c r="AP157" s="437"/>
      <c r="AQ157" s="1327"/>
      <c r="AR157" s="437"/>
      <c r="AS157" s="437"/>
      <c r="AT157" s="437"/>
      <c r="AU157" s="437"/>
      <c r="AV157" s="437"/>
      <c r="AW157" s="437"/>
      <c r="AX157" s="437"/>
      <c r="AY157" s="437"/>
      <c r="AZ157" s="437"/>
      <c r="BA157" s="437"/>
      <c r="BB157" s="1327"/>
      <c r="BC157" s="437"/>
      <c r="BD157" s="437"/>
      <c r="BE157" s="437"/>
      <c r="BF157" s="437"/>
      <c r="BG157" s="437"/>
      <c r="BH157" s="437"/>
      <c r="BI157" s="437"/>
      <c r="BJ157" s="437"/>
      <c r="BK157" s="437"/>
      <c r="BL157" s="437"/>
      <c r="BM157" s="1327"/>
      <c r="BN157" s="1327"/>
      <c r="BO157" s="1327"/>
      <c r="BP157" s="1327"/>
      <c r="BQ157" s="1327"/>
      <c r="BR157" s="1327"/>
      <c r="BS157" s="1327"/>
      <c r="BT157" s="1327"/>
      <c r="BU157" s="1327"/>
      <c r="BV157" s="1327"/>
      <c r="BW157" s="1327"/>
      <c r="BX157" s="1327"/>
      <c r="BY157" s="1327"/>
      <c r="BZ157" s="1327"/>
      <c r="CA157" s="1327"/>
      <c r="CB157" s="1327"/>
      <c r="CC157" s="1327"/>
      <c r="CD157" s="1327"/>
      <c r="CE157" s="1327"/>
      <c r="CF157" s="1327"/>
      <c r="CG157" s="1327"/>
      <c r="CH157" s="1327"/>
      <c r="CI157" s="1327"/>
      <c r="CJ157" s="1327"/>
      <c r="CK157" s="1327"/>
      <c r="CL157" s="1327"/>
      <c r="CM157" s="1327"/>
      <c r="CN157" s="1327"/>
      <c r="CO157" s="1327"/>
      <c r="CP157" s="1327"/>
      <c r="CQ157" s="1327"/>
      <c r="CR157" s="1327"/>
      <c r="CS157" s="1327"/>
      <c r="CT157" s="1317"/>
      <c r="CU157" s="1317"/>
      <c r="CV157" s="1317"/>
      <c r="CW157" s="1317"/>
      <c r="CX157" s="1317"/>
      <c r="CY157" s="1317"/>
      <c r="CZ157" s="1317"/>
      <c r="DA157" s="1317"/>
      <c r="DB157" s="1317"/>
      <c r="DC157" s="1317"/>
      <c r="DD157" s="1317"/>
      <c r="DE157" s="1317"/>
      <c r="DF157" s="1317"/>
      <c r="DG157" s="1317"/>
    </row>
    <row r="158" ht="18.75" customHeight="1">
      <c r="G158" s="1344"/>
      <c r="H158" s="1345">
        <f t="shared" si="4"/>
        <v>0</v>
      </c>
      <c r="I158" s="1381"/>
      <c r="J158" s="1381"/>
      <c r="K158" s="1381"/>
      <c r="L158" s="1381"/>
      <c r="M158" s="1381"/>
      <c r="N158" s="1381"/>
      <c r="O158" s="1381"/>
      <c r="P158" s="1381"/>
      <c r="Q158" s="1381"/>
      <c r="R158" s="1381"/>
      <c r="T158" s="1349"/>
      <c r="U158" s="1349" t="s">
        <v>123</v>
      </c>
      <c r="V158" s="1349" t="s">
        <v>123</v>
      </c>
      <c r="W158" s="1349"/>
      <c r="X158" s="1349"/>
      <c r="Y158" s="1308"/>
      <c r="Z158" s="437" t="str">
        <f>IFERROR(__xludf.DUMMYFUNCTION("IF(NOT('portfólio'!$AV$7),"""",IF($T158="""","""",IFERROR(query({AtivosDados},""select sum(""&amp;Z$3&amp;"") where Col1='""&amp;$T158&amp;""' label sum(""&amp;Z$3&amp;"") ''""),0)))"),"")</f>
        <v/>
      </c>
      <c r="AA158" s="437" t="str">
        <f>IFERROR(__xludf.DUMMYFUNCTION("IF(NOT('portfólio'!$AV$7),"""",IF($T158="""","""",IFERROR(query({AtivosDados},""select sum(""&amp;AA$3&amp;"") where Col1='""&amp;$T158&amp;""' label sum(""&amp;AA$3&amp;"") ''""),0)))"),"")</f>
        <v/>
      </c>
      <c r="AB158" s="437" t="str">
        <f>IFERROR(__xludf.DUMMYFUNCTION("IF(NOT('portfólio'!$AV$7),"""",IF($T158="""","""",IFERROR(query({AtivosDados},""select sum(""&amp;AB$3&amp;"") where Col1='""&amp;$T158&amp;""' label sum(""&amp;AB$3&amp;"") ''""),0)))"),"")</f>
        <v/>
      </c>
      <c r="AC158" s="437" t="str">
        <f>IFERROR(__xludf.DUMMYFUNCTION("IF(NOT('portfólio'!$AV$7),"""",IF($T158="""","""",IFERROR(query({AtivosDados},""select sum(""&amp;AC$3&amp;"") where Col1='""&amp;$T158&amp;""' label sum(""&amp;AC$3&amp;"") ''""),0)))"),"")</f>
        <v/>
      </c>
      <c r="AD158" s="437" t="str">
        <f>IFERROR(__xludf.DUMMYFUNCTION("IF(NOT('portfólio'!$AV$7),"""",IF($T158="""","""",IFERROR(query({AtivosDados},""select sum(""&amp;AD$3&amp;"") where Col1='""&amp;$T158&amp;""' label sum(""&amp;AD$3&amp;"") ''""),0)))"),"")</f>
        <v/>
      </c>
      <c r="AE158" s="437"/>
      <c r="AF158" s="1327"/>
      <c r="AG158" s="437"/>
      <c r="AH158" s="437"/>
      <c r="AI158" s="437"/>
      <c r="AJ158" s="437"/>
      <c r="AK158" s="437"/>
      <c r="AL158" s="437"/>
      <c r="AM158" s="437"/>
      <c r="AN158" s="437"/>
      <c r="AO158" s="437"/>
      <c r="AP158" s="437"/>
      <c r="AQ158" s="1327"/>
      <c r="AR158" s="437"/>
      <c r="AS158" s="437"/>
      <c r="AT158" s="437"/>
      <c r="AU158" s="437"/>
      <c r="AV158" s="437"/>
      <c r="AW158" s="437"/>
      <c r="AX158" s="437"/>
      <c r="AY158" s="437"/>
      <c r="AZ158" s="437"/>
      <c r="BA158" s="437"/>
      <c r="BB158" s="1327"/>
      <c r="BC158" s="437"/>
      <c r="BD158" s="437"/>
      <c r="BE158" s="437"/>
      <c r="BF158" s="437"/>
      <c r="BG158" s="437"/>
      <c r="BH158" s="437"/>
      <c r="BI158" s="437"/>
      <c r="BJ158" s="437"/>
      <c r="BK158" s="437"/>
      <c r="BL158" s="437"/>
      <c r="BM158" s="1327"/>
      <c r="BN158" s="1327"/>
      <c r="BO158" s="1327"/>
      <c r="BP158" s="1327"/>
      <c r="BQ158" s="1327"/>
      <c r="BR158" s="1327"/>
      <c r="BS158" s="1327"/>
      <c r="BT158" s="1327"/>
      <c r="BU158" s="1327"/>
      <c r="BV158" s="1327"/>
      <c r="BW158" s="1327"/>
      <c r="BX158" s="1327"/>
      <c r="BY158" s="1327"/>
      <c r="BZ158" s="1327"/>
      <c r="CA158" s="1327"/>
      <c r="CB158" s="1327"/>
      <c r="CC158" s="1327"/>
      <c r="CD158" s="1327"/>
      <c r="CE158" s="1327"/>
      <c r="CF158" s="1327"/>
      <c r="CG158" s="1327"/>
      <c r="CH158" s="1327"/>
      <c r="CI158" s="1327"/>
      <c r="CJ158" s="1327"/>
      <c r="CK158" s="1327"/>
      <c r="CL158" s="1327"/>
      <c r="CM158" s="1327"/>
      <c r="CN158" s="1327"/>
      <c r="CO158" s="1327"/>
      <c r="CP158" s="1327"/>
      <c r="CQ158" s="1327"/>
      <c r="CR158" s="1327"/>
      <c r="CS158" s="1327"/>
      <c r="CT158" s="1317"/>
      <c r="CU158" s="1317"/>
      <c r="CV158" s="1317"/>
      <c r="CW158" s="1317"/>
      <c r="CX158" s="1317"/>
      <c r="CY158" s="1317"/>
      <c r="CZ158" s="1317"/>
      <c r="DA158" s="1317"/>
      <c r="DB158" s="1317"/>
      <c r="DC158" s="1317"/>
      <c r="DD158" s="1317"/>
      <c r="DE158" s="1317"/>
      <c r="DF158" s="1317"/>
      <c r="DG158" s="1317"/>
    </row>
    <row r="159" ht="18.75" customHeight="1">
      <c r="G159" s="1344"/>
      <c r="H159" s="1345">
        <f t="shared" si="4"/>
        <v>0</v>
      </c>
      <c r="I159" s="1381"/>
      <c r="J159" s="1381"/>
      <c r="K159" s="1381"/>
      <c r="L159" s="1381"/>
      <c r="M159" s="1381"/>
      <c r="N159" s="1381"/>
      <c r="O159" s="1381"/>
      <c r="P159" s="1381"/>
      <c r="Q159" s="1381"/>
      <c r="R159" s="1381"/>
      <c r="T159" s="1349"/>
      <c r="U159" s="1349" t="s">
        <v>123</v>
      </c>
      <c r="V159" s="1349" t="s">
        <v>123</v>
      </c>
      <c r="W159" s="1349"/>
      <c r="X159" s="1349"/>
      <c r="Y159" s="1308"/>
      <c r="Z159" s="437" t="str">
        <f>IFERROR(__xludf.DUMMYFUNCTION("IF(NOT('portfólio'!$AV$7),"""",IF($T159="""","""",IFERROR(query({AtivosDados},""select sum(""&amp;Z$3&amp;"") where Col1='""&amp;$T159&amp;""' label sum(""&amp;Z$3&amp;"") ''""),0)))"),"")</f>
        <v/>
      </c>
      <c r="AA159" s="437" t="str">
        <f>IFERROR(__xludf.DUMMYFUNCTION("IF(NOT('portfólio'!$AV$7),"""",IF($T159="""","""",IFERROR(query({AtivosDados},""select sum(""&amp;AA$3&amp;"") where Col1='""&amp;$T159&amp;""' label sum(""&amp;AA$3&amp;"") ''""),0)))"),"")</f>
        <v/>
      </c>
      <c r="AB159" s="437" t="str">
        <f>IFERROR(__xludf.DUMMYFUNCTION("IF(NOT('portfólio'!$AV$7),"""",IF($T159="""","""",IFERROR(query({AtivosDados},""select sum(""&amp;AB$3&amp;"") where Col1='""&amp;$T159&amp;""' label sum(""&amp;AB$3&amp;"") ''""),0)))"),"")</f>
        <v/>
      </c>
      <c r="AC159" s="437" t="str">
        <f>IFERROR(__xludf.DUMMYFUNCTION("IF(NOT('portfólio'!$AV$7),"""",IF($T159="""","""",IFERROR(query({AtivosDados},""select sum(""&amp;AC$3&amp;"") where Col1='""&amp;$T159&amp;""' label sum(""&amp;AC$3&amp;"") ''""),0)))"),"")</f>
        <v/>
      </c>
      <c r="AD159" s="437" t="str">
        <f>IFERROR(__xludf.DUMMYFUNCTION("IF(NOT('portfólio'!$AV$7),"""",IF($T159="""","""",IFERROR(query({AtivosDados},""select sum(""&amp;AD$3&amp;"") where Col1='""&amp;$T159&amp;""' label sum(""&amp;AD$3&amp;"") ''""),0)))"),"")</f>
        <v/>
      </c>
      <c r="AE159" s="437"/>
      <c r="AF159" s="1327"/>
      <c r="AG159" s="437"/>
      <c r="AH159" s="437"/>
      <c r="AI159" s="437"/>
      <c r="AJ159" s="437"/>
      <c r="AK159" s="437"/>
      <c r="AL159" s="437"/>
      <c r="AM159" s="437"/>
      <c r="AN159" s="437"/>
      <c r="AO159" s="437"/>
      <c r="AP159" s="437"/>
      <c r="AQ159" s="1327"/>
      <c r="AR159" s="437"/>
      <c r="AS159" s="437"/>
      <c r="AT159" s="437"/>
      <c r="AU159" s="437"/>
      <c r="AV159" s="437"/>
      <c r="AW159" s="437"/>
      <c r="AX159" s="437"/>
      <c r="AY159" s="437"/>
      <c r="AZ159" s="437"/>
      <c r="BA159" s="437"/>
      <c r="BB159" s="1327"/>
      <c r="BC159" s="437"/>
      <c r="BD159" s="437"/>
      <c r="BE159" s="437"/>
      <c r="BF159" s="437"/>
      <c r="BG159" s="437"/>
      <c r="BH159" s="437"/>
      <c r="BI159" s="437"/>
      <c r="BJ159" s="437"/>
      <c r="BK159" s="437"/>
      <c r="BL159" s="437"/>
      <c r="BM159" s="1327"/>
      <c r="BN159" s="1327"/>
      <c r="BO159" s="1327"/>
      <c r="BP159" s="1327"/>
      <c r="BQ159" s="1327"/>
      <c r="BR159" s="1327"/>
      <c r="BS159" s="1327"/>
      <c r="BT159" s="1327"/>
      <c r="BU159" s="1327"/>
      <c r="BV159" s="1327"/>
      <c r="BW159" s="1327"/>
      <c r="BX159" s="1327"/>
      <c r="BY159" s="1327"/>
      <c r="BZ159" s="1327"/>
      <c r="CA159" s="1327"/>
      <c r="CB159" s="1327"/>
      <c r="CC159" s="1327"/>
      <c r="CD159" s="1327"/>
      <c r="CE159" s="1327"/>
      <c r="CF159" s="1327"/>
      <c r="CG159" s="1327"/>
      <c r="CH159" s="1327"/>
      <c r="CI159" s="1327"/>
      <c r="CJ159" s="1327"/>
      <c r="CK159" s="1327"/>
      <c r="CL159" s="1327"/>
      <c r="CM159" s="1327"/>
      <c r="CN159" s="1327"/>
      <c r="CO159" s="1327"/>
      <c r="CP159" s="1327"/>
      <c r="CQ159" s="1327"/>
      <c r="CR159" s="1327"/>
      <c r="CS159" s="1327"/>
      <c r="CT159" s="1317"/>
      <c r="CU159" s="1317"/>
      <c r="CV159" s="1317"/>
      <c r="CW159" s="1317"/>
      <c r="CX159" s="1317"/>
      <c r="CY159" s="1317"/>
      <c r="CZ159" s="1317"/>
      <c r="DA159" s="1317"/>
      <c r="DB159" s="1317"/>
      <c r="DC159" s="1317"/>
      <c r="DD159" s="1317"/>
      <c r="DE159" s="1317"/>
      <c r="DF159" s="1317"/>
      <c r="DG159" s="1317"/>
    </row>
    <row r="160" ht="18.75" customHeight="1">
      <c r="G160" s="1344"/>
      <c r="H160" s="1345">
        <f t="shared" si="4"/>
        <v>0</v>
      </c>
      <c r="I160" s="1381"/>
      <c r="J160" s="1381"/>
      <c r="K160" s="1381"/>
      <c r="L160" s="1381"/>
      <c r="M160" s="1381"/>
      <c r="N160" s="1381"/>
      <c r="O160" s="1381"/>
      <c r="P160" s="1381"/>
      <c r="Q160" s="1381"/>
      <c r="R160" s="1381"/>
      <c r="T160" s="1349"/>
      <c r="U160" s="1349" t="s">
        <v>123</v>
      </c>
      <c r="V160" s="1349" t="s">
        <v>123</v>
      </c>
      <c r="W160" s="1349"/>
      <c r="X160" s="1349"/>
      <c r="Y160" s="1308"/>
      <c r="Z160" s="437" t="str">
        <f>IFERROR(__xludf.DUMMYFUNCTION("IF(NOT('portfólio'!$AV$7),"""",IF($T160="""","""",IFERROR(query({AtivosDados},""select sum(""&amp;Z$3&amp;"") where Col1='""&amp;$T160&amp;""' label sum(""&amp;Z$3&amp;"") ''""),0)))"),"")</f>
        <v/>
      </c>
      <c r="AA160" s="437" t="str">
        <f>IFERROR(__xludf.DUMMYFUNCTION("IF(NOT('portfólio'!$AV$7),"""",IF($T160="""","""",IFERROR(query({AtivosDados},""select sum(""&amp;AA$3&amp;"") where Col1='""&amp;$T160&amp;""' label sum(""&amp;AA$3&amp;"") ''""),0)))"),"")</f>
        <v/>
      </c>
      <c r="AB160" s="437" t="str">
        <f>IFERROR(__xludf.DUMMYFUNCTION("IF(NOT('portfólio'!$AV$7),"""",IF($T160="""","""",IFERROR(query({AtivosDados},""select sum(""&amp;AB$3&amp;"") where Col1='""&amp;$T160&amp;""' label sum(""&amp;AB$3&amp;"") ''""),0)))"),"")</f>
        <v/>
      </c>
      <c r="AC160" s="437" t="str">
        <f>IFERROR(__xludf.DUMMYFUNCTION("IF(NOT('portfólio'!$AV$7),"""",IF($T160="""","""",IFERROR(query({AtivosDados},""select sum(""&amp;AC$3&amp;"") where Col1='""&amp;$T160&amp;""' label sum(""&amp;AC$3&amp;"") ''""),0)))"),"")</f>
        <v/>
      </c>
      <c r="AD160" s="437" t="str">
        <f>IFERROR(__xludf.DUMMYFUNCTION("IF(NOT('portfólio'!$AV$7),"""",IF($T160="""","""",IFERROR(query({AtivosDados},""select sum(""&amp;AD$3&amp;"") where Col1='""&amp;$T160&amp;""' label sum(""&amp;AD$3&amp;"") ''""),0)))"),"")</f>
        <v/>
      </c>
      <c r="AE160" s="437"/>
      <c r="AF160" s="1327"/>
      <c r="AG160" s="437"/>
      <c r="AH160" s="437"/>
      <c r="AI160" s="437"/>
      <c r="AJ160" s="437"/>
      <c r="AK160" s="437"/>
      <c r="AL160" s="437"/>
      <c r="AM160" s="437"/>
      <c r="AN160" s="437"/>
      <c r="AO160" s="437"/>
      <c r="AP160" s="437"/>
      <c r="AQ160" s="1327"/>
      <c r="AR160" s="437"/>
      <c r="AS160" s="437"/>
      <c r="AT160" s="437"/>
      <c r="AU160" s="437"/>
      <c r="AV160" s="437"/>
      <c r="AW160" s="437"/>
      <c r="AX160" s="437"/>
      <c r="AY160" s="437"/>
      <c r="AZ160" s="437"/>
      <c r="BA160" s="437"/>
      <c r="BB160" s="1327"/>
      <c r="BC160" s="437"/>
      <c r="BD160" s="437"/>
      <c r="BE160" s="437"/>
      <c r="BF160" s="437"/>
      <c r="BG160" s="437"/>
      <c r="BH160" s="437"/>
      <c r="BI160" s="437"/>
      <c r="BJ160" s="437"/>
      <c r="BK160" s="437"/>
      <c r="BL160" s="437"/>
      <c r="BM160" s="1327"/>
      <c r="BN160" s="1327"/>
      <c r="BO160" s="1327"/>
      <c r="BP160" s="1327"/>
      <c r="BQ160" s="1327"/>
      <c r="BR160" s="1327"/>
      <c r="BS160" s="1327"/>
      <c r="BT160" s="1327"/>
      <c r="BU160" s="1327"/>
      <c r="BV160" s="1327"/>
      <c r="BW160" s="1327"/>
      <c r="BX160" s="1327"/>
      <c r="BY160" s="1327"/>
      <c r="BZ160" s="1327"/>
      <c r="CA160" s="1327"/>
      <c r="CB160" s="1327"/>
      <c r="CC160" s="1327"/>
      <c r="CD160" s="1327"/>
      <c r="CE160" s="1327"/>
      <c r="CF160" s="1327"/>
      <c r="CG160" s="1327"/>
      <c r="CH160" s="1327"/>
      <c r="CI160" s="1327"/>
      <c r="CJ160" s="1327"/>
      <c r="CK160" s="1327"/>
      <c r="CL160" s="1327"/>
      <c r="CM160" s="1327"/>
      <c r="CN160" s="1327"/>
      <c r="CO160" s="1327"/>
      <c r="CP160" s="1327"/>
      <c r="CQ160" s="1327"/>
      <c r="CR160" s="1327"/>
      <c r="CS160" s="1327"/>
      <c r="CT160" s="1317"/>
      <c r="CU160" s="1317"/>
      <c r="CV160" s="1317"/>
      <c r="CW160" s="1317"/>
      <c r="CX160" s="1317"/>
      <c r="CY160" s="1317"/>
      <c r="CZ160" s="1317"/>
      <c r="DA160" s="1317"/>
      <c r="DB160" s="1317"/>
      <c r="DC160" s="1317"/>
      <c r="DD160" s="1317"/>
      <c r="DE160" s="1317"/>
      <c r="DF160" s="1317"/>
      <c r="DG160" s="1317"/>
    </row>
    <row r="161" ht="18.75" customHeight="1">
      <c r="G161" s="1344"/>
      <c r="H161" s="1345">
        <f t="shared" si="4"/>
        <v>0</v>
      </c>
      <c r="I161" s="1381"/>
      <c r="J161" s="1381"/>
      <c r="K161" s="1381"/>
      <c r="L161" s="1381"/>
      <c r="M161" s="1381"/>
      <c r="N161" s="1381"/>
      <c r="O161" s="1381"/>
      <c r="P161" s="1381"/>
      <c r="Q161" s="1381"/>
      <c r="R161" s="1381"/>
      <c r="T161" s="1349"/>
      <c r="U161" s="1349" t="s">
        <v>123</v>
      </c>
      <c r="V161" s="1349" t="s">
        <v>123</v>
      </c>
      <c r="W161" s="1349"/>
      <c r="X161" s="1349"/>
      <c r="Y161" s="1308"/>
      <c r="Z161" s="437" t="str">
        <f>IFERROR(__xludf.DUMMYFUNCTION("IF(NOT('portfólio'!$AV$7),"""",IF($T161="""","""",IFERROR(query({AtivosDados},""select sum(""&amp;Z$3&amp;"") where Col1='""&amp;$T161&amp;""' label sum(""&amp;Z$3&amp;"") ''""),0)))"),"")</f>
        <v/>
      </c>
      <c r="AA161" s="437" t="str">
        <f>IFERROR(__xludf.DUMMYFUNCTION("IF(NOT('portfólio'!$AV$7),"""",IF($T161="""","""",IFERROR(query({AtivosDados},""select sum(""&amp;AA$3&amp;"") where Col1='""&amp;$T161&amp;""' label sum(""&amp;AA$3&amp;"") ''""),0)))"),"")</f>
        <v/>
      </c>
      <c r="AB161" s="437" t="str">
        <f>IFERROR(__xludf.DUMMYFUNCTION("IF(NOT('portfólio'!$AV$7),"""",IF($T161="""","""",IFERROR(query({AtivosDados},""select sum(""&amp;AB$3&amp;"") where Col1='""&amp;$T161&amp;""' label sum(""&amp;AB$3&amp;"") ''""),0)))"),"")</f>
        <v/>
      </c>
      <c r="AC161" s="437" t="str">
        <f>IFERROR(__xludf.DUMMYFUNCTION("IF(NOT('portfólio'!$AV$7),"""",IF($T161="""","""",IFERROR(query({AtivosDados},""select sum(""&amp;AC$3&amp;"") where Col1='""&amp;$T161&amp;""' label sum(""&amp;AC$3&amp;"") ''""),0)))"),"")</f>
        <v/>
      </c>
      <c r="AD161" s="437" t="str">
        <f>IFERROR(__xludf.DUMMYFUNCTION("IF(NOT('portfólio'!$AV$7),"""",IF($T161="""","""",IFERROR(query({AtivosDados},""select sum(""&amp;AD$3&amp;"") where Col1='""&amp;$T161&amp;""' label sum(""&amp;AD$3&amp;"") ''""),0)))"),"")</f>
        <v/>
      </c>
      <c r="AE161" s="437"/>
      <c r="AF161" s="1327"/>
      <c r="AG161" s="437"/>
      <c r="AH161" s="437"/>
      <c r="AI161" s="437"/>
      <c r="AJ161" s="437"/>
      <c r="AK161" s="437"/>
      <c r="AL161" s="437"/>
      <c r="AM161" s="437"/>
      <c r="AN161" s="437"/>
      <c r="AO161" s="437"/>
      <c r="AP161" s="437"/>
      <c r="AQ161" s="1327"/>
      <c r="AR161" s="437"/>
      <c r="AS161" s="437"/>
      <c r="AT161" s="437"/>
      <c r="AU161" s="437"/>
      <c r="AV161" s="437"/>
      <c r="AW161" s="437"/>
      <c r="AX161" s="437"/>
      <c r="AY161" s="437"/>
      <c r="AZ161" s="437"/>
      <c r="BA161" s="437"/>
      <c r="BB161" s="1327"/>
      <c r="BC161" s="437"/>
      <c r="BD161" s="437"/>
      <c r="BE161" s="437"/>
      <c r="BF161" s="437"/>
      <c r="BG161" s="437"/>
      <c r="BH161" s="437"/>
      <c r="BI161" s="437"/>
      <c r="BJ161" s="437"/>
      <c r="BK161" s="437"/>
      <c r="BL161" s="437"/>
      <c r="BM161" s="1327"/>
      <c r="BN161" s="1327"/>
      <c r="BO161" s="1327"/>
      <c r="BP161" s="1327"/>
      <c r="BQ161" s="1327"/>
      <c r="BR161" s="1327"/>
      <c r="BS161" s="1327"/>
      <c r="BT161" s="1327"/>
      <c r="BU161" s="1327"/>
      <c r="BV161" s="1327"/>
      <c r="BW161" s="1327"/>
      <c r="BX161" s="1327"/>
      <c r="BY161" s="1327"/>
      <c r="BZ161" s="1327"/>
      <c r="CA161" s="1327"/>
      <c r="CB161" s="1327"/>
      <c r="CC161" s="1327"/>
      <c r="CD161" s="1327"/>
      <c r="CE161" s="1327"/>
      <c r="CF161" s="1327"/>
      <c r="CG161" s="1327"/>
      <c r="CH161" s="1327"/>
      <c r="CI161" s="1327"/>
      <c r="CJ161" s="1327"/>
      <c r="CK161" s="1327"/>
      <c r="CL161" s="1327"/>
      <c r="CM161" s="1327"/>
      <c r="CN161" s="1327"/>
      <c r="CO161" s="1327"/>
      <c r="CP161" s="1327"/>
      <c r="CQ161" s="1327"/>
      <c r="CR161" s="1327"/>
      <c r="CS161" s="1327"/>
      <c r="CT161" s="1317"/>
      <c r="CU161" s="1317"/>
      <c r="CV161" s="1317"/>
      <c r="CW161" s="1317"/>
      <c r="CX161" s="1317"/>
      <c r="CY161" s="1317"/>
      <c r="CZ161" s="1317"/>
      <c r="DA161" s="1317"/>
      <c r="DB161" s="1317"/>
      <c r="DC161" s="1317"/>
      <c r="DD161" s="1317"/>
      <c r="DE161" s="1317"/>
      <c r="DF161" s="1317"/>
      <c r="DG161" s="1317"/>
    </row>
    <row r="162" ht="18.75" customHeight="1">
      <c r="G162" s="1344"/>
      <c r="H162" s="1345">
        <f t="shared" si="4"/>
        <v>0</v>
      </c>
      <c r="I162" s="1381"/>
      <c r="J162" s="1381"/>
      <c r="K162" s="1381"/>
      <c r="L162" s="1381"/>
      <c r="M162" s="1381"/>
      <c r="N162" s="1381"/>
      <c r="O162" s="1381"/>
      <c r="P162" s="1381"/>
      <c r="Q162" s="1381"/>
      <c r="R162" s="1381"/>
      <c r="T162" s="1349"/>
      <c r="U162" s="1349" t="s">
        <v>123</v>
      </c>
      <c r="V162" s="1349" t="s">
        <v>123</v>
      </c>
      <c r="W162" s="1349"/>
      <c r="X162" s="1349"/>
      <c r="Y162" s="1308"/>
      <c r="Z162" s="437" t="str">
        <f>IFERROR(__xludf.DUMMYFUNCTION("IF(NOT('portfólio'!$AV$7),"""",IF($T162="""","""",IFERROR(query({AtivosDados},""select sum(""&amp;Z$3&amp;"") where Col1='""&amp;$T162&amp;""' label sum(""&amp;Z$3&amp;"") ''""),0)))"),"")</f>
        <v/>
      </c>
      <c r="AA162" s="437" t="str">
        <f>IFERROR(__xludf.DUMMYFUNCTION("IF(NOT('portfólio'!$AV$7),"""",IF($T162="""","""",IFERROR(query({AtivosDados},""select sum(""&amp;AA$3&amp;"") where Col1='""&amp;$T162&amp;""' label sum(""&amp;AA$3&amp;"") ''""),0)))"),"")</f>
        <v/>
      </c>
      <c r="AB162" s="437" t="str">
        <f>IFERROR(__xludf.DUMMYFUNCTION("IF(NOT('portfólio'!$AV$7),"""",IF($T162="""","""",IFERROR(query({AtivosDados},""select sum(""&amp;AB$3&amp;"") where Col1='""&amp;$T162&amp;""' label sum(""&amp;AB$3&amp;"") ''""),0)))"),"")</f>
        <v/>
      </c>
      <c r="AC162" s="437" t="str">
        <f>IFERROR(__xludf.DUMMYFUNCTION("IF(NOT('portfólio'!$AV$7),"""",IF($T162="""","""",IFERROR(query({AtivosDados},""select sum(""&amp;AC$3&amp;"") where Col1='""&amp;$T162&amp;""' label sum(""&amp;AC$3&amp;"") ''""),0)))"),"")</f>
        <v/>
      </c>
      <c r="AD162" s="437" t="str">
        <f>IFERROR(__xludf.DUMMYFUNCTION("IF(NOT('portfólio'!$AV$7),"""",IF($T162="""","""",IFERROR(query({AtivosDados},""select sum(""&amp;AD$3&amp;"") where Col1='""&amp;$T162&amp;""' label sum(""&amp;AD$3&amp;"") ''""),0)))"),"")</f>
        <v/>
      </c>
      <c r="AE162" s="437"/>
      <c r="AF162" s="1327"/>
      <c r="AG162" s="437"/>
      <c r="AH162" s="437"/>
      <c r="AI162" s="437"/>
      <c r="AJ162" s="437"/>
      <c r="AK162" s="437"/>
      <c r="AL162" s="437"/>
      <c r="AM162" s="437"/>
      <c r="AN162" s="437"/>
      <c r="AO162" s="437"/>
      <c r="AP162" s="437"/>
      <c r="AQ162" s="1327"/>
      <c r="AR162" s="437"/>
      <c r="AS162" s="437"/>
      <c r="AT162" s="437"/>
      <c r="AU162" s="437"/>
      <c r="AV162" s="437"/>
      <c r="AW162" s="437"/>
      <c r="AX162" s="437"/>
      <c r="AY162" s="437"/>
      <c r="AZ162" s="437"/>
      <c r="BA162" s="437"/>
      <c r="BB162" s="1327"/>
      <c r="BC162" s="437"/>
      <c r="BD162" s="437"/>
      <c r="BE162" s="437"/>
      <c r="BF162" s="437"/>
      <c r="BG162" s="437"/>
      <c r="BH162" s="437"/>
      <c r="BI162" s="437"/>
      <c r="BJ162" s="437"/>
      <c r="BK162" s="437"/>
      <c r="BL162" s="437"/>
      <c r="BM162" s="1327"/>
      <c r="BN162" s="1327"/>
      <c r="BO162" s="1327"/>
      <c r="BP162" s="1327"/>
      <c r="BQ162" s="1327"/>
      <c r="BR162" s="1327"/>
      <c r="BS162" s="1327"/>
      <c r="BT162" s="1327"/>
      <c r="BU162" s="1327"/>
      <c r="BV162" s="1327"/>
      <c r="BW162" s="1327"/>
      <c r="BX162" s="1327"/>
      <c r="BY162" s="1327"/>
      <c r="BZ162" s="1327"/>
      <c r="CA162" s="1327"/>
      <c r="CB162" s="1327"/>
      <c r="CC162" s="1327"/>
      <c r="CD162" s="1327"/>
      <c r="CE162" s="1327"/>
      <c r="CF162" s="1327"/>
      <c r="CG162" s="1327"/>
      <c r="CH162" s="1327"/>
      <c r="CI162" s="1327"/>
      <c r="CJ162" s="1327"/>
      <c r="CK162" s="1327"/>
      <c r="CL162" s="1327"/>
      <c r="CM162" s="1327"/>
      <c r="CN162" s="1327"/>
      <c r="CO162" s="1327"/>
      <c r="CP162" s="1327"/>
      <c r="CQ162" s="1327"/>
      <c r="CR162" s="1327"/>
      <c r="CS162" s="1327"/>
      <c r="CT162" s="1317"/>
      <c r="CU162" s="1317"/>
      <c r="CV162" s="1317"/>
      <c r="CW162" s="1317"/>
      <c r="CX162" s="1317"/>
      <c r="CY162" s="1317"/>
      <c r="CZ162" s="1317"/>
      <c r="DA162" s="1317"/>
      <c r="DB162" s="1317"/>
      <c r="DC162" s="1317"/>
      <c r="DD162" s="1317"/>
      <c r="DE162" s="1317"/>
      <c r="DF162" s="1317"/>
      <c r="DG162" s="1317"/>
    </row>
    <row r="163" ht="18.75" customHeight="1">
      <c r="G163" s="1344"/>
      <c r="H163" s="1345">
        <f t="shared" si="4"/>
        <v>0</v>
      </c>
      <c r="I163" s="1381"/>
      <c r="J163" s="1381"/>
      <c r="K163" s="1381"/>
      <c r="L163" s="1381"/>
      <c r="M163" s="1381"/>
      <c r="N163" s="1381"/>
      <c r="O163" s="1381"/>
      <c r="P163" s="1381"/>
      <c r="Q163" s="1381"/>
      <c r="R163" s="1381"/>
      <c r="T163" s="1349"/>
      <c r="U163" s="1349" t="s">
        <v>123</v>
      </c>
      <c r="V163" s="1349" t="s">
        <v>123</v>
      </c>
      <c r="W163" s="1349"/>
      <c r="X163" s="1349"/>
      <c r="Y163" s="1308"/>
      <c r="Z163" s="437" t="str">
        <f>IFERROR(__xludf.DUMMYFUNCTION("IF(NOT('portfólio'!$AV$7),"""",IF($T163="""","""",IFERROR(query({AtivosDados},""select sum(""&amp;Z$3&amp;"") where Col1='""&amp;$T163&amp;""' label sum(""&amp;Z$3&amp;"") ''""),0)))"),"")</f>
        <v/>
      </c>
      <c r="AA163" s="437" t="str">
        <f>IFERROR(__xludf.DUMMYFUNCTION("IF(NOT('portfólio'!$AV$7),"""",IF($T163="""","""",IFERROR(query({AtivosDados},""select sum(""&amp;AA$3&amp;"") where Col1='""&amp;$T163&amp;""' label sum(""&amp;AA$3&amp;"") ''""),0)))"),"")</f>
        <v/>
      </c>
      <c r="AB163" s="437" t="str">
        <f>IFERROR(__xludf.DUMMYFUNCTION("IF(NOT('portfólio'!$AV$7),"""",IF($T163="""","""",IFERROR(query({AtivosDados},""select sum(""&amp;AB$3&amp;"") where Col1='""&amp;$T163&amp;""' label sum(""&amp;AB$3&amp;"") ''""),0)))"),"")</f>
        <v/>
      </c>
      <c r="AC163" s="437" t="str">
        <f>IFERROR(__xludf.DUMMYFUNCTION("IF(NOT('portfólio'!$AV$7),"""",IF($T163="""","""",IFERROR(query({AtivosDados},""select sum(""&amp;AC$3&amp;"") where Col1='""&amp;$T163&amp;""' label sum(""&amp;AC$3&amp;"") ''""),0)))"),"")</f>
        <v/>
      </c>
      <c r="AD163" s="437" t="str">
        <f>IFERROR(__xludf.DUMMYFUNCTION("IF(NOT('portfólio'!$AV$7),"""",IF($T163="""","""",IFERROR(query({AtivosDados},""select sum(""&amp;AD$3&amp;"") where Col1='""&amp;$T163&amp;""' label sum(""&amp;AD$3&amp;"") ''""),0)))"),"")</f>
        <v/>
      </c>
      <c r="AE163" s="437"/>
      <c r="AF163" s="1327"/>
      <c r="AG163" s="437"/>
      <c r="AH163" s="437"/>
      <c r="AI163" s="437"/>
      <c r="AJ163" s="437"/>
      <c r="AK163" s="437"/>
      <c r="AL163" s="437"/>
      <c r="AM163" s="437"/>
      <c r="AN163" s="437"/>
      <c r="AO163" s="437"/>
      <c r="AP163" s="437"/>
      <c r="AQ163" s="1327"/>
      <c r="AR163" s="437"/>
      <c r="AS163" s="437"/>
      <c r="AT163" s="437"/>
      <c r="AU163" s="437"/>
      <c r="AV163" s="437"/>
      <c r="AW163" s="437"/>
      <c r="AX163" s="437"/>
      <c r="AY163" s="437"/>
      <c r="AZ163" s="437"/>
      <c r="BA163" s="437"/>
      <c r="BB163" s="1327"/>
      <c r="BC163" s="437"/>
      <c r="BD163" s="437"/>
      <c r="BE163" s="437"/>
      <c r="BF163" s="437"/>
      <c r="BG163" s="437"/>
      <c r="BH163" s="437"/>
      <c r="BI163" s="437"/>
      <c r="BJ163" s="437"/>
      <c r="BK163" s="437"/>
      <c r="BL163" s="437"/>
      <c r="BM163" s="1327"/>
      <c r="BN163" s="1327"/>
      <c r="BO163" s="1327"/>
      <c r="BP163" s="1327"/>
      <c r="BQ163" s="1327"/>
      <c r="BR163" s="1327"/>
      <c r="BS163" s="1327"/>
      <c r="BT163" s="1327"/>
      <c r="BU163" s="1327"/>
      <c r="BV163" s="1327"/>
      <c r="BW163" s="1327"/>
      <c r="BX163" s="1327"/>
      <c r="BY163" s="1327"/>
      <c r="BZ163" s="1327"/>
      <c r="CA163" s="1327"/>
      <c r="CB163" s="1327"/>
      <c r="CC163" s="1327"/>
      <c r="CD163" s="1327"/>
      <c r="CE163" s="1327"/>
      <c r="CF163" s="1327"/>
      <c r="CG163" s="1327"/>
      <c r="CH163" s="1327"/>
      <c r="CI163" s="1327"/>
      <c r="CJ163" s="1327"/>
      <c r="CK163" s="1327"/>
      <c r="CL163" s="1327"/>
      <c r="CM163" s="1327"/>
      <c r="CN163" s="1327"/>
      <c r="CO163" s="1327"/>
      <c r="CP163" s="1327"/>
      <c r="CQ163" s="1327"/>
      <c r="CR163" s="1327"/>
      <c r="CS163" s="1327"/>
      <c r="CT163" s="1317"/>
      <c r="CU163" s="1317"/>
      <c r="CV163" s="1317"/>
      <c r="CW163" s="1317"/>
      <c r="CX163" s="1317"/>
      <c r="CY163" s="1317"/>
      <c r="CZ163" s="1317"/>
      <c r="DA163" s="1317"/>
      <c r="DB163" s="1317"/>
      <c r="DC163" s="1317"/>
      <c r="DD163" s="1317"/>
      <c r="DE163" s="1317"/>
      <c r="DF163" s="1317"/>
      <c r="DG163" s="1317"/>
    </row>
    <row r="164" ht="18.75" customHeight="1">
      <c r="G164" s="1344"/>
      <c r="H164" s="1345">
        <f t="shared" si="4"/>
        <v>0</v>
      </c>
      <c r="I164" s="1381"/>
      <c r="J164" s="1381"/>
      <c r="K164" s="1381"/>
      <c r="L164" s="1381"/>
      <c r="M164" s="1381"/>
      <c r="N164" s="1381"/>
      <c r="O164" s="1381"/>
      <c r="P164" s="1381"/>
      <c r="Q164" s="1381"/>
      <c r="R164" s="1381"/>
      <c r="T164" s="1349"/>
      <c r="U164" s="1349" t="s">
        <v>123</v>
      </c>
      <c r="V164" s="1349" t="s">
        <v>123</v>
      </c>
      <c r="W164" s="1349"/>
      <c r="X164" s="1349"/>
      <c r="Y164" s="1308"/>
      <c r="Z164" s="437" t="str">
        <f>IFERROR(__xludf.DUMMYFUNCTION("IF(NOT('portfólio'!$AV$7),"""",IF($T164="""","""",IFERROR(query({AtivosDados},""select sum(""&amp;Z$3&amp;"") where Col1='""&amp;$T164&amp;""' label sum(""&amp;Z$3&amp;"") ''""),0)))"),"")</f>
        <v/>
      </c>
      <c r="AA164" s="437" t="str">
        <f>IFERROR(__xludf.DUMMYFUNCTION("IF(NOT('portfólio'!$AV$7),"""",IF($T164="""","""",IFERROR(query({AtivosDados},""select sum(""&amp;AA$3&amp;"") where Col1='""&amp;$T164&amp;""' label sum(""&amp;AA$3&amp;"") ''""),0)))"),"")</f>
        <v/>
      </c>
      <c r="AB164" s="437" t="str">
        <f>IFERROR(__xludf.DUMMYFUNCTION("IF(NOT('portfólio'!$AV$7),"""",IF($T164="""","""",IFERROR(query({AtivosDados},""select sum(""&amp;AB$3&amp;"") where Col1='""&amp;$T164&amp;""' label sum(""&amp;AB$3&amp;"") ''""),0)))"),"")</f>
        <v/>
      </c>
      <c r="AC164" s="437" t="str">
        <f>IFERROR(__xludf.DUMMYFUNCTION("IF(NOT('portfólio'!$AV$7),"""",IF($T164="""","""",IFERROR(query({AtivosDados},""select sum(""&amp;AC$3&amp;"") where Col1='""&amp;$T164&amp;""' label sum(""&amp;AC$3&amp;"") ''""),0)))"),"")</f>
        <v/>
      </c>
      <c r="AD164" s="437" t="str">
        <f>IFERROR(__xludf.DUMMYFUNCTION("IF(NOT('portfólio'!$AV$7),"""",IF($T164="""","""",IFERROR(query({AtivosDados},""select sum(""&amp;AD$3&amp;"") where Col1='""&amp;$T164&amp;""' label sum(""&amp;AD$3&amp;"") ''""),0)))"),"")</f>
        <v/>
      </c>
      <c r="AE164" s="437"/>
      <c r="AF164" s="1327"/>
      <c r="AG164" s="437"/>
      <c r="AH164" s="437"/>
      <c r="AI164" s="437"/>
      <c r="AJ164" s="437"/>
      <c r="AK164" s="437"/>
      <c r="AL164" s="437"/>
      <c r="AM164" s="437"/>
      <c r="AN164" s="437"/>
      <c r="AO164" s="437"/>
      <c r="AP164" s="437"/>
      <c r="AQ164" s="1327"/>
      <c r="AR164" s="437"/>
      <c r="AS164" s="437"/>
      <c r="AT164" s="437"/>
      <c r="AU164" s="437"/>
      <c r="AV164" s="437"/>
      <c r="AW164" s="437"/>
      <c r="AX164" s="437"/>
      <c r="AY164" s="437"/>
      <c r="AZ164" s="437"/>
      <c r="BA164" s="437"/>
      <c r="BB164" s="1327"/>
      <c r="BC164" s="437"/>
      <c r="BD164" s="437"/>
      <c r="BE164" s="437"/>
      <c r="BF164" s="437"/>
      <c r="BG164" s="437"/>
      <c r="BH164" s="437"/>
      <c r="BI164" s="437"/>
      <c r="BJ164" s="437"/>
      <c r="BK164" s="437"/>
      <c r="BL164" s="437"/>
      <c r="BM164" s="1327"/>
      <c r="BN164" s="1327"/>
      <c r="BO164" s="1327"/>
      <c r="BP164" s="1327"/>
      <c r="BQ164" s="1327"/>
      <c r="BR164" s="1327"/>
      <c r="BS164" s="1327"/>
      <c r="BT164" s="1327"/>
      <c r="BU164" s="1327"/>
      <c r="BV164" s="1327"/>
      <c r="BW164" s="1327"/>
      <c r="BX164" s="1327"/>
      <c r="BY164" s="1327"/>
      <c r="BZ164" s="1327"/>
      <c r="CA164" s="1327"/>
      <c r="CB164" s="1327"/>
      <c r="CC164" s="1327"/>
      <c r="CD164" s="1327"/>
      <c r="CE164" s="1327"/>
      <c r="CF164" s="1327"/>
      <c r="CG164" s="1327"/>
      <c r="CH164" s="1327"/>
      <c r="CI164" s="1327"/>
      <c r="CJ164" s="1327"/>
      <c r="CK164" s="1327"/>
      <c r="CL164" s="1327"/>
      <c r="CM164" s="1327"/>
      <c r="CN164" s="1327"/>
      <c r="CO164" s="1327"/>
      <c r="CP164" s="1327"/>
      <c r="CQ164" s="1327"/>
      <c r="CR164" s="1327"/>
      <c r="CS164" s="1327"/>
      <c r="CT164" s="1317"/>
      <c r="CU164" s="1317"/>
      <c r="CV164" s="1317"/>
      <c r="CW164" s="1317"/>
      <c r="CX164" s="1317"/>
      <c r="CY164" s="1317"/>
      <c r="CZ164" s="1317"/>
      <c r="DA164" s="1317"/>
      <c r="DB164" s="1317"/>
      <c r="DC164" s="1317"/>
      <c r="DD164" s="1317"/>
      <c r="DE164" s="1317"/>
      <c r="DF164" s="1317"/>
      <c r="DG164" s="1317"/>
    </row>
    <row r="165" ht="18.75" customHeight="1">
      <c r="G165" s="1344"/>
      <c r="H165" s="1345">
        <f t="shared" si="4"/>
        <v>0</v>
      </c>
      <c r="I165" s="1381"/>
      <c r="J165" s="1381"/>
      <c r="K165" s="1381"/>
      <c r="L165" s="1381"/>
      <c r="M165" s="1381"/>
      <c r="N165" s="1381"/>
      <c r="O165" s="1381"/>
      <c r="P165" s="1381"/>
      <c r="Q165" s="1381"/>
      <c r="R165" s="1381"/>
      <c r="T165" s="1349"/>
      <c r="U165" s="1349" t="s">
        <v>123</v>
      </c>
      <c r="V165" s="1349" t="s">
        <v>123</v>
      </c>
      <c r="W165" s="1349"/>
      <c r="X165" s="1349"/>
      <c r="Y165" s="1308"/>
      <c r="Z165" s="437" t="str">
        <f>IFERROR(__xludf.DUMMYFUNCTION("IF(NOT('portfólio'!$AV$7),"""",IF($T165="""","""",IFERROR(query({AtivosDados},""select sum(""&amp;Z$3&amp;"") where Col1='""&amp;$T165&amp;""' label sum(""&amp;Z$3&amp;"") ''""),0)))"),"")</f>
        <v/>
      </c>
      <c r="AA165" s="437" t="str">
        <f>IFERROR(__xludf.DUMMYFUNCTION("IF(NOT('portfólio'!$AV$7),"""",IF($T165="""","""",IFERROR(query({AtivosDados},""select sum(""&amp;AA$3&amp;"") where Col1='""&amp;$T165&amp;""' label sum(""&amp;AA$3&amp;"") ''""),0)))"),"")</f>
        <v/>
      </c>
      <c r="AB165" s="437" t="str">
        <f>IFERROR(__xludf.DUMMYFUNCTION("IF(NOT('portfólio'!$AV$7),"""",IF($T165="""","""",IFERROR(query({AtivosDados},""select sum(""&amp;AB$3&amp;"") where Col1='""&amp;$T165&amp;""' label sum(""&amp;AB$3&amp;"") ''""),0)))"),"")</f>
        <v/>
      </c>
      <c r="AC165" s="437" t="str">
        <f>IFERROR(__xludf.DUMMYFUNCTION("IF(NOT('portfólio'!$AV$7),"""",IF($T165="""","""",IFERROR(query({AtivosDados},""select sum(""&amp;AC$3&amp;"") where Col1='""&amp;$T165&amp;""' label sum(""&amp;AC$3&amp;"") ''""),0)))"),"")</f>
        <v/>
      </c>
      <c r="AD165" s="437" t="str">
        <f>IFERROR(__xludf.DUMMYFUNCTION("IF(NOT('portfólio'!$AV$7),"""",IF($T165="""","""",IFERROR(query({AtivosDados},""select sum(""&amp;AD$3&amp;"") where Col1='""&amp;$T165&amp;""' label sum(""&amp;AD$3&amp;"") ''""),0)))"),"")</f>
        <v/>
      </c>
      <c r="AE165" s="437"/>
      <c r="AF165" s="1327"/>
      <c r="AG165" s="437"/>
      <c r="AH165" s="437"/>
      <c r="AI165" s="437"/>
      <c r="AJ165" s="437"/>
      <c r="AK165" s="437"/>
      <c r="AL165" s="437"/>
      <c r="AM165" s="437"/>
      <c r="AN165" s="437"/>
      <c r="AO165" s="437"/>
      <c r="AP165" s="437"/>
      <c r="AQ165" s="1327"/>
      <c r="AR165" s="437"/>
      <c r="AS165" s="437"/>
      <c r="AT165" s="437"/>
      <c r="AU165" s="437"/>
      <c r="AV165" s="437"/>
      <c r="AW165" s="437"/>
      <c r="AX165" s="437"/>
      <c r="AY165" s="437"/>
      <c r="AZ165" s="437"/>
      <c r="BA165" s="437"/>
      <c r="BB165" s="1327"/>
      <c r="BC165" s="437"/>
      <c r="BD165" s="437"/>
      <c r="BE165" s="437"/>
      <c r="BF165" s="437"/>
      <c r="BG165" s="437"/>
      <c r="BH165" s="437"/>
      <c r="BI165" s="437"/>
      <c r="BJ165" s="437"/>
      <c r="BK165" s="437"/>
      <c r="BL165" s="437"/>
      <c r="BM165" s="1327"/>
      <c r="BN165" s="1327"/>
      <c r="BO165" s="1327"/>
      <c r="BP165" s="1327"/>
      <c r="BQ165" s="1327"/>
      <c r="BR165" s="1327"/>
      <c r="BS165" s="1327"/>
      <c r="BT165" s="1327"/>
      <c r="BU165" s="1327"/>
      <c r="BV165" s="1327"/>
      <c r="BW165" s="1327"/>
      <c r="BX165" s="1327"/>
      <c r="BY165" s="1327"/>
      <c r="BZ165" s="1327"/>
      <c r="CA165" s="1327"/>
      <c r="CB165" s="1327"/>
      <c r="CC165" s="1327"/>
      <c r="CD165" s="1327"/>
      <c r="CE165" s="1327"/>
      <c r="CF165" s="1327"/>
      <c r="CG165" s="1327"/>
      <c r="CH165" s="1327"/>
      <c r="CI165" s="1327"/>
      <c r="CJ165" s="1327"/>
      <c r="CK165" s="1327"/>
      <c r="CL165" s="1327"/>
      <c r="CM165" s="1327"/>
      <c r="CN165" s="1327"/>
      <c r="CO165" s="1327"/>
      <c r="CP165" s="1327"/>
      <c r="CQ165" s="1327"/>
      <c r="CR165" s="1327"/>
      <c r="CS165" s="1327"/>
      <c r="CT165" s="1317"/>
      <c r="CU165" s="1317"/>
      <c r="CV165" s="1317"/>
      <c r="CW165" s="1317"/>
      <c r="CX165" s="1317"/>
      <c r="CY165" s="1317"/>
      <c r="CZ165" s="1317"/>
      <c r="DA165" s="1317"/>
      <c r="DB165" s="1317"/>
      <c r="DC165" s="1317"/>
      <c r="DD165" s="1317"/>
      <c r="DE165" s="1317"/>
      <c r="DF165" s="1317"/>
      <c r="DG165" s="1317"/>
    </row>
    <row r="166" ht="18.75" customHeight="1">
      <c r="G166" s="1344"/>
      <c r="H166" s="1345">
        <f t="shared" si="4"/>
        <v>0</v>
      </c>
      <c r="I166" s="1381"/>
      <c r="J166" s="1381"/>
      <c r="K166" s="1381"/>
      <c r="L166" s="1381"/>
      <c r="M166" s="1381"/>
      <c r="N166" s="1381"/>
      <c r="O166" s="1381"/>
      <c r="P166" s="1381"/>
      <c r="Q166" s="1381"/>
      <c r="R166" s="1381"/>
      <c r="T166" s="1349"/>
      <c r="U166" s="1349" t="s">
        <v>123</v>
      </c>
      <c r="V166" s="1349" t="s">
        <v>123</v>
      </c>
      <c r="W166" s="1349"/>
      <c r="X166" s="1349"/>
      <c r="Y166" s="1308"/>
      <c r="Z166" s="437" t="str">
        <f>IFERROR(__xludf.DUMMYFUNCTION("IF(NOT('portfólio'!$AV$7),"""",IF($T166="""","""",IFERROR(query({AtivosDados},""select sum(""&amp;Z$3&amp;"") where Col1='""&amp;$T166&amp;""' label sum(""&amp;Z$3&amp;"") ''""),0)))"),"")</f>
        <v/>
      </c>
      <c r="AA166" s="437" t="str">
        <f>IFERROR(__xludf.DUMMYFUNCTION("IF(NOT('portfólio'!$AV$7),"""",IF($T166="""","""",IFERROR(query({AtivosDados},""select sum(""&amp;AA$3&amp;"") where Col1='""&amp;$T166&amp;""' label sum(""&amp;AA$3&amp;"") ''""),0)))"),"")</f>
        <v/>
      </c>
      <c r="AB166" s="437" t="str">
        <f>IFERROR(__xludf.DUMMYFUNCTION("IF(NOT('portfólio'!$AV$7),"""",IF($T166="""","""",IFERROR(query({AtivosDados},""select sum(""&amp;AB$3&amp;"") where Col1='""&amp;$T166&amp;""' label sum(""&amp;AB$3&amp;"") ''""),0)))"),"")</f>
        <v/>
      </c>
      <c r="AC166" s="437" t="str">
        <f>IFERROR(__xludf.DUMMYFUNCTION("IF(NOT('portfólio'!$AV$7),"""",IF($T166="""","""",IFERROR(query({AtivosDados},""select sum(""&amp;AC$3&amp;"") where Col1='""&amp;$T166&amp;""' label sum(""&amp;AC$3&amp;"") ''""),0)))"),"")</f>
        <v/>
      </c>
      <c r="AD166" s="437" t="str">
        <f>IFERROR(__xludf.DUMMYFUNCTION("IF(NOT('portfólio'!$AV$7),"""",IF($T166="""","""",IFERROR(query({AtivosDados},""select sum(""&amp;AD$3&amp;"") where Col1='""&amp;$T166&amp;""' label sum(""&amp;AD$3&amp;"") ''""),0)))"),"")</f>
        <v/>
      </c>
      <c r="AE166" s="437"/>
      <c r="AF166" s="1327"/>
      <c r="AG166" s="437"/>
      <c r="AH166" s="437"/>
      <c r="AI166" s="437"/>
      <c r="AJ166" s="437"/>
      <c r="AK166" s="437"/>
      <c r="AL166" s="437"/>
      <c r="AM166" s="437"/>
      <c r="AN166" s="437"/>
      <c r="AO166" s="437"/>
      <c r="AP166" s="437"/>
      <c r="AQ166" s="1327"/>
      <c r="AR166" s="437"/>
      <c r="AS166" s="437"/>
      <c r="AT166" s="437"/>
      <c r="AU166" s="437"/>
      <c r="AV166" s="437"/>
      <c r="AW166" s="437"/>
      <c r="AX166" s="437"/>
      <c r="AY166" s="437"/>
      <c r="AZ166" s="437"/>
      <c r="BA166" s="437"/>
      <c r="BB166" s="1327"/>
      <c r="BC166" s="437"/>
      <c r="BD166" s="437"/>
      <c r="BE166" s="437"/>
      <c r="BF166" s="437"/>
      <c r="BG166" s="437"/>
      <c r="BH166" s="437"/>
      <c r="BI166" s="437"/>
      <c r="BJ166" s="437"/>
      <c r="BK166" s="437"/>
      <c r="BL166" s="437"/>
      <c r="BM166" s="1327"/>
      <c r="BN166" s="1327"/>
      <c r="BO166" s="1327"/>
      <c r="BP166" s="1327"/>
      <c r="BQ166" s="1327"/>
      <c r="BR166" s="1327"/>
      <c r="BS166" s="1327"/>
      <c r="BT166" s="1327"/>
      <c r="BU166" s="1327"/>
      <c r="BV166" s="1327"/>
      <c r="BW166" s="1327"/>
      <c r="BX166" s="1327"/>
      <c r="BY166" s="1327"/>
      <c r="BZ166" s="1327"/>
      <c r="CA166" s="1327"/>
      <c r="CB166" s="1327"/>
      <c r="CC166" s="1327"/>
      <c r="CD166" s="1327"/>
      <c r="CE166" s="1327"/>
      <c r="CF166" s="1327"/>
      <c r="CG166" s="1327"/>
      <c r="CH166" s="1327"/>
      <c r="CI166" s="1327"/>
      <c r="CJ166" s="1327"/>
      <c r="CK166" s="1327"/>
      <c r="CL166" s="1327"/>
      <c r="CM166" s="1327"/>
      <c r="CN166" s="1327"/>
      <c r="CO166" s="1327"/>
      <c r="CP166" s="1327"/>
      <c r="CQ166" s="1327"/>
      <c r="CR166" s="1327"/>
      <c r="CS166" s="1327"/>
      <c r="CT166" s="1317"/>
      <c r="CU166" s="1317"/>
      <c r="CV166" s="1317"/>
      <c r="CW166" s="1317"/>
      <c r="CX166" s="1317"/>
      <c r="CY166" s="1317"/>
      <c r="CZ166" s="1317"/>
      <c r="DA166" s="1317"/>
      <c r="DB166" s="1317"/>
      <c r="DC166" s="1317"/>
      <c r="DD166" s="1317"/>
      <c r="DE166" s="1317"/>
      <c r="DF166" s="1317"/>
      <c r="DG166" s="1317"/>
    </row>
    <row r="167" ht="18.75" customHeight="1">
      <c r="G167" s="1344"/>
      <c r="H167" s="1345">
        <f t="shared" si="4"/>
        <v>0</v>
      </c>
      <c r="I167" s="1381"/>
      <c r="J167" s="1381"/>
      <c r="K167" s="1381"/>
      <c r="L167" s="1381"/>
      <c r="M167" s="1381"/>
      <c r="N167" s="1381"/>
      <c r="O167" s="1381"/>
      <c r="P167" s="1381"/>
      <c r="Q167" s="1381"/>
      <c r="R167" s="1381"/>
      <c r="T167" s="1349"/>
      <c r="U167" s="1349" t="s">
        <v>123</v>
      </c>
      <c r="V167" s="1349" t="s">
        <v>123</v>
      </c>
      <c r="W167" s="1349"/>
      <c r="X167" s="1349"/>
      <c r="Y167" s="1308"/>
      <c r="Z167" s="437" t="str">
        <f>IFERROR(__xludf.DUMMYFUNCTION("IF(NOT('portfólio'!$AV$7),"""",IF($T167="""","""",IFERROR(query({AtivosDados},""select sum(""&amp;Z$3&amp;"") where Col1='""&amp;$T167&amp;""' label sum(""&amp;Z$3&amp;"") ''""),0)))"),"")</f>
        <v/>
      </c>
      <c r="AA167" s="437" t="str">
        <f>IFERROR(__xludf.DUMMYFUNCTION("IF(NOT('portfólio'!$AV$7),"""",IF($T167="""","""",IFERROR(query({AtivosDados},""select sum(""&amp;AA$3&amp;"") where Col1='""&amp;$T167&amp;""' label sum(""&amp;AA$3&amp;"") ''""),0)))"),"")</f>
        <v/>
      </c>
      <c r="AB167" s="437" t="str">
        <f>IFERROR(__xludf.DUMMYFUNCTION("IF(NOT('portfólio'!$AV$7),"""",IF($T167="""","""",IFERROR(query({AtivosDados},""select sum(""&amp;AB$3&amp;"") where Col1='""&amp;$T167&amp;""' label sum(""&amp;AB$3&amp;"") ''""),0)))"),"")</f>
        <v/>
      </c>
      <c r="AC167" s="437" t="str">
        <f>IFERROR(__xludf.DUMMYFUNCTION("IF(NOT('portfólio'!$AV$7),"""",IF($T167="""","""",IFERROR(query({AtivosDados},""select sum(""&amp;AC$3&amp;"") where Col1='""&amp;$T167&amp;""' label sum(""&amp;AC$3&amp;"") ''""),0)))"),"")</f>
        <v/>
      </c>
      <c r="AD167" s="437" t="str">
        <f>IFERROR(__xludf.DUMMYFUNCTION("IF(NOT('portfólio'!$AV$7),"""",IF($T167="""","""",IFERROR(query({AtivosDados},""select sum(""&amp;AD$3&amp;"") where Col1='""&amp;$T167&amp;""' label sum(""&amp;AD$3&amp;"") ''""),0)))"),"")</f>
        <v/>
      </c>
      <c r="AE167" s="437"/>
      <c r="AF167" s="1327"/>
      <c r="AG167" s="437"/>
      <c r="AH167" s="437"/>
      <c r="AI167" s="437"/>
      <c r="AJ167" s="437"/>
      <c r="AK167" s="437"/>
      <c r="AL167" s="437"/>
      <c r="AM167" s="437"/>
      <c r="AN167" s="437"/>
      <c r="AO167" s="437"/>
      <c r="AP167" s="437"/>
      <c r="AQ167" s="1327"/>
      <c r="AR167" s="437"/>
      <c r="AS167" s="437"/>
      <c r="AT167" s="437"/>
      <c r="AU167" s="437"/>
      <c r="AV167" s="437"/>
      <c r="AW167" s="437"/>
      <c r="AX167" s="437"/>
      <c r="AY167" s="437"/>
      <c r="AZ167" s="437"/>
      <c r="BA167" s="437"/>
      <c r="BB167" s="1327"/>
      <c r="BC167" s="437"/>
      <c r="BD167" s="437"/>
      <c r="BE167" s="437"/>
      <c r="BF167" s="437"/>
      <c r="BG167" s="437"/>
      <c r="BH167" s="437"/>
      <c r="BI167" s="437"/>
      <c r="BJ167" s="437"/>
      <c r="BK167" s="437"/>
      <c r="BL167" s="437"/>
      <c r="BM167" s="1327"/>
      <c r="BN167" s="1327"/>
      <c r="BO167" s="1327"/>
      <c r="BP167" s="1327"/>
      <c r="BQ167" s="1327"/>
      <c r="BR167" s="1327"/>
      <c r="BS167" s="1327"/>
      <c r="BT167" s="1327"/>
      <c r="BU167" s="1327"/>
      <c r="BV167" s="1327"/>
      <c r="BW167" s="1327"/>
      <c r="BX167" s="1327"/>
      <c r="BY167" s="1327"/>
      <c r="BZ167" s="1327"/>
      <c r="CA167" s="1327"/>
      <c r="CB167" s="1327"/>
      <c r="CC167" s="1327"/>
      <c r="CD167" s="1327"/>
      <c r="CE167" s="1327"/>
      <c r="CF167" s="1327"/>
      <c r="CG167" s="1327"/>
      <c r="CH167" s="1327"/>
      <c r="CI167" s="1327"/>
      <c r="CJ167" s="1327"/>
      <c r="CK167" s="1327"/>
      <c r="CL167" s="1327"/>
      <c r="CM167" s="1327"/>
      <c r="CN167" s="1327"/>
      <c r="CO167" s="1327"/>
      <c r="CP167" s="1327"/>
      <c r="CQ167" s="1327"/>
      <c r="CR167" s="1327"/>
      <c r="CS167" s="1327"/>
      <c r="CT167" s="1317"/>
      <c r="CU167" s="1317"/>
      <c r="CV167" s="1317"/>
      <c r="CW167" s="1317"/>
      <c r="CX167" s="1317"/>
      <c r="CY167" s="1317"/>
      <c r="CZ167" s="1317"/>
      <c r="DA167" s="1317"/>
      <c r="DB167" s="1317"/>
      <c r="DC167" s="1317"/>
      <c r="DD167" s="1317"/>
      <c r="DE167" s="1317"/>
      <c r="DF167" s="1317"/>
      <c r="DG167" s="1317"/>
    </row>
    <row r="168" ht="18.75" customHeight="1">
      <c r="G168" s="1344"/>
      <c r="H168" s="1345">
        <f t="shared" si="4"/>
        <v>0</v>
      </c>
      <c r="I168" s="1381"/>
      <c r="J168" s="1381"/>
      <c r="K168" s="1381"/>
      <c r="L168" s="1381"/>
      <c r="M168" s="1381"/>
      <c r="N168" s="1381"/>
      <c r="O168" s="1381"/>
      <c r="P168" s="1381"/>
      <c r="Q168" s="1381"/>
      <c r="R168" s="1381"/>
      <c r="T168" s="1349"/>
      <c r="U168" s="1349" t="s">
        <v>123</v>
      </c>
      <c r="V168" s="1349" t="s">
        <v>123</v>
      </c>
      <c r="W168" s="1349"/>
      <c r="X168" s="1349"/>
      <c r="Y168" s="1308"/>
      <c r="Z168" s="437" t="str">
        <f>IFERROR(__xludf.DUMMYFUNCTION("IF(NOT('portfólio'!$AV$7),"""",IF($T168="""","""",IFERROR(query({AtivosDados},""select sum(""&amp;Z$3&amp;"") where Col1='""&amp;$T168&amp;""' label sum(""&amp;Z$3&amp;"") ''""),0)))"),"")</f>
        <v/>
      </c>
      <c r="AA168" s="437" t="str">
        <f>IFERROR(__xludf.DUMMYFUNCTION("IF(NOT('portfólio'!$AV$7),"""",IF($T168="""","""",IFERROR(query({AtivosDados},""select sum(""&amp;AA$3&amp;"") where Col1='""&amp;$T168&amp;""' label sum(""&amp;AA$3&amp;"") ''""),0)))"),"")</f>
        <v/>
      </c>
      <c r="AB168" s="437" t="str">
        <f>IFERROR(__xludf.DUMMYFUNCTION("IF(NOT('portfólio'!$AV$7),"""",IF($T168="""","""",IFERROR(query({AtivosDados},""select sum(""&amp;AB$3&amp;"") where Col1='""&amp;$T168&amp;""' label sum(""&amp;AB$3&amp;"") ''""),0)))"),"")</f>
        <v/>
      </c>
      <c r="AC168" s="437" t="str">
        <f>IFERROR(__xludf.DUMMYFUNCTION("IF(NOT('portfólio'!$AV$7),"""",IF($T168="""","""",IFERROR(query({AtivosDados},""select sum(""&amp;AC$3&amp;"") where Col1='""&amp;$T168&amp;""' label sum(""&amp;AC$3&amp;"") ''""),0)))"),"")</f>
        <v/>
      </c>
      <c r="AD168" s="437" t="str">
        <f>IFERROR(__xludf.DUMMYFUNCTION("IF(NOT('portfólio'!$AV$7),"""",IF($T168="""","""",IFERROR(query({AtivosDados},""select sum(""&amp;AD$3&amp;"") where Col1='""&amp;$T168&amp;""' label sum(""&amp;AD$3&amp;"") ''""),0)))"),"")</f>
        <v/>
      </c>
      <c r="AE168" s="437"/>
      <c r="AF168" s="1327"/>
      <c r="AG168" s="437"/>
      <c r="AH168" s="437"/>
      <c r="AI168" s="437"/>
      <c r="AJ168" s="437"/>
      <c r="AK168" s="437"/>
      <c r="AL168" s="437"/>
      <c r="AM168" s="437"/>
      <c r="AN168" s="437"/>
      <c r="AO168" s="437"/>
      <c r="AP168" s="437"/>
      <c r="AQ168" s="1327"/>
      <c r="AR168" s="437"/>
      <c r="AS168" s="437"/>
      <c r="AT168" s="437"/>
      <c r="AU168" s="437"/>
      <c r="AV168" s="437"/>
      <c r="AW168" s="437"/>
      <c r="AX168" s="437"/>
      <c r="AY168" s="437"/>
      <c r="AZ168" s="437"/>
      <c r="BA168" s="437"/>
      <c r="BB168" s="1327"/>
      <c r="BC168" s="437"/>
      <c r="BD168" s="437"/>
      <c r="BE168" s="437"/>
      <c r="BF168" s="437"/>
      <c r="BG168" s="437"/>
      <c r="BH168" s="437"/>
      <c r="BI168" s="437"/>
      <c r="BJ168" s="437"/>
      <c r="BK168" s="437"/>
      <c r="BL168" s="437"/>
      <c r="BM168" s="1327"/>
      <c r="BN168" s="1327"/>
      <c r="BO168" s="1327"/>
      <c r="BP168" s="1327"/>
      <c r="BQ168" s="1327"/>
      <c r="BR168" s="1327"/>
      <c r="BS168" s="1327"/>
      <c r="BT168" s="1327"/>
      <c r="BU168" s="1327"/>
      <c r="BV168" s="1327"/>
      <c r="BW168" s="1327"/>
      <c r="BX168" s="1327"/>
      <c r="BY168" s="1327"/>
      <c r="BZ168" s="1327"/>
      <c r="CA168" s="1327"/>
      <c r="CB168" s="1327"/>
      <c r="CC168" s="1327"/>
      <c r="CD168" s="1327"/>
      <c r="CE168" s="1327"/>
      <c r="CF168" s="1327"/>
      <c r="CG168" s="1327"/>
      <c r="CH168" s="1327"/>
      <c r="CI168" s="1327"/>
      <c r="CJ168" s="1327"/>
      <c r="CK168" s="1327"/>
      <c r="CL168" s="1327"/>
      <c r="CM168" s="1327"/>
      <c r="CN168" s="1327"/>
      <c r="CO168" s="1327"/>
      <c r="CP168" s="1327"/>
      <c r="CQ168" s="1327"/>
      <c r="CR168" s="1327"/>
      <c r="CS168" s="1327"/>
      <c r="CT168" s="1317"/>
      <c r="CU168" s="1317"/>
      <c r="CV168" s="1317"/>
      <c r="CW168" s="1317"/>
      <c r="CX168" s="1317"/>
      <c r="CY168" s="1317"/>
      <c r="CZ168" s="1317"/>
      <c r="DA168" s="1317"/>
      <c r="DB168" s="1317"/>
      <c r="DC168" s="1317"/>
      <c r="DD168" s="1317"/>
      <c r="DE168" s="1317"/>
      <c r="DF168" s="1317"/>
      <c r="DG168" s="1317"/>
    </row>
    <row r="169" ht="18.75" customHeight="1">
      <c r="G169" s="1344"/>
      <c r="H169" s="1345">
        <f t="shared" si="4"/>
        <v>0</v>
      </c>
      <c r="I169" s="1381"/>
      <c r="J169" s="1381"/>
      <c r="K169" s="1381"/>
      <c r="L169" s="1381"/>
      <c r="M169" s="1381"/>
      <c r="N169" s="1381"/>
      <c r="O169" s="1381"/>
      <c r="P169" s="1381"/>
      <c r="Q169" s="1381"/>
      <c r="R169" s="1381"/>
      <c r="T169" s="1349"/>
      <c r="U169" s="1349" t="s">
        <v>123</v>
      </c>
      <c r="V169" s="1349" t="s">
        <v>123</v>
      </c>
      <c r="W169" s="1349"/>
      <c r="X169" s="1349"/>
      <c r="Y169" s="1308"/>
      <c r="Z169" s="437" t="str">
        <f>IFERROR(__xludf.DUMMYFUNCTION("IF(NOT('portfólio'!$AV$7),"""",IF($T169="""","""",IFERROR(query({AtivosDados},""select sum(""&amp;Z$3&amp;"") where Col1='""&amp;$T169&amp;""' label sum(""&amp;Z$3&amp;"") ''""),0)))"),"")</f>
        <v/>
      </c>
      <c r="AA169" s="437" t="str">
        <f>IFERROR(__xludf.DUMMYFUNCTION("IF(NOT('portfólio'!$AV$7),"""",IF($T169="""","""",IFERROR(query({AtivosDados},""select sum(""&amp;AA$3&amp;"") where Col1='""&amp;$T169&amp;""' label sum(""&amp;AA$3&amp;"") ''""),0)))"),"")</f>
        <v/>
      </c>
      <c r="AB169" s="437" t="str">
        <f>IFERROR(__xludf.DUMMYFUNCTION("IF(NOT('portfólio'!$AV$7),"""",IF($T169="""","""",IFERROR(query({AtivosDados},""select sum(""&amp;AB$3&amp;"") where Col1='""&amp;$T169&amp;""' label sum(""&amp;AB$3&amp;"") ''""),0)))"),"")</f>
        <v/>
      </c>
      <c r="AC169" s="437" t="str">
        <f>IFERROR(__xludf.DUMMYFUNCTION("IF(NOT('portfólio'!$AV$7),"""",IF($T169="""","""",IFERROR(query({AtivosDados},""select sum(""&amp;AC$3&amp;"") where Col1='""&amp;$T169&amp;""' label sum(""&amp;AC$3&amp;"") ''""),0)))"),"")</f>
        <v/>
      </c>
      <c r="AD169" s="437" t="str">
        <f>IFERROR(__xludf.DUMMYFUNCTION("IF(NOT('portfólio'!$AV$7),"""",IF($T169="""","""",IFERROR(query({AtivosDados},""select sum(""&amp;AD$3&amp;"") where Col1='""&amp;$T169&amp;""' label sum(""&amp;AD$3&amp;"") ''""),0)))"),"")</f>
        <v/>
      </c>
      <c r="AE169" s="437"/>
      <c r="AF169" s="1327"/>
      <c r="AG169" s="437"/>
      <c r="AH169" s="437"/>
      <c r="AI169" s="437"/>
      <c r="AJ169" s="437"/>
      <c r="AK169" s="437"/>
      <c r="AL169" s="437"/>
      <c r="AM169" s="437"/>
      <c r="AN169" s="437"/>
      <c r="AO169" s="437"/>
      <c r="AP169" s="437"/>
      <c r="AQ169" s="1327"/>
      <c r="AR169" s="437"/>
      <c r="AS169" s="437"/>
      <c r="AT169" s="437"/>
      <c r="AU169" s="437"/>
      <c r="AV169" s="437"/>
      <c r="AW169" s="437"/>
      <c r="AX169" s="437"/>
      <c r="AY169" s="437"/>
      <c r="AZ169" s="437"/>
      <c r="BA169" s="437"/>
      <c r="BB169" s="1327"/>
      <c r="BC169" s="437"/>
      <c r="BD169" s="437"/>
      <c r="BE169" s="437"/>
      <c r="BF169" s="437"/>
      <c r="BG169" s="437"/>
      <c r="BH169" s="437"/>
      <c r="BI169" s="437"/>
      <c r="BJ169" s="437"/>
      <c r="BK169" s="437"/>
      <c r="BL169" s="437"/>
      <c r="BM169" s="1327"/>
      <c r="BN169" s="1327"/>
      <c r="BO169" s="1327"/>
      <c r="BP169" s="1327"/>
      <c r="BQ169" s="1327"/>
      <c r="BR169" s="1327"/>
      <c r="BS169" s="1327"/>
      <c r="BT169" s="1327"/>
      <c r="BU169" s="1327"/>
      <c r="BV169" s="1327"/>
      <c r="BW169" s="1327"/>
      <c r="BX169" s="1327"/>
      <c r="BY169" s="1327"/>
      <c r="BZ169" s="1327"/>
      <c r="CA169" s="1327"/>
      <c r="CB169" s="1327"/>
      <c r="CC169" s="1327"/>
      <c r="CD169" s="1327"/>
      <c r="CE169" s="1327"/>
      <c r="CF169" s="1327"/>
      <c r="CG169" s="1327"/>
      <c r="CH169" s="1327"/>
      <c r="CI169" s="1327"/>
      <c r="CJ169" s="1327"/>
      <c r="CK169" s="1327"/>
      <c r="CL169" s="1327"/>
      <c r="CM169" s="1327"/>
      <c r="CN169" s="1327"/>
      <c r="CO169" s="1327"/>
      <c r="CP169" s="1327"/>
      <c r="CQ169" s="1327"/>
      <c r="CR169" s="1327"/>
      <c r="CS169" s="1327"/>
      <c r="CT169" s="1317"/>
      <c r="CU169" s="1317"/>
      <c r="CV169" s="1317"/>
      <c r="CW169" s="1317"/>
      <c r="CX169" s="1317"/>
      <c r="CY169" s="1317"/>
      <c r="CZ169" s="1317"/>
      <c r="DA169" s="1317"/>
      <c r="DB169" s="1317"/>
      <c r="DC169" s="1317"/>
      <c r="DD169" s="1317"/>
      <c r="DE169" s="1317"/>
      <c r="DF169" s="1317"/>
      <c r="DG169" s="1317"/>
    </row>
    <row r="170" ht="18.75" customHeight="1">
      <c r="G170" s="1344"/>
      <c r="H170" s="1345">
        <f t="shared" si="4"/>
        <v>0</v>
      </c>
      <c r="I170" s="1381"/>
      <c r="J170" s="1381"/>
      <c r="K170" s="1381"/>
      <c r="L170" s="1381"/>
      <c r="M170" s="1381"/>
      <c r="N170" s="1381"/>
      <c r="O170" s="1381"/>
      <c r="P170" s="1381"/>
      <c r="Q170" s="1381"/>
      <c r="R170" s="1381"/>
      <c r="T170" s="1349"/>
      <c r="U170" s="1349" t="s">
        <v>123</v>
      </c>
      <c r="V170" s="1349" t="s">
        <v>123</v>
      </c>
      <c r="W170" s="1349"/>
      <c r="X170" s="1349"/>
      <c r="Y170" s="1308"/>
      <c r="Z170" s="437" t="str">
        <f>IFERROR(__xludf.DUMMYFUNCTION("IF(NOT('portfólio'!$AV$7),"""",IF($T170="""","""",IFERROR(query({AtivosDados},""select sum(""&amp;Z$3&amp;"") where Col1='""&amp;$T170&amp;""' label sum(""&amp;Z$3&amp;"") ''""),0)))"),"")</f>
        <v/>
      </c>
      <c r="AA170" s="437" t="str">
        <f>IFERROR(__xludf.DUMMYFUNCTION("IF(NOT('portfólio'!$AV$7),"""",IF($T170="""","""",IFERROR(query({AtivosDados},""select sum(""&amp;AA$3&amp;"") where Col1='""&amp;$T170&amp;""' label sum(""&amp;AA$3&amp;"") ''""),0)))"),"")</f>
        <v/>
      </c>
      <c r="AB170" s="437" t="str">
        <f>IFERROR(__xludf.DUMMYFUNCTION("IF(NOT('portfólio'!$AV$7),"""",IF($T170="""","""",IFERROR(query({AtivosDados},""select sum(""&amp;AB$3&amp;"") where Col1='""&amp;$T170&amp;""' label sum(""&amp;AB$3&amp;"") ''""),0)))"),"")</f>
        <v/>
      </c>
      <c r="AC170" s="437" t="str">
        <f>IFERROR(__xludf.DUMMYFUNCTION("IF(NOT('portfólio'!$AV$7),"""",IF($T170="""","""",IFERROR(query({AtivosDados},""select sum(""&amp;AC$3&amp;"") where Col1='""&amp;$T170&amp;""' label sum(""&amp;AC$3&amp;"") ''""),0)))"),"")</f>
        <v/>
      </c>
      <c r="AD170" s="437" t="str">
        <f>IFERROR(__xludf.DUMMYFUNCTION("IF(NOT('portfólio'!$AV$7),"""",IF($T170="""","""",IFERROR(query({AtivosDados},""select sum(""&amp;AD$3&amp;"") where Col1='""&amp;$T170&amp;""' label sum(""&amp;AD$3&amp;"") ''""),0)))"),"")</f>
        <v/>
      </c>
      <c r="AE170" s="437"/>
      <c r="AF170" s="1327"/>
      <c r="AG170" s="437"/>
      <c r="AH170" s="437"/>
      <c r="AI170" s="437"/>
      <c r="AJ170" s="437"/>
      <c r="AK170" s="437"/>
      <c r="AL170" s="437"/>
      <c r="AM170" s="437"/>
      <c r="AN170" s="437"/>
      <c r="AO170" s="437"/>
      <c r="AP170" s="437"/>
      <c r="AQ170" s="1327"/>
      <c r="AR170" s="437"/>
      <c r="AS170" s="437"/>
      <c r="AT170" s="437"/>
      <c r="AU170" s="437"/>
      <c r="AV170" s="437"/>
      <c r="AW170" s="437"/>
      <c r="AX170" s="437"/>
      <c r="AY170" s="437"/>
      <c r="AZ170" s="437"/>
      <c r="BA170" s="437"/>
      <c r="BB170" s="1327"/>
      <c r="BC170" s="437"/>
      <c r="BD170" s="437"/>
      <c r="BE170" s="437"/>
      <c r="BF170" s="437"/>
      <c r="BG170" s="437"/>
      <c r="BH170" s="437"/>
      <c r="BI170" s="437"/>
      <c r="BJ170" s="437"/>
      <c r="BK170" s="437"/>
      <c r="BL170" s="437"/>
      <c r="BM170" s="1327"/>
      <c r="BN170" s="1327"/>
      <c r="BO170" s="1327"/>
      <c r="BP170" s="1327"/>
      <c r="BQ170" s="1327"/>
      <c r="BR170" s="1327"/>
      <c r="BS170" s="1327"/>
      <c r="BT170" s="1327"/>
      <c r="BU170" s="1327"/>
      <c r="BV170" s="1327"/>
      <c r="BW170" s="1327"/>
      <c r="BX170" s="1327"/>
      <c r="BY170" s="1327"/>
      <c r="BZ170" s="1327"/>
      <c r="CA170" s="1327"/>
      <c r="CB170" s="1327"/>
      <c r="CC170" s="1327"/>
      <c r="CD170" s="1327"/>
      <c r="CE170" s="1327"/>
      <c r="CF170" s="1327"/>
      <c r="CG170" s="1327"/>
      <c r="CH170" s="1327"/>
      <c r="CI170" s="1327"/>
      <c r="CJ170" s="1327"/>
      <c r="CK170" s="1327"/>
      <c r="CL170" s="1327"/>
      <c r="CM170" s="1327"/>
      <c r="CN170" s="1327"/>
      <c r="CO170" s="1327"/>
      <c r="CP170" s="1327"/>
      <c r="CQ170" s="1327"/>
      <c r="CR170" s="1327"/>
      <c r="CS170" s="1327"/>
      <c r="CT170" s="1317"/>
      <c r="CU170" s="1317"/>
      <c r="CV170" s="1317"/>
      <c r="CW170" s="1317"/>
      <c r="CX170" s="1317"/>
      <c r="CY170" s="1317"/>
      <c r="CZ170" s="1317"/>
      <c r="DA170" s="1317"/>
      <c r="DB170" s="1317"/>
      <c r="DC170" s="1317"/>
      <c r="DD170" s="1317"/>
      <c r="DE170" s="1317"/>
      <c r="DF170" s="1317"/>
      <c r="DG170" s="1317"/>
    </row>
    <row r="171" ht="18.75" customHeight="1">
      <c r="G171" s="1344"/>
      <c r="H171" s="1345">
        <f t="shared" si="4"/>
        <v>0</v>
      </c>
      <c r="I171" s="1381"/>
      <c r="J171" s="1381"/>
      <c r="K171" s="1381"/>
      <c r="L171" s="1381"/>
      <c r="M171" s="1381"/>
      <c r="N171" s="1381"/>
      <c r="O171" s="1381"/>
      <c r="P171" s="1381"/>
      <c r="Q171" s="1381"/>
      <c r="R171" s="1381"/>
      <c r="T171" s="1349"/>
      <c r="U171" s="1349" t="s">
        <v>123</v>
      </c>
      <c r="V171" s="1349" t="s">
        <v>123</v>
      </c>
      <c r="W171" s="1349"/>
      <c r="X171" s="1349"/>
      <c r="Y171" s="1308"/>
      <c r="Z171" s="437" t="str">
        <f>IFERROR(__xludf.DUMMYFUNCTION("IF(NOT('portfólio'!$AV$7),"""",IF($T171="""","""",IFERROR(query({AtivosDados},""select sum(""&amp;Z$3&amp;"") where Col1='""&amp;$T171&amp;""' label sum(""&amp;Z$3&amp;"") ''""),0)))"),"")</f>
        <v/>
      </c>
      <c r="AA171" s="437" t="str">
        <f>IFERROR(__xludf.DUMMYFUNCTION("IF(NOT('portfólio'!$AV$7),"""",IF($T171="""","""",IFERROR(query({AtivosDados},""select sum(""&amp;AA$3&amp;"") where Col1='""&amp;$T171&amp;""' label sum(""&amp;AA$3&amp;"") ''""),0)))"),"")</f>
        <v/>
      </c>
      <c r="AB171" s="437" t="str">
        <f>IFERROR(__xludf.DUMMYFUNCTION("IF(NOT('portfólio'!$AV$7),"""",IF($T171="""","""",IFERROR(query({AtivosDados},""select sum(""&amp;AB$3&amp;"") where Col1='""&amp;$T171&amp;""' label sum(""&amp;AB$3&amp;"") ''""),0)))"),"")</f>
        <v/>
      </c>
      <c r="AC171" s="437" t="str">
        <f>IFERROR(__xludf.DUMMYFUNCTION("IF(NOT('portfólio'!$AV$7),"""",IF($T171="""","""",IFERROR(query({AtivosDados},""select sum(""&amp;AC$3&amp;"") where Col1='""&amp;$T171&amp;""' label sum(""&amp;AC$3&amp;"") ''""),0)))"),"")</f>
        <v/>
      </c>
      <c r="AD171" s="437" t="str">
        <f>IFERROR(__xludf.DUMMYFUNCTION("IF(NOT('portfólio'!$AV$7),"""",IF($T171="""","""",IFERROR(query({AtivosDados},""select sum(""&amp;AD$3&amp;"") where Col1='""&amp;$T171&amp;""' label sum(""&amp;AD$3&amp;"") ''""),0)))"),"")</f>
        <v/>
      </c>
      <c r="AE171" s="437"/>
      <c r="AF171" s="1327"/>
      <c r="AG171" s="437"/>
      <c r="AH171" s="437"/>
      <c r="AI171" s="437"/>
      <c r="AJ171" s="437"/>
      <c r="AK171" s="437"/>
      <c r="AL171" s="437"/>
      <c r="AM171" s="437"/>
      <c r="AN171" s="437"/>
      <c r="AO171" s="437"/>
      <c r="AP171" s="437"/>
      <c r="AQ171" s="1327"/>
      <c r="AR171" s="437"/>
      <c r="AS171" s="437"/>
      <c r="AT171" s="437"/>
      <c r="AU171" s="437"/>
      <c r="AV171" s="437"/>
      <c r="AW171" s="437"/>
      <c r="AX171" s="437"/>
      <c r="AY171" s="437"/>
      <c r="AZ171" s="437"/>
      <c r="BA171" s="437"/>
      <c r="BB171" s="1327"/>
      <c r="BC171" s="437"/>
      <c r="BD171" s="437"/>
      <c r="BE171" s="437"/>
      <c r="BF171" s="437"/>
      <c r="BG171" s="437"/>
      <c r="BH171" s="437"/>
      <c r="BI171" s="437"/>
      <c r="BJ171" s="437"/>
      <c r="BK171" s="437"/>
      <c r="BL171" s="437"/>
      <c r="BM171" s="1327"/>
      <c r="BN171" s="1327"/>
      <c r="BO171" s="1327"/>
      <c r="BP171" s="1327"/>
      <c r="BQ171" s="1327"/>
      <c r="BR171" s="1327"/>
      <c r="BS171" s="1327"/>
      <c r="BT171" s="1327"/>
      <c r="BU171" s="1327"/>
      <c r="BV171" s="1327"/>
      <c r="BW171" s="1327"/>
      <c r="BX171" s="1327"/>
      <c r="BY171" s="1327"/>
      <c r="BZ171" s="1327"/>
      <c r="CA171" s="1327"/>
      <c r="CB171" s="1327"/>
      <c r="CC171" s="1327"/>
      <c r="CD171" s="1327"/>
      <c r="CE171" s="1327"/>
      <c r="CF171" s="1327"/>
      <c r="CG171" s="1327"/>
      <c r="CH171" s="1327"/>
      <c r="CI171" s="1327"/>
      <c r="CJ171" s="1327"/>
      <c r="CK171" s="1327"/>
      <c r="CL171" s="1327"/>
      <c r="CM171" s="1327"/>
      <c r="CN171" s="1327"/>
      <c r="CO171" s="1327"/>
      <c r="CP171" s="1327"/>
      <c r="CQ171" s="1327"/>
      <c r="CR171" s="1327"/>
      <c r="CS171" s="1327"/>
      <c r="CT171" s="1317"/>
      <c r="CU171" s="1317"/>
      <c r="CV171" s="1317"/>
      <c r="CW171" s="1317"/>
      <c r="CX171" s="1317"/>
      <c r="CY171" s="1317"/>
      <c r="CZ171" s="1317"/>
      <c r="DA171" s="1317"/>
      <c r="DB171" s="1317"/>
      <c r="DC171" s="1317"/>
      <c r="DD171" s="1317"/>
      <c r="DE171" s="1317"/>
      <c r="DF171" s="1317"/>
      <c r="DG171" s="1317"/>
    </row>
    <row r="172" ht="18.75" customHeight="1">
      <c r="G172" s="1344"/>
      <c r="H172" s="1345">
        <f t="shared" si="4"/>
        <v>0</v>
      </c>
      <c r="I172" s="1381"/>
      <c r="J172" s="1381"/>
      <c r="K172" s="1381"/>
      <c r="L172" s="1381"/>
      <c r="M172" s="1381"/>
      <c r="N172" s="1381"/>
      <c r="O172" s="1381"/>
      <c r="P172" s="1381"/>
      <c r="Q172" s="1381"/>
      <c r="R172" s="1381"/>
      <c r="T172" s="1349"/>
      <c r="U172" s="1349" t="s">
        <v>123</v>
      </c>
      <c r="V172" s="1349" t="s">
        <v>123</v>
      </c>
      <c r="W172" s="1349"/>
      <c r="X172" s="1349"/>
      <c r="Y172" s="1308"/>
      <c r="Z172" s="437" t="str">
        <f>IFERROR(__xludf.DUMMYFUNCTION("IF(NOT('portfólio'!$AV$7),"""",IF($T172="""","""",IFERROR(query({AtivosDados},""select sum(""&amp;Z$3&amp;"") where Col1='""&amp;$T172&amp;""' label sum(""&amp;Z$3&amp;"") ''""),0)))"),"")</f>
        <v/>
      </c>
      <c r="AA172" s="437" t="str">
        <f>IFERROR(__xludf.DUMMYFUNCTION("IF(NOT('portfólio'!$AV$7),"""",IF($T172="""","""",IFERROR(query({AtivosDados},""select sum(""&amp;AA$3&amp;"") where Col1='""&amp;$T172&amp;""' label sum(""&amp;AA$3&amp;"") ''""),0)))"),"")</f>
        <v/>
      </c>
      <c r="AB172" s="437" t="str">
        <f>IFERROR(__xludf.DUMMYFUNCTION("IF(NOT('portfólio'!$AV$7),"""",IF($T172="""","""",IFERROR(query({AtivosDados},""select sum(""&amp;AB$3&amp;"") where Col1='""&amp;$T172&amp;""' label sum(""&amp;AB$3&amp;"") ''""),0)))"),"")</f>
        <v/>
      </c>
      <c r="AC172" s="437" t="str">
        <f>IFERROR(__xludf.DUMMYFUNCTION("IF(NOT('portfólio'!$AV$7),"""",IF($T172="""","""",IFERROR(query({AtivosDados},""select sum(""&amp;AC$3&amp;"") where Col1='""&amp;$T172&amp;""' label sum(""&amp;AC$3&amp;"") ''""),0)))"),"")</f>
        <v/>
      </c>
      <c r="AD172" s="437" t="str">
        <f>IFERROR(__xludf.DUMMYFUNCTION("IF(NOT('portfólio'!$AV$7),"""",IF($T172="""","""",IFERROR(query({AtivosDados},""select sum(""&amp;AD$3&amp;"") where Col1='""&amp;$T172&amp;""' label sum(""&amp;AD$3&amp;"") ''""),0)))"),"")</f>
        <v/>
      </c>
      <c r="AE172" s="437"/>
      <c r="AF172" s="1327"/>
      <c r="AG172" s="437"/>
      <c r="AH172" s="437"/>
      <c r="AI172" s="437"/>
      <c r="AJ172" s="437"/>
      <c r="AK172" s="437"/>
      <c r="AL172" s="437"/>
      <c r="AM172" s="437"/>
      <c r="AN172" s="437"/>
      <c r="AO172" s="437"/>
      <c r="AP172" s="437"/>
      <c r="AQ172" s="1327"/>
      <c r="AR172" s="437"/>
      <c r="AS172" s="437"/>
      <c r="AT172" s="437"/>
      <c r="AU172" s="437"/>
      <c r="AV172" s="437"/>
      <c r="AW172" s="437"/>
      <c r="AX172" s="437"/>
      <c r="AY172" s="437"/>
      <c r="AZ172" s="437"/>
      <c r="BA172" s="437"/>
      <c r="BB172" s="1327"/>
      <c r="BC172" s="437"/>
      <c r="BD172" s="437"/>
      <c r="BE172" s="437"/>
      <c r="BF172" s="437"/>
      <c r="BG172" s="437"/>
      <c r="BH172" s="437"/>
      <c r="BI172" s="437"/>
      <c r="BJ172" s="437"/>
      <c r="BK172" s="437"/>
      <c r="BL172" s="437"/>
      <c r="BM172" s="1327"/>
      <c r="BN172" s="1327"/>
      <c r="BO172" s="1327"/>
      <c r="BP172" s="1327"/>
      <c r="BQ172" s="1327"/>
      <c r="BR172" s="1327"/>
      <c r="BS172" s="1327"/>
      <c r="BT172" s="1327"/>
      <c r="BU172" s="1327"/>
      <c r="BV172" s="1327"/>
      <c r="BW172" s="1327"/>
      <c r="BX172" s="1327"/>
      <c r="BY172" s="1327"/>
      <c r="BZ172" s="1327"/>
      <c r="CA172" s="1327"/>
      <c r="CB172" s="1327"/>
      <c r="CC172" s="1327"/>
      <c r="CD172" s="1327"/>
      <c r="CE172" s="1327"/>
      <c r="CF172" s="1327"/>
      <c r="CG172" s="1327"/>
      <c r="CH172" s="1327"/>
      <c r="CI172" s="1327"/>
      <c r="CJ172" s="1327"/>
      <c r="CK172" s="1327"/>
      <c r="CL172" s="1327"/>
      <c r="CM172" s="1327"/>
      <c r="CN172" s="1327"/>
      <c r="CO172" s="1327"/>
      <c r="CP172" s="1327"/>
      <c r="CQ172" s="1327"/>
      <c r="CR172" s="1327"/>
      <c r="CS172" s="1327"/>
      <c r="CT172" s="1317"/>
      <c r="CU172" s="1317"/>
      <c r="CV172" s="1317"/>
      <c r="CW172" s="1317"/>
      <c r="CX172" s="1317"/>
      <c r="CY172" s="1317"/>
      <c r="CZ172" s="1317"/>
      <c r="DA172" s="1317"/>
      <c r="DB172" s="1317"/>
      <c r="DC172" s="1317"/>
      <c r="DD172" s="1317"/>
      <c r="DE172" s="1317"/>
      <c r="DF172" s="1317"/>
      <c r="DG172" s="1317"/>
    </row>
    <row r="173" ht="18.75" customHeight="1">
      <c r="G173" s="1344"/>
      <c r="H173" s="1345">
        <f t="shared" si="4"/>
        <v>0</v>
      </c>
      <c r="I173" s="1381"/>
      <c r="J173" s="1381"/>
      <c r="K173" s="1381"/>
      <c r="L173" s="1381"/>
      <c r="M173" s="1381"/>
      <c r="N173" s="1381"/>
      <c r="O173" s="1381"/>
      <c r="P173" s="1381"/>
      <c r="Q173" s="1381"/>
      <c r="R173" s="1381"/>
      <c r="T173" s="1349"/>
      <c r="U173" s="1349" t="s">
        <v>123</v>
      </c>
      <c r="V173" s="1349" t="s">
        <v>123</v>
      </c>
      <c r="W173" s="1349"/>
      <c r="X173" s="1349"/>
      <c r="Y173" s="1308"/>
      <c r="Z173" s="437" t="str">
        <f>IFERROR(__xludf.DUMMYFUNCTION("IF(NOT('portfólio'!$AV$7),"""",IF($T173="""","""",IFERROR(query({AtivosDados},""select sum(""&amp;Z$3&amp;"") where Col1='""&amp;$T173&amp;""' label sum(""&amp;Z$3&amp;"") ''""),0)))"),"")</f>
        <v/>
      </c>
      <c r="AA173" s="437" t="str">
        <f>IFERROR(__xludf.DUMMYFUNCTION("IF(NOT('portfólio'!$AV$7),"""",IF($T173="""","""",IFERROR(query({AtivosDados},""select sum(""&amp;AA$3&amp;"") where Col1='""&amp;$T173&amp;""' label sum(""&amp;AA$3&amp;"") ''""),0)))"),"")</f>
        <v/>
      </c>
      <c r="AB173" s="437" t="str">
        <f>IFERROR(__xludf.DUMMYFUNCTION("IF(NOT('portfólio'!$AV$7),"""",IF($T173="""","""",IFERROR(query({AtivosDados},""select sum(""&amp;AB$3&amp;"") where Col1='""&amp;$T173&amp;""' label sum(""&amp;AB$3&amp;"") ''""),0)))"),"")</f>
        <v/>
      </c>
      <c r="AC173" s="437" t="str">
        <f>IFERROR(__xludf.DUMMYFUNCTION("IF(NOT('portfólio'!$AV$7),"""",IF($T173="""","""",IFERROR(query({AtivosDados},""select sum(""&amp;AC$3&amp;"") where Col1='""&amp;$T173&amp;""' label sum(""&amp;AC$3&amp;"") ''""),0)))"),"")</f>
        <v/>
      </c>
      <c r="AD173" s="437" t="str">
        <f>IFERROR(__xludf.DUMMYFUNCTION("IF(NOT('portfólio'!$AV$7),"""",IF($T173="""","""",IFERROR(query({AtivosDados},""select sum(""&amp;AD$3&amp;"") where Col1='""&amp;$T173&amp;""' label sum(""&amp;AD$3&amp;"") ''""),0)))"),"")</f>
        <v/>
      </c>
      <c r="AE173" s="437"/>
      <c r="AF173" s="1327"/>
      <c r="AG173" s="437"/>
      <c r="AH173" s="437"/>
      <c r="AI173" s="437"/>
      <c r="AJ173" s="437"/>
      <c r="AK173" s="437"/>
      <c r="AL173" s="437"/>
      <c r="AM173" s="437"/>
      <c r="AN173" s="437"/>
      <c r="AO173" s="437"/>
      <c r="AP173" s="437"/>
      <c r="AQ173" s="1327"/>
      <c r="AR173" s="437"/>
      <c r="AS173" s="437"/>
      <c r="AT173" s="437"/>
      <c r="AU173" s="437"/>
      <c r="AV173" s="437"/>
      <c r="AW173" s="437"/>
      <c r="AX173" s="437"/>
      <c r="AY173" s="437"/>
      <c r="AZ173" s="437"/>
      <c r="BA173" s="437"/>
      <c r="BB173" s="1327"/>
      <c r="BC173" s="437"/>
      <c r="BD173" s="437"/>
      <c r="BE173" s="437"/>
      <c r="BF173" s="437"/>
      <c r="BG173" s="437"/>
      <c r="BH173" s="437"/>
      <c r="BI173" s="437"/>
      <c r="BJ173" s="437"/>
      <c r="BK173" s="437"/>
      <c r="BL173" s="437"/>
      <c r="BM173" s="1327"/>
      <c r="BN173" s="1327"/>
      <c r="BO173" s="1327"/>
      <c r="BP173" s="1327"/>
      <c r="BQ173" s="1327"/>
      <c r="BR173" s="1327"/>
      <c r="BS173" s="1327"/>
      <c r="BT173" s="1327"/>
      <c r="BU173" s="1327"/>
      <c r="BV173" s="1327"/>
      <c r="BW173" s="1327"/>
      <c r="BX173" s="1327"/>
      <c r="BY173" s="1327"/>
      <c r="BZ173" s="1327"/>
      <c r="CA173" s="1327"/>
      <c r="CB173" s="1327"/>
      <c r="CC173" s="1327"/>
      <c r="CD173" s="1327"/>
      <c r="CE173" s="1327"/>
      <c r="CF173" s="1327"/>
      <c r="CG173" s="1327"/>
      <c r="CH173" s="1327"/>
      <c r="CI173" s="1327"/>
      <c r="CJ173" s="1327"/>
      <c r="CK173" s="1327"/>
      <c r="CL173" s="1327"/>
      <c r="CM173" s="1327"/>
      <c r="CN173" s="1327"/>
      <c r="CO173" s="1327"/>
      <c r="CP173" s="1327"/>
      <c r="CQ173" s="1327"/>
      <c r="CR173" s="1327"/>
      <c r="CS173" s="1327"/>
      <c r="CT173" s="1317"/>
      <c r="CU173" s="1317"/>
      <c r="CV173" s="1317"/>
      <c r="CW173" s="1317"/>
      <c r="CX173" s="1317"/>
      <c r="CY173" s="1317"/>
      <c r="CZ173" s="1317"/>
      <c r="DA173" s="1317"/>
      <c r="DB173" s="1317"/>
      <c r="DC173" s="1317"/>
      <c r="DD173" s="1317"/>
      <c r="DE173" s="1317"/>
      <c r="DF173" s="1317"/>
      <c r="DG173" s="1317"/>
    </row>
    <row r="174" ht="18.75" customHeight="1">
      <c r="G174" s="1344"/>
      <c r="H174" s="1345">
        <f t="shared" si="4"/>
        <v>0</v>
      </c>
      <c r="I174" s="1381"/>
      <c r="J174" s="1381"/>
      <c r="K174" s="1381"/>
      <c r="L174" s="1381"/>
      <c r="M174" s="1381"/>
      <c r="N174" s="1381"/>
      <c r="O174" s="1381"/>
      <c r="P174" s="1381"/>
      <c r="Q174" s="1381"/>
      <c r="R174" s="1381"/>
      <c r="T174" s="1349"/>
      <c r="U174" s="1349" t="s">
        <v>123</v>
      </c>
      <c r="V174" s="1349" t="s">
        <v>123</v>
      </c>
      <c r="W174" s="1349"/>
      <c r="X174" s="1349"/>
      <c r="Y174" s="1308"/>
      <c r="Z174" s="437" t="str">
        <f>IFERROR(__xludf.DUMMYFUNCTION("IF(NOT('portfólio'!$AV$7),"""",IF($T174="""","""",IFERROR(query({AtivosDados},""select sum(""&amp;Z$3&amp;"") where Col1='""&amp;$T174&amp;""' label sum(""&amp;Z$3&amp;"") ''""),0)))"),"")</f>
        <v/>
      </c>
      <c r="AA174" s="437" t="str">
        <f>IFERROR(__xludf.DUMMYFUNCTION("IF(NOT('portfólio'!$AV$7),"""",IF($T174="""","""",IFERROR(query({AtivosDados},""select sum(""&amp;AA$3&amp;"") where Col1='""&amp;$T174&amp;""' label sum(""&amp;AA$3&amp;"") ''""),0)))"),"")</f>
        <v/>
      </c>
      <c r="AB174" s="437" t="str">
        <f>IFERROR(__xludf.DUMMYFUNCTION("IF(NOT('portfólio'!$AV$7),"""",IF($T174="""","""",IFERROR(query({AtivosDados},""select sum(""&amp;AB$3&amp;"") where Col1='""&amp;$T174&amp;""' label sum(""&amp;AB$3&amp;"") ''""),0)))"),"")</f>
        <v/>
      </c>
      <c r="AC174" s="437" t="str">
        <f>IFERROR(__xludf.DUMMYFUNCTION("IF(NOT('portfólio'!$AV$7),"""",IF($T174="""","""",IFERROR(query({AtivosDados},""select sum(""&amp;AC$3&amp;"") where Col1='""&amp;$T174&amp;""' label sum(""&amp;AC$3&amp;"") ''""),0)))"),"")</f>
        <v/>
      </c>
      <c r="AD174" s="437" t="str">
        <f>IFERROR(__xludf.DUMMYFUNCTION("IF(NOT('portfólio'!$AV$7),"""",IF($T174="""","""",IFERROR(query({AtivosDados},""select sum(""&amp;AD$3&amp;"") where Col1='""&amp;$T174&amp;""' label sum(""&amp;AD$3&amp;"") ''""),0)))"),"")</f>
        <v/>
      </c>
      <c r="AE174" s="437"/>
      <c r="AF174" s="1327"/>
      <c r="AG174" s="437"/>
      <c r="AH174" s="437"/>
      <c r="AI174" s="437"/>
      <c r="AJ174" s="437"/>
      <c r="AK174" s="437"/>
      <c r="AL174" s="437"/>
      <c r="AM174" s="437"/>
      <c r="AN174" s="437"/>
      <c r="AO174" s="437"/>
      <c r="AP174" s="437"/>
      <c r="AQ174" s="1327"/>
      <c r="AR174" s="437"/>
      <c r="AS174" s="437"/>
      <c r="AT174" s="437"/>
      <c r="AU174" s="437"/>
      <c r="AV174" s="437"/>
      <c r="AW174" s="437"/>
      <c r="AX174" s="437"/>
      <c r="AY174" s="437"/>
      <c r="AZ174" s="437"/>
      <c r="BA174" s="437"/>
      <c r="BB174" s="1327"/>
      <c r="BC174" s="437"/>
      <c r="BD174" s="437"/>
      <c r="BE174" s="437"/>
      <c r="BF174" s="437"/>
      <c r="BG174" s="437"/>
      <c r="BH174" s="437"/>
      <c r="BI174" s="437"/>
      <c r="BJ174" s="437"/>
      <c r="BK174" s="437"/>
      <c r="BL174" s="437"/>
      <c r="BM174" s="1327"/>
      <c r="BN174" s="1327"/>
      <c r="BO174" s="1327"/>
      <c r="BP174" s="1327"/>
      <c r="BQ174" s="1327"/>
      <c r="BR174" s="1327"/>
      <c r="BS174" s="1327"/>
      <c r="BT174" s="1327"/>
      <c r="BU174" s="1327"/>
      <c r="BV174" s="1327"/>
      <c r="BW174" s="1327"/>
      <c r="BX174" s="1327"/>
      <c r="BY174" s="1327"/>
      <c r="BZ174" s="1327"/>
      <c r="CA174" s="1327"/>
      <c r="CB174" s="1327"/>
      <c r="CC174" s="1327"/>
      <c r="CD174" s="1327"/>
      <c r="CE174" s="1327"/>
      <c r="CF174" s="1327"/>
      <c r="CG174" s="1327"/>
      <c r="CH174" s="1327"/>
      <c r="CI174" s="1327"/>
      <c r="CJ174" s="1327"/>
      <c r="CK174" s="1327"/>
      <c r="CL174" s="1327"/>
      <c r="CM174" s="1327"/>
      <c r="CN174" s="1327"/>
      <c r="CO174" s="1327"/>
      <c r="CP174" s="1327"/>
      <c r="CQ174" s="1327"/>
      <c r="CR174" s="1327"/>
      <c r="CS174" s="1327"/>
      <c r="CT174" s="1317"/>
      <c r="CU174" s="1317"/>
      <c r="CV174" s="1317"/>
      <c r="CW174" s="1317"/>
      <c r="CX174" s="1317"/>
      <c r="CY174" s="1317"/>
      <c r="CZ174" s="1317"/>
      <c r="DA174" s="1317"/>
      <c r="DB174" s="1317"/>
      <c r="DC174" s="1317"/>
      <c r="DD174" s="1317"/>
      <c r="DE174" s="1317"/>
      <c r="DF174" s="1317"/>
      <c r="DG174" s="1317"/>
    </row>
    <row r="175" ht="18.75" customHeight="1">
      <c r="G175" s="1344"/>
      <c r="H175" s="1345">
        <f t="shared" si="4"/>
        <v>0</v>
      </c>
      <c r="I175" s="1381"/>
      <c r="J175" s="1381"/>
      <c r="K175" s="1381"/>
      <c r="L175" s="1381"/>
      <c r="M175" s="1381"/>
      <c r="N175" s="1381"/>
      <c r="O175" s="1381"/>
      <c r="P175" s="1381"/>
      <c r="Q175" s="1381"/>
      <c r="R175" s="1381"/>
      <c r="T175" s="1349"/>
      <c r="U175" s="1349" t="s">
        <v>123</v>
      </c>
      <c r="V175" s="1349" t="s">
        <v>123</v>
      </c>
      <c r="W175" s="1349"/>
      <c r="X175" s="1349"/>
      <c r="Y175" s="1308"/>
      <c r="Z175" s="437" t="str">
        <f>IFERROR(__xludf.DUMMYFUNCTION("IF(NOT('portfólio'!$AV$7),"""",IF($T175="""","""",IFERROR(query({AtivosDados},""select sum(""&amp;Z$3&amp;"") where Col1='""&amp;$T175&amp;""' label sum(""&amp;Z$3&amp;"") ''""),0)))"),"")</f>
        <v/>
      </c>
      <c r="AA175" s="437" t="str">
        <f>IFERROR(__xludf.DUMMYFUNCTION("IF(NOT('portfólio'!$AV$7),"""",IF($T175="""","""",IFERROR(query({AtivosDados},""select sum(""&amp;AA$3&amp;"") where Col1='""&amp;$T175&amp;""' label sum(""&amp;AA$3&amp;"") ''""),0)))"),"")</f>
        <v/>
      </c>
      <c r="AB175" s="437" t="str">
        <f>IFERROR(__xludf.DUMMYFUNCTION("IF(NOT('portfólio'!$AV$7),"""",IF($T175="""","""",IFERROR(query({AtivosDados},""select sum(""&amp;AB$3&amp;"") where Col1='""&amp;$T175&amp;""' label sum(""&amp;AB$3&amp;"") ''""),0)))"),"")</f>
        <v/>
      </c>
      <c r="AC175" s="437" t="str">
        <f>IFERROR(__xludf.DUMMYFUNCTION("IF(NOT('portfólio'!$AV$7),"""",IF($T175="""","""",IFERROR(query({AtivosDados},""select sum(""&amp;AC$3&amp;"") where Col1='""&amp;$T175&amp;""' label sum(""&amp;AC$3&amp;"") ''""),0)))"),"")</f>
        <v/>
      </c>
      <c r="AD175" s="437" t="str">
        <f>IFERROR(__xludf.DUMMYFUNCTION("IF(NOT('portfólio'!$AV$7),"""",IF($T175="""","""",IFERROR(query({AtivosDados},""select sum(""&amp;AD$3&amp;"") where Col1='""&amp;$T175&amp;""' label sum(""&amp;AD$3&amp;"") ''""),0)))"),"")</f>
        <v/>
      </c>
      <c r="AE175" s="437"/>
      <c r="AF175" s="1327"/>
      <c r="AG175" s="437"/>
      <c r="AH175" s="437"/>
      <c r="AI175" s="437"/>
      <c r="AJ175" s="437"/>
      <c r="AK175" s="437"/>
      <c r="AL175" s="437"/>
      <c r="AM175" s="437"/>
      <c r="AN175" s="437"/>
      <c r="AO175" s="437"/>
      <c r="AP175" s="437"/>
      <c r="AQ175" s="1327"/>
      <c r="AR175" s="437"/>
      <c r="AS175" s="437"/>
      <c r="AT175" s="437"/>
      <c r="AU175" s="437"/>
      <c r="AV175" s="437"/>
      <c r="AW175" s="437"/>
      <c r="AX175" s="437"/>
      <c r="AY175" s="437"/>
      <c r="AZ175" s="437"/>
      <c r="BA175" s="437"/>
      <c r="BB175" s="1327"/>
      <c r="BC175" s="437"/>
      <c r="BD175" s="437"/>
      <c r="BE175" s="437"/>
      <c r="BF175" s="437"/>
      <c r="BG175" s="437"/>
      <c r="BH175" s="437"/>
      <c r="BI175" s="437"/>
      <c r="BJ175" s="437"/>
      <c r="BK175" s="437"/>
      <c r="BL175" s="437"/>
      <c r="BM175" s="1327"/>
      <c r="BN175" s="1327"/>
      <c r="BO175" s="1327"/>
      <c r="BP175" s="1327"/>
      <c r="BQ175" s="1327"/>
      <c r="BR175" s="1327"/>
      <c r="BS175" s="1327"/>
      <c r="BT175" s="1327"/>
      <c r="BU175" s="1327"/>
      <c r="BV175" s="1327"/>
      <c r="BW175" s="1327"/>
      <c r="BX175" s="1327"/>
      <c r="BY175" s="1327"/>
      <c r="BZ175" s="1327"/>
      <c r="CA175" s="1327"/>
      <c r="CB175" s="1327"/>
      <c r="CC175" s="1327"/>
      <c r="CD175" s="1327"/>
      <c r="CE175" s="1327"/>
      <c r="CF175" s="1327"/>
      <c r="CG175" s="1327"/>
      <c r="CH175" s="1327"/>
      <c r="CI175" s="1327"/>
      <c r="CJ175" s="1327"/>
      <c r="CK175" s="1327"/>
      <c r="CL175" s="1327"/>
      <c r="CM175" s="1327"/>
      <c r="CN175" s="1327"/>
      <c r="CO175" s="1327"/>
      <c r="CP175" s="1327"/>
      <c r="CQ175" s="1327"/>
      <c r="CR175" s="1327"/>
      <c r="CS175" s="1327"/>
      <c r="CT175" s="1317"/>
      <c r="CU175" s="1317"/>
      <c r="CV175" s="1317"/>
      <c r="CW175" s="1317"/>
      <c r="CX175" s="1317"/>
      <c r="CY175" s="1317"/>
      <c r="CZ175" s="1317"/>
      <c r="DA175" s="1317"/>
      <c r="DB175" s="1317"/>
      <c r="DC175" s="1317"/>
      <c r="DD175" s="1317"/>
      <c r="DE175" s="1317"/>
      <c r="DF175" s="1317"/>
      <c r="DG175" s="1317"/>
    </row>
    <row r="176" ht="18.75" customHeight="1">
      <c r="G176" s="1344"/>
      <c r="H176" s="1345">
        <f t="shared" si="4"/>
        <v>0</v>
      </c>
      <c r="I176" s="1381"/>
      <c r="J176" s="1381"/>
      <c r="K176" s="1381"/>
      <c r="L176" s="1381"/>
      <c r="M176" s="1381"/>
      <c r="N176" s="1381"/>
      <c r="O176" s="1381"/>
      <c r="P176" s="1381"/>
      <c r="Q176" s="1381"/>
      <c r="R176" s="1381"/>
      <c r="T176" s="1349"/>
      <c r="U176" s="1349" t="s">
        <v>123</v>
      </c>
      <c r="V176" s="1349" t="s">
        <v>123</v>
      </c>
      <c r="W176" s="1349"/>
      <c r="X176" s="1349"/>
      <c r="Y176" s="1308"/>
      <c r="Z176" s="437" t="str">
        <f>IFERROR(__xludf.DUMMYFUNCTION("IF(NOT('portfólio'!$AV$7),"""",IF($T176="""","""",IFERROR(query({AtivosDados},""select sum(""&amp;Z$3&amp;"") where Col1='""&amp;$T176&amp;""' label sum(""&amp;Z$3&amp;"") ''""),0)))"),"")</f>
        <v/>
      </c>
      <c r="AA176" s="437" t="str">
        <f>IFERROR(__xludf.DUMMYFUNCTION("IF(NOT('portfólio'!$AV$7),"""",IF($T176="""","""",IFERROR(query({AtivosDados},""select sum(""&amp;AA$3&amp;"") where Col1='""&amp;$T176&amp;""' label sum(""&amp;AA$3&amp;"") ''""),0)))"),"")</f>
        <v/>
      </c>
      <c r="AB176" s="437" t="str">
        <f>IFERROR(__xludf.DUMMYFUNCTION("IF(NOT('portfólio'!$AV$7),"""",IF($T176="""","""",IFERROR(query({AtivosDados},""select sum(""&amp;AB$3&amp;"") where Col1='""&amp;$T176&amp;""' label sum(""&amp;AB$3&amp;"") ''""),0)))"),"")</f>
        <v/>
      </c>
      <c r="AC176" s="437" t="str">
        <f>IFERROR(__xludf.DUMMYFUNCTION("IF(NOT('portfólio'!$AV$7),"""",IF($T176="""","""",IFERROR(query({AtivosDados},""select sum(""&amp;AC$3&amp;"") where Col1='""&amp;$T176&amp;""' label sum(""&amp;AC$3&amp;"") ''""),0)))"),"")</f>
        <v/>
      </c>
      <c r="AD176" s="437" t="str">
        <f>IFERROR(__xludf.DUMMYFUNCTION("IF(NOT('portfólio'!$AV$7),"""",IF($T176="""","""",IFERROR(query({AtivosDados},""select sum(""&amp;AD$3&amp;"") where Col1='""&amp;$T176&amp;""' label sum(""&amp;AD$3&amp;"") ''""),0)))"),"")</f>
        <v/>
      </c>
      <c r="AE176" s="437"/>
      <c r="AF176" s="1327"/>
      <c r="AG176" s="437"/>
      <c r="AH176" s="437"/>
      <c r="AI176" s="437"/>
      <c r="AJ176" s="437"/>
      <c r="AK176" s="437"/>
      <c r="AL176" s="437"/>
      <c r="AM176" s="437"/>
      <c r="AN176" s="437"/>
      <c r="AO176" s="437"/>
      <c r="AP176" s="437"/>
      <c r="AQ176" s="1327"/>
      <c r="AR176" s="437"/>
      <c r="AS176" s="437"/>
      <c r="AT176" s="437"/>
      <c r="AU176" s="437"/>
      <c r="AV176" s="437"/>
      <c r="AW176" s="437"/>
      <c r="AX176" s="437"/>
      <c r="AY176" s="437"/>
      <c r="AZ176" s="437"/>
      <c r="BA176" s="437"/>
      <c r="BB176" s="1327"/>
      <c r="BC176" s="437"/>
      <c r="BD176" s="437"/>
      <c r="BE176" s="437"/>
      <c r="BF176" s="437"/>
      <c r="BG176" s="437"/>
      <c r="BH176" s="437"/>
      <c r="BI176" s="437"/>
      <c r="BJ176" s="437"/>
      <c r="BK176" s="437"/>
      <c r="BL176" s="437"/>
      <c r="BM176" s="1327"/>
      <c r="BN176" s="1327"/>
      <c r="BO176" s="1327"/>
      <c r="BP176" s="1327"/>
      <c r="BQ176" s="1327"/>
      <c r="BR176" s="1327"/>
      <c r="BS176" s="1327"/>
      <c r="BT176" s="1327"/>
      <c r="BU176" s="1327"/>
      <c r="BV176" s="1327"/>
      <c r="BW176" s="1327"/>
      <c r="BX176" s="1327"/>
      <c r="BY176" s="1327"/>
      <c r="BZ176" s="1327"/>
      <c r="CA176" s="1327"/>
      <c r="CB176" s="1327"/>
      <c r="CC176" s="1327"/>
      <c r="CD176" s="1327"/>
      <c r="CE176" s="1327"/>
      <c r="CF176" s="1327"/>
      <c r="CG176" s="1327"/>
      <c r="CH176" s="1327"/>
      <c r="CI176" s="1327"/>
      <c r="CJ176" s="1327"/>
      <c r="CK176" s="1327"/>
      <c r="CL176" s="1327"/>
      <c r="CM176" s="1327"/>
      <c r="CN176" s="1327"/>
      <c r="CO176" s="1327"/>
      <c r="CP176" s="1327"/>
      <c r="CQ176" s="1327"/>
      <c r="CR176" s="1327"/>
      <c r="CS176" s="1327"/>
      <c r="CT176" s="1317"/>
      <c r="CU176" s="1317"/>
      <c r="CV176" s="1317"/>
      <c r="CW176" s="1317"/>
      <c r="CX176" s="1317"/>
      <c r="CY176" s="1317"/>
      <c r="CZ176" s="1317"/>
      <c r="DA176" s="1317"/>
      <c r="DB176" s="1317"/>
      <c r="DC176" s="1317"/>
      <c r="DD176" s="1317"/>
      <c r="DE176" s="1317"/>
      <c r="DF176" s="1317"/>
      <c r="DG176" s="1317"/>
    </row>
    <row r="177" ht="18.75" customHeight="1">
      <c r="G177" s="1344"/>
      <c r="H177" s="1345">
        <f t="shared" si="4"/>
        <v>0</v>
      </c>
      <c r="I177" s="1381"/>
      <c r="J177" s="1381"/>
      <c r="K177" s="1381"/>
      <c r="L177" s="1381"/>
      <c r="M177" s="1381"/>
      <c r="N177" s="1381"/>
      <c r="O177" s="1381"/>
      <c r="P177" s="1381"/>
      <c r="Q177" s="1381"/>
      <c r="R177" s="1381"/>
      <c r="T177" s="1349"/>
      <c r="U177" s="1349" t="s">
        <v>123</v>
      </c>
      <c r="V177" s="1349" t="s">
        <v>123</v>
      </c>
      <c r="W177" s="1349"/>
      <c r="X177" s="1349"/>
      <c r="Y177" s="1308"/>
      <c r="Z177" s="437" t="str">
        <f>IFERROR(__xludf.DUMMYFUNCTION("IF(NOT('portfólio'!$AV$7),"""",IF($T177="""","""",IFERROR(query({AtivosDados},""select sum(""&amp;Z$3&amp;"") where Col1='""&amp;$T177&amp;""' label sum(""&amp;Z$3&amp;"") ''""),0)))"),"")</f>
        <v/>
      </c>
      <c r="AA177" s="437" t="str">
        <f>IFERROR(__xludf.DUMMYFUNCTION("IF(NOT('portfólio'!$AV$7),"""",IF($T177="""","""",IFERROR(query({AtivosDados},""select sum(""&amp;AA$3&amp;"") where Col1='""&amp;$T177&amp;""' label sum(""&amp;AA$3&amp;"") ''""),0)))"),"")</f>
        <v/>
      </c>
      <c r="AB177" s="437" t="str">
        <f>IFERROR(__xludf.DUMMYFUNCTION("IF(NOT('portfólio'!$AV$7),"""",IF($T177="""","""",IFERROR(query({AtivosDados},""select sum(""&amp;AB$3&amp;"") where Col1='""&amp;$T177&amp;""' label sum(""&amp;AB$3&amp;"") ''""),0)))"),"")</f>
        <v/>
      </c>
      <c r="AC177" s="437" t="str">
        <f>IFERROR(__xludf.DUMMYFUNCTION("IF(NOT('portfólio'!$AV$7),"""",IF($T177="""","""",IFERROR(query({AtivosDados},""select sum(""&amp;AC$3&amp;"") where Col1='""&amp;$T177&amp;""' label sum(""&amp;AC$3&amp;"") ''""),0)))"),"")</f>
        <v/>
      </c>
      <c r="AD177" s="437" t="str">
        <f>IFERROR(__xludf.DUMMYFUNCTION("IF(NOT('portfólio'!$AV$7),"""",IF($T177="""","""",IFERROR(query({AtivosDados},""select sum(""&amp;AD$3&amp;"") where Col1='""&amp;$T177&amp;""' label sum(""&amp;AD$3&amp;"") ''""),0)))"),"")</f>
        <v/>
      </c>
      <c r="AE177" s="437"/>
      <c r="AF177" s="1327"/>
      <c r="AG177" s="437"/>
      <c r="AH177" s="437"/>
      <c r="AI177" s="437"/>
      <c r="AJ177" s="437"/>
      <c r="AK177" s="437"/>
      <c r="AL177" s="437"/>
      <c r="AM177" s="437"/>
      <c r="AN177" s="437"/>
      <c r="AO177" s="437"/>
      <c r="AP177" s="437"/>
      <c r="AQ177" s="1327"/>
      <c r="AR177" s="437"/>
      <c r="AS177" s="437"/>
      <c r="AT177" s="437"/>
      <c r="AU177" s="437"/>
      <c r="AV177" s="437"/>
      <c r="AW177" s="437"/>
      <c r="AX177" s="437"/>
      <c r="AY177" s="437"/>
      <c r="AZ177" s="437"/>
      <c r="BA177" s="437"/>
      <c r="BB177" s="1327"/>
      <c r="BC177" s="437"/>
      <c r="BD177" s="437"/>
      <c r="BE177" s="437"/>
      <c r="BF177" s="437"/>
      <c r="BG177" s="437"/>
      <c r="BH177" s="437"/>
      <c r="BI177" s="437"/>
      <c r="BJ177" s="437"/>
      <c r="BK177" s="437"/>
      <c r="BL177" s="437"/>
      <c r="BM177" s="1327"/>
      <c r="BN177" s="1327"/>
      <c r="BO177" s="1327"/>
      <c r="BP177" s="1327"/>
      <c r="BQ177" s="1327"/>
      <c r="BR177" s="1327"/>
      <c r="BS177" s="1327"/>
      <c r="BT177" s="1327"/>
      <c r="BU177" s="1327"/>
      <c r="BV177" s="1327"/>
      <c r="BW177" s="1327"/>
      <c r="BX177" s="1327"/>
      <c r="BY177" s="1327"/>
      <c r="BZ177" s="1327"/>
      <c r="CA177" s="1327"/>
      <c r="CB177" s="1327"/>
      <c r="CC177" s="1327"/>
      <c r="CD177" s="1327"/>
      <c r="CE177" s="1327"/>
      <c r="CF177" s="1327"/>
      <c r="CG177" s="1327"/>
      <c r="CH177" s="1327"/>
      <c r="CI177" s="1327"/>
      <c r="CJ177" s="1327"/>
      <c r="CK177" s="1327"/>
      <c r="CL177" s="1327"/>
      <c r="CM177" s="1327"/>
      <c r="CN177" s="1327"/>
      <c r="CO177" s="1327"/>
      <c r="CP177" s="1327"/>
      <c r="CQ177" s="1327"/>
      <c r="CR177" s="1327"/>
      <c r="CS177" s="1327"/>
      <c r="CT177" s="1317"/>
      <c r="CU177" s="1317"/>
      <c r="CV177" s="1317"/>
      <c r="CW177" s="1317"/>
      <c r="CX177" s="1317"/>
      <c r="CY177" s="1317"/>
      <c r="CZ177" s="1317"/>
      <c r="DA177" s="1317"/>
      <c r="DB177" s="1317"/>
      <c r="DC177" s="1317"/>
      <c r="DD177" s="1317"/>
      <c r="DE177" s="1317"/>
      <c r="DF177" s="1317"/>
      <c r="DG177" s="1317"/>
    </row>
    <row r="178" ht="18.75" customHeight="1">
      <c r="G178" s="1344"/>
      <c r="H178" s="1345">
        <f t="shared" si="4"/>
        <v>0</v>
      </c>
      <c r="I178" s="1381"/>
      <c r="J178" s="1381"/>
      <c r="K178" s="1381"/>
      <c r="L178" s="1381"/>
      <c r="M178" s="1381"/>
      <c r="N178" s="1381"/>
      <c r="O178" s="1381"/>
      <c r="P178" s="1381"/>
      <c r="Q178" s="1381"/>
      <c r="R178" s="1381"/>
      <c r="T178" s="1349"/>
      <c r="U178" s="1349" t="s">
        <v>123</v>
      </c>
      <c r="V178" s="1349" t="s">
        <v>123</v>
      </c>
      <c r="W178" s="1349"/>
      <c r="X178" s="1349"/>
      <c r="Y178" s="1308"/>
      <c r="Z178" s="437" t="str">
        <f>IFERROR(__xludf.DUMMYFUNCTION("IF(NOT('portfólio'!$AV$7),"""",IF($T178="""","""",IFERROR(query({AtivosDados},""select sum(""&amp;Z$3&amp;"") where Col1='""&amp;$T178&amp;""' label sum(""&amp;Z$3&amp;"") ''""),0)))"),"")</f>
        <v/>
      </c>
      <c r="AA178" s="437" t="str">
        <f>IFERROR(__xludf.DUMMYFUNCTION("IF(NOT('portfólio'!$AV$7),"""",IF($T178="""","""",IFERROR(query({AtivosDados},""select sum(""&amp;AA$3&amp;"") where Col1='""&amp;$T178&amp;""' label sum(""&amp;AA$3&amp;"") ''""),0)))"),"")</f>
        <v/>
      </c>
      <c r="AB178" s="437" t="str">
        <f>IFERROR(__xludf.DUMMYFUNCTION("IF(NOT('portfólio'!$AV$7),"""",IF($T178="""","""",IFERROR(query({AtivosDados},""select sum(""&amp;AB$3&amp;"") where Col1='""&amp;$T178&amp;""' label sum(""&amp;AB$3&amp;"") ''""),0)))"),"")</f>
        <v/>
      </c>
      <c r="AC178" s="437" t="str">
        <f>IFERROR(__xludf.DUMMYFUNCTION("IF(NOT('portfólio'!$AV$7),"""",IF($T178="""","""",IFERROR(query({AtivosDados},""select sum(""&amp;AC$3&amp;"") where Col1='""&amp;$T178&amp;""' label sum(""&amp;AC$3&amp;"") ''""),0)))"),"")</f>
        <v/>
      </c>
      <c r="AD178" s="437" t="str">
        <f>IFERROR(__xludf.DUMMYFUNCTION("IF(NOT('portfólio'!$AV$7),"""",IF($T178="""","""",IFERROR(query({AtivosDados},""select sum(""&amp;AD$3&amp;"") where Col1='""&amp;$T178&amp;""' label sum(""&amp;AD$3&amp;"") ''""),0)))"),"")</f>
        <v/>
      </c>
      <c r="AE178" s="437"/>
      <c r="AF178" s="1327"/>
      <c r="AG178" s="437"/>
      <c r="AH178" s="437"/>
      <c r="AI178" s="437"/>
      <c r="AJ178" s="437"/>
      <c r="AK178" s="437"/>
      <c r="AL178" s="437"/>
      <c r="AM178" s="437"/>
      <c r="AN178" s="437"/>
      <c r="AO178" s="437"/>
      <c r="AP178" s="437"/>
      <c r="AQ178" s="1327"/>
      <c r="AR178" s="437"/>
      <c r="AS178" s="437"/>
      <c r="AT178" s="437"/>
      <c r="AU178" s="437"/>
      <c r="AV178" s="437"/>
      <c r="AW178" s="437"/>
      <c r="AX178" s="437"/>
      <c r="AY178" s="437"/>
      <c r="AZ178" s="437"/>
      <c r="BA178" s="437"/>
      <c r="BB178" s="1327"/>
      <c r="BC178" s="437"/>
      <c r="BD178" s="437"/>
      <c r="BE178" s="437"/>
      <c r="BF178" s="437"/>
      <c r="BG178" s="437"/>
      <c r="BH178" s="437"/>
      <c r="BI178" s="437"/>
      <c r="BJ178" s="437"/>
      <c r="BK178" s="437"/>
      <c r="BL178" s="437"/>
      <c r="BM178" s="1327"/>
      <c r="BN178" s="1327"/>
      <c r="BO178" s="1327"/>
      <c r="BP178" s="1327"/>
      <c r="BQ178" s="1327"/>
      <c r="BR178" s="1327"/>
      <c r="BS178" s="1327"/>
      <c r="BT178" s="1327"/>
      <c r="BU178" s="1327"/>
      <c r="BV178" s="1327"/>
      <c r="BW178" s="1327"/>
      <c r="BX178" s="1327"/>
      <c r="BY178" s="1327"/>
      <c r="BZ178" s="1327"/>
      <c r="CA178" s="1327"/>
      <c r="CB178" s="1327"/>
      <c r="CC178" s="1327"/>
      <c r="CD178" s="1327"/>
      <c r="CE178" s="1327"/>
      <c r="CF178" s="1327"/>
      <c r="CG178" s="1327"/>
      <c r="CH178" s="1327"/>
      <c r="CI178" s="1327"/>
      <c r="CJ178" s="1327"/>
      <c r="CK178" s="1327"/>
      <c r="CL178" s="1327"/>
      <c r="CM178" s="1327"/>
      <c r="CN178" s="1327"/>
      <c r="CO178" s="1327"/>
      <c r="CP178" s="1327"/>
      <c r="CQ178" s="1327"/>
      <c r="CR178" s="1327"/>
      <c r="CS178" s="1327"/>
      <c r="CT178" s="1317"/>
      <c r="CU178" s="1317"/>
      <c r="CV178" s="1317"/>
      <c r="CW178" s="1317"/>
      <c r="CX178" s="1317"/>
      <c r="CY178" s="1317"/>
      <c r="CZ178" s="1317"/>
      <c r="DA178" s="1317"/>
      <c r="DB178" s="1317"/>
      <c r="DC178" s="1317"/>
      <c r="DD178" s="1317"/>
      <c r="DE178" s="1317"/>
      <c r="DF178" s="1317"/>
      <c r="DG178" s="1317"/>
    </row>
    <row r="179" ht="18.75" customHeight="1">
      <c r="G179" s="1344"/>
      <c r="H179" s="1345">
        <f t="shared" si="4"/>
        <v>0</v>
      </c>
      <c r="I179" s="1381"/>
      <c r="J179" s="1381"/>
      <c r="K179" s="1381"/>
      <c r="L179" s="1381"/>
      <c r="M179" s="1381"/>
      <c r="N179" s="1381"/>
      <c r="O179" s="1381"/>
      <c r="P179" s="1381"/>
      <c r="Q179" s="1381"/>
      <c r="R179" s="1381"/>
      <c r="T179" s="1349"/>
      <c r="U179" s="1349" t="s">
        <v>123</v>
      </c>
      <c r="V179" s="1349" t="s">
        <v>123</v>
      </c>
      <c r="W179" s="1349"/>
      <c r="X179" s="1349"/>
      <c r="Y179" s="1308"/>
      <c r="Z179" s="437" t="str">
        <f>IFERROR(__xludf.DUMMYFUNCTION("IF(NOT('portfólio'!$AV$7),"""",IF($T179="""","""",IFERROR(query({AtivosDados},""select sum(""&amp;Z$3&amp;"") where Col1='""&amp;$T179&amp;""' label sum(""&amp;Z$3&amp;"") ''""),0)))"),"")</f>
        <v/>
      </c>
      <c r="AA179" s="437" t="str">
        <f>IFERROR(__xludf.DUMMYFUNCTION("IF(NOT('portfólio'!$AV$7),"""",IF($T179="""","""",IFERROR(query({AtivosDados},""select sum(""&amp;AA$3&amp;"") where Col1='""&amp;$T179&amp;""' label sum(""&amp;AA$3&amp;"") ''""),0)))"),"")</f>
        <v/>
      </c>
      <c r="AB179" s="437" t="str">
        <f>IFERROR(__xludf.DUMMYFUNCTION("IF(NOT('portfólio'!$AV$7),"""",IF($T179="""","""",IFERROR(query({AtivosDados},""select sum(""&amp;AB$3&amp;"") where Col1='""&amp;$T179&amp;""' label sum(""&amp;AB$3&amp;"") ''""),0)))"),"")</f>
        <v/>
      </c>
      <c r="AC179" s="437" t="str">
        <f>IFERROR(__xludf.DUMMYFUNCTION("IF(NOT('portfólio'!$AV$7),"""",IF($T179="""","""",IFERROR(query({AtivosDados},""select sum(""&amp;AC$3&amp;"") where Col1='""&amp;$T179&amp;""' label sum(""&amp;AC$3&amp;"") ''""),0)))"),"")</f>
        <v/>
      </c>
      <c r="AD179" s="437" t="str">
        <f>IFERROR(__xludf.DUMMYFUNCTION("IF(NOT('portfólio'!$AV$7),"""",IF($T179="""","""",IFERROR(query({AtivosDados},""select sum(""&amp;AD$3&amp;"") where Col1='""&amp;$T179&amp;""' label sum(""&amp;AD$3&amp;"") ''""),0)))"),"")</f>
        <v/>
      </c>
      <c r="AE179" s="437"/>
      <c r="AF179" s="1327"/>
      <c r="AG179" s="437"/>
      <c r="AH179" s="437"/>
      <c r="AI179" s="437"/>
      <c r="AJ179" s="437"/>
      <c r="AK179" s="437"/>
      <c r="AL179" s="437"/>
      <c r="AM179" s="437"/>
      <c r="AN179" s="437"/>
      <c r="AO179" s="437"/>
      <c r="AP179" s="437"/>
      <c r="AQ179" s="1327"/>
      <c r="AR179" s="437"/>
      <c r="AS179" s="437"/>
      <c r="AT179" s="437"/>
      <c r="AU179" s="437"/>
      <c r="AV179" s="437"/>
      <c r="AW179" s="437"/>
      <c r="AX179" s="437"/>
      <c r="AY179" s="437"/>
      <c r="AZ179" s="437"/>
      <c r="BA179" s="437"/>
      <c r="BB179" s="1327"/>
      <c r="BC179" s="437"/>
      <c r="BD179" s="437"/>
      <c r="BE179" s="437"/>
      <c r="BF179" s="437"/>
      <c r="BG179" s="437"/>
      <c r="BH179" s="437"/>
      <c r="BI179" s="437"/>
      <c r="BJ179" s="437"/>
      <c r="BK179" s="437"/>
      <c r="BL179" s="437"/>
      <c r="BM179" s="1327"/>
      <c r="BN179" s="1327"/>
      <c r="BO179" s="1327"/>
      <c r="BP179" s="1327"/>
      <c r="BQ179" s="1327"/>
      <c r="BR179" s="1327"/>
      <c r="BS179" s="1327"/>
      <c r="BT179" s="1327"/>
      <c r="BU179" s="1327"/>
      <c r="BV179" s="1327"/>
      <c r="BW179" s="1327"/>
      <c r="BX179" s="1327"/>
      <c r="BY179" s="1327"/>
      <c r="BZ179" s="1327"/>
      <c r="CA179" s="1327"/>
      <c r="CB179" s="1327"/>
      <c r="CC179" s="1327"/>
      <c r="CD179" s="1327"/>
      <c r="CE179" s="1327"/>
      <c r="CF179" s="1327"/>
      <c r="CG179" s="1327"/>
      <c r="CH179" s="1327"/>
      <c r="CI179" s="1327"/>
      <c r="CJ179" s="1327"/>
      <c r="CK179" s="1327"/>
      <c r="CL179" s="1327"/>
      <c r="CM179" s="1327"/>
      <c r="CN179" s="1327"/>
      <c r="CO179" s="1327"/>
      <c r="CP179" s="1327"/>
      <c r="CQ179" s="1327"/>
      <c r="CR179" s="1327"/>
      <c r="CS179" s="1327"/>
      <c r="CT179" s="1317"/>
      <c r="CU179" s="1317"/>
      <c r="CV179" s="1317"/>
      <c r="CW179" s="1317"/>
      <c r="CX179" s="1317"/>
      <c r="CY179" s="1317"/>
      <c r="CZ179" s="1317"/>
      <c r="DA179" s="1317"/>
      <c r="DB179" s="1317"/>
      <c r="DC179" s="1317"/>
      <c r="DD179" s="1317"/>
      <c r="DE179" s="1317"/>
      <c r="DF179" s="1317"/>
      <c r="DG179" s="1317"/>
    </row>
    <row r="180" ht="18.75" customHeight="1">
      <c r="G180" s="1344"/>
      <c r="H180" s="1345">
        <f t="shared" si="4"/>
        <v>0</v>
      </c>
      <c r="I180" s="1381"/>
      <c r="J180" s="1381"/>
      <c r="K180" s="1381"/>
      <c r="L180" s="1381"/>
      <c r="M180" s="1381"/>
      <c r="N180" s="1381"/>
      <c r="O180" s="1381"/>
      <c r="P180" s="1381"/>
      <c r="Q180" s="1381"/>
      <c r="R180" s="1381"/>
      <c r="T180" s="1349"/>
      <c r="U180" s="1349" t="s">
        <v>123</v>
      </c>
      <c r="V180" s="1349" t="s">
        <v>123</v>
      </c>
      <c r="W180" s="1349"/>
      <c r="X180" s="1349"/>
      <c r="Y180" s="1308"/>
      <c r="Z180" s="437" t="str">
        <f>IFERROR(__xludf.DUMMYFUNCTION("IF(NOT('portfólio'!$AV$7),"""",IF($T180="""","""",IFERROR(query({AtivosDados},""select sum(""&amp;Z$3&amp;"") where Col1='""&amp;$T180&amp;""' label sum(""&amp;Z$3&amp;"") ''""),0)))"),"")</f>
        <v/>
      </c>
      <c r="AA180" s="437" t="str">
        <f>IFERROR(__xludf.DUMMYFUNCTION("IF(NOT('portfólio'!$AV$7),"""",IF($T180="""","""",IFERROR(query({AtivosDados},""select sum(""&amp;AA$3&amp;"") where Col1='""&amp;$T180&amp;""' label sum(""&amp;AA$3&amp;"") ''""),0)))"),"")</f>
        <v/>
      </c>
      <c r="AB180" s="437" t="str">
        <f>IFERROR(__xludf.DUMMYFUNCTION("IF(NOT('portfólio'!$AV$7),"""",IF($T180="""","""",IFERROR(query({AtivosDados},""select sum(""&amp;AB$3&amp;"") where Col1='""&amp;$T180&amp;""' label sum(""&amp;AB$3&amp;"") ''""),0)))"),"")</f>
        <v/>
      </c>
      <c r="AC180" s="437" t="str">
        <f>IFERROR(__xludf.DUMMYFUNCTION("IF(NOT('portfólio'!$AV$7),"""",IF($T180="""","""",IFERROR(query({AtivosDados},""select sum(""&amp;AC$3&amp;"") where Col1='""&amp;$T180&amp;""' label sum(""&amp;AC$3&amp;"") ''""),0)))"),"")</f>
        <v/>
      </c>
      <c r="AD180" s="437" t="str">
        <f>IFERROR(__xludf.DUMMYFUNCTION("IF(NOT('portfólio'!$AV$7),"""",IF($T180="""","""",IFERROR(query({AtivosDados},""select sum(""&amp;AD$3&amp;"") where Col1='""&amp;$T180&amp;""' label sum(""&amp;AD$3&amp;"") ''""),0)))"),"")</f>
        <v/>
      </c>
      <c r="AE180" s="437"/>
      <c r="AF180" s="1327"/>
      <c r="AG180" s="437"/>
      <c r="AH180" s="437"/>
      <c r="AI180" s="437"/>
      <c r="AJ180" s="437"/>
      <c r="AK180" s="437"/>
      <c r="AL180" s="437"/>
      <c r="AM180" s="437"/>
      <c r="AN180" s="437"/>
      <c r="AO180" s="437"/>
      <c r="AP180" s="437"/>
      <c r="AQ180" s="1327"/>
      <c r="AR180" s="437"/>
      <c r="AS180" s="437"/>
      <c r="AT180" s="437"/>
      <c r="AU180" s="437"/>
      <c r="AV180" s="437"/>
      <c r="AW180" s="437"/>
      <c r="AX180" s="437"/>
      <c r="AY180" s="437"/>
      <c r="AZ180" s="437"/>
      <c r="BA180" s="437"/>
      <c r="BB180" s="1327"/>
      <c r="BC180" s="437"/>
      <c r="BD180" s="437"/>
      <c r="BE180" s="437"/>
      <c r="BF180" s="437"/>
      <c r="BG180" s="437"/>
      <c r="BH180" s="437"/>
      <c r="BI180" s="437"/>
      <c r="BJ180" s="437"/>
      <c r="BK180" s="437"/>
      <c r="BL180" s="437"/>
      <c r="BM180" s="1327"/>
      <c r="BN180" s="1327"/>
      <c r="BO180" s="1327"/>
      <c r="BP180" s="1327"/>
      <c r="BQ180" s="1327"/>
      <c r="BR180" s="1327"/>
      <c r="BS180" s="1327"/>
      <c r="BT180" s="1327"/>
      <c r="BU180" s="1327"/>
      <c r="BV180" s="1327"/>
      <c r="BW180" s="1327"/>
      <c r="BX180" s="1327"/>
      <c r="BY180" s="1327"/>
      <c r="BZ180" s="1327"/>
      <c r="CA180" s="1327"/>
      <c r="CB180" s="1327"/>
      <c r="CC180" s="1327"/>
      <c r="CD180" s="1327"/>
      <c r="CE180" s="1327"/>
      <c r="CF180" s="1327"/>
      <c r="CG180" s="1327"/>
      <c r="CH180" s="1327"/>
      <c r="CI180" s="1327"/>
      <c r="CJ180" s="1327"/>
      <c r="CK180" s="1327"/>
      <c r="CL180" s="1327"/>
      <c r="CM180" s="1327"/>
      <c r="CN180" s="1327"/>
      <c r="CO180" s="1327"/>
      <c r="CP180" s="1327"/>
      <c r="CQ180" s="1327"/>
      <c r="CR180" s="1327"/>
      <c r="CS180" s="1327"/>
      <c r="CT180" s="1317"/>
      <c r="CU180" s="1317"/>
      <c r="CV180" s="1317"/>
      <c r="CW180" s="1317"/>
      <c r="CX180" s="1317"/>
      <c r="CY180" s="1317"/>
      <c r="CZ180" s="1317"/>
      <c r="DA180" s="1317"/>
      <c r="DB180" s="1317"/>
      <c r="DC180" s="1317"/>
      <c r="DD180" s="1317"/>
      <c r="DE180" s="1317"/>
      <c r="DF180" s="1317"/>
      <c r="DG180" s="1317"/>
    </row>
    <row r="181" ht="18.75" customHeight="1">
      <c r="G181" s="1344"/>
      <c r="H181" s="1345">
        <f t="shared" si="4"/>
        <v>0</v>
      </c>
      <c r="I181" s="1381"/>
      <c r="J181" s="1381"/>
      <c r="K181" s="1381"/>
      <c r="L181" s="1381"/>
      <c r="M181" s="1381"/>
      <c r="N181" s="1381"/>
      <c r="O181" s="1381"/>
      <c r="P181" s="1381"/>
      <c r="Q181" s="1381"/>
      <c r="R181" s="1381"/>
      <c r="T181" s="1349"/>
      <c r="U181" s="1349" t="s">
        <v>123</v>
      </c>
      <c r="V181" s="1349" t="s">
        <v>123</v>
      </c>
      <c r="W181" s="1349"/>
      <c r="X181" s="1349"/>
      <c r="Y181" s="1308"/>
      <c r="Z181" s="437" t="str">
        <f>IFERROR(__xludf.DUMMYFUNCTION("IF(NOT('portfólio'!$AV$7),"""",IF($T181="""","""",IFERROR(query({AtivosDados},""select sum(""&amp;Z$3&amp;"") where Col1='""&amp;$T181&amp;""' label sum(""&amp;Z$3&amp;"") ''""),0)))"),"")</f>
        <v/>
      </c>
      <c r="AA181" s="437" t="str">
        <f>IFERROR(__xludf.DUMMYFUNCTION("IF(NOT('portfólio'!$AV$7),"""",IF($T181="""","""",IFERROR(query({AtivosDados},""select sum(""&amp;AA$3&amp;"") where Col1='""&amp;$T181&amp;""' label sum(""&amp;AA$3&amp;"") ''""),0)))"),"")</f>
        <v/>
      </c>
      <c r="AB181" s="437" t="str">
        <f>IFERROR(__xludf.DUMMYFUNCTION("IF(NOT('portfólio'!$AV$7),"""",IF($T181="""","""",IFERROR(query({AtivosDados},""select sum(""&amp;AB$3&amp;"") where Col1='""&amp;$T181&amp;""' label sum(""&amp;AB$3&amp;"") ''""),0)))"),"")</f>
        <v/>
      </c>
      <c r="AC181" s="437" t="str">
        <f>IFERROR(__xludf.DUMMYFUNCTION("IF(NOT('portfólio'!$AV$7),"""",IF($T181="""","""",IFERROR(query({AtivosDados},""select sum(""&amp;AC$3&amp;"") where Col1='""&amp;$T181&amp;""' label sum(""&amp;AC$3&amp;"") ''""),0)))"),"")</f>
        <v/>
      </c>
      <c r="AD181" s="437" t="str">
        <f>IFERROR(__xludf.DUMMYFUNCTION("IF(NOT('portfólio'!$AV$7),"""",IF($T181="""","""",IFERROR(query({AtivosDados},""select sum(""&amp;AD$3&amp;"") where Col1='""&amp;$T181&amp;""' label sum(""&amp;AD$3&amp;"") ''""),0)))"),"")</f>
        <v/>
      </c>
      <c r="AE181" s="437"/>
      <c r="AF181" s="1327"/>
      <c r="AG181" s="437"/>
      <c r="AH181" s="437"/>
      <c r="AI181" s="437"/>
      <c r="AJ181" s="437"/>
      <c r="AK181" s="437"/>
      <c r="AL181" s="437"/>
      <c r="AM181" s="437"/>
      <c r="AN181" s="437"/>
      <c r="AO181" s="437"/>
      <c r="AP181" s="437"/>
      <c r="AQ181" s="1327"/>
      <c r="AR181" s="437"/>
      <c r="AS181" s="437"/>
      <c r="AT181" s="437"/>
      <c r="AU181" s="437"/>
      <c r="AV181" s="437"/>
      <c r="AW181" s="437"/>
      <c r="AX181" s="437"/>
      <c r="AY181" s="437"/>
      <c r="AZ181" s="437"/>
      <c r="BA181" s="437"/>
      <c r="BB181" s="1327"/>
      <c r="BC181" s="437"/>
      <c r="BD181" s="437"/>
      <c r="BE181" s="437"/>
      <c r="BF181" s="437"/>
      <c r="BG181" s="437"/>
      <c r="BH181" s="437"/>
      <c r="BI181" s="437"/>
      <c r="BJ181" s="437"/>
      <c r="BK181" s="437"/>
      <c r="BL181" s="437"/>
      <c r="BM181" s="1327"/>
      <c r="BN181" s="1327"/>
      <c r="BO181" s="1327"/>
      <c r="BP181" s="1327"/>
      <c r="BQ181" s="1327"/>
      <c r="BR181" s="1327"/>
      <c r="BS181" s="1327"/>
      <c r="BT181" s="1327"/>
      <c r="BU181" s="1327"/>
      <c r="BV181" s="1327"/>
      <c r="BW181" s="1327"/>
      <c r="BX181" s="1327"/>
      <c r="BY181" s="1327"/>
      <c r="BZ181" s="1327"/>
      <c r="CA181" s="1327"/>
      <c r="CB181" s="1327"/>
      <c r="CC181" s="1327"/>
      <c r="CD181" s="1327"/>
      <c r="CE181" s="1327"/>
      <c r="CF181" s="1327"/>
      <c r="CG181" s="1327"/>
      <c r="CH181" s="1327"/>
      <c r="CI181" s="1327"/>
      <c r="CJ181" s="1327"/>
      <c r="CK181" s="1327"/>
      <c r="CL181" s="1327"/>
      <c r="CM181" s="1327"/>
      <c r="CN181" s="1327"/>
      <c r="CO181" s="1327"/>
      <c r="CP181" s="1327"/>
      <c r="CQ181" s="1327"/>
      <c r="CR181" s="1327"/>
      <c r="CS181" s="1327"/>
      <c r="CT181" s="1317"/>
      <c r="CU181" s="1317"/>
      <c r="CV181" s="1317"/>
      <c r="CW181" s="1317"/>
      <c r="CX181" s="1317"/>
      <c r="CY181" s="1317"/>
      <c r="CZ181" s="1317"/>
      <c r="DA181" s="1317"/>
      <c r="DB181" s="1317"/>
      <c r="DC181" s="1317"/>
      <c r="DD181" s="1317"/>
      <c r="DE181" s="1317"/>
      <c r="DF181" s="1317"/>
      <c r="DG181" s="1317"/>
    </row>
    <row r="182" ht="18.75" customHeight="1">
      <c r="G182" s="1344"/>
      <c r="H182" s="1345">
        <f t="shared" si="4"/>
        <v>0</v>
      </c>
      <c r="I182" s="1381"/>
      <c r="J182" s="1381"/>
      <c r="K182" s="1381"/>
      <c r="L182" s="1381"/>
      <c r="M182" s="1381"/>
      <c r="N182" s="1381"/>
      <c r="O182" s="1381"/>
      <c r="P182" s="1381"/>
      <c r="Q182" s="1381"/>
      <c r="R182" s="1381"/>
      <c r="T182" s="1349"/>
      <c r="U182" s="1349" t="s">
        <v>123</v>
      </c>
      <c r="V182" s="1349" t="s">
        <v>123</v>
      </c>
      <c r="W182" s="1349"/>
      <c r="X182" s="1349"/>
      <c r="Y182" s="1308"/>
      <c r="Z182" s="437" t="str">
        <f>IFERROR(__xludf.DUMMYFUNCTION("IF(NOT('portfólio'!$AV$7),"""",IF($T182="""","""",IFERROR(query({AtivosDados},""select sum(""&amp;Z$3&amp;"") where Col1='""&amp;$T182&amp;""' label sum(""&amp;Z$3&amp;"") ''""),0)))"),"")</f>
        <v/>
      </c>
      <c r="AA182" s="437" t="str">
        <f>IFERROR(__xludf.DUMMYFUNCTION("IF(NOT('portfólio'!$AV$7),"""",IF($T182="""","""",IFERROR(query({AtivosDados},""select sum(""&amp;AA$3&amp;"") where Col1='""&amp;$T182&amp;""' label sum(""&amp;AA$3&amp;"") ''""),0)))"),"")</f>
        <v/>
      </c>
      <c r="AB182" s="437" t="str">
        <f>IFERROR(__xludf.DUMMYFUNCTION("IF(NOT('portfólio'!$AV$7),"""",IF($T182="""","""",IFERROR(query({AtivosDados},""select sum(""&amp;AB$3&amp;"") where Col1='""&amp;$T182&amp;""' label sum(""&amp;AB$3&amp;"") ''""),0)))"),"")</f>
        <v/>
      </c>
      <c r="AC182" s="437" t="str">
        <f>IFERROR(__xludf.DUMMYFUNCTION("IF(NOT('portfólio'!$AV$7),"""",IF($T182="""","""",IFERROR(query({AtivosDados},""select sum(""&amp;AC$3&amp;"") where Col1='""&amp;$T182&amp;""' label sum(""&amp;AC$3&amp;"") ''""),0)))"),"")</f>
        <v/>
      </c>
      <c r="AD182" s="437" t="str">
        <f>IFERROR(__xludf.DUMMYFUNCTION("IF(NOT('portfólio'!$AV$7),"""",IF($T182="""","""",IFERROR(query({AtivosDados},""select sum(""&amp;AD$3&amp;"") where Col1='""&amp;$T182&amp;""' label sum(""&amp;AD$3&amp;"") ''""),0)))"),"")</f>
        <v/>
      </c>
      <c r="AE182" s="437"/>
      <c r="AF182" s="1327"/>
      <c r="AG182" s="437"/>
      <c r="AH182" s="437"/>
      <c r="AI182" s="437"/>
      <c r="AJ182" s="437"/>
      <c r="AK182" s="437"/>
      <c r="AL182" s="437"/>
      <c r="AM182" s="437"/>
      <c r="AN182" s="437"/>
      <c r="AO182" s="437"/>
      <c r="AP182" s="437"/>
      <c r="AQ182" s="1327"/>
      <c r="AR182" s="437"/>
      <c r="AS182" s="437"/>
      <c r="AT182" s="437"/>
      <c r="AU182" s="437"/>
      <c r="AV182" s="437"/>
      <c r="AW182" s="437"/>
      <c r="AX182" s="437"/>
      <c r="AY182" s="437"/>
      <c r="AZ182" s="437"/>
      <c r="BA182" s="437"/>
      <c r="BB182" s="1327"/>
      <c r="BC182" s="437"/>
      <c r="BD182" s="437"/>
      <c r="BE182" s="437"/>
      <c r="BF182" s="437"/>
      <c r="BG182" s="437"/>
      <c r="BH182" s="437"/>
      <c r="BI182" s="437"/>
      <c r="BJ182" s="437"/>
      <c r="BK182" s="437"/>
      <c r="BL182" s="437"/>
      <c r="BM182" s="1327"/>
      <c r="BN182" s="1327"/>
      <c r="BO182" s="1327"/>
      <c r="BP182" s="1327"/>
      <c r="BQ182" s="1327"/>
      <c r="BR182" s="1327"/>
      <c r="BS182" s="1327"/>
      <c r="BT182" s="1327"/>
      <c r="BU182" s="1327"/>
      <c r="BV182" s="1327"/>
      <c r="BW182" s="1327"/>
      <c r="BX182" s="1327"/>
      <c r="BY182" s="1327"/>
      <c r="BZ182" s="1327"/>
      <c r="CA182" s="1327"/>
      <c r="CB182" s="1327"/>
      <c r="CC182" s="1327"/>
      <c r="CD182" s="1327"/>
      <c r="CE182" s="1327"/>
      <c r="CF182" s="1327"/>
      <c r="CG182" s="1327"/>
      <c r="CH182" s="1327"/>
      <c r="CI182" s="1327"/>
      <c r="CJ182" s="1327"/>
      <c r="CK182" s="1327"/>
      <c r="CL182" s="1327"/>
      <c r="CM182" s="1327"/>
      <c r="CN182" s="1327"/>
      <c r="CO182" s="1327"/>
      <c r="CP182" s="1327"/>
      <c r="CQ182" s="1327"/>
      <c r="CR182" s="1327"/>
      <c r="CS182" s="1327"/>
      <c r="CT182" s="1317"/>
      <c r="CU182" s="1317"/>
      <c r="CV182" s="1317"/>
      <c r="CW182" s="1317"/>
      <c r="CX182" s="1317"/>
      <c r="CY182" s="1317"/>
      <c r="CZ182" s="1317"/>
      <c r="DA182" s="1317"/>
      <c r="DB182" s="1317"/>
      <c r="DC182" s="1317"/>
      <c r="DD182" s="1317"/>
      <c r="DE182" s="1317"/>
      <c r="DF182" s="1317"/>
      <c r="DG182" s="1317"/>
    </row>
    <row r="183" ht="18.75" customHeight="1">
      <c r="G183" s="1344"/>
      <c r="H183" s="1345">
        <f t="shared" si="4"/>
        <v>0</v>
      </c>
      <c r="I183" s="1381"/>
      <c r="J183" s="1381"/>
      <c r="K183" s="1381"/>
      <c r="L183" s="1381"/>
      <c r="M183" s="1381"/>
      <c r="N183" s="1381"/>
      <c r="O183" s="1381"/>
      <c r="P183" s="1381"/>
      <c r="Q183" s="1381"/>
      <c r="R183" s="1381"/>
      <c r="T183" s="1349"/>
      <c r="U183" s="1349" t="s">
        <v>123</v>
      </c>
      <c r="V183" s="1349" t="s">
        <v>123</v>
      </c>
      <c r="W183" s="1349"/>
      <c r="X183" s="1349"/>
      <c r="Y183" s="1308"/>
      <c r="Z183" s="437" t="str">
        <f>IFERROR(__xludf.DUMMYFUNCTION("IF(NOT('portfólio'!$AV$7),"""",IF($T183="""","""",IFERROR(query({AtivosDados},""select sum(""&amp;Z$3&amp;"") where Col1='""&amp;$T183&amp;""' label sum(""&amp;Z$3&amp;"") ''""),0)))"),"")</f>
        <v/>
      </c>
      <c r="AA183" s="437" t="str">
        <f>IFERROR(__xludf.DUMMYFUNCTION("IF(NOT('portfólio'!$AV$7),"""",IF($T183="""","""",IFERROR(query({AtivosDados},""select sum(""&amp;AA$3&amp;"") where Col1='""&amp;$T183&amp;""' label sum(""&amp;AA$3&amp;"") ''""),0)))"),"")</f>
        <v/>
      </c>
      <c r="AB183" s="437" t="str">
        <f>IFERROR(__xludf.DUMMYFUNCTION("IF(NOT('portfólio'!$AV$7),"""",IF($T183="""","""",IFERROR(query({AtivosDados},""select sum(""&amp;AB$3&amp;"") where Col1='""&amp;$T183&amp;""' label sum(""&amp;AB$3&amp;"") ''""),0)))"),"")</f>
        <v/>
      </c>
      <c r="AC183" s="437" t="str">
        <f>IFERROR(__xludf.DUMMYFUNCTION("IF(NOT('portfólio'!$AV$7),"""",IF($T183="""","""",IFERROR(query({AtivosDados},""select sum(""&amp;AC$3&amp;"") where Col1='""&amp;$T183&amp;""' label sum(""&amp;AC$3&amp;"") ''""),0)))"),"")</f>
        <v/>
      </c>
      <c r="AD183" s="437" t="str">
        <f>IFERROR(__xludf.DUMMYFUNCTION("IF(NOT('portfólio'!$AV$7),"""",IF($T183="""","""",IFERROR(query({AtivosDados},""select sum(""&amp;AD$3&amp;"") where Col1='""&amp;$T183&amp;""' label sum(""&amp;AD$3&amp;"") ''""),0)))"),"")</f>
        <v/>
      </c>
      <c r="AE183" s="437"/>
      <c r="AF183" s="1327"/>
      <c r="AG183" s="437"/>
      <c r="AH183" s="437"/>
      <c r="AI183" s="437"/>
      <c r="AJ183" s="437"/>
      <c r="AK183" s="437"/>
      <c r="AL183" s="437"/>
      <c r="AM183" s="437"/>
      <c r="AN183" s="437"/>
      <c r="AO183" s="437"/>
      <c r="AP183" s="437"/>
      <c r="AQ183" s="1327"/>
      <c r="AR183" s="437"/>
      <c r="AS183" s="437"/>
      <c r="AT183" s="437"/>
      <c r="AU183" s="437"/>
      <c r="AV183" s="437"/>
      <c r="AW183" s="437"/>
      <c r="AX183" s="437"/>
      <c r="AY183" s="437"/>
      <c r="AZ183" s="437"/>
      <c r="BA183" s="437"/>
      <c r="BB183" s="1327"/>
      <c r="BC183" s="437"/>
      <c r="BD183" s="437"/>
      <c r="BE183" s="437"/>
      <c r="BF183" s="437"/>
      <c r="BG183" s="437"/>
      <c r="BH183" s="437"/>
      <c r="BI183" s="437"/>
      <c r="BJ183" s="437"/>
      <c r="BK183" s="437"/>
      <c r="BL183" s="437"/>
      <c r="BM183" s="1327"/>
      <c r="BN183" s="1327"/>
      <c r="BO183" s="1327"/>
      <c r="BP183" s="1327"/>
      <c r="BQ183" s="1327"/>
      <c r="BR183" s="1327"/>
      <c r="BS183" s="1327"/>
      <c r="BT183" s="1327"/>
      <c r="BU183" s="1327"/>
      <c r="BV183" s="1327"/>
      <c r="BW183" s="1327"/>
      <c r="BX183" s="1327"/>
      <c r="BY183" s="1327"/>
      <c r="BZ183" s="1327"/>
      <c r="CA183" s="1327"/>
      <c r="CB183" s="1327"/>
      <c r="CC183" s="1327"/>
      <c r="CD183" s="1327"/>
      <c r="CE183" s="1327"/>
      <c r="CF183" s="1327"/>
      <c r="CG183" s="1327"/>
      <c r="CH183" s="1327"/>
      <c r="CI183" s="1327"/>
      <c r="CJ183" s="1327"/>
      <c r="CK183" s="1327"/>
      <c r="CL183" s="1327"/>
      <c r="CM183" s="1327"/>
      <c r="CN183" s="1327"/>
      <c r="CO183" s="1327"/>
      <c r="CP183" s="1327"/>
      <c r="CQ183" s="1327"/>
      <c r="CR183" s="1327"/>
      <c r="CS183" s="1327"/>
      <c r="CT183" s="1317"/>
      <c r="CU183" s="1317"/>
      <c r="CV183" s="1317"/>
      <c r="CW183" s="1317"/>
      <c r="CX183" s="1317"/>
      <c r="CY183" s="1317"/>
      <c r="CZ183" s="1317"/>
      <c r="DA183" s="1317"/>
      <c r="DB183" s="1317"/>
      <c r="DC183" s="1317"/>
      <c r="DD183" s="1317"/>
      <c r="DE183" s="1317"/>
      <c r="DF183" s="1317"/>
      <c r="DG183" s="1317"/>
    </row>
    <row r="184" ht="18.75" customHeight="1">
      <c r="G184" s="1344"/>
      <c r="H184" s="1345">
        <f t="shared" si="4"/>
        <v>0</v>
      </c>
      <c r="I184" s="1381"/>
      <c r="J184" s="1381"/>
      <c r="K184" s="1381"/>
      <c r="L184" s="1381"/>
      <c r="M184" s="1381"/>
      <c r="N184" s="1381"/>
      <c r="O184" s="1381"/>
      <c r="P184" s="1381"/>
      <c r="Q184" s="1381"/>
      <c r="R184" s="1381"/>
      <c r="T184" s="1349"/>
      <c r="U184" s="1349" t="s">
        <v>123</v>
      </c>
      <c r="V184" s="1349" t="s">
        <v>123</v>
      </c>
      <c r="W184" s="1349"/>
      <c r="X184" s="1349"/>
      <c r="Y184" s="1308"/>
      <c r="Z184" s="437" t="str">
        <f>IFERROR(__xludf.DUMMYFUNCTION("IF(NOT('portfólio'!$AV$7),"""",IF($T184="""","""",IFERROR(query({AtivosDados},""select sum(""&amp;Z$3&amp;"") where Col1='""&amp;$T184&amp;""' label sum(""&amp;Z$3&amp;"") ''""),0)))"),"")</f>
        <v/>
      </c>
      <c r="AA184" s="437" t="str">
        <f>IFERROR(__xludf.DUMMYFUNCTION("IF(NOT('portfólio'!$AV$7),"""",IF($T184="""","""",IFERROR(query({AtivosDados},""select sum(""&amp;AA$3&amp;"") where Col1='""&amp;$T184&amp;""' label sum(""&amp;AA$3&amp;"") ''""),0)))"),"")</f>
        <v/>
      </c>
      <c r="AB184" s="437" t="str">
        <f>IFERROR(__xludf.DUMMYFUNCTION("IF(NOT('portfólio'!$AV$7),"""",IF($T184="""","""",IFERROR(query({AtivosDados},""select sum(""&amp;AB$3&amp;"") where Col1='""&amp;$T184&amp;""' label sum(""&amp;AB$3&amp;"") ''""),0)))"),"")</f>
        <v/>
      </c>
      <c r="AC184" s="437" t="str">
        <f>IFERROR(__xludf.DUMMYFUNCTION("IF(NOT('portfólio'!$AV$7),"""",IF($T184="""","""",IFERROR(query({AtivosDados},""select sum(""&amp;AC$3&amp;"") where Col1='""&amp;$T184&amp;""' label sum(""&amp;AC$3&amp;"") ''""),0)))"),"")</f>
        <v/>
      </c>
      <c r="AD184" s="437" t="str">
        <f>IFERROR(__xludf.DUMMYFUNCTION("IF(NOT('portfólio'!$AV$7),"""",IF($T184="""","""",IFERROR(query({AtivosDados},""select sum(""&amp;AD$3&amp;"") where Col1='""&amp;$T184&amp;""' label sum(""&amp;AD$3&amp;"") ''""),0)))"),"")</f>
        <v/>
      </c>
      <c r="AE184" s="437"/>
      <c r="AF184" s="1327"/>
      <c r="AG184" s="437"/>
      <c r="AH184" s="437"/>
      <c r="AI184" s="437"/>
      <c r="AJ184" s="437"/>
      <c r="AK184" s="437"/>
      <c r="AL184" s="437"/>
      <c r="AM184" s="437"/>
      <c r="AN184" s="437"/>
      <c r="AO184" s="437"/>
      <c r="AP184" s="437"/>
      <c r="AQ184" s="1327"/>
      <c r="AR184" s="437"/>
      <c r="AS184" s="437"/>
      <c r="AT184" s="437"/>
      <c r="AU184" s="437"/>
      <c r="AV184" s="437"/>
      <c r="AW184" s="437"/>
      <c r="AX184" s="437"/>
      <c r="AY184" s="437"/>
      <c r="AZ184" s="437"/>
      <c r="BA184" s="437"/>
      <c r="BB184" s="1327"/>
      <c r="BC184" s="437"/>
      <c r="BD184" s="437"/>
      <c r="BE184" s="437"/>
      <c r="BF184" s="437"/>
      <c r="BG184" s="437"/>
      <c r="BH184" s="437"/>
      <c r="BI184" s="437"/>
      <c r="BJ184" s="437"/>
      <c r="BK184" s="437"/>
      <c r="BL184" s="437"/>
      <c r="BM184" s="1327"/>
      <c r="BN184" s="1327"/>
      <c r="BO184" s="1327"/>
      <c r="BP184" s="1327"/>
      <c r="BQ184" s="1327"/>
      <c r="BR184" s="1327"/>
      <c r="BS184" s="1327"/>
      <c r="BT184" s="1327"/>
      <c r="BU184" s="1327"/>
      <c r="BV184" s="1327"/>
      <c r="BW184" s="1327"/>
      <c r="BX184" s="1327"/>
      <c r="BY184" s="1327"/>
      <c r="BZ184" s="1327"/>
      <c r="CA184" s="1327"/>
      <c r="CB184" s="1327"/>
      <c r="CC184" s="1327"/>
      <c r="CD184" s="1327"/>
      <c r="CE184" s="1327"/>
      <c r="CF184" s="1327"/>
      <c r="CG184" s="1327"/>
      <c r="CH184" s="1327"/>
      <c r="CI184" s="1327"/>
      <c r="CJ184" s="1327"/>
      <c r="CK184" s="1327"/>
      <c r="CL184" s="1327"/>
      <c r="CM184" s="1327"/>
      <c r="CN184" s="1327"/>
      <c r="CO184" s="1327"/>
      <c r="CP184" s="1327"/>
      <c r="CQ184" s="1327"/>
      <c r="CR184" s="1327"/>
      <c r="CS184" s="1327"/>
      <c r="CT184" s="1317"/>
      <c r="CU184" s="1317"/>
      <c r="CV184" s="1317"/>
      <c r="CW184" s="1317"/>
      <c r="CX184" s="1317"/>
      <c r="CY184" s="1317"/>
      <c r="CZ184" s="1317"/>
      <c r="DA184" s="1317"/>
      <c r="DB184" s="1317"/>
      <c r="DC184" s="1317"/>
      <c r="DD184" s="1317"/>
      <c r="DE184" s="1317"/>
      <c r="DF184" s="1317"/>
      <c r="DG184" s="1317"/>
    </row>
    <row r="185" ht="18.75" customHeight="1">
      <c r="G185" s="1344"/>
      <c r="H185" s="1345">
        <f t="shared" si="4"/>
        <v>0</v>
      </c>
      <c r="I185" s="1381"/>
      <c r="J185" s="1381"/>
      <c r="K185" s="1381"/>
      <c r="L185" s="1381"/>
      <c r="M185" s="1381"/>
      <c r="N185" s="1381"/>
      <c r="O185" s="1381"/>
      <c r="P185" s="1381"/>
      <c r="Q185" s="1381"/>
      <c r="R185" s="1381"/>
      <c r="T185" s="1349"/>
      <c r="U185" s="1349" t="s">
        <v>123</v>
      </c>
      <c r="V185" s="1349" t="s">
        <v>123</v>
      </c>
      <c r="W185" s="1349"/>
      <c r="X185" s="1349"/>
      <c r="Y185" s="1308"/>
      <c r="Z185" s="437" t="str">
        <f>IFERROR(__xludf.DUMMYFUNCTION("IF(NOT('portfólio'!$AV$7),"""",IF($T185="""","""",IFERROR(query({AtivosDados},""select sum(""&amp;Z$3&amp;"") where Col1='""&amp;$T185&amp;""' label sum(""&amp;Z$3&amp;"") ''""),0)))"),"")</f>
        <v/>
      </c>
      <c r="AA185" s="437" t="str">
        <f>IFERROR(__xludf.DUMMYFUNCTION("IF(NOT('portfólio'!$AV$7),"""",IF($T185="""","""",IFERROR(query({AtivosDados},""select sum(""&amp;AA$3&amp;"") where Col1='""&amp;$T185&amp;""' label sum(""&amp;AA$3&amp;"") ''""),0)))"),"")</f>
        <v/>
      </c>
      <c r="AB185" s="437" t="str">
        <f>IFERROR(__xludf.DUMMYFUNCTION("IF(NOT('portfólio'!$AV$7),"""",IF($T185="""","""",IFERROR(query({AtivosDados},""select sum(""&amp;AB$3&amp;"") where Col1='""&amp;$T185&amp;""' label sum(""&amp;AB$3&amp;"") ''""),0)))"),"")</f>
        <v/>
      </c>
      <c r="AC185" s="437" t="str">
        <f>IFERROR(__xludf.DUMMYFUNCTION("IF(NOT('portfólio'!$AV$7),"""",IF($T185="""","""",IFERROR(query({AtivosDados},""select sum(""&amp;AC$3&amp;"") where Col1='""&amp;$T185&amp;""' label sum(""&amp;AC$3&amp;"") ''""),0)))"),"")</f>
        <v/>
      </c>
      <c r="AD185" s="437" t="str">
        <f>IFERROR(__xludf.DUMMYFUNCTION("IF(NOT('portfólio'!$AV$7),"""",IF($T185="""","""",IFERROR(query({AtivosDados},""select sum(""&amp;AD$3&amp;"") where Col1='""&amp;$T185&amp;""' label sum(""&amp;AD$3&amp;"") ''""),0)))"),"")</f>
        <v/>
      </c>
      <c r="AE185" s="437"/>
      <c r="AF185" s="1327"/>
      <c r="AG185" s="437"/>
      <c r="AH185" s="437"/>
      <c r="AI185" s="437"/>
      <c r="AJ185" s="437"/>
      <c r="AK185" s="437"/>
      <c r="AL185" s="437"/>
      <c r="AM185" s="437"/>
      <c r="AN185" s="437"/>
      <c r="AO185" s="437"/>
      <c r="AP185" s="437"/>
      <c r="AQ185" s="1327"/>
      <c r="AR185" s="437"/>
      <c r="AS185" s="437"/>
      <c r="AT185" s="437"/>
      <c r="AU185" s="437"/>
      <c r="AV185" s="437"/>
      <c r="AW185" s="437"/>
      <c r="AX185" s="437"/>
      <c r="AY185" s="437"/>
      <c r="AZ185" s="437"/>
      <c r="BA185" s="437"/>
      <c r="BB185" s="1327"/>
      <c r="BC185" s="437"/>
      <c r="BD185" s="437"/>
      <c r="BE185" s="437"/>
      <c r="BF185" s="437"/>
      <c r="BG185" s="437"/>
      <c r="BH185" s="437"/>
      <c r="BI185" s="437"/>
      <c r="BJ185" s="437"/>
      <c r="BK185" s="437"/>
      <c r="BL185" s="437"/>
      <c r="BM185" s="1327"/>
      <c r="BN185" s="1327"/>
      <c r="BO185" s="1327"/>
      <c r="BP185" s="1327"/>
      <c r="BQ185" s="1327"/>
      <c r="BR185" s="1327"/>
      <c r="BS185" s="1327"/>
      <c r="BT185" s="1327"/>
      <c r="BU185" s="1327"/>
      <c r="BV185" s="1327"/>
      <c r="BW185" s="1327"/>
      <c r="BX185" s="1327"/>
      <c r="BY185" s="1327"/>
      <c r="BZ185" s="1327"/>
      <c r="CA185" s="1327"/>
      <c r="CB185" s="1327"/>
      <c r="CC185" s="1327"/>
      <c r="CD185" s="1327"/>
      <c r="CE185" s="1327"/>
      <c r="CF185" s="1327"/>
      <c r="CG185" s="1327"/>
      <c r="CH185" s="1327"/>
      <c r="CI185" s="1327"/>
      <c r="CJ185" s="1327"/>
      <c r="CK185" s="1327"/>
      <c r="CL185" s="1327"/>
      <c r="CM185" s="1327"/>
      <c r="CN185" s="1327"/>
      <c r="CO185" s="1327"/>
      <c r="CP185" s="1327"/>
      <c r="CQ185" s="1327"/>
      <c r="CR185" s="1327"/>
      <c r="CS185" s="1327"/>
      <c r="CT185" s="1317"/>
      <c r="CU185" s="1317"/>
      <c r="CV185" s="1317"/>
      <c r="CW185" s="1317"/>
      <c r="CX185" s="1317"/>
      <c r="CY185" s="1317"/>
      <c r="CZ185" s="1317"/>
      <c r="DA185" s="1317"/>
      <c r="DB185" s="1317"/>
      <c r="DC185" s="1317"/>
      <c r="DD185" s="1317"/>
      <c r="DE185" s="1317"/>
      <c r="DF185" s="1317"/>
      <c r="DG185" s="1317"/>
    </row>
    <row r="186" ht="18.75" customHeight="1">
      <c r="G186" s="1344"/>
      <c r="H186" s="1345">
        <f t="shared" si="4"/>
        <v>0</v>
      </c>
      <c r="I186" s="1381"/>
      <c r="J186" s="1381"/>
      <c r="K186" s="1381"/>
      <c r="L186" s="1381"/>
      <c r="M186" s="1381"/>
      <c r="N186" s="1381"/>
      <c r="O186" s="1381"/>
      <c r="P186" s="1381"/>
      <c r="Q186" s="1381"/>
      <c r="R186" s="1381"/>
      <c r="T186" s="1349"/>
      <c r="U186" s="1349" t="s">
        <v>123</v>
      </c>
      <c r="V186" s="1349" t="s">
        <v>123</v>
      </c>
      <c r="W186" s="1349"/>
      <c r="X186" s="1349"/>
      <c r="Y186" s="1308"/>
      <c r="Z186" s="437" t="str">
        <f>IFERROR(__xludf.DUMMYFUNCTION("IF(NOT('portfólio'!$AV$7),"""",IF($T186="""","""",IFERROR(query({AtivosDados},""select sum(""&amp;Z$3&amp;"") where Col1='""&amp;$T186&amp;""' label sum(""&amp;Z$3&amp;"") ''""),0)))"),"")</f>
        <v/>
      </c>
      <c r="AA186" s="437" t="str">
        <f>IFERROR(__xludf.DUMMYFUNCTION("IF(NOT('portfólio'!$AV$7),"""",IF($T186="""","""",IFERROR(query({AtivosDados},""select sum(""&amp;AA$3&amp;"") where Col1='""&amp;$T186&amp;""' label sum(""&amp;AA$3&amp;"") ''""),0)))"),"")</f>
        <v/>
      </c>
      <c r="AB186" s="437" t="str">
        <f>IFERROR(__xludf.DUMMYFUNCTION("IF(NOT('portfólio'!$AV$7),"""",IF($T186="""","""",IFERROR(query({AtivosDados},""select sum(""&amp;AB$3&amp;"") where Col1='""&amp;$T186&amp;""' label sum(""&amp;AB$3&amp;"") ''""),0)))"),"")</f>
        <v/>
      </c>
      <c r="AC186" s="437" t="str">
        <f>IFERROR(__xludf.DUMMYFUNCTION("IF(NOT('portfólio'!$AV$7),"""",IF($T186="""","""",IFERROR(query({AtivosDados},""select sum(""&amp;AC$3&amp;"") where Col1='""&amp;$T186&amp;""' label sum(""&amp;AC$3&amp;"") ''""),0)))"),"")</f>
        <v/>
      </c>
      <c r="AD186" s="437" t="str">
        <f>IFERROR(__xludf.DUMMYFUNCTION("IF(NOT('portfólio'!$AV$7),"""",IF($T186="""","""",IFERROR(query({AtivosDados},""select sum(""&amp;AD$3&amp;"") where Col1='""&amp;$T186&amp;""' label sum(""&amp;AD$3&amp;"") ''""),0)))"),"")</f>
        <v/>
      </c>
      <c r="AE186" s="437"/>
      <c r="AF186" s="1327"/>
      <c r="AG186" s="437"/>
      <c r="AH186" s="437"/>
      <c r="AI186" s="437"/>
      <c r="AJ186" s="437"/>
      <c r="AK186" s="437"/>
      <c r="AL186" s="437"/>
      <c r="AM186" s="437"/>
      <c r="AN186" s="437"/>
      <c r="AO186" s="437"/>
      <c r="AP186" s="437"/>
      <c r="AQ186" s="1327"/>
      <c r="AR186" s="437"/>
      <c r="AS186" s="437"/>
      <c r="AT186" s="437"/>
      <c r="AU186" s="437"/>
      <c r="AV186" s="437"/>
      <c r="AW186" s="437"/>
      <c r="AX186" s="437"/>
      <c r="AY186" s="437"/>
      <c r="AZ186" s="437"/>
      <c r="BA186" s="437"/>
      <c r="BB186" s="1327"/>
      <c r="BC186" s="437"/>
      <c r="BD186" s="437"/>
      <c r="BE186" s="437"/>
      <c r="BF186" s="437"/>
      <c r="BG186" s="437"/>
      <c r="BH186" s="437"/>
      <c r="BI186" s="437"/>
      <c r="BJ186" s="437"/>
      <c r="BK186" s="437"/>
      <c r="BL186" s="437"/>
      <c r="BM186" s="1327"/>
      <c r="BN186" s="1327"/>
      <c r="BO186" s="1327"/>
      <c r="BP186" s="1327"/>
      <c r="BQ186" s="1327"/>
      <c r="BR186" s="1327"/>
      <c r="BS186" s="1327"/>
      <c r="BT186" s="1327"/>
      <c r="BU186" s="1327"/>
      <c r="BV186" s="1327"/>
      <c r="BW186" s="1327"/>
      <c r="BX186" s="1327"/>
      <c r="BY186" s="1327"/>
      <c r="BZ186" s="1327"/>
      <c r="CA186" s="1327"/>
      <c r="CB186" s="1327"/>
      <c r="CC186" s="1327"/>
      <c r="CD186" s="1327"/>
      <c r="CE186" s="1327"/>
      <c r="CF186" s="1327"/>
      <c r="CG186" s="1327"/>
      <c r="CH186" s="1327"/>
      <c r="CI186" s="1327"/>
      <c r="CJ186" s="1327"/>
      <c r="CK186" s="1327"/>
      <c r="CL186" s="1327"/>
      <c r="CM186" s="1327"/>
      <c r="CN186" s="1327"/>
      <c r="CO186" s="1327"/>
      <c r="CP186" s="1327"/>
      <c r="CQ186" s="1327"/>
      <c r="CR186" s="1327"/>
      <c r="CS186" s="1327"/>
      <c r="CT186" s="1317"/>
      <c r="CU186" s="1317"/>
      <c r="CV186" s="1317"/>
      <c r="CW186" s="1317"/>
      <c r="CX186" s="1317"/>
      <c r="CY186" s="1317"/>
      <c r="CZ186" s="1317"/>
      <c r="DA186" s="1317"/>
      <c r="DB186" s="1317"/>
      <c r="DC186" s="1317"/>
      <c r="DD186" s="1317"/>
      <c r="DE186" s="1317"/>
      <c r="DF186" s="1317"/>
      <c r="DG186" s="1317"/>
    </row>
    <row r="187" ht="18.75" customHeight="1">
      <c r="G187" s="1344"/>
      <c r="H187" s="1345">
        <f t="shared" si="4"/>
        <v>0</v>
      </c>
      <c r="I187" s="1381"/>
      <c r="J187" s="1381"/>
      <c r="K187" s="1381"/>
      <c r="L187" s="1381"/>
      <c r="M187" s="1381"/>
      <c r="N187" s="1381"/>
      <c r="O187" s="1381"/>
      <c r="P187" s="1381"/>
      <c r="Q187" s="1381"/>
      <c r="R187" s="1381"/>
      <c r="T187" s="1349"/>
      <c r="U187" s="1349" t="s">
        <v>123</v>
      </c>
      <c r="V187" s="1349" t="s">
        <v>123</v>
      </c>
      <c r="W187" s="1349"/>
      <c r="X187" s="1349"/>
      <c r="Y187" s="1308"/>
      <c r="Z187" s="437" t="str">
        <f>IFERROR(__xludf.DUMMYFUNCTION("IF(NOT('portfólio'!$AV$7),"""",IF($T187="""","""",IFERROR(query({AtivosDados},""select sum(""&amp;Z$3&amp;"") where Col1='""&amp;$T187&amp;""' label sum(""&amp;Z$3&amp;"") ''""),0)))"),"")</f>
        <v/>
      </c>
      <c r="AA187" s="437" t="str">
        <f>IFERROR(__xludf.DUMMYFUNCTION("IF(NOT('portfólio'!$AV$7),"""",IF($T187="""","""",IFERROR(query({AtivosDados},""select sum(""&amp;AA$3&amp;"") where Col1='""&amp;$T187&amp;""' label sum(""&amp;AA$3&amp;"") ''""),0)))"),"")</f>
        <v/>
      </c>
      <c r="AB187" s="437" t="str">
        <f>IFERROR(__xludf.DUMMYFUNCTION("IF(NOT('portfólio'!$AV$7),"""",IF($T187="""","""",IFERROR(query({AtivosDados},""select sum(""&amp;AB$3&amp;"") where Col1='""&amp;$T187&amp;""' label sum(""&amp;AB$3&amp;"") ''""),0)))"),"")</f>
        <v/>
      </c>
      <c r="AC187" s="437" t="str">
        <f>IFERROR(__xludf.DUMMYFUNCTION("IF(NOT('portfólio'!$AV$7),"""",IF($T187="""","""",IFERROR(query({AtivosDados},""select sum(""&amp;AC$3&amp;"") where Col1='""&amp;$T187&amp;""' label sum(""&amp;AC$3&amp;"") ''""),0)))"),"")</f>
        <v/>
      </c>
      <c r="AD187" s="437" t="str">
        <f>IFERROR(__xludf.DUMMYFUNCTION("IF(NOT('portfólio'!$AV$7),"""",IF($T187="""","""",IFERROR(query({AtivosDados},""select sum(""&amp;AD$3&amp;"") where Col1='""&amp;$T187&amp;""' label sum(""&amp;AD$3&amp;"") ''""),0)))"),"")</f>
        <v/>
      </c>
      <c r="AE187" s="437"/>
      <c r="AF187" s="1327"/>
      <c r="AG187" s="437"/>
      <c r="AH187" s="437"/>
      <c r="AI187" s="437"/>
      <c r="AJ187" s="437"/>
      <c r="AK187" s="437"/>
      <c r="AL187" s="437"/>
      <c r="AM187" s="437"/>
      <c r="AN187" s="437"/>
      <c r="AO187" s="437"/>
      <c r="AP187" s="437"/>
      <c r="AQ187" s="1327"/>
      <c r="AR187" s="437"/>
      <c r="AS187" s="437"/>
      <c r="AT187" s="437"/>
      <c r="AU187" s="437"/>
      <c r="AV187" s="437"/>
      <c r="AW187" s="437"/>
      <c r="AX187" s="437"/>
      <c r="AY187" s="437"/>
      <c r="AZ187" s="437"/>
      <c r="BA187" s="437"/>
      <c r="BB187" s="1327"/>
      <c r="BC187" s="437"/>
      <c r="BD187" s="437"/>
      <c r="BE187" s="437"/>
      <c r="BF187" s="437"/>
      <c r="BG187" s="437"/>
      <c r="BH187" s="437"/>
      <c r="BI187" s="437"/>
      <c r="BJ187" s="437"/>
      <c r="BK187" s="437"/>
      <c r="BL187" s="437"/>
      <c r="BM187" s="1327"/>
      <c r="BN187" s="1327"/>
      <c r="BO187" s="1327"/>
      <c r="BP187" s="1327"/>
      <c r="BQ187" s="1327"/>
      <c r="BR187" s="1327"/>
      <c r="BS187" s="1327"/>
      <c r="BT187" s="1327"/>
      <c r="BU187" s="1327"/>
      <c r="BV187" s="1327"/>
      <c r="BW187" s="1327"/>
      <c r="BX187" s="1327"/>
      <c r="BY187" s="1327"/>
      <c r="BZ187" s="1327"/>
      <c r="CA187" s="1327"/>
      <c r="CB187" s="1327"/>
      <c r="CC187" s="1327"/>
      <c r="CD187" s="1327"/>
      <c r="CE187" s="1327"/>
      <c r="CF187" s="1327"/>
      <c r="CG187" s="1327"/>
      <c r="CH187" s="1327"/>
      <c r="CI187" s="1327"/>
      <c r="CJ187" s="1327"/>
      <c r="CK187" s="1327"/>
      <c r="CL187" s="1327"/>
      <c r="CM187" s="1327"/>
      <c r="CN187" s="1327"/>
      <c r="CO187" s="1327"/>
      <c r="CP187" s="1327"/>
      <c r="CQ187" s="1327"/>
      <c r="CR187" s="1327"/>
      <c r="CS187" s="1327"/>
      <c r="CT187" s="1317"/>
      <c r="CU187" s="1317"/>
      <c r="CV187" s="1317"/>
      <c r="CW187" s="1317"/>
      <c r="CX187" s="1317"/>
      <c r="CY187" s="1317"/>
      <c r="CZ187" s="1317"/>
      <c r="DA187" s="1317"/>
      <c r="DB187" s="1317"/>
      <c r="DC187" s="1317"/>
      <c r="DD187" s="1317"/>
      <c r="DE187" s="1317"/>
      <c r="DF187" s="1317"/>
      <c r="DG187" s="1317"/>
    </row>
    <row r="188" ht="18.75" customHeight="1">
      <c r="G188" s="1344"/>
      <c r="H188" s="1345">
        <f t="shared" si="4"/>
        <v>0</v>
      </c>
      <c r="I188" s="1381"/>
      <c r="J188" s="1381"/>
      <c r="K188" s="1381"/>
      <c r="L188" s="1381"/>
      <c r="M188" s="1381"/>
      <c r="N188" s="1381"/>
      <c r="O188" s="1381"/>
      <c r="P188" s="1381"/>
      <c r="Q188" s="1381"/>
      <c r="R188" s="1381"/>
      <c r="T188" s="1349"/>
      <c r="U188" s="1349" t="s">
        <v>123</v>
      </c>
      <c r="V188" s="1349" t="s">
        <v>123</v>
      </c>
      <c r="W188" s="1349"/>
      <c r="X188" s="1349"/>
      <c r="Y188" s="1308"/>
      <c r="Z188" s="437" t="str">
        <f>IFERROR(__xludf.DUMMYFUNCTION("IF(NOT('portfólio'!$AV$7),"""",IF($T188="""","""",IFERROR(query({AtivosDados},""select sum(""&amp;Z$3&amp;"") where Col1='""&amp;$T188&amp;""' label sum(""&amp;Z$3&amp;"") ''""),0)))"),"")</f>
        <v/>
      </c>
      <c r="AA188" s="437" t="str">
        <f>IFERROR(__xludf.DUMMYFUNCTION("IF(NOT('portfólio'!$AV$7),"""",IF($T188="""","""",IFERROR(query({AtivosDados},""select sum(""&amp;AA$3&amp;"") where Col1='""&amp;$T188&amp;""' label sum(""&amp;AA$3&amp;"") ''""),0)))"),"")</f>
        <v/>
      </c>
      <c r="AB188" s="437" t="str">
        <f>IFERROR(__xludf.DUMMYFUNCTION("IF(NOT('portfólio'!$AV$7),"""",IF($T188="""","""",IFERROR(query({AtivosDados},""select sum(""&amp;AB$3&amp;"") where Col1='""&amp;$T188&amp;""' label sum(""&amp;AB$3&amp;"") ''""),0)))"),"")</f>
        <v/>
      </c>
      <c r="AC188" s="437" t="str">
        <f>IFERROR(__xludf.DUMMYFUNCTION("IF(NOT('portfólio'!$AV$7),"""",IF($T188="""","""",IFERROR(query({AtivosDados},""select sum(""&amp;AC$3&amp;"") where Col1='""&amp;$T188&amp;""' label sum(""&amp;AC$3&amp;"") ''""),0)))"),"")</f>
        <v/>
      </c>
      <c r="AD188" s="437" t="str">
        <f>IFERROR(__xludf.DUMMYFUNCTION("IF(NOT('portfólio'!$AV$7),"""",IF($T188="""","""",IFERROR(query({AtivosDados},""select sum(""&amp;AD$3&amp;"") where Col1='""&amp;$T188&amp;""' label sum(""&amp;AD$3&amp;"") ''""),0)))"),"")</f>
        <v/>
      </c>
      <c r="AE188" s="437"/>
      <c r="AF188" s="1327"/>
      <c r="AG188" s="437"/>
      <c r="AH188" s="437"/>
      <c r="AI188" s="437"/>
      <c r="AJ188" s="437"/>
      <c r="AK188" s="437"/>
      <c r="AL188" s="437"/>
      <c r="AM188" s="437"/>
      <c r="AN188" s="437"/>
      <c r="AO188" s="437"/>
      <c r="AP188" s="437"/>
      <c r="AQ188" s="1327"/>
      <c r="AR188" s="437"/>
      <c r="AS188" s="437"/>
      <c r="AT188" s="437"/>
      <c r="AU188" s="437"/>
      <c r="AV188" s="437"/>
      <c r="AW188" s="437"/>
      <c r="AX188" s="437"/>
      <c r="AY188" s="437"/>
      <c r="AZ188" s="437"/>
      <c r="BA188" s="437"/>
      <c r="BB188" s="1327"/>
      <c r="BC188" s="437"/>
      <c r="BD188" s="437"/>
      <c r="BE188" s="437"/>
      <c r="BF188" s="437"/>
      <c r="BG188" s="437"/>
      <c r="BH188" s="437"/>
      <c r="BI188" s="437"/>
      <c r="BJ188" s="437"/>
      <c r="BK188" s="437"/>
      <c r="BL188" s="437"/>
      <c r="BM188" s="1327"/>
      <c r="BN188" s="1327"/>
      <c r="BO188" s="1327"/>
      <c r="BP188" s="1327"/>
      <c r="BQ188" s="1327"/>
      <c r="BR188" s="1327"/>
      <c r="BS188" s="1327"/>
      <c r="BT188" s="1327"/>
      <c r="BU188" s="1327"/>
      <c r="BV188" s="1327"/>
      <c r="BW188" s="1327"/>
      <c r="BX188" s="1327"/>
      <c r="BY188" s="1327"/>
      <c r="BZ188" s="1327"/>
      <c r="CA188" s="1327"/>
      <c r="CB188" s="1327"/>
      <c r="CC188" s="1327"/>
      <c r="CD188" s="1327"/>
      <c r="CE188" s="1327"/>
      <c r="CF188" s="1327"/>
      <c r="CG188" s="1327"/>
      <c r="CH188" s="1327"/>
      <c r="CI188" s="1327"/>
      <c r="CJ188" s="1327"/>
      <c r="CK188" s="1327"/>
      <c r="CL188" s="1327"/>
      <c r="CM188" s="1327"/>
      <c r="CN188" s="1327"/>
      <c r="CO188" s="1327"/>
      <c r="CP188" s="1327"/>
      <c r="CQ188" s="1327"/>
      <c r="CR188" s="1327"/>
      <c r="CS188" s="1327"/>
      <c r="CT188" s="1317"/>
      <c r="CU188" s="1317"/>
      <c r="CV188" s="1317"/>
      <c r="CW188" s="1317"/>
      <c r="CX188" s="1317"/>
      <c r="CY188" s="1317"/>
      <c r="CZ188" s="1317"/>
      <c r="DA188" s="1317"/>
      <c r="DB188" s="1317"/>
      <c r="DC188" s="1317"/>
      <c r="DD188" s="1317"/>
      <c r="DE188" s="1317"/>
      <c r="DF188" s="1317"/>
      <c r="DG188" s="1317"/>
    </row>
    <row r="189" ht="18.75" customHeight="1">
      <c r="G189" s="1344"/>
      <c r="H189" s="1345">
        <f t="shared" si="4"/>
        <v>0</v>
      </c>
      <c r="I189" s="1381"/>
      <c r="J189" s="1381"/>
      <c r="K189" s="1381"/>
      <c r="L189" s="1381"/>
      <c r="M189" s="1381"/>
      <c r="N189" s="1381"/>
      <c r="O189" s="1381"/>
      <c r="P189" s="1381"/>
      <c r="Q189" s="1381"/>
      <c r="R189" s="1381"/>
      <c r="T189" s="1349"/>
      <c r="U189" s="1349" t="s">
        <v>123</v>
      </c>
      <c r="V189" s="1349" t="s">
        <v>123</v>
      </c>
      <c r="W189" s="1349"/>
      <c r="X189" s="1349"/>
      <c r="Y189" s="1308"/>
      <c r="Z189" s="437" t="str">
        <f>IFERROR(__xludf.DUMMYFUNCTION("IF(NOT('portfólio'!$AV$7),"""",IF($T189="""","""",IFERROR(query({AtivosDados},""select sum(""&amp;Z$3&amp;"") where Col1='""&amp;$T189&amp;""' label sum(""&amp;Z$3&amp;"") ''""),0)))"),"")</f>
        <v/>
      </c>
      <c r="AA189" s="437" t="str">
        <f>IFERROR(__xludf.DUMMYFUNCTION("IF(NOT('portfólio'!$AV$7),"""",IF($T189="""","""",IFERROR(query({AtivosDados},""select sum(""&amp;AA$3&amp;"") where Col1='""&amp;$T189&amp;""' label sum(""&amp;AA$3&amp;"") ''""),0)))"),"")</f>
        <v/>
      </c>
      <c r="AB189" s="437" t="str">
        <f>IFERROR(__xludf.DUMMYFUNCTION("IF(NOT('portfólio'!$AV$7),"""",IF($T189="""","""",IFERROR(query({AtivosDados},""select sum(""&amp;AB$3&amp;"") where Col1='""&amp;$T189&amp;""' label sum(""&amp;AB$3&amp;"") ''""),0)))"),"")</f>
        <v/>
      </c>
      <c r="AC189" s="437" t="str">
        <f>IFERROR(__xludf.DUMMYFUNCTION("IF(NOT('portfólio'!$AV$7),"""",IF($T189="""","""",IFERROR(query({AtivosDados},""select sum(""&amp;AC$3&amp;"") where Col1='""&amp;$T189&amp;""' label sum(""&amp;AC$3&amp;"") ''""),0)))"),"")</f>
        <v/>
      </c>
      <c r="AD189" s="437" t="str">
        <f>IFERROR(__xludf.DUMMYFUNCTION("IF(NOT('portfólio'!$AV$7),"""",IF($T189="""","""",IFERROR(query({AtivosDados},""select sum(""&amp;AD$3&amp;"") where Col1='""&amp;$T189&amp;""' label sum(""&amp;AD$3&amp;"") ''""),0)))"),"")</f>
        <v/>
      </c>
      <c r="AE189" s="437"/>
      <c r="AF189" s="1327"/>
      <c r="AG189" s="437"/>
      <c r="AH189" s="437"/>
      <c r="AI189" s="437"/>
      <c r="AJ189" s="437"/>
      <c r="AK189" s="437"/>
      <c r="AL189" s="437"/>
      <c r="AM189" s="437"/>
      <c r="AN189" s="437"/>
      <c r="AO189" s="437"/>
      <c r="AP189" s="437"/>
      <c r="AQ189" s="1327"/>
      <c r="AR189" s="437"/>
      <c r="AS189" s="437"/>
      <c r="AT189" s="437"/>
      <c r="AU189" s="437"/>
      <c r="AV189" s="437"/>
      <c r="AW189" s="437"/>
      <c r="AX189" s="437"/>
      <c r="AY189" s="437"/>
      <c r="AZ189" s="437"/>
      <c r="BA189" s="437"/>
      <c r="BB189" s="1327"/>
      <c r="BC189" s="437"/>
      <c r="BD189" s="437"/>
      <c r="BE189" s="437"/>
      <c r="BF189" s="437"/>
      <c r="BG189" s="437"/>
      <c r="BH189" s="437"/>
      <c r="BI189" s="437"/>
      <c r="BJ189" s="437"/>
      <c r="BK189" s="437"/>
      <c r="BL189" s="437"/>
      <c r="BM189" s="1327"/>
      <c r="BN189" s="1327"/>
      <c r="BO189" s="1327"/>
      <c r="BP189" s="1327"/>
      <c r="BQ189" s="1327"/>
      <c r="BR189" s="1327"/>
      <c r="BS189" s="1327"/>
      <c r="BT189" s="1327"/>
      <c r="BU189" s="1327"/>
      <c r="BV189" s="1327"/>
      <c r="BW189" s="1327"/>
      <c r="BX189" s="1327"/>
      <c r="BY189" s="1327"/>
      <c r="BZ189" s="1327"/>
      <c r="CA189" s="1327"/>
      <c r="CB189" s="1327"/>
      <c r="CC189" s="1327"/>
      <c r="CD189" s="1327"/>
      <c r="CE189" s="1327"/>
      <c r="CF189" s="1327"/>
      <c r="CG189" s="1327"/>
      <c r="CH189" s="1327"/>
      <c r="CI189" s="1327"/>
      <c r="CJ189" s="1327"/>
      <c r="CK189" s="1327"/>
      <c r="CL189" s="1327"/>
      <c r="CM189" s="1327"/>
      <c r="CN189" s="1327"/>
      <c r="CO189" s="1327"/>
      <c r="CP189" s="1327"/>
      <c r="CQ189" s="1327"/>
      <c r="CR189" s="1327"/>
      <c r="CS189" s="1327"/>
      <c r="CT189" s="1317"/>
      <c r="CU189" s="1317"/>
      <c r="CV189" s="1317"/>
      <c r="CW189" s="1317"/>
      <c r="CX189" s="1317"/>
      <c r="CY189" s="1317"/>
      <c r="CZ189" s="1317"/>
      <c r="DA189" s="1317"/>
      <c r="DB189" s="1317"/>
      <c r="DC189" s="1317"/>
      <c r="DD189" s="1317"/>
      <c r="DE189" s="1317"/>
      <c r="DF189" s="1317"/>
      <c r="DG189" s="1317"/>
    </row>
    <row r="190" ht="18.75" customHeight="1">
      <c r="G190" s="1344"/>
      <c r="H190" s="1345">
        <f t="shared" si="4"/>
        <v>0</v>
      </c>
      <c r="I190" s="1381"/>
      <c r="J190" s="1381"/>
      <c r="K190" s="1381"/>
      <c r="L190" s="1381"/>
      <c r="M190" s="1381"/>
      <c r="N190" s="1381"/>
      <c r="O190" s="1381"/>
      <c r="P190" s="1381"/>
      <c r="Q190" s="1381"/>
      <c r="R190" s="1381"/>
      <c r="T190" s="1349"/>
      <c r="U190" s="1349" t="s">
        <v>123</v>
      </c>
      <c r="V190" s="1349" t="s">
        <v>123</v>
      </c>
      <c r="W190" s="1349"/>
      <c r="X190" s="1349"/>
      <c r="Y190" s="1308"/>
      <c r="Z190" s="437" t="str">
        <f>IFERROR(__xludf.DUMMYFUNCTION("IF(NOT('portfólio'!$AV$7),"""",IF($T190="""","""",IFERROR(query({AtivosDados},""select sum(""&amp;Z$3&amp;"") where Col1='""&amp;$T190&amp;""' label sum(""&amp;Z$3&amp;"") ''""),0)))"),"")</f>
        <v/>
      </c>
      <c r="AA190" s="437" t="str">
        <f>IFERROR(__xludf.DUMMYFUNCTION("IF(NOT('portfólio'!$AV$7),"""",IF($T190="""","""",IFERROR(query({AtivosDados},""select sum(""&amp;AA$3&amp;"") where Col1='""&amp;$T190&amp;""' label sum(""&amp;AA$3&amp;"") ''""),0)))"),"")</f>
        <v/>
      </c>
      <c r="AB190" s="437" t="str">
        <f>IFERROR(__xludf.DUMMYFUNCTION("IF(NOT('portfólio'!$AV$7),"""",IF($T190="""","""",IFERROR(query({AtivosDados},""select sum(""&amp;AB$3&amp;"") where Col1='""&amp;$T190&amp;""' label sum(""&amp;AB$3&amp;"") ''""),0)))"),"")</f>
        <v/>
      </c>
      <c r="AC190" s="437" t="str">
        <f>IFERROR(__xludf.DUMMYFUNCTION("IF(NOT('portfólio'!$AV$7),"""",IF($T190="""","""",IFERROR(query({AtivosDados},""select sum(""&amp;AC$3&amp;"") where Col1='""&amp;$T190&amp;""' label sum(""&amp;AC$3&amp;"") ''""),0)))"),"")</f>
        <v/>
      </c>
      <c r="AD190" s="437" t="str">
        <f>IFERROR(__xludf.DUMMYFUNCTION("IF(NOT('portfólio'!$AV$7),"""",IF($T190="""","""",IFERROR(query({AtivosDados},""select sum(""&amp;AD$3&amp;"") where Col1='""&amp;$T190&amp;""' label sum(""&amp;AD$3&amp;"") ''""),0)))"),"")</f>
        <v/>
      </c>
      <c r="AE190" s="437"/>
      <c r="AF190" s="1327"/>
      <c r="AG190" s="437"/>
      <c r="AH190" s="437"/>
      <c r="AI190" s="437"/>
      <c r="AJ190" s="437"/>
      <c r="AK190" s="437"/>
      <c r="AL190" s="437"/>
      <c r="AM190" s="437"/>
      <c r="AN190" s="437"/>
      <c r="AO190" s="437"/>
      <c r="AP190" s="437"/>
      <c r="AQ190" s="1327"/>
      <c r="AR190" s="437"/>
      <c r="AS190" s="437"/>
      <c r="AT190" s="437"/>
      <c r="AU190" s="437"/>
      <c r="AV190" s="437"/>
      <c r="AW190" s="437"/>
      <c r="AX190" s="437"/>
      <c r="AY190" s="437"/>
      <c r="AZ190" s="437"/>
      <c r="BA190" s="437"/>
      <c r="BB190" s="1327"/>
      <c r="BC190" s="437"/>
      <c r="BD190" s="437"/>
      <c r="BE190" s="437"/>
      <c r="BF190" s="437"/>
      <c r="BG190" s="437"/>
      <c r="BH190" s="437"/>
      <c r="BI190" s="437"/>
      <c r="BJ190" s="437"/>
      <c r="BK190" s="437"/>
      <c r="BL190" s="437"/>
      <c r="BM190" s="1327"/>
      <c r="BN190" s="1327"/>
      <c r="BO190" s="1327"/>
      <c r="BP190" s="1327"/>
      <c r="BQ190" s="1327"/>
      <c r="BR190" s="1327"/>
      <c r="BS190" s="1327"/>
      <c r="BT190" s="1327"/>
      <c r="BU190" s="1327"/>
      <c r="BV190" s="1327"/>
      <c r="BW190" s="1327"/>
      <c r="BX190" s="1327"/>
      <c r="BY190" s="1327"/>
      <c r="BZ190" s="1327"/>
      <c r="CA190" s="1327"/>
      <c r="CB190" s="1327"/>
      <c r="CC190" s="1327"/>
      <c r="CD190" s="1327"/>
      <c r="CE190" s="1327"/>
      <c r="CF190" s="1327"/>
      <c r="CG190" s="1327"/>
      <c r="CH190" s="1327"/>
      <c r="CI190" s="1327"/>
      <c r="CJ190" s="1327"/>
      <c r="CK190" s="1327"/>
      <c r="CL190" s="1327"/>
      <c r="CM190" s="1327"/>
      <c r="CN190" s="1327"/>
      <c r="CO190" s="1327"/>
      <c r="CP190" s="1327"/>
      <c r="CQ190" s="1327"/>
      <c r="CR190" s="1327"/>
      <c r="CS190" s="1327"/>
      <c r="CT190" s="1317"/>
      <c r="CU190" s="1317"/>
      <c r="CV190" s="1317"/>
      <c r="CW190" s="1317"/>
      <c r="CX190" s="1317"/>
      <c r="CY190" s="1317"/>
      <c r="CZ190" s="1317"/>
      <c r="DA190" s="1317"/>
      <c r="DB190" s="1317"/>
      <c r="DC190" s="1317"/>
      <c r="DD190" s="1317"/>
      <c r="DE190" s="1317"/>
      <c r="DF190" s="1317"/>
      <c r="DG190" s="1317"/>
    </row>
    <row r="191" ht="18.75" customHeight="1">
      <c r="G191" s="1344"/>
      <c r="H191" s="1345">
        <f t="shared" si="4"/>
        <v>0</v>
      </c>
      <c r="I191" s="1381"/>
      <c r="J191" s="1381"/>
      <c r="K191" s="1381"/>
      <c r="L191" s="1381"/>
      <c r="M191" s="1381"/>
      <c r="N191" s="1381"/>
      <c r="O191" s="1381"/>
      <c r="P191" s="1381"/>
      <c r="Q191" s="1381"/>
      <c r="R191" s="1381"/>
      <c r="T191" s="1349"/>
      <c r="U191" s="1349" t="s">
        <v>123</v>
      </c>
      <c r="V191" s="1349" t="s">
        <v>123</v>
      </c>
      <c r="W191" s="1349"/>
      <c r="X191" s="1349"/>
      <c r="Y191" s="1308"/>
      <c r="Z191" s="437" t="str">
        <f>IFERROR(__xludf.DUMMYFUNCTION("IF(NOT('portfólio'!$AV$7),"""",IF($T191="""","""",IFERROR(query({AtivosDados},""select sum(""&amp;Z$3&amp;"") where Col1='""&amp;$T191&amp;""' label sum(""&amp;Z$3&amp;"") ''""),0)))"),"")</f>
        <v/>
      </c>
      <c r="AA191" s="437" t="str">
        <f>IFERROR(__xludf.DUMMYFUNCTION("IF(NOT('portfólio'!$AV$7),"""",IF($T191="""","""",IFERROR(query({AtivosDados},""select sum(""&amp;AA$3&amp;"") where Col1='""&amp;$T191&amp;""' label sum(""&amp;AA$3&amp;"") ''""),0)))"),"")</f>
        <v/>
      </c>
      <c r="AB191" s="437" t="str">
        <f>IFERROR(__xludf.DUMMYFUNCTION("IF(NOT('portfólio'!$AV$7),"""",IF($T191="""","""",IFERROR(query({AtivosDados},""select sum(""&amp;AB$3&amp;"") where Col1='""&amp;$T191&amp;""' label sum(""&amp;AB$3&amp;"") ''""),0)))"),"")</f>
        <v/>
      </c>
      <c r="AC191" s="437" t="str">
        <f>IFERROR(__xludf.DUMMYFUNCTION("IF(NOT('portfólio'!$AV$7),"""",IF($T191="""","""",IFERROR(query({AtivosDados},""select sum(""&amp;AC$3&amp;"") where Col1='""&amp;$T191&amp;""' label sum(""&amp;AC$3&amp;"") ''""),0)))"),"")</f>
        <v/>
      </c>
      <c r="AD191" s="437" t="str">
        <f>IFERROR(__xludf.DUMMYFUNCTION("IF(NOT('portfólio'!$AV$7),"""",IF($T191="""","""",IFERROR(query({AtivosDados},""select sum(""&amp;AD$3&amp;"") where Col1='""&amp;$T191&amp;""' label sum(""&amp;AD$3&amp;"") ''""),0)))"),"")</f>
        <v/>
      </c>
      <c r="AE191" s="437"/>
      <c r="AF191" s="1327"/>
      <c r="AG191" s="437"/>
      <c r="AH191" s="437"/>
      <c r="AI191" s="437"/>
      <c r="AJ191" s="437"/>
      <c r="AK191" s="437"/>
      <c r="AL191" s="437"/>
      <c r="AM191" s="437"/>
      <c r="AN191" s="437"/>
      <c r="AO191" s="437"/>
      <c r="AP191" s="437"/>
      <c r="AQ191" s="1327"/>
      <c r="AR191" s="437"/>
      <c r="AS191" s="437"/>
      <c r="AT191" s="437"/>
      <c r="AU191" s="437"/>
      <c r="AV191" s="437"/>
      <c r="AW191" s="437"/>
      <c r="AX191" s="437"/>
      <c r="AY191" s="437"/>
      <c r="AZ191" s="437"/>
      <c r="BA191" s="437"/>
      <c r="BB191" s="1327"/>
      <c r="BC191" s="437"/>
      <c r="BD191" s="437"/>
      <c r="BE191" s="437"/>
      <c r="BF191" s="437"/>
      <c r="BG191" s="437"/>
      <c r="BH191" s="437"/>
      <c r="BI191" s="437"/>
      <c r="BJ191" s="437"/>
      <c r="BK191" s="437"/>
      <c r="BL191" s="437"/>
      <c r="BM191" s="1327"/>
      <c r="BN191" s="1327"/>
      <c r="BO191" s="1327"/>
      <c r="BP191" s="1327"/>
      <c r="BQ191" s="1327"/>
      <c r="BR191" s="1327"/>
      <c r="BS191" s="1327"/>
      <c r="BT191" s="1327"/>
      <c r="BU191" s="1327"/>
      <c r="BV191" s="1327"/>
      <c r="BW191" s="1327"/>
      <c r="BX191" s="1327"/>
      <c r="BY191" s="1327"/>
      <c r="BZ191" s="1327"/>
      <c r="CA191" s="1327"/>
      <c r="CB191" s="1327"/>
      <c r="CC191" s="1327"/>
      <c r="CD191" s="1327"/>
      <c r="CE191" s="1327"/>
      <c r="CF191" s="1327"/>
      <c r="CG191" s="1327"/>
      <c r="CH191" s="1327"/>
      <c r="CI191" s="1327"/>
      <c r="CJ191" s="1327"/>
      <c r="CK191" s="1327"/>
      <c r="CL191" s="1327"/>
      <c r="CM191" s="1327"/>
      <c r="CN191" s="1327"/>
      <c r="CO191" s="1327"/>
      <c r="CP191" s="1327"/>
      <c r="CQ191" s="1327"/>
      <c r="CR191" s="1327"/>
      <c r="CS191" s="1327"/>
      <c r="CT191" s="1317"/>
      <c r="CU191" s="1317"/>
      <c r="CV191" s="1317"/>
      <c r="CW191" s="1317"/>
      <c r="CX191" s="1317"/>
      <c r="CY191" s="1317"/>
      <c r="CZ191" s="1317"/>
      <c r="DA191" s="1317"/>
      <c r="DB191" s="1317"/>
      <c r="DC191" s="1317"/>
      <c r="DD191" s="1317"/>
      <c r="DE191" s="1317"/>
      <c r="DF191" s="1317"/>
      <c r="DG191" s="1317"/>
    </row>
    <row r="192" ht="18.75" customHeight="1">
      <c r="G192" s="1344"/>
      <c r="H192" s="1345">
        <f t="shared" si="4"/>
        <v>0</v>
      </c>
      <c r="I192" s="1381"/>
      <c r="J192" s="1381"/>
      <c r="K192" s="1381"/>
      <c r="L192" s="1381"/>
      <c r="M192" s="1381"/>
      <c r="N192" s="1381"/>
      <c r="O192" s="1381"/>
      <c r="P192" s="1381"/>
      <c r="Q192" s="1381"/>
      <c r="R192" s="1381"/>
      <c r="T192" s="1349"/>
      <c r="U192" s="1349" t="s">
        <v>123</v>
      </c>
      <c r="V192" s="1349" t="s">
        <v>123</v>
      </c>
      <c r="W192" s="1349"/>
      <c r="X192" s="1349"/>
      <c r="Y192" s="1308"/>
      <c r="Z192" s="437" t="str">
        <f>IFERROR(__xludf.DUMMYFUNCTION("IF(NOT('portfólio'!$AV$7),"""",IF($T192="""","""",IFERROR(query({AtivosDados},""select sum(""&amp;Z$3&amp;"") where Col1='""&amp;$T192&amp;""' label sum(""&amp;Z$3&amp;"") ''""),0)))"),"")</f>
        <v/>
      </c>
      <c r="AA192" s="437" t="str">
        <f>IFERROR(__xludf.DUMMYFUNCTION("IF(NOT('portfólio'!$AV$7),"""",IF($T192="""","""",IFERROR(query({AtivosDados},""select sum(""&amp;AA$3&amp;"") where Col1='""&amp;$T192&amp;""' label sum(""&amp;AA$3&amp;"") ''""),0)))"),"")</f>
        <v/>
      </c>
      <c r="AB192" s="437" t="str">
        <f>IFERROR(__xludf.DUMMYFUNCTION("IF(NOT('portfólio'!$AV$7),"""",IF($T192="""","""",IFERROR(query({AtivosDados},""select sum(""&amp;AB$3&amp;"") where Col1='""&amp;$T192&amp;""' label sum(""&amp;AB$3&amp;"") ''""),0)))"),"")</f>
        <v/>
      </c>
      <c r="AC192" s="437" t="str">
        <f>IFERROR(__xludf.DUMMYFUNCTION("IF(NOT('portfólio'!$AV$7),"""",IF($T192="""","""",IFERROR(query({AtivosDados},""select sum(""&amp;AC$3&amp;"") where Col1='""&amp;$T192&amp;""' label sum(""&amp;AC$3&amp;"") ''""),0)))"),"")</f>
        <v/>
      </c>
      <c r="AD192" s="437" t="str">
        <f>IFERROR(__xludf.DUMMYFUNCTION("IF(NOT('portfólio'!$AV$7),"""",IF($T192="""","""",IFERROR(query({AtivosDados},""select sum(""&amp;AD$3&amp;"") where Col1='""&amp;$T192&amp;""' label sum(""&amp;AD$3&amp;"") ''""),0)))"),"")</f>
        <v/>
      </c>
      <c r="AE192" s="437"/>
      <c r="AF192" s="1327"/>
      <c r="AG192" s="437"/>
      <c r="AH192" s="437"/>
      <c r="AI192" s="437"/>
      <c r="AJ192" s="437"/>
      <c r="AK192" s="437"/>
      <c r="AL192" s="437"/>
      <c r="AM192" s="437"/>
      <c r="AN192" s="437"/>
      <c r="AO192" s="437"/>
      <c r="AP192" s="437"/>
      <c r="AQ192" s="1327"/>
      <c r="AR192" s="437"/>
      <c r="AS192" s="437"/>
      <c r="AT192" s="437"/>
      <c r="AU192" s="437"/>
      <c r="AV192" s="437"/>
      <c r="AW192" s="437"/>
      <c r="AX192" s="437"/>
      <c r="AY192" s="437"/>
      <c r="AZ192" s="437"/>
      <c r="BA192" s="437"/>
      <c r="BB192" s="1327"/>
      <c r="BC192" s="437"/>
      <c r="BD192" s="437"/>
      <c r="BE192" s="437"/>
      <c r="BF192" s="437"/>
      <c r="BG192" s="437"/>
      <c r="BH192" s="437"/>
      <c r="BI192" s="437"/>
      <c r="BJ192" s="437"/>
      <c r="BK192" s="437"/>
      <c r="BL192" s="437"/>
      <c r="BM192" s="1327"/>
      <c r="BN192" s="1327"/>
      <c r="BO192" s="1327"/>
      <c r="BP192" s="1327"/>
      <c r="BQ192" s="1327"/>
      <c r="BR192" s="1327"/>
      <c r="BS192" s="1327"/>
      <c r="BT192" s="1327"/>
      <c r="BU192" s="1327"/>
      <c r="BV192" s="1327"/>
      <c r="BW192" s="1327"/>
      <c r="BX192" s="1327"/>
      <c r="BY192" s="1327"/>
      <c r="BZ192" s="1327"/>
      <c r="CA192" s="1327"/>
      <c r="CB192" s="1327"/>
      <c r="CC192" s="1327"/>
      <c r="CD192" s="1327"/>
      <c r="CE192" s="1327"/>
      <c r="CF192" s="1327"/>
      <c r="CG192" s="1327"/>
      <c r="CH192" s="1327"/>
      <c r="CI192" s="1327"/>
      <c r="CJ192" s="1327"/>
      <c r="CK192" s="1327"/>
      <c r="CL192" s="1327"/>
      <c r="CM192" s="1327"/>
      <c r="CN192" s="1327"/>
      <c r="CO192" s="1327"/>
      <c r="CP192" s="1327"/>
      <c r="CQ192" s="1327"/>
      <c r="CR192" s="1327"/>
      <c r="CS192" s="1327"/>
      <c r="CT192" s="1317"/>
      <c r="CU192" s="1317"/>
      <c r="CV192" s="1317"/>
      <c r="CW192" s="1317"/>
      <c r="CX192" s="1317"/>
      <c r="CY192" s="1317"/>
      <c r="CZ192" s="1317"/>
      <c r="DA192" s="1317"/>
      <c r="DB192" s="1317"/>
      <c r="DC192" s="1317"/>
      <c r="DD192" s="1317"/>
      <c r="DE192" s="1317"/>
      <c r="DF192" s="1317"/>
      <c r="DG192" s="1317"/>
    </row>
    <row r="193" ht="18.75" customHeight="1">
      <c r="G193" s="1344"/>
      <c r="H193" s="1345">
        <f t="shared" si="4"/>
        <v>0</v>
      </c>
      <c r="I193" s="1381"/>
      <c r="J193" s="1381"/>
      <c r="K193" s="1381"/>
      <c r="L193" s="1381"/>
      <c r="M193" s="1381"/>
      <c r="N193" s="1381"/>
      <c r="O193" s="1381"/>
      <c r="P193" s="1381"/>
      <c r="Q193" s="1381"/>
      <c r="R193" s="1381"/>
      <c r="T193" s="1349"/>
      <c r="U193" s="1349" t="s">
        <v>123</v>
      </c>
      <c r="V193" s="1349" t="s">
        <v>123</v>
      </c>
      <c r="W193" s="1349"/>
      <c r="X193" s="1349"/>
      <c r="Y193" s="1308"/>
      <c r="Z193" s="437" t="str">
        <f>IFERROR(__xludf.DUMMYFUNCTION("IF(NOT('portfólio'!$AV$7),"""",IF($T193="""","""",IFERROR(query({AtivosDados},""select sum(""&amp;Z$3&amp;"") where Col1='""&amp;$T193&amp;""' label sum(""&amp;Z$3&amp;"") ''""),0)))"),"")</f>
        <v/>
      </c>
      <c r="AA193" s="437" t="str">
        <f>IFERROR(__xludf.DUMMYFUNCTION("IF(NOT('portfólio'!$AV$7),"""",IF($T193="""","""",IFERROR(query({AtivosDados},""select sum(""&amp;AA$3&amp;"") where Col1='""&amp;$T193&amp;""' label sum(""&amp;AA$3&amp;"") ''""),0)))"),"")</f>
        <v/>
      </c>
      <c r="AB193" s="437" t="str">
        <f>IFERROR(__xludf.DUMMYFUNCTION("IF(NOT('portfólio'!$AV$7),"""",IF($T193="""","""",IFERROR(query({AtivosDados},""select sum(""&amp;AB$3&amp;"") where Col1='""&amp;$T193&amp;""' label sum(""&amp;AB$3&amp;"") ''""),0)))"),"")</f>
        <v/>
      </c>
      <c r="AC193" s="437" t="str">
        <f>IFERROR(__xludf.DUMMYFUNCTION("IF(NOT('portfólio'!$AV$7),"""",IF($T193="""","""",IFERROR(query({AtivosDados},""select sum(""&amp;AC$3&amp;"") where Col1='""&amp;$T193&amp;""' label sum(""&amp;AC$3&amp;"") ''""),0)))"),"")</f>
        <v/>
      </c>
      <c r="AD193" s="437" t="str">
        <f>IFERROR(__xludf.DUMMYFUNCTION("IF(NOT('portfólio'!$AV$7),"""",IF($T193="""","""",IFERROR(query({AtivosDados},""select sum(""&amp;AD$3&amp;"") where Col1='""&amp;$T193&amp;""' label sum(""&amp;AD$3&amp;"") ''""),0)))"),"")</f>
        <v/>
      </c>
      <c r="AE193" s="437"/>
      <c r="AF193" s="1327"/>
      <c r="AG193" s="437"/>
      <c r="AH193" s="437"/>
      <c r="AI193" s="437"/>
      <c r="AJ193" s="437"/>
      <c r="AK193" s="437"/>
      <c r="AL193" s="437"/>
      <c r="AM193" s="437"/>
      <c r="AN193" s="437"/>
      <c r="AO193" s="437"/>
      <c r="AP193" s="437"/>
      <c r="AQ193" s="1327"/>
      <c r="AR193" s="437"/>
      <c r="AS193" s="437"/>
      <c r="AT193" s="437"/>
      <c r="AU193" s="437"/>
      <c r="AV193" s="437"/>
      <c r="AW193" s="437"/>
      <c r="AX193" s="437"/>
      <c r="AY193" s="437"/>
      <c r="AZ193" s="437"/>
      <c r="BA193" s="437"/>
      <c r="BB193" s="1327"/>
      <c r="BC193" s="437"/>
      <c r="BD193" s="437"/>
      <c r="BE193" s="437"/>
      <c r="BF193" s="437"/>
      <c r="BG193" s="437"/>
      <c r="BH193" s="437"/>
      <c r="BI193" s="437"/>
      <c r="BJ193" s="437"/>
      <c r="BK193" s="437"/>
      <c r="BL193" s="437"/>
      <c r="BM193" s="1327"/>
      <c r="BN193" s="1327"/>
      <c r="BO193" s="1327"/>
      <c r="BP193" s="1327"/>
      <c r="BQ193" s="1327"/>
      <c r="BR193" s="1327"/>
      <c r="BS193" s="1327"/>
      <c r="BT193" s="1327"/>
      <c r="BU193" s="1327"/>
      <c r="BV193" s="1327"/>
      <c r="BW193" s="1327"/>
      <c r="BX193" s="1327"/>
      <c r="BY193" s="1327"/>
      <c r="BZ193" s="1327"/>
      <c r="CA193" s="1327"/>
      <c r="CB193" s="1327"/>
      <c r="CC193" s="1327"/>
      <c r="CD193" s="1327"/>
      <c r="CE193" s="1327"/>
      <c r="CF193" s="1327"/>
      <c r="CG193" s="1327"/>
      <c r="CH193" s="1327"/>
      <c r="CI193" s="1327"/>
      <c r="CJ193" s="1327"/>
      <c r="CK193" s="1327"/>
      <c r="CL193" s="1327"/>
      <c r="CM193" s="1327"/>
      <c r="CN193" s="1327"/>
      <c r="CO193" s="1327"/>
      <c r="CP193" s="1327"/>
      <c r="CQ193" s="1327"/>
      <c r="CR193" s="1327"/>
      <c r="CS193" s="1327"/>
      <c r="CT193" s="1317"/>
      <c r="CU193" s="1317"/>
      <c r="CV193" s="1317"/>
      <c r="CW193" s="1317"/>
      <c r="CX193" s="1317"/>
      <c r="CY193" s="1317"/>
      <c r="CZ193" s="1317"/>
      <c r="DA193" s="1317"/>
      <c r="DB193" s="1317"/>
      <c r="DC193" s="1317"/>
      <c r="DD193" s="1317"/>
      <c r="DE193" s="1317"/>
      <c r="DF193" s="1317"/>
      <c r="DG193" s="1317"/>
    </row>
    <row r="194" ht="18.75" customHeight="1">
      <c r="G194" s="1344"/>
      <c r="H194" s="1345">
        <f t="shared" si="4"/>
        <v>0</v>
      </c>
      <c r="I194" s="1381"/>
      <c r="J194" s="1381"/>
      <c r="K194" s="1381"/>
      <c r="L194" s="1381"/>
      <c r="M194" s="1381"/>
      <c r="N194" s="1381"/>
      <c r="O194" s="1381"/>
      <c r="P194" s="1381"/>
      <c r="Q194" s="1381"/>
      <c r="R194" s="1381"/>
      <c r="T194" s="1349"/>
      <c r="U194" s="1349" t="s">
        <v>123</v>
      </c>
      <c r="V194" s="1349" t="s">
        <v>123</v>
      </c>
      <c r="W194" s="1349"/>
      <c r="X194" s="1349"/>
      <c r="Y194" s="1308"/>
      <c r="Z194" s="437" t="str">
        <f>IFERROR(__xludf.DUMMYFUNCTION("IF(NOT('portfólio'!$AV$7),"""",IF($T194="""","""",IFERROR(query({AtivosDados},""select sum(""&amp;Z$3&amp;"") where Col1='""&amp;$T194&amp;""' label sum(""&amp;Z$3&amp;"") ''""),0)))"),"")</f>
        <v/>
      </c>
      <c r="AA194" s="437" t="str">
        <f>IFERROR(__xludf.DUMMYFUNCTION("IF(NOT('portfólio'!$AV$7),"""",IF($T194="""","""",IFERROR(query({AtivosDados},""select sum(""&amp;AA$3&amp;"") where Col1='""&amp;$T194&amp;""' label sum(""&amp;AA$3&amp;"") ''""),0)))"),"")</f>
        <v/>
      </c>
      <c r="AB194" s="437" t="str">
        <f>IFERROR(__xludf.DUMMYFUNCTION("IF(NOT('portfólio'!$AV$7),"""",IF($T194="""","""",IFERROR(query({AtivosDados},""select sum(""&amp;AB$3&amp;"") where Col1='""&amp;$T194&amp;""' label sum(""&amp;AB$3&amp;"") ''""),0)))"),"")</f>
        <v/>
      </c>
      <c r="AC194" s="437" t="str">
        <f>IFERROR(__xludf.DUMMYFUNCTION("IF(NOT('portfólio'!$AV$7),"""",IF($T194="""","""",IFERROR(query({AtivosDados},""select sum(""&amp;AC$3&amp;"") where Col1='""&amp;$T194&amp;""' label sum(""&amp;AC$3&amp;"") ''""),0)))"),"")</f>
        <v/>
      </c>
      <c r="AD194" s="437" t="str">
        <f>IFERROR(__xludf.DUMMYFUNCTION("IF(NOT('portfólio'!$AV$7),"""",IF($T194="""","""",IFERROR(query({AtivosDados},""select sum(""&amp;AD$3&amp;"") where Col1='""&amp;$T194&amp;""' label sum(""&amp;AD$3&amp;"") ''""),0)))"),"")</f>
        <v/>
      </c>
      <c r="AE194" s="437"/>
      <c r="AF194" s="1327"/>
      <c r="AG194" s="437"/>
      <c r="AH194" s="437"/>
      <c r="AI194" s="437"/>
      <c r="AJ194" s="437"/>
      <c r="AK194" s="437"/>
      <c r="AL194" s="437"/>
      <c r="AM194" s="437"/>
      <c r="AN194" s="437"/>
      <c r="AO194" s="437"/>
      <c r="AP194" s="437"/>
      <c r="AQ194" s="1327"/>
      <c r="AR194" s="437"/>
      <c r="AS194" s="437"/>
      <c r="AT194" s="437"/>
      <c r="AU194" s="437"/>
      <c r="AV194" s="437"/>
      <c r="AW194" s="437"/>
      <c r="AX194" s="437"/>
      <c r="AY194" s="437"/>
      <c r="AZ194" s="437"/>
      <c r="BA194" s="437"/>
      <c r="BB194" s="1327"/>
      <c r="BC194" s="437"/>
      <c r="BD194" s="437"/>
      <c r="BE194" s="437"/>
      <c r="BF194" s="437"/>
      <c r="BG194" s="437"/>
      <c r="BH194" s="437"/>
      <c r="BI194" s="437"/>
      <c r="BJ194" s="437"/>
      <c r="BK194" s="437"/>
      <c r="BL194" s="437"/>
      <c r="BM194" s="1327"/>
      <c r="BN194" s="1327"/>
      <c r="BO194" s="1327"/>
      <c r="BP194" s="1327"/>
      <c r="BQ194" s="1327"/>
      <c r="BR194" s="1327"/>
      <c r="BS194" s="1327"/>
      <c r="BT194" s="1327"/>
      <c r="BU194" s="1327"/>
      <c r="BV194" s="1327"/>
      <c r="BW194" s="1327"/>
      <c r="BX194" s="1327"/>
      <c r="BY194" s="1327"/>
      <c r="BZ194" s="1327"/>
      <c r="CA194" s="1327"/>
      <c r="CB194" s="1327"/>
      <c r="CC194" s="1327"/>
      <c r="CD194" s="1327"/>
      <c r="CE194" s="1327"/>
      <c r="CF194" s="1327"/>
      <c r="CG194" s="1327"/>
      <c r="CH194" s="1327"/>
      <c r="CI194" s="1327"/>
      <c r="CJ194" s="1327"/>
      <c r="CK194" s="1327"/>
      <c r="CL194" s="1327"/>
      <c r="CM194" s="1327"/>
      <c r="CN194" s="1327"/>
      <c r="CO194" s="1327"/>
      <c r="CP194" s="1327"/>
      <c r="CQ194" s="1327"/>
      <c r="CR194" s="1327"/>
      <c r="CS194" s="1327"/>
      <c r="CT194" s="1317"/>
      <c r="CU194" s="1317"/>
      <c r="CV194" s="1317"/>
      <c r="CW194" s="1317"/>
      <c r="CX194" s="1317"/>
      <c r="CY194" s="1317"/>
      <c r="CZ194" s="1317"/>
      <c r="DA194" s="1317"/>
      <c r="DB194" s="1317"/>
      <c r="DC194" s="1317"/>
      <c r="DD194" s="1317"/>
      <c r="DE194" s="1317"/>
      <c r="DF194" s="1317"/>
      <c r="DG194" s="1317"/>
    </row>
    <row r="195" ht="18.75" customHeight="1">
      <c r="G195" s="1344"/>
      <c r="H195" s="1345">
        <f t="shared" si="4"/>
        <v>0</v>
      </c>
      <c r="I195" s="1381"/>
      <c r="J195" s="1381"/>
      <c r="K195" s="1381"/>
      <c r="L195" s="1381"/>
      <c r="M195" s="1381"/>
      <c r="N195" s="1381"/>
      <c r="O195" s="1381"/>
      <c r="P195" s="1381"/>
      <c r="Q195" s="1381"/>
      <c r="R195" s="1381"/>
      <c r="T195" s="1349"/>
      <c r="U195" s="1349" t="s">
        <v>123</v>
      </c>
      <c r="V195" s="1349" t="s">
        <v>123</v>
      </c>
      <c r="W195" s="1349"/>
      <c r="X195" s="1349"/>
      <c r="Y195" s="1308"/>
      <c r="Z195" s="437" t="str">
        <f>IFERROR(__xludf.DUMMYFUNCTION("IF(NOT('portfólio'!$AV$7),"""",IF($T195="""","""",IFERROR(query({AtivosDados},""select sum(""&amp;Z$3&amp;"") where Col1='""&amp;$T195&amp;""' label sum(""&amp;Z$3&amp;"") ''""),0)))"),"")</f>
        <v/>
      </c>
      <c r="AA195" s="437" t="str">
        <f>IFERROR(__xludf.DUMMYFUNCTION("IF(NOT('portfólio'!$AV$7),"""",IF($T195="""","""",IFERROR(query({AtivosDados},""select sum(""&amp;AA$3&amp;"") where Col1='""&amp;$T195&amp;""' label sum(""&amp;AA$3&amp;"") ''""),0)))"),"")</f>
        <v/>
      </c>
      <c r="AB195" s="437" t="str">
        <f>IFERROR(__xludf.DUMMYFUNCTION("IF(NOT('portfólio'!$AV$7),"""",IF($T195="""","""",IFERROR(query({AtivosDados},""select sum(""&amp;AB$3&amp;"") where Col1='""&amp;$T195&amp;""' label sum(""&amp;AB$3&amp;"") ''""),0)))"),"")</f>
        <v/>
      </c>
      <c r="AC195" s="437" t="str">
        <f>IFERROR(__xludf.DUMMYFUNCTION("IF(NOT('portfólio'!$AV$7),"""",IF($T195="""","""",IFERROR(query({AtivosDados},""select sum(""&amp;AC$3&amp;"") where Col1='""&amp;$T195&amp;""' label sum(""&amp;AC$3&amp;"") ''""),0)))"),"")</f>
        <v/>
      </c>
      <c r="AD195" s="437" t="str">
        <f>IFERROR(__xludf.DUMMYFUNCTION("IF(NOT('portfólio'!$AV$7),"""",IF($T195="""","""",IFERROR(query({AtivosDados},""select sum(""&amp;AD$3&amp;"") where Col1='""&amp;$T195&amp;""' label sum(""&amp;AD$3&amp;"") ''""),0)))"),"")</f>
        <v/>
      </c>
      <c r="AE195" s="437"/>
      <c r="AF195" s="1327"/>
      <c r="AG195" s="437"/>
      <c r="AH195" s="437"/>
      <c r="AI195" s="437"/>
      <c r="AJ195" s="437"/>
      <c r="AK195" s="437"/>
      <c r="AL195" s="437"/>
      <c r="AM195" s="437"/>
      <c r="AN195" s="437"/>
      <c r="AO195" s="437"/>
      <c r="AP195" s="437"/>
      <c r="AQ195" s="1327"/>
      <c r="AR195" s="437"/>
      <c r="AS195" s="437"/>
      <c r="AT195" s="437"/>
      <c r="AU195" s="437"/>
      <c r="AV195" s="437"/>
      <c r="AW195" s="437"/>
      <c r="AX195" s="437"/>
      <c r="AY195" s="437"/>
      <c r="AZ195" s="437"/>
      <c r="BA195" s="437"/>
      <c r="BB195" s="1327"/>
      <c r="BC195" s="437"/>
      <c r="BD195" s="437"/>
      <c r="BE195" s="437"/>
      <c r="BF195" s="437"/>
      <c r="BG195" s="437"/>
      <c r="BH195" s="437"/>
      <c r="BI195" s="437"/>
      <c r="BJ195" s="437"/>
      <c r="BK195" s="437"/>
      <c r="BL195" s="437"/>
      <c r="BM195" s="1327"/>
      <c r="BN195" s="1327"/>
      <c r="BO195" s="1327"/>
      <c r="BP195" s="1327"/>
      <c r="BQ195" s="1327"/>
      <c r="BR195" s="1327"/>
      <c r="BS195" s="1327"/>
      <c r="BT195" s="1327"/>
      <c r="BU195" s="1327"/>
      <c r="BV195" s="1327"/>
      <c r="BW195" s="1327"/>
      <c r="BX195" s="1327"/>
      <c r="BY195" s="1327"/>
      <c r="BZ195" s="1327"/>
      <c r="CA195" s="1327"/>
      <c r="CB195" s="1327"/>
      <c r="CC195" s="1327"/>
      <c r="CD195" s="1327"/>
      <c r="CE195" s="1327"/>
      <c r="CF195" s="1327"/>
      <c r="CG195" s="1327"/>
      <c r="CH195" s="1327"/>
      <c r="CI195" s="1327"/>
      <c r="CJ195" s="1327"/>
      <c r="CK195" s="1327"/>
      <c r="CL195" s="1327"/>
      <c r="CM195" s="1327"/>
      <c r="CN195" s="1327"/>
      <c r="CO195" s="1327"/>
      <c r="CP195" s="1327"/>
      <c r="CQ195" s="1327"/>
      <c r="CR195" s="1327"/>
      <c r="CS195" s="1327"/>
      <c r="CT195" s="1317"/>
      <c r="CU195" s="1317"/>
      <c r="CV195" s="1317"/>
      <c r="CW195" s="1317"/>
      <c r="CX195" s="1317"/>
      <c r="CY195" s="1317"/>
      <c r="CZ195" s="1317"/>
      <c r="DA195" s="1317"/>
      <c r="DB195" s="1317"/>
      <c r="DC195" s="1317"/>
      <c r="DD195" s="1317"/>
      <c r="DE195" s="1317"/>
      <c r="DF195" s="1317"/>
      <c r="DG195" s="1317"/>
    </row>
    <row r="196" ht="18.75" customHeight="1">
      <c r="G196" s="1344"/>
      <c r="H196" s="1345">
        <f t="shared" si="4"/>
        <v>0</v>
      </c>
      <c r="I196" s="1381"/>
      <c r="J196" s="1381"/>
      <c r="K196" s="1381"/>
      <c r="L196" s="1381"/>
      <c r="M196" s="1381"/>
      <c r="N196" s="1381"/>
      <c r="O196" s="1381"/>
      <c r="P196" s="1381"/>
      <c r="Q196" s="1381"/>
      <c r="R196" s="1381"/>
      <c r="T196" s="1349"/>
      <c r="U196" s="1349" t="s">
        <v>123</v>
      </c>
      <c r="V196" s="1349" t="s">
        <v>123</v>
      </c>
      <c r="W196" s="1349"/>
      <c r="X196" s="1349"/>
      <c r="Y196" s="1308"/>
      <c r="Z196" s="437" t="str">
        <f>IFERROR(__xludf.DUMMYFUNCTION("IF(NOT('portfólio'!$AV$7),"""",IF($T196="""","""",IFERROR(query({AtivosDados},""select sum(""&amp;Z$3&amp;"") where Col1='""&amp;$T196&amp;""' label sum(""&amp;Z$3&amp;"") ''""),0)))"),"")</f>
        <v/>
      </c>
      <c r="AA196" s="437" t="str">
        <f>IFERROR(__xludf.DUMMYFUNCTION("IF(NOT('portfólio'!$AV$7),"""",IF($T196="""","""",IFERROR(query({AtivosDados},""select sum(""&amp;AA$3&amp;"") where Col1='""&amp;$T196&amp;""' label sum(""&amp;AA$3&amp;"") ''""),0)))"),"")</f>
        <v/>
      </c>
      <c r="AB196" s="437" t="str">
        <f>IFERROR(__xludf.DUMMYFUNCTION("IF(NOT('portfólio'!$AV$7),"""",IF($T196="""","""",IFERROR(query({AtivosDados},""select sum(""&amp;AB$3&amp;"") where Col1='""&amp;$T196&amp;""' label sum(""&amp;AB$3&amp;"") ''""),0)))"),"")</f>
        <v/>
      </c>
      <c r="AC196" s="437" t="str">
        <f>IFERROR(__xludf.DUMMYFUNCTION("IF(NOT('portfólio'!$AV$7),"""",IF($T196="""","""",IFERROR(query({AtivosDados},""select sum(""&amp;AC$3&amp;"") where Col1='""&amp;$T196&amp;""' label sum(""&amp;AC$3&amp;"") ''""),0)))"),"")</f>
        <v/>
      </c>
      <c r="AD196" s="437" t="str">
        <f>IFERROR(__xludf.DUMMYFUNCTION("IF(NOT('portfólio'!$AV$7),"""",IF($T196="""","""",IFERROR(query({AtivosDados},""select sum(""&amp;AD$3&amp;"") where Col1='""&amp;$T196&amp;""' label sum(""&amp;AD$3&amp;"") ''""),0)))"),"")</f>
        <v/>
      </c>
      <c r="AE196" s="437"/>
      <c r="AF196" s="1327"/>
      <c r="AG196" s="437"/>
      <c r="AH196" s="437"/>
      <c r="AI196" s="437"/>
      <c r="AJ196" s="437"/>
      <c r="AK196" s="437"/>
      <c r="AL196" s="437"/>
      <c r="AM196" s="437"/>
      <c r="AN196" s="437"/>
      <c r="AO196" s="437"/>
      <c r="AP196" s="437"/>
      <c r="AQ196" s="1327"/>
      <c r="AR196" s="437"/>
      <c r="AS196" s="437"/>
      <c r="AT196" s="437"/>
      <c r="AU196" s="437"/>
      <c r="AV196" s="437"/>
      <c r="AW196" s="437"/>
      <c r="AX196" s="437"/>
      <c r="AY196" s="437"/>
      <c r="AZ196" s="437"/>
      <c r="BA196" s="437"/>
      <c r="BB196" s="1327"/>
      <c r="BC196" s="437"/>
      <c r="BD196" s="437"/>
      <c r="BE196" s="437"/>
      <c r="BF196" s="437"/>
      <c r="BG196" s="437"/>
      <c r="BH196" s="437"/>
      <c r="BI196" s="437"/>
      <c r="BJ196" s="437"/>
      <c r="BK196" s="437"/>
      <c r="BL196" s="437"/>
      <c r="BM196" s="1327"/>
      <c r="BN196" s="1327"/>
      <c r="BO196" s="1327"/>
      <c r="BP196" s="1327"/>
      <c r="BQ196" s="1327"/>
      <c r="BR196" s="1327"/>
      <c r="BS196" s="1327"/>
      <c r="BT196" s="1327"/>
      <c r="BU196" s="1327"/>
      <c r="BV196" s="1327"/>
      <c r="BW196" s="1327"/>
      <c r="BX196" s="1327"/>
      <c r="BY196" s="1327"/>
      <c r="BZ196" s="1327"/>
      <c r="CA196" s="1327"/>
      <c r="CB196" s="1327"/>
      <c r="CC196" s="1327"/>
      <c r="CD196" s="1327"/>
      <c r="CE196" s="1327"/>
      <c r="CF196" s="1327"/>
      <c r="CG196" s="1327"/>
      <c r="CH196" s="1327"/>
      <c r="CI196" s="1327"/>
      <c r="CJ196" s="1327"/>
      <c r="CK196" s="1327"/>
      <c r="CL196" s="1327"/>
      <c r="CM196" s="1327"/>
      <c r="CN196" s="1327"/>
      <c r="CO196" s="1327"/>
      <c r="CP196" s="1327"/>
      <c r="CQ196" s="1327"/>
      <c r="CR196" s="1327"/>
      <c r="CS196" s="1327"/>
      <c r="CT196" s="1317"/>
      <c r="CU196" s="1317"/>
      <c r="CV196" s="1317"/>
      <c r="CW196" s="1317"/>
      <c r="CX196" s="1317"/>
      <c r="CY196" s="1317"/>
      <c r="CZ196" s="1317"/>
      <c r="DA196" s="1317"/>
      <c r="DB196" s="1317"/>
      <c r="DC196" s="1317"/>
      <c r="DD196" s="1317"/>
      <c r="DE196" s="1317"/>
      <c r="DF196" s="1317"/>
      <c r="DG196" s="1317"/>
    </row>
    <row r="197" ht="18.75" customHeight="1">
      <c r="G197" s="1344"/>
      <c r="H197" s="1345">
        <f t="shared" si="4"/>
        <v>0</v>
      </c>
      <c r="I197" s="1381"/>
      <c r="J197" s="1381"/>
      <c r="K197" s="1381"/>
      <c r="L197" s="1381"/>
      <c r="M197" s="1381"/>
      <c r="N197" s="1381"/>
      <c r="O197" s="1381"/>
      <c r="P197" s="1381"/>
      <c r="Q197" s="1381"/>
      <c r="R197" s="1381"/>
      <c r="T197" s="1349"/>
      <c r="U197" s="1349" t="s">
        <v>123</v>
      </c>
      <c r="V197" s="1349" t="s">
        <v>123</v>
      </c>
      <c r="W197" s="1349"/>
      <c r="X197" s="1349"/>
      <c r="Y197" s="1308"/>
      <c r="Z197" s="437" t="str">
        <f>IFERROR(__xludf.DUMMYFUNCTION("IF(NOT('portfólio'!$AV$7),"""",IF($T197="""","""",IFERROR(query({AtivosDados},""select sum(""&amp;Z$3&amp;"") where Col1='""&amp;$T197&amp;""' label sum(""&amp;Z$3&amp;"") ''""),0)))"),"")</f>
        <v/>
      </c>
      <c r="AA197" s="437" t="str">
        <f>IFERROR(__xludf.DUMMYFUNCTION("IF(NOT('portfólio'!$AV$7),"""",IF($T197="""","""",IFERROR(query({AtivosDados},""select sum(""&amp;AA$3&amp;"") where Col1='""&amp;$T197&amp;""' label sum(""&amp;AA$3&amp;"") ''""),0)))"),"")</f>
        <v/>
      </c>
      <c r="AB197" s="437" t="str">
        <f>IFERROR(__xludf.DUMMYFUNCTION("IF(NOT('portfólio'!$AV$7),"""",IF($T197="""","""",IFERROR(query({AtivosDados},""select sum(""&amp;AB$3&amp;"") where Col1='""&amp;$T197&amp;""' label sum(""&amp;AB$3&amp;"") ''""),0)))"),"")</f>
        <v/>
      </c>
      <c r="AC197" s="437" t="str">
        <f>IFERROR(__xludf.DUMMYFUNCTION("IF(NOT('portfólio'!$AV$7),"""",IF($T197="""","""",IFERROR(query({AtivosDados},""select sum(""&amp;AC$3&amp;"") where Col1='""&amp;$T197&amp;""' label sum(""&amp;AC$3&amp;"") ''""),0)))"),"")</f>
        <v/>
      </c>
      <c r="AD197" s="437" t="str">
        <f>IFERROR(__xludf.DUMMYFUNCTION("IF(NOT('portfólio'!$AV$7),"""",IF($T197="""","""",IFERROR(query({AtivosDados},""select sum(""&amp;AD$3&amp;"") where Col1='""&amp;$T197&amp;""' label sum(""&amp;AD$3&amp;"") ''""),0)))"),"")</f>
        <v/>
      </c>
      <c r="AE197" s="437"/>
      <c r="AF197" s="1327"/>
      <c r="AG197" s="437"/>
      <c r="AH197" s="437"/>
      <c r="AI197" s="437"/>
      <c r="AJ197" s="437"/>
      <c r="AK197" s="437"/>
      <c r="AL197" s="437"/>
      <c r="AM197" s="437"/>
      <c r="AN197" s="437"/>
      <c r="AO197" s="437"/>
      <c r="AP197" s="437"/>
      <c r="AQ197" s="1327"/>
      <c r="AR197" s="437"/>
      <c r="AS197" s="437"/>
      <c r="AT197" s="437"/>
      <c r="AU197" s="437"/>
      <c r="AV197" s="437"/>
      <c r="AW197" s="437"/>
      <c r="AX197" s="437"/>
      <c r="AY197" s="437"/>
      <c r="AZ197" s="437"/>
      <c r="BA197" s="437"/>
      <c r="BB197" s="1327"/>
      <c r="BC197" s="437"/>
      <c r="BD197" s="437"/>
      <c r="BE197" s="437"/>
      <c r="BF197" s="437"/>
      <c r="BG197" s="437"/>
      <c r="BH197" s="437"/>
      <c r="BI197" s="437"/>
      <c r="BJ197" s="437"/>
      <c r="BK197" s="437"/>
      <c r="BL197" s="437"/>
      <c r="BM197" s="1327"/>
      <c r="BN197" s="1327"/>
      <c r="BO197" s="1327"/>
      <c r="BP197" s="1327"/>
      <c r="BQ197" s="1327"/>
      <c r="BR197" s="1327"/>
      <c r="BS197" s="1327"/>
      <c r="BT197" s="1327"/>
      <c r="BU197" s="1327"/>
      <c r="BV197" s="1327"/>
      <c r="BW197" s="1327"/>
      <c r="BX197" s="1327"/>
      <c r="BY197" s="1327"/>
      <c r="BZ197" s="1327"/>
      <c r="CA197" s="1327"/>
      <c r="CB197" s="1327"/>
      <c r="CC197" s="1327"/>
      <c r="CD197" s="1327"/>
      <c r="CE197" s="1327"/>
      <c r="CF197" s="1327"/>
      <c r="CG197" s="1327"/>
      <c r="CH197" s="1327"/>
      <c r="CI197" s="1327"/>
      <c r="CJ197" s="1327"/>
      <c r="CK197" s="1327"/>
      <c r="CL197" s="1327"/>
      <c r="CM197" s="1327"/>
      <c r="CN197" s="1327"/>
      <c r="CO197" s="1327"/>
      <c r="CP197" s="1327"/>
      <c r="CQ197" s="1327"/>
      <c r="CR197" s="1327"/>
      <c r="CS197" s="1327"/>
      <c r="CT197" s="1317"/>
      <c r="CU197" s="1317"/>
      <c r="CV197" s="1317"/>
      <c r="CW197" s="1317"/>
      <c r="CX197" s="1317"/>
      <c r="CY197" s="1317"/>
      <c r="CZ197" s="1317"/>
      <c r="DA197" s="1317"/>
      <c r="DB197" s="1317"/>
      <c r="DC197" s="1317"/>
      <c r="DD197" s="1317"/>
      <c r="DE197" s="1317"/>
      <c r="DF197" s="1317"/>
      <c r="DG197" s="1317"/>
    </row>
    <row r="198" ht="18.75" customHeight="1">
      <c r="G198" s="1344"/>
      <c r="H198" s="1345">
        <f t="shared" si="4"/>
        <v>0</v>
      </c>
      <c r="I198" s="1381"/>
      <c r="J198" s="1381"/>
      <c r="K198" s="1381"/>
      <c r="L198" s="1381"/>
      <c r="M198" s="1381"/>
      <c r="N198" s="1381"/>
      <c r="O198" s="1381"/>
      <c r="P198" s="1381"/>
      <c r="Q198" s="1381"/>
      <c r="R198" s="1381"/>
      <c r="T198" s="1349"/>
      <c r="U198" s="1349" t="s">
        <v>123</v>
      </c>
      <c r="V198" s="1349" t="s">
        <v>123</v>
      </c>
      <c r="W198" s="1349"/>
      <c r="X198" s="1349"/>
      <c r="Y198" s="1308"/>
      <c r="Z198" s="437" t="str">
        <f>IFERROR(__xludf.DUMMYFUNCTION("IF(NOT('portfólio'!$AV$7),"""",IF($T198="""","""",IFERROR(query({AtivosDados},""select sum(""&amp;Z$3&amp;"") where Col1='""&amp;$T198&amp;""' label sum(""&amp;Z$3&amp;"") ''""),0)))"),"")</f>
        <v/>
      </c>
      <c r="AA198" s="437" t="str">
        <f>IFERROR(__xludf.DUMMYFUNCTION("IF(NOT('portfólio'!$AV$7),"""",IF($T198="""","""",IFERROR(query({AtivosDados},""select sum(""&amp;AA$3&amp;"") where Col1='""&amp;$T198&amp;""' label sum(""&amp;AA$3&amp;"") ''""),0)))"),"")</f>
        <v/>
      </c>
      <c r="AB198" s="437" t="str">
        <f>IFERROR(__xludf.DUMMYFUNCTION("IF(NOT('portfólio'!$AV$7),"""",IF($T198="""","""",IFERROR(query({AtivosDados},""select sum(""&amp;AB$3&amp;"") where Col1='""&amp;$T198&amp;""' label sum(""&amp;AB$3&amp;"") ''""),0)))"),"")</f>
        <v/>
      </c>
      <c r="AC198" s="437" t="str">
        <f>IFERROR(__xludf.DUMMYFUNCTION("IF(NOT('portfólio'!$AV$7),"""",IF($T198="""","""",IFERROR(query({AtivosDados},""select sum(""&amp;AC$3&amp;"") where Col1='""&amp;$T198&amp;""' label sum(""&amp;AC$3&amp;"") ''""),0)))"),"")</f>
        <v/>
      </c>
      <c r="AD198" s="437" t="str">
        <f>IFERROR(__xludf.DUMMYFUNCTION("IF(NOT('portfólio'!$AV$7),"""",IF($T198="""","""",IFERROR(query({AtivosDados},""select sum(""&amp;AD$3&amp;"") where Col1='""&amp;$T198&amp;""' label sum(""&amp;AD$3&amp;"") ''""),0)))"),"")</f>
        <v/>
      </c>
      <c r="AE198" s="437"/>
      <c r="AF198" s="1327"/>
      <c r="AG198" s="437"/>
      <c r="AH198" s="437"/>
      <c r="AI198" s="437"/>
      <c r="AJ198" s="437"/>
      <c r="AK198" s="437"/>
      <c r="AL198" s="437"/>
      <c r="AM198" s="437"/>
      <c r="AN198" s="437"/>
      <c r="AO198" s="437"/>
      <c r="AP198" s="437"/>
      <c r="AQ198" s="1327"/>
      <c r="AR198" s="437"/>
      <c r="AS198" s="437"/>
      <c r="AT198" s="437"/>
      <c r="AU198" s="437"/>
      <c r="AV198" s="437"/>
      <c r="AW198" s="437"/>
      <c r="AX198" s="437"/>
      <c r="AY198" s="437"/>
      <c r="AZ198" s="437"/>
      <c r="BA198" s="437"/>
      <c r="BB198" s="1327"/>
      <c r="BC198" s="437"/>
      <c r="BD198" s="437"/>
      <c r="BE198" s="437"/>
      <c r="BF198" s="437"/>
      <c r="BG198" s="437"/>
      <c r="BH198" s="437"/>
      <c r="BI198" s="437"/>
      <c r="BJ198" s="437"/>
      <c r="BK198" s="437"/>
      <c r="BL198" s="437"/>
      <c r="BM198" s="1327"/>
      <c r="BN198" s="1327"/>
      <c r="BO198" s="1327"/>
      <c r="BP198" s="1327"/>
      <c r="BQ198" s="1327"/>
      <c r="BR198" s="1327"/>
      <c r="BS198" s="1327"/>
      <c r="BT198" s="1327"/>
      <c r="BU198" s="1327"/>
      <c r="BV198" s="1327"/>
      <c r="BW198" s="1327"/>
      <c r="BX198" s="1327"/>
      <c r="BY198" s="1327"/>
      <c r="BZ198" s="1327"/>
      <c r="CA198" s="1327"/>
      <c r="CB198" s="1327"/>
      <c r="CC198" s="1327"/>
      <c r="CD198" s="1327"/>
      <c r="CE198" s="1327"/>
      <c r="CF198" s="1327"/>
      <c r="CG198" s="1327"/>
      <c r="CH198" s="1327"/>
      <c r="CI198" s="1327"/>
      <c r="CJ198" s="1327"/>
      <c r="CK198" s="1327"/>
      <c r="CL198" s="1327"/>
      <c r="CM198" s="1327"/>
      <c r="CN198" s="1327"/>
      <c r="CO198" s="1327"/>
      <c r="CP198" s="1327"/>
      <c r="CQ198" s="1327"/>
      <c r="CR198" s="1327"/>
      <c r="CS198" s="1327"/>
      <c r="CT198" s="1317"/>
      <c r="CU198" s="1317"/>
      <c r="CV198" s="1317"/>
      <c r="CW198" s="1317"/>
      <c r="CX198" s="1317"/>
      <c r="CY198" s="1317"/>
      <c r="CZ198" s="1317"/>
      <c r="DA198" s="1317"/>
      <c r="DB198" s="1317"/>
      <c r="DC198" s="1317"/>
      <c r="DD198" s="1317"/>
      <c r="DE198" s="1317"/>
      <c r="DF198" s="1317"/>
      <c r="DG198" s="1317"/>
    </row>
    <row r="199" ht="18.75" customHeight="1">
      <c r="G199" s="1344"/>
      <c r="H199" s="1345">
        <f t="shared" si="4"/>
        <v>0</v>
      </c>
      <c r="I199" s="1381"/>
      <c r="J199" s="1381"/>
      <c r="K199" s="1381"/>
      <c r="L199" s="1381"/>
      <c r="M199" s="1381"/>
      <c r="N199" s="1381"/>
      <c r="O199" s="1381"/>
      <c r="P199" s="1381"/>
      <c r="Q199" s="1381"/>
      <c r="R199" s="1381"/>
      <c r="T199" s="1349"/>
      <c r="U199" s="1349" t="s">
        <v>123</v>
      </c>
      <c r="V199" s="1349" t="s">
        <v>123</v>
      </c>
      <c r="W199" s="1349"/>
      <c r="X199" s="1349"/>
      <c r="Y199" s="1308"/>
      <c r="Z199" s="437" t="str">
        <f>IFERROR(__xludf.DUMMYFUNCTION("IF(NOT('portfólio'!$AV$7),"""",IF($T199="""","""",IFERROR(query({AtivosDados},""select sum(""&amp;Z$3&amp;"") where Col1='""&amp;$T199&amp;""' label sum(""&amp;Z$3&amp;"") ''""),0)))"),"")</f>
        <v/>
      </c>
      <c r="AA199" s="437" t="str">
        <f>IFERROR(__xludf.DUMMYFUNCTION("IF(NOT('portfólio'!$AV$7),"""",IF($T199="""","""",IFERROR(query({AtivosDados},""select sum(""&amp;AA$3&amp;"") where Col1='""&amp;$T199&amp;""' label sum(""&amp;AA$3&amp;"") ''""),0)))"),"")</f>
        <v/>
      </c>
      <c r="AB199" s="437" t="str">
        <f>IFERROR(__xludf.DUMMYFUNCTION("IF(NOT('portfólio'!$AV$7),"""",IF($T199="""","""",IFERROR(query({AtivosDados},""select sum(""&amp;AB$3&amp;"") where Col1='""&amp;$T199&amp;""' label sum(""&amp;AB$3&amp;"") ''""),0)))"),"")</f>
        <v/>
      </c>
      <c r="AC199" s="437" t="str">
        <f>IFERROR(__xludf.DUMMYFUNCTION("IF(NOT('portfólio'!$AV$7),"""",IF($T199="""","""",IFERROR(query({AtivosDados},""select sum(""&amp;AC$3&amp;"") where Col1='""&amp;$T199&amp;""' label sum(""&amp;AC$3&amp;"") ''""),0)))"),"")</f>
        <v/>
      </c>
      <c r="AD199" s="437" t="str">
        <f>IFERROR(__xludf.DUMMYFUNCTION("IF(NOT('portfólio'!$AV$7),"""",IF($T199="""","""",IFERROR(query({AtivosDados},""select sum(""&amp;AD$3&amp;"") where Col1='""&amp;$T199&amp;""' label sum(""&amp;AD$3&amp;"") ''""),0)))"),"")</f>
        <v/>
      </c>
      <c r="AE199" s="437"/>
      <c r="AF199" s="1327"/>
      <c r="AG199" s="437"/>
      <c r="AH199" s="437"/>
      <c r="AI199" s="437"/>
      <c r="AJ199" s="437"/>
      <c r="AK199" s="437"/>
      <c r="AL199" s="437"/>
      <c r="AM199" s="437"/>
      <c r="AN199" s="437"/>
      <c r="AO199" s="437"/>
      <c r="AP199" s="437"/>
      <c r="AQ199" s="1327"/>
      <c r="AR199" s="437"/>
      <c r="AS199" s="437"/>
      <c r="AT199" s="437"/>
      <c r="AU199" s="437"/>
      <c r="AV199" s="437"/>
      <c r="AW199" s="437"/>
      <c r="AX199" s="437"/>
      <c r="AY199" s="437"/>
      <c r="AZ199" s="437"/>
      <c r="BA199" s="437"/>
      <c r="BB199" s="1327"/>
      <c r="BC199" s="437"/>
      <c r="BD199" s="437"/>
      <c r="BE199" s="437"/>
      <c r="BF199" s="437"/>
      <c r="BG199" s="437"/>
      <c r="BH199" s="437"/>
      <c r="BI199" s="437"/>
      <c r="BJ199" s="437"/>
      <c r="BK199" s="437"/>
      <c r="BL199" s="437"/>
      <c r="BM199" s="1327"/>
      <c r="BN199" s="1327"/>
      <c r="BO199" s="1327"/>
      <c r="BP199" s="1327"/>
      <c r="BQ199" s="1327"/>
      <c r="BR199" s="1327"/>
      <c r="BS199" s="1327"/>
      <c r="BT199" s="1327"/>
      <c r="BU199" s="1327"/>
      <c r="BV199" s="1327"/>
      <c r="BW199" s="1327"/>
      <c r="BX199" s="1327"/>
      <c r="BY199" s="1327"/>
      <c r="BZ199" s="1327"/>
      <c r="CA199" s="1327"/>
      <c r="CB199" s="1327"/>
      <c r="CC199" s="1327"/>
      <c r="CD199" s="1327"/>
      <c r="CE199" s="1327"/>
      <c r="CF199" s="1327"/>
      <c r="CG199" s="1327"/>
      <c r="CH199" s="1327"/>
      <c r="CI199" s="1327"/>
      <c r="CJ199" s="1327"/>
      <c r="CK199" s="1327"/>
      <c r="CL199" s="1327"/>
      <c r="CM199" s="1327"/>
      <c r="CN199" s="1327"/>
      <c r="CO199" s="1327"/>
      <c r="CP199" s="1327"/>
      <c r="CQ199" s="1327"/>
      <c r="CR199" s="1327"/>
      <c r="CS199" s="1327"/>
      <c r="CT199" s="1317"/>
      <c r="CU199" s="1317"/>
      <c r="CV199" s="1317"/>
      <c r="CW199" s="1317"/>
      <c r="CX199" s="1317"/>
      <c r="CY199" s="1317"/>
      <c r="CZ199" s="1317"/>
      <c r="DA199" s="1317"/>
      <c r="DB199" s="1317"/>
      <c r="DC199" s="1317"/>
      <c r="DD199" s="1317"/>
      <c r="DE199" s="1317"/>
      <c r="DF199" s="1317"/>
      <c r="DG199" s="1317"/>
    </row>
    <row r="200" ht="18.75" customHeight="1">
      <c r="G200" s="1344"/>
      <c r="H200" s="1345">
        <f t="shared" si="4"/>
        <v>0</v>
      </c>
      <c r="I200" s="1381"/>
      <c r="J200" s="1381"/>
      <c r="K200" s="1381"/>
      <c r="L200" s="1381"/>
      <c r="M200" s="1381"/>
      <c r="N200" s="1381"/>
      <c r="O200" s="1381"/>
      <c r="P200" s="1381"/>
      <c r="Q200" s="1381"/>
      <c r="R200" s="1381"/>
      <c r="T200" s="1349"/>
      <c r="U200" s="1349" t="s">
        <v>123</v>
      </c>
      <c r="V200" s="1349" t="s">
        <v>123</v>
      </c>
      <c r="W200" s="1349"/>
      <c r="X200" s="1349"/>
      <c r="Y200" s="1308"/>
      <c r="Z200" s="437" t="str">
        <f>IFERROR(__xludf.DUMMYFUNCTION("IF(NOT('portfólio'!$AV$7),"""",IF($T200="""","""",IFERROR(query({AtivosDados},""select sum(""&amp;Z$3&amp;"") where Col1='""&amp;$T200&amp;""' label sum(""&amp;Z$3&amp;"") ''""),0)))"),"")</f>
        <v/>
      </c>
      <c r="AA200" s="437" t="str">
        <f>IFERROR(__xludf.DUMMYFUNCTION("IF(NOT('portfólio'!$AV$7),"""",IF($T200="""","""",IFERROR(query({AtivosDados},""select sum(""&amp;AA$3&amp;"") where Col1='""&amp;$T200&amp;""' label sum(""&amp;AA$3&amp;"") ''""),0)))"),"")</f>
        <v/>
      </c>
      <c r="AB200" s="437" t="str">
        <f>IFERROR(__xludf.DUMMYFUNCTION("IF(NOT('portfólio'!$AV$7),"""",IF($T200="""","""",IFERROR(query({AtivosDados},""select sum(""&amp;AB$3&amp;"") where Col1='""&amp;$T200&amp;""' label sum(""&amp;AB$3&amp;"") ''""),0)))"),"")</f>
        <v/>
      </c>
      <c r="AC200" s="437" t="str">
        <f>IFERROR(__xludf.DUMMYFUNCTION("IF(NOT('portfólio'!$AV$7),"""",IF($T200="""","""",IFERROR(query({AtivosDados},""select sum(""&amp;AC$3&amp;"") where Col1='""&amp;$T200&amp;""' label sum(""&amp;AC$3&amp;"") ''""),0)))"),"")</f>
        <v/>
      </c>
      <c r="AD200" s="437" t="str">
        <f>IFERROR(__xludf.DUMMYFUNCTION("IF(NOT('portfólio'!$AV$7),"""",IF($T200="""","""",IFERROR(query({AtivosDados},""select sum(""&amp;AD$3&amp;"") where Col1='""&amp;$T200&amp;""' label sum(""&amp;AD$3&amp;"") ''""),0)))"),"")</f>
        <v/>
      </c>
      <c r="AE200" s="437"/>
      <c r="AF200" s="1327"/>
      <c r="AG200" s="437"/>
      <c r="AH200" s="437"/>
      <c r="AI200" s="437"/>
      <c r="AJ200" s="437"/>
      <c r="AK200" s="437"/>
      <c r="AL200" s="437"/>
      <c r="AM200" s="437"/>
      <c r="AN200" s="437"/>
      <c r="AO200" s="437"/>
      <c r="AP200" s="437"/>
      <c r="AQ200" s="1327"/>
      <c r="AR200" s="437"/>
      <c r="AS200" s="437"/>
      <c r="AT200" s="437"/>
      <c r="AU200" s="437"/>
      <c r="AV200" s="437"/>
      <c r="AW200" s="437"/>
      <c r="AX200" s="437"/>
      <c r="AY200" s="437"/>
      <c r="AZ200" s="437"/>
      <c r="BA200" s="437"/>
      <c r="BB200" s="1327"/>
      <c r="BC200" s="437"/>
      <c r="BD200" s="437"/>
      <c r="BE200" s="437"/>
      <c r="BF200" s="437"/>
      <c r="BG200" s="437"/>
      <c r="BH200" s="437"/>
      <c r="BI200" s="437"/>
      <c r="BJ200" s="437"/>
      <c r="BK200" s="437"/>
      <c r="BL200" s="437"/>
      <c r="BM200" s="1327"/>
      <c r="BN200" s="1327"/>
      <c r="BO200" s="1327"/>
      <c r="BP200" s="1327"/>
      <c r="BQ200" s="1327"/>
      <c r="BR200" s="1327"/>
      <c r="BS200" s="1327"/>
      <c r="BT200" s="1327"/>
      <c r="BU200" s="1327"/>
      <c r="BV200" s="1327"/>
      <c r="BW200" s="1327"/>
      <c r="BX200" s="1327"/>
      <c r="BY200" s="1327"/>
      <c r="BZ200" s="1327"/>
      <c r="CA200" s="1327"/>
      <c r="CB200" s="1327"/>
      <c r="CC200" s="1327"/>
      <c r="CD200" s="1327"/>
      <c r="CE200" s="1327"/>
      <c r="CF200" s="1327"/>
      <c r="CG200" s="1327"/>
      <c r="CH200" s="1327"/>
      <c r="CI200" s="1327"/>
      <c r="CJ200" s="1327"/>
      <c r="CK200" s="1327"/>
      <c r="CL200" s="1327"/>
      <c r="CM200" s="1327"/>
      <c r="CN200" s="1327"/>
      <c r="CO200" s="1327"/>
      <c r="CP200" s="1327"/>
      <c r="CQ200" s="1327"/>
      <c r="CR200" s="1327"/>
      <c r="CS200" s="1327"/>
      <c r="CT200" s="1317"/>
      <c r="CU200" s="1317"/>
      <c r="CV200" s="1317"/>
      <c r="CW200" s="1317"/>
      <c r="CX200" s="1317"/>
      <c r="CY200" s="1317"/>
      <c r="CZ200" s="1317"/>
      <c r="DA200" s="1317"/>
      <c r="DB200" s="1317"/>
      <c r="DC200" s="1317"/>
      <c r="DD200" s="1317"/>
      <c r="DE200" s="1317"/>
      <c r="DF200" s="1317"/>
      <c r="DG200" s="1317"/>
    </row>
    <row r="201" ht="18.75" customHeight="1">
      <c r="G201" s="1344"/>
      <c r="H201" s="1345">
        <f t="shared" si="4"/>
        <v>0</v>
      </c>
      <c r="I201" s="1381"/>
      <c r="J201" s="1381"/>
      <c r="K201" s="1381"/>
      <c r="L201" s="1381"/>
      <c r="M201" s="1381"/>
      <c r="N201" s="1381"/>
      <c r="O201" s="1381"/>
      <c r="P201" s="1381"/>
      <c r="Q201" s="1381"/>
      <c r="R201" s="1381"/>
      <c r="T201" s="1349"/>
      <c r="U201" s="1349" t="s">
        <v>123</v>
      </c>
      <c r="V201" s="1349" t="s">
        <v>123</v>
      </c>
      <c r="W201" s="1349"/>
      <c r="X201" s="1349"/>
      <c r="Y201" s="1308"/>
      <c r="Z201" s="437" t="str">
        <f>IFERROR(__xludf.DUMMYFUNCTION("IF(NOT('portfólio'!$AV$7),"""",IF($T201="""","""",IFERROR(query({AtivosDados},""select sum(""&amp;Z$3&amp;"") where Col1='""&amp;$T201&amp;""' label sum(""&amp;Z$3&amp;"") ''""),0)))"),"")</f>
        <v/>
      </c>
      <c r="AA201" s="437" t="str">
        <f>IFERROR(__xludf.DUMMYFUNCTION("IF(NOT('portfólio'!$AV$7),"""",IF($T201="""","""",IFERROR(query({AtivosDados},""select sum(""&amp;AA$3&amp;"") where Col1='""&amp;$T201&amp;""' label sum(""&amp;AA$3&amp;"") ''""),0)))"),"")</f>
        <v/>
      </c>
      <c r="AB201" s="437" t="str">
        <f>IFERROR(__xludf.DUMMYFUNCTION("IF(NOT('portfólio'!$AV$7),"""",IF($T201="""","""",IFERROR(query({AtivosDados},""select sum(""&amp;AB$3&amp;"") where Col1='""&amp;$T201&amp;""' label sum(""&amp;AB$3&amp;"") ''""),0)))"),"")</f>
        <v/>
      </c>
      <c r="AC201" s="437" t="str">
        <f>IFERROR(__xludf.DUMMYFUNCTION("IF(NOT('portfólio'!$AV$7),"""",IF($T201="""","""",IFERROR(query({AtivosDados},""select sum(""&amp;AC$3&amp;"") where Col1='""&amp;$T201&amp;""' label sum(""&amp;AC$3&amp;"") ''""),0)))"),"")</f>
        <v/>
      </c>
      <c r="AD201" s="437" t="str">
        <f>IFERROR(__xludf.DUMMYFUNCTION("IF(NOT('portfólio'!$AV$7),"""",IF($T201="""","""",IFERROR(query({AtivosDados},""select sum(""&amp;AD$3&amp;"") where Col1='""&amp;$T201&amp;""' label sum(""&amp;AD$3&amp;"") ''""),0)))"),"")</f>
        <v/>
      </c>
      <c r="AE201" s="437"/>
      <c r="AF201" s="1327"/>
      <c r="AG201" s="437"/>
      <c r="AH201" s="437"/>
      <c r="AI201" s="437"/>
      <c r="AJ201" s="437"/>
      <c r="AK201" s="437"/>
      <c r="AL201" s="437"/>
      <c r="AM201" s="437"/>
      <c r="AN201" s="437"/>
      <c r="AO201" s="437"/>
      <c r="AP201" s="437"/>
      <c r="AQ201" s="1327"/>
      <c r="AR201" s="437"/>
      <c r="AS201" s="437"/>
      <c r="AT201" s="437"/>
      <c r="AU201" s="437"/>
      <c r="AV201" s="437"/>
      <c r="AW201" s="437"/>
      <c r="AX201" s="437"/>
      <c r="AY201" s="437"/>
      <c r="AZ201" s="437"/>
      <c r="BA201" s="437"/>
      <c r="BB201" s="1327"/>
      <c r="BC201" s="437"/>
      <c r="BD201" s="437"/>
      <c r="BE201" s="437"/>
      <c r="BF201" s="437"/>
      <c r="BG201" s="437"/>
      <c r="BH201" s="437"/>
      <c r="BI201" s="437"/>
      <c r="BJ201" s="437"/>
      <c r="BK201" s="437"/>
      <c r="BL201" s="437"/>
      <c r="BM201" s="1327"/>
      <c r="BN201" s="1327"/>
      <c r="BO201" s="1327"/>
      <c r="BP201" s="1327"/>
      <c r="BQ201" s="1327"/>
      <c r="BR201" s="1327"/>
      <c r="BS201" s="1327"/>
      <c r="BT201" s="1327"/>
      <c r="BU201" s="1327"/>
      <c r="BV201" s="1327"/>
      <c r="BW201" s="1327"/>
      <c r="BX201" s="1327"/>
      <c r="BY201" s="1327"/>
      <c r="BZ201" s="1327"/>
      <c r="CA201" s="1327"/>
      <c r="CB201" s="1327"/>
      <c r="CC201" s="1327"/>
      <c r="CD201" s="1327"/>
      <c r="CE201" s="1327"/>
      <c r="CF201" s="1327"/>
      <c r="CG201" s="1327"/>
      <c r="CH201" s="1327"/>
      <c r="CI201" s="1327"/>
      <c r="CJ201" s="1327"/>
      <c r="CK201" s="1327"/>
      <c r="CL201" s="1327"/>
      <c r="CM201" s="1327"/>
      <c r="CN201" s="1327"/>
      <c r="CO201" s="1327"/>
      <c r="CP201" s="1327"/>
      <c r="CQ201" s="1327"/>
      <c r="CR201" s="1327"/>
      <c r="CS201" s="1327"/>
      <c r="CT201" s="1317"/>
      <c r="CU201" s="1317"/>
      <c r="CV201" s="1317"/>
      <c r="CW201" s="1317"/>
      <c r="CX201" s="1317"/>
      <c r="CY201" s="1317"/>
      <c r="CZ201" s="1317"/>
      <c r="DA201" s="1317"/>
      <c r="DB201" s="1317"/>
      <c r="DC201" s="1317"/>
      <c r="DD201" s="1317"/>
      <c r="DE201" s="1317"/>
      <c r="DF201" s="1317"/>
      <c r="DG201" s="1317"/>
    </row>
    <row r="202" ht="18.75" customHeight="1">
      <c r="G202" s="1344"/>
      <c r="H202" s="1345">
        <f t="shared" si="4"/>
        <v>0</v>
      </c>
      <c r="I202" s="1381"/>
      <c r="J202" s="1381"/>
      <c r="K202" s="1381"/>
      <c r="L202" s="1381"/>
      <c r="M202" s="1381"/>
      <c r="N202" s="1381"/>
      <c r="O202" s="1381"/>
      <c r="P202" s="1381"/>
      <c r="Q202" s="1381"/>
      <c r="R202" s="1381"/>
      <c r="T202" s="1349"/>
      <c r="U202" s="1349" t="s">
        <v>123</v>
      </c>
      <c r="V202" s="1349" t="s">
        <v>123</v>
      </c>
      <c r="W202" s="1349"/>
      <c r="X202" s="1349"/>
      <c r="Y202" s="1308"/>
      <c r="Z202" s="437" t="str">
        <f>IFERROR(__xludf.DUMMYFUNCTION("IF(NOT('portfólio'!$AV$7),"""",IF($T202="""","""",IFERROR(query({AtivosDados},""select sum(""&amp;Z$3&amp;"") where Col1='""&amp;$T202&amp;""' label sum(""&amp;Z$3&amp;"") ''""),0)))"),"")</f>
        <v/>
      </c>
      <c r="AA202" s="437" t="str">
        <f>IFERROR(__xludf.DUMMYFUNCTION("IF(NOT('portfólio'!$AV$7),"""",IF($T202="""","""",IFERROR(query({AtivosDados},""select sum(""&amp;AA$3&amp;"") where Col1='""&amp;$T202&amp;""' label sum(""&amp;AA$3&amp;"") ''""),0)))"),"")</f>
        <v/>
      </c>
      <c r="AB202" s="437" t="str">
        <f>IFERROR(__xludf.DUMMYFUNCTION("IF(NOT('portfólio'!$AV$7),"""",IF($T202="""","""",IFERROR(query({AtivosDados},""select sum(""&amp;AB$3&amp;"") where Col1='""&amp;$T202&amp;""' label sum(""&amp;AB$3&amp;"") ''""),0)))"),"")</f>
        <v/>
      </c>
      <c r="AC202" s="437" t="str">
        <f>IFERROR(__xludf.DUMMYFUNCTION("IF(NOT('portfólio'!$AV$7),"""",IF($T202="""","""",IFERROR(query({AtivosDados},""select sum(""&amp;AC$3&amp;"") where Col1='""&amp;$T202&amp;""' label sum(""&amp;AC$3&amp;"") ''""),0)))"),"")</f>
        <v/>
      </c>
      <c r="AD202" s="437" t="str">
        <f>IFERROR(__xludf.DUMMYFUNCTION("IF(NOT('portfólio'!$AV$7),"""",IF($T202="""","""",IFERROR(query({AtivosDados},""select sum(""&amp;AD$3&amp;"") where Col1='""&amp;$T202&amp;""' label sum(""&amp;AD$3&amp;"") ''""),0)))"),"")</f>
        <v/>
      </c>
      <c r="AE202" s="437"/>
      <c r="AF202" s="1327"/>
      <c r="AG202" s="437"/>
      <c r="AH202" s="437"/>
      <c r="AI202" s="437"/>
      <c r="AJ202" s="437"/>
      <c r="AK202" s="437"/>
      <c r="AL202" s="437"/>
      <c r="AM202" s="437"/>
      <c r="AN202" s="437"/>
      <c r="AO202" s="437"/>
      <c r="AP202" s="437"/>
      <c r="AQ202" s="1327"/>
      <c r="AR202" s="437"/>
      <c r="AS202" s="437"/>
      <c r="AT202" s="437"/>
      <c r="AU202" s="437"/>
      <c r="AV202" s="437"/>
      <c r="AW202" s="437"/>
      <c r="AX202" s="437"/>
      <c r="AY202" s="437"/>
      <c r="AZ202" s="437"/>
      <c r="BA202" s="437"/>
      <c r="BB202" s="1327"/>
      <c r="BC202" s="437"/>
      <c r="BD202" s="437"/>
      <c r="BE202" s="437"/>
      <c r="BF202" s="437"/>
      <c r="BG202" s="437"/>
      <c r="BH202" s="437"/>
      <c r="BI202" s="437"/>
      <c r="BJ202" s="437"/>
      <c r="BK202" s="437"/>
      <c r="BL202" s="437"/>
      <c r="BM202" s="1327"/>
      <c r="BN202" s="1327"/>
      <c r="BO202" s="1327"/>
      <c r="BP202" s="1327"/>
      <c r="BQ202" s="1327"/>
      <c r="BR202" s="1327"/>
      <c r="BS202" s="1327"/>
      <c r="BT202" s="1327"/>
      <c r="BU202" s="1327"/>
      <c r="BV202" s="1327"/>
      <c r="BW202" s="1327"/>
      <c r="BX202" s="1327"/>
      <c r="BY202" s="1327"/>
      <c r="BZ202" s="1327"/>
      <c r="CA202" s="1327"/>
      <c r="CB202" s="1327"/>
      <c r="CC202" s="1327"/>
      <c r="CD202" s="1327"/>
      <c r="CE202" s="1327"/>
      <c r="CF202" s="1327"/>
      <c r="CG202" s="1327"/>
      <c r="CH202" s="1327"/>
      <c r="CI202" s="1327"/>
      <c r="CJ202" s="1327"/>
      <c r="CK202" s="1327"/>
      <c r="CL202" s="1327"/>
      <c r="CM202" s="1327"/>
      <c r="CN202" s="1327"/>
      <c r="CO202" s="1327"/>
      <c r="CP202" s="1327"/>
      <c r="CQ202" s="1327"/>
      <c r="CR202" s="1327"/>
      <c r="CS202" s="1327"/>
      <c r="CT202" s="1317"/>
      <c r="CU202" s="1317"/>
      <c r="CV202" s="1317"/>
      <c r="CW202" s="1317"/>
      <c r="CX202" s="1317"/>
      <c r="CY202" s="1317"/>
      <c r="CZ202" s="1317"/>
      <c r="DA202" s="1317"/>
      <c r="DB202" s="1317"/>
      <c r="DC202" s="1317"/>
      <c r="DD202" s="1317"/>
      <c r="DE202" s="1317"/>
      <c r="DF202" s="1317"/>
      <c r="DG202" s="1317"/>
    </row>
    <row r="203" ht="18.75" customHeight="1">
      <c r="G203" s="1344"/>
      <c r="H203" s="1345">
        <f t="shared" si="4"/>
        <v>0</v>
      </c>
      <c r="I203" s="1381"/>
      <c r="J203" s="1381"/>
      <c r="K203" s="1381"/>
      <c r="L203" s="1381"/>
      <c r="M203" s="1381"/>
      <c r="N203" s="1381"/>
      <c r="O203" s="1381"/>
      <c r="P203" s="1381"/>
      <c r="Q203" s="1381"/>
      <c r="R203" s="1381"/>
      <c r="T203" s="1349"/>
      <c r="U203" s="1349" t="s">
        <v>123</v>
      </c>
      <c r="V203" s="1349" t="s">
        <v>123</v>
      </c>
      <c r="W203" s="1349"/>
      <c r="X203" s="1349"/>
      <c r="Y203" s="1308"/>
      <c r="Z203" s="437" t="str">
        <f>IFERROR(__xludf.DUMMYFUNCTION("IF(NOT('portfólio'!$AV$7),"""",IF($T203="""","""",IFERROR(query({AtivosDados},""select sum(""&amp;Z$3&amp;"") where Col1='""&amp;$T203&amp;""' label sum(""&amp;Z$3&amp;"") ''""),0)))"),"")</f>
        <v/>
      </c>
      <c r="AA203" s="437" t="str">
        <f>IFERROR(__xludf.DUMMYFUNCTION("IF(NOT('portfólio'!$AV$7),"""",IF($T203="""","""",IFERROR(query({AtivosDados},""select sum(""&amp;AA$3&amp;"") where Col1='""&amp;$T203&amp;""' label sum(""&amp;AA$3&amp;"") ''""),0)))"),"")</f>
        <v/>
      </c>
      <c r="AB203" s="437" t="str">
        <f>IFERROR(__xludf.DUMMYFUNCTION("IF(NOT('portfólio'!$AV$7),"""",IF($T203="""","""",IFERROR(query({AtivosDados},""select sum(""&amp;AB$3&amp;"") where Col1='""&amp;$T203&amp;""' label sum(""&amp;AB$3&amp;"") ''""),0)))"),"")</f>
        <v/>
      </c>
      <c r="AC203" s="437" t="str">
        <f>IFERROR(__xludf.DUMMYFUNCTION("IF(NOT('portfólio'!$AV$7),"""",IF($T203="""","""",IFERROR(query({AtivosDados},""select sum(""&amp;AC$3&amp;"") where Col1='""&amp;$T203&amp;""' label sum(""&amp;AC$3&amp;"") ''""),0)))"),"")</f>
        <v/>
      </c>
      <c r="AD203" s="437" t="str">
        <f>IFERROR(__xludf.DUMMYFUNCTION("IF(NOT('portfólio'!$AV$7),"""",IF($T203="""","""",IFERROR(query({AtivosDados},""select sum(""&amp;AD$3&amp;"") where Col1='""&amp;$T203&amp;""' label sum(""&amp;AD$3&amp;"") ''""),0)))"),"")</f>
        <v/>
      </c>
      <c r="AE203" s="437"/>
      <c r="AF203" s="1327"/>
      <c r="AG203" s="437"/>
      <c r="AH203" s="437"/>
      <c r="AI203" s="437"/>
      <c r="AJ203" s="437"/>
      <c r="AK203" s="437"/>
      <c r="AL203" s="437"/>
      <c r="AM203" s="437"/>
      <c r="AN203" s="437"/>
      <c r="AO203" s="437"/>
      <c r="AP203" s="437"/>
      <c r="AQ203" s="1327"/>
      <c r="AR203" s="437"/>
      <c r="AS203" s="437"/>
      <c r="AT203" s="437"/>
      <c r="AU203" s="437"/>
      <c r="AV203" s="437"/>
      <c r="AW203" s="437"/>
      <c r="AX203" s="437"/>
      <c r="AY203" s="437"/>
      <c r="AZ203" s="437"/>
      <c r="BA203" s="437"/>
      <c r="BB203" s="1327"/>
      <c r="BC203" s="437"/>
      <c r="BD203" s="437"/>
      <c r="BE203" s="437"/>
      <c r="BF203" s="437"/>
      <c r="BG203" s="437"/>
      <c r="BH203" s="437"/>
      <c r="BI203" s="437"/>
      <c r="BJ203" s="437"/>
      <c r="BK203" s="437"/>
      <c r="BL203" s="437"/>
      <c r="BM203" s="1327"/>
      <c r="BN203" s="1327"/>
      <c r="BO203" s="1327"/>
      <c r="BP203" s="1327"/>
      <c r="BQ203" s="1327"/>
      <c r="BR203" s="1327"/>
      <c r="BS203" s="1327"/>
      <c r="BT203" s="1327"/>
      <c r="BU203" s="1327"/>
      <c r="BV203" s="1327"/>
      <c r="BW203" s="1327"/>
      <c r="BX203" s="1327"/>
      <c r="BY203" s="1327"/>
      <c r="BZ203" s="1327"/>
      <c r="CA203" s="1327"/>
      <c r="CB203" s="1327"/>
      <c r="CC203" s="1327"/>
      <c r="CD203" s="1327"/>
      <c r="CE203" s="1327"/>
      <c r="CF203" s="1327"/>
      <c r="CG203" s="1327"/>
      <c r="CH203" s="1327"/>
      <c r="CI203" s="1327"/>
      <c r="CJ203" s="1327"/>
      <c r="CK203" s="1327"/>
      <c r="CL203" s="1327"/>
      <c r="CM203" s="1327"/>
      <c r="CN203" s="1327"/>
      <c r="CO203" s="1327"/>
      <c r="CP203" s="1327"/>
      <c r="CQ203" s="1327"/>
      <c r="CR203" s="1327"/>
      <c r="CS203" s="1327"/>
      <c r="CT203" s="1317"/>
      <c r="CU203" s="1317"/>
      <c r="CV203" s="1317"/>
      <c r="CW203" s="1317"/>
      <c r="CX203" s="1317"/>
      <c r="CY203" s="1317"/>
      <c r="CZ203" s="1317"/>
      <c r="DA203" s="1317"/>
      <c r="DB203" s="1317"/>
      <c r="DC203" s="1317"/>
      <c r="DD203" s="1317"/>
      <c r="DE203" s="1317"/>
      <c r="DF203" s="1317"/>
      <c r="DG203" s="1317"/>
    </row>
    <row r="204" ht="18.75" customHeight="1">
      <c r="G204" s="1344"/>
      <c r="H204" s="1345">
        <f t="shared" si="4"/>
        <v>0</v>
      </c>
      <c r="I204" s="1381"/>
      <c r="J204" s="1381"/>
      <c r="K204" s="1381"/>
      <c r="L204" s="1381"/>
      <c r="M204" s="1381"/>
      <c r="N204" s="1381"/>
      <c r="O204" s="1381"/>
      <c r="P204" s="1381"/>
      <c r="Q204" s="1381"/>
      <c r="R204" s="1381"/>
      <c r="T204" s="1349"/>
      <c r="U204" s="1349" t="s">
        <v>123</v>
      </c>
      <c r="V204" s="1349" t="s">
        <v>123</v>
      </c>
      <c r="W204" s="1349"/>
      <c r="X204" s="1349"/>
      <c r="Y204" s="1308"/>
      <c r="Z204" s="437" t="str">
        <f>IFERROR(__xludf.DUMMYFUNCTION("IF(NOT('portfólio'!$AV$7),"""",IF($T204="""","""",IFERROR(query({AtivosDados},""select sum(""&amp;Z$3&amp;"") where Col1='""&amp;$T204&amp;""' label sum(""&amp;Z$3&amp;"") ''""),0)))"),"")</f>
        <v/>
      </c>
      <c r="AA204" s="437" t="str">
        <f>IFERROR(__xludf.DUMMYFUNCTION("IF(NOT('portfólio'!$AV$7),"""",IF($T204="""","""",IFERROR(query({AtivosDados},""select sum(""&amp;AA$3&amp;"") where Col1='""&amp;$T204&amp;""' label sum(""&amp;AA$3&amp;"") ''""),0)))"),"")</f>
        <v/>
      </c>
      <c r="AB204" s="437" t="str">
        <f>IFERROR(__xludf.DUMMYFUNCTION("IF(NOT('portfólio'!$AV$7),"""",IF($T204="""","""",IFERROR(query({AtivosDados},""select sum(""&amp;AB$3&amp;"") where Col1='""&amp;$T204&amp;""' label sum(""&amp;AB$3&amp;"") ''""),0)))"),"")</f>
        <v/>
      </c>
      <c r="AC204" s="437" t="str">
        <f>IFERROR(__xludf.DUMMYFUNCTION("IF(NOT('portfólio'!$AV$7),"""",IF($T204="""","""",IFERROR(query({AtivosDados},""select sum(""&amp;AC$3&amp;"") where Col1='""&amp;$T204&amp;""' label sum(""&amp;AC$3&amp;"") ''""),0)))"),"")</f>
        <v/>
      </c>
      <c r="AD204" s="437" t="str">
        <f>IFERROR(__xludf.DUMMYFUNCTION("IF(NOT('portfólio'!$AV$7),"""",IF($T204="""","""",IFERROR(query({AtivosDados},""select sum(""&amp;AD$3&amp;"") where Col1='""&amp;$T204&amp;""' label sum(""&amp;AD$3&amp;"") ''""),0)))"),"")</f>
        <v/>
      </c>
      <c r="AE204" s="437"/>
      <c r="AF204" s="1327"/>
      <c r="AG204" s="437"/>
      <c r="AH204" s="437"/>
      <c r="AI204" s="437"/>
      <c r="AJ204" s="437"/>
      <c r="AK204" s="437"/>
      <c r="AL204" s="437"/>
      <c r="AM204" s="437"/>
      <c r="AN204" s="437"/>
      <c r="AO204" s="437"/>
      <c r="AP204" s="437"/>
      <c r="AQ204" s="1327"/>
      <c r="AR204" s="437"/>
      <c r="AS204" s="437"/>
      <c r="AT204" s="437"/>
      <c r="AU204" s="437"/>
      <c r="AV204" s="437"/>
      <c r="AW204" s="437"/>
      <c r="AX204" s="437"/>
      <c r="AY204" s="437"/>
      <c r="AZ204" s="437"/>
      <c r="BA204" s="437"/>
      <c r="BB204" s="1327"/>
      <c r="BC204" s="437"/>
      <c r="BD204" s="437"/>
      <c r="BE204" s="437"/>
      <c r="BF204" s="437"/>
      <c r="BG204" s="437"/>
      <c r="BH204" s="437"/>
      <c r="BI204" s="437"/>
      <c r="BJ204" s="437"/>
      <c r="BK204" s="437"/>
      <c r="BL204" s="437"/>
      <c r="BM204" s="1327"/>
      <c r="BN204" s="1327"/>
      <c r="BO204" s="1327"/>
      <c r="BP204" s="1327"/>
      <c r="BQ204" s="1327"/>
      <c r="BR204" s="1327"/>
      <c r="BS204" s="1327"/>
      <c r="BT204" s="1327"/>
      <c r="BU204" s="1327"/>
      <c r="BV204" s="1327"/>
      <c r="BW204" s="1327"/>
      <c r="BX204" s="1327"/>
      <c r="BY204" s="1327"/>
      <c r="BZ204" s="1327"/>
      <c r="CA204" s="1327"/>
      <c r="CB204" s="1327"/>
      <c r="CC204" s="1327"/>
      <c r="CD204" s="1327"/>
      <c r="CE204" s="1327"/>
      <c r="CF204" s="1327"/>
      <c r="CG204" s="1327"/>
      <c r="CH204" s="1327"/>
      <c r="CI204" s="1327"/>
      <c r="CJ204" s="1327"/>
      <c r="CK204" s="1327"/>
      <c r="CL204" s="1327"/>
      <c r="CM204" s="1327"/>
      <c r="CN204" s="1327"/>
      <c r="CO204" s="1327"/>
      <c r="CP204" s="1327"/>
      <c r="CQ204" s="1327"/>
      <c r="CR204" s="1327"/>
      <c r="CS204" s="1327"/>
      <c r="CT204" s="1317"/>
      <c r="CU204" s="1317"/>
      <c r="CV204" s="1317"/>
      <c r="CW204" s="1317"/>
      <c r="CX204" s="1317"/>
      <c r="CY204" s="1317"/>
      <c r="CZ204" s="1317"/>
      <c r="DA204" s="1317"/>
      <c r="DB204" s="1317"/>
      <c r="DC204" s="1317"/>
      <c r="DD204" s="1317"/>
      <c r="DE204" s="1317"/>
      <c r="DF204" s="1317"/>
      <c r="DG204" s="1317"/>
    </row>
    <row r="205" ht="18.75" customHeight="1">
      <c r="G205" s="1344"/>
      <c r="H205" s="1345">
        <f t="shared" si="4"/>
        <v>0</v>
      </c>
      <c r="I205" s="1381"/>
      <c r="J205" s="1381"/>
      <c r="K205" s="1381"/>
      <c r="L205" s="1381"/>
      <c r="M205" s="1381"/>
      <c r="N205" s="1381"/>
      <c r="O205" s="1381"/>
      <c r="P205" s="1381"/>
      <c r="Q205" s="1381"/>
      <c r="R205" s="1381"/>
      <c r="T205" s="1349"/>
      <c r="U205" s="1349" t="s">
        <v>123</v>
      </c>
      <c r="V205" s="1349" t="s">
        <v>123</v>
      </c>
      <c r="W205" s="1349"/>
      <c r="X205" s="1349"/>
      <c r="Y205" s="1308"/>
      <c r="Z205" s="437" t="str">
        <f>IFERROR(__xludf.DUMMYFUNCTION("IF(NOT('portfólio'!$AV$7),"""",IF($T205="""","""",IFERROR(query({AtivosDados},""select sum(""&amp;Z$3&amp;"") where Col1='""&amp;$T205&amp;""' label sum(""&amp;Z$3&amp;"") ''""),0)))"),"")</f>
        <v/>
      </c>
      <c r="AA205" s="437" t="str">
        <f>IFERROR(__xludf.DUMMYFUNCTION("IF(NOT('portfólio'!$AV$7),"""",IF($T205="""","""",IFERROR(query({AtivosDados},""select sum(""&amp;AA$3&amp;"") where Col1='""&amp;$T205&amp;""' label sum(""&amp;AA$3&amp;"") ''""),0)))"),"")</f>
        <v/>
      </c>
      <c r="AB205" s="437" t="str">
        <f>IFERROR(__xludf.DUMMYFUNCTION("IF(NOT('portfólio'!$AV$7),"""",IF($T205="""","""",IFERROR(query({AtivosDados},""select sum(""&amp;AB$3&amp;"") where Col1='""&amp;$T205&amp;""' label sum(""&amp;AB$3&amp;"") ''""),0)))"),"")</f>
        <v/>
      </c>
      <c r="AC205" s="437" t="str">
        <f>IFERROR(__xludf.DUMMYFUNCTION("IF(NOT('portfólio'!$AV$7),"""",IF($T205="""","""",IFERROR(query({AtivosDados},""select sum(""&amp;AC$3&amp;"") where Col1='""&amp;$T205&amp;""' label sum(""&amp;AC$3&amp;"") ''""),0)))"),"")</f>
        <v/>
      </c>
      <c r="AD205" s="437" t="str">
        <f>IFERROR(__xludf.DUMMYFUNCTION("IF(NOT('portfólio'!$AV$7),"""",IF($T205="""","""",IFERROR(query({AtivosDados},""select sum(""&amp;AD$3&amp;"") where Col1='""&amp;$T205&amp;""' label sum(""&amp;AD$3&amp;"") ''""),0)))"),"")</f>
        <v/>
      </c>
      <c r="AE205" s="437"/>
      <c r="AF205" s="1327"/>
      <c r="AG205" s="437"/>
      <c r="AH205" s="437"/>
      <c r="AI205" s="437"/>
      <c r="AJ205" s="437"/>
      <c r="AK205" s="437"/>
      <c r="AL205" s="437"/>
      <c r="AM205" s="437"/>
      <c r="AN205" s="437"/>
      <c r="AO205" s="437"/>
      <c r="AP205" s="437"/>
      <c r="AQ205" s="1327"/>
      <c r="AR205" s="437"/>
      <c r="AS205" s="437"/>
      <c r="AT205" s="437"/>
      <c r="AU205" s="437"/>
      <c r="AV205" s="437"/>
      <c r="AW205" s="437"/>
      <c r="AX205" s="437"/>
      <c r="AY205" s="437"/>
      <c r="AZ205" s="437"/>
      <c r="BA205" s="437"/>
      <c r="BB205" s="1327"/>
      <c r="BC205" s="437"/>
      <c r="BD205" s="437"/>
      <c r="BE205" s="437"/>
      <c r="BF205" s="437"/>
      <c r="BG205" s="437"/>
      <c r="BH205" s="437"/>
      <c r="BI205" s="437"/>
      <c r="BJ205" s="437"/>
      <c r="BK205" s="437"/>
      <c r="BL205" s="437"/>
      <c r="BM205" s="1327"/>
      <c r="BN205" s="1327"/>
      <c r="BO205" s="1327"/>
      <c r="BP205" s="1327"/>
      <c r="BQ205" s="1327"/>
      <c r="BR205" s="1327"/>
      <c r="BS205" s="1327"/>
      <c r="BT205" s="1327"/>
      <c r="BU205" s="1327"/>
      <c r="BV205" s="1327"/>
      <c r="BW205" s="1327"/>
      <c r="BX205" s="1327"/>
      <c r="BY205" s="1327"/>
      <c r="BZ205" s="1327"/>
      <c r="CA205" s="1327"/>
      <c r="CB205" s="1327"/>
      <c r="CC205" s="1327"/>
      <c r="CD205" s="1327"/>
      <c r="CE205" s="1327"/>
      <c r="CF205" s="1327"/>
      <c r="CG205" s="1327"/>
      <c r="CH205" s="1327"/>
      <c r="CI205" s="1327"/>
      <c r="CJ205" s="1327"/>
      <c r="CK205" s="1327"/>
      <c r="CL205" s="1327"/>
      <c r="CM205" s="1327"/>
      <c r="CN205" s="1327"/>
      <c r="CO205" s="1327"/>
      <c r="CP205" s="1327"/>
      <c r="CQ205" s="1327"/>
      <c r="CR205" s="1327"/>
      <c r="CS205" s="1327"/>
      <c r="CT205" s="1317"/>
      <c r="CU205" s="1317"/>
      <c r="CV205" s="1317"/>
      <c r="CW205" s="1317"/>
      <c r="CX205" s="1317"/>
      <c r="CY205" s="1317"/>
      <c r="CZ205" s="1317"/>
      <c r="DA205" s="1317"/>
      <c r="DB205" s="1317"/>
      <c r="DC205" s="1317"/>
      <c r="DD205" s="1317"/>
      <c r="DE205" s="1317"/>
      <c r="DF205" s="1317"/>
      <c r="DG205" s="1317"/>
    </row>
    <row r="206" ht="18.75" customHeight="1">
      <c r="G206" s="1344"/>
      <c r="H206" s="1345">
        <f t="shared" si="4"/>
        <v>0</v>
      </c>
      <c r="I206" s="1381"/>
      <c r="J206" s="1381"/>
      <c r="K206" s="1381"/>
      <c r="L206" s="1381"/>
      <c r="M206" s="1381"/>
      <c r="N206" s="1381"/>
      <c r="O206" s="1381"/>
      <c r="P206" s="1381"/>
      <c r="Q206" s="1381"/>
      <c r="R206" s="1381"/>
      <c r="T206" s="1349"/>
      <c r="U206" s="1349" t="s">
        <v>123</v>
      </c>
      <c r="V206" s="1349" t="s">
        <v>123</v>
      </c>
      <c r="W206" s="1349"/>
      <c r="X206" s="1349"/>
      <c r="Y206" s="1308"/>
      <c r="Z206" s="437" t="str">
        <f>IFERROR(__xludf.DUMMYFUNCTION("IF(NOT('portfólio'!$AV$7),"""",IF($T206="""","""",IFERROR(query({AtivosDados},""select sum(""&amp;Z$3&amp;"") where Col1='""&amp;$T206&amp;""' label sum(""&amp;Z$3&amp;"") ''""),0)))"),"")</f>
        <v/>
      </c>
      <c r="AA206" s="437" t="str">
        <f>IFERROR(__xludf.DUMMYFUNCTION("IF(NOT('portfólio'!$AV$7),"""",IF($T206="""","""",IFERROR(query({AtivosDados},""select sum(""&amp;AA$3&amp;"") where Col1='""&amp;$T206&amp;""' label sum(""&amp;AA$3&amp;"") ''""),0)))"),"")</f>
        <v/>
      </c>
      <c r="AB206" s="437" t="str">
        <f>IFERROR(__xludf.DUMMYFUNCTION("IF(NOT('portfólio'!$AV$7),"""",IF($T206="""","""",IFERROR(query({AtivosDados},""select sum(""&amp;AB$3&amp;"") where Col1='""&amp;$T206&amp;""' label sum(""&amp;AB$3&amp;"") ''""),0)))"),"")</f>
        <v/>
      </c>
      <c r="AC206" s="437" t="str">
        <f>IFERROR(__xludf.DUMMYFUNCTION("IF(NOT('portfólio'!$AV$7),"""",IF($T206="""","""",IFERROR(query({AtivosDados},""select sum(""&amp;AC$3&amp;"") where Col1='""&amp;$T206&amp;""' label sum(""&amp;AC$3&amp;"") ''""),0)))"),"")</f>
        <v/>
      </c>
      <c r="AD206" s="437" t="str">
        <f>IFERROR(__xludf.DUMMYFUNCTION("IF(NOT('portfólio'!$AV$7),"""",IF($T206="""","""",IFERROR(query({AtivosDados},""select sum(""&amp;AD$3&amp;"") where Col1='""&amp;$T206&amp;""' label sum(""&amp;AD$3&amp;"") ''""),0)))"),"")</f>
        <v/>
      </c>
      <c r="AE206" s="437"/>
      <c r="AF206" s="1327"/>
      <c r="AG206" s="437"/>
      <c r="AH206" s="437"/>
      <c r="AI206" s="437"/>
      <c r="AJ206" s="437"/>
      <c r="AK206" s="437"/>
      <c r="AL206" s="437"/>
      <c r="AM206" s="437"/>
      <c r="AN206" s="437"/>
      <c r="AO206" s="437"/>
      <c r="AP206" s="437"/>
      <c r="AQ206" s="1327"/>
      <c r="AR206" s="437"/>
      <c r="AS206" s="437"/>
      <c r="AT206" s="437"/>
      <c r="AU206" s="437"/>
      <c r="AV206" s="437"/>
      <c r="AW206" s="437"/>
      <c r="AX206" s="437"/>
      <c r="AY206" s="437"/>
      <c r="AZ206" s="437"/>
      <c r="BA206" s="437"/>
      <c r="BB206" s="1327"/>
      <c r="BC206" s="437"/>
      <c r="BD206" s="437"/>
      <c r="BE206" s="437"/>
      <c r="BF206" s="437"/>
      <c r="BG206" s="437"/>
      <c r="BH206" s="437"/>
      <c r="BI206" s="437"/>
      <c r="BJ206" s="437"/>
      <c r="BK206" s="437"/>
      <c r="BL206" s="437"/>
      <c r="BM206" s="1327"/>
      <c r="BN206" s="1327"/>
      <c r="BO206" s="1327"/>
      <c r="BP206" s="1327"/>
      <c r="BQ206" s="1327"/>
      <c r="BR206" s="1327"/>
      <c r="BS206" s="1327"/>
      <c r="BT206" s="1327"/>
      <c r="BU206" s="1327"/>
      <c r="BV206" s="1327"/>
      <c r="BW206" s="1327"/>
      <c r="BX206" s="1327"/>
      <c r="BY206" s="1327"/>
      <c r="BZ206" s="1327"/>
      <c r="CA206" s="1327"/>
      <c r="CB206" s="1327"/>
      <c r="CC206" s="1327"/>
      <c r="CD206" s="1327"/>
      <c r="CE206" s="1327"/>
      <c r="CF206" s="1327"/>
      <c r="CG206" s="1327"/>
      <c r="CH206" s="1327"/>
      <c r="CI206" s="1327"/>
      <c r="CJ206" s="1327"/>
      <c r="CK206" s="1327"/>
      <c r="CL206" s="1327"/>
      <c r="CM206" s="1327"/>
      <c r="CN206" s="1327"/>
      <c r="CO206" s="1327"/>
      <c r="CP206" s="1327"/>
      <c r="CQ206" s="1327"/>
      <c r="CR206" s="1327"/>
      <c r="CS206" s="1327"/>
      <c r="CT206" s="1317"/>
      <c r="CU206" s="1317"/>
      <c r="CV206" s="1317"/>
      <c r="CW206" s="1317"/>
      <c r="CX206" s="1317"/>
      <c r="CY206" s="1317"/>
      <c r="CZ206" s="1317"/>
      <c r="DA206" s="1317"/>
      <c r="DB206" s="1317"/>
      <c r="DC206" s="1317"/>
      <c r="DD206" s="1317"/>
      <c r="DE206" s="1317"/>
      <c r="DF206" s="1317"/>
      <c r="DG206" s="1317"/>
    </row>
    <row r="207" ht="18.75" customHeight="1">
      <c r="G207" s="1344"/>
      <c r="H207" s="1345">
        <f t="shared" si="4"/>
        <v>0</v>
      </c>
      <c r="I207" s="1381"/>
      <c r="J207" s="1381"/>
      <c r="K207" s="1381"/>
      <c r="L207" s="1381"/>
      <c r="M207" s="1381"/>
      <c r="N207" s="1381"/>
      <c r="O207" s="1381"/>
      <c r="P207" s="1381"/>
      <c r="Q207" s="1381"/>
      <c r="R207" s="1381"/>
      <c r="T207" s="1349"/>
      <c r="U207" s="1349" t="s">
        <v>123</v>
      </c>
      <c r="V207" s="1349" t="s">
        <v>123</v>
      </c>
      <c r="W207" s="1349"/>
      <c r="X207" s="1349"/>
      <c r="Y207" s="1308"/>
      <c r="Z207" s="437" t="str">
        <f>IFERROR(__xludf.DUMMYFUNCTION("IF(NOT('portfólio'!$AV$7),"""",IF($T207="""","""",IFERROR(query({AtivosDados},""select sum(""&amp;Z$3&amp;"") where Col1='""&amp;$T207&amp;""' label sum(""&amp;Z$3&amp;"") ''""),0)))"),"")</f>
        <v/>
      </c>
      <c r="AA207" s="437" t="str">
        <f>IFERROR(__xludf.DUMMYFUNCTION("IF(NOT('portfólio'!$AV$7),"""",IF($T207="""","""",IFERROR(query({AtivosDados},""select sum(""&amp;AA$3&amp;"") where Col1='""&amp;$T207&amp;""' label sum(""&amp;AA$3&amp;"") ''""),0)))"),"")</f>
        <v/>
      </c>
      <c r="AB207" s="437" t="str">
        <f>IFERROR(__xludf.DUMMYFUNCTION("IF(NOT('portfólio'!$AV$7),"""",IF($T207="""","""",IFERROR(query({AtivosDados},""select sum(""&amp;AB$3&amp;"") where Col1='""&amp;$T207&amp;""' label sum(""&amp;AB$3&amp;"") ''""),0)))"),"")</f>
        <v/>
      </c>
      <c r="AC207" s="437" t="str">
        <f>IFERROR(__xludf.DUMMYFUNCTION("IF(NOT('portfólio'!$AV$7),"""",IF($T207="""","""",IFERROR(query({AtivosDados},""select sum(""&amp;AC$3&amp;"") where Col1='""&amp;$T207&amp;""' label sum(""&amp;AC$3&amp;"") ''""),0)))"),"")</f>
        <v/>
      </c>
      <c r="AD207" s="437" t="str">
        <f>IFERROR(__xludf.DUMMYFUNCTION("IF(NOT('portfólio'!$AV$7),"""",IF($T207="""","""",IFERROR(query({AtivosDados},""select sum(""&amp;AD$3&amp;"") where Col1='""&amp;$T207&amp;""' label sum(""&amp;AD$3&amp;"") ''""),0)))"),"")</f>
        <v/>
      </c>
      <c r="AE207" s="437"/>
      <c r="AF207" s="1327"/>
      <c r="AG207" s="437"/>
      <c r="AH207" s="437"/>
      <c r="AI207" s="437"/>
      <c r="AJ207" s="437"/>
      <c r="AK207" s="437"/>
      <c r="AL207" s="437"/>
      <c r="AM207" s="437"/>
      <c r="AN207" s="437"/>
      <c r="AO207" s="437"/>
      <c r="AP207" s="437"/>
      <c r="AQ207" s="1327"/>
      <c r="AR207" s="437"/>
      <c r="AS207" s="437"/>
      <c r="AT207" s="437"/>
      <c r="AU207" s="437"/>
      <c r="AV207" s="437"/>
      <c r="AW207" s="437"/>
      <c r="AX207" s="437"/>
      <c r="AY207" s="437"/>
      <c r="AZ207" s="437"/>
      <c r="BA207" s="437"/>
      <c r="BB207" s="1327"/>
      <c r="BC207" s="437"/>
      <c r="BD207" s="437"/>
      <c r="BE207" s="437"/>
      <c r="BF207" s="437"/>
      <c r="BG207" s="437"/>
      <c r="BH207" s="437"/>
      <c r="BI207" s="437"/>
      <c r="BJ207" s="437"/>
      <c r="BK207" s="437"/>
      <c r="BL207" s="437"/>
      <c r="BM207" s="1327"/>
      <c r="BN207" s="1327"/>
      <c r="BO207" s="1327"/>
      <c r="BP207" s="1327"/>
      <c r="BQ207" s="1327"/>
      <c r="BR207" s="1327"/>
      <c r="BS207" s="1327"/>
      <c r="BT207" s="1327"/>
      <c r="BU207" s="1327"/>
      <c r="BV207" s="1327"/>
      <c r="BW207" s="1327"/>
      <c r="BX207" s="1327"/>
      <c r="BY207" s="1327"/>
      <c r="BZ207" s="1327"/>
      <c r="CA207" s="1327"/>
      <c r="CB207" s="1327"/>
      <c r="CC207" s="1327"/>
      <c r="CD207" s="1327"/>
      <c r="CE207" s="1327"/>
      <c r="CF207" s="1327"/>
      <c r="CG207" s="1327"/>
      <c r="CH207" s="1327"/>
      <c r="CI207" s="1327"/>
      <c r="CJ207" s="1327"/>
      <c r="CK207" s="1327"/>
      <c r="CL207" s="1327"/>
      <c r="CM207" s="1327"/>
      <c r="CN207" s="1327"/>
      <c r="CO207" s="1327"/>
      <c r="CP207" s="1327"/>
      <c r="CQ207" s="1327"/>
      <c r="CR207" s="1327"/>
      <c r="CS207" s="1327"/>
      <c r="CT207" s="1317"/>
      <c r="CU207" s="1317"/>
      <c r="CV207" s="1317"/>
      <c r="CW207" s="1317"/>
      <c r="CX207" s="1317"/>
      <c r="CY207" s="1317"/>
      <c r="CZ207" s="1317"/>
      <c r="DA207" s="1317"/>
      <c r="DB207" s="1317"/>
      <c r="DC207" s="1317"/>
      <c r="DD207" s="1317"/>
      <c r="DE207" s="1317"/>
      <c r="DF207" s="1317"/>
      <c r="DG207" s="1317"/>
    </row>
    <row r="208" ht="18.75" customHeight="1">
      <c r="G208" s="1344"/>
      <c r="H208" s="1345">
        <f t="shared" si="4"/>
        <v>0</v>
      </c>
      <c r="I208" s="1381"/>
      <c r="J208" s="1381"/>
      <c r="K208" s="1381"/>
      <c r="L208" s="1381"/>
      <c r="M208" s="1381"/>
      <c r="N208" s="1381"/>
      <c r="O208" s="1381"/>
      <c r="P208" s="1381"/>
      <c r="Q208" s="1381"/>
      <c r="R208" s="1381"/>
      <c r="T208" s="1349"/>
      <c r="U208" s="1349" t="s">
        <v>123</v>
      </c>
      <c r="V208" s="1349" t="s">
        <v>123</v>
      </c>
      <c r="W208" s="1349"/>
      <c r="X208" s="1349"/>
      <c r="Y208" s="1308"/>
      <c r="Z208" s="437" t="str">
        <f>IFERROR(__xludf.DUMMYFUNCTION("IF(NOT('portfólio'!$AV$7),"""",IF($T208="""","""",IFERROR(query({AtivosDados},""select sum(""&amp;Z$3&amp;"") where Col1='""&amp;$T208&amp;""' label sum(""&amp;Z$3&amp;"") ''""),0)))"),"")</f>
        <v/>
      </c>
      <c r="AA208" s="437" t="str">
        <f>IFERROR(__xludf.DUMMYFUNCTION("IF(NOT('portfólio'!$AV$7),"""",IF($T208="""","""",IFERROR(query({AtivosDados},""select sum(""&amp;AA$3&amp;"") where Col1='""&amp;$T208&amp;""' label sum(""&amp;AA$3&amp;"") ''""),0)))"),"")</f>
        <v/>
      </c>
      <c r="AB208" s="437" t="str">
        <f>IFERROR(__xludf.DUMMYFUNCTION("IF(NOT('portfólio'!$AV$7),"""",IF($T208="""","""",IFERROR(query({AtivosDados},""select sum(""&amp;AB$3&amp;"") where Col1='""&amp;$T208&amp;""' label sum(""&amp;AB$3&amp;"") ''""),0)))"),"")</f>
        <v/>
      </c>
      <c r="AC208" s="437" t="str">
        <f>IFERROR(__xludf.DUMMYFUNCTION("IF(NOT('portfólio'!$AV$7),"""",IF($T208="""","""",IFERROR(query({AtivosDados},""select sum(""&amp;AC$3&amp;"") where Col1='""&amp;$T208&amp;""' label sum(""&amp;AC$3&amp;"") ''""),0)))"),"")</f>
        <v/>
      </c>
      <c r="AD208" s="437" t="str">
        <f>IFERROR(__xludf.DUMMYFUNCTION("IF(NOT('portfólio'!$AV$7),"""",IF($T208="""","""",IFERROR(query({AtivosDados},""select sum(""&amp;AD$3&amp;"") where Col1='""&amp;$T208&amp;""' label sum(""&amp;AD$3&amp;"") ''""),0)))"),"")</f>
        <v/>
      </c>
      <c r="AE208" s="437"/>
      <c r="AF208" s="1327"/>
      <c r="AG208" s="437"/>
      <c r="AH208" s="437"/>
      <c r="AI208" s="437"/>
      <c r="AJ208" s="437"/>
      <c r="AK208" s="437"/>
      <c r="AL208" s="437"/>
      <c r="AM208" s="437"/>
      <c r="AN208" s="437"/>
      <c r="AO208" s="437"/>
      <c r="AP208" s="437"/>
      <c r="AQ208" s="1327"/>
      <c r="AR208" s="437"/>
      <c r="AS208" s="437"/>
      <c r="AT208" s="437"/>
      <c r="AU208" s="437"/>
      <c r="AV208" s="437"/>
      <c r="AW208" s="437"/>
      <c r="AX208" s="437"/>
      <c r="AY208" s="437"/>
      <c r="AZ208" s="437"/>
      <c r="BA208" s="437"/>
      <c r="BB208" s="1327"/>
      <c r="BC208" s="437"/>
      <c r="BD208" s="437"/>
      <c r="BE208" s="437"/>
      <c r="BF208" s="437"/>
      <c r="BG208" s="437"/>
      <c r="BH208" s="437"/>
      <c r="BI208" s="437"/>
      <c r="BJ208" s="437"/>
      <c r="BK208" s="437"/>
      <c r="BL208" s="437"/>
      <c r="BM208" s="1327"/>
      <c r="BN208" s="1327"/>
      <c r="BO208" s="1327"/>
      <c r="BP208" s="1327"/>
      <c r="BQ208" s="1327"/>
      <c r="BR208" s="1327"/>
      <c r="BS208" s="1327"/>
      <c r="BT208" s="1327"/>
      <c r="BU208" s="1327"/>
      <c r="BV208" s="1327"/>
      <c r="BW208" s="1327"/>
      <c r="BX208" s="1327"/>
      <c r="BY208" s="1327"/>
      <c r="BZ208" s="1327"/>
      <c r="CA208" s="1327"/>
      <c r="CB208" s="1327"/>
      <c r="CC208" s="1327"/>
      <c r="CD208" s="1327"/>
      <c r="CE208" s="1327"/>
      <c r="CF208" s="1327"/>
      <c r="CG208" s="1327"/>
      <c r="CH208" s="1327"/>
      <c r="CI208" s="1327"/>
      <c r="CJ208" s="1327"/>
      <c r="CK208" s="1327"/>
      <c r="CL208" s="1327"/>
      <c r="CM208" s="1327"/>
      <c r="CN208" s="1327"/>
      <c r="CO208" s="1327"/>
      <c r="CP208" s="1327"/>
      <c r="CQ208" s="1327"/>
      <c r="CR208" s="1327"/>
      <c r="CS208" s="1327"/>
      <c r="CT208" s="1317"/>
      <c r="CU208" s="1317"/>
      <c r="CV208" s="1317"/>
      <c r="CW208" s="1317"/>
      <c r="CX208" s="1317"/>
      <c r="CY208" s="1317"/>
      <c r="CZ208" s="1317"/>
      <c r="DA208" s="1317"/>
      <c r="DB208" s="1317"/>
      <c r="DC208" s="1317"/>
      <c r="DD208" s="1317"/>
      <c r="DE208" s="1317"/>
      <c r="DF208" s="1317"/>
      <c r="DG208" s="1317"/>
    </row>
    <row r="209" ht="18.75" customHeight="1">
      <c r="G209" s="1344"/>
      <c r="H209" s="1345">
        <f t="shared" si="4"/>
        <v>0</v>
      </c>
      <c r="I209" s="1381"/>
      <c r="J209" s="1381"/>
      <c r="K209" s="1381"/>
      <c r="L209" s="1381"/>
      <c r="M209" s="1381"/>
      <c r="N209" s="1381"/>
      <c r="O209" s="1381"/>
      <c r="P209" s="1381"/>
      <c r="Q209" s="1381"/>
      <c r="R209" s="1381"/>
      <c r="T209" s="1349"/>
      <c r="U209" s="1349" t="s">
        <v>123</v>
      </c>
      <c r="V209" s="1349" t="s">
        <v>123</v>
      </c>
      <c r="W209" s="1349"/>
      <c r="X209" s="1349"/>
      <c r="Y209" s="1308"/>
      <c r="Z209" s="437" t="str">
        <f>IFERROR(__xludf.DUMMYFUNCTION("IF(NOT('portfólio'!$AV$7),"""",IF($T209="""","""",IFERROR(query({AtivosDados},""select sum(""&amp;Z$3&amp;"") where Col1='""&amp;$T209&amp;""' label sum(""&amp;Z$3&amp;"") ''""),0)))"),"")</f>
        <v/>
      </c>
      <c r="AA209" s="437" t="str">
        <f>IFERROR(__xludf.DUMMYFUNCTION("IF(NOT('portfólio'!$AV$7),"""",IF($T209="""","""",IFERROR(query({AtivosDados},""select sum(""&amp;AA$3&amp;"") where Col1='""&amp;$T209&amp;""' label sum(""&amp;AA$3&amp;"") ''""),0)))"),"")</f>
        <v/>
      </c>
      <c r="AB209" s="437" t="str">
        <f>IFERROR(__xludf.DUMMYFUNCTION("IF(NOT('portfólio'!$AV$7),"""",IF($T209="""","""",IFERROR(query({AtivosDados},""select sum(""&amp;AB$3&amp;"") where Col1='""&amp;$T209&amp;""' label sum(""&amp;AB$3&amp;"") ''""),0)))"),"")</f>
        <v/>
      </c>
      <c r="AC209" s="437" t="str">
        <f>IFERROR(__xludf.DUMMYFUNCTION("IF(NOT('portfólio'!$AV$7),"""",IF($T209="""","""",IFERROR(query({AtivosDados},""select sum(""&amp;AC$3&amp;"") where Col1='""&amp;$T209&amp;""' label sum(""&amp;AC$3&amp;"") ''""),0)))"),"")</f>
        <v/>
      </c>
      <c r="AD209" s="437" t="str">
        <f>IFERROR(__xludf.DUMMYFUNCTION("IF(NOT('portfólio'!$AV$7),"""",IF($T209="""","""",IFERROR(query({AtivosDados},""select sum(""&amp;AD$3&amp;"") where Col1='""&amp;$T209&amp;""' label sum(""&amp;AD$3&amp;"") ''""),0)))"),"")</f>
        <v/>
      </c>
      <c r="AE209" s="437"/>
      <c r="AF209" s="1327"/>
      <c r="AG209" s="437"/>
      <c r="AH209" s="437"/>
      <c r="AI209" s="437"/>
      <c r="AJ209" s="437"/>
      <c r="AK209" s="437"/>
      <c r="AL209" s="437"/>
      <c r="AM209" s="437"/>
      <c r="AN209" s="437"/>
      <c r="AO209" s="437"/>
      <c r="AP209" s="437"/>
      <c r="AQ209" s="1327"/>
      <c r="AR209" s="437"/>
      <c r="AS209" s="437"/>
      <c r="AT209" s="437"/>
      <c r="AU209" s="437"/>
      <c r="AV209" s="437"/>
      <c r="AW209" s="437"/>
      <c r="AX209" s="437"/>
      <c r="AY209" s="437"/>
      <c r="AZ209" s="437"/>
      <c r="BA209" s="437"/>
      <c r="BB209" s="1327"/>
      <c r="BC209" s="437"/>
      <c r="BD209" s="437"/>
      <c r="BE209" s="437"/>
      <c r="BF209" s="437"/>
      <c r="BG209" s="437"/>
      <c r="BH209" s="437"/>
      <c r="BI209" s="437"/>
      <c r="BJ209" s="437"/>
      <c r="BK209" s="437"/>
      <c r="BL209" s="437"/>
      <c r="BM209" s="1327"/>
      <c r="BN209" s="1327"/>
      <c r="BO209" s="1327"/>
      <c r="BP209" s="1327"/>
      <c r="BQ209" s="1327"/>
      <c r="BR209" s="1327"/>
      <c r="BS209" s="1327"/>
      <c r="BT209" s="1327"/>
      <c r="BU209" s="1327"/>
      <c r="BV209" s="1327"/>
      <c r="BW209" s="1327"/>
      <c r="BX209" s="1327"/>
      <c r="BY209" s="1327"/>
      <c r="BZ209" s="1327"/>
      <c r="CA209" s="1327"/>
      <c r="CB209" s="1327"/>
      <c r="CC209" s="1327"/>
      <c r="CD209" s="1327"/>
      <c r="CE209" s="1327"/>
      <c r="CF209" s="1327"/>
      <c r="CG209" s="1327"/>
      <c r="CH209" s="1327"/>
      <c r="CI209" s="1327"/>
      <c r="CJ209" s="1327"/>
      <c r="CK209" s="1327"/>
      <c r="CL209" s="1327"/>
      <c r="CM209" s="1327"/>
      <c r="CN209" s="1327"/>
      <c r="CO209" s="1327"/>
      <c r="CP209" s="1327"/>
      <c r="CQ209" s="1327"/>
      <c r="CR209" s="1327"/>
      <c r="CS209" s="1327"/>
      <c r="CT209" s="1317"/>
      <c r="CU209" s="1317"/>
      <c r="CV209" s="1317"/>
      <c r="CW209" s="1317"/>
      <c r="CX209" s="1317"/>
      <c r="CY209" s="1317"/>
      <c r="CZ209" s="1317"/>
      <c r="DA209" s="1317"/>
      <c r="DB209" s="1317"/>
      <c r="DC209" s="1317"/>
      <c r="DD209" s="1317"/>
      <c r="DE209" s="1317"/>
      <c r="DF209" s="1317"/>
      <c r="DG209" s="1317"/>
    </row>
    <row r="210" ht="18.75" customHeight="1">
      <c r="G210" s="1344"/>
      <c r="H210" s="1345">
        <f t="shared" si="4"/>
        <v>0</v>
      </c>
      <c r="I210" s="1381"/>
      <c r="J210" s="1381"/>
      <c r="K210" s="1381"/>
      <c r="L210" s="1381"/>
      <c r="M210" s="1381"/>
      <c r="N210" s="1381"/>
      <c r="O210" s="1381"/>
      <c r="P210" s="1381"/>
      <c r="Q210" s="1381"/>
      <c r="R210" s="1381"/>
      <c r="T210" s="1349"/>
      <c r="U210" s="1349" t="s">
        <v>123</v>
      </c>
      <c r="V210" s="1349" t="s">
        <v>123</v>
      </c>
      <c r="W210" s="1349"/>
      <c r="X210" s="1349"/>
      <c r="Y210" s="1308"/>
      <c r="Z210" s="437" t="str">
        <f>IFERROR(__xludf.DUMMYFUNCTION("IF(NOT('portfólio'!$AV$7),"""",IF($T210="""","""",IFERROR(query({AtivosDados},""select sum(""&amp;Z$3&amp;"") where Col1='""&amp;$T210&amp;""' label sum(""&amp;Z$3&amp;"") ''""),0)))"),"")</f>
        <v/>
      </c>
      <c r="AA210" s="437" t="str">
        <f>IFERROR(__xludf.DUMMYFUNCTION("IF(NOT('portfólio'!$AV$7),"""",IF($T210="""","""",IFERROR(query({AtivosDados},""select sum(""&amp;AA$3&amp;"") where Col1='""&amp;$T210&amp;""' label sum(""&amp;AA$3&amp;"") ''""),0)))"),"")</f>
        <v/>
      </c>
      <c r="AB210" s="437" t="str">
        <f>IFERROR(__xludf.DUMMYFUNCTION("IF(NOT('portfólio'!$AV$7),"""",IF($T210="""","""",IFERROR(query({AtivosDados},""select sum(""&amp;AB$3&amp;"") where Col1='""&amp;$T210&amp;""' label sum(""&amp;AB$3&amp;"") ''""),0)))"),"")</f>
        <v/>
      </c>
      <c r="AC210" s="437" t="str">
        <f>IFERROR(__xludf.DUMMYFUNCTION("IF(NOT('portfólio'!$AV$7),"""",IF($T210="""","""",IFERROR(query({AtivosDados},""select sum(""&amp;AC$3&amp;"") where Col1='""&amp;$T210&amp;""' label sum(""&amp;AC$3&amp;"") ''""),0)))"),"")</f>
        <v/>
      </c>
      <c r="AD210" s="437" t="str">
        <f>IFERROR(__xludf.DUMMYFUNCTION("IF(NOT('portfólio'!$AV$7),"""",IF($T210="""","""",IFERROR(query({AtivosDados},""select sum(""&amp;AD$3&amp;"") where Col1='""&amp;$T210&amp;""' label sum(""&amp;AD$3&amp;"") ''""),0)))"),"")</f>
        <v/>
      </c>
      <c r="AE210" s="437"/>
      <c r="AF210" s="1327"/>
      <c r="AG210" s="437"/>
      <c r="AH210" s="437"/>
      <c r="AI210" s="437"/>
      <c r="AJ210" s="437"/>
      <c r="AK210" s="437"/>
      <c r="AL210" s="437"/>
      <c r="AM210" s="437"/>
      <c r="AN210" s="437"/>
      <c r="AO210" s="437"/>
      <c r="AP210" s="437"/>
      <c r="AQ210" s="1327"/>
      <c r="AR210" s="437"/>
      <c r="AS210" s="437"/>
      <c r="AT210" s="437"/>
      <c r="AU210" s="437"/>
      <c r="AV210" s="437"/>
      <c r="AW210" s="437"/>
      <c r="AX210" s="437"/>
      <c r="AY210" s="437"/>
      <c r="AZ210" s="437"/>
      <c r="BA210" s="437"/>
      <c r="BB210" s="1327"/>
      <c r="BC210" s="437"/>
      <c r="BD210" s="437"/>
      <c r="BE210" s="437"/>
      <c r="BF210" s="437"/>
      <c r="BG210" s="437"/>
      <c r="BH210" s="437"/>
      <c r="BI210" s="437"/>
      <c r="BJ210" s="437"/>
      <c r="BK210" s="437"/>
      <c r="BL210" s="437"/>
      <c r="BM210" s="1327"/>
      <c r="BN210" s="1327"/>
      <c r="BO210" s="1327"/>
      <c r="BP210" s="1327"/>
      <c r="BQ210" s="1327"/>
      <c r="BR210" s="1327"/>
      <c r="BS210" s="1327"/>
      <c r="BT210" s="1327"/>
      <c r="BU210" s="1327"/>
      <c r="BV210" s="1327"/>
      <c r="BW210" s="1327"/>
      <c r="BX210" s="1327"/>
      <c r="BY210" s="1327"/>
      <c r="BZ210" s="1327"/>
      <c r="CA210" s="1327"/>
      <c r="CB210" s="1327"/>
      <c r="CC210" s="1327"/>
      <c r="CD210" s="1327"/>
      <c r="CE210" s="1327"/>
      <c r="CF210" s="1327"/>
      <c r="CG210" s="1327"/>
      <c r="CH210" s="1327"/>
      <c r="CI210" s="1327"/>
      <c r="CJ210" s="1327"/>
      <c r="CK210" s="1327"/>
      <c r="CL210" s="1327"/>
      <c r="CM210" s="1327"/>
      <c r="CN210" s="1327"/>
      <c r="CO210" s="1327"/>
      <c r="CP210" s="1327"/>
      <c r="CQ210" s="1327"/>
      <c r="CR210" s="1327"/>
      <c r="CS210" s="1327"/>
      <c r="CT210" s="1317"/>
      <c r="CU210" s="1317"/>
      <c r="CV210" s="1317"/>
      <c r="CW210" s="1317"/>
      <c r="CX210" s="1317"/>
      <c r="CY210" s="1317"/>
      <c r="CZ210" s="1317"/>
      <c r="DA210" s="1317"/>
      <c r="DB210" s="1317"/>
      <c r="DC210" s="1317"/>
      <c r="DD210" s="1317"/>
      <c r="DE210" s="1317"/>
      <c r="DF210" s="1317"/>
      <c r="DG210" s="1317"/>
    </row>
    <row r="211" ht="18.75" customHeight="1">
      <c r="G211" s="1344"/>
      <c r="H211" s="1345">
        <f t="shared" si="4"/>
        <v>0</v>
      </c>
      <c r="I211" s="1381"/>
      <c r="J211" s="1381"/>
      <c r="K211" s="1381"/>
      <c r="L211" s="1381"/>
      <c r="M211" s="1381"/>
      <c r="N211" s="1381"/>
      <c r="O211" s="1381"/>
      <c r="P211" s="1381"/>
      <c r="Q211" s="1381"/>
      <c r="R211" s="1381"/>
      <c r="T211" s="1349"/>
      <c r="U211" s="1349" t="s">
        <v>123</v>
      </c>
      <c r="V211" s="1349" t="s">
        <v>123</v>
      </c>
      <c r="W211" s="1349"/>
      <c r="X211" s="1349"/>
      <c r="Y211" s="1308"/>
      <c r="Z211" s="437" t="str">
        <f>IFERROR(__xludf.DUMMYFUNCTION("IF(NOT('portfólio'!$AV$7),"""",IF($T211="""","""",IFERROR(query({AtivosDados},""select sum(""&amp;Z$3&amp;"") where Col1='""&amp;$T211&amp;""' label sum(""&amp;Z$3&amp;"") ''""),0)))"),"")</f>
        <v/>
      </c>
      <c r="AA211" s="437" t="str">
        <f>IFERROR(__xludf.DUMMYFUNCTION("IF(NOT('portfólio'!$AV$7),"""",IF($T211="""","""",IFERROR(query({AtivosDados},""select sum(""&amp;AA$3&amp;"") where Col1='""&amp;$T211&amp;""' label sum(""&amp;AA$3&amp;"") ''""),0)))"),"")</f>
        <v/>
      </c>
      <c r="AB211" s="437" t="str">
        <f>IFERROR(__xludf.DUMMYFUNCTION("IF(NOT('portfólio'!$AV$7),"""",IF($T211="""","""",IFERROR(query({AtivosDados},""select sum(""&amp;AB$3&amp;"") where Col1='""&amp;$T211&amp;""' label sum(""&amp;AB$3&amp;"") ''""),0)))"),"")</f>
        <v/>
      </c>
      <c r="AC211" s="437" t="str">
        <f>IFERROR(__xludf.DUMMYFUNCTION("IF(NOT('portfólio'!$AV$7),"""",IF($T211="""","""",IFERROR(query({AtivosDados},""select sum(""&amp;AC$3&amp;"") where Col1='""&amp;$T211&amp;""' label sum(""&amp;AC$3&amp;"") ''""),0)))"),"")</f>
        <v/>
      </c>
      <c r="AD211" s="437" t="str">
        <f>IFERROR(__xludf.DUMMYFUNCTION("IF(NOT('portfólio'!$AV$7),"""",IF($T211="""","""",IFERROR(query({AtivosDados},""select sum(""&amp;AD$3&amp;"") where Col1='""&amp;$T211&amp;""' label sum(""&amp;AD$3&amp;"") ''""),0)))"),"")</f>
        <v/>
      </c>
      <c r="AE211" s="437"/>
      <c r="AF211" s="1327"/>
      <c r="AG211" s="437"/>
      <c r="AH211" s="437"/>
      <c r="AI211" s="437"/>
      <c r="AJ211" s="437"/>
      <c r="AK211" s="437"/>
      <c r="AL211" s="437"/>
      <c r="AM211" s="437"/>
      <c r="AN211" s="437"/>
      <c r="AO211" s="437"/>
      <c r="AP211" s="437"/>
      <c r="AQ211" s="1327"/>
      <c r="AR211" s="437"/>
      <c r="AS211" s="437"/>
      <c r="AT211" s="437"/>
      <c r="AU211" s="437"/>
      <c r="AV211" s="437"/>
      <c r="AW211" s="437"/>
      <c r="AX211" s="437"/>
      <c r="AY211" s="437"/>
      <c r="AZ211" s="437"/>
      <c r="BA211" s="437"/>
      <c r="BB211" s="1327"/>
      <c r="BC211" s="437"/>
      <c r="BD211" s="437"/>
      <c r="BE211" s="437"/>
      <c r="BF211" s="437"/>
      <c r="BG211" s="437"/>
      <c r="BH211" s="437"/>
      <c r="BI211" s="437"/>
      <c r="BJ211" s="437"/>
      <c r="BK211" s="437"/>
      <c r="BL211" s="437"/>
      <c r="BM211" s="1327"/>
      <c r="BN211" s="1327"/>
      <c r="BO211" s="1327"/>
      <c r="BP211" s="1327"/>
      <c r="BQ211" s="1327"/>
      <c r="BR211" s="1327"/>
      <c r="BS211" s="1327"/>
      <c r="BT211" s="1327"/>
      <c r="BU211" s="1327"/>
      <c r="BV211" s="1327"/>
      <c r="BW211" s="1327"/>
      <c r="BX211" s="1327"/>
      <c r="BY211" s="1327"/>
      <c r="BZ211" s="1327"/>
      <c r="CA211" s="1327"/>
      <c r="CB211" s="1327"/>
      <c r="CC211" s="1327"/>
      <c r="CD211" s="1327"/>
      <c r="CE211" s="1327"/>
      <c r="CF211" s="1327"/>
      <c r="CG211" s="1327"/>
      <c r="CH211" s="1327"/>
      <c r="CI211" s="1327"/>
      <c r="CJ211" s="1327"/>
      <c r="CK211" s="1327"/>
      <c r="CL211" s="1327"/>
      <c r="CM211" s="1327"/>
      <c r="CN211" s="1327"/>
      <c r="CO211" s="1327"/>
      <c r="CP211" s="1327"/>
      <c r="CQ211" s="1327"/>
      <c r="CR211" s="1327"/>
      <c r="CS211" s="1327"/>
      <c r="CT211" s="1317"/>
      <c r="CU211" s="1317"/>
      <c r="CV211" s="1317"/>
      <c r="CW211" s="1317"/>
      <c r="CX211" s="1317"/>
      <c r="CY211" s="1317"/>
      <c r="CZ211" s="1317"/>
      <c r="DA211" s="1317"/>
      <c r="DB211" s="1317"/>
      <c r="DC211" s="1317"/>
      <c r="DD211" s="1317"/>
      <c r="DE211" s="1317"/>
      <c r="DF211" s="1317"/>
      <c r="DG211" s="1317"/>
    </row>
    <row r="212" ht="18.75" customHeight="1">
      <c r="G212" s="1344"/>
      <c r="H212" s="1345">
        <f t="shared" si="4"/>
        <v>0</v>
      </c>
      <c r="I212" s="1381"/>
      <c r="J212" s="1381"/>
      <c r="K212" s="1381"/>
      <c r="L212" s="1381"/>
      <c r="M212" s="1381"/>
      <c r="N212" s="1381"/>
      <c r="O212" s="1381"/>
      <c r="P212" s="1381"/>
      <c r="Q212" s="1381"/>
      <c r="R212" s="1381"/>
      <c r="T212" s="1349"/>
      <c r="U212" s="1349" t="s">
        <v>123</v>
      </c>
      <c r="V212" s="1349" t="s">
        <v>123</v>
      </c>
      <c r="W212" s="1349"/>
      <c r="X212" s="1349"/>
      <c r="Y212" s="1308"/>
      <c r="Z212" s="437" t="str">
        <f>IFERROR(__xludf.DUMMYFUNCTION("IF(NOT('portfólio'!$AV$7),"""",IF($T212="""","""",IFERROR(query({AtivosDados},""select sum(""&amp;Z$3&amp;"") where Col1='""&amp;$T212&amp;""' label sum(""&amp;Z$3&amp;"") ''""),0)))"),"")</f>
        <v/>
      </c>
      <c r="AA212" s="437" t="str">
        <f>IFERROR(__xludf.DUMMYFUNCTION("IF(NOT('portfólio'!$AV$7),"""",IF($T212="""","""",IFERROR(query({AtivosDados},""select sum(""&amp;AA$3&amp;"") where Col1='""&amp;$T212&amp;""' label sum(""&amp;AA$3&amp;"") ''""),0)))"),"")</f>
        <v/>
      </c>
      <c r="AB212" s="437" t="str">
        <f>IFERROR(__xludf.DUMMYFUNCTION("IF(NOT('portfólio'!$AV$7),"""",IF($T212="""","""",IFERROR(query({AtivosDados},""select sum(""&amp;AB$3&amp;"") where Col1='""&amp;$T212&amp;""' label sum(""&amp;AB$3&amp;"") ''""),0)))"),"")</f>
        <v/>
      </c>
      <c r="AC212" s="437" t="str">
        <f>IFERROR(__xludf.DUMMYFUNCTION("IF(NOT('portfólio'!$AV$7),"""",IF($T212="""","""",IFERROR(query({AtivosDados},""select sum(""&amp;AC$3&amp;"") where Col1='""&amp;$T212&amp;""' label sum(""&amp;AC$3&amp;"") ''""),0)))"),"")</f>
        <v/>
      </c>
      <c r="AD212" s="437" t="str">
        <f>IFERROR(__xludf.DUMMYFUNCTION("IF(NOT('portfólio'!$AV$7),"""",IF($T212="""","""",IFERROR(query({AtivosDados},""select sum(""&amp;AD$3&amp;"") where Col1='""&amp;$T212&amp;""' label sum(""&amp;AD$3&amp;"") ''""),0)))"),"")</f>
        <v/>
      </c>
      <c r="AE212" s="437"/>
      <c r="AF212" s="1327"/>
      <c r="AG212" s="437"/>
      <c r="AH212" s="437"/>
      <c r="AI212" s="437"/>
      <c r="AJ212" s="437"/>
      <c r="AK212" s="437"/>
      <c r="AL212" s="437"/>
      <c r="AM212" s="437"/>
      <c r="AN212" s="437"/>
      <c r="AO212" s="437"/>
      <c r="AP212" s="437"/>
      <c r="AQ212" s="1327"/>
      <c r="AR212" s="437"/>
      <c r="AS212" s="437"/>
      <c r="AT212" s="437"/>
      <c r="AU212" s="437"/>
      <c r="AV212" s="437"/>
      <c r="AW212" s="437"/>
      <c r="AX212" s="437"/>
      <c r="AY212" s="437"/>
      <c r="AZ212" s="437"/>
      <c r="BA212" s="437"/>
      <c r="BB212" s="1327"/>
      <c r="BC212" s="437"/>
      <c r="BD212" s="437"/>
      <c r="BE212" s="437"/>
      <c r="BF212" s="437"/>
      <c r="BG212" s="437"/>
      <c r="BH212" s="437"/>
      <c r="BI212" s="437"/>
      <c r="BJ212" s="437"/>
      <c r="BK212" s="437"/>
      <c r="BL212" s="437"/>
      <c r="BM212" s="1327"/>
      <c r="BN212" s="1327"/>
      <c r="BO212" s="1327"/>
      <c r="BP212" s="1327"/>
      <c r="BQ212" s="1327"/>
      <c r="BR212" s="1327"/>
      <c r="BS212" s="1327"/>
      <c r="BT212" s="1327"/>
      <c r="BU212" s="1327"/>
      <c r="BV212" s="1327"/>
      <c r="BW212" s="1327"/>
      <c r="BX212" s="1327"/>
      <c r="BY212" s="1327"/>
      <c r="BZ212" s="1327"/>
      <c r="CA212" s="1327"/>
      <c r="CB212" s="1327"/>
      <c r="CC212" s="1327"/>
      <c r="CD212" s="1327"/>
      <c r="CE212" s="1327"/>
      <c r="CF212" s="1327"/>
      <c r="CG212" s="1327"/>
      <c r="CH212" s="1327"/>
      <c r="CI212" s="1327"/>
      <c r="CJ212" s="1327"/>
      <c r="CK212" s="1327"/>
      <c r="CL212" s="1327"/>
      <c r="CM212" s="1327"/>
      <c r="CN212" s="1327"/>
      <c r="CO212" s="1327"/>
      <c r="CP212" s="1327"/>
      <c r="CQ212" s="1327"/>
      <c r="CR212" s="1327"/>
      <c r="CS212" s="1327"/>
      <c r="CT212" s="1317"/>
      <c r="CU212" s="1317"/>
      <c r="CV212" s="1317"/>
      <c r="CW212" s="1317"/>
      <c r="CX212" s="1317"/>
      <c r="CY212" s="1317"/>
      <c r="CZ212" s="1317"/>
      <c r="DA212" s="1317"/>
      <c r="DB212" s="1317"/>
      <c r="DC212" s="1317"/>
      <c r="DD212" s="1317"/>
      <c r="DE212" s="1317"/>
      <c r="DF212" s="1317"/>
      <c r="DG212" s="1317"/>
    </row>
    <row r="213" ht="18.75" customHeight="1">
      <c r="G213" s="1344"/>
      <c r="H213" s="1345">
        <f t="shared" si="4"/>
        <v>0</v>
      </c>
      <c r="I213" s="1381"/>
      <c r="J213" s="1381"/>
      <c r="K213" s="1381"/>
      <c r="L213" s="1381"/>
      <c r="M213" s="1381"/>
      <c r="N213" s="1381"/>
      <c r="O213" s="1381"/>
      <c r="P213" s="1381"/>
      <c r="Q213" s="1381"/>
      <c r="R213" s="1381"/>
      <c r="T213" s="1349"/>
      <c r="U213" s="1349" t="s">
        <v>123</v>
      </c>
      <c r="V213" s="1349" t="s">
        <v>123</v>
      </c>
      <c r="W213" s="1349"/>
      <c r="X213" s="1349"/>
      <c r="Y213" s="1308"/>
      <c r="Z213" s="437" t="str">
        <f>IFERROR(__xludf.DUMMYFUNCTION("IF(NOT('portfólio'!$AV$7),"""",IF($T213="""","""",IFERROR(query({AtivosDados},""select sum(""&amp;Z$3&amp;"") where Col1='""&amp;$T213&amp;""' label sum(""&amp;Z$3&amp;"") ''""),0)))"),"")</f>
        <v/>
      </c>
      <c r="AA213" s="437" t="str">
        <f>IFERROR(__xludf.DUMMYFUNCTION("IF(NOT('portfólio'!$AV$7),"""",IF($T213="""","""",IFERROR(query({AtivosDados},""select sum(""&amp;AA$3&amp;"") where Col1='""&amp;$T213&amp;""' label sum(""&amp;AA$3&amp;"") ''""),0)))"),"")</f>
        <v/>
      </c>
      <c r="AB213" s="437" t="str">
        <f>IFERROR(__xludf.DUMMYFUNCTION("IF(NOT('portfólio'!$AV$7),"""",IF($T213="""","""",IFERROR(query({AtivosDados},""select sum(""&amp;AB$3&amp;"") where Col1='""&amp;$T213&amp;""' label sum(""&amp;AB$3&amp;"") ''""),0)))"),"")</f>
        <v/>
      </c>
      <c r="AC213" s="437" t="str">
        <f>IFERROR(__xludf.DUMMYFUNCTION("IF(NOT('portfólio'!$AV$7),"""",IF($T213="""","""",IFERROR(query({AtivosDados},""select sum(""&amp;AC$3&amp;"") where Col1='""&amp;$T213&amp;""' label sum(""&amp;AC$3&amp;"") ''""),0)))"),"")</f>
        <v/>
      </c>
      <c r="AD213" s="437" t="str">
        <f>IFERROR(__xludf.DUMMYFUNCTION("IF(NOT('portfólio'!$AV$7),"""",IF($T213="""","""",IFERROR(query({AtivosDados},""select sum(""&amp;AD$3&amp;"") where Col1='""&amp;$T213&amp;""' label sum(""&amp;AD$3&amp;"") ''""),0)))"),"")</f>
        <v/>
      </c>
      <c r="AE213" s="437"/>
      <c r="AF213" s="1327"/>
      <c r="AG213" s="437"/>
      <c r="AH213" s="437"/>
      <c r="AI213" s="437"/>
      <c r="AJ213" s="437"/>
      <c r="AK213" s="437"/>
      <c r="AL213" s="437"/>
      <c r="AM213" s="437"/>
      <c r="AN213" s="437"/>
      <c r="AO213" s="437"/>
      <c r="AP213" s="437"/>
      <c r="AQ213" s="1327"/>
      <c r="AR213" s="437"/>
      <c r="AS213" s="437"/>
      <c r="AT213" s="437"/>
      <c r="AU213" s="437"/>
      <c r="AV213" s="437"/>
      <c r="AW213" s="437"/>
      <c r="AX213" s="437"/>
      <c r="AY213" s="437"/>
      <c r="AZ213" s="437"/>
      <c r="BA213" s="437"/>
      <c r="BB213" s="1327"/>
      <c r="BC213" s="437"/>
      <c r="BD213" s="437"/>
      <c r="BE213" s="437"/>
      <c r="BF213" s="437"/>
      <c r="BG213" s="437"/>
      <c r="BH213" s="437"/>
      <c r="BI213" s="437"/>
      <c r="BJ213" s="437"/>
      <c r="BK213" s="437"/>
      <c r="BL213" s="437"/>
      <c r="BM213" s="1327"/>
      <c r="BN213" s="1327"/>
      <c r="BO213" s="1327"/>
      <c r="BP213" s="1327"/>
      <c r="BQ213" s="1327"/>
      <c r="BR213" s="1327"/>
      <c r="BS213" s="1327"/>
      <c r="BT213" s="1327"/>
      <c r="BU213" s="1327"/>
      <c r="BV213" s="1327"/>
      <c r="BW213" s="1327"/>
      <c r="BX213" s="1327"/>
      <c r="BY213" s="1327"/>
      <c r="BZ213" s="1327"/>
      <c r="CA213" s="1327"/>
      <c r="CB213" s="1327"/>
      <c r="CC213" s="1327"/>
      <c r="CD213" s="1327"/>
      <c r="CE213" s="1327"/>
      <c r="CF213" s="1327"/>
      <c r="CG213" s="1327"/>
      <c r="CH213" s="1327"/>
      <c r="CI213" s="1327"/>
      <c r="CJ213" s="1327"/>
      <c r="CK213" s="1327"/>
      <c r="CL213" s="1327"/>
      <c r="CM213" s="1327"/>
      <c r="CN213" s="1327"/>
      <c r="CO213" s="1327"/>
      <c r="CP213" s="1327"/>
      <c r="CQ213" s="1327"/>
      <c r="CR213" s="1327"/>
      <c r="CS213" s="1327"/>
      <c r="CT213" s="1317"/>
      <c r="CU213" s="1317"/>
      <c r="CV213" s="1317"/>
      <c r="CW213" s="1317"/>
      <c r="CX213" s="1317"/>
      <c r="CY213" s="1317"/>
      <c r="CZ213" s="1317"/>
      <c r="DA213" s="1317"/>
      <c r="DB213" s="1317"/>
      <c r="DC213" s="1317"/>
      <c r="DD213" s="1317"/>
      <c r="DE213" s="1317"/>
      <c r="DF213" s="1317"/>
      <c r="DG213" s="1317"/>
    </row>
    <row r="214" ht="18.75" customHeight="1">
      <c r="G214" s="1344"/>
      <c r="H214" s="1345">
        <f t="shared" si="4"/>
        <v>0</v>
      </c>
      <c r="I214" s="1381"/>
      <c r="J214" s="1381"/>
      <c r="K214" s="1381"/>
      <c r="L214" s="1381"/>
      <c r="M214" s="1381"/>
      <c r="N214" s="1381"/>
      <c r="O214" s="1381"/>
      <c r="P214" s="1381"/>
      <c r="Q214" s="1381"/>
      <c r="R214" s="1381"/>
      <c r="T214" s="1349"/>
      <c r="U214" s="1349" t="s">
        <v>123</v>
      </c>
      <c r="V214" s="1349" t="s">
        <v>123</v>
      </c>
      <c r="W214" s="1349"/>
      <c r="X214" s="1349"/>
      <c r="Y214" s="1308"/>
      <c r="Z214" s="437" t="str">
        <f>IFERROR(__xludf.DUMMYFUNCTION("IF(NOT('portfólio'!$AV$7),"""",IF($T214="""","""",IFERROR(query({AtivosDados},""select sum(""&amp;Z$3&amp;"") where Col1='""&amp;$T214&amp;""' label sum(""&amp;Z$3&amp;"") ''""),0)))"),"")</f>
        <v/>
      </c>
      <c r="AA214" s="437" t="str">
        <f>IFERROR(__xludf.DUMMYFUNCTION("IF(NOT('portfólio'!$AV$7),"""",IF($T214="""","""",IFERROR(query({AtivosDados},""select sum(""&amp;AA$3&amp;"") where Col1='""&amp;$T214&amp;""' label sum(""&amp;AA$3&amp;"") ''""),0)))"),"")</f>
        <v/>
      </c>
      <c r="AB214" s="437" t="str">
        <f>IFERROR(__xludf.DUMMYFUNCTION("IF(NOT('portfólio'!$AV$7),"""",IF($T214="""","""",IFERROR(query({AtivosDados},""select sum(""&amp;AB$3&amp;"") where Col1='""&amp;$T214&amp;""' label sum(""&amp;AB$3&amp;"") ''""),0)))"),"")</f>
        <v/>
      </c>
      <c r="AC214" s="437" t="str">
        <f>IFERROR(__xludf.DUMMYFUNCTION("IF(NOT('portfólio'!$AV$7),"""",IF($T214="""","""",IFERROR(query({AtivosDados},""select sum(""&amp;AC$3&amp;"") where Col1='""&amp;$T214&amp;""' label sum(""&amp;AC$3&amp;"") ''""),0)))"),"")</f>
        <v/>
      </c>
      <c r="AD214" s="437" t="str">
        <f>IFERROR(__xludf.DUMMYFUNCTION("IF(NOT('portfólio'!$AV$7),"""",IF($T214="""","""",IFERROR(query({AtivosDados},""select sum(""&amp;AD$3&amp;"") where Col1='""&amp;$T214&amp;""' label sum(""&amp;AD$3&amp;"") ''""),0)))"),"")</f>
        <v/>
      </c>
      <c r="AE214" s="437"/>
      <c r="AF214" s="1327"/>
      <c r="AG214" s="437"/>
      <c r="AH214" s="437"/>
      <c r="AI214" s="437"/>
      <c r="AJ214" s="437"/>
      <c r="AK214" s="437"/>
      <c r="AL214" s="437"/>
      <c r="AM214" s="437"/>
      <c r="AN214" s="437"/>
      <c r="AO214" s="437"/>
      <c r="AP214" s="437"/>
      <c r="AQ214" s="1327"/>
      <c r="AR214" s="437"/>
      <c r="AS214" s="437"/>
      <c r="AT214" s="437"/>
      <c r="AU214" s="437"/>
      <c r="AV214" s="437"/>
      <c r="AW214" s="437"/>
      <c r="AX214" s="437"/>
      <c r="AY214" s="437"/>
      <c r="AZ214" s="437"/>
      <c r="BA214" s="437"/>
      <c r="BB214" s="1327"/>
      <c r="BC214" s="437"/>
      <c r="BD214" s="437"/>
      <c r="BE214" s="437"/>
      <c r="BF214" s="437"/>
      <c r="BG214" s="437"/>
      <c r="BH214" s="437"/>
      <c r="BI214" s="437"/>
      <c r="BJ214" s="437"/>
      <c r="BK214" s="437"/>
      <c r="BL214" s="437"/>
      <c r="BM214" s="1327"/>
      <c r="BN214" s="1327"/>
      <c r="BO214" s="1327"/>
      <c r="BP214" s="1327"/>
      <c r="BQ214" s="1327"/>
      <c r="BR214" s="1327"/>
      <c r="BS214" s="1327"/>
      <c r="BT214" s="1327"/>
      <c r="BU214" s="1327"/>
      <c r="BV214" s="1327"/>
      <c r="BW214" s="1327"/>
      <c r="BX214" s="1327"/>
      <c r="BY214" s="1327"/>
      <c r="BZ214" s="1327"/>
      <c r="CA214" s="1327"/>
      <c r="CB214" s="1327"/>
      <c r="CC214" s="1327"/>
      <c r="CD214" s="1327"/>
      <c r="CE214" s="1327"/>
      <c r="CF214" s="1327"/>
      <c r="CG214" s="1327"/>
      <c r="CH214" s="1327"/>
      <c r="CI214" s="1327"/>
      <c r="CJ214" s="1327"/>
      <c r="CK214" s="1327"/>
      <c r="CL214" s="1327"/>
      <c r="CM214" s="1327"/>
      <c r="CN214" s="1327"/>
      <c r="CO214" s="1327"/>
      <c r="CP214" s="1327"/>
      <c r="CQ214" s="1327"/>
      <c r="CR214" s="1327"/>
      <c r="CS214" s="1327"/>
      <c r="CT214" s="1317"/>
      <c r="CU214" s="1317"/>
      <c r="CV214" s="1317"/>
      <c r="CW214" s="1317"/>
      <c r="CX214" s="1317"/>
      <c r="CY214" s="1317"/>
      <c r="CZ214" s="1317"/>
      <c r="DA214" s="1317"/>
      <c r="DB214" s="1317"/>
      <c r="DC214" s="1317"/>
      <c r="DD214" s="1317"/>
      <c r="DE214" s="1317"/>
      <c r="DF214" s="1317"/>
      <c r="DG214" s="1317"/>
    </row>
    <row r="215" ht="18.75" customHeight="1">
      <c r="G215" s="1344"/>
      <c r="H215" s="1345">
        <f t="shared" si="4"/>
        <v>0</v>
      </c>
      <c r="I215" s="1381"/>
      <c r="J215" s="1381"/>
      <c r="K215" s="1381"/>
      <c r="L215" s="1381"/>
      <c r="M215" s="1381"/>
      <c r="N215" s="1381"/>
      <c r="O215" s="1381"/>
      <c r="P215" s="1381"/>
      <c r="Q215" s="1381"/>
      <c r="R215" s="1381"/>
      <c r="T215" s="1349"/>
      <c r="U215" s="1349" t="s">
        <v>123</v>
      </c>
      <c r="V215" s="1349" t="s">
        <v>123</v>
      </c>
      <c r="W215" s="1349"/>
      <c r="X215" s="1349"/>
      <c r="Y215" s="1308"/>
      <c r="Z215" s="437" t="str">
        <f>IFERROR(__xludf.DUMMYFUNCTION("IF(NOT('portfólio'!$AV$7),"""",IF($T215="""","""",IFERROR(query({AtivosDados},""select sum(""&amp;Z$3&amp;"") where Col1='""&amp;$T215&amp;""' label sum(""&amp;Z$3&amp;"") ''""),0)))"),"")</f>
        <v/>
      </c>
      <c r="AA215" s="437" t="str">
        <f>IFERROR(__xludf.DUMMYFUNCTION("IF(NOT('portfólio'!$AV$7),"""",IF($T215="""","""",IFERROR(query({AtivosDados},""select sum(""&amp;AA$3&amp;"") where Col1='""&amp;$T215&amp;""' label sum(""&amp;AA$3&amp;"") ''""),0)))"),"")</f>
        <v/>
      </c>
      <c r="AB215" s="437" t="str">
        <f>IFERROR(__xludf.DUMMYFUNCTION("IF(NOT('portfólio'!$AV$7),"""",IF($T215="""","""",IFERROR(query({AtivosDados},""select sum(""&amp;AB$3&amp;"") where Col1='""&amp;$T215&amp;""' label sum(""&amp;AB$3&amp;"") ''""),0)))"),"")</f>
        <v/>
      </c>
      <c r="AC215" s="437" t="str">
        <f>IFERROR(__xludf.DUMMYFUNCTION("IF(NOT('portfólio'!$AV$7),"""",IF($T215="""","""",IFERROR(query({AtivosDados},""select sum(""&amp;AC$3&amp;"") where Col1='""&amp;$T215&amp;""' label sum(""&amp;AC$3&amp;"") ''""),0)))"),"")</f>
        <v/>
      </c>
      <c r="AD215" s="437" t="str">
        <f>IFERROR(__xludf.DUMMYFUNCTION("IF(NOT('portfólio'!$AV$7),"""",IF($T215="""","""",IFERROR(query({AtivosDados},""select sum(""&amp;AD$3&amp;"") where Col1='""&amp;$T215&amp;""' label sum(""&amp;AD$3&amp;"") ''""),0)))"),"")</f>
        <v/>
      </c>
      <c r="AE215" s="437"/>
      <c r="AF215" s="1327"/>
      <c r="AG215" s="437"/>
      <c r="AH215" s="437"/>
      <c r="AI215" s="437"/>
      <c r="AJ215" s="437"/>
      <c r="AK215" s="437"/>
      <c r="AL215" s="437"/>
      <c r="AM215" s="437"/>
      <c r="AN215" s="437"/>
      <c r="AO215" s="437"/>
      <c r="AP215" s="437"/>
      <c r="AQ215" s="1327"/>
      <c r="AR215" s="437"/>
      <c r="AS215" s="437"/>
      <c r="AT215" s="437"/>
      <c r="AU215" s="437"/>
      <c r="AV215" s="437"/>
      <c r="AW215" s="437"/>
      <c r="AX215" s="437"/>
      <c r="AY215" s="437"/>
      <c r="AZ215" s="437"/>
      <c r="BA215" s="437"/>
      <c r="BB215" s="1327"/>
      <c r="BC215" s="437"/>
      <c r="BD215" s="437"/>
      <c r="BE215" s="437"/>
      <c r="BF215" s="437"/>
      <c r="BG215" s="437"/>
      <c r="BH215" s="437"/>
      <c r="BI215" s="437"/>
      <c r="BJ215" s="437"/>
      <c r="BK215" s="437"/>
      <c r="BL215" s="437"/>
      <c r="BM215" s="1327"/>
      <c r="BN215" s="1327"/>
      <c r="BO215" s="1327"/>
      <c r="BP215" s="1327"/>
      <c r="BQ215" s="1327"/>
      <c r="BR215" s="1327"/>
      <c r="BS215" s="1327"/>
      <c r="BT215" s="1327"/>
      <c r="BU215" s="1327"/>
      <c r="BV215" s="1327"/>
      <c r="BW215" s="1327"/>
      <c r="BX215" s="1327"/>
      <c r="BY215" s="1327"/>
      <c r="BZ215" s="1327"/>
      <c r="CA215" s="1327"/>
      <c r="CB215" s="1327"/>
      <c r="CC215" s="1327"/>
      <c r="CD215" s="1327"/>
      <c r="CE215" s="1327"/>
      <c r="CF215" s="1327"/>
      <c r="CG215" s="1327"/>
      <c r="CH215" s="1327"/>
      <c r="CI215" s="1327"/>
      <c r="CJ215" s="1327"/>
      <c r="CK215" s="1327"/>
      <c r="CL215" s="1327"/>
      <c r="CM215" s="1327"/>
      <c r="CN215" s="1327"/>
      <c r="CO215" s="1327"/>
      <c r="CP215" s="1327"/>
      <c r="CQ215" s="1327"/>
      <c r="CR215" s="1327"/>
      <c r="CS215" s="1327"/>
      <c r="CT215" s="1317"/>
      <c r="CU215" s="1317"/>
      <c r="CV215" s="1317"/>
      <c r="CW215" s="1317"/>
      <c r="CX215" s="1317"/>
      <c r="CY215" s="1317"/>
      <c r="CZ215" s="1317"/>
      <c r="DA215" s="1317"/>
      <c r="DB215" s="1317"/>
      <c r="DC215" s="1317"/>
      <c r="DD215" s="1317"/>
      <c r="DE215" s="1317"/>
      <c r="DF215" s="1317"/>
      <c r="DG215" s="1317"/>
    </row>
    <row r="216" ht="18.75" customHeight="1">
      <c r="G216" s="1344"/>
      <c r="H216" s="1345">
        <f t="shared" si="4"/>
        <v>0</v>
      </c>
      <c r="I216" s="1381"/>
      <c r="J216" s="1381"/>
      <c r="K216" s="1381"/>
      <c r="L216" s="1381"/>
      <c r="M216" s="1381"/>
      <c r="N216" s="1381"/>
      <c r="O216" s="1381"/>
      <c r="P216" s="1381"/>
      <c r="Q216" s="1381"/>
      <c r="R216" s="1381"/>
      <c r="T216" s="1349"/>
      <c r="U216" s="1349" t="s">
        <v>123</v>
      </c>
      <c r="V216" s="1349" t="s">
        <v>123</v>
      </c>
      <c r="W216" s="1349"/>
      <c r="X216" s="1349"/>
      <c r="Y216" s="1308"/>
      <c r="Z216" s="437" t="str">
        <f>IFERROR(__xludf.DUMMYFUNCTION("IF(NOT('portfólio'!$AV$7),"""",IF($T216="""","""",IFERROR(query({AtivosDados},""select sum(""&amp;Z$3&amp;"") where Col1='""&amp;$T216&amp;""' label sum(""&amp;Z$3&amp;"") ''""),0)))"),"")</f>
        <v/>
      </c>
      <c r="AA216" s="437" t="str">
        <f>IFERROR(__xludf.DUMMYFUNCTION("IF(NOT('portfólio'!$AV$7),"""",IF($T216="""","""",IFERROR(query({AtivosDados},""select sum(""&amp;AA$3&amp;"") where Col1='""&amp;$T216&amp;""' label sum(""&amp;AA$3&amp;"") ''""),0)))"),"")</f>
        <v/>
      </c>
      <c r="AB216" s="437" t="str">
        <f>IFERROR(__xludf.DUMMYFUNCTION("IF(NOT('portfólio'!$AV$7),"""",IF($T216="""","""",IFERROR(query({AtivosDados},""select sum(""&amp;AB$3&amp;"") where Col1='""&amp;$T216&amp;""' label sum(""&amp;AB$3&amp;"") ''""),0)))"),"")</f>
        <v/>
      </c>
      <c r="AC216" s="437" t="str">
        <f>IFERROR(__xludf.DUMMYFUNCTION("IF(NOT('portfólio'!$AV$7),"""",IF($T216="""","""",IFERROR(query({AtivosDados},""select sum(""&amp;AC$3&amp;"") where Col1='""&amp;$T216&amp;""' label sum(""&amp;AC$3&amp;"") ''""),0)))"),"")</f>
        <v/>
      </c>
      <c r="AD216" s="437" t="str">
        <f>IFERROR(__xludf.DUMMYFUNCTION("IF(NOT('portfólio'!$AV$7),"""",IF($T216="""","""",IFERROR(query({AtivosDados},""select sum(""&amp;AD$3&amp;"") where Col1='""&amp;$T216&amp;""' label sum(""&amp;AD$3&amp;"") ''""),0)))"),"")</f>
        <v/>
      </c>
      <c r="AE216" s="437"/>
      <c r="AF216" s="1327"/>
      <c r="AG216" s="437"/>
      <c r="AH216" s="437"/>
      <c r="AI216" s="437"/>
      <c r="AJ216" s="437"/>
      <c r="AK216" s="437"/>
      <c r="AL216" s="437"/>
      <c r="AM216" s="437"/>
      <c r="AN216" s="437"/>
      <c r="AO216" s="437"/>
      <c r="AP216" s="437"/>
      <c r="AQ216" s="1327"/>
      <c r="AR216" s="437"/>
      <c r="AS216" s="437"/>
      <c r="AT216" s="437"/>
      <c r="AU216" s="437"/>
      <c r="AV216" s="437"/>
      <c r="AW216" s="437"/>
      <c r="AX216" s="437"/>
      <c r="AY216" s="437"/>
      <c r="AZ216" s="437"/>
      <c r="BA216" s="437"/>
      <c r="BB216" s="1327"/>
      <c r="BC216" s="437"/>
      <c r="BD216" s="437"/>
      <c r="BE216" s="437"/>
      <c r="BF216" s="437"/>
      <c r="BG216" s="437"/>
      <c r="BH216" s="437"/>
      <c r="BI216" s="437"/>
      <c r="BJ216" s="437"/>
      <c r="BK216" s="437"/>
      <c r="BL216" s="437"/>
      <c r="BM216" s="1327"/>
      <c r="BN216" s="1327"/>
      <c r="BO216" s="1327"/>
      <c r="BP216" s="1327"/>
      <c r="BQ216" s="1327"/>
      <c r="BR216" s="1327"/>
      <c r="BS216" s="1327"/>
      <c r="BT216" s="1327"/>
      <c r="BU216" s="1327"/>
      <c r="BV216" s="1327"/>
      <c r="BW216" s="1327"/>
      <c r="BX216" s="1327"/>
      <c r="BY216" s="1327"/>
      <c r="BZ216" s="1327"/>
      <c r="CA216" s="1327"/>
      <c r="CB216" s="1327"/>
      <c r="CC216" s="1327"/>
      <c r="CD216" s="1327"/>
      <c r="CE216" s="1327"/>
      <c r="CF216" s="1327"/>
      <c r="CG216" s="1327"/>
      <c r="CH216" s="1327"/>
      <c r="CI216" s="1327"/>
      <c r="CJ216" s="1327"/>
      <c r="CK216" s="1327"/>
      <c r="CL216" s="1327"/>
      <c r="CM216" s="1327"/>
      <c r="CN216" s="1327"/>
      <c r="CO216" s="1327"/>
      <c r="CP216" s="1327"/>
      <c r="CQ216" s="1327"/>
      <c r="CR216" s="1327"/>
      <c r="CS216" s="1327"/>
      <c r="CT216" s="1317"/>
      <c r="CU216" s="1317"/>
      <c r="CV216" s="1317"/>
      <c r="CW216" s="1317"/>
      <c r="CX216" s="1317"/>
      <c r="CY216" s="1317"/>
      <c r="CZ216" s="1317"/>
      <c r="DA216" s="1317"/>
      <c r="DB216" s="1317"/>
      <c r="DC216" s="1317"/>
      <c r="DD216" s="1317"/>
      <c r="DE216" s="1317"/>
      <c r="DF216" s="1317"/>
      <c r="DG216" s="1317"/>
    </row>
    <row r="217" ht="18.75" customHeight="1">
      <c r="G217" s="1344"/>
      <c r="H217" s="1345">
        <f t="shared" si="4"/>
        <v>0</v>
      </c>
      <c r="I217" s="1381"/>
      <c r="J217" s="1381"/>
      <c r="K217" s="1381"/>
      <c r="L217" s="1381"/>
      <c r="M217" s="1381"/>
      <c r="N217" s="1381"/>
      <c r="O217" s="1381"/>
      <c r="P217" s="1381"/>
      <c r="Q217" s="1381"/>
      <c r="R217" s="1381"/>
      <c r="T217" s="1349"/>
      <c r="U217" s="1349" t="s">
        <v>123</v>
      </c>
      <c r="V217" s="1349" t="s">
        <v>123</v>
      </c>
      <c r="W217" s="1349"/>
      <c r="X217" s="1349"/>
      <c r="Y217" s="1308"/>
      <c r="Z217" s="437" t="str">
        <f>IFERROR(__xludf.DUMMYFUNCTION("IF(NOT('portfólio'!$AV$7),"""",IF($T217="""","""",IFERROR(query({AtivosDados},""select sum(""&amp;Z$3&amp;"") where Col1='""&amp;$T217&amp;""' label sum(""&amp;Z$3&amp;"") ''""),0)))"),"")</f>
        <v/>
      </c>
      <c r="AA217" s="437" t="str">
        <f>IFERROR(__xludf.DUMMYFUNCTION("IF(NOT('portfólio'!$AV$7),"""",IF($T217="""","""",IFERROR(query({AtivosDados},""select sum(""&amp;AA$3&amp;"") where Col1='""&amp;$T217&amp;""' label sum(""&amp;AA$3&amp;"") ''""),0)))"),"")</f>
        <v/>
      </c>
      <c r="AB217" s="437" t="str">
        <f>IFERROR(__xludf.DUMMYFUNCTION("IF(NOT('portfólio'!$AV$7),"""",IF($T217="""","""",IFERROR(query({AtivosDados},""select sum(""&amp;AB$3&amp;"") where Col1='""&amp;$T217&amp;""' label sum(""&amp;AB$3&amp;"") ''""),0)))"),"")</f>
        <v/>
      </c>
      <c r="AC217" s="437" t="str">
        <f>IFERROR(__xludf.DUMMYFUNCTION("IF(NOT('portfólio'!$AV$7),"""",IF($T217="""","""",IFERROR(query({AtivosDados},""select sum(""&amp;AC$3&amp;"") where Col1='""&amp;$T217&amp;""' label sum(""&amp;AC$3&amp;"") ''""),0)))"),"")</f>
        <v/>
      </c>
      <c r="AD217" s="437" t="str">
        <f>IFERROR(__xludf.DUMMYFUNCTION("IF(NOT('portfólio'!$AV$7),"""",IF($T217="""","""",IFERROR(query({AtivosDados},""select sum(""&amp;AD$3&amp;"") where Col1='""&amp;$T217&amp;""' label sum(""&amp;AD$3&amp;"") ''""),0)))"),"")</f>
        <v/>
      </c>
      <c r="AE217" s="437"/>
      <c r="AF217" s="1327"/>
      <c r="AG217" s="437"/>
      <c r="AH217" s="437"/>
      <c r="AI217" s="437"/>
      <c r="AJ217" s="437"/>
      <c r="AK217" s="437"/>
      <c r="AL217" s="437"/>
      <c r="AM217" s="437"/>
      <c r="AN217" s="437"/>
      <c r="AO217" s="437"/>
      <c r="AP217" s="437"/>
      <c r="AQ217" s="1327"/>
      <c r="AR217" s="437"/>
      <c r="AS217" s="437"/>
      <c r="AT217" s="437"/>
      <c r="AU217" s="437"/>
      <c r="AV217" s="437"/>
      <c r="AW217" s="437"/>
      <c r="AX217" s="437"/>
      <c r="AY217" s="437"/>
      <c r="AZ217" s="437"/>
      <c r="BA217" s="437"/>
      <c r="BB217" s="1327"/>
      <c r="BC217" s="437"/>
      <c r="BD217" s="437"/>
      <c r="BE217" s="437"/>
      <c r="BF217" s="437"/>
      <c r="BG217" s="437"/>
      <c r="BH217" s="437"/>
      <c r="BI217" s="437"/>
      <c r="BJ217" s="437"/>
      <c r="BK217" s="437"/>
      <c r="BL217" s="437"/>
      <c r="BM217" s="1327"/>
      <c r="BN217" s="1327"/>
      <c r="BO217" s="1327"/>
      <c r="BP217" s="1327"/>
      <c r="BQ217" s="1327"/>
      <c r="BR217" s="1327"/>
      <c r="BS217" s="1327"/>
      <c r="BT217" s="1327"/>
      <c r="BU217" s="1327"/>
      <c r="BV217" s="1327"/>
      <c r="BW217" s="1327"/>
      <c r="BX217" s="1327"/>
      <c r="BY217" s="1327"/>
      <c r="BZ217" s="1327"/>
      <c r="CA217" s="1327"/>
      <c r="CB217" s="1327"/>
      <c r="CC217" s="1327"/>
      <c r="CD217" s="1327"/>
      <c r="CE217" s="1327"/>
      <c r="CF217" s="1327"/>
      <c r="CG217" s="1327"/>
      <c r="CH217" s="1327"/>
      <c r="CI217" s="1327"/>
      <c r="CJ217" s="1327"/>
      <c r="CK217" s="1327"/>
      <c r="CL217" s="1327"/>
      <c r="CM217" s="1327"/>
      <c r="CN217" s="1327"/>
      <c r="CO217" s="1327"/>
      <c r="CP217" s="1327"/>
      <c r="CQ217" s="1327"/>
      <c r="CR217" s="1327"/>
      <c r="CS217" s="1327"/>
      <c r="CT217" s="1317"/>
      <c r="CU217" s="1317"/>
      <c r="CV217" s="1317"/>
      <c r="CW217" s="1317"/>
      <c r="CX217" s="1317"/>
      <c r="CY217" s="1317"/>
      <c r="CZ217" s="1317"/>
      <c r="DA217" s="1317"/>
      <c r="DB217" s="1317"/>
      <c r="DC217" s="1317"/>
      <c r="DD217" s="1317"/>
      <c r="DE217" s="1317"/>
      <c r="DF217" s="1317"/>
      <c r="DG217" s="1317"/>
    </row>
    <row r="218" ht="18.75" customHeight="1">
      <c r="G218" s="1344"/>
      <c r="H218" s="1345">
        <f t="shared" si="4"/>
        <v>0</v>
      </c>
      <c r="I218" s="1381"/>
      <c r="J218" s="1381"/>
      <c r="K218" s="1381"/>
      <c r="L218" s="1381"/>
      <c r="M218" s="1381"/>
      <c r="N218" s="1381"/>
      <c r="O218" s="1381"/>
      <c r="P218" s="1381"/>
      <c r="Q218" s="1381"/>
      <c r="R218" s="1381"/>
      <c r="T218" s="1349"/>
      <c r="U218" s="1349" t="s">
        <v>123</v>
      </c>
      <c r="V218" s="1349" t="s">
        <v>123</v>
      </c>
      <c r="W218" s="1349"/>
      <c r="X218" s="1349"/>
      <c r="Y218" s="1308"/>
      <c r="Z218" s="437" t="str">
        <f>IFERROR(__xludf.DUMMYFUNCTION("IF(NOT('portfólio'!$AV$7),"""",IF($T218="""","""",IFERROR(query({AtivosDados},""select sum(""&amp;Z$3&amp;"") where Col1='""&amp;$T218&amp;""' label sum(""&amp;Z$3&amp;"") ''""),0)))"),"")</f>
        <v/>
      </c>
      <c r="AA218" s="437" t="str">
        <f>IFERROR(__xludf.DUMMYFUNCTION("IF(NOT('portfólio'!$AV$7),"""",IF($T218="""","""",IFERROR(query({AtivosDados},""select sum(""&amp;AA$3&amp;"") where Col1='""&amp;$T218&amp;""' label sum(""&amp;AA$3&amp;"") ''""),0)))"),"")</f>
        <v/>
      </c>
      <c r="AB218" s="437" t="str">
        <f>IFERROR(__xludf.DUMMYFUNCTION("IF(NOT('portfólio'!$AV$7),"""",IF($T218="""","""",IFERROR(query({AtivosDados},""select sum(""&amp;AB$3&amp;"") where Col1='""&amp;$T218&amp;""' label sum(""&amp;AB$3&amp;"") ''""),0)))"),"")</f>
        <v/>
      </c>
      <c r="AC218" s="437" t="str">
        <f>IFERROR(__xludf.DUMMYFUNCTION("IF(NOT('portfólio'!$AV$7),"""",IF($T218="""","""",IFERROR(query({AtivosDados},""select sum(""&amp;AC$3&amp;"") where Col1='""&amp;$T218&amp;""' label sum(""&amp;AC$3&amp;"") ''""),0)))"),"")</f>
        <v/>
      </c>
      <c r="AD218" s="437" t="str">
        <f>IFERROR(__xludf.DUMMYFUNCTION("IF(NOT('portfólio'!$AV$7),"""",IF($T218="""","""",IFERROR(query({AtivosDados},""select sum(""&amp;AD$3&amp;"") where Col1='""&amp;$T218&amp;""' label sum(""&amp;AD$3&amp;"") ''""),0)))"),"")</f>
        <v/>
      </c>
      <c r="AE218" s="437"/>
      <c r="AF218" s="1327"/>
      <c r="AG218" s="437"/>
      <c r="AH218" s="437"/>
      <c r="AI218" s="437"/>
      <c r="AJ218" s="437"/>
      <c r="AK218" s="437"/>
      <c r="AL218" s="437"/>
      <c r="AM218" s="437"/>
      <c r="AN218" s="437"/>
      <c r="AO218" s="437"/>
      <c r="AP218" s="437"/>
      <c r="AQ218" s="1327"/>
      <c r="AR218" s="437"/>
      <c r="AS218" s="437"/>
      <c r="AT218" s="437"/>
      <c r="AU218" s="437"/>
      <c r="AV218" s="437"/>
      <c r="AW218" s="437"/>
      <c r="AX218" s="437"/>
      <c r="AY218" s="437"/>
      <c r="AZ218" s="437"/>
      <c r="BA218" s="437"/>
      <c r="BB218" s="1327"/>
      <c r="BC218" s="437"/>
      <c r="BD218" s="437"/>
      <c r="BE218" s="437"/>
      <c r="BF218" s="437"/>
      <c r="BG218" s="437"/>
      <c r="BH218" s="437"/>
      <c r="BI218" s="437"/>
      <c r="BJ218" s="437"/>
      <c r="BK218" s="437"/>
      <c r="BL218" s="437"/>
      <c r="BM218" s="1327"/>
      <c r="BN218" s="1327"/>
      <c r="BO218" s="1327"/>
      <c r="BP218" s="1327"/>
      <c r="BQ218" s="1327"/>
      <c r="BR218" s="1327"/>
      <c r="BS218" s="1327"/>
      <c r="BT218" s="1327"/>
      <c r="BU218" s="1327"/>
      <c r="BV218" s="1327"/>
      <c r="BW218" s="1327"/>
      <c r="BX218" s="1327"/>
      <c r="BY218" s="1327"/>
      <c r="BZ218" s="1327"/>
      <c r="CA218" s="1327"/>
      <c r="CB218" s="1327"/>
      <c r="CC218" s="1327"/>
      <c r="CD218" s="1327"/>
      <c r="CE218" s="1327"/>
      <c r="CF218" s="1327"/>
      <c r="CG218" s="1327"/>
      <c r="CH218" s="1327"/>
      <c r="CI218" s="1327"/>
      <c r="CJ218" s="1327"/>
      <c r="CK218" s="1327"/>
      <c r="CL218" s="1327"/>
      <c r="CM218" s="1327"/>
      <c r="CN218" s="1327"/>
      <c r="CO218" s="1327"/>
      <c r="CP218" s="1327"/>
      <c r="CQ218" s="1327"/>
      <c r="CR218" s="1327"/>
      <c r="CS218" s="1327"/>
      <c r="CT218" s="1317"/>
      <c r="CU218" s="1317"/>
      <c r="CV218" s="1317"/>
      <c r="CW218" s="1317"/>
      <c r="CX218" s="1317"/>
      <c r="CY218" s="1317"/>
      <c r="CZ218" s="1317"/>
      <c r="DA218" s="1317"/>
      <c r="DB218" s="1317"/>
      <c r="DC218" s="1317"/>
      <c r="DD218" s="1317"/>
      <c r="DE218" s="1317"/>
      <c r="DF218" s="1317"/>
      <c r="DG218" s="1317"/>
    </row>
    <row r="219" ht="18.75" customHeight="1">
      <c r="G219" s="1344"/>
      <c r="H219" s="1345">
        <f t="shared" si="4"/>
        <v>0</v>
      </c>
      <c r="I219" s="1381"/>
      <c r="J219" s="1381"/>
      <c r="K219" s="1381"/>
      <c r="L219" s="1381"/>
      <c r="M219" s="1381"/>
      <c r="N219" s="1381"/>
      <c r="O219" s="1381"/>
      <c r="P219" s="1381"/>
      <c r="Q219" s="1381"/>
      <c r="R219" s="1381"/>
      <c r="T219" s="1349"/>
      <c r="U219" s="1349" t="s">
        <v>123</v>
      </c>
      <c r="V219" s="1349" t="s">
        <v>123</v>
      </c>
      <c r="W219" s="1349"/>
      <c r="X219" s="1349"/>
      <c r="Y219" s="1308"/>
      <c r="Z219" s="437" t="str">
        <f>IFERROR(__xludf.DUMMYFUNCTION("IF(NOT('portfólio'!$AV$7),"""",IF($T219="""","""",IFERROR(query({AtivosDados},""select sum(""&amp;Z$3&amp;"") where Col1='""&amp;$T219&amp;""' label sum(""&amp;Z$3&amp;"") ''""),0)))"),"")</f>
        <v/>
      </c>
      <c r="AA219" s="437" t="str">
        <f>IFERROR(__xludf.DUMMYFUNCTION("IF(NOT('portfólio'!$AV$7),"""",IF($T219="""","""",IFERROR(query({AtivosDados},""select sum(""&amp;AA$3&amp;"") where Col1='""&amp;$T219&amp;""' label sum(""&amp;AA$3&amp;"") ''""),0)))"),"")</f>
        <v/>
      </c>
      <c r="AB219" s="437" t="str">
        <f>IFERROR(__xludf.DUMMYFUNCTION("IF(NOT('portfólio'!$AV$7),"""",IF($T219="""","""",IFERROR(query({AtivosDados},""select sum(""&amp;AB$3&amp;"") where Col1='""&amp;$T219&amp;""' label sum(""&amp;AB$3&amp;"") ''""),0)))"),"")</f>
        <v/>
      </c>
      <c r="AC219" s="437" t="str">
        <f>IFERROR(__xludf.DUMMYFUNCTION("IF(NOT('portfólio'!$AV$7),"""",IF($T219="""","""",IFERROR(query({AtivosDados},""select sum(""&amp;AC$3&amp;"") where Col1='""&amp;$T219&amp;""' label sum(""&amp;AC$3&amp;"") ''""),0)))"),"")</f>
        <v/>
      </c>
      <c r="AD219" s="437" t="str">
        <f>IFERROR(__xludf.DUMMYFUNCTION("IF(NOT('portfólio'!$AV$7),"""",IF($T219="""","""",IFERROR(query({AtivosDados},""select sum(""&amp;AD$3&amp;"") where Col1='""&amp;$T219&amp;""' label sum(""&amp;AD$3&amp;"") ''""),0)))"),"")</f>
        <v/>
      </c>
      <c r="AE219" s="437"/>
      <c r="AF219" s="1327"/>
      <c r="AG219" s="437"/>
      <c r="AH219" s="437"/>
      <c r="AI219" s="437"/>
      <c r="AJ219" s="437"/>
      <c r="AK219" s="437"/>
      <c r="AL219" s="437"/>
      <c r="AM219" s="437"/>
      <c r="AN219" s="437"/>
      <c r="AO219" s="437"/>
      <c r="AP219" s="437"/>
      <c r="AQ219" s="1327"/>
      <c r="AR219" s="437"/>
      <c r="AS219" s="437"/>
      <c r="AT219" s="437"/>
      <c r="AU219" s="437"/>
      <c r="AV219" s="437"/>
      <c r="AW219" s="437"/>
      <c r="AX219" s="437"/>
      <c r="AY219" s="437"/>
      <c r="AZ219" s="437"/>
      <c r="BA219" s="437"/>
      <c r="BB219" s="1327"/>
      <c r="BC219" s="437"/>
      <c r="BD219" s="437"/>
      <c r="BE219" s="437"/>
      <c r="BF219" s="437"/>
      <c r="BG219" s="437"/>
      <c r="BH219" s="437"/>
      <c r="BI219" s="437"/>
      <c r="BJ219" s="437"/>
      <c r="BK219" s="437"/>
      <c r="BL219" s="437"/>
      <c r="BM219" s="1327"/>
      <c r="BN219" s="1327"/>
      <c r="BO219" s="1327"/>
      <c r="BP219" s="1327"/>
      <c r="BQ219" s="1327"/>
      <c r="BR219" s="1327"/>
      <c r="BS219" s="1327"/>
      <c r="BT219" s="1327"/>
      <c r="BU219" s="1327"/>
      <c r="BV219" s="1327"/>
      <c r="BW219" s="1327"/>
      <c r="BX219" s="1327"/>
      <c r="BY219" s="1327"/>
      <c r="BZ219" s="1327"/>
      <c r="CA219" s="1327"/>
      <c r="CB219" s="1327"/>
      <c r="CC219" s="1327"/>
      <c r="CD219" s="1327"/>
      <c r="CE219" s="1327"/>
      <c r="CF219" s="1327"/>
      <c r="CG219" s="1327"/>
      <c r="CH219" s="1327"/>
      <c r="CI219" s="1327"/>
      <c r="CJ219" s="1327"/>
      <c r="CK219" s="1327"/>
      <c r="CL219" s="1327"/>
      <c r="CM219" s="1327"/>
      <c r="CN219" s="1327"/>
      <c r="CO219" s="1327"/>
      <c r="CP219" s="1327"/>
      <c r="CQ219" s="1327"/>
      <c r="CR219" s="1327"/>
      <c r="CS219" s="1327"/>
      <c r="CT219" s="1317"/>
      <c r="CU219" s="1317"/>
      <c r="CV219" s="1317"/>
      <c r="CW219" s="1317"/>
      <c r="CX219" s="1317"/>
      <c r="CY219" s="1317"/>
      <c r="CZ219" s="1317"/>
      <c r="DA219" s="1317"/>
      <c r="DB219" s="1317"/>
      <c r="DC219" s="1317"/>
      <c r="DD219" s="1317"/>
      <c r="DE219" s="1317"/>
      <c r="DF219" s="1317"/>
      <c r="DG219" s="1317"/>
    </row>
    <row r="220" ht="18.75" customHeight="1">
      <c r="G220" s="1344"/>
      <c r="H220" s="1345">
        <f t="shared" si="4"/>
        <v>0</v>
      </c>
      <c r="I220" s="1381"/>
      <c r="J220" s="1381"/>
      <c r="K220" s="1381"/>
      <c r="L220" s="1381"/>
      <c r="M220" s="1381"/>
      <c r="N220" s="1381"/>
      <c r="O220" s="1381"/>
      <c r="P220" s="1381"/>
      <c r="Q220" s="1381"/>
      <c r="R220" s="1381"/>
      <c r="T220" s="1349"/>
      <c r="U220" s="1349" t="s">
        <v>123</v>
      </c>
      <c r="V220" s="1349" t="s">
        <v>123</v>
      </c>
      <c r="W220" s="1349"/>
      <c r="X220" s="1349"/>
      <c r="Y220" s="1308"/>
      <c r="Z220" s="437" t="str">
        <f>IFERROR(__xludf.DUMMYFUNCTION("IF(NOT('portfólio'!$AV$7),"""",IF($T220="""","""",IFERROR(query({AtivosDados},""select sum(""&amp;Z$3&amp;"") where Col1='""&amp;$T220&amp;""' label sum(""&amp;Z$3&amp;"") ''""),0)))"),"")</f>
        <v/>
      </c>
      <c r="AA220" s="437" t="str">
        <f>IFERROR(__xludf.DUMMYFUNCTION("IF(NOT('portfólio'!$AV$7),"""",IF($T220="""","""",IFERROR(query({AtivosDados},""select sum(""&amp;AA$3&amp;"") where Col1='""&amp;$T220&amp;""' label sum(""&amp;AA$3&amp;"") ''""),0)))"),"")</f>
        <v/>
      </c>
      <c r="AB220" s="437" t="str">
        <f>IFERROR(__xludf.DUMMYFUNCTION("IF(NOT('portfólio'!$AV$7),"""",IF($T220="""","""",IFERROR(query({AtivosDados},""select sum(""&amp;AB$3&amp;"") where Col1='""&amp;$T220&amp;""' label sum(""&amp;AB$3&amp;"") ''""),0)))"),"")</f>
        <v/>
      </c>
      <c r="AC220" s="437" t="str">
        <f>IFERROR(__xludf.DUMMYFUNCTION("IF(NOT('portfólio'!$AV$7),"""",IF($T220="""","""",IFERROR(query({AtivosDados},""select sum(""&amp;AC$3&amp;"") where Col1='""&amp;$T220&amp;""' label sum(""&amp;AC$3&amp;"") ''""),0)))"),"")</f>
        <v/>
      </c>
      <c r="AD220" s="437" t="str">
        <f>IFERROR(__xludf.DUMMYFUNCTION("IF(NOT('portfólio'!$AV$7),"""",IF($T220="""","""",IFERROR(query({AtivosDados},""select sum(""&amp;AD$3&amp;"") where Col1='""&amp;$T220&amp;""' label sum(""&amp;AD$3&amp;"") ''""),0)))"),"")</f>
        <v/>
      </c>
      <c r="AE220" s="437"/>
      <c r="AF220" s="1327"/>
      <c r="AG220" s="437"/>
      <c r="AH220" s="437"/>
      <c r="AI220" s="437"/>
      <c r="AJ220" s="437"/>
      <c r="AK220" s="437"/>
      <c r="AL220" s="437"/>
      <c r="AM220" s="437"/>
      <c r="AN220" s="437"/>
      <c r="AO220" s="437"/>
      <c r="AP220" s="437"/>
      <c r="AQ220" s="1327"/>
      <c r="AR220" s="437"/>
      <c r="AS220" s="437"/>
      <c r="AT220" s="437"/>
      <c r="AU220" s="437"/>
      <c r="AV220" s="437"/>
      <c r="AW220" s="437"/>
      <c r="AX220" s="437"/>
      <c r="AY220" s="437"/>
      <c r="AZ220" s="437"/>
      <c r="BA220" s="437"/>
      <c r="BB220" s="1327"/>
      <c r="BC220" s="437"/>
      <c r="BD220" s="437"/>
      <c r="BE220" s="437"/>
      <c r="BF220" s="437"/>
      <c r="BG220" s="437"/>
      <c r="BH220" s="437"/>
      <c r="BI220" s="437"/>
      <c r="BJ220" s="437"/>
      <c r="BK220" s="437"/>
      <c r="BL220" s="437"/>
      <c r="BM220" s="1327"/>
      <c r="BN220" s="1327"/>
      <c r="BO220" s="1327"/>
      <c r="BP220" s="1327"/>
      <c r="BQ220" s="1327"/>
      <c r="BR220" s="1327"/>
      <c r="BS220" s="1327"/>
      <c r="BT220" s="1327"/>
      <c r="BU220" s="1327"/>
      <c r="BV220" s="1327"/>
      <c r="BW220" s="1327"/>
      <c r="BX220" s="1327"/>
      <c r="BY220" s="1327"/>
      <c r="BZ220" s="1327"/>
      <c r="CA220" s="1327"/>
      <c r="CB220" s="1327"/>
      <c r="CC220" s="1327"/>
      <c r="CD220" s="1327"/>
      <c r="CE220" s="1327"/>
      <c r="CF220" s="1327"/>
      <c r="CG220" s="1327"/>
      <c r="CH220" s="1327"/>
      <c r="CI220" s="1327"/>
      <c r="CJ220" s="1327"/>
      <c r="CK220" s="1327"/>
      <c r="CL220" s="1327"/>
      <c r="CM220" s="1327"/>
      <c r="CN220" s="1327"/>
      <c r="CO220" s="1327"/>
      <c r="CP220" s="1327"/>
      <c r="CQ220" s="1327"/>
      <c r="CR220" s="1327"/>
      <c r="CS220" s="1327"/>
      <c r="CT220" s="1317"/>
      <c r="CU220" s="1317"/>
      <c r="CV220" s="1317"/>
      <c r="CW220" s="1317"/>
      <c r="CX220" s="1317"/>
      <c r="CY220" s="1317"/>
      <c r="CZ220" s="1317"/>
      <c r="DA220" s="1317"/>
      <c r="DB220" s="1317"/>
      <c r="DC220" s="1317"/>
      <c r="DD220" s="1317"/>
      <c r="DE220" s="1317"/>
      <c r="DF220" s="1317"/>
      <c r="DG220" s="1317"/>
    </row>
    <row r="221" ht="18.75" customHeight="1">
      <c r="G221" s="1344"/>
      <c r="H221" s="1345">
        <f t="shared" si="4"/>
        <v>0</v>
      </c>
      <c r="I221" s="1381"/>
      <c r="J221" s="1381"/>
      <c r="K221" s="1381"/>
      <c r="L221" s="1381"/>
      <c r="M221" s="1381"/>
      <c r="N221" s="1381"/>
      <c r="O221" s="1381"/>
      <c r="P221" s="1381"/>
      <c r="Q221" s="1381"/>
      <c r="R221" s="1381"/>
      <c r="T221" s="1349"/>
      <c r="U221" s="1349" t="s">
        <v>123</v>
      </c>
      <c r="V221" s="1349" t="s">
        <v>123</v>
      </c>
      <c r="W221" s="1349"/>
      <c r="X221" s="1349"/>
      <c r="Y221" s="1308"/>
      <c r="Z221" s="437" t="str">
        <f>IFERROR(__xludf.DUMMYFUNCTION("IF(NOT('portfólio'!$AV$7),"""",IF($T221="""","""",IFERROR(query({AtivosDados},""select sum(""&amp;Z$3&amp;"") where Col1='""&amp;$T221&amp;""' label sum(""&amp;Z$3&amp;"") ''""),0)))"),"")</f>
        <v/>
      </c>
      <c r="AA221" s="437" t="str">
        <f>IFERROR(__xludf.DUMMYFUNCTION("IF(NOT('portfólio'!$AV$7),"""",IF($T221="""","""",IFERROR(query({AtivosDados},""select sum(""&amp;AA$3&amp;"") where Col1='""&amp;$T221&amp;""' label sum(""&amp;AA$3&amp;"") ''""),0)))"),"")</f>
        <v/>
      </c>
      <c r="AB221" s="437" t="str">
        <f>IFERROR(__xludf.DUMMYFUNCTION("IF(NOT('portfólio'!$AV$7),"""",IF($T221="""","""",IFERROR(query({AtivosDados},""select sum(""&amp;AB$3&amp;"") where Col1='""&amp;$T221&amp;""' label sum(""&amp;AB$3&amp;"") ''""),0)))"),"")</f>
        <v/>
      </c>
      <c r="AC221" s="437" t="str">
        <f>IFERROR(__xludf.DUMMYFUNCTION("IF(NOT('portfólio'!$AV$7),"""",IF($T221="""","""",IFERROR(query({AtivosDados},""select sum(""&amp;AC$3&amp;"") where Col1='""&amp;$T221&amp;""' label sum(""&amp;AC$3&amp;"") ''""),0)))"),"")</f>
        <v/>
      </c>
      <c r="AD221" s="437" t="str">
        <f>IFERROR(__xludf.DUMMYFUNCTION("IF(NOT('portfólio'!$AV$7),"""",IF($T221="""","""",IFERROR(query({AtivosDados},""select sum(""&amp;AD$3&amp;"") where Col1='""&amp;$T221&amp;""' label sum(""&amp;AD$3&amp;"") ''""),0)))"),"")</f>
        <v/>
      </c>
      <c r="AE221" s="437"/>
      <c r="AF221" s="1327"/>
      <c r="AG221" s="437"/>
      <c r="AH221" s="437"/>
      <c r="AI221" s="437"/>
      <c r="AJ221" s="437"/>
      <c r="AK221" s="437"/>
      <c r="AL221" s="437"/>
      <c r="AM221" s="437"/>
      <c r="AN221" s="437"/>
      <c r="AO221" s="437"/>
      <c r="AP221" s="437"/>
      <c r="AQ221" s="1327"/>
      <c r="AR221" s="437"/>
      <c r="AS221" s="437"/>
      <c r="AT221" s="437"/>
      <c r="AU221" s="437"/>
      <c r="AV221" s="437"/>
      <c r="AW221" s="437"/>
      <c r="AX221" s="437"/>
      <c r="AY221" s="437"/>
      <c r="AZ221" s="437"/>
      <c r="BA221" s="437"/>
      <c r="BB221" s="1327"/>
      <c r="BC221" s="437"/>
      <c r="BD221" s="437"/>
      <c r="BE221" s="437"/>
      <c r="BF221" s="437"/>
      <c r="BG221" s="437"/>
      <c r="BH221" s="437"/>
      <c r="BI221" s="437"/>
      <c r="BJ221" s="437"/>
      <c r="BK221" s="437"/>
      <c r="BL221" s="437"/>
      <c r="BM221" s="1327"/>
      <c r="BN221" s="1327"/>
      <c r="BO221" s="1327"/>
      <c r="BP221" s="1327"/>
      <c r="BQ221" s="1327"/>
      <c r="BR221" s="1327"/>
      <c r="BS221" s="1327"/>
      <c r="BT221" s="1327"/>
      <c r="BU221" s="1327"/>
      <c r="BV221" s="1327"/>
      <c r="BW221" s="1327"/>
      <c r="BX221" s="1327"/>
      <c r="BY221" s="1327"/>
      <c r="BZ221" s="1327"/>
      <c r="CA221" s="1327"/>
      <c r="CB221" s="1327"/>
      <c r="CC221" s="1327"/>
      <c r="CD221" s="1327"/>
      <c r="CE221" s="1327"/>
      <c r="CF221" s="1327"/>
      <c r="CG221" s="1327"/>
      <c r="CH221" s="1327"/>
      <c r="CI221" s="1327"/>
      <c r="CJ221" s="1327"/>
      <c r="CK221" s="1327"/>
      <c r="CL221" s="1327"/>
      <c r="CM221" s="1327"/>
      <c r="CN221" s="1327"/>
      <c r="CO221" s="1327"/>
      <c r="CP221" s="1327"/>
      <c r="CQ221" s="1327"/>
      <c r="CR221" s="1327"/>
      <c r="CS221" s="1327"/>
      <c r="CT221" s="1317"/>
      <c r="CU221" s="1317"/>
      <c r="CV221" s="1317"/>
      <c r="CW221" s="1317"/>
      <c r="CX221" s="1317"/>
      <c r="CY221" s="1317"/>
      <c r="CZ221" s="1317"/>
      <c r="DA221" s="1317"/>
      <c r="DB221" s="1317"/>
      <c r="DC221" s="1317"/>
      <c r="DD221" s="1317"/>
      <c r="DE221" s="1317"/>
      <c r="DF221" s="1317"/>
      <c r="DG221" s="1317"/>
    </row>
    <row r="222" ht="18.75" customHeight="1">
      <c r="G222" s="1344"/>
      <c r="H222" s="1345">
        <f t="shared" si="4"/>
        <v>0</v>
      </c>
      <c r="I222" s="1381"/>
      <c r="J222" s="1381"/>
      <c r="K222" s="1381"/>
      <c r="L222" s="1381"/>
      <c r="M222" s="1381"/>
      <c r="N222" s="1381"/>
      <c r="O222" s="1381"/>
      <c r="P222" s="1381"/>
      <c r="Q222" s="1381"/>
      <c r="R222" s="1381"/>
      <c r="T222" s="1349"/>
      <c r="U222" s="1349" t="s">
        <v>123</v>
      </c>
      <c r="V222" s="1349" t="s">
        <v>123</v>
      </c>
      <c r="W222" s="1349"/>
      <c r="X222" s="1349"/>
      <c r="Y222" s="1308"/>
      <c r="Z222" s="437" t="str">
        <f>IFERROR(__xludf.DUMMYFUNCTION("IF(NOT('portfólio'!$AV$7),"""",IF($T222="""","""",IFERROR(query({AtivosDados},""select sum(""&amp;Z$3&amp;"") where Col1='""&amp;$T222&amp;""' label sum(""&amp;Z$3&amp;"") ''""),0)))"),"")</f>
        <v/>
      </c>
      <c r="AA222" s="437" t="str">
        <f>IFERROR(__xludf.DUMMYFUNCTION("IF(NOT('portfólio'!$AV$7),"""",IF($T222="""","""",IFERROR(query({AtivosDados},""select sum(""&amp;AA$3&amp;"") where Col1='""&amp;$T222&amp;""' label sum(""&amp;AA$3&amp;"") ''""),0)))"),"")</f>
        <v/>
      </c>
      <c r="AB222" s="437" t="str">
        <f>IFERROR(__xludf.DUMMYFUNCTION("IF(NOT('portfólio'!$AV$7),"""",IF($T222="""","""",IFERROR(query({AtivosDados},""select sum(""&amp;AB$3&amp;"") where Col1='""&amp;$T222&amp;""' label sum(""&amp;AB$3&amp;"") ''""),0)))"),"")</f>
        <v/>
      </c>
      <c r="AC222" s="437" t="str">
        <f>IFERROR(__xludf.DUMMYFUNCTION("IF(NOT('portfólio'!$AV$7),"""",IF($T222="""","""",IFERROR(query({AtivosDados},""select sum(""&amp;AC$3&amp;"") where Col1='""&amp;$T222&amp;""' label sum(""&amp;AC$3&amp;"") ''""),0)))"),"")</f>
        <v/>
      </c>
      <c r="AD222" s="437" t="str">
        <f>IFERROR(__xludf.DUMMYFUNCTION("IF(NOT('portfólio'!$AV$7),"""",IF($T222="""","""",IFERROR(query({AtivosDados},""select sum(""&amp;AD$3&amp;"") where Col1='""&amp;$T222&amp;""' label sum(""&amp;AD$3&amp;"") ''""),0)))"),"")</f>
        <v/>
      </c>
      <c r="AE222" s="437"/>
      <c r="AF222" s="1327"/>
      <c r="AG222" s="437"/>
      <c r="AH222" s="437"/>
      <c r="AI222" s="437"/>
      <c r="AJ222" s="437"/>
      <c r="AK222" s="437"/>
      <c r="AL222" s="437"/>
      <c r="AM222" s="437"/>
      <c r="AN222" s="437"/>
      <c r="AO222" s="437"/>
      <c r="AP222" s="437"/>
      <c r="AQ222" s="1327"/>
      <c r="AR222" s="437"/>
      <c r="AS222" s="437"/>
      <c r="AT222" s="437"/>
      <c r="AU222" s="437"/>
      <c r="AV222" s="437"/>
      <c r="AW222" s="437"/>
      <c r="AX222" s="437"/>
      <c r="AY222" s="437"/>
      <c r="AZ222" s="437"/>
      <c r="BA222" s="437"/>
      <c r="BB222" s="1327"/>
      <c r="BC222" s="437"/>
      <c r="BD222" s="437"/>
      <c r="BE222" s="437"/>
      <c r="BF222" s="437"/>
      <c r="BG222" s="437"/>
      <c r="BH222" s="437"/>
      <c r="BI222" s="437"/>
      <c r="BJ222" s="437"/>
      <c r="BK222" s="437"/>
      <c r="BL222" s="437"/>
      <c r="BM222" s="1327"/>
      <c r="BN222" s="1327"/>
      <c r="BO222" s="1327"/>
      <c r="BP222" s="1327"/>
      <c r="BQ222" s="1327"/>
      <c r="BR222" s="1327"/>
      <c r="BS222" s="1327"/>
      <c r="BT222" s="1327"/>
      <c r="BU222" s="1327"/>
      <c r="BV222" s="1327"/>
      <c r="BW222" s="1327"/>
      <c r="BX222" s="1327"/>
      <c r="BY222" s="1327"/>
      <c r="BZ222" s="1327"/>
      <c r="CA222" s="1327"/>
      <c r="CB222" s="1327"/>
      <c r="CC222" s="1327"/>
      <c r="CD222" s="1327"/>
      <c r="CE222" s="1327"/>
      <c r="CF222" s="1327"/>
      <c r="CG222" s="1327"/>
      <c r="CH222" s="1327"/>
      <c r="CI222" s="1327"/>
      <c r="CJ222" s="1327"/>
      <c r="CK222" s="1327"/>
      <c r="CL222" s="1327"/>
      <c r="CM222" s="1327"/>
      <c r="CN222" s="1327"/>
      <c r="CO222" s="1327"/>
      <c r="CP222" s="1327"/>
      <c r="CQ222" s="1327"/>
      <c r="CR222" s="1327"/>
      <c r="CS222" s="1327"/>
      <c r="CT222" s="1317"/>
      <c r="CU222" s="1317"/>
      <c r="CV222" s="1317"/>
      <c r="CW222" s="1317"/>
      <c r="CX222" s="1317"/>
      <c r="CY222" s="1317"/>
      <c r="CZ222" s="1317"/>
      <c r="DA222" s="1317"/>
      <c r="DB222" s="1317"/>
      <c r="DC222" s="1317"/>
      <c r="DD222" s="1317"/>
      <c r="DE222" s="1317"/>
      <c r="DF222" s="1317"/>
      <c r="DG222" s="1317"/>
    </row>
    <row r="223" ht="18.75" customHeight="1">
      <c r="G223" s="1344"/>
      <c r="H223" s="1345">
        <f t="shared" si="4"/>
        <v>0</v>
      </c>
      <c r="I223" s="1381"/>
      <c r="J223" s="1381"/>
      <c r="K223" s="1381"/>
      <c r="L223" s="1381"/>
      <c r="M223" s="1381"/>
      <c r="N223" s="1381"/>
      <c r="O223" s="1381"/>
      <c r="P223" s="1381"/>
      <c r="Q223" s="1381"/>
      <c r="R223" s="1381"/>
      <c r="T223" s="1349"/>
      <c r="U223" s="1349" t="s">
        <v>123</v>
      </c>
      <c r="V223" s="1349" t="s">
        <v>123</v>
      </c>
      <c r="W223" s="1349"/>
      <c r="X223" s="1349"/>
      <c r="Y223" s="1308"/>
      <c r="Z223" s="437" t="str">
        <f>IFERROR(__xludf.DUMMYFUNCTION("IF(NOT('portfólio'!$AV$7),"""",IF($T223="""","""",IFERROR(query({AtivosDados},""select sum(""&amp;Z$3&amp;"") where Col1='""&amp;$T223&amp;""' label sum(""&amp;Z$3&amp;"") ''""),0)))"),"")</f>
        <v/>
      </c>
      <c r="AA223" s="437" t="str">
        <f>IFERROR(__xludf.DUMMYFUNCTION("IF(NOT('portfólio'!$AV$7),"""",IF($T223="""","""",IFERROR(query({AtivosDados},""select sum(""&amp;AA$3&amp;"") where Col1='""&amp;$T223&amp;""' label sum(""&amp;AA$3&amp;"") ''""),0)))"),"")</f>
        <v/>
      </c>
      <c r="AB223" s="437" t="str">
        <f>IFERROR(__xludf.DUMMYFUNCTION("IF(NOT('portfólio'!$AV$7),"""",IF($T223="""","""",IFERROR(query({AtivosDados},""select sum(""&amp;AB$3&amp;"") where Col1='""&amp;$T223&amp;""' label sum(""&amp;AB$3&amp;"") ''""),0)))"),"")</f>
        <v/>
      </c>
      <c r="AC223" s="437" t="str">
        <f>IFERROR(__xludf.DUMMYFUNCTION("IF(NOT('portfólio'!$AV$7),"""",IF($T223="""","""",IFERROR(query({AtivosDados},""select sum(""&amp;AC$3&amp;"") where Col1='""&amp;$T223&amp;""' label sum(""&amp;AC$3&amp;"") ''""),0)))"),"")</f>
        <v/>
      </c>
      <c r="AD223" s="437" t="str">
        <f>IFERROR(__xludf.DUMMYFUNCTION("IF(NOT('portfólio'!$AV$7),"""",IF($T223="""","""",IFERROR(query({AtivosDados},""select sum(""&amp;AD$3&amp;"") where Col1='""&amp;$T223&amp;""' label sum(""&amp;AD$3&amp;"") ''""),0)))"),"")</f>
        <v/>
      </c>
      <c r="AE223" s="437"/>
      <c r="AF223" s="1327"/>
      <c r="AG223" s="437"/>
      <c r="AH223" s="437"/>
      <c r="AI223" s="437"/>
      <c r="AJ223" s="437"/>
      <c r="AK223" s="437"/>
      <c r="AL223" s="437"/>
      <c r="AM223" s="437"/>
      <c r="AN223" s="437"/>
      <c r="AO223" s="437"/>
      <c r="AP223" s="437"/>
      <c r="AQ223" s="1327"/>
      <c r="AR223" s="437"/>
      <c r="AS223" s="437"/>
      <c r="AT223" s="437"/>
      <c r="AU223" s="437"/>
      <c r="AV223" s="437"/>
      <c r="AW223" s="437"/>
      <c r="AX223" s="437"/>
      <c r="AY223" s="437"/>
      <c r="AZ223" s="437"/>
      <c r="BA223" s="437"/>
      <c r="BB223" s="1327"/>
      <c r="BC223" s="437"/>
      <c r="BD223" s="437"/>
      <c r="BE223" s="437"/>
      <c r="BF223" s="437"/>
      <c r="BG223" s="437"/>
      <c r="BH223" s="437"/>
      <c r="BI223" s="437"/>
      <c r="BJ223" s="437"/>
      <c r="BK223" s="437"/>
      <c r="BL223" s="437"/>
      <c r="BM223" s="1327"/>
      <c r="BN223" s="1327"/>
      <c r="BO223" s="1327"/>
      <c r="BP223" s="1327"/>
      <c r="BQ223" s="1327"/>
      <c r="BR223" s="1327"/>
      <c r="BS223" s="1327"/>
      <c r="BT223" s="1327"/>
      <c r="BU223" s="1327"/>
      <c r="BV223" s="1327"/>
      <c r="BW223" s="1327"/>
      <c r="BX223" s="1327"/>
      <c r="BY223" s="1327"/>
      <c r="BZ223" s="1327"/>
      <c r="CA223" s="1327"/>
      <c r="CB223" s="1327"/>
      <c r="CC223" s="1327"/>
      <c r="CD223" s="1327"/>
      <c r="CE223" s="1327"/>
      <c r="CF223" s="1327"/>
      <c r="CG223" s="1327"/>
      <c r="CH223" s="1327"/>
      <c r="CI223" s="1327"/>
      <c r="CJ223" s="1327"/>
      <c r="CK223" s="1327"/>
      <c r="CL223" s="1327"/>
      <c r="CM223" s="1327"/>
      <c r="CN223" s="1327"/>
      <c r="CO223" s="1327"/>
      <c r="CP223" s="1327"/>
      <c r="CQ223" s="1327"/>
      <c r="CR223" s="1327"/>
      <c r="CS223" s="1327"/>
      <c r="CT223" s="1317"/>
      <c r="CU223" s="1317"/>
      <c r="CV223" s="1317"/>
      <c r="CW223" s="1317"/>
      <c r="CX223" s="1317"/>
      <c r="CY223" s="1317"/>
      <c r="CZ223" s="1317"/>
      <c r="DA223" s="1317"/>
      <c r="DB223" s="1317"/>
      <c r="DC223" s="1317"/>
      <c r="DD223" s="1317"/>
      <c r="DE223" s="1317"/>
      <c r="DF223" s="1317"/>
      <c r="DG223" s="1317"/>
    </row>
    <row r="224" ht="18.75" customHeight="1">
      <c r="G224" s="1344"/>
      <c r="H224" s="1345">
        <f t="shared" si="4"/>
        <v>0</v>
      </c>
      <c r="I224" s="1381"/>
      <c r="J224" s="1381"/>
      <c r="K224" s="1381"/>
      <c r="L224" s="1381"/>
      <c r="M224" s="1381"/>
      <c r="N224" s="1381"/>
      <c r="O224" s="1381"/>
      <c r="P224" s="1381"/>
      <c r="Q224" s="1381"/>
      <c r="R224" s="1381"/>
      <c r="T224" s="1349"/>
      <c r="U224" s="1349" t="s">
        <v>123</v>
      </c>
      <c r="V224" s="1349" t="s">
        <v>123</v>
      </c>
      <c r="W224" s="1349"/>
      <c r="X224" s="1349"/>
      <c r="Y224" s="1308"/>
      <c r="Z224" s="437" t="str">
        <f>IFERROR(__xludf.DUMMYFUNCTION("IF(NOT('portfólio'!$AV$7),"""",IF($T224="""","""",IFERROR(query({AtivosDados},""select sum(""&amp;Z$3&amp;"") where Col1='""&amp;$T224&amp;""' label sum(""&amp;Z$3&amp;"") ''""),0)))"),"")</f>
        <v/>
      </c>
      <c r="AA224" s="437" t="str">
        <f>IFERROR(__xludf.DUMMYFUNCTION("IF(NOT('portfólio'!$AV$7),"""",IF($T224="""","""",IFERROR(query({AtivosDados},""select sum(""&amp;AA$3&amp;"") where Col1='""&amp;$T224&amp;""' label sum(""&amp;AA$3&amp;"") ''""),0)))"),"")</f>
        <v/>
      </c>
      <c r="AB224" s="437" t="str">
        <f>IFERROR(__xludf.DUMMYFUNCTION("IF(NOT('portfólio'!$AV$7),"""",IF($T224="""","""",IFERROR(query({AtivosDados},""select sum(""&amp;AB$3&amp;"") where Col1='""&amp;$T224&amp;""' label sum(""&amp;AB$3&amp;"") ''""),0)))"),"")</f>
        <v/>
      </c>
      <c r="AC224" s="437" t="str">
        <f>IFERROR(__xludf.DUMMYFUNCTION("IF(NOT('portfólio'!$AV$7),"""",IF($T224="""","""",IFERROR(query({AtivosDados},""select sum(""&amp;AC$3&amp;"") where Col1='""&amp;$T224&amp;""' label sum(""&amp;AC$3&amp;"") ''""),0)))"),"")</f>
        <v/>
      </c>
      <c r="AD224" s="437" t="str">
        <f>IFERROR(__xludf.DUMMYFUNCTION("IF(NOT('portfólio'!$AV$7),"""",IF($T224="""","""",IFERROR(query({AtivosDados},""select sum(""&amp;AD$3&amp;"") where Col1='""&amp;$T224&amp;""' label sum(""&amp;AD$3&amp;"") ''""),0)))"),"")</f>
        <v/>
      </c>
      <c r="AE224" s="437"/>
      <c r="AF224" s="1327"/>
      <c r="AG224" s="437"/>
      <c r="AH224" s="437"/>
      <c r="AI224" s="437"/>
      <c r="AJ224" s="437"/>
      <c r="AK224" s="437"/>
      <c r="AL224" s="437"/>
      <c r="AM224" s="437"/>
      <c r="AN224" s="437"/>
      <c r="AO224" s="437"/>
      <c r="AP224" s="437"/>
      <c r="AQ224" s="1327"/>
      <c r="AR224" s="437"/>
      <c r="AS224" s="437"/>
      <c r="AT224" s="437"/>
      <c r="AU224" s="437"/>
      <c r="AV224" s="437"/>
      <c r="AW224" s="437"/>
      <c r="AX224" s="437"/>
      <c r="AY224" s="437"/>
      <c r="AZ224" s="437"/>
      <c r="BA224" s="437"/>
      <c r="BB224" s="1327"/>
      <c r="BC224" s="437"/>
      <c r="BD224" s="437"/>
      <c r="BE224" s="437"/>
      <c r="BF224" s="437"/>
      <c r="BG224" s="437"/>
      <c r="BH224" s="437"/>
      <c r="BI224" s="437"/>
      <c r="BJ224" s="437"/>
      <c r="BK224" s="437"/>
      <c r="BL224" s="437"/>
      <c r="BM224" s="1327"/>
      <c r="BN224" s="1327"/>
      <c r="BO224" s="1327"/>
      <c r="BP224" s="1327"/>
      <c r="BQ224" s="1327"/>
      <c r="BR224" s="1327"/>
      <c r="BS224" s="1327"/>
      <c r="BT224" s="1327"/>
      <c r="BU224" s="1327"/>
      <c r="BV224" s="1327"/>
      <c r="BW224" s="1327"/>
      <c r="BX224" s="1327"/>
      <c r="BY224" s="1327"/>
      <c r="BZ224" s="1327"/>
      <c r="CA224" s="1327"/>
      <c r="CB224" s="1327"/>
      <c r="CC224" s="1327"/>
      <c r="CD224" s="1327"/>
      <c r="CE224" s="1327"/>
      <c r="CF224" s="1327"/>
      <c r="CG224" s="1327"/>
      <c r="CH224" s="1327"/>
      <c r="CI224" s="1327"/>
      <c r="CJ224" s="1327"/>
      <c r="CK224" s="1327"/>
      <c r="CL224" s="1327"/>
      <c r="CM224" s="1327"/>
      <c r="CN224" s="1327"/>
      <c r="CO224" s="1327"/>
      <c r="CP224" s="1327"/>
      <c r="CQ224" s="1327"/>
      <c r="CR224" s="1327"/>
      <c r="CS224" s="1327"/>
      <c r="CT224" s="1317"/>
      <c r="CU224" s="1317"/>
      <c r="CV224" s="1317"/>
      <c r="CW224" s="1317"/>
      <c r="CX224" s="1317"/>
      <c r="CY224" s="1317"/>
      <c r="CZ224" s="1317"/>
      <c r="DA224" s="1317"/>
      <c r="DB224" s="1317"/>
      <c r="DC224" s="1317"/>
      <c r="DD224" s="1317"/>
      <c r="DE224" s="1317"/>
      <c r="DF224" s="1317"/>
      <c r="DG224" s="1317"/>
    </row>
    <row r="225" ht="18.75" customHeight="1">
      <c r="G225" s="1344"/>
      <c r="H225" s="1345">
        <f t="shared" si="4"/>
        <v>0</v>
      </c>
      <c r="I225" s="1381"/>
      <c r="J225" s="1381"/>
      <c r="K225" s="1381"/>
      <c r="L225" s="1381"/>
      <c r="M225" s="1381"/>
      <c r="N225" s="1381"/>
      <c r="O225" s="1381"/>
      <c r="P225" s="1381"/>
      <c r="Q225" s="1381"/>
      <c r="R225" s="1381"/>
      <c r="T225" s="1349"/>
      <c r="U225" s="1349" t="s">
        <v>123</v>
      </c>
      <c r="V225" s="1349" t="s">
        <v>123</v>
      </c>
      <c r="W225" s="1349"/>
      <c r="X225" s="1349"/>
      <c r="Y225" s="1308"/>
      <c r="Z225" s="437" t="str">
        <f>IFERROR(__xludf.DUMMYFUNCTION("IF(NOT('portfólio'!$AV$7),"""",IF($T225="""","""",IFERROR(query({AtivosDados},""select sum(""&amp;Z$3&amp;"") where Col1='""&amp;$T225&amp;""' label sum(""&amp;Z$3&amp;"") ''""),0)))"),"")</f>
        <v/>
      </c>
      <c r="AA225" s="437" t="str">
        <f>IFERROR(__xludf.DUMMYFUNCTION("IF(NOT('portfólio'!$AV$7),"""",IF($T225="""","""",IFERROR(query({AtivosDados},""select sum(""&amp;AA$3&amp;"") where Col1='""&amp;$T225&amp;""' label sum(""&amp;AA$3&amp;"") ''""),0)))"),"")</f>
        <v/>
      </c>
      <c r="AB225" s="437" t="str">
        <f>IFERROR(__xludf.DUMMYFUNCTION("IF(NOT('portfólio'!$AV$7),"""",IF($T225="""","""",IFERROR(query({AtivosDados},""select sum(""&amp;AB$3&amp;"") where Col1='""&amp;$T225&amp;""' label sum(""&amp;AB$3&amp;"") ''""),0)))"),"")</f>
        <v/>
      </c>
      <c r="AC225" s="437" t="str">
        <f>IFERROR(__xludf.DUMMYFUNCTION("IF(NOT('portfólio'!$AV$7),"""",IF($T225="""","""",IFERROR(query({AtivosDados},""select sum(""&amp;AC$3&amp;"") where Col1='""&amp;$T225&amp;""' label sum(""&amp;AC$3&amp;"") ''""),0)))"),"")</f>
        <v/>
      </c>
      <c r="AD225" s="437" t="str">
        <f>IFERROR(__xludf.DUMMYFUNCTION("IF(NOT('portfólio'!$AV$7),"""",IF($T225="""","""",IFERROR(query({AtivosDados},""select sum(""&amp;AD$3&amp;"") where Col1='""&amp;$T225&amp;""' label sum(""&amp;AD$3&amp;"") ''""),0)))"),"")</f>
        <v/>
      </c>
      <c r="AE225" s="437"/>
      <c r="AF225" s="1327"/>
      <c r="AG225" s="437"/>
      <c r="AH225" s="437"/>
      <c r="AI225" s="437"/>
      <c r="AJ225" s="437"/>
      <c r="AK225" s="437"/>
      <c r="AL225" s="437"/>
      <c r="AM225" s="437"/>
      <c r="AN225" s="437"/>
      <c r="AO225" s="437"/>
      <c r="AP225" s="437"/>
      <c r="AQ225" s="1327"/>
      <c r="AR225" s="437"/>
      <c r="AS225" s="437"/>
      <c r="AT225" s="437"/>
      <c r="AU225" s="437"/>
      <c r="AV225" s="437"/>
      <c r="AW225" s="437"/>
      <c r="AX225" s="437"/>
      <c r="AY225" s="437"/>
      <c r="AZ225" s="437"/>
      <c r="BA225" s="437"/>
      <c r="BB225" s="1327"/>
      <c r="BC225" s="437"/>
      <c r="BD225" s="437"/>
      <c r="BE225" s="437"/>
      <c r="BF225" s="437"/>
      <c r="BG225" s="437"/>
      <c r="BH225" s="437"/>
      <c r="BI225" s="437"/>
      <c r="BJ225" s="437"/>
      <c r="BK225" s="437"/>
      <c r="BL225" s="437"/>
      <c r="BM225" s="1327"/>
      <c r="BN225" s="1327"/>
      <c r="BO225" s="1327"/>
      <c r="BP225" s="1327"/>
      <c r="BQ225" s="1327"/>
      <c r="BR225" s="1327"/>
      <c r="BS225" s="1327"/>
      <c r="BT225" s="1327"/>
      <c r="BU225" s="1327"/>
      <c r="BV225" s="1327"/>
      <c r="BW225" s="1327"/>
      <c r="BX225" s="1327"/>
      <c r="BY225" s="1327"/>
      <c r="BZ225" s="1327"/>
      <c r="CA225" s="1327"/>
      <c r="CB225" s="1327"/>
      <c r="CC225" s="1327"/>
      <c r="CD225" s="1327"/>
      <c r="CE225" s="1327"/>
      <c r="CF225" s="1327"/>
      <c r="CG225" s="1327"/>
      <c r="CH225" s="1327"/>
      <c r="CI225" s="1327"/>
      <c r="CJ225" s="1327"/>
      <c r="CK225" s="1327"/>
      <c r="CL225" s="1327"/>
      <c r="CM225" s="1327"/>
      <c r="CN225" s="1327"/>
      <c r="CO225" s="1327"/>
      <c r="CP225" s="1327"/>
      <c r="CQ225" s="1327"/>
      <c r="CR225" s="1327"/>
      <c r="CS225" s="1327"/>
      <c r="CT225" s="1317"/>
      <c r="CU225" s="1317"/>
      <c r="CV225" s="1317"/>
      <c r="CW225" s="1317"/>
      <c r="CX225" s="1317"/>
      <c r="CY225" s="1317"/>
      <c r="CZ225" s="1317"/>
      <c r="DA225" s="1317"/>
      <c r="DB225" s="1317"/>
      <c r="DC225" s="1317"/>
      <c r="DD225" s="1317"/>
      <c r="DE225" s="1317"/>
      <c r="DF225" s="1317"/>
      <c r="DG225" s="1317"/>
    </row>
    <row r="226" ht="18.75" customHeight="1">
      <c r="G226" s="1344"/>
      <c r="H226" s="1345">
        <f t="shared" si="4"/>
        <v>0</v>
      </c>
      <c r="I226" s="1381"/>
      <c r="J226" s="1381"/>
      <c r="K226" s="1381"/>
      <c r="L226" s="1381"/>
      <c r="M226" s="1381"/>
      <c r="N226" s="1381"/>
      <c r="O226" s="1381"/>
      <c r="P226" s="1381"/>
      <c r="Q226" s="1381"/>
      <c r="R226" s="1381"/>
      <c r="T226" s="1349"/>
      <c r="U226" s="1349" t="s">
        <v>123</v>
      </c>
      <c r="V226" s="1349" t="s">
        <v>123</v>
      </c>
      <c r="W226" s="1349"/>
      <c r="X226" s="1349"/>
      <c r="Y226" s="1308"/>
      <c r="Z226" s="437" t="str">
        <f>IFERROR(__xludf.DUMMYFUNCTION("IF(NOT('portfólio'!$AV$7),"""",IF($T226="""","""",IFERROR(query({AtivosDados},""select sum(""&amp;Z$3&amp;"") where Col1='""&amp;$T226&amp;""' label sum(""&amp;Z$3&amp;"") ''""),0)))"),"")</f>
        <v/>
      </c>
      <c r="AA226" s="437" t="str">
        <f>IFERROR(__xludf.DUMMYFUNCTION("IF(NOT('portfólio'!$AV$7),"""",IF($T226="""","""",IFERROR(query({AtivosDados},""select sum(""&amp;AA$3&amp;"") where Col1='""&amp;$T226&amp;""' label sum(""&amp;AA$3&amp;"") ''""),0)))"),"")</f>
        <v/>
      </c>
      <c r="AB226" s="437" t="str">
        <f>IFERROR(__xludf.DUMMYFUNCTION("IF(NOT('portfólio'!$AV$7),"""",IF($T226="""","""",IFERROR(query({AtivosDados},""select sum(""&amp;AB$3&amp;"") where Col1='""&amp;$T226&amp;""' label sum(""&amp;AB$3&amp;"") ''""),0)))"),"")</f>
        <v/>
      </c>
      <c r="AC226" s="437" t="str">
        <f>IFERROR(__xludf.DUMMYFUNCTION("IF(NOT('portfólio'!$AV$7),"""",IF($T226="""","""",IFERROR(query({AtivosDados},""select sum(""&amp;AC$3&amp;"") where Col1='""&amp;$T226&amp;""' label sum(""&amp;AC$3&amp;"") ''""),0)))"),"")</f>
        <v/>
      </c>
      <c r="AD226" s="437" t="str">
        <f>IFERROR(__xludf.DUMMYFUNCTION("IF(NOT('portfólio'!$AV$7),"""",IF($T226="""","""",IFERROR(query({AtivosDados},""select sum(""&amp;AD$3&amp;"") where Col1='""&amp;$T226&amp;""' label sum(""&amp;AD$3&amp;"") ''""),0)))"),"")</f>
        <v/>
      </c>
      <c r="AE226" s="437"/>
      <c r="AF226" s="1327"/>
      <c r="AG226" s="437"/>
      <c r="AH226" s="437"/>
      <c r="AI226" s="437"/>
      <c r="AJ226" s="437"/>
      <c r="AK226" s="437"/>
      <c r="AL226" s="437"/>
      <c r="AM226" s="437"/>
      <c r="AN226" s="437"/>
      <c r="AO226" s="437"/>
      <c r="AP226" s="437"/>
      <c r="AQ226" s="1327"/>
      <c r="AR226" s="437"/>
      <c r="AS226" s="437"/>
      <c r="AT226" s="437"/>
      <c r="AU226" s="437"/>
      <c r="AV226" s="437"/>
      <c r="AW226" s="437"/>
      <c r="AX226" s="437"/>
      <c r="AY226" s="437"/>
      <c r="AZ226" s="437"/>
      <c r="BA226" s="437"/>
      <c r="BB226" s="1327"/>
      <c r="BC226" s="437"/>
      <c r="BD226" s="437"/>
      <c r="BE226" s="437"/>
      <c r="BF226" s="437"/>
      <c r="BG226" s="437"/>
      <c r="BH226" s="437"/>
      <c r="BI226" s="437"/>
      <c r="BJ226" s="437"/>
      <c r="BK226" s="437"/>
      <c r="BL226" s="437"/>
      <c r="BM226" s="1327"/>
      <c r="BN226" s="1327"/>
      <c r="BO226" s="1327"/>
      <c r="BP226" s="1327"/>
      <c r="BQ226" s="1327"/>
      <c r="BR226" s="1327"/>
      <c r="BS226" s="1327"/>
      <c r="BT226" s="1327"/>
      <c r="BU226" s="1327"/>
      <c r="BV226" s="1327"/>
      <c r="BW226" s="1327"/>
      <c r="BX226" s="1327"/>
      <c r="BY226" s="1327"/>
      <c r="BZ226" s="1327"/>
      <c r="CA226" s="1327"/>
      <c r="CB226" s="1327"/>
      <c r="CC226" s="1327"/>
      <c r="CD226" s="1327"/>
      <c r="CE226" s="1327"/>
      <c r="CF226" s="1327"/>
      <c r="CG226" s="1327"/>
      <c r="CH226" s="1327"/>
      <c r="CI226" s="1327"/>
      <c r="CJ226" s="1327"/>
      <c r="CK226" s="1327"/>
      <c r="CL226" s="1327"/>
      <c r="CM226" s="1327"/>
      <c r="CN226" s="1327"/>
      <c r="CO226" s="1327"/>
      <c r="CP226" s="1327"/>
      <c r="CQ226" s="1327"/>
      <c r="CR226" s="1327"/>
      <c r="CS226" s="1327"/>
      <c r="CT226" s="1317"/>
      <c r="CU226" s="1317"/>
      <c r="CV226" s="1317"/>
      <c r="CW226" s="1317"/>
      <c r="CX226" s="1317"/>
      <c r="CY226" s="1317"/>
      <c r="CZ226" s="1317"/>
      <c r="DA226" s="1317"/>
      <c r="DB226" s="1317"/>
      <c r="DC226" s="1317"/>
      <c r="DD226" s="1317"/>
      <c r="DE226" s="1317"/>
      <c r="DF226" s="1317"/>
      <c r="DG226" s="1317"/>
    </row>
    <row r="227" ht="18.75" customHeight="1">
      <c r="G227" s="1344"/>
      <c r="H227" s="1345">
        <f t="shared" si="4"/>
        <v>0</v>
      </c>
      <c r="I227" s="1381"/>
      <c r="J227" s="1381"/>
      <c r="K227" s="1381"/>
      <c r="L227" s="1381"/>
      <c r="M227" s="1381"/>
      <c r="N227" s="1381"/>
      <c r="O227" s="1381"/>
      <c r="P227" s="1381"/>
      <c r="Q227" s="1381"/>
      <c r="R227" s="1381"/>
      <c r="T227" s="1349"/>
      <c r="U227" s="1349" t="s">
        <v>123</v>
      </c>
      <c r="V227" s="1349" t="s">
        <v>123</v>
      </c>
      <c r="W227" s="1349"/>
      <c r="X227" s="1349"/>
      <c r="Y227" s="1308"/>
      <c r="Z227" s="437" t="str">
        <f>IFERROR(__xludf.DUMMYFUNCTION("IF(NOT('portfólio'!$AV$7),"""",IF($T227="""","""",IFERROR(query({AtivosDados},""select sum(""&amp;Z$3&amp;"") where Col1='""&amp;$T227&amp;""' label sum(""&amp;Z$3&amp;"") ''""),0)))"),"")</f>
        <v/>
      </c>
      <c r="AA227" s="437" t="str">
        <f>IFERROR(__xludf.DUMMYFUNCTION("IF(NOT('portfólio'!$AV$7),"""",IF($T227="""","""",IFERROR(query({AtivosDados},""select sum(""&amp;AA$3&amp;"") where Col1='""&amp;$T227&amp;""' label sum(""&amp;AA$3&amp;"") ''""),0)))"),"")</f>
        <v/>
      </c>
      <c r="AB227" s="437" t="str">
        <f>IFERROR(__xludf.DUMMYFUNCTION("IF(NOT('portfólio'!$AV$7),"""",IF($T227="""","""",IFERROR(query({AtivosDados},""select sum(""&amp;AB$3&amp;"") where Col1='""&amp;$T227&amp;""' label sum(""&amp;AB$3&amp;"") ''""),0)))"),"")</f>
        <v/>
      </c>
      <c r="AC227" s="437" t="str">
        <f>IFERROR(__xludf.DUMMYFUNCTION("IF(NOT('portfólio'!$AV$7),"""",IF($T227="""","""",IFERROR(query({AtivosDados},""select sum(""&amp;AC$3&amp;"") where Col1='""&amp;$T227&amp;""' label sum(""&amp;AC$3&amp;"") ''""),0)))"),"")</f>
        <v/>
      </c>
      <c r="AD227" s="437" t="str">
        <f>IFERROR(__xludf.DUMMYFUNCTION("IF(NOT('portfólio'!$AV$7),"""",IF($T227="""","""",IFERROR(query({AtivosDados},""select sum(""&amp;AD$3&amp;"") where Col1='""&amp;$T227&amp;""' label sum(""&amp;AD$3&amp;"") ''""),0)))"),"")</f>
        <v/>
      </c>
      <c r="AE227" s="437"/>
      <c r="AF227" s="1327"/>
      <c r="AG227" s="437"/>
      <c r="AH227" s="437"/>
      <c r="AI227" s="437"/>
      <c r="AJ227" s="437"/>
      <c r="AK227" s="437"/>
      <c r="AL227" s="437"/>
      <c r="AM227" s="437"/>
      <c r="AN227" s="437"/>
      <c r="AO227" s="437"/>
      <c r="AP227" s="437"/>
      <c r="AQ227" s="1327"/>
      <c r="AR227" s="437"/>
      <c r="AS227" s="437"/>
      <c r="AT227" s="437"/>
      <c r="AU227" s="437"/>
      <c r="AV227" s="437"/>
      <c r="AW227" s="437"/>
      <c r="AX227" s="437"/>
      <c r="AY227" s="437"/>
      <c r="AZ227" s="437"/>
      <c r="BA227" s="437"/>
      <c r="BB227" s="1327"/>
      <c r="BC227" s="437"/>
      <c r="BD227" s="437"/>
      <c r="BE227" s="437"/>
      <c r="BF227" s="437"/>
      <c r="BG227" s="437"/>
      <c r="BH227" s="437"/>
      <c r="BI227" s="437"/>
      <c r="BJ227" s="437"/>
      <c r="BK227" s="437"/>
      <c r="BL227" s="437"/>
      <c r="BM227" s="1327"/>
      <c r="BN227" s="1327"/>
      <c r="BO227" s="1327"/>
      <c r="BP227" s="1327"/>
      <c r="BQ227" s="1327"/>
      <c r="BR227" s="1327"/>
      <c r="BS227" s="1327"/>
      <c r="BT227" s="1327"/>
      <c r="BU227" s="1327"/>
      <c r="BV227" s="1327"/>
      <c r="BW227" s="1327"/>
      <c r="BX227" s="1327"/>
      <c r="BY227" s="1327"/>
      <c r="BZ227" s="1327"/>
      <c r="CA227" s="1327"/>
      <c r="CB227" s="1327"/>
      <c r="CC227" s="1327"/>
      <c r="CD227" s="1327"/>
      <c r="CE227" s="1327"/>
      <c r="CF227" s="1327"/>
      <c r="CG227" s="1327"/>
      <c r="CH227" s="1327"/>
      <c r="CI227" s="1327"/>
      <c r="CJ227" s="1327"/>
      <c r="CK227" s="1327"/>
      <c r="CL227" s="1327"/>
      <c r="CM227" s="1327"/>
      <c r="CN227" s="1327"/>
      <c r="CO227" s="1327"/>
      <c r="CP227" s="1327"/>
      <c r="CQ227" s="1327"/>
      <c r="CR227" s="1327"/>
      <c r="CS227" s="1327"/>
      <c r="CT227" s="1317"/>
      <c r="CU227" s="1317"/>
      <c r="CV227" s="1317"/>
      <c r="CW227" s="1317"/>
      <c r="CX227" s="1317"/>
      <c r="CY227" s="1317"/>
      <c r="CZ227" s="1317"/>
      <c r="DA227" s="1317"/>
      <c r="DB227" s="1317"/>
      <c r="DC227" s="1317"/>
      <c r="DD227" s="1317"/>
      <c r="DE227" s="1317"/>
      <c r="DF227" s="1317"/>
      <c r="DG227" s="1317"/>
    </row>
    <row r="228" ht="18.75" customHeight="1">
      <c r="G228" s="1344"/>
      <c r="H228" s="1345">
        <f t="shared" si="4"/>
        <v>0</v>
      </c>
      <c r="I228" s="1381"/>
      <c r="J228" s="1381"/>
      <c r="K228" s="1381"/>
      <c r="L228" s="1381"/>
      <c r="M228" s="1381"/>
      <c r="N228" s="1381"/>
      <c r="O228" s="1381"/>
      <c r="P228" s="1381"/>
      <c r="Q228" s="1381"/>
      <c r="R228" s="1381"/>
      <c r="T228" s="1349"/>
      <c r="U228" s="1349" t="s">
        <v>123</v>
      </c>
      <c r="V228" s="1349" t="s">
        <v>123</v>
      </c>
      <c r="W228" s="1349"/>
      <c r="X228" s="1349"/>
      <c r="Y228" s="1308"/>
      <c r="Z228" s="437" t="str">
        <f>IFERROR(__xludf.DUMMYFUNCTION("IF(NOT('portfólio'!$AV$7),"""",IF($T228="""","""",IFERROR(query({AtivosDados},""select sum(""&amp;Z$3&amp;"") where Col1='""&amp;$T228&amp;""' label sum(""&amp;Z$3&amp;"") ''""),0)))"),"")</f>
        <v/>
      </c>
      <c r="AA228" s="437" t="str">
        <f>IFERROR(__xludf.DUMMYFUNCTION("IF(NOT('portfólio'!$AV$7),"""",IF($T228="""","""",IFERROR(query({AtivosDados},""select sum(""&amp;AA$3&amp;"") where Col1='""&amp;$T228&amp;""' label sum(""&amp;AA$3&amp;"") ''""),0)))"),"")</f>
        <v/>
      </c>
      <c r="AB228" s="437" t="str">
        <f>IFERROR(__xludf.DUMMYFUNCTION("IF(NOT('portfólio'!$AV$7),"""",IF($T228="""","""",IFERROR(query({AtivosDados},""select sum(""&amp;AB$3&amp;"") where Col1='""&amp;$T228&amp;""' label sum(""&amp;AB$3&amp;"") ''""),0)))"),"")</f>
        <v/>
      </c>
      <c r="AC228" s="437" t="str">
        <f>IFERROR(__xludf.DUMMYFUNCTION("IF(NOT('portfólio'!$AV$7),"""",IF($T228="""","""",IFERROR(query({AtivosDados},""select sum(""&amp;AC$3&amp;"") where Col1='""&amp;$T228&amp;""' label sum(""&amp;AC$3&amp;"") ''""),0)))"),"")</f>
        <v/>
      </c>
      <c r="AD228" s="437" t="str">
        <f>IFERROR(__xludf.DUMMYFUNCTION("IF(NOT('portfólio'!$AV$7),"""",IF($T228="""","""",IFERROR(query({AtivosDados},""select sum(""&amp;AD$3&amp;"") where Col1='""&amp;$T228&amp;""' label sum(""&amp;AD$3&amp;"") ''""),0)))"),"")</f>
        <v/>
      </c>
      <c r="AE228" s="437"/>
      <c r="AF228" s="1327"/>
      <c r="AG228" s="437"/>
      <c r="AH228" s="437"/>
      <c r="AI228" s="437"/>
      <c r="AJ228" s="437"/>
      <c r="AK228" s="437"/>
      <c r="AL228" s="437"/>
      <c r="AM228" s="437"/>
      <c r="AN228" s="437"/>
      <c r="AO228" s="437"/>
      <c r="AP228" s="437"/>
      <c r="AQ228" s="1327"/>
      <c r="AR228" s="437"/>
      <c r="AS228" s="437"/>
      <c r="AT228" s="437"/>
      <c r="AU228" s="437"/>
      <c r="AV228" s="437"/>
      <c r="AW228" s="437"/>
      <c r="AX228" s="437"/>
      <c r="AY228" s="437"/>
      <c r="AZ228" s="437"/>
      <c r="BA228" s="437"/>
      <c r="BB228" s="1327"/>
      <c r="BC228" s="437"/>
      <c r="BD228" s="437"/>
      <c r="BE228" s="437"/>
      <c r="BF228" s="437"/>
      <c r="BG228" s="437"/>
      <c r="BH228" s="437"/>
      <c r="BI228" s="437"/>
      <c r="BJ228" s="437"/>
      <c r="BK228" s="437"/>
      <c r="BL228" s="437"/>
      <c r="BM228" s="1327"/>
      <c r="BN228" s="1327"/>
      <c r="BO228" s="1327"/>
      <c r="BP228" s="1327"/>
      <c r="BQ228" s="1327"/>
      <c r="BR228" s="1327"/>
      <c r="BS228" s="1327"/>
      <c r="BT228" s="1327"/>
      <c r="BU228" s="1327"/>
      <c r="BV228" s="1327"/>
      <c r="BW228" s="1327"/>
      <c r="BX228" s="1327"/>
      <c r="BY228" s="1327"/>
      <c r="BZ228" s="1327"/>
      <c r="CA228" s="1327"/>
      <c r="CB228" s="1327"/>
      <c r="CC228" s="1327"/>
      <c r="CD228" s="1327"/>
      <c r="CE228" s="1327"/>
      <c r="CF228" s="1327"/>
      <c r="CG228" s="1327"/>
      <c r="CH228" s="1327"/>
      <c r="CI228" s="1327"/>
      <c r="CJ228" s="1327"/>
      <c r="CK228" s="1327"/>
      <c r="CL228" s="1327"/>
      <c r="CM228" s="1327"/>
      <c r="CN228" s="1327"/>
      <c r="CO228" s="1327"/>
      <c r="CP228" s="1327"/>
      <c r="CQ228" s="1327"/>
      <c r="CR228" s="1327"/>
      <c r="CS228" s="1327"/>
      <c r="CT228" s="1317"/>
      <c r="CU228" s="1317"/>
      <c r="CV228" s="1317"/>
      <c r="CW228" s="1317"/>
      <c r="CX228" s="1317"/>
      <c r="CY228" s="1317"/>
      <c r="CZ228" s="1317"/>
      <c r="DA228" s="1317"/>
      <c r="DB228" s="1317"/>
      <c r="DC228" s="1317"/>
      <c r="DD228" s="1317"/>
      <c r="DE228" s="1317"/>
      <c r="DF228" s="1317"/>
      <c r="DG228" s="1317"/>
    </row>
    <row r="229" ht="18.75" customHeight="1">
      <c r="G229" s="1344"/>
      <c r="H229" s="1345">
        <f t="shared" si="4"/>
        <v>0</v>
      </c>
      <c r="I229" s="1381"/>
      <c r="J229" s="1381"/>
      <c r="K229" s="1381"/>
      <c r="L229" s="1381"/>
      <c r="M229" s="1381"/>
      <c r="N229" s="1381"/>
      <c r="O229" s="1381"/>
      <c r="P229" s="1381"/>
      <c r="Q229" s="1381"/>
      <c r="R229" s="1381"/>
      <c r="T229" s="1349"/>
      <c r="U229" s="1349" t="s">
        <v>123</v>
      </c>
      <c r="V229" s="1349" t="s">
        <v>123</v>
      </c>
      <c r="W229" s="1349"/>
      <c r="X229" s="1349"/>
      <c r="Y229" s="1308"/>
      <c r="Z229" s="437" t="str">
        <f>IFERROR(__xludf.DUMMYFUNCTION("IF(NOT('portfólio'!$AV$7),"""",IF($T229="""","""",IFERROR(query({AtivosDados},""select sum(""&amp;Z$3&amp;"") where Col1='""&amp;$T229&amp;""' label sum(""&amp;Z$3&amp;"") ''""),0)))"),"")</f>
        <v/>
      </c>
      <c r="AA229" s="437" t="str">
        <f>IFERROR(__xludf.DUMMYFUNCTION("IF(NOT('portfólio'!$AV$7),"""",IF($T229="""","""",IFERROR(query({AtivosDados},""select sum(""&amp;AA$3&amp;"") where Col1='""&amp;$T229&amp;""' label sum(""&amp;AA$3&amp;"") ''""),0)))"),"")</f>
        <v/>
      </c>
      <c r="AB229" s="437" t="str">
        <f>IFERROR(__xludf.DUMMYFUNCTION("IF(NOT('portfólio'!$AV$7),"""",IF($T229="""","""",IFERROR(query({AtivosDados},""select sum(""&amp;AB$3&amp;"") where Col1='""&amp;$T229&amp;""' label sum(""&amp;AB$3&amp;"") ''""),0)))"),"")</f>
        <v/>
      </c>
      <c r="AC229" s="437" t="str">
        <f>IFERROR(__xludf.DUMMYFUNCTION("IF(NOT('portfólio'!$AV$7),"""",IF($T229="""","""",IFERROR(query({AtivosDados},""select sum(""&amp;AC$3&amp;"") where Col1='""&amp;$T229&amp;""' label sum(""&amp;AC$3&amp;"") ''""),0)))"),"")</f>
        <v/>
      </c>
      <c r="AD229" s="437" t="str">
        <f>IFERROR(__xludf.DUMMYFUNCTION("IF(NOT('portfólio'!$AV$7),"""",IF($T229="""","""",IFERROR(query({AtivosDados},""select sum(""&amp;AD$3&amp;"") where Col1='""&amp;$T229&amp;""' label sum(""&amp;AD$3&amp;"") ''""),0)))"),"")</f>
        <v/>
      </c>
      <c r="AE229" s="437"/>
      <c r="AF229" s="1327"/>
      <c r="AG229" s="437"/>
      <c r="AH229" s="437"/>
      <c r="AI229" s="437"/>
      <c r="AJ229" s="437"/>
      <c r="AK229" s="437"/>
      <c r="AL229" s="437"/>
      <c r="AM229" s="437"/>
      <c r="AN229" s="437"/>
      <c r="AO229" s="437"/>
      <c r="AP229" s="437"/>
      <c r="AQ229" s="1327"/>
      <c r="AR229" s="437"/>
      <c r="AS229" s="437"/>
      <c r="AT229" s="437"/>
      <c r="AU229" s="437"/>
      <c r="AV229" s="437"/>
      <c r="AW229" s="437"/>
      <c r="AX229" s="437"/>
      <c r="AY229" s="437"/>
      <c r="AZ229" s="437"/>
      <c r="BA229" s="437"/>
      <c r="BB229" s="1327"/>
      <c r="BC229" s="437"/>
      <c r="BD229" s="437"/>
      <c r="BE229" s="437"/>
      <c r="BF229" s="437"/>
      <c r="BG229" s="437"/>
      <c r="BH229" s="437"/>
      <c r="BI229" s="437"/>
      <c r="BJ229" s="437"/>
      <c r="BK229" s="437"/>
      <c r="BL229" s="437"/>
      <c r="BM229" s="1327"/>
      <c r="BN229" s="1327"/>
      <c r="BO229" s="1327"/>
      <c r="BP229" s="1327"/>
      <c r="BQ229" s="1327"/>
      <c r="BR229" s="1327"/>
      <c r="BS229" s="1327"/>
      <c r="BT229" s="1327"/>
      <c r="BU229" s="1327"/>
      <c r="BV229" s="1327"/>
      <c r="BW229" s="1327"/>
      <c r="BX229" s="1327"/>
      <c r="BY229" s="1327"/>
      <c r="BZ229" s="1327"/>
      <c r="CA229" s="1327"/>
      <c r="CB229" s="1327"/>
      <c r="CC229" s="1327"/>
      <c r="CD229" s="1327"/>
      <c r="CE229" s="1327"/>
      <c r="CF229" s="1327"/>
      <c r="CG229" s="1327"/>
      <c r="CH229" s="1327"/>
      <c r="CI229" s="1327"/>
      <c r="CJ229" s="1327"/>
      <c r="CK229" s="1327"/>
      <c r="CL229" s="1327"/>
      <c r="CM229" s="1327"/>
      <c r="CN229" s="1327"/>
      <c r="CO229" s="1327"/>
      <c r="CP229" s="1327"/>
      <c r="CQ229" s="1327"/>
      <c r="CR229" s="1327"/>
      <c r="CS229" s="1327"/>
      <c r="CT229" s="1317"/>
      <c r="CU229" s="1317"/>
      <c r="CV229" s="1317"/>
      <c r="CW229" s="1317"/>
      <c r="CX229" s="1317"/>
      <c r="CY229" s="1317"/>
      <c r="CZ229" s="1317"/>
      <c r="DA229" s="1317"/>
      <c r="DB229" s="1317"/>
      <c r="DC229" s="1317"/>
      <c r="DD229" s="1317"/>
      <c r="DE229" s="1317"/>
      <c r="DF229" s="1317"/>
      <c r="DG229" s="1317"/>
    </row>
    <row r="230" ht="18.75" customHeight="1">
      <c r="G230" s="1344"/>
      <c r="H230" s="1345">
        <f t="shared" si="4"/>
        <v>0</v>
      </c>
      <c r="I230" s="1381"/>
      <c r="J230" s="1381"/>
      <c r="K230" s="1381"/>
      <c r="L230" s="1381"/>
      <c r="M230" s="1381"/>
      <c r="N230" s="1381"/>
      <c r="O230" s="1381"/>
      <c r="P230" s="1381"/>
      <c r="Q230" s="1381"/>
      <c r="R230" s="1381"/>
      <c r="T230" s="1349"/>
      <c r="U230" s="1349" t="s">
        <v>123</v>
      </c>
      <c r="V230" s="1349" t="s">
        <v>123</v>
      </c>
      <c r="W230" s="1349"/>
      <c r="X230" s="1349"/>
      <c r="Y230" s="1308"/>
      <c r="Z230" s="437" t="str">
        <f>IFERROR(__xludf.DUMMYFUNCTION("IF(NOT('portfólio'!$AV$7),"""",IF($T230="""","""",IFERROR(query({AtivosDados},""select sum(""&amp;Z$3&amp;"") where Col1='""&amp;$T230&amp;""' label sum(""&amp;Z$3&amp;"") ''""),0)))"),"")</f>
        <v/>
      </c>
      <c r="AA230" s="437" t="str">
        <f>IFERROR(__xludf.DUMMYFUNCTION("IF(NOT('portfólio'!$AV$7),"""",IF($T230="""","""",IFERROR(query({AtivosDados},""select sum(""&amp;AA$3&amp;"") where Col1='""&amp;$T230&amp;""' label sum(""&amp;AA$3&amp;"") ''""),0)))"),"")</f>
        <v/>
      </c>
      <c r="AB230" s="437" t="str">
        <f>IFERROR(__xludf.DUMMYFUNCTION("IF(NOT('portfólio'!$AV$7),"""",IF($T230="""","""",IFERROR(query({AtivosDados},""select sum(""&amp;AB$3&amp;"") where Col1='""&amp;$T230&amp;""' label sum(""&amp;AB$3&amp;"") ''""),0)))"),"")</f>
        <v/>
      </c>
      <c r="AC230" s="437" t="str">
        <f>IFERROR(__xludf.DUMMYFUNCTION("IF(NOT('portfólio'!$AV$7),"""",IF($T230="""","""",IFERROR(query({AtivosDados},""select sum(""&amp;AC$3&amp;"") where Col1='""&amp;$T230&amp;""' label sum(""&amp;AC$3&amp;"") ''""),0)))"),"")</f>
        <v/>
      </c>
      <c r="AD230" s="437" t="str">
        <f>IFERROR(__xludf.DUMMYFUNCTION("IF(NOT('portfólio'!$AV$7),"""",IF($T230="""","""",IFERROR(query({AtivosDados},""select sum(""&amp;AD$3&amp;"") where Col1='""&amp;$T230&amp;""' label sum(""&amp;AD$3&amp;"") ''""),0)))"),"")</f>
        <v/>
      </c>
      <c r="AE230" s="437"/>
      <c r="AF230" s="1327"/>
      <c r="AG230" s="437"/>
      <c r="AH230" s="437"/>
      <c r="AI230" s="437"/>
      <c r="AJ230" s="437"/>
      <c r="AK230" s="437"/>
      <c r="AL230" s="437"/>
      <c r="AM230" s="437"/>
      <c r="AN230" s="437"/>
      <c r="AO230" s="437"/>
      <c r="AP230" s="437"/>
      <c r="AQ230" s="1327"/>
      <c r="AR230" s="437"/>
      <c r="AS230" s="437"/>
      <c r="AT230" s="437"/>
      <c r="AU230" s="437"/>
      <c r="AV230" s="437"/>
      <c r="AW230" s="437"/>
      <c r="AX230" s="437"/>
      <c r="AY230" s="437"/>
      <c r="AZ230" s="437"/>
      <c r="BA230" s="437"/>
      <c r="BB230" s="1327"/>
      <c r="BC230" s="437"/>
      <c r="BD230" s="437"/>
      <c r="BE230" s="437"/>
      <c r="BF230" s="437"/>
      <c r="BG230" s="437"/>
      <c r="BH230" s="437"/>
      <c r="BI230" s="437"/>
      <c r="BJ230" s="437"/>
      <c r="BK230" s="437"/>
      <c r="BL230" s="437"/>
      <c r="BM230" s="1327"/>
      <c r="BN230" s="1327"/>
      <c r="BO230" s="1327"/>
      <c r="BP230" s="1327"/>
      <c r="BQ230" s="1327"/>
      <c r="BR230" s="1327"/>
      <c r="BS230" s="1327"/>
      <c r="BT230" s="1327"/>
      <c r="BU230" s="1327"/>
      <c r="BV230" s="1327"/>
      <c r="BW230" s="1327"/>
      <c r="BX230" s="1327"/>
      <c r="BY230" s="1327"/>
      <c r="BZ230" s="1327"/>
      <c r="CA230" s="1327"/>
      <c r="CB230" s="1327"/>
      <c r="CC230" s="1327"/>
      <c r="CD230" s="1327"/>
      <c r="CE230" s="1327"/>
      <c r="CF230" s="1327"/>
      <c r="CG230" s="1327"/>
      <c r="CH230" s="1327"/>
      <c r="CI230" s="1327"/>
      <c r="CJ230" s="1327"/>
      <c r="CK230" s="1327"/>
      <c r="CL230" s="1327"/>
      <c r="CM230" s="1327"/>
      <c r="CN230" s="1327"/>
      <c r="CO230" s="1327"/>
      <c r="CP230" s="1327"/>
      <c r="CQ230" s="1327"/>
      <c r="CR230" s="1327"/>
      <c r="CS230" s="1327"/>
      <c r="CT230" s="1317"/>
      <c r="CU230" s="1317"/>
      <c r="CV230" s="1317"/>
      <c r="CW230" s="1317"/>
      <c r="CX230" s="1317"/>
      <c r="CY230" s="1317"/>
      <c r="CZ230" s="1317"/>
      <c r="DA230" s="1317"/>
      <c r="DB230" s="1317"/>
      <c r="DC230" s="1317"/>
      <c r="DD230" s="1317"/>
      <c r="DE230" s="1317"/>
      <c r="DF230" s="1317"/>
      <c r="DG230" s="1317"/>
    </row>
    <row r="231" ht="18.75" customHeight="1">
      <c r="G231" s="1344"/>
      <c r="H231" s="1345">
        <f t="shared" si="4"/>
        <v>0</v>
      </c>
      <c r="I231" s="1381"/>
      <c r="J231" s="1381"/>
      <c r="K231" s="1381"/>
      <c r="L231" s="1381"/>
      <c r="M231" s="1381"/>
      <c r="N231" s="1381"/>
      <c r="O231" s="1381"/>
      <c r="P231" s="1381"/>
      <c r="Q231" s="1381"/>
      <c r="R231" s="1381"/>
      <c r="T231" s="1349"/>
      <c r="U231" s="1349" t="s">
        <v>123</v>
      </c>
      <c r="V231" s="1349" t="s">
        <v>123</v>
      </c>
      <c r="W231" s="1349"/>
      <c r="X231" s="1349"/>
      <c r="Y231" s="1308"/>
      <c r="Z231" s="437" t="str">
        <f>IFERROR(__xludf.DUMMYFUNCTION("IF(NOT('portfólio'!$AV$7),"""",IF($T231="""","""",IFERROR(query({AtivosDados},""select sum(""&amp;Z$3&amp;"") where Col1='""&amp;$T231&amp;""' label sum(""&amp;Z$3&amp;"") ''""),0)))"),"")</f>
        <v/>
      </c>
      <c r="AA231" s="437" t="str">
        <f>IFERROR(__xludf.DUMMYFUNCTION("IF(NOT('portfólio'!$AV$7),"""",IF($T231="""","""",IFERROR(query({AtivosDados},""select sum(""&amp;AA$3&amp;"") where Col1='""&amp;$T231&amp;""' label sum(""&amp;AA$3&amp;"") ''""),0)))"),"")</f>
        <v/>
      </c>
      <c r="AB231" s="437" t="str">
        <f>IFERROR(__xludf.DUMMYFUNCTION("IF(NOT('portfólio'!$AV$7),"""",IF($T231="""","""",IFERROR(query({AtivosDados},""select sum(""&amp;AB$3&amp;"") where Col1='""&amp;$T231&amp;""' label sum(""&amp;AB$3&amp;"") ''""),0)))"),"")</f>
        <v/>
      </c>
      <c r="AC231" s="437" t="str">
        <f>IFERROR(__xludf.DUMMYFUNCTION("IF(NOT('portfólio'!$AV$7),"""",IF($T231="""","""",IFERROR(query({AtivosDados},""select sum(""&amp;AC$3&amp;"") where Col1='""&amp;$T231&amp;""' label sum(""&amp;AC$3&amp;"") ''""),0)))"),"")</f>
        <v/>
      </c>
      <c r="AD231" s="437" t="str">
        <f>IFERROR(__xludf.DUMMYFUNCTION("IF(NOT('portfólio'!$AV$7),"""",IF($T231="""","""",IFERROR(query({AtivosDados},""select sum(""&amp;AD$3&amp;"") where Col1='""&amp;$T231&amp;""' label sum(""&amp;AD$3&amp;"") ''""),0)))"),"")</f>
        <v/>
      </c>
      <c r="AE231" s="437"/>
      <c r="AF231" s="1327"/>
      <c r="AG231" s="437"/>
      <c r="AH231" s="437"/>
      <c r="AI231" s="437"/>
      <c r="AJ231" s="437"/>
      <c r="AK231" s="437"/>
      <c r="AL231" s="437"/>
      <c r="AM231" s="437"/>
      <c r="AN231" s="437"/>
      <c r="AO231" s="437"/>
      <c r="AP231" s="437"/>
      <c r="AQ231" s="1327"/>
      <c r="AR231" s="437"/>
      <c r="AS231" s="437"/>
      <c r="AT231" s="437"/>
      <c r="AU231" s="437"/>
      <c r="AV231" s="437"/>
      <c r="AW231" s="437"/>
      <c r="AX231" s="437"/>
      <c r="AY231" s="437"/>
      <c r="AZ231" s="437"/>
      <c r="BA231" s="437"/>
      <c r="BB231" s="1327"/>
      <c r="BC231" s="437"/>
      <c r="BD231" s="437"/>
      <c r="BE231" s="437"/>
      <c r="BF231" s="437"/>
      <c r="BG231" s="437"/>
      <c r="BH231" s="437"/>
      <c r="BI231" s="437"/>
      <c r="BJ231" s="437"/>
      <c r="BK231" s="437"/>
      <c r="BL231" s="437"/>
      <c r="BM231" s="1327"/>
      <c r="BN231" s="1327"/>
      <c r="BO231" s="1327"/>
      <c r="BP231" s="1327"/>
      <c r="BQ231" s="1327"/>
      <c r="BR231" s="1327"/>
      <c r="BS231" s="1327"/>
      <c r="BT231" s="1327"/>
      <c r="BU231" s="1327"/>
      <c r="BV231" s="1327"/>
      <c r="BW231" s="1327"/>
      <c r="BX231" s="1327"/>
      <c r="BY231" s="1327"/>
      <c r="BZ231" s="1327"/>
      <c r="CA231" s="1327"/>
      <c r="CB231" s="1327"/>
      <c r="CC231" s="1327"/>
      <c r="CD231" s="1327"/>
      <c r="CE231" s="1327"/>
      <c r="CF231" s="1327"/>
      <c r="CG231" s="1327"/>
      <c r="CH231" s="1327"/>
      <c r="CI231" s="1327"/>
      <c r="CJ231" s="1327"/>
      <c r="CK231" s="1327"/>
      <c r="CL231" s="1327"/>
      <c r="CM231" s="1327"/>
      <c r="CN231" s="1327"/>
      <c r="CO231" s="1327"/>
      <c r="CP231" s="1327"/>
      <c r="CQ231" s="1327"/>
      <c r="CR231" s="1327"/>
      <c r="CS231" s="1327"/>
      <c r="CT231" s="1317"/>
      <c r="CU231" s="1317"/>
      <c r="CV231" s="1317"/>
      <c r="CW231" s="1317"/>
      <c r="CX231" s="1317"/>
      <c r="CY231" s="1317"/>
      <c r="CZ231" s="1317"/>
      <c r="DA231" s="1317"/>
      <c r="DB231" s="1317"/>
      <c r="DC231" s="1317"/>
      <c r="DD231" s="1317"/>
      <c r="DE231" s="1317"/>
      <c r="DF231" s="1317"/>
      <c r="DG231" s="1317"/>
    </row>
    <row r="232" ht="18.75" customHeight="1">
      <c r="G232" s="1344"/>
      <c r="H232" s="1345">
        <f t="shared" si="4"/>
        <v>0</v>
      </c>
      <c r="I232" s="1381"/>
      <c r="J232" s="1381"/>
      <c r="K232" s="1381"/>
      <c r="L232" s="1381"/>
      <c r="M232" s="1381"/>
      <c r="N232" s="1381"/>
      <c r="O232" s="1381"/>
      <c r="P232" s="1381"/>
      <c r="Q232" s="1381"/>
      <c r="R232" s="1381"/>
      <c r="T232" s="1349"/>
      <c r="U232" s="1349" t="s">
        <v>123</v>
      </c>
      <c r="V232" s="1349" t="s">
        <v>123</v>
      </c>
      <c r="W232" s="1349"/>
      <c r="X232" s="1349"/>
      <c r="Y232" s="1308"/>
      <c r="Z232" s="437" t="str">
        <f>IFERROR(__xludf.DUMMYFUNCTION("IF(NOT('portfólio'!$AV$7),"""",IF($T232="""","""",IFERROR(query({AtivosDados},""select sum(""&amp;Z$3&amp;"") where Col1='""&amp;$T232&amp;""' label sum(""&amp;Z$3&amp;"") ''""),0)))"),"")</f>
        <v/>
      </c>
      <c r="AA232" s="437" t="str">
        <f>IFERROR(__xludf.DUMMYFUNCTION("IF(NOT('portfólio'!$AV$7),"""",IF($T232="""","""",IFERROR(query({AtivosDados},""select sum(""&amp;AA$3&amp;"") where Col1='""&amp;$T232&amp;""' label sum(""&amp;AA$3&amp;"") ''""),0)))"),"")</f>
        <v/>
      </c>
      <c r="AB232" s="437" t="str">
        <f>IFERROR(__xludf.DUMMYFUNCTION("IF(NOT('portfólio'!$AV$7),"""",IF($T232="""","""",IFERROR(query({AtivosDados},""select sum(""&amp;AB$3&amp;"") where Col1='""&amp;$T232&amp;""' label sum(""&amp;AB$3&amp;"") ''""),0)))"),"")</f>
        <v/>
      </c>
      <c r="AC232" s="437" t="str">
        <f>IFERROR(__xludf.DUMMYFUNCTION("IF(NOT('portfólio'!$AV$7),"""",IF($T232="""","""",IFERROR(query({AtivosDados},""select sum(""&amp;AC$3&amp;"") where Col1='""&amp;$T232&amp;""' label sum(""&amp;AC$3&amp;"") ''""),0)))"),"")</f>
        <v/>
      </c>
      <c r="AD232" s="437" t="str">
        <f>IFERROR(__xludf.DUMMYFUNCTION("IF(NOT('portfólio'!$AV$7),"""",IF($T232="""","""",IFERROR(query({AtivosDados},""select sum(""&amp;AD$3&amp;"") where Col1='""&amp;$T232&amp;""' label sum(""&amp;AD$3&amp;"") ''""),0)))"),"")</f>
        <v/>
      </c>
      <c r="AE232" s="437"/>
      <c r="AF232" s="1327"/>
      <c r="AG232" s="437"/>
      <c r="AH232" s="437"/>
      <c r="AI232" s="437"/>
      <c r="AJ232" s="437"/>
      <c r="AK232" s="437"/>
      <c r="AL232" s="437"/>
      <c r="AM232" s="437"/>
      <c r="AN232" s="437"/>
      <c r="AO232" s="437"/>
      <c r="AP232" s="437"/>
      <c r="AQ232" s="1327"/>
      <c r="AR232" s="437"/>
      <c r="AS232" s="437"/>
      <c r="AT232" s="437"/>
      <c r="AU232" s="437"/>
      <c r="AV232" s="437"/>
      <c r="AW232" s="437"/>
      <c r="AX232" s="437"/>
      <c r="AY232" s="437"/>
      <c r="AZ232" s="437"/>
      <c r="BA232" s="437"/>
      <c r="BB232" s="1327"/>
      <c r="BC232" s="437"/>
      <c r="BD232" s="437"/>
      <c r="BE232" s="437"/>
      <c r="BF232" s="437"/>
      <c r="BG232" s="437"/>
      <c r="BH232" s="437"/>
      <c r="BI232" s="437"/>
      <c r="BJ232" s="437"/>
      <c r="BK232" s="437"/>
      <c r="BL232" s="437"/>
      <c r="BM232" s="1327"/>
      <c r="BN232" s="1327"/>
      <c r="BO232" s="1327"/>
      <c r="BP232" s="1327"/>
      <c r="BQ232" s="1327"/>
      <c r="BR232" s="1327"/>
      <c r="BS232" s="1327"/>
      <c r="BT232" s="1327"/>
      <c r="BU232" s="1327"/>
      <c r="BV232" s="1327"/>
      <c r="BW232" s="1327"/>
      <c r="BX232" s="1327"/>
      <c r="BY232" s="1327"/>
      <c r="BZ232" s="1327"/>
      <c r="CA232" s="1327"/>
      <c r="CB232" s="1327"/>
      <c r="CC232" s="1327"/>
      <c r="CD232" s="1327"/>
      <c r="CE232" s="1327"/>
      <c r="CF232" s="1327"/>
      <c r="CG232" s="1327"/>
      <c r="CH232" s="1327"/>
      <c r="CI232" s="1327"/>
      <c r="CJ232" s="1327"/>
      <c r="CK232" s="1327"/>
      <c r="CL232" s="1327"/>
      <c r="CM232" s="1327"/>
      <c r="CN232" s="1327"/>
      <c r="CO232" s="1327"/>
      <c r="CP232" s="1327"/>
      <c r="CQ232" s="1327"/>
      <c r="CR232" s="1327"/>
      <c r="CS232" s="1327"/>
      <c r="CT232" s="1317"/>
      <c r="CU232" s="1317"/>
      <c r="CV232" s="1317"/>
      <c r="CW232" s="1317"/>
      <c r="CX232" s="1317"/>
      <c r="CY232" s="1317"/>
      <c r="CZ232" s="1317"/>
      <c r="DA232" s="1317"/>
      <c r="DB232" s="1317"/>
      <c r="DC232" s="1317"/>
      <c r="DD232" s="1317"/>
      <c r="DE232" s="1317"/>
      <c r="DF232" s="1317"/>
      <c r="DG232" s="1317"/>
    </row>
    <row r="233" ht="18.75" customHeight="1">
      <c r="G233" s="1344"/>
      <c r="H233" s="1345">
        <f t="shared" si="4"/>
        <v>0</v>
      </c>
      <c r="I233" s="1381"/>
      <c r="J233" s="1381"/>
      <c r="K233" s="1381"/>
      <c r="L233" s="1381"/>
      <c r="M233" s="1381"/>
      <c r="N233" s="1381"/>
      <c r="O233" s="1381"/>
      <c r="P233" s="1381"/>
      <c r="Q233" s="1381"/>
      <c r="R233" s="1381"/>
      <c r="T233" s="1349"/>
      <c r="U233" s="1349" t="s">
        <v>123</v>
      </c>
      <c r="V233" s="1349" t="s">
        <v>123</v>
      </c>
      <c r="W233" s="1349"/>
      <c r="X233" s="1349"/>
      <c r="Y233" s="1308"/>
      <c r="Z233" s="437" t="str">
        <f>IFERROR(__xludf.DUMMYFUNCTION("IF(NOT('portfólio'!$AV$7),"""",IF($T233="""","""",IFERROR(query({AtivosDados},""select sum(""&amp;Z$3&amp;"") where Col1='""&amp;$T233&amp;""' label sum(""&amp;Z$3&amp;"") ''""),0)))"),"")</f>
        <v/>
      </c>
      <c r="AA233" s="437" t="str">
        <f>IFERROR(__xludf.DUMMYFUNCTION("IF(NOT('portfólio'!$AV$7),"""",IF($T233="""","""",IFERROR(query({AtivosDados},""select sum(""&amp;AA$3&amp;"") where Col1='""&amp;$T233&amp;""' label sum(""&amp;AA$3&amp;"") ''""),0)))"),"")</f>
        <v/>
      </c>
      <c r="AB233" s="437" t="str">
        <f>IFERROR(__xludf.DUMMYFUNCTION("IF(NOT('portfólio'!$AV$7),"""",IF($T233="""","""",IFERROR(query({AtivosDados},""select sum(""&amp;AB$3&amp;"") where Col1='""&amp;$T233&amp;""' label sum(""&amp;AB$3&amp;"") ''""),0)))"),"")</f>
        <v/>
      </c>
      <c r="AC233" s="437" t="str">
        <f>IFERROR(__xludf.DUMMYFUNCTION("IF(NOT('portfólio'!$AV$7),"""",IF($T233="""","""",IFERROR(query({AtivosDados},""select sum(""&amp;AC$3&amp;"") where Col1='""&amp;$T233&amp;""' label sum(""&amp;AC$3&amp;"") ''""),0)))"),"")</f>
        <v/>
      </c>
      <c r="AD233" s="437" t="str">
        <f>IFERROR(__xludf.DUMMYFUNCTION("IF(NOT('portfólio'!$AV$7),"""",IF($T233="""","""",IFERROR(query({AtivosDados},""select sum(""&amp;AD$3&amp;"") where Col1='""&amp;$T233&amp;""' label sum(""&amp;AD$3&amp;"") ''""),0)))"),"")</f>
        <v/>
      </c>
      <c r="AE233" s="437"/>
      <c r="AF233" s="1327"/>
      <c r="AG233" s="437"/>
      <c r="AH233" s="437"/>
      <c r="AI233" s="437"/>
      <c r="AJ233" s="437"/>
      <c r="AK233" s="437"/>
      <c r="AL233" s="437"/>
      <c r="AM233" s="437"/>
      <c r="AN233" s="437"/>
      <c r="AO233" s="437"/>
      <c r="AP233" s="437"/>
      <c r="AQ233" s="1327"/>
      <c r="AR233" s="437"/>
      <c r="AS233" s="437"/>
      <c r="AT233" s="437"/>
      <c r="AU233" s="437"/>
      <c r="AV233" s="437"/>
      <c r="AW233" s="437"/>
      <c r="AX233" s="437"/>
      <c r="AY233" s="437"/>
      <c r="AZ233" s="437"/>
      <c r="BA233" s="437"/>
      <c r="BB233" s="1327"/>
      <c r="BC233" s="437"/>
      <c r="BD233" s="437"/>
      <c r="BE233" s="437"/>
      <c r="BF233" s="437"/>
      <c r="BG233" s="437"/>
      <c r="BH233" s="437"/>
      <c r="BI233" s="437"/>
      <c r="BJ233" s="437"/>
      <c r="BK233" s="437"/>
      <c r="BL233" s="437"/>
      <c r="BM233" s="1327"/>
      <c r="BN233" s="1327"/>
      <c r="BO233" s="1327"/>
      <c r="BP233" s="1327"/>
      <c r="BQ233" s="1327"/>
      <c r="BR233" s="1327"/>
      <c r="BS233" s="1327"/>
      <c r="BT233" s="1327"/>
      <c r="BU233" s="1327"/>
      <c r="BV233" s="1327"/>
      <c r="BW233" s="1327"/>
      <c r="BX233" s="1327"/>
      <c r="BY233" s="1327"/>
      <c r="BZ233" s="1327"/>
      <c r="CA233" s="1327"/>
      <c r="CB233" s="1327"/>
      <c r="CC233" s="1327"/>
      <c r="CD233" s="1327"/>
      <c r="CE233" s="1327"/>
      <c r="CF233" s="1327"/>
      <c r="CG233" s="1327"/>
      <c r="CH233" s="1327"/>
      <c r="CI233" s="1327"/>
      <c r="CJ233" s="1327"/>
      <c r="CK233" s="1327"/>
      <c r="CL233" s="1327"/>
      <c r="CM233" s="1327"/>
      <c r="CN233" s="1327"/>
      <c r="CO233" s="1327"/>
      <c r="CP233" s="1327"/>
      <c r="CQ233" s="1327"/>
      <c r="CR233" s="1327"/>
      <c r="CS233" s="1327"/>
      <c r="CT233" s="1317"/>
      <c r="CU233" s="1317"/>
      <c r="CV233" s="1317"/>
      <c r="CW233" s="1317"/>
      <c r="CX233" s="1317"/>
      <c r="CY233" s="1317"/>
      <c r="CZ233" s="1317"/>
      <c r="DA233" s="1317"/>
      <c r="DB233" s="1317"/>
      <c r="DC233" s="1317"/>
      <c r="DD233" s="1317"/>
      <c r="DE233" s="1317"/>
      <c r="DF233" s="1317"/>
      <c r="DG233" s="1317"/>
    </row>
    <row r="234" ht="18.75" customHeight="1">
      <c r="G234" s="1344"/>
      <c r="H234" s="1345">
        <f t="shared" si="4"/>
        <v>0</v>
      </c>
      <c r="I234" s="1381"/>
      <c r="J234" s="1381"/>
      <c r="K234" s="1381"/>
      <c r="L234" s="1381"/>
      <c r="M234" s="1381"/>
      <c r="N234" s="1381"/>
      <c r="O234" s="1381"/>
      <c r="P234" s="1381"/>
      <c r="Q234" s="1381"/>
      <c r="R234" s="1381"/>
      <c r="T234" s="1349"/>
      <c r="U234" s="1349" t="s">
        <v>123</v>
      </c>
      <c r="V234" s="1349" t="s">
        <v>123</v>
      </c>
      <c r="W234" s="1349"/>
      <c r="X234" s="1349"/>
      <c r="Y234" s="1308"/>
      <c r="Z234" s="437" t="str">
        <f>IFERROR(__xludf.DUMMYFUNCTION("IF(NOT('portfólio'!$AV$7),"""",IF($T234="""","""",IFERROR(query({AtivosDados},""select sum(""&amp;Z$3&amp;"") where Col1='""&amp;$T234&amp;""' label sum(""&amp;Z$3&amp;"") ''""),0)))"),"")</f>
        <v/>
      </c>
      <c r="AA234" s="437" t="str">
        <f>IFERROR(__xludf.DUMMYFUNCTION("IF(NOT('portfólio'!$AV$7),"""",IF($T234="""","""",IFERROR(query({AtivosDados},""select sum(""&amp;AA$3&amp;"") where Col1='""&amp;$T234&amp;""' label sum(""&amp;AA$3&amp;"") ''""),0)))"),"")</f>
        <v/>
      </c>
      <c r="AB234" s="437" t="str">
        <f>IFERROR(__xludf.DUMMYFUNCTION("IF(NOT('portfólio'!$AV$7),"""",IF($T234="""","""",IFERROR(query({AtivosDados},""select sum(""&amp;AB$3&amp;"") where Col1='""&amp;$T234&amp;""' label sum(""&amp;AB$3&amp;"") ''""),0)))"),"")</f>
        <v/>
      </c>
      <c r="AC234" s="437" t="str">
        <f>IFERROR(__xludf.DUMMYFUNCTION("IF(NOT('portfólio'!$AV$7),"""",IF($T234="""","""",IFERROR(query({AtivosDados},""select sum(""&amp;AC$3&amp;"") where Col1='""&amp;$T234&amp;""' label sum(""&amp;AC$3&amp;"") ''""),0)))"),"")</f>
        <v/>
      </c>
      <c r="AD234" s="437" t="str">
        <f>IFERROR(__xludf.DUMMYFUNCTION("IF(NOT('portfólio'!$AV$7),"""",IF($T234="""","""",IFERROR(query({AtivosDados},""select sum(""&amp;AD$3&amp;"") where Col1='""&amp;$T234&amp;""' label sum(""&amp;AD$3&amp;"") ''""),0)))"),"")</f>
        <v/>
      </c>
      <c r="AE234" s="437"/>
      <c r="AF234" s="1327"/>
      <c r="AG234" s="437"/>
      <c r="AH234" s="437"/>
      <c r="AI234" s="437"/>
      <c r="AJ234" s="437"/>
      <c r="AK234" s="437"/>
      <c r="AL234" s="437"/>
      <c r="AM234" s="437"/>
      <c r="AN234" s="437"/>
      <c r="AO234" s="437"/>
      <c r="AP234" s="437"/>
      <c r="AQ234" s="1327"/>
      <c r="AR234" s="437"/>
      <c r="AS234" s="437"/>
      <c r="AT234" s="437"/>
      <c r="AU234" s="437"/>
      <c r="AV234" s="437"/>
      <c r="AW234" s="437"/>
      <c r="AX234" s="437"/>
      <c r="AY234" s="437"/>
      <c r="AZ234" s="437"/>
      <c r="BA234" s="437"/>
      <c r="BB234" s="1327"/>
      <c r="BC234" s="437"/>
      <c r="BD234" s="437"/>
      <c r="BE234" s="437"/>
      <c r="BF234" s="437"/>
      <c r="BG234" s="437"/>
      <c r="BH234" s="437"/>
      <c r="BI234" s="437"/>
      <c r="BJ234" s="437"/>
      <c r="BK234" s="437"/>
      <c r="BL234" s="437"/>
      <c r="BM234" s="1327"/>
      <c r="BN234" s="1327"/>
      <c r="BO234" s="1327"/>
      <c r="BP234" s="1327"/>
      <c r="BQ234" s="1327"/>
      <c r="BR234" s="1327"/>
      <c r="BS234" s="1327"/>
      <c r="BT234" s="1327"/>
      <c r="BU234" s="1327"/>
      <c r="BV234" s="1327"/>
      <c r="BW234" s="1327"/>
      <c r="BX234" s="1327"/>
      <c r="BY234" s="1327"/>
      <c r="BZ234" s="1327"/>
      <c r="CA234" s="1327"/>
      <c r="CB234" s="1327"/>
      <c r="CC234" s="1327"/>
      <c r="CD234" s="1327"/>
      <c r="CE234" s="1327"/>
      <c r="CF234" s="1327"/>
      <c r="CG234" s="1327"/>
      <c r="CH234" s="1327"/>
      <c r="CI234" s="1327"/>
      <c r="CJ234" s="1327"/>
      <c r="CK234" s="1327"/>
      <c r="CL234" s="1327"/>
      <c r="CM234" s="1327"/>
      <c r="CN234" s="1327"/>
      <c r="CO234" s="1327"/>
      <c r="CP234" s="1327"/>
      <c r="CQ234" s="1327"/>
      <c r="CR234" s="1327"/>
      <c r="CS234" s="1327"/>
      <c r="CT234" s="1317"/>
      <c r="CU234" s="1317"/>
      <c r="CV234" s="1317"/>
      <c r="CW234" s="1317"/>
      <c r="CX234" s="1317"/>
      <c r="CY234" s="1317"/>
      <c r="CZ234" s="1317"/>
      <c r="DA234" s="1317"/>
      <c r="DB234" s="1317"/>
      <c r="DC234" s="1317"/>
      <c r="DD234" s="1317"/>
      <c r="DE234" s="1317"/>
      <c r="DF234" s="1317"/>
      <c r="DG234" s="1317"/>
    </row>
    <row r="235" ht="18.75" customHeight="1">
      <c r="G235" s="1344"/>
      <c r="H235" s="1345">
        <f t="shared" si="4"/>
        <v>0</v>
      </c>
      <c r="I235" s="1381"/>
      <c r="J235" s="1381"/>
      <c r="K235" s="1381"/>
      <c r="L235" s="1381"/>
      <c r="M235" s="1381"/>
      <c r="N235" s="1381"/>
      <c r="O235" s="1381"/>
      <c r="P235" s="1381"/>
      <c r="Q235" s="1381"/>
      <c r="R235" s="1381"/>
      <c r="T235" s="1349"/>
      <c r="U235" s="1349" t="s">
        <v>123</v>
      </c>
      <c r="V235" s="1349" t="s">
        <v>123</v>
      </c>
      <c r="W235" s="1349"/>
      <c r="X235" s="1349"/>
      <c r="Y235" s="1308"/>
      <c r="Z235" s="437" t="str">
        <f>IFERROR(__xludf.DUMMYFUNCTION("IF(NOT('portfólio'!$AV$7),"""",IF($T235="""","""",IFERROR(query({AtivosDados},""select sum(""&amp;Z$3&amp;"") where Col1='""&amp;$T235&amp;""' label sum(""&amp;Z$3&amp;"") ''""),0)))"),"")</f>
        <v/>
      </c>
      <c r="AA235" s="437" t="str">
        <f>IFERROR(__xludf.DUMMYFUNCTION("IF(NOT('portfólio'!$AV$7),"""",IF($T235="""","""",IFERROR(query({AtivosDados},""select sum(""&amp;AA$3&amp;"") where Col1='""&amp;$T235&amp;""' label sum(""&amp;AA$3&amp;"") ''""),0)))"),"")</f>
        <v/>
      </c>
      <c r="AB235" s="437" t="str">
        <f>IFERROR(__xludf.DUMMYFUNCTION("IF(NOT('portfólio'!$AV$7),"""",IF($T235="""","""",IFERROR(query({AtivosDados},""select sum(""&amp;AB$3&amp;"") where Col1='""&amp;$T235&amp;""' label sum(""&amp;AB$3&amp;"") ''""),0)))"),"")</f>
        <v/>
      </c>
      <c r="AC235" s="437" t="str">
        <f>IFERROR(__xludf.DUMMYFUNCTION("IF(NOT('portfólio'!$AV$7),"""",IF($T235="""","""",IFERROR(query({AtivosDados},""select sum(""&amp;AC$3&amp;"") where Col1='""&amp;$T235&amp;""' label sum(""&amp;AC$3&amp;"") ''""),0)))"),"")</f>
        <v/>
      </c>
      <c r="AD235" s="437" t="str">
        <f>IFERROR(__xludf.DUMMYFUNCTION("IF(NOT('portfólio'!$AV$7),"""",IF($T235="""","""",IFERROR(query({AtivosDados},""select sum(""&amp;AD$3&amp;"") where Col1='""&amp;$T235&amp;""' label sum(""&amp;AD$3&amp;"") ''""),0)))"),"")</f>
        <v/>
      </c>
      <c r="AE235" s="437"/>
      <c r="AF235" s="1327"/>
      <c r="AG235" s="437"/>
      <c r="AH235" s="437"/>
      <c r="AI235" s="437"/>
      <c r="AJ235" s="437"/>
      <c r="AK235" s="437"/>
      <c r="AL235" s="437"/>
      <c r="AM235" s="437"/>
      <c r="AN235" s="437"/>
      <c r="AO235" s="437"/>
      <c r="AP235" s="437"/>
      <c r="AQ235" s="1327"/>
      <c r="AR235" s="437"/>
      <c r="AS235" s="437"/>
      <c r="AT235" s="437"/>
      <c r="AU235" s="437"/>
      <c r="AV235" s="437"/>
      <c r="AW235" s="437"/>
      <c r="AX235" s="437"/>
      <c r="AY235" s="437"/>
      <c r="AZ235" s="437"/>
      <c r="BA235" s="437"/>
      <c r="BB235" s="1327"/>
      <c r="BC235" s="437"/>
      <c r="BD235" s="437"/>
      <c r="BE235" s="437"/>
      <c r="BF235" s="437"/>
      <c r="BG235" s="437"/>
      <c r="BH235" s="437"/>
      <c r="BI235" s="437"/>
      <c r="BJ235" s="437"/>
      <c r="BK235" s="437"/>
      <c r="BL235" s="437"/>
      <c r="BM235" s="1327"/>
      <c r="BN235" s="1327"/>
      <c r="BO235" s="1327"/>
      <c r="BP235" s="1327"/>
      <c r="BQ235" s="1327"/>
      <c r="BR235" s="1327"/>
      <c r="BS235" s="1327"/>
      <c r="BT235" s="1327"/>
      <c r="BU235" s="1327"/>
      <c r="BV235" s="1327"/>
      <c r="BW235" s="1327"/>
      <c r="BX235" s="1327"/>
      <c r="BY235" s="1327"/>
      <c r="BZ235" s="1327"/>
      <c r="CA235" s="1327"/>
      <c r="CB235" s="1327"/>
      <c r="CC235" s="1327"/>
      <c r="CD235" s="1327"/>
      <c r="CE235" s="1327"/>
      <c r="CF235" s="1327"/>
      <c r="CG235" s="1327"/>
      <c r="CH235" s="1327"/>
      <c r="CI235" s="1327"/>
      <c r="CJ235" s="1327"/>
      <c r="CK235" s="1327"/>
      <c r="CL235" s="1327"/>
      <c r="CM235" s="1327"/>
      <c r="CN235" s="1327"/>
      <c r="CO235" s="1327"/>
      <c r="CP235" s="1327"/>
      <c r="CQ235" s="1327"/>
      <c r="CR235" s="1327"/>
      <c r="CS235" s="1327"/>
      <c r="CT235" s="1317"/>
      <c r="CU235" s="1317"/>
      <c r="CV235" s="1317"/>
      <c r="CW235" s="1317"/>
      <c r="CX235" s="1317"/>
      <c r="CY235" s="1317"/>
      <c r="CZ235" s="1317"/>
      <c r="DA235" s="1317"/>
      <c r="DB235" s="1317"/>
      <c r="DC235" s="1317"/>
      <c r="DD235" s="1317"/>
      <c r="DE235" s="1317"/>
      <c r="DF235" s="1317"/>
      <c r="DG235" s="1317"/>
    </row>
    <row r="236" ht="18.75" customHeight="1">
      <c r="G236" s="1344"/>
      <c r="H236" s="1345">
        <f t="shared" si="4"/>
        <v>0</v>
      </c>
      <c r="I236" s="1381"/>
      <c r="J236" s="1381"/>
      <c r="K236" s="1381"/>
      <c r="L236" s="1381"/>
      <c r="M236" s="1381"/>
      <c r="N236" s="1381"/>
      <c r="O236" s="1381"/>
      <c r="P236" s="1381"/>
      <c r="Q236" s="1381"/>
      <c r="R236" s="1381"/>
      <c r="T236" s="1349"/>
      <c r="U236" s="1349" t="s">
        <v>123</v>
      </c>
      <c r="V236" s="1349" t="s">
        <v>123</v>
      </c>
      <c r="W236" s="1349"/>
      <c r="X236" s="1349"/>
      <c r="Y236" s="1308"/>
      <c r="Z236" s="437" t="str">
        <f>IFERROR(__xludf.DUMMYFUNCTION("IF(NOT('portfólio'!$AV$7),"""",IF($T236="""","""",IFERROR(query({AtivosDados},""select sum(""&amp;Z$3&amp;"") where Col1='""&amp;$T236&amp;""' label sum(""&amp;Z$3&amp;"") ''""),0)))"),"")</f>
        <v/>
      </c>
      <c r="AA236" s="437" t="str">
        <f>IFERROR(__xludf.DUMMYFUNCTION("IF(NOT('portfólio'!$AV$7),"""",IF($T236="""","""",IFERROR(query({AtivosDados},""select sum(""&amp;AA$3&amp;"") where Col1='""&amp;$T236&amp;""' label sum(""&amp;AA$3&amp;"") ''""),0)))"),"")</f>
        <v/>
      </c>
      <c r="AB236" s="437" t="str">
        <f>IFERROR(__xludf.DUMMYFUNCTION("IF(NOT('portfólio'!$AV$7),"""",IF($T236="""","""",IFERROR(query({AtivosDados},""select sum(""&amp;AB$3&amp;"") where Col1='""&amp;$T236&amp;""' label sum(""&amp;AB$3&amp;"") ''""),0)))"),"")</f>
        <v/>
      </c>
      <c r="AC236" s="437" t="str">
        <f>IFERROR(__xludf.DUMMYFUNCTION("IF(NOT('portfólio'!$AV$7),"""",IF($T236="""","""",IFERROR(query({AtivosDados},""select sum(""&amp;AC$3&amp;"") where Col1='""&amp;$T236&amp;""' label sum(""&amp;AC$3&amp;"") ''""),0)))"),"")</f>
        <v/>
      </c>
      <c r="AD236" s="437" t="str">
        <f>IFERROR(__xludf.DUMMYFUNCTION("IF(NOT('portfólio'!$AV$7),"""",IF($T236="""","""",IFERROR(query({AtivosDados},""select sum(""&amp;AD$3&amp;"") where Col1='""&amp;$T236&amp;""' label sum(""&amp;AD$3&amp;"") ''""),0)))"),"")</f>
        <v/>
      </c>
      <c r="AE236" s="437"/>
      <c r="AF236" s="1327"/>
      <c r="AG236" s="437"/>
      <c r="AH236" s="437"/>
      <c r="AI236" s="437"/>
      <c r="AJ236" s="437"/>
      <c r="AK236" s="437"/>
      <c r="AL236" s="437"/>
      <c r="AM236" s="437"/>
      <c r="AN236" s="437"/>
      <c r="AO236" s="437"/>
      <c r="AP236" s="437"/>
      <c r="AQ236" s="1327"/>
      <c r="AR236" s="437"/>
      <c r="AS236" s="437"/>
      <c r="AT236" s="437"/>
      <c r="AU236" s="437"/>
      <c r="AV236" s="437"/>
      <c r="AW236" s="437"/>
      <c r="AX236" s="437"/>
      <c r="AY236" s="437"/>
      <c r="AZ236" s="437"/>
      <c r="BA236" s="437"/>
      <c r="BB236" s="1327"/>
      <c r="BC236" s="437"/>
      <c r="BD236" s="437"/>
      <c r="BE236" s="437"/>
      <c r="BF236" s="437"/>
      <c r="BG236" s="437"/>
      <c r="BH236" s="437"/>
      <c r="BI236" s="437"/>
      <c r="BJ236" s="437"/>
      <c r="BK236" s="437"/>
      <c r="BL236" s="437"/>
      <c r="BM236" s="1327"/>
      <c r="BN236" s="1327"/>
      <c r="BO236" s="1327"/>
      <c r="BP236" s="1327"/>
      <c r="BQ236" s="1327"/>
      <c r="BR236" s="1327"/>
      <c r="BS236" s="1327"/>
      <c r="BT236" s="1327"/>
      <c r="BU236" s="1327"/>
      <c r="BV236" s="1327"/>
      <c r="BW236" s="1327"/>
      <c r="BX236" s="1327"/>
      <c r="BY236" s="1327"/>
      <c r="BZ236" s="1327"/>
      <c r="CA236" s="1327"/>
      <c r="CB236" s="1327"/>
      <c r="CC236" s="1327"/>
      <c r="CD236" s="1327"/>
      <c r="CE236" s="1327"/>
      <c r="CF236" s="1327"/>
      <c r="CG236" s="1327"/>
      <c r="CH236" s="1327"/>
      <c r="CI236" s="1327"/>
      <c r="CJ236" s="1327"/>
      <c r="CK236" s="1327"/>
      <c r="CL236" s="1327"/>
      <c r="CM236" s="1327"/>
      <c r="CN236" s="1327"/>
      <c r="CO236" s="1327"/>
      <c r="CP236" s="1327"/>
      <c r="CQ236" s="1327"/>
      <c r="CR236" s="1327"/>
      <c r="CS236" s="1327"/>
      <c r="CT236" s="1317"/>
      <c r="CU236" s="1317"/>
      <c r="CV236" s="1317"/>
      <c r="CW236" s="1317"/>
      <c r="CX236" s="1317"/>
      <c r="CY236" s="1317"/>
      <c r="CZ236" s="1317"/>
      <c r="DA236" s="1317"/>
      <c r="DB236" s="1317"/>
      <c r="DC236" s="1317"/>
      <c r="DD236" s="1317"/>
      <c r="DE236" s="1317"/>
      <c r="DF236" s="1317"/>
      <c r="DG236" s="1317"/>
    </row>
    <row r="237" ht="18.75" customHeight="1">
      <c r="G237" s="1344"/>
      <c r="H237" s="1345">
        <f t="shared" si="4"/>
        <v>0</v>
      </c>
      <c r="I237" s="1381"/>
      <c r="J237" s="1381"/>
      <c r="K237" s="1381"/>
      <c r="L237" s="1381"/>
      <c r="M237" s="1381"/>
      <c r="N237" s="1381"/>
      <c r="O237" s="1381"/>
      <c r="P237" s="1381"/>
      <c r="Q237" s="1381"/>
      <c r="R237" s="1381"/>
      <c r="T237" s="1349"/>
      <c r="U237" s="1349" t="s">
        <v>123</v>
      </c>
      <c r="V237" s="1349" t="s">
        <v>123</v>
      </c>
      <c r="W237" s="1349"/>
      <c r="X237" s="1349"/>
      <c r="Y237" s="1308"/>
      <c r="Z237" s="437" t="str">
        <f>IFERROR(__xludf.DUMMYFUNCTION("IF(NOT('portfólio'!$AV$7),"""",IF($T237="""","""",IFERROR(query({AtivosDados},""select sum(""&amp;Z$3&amp;"") where Col1='""&amp;$T237&amp;""' label sum(""&amp;Z$3&amp;"") ''""),0)))"),"")</f>
        <v/>
      </c>
      <c r="AA237" s="437" t="str">
        <f>IFERROR(__xludf.DUMMYFUNCTION("IF(NOT('portfólio'!$AV$7),"""",IF($T237="""","""",IFERROR(query({AtivosDados},""select sum(""&amp;AA$3&amp;"") where Col1='""&amp;$T237&amp;""' label sum(""&amp;AA$3&amp;"") ''""),0)))"),"")</f>
        <v/>
      </c>
      <c r="AB237" s="437" t="str">
        <f>IFERROR(__xludf.DUMMYFUNCTION("IF(NOT('portfólio'!$AV$7),"""",IF($T237="""","""",IFERROR(query({AtivosDados},""select sum(""&amp;AB$3&amp;"") where Col1='""&amp;$T237&amp;""' label sum(""&amp;AB$3&amp;"") ''""),0)))"),"")</f>
        <v/>
      </c>
      <c r="AC237" s="437" t="str">
        <f>IFERROR(__xludf.DUMMYFUNCTION("IF(NOT('portfólio'!$AV$7),"""",IF($T237="""","""",IFERROR(query({AtivosDados},""select sum(""&amp;AC$3&amp;"") where Col1='""&amp;$T237&amp;""' label sum(""&amp;AC$3&amp;"") ''""),0)))"),"")</f>
        <v/>
      </c>
      <c r="AD237" s="437" t="str">
        <f>IFERROR(__xludf.DUMMYFUNCTION("IF(NOT('portfólio'!$AV$7),"""",IF($T237="""","""",IFERROR(query({AtivosDados},""select sum(""&amp;AD$3&amp;"") where Col1='""&amp;$T237&amp;""' label sum(""&amp;AD$3&amp;"") ''""),0)))"),"")</f>
        <v/>
      </c>
      <c r="AE237" s="437"/>
      <c r="AF237" s="1327"/>
      <c r="AG237" s="437"/>
      <c r="AH237" s="437"/>
      <c r="AI237" s="437"/>
      <c r="AJ237" s="437"/>
      <c r="AK237" s="437"/>
      <c r="AL237" s="437"/>
      <c r="AM237" s="437"/>
      <c r="AN237" s="437"/>
      <c r="AO237" s="437"/>
      <c r="AP237" s="437"/>
      <c r="AQ237" s="1327"/>
      <c r="AR237" s="437"/>
      <c r="AS237" s="437"/>
      <c r="AT237" s="437"/>
      <c r="AU237" s="437"/>
      <c r="AV237" s="437"/>
      <c r="AW237" s="437"/>
      <c r="AX237" s="437"/>
      <c r="AY237" s="437"/>
      <c r="AZ237" s="437"/>
      <c r="BA237" s="437"/>
      <c r="BB237" s="1327"/>
      <c r="BC237" s="437"/>
      <c r="BD237" s="437"/>
      <c r="BE237" s="437"/>
      <c r="BF237" s="437"/>
      <c r="BG237" s="437"/>
      <c r="BH237" s="437"/>
      <c r="BI237" s="437"/>
      <c r="BJ237" s="437"/>
      <c r="BK237" s="437"/>
      <c r="BL237" s="437"/>
      <c r="BM237" s="1327"/>
      <c r="BN237" s="1327"/>
      <c r="BO237" s="1327"/>
      <c r="BP237" s="1327"/>
      <c r="BQ237" s="1327"/>
      <c r="BR237" s="1327"/>
      <c r="BS237" s="1327"/>
      <c r="BT237" s="1327"/>
      <c r="BU237" s="1327"/>
      <c r="BV237" s="1327"/>
      <c r="BW237" s="1327"/>
      <c r="BX237" s="1327"/>
      <c r="BY237" s="1327"/>
      <c r="BZ237" s="1327"/>
      <c r="CA237" s="1327"/>
      <c r="CB237" s="1327"/>
      <c r="CC237" s="1327"/>
      <c r="CD237" s="1327"/>
      <c r="CE237" s="1327"/>
      <c r="CF237" s="1327"/>
      <c r="CG237" s="1327"/>
      <c r="CH237" s="1327"/>
      <c r="CI237" s="1327"/>
      <c r="CJ237" s="1327"/>
      <c r="CK237" s="1327"/>
      <c r="CL237" s="1327"/>
      <c r="CM237" s="1327"/>
      <c r="CN237" s="1327"/>
      <c r="CO237" s="1327"/>
      <c r="CP237" s="1327"/>
      <c r="CQ237" s="1327"/>
      <c r="CR237" s="1327"/>
      <c r="CS237" s="1327"/>
      <c r="CT237" s="1317"/>
      <c r="CU237" s="1317"/>
      <c r="CV237" s="1317"/>
      <c r="CW237" s="1317"/>
      <c r="CX237" s="1317"/>
      <c r="CY237" s="1317"/>
      <c r="CZ237" s="1317"/>
      <c r="DA237" s="1317"/>
      <c r="DB237" s="1317"/>
      <c r="DC237" s="1317"/>
      <c r="DD237" s="1317"/>
      <c r="DE237" s="1317"/>
      <c r="DF237" s="1317"/>
      <c r="DG237" s="1317"/>
    </row>
    <row r="238" ht="18.75" customHeight="1">
      <c r="G238" s="1344"/>
      <c r="H238" s="1345">
        <f t="shared" si="4"/>
        <v>0</v>
      </c>
      <c r="I238" s="1381"/>
      <c r="J238" s="1381"/>
      <c r="K238" s="1381"/>
      <c r="L238" s="1381"/>
      <c r="M238" s="1381"/>
      <c r="N238" s="1381"/>
      <c r="O238" s="1381"/>
      <c r="P238" s="1381"/>
      <c r="Q238" s="1381"/>
      <c r="R238" s="1381"/>
      <c r="T238" s="1349"/>
      <c r="U238" s="1349" t="s">
        <v>123</v>
      </c>
      <c r="V238" s="1349" t="s">
        <v>123</v>
      </c>
      <c r="W238" s="1349"/>
      <c r="X238" s="1349"/>
      <c r="Y238" s="1308"/>
      <c r="Z238" s="437" t="str">
        <f>IFERROR(__xludf.DUMMYFUNCTION("IF(NOT('portfólio'!$AV$7),"""",IF($T238="""","""",IFERROR(query({AtivosDados},""select sum(""&amp;Z$3&amp;"") where Col1='""&amp;$T238&amp;""' label sum(""&amp;Z$3&amp;"") ''""),0)))"),"")</f>
        <v/>
      </c>
      <c r="AA238" s="437" t="str">
        <f>IFERROR(__xludf.DUMMYFUNCTION("IF(NOT('portfólio'!$AV$7),"""",IF($T238="""","""",IFERROR(query({AtivosDados},""select sum(""&amp;AA$3&amp;"") where Col1='""&amp;$T238&amp;""' label sum(""&amp;AA$3&amp;"") ''""),0)))"),"")</f>
        <v/>
      </c>
      <c r="AB238" s="437" t="str">
        <f>IFERROR(__xludf.DUMMYFUNCTION("IF(NOT('portfólio'!$AV$7),"""",IF($T238="""","""",IFERROR(query({AtivosDados},""select sum(""&amp;AB$3&amp;"") where Col1='""&amp;$T238&amp;""' label sum(""&amp;AB$3&amp;"") ''""),0)))"),"")</f>
        <v/>
      </c>
      <c r="AC238" s="437" t="str">
        <f>IFERROR(__xludf.DUMMYFUNCTION("IF(NOT('portfólio'!$AV$7),"""",IF($T238="""","""",IFERROR(query({AtivosDados},""select sum(""&amp;AC$3&amp;"") where Col1='""&amp;$T238&amp;""' label sum(""&amp;AC$3&amp;"") ''""),0)))"),"")</f>
        <v/>
      </c>
      <c r="AD238" s="437" t="str">
        <f>IFERROR(__xludf.DUMMYFUNCTION("IF(NOT('portfólio'!$AV$7),"""",IF($T238="""","""",IFERROR(query({AtivosDados},""select sum(""&amp;AD$3&amp;"") where Col1='""&amp;$T238&amp;""' label sum(""&amp;AD$3&amp;"") ''""),0)))"),"")</f>
        <v/>
      </c>
      <c r="AE238" s="437"/>
      <c r="AF238" s="1327"/>
      <c r="AG238" s="437"/>
      <c r="AH238" s="437"/>
      <c r="AI238" s="437"/>
      <c r="AJ238" s="437"/>
      <c r="AK238" s="437"/>
      <c r="AL238" s="437"/>
      <c r="AM238" s="437"/>
      <c r="AN238" s="437"/>
      <c r="AO238" s="437"/>
      <c r="AP238" s="437"/>
      <c r="AQ238" s="1327"/>
      <c r="AR238" s="437"/>
      <c r="AS238" s="437"/>
      <c r="AT238" s="437"/>
      <c r="AU238" s="437"/>
      <c r="AV238" s="437"/>
      <c r="AW238" s="437"/>
      <c r="AX238" s="437"/>
      <c r="AY238" s="437"/>
      <c r="AZ238" s="437"/>
      <c r="BA238" s="437"/>
      <c r="BB238" s="1327"/>
      <c r="BC238" s="437"/>
      <c r="BD238" s="437"/>
      <c r="BE238" s="437"/>
      <c r="BF238" s="437"/>
      <c r="BG238" s="437"/>
      <c r="BH238" s="437"/>
      <c r="BI238" s="437"/>
      <c r="BJ238" s="437"/>
      <c r="BK238" s="437"/>
      <c r="BL238" s="437"/>
      <c r="BM238" s="1327"/>
      <c r="BN238" s="1327"/>
      <c r="BO238" s="1327"/>
      <c r="BP238" s="1327"/>
      <c r="BQ238" s="1327"/>
      <c r="BR238" s="1327"/>
      <c r="BS238" s="1327"/>
      <c r="BT238" s="1327"/>
      <c r="BU238" s="1327"/>
      <c r="BV238" s="1327"/>
      <c r="BW238" s="1327"/>
      <c r="BX238" s="1327"/>
      <c r="BY238" s="1327"/>
      <c r="BZ238" s="1327"/>
      <c r="CA238" s="1327"/>
      <c r="CB238" s="1327"/>
      <c r="CC238" s="1327"/>
      <c r="CD238" s="1327"/>
      <c r="CE238" s="1327"/>
      <c r="CF238" s="1327"/>
      <c r="CG238" s="1327"/>
      <c r="CH238" s="1327"/>
      <c r="CI238" s="1327"/>
      <c r="CJ238" s="1327"/>
      <c r="CK238" s="1327"/>
      <c r="CL238" s="1327"/>
      <c r="CM238" s="1327"/>
      <c r="CN238" s="1327"/>
      <c r="CO238" s="1327"/>
      <c r="CP238" s="1327"/>
      <c r="CQ238" s="1327"/>
      <c r="CR238" s="1327"/>
      <c r="CS238" s="1327"/>
      <c r="CT238" s="1317"/>
      <c r="CU238" s="1317"/>
      <c r="CV238" s="1317"/>
      <c r="CW238" s="1317"/>
      <c r="CX238" s="1317"/>
      <c r="CY238" s="1317"/>
      <c r="CZ238" s="1317"/>
      <c r="DA238" s="1317"/>
      <c r="DB238" s="1317"/>
      <c r="DC238" s="1317"/>
      <c r="DD238" s="1317"/>
      <c r="DE238" s="1317"/>
      <c r="DF238" s="1317"/>
      <c r="DG238" s="1317"/>
    </row>
    <row r="239" ht="18.75" customHeight="1">
      <c r="G239" s="1344"/>
      <c r="H239" s="1345">
        <f t="shared" si="4"/>
        <v>0</v>
      </c>
      <c r="I239" s="1381"/>
      <c r="J239" s="1381"/>
      <c r="K239" s="1381"/>
      <c r="L239" s="1381"/>
      <c r="M239" s="1381"/>
      <c r="N239" s="1381"/>
      <c r="O239" s="1381"/>
      <c r="P239" s="1381"/>
      <c r="Q239" s="1381"/>
      <c r="R239" s="1381"/>
      <c r="T239" s="1349"/>
      <c r="U239" s="1349" t="s">
        <v>123</v>
      </c>
      <c r="V239" s="1349" t="s">
        <v>123</v>
      </c>
      <c r="W239" s="1349"/>
      <c r="X239" s="1349"/>
      <c r="Y239" s="1308"/>
      <c r="Z239" s="437" t="str">
        <f>IFERROR(__xludf.DUMMYFUNCTION("IF(NOT('portfólio'!$AV$7),"""",IF($T239="""","""",IFERROR(query({AtivosDados},""select sum(""&amp;Z$3&amp;"") where Col1='""&amp;$T239&amp;""' label sum(""&amp;Z$3&amp;"") ''""),0)))"),"")</f>
        <v/>
      </c>
      <c r="AA239" s="437" t="str">
        <f>IFERROR(__xludf.DUMMYFUNCTION("IF(NOT('portfólio'!$AV$7),"""",IF($T239="""","""",IFERROR(query({AtivosDados},""select sum(""&amp;AA$3&amp;"") where Col1='""&amp;$T239&amp;""' label sum(""&amp;AA$3&amp;"") ''""),0)))"),"")</f>
        <v/>
      </c>
      <c r="AB239" s="437" t="str">
        <f>IFERROR(__xludf.DUMMYFUNCTION("IF(NOT('portfólio'!$AV$7),"""",IF($T239="""","""",IFERROR(query({AtivosDados},""select sum(""&amp;AB$3&amp;"") where Col1='""&amp;$T239&amp;""' label sum(""&amp;AB$3&amp;"") ''""),0)))"),"")</f>
        <v/>
      </c>
      <c r="AC239" s="437" t="str">
        <f>IFERROR(__xludf.DUMMYFUNCTION("IF(NOT('portfólio'!$AV$7),"""",IF($T239="""","""",IFERROR(query({AtivosDados},""select sum(""&amp;AC$3&amp;"") where Col1='""&amp;$T239&amp;""' label sum(""&amp;AC$3&amp;"") ''""),0)))"),"")</f>
        <v/>
      </c>
      <c r="AD239" s="437" t="str">
        <f>IFERROR(__xludf.DUMMYFUNCTION("IF(NOT('portfólio'!$AV$7),"""",IF($T239="""","""",IFERROR(query({AtivosDados},""select sum(""&amp;AD$3&amp;"") where Col1='""&amp;$T239&amp;""' label sum(""&amp;AD$3&amp;"") ''""),0)))"),"")</f>
        <v/>
      </c>
      <c r="AE239" s="437"/>
      <c r="AF239" s="1327"/>
      <c r="AG239" s="437"/>
      <c r="AH239" s="437"/>
      <c r="AI239" s="437"/>
      <c r="AJ239" s="437"/>
      <c r="AK239" s="437"/>
      <c r="AL239" s="437"/>
      <c r="AM239" s="437"/>
      <c r="AN239" s="437"/>
      <c r="AO239" s="437"/>
      <c r="AP239" s="437"/>
      <c r="AQ239" s="1327"/>
      <c r="AR239" s="437"/>
      <c r="AS239" s="437"/>
      <c r="AT239" s="437"/>
      <c r="AU239" s="437"/>
      <c r="AV239" s="437"/>
      <c r="AW239" s="437"/>
      <c r="AX239" s="437"/>
      <c r="AY239" s="437"/>
      <c r="AZ239" s="437"/>
      <c r="BA239" s="437"/>
      <c r="BB239" s="1327"/>
      <c r="BC239" s="437"/>
      <c r="BD239" s="437"/>
      <c r="BE239" s="437"/>
      <c r="BF239" s="437"/>
      <c r="BG239" s="437"/>
      <c r="BH239" s="437"/>
      <c r="BI239" s="437"/>
      <c r="BJ239" s="437"/>
      <c r="BK239" s="437"/>
      <c r="BL239" s="437"/>
      <c r="BM239" s="1327"/>
      <c r="BN239" s="1327"/>
      <c r="BO239" s="1327"/>
      <c r="BP239" s="1327"/>
      <c r="BQ239" s="1327"/>
      <c r="BR239" s="1327"/>
      <c r="BS239" s="1327"/>
      <c r="BT239" s="1327"/>
      <c r="BU239" s="1327"/>
      <c r="BV239" s="1327"/>
      <c r="BW239" s="1327"/>
      <c r="BX239" s="1327"/>
      <c r="BY239" s="1327"/>
      <c r="BZ239" s="1327"/>
      <c r="CA239" s="1327"/>
      <c r="CB239" s="1327"/>
      <c r="CC239" s="1327"/>
      <c r="CD239" s="1327"/>
      <c r="CE239" s="1327"/>
      <c r="CF239" s="1327"/>
      <c r="CG239" s="1327"/>
      <c r="CH239" s="1327"/>
      <c r="CI239" s="1327"/>
      <c r="CJ239" s="1327"/>
      <c r="CK239" s="1327"/>
      <c r="CL239" s="1327"/>
      <c r="CM239" s="1327"/>
      <c r="CN239" s="1327"/>
      <c r="CO239" s="1327"/>
      <c r="CP239" s="1327"/>
      <c r="CQ239" s="1327"/>
      <c r="CR239" s="1327"/>
      <c r="CS239" s="1327"/>
      <c r="CT239" s="1317"/>
      <c r="CU239" s="1317"/>
      <c r="CV239" s="1317"/>
      <c r="CW239" s="1317"/>
      <c r="CX239" s="1317"/>
      <c r="CY239" s="1317"/>
      <c r="CZ239" s="1317"/>
      <c r="DA239" s="1317"/>
      <c r="DB239" s="1317"/>
      <c r="DC239" s="1317"/>
      <c r="DD239" s="1317"/>
      <c r="DE239" s="1317"/>
      <c r="DF239" s="1317"/>
      <c r="DG239" s="1317"/>
    </row>
    <row r="240" ht="18.75" customHeight="1">
      <c r="G240" s="1344"/>
      <c r="H240" s="1345">
        <f t="shared" si="4"/>
        <v>0</v>
      </c>
      <c r="I240" s="1381"/>
      <c r="J240" s="1381"/>
      <c r="K240" s="1381"/>
      <c r="L240" s="1381"/>
      <c r="M240" s="1381"/>
      <c r="N240" s="1381"/>
      <c r="O240" s="1381"/>
      <c r="P240" s="1381"/>
      <c r="Q240" s="1381"/>
      <c r="R240" s="1381"/>
      <c r="T240" s="1349"/>
      <c r="U240" s="1349" t="s">
        <v>123</v>
      </c>
      <c r="V240" s="1349" t="s">
        <v>123</v>
      </c>
      <c r="W240" s="1349"/>
      <c r="X240" s="1349"/>
      <c r="Y240" s="1308"/>
      <c r="Z240" s="437" t="str">
        <f>IFERROR(__xludf.DUMMYFUNCTION("IF(NOT('portfólio'!$AV$7),"""",IF($T240="""","""",IFERROR(query({AtivosDados},""select sum(""&amp;Z$3&amp;"") where Col1='""&amp;$T240&amp;""' label sum(""&amp;Z$3&amp;"") ''""),0)))"),"")</f>
        <v/>
      </c>
      <c r="AA240" s="437" t="str">
        <f>IFERROR(__xludf.DUMMYFUNCTION("IF(NOT('portfólio'!$AV$7),"""",IF($T240="""","""",IFERROR(query({AtivosDados},""select sum(""&amp;AA$3&amp;"") where Col1='""&amp;$T240&amp;""' label sum(""&amp;AA$3&amp;"") ''""),0)))"),"")</f>
        <v/>
      </c>
      <c r="AB240" s="437" t="str">
        <f>IFERROR(__xludf.DUMMYFUNCTION("IF(NOT('portfólio'!$AV$7),"""",IF($T240="""","""",IFERROR(query({AtivosDados},""select sum(""&amp;AB$3&amp;"") where Col1='""&amp;$T240&amp;""' label sum(""&amp;AB$3&amp;"") ''""),0)))"),"")</f>
        <v/>
      </c>
      <c r="AC240" s="437" t="str">
        <f>IFERROR(__xludf.DUMMYFUNCTION("IF(NOT('portfólio'!$AV$7),"""",IF($T240="""","""",IFERROR(query({AtivosDados},""select sum(""&amp;AC$3&amp;"") where Col1='""&amp;$T240&amp;""' label sum(""&amp;AC$3&amp;"") ''""),0)))"),"")</f>
        <v/>
      </c>
      <c r="AD240" s="437" t="str">
        <f>IFERROR(__xludf.DUMMYFUNCTION("IF(NOT('portfólio'!$AV$7),"""",IF($T240="""","""",IFERROR(query({AtivosDados},""select sum(""&amp;AD$3&amp;"") where Col1='""&amp;$T240&amp;""' label sum(""&amp;AD$3&amp;"") ''""),0)))"),"")</f>
        <v/>
      </c>
      <c r="AE240" s="437"/>
      <c r="AF240" s="1327"/>
      <c r="AG240" s="437"/>
      <c r="AH240" s="437"/>
      <c r="AI240" s="437"/>
      <c r="AJ240" s="437"/>
      <c r="AK240" s="437"/>
      <c r="AL240" s="437"/>
      <c r="AM240" s="437"/>
      <c r="AN240" s="437"/>
      <c r="AO240" s="437"/>
      <c r="AP240" s="437"/>
      <c r="AQ240" s="1327"/>
      <c r="AR240" s="437"/>
      <c r="AS240" s="437"/>
      <c r="AT240" s="437"/>
      <c r="AU240" s="437"/>
      <c r="AV240" s="437"/>
      <c r="AW240" s="437"/>
      <c r="AX240" s="437"/>
      <c r="AY240" s="437"/>
      <c r="AZ240" s="437"/>
      <c r="BA240" s="437"/>
      <c r="BB240" s="1327"/>
      <c r="BC240" s="437"/>
      <c r="BD240" s="437"/>
      <c r="BE240" s="437"/>
      <c r="BF240" s="437"/>
      <c r="BG240" s="437"/>
      <c r="BH240" s="437"/>
      <c r="BI240" s="437"/>
      <c r="BJ240" s="437"/>
      <c r="BK240" s="437"/>
      <c r="BL240" s="437"/>
      <c r="BM240" s="1327"/>
      <c r="BN240" s="1327"/>
      <c r="BO240" s="1327"/>
      <c r="BP240" s="1327"/>
      <c r="BQ240" s="1327"/>
      <c r="BR240" s="1327"/>
      <c r="BS240" s="1327"/>
      <c r="BT240" s="1327"/>
      <c r="BU240" s="1327"/>
      <c r="BV240" s="1327"/>
      <c r="BW240" s="1327"/>
      <c r="BX240" s="1327"/>
      <c r="BY240" s="1327"/>
      <c r="BZ240" s="1327"/>
      <c r="CA240" s="1327"/>
      <c r="CB240" s="1327"/>
      <c r="CC240" s="1327"/>
      <c r="CD240" s="1327"/>
      <c r="CE240" s="1327"/>
      <c r="CF240" s="1327"/>
      <c r="CG240" s="1327"/>
      <c r="CH240" s="1327"/>
      <c r="CI240" s="1327"/>
      <c r="CJ240" s="1327"/>
      <c r="CK240" s="1327"/>
      <c r="CL240" s="1327"/>
      <c r="CM240" s="1327"/>
      <c r="CN240" s="1327"/>
      <c r="CO240" s="1327"/>
      <c r="CP240" s="1327"/>
      <c r="CQ240" s="1327"/>
      <c r="CR240" s="1327"/>
      <c r="CS240" s="1327"/>
      <c r="CT240" s="1317"/>
      <c r="CU240" s="1317"/>
      <c r="CV240" s="1317"/>
      <c r="CW240" s="1317"/>
      <c r="CX240" s="1317"/>
      <c r="CY240" s="1317"/>
      <c r="CZ240" s="1317"/>
      <c r="DA240" s="1317"/>
      <c r="DB240" s="1317"/>
      <c r="DC240" s="1317"/>
      <c r="DD240" s="1317"/>
      <c r="DE240" s="1317"/>
      <c r="DF240" s="1317"/>
      <c r="DG240" s="1317"/>
    </row>
    <row r="241" ht="18.75" customHeight="1">
      <c r="G241" s="1344"/>
      <c r="H241" s="1345">
        <f t="shared" si="4"/>
        <v>0</v>
      </c>
      <c r="I241" s="1381"/>
      <c r="J241" s="1381"/>
      <c r="K241" s="1381"/>
      <c r="L241" s="1381"/>
      <c r="M241" s="1381"/>
      <c r="N241" s="1381"/>
      <c r="O241" s="1381"/>
      <c r="P241" s="1381"/>
      <c r="Q241" s="1381"/>
      <c r="R241" s="1381"/>
      <c r="T241" s="1349"/>
      <c r="U241" s="1349" t="s">
        <v>123</v>
      </c>
      <c r="V241" s="1349" t="s">
        <v>123</v>
      </c>
      <c r="W241" s="1349"/>
      <c r="X241" s="1349"/>
      <c r="Y241" s="1308"/>
      <c r="Z241" s="437" t="str">
        <f>IFERROR(__xludf.DUMMYFUNCTION("IF(NOT('portfólio'!$AV$7),"""",IF($T241="""","""",IFERROR(query({AtivosDados},""select sum(""&amp;Z$3&amp;"") where Col1='""&amp;$T241&amp;""' label sum(""&amp;Z$3&amp;"") ''""),0)))"),"")</f>
        <v/>
      </c>
      <c r="AA241" s="437" t="str">
        <f>IFERROR(__xludf.DUMMYFUNCTION("IF(NOT('portfólio'!$AV$7),"""",IF($T241="""","""",IFERROR(query({AtivosDados},""select sum(""&amp;AA$3&amp;"") where Col1='""&amp;$T241&amp;""' label sum(""&amp;AA$3&amp;"") ''""),0)))"),"")</f>
        <v/>
      </c>
      <c r="AB241" s="437" t="str">
        <f>IFERROR(__xludf.DUMMYFUNCTION("IF(NOT('portfólio'!$AV$7),"""",IF($T241="""","""",IFERROR(query({AtivosDados},""select sum(""&amp;AB$3&amp;"") where Col1='""&amp;$T241&amp;""' label sum(""&amp;AB$3&amp;"") ''""),0)))"),"")</f>
        <v/>
      </c>
      <c r="AC241" s="437" t="str">
        <f>IFERROR(__xludf.DUMMYFUNCTION("IF(NOT('portfólio'!$AV$7),"""",IF($T241="""","""",IFERROR(query({AtivosDados},""select sum(""&amp;AC$3&amp;"") where Col1='""&amp;$T241&amp;""' label sum(""&amp;AC$3&amp;"") ''""),0)))"),"")</f>
        <v/>
      </c>
      <c r="AD241" s="437" t="str">
        <f>IFERROR(__xludf.DUMMYFUNCTION("IF(NOT('portfólio'!$AV$7),"""",IF($T241="""","""",IFERROR(query({AtivosDados},""select sum(""&amp;AD$3&amp;"") where Col1='""&amp;$T241&amp;""' label sum(""&amp;AD$3&amp;"") ''""),0)))"),"")</f>
        <v/>
      </c>
      <c r="AE241" s="437"/>
      <c r="AF241" s="1327"/>
      <c r="AG241" s="437"/>
      <c r="AH241" s="437"/>
      <c r="AI241" s="437"/>
      <c r="AJ241" s="437"/>
      <c r="AK241" s="437"/>
      <c r="AL241" s="437"/>
      <c r="AM241" s="437"/>
      <c r="AN241" s="437"/>
      <c r="AO241" s="437"/>
      <c r="AP241" s="437"/>
      <c r="AQ241" s="1327"/>
      <c r="AR241" s="437"/>
      <c r="AS241" s="437"/>
      <c r="AT241" s="437"/>
      <c r="AU241" s="437"/>
      <c r="AV241" s="437"/>
      <c r="AW241" s="437"/>
      <c r="AX241" s="437"/>
      <c r="AY241" s="437"/>
      <c r="AZ241" s="437"/>
      <c r="BA241" s="437"/>
      <c r="BB241" s="1327"/>
      <c r="BC241" s="437"/>
      <c r="BD241" s="437"/>
      <c r="BE241" s="437"/>
      <c r="BF241" s="437"/>
      <c r="BG241" s="437"/>
      <c r="BH241" s="437"/>
      <c r="BI241" s="437"/>
      <c r="BJ241" s="437"/>
      <c r="BK241" s="437"/>
      <c r="BL241" s="437"/>
      <c r="BM241" s="1327"/>
      <c r="BN241" s="1327"/>
      <c r="BO241" s="1327"/>
      <c r="BP241" s="1327"/>
      <c r="BQ241" s="1327"/>
      <c r="BR241" s="1327"/>
      <c r="BS241" s="1327"/>
      <c r="BT241" s="1327"/>
      <c r="BU241" s="1327"/>
      <c r="BV241" s="1327"/>
      <c r="BW241" s="1327"/>
      <c r="BX241" s="1327"/>
      <c r="BY241" s="1327"/>
      <c r="BZ241" s="1327"/>
      <c r="CA241" s="1327"/>
      <c r="CB241" s="1327"/>
      <c r="CC241" s="1327"/>
      <c r="CD241" s="1327"/>
      <c r="CE241" s="1327"/>
      <c r="CF241" s="1327"/>
      <c r="CG241" s="1327"/>
      <c r="CH241" s="1327"/>
      <c r="CI241" s="1327"/>
      <c r="CJ241" s="1327"/>
      <c r="CK241" s="1327"/>
      <c r="CL241" s="1327"/>
      <c r="CM241" s="1327"/>
      <c r="CN241" s="1327"/>
      <c r="CO241" s="1327"/>
      <c r="CP241" s="1327"/>
      <c r="CQ241" s="1327"/>
      <c r="CR241" s="1327"/>
      <c r="CS241" s="1327"/>
      <c r="CT241" s="1317"/>
      <c r="CU241" s="1317"/>
      <c r="CV241" s="1317"/>
      <c r="CW241" s="1317"/>
      <c r="CX241" s="1317"/>
      <c r="CY241" s="1317"/>
      <c r="CZ241" s="1317"/>
      <c r="DA241" s="1317"/>
      <c r="DB241" s="1317"/>
      <c r="DC241" s="1317"/>
      <c r="DD241" s="1317"/>
      <c r="DE241" s="1317"/>
      <c r="DF241" s="1317"/>
      <c r="DG241" s="1317"/>
    </row>
    <row r="242" ht="18.75" customHeight="1">
      <c r="G242" s="1344"/>
      <c r="H242" s="1345">
        <f t="shared" si="4"/>
        <v>0</v>
      </c>
      <c r="I242" s="1381"/>
      <c r="J242" s="1381"/>
      <c r="K242" s="1381"/>
      <c r="L242" s="1381"/>
      <c r="M242" s="1381"/>
      <c r="N242" s="1381"/>
      <c r="O242" s="1381"/>
      <c r="P242" s="1381"/>
      <c r="Q242" s="1381"/>
      <c r="R242" s="1381"/>
      <c r="T242" s="1349"/>
      <c r="U242" s="1349" t="s">
        <v>123</v>
      </c>
      <c r="V242" s="1349" t="s">
        <v>123</v>
      </c>
      <c r="W242" s="1349"/>
      <c r="X242" s="1349"/>
      <c r="Y242" s="1308"/>
      <c r="Z242" s="437" t="str">
        <f>IFERROR(__xludf.DUMMYFUNCTION("IF(NOT('portfólio'!$AV$7),"""",IF($T242="""","""",IFERROR(query({AtivosDados},""select sum(""&amp;Z$3&amp;"") where Col1='""&amp;$T242&amp;""' label sum(""&amp;Z$3&amp;"") ''""),0)))"),"")</f>
        <v/>
      </c>
      <c r="AA242" s="437" t="str">
        <f>IFERROR(__xludf.DUMMYFUNCTION("IF(NOT('portfólio'!$AV$7),"""",IF($T242="""","""",IFERROR(query({AtivosDados},""select sum(""&amp;AA$3&amp;"") where Col1='""&amp;$T242&amp;""' label sum(""&amp;AA$3&amp;"") ''""),0)))"),"")</f>
        <v/>
      </c>
      <c r="AB242" s="437" t="str">
        <f>IFERROR(__xludf.DUMMYFUNCTION("IF(NOT('portfólio'!$AV$7),"""",IF($T242="""","""",IFERROR(query({AtivosDados},""select sum(""&amp;AB$3&amp;"") where Col1='""&amp;$T242&amp;""' label sum(""&amp;AB$3&amp;"") ''""),0)))"),"")</f>
        <v/>
      </c>
      <c r="AC242" s="437" t="str">
        <f>IFERROR(__xludf.DUMMYFUNCTION("IF(NOT('portfólio'!$AV$7),"""",IF($T242="""","""",IFERROR(query({AtivosDados},""select sum(""&amp;AC$3&amp;"") where Col1='""&amp;$T242&amp;""' label sum(""&amp;AC$3&amp;"") ''""),0)))"),"")</f>
        <v/>
      </c>
      <c r="AD242" s="437" t="str">
        <f>IFERROR(__xludf.DUMMYFUNCTION("IF(NOT('portfólio'!$AV$7),"""",IF($T242="""","""",IFERROR(query({AtivosDados},""select sum(""&amp;AD$3&amp;"") where Col1='""&amp;$T242&amp;""' label sum(""&amp;AD$3&amp;"") ''""),0)))"),"")</f>
        <v/>
      </c>
      <c r="AE242" s="437"/>
      <c r="AF242" s="1327"/>
      <c r="AG242" s="437"/>
      <c r="AH242" s="437"/>
      <c r="AI242" s="437"/>
      <c r="AJ242" s="437"/>
      <c r="AK242" s="437"/>
      <c r="AL242" s="437"/>
      <c r="AM242" s="437"/>
      <c r="AN242" s="437"/>
      <c r="AO242" s="437"/>
      <c r="AP242" s="437"/>
      <c r="AQ242" s="1327"/>
      <c r="AR242" s="437"/>
      <c r="AS242" s="437"/>
      <c r="AT242" s="437"/>
      <c r="AU242" s="437"/>
      <c r="AV242" s="437"/>
      <c r="AW242" s="437"/>
      <c r="AX242" s="437"/>
      <c r="AY242" s="437"/>
      <c r="AZ242" s="437"/>
      <c r="BA242" s="437"/>
      <c r="BB242" s="1327"/>
      <c r="BC242" s="437"/>
      <c r="BD242" s="437"/>
      <c r="BE242" s="437"/>
      <c r="BF242" s="437"/>
      <c r="BG242" s="437"/>
      <c r="BH242" s="437"/>
      <c r="BI242" s="437"/>
      <c r="BJ242" s="437"/>
      <c r="BK242" s="437"/>
      <c r="BL242" s="437"/>
      <c r="BM242" s="1327"/>
      <c r="BN242" s="1327"/>
      <c r="BO242" s="1327"/>
      <c r="BP242" s="1327"/>
      <c r="BQ242" s="1327"/>
      <c r="BR242" s="1327"/>
      <c r="BS242" s="1327"/>
      <c r="BT242" s="1327"/>
      <c r="BU242" s="1327"/>
      <c r="BV242" s="1327"/>
      <c r="BW242" s="1327"/>
      <c r="BX242" s="1327"/>
      <c r="BY242" s="1327"/>
      <c r="BZ242" s="1327"/>
      <c r="CA242" s="1327"/>
      <c r="CB242" s="1327"/>
      <c r="CC242" s="1327"/>
      <c r="CD242" s="1327"/>
      <c r="CE242" s="1327"/>
      <c r="CF242" s="1327"/>
      <c r="CG242" s="1327"/>
      <c r="CH242" s="1327"/>
      <c r="CI242" s="1327"/>
      <c r="CJ242" s="1327"/>
      <c r="CK242" s="1327"/>
      <c r="CL242" s="1327"/>
      <c r="CM242" s="1327"/>
      <c r="CN242" s="1327"/>
      <c r="CO242" s="1327"/>
      <c r="CP242" s="1327"/>
      <c r="CQ242" s="1327"/>
      <c r="CR242" s="1327"/>
      <c r="CS242" s="1327"/>
      <c r="CT242" s="1317"/>
      <c r="CU242" s="1317"/>
      <c r="CV242" s="1317"/>
      <c r="CW242" s="1317"/>
      <c r="CX242" s="1317"/>
      <c r="CY242" s="1317"/>
      <c r="CZ242" s="1317"/>
      <c r="DA242" s="1317"/>
      <c r="DB242" s="1317"/>
      <c r="DC242" s="1317"/>
      <c r="DD242" s="1317"/>
      <c r="DE242" s="1317"/>
      <c r="DF242" s="1317"/>
      <c r="DG242" s="1317"/>
    </row>
    <row r="243" ht="18.75" customHeight="1">
      <c r="G243" s="1344"/>
      <c r="H243" s="1345">
        <f t="shared" si="4"/>
        <v>0</v>
      </c>
      <c r="I243" s="1381"/>
      <c r="J243" s="1381"/>
      <c r="K243" s="1381"/>
      <c r="L243" s="1381"/>
      <c r="M243" s="1381"/>
      <c r="N243" s="1381"/>
      <c r="O243" s="1381"/>
      <c r="P243" s="1381"/>
      <c r="Q243" s="1381"/>
      <c r="R243" s="1381"/>
      <c r="T243" s="1349"/>
      <c r="U243" s="1349" t="s">
        <v>123</v>
      </c>
      <c r="V243" s="1349" t="s">
        <v>123</v>
      </c>
      <c r="W243" s="1349"/>
      <c r="X243" s="1349"/>
      <c r="Y243" s="1308"/>
      <c r="Z243" s="437" t="str">
        <f>IFERROR(__xludf.DUMMYFUNCTION("IF(NOT('portfólio'!$AV$7),"""",IF($T243="""","""",IFERROR(query({AtivosDados},""select sum(""&amp;Z$3&amp;"") where Col1='""&amp;$T243&amp;""' label sum(""&amp;Z$3&amp;"") ''""),0)))"),"")</f>
        <v/>
      </c>
      <c r="AA243" s="437" t="str">
        <f>IFERROR(__xludf.DUMMYFUNCTION("IF(NOT('portfólio'!$AV$7),"""",IF($T243="""","""",IFERROR(query({AtivosDados},""select sum(""&amp;AA$3&amp;"") where Col1='""&amp;$T243&amp;""' label sum(""&amp;AA$3&amp;"") ''""),0)))"),"")</f>
        <v/>
      </c>
      <c r="AB243" s="437" t="str">
        <f>IFERROR(__xludf.DUMMYFUNCTION("IF(NOT('portfólio'!$AV$7),"""",IF($T243="""","""",IFERROR(query({AtivosDados},""select sum(""&amp;AB$3&amp;"") where Col1='""&amp;$T243&amp;""' label sum(""&amp;AB$3&amp;"") ''""),0)))"),"")</f>
        <v/>
      </c>
      <c r="AC243" s="437" t="str">
        <f>IFERROR(__xludf.DUMMYFUNCTION("IF(NOT('portfólio'!$AV$7),"""",IF($T243="""","""",IFERROR(query({AtivosDados},""select sum(""&amp;AC$3&amp;"") where Col1='""&amp;$T243&amp;""' label sum(""&amp;AC$3&amp;"") ''""),0)))"),"")</f>
        <v/>
      </c>
      <c r="AD243" s="437" t="str">
        <f>IFERROR(__xludf.DUMMYFUNCTION("IF(NOT('portfólio'!$AV$7),"""",IF($T243="""","""",IFERROR(query({AtivosDados},""select sum(""&amp;AD$3&amp;"") where Col1='""&amp;$T243&amp;""' label sum(""&amp;AD$3&amp;"") ''""),0)))"),"")</f>
        <v/>
      </c>
      <c r="AE243" s="437"/>
      <c r="AF243" s="1327"/>
      <c r="AG243" s="437"/>
      <c r="AH243" s="437"/>
      <c r="AI243" s="437"/>
      <c r="AJ243" s="437"/>
      <c r="AK243" s="437"/>
      <c r="AL243" s="437"/>
      <c r="AM243" s="437"/>
      <c r="AN243" s="437"/>
      <c r="AO243" s="437"/>
      <c r="AP243" s="437"/>
      <c r="AQ243" s="1327"/>
      <c r="AR243" s="437"/>
      <c r="AS243" s="437"/>
      <c r="AT243" s="437"/>
      <c r="AU243" s="437"/>
      <c r="AV243" s="437"/>
      <c r="AW243" s="437"/>
      <c r="AX243" s="437"/>
      <c r="AY243" s="437"/>
      <c r="AZ243" s="437"/>
      <c r="BA243" s="437"/>
      <c r="BB243" s="1327"/>
      <c r="BC243" s="437"/>
      <c r="BD243" s="437"/>
      <c r="BE243" s="437"/>
      <c r="BF243" s="437"/>
      <c r="BG243" s="437"/>
      <c r="BH243" s="437"/>
      <c r="BI243" s="437"/>
      <c r="BJ243" s="437"/>
      <c r="BK243" s="437"/>
      <c r="BL243" s="437"/>
      <c r="BM243" s="1327"/>
      <c r="BN243" s="1327"/>
      <c r="BO243" s="1327"/>
      <c r="BP243" s="1327"/>
      <c r="BQ243" s="1327"/>
      <c r="BR243" s="1327"/>
      <c r="BS243" s="1327"/>
      <c r="BT243" s="1327"/>
      <c r="BU243" s="1327"/>
      <c r="BV243" s="1327"/>
      <c r="BW243" s="1327"/>
      <c r="BX243" s="1327"/>
      <c r="BY243" s="1327"/>
      <c r="BZ243" s="1327"/>
      <c r="CA243" s="1327"/>
      <c r="CB243" s="1327"/>
      <c r="CC243" s="1327"/>
      <c r="CD243" s="1327"/>
      <c r="CE243" s="1327"/>
      <c r="CF243" s="1327"/>
      <c r="CG243" s="1327"/>
      <c r="CH243" s="1327"/>
      <c r="CI243" s="1327"/>
      <c r="CJ243" s="1327"/>
      <c r="CK243" s="1327"/>
      <c r="CL243" s="1327"/>
      <c r="CM243" s="1327"/>
      <c r="CN243" s="1327"/>
      <c r="CO243" s="1327"/>
      <c r="CP243" s="1327"/>
      <c r="CQ243" s="1327"/>
      <c r="CR243" s="1327"/>
      <c r="CS243" s="1327"/>
      <c r="CT243" s="1317"/>
      <c r="CU243" s="1317"/>
      <c r="CV243" s="1317"/>
      <c r="CW243" s="1317"/>
      <c r="CX243" s="1317"/>
      <c r="CY243" s="1317"/>
      <c r="CZ243" s="1317"/>
      <c r="DA243" s="1317"/>
      <c r="DB243" s="1317"/>
      <c r="DC243" s="1317"/>
      <c r="DD243" s="1317"/>
      <c r="DE243" s="1317"/>
      <c r="DF243" s="1317"/>
      <c r="DG243" s="1317"/>
    </row>
    <row r="244" ht="18.75" customHeight="1">
      <c r="G244" s="1344"/>
      <c r="H244" s="1345">
        <f t="shared" si="4"/>
        <v>0</v>
      </c>
      <c r="I244" s="1381"/>
      <c r="J244" s="1381"/>
      <c r="K244" s="1381"/>
      <c r="L244" s="1381"/>
      <c r="M244" s="1381"/>
      <c r="N244" s="1381"/>
      <c r="O244" s="1381"/>
      <c r="P244" s="1381"/>
      <c r="Q244" s="1381"/>
      <c r="R244" s="1381"/>
      <c r="T244" s="1349"/>
      <c r="U244" s="1349" t="s">
        <v>123</v>
      </c>
      <c r="V244" s="1349" t="s">
        <v>123</v>
      </c>
      <c r="W244" s="1349"/>
      <c r="X244" s="1349"/>
      <c r="Y244" s="1308"/>
      <c r="Z244" s="437" t="str">
        <f>IFERROR(__xludf.DUMMYFUNCTION("IF(NOT('portfólio'!$AV$7),"""",IF($T244="""","""",IFERROR(query({AtivosDados},""select sum(""&amp;Z$3&amp;"") where Col1='""&amp;$T244&amp;""' label sum(""&amp;Z$3&amp;"") ''""),0)))"),"")</f>
        <v/>
      </c>
      <c r="AA244" s="437" t="str">
        <f>IFERROR(__xludf.DUMMYFUNCTION("IF(NOT('portfólio'!$AV$7),"""",IF($T244="""","""",IFERROR(query({AtivosDados},""select sum(""&amp;AA$3&amp;"") where Col1='""&amp;$T244&amp;""' label sum(""&amp;AA$3&amp;"") ''""),0)))"),"")</f>
        <v/>
      </c>
      <c r="AB244" s="437" t="str">
        <f>IFERROR(__xludf.DUMMYFUNCTION("IF(NOT('portfólio'!$AV$7),"""",IF($T244="""","""",IFERROR(query({AtivosDados},""select sum(""&amp;AB$3&amp;"") where Col1='""&amp;$T244&amp;""' label sum(""&amp;AB$3&amp;"") ''""),0)))"),"")</f>
        <v/>
      </c>
      <c r="AC244" s="437" t="str">
        <f>IFERROR(__xludf.DUMMYFUNCTION("IF(NOT('portfólio'!$AV$7),"""",IF($T244="""","""",IFERROR(query({AtivosDados},""select sum(""&amp;AC$3&amp;"") where Col1='""&amp;$T244&amp;""' label sum(""&amp;AC$3&amp;"") ''""),0)))"),"")</f>
        <v/>
      </c>
      <c r="AD244" s="437" t="str">
        <f>IFERROR(__xludf.DUMMYFUNCTION("IF(NOT('portfólio'!$AV$7),"""",IF($T244="""","""",IFERROR(query({AtivosDados},""select sum(""&amp;AD$3&amp;"") where Col1='""&amp;$T244&amp;""' label sum(""&amp;AD$3&amp;"") ''""),0)))"),"")</f>
        <v/>
      </c>
      <c r="AE244" s="437"/>
      <c r="AF244" s="1327"/>
      <c r="AG244" s="437"/>
      <c r="AH244" s="437"/>
      <c r="AI244" s="437"/>
      <c r="AJ244" s="437"/>
      <c r="AK244" s="437"/>
      <c r="AL244" s="437"/>
      <c r="AM244" s="437"/>
      <c r="AN244" s="437"/>
      <c r="AO244" s="437"/>
      <c r="AP244" s="437"/>
      <c r="AQ244" s="1327"/>
      <c r="AR244" s="437"/>
      <c r="AS244" s="437"/>
      <c r="AT244" s="437"/>
      <c r="AU244" s="437"/>
      <c r="AV244" s="437"/>
      <c r="AW244" s="437"/>
      <c r="AX244" s="437"/>
      <c r="AY244" s="437"/>
      <c r="AZ244" s="437"/>
      <c r="BA244" s="437"/>
      <c r="BB244" s="1327"/>
      <c r="BC244" s="437"/>
      <c r="BD244" s="437"/>
      <c r="BE244" s="437"/>
      <c r="BF244" s="437"/>
      <c r="BG244" s="437"/>
      <c r="BH244" s="437"/>
      <c r="BI244" s="437"/>
      <c r="BJ244" s="437"/>
      <c r="BK244" s="437"/>
      <c r="BL244" s="437"/>
      <c r="BM244" s="1327"/>
      <c r="BN244" s="1327"/>
      <c r="BO244" s="1327"/>
      <c r="BP244" s="1327"/>
      <c r="BQ244" s="1327"/>
      <c r="BR244" s="1327"/>
      <c r="BS244" s="1327"/>
      <c r="BT244" s="1327"/>
      <c r="BU244" s="1327"/>
      <c r="BV244" s="1327"/>
      <c r="BW244" s="1327"/>
      <c r="BX244" s="1327"/>
      <c r="BY244" s="1327"/>
      <c r="BZ244" s="1327"/>
      <c r="CA244" s="1327"/>
      <c r="CB244" s="1327"/>
      <c r="CC244" s="1327"/>
      <c r="CD244" s="1327"/>
      <c r="CE244" s="1327"/>
      <c r="CF244" s="1327"/>
      <c r="CG244" s="1327"/>
      <c r="CH244" s="1327"/>
      <c r="CI244" s="1327"/>
      <c r="CJ244" s="1327"/>
      <c r="CK244" s="1327"/>
      <c r="CL244" s="1327"/>
      <c r="CM244" s="1327"/>
      <c r="CN244" s="1327"/>
      <c r="CO244" s="1327"/>
      <c r="CP244" s="1327"/>
      <c r="CQ244" s="1327"/>
      <c r="CR244" s="1327"/>
      <c r="CS244" s="1327"/>
      <c r="CT244" s="1317"/>
      <c r="CU244" s="1317"/>
      <c r="CV244" s="1317"/>
      <c r="CW244" s="1317"/>
      <c r="CX244" s="1317"/>
      <c r="CY244" s="1317"/>
      <c r="CZ244" s="1317"/>
      <c r="DA244" s="1317"/>
      <c r="DB244" s="1317"/>
      <c r="DC244" s="1317"/>
      <c r="DD244" s="1317"/>
      <c r="DE244" s="1317"/>
      <c r="DF244" s="1317"/>
      <c r="DG244" s="1317"/>
    </row>
    <row r="245" ht="18.75" customHeight="1">
      <c r="G245" s="1344"/>
      <c r="H245" s="1345">
        <f t="shared" si="4"/>
        <v>0</v>
      </c>
      <c r="I245" s="1381"/>
      <c r="J245" s="1381"/>
      <c r="K245" s="1381"/>
      <c r="L245" s="1381"/>
      <c r="M245" s="1381"/>
      <c r="N245" s="1381"/>
      <c r="O245" s="1381"/>
      <c r="P245" s="1381"/>
      <c r="Q245" s="1381"/>
      <c r="R245" s="1381"/>
      <c r="T245" s="1349"/>
      <c r="U245" s="1349" t="s">
        <v>123</v>
      </c>
      <c r="V245" s="1349" t="s">
        <v>123</v>
      </c>
      <c r="W245" s="1349"/>
      <c r="X245" s="1349"/>
      <c r="Y245" s="1308"/>
      <c r="Z245" s="437" t="str">
        <f>IFERROR(__xludf.DUMMYFUNCTION("IF(NOT('portfólio'!$AV$7),"""",IF($T245="""","""",IFERROR(query({AtivosDados},""select sum(""&amp;Z$3&amp;"") where Col1='""&amp;$T245&amp;""' label sum(""&amp;Z$3&amp;"") ''""),0)))"),"")</f>
        <v/>
      </c>
      <c r="AA245" s="437" t="str">
        <f>IFERROR(__xludf.DUMMYFUNCTION("IF(NOT('portfólio'!$AV$7),"""",IF($T245="""","""",IFERROR(query({AtivosDados},""select sum(""&amp;AA$3&amp;"") where Col1='""&amp;$T245&amp;""' label sum(""&amp;AA$3&amp;"") ''""),0)))"),"")</f>
        <v/>
      </c>
      <c r="AB245" s="437" t="str">
        <f>IFERROR(__xludf.DUMMYFUNCTION("IF(NOT('portfólio'!$AV$7),"""",IF($T245="""","""",IFERROR(query({AtivosDados},""select sum(""&amp;AB$3&amp;"") where Col1='""&amp;$T245&amp;""' label sum(""&amp;AB$3&amp;"") ''""),0)))"),"")</f>
        <v/>
      </c>
      <c r="AC245" s="437" t="str">
        <f>IFERROR(__xludf.DUMMYFUNCTION("IF(NOT('portfólio'!$AV$7),"""",IF($T245="""","""",IFERROR(query({AtivosDados},""select sum(""&amp;AC$3&amp;"") where Col1='""&amp;$T245&amp;""' label sum(""&amp;AC$3&amp;"") ''""),0)))"),"")</f>
        <v/>
      </c>
      <c r="AD245" s="437" t="str">
        <f>IFERROR(__xludf.DUMMYFUNCTION("IF(NOT('portfólio'!$AV$7),"""",IF($T245="""","""",IFERROR(query({AtivosDados},""select sum(""&amp;AD$3&amp;"") where Col1='""&amp;$T245&amp;""' label sum(""&amp;AD$3&amp;"") ''""),0)))"),"")</f>
        <v/>
      </c>
      <c r="AE245" s="437"/>
      <c r="AF245" s="1327"/>
      <c r="AG245" s="437"/>
      <c r="AH245" s="437"/>
      <c r="AI245" s="437"/>
      <c r="AJ245" s="437"/>
      <c r="AK245" s="437"/>
      <c r="AL245" s="437"/>
      <c r="AM245" s="437"/>
      <c r="AN245" s="437"/>
      <c r="AO245" s="437"/>
      <c r="AP245" s="437"/>
      <c r="AQ245" s="1327"/>
      <c r="AR245" s="437"/>
      <c r="AS245" s="437"/>
      <c r="AT245" s="437"/>
      <c r="AU245" s="437"/>
      <c r="AV245" s="437"/>
      <c r="AW245" s="437"/>
      <c r="AX245" s="437"/>
      <c r="AY245" s="437"/>
      <c r="AZ245" s="437"/>
      <c r="BA245" s="437"/>
      <c r="BB245" s="1327"/>
      <c r="BC245" s="437"/>
      <c r="BD245" s="437"/>
      <c r="BE245" s="437"/>
      <c r="BF245" s="437"/>
      <c r="BG245" s="437"/>
      <c r="BH245" s="437"/>
      <c r="BI245" s="437"/>
      <c r="BJ245" s="437"/>
      <c r="BK245" s="437"/>
      <c r="BL245" s="437"/>
      <c r="BM245" s="1327"/>
      <c r="BN245" s="1327"/>
      <c r="BO245" s="1327"/>
      <c r="BP245" s="1327"/>
      <c r="BQ245" s="1327"/>
      <c r="BR245" s="1327"/>
      <c r="BS245" s="1327"/>
      <c r="BT245" s="1327"/>
      <c r="BU245" s="1327"/>
      <c r="BV245" s="1327"/>
      <c r="BW245" s="1327"/>
      <c r="BX245" s="1327"/>
      <c r="BY245" s="1327"/>
      <c r="BZ245" s="1327"/>
      <c r="CA245" s="1327"/>
      <c r="CB245" s="1327"/>
      <c r="CC245" s="1327"/>
      <c r="CD245" s="1327"/>
      <c r="CE245" s="1327"/>
      <c r="CF245" s="1327"/>
      <c r="CG245" s="1327"/>
      <c r="CH245" s="1327"/>
      <c r="CI245" s="1327"/>
      <c r="CJ245" s="1327"/>
      <c r="CK245" s="1327"/>
      <c r="CL245" s="1327"/>
      <c r="CM245" s="1327"/>
      <c r="CN245" s="1327"/>
      <c r="CO245" s="1327"/>
      <c r="CP245" s="1327"/>
      <c r="CQ245" s="1327"/>
      <c r="CR245" s="1327"/>
      <c r="CS245" s="1327"/>
      <c r="CT245" s="1317"/>
      <c r="CU245" s="1317"/>
      <c r="CV245" s="1317"/>
      <c r="CW245" s="1317"/>
      <c r="CX245" s="1317"/>
      <c r="CY245" s="1317"/>
      <c r="CZ245" s="1317"/>
      <c r="DA245" s="1317"/>
      <c r="DB245" s="1317"/>
      <c r="DC245" s="1317"/>
      <c r="DD245" s="1317"/>
      <c r="DE245" s="1317"/>
      <c r="DF245" s="1317"/>
      <c r="DG245" s="1317"/>
    </row>
    <row r="246" ht="18.75" customHeight="1">
      <c r="G246" s="1344"/>
      <c r="H246" s="1345">
        <f t="shared" si="4"/>
        <v>0</v>
      </c>
      <c r="I246" s="1381"/>
      <c r="J246" s="1381"/>
      <c r="K246" s="1381"/>
      <c r="L246" s="1381"/>
      <c r="M246" s="1381"/>
      <c r="N246" s="1381"/>
      <c r="O246" s="1381"/>
      <c r="P246" s="1381"/>
      <c r="Q246" s="1381"/>
      <c r="R246" s="1381"/>
      <c r="T246" s="1349"/>
      <c r="U246" s="1349" t="s">
        <v>123</v>
      </c>
      <c r="V246" s="1349" t="s">
        <v>123</v>
      </c>
      <c r="W246" s="1349"/>
      <c r="X246" s="1349"/>
      <c r="Y246" s="1308"/>
      <c r="Z246" s="437" t="str">
        <f>IFERROR(__xludf.DUMMYFUNCTION("IF(NOT('portfólio'!$AV$7),"""",IF($T246="""","""",IFERROR(query({AtivosDados},""select sum(""&amp;Z$3&amp;"") where Col1='""&amp;$T246&amp;""' label sum(""&amp;Z$3&amp;"") ''""),0)))"),"")</f>
        <v/>
      </c>
      <c r="AA246" s="437" t="str">
        <f>IFERROR(__xludf.DUMMYFUNCTION("IF(NOT('portfólio'!$AV$7),"""",IF($T246="""","""",IFERROR(query({AtivosDados},""select sum(""&amp;AA$3&amp;"") where Col1='""&amp;$T246&amp;""' label sum(""&amp;AA$3&amp;"") ''""),0)))"),"")</f>
        <v/>
      </c>
      <c r="AB246" s="437" t="str">
        <f>IFERROR(__xludf.DUMMYFUNCTION("IF(NOT('portfólio'!$AV$7),"""",IF($T246="""","""",IFERROR(query({AtivosDados},""select sum(""&amp;AB$3&amp;"") where Col1='""&amp;$T246&amp;""' label sum(""&amp;AB$3&amp;"") ''""),0)))"),"")</f>
        <v/>
      </c>
      <c r="AC246" s="437" t="str">
        <f>IFERROR(__xludf.DUMMYFUNCTION("IF(NOT('portfólio'!$AV$7),"""",IF($T246="""","""",IFERROR(query({AtivosDados},""select sum(""&amp;AC$3&amp;"") where Col1='""&amp;$T246&amp;""' label sum(""&amp;AC$3&amp;"") ''""),0)))"),"")</f>
        <v/>
      </c>
      <c r="AD246" s="437" t="str">
        <f>IFERROR(__xludf.DUMMYFUNCTION("IF(NOT('portfólio'!$AV$7),"""",IF($T246="""","""",IFERROR(query({AtivosDados},""select sum(""&amp;AD$3&amp;"") where Col1='""&amp;$T246&amp;""' label sum(""&amp;AD$3&amp;"") ''""),0)))"),"")</f>
        <v/>
      </c>
      <c r="AE246" s="437"/>
      <c r="AF246" s="1327"/>
      <c r="AG246" s="437"/>
      <c r="AH246" s="437"/>
      <c r="AI246" s="437"/>
      <c r="AJ246" s="437"/>
      <c r="AK246" s="437"/>
      <c r="AL246" s="437"/>
      <c r="AM246" s="437"/>
      <c r="AN246" s="437"/>
      <c r="AO246" s="437"/>
      <c r="AP246" s="437"/>
      <c r="AQ246" s="1327"/>
      <c r="AR246" s="437"/>
      <c r="AS246" s="437"/>
      <c r="AT246" s="437"/>
      <c r="AU246" s="437"/>
      <c r="AV246" s="437"/>
      <c r="AW246" s="437"/>
      <c r="AX246" s="437"/>
      <c r="AY246" s="437"/>
      <c r="AZ246" s="437"/>
      <c r="BA246" s="437"/>
      <c r="BB246" s="1327"/>
      <c r="BC246" s="437"/>
      <c r="BD246" s="437"/>
      <c r="BE246" s="437"/>
      <c r="BF246" s="437"/>
      <c r="BG246" s="437"/>
      <c r="BH246" s="437"/>
      <c r="BI246" s="437"/>
      <c r="BJ246" s="437"/>
      <c r="BK246" s="437"/>
      <c r="BL246" s="437"/>
      <c r="BM246" s="1327"/>
      <c r="BN246" s="1327"/>
      <c r="BO246" s="1327"/>
      <c r="BP246" s="1327"/>
      <c r="BQ246" s="1327"/>
      <c r="BR246" s="1327"/>
      <c r="BS246" s="1327"/>
      <c r="BT246" s="1327"/>
      <c r="BU246" s="1327"/>
      <c r="BV246" s="1327"/>
      <c r="BW246" s="1327"/>
      <c r="BX246" s="1327"/>
      <c r="BY246" s="1327"/>
      <c r="BZ246" s="1327"/>
      <c r="CA246" s="1327"/>
      <c r="CB246" s="1327"/>
      <c r="CC246" s="1327"/>
      <c r="CD246" s="1327"/>
      <c r="CE246" s="1327"/>
      <c r="CF246" s="1327"/>
      <c r="CG246" s="1327"/>
      <c r="CH246" s="1327"/>
      <c r="CI246" s="1327"/>
      <c r="CJ246" s="1327"/>
      <c r="CK246" s="1327"/>
      <c r="CL246" s="1327"/>
      <c r="CM246" s="1327"/>
      <c r="CN246" s="1327"/>
      <c r="CO246" s="1327"/>
      <c r="CP246" s="1327"/>
      <c r="CQ246" s="1327"/>
      <c r="CR246" s="1327"/>
      <c r="CS246" s="1327"/>
      <c r="CT246" s="1317"/>
      <c r="CU246" s="1317"/>
      <c r="CV246" s="1317"/>
      <c r="CW246" s="1317"/>
      <c r="CX246" s="1317"/>
      <c r="CY246" s="1317"/>
      <c r="CZ246" s="1317"/>
      <c r="DA246" s="1317"/>
      <c r="DB246" s="1317"/>
      <c r="DC246" s="1317"/>
      <c r="DD246" s="1317"/>
      <c r="DE246" s="1317"/>
      <c r="DF246" s="1317"/>
      <c r="DG246" s="1317"/>
    </row>
    <row r="247" ht="18.75" customHeight="1">
      <c r="G247" s="1344"/>
      <c r="H247" s="1345">
        <f t="shared" si="4"/>
        <v>0</v>
      </c>
      <c r="I247" s="1381"/>
      <c r="J247" s="1381"/>
      <c r="K247" s="1381"/>
      <c r="L247" s="1381"/>
      <c r="M247" s="1381"/>
      <c r="N247" s="1381"/>
      <c r="O247" s="1381"/>
      <c r="P247" s="1381"/>
      <c r="Q247" s="1381"/>
      <c r="R247" s="1381"/>
      <c r="T247" s="1349"/>
      <c r="U247" s="1349" t="s">
        <v>123</v>
      </c>
      <c r="V247" s="1349" t="s">
        <v>123</v>
      </c>
      <c r="W247" s="1349"/>
      <c r="X247" s="1349"/>
      <c r="Y247" s="1308"/>
      <c r="Z247" s="437" t="str">
        <f>IFERROR(__xludf.DUMMYFUNCTION("IF(NOT('portfólio'!$AV$7),"""",IF($T247="""","""",IFERROR(query({AtivosDados},""select sum(""&amp;Z$3&amp;"") where Col1='""&amp;$T247&amp;""' label sum(""&amp;Z$3&amp;"") ''""),0)))"),"")</f>
        <v/>
      </c>
      <c r="AA247" s="437" t="str">
        <f>IFERROR(__xludf.DUMMYFUNCTION("IF(NOT('portfólio'!$AV$7),"""",IF($T247="""","""",IFERROR(query({AtivosDados},""select sum(""&amp;AA$3&amp;"") where Col1='""&amp;$T247&amp;""' label sum(""&amp;AA$3&amp;"") ''""),0)))"),"")</f>
        <v/>
      </c>
      <c r="AB247" s="437" t="str">
        <f>IFERROR(__xludf.DUMMYFUNCTION("IF(NOT('portfólio'!$AV$7),"""",IF($T247="""","""",IFERROR(query({AtivosDados},""select sum(""&amp;AB$3&amp;"") where Col1='""&amp;$T247&amp;""' label sum(""&amp;AB$3&amp;"") ''""),0)))"),"")</f>
        <v/>
      </c>
      <c r="AC247" s="437" t="str">
        <f>IFERROR(__xludf.DUMMYFUNCTION("IF(NOT('portfólio'!$AV$7),"""",IF($T247="""","""",IFERROR(query({AtivosDados},""select sum(""&amp;AC$3&amp;"") where Col1='""&amp;$T247&amp;""' label sum(""&amp;AC$3&amp;"") ''""),0)))"),"")</f>
        <v/>
      </c>
      <c r="AD247" s="437" t="str">
        <f>IFERROR(__xludf.DUMMYFUNCTION("IF(NOT('portfólio'!$AV$7),"""",IF($T247="""","""",IFERROR(query({AtivosDados},""select sum(""&amp;AD$3&amp;"") where Col1='""&amp;$T247&amp;""' label sum(""&amp;AD$3&amp;"") ''""),0)))"),"")</f>
        <v/>
      </c>
      <c r="AE247" s="437"/>
      <c r="AF247" s="1327"/>
      <c r="AG247" s="437"/>
      <c r="AH247" s="437"/>
      <c r="AI247" s="437"/>
      <c r="AJ247" s="437"/>
      <c r="AK247" s="437"/>
      <c r="AL247" s="437"/>
      <c r="AM247" s="437"/>
      <c r="AN247" s="437"/>
      <c r="AO247" s="437"/>
      <c r="AP247" s="437"/>
      <c r="AQ247" s="1327"/>
      <c r="AR247" s="437"/>
      <c r="AS247" s="437"/>
      <c r="AT247" s="437"/>
      <c r="AU247" s="437"/>
      <c r="AV247" s="437"/>
      <c r="AW247" s="437"/>
      <c r="AX247" s="437"/>
      <c r="AY247" s="437"/>
      <c r="AZ247" s="437"/>
      <c r="BA247" s="437"/>
      <c r="BB247" s="1327"/>
      <c r="BC247" s="437"/>
      <c r="BD247" s="437"/>
      <c r="BE247" s="437"/>
      <c r="BF247" s="437"/>
      <c r="BG247" s="437"/>
      <c r="BH247" s="437"/>
      <c r="BI247" s="437"/>
      <c r="BJ247" s="437"/>
      <c r="BK247" s="437"/>
      <c r="BL247" s="437"/>
      <c r="BM247" s="1327"/>
      <c r="BN247" s="1327"/>
      <c r="BO247" s="1327"/>
      <c r="BP247" s="1327"/>
      <c r="BQ247" s="1327"/>
      <c r="BR247" s="1327"/>
      <c r="BS247" s="1327"/>
      <c r="BT247" s="1327"/>
      <c r="BU247" s="1327"/>
      <c r="BV247" s="1327"/>
      <c r="BW247" s="1327"/>
      <c r="BX247" s="1327"/>
      <c r="BY247" s="1327"/>
      <c r="BZ247" s="1327"/>
      <c r="CA247" s="1327"/>
      <c r="CB247" s="1327"/>
      <c r="CC247" s="1327"/>
      <c r="CD247" s="1327"/>
      <c r="CE247" s="1327"/>
      <c r="CF247" s="1327"/>
      <c r="CG247" s="1327"/>
      <c r="CH247" s="1327"/>
      <c r="CI247" s="1327"/>
      <c r="CJ247" s="1327"/>
      <c r="CK247" s="1327"/>
      <c r="CL247" s="1327"/>
      <c r="CM247" s="1327"/>
      <c r="CN247" s="1327"/>
      <c r="CO247" s="1327"/>
      <c r="CP247" s="1327"/>
      <c r="CQ247" s="1327"/>
      <c r="CR247" s="1327"/>
      <c r="CS247" s="1327"/>
      <c r="CT247" s="1317"/>
      <c r="CU247" s="1317"/>
      <c r="CV247" s="1317"/>
      <c r="CW247" s="1317"/>
      <c r="CX247" s="1317"/>
      <c r="CY247" s="1317"/>
      <c r="CZ247" s="1317"/>
      <c r="DA247" s="1317"/>
      <c r="DB247" s="1317"/>
      <c r="DC247" s="1317"/>
      <c r="DD247" s="1317"/>
      <c r="DE247" s="1317"/>
      <c r="DF247" s="1317"/>
      <c r="DG247" s="1317"/>
    </row>
    <row r="248" ht="18.75" customHeight="1">
      <c r="G248" s="1344"/>
      <c r="H248" s="1345">
        <f t="shared" si="4"/>
        <v>0</v>
      </c>
      <c r="I248" s="1381"/>
      <c r="J248" s="1381"/>
      <c r="K248" s="1381"/>
      <c r="L248" s="1381"/>
      <c r="M248" s="1381"/>
      <c r="N248" s="1381"/>
      <c r="O248" s="1381"/>
      <c r="P248" s="1381"/>
      <c r="Q248" s="1381"/>
      <c r="R248" s="1381"/>
      <c r="T248" s="1349"/>
      <c r="U248" s="1349" t="s">
        <v>123</v>
      </c>
      <c r="V248" s="1349" t="s">
        <v>123</v>
      </c>
      <c r="W248" s="1349"/>
      <c r="X248" s="1349"/>
      <c r="Y248" s="1308"/>
      <c r="Z248" s="437" t="str">
        <f>IFERROR(__xludf.DUMMYFUNCTION("IF(NOT('portfólio'!$AV$7),"""",IF($T248="""","""",IFERROR(query({AtivosDados},""select sum(""&amp;Z$3&amp;"") where Col1='""&amp;$T248&amp;""' label sum(""&amp;Z$3&amp;"") ''""),0)))"),"")</f>
        <v/>
      </c>
      <c r="AA248" s="437" t="str">
        <f>IFERROR(__xludf.DUMMYFUNCTION("IF(NOT('portfólio'!$AV$7),"""",IF($T248="""","""",IFERROR(query({AtivosDados},""select sum(""&amp;AA$3&amp;"") where Col1='""&amp;$T248&amp;""' label sum(""&amp;AA$3&amp;"") ''""),0)))"),"")</f>
        <v/>
      </c>
      <c r="AB248" s="437" t="str">
        <f>IFERROR(__xludf.DUMMYFUNCTION("IF(NOT('portfólio'!$AV$7),"""",IF($T248="""","""",IFERROR(query({AtivosDados},""select sum(""&amp;AB$3&amp;"") where Col1='""&amp;$T248&amp;""' label sum(""&amp;AB$3&amp;"") ''""),0)))"),"")</f>
        <v/>
      </c>
      <c r="AC248" s="437" t="str">
        <f>IFERROR(__xludf.DUMMYFUNCTION("IF(NOT('portfólio'!$AV$7),"""",IF($T248="""","""",IFERROR(query({AtivosDados},""select sum(""&amp;AC$3&amp;"") where Col1='""&amp;$T248&amp;""' label sum(""&amp;AC$3&amp;"") ''""),0)))"),"")</f>
        <v/>
      </c>
      <c r="AD248" s="437" t="str">
        <f>IFERROR(__xludf.DUMMYFUNCTION("IF(NOT('portfólio'!$AV$7),"""",IF($T248="""","""",IFERROR(query({AtivosDados},""select sum(""&amp;AD$3&amp;"") where Col1='""&amp;$T248&amp;""' label sum(""&amp;AD$3&amp;"") ''""),0)))"),"")</f>
        <v/>
      </c>
      <c r="AE248" s="437"/>
      <c r="AF248" s="1327"/>
      <c r="AG248" s="437"/>
      <c r="AH248" s="437"/>
      <c r="AI248" s="437"/>
      <c r="AJ248" s="437"/>
      <c r="AK248" s="437"/>
      <c r="AL248" s="437"/>
      <c r="AM248" s="437"/>
      <c r="AN248" s="437"/>
      <c r="AO248" s="437"/>
      <c r="AP248" s="437"/>
      <c r="AQ248" s="1327"/>
      <c r="AR248" s="437"/>
      <c r="AS248" s="437"/>
      <c r="AT248" s="437"/>
      <c r="AU248" s="437"/>
      <c r="AV248" s="437"/>
      <c r="AW248" s="437"/>
      <c r="AX248" s="437"/>
      <c r="AY248" s="437"/>
      <c r="AZ248" s="437"/>
      <c r="BA248" s="437"/>
      <c r="BB248" s="1327"/>
      <c r="BC248" s="437"/>
      <c r="BD248" s="437"/>
      <c r="BE248" s="437"/>
      <c r="BF248" s="437"/>
      <c r="BG248" s="437"/>
      <c r="BH248" s="437"/>
      <c r="BI248" s="437"/>
      <c r="BJ248" s="437"/>
      <c r="BK248" s="437"/>
      <c r="BL248" s="437"/>
      <c r="BM248" s="1327"/>
      <c r="BN248" s="1327"/>
      <c r="BO248" s="1327"/>
      <c r="BP248" s="1327"/>
      <c r="BQ248" s="1327"/>
      <c r="BR248" s="1327"/>
      <c r="BS248" s="1327"/>
      <c r="BT248" s="1327"/>
      <c r="BU248" s="1327"/>
      <c r="BV248" s="1327"/>
      <c r="BW248" s="1327"/>
      <c r="BX248" s="1327"/>
      <c r="BY248" s="1327"/>
      <c r="BZ248" s="1327"/>
      <c r="CA248" s="1327"/>
      <c r="CB248" s="1327"/>
      <c r="CC248" s="1327"/>
      <c r="CD248" s="1327"/>
      <c r="CE248" s="1327"/>
      <c r="CF248" s="1327"/>
      <c r="CG248" s="1327"/>
      <c r="CH248" s="1327"/>
      <c r="CI248" s="1327"/>
      <c r="CJ248" s="1327"/>
      <c r="CK248" s="1327"/>
      <c r="CL248" s="1327"/>
      <c r="CM248" s="1327"/>
      <c r="CN248" s="1327"/>
      <c r="CO248" s="1327"/>
      <c r="CP248" s="1327"/>
      <c r="CQ248" s="1327"/>
      <c r="CR248" s="1327"/>
      <c r="CS248" s="1327"/>
      <c r="CT248" s="1317"/>
      <c r="CU248" s="1317"/>
      <c r="CV248" s="1317"/>
      <c r="CW248" s="1317"/>
      <c r="CX248" s="1317"/>
      <c r="CY248" s="1317"/>
      <c r="CZ248" s="1317"/>
      <c r="DA248" s="1317"/>
      <c r="DB248" s="1317"/>
      <c r="DC248" s="1317"/>
      <c r="DD248" s="1317"/>
      <c r="DE248" s="1317"/>
      <c r="DF248" s="1317"/>
      <c r="DG248" s="1317"/>
    </row>
    <row r="249" ht="18.75" customHeight="1">
      <c r="G249" s="1344"/>
      <c r="H249" s="1345">
        <f t="shared" si="4"/>
        <v>0</v>
      </c>
      <c r="I249" s="1381"/>
      <c r="J249" s="1381"/>
      <c r="K249" s="1381"/>
      <c r="L249" s="1381"/>
      <c r="M249" s="1381"/>
      <c r="N249" s="1381"/>
      <c r="O249" s="1381"/>
      <c r="P249" s="1381"/>
      <c r="Q249" s="1381"/>
      <c r="R249" s="1381"/>
      <c r="T249" s="1349"/>
      <c r="U249" s="1349" t="s">
        <v>123</v>
      </c>
      <c r="V249" s="1349" t="s">
        <v>123</v>
      </c>
      <c r="W249" s="1349"/>
      <c r="X249" s="1349"/>
      <c r="Y249" s="1308"/>
      <c r="Z249" s="437" t="str">
        <f>IFERROR(__xludf.DUMMYFUNCTION("IF(NOT('portfólio'!$AV$7),"""",IF($T249="""","""",IFERROR(query({AtivosDados},""select sum(""&amp;Z$3&amp;"") where Col1='""&amp;$T249&amp;""' label sum(""&amp;Z$3&amp;"") ''""),0)))"),"")</f>
        <v/>
      </c>
      <c r="AA249" s="437" t="str">
        <f>IFERROR(__xludf.DUMMYFUNCTION("IF(NOT('portfólio'!$AV$7),"""",IF($T249="""","""",IFERROR(query({AtivosDados},""select sum(""&amp;AA$3&amp;"") where Col1='""&amp;$T249&amp;""' label sum(""&amp;AA$3&amp;"") ''""),0)))"),"")</f>
        <v/>
      </c>
      <c r="AB249" s="437" t="str">
        <f>IFERROR(__xludf.DUMMYFUNCTION("IF(NOT('portfólio'!$AV$7),"""",IF($T249="""","""",IFERROR(query({AtivosDados},""select sum(""&amp;AB$3&amp;"") where Col1='""&amp;$T249&amp;""' label sum(""&amp;AB$3&amp;"") ''""),0)))"),"")</f>
        <v/>
      </c>
      <c r="AC249" s="437" t="str">
        <f>IFERROR(__xludf.DUMMYFUNCTION("IF(NOT('portfólio'!$AV$7),"""",IF($T249="""","""",IFERROR(query({AtivosDados},""select sum(""&amp;AC$3&amp;"") where Col1='""&amp;$T249&amp;""' label sum(""&amp;AC$3&amp;"") ''""),0)))"),"")</f>
        <v/>
      </c>
      <c r="AD249" s="437" t="str">
        <f>IFERROR(__xludf.DUMMYFUNCTION("IF(NOT('portfólio'!$AV$7),"""",IF($T249="""","""",IFERROR(query({AtivosDados},""select sum(""&amp;AD$3&amp;"") where Col1='""&amp;$T249&amp;""' label sum(""&amp;AD$3&amp;"") ''""),0)))"),"")</f>
        <v/>
      </c>
      <c r="AE249" s="437"/>
      <c r="AF249" s="1327"/>
      <c r="AG249" s="437"/>
      <c r="AH249" s="437"/>
      <c r="AI249" s="437"/>
      <c r="AJ249" s="437"/>
      <c r="AK249" s="437"/>
      <c r="AL249" s="437"/>
      <c r="AM249" s="437"/>
      <c r="AN249" s="437"/>
      <c r="AO249" s="437"/>
      <c r="AP249" s="437"/>
      <c r="AQ249" s="1327"/>
      <c r="AR249" s="437"/>
      <c r="AS249" s="437"/>
      <c r="AT249" s="437"/>
      <c r="AU249" s="437"/>
      <c r="AV249" s="437"/>
      <c r="AW249" s="437"/>
      <c r="AX249" s="437"/>
      <c r="AY249" s="437"/>
      <c r="AZ249" s="437"/>
      <c r="BA249" s="437"/>
      <c r="BB249" s="1327"/>
      <c r="BC249" s="437"/>
      <c r="BD249" s="437"/>
      <c r="BE249" s="437"/>
      <c r="BF249" s="437"/>
      <c r="BG249" s="437"/>
      <c r="BH249" s="437"/>
      <c r="BI249" s="437"/>
      <c r="BJ249" s="437"/>
      <c r="BK249" s="437"/>
      <c r="BL249" s="437"/>
      <c r="BM249" s="1327"/>
      <c r="BN249" s="1327"/>
      <c r="BO249" s="1327"/>
      <c r="BP249" s="1327"/>
      <c r="BQ249" s="1327"/>
      <c r="BR249" s="1327"/>
      <c r="BS249" s="1327"/>
      <c r="BT249" s="1327"/>
      <c r="BU249" s="1327"/>
      <c r="BV249" s="1327"/>
      <c r="BW249" s="1327"/>
      <c r="BX249" s="1327"/>
      <c r="BY249" s="1327"/>
      <c r="BZ249" s="1327"/>
      <c r="CA249" s="1327"/>
      <c r="CB249" s="1327"/>
      <c r="CC249" s="1327"/>
      <c r="CD249" s="1327"/>
      <c r="CE249" s="1327"/>
      <c r="CF249" s="1327"/>
      <c r="CG249" s="1327"/>
      <c r="CH249" s="1327"/>
      <c r="CI249" s="1327"/>
      <c r="CJ249" s="1327"/>
      <c r="CK249" s="1327"/>
      <c r="CL249" s="1327"/>
      <c r="CM249" s="1327"/>
      <c r="CN249" s="1327"/>
      <c r="CO249" s="1327"/>
      <c r="CP249" s="1327"/>
      <c r="CQ249" s="1327"/>
      <c r="CR249" s="1327"/>
      <c r="CS249" s="1327"/>
      <c r="CT249" s="1317"/>
      <c r="CU249" s="1317"/>
      <c r="CV249" s="1317"/>
      <c r="CW249" s="1317"/>
      <c r="CX249" s="1317"/>
      <c r="CY249" s="1317"/>
      <c r="CZ249" s="1317"/>
      <c r="DA249" s="1317"/>
      <c r="DB249" s="1317"/>
      <c r="DC249" s="1317"/>
      <c r="DD249" s="1317"/>
      <c r="DE249" s="1317"/>
      <c r="DF249" s="1317"/>
      <c r="DG249" s="1317"/>
    </row>
    <row r="250" ht="18.75" customHeight="1">
      <c r="G250" s="1344"/>
      <c r="H250" s="1345">
        <f t="shared" si="4"/>
        <v>0</v>
      </c>
      <c r="I250" s="1381"/>
      <c r="J250" s="1381"/>
      <c r="K250" s="1381"/>
      <c r="L250" s="1381"/>
      <c r="M250" s="1381"/>
      <c r="N250" s="1381"/>
      <c r="O250" s="1381"/>
      <c r="P250" s="1381"/>
      <c r="Q250" s="1381"/>
      <c r="R250" s="1381"/>
      <c r="T250" s="1349"/>
      <c r="U250" s="1349" t="s">
        <v>123</v>
      </c>
      <c r="V250" s="1349" t="s">
        <v>123</v>
      </c>
      <c r="W250" s="1349"/>
      <c r="X250" s="1349"/>
      <c r="Y250" s="1308"/>
      <c r="Z250" s="437" t="str">
        <f>IFERROR(__xludf.DUMMYFUNCTION("IF(NOT('portfólio'!$AV$7),"""",IF($T250="""","""",IFERROR(query({AtivosDados},""select sum(""&amp;Z$3&amp;"") where Col1='""&amp;$T250&amp;""' label sum(""&amp;Z$3&amp;"") ''""),0)))"),"")</f>
        <v/>
      </c>
      <c r="AA250" s="437" t="str">
        <f>IFERROR(__xludf.DUMMYFUNCTION("IF(NOT('portfólio'!$AV$7),"""",IF($T250="""","""",IFERROR(query({AtivosDados},""select sum(""&amp;AA$3&amp;"") where Col1='""&amp;$T250&amp;""' label sum(""&amp;AA$3&amp;"") ''""),0)))"),"")</f>
        <v/>
      </c>
      <c r="AB250" s="437" t="str">
        <f>IFERROR(__xludf.DUMMYFUNCTION("IF(NOT('portfólio'!$AV$7),"""",IF($T250="""","""",IFERROR(query({AtivosDados},""select sum(""&amp;AB$3&amp;"") where Col1='""&amp;$T250&amp;""' label sum(""&amp;AB$3&amp;"") ''""),0)))"),"")</f>
        <v/>
      </c>
      <c r="AC250" s="437" t="str">
        <f>IFERROR(__xludf.DUMMYFUNCTION("IF(NOT('portfólio'!$AV$7),"""",IF($T250="""","""",IFERROR(query({AtivosDados},""select sum(""&amp;AC$3&amp;"") where Col1='""&amp;$T250&amp;""' label sum(""&amp;AC$3&amp;"") ''""),0)))"),"")</f>
        <v/>
      </c>
      <c r="AD250" s="437" t="str">
        <f>IFERROR(__xludf.DUMMYFUNCTION("IF(NOT('portfólio'!$AV$7),"""",IF($T250="""","""",IFERROR(query({AtivosDados},""select sum(""&amp;AD$3&amp;"") where Col1='""&amp;$T250&amp;""' label sum(""&amp;AD$3&amp;"") ''""),0)))"),"")</f>
        <v/>
      </c>
      <c r="AE250" s="437"/>
      <c r="AF250" s="1327"/>
      <c r="AG250" s="437"/>
      <c r="AH250" s="437"/>
      <c r="AI250" s="437"/>
      <c r="AJ250" s="437"/>
      <c r="AK250" s="437"/>
      <c r="AL250" s="437"/>
      <c r="AM250" s="437"/>
      <c r="AN250" s="437"/>
      <c r="AO250" s="437"/>
      <c r="AP250" s="437"/>
      <c r="AQ250" s="1327"/>
      <c r="AR250" s="437"/>
      <c r="AS250" s="437"/>
      <c r="AT250" s="437"/>
      <c r="AU250" s="437"/>
      <c r="AV250" s="437"/>
      <c r="AW250" s="437"/>
      <c r="AX250" s="437"/>
      <c r="AY250" s="437"/>
      <c r="AZ250" s="437"/>
      <c r="BA250" s="437"/>
      <c r="BB250" s="1327"/>
      <c r="BC250" s="437"/>
      <c r="BD250" s="437"/>
      <c r="BE250" s="437"/>
      <c r="BF250" s="437"/>
      <c r="BG250" s="437"/>
      <c r="BH250" s="437"/>
      <c r="BI250" s="437"/>
      <c r="BJ250" s="437"/>
      <c r="BK250" s="437"/>
      <c r="BL250" s="437"/>
      <c r="BM250" s="1327"/>
      <c r="BN250" s="1327"/>
      <c r="BO250" s="1327"/>
      <c r="BP250" s="1327"/>
      <c r="BQ250" s="1327"/>
      <c r="BR250" s="1327"/>
      <c r="BS250" s="1327"/>
      <c r="BT250" s="1327"/>
      <c r="BU250" s="1327"/>
      <c r="BV250" s="1327"/>
      <c r="BW250" s="1327"/>
      <c r="BX250" s="1327"/>
      <c r="BY250" s="1327"/>
      <c r="BZ250" s="1327"/>
      <c r="CA250" s="1327"/>
      <c r="CB250" s="1327"/>
      <c r="CC250" s="1327"/>
      <c r="CD250" s="1327"/>
      <c r="CE250" s="1327"/>
      <c r="CF250" s="1327"/>
      <c r="CG250" s="1327"/>
      <c r="CH250" s="1327"/>
      <c r="CI250" s="1327"/>
      <c r="CJ250" s="1327"/>
      <c r="CK250" s="1327"/>
      <c r="CL250" s="1327"/>
      <c r="CM250" s="1327"/>
      <c r="CN250" s="1327"/>
      <c r="CO250" s="1327"/>
      <c r="CP250" s="1327"/>
      <c r="CQ250" s="1327"/>
      <c r="CR250" s="1327"/>
      <c r="CS250" s="1327"/>
      <c r="CT250" s="1317"/>
      <c r="CU250" s="1317"/>
      <c r="CV250" s="1317"/>
      <c r="CW250" s="1317"/>
      <c r="CX250" s="1317"/>
      <c r="CY250" s="1317"/>
      <c r="CZ250" s="1317"/>
      <c r="DA250" s="1317"/>
      <c r="DB250" s="1317"/>
      <c r="DC250" s="1317"/>
      <c r="DD250" s="1317"/>
      <c r="DE250" s="1317"/>
      <c r="DF250" s="1317"/>
      <c r="DG250" s="1317"/>
    </row>
    <row r="251" ht="18.75" customHeight="1">
      <c r="G251" s="1344"/>
      <c r="H251" s="1345">
        <f t="shared" si="4"/>
        <v>0</v>
      </c>
      <c r="I251" s="1381"/>
      <c r="J251" s="1381"/>
      <c r="K251" s="1381"/>
      <c r="L251" s="1381"/>
      <c r="M251" s="1381"/>
      <c r="N251" s="1381"/>
      <c r="O251" s="1381"/>
      <c r="P251" s="1381"/>
      <c r="Q251" s="1381"/>
      <c r="R251" s="1381"/>
      <c r="T251" s="1349"/>
      <c r="U251" s="1349" t="s">
        <v>123</v>
      </c>
      <c r="V251" s="1349" t="s">
        <v>123</v>
      </c>
      <c r="W251" s="1349"/>
      <c r="X251" s="1349"/>
      <c r="Y251" s="1308"/>
      <c r="Z251" s="437" t="str">
        <f>IFERROR(__xludf.DUMMYFUNCTION("IF(NOT('portfólio'!$AV$7),"""",IF($T251="""","""",IFERROR(query({AtivosDados},""select sum(""&amp;Z$3&amp;"") where Col1='""&amp;$T251&amp;""' label sum(""&amp;Z$3&amp;"") ''""),0)))"),"")</f>
        <v/>
      </c>
      <c r="AA251" s="437" t="str">
        <f>IFERROR(__xludf.DUMMYFUNCTION("IF(NOT('portfólio'!$AV$7),"""",IF($T251="""","""",IFERROR(query({AtivosDados},""select sum(""&amp;AA$3&amp;"") where Col1='""&amp;$T251&amp;""' label sum(""&amp;AA$3&amp;"") ''""),0)))"),"")</f>
        <v/>
      </c>
      <c r="AB251" s="437" t="str">
        <f>IFERROR(__xludf.DUMMYFUNCTION("IF(NOT('portfólio'!$AV$7),"""",IF($T251="""","""",IFERROR(query({AtivosDados},""select sum(""&amp;AB$3&amp;"") where Col1='""&amp;$T251&amp;""' label sum(""&amp;AB$3&amp;"") ''""),0)))"),"")</f>
        <v/>
      </c>
      <c r="AC251" s="437" t="str">
        <f>IFERROR(__xludf.DUMMYFUNCTION("IF(NOT('portfólio'!$AV$7),"""",IF($T251="""","""",IFERROR(query({AtivosDados},""select sum(""&amp;AC$3&amp;"") where Col1='""&amp;$T251&amp;""' label sum(""&amp;AC$3&amp;"") ''""),0)))"),"")</f>
        <v/>
      </c>
      <c r="AD251" s="437" t="str">
        <f>IFERROR(__xludf.DUMMYFUNCTION("IF(NOT('portfólio'!$AV$7),"""",IF($T251="""","""",IFERROR(query({AtivosDados},""select sum(""&amp;AD$3&amp;"") where Col1='""&amp;$T251&amp;""' label sum(""&amp;AD$3&amp;"") ''""),0)))"),"")</f>
        <v/>
      </c>
      <c r="AE251" s="437"/>
      <c r="AF251" s="1327"/>
      <c r="AG251" s="437"/>
      <c r="AH251" s="437"/>
      <c r="AI251" s="437"/>
      <c r="AJ251" s="437"/>
      <c r="AK251" s="437"/>
      <c r="AL251" s="437"/>
      <c r="AM251" s="437"/>
      <c r="AN251" s="437"/>
      <c r="AO251" s="437"/>
      <c r="AP251" s="437"/>
      <c r="AQ251" s="1327"/>
      <c r="AR251" s="437"/>
      <c r="AS251" s="437"/>
      <c r="AT251" s="437"/>
      <c r="AU251" s="437"/>
      <c r="AV251" s="437"/>
      <c r="AW251" s="437"/>
      <c r="AX251" s="437"/>
      <c r="AY251" s="437"/>
      <c r="AZ251" s="437"/>
      <c r="BA251" s="437"/>
      <c r="BB251" s="1327"/>
      <c r="BC251" s="437"/>
      <c r="BD251" s="437"/>
      <c r="BE251" s="437"/>
      <c r="BF251" s="437"/>
      <c r="BG251" s="437"/>
      <c r="BH251" s="437"/>
      <c r="BI251" s="437"/>
      <c r="BJ251" s="437"/>
      <c r="BK251" s="437"/>
      <c r="BL251" s="437"/>
      <c r="BM251" s="1327"/>
      <c r="BN251" s="1327"/>
      <c r="BO251" s="1327"/>
      <c r="BP251" s="1327"/>
      <c r="BQ251" s="1327"/>
      <c r="BR251" s="1327"/>
      <c r="BS251" s="1327"/>
      <c r="BT251" s="1327"/>
      <c r="BU251" s="1327"/>
      <c r="BV251" s="1327"/>
      <c r="BW251" s="1327"/>
      <c r="BX251" s="1327"/>
      <c r="BY251" s="1327"/>
      <c r="BZ251" s="1327"/>
      <c r="CA251" s="1327"/>
      <c r="CB251" s="1327"/>
      <c r="CC251" s="1327"/>
      <c r="CD251" s="1327"/>
      <c r="CE251" s="1327"/>
      <c r="CF251" s="1327"/>
      <c r="CG251" s="1327"/>
      <c r="CH251" s="1327"/>
      <c r="CI251" s="1327"/>
      <c r="CJ251" s="1327"/>
      <c r="CK251" s="1327"/>
      <c r="CL251" s="1327"/>
      <c r="CM251" s="1327"/>
      <c r="CN251" s="1327"/>
      <c r="CO251" s="1327"/>
      <c r="CP251" s="1327"/>
      <c r="CQ251" s="1327"/>
      <c r="CR251" s="1327"/>
      <c r="CS251" s="1327"/>
      <c r="CT251" s="1317"/>
      <c r="CU251" s="1317"/>
      <c r="CV251" s="1317"/>
      <c r="CW251" s="1317"/>
      <c r="CX251" s="1317"/>
      <c r="CY251" s="1317"/>
      <c r="CZ251" s="1317"/>
      <c r="DA251" s="1317"/>
      <c r="DB251" s="1317"/>
      <c r="DC251" s="1317"/>
      <c r="DD251" s="1317"/>
      <c r="DE251" s="1317"/>
      <c r="DF251" s="1317"/>
      <c r="DG251" s="1317"/>
    </row>
    <row r="252" ht="18.75" customHeight="1">
      <c r="G252" s="1344"/>
      <c r="H252" s="1345">
        <f t="shared" si="4"/>
        <v>0</v>
      </c>
      <c r="I252" s="1381"/>
      <c r="J252" s="1381"/>
      <c r="K252" s="1381"/>
      <c r="L252" s="1381"/>
      <c r="M252" s="1381"/>
      <c r="N252" s="1381"/>
      <c r="O252" s="1381"/>
      <c r="P252" s="1381"/>
      <c r="Q252" s="1381"/>
      <c r="R252" s="1381"/>
      <c r="T252" s="1349"/>
      <c r="U252" s="1349" t="s">
        <v>123</v>
      </c>
      <c r="V252" s="1349" t="s">
        <v>123</v>
      </c>
      <c r="W252" s="1349"/>
      <c r="X252" s="1349"/>
      <c r="Y252" s="1308"/>
      <c r="Z252" s="437" t="str">
        <f>IFERROR(__xludf.DUMMYFUNCTION("IF(NOT('portfólio'!$AV$7),"""",IF($T252="""","""",IFERROR(query({AtivosDados},""select sum(""&amp;Z$3&amp;"") where Col1='""&amp;$T252&amp;""' label sum(""&amp;Z$3&amp;"") ''""),0)))"),"")</f>
        <v/>
      </c>
      <c r="AA252" s="437" t="str">
        <f>IFERROR(__xludf.DUMMYFUNCTION("IF(NOT('portfólio'!$AV$7),"""",IF($T252="""","""",IFERROR(query({AtivosDados},""select sum(""&amp;AA$3&amp;"") where Col1='""&amp;$T252&amp;""' label sum(""&amp;AA$3&amp;"") ''""),0)))"),"")</f>
        <v/>
      </c>
      <c r="AB252" s="437" t="str">
        <f>IFERROR(__xludf.DUMMYFUNCTION("IF(NOT('portfólio'!$AV$7),"""",IF($T252="""","""",IFERROR(query({AtivosDados},""select sum(""&amp;AB$3&amp;"") where Col1='""&amp;$T252&amp;""' label sum(""&amp;AB$3&amp;"") ''""),0)))"),"")</f>
        <v/>
      </c>
      <c r="AC252" s="437" t="str">
        <f>IFERROR(__xludf.DUMMYFUNCTION("IF(NOT('portfólio'!$AV$7),"""",IF($T252="""","""",IFERROR(query({AtivosDados},""select sum(""&amp;AC$3&amp;"") where Col1='""&amp;$T252&amp;""' label sum(""&amp;AC$3&amp;"") ''""),0)))"),"")</f>
        <v/>
      </c>
      <c r="AD252" s="437" t="str">
        <f>IFERROR(__xludf.DUMMYFUNCTION("IF(NOT('portfólio'!$AV$7),"""",IF($T252="""","""",IFERROR(query({AtivosDados},""select sum(""&amp;AD$3&amp;"") where Col1='""&amp;$T252&amp;""' label sum(""&amp;AD$3&amp;"") ''""),0)))"),"")</f>
        <v/>
      </c>
      <c r="AE252" s="437"/>
      <c r="AF252" s="1327"/>
      <c r="AG252" s="437"/>
      <c r="AH252" s="437"/>
      <c r="AI252" s="437"/>
      <c r="AJ252" s="437"/>
      <c r="AK252" s="437"/>
      <c r="AL252" s="437"/>
      <c r="AM252" s="437"/>
      <c r="AN252" s="437"/>
      <c r="AO252" s="437"/>
      <c r="AP252" s="437"/>
      <c r="AQ252" s="1327"/>
      <c r="AR252" s="437"/>
      <c r="AS252" s="437"/>
      <c r="AT252" s="437"/>
      <c r="AU252" s="437"/>
      <c r="AV252" s="437"/>
      <c r="AW252" s="437"/>
      <c r="AX252" s="437"/>
      <c r="AY252" s="437"/>
      <c r="AZ252" s="437"/>
      <c r="BA252" s="437"/>
      <c r="BB252" s="1327"/>
      <c r="BC252" s="437"/>
      <c r="BD252" s="437"/>
      <c r="BE252" s="437"/>
      <c r="BF252" s="437"/>
      <c r="BG252" s="437"/>
      <c r="BH252" s="437"/>
      <c r="BI252" s="437"/>
      <c r="BJ252" s="437"/>
      <c r="BK252" s="437"/>
      <c r="BL252" s="437"/>
      <c r="BM252" s="1327"/>
      <c r="BN252" s="1327"/>
      <c r="BO252" s="1327"/>
      <c r="BP252" s="1327"/>
      <c r="BQ252" s="1327"/>
      <c r="BR252" s="1327"/>
      <c r="BS252" s="1327"/>
      <c r="BT252" s="1327"/>
      <c r="BU252" s="1327"/>
      <c r="BV252" s="1327"/>
      <c r="BW252" s="1327"/>
      <c r="BX252" s="1327"/>
      <c r="BY252" s="1327"/>
      <c r="BZ252" s="1327"/>
      <c r="CA252" s="1327"/>
      <c r="CB252" s="1327"/>
      <c r="CC252" s="1327"/>
      <c r="CD252" s="1327"/>
      <c r="CE252" s="1327"/>
      <c r="CF252" s="1327"/>
      <c r="CG252" s="1327"/>
      <c r="CH252" s="1327"/>
      <c r="CI252" s="1327"/>
      <c r="CJ252" s="1327"/>
      <c r="CK252" s="1327"/>
      <c r="CL252" s="1327"/>
      <c r="CM252" s="1327"/>
      <c r="CN252" s="1327"/>
      <c r="CO252" s="1327"/>
      <c r="CP252" s="1327"/>
      <c r="CQ252" s="1327"/>
      <c r="CR252" s="1327"/>
      <c r="CS252" s="1327"/>
      <c r="CT252" s="1317"/>
      <c r="CU252" s="1317"/>
      <c r="CV252" s="1317"/>
      <c r="CW252" s="1317"/>
      <c r="CX252" s="1317"/>
      <c r="CY252" s="1317"/>
      <c r="CZ252" s="1317"/>
      <c r="DA252" s="1317"/>
      <c r="DB252" s="1317"/>
      <c r="DC252" s="1317"/>
      <c r="DD252" s="1317"/>
      <c r="DE252" s="1317"/>
      <c r="DF252" s="1317"/>
      <c r="DG252" s="1317"/>
    </row>
    <row r="253" ht="18.75" customHeight="1">
      <c r="G253" s="1344"/>
      <c r="H253" s="1345">
        <f t="shared" si="4"/>
        <v>0</v>
      </c>
      <c r="I253" s="1381"/>
      <c r="J253" s="1381"/>
      <c r="K253" s="1381"/>
      <c r="L253" s="1381"/>
      <c r="M253" s="1381"/>
      <c r="N253" s="1381"/>
      <c r="O253" s="1381"/>
      <c r="P253" s="1381"/>
      <c r="Q253" s="1381"/>
      <c r="R253" s="1381"/>
      <c r="T253" s="1349"/>
      <c r="U253" s="1349" t="s">
        <v>123</v>
      </c>
      <c r="V253" s="1349" t="s">
        <v>123</v>
      </c>
      <c r="W253" s="1349"/>
      <c r="X253" s="1349"/>
      <c r="Y253" s="1308"/>
      <c r="Z253" s="437" t="str">
        <f>IFERROR(__xludf.DUMMYFUNCTION("IF(NOT('portfólio'!$AV$7),"""",IF($T253="""","""",IFERROR(query({AtivosDados},""select sum(""&amp;Z$3&amp;"") where Col1='""&amp;$T253&amp;""' label sum(""&amp;Z$3&amp;"") ''""),0)))"),"")</f>
        <v/>
      </c>
      <c r="AA253" s="437" t="str">
        <f>IFERROR(__xludf.DUMMYFUNCTION("IF(NOT('portfólio'!$AV$7),"""",IF($T253="""","""",IFERROR(query({AtivosDados},""select sum(""&amp;AA$3&amp;"") where Col1='""&amp;$T253&amp;""' label sum(""&amp;AA$3&amp;"") ''""),0)))"),"")</f>
        <v/>
      </c>
      <c r="AB253" s="437" t="str">
        <f>IFERROR(__xludf.DUMMYFUNCTION("IF(NOT('portfólio'!$AV$7),"""",IF($T253="""","""",IFERROR(query({AtivosDados},""select sum(""&amp;AB$3&amp;"") where Col1='""&amp;$T253&amp;""' label sum(""&amp;AB$3&amp;"") ''""),0)))"),"")</f>
        <v/>
      </c>
      <c r="AC253" s="437" t="str">
        <f>IFERROR(__xludf.DUMMYFUNCTION("IF(NOT('portfólio'!$AV$7),"""",IF($T253="""","""",IFERROR(query({AtivosDados},""select sum(""&amp;AC$3&amp;"") where Col1='""&amp;$T253&amp;""' label sum(""&amp;AC$3&amp;"") ''""),0)))"),"")</f>
        <v/>
      </c>
      <c r="AD253" s="437" t="str">
        <f>IFERROR(__xludf.DUMMYFUNCTION("IF(NOT('portfólio'!$AV$7),"""",IF($T253="""","""",IFERROR(query({AtivosDados},""select sum(""&amp;AD$3&amp;"") where Col1='""&amp;$T253&amp;""' label sum(""&amp;AD$3&amp;"") ''""),0)))"),"")</f>
        <v/>
      </c>
      <c r="AE253" s="437"/>
      <c r="AF253" s="1327"/>
      <c r="AG253" s="437"/>
      <c r="AH253" s="437"/>
      <c r="AI253" s="437"/>
      <c r="AJ253" s="437"/>
      <c r="AK253" s="437"/>
      <c r="AL253" s="437"/>
      <c r="AM253" s="437"/>
      <c r="AN253" s="437"/>
      <c r="AO253" s="437"/>
      <c r="AP253" s="437"/>
      <c r="AQ253" s="1327"/>
      <c r="AR253" s="437"/>
      <c r="AS253" s="437"/>
      <c r="AT253" s="437"/>
      <c r="AU253" s="437"/>
      <c r="AV253" s="437"/>
      <c r="AW253" s="437"/>
      <c r="AX253" s="437"/>
      <c r="AY253" s="437"/>
      <c r="AZ253" s="437"/>
      <c r="BA253" s="437"/>
      <c r="BB253" s="1327"/>
      <c r="BC253" s="437"/>
      <c r="BD253" s="437"/>
      <c r="BE253" s="437"/>
      <c r="BF253" s="437"/>
      <c r="BG253" s="437"/>
      <c r="BH253" s="437"/>
      <c r="BI253" s="437"/>
      <c r="BJ253" s="437"/>
      <c r="BK253" s="437"/>
      <c r="BL253" s="437"/>
      <c r="BM253" s="1327"/>
      <c r="BN253" s="1327"/>
      <c r="BO253" s="1327"/>
      <c r="BP253" s="1327"/>
      <c r="BQ253" s="1327"/>
      <c r="BR253" s="1327"/>
      <c r="BS253" s="1327"/>
      <c r="BT253" s="1327"/>
      <c r="BU253" s="1327"/>
      <c r="BV253" s="1327"/>
      <c r="BW253" s="1327"/>
      <c r="BX253" s="1327"/>
      <c r="BY253" s="1327"/>
      <c r="BZ253" s="1327"/>
      <c r="CA253" s="1327"/>
      <c r="CB253" s="1327"/>
      <c r="CC253" s="1327"/>
      <c r="CD253" s="1327"/>
      <c r="CE253" s="1327"/>
      <c r="CF253" s="1327"/>
      <c r="CG253" s="1327"/>
      <c r="CH253" s="1327"/>
      <c r="CI253" s="1327"/>
      <c r="CJ253" s="1327"/>
      <c r="CK253" s="1327"/>
      <c r="CL253" s="1327"/>
      <c r="CM253" s="1327"/>
      <c r="CN253" s="1327"/>
      <c r="CO253" s="1327"/>
      <c r="CP253" s="1327"/>
      <c r="CQ253" s="1327"/>
      <c r="CR253" s="1327"/>
      <c r="CS253" s="1327"/>
      <c r="CT253" s="1317"/>
      <c r="CU253" s="1317"/>
      <c r="CV253" s="1317"/>
      <c r="CW253" s="1317"/>
      <c r="CX253" s="1317"/>
      <c r="CY253" s="1317"/>
      <c r="CZ253" s="1317"/>
      <c r="DA253" s="1317"/>
      <c r="DB253" s="1317"/>
      <c r="DC253" s="1317"/>
      <c r="DD253" s="1317"/>
      <c r="DE253" s="1317"/>
      <c r="DF253" s="1317"/>
      <c r="DG253" s="1317"/>
    </row>
    <row r="254" ht="18.75" customHeight="1">
      <c r="G254" s="1344"/>
      <c r="H254" s="1345">
        <f t="shared" si="4"/>
        <v>0</v>
      </c>
      <c r="I254" s="1381"/>
      <c r="J254" s="1381"/>
      <c r="K254" s="1381"/>
      <c r="L254" s="1381"/>
      <c r="M254" s="1381"/>
      <c r="N254" s="1381"/>
      <c r="O254" s="1381"/>
      <c r="P254" s="1381"/>
      <c r="Q254" s="1381"/>
      <c r="R254" s="1381"/>
      <c r="T254" s="1349"/>
      <c r="U254" s="1349" t="s">
        <v>123</v>
      </c>
      <c r="V254" s="1349" t="s">
        <v>123</v>
      </c>
      <c r="W254" s="1349"/>
      <c r="X254" s="1349"/>
      <c r="Y254" s="1308"/>
      <c r="Z254" s="437" t="str">
        <f>IFERROR(__xludf.DUMMYFUNCTION("IF(NOT('portfólio'!$AV$7),"""",IF($T254="""","""",IFERROR(query({AtivosDados},""select sum(""&amp;Z$3&amp;"") where Col1='""&amp;$T254&amp;""' label sum(""&amp;Z$3&amp;"") ''""),0)))"),"")</f>
        <v/>
      </c>
      <c r="AA254" s="437" t="str">
        <f>IFERROR(__xludf.DUMMYFUNCTION("IF(NOT('portfólio'!$AV$7),"""",IF($T254="""","""",IFERROR(query({AtivosDados},""select sum(""&amp;AA$3&amp;"") where Col1='""&amp;$T254&amp;""' label sum(""&amp;AA$3&amp;"") ''""),0)))"),"")</f>
        <v/>
      </c>
      <c r="AB254" s="437" t="str">
        <f>IFERROR(__xludf.DUMMYFUNCTION("IF(NOT('portfólio'!$AV$7),"""",IF($T254="""","""",IFERROR(query({AtivosDados},""select sum(""&amp;AB$3&amp;"") where Col1='""&amp;$T254&amp;""' label sum(""&amp;AB$3&amp;"") ''""),0)))"),"")</f>
        <v/>
      </c>
      <c r="AC254" s="437" t="str">
        <f>IFERROR(__xludf.DUMMYFUNCTION("IF(NOT('portfólio'!$AV$7),"""",IF($T254="""","""",IFERROR(query({AtivosDados},""select sum(""&amp;AC$3&amp;"") where Col1='""&amp;$T254&amp;""' label sum(""&amp;AC$3&amp;"") ''""),0)))"),"")</f>
        <v/>
      </c>
      <c r="AD254" s="437" t="str">
        <f>IFERROR(__xludf.DUMMYFUNCTION("IF(NOT('portfólio'!$AV$7),"""",IF($T254="""","""",IFERROR(query({AtivosDados},""select sum(""&amp;AD$3&amp;"") where Col1='""&amp;$T254&amp;""' label sum(""&amp;AD$3&amp;"") ''""),0)))"),"")</f>
        <v/>
      </c>
      <c r="AE254" s="437"/>
      <c r="AF254" s="1327"/>
      <c r="AG254" s="437"/>
      <c r="AH254" s="437"/>
      <c r="AI254" s="437"/>
      <c r="AJ254" s="437"/>
      <c r="AK254" s="437"/>
      <c r="AL254" s="437"/>
      <c r="AM254" s="437"/>
      <c r="AN254" s="437"/>
      <c r="AO254" s="437"/>
      <c r="AP254" s="437"/>
      <c r="AQ254" s="1327"/>
      <c r="AR254" s="437"/>
      <c r="AS254" s="437"/>
      <c r="AT254" s="437"/>
      <c r="AU254" s="437"/>
      <c r="AV254" s="437"/>
      <c r="AW254" s="437"/>
      <c r="AX254" s="437"/>
      <c r="AY254" s="437"/>
      <c r="AZ254" s="437"/>
      <c r="BA254" s="437"/>
      <c r="BB254" s="1327"/>
      <c r="BC254" s="437"/>
      <c r="BD254" s="437"/>
      <c r="BE254" s="437"/>
      <c r="BF254" s="437"/>
      <c r="BG254" s="437"/>
      <c r="BH254" s="437"/>
      <c r="BI254" s="437"/>
      <c r="BJ254" s="437"/>
      <c r="BK254" s="437"/>
      <c r="BL254" s="437"/>
      <c r="BM254" s="1327"/>
      <c r="BN254" s="1327"/>
      <c r="BO254" s="1327"/>
      <c r="BP254" s="1327"/>
      <c r="BQ254" s="1327"/>
      <c r="BR254" s="1327"/>
      <c r="BS254" s="1327"/>
      <c r="BT254" s="1327"/>
      <c r="BU254" s="1327"/>
      <c r="BV254" s="1327"/>
      <c r="BW254" s="1327"/>
      <c r="BX254" s="1327"/>
      <c r="BY254" s="1327"/>
      <c r="BZ254" s="1327"/>
      <c r="CA254" s="1327"/>
      <c r="CB254" s="1327"/>
      <c r="CC254" s="1327"/>
      <c r="CD254" s="1327"/>
      <c r="CE254" s="1327"/>
      <c r="CF254" s="1327"/>
      <c r="CG254" s="1327"/>
      <c r="CH254" s="1327"/>
      <c r="CI254" s="1327"/>
      <c r="CJ254" s="1327"/>
      <c r="CK254" s="1327"/>
      <c r="CL254" s="1327"/>
      <c r="CM254" s="1327"/>
      <c r="CN254" s="1327"/>
      <c r="CO254" s="1327"/>
      <c r="CP254" s="1327"/>
      <c r="CQ254" s="1327"/>
      <c r="CR254" s="1327"/>
      <c r="CS254" s="1327"/>
      <c r="CT254" s="1317"/>
      <c r="CU254" s="1317"/>
      <c r="CV254" s="1317"/>
      <c r="CW254" s="1317"/>
      <c r="CX254" s="1317"/>
      <c r="CY254" s="1317"/>
      <c r="CZ254" s="1317"/>
      <c r="DA254" s="1317"/>
      <c r="DB254" s="1317"/>
      <c r="DC254" s="1317"/>
      <c r="DD254" s="1317"/>
      <c r="DE254" s="1317"/>
      <c r="DF254" s="1317"/>
      <c r="DG254" s="1317"/>
    </row>
    <row r="255" ht="18.75" customHeight="1">
      <c r="G255" s="1344"/>
      <c r="H255" s="1345">
        <f t="shared" si="4"/>
        <v>0</v>
      </c>
      <c r="I255" s="1381"/>
      <c r="J255" s="1381"/>
      <c r="K255" s="1381"/>
      <c r="L255" s="1381"/>
      <c r="M255" s="1381"/>
      <c r="N255" s="1381"/>
      <c r="O255" s="1381"/>
      <c r="P255" s="1381"/>
      <c r="Q255" s="1381"/>
      <c r="R255" s="1381"/>
      <c r="T255" s="1349"/>
      <c r="U255" s="1349" t="s">
        <v>123</v>
      </c>
      <c r="V255" s="1349" t="s">
        <v>123</v>
      </c>
      <c r="W255" s="1349"/>
      <c r="X255" s="1349"/>
      <c r="Y255" s="1308"/>
      <c r="Z255" s="437" t="str">
        <f>IFERROR(__xludf.DUMMYFUNCTION("IF(NOT('portfólio'!$AV$7),"""",IF($T255="""","""",IFERROR(query({AtivosDados},""select sum(""&amp;Z$3&amp;"") where Col1='""&amp;$T255&amp;""' label sum(""&amp;Z$3&amp;"") ''""),0)))"),"")</f>
        <v/>
      </c>
      <c r="AA255" s="437" t="str">
        <f>IFERROR(__xludf.DUMMYFUNCTION("IF(NOT('portfólio'!$AV$7),"""",IF($T255="""","""",IFERROR(query({AtivosDados},""select sum(""&amp;AA$3&amp;"") where Col1='""&amp;$T255&amp;""' label sum(""&amp;AA$3&amp;"") ''""),0)))"),"")</f>
        <v/>
      </c>
      <c r="AB255" s="437" t="str">
        <f>IFERROR(__xludf.DUMMYFUNCTION("IF(NOT('portfólio'!$AV$7),"""",IF($T255="""","""",IFERROR(query({AtivosDados},""select sum(""&amp;AB$3&amp;"") where Col1='""&amp;$T255&amp;""' label sum(""&amp;AB$3&amp;"") ''""),0)))"),"")</f>
        <v/>
      </c>
      <c r="AC255" s="437" t="str">
        <f>IFERROR(__xludf.DUMMYFUNCTION("IF(NOT('portfólio'!$AV$7),"""",IF($T255="""","""",IFERROR(query({AtivosDados},""select sum(""&amp;AC$3&amp;"") where Col1='""&amp;$T255&amp;""' label sum(""&amp;AC$3&amp;"") ''""),0)))"),"")</f>
        <v/>
      </c>
      <c r="AD255" s="437" t="str">
        <f>IFERROR(__xludf.DUMMYFUNCTION("IF(NOT('portfólio'!$AV$7),"""",IF($T255="""","""",IFERROR(query({AtivosDados},""select sum(""&amp;AD$3&amp;"") where Col1='""&amp;$T255&amp;""' label sum(""&amp;AD$3&amp;"") ''""),0)))"),"")</f>
        <v/>
      </c>
      <c r="AE255" s="437"/>
      <c r="AF255" s="1327"/>
      <c r="AG255" s="437"/>
      <c r="AH255" s="437"/>
      <c r="AI255" s="437"/>
      <c r="AJ255" s="437"/>
      <c r="AK255" s="437"/>
      <c r="AL255" s="437"/>
      <c r="AM255" s="437"/>
      <c r="AN255" s="437"/>
      <c r="AO255" s="437"/>
      <c r="AP255" s="437"/>
      <c r="AQ255" s="1327"/>
      <c r="AR255" s="437"/>
      <c r="AS255" s="437"/>
      <c r="AT255" s="437"/>
      <c r="AU255" s="437"/>
      <c r="AV255" s="437"/>
      <c r="AW255" s="437"/>
      <c r="AX255" s="437"/>
      <c r="AY255" s="437"/>
      <c r="AZ255" s="437"/>
      <c r="BA255" s="437"/>
      <c r="BB255" s="1327"/>
      <c r="BC255" s="437"/>
      <c r="BD255" s="437"/>
      <c r="BE255" s="437"/>
      <c r="BF255" s="437"/>
      <c r="BG255" s="437"/>
      <c r="BH255" s="437"/>
      <c r="BI255" s="437"/>
      <c r="BJ255" s="437"/>
      <c r="BK255" s="437"/>
      <c r="BL255" s="437"/>
      <c r="BM255" s="1327"/>
      <c r="BN255" s="1327"/>
      <c r="BO255" s="1327"/>
      <c r="BP255" s="1327"/>
      <c r="BQ255" s="1327"/>
      <c r="BR255" s="1327"/>
      <c r="BS255" s="1327"/>
      <c r="BT255" s="1327"/>
      <c r="BU255" s="1327"/>
      <c r="BV255" s="1327"/>
      <c r="BW255" s="1327"/>
      <c r="BX255" s="1327"/>
      <c r="BY255" s="1327"/>
      <c r="BZ255" s="1327"/>
      <c r="CA255" s="1327"/>
      <c r="CB255" s="1327"/>
      <c r="CC255" s="1327"/>
      <c r="CD255" s="1327"/>
      <c r="CE255" s="1327"/>
      <c r="CF255" s="1327"/>
      <c r="CG255" s="1327"/>
      <c r="CH255" s="1327"/>
      <c r="CI255" s="1327"/>
      <c r="CJ255" s="1327"/>
      <c r="CK255" s="1327"/>
      <c r="CL255" s="1327"/>
      <c r="CM255" s="1327"/>
      <c r="CN255" s="1327"/>
      <c r="CO255" s="1327"/>
      <c r="CP255" s="1327"/>
      <c r="CQ255" s="1327"/>
      <c r="CR255" s="1327"/>
      <c r="CS255" s="1327"/>
      <c r="CT255" s="1317"/>
      <c r="CU255" s="1317"/>
      <c r="CV255" s="1317"/>
      <c r="CW255" s="1317"/>
      <c r="CX255" s="1317"/>
      <c r="CY255" s="1317"/>
      <c r="CZ255" s="1317"/>
      <c r="DA255" s="1317"/>
      <c r="DB255" s="1317"/>
      <c r="DC255" s="1317"/>
      <c r="DD255" s="1317"/>
      <c r="DE255" s="1317"/>
      <c r="DF255" s="1317"/>
      <c r="DG255" s="1317"/>
    </row>
    <row r="256" ht="18.75" customHeight="1">
      <c r="G256" s="1344"/>
      <c r="H256" s="1345">
        <f t="shared" si="4"/>
        <v>0</v>
      </c>
      <c r="I256" s="1381"/>
      <c r="J256" s="1381"/>
      <c r="K256" s="1381"/>
      <c r="L256" s="1381"/>
      <c r="M256" s="1381"/>
      <c r="N256" s="1381"/>
      <c r="O256" s="1381"/>
      <c r="P256" s="1381"/>
      <c r="Q256" s="1381"/>
      <c r="R256" s="1381"/>
      <c r="T256" s="1349"/>
      <c r="U256" s="1349" t="s">
        <v>123</v>
      </c>
      <c r="V256" s="1349" t="s">
        <v>123</v>
      </c>
      <c r="W256" s="1349"/>
      <c r="X256" s="1349"/>
      <c r="Y256" s="1308"/>
      <c r="Z256" s="437" t="str">
        <f>IFERROR(__xludf.DUMMYFUNCTION("IF(NOT('portfólio'!$AV$7),"""",IF($T256="""","""",IFERROR(query({AtivosDados},""select sum(""&amp;Z$3&amp;"") where Col1='""&amp;$T256&amp;""' label sum(""&amp;Z$3&amp;"") ''""),0)))"),"")</f>
        <v/>
      </c>
      <c r="AA256" s="437" t="str">
        <f>IFERROR(__xludf.DUMMYFUNCTION("IF(NOT('portfólio'!$AV$7),"""",IF($T256="""","""",IFERROR(query({AtivosDados},""select sum(""&amp;AA$3&amp;"") where Col1='""&amp;$T256&amp;""' label sum(""&amp;AA$3&amp;"") ''""),0)))"),"")</f>
        <v/>
      </c>
      <c r="AB256" s="437" t="str">
        <f>IFERROR(__xludf.DUMMYFUNCTION("IF(NOT('portfólio'!$AV$7),"""",IF($T256="""","""",IFERROR(query({AtivosDados},""select sum(""&amp;AB$3&amp;"") where Col1='""&amp;$T256&amp;""' label sum(""&amp;AB$3&amp;"") ''""),0)))"),"")</f>
        <v/>
      </c>
      <c r="AC256" s="437" t="str">
        <f>IFERROR(__xludf.DUMMYFUNCTION("IF(NOT('portfólio'!$AV$7),"""",IF($T256="""","""",IFERROR(query({AtivosDados},""select sum(""&amp;AC$3&amp;"") where Col1='""&amp;$T256&amp;""' label sum(""&amp;AC$3&amp;"") ''""),0)))"),"")</f>
        <v/>
      </c>
      <c r="AD256" s="437" t="str">
        <f>IFERROR(__xludf.DUMMYFUNCTION("IF(NOT('portfólio'!$AV$7),"""",IF($T256="""","""",IFERROR(query({AtivosDados},""select sum(""&amp;AD$3&amp;"") where Col1='""&amp;$T256&amp;""' label sum(""&amp;AD$3&amp;"") ''""),0)))"),"")</f>
        <v/>
      </c>
      <c r="AE256" s="437"/>
      <c r="AF256" s="1327"/>
      <c r="AG256" s="437"/>
      <c r="AH256" s="437"/>
      <c r="AI256" s="437"/>
      <c r="AJ256" s="437"/>
      <c r="AK256" s="437"/>
      <c r="AL256" s="437"/>
      <c r="AM256" s="437"/>
      <c r="AN256" s="437"/>
      <c r="AO256" s="437"/>
      <c r="AP256" s="437"/>
      <c r="AQ256" s="1327"/>
      <c r="AR256" s="437"/>
      <c r="AS256" s="437"/>
      <c r="AT256" s="437"/>
      <c r="AU256" s="437"/>
      <c r="AV256" s="437"/>
      <c r="AW256" s="437"/>
      <c r="AX256" s="437"/>
      <c r="AY256" s="437"/>
      <c r="AZ256" s="437"/>
      <c r="BA256" s="437"/>
      <c r="BB256" s="1327"/>
      <c r="BC256" s="437"/>
      <c r="BD256" s="437"/>
      <c r="BE256" s="437"/>
      <c r="BF256" s="437"/>
      <c r="BG256" s="437"/>
      <c r="BH256" s="437"/>
      <c r="BI256" s="437"/>
      <c r="BJ256" s="437"/>
      <c r="BK256" s="437"/>
      <c r="BL256" s="437"/>
      <c r="BM256" s="1327"/>
      <c r="BN256" s="1327"/>
      <c r="BO256" s="1327"/>
      <c r="BP256" s="1327"/>
      <c r="BQ256" s="1327"/>
      <c r="BR256" s="1327"/>
      <c r="BS256" s="1327"/>
      <c r="BT256" s="1327"/>
      <c r="BU256" s="1327"/>
      <c r="BV256" s="1327"/>
      <c r="BW256" s="1327"/>
      <c r="BX256" s="1327"/>
      <c r="BY256" s="1327"/>
      <c r="BZ256" s="1327"/>
      <c r="CA256" s="1327"/>
      <c r="CB256" s="1327"/>
      <c r="CC256" s="1327"/>
      <c r="CD256" s="1327"/>
      <c r="CE256" s="1327"/>
      <c r="CF256" s="1327"/>
      <c r="CG256" s="1327"/>
      <c r="CH256" s="1327"/>
      <c r="CI256" s="1327"/>
      <c r="CJ256" s="1327"/>
      <c r="CK256" s="1327"/>
      <c r="CL256" s="1327"/>
      <c r="CM256" s="1327"/>
      <c r="CN256" s="1327"/>
      <c r="CO256" s="1327"/>
      <c r="CP256" s="1327"/>
      <c r="CQ256" s="1327"/>
      <c r="CR256" s="1327"/>
      <c r="CS256" s="1327"/>
      <c r="CT256" s="1317"/>
      <c r="CU256" s="1317"/>
      <c r="CV256" s="1317"/>
      <c r="CW256" s="1317"/>
      <c r="CX256" s="1317"/>
      <c r="CY256" s="1317"/>
      <c r="CZ256" s="1317"/>
      <c r="DA256" s="1317"/>
      <c r="DB256" s="1317"/>
      <c r="DC256" s="1317"/>
      <c r="DD256" s="1317"/>
      <c r="DE256" s="1317"/>
      <c r="DF256" s="1317"/>
      <c r="DG256" s="1317"/>
    </row>
    <row r="257" ht="18.75" customHeight="1">
      <c r="G257" s="1344"/>
      <c r="H257" s="1345">
        <f t="shared" si="4"/>
        <v>0</v>
      </c>
      <c r="I257" s="1381"/>
      <c r="J257" s="1381"/>
      <c r="K257" s="1381"/>
      <c r="L257" s="1381"/>
      <c r="M257" s="1381"/>
      <c r="N257" s="1381"/>
      <c r="O257" s="1381"/>
      <c r="P257" s="1381"/>
      <c r="Q257" s="1381"/>
      <c r="R257" s="1381"/>
      <c r="T257" s="1349"/>
      <c r="U257" s="1349" t="s">
        <v>123</v>
      </c>
      <c r="V257" s="1349" t="s">
        <v>123</v>
      </c>
      <c r="W257" s="1349"/>
      <c r="X257" s="1349"/>
      <c r="Y257" s="1308"/>
      <c r="Z257" s="437" t="str">
        <f>IFERROR(__xludf.DUMMYFUNCTION("IF(NOT('portfólio'!$AV$7),"""",IF($T257="""","""",IFERROR(query({AtivosDados},""select sum(""&amp;Z$3&amp;"") where Col1='""&amp;$T257&amp;""' label sum(""&amp;Z$3&amp;"") ''""),0)))"),"")</f>
        <v/>
      </c>
      <c r="AA257" s="437" t="str">
        <f>IFERROR(__xludf.DUMMYFUNCTION("IF(NOT('portfólio'!$AV$7),"""",IF($T257="""","""",IFERROR(query({AtivosDados},""select sum(""&amp;AA$3&amp;"") where Col1='""&amp;$T257&amp;""' label sum(""&amp;AA$3&amp;"") ''""),0)))"),"")</f>
        <v/>
      </c>
      <c r="AB257" s="437" t="str">
        <f>IFERROR(__xludf.DUMMYFUNCTION("IF(NOT('portfólio'!$AV$7),"""",IF($T257="""","""",IFERROR(query({AtivosDados},""select sum(""&amp;AB$3&amp;"") where Col1='""&amp;$T257&amp;""' label sum(""&amp;AB$3&amp;"") ''""),0)))"),"")</f>
        <v/>
      </c>
      <c r="AC257" s="437" t="str">
        <f>IFERROR(__xludf.DUMMYFUNCTION("IF(NOT('portfólio'!$AV$7),"""",IF($T257="""","""",IFERROR(query({AtivosDados},""select sum(""&amp;AC$3&amp;"") where Col1='""&amp;$T257&amp;""' label sum(""&amp;AC$3&amp;"") ''""),0)))"),"")</f>
        <v/>
      </c>
      <c r="AD257" s="437" t="str">
        <f>IFERROR(__xludf.DUMMYFUNCTION("IF(NOT('portfólio'!$AV$7),"""",IF($T257="""","""",IFERROR(query({AtivosDados},""select sum(""&amp;AD$3&amp;"") where Col1='""&amp;$T257&amp;""' label sum(""&amp;AD$3&amp;"") ''""),0)))"),"")</f>
        <v/>
      </c>
      <c r="AE257" s="437"/>
      <c r="AF257" s="1327"/>
      <c r="AG257" s="437"/>
      <c r="AH257" s="437"/>
      <c r="AI257" s="437"/>
      <c r="AJ257" s="437"/>
      <c r="AK257" s="437"/>
      <c r="AL257" s="437"/>
      <c r="AM257" s="437"/>
      <c r="AN257" s="437"/>
      <c r="AO257" s="437"/>
      <c r="AP257" s="437"/>
      <c r="AQ257" s="1327"/>
      <c r="AR257" s="437"/>
      <c r="AS257" s="437"/>
      <c r="AT257" s="437"/>
      <c r="AU257" s="437"/>
      <c r="AV257" s="437"/>
      <c r="AW257" s="437"/>
      <c r="AX257" s="437"/>
      <c r="AY257" s="437"/>
      <c r="AZ257" s="437"/>
      <c r="BA257" s="437"/>
      <c r="BB257" s="1327"/>
      <c r="BC257" s="437"/>
      <c r="BD257" s="437"/>
      <c r="BE257" s="437"/>
      <c r="BF257" s="437"/>
      <c r="BG257" s="437"/>
      <c r="BH257" s="437"/>
      <c r="BI257" s="437"/>
      <c r="BJ257" s="437"/>
      <c r="BK257" s="437"/>
      <c r="BL257" s="437"/>
      <c r="BM257" s="1327"/>
      <c r="BN257" s="1327"/>
      <c r="BO257" s="1327"/>
      <c r="BP257" s="1327"/>
      <c r="BQ257" s="1327"/>
      <c r="BR257" s="1327"/>
      <c r="BS257" s="1327"/>
      <c r="BT257" s="1327"/>
      <c r="BU257" s="1327"/>
      <c r="BV257" s="1327"/>
      <c r="BW257" s="1327"/>
      <c r="BX257" s="1327"/>
      <c r="BY257" s="1327"/>
      <c r="BZ257" s="1327"/>
      <c r="CA257" s="1327"/>
      <c r="CB257" s="1327"/>
      <c r="CC257" s="1327"/>
      <c r="CD257" s="1327"/>
      <c r="CE257" s="1327"/>
      <c r="CF257" s="1327"/>
      <c r="CG257" s="1327"/>
      <c r="CH257" s="1327"/>
      <c r="CI257" s="1327"/>
      <c r="CJ257" s="1327"/>
      <c r="CK257" s="1327"/>
      <c r="CL257" s="1327"/>
      <c r="CM257" s="1327"/>
      <c r="CN257" s="1327"/>
      <c r="CO257" s="1327"/>
      <c r="CP257" s="1327"/>
      <c r="CQ257" s="1327"/>
      <c r="CR257" s="1327"/>
      <c r="CS257" s="1327"/>
      <c r="CT257" s="1317"/>
      <c r="CU257" s="1317"/>
      <c r="CV257" s="1317"/>
      <c r="CW257" s="1317"/>
      <c r="CX257" s="1317"/>
      <c r="CY257" s="1317"/>
      <c r="CZ257" s="1317"/>
      <c r="DA257" s="1317"/>
      <c r="DB257" s="1317"/>
      <c r="DC257" s="1317"/>
      <c r="DD257" s="1317"/>
      <c r="DE257" s="1317"/>
      <c r="DF257" s="1317"/>
      <c r="DG257" s="1317"/>
    </row>
    <row r="258" ht="18.75" customHeight="1">
      <c r="G258" s="1344"/>
      <c r="H258" s="1345">
        <f t="shared" si="4"/>
        <v>0</v>
      </c>
      <c r="I258" s="1381"/>
      <c r="J258" s="1381"/>
      <c r="K258" s="1381"/>
      <c r="L258" s="1381"/>
      <c r="M258" s="1381"/>
      <c r="N258" s="1381"/>
      <c r="O258" s="1381"/>
      <c r="P258" s="1381"/>
      <c r="Q258" s="1381"/>
      <c r="R258" s="1381"/>
      <c r="T258" s="1349"/>
      <c r="U258" s="1349" t="s">
        <v>123</v>
      </c>
      <c r="V258" s="1349" t="s">
        <v>123</v>
      </c>
      <c r="W258" s="1349"/>
      <c r="X258" s="1349"/>
      <c r="Y258" s="1308"/>
      <c r="Z258" s="437" t="str">
        <f>IFERROR(__xludf.DUMMYFUNCTION("IF(NOT('portfólio'!$AV$7),"""",IF($T258="""","""",IFERROR(query({AtivosDados},""select sum(""&amp;Z$3&amp;"") where Col1='""&amp;$T258&amp;""' label sum(""&amp;Z$3&amp;"") ''""),0)))"),"")</f>
        <v/>
      </c>
      <c r="AA258" s="437" t="str">
        <f>IFERROR(__xludf.DUMMYFUNCTION("IF(NOT('portfólio'!$AV$7),"""",IF($T258="""","""",IFERROR(query({AtivosDados},""select sum(""&amp;AA$3&amp;"") where Col1='""&amp;$T258&amp;""' label sum(""&amp;AA$3&amp;"") ''""),0)))"),"")</f>
        <v/>
      </c>
      <c r="AB258" s="437" t="str">
        <f>IFERROR(__xludf.DUMMYFUNCTION("IF(NOT('portfólio'!$AV$7),"""",IF($T258="""","""",IFERROR(query({AtivosDados},""select sum(""&amp;AB$3&amp;"") where Col1='""&amp;$T258&amp;""' label sum(""&amp;AB$3&amp;"") ''""),0)))"),"")</f>
        <v/>
      </c>
      <c r="AC258" s="437" t="str">
        <f>IFERROR(__xludf.DUMMYFUNCTION("IF(NOT('portfólio'!$AV$7),"""",IF($T258="""","""",IFERROR(query({AtivosDados},""select sum(""&amp;AC$3&amp;"") where Col1='""&amp;$T258&amp;""' label sum(""&amp;AC$3&amp;"") ''""),0)))"),"")</f>
        <v/>
      </c>
      <c r="AD258" s="437" t="str">
        <f>IFERROR(__xludf.DUMMYFUNCTION("IF(NOT('portfólio'!$AV$7),"""",IF($T258="""","""",IFERROR(query({AtivosDados},""select sum(""&amp;AD$3&amp;"") where Col1='""&amp;$T258&amp;""' label sum(""&amp;AD$3&amp;"") ''""),0)))"),"")</f>
        <v/>
      </c>
      <c r="AE258" s="437"/>
      <c r="AF258" s="1327"/>
      <c r="AG258" s="437"/>
      <c r="AH258" s="437"/>
      <c r="AI258" s="437"/>
      <c r="AJ258" s="437"/>
      <c r="AK258" s="437"/>
      <c r="AL258" s="437"/>
      <c r="AM258" s="437"/>
      <c r="AN258" s="437"/>
      <c r="AO258" s="437"/>
      <c r="AP258" s="437"/>
      <c r="AQ258" s="1327"/>
      <c r="AR258" s="437"/>
      <c r="AS258" s="437"/>
      <c r="AT258" s="437"/>
      <c r="AU258" s="437"/>
      <c r="AV258" s="437"/>
      <c r="AW258" s="437"/>
      <c r="AX258" s="437"/>
      <c r="AY258" s="437"/>
      <c r="AZ258" s="437"/>
      <c r="BA258" s="437"/>
      <c r="BB258" s="1327"/>
      <c r="BC258" s="437"/>
      <c r="BD258" s="437"/>
      <c r="BE258" s="437"/>
      <c r="BF258" s="437"/>
      <c r="BG258" s="437"/>
      <c r="BH258" s="437"/>
      <c r="BI258" s="437"/>
      <c r="BJ258" s="437"/>
      <c r="BK258" s="437"/>
      <c r="BL258" s="437"/>
      <c r="BM258" s="1327"/>
      <c r="BN258" s="1327"/>
      <c r="BO258" s="1327"/>
      <c r="BP258" s="1327"/>
      <c r="BQ258" s="1327"/>
      <c r="BR258" s="1327"/>
      <c r="BS258" s="1327"/>
      <c r="BT258" s="1327"/>
      <c r="BU258" s="1327"/>
      <c r="BV258" s="1327"/>
      <c r="BW258" s="1327"/>
      <c r="BX258" s="1327"/>
      <c r="BY258" s="1327"/>
      <c r="BZ258" s="1327"/>
      <c r="CA258" s="1327"/>
      <c r="CB258" s="1327"/>
      <c r="CC258" s="1327"/>
      <c r="CD258" s="1327"/>
      <c r="CE258" s="1327"/>
      <c r="CF258" s="1327"/>
      <c r="CG258" s="1327"/>
      <c r="CH258" s="1327"/>
      <c r="CI258" s="1327"/>
      <c r="CJ258" s="1327"/>
      <c r="CK258" s="1327"/>
      <c r="CL258" s="1327"/>
      <c r="CM258" s="1327"/>
      <c r="CN258" s="1327"/>
      <c r="CO258" s="1327"/>
      <c r="CP258" s="1327"/>
      <c r="CQ258" s="1327"/>
      <c r="CR258" s="1327"/>
      <c r="CS258" s="1327"/>
      <c r="CT258" s="1317"/>
      <c r="CU258" s="1317"/>
      <c r="CV258" s="1317"/>
      <c r="CW258" s="1317"/>
      <c r="CX258" s="1317"/>
      <c r="CY258" s="1317"/>
      <c r="CZ258" s="1317"/>
      <c r="DA258" s="1317"/>
      <c r="DB258" s="1317"/>
      <c r="DC258" s="1317"/>
      <c r="DD258" s="1317"/>
      <c r="DE258" s="1317"/>
      <c r="DF258" s="1317"/>
      <c r="DG258" s="1317"/>
    </row>
    <row r="259" ht="18.75" customHeight="1">
      <c r="G259" s="1344"/>
      <c r="H259" s="1345">
        <f t="shared" si="4"/>
        <v>0</v>
      </c>
      <c r="I259" s="1381"/>
      <c r="J259" s="1381"/>
      <c r="K259" s="1381"/>
      <c r="L259" s="1381"/>
      <c r="M259" s="1381"/>
      <c r="N259" s="1381"/>
      <c r="O259" s="1381"/>
      <c r="P259" s="1381"/>
      <c r="Q259" s="1381"/>
      <c r="R259" s="1381"/>
      <c r="T259" s="1349"/>
      <c r="U259" s="1349" t="s">
        <v>123</v>
      </c>
      <c r="V259" s="1349" t="s">
        <v>123</v>
      </c>
      <c r="W259" s="1349"/>
      <c r="X259" s="1349"/>
      <c r="Y259" s="1308"/>
      <c r="Z259" s="437" t="str">
        <f>IFERROR(__xludf.DUMMYFUNCTION("IF(NOT('portfólio'!$AV$7),"""",IF($T259="""","""",IFERROR(query({AtivosDados},""select sum(""&amp;Z$3&amp;"") where Col1='""&amp;$T259&amp;""' label sum(""&amp;Z$3&amp;"") ''""),0)))"),"")</f>
        <v/>
      </c>
      <c r="AA259" s="437" t="str">
        <f>IFERROR(__xludf.DUMMYFUNCTION("IF(NOT('portfólio'!$AV$7),"""",IF($T259="""","""",IFERROR(query({AtivosDados},""select sum(""&amp;AA$3&amp;"") where Col1='""&amp;$T259&amp;""' label sum(""&amp;AA$3&amp;"") ''""),0)))"),"")</f>
        <v/>
      </c>
      <c r="AB259" s="437" t="str">
        <f>IFERROR(__xludf.DUMMYFUNCTION("IF(NOT('portfólio'!$AV$7),"""",IF($T259="""","""",IFERROR(query({AtivosDados},""select sum(""&amp;AB$3&amp;"") where Col1='""&amp;$T259&amp;""' label sum(""&amp;AB$3&amp;"") ''""),0)))"),"")</f>
        <v/>
      </c>
      <c r="AC259" s="437" t="str">
        <f>IFERROR(__xludf.DUMMYFUNCTION("IF(NOT('portfólio'!$AV$7),"""",IF($T259="""","""",IFERROR(query({AtivosDados},""select sum(""&amp;AC$3&amp;"") where Col1='""&amp;$T259&amp;""' label sum(""&amp;AC$3&amp;"") ''""),0)))"),"")</f>
        <v/>
      </c>
      <c r="AD259" s="437" t="str">
        <f>IFERROR(__xludf.DUMMYFUNCTION("IF(NOT('portfólio'!$AV$7),"""",IF($T259="""","""",IFERROR(query({AtivosDados},""select sum(""&amp;AD$3&amp;"") where Col1='""&amp;$T259&amp;""' label sum(""&amp;AD$3&amp;"") ''""),0)))"),"")</f>
        <v/>
      </c>
      <c r="AE259" s="437"/>
      <c r="AF259" s="1327"/>
      <c r="AG259" s="437"/>
      <c r="AH259" s="437"/>
      <c r="AI259" s="437"/>
      <c r="AJ259" s="437"/>
      <c r="AK259" s="437"/>
      <c r="AL259" s="437"/>
      <c r="AM259" s="437"/>
      <c r="AN259" s="437"/>
      <c r="AO259" s="437"/>
      <c r="AP259" s="437"/>
      <c r="AQ259" s="1327"/>
      <c r="AR259" s="437"/>
      <c r="AS259" s="437"/>
      <c r="AT259" s="437"/>
      <c r="AU259" s="437"/>
      <c r="AV259" s="437"/>
      <c r="AW259" s="437"/>
      <c r="AX259" s="437"/>
      <c r="AY259" s="437"/>
      <c r="AZ259" s="437"/>
      <c r="BA259" s="437"/>
      <c r="BB259" s="1327"/>
      <c r="BC259" s="437"/>
      <c r="BD259" s="437"/>
      <c r="BE259" s="437"/>
      <c r="BF259" s="437"/>
      <c r="BG259" s="437"/>
      <c r="BH259" s="437"/>
      <c r="BI259" s="437"/>
      <c r="BJ259" s="437"/>
      <c r="BK259" s="437"/>
      <c r="BL259" s="437"/>
      <c r="BM259" s="1327"/>
      <c r="BN259" s="1327"/>
      <c r="BO259" s="1327"/>
      <c r="BP259" s="1327"/>
      <c r="BQ259" s="1327"/>
      <c r="BR259" s="1327"/>
      <c r="BS259" s="1327"/>
      <c r="BT259" s="1327"/>
      <c r="BU259" s="1327"/>
      <c r="BV259" s="1327"/>
      <c r="BW259" s="1327"/>
      <c r="BX259" s="1327"/>
      <c r="BY259" s="1327"/>
      <c r="BZ259" s="1327"/>
      <c r="CA259" s="1327"/>
      <c r="CB259" s="1327"/>
      <c r="CC259" s="1327"/>
      <c r="CD259" s="1327"/>
      <c r="CE259" s="1327"/>
      <c r="CF259" s="1327"/>
      <c r="CG259" s="1327"/>
      <c r="CH259" s="1327"/>
      <c r="CI259" s="1327"/>
      <c r="CJ259" s="1327"/>
      <c r="CK259" s="1327"/>
      <c r="CL259" s="1327"/>
      <c r="CM259" s="1327"/>
      <c r="CN259" s="1327"/>
      <c r="CO259" s="1327"/>
      <c r="CP259" s="1327"/>
      <c r="CQ259" s="1327"/>
      <c r="CR259" s="1327"/>
      <c r="CS259" s="1327"/>
      <c r="CT259" s="1317"/>
      <c r="CU259" s="1317"/>
      <c r="CV259" s="1317"/>
      <c r="CW259" s="1317"/>
      <c r="CX259" s="1317"/>
      <c r="CY259" s="1317"/>
      <c r="CZ259" s="1317"/>
      <c r="DA259" s="1317"/>
      <c r="DB259" s="1317"/>
      <c r="DC259" s="1317"/>
      <c r="DD259" s="1317"/>
      <c r="DE259" s="1317"/>
      <c r="DF259" s="1317"/>
      <c r="DG259" s="1317"/>
    </row>
    <row r="260" ht="18.75" customHeight="1">
      <c r="G260" s="1344"/>
      <c r="H260" s="1345">
        <f t="shared" si="4"/>
        <v>0</v>
      </c>
      <c r="I260" s="1381"/>
      <c r="J260" s="1381"/>
      <c r="K260" s="1381"/>
      <c r="L260" s="1381"/>
      <c r="M260" s="1381"/>
      <c r="N260" s="1381"/>
      <c r="O260" s="1381"/>
      <c r="P260" s="1381"/>
      <c r="Q260" s="1381"/>
      <c r="R260" s="1381"/>
      <c r="T260" s="1349"/>
      <c r="U260" s="1349" t="s">
        <v>123</v>
      </c>
      <c r="V260" s="1349" t="s">
        <v>123</v>
      </c>
      <c r="W260" s="1349"/>
      <c r="X260" s="1349"/>
      <c r="Y260" s="1308"/>
      <c r="Z260" s="437" t="str">
        <f>IFERROR(__xludf.DUMMYFUNCTION("IF(NOT('portfólio'!$AV$7),"""",IF($T260="""","""",IFERROR(query({AtivosDados},""select sum(""&amp;Z$3&amp;"") where Col1='""&amp;$T260&amp;""' label sum(""&amp;Z$3&amp;"") ''""),0)))"),"")</f>
        <v/>
      </c>
      <c r="AA260" s="437" t="str">
        <f>IFERROR(__xludf.DUMMYFUNCTION("IF(NOT('portfólio'!$AV$7),"""",IF($T260="""","""",IFERROR(query({AtivosDados},""select sum(""&amp;AA$3&amp;"") where Col1='""&amp;$T260&amp;""' label sum(""&amp;AA$3&amp;"") ''""),0)))"),"")</f>
        <v/>
      </c>
      <c r="AB260" s="437" t="str">
        <f>IFERROR(__xludf.DUMMYFUNCTION("IF(NOT('portfólio'!$AV$7),"""",IF($T260="""","""",IFERROR(query({AtivosDados},""select sum(""&amp;AB$3&amp;"") where Col1='""&amp;$T260&amp;""' label sum(""&amp;AB$3&amp;"") ''""),0)))"),"")</f>
        <v/>
      </c>
      <c r="AC260" s="437" t="str">
        <f>IFERROR(__xludf.DUMMYFUNCTION("IF(NOT('portfólio'!$AV$7),"""",IF($T260="""","""",IFERROR(query({AtivosDados},""select sum(""&amp;AC$3&amp;"") where Col1='""&amp;$T260&amp;""' label sum(""&amp;AC$3&amp;"") ''""),0)))"),"")</f>
        <v/>
      </c>
      <c r="AD260" s="437" t="str">
        <f>IFERROR(__xludf.DUMMYFUNCTION("IF(NOT('portfólio'!$AV$7),"""",IF($T260="""","""",IFERROR(query({AtivosDados},""select sum(""&amp;AD$3&amp;"") where Col1='""&amp;$T260&amp;""' label sum(""&amp;AD$3&amp;"") ''""),0)))"),"")</f>
        <v/>
      </c>
      <c r="AE260" s="437"/>
      <c r="AF260" s="1327"/>
      <c r="AG260" s="437"/>
      <c r="AH260" s="437"/>
      <c r="AI260" s="437"/>
      <c r="AJ260" s="437"/>
      <c r="AK260" s="437"/>
      <c r="AL260" s="437"/>
      <c r="AM260" s="437"/>
      <c r="AN260" s="437"/>
      <c r="AO260" s="437"/>
      <c r="AP260" s="437"/>
      <c r="AQ260" s="1327"/>
      <c r="AR260" s="437"/>
      <c r="AS260" s="437"/>
      <c r="AT260" s="437"/>
      <c r="AU260" s="437"/>
      <c r="AV260" s="437"/>
      <c r="AW260" s="437"/>
      <c r="AX260" s="437"/>
      <c r="AY260" s="437"/>
      <c r="AZ260" s="437"/>
      <c r="BA260" s="437"/>
      <c r="BB260" s="1327"/>
      <c r="BC260" s="437"/>
      <c r="BD260" s="437"/>
      <c r="BE260" s="437"/>
      <c r="BF260" s="437"/>
      <c r="BG260" s="437"/>
      <c r="BH260" s="437"/>
      <c r="BI260" s="437"/>
      <c r="BJ260" s="437"/>
      <c r="BK260" s="437"/>
      <c r="BL260" s="437"/>
      <c r="BM260" s="1327"/>
      <c r="BN260" s="1327"/>
      <c r="BO260" s="1327"/>
      <c r="BP260" s="1327"/>
      <c r="BQ260" s="1327"/>
      <c r="BR260" s="1327"/>
      <c r="BS260" s="1327"/>
      <c r="BT260" s="1327"/>
      <c r="BU260" s="1327"/>
      <c r="BV260" s="1327"/>
      <c r="BW260" s="1327"/>
      <c r="BX260" s="1327"/>
      <c r="BY260" s="1327"/>
      <c r="BZ260" s="1327"/>
      <c r="CA260" s="1327"/>
      <c r="CB260" s="1327"/>
      <c r="CC260" s="1327"/>
      <c r="CD260" s="1327"/>
      <c r="CE260" s="1327"/>
      <c r="CF260" s="1327"/>
      <c r="CG260" s="1327"/>
      <c r="CH260" s="1327"/>
      <c r="CI260" s="1327"/>
      <c r="CJ260" s="1327"/>
      <c r="CK260" s="1327"/>
      <c r="CL260" s="1327"/>
      <c r="CM260" s="1327"/>
      <c r="CN260" s="1327"/>
      <c r="CO260" s="1327"/>
      <c r="CP260" s="1327"/>
      <c r="CQ260" s="1327"/>
      <c r="CR260" s="1327"/>
      <c r="CS260" s="1327"/>
      <c r="CT260" s="1317"/>
      <c r="CU260" s="1317"/>
      <c r="CV260" s="1317"/>
      <c r="CW260" s="1317"/>
      <c r="CX260" s="1317"/>
      <c r="CY260" s="1317"/>
      <c r="CZ260" s="1317"/>
      <c r="DA260" s="1317"/>
      <c r="DB260" s="1317"/>
      <c r="DC260" s="1317"/>
      <c r="DD260" s="1317"/>
      <c r="DE260" s="1317"/>
      <c r="DF260" s="1317"/>
      <c r="DG260" s="1317"/>
    </row>
    <row r="261" ht="18.75" customHeight="1">
      <c r="G261" s="1344"/>
      <c r="H261" s="1345">
        <f t="shared" si="4"/>
        <v>0</v>
      </c>
      <c r="I261" s="1381"/>
      <c r="J261" s="1381"/>
      <c r="K261" s="1381"/>
      <c r="L261" s="1381"/>
      <c r="M261" s="1381"/>
      <c r="N261" s="1381"/>
      <c r="O261" s="1381"/>
      <c r="P261" s="1381"/>
      <c r="Q261" s="1381"/>
      <c r="R261" s="1381"/>
      <c r="T261" s="1349"/>
      <c r="U261" s="1349" t="s">
        <v>123</v>
      </c>
      <c r="V261" s="1349" t="s">
        <v>123</v>
      </c>
      <c r="W261" s="1349"/>
      <c r="X261" s="1349"/>
      <c r="Y261" s="1308"/>
      <c r="Z261" s="437" t="str">
        <f>IFERROR(__xludf.DUMMYFUNCTION("IF(NOT('portfólio'!$AV$7),"""",IF($T261="""","""",IFERROR(query({AtivosDados},""select sum(""&amp;Z$3&amp;"") where Col1='""&amp;$T261&amp;""' label sum(""&amp;Z$3&amp;"") ''""),0)))"),"")</f>
        <v/>
      </c>
      <c r="AA261" s="437" t="str">
        <f>IFERROR(__xludf.DUMMYFUNCTION("IF(NOT('portfólio'!$AV$7),"""",IF($T261="""","""",IFERROR(query({AtivosDados},""select sum(""&amp;AA$3&amp;"") where Col1='""&amp;$T261&amp;""' label sum(""&amp;AA$3&amp;"") ''""),0)))"),"")</f>
        <v/>
      </c>
      <c r="AB261" s="437" t="str">
        <f>IFERROR(__xludf.DUMMYFUNCTION("IF(NOT('portfólio'!$AV$7),"""",IF($T261="""","""",IFERROR(query({AtivosDados},""select sum(""&amp;AB$3&amp;"") where Col1='""&amp;$T261&amp;""' label sum(""&amp;AB$3&amp;"") ''""),0)))"),"")</f>
        <v/>
      </c>
      <c r="AC261" s="437" t="str">
        <f>IFERROR(__xludf.DUMMYFUNCTION("IF(NOT('portfólio'!$AV$7),"""",IF($T261="""","""",IFERROR(query({AtivosDados},""select sum(""&amp;AC$3&amp;"") where Col1='""&amp;$T261&amp;""' label sum(""&amp;AC$3&amp;"") ''""),0)))"),"")</f>
        <v/>
      </c>
      <c r="AD261" s="437" t="str">
        <f>IFERROR(__xludf.DUMMYFUNCTION("IF(NOT('portfólio'!$AV$7),"""",IF($T261="""","""",IFERROR(query({AtivosDados},""select sum(""&amp;AD$3&amp;"") where Col1='""&amp;$T261&amp;""' label sum(""&amp;AD$3&amp;"") ''""),0)))"),"")</f>
        <v/>
      </c>
      <c r="AE261" s="437"/>
      <c r="AF261" s="1327"/>
      <c r="AG261" s="437"/>
      <c r="AH261" s="437"/>
      <c r="AI261" s="437"/>
      <c r="AJ261" s="437"/>
      <c r="AK261" s="437"/>
      <c r="AL261" s="437"/>
      <c r="AM261" s="437"/>
      <c r="AN261" s="437"/>
      <c r="AO261" s="437"/>
      <c r="AP261" s="437"/>
      <c r="AQ261" s="1327"/>
      <c r="AR261" s="437"/>
      <c r="AS261" s="437"/>
      <c r="AT261" s="437"/>
      <c r="AU261" s="437"/>
      <c r="AV261" s="437"/>
      <c r="AW261" s="437"/>
      <c r="AX261" s="437"/>
      <c r="AY261" s="437"/>
      <c r="AZ261" s="437"/>
      <c r="BA261" s="437"/>
      <c r="BB261" s="1327"/>
      <c r="BC261" s="437"/>
      <c r="BD261" s="437"/>
      <c r="BE261" s="437"/>
      <c r="BF261" s="437"/>
      <c r="BG261" s="437"/>
      <c r="BH261" s="437"/>
      <c r="BI261" s="437"/>
      <c r="BJ261" s="437"/>
      <c r="BK261" s="437"/>
      <c r="BL261" s="437"/>
      <c r="BM261" s="1327"/>
      <c r="BN261" s="1327"/>
      <c r="BO261" s="1327"/>
      <c r="BP261" s="1327"/>
      <c r="BQ261" s="1327"/>
      <c r="BR261" s="1327"/>
      <c r="BS261" s="1327"/>
      <c r="BT261" s="1327"/>
      <c r="BU261" s="1327"/>
      <c r="BV261" s="1327"/>
      <c r="BW261" s="1327"/>
      <c r="BX261" s="1327"/>
      <c r="BY261" s="1327"/>
      <c r="BZ261" s="1327"/>
      <c r="CA261" s="1327"/>
      <c r="CB261" s="1327"/>
      <c r="CC261" s="1327"/>
      <c r="CD261" s="1327"/>
      <c r="CE261" s="1327"/>
      <c r="CF261" s="1327"/>
      <c r="CG261" s="1327"/>
      <c r="CH261" s="1327"/>
      <c r="CI261" s="1327"/>
      <c r="CJ261" s="1327"/>
      <c r="CK261" s="1327"/>
      <c r="CL261" s="1327"/>
      <c r="CM261" s="1327"/>
      <c r="CN261" s="1327"/>
      <c r="CO261" s="1327"/>
      <c r="CP261" s="1327"/>
      <c r="CQ261" s="1327"/>
      <c r="CR261" s="1327"/>
      <c r="CS261" s="1327"/>
      <c r="CT261" s="1317"/>
      <c r="CU261" s="1317"/>
      <c r="CV261" s="1317"/>
      <c r="CW261" s="1317"/>
      <c r="CX261" s="1317"/>
      <c r="CY261" s="1317"/>
      <c r="CZ261" s="1317"/>
      <c r="DA261" s="1317"/>
      <c r="DB261" s="1317"/>
      <c r="DC261" s="1317"/>
      <c r="DD261" s="1317"/>
      <c r="DE261" s="1317"/>
      <c r="DF261" s="1317"/>
      <c r="DG261" s="1317"/>
    </row>
    <row r="262" ht="18.75" customHeight="1">
      <c r="G262" s="1344"/>
      <c r="H262" s="1345">
        <f t="shared" si="4"/>
        <v>0</v>
      </c>
      <c r="I262" s="1381"/>
      <c r="J262" s="1381"/>
      <c r="K262" s="1381"/>
      <c r="L262" s="1381"/>
      <c r="M262" s="1381"/>
      <c r="N262" s="1381"/>
      <c r="O262" s="1381"/>
      <c r="P262" s="1381"/>
      <c r="Q262" s="1381"/>
      <c r="R262" s="1381"/>
      <c r="T262" s="1349"/>
      <c r="U262" s="1349" t="s">
        <v>123</v>
      </c>
      <c r="V262" s="1349" t="s">
        <v>123</v>
      </c>
      <c r="W262" s="1349"/>
      <c r="X262" s="1349"/>
      <c r="Y262" s="1308"/>
      <c r="Z262" s="437" t="str">
        <f>IFERROR(__xludf.DUMMYFUNCTION("IF(NOT('portfólio'!$AV$7),"""",IF($T262="""","""",IFERROR(query({AtivosDados},""select sum(""&amp;Z$3&amp;"") where Col1='""&amp;$T262&amp;""' label sum(""&amp;Z$3&amp;"") ''""),0)))"),"")</f>
        <v/>
      </c>
      <c r="AA262" s="437" t="str">
        <f>IFERROR(__xludf.DUMMYFUNCTION("IF(NOT('portfólio'!$AV$7),"""",IF($T262="""","""",IFERROR(query({AtivosDados},""select sum(""&amp;AA$3&amp;"") where Col1='""&amp;$T262&amp;""' label sum(""&amp;AA$3&amp;"") ''""),0)))"),"")</f>
        <v/>
      </c>
      <c r="AB262" s="437" t="str">
        <f>IFERROR(__xludf.DUMMYFUNCTION("IF(NOT('portfólio'!$AV$7),"""",IF($T262="""","""",IFERROR(query({AtivosDados},""select sum(""&amp;AB$3&amp;"") where Col1='""&amp;$T262&amp;""' label sum(""&amp;AB$3&amp;"") ''""),0)))"),"")</f>
        <v/>
      </c>
      <c r="AC262" s="437" t="str">
        <f>IFERROR(__xludf.DUMMYFUNCTION("IF(NOT('portfólio'!$AV$7),"""",IF($T262="""","""",IFERROR(query({AtivosDados},""select sum(""&amp;AC$3&amp;"") where Col1='""&amp;$T262&amp;""' label sum(""&amp;AC$3&amp;"") ''""),0)))"),"")</f>
        <v/>
      </c>
      <c r="AD262" s="437" t="str">
        <f>IFERROR(__xludf.DUMMYFUNCTION("IF(NOT('portfólio'!$AV$7),"""",IF($T262="""","""",IFERROR(query({AtivosDados},""select sum(""&amp;AD$3&amp;"") where Col1='""&amp;$T262&amp;""' label sum(""&amp;AD$3&amp;"") ''""),0)))"),"")</f>
        <v/>
      </c>
      <c r="AE262" s="437"/>
      <c r="AF262" s="1327"/>
      <c r="AG262" s="437"/>
      <c r="AH262" s="437"/>
      <c r="AI262" s="437"/>
      <c r="AJ262" s="437"/>
      <c r="AK262" s="437"/>
      <c r="AL262" s="437"/>
      <c r="AM262" s="437"/>
      <c r="AN262" s="437"/>
      <c r="AO262" s="437"/>
      <c r="AP262" s="437"/>
      <c r="AQ262" s="1327"/>
      <c r="AR262" s="437"/>
      <c r="AS262" s="437"/>
      <c r="AT262" s="437"/>
      <c r="AU262" s="437"/>
      <c r="AV262" s="437"/>
      <c r="AW262" s="437"/>
      <c r="AX262" s="437"/>
      <c r="AY262" s="437"/>
      <c r="AZ262" s="437"/>
      <c r="BA262" s="437"/>
      <c r="BB262" s="1327"/>
      <c r="BC262" s="437"/>
      <c r="BD262" s="437"/>
      <c r="BE262" s="437"/>
      <c r="BF262" s="437"/>
      <c r="BG262" s="437"/>
      <c r="BH262" s="437"/>
      <c r="BI262" s="437"/>
      <c r="BJ262" s="437"/>
      <c r="BK262" s="437"/>
      <c r="BL262" s="437"/>
      <c r="BM262" s="1327"/>
      <c r="BN262" s="1327"/>
      <c r="BO262" s="1327"/>
      <c r="BP262" s="1327"/>
      <c r="BQ262" s="1327"/>
      <c r="BR262" s="1327"/>
      <c r="BS262" s="1327"/>
      <c r="BT262" s="1327"/>
      <c r="BU262" s="1327"/>
      <c r="BV262" s="1327"/>
      <c r="BW262" s="1327"/>
      <c r="BX262" s="1327"/>
      <c r="BY262" s="1327"/>
      <c r="BZ262" s="1327"/>
      <c r="CA262" s="1327"/>
      <c r="CB262" s="1327"/>
      <c r="CC262" s="1327"/>
      <c r="CD262" s="1327"/>
      <c r="CE262" s="1327"/>
      <c r="CF262" s="1327"/>
      <c r="CG262" s="1327"/>
      <c r="CH262" s="1327"/>
      <c r="CI262" s="1327"/>
      <c r="CJ262" s="1327"/>
      <c r="CK262" s="1327"/>
      <c r="CL262" s="1327"/>
      <c r="CM262" s="1327"/>
      <c r="CN262" s="1327"/>
      <c r="CO262" s="1327"/>
      <c r="CP262" s="1327"/>
      <c r="CQ262" s="1327"/>
      <c r="CR262" s="1327"/>
      <c r="CS262" s="1327"/>
      <c r="CT262" s="1317"/>
      <c r="CU262" s="1317"/>
      <c r="CV262" s="1317"/>
      <c r="CW262" s="1317"/>
      <c r="CX262" s="1317"/>
      <c r="CY262" s="1317"/>
      <c r="CZ262" s="1317"/>
      <c r="DA262" s="1317"/>
      <c r="DB262" s="1317"/>
      <c r="DC262" s="1317"/>
      <c r="DD262" s="1317"/>
      <c r="DE262" s="1317"/>
      <c r="DF262" s="1317"/>
      <c r="DG262" s="1317"/>
    </row>
    <row r="263" ht="18.75" customHeight="1">
      <c r="G263" s="1344"/>
      <c r="H263" s="1345">
        <f t="shared" si="4"/>
        <v>0</v>
      </c>
      <c r="I263" s="1381"/>
      <c r="J263" s="1381"/>
      <c r="K263" s="1381"/>
      <c r="L263" s="1381"/>
      <c r="M263" s="1381"/>
      <c r="N263" s="1381"/>
      <c r="O263" s="1381"/>
      <c r="P263" s="1381"/>
      <c r="Q263" s="1381"/>
      <c r="R263" s="1381"/>
      <c r="T263" s="1349"/>
      <c r="U263" s="1349" t="s">
        <v>123</v>
      </c>
      <c r="V263" s="1349" t="s">
        <v>123</v>
      </c>
      <c r="W263" s="1349"/>
      <c r="X263" s="1349"/>
      <c r="Y263" s="1308"/>
      <c r="Z263" s="437" t="str">
        <f>IFERROR(__xludf.DUMMYFUNCTION("IF(NOT('portfólio'!$AV$7),"""",IF($T263="""","""",IFERROR(query({AtivosDados},""select sum(""&amp;Z$3&amp;"") where Col1='""&amp;$T263&amp;""' label sum(""&amp;Z$3&amp;"") ''""),0)))"),"")</f>
        <v/>
      </c>
      <c r="AA263" s="437" t="str">
        <f>IFERROR(__xludf.DUMMYFUNCTION("IF(NOT('portfólio'!$AV$7),"""",IF($T263="""","""",IFERROR(query({AtivosDados},""select sum(""&amp;AA$3&amp;"") where Col1='""&amp;$T263&amp;""' label sum(""&amp;AA$3&amp;"") ''""),0)))"),"")</f>
        <v/>
      </c>
      <c r="AB263" s="437" t="str">
        <f>IFERROR(__xludf.DUMMYFUNCTION("IF(NOT('portfólio'!$AV$7),"""",IF($T263="""","""",IFERROR(query({AtivosDados},""select sum(""&amp;AB$3&amp;"") where Col1='""&amp;$T263&amp;""' label sum(""&amp;AB$3&amp;"") ''""),0)))"),"")</f>
        <v/>
      </c>
      <c r="AC263" s="437" t="str">
        <f>IFERROR(__xludf.DUMMYFUNCTION("IF(NOT('portfólio'!$AV$7),"""",IF($T263="""","""",IFERROR(query({AtivosDados},""select sum(""&amp;AC$3&amp;"") where Col1='""&amp;$T263&amp;""' label sum(""&amp;AC$3&amp;"") ''""),0)))"),"")</f>
        <v/>
      </c>
      <c r="AD263" s="437" t="str">
        <f>IFERROR(__xludf.DUMMYFUNCTION("IF(NOT('portfólio'!$AV$7),"""",IF($T263="""","""",IFERROR(query({AtivosDados},""select sum(""&amp;AD$3&amp;"") where Col1='""&amp;$T263&amp;""' label sum(""&amp;AD$3&amp;"") ''""),0)))"),"")</f>
        <v/>
      </c>
      <c r="AE263" s="437"/>
      <c r="AF263" s="1327"/>
      <c r="AG263" s="437"/>
      <c r="AH263" s="437"/>
      <c r="AI263" s="437"/>
      <c r="AJ263" s="437"/>
      <c r="AK263" s="437"/>
      <c r="AL263" s="437"/>
      <c r="AM263" s="437"/>
      <c r="AN263" s="437"/>
      <c r="AO263" s="437"/>
      <c r="AP263" s="437"/>
      <c r="AQ263" s="1327"/>
      <c r="AR263" s="437"/>
      <c r="AS263" s="437"/>
      <c r="AT263" s="437"/>
      <c r="AU263" s="437"/>
      <c r="AV263" s="437"/>
      <c r="AW263" s="437"/>
      <c r="AX263" s="437"/>
      <c r="AY263" s="437"/>
      <c r="AZ263" s="437"/>
      <c r="BA263" s="437"/>
      <c r="BB263" s="1327"/>
      <c r="BC263" s="437"/>
      <c r="BD263" s="437"/>
      <c r="BE263" s="437"/>
      <c r="BF263" s="437"/>
      <c r="BG263" s="437"/>
      <c r="BH263" s="437"/>
      <c r="BI263" s="437"/>
      <c r="BJ263" s="437"/>
      <c r="BK263" s="437"/>
      <c r="BL263" s="437"/>
      <c r="BM263" s="1327"/>
      <c r="BN263" s="1327"/>
      <c r="BO263" s="1327"/>
      <c r="BP263" s="1327"/>
      <c r="BQ263" s="1327"/>
      <c r="BR263" s="1327"/>
      <c r="BS263" s="1327"/>
      <c r="BT263" s="1327"/>
      <c r="BU263" s="1327"/>
      <c r="BV263" s="1327"/>
      <c r="BW263" s="1327"/>
      <c r="BX263" s="1327"/>
      <c r="BY263" s="1327"/>
      <c r="BZ263" s="1327"/>
      <c r="CA263" s="1327"/>
      <c r="CB263" s="1327"/>
      <c r="CC263" s="1327"/>
      <c r="CD263" s="1327"/>
      <c r="CE263" s="1327"/>
      <c r="CF263" s="1327"/>
      <c r="CG263" s="1327"/>
      <c r="CH263" s="1327"/>
      <c r="CI263" s="1327"/>
      <c r="CJ263" s="1327"/>
      <c r="CK263" s="1327"/>
      <c r="CL263" s="1327"/>
      <c r="CM263" s="1327"/>
      <c r="CN263" s="1327"/>
      <c r="CO263" s="1327"/>
      <c r="CP263" s="1327"/>
      <c r="CQ263" s="1327"/>
      <c r="CR263" s="1327"/>
      <c r="CS263" s="1327"/>
      <c r="CT263" s="1317"/>
      <c r="CU263" s="1317"/>
      <c r="CV263" s="1317"/>
      <c r="CW263" s="1317"/>
      <c r="CX263" s="1317"/>
      <c r="CY263" s="1317"/>
      <c r="CZ263" s="1317"/>
      <c r="DA263" s="1317"/>
      <c r="DB263" s="1317"/>
      <c r="DC263" s="1317"/>
      <c r="DD263" s="1317"/>
      <c r="DE263" s="1317"/>
      <c r="DF263" s="1317"/>
      <c r="DG263" s="1317"/>
    </row>
    <row r="264" ht="18.75" customHeight="1">
      <c r="G264" s="1344"/>
      <c r="H264" s="1345">
        <f t="shared" si="4"/>
        <v>0</v>
      </c>
      <c r="I264" s="1381"/>
      <c r="J264" s="1381"/>
      <c r="K264" s="1381"/>
      <c r="L264" s="1381"/>
      <c r="M264" s="1381"/>
      <c r="N264" s="1381"/>
      <c r="O264" s="1381"/>
      <c r="P264" s="1381"/>
      <c r="Q264" s="1381"/>
      <c r="R264" s="1381"/>
      <c r="T264" s="1349"/>
      <c r="U264" s="1349" t="s">
        <v>123</v>
      </c>
      <c r="V264" s="1349" t="s">
        <v>123</v>
      </c>
      <c r="W264" s="1349"/>
      <c r="X264" s="1349"/>
      <c r="Y264" s="1308"/>
      <c r="Z264" s="437" t="str">
        <f>IFERROR(__xludf.DUMMYFUNCTION("IF(NOT('portfólio'!$AV$7),"""",IF($T264="""","""",IFERROR(query({AtivosDados},""select sum(""&amp;Z$3&amp;"") where Col1='""&amp;$T264&amp;""' label sum(""&amp;Z$3&amp;"") ''""),0)))"),"")</f>
        <v/>
      </c>
      <c r="AA264" s="437" t="str">
        <f>IFERROR(__xludf.DUMMYFUNCTION("IF(NOT('portfólio'!$AV$7),"""",IF($T264="""","""",IFERROR(query({AtivosDados},""select sum(""&amp;AA$3&amp;"") where Col1='""&amp;$T264&amp;""' label sum(""&amp;AA$3&amp;"") ''""),0)))"),"")</f>
        <v/>
      </c>
      <c r="AB264" s="437" t="str">
        <f>IFERROR(__xludf.DUMMYFUNCTION("IF(NOT('portfólio'!$AV$7),"""",IF($T264="""","""",IFERROR(query({AtivosDados},""select sum(""&amp;AB$3&amp;"") where Col1='""&amp;$T264&amp;""' label sum(""&amp;AB$3&amp;"") ''""),0)))"),"")</f>
        <v/>
      </c>
      <c r="AC264" s="437" t="str">
        <f>IFERROR(__xludf.DUMMYFUNCTION("IF(NOT('portfólio'!$AV$7),"""",IF($T264="""","""",IFERROR(query({AtivosDados},""select sum(""&amp;AC$3&amp;"") where Col1='""&amp;$T264&amp;""' label sum(""&amp;AC$3&amp;"") ''""),0)))"),"")</f>
        <v/>
      </c>
      <c r="AD264" s="437" t="str">
        <f>IFERROR(__xludf.DUMMYFUNCTION("IF(NOT('portfólio'!$AV$7),"""",IF($T264="""","""",IFERROR(query({AtivosDados},""select sum(""&amp;AD$3&amp;"") where Col1='""&amp;$T264&amp;""' label sum(""&amp;AD$3&amp;"") ''""),0)))"),"")</f>
        <v/>
      </c>
      <c r="AE264" s="437"/>
      <c r="AF264" s="1327"/>
      <c r="AG264" s="437"/>
      <c r="AH264" s="437"/>
      <c r="AI264" s="437"/>
      <c r="AJ264" s="437"/>
      <c r="AK264" s="437"/>
      <c r="AL264" s="437"/>
      <c r="AM264" s="437"/>
      <c r="AN264" s="437"/>
      <c r="AO264" s="437"/>
      <c r="AP264" s="437"/>
      <c r="AQ264" s="1327"/>
      <c r="AR264" s="437"/>
      <c r="AS264" s="437"/>
      <c r="AT264" s="437"/>
      <c r="AU264" s="437"/>
      <c r="AV264" s="437"/>
      <c r="AW264" s="437"/>
      <c r="AX264" s="437"/>
      <c r="AY264" s="437"/>
      <c r="AZ264" s="437"/>
      <c r="BA264" s="437"/>
      <c r="BB264" s="1327"/>
      <c r="BC264" s="437"/>
      <c r="BD264" s="437"/>
      <c r="BE264" s="437"/>
      <c r="BF264" s="437"/>
      <c r="BG264" s="437"/>
      <c r="BH264" s="437"/>
      <c r="BI264" s="437"/>
      <c r="BJ264" s="437"/>
      <c r="BK264" s="437"/>
      <c r="BL264" s="437"/>
      <c r="BM264" s="1327"/>
      <c r="BN264" s="1327"/>
      <c r="BO264" s="1327"/>
      <c r="BP264" s="1327"/>
      <c r="BQ264" s="1327"/>
      <c r="BR264" s="1327"/>
      <c r="BS264" s="1327"/>
      <c r="BT264" s="1327"/>
      <c r="BU264" s="1327"/>
      <c r="BV264" s="1327"/>
      <c r="BW264" s="1327"/>
      <c r="BX264" s="1327"/>
      <c r="BY264" s="1327"/>
      <c r="BZ264" s="1327"/>
      <c r="CA264" s="1327"/>
      <c r="CB264" s="1327"/>
      <c r="CC264" s="1327"/>
      <c r="CD264" s="1327"/>
      <c r="CE264" s="1327"/>
      <c r="CF264" s="1327"/>
      <c r="CG264" s="1327"/>
      <c r="CH264" s="1327"/>
      <c r="CI264" s="1327"/>
      <c r="CJ264" s="1327"/>
      <c r="CK264" s="1327"/>
      <c r="CL264" s="1327"/>
      <c r="CM264" s="1327"/>
      <c r="CN264" s="1327"/>
      <c r="CO264" s="1327"/>
      <c r="CP264" s="1327"/>
      <c r="CQ264" s="1327"/>
      <c r="CR264" s="1327"/>
      <c r="CS264" s="1327"/>
      <c r="CT264" s="1317"/>
      <c r="CU264" s="1317"/>
      <c r="CV264" s="1317"/>
      <c r="CW264" s="1317"/>
      <c r="CX264" s="1317"/>
      <c r="CY264" s="1317"/>
      <c r="CZ264" s="1317"/>
      <c r="DA264" s="1317"/>
      <c r="DB264" s="1317"/>
      <c r="DC264" s="1317"/>
      <c r="DD264" s="1317"/>
      <c r="DE264" s="1317"/>
      <c r="DF264" s="1317"/>
      <c r="DG264" s="1317"/>
    </row>
    <row r="265" ht="18.75" customHeight="1">
      <c r="G265" s="1344"/>
      <c r="H265" s="1345">
        <f t="shared" si="4"/>
        <v>0</v>
      </c>
      <c r="I265" s="1381"/>
      <c r="J265" s="1381"/>
      <c r="K265" s="1381"/>
      <c r="L265" s="1381"/>
      <c r="M265" s="1381"/>
      <c r="N265" s="1381"/>
      <c r="O265" s="1381"/>
      <c r="P265" s="1381"/>
      <c r="Q265" s="1381"/>
      <c r="R265" s="1381"/>
      <c r="T265" s="1349"/>
      <c r="U265" s="1349" t="s">
        <v>123</v>
      </c>
      <c r="V265" s="1349" t="s">
        <v>123</v>
      </c>
      <c r="W265" s="1349"/>
      <c r="X265" s="1349"/>
      <c r="Y265" s="1308"/>
      <c r="Z265" s="437" t="str">
        <f>IFERROR(__xludf.DUMMYFUNCTION("IF(NOT('portfólio'!$AV$7),"""",IF($T265="""","""",IFERROR(query({AtivosDados},""select sum(""&amp;Z$3&amp;"") where Col1='""&amp;$T265&amp;""' label sum(""&amp;Z$3&amp;"") ''""),0)))"),"")</f>
        <v/>
      </c>
      <c r="AA265" s="437" t="str">
        <f>IFERROR(__xludf.DUMMYFUNCTION("IF(NOT('portfólio'!$AV$7),"""",IF($T265="""","""",IFERROR(query({AtivosDados},""select sum(""&amp;AA$3&amp;"") where Col1='""&amp;$T265&amp;""' label sum(""&amp;AA$3&amp;"") ''""),0)))"),"")</f>
        <v/>
      </c>
      <c r="AB265" s="437" t="str">
        <f>IFERROR(__xludf.DUMMYFUNCTION("IF(NOT('portfólio'!$AV$7),"""",IF($T265="""","""",IFERROR(query({AtivosDados},""select sum(""&amp;AB$3&amp;"") where Col1='""&amp;$T265&amp;""' label sum(""&amp;AB$3&amp;"") ''""),0)))"),"")</f>
        <v/>
      </c>
      <c r="AC265" s="437" t="str">
        <f>IFERROR(__xludf.DUMMYFUNCTION("IF(NOT('portfólio'!$AV$7),"""",IF($T265="""","""",IFERROR(query({AtivosDados},""select sum(""&amp;AC$3&amp;"") where Col1='""&amp;$T265&amp;""' label sum(""&amp;AC$3&amp;"") ''""),0)))"),"")</f>
        <v/>
      </c>
      <c r="AD265" s="437" t="str">
        <f>IFERROR(__xludf.DUMMYFUNCTION("IF(NOT('portfólio'!$AV$7),"""",IF($T265="""","""",IFERROR(query({AtivosDados},""select sum(""&amp;AD$3&amp;"") where Col1='""&amp;$T265&amp;""' label sum(""&amp;AD$3&amp;"") ''""),0)))"),"")</f>
        <v/>
      </c>
      <c r="AE265" s="437"/>
      <c r="AF265" s="1327"/>
      <c r="AG265" s="437"/>
      <c r="AH265" s="437"/>
      <c r="AI265" s="437"/>
      <c r="AJ265" s="437"/>
      <c r="AK265" s="437"/>
      <c r="AL265" s="437"/>
      <c r="AM265" s="437"/>
      <c r="AN265" s="437"/>
      <c r="AO265" s="437"/>
      <c r="AP265" s="437"/>
      <c r="AQ265" s="1327"/>
      <c r="AR265" s="437"/>
      <c r="AS265" s="437"/>
      <c r="AT265" s="437"/>
      <c r="AU265" s="437"/>
      <c r="AV265" s="437"/>
      <c r="AW265" s="437"/>
      <c r="AX265" s="437"/>
      <c r="AY265" s="437"/>
      <c r="AZ265" s="437"/>
      <c r="BA265" s="437"/>
      <c r="BB265" s="1327"/>
      <c r="BC265" s="437"/>
      <c r="BD265" s="437"/>
      <c r="BE265" s="437"/>
      <c r="BF265" s="437"/>
      <c r="BG265" s="437"/>
      <c r="BH265" s="437"/>
      <c r="BI265" s="437"/>
      <c r="BJ265" s="437"/>
      <c r="BK265" s="437"/>
      <c r="BL265" s="437"/>
      <c r="BM265" s="1327"/>
      <c r="BN265" s="1327"/>
      <c r="BO265" s="1327"/>
      <c r="BP265" s="1327"/>
      <c r="BQ265" s="1327"/>
      <c r="BR265" s="1327"/>
      <c r="BS265" s="1327"/>
      <c r="BT265" s="1327"/>
      <c r="BU265" s="1327"/>
      <c r="BV265" s="1327"/>
      <c r="BW265" s="1327"/>
      <c r="BX265" s="1327"/>
      <c r="BY265" s="1327"/>
      <c r="BZ265" s="1327"/>
      <c r="CA265" s="1327"/>
      <c r="CB265" s="1327"/>
      <c r="CC265" s="1327"/>
      <c r="CD265" s="1327"/>
      <c r="CE265" s="1327"/>
      <c r="CF265" s="1327"/>
      <c r="CG265" s="1327"/>
      <c r="CH265" s="1327"/>
      <c r="CI265" s="1327"/>
      <c r="CJ265" s="1327"/>
      <c r="CK265" s="1327"/>
      <c r="CL265" s="1327"/>
      <c r="CM265" s="1327"/>
      <c r="CN265" s="1327"/>
      <c r="CO265" s="1327"/>
      <c r="CP265" s="1327"/>
      <c r="CQ265" s="1327"/>
      <c r="CR265" s="1327"/>
      <c r="CS265" s="1327"/>
      <c r="CT265" s="1317"/>
      <c r="CU265" s="1317"/>
      <c r="CV265" s="1317"/>
      <c r="CW265" s="1317"/>
      <c r="CX265" s="1317"/>
      <c r="CY265" s="1317"/>
      <c r="CZ265" s="1317"/>
      <c r="DA265" s="1317"/>
      <c r="DB265" s="1317"/>
      <c r="DC265" s="1317"/>
      <c r="DD265" s="1317"/>
      <c r="DE265" s="1317"/>
      <c r="DF265" s="1317"/>
      <c r="DG265" s="1317"/>
    </row>
    <row r="266" ht="18.75" customHeight="1">
      <c r="G266" s="1344"/>
      <c r="H266" s="1345">
        <f t="shared" si="4"/>
        <v>0</v>
      </c>
      <c r="I266" s="1381"/>
      <c r="J266" s="1381"/>
      <c r="K266" s="1381"/>
      <c r="L266" s="1381"/>
      <c r="M266" s="1381"/>
      <c r="N266" s="1381"/>
      <c r="O266" s="1381"/>
      <c r="P266" s="1381"/>
      <c r="Q266" s="1381"/>
      <c r="R266" s="1381"/>
      <c r="T266" s="1349"/>
      <c r="U266" s="1349" t="s">
        <v>123</v>
      </c>
      <c r="V266" s="1349" t="s">
        <v>123</v>
      </c>
      <c r="W266" s="1349"/>
      <c r="X266" s="1349"/>
      <c r="Y266" s="1308"/>
      <c r="Z266" s="437" t="str">
        <f>IFERROR(__xludf.DUMMYFUNCTION("IF(NOT('portfólio'!$AV$7),"""",IF($T266="""","""",IFERROR(query({AtivosDados},""select sum(""&amp;Z$3&amp;"") where Col1='""&amp;$T266&amp;""' label sum(""&amp;Z$3&amp;"") ''""),0)))"),"")</f>
        <v/>
      </c>
      <c r="AA266" s="437" t="str">
        <f>IFERROR(__xludf.DUMMYFUNCTION("IF(NOT('portfólio'!$AV$7),"""",IF($T266="""","""",IFERROR(query({AtivosDados},""select sum(""&amp;AA$3&amp;"") where Col1='""&amp;$T266&amp;""' label sum(""&amp;AA$3&amp;"") ''""),0)))"),"")</f>
        <v/>
      </c>
      <c r="AB266" s="437" t="str">
        <f>IFERROR(__xludf.DUMMYFUNCTION("IF(NOT('portfólio'!$AV$7),"""",IF($T266="""","""",IFERROR(query({AtivosDados},""select sum(""&amp;AB$3&amp;"") where Col1='""&amp;$T266&amp;""' label sum(""&amp;AB$3&amp;"") ''""),0)))"),"")</f>
        <v/>
      </c>
      <c r="AC266" s="437" t="str">
        <f>IFERROR(__xludf.DUMMYFUNCTION("IF(NOT('portfólio'!$AV$7),"""",IF($T266="""","""",IFERROR(query({AtivosDados},""select sum(""&amp;AC$3&amp;"") where Col1='""&amp;$T266&amp;""' label sum(""&amp;AC$3&amp;"") ''""),0)))"),"")</f>
        <v/>
      </c>
      <c r="AD266" s="437" t="str">
        <f>IFERROR(__xludf.DUMMYFUNCTION("IF(NOT('portfólio'!$AV$7),"""",IF($T266="""","""",IFERROR(query({AtivosDados},""select sum(""&amp;AD$3&amp;"") where Col1='""&amp;$T266&amp;""' label sum(""&amp;AD$3&amp;"") ''""),0)))"),"")</f>
        <v/>
      </c>
      <c r="AE266" s="437"/>
      <c r="AF266" s="1327"/>
      <c r="AG266" s="437"/>
      <c r="AH266" s="437"/>
      <c r="AI266" s="437"/>
      <c r="AJ266" s="437"/>
      <c r="AK266" s="437"/>
      <c r="AL266" s="437"/>
      <c r="AM266" s="437"/>
      <c r="AN266" s="437"/>
      <c r="AO266" s="437"/>
      <c r="AP266" s="437"/>
      <c r="AQ266" s="1327"/>
      <c r="AR266" s="437"/>
      <c r="AS266" s="437"/>
      <c r="AT266" s="437"/>
      <c r="AU266" s="437"/>
      <c r="AV266" s="437"/>
      <c r="AW266" s="437"/>
      <c r="AX266" s="437"/>
      <c r="AY266" s="437"/>
      <c r="AZ266" s="437"/>
      <c r="BA266" s="437"/>
      <c r="BB266" s="1327"/>
      <c r="BC266" s="437"/>
      <c r="BD266" s="437"/>
      <c r="BE266" s="437"/>
      <c r="BF266" s="437"/>
      <c r="BG266" s="437"/>
      <c r="BH266" s="437"/>
      <c r="BI266" s="437"/>
      <c r="BJ266" s="437"/>
      <c r="BK266" s="437"/>
      <c r="BL266" s="437"/>
      <c r="BM266" s="1327"/>
      <c r="BN266" s="1327"/>
      <c r="BO266" s="1327"/>
      <c r="BP266" s="1327"/>
      <c r="BQ266" s="1327"/>
      <c r="BR266" s="1327"/>
      <c r="BS266" s="1327"/>
      <c r="BT266" s="1327"/>
      <c r="BU266" s="1327"/>
      <c r="BV266" s="1327"/>
      <c r="BW266" s="1327"/>
      <c r="BX266" s="1327"/>
      <c r="BY266" s="1327"/>
      <c r="BZ266" s="1327"/>
      <c r="CA266" s="1327"/>
      <c r="CB266" s="1327"/>
      <c r="CC266" s="1327"/>
      <c r="CD266" s="1327"/>
      <c r="CE266" s="1327"/>
      <c r="CF266" s="1327"/>
      <c r="CG266" s="1327"/>
      <c r="CH266" s="1327"/>
      <c r="CI266" s="1327"/>
      <c r="CJ266" s="1327"/>
      <c r="CK266" s="1327"/>
      <c r="CL266" s="1327"/>
      <c r="CM266" s="1327"/>
      <c r="CN266" s="1327"/>
      <c r="CO266" s="1327"/>
      <c r="CP266" s="1327"/>
      <c r="CQ266" s="1327"/>
      <c r="CR266" s="1327"/>
      <c r="CS266" s="1327"/>
      <c r="CT266" s="1317"/>
      <c r="CU266" s="1317"/>
      <c r="CV266" s="1317"/>
      <c r="CW266" s="1317"/>
      <c r="CX266" s="1317"/>
      <c r="CY266" s="1317"/>
      <c r="CZ266" s="1317"/>
      <c r="DA266" s="1317"/>
      <c r="DB266" s="1317"/>
      <c r="DC266" s="1317"/>
      <c r="DD266" s="1317"/>
      <c r="DE266" s="1317"/>
      <c r="DF266" s="1317"/>
      <c r="DG266" s="1317"/>
    </row>
    <row r="267" ht="18.75" customHeight="1">
      <c r="G267" s="1344"/>
      <c r="H267" s="1345">
        <f t="shared" si="4"/>
        <v>0</v>
      </c>
      <c r="I267" s="1381"/>
      <c r="J267" s="1381"/>
      <c r="K267" s="1381"/>
      <c r="L267" s="1381"/>
      <c r="M267" s="1381"/>
      <c r="N267" s="1381"/>
      <c r="O267" s="1381"/>
      <c r="P267" s="1381"/>
      <c r="Q267" s="1381"/>
      <c r="R267" s="1381"/>
      <c r="T267" s="1349"/>
      <c r="U267" s="1349" t="s">
        <v>123</v>
      </c>
      <c r="V267" s="1349" t="s">
        <v>123</v>
      </c>
      <c r="W267" s="1349"/>
      <c r="X267" s="1349"/>
      <c r="Y267" s="1308"/>
      <c r="Z267" s="437" t="str">
        <f>IFERROR(__xludf.DUMMYFUNCTION("IF(NOT('portfólio'!$AV$7),"""",IF($T267="""","""",IFERROR(query({AtivosDados},""select sum(""&amp;Z$3&amp;"") where Col1='""&amp;$T267&amp;""' label sum(""&amp;Z$3&amp;"") ''""),0)))"),"")</f>
        <v/>
      </c>
      <c r="AA267" s="437" t="str">
        <f>IFERROR(__xludf.DUMMYFUNCTION("IF(NOT('portfólio'!$AV$7),"""",IF($T267="""","""",IFERROR(query({AtivosDados},""select sum(""&amp;AA$3&amp;"") where Col1='""&amp;$T267&amp;""' label sum(""&amp;AA$3&amp;"") ''""),0)))"),"")</f>
        <v/>
      </c>
      <c r="AB267" s="437" t="str">
        <f>IFERROR(__xludf.DUMMYFUNCTION("IF(NOT('portfólio'!$AV$7),"""",IF($T267="""","""",IFERROR(query({AtivosDados},""select sum(""&amp;AB$3&amp;"") where Col1='""&amp;$T267&amp;""' label sum(""&amp;AB$3&amp;"") ''""),0)))"),"")</f>
        <v/>
      </c>
      <c r="AC267" s="437" t="str">
        <f>IFERROR(__xludf.DUMMYFUNCTION("IF(NOT('portfólio'!$AV$7),"""",IF($T267="""","""",IFERROR(query({AtivosDados},""select sum(""&amp;AC$3&amp;"") where Col1='""&amp;$T267&amp;""' label sum(""&amp;AC$3&amp;"") ''""),0)))"),"")</f>
        <v/>
      </c>
      <c r="AD267" s="437" t="str">
        <f>IFERROR(__xludf.DUMMYFUNCTION("IF(NOT('portfólio'!$AV$7),"""",IF($T267="""","""",IFERROR(query({AtivosDados},""select sum(""&amp;AD$3&amp;"") where Col1='""&amp;$T267&amp;""' label sum(""&amp;AD$3&amp;"") ''""),0)))"),"")</f>
        <v/>
      </c>
      <c r="AE267" s="437"/>
      <c r="AF267" s="1327"/>
      <c r="AG267" s="437"/>
      <c r="AH267" s="437"/>
      <c r="AI267" s="437"/>
      <c r="AJ267" s="437"/>
      <c r="AK267" s="437"/>
      <c r="AL267" s="437"/>
      <c r="AM267" s="437"/>
      <c r="AN267" s="437"/>
      <c r="AO267" s="437"/>
      <c r="AP267" s="437"/>
      <c r="AQ267" s="1327"/>
      <c r="AR267" s="437"/>
      <c r="AS267" s="437"/>
      <c r="AT267" s="437"/>
      <c r="AU267" s="437"/>
      <c r="AV267" s="437"/>
      <c r="AW267" s="437"/>
      <c r="AX267" s="437"/>
      <c r="AY267" s="437"/>
      <c r="AZ267" s="437"/>
      <c r="BA267" s="437"/>
      <c r="BB267" s="1327"/>
      <c r="BC267" s="437"/>
      <c r="BD267" s="437"/>
      <c r="BE267" s="437"/>
      <c r="BF267" s="437"/>
      <c r="BG267" s="437"/>
      <c r="BH267" s="437"/>
      <c r="BI267" s="437"/>
      <c r="BJ267" s="437"/>
      <c r="BK267" s="437"/>
      <c r="BL267" s="437"/>
      <c r="BM267" s="1327"/>
      <c r="BN267" s="1327"/>
      <c r="BO267" s="1327"/>
      <c r="BP267" s="1327"/>
      <c r="BQ267" s="1327"/>
      <c r="BR267" s="1327"/>
      <c r="BS267" s="1327"/>
      <c r="BT267" s="1327"/>
      <c r="BU267" s="1327"/>
      <c r="BV267" s="1327"/>
      <c r="BW267" s="1327"/>
      <c r="BX267" s="1327"/>
      <c r="BY267" s="1327"/>
      <c r="BZ267" s="1327"/>
      <c r="CA267" s="1327"/>
      <c r="CB267" s="1327"/>
      <c r="CC267" s="1327"/>
      <c r="CD267" s="1327"/>
      <c r="CE267" s="1327"/>
      <c r="CF267" s="1327"/>
      <c r="CG267" s="1327"/>
      <c r="CH267" s="1327"/>
      <c r="CI267" s="1327"/>
      <c r="CJ267" s="1327"/>
      <c r="CK267" s="1327"/>
      <c r="CL267" s="1327"/>
      <c r="CM267" s="1327"/>
      <c r="CN267" s="1327"/>
      <c r="CO267" s="1327"/>
      <c r="CP267" s="1327"/>
      <c r="CQ267" s="1327"/>
      <c r="CR267" s="1327"/>
      <c r="CS267" s="1327"/>
      <c r="CT267" s="1317"/>
      <c r="CU267" s="1317"/>
      <c r="CV267" s="1317"/>
      <c r="CW267" s="1317"/>
      <c r="CX267" s="1317"/>
      <c r="CY267" s="1317"/>
      <c r="CZ267" s="1317"/>
      <c r="DA267" s="1317"/>
      <c r="DB267" s="1317"/>
      <c r="DC267" s="1317"/>
      <c r="DD267" s="1317"/>
      <c r="DE267" s="1317"/>
      <c r="DF267" s="1317"/>
      <c r="DG267" s="1317"/>
    </row>
    <row r="268" ht="18.75" customHeight="1">
      <c r="G268" s="1344"/>
      <c r="H268" s="1345">
        <f t="shared" si="4"/>
        <v>0</v>
      </c>
      <c r="I268" s="1381"/>
      <c r="J268" s="1381"/>
      <c r="K268" s="1381"/>
      <c r="L268" s="1381"/>
      <c r="M268" s="1381"/>
      <c r="N268" s="1381"/>
      <c r="O268" s="1381"/>
      <c r="P268" s="1381"/>
      <c r="Q268" s="1381"/>
      <c r="R268" s="1381"/>
      <c r="T268" s="1349"/>
      <c r="U268" s="1349" t="s">
        <v>123</v>
      </c>
      <c r="V268" s="1349" t="s">
        <v>123</v>
      </c>
      <c r="W268" s="1349"/>
      <c r="X268" s="1349"/>
      <c r="Y268" s="1308"/>
      <c r="Z268" s="437" t="str">
        <f>IFERROR(__xludf.DUMMYFUNCTION("IF(NOT('portfólio'!$AV$7),"""",IF($T268="""","""",IFERROR(query({AtivosDados},""select sum(""&amp;Z$3&amp;"") where Col1='""&amp;$T268&amp;""' label sum(""&amp;Z$3&amp;"") ''""),0)))"),"")</f>
        <v/>
      </c>
      <c r="AA268" s="437" t="str">
        <f>IFERROR(__xludf.DUMMYFUNCTION("IF(NOT('portfólio'!$AV$7),"""",IF($T268="""","""",IFERROR(query({AtivosDados},""select sum(""&amp;AA$3&amp;"") where Col1='""&amp;$T268&amp;""' label sum(""&amp;AA$3&amp;"") ''""),0)))"),"")</f>
        <v/>
      </c>
      <c r="AB268" s="437" t="str">
        <f>IFERROR(__xludf.DUMMYFUNCTION("IF(NOT('portfólio'!$AV$7),"""",IF($T268="""","""",IFERROR(query({AtivosDados},""select sum(""&amp;AB$3&amp;"") where Col1='""&amp;$T268&amp;""' label sum(""&amp;AB$3&amp;"") ''""),0)))"),"")</f>
        <v/>
      </c>
      <c r="AC268" s="437" t="str">
        <f>IFERROR(__xludf.DUMMYFUNCTION("IF(NOT('portfólio'!$AV$7),"""",IF($T268="""","""",IFERROR(query({AtivosDados},""select sum(""&amp;AC$3&amp;"") where Col1='""&amp;$T268&amp;""' label sum(""&amp;AC$3&amp;"") ''""),0)))"),"")</f>
        <v/>
      </c>
      <c r="AD268" s="437" t="str">
        <f>IFERROR(__xludf.DUMMYFUNCTION("IF(NOT('portfólio'!$AV$7),"""",IF($T268="""","""",IFERROR(query({AtivosDados},""select sum(""&amp;AD$3&amp;"") where Col1='""&amp;$T268&amp;""' label sum(""&amp;AD$3&amp;"") ''""),0)))"),"")</f>
        <v/>
      </c>
      <c r="AE268" s="437"/>
      <c r="AF268" s="1327"/>
      <c r="AG268" s="437"/>
      <c r="AH268" s="437"/>
      <c r="AI268" s="437"/>
      <c r="AJ268" s="437"/>
      <c r="AK268" s="437"/>
      <c r="AL268" s="437"/>
      <c r="AM268" s="437"/>
      <c r="AN268" s="437"/>
      <c r="AO268" s="437"/>
      <c r="AP268" s="437"/>
      <c r="AQ268" s="1327"/>
      <c r="AR268" s="437"/>
      <c r="AS268" s="437"/>
      <c r="AT268" s="437"/>
      <c r="AU268" s="437"/>
      <c r="AV268" s="437"/>
      <c r="AW268" s="437"/>
      <c r="AX268" s="437"/>
      <c r="AY268" s="437"/>
      <c r="AZ268" s="437"/>
      <c r="BA268" s="437"/>
      <c r="BB268" s="1327"/>
      <c r="BC268" s="437"/>
      <c r="BD268" s="437"/>
      <c r="BE268" s="437"/>
      <c r="BF268" s="437"/>
      <c r="BG268" s="437"/>
      <c r="BH268" s="437"/>
      <c r="BI268" s="437"/>
      <c r="BJ268" s="437"/>
      <c r="BK268" s="437"/>
      <c r="BL268" s="437"/>
      <c r="BM268" s="1327"/>
      <c r="BN268" s="1327"/>
      <c r="BO268" s="1327"/>
      <c r="BP268" s="1327"/>
      <c r="BQ268" s="1327"/>
      <c r="BR268" s="1327"/>
      <c r="BS268" s="1327"/>
      <c r="BT268" s="1327"/>
      <c r="BU268" s="1327"/>
      <c r="BV268" s="1327"/>
      <c r="BW268" s="1327"/>
      <c r="BX268" s="1327"/>
      <c r="BY268" s="1327"/>
      <c r="BZ268" s="1327"/>
      <c r="CA268" s="1327"/>
      <c r="CB268" s="1327"/>
      <c r="CC268" s="1327"/>
      <c r="CD268" s="1327"/>
      <c r="CE268" s="1327"/>
      <c r="CF268" s="1327"/>
      <c r="CG268" s="1327"/>
      <c r="CH268" s="1327"/>
      <c r="CI268" s="1327"/>
      <c r="CJ268" s="1327"/>
      <c r="CK268" s="1327"/>
      <c r="CL268" s="1327"/>
      <c r="CM268" s="1327"/>
      <c r="CN268" s="1327"/>
      <c r="CO268" s="1327"/>
      <c r="CP268" s="1327"/>
      <c r="CQ268" s="1327"/>
      <c r="CR268" s="1327"/>
      <c r="CS268" s="1327"/>
      <c r="CT268" s="1317"/>
      <c r="CU268" s="1317"/>
      <c r="CV268" s="1317"/>
      <c r="CW268" s="1317"/>
      <c r="CX268" s="1317"/>
      <c r="CY268" s="1317"/>
      <c r="CZ268" s="1317"/>
      <c r="DA268" s="1317"/>
      <c r="DB268" s="1317"/>
      <c r="DC268" s="1317"/>
      <c r="DD268" s="1317"/>
      <c r="DE268" s="1317"/>
      <c r="DF268" s="1317"/>
      <c r="DG268" s="1317"/>
    </row>
    <row r="269" ht="18.75" customHeight="1">
      <c r="G269" s="1344"/>
      <c r="H269" s="1345">
        <f t="shared" si="4"/>
        <v>0</v>
      </c>
      <c r="I269" s="1381"/>
      <c r="J269" s="1381"/>
      <c r="K269" s="1381"/>
      <c r="L269" s="1381"/>
      <c r="M269" s="1381"/>
      <c r="N269" s="1381"/>
      <c r="O269" s="1381"/>
      <c r="P269" s="1381"/>
      <c r="Q269" s="1381"/>
      <c r="R269" s="1381"/>
      <c r="T269" s="1349"/>
      <c r="U269" s="1349" t="s">
        <v>123</v>
      </c>
      <c r="V269" s="1349" t="s">
        <v>123</v>
      </c>
      <c r="W269" s="1349"/>
      <c r="X269" s="1349"/>
      <c r="Y269" s="1308"/>
      <c r="Z269" s="437" t="str">
        <f>IFERROR(__xludf.DUMMYFUNCTION("IF(NOT('portfólio'!$AV$7),"""",IF($T269="""","""",IFERROR(query({AtivosDados},""select sum(""&amp;Z$3&amp;"") where Col1='""&amp;$T269&amp;""' label sum(""&amp;Z$3&amp;"") ''""),0)))"),"")</f>
        <v/>
      </c>
      <c r="AA269" s="437" t="str">
        <f>IFERROR(__xludf.DUMMYFUNCTION("IF(NOT('portfólio'!$AV$7),"""",IF($T269="""","""",IFERROR(query({AtivosDados},""select sum(""&amp;AA$3&amp;"") where Col1='""&amp;$T269&amp;""' label sum(""&amp;AA$3&amp;"") ''""),0)))"),"")</f>
        <v/>
      </c>
      <c r="AB269" s="437" t="str">
        <f>IFERROR(__xludf.DUMMYFUNCTION("IF(NOT('portfólio'!$AV$7),"""",IF($T269="""","""",IFERROR(query({AtivosDados},""select sum(""&amp;AB$3&amp;"") where Col1='""&amp;$T269&amp;""' label sum(""&amp;AB$3&amp;"") ''""),0)))"),"")</f>
        <v/>
      </c>
      <c r="AC269" s="437" t="str">
        <f>IFERROR(__xludf.DUMMYFUNCTION("IF(NOT('portfólio'!$AV$7),"""",IF($T269="""","""",IFERROR(query({AtivosDados},""select sum(""&amp;AC$3&amp;"") where Col1='""&amp;$T269&amp;""' label sum(""&amp;AC$3&amp;"") ''""),0)))"),"")</f>
        <v/>
      </c>
      <c r="AD269" s="437" t="str">
        <f>IFERROR(__xludf.DUMMYFUNCTION("IF(NOT('portfólio'!$AV$7),"""",IF($T269="""","""",IFERROR(query({AtivosDados},""select sum(""&amp;AD$3&amp;"") where Col1='""&amp;$T269&amp;""' label sum(""&amp;AD$3&amp;"") ''""),0)))"),"")</f>
        <v/>
      </c>
      <c r="AE269" s="437"/>
      <c r="AF269" s="1327"/>
      <c r="AG269" s="437"/>
      <c r="AH269" s="437"/>
      <c r="AI269" s="437"/>
      <c r="AJ269" s="437"/>
      <c r="AK269" s="437"/>
      <c r="AL269" s="437"/>
      <c r="AM269" s="437"/>
      <c r="AN269" s="437"/>
      <c r="AO269" s="437"/>
      <c r="AP269" s="437"/>
      <c r="AQ269" s="1327"/>
      <c r="AR269" s="437"/>
      <c r="AS269" s="437"/>
      <c r="AT269" s="437"/>
      <c r="AU269" s="437"/>
      <c r="AV269" s="437"/>
      <c r="AW269" s="437"/>
      <c r="AX269" s="437"/>
      <c r="AY269" s="437"/>
      <c r="AZ269" s="437"/>
      <c r="BA269" s="437"/>
      <c r="BB269" s="1327"/>
      <c r="BC269" s="437"/>
      <c r="BD269" s="437"/>
      <c r="BE269" s="437"/>
      <c r="BF269" s="437"/>
      <c r="BG269" s="437"/>
      <c r="BH269" s="437"/>
      <c r="BI269" s="437"/>
      <c r="BJ269" s="437"/>
      <c r="BK269" s="437"/>
      <c r="BL269" s="437"/>
      <c r="BM269" s="1327"/>
      <c r="BN269" s="1327"/>
      <c r="BO269" s="1327"/>
      <c r="BP269" s="1327"/>
      <c r="BQ269" s="1327"/>
      <c r="BR269" s="1327"/>
      <c r="BS269" s="1327"/>
      <c r="BT269" s="1327"/>
      <c r="BU269" s="1327"/>
      <c r="BV269" s="1327"/>
      <c r="BW269" s="1327"/>
      <c r="BX269" s="1327"/>
      <c r="BY269" s="1327"/>
      <c r="BZ269" s="1327"/>
      <c r="CA269" s="1327"/>
      <c r="CB269" s="1327"/>
      <c r="CC269" s="1327"/>
      <c r="CD269" s="1327"/>
      <c r="CE269" s="1327"/>
      <c r="CF269" s="1327"/>
      <c r="CG269" s="1327"/>
      <c r="CH269" s="1327"/>
      <c r="CI269" s="1327"/>
      <c r="CJ269" s="1327"/>
      <c r="CK269" s="1327"/>
      <c r="CL269" s="1327"/>
      <c r="CM269" s="1327"/>
      <c r="CN269" s="1327"/>
      <c r="CO269" s="1327"/>
      <c r="CP269" s="1327"/>
      <c r="CQ269" s="1327"/>
      <c r="CR269" s="1327"/>
      <c r="CS269" s="1327"/>
      <c r="CT269" s="1317"/>
      <c r="CU269" s="1317"/>
      <c r="CV269" s="1317"/>
      <c r="CW269" s="1317"/>
      <c r="CX269" s="1317"/>
      <c r="CY269" s="1317"/>
      <c r="CZ269" s="1317"/>
      <c r="DA269" s="1317"/>
      <c r="DB269" s="1317"/>
      <c r="DC269" s="1317"/>
      <c r="DD269" s="1317"/>
      <c r="DE269" s="1317"/>
      <c r="DF269" s="1317"/>
      <c r="DG269" s="1317"/>
    </row>
    <row r="270" ht="18.75" customHeight="1">
      <c r="G270" s="1344"/>
      <c r="H270" s="1345">
        <f t="shared" si="4"/>
        <v>0</v>
      </c>
      <c r="I270" s="1381"/>
      <c r="J270" s="1381"/>
      <c r="K270" s="1381"/>
      <c r="L270" s="1381"/>
      <c r="M270" s="1381"/>
      <c r="N270" s="1381"/>
      <c r="O270" s="1381"/>
      <c r="P270" s="1381"/>
      <c r="Q270" s="1381"/>
      <c r="R270" s="1381"/>
      <c r="T270" s="1349"/>
      <c r="U270" s="1349" t="s">
        <v>123</v>
      </c>
      <c r="V270" s="1349" t="s">
        <v>123</v>
      </c>
      <c r="W270" s="1349"/>
      <c r="X270" s="1349"/>
      <c r="Y270" s="1308"/>
      <c r="Z270" s="437" t="str">
        <f>IFERROR(__xludf.DUMMYFUNCTION("IF(NOT('portfólio'!$AV$7),"""",IF($T270="""","""",IFERROR(query({AtivosDados},""select sum(""&amp;Z$3&amp;"") where Col1='""&amp;$T270&amp;""' label sum(""&amp;Z$3&amp;"") ''""),0)))"),"")</f>
        <v/>
      </c>
      <c r="AA270" s="437" t="str">
        <f>IFERROR(__xludf.DUMMYFUNCTION("IF(NOT('portfólio'!$AV$7),"""",IF($T270="""","""",IFERROR(query({AtivosDados},""select sum(""&amp;AA$3&amp;"") where Col1='""&amp;$T270&amp;""' label sum(""&amp;AA$3&amp;"") ''""),0)))"),"")</f>
        <v/>
      </c>
      <c r="AB270" s="437" t="str">
        <f>IFERROR(__xludf.DUMMYFUNCTION("IF(NOT('portfólio'!$AV$7),"""",IF($T270="""","""",IFERROR(query({AtivosDados},""select sum(""&amp;AB$3&amp;"") where Col1='""&amp;$T270&amp;""' label sum(""&amp;AB$3&amp;"") ''""),0)))"),"")</f>
        <v/>
      </c>
      <c r="AC270" s="437" t="str">
        <f>IFERROR(__xludf.DUMMYFUNCTION("IF(NOT('portfólio'!$AV$7),"""",IF($T270="""","""",IFERROR(query({AtivosDados},""select sum(""&amp;AC$3&amp;"") where Col1='""&amp;$T270&amp;""' label sum(""&amp;AC$3&amp;"") ''""),0)))"),"")</f>
        <v/>
      </c>
      <c r="AD270" s="437" t="str">
        <f>IFERROR(__xludf.DUMMYFUNCTION("IF(NOT('portfólio'!$AV$7),"""",IF($T270="""","""",IFERROR(query({AtivosDados},""select sum(""&amp;AD$3&amp;"") where Col1='""&amp;$T270&amp;""' label sum(""&amp;AD$3&amp;"") ''""),0)))"),"")</f>
        <v/>
      </c>
      <c r="AE270" s="437"/>
      <c r="AF270" s="1327"/>
      <c r="AG270" s="437"/>
      <c r="AH270" s="437"/>
      <c r="AI270" s="437"/>
      <c r="AJ270" s="437"/>
      <c r="AK270" s="437"/>
      <c r="AL270" s="437"/>
      <c r="AM270" s="437"/>
      <c r="AN270" s="437"/>
      <c r="AO270" s="437"/>
      <c r="AP270" s="437"/>
      <c r="AQ270" s="1327"/>
      <c r="AR270" s="437"/>
      <c r="AS270" s="437"/>
      <c r="AT270" s="437"/>
      <c r="AU270" s="437"/>
      <c r="AV270" s="437"/>
      <c r="AW270" s="437"/>
      <c r="AX270" s="437"/>
      <c r="AY270" s="437"/>
      <c r="AZ270" s="437"/>
      <c r="BA270" s="437"/>
      <c r="BB270" s="1327"/>
      <c r="BC270" s="437"/>
      <c r="BD270" s="437"/>
      <c r="BE270" s="437"/>
      <c r="BF270" s="437"/>
      <c r="BG270" s="437"/>
      <c r="BH270" s="437"/>
      <c r="BI270" s="437"/>
      <c r="BJ270" s="437"/>
      <c r="BK270" s="437"/>
      <c r="BL270" s="437"/>
      <c r="BM270" s="1327"/>
      <c r="BN270" s="1327"/>
      <c r="BO270" s="1327"/>
      <c r="BP270" s="1327"/>
      <c r="BQ270" s="1327"/>
      <c r="BR270" s="1327"/>
      <c r="BS270" s="1327"/>
      <c r="BT270" s="1327"/>
      <c r="BU270" s="1327"/>
      <c r="BV270" s="1327"/>
      <c r="BW270" s="1327"/>
      <c r="BX270" s="1327"/>
      <c r="BY270" s="1327"/>
      <c r="BZ270" s="1327"/>
      <c r="CA270" s="1327"/>
      <c r="CB270" s="1327"/>
      <c r="CC270" s="1327"/>
      <c r="CD270" s="1327"/>
      <c r="CE270" s="1327"/>
      <c r="CF270" s="1327"/>
      <c r="CG270" s="1327"/>
      <c r="CH270" s="1327"/>
      <c r="CI270" s="1327"/>
      <c r="CJ270" s="1327"/>
      <c r="CK270" s="1327"/>
      <c r="CL270" s="1327"/>
      <c r="CM270" s="1327"/>
      <c r="CN270" s="1327"/>
      <c r="CO270" s="1327"/>
      <c r="CP270" s="1327"/>
      <c r="CQ270" s="1327"/>
      <c r="CR270" s="1327"/>
      <c r="CS270" s="1327"/>
      <c r="CT270" s="1317"/>
      <c r="CU270" s="1317"/>
      <c r="CV270" s="1317"/>
      <c r="CW270" s="1317"/>
      <c r="CX270" s="1317"/>
      <c r="CY270" s="1317"/>
      <c r="CZ270" s="1317"/>
      <c r="DA270" s="1317"/>
      <c r="DB270" s="1317"/>
      <c r="DC270" s="1317"/>
      <c r="DD270" s="1317"/>
      <c r="DE270" s="1317"/>
      <c r="DF270" s="1317"/>
      <c r="DG270" s="1317"/>
    </row>
    <row r="271" ht="18.75" customHeight="1">
      <c r="G271" s="1344"/>
      <c r="H271" s="1345">
        <f t="shared" si="4"/>
        <v>0</v>
      </c>
      <c r="I271" s="1381"/>
      <c r="J271" s="1381"/>
      <c r="K271" s="1381"/>
      <c r="L271" s="1381"/>
      <c r="M271" s="1381"/>
      <c r="N271" s="1381"/>
      <c r="O271" s="1381"/>
      <c r="P271" s="1381"/>
      <c r="Q271" s="1381"/>
      <c r="R271" s="1381"/>
      <c r="T271" s="1349"/>
      <c r="U271" s="1349" t="s">
        <v>123</v>
      </c>
      <c r="V271" s="1349" t="s">
        <v>123</v>
      </c>
      <c r="W271" s="1349"/>
      <c r="X271" s="1349"/>
      <c r="Y271" s="1308"/>
      <c r="Z271" s="437" t="str">
        <f>IFERROR(__xludf.DUMMYFUNCTION("IF(NOT('portfólio'!$AV$7),"""",IF($T271="""","""",IFERROR(query({AtivosDados},""select sum(""&amp;Z$3&amp;"") where Col1='""&amp;$T271&amp;""' label sum(""&amp;Z$3&amp;"") ''""),0)))"),"")</f>
        <v/>
      </c>
      <c r="AA271" s="437" t="str">
        <f>IFERROR(__xludf.DUMMYFUNCTION("IF(NOT('portfólio'!$AV$7),"""",IF($T271="""","""",IFERROR(query({AtivosDados},""select sum(""&amp;AA$3&amp;"") where Col1='""&amp;$T271&amp;""' label sum(""&amp;AA$3&amp;"") ''""),0)))"),"")</f>
        <v/>
      </c>
      <c r="AB271" s="437" t="str">
        <f>IFERROR(__xludf.DUMMYFUNCTION("IF(NOT('portfólio'!$AV$7),"""",IF($T271="""","""",IFERROR(query({AtivosDados},""select sum(""&amp;AB$3&amp;"") where Col1='""&amp;$T271&amp;""' label sum(""&amp;AB$3&amp;"") ''""),0)))"),"")</f>
        <v/>
      </c>
      <c r="AC271" s="437" t="str">
        <f>IFERROR(__xludf.DUMMYFUNCTION("IF(NOT('portfólio'!$AV$7),"""",IF($T271="""","""",IFERROR(query({AtivosDados},""select sum(""&amp;AC$3&amp;"") where Col1='""&amp;$T271&amp;""' label sum(""&amp;AC$3&amp;"") ''""),0)))"),"")</f>
        <v/>
      </c>
      <c r="AD271" s="437" t="str">
        <f>IFERROR(__xludf.DUMMYFUNCTION("IF(NOT('portfólio'!$AV$7),"""",IF($T271="""","""",IFERROR(query({AtivosDados},""select sum(""&amp;AD$3&amp;"") where Col1='""&amp;$T271&amp;""' label sum(""&amp;AD$3&amp;"") ''""),0)))"),"")</f>
        <v/>
      </c>
      <c r="AE271" s="437"/>
      <c r="AF271" s="1327"/>
      <c r="AG271" s="437"/>
      <c r="AH271" s="437"/>
      <c r="AI271" s="437"/>
      <c r="AJ271" s="437"/>
      <c r="AK271" s="437"/>
      <c r="AL271" s="437"/>
      <c r="AM271" s="437"/>
      <c r="AN271" s="437"/>
      <c r="AO271" s="437"/>
      <c r="AP271" s="437"/>
      <c r="AQ271" s="1327"/>
      <c r="AR271" s="437"/>
      <c r="AS271" s="437"/>
      <c r="AT271" s="437"/>
      <c r="AU271" s="437"/>
      <c r="AV271" s="437"/>
      <c r="AW271" s="437"/>
      <c r="AX271" s="437"/>
      <c r="AY271" s="437"/>
      <c r="AZ271" s="437"/>
      <c r="BA271" s="437"/>
      <c r="BB271" s="1327"/>
      <c r="BC271" s="437"/>
      <c r="BD271" s="437"/>
      <c r="BE271" s="437"/>
      <c r="BF271" s="437"/>
      <c r="BG271" s="437"/>
      <c r="BH271" s="437"/>
      <c r="BI271" s="437"/>
      <c r="BJ271" s="437"/>
      <c r="BK271" s="437"/>
      <c r="BL271" s="437"/>
      <c r="BM271" s="1327"/>
      <c r="BN271" s="1327"/>
      <c r="BO271" s="1327"/>
      <c r="BP271" s="1327"/>
      <c r="BQ271" s="1327"/>
      <c r="BR271" s="1327"/>
      <c r="BS271" s="1327"/>
      <c r="BT271" s="1327"/>
      <c r="BU271" s="1327"/>
      <c r="BV271" s="1327"/>
      <c r="BW271" s="1327"/>
      <c r="BX271" s="1327"/>
      <c r="BY271" s="1327"/>
      <c r="BZ271" s="1327"/>
      <c r="CA271" s="1327"/>
      <c r="CB271" s="1327"/>
      <c r="CC271" s="1327"/>
      <c r="CD271" s="1327"/>
      <c r="CE271" s="1327"/>
      <c r="CF271" s="1327"/>
      <c r="CG271" s="1327"/>
      <c r="CH271" s="1327"/>
      <c r="CI271" s="1327"/>
      <c r="CJ271" s="1327"/>
      <c r="CK271" s="1327"/>
      <c r="CL271" s="1327"/>
      <c r="CM271" s="1327"/>
      <c r="CN271" s="1327"/>
      <c r="CO271" s="1327"/>
      <c r="CP271" s="1327"/>
      <c r="CQ271" s="1327"/>
      <c r="CR271" s="1327"/>
      <c r="CS271" s="1327"/>
      <c r="CT271" s="1317"/>
      <c r="CU271" s="1317"/>
      <c r="CV271" s="1317"/>
      <c r="CW271" s="1317"/>
      <c r="CX271" s="1317"/>
      <c r="CY271" s="1317"/>
      <c r="CZ271" s="1317"/>
      <c r="DA271" s="1317"/>
      <c r="DB271" s="1317"/>
      <c r="DC271" s="1317"/>
      <c r="DD271" s="1317"/>
      <c r="DE271" s="1317"/>
      <c r="DF271" s="1317"/>
      <c r="DG271" s="1317"/>
    </row>
    <row r="272" ht="18.75" customHeight="1">
      <c r="G272" s="1344"/>
      <c r="H272" s="1345">
        <f t="shared" si="4"/>
        <v>0</v>
      </c>
      <c r="I272" s="1381"/>
      <c r="J272" s="1381"/>
      <c r="K272" s="1381"/>
      <c r="L272" s="1381"/>
      <c r="M272" s="1381"/>
      <c r="N272" s="1381"/>
      <c r="O272" s="1381"/>
      <c r="P272" s="1381"/>
      <c r="Q272" s="1381"/>
      <c r="R272" s="1381"/>
      <c r="T272" s="1349"/>
      <c r="U272" s="1349" t="s">
        <v>123</v>
      </c>
      <c r="V272" s="1349" t="s">
        <v>123</v>
      </c>
      <c r="W272" s="1349"/>
      <c r="X272" s="1349"/>
      <c r="Y272" s="1308"/>
      <c r="Z272" s="437" t="str">
        <f>IFERROR(__xludf.DUMMYFUNCTION("IF(NOT('portfólio'!$AV$7),"""",IF($T272="""","""",IFERROR(query({AtivosDados},""select sum(""&amp;Z$3&amp;"") where Col1='""&amp;$T272&amp;""' label sum(""&amp;Z$3&amp;"") ''""),0)))"),"")</f>
        <v/>
      </c>
      <c r="AA272" s="437" t="str">
        <f>IFERROR(__xludf.DUMMYFUNCTION("IF(NOT('portfólio'!$AV$7),"""",IF($T272="""","""",IFERROR(query({AtivosDados},""select sum(""&amp;AA$3&amp;"") where Col1='""&amp;$T272&amp;""' label sum(""&amp;AA$3&amp;"") ''""),0)))"),"")</f>
        <v/>
      </c>
      <c r="AB272" s="437" t="str">
        <f>IFERROR(__xludf.DUMMYFUNCTION("IF(NOT('portfólio'!$AV$7),"""",IF($T272="""","""",IFERROR(query({AtivosDados},""select sum(""&amp;AB$3&amp;"") where Col1='""&amp;$T272&amp;""' label sum(""&amp;AB$3&amp;"") ''""),0)))"),"")</f>
        <v/>
      </c>
      <c r="AC272" s="437" t="str">
        <f>IFERROR(__xludf.DUMMYFUNCTION("IF(NOT('portfólio'!$AV$7),"""",IF($T272="""","""",IFERROR(query({AtivosDados},""select sum(""&amp;AC$3&amp;"") where Col1='""&amp;$T272&amp;""' label sum(""&amp;AC$3&amp;"") ''""),0)))"),"")</f>
        <v/>
      </c>
      <c r="AD272" s="437" t="str">
        <f>IFERROR(__xludf.DUMMYFUNCTION("IF(NOT('portfólio'!$AV$7),"""",IF($T272="""","""",IFERROR(query({AtivosDados},""select sum(""&amp;AD$3&amp;"") where Col1='""&amp;$T272&amp;""' label sum(""&amp;AD$3&amp;"") ''""),0)))"),"")</f>
        <v/>
      </c>
      <c r="AE272" s="437"/>
      <c r="AF272" s="1327"/>
      <c r="AG272" s="437"/>
      <c r="AH272" s="437"/>
      <c r="AI272" s="437"/>
      <c r="AJ272" s="437"/>
      <c r="AK272" s="437"/>
      <c r="AL272" s="437"/>
      <c r="AM272" s="437"/>
      <c r="AN272" s="437"/>
      <c r="AO272" s="437"/>
      <c r="AP272" s="437"/>
      <c r="AQ272" s="1327"/>
      <c r="AR272" s="437"/>
      <c r="AS272" s="437"/>
      <c r="AT272" s="437"/>
      <c r="AU272" s="437"/>
      <c r="AV272" s="437"/>
      <c r="AW272" s="437"/>
      <c r="AX272" s="437"/>
      <c r="AY272" s="437"/>
      <c r="AZ272" s="437"/>
      <c r="BA272" s="437"/>
      <c r="BB272" s="1327"/>
      <c r="BC272" s="437"/>
      <c r="BD272" s="437"/>
      <c r="BE272" s="437"/>
      <c r="BF272" s="437"/>
      <c r="BG272" s="437"/>
      <c r="BH272" s="437"/>
      <c r="BI272" s="437"/>
      <c r="BJ272" s="437"/>
      <c r="BK272" s="437"/>
      <c r="BL272" s="437"/>
      <c r="BM272" s="1327"/>
      <c r="BN272" s="1327"/>
      <c r="BO272" s="1327"/>
      <c r="BP272" s="1327"/>
      <c r="BQ272" s="1327"/>
      <c r="BR272" s="1327"/>
      <c r="BS272" s="1327"/>
      <c r="BT272" s="1327"/>
      <c r="BU272" s="1327"/>
      <c r="BV272" s="1327"/>
      <c r="BW272" s="1327"/>
      <c r="BX272" s="1327"/>
      <c r="BY272" s="1327"/>
      <c r="BZ272" s="1327"/>
      <c r="CA272" s="1327"/>
      <c r="CB272" s="1327"/>
      <c r="CC272" s="1327"/>
      <c r="CD272" s="1327"/>
      <c r="CE272" s="1327"/>
      <c r="CF272" s="1327"/>
      <c r="CG272" s="1327"/>
      <c r="CH272" s="1327"/>
      <c r="CI272" s="1327"/>
      <c r="CJ272" s="1327"/>
      <c r="CK272" s="1327"/>
      <c r="CL272" s="1327"/>
      <c r="CM272" s="1327"/>
      <c r="CN272" s="1327"/>
      <c r="CO272" s="1327"/>
      <c r="CP272" s="1327"/>
      <c r="CQ272" s="1327"/>
      <c r="CR272" s="1327"/>
      <c r="CS272" s="1327"/>
      <c r="CT272" s="1317"/>
      <c r="CU272" s="1317"/>
      <c r="CV272" s="1317"/>
      <c r="CW272" s="1317"/>
      <c r="CX272" s="1317"/>
      <c r="CY272" s="1317"/>
      <c r="CZ272" s="1317"/>
      <c r="DA272" s="1317"/>
      <c r="DB272" s="1317"/>
      <c r="DC272" s="1317"/>
      <c r="DD272" s="1317"/>
      <c r="DE272" s="1317"/>
      <c r="DF272" s="1317"/>
      <c r="DG272" s="1317"/>
    </row>
    <row r="273" ht="18.75" customHeight="1">
      <c r="G273" s="1344"/>
      <c r="H273" s="1345">
        <f t="shared" si="4"/>
        <v>0</v>
      </c>
      <c r="I273" s="1381"/>
      <c r="J273" s="1381"/>
      <c r="K273" s="1381"/>
      <c r="L273" s="1381"/>
      <c r="M273" s="1381"/>
      <c r="N273" s="1381"/>
      <c r="O273" s="1381"/>
      <c r="P273" s="1381"/>
      <c r="Q273" s="1381"/>
      <c r="R273" s="1381"/>
      <c r="T273" s="1349"/>
      <c r="U273" s="1349" t="s">
        <v>123</v>
      </c>
      <c r="V273" s="1349" t="s">
        <v>123</v>
      </c>
      <c r="W273" s="1349"/>
      <c r="X273" s="1349"/>
      <c r="Y273" s="1308"/>
      <c r="Z273" s="437" t="str">
        <f>IFERROR(__xludf.DUMMYFUNCTION("IF(NOT('portfólio'!$AV$7),"""",IF($T273="""","""",IFERROR(query({AtivosDados},""select sum(""&amp;Z$3&amp;"") where Col1='""&amp;$T273&amp;""' label sum(""&amp;Z$3&amp;"") ''""),0)))"),"")</f>
        <v/>
      </c>
      <c r="AA273" s="437" t="str">
        <f>IFERROR(__xludf.DUMMYFUNCTION("IF(NOT('portfólio'!$AV$7),"""",IF($T273="""","""",IFERROR(query({AtivosDados},""select sum(""&amp;AA$3&amp;"") where Col1='""&amp;$T273&amp;""' label sum(""&amp;AA$3&amp;"") ''""),0)))"),"")</f>
        <v/>
      </c>
      <c r="AB273" s="437" t="str">
        <f>IFERROR(__xludf.DUMMYFUNCTION("IF(NOT('portfólio'!$AV$7),"""",IF($T273="""","""",IFERROR(query({AtivosDados},""select sum(""&amp;AB$3&amp;"") where Col1='""&amp;$T273&amp;""' label sum(""&amp;AB$3&amp;"") ''""),0)))"),"")</f>
        <v/>
      </c>
      <c r="AC273" s="437" t="str">
        <f>IFERROR(__xludf.DUMMYFUNCTION("IF(NOT('portfólio'!$AV$7),"""",IF($T273="""","""",IFERROR(query({AtivosDados},""select sum(""&amp;AC$3&amp;"") where Col1='""&amp;$T273&amp;""' label sum(""&amp;AC$3&amp;"") ''""),0)))"),"")</f>
        <v/>
      </c>
      <c r="AD273" s="437" t="str">
        <f>IFERROR(__xludf.DUMMYFUNCTION("IF(NOT('portfólio'!$AV$7),"""",IF($T273="""","""",IFERROR(query({AtivosDados},""select sum(""&amp;AD$3&amp;"") where Col1='""&amp;$T273&amp;""' label sum(""&amp;AD$3&amp;"") ''""),0)))"),"")</f>
        <v/>
      </c>
      <c r="AE273" s="437"/>
      <c r="AF273" s="1327"/>
      <c r="AG273" s="437"/>
      <c r="AH273" s="437"/>
      <c r="AI273" s="437"/>
      <c r="AJ273" s="437"/>
      <c r="AK273" s="437"/>
      <c r="AL273" s="437"/>
      <c r="AM273" s="437"/>
      <c r="AN273" s="437"/>
      <c r="AO273" s="437"/>
      <c r="AP273" s="437"/>
      <c r="AQ273" s="1327"/>
      <c r="AR273" s="437"/>
      <c r="AS273" s="437"/>
      <c r="AT273" s="437"/>
      <c r="AU273" s="437"/>
      <c r="AV273" s="437"/>
      <c r="AW273" s="437"/>
      <c r="AX273" s="437"/>
      <c r="AY273" s="437"/>
      <c r="AZ273" s="437"/>
      <c r="BA273" s="437"/>
      <c r="BB273" s="1327"/>
      <c r="BC273" s="437"/>
      <c r="BD273" s="437"/>
      <c r="BE273" s="437"/>
      <c r="BF273" s="437"/>
      <c r="BG273" s="437"/>
      <c r="BH273" s="437"/>
      <c r="BI273" s="437"/>
      <c r="BJ273" s="437"/>
      <c r="BK273" s="437"/>
      <c r="BL273" s="437"/>
      <c r="BM273" s="1327"/>
      <c r="BN273" s="1327"/>
      <c r="BO273" s="1327"/>
      <c r="BP273" s="1327"/>
      <c r="BQ273" s="1327"/>
      <c r="BR273" s="1327"/>
      <c r="BS273" s="1327"/>
      <c r="BT273" s="1327"/>
      <c r="BU273" s="1327"/>
      <c r="BV273" s="1327"/>
      <c r="BW273" s="1327"/>
      <c r="BX273" s="1327"/>
      <c r="BY273" s="1327"/>
      <c r="BZ273" s="1327"/>
      <c r="CA273" s="1327"/>
      <c r="CB273" s="1327"/>
      <c r="CC273" s="1327"/>
      <c r="CD273" s="1327"/>
      <c r="CE273" s="1327"/>
      <c r="CF273" s="1327"/>
      <c r="CG273" s="1327"/>
      <c r="CH273" s="1327"/>
      <c r="CI273" s="1327"/>
      <c r="CJ273" s="1327"/>
      <c r="CK273" s="1327"/>
      <c r="CL273" s="1327"/>
      <c r="CM273" s="1327"/>
      <c r="CN273" s="1327"/>
      <c r="CO273" s="1327"/>
      <c r="CP273" s="1327"/>
      <c r="CQ273" s="1327"/>
      <c r="CR273" s="1327"/>
      <c r="CS273" s="1327"/>
      <c r="CT273" s="1317"/>
      <c r="CU273" s="1317"/>
      <c r="CV273" s="1317"/>
      <c r="CW273" s="1317"/>
      <c r="CX273" s="1317"/>
      <c r="CY273" s="1317"/>
      <c r="CZ273" s="1317"/>
      <c r="DA273" s="1317"/>
      <c r="DB273" s="1317"/>
      <c r="DC273" s="1317"/>
      <c r="DD273" s="1317"/>
      <c r="DE273" s="1317"/>
      <c r="DF273" s="1317"/>
      <c r="DG273" s="1317"/>
    </row>
    <row r="274" ht="18.75" customHeight="1">
      <c r="G274" s="1344"/>
      <c r="H274" s="1345">
        <f t="shared" si="4"/>
        <v>0</v>
      </c>
      <c r="I274" s="1381"/>
      <c r="J274" s="1381"/>
      <c r="K274" s="1381"/>
      <c r="L274" s="1381"/>
      <c r="M274" s="1381"/>
      <c r="N274" s="1381"/>
      <c r="O274" s="1381"/>
      <c r="P274" s="1381"/>
      <c r="Q274" s="1381"/>
      <c r="R274" s="1381"/>
      <c r="T274" s="1349"/>
      <c r="U274" s="1349" t="s">
        <v>123</v>
      </c>
      <c r="V274" s="1349" t="s">
        <v>123</v>
      </c>
      <c r="W274" s="1349"/>
      <c r="X274" s="1349"/>
      <c r="Y274" s="1308"/>
      <c r="Z274" s="437" t="str">
        <f>IFERROR(__xludf.DUMMYFUNCTION("IF(NOT('portfólio'!$AV$7),"""",IF($T274="""","""",IFERROR(query({AtivosDados},""select sum(""&amp;Z$3&amp;"") where Col1='""&amp;$T274&amp;""' label sum(""&amp;Z$3&amp;"") ''""),0)))"),"")</f>
        <v/>
      </c>
      <c r="AA274" s="437" t="str">
        <f>IFERROR(__xludf.DUMMYFUNCTION("IF(NOT('portfólio'!$AV$7),"""",IF($T274="""","""",IFERROR(query({AtivosDados},""select sum(""&amp;AA$3&amp;"") where Col1='""&amp;$T274&amp;""' label sum(""&amp;AA$3&amp;"") ''""),0)))"),"")</f>
        <v/>
      </c>
      <c r="AB274" s="437" t="str">
        <f>IFERROR(__xludf.DUMMYFUNCTION("IF(NOT('portfólio'!$AV$7),"""",IF($T274="""","""",IFERROR(query({AtivosDados},""select sum(""&amp;AB$3&amp;"") where Col1='""&amp;$T274&amp;""' label sum(""&amp;AB$3&amp;"") ''""),0)))"),"")</f>
        <v/>
      </c>
      <c r="AC274" s="437" t="str">
        <f>IFERROR(__xludf.DUMMYFUNCTION("IF(NOT('portfólio'!$AV$7),"""",IF($T274="""","""",IFERROR(query({AtivosDados},""select sum(""&amp;AC$3&amp;"") where Col1='""&amp;$T274&amp;""' label sum(""&amp;AC$3&amp;"") ''""),0)))"),"")</f>
        <v/>
      </c>
      <c r="AD274" s="437" t="str">
        <f>IFERROR(__xludf.DUMMYFUNCTION("IF(NOT('portfólio'!$AV$7),"""",IF($T274="""","""",IFERROR(query({AtivosDados},""select sum(""&amp;AD$3&amp;"") where Col1='""&amp;$T274&amp;""' label sum(""&amp;AD$3&amp;"") ''""),0)))"),"")</f>
        <v/>
      </c>
      <c r="AE274" s="437"/>
      <c r="AF274" s="1327"/>
      <c r="AG274" s="437"/>
      <c r="AH274" s="437"/>
      <c r="AI274" s="437"/>
      <c r="AJ274" s="437"/>
      <c r="AK274" s="437"/>
      <c r="AL274" s="437"/>
      <c r="AM274" s="437"/>
      <c r="AN274" s="437"/>
      <c r="AO274" s="437"/>
      <c r="AP274" s="437"/>
      <c r="AQ274" s="1327"/>
      <c r="AR274" s="437"/>
      <c r="AS274" s="437"/>
      <c r="AT274" s="437"/>
      <c r="AU274" s="437"/>
      <c r="AV274" s="437"/>
      <c r="AW274" s="437"/>
      <c r="AX274" s="437"/>
      <c r="AY274" s="437"/>
      <c r="AZ274" s="437"/>
      <c r="BA274" s="437"/>
      <c r="BB274" s="1327"/>
      <c r="BC274" s="437"/>
      <c r="BD274" s="437"/>
      <c r="BE274" s="437"/>
      <c r="BF274" s="437"/>
      <c r="BG274" s="437"/>
      <c r="BH274" s="437"/>
      <c r="BI274" s="437"/>
      <c r="BJ274" s="437"/>
      <c r="BK274" s="437"/>
      <c r="BL274" s="437"/>
      <c r="BM274" s="1327"/>
      <c r="BN274" s="1327"/>
      <c r="BO274" s="1327"/>
      <c r="BP274" s="1327"/>
      <c r="BQ274" s="1327"/>
      <c r="BR274" s="1327"/>
      <c r="BS274" s="1327"/>
      <c r="BT274" s="1327"/>
      <c r="BU274" s="1327"/>
      <c r="BV274" s="1327"/>
      <c r="BW274" s="1327"/>
      <c r="BX274" s="1327"/>
      <c r="BY274" s="1327"/>
      <c r="BZ274" s="1327"/>
      <c r="CA274" s="1327"/>
      <c r="CB274" s="1327"/>
      <c r="CC274" s="1327"/>
      <c r="CD274" s="1327"/>
      <c r="CE274" s="1327"/>
      <c r="CF274" s="1327"/>
      <c r="CG274" s="1327"/>
      <c r="CH274" s="1327"/>
      <c r="CI274" s="1327"/>
      <c r="CJ274" s="1327"/>
      <c r="CK274" s="1327"/>
      <c r="CL274" s="1327"/>
      <c r="CM274" s="1327"/>
      <c r="CN274" s="1327"/>
      <c r="CO274" s="1327"/>
      <c r="CP274" s="1327"/>
      <c r="CQ274" s="1327"/>
      <c r="CR274" s="1327"/>
      <c r="CS274" s="1327"/>
      <c r="CT274" s="1317"/>
      <c r="CU274" s="1317"/>
      <c r="CV274" s="1317"/>
      <c r="CW274" s="1317"/>
      <c r="CX274" s="1317"/>
      <c r="CY274" s="1317"/>
      <c r="CZ274" s="1317"/>
      <c r="DA274" s="1317"/>
      <c r="DB274" s="1317"/>
      <c r="DC274" s="1317"/>
      <c r="DD274" s="1317"/>
      <c r="DE274" s="1317"/>
      <c r="DF274" s="1317"/>
      <c r="DG274" s="1317"/>
    </row>
    <row r="275" ht="18.75" customHeight="1">
      <c r="G275" s="1344"/>
      <c r="H275" s="1345">
        <f t="shared" si="4"/>
        <v>0</v>
      </c>
      <c r="I275" s="1381"/>
      <c r="J275" s="1381"/>
      <c r="K275" s="1381"/>
      <c r="L275" s="1381"/>
      <c r="M275" s="1381"/>
      <c r="N275" s="1381"/>
      <c r="O275" s="1381"/>
      <c r="P275" s="1381"/>
      <c r="Q275" s="1381"/>
      <c r="R275" s="1381"/>
      <c r="T275" s="1349"/>
      <c r="U275" s="1349" t="s">
        <v>123</v>
      </c>
      <c r="V275" s="1349" t="s">
        <v>123</v>
      </c>
      <c r="W275" s="1349"/>
      <c r="X275" s="1349"/>
      <c r="Y275" s="1308"/>
      <c r="Z275" s="437" t="str">
        <f>IFERROR(__xludf.DUMMYFUNCTION("IF(NOT('portfólio'!$AV$7),"""",IF($T275="""","""",IFERROR(query({AtivosDados},""select sum(""&amp;Z$3&amp;"") where Col1='""&amp;$T275&amp;""' label sum(""&amp;Z$3&amp;"") ''""),0)))"),"")</f>
        <v/>
      </c>
      <c r="AA275" s="437" t="str">
        <f>IFERROR(__xludf.DUMMYFUNCTION("IF(NOT('portfólio'!$AV$7),"""",IF($T275="""","""",IFERROR(query({AtivosDados},""select sum(""&amp;AA$3&amp;"") where Col1='""&amp;$T275&amp;""' label sum(""&amp;AA$3&amp;"") ''""),0)))"),"")</f>
        <v/>
      </c>
      <c r="AB275" s="437" t="str">
        <f>IFERROR(__xludf.DUMMYFUNCTION("IF(NOT('portfólio'!$AV$7),"""",IF($T275="""","""",IFERROR(query({AtivosDados},""select sum(""&amp;AB$3&amp;"") where Col1='""&amp;$T275&amp;""' label sum(""&amp;AB$3&amp;"") ''""),0)))"),"")</f>
        <v/>
      </c>
      <c r="AC275" s="437" t="str">
        <f>IFERROR(__xludf.DUMMYFUNCTION("IF(NOT('portfólio'!$AV$7),"""",IF($T275="""","""",IFERROR(query({AtivosDados},""select sum(""&amp;AC$3&amp;"") where Col1='""&amp;$T275&amp;""' label sum(""&amp;AC$3&amp;"") ''""),0)))"),"")</f>
        <v/>
      </c>
      <c r="AD275" s="437" t="str">
        <f>IFERROR(__xludf.DUMMYFUNCTION("IF(NOT('portfólio'!$AV$7),"""",IF($T275="""","""",IFERROR(query({AtivosDados},""select sum(""&amp;AD$3&amp;"") where Col1='""&amp;$T275&amp;""' label sum(""&amp;AD$3&amp;"") ''""),0)))"),"")</f>
        <v/>
      </c>
      <c r="AE275" s="437"/>
      <c r="AF275" s="1327"/>
      <c r="AG275" s="437"/>
      <c r="AH275" s="437"/>
      <c r="AI275" s="437"/>
      <c r="AJ275" s="437"/>
      <c r="AK275" s="437"/>
      <c r="AL275" s="437"/>
      <c r="AM275" s="437"/>
      <c r="AN275" s="437"/>
      <c r="AO275" s="437"/>
      <c r="AP275" s="437"/>
      <c r="AQ275" s="1327"/>
      <c r="AR275" s="437"/>
      <c r="AS275" s="437"/>
      <c r="AT275" s="437"/>
      <c r="AU275" s="437"/>
      <c r="AV275" s="437"/>
      <c r="AW275" s="437"/>
      <c r="AX275" s="437"/>
      <c r="AY275" s="437"/>
      <c r="AZ275" s="437"/>
      <c r="BA275" s="437"/>
      <c r="BB275" s="1327"/>
      <c r="BC275" s="437"/>
      <c r="BD275" s="437"/>
      <c r="BE275" s="437"/>
      <c r="BF275" s="437"/>
      <c r="BG275" s="437"/>
      <c r="BH275" s="437"/>
      <c r="BI275" s="437"/>
      <c r="BJ275" s="437"/>
      <c r="BK275" s="437"/>
      <c r="BL275" s="437"/>
      <c r="BM275" s="1327"/>
      <c r="BN275" s="1327"/>
      <c r="BO275" s="1327"/>
      <c r="BP275" s="1327"/>
      <c r="BQ275" s="1327"/>
      <c r="BR275" s="1327"/>
      <c r="BS275" s="1327"/>
      <c r="BT275" s="1327"/>
      <c r="BU275" s="1327"/>
      <c r="BV275" s="1327"/>
      <c r="BW275" s="1327"/>
      <c r="BX275" s="1327"/>
      <c r="BY275" s="1327"/>
      <c r="BZ275" s="1327"/>
      <c r="CA275" s="1327"/>
      <c r="CB275" s="1327"/>
      <c r="CC275" s="1327"/>
      <c r="CD275" s="1327"/>
      <c r="CE275" s="1327"/>
      <c r="CF275" s="1327"/>
      <c r="CG275" s="1327"/>
      <c r="CH275" s="1327"/>
      <c r="CI275" s="1327"/>
      <c r="CJ275" s="1327"/>
      <c r="CK275" s="1327"/>
      <c r="CL275" s="1327"/>
      <c r="CM275" s="1327"/>
      <c r="CN275" s="1327"/>
      <c r="CO275" s="1327"/>
      <c r="CP275" s="1327"/>
      <c r="CQ275" s="1327"/>
      <c r="CR275" s="1327"/>
      <c r="CS275" s="1327"/>
      <c r="CT275" s="1317"/>
      <c r="CU275" s="1317"/>
      <c r="CV275" s="1317"/>
      <c r="CW275" s="1317"/>
      <c r="CX275" s="1317"/>
      <c r="CY275" s="1317"/>
      <c r="CZ275" s="1317"/>
      <c r="DA275" s="1317"/>
      <c r="DB275" s="1317"/>
      <c r="DC275" s="1317"/>
      <c r="DD275" s="1317"/>
      <c r="DE275" s="1317"/>
      <c r="DF275" s="1317"/>
      <c r="DG275" s="1317"/>
    </row>
    <row r="276" ht="18.75" customHeight="1">
      <c r="G276" s="1344"/>
      <c r="H276" s="1345">
        <f t="shared" si="4"/>
        <v>0</v>
      </c>
      <c r="I276" s="1381"/>
      <c r="J276" s="1381"/>
      <c r="K276" s="1381"/>
      <c r="L276" s="1381"/>
      <c r="M276" s="1381"/>
      <c r="N276" s="1381"/>
      <c r="O276" s="1381"/>
      <c r="P276" s="1381"/>
      <c r="Q276" s="1381"/>
      <c r="R276" s="1381"/>
      <c r="T276" s="1349"/>
      <c r="U276" s="1349" t="s">
        <v>123</v>
      </c>
      <c r="V276" s="1349" t="s">
        <v>123</v>
      </c>
      <c r="W276" s="1349"/>
      <c r="X276" s="1349"/>
      <c r="Y276" s="1308"/>
      <c r="Z276" s="437" t="str">
        <f>IFERROR(__xludf.DUMMYFUNCTION("IF(NOT('portfólio'!$AV$7),"""",IF($T276="""","""",IFERROR(query({AtivosDados},""select sum(""&amp;Z$3&amp;"") where Col1='""&amp;$T276&amp;""' label sum(""&amp;Z$3&amp;"") ''""),0)))"),"")</f>
        <v/>
      </c>
      <c r="AA276" s="437" t="str">
        <f>IFERROR(__xludf.DUMMYFUNCTION("IF(NOT('portfólio'!$AV$7),"""",IF($T276="""","""",IFERROR(query({AtivosDados},""select sum(""&amp;AA$3&amp;"") where Col1='""&amp;$T276&amp;""' label sum(""&amp;AA$3&amp;"") ''""),0)))"),"")</f>
        <v/>
      </c>
      <c r="AB276" s="437" t="str">
        <f>IFERROR(__xludf.DUMMYFUNCTION("IF(NOT('portfólio'!$AV$7),"""",IF($T276="""","""",IFERROR(query({AtivosDados},""select sum(""&amp;AB$3&amp;"") where Col1='""&amp;$T276&amp;""' label sum(""&amp;AB$3&amp;"") ''""),0)))"),"")</f>
        <v/>
      </c>
      <c r="AC276" s="437" t="str">
        <f>IFERROR(__xludf.DUMMYFUNCTION("IF(NOT('portfólio'!$AV$7),"""",IF($T276="""","""",IFERROR(query({AtivosDados},""select sum(""&amp;AC$3&amp;"") where Col1='""&amp;$T276&amp;""' label sum(""&amp;AC$3&amp;"") ''""),0)))"),"")</f>
        <v/>
      </c>
      <c r="AD276" s="437" t="str">
        <f>IFERROR(__xludf.DUMMYFUNCTION("IF(NOT('portfólio'!$AV$7),"""",IF($T276="""","""",IFERROR(query({AtivosDados},""select sum(""&amp;AD$3&amp;"") where Col1='""&amp;$T276&amp;""' label sum(""&amp;AD$3&amp;"") ''""),0)))"),"")</f>
        <v/>
      </c>
      <c r="AE276" s="437"/>
      <c r="AF276" s="1327"/>
      <c r="AG276" s="437"/>
      <c r="AH276" s="437"/>
      <c r="AI276" s="437"/>
      <c r="AJ276" s="437"/>
      <c r="AK276" s="437"/>
      <c r="AL276" s="437"/>
      <c r="AM276" s="437"/>
      <c r="AN276" s="437"/>
      <c r="AO276" s="437"/>
      <c r="AP276" s="437"/>
      <c r="AQ276" s="1327"/>
      <c r="AR276" s="437"/>
      <c r="AS276" s="437"/>
      <c r="AT276" s="437"/>
      <c r="AU276" s="437"/>
      <c r="AV276" s="437"/>
      <c r="AW276" s="437"/>
      <c r="AX276" s="437"/>
      <c r="AY276" s="437"/>
      <c r="AZ276" s="437"/>
      <c r="BA276" s="437"/>
      <c r="BB276" s="1327"/>
      <c r="BC276" s="437"/>
      <c r="BD276" s="437"/>
      <c r="BE276" s="437"/>
      <c r="BF276" s="437"/>
      <c r="BG276" s="437"/>
      <c r="BH276" s="437"/>
      <c r="BI276" s="437"/>
      <c r="BJ276" s="437"/>
      <c r="BK276" s="437"/>
      <c r="BL276" s="437"/>
      <c r="BM276" s="1327"/>
      <c r="BN276" s="1327"/>
      <c r="BO276" s="1327"/>
      <c r="BP276" s="1327"/>
      <c r="BQ276" s="1327"/>
      <c r="BR276" s="1327"/>
      <c r="BS276" s="1327"/>
      <c r="BT276" s="1327"/>
      <c r="BU276" s="1327"/>
      <c r="BV276" s="1327"/>
      <c r="BW276" s="1327"/>
      <c r="BX276" s="1327"/>
      <c r="BY276" s="1327"/>
      <c r="BZ276" s="1327"/>
      <c r="CA276" s="1327"/>
      <c r="CB276" s="1327"/>
      <c r="CC276" s="1327"/>
      <c r="CD276" s="1327"/>
      <c r="CE276" s="1327"/>
      <c r="CF276" s="1327"/>
      <c r="CG276" s="1327"/>
      <c r="CH276" s="1327"/>
      <c r="CI276" s="1327"/>
      <c r="CJ276" s="1327"/>
      <c r="CK276" s="1327"/>
      <c r="CL276" s="1327"/>
      <c r="CM276" s="1327"/>
      <c r="CN276" s="1327"/>
      <c r="CO276" s="1327"/>
      <c r="CP276" s="1327"/>
      <c r="CQ276" s="1327"/>
      <c r="CR276" s="1327"/>
      <c r="CS276" s="1327"/>
      <c r="CT276" s="1317"/>
      <c r="CU276" s="1317"/>
      <c r="CV276" s="1317"/>
      <c r="CW276" s="1317"/>
      <c r="CX276" s="1317"/>
      <c r="CY276" s="1317"/>
      <c r="CZ276" s="1317"/>
      <c r="DA276" s="1317"/>
      <c r="DB276" s="1317"/>
      <c r="DC276" s="1317"/>
      <c r="DD276" s="1317"/>
      <c r="DE276" s="1317"/>
      <c r="DF276" s="1317"/>
      <c r="DG276" s="1317"/>
    </row>
    <row r="277" ht="18.75" customHeight="1">
      <c r="G277" s="1344"/>
      <c r="H277" s="1345">
        <f t="shared" si="4"/>
        <v>0</v>
      </c>
      <c r="I277" s="1381"/>
      <c r="J277" s="1381"/>
      <c r="K277" s="1381"/>
      <c r="L277" s="1381"/>
      <c r="M277" s="1381"/>
      <c r="N277" s="1381"/>
      <c r="O277" s="1381"/>
      <c r="P277" s="1381"/>
      <c r="Q277" s="1381"/>
      <c r="R277" s="1381"/>
      <c r="T277" s="1349"/>
      <c r="U277" s="1349" t="s">
        <v>123</v>
      </c>
      <c r="V277" s="1349" t="s">
        <v>123</v>
      </c>
      <c r="W277" s="1349"/>
      <c r="X277" s="1349"/>
      <c r="Y277" s="1308"/>
      <c r="Z277" s="437" t="str">
        <f>IFERROR(__xludf.DUMMYFUNCTION("IF(NOT('portfólio'!$AV$7),"""",IF($T277="""","""",IFERROR(query({AtivosDados},""select sum(""&amp;Z$3&amp;"") where Col1='""&amp;$T277&amp;""' label sum(""&amp;Z$3&amp;"") ''""),0)))"),"")</f>
        <v/>
      </c>
      <c r="AA277" s="437" t="str">
        <f>IFERROR(__xludf.DUMMYFUNCTION("IF(NOT('portfólio'!$AV$7),"""",IF($T277="""","""",IFERROR(query({AtivosDados},""select sum(""&amp;AA$3&amp;"") where Col1='""&amp;$T277&amp;""' label sum(""&amp;AA$3&amp;"") ''""),0)))"),"")</f>
        <v/>
      </c>
      <c r="AB277" s="437" t="str">
        <f>IFERROR(__xludf.DUMMYFUNCTION("IF(NOT('portfólio'!$AV$7),"""",IF($T277="""","""",IFERROR(query({AtivosDados},""select sum(""&amp;AB$3&amp;"") where Col1='""&amp;$T277&amp;""' label sum(""&amp;AB$3&amp;"") ''""),0)))"),"")</f>
        <v/>
      </c>
      <c r="AC277" s="437" t="str">
        <f>IFERROR(__xludf.DUMMYFUNCTION("IF(NOT('portfólio'!$AV$7),"""",IF($T277="""","""",IFERROR(query({AtivosDados},""select sum(""&amp;AC$3&amp;"") where Col1='""&amp;$T277&amp;""' label sum(""&amp;AC$3&amp;"") ''""),0)))"),"")</f>
        <v/>
      </c>
      <c r="AD277" s="437" t="str">
        <f>IFERROR(__xludf.DUMMYFUNCTION("IF(NOT('portfólio'!$AV$7),"""",IF($T277="""","""",IFERROR(query({AtivosDados},""select sum(""&amp;AD$3&amp;"") where Col1='""&amp;$T277&amp;""' label sum(""&amp;AD$3&amp;"") ''""),0)))"),"")</f>
        <v/>
      </c>
      <c r="AE277" s="437"/>
      <c r="AF277" s="1327"/>
      <c r="AG277" s="437"/>
      <c r="AH277" s="437"/>
      <c r="AI277" s="437"/>
      <c r="AJ277" s="437"/>
      <c r="AK277" s="437"/>
      <c r="AL277" s="437"/>
      <c r="AM277" s="437"/>
      <c r="AN277" s="437"/>
      <c r="AO277" s="437"/>
      <c r="AP277" s="437"/>
      <c r="AQ277" s="1327"/>
      <c r="AR277" s="437"/>
      <c r="AS277" s="437"/>
      <c r="AT277" s="437"/>
      <c r="AU277" s="437"/>
      <c r="AV277" s="437"/>
      <c r="AW277" s="437"/>
      <c r="AX277" s="437"/>
      <c r="AY277" s="437"/>
      <c r="AZ277" s="437"/>
      <c r="BA277" s="437"/>
      <c r="BB277" s="1327"/>
      <c r="BC277" s="437"/>
      <c r="BD277" s="437"/>
      <c r="BE277" s="437"/>
      <c r="BF277" s="437"/>
      <c r="BG277" s="437"/>
      <c r="BH277" s="437"/>
      <c r="BI277" s="437"/>
      <c r="BJ277" s="437"/>
      <c r="BK277" s="437"/>
      <c r="BL277" s="437"/>
      <c r="BM277" s="1327"/>
      <c r="BN277" s="1327"/>
      <c r="BO277" s="1327"/>
      <c r="BP277" s="1327"/>
      <c r="BQ277" s="1327"/>
      <c r="BR277" s="1327"/>
      <c r="BS277" s="1327"/>
      <c r="BT277" s="1327"/>
      <c r="BU277" s="1327"/>
      <c r="BV277" s="1327"/>
      <c r="BW277" s="1327"/>
      <c r="BX277" s="1327"/>
      <c r="BY277" s="1327"/>
      <c r="BZ277" s="1327"/>
      <c r="CA277" s="1327"/>
      <c r="CB277" s="1327"/>
      <c r="CC277" s="1327"/>
      <c r="CD277" s="1327"/>
      <c r="CE277" s="1327"/>
      <c r="CF277" s="1327"/>
      <c r="CG277" s="1327"/>
      <c r="CH277" s="1327"/>
      <c r="CI277" s="1327"/>
      <c r="CJ277" s="1327"/>
      <c r="CK277" s="1327"/>
      <c r="CL277" s="1327"/>
      <c r="CM277" s="1327"/>
      <c r="CN277" s="1327"/>
      <c r="CO277" s="1327"/>
      <c r="CP277" s="1327"/>
      <c r="CQ277" s="1327"/>
      <c r="CR277" s="1327"/>
      <c r="CS277" s="1327"/>
      <c r="CT277" s="1317"/>
      <c r="CU277" s="1317"/>
      <c r="CV277" s="1317"/>
      <c r="CW277" s="1317"/>
      <c r="CX277" s="1317"/>
      <c r="CY277" s="1317"/>
      <c r="CZ277" s="1317"/>
      <c r="DA277" s="1317"/>
      <c r="DB277" s="1317"/>
      <c r="DC277" s="1317"/>
      <c r="DD277" s="1317"/>
      <c r="DE277" s="1317"/>
      <c r="DF277" s="1317"/>
      <c r="DG277" s="1317"/>
    </row>
    <row r="278" ht="18.75" customHeight="1">
      <c r="G278" s="1344"/>
      <c r="H278" s="1345">
        <f t="shared" si="4"/>
        <v>0</v>
      </c>
      <c r="I278" s="1381"/>
      <c r="J278" s="1381"/>
      <c r="K278" s="1381"/>
      <c r="L278" s="1381"/>
      <c r="M278" s="1381"/>
      <c r="N278" s="1381"/>
      <c r="O278" s="1381"/>
      <c r="P278" s="1381"/>
      <c r="Q278" s="1381"/>
      <c r="R278" s="1381"/>
      <c r="T278" s="1349"/>
      <c r="U278" s="1349" t="s">
        <v>123</v>
      </c>
      <c r="V278" s="1349" t="s">
        <v>123</v>
      </c>
      <c r="W278" s="1349"/>
      <c r="X278" s="1349"/>
      <c r="Y278" s="1308"/>
      <c r="Z278" s="437" t="str">
        <f>IFERROR(__xludf.DUMMYFUNCTION("IF(NOT('portfólio'!$AV$7),"""",IF($T278="""","""",IFERROR(query({AtivosDados},""select sum(""&amp;Z$3&amp;"") where Col1='""&amp;$T278&amp;""' label sum(""&amp;Z$3&amp;"") ''""),0)))"),"")</f>
        <v/>
      </c>
      <c r="AA278" s="437" t="str">
        <f>IFERROR(__xludf.DUMMYFUNCTION("IF(NOT('portfólio'!$AV$7),"""",IF($T278="""","""",IFERROR(query({AtivosDados},""select sum(""&amp;AA$3&amp;"") where Col1='""&amp;$T278&amp;""' label sum(""&amp;AA$3&amp;"") ''""),0)))"),"")</f>
        <v/>
      </c>
      <c r="AB278" s="437" t="str">
        <f>IFERROR(__xludf.DUMMYFUNCTION("IF(NOT('portfólio'!$AV$7),"""",IF($T278="""","""",IFERROR(query({AtivosDados},""select sum(""&amp;AB$3&amp;"") where Col1='""&amp;$T278&amp;""' label sum(""&amp;AB$3&amp;"") ''""),0)))"),"")</f>
        <v/>
      </c>
      <c r="AC278" s="437" t="str">
        <f>IFERROR(__xludf.DUMMYFUNCTION("IF(NOT('portfólio'!$AV$7),"""",IF($T278="""","""",IFERROR(query({AtivosDados},""select sum(""&amp;AC$3&amp;"") where Col1='""&amp;$T278&amp;""' label sum(""&amp;AC$3&amp;"") ''""),0)))"),"")</f>
        <v/>
      </c>
      <c r="AD278" s="437" t="str">
        <f>IFERROR(__xludf.DUMMYFUNCTION("IF(NOT('portfólio'!$AV$7),"""",IF($T278="""","""",IFERROR(query({AtivosDados},""select sum(""&amp;AD$3&amp;"") where Col1='""&amp;$T278&amp;""' label sum(""&amp;AD$3&amp;"") ''""),0)))"),"")</f>
        <v/>
      </c>
      <c r="AE278" s="437"/>
      <c r="AF278" s="1327"/>
      <c r="AG278" s="437"/>
      <c r="AH278" s="437"/>
      <c r="AI278" s="437"/>
      <c r="AJ278" s="437"/>
      <c r="AK278" s="437"/>
      <c r="AL278" s="437"/>
      <c r="AM278" s="437"/>
      <c r="AN278" s="437"/>
      <c r="AO278" s="437"/>
      <c r="AP278" s="437"/>
      <c r="AQ278" s="1327"/>
      <c r="AR278" s="437"/>
      <c r="AS278" s="437"/>
      <c r="AT278" s="437"/>
      <c r="AU278" s="437"/>
      <c r="AV278" s="437"/>
      <c r="AW278" s="437"/>
      <c r="AX278" s="437"/>
      <c r="AY278" s="437"/>
      <c r="AZ278" s="437"/>
      <c r="BA278" s="437"/>
      <c r="BB278" s="1327"/>
      <c r="BC278" s="437"/>
      <c r="BD278" s="437"/>
      <c r="BE278" s="437"/>
      <c r="BF278" s="437"/>
      <c r="BG278" s="437"/>
      <c r="BH278" s="437"/>
      <c r="BI278" s="437"/>
      <c r="BJ278" s="437"/>
      <c r="BK278" s="437"/>
      <c r="BL278" s="437"/>
      <c r="BM278" s="1327"/>
      <c r="BN278" s="1327"/>
      <c r="BO278" s="1327"/>
      <c r="BP278" s="1327"/>
      <c r="BQ278" s="1327"/>
      <c r="BR278" s="1327"/>
      <c r="BS278" s="1327"/>
      <c r="BT278" s="1327"/>
      <c r="BU278" s="1327"/>
      <c r="BV278" s="1327"/>
      <c r="BW278" s="1327"/>
      <c r="BX278" s="1327"/>
      <c r="BY278" s="1327"/>
      <c r="BZ278" s="1327"/>
      <c r="CA278" s="1327"/>
      <c r="CB278" s="1327"/>
      <c r="CC278" s="1327"/>
      <c r="CD278" s="1327"/>
      <c r="CE278" s="1327"/>
      <c r="CF278" s="1327"/>
      <c r="CG278" s="1327"/>
      <c r="CH278" s="1327"/>
      <c r="CI278" s="1327"/>
      <c r="CJ278" s="1327"/>
      <c r="CK278" s="1327"/>
      <c r="CL278" s="1327"/>
      <c r="CM278" s="1327"/>
      <c r="CN278" s="1327"/>
      <c r="CO278" s="1327"/>
      <c r="CP278" s="1327"/>
      <c r="CQ278" s="1327"/>
      <c r="CR278" s="1327"/>
      <c r="CS278" s="1327"/>
      <c r="CT278" s="1317"/>
      <c r="CU278" s="1317"/>
      <c r="CV278" s="1317"/>
      <c r="CW278" s="1317"/>
      <c r="CX278" s="1317"/>
      <c r="CY278" s="1317"/>
      <c r="CZ278" s="1317"/>
      <c r="DA278" s="1317"/>
      <c r="DB278" s="1317"/>
      <c r="DC278" s="1317"/>
      <c r="DD278" s="1317"/>
      <c r="DE278" s="1317"/>
      <c r="DF278" s="1317"/>
      <c r="DG278" s="1317"/>
    </row>
    <row r="279" ht="18.75" customHeight="1">
      <c r="G279" s="1344"/>
      <c r="H279" s="1345">
        <f t="shared" si="4"/>
        <v>0</v>
      </c>
      <c r="I279" s="1381"/>
      <c r="J279" s="1381"/>
      <c r="K279" s="1381"/>
      <c r="L279" s="1381"/>
      <c r="M279" s="1381"/>
      <c r="N279" s="1381"/>
      <c r="O279" s="1381"/>
      <c r="P279" s="1381"/>
      <c r="Q279" s="1381"/>
      <c r="R279" s="1381"/>
      <c r="T279" s="1349"/>
      <c r="U279" s="1349" t="s">
        <v>123</v>
      </c>
      <c r="V279" s="1349" t="s">
        <v>123</v>
      </c>
      <c r="W279" s="1349"/>
      <c r="X279" s="1349"/>
      <c r="Y279" s="1308"/>
      <c r="Z279" s="437" t="str">
        <f>IFERROR(__xludf.DUMMYFUNCTION("IF(NOT('portfólio'!$AV$7),"""",IF($T279="""","""",IFERROR(query({AtivosDados},""select sum(""&amp;Z$3&amp;"") where Col1='""&amp;$T279&amp;""' label sum(""&amp;Z$3&amp;"") ''""),0)))"),"")</f>
        <v/>
      </c>
      <c r="AA279" s="437" t="str">
        <f>IFERROR(__xludf.DUMMYFUNCTION("IF(NOT('portfólio'!$AV$7),"""",IF($T279="""","""",IFERROR(query({AtivosDados},""select sum(""&amp;AA$3&amp;"") where Col1='""&amp;$T279&amp;""' label sum(""&amp;AA$3&amp;"") ''""),0)))"),"")</f>
        <v/>
      </c>
      <c r="AB279" s="437" t="str">
        <f>IFERROR(__xludf.DUMMYFUNCTION("IF(NOT('portfólio'!$AV$7),"""",IF($T279="""","""",IFERROR(query({AtivosDados},""select sum(""&amp;AB$3&amp;"") where Col1='""&amp;$T279&amp;""' label sum(""&amp;AB$3&amp;"") ''""),0)))"),"")</f>
        <v/>
      </c>
      <c r="AC279" s="437" t="str">
        <f>IFERROR(__xludf.DUMMYFUNCTION("IF(NOT('portfólio'!$AV$7),"""",IF($T279="""","""",IFERROR(query({AtivosDados},""select sum(""&amp;AC$3&amp;"") where Col1='""&amp;$T279&amp;""' label sum(""&amp;AC$3&amp;"") ''""),0)))"),"")</f>
        <v/>
      </c>
      <c r="AD279" s="437" t="str">
        <f>IFERROR(__xludf.DUMMYFUNCTION("IF(NOT('portfólio'!$AV$7),"""",IF($T279="""","""",IFERROR(query({AtivosDados},""select sum(""&amp;AD$3&amp;"") where Col1='""&amp;$T279&amp;""' label sum(""&amp;AD$3&amp;"") ''""),0)))"),"")</f>
        <v/>
      </c>
      <c r="AE279" s="437"/>
      <c r="AF279" s="1327"/>
      <c r="AG279" s="437"/>
      <c r="AH279" s="437"/>
      <c r="AI279" s="437"/>
      <c r="AJ279" s="437"/>
      <c r="AK279" s="437"/>
      <c r="AL279" s="437"/>
      <c r="AM279" s="437"/>
      <c r="AN279" s="437"/>
      <c r="AO279" s="437"/>
      <c r="AP279" s="437"/>
      <c r="AQ279" s="1327"/>
      <c r="AR279" s="437"/>
      <c r="AS279" s="437"/>
      <c r="AT279" s="437"/>
      <c r="AU279" s="437"/>
      <c r="AV279" s="437"/>
      <c r="AW279" s="437"/>
      <c r="AX279" s="437"/>
      <c r="AY279" s="437"/>
      <c r="AZ279" s="437"/>
      <c r="BA279" s="437"/>
      <c r="BB279" s="1327"/>
      <c r="BC279" s="437"/>
      <c r="BD279" s="437"/>
      <c r="BE279" s="437"/>
      <c r="BF279" s="437"/>
      <c r="BG279" s="437"/>
      <c r="BH279" s="437"/>
      <c r="BI279" s="437"/>
      <c r="BJ279" s="437"/>
      <c r="BK279" s="437"/>
      <c r="BL279" s="437"/>
      <c r="BM279" s="1327"/>
      <c r="BN279" s="1327"/>
      <c r="BO279" s="1327"/>
      <c r="BP279" s="1327"/>
      <c r="BQ279" s="1327"/>
      <c r="BR279" s="1327"/>
      <c r="BS279" s="1327"/>
      <c r="BT279" s="1327"/>
      <c r="BU279" s="1327"/>
      <c r="BV279" s="1327"/>
      <c r="BW279" s="1327"/>
      <c r="BX279" s="1327"/>
      <c r="BY279" s="1327"/>
      <c r="BZ279" s="1327"/>
      <c r="CA279" s="1327"/>
      <c r="CB279" s="1327"/>
      <c r="CC279" s="1327"/>
      <c r="CD279" s="1327"/>
      <c r="CE279" s="1327"/>
      <c r="CF279" s="1327"/>
      <c r="CG279" s="1327"/>
      <c r="CH279" s="1327"/>
      <c r="CI279" s="1327"/>
      <c r="CJ279" s="1327"/>
      <c r="CK279" s="1327"/>
      <c r="CL279" s="1327"/>
      <c r="CM279" s="1327"/>
      <c r="CN279" s="1327"/>
      <c r="CO279" s="1327"/>
      <c r="CP279" s="1327"/>
      <c r="CQ279" s="1327"/>
      <c r="CR279" s="1327"/>
      <c r="CS279" s="1327"/>
      <c r="CT279" s="1317"/>
      <c r="CU279" s="1317"/>
      <c r="CV279" s="1317"/>
      <c r="CW279" s="1317"/>
      <c r="CX279" s="1317"/>
      <c r="CY279" s="1317"/>
      <c r="CZ279" s="1317"/>
      <c r="DA279" s="1317"/>
      <c r="DB279" s="1317"/>
      <c r="DC279" s="1317"/>
      <c r="DD279" s="1317"/>
      <c r="DE279" s="1317"/>
      <c r="DF279" s="1317"/>
      <c r="DG279" s="1317"/>
    </row>
    <row r="280" ht="18.75" customHeight="1">
      <c r="G280" s="1344"/>
      <c r="H280" s="1345">
        <f t="shared" si="4"/>
        <v>0</v>
      </c>
      <c r="I280" s="1381"/>
      <c r="J280" s="1381"/>
      <c r="K280" s="1381"/>
      <c r="L280" s="1381"/>
      <c r="M280" s="1381"/>
      <c r="N280" s="1381"/>
      <c r="O280" s="1381"/>
      <c r="P280" s="1381"/>
      <c r="Q280" s="1381"/>
      <c r="R280" s="1381"/>
      <c r="T280" s="1349"/>
      <c r="U280" s="1349" t="s">
        <v>123</v>
      </c>
      <c r="V280" s="1349" t="s">
        <v>123</v>
      </c>
      <c r="W280" s="1349"/>
      <c r="X280" s="1349"/>
      <c r="Y280" s="1308"/>
      <c r="Z280" s="437" t="str">
        <f>IFERROR(__xludf.DUMMYFUNCTION("IF(NOT('portfólio'!$AV$7),"""",IF($T280="""","""",IFERROR(query({AtivosDados},""select sum(""&amp;Z$3&amp;"") where Col1='""&amp;$T280&amp;""' label sum(""&amp;Z$3&amp;"") ''""),0)))"),"")</f>
        <v/>
      </c>
      <c r="AA280" s="437" t="str">
        <f>IFERROR(__xludf.DUMMYFUNCTION("IF(NOT('portfólio'!$AV$7),"""",IF($T280="""","""",IFERROR(query({AtivosDados},""select sum(""&amp;AA$3&amp;"") where Col1='""&amp;$T280&amp;""' label sum(""&amp;AA$3&amp;"") ''""),0)))"),"")</f>
        <v/>
      </c>
      <c r="AB280" s="437" t="str">
        <f>IFERROR(__xludf.DUMMYFUNCTION("IF(NOT('portfólio'!$AV$7),"""",IF($T280="""","""",IFERROR(query({AtivosDados},""select sum(""&amp;AB$3&amp;"") where Col1='""&amp;$T280&amp;""' label sum(""&amp;AB$3&amp;"") ''""),0)))"),"")</f>
        <v/>
      </c>
      <c r="AC280" s="437" t="str">
        <f>IFERROR(__xludf.DUMMYFUNCTION("IF(NOT('portfólio'!$AV$7),"""",IF($T280="""","""",IFERROR(query({AtivosDados},""select sum(""&amp;AC$3&amp;"") where Col1='""&amp;$T280&amp;""' label sum(""&amp;AC$3&amp;"") ''""),0)))"),"")</f>
        <v/>
      </c>
      <c r="AD280" s="437" t="str">
        <f>IFERROR(__xludf.DUMMYFUNCTION("IF(NOT('portfólio'!$AV$7),"""",IF($T280="""","""",IFERROR(query({AtivosDados},""select sum(""&amp;AD$3&amp;"") where Col1='""&amp;$T280&amp;""' label sum(""&amp;AD$3&amp;"") ''""),0)))"),"")</f>
        <v/>
      </c>
      <c r="AE280" s="437"/>
      <c r="AF280" s="1327"/>
      <c r="AG280" s="437"/>
      <c r="AH280" s="437"/>
      <c r="AI280" s="437"/>
      <c r="AJ280" s="437"/>
      <c r="AK280" s="437"/>
      <c r="AL280" s="437"/>
      <c r="AM280" s="437"/>
      <c r="AN280" s="437"/>
      <c r="AO280" s="437"/>
      <c r="AP280" s="437"/>
      <c r="AQ280" s="1327"/>
      <c r="AR280" s="437"/>
      <c r="AS280" s="437"/>
      <c r="AT280" s="437"/>
      <c r="AU280" s="437"/>
      <c r="AV280" s="437"/>
      <c r="AW280" s="437"/>
      <c r="AX280" s="437"/>
      <c r="AY280" s="437"/>
      <c r="AZ280" s="437"/>
      <c r="BA280" s="437"/>
      <c r="BB280" s="1327"/>
      <c r="BC280" s="437"/>
      <c r="BD280" s="437"/>
      <c r="BE280" s="437"/>
      <c r="BF280" s="437"/>
      <c r="BG280" s="437"/>
      <c r="BH280" s="437"/>
      <c r="BI280" s="437"/>
      <c r="BJ280" s="437"/>
      <c r="BK280" s="437"/>
      <c r="BL280" s="437"/>
      <c r="BM280" s="1327"/>
      <c r="BN280" s="1327"/>
      <c r="BO280" s="1327"/>
      <c r="BP280" s="1327"/>
      <c r="BQ280" s="1327"/>
      <c r="BR280" s="1327"/>
      <c r="BS280" s="1327"/>
      <c r="BT280" s="1327"/>
      <c r="BU280" s="1327"/>
      <c r="BV280" s="1327"/>
      <c r="BW280" s="1327"/>
      <c r="BX280" s="1327"/>
      <c r="BY280" s="1327"/>
      <c r="BZ280" s="1327"/>
      <c r="CA280" s="1327"/>
      <c r="CB280" s="1327"/>
      <c r="CC280" s="1327"/>
      <c r="CD280" s="1327"/>
      <c r="CE280" s="1327"/>
      <c r="CF280" s="1327"/>
      <c r="CG280" s="1327"/>
      <c r="CH280" s="1327"/>
      <c r="CI280" s="1327"/>
      <c r="CJ280" s="1327"/>
      <c r="CK280" s="1327"/>
      <c r="CL280" s="1327"/>
      <c r="CM280" s="1327"/>
      <c r="CN280" s="1327"/>
      <c r="CO280" s="1327"/>
      <c r="CP280" s="1327"/>
      <c r="CQ280" s="1327"/>
      <c r="CR280" s="1327"/>
      <c r="CS280" s="1327"/>
      <c r="CT280" s="1317"/>
      <c r="CU280" s="1317"/>
      <c r="CV280" s="1317"/>
      <c r="CW280" s="1317"/>
      <c r="CX280" s="1317"/>
      <c r="CY280" s="1317"/>
      <c r="CZ280" s="1317"/>
      <c r="DA280" s="1317"/>
      <c r="DB280" s="1317"/>
      <c r="DC280" s="1317"/>
      <c r="DD280" s="1317"/>
      <c r="DE280" s="1317"/>
      <c r="DF280" s="1317"/>
      <c r="DG280" s="1317"/>
    </row>
    <row r="281" ht="18.75" customHeight="1">
      <c r="G281" s="1344"/>
      <c r="H281" s="1345">
        <f t="shared" si="4"/>
        <v>0</v>
      </c>
      <c r="I281" s="1381"/>
      <c r="J281" s="1381"/>
      <c r="K281" s="1381"/>
      <c r="L281" s="1381"/>
      <c r="M281" s="1381"/>
      <c r="N281" s="1381"/>
      <c r="O281" s="1381"/>
      <c r="P281" s="1381"/>
      <c r="Q281" s="1381"/>
      <c r="R281" s="1381"/>
      <c r="T281" s="1349"/>
      <c r="U281" s="1349" t="s">
        <v>123</v>
      </c>
      <c r="V281" s="1349" t="s">
        <v>123</v>
      </c>
      <c r="W281" s="1349"/>
      <c r="X281" s="1349"/>
      <c r="Y281" s="1308"/>
      <c r="Z281" s="437" t="str">
        <f>IFERROR(__xludf.DUMMYFUNCTION("IF(NOT('portfólio'!$AV$7),"""",IF($T281="""","""",IFERROR(query({AtivosDados},""select sum(""&amp;Z$3&amp;"") where Col1='""&amp;$T281&amp;""' label sum(""&amp;Z$3&amp;"") ''""),0)))"),"")</f>
        <v/>
      </c>
      <c r="AA281" s="437" t="str">
        <f>IFERROR(__xludf.DUMMYFUNCTION("IF(NOT('portfólio'!$AV$7),"""",IF($T281="""","""",IFERROR(query({AtivosDados},""select sum(""&amp;AA$3&amp;"") where Col1='""&amp;$T281&amp;""' label sum(""&amp;AA$3&amp;"") ''""),0)))"),"")</f>
        <v/>
      </c>
      <c r="AB281" s="437" t="str">
        <f>IFERROR(__xludf.DUMMYFUNCTION("IF(NOT('portfólio'!$AV$7),"""",IF($T281="""","""",IFERROR(query({AtivosDados},""select sum(""&amp;AB$3&amp;"") where Col1='""&amp;$T281&amp;""' label sum(""&amp;AB$3&amp;"") ''""),0)))"),"")</f>
        <v/>
      </c>
      <c r="AC281" s="437" t="str">
        <f>IFERROR(__xludf.DUMMYFUNCTION("IF(NOT('portfólio'!$AV$7),"""",IF($T281="""","""",IFERROR(query({AtivosDados},""select sum(""&amp;AC$3&amp;"") where Col1='""&amp;$T281&amp;""' label sum(""&amp;AC$3&amp;"") ''""),0)))"),"")</f>
        <v/>
      </c>
      <c r="AD281" s="437" t="str">
        <f>IFERROR(__xludf.DUMMYFUNCTION("IF(NOT('portfólio'!$AV$7),"""",IF($T281="""","""",IFERROR(query({AtivosDados},""select sum(""&amp;AD$3&amp;"") where Col1='""&amp;$T281&amp;""' label sum(""&amp;AD$3&amp;"") ''""),0)))"),"")</f>
        <v/>
      </c>
      <c r="AE281" s="437"/>
      <c r="AF281" s="1327"/>
      <c r="AG281" s="437"/>
      <c r="AH281" s="437"/>
      <c r="AI281" s="437"/>
      <c r="AJ281" s="437"/>
      <c r="AK281" s="437"/>
      <c r="AL281" s="437"/>
      <c r="AM281" s="437"/>
      <c r="AN281" s="437"/>
      <c r="AO281" s="437"/>
      <c r="AP281" s="437"/>
      <c r="AQ281" s="1327"/>
      <c r="AR281" s="437"/>
      <c r="AS281" s="437"/>
      <c r="AT281" s="437"/>
      <c r="AU281" s="437"/>
      <c r="AV281" s="437"/>
      <c r="AW281" s="437"/>
      <c r="AX281" s="437"/>
      <c r="AY281" s="437"/>
      <c r="AZ281" s="437"/>
      <c r="BA281" s="437"/>
      <c r="BB281" s="1327"/>
      <c r="BC281" s="437"/>
      <c r="BD281" s="437"/>
      <c r="BE281" s="437"/>
      <c r="BF281" s="437"/>
      <c r="BG281" s="437"/>
      <c r="BH281" s="437"/>
      <c r="BI281" s="437"/>
      <c r="BJ281" s="437"/>
      <c r="BK281" s="437"/>
      <c r="BL281" s="437"/>
      <c r="BM281" s="1327"/>
      <c r="BN281" s="1327"/>
      <c r="BO281" s="1327"/>
      <c r="BP281" s="1327"/>
      <c r="BQ281" s="1327"/>
      <c r="BR281" s="1327"/>
      <c r="BS281" s="1327"/>
      <c r="BT281" s="1327"/>
      <c r="BU281" s="1327"/>
      <c r="BV281" s="1327"/>
      <c r="BW281" s="1327"/>
      <c r="BX281" s="1327"/>
      <c r="BY281" s="1327"/>
      <c r="BZ281" s="1327"/>
      <c r="CA281" s="1327"/>
      <c r="CB281" s="1327"/>
      <c r="CC281" s="1327"/>
      <c r="CD281" s="1327"/>
      <c r="CE281" s="1327"/>
      <c r="CF281" s="1327"/>
      <c r="CG281" s="1327"/>
      <c r="CH281" s="1327"/>
      <c r="CI281" s="1327"/>
      <c r="CJ281" s="1327"/>
      <c r="CK281" s="1327"/>
      <c r="CL281" s="1327"/>
      <c r="CM281" s="1327"/>
      <c r="CN281" s="1327"/>
      <c r="CO281" s="1327"/>
      <c r="CP281" s="1327"/>
      <c r="CQ281" s="1327"/>
      <c r="CR281" s="1327"/>
      <c r="CS281" s="1327"/>
      <c r="CT281" s="1317"/>
      <c r="CU281" s="1317"/>
      <c r="CV281" s="1317"/>
      <c r="CW281" s="1317"/>
      <c r="CX281" s="1317"/>
      <c r="CY281" s="1317"/>
      <c r="CZ281" s="1317"/>
      <c r="DA281" s="1317"/>
      <c r="DB281" s="1317"/>
      <c r="DC281" s="1317"/>
      <c r="DD281" s="1317"/>
      <c r="DE281" s="1317"/>
      <c r="DF281" s="1317"/>
      <c r="DG281" s="1317"/>
    </row>
    <row r="282" ht="18.75" customHeight="1">
      <c r="G282" s="1344"/>
      <c r="H282" s="1345">
        <f t="shared" si="4"/>
        <v>0</v>
      </c>
      <c r="I282" s="1381"/>
      <c r="J282" s="1381"/>
      <c r="K282" s="1381"/>
      <c r="L282" s="1381"/>
      <c r="M282" s="1381"/>
      <c r="N282" s="1381"/>
      <c r="O282" s="1381"/>
      <c r="P282" s="1381"/>
      <c r="Q282" s="1381"/>
      <c r="R282" s="1381"/>
      <c r="T282" s="1349"/>
      <c r="U282" s="1349" t="s">
        <v>123</v>
      </c>
      <c r="V282" s="1349" t="s">
        <v>123</v>
      </c>
      <c r="W282" s="1349"/>
      <c r="X282" s="1349"/>
      <c r="Y282" s="1308"/>
      <c r="Z282" s="437" t="str">
        <f>IFERROR(__xludf.DUMMYFUNCTION("IF(NOT('portfólio'!$AV$7),"""",IF($T282="""","""",IFERROR(query({AtivosDados},""select sum(""&amp;Z$3&amp;"") where Col1='""&amp;$T282&amp;""' label sum(""&amp;Z$3&amp;"") ''""),0)))"),"")</f>
        <v/>
      </c>
      <c r="AA282" s="437" t="str">
        <f>IFERROR(__xludf.DUMMYFUNCTION("IF(NOT('portfólio'!$AV$7),"""",IF($T282="""","""",IFERROR(query({AtivosDados},""select sum(""&amp;AA$3&amp;"") where Col1='""&amp;$T282&amp;""' label sum(""&amp;AA$3&amp;"") ''""),0)))"),"")</f>
        <v/>
      </c>
      <c r="AB282" s="437" t="str">
        <f>IFERROR(__xludf.DUMMYFUNCTION("IF(NOT('portfólio'!$AV$7),"""",IF($T282="""","""",IFERROR(query({AtivosDados},""select sum(""&amp;AB$3&amp;"") where Col1='""&amp;$T282&amp;""' label sum(""&amp;AB$3&amp;"") ''""),0)))"),"")</f>
        <v/>
      </c>
      <c r="AC282" s="437" t="str">
        <f>IFERROR(__xludf.DUMMYFUNCTION("IF(NOT('portfólio'!$AV$7),"""",IF($T282="""","""",IFERROR(query({AtivosDados},""select sum(""&amp;AC$3&amp;"") where Col1='""&amp;$T282&amp;""' label sum(""&amp;AC$3&amp;"") ''""),0)))"),"")</f>
        <v/>
      </c>
      <c r="AD282" s="437" t="str">
        <f>IFERROR(__xludf.DUMMYFUNCTION("IF(NOT('portfólio'!$AV$7),"""",IF($T282="""","""",IFERROR(query({AtivosDados},""select sum(""&amp;AD$3&amp;"") where Col1='""&amp;$T282&amp;""' label sum(""&amp;AD$3&amp;"") ''""),0)))"),"")</f>
        <v/>
      </c>
      <c r="AE282" s="437"/>
      <c r="AF282" s="1327"/>
      <c r="AG282" s="437"/>
      <c r="AH282" s="437"/>
      <c r="AI282" s="437"/>
      <c r="AJ282" s="437"/>
      <c r="AK282" s="437"/>
      <c r="AL282" s="437"/>
      <c r="AM282" s="437"/>
      <c r="AN282" s="437"/>
      <c r="AO282" s="437"/>
      <c r="AP282" s="437"/>
      <c r="AQ282" s="1327"/>
      <c r="AR282" s="437"/>
      <c r="AS282" s="437"/>
      <c r="AT282" s="437"/>
      <c r="AU282" s="437"/>
      <c r="AV282" s="437"/>
      <c r="AW282" s="437"/>
      <c r="AX282" s="437"/>
      <c r="AY282" s="437"/>
      <c r="AZ282" s="437"/>
      <c r="BA282" s="437"/>
      <c r="BB282" s="1327"/>
      <c r="BC282" s="437"/>
      <c r="BD282" s="437"/>
      <c r="BE282" s="437"/>
      <c r="BF282" s="437"/>
      <c r="BG282" s="437"/>
      <c r="BH282" s="437"/>
      <c r="BI282" s="437"/>
      <c r="BJ282" s="437"/>
      <c r="BK282" s="437"/>
      <c r="BL282" s="437"/>
      <c r="BM282" s="1327"/>
      <c r="BN282" s="1327"/>
      <c r="BO282" s="1327"/>
      <c r="BP282" s="1327"/>
      <c r="BQ282" s="1327"/>
      <c r="BR282" s="1327"/>
      <c r="BS282" s="1327"/>
      <c r="BT282" s="1327"/>
      <c r="BU282" s="1327"/>
      <c r="BV282" s="1327"/>
      <c r="BW282" s="1327"/>
      <c r="BX282" s="1327"/>
      <c r="BY282" s="1327"/>
      <c r="BZ282" s="1327"/>
      <c r="CA282" s="1327"/>
      <c r="CB282" s="1327"/>
      <c r="CC282" s="1327"/>
      <c r="CD282" s="1327"/>
      <c r="CE282" s="1327"/>
      <c r="CF282" s="1327"/>
      <c r="CG282" s="1327"/>
      <c r="CH282" s="1327"/>
      <c r="CI282" s="1327"/>
      <c r="CJ282" s="1327"/>
      <c r="CK282" s="1327"/>
      <c r="CL282" s="1327"/>
      <c r="CM282" s="1327"/>
      <c r="CN282" s="1327"/>
      <c r="CO282" s="1327"/>
      <c r="CP282" s="1327"/>
      <c r="CQ282" s="1327"/>
      <c r="CR282" s="1327"/>
      <c r="CS282" s="1327"/>
      <c r="CT282" s="1317"/>
      <c r="CU282" s="1317"/>
      <c r="CV282" s="1317"/>
      <c r="CW282" s="1317"/>
      <c r="CX282" s="1317"/>
      <c r="CY282" s="1317"/>
      <c r="CZ282" s="1317"/>
      <c r="DA282" s="1317"/>
      <c r="DB282" s="1317"/>
      <c r="DC282" s="1317"/>
      <c r="DD282" s="1317"/>
      <c r="DE282" s="1317"/>
      <c r="DF282" s="1317"/>
      <c r="DG282" s="1317"/>
    </row>
    <row r="283" ht="18.75" customHeight="1">
      <c r="G283" s="1344"/>
      <c r="H283" s="1345">
        <f t="shared" si="4"/>
        <v>0</v>
      </c>
      <c r="I283" s="1381"/>
      <c r="J283" s="1381"/>
      <c r="K283" s="1381"/>
      <c r="L283" s="1381"/>
      <c r="M283" s="1381"/>
      <c r="N283" s="1381"/>
      <c r="O283" s="1381"/>
      <c r="P283" s="1381"/>
      <c r="Q283" s="1381"/>
      <c r="R283" s="1381"/>
      <c r="T283" s="1349"/>
      <c r="U283" s="1349" t="s">
        <v>123</v>
      </c>
      <c r="V283" s="1349" t="s">
        <v>123</v>
      </c>
      <c r="W283" s="1349"/>
      <c r="X283" s="1349"/>
      <c r="Y283" s="1308"/>
      <c r="Z283" s="437" t="str">
        <f>IFERROR(__xludf.DUMMYFUNCTION("IF(NOT('portfólio'!$AV$7),"""",IF($T283="""","""",IFERROR(query({AtivosDados},""select sum(""&amp;Z$3&amp;"") where Col1='""&amp;$T283&amp;""' label sum(""&amp;Z$3&amp;"") ''""),0)))"),"")</f>
        <v/>
      </c>
      <c r="AA283" s="437" t="str">
        <f>IFERROR(__xludf.DUMMYFUNCTION("IF(NOT('portfólio'!$AV$7),"""",IF($T283="""","""",IFERROR(query({AtivosDados},""select sum(""&amp;AA$3&amp;"") where Col1='""&amp;$T283&amp;""' label sum(""&amp;AA$3&amp;"") ''""),0)))"),"")</f>
        <v/>
      </c>
      <c r="AB283" s="437" t="str">
        <f>IFERROR(__xludf.DUMMYFUNCTION("IF(NOT('portfólio'!$AV$7),"""",IF($T283="""","""",IFERROR(query({AtivosDados},""select sum(""&amp;AB$3&amp;"") where Col1='""&amp;$T283&amp;""' label sum(""&amp;AB$3&amp;"") ''""),0)))"),"")</f>
        <v/>
      </c>
      <c r="AC283" s="437" t="str">
        <f>IFERROR(__xludf.DUMMYFUNCTION("IF(NOT('portfólio'!$AV$7),"""",IF($T283="""","""",IFERROR(query({AtivosDados},""select sum(""&amp;AC$3&amp;"") where Col1='""&amp;$T283&amp;""' label sum(""&amp;AC$3&amp;"") ''""),0)))"),"")</f>
        <v/>
      </c>
      <c r="AD283" s="437" t="str">
        <f>IFERROR(__xludf.DUMMYFUNCTION("IF(NOT('portfólio'!$AV$7),"""",IF($T283="""","""",IFERROR(query({AtivosDados},""select sum(""&amp;AD$3&amp;"") where Col1='""&amp;$T283&amp;""' label sum(""&amp;AD$3&amp;"") ''""),0)))"),"")</f>
        <v/>
      </c>
      <c r="AE283" s="437"/>
      <c r="AF283" s="1327"/>
      <c r="AG283" s="437"/>
      <c r="AH283" s="437"/>
      <c r="AI283" s="437"/>
      <c r="AJ283" s="437"/>
      <c r="AK283" s="437"/>
      <c r="AL283" s="437"/>
      <c r="AM283" s="437"/>
      <c r="AN283" s="437"/>
      <c r="AO283" s="437"/>
      <c r="AP283" s="437"/>
      <c r="AQ283" s="1327"/>
      <c r="AR283" s="437"/>
      <c r="AS283" s="437"/>
      <c r="AT283" s="437"/>
      <c r="AU283" s="437"/>
      <c r="AV283" s="437"/>
      <c r="AW283" s="437"/>
      <c r="AX283" s="437"/>
      <c r="AY283" s="437"/>
      <c r="AZ283" s="437"/>
      <c r="BA283" s="437"/>
      <c r="BB283" s="1327"/>
      <c r="BC283" s="437"/>
      <c r="BD283" s="437"/>
      <c r="BE283" s="437"/>
      <c r="BF283" s="437"/>
      <c r="BG283" s="437"/>
      <c r="BH283" s="437"/>
      <c r="BI283" s="437"/>
      <c r="BJ283" s="437"/>
      <c r="BK283" s="437"/>
      <c r="BL283" s="437"/>
      <c r="BM283" s="1327"/>
      <c r="BN283" s="1327"/>
      <c r="BO283" s="1327"/>
      <c r="BP283" s="1327"/>
      <c r="BQ283" s="1327"/>
      <c r="BR283" s="1327"/>
      <c r="BS283" s="1327"/>
      <c r="BT283" s="1327"/>
      <c r="BU283" s="1327"/>
      <c r="BV283" s="1327"/>
      <c r="BW283" s="1327"/>
      <c r="BX283" s="1327"/>
      <c r="BY283" s="1327"/>
      <c r="BZ283" s="1327"/>
      <c r="CA283" s="1327"/>
      <c r="CB283" s="1327"/>
      <c r="CC283" s="1327"/>
      <c r="CD283" s="1327"/>
      <c r="CE283" s="1327"/>
      <c r="CF283" s="1327"/>
      <c r="CG283" s="1327"/>
      <c r="CH283" s="1327"/>
      <c r="CI283" s="1327"/>
      <c r="CJ283" s="1327"/>
      <c r="CK283" s="1327"/>
      <c r="CL283" s="1327"/>
      <c r="CM283" s="1327"/>
      <c r="CN283" s="1327"/>
      <c r="CO283" s="1327"/>
      <c r="CP283" s="1327"/>
      <c r="CQ283" s="1327"/>
      <c r="CR283" s="1327"/>
      <c r="CS283" s="1327"/>
      <c r="CT283" s="1317"/>
      <c r="CU283" s="1317"/>
      <c r="CV283" s="1317"/>
      <c r="CW283" s="1317"/>
      <c r="CX283" s="1317"/>
      <c r="CY283" s="1317"/>
      <c r="CZ283" s="1317"/>
      <c r="DA283" s="1317"/>
      <c r="DB283" s="1317"/>
      <c r="DC283" s="1317"/>
      <c r="DD283" s="1317"/>
      <c r="DE283" s="1317"/>
      <c r="DF283" s="1317"/>
      <c r="DG283" s="1317"/>
    </row>
    <row r="284" ht="18.75" customHeight="1">
      <c r="G284" s="1344"/>
      <c r="H284" s="1345">
        <f t="shared" si="4"/>
        <v>0</v>
      </c>
      <c r="I284" s="1381"/>
      <c r="J284" s="1381"/>
      <c r="K284" s="1381"/>
      <c r="L284" s="1381"/>
      <c r="M284" s="1381"/>
      <c r="N284" s="1381"/>
      <c r="O284" s="1381"/>
      <c r="P284" s="1381"/>
      <c r="Q284" s="1381"/>
      <c r="R284" s="1381"/>
      <c r="T284" s="1349"/>
      <c r="U284" s="1349" t="s">
        <v>123</v>
      </c>
      <c r="V284" s="1349" t="s">
        <v>123</v>
      </c>
      <c r="W284" s="1349"/>
      <c r="X284" s="1349"/>
      <c r="Y284" s="1308"/>
      <c r="Z284" s="437" t="str">
        <f>IFERROR(__xludf.DUMMYFUNCTION("IF(NOT('portfólio'!$AV$7),"""",IF($T284="""","""",IFERROR(query({AtivosDados},""select sum(""&amp;Z$3&amp;"") where Col1='""&amp;$T284&amp;""' label sum(""&amp;Z$3&amp;"") ''""),0)))"),"")</f>
        <v/>
      </c>
      <c r="AA284" s="437" t="str">
        <f>IFERROR(__xludf.DUMMYFUNCTION("IF(NOT('portfólio'!$AV$7),"""",IF($T284="""","""",IFERROR(query({AtivosDados},""select sum(""&amp;AA$3&amp;"") where Col1='""&amp;$T284&amp;""' label sum(""&amp;AA$3&amp;"") ''""),0)))"),"")</f>
        <v/>
      </c>
      <c r="AB284" s="437" t="str">
        <f>IFERROR(__xludf.DUMMYFUNCTION("IF(NOT('portfólio'!$AV$7),"""",IF($T284="""","""",IFERROR(query({AtivosDados},""select sum(""&amp;AB$3&amp;"") where Col1='""&amp;$T284&amp;""' label sum(""&amp;AB$3&amp;"") ''""),0)))"),"")</f>
        <v/>
      </c>
      <c r="AC284" s="437" t="str">
        <f>IFERROR(__xludf.DUMMYFUNCTION("IF(NOT('portfólio'!$AV$7),"""",IF($T284="""","""",IFERROR(query({AtivosDados},""select sum(""&amp;AC$3&amp;"") where Col1='""&amp;$T284&amp;""' label sum(""&amp;AC$3&amp;"") ''""),0)))"),"")</f>
        <v/>
      </c>
      <c r="AD284" s="437" t="str">
        <f>IFERROR(__xludf.DUMMYFUNCTION("IF(NOT('portfólio'!$AV$7),"""",IF($T284="""","""",IFERROR(query({AtivosDados},""select sum(""&amp;AD$3&amp;"") where Col1='""&amp;$T284&amp;""' label sum(""&amp;AD$3&amp;"") ''""),0)))"),"")</f>
        <v/>
      </c>
      <c r="AE284" s="437"/>
      <c r="AF284" s="1327"/>
      <c r="AG284" s="437"/>
      <c r="AH284" s="437"/>
      <c r="AI284" s="437"/>
      <c r="AJ284" s="437"/>
      <c r="AK284" s="437"/>
      <c r="AL284" s="437"/>
      <c r="AM284" s="437"/>
      <c r="AN284" s="437"/>
      <c r="AO284" s="437"/>
      <c r="AP284" s="437"/>
      <c r="AQ284" s="1327"/>
      <c r="AR284" s="437"/>
      <c r="AS284" s="437"/>
      <c r="AT284" s="437"/>
      <c r="AU284" s="437"/>
      <c r="AV284" s="437"/>
      <c r="AW284" s="437"/>
      <c r="AX284" s="437"/>
      <c r="AY284" s="437"/>
      <c r="AZ284" s="437"/>
      <c r="BA284" s="437"/>
      <c r="BB284" s="1327"/>
      <c r="BC284" s="437"/>
      <c r="BD284" s="437"/>
      <c r="BE284" s="437"/>
      <c r="BF284" s="437"/>
      <c r="BG284" s="437"/>
      <c r="BH284" s="437"/>
      <c r="BI284" s="437"/>
      <c r="BJ284" s="437"/>
      <c r="BK284" s="437"/>
      <c r="BL284" s="437"/>
      <c r="BM284" s="1327"/>
      <c r="BN284" s="1327"/>
      <c r="BO284" s="1327"/>
      <c r="BP284" s="1327"/>
      <c r="BQ284" s="1327"/>
      <c r="BR284" s="1327"/>
      <c r="BS284" s="1327"/>
      <c r="BT284" s="1327"/>
      <c r="BU284" s="1327"/>
      <c r="BV284" s="1327"/>
      <c r="BW284" s="1327"/>
      <c r="BX284" s="1327"/>
      <c r="BY284" s="1327"/>
      <c r="BZ284" s="1327"/>
      <c r="CA284" s="1327"/>
      <c r="CB284" s="1327"/>
      <c r="CC284" s="1327"/>
      <c r="CD284" s="1327"/>
      <c r="CE284" s="1327"/>
      <c r="CF284" s="1327"/>
      <c r="CG284" s="1327"/>
      <c r="CH284" s="1327"/>
      <c r="CI284" s="1327"/>
      <c r="CJ284" s="1327"/>
      <c r="CK284" s="1327"/>
      <c r="CL284" s="1327"/>
      <c r="CM284" s="1327"/>
      <c r="CN284" s="1327"/>
      <c r="CO284" s="1327"/>
      <c r="CP284" s="1327"/>
      <c r="CQ284" s="1327"/>
      <c r="CR284" s="1327"/>
      <c r="CS284" s="1327"/>
      <c r="CT284" s="1317"/>
      <c r="CU284" s="1317"/>
      <c r="CV284" s="1317"/>
      <c r="CW284" s="1317"/>
      <c r="CX284" s="1317"/>
      <c r="CY284" s="1317"/>
      <c r="CZ284" s="1317"/>
      <c r="DA284" s="1317"/>
      <c r="DB284" s="1317"/>
      <c r="DC284" s="1317"/>
      <c r="DD284" s="1317"/>
      <c r="DE284" s="1317"/>
      <c r="DF284" s="1317"/>
      <c r="DG284" s="1317"/>
    </row>
    <row r="285" ht="18.75" customHeight="1">
      <c r="G285" s="1344"/>
      <c r="H285" s="1345">
        <f t="shared" si="4"/>
        <v>0</v>
      </c>
      <c r="I285" s="1381"/>
      <c r="J285" s="1381"/>
      <c r="K285" s="1381"/>
      <c r="L285" s="1381"/>
      <c r="M285" s="1381"/>
      <c r="N285" s="1381"/>
      <c r="O285" s="1381"/>
      <c r="P285" s="1381"/>
      <c r="Q285" s="1381"/>
      <c r="R285" s="1381"/>
      <c r="T285" s="1349"/>
      <c r="U285" s="1349" t="s">
        <v>123</v>
      </c>
      <c r="V285" s="1349" t="s">
        <v>123</v>
      </c>
      <c r="W285" s="1349"/>
      <c r="X285" s="1349"/>
      <c r="Y285" s="1308"/>
      <c r="Z285" s="437" t="str">
        <f>IFERROR(__xludf.DUMMYFUNCTION("IF(NOT('portfólio'!$AV$7),"""",IF($T285="""","""",IFERROR(query({AtivosDados},""select sum(""&amp;Z$3&amp;"") where Col1='""&amp;$T285&amp;""' label sum(""&amp;Z$3&amp;"") ''""),0)))"),"")</f>
        <v/>
      </c>
      <c r="AA285" s="437" t="str">
        <f>IFERROR(__xludf.DUMMYFUNCTION("IF(NOT('portfólio'!$AV$7),"""",IF($T285="""","""",IFERROR(query({AtivosDados},""select sum(""&amp;AA$3&amp;"") where Col1='""&amp;$T285&amp;""' label sum(""&amp;AA$3&amp;"") ''""),0)))"),"")</f>
        <v/>
      </c>
      <c r="AB285" s="437" t="str">
        <f>IFERROR(__xludf.DUMMYFUNCTION("IF(NOT('portfólio'!$AV$7),"""",IF($T285="""","""",IFERROR(query({AtivosDados},""select sum(""&amp;AB$3&amp;"") where Col1='""&amp;$T285&amp;""' label sum(""&amp;AB$3&amp;"") ''""),0)))"),"")</f>
        <v/>
      </c>
      <c r="AC285" s="437" t="str">
        <f>IFERROR(__xludf.DUMMYFUNCTION("IF(NOT('portfólio'!$AV$7),"""",IF($T285="""","""",IFERROR(query({AtivosDados},""select sum(""&amp;AC$3&amp;"") where Col1='""&amp;$T285&amp;""' label sum(""&amp;AC$3&amp;"") ''""),0)))"),"")</f>
        <v/>
      </c>
      <c r="AD285" s="437" t="str">
        <f>IFERROR(__xludf.DUMMYFUNCTION("IF(NOT('portfólio'!$AV$7),"""",IF($T285="""","""",IFERROR(query({AtivosDados},""select sum(""&amp;AD$3&amp;"") where Col1='""&amp;$T285&amp;""' label sum(""&amp;AD$3&amp;"") ''""),0)))"),"")</f>
        <v/>
      </c>
      <c r="AE285" s="437"/>
      <c r="AF285" s="1327"/>
      <c r="AG285" s="437"/>
      <c r="AH285" s="437"/>
      <c r="AI285" s="437"/>
      <c r="AJ285" s="437"/>
      <c r="AK285" s="437"/>
      <c r="AL285" s="437"/>
      <c r="AM285" s="437"/>
      <c r="AN285" s="437"/>
      <c r="AO285" s="437"/>
      <c r="AP285" s="437"/>
      <c r="AQ285" s="1327"/>
      <c r="AR285" s="437"/>
      <c r="AS285" s="437"/>
      <c r="AT285" s="437"/>
      <c r="AU285" s="437"/>
      <c r="AV285" s="437"/>
      <c r="AW285" s="437"/>
      <c r="AX285" s="437"/>
      <c r="AY285" s="437"/>
      <c r="AZ285" s="437"/>
      <c r="BA285" s="437"/>
      <c r="BB285" s="1327"/>
      <c r="BC285" s="437"/>
      <c r="BD285" s="437"/>
      <c r="BE285" s="437"/>
      <c r="BF285" s="437"/>
      <c r="BG285" s="437"/>
      <c r="BH285" s="437"/>
      <c r="BI285" s="437"/>
      <c r="BJ285" s="437"/>
      <c r="BK285" s="437"/>
      <c r="BL285" s="437"/>
      <c r="BM285" s="1327"/>
      <c r="BN285" s="1327"/>
      <c r="BO285" s="1327"/>
      <c r="BP285" s="1327"/>
      <c r="BQ285" s="1327"/>
      <c r="BR285" s="1327"/>
      <c r="BS285" s="1327"/>
      <c r="BT285" s="1327"/>
      <c r="BU285" s="1327"/>
      <c r="BV285" s="1327"/>
      <c r="BW285" s="1327"/>
      <c r="BX285" s="1327"/>
      <c r="BY285" s="1327"/>
      <c r="BZ285" s="1327"/>
      <c r="CA285" s="1327"/>
      <c r="CB285" s="1327"/>
      <c r="CC285" s="1327"/>
      <c r="CD285" s="1327"/>
      <c r="CE285" s="1327"/>
      <c r="CF285" s="1327"/>
      <c r="CG285" s="1327"/>
      <c r="CH285" s="1327"/>
      <c r="CI285" s="1327"/>
      <c r="CJ285" s="1327"/>
      <c r="CK285" s="1327"/>
      <c r="CL285" s="1327"/>
      <c r="CM285" s="1327"/>
      <c r="CN285" s="1327"/>
      <c r="CO285" s="1327"/>
      <c r="CP285" s="1327"/>
      <c r="CQ285" s="1327"/>
      <c r="CR285" s="1327"/>
      <c r="CS285" s="1327"/>
      <c r="CT285" s="1317"/>
      <c r="CU285" s="1317"/>
      <c r="CV285" s="1317"/>
      <c r="CW285" s="1317"/>
      <c r="CX285" s="1317"/>
      <c r="CY285" s="1317"/>
      <c r="CZ285" s="1317"/>
      <c r="DA285" s="1317"/>
      <c r="DB285" s="1317"/>
      <c r="DC285" s="1317"/>
      <c r="DD285" s="1317"/>
      <c r="DE285" s="1317"/>
      <c r="DF285" s="1317"/>
      <c r="DG285" s="1317"/>
    </row>
    <row r="286" ht="18.75" customHeight="1">
      <c r="G286" s="1344"/>
      <c r="H286" s="1345">
        <f t="shared" si="4"/>
        <v>0</v>
      </c>
      <c r="I286" s="1381"/>
      <c r="J286" s="1381"/>
      <c r="K286" s="1381"/>
      <c r="L286" s="1381"/>
      <c r="M286" s="1381"/>
      <c r="N286" s="1381"/>
      <c r="O286" s="1381"/>
      <c r="P286" s="1381"/>
      <c r="Q286" s="1381"/>
      <c r="R286" s="1381"/>
      <c r="T286" s="1349"/>
      <c r="U286" s="1349" t="s">
        <v>123</v>
      </c>
      <c r="V286" s="1349" t="s">
        <v>123</v>
      </c>
      <c r="W286" s="1349"/>
      <c r="X286" s="1349"/>
      <c r="Y286" s="1308"/>
      <c r="Z286" s="437" t="str">
        <f>IFERROR(__xludf.DUMMYFUNCTION("IF(NOT('portfólio'!$AV$7),"""",IF($T286="""","""",IFERROR(query({AtivosDados},""select sum(""&amp;Z$3&amp;"") where Col1='""&amp;$T286&amp;""' label sum(""&amp;Z$3&amp;"") ''""),0)))"),"")</f>
        <v/>
      </c>
      <c r="AA286" s="437" t="str">
        <f>IFERROR(__xludf.DUMMYFUNCTION("IF(NOT('portfólio'!$AV$7),"""",IF($T286="""","""",IFERROR(query({AtivosDados},""select sum(""&amp;AA$3&amp;"") where Col1='""&amp;$T286&amp;""' label sum(""&amp;AA$3&amp;"") ''""),0)))"),"")</f>
        <v/>
      </c>
      <c r="AB286" s="437" t="str">
        <f>IFERROR(__xludf.DUMMYFUNCTION("IF(NOT('portfólio'!$AV$7),"""",IF($T286="""","""",IFERROR(query({AtivosDados},""select sum(""&amp;AB$3&amp;"") where Col1='""&amp;$T286&amp;""' label sum(""&amp;AB$3&amp;"") ''""),0)))"),"")</f>
        <v/>
      </c>
      <c r="AC286" s="437" t="str">
        <f>IFERROR(__xludf.DUMMYFUNCTION("IF(NOT('portfólio'!$AV$7),"""",IF($T286="""","""",IFERROR(query({AtivosDados},""select sum(""&amp;AC$3&amp;"") where Col1='""&amp;$T286&amp;""' label sum(""&amp;AC$3&amp;"") ''""),0)))"),"")</f>
        <v/>
      </c>
      <c r="AD286" s="437" t="str">
        <f>IFERROR(__xludf.DUMMYFUNCTION("IF(NOT('portfólio'!$AV$7),"""",IF($T286="""","""",IFERROR(query({AtivosDados},""select sum(""&amp;AD$3&amp;"") where Col1='""&amp;$T286&amp;""' label sum(""&amp;AD$3&amp;"") ''""),0)))"),"")</f>
        <v/>
      </c>
      <c r="AE286" s="437"/>
      <c r="AF286" s="1327"/>
      <c r="AG286" s="437"/>
      <c r="AH286" s="437"/>
      <c r="AI286" s="437"/>
      <c r="AJ286" s="437"/>
      <c r="AK286" s="437"/>
      <c r="AL286" s="437"/>
      <c r="AM286" s="437"/>
      <c r="AN286" s="437"/>
      <c r="AO286" s="437"/>
      <c r="AP286" s="437"/>
      <c r="AQ286" s="1327"/>
      <c r="AR286" s="437"/>
      <c r="AS286" s="437"/>
      <c r="AT286" s="437"/>
      <c r="AU286" s="437"/>
      <c r="AV286" s="437"/>
      <c r="AW286" s="437"/>
      <c r="AX286" s="437"/>
      <c r="AY286" s="437"/>
      <c r="AZ286" s="437"/>
      <c r="BA286" s="437"/>
      <c r="BB286" s="1327"/>
      <c r="BC286" s="437"/>
      <c r="BD286" s="437"/>
      <c r="BE286" s="437"/>
      <c r="BF286" s="437"/>
      <c r="BG286" s="437"/>
      <c r="BH286" s="437"/>
      <c r="BI286" s="437"/>
      <c r="BJ286" s="437"/>
      <c r="BK286" s="437"/>
      <c r="BL286" s="437"/>
      <c r="BM286" s="1327"/>
      <c r="BN286" s="1327"/>
      <c r="BO286" s="1327"/>
      <c r="BP286" s="1327"/>
      <c r="BQ286" s="1327"/>
      <c r="BR286" s="1327"/>
      <c r="BS286" s="1327"/>
      <c r="BT286" s="1327"/>
      <c r="BU286" s="1327"/>
      <c r="BV286" s="1327"/>
      <c r="BW286" s="1327"/>
      <c r="BX286" s="1327"/>
      <c r="BY286" s="1327"/>
      <c r="BZ286" s="1327"/>
      <c r="CA286" s="1327"/>
      <c r="CB286" s="1327"/>
      <c r="CC286" s="1327"/>
      <c r="CD286" s="1327"/>
      <c r="CE286" s="1327"/>
      <c r="CF286" s="1327"/>
      <c r="CG286" s="1327"/>
      <c r="CH286" s="1327"/>
      <c r="CI286" s="1327"/>
      <c r="CJ286" s="1327"/>
      <c r="CK286" s="1327"/>
      <c r="CL286" s="1327"/>
      <c r="CM286" s="1327"/>
      <c r="CN286" s="1327"/>
      <c r="CO286" s="1327"/>
      <c r="CP286" s="1327"/>
      <c r="CQ286" s="1327"/>
      <c r="CR286" s="1327"/>
      <c r="CS286" s="1327"/>
      <c r="CT286" s="1317"/>
      <c r="CU286" s="1317"/>
      <c r="CV286" s="1317"/>
      <c r="CW286" s="1317"/>
      <c r="CX286" s="1317"/>
      <c r="CY286" s="1317"/>
      <c r="CZ286" s="1317"/>
      <c r="DA286" s="1317"/>
      <c r="DB286" s="1317"/>
      <c r="DC286" s="1317"/>
      <c r="DD286" s="1317"/>
      <c r="DE286" s="1317"/>
      <c r="DF286" s="1317"/>
      <c r="DG286" s="1317"/>
    </row>
    <row r="287" ht="18.75" customHeight="1">
      <c r="G287" s="1344"/>
      <c r="H287" s="1345">
        <f t="shared" si="4"/>
        <v>0</v>
      </c>
      <c r="I287" s="1381"/>
      <c r="J287" s="1381"/>
      <c r="K287" s="1381"/>
      <c r="L287" s="1381"/>
      <c r="M287" s="1381"/>
      <c r="N287" s="1381"/>
      <c r="O287" s="1381"/>
      <c r="P287" s="1381"/>
      <c r="Q287" s="1381"/>
      <c r="R287" s="1381"/>
      <c r="T287" s="1349"/>
      <c r="U287" s="1349" t="s">
        <v>123</v>
      </c>
      <c r="V287" s="1349" t="s">
        <v>123</v>
      </c>
      <c r="W287" s="1349"/>
      <c r="X287" s="1349"/>
      <c r="Y287" s="1308"/>
      <c r="Z287" s="437" t="str">
        <f>IFERROR(__xludf.DUMMYFUNCTION("IF(NOT('portfólio'!$AV$7),"""",IF($T287="""","""",IFERROR(query({AtivosDados},""select sum(""&amp;Z$3&amp;"") where Col1='""&amp;$T287&amp;""' label sum(""&amp;Z$3&amp;"") ''""),0)))"),"")</f>
        <v/>
      </c>
      <c r="AA287" s="437" t="str">
        <f>IFERROR(__xludf.DUMMYFUNCTION("IF(NOT('portfólio'!$AV$7),"""",IF($T287="""","""",IFERROR(query({AtivosDados},""select sum(""&amp;AA$3&amp;"") where Col1='""&amp;$T287&amp;""' label sum(""&amp;AA$3&amp;"") ''""),0)))"),"")</f>
        <v/>
      </c>
      <c r="AB287" s="437" t="str">
        <f>IFERROR(__xludf.DUMMYFUNCTION("IF(NOT('portfólio'!$AV$7),"""",IF($T287="""","""",IFERROR(query({AtivosDados},""select sum(""&amp;AB$3&amp;"") where Col1='""&amp;$T287&amp;""' label sum(""&amp;AB$3&amp;"") ''""),0)))"),"")</f>
        <v/>
      </c>
      <c r="AC287" s="437" t="str">
        <f>IFERROR(__xludf.DUMMYFUNCTION("IF(NOT('portfólio'!$AV$7),"""",IF($T287="""","""",IFERROR(query({AtivosDados},""select sum(""&amp;AC$3&amp;"") where Col1='""&amp;$T287&amp;""' label sum(""&amp;AC$3&amp;"") ''""),0)))"),"")</f>
        <v/>
      </c>
      <c r="AD287" s="437" t="str">
        <f>IFERROR(__xludf.DUMMYFUNCTION("IF(NOT('portfólio'!$AV$7),"""",IF($T287="""","""",IFERROR(query({AtivosDados},""select sum(""&amp;AD$3&amp;"") where Col1='""&amp;$T287&amp;""' label sum(""&amp;AD$3&amp;"") ''""),0)))"),"")</f>
        <v/>
      </c>
      <c r="AE287" s="437"/>
      <c r="AF287" s="1327"/>
      <c r="AG287" s="437"/>
      <c r="AH287" s="437"/>
      <c r="AI287" s="437"/>
      <c r="AJ287" s="437"/>
      <c r="AK287" s="437"/>
      <c r="AL287" s="437"/>
      <c r="AM287" s="437"/>
      <c r="AN287" s="437"/>
      <c r="AO287" s="437"/>
      <c r="AP287" s="437"/>
      <c r="AQ287" s="1327"/>
      <c r="AR287" s="437"/>
      <c r="AS287" s="437"/>
      <c r="AT287" s="437"/>
      <c r="AU287" s="437"/>
      <c r="AV287" s="437"/>
      <c r="AW287" s="437"/>
      <c r="AX287" s="437"/>
      <c r="AY287" s="437"/>
      <c r="AZ287" s="437"/>
      <c r="BA287" s="437"/>
      <c r="BB287" s="1327"/>
      <c r="BC287" s="437"/>
      <c r="BD287" s="437"/>
      <c r="BE287" s="437"/>
      <c r="BF287" s="437"/>
      <c r="BG287" s="437"/>
      <c r="BH287" s="437"/>
      <c r="BI287" s="437"/>
      <c r="BJ287" s="437"/>
      <c r="BK287" s="437"/>
      <c r="BL287" s="437"/>
      <c r="BM287" s="1327"/>
      <c r="BN287" s="1327"/>
      <c r="BO287" s="1327"/>
      <c r="BP287" s="1327"/>
      <c r="BQ287" s="1327"/>
      <c r="BR287" s="1327"/>
      <c r="BS287" s="1327"/>
      <c r="BT287" s="1327"/>
      <c r="BU287" s="1327"/>
      <c r="BV287" s="1327"/>
      <c r="BW287" s="1327"/>
      <c r="BX287" s="1327"/>
      <c r="BY287" s="1327"/>
      <c r="BZ287" s="1327"/>
      <c r="CA287" s="1327"/>
      <c r="CB287" s="1327"/>
      <c r="CC287" s="1327"/>
      <c r="CD287" s="1327"/>
      <c r="CE287" s="1327"/>
      <c r="CF287" s="1327"/>
      <c r="CG287" s="1327"/>
      <c r="CH287" s="1327"/>
      <c r="CI287" s="1327"/>
      <c r="CJ287" s="1327"/>
      <c r="CK287" s="1327"/>
      <c r="CL287" s="1327"/>
      <c r="CM287" s="1327"/>
      <c r="CN287" s="1327"/>
      <c r="CO287" s="1327"/>
      <c r="CP287" s="1327"/>
      <c r="CQ287" s="1327"/>
      <c r="CR287" s="1327"/>
      <c r="CS287" s="1327"/>
      <c r="CT287" s="1317"/>
      <c r="CU287" s="1317"/>
      <c r="CV287" s="1317"/>
      <c r="CW287" s="1317"/>
      <c r="CX287" s="1317"/>
      <c r="CY287" s="1317"/>
      <c r="CZ287" s="1317"/>
      <c r="DA287" s="1317"/>
      <c r="DB287" s="1317"/>
      <c r="DC287" s="1317"/>
      <c r="DD287" s="1317"/>
      <c r="DE287" s="1317"/>
      <c r="DF287" s="1317"/>
      <c r="DG287" s="1317"/>
    </row>
    <row r="288" ht="18.75" customHeight="1">
      <c r="G288" s="1344"/>
      <c r="H288" s="1345">
        <f t="shared" si="4"/>
        <v>0</v>
      </c>
      <c r="I288" s="1381"/>
      <c r="J288" s="1381"/>
      <c r="K288" s="1381"/>
      <c r="L288" s="1381"/>
      <c r="M288" s="1381"/>
      <c r="N288" s="1381"/>
      <c r="O288" s="1381"/>
      <c r="P288" s="1381"/>
      <c r="Q288" s="1381"/>
      <c r="R288" s="1381"/>
      <c r="T288" s="1349"/>
      <c r="U288" s="1349" t="s">
        <v>123</v>
      </c>
      <c r="V288" s="1349" t="s">
        <v>123</v>
      </c>
      <c r="W288" s="1349"/>
      <c r="X288" s="1349"/>
      <c r="Y288" s="1308"/>
      <c r="Z288" s="437" t="str">
        <f>IFERROR(__xludf.DUMMYFUNCTION("IF(NOT('portfólio'!$AV$7),"""",IF($T288="""","""",IFERROR(query({AtivosDados},""select sum(""&amp;Z$3&amp;"") where Col1='""&amp;$T288&amp;""' label sum(""&amp;Z$3&amp;"") ''""),0)))"),"")</f>
        <v/>
      </c>
      <c r="AA288" s="437" t="str">
        <f>IFERROR(__xludf.DUMMYFUNCTION("IF(NOT('portfólio'!$AV$7),"""",IF($T288="""","""",IFERROR(query({AtivosDados},""select sum(""&amp;AA$3&amp;"") where Col1='""&amp;$T288&amp;""' label sum(""&amp;AA$3&amp;"") ''""),0)))"),"")</f>
        <v/>
      </c>
      <c r="AB288" s="437" t="str">
        <f>IFERROR(__xludf.DUMMYFUNCTION("IF(NOT('portfólio'!$AV$7),"""",IF($T288="""","""",IFERROR(query({AtivosDados},""select sum(""&amp;AB$3&amp;"") where Col1='""&amp;$T288&amp;""' label sum(""&amp;AB$3&amp;"") ''""),0)))"),"")</f>
        <v/>
      </c>
      <c r="AC288" s="437" t="str">
        <f>IFERROR(__xludf.DUMMYFUNCTION("IF(NOT('portfólio'!$AV$7),"""",IF($T288="""","""",IFERROR(query({AtivosDados},""select sum(""&amp;AC$3&amp;"") where Col1='""&amp;$T288&amp;""' label sum(""&amp;AC$3&amp;"") ''""),0)))"),"")</f>
        <v/>
      </c>
      <c r="AD288" s="437" t="str">
        <f>IFERROR(__xludf.DUMMYFUNCTION("IF(NOT('portfólio'!$AV$7),"""",IF($T288="""","""",IFERROR(query({AtivosDados},""select sum(""&amp;AD$3&amp;"") where Col1='""&amp;$T288&amp;""' label sum(""&amp;AD$3&amp;"") ''""),0)))"),"")</f>
        <v/>
      </c>
      <c r="AE288" s="437"/>
      <c r="AF288" s="1327"/>
      <c r="AG288" s="437"/>
      <c r="AH288" s="437"/>
      <c r="AI288" s="437"/>
      <c r="AJ288" s="437"/>
      <c r="AK288" s="437"/>
      <c r="AL288" s="437"/>
      <c r="AM288" s="437"/>
      <c r="AN288" s="437"/>
      <c r="AO288" s="437"/>
      <c r="AP288" s="437"/>
      <c r="AQ288" s="1327"/>
      <c r="AR288" s="437"/>
      <c r="AS288" s="437"/>
      <c r="AT288" s="437"/>
      <c r="AU288" s="437"/>
      <c r="AV288" s="437"/>
      <c r="AW288" s="437"/>
      <c r="AX288" s="437"/>
      <c r="AY288" s="437"/>
      <c r="AZ288" s="437"/>
      <c r="BA288" s="437"/>
      <c r="BB288" s="1327"/>
      <c r="BC288" s="437"/>
      <c r="BD288" s="437"/>
      <c r="BE288" s="437"/>
      <c r="BF288" s="437"/>
      <c r="BG288" s="437"/>
      <c r="BH288" s="437"/>
      <c r="BI288" s="437"/>
      <c r="BJ288" s="437"/>
      <c r="BK288" s="437"/>
      <c r="BL288" s="437"/>
      <c r="BM288" s="1327"/>
      <c r="BN288" s="1327"/>
      <c r="BO288" s="1327"/>
      <c r="BP288" s="1327"/>
      <c r="BQ288" s="1327"/>
      <c r="BR288" s="1327"/>
      <c r="BS288" s="1327"/>
      <c r="BT288" s="1327"/>
      <c r="BU288" s="1327"/>
      <c r="BV288" s="1327"/>
      <c r="BW288" s="1327"/>
      <c r="BX288" s="1327"/>
      <c r="BY288" s="1327"/>
      <c r="BZ288" s="1327"/>
      <c r="CA288" s="1327"/>
      <c r="CB288" s="1327"/>
      <c r="CC288" s="1327"/>
      <c r="CD288" s="1327"/>
      <c r="CE288" s="1327"/>
      <c r="CF288" s="1327"/>
      <c r="CG288" s="1327"/>
      <c r="CH288" s="1327"/>
      <c r="CI288" s="1327"/>
      <c r="CJ288" s="1327"/>
      <c r="CK288" s="1327"/>
      <c r="CL288" s="1327"/>
      <c r="CM288" s="1327"/>
      <c r="CN288" s="1327"/>
      <c r="CO288" s="1327"/>
      <c r="CP288" s="1327"/>
      <c r="CQ288" s="1327"/>
      <c r="CR288" s="1327"/>
      <c r="CS288" s="1327"/>
      <c r="CT288" s="1317"/>
      <c r="CU288" s="1317"/>
      <c r="CV288" s="1317"/>
      <c r="CW288" s="1317"/>
      <c r="CX288" s="1317"/>
      <c r="CY288" s="1317"/>
      <c r="CZ288" s="1317"/>
      <c r="DA288" s="1317"/>
      <c r="DB288" s="1317"/>
      <c r="DC288" s="1317"/>
      <c r="DD288" s="1317"/>
      <c r="DE288" s="1317"/>
      <c r="DF288" s="1317"/>
      <c r="DG288" s="1317"/>
    </row>
    <row r="289" ht="18.75" customHeight="1">
      <c r="G289" s="1344"/>
      <c r="H289" s="1345">
        <f t="shared" si="4"/>
        <v>0</v>
      </c>
      <c r="I289" s="1381"/>
      <c r="J289" s="1381"/>
      <c r="K289" s="1381"/>
      <c r="L289" s="1381"/>
      <c r="M289" s="1381"/>
      <c r="N289" s="1381"/>
      <c r="O289" s="1381"/>
      <c r="P289" s="1381"/>
      <c r="Q289" s="1381"/>
      <c r="R289" s="1381"/>
      <c r="T289" s="1349"/>
      <c r="U289" s="1349" t="s">
        <v>123</v>
      </c>
      <c r="V289" s="1349" t="s">
        <v>123</v>
      </c>
      <c r="W289" s="1349"/>
      <c r="X289" s="1349"/>
      <c r="Y289" s="1308"/>
      <c r="Z289" s="437" t="str">
        <f>IFERROR(__xludf.DUMMYFUNCTION("IF(NOT('portfólio'!$AV$7),"""",IF($T289="""","""",IFERROR(query({AtivosDados},""select sum(""&amp;Z$3&amp;"") where Col1='""&amp;$T289&amp;""' label sum(""&amp;Z$3&amp;"") ''""),0)))"),"")</f>
        <v/>
      </c>
      <c r="AA289" s="437" t="str">
        <f>IFERROR(__xludf.DUMMYFUNCTION("IF(NOT('portfólio'!$AV$7),"""",IF($T289="""","""",IFERROR(query({AtivosDados},""select sum(""&amp;AA$3&amp;"") where Col1='""&amp;$T289&amp;""' label sum(""&amp;AA$3&amp;"") ''""),0)))"),"")</f>
        <v/>
      </c>
      <c r="AB289" s="437" t="str">
        <f>IFERROR(__xludf.DUMMYFUNCTION("IF(NOT('portfólio'!$AV$7),"""",IF($T289="""","""",IFERROR(query({AtivosDados},""select sum(""&amp;AB$3&amp;"") where Col1='""&amp;$T289&amp;""' label sum(""&amp;AB$3&amp;"") ''""),0)))"),"")</f>
        <v/>
      </c>
      <c r="AC289" s="437" t="str">
        <f>IFERROR(__xludf.DUMMYFUNCTION("IF(NOT('portfólio'!$AV$7),"""",IF($T289="""","""",IFERROR(query({AtivosDados},""select sum(""&amp;AC$3&amp;"") where Col1='""&amp;$T289&amp;""' label sum(""&amp;AC$3&amp;"") ''""),0)))"),"")</f>
        <v/>
      </c>
      <c r="AD289" s="437" t="str">
        <f>IFERROR(__xludf.DUMMYFUNCTION("IF(NOT('portfólio'!$AV$7),"""",IF($T289="""","""",IFERROR(query({AtivosDados},""select sum(""&amp;AD$3&amp;"") where Col1='""&amp;$T289&amp;""' label sum(""&amp;AD$3&amp;"") ''""),0)))"),"")</f>
        <v/>
      </c>
      <c r="AE289" s="437"/>
      <c r="AF289" s="1327"/>
      <c r="AG289" s="437"/>
      <c r="AH289" s="437"/>
      <c r="AI289" s="437"/>
      <c r="AJ289" s="437"/>
      <c r="AK289" s="437"/>
      <c r="AL289" s="437"/>
      <c r="AM289" s="437"/>
      <c r="AN289" s="437"/>
      <c r="AO289" s="437"/>
      <c r="AP289" s="437"/>
      <c r="AQ289" s="1327"/>
      <c r="AR289" s="437"/>
      <c r="AS289" s="437"/>
      <c r="AT289" s="437"/>
      <c r="AU289" s="437"/>
      <c r="AV289" s="437"/>
      <c r="AW289" s="437"/>
      <c r="AX289" s="437"/>
      <c r="AY289" s="437"/>
      <c r="AZ289" s="437"/>
      <c r="BA289" s="437"/>
      <c r="BB289" s="1327"/>
      <c r="BC289" s="437"/>
      <c r="BD289" s="437"/>
      <c r="BE289" s="437"/>
      <c r="BF289" s="437"/>
      <c r="BG289" s="437"/>
      <c r="BH289" s="437"/>
      <c r="BI289" s="437"/>
      <c r="BJ289" s="437"/>
      <c r="BK289" s="437"/>
      <c r="BL289" s="437"/>
      <c r="BM289" s="1327"/>
      <c r="BN289" s="1327"/>
      <c r="BO289" s="1327"/>
      <c r="BP289" s="1327"/>
      <c r="BQ289" s="1327"/>
      <c r="BR289" s="1327"/>
      <c r="BS289" s="1327"/>
      <c r="BT289" s="1327"/>
      <c r="BU289" s="1327"/>
      <c r="BV289" s="1327"/>
      <c r="BW289" s="1327"/>
      <c r="BX289" s="1327"/>
      <c r="BY289" s="1327"/>
      <c r="BZ289" s="1327"/>
      <c r="CA289" s="1327"/>
      <c r="CB289" s="1327"/>
      <c r="CC289" s="1327"/>
      <c r="CD289" s="1327"/>
      <c r="CE289" s="1327"/>
      <c r="CF289" s="1327"/>
      <c r="CG289" s="1327"/>
      <c r="CH289" s="1327"/>
      <c r="CI289" s="1327"/>
      <c r="CJ289" s="1327"/>
      <c r="CK289" s="1327"/>
      <c r="CL289" s="1327"/>
      <c r="CM289" s="1327"/>
      <c r="CN289" s="1327"/>
      <c r="CO289" s="1327"/>
      <c r="CP289" s="1327"/>
      <c r="CQ289" s="1327"/>
      <c r="CR289" s="1327"/>
      <c r="CS289" s="1327"/>
      <c r="CT289" s="1317"/>
      <c r="CU289" s="1317"/>
      <c r="CV289" s="1317"/>
      <c r="CW289" s="1317"/>
      <c r="CX289" s="1317"/>
      <c r="CY289" s="1317"/>
      <c r="CZ289" s="1317"/>
      <c r="DA289" s="1317"/>
      <c r="DB289" s="1317"/>
      <c r="DC289" s="1317"/>
      <c r="DD289" s="1317"/>
      <c r="DE289" s="1317"/>
      <c r="DF289" s="1317"/>
      <c r="DG289" s="1317"/>
    </row>
    <row r="290" ht="18.75" customHeight="1">
      <c r="G290" s="1344"/>
      <c r="H290" s="1345">
        <f t="shared" si="4"/>
        <v>0</v>
      </c>
      <c r="I290" s="1381"/>
      <c r="J290" s="1381"/>
      <c r="K290" s="1381"/>
      <c r="L290" s="1381"/>
      <c r="M290" s="1381"/>
      <c r="N290" s="1381"/>
      <c r="O290" s="1381"/>
      <c r="P290" s="1381"/>
      <c r="Q290" s="1381"/>
      <c r="R290" s="1381"/>
      <c r="T290" s="1349"/>
      <c r="U290" s="1349" t="s">
        <v>123</v>
      </c>
      <c r="V290" s="1349" t="s">
        <v>123</v>
      </c>
      <c r="W290" s="1349"/>
      <c r="X290" s="1349"/>
      <c r="Y290" s="1308"/>
      <c r="Z290" s="437" t="str">
        <f>IFERROR(__xludf.DUMMYFUNCTION("IF(NOT('portfólio'!$AV$7),"""",IF($T290="""","""",IFERROR(query({AtivosDados},""select sum(""&amp;Z$3&amp;"") where Col1='""&amp;$T290&amp;""' label sum(""&amp;Z$3&amp;"") ''""),0)))"),"")</f>
        <v/>
      </c>
      <c r="AA290" s="437" t="str">
        <f>IFERROR(__xludf.DUMMYFUNCTION("IF(NOT('portfólio'!$AV$7),"""",IF($T290="""","""",IFERROR(query({AtivosDados},""select sum(""&amp;AA$3&amp;"") where Col1='""&amp;$T290&amp;""' label sum(""&amp;AA$3&amp;"") ''""),0)))"),"")</f>
        <v/>
      </c>
      <c r="AB290" s="437" t="str">
        <f>IFERROR(__xludf.DUMMYFUNCTION("IF(NOT('portfólio'!$AV$7),"""",IF($T290="""","""",IFERROR(query({AtivosDados},""select sum(""&amp;AB$3&amp;"") where Col1='""&amp;$T290&amp;""' label sum(""&amp;AB$3&amp;"") ''""),0)))"),"")</f>
        <v/>
      </c>
      <c r="AC290" s="437" t="str">
        <f>IFERROR(__xludf.DUMMYFUNCTION("IF(NOT('portfólio'!$AV$7),"""",IF($T290="""","""",IFERROR(query({AtivosDados},""select sum(""&amp;AC$3&amp;"") where Col1='""&amp;$T290&amp;""' label sum(""&amp;AC$3&amp;"") ''""),0)))"),"")</f>
        <v/>
      </c>
      <c r="AD290" s="437" t="str">
        <f>IFERROR(__xludf.DUMMYFUNCTION("IF(NOT('portfólio'!$AV$7),"""",IF($T290="""","""",IFERROR(query({AtivosDados},""select sum(""&amp;AD$3&amp;"") where Col1='""&amp;$T290&amp;""' label sum(""&amp;AD$3&amp;"") ''""),0)))"),"")</f>
        <v/>
      </c>
      <c r="AE290" s="437"/>
      <c r="AF290" s="1327"/>
      <c r="AG290" s="437"/>
      <c r="AH290" s="437"/>
      <c r="AI290" s="437"/>
      <c r="AJ290" s="437"/>
      <c r="AK290" s="437"/>
      <c r="AL290" s="437"/>
      <c r="AM290" s="437"/>
      <c r="AN290" s="437"/>
      <c r="AO290" s="437"/>
      <c r="AP290" s="437"/>
      <c r="AQ290" s="1327"/>
      <c r="AR290" s="437"/>
      <c r="AS290" s="437"/>
      <c r="AT290" s="437"/>
      <c r="AU290" s="437"/>
      <c r="AV290" s="437"/>
      <c r="AW290" s="437"/>
      <c r="AX290" s="437"/>
      <c r="AY290" s="437"/>
      <c r="AZ290" s="437"/>
      <c r="BA290" s="437"/>
      <c r="BB290" s="1327"/>
      <c r="BC290" s="437"/>
      <c r="BD290" s="437"/>
      <c r="BE290" s="437"/>
      <c r="BF290" s="437"/>
      <c r="BG290" s="437"/>
      <c r="BH290" s="437"/>
      <c r="BI290" s="437"/>
      <c r="BJ290" s="437"/>
      <c r="BK290" s="437"/>
      <c r="BL290" s="437"/>
      <c r="BM290" s="1327"/>
      <c r="BN290" s="1327"/>
      <c r="BO290" s="1327"/>
      <c r="BP290" s="1327"/>
      <c r="BQ290" s="1327"/>
      <c r="BR290" s="1327"/>
      <c r="BS290" s="1327"/>
      <c r="BT290" s="1327"/>
      <c r="BU290" s="1327"/>
      <c r="BV290" s="1327"/>
      <c r="BW290" s="1327"/>
      <c r="BX290" s="1327"/>
      <c r="BY290" s="1327"/>
      <c r="BZ290" s="1327"/>
      <c r="CA290" s="1327"/>
      <c r="CB290" s="1327"/>
      <c r="CC290" s="1327"/>
      <c r="CD290" s="1327"/>
      <c r="CE290" s="1327"/>
      <c r="CF290" s="1327"/>
      <c r="CG290" s="1327"/>
      <c r="CH290" s="1327"/>
      <c r="CI290" s="1327"/>
      <c r="CJ290" s="1327"/>
      <c r="CK290" s="1327"/>
      <c r="CL290" s="1327"/>
      <c r="CM290" s="1327"/>
      <c r="CN290" s="1327"/>
      <c r="CO290" s="1327"/>
      <c r="CP290" s="1327"/>
      <c r="CQ290" s="1327"/>
      <c r="CR290" s="1327"/>
      <c r="CS290" s="1327"/>
      <c r="CT290" s="1317"/>
      <c r="CU290" s="1317"/>
      <c r="CV290" s="1317"/>
      <c r="CW290" s="1317"/>
      <c r="CX290" s="1317"/>
      <c r="CY290" s="1317"/>
      <c r="CZ290" s="1317"/>
      <c r="DA290" s="1317"/>
      <c r="DB290" s="1317"/>
      <c r="DC290" s="1317"/>
      <c r="DD290" s="1317"/>
      <c r="DE290" s="1317"/>
      <c r="DF290" s="1317"/>
      <c r="DG290" s="1317"/>
    </row>
    <row r="291" ht="18.75" customHeight="1">
      <c r="G291" s="1344"/>
      <c r="H291" s="1345">
        <f t="shared" si="4"/>
        <v>0</v>
      </c>
      <c r="I291" s="1381"/>
      <c r="J291" s="1381"/>
      <c r="K291" s="1381"/>
      <c r="L291" s="1381"/>
      <c r="M291" s="1381"/>
      <c r="N291" s="1381"/>
      <c r="O291" s="1381"/>
      <c r="P291" s="1381"/>
      <c r="Q291" s="1381"/>
      <c r="R291" s="1381"/>
      <c r="T291" s="1349"/>
      <c r="U291" s="1349" t="s">
        <v>123</v>
      </c>
      <c r="V291" s="1349" t="s">
        <v>123</v>
      </c>
      <c r="W291" s="1349"/>
      <c r="X291" s="1349"/>
      <c r="Y291" s="1308"/>
      <c r="Z291" s="437" t="str">
        <f>IFERROR(__xludf.DUMMYFUNCTION("IF(NOT('portfólio'!$AV$7),"""",IF($T291="""","""",IFERROR(query({AtivosDados},""select sum(""&amp;Z$3&amp;"") where Col1='""&amp;$T291&amp;""' label sum(""&amp;Z$3&amp;"") ''""),0)))"),"")</f>
        <v/>
      </c>
      <c r="AA291" s="437" t="str">
        <f>IFERROR(__xludf.DUMMYFUNCTION("IF(NOT('portfólio'!$AV$7),"""",IF($T291="""","""",IFERROR(query({AtivosDados},""select sum(""&amp;AA$3&amp;"") where Col1='""&amp;$T291&amp;""' label sum(""&amp;AA$3&amp;"") ''""),0)))"),"")</f>
        <v/>
      </c>
      <c r="AB291" s="437" t="str">
        <f>IFERROR(__xludf.DUMMYFUNCTION("IF(NOT('portfólio'!$AV$7),"""",IF($T291="""","""",IFERROR(query({AtivosDados},""select sum(""&amp;AB$3&amp;"") where Col1='""&amp;$T291&amp;""' label sum(""&amp;AB$3&amp;"") ''""),0)))"),"")</f>
        <v/>
      </c>
      <c r="AC291" s="437" t="str">
        <f>IFERROR(__xludf.DUMMYFUNCTION("IF(NOT('portfólio'!$AV$7),"""",IF($T291="""","""",IFERROR(query({AtivosDados},""select sum(""&amp;AC$3&amp;"") where Col1='""&amp;$T291&amp;""' label sum(""&amp;AC$3&amp;"") ''""),0)))"),"")</f>
        <v/>
      </c>
      <c r="AD291" s="437" t="str">
        <f>IFERROR(__xludf.DUMMYFUNCTION("IF(NOT('portfólio'!$AV$7),"""",IF($T291="""","""",IFERROR(query({AtivosDados},""select sum(""&amp;AD$3&amp;"") where Col1='""&amp;$T291&amp;""' label sum(""&amp;AD$3&amp;"") ''""),0)))"),"")</f>
        <v/>
      </c>
      <c r="AE291" s="437"/>
      <c r="AF291" s="1327"/>
      <c r="AG291" s="437"/>
      <c r="AH291" s="437"/>
      <c r="AI291" s="437"/>
      <c r="AJ291" s="437"/>
      <c r="AK291" s="437"/>
      <c r="AL291" s="437"/>
      <c r="AM291" s="437"/>
      <c r="AN291" s="437"/>
      <c r="AO291" s="437"/>
      <c r="AP291" s="437"/>
      <c r="AQ291" s="1327"/>
      <c r="AR291" s="437"/>
      <c r="AS291" s="437"/>
      <c r="AT291" s="437"/>
      <c r="AU291" s="437"/>
      <c r="AV291" s="437"/>
      <c r="AW291" s="437"/>
      <c r="AX291" s="437"/>
      <c r="AY291" s="437"/>
      <c r="AZ291" s="437"/>
      <c r="BA291" s="437"/>
      <c r="BB291" s="1327"/>
      <c r="BC291" s="437"/>
      <c r="BD291" s="437"/>
      <c r="BE291" s="437"/>
      <c r="BF291" s="437"/>
      <c r="BG291" s="437"/>
      <c r="BH291" s="437"/>
      <c r="BI291" s="437"/>
      <c r="BJ291" s="437"/>
      <c r="BK291" s="437"/>
      <c r="BL291" s="437"/>
      <c r="BM291" s="1327"/>
      <c r="BN291" s="1327"/>
      <c r="BO291" s="1327"/>
      <c r="BP291" s="1327"/>
      <c r="BQ291" s="1327"/>
      <c r="BR291" s="1327"/>
      <c r="BS291" s="1327"/>
      <c r="BT291" s="1327"/>
      <c r="BU291" s="1327"/>
      <c r="BV291" s="1327"/>
      <c r="BW291" s="1327"/>
      <c r="BX291" s="1327"/>
      <c r="BY291" s="1327"/>
      <c r="BZ291" s="1327"/>
      <c r="CA291" s="1327"/>
      <c r="CB291" s="1327"/>
      <c r="CC291" s="1327"/>
      <c r="CD291" s="1327"/>
      <c r="CE291" s="1327"/>
      <c r="CF291" s="1327"/>
      <c r="CG291" s="1327"/>
      <c r="CH291" s="1327"/>
      <c r="CI291" s="1327"/>
      <c r="CJ291" s="1327"/>
      <c r="CK291" s="1327"/>
      <c r="CL291" s="1327"/>
      <c r="CM291" s="1327"/>
      <c r="CN291" s="1327"/>
      <c r="CO291" s="1327"/>
      <c r="CP291" s="1327"/>
      <c r="CQ291" s="1327"/>
      <c r="CR291" s="1327"/>
      <c r="CS291" s="1327"/>
      <c r="CT291" s="1317"/>
      <c r="CU291" s="1317"/>
      <c r="CV291" s="1317"/>
      <c r="CW291" s="1317"/>
      <c r="CX291" s="1317"/>
      <c r="CY291" s="1317"/>
      <c r="CZ291" s="1317"/>
      <c r="DA291" s="1317"/>
      <c r="DB291" s="1317"/>
      <c r="DC291" s="1317"/>
      <c r="DD291" s="1317"/>
      <c r="DE291" s="1317"/>
      <c r="DF291" s="1317"/>
      <c r="DG291" s="1317"/>
    </row>
    <row r="292" ht="18.75" customHeight="1">
      <c r="G292" s="1344"/>
      <c r="H292" s="1345">
        <f t="shared" si="4"/>
        <v>0</v>
      </c>
      <c r="I292" s="1381"/>
      <c r="J292" s="1381"/>
      <c r="K292" s="1381"/>
      <c r="L292" s="1381"/>
      <c r="M292" s="1381"/>
      <c r="N292" s="1381"/>
      <c r="O292" s="1381"/>
      <c r="P292" s="1381"/>
      <c r="Q292" s="1381"/>
      <c r="R292" s="1381"/>
      <c r="T292" s="1349"/>
      <c r="U292" s="1349" t="s">
        <v>123</v>
      </c>
      <c r="V292" s="1349" t="s">
        <v>123</v>
      </c>
      <c r="W292" s="1349"/>
      <c r="X292" s="1349"/>
      <c r="Y292" s="1308"/>
      <c r="Z292" s="437" t="str">
        <f>IFERROR(__xludf.DUMMYFUNCTION("IF(NOT('portfólio'!$AV$7),"""",IF($T292="""","""",IFERROR(query({AtivosDados},""select sum(""&amp;Z$3&amp;"") where Col1='""&amp;$T292&amp;""' label sum(""&amp;Z$3&amp;"") ''""),0)))"),"")</f>
        <v/>
      </c>
      <c r="AA292" s="437" t="str">
        <f>IFERROR(__xludf.DUMMYFUNCTION("IF(NOT('portfólio'!$AV$7),"""",IF($T292="""","""",IFERROR(query({AtivosDados},""select sum(""&amp;AA$3&amp;"") where Col1='""&amp;$T292&amp;""' label sum(""&amp;AA$3&amp;"") ''""),0)))"),"")</f>
        <v/>
      </c>
      <c r="AB292" s="437" t="str">
        <f>IFERROR(__xludf.DUMMYFUNCTION("IF(NOT('portfólio'!$AV$7),"""",IF($T292="""","""",IFERROR(query({AtivosDados},""select sum(""&amp;AB$3&amp;"") where Col1='""&amp;$T292&amp;""' label sum(""&amp;AB$3&amp;"") ''""),0)))"),"")</f>
        <v/>
      </c>
      <c r="AC292" s="437" t="str">
        <f>IFERROR(__xludf.DUMMYFUNCTION("IF(NOT('portfólio'!$AV$7),"""",IF($T292="""","""",IFERROR(query({AtivosDados},""select sum(""&amp;AC$3&amp;"") where Col1='""&amp;$T292&amp;""' label sum(""&amp;AC$3&amp;"") ''""),0)))"),"")</f>
        <v/>
      </c>
      <c r="AD292" s="437" t="str">
        <f>IFERROR(__xludf.DUMMYFUNCTION("IF(NOT('portfólio'!$AV$7),"""",IF($T292="""","""",IFERROR(query({AtivosDados},""select sum(""&amp;AD$3&amp;"") where Col1='""&amp;$T292&amp;""' label sum(""&amp;AD$3&amp;"") ''""),0)))"),"")</f>
        <v/>
      </c>
      <c r="AE292" s="437"/>
      <c r="AF292" s="1327"/>
      <c r="AG292" s="437"/>
      <c r="AH292" s="437"/>
      <c r="AI292" s="437"/>
      <c r="AJ292" s="437"/>
      <c r="AK292" s="437"/>
      <c r="AL292" s="437"/>
      <c r="AM292" s="437"/>
      <c r="AN292" s="437"/>
      <c r="AO292" s="437"/>
      <c r="AP292" s="437"/>
      <c r="AQ292" s="1327"/>
      <c r="AR292" s="437"/>
      <c r="AS292" s="437"/>
      <c r="AT292" s="437"/>
      <c r="AU292" s="437"/>
      <c r="AV292" s="437"/>
      <c r="AW292" s="437"/>
      <c r="AX292" s="437"/>
      <c r="AY292" s="437"/>
      <c r="AZ292" s="437"/>
      <c r="BA292" s="437"/>
      <c r="BB292" s="1327"/>
      <c r="BC292" s="437"/>
      <c r="BD292" s="437"/>
      <c r="BE292" s="437"/>
      <c r="BF292" s="437"/>
      <c r="BG292" s="437"/>
      <c r="BH292" s="437"/>
      <c r="BI292" s="437"/>
      <c r="BJ292" s="437"/>
      <c r="BK292" s="437"/>
      <c r="BL292" s="437"/>
      <c r="BM292" s="1327"/>
      <c r="BN292" s="1327"/>
      <c r="BO292" s="1327"/>
      <c r="BP292" s="1327"/>
      <c r="BQ292" s="1327"/>
      <c r="BR292" s="1327"/>
      <c r="BS292" s="1327"/>
      <c r="BT292" s="1327"/>
      <c r="BU292" s="1327"/>
      <c r="BV292" s="1327"/>
      <c r="BW292" s="1327"/>
      <c r="BX292" s="1327"/>
      <c r="BY292" s="1327"/>
      <c r="BZ292" s="1327"/>
      <c r="CA292" s="1327"/>
      <c r="CB292" s="1327"/>
      <c r="CC292" s="1327"/>
      <c r="CD292" s="1327"/>
      <c r="CE292" s="1327"/>
      <c r="CF292" s="1327"/>
      <c r="CG292" s="1327"/>
      <c r="CH292" s="1327"/>
      <c r="CI292" s="1327"/>
      <c r="CJ292" s="1327"/>
      <c r="CK292" s="1327"/>
      <c r="CL292" s="1327"/>
      <c r="CM292" s="1327"/>
      <c r="CN292" s="1327"/>
      <c r="CO292" s="1327"/>
      <c r="CP292" s="1327"/>
      <c r="CQ292" s="1327"/>
      <c r="CR292" s="1327"/>
      <c r="CS292" s="1327"/>
      <c r="CT292" s="1317"/>
      <c r="CU292" s="1317"/>
      <c r="CV292" s="1317"/>
      <c r="CW292" s="1317"/>
      <c r="CX292" s="1317"/>
      <c r="CY292" s="1317"/>
      <c r="CZ292" s="1317"/>
      <c r="DA292" s="1317"/>
      <c r="DB292" s="1317"/>
      <c r="DC292" s="1317"/>
      <c r="DD292" s="1317"/>
      <c r="DE292" s="1317"/>
      <c r="DF292" s="1317"/>
      <c r="DG292" s="1317"/>
    </row>
    <row r="293" ht="18.75" customHeight="1">
      <c r="G293" s="1344"/>
      <c r="H293" s="1345">
        <f t="shared" si="4"/>
        <v>0</v>
      </c>
      <c r="I293" s="1381"/>
      <c r="J293" s="1381"/>
      <c r="K293" s="1381"/>
      <c r="L293" s="1381"/>
      <c r="M293" s="1381"/>
      <c r="N293" s="1381"/>
      <c r="O293" s="1381"/>
      <c r="P293" s="1381"/>
      <c r="Q293" s="1381"/>
      <c r="R293" s="1381"/>
      <c r="T293" s="1349"/>
      <c r="U293" s="1349" t="s">
        <v>123</v>
      </c>
      <c r="V293" s="1349" t="s">
        <v>123</v>
      </c>
      <c r="W293" s="1349"/>
      <c r="X293" s="1349"/>
      <c r="Y293" s="1308"/>
      <c r="Z293" s="437" t="str">
        <f>IFERROR(__xludf.DUMMYFUNCTION("IF(NOT('portfólio'!$AV$7),"""",IF($T293="""","""",IFERROR(query({AtivosDados},""select sum(""&amp;Z$3&amp;"") where Col1='""&amp;$T293&amp;""' label sum(""&amp;Z$3&amp;"") ''""),0)))"),"")</f>
        <v/>
      </c>
      <c r="AA293" s="437" t="str">
        <f>IFERROR(__xludf.DUMMYFUNCTION("IF(NOT('portfólio'!$AV$7),"""",IF($T293="""","""",IFERROR(query({AtivosDados},""select sum(""&amp;AA$3&amp;"") where Col1='""&amp;$T293&amp;""' label sum(""&amp;AA$3&amp;"") ''""),0)))"),"")</f>
        <v/>
      </c>
      <c r="AB293" s="437" t="str">
        <f>IFERROR(__xludf.DUMMYFUNCTION("IF(NOT('portfólio'!$AV$7),"""",IF($T293="""","""",IFERROR(query({AtivosDados},""select sum(""&amp;AB$3&amp;"") where Col1='""&amp;$T293&amp;""' label sum(""&amp;AB$3&amp;"") ''""),0)))"),"")</f>
        <v/>
      </c>
      <c r="AC293" s="437" t="str">
        <f>IFERROR(__xludf.DUMMYFUNCTION("IF(NOT('portfólio'!$AV$7),"""",IF($T293="""","""",IFERROR(query({AtivosDados},""select sum(""&amp;AC$3&amp;"") where Col1='""&amp;$T293&amp;""' label sum(""&amp;AC$3&amp;"") ''""),0)))"),"")</f>
        <v/>
      </c>
      <c r="AD293" s="437" t="str">
        <f>IFERROR(__xludf.DUMMYFUNCTION("IF(NOT('portfólio'!$AV$7),"""",IF($T293="""","""",IFERROR(query({AtivosDados},""select sum(""&amp;AD$3&amp;"") where Col1='""&amp;$T293&amp;""' label sum(""&amp;AD$3&amp;"") ''""),0)))"),"")</f>
        <v/>
      </c>
      <c r="AE293" s="437"/>
      <c r="AF293" s="1327"/>
      <c r="AG293" s="437"/>
      <c r="AH293" s="437"/>
      <c r="AI293" s="437"/>
      <c r="AJ293" s="437"/>
      <c r="AK293" s="437"/>
      <c r="AL293" s="437"/>
      <c r="AM293" s="437"/>
      <c r="AN293" s="437"/>
      <c r="AO293" s="437"/>
      <c r="AP293" s="437"/>
      <c r="AQ293" s="1327"/>
      <c r="AR293" s="437"/>
      <c r="AS293" s="437"/>
      <c r="AT293" s="437"/>
      <c r="AU293" s="437"/>
      <c r="AV293" s="437"/>
      <c r="AW293" s="437"/>
      <c r="AX293" s="437"/>
      <c r="AY293" s="437"/>
      <c r="AZ293" s="437"/>
      <c r="BA293" s="437"/>
      <c r="BB293" s="1327"/>
      <c r="BC293" s="437"/>
      <c r="BD293" s="437"/>
      <c r="BE293" s="437"/>
      <c r="BF293" s="437"/>
      <c r="BG293" s="437"/>
      <c r="BH293" s="437"/>
      <c r="BI293" s="437"/>
      <c r="BJ293" s="437"/>
      <c r="BK293" s="437"/>
      <c r="BL293" s="437"/>
      <c r="BM293" s="1327"/>
      <c r="BN293" s="1327"/>
      <c r="BO293" s="1327"/>
      <c r="BP293" s="1327"/>
      <c r="BQ293" s="1327"/>
      <c r="BR293" s="1327"/>
      <c r="BS293" s="1327"/>
      <c r="BT293" s="1327"/>
      <c r="BU293" s="1327"/>
      <c r="BV293" s="1327"/>
      <c r="BW293" s="1327"/>
      <c r="BX293" s="1327"/>
      <c r="BY293" s="1327"/>
      <c r="BZ293" s="1327"/>
      <c r="CA293" s="1327"/>
      <c r="CB293" s="1327"/>
      <c r="CC293" s="1327"/>
      <c r="CD293" s="1327"/>
      <c r="CE293" s="1327"/>
      <c r="CF293" s="1327"/>
      <c r="CG293" s="1327"/>
      <c r="CH293" s="1327"/>
      <c r="CI293" s="1327"/>
      <c r="CJ293" s="1327"/>
      <c r="CK293" s="1327"/>
      <c r="CL293" s="1327"/>
      <c r="CM293" s="1327"/>
      <c r="CN293" s="1327"/>
      <c r="CO293" s="1327"/>
      <c r="CP293" s="1327"/>
      <c r="CQ293" s="1327"/>
      <c r="CR293" s="1327"/>
      <c r="CS293" s="1327"/>
      <c r="CT293" s="1317"/>
      <c r="CU293" s="1317"/>
      <c r="CV293" s="1317"/>
      <c r="CW293" s="1317"/>
      <c r="CX293" s="1317"/>
      <c r="CY293" s="1317"/>
      <c r="CZ293" s="1317"/>
      <c r="DA293" s="1317"/>
      <c r="DB293" s="1317"/>
      <c r="DC293" s="1317"/>
      <c r="DD293" s="1317"/>
      <c r="DE293" s="1317"/>
      <c r="DF293" s="1317"/>
      <c r="DG293" s="1317"/>
    </row>
    <row r="294" ht="18.75" customHeight="1">
      <c r="G294" s="1344"/>
      <c r="H294" s="1345">
        <f t="shared" si="4"/>
        <v>0</v>
      </c>
      <c r="I294" s="1381"/>
      <c r="J294" s="1381"/>
      <c r="K294" s="1381"/>
      <c r="L294" s="1381"/>
      <c r="M294" s="1381"/>
      <c r="N294" s="1381"/>
      <c r="O294" s="1381"/>
      <c r="P294" s="1381"/>
      <c r="Q294" s="1381"/>
      <c r="R294" s="1381"/>
      <c r="T294" s="1349"/>
      <c r="U294" s="1349" t="s">
        <v>123</v>
      </c>
      <c r="V294" s="1349" t="s">
        <v>123</v>
      </c>
      <c r="W294" s="1349"/>
      <c r="X294" s="1349"/>
      <c r="Y294" s="1308"/>
      <c r="Z294" s="437" t="str">
        <f>IFERROR(__xludf.DUMMYFUNCTION("IF(NOT('portfólio'!$AV$7),"""",IF($T294="""","""",IFERROR(query({AtivosDados},""select sum(""&amp;Z$3&amp;"") where Col1='""&amp;$T294&amp;""' label sum(""&amp;Z$3&amp;"") ''""),0)))"),"")</f>
        <v/>
      </c>
      <c r="AA294" s="437" t="str">
        <f>IFERROR(__xludf.DUMMYFUNCTION("IF(NOT('portfólio'!$AV$7),"""",IF($T294="""","""",IFERROR(query({AtivosDados},""select sum(""&amp;AA$3&amp;"") where Col1='""&amp;$T294&amp;""' label sum(""&amp;AA$3&amp;"") ''""),0)))"),"")</f>
        <v/>
      </c>
      <c r="AB294" s="437" t="str">
        <f>IFERROR(__xludf.DUMMYFUNCTION("IF(NOT('portfólio'!$AV$7),"""",IF($T294="""","""",IFERROR(query({AtivosDados},""select sum(""&amp;AB$3&amp;"") where Col1='""&amp;$T294&amp;""' label sum(""&amp;AB$3&amp;"") ''""),0)))"),"")</f>
        <v/>
      </c>
      <c r="AC294" s="437" t="str">
        <f>IFERROR(__xludf.DUMMYFUNCTION("IF(NOT('portfólio'!$AV$7),"""",IF($T294="""","""",IFERROR(query({AtivosDados},""select sum(""&amp;AC$3&amp;"") where Col1='""&amp;$T294&amp;""' label sum(""&amp;AC$3&amp;"") ''""),0)))"),"")</f>
        <v/>
      </c>
      <c r="AD294" s="437" t="str">
        <f>IFERROR(__xludf.DUMMYFUNCTION("IF(NOT('portfólio'!$AV$7),"""",IF($T294="""","""",IFERROR(query({AtivosDados},""select sum(""&amp;AD$3&amp;"") where Col1='""&amp;$T294&amp;""' label sum(""&amp;AD$3&amp;"") ''""),0)))"),"")</f>
        <v/>
      </c>
      <c r="AE294" s="437"/>
      <c r="AF294" s="1327"/>
      <c r="AG294" s="437"/>
      <c r="AH294" s="437"/>
      <c r="AI294" s="437"/>
      <c r="AJ294" s="437"/>
      <c r="AK294" s="437"/>
      <c r="AL294" s="437"/>
      <c r="AM294" s="437"/>
      <c r="AN294" s="437"/>
      <c r="AO294" s="437"/>
      <c r="AP294" s="437"/>
      <c r="AQ294" s="1327"/>
      <c r="AR294" s="437"/>
      <c r="AS294" s="437"/>
      <c r="AT294" s="437"/>
      <c r="AU294" s="437"/>
      <c r="AV294" s="437"/>
      <c r="AW294" s="437"/>
      <c r="AX294" s="437"/>
      <c r="AY294" s="437"/>
      <c r="AZ294" s="437"/>
      <c r="BA294" s="437"/>
      <c r="BB294" s="1327"/>
      <c r="BC294" s="437"/>
      <c r="BD294" s="437"/>
      <c r="BE294" s="437"/>
      <c r="BF294" s="437"/>
      <c r="BG294" s="437"/>
      <c r="BH294" s="437"/>
      <c r="BI294" s="437"/>
      <c r="BJ294" s="437"/>
      <c r="BK294" s="437"/>
      <c r="BL294" s="437"/>
      <c r="BM294" s="1327"/>
      <c r="BN294" s="1327"/>
      <c r="BO294" s="1327"/>
      <c r="BP294" s="1327"/>
      <c r="BQ294" s="1327"/>
      <c r="BR294" s="1327"/>
      <c r="BS294" s="1327"/>
      <c r="BT294" s="1327"/>
      <c r="BU294" s="1327"/>
      <c r="BV294" s="1327"/>
      <c r="BW294" s="1327"/>
      <c r="BX294" s="1327"/>
      <c r="BY294" s="1327"/>
      <c r="BZ294" s="1327"/>
      <c r="CA294" s="1327"/>
      <c r="CB294" s="1327"/>
      <c r="CC294" s="1327"/>
      <c r="CD294" s="1327"/>
      <c r="CE294" s="1327"/>
      <c r="CF294" s="1327"/>
      <c r="CG294" s="1327"/>
      <c r="CH294" s="1327"/>
      <c r="CI294" s="1327"/>
      <c r="CJ294" s="1327"/>
      <c r="CK294" s="1327"/>
      <c r="CL294" s="1327"/>
      <c r="CM294" s="1327"/>
      <c r="CN294" s="1327"/>
      <c r="CO294" s="1327"/>
      <c r="CP294" s="1327"/>
      <c r="CQ294" s="1327"/>
      <c r="CR294" s="1327"/>
      <c r="CS294" s="1327"/>
      <c r="CT294" s="1317"/>
      <c r="CU294" s="1317"/>
      <c r="CV294" s="1317"/>
      <c r="CW294" s="1317"/>
      <c r="CX294" s="1317"/>
      <c r="CY294" s="1317"/>
      <c r="CZ294" s="1317"/>
      <c r="DA294" s="1317"/>
      <c r="DB294" s="1317"/>
      <c r="DC294" s="1317"/>
      <c r="DD294" s="1317"/>
      <c r="DE294" s="1317"/>
      <c r="DF294" s="1317"/>
      <c r="DG294" s="1317"/>
    </row>
    <row r="295" ht="18.75" customHeight="1">
      <c r="G295" s="1344"/>
      <c r="H295" s="1345">
        <f t="shared" si="4"/>
        <v>0</v>
      </c>
      <c r="I295" s="1381"/>
      <c r="J295" s="1381"/>
      <c r="K295" s="1381"/>
      <c r="L295" s="1381"/>
      <c r="M295" s="1381"/>
      <c r="N295" s="1381"/>
      <c r="O295" s="1381"/>
      <c r="P295" s="1381"/>
      <c r="Q295" s="1381"/>
      <c r="R295" s="1381"/>
      <c r="T295" s="1349"/>
      <c r="U295" s="1349" t="s">
        <v>123</v>
      </c>
      <c r="V295" s="1349" t="s">
        <v>123</v>
      </c>
      <c r="W295" s="1349"/>
      <c r="X295" s="1349"/>
      <c r="Y295" s="1308"/>
      <c r="Z295" s="437" t="str">
        <f>IFERROR(__xludf.DUMMYFUNCTION("IF(NOT('portfólio'!$AV$7),"""",IF($T295="""","""",IFERROR(query({AtivosDados},""select sum(""&amp;Z$3&amp;"") where Col1='""&amp;$T295&amp;""' label sum(""&amp;Z$3&amp;"") ''""),0)))"),"")</f>
        <v/>
      </c>
      <c r="AA295" s="437" t="str">
        <f>IFERROR(__xludf.DUMMYFUNCTION("IF(NOT('portfólio'!$AV$7),"""",IF($T295="""","""",IFERROR(query({AtivosDados},""select sum(""&amp;AA$3&amp;"") where Col1='""&amp;$T295&amp;""' label sum(""&amp;AA$3&amp;"") ''""),0)))"),"")</f>
        <v/>
      </c>
      <c r="AB295" s="437" t="str">
        <f>IFERROR(__xludf.DUMMYFUNCTION("IF(NOT('portfólio'!$AV$7),"""",IF($T295="""","""",IFERROR(query({AtivosDados},""select sum(""&amp;AB$3&amp;"") where Col1='""&amp;$T295&amp;""' label sum(""&amp;AB$3&amp;"") ''""),0)))"),"")</f>
        <v/>
      </c>
      <c r="AC295" s="437" t="str">
        <f>IFERROR(__xludf.DUMMYFUNCTION("IF(NOT('portfólio'!$AV$7),"""",IF($T295="""","""",IFERROR(query({AtivosDados},""select sum(""&amp;AC$3&amp;"") where Col1='""&amp;$T295&amp;""' label sum(""&amp;AC$3&amp;"") ''""),0)))"),"")</f>
        <v/>
      </c>
      <c r="AD295" s="437" t="str">
        <f>IFERROR(__xludf.DUMMYFUNCTION("IF(NOT('portfólio'!$AV$7),"""",IF($T295="""","""",IFERROR(query({AtivosDados},""select sum(""&amp;AD$3&amp;"") where Col1='""&amp;$T295&amp;""' label sum(""&amp;AD$3&amp;"") ''""),0)))"),"")</f>
        <v/>
      </c>
      <c r="AE295" s="437"/>
      <c r="AF295" s="1327"/>
      <c r="AG295" s="437"/>
      <c r="AH295" s="437"/>
      <c r="AI295" s="437"/>
      <c r="AJ295" s="437"/>
      <c r="AK295" s="437"/>
      <c r="AL295" s="437"/>
      <c r="AM295" s="437"/>
      <c r="AN295" s="437"/>
      <c r="AO295" s="437"/>
      <c r="AP295" s="437"/>
      <c r="AQ295" s="1327"/>
      <c r="AR295" s="437"/>
      <c r="AS295" s="437"/>
      <c r="AT295" s="437"/>
      <c r="AU295" s="437"/>
      <c r="AV295" s="437"/>
      <c r="AW295" s="437"/>
      <c r="AX295" s="437"/>
      <c r="AY295" s="437"/>
      <c r="AZ295" s="437"/>
      <c r="BA295" s="437"/>
      <c r="BB295" s="1327"/>
      <c r="BC295" s="437"/>
      <c r="BD295" s="437"/>
      <c r="BE295" s="437"/>
      <c r="BF295" s="437"/>
      <c r="BG295" s="437"/>
      <c r="BH295" s="437"/>
      <c r="BI295" s="437"/>
      <c r="BJ295" s="437"/>
      <c r="BK295" s="437"/>
      <c r="BL295" s="437"/>
      <c r="BM295" s="1327"/>
      <c r="BN295" s="1327"/>
      <c r="BO295" s="1327"/>
      <c r="BP295" s="1327"/>
      <c r="BQ295" s="1327"/>
      <c r="BR295" s="1327"/>
      <c r="BS295" s="1327"/>
      <c r="BT295" s="1327"/>
      <c r="BU295" s="1327"/>
      <c r="BV295" s="1327"/>
      <c r="BW295" s="1327"/>
      <c r="BX295" s="1327"/>
      <c r="BY295" s="1327"/>
      <c r="BZ295" s="1327"/>
      <c r="CA295" s="1327"/>
      <c r="CB295" s="1327"/>
      <c r="CC295" s="1327"/>
      <c r="CD295" s="1327"/>
      <c r="CE295" s="1327"/>
      <c r="CF295" s="1327"/>
      <c r="CG295" s="1327"/>
      <c r="CH295" s="1327"/>
      <c r="CI295" s="1327"/>
      <c r="CJ295" s="1327"/>
      <c r="CK295" s="1327"/>
      <c r="CL295" s="1327"/>
      <c r="CM295" s="1327"/>
      <c r="CN295" s="1327"/>
      <c r="CO295" s="1327"/>
      <c r="CP295" s="1327"/>
      <c r="CQ295" s="1327"/>
      <c r="CR295" s="1327"/>
      <c r="CS295" s="1327"/>
      <c r="CT295" s="1317"/>
      <c r="CU295" s="1317"/>
      <c r="CV295" s="1317"/>
      <c r="CW295" s="1317"/>
      <c r="CX295" s="1317"/>
      <c r="CY295" s="1317"/>
      <c r="CZ295" s="1317"/>
      <c r="DA295" s="1317"/>
      <c r="DB295" s="1317"/>
      <c r="DC295" s="1317"/>
      <c r="DD295" s="1317"/>
      <c r="DE295" s="1317"/>
      <c r="DF295" s="1317"/>
      <c r="DG295" s="1317"/>
    </row>
    <row r="296" ht="18.75" customHeight="1">
      <c r="G296" s="1344"/>
      <c r="H296" s="1345">
        <f t="shared" si="4"/>
        <v>0</v>
      </c>
      <c r="I296" s="1381"/>
      <c r="J296" s="1381"/>
      <c r="K296" s="1381"/>
      <c r="L296" s="1381"/>
      <c r="M296" s="1381"/>
      <c r="N296" s="1381"/>
      <c r="O296" s="1381"/>
      <c r="P296" s="1381"/>
      <c r="Q296" s="1381"/>
      <c r="R296" s="1381"/>
      <c r="T296" s="1349"/>
      <c r="U296" s="1349" t="s">
        <v>123</v>
      </c>
      <c r="V296" s="1349" t="s">
        <v>123</v>
      </c>
      <c r="W296" s="1349"/>
      <c r="X296" s="1349"/>
      <c r="Y296" s="1308"/>
      <c r="Z296" s="437" t="str">
        <f>IFERROR(__xludf.DUMMYFUNCTION("IF(NOT('portfólio'!$AV$7),"""",IF($T296="""","""",IFERROR(query({AtivosDados},""select sum(""&amp;Z$3&amp;"") where Col1='""&amp;$T296&amp;""' label sum(""&amp;Z$3&amp;"") ''""),0)))"),"")</f>
        <v/>
      </c>
      <c r="AA296" s="437" t="str">
        <f>IFERROR(__xludf.DUMMYFUNCTION("IF(NOT('portfólio'!$AV$7),"""",IF($T296="""","""",IFERROR(query({AtivosDados},""select sum(""&amp;AA$3&amp;"") where Col1='""&amp;$T296&amp;""' label sum(""&amp;AA$3&amp;"") ''""),0)))"),"")</f>
        <v/>
      </c>
      <c r="AB296" s="437" t="str">
        <f>IFERROR(__xludf.DUMMYFUNCTION("IF(NOT('portfólio'!$AV$7),"""",IF($T296="""","""",IFERROR(query({AtivosDados},""select sum(""&amp;AB$3&amp;"") where Col1='""&amp;$T296&amp;""' label sum(""&amp;AB$3&amp;"") ''""),0)))"),"")</f>
        <v/>
      </c>
      <c r="AC296" s="437" t="str">
        <f>IFERROR(__xludf.DUMMYFUNCTION("IF(NOT('portfólio'!$AV$7),"""",IF($T296="""","""",IFERROR(query({AtivosDados},""select sum(""&amp;AC$3&amp;"") where Col1='""&amp;$T296&amp;""' label sum(""&amp;AC$3&amp;"") ''""),0)))"),"")</f>
        <v/>
      </c>
      <c r="AD296" s="437" t="str">
        <f>IFERROR(__xludf.DUMMYFUNCTION("IF(NOT('portfólio'!$AV$7),"""",IF($T296="""","""",IFERROR(query({AtivosDados},""select sum(""&amp;AD$3&amp;"") where Col1='""&amp;$T296&amp;""' label sum(""&amp;AD$3&amp;"") ''""),0)))"),"")</f>
        <v/>
      </c>
      <c r="AE296" s="437"/>
      <c r="AF296" s="1327"/>
      <c r="AG296" s="437"/>
      <c r="AH296" s="437"/>
      <c r="AI296" s="437"/>
      <c r="AJ296" s="437"/>
      <c r="AK296" s="437"/>
      <c r="AL296" s="437"/>
      <c r="AM296" s="437"/>
      <c r="AN296" s="437"/>
      <c r="AO296" s="437"/>
      <c r="AP296" s="437"/>
      <c r="AQ296" s="1327"/>
      <c r="AR296" s="437"/>
      <c r="AS296" s="437"/>
      <c r="AT296" s="437"/>
      <c r="AU296" s="437"/>
      <c r="AV296" s="437"/>
      <c r="AW296" s="437"/>
      <c r="AX296" s="437"/>
      <c r="AY296" s="437"/>
      <c r="AZ296" s="437"/>
      <c r="BA296" s="437"/>
      <c r="BB296" s="1327"/>
      <c r="BC296" s="437"/>
      <c r="BD296" s="437"/>
      <c r="BE296" s="437"/>
      <c r="BF296" s="437"/>
      <c r="BG296" s="437"/>
      <c r="BH296" s="437"/>
      <c r="BI296" s="437"/>
      <c r="BJ296" s="437"/>
      <c r="BK296" s="437"/>
      <c r="BL296" s="437"/>
      <c r="BM296" s="1327"/>
      <c r="BN296" s="1327"/>
      <c r="BO296" s="1327"/>
      <c r="BP296" s="1327"/>
      <c r="BQ296" s="1327"/>
      <c r="BR296" s="1327"/>
      <c r="BS296" s="1327"/>
      <c r="BT296" s="1327"/>
      <c r="BU296" s="1327"/>
      <c r="BV296" s="1327"/>
      <c r="BW296" s="1327"/>
      <c r="BX296" s="1327"/>
      <c r="BY296" s="1327"/>
      <c r="BZ296" s="1327"/>
      <c r="CA296" s="1327"/>
      <c r="CB296" s="1327"/>
      <c r="CC296" s="1327"/>
      <c r="CD296" s="1327"/>
      <c r="CE296" s="1327"/>
      <c r="CF296" s="1327"/>
      <c r="CG296" s="1327"/>
      <c r="CH296" s="1327"/>
      <c r="CI296" s="1327"/>
      <c r="CJ296" s="1327"/>
      <c r="CK296" s="1327"/>
      <c r="CL296" s="1327"/>
      <c r="CM296" s="1327"/>
      <c r="CN296" s="1327"/>
      <c r="CO296" s="1327"/>
      <c r="CP296" s="1327"/>
      <c r="CQ296" s="1327"/>
      <c r="CR296" s="1327"/>
      <c r="CS296" s="1327"/>
      <c r="CT296" s="1317"/>
      <c r="CU296" s="1317"/>
      <c r="CV296" s="1317"/>
      <c r="CW296" s="1317"/>
      <c r="CX296" s="1317"/>
      <c r="CY296" s="1317"/>
      <c r="CZ296" s="1317"/>
      <c r="DA296" s="1317"/>
      <c r="DB296" s="1317"/>
      <c r="DC296" s="1317"/>
      <c r="DD296" s="1317"/>
      <c r="DE296" s="1317"/>
      <c r="DF296" s="1317"/>
      <c r="DG296" s="1317"/>
    </row>
    <row r="297" ht="18.75" customHeight="1">
      <c r="G297" s="1344"/>
      <c r="H297" s="1345">
        <f t="shared" si="4"/>
        <v>0</v>
      </c>
      <c r="I297" s="1381"/>
      <c r="J297" s="1381"/>
      <c r="K297" s="1381"/>
      <c r="L297" s="1381"/>
      <c r="M297" s="1381"/>
      <c r="N297" s="1381"/>
      <c r="O297" s="1381"/>
      <c r="P297" s="1381"/>
      <c r="Q297" s="1381"/>
      <c r="R297" s="1381"/>
      <c r="T297" s="1349"/>
      <c r="U297" s="1349" t="s">
        <v>123</v>
      </c>
      <c r="V297" s="1349" t="s">
        <v>123</v>
      </c>
      <c r="W297" s="1349"/>
      <c r="X297" s="1349"/>
      <c r="Y297" s="1308"/>
      <c r="Z297" s="437" t="str">
        <f>IFERROR(__xludf.DUMMYFUNCTION("IF(NOT('portfólio'!$AV$7),"""",IF($T297="""","""",IFERROR(query({AtivosDados},""select sum(""&amp;Z$3&amp;"") where Col1='""&amp;$T297&amp;""' label sum(""&amp;Z$3&amp;"") ''""),0)))"),"")</f>
        <v/>
      </c>
      <c r="AA297" s="437" t="str">
        <f>IFERROR(__xludf.DUMMYFUNCTION("IF(NOT('portfólio'!$AV$7),"""",IF($T297="""","""",IFERROR(query({AtivosDados},""select sum(""&amp;AA$3&amp;"") where Col1='""&amp;$T297&amp;""' label sum(""&amp;AA$3&amp;"") ''""),0)))"),"")</f>
        <v/>
      </c>
      <c r="AB297" s="437" t="str">
        <f>IFERROR(__xludf.DUMMYFUNCTION("IF(NOT('portfólio'!$AV$7),"""",IF($T297="""","""",IFERROR(query({AtivosDados},""select sum(""&amp;AB$3&amp;"") where Col1='""&amp;$T297&amp;""' label sum(""&amp;AB$3&amp;"") ''""),0)))"),"")</f>
        <v/>
      </c>
      <c r="AC297" s="437" t="str">
        <f>IFERROR(__xludf.DUMMYFUNCTION("IF(NOT('portfólio'!$AV$7),"""",IF($T297="""","""",IFERROR(query({AtivosDados},""select sum(""&amp;AC$3&amp;"") where Col1='""&amp;$T297&amp;""' label sum(""&amp;AC$3&amp;"") ''""),0)))"),"")</f>
        <v/>
      </c>
      <c r="AD297" s="437" t="str">
        <f>IFERROR(__xludf.DUMMYFUNCTION("IF(NOT('portfólio'!$AV$7),"""",IF($T297="""","""",IFERROR(query({AtivosDados},""select sum(""&amp;AD$3&amp;"") where Col1='""&amp;$T297&amp;""' label sum(""&amp;AD$3&amp;"") ''""),0)))"),"")</f>
        <v/>
      </c>
      <c r="AE297" s="437"/>
      <c r="AF297" s="1327"/>
      <c r="AG297" s="437"/>
      <c r="AH297" s="437"/>
      <c r="AI297" s="437"/>
      <c r="AJ297" s="437"/>
      <c r="AK297" s="437"/>
      <c r="AL297" s="437"/>
      <c r="AM297" s="437"/>
      <c r="AN297" s="437"/>
      <c r="AO297" s="437"/>
      <c r="AP297" s="437"/>
      <c r="AQ297" s="1327"/>
      <c r="AR297" s="437"/>
      <c r="AS297" s="437"/>
      <c r="AT297" s="437"/>
      <c r="AU297" s="437"/>
      <c r="AV297" s="437"/>
      <c r="AW297" s="437"/>
      <c r="AX297" s="437"/>
      <c r="AY297" s="437"/>
      <c r="AZ297" s="437"/>
      <c r="BA297" s="437"/>
      <c r="BB297" s="1327"/>
      <c r="BC297" s="437"/>
      <c r="BD297" s="437"/>
      <c r="BE297" s="437"/>
      <c r="BF297" s="437"/>
      <c r="BG297" s="437"/>
      <c r="BH297" s="437"/>
      <c r="BI297" s="437"/>
      <c r="BJ297" s="437"/>
      <c r="BK297" s="437"/>
      <c r="BL297" s="437"/>
      <c r="BM297" s="1327"/>
      <c r="BN297" s="1327"/>
      <c r="BO297" s="1327"/>
      <c r="BP297" s="1327"/>
      <c r="BQ297" s="1327"/>
      <c r="BR297" s="1327"/>
      <c r="BS297" s="1327"/>
      <c r="BT297" s="1327"/>
      <c r="BU297" s="1327"/>
      <c r="BV297" s="1327"/>
      <c r="BW297" s="1327"/>
      <c r="BX297" s="1327"/>
      <c r="BY297" s="1327"/>
      <c r="BZ297" s="1327"/>
      <c r="CA297" s="1327"/>
      <c r="CB297" s="1327"/>
      <c r="CC297" s="1327"/>
      <c r="CD297" s="1327"/>
      <c r="CE297" s="1327"/>
      <c r="CF297" s="1327"/>
      <c r="CG297" s="1327"/>
      <c r="CH297" s="1327"/>
      <c r="CI297" s="1327"/>
      <c r="CJ297" s="1327"/>
      <c r="CK297" s="1327"/>
      <c r="CL297" s="1327"/>
      <c r="CM297" s="1327"/>
      <c r="CN297" s="1327"/>
      <c r="CO297" s="1327"/>
      <c r="CP297" s="1327"/>
      <c r="CQ297" s="1327"/>
      <c r="CR297" s="1327"/>
      <c r="CS297" s="1327"/>
      <c r="CT297" s="1317"/>
      <c r="CU297" s="1317"/>
      <c r="CV297" s="1317"/>
      <c r="CW297" s="1317"/>
      <c r="CX297" s="1317"/>
      <c r="CY297" s="1317"/>
      <c r="CZ297" s="1317"/>
      <c r="DA297" s="1317"/>
      <c r="DB297" s="1317"/>
      <c r="DC297" s="1317"/>
      <c r="DD297" s="1317"/>
      <c r="DE297" s="1317"/>
      <c r="DF297" s="1317"/>
      <c r="DG297" s="1317"/>
    </row>
    <row r="298" ht="18.75" customHeight="1">
      <c r="G298" s="1344"/>
      <c r="H298" s="1345">
        <f t="shared" si="4"/>
        <v>0</v>
      </c>
      <c r="I298" s="1381"/>
      <c r="J298" s="1381"/>
      <c r="K298" s="1381"/>
      <c r="L298" s="1381"/>
      <c r="M298" s="1381"/>
      <c r="N298" s="1381"/>
      <c r="O298" s="1381"/>
      <c r="P298" s="1381"/>
      <c r="Q298" s="1381"/>
      <c r="R298" s="1381"/>
      <c r="T298" s="1349"/>
      <c r="U298" s="1349" t="s">
        <v>123</v>
      </c>
      <c r="V298" s="1349" t="s">
        <v>123</v>
      </c>
      <c r="W298" s="1349"/>
      <c r="X298" s="1349"/>
      <c r="Y298" s="1308"/>
      <c r="Z298" s="437" t="str">
        <f>IFERROR(__xludf.DUMMYFUNCTION("IF(NOT('portfólio'!$AV$7),"""",IF($T298="""","""",IFERROR(query({AtivosDados},""select sum(""&amp;Z$3&amp;"") where Col1='""&amp;$T298&amp;""' label sum(""&amp;Z$3&amp;"") ''""),0)))"),"")</f>
        <v/>
      </c>
      <c r="AA298" s="437" t="str">
        <f>IFERROR(__xludf.DUMMYFUNCTION("IF(NOT('portfólio'!$AV$7),"""",IF($T298="""","""",IFERROR(query({AtivosDados},""select sum(""&amp;AA$3&amp;"") where Col1='""&amp;$T298&amp;""' label sum(""&amp;AA$3&amp;"") ''""),0)))"),"")</f>
        <v/>
      </c>
      <c r="AB298" s="437" t="str">
        <f>IFERROR(__xludf.DUMMYFUNCTION("IF(NOT('portfólio'!$AV$7),"""",IF($T298="""","""",IFERROR(query({AtivosDados},""select sum(""&amp;AB$3&amp;"") where Col1='""&amp;$T298&amp;""' label sum(""&amp;AB$3&amp;"") ''""),0)))"),"")</f>
        <v/>
      </c>
      <c r="AC298" s="437" t="str">
        <f>IFERROR(__xludf.DUMMYFUNCTION("IF(NOT('portfólio'!$AV$7),"""",IF($T298="""","""",IFERROR(query({AtivosDados},""select sum(""&amp;AC$3&amp;"") where Col1='""&amp;$T298&amp;""' label sum(""&amp;AC$3&amp;"") ''""),0)))"),"")</f>
        <v/>
      </c>
      <c r="AD298" s="437" t="str">
        <f>IFERROR(__xludf.DUMMYFUNCTION("IF(NOT('portfólio'!$AV$7),"""",IF($T298="""","""",IFERROR(query({AtivosDados},""select sum(""&amp;AD$3&amp;"") where Col1='""&amp;$T298&amp;""' label sum(""&amp;AD$3&amp;"") ''""),0)))"),"")</f>
        <v/>
      </c>
      <c r="AE298" s="437"/>
      <c r="AF298" s="1327"/>
      <c r="AG298" s="437"/>
      <c r="AH298" s="437"/>
      <c r="AI298" s="437"/>
      <c r="AJ298" s="437"/>
      <c r="AK298" s="437"/>
      <c r="AL298" s="437"/>
      <c r="AM298" s="437"/>
      <c r="AN298" s="437"/>
      <c r="AO298" s="437"/>
      <c r="AP298" s="437"/>
      <c r="AQ298" s="1327"/>
      <c r="AR298" s="437"/>
      <c r="AS298" s="437"/>
      <c r="AT298" s="437"/>
      <c r="AU298" s="437"/>
      <c r="AV298" s="437"/>
      <c r="AW298" s="437"/>
      <c r="AX298" s="437"/>
      <c r="AY298" s="437"/>
      <c r="AZ298" s="437"/>
      <c r="BA298" s="437"/>
      <c r="BB298" s="1327"/>
      <c r="BC298" s="437"/>
      <c r="BD298" s="437"/>
      <c r="BE298" s="437"/>
      <c r="BF298" s="437"/>
      <c r="BG298" s="437"/>
      <c r="BH298" s="437"/>
      <c r="BI298" s="437"/>
      <c r="BJ298" s="437"/>
      <c r="BK298" s="437"/>
      <c r="BL298" s="437"/>
      <c r="BM298" s="1327"/>
      <c r="BN298" s="1327"/>
      <c r="BO298" s="1327"/>
      <c r="BP298" s="1327"/>
      <c r="BQ298" s="1327"/>
      <c r="BR298" s="1327"/>
      <c r="BS298" s="1327"/>
      <c r="BT298" s="1327"/>
      <c r="BU298" s="1327"/>
      <c r="BV298" s="1327"/>
      <c r="BW298" s="1327"/>
      <c r="BX298" s="1327"/>
      <c r="BY298" s="1327"/>
      <c r="BZ298" s="1327"/>
      <c r="CA298" s="1327"/>
      <c r="CB298" s="1327"/>
      <c r="CC298" s="1327"/>
      <c r="CD298" s="1327"/>
      <c r="CE298" s="1327"/>
      <c r="CF298" s="1327"/>
      <c r="CG298" s="1327"/>
      <c r="CH298" s="1327"/>
      <c r="CI298" s="1327"/>
      <c r="CJ298" s="1327"/>
      <c r="CK298" s="1327"/>
      <c r="CL298" s="1327"/>
      <c r="CM298" s="1327"/>
      <c r="CN298" s="1327"/>
      <c r="CO298" s="1327"/>
      <c r="CP298" s="1327"/>
      <c r="CQ298" s="1327"/>
      <c r="CR298" s="1327"/>
      <c r="CS298" s="1327"/>
      <c r="CT298" s="1317"/>
      <c r="CU298" s="1317"/>
      <c r="CV298" s="1317"/>
      <c r="CW298" s="1317"/>
      <c r="CX298" s="1317"/>
      <c r="CY298" s="1317"/>
      <c r="CZ298" s="1317"/>
      <c r="DA298" s="1317"/>
      <c r="DB298" s="1317"/>
      <c r="DC298" s="1317"/>
      <c r="DD298" s="1317"/>
      <c r="DE298" s="1317"/>
      <c r="DF298" s="1317"/>
      <c r="DG298" s="1317"/>
    </row>
    <row r="299" ht="18.75" customHeight="1">
      <c r="G299" s="1344"/>
      <c r="H299" s="1345">
        <f t="shared" si="4"/>
        <v>0</v>
      </c>
      <c r="I299" s="1381"/>
      <c r="J299" s="1381"/>
      <c r="K299" s="1381"/>
      <c r="L299" s="1381"/>
      <c r="M299" s="1381"/>
      <c r="N299" s="1381"/>
      <c r="O299" s="1381"/>
      <c r="P299" s="1381"/>
      <c r="Q299" s="1381"/>
      <c r="R299" s="1381"/>
      <c r="T299" s="1349"/>
      <c r="U299" s="1349" t="s">
        <v>123</v>
      </c>
      <c r="V299" s="1349" t="s">
        <v>123</v>
      </c>
      <c r="W299" s="1349"/>
      <c r="X299" s="1349"/>
      <c r="Y299" s="1308"/>
      <c r="Z299" s="437" t="str">
        <f>IFERROR(__xludf.DUMMYFUNCTION("IF(NOT('portfólio'!$AV$7),"""",IF($T299="""","""",IFERROR(query({AtivosDados},""select sum(""&amp;Z$3&amp;"") where Col1='""&amp;$T299&amp;""' label sum(""&amp;Z$3&amp;"") ''""),0)))"),"")</f>
        <v/>
      </c>
      <c r="AA299" s="437" t="str">
        <f>IFERROR(__xludf.DUMMYFUNCTION("IF(NOT('portfólio'!$AV$7),"""",IF($T299="""","""",IFERROR(query({AtivosDados},""select sum(""&amp;AA$3&amp;"") where Col1='""&amp;$T299&amp;""' label sum(""&amp;AA$3&amp;"") ''""),0)))"),"")</f>
        <v/>
      </c>
      <c r="AB299" s="437" t="str">
        <f>IFERROR(__xludf.DUMMYFUNCTION("IF(NOT('portfólio'!$AV$7),"""",IF($T299="""","""",IFERROR(query({AtivosDados},""select sum(""&amp;AB$3&amp;"") where Col1='""&amp;$T299&amp;""' label sum(""&amp;AB$3&amp;"") ''""),0)))"),"")</f>
        <v/>
      </c>
      <c r="AC299" s="437" t="str">
        <f>IFERROR(__xludf.DUMMYFUNCTION("IF(NOT('portfólio'!$AV$7),"""",IF($T299="""","""",IFERROR(query({AtivosDados},""select sum(""&amp;AC$3&amp;"") where Col1='""&amp;$T299&amp;""' label sum(""&amp;AC$3&amp;"") ''""),0)))"),"")</f>
        <v/>
      </c>
      <c r="AD299" s="437" t="str">
        <f>IFERROR(__xludf.DUMMYFUNCTION("IF(NOT('portfólio'!$AV$7),"""",IF($T299="""","""",IFERROR(query({AtivosDados},""select sum(""&amp;AD$3&amp;"") where Col1='""&amp;$T299&amp;""' label sum(""&amp;AD$3&amp;"") ''""),0)))"),"")</f>
        <v/>
      </c>
      <c r="AE299" s="437"/>
      <c r="AF299" s="1327"/>
      <c r="AG299" s="437"/>
      <c r="AH299" s="437"/>
      <c r="AI299" s="437"/>
      <c r="AJ299" s="437"/>
      <c r="AK299" s="437"/>
      <c r="AL299" s="437"/>
      <c r="AM299" s="437"/>
      <c r="AN299" s="437"/>
      <c r="AO299" s="437"/>
      <c r="AP299" s="437"/>
      <c r="AQ299" s="1327"/>
      <c r="AR299" s="437"/>
      <c r="AS299" s="437"/>
      <c r="AT299" s="437"/>
      <c r="AU299" s="437"/>
      <c r="AV299" s="437"/>
      <c r="AW299" s="437"/>
      <c r="AX299" s="437"/>
      <c r="AY299" s="437"/>
      <c r="AZ299" s="437"/>
      <c r="BA299" s="437"/>
      <c r="BB299" s="1327"/>
      <c r="BC299" s="437"/>
      <c r="BD299" s="437"/>
      <c r="BE299" s="437"/>
      <c r="BF299" s="437"/>
      <c r="BG299" s="437"/>
      <c r="BH299" s="437"/>
      <c r="BI299" s="437"/>
      <c r="BJ299" s="437"/>
      <c r="BK299" s="437"/>
      <c r="BL299" s="437"/>
      <c r="BM299" s="1327"/>
      <c r="BN299" s="1327"/>
      <c r="BO299" s="1327"/>
      <c r="BP299" s="1327"/>
      <c r="BQ299" s="1327"/>
      <c r="BR299" s="1327"/>
      <c r="BS299" s="1327"/>
      <c r="BT299" s="1327"/>
      <c r="BU299" s="1327"/>
      <c r="BV299" s="1327"/>
      <c r="BW299" s="1327"/>
      <c r="BX299" s="1327"/>
      <c r="BY299" s="1327"/>
      <c r="BZ299" s="1327"/>
      <c r="CA299" s="1327"/>
      <c r="CB299" s="1327"/>
      <c r="CC299" s="1327"/>
      <c r="CD299" s="1327"/>
      <c r="CE299" s="1327"/>
      <c r="CF299" s="1327"/>
      <c r="CG299" s="1327"/>
      <c r="CH299" s="1327"/>
      <c r="CI299" s="1327"/>
      <c r="CJ299" s="1327"/>
      <c r="CK299" s="1327"/>
      <c r="CL299" s="1327"/>
      <c r="CM299" s="1327"/>
      <c r="CN299" s="1327"/>
      <c r="CO299" s="1327"/>
      <c r="CP299" s="1327"/>
      <c r="CQ299" s="1327"/>
      <c r="CR299" s="1327"/>
      <c r="CS299" s="1327"/>
      <c r="CT299" s="1317"/>
      <c r="CU299" s="1317"/>
      <c r="CV299" s="1317"/>
      <c r="CW299" s="1317"/>
      <c r="CX299" s="1317"/>
      <c r="CY299" s="1317"/>
      <c r="CZ299" s="1317"/>
      <c r="DA299" s="1317"/>
      <c r="DB299" s="1317"/>
      <c r="DC299" s="1317"/>
      <c r="DD299" s="1317"/>
      <c r="DE299" s="1317"/>
      <c r="DF299" s="1317"/>
      <c r="DG299" s="1317"/>
    </row>
    <row r="300" ht="18.75" customHeight="1">
      <c r="G300" s="1344"/>
      <c r="H300" s="1345">
        <f t="shared" si="4"/>
        <v>0</v>
      </c>
      <c r="I300" s="1381"/>
      <c r="J300" s="1381"/>
      <c r="K300" s="1381"/>
      <c r="L300" s="1381"/>
      <c r="M300" s="1381"/>
      <c r="N300" s="1381"/>
      <c r="O300" s="1381"/>
      <c r="P300" s="1381"/>
      <c r="Q300" s="1381"/>
      <c r="R300" s="1381"/>
      <c r="T300" s="1349"/>
      <c r="U300" s="1349" t="s">
        <v>123</v>
      </c>
      <c r="V300" s="1349" t="s">
        <v>123</v>
      </c>
      <c r="W300" s="1349"/>
      <c r="X300" s="1349"/>
      <c r="Y300" s="1308"/>
      <c r="Z300" s="437" t="str">
        <f>IFERROR(__xludf.DUMMYFUNCTION("IF(NOT('portfólio'!$AV$7),"""",IF($T300="""","""",IFERROR(query({AtivosDados},""select sum(""&amp;Z$3&amp;"") where Col1='""&amp;$T300&amp;""' label sum(""&amp;Z$3&amp;"") ''""),0)))"),"")</f>
        <v/>
      </c>
      <c r="AA300" s="437" t="str">
        <f>IFERROR(__xludf.DUMMYFUNCTION("IF(NOT('portfólio'!$AV$7),"""",IF($T300="""","""",IFERROR(query({AtivosDados},""select sum(""&amp;AA$3&amp;"") where Col1='""&amp;$T300&amp;""' label sum(""&amp;AA$3&amp;"") ''""),0)))"),"")</f>
        <v/>
      </c>
      <c r="AB300" s="437" t="str">
        <f>IFERROR(__xludf.DUMMYFUNCTION("IF(NOT('portfólio'!$AV$7),"""",IF($T300="""","""",IFERROR(query({AtivosDados},""select sum(""&amp;AB$3&amp;"") where Col1='""&amp;$T300&amp;""' label sum(""&amp;AB$3&amp;"") ''""),0)))"),"")</f>
        <v/>
      </c>
      <c r="AC300" s="437" t="str">
        <f>IFERROR(__xludf.DUMMYFUNCTION("IF(NOT('portfólio'!$AV$7),"""",IF($T300="""","""",IFERROR(query({AtivosDados},""select sum(""&amp;AC$3&amp;"") where Col1='""&amp;$T300&amp;""' label sum(""&amp;AC$3&amp;"") ''""),0)))"),"")</f>
        <v/>
      </c>
      <c r="AD300" s="437" t="str">
        <f>IFERROR(__xludf.DUMMYFUNCTION("IF(NOT('portfólio'!$AV$7),"""",IF($T300="""","""",IFERROR(query({AtivosDados},""select sum(""&amp;AD$3&amp;"") where Col1='""&amp;$T300&amp;""' label sum(""&amp;AD$3&amp;"") ''""),0)))"),"")</f>
        <v/>
      </c>
      <c r="AE300" s="437"/>
      <c r="AF300" s="1327"/>
      <c r="AG300" s="437"/>
      <c r="AH300" s="437"/>
      <c r="AI300" s="437"/>
      <c r="AJ300" s="437"/>
      <c r="AK300" s="437"/>
      <c r="AL300" s="437"/>
      <c r="AM300" s="437"/>
      <c r="AN300" s="437"/>
      <c r="AO300" s="437"/>
      <c r="AP300" s="437"/>
      <c r="AQ300" s="1327"/>
      <c r="AR300" s="437"/>
      <c r="AS300" s="437"/>
      <c r="AT300" s="437"/>
      <c r="AU300" s="437"/>
      <c r="AV300" s="437"/>
      <c r="AW300" s="437"/>
      <c r="AX300" s="437"/>
      <c r="AY300" s="437"/>
      <c r="AZ300" s="437"/>
      <c r="BA300" s="437"/>
      <c r="BB300" s="1327"/>
      <c r="BC300" s="437"/>
      <c r="BD300" s="437"/>
      <c r="BE300" s="437"/>
      <c r="BF300" s="437"/>
      <c r="BG300" s="437"/>
      <c r="BH300" s="437"/>
      <c r="BI300" s="437"/>
      <c r="BJ300" s="437"/>
      <c r="BK300" s="437"/>
      <c r="BL300" s="437"/>
      <c r="BM300" s="1327"/>
      <c r="BN300" s="1327"/>
      <c r="BO300" s="1327"/>
      <c r="BP300" s="1327"/>
      <c r="BQ300" s="1327"/>
      <c r="BR300" s="1327"/>
      <c r="BS300" s="1327"/>
      <c r="BT300" s="1327"/>
      <c r="BU300" s="1327"/>
      <c r="BV300" s="1327"/>
      <c r="BW300" s="1327"/>
      <c r="BX300" s="1327"/>
      <c r="BY300" s="1327"/>
      <c r="BZ300" s="1327"/>
      <c r="CA300" s="1327"/>
      <c r="CB300" s="1327"/>
      <c r="CC300" s="1327"/>
      <c r="CD300" s="1327"/>
      <c r="CE300" s="1327"/>
      <c r="CF300" s="1327"/>
      <c r="CG300" s="1327"/>
      <c r="CH300" s="1327"/>
      <c r="CI300" s="1327"/>
      <c r="CJ300" s="1327"/>
      <c r="CK300" s="1327"/>
      <c r="CL300" s="1327"/>
      <c r="CM300" s="1327"/>
      <c r="CN300" s="1327"/>
      <c r="CO300" s="1327"/>
      <c r="CP300" s="1327"/>
      <c r="CQ300" s="1327"/>
      <c r="CR300" s="1327"/>
      <c r="CS300" s="1327"/>
      <c r="CT300" s="1317"/>
      <c r="CU300" s="1317"/>
      <c r="CV300" s="1317"/>
      <c r="CW300" s="1317"/>
      <c r="CX300" s="1317"/>
      <c r="CY300" s="1317"/>
      <c r="CZ300" s="1317"/>
      <c r="DA300" s="1317"/>
      <c r="DB300" s="1317"/>
      <c r="DC300" s="1317"/>
      <c r="DD300" s="1317"/>
      <c r="DE300" s="1317"/>
      <c r="DF300" s="1317"/>
      <c r="DG300" s="1317"/>
    </row>
    <row r="301" ht="18.75" customHeight="1">
      <c r="G301" s="1344"/>
      <c r="H301" s="1345">
        <f t="shared" si="4"/>
        <v>0</v>
      </c>
      <c r="I301" s="1381"/>
      <c r="J301" s="1381"/>
      <c r="K301" s="1381"/>
      <c r="L301" s="1381"/>
      <c r="M301" s="1381"/>
      <c r="N301" s="1381"/>
      <c r="O301" s="1381"/>
      <c r="P301" s="1381"/>
      <c r="Q301" s="1381"/>
      <c r="R301" s="1381"/>
      <c r="T301" s="1349"/>
      <c r="U301" s="1349" t="s">
        <v>123</v>
      </c>
      <c r="V301" s="1349" t="s">
        <v>123</v>
      </c>
      <c r="W301" s="1349"/>
      <c r="X301" s="1349"/>
      <c r="Y301" s="1308"/>
      <c r="Z301" s="437" t="str">
        <f>IFERROR(__xludf.DUMMYFUNCTION("IF(NOT('portfólio'!$AV$7),"""",IF($T301="""","""",IFERROR(query({AtivosDados},""select sum(""&amp;Z$3&amp;"") where Col1='""&amp;$T301&amp;""' label sum(""&amp;Z$3&amp;"") ''""),0)))"),"")</f>
        <v/>
      </c>
      <c r="AA301" s="437" t="str">
        <f>IFERROR(__xludf.DUMMYFUNCTION("IF(NOT('portfólio'!$AV$7),"""",IF($T301="""","""",IFERROR(query({AtivosDados},""select sum(""&amp;AA$3&amp;"") where Col1='""&amp;$T301&amp;""' label sum(""&amp;AA$3&amp;"") ''""),0)))"),"")</f>
        <v/>
      </c>
      <c r="AB301" s="437" t="str">
        <f>IFERROR(__xludf.DUMMYFUNCTION("IF(NOT('portfólio'!$AV$7),"""",IF($T301="""","""",IFERROR(query({AtivosDados},""select sum(""&amp;AB$3&amp;"") where Col1='""&amp;$T301&amp;""' label sum(""&amp;AB$3&amp;"") ''""),0)))"),"")</f>
        <v/>
      </c>
      <c r="AC301" s="437" t="str">
        <f>IFERROR(__xludf.DUMMYFUNCTION("IF(NOT('portfólio'!$AV$7),"""",IF($T301="""","""",IFERROR(query({AtivosDados},""select sum(""&amp;AC$3&amp;"") where Col1='""&amp;$T301&amp;""' label sum(""&amp;AC$3&amp;"") ''""),0)))"),"")</f>
        <v/>
      </c>
      <c r="AD301" s="437" t="str">
        <f>IFERROR(__xludf.DUMMYFUNCTION("IF(NOT('portfólio'!$AV$7),"""",IF($T301="""","""",IFERROR(query({AtivosDados},""select sum(""&amp;AD$3&amp;"") where Col1='""&amp;$T301&amp;""' label sum(""&amp;AD$3&amp;"") ''""),0)))"),"")</f>
        <v/>
      </c>
      <c r="AE301" s="437"/>
      <c r="AF301" s="1327"/>
      <c r="AG301" s="437"/>
      <c r="AH301" s="437"/>
      <c r="AI301" s="437"/>
      <c r="AJ301" s="437"/>
      <c r="AK301" s="437"/>
      <c r="AL301" s="437"/>
      <c r="AM301" s="437"/>
      <c r="AN301" s="437"/>
      <c r="AO301" s="437"/>
      <c r="AP301" s="437"/>
      <c r="AQ301" s="1327"/>
      <c r="AR301" s="437"/>
      <c r="AS301" s="437"/>
      <c r="AT301" s="437"/>
      <c r="AU301" s="437"/>
      <c r="AV301" s="437"/>
      <c r="AW301" s="437"/>
      <c r="AX301" s="437"/>
      <c r="AY301" s="437"/>
      <c r="AZ301" s="437"/>
      <c r="BA301" s="437"/>
      <c r="BB301" s="1327"/>
      <c r="BC301" s="437"/>
      <c r="BD301" s="437"/>
      <c r="BE301" s="437"/>
      <c r="BF301" s="437"/>
      <c r="BG301" s="437"/>
      <c r="BH301" s="437"/>
      <c r="BI301" s="437"/>
      <c r="BJ301" s="437"/>
      <c r="BK301" s="437"/>
      <c r="BL301" s="437"/>
      <c r="BM301" s="1327"/>
      <c r="BN301" s="1327"/>
      <c r="BO301" s="1327"/>
      <c r="BP301" s="1327"/>
      <c r="BQ301" s="1327"/>
      <c r="BR301" s="1327"/>
      <c r="BS301" s="1327"/>
      <c r="BT301" s="1327"/>
      <c r="BU301" s="1327"/>
      <c r="BV301" s="1327"/>
      <c r="BW301" s="1327"/>
      <c r="BX301" s="1327"/>
      <c r="BY301" s="1327"/>
      <c r="BZ301" s="1327"/>
      <c r="CA301" s="1327"/>
      <c r="CB301" s="1327"/>
      <c r="CC301" s="1327"/>
      <c r="CD301" s="1327"/>
      <c r="CE301" s="1327"/>
      <c r="CF301" s="1327"/>
      <c r="CG301" s="1327"/>
      <c r="CH301" s="1327"/>
      <c r="CI301" s="1327"/>
      <c r="CJ301" s="1327"/>
      <c r="CK301" s="1327"/>
      <c r="CL301" s="1327"/>
      <c r="CM301" s="1327"/>
      <c r="CN301" s="1327"/>
      <c r="CO301" s="1327"/>
      <c r="CP301" s="1327"/>
      <c r="CQ301" s="1327"/>
      <c r="CR301" s="1327"/>
      <c r="CS301" s="1327"/>
      <c r="CT301" s="1317"/>
      <c r="CU301" s="1317"/>
      <c r="CV301" s="1317"/>
      <c r="CW301" s="1317"/>
      <c r="CX301" s="1317"/>
      <c r="CY301" s="1317"/>
      <c r="CZ301" s="1317"/>
      <c r="DA301" s="1317"/>
      <c r="DB301" s="1317"/>
      <c r="DC301" s="1317"/>
      <c r="DD301" s="1317"/>
      <c r="DE301" s="1317"/>
      <c r="DF301" s="1317"/>
      <c r="DG301" s="1317"/>
    </row>
    <row r="302" ht="18.75" customHeight="1">
      <c r="G302" s="1344"/>
      <c r="H302" s="1345">
        <f t="shared" si="4"/>
        <v>0</v>
      </c>
      <c r="I302" s="1381"/>
      <c r="J302" s="1381"/>
      <c r="K302" s="1381"/>
      <c r="L302" s="1381"/>
      <c r="M302" s="1381"/>
      <c r="N302" s="1381"/>
      <c r="O302" s="1381"/>
      <c r="P302" s="1381"/>
      <c r="Q302" s="1381"/>
      <c r="R302" s="1381"/>
      <c r="T302" s="1349"/>
      <c r="U302" s="1349" t="s">
        <v>123</v>
      </c>
      <c r="V302" s="1349" t="s">
        <v>123</v>
      </c>
      <c r="W302" s="1349"/>
      <c r="X302" s="1349"/>
      <c r="Y302" s="1308"/>
      <c r="Z302" s="437" t="str">
        <f>IFERROR(__xludf.DUMMYFUNCTION("IF(NOT('portfólio'!$AV$7),"""",IF($T302="""","""",IFERROR(query({AtivosDados},""select sum(""&amp;Z$3&amp;"") where Col1='""&amp;$T302&amp;""' label sum(""&amp;Z$3&amp;"") ''""),0)))"),"")</f>
        <v/>
      </c>
      <c r="AA302" s="437" t="str">
        <f>IFERROR(__xludf.DUMMYFUNCTION("IF(NOT('portfólio'!$AV$7),"""",IF($T302="""","""",IFERROR(query({AtivosDados},""select sum(""&amp;AA$3&amp;"") where Col1='""&amp;$T302&amp;""' label sum(""&amp;AA$3&amp;"") ''""),0)))"),"")</f>
        <v/>
      </c>
      <c r="AB302" s="437" t="str">
        <f>IFERROR(__xludf.DUMMYFUNCTION("IF(NOT('portfólio'!$AV$7),"""",IF($T302="""","""",IFERROR(query({AtivosDados},""select sum(""&amp;AB$3&amp;"") where Col1='""&amp;$T302&amp;""' label sum(""&amp;AB$3&amp;"") ''""),0)))"),"")</f>
        <v/>
      </c>
      <c r="AC302" s="437" t="str">
        <f>IFERROR(__xludf.DUMMYFUNCTION("IF(NOT('portfólio'!$AV$7),"""",IF($T302="""","""",IFERROR(query({AtivosDados},""select sum(""&amp;AC$3&amp;"") where Col1='""&amp;$T302&amp;""' label sum(""&amp;AC$3&amp;"") ''""),0)))"),"")</f>
        <v/>
      </c>
      <c r="AD302" s="437" t="str">
        <f>IFERROR(__xludf.DUMMYFUNCTION("IF(NOT('portfólio'!$AV$7),"""",IF($T302="""","""",IFERROR(query({AtivosDados},""select sum(""&amp;AD$3&amp;"") where Col1='""&amp;$T302&amp;""' label sum(""&amp;AD$3&amp;"") ''""),0)))"),"")</f>
        <v/>
      </c>
      <c r="AE302" s="437"/>
      <c r="AF302" s="1327"/>
      <c r="AG302" s="437"/>
      <c r="AH302" s="437"/>
      <c r="AI302" s="437"/>
      <c r="AJ302" s="437"/>
      <c r="AK302" s="437"/>
      <c r="AL302" s="437"/>
      <c r="AM302" s="437"/>
      <c r="AN302" s="437"/>
      <c r="AO302" s="437"/>
      <c r="AP302" s="437"/>
      <c r="AQ302" s="1327"/>
      <c r="AR302" s="437"/>
      <c r="AS302" s="437"/>
      <c r="AT302" s="437"/>
      <c r="AU302" s="437"/>
      <c r="AV302" s="437"/>
      <c r="AW302" s="437"/>
      <c r="AX302" s="437"/>
      <c r="AY302" s="437"/>
      <c r="AZ302" s="437"/>
      <c r="BA302" s="437"/>
      <c r="BB302" s="1327"/>
      <c r="BC302" s="437"/>
      <c r="BD302" s="437"/>
      <c r="BE302" s="437"/>
      <c r="BF302" s="437"/>
      <c r="BG302" s="437"/>
      <c r="BH302" s="437"/>
      <c r="BI302" s="437"/>
      <c r="BJ302" s="437"/>
      <c r="BK302" s="437"/>
      <c r="BL302" s="437"/>
      <c r="BM302" s="1327"/>
      <c r="BN302" s="1327"/>
      <c r="BO302" s="1327"/>
      <c r="BP302" s="1327"/>
      <c r="BQ302" s="1327"/>
      <c r="BR302" s="1327"/>
      <c r="BS302" s="1327"/>
      <c r="BT302" s="1327"/>
      <c r="BU302" s="1327"/>
      <c r="BV302" s="1327"/>
      <c r="BW302" s="1327"/>
      <c r="BX302" s="1327"/>
      <c r="BY302" s="1327"/>
      <c r="BZ302" s="1327"/>
      <c r="CA302" s="1327"/>
      <c r="CB302" s="1327"/>
      <c r="CC302" s="1327"/>
      <c r="CD302" s="1327"/>
      <c r="CE302" s="1327"/>
      <c r="CF302" s="1327"/>
      <c r="CG302" s="1327"/>
      <c r="CH302" s="1327"/>
      <c r="CI302" s="1327"/>
      <c r="CJ302" s="1327"/>
      <c r="CK302" s="1327"/>
      <c r="CL302" s="1327"/>
      <c r="CM302" s="1327"/>
      <c r="CN302" s="1327"/>
      <c r="CO302" s="1327"/>
      <c r="CP302" s="1327"/>
      <c r="CQ302" s="1327"/>
      <c r="CR302" s="1327"/>
      <c r="CS302" s="1327"/>
      <c r="CT302" s="1317"/>
      <c r="CU302" s="1317"/>
      <c r="CV302" s="1317"/>
      <c r="CW302" s="1317"/>
      <c r="CX302" s="1317"/>
      <c r="CY302" s="1317"/>
      <c r="CZ302" s="1317"/>
      <c r="DA302" s="1317"/>
      <c r="DB302" s="1317"/>
      <c r="DC302" s="1317"/>
      <c r="DD302" s="1317"/>
      <c r="DE302" s="1317"/>
      <c r="DF302" s="1317"/>
      <c r="DG302" s="1317"/>
    </row>
    <row r="303" ht="18.75" customHeight="1">
      <c r="G303" s="1344"/>
      <c r="H303" s="1345">
        <f t="shared" si="4"/>
        <v>0</v>
      </c>
      <c r="I303" s="1381"/>
      <c r="J303" s="1381"/>
      <c r="K303" s="1381"/>
      <c r="L303" s="1381"/>
      <c r="M303" s="1381"/>
      <c r="N303" s="1381"/>
      <c r="O303" s="1381"/>
      <c r="P303" s="1381"/>
      <c r="Q303" s="1381"/>
      <c r="R303" s="1381"/>
      <c r="T303" s="1349"/>
      <c r="U303" s="1349" t="s">
        <v>123</v>
      </c>
      <c r="V303" s="1349" t="s">
        <v>123</v>
      </c>
      <c r="W303" s="1349"/>
      <c r="X303" s="1349"/>
      <c r="Y303" s="1308"/>
      <c r="Z303" s="437" t="str">
        <f>IFERROR(__xludf.DUMMYFUNCTION("IF(NOT('portfólio'!$AV$7),"""",IF($T303="""","""",IFERROR(query({AtivosDados},""select sum(""&amp;Z$3&amp;"") where Col1='""&amp;$T303&amp;""' label sum(""&amp;Z$3&amp;"") ''""),0)))"),"")</f>
        <v/>
      </c>
      <c r="AA303" s="437" t="str">
        <f>IFERROR(__xludf.DUMMYFUNCTION("IF(NOT('portfólio'!$AV$7),"""",IF($T303="""","""",IFERROR(query({AtivosDados},""select sum(""&amp;AA$3&amp;"") where Col1='""&amp;$T303&amp;""' label sum(""&amp;AA$3&amp;"") ''""),0)))"),"")</f>
        <v/>
      </c>
      <c r="AB303" s="437" t="str">
        <f>IFERROR(__xludf.DUMMYFUNCTION("IF(NOT('portfólio'!$AV$7),"""",IF($T303="""","""",IFERROR(query({AtivosDados},""select sum(""&amp;AB$3&amp;"") where Col1='""&amp;$T303&amp;""' label sum(""&amp;AB$3&amp;"") ''""),0)))"),"")</f>
        <v/>
      </c>
      <c r="AC303" s="437" t="str">
        <f>IFERROR(__xludf.DUMMYFUNCTION("IF(NOT('portfólio'!$AV$7),"""",IF($T303="""","""",IFERROR(query({AtivosDados},""select sum(""&amp;AC$3&amp;"") where Col1='""&amp;$T303&amp;""' label sum(""&amp;AC$3&amp;"") ''""),0)))"),"")</f>
        <v/>
      </c>
      <c r="AD303" s="437" t="str">
        <f>IFERROR(__xludf.DUMMYFUNCTION("IF(NOT('portfólio'!$AV$7),"""",IF($T303="""","""",IFERROR(query({AtivosDados},""select sum(""&amp;AD$3&amp;"") where Col1='""&amp;$T303&amp;""' label sum(""&amp;AD$3&amp;"") ''""),0)))"),"")</f>
        <v/>
      </c>
      <c r="AE303" s="437"/>
      <c r="AF303" s="1327"/>
      <c r="AG303" s="437"/>
      <c r="AH303" s="437"/>
      <c r="AI303" s="437"/>
      <c r="AJ303" s="437"/>
      <c r="AK303" s="437"/>
      <c r="AL303" s="437"/>
      <c r="AM303" s="437"/>
      <c r="AN303" s="437"/>
      <c r="AO303" s="437"/>
      <c r="AP303" s="437"/>
      <c r="AQ303" s="1327"/>
      <c r="AR303" s="437"/>
      <c r="AS303" s="437"/>
      <c r="AT303" s="437"/>
      <c r="AU303" s="437"/>
      <c r="AV303" s="437"/>
      <c r="AW303" s="437"/>
      <c r="AX303" s="437"/>
      <c r="AY303" s="437"/>
      <c r="AZ303" s="437"/>
      <c r="BA303" s="437"/>
      <c r="BB303" s="1327"/>
      <c r="BC303" s="437"/>
      <c r="BD303" s="437"/>
      <c r="BE303" s="437"/>
      <c r="BF303" s="437"/>
      <c r="BG303" s="437"/>
      <c r="BH303" s="437"/>
      <c r="BI303" s="437"/>
      <c r="BJ303" s="437"/>
      <c r="BK303" s="437"/>
      <c r="BL303" s="437"/>
      <c r="BM303" s="1327"/>
      <c r="BN303" s="1327"/>
      <c r="BO303" s="1327"/>
      <c r="BP303" s="1327"/>
      <c r="BQ303" s="1327"/>
      <c r="BR303" s="1327"/>
      <c r="BS303" s="1327"/>
      <c r="BT303" s="1327"/>
      <c r="BU303" s="1327"/>
      <c r="BV303" s="1327"/>
      <c r="BW303" s="1327"/>
      <c r="BX303" s="1327"/>
      <c r="BY303" s="1327"/>
      <c r="BZ303" s="1327"/>
      <c r="CA303" s="1327"/>
      <c r="CB303" s="1327"/>
      <c r="CC303" s="1327"/>
      <c r="CD303" s="1327"/>
      <c r="CE303" s="1327"/>
      <c r="CF303" s="1327"/>
      <c r="CG303" s="1327"/>
      <c r="CH303" s="1327"/>
      <c r="CI303" s="1327"/>
      <c r="CJ303" s="1327"/>
      <c r="CK303" s="1327"/>
      <c r="CL303" s="1327"/>
      <c r="CM303" s="1327"/>
      <c r="CN303" s="1327"/>
      <c r="CO303" s="1327"/>
      <c r="CP303" s="1327"/>
      <c r="CQ303" s="1327"/>
      <c r="CR303" s="1327"/>
      <c r="CS303" s="1327"/>
      <c r="CT303" s="1317"/>
      <c r="CU303" s="1317"/>
      <c r="CV303" s="1317"/>
      <c r="CW303" s="1317"/>
      <c r="CX303" s="1317"/>
      <c r="CY303" s="1317"/>
      <c r="CZ303" s="1317"/>
      <c r="DA303" s="1317"/>
      <c r="DB303" s="1317"/>
      <c r="DC303" s="1317"/>
      <c r="DD303" s="1317"/>
      <c r="DE303" s="1317"/>
      <c r="DF303" s="1317"/>
      <c r="DG303" s="1317"/>
    </row>
    <row r="304" ht="18.75" customHeight="1">
      <c r="G304" s="1344"/>
      <c r="H304" s="1345">
        <f t="shared" si="4"/>
        <v>0</v>
      </c>
      <c r="I304" s="1381"/>
      <c r="J304" s="1381"/>
      <c r="K304" s="1381"/>
      <c r="L304" s="1381"/>
      <c r="M304" s="1381"/>
      <c r="N304" s="1381"/>
      <c r="O304" s="1381"/>
      <c r="P304" s="1381"/>
      <c r="Q304" s="1381"/>
      <c r="R304" s="1381"/>
      <c r="T304" s="1349"/>
      <c r="U304" s="1349" t="s">
        <v>123</v>
      </c>
      <c r="V304" s="1349" t="s">
        <v>123</v>
      </c>
      <c r="W304" s="1349"/>
      <c r="X304" s="1349"/>
      <c r="Y304" s="1308"/>
      <c r="Z304" s="437" t="str">
        <f>IFERROR(__xludf.DUMMYFUNCTION("IF(NOT('portfólio'!$AV$7),"""",IF($T304="""","""",IFERROR(query({AtivosDados},""select sum(""&amp;Z$3&amp;"") where Col1='""&amp;$T304&amp;""' label sum(""&amp;Z$3&amp;"") ''""),0)))"),"")</f>
        <v/>
      </c>
      <c r="AA304" s="437" t="str">
        <f>IFERROR(__xludf.DUMMYFUNCTION("IF(NOT('portfólio'!$AV$7),"""",IF($T304="""","""",IFERROR(query({AtivosDados},""select sum(""&amp;AA$3&amp;"") where Col1='""&amp;$T304&amp;""' label sum(""&amp;AA$3&amp;"") ''""),0)))"),"")</f>
        <v/>
      </c>
      <c r="AB304" s="437" t="str">
        <f>IFERROR(__xludf.DUMMYFUNCTION("IF(NOT('portfólio'!$AV$7),"""",IF($T304="""","""",IFERROR(query({AtivosDados},""select sum(""&amp;AB$3&amp;"") where Col1='""&amp;$T304&amp;""' label sum(""&amp;AB$3&amp;"") ''""),0)))"),"")</f>
        <v/>
      </c>
      <c r="AC304" s="437" t="str">
        <f>IFERROR(__xludf.DUMMYFUNCTION("IF(NOT('portfólio'!$AV$7),"""",IF($T304="""","""",IFERROR(query({AtivosDados},""select sum(""&amp;AC$3&amp;"") where Col1='""&amp;$T304&amp;""' label sum(""&amp;AC$3&amp;"") ''""),0)))"),"")</f>
        <v/>
      </c>
      <c r="AD304" s="437" t="str">
        <f>IFERROR(__xludf.DUMMYFUNCTION("IF(NOT('portfólio'!$AV$7),"""",IF($T304="""","""",IFERROR(query({AtivosDados},""select sum(""&amp;AD$3&amp;"") where Col1='""&amp;$T304&amp;""' label sum(""&amp;AD$3&amp;"") ''""),0)))"),"")</f>
        <v/>
      </c>
      <c r="AE304" s="437"/>
      <c r="AF304" s="1327"/>
      <c r="AG304" s="437"/>
      <c r="AH304" s="437"/>
      <c r="AI304" s="437"/>
      <c r="AJ304" s="437"/>
      <c r="AK304" s="437"/>
      <c r="AL304" s="437"/>
      <c r="AM304" s="437"/>
      <c r="AN304" s="437"/>
      <c r="AO304" s="437"/>
      <c r="AP304" s="437"/>
      <c r="AQ304" s="1327"/>
      <c r="AR304" s="437"/>
      <c r="AS304" s="437"/>
      <c r="AT304" s="437"/>
      <c r="AU304" s="437"/>
      <c r="AV304" s="437"/>
      <c r="AW304" s="437"/>
      <c r="AX304" s="437"/>
      <c r="AY304" s="437"/>
      <c r="AZ304" s="437"/>
      <c r="BA304" s="437"/>
      <c r="BB304" s="1327"/>
      <c r="BC304" s="437"/>
      <c r="BD304" s="437"/>
      <c r="BE304" s="437"/>
      <c r="BF304" s="437"/>
      <c r="BG304" s="437"/>
      <c r="BH304" s="437"/>
      <c r="BI304" s="437"/>
      <c r="BJ304" s="437"/>
      <c r="BK304" s="437"/>
      <c r="BL304" s="437"/>
      <c r="BM304" s="1327"/>
      <c r="BN304" s="1327"/>
      <c r="BO304" s="1327"/>
      <c r="BP304" s="1327"/>
      <c r="BQ304" s="1327"/>
      <c r="BR304" s="1327"/>
      <c r="BS304" s="1327"/>
      <c r="BT304" s="1327"/>
      <c r="BU304" s="1327"/>
      <c r="BV304" s="1327"/>
      <c r="BW304" s="1327"/>
      <c r="BX304" s="1327"/>
      <c r="BY304" s="1327"/>
      <c r="BZ304" s="1327"/>
      <c r="CA304" s="1327"/>
      <c r="CB304" s="1327"/>
      <c r="CC304" s="1327"/>
      <c r="CD304" s="1327"/>
      <c r="CE304" s="1327"/>
      <c r="CF304" s="1327"/>
      <c r="CG304" s="1327"/>
      <c r="CH304" s="1327"/>
      <c r="CI304" s="1327"/>
      <c r="CJ304" s="1327"/>
      <c r="CK304" s="1327"/>
      <c r="CL304" s="1327"/>
      <c r="CM304" s="1327"/>
      <c r="CN304" s="1327"/>
      <c r="CO304" s="1327"/>
      <c r="CP304" s="1327"/>
      <c r="CQ304" s="1327"/>
      <c r="CR304" s="1327"/>
      <c r="CS304" s="1327"/>
      <c r="CT304" s="1317"/>
      <c r="CU304" s="1317"/>
      <c r="CV304" s="1317"/>
      <c r="CW304" s="1317"/>
      <c r="CX304" s="1317"/>
      <c r="CY304" s="1317"/>
      <c r="CZ304" s="1317"/>
      <c r="DA304" s="1317"/>
      <c r="DB304" s="1317"/>
      <c r="DC304" s="1317"/>
      <c r="DD304" s="1317"/>
      <c r="DE304" s="1317"/>
      <c r="DF304" s="1317"/>
      <c r="DG304" s="1317"/>
    </row>
    <row r="305" ht="18.75" customHeight="1">
      <c r="G305" s="1344"/>
      <c r="H305" s="1345">
        <f t="shared" si="4"/>
        <v>0</v>
      </c>
      <c r="I305" s="1381"/>
      <c r="J305" s="1381"/>
      <c r="K305" s="1381"/>
      <c r="L305" s="1381"/>
      <c r="M305" s="1381"/>
      <c r="N305" s="1381"/>
      <c r="O305" s="1381"/>
      <c r="P305" s="1381"/>
      <c r="Q305" s="1381"/>
      <c r="R305" s="1381"/>
      <c r="T305" s="1349"/>
      <c r="U305" s="1349" t="s">
        <v>123</v>
      </c>
      <c r="V305" s="1349" t="s">
        <v>123</v>
      </c>
      <c r="W305" s="1349"/>
      <c r="X305" s="1349"/>
      <c r="Y305" s="1308"/>
      <c r="Z305" s="437" t="str">
        <f>IFERROR(__xludf.DUMMYFUNCTION("IF(NOT('portfólio'!$AV$7),"""",IF($T305="""","""",IFERROR(query({AtivosDados},""select sum(""&amp;Z$3&amp;"") where Col1='""&amp;$T305&amp;""' label sum(""&amp;Z$3&amp;"") ''""),0)))"),"")</f>
        <v/>
      </c>
      <c r="AA305" s="437" t="str">
        <f>IFERROR(__xludf.DUMMYFUNCTION("IF(NOT('portfólio'!$AV$7),"""",IF($T305="""","""",IFERROR(query({AtivosDados},""select sum(""&amp;AA$3&amp;"") where Col1='""&amp;$T305&amp;""' label sum(""&amp;AA$3&amp;"") ''""),0)))"),"")</f>
        <v/>
      </c>
      <c r="AB305" s="437" t="str">
        <f>IFERROR(__xludf.DUMMYFUNCTION("IF(NOT('portfólio'!$AV$7),"""",IF($T305="""","""",IFERROR(query({AtivosDados},""select sum(""&amp;AB$3&amp;"") where Col1='""&amp;$T305&amp;""' label sum(""&amp;AB$3&amp;"") ''""),0)))"),"")</f>
        <v/>
      </c>
      <c r="AC305" s="437" t="str">
        <f>IFERROR(__xludf.DUMMYFUNCTION("IF(NOT('portfólio'!$AV$7),"""",IF($T305="""","""",IFERROR(query({AtivosDados},""select sum(""&amp;AC$3&amp;"") where Col1='""&amp;$T305&amp;""' label sum(""&amp;AC$3&amp;"") ''""),0)))"),"")</f>
        <v/>
      </c>
      <c r="AD305" s="437" t="str">
        <f>IFERROR(__xludf.DUMMYFUNCTION("IF(NOT('portfólio'!$AV$7),"""",IF($T305="""","""",IFERROR(query({AtivosDados},""select sum(""&amp;AD$3&amp;"") where Col1='""&amp;$T305&amp;""' label sum(""&amp;AD$3&amp;"") ''""),0)))"),"")</f>
        <v/>
      </c>
      <c r="AE305" s="437"/>
      <c r="AF305" s="1327"/>
      <c r="AG305" s="437"/>
      <c r="AH305" s="437"/>
      <c r="AI305" s="437"/>
      <c r="AJ305" s="437"/>
      <c r="AK305" s="437"/>
      <c r="AL305" s="437"/>
      <c r="AM305" s="437"/>
      <c r="AN305" s="437"/>
      <c r="AO305" s="437"/>
      <c r="AP305" s="437"/>
      <c r="AQ305" s="1327"/>
      <c r="AR305" s="437"/>
      <c r="AS305" s="437"/>
      <c r="AT305" s="437"/>
      <c r="AU305" s="437"/>
      <c r="AV305" s="437"/>
      <c r="AW305" s="437"/>
      <c r="AX305" s="437"/>
      <c r="AY305" s="437"/>
      <c r="AZ305" s="437"/>
      <c r="BA305" s="437"/>
      <c r="BB305" s="1327"/>
      <c r="BC305" s="437"/>
      <c r="BD305" s="437"/>
      <c r="BE305" s="437"/>
      <c r="BF305" s="437"/>
      <c r="BG305" s="437"/>
      <c r="BH305" s="437"/>
      <c r="BI305" s="437"/>
      <c r="BJ305" s="437"/>
      <c r="BK305" s="437"/>
      <c r="BL305" s="437"/>
      <c r="BM305" s="1327"/>
      <c r="BN305" s="1327"/>
      <c r="BO305" s="1327"/>
      <c r="BP305" s="1327"/>
      <c r="BQ305" s="1327"/>
      <c r="BR305" s="1327"/>
      <c r="BS305" s="1327"/>
      <c r="BT305" s="1327"/>
      <c r="BU305" s="1327"/>
      <c r="BV305" s="1327"/>
      <c r="BW305" s="1327"/>
      <c r="BX305" s="1327"/>
      <c r="BY305" s="1327"/>
      <c r="BZ305" s="1327"/>
      <c r="CA305" s="1327"/>
      <c r="CB305" s="1327"/>
      <c r="CC305" s="1327"/>
      <c r="CD305" s="1327"/>
      <c r="CE305" s="1327"/>
      <c r="CF305" s="1327"/>
      <c r="CG305" s="1327"/>
      <c r="CH305" s="1327"/>
      <c r="CI305" s="1327"/>
      <c r="CJ305" s="1327"/>
      <c r="CK305" s="1327"/>
      <c r="CL305" s="1327"/>
      <c r="CM305" s="1327"/>
      <c r="CN305" s="1327"/>
      <c r="CO305" s="1327"/>
      <c r="CP305" s="1327"/>
      <c r="CQ305" s="1327"/>
      <c r="CR305" s="1327"/>
      <c r="CS305" s="1327"/>
      <c r="CT305" s="1317"/>
      <c r="CU305" s="1317"/>
      <c r="CV305" s="1317"/>
      <c r="CW305" s="1317"/>
      <c r="CX305" s="1317"/>
      <c r="CY305" s="1317"/>
      <c r="CZ305" s="1317"/>
      <c r="DA305" s="1317"/>
      <c r="DB305" s="1317"/>
      <c r="DC305" s="1317"/>
      <c r="DD305" s="1317"/>
      <c r="DE305" s="1317"/>
      <c r="DF305" s="1317"/>
      <c r="DG305" s="1317"/>
    </row>
    <row r="306" ht="18.75" customHeight="1">
      <c r="G306" s="1344"/>
      <c r="H306" s="1345">
        <f t="shared" si="4"/>
        <v>0</v>
      </c>
      <c r="I306" s="1381"/>
      <c r="J306" s="1381"/>
      <c r="K306" s="1381"/>
      <c r="L306" s="1381"/>
      <c r="M306" s="1381"/>
      <c r="N306" s="1381"/>
      <c r="O306" s="1381"/>
      <c r="P306" s="1381"/>
      <c r="Q306" s="1381"/>
      <c r="R306" s="1381"/>
      <c r="T306" s="1349"/>
      <c r="U306" s="1349" t="s">
        <v>123</v>
      </c>
      <c r="V306" s="1349" t="s">
        <v>123</v>
      </c>
      <c r="W306" s="1349"/>
      <c r="X306" s="1349"/>
      <c r="Y306" s="1308"/>
      <c r="Z306" s="437" t="str">
        <f>IFERROR(__xludf.DUMMYFUNCTION("IF(NOT('portfólio'!$AV$7),"""",IF($T306="""","""",IFERROR(query({AtivosDados},""select sum(""&amp;Z$3&amp;"") where Col1='""&amp;$T306&amp;""' label sum(""&amp;Z$3&amp;"") ''""),0)))"),"")</f>
        <v/>
      </c>
      <c r="AA306" s="437" t="str">
        <f>IFERROR(__xludf.DUMMYFUNCTION("IF(NOT('portfólio'!$AV$7),"""",IF($T306="""","""",IFERROR(query({AtivosDados},""select sum(""&amp;AA$3&amp;"") where Col1='""&amp;$T306&amp;""' label sum(""&amp;AA$3&amp;"") ''""),0)))"),"")</f>
        <v/>
      </c>
      <c r="AB306" s="437" t="str">
        <f>IFERROR(__xludf.DUMMYFUNCTION("IF(NOT('portfólio'!$AV$7),"""",IF($T306="""","""",IFERROR(query({AtivosDados},""select sum(""&amp;AB$3&amp;"") where Col1='""&amp;$T306&amp;""' label sum(""&amp;AB$3&amp;"") ''""),0)))"),"")</f>
        <v/>
      </c>
      <c r="AC306" s="437" t="str">
        <f>IFERROR(__xludf.DUMMYFUNCTION("IF(NOT('portfólio'!$AV$7),"""",IF($T306="""","""",IFERROR(query({AtivosDados},""select sum(""&amp;AC$3&amp;"") where Col1='""&amp;$T306&amp;""' label sum(""&amp;AC$3&amp;"") ''""),0)))"),"")</f>
        <v/>
      </c>
      <c r="AD306" s="437" t="str">
        <f>IFERROR(__xludf.DUMMYFUNCTION("IF(NOT('portfólio'!$AV$7),"""",IF($T306="""","""",IFERROR(query({AtivosDados},""select sum(""&amp;AD$3&amp;"") where Col1='""&amp;$T306&amp;""' label sum(""&amp;AD$3&amp;"") ''""),0)))"),"")</f>
        <v/>
      </c>
      <c r="AE306" s="437"/>
      <c r="AF306" s="1327"/>
      <c r="AG306" s="437"/>
      <c r="AH306" s="437"/>
      <c r="AI306" s="437"/>
      <c r="AJ306" s="437"/>
      <c r="AK306" s="437"/>
      <c r="AL306" s="437"/>
      <c r="AM306" s="437"/>
      <c r="AN306" s="437"/>
      <c r="AO306" s="437"/>
      <c r="AP306" s="437"/>
      <c r="AQ306" s="1327"/>
      <c r="AR306" s="437"/>
      <c r="AS306" s="437"/>
      <c r="AT306" s="437"/>
      <c r="AU306" s="437"/>
      <c r="AV306" s="437"/>
      <c r="AW306" s="437"/>
      <c r="AX306" s="437"/>
      <c r="AY306" s="437"/>
      <c r="AZ306" s="437"/>
      <c r="BA306" s="437"/>
      <c r="BB306" s="1327"/>
      <c r="BC306" s="437"/>
      <c r="BD306" s="437"/>
      <c r="BE306" s="437"/>
      <c r="BF306" s="437"/>
      <c r="BG306" s="437"/>
      <c r="BH306" s="437"/>
      <c r="BI306" s="437"/>
      <c r="BJ306" s="437"/>
      <c r="BK306" s="437"/>
      <c r="BL306" s="437"/>
      <c r="BM306" s="1327"/>
      <c r="BN306" s="1327"/>
      <c r="BO306" s="1327"/>
      <c r="BP306" s="1327"/>
      <c r="BQ306" s="1327"/>
      <c r="BR306" s="1327"/>
      <c r="BS306" s="1327"/>
      <c r="BT306" s="1327"/>
      <c r="BU306" s="1327"/>
      <c r="BV306" s="1327"/>
      <c r="BW306" s="1327"/>
      <c r="BX306" s="1327"/>
      <c r="BY306" s="1327"/>
      <c r="BZ306" s="1327"/>
      <c r="CA306" s="1327"/>
      <c r="CB306" s="1327"/>
      <c r="CC306" s="1327"/>
      <c r="CD306" s="1327"/>
      <c r="CE306" s="1327"/>
      <c r="CF306" s="1327"/>
      <c r="CG306" s="1327"/>
      <c r="CH306" s="1327"/>
      <c r="CI306" s="1327"/>
      <c r="CJ306" s="1327"/>
      <c r="CK306" s="1327"/>
      <c r="CL306" s="1327"/>
      <c r="CM306" s="1327"/>
      <c r="CN306" s="1327"/>
      <c r="CO306" s="1327"/>
      <c r="CP306" s="1327"/>
      <c r="CQ306" s="1327"/>
      <c r="CR306" s="1327"/>
      <c r="CS306" s="1327"/>
      <c r="CT306" s="1317"/>
      <c r="CU306" s="1317"/>
      <c r="CV306" s="1317"/>
      <c r="CW306" s="1317"/>
      <c r="CX306" s="1317"/>
      <c r="CY306" s="1317"/>
      <c r="CZ306" s="1317"/>
      <c r="DA306" s="1317"/>
      <c r="DB306" s="1317"/>
      <c r="DC306" s="1317"/>
      <c r="DD306" s="1317"/>
      <c r="DE306" s="1317"/>
      <c r="DF306" s="1317"/>
      <c r="DG306" s="1317"/>
    </row>
    <row r="307" ht="18.75" customHeight="1">
      <c r="G307" s="1344"/>
      <c r="H307" s="1345">
        <f t="shared" si="4"/>
        <v>0</v>
      </c>
      <c r="I307" s="1381"/>
      <c r="J307" s="1381"/>
      <c r="K307" s="1381"/>
      <c r="L307" s="1381"/>
      <c r="M307" s="1381"/>
      <c r="N307" s="1381"/>
      <c r="O307" s="1381"/>
      <c r="P307" s="1381"/>
      <c r="Q307" s="1381"/>
      <c r="R307" s="1381"/>
      <c r="T307" s="1349"/>
      <c r="U307" s="1349" t="s">
        <v>123</v>
      </c>
      <c r="V307" s="1349" t="s">
        <v>123</v>
      </c>
      <c r="W307" s="1349"/>
      <c r="X307" s="1349"/>
      <c r="Y307" s="1308"/>
      <c r="Z307" s="437" t="str">
        <f>IFERROR(__xludf.DUMMYFUNCTION("IF(NOT('portfólio'!$AV$7),"""",IF($T307="""","""",IFERROR(query({AtivosDados},""select sum(""&amp;Z$3&amp;"") where Col1='""&amp;$T307&amp;""' label sum(""&amp;Z$3&amp;"") ''""),0)))"),"")</f>
        <v/>
      </c>
      <c r="AA307" s="437" t="str">
        <f>IFERROR(__xludf.DUMMYFUNCTION("IF(NOT('portfólio'!$AV$7),"""",IF($T307="""","""",IFERROR(query({AtivosDados},""select sum(""&amp;AA$3&amp;"") where Col1='""&amp;$T307&amp;""' label sum(""&amp;AA$3&amp;"") ''""),0)))"),"")</f>
        <v/>
      </c>
      <c r="AB307" s="437" t="str">
        <f>IFERROR(__xludf.DUMMYFUNCTION("IF(NOT('portfólio'!$AV$7),"""",IF($T307="""","""",IFERROR(query({AtivosDados},""select sum(""&amp;AB$3&amp;"") where Col1='""&amp;$T307&amp;""' label sum(""&amp;AB$3&amp;"") ''""),0)))"),"")</f>
        <v/>
      </c>
      <c r="AC307" s="437" t="str">
        <f>IFERROR(__xludf.DUMMYFUNCTION("IF(NOT('portfólio'!$AV$7),"""",IF($T307="""","""",IFERROR(query({AtivosDados},""select sum(""&amp;AC$3&amp;"") where Col1='""&amp;$T307&amp;""' label sum(""&amp;AC$3&amp;"") ''""),0)))"),"")</f>
        <v/>
      </c>
      <c r="AD307" s="437" t="str">
        <f>IFERROR(__xludf.DUMMYFUNCTION("IF(NOT('portfólio'!$AV$7),"""",IF($T307="""","""",IFERROR(query({AtivosDados},""select sum(""&amp;AD$3&amp;"") where Col1='""&amp;$T307&amp;""' label sum(""&amp;AD$3&amp;"") ''""),0)))"),"")</f>
        <v/>
      </c>
      <c r="AE307" s="437"/>
      <c r="AF307" s="1327"/>
      <c r="AG307" s="437"/>
      <c r="AH307" s="437"/>
      <c r="AI307" s="437"/>
      <c r="AJ307" s="437"/>
      <c r="AK307" s="437"/>
      <c r="AL307" s="437"/>
      <c r="AM307" s="437"/>
      <c r="AN307" s="437"/>
      <c r="AO307" s="437"/>
      <c r="AP307" s="437"/>
      <c r="AQ307" s="1327"/>
      <c r="AR307" s="437"/>
      <c r="AS307" s="437"/>
      <c r="AT307" s="437"/>
      <c r="AU307" s="437"/>
      <c r="AV307" s="437"/>
      <c r="AW307" s="437"/>
      <c r="AX307" s="437"/>
      <c r="AY307" s="437"/>
      <c r="AZ307" s="437"/>
      <c r="BA307" s="437"/>
      <c r="BB307" s="1327"/>
      <c r="BC307" s="437"/>
      <c r="BD307" s="437"/>
      <c r="BE307" s="437"/>
      <c r="BF307" s="437"/>
      <c r="BG307" s="437"/>
      <c r="BH307" s="437"/>
      <c r="BI307" s="437"/>
      <c r="BJ307" s="437"/>
      <c r="BK307" s="437"/>
      <c r="BL307" s="437"/>
      <c r="BM307" s="1327"/>
      <c r="BN307" s="1327"/>
      <c r="BO307" s="1327"/>
      <c r="BP307" s="1327"/>
      <c r="BQ307" s="1327"/>
      <c r="BR307" s="1327"/>
      <c r="BS307" s="1327"/>
      <c r="BT307" s="1327"/>
      <c r="BU307" s="1327"/>
      <c r="BV307" s="1327"/>
      <c r="BW307" s="1327"/>
      <c r="BX307" s="1327"/>
      <c r="BY307" s="1327"/>
      <c r="BZ307" s="1327"/>
      <c r="CA307" s="1327"/>
      <c r="CB307" s="1327"/>
      <c r="CC307" s="1327"/>
      <c r="CD307" s="1327"/>
      <c r="CE307" s="1327"/>
      <c r="CF307" s="1327"/>
      <c r="CG307" s="1327"/>
      <c r="CH307" s="1327"/>
      <c r="CI307" s="1327"/>
      <c r="CJ307" s="1327"/>
      <c r="CK307" s="1327"/>
      <c r="CL307" s="1327"/>
      <c r="CM307" s="1327"/>
      <c r="CN307" s="1327"/>
      <c r="CO307" s="1327"/>
      <c r="CP307" s="1327"/>
      <c r="CQ307" s="1327"/>
      <c r="CR307" s="1327"/>
      <c r="CS307" s="1327"/>
      <c r="CT307" s="1317"/>
      <c r="CU307" s="1317"/>
      <c r="CV307" s="1317"/>
      <c r="CW307" s="1317"/>
      <c r="CX307" s="1317"/>
      <c r="CY307" s="1317"/>
      <c r="CZ307" s="1317"/>
      <c r="DA307" s="1317"/>
      <c r="DB307" s="1317"/>
      <c r="DC307" s="1317"/>
      <c r="DD307" s="1317"/>
      <c r="DE307" s="1317"/>
      <c r="DF307" s="1317"/>
      <c r="DG307" s="1317"/>
    </row>
    <row r="308" ht="18.75" customHeight="1">
      <c r="G308" s="1344"/>
      <c r="H308" s="1345">
        <f t="shared" si="4"/>
        <v>0</v>
      </c>
      <c r="I308" s="1381"/>
      <c r="J308" s="1381"/>
      <c r="K308" s="1381"/>
      <c r="L308" s="1381"/>
      <c r="M308" s="1381"/>
      <c r="N308" s="1381"/>
      <c r="O308" s="1381"/>
      <c r="P308" s="1381"/>
      <c r="Q308" s="1381"/>
      <c r="R308" s="1381"/>
      <c r="T308" s="1349"/>
      <c r="U308" s="1349" t="s">
        <v>123</v>
      </c>
      <c r="V308" s="1349" t="s">
        <v>123</v>
      </c>
      <c r="W308" s="1349"/>
      <c r="X308" s="1349"/>
      <c r="Y308" s="1308"/>
      <c r="Z308" s="437" t="str">
        <f>IFERROR(__xludf.DUMMYFUNCTION("IF(NOT('portfólio'!$AV$7),"""",IF($T308="""","""",IFERROR(query({AtivosDados},""select sum(""&amp;Z$3&amp;"") where Col1='""&amp;$T308&amp;""' label sum(""&amp;Z$3&amp;"") ''""),0)))"),"")</f>
        <v/>
      </c>
      <c r="AA308" s="437" t="str">
        <f>IFERROR(__xludf.DUMMYFUNCTION("IF(NOT('portfólio'!$AV$7),"""",IF($T308="""","""",IFERROR(query({AtivosDados},""select sum(""&amp;AA$3&amp;"") where Col1='""&amp;$T308&amp;""' label sum(""&amp;AA$3&amp;"") ''""),0)))"),"")</f>
        <v/>
      </c>
      <c r="AB308" s="437" t="str">
        <f>IFERROR(__xludf.DUMMYFUNCTION("IF(NOT('portfólio'!$AV$7),"""",IF($T308="""","""",IFERROR(query({AtivosDados},""select sum(""&amp;AB$3&amp;"") where Col1='""&amp;$T308&amp;""' label sum(""&amp;AB$3&amp;"") ''""),0)))"),"")</f>
        <v/>
      </c>
      <c r="AC308" s="437" t="str">
        <f>IFERROR(__xludf.DUMMYFUNCTION("IF(NOT('portfólio'!$AV$7),"""",IF($T308="""","""",IFERROR(query({AtivosDados},""select sum(""&amp;AC$3&amp;"") where Col1='""&amp;$T308&amp;""' label sum(""&amp;AC$3&amp;"") ''""),0)))"),"")</f>
        <v/>
      </c>
      <c r="AD308" s="437" t="str">
        <f>IFERROR(__xludf.DUMMYFUNCTION("IF(NOT('portfólio'!$AV$7),"""",IF($T308="""","""",IFERROR(query({AtivosDados},""select sum(""&amp;AD$3&amp;"") where Col1='""&amp;$T308&amp;""' label sum(""&amp;AD$3&amp;"") ''""),0)))"),"")</f>
        <v/>
      </c>
      <c r="AE308" s="437"/>
      <c r="AF308" s="1327"/>
      <c r="AG308" s="437"/>
      <c r="AH308" s="437"/>
      <c r="AI308" s="437"/>
      <c r="AJ308" s="437"/>
      <c r="AK308" s="437"/>
      <c r="AL308" s="437"/>
      <c r="AM308" s="437"/>
      <c r="AN308" s="437"/>
      <c r="AO308" s="437"/>
      <c r="AP308" s="437"/>
      <c r="AQ308" s="1327"/>
      <c r="AR308" s="437"/>
      <c r="AS308" s="437"/>
      <c r="AT308" s="437"/>
      <c r="AU308" s="437"/>
      <c r="AV308" s="437"/>
      <c r="AW308" s="437"/>
      <c r="AX308" s="437"/>
      <c r="AY308" s="437"/>
      <c r="AZ308" s="437"/>
      <c r="BA308" s="437"/>
      <c r="BB308" s="1327"/>
      <c r="BC308" s="437"/>
      <c r="BD308" s="437"/>
      <c r="BE308" s="437"/>
      <c r="BF308" s="437"/>
      <c r="BG308" s="437"/>
      <c r="BH308" s="437"/>
      <c r="BI308" s="437"/>
      <c r="BJ308" s="437"/>
      <c r="BK308" s="437"/>
      <c r="BL308" s="437"/>
      <c r="BM308" s="1327"/>
      <c r="BN308" s="1327"/>
      <c r="BO308" s="1327"/>
      <c r="BP308" s="1327"/>
      <c r="BQ308" s="1327"/>
      <c r="BR308" s="1327"/>
      <c r="BS308" s="1327"/>
      <c r="BT308" s="1327"/>
      <c r="BU308" s="1327"/>
      <c r="BV308" s="1327"/>
      <c r="BW308" s="1327"/>
      <c r="BX308" s="1327"/>
      <c r="BY308" s="1327"/>
      <c r="BZ308" s="1327"/>
      <c r="CA308" s="1327"/>
      <c r="CB308" s="1327"/>
      <c r="CC308" s="1327"/>
      <c r="CD308" s="1327"/>
      <c r="CE308" s="1327"/>
      <c r="CF308" s="1327"/>
      <c r="CG308" s="1327"/>
      <c r="CH308" s="1327"/>
      <c r="CI308" s="1327"/>
      <c r="CJ308" s="1327"/>
      <c r="CK308" s="1327"/>
      <c r="CL308" s="1327"/>
      <c r="CM308" s="1327"/>
      <c r="CN308" s="1327"/>
      <c r="CO308" s="1327"/>
      <c r="CP308" s="1327"/>
      <c r="CQ308" s="1327"/>
      <c r="CR308" s="1327"/>
      <c r="CS308" s="1327"/>
      <c r="CT308" s="1317"/>
      <c r="CU308" s="1317"/>
      <c r="CV308" s="1317"/>
      <c r="CW308" s="1317"/>
      <c r="CX308" s="1317"/>
      <c r="CY308" s="1317"/>
      <c r="CZ308" s="1317"/>
      <c r="DA308" s="1317"/>
      <c r="DB308" s="1317"/>
      <c r="DC308" s="1317"/>
      <c r="DD308" s="1317"/>
      <c r="DE308" s="1317"/>
      <c r="DF308" s="1317"/>
      <c r="DG308" s="1317"/>
    </row>
    <row r="309" ht="18.75" customHeight="1">
      <c r="G309" s="1344"/>
      <c r="H309" s="1345">
        <f t="shared" si="4"/>
        <v>0</v>
      </c>
      <c r="I309" s="1381"/>
      <c r="J309" s="1381"/>
      <c r="K309" s="1381"/>
      <c r="L309" s="1381"/>
      <c r="M309" s="1381"/>
      <c r="N309" s="1381"/>
      <c r="O309" s="1381"/>
      <c r="P309" s="1381"/>
      <c r="Q309" s="1381"/>
      <c r="R309" s="1381"/>
      <c r="T309" s="1349"/>
      <c r="U309" s="1349" t="s">
        <v>123</v>
      </c>
      <c r="V309" s="1349" t="s">
        <v>123</v>
      </c>
      <c r="W309" s="1349"/>
      <c r="X309" s="1349"/>
      <c r="Y309" s="1308"/>
      <c r="Z309" s="437" t="str">
        <f>IFERROR(__xludf.DUMMYFUNCTION("IF(NOT('portfólio'!$AV$7),"""",IF($T309="""","""",IFERROR(query({AtivosDados},""select sum(""&amp;Z$3&amp;"") where Col1='""&amp;$T309&amp;""' label sum(""&amp;Z$3&amp;"") ''""),0)))"),"")</f>
        <v/>
      </c>
      <c r="AA309" s="437" t="str">
        <f>IFERROR(__xludf.DUMMYFUNCTION("IF(NOT('portfólio'!$AV$7),"""",IF($T309="""","""",IFERROR(query({AtivosDados},""select sum(""&amp;AA$3&amp;"") where Col1='""&amp;$T309&amp;""' label sum(""&amp;AA$3&amp;"") ''""),0)))"),"")</f>
        <v/>
      </c>
      <c r="AB309" s="437" t="str">
        <f>IFERROR(__xludf.DUMMYFUNCTION("IF(NOT('portfólio'!$AV$7),"""",IF($T309="""","""",IFERROR(query({AtivosDados},""select sum(""&amp;AB$3&amp;"") where Col1='""&amp;$T309&amp;""' label sum(""&amp;AB$3&amp;"") ''""),0)))"),"")</f>
        <v/>
      </c>
      <c r="AC309" s="437" t="str">
        <f>IFERROR(__xludf.DUMMYFUNCTION("IF(NOT('portfólio'!$AV$7),"""",IF($T309="""","""",IFERROR(query({AtivosDados},""select sum(""&amp;AC$3&amp;"") where Col1='""&amp;$T309&amp;""' label sum(""&amp;AC$3&amp;"") ''""),0)))"),"")</f>
        <v/>
      </c>
      <c r="AD309" s="437" t="str">
        <f>IFERROR(__xludf.DUMMYFUNCTION("IF(NOT('portfólio'!$AV$7),"""",IF($T309="""","""",IFERROR(query({AtivosDados},""select sum(""&amp;AD$3&amp;"") where Col1='""&amp;$T309&amp;""' label sum(""&amp;AD$3&amp;"") ''""),0)))"),"")</f>
        <v/>
      </c>
      <c r="AE309" s="437"/>
      <c r="AF309" s="1327"/>
      <c r="AG309" s="437"/>
      <c r="AH309" s="437"/>
      <c r="AI309" s="437"/>
      <c r="AJ309" s="437"/>
      <c r="AK309" s="437"/>
      <c r="AL309" s="437"/>
      <c r="AM309" s="437"/>
      <c r="AN309" s="437"/>
      <c r="AO309" s="437"/>
      <c r="AP309" s="437"/>
      <c r="AQ309" s="1327"/>
      <c r="AR309" s="437"/>
      <c r="AS309" s="437"/>
      <c r="AT309" s="437"/>
      <c r="AU309" s="437"/>
      <c r="AV309" s="437"/>
      <c r="AW309" s="437"/>
      <c r="AX309" s="437"/>
      <c r="AY309" s="437"/>
      <c r="AZ309" s="437"/>
      <c r="BA309" s="437"/>
      <c r="BB309" s="1327"/>
      <c r="BC309" s="437"/>
      <c r="BD309" s="437"/>
      <c r="BE309" s="437"/>
      <c r="BF309" s="437"/>
      <c r="BG309" s="437"/>
      <c r="BH309" s="437"/>
      <c r="BI309" s="437"/>
      <c r="BJ309" s="437"/>
      <c r="BK309" s="437"/>
      <c r="BL309" s="437"/>
      <c r="BM309" s="1327"/>
      <c r="BN309" s="1327"/>
      <c r="BO309" s="1327"/>
      <c r="BP309" s="1327"/>
      <c r="BQ309" s="1327"/>
      <c r="BR309" s="1327"/>
      <c r="BS309" s="1327"/>
      <c r="BT309" s="1327"/>
      <c r="BU309" s="1327"/>
      <c r="BV309" s="1327"/>
      <c r="BW309" s="1327"/>
      <c r="BX309" s="1327"/>
      <c r="BY309" s="1327"/>
      <c r="BZ309" s="1327"/>
      <c r="CA309" s="1327"/>
      <c r="CB309" s="1327"/>
      <c r="CC309" s="1327"/>
      <c r="CD309" s="1327"/>
      <c r="CE309" s="1327"/>
      <c r="CF309" s="1327"/>
      <c r="CG309" s="1327"/>
      <c r="CH309" s="1327"/>
      <c r="CI309" s="1327"/>
      <c r="CJ309" s="1327"/>
      <c r="CK309" s="1327"/>
      <c r="CL309" s="1327"/>
      <c r="CM309" s="1327"/>
      <c r="CN309" s="1327"/>
      <c r="CO309" s="1327"/>
      <c r="CP309" s="1327"/>
      <c r="CQ309" s="1327"/>
      <c r="CR309" s="1327"/>
      <c r="CS309" s="1327"/>
      <c r="CT309" s="1317"/>
      <c r="CU309" s="1317"/>
      <c r="CV309" s="1317"/>
      <c r="CW309" s="1317"/>
      <c r="CX309" s="1317"/>
      <c r="CY309" s="1317"/>
      <c r="CZ309" s="1317"/>
      <c r="DA309" s="1317"/>
      <c r="DB309" s="1317"/>
      <c r="DC309" s="1317"/>
      <c r="DD309" s="1317"/>
      <c r="DE309" s="1317"/>
      <c r="DF309" s="1317"/>
      <c r="DG309" s="1317"/>
    </row>
    <row r="310" ht="18.75" customHeight="1">
      <c r="G310" s="1344"/>
      <c r="H310" s="1345">
        <f t="shared" si="4"/>
        <v>0</v>
      </c>
      <c r="I310" s="1381"/>
      <c r="J310" s="1381"/>
      <c r="K310" s="1381"/>
      <c r="L310" s="1381"/>
      <c r="M310" s="1381"/>
      <c r="N310" s="1381"/>
      <c r="O310" s="1381"/>
      <c r="P310" s="1381"/>
      <c r="Q310" s="1381"/>
      <c r="R310" s="1381"/>
      <c r="T310" s="1349"/>
      <c r="U310" s="1349" t="s">
        <v>123</v>
      </c>
      <c r="V310" s="1349" t="s">
        <v>123</v>
      </c>
      <c r="W310" s="1349"/>
      <c r="X310" s="1349"/>
      <c r="Y310" s="1308"/>
      <c r="Z310" s="437" t="str">
        <f>IFERROR(__xludf.DUMMYFUNCTION("IF(NOT('portfólio'!$AV$7),"""",IF($T310="""","""",IFERROR(query({AtivosDados},""select sum(""&amp;Z$3&amp;"") where Col1='""&amp;$T310&amp;""' label sum(""&amp;Z$3&amp;"") ''""),0)))"),"")</f>
        <v/>
      </c>
      <c r="AA310" s="437" t="str">
        <f>IFERROR(__xludf.DUMMYFUNCTION("IF(NOT('portfólio'!$AV$7),"""",IF($T310="""","""",IFERROR(query({AtivosDados},""select sum(""&amp;AA$3&amp;"") where Col1='""&amp;$T310&amp;""' label sum(""&amp;AA$3&amp;"") ''""),0)))"),"")</f>
        <v/>
      </c>
      <c r="AB310" s="437" t="str">
        <f>IFERROR(__xludf.DUMMYFUNCTION("IF(NOT('portfólio'!$AV$7),"""",IF($T310="""","""",IFERROR(query({AtivosDados},""select sum(""&amp;AB$3&amp;"") where Col1='""&amp;$T310&amp;""' label sum(""&amp;AB$3&amp;"") ''""),0)))"),"")</f>
        <v/>
      </c>
      <c r="AC310" s="437" t="str">
        <f>IFERROR(__xludf.DUMMYFUNCTION("IF(NOT('portfólio'!$AV$7),"""",IF($T310="""","""",IFERROR(query({AtivosDados},""select sum(""&amp;AC$3&amp;"") where Col1='""&amp;$T310&amp;""' label sum(""&amp;AC$3&amp;"") ''""),0)))"),"")</f>
        <v/>
      </c>
      <c r="AD310" s="437" t="str">
        <f>IFERROR(__xludf.DUMMYFUNCTION("IF(NOT('portfólio'!$AV$7),"""",IF($T310="""","""",IFERROR(query({AtivosDados},""select sum(""&amp;AD$3&amp;"") where Col1='""&amp;$T310&amp;""' label sum(""&amp;AD$3&amp;"") ''""),0)))"),"")</f>
        <v/>
      </c>
      <c r="AE310" s="437"/>
      <c r="AF310" s="1327"/>
      <c r="AG310" s="437"/>
      <c r="AH310" s="437"/>
      <c r="AI310" s="437"/>
      <c r="AJ310" s="437"/>
      <c r="AK310" s="437"/>
      <c r="AL310" s="437"/>
      <c r="AM310" s="437"/>
      <c r="AN310" s="437"/>
      <c r="AO310" s="437"/>
      <c r="AP310" s="437"/>
      <c r="AQ310" s="1327"/>
      <c r="AR310" s="437"/>
      <c r="AS310" s="437"/>
      <c r="AT310" s="437"/>
      <c r="AU310" s="437"/>
      <c r="AV310" s="437"/>
      <c r="AW310" s="437"/>
      <c r="AX310" s="437"/>
      <c r="AY310" s="437"/>
      <c r="AZ310" s="437"/>
      <c r="BA310" s="437"/>
      <c r="BB310" s="1327"/>
      <c r="BC310" s="437"/>
      <c r="BD310" s="437"/>
      <c r="BE310" s="437"/>
      <c r="BF310" s="437"/>
      <c r="BG310" s="437"/>
      <c r="BH310" s="437"/>
      <c r="BI310" s="437"/>
      <c r="BJ310" s="437"/>
      <c r="BK310" s="437"/>
      <c r="BL310" s="437"/>
      <c r="BM310" s="1327"/>
      <c r="BN310" s="1327"/>
      <c r="BO310" s="1327"/>
      <c r="BP310" s="1327"/>
      <c r="BQ310" s="1327"/>
      <c r="BR310" s="1327"/>
      <c r="BS310" s="1327"/>
      <c r="BT310" s="1327"/>
      <c r="BU310" s="1327"/>
      <c r="BV310" s="1327"/>
      <c r="BW310" s="1327"/>
      <c r="BX310" s="1327"/>
      <c r="BY310" s="1327"/>
      <c r="BZ310" s="1327"/>
      <c r="CA310" s="1327"/>
      <c r="CB310" s="1327"/>
      <c r="CC310" s="1327"/>
      <c r="CD310" s="1327"/>
      <c r="CE310" s="1327"/>
      <c r="CF310" s="1327"/>
      <c r="CG310" s="1327"/>
      <c r="CH310" s="1327"/>
      <c r="CI310" s="1327"/>
      <c r="CJ310" s="1327"/>
      <c r="CK310" s="1327"/>
      <c r="CL310" s="1327"/>
      <c r="CM310" s="1327"/>
      <c r="CN310" s="1327"/>
      <c r="CO310" s="1327"/>
      <c r="CP310" s="1327"/>
      <c r="CQ310" s="1327"/>
      <c r="CR310" s="1327"/>
      <c r="CS310" s="1327"/>
      <c r="CT310" s="1317"/>
      <c r="CU310" s="1317"/>
      <c r="CV310" s="1317"/>
      <c r="CW310" s="1317"/>
      <c r="CX310" s="1317"/>
      <c r="CY310" s="1317"/>
      <c r="CZ310" s="1317"/>
      <c r="DA310" s="1317"/>
      <c r="DB310" s="1317"/>
      <c r="DC310" s="1317"/>
      <c r="DD310" s="1317"/>
      <c r="DE310" s="1317"/>
      <c r="DF310" s="1317"/>
      <c r="DG310" s="1317"/>
    </row>
    <row r="311" ht="18.75" customHeight="1">
      <c r="G311" s="1344"/>
      <c r="H311" s="1345">
        <f t="shared" si="4"/>
        <v>0</v>
      </c>
      <c r="I311" s="1381"/>
      <c r="J311" s="1381"/>
      <c r="K311" s="1381"/>
      <c r="L311" s="1381"/>
      <c r="M311" s="1381"/>
      <c r="N311" s="1381"/>
      <c r="O311" s="1381"/>
      <c r="P311" s="1381"/>
      <c r="Q311" s="1381"/>
      <c r="R311" s="1381"/>
      <c r="T311" s="1349"/>
      <c r="U311" s="1349" t="s">
        <v>123</v>
      </c>
      <c r="V311" s="1349" t="s">
        <v>123</v>
      </c>
      <c r="W311" s="1349"/>
      <c r="X311" s="1349"/>
      <c r="Y311" s="1308"/>
      <c r="Z311" s="437" t="str">
        <f>IFERROR(__xludf.DUMMYFUNCTION("IF(NOT('portfólio'!$AV$7),"""",IF($T311="""","""",IFERROR(query({AtivosDados},""select sum(""&amp;Z$3&amp;"") where Col1='""&amp;$T311&amp;""' label sum(""&amp;Z$3&amp;"") ''""),0)))"),"")</f>
        <v/>
      </c>
      <c r="AA311" s="437" t="str">
        <f>IFERROR(__xludf.DUMMYFUNCTION("IF(NOT('portfólio'!$AV$7),"""",IF($T311="""","""",IFERROR(query({AtivosDados},""select sum(""&amp;AA$3&amp;"") where Col1='""&amp;$T311&amp;""' label sum(""&amp;AA$3&amp;"") ''""),0)))"),"")</f>
        <v/>
      </c>
      <c r="AB311" s="437" t="str">
        <f>IFERROR(__xludf.DUMMYFUNCTION("IF(NOT('portfólio'!$AV$7),"""",IF($T311="""","""",IFERROR(query({AtivosDados},""select sum(""&amp;AB$3&amp;"") where Col1='""&amp;$T311&amp;""' label sum(""&amp;AB$3&amp;"") ''""),0)))"),"")</f>
        <v/>
      </c>
      <c r="AC311" s="437" t="str">
        <f>IFERROR(__xludf.DUMMYFUNCTION("IF(NOT('portfólio'!$AV$7),"""",IF($T311="""","""",IFERROR(query({AtivosDados},""select sum(""&amp;AC$3&amp;"") where Col1='""&amp;$T311&amp;""' label sum(""&amp;AC$3&amp;"") ''""),0)))"),"")</f>
        <v/>
      </c>
      <c r="AD311" s="437" t="str">
        <f>IFERROR(__xludf.DUMMYFUNCTION("IF(NOT('portfólio'!$AV$7),"""",IF($T311="""","""",IFERROR(query({AtivosDados},""select sum(""&amp;AD$3&amp;"") where Col1='""&amp;$T311&amp;""' label sum(""&amp;AD$3&amp;"") ''""),0)))"),"")</f>
        <v/>
      </c>
      <c r="AE311" s="437"/>
      <c r="AF311" s="1327"/>
      <c r="AG311" s="437"/>
      <c r="AH311" s="437"/>
      <c r="AI311" s="437"/>
      <c r="AJ311" s="437"/>
      <c r="AK311" s="437"/>
      <c r="AL311" s="437"/>
      <c r="AM311" s="437"/>
      <c r="AN311" s="437"/>
      <c r="AO311" s="437"/>
      <c r="AP311" s="437"/>
      <c r="AQ311" s="1327"/>
      <c r="AR311" s="437"/>
      <c r="AS311" s="437"/>
      <c r="AT311" s="437"/>
      <c r="AU311" s="437"/>
      <c r="AV311" s="437"/>
      <c r="AW311" s="437"/>
      <c r="AX311" s="437"/>
      <c r="AY311" s="437"/>
      <c r="AZ311" s="437"/>
      <c r="BA311" s="437"/>
      <c r="BB311" s="1327"/>
      <c r="BC311" s="437"/>
      <c r="BD311" s="437"/>
      <c r="BE311" s="437"/>
      <c r="BF311" s="437"/>
      <c r="BG311" s="437"/>
      <c r="BH311" s="437"/>
      <c r="BI311" s="437"/>
      <c r="BJ311" s="437"/>
      <c r="BK311" s="437"/>
      <c r="BL311" s="437"/>
      <c r="BM311" s="1327"/>
      <c r="BN311" s="1327"/>
      <c r="BO311" s="1327"/>
      <c r="BP311" s="1327"/>
      <c r="BQ311" s="1327"/>
      <c r="BR311" s="1327"/>
      <c r="BS311" s="1327"/>
      <c r="BT311" s="1327"/>
      <c r="BU311" s="1327"/>
      <c r="BV311" s="1327"/>
      <c r="BW311" s="1327"/>
      <c r="BX311" s="1327"/>
      <c r="BY311" s="1327"/>
      <c r="BZ311" s="1327"/>
      <c r="CA311" s="1327"/>
      <c r="CB311" s="1327"/>
      <c r="CC311" s="1327"/>
      <c r="CD311" s="1327"/>
      <c r="CE311" s="1327"/>
      <c r="CF311" s="1327"/>
      <c r="CG311" s="1327"/>
      <c r="CH311" s="1327"/>
      <c r="CI311" s="1327"/>
      <c r="CJ311" s="1327"/>
      <c r="CK311" s="1327"/>
      <c r="CL311" s="1327"/>
      <c r="CM311" s="1327"/>
      <c r="CN311" s="1327"/>
      <c r="CO311" s="1327"/>
      <c r="CP311" s="1327"/>
      <c r="CQ311" s="1327"/>
      <c r="CR311" s="1327"/>
      <c r="CS311" s="1327"/>
      <c r="CT311" s="1317"/>
      <c r="CU311" s="1317"/>
      <c r="CV311" s="1317"/>
      <c r="CW311" s="1317"/>
      <c r="CX311" s="1317"/>
      <c r="CY311" s="1317"/>
      <c r="CZ311" s="1317"/>
      <c r="DA311" s="1317"/>
      <c r="DB311" s="1317"/>
      <c r="DC311" s="1317"/>
      <c r="DD311" s="1317"/>
      <c r="DE311" s="1317"/>
      <c r="DF311" s="1317"/>
      <c r="DG311" s="1317"/>
    </row>
    <row r="312" ht="18.75" customHeight="1">
      <c r="G312" s="1344"/>
      <c r="H312" s="1345">
        <f t="shared" si="4"/>
        <v>0</v>
      </c>
      <c r="I312" s="1381"/>
      <c r="J312" s="1381"/>
      <c r="K312" s="1381"/>
      <c r="L312" s="1381"/>
      <c r="M312" s="1381"/>
      <c r="N312" s="1381"/>
      <c r="O312" s="1381"/>
      <c r="P312" s="1381"/>
      <c r="Q312" s="1381"/>
      <c r="R312" s="1381"/>
      <c r="T312" s="1349"/>
      <c r="U312" s="1349" t="s">
        <v>123</v>
      </c>
      <c r="V312" s="1349" t="s">
        <v>123</v>
      </c>
      <c r="W312" s="1349"/>
      <c r="X312" s="1349"/>
      <c r="Y312" s="1308"/>
      <c r="Z312" s="437" t="str">
        <f>IFERROR(__xludf.DUMMYFUNCTION("IF(NOT('portfólio'!$AV$7),"""",IF($T312="""","""",IFERROR(query({AtivosDados},""select sum(""&amp;Z$3&amp;"") where Col1='""&amp;$T312&amp;""' label sum(""&amp;Z$3&amp;"") ''""),0)))"),"")</f>
        <v/>
      </c>
      <c r="AA312" s="437" t="str">
        <f>IFERROR(__xludf.DUMMYFUNCTION("IF(NOT('portfólio'!$AV$7),"""",IF($T312="""","""",IFERROR(query({AtivosDados},""select sum(""&amp;AA$3&amp;"") where Col1='""&amp;$T312&amp;""' label sum(""&amp;AA$3&amp;"") ''""),0)))"),"")</f>
        <v/>
      </c>
      <c r="AB312" s="437" t="str">
        <f>IFERROR(__xludf.DUMMYFUNCTION("IF(NOT('portfólio'!$AV$7),"""",IF($T312="""","""",IFERROR(query({AtivosDados},""select sum(""&amp;AB$3&amp;"") where Col1='""&amp;$T312&amp;""' label sum(""&amp;AB$3&amp;"") ''""),0)))"),"")</f>
        <v/>
      </c>
      <c r="AC312" s="437" t="str">
        <f>IFERROR(__xludf.DUMMYFUNCTION("IF(NOT('portfólio'!$AV$7),"""",IF($T312="""","""",IFERROR(query({AtivosDados},""select sum(""&amp;AC$3&amp;"") where Col1='""&amp;$T312&amp;""' label sum(""&amp;AC$3&amp;"") ''""),0)))"),"")</f>
        <v/>
      </c>
      <c r="AD312" s="437" t="str">
        <f>IFERROR(__xludf.DUMMYFUNCTION("IF(NOT('portfólio'!$AV$7),"""",IF($T312="""","""",IFERROR(query({AtivosDados},""select sum(""&amp;AD$3&amp;"") where Col1='""&amp;$T312&amp;""' label sum(""&amp;AD$3&amp;"") ''""),0)))"),"")</f>
        <v/>
      </c>
      <c r="AE312" s="437"/>
      <c r="AF312" s="1327"/>
      <c r="AG312" s="437"/>
      <c r="AH312" s="437"/>
      <c r="AI312" s="437"/>
      <c r="AJ312" s="437"/>
      <c r="AK312" s="437"/>
      <c r="AL312" s="437"/>
      <c r="AM312" s="437"/>
      <c r="AN312" s="437"/>
      <c r="AO312" s="437"/>
      <c r="AP312" s="437"/>
      <c r="AQ312" s="1327"/>
      <c r="AR312" s="437"/>
      <c r="AS312" s="437"/>
      <c r="AT312" s="437"/>
      <c r="AU312" s="437"/>
      <c r="AV312" s="437"/>
      <c r="AW312" s="437"/>
      <c r="AX312" s="437"/>
      <c r="AY312" s="437"/>
      <c r="AZ312" s="437"/>
      <c r="BA312" s="437"/>
      <c r="BB312" s="1327"/>
      <c r="BC312" s="437"/>
      <c r="BD312" s="437"/>
      <c r="BE312" s="437"/>
      <c r="BF312" s="437"/>
      <c r="BG312" s="437"/>
      <c r="BH312" s="437"/>
      <c r="BI312" s="437"/>
      <c r="BJ312" s="437"/>
      <c r="BK312" s="437"/>
      <c r="BL312" s="437"/>
      <c r="BM312" s="1327"/>
      <c r="BN312" s="1327"/>
      <c r="BO312" s="1327"/>
      <c r="BP312" s="1327"/>
      <c r="BQ312" s="1327"/>
      <c r="BR312" s="1327"/>
      <c r="BS312" s="1327"/>
      <c r="BT312" s="1327"/>
      <c r="BU312" s="1327"/>
      <c r="BV312" s="1327"/>
      <c r="BW312" s="1327"/>
      <c r="BX312" s="1327"/>
      <c r="BY312" s="1327"/>
      <c r="BZ312" s="1327"/>
      <c r="CA312" s="1327"/>
      <c r="CB312" s="1327"/>
      <c r="CC312" s="1327"/>
      <c r="CD312" s="1327"/>
      <c r="CE312" s="1327"/>
      <c r="CF312" s="1327"/>
      <c r="CG312" s="1327"/>
      <c r="CH312" s="1327"/>
      <c r="CI312" s="1327"/>
      <c r="CJ312" s="1327"/>
      <c r="CK312" s="1327"/>
      <c r="CL312" s="1327"/>
      <c r="CM312" s="1327"/>
      <c r="CN312" s="1327"/>
      <c r="CO312" s="1327"/>
      <c r="CP312" s="1327"/>
      <c r="CQ312" s="1327"/>
      <c r="CR312" s="1327"/>
      <c r="CS312" s="1327"/>
      <c r="CT312" s="1317"/>
      <c r="CU312" s="1317"/>
      <c r="CV312" s="1317"/>
      <c r="CW312" s="1317"/>
      <c r="CX312" s="1317"/>
      <c r="CY312" s="1317"/>
      <c r="CZ312" s="1317"/>
      <c r="DA312" s="1317"/>
      <c r="DB312" s="1317"/>
      <c r="DC312" s="1317"/>
      <c r="DD312" s="1317"/>
      <c r="DE312" s="1317"/>
      <c r="DF312" s="1317"/>
      <c r="DG312" s="1317"/>
    </row>
    <row r="313" ht="18.75" customHeight="1">
      <c r="G313" s="1344"/>
      <c r="H313" s="1345">
        <f t="shared" si="4"/>
        <v>0</v>
      </c>
      <c r="I313" s="1381"/>
      <c r="J313" s="1381"/>
      <c r="K313" s="1381"/>
      <c r="L313" s="1381"/>
      <c r="M313" s="1381"/>
      <c r="N313" s="1381"/>
      <c r="O313" s="1381"/>
      <c r="P313" s="1381"/>
      <c r="Q313" s="1381"/>
      <c r="R313" s="1381"/>
      <c r="T313" s="1349"/>
      <c r="U313" s="1349" t="s">
        <v>123</v>
      </c>
      <c r="V313" s="1349" t="s">
        <v>123</v>
      </c>
      <c r="W313" s="1349"/>
      <c r="X313" s="1349"/>
      <c r="Y313" s="1308"/>
      <c r="Z313" s="437" t="str">
        <f>IFERROR(__xludf.DUMMYFUNCTION("IF(NOT('portfólio'!$AV$7),"""",IF($T313="""","""",IFERROR(query({AtivosDados},""select sum(""&amp;Z$3&amp;"") where Col1='""&amp;$T313&amp;""' label sum(""&amp;Z$3&amp;"") ''""),0)))"),"")</f>
        <v/>
      </c>
      <c r="AA313" s="437" t="str">
        <f>IFERROR(__xludf.DUMMYFUNCTION("IF(NOT('portfólio'!$AV$7),"""",IF($T313="""","""",IFERROR(query({AtivosDados},""select sum(""&amp;AA$3&amp;"") where Col1='""&amp;$T313&amp;""' label sum(""&amp;AA$3&amp;"") ''""),0)))"),"")</f>
        <v/>
      </c>
      <c r="AB313" s="437" t="str">
        <f>IFERROR(__xludf.DUMMYFUNCTION("IF(NOT('portfólio'!$AV$7),"""",IF($T313="""","""",IFERROR(query({AtivosDados},""select sum(""&amp;AB$3&amp;"") where Col1='""&amp;$T313&amp;""' label sum(""&amp;AB$3&amp;"") ''""),0)))"),"")</f>
        <v/>
      </c>
      <c r="AC313" s="437" t="str">
        <f>IFERROR(__xludf.DUMMYFUNCTION("IF(NOT('portfólio'!$AV$7),"""",IF($T313="""","""",IFERROR(query({AtivosDados},""select sum(""&amp;AC$3&amp;"") where Col1='""&amp;$T313&amp;""' label sum(""&amp;AC$3&amp;"") ''""),0)))"),"")</f>
        <v/>
      </c>
      <c r="AD313" s="437" t="str">
        <f>IFERROR(__xludf.DUMMYFUNCTION("IF(NOT('portfólio'!$AV$7),"""",IF($T313="""","""",IFERROR(query({AtivosDados},""select sum(""&amp;AD$3&amp;"") where Col1='""&amp;$T313&amp;""' label sum(""&amp;AD$3&amp;"") ''""),0)))"),"")</f>
        <v/>
      </c>
      <c r="AE313" s="437"/>
      <c r="AF313" s="1327"/>
      <c r="AG313" s="437"/>
      <c r="AH313" s="437"/>
      <c r="AI313" s="437"/>
      <c r="AJ313" s="437"/>
      <c r="AK313" s="437"/>
      <c r="AL313" s="437"/>
      <c r="AM313" s="437"/>
      <c r="AN313" s="437"/>
      <c r="AO313" s="437"/>
      <c r="AP313" s="437"/>
      <c r="AQ313" s="1327"/>
      <c r="AR313" s="437"/>
      <c r="AS313" s="437"/>
      <c r="AT313" s="437"/>
      <c r="AU313" s="437"/>
      <c r="AV313" s="437"/>
      <c r="AW313" s="437"/>
      <c r="AX313" s="437"/>
      <c r="AY313" s="437"/>
      <c r="AZ313" s="437"/>
      <c r="BA313" s="437"/>
      <c r="BB313" s="1327"/>
      <c r="BC313" s="437"/>
      <c r="BD313" s="437"/>
      <c r="BE313" s="437"/>
      <c r="BF313" s="437"/>
      <c r="BG313" s="437"/>
      <c r="BH313" s="437"/>
      <c r="BI313" s="437"/>
      <c r="BJ313" s="437"/>
      <c r="BK313" s="437"/>
      <c r="BL313" s="437"/>
      <c r="BM313" s="1327"/>
      <c r="BN313" s="1327"/>
      <c r="BO313" s="1327"/>
      <c r="BP313" s="1327"/>
      <c r="BQ313" s="1327"/>
      <c r="BR313" s="1327"/>
      <c r="BS313" s="1327"/>
      <c r="BT313" s="1327"/>
      <c r="BU313" s="1327"/>
      <c r="BV313" s="1327"/>
      <c r="BW313" s="1327"/>
      <c r="BX313" s="1327"/>
      <c r="BY313" s="1327"/>
      <c r="BZ313" s="1327"/>
      <c r="CA313" s="1327"/>
      <c r="CB313" s="1327"/>
      <c r="CC313" s="1327"/>
      <c r="CD313" s="1327"/>
      <c r="CE313" s="1327"/>
      <c r="CF313" s="1327"/>
      <c r="CG313" s="1327"/>
      <c r="CH313" s="1327"/>
      <c r="CI313" s="1327"/>
      <c r="CJ313" s="1327"/>
      <c r="CK313" s="1327"/>
      <c r="CL313" s="1327"/>
      <c r="CM313" s="1327"/>
      <c r="CN313" s="1327"/>
      <c r="CO313" s="1327"/>
      <c r="CP313" s="1327"/>
      <c r="CQ313" s="1327"/>
      <c r="CR313" s="1327"/>
      <c r="CS313" s="1327"/>
      <c r="CT313" s="1317"/>
      <c r="CU313" s="1317"/>
      <c r="CV313" s="1317"/>
      <c r="CW313" s="1317"/>
      <c r="CX313" s="1317"/>
      <c r="CY313" s="1317"/>
      <c r="CZ313" s="1317"/>
      <c r="DA313" s="1317"/>
      <c r="DB313" s="1317"/>
      <c r="DC313" s="1317"/>
      <c r="DD313" s="1317"/>
      <c r="DE313" s="1317"/>
      <c r="DF313" s="1317"/>
      <c r="DG313" s="1317"/>
    </row>
    <row r="314" ht="18.75" customHeight="1">
      <c r="G314" s="1344"/>
      <c r="H314" s="1345">
        <f t="shared" si="4"/>
        <v>0</v>
      </c>
      <c r="I314" s="1381"/>
      <c r="J314" s="1381"/>
      <c r="K314" s="1381"/>
      <c r="L314" s="1381"/>
      <c r="M314" s="1381"/>
      <c r="N314" s="1381"/>
      <c r="O314" s="1381"/>
      <c r="P314" s="1381"/>
      <c r="Q314" s="1381"/>
      <c r="R314" s="1381"/>
      <c r="T314" s="1349"/>
      <c r="U314" s="1349" t="s">
        <v>123</v>
      </c>
      <c r="V314" s="1349" t="s">
        <v>123</v>
      </c>
      <c r="W314" s="1349"/>
      <c r="X314" s="1349"/>
      <c r="Y314" s="1308"/>
      <c r="Z314" s="437" t="str">
        <f>IFERROR(__xludf.DUMMYFUNCTION("IF(NOT('portfólio'!$AV$7),"""",IF($T314="""","""",IFERROR(query({AtivosDados},""select sum(""&amp;Z$3&amp;"") where Col1='""&amp;$T314&amp;""' label sum(""&amp;Z$3&amp;"") ''""),0)))"),"")</f>
        <v/>
      </c>
      <c r="AA314" s="437" t="str">
        <f>IFERROR(__xludf.DUMMYFUNCTION("IF(NOT('portfólio'!$AV$7),"""",IF($T314="""","""",IFERROR(query({AtivosDados},""select sum(""&amp;AA$3&amp;"") where Col1='""&amp;$T314&amp;""' label sum(""&amp;AA$3&amp;"") ''""),0)))"),"")</f>
        <v/>
      </c>
      <c r="AB314" s="437" t="str">
        <f>IFERROR(__xludf.DUMMYFUNCTION("IF(NOT('portfólio'!$AV$7),"""",IF($T314="""","""",IFERROR(query({AtivosDados},""select sum(""&amp;AB$3&amp;"") where Col1='""&amp;$T314&amp;""' label sum(""&amp;AB$3&amp;"") ''""),0)))"),"")</f>
        <v/>
      </c>
      <c r="AC314" s="437" t="str">
        <f>IFERROR(__xludf.DUMMYFUNCTION("IF(NOT('portfólio'!$AV$7),"""",IF($T314="""","""",IFERROR(query({AtivosDados},""select sum(""&amp;AC$3&amp;"") where Col1='""&amp;$T314&amp;""' label sum(""&amp;AC$3&amp;"") ''""),0)))"),"")</f>
        <v/>
      </c>
      <c r="AD314" s="437" t="str">
        <f>IFERROR(__xludf.DUMMYFUNCTION("IF(NOT('portfólio'!$AV$7),"""",IF($T314="""","""",IFERROR(query({AtivosDados},""select sum(""&amp;AD$3&amp;"") where Col1='""&amp;$T314&amp;""' label sum(""&amp;AD$3&amp;"") ''""),0)))"),"")</f>
        <v/>
      </c>
      <c r="AE314" s="437"/>
      <c r="AF314" s="1327"/>
      <c r="AG314" s="437"/>
      <c r="AH314" s="437"/>
      <c r="AI314" s="437"/>
      <c r="AJ314" s="437"/>
      <c r="AK314" s="437"/>
      <c r="AL314" s="437"/>
      <c r="AM314" s="437"/>
      <c r="AN314" s="437"/>
      <c r="AO314" s="437"/>
      <c r="AP314" s="437"/>
      <c r="AQ314" s="1327"/>
      <c r="AR314" s="437"/>
      <c r="AS314" s="437"/>
      <c r="AT314" s="437"/>
      <c r="AU314" s="437"/>
      <c r="AV314" s="437"/>
      <c r="AW314" s="437"/>
      <c r="AX314" s="437"/>
      <c r="AY314" s="437"/>
      <c r="AZ314" s="437"/>
      <c r="BA314" s="437"/>
      <c r="BB314" s="1327"/>
      <c r="BC314" s="437"/>
      <c r="BD314" s="437"/>
      <c r="BE314" s="437"/>
      <c r="BF314" s="437"/>
      <c r="BG314" s="437"/>
      <c r="BH314" s="437"/>
      <c r="BI314" s="437"/>
      <c r="BJ314" s="437"/>
      <c r="BK314" s="437"/>
      <c r="BL314" s="437"/>
      <c r="BM314" s="1327"/>
      <c r="BN314" s="1327"/>
      <c r="BO314" s="1327"/>
      <c r="BP314" s="1327"/>
      <c r="BQ314" s="1327"/>
      <c r="BR314" s="1327"/>
      <c r="BS314" s="1327"/>
      <c r="BT314" s="1327"/>
      <c r="BU314" s="1327"/>
      <c r="BV314" s="1327"/>
      <c r="BW314" s="1327"/>
      <c r="BX314" s="1327"/>
      <c r="BY314" s="1327"/>
      <c r="BZ314" s="1327"/>
      <c r="CA314" s="1327"/>
      <c r="CB314" s="1327"/>
      <c r="CC314" s="1327"/>
      <c r="CD314" s="1327"/>
      <c r="CE314" s="1327"/>
      <c r="CF314" s="1327"/>
      <c r="CG314" s="1327"/>
      <c r="CH314" s="1327"/>
      <c r="CI314" s="1327"/>
      <c r="CJ314" s="1327"/>
      <c r="CK314" s="1327"/>
      <c r="CL314" s="1327"/>
      <c r="CM314" s="1327"/>
      <c r="CN314" s="1327"/>
      <c r="CO314" s="1327"/>
      <c r="CP314" s="1327"/>
      <c r="CQ314" s="1327"/>
      <c r="CR314" s="1327"/>
      <c r="CS314" s="1327"/>
      <c r="CT314" s="1317"/>
      <c r="CU314" s="1317"/>
      <c r="CV314" s="1317"/>
      <c r="CW314" s="1317"/>
      <c r="CX314" s="1317"/>
      <c r="CY314" s="1317"/>
      <c r="CZ314" s="1317"/>
      <c r="DA314" s="1317"/>
      <c r="DB314" s="1317"/>
      <c r="DC314" s="1317"/>
      <c r="DD314" s="1317"/>
      <c r="DE314" s="1317"/>
      <c r="DF314" s="1317"/>
      <c r="DG314" s="1317"/>
    </row>
    <row r="315" ht="18.75" customHeight="1">
      <c r="G315" s="1344"/>
      <c r="H315" s="1345">
        <f t="shared" si="4"/>
        <v>0</v>
      </c>
      <c r="I315" s="1381"/>
      <c r="J315" s="1381"/>
      <c r="K315" s="1381"/>
      <c r="L315" s="1381"/>
      <c r="M315" s="1381"/>
      <c r="N315" s="1381"/>
      <c r="O315" s="1381"/>
      <c r="P315" s="1381"/>
      <c r="Q315" s="1381"/>
      <c r="R315" s="1381"/>
      <c r="T315" s="1349"/>
      <c r="U315" s="1349" t="s">
        <v>123</v>
      </c>
      <c r="V315" s="1349" t="s">
        <v>123</v>
      </c>
      <c r="W315" s="1349"/>
      <c r="X315" s="1349"/>
      <c r="Y315" s="1308"/>
      <c r="Z315" s="437" t="str">
        <f>IFERROR(__xludf.DUMMYFUNCTION("IF(NOT('portfólio'!$AV$7),"""",IF($T315="""","""",IFERROR(query({AtivosDados},""select sum(""&amp;Z$3&amp;"") where Col1='""&amp;$T315&amp;""' label sum(""&amp;Z$3&amp;"") ''""),0)))"),"")</f>
        <v/>
      </c>
      <c r="AA315" s="437" t="str">
        <f>IFERROR(__xludf.DUMMYFUNCTION("IF(NOT('portfólio'!$AV$7),"""",IF($T315="""","""",IFERROR(query({AtivosDados},""select sum(""&amp;AA$3&amp;"") where Col1='""&amp;$T315&amp;""' label sum(""&amp;AA$3&amp;"") ''""),0)))"),"")</f>
        <v/>
      </c>
      <c r="AB315" s="437" t="str">
        <f>IFERROR(__xludf.DUMMYFUNCTION("IF(NOT('portfólio'!$AV$7),"""",IF($T315="""","""",IFERROR(query({AtivosDados},""select sum(""&amp;AB$3&amp;"") where Col1='""&amp;$T315&amp;""' label sum(""&amp;AB$3&amp;"") ''""),0)))"),"")</f>
        <v/>
      </c>
      <c r="AC315" s="437" t="str">
        <f>IFERROR(__xludf.DUMMYFUNCTION("IF(NOT('portfólio'!$AV$7),"""",IF($T315="""","""",IFERROR(query({AtivosDados},""select sum(""&amp;AC$3&amp;"") where Col1='""&amp;$T315&amp;""' label sum(""&amp;AC$3&amp;"") ''""),0)))"),"")</f>
        <v/>
      </c>
      <c r="AD315" s="437" t="str">
        <f>IFERROR(__xludf.DUMMYFUNCTION("IF(NOT('portfólio'!$AV$7),"""",IF($T315="""","""",IFERROR(query({AtivosDados},""select sum(""&amp;AD$3&amp;"") where Col1='""&amp;$T315&amp;""' label sum(""&amp;AD$3&amp;"") ''""),0)))"),"")</f>
        <v/>
      </c>
      <c r="AE315" s="437"/>
      <c r="AF315" s="1327"/>
      <c r="AG315" s="437"/>
      <c r="AH315" s="437"/>
      <c r="AI315" s="437"/>
      <c r="AJ315" s="437"/>
      <c r="AK315" s="437"/>
      <c r="AL315" s="437"/>
      <c r="AM315" s="437"/>
      <c r="AN315" s="437"/>
      <c r="AO315" s="437"/>
      <c r="AP315" s="437"/>
      <c r="AQ315" s="1327"/>
      <c r="AR315" s="437"/>
      <c r="AS315" s="437"/>
      <c r="AT315" s="437"/>
      <c r="AU315" s="437"/>
      <c r="AV315" s="437"/>
      <c r="AW315" s="437"/>
      <c r="AX315" s="437"/>
      <c r="AY315" s="437"/>
      <c r="AZ315" s="437"/>
      <c r="BA315" s="437"/>
      <c r="BB315" s="1327"/>
      <c r="BC315" s="437"/>
      <c r="BD315" s="437"/>
      <c r="BE315" s="437"/>
      <c r="BF315" s="437"/>
      <c r="BG315" s="437"/>
      <c r="BH315" s="437"/>
      <c r="BI315" s="437"/>
      <c r="BJ315" s="437"/>
      <c r="BK315" s="437"/>
      <c r="BL315" s="437"/>
      <c r="BM315" s="1327"/>
      <c r="BN315" s="1327"/>
      <c r="BO315" s="1327"/>
      <c r="BP315" s="1327"/>
      <c r="BQ315" s="1327"/>
      <c r="BR315" s="1327"/>
      <c r="BS315" s="1327"/>
      <c r="BT315" s="1327"/>
      <c r="BU315" s="1327"/>
      <c r="BV315" s="1327"/>
      <c r="BW315" s="1327"/>
      <c r="BX315" s="1327"/>
      <c r="BY315" s="1327"/>
      <c r="BZ315" s="1327"/>
      <c r="CA315" s="1327"/>
      <c r="CB315" s="1327"/>
      <c r="CC315" s="1327"/>
      <c r="CD315" s="1327"/>
      <c r="CE315" s="1327"/>
      <c r="CF315" s="1327"/>
      <c r="CG315" s="1327"/>
      <c r="CH315" s="1327"/>
      <c r="CI315" s="1327"/>
      <c r="CJ315" s="1327"/>
      <c r="CK315" s="1327"/>
      <c r="CL315" s="1327"/>
      <c r="CM315" s="1327"/>
      <c r="CN315" s="1327"/>
      <c r="CO315" s="1327"/>
      <c r="CP315" s="1327"/>
      <c r="CQ315" s="1327"/>
      <c r="CR315" s="1327"/>
      <c r="CS315" s="1327"/>
      <c r="CT315" s="1317"/>
      <c r="CU315" s="1317"/>
      <c r="CV315" s="1317"/>
      <c r="CW315" s="1317"/>
      <c r="CX315" s="1317"/>
      <c r="CY315" s="1317"/>
      <c r="CZ315" s="1317"/>
      <c r="DA315" s="1317"/>
      <c r="DB315" s="1317"/>
      <c r="DC315" s="1317"/>
      <c r="DD315" s="1317"/>
      <c r="DE315" s="1317"/>
      <c r="DF315" s="1317"/>
      <c r="DG315" s="1317"/>
    </row>
    <row r="316" ht="18.75" customHeight="1">
      <c r="G316" s="1344"/>
      <c r="H316" s="1345">
        <f t="shared" si="4"/>
        <v>0</v>
      </c>
      <c r="I316" s="1381"/>
      <c r="J316" s="1381"/>
      <c r="K316" s="1381"/>
      <c r="L316" s="1381"/>
      <c r="M316" s="1381"/>
      <c r="N316" s="1381"/>
      <c r="O316" s="1381"/>
      <c r="P316" s="1381"/>
      <c r="Q316" s="1381"/>
      <c r="R316" s="1381"/>
      <c r="T316" s="1349"/>
      <c r="U316" s="1349" t="s">
        <v>123</v>
      </c>
      <c r="V316" s="1349" t="s">
        <v>123</v>
      </c>
      <c r="W316" s="1349"/>
      <c r="X316" s="1349"/>
      <c r="Y316" s="1308"/>
      <c r="Z316" s="437" t="str">
        <f>IFERROR(__xludf.DUMMYFUNCTION("IF(NOT('portfólio'!$AV$7),"""",IF($T316="""","""",IFERROR(query({AtivosDados},""select sum(""&amp;Z$3&amp;"") where Col1='""&amp;$T316&amp;""' label sum(""&amp;Z$3&amp;"") ''""),0)))"),"")</f>
        <v/>
      </c>
      <c r="AA316" s="437" t="str">
        <f>IFERROR(__xludf.DUMMYFUNCTION("IF(NOT('portfólio'!$AV$7),"""",IF($T316="""","""",IFERROR(query({AtivosDados},""select sum(""&amp;AA$3&amp;"") where Col1='""&amp;$T316&amp;""' label sum(""&amp;AA$3&amp;"") ''""),0)))"),"")</f>
        <v/>
      </c>
      <c r="AB316" s="437" t="str">
        <f>IFERROR(__xludf.DUMMYFUNCTION("IF(NOT('portfólio'!$AV$7),"""",IF($T316="""","""",IFERROR(query({AtivosDados},""select sum(""&amp;AB$3&amp;"") where Col1='""&amp;$T316&amp;""' label sum(""&amp;AB$3&amp;"") ''""),0)))"),"")</f>
        <v/>
      </c>
      <c r="AC316" s="437" t="str">
        <f>IFERROR(__xludf.DUMMYFUNCTION("IF(NOT('portfólio'!$AV$7),"""",IF($T316="""","""",IFERROR(query({AtivosDados},""select sum(""&amp;AC$3&amp;"") where Col1='""&amp;$T316&amp;""' label sum(""&amp;AC$3&amp;"") ''""),0)))"),"")</f>
        <v/>
      </c>
      <c r="AD316" s="437" t="str">
        <f>IFERROR(__xludf.DUMMYFUNCTION("IF(NOT('portfólio'!$AV$7),"""",IF($T316="""","""",IFERROR(query({AtivosDados},""select sum(""&amp;AD$3&amp;"") where Col1='""&amp;$T316&amp;""' label sum(""&amp;AD$3&amp;"") ''""),0)))"),"")</f>
        <v/>
      </c>
      <c r="AE316" s="437"/>
      <c r="AF316" s="1327"/>
      <c r="AG316" s="437"/>
      <c r="AH316" s="437"/>
      <c r="AI316" s="437"/>
      <c r="AJ316" s="437"/>
      <c r="AK316" s="437"/>
      <c r="AL316" s="437"/>
      <c r="AM316" s="437"/>
      <c r="AN316" s="437"/>
      <c r="AO316" s="437"/>
      <c r="AP316" s="437"/>
      <c r="AQ316" s="1327"/>
      <c r="AR316" s="437"/>
      <c r="AS316" s="437"/>
      <c r="AT316" s="437"/>
      <c r="AU316" s="437"/>
      <c r="AV316" s="437"/>
      <c r="AW316" s="437"/>
      <c r="AX316" s="437"/>
      <c r="AY316" s="437"/>
      <c r="AZ316" s="437"/>
      <c r="BA316" s="437"/>
      <c r="BB316" s="1327"/>
      <c r="BC316" s="437"/>
      <c r="BD316" s="437"/>
      <c r="BE316" s="437"/>
      <c r="BF316" s="437"/>
      <c r="BG316" s="437"/>
      <c r="BH316" s="437"/>
      <c r="BI316" s="437"/>
      <c r="BJ316" s="437"/>
      <c r="BK316" s="437"/>
      <c r="BL316" s="437"/>
      <c r="BM316" s="1327"/>
      <c r="BN316" s="1327"/>
      <c r="BO316" s="1327"/>
      <c r="BP316" s="1327"/>
      <c r="BQ316" s="1327"/>
      <c r="BR316" s="1327"/>
      <c r="BS316" s="1327"/>
      <c r="BT316" s="1327"/>
      <c r="BU316" s="1327"/>
      <c r="BV316" s="1327"/>
      <c r="BW316" s="1327"/>
      <c r="BX316" s="1327"/>
      <c r="BY316" s="1327"/>
      <c r="BZ316" s="1327"/>
      <c r="CA316" s="1327"/>
      <c r="CB316" s="1327"/>
      <c r="CC316" s="1327"/>
      <c r="CD316" s="1327"/>
      <c r="CE316" s="1327"/>
      <c r="CF316" s="1327"/>
      <c r="CG316" s="1327"/>
      <c r="CH316" s="1327"/>
      <c r="CI316" s="1327"/>
      <c r="CJ316" s="1327"/>
      <c r="CK316" s="1327"/>
      <c r="CL316" s="1327"/>
      <c r="CM316" s="1327"/>
      <c r="CN316" s="1327"/>
      <c r="CO316" s="1327"/>
      <c r="CP316" s="1327"/>
      <c r="CQ316" s="1327"/>
      <c r="CR316" s="1327"/>
      <c r="CS316" s="1327"/>
      <c r="CT316" s="1317"/>
      <c r="CU316" s="1317"/>
      <c r="CV316" s="1317"/>
      <c r="CW316" s="1317"/>
      <c r="CX316" s="1317"/>
      <c r="CY316" s="1317"/>
      <c r="CZ316" s="1317"/>
      <c r="DA316" s="1317"/>
      <c r="DB316" s="1317"/>
      <c r="DC316" s="1317"/>
      <c r="DD316" s="1317"/>
      <c r="DE316" s="1317"/>
      <c r="DF316" s="1317"/>
      <c r="DG316" s="1317"/>
    </row>
    <row r="317" ht="18.75" customHeight="1">
      <c r="G317" s="1344"/>
      <c r="H317" s="1345">
        <f t="shared" si="4"/>
        <v>0</v>
      </c>
      <c r="I317" s="1381"/>
      <c r="J317" s="1381"/>
      <c r="K317" s="1381"/>
      <c r="L317" s="1381"/>
      <c r="M317" s="1381"/>
      <c r="N317" s="1381"/>
      <c r="O317" s="1381"/>
      <c r="P317" s="1381"/>
      <c r="Q317" s="1381"/>
      <c r="R317" s="1381"/>
      <c r="T317" s="1349"/>
      <c r="U317" s="1349" t="s">
        <v>123</v>
      </c>
      <c r="V317" s="1349" t="s">
        <v>123</v>
      </c>
      <c r="W317" s="1349"/>
      <c r="X317" s="1349"/>
      <c r="Y317" s="1308"/>
      <c r="Z317" s="437" t="str">
        <f>IFERROR(__xludf.DUMMYFUNCTION("IF(NOT('portfólio'!$AV$7),"""",IF($T317="""","""",IFERROR(query({AtivosDados},""select sum(""&amp;Z$3&amp;"") where Col1='""&amp;$T317&amp;""' label sum(""&amp;Z$3&amp;"") ''""),0)))"),"")</f>
        <v/>
      </c>
      <c r="AA317" s="437" t="str">
        <f>IFERROR(__xludf.DUMMYFUNCTION("IF(NOT('portfólio'!$AV$7),"""",IF($T317="""","""",IFERROR(query({AtivosDados},""select sum(""&amp;AA$3&amp;"") where Col1='""&amp;$T317&amp;""' label sum(""&amp;AA$3&amp;"") ''""),0)))"),"")</f>
        <v/>
      </c>
      <c r="AB317" s="437" t="str">
        <f>IFERROR(__xludf.DUMMYFUNCTION("IF(NOT('portfólio'!$AV$7),"""",IF($T317="""","""",IFERROR(query({AtivosDados},""select sum(""&amp;AB$3&amp;"") where Col1='""&amp;$T317&amp;""' label sum(""&amp;AB$3&amp;"") ''""),0)))"),"")</f>
        <v/>
      </c>
      <c r="AC317" s="437" t="str">
        <f>IFERROR(__xludf.DUMMYFUNCTION("IF(NOT('portfólio'!$AV$7),"""",IF($T317="""","""",IFERROR(query({AtivosDados},""select sum(""&amp;AC$3&amp;"") where Col1='""&amp;$T317&amp;""' label sum(""&amp;AC$3&amp;"") ''""),0)))"),"")</f>
        <v/>
      </c>
      <c r="AD317" s="437" t="str">
        <f>IFERROR(__xludf.DUMMYFUNCTION("IF(NOT('portfólio'!$AV$7),"""",IF($T317="""","""",IFERROR(query({AtivosDados},""select sum(""&amp;AD$3&amp;"") where Col1='""&amp;$T317&amp;""' label sum(""&amp;AD$3&amp;"") ''""),0)))"),"")</f>
        <v/>
      </c>
      <c r="AE317" s="437"/>
      <c r="AF317" s="1327"/>
      <c r="AG317" s="437"/>
      <c r="AH317" s="437"/>
      <c r="AI317" s="437"/>
      <c r="AJ317" s="437"/>
      <c r="AK317" s="437"/>
      <c r="AL317" s="437"/>
      <c r="AM317" s="437"/>
      <c r="AN317" s="437"/>
      <c r="AO317" s="437"/>
      <c r="AP317" s="437"/>
      <c r="AQ317" s="1327"/>
      <c r="AR317" s="437"/>
      <c r="AS317" s="437"/>
      <c r="AT317" s="437"/>
      <c r="AU317" s="437"/>
      <c r="AV317" s="437"/>
      <c r="AW317" s="437"/>
      <c r="AX317" s="437"/>
      <c r="AY317" s="437"/>
      <c r="AZ317" s="437"/>
      <c r="BA317" s="437"/>
      <c r="BB317" s="1327"/>
      <c r="BC317" s="437"/>
      <c r="BD317" s="437"/>
      <c r="BE317" s="437"/>
      <c r="BF317" s="437"/>
      <c r="BG317" s="437"/>
      <c r="BH317" s="437"/>
      <c r="BI317" s="437"/>
      <c r="BJ317" s="437"/>
      <c r="BK317" s="437"/>
      <c r="BL317" s="437"/>
      <c r="BM317" s="1327"/>
      <c r="BN317" s="1327"/>
      <c r="BO317" s="1327"/>
      <c r="BP317" s="1327"/>
      <c r="BQ317" s="1327"/>
      <c r="BR317" s="1327"/>
      <c r="BS317" s="1327"/>
      <c r="BT317" s="1327"/>
      <c r="BU317" s="1327"/>
      <c r="BV317" s="1327"/>
      <c r="BW317" s="1327"/>
      <c r="BX317" s="1327"/>
      <c r="BY317" s="1327"/>
      <c r="BZ317" s="1327"/>
      <c r="CA317" s="1327"/>
      <c r="CB317" s="1327"/>
      <c r="CC317" s="1327"/>
      <c r="CD317" s="1327"/>
      <c r="CE317" s="1327"/>
      <c r="CF317" s="1327"/>
      <c r="CG317" s="1327"/>
      <c r="CH317" s="1327"/>
      <c r="CI317" s="1327"/>
      <c r="CJ317" s="1327"/>
      <c r="CK317" s="1327"/>
      <c r="CL317" s="1327"/>
      <c r="CM317" s="1327"/>
      <c r="CN317" s="1327"/>
      <c r="CO317" s="1327"/>
      <c r="CP317" s="1327"/>
      <c r="CQ317" s="1327"/>
      <c r="CR317" s="1327"/>
      <c r="CS317" s="1327"/>
      <c r="CT317" s="1317"/>
      <c r="CU317" s="1317"/>
      <c r="CV317" s="1317"/>
      <c r="CW317" s="1317"/>
      <c r="CX317" s="1317"/>
      <c r="CY317" s="1317"/>
      <c r="CZ317" s="1317"/>
      <c r="DA317" s="1317"/>
      <c r="DB317" s="1317"/>
      <c r="DC317" s="1317"/>
      <c r="DD317" s="1317"/>
      <c r="DE317" s="1317"/>
      <c r="DF317" s="1317"/>
      <c r="DG317" s="1317"/>
    </row>
    <row r="318" ht="18.75" customHeight="1">
      <c r="G318" s="1344"/>
      <c r="H318" s="1345">
        <f t="shared" si="4"/>
        <v>0</v>
      </c>
      <c r="I318" s="1381"/>
      <c r="J318" s="1381"/>
      <c r="K318" s="1381"/>
      <c r="L318" s="1381"/>
      <c r="M318" s="1381"/>
      <c r="N318" s="1381"/>
      <c r="O318" s="1381"/>
      <c r="P318" s="1381"/>
      <c r="Q318" s="1381"/>
      <c r="R318" s="1381"/>
      <c r="T318" s="1349"/>
      <c r="U318" s="1349" t="s">
        <v>123</v>
      </c>
      <c r="V318" s="1349" t="s">
        <v>123</v>
      </c>
      <c r="W318" s="1349"/>
      <c r="X318" s="1349"/>
      <c r="Y318" s="1308"/>
      <c r="Z318" s="437" t="str">
        <f>IFERROR(__xludf.DUMMYFUNCTION("IF(NOT('portfólio'!$AV$7),"""",IF($T318="""","""",IFERROR(query({AtivosDados},""select sum(""&amp;Z$3&amp;"") where Col1='""&amp;$T318&amp;""' label sum(""&amp;Z$3&amp;"") ''""),0)))"),"")</f>
        <v/>
      </c>
      <c r="AA318" s="437" t="str">
        <f>IFERROR(__xludf.DUMMYFUNCTION("IF(NOT('portfólio'!$AV$7),"""",IF($T318="""","""",IFERROR(query({AtivosDados},""select sum(""&amp;AA$3&amp;"") where Col1='""&amp;$T318&amp;""' label sum(""&amp;AA$3&amp;"") ''""),0)))"),"")</f>
        <v/>
      </c>
      <c r="AB318" s="437" t="str">
        <f>IFERROR(__xludf.DUMMYFUNCTION("IF(NOT('portfólio'!$AV$7),"""",IF($T318="""","""",IFERROR(query({AtivosDados},""select sum(""&amp;AB$3&amp;"") where Col1='""&amp;$T318&amp;""' label sum(""&amp;AB$3&amp;"") ''""),0)))"),"")</f>
        <v/>
      </c>
      <c r="AC318" s="437" t="str">
        <f>IFERROR(__xludf.DUMMYFUNCTION("IF(NOT('portfólio'!$AV$7),"""",IF($T318="""","""",IFERROR(query({AtivosDados},""select sum(""&amp;AC$3&amp;"") where Col1='""&amp;$T318&amp;""' label sum(""&amp;AC$3&amp;"") ''""),0)))"),"")</f>
        <v/>
      </c>
      <c r="AD318" s="437" t="str">
        <f>IFERROR(__xludf.DUMMYFUNCTION("IF(NOT('portfólio'!$AV$7),"""",IF($T318="""","""",IFERROR(query({AtivosDados},""select sum(""&amp;AD$3&amp;"") where Col1='""&amp;$T318&amp;""' label sum(""&amp;AD$3&amp;"") ''""),0)))"),"")</f>
        <v/>
      </c>
      <c r="AE318" s="437"/>
      <c r="AF318" s="1327"/>
      <c r="AG318" s="437"/>
      <c r="AH318" s="437"/>
      <c r="AI318" s="437"/>
      <c r="AJ318" s="437"/>
      <c r="AK318" s="437"/>
      <c r="AL318" s="437"/>
      <c r="AM318" s="437"/>
      <c r="AN318" s="437"/>
      <c r="AO318" s="437"/>
      <c r="AP318" s="437"/>
      <c r="AQ318" s="1327"/>
      <c r="AR318" s="437"/>
      <c r="AS318" s="437"/>
      <c r="AT318" s="437"/>
      <c r="AU318" s="437"/>
      <c r="AV318" s="437"/>
      <c r="AW318" s="437"/>
      <c r="AX318" s="437"/>
      <c r="AY318" s="437"/>
      <c r="AZ318" s="437"/>
      <c r="BA318" s="437"/>
      <c r="BB318" s="1327"/>
      <c r="BC318" s="437"/>
      <c r="BD318" s="437"/>
      <c r="BE318" s="437"/>
      <c r="BF318" s="437"/>
      <c r="BG318" s="437"/>
      <c r="BH318" s="437"/>
      <c r="BI318" s="437"/>
      <c r="BJ318" s="437"/>
      <c r="BK318" s="437"/>
      <c r="BL318" s="437"/>
      <c r="BM318" s="1327"/>
      <c r="BN318" s="1327"/>
      <c r="BO318" s="1327"/>
      <c r="BP318" s="1327"/>
      <c r="BQ318" s="1327"/>
      <c r="BR318" s="1327"/>
      <c r="BS318" s="1327"/>
      <c r="BT318" s="1327"/>
      <c r="BU318" s="1327"/>
      <c r="BV318" s="1327"/>
      <c r="BW318" s="1327"/>
      <c r="BX318" s="1327"/>
      <c r="BY318" s="1327"/>
      <c r="BZ318" s="1327"/>
      <c r="CA318" s="1327"/>
      <c r="CB318" s="1327"/>
      <c r="CC318" s="1327"/>
      <c r="CD318" s="1327"/>
      <c r="CE318" s="1327"/>
      <c r="CF318" s="1327"/>
      <c r="CG318" s="1327"/>
      <c r="CH318" s="1327"/>
      <c r="CI318" s="1327"/>
      <c r="CJ318" s="1327"/>
      <c r="CK318" s="1327"/>
      <c r="CL318" s="1327"/>
      <c r="CM318" s="1327"/>
      <c r="CN318" s="1327"/>
      <c r="CO318" s="1327"/>
      <c r="CP318" s="1327"/>
      <c r="CQ318" s="1327"/>
      <c r="CR318" s="1327"/>
      <c r="CS318" s="1327"/>
      <c r="CT318" s="1317"/>
      <c r="CU318" s="1317"/>
      <c r="CV318" s="1317"/>
      <c r="CW318" s="1317"/>
      <c r="CX318" s="1317"/>
      <c r="CY318" s="1317"/>
      <c r="CZ318" s="1317"/>
      <c r="DA318" s="1317"/>
      <c r="DB318" s="1317"/>
      <c r="DC318" s="1317"/>
      <c r="DD318" s="1317"/>
      <c r="DE318" s="1317"/>
      <c r="DF318" s="1317"/>
      <c r="DG318" s="1317"/>
    </row>
    <row r="319" ht="18.75" customHeight="1">
      <c r="G319" s="1344"/>
      <c r="H319" s="1345">
        <f t="shared" si="4"/>
        <v>0</v>
      </c>
      <c r="I319" s="1381"/>
      <c r="J319" s="1381"/>
      <c r="K319" s="1381"/>
      <c r="L319" s="1381"/>
      <c r="M319" s="1381"/>
      <c r="N319" s="1381"/>
      <c r="O319" s="1381"/>
      <c r="P319" s="1381"/>
      <c r="Q319" s="1381"/>
      <c r="R319" s="1381"/>
      <c r="T319" s="1349"/>
      <c r="U319" s="1349" t="s">
        <v>123</v>
      </c>
      <c r="V319" s="1349" t="s">
        <v>123</v>
      </c>
      <c r="W319" s="1349"/>
      <c r="X319" s="1349"/>
      <c r="Y319" s="1308"/>
      <c r="Z319" s="437" t="str">
        <f>IFERROR(__xludf.DUMMYFUNCTION("IF(NOT('portfólio'!$AV$7),"""",IF($T319="""","""",IFERROR(query({AtivosDados},""select sum(""&amp;Z$3&amp;"") where Col1='""&amp;$T319&amp;""' label sum(""&amp;Z$3&amp;"") ''""),0)))"),"")</f>
        <v/>
      </c>
      <c r="AA319" s="437" t="str">
        <f>IFERROR(__xludf.DUMMYFUNCTION("IF(NOT('portfólio'!$AV$7),"""",IF($T319="""","""",IFERROR(query({AtivosDados},""select sum(""&amp;AA$3&amp;"") where Col1='""&amp;$T319&amp;""' label sum(""&amp;AA$3&amp;"") ''""),0)))"),"")</f>
        <v/>
      </c>
      <c r="AB319" s="437" t="str">
        <f>IFERROR(__xludf.DUMMYFUNCTION("IF(NOT('portfólio'!$AV$7),"""",IF($T319="""","""",IFERROR(query({AtivosDados},""select sum(""&amp;AB$3&amp;"") where Col1='""&amp;$T319&amp;""' label sum(""&amp;AB$3&amp;"") ''""),0)))"),"")</f>
        <v/>
      </c>
      <c r="AC319" s="437" t="str">
        <f>IFERROR(__xludf.DUMMYFUNCTION("IF(NOT('portfólio'!$AV$7),"""",IF($T319="""","""",IFERROR(query({AtivosDados},""select sum(""&amp;AC$3&amp;"") where Col1='""&amp;$T319&amp;""' label sum(""&amp;AC$3&amp;"") ''""),0)))"),"")</f>
        <v/>
      </c>
      <c r="AD319" s="437" t="str">
        <f>IFERROR(__xludf.DUMMYFUNCTION("IF(NOT('portfólio'!$AV$7),"""",IF($T319="""","""",IFERROR(query({AtivosDados},""select sum(""&amp;AD$3&amp;"") where Col1='""&amp;$T319&amp;""' label sum(""&amp;AD$3&amp;"") ''""),0)))"),"")</f>
        <v/>
      </c>
      <c r="AE319" s="437"/>
      <c r="AF319" s="1327"/>
      <c r="AG319" s="437"/>
      <c r="AH319" s="437"/>
      <c r="AI319" s="437"/>
      <c r="AJ319" s="437"/>
      <c r="AK319" s="437"/>
      <c r="AL319" s="437"/>
      <c r="AM319" s="437"/>
      <c r="AN319" s="437"/>
      <c r="AO319" s="437"/>
      <c r="AP319" s="437"/>
      <c r="AQ319" s="1327"/>
      <c r="AR319" s="437"/>
      <c r="AS319" s="437"/>
      <c r="AT319" s="437"/>
      <c r="AU319" s="437"/>
      <c r="AV319" s="437"/>
      <c r="AW319" s="437"/>
      <c r="AX319" s="437"/>
      <c r="AY319" s="437"/>
      <c r="AZ319" s="437"/>
      <c r="BA319" s="437"/>
      <c r="BB319" s="1327"/>
      <c r="BC319" s="437"/>
      <c r="BD319" s="437"/>
      <c r="BE319" s="437"/>
      <c r="BF319" s="437"/>
      <c r="BG319" s="437"/>
      <c r="BH319" s="437"/>
      <c r="BI319" s="437"/>
      <c r="BJ319" s="437"/>
      <c r="BK319" s="437"/>
      <c r="BL319" s="437"/>
      <c r="BM319" s="1327"/>
      <c r="BN319" s="1327"/>
      <c r="BO319" s="1327"/>
      <c r="BP319" s="1327"/>
      <c r="BQ319" s="1327"/>
      <c r="BR319" s="1327"/>
      <c r="BS319" s="1327"/>
      <c r="BT319" s="1327"/>
      <c r="BU319" s="1327"/>
      <c r="BV319" s="1327"/>
      <c r="BW319" s="1327"/>
      <c r="BX319" s="1327"/>
      <c r="BY319" s="1327"/>
      <c r="BZ319" s="1327"/>
      <c r="CA319" s="1327"/>
      <c r="CB319" s="1327"/>
      <c r="CC319" s="1327"/>
      <c r="CD319" s="1327"/>
      <c r="CE319" s="1327"/>
      <c r="CF319" s="1327"/>
      <c r="CG319" s="1327"/>
      <c r="CH319" s="1327"/>
      <c r="CI319" s="1327"/>
      <c r="CJ319" s="1327"/>
      <c r="CK319" s="1327"/>
      <c r="CL319" s="1327"/>
      <c r="CM319" s="1327"/>
      <c r="CN319" s="1327"/>
      <c r="CO319" s="1327"/>
      <c r="CP319" s="1327"/>
      <c r="CQ319" s="1327"/>
      <c r="CR319" s="1327"/>
      <c r="CS319" s="1327"/>
      <c r="CT319" s="1317"/>
      <c r="CU319" s="1317"/>
      <c r="CV319" s="1317"/>
      <c r="CW319" s="1317"/>
      <c r="CX319" s="1317"/>
      <c r="CY319" s="1317"/>
      <c r="CZ319" s="1317"/>
      <c r="DA319" s="1317"/>
      <c r="DB319" s="1317"/>
      <c r="DC319" s="1317"/>
      <c r="DD319" s="1317"/>
      <c r="DE319" s="1317"/>
      <c r="DF319" s="1317"/>
      <c r="DG319" s="1317"/>
    </row>
    <row r="320" ht="18.75" customHeight="1">
      <c r="G320" s="1344"/>
      <c r="H320" s="1345">
        <f t="shared" si="4"/>
        <v>0</v>
      </c>
      <c r="I320" s="1381"/>
      <c r="J320" s="1381"/>
      <c r="K320" s="1381"/>
      <c r="L320" s="1381"/>
      <c r="M320" s="1381"/>
      <c r="N320" s="1381"/>
      <c r="O320" s="1381"/>
      <c r="P320" s="1381"/>
      <c r="Q320" s="1381"/>
      <c r="R320" s="1381"/>
      <c r="T320" s="1349"/>
      <c r="U320" s="1349" t="s">
        <v>123</v>
      </c>
      <c r="V320" s="1349" t="s">
        <v>123</v>
      </c>
      <c r="W320" s="1349"/>
      <c r="X320" s="1349"/>
      <c r="Y320" s="1308"/>
      <c r="Z320" s="437" t="str">
        <f>IFERROR(__xludf.DUMMYFUNCTION("IF(NOT('portfólio'!$AV$7),"""",IF($T320="""","""",IFERROR(query({AtivosDados},""select sum(""&amp;Z$3&amp;"") where Col1='""&amp;$T320&amp;""' label sum(""&amp;Z$3&amp;"") ''""),0)))"),"")</f>
        <v/>
      </c>
      <c r="AA320" s="437" t="str">
        <f>IFERROR(__xludf.DUMMYFUNCTION("IF(NOT('portfólio'!$AV$7),"""",IF($T320="""","""",IFERROR(query({AtivosDados},""select sum(""&amp;AA$3&amp;"") where Col1='""&amp;$T320&amp;""' label sum(""&amp;AA$3&amp;"") ''""),0)))"),"")</f>
        <v/>
      </c>
      <c r="AB320" s="437" t="str">
        <f>IFERROR(__xludf.DUMMYFUNCTION("IF(NOT('portfólio'!$AV$7),"""",IF($T320="""","""",IFERROR(query({AtivosDados},""select sum(""&amp;AB$3&amp;"") where Col1='""&amp;$T320&amp;""' label sum(""&amp;AB$3&amp;"") ''""),0)))"),"")</f>
        <v/>
      </c>
      <c r="AC320" s="437" t="str">
        <f>IFERROR(__xludf.DUMMYFUNCTION("IF(NOT('portfólio'!$AV$7),"""",IF($T320="""","""",IFERROR(query({AtivosDados},""select sum(""&amp;AC$3&amp;"") where Col1='""&amp;$T320&amp;""' label sum(""&amp;AC$3&amp;"") ''""),0)))"),"")</f>
        <v/>
      </c>
      <c r="AD320" s="437" t="str">
        <f>IFERROR(__xludf.DUMMYFUNCTION("IF(NOT('portfólio'!$AV$7),"""",IF($T320="""","""",IFERROR(query({AtivosDados},""select sum(""&amp;AD$3&amp;"") where Col1='""&amp;$T320&amp;""' label sum(""&amp;AD$3&amp;"") ''""),0)))"),"")</f>
        <v/>
      </c>
      <c r="AE320" s="437"/>
      <c r="AF320" s="1327"/>
      <c r="AG320" s="437"/>
      <c r="AH320" s="437"/>
      <c r="AI320" s="437"/>
      <c r="AJ320" s="437"/>
      <c r="AK320" s="437"/>
      <c r="AL320" s="437"/>
      <c r="AM320" s="437"/>
      <c r="AN320" s="437"/>
      <c r="AO320" s="437"/>
      <c r="AP320" s="437"/>
      <c r="AQ320" s="1327"/>
      <c r="AR320" s="437"/>
      <c r="AS320" s="437"/>
      <c r="AT320" s="437"/>
      <c r="AU320" s="437"/>
      <c r="AV320" s="437"/>
      <c r="AW320" s="437"/>
      <c r="AX320" s="437"/>
      <c r="AY320" s="437"/>
      <c r="AZ320" s="437"/>
      <c r="BA320" s="437"/>
      <c r="BB320" s="1327"/>
      <c r="BC320" s="437"/>
      <c r="BD320" s="437"/>
      <c r="BE320" s="437"/>
      <c r="BF320" s="437"/>
      <c r="BG320" s="437"/>
      <c r="BH320" s="437"/>
      <c r="BI320" s="437"/>
      <c r="BJ320" s="437"/>
      <c r="BK320" s="437"/>
      <c r="BL320" s="437"/>
      <c r="BM320" s="1327"/>
      <c r="BN320" s="1327"/>
      <c r="BO320" s="1327"/>
      <c r="BP320" s="1327"/>
      <c r="BQ320" s="1327"/>
      <c r="BR320" s="1327"/>
      <c r="BS320" s="1327"/>
      <c r="BT320" s="1327"/>
      <c r="BU320" s="1327"/>
      <c r="BV320" s="1327"/>
      <c r="BW320" s="1327"/>
      <c r="BX320" s="1327"/>
      <c r="BY320" s="1327"/>
      <c r="BZ320" s="1327"/>
      <c r="CA320" s="1327"/>
      <c r="CB320" s="1327"/>
      <c r="CC320" s="1327"/>
      <c r="CD320" s="1327"/>
      <c r="CE320" s="1327"/>
      <c r="CF320" s="1327"/>
      <c r="CG320" s="1327"/>
      <c r="CH320" s="1327"/>
      <c r="CI320" s="1327"/>
      <c r="CJ320" s="1327"/>
      <c r="CK320" s="1327"/>
      <c r="CL320" s="1327"/>
      <c r="CM320" s="1327"/>
      <c r="CN320" s="1327"/>
      <c r="CO320" s="1327"/>
      <c r="CP320" s="1327"/>
      <c r="CQ320" s="1327"/>
      <c r="CR320" s="1327"/>
      <c r="CS320" s="1327"/>
      <c r="CT320" s="1317"/>
      <c r="CU320" s="1317"/>
      <c r="CV320" s="1317"/>
      <c r="CW320" s="1317"/>
      <c r="CX320" s="1317"/>
      <c r="CY320" s="1317"/>
      <c r="CZ320" s="1317"/>
      <c r="DA320" s="1317"/>
      <c r="DB320" s="1317"/>
      <c r="DC320" s="1317"/>
      <c r="DD320" s="1317"/>
      <c r="DE320" s="1317"/>
      <c r="DF320" s="1317"/>
      <c r="DG320" s="1317"/>
    </row>
    <row r="321" ht="18.75" customHeight="1">
      <c r="G321" s="1344"/>
      <c r="H321" s="1345">
        <f t="shared" si="4"/>
        <v>0</v>
      </c>
      <c r="I321" s="1381"/>
      <c r="J321" s="1381"/>
      <c r="K321" s="1381"/>
      <c r="L321" s="1381"/>
      <c r="M321" s="1381"/>
      <c r="N321" s="1381"/>
      <c r="O321" s="1381"/>
      <c r="P321" s="1381"/>
      <c r="Q321" s="1381"/>
      <c r="R321" s="1381"/>
      <c r="T321" s="1349"/>
      <c r="U321" s="1349" t="s">
        <v>123</v>
      </c>
      <c r="V321" s="1349" t="s">
        <v>123</v>
      </c>
      <c r="W321" s="1349"/>
      <c r="X321" s="1349"/>
      <c r="Y321" s="1308"/>
      <c r="Z321" s="437" t="str">
        <f>IFERROR(__xludf.DUMMYFUNCTION("IF(NOT('portfólio'!$AV$7),"""",IF($T321="""","""",IFERROR(query({AtivosDados},""select sum(""&amp;Z$3&amp;"") where Col1='""&amp;$T321&amp;""' label sum(""&amp;Z$3&amp;"") ''""),0)))"),"")</f>
        <v/>
      </c>
      <c r="AA321" s="437" t="str">
        <f>IFERROR(__xludf.DUMMYFUNCTION("IF(NOT('portfólio'!$AV$7),"""",IF($T321="""","""",IFERROR(query({AtivosDados},""select sum(""&amp;AA$3&amp;"") where Col1='""&amp;$T321&amp;""' label sum(""&amp;AA$3&amp;"") ''""),0)))"),"")</f>
        <v/>
      </c>
      <c r="AB321" s="437" t="str">
        <f>IFERROR(__xludf.DUMMYFUNCTION("IF(NOT('portfólio'!$AV$7),"""",IF($T321="""","""",IFERROR(query({AtivosDados},""select sum(""&amp;AB$3&amp;"") where Col1='""&amp;$T321&amp;""' label sum(""&amp;AB$3&amp;"") ''""),0)))"),"")</f>
        <v/>
      </c>
      <c r="AC321" s="437" t="str">
        <f>IFERROR(__xludf.DUMMYFUNCTION("IF(NOT('portfólio'!$AV$7),"""",IF($T321="""","""",IFERROR(query({AtivosDados},""select sum(""&amp;AC$3&amp;"") where Col1='""&amp;$T321&amp;""' label sum(""&amp;AC$3&amp;"") ''""),0)))"),"")</f>
        <v/>
      </c>
      <c r="AD321" s="437" t="str">
        <f>IFERROR(__xludf.DUMMYFUNCTION("IF(NOT('portfólio'!$AV$7),"""",IF($T321="""","""",IFERROR(query({AtivosDados},""select sum(""&amp;AD$3&amp;"") where Col1='""&amp;$T321&amp;""' label sum(""&amp;AD$3&amp;"") ''""),0)))"),"")</f>
        <v/>
      </c>
      <c r="AE321" s="437"/>
      <c r="AF321" s="1327"/>
      <c r="AG321" s="437"/>
      <c r="AH321" s="437"/>
      <c r="AI321" s="437"/>
      <c r="AJ321" s="437"/>
      <c r="AK321" s="437"/>
      <c r="AL321" s="437"/>
      <c r="AM321" s="437"/>
      <c r="AN321" s="437"/>
      <c r="AO321" s="437"/>
      <c r="AP321" s="437"/>
      <c r="AQ321" s="1327"/>
      <c r="AR321" s="437"/>
      <c r="AS321" s="437"/>
      <c r="AT321" s="437"/>
      <c r="AU321" s="437"/>
      <c r="AV321" s="437"/>
      <c r="AW321" s="437"/>
      <c r="AX321" s="437"/>
      <c r="AY321" s="437"/>
      <c r="AZ321" s="437"/>
      <c r="BA321" s="437"/>
      <c r="BB321" s="1327"/>
      <c r="BC321" s="437"/>
      <c r="BD321" s="437"/>
      <c r="BE321" s="437"/>
      <c r="BF321" s="437"/>
      <c r="BG321" s="437"/>
      <c r="BH321" s="437"/>
      <c r="BI321" s="437"/>
      <c r="BJ321" s="437"/>
      <c r="BK321" s="437"/>
      <c r="BL321" s="437"/>
      <c r="BM321" s="1327"/>
      <c r="BN321" s="1327"/>
      <c r="BO321" s="1327"/>
      <c r="BP321" s="1327"/>
      <c r="BQ321" s="1327"/>
      <c r="BR321" s="1327"/>
      <c r="BS321" s="1327"/>
      <c r="BT321" s="1327"/>
      <c r="BU321" s="1327"/>
      <c r="BV321" s="1327"/>
      <c r="BW321" s="1327"/>
      <c r="BX321" s="1327"/>
      <c r="BY321" s="1327"/>
      <c r="BZ321" s="1327"/>
      <c r="CA321" s="1327"/>
      <c r="CB321" s="1327"/>
      <c r="CC321" s="1327"/>
      <c r="CD321" s="1327"/>
      <c r="CE321" s="1327"/>
      <c r="CF321" s="1327"/>
      <c r="CG321" s="1327"/>
      <c r="CH321" s="1327"/>
      <c r="CI321" s="1327"/>
      <c r="CJ321" s="1327"/>
      <c r="CK321" s="1327"/>
      <c r="CL321" s="1327"/>
      <c r="CM321" s="1327"/>
      <c r="CN321" s="1327"/>
      <c r="CO321" s="1327"/>
      <c r="CP321" s="1327"/>
      <c r="CQ321" s="1327"/>
      <c r="CR321" s="1327"/>
      <c r="CS321" s="1327"/>
      <c r="CT321" s="1317"/>
      <c r="CU321" s="1317"/>
      <c r="CV321" s="1317"/>
      <c r="CW321" s="1317"/>
      <c r="CX321" s="1317"/>
      <c r="CY321" s="1317"/>
      <c r="CZ321" s="1317"/>
      <c r="DA321" s="1317"/>
      <c r="DB321" s="1317"/>
      <c r="DC321" s="1317"/>
      <c r="DD321" s="1317"/>
      <c r="DE321" s="1317"/>
      <c r="DF321" s="1317"/>
      <c r="DG321" s="1317"/>
    </row>
    <row r="322" ht="18.75" customHeight="1">
      <c r="G322" s="1344"/>
      <c r="H322" s="1345">
        <f t="shared" si="4"/>
        <v>0</v>
      </c>
      <c r="I322" s="1381"/>
      <c r="J322" s="1381"/>
      <c r="K322" s="1381"/>
      <c r="L322" s="1381"/>
      <c r="M322" s="1381"/>
      <c r="N322" s="1381"/>
      <c r="O322" s="1381"/>
      <c r="P322" s="1381"/>
      <c r="Q322" s="1381"/>
      <c r="R322" s="1381"/>
      <c r="T322" s="1349"/>
      <c r="U322" s="1349" t="s">
        <v>123</v>
      </c>
      <c r="V322" s="1349" t="s">
        <v>123</v>
      </c>
      <c r="W322" s="1349"/>
      <c r="X322" s="1349"/>
      <c r="Y322" s="1308"/>
      <c r="Z322" s="437" t="str">
        <f>IFERROR(__xludf.DUMMYFUNCTION("IF(NOT('portfólio'!$AV$7),"""",IF($T322="""","""",IFERROR(query({AtivosDados},""select sum(""&amp;Z$3&amp;"") where Col1='""&amp;$T322&amp;""' label sum(""&amp;Z$3&amp;"") ''""),0)))"),"")</f>
        <v/>
      </c>
      <c r="AA322" s="437" t="str">
        <f>IFERROR(__xludf.DUMMYFUNCTION("IF(NOT('portfólio'!$AV$7),"""",IF($T322="""","""",IFERROR(query({AtivosDados},""select sum(""&amp;AA$3&amp;"") where Col1='""&amp;$T322&amp;""' label sum(""&amp;AA$3&amp;"") ''""),0)))"),"")</f>
        <v/>
      </c>
      <c r="AB322" s="437" t="str">
        <f>IFERROR(__xludf.DUMMYFUNCTION("IF(NOT('portfólio'!$AV$7),"""",IF($T322="""","""",IFERROR(query({AtivosDados},""select sum(""&amp;AB$3&amp;"") where Col1='""&amp;$T322&amp;""' label sum(""&amp;AB$3&amp;"") ''""),0)))"),"")</f>
        <v/>
      </c>
      <c r="AC322" s="437" t="str">
        <f>IFERROR(__xludf.DUMMYFUNCTION("IF(NOT('portfólio'!$AV$7),"""",IF($T322="""","""",IFERROR(query({AtivosDados},""select sum(""&amp;AC$3&amp;"") where Col1='""&amp;$T322&amp;""' label sum(""&amp;AC$3&amp;"") ''""),0)))"),"")</f>
        <v/>
      </c>
      <c r="AD322" s="437" t="str">
        <f>IFERROR(__xludf.DUMMYFUNCTION("IF(NOT('portfólio'!$AV$7),"""",IF($T322="""","""",IFERROR(query({AtivosDados},""select sum(""&amp;AD$3&amp;"") where Col1='""&amp;$T322&amp;""' label sum(""&amp;AD$3&amp;"") ''""),0)))"),"")</f>
        <v/>
      </c>
      <c r="AE322" s="437"/>
      <c r="AF322" s="1327"/>
      <c r="AG322" s="437"/>
      <c r="AH322" s="437"/>
      <c r="AI322" s="437"/>
      <c r="AJ322" s="437"/>
      <c r="AK322" s="437"/>
      <c r="AL322" s="437"/>
      <c r="AM322" s="437"/>
      <c r="AN322" s="437"/>
      <c r="AO322" s="437"/>
      <c r="AP322" s="437"/>
      <c r="AQ322" s="1327"/>
      <c r="AR322" s="437"/>
      <c r="AS322" s="437"/>
      <c r="AT322" s="437"/>
      <c r="AU322" s="437"/>
      <c r="AV322" s="437"/>
      <c r="AW322" s="437"/>
      <c r="AX322" s="437"/>
      <c r="AY322" s="437"/>
      <c r="AZ322" s="437"/>
      <c r="BA322" s="437"/>
      <c r="BB322" s="1327"/>
      <c r="BC322" s="437"/>
      <c r="BD322" s="437"/>
      <c r="BE322" s="437"/>
      <c r="BF322" s="437"/>
      <c r="BG322" s="437"/>
      <c r="BH322" s="437"/>
      <c r="BI322" s="437"/>
      <c r="BJ322" s="437"/>
      <c r="BK322" s="437"/>
      <c r="BL322" s="437"/>
      <c r="BM322" s="1327"/>
      <c r="BN322" s="1327"/>
      <c r="BO322" s="1327"/>
      <c r="BP322" s="1327"/>
      <c r="BQ322" s="1327"/>
      <c r="BR322" s="1327"/>
      <c r="BS322" s="1327"/>
      <c r="BT322" s="1327"/>
      <c r="BU322" s="1327"/>
      <c r="BV322" s="1327"/>
      <c r="BW322" s="1327"/>
      <c r="BX322" s="1327"/>
      <c r="BY322" s="1327"/>
      <c r="BZ322" s="1327"/>
      <c r="CA322" s="1327"/>
      <c r="CB322" s="1327"/>
      <c r="CC322" s="1327"/>
      <c r="CD322" s="1327"/>
      <c r="CE322" s="1327"/>
      <c r="CF322" s="1327"/>
      <c r="CG322" s="1327"/>
      <c r="CH322" s="1327"/>
      <c r="CI322" s="1327"/>
      <c r="CJ322" s="1327"/>
      <c r="CK322" s="1327"/>
      <c r="CL322" s="1327"/>
      <c r="CM322" s="1327"/>
      <c r="CN322" s="1327"/>
      <c r="CO322" s="1327"/>
      <c r="CP322" s="1327"/>
      <c r="CQ322" s="1327"/>
      <c r="CR322" s="1327"/>
      <c r="CS322" s="1327"/>
      <c r="CT322" s="1317"/>
      <c r="CU322" s="1317"/>
      <c r="CV322" s="1317"/>
      <c r="CW322" s="1317"/>
      <c r="CX322" s="1317"/>
      <c r="CY322" s="1317"/>
      <c r="CZ322" s="1317"/>
      <c r="DA322" s="1317"/>
      <c r="DB322" s="1317"/>
      <c r="DC322" s="1317"/>
      <c r="DD322" s="1317"/>
      <c r="DE322" s="1317"/>
      <c r="DF322" s="1317"/>
      <c r="DG322" s="1317"/>
    </row>
    <row r="323" ht="18.75" customHeight="1">
      <c r="G323" s="1344"/>
      <c r="H323" s="1345">
        <f t="shared" si="4"/>
        <v>0</v>
      </c>
      <c r="I323" s="1381"/>
      <c r="J323" s="1381"/>
      <c r="K323" s="1381"/>
      <c r="L323" s="1381"/>
      <c r="M323" s="1381"/>
      <c r="N323" s="1381"/>
      <c r="O323" s="1381"/>
      <c r="P323" s="1381"/>
      <c r="Q323" s="1381"/>
      <c r="R323" s="1381"/>
      <c r="T323" s="1349"/>
      <c r="U323" s="1349" t="s">
        <v>123</v>
      </c>
      <c r="V323" s="1349" t="s">
        <v>123</v>
      </c>
      <c r="W323" s="1349"/>
      <c r="X323" s="1349"/>
      <c r="Y323" s="1308"/>
      <c r="Z323" s="437" t="str">
        <f>IFERROR(__xludf.DUMMYFUNCTION("IF(NOT('portfólio'!$AV$7),"""",IF($T323="""","""",IFERROR(query({AtivosDados},""select sum(""&amp;Z$3&amp;"") where Col1='""&amp;$T323&amp;""' label sum(""&amp;Z$3&amp;"") ''""),0)))"),"")</f>
        <v/>
      </c>
      <c r="AA323" s="437" t="str">
        <f>IFERROR(__xludf.DUMMYFUNCTION("IF(NOT('portfólio'!$AV$7),"""",IF($T323="""","""",IFERROR(query({AtivosDados},""select sum(""&amp;AA$3&amp;"") where Col1='""&amp;$T323&amp;""' label sum(""&amp;AA$3&amp;"") ''""),0)))"),"")</f>
        <v/>
      </c>
      <c r="AB323" s="437" t="str">
        <f>IFERROR(__xludf.DUMMYFUNCTION("IF(NOT('portfólio'!$AV$7),"""",IF($T323="""","""",IFERROR(query({AtivosDados},""select sum(""&amp;AB$3&amp;"") where Col1='""&amp;$T323&amp;""' label sum(""&amp;AB$3&amp;"") ''""),0)))"),"")</f>
        <v/>
      </c>
      <c r="AC323" s="437" t="str">
        <f>IFERROR(__xludf.DUMMYFUNCTION("IF(NOT('portfólio'!$AV$7),"""",IF($T323="""","""",IFERROR(query({AtivosDados},""select sum(""&amp;AC$3&amp;"") where Col1='""&amp;$T323&amp;""' label sum(""&amp;AC$3&amp;"") ''""),0)))"),"")</f>
        <v/>
      </c>
      <c r="AD323" s="437" t="str">
        <f>IFERROR(__xludf.DUMMYFUNCTION("IF(NOT('portfólio'!$AV$7),"""",IF($T323="""","""",IFERROR(query({AtivosDados},""select sum(""&amp;AD$3&amp;"") where Col1='""&amp;$T323&amp;""' label sum(""&amp;AD$3&amp;"") ''""),0)))"),"")</f>
        <v/>
      </c>
      <c r="AE323" s="437"/>
      <c r="AF323" s="1327"/>
      <c r="AG323" s="437"/>
      <c r="AH323" s="437"/>
      <c r="AI323" s="437"/>
      <c r="AJ323" s="437"/>
      <c r="AK323" s="437"/>
      <c r="AL323" s="437"/>
      <c r="AM323" s="437"/>
      <c r="AN323" s="437"/>
      <c r="AO323" s="437"/>
      <c r="AP323" s="437"/>
      <c r="AQ323" s="1327"/>
      <c r="AR323" s="437"/>
      <c r="AS323" s="437"/>
      <c r="AT323" s="437"/>
      <c r="AU323" s="437"/>
      <c r="AV323" s="437"/>
      <c r="AW323" s="437"/>
      <c r="AX323" s="437"/>
      <c r="AY323" s="437"/>
      <c r="AZ323" s="437"/>
      <c r="BA323" s="437"/>
      <c r="BB323" s="1327"/>
      <c r="BC323" s="437"/>
      <c r="BD323" s="437"/>
      <c r="BE323" s="437"/>
      <c r="BF323" s="437"/>
      <c r="BG323" s="437"/>
      <c r="BH323" s="437"/>
      <c r="BI323" s="437"/>
      <c r="BJ323" s="437"/>
      <c r="BK323" s="437"/>
      <c r="BL323" s="437"/>
      <c r="BM323" s="1327"/>
      <c r="BN323" s="1327"/>
      <c r="BO323" s="1327"/>
      <c r="BP323" s="1327"/>
      <c r="BQ323" s="1327"/>
      <c r="BR323" s="1327"/>
      <c r="BS323" s="1327"/>
      <c r="BT323" s="1327"/>
      <c r="BU323" s="1327"/>
      <c r="BV323" s="1327"/>
      <c r="BW323" s="1327"/>
      <c r="BX323" s="1327"/>
      <c r="BY323" s="1327"/>
      <c r="BZ323" s="1327"/>
      <c r="CA323" s="1327"/>
      <c r="CB323" s="1327"/>
      <c r="CC323" s="1327"/>
      <c r="CD323" s="1327"/>
      <c r="CE323" s="1327"/>
      <c r="CF323" s="1327"/>
      <c r="CG323" s="1327"/>
      <c r="CH323" s="1327"/>
      <c r="CI323" s="1327"/>
      <c r="CJ323" s="1327"/>
      <c r="CK323" s="1327"/>
      <c r="CL323" s="1327"/>
      <c r="CM323" s="1327"/>
      <c r="CN323" s="1327"/>
      <c r="CO323" s="1327"/>
      <c r="CP323" s="1327"/>
      <c r="CQ323" s="1327"/>
      <c r="CR323" s="1327"/>
      <c r="CS323" s="1327"/>
      <c r="CT323" s="1317"/>
      <c r="CU323" s="1317"/>
      <c r="CV323" s="1317"/>
      <c r="CW323" s="1317"/>
      <c r="CX323" s="1317"/>
      <c r="CY323" s="1317"/>
      <c r="CZ323" s="1317"/>
      <c r="DA323" s="1317"/>
      <c r="DB323" s="1317"/>
      <c r="DC323" s="1317"/>
      <c r="DD323" s="1317"/>
      <c r="DE323" s="1317"/>
      <c r="DF323" s="1317"/>
      <c r="DG323" s="1317"/>
    </row>
    <row r="324" ht="18.75" customHeight="1">
      <c r="G324" s="1344"/>
      <c r="H324" s="1345">
        <f t="shared" si="4"/>
        <v>0</v>
      </c>
      <c r="I324" s="1381"/>
      <c r="J324" s="1381"/>
      <c r="K324" s="1381"/>
      <c r="L324" s="1381"/>
      <c r="M324" s="1381"/>
      <c r="N324" s="1381"/>
      <c r="O324" s="1381"/>
      <c r="P324" s="1381"/>
      <c r="Q324" s="1381"/>
      <c r="R324" s="1381"/>
      <c r="T324" s="1349"/>
      <c r="U324" s="1349" t="s">
        <v>123</v>
      </c>
      <c r="V324" s="1349" t="s">
        <v>123</v>
      </c>
      <c r="W324" s="1349"/>
      <c r="X324" s="1349"/>
      <c r="Y324" s="1308"/>
      <c r="Z324" s="437" t="str">
        <f>IFERROR(__xludf.DUMMYFUNCTION("IF(NOT('portfólio'!$AV$7),"""",IF($T324="""","""",IFERROR(query({AtivosDados},""select sum(""&amp;Z$3&amp;"") where Col1='""&amp;$T324&amp;""' label sum(""&amp;Z$3&amp;"") ''""),0)))"),"")</f>
        <v/>
      </c>
      <c r="AA324" s="437" t="str">
        <f>IFERROR(__xludf.DUMMYFUNCTION("IF(NOT('portfólio'!$AV$7),"""",IF($T324="""","""",IFERROR(query({AtivosDados},""select sum(""&amp;AA$3&amp;"") where Col1='""&amp;$T324&amp;""' label sum(""&amp;AA$3&amp;"") ''""),0)))"),"")</f>
        <v/>
      </c>
      <c r="AB324" s="437" t="str">
        <f>IFERROR(__xludf.DUMMYFUNCTION("IF(NOT('portfólio'!$AV$7),"""",IF($T324="""","""",IFERROR(query({AtivosDados},""select sum(""&amp;AB$3&amp;"") where Col1='""&amp;$T324&amp;""' label sum(""&amp;AB$3&amp;"") ''""),0)))"),"")</f>
        <v/>
      </c>
      <c r="AC324" s="437" t="str">
        <f>IFERROR(__xludf.DUMMYFUNCTION("IF(NOT('portfólio'!$AV$7),"""",IF($T324="""","""",IFERROR(query({AtivosDados},""select sum(""&amp;AC$3&amp;"") where Col1='""&amp;$T324&amp;""' label sum(""&amp;AC$3&amp;"") ''""),0)))"),"")</f>
        <v/>
      </c>
      <c r="AD324" s="437" t="str">
        <f>IFERROR(__xludf.DUMMYFUNCTION("IF(NOT('portfólio'!$AV$7),"""",IF($T324="""","""",IFERROR(query({AtivosDados},""select sum(""&amp;AD$3&amp;"") where Col1='""&amp;$T324&amp;""' label sum(""&amp;AD$3&amp;"") ''""),0)))"),"")</f>
        <v/>
      </c>
      <c r="AE324" s="437"/>
      <c r="AF324" s="1327"/>
      <c r="AG324" s="437"/>
      <c r="AH324" s="437"/>
      <c r="AI324" s="437"/>
      <c r="AJ324" s="437"/>
      <c r="AK324" s="437"/>
      <c r="AL324" s="437"/>
      <c r="AM324" s="437"/>
      <c r="AN324" s="437"/>
      <c r="AO324" s="437"/>
      <c r="AP324" s="437"/>
      <c r="AQ324" s="1327"/>
      <c r="AR324" s="437"/>
      <c r="AS324" s="437"/>
      <c r="AT324" s="437"/>
      <c r="AU324" s="437"/>
      <c r="AV324" s="437"/>
      <c r="AW324" s="437"/>
      <c r="AX324" s="437"/>
      <c r="AY324" s="437"/>
      <c r="AZ324" s="437"/>
      <c r="BA324" s="437"/>
      <c r="BB324" s="1327"/>
      <c r="BC324" s="437"/>
      <c r="BD324" s="437"/>
      <c r="BE324" s="437"/>
      <c r="BF324" s="437"/>
      <c r="BG324" s="437"/>
      <c r="BH324" s="437"/>
      <c r="BI324" s="437"/>
      <c r="BJ324" s="437"/>
      <c r="BK324" s="437"/>
      <c r="BL324" s="437"/>
      <c r="BM324" s="1327"/>
      <c r="BN324" s="1327"/>
      <c r="BO324" s="1327"/>
      <c r="BP324" s="1327"/>
      <c r="BQ324" s="1327"/>
      <c r="BR324" s="1327"/>
      <c r="BS324" s="1327"/>
      <c r="BT324" s="1327"/>
      <c r="BU324" s="1327"/>
      <c r="BV324" s="1327"/>
      <c r="BW324" s="1327"/>
      <c r="BX324" s="1327"/>
      <c r="BY324" s="1327"/>
      <c r="BZ324" s="1327"/>
      <c r="CA324" s="1327"/>
      <c r="CB324" s="1327"/>
      <c r="CC324" s="1327"/>
      <c r="CD324" s="1327"/>
      <c r="CE324" s="1327"/>
      <c r="CF324" s="1327"/>
      <c r="CG324" s="1327"/>
      <c r="CH324" s="1327"/>
      <c r="CI324" s="1327"/>
      <c r="CJ324" s="1327"/>
      <c r="CK324" s="1327"/>
      <c r="CL324" s="1327"/>
      <c r="CM324" s="1327"/>
      <c r="CN324" s="1327"/>
      <c r="CO324" s="1327"/>
      <c r="CP324" s="1327"/>
      <c r="CQ324" s="1327"/>
      <c r="CR324" s="1327"/>
      <c r="CS324" s="1327"/>
      <c r="CT324" s="1317"/>
      <c r="CU324" s="1317"/>
      <c r="CV324" s="1317"/>
      <c r="CW324" s="1317"/>
      <c r="CX324" s="1317"/>
      <c r="CY324" s="1317"/>
      <c r="CZ324" s="1317"/>
      <c r="DA324" s="1317"/>
      <c r="DB324" s="1317"/>
      <c r="DC324" s="1317"/>
      <c r="DD324" s="1317"/>
      <c r="DE324" s="1317"/>
      <c r="DF324" s="1317"/>
      <c r="DG324" s="1317"/>
    </row>
    <row r="325" ht="18.75" customHeight="1">
      <c r="G325" s="1344"/>
      <c r="H325" s="1345">
        <f t="shared" si="4"/>
        <v>0</v>
      </c>
      <c r="I325" s="1381"/>
      <c r="J325" s="1381"/>
      <c r="K325" s="1381"/>
      <c r="L325" s="1381"/>
      <c r="M325" s="1381"/>
      <c r="N325" s="1381"/>
      <c r="O325" s="1381"/>
      <c r="P325" s="1381"/>
      <c r="Q325" s="1381"/>
      <c r="R325" s="1381"/>
      <c r="T325" s="1349"/>
      <c r="U325" s="1349" t="s">
        <v>123</v>
      </c>
      <c r="V325" s="1349" t="s">
        <v>123</v>
      </c>
      <c r="W325" s="1349"/>
      <c r="X325" s="1349"/>
      <c r="Y325" s="1308"/>
      <c r="Z325" s="437" t="str">
        <f>IFERROR(__xludf.DUMMYFUNCTION("IF(NOT('portfólio'!$AV$7),"""",IF($T325="""","""",IFERROR(query({AtivosDados},""select sum(""&amp;Z$3&amp;"") where Col1='""&amp;$T325&amp;""' label sum(""&amp;Z$3&amp;"") ''""),0)))"),"")</f>
        <v/>
      </c>
      <c r="AA325" s="437" t="str">
        <f>IFERROR(__xludf.DUMMYFUNCTION("IF(NOT('portfólio'!$AV$7),"""",IF($T325="""","""",IFERROR(query({AtivosDados},""select sum(""&amp;AA$3&amp;"") where Col1='""&amp;$T325&amp;""' label sum(""&amp;AA$3&amp;"") ''""),0)))"),"")</f>
        <v/>
      </c>
      <c r="AB325" s="437" t="str">
        <f>IFERROR(__xludf.DUMMYFUNCTION("IF(NOT('portfólio'!$AV$7),"""",IF($T325="""","""",IFERROR(query({AtivosDados},""select sum(""&amp;AB$3&amp;"") where Col1='""&amp;$T325&amp;""' label sum(""&amp;AB$3&amp;"") ''""),0)))"),"")</f>
        <v/>
      </c>
      <c r="AC325" s="437" t="str">
        <f>IFERROR(__xludf.DUMMYFUNCTION("IF(NOT('portfólio'!$AV$7),"""",IF($T325="""","""",IFERROR(query({AtivosDados},""select sum(""&amp;AC$3&amp;"") where Col1='""&amp;$T325&amp;""' label sum(""&amp;AC$3&amp;"") ''""),0)))"),"")</f>
        <v/>
      </c>
      <c r="AD325" s="437" t="str">
        <f>IFERROR(__xludf.DUMMYFUNCTION("IF(NOT('portfólio'!$AV$7),"""",IF($T325="""","""",IFERROR(query({AtivosDados},""select sum(""&amp;AD$3&amp;"") where Col1='""&amp;$T325&amp;""' label sum(""&amp;AD$3&amp;"") ''""),0)))"),"")</f>
        <v/>
      </c>
      <c r="AE325" s="437"/>
      <c r="AF325" s="1327"/>
      <c r="AG325" s="437"/>
      <c r="AH325" s="437"/>
      <c r="AI325" s="437"/>
      <c r="AJ325" s="437"/>
      <c r="AK325" s="437"/>
      <c r="AL325" s="437"/>
      <c r="AM325" s="437"/>
      <c r="AN325" s="437"/>
      <c r="AO325" s="437"/>
      <c r="AP325" s="437"/>
      <c r="AQ325" s="1327"/>
      <c r="AR325" s="437"/>
      <c r="AS325" s="437"/>
      <c r="AT325" s="437"/>
      <c r="AU325" s="437"/>
      <c r="AV325" s="437"/>
      <c r="AW325" s="437"/>
      <c r="AX325" s="437"/>
      <c r="AY325" s="437"/>
      <c r="AZ325" s="437"/>
      <c r="BA325" s="437"/>
      <c r="BB325" s="1327"/>
      <c r="BC325" s="437"/>
      <c r="BD325" s="437"/>
      <c r="BE325" s="437"/>
      <c r="BF325" s="437"/>
      <c r="BG325" s="437"/>
      <c r="BH325" s="437"/>
      <c r="BI325" s="437"/>
      <c r="BJ325" s="437"/>
      <c r="BK325" s="437"/>
      <c r="BL325" s="437"/>
      <c r="BM325" s="1327"/>
      <c r="BN325" s="1327"/>
      <c r="BO325" s="1327"/>
      <c r="BP325" s="1327"/>
      <c r="BQ325" s="1327"/>
      <c r="BR325" s="1327"/>
      <c r="BS325" s="1327"/>
      <c r="BT325" s="1327"/>
      <c r="BU325" s="1327"/>
      <c r="BV325" s="1327"/>
      <c r="BW325" s="1327"/>
      <c r="BX325" s="1327"/>
      <c r="BY325" s="1327"/>
      <c r="BZ325" s="1327"/>
      <c r="CA325" s="1327"/>
      <c r="CB325" s="1327"/>
      <c r="CC325" s="1327"/>
      <c r="CD325" s="1327"/>
      <c r="CE325" s="1327"/>
      <c r="CF325" s="1327"/>
      <c r="CG325" s="1327"/>
      <c r="CH325" s="1327"/>
      <c r="CI325" s="1327"/>
      <c r="CJ325" s="1327"/>
      <c r="CK325" s="1327"/>
      <c r="CL325" s="1327"/>
      <c r="CM325" s="1327"/>
      <c r="CN325" s="1327"/>
      <c r="CO325" s="1327"/>
      <c r="CP325" s="1327"/>
      <c r="CQ325" s="1327"/>
      <c r="CR325" s="1327"/>
      <c r="CS325" s="1327"/>
      <c r="CT325" s="1317"/>
      <c r="CU325" s="1317"/>
      <c r="CV325" s="1317"/>
      <c r="CW325" s="1317"/>
      <c r="CX325" s="1317"/>
      <c r="CY325" s="1317"/>
      <c r="CZ325" s="1317"/>
      <c r="DA325" s="1317"/>
      <c r="DB325" s="1317"/>
      <c r="DC325" s="1317"/>
      <c r="DD325" s="1317"/>
      <c r="DE325" s="1317"/>
      <c r="DF325" s="1317"/>
      <c r="DG325" s="1317"/>
    </row>
    <row r="326" ht="18.75" customHeight="1">
      <c r="G326" s="1344"/>
      <c r="H326" s="1345">
        <f t="shared" si="4"/>
        <v>0</v>
      </c>
      <c r="I326" s="1381"/>
      <c r="J326" s="1381"/>
      <c r="K326" s="1381"/>
      <c r="L326" s="1381"/>
      <c r="M326" s="1381"/>
      <c r="N326" s="1381"/>
      <c r="O326" s="1381"/>
      <c r="P326" s="1381"/>
      <c r="Q326" s="1381"/>
      <c r="R326" s="1381"/>
      <c r="T326" s="1349"/>
      <c r="U326" s="1349" t="s">
        <v>123</v>
      </c>
      <c r="V326" s="1349" t="s">
        <v>123</v>
      </c>
      <c r="W326" s="1349"/>
      <c r="X326" s="1349"/>
      <c r="Y326" s="1308"/>
      <c r="Z326" s="437" t="str">
        <f>IFERROR(__xludf.DUMMYFUNCTION("IF(NOT('portfólio'!$AV$7),"""",IF($T326="""","""",IFERROR(query({AtivosDados},""select sum(""&amp;Z$3&amp;"") where Col1='""&amp;$T326&amp;""' label sum(""&amp;Z$3&amp;"") ''""),0)))"),"")</f>
        <v/>
      </c>
      <c r="AA326" s="437" t="str">
        <f>IFERROR(__xludf.DUMMYFUNCTION("IF(NOT('portfólio'!$AV$7),"""",IF($T326="""","""",IFERROR(query({AtivosDados},""select sum(""&amp;AA$3&amp;"") where Col1='""&amp;$T326&amp;""' label sum(""&amp;AA$3&amp;"") ''""),0)))"),"")</f>
        <v/>
      </c>
      <c r="AB326" s="437" t="str">
        <f>IFERROR(__xludf.DUMMYFUNCTION("IF(NOT('portfólio'!$AV$7),"""",IF($T326="""","""",IFERROR(query({AtivosDados},""select sum(""&amp;AB$3&amp;"") where Col1='""&amp;$T326&amp;""' label sum(""&amp;AB$3&amp;"") ''""),0)))"),"")</f>
        <v/>
      </c>
      <c r="AC326" s="437" t="str">
        <f>IFERROR(__xludf.DUMMYFUNCTION("IF(NOT('portfólio'!$AV$7),"""",IF($T326="""","""",IFERROR(query({AtivosDados},""select sum(""&amp;AC$3&amp;"") where Col1='""&amp;$T326&amp;""' label sum(""&amp;AC$3&amp;"") ''""),0)))"),"")</f>
        <v/>
      </c>
      <c r="AD326" s="437" t="str">
        <f>IFERROR(__xludf.DUMMYFUNCTION("IF(NOT('portfólio'!$AV$7),"""",IF($T326="""","""",IFERROR(query({AtivosDados},""select sum(""&amp;AD$3&amp;"") where Col1='""&amp;$T326&amp;""' label sum(""&amp;AD$3&amp;"") ''""),0)))"),"")</f>
        <v/>
      </c>
      <c r="AE326" s="437"/>
      <c r="AF326" s="1327"/>
      <c r="AG326" s="437"/>
      <c r="AH326" s="437"/>
      <c r="AI326" s="437"/>
      <c r="AJ326" s="437"/>
      <c r="AK326" s="437"/>
      <c r="AL326" s="437"/>
      <c r="AM326" s="437"/>
      <c r="AN326" s="437"/>
      <c r="AO326" s="437"/>
      <c r="AP326" s="437"/>
      <c r="AQ326" s="1327"/>
      <c r="AR326" s="437"/>
      <c r="AS326" s="437"/>
      <c r="AT326" s="437"/>
      <c r="AU326" s="437"/>
      <c r="AV326" s="437"/>
      <c r="AW326" s="437"/>
      <c r="AX326" s="437"/>
      <c r="AY326" s="437"/>
      <c r="AZ326" s="437"/>
      <c r="BA326" s="437"/>
      <c r="BB326" s="1327"/>
      <c r="BC326" s="437"/>
      <c r="BD326" s="437"/>
      <c r="BE326" s="437"/>
      <c r="BF326" s="437"/>
      <c r="BG326" s="437"/>
      <c r="BH326" s="437"/>
      <c r="BI326" s="437"/>
      <c r="BJ326" s="437"/>
      <c r="BK326" s="437"/>
      <c r="BL326" s="437"/>
      <c r="BM326" s="1327"/>
      <c r="BN326" s="1327"/>
      <c r="BO326" s="1327"/>
      <c r="BP326" s="1327"/>
      <c r="BQ326" s="1327"/>
      <c r="BR326" s="1327"/>
      <c r="BS326" s="1327"/>
      <c r="BT326" s="1327"/>
      <c r="BU326" s="1327"/>
      <c r="BV326" s="1327"/>
      <c r="BW326" s="1327"/>
      <c r="BX326" s="1327"/>
      <c r="BY326" s="1327"/>
      <c r="BZ326" s="1327"/>
      <c r="CA326" s="1327"/>
      <c r="CB326" s="1327"/>
      <c r="CC326" s="1327"/>
      <c r="CD326" s="1327"/>
      <c r="CE326" s="1327"/>
      <c r="CF326" s="1327"/>
      <c r="CG326" s="1327"/>
      <c r="CH326" s="1327"/>
      <c r="CI326" s="1327"/>
      <c r="CJ326" s="1327"/>
      <c r="CK326" s="1327"/>
      <c r="CL326" s="1327"/>
      <c r="CM326" s="1327"/>
      <c r="CN326" s="1327"/>
      <c r="CO326" s="1327"/>
      <c r="CP326" s="1327"/>
      <c r="CQ326" s="1327"/>
      <c r="CR326" s="1327"/>
      <c r="CS326" s="1327"/>
      <c r="CT326" s="1317"/>
      <c r="CU326" s="1317"/>
      <c r="CV326" s="1317"/>
      <c r="CW326" s="1317"/>
      <c r="CX326" s="1317"/>
      <c r="CY326" s="1317"/>
      <c r="CZ326" s="1317"/>
      <c r="DA326" s="1317"/>
      <c r="DB326" s="1317"/>
      <c r="DC326" s="1317"/>
      <c r="DD326" s="1317"/>
      <c r="DE326" s="1317"/>
      <c r="DF326" s="1317"/>
      <c r="DG326" s="1317"/>
    </row>
    <row r="327" ht="18.75" customHeight="1">
      <c r="G327" s="1344"/>
      <c r="H327" s="1345">
        <f t="shared" si="4"/>
        <v>0</v>
      </c>
      <c r="I327" s="1381"/>
      <c r="J327" s="1381"/>
      <c r="K327" s="1381"/>
      <c r="L327" s="1381"/>
      <c r="M327" s="1381"/>
      <c r="N327" s="1381"/>
      <c r="O327" s="1381"/>
      <c r="P327" s="1381"/>
      <c r="Q327" s="1381"/>
      <c r="R327" s="1381"/>
      <c r="T327" s="1349"/>
      <c r="U327" s="1349" t="s">
        <v>123</v>
      </c>
      <c r="V327" s="1349" t="s">
        <v>123</v>
      </c>
      <c r="W327" s="1349"/>
      <c r="X327" s="1349"/>
      <c r="Y327" s="1308"/>
      <c r="Z327" s="437" t="str">
        <f>IFERROR(__xludf.DUMMYFUNCTION("IF(NOT('portfólio'!$AV$7),"""",IF($T327="""","""",IFERROR(query({AtivosDados},""select sum(""&amp;Z$3&amp;"") where Col1='""&amp;$T327&amp;""' label sum(""&amp;Z$3&amp;"") ''""),0)))"),"")</f>
        <v/>
      </c>
      <c r="AA327" s="437" t="str">
        <f>IFERROR(__xludf.DUMMYFUNCTION("IF(NOT('portfólio'!$AV$7),"""",IF($T327="""","""",IFERROR(query({AtivosDados},""select sum(""&amp;AA$3&amp;"") where Col1='""&amp;$T327&amp;""' label sum(""&amp;AA$3&amp;"") ''""),0)))"),"")</f>
        <v/>
      </c>
      <c r="AB327" s="437" t="str">
        <f>IFERROR(__xludf.DUMMYFUNCTION("IF(NOT('portfólio'!$AV$7),"""",IF($T327="""","""",IFERROR(query({AtivosDados},""select sum(""&amp;AB$3&amp;"") where Col1='""&amp;$T327&amp;""' label sum(""&amp;AB$3&amp;"") ''""),0)))"),"")</f>
        <v/>
      </c>
      <c r="AC327" s="437" t="str">
        <f>IFERROR(__xludf.DUMMYFUNCTION("IF(NOT('portfólio'!$AV$7),"""",IF($T327="""","""",IFERROR(query({AtivosDados},""select sum(""&amp;AC$3&amp;"") where Col1='""&amp;$T327&amp;""' label sum(""&amp;AC$3&amp;"") ''""),0)))"),"")</f>
        <v/>
      </c>
      <c r="AD327" s="437" t="str">
        <f>IFERROR(__xludf.DUMMYFUNCTION("IF(NOT('portfólio'!$AV$7),"""",IF($T327="""","""",IFERROR(query({AtivosDados},""select sum(""&amp;AD$3&amp;"") where Col1='""&amp;$T327&amp;""' label sum(""&amp;AD$3&amp;"") ''""),0)))"),"")</f>
        <v/>
      </c>
      <c r="AE327" s="437"/>
      <c r="AF327" s="1327"/>
      <c r="AG327" s="437"/>
      <c r="AH327" s="437"/>
      <c r="AI327" s="437"/>
      <c r="AJ327" s="437"/>
      <c r="AK327" s="437"/>
      <c r="AL327" s="437"/>
      <c r="AM327" s="437"/>
      <c r="AN327" s="437"/>
      <c r="AO327" s="437"/>
      <c r="AP327" s="437"/>
      <c r="AQ327" s="1327"/>
      <c r="AR327" s="437"/>
      <c r="AS327" s="437"/>
      <c r="AT327" s="437"/>
      <c r="AU327" s="437"/>
      <c r="AV327" s="437"/>
      <c r="AW327" s="437"/>
      <c r="AX327" s="437"/>
      <c r="AY327" s="437"/>
      <c r="AZ327" s="437"/>
      <c r="BA327" s="437"/>
      <c r="BB327" s="1327"/>
      <c r="BC327" s="437"/>
      <c r="BD327" s="437"/>
      <c r="BE327" s="437"/>
      <c r="BF327" s="437"/>
      <c r="BG327" s="437"/>
      <c r="BH327" s="437"/>
      <c r="BI327" s="437"/>
      <c r="BJ327" s="437"/>
      <c r="BK327" s="437"/>
      <c r="BL327" s="437"/>
      <c r="BM327" s="1327"/>
      <c r="BN327" s="1327"/>
      <c r="BO327" s="1327"/>
      <c r="BP327" s="1327"/>
      <c r="BQ327" s="1327"/>
      <c r="BR327" s="1327"/>
      <c r="BS327" s="1327"/>
      <c r="BT327" s="1327"/>
      <c r="BU327" s="1327"/>
      <c r="BV327" s="1327"/>
      <c r="BW327" s="1327"/>
      <c r="BX327" s="1327"/>
      <c r="BY327" s="1327"/>
      <c r="BZ327" s="1327"/>
      <c r="CA327" s="1327"/>
      <c r="CB327" s="1327"/>
      <c r="CC327" s="1327"/>
      <c r="CD327" s="1327"/>
      <c r="CE327" s="1327"/>
      <c r="CF327" s="1327"/>
      <c r="CG327" s="1327"/>
      <c r="CH327" s="1327"/>
      <c r="CI327" s="1327"/>
      <c r="CJ327" s="1327"/>
      <c r="CK327" s="1327"/>
      <c r="CL327" s="1327"/>
      <c r="CM327" s="1327"/>
      <c r="CN327" s="1327"/>
      <c r="CO327" s="1327"/>
      <c r="CP327" s="1327"/>
      <c r="CQ327" s="1327"/>
      <c r="CR327" s="1327"/>
      <c r="CS327" s="1327"/>
      <c r="CT327" s="1317"/>
      <c r="CU327" s="1317"/>
      <c r="CV327" s="1317"/>
      <c r="CW327" s="1317"/>
      <c r="CX327" s="1317"/>
      <c r="CY327" s="1317"/>
      <c r="CZ327" s="1317"/>
      <c r="DA327" s="1317"/>
      <c r="DB327" s="1317"/>
      <c r="DC327" s="1317"/>
      <c r="DD327" s="1317"/>
      <c r="DE327" s="1317"/>
      <c r="DF327" s="1317"/>
      <c r="DG327" s="1317"/>
    </row>
    <row r="328" ht="18.75" customHeight="1">
      <c r="G328" s="1344"/>
      <c r="H328" s="1345">
        <f t="shared" si="4"/>
        <v>0</v>
      </c>
      <c r="I328" s="1381"/>
      <c r="J328" s="1381"/>
      <c r="K328" s="1381"/>
      <c r="L328" s="1381"/>
      <c r="M328" s="1381"/>
      <c r="N328" s="1381"/>
      <c r="O328" s="1381"/>
      <c r="P328" s="1381"/>
      <c r="Q328" s="1381"/>
      <c r="R328" s="1381"/>
      <c r="T328" s="1349"/>
      <c r="U328" s="1349" t="s">
        <v>123</v>
      </c>
      <c r="V328" s="1349" t="s">
        <v>123</v>
      </c>
      <c r="W328" s="1349"/>
      <c r="X328" s="1349"/>
      <c r="Y328" s="1308"/>
      <c r="Z328" s="437" t="str">
        <f>IFERROR(__xludf.DUMMYFUNCTION("IF(NOT('portfólio'!$AV$7),"""",IF($T328="""","""",IFERROR(query({AtivosDados},""select sum(""&amp;Z$3&amp;"") where Col1='""&amp;$T328&amp;""' label sum(""&amp;Z$3&amp;"") ''""),0)))"),"")</f>
        <v/>
      </c>
      <c r="AA328" s="437" t="str">
        <f>IFERROR(__xludf.DUMMYFUNCTION("IF(NOT('portfólio'!$AV$7),"""",IF($T328="""","""",IFERROR(query({AtivosDados},""select sum(""&amp;AA$3&amp;"") where Col1='""&amp;$T328&amp;""' label sum(""&amp;AA$3&amp;"") ''""),0)))"),"")</f>
        <v/>
      </c>
      <c r="AB328" s="437" t="str">
        <f>IFERROR(__xludf.DUMMYFUNCTION("IF(NOT('portfólio'!$AV$7),"""",IF($T328="""","""",IFERROR(query({AtivosDados},""select sum(""&amp;AB$3&amp;"") where Col1='""&amp;$T328&amp;""' label sum(""&amp;AB$3&amp;"") ''""),0)))"),"")</f>
        <v/>
      </c>
      <c r="AC328" s="437" t="str">
        <f>IFERROR(__xludf.DUMMYFUNCTION("IF(NOT('portfólio'!$AV$7),"""",IF($T328="""","""",IFERROR(query({AtivosDados},""select sum(""&amp;AC$3&amp;"") where Col1='""&amp;$T328&amp;""' label sum(""&amp;AC$3&amp;"") ''""),0)))"),"")</f>
        <v/>
      </c>
      <c r="AD328" s="437" t="str">
        <f>IFERROR(__xludf.DUMMYFUNCTION("IF(NOT('portfólio'!$AV$7),"""",IF($T328="""","""",IFERROR(query({AtivosDados},""select sum(""&amp;AD$3&amp;"") where Col1='""&amp;$T328&amp;""' label sum(""&amp;AD$3&amp;"") ''""),0)))"),"")</f>
        <v/>
      </c>
      <c r="AE328" s="437"/>
      <c r="AF328" s="1327"/>
      <c r="AG328" s="437"/>
      <c r="AH328" s="437"/>
      <c r="AI328" s="437"/>
      <c r="AJ328" s="437"/>
      <c r="AK328" s="437"/>
      <c r="AL328" s="437"/>
      <c r="AM328" s="437"/>
      <c r="AN328" s="437"/>
      <c r="AO328" s="437"/>
      <c r="AP328" s="437"/>
      <c r="AQ328" s="1327"/>
      <c r="AR328" s="437"/>
      <c r="AS328" s="437"/>
      <c r="AT328" s="437"/>
      <c r="AU328" s="437"/>
      <c r="AV328" s="437"/>
      <c r="AW328" s="437"/>
      <c r="AX328" s="437"/>
      <c r="AY328" s="437"/>
      <c r="AZ328" s="437"/>
      <c r="BA328" s="437"/>
      <c r="BB328" s="1327"/>
      <c r="BC328" s="437"/>
      <c r="BD328" s="437"/>
      <c r="BE328" s="437"/>
      <c r="BF328" s="437"/>
      <c r="BG328" s="437"/>
      <c r="BH328" s="437"/>
      <c r="BI328" s="437"/>
      <c r="BJ328" s="437"/>
      <c r="BK328" s="437"/>
      <c r="BL328" s="437"/>
      <c r="BM328" s="1327"/>
      <c r="BN328" s="1327"/>
      <c r="BO328" s="1327"/>
      <c r="BP328" s="1327"/>
      <c r="BQ328" s="1327"/>
      <c r="BR328" s="1327"/>
      <c r="BS328" s="1327"/>
      <c r="BT328" s="1327"/>
      <c r="BU328" s="1327"/>
      <c r="BV328" s="1327"/>
      <c r="BW328" s="1327"/>
      <c r="BX328" s="1327"/>
      <c r="BY328" s="1327"/>
      <c r="BZ328" s="1327"/>
      <c r="CA328" s="1327"/>
      <c r="CB328" s="1327"/>
      <c r="CC328" s="1327"/>
      <c r="CD328" s="1327"/>
      <c r="CE328" s="1327"/>
      <c r="CF328" s="1327"/>
      <c r="CG328" s="1327"/>
      <c r="CH328" s="1327"/>
      <c r="CI328" s="1327"/>
      <c r="CJ328" s="1327"/>
      <c r="CK328" s="1327"/>
      <c r="CL328" s="1327"/>
      <c r="CM328" s="1327"/>
      <c r="CN328" s="1327"/>
      <c r="CO328" s="1327"/>
      <c r="CP328" s="1327"/>
      <c r="CQ328" s="1327"/>
      <c r="CR328" s="1327"/>
      <c r="CS328" s="1327"/>
      <c r="CT328" s="1317"/>
      <c r="CU328" s="1317"/>
      <c r="CV328" s="1317"/>
      <c r="CW328" s="1317"/>
      <c r="CX328" s="1317"/>
      <c r="CY328" s="1317"/>
      <c r="CZ328" s="1317"/>
      <c r="DA328" s="1317"/>
      <c r="DB328" s="1317"/>
      <c r="DC328" s="1317"/>
      <c r="DD328" s="1317"/>
      <c r="DE328" s="1317"/>
      <c r="DF328" s="1317"/>
      <c r="DG328" s="1317"/>
    </row>
    <row r="329" ht="18.75" customHeight="1">
      <c r="G329" s="1344"/>
      <c r="H329" s="1345">
        <f t="shared" si="4"/>
        <v>0</v>
      </c>
      <c r="I329" s="1381"/>
      <c r="J329" s="1381"/>
      <c r="K329" s="1381"/>
      <c r="L329" s="1381"/>
      <c r="M329" s="1381"/>
      <c r="N329" s="1381"/>
      <c r="O329" s="1381"/>
      <c r="P329" s="1381"/>
      <c r="Q329" s="1381"/>
      <c r="R329" s="1381"/>
      <c r="T329" s="1349"/>
      <c r="U329" s="1349" t="s">
        <v>123</v>
      </c>
      <c r="V329" s="1349" t="s">
        <v>123</v>
      </c>
      <c r="W329" s="1349"/>
      <c r="X329" s="1349"/>
      <c r="Y329" s="1308"/>
      <c r="Z329" s="437" t="str">
        <f>IFERROR(__xludf.DUMMYFUNCTION("IF(NOT('portfólio'!$AV$7),"""",IF($T329="""","""",IFERROR(query({AtivosDados},""select sum(""&amp;Z$3&amp;"") where Col1='""&amp;$T329&amp;""' label sum(""&amp;Z$3&amp;"") ''""),0)))"),"")</f>
        <v/>
      </c>
      <c r="AA329" s="437" t="str">
        <f>IFERROR(__xludf.DUMMYFUNCTION("IF(NOT('portfólio'!$AV$7),"""",IF($T329="""","""",IFERROR(query({AtivosDados},""select sum(""&amp;AA$3&amp;"") where Col1='""&amp;$T329&amp;""' label sum(""&amp;AA$3&amp;"") ''""),0)))"),"")</f>
        <v/>
      </c>
      <c r="AB329" s="437" t="str">
        <f>IFERROR(__xludf.DUMMYFUNCTION("IF(NOT('portfólio'!$AV$7),"""",IF($T329="""","""",IFERROR(query({AtivosDados},""select sum(""&amp;AB$3&amp;"") where Col1='""&amp;$T329&amp;""' label sum(""&amp;AB$3&amp;"") ''""),0)))"),"")</f>
        <v/>
      </c>
      <c r="AC329" s="437" t="str">
        <f>IFERROR(__xludf.DUMMYFUNCTION("IF(NOT('portfólio'!$AV$7),"""",IF($T329="""","""",IFERROR(query({AtivosDados},""select sum(""&amp;AC$3&amp;"") where Col1='""&amp;$T329&amp;""' label sum(""&amp;AC$3&amp;"") ''""),0)))"),"")</f>
        <v/>
      </c>
      <c r="AD329" s="437" t="str">
        <f>IFERROR(__xludf.DUMMYFUNCTION("IF(NOT('portfólio'!$AV$7),"""",IF($T329="""","""",IFERROR(query({AtivosDados},""select sum(""&amp;AD$3&amp;"") where Col1='""&amp;$T329&amp;""' label sum(""&amp;AD$3&amp;"") ''""),0)))"),"")</f>
        <v/>
      </c>
      <c r="AE329" s="437"/>
      <c r="AF329" s="1327"/>
      <c r="AG329" s="437"/>
      <c r="AH329" s="437"/>
      <c r="AI329" s="437"/>
      <c r="AJ329" s="437"/>
      <c r="AK329" s="437"/>
      <c r="AL329" s="437"/>
      <c r="AM329" s="437"/>
      <c r="AN329" s="437"/>
      <c r="AO329" s="437"/>
      <c r="AP329" s="437"/>
      <c r="AQ329" s="1327"/>
      <c r="AR329" s="437"/>
      <c r="AS329" s="437"/>
      <c r="AT329" s="437"/>
      <c r="AU329" s="437"/>
      <c r="AV329" s="437"/>
      <c r="AW329" s="437"/>
      <c r="AX329" s="437"/>
      <c r="AY329" s="437"/>
      <c r="AZ329" s="437"/>
      <c r="BA329" s="437"/>
      <c r="BB329" s="1327"/>
      <c r="BC329" s="437"/>
      <c r="BD329" s="437"/>
      <c r="BE329" s="437"/>
      <c r="BF329" s="437"/>
      <c r="BG329" s="437"/>
      <c r="BH329" s="437"/>
      <c r="BI329" s="437"/>
      <c r="BJ329" s="437"/>
      <c r="BK329" s="437"/>
      <c r="BL329" s="437"/>
      <c r="BM329" s="1327"/>
      <c r="BN329" s="1327"/>
      <c r="BO329" s="1327"/>
      <c r="BP329" s="1327"/>
      <c r="BQ329" s="1327"/>
      <c r="BR329" s="1327"/>
      <c r="BS329" s="1327"/>
      <c r="BT329" s="1327"/>
      <c r="BU329" s="1327"/>
      <c r="BV329" s="1327"/>
      <c r="BW329" s="1327"/>
      <c r="BX329" s="1327"/>
      <c r="BY329" s="1327"/>
      <c r="BZ329" s="1327"/>
      <c r="CA329" s="1327"/>
      <c r="CB329" s="1327"/>
      <c r="CC329" s="1327"/>
      <c r="CD329" s="1327"/>
      <c r="CE329" s="1327"/>
      <c r="CF329" s="1327"/>
      <c r="CG329" s="1327"/>
      <c r="CH329" s="1327"/>
      <c r="CI329" s="1327"/>
      <c r="CJ329" s="1327"/>
      <c r="CK329" s="1327"/>
      <c r="CL329" s="1327"/>
      <c r="CM329" s="1327"/>
      <c r="CN329" s="1327"/>
      <c r="CO329" s="1327"/>
      <c r="CP329" s="1327"/>
      <c r="CQ329" s="1327"/>
      <c r="CR329" s="1327"/>
      <c r="CS329" s="1327"/>
      <c r="CT329" s="1317"/>
      <c r="CU329" s="1317"/>
      <c r="CV329" s="1317"/>
      <c r="CW329" s="1317"/>
      <c r="CX329" s="1317"/>
      <c r="CY329" s="1317"/>
      <c r="CZ329" s="1317"/>
      <c r="DA329" s="1317"/>
      <c r="DB329" s="1317"/>
      <c r="DC329" s="1317"/>
      <c r="DD329" s="1317"/>
      <c r="DE329" s="1317"/>
      <c r="DF329" s="1317"/>
      <c r="DG329" s="1317"/>
    </row>
    <row r="330" ht="18.75" customHeight="1">
      <c r="G330" s="1344"/>
      <c r="H330" s="1345">
        <f t="shared" si="4"/>
        <v>0</v>
      </c>
      <c r="I330" s="1381"/>
      <c r="J330" s="1381"/>
      <c r="K330" s="1381"/>
      <c r="L330" s="1381"/>
      <c r="M330" s="1381"/>
      <c r="N330" s="1381"/>
      <c r="O330" s="1381"/>
      <c r="P330" s="1381"/>
      <c r="Q330" s="1381"/>
      <c r="R330" s="1381"/>
      <c r="T330" s="1349"/>
      <c r="U330" s="1349" t="s">
        <v>123</v>
      </c>
      <c r="V330" s="1349" t="s">
        <v>123</v>
      </c>
      <c r="W330" s="1349"/>
      <c r="X330" s="1349"/>
      <c r="Y330" s="1308"/>
      <c r="Z330" s="437" t="str">
        <f>IFERROR(__xludf.DUMMYFUNCTION("IF(NOT('portfólio'!$AV$7),"""",IF($T330="""","""",IFERROR(query({AtivosDados},""select sum(""&amp;Z$3&amp;"") where Col1='""&amp;$T330&amp;""' label sum(""&amp;Z$3&amp;"") ''""),0)))"),"")</f>
        <v/>
      </c>
      <c r="AA330" s="437" t="str">
        <f>IFERROR(__xludf.DUMMYFUNCTION("IF(NOT('portfólio'!$AV$7),"""",IF($T330="""","""",IFERROR(query({AtivosDados},""select sum(""&amp;AA$3&amp;"") where Col1='""&amp;$T330&amp;""' label sum(""&amp;AA$3&amp;"") ''""),0)))"),"")</f>
        <v/>
      </c>
      <c r="AB330" s="437" t="str">
        <f>IFERROR(__xludf.DUMMYFUNCTION("IF(NOT('portfólio'!$AV$7),"""",IF($T330="""","""",IFERROR(query({AtivosDados},""select sum(""&amp;AB$3&amp;"") where Col1='""&amp;$T330&amp;""' label sum(""&amp;AB$3&amp;"") ''""),0)))"),"")</f>
        <v/>
      </c>
      <c r="AC330" s="437" t="str">
        <f>IFERROR(__xludf.DUMMYFUNCTION("IF(NOT('portfólio'!$AV$7),"""",IF($T330="""","""",IFERROR(query({AtivosDados},""select sum(""&amp;AC$3&amp;"") where Col1='""&amp;$T330&amp;""' label sum(""&amp;AC$3&amp;"") ''""),0)))"),"")</f>
        <v/>
      </c>
      <c r="AD330" s="437" t="str">
        <f>IFERROR(__xludf.DUMMYFUNCTION("IF(NOT('portfólio'!$AV$7),"""",IF($T330="""","""",IFERROR(query({AtivosDados},""select sum(""&amp;AD$3&amp;"") where Col1='""&amp;$T330&amp;""' label sum(""&amp;AD$3&amp;"") ''""),0)))"),"")</f>
        <v/>
      </c>
      <c r="AE330" s="437"/>
      <c r="AF330" s="1327"/>
      <c r="AG330" s="437"/>
      <c r="AH330" s="437"/>
      <c r="AI330" s="437"/>
      <c r="AJ330" s="437"/>
      <c r="AK330" s="437"/>
      <c r="AL330" s="437"/>
      <c r="AM330" s="437"/>
      <c r="AN330" s="437"/>
      <c r="AO330" s="437"/>
      <c r="AP330" s="437"/>
      <c r="AQ330" s="1327"/>
      <c r="AR330" s="437"/>
      <c r="AS330" s="437"/>
      <c r="AT330" s="437"/>
      <c r="AU330" s="437"/>
      <c r="AV330" s="437"/>
      <c r="AW330" s="437"/>
      <c r="AX330" s="437"/>
      <c r="AY330" s="437"/>
      <c r="AZ330" s="437"/>
      <c r="BA330" s="437"/>
      <c r="BB330" s="1327"/>
      <c r="BC330" s="437"/>
      <c r="BD330" s="437"/>
      <c r="BE330" s="437"/>
      <c r="BF330" s="437"/>
      <c r="BG330" s="437"/>
      <c r="BH330" s="437"/>
      <c r="BI330" s="437"/>
      <c r="BJ330" s="437"/>
      <c r="BK330" s="437"/>
      <c r="BL330" s="437"/>
      <c r="BM330" s="1327"/>
      <c r="BN330" s="1327"/>
      <c r="BO330" s="1327"/>
      <c r="BP330" s="1327"/>
      <c r="BQ330" s="1327"/>
      <c r="BR330" s="1327"/>
      <c r="BS330" s="1327"/>
      <c r="BT330" s="1327"/>
      <c r="BU330" s="1327"/>
      <c r="BV330" s="1327"/>
      <c r="BW330" s="1327"/>
      <c r="BX330" s="1327"/>
      <c r="BY330" s="1327"/>
      <c r="BZ330" s="1327"/>
      <c r="CA330" s="1327"/>
      <c r="CB330" s="1327"/>
      <c r="CC330" s="1327"/>
      <c r="CD330" s="1327"/>
      <c r="CE330" s="1327"/>
      <c r="CF330" s="1327"/>
      <c r="CG330" s="1327"/>
      <c r="CH330" s="1327"/>
      <c r="CI330" s="1327"/>
      <c r="CJ330" s="1327"/>
      <c r="CK330" s="1327"/>
      <c r="CL330" s="1327"/>
      <c r="CM330" s="1327"/>
      <c r="CN330" s="1327"/>
      <c r="CO330" s="1327"/>
      <c r="CP330" s="1327"/>
      <c r="CQ330" s="1327"/>
      <c r="CR330" s="1327"/>
      <c r="CS330" s="1327"/>
      <c r="CT330" s="1317"/>
      <c r="CU330" s="1317"/>
      <c r="CV330" s="1317"/>
      <c r="CW330" s="1317"/>
      <c r="CX330" s="1317"/>
      <c r="CY330" s="1317"/>
      <c r="CZ330" s="1317"/>
      <c r="DA330" s="1317"/>
      <c r="DB330" s="1317"/>
      <c r="DC330" s="1317"/>
      <c r="DD330" s="1317"/>
      <c r="DE330" s="1317"/>
      <c r="DF330" s="1317"/>
      <c r="DG330" s="1317"/>
    </row>
    <row r="331" ht="18.75" customHeight="1">
      <c r="G331" s="1344"/>
      <c r="H331" s="1345">
        <f t="shared" si="4"/>
        <v>0</v>
      </c>
      <c r="I331" s="1381"/>
      <c r="J331" s="1381"/>
      <c r="K331" s="1381"/>
      <c r="L331" s="1381"/>
      <c r="M331" s="1381"/>
      <c r="N331" s="1381"/>
      <c r="O331" s="1381"/>
      <c r="P331" s="1381"/>
      <c r="Q331" s="1381"/>
      <c r="R331" s="1381"/>
      <c r="T331" s="1349"/>
      <c r="U331" s="1349" t="s">
        <v>123</v>
      </c>
      <c r="V331" s="1349" t="s">
        <v>123</v>
      </c>
      <c r="W331" s="1349"/>
      <c r="X331" s="1349"/>
      <c r="Y331" s="1308"/>
      <c r="Z331" s="437" t="str">
        <f>IFERROR(__xludf.DUMMYFUNCTION("IF(NOT('portfólio'!$AV$7),"""",IF($T331="""","""",IFERROR(query({AtivosDados},""select sum(""&amp;Z$3&amp;"") where Col1='""&amp;$T331&amp;""' label sum(""&amp;Z$3&amp;"") ''""),0)))"),"")</f>
        <v/>
      </c>
      <c r="AA331" s="437" t="str">
        <f>IFERROR(__xludf.DUMMYFUNCTION("IF(NOT('portfólio'!$AV$7),"""",IF($T331="""","""",IFERROR(query({AtivosDados},""select sum(""&amp;AA$3&amp;"") where Col1='""&amp;$T331&amp;""' label sum(""&amp;AA$3&amp;"") ''""),0)))"),"")</f>
        <v/>
      </c>
      <c r="AB331" s="437" t="str">
        <f>IFERROR(__xludf.DUMMYFUNCTION("IF(NOT('portfólio'!$AV$7),"""",IF($T331="""","""",IFERROR(query({AtivosDados},""select sum(""&amp;AB$3&amp;"") where Col1='""&amp;$T331&amp;""' label sum(""&amp;AB$3&amp;"") ''""),0)))"),"")</f>
        <v/>
      </c>
      <c r="AC331" s="437" t="str">
        <f>IFERROR(__xludf.DUMMYFUNCTION("IF(NOT('portfólio'!$AV$7),"""",IF($T331="""","""",IFERROR(query({AtivosDados},""select sum(""&amp;AC$3&amp;"") where Col1='""&amp;$T331&amp;""' label sum(""&amp;AC$3&amp;"") ''""),0)))"),"")</f>
        <v/>
      </c>
      <c r="AD331" s="437" t="str">
        <f>IFERROR(__xludf.DUMMYFUNCTION("IF(NOT('portfólio'!$AV$7),"""",IF($T331="""","""",IFERROR(query({AtivosDados},""select sum(""&amp;AD$3&amp;"") where Col1='""&amp;$T331&amp;""' label sum(""&amp;AD$3&amp;"") ''""),0)))"),"")</f>
        <v/>
      </c>
      <c r="AE331" s="437"/>
      <c r="AF331" s="1327"/>
      <c r="AG331" s="437"/>
      <c r="AH331" s="437"/>
      <c r="AI331" s="437"/>
      <c r="AJ331" s="437"/>
      <c r="AK331" s="437"/>
      <c r="AL331" s="437"/>
      <c r="AM331" s="437"/>
      <c r="AN331" s="437"/>
      <c r="AO331" s="437"/>
      <c r="AP331" s="437"/>
      <c r="AQ331" s="1327"/>
      <c r="AR331" s="437"/>
      <c r="AS331" s="437"/>
      <c r="AT331" s="437"/>
      <c r="AU331" s="437"/>
      <c r="AV331" s="437"/>
      <c r="AW331" s="437"/>
      <c r="AX331" s="437"/>
      <c r="AY331" s="437"/>
      <c r="AZ331" s="437"/>
      <c r="BA331" s="437"/>
      <c r="BB331" s="1327"/>
      <c r="BC331" s="437"/>
      <c r="BD331" s="437"/>
      <c r="BE331" s="437"/>
      <c r="BF331" s="437"/>
      <c r="BG331" s="437"/>
      <c r="BH331" s="437"/>
      <c r="BI331" s="437"/>
      <c r="BJ331" s="437"/>
      <c r="BK331" s="437"/>
      <c r="BL331" s="437"/>
      <c r="BM331" s="1327"/>
      <c r="BN331" s="1327"/>
      <c r="BO331" s="1327"/>
      <c r="BP331" s="1327"/>
      <c r="BQ331" s="1327"/>
      <c r="BR331" s="1327"/>
      <c r="BS331" s="1327"/>
      <c r="BT331" s="1327"/>
      <c r="BU331" s="1327"/>
      <c r="BV331" s="1327"/>
      <c r="BW331" s="1327"/>
      <c r="BX331" s="1327"/>
      <c r="BY331" s="1327"/>
      <c r="BZ331" s="1327"/>
      <c r="CA331" s="1327"/>
      <c r="CB331" s="1327"/>
      <c r="CC331" s="1327"/>
      <c r="CD331" s="1327"/>
      <c r="CE331" s="1327"/>
      <c r="CF331" s="1327"/>
      <c r="CG331" s="1327"/>
      <c r="CH331" s="1327"/>
      <c r="CI331" s="1327"/>
      <c r="CJ331" s="1327"/>
      <c r="CK331" s="1327"/>
      <c r="CL331" s="1327"/>
      <c r="CM331" s="1327"/>
      <c r="CN331" s="1327"/>
      <c r="CO331" s="1327"/>
      <c r="CP331" s="1327"/>
      <c r="CQ331" s="1327"/>
      <c r="CR331" s="1327"/>
      <c r="CS331" s="1327"/>
      <c r="CT331" s="1317"/>
      <c r="CU331" s="1317"/>
      <c r="CV331" s="1317"/>
      <c r="CW331" s="1317"/>
      <c r="CX331" s="1317"/>
      <c r="CY331" s="1317"/>
      <c r="CZ331" s="1317"/>
      <c r="DA331" s="1317"/>
      <c r="DB331" s="1317"/>
      <c r="DC331" s="1317"/>
      <c r="DD331" s="1317"/>
      <c r="DE331" s="1317"/>
      <c r="DF331" s="1317"/>
      <c r="DG331" s="1317"/>
    </row>
    <row r="332" ht="18.75" customHeight="1">
      <c r="G332" s="1344"/>
      <c r="H332" s="1345">
        <f t="shared" si="4"/>
        <v>0</v>
      </c>
      <c r="I332" s="1381"/>
      <c r="J332" s="1381"/>
      <c r="K332" s="1381"/>
      <c r="L332" s="1381"/>
      <c r="M332" s="1381"/>
      <c r="N332" s="1381"/>
      <c r="O332" s="1381"/>
      <c r="P332" s="1381"/>
      <c r="Q332" s="1381"/>
      <c r="R332" s="1381"/>
      <c r="T332" s="1349"/>
      <c r="U332" s="1349" t="s">
        <v>123</v>
      </c>
      <c r="V332" s="1349" t="s">
        <v>123</v>
      </c>
      <c r="W332" s="1349"/>
      <c r="X332" s="1349"/>
      <c r="Y332" s="1308"/>
      <c r="Z332" s="437" t="str">
        <f>IFERROR(__xludf.DUMMYFUNCTION("IF(NOT('portfólio'!$AV$7),"""",IF($T332="""","""",IFERROR(query({AtivosDados},""select sum(""&amp;Z$3&amp;"") where Col1='""&amp;$T332&amp;""' label sum(""&amp;Z$3&amp;"") ''""),0)))"),"")</f>
        <v/>
      </c>
      <c r="AA332" s="437" t="str">
        <f>IFERROR(__xludf.DUMMYFUNCTION("IF(NOT('portfólio'!$AV$7),"""",IF($T332="""","""",IFERROR(query({AtivosDados},""select sum(""&amp;AA$3&amp;"") where Col1='""&amp;$T332&amp;""' label sum(""&amp;AA$3&amp;"") ''""),0)))"),"")</f>
        <v/>
      </c>
      <c r="AB332" s="437" t="str">
        <f>IFERROR(__xludf.DUMMYFUNCTION("IF(NOT('portfólio'!$AV$7),"""",IF($T332="""","""",IFERROR(query({AtivosDados},""select sum(""&amp;AB$3&amp;"") where Col1='""&amp;$T332&amp;""' label sum(""&amp;AB$3&amp;"") ''""),0)))"),"")</f>
        <v/>
      </c>
      <c r="AC332" s="437" t="str">
        <f>IFERROR(__xludf.DUMMYFUNCTION("IF(NOT('portfólio'!$AV$7),"""",IF($T332="""","""",IFERROR(query({AtivosDados},""select sum(""&amp;AC$3&amp;"") where Col1='""&amp;$T332&amp;""' label sum(""&amp;AC$3&amp;"") ''""),0)))"),"")</f>
        <v/>
      </c>
      <c r="AD332" s="437" t="str">
        <f>IFERROR(__xludf.DUMMYFUNCTION("IF(NOT('portfólio'!$AV$7),"""",IF($T332="""","""",IFERROR(query({AtivosDados},""select sum(""&amp;AD$3&amp;"") where Col1='""&amp;$T332&amp;""' label sum(""&amp;AD$3&amp;"") ''""),0)))"),"")</f>
        <v/>
      </c>
      <c r="AE332" s="437"/>
      <c r="AF332" s="1327"/>
      <c r="AG332" s="437"/>
      <c r="AH332" s="437"/>
      <c r="AI332" s="437"/>
      <c r="AJ332" s="437"/>
      <c r="AK332" s="437"/>
      <c r="AL332" s="437"/>
      <c r="AM332" s="437"/>
      <c r="AN332" s="437"/>
      <c r="AO332" s="437"/>
      <c r="AP332" s="437"/>
      <c r="AQ332" s="1327"/>
      <c r="AR332" s="437"/>
      <c r="AS332" s="437"/>
      <c r="AT332" s="437"/>
      <c r="AU332" s="437"/>
      <c r="AV332" s="437"/>
      <c r="AW332" s="437"/>
      <c r="AX332" s="437"/>
      <c r="AY332" s="437"/>
      <c r="AZ332" s="437"/>
      <c r="BA332" s="437"/>
      <c r="BB332" s="1327"/>
      <c r="BC332" s="437"/>
      <c r="BD332" s="437"/>
      <c r="BE332" s="437"/>
      <c r="BF332" s="437"/>
      <c r="BG332" s="437"/>
      <c r="BH332" s="437"/>
      <c r="BI332" s="437"/>
      <c r="BJ332" s="437"/>
      <c r="BK332" s="437"/>
      <c r="BL332" s="437"/>
      <c r="BM332" s="1327"/>
      <c r="BN332" s="1327"/>
      <c r="BO332" s="1327"/>
      <c r="BP332" s="1327"/>
      <c r="BQ332" s="1327"/>
      <c r="BR332" s="1327"/>
      <c r="BS332" s="1327"/>
      <c r="BT332" s="1327"/>
      <c r="BU332" s="1327"/>
      <c r="BV332" s="1327"/>
      <c r="BW332" s="1327"/>
      <c r="BX332" s="1327"/>
      <c r="BY332" s="1327"/>
      <c r="BZ332" s="1327"/>
      <c r="CA332" s="1327"/>
      <c r="CB332" s="1327"/>
      <c r="CC332" s="1327"/>
      <c r="CD332" s="1327"/>
      <c r="CE332" s="1327"/>
      <c r="CF332" s="1327"/>
      <c r="CG332" s="1327"/>
      <c r="CH332" s="1327"/>
      <c r="CI332" s="1327"/>
      <c r="CJ332" s="1327"/>
      <c r="CK332" s="1327"/>
      <c r="CL332" s="1327"/>
      <c r="CM332" s="1327"/>
      <c r="CN332" s="1327"/>
      <c r="CO332" s="1327"/>
      <c r="CP332" s="1327"/>
      <c r="CQ332" s="1327"/>
      <c r="CR332" s="1327"/>
      <c r="CS332" s="1327"/>
      <c r="CT332" s="1317"/>
      <c r="CU332" s="1317"/>
      <c r="CV332" s="1317"/>
      <c r="CW332" s="1317"/>
      <c r="CX332" s="1317"/>
      <c r="CY332" s="1317"/>
      <c r="CZ332" s="1317"/>
      <c r="DA332" s="1317"/>
      <c r="DB332" s="1317"/>
      <c r="DC332" s="1317"/>
      <c r="DD332" s="1317"/>
      <c r="DE332" s="1317"/>
      <c r="DF332" s="1317"/>
      <c r="DG332" s="1317"/>
    </row>
    <row r="333" ht="18.75" customHeight="1">
      <c r="G333" s="1344"/>
      <c r="H333" s="1345">
        <f t="shared" si="4"/>
        <v>0</v>
      </c>
      <c r="I333" s="1381"/>
      <c r="J333" s="1381"/>
      <c r="K333" s="1381"/>
      <c r="L333" s="1381"/>
      <c r="M333" s="1381"/>
      <c r="N333" s="1381"/>
      <c r="O333" s="1381"/>
      <c r="P333" s="1381"/>
      <c r="Q333" s="1381"/>
      <c r="R333" s="1381"/>
      <c r="T333" s="1349"/>
      <c r="U333" s="1349" t="s">
        <v>123</v>
      </c>
      <c r="V333" s="1349" t="s">
        <v>123</v>
      </c>
      <c r="W333" s="1349"/>
      <c r="X333" s="1349"/>
      <c r="Y333" s="1308"/>
      <c r="Z333" s="437" t="str">
        <f>IFERROR(__xludf.DUMMYFUNCTION("IF(NOT('portfólio'!$AV$7),"""",IF($T333="""","""",IFERROR(query({AtivosDados},""select sum(""&amp;Z$3&amp;"") where Col1='""&amp;$T333&amp;""' label sum(""&amp;Z$3&amp;"") ''""),0)))"),"")</f>
        <v/>
      </c>
      <c r="AA333" s="437" t="str">
        <f>IFERROR(__xludf.DUMMYFUNCTION("IF(NOT('portfólio'!$AV$7),"""",IF($T333="""","""",IFERROR(query({AtivosDados},""select sum(""&amp;AA$3&amp;"") where Col1='""&amp;$T333&amp;""' label sum(""&amp;AA$3&amp;"") ''""),0)))"),"")</f>
        <v/>
      </c>
      <c r="AB333" s="437" t="str">
        <f>IFERROR(__xludf.DUMMYFUNCTION("IF(NOT('portfólio'!$AV$7),"""",IF($T333="""","""",IFERROR(query({AtivosDados},""select sum(""&amp;AB$3&amp;"") where Col1='""&amp;$T333&amp;""' label sum(""&amp;AB$3&amp;"") ''""),0)))"),"")</f>
        <v/>
      </c>
      <c r="AC333" s="437" t="str">
        <f>IFERROR(__xludf.DUMMYFUNCTION("IF(NOT('portfólio'!$AV$7),"""",IF($T333="""","""",IFERROR(query({AtivosDados},""select sum(""&amp;AC$3&amp;"") where Col1='""&amp;$T333&amp;""' label sum(""&amp;AC$3&amp;"") ''""),0)))"),"")</f>
        <v/>
      </c>
      <c r="AD333" s="437" t="str">
        <f>IFERROR(__xludf.DUMMYFUNCTION("IF(NOT('portfólio'!$AV$7),"""",IF($T333="""","""",IFERROR(query({AtivosDados},""select sum(""&amp;AD$3&amp;"") where Col1='""&amp;$T333&amp;""' label sum(""&amp;AD$3&amp;"") ''""),0)))"),"")</f>
        <v/>
      </c>
      <c r="AE333" s="437"/>
      <c r="AF333" s="1327"/>
      <c r="AG333" s="437"/>
      <c r="AH333" s="437"/>
      <c r="AI333" s="437"/>
      <c r="AJ333" s="437"/>
      <c r="AK333" s="437"/>
      <c r="AL333" s="437"/>
      <c r="AM333" s="437"/>
      <c r="AN333" s="437"/>
      <c r="AO333" s="437"/>
      <c r="AP333" s="437"/>
      <c r="AQ333" s="1327"/>
      <c r="AR333" s="437"/>
      <c r="AS333" s="437"/>
      <c r="AT333" s="437"/>
      <c r="AU333" s="437"/>
      <c r="AV333" s="437"/>
      <c r="AW333" s="437"/>
      <c r="AX333" s="437"/>
      <c r="AY333" s="437"/>
      <c r="AZ333" s="437"/>
      <c r="BA333" s="437"/>
      <c r="BB333" s="1327"/>
      <c r="BC333" s="437"/>
      <c r="BD333" s="437"/>
      <c r="BE333" s="437"/>
      <c r="BF333" s="437"/>
      <c r="BG333" s="437"/>
      <c r="BH333" s="437"/>
      <c r="BI333" s="437"/>
      <c r="BJ333" s="437"/>
      <c r="BK333" s="437"/>
      <c r="BL333" s="437"/>
      <c r="BM333" s="1327"/>
      <c r="BN333" s="1327"/>
      <c r="BO333" s="1327"/>
      <c r="BP333" s="1327"/>
      <c r="BQ333" s="1327"/>
      <c r="BR333" s="1327"/>
      <c r="BS333" s="1327"/>
      <c r="BT333" s="1327"/>
      <c r="BU333" s="1327"/>
      <c r="BV333" s="1327"/>
      <c r="BW333" s="1327"/>
      <c r="BX333" s="1327"/>
      <c r="BY333" s="1327"/>
      <c r="BZ333" s="1327"/>
      <c r="CA333" s="1327"/>
      <c r="CB333" s="1327"/>
      <c r="CC333" s="1327"/>
      <c r="CD333" s="1327"/>
      <c r="CE333" s="1327"/>
      <c r="CF333" s="1327"/>
      <c r="CG333" s="1327"/>
      <c r="CH333" s="1327"/>
      <c r="CI333" s="1327"/>
      <c r="CJ333" s="1327"/>
      <c r="CK333" s="1327"/>
      <c r="CL333" s="1327"/>
      <c r="CM333" s="1327"/>
      <c r="CN333" s="1327"/>
      <c r="CO333" s="1327"/>
      <c r="CP333" s="1327"/>
      <c r="CQ333" s="1327"/>
      <c r="CR333" s="1327"/>
      <c r="CS333" s="1327"/>
      <c r="CT333" s="1317"/>
      <c r="CU333" s="1317"/>
      <c r="CV333" s="1317"/>
      <c r="CW333" s="1317"/>
      <c r="CX333" s="1317"/>
      <c r="CY333" s="1317"/>
      <c r="CZ333" s="1317"/>
      <c r="DA333" s="1317"/>
      <c r="DB333" s="1317"/>
      <c r="DC333" s="1317"/>
      <c r="DD333" s="1317"/>
      <c r="DE333" s="1317"/>
      <c r="DF333" s="1317"/>
      <c r="DG333" s="1317"/>
    </row>
    <row r="334" ht="18.75" customHeight="1">
      <c r="G334" s="1344"/>
      <c r="H334" s="1345">
        <f t="shared" si="4"/>
        <v>0</v>
      </c>
      <c r="I334" s="1381"/>
      <c r="J334" s="1381"/>
      <c r="K334" s="1381"/>
      <c r="L334" s="1381"/>
      <c r="M334" s="1381"/>
      <c r="N334" s="1381"/>
      <c r="O334" s="1381"/>
      <c r="P334" s="1381"/>
      <c r="Q334" s="1381"/>
      <c r="R334" s="1381"/>
      <c r="T334" s="1349"/>
      <c r="U334" s="1349" t="s">
        <v>123</v>
      </c>
      <c r="V334" s="1349" t="s">
        <v>123</v>
      </c>
      <c r="W334" s="1349"/>
      <c r="X334" s="1349"/>
      <c r="Y334" s="1308"/>
      <c r="Z334" s="437" t="str">
        <f>IFERROR(__xludf.DUMMYFUNCTION("IF(NOT('portfólio'!$AV$7),"""",IF($T334="""","""",IFERROR(query({AtivosDados},""select sum(""&amp;Z$3&amp;"") where Col1='""&amp;$T334&amp;""' label sum(""&amp;Z$3&amp;"") ''""),0)))"),"")</f>
        <v/>
      </c>
      <c r="AA334" s="437" t="str">
        <f>IFERROR(__xludf.DUMMYFUNCTION("IF(NOT('portfólio'!$AV$7),"""",IF($T334="""","""",IFERROR(query({AtivosDados},""select sum(""&amp;AA$3&amp;"") where Col1='""&amp;$T334&amp;""' label sum(""&amp;AA$3&amp;"") ''""),0)))"),"")</f>
        <v/>
      </c>
      <c r="AB334" s="437" t="str">
        <f>IFERROR(__xludf.DUMMYFUNCTION("IF(NOT('portfólio'!$AV$7),"""",IF($T334="""","""",IFERROR(query({AtivosDados},""select sum(""&amp;AB$3&amp;"") where Col1='""&amp;$T334&amp;""' label sum(""&amp;AB$3&amp;"") ''""),0)))"),"")</f>
        <v/>
      </c>
      <c r="AC334" s="437" t="str">
        <f>IFERROR(__xludf.DUMMYFUNCTION("IF(NOT('portfólio'!$AV$7),"""",IF($T334="""","""",IFERROR(query({AtivosDados},""select sum(""&amp;AC$3&amp;"") where Col1='""&amp;$T334&amp;""' label sum(""&amp;AC$3&amp;"") ''""),0)))"),"")</f>
        <v/>
      </c>
      <c r="AD334" s="437" t="str">
        <f>IFERROR(__xludf.DUMMYFUNCTION("IF(NOT('portfólio'!$AV$7),"""",IF($T334="""","""",IFERROR(query({AtivosDados},""select sum(""&amp;AD$3&amp;"") where Col1='""&amp;$T334&amp;""' label sum(""&amp;AD$3&amp;"") ''""),0)))"),"")</f>
        <v/>
      </c>
      <c r="AE334" s="437"/>
      <c r="AF334" s="1327"/>
      <c r="AG334" s="437"/>
      <c r="AH334" s="437"/>
      <c r="AI334" s="437"/>
      <c r="AJ334" s="437"/>
      <c r="AK334" s="437"/>
      <c r="AL334" s="437"/>
      <c r="AM334" s="437"/>
      <c r="AN334" s="437"/>
      <c r="AO334" s="437"/>
      <c r="AP334" s="437"/>
      <c r="AQ334" s="1327"/>
      <c r="AR334" s="437"/>
      <c r="AS334" s="437"/>
      <c r="AT334" s="437"/>
      <c r="AU334" s="437"/>
      <c r="AV334" s="437"/>
      <c r="AW334" s="437"/>
      <c r="AX334" s="437"/>
      <c r="AY334" s="437"/>
      <c r="AZ334" s="437"/>
      <c r="BA334" s="437"/>
      <c r="BB334" s="1327"/>
      <c r="BC334" s="437"/>
      <c r="BD334" s="437"/>
      <c r="BE334" s="437"/>
      <c r="BF334" s="437"/>
      <c r="BG334" s="437"/>
      <c r="BH334" s="437"/>
      <c r="BI334" s="437"/>
      <c r="BJ334" s="437"/>
      <c r="BK334" s="437"/>
      <c r="BL334" s="437"/>
      <c r="BM334" s="1327"/>
      <c r="BN334" s="1327"/>
      <c r="BO334" s="1327"/>
      <c r="BP334" s="1327"/>
      <c r="BQ334" s="1327"/>
      <c r="BR334" s="1327"/>
      <c r="BS334" s="1327"/>
      <c r="BT334" s="1327"/>
      <c r="BU334" s="1327"/>
      <c r="BV334" s="1327"/>
      <c r="BW334" s="1327"/>
      <c r="BX334" s="1327"/>
      <c r="BY334" s="1327"/>
      <c r="BZ334" s="1327"/>
      <c r="CA334" s="1327"/>
      <c r="CB334" s="1327"/>
      <c r="CC334" s="1327"/>
      <c r="CD334" s="1327"/>
      <c r="CE334" s="1327"/>
      <c r="CF334" s="1327"/>
      <c r="CG334" s="1327"/>
      <c r="CH334" s="1327"/>
      <c r="CI334" s="1327"/>
      <c r="CJ334" s="1327"/>
      <c r="CK334" s="1327"/>
      <c r="CL334" s="1327"/>
      <c r="CM334" s="1327"/>
      <c r="CN334" s="1327"/>
      <c r="CO334" s="1327"/>
      <c r="CP334" s="1327"/>
      <c r="CQ334" s="1327"/>
      <c r="CR334" s="1327"/>
      <c r="CS334" s="1327"/>
      <c r="CT334" s="1317"/>
      <c r="CU334" s="1317"/>
      <c r="CV334" s="1317"/>
      <c r="CW334" s="1317"/>
      <c r="CX334" s="1317"/>
      <c r="CY334" s="1317"/>
      <c r="CZ334" s="1317"/>
      <c r="DA334" s="1317"/>
      <c r="DB334" s="1317"/>
      <c r="DC334" s="1317"/>
      <c r="DD334" s="1317"/>
      <c r="DE334" s="1317"/>
      <c r="DF334" s="1317"/>
      <c r="DG334" s="1317"/>
    </row>
    <row r="335" ht="18.75" customHeight="1">
      <c r="G335" s="1344"/>
      <c r="H335" s="1345">
        <f t="shared" si="4"/>
        <v>0</v>
      </c>
      <c r="I335" s="1381"/>
      <c r="J335" s="1381"/>
      <c r="K335" s="1381"/>
      <c r="L335" s="1381"/>
      <c r="M335" s="1381"/>
      <c r="N335" s="1381"/>
      <c r="O335" s="1381"/>
      <c r="P335" s="1381"/>
      <c r="Q335" s="1381"/>
      <c r="R335" s="1381"/>
      <c r="T335" s="1349"/>
      <c r="U335" s="1349" t="s">
        <v>123</v>
      </c>
      <c r="V335" s="1349" t="s">
        <v>123</v>
      </c>
      <c r="W335" s="1349"/>
      <c r="X335" s="1349"/>
      <c r="Y335" s="1308"/>
      <c r="Z335" s="437" t="str">
        <f>IFERROR(__xludf.DUMMYFUNCTION("IF(NOT('portfólio'!$AV$7),"""",IF($T335="""","""",IFERROR(query({AtivosDados},""select sum(""&amp;Z$3&amp;"") where Col1='""&amp;$T335&amp;""' label sum(""&amp;Z$3&amp;"") ''""),0)))"),"")</f>
        <v/>
      </c>
      <c r="AA335" s="437" t="str">
        <f>IFERROR(__xludf.DUMMYFUNCTION("IF(NOT('portfólio'!$AV$7),"""",IF($T335="""","""",IFERROR(query({AtivosDados},""select sum(""&amp;AA$3&amp;"") where Col1='""&amp;$T335&amp;""' label sum(""&amp;AA$3&amp;"") ''""),0)))"),"")</f>
        <v/>
      </c>
      <c r="AB335" s="437" t="str">
        <f>IFERROR(__xludf.DUMMYFUNCTION("IF(NOT('portfólio'!$AV$7),"""",IF($T335="""","""",IFERROR(query({AtivosDados},""select sum(""&amp;AB$3&amp;"") where Col1='""&amp;$T335&amp;""' label sum(""&amp;AB$3&amp;"") ''""),0)))"),"")</f>
        <v/>
      </c>
      <c r="AC335" s="437" t="str">
        <f>IFERROR(__xludf.DUMMYFUNCTION("IF(NOT('portfólio'!$AV$7),"""",IF($T335="""","""",IFERROR(query({AtivosDados},""select sum(""&amp;AC$3&amp;"") where Col1='""&amp;$T335&amp;""' label sum(""&amp;AC$3&amp;"") ''""),0)))"),"")</f>
        <v/>
      </c>
      <c r="AD335" s="437" t="str">
        <f>IFERROR(__xludf.DUMMYFUNCTION("IF(NOT('portfólio'!$AV$7),"""",IF($T335="""","""",IFERROR(query({AtivosDados},""select sum(""&amp;AD$3&amp;"") where Col1='""&amp;$T335&amp;""' label sum(""&amp;AD$3&amp;"") ''""),0)))"),"")</f>
        <v/>
      </c>
      <c r="AE335" s="437"/>
      <c r="AF335" s="1327"/>
      <c r="AG335" s="437"/>
      <c r="AH335" s="437"/>
      <c r="AI335" s="437"/>
      <c r="AJ335" s="437"/>
      <c r="AK335" s="437"/>
      <c r="AL335" s="437"/>
      <c r="AM335" s="437"/>
      <c r="AN335" s="437"/>
      <c r="AO335" s="437"/>
      <c r="AP335" s="437"/>
      <c r="AQ335" s="1327"/>
      <c r="AR335" s="437"/>
      <c r="AS335" s="437"/>
      <c r="AT335" s="437"/>
      <c r="AU335" s="437"/>
      <c r="AV335" s="437"/>
      <c r="AW335" s="437"/>
      <c r="AX335" s="437"/>
      <c r="AY335" s="437"/>
      <c r="AZ335" s="437"/>
      <c r="BA335" s="437"/>
      <c r="BB335" s="1327"/>
      <c r="BC335" s="437"/>
      <c r="BD335" s="437"/>
      <c r="BE335" s="437"/>
      <c r="BF335" s="437"/>
      <c r="BG335" s="437"/>
      <c r="BH335" s="437"/>
      <c r="BI335" s="437"/>
      <c r="BJ335" s="437"/>
      <c r="BK335" s="437"/>
      <c r="BL335" s="437"/>
      <c r="BM335" s="1327"/>
      <c r="BN335" s="1327"/>
      <c r="BO335" s="1327"/>
      <c r="BP335" s="1327"/>
      <c r="BQ335" s="1327"/>
      <c r="BR335" s="1327"/>
      <c r="BS335" s="1327"/>
      <c r="BT335" s="1327"/>
      <c r="BU335" s="1327"/>
      <c r="BV335" s="1327"/>
      <c r="BW335" s="1327"/>
      <c r="BX335" s="1327"/>
      <c r="BY335" s="1327"/>
      <c r="BZ335" s="1327"/>
      <c r="CA335" s="1327"/>
      <c r="CB335" s="1327"/>
      <c r="CC335" s="1327"/>
      <c r="CD335" s="1327"/>
      <c r="CE335" s="1327"/>
      <c r="CF335" s="1327"/>
      <c r="CG335" s="1327"/>
      <c r="CH335" s="1327"/>
      <c r="CI335" s="1327"/>
      <c r="CJ335" s="1327"/>
      <c r="CK335" s="1327"/>
      <c r="CL335" s="1327"/>
      <c r="CM335" s="1327"/>
      <c r="CN335" s="1327"/>
      <c r="CO335" s="1327"/>
      <c r="CP335" s="1327"/>
      <c r="CQ335" s="1327"/>
      <c r="CR335" s="1327"/>
      <c r="CS335" s="1327"/>
      <c r="CT335" s="1317"/>
      <c r="CU335" s="1317"/>
      <c r="CV335" s="1317"/>
      <c r="CW335" s="1317"/>
      <c r="CX335" s="1317"/>
      <c r="CY335" s="1317"/>
      <c r="CZ335" s="1317"/>
      <c r="DA335" s="1317"/>
      <c r="DB335" s="1317"/>
      <c r="DC335" s="1317"/>
      <c r="DD335" s="1317"/>
      <c r="DE335" s="1317"/>
      <c r="DF335" s="1317"/>
      <c r="DG335" s="1317"/>
    </row>
    <row r="336" ht="18.75" customHeight="1">
      <c r="G336" s="1344"/>
      <c r="H336" s="1345">
        <f t="shared" si="4"/>
        <v>0</v>
      </c>
      <c r="I336" s="1381"/>
      <c r="J336" s="1381"/>
      <c r="K336" s="1381"/>
      <c r="L336" s="1381"/>
      <c r="M336" s="1381"/>
      <c r="N336" s="1381"/>
      <c r="O336" s="1381"/>
      <c r="P336" s="1381"/>
      <c r="Q336" s="1381"/>
      <c r="R336" s="1381"/>
      <c r="T336" s="1349"/>
      <c r="U336" s="1349" t="s">
        <v>123</v>
      </c>
      <c r="V336" s="1349" t="s">
        <v>123</v>
      </c>
      <c r="W336" s="1349"/>
      <c r="X336" s="1349"/>
      <c r="Y336" s="1308"/>
      <c r="Z336" s="437" t="str">
        <f>IFERROR(__xludf.DUMMYFUNCTION("IF(NOT('portfólio'!$AV$7),"""",IF($T336="""","""",IFERROR(query({AtivosDados},""select sum(""&amp;Z$3&amp;"") where Col1='""&amp;$T336&amp;""' label sum(""&amp;Z$3&amp;"") ''""),0)))"),"")</f>
        <v/>
      </c>
      <c r="AA336" s="437" t="str">
        <f>IFERROR(__xludf.DUMMYFUNCTION("IF(NOT('portfólio'!$AV$7),"""",IF($T336="""","""",IFERROR(query({AtivosDados},""select sum(""&amp;AA$3&amp;"") where Col1='""&amp;$T336&amp;""' label sum(""&amp;AA$3&amp;"") ''""),0)))"),"")</f>
        <v/>
      </c>
      <c r="AB336" s="437" t="str">
        <f>IFERROR(__xludf.DUMMYFUNCTION("IF(NOT('portfólio'!$AV$7),"""",IF($T336="""","""",IFERROR(query({AtivosDados},""select sum(""&amp;AB$3&amp;"") where Col1='""&amp;$T336&amp;""' label sum(""&amp;AB$3&amp;"") ''""),0)))"),"")</f>
        <v/>
      </c>
      <c r="AC336" s="437" t="str">
        <f>IFERROR(__xludf.DUMMYFUNCTION("IF(NOT('portfólio'!$AV$7),"""",IF($T336="""","""",IFERROR(query({AtivosDados},""select sum(""&amp;AC$3&amp;"") where Col1='""&amp;$T336&amp;""' label sum(""&amp;AC$3&amp;"") ''""),0)))"),"")</f>
        <v/>
      </c>
      <c r="AD336" s="437" t="str">
        <f>IFERROR(__xludf.DUMMYFUNCTION("IF(NOT('portfólio'!$AV$7),"""",IF($T336="""","""",IFERROR(query({AtivosDados},""select sum(""&amp;AD$3&amp;"") where Col1='""&amp;$T336&amp;""' label sum(""&amp;AD$3&amp;"") ''""),0)))"),"")</f>
        <v/>
      </c>
      <c r="AE336" s="437"/>
      <c r="AF336" s="1327"/>
      <c r="AG336" s="437"/>
      <c r="AH336" s="437"/>
      <c r="AI336" s="437"/>
      <c r="AJ336" s="437"/>
      <c r="AK336" s="437"/>
      <c r="AL336" s="437"/>
      <c r="AM336" s="437"/>
      <c r="AN336" s="437"/>
      <c r="AO336" s="437"/>
      <c r="AP336" s="437"/>
      <c r="AQ336" s="1327"/>
      <c r="AR336" s="437"/>
      <c r="AS336" s="437"/>
      <c r="AT336" s="437"/>
      <c r="AU336" s="437"/>
      <c r="AV336" s="437"/>
      <c r="AW336" s="437"/>
      <c r="AX336" s="437"/>
      <c r="AY336" s="437"/>
      <c r="AZ336" s="437"/>
      <c r="BA336" s="437"/>
      <c r="BB336" s="1327"/>
      <c r="BC336" s="437"/>
      <c r="BD336" s="437"/>
      <c r="BE336" s="437"/>
      <c r="BF336" s="437"/>
      <c r="BG336" s="437"/>
      <c r="BH336" s="437"/>
      <c r="BI336" s="437"/>
      <c r="BJ336" s="437"/>
      <c r="BK336" s="437"/>
      <c r="BL336" s="437"/>
      <c r="BM336" s="1327"/>
      <c r="BN336" s="1327"/>
      <c r="BO336" s="1327"/>
      <c r="BP336" s="1327"/>
      <c r="BQ336" s="1327"/>
      <c r="BR336" s="1327"/>
      <c r="BS336" s="1327"/>
      <c r="BT336" s="1327"/>
      <c r="BU336" s="1327"/>
      <c r="BV336" s="1327"/>
      <c r="BW336" s="1327"/>
      <c r="BX336" s="1327"/>
      <c r="BY336" s="1327"/>
      <c r="BZ336" s="1327"/>
      <c r="CA336" s="1327"/>
      <c r="CB336" s="1327"/>
      <c r="CC336" s="1327"/>
      <c r="CD336" s="1327"/>
      <c r="CE336" s="1327"/>
      <c r="CF336" s="1327"/>
      <c r="CG336" s="1327"/>
      <c r="CH336" s="1327"/>
      <c r="CI336" s="1327"/>
      <c r="CJ336" s="1327"/>
      <c r="CK336" s="1327"/>
      <c r="CL336" s="1327"/>
      <c r="CM336" s="1327"/>
      <c r="CN336" s="1327"/>
      <c r="CO336" s="1327"/>
      <c r="CP336" s="1327"/>
      <c r="CQ336" s="1327"/>
      <c r="CR336" s="1327"/>
      <c r="CS336" s="1327"/>
      <c r="CT336" s="1317"/>
      <c r="CU336" s="1317"/>
      <c r="CV336" s="1317"/>
      <c r="CW336" s="1317"/>
      <c r="CX336" s="1317"/>
      <c r="CY336" s="1317"/>
      <c r="CZ336" s="1317"/>
      <c r="DA336" s="1317"/>
      <c r="DB336" s="1317"/>
      <c r="DC336" s="1317"/>
      <c r="DD336" s="1317"/>
      <c r="DE336" s="1317"/>
      <c r="DF336" s="1317"/>
      <c r="DG336" s="1317"/>
    </row>
    <row r="337" ht="18.75" customHeight="1">
      <c r="G337" s="1344"/>
      <c r="H337" s="1345">
        <f t="shared" si="4"/>
        <v>0</v>
      </c>
      <c r="I337" s="1381"/>
      <c r="J337" s="1381"/>
      <c r="K337" s="1381"/>
      <c r="L337" s="1381"/>
      <c r="M337" s="1381"/>
      <c r="N337" s="1381"/>
      <c r="O337" s="1381"/>
      <c r="P337" s="1381"/>
      <c r="Q337" s="1381"/>
      <c r="R337" s="1381"/>
      <c r="T337" s="1349"/>
      <c r="U337" s="1349" t="s">
        <v>123</v>
      </c>
      <c r="V337" s="1349" t="s">
        <v>123</v>
      </c>
      <c r="W337" s="1349"/>
      <c r="X337" s="1349"/>
      <c r="Y337" s="1308"/>
      <c r="Z337" s="437" t="str">
        <f>IFERROR(__xludf.DUMMYFUNCTION("IF(NOT('portfólio'!$AV$7),"""",IF($T337="""","""",IFERROR(query({AtivosDados},""select sum(""&amp;Z$3&amp;"") where Col1='""&amp;$T337&amp;""' label sum(""&amp;Z$3&amp;"") ''""),0)))"),"")</f>
        <v/>
      </c>
      <c r="AA337" s="437" t="str">
        <f>IFERROR(__xludf.DUMMYFUNCTION("IF(NOT('portfólio'!$AV$7),"""",IF($T337="""","""",IFERROR(query({AtivosDados},""select sum(""&amp;AA$3&amp;"") where Col1='""&amp;$T337&amp;""' label sum(""&amp;AA$3&amp;"") ''""),0)))"),"")</f>
        <v/>
      </c>
      <c r="AB337" s="437" t="str">
        <f>IFERROR(__xludf.DUMMYFUNCTION("IF(NOT('portfólio'!$AV$7),"""",IF($T337="""","""",IFERROR(query({AtivosDados},""select sum(""&amp;AB$3&amp;"") where Col1='""&amp;$T337&amp;""' label sum(""&amp;AB$3&amp;"") ''""),0)))"),"")</f>
        <v/>
      </c>
      <c r="AC337" s="437" t="str">
        <f>IFERROR(__xludf.DUMMYFUNCTION("IF(NOT('portfólio'!$AV$7),"""",IF($T337="""","""",IFERROR(query({AtivosDados},""select sum(""&amp;AC$3&amp;"") where Col1='""&amp;$T337&amp;""' label sum(""&amp;AC$3&amp;"") ''""),0)))"),"")</f>
        <v/>
      </c>
      <c r="AD337" s="437" t="str">
        <f>IFERROR(__xludf.DUMMYFUNCTION("IF(NOT('portfólio'!$AV$7),"""",IF($T337="""","""",IFERROR(query({AtivosDados},""select sum(""&amp;AD$3&amp;"") where Col1='""&amp;$T337&amp;""' label sum(""&amp;AD$3&amp;"") ''""),0)))"),"")</f>
        <v/>
      </c>
      <c r="AE337" s="437"/>
      <c r="AF337" s="1327"/>
      <c r="AG337" s="437"/>
      <c r="AH337" s="437"/>
      <c r="AI337" s="437"/>
      <c r="AJ337" s="437"/>
      <c r="AK337" s="437"/>
      <c r="AL337" s="437"/>
      <c r="AM337" s="437"/>
      <c r="AN337" s="437"/>
      <c r="AO337" s="437"/>
      <c r="AP337" s="437"/>
      <c r="AQ337" s="1327"/>
      <c r="AR337" s="437"/>
      <c r="AS337" s="437"/>
      <c r="AT337" s="437"/>
      <c r="AU337" s="437"/>
      <c r="AV337" s="437"/>
      <c r="AW337" s="437"/>
      <c r="AX337" s="437"/>
      <c r="AY337" s="437"/>
      <c r="AZ337" s="437"/>
      <c r="BA337" s="437"/>
      <c r="BB337" s="1327"/>
      <c r="BC337" s="437"/>
      <c r="BD337" s="437"/>
      <c r="BE337" s="437"/>
      <c r="BF337" s="437"/>
      <c r="BG337" s="437"/>
      <c r="BH337" s="437"/>
      <c r="BI337" s="437"/>
      <c r="BJ337" s="437"/>
      <c r="BK337" s="437"/>
      <c r="BL337" s="437"/>
      <c r="BM337" s="1327"/>
      <c r="BN337" s="1327"/>
      <c r="BO337" s="1327"/>
      <c r="BP337" s="1327"/>
      <c r="BQ337" s="1327"/>
      <c r="BR337" s="1327"/>
      <c r="BS337" s="1327"/>
      <c r="BT337" s="1327"/>
      <c r="BU337" s="1327"/>
      <c r="BV337" s="1327"/>
      <c r="BW337" s="1327"/>
      <c r="BX337" s="1327"/>
      <c r="BY337" s="1327"/>
      <c r="BZ337" s="1327"/>
      <c r="CA337" s="1327"/>
      <c r="CB337" s="1327"/>
      <c r="CC337" s="1327"/>
      <c r="CD337" s="1327"/>
      <c r="CE337" s="1327"/>
      <c r="CF337" s="1327"/>
      <c r="CG337" s="1327"/>
      <c r="CH337" s="1327"/>
      <c r="CI337" s="1327"/>
      <c r="CJ337" s="1327"/>
      <c r="CK337" s="1327"/>
      <c r="CL337" s="1327"/>
      <c r="CM337" s="1327"/>
      <c r="CN337" s="1327"/>
      <c r="CO337" s="1327"/>
      <c r="CP337" s="1327"/>
      <c r="CQ337" s="1327"/>
      <c r="CR337" s="1327"/>
      <c r="CS337" s="1327"/>
      <c r="CT337" s="1317"/>
      <c r="CU337" s="1317"/>
      <c r="CV337" s="1317"/>
      <c r="CW337" s="1317"/>
      <c r="CX337" s="1317"/>
      <c r="CY337" s="1317"/>
      <c r="CZ337" s="1317"/>
      <c r="DA337" s="1317"/>
      <c r="DB337" s="1317"/>
      <c r="DC337" s="1317"/>
      <c r="DD337" s="1317"/>
      <c r="DE337" s="1317"/>
      <c r="DF337" s="1317"/>
      <c r="DG337" s="1317"/>
    </row>
    <row r="338" ht="18.75" customHeight="1">
      <c r="G338" s="1344"/>
      <c r="H338" s="1345">
        <f t="shared" si="4"/>
        <v>0</v>
      </c>
      <c r="I338" s="1381"/>
      <c r="J338" s="1381"/>
      <c r="K338" s="1381"/>
      <c r="L338" s="1381"/>
      <c r="M338" s="1381"/>
      <c r="N338" s="1381"/>
      <c r="O338" s="1381"/>
      <c r="P338" s="1381"/>
      <c r="Q338" s="1381"/>
      <c r="R338" s="1381"/>
      <c r="T338" s="1349"/>
      <c r="U338" s="1349" t="s">
        <v>123</v>
      </c>
      <c r="V338" s="1349" t="s">
        <v>123</v>
      </c>
      <c r="W338" s="1349"/>
      <c r="X338" s="1349"/>
      <c r="Y338" s="1308"/>
      <c r="Z338" s="437" t="str">
        <f>IFERROR(__xludf.DUMMYFUNCTION("IF(NOT('portfólio'!$AV$7),"""",IF($T338="""","""",IFERROR(query({AtivosDados},""select sum(""&amp;Z$3&amp;"") where Col1='""&amp;$T338&amp;""' label sum(""&amp;Z$3&amp;"") ''""),0)))"),"")</f>
        <v/>
      </c>
      <c r="AA338" s="437" t="str">
        <f>IFERROR(__xludf.DUMMYFUNCTION("IF(NOT('portfólio'!$AV$7),"""",IF($T338="""","""",IFERROR(query({AtivosDados},""select sum(""&amp;AA$3&amp;"") where Col1='""&amp;$T338&amp;""' label sum(""&amp;AA$3&amp;"") ''""),0)))"),"")</f>
        <v/>
      </c>
      <c r="AB338" s="437" t="str">
        <f>IFERROR(__xludf.DUMMYFUNCTION("IF(NOT('portfólio'!$AV$7),"""",IF($T338="""","""",IFERROR(query({AtivosDados},""select sum(""&amp;AB$3&amp;"") where Col1='""&amp;$T338&amp;""' label sum(""&amp;AB$3&amp;"") ''""),0)))"),"")</f>
        <v/>
      </c>
      <c r="AC338" s="437" t="str">
        <f>IFERROR(__xludf.DUMMYFUNCTION("IF(NOT('portfólio'!$AV$7),"""",IF($T338="""","""",IFERROR(query({AtivosDados},""select sum(""&amp;AC$3&amp;"") where Col1='""&amp;$T338&amp;""' label sum(""&amp;AC$3&amp;"") ''""),0)))"),"")</f>
        <v/>
      </c>
      <c r="AD338" s="437" t="str">
        <f>IFERROR(__xludf.DUMMYFUNCTION("IF(NOT('portfólio'!$AV$7),"""",IF($T338="""","""",IFERROR(query({AtivosDados},""select sum(""&amp;AD$3&amp;"") where Col1='""&amp;$T338&amp;""' label sum(""&amp;AD$3&amp;"") ''""),0)))"),"")</f>
        <v/>
      </c>
      <c r="AE338" s="437"/>
      <c r="AF338" s="1327"/>
      <c r="AG338" s="437"/>
      <c r="AH338" s="437"/>
      <c r="AI338" s="437"/>
      <c r="AJ338" s="437"/>
      <c r="AK338" s="437"/>
      <c r="AL338" s="437"/>
      <c r="AM338" s="437"/>
      <c r="AN338" s="437"/>
      <c r="AO338" s="437"/>
      <c r="AP338" s="437"/>
      <c r="AQ338" s="1327"/>
      <c r="AR338" s="437"/>
      <c r="AS338" s="437"/>
      <c r="AT338" s="437"/>
      <c r="AU338" s="437"/>
      <c r="AV338" s="437"/>
      <c r="AW338" s="437"/>
      <c r="AX338" s="437"/>
      <c r="AY338" s="437"/>
      <c r="AZ338" s="437"/>
      <c r="BA338" s="437"/>
      <c r="BB338" s="1327"/>
      <c r="BC338" s="437"/>
      <c r="BD338" s="437"/>
      <c r="BE338" s="437"/>
      <c r="BF338" s="437"/>
      <c r="BG338" s="437"/>
      <c r="BH338" s="437"/>
      <c r="BI338" s="437"/>
      <c r="BJ338" s="437"/>
      <c r="BK338" s="437"/>
      <c r="BL338" s="437"/>
      <c r="BM338" s="1327"/>
      <c r="BN338" s="1327"/>
      <c r="BO338" s="1327"/>
      <c r="BP338" s="1327"/>
      <c r="BQ338" s="1327"/>
      <c r="BR338" s="1327"/>
      <c r="BS338" s="1327"/>
      <c r="BT338" s="1327"/>
      <c r="BU338" s="1327"/>
      <c r="BV338" s="1327"/>
      <c r="BW338" s="1327"/>
      <c r="BX338" s="1327"/>
      <c r="BY338" s="1327"/>
      <c r="BZ338" s="1327"/>
      <c r="CA338" s="1327"/>
      <c r="CB338" s="1327"/>
      <c r="CC338" s="1327"/>
      <c r="CD338" s="1327"/>
      <c r="CE338" s="1327"/>
      <c r="CF338" s="1327"/>
      <c r="CG338" s="1327"/>
      <c r="CH338" s="1327"/>
      <c r="CI338" s="1327"/>
      <c r="CJ338" s="1327"/>
      <c r="CK338" s="1327"/>
      <c r="CL338" s="1327"/>
      <c r="CM338" s="1327"/>
      <c r="CN338" s="1327"/>
      <c r="CO338" s="1327"/>
      <c r="CP338" s="1327"/>
      <c r="CQ338" s="1327"/>
      <c r="CR338" s="1327"/>
      <c r="CS338" s="1327"/>
      <c r="CT338" s="1317"/>
      <c r="CU338" s="1317"/>
      <c r="CV338" s="1317"/>
      <c r="CW338" s="1317"/>
      <c r="CX338" s="1317"/>
      <c r="CY338" s="1317"/>
      <c r="CZ338" s="1317"/>
      <c r="DA338" s="1317"/>
      <c r="DB338" s="1317"/>
      <c r="DC338" s="1317"/>
      <c r="DD338" s="1317"/>
      <c r="DE338" s="1317"/>
      <c r="DF338" s="1317"/>
      <c r="DG338" s="1317"/>
    </row>
    <row r="339" ht="18.75" customHeight="1">
      <c r="G339" s="1344"/>
      <c r="H339" s="1345">
        <f t="shared" si="4"/>
        <v>0</v>
      </c>
      <c r="I339" s="1381"/>
      <c r="J339" s="1381"/>
      <c r="K339" s="1381"/>
      <c r="L339" s="1381"/>
      <c r="M339" s="1381"/>
      <c r="N339" s="1381"/>
      <c r="O339" s="1381"/>
      <c r="P339" s="1381"/>
      <c r="Q339" s="1381"/>
      <c r="R339" s="1381"/>
      <c r="T339" s="1349"/>
      <c r="U339" s="1349" t="s">
        <v>123</v>
      </c>
      <c r="V339" s="1349" t="s">
        <v>123</v>
      </c>
      <c r="W339" s="1349"/>
      <c r="X339" s="1349"/>
      <c r="Y339" s="1308"/>
      <c r="Z339" s="437" t="str">
        <f>IFERROR(__xludf.DUMMYFUNCTION("IF(NOT('portfólio'!$AV$7),"""",IF($T339="""","""",IFERROR(query({AtivosDados},""select sum(""&amp;Z$3&amp;"") where Col1='""&amp;$T339&amp;""' label sum(""&amp;Z$3&amp;"") ''""),0)))"),"")</f>
        <v/>
      </c>
      <c r="AA339" s="437" t="str">
        <f>IFERROR(__xludf.DUMMYFUNCTION("IF(NOT('portfólio'!$AV$7),"""",IF($T339="""","""",IFERROR(query({AtivosDados},""select sum(""&amp;AA$3&amp;"") where Col1='""&amp;$T339&amp;""' label sum(""&amp;AA$3&amp;"") ''""),0)))"),"")</f>
        <v/>
      </c>
      <c r="AB339" s="437" t="str">
        <f>IFERROR(__xludf.DUMMYFUNCTION("IF(NOT('portfólio'!$AV$7),"""",IF($T339="""","""",IFERROR(query({AtivosDados},""select sum(""&amp;AB$3&amp;"") where Col1='""&amp;$T339&amp;""' label sum(""&amp;AB$3&amp;"") ''""),0)))"),"")</f>
        <v/>
      </c>
      <c r="AC339" s="437" t="str">
        <f>IFERROR(__xludf.DUMMYFUNCTION("IF(NOT('portfólio'!$AV$7),"""",IF($T339="""","""",IFERROR(query({AtivosDados},""select sum(""&amp;AC$3&amp;"") where Col1='""&amp;$T339&amp;""' label sum(""&amp;AC$3&amp;"") ''""),0)))"),"")</f>
        <v/>
      </c>
      <c r="AD339" s="437" t="str">
        <f>IFERROR(__xludf.DUMMYFUNCTION("IF(NOT('portfólio'!$AV$7),"""",IF($T339="""","""",IFERROR(query({AtivosDados},""select sum(""&amp;AD$3&amp;"") where Col1='""&amp;$T339&amp;""' label sum(""&amp;AD$3&amp;"") ''""),0)))"),"")</f>
        <v/>
      </c>
      <c r="AE339" s="437"/>
      <c r="AF339" s="1327"/>
      <c r="AG339" s="437"/>
      <c r="AH339" s="437"/>
      <c r="AI339" s="437"/>
      <c r="AJ339" s="437"/>
      <c r="AK339" s="437"/>
      <c r="AL339" s="437"/>
      <c r="AM339" s="437"/>
      <c r="AN339" s="437"/>
      <c r="AO339" s="437"/>
      <c r="AP339" s="437"/>
      <c r="AQ339" s="1327"/>
      <c r="AR339" s="437"/>
      <c r="AS339" s="437"/>
      <c r="AT339" s="437"/>
      <c r="AU339" s="437"/>
      <c r="AV339" s="437"/>
      <c r="AW339" s="437"/>
      <c r="AX339" s="437"/>
      <c r="AY339" s="437"/>
      <c r="AZ339" s="437"/>
      <c r="BA339" s="437"/>
      <c r="BB339" s="1327"/>
      <c r="BC339" s="437"/>
      <c r="BD339" s="437"/>
      <c r="BE339" s="437"/>
      <c r="BF339" s="437"/>
      <c r="BG339" s="437"/>
      <c r="BH339" s="437"/>
      <c r="BI339" s="437"/>
      <c r="BJ339" s="437"/>
      <c r="BK339" s="437"/>
      <c r="BL339" s="437"/>
      <c r="BM339" s="1327"/>
      <c r="BN339" s="1327"/>
      <c r="BO339" s="1327"/>
      <c r="BP339" s="1327"/>
      <c r="BQ339" s="1327"/>
      <c r="BR339" s="1327"/>
      <c r="BS339" s="1327"/>
      <c r="BT339" s="1327"/>
      <c r="BU339" s="1327"/>
      <c r="BV339" s="1327"/>
      <c r="BW339" s="1327"/>
      <c r="BX339" s="1327"/>
      <c r="BY339" s="1327"/>
      <c r="BZ339" s="1327"/>
      <c r="CA339" s="1327"/>
      <c r="CB339" s="1327"/>
      <c r="CC339" s="1327"/>
      <c r="CD339" s="1327"/>
      <c r="CE339" s="1327"/>
      <c r="CF339" s="1327"/>
      <c r="CG339" s="1327"/>
      <c r="CH339" s="1327"/>
      <c r="CI339" s="1327"/>
      <c r="CJ339" s="1327"/>
      <c r="CK339" s="1327"/>
      <c r="CL339" s="1327"/>
      <c r="CM339" s="1327"/>
      <c r="CN339" s="1327"/>
      <c r="CO339" s="1327"/>
      <c r="CP339" s="1327"/>
      <c r="CQ339" s="1327"/>
      <c r="CR339" s="1327"/>
      <c r="CS339" s="1327"/>
      <c r="CT339" s="1317"/>
      <c r="CU339" s="1317"/>
      <c r="CV339" s="1317"/>
      <c r="CW339" s="1317"/>
      <c r="CX339" s="1317"/>
      <c r="CY339" s="1317"/>
      <c r="CZ339" s="1317"/>
      <c r="DA339" s="1317"/>
      <c r="DB339" s="1317"/>
      <c r="DC339" s="1317"/>
      <c r="DD339" s="1317"/>
      <c r="DE339" s="1317"/>
      <c r="DF339" s="1317"/>
      <c r="DG339" s="1317"/>
    </row>
    <row r="340" ht="18.75" customHeight="1">
      <c r="G340" s="1344"/>
      <c r="H340" s="1345">
        <f t="shared" si="4"/>
        <v>0</v>
      </c>
      <c r="I340" s="1381"/>
      <c r="J340" s="1381"/>
      <c r="K340" s="1381"/>
      <c r="L340" s="1381"/>
      <c r="M340" s="1381"/>
      <c r="N340" s="1381"/>
      <c r="O340" s="1381"/>
      <c r="P340" s="1381"/>
      <c r="Q340" s="1381"/>
      <c r="R340" s="1381"/>
      <c r="T340" s="1349"/>
      <c r="U340" s="1349" t="s">
        <v>123</v>
      </c>
      <c r="V340" s="1349" t="s">
        <v>123</v>
      </c>
      <c r="W340" s="1349"/>
      <c r="X340" s="1349"/>
      <c r="Y340" s="1308"/>
      <c r="Z340" s="437" t="str">
        <f>IFERROR(__xludf.DUMMYFUNCTION("IF(NOT('portfólio'!$AV$7),"""",IF($T340="""","""",IFERROR(query({AtivosDados},""select sum(""&amp;Z$3&amp;"") where Col1='""&amp;$T340&amp;""' label sum(""&amp;Z$3&amp;"") ''""),0)))"),"")</f>
        <v/>
      </c>
      <c r="AA340" s="437" t="str">
        <f>IFERROR(__xludf.DUMMYFUNCTION("IF(NOT('portfólio'!$AV$7),"""",IF($T340="""","""",IFERROR(query({AtivosDados},""select sum(""&amp;AA$3&amp;"") where Col1='""&amp;$T340&amp;""' label sum(""&amp;AA$3&amp;"") ''""),0)))"),"")</f>
        <v/>
      </c>
      <c r="AB340" s="437" t="str">
        <f>IFERROR(__xludf.DUMMYFUNCTION("IF(NOT('portfólio'!$AV$7),"""",IF($T340="""","""",IFERROR(query({AtivosDados},""select sum(""&amp;AB$3&amp;"") where Col1='""&amp;$T340&amp;""' label sum(""&amp;AB$3&amp;"") ''""),0)))"),"")</f>
        <v/>
      </c>
      <c r="AC340" s="437" t="str">
        <f>IFERROR(__xludf.DUMMYFUNCTION("IF(NOT('portfólio'!$AV$7),"""",IF($T340="""","""",IFERROR(query({AtivosDados},""select sum(""&amp;AC$3&amp;"") where Col1='""&amp;$T340&amp;""' label sum(""&amp;AC$3&amp;"") ''""),0)))"),"")</f>
        <v/>
      </c>
      <c r="AD340" s="437" t="str">
        <f>IFERROR(__xludf.DUMMYFUNCTION("IF(NOT('portfólio'!$AV$7),"""",IF($T340="""","""",IFERROR(query({AtivosDados},""select sum(""&amp;AD$3&amp;"") where Col1='""&amp;$T340&amp;""' label sum(""&amp;AD$3&amp;"") ''""),0)))"),"")</f>
        <v/>
      </c>
      <c r="AE340" s="437"/>
      <c r="AF340" s="1327"/>
      <c r="AG340" s="437"/>
      <c r="AH340" s="437"/>
      <c r="AI340" s="437"/>
      <c r="AJ340" s="437"/>
      <c r="AK340" s="437"/>
      <c r="AL340" s="437"/>
      <c r="AM340" s="437"/>
      <c r="AN340" s="437"/>
      <c r="AO340" s="437"/>
      <c r="AP340" s="437"/>
      <c r="AQ340" s="1327"/>
      <c r="AR340" s="437"/>
      <c r="AS340" s="437"/>
      <c r="AT340" s="437"/>
      <c r="AU340" s="437"/>
      <c r="AV340" s="437"/>
      <c r="AW340" s="437"/>
      <c r="AX340" s="437"/>
      <c r="AY340" s="437"/>
      <c r="AZ340" s="437"/>
      <c r="BA340" s="437"/>
      <c r="BB340" s="1327"/>
      <c r="BC340" s="437"/>
      <c r="BD340" s="437"/>
      <c r="BE340" s="437"/>
      <c r="BF340" s="437"/>
      <c r="BG340" s="437"/>
      <c r="BH340" s="437"/>
      <c r="BI340" s="437"/>
      <c r="BJ340" s="437"/>
      <c r="BK340" s="437"/>
      <c r="BL340" s="437"/>
      <c r="BM340" s="1327"/>
      <c r="BN340" s="1327"/>
      <c r="BO340" s="1327"/>
      <c r="BP340" s="1327"/>
      <c r="BQ340" s="1327"/>
      <c r="BR340" s="1327"/>
      <c r="BS340" s="1327"/>
      <c r="BT340" s="1327"/>
      <c r="BU340" s="1327"/>
      <c r="BV340" s="1327"/>
      <c r="BW340" s="1327"/>
      <c r="BX340" s="1327"/>
      <c r="BY340" s="1327"/>
      <c r="BZ340" s="1327"/>
      <c r="CA340" s="1327"/>
      <c r="CB340" s="1327"/>
      <c r="CC340" s="1327"/>
      <c r="CD340" s="1327"/>
      <c r="CE340" s="1327"/>
      <c r="CF340" s="1327"/>
      <c r="CG340" s="1327"/>
      <c r="CH340" s="1327"/>
      <c r="CI340" s="1327"/>
      <c r="CJ340" s="1327"/>
      <c r="CK340" s="1327"/>
      <c r="CL340" s="1327"/>
      <c r="CM340" s="1327"/>
      <c r="CN340" s="1327"/>
      <c r="CO340" s="1327"/>
      <c r="CP340" s="1327"/>
      <c r="CQ340" s="1327"/>
      <c r="CR340" s="1327"/>
      <c r="CS340" s="1327"/>
      <c r="CT340" s="1317"/>
      <c r="CU340" s="1317"/>
      <c r="CV340" s="1317"/>
      <c r="CW340" s="1317"/>
      <c r="CX340" s="1317"/>
      <c r="CY340" s="1317"/>
      <c r="CZ340" s="1317"/>
      <c r="DA340" s="1317"/>
      <c r="DB340" s="1317"/>
      <c r="DC340" s="1317"/>
      <c r="DD340" s="1317"/>
      <c r="DE340" s="1317"/>
      <c r="DF340" s="1317"/>
      <c r="DG340" s="1317"/>
    </row>
    <row r="341" ht="18.75" customHeight="1">
      <c r="G341" s="1344"/>
      <c r="H341" s="1345">
        <f t="shared" si="4"/>
        <v>0</v>
      </c>
      <c r="I341" s="1381"/>
      <c r="J341" s="1381"/>
      <c r="K341" s="1381"/>
      <c r="L341" s="1381"/>
      <c r="M341" s="1381"/>
      <c r="N341" s="1381"/>
      <c r="O341" s="1381"/>
      <c r="P341" s="1381"/>
      <c r="Q341" s="1381"/>
      <c r="R341" s="1381"/>
      <c r="T341" s="1349"/>
      <c r="U341" s="1349" t="s">
        <v>123</v>
      </c>
      <c r="V341" s="1349" t="s">
        <v>123</v>
      </c>
      <c r="W341" s="1349"/>
      <c r="X341" s="1349"/>
      <c r="Y341" s="1308"/>
      <c r="Z341" s="437" t="str">
        <f>IFERROR(__xludf.DUMMYFUNCTION("IF(NOT('portfólio'!$AV$7),"""",IF($T341="""","""",IFERROR(query({AtivosDados},""select sum(""&amp;Z$3&amp;"") where Col1='""&amp;$T341&amp;""' label sum(""&amp;Z$3&amp;"") ''""),0)))"),"")</f>
        <v/>
      </c>
      <c r="AA341" s="437" t="str">
        <f>IFERROR(__xludf.DUMMYFUNCTION("IF(NOT('portfólio'!$AV$7),"""",IF($T341="""","""",IFERROR(query({AtivosDados},""select sum(""&amp;AA$3&amp;"") where Col1='""&amp;$T341&amp;""' label sum(""&amp;AA$3&amp;"") ''""),0)))"),"")</f>
        <v/>
      </c>
      <c r="AB341" s="437" t="str">
        <f>IFERROR(__xludf.DUMMYFUNCTION("IF(NOT('portfólio'!$AV$7),"""",IF($T341="""","""",IFERROR(query({AtivosDados},""select sum(""&amp;AB$3&amp;"") where Col1='""&amp;$T341&amp;""' label sum(""&amp;AB$3&amp;"") ''""),0)))"),"")</f>
        <v/>
      </c>
      <c r="AC341" s="437" t="str">
        <f>IFERROR(__xludf.DUMMYFUNCTION("IF(NOT('portfólio'!$AV$7),"""",IF($T341="""","""",IFERROR(query({AtivosDados},""select sum(""&amp;AC$3&amp;"") where Col1='""&amp;$T341&amp;""' label sum(""&amp;AC$3&amp;"") ''""),0)))"),"")</f>
        <v/>
      </c>
      <c r="AD341" s="437" t="str">
        <f>IFERROR(__xludf.DUMMYFUNCTION("IF(NOT('portfólio'!$AV$7),"""",IF($T341="""","""",IFERROR(query({AtivosDados},""select sum(""&amp;AD$3&amp;"") where Col1='""&amp;$T341&amp;""' label sum(""&amp;AD$3&amp;"") ''""),0)))"),"")</f>
        <v/>
      </c>
      <c r="AE341" s="437"/>
      <c r="AF341" s="1327"/>
      <c r="AG341" s="437"/>
      <c r="AH341" s="437"/>
      <c r="AI341" s="437"/>
      <c r="AJ341" s="437"/>
      <c r="AK341" s="437"/>
      <c r="AL341" s="437"/>
      <c r="AM341" s="437"/>
      <c r="AN341" s="437"/>
      <c r="AO341" s="437"/>
      <c r="AP341" s="437"/>
      <c r="AQ341" s="1327"/>
      <c r="AR341" s="437"/>
      <c r="AS341" s="437"/>
      <c r="AT341" s="437"/>
      <c r="AU341" s="437"/>
      <c r="AV341" s="437"/>
      <c r="AW341" s="437"/>
      <c r="AX341" s="437"/>
      <c r="AY341" s="437"/>
      <c r="AZ341" s="437"/>
      <c r="BA341" s="437"/>
      <c r="BB341" s="1327"/>
      <c r="BC341" s="437"/>
      <c r="BD341" s="437"/>
      <c r="BE341" s="437"/>
      <c r="BF341" s="437"/>
      <c r="BG341" s="437"/>
      <c r="BH341" s="437"/>
      <c r="BI341" s="437"/>
      <c r="BJ341" s="437"/>
      <c r="BK341" s="437"/>
      <c r="BL341" s="437"/>
      <c r="BM341" s="1327"/>
      <c r="BN341" s="1327"/>
      <c r="BO341" s="1327"/>
      <c r="BP341" s="1327"/>
      <c r="BQ341" s="1327"/>
      <c r="BR341" s="1327"/>
      <c r="BS341" s="1327"/>
      <c r="BT341" s="1327"/>
      <c r="BU341" s="1327"/>
      <c r="BV341" s="1327"/>
      <c r="BW341" s="1327"/>
      <c r="BX341" s="1327"/>
      <c r="BY341" s="1327"/>
      <c r="BZ341" s="1327"/>
      <c r="CA341" s="1327"/>
      <c r="CB341" s="1327"/>
      <c r="CC341" s="1327"/>
      <c r="CD341" s="1327"/>
      <c r="CE341" s="1327"/>
      <c r="CF341" s="1327"/>
      <c r="CG341" s="1327"/>
      <c r="CH341" s="1327"/>
      <c r="CI341" s="1327"/>
      <c r="CJ341" s="1327"/>
      <c r="CK341" s="1327"/>
      <c r="CL341" s="1327"/>
      <c r="CM341" s="1327"/>
      <c r="CN341" s="1327"/>
      <c r="CO341" s="1327"/>
      <c r="CP341" s="1327"/>
      <c r="CQ341" s="1327"/>
      <c r="CR341" s="1327"/>
      <c r="CS341" s="1327"/>
      <c r="CT341" s="1317"/>
      <c r="CU341" s="1317"/>
      <c r="CV341" s="1317"/>
      <c r="CW341" s="1317"/>
      <c r="CX341" s="1317"/>
      <c r="CY341" s="1317"/>
      <c r="CZ341" s="1317"/>
      <c r="DA341" s="1317"/>
      <c r="DB341" s="1317"/>
      <c r="DC341" s="1317"/>
      <c r="DD341" s="1317"/>
      <c r="DE341" s="1317"/>
      <c r="DF341" s="1317"/>
      <c r="DG341" s="1317"/>
    </row>
    <row r="342" ht="18.75" customHeight="1">
      <c r="G342" s="1344"/>
      <c r="H342" s="1345">
        <f t="shared" si="4"/>
        <v>0</v>
      </c>
      <c r="I342" s="1381"/>
      <c r="J342" s="1381"/>
      <c r="K342" s="1381"/>
      <c r="L342" s="1381"/>
      <c r="M342" s="1381"/>
      <c r="N342" s="1381"/>
      <c r="O342" s="1381"/>
      <c r="P342" s="1381"/>
      <c r="Q342" s="1381"/>
      <c r="R342" s="1381"/>
      <c r="T342" s="1349"/>
      <c r="U342" s="1349" t="s">
        <v>123</v>
      </c>
      <c r="V342" s="1349" t="s">
        <v>123</v>
      </c>
      <c r="W342" s="1349"/>
      <c r="X342" s="1349"/>
      <c r="Y342" s="1308"/>
      <c r="Z342" s="437" t="str">
        <f>IFERROR(__xludf.DUMMYFUNCTION("IF(NOT('portfólio'!$AV$7),"""",IF($T342="""","""",IFERROR(query({AtivosDados},""select sum(""&amp;Z$3&amp;"") where Col1='""&amp;$T342&amp;""' label sum(""&amp;Z$3&amp;"") ''""),0)))"),"")</f>
        <v/>
      </c>
      <c r="AA342" s="437" t="str">
        <f>IFERROR(__xludf.DUMMYFUNCTION("IF(NOT('portfólio'!$AV$7),"""",IF($T342="""","""",IFERROR(query({AtivosDados},""select sum(""&amp;AA$3&amp;"") where Col1='""&amp;$T342&amp;""' label sum(""&amp;AA$3&amp;"") ''""),0)))"),"")</f>
        <v/>
      </c>
      <c r="AB342" s="437" t="str">
        <f>IFERROR(__xludf.DUMMYFUNCTION("IF(NOT('portfólio'!$AV$7),"""",IF($T342="""","""",IFERROR(query({AtivosDados},""select sum(""&amp;AB$3&amp;"") where Col1='""&amp;$T342&amp;""' label sum(""&amp;AB$3&amp;"") ''""),0)))"),"")</f>
        <v/>
      </c>
      <c r="AC342" s="437" t="str">
        <f>IFERROR(__xludf.DUMMYFUNCTION("IF(NOT('portfólio'!$AV$7),"""",IF($T342="""","""",IFERROR(query({AtivosDados},""select sum(""&amp;AC$3&amp;"") where Col1='""&amp;$T342&amp;""' label sum(""&amp;AC$3&amp;"") ''""),0)))"),"")</f>
        <v/>
      </c>
      <c r="AD342" s="437" t="str">
        <f>IFERROR(__xludf.DUMMYFUNCTION("IF(NOT('portfólio'!$AV$7),"""",IF($T342="""","""",IFERROR(query({AtivosDados},""select sum(""&amp;AD$3&amp;"") where Col1='""&amp;$T342&amp;""' label sum(""&amp;AD$3&amp;"") ''""),0)))"),"")</f>
        <v/>
      </c>
      <c r="AE342" s="437"/>
      <c r="AF342" s="1327"/>
      <c r="AG342" s="437"/>
      <c r="AH342" s="437"/>
      <c r="AI342" s="437"/>
      <c r="AJ342" s="437"/>
      <c r="AK342" s="437"/>
      <c r="AL342" s="437"/>
      <c r="AM342" s="437"/>
      <c r="AN342" s="437"/>
      <c r="AO342" s="437"/>
      <c r="AP342" s="437"/>
      <c r="AQ342" s="1327"/>
      <c r="AR342" s="437"/>
      <c r="AS342" s="437"/>
      <c r="AT342" s="437"/>
      <c r="AU342" s="437"/>
      <c r="AV342" s="437"/>
      <c r="AW342" s="437"/>
      <c r="AX342" s="437"/>
      <c r="AY342" s="437"/>
      <c r="AZ342" s="437"/>
      <c r="BA342" s="437"/>
      <c r="BB342" s="1327"/>
      <c r="BC342" s="437"/>
      <c r="BD342" s="437"/>
      <c r="BE342" s="437"/>
      <c r="BF342" s="437"/>
      <c r="BG342" s="437"/>
      <c r="BH342" s="437"/>
      <c r="BI342" s="437"/>
      <c r="BJ342" s="437"/>
      <c r="BK342" s="437"/>
      <c r="BL342" s="437"/>
      <c r="BM342" s="1327"/>
      <c r="BN342" s="1327"/>
      <c r="BO342" s="1327"/>
      <c r="BP342" s="1327"/>
      <c r="BQ342" s="1327"/>
      <c r="BR342" s="1327"/>
      <c r="BS342" s="1327"/>
      <c r="BT342" s="1327"/>
      <c r="BU342" s="1327"/>
      <c r="BV342" s="1327"/>
      <c r="BW342" s="1327"/>
      <c r="BX342" s="1327"/>
      <c r="BY342" s="1327"/>
      <c r="BZ342" s="1327"/>
      <c r="CA342" s="1327"/>
      <c r="CB342" s="1327"/>
      <c r="CC342" s="1327"/>
      <c r="CD342" s="1327"/>
      <c r="CE342" s="1327"/>
      <c r="CF342" s="1327"/>
      <c r="CG342" s="1327"/>
      <c r="CH342" s="1327"/>
      <c r="CI342" s="1327"/>
      <c r="CJ342" s="1327"/>
      <c r="CK342" s="1327"/>
      <c r="CL342" s="1327"/>
      <c r="CM342" s="1327"/>
      <c r="CN342" s="1327"/>
      <c r="CO342" s="1327"/>
      <c r="CP342" s="1327"/>
      <c r="CQ342" s="1327"/>
      <c r="CR342" s="1327"/>
      <c r="CS342" s="1327"/>
      <c r="CT342" s="1317"/>
      <c r="CU342" s="1317"/>
      <c r="CV342" s="1317"/>
      <c r="CW342" s="1317"/>
      <c r="CX342" s="1317"/>
      <c r="CY342" s="1317"/>
      <c r="CZ342" s="1317"/>
      <c r="DA342" s="1317"/>
      <c r="DB342" s="1317"/>
      <c r="DC342" s="1317"/>
      <c r="DD342" s="1317"/>
      <c r="DE342" s="1317"/>
      <c r="DF342" s="1317"/>
      <c r="DG342" s="1317"/>
    </row>
    <row r="343" ht="18.75" customHeight="1">
      <c r="G343" s="1344"/>
      <c r="H343" s="1345">
        <f t="shared" si="4"/>
        <v>0</v>
      </c>
      <c r="I343" s="1381"/>
      <c r="J343" s="1381"/>
      <c r="K343" s="1381"/>
      <c r="L343" s="1381"/>
      <c r="M343" s="1381"/>
      <c r="N343" s="1381"/>
      <c r="O343" s="1381"/>
      <c r="P343" s="1381"/>
      <c r="Q343" s="1381"/>
      <c r="R343" s="1381"/>
      <c r="T343" s="1349"/>
      <c r="U343" s="1349" t="s">
        <v>123</v>
      </c>
      <c r="V343" s="1349" t="s">
        <v>123</v>
      </c>
      <c r="W343" s="1349"/>
      <c r="X343" s="1349"/>
      <c r="Y343" s="1308"/>
      <c r="Z343" s="437" t="str">
        <f>IFERROR(__xludf.DUMMYFUNCTION("IF(NOT('portfólio'!$AV$7),"""",IF($T343="""","""",IFERROR(query({AtivosDados},""select sum(""&amp;Z$3&amp;"") where Col1='""&amp;$T343&amp;""' label sum(""&amp;Z$3&amp;"") ''""),0)))"),"")</f>
        <v/>
      </c>
      <c r="AA343" s="437" t="str">
        <f>IFERROR(__xludf.DUMMYFUNCTION("IF(NOT('portfólio'!$AV$7),"""",IF($T343="""","""",IFERROR(query({AtivosDados},""select sum(""&amp;AA$3&amp;"") where Col1='""&amp;$T343&amp;""' label sum(""&amp;AA$3&amp;"") ''""),0)))"),"")</f>
        <v/>
      </c>
      <c r="AB343" s="437" t="str">
        <f>IFERROR(__xludf.DUMMYFUNCTION("IF(NOT('portfólio'!$AV$7),"""",IF($T343="""","""",IFERROR(query({AtivosDados},""select sum(""&amp;AB$3&amp;"") where Col1='""&amp;$T343&amp;""' label sum(""&amp;AB$3&amp;"") ''""),0)))"),"")</f>
        <v/>
      </c>
      <c r="AC343" s="437" t="str">
        <f>IFERROR(__xludf.DUMMYFUNCTION("IF(NOT('portfólio'!$AV$7),"""",IF($T343="""","""",IFERROR(query({AtivosDados},""select sum(""&amp;AC$3&amp;"") where Col1='""&amp;$T343&amp;""' label sum(""&amp;AC$3&amp;"") ''""),0)))"),"")</f>
        <v/>
      </c>
      <c r="AD343" s="437" t="str">
        <f>IFERROR(__xludf.DUMMYFUNCTION("IF(NOT('portfólio'!$AV$7),"""",IF($T343="""","""",IFERROR(query({AtivosDados},""select sum(""&amp;AD$3&amp;"") where Col1='""&amp;$T343&amp;""' label sum(""&amp;AD$3&amp;"") ''""),0)))"),"")</f>
        <v/>
      </c>
      <c r="AE343" s="437"/>
      <c r="AF343" s="1327"/>
      <c r="AG343" s="437"/>
      <c r="AH343" s="437"/>
      <c r="AI343" s="437"/>
      <c r="AJ343" s="437"/>
      <c r="AK343" s="437"/>
      <c r="AL343" s="437"/>
      <c r="AM343" s="437"/>
      <c r="AN343" s="437"/>
      <c r="AO343" s="437"/>
      <c r="AP343" s="437"/>
      <c r="AQ343" s="1327"/>
      <c r="AR343" s="437"/>
      <c r="AS343" s="437"/>
      <c r="AT343" s="437"/>
      <c r="AU343" s="437"/>
      <c r="AV343" s="437"/>
      <c r="AW343" s="437"/>
      <c r="AX343" s="437"/>
      <c r="AY343" s="437"/>
      <c r="AZ343" s="437"/>
      <c r="BA343" s="437"/>
      <c r="BB343" s="1327"/>
      <c r="BC343" s="437"/>
      <c r="BD343" s="437"/>
      <c r="BE343" s="437"/>
      <c r="BF343" s="437"/>
      <c r="BG343" s="437"/>
      <c r="BH343" s="437"/>
      <c r="BI343" s="437"/>
      <c r="BJ343" s="437"/>
      <c r="BK343" s="437"/>
      <c r="BL343" s="437"/>
      <c r="BM343" s="1327"/>
      <c r="BN343" s="1327"/>
      <c r="BO343" s="1327"/>
      <c r="BP343" s="1327"/>
      <c r="BQ343" s="1327"/>
      <c r="BR343" s="1327"/>
      <c r="BS343" s="1327"/>
      <c r="BT343" s="1327"/>
      <c r="BU343" s="1327"/>
      <c r="BV343" s="1327"/>
      <c r="BW343" s="1327"/>
      <c r="BX343" s="1327"/>
      <c r="BY343" s="1327"/>
      <c r="BZ343" s="1327"/>
      <c r="CA343" s="1327"/>
      <c r="CB343" s="1327"/>
      <c r="CC343" s="1327"/>
      <c r="CD343" s="1327"/>
      <c r="CE343" s="1327"/>
      <c r="CF343" s="1327"/>
      <c r="CG343" s="1327"/>
      <c r="CH343" s="1327"/>
      <c r="CI343" s="1327"/>
      <c r="CJ343" s="1327"/>
      <c r="CK343" s="1327"/>
      <c r="CL343" s="1327"/>
      <c r="CM343" s="1327"/>
      <c r="CN343" s="1327"/>
      <c r="CO343" s="1327"/>
      <c r="CP343" s="1327"/>
      <c r="CQ343" s="1327"/>
      <c r="CR343" s="1327"/>
      <c r="CS343" s="1327"/>
      <c r="CT343" s="1317"/>
      <c r="CU343" s="1317"/>
      <c r="CV343" s="1317"/>
      <c r="CW343" s="1317"/>
      <c r="CX343" s="1317"/>
      <c r="CY343" s="1317"/>
      <c r="CZ343" s="1317"/>
      <c r="DA343" s="1317"/>
      <c r="DB343" s="1317"/>
      <c r="DC343" s="1317"/>
      <c r="DD343" s="1317"/>
      <c r="DE343" s="1317"/>
      <c r="DF343" s="1317"/>
      <c r="DG343" s="1317"/>
    </row>
    <row r="344" ht="18.75" customHeight="1">
      <c r="G344" s="1344"/>
      <c r="H344" s="1345">
        <f t="shared" si="4"/>
        <v>0</v>
      </c>
      <c r="I344" s="1381"/>
      <c r="J344" s="1381"/>
      <c r="K344" s="1381"/>
      <c r="L344" s="1381"/>
      <c r="M344" s="1381"/>
      <c r="N344" s="1381"/>
      <c r="O344" s="1381"/>
      <c r="P344" s="1381"/>
      <c r="Q344" s="1381"/>
      <c r="R344" s="1381"/>
      <c r="T344" s="1349"/>
      <c r="U344" s="1349" t="s">
        <v>123</v>
      </c>
      <c r="V344" s="1349" t="s">
        <v>123</v>
      </c>
      <c r="W344" s="1349"/>
      <c r="X344" s="1349"/>
      <c r="Y344" s="1308"/>
      <c r="Z344" s="437" t="str">
        <f>IFERROR(__xludf.DUMMYFUNCTION("IF(NOT('portfólio'!$AV$7),"""",IF($T344="""","""",IFERROR(query({AtivosDados},""select sum(""&amp;Z$3&amp;"") where Col1='""&amp;$T344&amp;""' label sum(""&amp;Z$3&amp;"") ''""),0)))"),"")</f>
        <v/>
      </c>
      <c r="AA344" s="437" t="str">
        <f>IFERROR(__xludf.DUMMYFUNCTION("IF(NOT('portfólio'!$AV$7),"""",IF($T344="""","""",IFERROR(query({AtivosDados},""select sum(""&amp;AA$3&amp;"") where Col1='""&amp;$T344&amp;""' label sum(""&amp;AA$3&amp;"") ''""),0)))"),"")</f>
        <v/>
      </c>
      <c r="AB344" s="437" t="str">
        <f>IFERROR(__xludf.DUMMYFUNCTION("IF(NOT('portfólio'!$AV$7),"""",IF($T344="""","""",IFERROR(query({AtivosDados},""select sum(""&amp;AB$3&amp;"") where Col1='""&amp;$T344&amp;""' label sum(""&amp;AB$3&amp;"") ''""),0)))"),"")</f>
        <v/>
      </c>
      <c r="AC344" s="437" t="str">
        <f>IFERROR(__xludf.DUMMYFUNCTION("IF(NOT('portfólio'!$AV$7),"""",IF($T344="""","""",IFERROR(query({AtivosDados},""select sum(""&amp;AC$3&amp;"") where Col1='""&amp;$T344&amp;""' label sum(""&amp;AC$3&amp;"") ''""),0)))"),"")</f>
        <v/>
      </c>
      <c r="AD344" s="437" t="str">
        <f>IFERROR(__xludf.DUMMYFUNCTION("IF(NOT('portfólio'!$AV$7),"""",IF($T344="""","""",IFERROR(query({AtivosDados},""select sum(""&amp;AD$3&amp;"") where Col1='""&amp;$T344&amp;""' label sum(""&amp;AD$3&amp;"") ''""),0)))"),"")</f>
        <v/>
      </c>
      <c r="AE344" s="437"/>
      <c r="AF344" s="1327"/>
      <c r="AG344" s="437"/>
      <c r="AH344" s="437"/>
      <c r="AI344" s="437"/>
      <c r="AJ344" s="437"/>
      <c r="AK344" s="437"/>
      <c r="AL344" s="437"/>
      <c r="AM344" s="437"/>
      <c r="AN344" s="437"/>
      <c r="AO344" s="437"/>
      <c r="AP344" s="437"/>
      <c r="AQ344" s="1327"/>
      <c r="AR344" s="437"/>
      <c r="AS344" s="437"/>
      <c r="AT344" s="437"/>
      <c r="AU344" s="437"/>
      <c r="AV344" s="437"/>
      <c r="AW344" s="437"/>
      <c r="AX344" s="437"/>
      <c r="AY344" s="437"/>
      <c r="AZ344" s="437"/>
      <c r="BA344" s="437"/>
      <c r="BB344" s="1327"/>
      <c r="BC344" s="437"/>
      <c r="BD344" s="437"/>
      <c r="BE344" s="437"/>
      <c r="BF344" s="437"/>
      <c r="BG344" s="437"/>
      <c r="BH344" s="437"/>
      <c r="BI344" s="437"/>
      <c r="BJ344" s="437"/>
      <c r="BK344" s="437"/>
      <c r="BL344" s="437"/>
      <c r="BM344" s="1327"/>
      <c r="BN344" s="1327"/>
      <c r="BO344" s="1327"/>
      <c r="BP344" s="1327"/>
      <c r="BQ344" s="1327"/>
      <c r="BR344" s="1327"/>
      <c r="BS344" s="1327"/>
      <c r="BT344" s="1327"/>
      <c r="BU344" s="1327"/>
      <c r="BV344" s="1327"/>
      <c r="BW344" s="1327"/>
      <c r="BX344" s="1327"/>
      <c r="BY344" s="1327"/>
      <c r="BZ344" s="1327"/>
      <c r="CA344" s="1327"/>
      <c r="CB344" s="1327"/>
      <c r="CC344" s="1327"/>
      <c r="CD344" s="1327"/>
      <c r="CE344" s="1327"/>
      <c r="CF344" s="1327"/>
      <c r="CG344" s="1327"/>
      <c r="CH344" s="1327"/>
      <c r="CI344" s="1327"/>
      <c r="CJ344" s="1327"/>
      <c r="CK344" s="1327"/>
      <c r="CL344" s="1327"/>
      <c r="CM344" s="1327"/>
      <c r="CN344" s="1327"/>
      <c r="CO344" s="1327"/>
      <c r="CP344" s="1327"/>
      <c r="CQ344" s="1327"/>
      <c r="CR344" s="1327"/>
      <c r="CS344" s="1327"/>
      <c r="CT344" s="1317"/>
      <c r="CU344" s="1317"/>
      <c r="CV344" s="1317"/>
      <c r="CW344" s="1317"/>
      <c r="CX344" s="1317"/>
      <c r="CY344" s="1317"/>
      <c r="CZ344" s="1317"/>
      <c r="DA344" s="1317"/>
      <c r="DB344" s="1317"/>
      <c r="DC344" s="1317"/>
      <c r="DD344" s="1317"/>
      <c r="DE344" s="1317"/>
      <c r="DF344" s="1317"/>
      <c r="DG344" s="1317"/>
    </row>
    <row r="345" ht="18.75" customHeight="1">
      <c r="G345" s="1344"/>
      <c r="H345" s="1345">
        <f t="shared" si="4"/>
        <v>0</v>
      </c>
      <c r="I345" s="1381"/>
      <c r="J345" s="1381"/>
      <c r="K345" s="1381"/>
      <c r="L345" s="1381"/>
      <c r="M345" s="1381"/>
      <c r="N345" s="1381"/>
      <c r="O345" s="1381"/>
      <c r="P345" s="1381"/>
      <c r="Q345" s="1381"/>
      <c r="R345" s="1381"/>
      <c r="T345" s="1349"/>
      <c r="U345" s="1349" t="s">
        <v>123</v>
      </c>
      <c r="V345" s="1349" t="s">
        <v>123</v>
      </c>
      <c r="W345" s="1349"/>
      <c r="X345" s="1349"/>
      <c r="Y345" s="1308"/>
      <c r="Z345" s="437" t="str">
        <f>IFERROR(__xludf.DUMMYFUNCTION("IF(NOT('portfólio'!$AV$7),"""",IF($T345="""","""",IFERROR(query({AtivosDados},""select sum(""&amp;Z$3&amp;"") where Col1='""&amp;$T345&amp;""' label sum(""&amp;Z$3&amp;"") ''""),0)))"),"")</f>
        <v/>
      </c>
      <c r="AA345" s="437" t="str">
        <f>IFERROR(__xludf.DUMMYFUNCTION("IF(NOT('portfólio'!$AV$7),"""",IF($T345="""","""",IFERROR(query({AtivosDados},""select sum(""&amp;AA$3&amp;"") where Col1='""&amp;$T345&amp;""' label sum(""&amp;AA$3&amp;"") ''""),0)))"),"")</f>
        <v/>
      </c>
      <c r="AB345" s="437" t="str">
        <f>IFERROR(__xludf.DUMMYFUNCTION("IF(NOT('portfólio'!$AV$7),"""",IF($T345="""","""",IFERROR(query({AtivosDados},""select sum(""&amp;AB$3&amp;"") where Col1='""&amp;$T345&amp;""' label sum(""&amp;AB$3&amp;"") ''""),0)))"),"")</f>
        <v/>
      </c>
      <c r="AC345" s="437" t="str">
        <f>IFERROR(__xludf.DUMMYFUNCTION("IF(NOT('portfólio'!$AV$7),"""",IF($T345="""","""",IFERROR(query({AtivosDados},""select sum(""&amp;AC$3&amp;"") where Col1='""&amp;$T345&amp;""' label sum(""&amp;AC$3&amp;"") ''""),0)))"),"")</f>
        <v/>
      </c>
      <c r="AD345" s="437" t="str">
        <f>IFERROR(__xludf.DUMMYFUNCTION("IF(NOT('portfólio'!$AV$7),"""",IF($T345="""","""",IFERROR(query({AtivosDados},""select sum(""&amp;AD$3&amp;"") where Col1='""&amp;$T345&amp;""' label sum(""&amp;AD$3&amp;"") ''""),0)))"),"")</f>
        <v/>
      </c>
      <c r="AE345" s="437"/>
      <c r="AF345" s="1327"/>
      <c r="AG345" s="437"/>
      <c r="AH345" s="437"/>
      <c r="AI345" s="437"/>
      <c r="AJ345" s="437"/>
      <c r="AK345" s="437"/>
      <c r="AL345" s="437"/>
      <c r="AM345" s="437"/>
      <c r="AN345" s="437"/>
      <c r="AO345" s="437"/>
      <c r="AP345" s="437"/>
      <c r="AQ345" s="1327"/>
      <c r="AR345" s="437"/>
      <c r="AS345" s="437"/>
      <c r="AT345" s="437"/>
      <c r="AU345" s="437"/>
      <c r="AV345" s="437"/>
      <c r="AW345" s="437"/>
      <c r="AX345" s="437"/>
      <c r="AY345" s="437"/>
      <c r="AZ345" s="437"/>
      <c r="BA345" s="437"/>
      <c r="BB345" s="1327"/>
      <c r="BC345" s="437"/>
      <c r="BD345" s="437"/>
      <c r="BE345" s="437"/>
      <c r="BF345" s="437"/>
      <c r="BG345" s="437"/>
      <c r="BH345" s="437"/>
      <c r="BI345" s="437"/>
      <c r="BJ345" s="437"/>
      <c r="BK345" s="437"/>
      <c r="BL345" s="437"/>
      <c r="BM345" s="1327"/>
      <c r="BN345" s="1327"/>
      <c r="BO345" s="1327"/>
      <c r="BP345" s="1327"/>
      <c r="BQ345" s="1327"/>
      <c r="BR345" s="1327"/>
      <c r="BS345" s="1327"/>
      <c r="BT345" s="1327"/>
      <c r="BU345" s="1327"/>
      <c r="BV345" s="1327"/>
      <c r="BW345" s="1327"/>
      <c r="BX345" s="1327"/>
      <c r="BY345" s="1327"/>
      <c r="BZ345" s="1327"/>
      <c r="CA345" s="1327"/>
      <c r="CB345" s="1327"/>
      <c r="CC345" s="1327"/>
      <c r="CD345" s="1327"/>
      <c r="CE345" s="1327"/>
      <c r="CF345" s="1327"/>
      <c r="CG345" s="1327"/>
      <c r="CH345" s="1327"/>
      <c r="CI345" s="1327"/>
      <c r="CJ345" s="1327"/>
      <c r="CK345" s="1327"/>
      <c r="CL345" s="1327"/>
      <c r="CM345" s="1327"/>
      <c r="CN345" s="1327"/>
      <c r="CO345" s="1327"/>
      <c r="CP345" s="1327"/>
      <c r="CQ345" s="1327"/>
      <c r="CR345" s="1327"/>
      <c r="CS345" s="1327"/>
      <c r="CT345" s="1317"/>
      <c r="CU345" s="1317"/>
      <c r="CV345" s="1317"/>
      <c r="CW345" s="1317"/>
      <c r="CX345" s="1317"/>
      <c r="CY345" s="1317"/>
      <c r="CZ345" s="1317"/>
      <c r="DA345" s="1317"/>
      <c r="DB345" s="1317"/>
      <c r="DC345" s="1317"/>
      <c r="DD345" s="1317"/>
      <c r="DE345" s="1317"/>
      <c r="DF345" s="1317"/>
      <c r="DG345" s="1317"/>
    </row>
    <row r="346" ht="18.75" customHeight="1">
      <c r="G346" s="1344"/>
      <c r="H346" s="1345">
        <f t="shared" si="4"/>
        <v>0</v>
      </c>
      <c r="I346" s="1381"/>
      <c r="J346" s="1381"/>
      <c r="K346" s="1381"/>
      <c r="L346" s="1381"/>
      <c r="M346" s="1381"/>
      <c r="N346" s="1381"/>
      <c r="O346" s="1381"/>
      <c r="P346" s="1381"/>
      <c r="Q346" s="1381"/>
      <c r="R346" s="1381"/>
      <c r="T346" s="1349"/>
      <c r="U346" s="1349" t="s">
        <v>123</v>
      </c>
      <c r="V346" s="1349" t="s">
        <v>123</v>
      </c>
      <c r="W346" s="1349"/>
      <c r="X346" s="1349"/>
      <c r="Y346" s="1308"/>
      <c r="Z346" s="437" t="str">
        <f>IFERROR(__xludf.DUMMYFUNCTION("IF(NOT('portfólio'!$AV$7),"""",IF($T346="""","""",IFERROR(query({AtivosDados},""select sum(""&amp;Z$3&amp;"") where Col1='""&amp;$T346&amp;""' label sum(""&amp;Z$3&amp;"") ''""),0)))"),"")</f>
        <v/>
      </c>
      <c r="AA346" s="437" t="str">
        <f>IFERROR(__xludf.DUMMYFUNCTION("IF(NOT('portfólio'!$AV$7),"""",IF($T346="""","""",IFERROR(query({AtivosDados},""select sum(""&amp;AA$3&amp;"") where Col1='""&amp;$T346&amp;""' label sum(""&amp;AA$3&amp;"") ''""),0)))"),"")</f>
        <v/>
      </c>
      <c r="AB346" s="437" t="str">
        <f>IFERROR(__xludf.DUMMYFUNCTION("IF(NOT('portfólio'!$AV$7),"""",IF($T346="""","""",IFERROR(query({AtivosDados},""select sum(""&amp;AB$3&amp;"") where Col1='""&amp;$T346&amp;""' label sum(""&amp;AB$3&amp;"") ''""),0)))"),"")</f>
        <v/>
      </c>
      <c r="AC346" s="437" t="str">
        <f>IFERROR(__xludf.DUMMYFUNCTION("IF(NOT('portfólio'!$AV$7),"""",IF($T346="""","""",IFERROR(query({AtivosDados},""select sum(""&amp;AC$3&amp;"") where Col1='""&amp;$T346&amp;""' label sum(""&amp;AC$3&amp;"") ''""),0)))"),"")</f>
        <v/>
      </c>
      <c r="AD346" s="437" t="str">
        <f>IFERROR(__xludf.DUMMYFUNCTION("IF(NOT('portfólio'!$AV$7),"""",IF($T346="""","""",IFERROR(query({AtivosDados},""select sum(""&amp;AD$3&amp;"") where Col1='""&amp;$T346&amp;""' label sum(""&amp;AD$3&amp;"") ''""),0)))"),"")</f>
        <v/>
      </c>
      <c r="AE346" s="437"/>
      <c r="AF346" s="1327"/>
      <c r="AG346" s="437"/>
      <c r="AH346" s="437"/>
      <c r="AI346" s="437"/>
      <c r="AJ346" s="437"/>
      <c r="AK346" s="437"/>
      <c r="AL346" s="437"/>
      <c r="AM346" s="437"/>
      <c r="AN346" s="437"/>
      <c r="AO346" s="437"/>
      <c r="AP346" s="437"/>
      <c r="AQ346" s="1327"/>
      <c r="AR346" s="437"/>
      <c r="AS346" s="437"/>
      <c r="AT346" s="437"/>
      <c r="AU346" s="437"/>
      <c r="AV346" s="437"/>
      <c r="AW346" s="437"/>
      <c r="AX346" s="437"/>
      <c r="AY346" s="437"/>
      <c r="AZ346" s="437"/>
      <c r="BA346" s="437"/>
      <c r="BB346" s="1327"/>
      <c r="BC346" s="437"/>
      <c r="BD346" s="437"/>
      <c r="BE346" s="437"/>
      <c r="BF346" s="437"/>
      <c r="BG346" s="437"/>
      <c r="BH346" s="437"/>
      <c r="BI346" s="437"/>
      <c r="BJ346" s="437"/>
      <c r="BK346" s="437"/>
      <c r="BL346" s="437"/>
      <c r="BM346" s="1327"/>
      <c r="BN346" s="1327"/>
      <c r="BO346" s="1327"/>
      <c r="BP346" s="1327"/>
      <c r="BQ346" s="1327"/>
      <c r="BR346" s="1327"/>
      <c r="BS346" s="1327"/>
      <c r="BT346" s="1327"/>
      <c r="BU346" s="1327"/>
      <c r="BV346" s="1327"/>
      <c r="BW346" s="1327"/>
      <c r="BX346" s="1327"/>
      <c r="BY346" s="1327"/>
      <c r="BZ346" s="1327"/>
      <c r="CA346" s="1327"/>
      <c r="CB346" s="1327"/>
      <c r="CC346" s="1327"/>
      <c r="CD346" s="1327"/>
      <c r="CE346" s="1327"/>
      <c r="CF346" s="1327"/>
      <c r="CG346" s="1327"/>
      <c r="CH346" s="1327"/>
      <c r="CI346" s="1327"/>
      <c r="CJ346" s="1327"/>
      <c r="CK346" s="1327"/>
      <c r="CL346" s="1327"/>
      <c r="CM346" s="1327"/>
      <c r="CN346" s="1327"/>
      <c r="CO346" s="1327"/>
      <c r="CP346" s="1327"/>
      <c r="CQ346" s="1327"/>
      <c r="CR346" s="1327"/>
      <c r="CS346" s="1327"/>
      <c r="CT346" s="1317"/>
      <c r="CU346" s="1317"/>
      <c r="CV346" s="1317"/>
      <c r="CW346" s="1317"/>
      <c r="CX346" s="1317"/>
      <c r="CY346" s="1317"/>
      <c r="CZ346" s="1317"/>
      <c r="DA346" s="1317"/>
      <c r="DB346" s="1317"/>
      <c r="DC346" s="1317"/>
      <c r="DD346" s="1317"/>
      <c r="DE346" s="1317"/>
      <c r="DF346" s="1317"/>
      <c r="DG346" s="1317"/>
    </row>
    <row r="347" ht="18.75" customHeight="1">
      <c r="G347" s="1344"/>
      <c r="H347" s="1345">
        <f t="shared" si="4"/>
        <v>0</v>
      </c>
      <c r="I347" s="1381"/>
      <c r="J347" s="1381"/>
      <c r="K347" s="1381"/>
      <c r="L347" s="1381"/>
      <c r="M347" s="1381"/>
      <c r="N347" s="1381"/>
      <c r="O347" s="1381"/>
      <c r="P347" s="1381"/>
      <c r="Q347" s="1381"/>
      <c r="R347" s="1381"/>
      <c r="T347" s="1349"/>
      <c r="U347" s="1349" t="s">
        <v>123</v>
      </c>
      <c r="V347" s="1349" t="s">
        <v>123</v>
      </c>
      <c r="W347" s="1349"/>
      <c r="X347" s="1349"/>
      <c r="Y347" s="1308"/>
      <c r="Z347" s="437" t="str">
        <f>IFERROR(__xludf.DUMMYFUNCTION("IF(NOT('portfólio'!$AV$7),"""",IF($T347="""","""",IFERROR(query({AtivosDados},""select sum(""&amp;Z$3&amp;"") where Col1='""&amp;$T347&amp;""' label sum(""&amp;Z$3&amp;"") ''""),0)))"),"")</f>
        <v/>
      </c>
      <c r="AA347" s="437" t="str">
        <f>IFERROR(__xludf.DUMMYFUNCTION("IF(NOT('portfólio'!$AV$7),"""",IF($T347="""","""",IFERROR(query({AtivosDados},""select sum(""&amp;AA$3&amp;"") where Col1='""&amp;$T347&amp;""' label sum(""&amp;AA$3&amp;"") ''""),0)))"),"")</f>
        <v/>
      </c>
      <c r="AB347" s="437" t="str">
        <f>IFERROR(__xludf.DUMMYFUNCTION("IF(NOT('portfólio'!$AV$7),"""",IF($T347="""","""",IFERROR(query({AtivosDados},""select sum(""&amp;AB$3&amp;"") where Col1='""&amp;$T347&amp;""' label sum(""&amp;AB$3&amp;"") ''""),0)))"),"")</f>
        <v/>
      </c>
      <c r="AC347" s="437" t="str">
        <f>IFERROR(__xludf.DUMMYFUNCTION("IF(NOT('portfólio'!$AV$7),"""",IF($T347="""","""",IFERROR(query({AtivosDados},""select sum(""&amp;AC$3&amp;"") where Col1='""&amp;$T347&amp;""' label sum(""&amp;AC$3&amp;"") ''""),0)))"),"")</f>
        <v/>
      </c>
      <c r="AD347" s="437" t="str">
        <f>IFERROR(__xludf.DUMMYFUNCTION("IF(NOT('portfólio'!$AV$7),"""",IF($T347="""","""",IFERROR(query({AtivosDados},""select sum(""&amp;AD$3&amp;"") where Col1='""&amp;$T347&amp;""' label sum(""&amp;AD$3&amp;"") ''""),0)))"),"")</f>
        <v/>
      </c>
      <c r="AE347" s="437"/>
      <c r="AF347" s="1327"/>
      <c r="AG347" s="437"/>
      <c r="AH347" s="437"/>
      <c r="AI347" s="437"/>
      <c r="AJ347" s="437"/>
      <c r="AK347" s="437"/>
      <c r="AL347" s="437"/>
      <c r="AM347" s="437"/>
      <c r="AN347" s="437"/>
      <c r="AO347" s="437"/>
      <c r="AP347" s="437"/>
      <c r="AQ347" s="1327"/>
      <c r="AR347" s="437"/>
      <c r="AS347" s="437"/>
      <c r="AT347" s="437"/>
      <c r="AU347" s="437"/>
      <c r="AV347" s="437"/>
      <c r="AW347" s="437"/>
      <c r="AX347" s="437"/>
      <c r="AY347" s="437"/>
      <c r="AZ347" s="437"/>
      <c r="BA347" s="437"/>
      <c r="BB347" s="1327"/>
      <c r="BC347" s="437"/>
      <c r="BD347" s="437"/>
      <c r="BE347" s="437"/>
      <c r="BF347" s="437"/>
      <c r="BG347" s="437"/>
      <c r="BH347" s="437"/>
      <c r="BI347" s="437"/>
      <c r="BJ347" s="437"/>
      <c r="BK347" s="437"/>
      <c r="BL347" s="437"/>
      <c r="BM347" s="1327"/>
      <c r="BN347" s="1327"/>
      <c r="BO347" s="1327"/>
      <c r="BP347" s="1327"/>
      <c r="BQ347" s="1327"/>
      <c r="BR347" s="1327"/>
      <c r="BS347" s="1327"/>
      <c r="BT347" s="1327"/>
      <c r="BU347" s="1327"/>
      <c r="BV347" s="1327"/>
      <c r="BW347" s="1327"/>
      <c r="BX347" s="1327"/>
      <c r="BY347" s="1327"/>
      <c r="BZ347" s="1327"/>
      <c r="CA347" s="1327"/>
      <c r="CB347" s="1327"/>
      <c r="CC347" s="1327"/>
      <c r="CD347" s="1327"/>
      <c r="CE347" s="1327"/>
      <c r="CF347" s="1327"/>
      <c r="CG347" s="1327"/>
      <c r="CH347" s="1327"/>
      <c r="CI347" s="1327"/>
      <c r="CJ347" s="1327"/>
      <c r="CK347" s="1327"/>
      <c r="CL347" s="1327"/>
      <c r="CM347" s="1327"/>
      <c r="CN347" s="1327"/>
      <c r="CO347" s="1327"/>
      <c r="CP347" s="1327"/>
      <c r="CQ347" s="1327"/>
      <c r="CR347" s="1327"/>
      <c r="CS347" s="1327"/>
      <c r="CT347" s="1317"/>
      <c r="CU347" s="1317"/>
      <c r="CV347" s="1317"/>
      <c r="CW347" s="1317"/>
      <c r="CX347" s="1317"/>
      <c r="CY347" s="1317"/>
      <c r="CZ347" s="1317"/>
      <c r="DA347" s="1317"/>
      <c r="DB347" s="1317"/>
      <c r="DC347" s="1317"/>
      <c r="DD347" s="1317"/>
      <c r="DE347" s="1317"/>
      <c r="DF347" s="1317"/>
      <c r="DG347" s="1317"/>
    </row>
    <row r="348" ht="18.75" customHeight="1">
      <c r="G348" s="1344"/>
      <c r="H348" s="1345">
        <f t="shared" si="4"/>
        <v>0</v>
      </c>
      <c r="I348" s="1381"/>
      <c r="J348" s="1381"/>
      <c r="K348" s="1381"/>
      <c r="L348" s="1381"/>
      <c r="M348" s="1381"/>
      <c r="N348" s="1381"/>
      <c r="O348" s="1381"/>
      <c r="P348" s="1381"/>
      <c r="Q348" s="1381"/>
      <c r="R348" s="1381"/>
      <c r="T348" s="1349"/>
      <c r="U348" s="1349" t="s">
        <v>123</v>
      </c>
      <c r="V348" s="1349" t="s">
        <v>123</v>
      </c>
      <c r="W348" s="1349"/>
      <c r="X348" s="1349"/>
      <c r="Y348" s="1308"/>
      <c r="Z348" s="437" t="str">
        <f>IFERROR(__xludf.DUMMYFUNCTION("IF(NOT('portfólio'!$AV$7),"""",IF($T348="""","""",IFERROR(query({AtivosDados},""select sum(""&amp;Z$3&amp;"") where Col1='""&amp;$T348&amp;""' label sum(""&amp;Z$3&amp;"") ''""),0)))"),"")</f>
        <v/>
      </c>
      <c r="AA348" s="437" t="str">
        <f>IFERROR(__xludf.DUMMYFUNCTION("IF(NOT('portfólio'!$AV$7),"""",IF($T348="""","""",IFERROR(query({AtivosDados},""select sum(""&amp;AA$3&amp;"") where Col1='""&amp;$T348&amp;""' label sum(""&amp;AA$3&amp;"") ''""),0)))"),"")</f>
        <v/>
      </c>
      <c r="AB348" s="437" t="str">
        <f>IFERROR(__xludf.DUMMYFUNCTION("IF(NOT('portfólio'!$AV$7),"""",IF($T348="""","""",IFERROR(query({AtivosDados},""select sum(""&amp;AB$3&amp;"") where Col1='""&amp;$T348&amp;""' label sum(""&amp;AB$3&amp;"") ''""),0)))"),"")</f>
        <v/>
      </c>
      <c r="AC348" s="437" t="str">
        <f>IFERROR(__xludf.DUMMYFUNCTION("IF(NOT('portfólio'!$AV$7),"""",IF($T348="""","""",IFERROR(query({AtivosDados},""select sum(""&amp;AC$3&amp;"") where Col1='""&amp;$T348&amp;""' label sum(""&amp;AC$3&amp;"") ''""),0)))"),"")</f>
        <v/>
      </c>
      <c r="AD348" s="437" t="str">
        <f>IFERROR(__xludf.DUMMYFUNCTION("IF(NOT('portfólio'!$AV$7),"""",IF($T348="""","""",IFERROR(query({AtivosDados},""select sum(""&amp;AD$3&amp;"") where Col1='""&amp;$T348&amp;""' label sum(""&amp;AD$3&amp;"") ''""),0)))"),"")</f>
        <v/>
      </c>
      <c r="AE348" s="437"/>
      <c r="AF348" s="1327"/>
      <c r="AG348" s="437"/>
      <c r="AH348" s="437"/>
      <c r="AI348" s="437"/>
      <c r="AJ348" s="437"/>
      <c r="AK348" s="437"/>
      <c r="AL348" s="437"/>
      <c r="AM348" s="437"/>
      <c r="AN348" s="437"/>
      <c r="AO348" s="437"/>
      <c r="AP348" s="437"/>
      <c r="AQ348" s="1327"/>
      <c r="AR348" s="437"/>
      <c r="AS348" s="437"/>
      <c r="AT348" s="437"/>
      <c r="AU348" s="437"/>
      <c r="AV348" s="437"/>
      <c r="AW348" s="437"/>
      <c r="AX348" s="437"/>
      <c r="AY348" s="437"/>
      <c r="AZ348" s="437"/>
      <c r="BA348" s="437"/>
      <c r="BB348" s="1327"/>
      <c r="BC348" s="437"/>
      <c r="BD348" s="437"/>
      <c r="BE348" s="437"/>
      <c r="BF348" s="437"/>
      <c r="BG348" s="437"/>
      <c r="BH348" s="437"/>
      <c r="BI348" s="437"/>
      <c r="BJ348" s="437"/>
      <c r="BK348" s="437"/>
      <c r="BL348" s="437"/>
      <c r="BM348" s="1327"/>
      <c r="BN348" s="1327"/>
      <c r="BO348" s="1327"/>
      <c r="BP348" s="1327"/>
      <c r="BQ348" s="1327"/>
      <c r="BR348" s="1327"/>
      <c r="BS348" s="1327"/>
      <c r="BT348" s="1327"/>
      <c r="BU348" s="1327"/>
      <c r="BV348" s="1327"/>
      <c r="BW348" s="1327"/>
      <c r="BX348" s="1327"/>
      <c r="BY348" s="1327"/>
      <c r="BZ348" s="1327"/>
      <c r="CA348" s="1327"/>
      <c r="CB348" s="1327"/>
      <c r="CC348" s="1327"/>
      <c r="CD348" s="1327"/>
      <c r="CE348" s="1327"/>
      <c r="CF348" s="1327"/>
      <c r="CG348" s="1327"/>
      <c r="CH348" s="1327"/>
      <c r="CI348" s="1327"/>
      <c r="CJ348" s="1327"/>
      <c r="CK348" s="1327"/>
      <c r="CL348" s="1327"/>
      <c r="CM348" s="1327"/>
      <c r="CN348" s="1327"/>
      <c r="CO348" s="1327"/>
      <c r="CP348" s="1327"/>
      <c r="CQ348" s="1327"/>
      <c r="CR348" s="1327"/>
      <c r="CS348" s="1327"/>
      <c r="CT348" s="1317"/>
      <c r="CU348" s="1317"/>
      <c r="CV348" s="1317"/>
      <c r="CW348" s="1317"/>
      <c r="CX348" s="1317"/>
      <c r="CY348" s="1317"/>
      <c r="CZ348" s="1317"/>
      <c r="DA348" s="1317"/>
      <c r="DB348" s="1317"/>
      <c r="DC348" s="1317"/>
      <c r="DD348" s="1317"/>
      <c r="DE348" s="1317"/>
      <c r="DF348" s="1317"/>
      <c r="DG348" s="1317"/>
    </row>
    <row r="349" ht="18.75" customHeight="1">
      <c r="G349" s="1344"/>
      <c r="H349" s="1345">
        <f t="shared" si="4"/>
        <v>0</v>
      </c>
      <c r="I349" s="1381"/>
      <c r="J349" s="1381"/>
      <c r="K349" s="1381"/>
      <c r="L349" s="1381"/>
      <c r="M349" s="1381"/>
      <c r="N349" s="1381"/>
      <c r="O349" s="1381"/>
      <c r="P349" s="1381"/>
      <c r="Q349" s="1381"/>
      <c r="R349" s="1381"/>
      <c r="T349" s="1349"/>
      <c r="U349" s="1349" t="s">
        <v>123</v>
      </c>
      <c r="V349" s="1349" t="s">
        <v>123</v>
      </c>
      <c r="W349" s="1349"/>
      <c r="X349" s="1349"/>
      <c r="Y349" s="1308"/>
      <c r="Z349" s="437" t="str">
        <f>IFERROR(__xludf.DUMMYFUNCTION("IF(NOT('portfólio'!$AV$7),"""",IF($T349="""","""",IFERROR(query({AtivosDados},""select sum(""&amp;Z$3&amp;"") where Col1='""&amp;$T349&amp;""' label sum(""&amp;Z$3&amp;"") ''""),0)))"),"")</f>
        <v/>
      </c>
      <c r="AA349" s="437" t="str">
        <f>IFERROR(__xludf.DUMMYFUNCTION("IF(NOT('portfólio'!$AV$7),"""",IF($T349="""","""",IFERROR(query({AtivosDados},""select sum(""&amp;AA$3&amp;"") where Col1='""&amp;$T349&amp;""' label sum(""&amp;AA$3&amp;"") ''""),0)))"),"")</f>
        <v/>
      </c>
      <c r="AB349" s="437" t="str">
        <f>IFERROR(__xludf.DUMMYFUNCTION("IF(NOT('portfólio'!$AV$7),"""",IF($T349="""","""",IFERROR(query({AtivosDados},""select sum(""&amp;AB$3&amp;"") where Col1='""&amp;$T349&amp;""' label sum(""&amp;AB$3&amp;"") ''""),0)))"),"")</f>
        <v/>
      </c>
      <c r="AC349" s="437" t="str">
        <f>IFERROR(__xludf.DUMMYFUNCTION("IF(NOT('portfólio'!$AV$7),"""",IF($T349="""","""",IFERROR(query({AtivosDados},""select sum(""&amp;AC$3&amp;"") where Col1='""&amp;$T349&amp;""' label sum(""&amp;AC$3&amp;"") ''""),0)))"),"")</f>
        <v/>
      </c>
      <c r="AD349" s="437" t="str">
        <f>IFERROR(__xludf.DUMMYFUNCTION("IF(NOT('portfólio'!$AV$7),"""",IF($T349="""","""",IFERROR(query({AtivosDados},""select sum(""&amp;AD$3&amp;"") where Col1='""&amp;$T349&amp;""' label sum(""&amp;AD$3&amp;"") ''""),0)))"),"")</f>
        <v/>
      </c>
      <c r="AE349" s="437"/>
      <c r="AF349" s="1327"/>
      <c r="AG349" s="437"/>
      <c r="AH349" s="437"/>
      <c r="AI349" s="437"/>
      <c r="AJ349" s="437"/>
      <c r="AK349" s="437"/>
      <c r="AL349" s="437"/>
      <c r="AM349" s="437"/>
      <c r="AN349" s="437"/>
      <c r="AO349" s="437"/>
      <c r="AP349" s="437"/>
      <c r="AQ349" s="1327"/>
      <c r="AR349" s="437"/>
      <c r="AS349" s="437"/>
      <c r="AT349" s="437"/>
      <c r="AU349" s="437"/>
      <c r="AV349" s="437"/>
      <c r="AW349" s="437"/>
      <c r="AX349" s="437"/>
      <c r="AY349" s="437"/>
      <c r="AZ349" s="437"/>
      <c r="BA349" s="437"/>
      <c r="BB349" s="1327"/>
      <c r="BC349" s="437"/>
      <c r="BD349" s="437"/>
      <c r="BE349" s="437"/>
      <c r="BF349" s="437"/>
      <c r="BG349" s="437"/>
      <c r="BH349" s="437"/>
      <c r="BI349" s="437"/>
      <c r="BJ349" s="437"/>
      <c r="BK349" s="437"/>
      <c r="BL349" s="437"/>
      <c r="BM349" s="1327"/>
      <c r="BN349" s="1327"/>
      <c r="BO349" s="1327"/>
      <c r="BP349" s="1327"/>
      <c r="BQ349" s="1327"/>
      <c r="BR349" s="1327"/>
      <c r="BS349" s="1327"/>
      <c r="BT349" s="1327"/>
      <c r="BU349" s="1327"/>
      <c r="BV349" s="1327"/>
      <c r="BW349" s="1327"/>
      <c r="BX349" s="1327"/>
      <c r="BY349" s="1327"/>
      <c r="BZ349" s="1327"/>
      <c r="CA349" s="1327"/>
      <c r="CB349" s="1327"/>
      <c r="CC349" s="1327"/>
      <c r="CD349" s="1327"/>
      <c r="CE349" s="1327"/>
      <c r="CF349" s="1327"/>
      <c r="CG349" s="1327"/>
      <c r="CH349" s="1327"/>
      <c r="CI349" s="1327"/>
      <c r="CJ349" s="1327"/>
      <c r="CK349" s="1327"/>
      <c r="CL349" s="1327"/>
      <c r="CM349" s="1327"/>
      <c r="CN349" s="1327"/>
      <c r="CO349" s="1327"/>
      <c r="CP349" s="1327"/>
      <c r="CQ349" s="1327"/>
      <c r="CR349" s="1327"/>
      <c r="CS349" s="1327"/>
      <c r="CT349" s="1317"/>
      <c r="CU349" s="1317"/>
      <c r="CV349" s="1317"/>
      <c r="CW349" s="1317"/>
      <c r="CX349" s="1317"/>
      <c r="CY349" s="1317"/>
      <c r="CZ349" s="1317"/>
      <c r="DA349" s="1317"/>
      <c r="DB349" s="1317"/>
      <c r="DC349" s="1317"/>
      <c r="DD349" s="1317"/>
      <c r="DE349" s="1317"/>
      <c r="DF349" s="1317"/>
      <c r="DG349" s="1317"/>
    </row>
    <row r="350" ht="18.75" customHeight="1">
      <c r="G350" s="1344"/>
      <c r="H350" s="1345">
        <f t="shared" si="4"/>
        <v>0</v>
      </c>
      <c r="I350" s="1381"/>
      <c r="J350" s="1381"/>
      <c r="K350" s="1381"/>
      <c r="L350" s="1381"/>
      <c r="M350" s="1381"/>
      <c r="N350" s="1381"/>
      <c r="O350" s="1381"/>
      <c r="P350" s="1381"/>
      <c r="Q350" s="1381"/>
      <c r="R350" s="1381"/>
      <c r="T350" s="1349"/>
      <c r="U350" s="1349" t="s">
        <v>123</v>
      </c>
      <c r="V350" s="1349" t="s">
        <v>123</v>
      </c>
      <c r="W350" s="1349"/>
      <c r="X350" s="1349"/>
      <c r="Y350" s="1308"/>
      <c r="Z350" s="437" t="str">
        <f>IFERROR(__xludf.DUMMYFUNCTION("IF(NOT('portfólio'!$AV$7),"""",IF($T350="""","""",IFERROR(query({AtivosDados},""select sum(""&amp;Z$3&amp;"") where Col1='""&amp;$T350&amp;""' label sum(""&amp;Z$3&amp;"") ''""),0)))"),"")</f>
        <v/>
      </c>
      <c r="AA350" s="437" t="str">
        <f>IFERROR(__xludf.DUMMYFUNCTION("IF(NOT('portfólio'!$AV$7),"""",IF($T350="""","""",IFERROR(query({AtivosDados},""select sum(""&amp;AA$3&amp;"") where Col1='""&amp;$T350&amp;""' label sum(""&amp;AA$3&amp;"") ''""),0)))"),"")</f>
        <v/>
      </c>
      <c r="AB350" s="437" t="str">
        <f>IFERROR(__xludf.DUMMYFUNCTION("IF(NOT('portfólio'!$AV$7),"""",IF($T350="""","""",IFERROR(query({AtivosDados},""select sum(""&amp;AB$3&amp;"") where Col1='""&amp;$T350&amp;""' label sum(""&amp;AB$3&amp;"") ''""),0)))"),"")</f>
        <v/>
      </c>
      <c r="AC350" s="437" t="str">
        <f>IFERROR(__xludf.DUMMYFUNCTION("IF(NOT('portfólio'!$AV$7),"""",IF($T350="""","""",IFERROR(query({AtivosDados},""select sum(""&amp;AC$3&amp;"") where Col1='""&amp;$T350&amp;""' label sum(""&amp;AC$3&amp;"") ''""),0)))"),"")</f>
        <v/>
      </c>
      <c r="AD350" s="437" t="str">
        <f>IFERROR(__xludf.DUMMYFUNCTION("IF(NOT('portfólio'!$AV$7),"""",IF($T350="""","""",IFERROR(query({AtivosDados},""select sum(""&amp;AD$3&amp;"") where Col1='""&amp;$T350&amp;""' label sum(""&amp;AD$3&amp;"") ''""),0)))"),"")</f>
        <v/>
      </c>
      <c r="AE350" s="437"/>
      <c r="AF350" s="1327"/>
      <c r="AG350" s="437"/>
      <c r="AH350" s="437"/>
      <c r="AI350" s="437"/>
      <c r="AJ350" s="437"/>
      <c r="AK350" s="437"/>
      <c r="AL350" s="437"/>
      <c r="AM350" s="437"/>
      <c r="AN350" s="437"/>
      <c r="AO350" s="437"/>
      <c r="AP350" s="437"/>
      <c r="AQ350" s="1327"/>
      <c r="AR350" s="437"/>
      <c r="AS350" s="437"/>
      <c r="AT350" s="437"/>
      <c r="AU350" s="437"/>
      <c r="AV350" s="437"/>
      <c r="AW350" s="437"/>
      <c r="AX350" s="437"/>
      <c r="AY350" s="437"/>
      <c r="AZ350" s="437"/>
      <c r="BA350" s="437"/>
      <c r="BB350" s="1327"/>
      <c r="BC350" s="437"/>
      <c r="BD350" s="437"/>
      <c r="BE350" s="437"/>
      <c r="BF350" s="437"/>
      <c r="BG350" s="437"/>
      <c r="BH350" s="437"/>
      <c r="BI350" s="437"/>
      <c r="BJ350" s="437"/>
      <c r="BK350" s="437"/>
      <c r="BL350" s="437"/>
      <c r="BM350" s="1327"/>
      <c r="BN350" s="1327"/>
      <c r="BO350" s="1327"/>
      <c r="BP350" s="1327"/>
      <c r="BQ350" s="1327"/>
      <c r="BR350" s="1327"/>
      <c r="BS350" s="1327"/>
      <c r="BT350" s="1327"/>
      <c r="BU350" s="1327"/>
      <c r="BV350" s="1327"/>
      <c r="BW350" s="1327"/>
      <c r="BX350" s="1327"/>
      <c r="BY350" s="1327"/>
      <c r="BZ350" s="1327"/>
      <c r="CA350" s="1327"/>
      <c r="CB350" s="1327"/>
      <c r="CC350" s="1327"/>
      <c r="CD350" s="1327"/>
      <c r="CE350" s="1327"/>
      <c r="CF350" s="1327"/>
      <c r="CG350" s="1327"/>
      <c r="CH350" s="1327"/>
      <c r="CI350" s="1327"/>
      <c r="CJ350" s="1327"/>
      <c r="CK350" s="1327"/>
      <c r="CL350" s="1327"/>
      <c r="CM350" s="1327"/>
      <c r="CN350" s="1327"/>
      <c r="CO350" s="1327"/>
      <c r="CP350" s="1327"/>
      <c r="CQ350" s="1327"/>
      <c r="CR350" s="1327"/>
      <c r="CS350" s="1327"/>
      <c r="CT350" s="1317"/>
      <c r="CU350" s="1317"/>
      <c r="CV350" s="1317"/>
      <c r="CW350" s="1317"/>
      <c r="CX350" s="1317"/>
      <c r="CY350" s="1317"/>
      <c r="CZ350" s="1317"/>
      <c r="DA350" s="1317"/>
      <c r="DB350" s="1317"/>
      <c r="DC350" s="1317"/>
      <c r="DD350" s="1317"/>
      <c r="DE350" s="1317"/>
      <c r="DF350" s="1317"/>
      <c r="DG350" s="1317"/>
    </row>
    <row r="351" ht="18.75" customHeight="1">
      <c r="G351" s="1344"/>
      <c r="H351" s="1345">
        <f t="shared" si="4"/>
        <v>0</v>
      </c>
      <c r="I351" s="1381"/>
      <c r="J351" s="1381"/>
      <c r="K351" s="1381"/>
      <c r="L351" s="1381"/>
      <c r="M351" s="1381"/>
      <c r="N351" s="1381"/>
      <c r="O351" s="1381"/>
      <c r="P351" s="1381"/>
      <c r="Q351" s="1381"/>
      <c r="R351" s="1381"/>
      <c r="T351" s="1349"/>
      <c r="U351" s="1349" t="s">
        <v>123</v>
      </c>
      <c r="V351" s="1349" t="s">
        <v>123</v>
      </c>
      <c r="W351" s="1349"/>
      <c r="X351" s="1349"/>
      <c r="Y351" s="1308"/>
      <c r="Z351" s="437" t="str">
        <f>IFERROR(__xludf.DUMMYFUNCTION("IF(NOT('portfólio'!$AV$7),"""",IF($T351="""","""",IFERROR(query({AtivosDados},""select sum(""&amp;Z$3&amp;"") where Col1='""&amp;$T351&amp;""' label sum(""&amp;Z$3&amp;"") ''""),0)))"),"")</f>
        <v/>
      </c>
      <c r="AA351" s="437" t="str">
        <f>IFERROR(__xludf.DUMMYFUNCTION("IF(NOT('portfólio'!$AV$7),"""",IF($T351="""","""",IFERROR(query({AtivosDados},""select sum(""&amp;AA$3&amp;"") where Col1='""&amp;$T351&amp;""' label sum(""&amp;AA$3&amp;"") ''""),0)))"),"")</f>
        <v/>
      </c>
      <c r="AB351" s="437" t="str">
        <f>IFERROR(__xludf.DUMMYFUNCTION("IF(NOT('portfólio'!$AV$7),"""",IF($T351="""","""",IFERROR(query({AtivosDados},""select sum(""&amp;AB$3&amp;"") where Col1='""&amp;$T351&amp;""' label sum(""&amp;AB$3&amp;"") ''""),0)))"),"")</f>
        <v/>
      </c>
      <c r="AC351" s="437" t="str">
        <f>IFERROR(__xludf.DUMMYFUNCTION("IF(NOT('portfólio'!$AV$7),"""",IF($T351="""","""",IFERROR(query({AtivosDados},""select sum(""&amp;AC$3&amp;"") where Col1='""&amp;$T351&amp;""' label sum(""&amp;AC$3&amp;"") ''""),0)))"),"")</f>
        <v/>
      </c>
      <c r="AD351" s="437" t="str">
        <f>IFERROR(__xludf.DUMMYFUNCTION("IF(NOT('portfólio'!$AV$7),"""",IF($T351="""","""",IFERROR(query({AtivosDados},""select sum(""&amp;AD$3&amp;"") where Col1='""&amp;$T351&amp;""' label sum(""&amp;AD$3&amp;"") ''""),0)))"),"")</f>
        <v/>
      </c>
      <c r="AE351" s="437"/>
      <c r="AF351" s="1327"/>
      <c r="AG351" s="437"/>
      <c r="AH351" s="437"/>
      <c r="AI351" s="437"/>
      <c r="AJ351" s="437"/>
      <c r="AK351" s="437"/>
      <c r="AL351" s="437"/>
      <c r="AM351" s="437"/>
      <c r="AN351" s="437"/>
      <c r="AO351" s="437"/>
      <c r="AP351" s="437"/>
      <c r="AQ351" s="1327"/>
      <c r="AR351" s="437"/>
      <c r="AS351" s="437"/>
      <c r="AT351" s="437"/>
      <c r="AU351" s="437"/>
      <c r="AV351" s="437"/>
      <c r="AW351" s="437"/>
      <c r="AX351" s="437"/>
      <c r="AY351" s="437"/>
      <c r="AZ351" s="437"/>
      <c r="BA351" s="437"/>
      <c r="BB351" s="1327"/>
      <c r="BC351" s="437"/>
      <c r="BD351" s="437"/>
      <c r="BE351" s="437"/>
      <c r="BF351" s="437"/>
      <c r="BG351" s="437"/>
      <c r="BH351" s="437"/>
      <c r="BI351" s="437"/>
      <c r="BJ351" s="437"/>
      <c r="BK351" s="437"/>
      <c r="BL351" s="437"/>
      <c r="BM351" s="1327"/>
      <c r="BN351" s="1327"/>
      <c r="BO351" s="1327"/>
      <c r="BP351" s="1327"/>
      <c r="BQ351" s="1327"/>
      <c r="BR351" s="1327"/>
      <c r="BS351" s="1327"/>
      <c r="BT351" s="1327"/>
      <c r="BU351" s="1327"/>
      <c r="BV351" s="1327"/>
      <c r="BW351" s="1327"/>
      <c r="BX351" s="1327"/>
      <c r="BY351" s="1327"/>
      <c r="BZ351" s="1327"/>
      <c r="CA351" s="1327"/>
      <c r="CB351" s="1327"/>
      <c r="CC351" s="1327"/>
      <c r="CD351" s="1327"/>
      <c r="CE351" s="1327"/>
      <c r="CF351" s="1327"/>
      <c r="CG351" s="1327"/>
      <c r="CH351" s="1327"/>
      <c r="CI351" s="1327"/>
      <c r="CJ351" s="1327"/>
      <c r="CK351" s="1327"/>
      <c r="CL351" s="1327"/>
      <c r="CM351" s="1327"/>
      <c r="CN351" s="1327"/>
      <c r="CO351" s="1327"/>
      <c r="CP351" s="1327"/>
      <c r="CQ351" s="1327"/>
      <c r="CR351" s="1327"/>
      <c r="CS351" s="1327"/>
      <c r="CT351" s="1317"/>
      <c r="CU351" s="1317"/>
      <c r="CV351" s="1317"/>
      <c r="CW351" s="1317"/>
      <c r="CX351" s="1317"/>
      <c r="CY351" s="1317"/>
      <c r="CZ351" s="1317"/>
      <c r="DA351" s="1317"/>
      <c r="DB351" s="1317"/>
      <c r="DC351" s="1317"/>
      <c r="DD351" s="1317"/>
      <c r="DE351" s="1317"/>
      <c r="DF351" s="1317"/>
      <c r="DG351" s="1317"/>
    </row>
    <row r="352" ht="18.75" customHeight="1">
      <c r="G352" s="1344"/>
      <c r="H352" s="1345">
        <f t="shared" si="4"/>
        <v>0</v>
      </c>
      <c r="I352" s="1381"/>
      <c r="J352" s="1381"/>
      <c r="K352" s="1381"/>
      <c r="L352" s="1381"/>
      <c r="M352" s="1381"/>
      <c r="N352" s="1381"/>
      <c r="O352" s="1381"/>
      <c r="P352" s="1381"/>
      <c r="Q352" s="1381"/>
      <c r="R352" s="1381"/>
      <c r="T352" s="1349"/>
      <c r="U352" s="1349" t="s">
        <v>123</v>
      </c>
      <c r="V352" s="1349" t="s">
        <v>123</v>
      </c>
      <c r="W352" s="1349"/>
      <c r="X352" s="1349"/>
      <c r="Y352" s="1308"/>
      <c r="Z352" s="437" t="str">
        <f>IFERROR(__xludf.DUMMYFUNCTION("IF(NOT('portfólio'!$AV$7),"""",IF($T352="""","""",IFERROR(query({AtivosDados},""select sum(""&amp;Z$3&amp;"") where Col1='""&amp;$T352&amp;""' label sum(""&amp;Z$3&amp;"") ''""),0)))"),"")</f>
        <v/>
      </c>
      <c r="AA352" s="437" t="str">
        <f>IFERROR(__xludf.DUMMYFUNCTION("IF(NOT('portfólio'!$AV$7),"""",IF($T352="""","""",IFERROR(query({AtivosDados},""select sum(""&amp;AA$3&amp;"") where Col1='""&amp;$T352&amp;""' label sum(""&amp;AA$3&amp;"") ''""),0)))"),"")</f>
        <v/>
      </c>
      <c r="AB352" s="437" t="str">
        <f>IFERROR(__xludf.DUMMYFUNCTION("IF(NOT('portfólio'!$AV$7),"""",IF($T352="""","""",IFERROR(query({AtivosDados},""select sum(""&amp;AB$3&amp;"") where Col1='""&amp;$T352&amp;""' label sum(""&amp;AB$3&amp;"") ''""),0)))"),"")</f>
        <v/>
      </c>
      <c r="AC352" s="437" t="str">
        <f>IFERROR(__xludf.DUMMYFUNCTION("IF(NOT('portfólio'!$AV$7),"""",IF($T352="""","""",IFERROR(query({AtivosDados},""select sum(""&amp;AC$3&amp;"") where Col1='""&amp;$T352&amp;""' label sum(""&amp;AC$3&amp;"") ''""),0)))"),"")</f>
        <v/>
      </c>
      <c r="AD352" s="437" t="str">
        <f>IFERROR(__xludf.DUMMYFUNCTION("IF(NOT('portfólio'!$AV$7),"""",IF($T352="""","""",IFERROR(query({AtivosDados},""select sum(""&amp;AD$3&amp;"") where Col1='""&amp;$T352&amp;""' label sum(""&amp;AD$3&amp;"") ''""),0)))"),"")</f>
        <v/>
      </c>
      <c r="AE352" s="437"/>
      <c r="AF352" s="1327"/>
      <c r="AG352" s="437"/>
      <c r="AH352" s="437"/>
      <c r="AI352" s="437"/>
      <c r="AJ352" s="437"/>
      <c r="AK352" s="437"/>
      <c r="AL352" s="437"/>
      <c r="AM352" s="437"/>
      <c r="AN352" s="437"/>
      <c r="AO352" s="437"/>
      <c r="AP352" s="437"/>
      <c r="AQ352" s="1327"/>
      <c r="AR352" s="437"/>
      <c r="AS352" s="437"/>
      <c r="AT352" s="437"/>
      <c r="AU352" s="437"/>
      <c r="AV352" s="437"/>
      <c r="AW352" s="437"/>
      <c r="AX352" s="437"/>
      <c r="AY352" s="437"/>
      <c r="AZ352" s="437"/>
      <c r="BA352" s="437"/>
      <c r="BB352" s="1327"/>
      <c r="BC352" s="437"/>
      <c r="BD352" s="437"/>
      <c r="BE352" s="437"/>
      <c r="BF352" s="437"/>
      <c r="BG352" s="437"/>
      <c r="BH352" s="437"/>
      <c r="BI352" s="437"/>
      <c r="BJ352" s="437"/>
      <c r="BK352" s="437"/>
      <c r="BL352" s="437"/>
      <c r="BM352" s="1327"/>
      <c r="BN352" s="1327"/>
      <c r="BO352" s="1327"/>
      <c r="BP352" s="1327"/>
      <c r="BQ352" s="1327"/>
      <c r="BR352" s="1327"/>
      <c r="BS352" s="1327"/>
      <c r="BT352" s="1327"/>
      <c r="BU352" s="1327"/>
      <c r="BV352" s="1327"/>
      <c r="BW352" s="1327"/>
      <c r="BX352" s="1327"/>
      <c r="BY352" s="1327"/>
      <c r="BZ352" s="1327"/>
      <c r="CA352" s="1327"/>
      <c r="CB352" s="1327"/>
      <c r="CC352" s="1327"/>
      <c r="CD352" s="1327"/>
      <c r="CE352" s="1327"/>
      <c r="CF352" s="1327"/>
      <c r="CG352" s="1327"/>
      <c r="CH352" s="1327"/>
      <c r="CI352" s="1327"/>
      <c r="CJ352" s="1327"/>
      <c r="CK352" s="1327"/>
      <c r="CL352" s="1327"/>
      <c r="CM352" s="1327"/>
      <c r="CN352" s="1327"/>
      <c r="CO352" s="1327"/>
      <c r="CP352" s="1327"/>
      <c r="CQ352" s="1327"/>
      <c r="CR352" s="1327"/>
      <c r="CS352" s="1327"/>
      <c r="CT352" s="1317"/>
      <c r="CU352" s="1317"/>
      <c r="CV352" s="1317"/>
      <c r="CW352" s="1317"/>
      <c r="CX352" s="1317"/>
      <c r="CY352" s="1317"/>
      <c r="CZ352" s="1317"/>
      <c r="DA352" s="1317"/>
      <c r="DB352" s="1317"/>
      <c r="DC352" s="1317"/>
      <c r="DD352" s="1317"/>
      <c r="DE352" s="1317"/>
      <c r="DF352" s="1317"/>
      <c r="DG352" s="1317"/>
    </row>
    <row r="353" ht="18.75" customHeight="1">
      <c r="G353" s="1344"/>
      <c r="H353" s="1345">
        <f t="shared" si="4"/>
        <v>0</v>
      </c>
      <c r="I353" s="1381"/>
      <c r="J353" s="1381"/>
      <c r="K353" s="1381"/>
      <c r="L353" s="1381"/>
      <c r="M353" s="1381"/>
      <c r="N353" s="1381"/>
      <c r="O353" s="1381"/>
      <c r="P353" s="1381"/>
      <c r="Q353" s="1381"/>
      <c r="R353" s="1381"/>
      <c r="T353" s="1349"/>
      <c r="U353" s="1349" t="s">
        <v>123</v>
      </c>
      <c r="V353" s="1349" t="s">
        <v>123</v>
      </c>
      <c r="W353" s="1349"/>
      <c r="X353" s="1349"/>
      <c r="Y353" s="1308"/>
      <c r="Z353" s="437" t="str">
        <f>IFERROR(__xludf.DUMMYFUNCTION("IF(NOT('portfólio'!$AV$7),"""",IF($T353="""","""",IFERROR(query({AtivosDados},""select sum(""&amp;Z$3&amp;"") where Col1='""&amp;$T353&amp;""' label sum(""&amp;Z$3&amp;"") ''""),0)))"),"")</f>
        <v/>
      </c>
      <c r="AA353" s="437" t="str">
        <f>IFERROR(__xludf.DUMMYFUNCTION("IF(NOT('portfólio'!$AV$7),"""",IF($T353="""","""",IFERROR(query({AtivosDados},""select sum(""&amp;AA$3&amp;"") where Col1='""&amp;$T353&amp;""' label sum(""&amp;AA$3&amp;"") ''""),0)))"),"")</f>
        <v/>
      </c>
      <c r="AB353" s="437" t="str">
        <f>IFERROR(__xludf.DUMMYFUNCTION("IF(NOT('portfólio'!$AV$7),"""",IF($T353="""","""",IFERROR(query({AtivosDados},""select sum(""&amp;AB$3&amp;"") where Col1='""&amp;$T353&amp;""' label sum(""&amp;AB$3&amp;"") ''""),0)))"),"")</f>
        <v/>
      </c>
      <c r="AC353" s="437" t="str">
        <f>IFERROR(__xludf.DUMMYFUNCTION("IF(NOT('portfólio'!$AV$7),"""",IF($T353="""","""",IFERROR(query({AtivosDados},""select sum(""&amp;AC$3&amp;"") where Col1='""&amp;$T353&amp;""' label sum(""&amp;AC$3&amp;"") ''""),0)))"),"")</f>
        <v/>
      </c>
      <c r="AD353" s="437" t="str">
        <f>IFERROR(__xludf.DUMMYFUNCTION("IF(NOT('portfólio'!$AV$7),"""",IF($T353="""","""",IFERROR(query({AtivosDados},""select sum(""&amp;AD$3&amp;"") where Col1='""&amp;$T353&amp;""' label sum(""&amp;AD$3&amp;"") ''""),0)))"),"")</f>
        <v/>
      </c>
      <c r="AE353" s="437"/>
      <c r="AF353" s="1327"/>
      <c r="AG353" s="437"/>
      <c r="AH353" s="437"/>
      <c r="AI353" s="437"/>
      <c r="AJ353" s="437"/>
      <c r="AK353" s="437"/>
      <c r="AL353" s="437"/>
      <c r="AM353" s="437"/>
      <c r="AN353" s="437"/>
      <c r="AO353" s="437"/>
      <c r="AP353" s="437"/>
      <c r="AQ353" s="1327"/>
      <c r="AR353" s="437"/>
      <c r="AS353" s="437"/>
      <c r="AT353" s="437"/>
      <c r="AU353" s="437"/>
      <c r="AV353" s="437"/>
      <c r="AW353" s="437"/>
      <c r="AX353" s="437"/>
      <c r="AY353" s="437"/>
      <c r="AZ353" s="437"/>
      <c r="BA353" s="437"/>
      <c r="BB353" s="1327"/>
      <c r="BC353" s="437"/>
      <c r="BD353" s="437"/>
      <c r="BE353" s="437"/>
      <c r="BF353" s="437"/>
      <c r="BG353" s="437"/>
      <c r="BH353" s="437"/>
      <c r="BI353" s="437"/>
      <c r="BJ353" s="437"/>
      <c r="BK353" s="437"/>
      <c r="BL353" s="437"/>
      <c r="BM353" s="1327"/>
      <c r="BN353" s="1327"/>
      <c r="BO353" s="1327"/>
      <c r="BP353" s="1327"/>
      <c r="BQ353" s="1327"/>
      <c r="BR353" s="1327"/>
      <c r="BS353" s="1327"/>
      <c r="BT353" s="1327"/>
      <c r="BU353" s="1327"/>
      <c r="BV353" s="1327"/>
      <c r="BW353" s="1327"/>
      <c r="BX353" s="1327"/>
      <c r="BY353" s="1327"/>
      <c r="BZ353" s="1327"/>
      <c r="CA353" s="1327"/>
      <c r="CB353" s="1327"/>
      <c r="CC353" s="1327"/>
      <c r="CD353" s="1327"/>
      <c r="CE353" s="1327"/>
      <c r="CF353" s="1327"/>
      <c r="CG353" s="1327"/>
      <c r="CH353" s="1327"/>
      <c r="CI353" s="1327"/>
      <c r="CJ353" s="1327"/>
      <c r="CK353" s="1327"/>
      <c r="CL353" s="1327"/>
      <c r="CM353" s="1327"/>
      <c r="CN353" s="1327"/>
      <c r="CO353" s="1327"/>
      <c r="CP353" s="1327"/>
      <c r="CQ353" s="1327"/>
      <c r="CR353" s="1327"/>
      <c r="CS353" s="1327"/>
      <c r="CT353" s="1317"/>
      <c r="CU353" s="1317"/>
      <c r="CV353" s="1317"/>
      <c r="CW353" s="1317"/>
      <c r="CX353" s="1317"/>
      <c r="CY353" s="1317"/>
      <c r="CZ353" s="1317"/>
      <c r="DA353" s="1317"/>
      <c r="DB353" s="1317"/>
      <c r="DC353" s="1317"/>
      <c r="DD353" s="1317"/>
      <c r="DE353" s="1317"/>
      <c r="DF353" s="1317"/>
      <c r="DG353" s="1317"/>
    </row>
    <row r="354" ht="18.75" customHeight="1">
      <c r="G354" s="1344"/>
      <c r="H354" s="1345">
        <f t="shared" si="4"/>
        <v>0</v>
      </c>
      <c r="I354" s="1381"/>
      <c r="J354" s="1381"/>
      <c r="K354" s="1381"/>
      <c r="L354" s="1381"/>
      <c r="M354" s="1381"/>
      <c r="N354" s="1381"/>
      <c r="O354" s="1381"/>
      <c r="P354" s="1381"/>
      <c r="Q354" s="1381"/>
      <c r="R354" s="1381"/>
      <c r="T354" s="1349"/>
      <c r="U354" s="1349" t="s">
        <v>123</v>
      </c>
      <c r="V354" s="1349" t="s">
        <v>123</v>
      </c>
      <c r="W354" s="1349"/>
      <c r="X354" s="1349"/>
      <c r="Y354" s="1308"/>
      <c r="Z354" s="437" t="str">
        <f>IFERROR(__xludf.DUMMYFUNCTION("IF(NOT('portfólio'!$AV$7),"""",IF($T354="""","""",IFERROR(query({AtivosDados},""select sum(""&amp;Z$3&amp;"") where Col1='""&amp;$T354&amp;""' label sum(""&amp;Z$3&amp;"") ''""),0)))"),"")</f>
        <v/>
      </c>
      <c r="AA354" s="437" t="str">
        <f>IFERROR(__xludf.DUMMYFUNCTION("IF(NOT('portfólio'!$AV$7),"""",IF($T354="""","""",IFERROR(query({AtivosDados},""select sum(""&amp;AA$3&amp;"") where Col1='""&amp;$T354&amp;""' label sum(""&amp;AA$3&amp;"") ''""),0)))"),"")</f>
        <v/>
      </c>
      <c r="AB354" s="437" t="str">
        <f>IFERROR(__xludf.DUMMYFUNCTION("IF(NOT('portfólio'!$AV$7),"""",IF($T354="""","""",IFERROR(query({AtivosDados},""select sum(""&amp;AB$3&amp;"") where Col1='""&amp;$T354&amp;""' label sum(""&amp;AB$3&amp;"") ''""),0)))"),"")</f>
        <v/>
      </c>
      <c r="AC354" s="437" t="str">
        <f>IFERROR(__xludf.DUMMYFUNCTION("IF(NOT('portfólio'!$AV$7),"""",IF($T354="""","""",IFERROR(query({AtivosDados},""select sum(""&amp;AC$3&amp;"") where Col1='""&amp;$T354&amp;""' label sum(""&amp;AC$3&amp;"") ''""),0)))"),"")</f>
        <v/>
      </c>
      <c r="AD354" s="437" t="str">
        <f>IFERROR(__xludf.DUMMYFUNCTION("IF(NOT('portfólio'!$AV$7),"""",IF($T354="""","""",IFERROR(query({AtivosDados},""select sum(""&amp;AD$3&amp;"") where Col1='""&amp;$T354&amp;""' label sum(""&amp;AD$3&amp;"") ''""),0)))"),"")</f>
        <v/>
      </c>
      <c r="AE354" s="437"/>
      <c r="AF354" s="1327"/>
      <c r="AG354" s="437"/>
      <c r="AH354" s="437"/>
      <c r="AI354" s="437"/>
      <c r="AJ354" s="437"/>
      <c r="AK354" s="437"/>
      <c r="AL354" s="437"/>
      <c r="AM354" s="437"/>
      <c r="AN354" s="437"/>
      <c r="AO354" s="437"/>
      <c r="AP354" s="437"/>
      <c r="AQ354" s="1327"/>
      <c r="AR354" s="437"/>
      <c r="AS354" s="437"/>
      <c r="AT354" s="437"/>
      <c r="AU354" s="437"/>
      <c r="AV354" s="437"/>
      <c r="AW354" s="437"/>
      <c r="AX354" s="437"/>
      <c r="AY354" s="437"/>
      <c r="AZ354" s="437"/>
      <c r="BA354" s="437"/>
      <c r="BB354" s="1327"/>
      <c r="BC354" s="437"/>
      <c r="BD354" s="437"/>
      <c r="BE354" s="437"/>
      <c r="BF354" s="437"/>
      <c r="BG354" s="437"/>
      <c r="BH354" s="437"/>
      <c r="BI354" s="437"/>
      <c r="BJ354" s="437"/>
      <c r="BK354" s="437"/>
      <c r="BL354" s="437"/>
      <c r="BM354" s="1327"/>
      <c r="BN354" s="1327"/>
      <c r="BO354" s="1327"/>
      <c r="BP354" s="1327"/>
      <c r="BQ354" s="1327"/>
      <c r="BR354" s="1327"/>
      <c r="BS354" s="1327"/>
      <c r="BT354" s="1327"/>
      <c r="BU354" s="1327"/>
      <c r="BV354" s="1327"/>
      <c r="BW354" s="1327"/>
      <c r="BX354" s="1327"/>
      <c r="BY354" s="1327"/>
      <c r="BZ354" s="1327"/>
      <c r="CA354" s="1327"/>
      <c r="CB354" s="1327"/>
      <c r="CC354" s="1327"/>
      <c r="CD354" s="1327"/>
      <c r="CE354" s="1327"/>
      <c r="CF354" s="1327"/>
      <c r="CG354" s="1327"/>
      <c r="CH354" s="1327"/>
      <c r="CI354" s="1327"/>
      <c r="CJ354" s="1327"/>
      <c r="CK354" s="1327"/>
      <c r="CL354" s="1327"/>
      <c r="CM354" s="1327"/>
      <c r="CN354" s="1327"/>
      <c r="CO354" s="1327"/>
      <c r="CP354" s="1327"/>
      <c r="CQ354" s="1327"/>
      <c r="CR354" s="1327"/>
      <c r="CS354" s="1327"/>
      <c r="CT354" s="1317"/>
      <c r="CU354" s="1317"/>
      <c r="CV354" s="1317"/>
      <c r="CW354" s="1317"/>
      <c r="CX354" s="1317"/>
      <c r="CY354" s="1317"/>
      <c r="CZ354" s="1317"/>
      <c r="DA354" s="1317"/>
      <c r="DB354" s="1317"/>
      <c r="DC354" s="1317"/>
      <c r="DD354" s="1317"/>
      <c r="DE354" s="1317"/>
      <c r="DF354" s="1317"/>
      <c r="DG354" s="1317"/>
    </row>
    <row r="355" ht="18.75" customHeight="1">
      <c r="G355" s="1344"/>
      <c r="H355" s="1345">
        <f t="shared" si="4"/>
        <v>0</v>
      </c>
      <c r="I355" s="1381"/>
      <c r="J355" s="1381"/>
      <c r="K355" s="1381"/>
      <c r="L355" s="1381"/>
      <c r="M355" s="1381"/>
      <c r="N355" s="1381"/>
      <c r="O355" s="1381"/>
      <c r="P355" s="1381"/>
      <c r="Q355" s="1381"/>
      <c r="R355" s="1381"/>
      <c r="T355" s="1349"/>
      <c r="U355" s="1349" t="s">
        <v>123</v>
      </c>
      <c r="V355" s="1349" t="s">
        <v>123</v>
      </c>
      <c r="W355" s="1349"/>
      <c r="X355" s="1349"/>
      <c r="Y355" s="1308"/>
      <c r="Z355" s="437" t="str">
        <f>IFERROR(__xludf.DUMMYFUNCTION("IF(NOT('portfólio'!$AV$7),"""",IF($T355="""","""",IFERROR(query({AtivosDados},""select sum(""&amp;Z$3&amp;"") where Col1='""&amp;$T355&amp;""' label sum(""&amp;Z$3&amp;"") ''""),0)))"),"")</f>
        <v/>
      </c>
      <c r="AA355" s="437" t="str">
        <f>IFERROR(__xludf.DUMMYFUNCTION("IF(NOT('portfólio'!$AV$7),"""",IF($T355="""","""",IFERROR(query({AtivosDados},""select sum(""&amp;AA$3&amp;"") where Col1='""&amp;$T355&amp;""' label sum(""&amp;AA$3&amp;"") ''""),0)))"),"")</f>
        <v/>
      </c>
      <c r="AB355" s="437" t="str">
        <f>IFERROR(__xludf.DUMMYFUNCTION("IF(NOT('portfólio'!$AV$7),"""",IF($T355="""","""",IFERROR(query({AtivosDados},""select sum(""&amp;AB$3&amp;"") where Col1='""&amp;$T355&amp;""' label sum(""&amp;AB$3&amp;"") ''""),0)))"),"")</f>
        <v/>
      </c>
      <c r="AC355" s="437" t="str">
        <f>IFERROR(__xludf.DUMMYFUNCTION("IF(NOT('portfólio'!$AV$7),"""",IF($T355="""","""",IFERROR(query({AtivosDados},""select sum(""&amp;AC$3&amp;"") where Col1='""&amp;$T355&amp;""' label sum(""&amp;AC$3&amp;"") ''""),0)))"),"")</f>
        <v/>
      </c>
      <c r="AD355" s="437" t="str">
        <f>IFERROR(__xludf.DUMMYFUNCTION("IF(NOT('portfólio'!$AV$7),"""",IF($T355="""","""",IFERROR(query({AtivosDados},""select sum(""&amp;AD$3&amp;"") where Col1='""&amp;$T355&amp;""' label sum(""&amp;AD$3&amp;"") ''""),0)))"),"")</f>
        <v/>
      </c>
      <c r="AE355" s="437"/>
      <c r="AF355" s="1327"/>
      <c r="AG355" s="437"/>
      <c r="AH355" s="437"/>
      <c r="AI355" s="437"/>
      <c r="AJ355" s="437"/>
      <c r="AK355" s="437"/>
      <c r="AL355" s="437"/>
      <c r="AM355" s="437"/>
      <c r="AN355" s="437"/>
      <c r="AO355" s="437"/>
      <c r="AP355" s="437"/>
      <c r="AQ355" s="1327"/>
      <c r="AR355" s="437"/>
      <c r="AS355" s="437"/>
      <c r="AT355" s="437"/>
      <c r="AU355" s="437"/>
      <c r="AV355" s="437"/>
      <c r="AW355" s="437"/>
      <c r="AX355" s="437"/>
      <c r="AY355" s="437"/>
      <c r="AZ355" s="437"/>
      <c r="BA355" s="437"/>
      <c r="BB355" s="1327"/>
      <c r="BC355" s="437"/>
      <c r="BD355" s="437"/>
      <c r="BE355" s="437"/>
      <c r="BF355" s="437"/>
      <c r="BG355" s="437"/>
      <c r="BH355" s="437"/>
      <c r="BI355" s="437"/>
      <c r="BJ355" s="437"/>
      <c r="BK355" s="437"/>
      <c r="BL355" s="437"/>
      <c r="BM355" s="1327"/>
      <c r="BN355" s="1327"/>
      <c r="BO355" s="1327"/>
      <c r="BP355" s="1327"/>
      <c r="BQ355" s="1327"/>
      <c r="BR355" s="1327"/>
      <c r="BS355" s="1327"/>
      <c r="BT355" s="1327"/>
      <c r="BU355" s="1327"/>
      <c r="BV355" s="1327"/>
      <c r="BW355" s="1327"/>
      <c r="BX355" s="1327"/>
      <c r="BY355" s="1327"/>
      <c r="BZ355" s="1327"/>
      <c r="CA355" s="1327"/>
      <c r="CB355" s="1327"/>
      <c r="CC355" s="1327"/>
      <c r="CD355" s="1327"/>
      <c r="CE355" s="1327"/>
      <c r="CF355" s="1327"/>
      <c r="CG355" s="1327"/>
      <c r="CH355" s="1327"/>
      <c r="CI355" s="1327"/>
      <c r="CJ355" s="1327"/>
      <c r="CK355" s="1327"/>
      <c r="CL355" s="1327"/>
      <c r="CM355" s="1327"/>
      <c r="CN355" s="1327"/>
      <c r="CO355" s="1327"/>
      <c r="CP355" s="1327"/>
      <c r="CQ355" s="1327"/>
      <c r="CR355" s="1327"/>
      <c r="CS355" s="1327"/>
      <c r="CT355" s="1317"/>
      <c r="CU355" s="1317"/>
      <c r="CV355" s="1317"/>
      <c r="CW355" s="1317"/>
      <c r="CX355" s="1317"/>
      <c r="CY355" s="1317"/>
      <c r="CZ355" s="1317"/>
      <c r="DA355" s="1317"/>
      <c r="DB355" s="1317"/>
      <c r="DC355" s="1317"/>
      <c r="DD355" s="1317"/>
      <c r="DE355" s="1317"/>
      <c r="DF355" s="1317"/>
      <c r="DG355" s="1317"/>
    </row>
    <row r="356" ht="18.75" customHeight="1">
      <c r="G356" s="1344"/>
      <c r="H356" s="1345">
        <f t="shared" si="4"/>
        <v>0</v>
      </c>
      <c r="I356" s="1381"/>
      <c r="J356" s="1381"/>
      <c r="K356" s="1381"/>
      <c r="L356" s="1381"/>
      <c r="M356" s="1381"/>
      <c r="N356" s="1381"/>
      <c r="O356" s="1381"/>
      <c r="P356" s="1381"/>
      <c r="Q356" s="1381"/>
      <c r="R356" s="1381"/>
      <c r="T356" s="1349"/>
      <c r="U356" s="1349" t="s">
        <v>123</v>
      </c>
      <c r="V356" s="1349" t="s">
        <v>123</v>
      </c>
      <c r="W356" s="1349"/>
      <c r="X356" s="1349"/>
      <c r="Y356" s="1308"/>
      <c r="Z356" s="437" t="str">
        <f>IFERROR(__xludf.DUMMYFUNCTION("IF(NOT('portfólio'!$AV$7),"""",IF($T356="""","""",IFERROR(query({AtivosDados},""select sum(""&amp;Z$3&amp;"") where Col1='""&amp;$T356&amp;""' label sum(""&amp;Z$3&amp;"") ''""),0)))"),"")</f>
        <v/>
      </c>
      <c r="AA356" s="437" t="str">
        <f>IFERROR(__xludf.DUMMYFUNCTION("IF(NOT('portfólio'!$AV$7),"""",IF($T356="""","""",IFERROR(query({AtivosDados},""select sum(""&amp;AA$3&amp;"") where Col1='""&amp;$T356&amp;""' label sum(""&amp;AA$3&amp;"") ''""),0)))"),"")</f>
        <v/>
      </c>
      <c r="AB356" s="437" t="str">
        <f>IFERROR(__xludf.DUMMYFUNCTION("IF(NOT('portfólio'!$AV$7),"""",IF($T356="""","""",IFERROR(query({AtivosDados},""select sum(""&amp;AB$3&amp;"") where Col1='""&amp;$T356&amp;""' label sum(""&amp;AB$3&amp;"") ''""),0)))"),"")</f>
        <v/>
      </c>
      <c r="AC356" s="437" t="str">
        <f>IFERROR(__xludf.DUMMYFUNCTION("IF(NOT('portfólio'!$AV$7),"""",IF($T356="""","""",IFERROR(query({AtivosDados},""select sum(""&amp;AC$3&amp;"") where Col1='""&amp;$T356&amp;""' label sum(""&amp;AC$3&amp;"") ''""),0)))"),"")</f>
        <v/>
      </c>
      <c r="AD356" s="437" t="str">
        <f>IFERROR(__xludf.DUMMYFUNCTION("IF(NOT('portfólio'!$AV$7),"""",IF($T356="""","""",IFERROR(query({AtivosDados},""select sum(""&amp;AD$3&amp;"") where Col1='""&amp;$T356&amp;""' label sum(""&amp;AD$3&amp;"") ''""),0)))"),"")</f>
        <v/>
      </c>
      <c r="AE356" s="437"/>
      <c r="AF356" s="1327"/>
      <c r="AG356" s="437"/>
      <c r="AH356" s="437"/>
      <c r="AI356" s="437"/>
      <c r="AJ356" s="437"/>
      <c r="AK356" s="437"/>
      <c r="AL356" s="437"/>
      <c r="AM356" s="437"/>
      <c r="AN356" s="437"/>
      <c r="AO356" s="437"/>
      <c r="AP356" s="437"/>
      <c r="AQ356" s="1327"/>
      <c r="AR356" s="437"/>
      <c r="AS356" s="437"/>
      <c r="AT356" s="437"/>
      <c r="AU356" s="437"/>
      <c r="AV356" s="437"/>
      <c r="AW356" s="437"/>
      <c r="AX356" s="437"/>
      <c r="AY356" s="437"/>
      <c r="AZ356" s="437"/>
      <c r="BA356" s="437"/>
      <c r="BB356" s="1327"/>
      <c r="BC356" s="437"/>
      <c r="BD356" s="437"/>
      <c r="BE356" s="437"/>
      <c r="BF356" s="437"/>
      <c r="BG356" s="437"/>
      <c r="BH356" s="437"/>
      <c r="BI356" s="437"/>
      <c r="BJ356" s="437"/>
      <c r="BK356" s="437"/>
      <c r="BL356" s="437"/>
      <c r="BM356" s="1327"/>
      <c r="BN356" s="1327"/>
      <c r="BO356" s="1327"/>
      <c r="BP356" s="1327"/>
      <c r="BQ356" s="1327"/>
      <c r="BR356" s="1327"/>
      <c r="BS356" s="1327"/>
      <c r="BT356" s="1327"/>
      <c r="BU356" s="1327"/>
      <c r="BV356" s="1327"/>
      <c r="BW356" s="1327"/>
      <c r="BX356" s="1327"/>
      <c r="BY356" s="1327"/>
      <c r="BZ356" s="1327"/>
      <c r="CA356" s="1327"/>
      <c r="CB356" s="1327"/>
      <c r="CC356" s="1327"/>
      <c r="CD356" s="1327"/>
      <c r="CE356" s="1327"/>
      <c r="CF356" s="1327"/>
      <c r="CG356" s="1327"/>
      <c r="CH356" s="1327"/>
      <c r="CI356" s="1327"/>
      <c r="CJ356" s="1327"/>
      <c r="CK356" s="1327"/>
      <c r="CL356" s="1327"/>
      <c r="CM356" s="1327"/>
      <c r="CN356" s="1327"/>
      <c r="CO356" s="1327"/>
      <c r="CP356" s="1327"/>
      <c r="CQ356" s="1327"/>
      <c r="CR356" s="1327"/>
      <c r="CS356" s="1327"/>
      <c r="CT356" s="1317"/>
      <c r="CU356" s="1317"/>
      <c r="CV356" s="1317"/>
      <c r="CW356" s="1317"/>
      <c r="CX356" s="1317"/>
      <c r="CY356" s="1317"/>
      <c r="CZ356" s="1317"/>
      <c r="DA356" s="1317"/>
      <c r="DB356" s="1317"/>
      <c r="DC356" s="1317"/>
      <c r="DD356" s="1317"/>
      <c r="DE356" s="1317"/>
      <c r="DF356" s="1317"/>
      <c r="DG356" s="1317"/>
    </row>
    <row r="357" ht="18.75" customHeight="1">
      <c r="G357" s="1344"/>
      <c r="H357" s="1345">
        <f t="shared" si="4"/>
        <v>0</v>
      </c>
      <c r="I357" s="1381"/>
      <c r="J357" s="1381"/>
      <c r="K357" s="1381"/>
      <c r="L357" s="1381"/>
      <c r="M357" s="1381"/>
      <c r="N357" s="1381"/>
      <c r="O357" s="1381"/>
      <c r="P357" s="1381"/>
      <c r="Q357" s="1381"/>
      <c r="R357" s="1381"/>
      <c r="T357" s="1349"/>
      <c r="U357" s="1349" t="s">
        <v>123</v>
      </c>
      <c r="V357" s="1349" t="s">
        <v>123</v>
      </c>
      <c r="W357" s="1349"/>
      <c r="X357" s="1349"/>
      <c r="Y357" s="1308"/>
      <c r="Z357" s="437" t="str">
        <f>IFERROR(__xludf.DUMMYFUNCTION("IF(NOT('portfólio'!$AV$7),"""",IF($T357="""","""",IFERROR(query({AtivosDados},""select sum(""&amp;Z$3&amp;"") where Col1='""&amp;$T357&amp;""' label sum(""&amp;Z$3&amp;"") ''""),0)))"),"")</f>
        <v/>
      </c>
      <c r="AA357" s="437" t="str">
        <f>IFERROR(__xludf.DUMMYFUNCTION("IF(NOT('portfólio'!$AV$7),"""",IF($T357="""","""",IFERROR(query({AtivosDados},""select sum(""&amp;AA$3&amp;"") where Col1='""&amp;$T357&amp;""' label sum(""&amp;AA$3&amp;"") ''""),0)))"),"")</f>
        <v/>
      </c>
      <c r="AB357" s="437" t="str">
        <f>IFERROR(__xludf.DUMMYFUNCTION("IF(NOT('portfólio'!$AV$7),"""",IF($T357="""","""",IFERROR(query({AtivosDados},""select sum(""&amp;AB$3&amp;"") where Col1='""&amp;$T357&amp;""' label sum(""&amp;AB$3&amp;"") ''""),0)))"),"")</f>
        <v/>
      </c>
      <c r="AC357" s="437" t="str">
        <f>IFERROR(__xludf.DUMMYFUNCTION("IF(NOT('portfólio'!$AV$7),"""",IF($T357="""","""",IFERROR(query({AtivosDados},""select sum(""&amp;AC$3&amp;"") where Col1='""&amp;$T357&amp;""' label sum(""&amp;AC$3&amp;"") ''""),0)))"),"")</f>
        <v/>
      </c>
      <c r="AD357" s="437" t="str">
        <f>IFERROR(__xludf.DUMMYFUNCTION("IF(NOT('portfólio'!$AV$7),"""",IF($T357="""","""",IFERROR(query({AtivosDados},""select sum(""&amp;AD$3&amp;"") where Col1='""&amp;$T357&amp;""' label sum(""&amp;AD$3&amp;"") ''""),0)))"),"")</f>
        <v/>
      </c>
      <c r="AE357" s="437"/>
      <c r="AF357" s="1327"/>
      <c r="AG357" s="437"/>
      <c r="AH357" s="437"/>
      <c r="AI357" s="437"/>
      <c r="AJ357" s="437"/>
      <c r="AK357" s="437"/>
      <c r="AL357" s="437"/>
      <c r="AM357" s="437"/>
      <c r="AN357" s="437"/>
      <c r="AO357" s="437"/>
      <c r="AP357" s="437"/>
      <c r="AQ357" s="1327"/>
      <c r="AR357" s="437"/>
      <c r="AS357" s="437"/>
      <c r="AT357" s="437"/>
      <c r="AU357" s="437"/>
      <c r="AV357" s="437"/>
      <c r="AW357" s="437"/>
      <c r="AX357" s="437"/>
      <c r="AY357" s="437"/>
      <c r="AZ357" s="437"/>
      <c r="BA357" s="437"/>
      <c r="BB357" s="1327"/>
      <c r="BC357" s="437"/>
      <c r="BD357" s="437"/>
      <c r="BE357" s="437"/>
      <c r="BF357" s="437"/>
      <c r="BG357" s="437"/>
      <c r="BH357" s="437"/>
      <c r="BI357" s="437"/>
      <c r="BJ357" s="437"/>
      <c r="BK357" s="437"/>
      <c r="BL357" s="437"/>
      <c r="BM357" s="1327"/>
      <c r="BN357" s="1327"/>
      <c r="BO357" s="1327"/>
      <c r="BP357" s="1327"/>
      <c r="BQ357" s="1327"/>
      <c r="BR357" s="1327"/>
      <c r="BS357" s="1327"/>
      <c r="BT357" s="1327"/>
      <c r="BU357" s="1327"/>
      <c r="BV357" s="1327"/>
      <c r="BW357" s="1327"/>
      <c r="BX357" s="1327"/>
      <c r="BY357" s="1327"/>
      <c r="BZ357" s="1327"/>
      <c r="CA357" s="1327"/>
      <c r="CB357" s="1327"/>
      <c r="CC357" s="1327"/>
      <c r="CD357" s="1327"/>
      <c r="CE357" s="1327"/>
      <c r="CF357" s="1327"/>
      <c r="CG357" s="1327"/>
      <c r="CH357" s="1327"/>
      <c r="CI357" s="1327"/>
      <c r="CJ357" s="1327"/>
      <c r="CK357" s="1327"/>
      <c r="CL357" s="1327"/>
      <c r="CM357" s="1327"/>
      <c r="CN357" s="1327"/>
      <c r="CO357" s="1327"/>
      <c r="CP357" s="1327"/>
      <c r="CQ357" s="1327"/>
      <c r="CR357" s="1327"/>
      <c r="CS357" s="1327"/>
      <c r="CT357" s="1317"/>
      <c r="CU357" s="1317"/>
      <c r="CV357" s="1317"/>
      <c r="CW357" s="1317"/>
      <c r="CX357" s="1317"/>
      <c r="CY357" s="1317"/>
      <c r="CZ357" s="1317"/>
      <c r="DA357" s="1317"/>
      <c r="DB357" s="1317"/>
      <c r="DC357" s="1317"/>
      <c r="DD357" s="1317"/>
      <c r="DE357" s="1317"/>
      <c r="DF357" s="1317"/>
      <c r="DG357" s="1317"/>
    </row>
    <row r="358" ht="18.75" customHeight="1">
      <c r="G358" s="1344"/>
      <c r="H358" s="1345">
        <f t="shared" si="4"/>
        <v>0</v>
      </c>
      <c r="I358" s="1381"/>
      <c r="J358" s="1381"/>
      <c r="K358" s="1381"/>
      <c r="L358" s="1381"/>
      <c r="M358" s="1381"/>
      <c r="N358" s="1381"/>
      <c r="O358" s="1381"/>
      <c r="P358" s="1381"/>
      <c r="Q358" s="1381"/>
      <c r="R358" s="1381"/>
      <c r="T358" s="1349"/>
      <c r="U358" s="1349" t="s">
        <v>123</v>
      </c>
      <c r="V358" s="1349" t="s">
        <v>123</v>
      </c>
      <c r="W358" s="1349"/>
      <c r="X358" s="1349"/>
      <c r="Y358" s="1308"/>
      <c r="Z358" s="437" t="str">
        <f>IFERROR(__xludf.DUMMYFUNCTION("IF(NOT('portfólio'!$AV$7),"""",IF($T358="""","""",IFERROR(query({AtivosDados},""select sum(""&amp;Z$3&amp;"") where Col1='""&amp;$T358&amp;""' label sum(""&amp;Z$3&amp;"") ''""),0)))"),"")</f>
        <v/>
      </c>
      <c r="AA358" s="437" t="str">
        <f>IFERROR(__xludf.DUMMYFUNCTION("IF(NOT('portfólio'!$AV$7),"""",IF($T358="""","""",IFERROR(query({AtivosDados},""select sum(""&amp;AA$3&amp;"") where Col1='""&amp;$T358&amp;""' label sum(""&amp;AA$3&amp;"") ''""),0)))"),"")</f>
        <v/>
      </c>
      <c r="AB358" s="437" t="str">
        <f>IFERROR(__xludf.DUMMYFUNCTION("IF(NOT('portfólio'!$AV$7),"""",IF($T358="""","""",IFERROR(query({AtivosDados},""select sum(""&amp;AB$3&amp;"") where Col1='""&amp;$T358&amp;""' label sum(""&amp;AB$3&amp;"") ''""),0)))"),"")</f>
        <v/>
      </c>
      <c r="AC358" s="437" t="str">
        <f>IFERROR(__xludf.DUMMYFUNCTION("IF(NOT('portfólio'!$AV$7),"""",IF($T358="""","""",IFERROR(query({AtivosDados},""select sum(""&amp;AC$3&amp;"") where Col1='""&amp;$T358&amp;""' label sum(""&amp;AC$3&amp;"") ''""),0)))"),"")</f>
        <v/>
      </c>
      <c r="AD358" s="437" t="str">
        <f>IFERROR(__xludf.DUMMYFUNCTION("IF(NOT('portfólio'!$AV$7),"""",IF($T358="""","""",IFERROR(query({AtivosDados},""select sum(""&amp;AD$3&amp;"") where Col1='""&amp;$T358&amp;""' label sum(""&amp;AD$3&amp;"") ''""),0)))"),"")</f>
        <v/>
      </c>
      <c r="AE358" s="437"/>
      <c r="AF358" s="1327"/>
      <c r="AG358" s="437"/>
      <c r="AH358" s="437"/>
      <c r="AI358" s="437"/>
      <c r="AJ358" s="437"/>
      <c r="AK358" s="437"/>
      <c r="AL358" s="437"/>
      <c r="AM358" s="437"/>
      <c r="AN358" s="437"/>
      <c r="AO358" s="437"/>
      <c r="AP358" s="437"/>
      <c r="AQ358" s="1327"/>
      <c r="AR358" s="437"/>
      <c r="AS358" s="437"/>
      <c r="AT358" s="437"/>
      <c r="AU358" s="437"/>
      <c r="AV358" s="437"/>
      <c r="AW358" s="437"/>
      <c r="AX358" s="437"/>
      <c r="AY358" s="437"/>
      <c r="AZ358" s="437"/>
      <c r="BA358" s="437"/>
      <c r="BB358" s="1327"/>
      <c r="BC358" s="437"/>
      <c r="BD358" s="437"/>
      <c r="BE358" s="437"/>
      <c r="BF358" s="437"/>
      <c r="BG358" s="437"/>
      <c r="BH358" s="437"/>
      <c r="BI358" s="437"/>
      <c r="BJ358" s="437"/>
      <c r="BK358" s="437"/>
      <c r="BL358" s="437"/>
      <c r="BM358" s="1327"/>
      <c r="BN358" s="1327"/>
      <c r="BO358" s="1327"/>
      <c r="BP358" s="1327"/>
      <c r="BQ358" s="1327"/>
      <c r="BR358" s="1327"/>
      <c r="BS358" s="1327"/>
      <c r="BT358" s="1327"/>
      <c r="BU358" s="1327"/>
      <c r="BV358" s="1327"/>
      <c r="BW358" s="1327"/>
      <c r="BX358" s="1327"/>
      <c r="BY358" s="1327"/>
      <c r="BZ358" s="1327"/>
      <c r="CA358" s="1327"/>
      <c r="CB358" s="1327"/>
      <c r="CC358" s="1327"/>
      <c r="CD358" s="1327"/>
      <c r="CE358" s="1327"/>
      <c r="CF358" s="1327"/>
      <c r="CG358" s="1327"/>
      <c r="CH358" s="1327"/>
      <c r="CI358" s="1327"/>
      <c r="CJ358" s="1327"/>
      <c r="CK358" s="1327"/>
      <c r="CL358" s="1327"/>
      <c r="CM358" s="1327"/>
      <c r="CN358" s="1327"/>
      <c r="CO358" s="1327"/>
      <c r="CP358" s="1327"/>
      <c r="CQ358" s="1327"/>
      <c r="CR358" s="1327"/>
      <c r="CS358" s="1327"/>
      <c r="CT358" s="1317"/>
      <c r="CU358" s="1317"/>
      <c r="CV358" s="1317"/>
      <c r="CW358" s="1317"/>
      <c r="CX358" s="1317"/>
      <c r="CY358" s="1317"/>
      <c r="CZ358" s="1317"/>
      <c r="DA358" s="1317"/>
      <c r="DB358" s="1317"/>
      <c r="DC358" s="1317"/>
      <c r="DD358" s="1317"/>
      <c r="DE358" s="1317"/>
      <c r="DF358" s="1317"/>
      <c r="DG358" s="1317"/>
    </row>
    <row r="359" ht="18.75" customHeight="1">
      <c r="G359" s="1344"/>
      <c r="H359" s="1345">
        <f t="shared" si="4"/>
        <v>0</v>
      </c>
      <c r="I359" s="1381"/>
      <c r="J359" s="1381"/>
      <c r="K359" s="1381"/>
      <c r="L359" s="1381"/>
      <c r="M359" s="1381"/>
      <c r="N359" s="1381"/>
      <c r="O359" s="1381"/>
      <c r="P359" s="1381"/>
      <c r="Q359" s="1381"/>
      <c r="R359" s="1381"/>
      <c r="T359" s="1349"/>
      <c r="U359" s="1349" t="s">
        <v>123</v>
      </c>
      <c r="V359" s="1349" t="s">
        <v>123</v>
      </c>
      <c r="W359" s="1349"/>
      <c r="X359" s="1349"/>
      <c r="Y359" s="1308"/>
      <c r="Z359" s="437" t="str">
        <f>IFERROR(__xludf.DUMMYFUNCTION("IF(NOT('portfólio'!$AV$7),"""",IF($T359="""","""",IFERROR(query({AtivosDados},""select sum(""&amp;Z$3&amp;"") where Col1='""&amp;$T359&amp;""' label sum(""&amp;Z$3&amp;"") ''""),0)))"),"")</f>
        <v/>
      </c>
      <c r="AA359" s="437" t="str">
        <f>IFERROR(__xludf.DUMMYFUNCTION("IF(NOT('portfólio'!$AV$7),"""",IF($T359="""","""",IFERROR(query({AtivosDados},""select sum(""&amp;AA$3&amp;"") where Col1='""&amp;$T359&amp;""' label sum(""&amp;AA$3&amp;"") ''""),0)))"),"")</f>
        <v/>
      </c>
      <c r="AB359" s="437" t="str">
        <f>IFERROR(__xludf.DUMMYFUNCTION("IF(NOT('portfólio'!$AV$7),"""",IF($T359="""","""",IFERROR(query({AtivosDados},""select sum(""&amp;AB$3&amp;"") where Col1='""&amp;$T359&amp;""' label sum(""&amp;AB$3&amp;"") ''""),0)))"),"")</f>
        <v/>
      </c>
      <c r="AC359" s="437" t="str">
        <f>IFERROR(__xludf.DUMMYFUNCTION("IF(NOT('portfólio'!$AV$7),"""",IF($T359="""","""",IFERROR(query({AtivosDados},""select sum(""&amp;AC$3&amp;"") where Col1='""&amp;$T359&amp;""' label sum(""&amp;AC$3&amp;"") ''""),0)))"),"")</f>
        <v/>
      </c>
      <c r="AD359" s="437" t="str">
        <f>IFERROR(__xludf.DUMMYFUNCTION("IF(NOT('portfólio'!$AV$7),"""",IF($T359="""","""",IFERROR(query({AtivosDados},""select sum(""&amp;AD$3&amp;"") where Col1='""&amp;$T359&amp;""' label sum(""&amp;AD$3&amp;"") ''""),0)))"),"")</f>
        <v/>
      </c>
      <c r="AE359" s="437"/>
      <c r="AF359" s="1327"/>
      <c r="AG359" s="437"/>
      <c r="AH359" s="437"/>
      <c r="AI359" s="437"/>
      <c r="AJ359" s="437"/>
      <c r="AK359" s="437"/>
      <c r="AL359" s="437"/>
      <c r="AM359" s="437"/>
      <c r="AN359" s="437"/>
      <c r="AO359" s="437"/>
      <c r="AP359" s="437"/>
      <c r="AQ359" s="1327"/>
      <c r="AR359" s="437"/>
      <c r="AS359" s="437"/>
      <c r="AT359" s="437"/>
      <c r="AU359" s="437"/>
      <c r="AV359" s="437"/>
      <c r="AW359" s="437"/>
      <c r="AX359" s="437"/>
      <c r="AY359" s="437"/>
      <c r="AZ359" s="437"/>
      <c r="BA359" s="437"/>
      <c r="BB359" s="1327"/>
      <c r="BC359" s="437"/>
      <c r="BD359" s="437"/>
      <c r="BE359" s="437"/>
      <c r="BF359" s="437"/>
      <c r="BG359" s="437"/>
      <c r="BH359" s="437"/>
      <c r="BI359" s="437"/>
      <c r="BJ359" s="437"/>
      <c r="BK359" s="437"/>
      <c r="BL359" s="437"/>
      <c r="BM359" s="1327"/>
      <c r="BN359" s="1327"/>
      <c r="BO359" s="1327"/>
      <c r="BP359" s="1327"/>
      <c r="BQ359" s="1327"/>
      <c r="BR359" s="1327"/>
      <c r="BS359" s="1327"/>
      <c r="BT359" s="1327"/>
      <c r="BU359" s="1327"/>
      <c r="BV359" s="1327"/>
      <c r="BW359" s="1327"/>
      <c r="BX359" s="1327"/>
      <c r="BY359" s="1327"/>
      <c r="BZ359" s="1327"/>
      <c r="CA359" s="1327"/>
      <c r="CB359" s="1327"/>
      <c r="CC359" s="1327"/>
      <c r="CD359" s="1327"/>
      <c r="CE359" s="1327"/>
      <c r="CF359" s="1327"/>
      <c r="CG359" s="1327"/>
      <c r="CH359" s="1327"/>
      <c r="CI359" s="1327"/>
      <c r="CJ359" s="1327"/>
      <c r="CK359" s="1327"/>
      <c r="CL359" s="1327"/>
      <c r="CM359" s="1327"/>
      <c r="CN359" s="1327"/>
      <c r="CO359" s="1327"/>
      <c r="CP359" s="1327"/>
      <c r="CQ359" s="1327"/>
      <c r="CR359" s="1327"/>
      <c r="CS359" s="1327"/>
      <c r="CT359" s="1317"/>
      <c r="CU359" s="1317"/>
      <c r="CV359" s="1317"/>
      <c r="CW359" s="1317"/>
      <c r="CX359" s="1317"/>
      <c r="CY359" s="1317"/>
      <c r="CZ359" s="1317"/>
      <c r="DA359" s="1317"/>
      <c r="DB359" s="1317"/>
      <c r="DC359" s="1317"/>
      <c r="DD359" s="1317"/>
      <c r="DE359" s="1317"/>
      <c r="DF359" s="1317"/>
      <c r="DG359" s="1317"/>
    </row>
    <row r="360" ht="18.75" customHeight="1">
      <c r="G360" s="1344"/>
      <c r="H360" s="1345">
        <f t="shared" si="4"/>
        <v>0</v>
      </c>
      <c r="I360" s="1381"/>
      <c r="J360" s="1381"/>
      <c r="K360" s="1381"/>
      <c r="L360" s="1381"/>
      <c r="M360" s="1381"/>
      <c r="N360" s="1381"/>
      <c r="O360" s="1381"/>
      <c r="P360" s="1381"/>
      <c r="Q360" s="1381"/>
      <c r="R360" s="1381"/>
      <c r="T360" s="1349"/>
      <c r="U360" s="1349" t="s">
        <v>123</v>
      </c>
      <c r="V360" s="1349" t="s">
        <v>123</v>
      </c>
      <c r="W360" s="1349"/>
      <c r="X360" s="1349"/>
      <c r="Y360" s="1308"/>
      <c r="Z360" s="437" t="str">
        <f>IFERROR(__xludf.DUMMYFUNCTION("IF(NOT('portfólio'!$AV$7),"""",IF($T360="""","""",IFERROR(query({AtivosDados},""select sum(""&amp;Z$3&amp;"") where Col1='""&amp;$T360&amp;""' label sum(""&amp;Z$3&amp;"") ''""),0)))"),"")</f>
        <v/>
      </c>
      <c r="AA360" s="437" t="str">
        <f>IFERROR(__xludf.DUMMYFUNCTION("IF(NOT('portfólio'!$AV$7),"""",IF($T360="""","""",IFERROR(query({AtivosDados},""select sum(""&amp;AA$3&amp;"") where Col1='""&amp;$T360&amp;""' label sum(""&amp;AA$3&amp;"") ''""),0)))"),"")</f>
        <v/>
      </c>
      <c r="AB360" s="437" t="str">
        <f>IFERROR(__xludf.DUMMYFUNCTION("IF(NOT('portfólio'!$AV$7),"""",IF($T360="""","""",IFERROR(query({AtivosDados},""select sum(""&amp;AB$3&amp;"") where Col1='""&amp;$T360&amp;""' label sum(""&amp;AB$3&amp;"") ''""),0)))"),"")</f>
        <v/>
      </c>
      <c r="AC360" s="437" t="str">
        <f>IFERROR(__xludf.DUMMYFUNCTION("IF(NOT('portfólio'!$AV$7),"""",IF($T360="""","""",IFERROR(query({AtivosDados},""select sum(""&amp;AC$3&amp;"") where Col1='""&amp;$T360&amp;""' label sum(""&amp;AC$3&amp;"") ''""),0)))"),"")</f>
        <v/>
      </c>
      <c r="AD360" s="437" t="str">
        <f>IFERROR(__xludf.DUMMYFUNCTION("IF(NOT('portfólio'!$AV$7),"""",IF($T360="""","""",IFERROR(query({AtivosDados},""select sum(""&amp;AD$3&amp;"") where Col1='""&amp;$T360&amp;""' label sum(""&amp;AD$3&amp;"") ''""),0)))"),"")</f>
        <v/>
      </c>
      <c r="AE360" s="437"/>
      <c r="AF360" s="1327"/>
      <c r="AG360" s="437"/>
      <c r="AH360" s="437"/>
      <c r="AI360" s="437"/>
      <c r="AJ360" s="437"/>
      <c r="AK360" s="437"/>
      <c r="AL360" s="437"/>
      <c r="AM360" s="437"/>
      <c r="AN360" s="437"/>
      <c r="AO360" s="437"/>
      <c r="AP360" s="437"/>
      <c r="AQ360" s="1327"/>
      <c r="AR360" s="437"/>
      <c r="AS360" s="437"/>
      <c r="AT360" s="437"/>
      <c r="AU360" s="437"/>
      <c r="AV360" s="437"/>
      <c r="AW360" s="437"/>
      <c r="AX360" s="437"/>
      <c r="AY360" s="437"/>
      <c r="AZ360" s="437"/>
      <c r="BA360" s="437"/>
      <c r="BB360" s="1327"/>
      <c r="BC360" s="437"/>
      <c r="BD360" s="437"/>
      <c r="BE360" s="437"/>
      <c r="BF360" s="437"/>
      <c r="BG360" s="437"/>
      <c r="BH360" s="437"/>
      <c r="BI360" s="437"/>
      <c r="BJ360" s="437"/>
      <c r="BK360" s="437"/>
      <c r="BL360" s="437"/>
      <c r="BM360" s="1327"/>
      <c r="BN360" s="1327"/>
      <c r="BO360" s="1327"/>
      <c r="BP360" s="1327"/>
      <c r="BQ360" s="1327"/>
      <c r="BR360" s="1327"/>
      <c r="BS360" s="1327"/>
      <c r="BT360" s="1327"/>
      <c r="BU360" s="1327"/>
      <c r="BV360" s="1327"/>
      <c r="BW360" s="1327"/>
      <c r="BX360" s="1327"/>
      <c r="BY360" s="1327"/>
      <c r="BZ360" s="1327"/>
      <c r="CA360" s="1327"/>
      <c r="CB360" s="1327"/>
      <c r="CC360" s="1327"/>
      <c r="CD360" s="1327"/>
      <c r="CE360" s="1327"/>
      <c r="CF360" s="1327"/>
      <c r="CG360" s="1327"/>
      <c r="CH360" s="1327"/>
      <c r="CI360" s="1327"/>
      <c r="CJ360" s="1327"/>
      <c r="CK360" s="1327"/>
      <c r="CL360" s="1327"/>
      <c r="CM360" s="1327"/>
      <c r="CN360" s="1327"/>
      <c r="CO360" s="1327"/>
      <c r="CP360" s="1327"/>
      <c r="CQ360" s="1327"/>
      <c r="CR360" s="1327"/>
      <c r="CS360" s="1327"/>
      <c r="CT360" s="1317"/>
      <c r="CU360" s="1317"/>
      <c r="CV360" s="1317"/>
      <c r="CW360" s="1317"/>
      <c r="CX360" s="1317"/>
      <c r="CY360" s="1317"/>
      <c r="CZ360" s="1317"/>
      <c r="DA360" s="1317"/>
      <c r="DB360" s="1317"/>
      <c r="DC360" s="1317"/>
      <c r="DD360" s="1317"/>
      <c r="DE360" s="1317"/>
      <c r="DF360" s="1317"/>
      <c r="DG360" s="1317"/>
    </row>
    <row r="361" ht="18.75" customHeight="1">
      <c r="G361" s="1344"/>
      <c r="H361" s="1345">
        <f t="shared" si="4"/>
        <v>0</v>
      </c>
      <c r="I361" s="1381"/>
      <c r="J361" s="1381"/>
      <c r="K361" s="1381"/>
      <c r="L361" s="1381"/>
      <c r="M361" s="1381"/>
      <c r="N361" s="1381"/>
      <c r="O361" s="1381"/>
      <c r="P361" s="1381"/>
      <c r="Q361" s="1381"/>
      <c r="R361" s="1381"/>
      <c r="T361" s="1349"/>
      <c r="U361" s="1349" t="s">
        <v>123</v>
      </c>
      <c r="V361" s="1349" t="s">
        <v>123</v>
      </c>
      <c r="W361" s="1349"/>
      <c r="X361" s="1349"/>
      <c r="Y361" s="1308"/>
      <c r="Z361" s="437" t="str">
        <f>IFERROR(__xludf.DUMMYFUNCTION("IF(NOT('portfólio'!$AV$7),"""",IF($T361="""","""",IFERROR(query({AtivosDados},""select sum(""&amp;Z$3&amp;"") where Col1='""&amp;$T361&amp;""' label sum(""&amp;Z$3&amp;"") ''""),0)))"),"")</f>
        <v/>
      </c>
      <c r="AA361" s="437" t="str">
        <f>IFERROR(__xludf.DUMMYFUNCTION("IF(NOT('portfólio'!$AV$7),"""",IF($T361="""","""",IFERROR(query({AtivosDados},""select sum(""&amp;AA$3&amp;"") where Col1='""&amp;$T361&amp;""' label sum(""&amp;AA$3&amp;"") ''""),0)))"),"")</f>
        <v/>
      </c>
      <c r="AB361" s="437" t="str">
        <f>IFERROR(__xludf.DUMMYFUNCTION("IF(NOT('portfólio'!$AV$7),"""",IF($T361="""","""",IFERROR(query({AtivosDados},""select sum(""&amp;AB$3&amp;"") where Col1='""&amp;$T361&amp;""' label sum(""&amp;AB$3&amp;"") ''""),0)))"),"")</f>
        <v/>
      </c>
      <c r="AC361" s="437" t="str">
        <f>IFERROR(__xludf.DUMMYFUNCTION("IF(NOT('portfólio'!$AV$7),"""",IF($T361="""","""",IFERROR(query({AtivosDados},""select sum(""&amp;AC$3&amp;"") where Col1='""&amp;$T361&amp;""' label sum(""&amp;AC$3&amp;"") ''""),0)))"),"")</f>
        <v/>
      </c>
      <c r="AD361" s="437" t="str">
        <f>IFERROR(__xludf.DUMMYFUNCTION("IF(NOT('portfólio'!$AV$7),"""",IF($T361="""","""",IFERROR(query({AtivosDados},""select sum(""&amp;AD$3&amp;"") where Col1='""&amp;$T361&amp;""' label sum(""&amp;AD$3&amp;"") ''""),0)))"),"")</f>
        <v/>
      </c>
      <c r="AE361" s="437"/>
      <c r="AF361" s="1327"/>
      <c r="AG361" s="437"/>
      <c r="AH361" s="437"/>
      <c r="AI361" s="437"/>
      <c r="AJ361" s="437"/>
      <c r="AK361" s="437"/>
      <c r="AL361" s="437"/>
      <c r="AM361" s="437"/>
      <c r="AN361" s="437"/>
      <c r="AO361" s="437"/>
      <c r="AP361" s="437"/>
      <c r="AQ361" s="1327"/>
      <c r="AR361" s="437"/>
      <c r="AS361" s="437"/>
      <c r="AT361" s="437"/>
      <c r="AU361" s="437"/>
      <c r="AV361" s="437"/>
      <c r="AW361" s="437"/>
      <c r="AX361" s="437"/>
      <c r="AY361" s="437"/>
      <c r="AZ361" s="437"/>
      <c r="BA361" s="437"/>
      <c r="BB361" s="1327"/>
      <c r="BC361" s="437"/>
      <c r="BD361" s="437"/>
      <c r="BE361" s="437"/>
      <c r="BF361" s="437"/>
      <c r="BG361" s="437"/>
      <c r="BH361" s="437"/>
      <c r="BI361" s="437"/>
      <c r="BJ361" s="437"/>
      <c r="BK361" s="437"/>
      <c r="BL361" s="437"/>
      <c r="BM361" s="1327"/>
      <c r="BN361" s="1327"/>
      <c r="BO361" s="1327"/>
      <c r="BP361" s="1327"/>
      <c r="BQ361" s="1327"/>
      <c r="BR361" s="1327"/>
      <c r="BS361" s="1327"/>
      <c r="BT361" s="1327"/>
      <c r="BU361" s="1327"/>
      <c r="BV361" s="1327"/>
      <c r="BW361" s="1327"/>
      <c r="BX361" s="1327"/>
      <c r="BY361" s="1327"/>
      <c r="BZ361" s="1327"/>
      <c r="CA361" s="1327"/>
      <c r="CB361" s="1327"/>
      <c r="CC361" s="1327"/>
      <c r="CD361" s="1327"/>
      <c r="CE361" s="1327"/>
      <c r="CF361" s="1327"/>
      <c r="CG361" s="1327"/>
      <c r="CH361" s="1327"/>
      <c r="CI361" s="1327"/>
      <c r="CJ361" s="1327"/>
      <c r="CK361" s="1327"/>
      <c r="CL361" s="1327"/>
      <c r="CM361" s="1327"/>
      <c r="CN361" s="1327"/>
      <c r="CO361" s="1327"/>
      <c r="CP361" s="1327"/>
      <c r="CQ361" s="1327"/>
      <c r="CR361" s="1327"/>
      <c r="CS361" s="1327"/>
      <c r="CT361" s="1317"/>
      <c r="CU361" s="1317"/>
      <c r="CV361" s="1317"/>
      <c r="CW361" s="1317"/>
      <c r="CX361" s="1317"/>
      <c r="CY361" s="1317"/>
      <c r="CZ361" s="1317"/>
      <c r="DA361" s="1317"/>
      <c r="DB361" s="1317"/>
      <c r="DC361" s="1317"/>
      <c r="DD361" s="1317"/>
      <c r="DE361" s="1317"/>
      <c r="DF361" s="1317"/>
      <c r="DG361" s="1317"/>
    </row>
    <row r="362" ht="18.75" customHeight="1">
      <c r="G362" s="1344"/>
      <c r="H362" s="1345">
        <f t="shared" si="4"/>
        <v>0</v>
      </c>
      <c r="I362" s="1381"/>
      <c r="J362" s="1381"/>
      <c r="K362" s="1381"/>
      <c r="L362" s="1381"/>
      <c r="M362" s="1381"/>
      <c r="N362" s="1381"/>
      <c r="O362" s="1381"/>
      <c r="P362" s="1381"/>
      <c r="Q362" s="1381"/>
      <c r="R362" s="1381"/>
      <c r="T362" s="1349"/>
      <c r="U362" s="1349" t="s">
        <v>123</v>
      </c>
      <c r="V362" s="1349" t="s">
        <v>123</v>
      </c>
      <c r="W362" s="1349"/>
      <c r="X362" s="1349"/>
      <c r="Y362" s="1308"/>
      <c r="Z362" s="437" t="str">
        <f>IFERROR(__xludf.DUMMYFUNCTION("IF(NOT('portfólio'!$AV$7),"""",IF($T362="""","""",IFERROR(query({AtivosDados},""select sum(""&amp;Z$3&amp;"") where Col1='""&amp;$T362&amp;""' label sum(""&amp;Z$3&amp;"") ''""),0)))"),"")</f>
        <v/>
      </c>
      <c r="AA362" s="437" t="str">
        <f>IFERROR(__xludf.DUMMYFUNCTION("IF(NOT('portfólio'!$AV$7),"""",IF($T362="""","""",IFERROR(query({AtivosDados},""select sum(""&amp;AA$3&amp;"") where Col1='""&amp;$T362&amp;""' label sum(""&amp;AA$3&amp;"") ''""),0)))"),"")</f>
        <v/>
      </c>
      <c r="AB362" s="437" t="str">
        <f>IFERROR(__xludf.DUMMYFUNCTION("IF(NOT('portfólio'!$AV$7),"""",IF($T362="""","""",IFERROR(query({AtivosDados},""select sum(""&amp;AB$3&amp;"") where Col1='""&amp;$T362&amp;""' label sum(""&amp;AB$3&amp;"") ''""),0)))"),"")</f>
        <v/>
      </c>
      <c r="AC362" s="437" t="str">
        <f>IFERROR(__xludf.DUMMYFUNCTION("IF(NOT('portfólio'!$AV$7),"""",IF($T362="""","""",IFERROR(query({AtivosDados},""select sum(""&amp;AC$3&amp;"") where Col1='""&amp;$T362&amp;""' label sum(""&amp;AC$3&amp;"") ''""),0)))"),"")</f>
        <v/>
      </c>
      <c r="AD362" s="437" t="str">
        <f>IFERROR(__xludf.DUMMYFUNCTION("IF(NOT('portfólio'!$AV$7),"""",IF($T362="""","""",IFERROR(query({AtivosDados},""select sum(""&amp;AD$3&amp;"") where Col1='""&amp;$T362&amp;""' label sum(""&amp;AD$3&amp;"") ''""),0)))"),"")</f>
        <v/>
      </c>
      <c r="AE362" s="437"/>
      <c r="AF362" s="1327"/>
      <c r="AG362" s="437"/>
      <c r="AH362" s="437"/>
      <c r="AI362" s="437"/>
      <c r="AJ362" s="437"/>
      <c r="AK362" s="437"/>
      <c r="AL362" s="437"/>
      <c r="AM362" s="437"/>
      <c r="AN362" s="437"/>
      <c r="AO362" s="437"/>
      <c r="AP362" s="437"/>
      <c r="AQ362" s="1327"/>
      <c r="AR362" s="437"/>
      <c r="AS362" s="437"/>
      <c r="AT362" s="437"/>
      <c r="AU362" s="437"/>
      <c r="AV362" s="437"/>
      <c r="AW362" s="437"/>
      <c r="AX362" s="437"/>
      <c r="AY362" s="437"/>
      <c r="AZ362" s="437"/>
      <c r="BA362" s="437"/>
      <c r="BB362" s="1327"/>
      <c r="BC362" s="437"/>
      <c r="BD362" s="437"/>
      <c r="BE362" s="437"/>
      <c r="BF362" s="437"/>
      <c r="BG362" s="437"/>
      <c r="BH362" s="437"/>
      <c r="BI362" s="437"/>
      <c r="BJ362" s="437"/>
      <c r="BK362" s="437"/>
      <c r="BL362" s="437"/>
      <c r="BM362" s="1327"/>
      <c r="BN362" s="1327"/>
      <c r="BO362" s="1327"/>
      <c r="BP362" s="1327"/>
      <c r="BQ362" s="1327"/>
      <c r="BR362" s="1327"/>
      <c r="BS362" s="1327"/>
      <c r="BT362" s="1327"/>
      <c r="BU362" s="1327"/>
      <c r="BV362" s="1327"/>
      <c r="BW362" s="1327"/>
      <c r="BX362" s="1327"/>
      <c r="BY362" s="1327"/>
      <c r="BZ362" s="1327"/>
      <c r="CA362" s="1327"/>
      <c r="CB362" s="1327"/>
      <c r="CC362" s="1327"/>
      <c r="CD362" s="1327"/>
      <c r="CE362" s="1327"/>
      <c r="CF362" s="1327"/>
      <c r="CG362" s="1327"/>
      <c r="CH362" s="1327"/>
      <c r="CI362" s="1327"/>
      <c r="CJ362" s="1327"/>
      <c r="CK362" s="1327"/>
      <c r="CL362" s="1327"/>
      <c r="CM362" s="1327"/>
      <c r="CN362" s="1327"/>
      <c r="CO362" s="1327"/>
      <c r="CP362" s="1327"/>
      <c r="CQ362" s="1327"/>
      <c r="CR362" s="1327"/>
      <c r="CS362" s="1327"/>
      <c r="CT362" s="1317"/>
      <c r="CU362" s="1317"/>
      <c r="CV362" s="1317"/>
      <c r="CW362" s="1317"/>
      <c r="CX362" s="1317"/>
      <c r="CY362" s="1317"/>
      <c r="CZ362" s="1317"/>
      <c r="DA362" s="1317"/>
      <c r="DB362" s="1317"/>
      <c r="DC362" s="1317"/>
      <c r="DD362" s="1317"/>
      <c r="DE362" s="1317"/>
      <c r="DF362" s="1317"/>
      <c r="DG362" s="1317"/>
    </row>
    <row r="363" ht="18.75" customHeight="1">
      <c r="G363" s="1344"/>
      <c r="H363" s="1345">
        <f t="shared" si="4"/>
        <v>0</v>
      </c>
      <c r="I363" s="1381"/>
      <c r="J363" s="1381"/>
      <c r="K363" s="1381"/>
      <c r="L363" s="1381"/>
      <c r="M363" s="1381"/>
      <c r="N363" s="1381"/>
      <c r="O363" s="1381"/>
      <c r="P363" s="1381"/>
      <c r="Q363" s="1381"/>
      <c r="R363" s="1381"/>
      <c r="T363" s="1349"/>
      <c r="U363" s="1349" t="s">
        <v>123</v>
      </c>
      <c r="V363" s="1349" t="s">
        <v>123</v>
      </c>
      <c r="W363" s="1349"/>
      <c r="X363" s="1349"/>
      <c r="Y363" s="1308"/>
      <c r="Z363" s="437" t="str">
        <f>IFERROR(__xludf.DUMMYFUNCTION("IF(NOT('portfólio'!$AV$7),"""",IF($T363="""","""",IFERROR(query({AtivosDados},""select sum(""&amp;Z$3&amp;"") where Col1='""&amp;$T363&amp;""' label sum(""&amp;Z$3&amp;"") ''""),0)))"),"")</f>
        <v/>
      </c>
      <c r="AA363" s="437" t="str">
        <f>IFERROR(__xludf.DUMMYFUNCTION("IF(NOT('portfólio'!$AV$7),"""",IF($T363="""","""",IFERROR(query({AtivosDados},""select sum(""&amp;AA$3&amp;"") where Col1='""&amp;$T363&amp;""' label sum(""&amp;AA$3&amp;"") ''""),0)))"),"")</f>
        <v/>
      </c>
      <c r="AB363" s="437" t="str">
        <f>IFERROR(__xludf.DUMMYFUNCTION("IF(NOT('portfólio'!$AV$7),"""",IF($T363="""","""",IFERROR(query({AtivosDados},""select sum(""&amp;AB$3&amp;"") where Col1='""&amp;$T363&amp;""' label sum(""&amp;AB$3&amp;"") ''""),0)))"),"")</f>
        <v/>
      </c>
      <c r="AC363" s="437" t="str">
        <f>IFERROR(__xludf.DUMMYFUNCTION("IF(NOT('portfólio'!$AV$7),"""",IF($T363="""","""",IFERROR(query({AtivosDados},""select sum(""&amp;AC$3&amp;"") where Col1='""&amp;$T363&amp;""' label sum(""&amp;AC$3&amp;"") ''""),0)))"),"")</f>
        <v/>
      </c>
      <c r="AD363" s="437" t="str">
        <f>IFERROR(__xludf.DUMMYFUNCTION("IF(NOT('portfólio'!$AV$7),"""",IF($T363="""","""",IFERROR(query({AtivosDados},""select sum(""&amp;AD$3&amp;"") where Col1='""&amp;$T363&amp;""' label sum(""&amp;AD$3&amp;"") ''""),0)))"),"")</f>
        <v/>
      </c>
      <c r="AE363" s="437"/>
      <c r="AF363" s="1327"/>
      <c r="AG363" s="437"/>
      <c r="AH363" s="437"/>
      <c r="AI363" s="437"/>
      <c r="AJ363" s="437"/>
      <c r="AK363" s="437"/>
      <c r="AL363" s="437"/>
      <c r="AM363" s="437"/>
      <c r="AN363" s="437"/>
      <c r="AO363" s="437"/>
      <c r="AP363" s="437"/>
      <c r="AQ363" s="1327"/>
      <c r="AR363" s="437"/>
      <c r="AS363" s="437"/>
      <c r="AT363" s="437"/>
      <c r="AU363" s="437"/>
      <c r="AV363" s="437"/>
      <c r="AW363" s="437"/>
      <c r="AX363" s="437"/>
      <c r="AY363" s="437"/>
      <c r="AZ363" s="437"/>
      <c r="BA363" s="437"/>
      <c r="BB363" s="1327"/>
      <c r="BC363" s="437"/>
      <c r="BD363" s="437"/>
      <c r="BE363" s="437"/>
      <c r="BF363" s="437"/>
      <c r="BG363" s="437"/>
      <c r="BH363" s="437"/>
      <c r="BI363" s="437"/>
      <c r="BJ363" s="437"/>
      <c r="BK363" s="437"/>
      <c r="BL363" s="437"/>
      <c r="BM363" s="1327"/>
      <c r="BN363" s="1327"/>
      <c r="BO363" s="1327"/>
      <c r="BP363" s="1327"/>
      <c r="BQ363" s="1327"/>
      <c r="BR363" s="1327"/>
      <c r="BS363" s="1327"/>
      <c r="BT363" s="1327"/>
      <c r="BU363" s="1327"/>
      <c r="BV363" s="1327"/>
      <c r="BW363" s="1327"/>
      <c r="BX363" s="1327"/>
      <c r="BY363" s="1327"/>
      <c r="BZ363" s="1327"/>
      <c r="CA363" s="1327"/>
      <c r="CB363" s="1327"/>
      <c r="CC363" s="1327"/>
      <c r="CD363" s="1327"/>
      <c r="CE363" s="1327"/>
      <c r="CF363" s="1327"/>
      <c r="CG363" s="1327"/>
      <c r="CH363" s="1327"/>
      <c r="CI363" s="1327"/>
      <c r="CJ363" s="1327"/>
      <c r="CK363" s="1327"/>
      <c r="CL363" s="1327"/>
      <c r="CM363" s="1327"/>
      <c r="CN363" s="1327"/>
      <c r="CO363" s="1327"/>
      <c r="CP363" s="1327"/>
      <c r="CQ363" s="1327"/>
      <c r="CR363" s="1327"/>
      <c r="CS363" s="1327"/>
      <c r="CT363" s="1317"/>
      <c r="CU363" s="1317"/>
      <c r="CV363" s="1317"/>
      <c r="CW363" s="1317"/>
      <c r="CX363" s="1317"/>
      <c r="CY363" s="1317"/>
      <c r="CZ363" s="1317"/>
      <c r="DA363" s="1317"/>
      <c r="DB363" s="1317"/>
      <c r="DC363" s="1317"/>
      <c r="DD363" s="1317"/>
      <c r="DE363" s="1317"/>
      <c r="DF363" s="1317"/>
      <c r="DG363" s="1317"/>
    </row>
    <row r="364" ht="18.75" customHeight="1">
      <c r="G364" s="1344"/>
      <c r="H364" s="1345">
        <f t="shared" si="4"/>
        <v>0</v>
      </c>
      <c r="I364" s="1381"/>
      <c r="J364" s="1381"/>
      <c r="K364" s="1381"/>
      <c r="L364" s="1381"/>
      <c r="M364" s="1381"/>
      <c r="N364" s="1381"/>
      <c r="O364" s="1381"/>
      <c r="P364" s="1381"/>
      <c r="Q364" s="1381"/>
      <c r="R364" s="1381"/>
      <c r="T364" s="1349"/>
      <c r="U364" s="1349" t="s">
        <v>123</v>
      </c>
      <c r="V364" s="1349" t="s">
        <v>123</v>
      </c>
      <c r="W364" s="1349"/>
      <c r="X364" s="1349"/>
      <c r="Y364" s="1308"/>
      <c r="Z364" s="437" t="str">
        <f>IFERROR(__xludf.DUMMYFUNCTION("IF(NOT('portfólio'!$AV$7),"""",IF($T364="""","""",IFERROR(query({AtivosDados},""select sum(""&amp;Z$3&amp;"") where Col1='""&amp;$T364&amp;""' label sum(""&amp;Z$3&amp;"") ''""),0)))"),"")</f>
        <v/>
      </c>
      <c r="AA364" s="437" t="str">
        <f>IFERROR(__xludf.DUMMYFUNCTION("IF(NOT('portfólio'!$AV$7),"""",IF($T364="""","""",IFERROR(query({AtivosDados},""select sum(""&amp;AA$3&amp;"") where Col1='""&amp;$T364&amp;""' label sum(""&amp;AA$3&amp;"") ''""),0)))"),"")</f>
        <v/>
      </c>
      <c r="AB364" s="437" t="str">
        <f>IFERROR(__xludf.DUMMYFUNCTION("IF(NOT('portfólio'!$AV$7),"""",IF($T364="""","""",IFERROR(query({AtivosDados},""select sum(""&amp;AB$3&amp;"") where Col1='""&amp;$T364&amp;""' label sum(""&amp;AB$3&amp;"") ''""),0)))"),"")</f>
        <v/>
      </c>
      <c r="AC364" s="437" t="str">
        <f>IFERROR(__xludf.DUMMYFUNCTION("IF(NOT('portfólio'!$AV$7),"""",IF($T364="""","""",IFERROR(query({AtivosDados},""select sum(""&amp;AC$3&amp;"") where Col1='""&amp;$T364&amp;""' label sum(""&amp;AC$3&amp;"") ''""),0)))"),"")</f>
        <v/>
      </c>
      <c r="AD364" s="437" t="str">
        <f>IFERROR(__xludf.DUMMYFUNCTION("IF(NOT('portfólio'!$AV$7),"""",IF($T364="""","""",IFERROR(query({AtivosDados},""select sum(""&amp;AD$3&amp;"") where Col1='""&amp;$T364&amp;""' label sum(""&amp;AD$3&amp;"") ''""),0)))"),"")</f>
        <v/>
      </c>
      <c r="AE364" s="437"/>
      <c r="AF364" s="1327"/>
      <c r="AG364" s="437"/>
      <c r="AH364" s="437"/>
      <c r="AI364" s="437"/>
      <c r="AJ364" s="437"/>
      <c r="AK364" s="437"/>
      <c r="AL364" s="437"/>
      <c r="AM364" s="437"/>
      <c r="AN364" s="437"/>
      <c r="AO364" s="437"/>
      <c r="AP364" s="437"/>
      <c r="AQ364" s="1327"/>
      <c r="AR364" s="437"/>
      <c r="AS364" s="437"/>
      <c r="AT364" s="437"/>
      <c r="AU364" s="437"/>
      <c r="AV364" s="437"/>
      <c r="AW364" s="437"/>
      <c r="AX364" s="437"/>
      <c r="AY364" s="437"/>
      <c r="AZ364" s="437"/>
      <c r="BA364" s="437"/>
      <c r="BB364" s="1327"/>
      <c r="BC364" s="437"/>
      <c r="BD364" s="437"/>
      <c r="BE364" s="437"/>
      <c r="BF364" s="437"/>
      <c r="BG364" s="437"/>
      <c r="BH364" s="437"/>
      <c r="BI364" s="437"/>
      <c r="BJ364" s="437"/>
      <c r="BK364" s="437"/>
      <c r="BL364" s="437"/>
      <c r="BM364" s="1327"/>
      <c r="BN364" s="1327"/>
      <c r="BO364" s="1327"/>
      <c r="BP364" s="1327"/>
      <c r="BQ364" s="1327"/>
      <c r="BR364" s="1327"/>
      <c r="BS364" s="1327"/>
      <c r="BT364" s="1327"/>
      <c r="BU364" s="1327"/>
      <c r="BV364" s="1327"/>
      <c r="BW364" s="1327"/>
      <c r="BX364" s="1327"/>
      <c r="BY364" s="1327"/>
      <c r="BZ364" s="1327"/>
      <c r="CA364" s="1327"/>
      <c r="CB364" s="1327"/>
      <c r="CC364" s="1327"/>
      <c r="CD364" s="1327"/>
      <c r="CE364" s="1327"/>
      <c r="CF364" s="1327"/>
      <c r="CG364" s="1327"/>
      <c r="CH364" s="1327"/>
      <c r="CI364" s="1327"/>
      <c r="CJ364" s="1327"/>
      <c r="CK364" s="1327"/>
      <c r="CL364" s="1327"/>
      <c r="CM364" s="1327"/>
      <c r="CN364" s="1327"/>
      <c r="CO364" s="1327"/>
      <c r="CP364" s="1327"/>
      <c r="CQ364" s="1327"/>
      <c r="CR364" s="1327"/>
      <c r="CS364" s="1327"/>
      <c r="CT364" s="1317"/>
      <c r="CU364" s="1317"/>
      <c r="CV364" s="1317"/>
      <c r="CW364" s="1317"/>
      <c r="CX364" s="1317"/>
      <c r="CY364" s="1317"/>
      <c r="CZ364" s="1317"/>
      <c r="DA364" s="1317"/>
      <c r="DB364" s="1317"/>
      <c r="DC364" s="1317"/>
      <c r="DD364" s="1317"/>
      <c r="DE364" s="1317"/>
      <c r="DF364" s="1317"/>
      <c r="DG364" s="1317"/>
    </row>
    <row r="365" ht="18.75" customHeight="1">
      <c r="G365" s="1344"/>
      <c r="H365" s="1345">
        <f t="shared" si="4"/>
        <v>0</v>
      </c>
      <c r="I365" s="1381"/>
      <c r="J365" s="1381"/>
      <c r="K365" s="1381"/>
      <c r="L365" s="1381"/>
      <c r="M365" s="1381"/>
      <c r="N365" s="1381"/>
      <c r="O365" s="1381"/>
      <c r="P365" s="1381"/>
      <c r="Q365" s="1381"/>
      <c r="R365" s="1381"/>
      <c r="T365" s="1349"/>
      <c r="U365" s="1349" t="s">
        <v>123</v>
      </c>
      <c r="V365" s="1349" t="s">
        <v>123</v>
      </c>
      <c r="W365" s="1349"/>
      <c r="X365" s="1349"/>
      <c r="Y365" s="1308"/>
      <c r="Z365" s="437" t="str">
        <f>IFERROR(__xludf.DUMMYFUNCTION("IF(NOT('portfólio'!$AV$7),"""",IF($T365="""","""",IFERROR(query({AtivosDados},""select sum(""&amp;Z$3&amp;"") where Col1='""&amp;$T365&amp;""' label sum(""&amp;Z$3&amp;"") ''""),0)))"),"")</f>
        <v/>
      </c>
      <c r="AA365" s="437" t="str">
        <f>IFERROR(__xludf.DUMMYFUNCTION("IF(NOT('portfólio'!$AV$7),"""",IF($T365="""","""",IFERROR(query({AtivosDados},""select sum(""&amp;AA$3&amp;"") where Col1='""&amp;$T365&amp;""' label sum(""&amp;AA$3&amp;"") ''""),0)))"),"")</f>
        <v/>
      </c>
      <c r="AB365" s="437" t="str">
        <f>IFERROR(__xludf.DUMMYFUNCTION("IF(NOT('portfólio'!$AV$7),"""",IF($T365="""","""",IFERROR(query({AtivosDados},""select sum(""&amp;AB$3&amp;"") where Col1='""&amp;$T365&amp;""' label sum(""&amp;AB$3&amp;"") ''""),0)))"),"")</f>
        <v/>
      </c>
      <c r="AC365" s="437" t="str">
        <f>IFERROR(__xludf.DUMMYFUNCTION("IF(NOT('portfólio'!$AV$7),"""",IF($T365="""","""",IFERROR(query({AtivosDados},""select sum(""&amp;AC$3&amp;"") where Col1='""&amp;$T365&amp;""' label sum(""&amp;AC$3&amp;"") ''""),0)))"),"")</f>
        <v/>
      </c>
      <c r="AD365" s="437" t="str">
        <f>IFERROR(__xludf.DUMMYFUNCTION("IF(NOT('portfólio'!$AV$7),"""",IF($T365="""","""",IFERROR(query({AtivosDados},""select sum(""&amp;AD$3&amp;"") where Col1='""&amp;$T365&amp;""' label sum(""&amp;AD$3&amp;"") ''""),0)))"),"")</f>
        <v/>
      </c>
      <c r="AE365" s="437"/>
      <c r="AF365" s="1327"/>
      <c r="AG365" s="437"/>
      <c r="AH365" s="437"/>
      <c r="AI365" s="437"/>
      <c r="AJ365" s="437"/>
      <c r="AK365" s="437"/>
      <c r="AL365" s="437"/>
      <c r="AM365" s="437"/>
      <c r="AN365" s="437"/>
      <c r="AO365" s="437"/>
      <c r="AP365" s="437"/>
      <c r="AQ365" s="1327"/>
      <c r="AR365" s="437"/>
      <c r="AS365" s="437"/>
      <c r="AT365" s="437"/>
      <c r="AU365" s="437"/>
      <c r="AV365" s="437"/>
      <c r="AW365" s="437"/>
      <c r="AX365" s="437"/>
      <c r="AY365" s="437"/>
      <c r="AZ365" s="437"/>
      <c r="BA365" s="437"/>
      <c r="BB365" s="1327"/>
      <c r="BC365" s="437"/>
      <c r="BD365" s="437"/>
      <c r="BE365" s="437"/>
      <c r="BF365" s="437"/>
      <c r="BG365" s="437"/>
      <c r="BH365" s="437"/>
      <c r="BI365" s="437"/>
      <c r="BJ365" s="437"/>
      <c r="BK365" s="437"/>
      <c r="BL365" s="437"/>
      <c r="BM365" s="1327"/>
      <c r="BN365" s="1327"/>
      <c r="BO365" s="1327"/>
      <c r="BP365" s="1327"/>
      <c r="BQ365" s="1327"/>
      <c r="BR365" s="1327"/>
      <c r="BS365" s="1327"/>
      <c r="BT365" s="1327"/>
      <c r="BU365" s="1327"/>
      <c r="BV365" s="1327"/>
      <c r="BW365" s="1327"/>
      <c r="BX365" s="1327"/>
      <c r="BY365" s="1327"/>
      <c r="BZ365" s="1327"/>
      <c r="CA365" s="1327"/>
      <c r="CB365" s="1327"/>
      <c r="CC365" s="1327"/>
      <c r="CD365" s="1327"/>
      <c r="CE365" s="1327"/>
      <c r="CF365" s="1327"/>
      <c r="CG365" s="1327"/>
      <c r="CH365" s="1327"/>
      <c r="CI365" s="1327"/>
      <c r="CJ365" s="1327"/>
      <c r="CK365" s="1327"/>
      <c r="CL365" s="1327"/>
      <c r="CM365" s="1327"/>
      <c r="CN365" s="1327"/>
      <c r="CO365" s="1327"/>
      <c r="CP365" s="1327"/>
      <c r="CQ365" s="1327"/>
      <c r="CR365" s="1327"/>
      <c r="CS365" s="1327"/>
      <c r="CT365" s="1317"/>
      <c r="CU365" s="1317"/>
      <c r="CV365" s="1317"/>
      <c r="CW365" s="1317"/>
      <c r="CX365" s="1317"/>
      <c r="CY365" s="1317"/>
      <c r="CZ365" s="1317"/>
      <c r="DA365" s="1317"/>
      <c r="DB365" s="1317"/>
      <c r="DC365" s="1317"/>
      <c r="DD365" s="1317"/>
      <c r="DE365" s="1317"/>
      <c r="DF365" s="1317"/>
      <c r="DG365" s="1317"/>
    </row>
    <row r="366" ht="18.75" customHeight="1">
      <c r="G366" s="1344"/>
      <c r="H366" s="1345">
        <f t="shared" si="4"/>
        <v>0</v>
      </c>
      <c r="I366" s="1381"/>
      <c r="J366" s="1381"/>
      <c r="K366" s="1381"/>
      <c r="L366" s="1381"/>
      <c r="M366" s="1381"/>
      <c r="N366" s="1381"/>
      <c r="O366" s="1381"/>
      <c r="P366" s="1381"/>
      <c r="Q366" s="1381"/>
      <c r="R366" s="1381"/>
      <c r="T366" s="1349"/>
      <c r="U366" s="1349" t="s">
        <v>123</v>
      </c>
      <c r="V366" s="1349" t="s">
        <v>123</v>
      </c>
      <c r="W366" s="1349"/>
      <c r="X366" s="1349"/>
      <c r="Y366" s="1308"/>
      <c r="Z366" s="437" t="str">
        <f>IFERROR(__xludf.DUMMYFUNCTION("IF(NOT('portfólio'!$AV$7),"""",IF($T366="""","""",IFERROR(query({AtivosDados},""select sum(""&amp;Z$3&amp;"") where Col1='""&amp;$T366&amp;""' label sum(""&amp;Z$3&amp;"") ''""),0)))"),"")</f>
        <v/>
      </c>
      <c r="AA366" s="437" t="str">
        <f>IFERROR(__xludf.DUMMYFUNCTION("IF(NOT('portfólio'!$AV$7),"""",IF($T366="""","""",IFERROR(query({AtivosDados},""select sum(""&amp;AA$3&amp;"") where Col1='""&amp;$T366&amp;""' label sum(""&amp;AA$3&amp;"") ''""),0)))"),"")</f>
        <v/>
      </c>
      <c r="AB366" s="437" t="str">
        <f>IFERROR(__xludf.DUMMYFUNCTION("IF(NOT('portfólio'!$AV$7),"""",IF($T366="""","""",IFERROR(query({AtivosDados},""select sum(""&amp;AB$3&amp;"") where Col1='""&amp;$T366&amp;""' label sum(""&amp;AB$3&amp;"") ''""),0)))"),"")</f>
        <v/>
      </c>
      <c r="AC366" s="437" t="str">
        <f>IFERROR(__xludf.DUMMYFUNCTION("IF(NOT('portfólio'!$AV$7),"""",IF($T366="""","""",IFERROR(query({AtivosDados},""select sum(""&amp;AC$3&amp;"") where Col1='""&amp;$T366&amp;""' label sum(""&amp;AC$3&amp;"") ''""),0)))"),"")</f>
        <v/>
      </c>
      <c r="AD366" s="437" t="str">
        <f>IFERROR(__xludf.DUMMYFUNCTION("IF(NOT('portfólio'!$AV$7),"""",IF($T366="""","""",IFERROR(query({AtivosDados},""select sum(""&amp;AD$3&amp;"") where Col1='""&amp;$T366&amp;""' label sum(""&amp;AD$3&amp;"") ''""),0)))"),"")</f>
        <v/>
      </c>
      <c r="AE366" s="437"/>
      <c r="AF366" s="1327"/>
      <c r="AG366" s="437"/>
      <c r="AH366" s="437"/>
      <c r="AI366" s="437"/>
      <c r="AJ366" s="437"/>
      <c r="AK366" s="437"/>
      <c r="AL366" s="437"/>
      <c r="AM366" s="437"/>
      <c r="AN366" s="437"/>
      <c r="AO366" s="437"/>
      <c r="AP366" s="437"/>
      <c r="AQ366" s="1327"/>
      <c r="AR366" s="437"/>
      <c r="AS366" s="437"/>
      <c r="AT366" s="437"/>
      <c r="AU366" s="437"/>
      <c r="AV366" s="437"/>
      <c r="AW366" s="437"/>
      <c r="AX366" s="437"/>
      <c r="AY366" s="437"/>
      <c r="AZ366" s="437"/>
      <c r="BA366" s="437"/>
      <c r="BB366" s="1327"/>
      <c r="BC366" s="437"/>
      <c r="BD366" s="437"/>
      <c r="BE366" s="437"/>
      <c r="BF366" s="437"/>
      <c r="BG366" s="437"/>
      <c r="BH366" s="437"/>
      <c r="BI366" s="437"/>
      <c r="BJ366" s="437"/>
      <c r="BK366" s="437"/>
      <c r="BL366" s="437"/>
      <c r="BM366" s="1327"/>
      <c r="BN366" s="1327"/>
      <c r="BO366" s="1327"/>
      <c r="BP366" s="1327"/>
      <c r="BQ366" s="1327"/>
      <c r="BR366" s="1327"/>
      <c r="BS366" s="1327"/>
      <c r="BT366" s="1327"/>
      <c r="BU366" s="1327"/>
      <c r="BV366" s="1327"/>
      <c r="BW366" s="1327"/>
      <c r="BX366" s="1327"/>
      <c r="BY366" s="1327"/>
      <c r="BZ366" s="1327"/>
      <c r="CA366" s="1327"/>
      <c r="CB366" s="1327"/>
      <c r="CC366" s="1327"/>
      <c r="CD366" s="1327"/>
      <c r="CE366" s="1327"/>
      <c r="CF366" s="1327"/>
      <c r="CG366" s="1327"/>
      <c r="CH366" s="1327"/>
      <c r="CI366" s="1327"/>
      <c r="CJ366" s="1327"/>
      <c r="CK366" s="1327"/>
      <c r="CL366" s="1327"/>
      <c r="CM366" s="1327"/>
      <c r="CN366" s="1327"/>
      <c r="CO366" s="1327"/>
      <c r="CP366" s="1327"/>
      <c r="CQ366" s="1327"/>
      <c r="CR366" s="1327"/>
      <c r="CS366" s="1327"/>
      <c r="CT366" s="1317"/>
      <c r="CU366" s="1317"/>
      <c r="CV366" s="1317"/>
      <c r="CW366" s="1317"/>
      <c r="CX366" s="1317"/>
      <c r="CY366" s="1317"/>
      <c r="CZ366" s="1317"/>
      <c r="DA366" s="1317"/>
      <c r="DB366" s="1317"/>
      <c r="DC366" s="1317"/>
      <c r="DD366" s="1317"/>
      <c r="DE366" s="1317"/>
      <c r="DF366" s="1317"/>
      <c r="DG366" s="1317"/>
    </row>
    <row r="367" ht="18.75" customHeight="1">
      <c r="G367" s="1344"/>
      <c r="H367" s="1345">
        <f t="shared" si="4"/>
        <v>0</v>
      </c>
      <c r="I367" s="1381"/>
      <c r="J367" s="1381"/>
      <c r="K367" s="1381"/>
      <c r="L367" s="1381"/>
      <c r="M367" s="1381"/>
      <c r="N367" s="1381"/>
      <c r="O367" s="1381"/>
      <c r="P367" s="1381"/>
      <c r="Q367" s="1381"/>
      <c r="R367" s="1381"/>
      <c r="T367" s="1349"/>
      <c r="U367" s="1349" t="s">
        <v>123</v>
      </c>
      <c r="V367" s="1349" t="s">
        <v>123</v>
      </c>
      <c r="W367" s="1349"/>
      <c r="X367" s="1349"/>
      <c r="Y367" s="1308"/>
      <c r="Z367" s="437" t="str">
        <f>IFERROR(__xludf.DUMMYFUNCTION("IF(NOT('portfólio'!$AV$7),"""",IF($T367="""","""",IFERROR(query({AtivosDados},""select sum(""&amp;Z$3&amp;"") where Col1='""&amp;$T367&amp;""' label sum(""&amp;Z$3&amp;"") ''""),0)))"),"")</f>
        <v/>
      </c>
      <c r="AA367" s="437" t="str">
        <f>IFERROR(__xludf.DUMMYFUNCTION("IF(NOT('portfólio'!$AV$7),"""",IF($T367="""","""",IFERROR(query({AtivosDados},""select sum(""&amp;AA$3&amp;"") where Col1='""&amp;$T367&amp;""' label sum(""&amp;AA$3&amp;"") ''""),0)))"),"")</f>
        <v/>
      </c>
      <c r="AB367" s="437" t="str">
        <f>IFERROR(__xludf.DUMMYFUNCTION("IF(NOT('portfólio'!$AV$7),"""",IF($T367="""","""",IFERROR(query({AtivosDados},""select sum(""&amp;AB$3&amp;"") where Col1='""&amp;$T367&amp;""' label sum(""&amp;AB$3&amp;"") ''""),0)))"),"")</f>
        <v/>
      </c>
      <c r="AC367" s="437" t="str">
        <f>IFERROR(__xludf.DUMMYFUNCTION("IF(NOT('portfólio'!$AV$7),"""",IF($T367="""","""",IFERROR(query({AtivosDados},""select sum(""&amp;AC$3&amp;"") where Col1='""&amp;$T367&amp;""' label sum(""&amp;AC$3&amp;"") ''""),0)))"),"")</f>
        <v/>
      </c>
      <c r="AD367" s="437" t="str">
        <f>IFERROR(__xludf.DUMMYFUNCTION("IF(NOT('portfólio'!$AV$7),"""",IF($T367="""","""",IFERROR(query({AtivosDados},""select sum(""&amp;AD$3&amp;"") where Col1='""&amp;$T367&amp;""' label sum(""&amp;AD$3&amp;"") ''""),0)))"),"")</f>
        <v/>
      </c>
      <c r="AE367" s="437"/>
      <c r="AF367" s="1327"/>
      <c r="AG367" s="437"/>
      <c r="AH367" s="437"/>
      <c r="AI367" s="437"/>
      <c r="AJ367" s="437"/>
      <c r="AK367" s="437"/>
      <c r="AL367" s="437"/>
      <c r="AM367" s="437"/>
      <c r="AN367" s="437"/>
      <c r="AO367" s="437"/>
      <c r="AP367" s="437"/>
      <c r="AQ367" s="1327"/>
      <c r="AR367" s="437"/>
      <c r="AS367" s="437"/>
      <c r="AT367" s="437"/>
      <c r="AU367" s="437"/>
      <c r="AV367" s="437"/>
      <c r="AW367" s="437"/>
      <c r="AX367" s="437"/>
      <c r="AY367" s="437"/>
      <c r="AZ367" s="437"/>
      <c r="BA367" s="437"/>
      <c r="BB367" s="1327"/>
      <c r="BC367" s="437"/>
      <c r="BD367" s="437"/>
      <c r="BE367" s="437"/>
      <c r="BF367" s="437"/>
      <c r="BG367" s="437"/>
      <c r="BH367" s="437"/>
      <c r="BI367" s="437"/>
      <c r="BJ367" s="437"/>
      <c r="BK367" s="437"/>
      <c r="BL367" s="437"/>
      <c r="BM367" s="1327"/>
      <c r="BN367" s="1327"/>
      <c r="BO367" s="1327"/>
      <c r="BP367" s="1327"/>
      <c r="BQ367" s="1327"/>
      <c r="BR367" s="1327"/>
      <c r="BS367" s="1327"/>
      <c r="BT367" s="1327"/>
      <c r="BU367" s="1327"/>
      <c r="BV367" s="1327"/>
      <c r="BW367" s="1327"/>
      <c r="BX367" s="1327"/>
      <c r="BY367" s="1327"/>
      <c r="BZ367" s="1327"/>
      <c r="CA367" s="1327"/>
      <c r="CB367" s="1327"/>
      <c r="CC367" s="1327"/>
      <c r="CD367" s="1327"/>
      <c r="CE367" s="1327"/>
      <c r="CF367" s="1327"/>
      <c r="CG367" s="1327"/>
      <c r="CH367" s="1327"/>
      <c r="CI367" s="1327"/>
      <c r="CJ367" s="1327"/>
      <c r="CK367" s="1327"/>
      <c r="CL367" s="1327"/>
      <c r="CM367" s="1327"/>
      <c r="CN367" s="1327"/>
      <c r="CO367" s="1327"/>
      <c r="CP367" s="1327"/>
      <c r="CQ367" s="1327"/>
      <c r="CR367" s="1327"/>
      <c r="CS367" s="1327"/>
      <c r="CT367" s="1317"/>
      <c r="CU367" s="1317"/>
      <c r="CV367" s="1317"/>
      <c r="CW367" s="1317"/>
      <c r="CX367" s="1317"/>
      <c r="CY367" s="1317"/>
      <c r="CZ367" s="1317"/>
      <c r="DA367" s="1317"/>
      <c r="DB367" s="1317"/>
      <c r="DC367" s="1317"/>
      <c r="DD367" s="1317"/>
      <c r="DE367" s="1317"/>
      <c r="DF367" s="1317"/>
      <c r="DG367" s="1317"/>
    </row>
    <row r="368" ht="18.75" customHeight="1">
      <c r="G368" s="1344"/>
      <c r="H368" s="1345">
        <f t="shared" si="4"/>
        <v>0</v>
      </c>
      <c r="I368" s="1381"/>
      <c r="J368" s="1381"/>
      <c r="K368" s="1381"/>
      <c r="L368" s="1381"/>
      <c r="M368" s="1381"/>
      <c r="N368" s="1381"/>
      <c r="O368" s="1381"/>
      <c r="P368" s="1381"/>
      <c r="Q368" s="1381"/>
      <c r="R368" s="1381"/>
      <c r="T368" s="1349"/>
      <c r="U368" s="1349" t="s">
        <v>123</v>
      </c>
      <c r="V368" s="1349" t="s">
        <v>123</v>
      </c>
      <c r="W368" s="1349"/>
      <c r="X368" s="1349"/>
      <c r="Y368" s="1308"/>
      <c r="Z368" s="437" t="str">
        <f>IFERROR(__xludf.DUMMYFUNCTION("IF(NOT('portfólio'!$AV$7),"""",IF($T368="""","""",IFERROR(query({AtivosDados},""select sum(""&amp;Z$3&amp;"") where Col1='""&amp;$T368&amp;""' label sum(""&amp;Z$3&amp;"") ''""),0)))"),"")</f>
        <v/>
      </c>
      <c r="AA368" s="437" t="str">
        <f>IFERROR(__xludf.DUMMYFUNCTION("IF(NOT('portfólio'!$AV$7),"""",IF($T368="""","""",IFERROR(query({AtivosDados},""select sum(""&amp;AA$3&amp;"") where Col1='""&amp;$T368&amp;""' label sum(""&amp;AA$3&amp;"") ''""),0)))"),"")</f>
        <v/>
      </c>
      <c r="AB368" s="437" t="str">
        <f>IFERROR(__xludf.DUMMYFUNCTION("IF(NOT('portfólio'!$AV$7),"""",IF($T368="""","""",IFERROR(query({AtivosDados},""select sum(""&amp;AB$3&amp;"") where Col1='""&amp;$T368&amp;""' label sum(""&amp;AB$3&amp;"") ''""),0)))"),"")</f>
        <v/>
      </c>
      <c r="AC368" s="437" t="str">
        <f>IFERROR(__xludf.DUMMYFUNCTION("IF(NOT('portfólio'!$AV$7),"""",IF($T368="""","""",IFERROR(query({AtivosDados},""select sum(""&amp;AC$3&amp;"") where Col1='""&amp;$T368&amp;""' label sum(""&amp;AC$3&amp;"") ''""),0)))"),"")</f>
        <v/>
      </c>
      <c r="AD368" s="437" t="str">
        <f>IFERROR(__xludf.DUMMYFUNCTION("IF(NOT('portfólio'!$AV$7),"""",IF($T368="""","""",IFERROR(query({AtivosDados},""select sum(""&amp;AD$3&amp;"") where Col1='""&amp;$T368&amp;""' label sum(""&amp;AD$3&amp;"") ''""),0)))"),"")</f>
        <v/>
      </c>
      <c r="AE368" s="437"/>
      <c r="AF368" s="1327"/>
      <c r="AG368" s="437"/>
      <c r="AH368" s="437"/>
      <c r="AI368" s="437"/>
      <c r="AJ368" s="437"/>
      <c r="AK368" s="437"/>
      <c r="AL368" s="437"/>
      <c r="AM368" s="437"/>
      <c r="AN368" s="437"/>
      <c r="AO368" s="437"/>
      <c r="AP368" s="437"/>
      <c r="AQ368" s="1327"/>
      <c r="AR368" s="437"/>
      <c r="AS368" s="437"/>
      <c r="AT368" s="437"/>
      <c r="AU368" s="437"/>
      <c r="AV368" s="437"/>
      <c r="AW368" s="437"/>
      <c r="AX368" s="437"/>
      <c r="AY368" s="437"/>
      <c r="AZ368" s="437"/>
      <c r="BA368" s="437"/>
      <c r="BB368" s="1327"/>
      <c r="BC368" s="437"/>
      <c r="BD368" s="437"/>
      <c r="BE368" s="437"/>
      <c r="BF368" s="437"/>
      <c r="BG368" s="437"/>
      <c r="BH368" s="437"/>
      <c r="BI368" s="437"/>
      <c r="BJ368" s="437"/>
      <c r="BK368" s="437"/>
      <c r="BL368" s="437"/>
      <c r="BM368" s="1327"/>
      <c r="BN368" s="1327"/>
      <c r="BO368" s="1327"/>
      <c r="BP368" s="1327"/>
      <c r="BQ368" s="1327"/>
      <c r="BR368" s="1327"/>
      <c r="BS368" s="1327"/>
      <c r="BT368" s="1327"/>
      <c r="BU368" s="1327"/>
      <c r="BV368" s="1327"/>
      <c r="BW368" s="1327"/>
      <c r="BX368" s="1327"/>
      <c r="BY368" s="1327"/>
      <c r="BZ368" s="1327"/>
      <c r="CA368" s="1327"/>
      <c r="CB368" s="1327"/>
      <c r="CC368" s="1327"/>
      <c r="CD368" s="1327"/>
      <c r="CE368" s="1327"/>
      <c r="CF368" s="1327"/>
      <c r="CG368" s="1327"/>
      <c r="CH368" s="1327"/>
      <c r="CI368" s="1327"/>
      <c r="CJ368" s="1327"/>
      <c r="CK368" s="1327"/>
      <c r="CL368" s="1327"/>
      <c r="CM368" s="1327"/>
      <c r="CN368" s="1327"/>
      <c r="CO368" s="1327"/>
      <c r="CP368" s="1327"/>
      <c r="CQ368" s="1327"/>
      <c r="CR368" s="1327"/>
      <c r="CS368" s="1327"/>
      <c r="CT368" s="1317"/>
      <c r="CU368" s="1317"/>
      <c r="CV368" s="1317"/>
      <c r="CW368" s="1317"/>
      <c r="CX368" s="1317"/>
      <c r="CY368" s="1317"/>
      <c r="CZ368" s="1317"/>
      <c r="DA368" s="1317"/>
      <c r="DB368" s="1317"/>
      <c r="DC368" s="1317"/>
      <c r="DD368" s="1317"/>
      <c r="DE368" s="1317"/>
      <c r="DF368" s="1317"/>
      <c r="DG368" s="1317"/>
    </row>
    <row r="369" ht="18.75" customHeight="1">
      <c r="G369" s="1344"/>
      <c r="H369" s="1345">
        <f t="shared" si="4"/>
        <v>0</v>
      </c>
      <c r="I369" s="1381"/>
      <c r="J369" s="1381"/>
      <c r="K369" s="1381"/>
      <c r="L369" s="1381"/>
      <c r="M369" s="1381"/>
      <c r="N369" s="1381"/>
      <c r="O369" s="1381"/>
      <c r="P369" s="1381"/>
      <c r="Q369" s="1381"/>
      <c r="R369" s="1381"/>
      <c r="T369" s="1349"/>
      <c r="U369" s="1349" t="s">
        <v>123</v>
      </c>
      <c r="V369" s="1349" t="s">
        <v>123</v>
      </c>
      <c r="W369" s="1349"/>
      <c r="X369" s="1349"/>
      <c r="Y369" s="1308"/>
      <c r="Z369" s="437" t="str">
        <f>IFERROR(__xludf.DUMMYFUNCTION("IF(NOT('portfólio'!$AV$7),"""",IF($T369="""","""",IFERROR(query({AtivosDados},""select sum(""&amp;Z$3&amp;"") where Col1='""&amp;$T369&amp;""' label sum(""&amp;Z$3&amp;"") ''""),0)))"),"")</f>
        <v/>
      </c>
      <c r="AA369" s="437" t="str">
        <f>IFERROR(__xludf.DUMMYFUNCTION("IF(NOT('portfólio'!$AV$7),"""",IF($T369="""","""",IFERROR(query({AtivosDados},""select sum(""&amp;AA$3&amp;"") where Col1='""&amp;$T369&amp;""' label sum(""&amp;AA$3&amp;"") ''""),0)))"),"")</f>
        <v/>
      </c>
      <c r="AB369" s="437" t="str">
        <f>IFERROR(__xludf.DUMMYFUNCTION("IF(NOT('portfólio'!$AV$7),"""",IF($T369="""","""",IFERROR(query({AtivosDados},""select sum(""&amp;AB$3&amp;"") where Col1='""&amp;$T369&amp;""' label sum(""&amp;AB$3&amp;"") ''""),0)))"),"")</f>
        <v/>
      </c>
      <c r="AC369" s="437" t="str">
        <f>IFERROR(__xludf.DUMMYFUNCTION("IF(NOT('portfólio'!$AV$7),"""",IF($T369="""","""",IFERROR(query({AtivosDados},""select sum(""&amp;AC$3&amp;"") where Col1='""&amp;$T369&amp;""' label sum(""&amp;AC$3&amp;"") ''""),0)))"),"")</f>
        <v/>
      </c>
      <c r="AD369" s="437" t="str">
        <f>IFERROR(__xludf.DUMMYFUNCTION("IF(NOT('portfólio'!$AV$7),"""",IF($T369="""","""",IFERROR(query({AtivosDados},""select sum(""&amp;AD$3&amp;"") where Col1='""&amp;$T369&amp;""' label sum(""&amp;AD$3&amp;"") ''""),0)))"),"")</f>
        <v/>
      </c>
      <c r="AE369" s="437"/>
      <c r="AF369" s="1327"/>
      <c r="AG369" s="437"/>
      <c r="AH369" s="437"/>
      <c r="AI369" s="437"/>
      <c r="AJ369" s="437"/>
      <c r="AK369" s="437"/>
      <c r="AL369" s="437"/>
      <c r="AM369" s="437"/>
      <c r="AN369" s="437"/>
      <c r="AO369" s="437"/>
      <c r="AP369" s="437"/>
      <c r="AQ369" s="1327"/>
      <c r="AR369" s="437"/>
      <c r="AS369" s="437"/>
      <c r="AT369" s="437"/>
      <c r="AU369" s="437"/>
      <c r="AV369" s="437"/>
      <c r="AW369" s="437"/>
      <c r="AX369" s="437"/>
      <c r="AY369" s="437"/>
      <c r="AZ369" s="437"/>
      <c r="BA369" s="437"/>
      <c r="BB369" s="1327"/>
      <c r="BC369" s="437"/>
      <c r="BD369" s="437"/>
      <c r="BE369" s="437"/>
      <c r="BF369" s="437"/>
      <c r="BG369" s="437"/>
      <c r="BH369" s="437"/>
      <c r="BI369" s="437"/>
      <c r="BJ369" s="437"/>
      <c r="BK369" s="437"/>
      <c r="BL369" s="437"/>
      <c r="BM369" s="1327"/>
      <c r="BN369" s="1327"/>
      <c r="BO369" s="1327"/>
      <c r="BP369" s="1327"/>
      <c r="BQ369" s="1327"/>
      <c r="BR369" s="1327"/>
      <c r="BS369" s="1327"/>
      <c r="BT369" s="1327"/>
      <c r="BU369" s="1327"/>
      <c r="BV369" s="1327"/>
      <c r="BW369" s="1327"/>
      <c r="BX369" s="1327"/>
      <c r="BY369" s="1327"/>
      <c r="BZ369" s="1327"/>
      <c r="CA369" s="1327"/>
      <c r="CB369" s="1327"/>
      <c r="CC369" s="1327"/>
      <c r="CD369" s="1327"/>
      <c r="CE369" s="1327"/>
      <c r="CF369" s="1327"/>
      <c r="CG369" s="1327"/>
      <c r="CH369" s="1327"/>
      <c r="CI369" s="1327"/>
      <c r="CJ369" s="1327"/>
      <c r="CK369" s="1327"/>
      <c r="CL369" s="1327"/>
      <c r="CM369" s="1327"/>
      <c r="CN369" s="1327"/>
      <c r="CO369" s="1327"/>
      <c r="CP369" s="1327"/>
      <c r="CQ369" s="1327"/>
      <c r="CR369" s="1327"/>
      <c r="CS369" s="1327"/>
      <c r="CT369" s="1317"/>
      <c r="CU369" s="1317"/>
      <c r="CV369" s="1317"/>
      <c r="CW369" s="1317"/>
      <c r="CX369" s="1317"/>
      <c r="CY369" s="1317"/>
      <c r="CZ369" s="1317"/>
      <c r="DA369" s="1317"/>
      <c r="DB369" s="1317"/>
      <c r="DC369" s="1317"/>
      <c r="DD369" s="1317"/>
      <c r="DE369" s="1317"/>
      <c r="DF369" s="1317"/>
      <c r="DG369" s="1317"/>
    </row>
    <row r="370" ht="18.75" customHeight="1">
      <c r="G370" s="1344"/>
      <c r="H370" s="1345">
        <f t="shared" si="4"/>
        <v>0</v>
      </c>
      <c r="I370" s="1381"/>
      <c r="J370" s="1381"/>
      <c r="K370" s="1381"/>
      <c r="L370" s="1381"/>
      <c r="M370" s="1381"/>
      <c r="N370" s="1381"/>
      <c r="O370" s="1381"/>
      <c r="P370" s="1381"/>
      <c r="Q370" s="1381"/>
      <c r="R370" s="1381"/>
      <c r="T370" s="1349"/>
      <c r="U370" s="1349" t="s">
        <v>123</v>
      </c>
      <c r="V370" s="1349" t="s">
        <v>123</v>
      </c>
      <c r="W370" s="1349"/>
      <c r="X370" s="1349"/>
      <c r="Y370" s="1308"/>
      <c r="Z370" s="437" t="str">
        <f>IFERROR(__xludf.DUMMYFUNCTION("IF(NOT('portfólio'!$AV$7),"""",IF($T370="""","""",IFERROR(query({AtivosDados},""select sum(""&amp;Z$3&amp;"") where Col1='""&amp;$T370&amp;""' label sum(""&amp;Z$3&amp;"") ''""),0)))"),"")</f>
        <v/>
      </c>
      <c r="AA370" s="437" t="str">
        <f>IFERROR(__xludf.DUMMYFUNCTION("IF(NOT('portfólio'!$AV$7),"""",IF($T370="""","""",IFERROR(query({AtivosDados},""select sum(""&amp;AA$3&amp;"") where Col1='""&amp;$T370&amp;""' label sum(""&amp;AA$3&amp;"") ''""),0)))"),"")</f>
        <v/>
      </c>
      <c r="AB370" s="437" t="str">
        <f>IFERROR(__xludf.DUMMYFUNCTION("IF(NOT('portfólio'!$AV$7),"""",IF($T370="""","""",IFERROR(query({AtivosDados},""select sum(""&amp;AB$3&amp;"") where Col1='""&amp;$T370&amp;""' label sum(""&amp;AB$3&amp;"") ''""),0)))"),"")</f>
        <v/>
      </c>
      <c r="AC370" s="437" t="str">
        <f>IFERROR(__xludf.DUMMYFUNCTION("IF(NOT('portfólio'!$AV$7),"""",IF($T370="""","""",IFERROR(query({AtivosDados},""select sum(""&amp;AC$3&amp;"") where Col1='""&amp;$T370&amp;""' label sum(""&amp;AC$3&amp;"") ''""),0)))"),"")</f>
        <v/>
      </c>
      <c r="AD370" s="437" t="str">
        <f>IFERROR(__xludf.DUMMYFUNCTION("IF(NOT('portfólio'!$AV$7),"""",IF($T370="""","""",IFERROR(query({AtivosDados},""select sum(""&amp;AD$3&amp;"") where Col1='""&amp;$T370&amp;""' label sum(""&amp;AD$3&amp;"") ''""),0)))"),"")</f>
        <v/>
      </c>
      <c r="AE370" s="437"/>
      <c r="AF370" s="1327"/>
      <c r="AG370" s="437"/>
      <c r="AH370" s="437"/>
      <c r="AI370" s="437"/>
      <c r="AJ370" s="437"/>
      <c r="AK370" s="437"/>
      <c r="AL370" s="437"/>
      <c r="AM370" s="437"/>
      <c r="AN370" s="437"/>
      <c r="AO370" s="437"/>
      <c r="AP370" s="437"/>
      <c r="AQ370" s="1327"/>
      <c r="AR370" s="437"/>
      <c r="AS370" s="437"/>
      <c r="AT370" s="437"/>
      <c r="AU370" s="437"/>
      <c r="AV370" s="437"/>
      <c r="AW370" s="437"/>
      <c r="AX370" s="437"/>
      <c r="AY370" s="437"/>
      <c r="AZ370" s="437"/>
      <c r="BA370" s="437"/>
      <c r="BB370" s="1327"/>
      <c r="BC370" s="437"/>
      <c r="BD370" s="437"/>
      <c r="BE370" s="437"/>
      <c r="BF370" s="437"/>
      <c r="BG370" s="437"/>
      <c r="BH370" s="437"/>
      <c r="BI370" s="437"/>
      <c r="BJ370" s="437"/>
      <c r="BK370" s="437"/>
      <c r="BL370" s="437"/>
      <c r="BM370" s="1327"/>
      <c r="BN370" s="1327"/>
      <c r="BO370" s="1327"/>
      <c r="BP370" s="1327"/>
      <c r="BQ370" s="1327"/>
      <c r="BR370" s="1327"/>
      <c r="BS370" s="1327"/>
      <c r="BT370" s="1327"/>
      <c r="BU370" s="1327"/>
      <c r="BV370" s="1327"/>
      <c r="BW370" s="1327"/>
      <c r="BX370" s="1327"/>
      <c r="BY370" s="1327"/>
      <c r="BZ370" s="1327"/>
      <c r="CA370" s="1327"/>
      <c r="CB370" s="1327"/>
      <c r="CC370" s="1327"/>
      <c r="CD370" s="1327"/>
      <c r="CE370" s="1327"/>
      <c r="CF370" s="1327"/>
      <c r="CG370" s="1327"/>
      <c r="CH370" s="1327"/>
      <c r="CI370" s="1327"/>
      <c r="CJ370" s="1327"/>
      <c r="CK370" s="1327"/>
      <c r="CL370" s="1327"/>
      <c r="CM370" s="1327"/>
      <c r="CN370" s="1327"/>
      <c r="CO370" s="1327"/>
      <c r="CP370" s="1327"/>
      <c r="CQ370" s="1327"/>
      <c r="CR370" s="1327"/>
      <c r="CS370" s="1327"/>
      <c r="CT370" s="1317"/>
      <c r="CU370" s="1317"/>
      <c r="CV370" s="1317"/>
      <c r="CW370" s="1317"/>
      <c r="CX370" s="1317"/>
      <c r="CY370" s="1317"/>
      <c r="CZ370" s="1317"/>
      <c r="DA370" s="1317"/>
      <c r="DB370" s="1317"/>
      <c r="DC370" s="1317"/>
      <c r="DD370" s="1317"/>
      <c r="DE370" s="1317"/>
      <c r="DF370" s="1317"/>
      <c r="DG370" s="1317"/>
    </row>
    <row r="371" ht="18.75" customHeight="1">
      <c r="G371" s="1344"/>
      <c r="H371" s="1345">
        <f t="shared" si="4"/>
        <v>0</v>
      </c>
      <c r="I371" s="1381"/>
      <c r="J371" s="1381"/>
      <c r="K371" s="1381"/>
      <c r="L371" s="1381"/>
      <c r="M371" s="1381"/>
      <c r="N371" s="1381"/>
      <c r="O371" s="1381"/>
      <c r="P371" s="1381"/>
      <c r="Q371" s="1381"/>
      <c r="R371" s="1381"/>
      <c r="T371" s="1349"/>
      <c r="U371" s="1349" t="s">
        <v>123</v>
      </c>
      <c r="V371" s="1349" t="s">
        <v>123</v>
      </c>
      <c r="W371" s="1349"/>
      <c r="X371" s="1349"/>
      <c r="Y371" s="1308"/>
      <c r="Z371" s="437" t="str">
        <f>IFERROR(__xludf.DUMMYFUNCTION("IF(NOT('portfólio'!$AV$7),"""",IF($T371="""","""",IFERROR(query({AtivosDados},""select sum(""&amp;Z$3&amp;"") where Col1='""&amp;$T371&amp;""' label sum(""&amp;Z$3&amp;"") ''""),0)))"),"")</f>
        <v/>
      </c>
      <c r="AA371" s="437" t="str">
        <f>IFERROR(__xludf.DUMMYFUNCTION("IF(NOT('portfólio'!$AV$7),"""",IF($T371="""","""",IFERROR(query({AtivosDados},""select sum(""&amp;AA$3&amp;"") where Col1='""&amp;$T371&amp;""' label sum(""&amp;AA$3&amp;"") ''""),0)))"),"")</f>
        <v/>
      </c>
      <c r="AB371" s="437" t="str">
        <f>IFERROR(__xludf.DUMMYFUNCTION("IF(NOT('portfólio'!$AV$7),"""",IF($T371="""","""",IFERROR(query({AtivosDados},""select sum(""&amp;AB$3&amp;"") where Col1='""&amp;$T371&amp;""' label sum(""&amp;AB$3&amp;"") ''""),0)))"),"")</f>
        <v/>
      </c>
      <c r="AC371" s="437" t="str">
        <f>IFERROR(__xludf.DUMMYFUNCTION("IF(NOT('portfólio'!$AV$7),"""",IF($T371="""","""",IFERROR(query({AtivosDados},""select sum(""&amp;AC$3&amp;"") where Col1='""&amp;$T371&amp;""' label sum(""&amp;AC$3&amp;"") ''""),0)))"),"")</f>
        <v/>
      </c>
      <c r="AD371" s="437" t="str">
        <f>IFERROR(__xludf.DUMMYFUNCTION("IF(NOT('portfólio'!$AV$7),"""",IF($T371="""","""",IFERROR(query({AtivosDados},""select sum(""&amp;AD$3&amp;"") where Col1='""&amp;$T371&amp;""' label sum(""&amp;AD$3&amp;"") ''""),0)))"),"")</f>
        <v/>
      </c>
      <c r="AE371" s="437"/>
      <c r="AF371" s="1327"/>
      <c r="AG371" s="437"/>
      <c r="AH371" s="437"/>
      <c r="AI371" s="437"/>
      <c r="AJ371" s="437"/>
      <c r="AK371" s="437"/>
      <c r="AL371" s="437"/>
      <c r="AM371" s="437"/>
      <c r="AN371" s="437"/>
      <c r="AO371" s="437"/>
      <c r="AP371" s="437"/>
      <c r="AQ371" s="1327"/>
      <c r="AR371" s="437"/>
      <c r="AS371" s="437"/>
      <c r="AT371" s="437"/>
      <c r="AU371" s="437"/>
      <c r="AV371" s="437"/>
      <c r="AW371" s="437"/>
      <c r="AX371" s="437"/>
      <c r="AY371" s="437"/>
      <c r="AZ371" s="437"/>
      <c r="BA371" s="437"/>
      <c r="BB371" s="1327"/>
      <c r="BC371" s="437"/>
      <c r="BD371" s="437"/>
      <c r="BE371" s="437"/>
      <c r="BF371" s="437"/>
      <c r="BG371" s="437"/>
      <c r="BH371" s="437"/>
      <c r="BI371" s="437"/>
      <c r="BJ371" s="437"/>
      <c r="BK371" s="437"/>
      <c r="BL371" s="437"/>
      <c r="BM371" s="1327"/>
      <c r="BN371" s="1327"/>
      <c r="BO371" s="1327"/>
      <c r="BP371" s="1327"/>
      <c r="BQ371" s="1327"/>
      <c r="BR371" s="1327"/>
      <c r="BS371" s="1327"/>
      <c r="BT371" s="1327"/>
      <c r="BU371" s="1327"/>
      <c r="BV371" s="1327"/>
      <c r="BW371" s="1327"/>
      <c r="BX371" s="1327"/>
      <c r="BY371" s="1327"/>
      <c r="BZ371" s="1327"/>
      <c r="CA371" s="1327"/>
      <c r="CB371" s="1327"/>
      <c r="CC371" s="1327"/>
      <c r="CD371" s="1327"/>
      <c r="CE371" s="1327"/>
      <c r="CF371" s="1327"/>
      <c r="CG371" s="1327"/>
      <c r="CH371" s="1327"/>
      <c r="CI371" s="1327"/>
      <c r="CJ371" s="1327"/>
      <c r="CK371" s="1327"/>
      <c r="CL371" s="1327"/>
      <c r="CM371" s="1327"/>
      <c r="CN371" s="1327"/>
      <c r="CO371" s="1327"/>
      <c r="CP371" s="1327"/>
      <c r="CQ371" s="1327"/>
      <c r="CR371" s="1327"/>
      <c r="CS371" s="1327"/>
      <c r="CT371" s="1317"/>
      <c r="CU371" s="1317"/>
      <c r="CV371" s="1317"/>
      <c r="CW371" s="1317"/>
      <c r="CX371" s="1317"/>
      <c r="CY371" s="1317"/>
      <c r="CZ371" s="1317"/>
      <c r="DA371" s="1317"/>
      <c r="DB371" s="1317"/>
      <c r="DC371" s="1317"/>
      <c r="DD371" s="1317"/>
      <c r="DE371" s="1317"/>
      <c r="DF371" s="1317"/>
      <c r="DG371" s="1317"/>
    </row>
    <row r="372" ht="18.75" customHeight="1">
      <c r="G372" s="1344"/>
      <c r="H372" s="1345">
        <f t="shared" si="4"/>
        <v>0</v>
      </c>
      <c r="I372" s="1381"/>
      <c r="J372" s="1381"/>
      <c r="K372" s="1381"/>
      <c r="L372" s="1381"/>
      <c r="M372" s="1381"/>
      <c r="N372" s="1381"/>
      <c r="O372" s="1381"/>
      <c r="P372" s="1381"/>
      <c r="Q372" s="1381"/>
      <c r="R372" s="1381"/>
      <c r="T372" s="1349"/>
      <c r="U372" s="1349" t="s">
        <v>123</v>
      </c>
      <c r="V372" s="1349" t="s">
        <v>123</v>
      </c>
      <c r="W372" s="1349"/>
      <c r="X372" s="1349"/>
      <c r="Y372" s="1308"/>
      <c r="Z372" s="437" t="str">
        <f>IFERROR(__xludf.DUMMYFUNCTION("IF(NOT('portfólio'!$AV$7),"""",IF($T372="""","""",IFERROR(query({AtivosDados},""select sum(""&amp;Z$3&amp;"") where Col1='""&amp;$T372&amp;""' label sum(""&amp;Z$3&amp;"") ''""),0)))"),"")</f>
        <v/>
      </c>
      <c r="AA372" s="437" t="str">
        <f>IFERROR(__xludf.DUMMYFUNCTION("IF(NOT('portfólio'!$AV$7),"""",IF($T372="""","""",IFERROR(query({AtivosDados},""select sum(""&amp;AA$3&amp;"") where Col1='""&amp;$T372&amp;""' label sum(""&amp;AA$3&amp;"") ''""),0)))"),"")</f>
        <v/>
      </c>
      <c r="AB372" s="437" t="str">
        <f>IFERROR(__xludf.DUMMYFUNCTION("IF(NOT('portfólio'!$AV$7),"""",IF($T372="""","""",IFERROR(query({AtivosDados},""select sum(""&amp;AB$3&amp;"") where Col1='""&amp;$T372&amp;""' label sum(""&amp;AB$3&amp;"") ''""),0)))"),"")</f>
        <v/>
      </c>
      <c r="AC372" s="437" t="str">
        <f>IFERROR(__xludf.DUMMYFUNCTION("IF(NOT('portfólio'!$AV$7),"""",IF($T372="""","""",IFERROR(query({AtivosDados},""select sum(""&amp;AC$3&amp;"") where Col1='""&amp;$T372&amp;""' label sum(""&amp;AC$3&amp;"") ''""),0)))"),"")</f>
        <v/>
      </c>
      <c r="AD372" s="437" t="str">
        <f>IFERROR(__xludf.DUMMYFUNCTION("IF(NOT('portfólio'!$AV$7),"""",IF($T372="""","""",IFERROR(query({AtivosDados},""select sum(""&amp;AD$3&amp;"") where Col1='""&amp;$T372&amp;""' label sum(""&amp;AD$3&amp;"") ''""),0)))"),"")</f>
        <v/>
      </c>
      <c r="AE372" s="437"/>
      <c r="AF372" s="1327"/>
      <c r="AG372" s="437"/>
      <c r="AH372" s="437"/>
      <c r="AI372" s="437"/>
      <c r="AJ372" s="437"/>
      <c r="AK372" s="437"/>
      <c r="AL372" s="437"/>
      <c r="AM372" s="437"/>
      <c r="AN372" s="437"/>
      <c r="AO372" s="437"/>
      <c r="AP372" s="437"/>
      <c r="AQ372" s="1327"/>
      <c r="AR372" s="437"/>
      <c r="AS372" s="437"/>
      <c r="AT372" s="437"/>
      <c r="AU372" s="437"/>
      <c r="AV372" s="437"/>
      <c r="AW372" s="437"/>
      <c r="AX372" s="437"/>
      <c r="AY372" s="437"/>
      <c r="AZ372" s="437"/>
      <c r="BA372" s="437"/>
      <c r="BB372" s="1327"/>
      <c r="BC372" s="437"/>
      <c r="BD372" s="437"/>
      <c r="BE372" s="437"/>
      <c r="BF372" s="437"/>
      <c r="BG372" s="437"/>
      <c r="BH372" s="437"/>
      <c r="BI372" s="437"/>
      <c r="BJ372" s="437"/>
      <c r="BK372" s="437"/>
      <c r="BL372" s="437"/>
      <c r="BM372" s="1327"/>
      <c r="BN372" s="1327"/>
      <c r="BO372" s="1327"/>
      <c r="BP372" s="1327"/>
      <c r="BQ372" s="1327"/>
      <c r="BR372" s="1327"/>
      <c r="BS372" s="1327"/>
      <c r="BT372" s="1327"/>
      <c r="BU372" s="1327"/>
      <c r="BV372" s="1327"/>
      <c r="BW372" s="1327"/>
      <c r="BX372" s="1327"/>
      <c r="BY372" s="1327"/>
      <c r="BZ372" s="1327"/>
      <c r="CA372" s="1327"/>
      <c r="CB372" s="1327"/>
      <c r="CC372" s="1327"/>
      <c r="CD372" s="1327"/>
      <c r="CE372" s="1327"/>
      <c r="CF372" s="1327"/>
      <c r="CG372" s="1327"/>
      <c r="CH372" s="1327"/>
      <c r="CI372" s="1327"/>
      <c r="CJ372" s="1327"/>
      <c r="CK372" s="1327"/>
      <c r="CL372" s="1327"/>
      <c r="CM372" s="1327"/>
      <c r="CN372" s="1327"/>
      <c r="CO372" s="1327"/>
      <c r="CP372" s="1327"/>
      <c r="CQ372" s="1327"/>
      <c r="CR372" s="1327"/>
      <c r="CS372" s="1327"/>
      <c r="CT372" s="1317"/>
      <c r="CU372" s="1317"/>
      <c r="CV372" s="1317"/>
      <c r="CW372" s="1317"/>
      <c r="CX372" s="1317"/>
      <c r="CY372" s="1317"/>
      <c r="CZ372" s="1317"/>
      <c r="DA372" s="1317"/>
      <c r="DB372" s="1317"/>
      <c r="DC372" s="1317"/>
      <c r="DD372" s="1317"/>
      <c r="DE372" s="1317"/>
      <c r="DF372" s="1317"/>
      <c r="DG372" s="1317"/>
    </row>
    <row r="373" ht="18.75" customHeight="1">
      <c r="G373" s="1344"/>
      <c r="H373" s="1345">
        <f t="shared" si="4"/>
        <v>0</v>
      </c>
      <c r="I373" s="1381"/>
      <c r="J373" s="1381"/>
      <c r="K373" s="1381"/>
      <c r="L373" s="1381"/>
      <c r="M373" s="1381"/>
      <c r="N373" s="1381"/>
      <c r="O373" s="1381"/>
      <c r="P373" s="1381"/>
      <c r="Q373" s="1381"/>
      <c r="R373" s="1381"/>
      <c r="T373" s="1349"/>
      <c r="U373" s="1349" t="s">
        <v>123</v>
      </c>
      <c r="V373" s="1349" t="s">
        <v>123</v>
      </c>
      <c r="W373" s="1349"/>
      <c r="X373" s="1349"/>
      <c r="Y373" s="1308"/>
      <c r="Z373" s="437" t="str">
        <f>IFERROR(__xludf.DUMMYFUNCTION("IF(NOT('portfólio'!$AV$7),"""",IF($T373="""","""",IFERROR(query({AtivosDados},""select sum(""&amp;Z$3&amp;"") where Col1='""&amp;$T373&amp;""' label sum(""&amp;Z$3&amp;"") ''""),0)))"),"")</f>
        <v/>
      </c>
      <c r="AA373" s="437" t="str">
        <f>IFERROR(__xludf.DUMMYFUNCTION("IF(NOT('portfólio'!$AV$7),"""",IF($T373="""","""",IFERROR(query({AtivosDados},""select sum(""&amp;AA$3&amp;"") where Col1='""&amp;$T373&amp;""' label sum(""&amp;AA$3&amp;"") ''""),0)))"),"")</f>
        <v/>
      </c>
      <c r="AB373" s="437" t="str">
        <f>IFERROR(__xludf.DUMMYFUNCTION("IF(NOT('portfólio'!$AV$7),"""",IF($T373="""","""",IFERROR(query({AtivosDados},""select sum(""&amp;AB$3&amp;"") where Col1='""&amp;$T373&amp;""' label sum(""&amp;AB$3&amp;"") ''""),0)))"),"")</f>
        <v/>
      </c>
      <c r="AC373" s="437" t="str">
        <f>IFERROR(__xludf.DUMMYFUNCTION("IF(NOT('portfólio'!$AV$7),"""",IF($T373="""","""",IFERROR(query({AtivosDados},""select sum(""&amp;AC$3&amp;"") where Col1='""&amp;$T373&amp;""' label sum(""&amp;AC$3&amp;"") ''""),0)))"),"")</f>
        <v/>
      </c>
      <c r="AD373" s="437" t="str">
        <f>IFERROR(__xludf.DUMMYFUNCTION("IF(NOT('portfólio'!$AV$7),"""",IF($T373="""","""",IFERROR(query({AtivosDados},""select sum(""&amp;AD$3&amp;"") where Col1='""&amp;$T373&amp;""' label sum(""&amp;AD$3&amp;"") ''""),0)))"),"")</f>
        <v/>
      </c>
      <c r="AE373" s="437"/>
      <c r="AF373" s="1327"/>
      <c r="AG373" s="437"/>
      <c r="AH373" s="437"/>
      <c r="AI373" s="437"/>
      <c r="AJ373" s="437"/>
      <c r="AK373" s="437"/>
      <c r="AL373" s="437"/>
      <c r="AM373" s="437"/>
      <c r="AN373" s="437"/>
      <c r="AO373" s="437"/>
      <c r="AP373" s="437"/>
      <c r="AQ373" s="1327"/>
      <c r="AR373" s="437"/>
      <c r="AS373" s="437"/>
      <c r="AT373" s="437"/>
      <c r="AU373" s="437"/>
      <c r="AV373" s="437"/>
      <c r="AW373" s="437"/>
      <c r="AX373" s="437"/>
      <c r="AY373" s="437"/>
      <c r="AZ373" s="437"/>
      <c r="BA373" s="437"/>
      <c r="BB373" s="1327"/>
      <c r="BC373" s="437"/>
      <c r="BD373" s="437"/>
      <c r="BE373" s="437"/>
      <c r="BF373" s="437"/>
      <c r="BG373" s="437"/>
      <c r="BH373" s="437"/>
      <c r="BI373" s="437"/>
      <c r="BJ373" s="437"/>
      <c r="BK373" s="437"/>
      <c r="BL373" s="437"/>
      <c r="BM373" s="1327"/>
      <c r="BN373" s="1327"/>
      <c r="BO373" s="1327"/>
      <c r="BP373" s="1327"/>
      <c r="BQ373" s="1327"/>
      <c r="BR373" s="1327"/>
      <c r="BS373" s="1327"/>
      <c r="BT373" s="1327"/>
      <c r="BU373" s="1327"/>
      <c r="BV373" s="1327"/>
      <c r="BW373" s="1327"/>
      <c r="BX373" s="1327"/>
      <c r="BY373" s="1327"/>
      <c r="BZ373" s="1327"/>
      <c r="CA373" s="1327"/>
      <c r="CB373" s="1327"/>
      <c r="CC373" s="1327"/>
      <c r="CD373" s="1327"/>
      <c r="CE373" s="1327"/>
      <c r="CF373" s="1327"/>
      <c r="CG373" s="1327"/>
      <c r="CH373" s="1327"/>
      <c r="CI373" s="1327"/>
      <c r="CJ373" s="1327"/>
      <c r="CK373" s="1327"/>
      <c r="CL373" s="1327"/>
      <c r="CM373" s="1327"/>
      <c r="CN373" s="1327"/>
      <c r="CO373" s="1327"/>
      <c r="CP373" s="1327"/>
      <c r="CQ373" s="1327"/>
      <c r="CR373" s="1327"/>
      <c r="CS373" s="1327"/>
      <c r="CT373" s="1317"/>
      <c r="CU373" s="1317"/>
      <c r="CV373" s="1317"/>
      <c r="CW373" s="1317"/>
      <c r="CX373" s="1317"/>
      <c r="CY373" s="1317"/>
      <c r="CZ373" s="1317"/>
      <c r="DA373" s="1317"/>
      <c r="DB373" s="1317"/>
      <c r="DC373" s="1317"/>
      <c r="DD373" s="1317"/>
      <c r="DE373" s="1317"/>
      <c r="DF373" s="1317"/>
      <c r="DG373" s="1317"/>
    </row>
    <row r="374" ht="18.75" customHeight="1">
      <c r="G374" s="1344"/>
      <c r="H374" s="1345">
        <f t="shared" si="4"/>
        <v>0</v>
      </c>
      <c r="I374" s="1381"/>
      <c r="J374" s="1381"/>
      <c r="K374" s="1381"/>
      <c r="L374" s="1381"/>
      <c r="M374" s="1381"/>
      <c r="N374" s="1381"/>
      <c r="O374" s="1381"/>
      <c r="P374" s="1381"/>
      <c r="Q374" s="1381"/>
      <c r="R374" s="1381"/>
      <c r="T374" s="1349"/>
      <c r="U374" s="1349" t="s">
        <v>123</v>
      </c>
      <c r="V374" s="1349" t="s">
        <v>123</v>
      </c>
      <c r="W374" s="1349"/>
      <c r="X374" s="1349"/>
      <c r="Y374" s="1308"/>
      <c r="Z374" s="437" t="str">
        <f>IFERROR(__xludf.DUMMYFUNCTION("IF(NOT('portfólio'!$AV$7),"""",IF($T374="""","""",IFERROR(query({AtivosDados},""select sum(""&amp;Z$3&amp;"") where Col1='""&amp;$T374&amp;""' label sum(""&amp;Z$3&amp;"") ''""),0)))"),"")</f>
        <v/>
      </c>
      <c r="AA374" s="437" t="str">
        <f>IFERROR(__xludf.DUMMYFUNCTION("IF(NOT('portfólio'!$AV$7),"""",IF($T374="""","""",IFERROR(query({AtivosDados},""select sum(""&amp;AA$3&amp;"") where Col1='""&amp;$T374&amp;""' label sum(""&amp;AA$3&amp;"") ''""),0)))"),"")</f>
        <v/>
      </c>
      <c r="AB374" s="437" t="str">
        <f>IFERROR(__xludf.DUMMYFUNCTION("IF(NOT('portfólio'!$AV$7),"""",IF($T374="""","""",IFERROR(query({AtivosDados},""select sum(""&amp;AB$3&amp;"") where Col1='""&amp;$T374&amp;""' label sum(""&amp;AB$3&amp;"") ''""),0)))"),"")</f>
        <v/>
      </c>
      <c r="AC374" s="437" t="str">
        <f>IFERROR(__xludf.DUMMYFUNCTION("IF(NOT('portfólio'!$AV$7),"""",IF($T374="""","""",IFERROR(query({AtivosDados},""select sum(""&amp;AC$3&amp;"") where Col1='""&amp;$T374&amp;""' label sum(""&amp;AC$3&amp;"") ''""),0)))"),"")</f>
        <v/>
      </c>
      <c r="AD374" s="437" t="str">
        <f>IFERROR(__xludf.DUMMYFUNCTION("IF(NOT('portfólio'!$AV$7),"""",IF($T374="""","""",IFERROR(query({AtivosDados},""select sum(""&amp;AD$3&amp;"") where Col1='""&amp;$T374&amp;""' label sum(""&amp;AD$3&amp;"") ''""),0)))"),"")</f>
        <v/>
      </c>
      <c r="AE374" s="437"/>
      <c r="AF374" s="1327"/>
      <c r="AG374" s="437"/>
      <c r="AH374" s="437"/>
      <c r="AI374" s="437"/>
      <c r="AJ374" s="437"/>
      <c r="AK374" s="437"/>
      <c r="AL374" s="437"/>
      <c r="AM374" s="437"/>
      <c r="AN374" s="437"/>
      <c r="AO374" s="437"/>
      <c r="AP374" s="437"/>
      <c r="AQ374" s="1327"/>
      <c r="AR374" s="437"/>
      <c r="AS374" s="437"/>
      <c r="AT374" s="437"/>
      <c r="AU374" s="437"/>
      <c r="AV374" s="437"/>
      <c r="AW374" s="437"/>
      <c r="AX374" s="437"/>
      <c r="AY374" s="437"/>
      <c r="AZ374" s="437"/>
      <c r="BA374" s="437"/>
      <c r="BB374" s="1327"/>
      <c r="BC374" s="437"/>
      <c r="BD374" s="437"/>
      <c r="BE374" s="437"/>
      <c r="BF374" s="437"/>
      <c r="BG374" s="437"/>
      <c r="BH374" s="437"/>
      <c r="BI374" s="437"/>
      <c r="BJ374" s="437"/>
      <c r="BK374" s="437"/>
      <c r="BL374" s="437"/>
      <c r="BM374" s="1327"/>
      <c r="BN374" s="1327"/>
      <c r="BO374" s="1327"/>
      <c r="BP374" s="1327"/>
      <c r="BQ374" s="1327"/>
      <c r="BR374" s="1327"/>
      <c r="BS374" s="1327"/>
      <c r="BT374" s="1327"/>
      <c r="BU374" s="1327"/>
      <c r="BV374" s="1327"/>
      <c r="BW374" s="1327"/>
      <c r="BX374" s="1327"/>
      <c r="BY374" s="1327"/>
      <c r="BZ374" s="1327"/>
      <c r="CA374" s="1327"/>
      <c r="CB374" s="1327"/>
      <c r="CC374" s="1327"/>
      <c r="CD374" s="1327"/>
      <c r="CE374" s="1327"/>
      <c r="CF374" s="1327"/>
      <c r="CG374" s="1327"/>
      <c r="CH374" s="1327"/>
      <c r="CI374" s="1327"/>
      <c r="CJ374" s="1327"/>
      <c r="CK374" s="1327"/>
      <c r="CL374" s="1327"/>
      <c r="CM374" s="1327"/>
      <c r="CN374" s="1327"/>
      <c r="CO374" s="1327"/>
      <c r="CP374" s="1327"/>
      <c r="CQ374" s="1327"/>
      <c r="CR374" s="1327"/>
      <c r="CS374" s="1327"/>
      <c r="CT374" s="1317"/>
      <c r="CU374" s="1317"/>
      <c r="CV374" s="1317"/>
      <c r="CW374" s="1317"/>
      <c r="CX374" s="1317"/>
      <c r="CY374" s="1317"/>
      <c r="CZ374" s="1317"/>
      <c r="DA374" s="1317"/>
      <c r="DB374" s="1317"/>
      <c r="DC374" s="1317"/>
      <c r="DD374" s="1317"/>
      <c r="DE374" s="1317"/>
      <c r="DF374" s="1317"/>
      <c r="DG374" s="1317"/>
    </row>
    <row r="375" ht="18.75" customHeight="1">
      <c r="G375" s="1344"/>
      <c r="H375" s="1345">
        <f t="shared" si="4"/>
        <v>0</v>
      </c>
      <c r="I375" s="1381"/>
      <c r="J375" s="1381"/>
      <c r="K375" s="1381"/>
      <c r="L375" s="1381"/>
      <c r="M375" s="1381"/>
      <c r="N375" s="1381"/>
      <c r="O375" s="1381"/>
      <c r="P375" s="1381"/>
      <c r="Q375" s="1381"/>
      <c r="R375" s="1381"/>
      <c r="T375" s="1349"/>
      <c r="U375" s="1349" t="s">
        <v>123</v>
      </c>
      <c r="V375" s="1349" t="s">
        <v>123</v>
      </c>
      <c r="W375" s="1349"/>
      <c r="X375" s="1349"/>
      <c r="Y375" s="1308"/>
      <c r="Z375" s="437" t="str">
        <f>IFERROR(__xludf.DUMMYFUNCTION("IF(NOT('portfólio'!$AV$7),"""",IF($T375="""","""",IFERROR(query({AtivosDados},""select sum(""&amp;Z$3&amp;"") where Col1='""&amp;$T375&amp;""' label sum(""&amp;Z$3&amp;"") ''""),0)))"),"")</f>
        <v/>
      </c>
      <c r="AA375" s="437" t="str">
        <f>IFERROR(__xludf.DUMMYFUNCTION("IF(NOT('portfólio'!$AV$7),"""",IF($T375="""","""",IFERROR(query({AtivosDados},""select sum(""&amp;AA$3&amp;"") where Col1='""&amp;$T375&amp;""' label sum(""&amp;AA$3&amp;"") ''""),0)))"),"")</f>
        <v/>
      </c>
      <c r="AB375" s="437" t="str">
        <f>IFERROR(__xludf.DUMMYFUNCTION("IF(NOT('portfólio'!$AV$7),"""",IF($T375="""","""",IFERROR(query({AtivosDados},""select sum(""&amp;AB$3&amp;"") where Col1='""&amp;$T375&amp;""' label sum(""&amp;AB$3&amp;"") ''""),0)))"),"")</f>
        <v/>
      </c>
      <c r="AC375" s="437" t="str">
        <f>IFERROR(__xludf.DUMMYFUNCTION("IF(NOT('portfólio'!$AV$7),"""",IF($T375="""","""",IFERROR(query({AtivosDados},""select sum(""&amp;AC$3&amp;"") where Col1='""&amp;$T375&amp;""' label sum(""&amp;AC$3&amp;"") ''""),0)))"),"")</f>
        <v/>
      </c>
      <c r="AD375" s="437" t="str">
        <f>IFERROR(__xludf.DUMMYFUNCTION("IF(NOT('portfólio'!$AV$7),"""",IF($T375="""","""",IFERROR(query({AtivosDados},""select sum(""&amp;AD$3&amp;"") where Col1='""&amp;$T375&amp;""' label sum(""&amp;AD$3&amp;"") ''""),0)))"),"")</f>
        <v/>
      </c>
      <c r="AE375" s="437"/>
      <c r="AF375" s="1327"/>
      <c r="AG375" s="437"/>
      <c r="AH375" s="437"/>
      <c r="AI375" s="437"/>
      <c r="AJ375" s="437"/>
      <c r="AK375" s="437"/>
      <c r="AL375" s="437"/>
      <c r="AM375" s="437"/>
      <c r="AN375" s="437"/>
      <c r="AO375" s="437"/>
      <c r="AP375" s="437"/>
      <c r="AQ375" s="1327"/>
      <c r="AR375" s="437"/>
      <c r="AS375" s="437"/>
      <c r="AT375" s="437"/>
      <c r="AU375" s="437"/>
      <c r="AV375" s="437"/>
      <c r="AW375" s="437"/>
      <c r="AX375" s="437"/>
      <c r="AY375" s="437"/>
      <c r="AZ375" s="437"/>
      <c r="BA375" s="437"/>
      <c r="BB375" s="1327"/>
      <c r="BC375" s="437"/>
      <c r="BD375" s="437"/>
      <c r="BE375" s="437"/>
      <c r="BF375" s="437"/>
      <c r="BG375" s="437"/>
      <c r="BH375" s="437"/>
      <c r="BI375" s="437"/>
      <c r="BJ375" s="437"/>
      <c r="BK375" s="437"/>
      <c r="BL375" s="437"/>
      <c r="BM375" s="1327"/>
      <c r="BN375" s="1327"/>
      <c r="BO375" s="1327"/>
      <c r="BP375" s="1327"/>
      <c r="BQ375" s="1327"/>
      <c r="BR375" s="1327"/>
      <c r="BS375" s="1327"/>
      <c r="BT375" s="1327"/>
      <c r="BU375" s="1327"/>
      <c r="BV375" s="1327"/>
      <c r="BW375" s="1327"/>
      <c r="BX375" s="1327"/>
      <c r="BY375" s="1327"/>
      <c r="BZ375" s="1327"/>
      <c r="CA375" s="1327"/>
      <c r="CB375" s="1327"/>
      <c r="CC375" s="1327"/>
      <c r="CD375" s="1327"/>
      <c r="CE375" s="1327"/>
      <c r="CF375" s="1327"/>
      <c r="CG375" s="1327"/>
      <c r="CH375" s="1327"/>
      <c r="CI375" s="1327"/>
      <c r="CJ375" s="1327"/>
      <c r="CK375" s="1327"/>
      <c r="CL375" s="1327"/>
      <c r="CM375" s="1327"/>
      <c r="CN375" s="1327"/>
      <c r="CO375" s="1327"/>
      <c r="CP375" s="1327"/>
      <c r="CQ375" s="1327"/>
      <c r="CR375" s="1327"/>
      <c r="CS375" s="1327"/>
      <c r="CT375" s="1317"/>
      <c r="CU375" s="1317"/>
      <c r="CV375" s="1317"/>
      <c r="CW375" s="1317"/>
      <c r="CX375" s="1317"/>
      <c r="CY375" s="1317"/>
      <c r="CZ375" s="1317"/>
      <c r="DA375" s="1317"/>
      <c r="DB375" s="1317"/>
      <c r="DC375" s="1317"/>
      <c r="DD375" s="1317"/>
      <c r="DE375" s="1317"/>
      <c r="DF375" s="1317"/>
      <c r="DG375" s="1317"/>
    </row>
    <row r="376" ht="18.75" customHeight="1">
      <c r="G376" s="1344"/>
      <c r="H376" s="1345">
        <f t="shared" si="4"/>
        <v>0</v>
      </c>
      <c r="I376" s="1381"/>
      <c r="J376" s="1381"/>
      <c r="K376" s="1381"/>
      <c r="L376" s="1381"/>
      <c r="M376" s="1381"/>
      <c r="N376" s="1381"/>
      <c r="O376" s="1381"/>
      <c r="P376" s="1381"/>
      <c r="Q376" s="1381"/>
      <c r="R376" s="1381"/>
      <c r="T376" s="1349"/>
      <c r="U376" s="1349" t="s">
        <v>123</v>
      </c>
      <c r="V376" s="1349" t="s">
        <v>123</v>
      </c>
      <c r="W376" s="1349"/>
      <c r="X376" s="1349"/>
      <c r="Y376" s="1308"/>
      <c r="Z376" s="437" t="str">
        <f>IFERROR(__xludf.DUMMYFUNCTION("IF(NOT('portfólio'!$AV$7),"""",IF($T376="""","""",IFERROR(query({AtivosDados},""select sum(""&amp;Z$3&amp;"") where Col1='""&amp;$T376&amp;""' label sum(""&amp;Z$3&amp;"") ''""),0)))"),"")</f>
        <v/>
      </c>
      <c r="AA376" s="437" t="str">
        <f>IFERROR(__xludf.DUMMYFUNCTION("IF(NOT('portfólio'!$AV$7),"""",IF($T376="""","""",IFERROR(query({AtivosDados},""select sum(""&amp;AA$3&amp;"") where Col1='""&amp;$T376&amp;""' label sum(""&amp;AA$3&amp;"") ''""),0)))"),"")</f>
        <v/>
      </c>
      <c r="AB376" s="437" t="str">
        <f>IFERROR(__xludf.DUMMYFUNCTION("IF(NOT('portfólio'!$AV$7),"""",IF($T376="""","""",IFERROR(query({AtivosDados},""select sum(""&amp;AB$3&amp;"") where Col1='""&amp;$T376&amp;""' label sum(""&amp;AB$3&amp;"") ''""),0)))"),"")</f>
        <v/>
      </c>
      <c r="AC376" s="437" t="str">
        <f>IFERROR(__xludf.DUMMYFUNCTION("IF(NOT('portfólio'!$AV$7),"""",IF($T376="""","""",IFERROR(query({AtivosDados},""select sum(""&amp;AC$3&amp;"") where Col1='""&amp;$T376&amp;""' label sum(""&amp;AC$3&amp;"") ''""),0)))"),"")</f>
        <v/>
      </c>
      <c r="AD376" s="437" t="str">
        <f>IFERROR(__xludf.DUMMYFUNCTION("IF(NOT('portfólio'!$AV$7),"""",IF($T376="""","""",IFERROR(query({AtivosDados},""select sum(""&amp;AD$3&amp;"") where Col1='""&amp;$T376&amp;""' label sum(""&amp;AD$3&amp;"") ''""),0)))"),"")</f>
        <v/>
      </c>
      <c r="AE376" s="437"/>
      <c r="AF376" s="1327"/>
      <c r="AG376" s="437"/>
      <c r="AH376" s="437"/>
      <c r="AI376" s="437"/>
      <c r="AJ376" s="437"/>
      <c r="AK376" s="437"/>
      <c r="AL376" s="437"/>
      <c r="AM376" s="437"/>
      <c r="AN376" s="437"/>
      <c r="AO376" s="437"/>
      <c r="AP376" s="437"/>
      <c r="AQ376" s="1327"/>
      <c r="AR376" s="437"/>
      <c r="AS376" s="437"/>
      <c r="AT376" s="437"/>
      <c r="AU376" s="437"/>
      <c r="AV376" s="437"/>
      <c r="AW376" s="437"/>
      <c r="AX376" s="437"/>
      <c r="AY376" s="437"/>
      <c r="AZ376" s="437"/>
      <c r="BA376" s="437"/>
      <c r="BB376" s="1327"/>
      <c r="BC376" s="437"/>
      <c r="BD376" s="437"/>
      <c r="BE376" s="437"/>
      <c r="BF376" s="437"/>
      <c r="BG376" s="437"/>
      <c r="BH376" s="437"/>
      <c r="BI376" s="437"/>
      <c r="BJ376" s="437"/>
      <c r="BK376" s="437"/>
      <c r="BL376" s="437"/>
      <c r="BM376" s="1327"/>
      <c r="BN376" s="1327"/>
      <c r="BO376" s="1327"/>
      <c r="BP376" s="1327"/>
      <c r="BQ376" s="1327"/>
      <c r="BR376" s="1327"/>
      <c r="BS376" s="1327"/>
      <c r="BT376" s="1327"/>
      <c r="BU376" s="1327"/>
      <c r="BV376" s="1327"/>
      <c r="BW376" s="1327"/>
      <c r="BX376" s="1327"/>
      <c r="BY376" s="1327"/>
      <c r="BZ376" s="1327"/>
      <c r="CA376" s="1327"/>
      <c r="CB376" s="1327"/>
      <c r="CC376" s="1327"/>
      <c r="CD376" s="1327"/>
      <c r="CE376" s="1327"/>
      <c r="CF376" s="1327"/>
      <c r="CG376" s="1327"/>
      <c r="CH376" s="1327"/>
      <c r="CI376" s="1327"/>
      <c r="CJ376" s="1327"/>
      <c r="CK376" s="1327"/>
      <c r="CL376" s="1327"/>
      <c r="CM376" s="1327"/>
      <c r="CN376" s="1327"/>
      <c r="CO376" s="1327"/>
      <c r="CP376" s="1327"/>
      <c r="CQ376" s="1327"/>
      <c r="CR376" s="1327"/>
      <c r="CS376" s="1327"/>
      <c r="CT376" s="1317"/>
      <c r="CU376" s="1317"/>
      <c r="CV376" s="1317"/>
      <c r="CW376" s="1317"/>
      <c r="CX376" s="1317"/>
      <c r="CY376" s="1317"/>
      <c r="CZ376" s="1317"/>
      <c r="DA376" s="1317"/>
      <c r="DB376" s="1317"/>
      <c r="DC376" s="1317"/>
      <c r="DD376" s="1317"/>
      <c r="DE376" s="1317"/>
      <c r="DF376" s="1317"/>
      <c r="DG376" s="1317"/>
    </row>
    <row r="377" ht="18.75" customHeight="1">
      <c r="G377" s="1344"/>
      <c r="H377" s="1345">
        <f t="shared" si="4"/>
        <v>0</v>
      </c>
      <c r="I377" s="1381"/>
      <c r="J377" s="1381"/>
      <c r="K377" s="1381"/>
      <c r="L377" s="1381"/>
      <c r="M377" s="1381"/>
      <c r="N377" s="1381"/>
      <c r="O377" s="1381"/>
      <c r="P377" s="1381"/>
      <c r="Q377" s="1381"/>
      <c r="R377" s="1381"/>
      <c r="T377" s="1349"/>
      <c r="U377" s="1349" t="s">
        <v>123</v>
      </c>
      <c r="V377" s="1349" t="s">
        <v>123</v>
      </c>
      <c r="W377" s="1349"/>
      <c r="X377" s="1349"/>
      <c r="Y377" s="1308"/>
      <c r="Z377" s="437" t="str">
        <f>IFERROR(__xludf.DUMMYFUNCTION("IF(NOT('portfólio'!$AV$7),"""",IF($T377="""","""",IFERROR(query({AtivosDados},""select sum(""&amp;Z$3&amp;"") where Col1='""&amp;$T377&amp;""' label sum(""&amp;Z$3&amp;"") ''""),0)))"),"")</f>
        <v/>
      </c>
      <c r="AA377" s="437" t="str">
        <f>IFERROR(__xludf.DUMMYFUNCTION("IF(NOT('portfólio'!$AV$7),"""",IF($T377="""","""",IFERROR(query({AtivosDados},""select sum(""&amp;AA$3&amp;"") where Col1='""&amp;$T377&amp;""' label sum(""&amp;AA$3&amp;"") ''""),0)))"),"")</f>
        <v/>
      </c>
      <c r="AB377" s="437" t="str">
        <f>IFERROR(__xludf.DUMMYFUNCTION("IF(NOT('portfólio'!$AV$7),"""",IF($T377="""","""",IFERROR(query({AtivosDados},""select sum(""&amp;AB$3&amp;"") where Col1='""&amp;$T377&amp;""' label sum(""&amp;AB$3&amp;"") ''""),0)))"),"")</f>
        <v/>
      </c>
      <c r="AC377" s="437" t="str">
        <f>IFERROR(__xludf.DUMMYFUNCTION("IF(NOT('portfólio'!$AV$7),"""",IF($T377="""","""",IFERROR(query({AtivosDados},""select sum(""&amp;AC$3&amp;"") where Col1='""&amp;$T377&amp;""' label sum(""&amp;AC$3&amp;"") ''""),0)))"),"")</f>
        <v/>
      </c>
      <c r="AD377" s="437" t="str">
        <f>IFERROR(__xludf.DUMMYFUNCTION("IF(NOT('portfólio'!$AV$7),"""",IF($T377="""","""",IFERROR(query({AtivosDados},""select sum(""&amp;AD$3&amp;"") where Col1='""&amp;$T377&amp;""' label sum(""&amp;AD$3&amp;"") ''""),0)))"),"")</f>
        <v/>
      </c>
      <c r="AE377" s="437"/>
      <c r="AF377" s="1327"/>
      <c r="AG377" s="437"/>
      <c r="AH377" s="437"/>
      <c r="AI377" s="437"/>
      <c r="AJ377" s="437"/>
      <c r="AK377" s="437"/>
      <c r="AL377" s="437"/>
      <c r="AM377" s="437"/>
      <c r="AN377" s="437"/>
      <c r="AO377" s="437"/>
      <c r="AP377" s="437"/>
      <c r="AQ377" s="1327"/>
      <c r="AR377" s="437"/>
      <c r="AS377" s="437"/>
      <c r="AT377" s="437"/>
      <c r="AU377" s="437"/>
      <c r="AV377" s="437"/>
      <c r="AW377" s="437"/>
      <c r="AX377" s="437"/>
      <c r="AY377" s="437"/>
      <c r="AZ377" s="437"/>
      <c r="BA377" s="437"/>
      <c r="BB377" s="1327"/>
      <c r="BC377" s="437"/>
      <c r="BD377" s="437"/>
      <c r="BE377" s="437"/>
      <c r="BF377" s="437"/>
      <c r="BG377" s="437"/>
      <c r="BH377" s="437"/>
      <c r="BI377" s="437"/>
      <c r="BJ377" s="437"/>
      <c r="BK377" s="437"/>
      <c r="BL377" s="437"/>
      <c r="BM377" s="1327"/>
      <c r="BN377" s="1327"/>
      <c r="BO377" s="1327"/>
      <c r="BP377" s="1327"/>
      <c r="BQ377" s="1327"/>
      <c r="BR377" s="1327"/>
      <c r="BS377" s="1327"/>
      <c r="BT377" s="1327"/>
      <c r="BU377" s="1327"/>
      <c r="BV377" s="1327"/>
      <c r="BW377" s="1327"/>
      <c r="BX377" s="1327"/>
      <c r="BY377" s="1327"/>
      <c r="BZ377" s="1327"/>
      <c r="CA377" s="1327"/>
      <c r="CB377" s="1327"/>
      <c r="CC377" s="1327"/>
      <c r="CD377" s="1327"/>
      <c r="CE377" s="1327"/>
      <c r="CF377" s="1327"/>
      <c r="CG377" s="1327"/>
      <c r="CH377" s="1327"/>
      <c r="CI377" s="1327"/>
      <c r="CJ377" s="1327"/>
      <c r="CK377" s="1327"/>
      <c r="CL377" s="1327"/>
      <c r="CM377" s="1327"/>
      <c r="CN377" s="1327"/>
      <c r="CO377" s="1327"/>
      <c r="CP377" s="1327"/>
      <c r="CQ377" s="1327"/>
      <c r="CR377" s="1327"/>
      <c r="CS377" s="1327"/>
      <c r="CT377" s="1317"/>
      <c r="CU377" s="1317"/>
      <c r="CV377" s="1317"/>
      <c r="CW377" s="1317"/>
      <c r="CX377" s="1317"/>
      <c r="CY377" s="1317"/>
      <c r="CZ377" s="1317"/>
      <c r="DA377" s="1317"/>
      <c r="DB377" s="1317"/>
      <c r="DC377" s="1317"/>
      <c r="DD377" s="1317"/>
      <c r="DE377" s="1317"/>
      <c r="DF377" s="1317"/>
      <c r="DG377" s="1317"/>
    </row>
    <row r="378" ht="18.75" customHeight="1">
      <c r="G378" s="1344"/>
      <c r="H378" s="1345">
        <f t="shared" si="4"/>
        <v>0</v>
      </c>
      <c r="I378" s="1381"/>
      <c r="J378" s="1381"/>
      <c r="K378" s="1381"/>
      <c r="L378" s="1381"/>
      <c r="M378" s="1381"/>
      <c r="N378" s="1381"/>
      <c r="O378" s="1381"/>
      <c r="P378" s="1381"/>
      <c r="Q378" s="1381"/>
      <c r="R378" s="1381"/>
      <c r="T378" s="1349"/>
      <c r="U378" s="1349" t="s">
        <v>123</v>
      </c>
      <c r="V378" s="1349" t="s">
        <v>123</v>
      </c>
      <c r="W378" s="1349"/>
      <c r="X378" s="1349"/>
      <c r="Y378" s="1308"/>
      <c r="Z378" s="437" t="str">
        <f>IFERROR(__xludf.DUMMYFUNCTION("IF(NOT('portfólio'!$AV$7),"""",IF($T378="""","""",IFERROR(query({AtivosDados},""select sum(""&amp;Z$3&amp;"") where Col1='""&amp;$T378&amp;""' label sum(""&amp;Z$3&amp;"") ''""),0)))"),"")</f>
        <v/>
      </c>
      <c r="AA378" s="437" t="str">
        <f>IFERROR(__xludf.DUMMYFUNCTION("IF(NOT('portfólio'!$AV$7),"""",IF($T378="""","""",IFERROR(query({AtivosDados},""select sum(""&amp;AA$3&amp;"") where Col1='""&amp;$T378&amp;""' label sum(""&amp;AA$3&amp;"") ''""),0)))"),"")</f>
        <v/>
      </c>
      <c r="AB378" s="437" t="str">
        <f>IFERROR(__xludf.DUMMYFUNCTION("IF(NOT('portfólio'!$AV$7),"""",IF($T378="""","""",IFERROR(query({AtivosDados},""select sum(""&amp;AB$3&amp;"") where Col1='""&amp;$T378&amp;""' label sum(""&amp;AB$3&amp;"") ''""),0)))"),"")</f>
        <v/>
      </c>
      <c r="AC378" s="437" t="str">
        <f>IFERROR(__xludf.DUMMYFUNCTION("IF(NOT('portfólio'!$AV$7),"""",IF($T378="""","""",IFERROR(query({AtivosDados},""select sum(""&amp;AC$3&amp;"") where Col1='""&amp;$T378&amp;""' label sum(""&amp;AC$3&amp;"") ''""),0)))"),"")</f>
        <v/>
      </c>
      <c r="AD378" s="437" t="str">
        <f>IFERROR(__xludf.DUMMYFUNCTION("IF(NOT('portfólio'!$AV$7),"""",IF($T378="""","""",IFERROR(query({AtivosDados},""select sum(""&amp;AD$3&amp;"") where Col1='""&amp;$T378&amp;""' label sum(""&amp;AD$3&amp;"") ''""),0)))"),"")</f>
        <v/>
      </c>
      <c r="AE378" s="437"/>
      <c r="AF378" s="1327"/>
      <c r="AG378" s="437"/>
      <c r="AH378" s="437"/>
      <c r="AI378" s="437"/>
      <c r="AJ378" s="437"/>
      <c r="AK378" s="437"/>
      <c r="AL378" s="437"/>
      <c r="AM378" s="437"/>
      <c r="AN378" s="437"/>
      <c r="AO378" s="437"/>
      <c r="AP378" s="437"/>
      <c r="AQ378" s="1327"/>
      <c r="AR378" s="437"/>
      <c r="AS378" s="437"/>
      <c r="AT378" s="437"/>
      <c r="AU378" s="437"/>
      <c r="AV378" s="437"/>
      <c r="AW378" s="437"/>
      <c r="AX378" s="437"/>
      <c r="AY378" s="437"/>
      <c r="AZ378" s="437"/>
      <c r="BA378" s="437"/>
      <c r="BB378" s="1327"/>
      <c r="BC378" s="437"/>
      <c r="BD378" s="437"/>
      <c r="BE378" s="437"/>
      <c r="BF378" s="437"/>
      <c r="BG378" s="437"/>
      <c r="BH378" s="437"/>
      <c r="BI378" s="437"/>
      <c r="BJ378" s="437"/>
      <c r="BK378" s="437"/>
      <c r="BL378" s="437"/>
      <c r="BM378" s="1327"/>
      <c r="BN378" s="1327"/>
      <c r="BO378" s="1327"/>
      <c r="BP378" s="1327"/>
      <c r="BQ378" s="1327"/>
      <c r="BR378" s="1327"/>
      <c r="BS378" s="1327"/>
      <c r="BT378" s="1327"/>
      <c r="BU378" s="1327"/>
      <c r="BV378" s="1327"/>
      <c r="BW378" s="1327"/>
      <c r="BX378" s="1327"/>
      <c r="BY378" s="1327"/>
      <c r="BZ378" s="1327"/>
      <c r="CA378" s="1327"/>
      <c r="CB378" s="1327"/>
      <c r="CC378" s="1327"/>
      <c r="CD378" s="1327"/>
      <c r="CE378" s="1327"/>
      <c r="CF378" s="1327"/>
      <c r="CG378" s="1327"/>
      <c r="CH378" s="1327"/>
      <c r="CI378" s="1327"/>
      <c r="CJ378" s="1327"/>
      <c r="CK378" s="1327"/>
      <c r="CL378" s="1327"/>
      <c r="CM378" s="1327"/>
      <c r="CN378" s="1327"/>
      <c r="CO378" s="1327"/>
      <c r="CP378" s="1327"/>
      <c r="CQ378" s="1327"/>
      <c r="CR378" s="1327"/>
      <c r="CS378" s="1327"/>
      <c r="CT378" s="1317"/>
      <c r="CU378" s="1317"/>
      <c r="CV378" s="1317"/>
      <c r="CW378" s="1317"/>
      <c r="CX378" s="1317"/>
      <c r="CY378" s="1317"/>
      <c r="CZ378" s="1317"/>
      <c r="DA378" s="1317"/>
      <c r="DB378" s="1317"/>
      <c r="DC378" s="1317"/>
      <c r="DD378" s="1317"/>
      <c r="DE378" s="1317"/>
      <c r="DF378" s="1317"/>
      <c r="DG378" s="1317"/>
    </row>
    <row r="379" ht="18.75" customHeight="1">
      <c r="G379" s="1344"/>
      <c r="H379" s="1345">
        <f t="shared" si="4"/>
        <v>0</v>
      </c>
      <c r="I379" s="1381"/>
      <c r="J379" s="1381"/>
      <c r="K379" s="1381"/>
      <c r="L379" s="1381"/>
      <c r="M379" s="1381"/>
      <c r="N379" s="1381"/>
      <c r="O379" s="1381"/>
      <c r="P379" s="1381"/>
      <c r="Q379" s="1381"/>
      <c r="R379" s="1381"/>
      <c r="T379" s="1349"/>
      <c r="U379" s="1349" t="s">
        <v>123</v>
      </c>
      <c r="V379" s="1349" t="s">
        <v>123</v>
      </c>
      <c r="W379" s="1349"/>
      <c r="X379" s="1349"/>
      <c r="Y379" s="1308"/>
      <c r="Z379" s="437" t="str">
        <f>IFERROR(__xludf.DUMMYFUNCTION("IF(NOT('portfólio'!$AV$7),"""",IF($T379="""","""",IFERROR(query({AtivosDados},""select sum(""&amp;Z$3&amp;"") where Col1='""&amp;$T379&amp;""' label sum(""&amp;Z$3&amp;"") ''""),0)))"),"")</f>
        <v/>
      </c>
      <c r="AA379" s="437" t="str">
        <f>IFERROR(__xludf.DUMMYFUNCTION("IF(NOT('portfólio'!$AV$7),"""",IF($T379="""","""",IFERROR(query({AtivosDados},""select sum(""&amp;AA$3&amp;"") where Col1='""&amp;$T379&amp;""' label sum(""&amp;AA$3&amp;"") ''""),0)))"),"")</f>
        <v/>
      </c>
      <c r="AB379" s="437" t="str">
        <f>IFERROR(__xludf.DUMMYFUNCTION("IF(NOT('portfólio'!$AV$7),"""",IF($T379="""","""",IFERROR(query({AtivosDados},""select sum(""&amp;AB$3&amp;"") where Col1='""&amp;$T379&amp;""' label sum(""&amp;AB$3&amp;"") ''""),0)))"),"")</f>
        <v/>
      </c>
      <c r="AC379" s="437" t="str">
        <f>IFERROR(__xludf.DUMMYFUNCTION("IF(NOT('portfólio'!$AV$7),"""",IF($T379="""","""",IFERROR(query({AtivosDados},""select sum(""&amp;AC$3&amp;"") where Col1='""&amp;$T379&amp;""' label sum(""&amp;AC$3&amp;"") ''""),0)))"),"")</f>
        <v/>
      </c>
      <c r="AD379" s="437" t="str">
        <f>IFERROR(__xludf.DUMMYFUNCTION("IF(NOT('portfólio'!$AV$7),"""",IF($T379="""","""",IFERROR(query({AtivosDados},""select sum(""&amp;AD$3&amp;"") where Col1='""&amp;$T379&amp;""' label sum(""&amp;AD$3&amp;"") ''""),0)))"),"")</f>
        <v/>
      </c>
      <c r="AE379" s="437"/>
      <c r="AF379" s="1327"/>
      <c r="AG379" s="437"/>
      <c r="AH379" s="437"/>
      <c r="AI379" s="437"/>
      <c r="AJ379" s="437"/>
      <c r="AK379" s="437"/>
      <c r="AL379" s="437"/>
      <c r="AM379" s="437"/>
      <c r="AN379" s="437"/>
      <c r="AO379" s="437"/>
      <c r="AP379" s="437"/>
      <c r="AQ379" s="1327"/>
      <c r="AR379" s="437"/>
      <c r="AS379" s="437"/>
      <c r="AT379" s="437"/>
      <c r="AU379" s="437"/>
      <c r="AV379" s="437"/>
      <c r="AW379" s="437"/>
      <c r="AX379" s="437"/>
      <c r="AY379" s="437"/>
      <c r="AZ379" s="437"/>
      <c r="BA379" s="437"/>
      <c r="BB379" s="1327"/>
      <c r="BC379" s="437"/>
      <c r="BD379" s="437"/>
      <c r="BE379" s="437"/>
      <c r="BF379" s="437"/>
      <c r="BG379" s="437"/>
      <c r="BH379" s="437"/>
      <c r="BI379" s="437"/>
      <c r="BJ379" s="437"/>
      <c r="BK379" s="437"/>
      <c r="BL379" s="437"/>
      <c r="BM379" s="1327"/>
      <c r="BN379" s="1327"/>
      <c r="BO379" s="1327"/>
      <c r="BP379" s="1327"/>
      <c r="BQ379" s="1327"/>
      <c r="BR379" s="1327"/>
      <c r="BS379" s="1327"/>
      <c r="BT379" s="1327"/>
      <c r="BU379" s="1327"/>
      <c r="BV379" s="1327"/>
      <c r="BW379" s="1327"/>
      <c r="BX379" s="1327"/>
      <c r="BY379" s="1327"/>
      <c r="BZ379" s="1327"/>
      <c r="CA379" s="1327"/>
      <c r="CB379" s="1327"/>
      <c r="CC379" s="1327"/>
      <c r="CD379" s="1327"/>
      <c r="CE379" s="1327"/>
      <c r="CF379" s="1327"/>
      <c r="CG379" s="1327"/>
      <c r="CH379" s="1327"/>
      <c r="CI379" s="1327"/>
      <c r="CJ379" s="1327"/>
      <c r="CK379" s="1327"/>
      <c r="CL379" s="1327"/>
      <c r="CM379" s="1327"/>
      <c r="CN379" s="1327"/>
      <c r="CO379" s="1327"/>
      <c r="CP379" s="1327"/>
      <c r="CQ379" s="1327"/>
      <c r="CR379" s="1327"/>
      <c r="CS379" s="1327"/>
      <c r="CT379" s="1317"/>
      <c r="CU379" s="1317"/>
      <c r="CV379" s="1317"/>
      <c r="CW379" s="1317"/>
      <c r="CX379" s="1317"/>
      <c r="CY379" s="1317"/>
      <c r="CZ379" s="1317"/>
      <c r="DA379" s="1317"/>
      <c r="DB379" s="1317"/>
      <c r="DC379" s="1317"/>
      <c r="DD379" s="1317"/>
      <c r="DE379" s="1317"/>
      <c r="DF379" s="1317"/>
      <c r="DG379" s="1317"/>
    </row>
    <row r="380" ht="18.75" customHeight="1">
      <c r="G380" s="1344"/>
      <c r="H380" s="1345">
        <f t="shared" si="4"/>
        <v>0</v>
      </c>
      <c r="I380" s="1381"/>
      <c r="J380" s="1381"/>
      <c r="K380" s="1381"/>
      <c r="L380" s="1381"/>
      <c r="M380" s="1381"/>
      <c r="N380" s="1381"/>
      <c r="O380" s="1381"/>
      <c r="P380" s="1381"/>
      <c r="Q380" s="1381"/>
      <c r="R380" s="1381"/>
      <c r="T380" s="1349"/>
      <c r="U380" s="1349" t="s">
        <v>123</v>
      </c>
      <c r="V380" s="1349" t="s">
        <v>123</v>
      </c>
      <c r="W380" s="1349"/>
      <c r="X380" s="1349"/>
      <c r="Y380" s="1308"/>
      <c r="Z380" s="437" t="str">
        <f>IFERROR(__xludf.DUMMYFUNCTION("IF(NOT('portfólio'!$AV$7),"""",IF($T380="""","""",IFERROR(query({AtivosDados},""select sum(""&amp;Z$3&amp;"") where Col1='""&amp;$T380&amp;""' label sum(""&amp;Z$3&amp;"") ''""),0)))"),"")</f>
        <v/>
      </c>
      <c r="AA380" s="437" t="str">
        <f>IFERROR(__xludf.DUMMYFUNCTION("IF(NOT('portfólio'!$AV$7),"""",IF($T380="""","""",IFERROR(query({AtivosDados},""select sum(""&amp;AA$3&amp;"") where Col1='""&amp;$T380&amp;""' label sum(""&amp;AA$3&amp;"") ''""),0)))"),"")</f>
        <v/>
      </c>
      <c r="AB380" s="437" t="str">
        <f>IFERROR(__xludf.DUMMYFUNCTION("IF(NOT('portfólio'!$AV$7),"""",IF($T380="""","""",IFERROR(query({AtivosDados},""select sum(""&amp;AB$3&amp;"") where Col1='""&amp;$T380&amp;""' label sum(""&amp;AB$3&amp;"") ''""),0)))"),"")</f>
        <v/>
      </c>
      <c r="AC380" s="437" t="str">
        <f>IFERROR(__xludf.DUMMYFUNCTION("IF(NOT('portfólio'!$AV$7),"""",IF($T380="""","""",IFERROR(query({AtivosDados},""select sum(""&amp;AC$3&amp;"") where Col1='""&amp;$T380&amp;""' label sum(""&amp;AC$3&amp;"") ''""),0)))"),"")</f>
        <v/>
      </c>
      <c r="AD380" s="437" t="str">
        <f>IFERROR(__xludf.DUMMYFUNCTION("IF(NOT('portfólio'!$AV$7),"""",IF($T380="""","""",IFERROR(query({AtivosDados},""select sum(""&amp;AD$3&amp;"") where Col1='""&amp;$T380&amp;""' label sum(""&amp;AD$3&amp;"") ''""),0)))"),"")</f>
        <v/>
      </c>
      <c r="AE380" s="437"/>
      <c r="AF380" s="1327"/>
      <c r="AG380" s="437"/>
      <c r="AH380" s="437"/>
      <c r="AI380" s="437"/>
      <c r="AJ380" s="437"/>
      <c r="AK380" s="437"/>
      <c r="AL380" s="437"/>
      <c r="AM380" s="437"/>
      <c r="AN380" s="437"/>
      <c r="AO380" s="437"/>
      <c r="AP380" s="437"/>
      <c r="AQ380" s="1327"/>
      <c r="AR380" s="437"/>
      <c r="AS380" s="437"/>
      <c r="AT380" s="437"/>
      <c r="AU380" s="437"/>
      <c r="AV380" s="437"/>
      <c r="AW380" s="437"/>
      <c r="AX380" s="437"/>
      <c r="AY380" s="437"/>
      <c r="AZ380" s="437"/>
      <c r="BA380" s="437"/>
      <c r="BB380" s="1327"/>
      <c r="BC380" s="437"/>
      <c r="BD380" s="437"/>
      <c r="BE380" s="437"/>
      <c r="BF380" s="437"/>
      <c r="BG380" s="437"/>
      <c r="BH380" s="437"/>
      <c r="BI380" s="437"/>
      <c r="BJ380" s="437"/>
      <c r="BK380" s="437"/>
      <c r="BL380" s="437"/>
      <c r="BM380" s="1327"/>
      <c r="BN380" s="1327"/>
      <c r="BO380" s="1327"/>
      <c r="BP380" s="1327"/>
      <c r="BQ380" s="1327"/>
      <c r="BR380" s="1327"/>
      <c r="BS380" s="1327"/>
      <c r="BT380" s="1327"/>
      <c r="BU380" s="1327"/>
      <c r="BV380" s="1327"/>
      <c r="BW380" s="1327"/>
      <c r="BX380" s="1327"/>
      <c r="BY380" s="1327"/>
      <c r="BZ380" s="1327"/>
      <c r="CA380" s="1327"/>
      <c r="CB380" s="1327"/>
      <c r="CC380" s="1327"/>
      <c r="CD380" s="1327"/>
      <c r="CE380" s="1327"/>
      <c r="CF380" s="1327"/>
      <c r="CG380" s="1327"/>
      <c r="CH380" s="1327"/>
      <c r="CI380" s="1327"/>
      <c r="CJ380" s="1327"/>
      <c r="CK380" s="1327"/>
      <c r="CL380" s="1327"/>
      <c r="CM380" s="1327"/>
      <c r="CN380" s="1327"/>
      <c r="CO380" s="1327"/>
      <c r="CP380" s="1327"/>
      <c r="CQ380" s="1327"/>
      <c r="CR380" s="1327"/>
      <c r="CS380" s="1327"/>
      <c r="CT380" s="1317"/>
      <c r="CU380" s="1317"/>
      <c r="CV380" s="1317"/>
      <c r="CW380" s="1317"/>
      <c r="CX380" s="1317"/>
      <c r="CY380" s="1317"/>
      <c r="CZ380" s="1317"/>
      <c r="DA380" s="1317"/>
      <c r="DB380" s="1317"/>
      <c r="DC380" s="1317"/>
      <c r="DD380" s="1317"/>
      <c r="DE380" s="1317"/>
      <c r="DF380" s="1317"/>
      <c r="DG380" s="1317"/>
    </row>
    <row r="381" ht="18.75" customHeight="1">
      <c r="G381" s="1344"/>
      <c r="H381" s="1345">
        <f t="shared" si="4"/>
        <v>0</v>
      </c>
      <c r="I381" s="1381"/>
      <c r="J381" s="1381"/>
      <c r="K381" s="1381"/>
      <c r="L381" s="1381"/>
      <c r="M381" s="1381"/>
      <c r="N381" s="1381"/>
      <c r="O381" s="1381"/>
      <c r="P381" s="1381"/>
      <c r="Q381" s="1381"/>
      <c r="R381" s="1381"/>
      <c r="T381" s="1349"/>
      <c r="U381" s="1349" t="s">
        <v>123</v>
      </c>
      <c r="V381" s="1349" t="s">
        <v>123</v>
      </c>
      <c r="W381" s="1349"/>
      <c r="X381" s="1349"/>
      <c r="Y381" s="1308"/>
      <c r="Z381" s="437" t="str">
        <f>IFERROR(__xludf.DUMMYFUNCTION("IF(NOT('portfólio'!$AV$7),"""",IF($T381="""","""",IFERROR(query({AtivosDados},""select sum(""&amp;Z$3&amp;"") where Col1='""&amp;$T381&amp;""' label sum(""&amp;Z$3&amp;"") ''""),0)))"),"")</f>
        <v/>
      </c>
      <c r="AA381" s="437" t="str">
        <f>IFERROR(__xludf.DUMMYFUNCTION("IF(NOT('portfólio'!$AV$7),"""",IF($T381="""","""",IFERROR(query({AtivosDados},""select sum(""&amp;AA$3&amp;"") where Col1='""&amp;$T381&amp;""' label sum(""&amp;AA$3&amp;"") ''""),0)))"),"")</f>
        <v/>
      </c>
      <c r="AB381" s="437" t="str">
        <f>IFERROR(__xludf.DUMMYFUNCTION("IF(NOT('portfólio'!$AV$7),"""",IF($T381="""","""",IFERROR(query({AtivosDados},""select sum(""&amp;AB$3&amp;"") where Col1='""&amp;$T381&amp;""' label sum(""&amp;AB$3&amp;"") ''""),0)))"),"")</f>
        <v/>
      </c>
      <c r="AC381" s="437" t="str">
        <f>IFERROR(__xludf.DUMMYFUNCTION("IF(NOT('portfólio'!$AV$7),"""",IF($T381="""","""",IFERROR(query({AtivosDados},""select sum(""&amp;AC$3&amp;"") where Col1='""&amp;$T381&amp;""' label sum(""&amp;AC$3&amp;"") ''""),0)))"),"")</f>
        <v/>
      </c>
      <c r="AD381" s="437" t="str">
        <f>IFERROR(__xludf.DUMMYFUNCTION("IF(NOT('portfólio'!$AV$7),"""",IF($T381="""","""",IFERROR(query({AtivosDados},""select sum(""&amp;AD$3&amp;"") where Col1='""&amp;$T381&amp;""' label sum(""&amp;AD$3&amp;"") ''""),0)))"),"")</f>
        <v/>
      </c>
      <c r="AE381" s="437"/>
      <c r="AF381" s="1327"/>
      <c r="AG381" s="437"/>
      <c r="AH381" s="437"/>
      <c r="AI381" s="437"/>
      <c r="AJ381" s="437"/>
      <c r="AK381" s="437"/>
      <c r="AL381" s="437"/>
      <c r="AM381" s="437"/>
      <c r="AN381" s="437"/>
      <c r="AO381" s="437"/>
      <c r="AP381" s="437"/>
      <c r="AQ381" s="1327"/>
      <c r="AR381" s="437"/>
      <c r="AS381" s="437"/>
      <c r="AT381" s="437"/>
      <c r="AU381" s="437"/>
      <c r="AV381" s="437"/>
      <c r="AW381" s="437"/>
      <c r="AX381" s="437"/>
      <c r="AY381" s="437"/>
      <c r="AZ381" s="437"/>
      <c r="BA381" s="437"/>
      <c r="BB381" s="1327"/>
      <c r="BC381" s="437"/>
      <c r="BD381" s="437"/>
      <c r="BE381" s="437"/>
      <c r="BF381" s="437"/>
      <c r="BG381" s="437"/>
      <c r="BH381" s="437"/>
      <c r="BI381" s="437"/>
      <c r="BJ381" s="437"/>
      <c r="BK381" s="437"/>
      <c r="BL381" s="437"/>
      <c r="BM381" s="1327"/>
      <c r="BN381" s="1327"/>
      <c r="BO381" s="1327"/>
      <c r="BP381" s="1327"/>
      <c r="BQ381" s="1327"/>
      <c r="BR381" s="1327"/>
      <c r="BS381" s="1327"/>
      <c r="BT381" s="1327"/>
      <c r="BU381" s="1327"/>
      <c r="BV381" s="1327"/>
      <c r="BW381" s="1327"/>
      <c r="BX381" s="1327"/>
      <c r="BY381" s="1327"/>
      <c r="BZ381" s="1327"/>
      <c r="CA381" s="1327"/>
      <c r="CB381" s="1327"/>
      <c r="CC381" s="1327"/>
      <c r="CD381" s="1327"/>
      <c r="CE381" s="1327"/>
      <c r="CF381" s="1327"/>
      <c r="CG381" s="1327"/>
      <c r="CH381" s="1327"/>
      <c r="CI381" s="1327"/>
      <c r="CJ381" s="1327"/>
      <c r="CK381" s="1327"/>
      <c r="CL381" s="1327"/>
      <c r="CM381" s="1327"/>
      <c r="CN381" s="1327"/>
      <c r="CO381" s="1327"/>
      <c r="CP381" s="1327"/>
      <c r="CQ381" s="1327"/>
      <c r="CR381" s="1327"/>
      <c r="CS381" s="1327"/>
      <c r="CT381" s="1317"/>
      <c r="CU381" s="1317"/>
      <c r="CV381" s="1317"/>
      <c r="CW381" s="1317"/>
      <c r="CX381" s="1317"/>
      <c r="CY381" s="1317"/>
      <c r="CZ381" s="1317"/>
      <c r="DA381" s="1317"/>
      <c r="DB381" s="1317"/>
      <c r="DC381" s="1317"/>
      <c r="DD381" s="1317"/>
      <c r="DE381" s="1317"/>
      <c r="DF381" s="1317"/>
      <c r="DG381" s="1317"/>
    </row>
    <row r="382" ht="18.75" customHeight="1">
      <c r="G382" s="1344"/>
      <c r="H382" s="1345">
        <f t="shared" si="4"/>
        <v>0</v>
      </c>
      <c r="I382" s="1381"/>
      <c r="J382" s="1381"/>
      <c r="K382" s="1381"/>
      <c r="L382" s="1381"/>
      <c r="M382" s="1381"/>
      <c r="N382" s="1381"/>
      <c r="O382" s="1381"/>
      <c r="P382" s="1381"/>
      <c r="Q382" s="1381"/>
      <c r="R382" s="1381"/>
      <c r="T382" s="1349"/>
      <c r="U382" s="1349" t="s">
        <v>123</v>
      </c>
      <c r="V382" s="1349" t="s">
        <v>123</v>
      </c>
      <c r="W382" s="1349"/>
      <c r="X382" s="1349"/>
      <c r="Y382" s="1308"/>
      <c r="Z382" s="437" t="str">
        <f>IFERROR(__xludf.DUMMYFUNCTION("IF(NOT('portfólio'!$AV$7),"""",IF($T382="""","""",IFERROR(query({AtivosDados},""select sum(""&amp;Z$3&amp;"") where Col1='""&amp;$T382&amp;""' label sum(""&amp;Z$3&amp;"") ''""),0)))"),"")</f>
        <v/>
      </c>
      <c r="AA382" s="437" t="str">
        <f>IFERROR(__xludf.DUMMYFUNCTION("IF(NOT('portfólio'!$AV$7),"""",IF($T382="""","""",IFERROR(query({AtivosDados},""select sum(""&amp;AA$3&amp;"") where Col1='""&amp;$T382&amp;""' label sum(""&amp;AA$3&amp;"") ''""),0)))"),"")</f>
        <v/>
      </c>
      <c r="AB382" s="437" t="str">
        <f>IFERROR(__xludf.DUMMYFUNCTION("IF(NOT('portfólio'!$AV$7),"""",IF($T382="""","""",IFERROR(query({AtivosDados},""select sum(""&amp;AB$3&amp;"") where Col1='""&amp;$T382&amp;""' label sum(""&amp;AB$3&amp;"") ''""),0)))"),"")</f>
        <v/>
      </c>
      <c r="AC382" s="437" t="str">
        <f>IFERROR(__xludf.DUMMYFUNCTION("IF(NOT('portfólio'!$AV$7),"""",IF($T382="""","""",IFERROR(query({AtivosDados},""select sum(""&amp;AC$3&amp;"") where Col1='""&amp;$T382&amp;""' label sum(""&amp;AC$3&amp;"") ''""),0)))"),"")</f>
        <v/>
      </c>
      <c r="AD382" s="437" t="str">
        <f>IFERROR(__xludf.DUMMYFUNCTION("IF(NOT('portfólio'!$AV$7),"""",IF($T382="""","""",IFERROR(query({AtivosDados},""select sum(""&amp;AD$3&amp;"") where Col1='""&amp;$T382&amp;""' label sum(""&amp;AD$3&amp;"") ''""),0)))"),"")</f>
        <v/>
      </c>
      <c r="AE382" s="437"/>
      <c r="AF382" s="1327"/>
      <c r="AG382" s="437"/>
      <c r="AH382" s="437"/>
      <c r="AI382" s="437"/>
      <c r="AJ382" s="437"/>
      <c r="AK382" s="437"/>
      <c r="AL382" s="437"/>
      <c r="AM382" s="437"/>
      <c r="AN382" s="437"/>
      <c r="AO382" s="437"/>
      <c r="AP382" s="437"/>
      <c r="AQ382" s="1327"/>
      <c r="AR382" s="437"/>
      <c r="AS382" s="437"/>
      <c r="AT382" s="437"/>
      <c r="AU382" s="437"/>
      <c r="AV382" s="437"/>
      <c r="AW382" s="437"/>
      <c r="AX382" s="437"/>
      <c r="AY382" s="437"/>
      <c r="AZ382" s="437"/>
      <c r="BA382" s="437"/>
      <c r="BB382" s="1327"/>
      <c r="BC382" s="437"/>
      <c r="BD382" s="437"/>
      <c r="BE382" s="437"/>
      <c r="BF382" s="437"/>
      <c r="BG382" s="437"/>
      <c r="BH382" s="437"/>
      <c r="BI382" s="437"/>
      <c r="BJ382" s="437"/>
      <c r="BK382" s="437"/>
      <c r="BL382" s="437"/>
      <c r="BM382" s="1327"/>
      <c r="BN382" s="1327"/>
      <c r="BO382" s="1327"/>
      <c r="BP382" s="1327"/>
      <c r="BQ382" s="1327"/>
      <c r="BR382" s="1327"/>
      <c r="BS382" s="1327"/>
      <c r="BT382" s="1327"/>
      <c r="BU382" s="1327"/>
      <c r="BV382" s="1327"/>
      <c r="BW382" s="1327"/>
      <c r="BX382" s="1327"/>
      <c r="BY382" s="1327"/>
      <c r="BZ382" s="1327"/>
      <c r="CA382" s="1327"/>
      <c r="CB382" s="1327"/>
      <c r="CC382" s="1327"/>
      <c r="CD382" s="1327"/>
      <c r="CE382" s="1327"/>
      <c r="CF382" s="1327"/>
      <c r="CG382" s="1327"/>
      <c r="CH382" s="1327"/>
      <c r="CI382" s="1327"/>
      <c r="CJ382" s="1327"/>
      <c r="CK382" s="1327"/>
      <c r="CL382" s="1327"/>
      <c r="CM382" s="1327"/>
      <c r="CN382" s="1327"/>
      <c r="CO382" s="1327"/>
      <c r="CP382" s="1327"/>
      <c r="CQ382" s="1327"/>
      <c r="CR382" s="1327"/>
      <c r="CS382" s="1327"/>
      <c r="CT382" s="1317"/>
      <c r="CU382" s="1317"/>
      <c r="CV382" s="1317"/>
      <c r="CW382" s="1317"/>
      <c r="CX382" s="1317"/>
      <c r="CY382" s="1317"/>
      <c r="CZ382" s="1317"/>
      <c r="DA382" s="1317"/>
      <c r="DB382" s="1317"/>
      <c r="DC382" s="1317"/>
      <c r="DD382" s="1317"/>
      <c r="DE382" s="1317"/>
      <c r="DF382" s="1317"/>
      <c r="DG382" s="1317"/>
    </row>
    <row r="383" ht="18.75" customHeight="1">
      <c r="G383" s="1344"/>
      <c r="H383" s="1345">
        <f t="shared" si="4"/>
        <v>0</v>
      </c>
      <c r="I383" s="1381"/>
      <c r="J383" s="1381"/>
      <c r="K383" s="1381"/>
      <c r="L383" s="1381"/>
      <c r="M383" s="1381"/>
      <c r="N383" s="1381"/>
      <c r="O383" s="1381"/>
      <c r="P383" s="1381"/>
      <c r="Q383" s="1381"/>
      <c r="R383" s="1381"/>
      <c r="T383" s="1349"/>
      <c r="U383" s="1349" t="s">
        <v>123</v>
      </c>
      <c r="V383" s="1349" t="s">
        <v>123</v>
      </c>
      <c r="W383" s="1349"/>
      <c r="X383" s="1349"/>
      <c r="Y383" s="1308"/>
      <c r="Z383" s="437" t="str">
        <f>IFERROR(__xludf.DUMMYFUNCTION("IF(NOT('portfólio'!$AV$7),"""",IF($T383="""","""",IFERROR(query({AtivosDados},""select sum(""&amp;Z$3&amp;"") where Col1='""&amp;$T383&amp;""' label sum(""&amp;Z$3&amp;"") ''""),0)))"),"")</f>
        <v/>
      </c>
      <c r="AA383" s="437" t="str">
        <f>IFERROR(__xludf.DUMMYFUNCTION("IF(NOT('portfólio'!$AV$7),"""",IF($T383="""","""",IFERROR(query({AtivosDados},""select sum(""&amp;AA$3&amp;"") where Col1='""&amp;$T383&amp;""' label sum(""&amp;AA$3&amp;"") ''""),0)))"),"")</f>
        <v/>
      </c>
      <c r="AB383" s="437" t="str">
        <f>IFERROR(__xludf.DUMMYFUNCTION("IF(NOT('portfólio'!$AV$7),"""",IF($T383="""","""",IFERROR(query({AtivosDados},""select sum(""&amp;AB$3&amp;"") where Col1='""&amp;$T383&amp;""' label sum(""&amp;AB$3&amp;"") ''""),0)))"),"")</f>
        <v/>
      </c>
      <c r="AC383" s="437" t="str">
        <f>IFERROR(__xludf.DUMMYFUNCTION("IF(NOT('portfólio'!$AV$7),"""",IF($T383="""","""",IFERROR(query({AtivosDados},""select sum(""&amp;AC$3&amp;"") where Col1='""&amp;$T383&amp;""' label sum(""&amp;AC$3&amp;"") ''""),0)))"),"")</f>
        <v/>
      </c>
      <c r="AD383" s="437" t="str">
        <f>IFERROR(__xludf.DUMMYFUNCTION("IF(NOT('portfólio'!$AV$7),"""",IF($T383="""","""",IFERROR(query({AtivosDados},""select sum(""&amp;AD$3&amp;"") where Col1='""&amp;$T383&amp;""' label sum(""&amp;AD$3&amp;"") ''""),0)))"),"")</f>
        <v/>
      </c>
      <c r="AE383" s="437"/>
      <c r="AF383" s="1327"/>
      <c r="AG383" s="437"/>
      <c r="AH383" s="437"/>
      <c r="AI383" s="437"/>
      <c r="AJ383" s="437"/>
      <c r="AK383" s="437"/>
      <c r="AL383" s="437"/>
      <c r="AM383" s="437"/>
      <c r="AN383" s="437"/>
      <c r="AO383" s="437"/>
      <c r="AP383" s="437"/>
      <c r="AQ383" s="1327"/>
      <c r="AR383" s="437"/>
      <c r="AS383" s="437"/>
      <c r="AT383" s="437"/>
      <c r="AU383" s="437"/>
      <c r="AV383" s="437"/>
      <c r="AW383" s="437"/>
      <c r="AX383" s="437"/>
      <c r="AY383" s="437"/>
      <c r="AZ383" s="437"/>
      <c r="BA383" s="437"/>
      <c r="BB383" s="1327"/>
      <c r="BC383" s="437"/>
      <c r="BD383" s="437"/>
      <c r="BE383" s="437"/>
      <c r="BF383" s="437"/>
      <c r="BG383" s="437"/>
      <c r="BH383" s="437"/>
      <c r="BI383" s="437"/>
      <c r="BJ383" s="437"/>
      <c r="BK383" s="437"/>
      <c r="BL383" s="437"/>
      <c r="BM383" s="1327"/>
      <c r="BN383" s="1327"/>
      <c r="BO383" s="1327"/>
      <c r="BP383" s="1327"/>
      <c r="BQ383" s="1327"/>
      <c r="BR383" s="1327"/>
      <c r="BS383" s="1327"/>
      <c r="BT383" s="1327"/>
      <c r="BU383" s="1327"/>
      <c r="BV383" s="1327"/>
      <c r="BW383" s="1327"/>
      <c r="BX383" s="1327"/>
      <c r="BY383" s="1327"/>
      <c r="BZ383" s="1327"/>
      <c r="CA383" s="1327"/>
      <c r="CB383" s="1327"/>
      <c r="CC383" s="1327"/>
      <c r="CD383" s="1327"/>
      <c r="CE383" s="1327"/>
      <c r="CF383" s="1327"/>
      <c r="CG383" s="1327"/>
      <c r="CH383" s="1327"/>
      <c r="CI383" s="1327"/>
      <c r="CJ383" s="1327"/>
      <c r="CK383" s="1327"/>
      <c r="CL383" s="1327"/>
      <c r="CM383" s="1327"/>
      <c r="CN383" s="1327"/>
      <c r="CO383" s="1327"/>
      <c r="CP383" s="1327"/>
      <c r="CQ383" s="1327"/>
      <c r="CR383" s="1327"/>
      <c r="CS383" s="1327"/>
      <c r="CT383" s="1317"/>
      <c r="CU383" s="1317"/>
      <c r="CV383" s="1317"/>
      <c r="CW383" s="1317"/>
      <c r="CX383" s="1317"/>
      <c r="CY383" s="1317"/>
      <c r="CZ383" s="1317"/>
      <c r="DA383" s="1317"/>
      <c r="DB383" s="1317"/>
      <c r="DC383" s="1317"/>
      <c r="DD383" s="1317"/>
      <c r="DE383" s="1317"/>
      <c r="DF383" s="1317"/>
      <c r="DG383" s="1317"/>
    </row>
    <row r="384" ht="18.75" customHeight="1">
      <c r="G384" s="1344"/>
      <c r="H384" s="1345">
        <f t="shared" si="4"/>
        <v>0</v>
      </c>
      <c r="I384" s="1381"/>
      <c r="J384" s="1381"/>
      <c r="K384" s="1381"/>
      <c r="L384" s="1381"/>
      <c r="M384" s="1381"/>
      <c r="N384" s="1381"/>
      <c r="O384" s="1381"/>
      <c r="P384" s="1381"/>
      <c r="Q384" s="1381"/>
      <c r="R384" s="1381"/>
      <c r="T384" s="1349"/>
      <c r="U384" s="1349" t="s">
        <v>123</v>
      </c>
      <c r="V384" s="1349" t="s">
        <v>123</v>
      </c>
      <c r="W384" s="1349"/>
      <c r="X384" s="1349"/>
      <c r="Y384" s="1308"/>
      <c r="Z384" s="437" t="str">
        <f>IFERROR(__xludf.DUMMYFUNCTION("IF(NOT('portfólio'!$AV$7),"""",IF($T384="""","""",IFERROR(query({AtivosDados},""select sum(""&amp;Z$3&amp;"") where Col1='""&amp;$T384&amp;""' label sum(""&amp;Z$3&amp;"") ''""),0)))"),"")</f>
        <v/>
      </c>
      <c r="AA384" s="437" t="str">
        <f>IFERROR(__xludf.DUMMYFUNCTION("IF(NOT('portfólio'!$AV$7),"""",IF($T384="""","""",IFERROR(query({AtivosDados},""select sum(""&amp;AA$3&amp;"") where Col1='""&amp;$T384&amp;""' label sum(""&amp;AA$3&amp;"") ''""),0)))"),"")</f>
        <v/>
      </c>
      <c r="AB384" s="437" t="str">
        <f>IFERROR(__xludf.DUMMYFUNCTION("IF(NOT('portfólio'!$AV$7),"""",IF($T384="""","""",IFERROR(query({AtivosDados},""select sum(""&amp;AB$3&amp;"") where Col1='""&amp;$T384&amp;""' label sum(""&amp;AB$3&amp;"") ''""),0)))"),"")</f>
        <v/>
      </c>
      <c r="AC384" s="437" t="str">
        <f>IFERROR(__xludf.DUMMYFUNCTION("IF(NOT('portfólio'!$AV$7),"""",IF($T384="""","""",IFERROR(query({AtivosDados},""select sum(""&amp;AC$3&amp;"") where Col1='""&amp;$T384&amp;""' label sum(""&amp;AC$3&amp;"") ''""),0)))"),"")</f>
        <v/>
      </c>
      <c r="AD384" s="437" t="str">
        <f>IFERROR(__xludf.DUMMYFUNCTION("IF(NOT('portfólio'!$AV$7),"""",IF($T384="""","""",IFERROR(query({AtivosDados},""select sum(""&amp;AD$3&amp;"") where Col1='""&amp;$T384&amp;""' label sum(""&amp;AD$3&amp;"") ''""),0)))"),"")</f>
        <v/>
      </c>
      <c r="AE384" s="437"/>
      <c r="AF384" s="1327"/>
      <c r="AG384" s="437"/>
      <c r="AH384" s="437"/>
      <c r="AI384" s="437"/>
      <c r="AJ384" s="437"/>
      <c r="AK384" s="437"/>
      <c r="AL384" s="437"/>
      <c r="AM384" s="437"/>
      <c r="AN384" s="437"/>
      <c r="AO384" s="437"/>
      <c r="AP384" s="437"/>
      <c r="AQ384" s="1327"/>
      <c r="AR384" s="437"/>
      <c r="AS384" s="437"/>
      <c r="AT384" s="437"/>
      <c r="AU384" s="437"/>
      <c r="AV384" s="437"/>
      <c r="AW384" s="437"/>
      <c r="AX384" s="437"/>
      <c r="AY384" s="437"/>
      <c r="AZ384" s="437"/>
      <c r="BA384" s="437"/>
      <c r="BB384" s="1327"/>
      <c r="BC384" s="437"/>
      <c r="BD384" s="437"/>
      <c r="BE384" s="437"/>
      <c r="BF384" s="437"/>
      <c r="BG384" s="437"/>
      <c r="BH384" s="437"/>
      <c r="BI384" s="437"/>
      <c r="BJ384" s="437"/>
      <c r="BK384" s="437"/>
      <c r="BL384" s="437"/>
      <c r="BM384" s="1327"/>
      <c r="BN384" s="1327"/>
      <c r="BO384" s="1327"/>
      <c r="BP384" s="1327"/>
      <c r="BQ384" s="1327"/>
      <c r="BR384" s="1327"/>
      <c r="BS384" s="1327"/>
      <c r="BT384" s="1327"/>
      <c r="BU384" s="1327"/>
      <c r="BV384" s="1327"/>
      <c r="BW384" s="1327"/>
      <c r="BX384" s="1327"/>
      <c r="BY384" s="1327"/>
      <c r="BZ384" s="1327"/>
      <c r="CA384" s="1327"/>
      <c r="CB384" s="1327"/>
      <c r="CC384" s="1327"/>
      <c r="CD384" s="1327"/>
      <c r="CE384" s="1327"/>
      <c r="CF384" s="1327"/>
      <c r="CG384" s="1327"/>
      <c r="CH384" s="1327"/>
      <c r="CI384" s="1327"/>
      <c r="CJ384" s="1327"/>
      <c r="CK384" s="1327"/>
      <c r="CL384" s="1327"/>
      <c r="CM384" s="1327"/>
      <c r="CN384" s="1327"/>
      <c r="CO384" s="1327"/>
      <c r="CP384" s="1327"/>
      <c r="CQ384" s="1327"/>
      <c r="CR384" s="1327"/>
      <c r="CS384" s="1327"/>
      <c r="CT384" s="1317"/>
      <c r="CU384" s="1317"/>
      <c r="CV384" s="1317"/>
      <c r="CW384" s="1317"/>
      <c r="CX384" s="1317"/>
      <c r="CY384" s="1317"/>
      <c r="CZ384" s="1317"/>
      <c r="DA384" s="1317"/>
      <c r="DB384" s="1317"/>
      <c r="DC384" s="1317"/>
      <c r="DD384" s="1317"/>
      <c r="DE384" s="1317"/>
      <c r="DF384" s="1317"/>
      <c r="DG384" s="1317"/>
    </row>
    <row r="385" ht="18.75" customHeight="1">
      <c r="G385" s="1344"/>
      <c r="H385" s="1345">
        <f t="shared" si="4"/>
        <v>0</v>
      </c>
      <c r="I385" s="1381"/>
      <c r="J385" s="1381"/>
      <c r="K385" s="1381"/>
      <c r="L385" s="1381"/>
      <c r="M385" s="1381"/>
      <c r="N385" s="1381"/>
      <c r="O385" s="1381"/>
      <c r="P385" s="1381"/>
      <c r="Q385" s="1381"/>
      <c r="R385" s="1381"/>
      <c r="T385" s="1349"/>
      <c r="U385" s="1349" t="s">
        <v>123</v>
      </c>
      <c r="V385" s="1349" t="s">
        <v>123</v>
      </c>
      <c r="W385" s="1349"/>
      <c r="X385" s="1349"/>
      <c r="Y385" s="1308"/>
      <c r="Z385" s="437" t="str">
        <f>IFERROR(__xludf.DUMMYFUNCTION("IF(NOT('portfólio'!$AV$7),"""",IF($T385="""","""",IFERROR(query({AtivosDados},""select sum(""&amp;Z$3&amp;"") where Col1='""&amp;$T385&amp;""' label sum(""&amp;Z$3&amp;"") ''""),0)))"),"")</f>
        <v/>
      </c>
      <c r="AA385" s="437" t="str">
        <f>IFERROR(__xludf.DUMMYFUNCTION("IF(NOT('portfólio'!$AV$7),"""",IF($T385="""","""",IFERROR(query({AtivosDados},""select sum(""&amp;AA$3&amp;"") where Col1='""&amp;$T385&amp;""' label sum(""&amp;AA$3&amp;"") ''""),0)))"),"")</f>
        <v/>
      </c>
      <c r="AB385" s="437" t="str">
        <f>IFERROR(__xludf.DUMMYFUNCTION("IF(NOT('portfólio'!$AV$7),"""",IF($T385="""","""",IFERROR(query({AtivosDados},""select sum(""&amp;AB$3&amp;"") where Col1='""&amp;$T385&amp;""' label sum(""&amp;AB$3&amp;"") ''""),0)))"),"")</f>
        <v/>
      </c>
      <c r="AC385" s="437" t="str">
        <f>IFERROR(__xludf.DUMMYFUNCTION("IF(NOT('portfólio'!$AV$7),"""",IF($T385="""","""",IFERROR(query({AtivosDados},""select sum(""&amp;AC$3&amp;"") where Col1='""&amp;$T385&amp;""' label sum(""&amp;AC$3&amp;"") ''""),0)))"),"")</f>
        <v/>
      </c>
      <c r="AD385" s="437" t="str">
        <f>IFERROR(__xludf.DUMMYFUNCTION("IF(NOT('portfólio'!$AV$7),"""",IF($T385="""","""",IFERROR(query({AtivosDados},""select sum(""&amp;AD$3&amp;"") where Col1='""&amp;$T385&amp;""' label sum(""&amp;AD$3&amp;"") ''""),0)))"),"")</f>
        <v/>
      </c>
      <c r="AE385" s="437"/>
      <c r="AF385" s="1327"/>
      <c r="AG385" s="437"/>
      <c r="AH385" s="437"/>
      <c r="AI385" s="437"/>
      <c r="AJ385" s="437"/>
      <c r="AK385" s="437"/>
      <c r="AL385" s="437"/>
      <c r="AM385" s="437"/>
      <c r="AN385" s="437"/>
      <c r="AO385" s="437"/>
      <c r="AP385" s="437"/>
      <c r="AQ385" s="1327"/>
      <c r="AR385" s="437"/>
      <c r="AS385" s="437"/>
      <c r="AT385" s="437"/>
      <c r="AU385" s="437"/>
      <c r="AV385" s="437"/>
      <c r="AW385" s="437"/>
      <c r="AX385" s="437"/>
      <c r="AY385" s="437"/>
      <c r="AZ385" s="437"/>
      <c r="BA385" s="437"/>
      <c r="BB385" s="1327"/>
      <c r="BC385" s="437"/>
      <c r="BD385" s="437"/>
      <c r="BE385" s="437"/>
      <c r="BF385" s="437"/>
      <c r="BG385" s="437"/>
      <c r="BH385" s="437"/>
      <c r="BI385" s="437"/>
      <c r="BJ385" s="437"/>
      <c r="BK385" s="437"/>
      <c r="BL385" s="437"/>
      <c r="BM385" s="1327"/>
      <c r="BN385" s="1327"/>
      <c r="BO385" s="1327"/>
      <c r="BP385" s="1327"/>
      <c r="BQ385" s="1327"/>
      <c r="BR385" s="1327"/>
      <c r="BS385" s="1327"/>
      <c r="BT385" s="1327"/>
      <c r="BU385" s="1327"/>
      <c r="BV385" s="1327"/>
      <c r="BW385" s="1327"/>
      <c r="BX385" s="1327"/>
      <c r="BY385" s="1327"/>
      <c r="BZ385" s="1327"/>
      <c r="CA385" s="1327"/>
      <c r="CB385" s="1327"/>
      <c r="CC385" s="1327"/>
      <c r="CD385" s="1327"/>
      <c r="CE385" s="1327"/>
      <c r="CF385" s="1327"/>
      <c r="CG385" s="1327"/>
      <c r="CH385" s="1327"/>
      <c r="CI385" s="1327"/>
      <c r="CJ385" s="1327"/>
      <c r="CK385" s="1327"/>
      <c r="CL385" s="1327"/>
      <c r="CM385" s="1327"/>
      <c r="CN385" s="1327"/>
      <c r="CO385" s="1327"/>
      <c r="CP385" s="1327"/>
      <c r="CQ385" s="1327"/>
      <c r="CR385" s="1327"/>
      <c r="CS385" s="1327"/>
      <c r="CT385" s="1317"/>
      <c r="CU385" s="1317"/>
      <c r="CV385" s="1317"/>
      <c r="CW385" s="1317"/>
      <c r="CX385" s="1317"/>
      <c r="CY385" s="1317"/>
      <c r="CZ385" s="1317"/>
      <c r="DA385" s="1317"/>
      <c r="DB385" s="1317"/>
      <c r="DC385" s="1317"/>
      <c r="DD385" s="1317"/>
      <c r="DE385" s="1317"/>
      <c r="DF385" s="1317"/>
      <c r="DG385" s="1317"/>
    </row>
    <row r="386" ht="18.75" customHeight="1">
      <c r="G386" s="1344"/>
      <c r="H386" s="1345">
        <f t="shared" si="4"/>
        <v>0</v>
      </c>
      <c r="I386" s="1381"/>
      <c r="J386" s="1381"/>
      <c r="K386" s="1381"/>
      <c r="L386" s="1381"/>
      <c r="M386" s="1381"/>
      <c r="N386" s="1381"/>
      <c r="O386" s="1381"/>
      <c r="P386" s="1381"/>
      <c r="Q386" s="1381"/>
      <c r="R386" s="1381"/>
      <c r="T386" s="1349"/>
      <c r="U386" s="1349" t="s">
        <v>123</v>
      </c>
      <c r="V386" s="1349" t="s">
        <v>123</v>
      </c>
      <c r="W386" s="1349"/>
      <c r="X386" s="1349"/>
      <c r="Y386" s="1308"/>
      <c r="Z386" s="437" t="str">
        <f>IFERROR(__xludf.DUMMYFUNCTION("IF(NOT('portfólio'!$AV$7),"""",IF($T386="""","""",IFERROR(query({AtivosDados},""select sum(""&amp;Z$3&amp;"") where Col1='""&amp;$T386&amp;""' label sum(""&amp;Z$3&amp;"") ''""),0)))"),"")</f>
        <v/>
      </c>
      <c r="AA386" s="437" t="str">
        <f>IFERROR(__xludf.DUMMYFUNCTION("IF(NOT('portfólio'!$AV$7),"""",IF($T386="""","""",IFERROR(query({AtivosDados},""select sum(""&amp;AA$3&amp;"") where Col1='""&amp;$T386&amp;""' label sum(""&amp;AA$3&amp;"") ''""),0)))"),"")</f>
        <v/>
      </c>
      <c r="AB386" s="437" t="str">
        <f>IFERROR(__xludf.DUMMYFUNCTION("IF(NOT('portfólio'!$AV$7),"""",IF($T386="""","""",IFERROR(query({AtivosDados},""select sum(""&amp;AB$3&amp;"") where Col1='""&amp;$T386&amp;""' label sum(""&amp;AB$3&amp;"") ''""),0)))"),"")</f>
        <v/>
      </c>
      <c r="AC386" s="437" t="str">
        <f>IFERROR(__xludf.DUMMYFUNCTION("IF(NOT('portfólio'!$AV$7),"""",IF($T386="""","""",IFERROR(query({AtivosDados},""select sum(""&amp;AC$3&amp;"") where Col1='""&amp;$T386&amp;""' label sum(""&amp;AC$3&amp;"") ''""),0)))"),"")</f>
        <v/>
      </c>
      <c r="AD386" s="437" t="str">
        <f>IFERROR(__xludf.DUMMYFUNCTION("IF(NOT('portfólio'!$AV$7),"""",IF($T386="""","""",IFERROR(query({AtivosDados},""select sum(""&amp;AD$3&amp;"") where Col1='""&amp;$T386&amp;""' label sum(""&amp;AD$3&amp;"") ''""),0)))"),"")</f>
        <v/>
      </c>
      <c r="AE386" s="437"/>
      <c r="AF386" s="1327"/>
      <c r="AG386" s="437"/>
      <c r="AH386" s="437"/>
      <c r="AI386" s="437"/>
      <c r="AJ386" s="437"/>
      <c r="AK386" s="437"/>
      <c r="AL386" s="437"/>
      <c r="AM386" s="437"/>
      <c r="AN386" s="437"/>
      <c r="AO386" s="437"/>
      <c r="AP386" s="437"/>
      <c r="AQ386" s="1327"/>
      <c r="AR386" s="437"/>
      <c r="AS386" s="437"/>
      <c r="AT386" s="437"/>
      <c r="AU386" s="437"/>
      <c r="AV386" s="437"/>
      <c r="AW386" s="437"/>
      <c r="AX386" s="437"/>
      <c r="AY386" s="437"/>
      <c r="AZ386" s="437"/>
      <c r="BA386" s="437"/>
      <c r="BB386" s="1327"/>
      <c r="BC386" s="437"/>
      <c r="BD386" s="437"/>
      <c r="BE386" s="437"/>
      <c r="BF386" s="437"/>
      <c r="BG386" s="437"/>
      <c r="BH386" s="437"/>
      <c r="BI386" s="437"/>
      <c r="BJ386" s="437"/>
      <c r="BK386" s="437"/>
      <c r="BL386" s="437"/>
      <c r="BM386" s="1327"/>
      <c r="BN386" s="1327"/>
      <c r="BO386" s="1327"/>
      <c r="BP386" s="1327"/>
      <c r="BQ386" s="1327"/>
      <c r="BR386" s="1327"/>
      <c r="BS386" s="1327"/>
      <c r="BT386" s="1327"/>
      <c r="BU386" s="1327"/>
      <c r="BV386" s="1327"/>
      <c r="BW386" s="1327"/>
      <c r="BX386" s="1327"/>
      <c r="BY386" s="1327"/>
      <c r="BZ386" s="1327"/>
      <c r="CA386" s="1327"/>
      <c r="CB386" s="1327"/>
      <c r="CC386" s="1327"/>
      <c r="CD386" s="1327"/>
      <c r="CE386" s="1327"/>
      <c r="CF386" s="1327"/>
      <c r="CG386" s="1327"/>
      <c r="CH386" s="1327"/>
      <c r="CI386" s="1327"/>
      <c r="CJ386" s="1327"/>
      <c r="CK386" s="1327"/>
      <c r="CL386" s="1327"/>
      <c r="CM386" s="1327"/>
      <c r="CN386" s="1327"/>
      <c r="CO386" s="1327"/>
      <c r="CP386" s="1327"/>
      <c r="CQ386" s="1327"/>
      <c r="CR386" s="1327"/>
      <c r="CS386" s="1327"/>
      <c r="CT386" s="1317"/>
      <c r="CU386" s="1317"/>
      <c r="CV386" s="1317"/>
      <c r="CW386" s="1317"/>
      <c r="CX386" s="1317"/>
      <c r="CY386" s="1317"/>
      <c r="CZ386" s="1317"/>
      <c r="DA386" s="1317"/>
      <c r="DB386" s="1317"/>
      <c r="DC386" s="1317"/>
      <c r="DD386" s="1317"/>
      <c r="DE386" s="1317"/>
      <c r="DF386" s="1317"/>
      <c r="DG386" s="1317"/>
    </row>
    <row r="387" ht="18.75" customHeight="1">
      <c r="G387" s="1344"/>
      <c r="H387" s="1345">
        <f t="shared" si="4"/>
        <v>0</v>
      </c>
      <c r="I387" s="1381"/>
      <c r="J387" s="1381"/>
      <c r="K387" s="1381"/>
      <c r="L387" s="1381"/>
      <c r="M387" s="1381"/>
      <c r="N387" s="1381"/>
      <c r="O387" s="1381"/>
      <c r="P387" s="1381"/>
      <c r="Q387" s="1381"/>
      <c r="R387" s="1381"/>
      <c r="T387" s="1349"/>
      <c r="U387" s="1349" t="s">
        <v>123</v>
      </c>
      <c r="V387" s="1349" t="s">
        <v>123</v>
      </c>
      <c r="W387" s="1349"/>
      <c r="X387" s="1349"/>
      <c r="Y387" s="1308"/>
      <c r="Z387" s="437" t="str">
        <f>IFERROR(__xludf.DUMMYFUNCTION("IF(NOT('portfólio'!$AV$7),"""",IF($T387="""","""",IFERROR(query({AtivosDados},""select sum(""&amp;Z$3&amp;"") where Col1='""&amp;$T387&amp;""' label sum(""&amp;Z$3&amp;"") ''""),0)))"),"")</f>
        <v/>
      </c>
      <c r="AA387" s="437" t="str">
        <f>IFERROR(__xludf.DUMMYFUNCTION("IF(NOT('portfólio'!$AV$7),"""",IF($T387="""","""",IFERROR(query({AtivosDados},""select sum(""&amp;AA$3&amp;"") where Col1='""&amp;$T387&amp;""' label sum(""&amp;AA$3&amp;"") ''""),0)))"),"")</f>
        <v/>
      </c>
      <c r="AB387" s="437" t="str">
        <f>IFERROR(__xludf.DUMMYFUNCTION("IF(NOT('portfólio'!$AV$7),"""",IF($T387="""","""",IFERROR(query({AtivosDados},""select sum(""&amp;AB$3&amp;"") where Col1='""&amp;$T387&amp;""' label sum(""&amp;AB$3&amp;"") ''""),0)))"),"")</f>
        <v/>
      </c>
      <c r="AC387" s="437" t="str">
        <f>IFERROR(__xludf.DUMMYFUNCTION("IF(NOT('portfólio'!$AV$7),"""",IF($T387="""","""",IFERROR(query({AtivosDados},""select sum(""&amp;AC$3&amp;"") where Col1='""&amp;$T387&amp;""' label sum(""&amp;AC$3&amp;"") ''""),0)))"),"")</f>
        <v/>
      </c>
      <c r="AD387" s="437" t="str">
        <f>IFERROR(__xludf.DUMMYFUNCTION("IF(NOT('portfólio'!$AV$7),"""",IF($T387="""","""",IFERROR(query({AtivosDados},""select sum(""&amp;AD$3&amp;"") where Col1='""&amp;$T387&amp;""' label sum(""&amp;AD$3&amp;"") ''""),0)))"),"")</f>
        <v/>
      </c>
      <c r="AE387" s="437"/>
      <c r="AF387" s="1327"/>
      <c r="AG387" s="437"/>
      <c r="AH387" s="437"/>
      <c r="AI387" s="437"/>
      <c r="AJ387" s="437"/>
      <c r="AK387" s="437"/>
      <c r="AL387" s="437"/>
      <c r="AM387" s="437"/>
      <c r="AN387" s="437"/>
      <c r="AO387" s="437"/>
      <c r="AP387" s="437"/>
      <c r="AQ387" s="1327"/>
      <c r="AR387" s="437"/>
      <c r="AS387" s="437"/>
      <c r="AT387" s="437"/>
      <c r="AU387" s="437"/>
      <c r="AV387" s="437"/>
      <c r="AW387" s="437"/>
      <c r="AX387" s="437"/>
      <c r="AY387" s="437"/>
      <c r="AZ387" s="437"/>
      <c r="BA387" s="437"/>
      <c r="BB387" s="1327"/>
      <c r="BC387" s="437"/>
      <c r="BD387" s="437"/>
      <c r="BE387" s="437"/>
      <c r="BF387" s="437"/>
      <c r="BG387" s="437"/>
      <c r="BH387" s="437"/>
      <c r="BI387" s="437"/>
      <c r="BJ387" s="437"/>
      <c r="BK387" s="437"/>
      <c r="BL387" s="437"/>
      <c r="BM387" s="1327"/>
      <c r="BN387" s="1327"/>
      <c r="BO387" s="1327"/>
      <c r="BP387" s="1327"/>
      <c r="BQ387" s="1327"/>
      <c r="BR387" s="1327"/>
      <c r="BS387" s="1327"/>
      <c r="BT387" s="1327"/>
      <c r="BU387" s="1327"/>
      <c r="BV387" s="1327"/>
      <c r="BW387" s="1327"/>
      <c r="BX387" s="1327"/>
      <c r="BY387" s="1327"/>
      <c r="BZ387" s="1327"/>
      <c r="CA387" s="1327"/>
      <c r="CB387" s="1327"/>
      <c r="CC387" s="1327"/>
      <c r="CD387" s="1327"/>
      <c r="CE387" s="1327"/>
      <c r="CF387" s="1327"/>
      <c r="CG387" s="1327"/>
      <c r="CH387" s="1327"/>
      <c r="CI387" s="1327"/>
      <c r="CJ387" s="1327"/>
      <c r="CK387" s="1327"/>
      <c r="CL387" s="1327"/>
      <c r="CM387" s="1327"/>
      <c r="CN387" s="1327"/>
      <c r="CO387" s="1327"/>
      <c r="CP387" s="1327"/>
      <c r="CQ387" s="1327"/>
      <c r="CR387" s="1327"/>
      <c r="CS387" s="1327"/>
      <c r="CT387" s="1317"/>
      <c r="CU387" s="1317"/>
      <c r="CV387" s="1317"/>
      <c r="CW387" s="1317"/>
      <c r="CX387" s="1317"/>
      <c r="CY387" s="1317"/>
      <c r="CZ387" s="1317"/>
      <c r="DA387" s="1317"/>
      <c r="DB387" s="1317"/>
      <c r="DC387" s="1317"/>
      <c r="DD387" s="1317"/>
      <c r="DE387" s="1317"/>
      <c r="DF387" s="1317"/>
      <c r="DG387" s="1317"/>
    </row>
    <row r="388" ht="18.75" customHeight="1">
      <c r="G388" s="1344"/>
      <c r="H388" s="1345">
        <f t="shared" si="4"/>
        <v>0</v>
      </c>
      <c r="I388" s="1381"/>
      <c r="J388" s="1381"/>
      <c r="K388" s="1381"/>
      <c r="L388" s="1381"/>
      <c r="M388" s="1381"/>
      <c r="N388" s="1381"/>
      <c r="O388" s="1381"/>
      <c r="P388" s="1381"/>
      <c r="Q388" s="1381"/>
      <c r="R388" s="1381"/>
      <c r="T388" s="1349"/>
      <c r="U388" s="1349" t="s">
        <v>123</v>
      </c>
      <c r="V388" s="1349" t="s">
        <v>123</v>
      </c>
      <c r="W388" s="1349"/>
      <c r="X388" s="1349"/>
      <c r="Y388" s="1308"/>
      <c r="Z388" s="437" t="str">
        <f>IFERROR(__xludf.DUMMYFUNCTION("IF(NOT('portfólio'!$AV$7),"""",IF($T388="""","""",IFERROR(query({AtivosDados},""select sum(""&amp;Z$3&amp;"") where Col1='""&amp;$T388&amp;""' label sum(""&amp;Z$3&amp;"") ''""),0)))"),"")</f>
        <v/>
      </c>
      <c r="AA388" s="437" t="str">
        <f>IFERROR(__xludf.DUMMYFUNCTION("IF(NOT('portfólio'!$AV$7),"""",IF($T388="""","""",IFERROR(query({AtivosDados},""select sum(""&amp;AA$3&amp;"") where Col1='""&amp;$T388&amp;""' label sum(""&amp;AA$3&amp;"") ''""),0)))"),"")</f>
        <v/>
      </c>
      <c r="AB388" s="437" t="str">
        <f>IFERROR(__xludf.DUMMYFUNCTION("IF(NOT('portfólio'!$AV$7),"""",IF($T388="""","""",IFERROR(query({AtivosDados},""select sum(""&amp;AB$3&amp;"") where Col1='""&amp;$T388&amp;""' label sum(""&amp;AB$3&amp;"") ''""),0)))"),"")</f>
        <v/>
      </c>
      <c r="AC388" s="437" t="str">
        <f>IFERROR(__xludf.DUMMYFUNCTION("IF(NOT('portfólio'!$AV$7),"""",IF($T388="""","""",IFERROR(query({AtivosDados},""select sum(""&amp;AC$3&amp;"") where Col1='""&amp;$T388&amp;""' label sum(""&amp;AC$3&amp;"") ''""),0)))"),"")</f>
        <v/>
      </c>
      <c r="AD388" s="437" t="str">
        <f>IFERROR(__xludf.DUMMYFUNCTION("IF(NOT('portfólio'!$AV$7),"""",IF($T388="""","""",IFERROR(query({AtivosDados},""select sum(""&amp;AD$3&amp;"") where Col1='""&amp;$T388&amp;""' label sum(""&amp;AD$3&amp;"") ''""),0)))"),"")</f>
        <v/>
      </c>
      <c r="AE388" s="437"/>
      <c r="AF388" s="1327"/>
      <c r="AG388" s="437"/>
      <c r="AH388" s="437"/>
      <c r="AI388" s="437"/>
      <c r="AJ388" s="437"/>
      <c r="AK388" s="437"/>
      <c r="AL388" s="437"/>
      <c r="AM388" s="437"/>
      <c r="AN388" s="437"/>
      <c r="AO388" s="437"/>
      <c r="AP388" s="437"/>
      <c r="AQ388" s="1327"/>
      <c r="AR388" s="437"/>
      <c r="AS388" s="437"/>
      <c r="AT388" s="437"/>
      <c r="AU388" s="437"/>
      <c r="AV388" s="437"/>
      <c r="AW388" s="437"/>
      <c r="AX388" s="437"/>
      <c r="AY388" s="437"/>
      <c r="AZ388" s="437"/>
      <c r="BA388" s="437"/>
      <c r="BB388" s="1327"/>
      <c r="BC388" s="437"/>
      <c r="BD388" s="437"/>
      <c r="BE388" s="437"/>
      <c r="BF388" s="437"/>
      <c r="BG388" s="437"/>
      <c r="BH388" s="437"/>
      <c r="BI388" s="437"/>
      <c r="BJ388" s="437"/>
      <c r="BK388" s="437"/>
      <c r="BL388" s="437"/>
      <c r="BM388" s="1327"/>
      <c r="BN388" s="1327"/>
      <c r="BO388" s="1327"/>
      <c r="BP388" s="1327"/>
      <c r="BQ388" s="1327"/>
      <c r="BR388" s="1327"/>
      <c r="BS388" s="1327"/>
      <c r="BT388" s="1327"/>
      <c r="BU388" s="1327"/>
      <c r="BV388" s="1327"/>
      <c r="BW388" s="1327"/>
      <c r="BX388" s="1327"/>
      <c r="BY388" s="1327"/>
      <c r="BZ388" s="1327"/>
      <c r="CA388" s="1327"/>
      <c r="CB388" s="1327"/>
      <c r="CC388" s="1327"/>
      <c r="CD388" s="1327"/>
      <c r="CE388" s="1327"/>
      <c r="CF388" s="1327"/>
      <c r="CG388" s="1327"/>
      <c r="CH388" s="1327"/>
      <c r="CI388" s="1327"/>
      <c r="CJ388" s="1327"/>
      <c r="CK388" s="1327"/>
      <c r="CL388" s="1327"/>
      <c r="CM388" s="1327"/>
      <c r="CN388" s="1327"/>
      <c r="CO388" s="1327"/>
      <c r="CP388" s="1327"/>
      <c r="CQ388" s="1327"/>
      <c r="CR388" s="1327"/>
      <c r="CS388" s="1327"/>
      <c r="CT388" s="1317"/>
      <c r="CU388" s="1317"/>
      <c r="CV388" s="1317"/>
      <c r="CW388" s="1317"/>
      <c r="CX388" s="1317"/>
      <c r="CY388" s="1317"/>
      <c r="CZ388" s="1317"/>
      <c r="DA388" s="1317"/>
      <c r="DB388" s="1317"/>
      <c r="DC388" s="1317"/>
      <c r="DD388" s="1317"/>
      <c r="DE388" s="1317"/>
      <c r="DF388" s="1317"/>
      <c r="DG388" s="1317"/>
    </row>
    <row r="389" ht="18.75" customHeight="1">
      <c r="G389" s="1344"/>
      <c r="H389" s="1345">
        <f t="shared" si="4"/>
        <v>0</v>
      </c>
      <c r="I389" s="1381"/>
      <c r="J389" s="1381"/>
      <c r="K389" s="1381"/>
      <c r="L389" s="1381"/>
      <c r="M389" s="1381"/>
      <c r="N389" s="1381"/>
      <c r="O389" s="1381"/>
      <c r="P389" s="1381"/>
      <c r="Q389" s="1381"/>
      <c r="R389" s="1381"/>
      <c r="T389" s="1349"/>
      <c r="U389" s="1349" t="s">
        <v>123</v>
      </c>
      <c r="V389" s="1349" t="s">
        <v>123</v>
      </c>
      <c r="W389" s="1349"/>
      <c r="X389" s="1349"/>
      <c r="Y389" s="1308"/>
      <c r="Z389" s="437" t="str">
        <f>IFERROR(__xludf.DUMMYFUNCTION("IF(NOT('portfólio'!$AV$7),"""",IF($T389="""","""",IFERROR(query({AtivosDados},""select sum(""&amp;Z$3&amp;"") where Col1='""&amp;$T389&amp;""' label sum(""&amp;Z$3&amp;"") ''""),0)))"),"")</f>
        <v/>
      </c>
      <c r="AA389" s="437" t="str">
        <f>IFERROR(__xludf.DUMMYFUNCTION("IF(NOT('portfólio'!$AV$7),"""",IF($T389="""","""",IFERROR(query({AtivosDados},""select sum(""&amp;AA$3&amp;"") where Col1='""&amp;$T389&amp;""' label sum(""&amp;AA$3&amp;"") ''""),0)))"),"")</f>
        <v/>
      </c>
      <c r="AB389" s="437" t="str">
        <f>IFERROR(__xludf.DUMMYFUNCTION("IF(NOT('portfólio'!$AV$7),"""",IF($T389="""","""",IFERROR(query({AtivosDados},""select sum(""&amp;AB$3&amp;"") where Col1='""&amp;$T389&amp;""' label sum(""&amp;AB$3&amp;"") ''""),0)))"),"")</f>
        <v/>
      </c>
      <c r="AC389" s="437" t="str">
        <f>IFERROR(__xludf.DUMMYFUNCTION("IF(NOT('portfólio'!$AV$7),"""",IF($T389="""","""",IFERROR(query({AtivosDados},""select sum(""&amp;AC$3&amp;"") where Col1='""&amp;$T389&amp;""' label sum(""&amp;AC$3&amp;"") ''""),0)))"),"")</f>
        <v/>
      </c>
      <c r="AD389" s="437" t="str">
        <f>IFERROR(__xludf.DUMMYFUNCTION("IF(NOT('portfólio'!$AV$7),"""",IF($T389="""","""",IFERROR(query({AtivosDados},""select sum(""&amp;AD$3&amp;"") where Col1='""&amp;$T389&amp;""' label sum(""&amp;AD$3&amp;"") ''""),0)))"),"")</f>
        <v/>
      </c>
      <c r="AE389" s="437"/>
      <c r="AF389" s="1327"/>
      <c r="AG389" s="437"/>
      <c r="AH389" s="437"/>
      <c r="AI389" s="437"/>
      <c r="AJ389" s="437"/>
      <c r="AK389" s="437"/>
      <c r="AL389" s="437"/>
      <c r="AM389" s="437"/>
      <c r="AN389" s="437"/>
      <c r="AO389" s="437"/>
      <c r="AP389" s="437"/>
      <c r="AQ389" s="1327"/>
      <c r="AR389" s="437"/>
      <c r="AS389" s="437"/>
      <c r="AT389" s="437"/>
      <c r="AU389" s="437"/>
      <c r="AV389" s="437"/>
      <c r="AW389" s="437"/>
      <c r="AX389" s="437"/>
      <c r="AY389" s="437"/>
      <c r="AZ389" s="437"/>
      <c r="BA389" s="437"/>
      <c r="BB389" s="1327"/>
      <c r="BC389" s="437"/>
      <c r="BD389" s="437"/>
      <c r="BE389" s="437"/>
      <c r="BF389" s="437"/>
      <c r="BG389" s="437"/>
      <c r="BH389" s="437"/>
      <c r="BI389" s="437"/>
      <c r="BJ389" s="437"/>
      <c r="BK389" s="437"/>
      <c r="BL389" s="437"/>
      <c r="BM389" s="1327"/>
      <c r="BN389" s="1327"/>
      <c r="BO389" s="1327"/>
      <c r="BP389" s="1327"/>
      <c r="BQ389" s="1327"/>
      <c r="BR389" s="1327"/>
      <c r="BS389" s="1327"/>
      <c r="BT389" s="1327"/>
      <c r="BU389" s="1327"/>
      <c r="BV389" s="1327"/>
      <c r="BW389" s="1327"/>
      <c r="BX389" s="1327"/>
      <c r="BY389" s="1327"/>
      <c r="BZ389" s="1327"/>
      <c r="CA389" s="1327"/>
      <c r="CB389" s="1327"/>
      <c r="CC389" s="1327"/>
      <c r="CD389" s="1327"/>
      <c r="CE389" s="1327"/>
      <c r="CF389" s="1327"/>
      <c r="CG389" s="1327"/>
      <c r="CH389" s="1327"/>
      <c r="CI389" s="1327"/>
      <c r="CJ389" s="1327"/>
      <c r="CK389" s="1327"/>
      <c r="CL389" s="1327"/>
      <c r="CM389" s="1327"/>
      <c r="CN389" s="1327"/>
      <c r="CO389" s="1327"/>
      <c r="CP389" s="1327"/>
      <c r="CQ389" s="1327"/>
      <c r="CR389" s="1327"/>
      <c r="CS389" s="1327"/>
      <c r="CT389" s="1317"/>
      <c r="CU389" s="1317"/>
      <c r="CV389" s="1317"/>
      <c r="CW389" s="1317"/>
      <c r="CX389" s="1317"/>
      <c r="CY389" s="1317"/>
      <c r="CZ389" s="1317"/>
      <c r="DA389" s="1317"/>
      <c r="DB389" s="1317"/>
      <c r="DC389" s="1317"/>
      <c r="DD389" s="1317"/>
      <c r="DE389" s="1317"/>
      <c r="DF389" s="1317"/>
      <c r="DG389" s="1317"/>
    </row>
    <row r="390" ht="18.75" customHeight="1">
      <c r="G390" s="1344"/>
      <c r="H390" s="1345">
        <f t="shared" si="4"/>
        <v>0</v>
      </c>
      <c r="I390" s="1381"/>
      <c r="J390" s="1381"/>
      <c r="K390" s="1381"/>
      <c r="L390" s="1381"/>
      <c r="M390" s="1381"/>
      <c r="N390" s="1381"/>
      <c r="O390" s="1381"/>
      <c r="P390" s="1381"/>
      <c r="Q390" s="1381"/>
      <c r="R390" s="1381"/>
      <c r="T390" s="1349"/>
      <c r="U390" s="1349" t="s">
        <v>123</v>
      </c>
      <c r="V390" s="1349" t="s">
        <v>123</v>
      </c>
      <c r="W390" s="1349"/>
      <c r="X390" s="1349"/>
      <c r="Y390" s="1308"/>
      <c r="Z390" s="437" t="str">
        <f>IFERROR(__xludf.DUMMYFUNCTION("IF(NOT('portfólio'!$AV$7),"""",IF($T390="""","""",IFERROR(query({AtivosDados},""select sum(""&amp;Z$3&amp;"") where Col1='""&amp;$T390&amp;""' label sum(""&amp;Z$3&amp;"") ''""),0)))"),"")</f>
        <v/>
      </c>
      <c r="AA390" s="437" t="str">
        <f>IFERROR(__xludf.DUMMYFUNCTION("IF(NOT('portfólio'!$AV$7),"""",IF($T390="""","""",IFERROR(query({AtivosDados},""select sum(""&amp;AA$3&amp;"") where Col1='""&amp;$T390&amp;""' label sum(""&amp;AA$3&amp;"") ''""),0)))"),"")</f>
        <v/>
      </c>
      <c r="AB390" s="437" t="str">
        <f>IFERROR(__xludf.DUMMYFUNCTION("IF(NOT('portfólio'!$AV$7),"""",IF($T390="""","""",IFERROR(query({AtivosDados},""select sum(""&amp;AB$3&amp;"") where Col1='""&amp;$T390&amp;""' label sum(""&amp;AB$3&amp;"") ''""),0)))"),"")</f>
        <v/>
      </c>
      <c r="AC390" s="437" t="str">
        <f>IFERROR(__xludf.DUMMYFUNCTION("IF(NOT('portfólio'!$AV$7),"""",IF($T390="""","""",IFERROR(query({AtivosDados},""select sum(""&amp;AC$3&amp;"") where Col1='""&amp;$T390&amp;""' label sum(""&amp;AC$3&amp;"") ''""),0)))"),"")</f>
        <v/>
      </c>
      <c r="AD390" s="437" t="str">
        <f>IFERROR(__xludf.DUMMYFUNCTION("IF(NOT('portfólio'!$AV$7),"""",IF($T390="""","""",IFERROR(query({AtivosDados},""select sum(""&amp;AD$3&amp;"") where Col1='""&amp;$T390&amp;""' label sum(""&amp;AD$3&amp;"") ''""),0)))"),"")</f>
        <v/>
      </c>
      <c r="AE390" s="437"/>
      <c r="AF390" s="1327"/>
      <c r="AG390" s="437"/>
      <c r="AH390" s="437"/>
      <c r="AI390" s="437"/>
      <c r="AJ390" s="437"/>
      <c r="AK390" s="437"/>
      <c r="AL390" s="437"/>
      <c r="AM390" s="437"/>
      <c r="AN390" s="437"/>
      <c r="AO390" s="437"/>
      <c r="AP390" s="437"/>
      <c r="AQ390" s="1327"/>
      <c r="AR390" s="437"/>
      <c r="AS390" s="437"/>
      <c r="AT390" s="437"/>
      <c r="AU390" s="437"/>
      <c r="AV390" s="437"/>
      <c r="AW390" s="437"/>
      <c r="AX390" s="437"/>
      <c r="AY390" s="437"/>
      <c r="AZ390" s="437"/>
      <c r="BA390" s="437"/>
      <c r="BB390" s="1327"/>
      <c r="BC390" s="437"/>
      <c r="BD390" s="437"/>
      <c r="BE390" s="437"/>
      <c r="BF390" s="437"/>
      <c r="BG390" s="437"/>
      <c r="BH390" s="437"/>
      <c r="BI390" s="437"/>
      <c r="BJ390" s="437"/>
      <c r="BK390" s="437"/>
      <c r="BL390" s="437"/>
      <c r="BM390" s="1327"/>
      <c r="BN390" s="1327"/>
      <c r="BO390" s="1327"/>
      <c r="BP390" s="1327"/>
      <c r="BQ390" s="1327"/>
      <c r="BR390" s="1327"/>
      <c r="BS390" s="1327"/>
      <c r="BT390" s="1327"/>
      <c r="BU390" s="1327"/>
      <c r="BV390" s="1327"/>
      <c r="BW390" s="1327"/>
      <c r="BX390" s="1327"/>
      <c r="BY390" s="1327"/>
      <c r="BZ390" s="1327"/>
      <c r="CA390" s="1327"/>
      <c r="CB390" s="1327"/>
      <c r="CC390" s="1327"/>
      <c r="CD390" s="1327"/>
      <c r="CE390" s="1327"/>
      <c r="CF390" s="1327"/>
      <c r="CG390" s="1327"/>
      <c r="CH390" s="1327"/>
      <c r="CI390" s="1327"/>
      <c r="CJ390" s="1327"/>
      <c r="CK390" s="1327"/>
      <c r="CL390" s="1327"/>
      <c r="CM390" s="1327"/>
      <c r="CN390" s="1327"/>
      <c r="CO390" s="1327"/>
      <c r="CP390" s="1327"/>
      <c r="CQ390" s="1327"/>
      <c r="CR390" s="1327"/>
      <c r="CS390" s="1327"/>
      <c r="CT390" s="1317"/>
      <c r="CU390" s="1317"/>
      <c r="CV390" s="1317"/>
      <c r="CW390" s="1317"/>
      <c r="CX390" s="1317"/>
      <c r="CY390" s="1317"/>
      <c r="CZ390" s="1317"/>
      <c r="DA390" s="1317"/>
      <c r="DB390" s="1317"/>
      <c r="DC390" s="1317"/>
      <c r="DD390" s="1317"/>
      <c r="DE390" s="1317"/>
      <c r="DF390" s="1317"/>
      <c r="DG390" s="1317"/>
    </row>
    <row r="391" ht="18.75" customHeight="1">
      <c r="G391" s="1344"/>
      <c r="H391" s="1345">
        <f t="shared" si="4"/>
        <v>0</v>
      </c>
      <c r="I391" s="1381"/>
      <c r="J391" s="1381"/>
      <c r="K391" s="1381"/>
      <c r="L391" s="1381"/>
      <c r="M391" s="1381"/>
      <c r="N391" s="1381"/>
      <c r="O391" s="1381"/>
      <c r="P391" s="1381"/>
      <c r="Q391" s="1381"/>
      <c r="R391" s="1381"/>
      <c r="T391" s="1349"/>
      <c r="U391" s="1349" t="s">
        <v>123</v>
      </c>
      <c r="V391" s="1349" t="s">
        <v>123</v>
      </c>
      <c r="W391" s="1349"/>
      <c r="X391" s="1349"/>
      <c r="Y391" s="1308"/>
      <c r="Z391" s="437" t="str">
        <f>IFERROR(__xludf.DUMMYFUNCTION("IF(NOT('portfólio'!$AV$7),"""",IF($T391="""","""",IFERROR(query({AtivosDados},""select sum(""&amp;Z$3&amp;"") where Col1='""&amp;$T391&amp;""' label sum(""&amp;Z$3&amp;"") ''""),0)))"),"")</f>
        <v/>
      </c>
      <c r="AA391" s="437" t="str">
        <f>IFERROR(__xludf.DUMMYFUNCTION("IF(NOT('portfólio'!$AV$7),"""",IF($T391="""","""",IFERROR(query({AtivosDados},""select sum(""&amp;AA$3&amp;"") where Col1='""&amp;$T391&amp;""' label sum(""&amp;AA$3&amp;"") ''""),0)))"),"")</f>
        <v/>
      </c>
      <c r="AB391" s="437" t="str">
        <f>IFERROR(__xludf.DUMMYFUNCTION("IF(NOT('portfólio'!$AV$7),"""",IF($T391="""","""",IFERROR(query({AtivosDados},""select sum(""&amp;AB$3&amp;"") where Col1='""&amp;$T391&amp;""' label sum(""&amp;AB$3&amp;"") ''""),0)))"),"")</f>
        <v/>
      </c>
      <c r="AC391" s="437" t="str">
        <f>IFERROR(__xludf.DUMMYFUNCTION("IF(NOT('portfólio'!$AV$7),"""",IF($T391="""","""",IFERROR(query({AtivosDados},""select sum(""&amp;AC$3&amp;"") where Col1='""&amp;$T391&amp;""' label sum(""&amp;AC$3&amp;"") ''""),0)))"),"")</f>
        <v/>
      </c>
      <c r="AD391" s="437" t="str">
        <f>IFERROR(__xludf.DUMMYFUNCTION("IF(NOT('portfólio'!$AV$7),"""",IF($T391="""","""",IFERROR(query({AtivosDados},""select sum(""&amp;AD$3&amp;"") where Col1='""&amp;$T391&amp;""' label sum(""&amp;AD$3&amp;"") ''""),0)))"),"")</f>
        <v/>
      </c>
      <c r="AE391" s="437"/>
      <c r="AF391" s="1327"/>
      <c r="AG391" s="437"/>
      <c r="AH391" s="437"/>
      <c r="AI391" s="437"/>
      <c r="AJ391" s="437"/>
      <c r="AK391" s="437"/>
      <c r="AL391" s="437"/>
      <c r="AM391" s="437"/>
      <c r="AN391" s="437"/>
      <c r="AO391" s="437"/>
      <c r="AP391" s="437"/>
      <c r="AQ391" s="1327"/>
      <c r="AR391" s="437"/>
      <c r="AS391" s="437"/>
      <c r="AT391" s="437"/>
      <c r="AU391" s="437"/>
      <c r="AV391" s="437"/>
      <c r="AW391" s="437"/>
      <c r="AX391" s="437"/>
      <c r="AY391" s="437"/>
      <c r="AZ391" s="437"/>
      <c r="BA391" s="437"/>
      <c r="BB391" s="1327"/>
      <c r="BC391" s="437"/>
      <c r="BD391" s="437"/>
      <c r="BE391" s="437"/>
      <c r="BF391" s="437"/>
      <c r="BG391" s="437"/>
      <c r="BH391" s="437"/>
      <c r="BI391" s="437"/>
      <c r="BJ391" s="437"/>
      <c r="BK391" s="437"/>
      <c r="BL391" s="437"/>
      <c r="BM391" s="1327"/>
      <c r="BN391" s="1327"/>
      <c r="BO391" s="1327"/>
      <c r="BP391" s="1327"/>
      <c r="BQ391" s="1327"/>
      <c r="BR391" s="1327"/>
      <c r="BS391" s="1327"/>
      <c r="BT391" s="1327"/>
      <c r="BU391" s="1327"/>
      <c r="BV391" s="1327"/>
      <c r="BW391" s="1327"/>
      <c r="BX391" s="1327"/>
      <c r="BY391" s="1327"/>
      <c r="BZ391" s="1327"/>
      <c r="CA391" s="1327"/>
      <c r="CB391" s="1327"/>
      <c r="CC391" s="1327"/>
      <c r="CD391" s="1327"/>
      <c r="CE391" s="1327"/>
      <c r="CF391" s="1327"/>
      <c r="CG391" s="1327"/>
      <c r="CH391" s="1327"/>
      <c r="CI391" s="1327"/>
      <c r="CJ391" s="1327"/>
      <c r="CK391" s="1327"/>
      <c r="CL391" s="1327"/>
      <c r="CM391" s="1327"/>
      <c r="CN391" s="1327"/>
      <c r="CO391" s="1327"/>
      <c r="CP391" s="1327"/>
      <c r="CQ391" s="1327"/>
      <c r="CR391" s="1327"/>
      <c r="CS391" s="1327"/>
      <c r="CT391" s="1317"/>
      <c r="CU391" s="1317"/>
      <c r="CV391" s="1317"/>
      <c r="CW391" s="1317"/>
      <c r="CX391" s="1317"/>
      <c r="CY391" s="1317"/>
      <c r="CZ391" s="1317"/>
      <c r="DA391" s="1317"/>
      <c r="DB391" s="1317"/>
      <c r="DC391" s="1317"/>
      <c r="DD391" s="1317"/>
      <c r="DE391" s="1317"/>
      <c r="DF391" s="1317"/>
      <c r="DG391" s="1317"/>
    </row>
    <row r="392" ht="18.75" customHeight="1">
      <c r="G392" s="1344"/>
      <c r="H392" s="1345">
        <f t="shared" si="4"/>
        <v>0</v>
      </c>
      <c r="I392" s="1381"/>
      <c r="J392" s="1381"/>
      <c r="K392" s="1381"/>
      <c r="L392" s="1381"/>
      <c r="M392" s="1381"/>
      <c r="N392" s="1381"/>
      <c r="O392" s="1381"/>
      <c r="P392" s="1381"/>
      <c r="Q392" s="1381"/>
      <c r="R392" s="1381"/>
      <c r="T392" s="1349"/>
      <c r="U392" s="1349" t="s">
        <v>123</v>
      </c>
      <c r="V392" s="1349" t="s">
        <v>123</v>
      </c>
      <c r="W392" s="1349"/>
      <c r="X392" s="1349"/>
      <c r="Y392" s="1308"/>
      <c r="Z392" s="437" t="str">
        <f>IFERROR(__xludf.DUMMYFUNCTION("IF(NOT('portfólio'!$AV$7),"""",IF($T392="""","""",IFERROR(query({AtivosDados},""select sum(""&amp;Z$3&amp;"") where Col1='""&amp;$T392&amp;""' label sum(""&amp;Z$3&amp;"") ''""),0)))"),"")</f>
        <v/>
      </c>
      <c r="AA392" s="437" t="str">
        <f>IFERROR(__xludf.DUMMYFUNCTION("IF(NOT('portfólio'!$AV$7),"""",IF($T392="""","""",IFERROR(query({AtivosDados},""select sum(""&amp;AA$3&amp;"") where Col1='""&amp;$T392&amp;""' label sum(""&amp;AA$3&amp;"") ''""),0)))"),"")</f>
        <v/>
      </c>
      <c r="AB392" s="437" t="str">
        <f>IFERROR(__xludf.DUMMYFUNCTION("IF(NOT('portfólio'!$AV$7),"""",IF($T392="""","""",IFERROR(query({AtivosDados},""select sum(""&amp;AB$3&amp;"") where Col1='""&amp;$T392&amp;""' label sum(""&amp;AB$3&amp;"") ''""),0)))"),"")</f>
        <v/>
      </c>
      <c r="AC392" s="437" t="str">
        <f>IFERROR(__xludf.DUMMYFUNCTION("IF(NOT('portfólio'!$AV$7),"""",IF($T392="""","""",IFERROR(query({AtivosDados},""select sum(""&amp;AC$3&amp;"") where Col1='""&amp;$T392&amp;""' label sum(""&amp;AC$3&amp;"") ''""),0)))"),"")</f>
        <v/>
      </c>
      <c r="AD392" s="437" t="str">
        <f>IFERROR(__xludf.DUMMYFUNCTION("IF(NOT('portfólio'!$AV$7),"""",IF($T392="""","""",IFERROR(query({AtivosDados},""select sum(""&amp;AD$3&amp;"") where Col1='""&amp;$T392&amp;""' label sum(""&amp;AD$3&amp;"") ''""),0)))"),"")</f>
        <v/>
      </c>
      <c r="AE392" s="437"/>
      <c r="AF392" s="1327"/>
      <c r="AG392" s="437"/>
      <c r="AH392" s="437"/>
      <c r="AI392" s="437"/>
      <c r="AJ392" s="437"/>
      <c r="AK392" s="437"/>
      <c r="AL392" s="437"/>
      <c r="AM392" s="437"/>
      <c r="AN392" s="437"/>
      <c r="AO392" s="437"/>
      <c r="AP392" s="437"/>
      <c r="AQ392" s="1327"/>
      <c r="AR392" s="437"/>
      <c r="AS392" s="437"/>
      <c r="AT392" s="437"/>
      <c r="AU392" s="437"/>
      <c r="AV392" s="437"/>
      <c r="AW392" s="437"/>
      <c r="AX392" s="437"/>
      <c r="AY392" s="437"/>
      <c r="AZ392" s="437"/>
      <c r="BA392" s="437"/>
      <c r="BB392" s="1327"/>
      <c r="BC392" s="437"/>
      <c r="BD392" s="437"/>
      <c r="BE392" s="437"/>
      <c r="BF392" s="437"/>
      <c r="BG392" s="437"/>
      <c r="BH392" s="437"/>
      <c r="BI392" s="437"/>
      <c r="BJ392" s="437"/>
      <c r="BK392" s="437"/>
      <c r="BL392" s="437"/>
      <c r="BM392" s="1327"/>
      <c r="BN392" s="1327"/>
      <c r="BO392" s="1327"/>
      <c r="BP392" s="1327"/>
      <c r="BQ392" s="1327"/>
      <c r="BR392" s="1327"/>
      <c r="BS392" s="1327"/>
      <c r="BT392" s="1327"/>
      <c r="BU392" s="1327"/>
      <c r="BV392" s="1327"/>
      <c r="BW392" s="1327"/>
      <c r="BX392" s="1327"/>
      <c r="BY392" s="1327"/>
      <c r="BZ392" s="1327"/>
      <c r="CA392" s="1327"/>
      <c r="CB392" s="1327"/>
      <c r="CC392" s="1327"/>
      <c r="CD392" s="1327"/>
      <c r="CE392" s="1327"/>
      <c r="CF392" s="1327"/>
      <c r="CG392" s="1327"/>
      <c r="CH392" s="1327"/>
      <c r="CI392" s="1327"/>
      <c r="CJ392" s="1327"/>
      <c r="CK392" s="1327"/>
      <c r="CL392" s="1327"/>
      <c r="CM392" s="1327"/>
      <c r="CN392" s="1327"/>
      <c r="CO392" s="1327"/>
      <c r="CP392" s="1327"/>
      <c r="CQ392" s="1327"/>
      <c r="CR392" s="1327"/>
      <c r="CS392" s="1327"/>
      <c r="CT392" s="1317"/>
      <c r="CU392" s="1317"/>
      <c r="CV392" s="1317"/>
      <c r="CW392" s="1317"/>
      <c r="CX392" s="1317"/>
      <c r="CY392" s="1317"/>
      <c r="CZ392" s="1317"/>
      <c r="DA392" s="1317"/>
      <c r="DB392" s="1317"/>
      <c r="DC392" s="1317"/>
      <c r="DD392" s="1317"/>
      <c r="DE392" s="1317"/>
      <c r="DF392" s="1317"/>
      <c r="DG392" s="1317"/>
    </row>
    <row r="393" ht="18.75" customHeight="1">
      <c r="G393" s="1344"/>
      <c r="H393" s="1345">
        <f t="shared" si="4"/>
        <v>0</v>
      </c>
      <c r="I393" s="1381"/>
      <c r="J393" s="1381"/>
      <c r="K393" s="1381"/>
      <c r="L393" s="1381"/>
      <c r="M393" s="1381"/>
      <c r="N393" s="1381"/>
      <c r="O393" s="1381"/>
      <c r="P393" s="1381"/>
      <c r="Q393" s="1381"/>
      <c r="R393" s="1381"/>
      <c r="T393" s="1349"/>
      <c r="U393" s="1349" t="s">
        <v>123</v>
      </c>
      <c r="V393" s="1349" t="s">
        <v>123</v>
      </c>
      <c r="W393" s="1349"/>
      <c r="X393" s="1349"/>
      <c r="Y393" s="1308"/>
      <c r="Z393" s="437" t="str">
        <f>IFERROR(__xludf.DUMMYFUNCTION("IF(NOT('portfólio'!$AV$7),"""",IF($T393="""","""",IFERROR(query({AtivosDados},""select sum(""&amp;Z$3&amp;"") where Col1='""&amp;$T393&amp;""' label sum(""&amp;Z$3&amp;"") ''""),0)))"),"")</f>
        <v/>
      </c>
      <c r="AA393" s="437" t="str">
        <f>IFERROR(__xludf.DUMMYFUNCTION("IF(NOT('portfólio'!$AV$7),"""",IF($T393="""","""",IFERROR(query({AtivosDados},""select sum(""&amp;AA$3&amp;"") where Col1='""&amp;$T393&amp;""' label sum(""&amp;AA$3&amp;"") ''""),0)))"),"")</f>
        <v/>
      </c>
      <c r="AB393" s="437" t="str">
        <f>IFERROR(__xludf.DUMMYFUNCTION("IF(NOT('portfólio'!$AV$7),"""",IF($T393="""","""",IFERROR(query({AtivosDados},""select sum(""&amp;AB$3&amp;"") where Col1='""&amp;$T393&amp;""' label sum(""&amp;AB$3&amp;"") ''""),0)))"),"")</f>
        <v/>
      </c>
      <c r="AC393" s="437" t="str">
        <f>IFERROR(__xludf.DUMMYFUNCTION("IF(NOT('portfólio'!$AV$7),"""",IF($T393="""","""",IFERROR(query({AtivosDados},""select sum(""&amp;AC$3&amp;"") where Col1='""&amp;$T393&amp;""' label sum(""&amp;AC$3&amp;"") ''""),0)))"),"")</f>
        <v/>
      </c>
      <c r="AD393" s="437" t="str">
        <f>IFERROR(__xludf.DUMMYFUNCTION("IF(NOT('portfólio'!$AV$7),"""",IF($T393="""","""",IFERROR(query({AtivosDados},""select sum(""&amp;AD$3&amp;"") where Col1='""&amp;$T393&amp;""' label sum(""&amp;AD$3&amp;"") ''""),0)))"),"")</f>
        <v/>
      </c>
      <c r="AE393" s="437"/>
      <c r="AF393" s="1327"/>
      <c r="AG393" s="437"/>
      <c r="AH393" s="437"/>
      <c r="AI393" s="437"/>
      <c r="AJ393" s="437"/>
      <c r="AK393" s="437"/>
      <c r="AL393" s="437"/>
      <c r="AM393" s="437"/>
      <c r="AN393" s="437"/>
      <c r="AO393" s="437"/>
      <c r="AP393" s="437"/>
      <c r="AQ393" s="1327"/>
      <c r="AR393" s="437"/>
      <c r="AS393" s="437"/>
      <c r="AT393" s="437"/>
      <c r="AU393" s="437"/>
      <c r="AV393" s="437"/>
      <c r="AW393" s="437"/>
      <c r="AX393" s="437"/>
      <c r="AY393" s="437"/>
      <c r="AZ393" s="437"/>
      <c r="BA393" s="437"/>
      <c r="BB393" s="1327"/>
      <c r="BC393" s="437"/>
      <c r="BD393" s="437"/>
      <c r="BE393" s="437"/>
      <c r="BF393" s="437"/>
      <c r="BG393" s="437"/>
      <c r="BH393" s="437"/>
      <c r="BI393" s="437"/>
      <c r="BJ393" s="437"/>
      <c r="BK393" s="437"/>
      <c r="BL393" s="437"/>
      <c r="BM393" s="1327"/>
      <c r="BN393" s="1327"/>
      <c r="BO393" s="1327"/>
      <c r="BP393" s="1327"/>
      <c r="BQ393" s="1327"/>
      <c r="BR393" s="1327"/>
      <c r="BS393" s="1327"/>
      <c r="BT393" s="1327"/>
      <c r="BU393" s="1327"/>
      <c r="BV393" s="1327"/>
      <c r="BW393" s="1327"/>
      <c r="BX393" s="1327"/>
      <c r="BY393" s="1327"/>
      <c r="BZ393" s="1327"/>
      <c r="CA393" s="1327"/>
      <c r="CB393" s="1327"/>
      <c r="CC393" s="1327"/>
      <c r="CD393" s="1327"/>
      <c r="CE393" s="1327"/>
      <c r="CF393" s="1327"/>
      <c r="CG393" s="1327"/>
      <c r="CH393" s="1327"/>
      <c r="CI393" s="1327"/>
      <c r="CJ393" s="1327"/>
      <c r="CK393" s="1327"/>
      <c r="CL393" s="1327"/>
      <c r="CM393" s="1327"/>
      <c r="CN393" s="1327"/>
      <c r="CO393" s="1327"/>
      <c r="CP393" s="1327"/>
      <c r="CQ393" s="1327"/>
      <c r="CR393" s="1327"/>
      <c r="CS393" s="1327"/>
      <c r="CT393" s="1317"/>
      <c r="CU393" s="1317"/>
      <c r="CV393" s="1317"/>
      <c r="CW393" s="1317"/>
      <c r="CX393" s="1317"/>
      <c r="CY393" s="1317"/>
      <c r="CZ393" s="1317"/>
      <c r="DA393" s="1317"/>
      <c r="DB393" s="1317"/>
      <c r="DC393" s="1317"/>
      <c r="DD393" s="1317"/>
      <c r="DE393" s="1317"/>
      <c r="DF393" s="1317"/>
      <c r="DG393" s="1317"/>
    </row>
    <row r="394" ht="18.75" customHeight="1">
      <c r="G394" s="1344"/>
      <c r="H394" s="1345">
        <f t="shared" si="4"/>
        <v>0</v>
      </c>
      <c r="I394" s="1381"/>
      <c r="J394" s="1381"/>
      <c r="K394" s="1381"/>
      <c r="L394" s="1381"/>
      <c r="M394" s="1381"/>
      <c r="N394" s="1381"/>
      <c r="O394" s="1381"/>
      <c r="P394" s="1381"/>
      <c r="Q394" s="1381"/>
      <c r="R394" s="1381"/>
      <c r="T394" s="1349"/>
      <c r="U394" s="1349" t="s">
        <v>123</v>
      </c>
      <c r="V394" s="1349" t="s">
        <v>123</v>
      </c>
      <c r="W394" s="1349"/>
      <c r="X394" s="1349"/>
      <c r="Y394" s="1308"/>
      <c r="Z394" s="437" t="str">
        <f>IFERROR(__xludf.DUMMYFUNCTION("IF(NOT('portfólio'!$AV$7),"""",IF($T394="""","""",IFERROR(query({AtivosDados},""select sum(""&amp;Z$3&amp;"") where Col1='""&amp;$T394&amp;""' label sum(""&amp;Z$3&amp;"") ''""),0)))"),"")</f>
        <v/>
      </c>
      <c r="AA394" s="437" t="str">
        <f>IFERROR(__xludf.DUMMYFUNCTION("IF(NOT('portfólio'!$AV$7),"""",IF($T394="""","""",IFERROR(query({AtivosDados},""select sum(""&amp;AA$3&amp;"") where Col1='""&amp;$T394&amp;""' label sum(""&amp;AA$3&amp;"") ''""),0)))"),"")</f>
        <v/>
      </c>
      <c r="AB394" s="437" t="str">
        <f>IFERROR(__xludf.DUMMYFUNCTION("IF(NOT('portfólio'!$AV$7),"""",IF($T394="""","""",IFERROR(query({AtivosDados},""select sum(""&amp;AB$3&amp;"") where Col1='""&amp;$T394&amp;""' label sum(""&amp;AB$3&amp;"") ''""),0)))"),"")</f>
        <v/>
      </c>
      <c r="AC394" s="437" t="str">
        <f>IFERROR(__xludf.DUMMYFUNCTION("IF(NOT('portfólio'!$AV$7),"""",IF($T394="""","""",IFERROR(query({AtivosDados},""select sum(""&amp;AC$3&amp;"") where Col1='""&amp;$T394&amp;""' label sum(""&amp;AC$3&amp;"") ''""),0)))"),"")</f>
        <v/>
      </c>
      <c r="AD394" s="437" t="str">
        <f>IFERROR(__xludf.DUMMYFUNCTION("IF(NOT('portfólio'!$AV$7),"""",IF($T394="""","""",IFERROR(query({AtivosDados},""select sum(""&amp;AD$3&amp;"") where Col1='""&amp;$T394&amp;""' label sum(""&amp;AD$3&amp;"") ''""),0)))"),"")</f>
        <v/>
      </c>
      <c r="AE394" s="437"/>
      <c r="AF394" s="1327"/>
      <c r="AG394" s="437"/>
      <c r="AH394" s="437"/>
      <c r="AI394" s="437"/>
      <c r="AJ394" s="437"/>
      <c r="AK394" s="437"/>
      <c r="AL394" s="437"/>
      <c r="AM394" s="437"/>
      <c r="AN394" s="437"/>
      <c r="AO394" s="437"/>
      <c r="AP394" s="437"/>
      <c r="AQ394" s="1327"/>
      <c r="AR394" s="437"/>
      <c r="AS394" s="437"/>
      <c r="AT394" s="437"/>
      <c r="AU394" s="437"/>
      <c r="AV394" s="437"/>
      <c r="AW394" s="437"/>
      <c r="AX394" s="437"/>
      <c r="AY394" s="437"/>
      <c r="AZ394" s="437"/>
      <c r="BA394" s="437"/>
      <c r="BB394" s="1327"/>
      <c r="BC394" s="437"/>
      <c r="BD394" s="437"/>
      <c r="BE394" s="437"/>
      <c r="BF394" s="437"/>
      <c r="BG394" s="437"/>
      <c r="BH394" s="437"/>
      <c r="BI394" s="437"/>
      <c r="BJ394" s="437"/>
      <c r="BK394" s="437"/>
      <c r="BL394" s="437"/>
      <c r="BM394" s="1327"/>
      <c r="BN394" s="1327"/>
      <c r="BO394" s="1327"/>
      <c r="BP394" s="1327"/>
      <c r="BQ394" s="1327"/>
      <c r="BR394" s="1327"/>
      <c r="BS394" s="1327"/>
      <c r="BT394" s="1327"/>
      <c r="BU394" s="1327"/>
      <c r="BV394" s="1327"/>
      <c r="BW394" s="1327"/>
      <c r="BX394" s="1327"/>
      <c r="BY394" s="1327"/>
      <c r="BZ394" s="1327"/>
      <c r="CA394" s="1327"/>
      <c r="CB394" s="1327"/>
      <c r="CC394" s="1327"/>
      <c r="CD394" s="1327"/>
      <c r="CE394" s="1327"/>
      <c r="CF394" s="1327"/>
      <c r="CG394" s="1327"/>
      <c r="CH394" s="1327"/>
      <c r="CI394" s="1327"/>
      <c r="CJ394" s="1327"/>
      <c r="CK394" s="1327"/>
      <c r="CL394" s="1327"/>
      <c r="CM394" s="1327"/>
      <c r="CN394" s="1327"/>
      <c r="CO394" s="1327"/>
      <c r="CP394" s="1327"/>
      <c r="CQ394" s="1327"/>
      <c r="CR394" s="1327"/>
      <c r="CS394" s="1327"/>
      <c r="CT394" s="1317"/>
      <c r="CU394" s="1317"/>
      <c r="CV394" s="1317"/>
      <c r="CW394" s="1317"/>
      <c r="CX394" s="1317"/>
      <c r="CY394" s="1317"/>
      <c r="CZ394" s="1317"/>
      <c r="DA394" s="1317"/>
      <c r="DB394" s="1317"/>
      <c r="DC394" s="1317"/>
      <c r="DD394" s="1317"/>
      <c r="DE394" s="1317"/>
      <c r="DF394" s="1317"/>
      <c r="DG394" s="1317"/>
    </row>
    <row r="395" ht="18.75" customHeight="1">
      <c r="G395" s="1344"/>
      <c r="H395" s="1345">
        <f t="shared" si="4"/>
        <v>0</v>
      </c>
      <c r="I395" s="1381"/>
      <c r="J395" s="1381"/>
      <c r="K395" s="1381"/>
      <c r="L395" s="1381"/>
      <c r="M395" s="1381"/>
      <c r="N395" s="1381"/>
      <c r="O395" s="1381"/>
      <c r="P395" s="1381"/>
      <c r="Q395" s="1381"/>
      <c r="R395" s="1381"/>
      <c r="T395" s="1349"/>
      <c r="U395" s="1349" t="s">
        <v>123</v>
      </c>
      <c r="V395" s="1349" t="s">
        <v>123</v>
      </c>
      <c r="W395" s="1349"/>
      <c r="X395" s="1349"/>
      <c r="Y395" s="1308"/>
      <c r="Z395" s="437" t="str">
        <f>IFERROR(__xludf.DUMMYFUNCTION("IF(NOT('portfólio'!$AV$7),"""",IF($T395="""","""",IFERROR(query({AtivosDados},""select sum(""&amp;Z$3&amp;"") where Col1='""&amp;$T395&amp;""' label sum(""&amp;Z$3&amp;"") ''""),0)))"),"")</f>
        <v/>
      </c>
      <c r="AA395" s="437" t="str">
        <f>IFERROR(__xludf.DUMMYFUNCTION("IF(NOT('portfólio'!$AV$7),"""",IF($T395="""","""",IFERROR(query({AtivosDados},""select sum(""&amp;AA$3&amp;"") where Col1='""&amp;$T395&amp;""' label sum(""&amp;AA$3&amp;"") ''""),0)))"),"")</f>
        <v/>
      </c>
      <c r="AB395" s="437" t="str">
        <f>IFERROR(__xludf.DUMMYFUNCTION("IF(NOT('portfólio'!$AV$7),"""",IF($T395="""","""",IFERROR(query({AtivosDados},""select sum(""&amp;AB$3&amp;"") where Col1='""&amp;$T395&amp;""' label sum(""&amp;AB$3&amp;"") ''""),0)))"),"")</f>
        <v/>
      </c>
      <c r="AC395" s="437" t="str">
        <f>IFERROR(__xludf.DUMMYFUNCTION("IF(NOT('portfólio'!$AV$7),"""",IF($T395="""","""",IFERROR(query({AtivosDados},""select sum(""&amp;AC$3&amp;"") where Col1='""&amp;$T395&amp;""' label sum(""&amp;AC$3&amp;"") ''""),0)))"),"")</f>
        <v/>
      </c>
      <c r="AD395" s="437" t="str">
        <f>IFERROR(__xludf.DUMMYFUNCTION("IF(NOT('portfólio'!$AV$7),"""",IF($T395="""","""",IFERROR(query({AtivosDados},""select sum(""&amp;AD$3&amp;"") where Col1='""&amp;$T395&amp;""' label sum(""&amp;AD$3&amp;"") ''""),0)))"),"")</f>
        <v/>
      </c>
      <c r="AE395" s="437"/>
      <c r="AF395" s="1327"/>
      <c r="AG395" s="437"/>
      <c r="AH395" s="437"/>
      <c r="AI395" s="437"/>
      <c r="AJ395" s="437"/>
      <c r="AK395" s="437"/>
      <c r="AL395" s="437"/>
      <c r="AM395" s="437"/>
      <c r="AN395" s="437"/>
      <c r="AO395" s="437"/>
      <c r="AP395" s="437"/>
      <c r="AQ395" s="1327"/>
      <c r="AR395" s="437"/>
      <c r="AS395" s="437"/>
      <c r="AT395" s="437"/>
      <c r="AU395" s="437"/>
      <c r="AV395" s="437"/>
      <c r="AW395" s="437"/>
      <c r="AX395" s="437"/>
      <c r="AY395" s="437"/>
      <c r="AZ395" s="437"/>
      <c r="BA395" s="437"/>
      <c r="BB395" s="1327"/>
      <c r="BC395" s="437"/>
      <c r="BD395" s="437"/>
      <c r="BE395" s="437"/>
      <c r="BF395" s="437"/>
      <c r="BG395" s="437"/>
      <c r="BH395" s="437"/>
      <c r="BI395" s="437"/>
      <c r="BJ395" s="437"/>
      <c r="BK395" s="437"/>
      <c r="BL395" s="437"/>
      <c r="BM395" s="1327"/>
      <c r="BN395" s="1327"/>
      <c r="BO395" s="1327"/>
      <c r="BP395" s="1327"/>
      <c r="BQ395" s="1327"/>
      <c r="BR395" s="1327"/>
      <c r="BS395" s="1327"/>
      <c r="BT395" s="1327"/>
      <c r="BU395" s="1327"/>
      <c r="BV395" s="1327"/>
      <c r="BW395" s="1327"/>
      <c r="BX395" s="1327"/>
      <c r="BY395" s="1327"/>
      <c r="BZ395" s="1327"/>
      <c r="CA395" s="1327"/>
      <c r="CB395" s="1327"/>
      <c r="CC395" s="1327"/>
      <c r="CD395" s="1327"/>
      <c r="CE395" s="1327"/>
      <c r="CF395" s="1327"/>
      <c r="CG395" s="1327"/>
      <c r="CH395" s="1327"/>
      <c r="CI395" s="1327"/>
      <c r="CJ395" s="1327"/>
      <c r="CK395" s="1327"/>
      <c r="CL395" s="1327"/>
      <c r="CM395" s="1327"/>
      <c r="CN395" s="1327"/>
      <c r="CO395" s="1327"/>
      <c r="CP395" s="1327"/>
      <c r="CQ395" s="1327"/>
      <c r="CR395" s="1327"/>
      <c r="CS395" s="1327"/>
      <c r="CT395" s="1317"/>
      <c r="CU395" s="1317"/>
      <c r="CV395" s="1317"/>
      <c r="CW395" s="1317"/>
      <c r="CX395" s="1317"/>
      <c r="CY395" s="1317"/>
      <c r="CZ395" s="1317"/>
      <c r="DA395" s="1317"/>
      <c r="DB395" s="1317"/>
      <c r="DC395" s="1317"/>
      <c r="DD395" s="1317"/>
      <c r="DE395" s="1317"/>
      <c r="DF395" s="1317"/>
      <c r="DG395" s="1317"/>
    </row>
    <row r="396" ht="18.75" customHeight="1">
      <c r="G396" s="1344"/>
      <c r="H396" s="1345">
        <f t="shared" si="4"/>
        <v>0</v>
      </c>
      <c r="I396" s="1381"/>
      <c r="J396" s="1381"/>
      <c r="K396" s="1381"/>
      <c r="L396" s="1381"/>
      <c r="M396" s="1381"/>
      <c r="N396" s="1381"/>
      <c r="O396" s="1381"/>
      <c r="P396" s="1381"/>
      <c r="Q396" s="1381"/>
      <c r="R396" s="1381"/>
      <c r="T396" s="1349"/>
      <c r="U396" s="1349" t="s">
        <v>123</v>
      </c>
      <c r="V396" s="1349" t="s">
        <v>123</v>
      </c>
      <c r="W396" s="1349"/>
      <c r="X396" s="1349"/>
      <c r="Y396" s="1308"/>
      <c r="Z396" s="437" t="str">
        <f>IFERROR(__xludf.DUMMYFUNCTION("IF(NOT('portfólio'!$AV$7),"""",IF($T396="""","""",IFERROR(query({AtivosDados},""select sum(""&amp;Z$3&amp;"") where Col1='""&amp;$T396&amp;""' label sum(""&amp;Z$3&amp;"") ''""),0)))"),"")</f>
        <v/>
      </c>
      <c r="AA396" s="437" t="str">
        <f>IFERROR(__xludf.DUMMYFUNCTION("IF(NOT('portfólio'!$AV$7),"""",IF($T396="""","""",IFERROR(query({AtivosDados},""select sum(""&amp;AA$3&amp;"") where Col1='""&amp;$T396&amp;""' label sum(""&amp;AA$3&amp;"") ''""),0)))"),"")</f>
        <v/>
      </c>
      <c r="AB396" s="437" t="str">
        <f>IFERROR(__xludf.DUMMYFUNCTION("IF(NOT('portfólio'!$AV$7),"""",IF($T396="""","""",IFERROR(query({AtivosDados},""select sum(""&amp;AB$3&amp;"") where Col1='""&amp;$T396&amp;""' label sum(""&amp;AB$3&amp;"") ''""),0)))"),"")</f>
        <v/>
      </c>
      <c r="AC396" s="437" t="str">
        <f>IFERROR(__xludf.DUMMYFUNCTION("IF(NOT('portfólio'!$AV$7),"""",IF($T396="""","""",IFERROR(query({AtivosDados},""select sum(""&amp;AC$3&amp;"") where Col1='""&amp;$T396&amp;""' label sum(""&amp;AC$3&amp;"") ''""),0)))"),"")</f>
        <v/>
      </c>
      <c r="AD396" s="437" t="str">
        <f>IFERROR(__xludf.DUMMYFUNCTION("IF(NOT('portfólio'!$AV$7),"""",IF($T396="""","""",IFERROR(query({AtivosDados},""select sum(""&amp;AD$3&amp;"") where Col1='""&amp;$T396&amp;""' label sum(""&amp;AD$3&amp;"") ''""),0)))"),"")</f>
        <v/>
      </c>
      <c r="AE396" s="437"/>
      <c r="AF396" s="1327"/>
      <c r="AG396" s="437"/>
      <c r="AH396" s="437"/>
      <c r="AI396" s="437"/>
      <c r="AJ396" s="437"/>
      <c r="AK396" s="437"/>
      <c r="AL396" s="437"/>
      <c r="AM396" s="437"/>
      <c r="AN396" s="437"/>
      <c r="AO396" s="437"/>
      <c r="AP396" s="437"/>
      <c r="AQ396" s="1327"/>
      <c r="AR396" s="437"/>
      <c r="AS396" s="437"/>
      <c r="AT396" s="437"/>
      <c r="AU396" s="437"/>
      <c r="AV396" s="437"/>
      <c r="AW396" s="437"/>
      <c r="AX396" s="437"/>
      <c r="AY396" s="437"/>
      <c r="AZ396" s="437"/>
      <c r="BA396" s="437"/>
      <c r="BB396" s="1327"/>
      <c r="BC396" s="437"/>
      <c r="BD396" s="437"/>
      <c r="BE396" s="437"/>
      <c r="BF396" s="437"/>
      <c r="BG396" s="437"/>
      <c r="BH396" s="437"/>
      <c r="BI396" s="437"/>
      <c r="BJ396" s="437"/>
      <c r="BK396" s="437"/>
      <c r="BL396" s="437"/>
      <c r="BM396" s="1327"/>
      <c r="BN396" s="1327"/>
      <c r="BO396" s="1327"/>
      <c r="BP396" s="1327"/>
      <c r="BQ396" s="1327"/>
      <c r="BR396" s="1327"/>
      <c r="BS396" s="1327"/>
      <c r="BT396" s="1327"/>
      <c r="BU396" s="1327"/>
      <c r="BV396" s="1327"/>
      <c r="BW396" s="1327"/>
      <c r="BX396" s="1327"/>
      <c r="BY396" s="1327"/>
      <c r="BZ396" s="1327"/>
      <c r="CA396" s="1327"/>
      <c r="CB396" s="1327"/>
      <c r="CC396" s="1327"/>
      <c r="CD396" s="1327"/>
      <c r="CE396" s="1327"/>
      <c r="CF396" s="1327"/>
      <c r="CG396" s="1327"/>
      <c r="CH396" s="1327"/>
      <c r="CI396" s="1327"/>
      <c r="CJ396" s="1327"/>
      <c r="CK396" s="1327"/>
      <c r="CL396" s="1327"/>
      <c r="CM396" s="1327"/>
      <c r="CN396" s="1327"/>
      <c r="CO396" s="1327"/>
      <c r="CP396" s="1327"/>
      <c r="CQ396" s="1327"/>
      <c r="CR396" s="1327"/>
      <c r="CS396" s="1327"/>
      <c r="CT396" s="1317"/>
      <c r="CU396" s="1317"/>
      <c r="CV396" s="1317"/>
      <c r="CW396" s="1317"/>
      <c r="CX396" s="1317"/>
      <c r="CY396" s="1317"/>
      <c r="CZ396" s="1317"/>
      <c r="DA396" s="1317"/>
      <c r="DB396" s="1317"/>
      <c r="DC396" s="1317"/>
      <c r="DD396" s="1317"/>
      <c r="DE396" s="1317"/>
      <c r="DF396" s="1317"/>
      <c r="DG396" s="1317"/>
    </row>
    <row r="397" ht="18.75" customHeight="1">
      <c r="G397" s="1344"/>
      <c r="H397" s="1345">
        <f t="shared" si="4"/>
        <v>0</v>
      </c>
      <c r="I397" s="1381"/>
      <c r="J397" s="1381"/>
      <c r="K397" s="1381"/>
      <c r="L397" s="1381"/>
      <c r="M397" s="1381"/>
      <c r="N397" s="1381"/>
      <c r="O397" s="1381"/>
      <c r="P397" s="1381"/>
      <c r="Q397" s="1381"/>
      <c r="R397" s="1381"/>
      <c r="T397" s="1349"/>
      <c r="U397" s="1349" t="s">
        <v>123</v>
      </c>
      <c r="V397" s="1349" t="s">
        <v>123</v>
      </c>
      <c r="W397" s="1349"/>
      <c r="X397" s="1349"/>
      <c r="Y397" s="1308"/>
      <c r="Z397" s="437" t="str">
        <f>IFERROR(__xludf.DUMMYFUNCTION("IF(NOT('portfólio'!$AV$7),"""",IF($T397="""","""",IFERROR(query({AtivosDados},""select sum(""&amp;Z$3&amp;"") where Col1='""&amp;$T397&amp;""' label sum(""&amp;Z$3&amp;"") ''""),0)))"),"")</f>
        <v/>
      </c>
      <c r="AA397" s="437" t="str">
        <f>IFERROR(__xludf.DUMMYFUNCTION("IF(NOT('portfólio'!$AV$7),"""",IF($T397="""","""",IFERROR(query({AtivosDados},""select sum(""&amp;AA$3&amp;"") where Col1='""&amp;$T397&amp;""' label sum(""&amp;AA$3&amp;"") ''""),0)))"),"")</f>
        <v/>
      </c>
      <c r="AB397" s="437" t="str">
        <f>IFERROR(__xludf.DUMMYFUNCTION("IF(NOT('portfólio'!$AV$7),"""",IF($T397="""","""",IFERROR(query({AtivosDados},""select sum(""&amp;AB$3&amp;"") where Col1='""&amp;$T397&amp;""' label sum(""&amp;AB$3&amp;"") ''""),0)))"),"")</f>
        <v/>
      </c>
      <c r="AC397" s="437" t="str">
        <f>IFERROR(__xludf.DUMMYFUNCTION("IF(NOT('portfólio'!$AV$7),"""",IF($T397="""","""",IFERROR(query({AtivosDados},""select sum(""&amp;AC$3&amp;"") where Col1='""&amp;$T397&amp;""' label sum(""&amp;AC$3&amp;"") ''""),0)))"),"")</f>
        <v/>
      </c>
      <c r="AD397" s="437" t="str">
        <f>IFERROR(__xludf.DUMMYFUNCTION("IF(NOT('portfólio'!$AV$7),"""",IF($T397="""","""",IFERROR(query({AtivosDados},""select sum(""&amp;AD$3&amp;"") where Col1='""&amp;$T397&amp;""' label sum(""&amp;AD$3&amp;"") ''""),0)))"),"")</f>
        <v/>
      </c>
      <c r="AE397" s="437"/>
      <c r="AF397" s="1327"/>
      <c r="AG397" s="437"/>
      <c r="AH397" s="437"/>
      <c r="AI397" s="437"/>
      <c r="AJ397" s="437"/>
      <c r="AK397" s="437"/>
      <c r="AL397" s="437"/>
      <c r="AM397" s="437"/>
      <c r="AN397" s="437"/>
      <c r="AO397" s="437"/>
      <c r="AP397" s="437"/>
      <c r="AQ397" s="1327"/>
      <c r="AR397" s="437"/>
      <c r="AS397" s="437"/>
      <c r="AT397" s="437"/>
      <c r="AU397" s="437"/>
      <c r="AV397" s="437"/>
      <c r="AW397" s="437"/>
      <c r="AX397" s="437"/>
      <c r="AY397" s="437"/>
      <c r="AZ397" s="437"/>
      <c r="BA397" s="437"/>
      <c r="BB397" s="1327"/>
      <c r="BC397" s="437"/>
      <c r="BD397" s="437"/>
      <c r="BE397" s="437"/>
      <c r="BF397" s="437"/>
      <c r="BG397" s="437"/>
      <c r="BH397" s="437"/>
      <c r="BI397" s="437"/>
      <c r="BJ397" s="437"/>
      <c r="BK397" s="437"/>
      <c r="BL397" s="437"/>
      <c r="BM397" s="1327"/>
      <c r="BN397" s="1327"/>
      <c r="BO397" s="1327"/>
      <c r="BP397" s="1327"/>
      <c r="BQ397" s="1327"/>
      <c r="BR397" s="1327"/>
      <c r="BS397" s="1327"/>
      <c r="BT397" s="1327"/>
      <c r="BU397" s="1327"/>
      <c r="BV397" s="1327"/>
      <c r="BW397" s="1327"/>
      <c r="BX397" s="1327"/>
      <c r="BY397" s="1327"/>
      <c r="BZ397" s="1327"/>
      <c r="CA397" s="1327"/>
      <c r="CB397" s="1327"/>
      <c r="CC397" s="1327"/>
      <c r="CD397" s="1327"/>
      <c r="CE397" s="1327"/>
      <c r="CF397" s="1327"/>
      <c r="CG397" s="1327"/>
      <c r="CH397" s="1327"/>
      <c r="CI397" s="1327"/>
      <c r="CJ397" s="1327"/>
      <c r="CK397" s="1327"/>
      <c r="CL397" s="1327"/>
      <c r="CM397" s="1327"/>
      <c r="CN397" s="1327"/>
      <c r="CO397" s="1327"/>
      <c r="CP397" s="1327"/>
      <c r="CQ397" s="1327"/>
      <c r="CR397" s="1327"/>
      <c r="CS397" s="1327"/>
      <c r="CT397" s="1317"/>
      <c r="CU397" s="1317"/>
      <c r="CV397" s="1317"/>
      <c r="CW397" s="1317"/>
      <c r="CX397" s="1317"/>
      <c r="CY397" s="1317"/>
      <c r="CZ397" s="1317"/>
      <c r="DA397" s="1317"/>
      <c r="DB397" s="1317"/>
      <c r="DC397" s="1317"/>
      <c r="DD397" s="1317"/>
      <c r="DE397" s="1317"/>
      <c r="DF397" s="1317"/>
      <c r="DG397" s="1317"/>
    </row>
    <row r="398" ht="18.75" customHeight="1">
      <c r="G398" s="1344"/>
      <c r="H398" s="1345">
        <f t="shared" si="4"/>
        <v>0</v>
      </c>
      <c r="I398" s="1381"/>
      <c r="J398" s="1381"/>
      <c r="K398" s="1381"/>
      <c r="L398" s="1381"/>
      <c r="M398" s="1381"/>
      <c r="N398" s="1381"/>
      <c r="O398" s="1381"/>
      <c r="P398" s="1381"/>
      <c r="Q398" s="1381"/>
      <c r="R398" s="1381"/>
      <c r="T398" s="1349"/>
      <c r="U398" s="1349" t="s">
        <v>123</v>
      </c>
      <c r="V398" s="1349" t="s">
        <v>123</v>
      </c>
      <c r="W398" s="1349"/>
      <c r="X398" s="1349"/>
      <c r="Y398" s="1308"/>
      <c r="Z398" s="437" t="str">
        <f>IFERROR(__xludf.DUMMYFUNCTION("IF(NOT('portfólio'!$AV$7),"""",IF($T398="""","""",IFERROR(query({AtivosDados},""select sum(""&amp;Z$3&amp;"") where Col1='""&amp;$T398&amp;""' label sum(""&amp;Z$3&amp;"") ''""),0)))"),"")</f>
        <v/>
      </c>
      <c r="AA398" s="437" t="str">
        <f>IFERROR(__xludf.DUMMYFUNCTION("IF(NOT('portfólio'!$AV$7),"""",IF($T398="""","""",IFERROR(query({AtivosDados},""select sum(""&amp;AA$3&amp;"") where Col1='""&amp;$T398&amp;""' label sum(""&amp;AA$3&amp;"") ''""),0)))"),"")</f>
        <v/>
      </c>
      <c r="AB398" s="437" t="str">
        <f>IFERROR(__xludf.DUMMYFUNCTION("IF(NOT('portfólio'!$AV$7),"""",IF($T398="""","""",IFERROR(query({AtivosDados},""select sum(""&amp;AB$3&amp;"") where Col1='""&amp;$T398&amp;""' label sum(""&amp;AB$3&amp;"") ''""),0)))"),"")</f>
        <v/>
      </c>
      <c r="AC398" s="437" t="str">
        <f>IFERROR(__xludf.DUMMYFUNCTION("IF(NOT('portfólio'!$AV$7),"""",IF($T398="""","""",IFERROR(query({AtivosDados},""select sum(""&amp;AC$3&amp;"") where Col1='""&amp;$T398&amp;""' label sum(""&amp;AC$3&amp;"") ''""),0)))"),"")</f>
        <v/>
      </c>
      <c r="AD398" s="437" t="str">
        <f>IFERROR(__xludf.DUMMYFUNCTION("IF(NOT('portfólio'!$AV$7),"""",IF($T398="""","""",IFERROR(query({AtivosDados},""select sum(""&amp;AD$3&amp;"") where Col1='""&amp;$T398&amp;""' label sum(""&amp;AD$3&amp;"") ''""),0)))"),"")</f>
        <v/>
      </c>
      <c r="AE398" s="437"/>
      <c r="AF398" s="1327"/>
      <c r="AG398" s="437"/>
      <c r="AH398" s="437"/>
      <c r="AI398" s="437"/>
      <c r="AJ398" s="437"/>
      <c r="AK398" s="437"/>
      <c r="AL398" s="437"/>
      <c r="AM398" s="437"/>
      <c r="AN398" s="437"/>
      <c r="AO398" s="437"/>
      <c r="AP398" s="437"/>
      <c r="AQ398" s="1327"/>
      <c r="AR398" s="437"/>
      <c r="AS398" s="437"/>
      <c r="AT398" s="437"/>
      <c r="AU398" s="437"/>
      <c r="AV398" s="437"/>
      <c r="AW398" s="437"/>
      <c r="AX398" s="437"/>
      <c r="AY398" s="437"/>
      <c r="AZ398" s="437"/>
      <c r="BA398" s="437"/>
      <c r="BB398" s="1327"/>
      <c r="BC398" s="437"/>
      <c r="BD398" s="437"/>
      <c r="BE398" s="437"/>
      <c r="BF398" s="437"/>
      <c r="BG398" s="437"/>
      <c r="BH398" s="437"/>
      <c r="BI398" s="437"/>
      <c r="BJ398" s="437"/>
      <c r="BK398" s="437"/>
      <c r="BL398" s="437"/>
      <c r="BM398" s="1327"/>
      <c r="BN398" s="1327"/>
      <c r="BO398" s="1327"/>
      <c r="BP398" s="1327"/>
      <c r="BQ398" s="1327"/>
      <c r="BR398" s="1327"/>
      <c r="BS398" s="1327"/>
      <c r="BT398" s="1327"/>
      <c r="BU398" s="1327"/>
      <c r="BV398" s="1327"/>
      <c r="BW398" s="1327"/>
      <c r="BX398" s="1327"/>
      <c r="BY398" s="1327"/>
      <c r="BZ398" s="1327"/>
      <c r="CA398" s="1327"/>
      <c r="CB398" s="1327"/>
      <c r="CC398" s="1327"/>
      <c r="CD398" s="1327"/>
      <c r="CE398" s="1327"/>
      <c r="CF398" s="1327"/>
      <c r="CG398" s="1327"/>
      <c r="CH398" s="1327"/>
      <c r="CI398" s="1327"/>
      <c r="CJ398" s="1327"/>
      <c r="CK398" s="1327"/>
      <c r="CL398" s="1327"/>
      <c r="CM398" s="1327"/>
      <c r="CN398" s="1327"/>
      <c r="CO398" s="1327"/>
      <c r="CP398" s="1327"/>
      <c r="CQ398" s="1327"/>
      <c r="CR398" s="1327"/>
      <c r="CS398" s="1327"/>
      <c r="CT398" s="1317"/>
      <c r="CU398" s="1317"/>
      <c r="CV398" s="1317"/>
      <c r="CW398" s="1317"/>
      <c r="CX398" s="1317"/>
      <c r="CY398" s="1317"/>
      <c r="CZ398" s="1317"/>
      <c r="DA398" s="1317"/>
      <c r="DB398" s="1317"/>
      <c r="DC398" s="1317"/>
      <c r="DD398" s="1317"/>
      <c r="DE398" s="1317"/>
      <c r="DF398" s="1317"/>
      <c r="DG398" s="1317"/>
    </row>
    <row r="399" ht="18.75" customHeight="1">
      <c r="G399" s="1344"/>
      <c r="H399" s="1345">
        <f t="shared" si="4"/>
        <v>0</v>
      </c>
      <c r="I399" s="1381"/>
      <c r="J399" s="1381"/>
      <c r="K399" s="1381"/>
      <c r="L399" s="1381"/>
      <c r="M399" s="1381"/>
      <c r="N399" s="1381"/>
      <c r="O399" s="1381"/>
      <c r="P399" s="1381"/>
      <c r="Q399" s="1381"/>
      <c r="R399" s="1381"/>
      <c r="T399" s="1349"/>
      <c r="U399" s="1349" t="s">
        <v>123</v>
      </c>
      <c r="V399" s="1349" t="s">
        <v>123</v>
      </c>
      <c r="W399" s="1349"/>
      <c r="X399" s="1349"/>
      <c r="Y399" s="1308"/>
      <c r="Z399" s="437" t="str">
        <f>IFERROR(__xludf.DUMMYFUNCTION("IF(NOT('portfólio'!$AV$7),"""",IF($T399="""","""",IFERROR(query({AtivosDados},""select sum(""&amp;Z$3&amp;"") where Col1='""&amp;$T399&amp;""' label sum(""&amp;Z$3&amp;"") ''""),0)))"),"")</f>
        <v/>
      </c>
      <c r="AA399" s="437" t="str">
        <f>IFERROR(__xludf.DUMMYFUNCTION("IF(NOT('portfólio'!$AV$7),"""",IF($T399="""","""",IFERROR(query({AtivosDados},""select sum(""&amp;AA$3&amp;"") where Col1='""&amp;$T399&amp;""' label sum(""&amp;AA$3&amp;"") ''""),0)))"),"")</f>
        <v/>
      </c>
      <c r="AB399" s="437" t="str">
        <f>IFERROR(__xludf.DUMMYFUNCTION("IF(NOT('portfólio'!$AV$7),"""",IF($T399="""","""",IFERROR(query({AtivosDados},""select sum(""&amp;AB$3&amp;"") where Col1='""&amp;$T399&amp;""' label sum(""&amp;AB$3&amp;"") ''""),0)))"),"")</f>
        <v/>
      </c>
      <c r="AC399" s="437" t="str">
        <f>IFERROR(__xludf.DUMMYFUNCTION("IF(NOT('portfólio'!$AV$7),"""",IF($T399="""","""",IFERROR(query({AtivosDados},""select sum(""&amp;AC$3&amp;"") where Col1='""&amp;$T399&amp;""' label sum(""&amp;AC$3&amp;"") ''""),0)))"),"")</f>
        <v/>
      </c>
      <c r="AD399" s="437" t="str">
        <f>IFERROR(__xludf.DUMMYFUNCTION("IF(NOT('portfólio'!$AV$7),"""",IF($T399="""","""",IFERROR(query({AtivosDados},""select sum(""&amp;AD$3&amp;"") where Col1='""&amp;$T399&amp;""' label sum(""&amp;AD$3&amp;"") ''""),0)))"),"")</f>
        <v/>
      </c>
      <c r="AE399" s="437"/>
      <c r="AF399" s="1327"/>
      <c r="AG399" s="437"/>
      <c r="AH399" s="437"/>
      <c r="AI399" s="437"/>
      <c r="AJ399" s="437"/>
      <c r="AK399" s="437"/>
      <c r="AL399" s="437"/>
      <c r="AM399" s="437"/>
      <c r="AN399" s="437"/>
      <c r="AO399" s="437"/>
      <c r="AP399" s="437"/>
      <c r="AQ399" s="1327"/>
      <c r="AR399" s="437"/>
      <c r="AS399" s="437"/>
      <c r="AT399" s="437"/>
      <c r="AU399" s="437"/>
      <c r="AV399" s="437"/>
      <c r="AW399" s="437"/>
      <c r="AX399" s="437"/>
      <c r="AY399" s="437"/>
      <c r="AZ399" s="437"/>
      <c r="BA399" s="437"/>
      <c r="BB399" s="1327"/>
      <c r="BC399" s="437"/>
      <c r="BD399" s="437"/>
      <c r="BE399" s="437"/>
      <c r="BF399" s="437"/>
      <c r="BG399" s="437"/>
      <c r="BH399" s="437"/>
      <c r="BI399" s="437"/>
      <c r="BJ399" s="437"/>
      <c r="BK399" s="437"/>
      <c r="BL399" s="437"/>
      <c r="BM399" s="1327"/>
      <c r="BN399" s="1327"/>
      <c r="BO399" s="1327"/>
      <c r="BP399" s="1327"/>
      <c r="BQ399" s="1327"/>
      <c r="BR399" s="1327"/>
      <c r="BS399" s="1327"/>
      <c r="BT399" s="1327"/>
      <c r="BU399" s="1327"/>
      <c r="BV399" s="1327"/>
      <c r="BW399" s="1327"/>
      <c r="BX399" s="1327"/>
      <c r="BY399" s="1327"/>
      <c r="BZ399" s="1327"/>
      <c r="CA399" s="1327"/>
      <c r="CB399" s="1327"/>
      <c r="CC399" s="1327"/>
      <c r="CD399" s="1327"/>
      <c r="CE399" s="1327"/>
      <c r="CF399" s="1327"/>
      <c r="CG399" s="1327"/>
      <c r="CH399" s="1327"/>
      <c r="CI399" s="1327"/>
      <c r="CJ399" s="1327"/>
      <c r="CK399" s="1327"/>
      <c r="CL399" s="1327"/>
      <c r="CM399" s="1327"/>
      <c r="CN399" s="1327"/>
      <c r="CO399" s="1327"/>
      <c r="CP399" s="1327"/>
      <c r="CQ399" s="1327"/>
      <c r="CR399" s="1327"/>
      <c r="CS399" s="1327"/>
      <c r="CT399" s="1317"/>
      <c r="CU399" s="1317"/>
      <c r="CV399" s="1317"/>
      <c r="CW399" s="1317"/>
      <c r="CX399" s="1317"/>
      <c r="CY399" s="1317"/>
      <c r="CZ399" s="1317"/>
      <c r="DA399" s="1317"/>
      <c r="DB399" s="1317"/>
      <c r="DC399" s="1317"/>
      <c r="DD399" s="1317"/>
      <c r="DE399" s="1317"/>
      <c r="DF399" s="1317"/>
      <c r="DG399" s="1317"/>
    </row>
    <row r="400" ht="18.75" customHeight="1">
      <c r="G400" s="1344"/>
      <c r="H400" s="1345">
        <f t="shared" si="4"/>
        <v>0</v>
      </c>
      <c r="I400" s="1381"/>
      <c r="J400" s="1381"/>
      <c r="K400" s="1381"/>
      <c r="L400" s="1381"/>
      <c r="M400" s="1381"/>
      <c r="N400" s="1381"/>
      <c r="O400" s="1381"/>
      <c r="P400" s="1381"/>
      <c r="Q400" s="1381"/>
      <c r="R400" s="1381"/>
      <c r="T400" s="1349"/>
      <c r="U400" s="1349" t="s">
        <v>123</v>
      </c>
      <c r="V400" s="1349" t="s">
        <v>123</v>
      </c>
      <c r="W400" s="1349"/>
      <c r="X400" s="1349"/>
      <c r="Y400" s="1308"/>
      <c r="Z400" s="437" t="str">
        <f>IFERROR(__xludf.DUMMYFUNCTION("IF(NOT('portfólio'!$AV$7),"""",IF($T400="""","""",IFERROR(query({AtivosDados},""select sum(""&amp;Z$3&amp;"") where Col1='""&amp;$T400&amp;""' label sum(""&amp;Z$3&amp;"") ''""),0)))"),"")</f>
        <v/>
      </c>
      <c r="AA400" s="437" t="str">
        <f>IFERROR(__xludf.DUMMYFUNCTION("IF(NOT('portfólio'!$AV$7),"""",IF($T400="""","""",IFERROR(query({AtivosDados},""select sum(""&amp;AA$3&amp;"") where Col1='""&amp;$T400&amp;""' label sum(""&amp;AA$3&amp;"") ''""),0)))"),"")</f>
        <v/>
      </c>
      <c r="AB400" s="437" t="str">
        <f>IFERROR(__xludf.DUMMYFUNCTION("IF(NOT('portfólio'!$AV$7),"""",IF($T400="""","""",IFERROR(query({AtivosDados},""select sum(""&amp;AB$3&amp;"") where Col1='""&amp;$T400&amp;""' label sum(""&amp;AB$3&amp;"") ''""),0)))"),"")</f>
        <v/>
      </c>
      <c r="AC400" s="437" t="str">
        <f>IFERROR(__xludf.DUMMYFUNCTION("IF(NOT('portfólio'!$AV$7),"""",IF($T400="""","""",IFERROR(query({AtivosDados},""select sum(""&amp;AC$3&amp;"") where Col1='""&amp;$T400&amp;""' label sum(""&amp;AC$3&amp;"") ''""),0)))"),"")</f>
        <v/>
      </c>
      <c r="AD400" s="437" t="str">
        <f>IFERROR(__xludf.DUMMYFUNCTION("IF(NOT('portfólio'!$AV$7),"""",IF($T400="""","""",IFERROR(query({AtivosDados},""select sum(""&amp;AD$3&amp;"") where Col1='""&amp;$T400&amp;""' label sum(""&amp;AD$3&amp;"") ''""),0)))"),"")</f>
        <v/>
      </c>
      <c r="AE400" s="437"/>
      <c r="AF400" s="1327"/>
      <c r="AG400" s="437"/>
      <c r="AH400" s="437"/>
      <c r="AI400" s="437"/>
      <c r="AJ400" s="437"/>
      <c r="AK400" s="437"/>
      <c r="AL400" s="437"/>
      <c r="AM400" s="437"/>
      <c r="AN400" s="437"/>
      <c r="AO400" s="437"/>
      <c r="AP400" s="437"/>
      <c r="AQ400" s="1327"/>
      <c r="AR400" s="437"/>
      <c r="AS400" s="437"/>
      <c r="AT400" s="437"/>
      <c r="AU400" s="437"/>
      <c r="AV400" s="437"/>
      <c r="AW400" s="437"/>
      <c r="AX400" s="437"/>
      <c r="AY400" s="437"/>
      <c r="AZ400" s="437"/>
      <c r="BA400" s="437"/>
      <c r="BB400" s="1327"/>
      <c r="BC400" s="437"/>
      <c r="BD400" s="437"/>
      <c r="BE400" s="437"/>
      <c r="BF400" s="437"/>
      <c r="BG400" s="437"/>
      <c r="BH400" s="437"/>
      <c r="BI400" s="437"/>
      <c r="BJ400" s="437"/>
      <c r="BK400" s="437"/>
      <c r="BL400" s="437"/>
      <c r="BM400" s="1327"/>
      <c r="BN400" s="1327"/>
      <c r="BO400" s="1327"/>
      <c r="BP400" s="1327"/>
      <c r="BQ400" s="1327"/>
      <c r="BR400" s="1327"/>
      <c r="BS400" s="1327"/>
      <c r="BT400" s="1327"/>
      <c r="BU400" s="1327"/>
      <c r="BV400" s="1327"/>
      <c r="BW400" s="1327"/>
      <c r="BX400" s="1327"/>
      <c r="BY400" s="1327"/>
      <c r="BZ400" s="1327"/>
      <c r="CA400" s="1327"/>
      <c r="CB400" s="1327"/>
      <c r="CC400" s="1327"/>
      <c r="CD400" s="1327"/>
      <c r="CE400" s="1327"/>
      <c r="CF400" s="1327"/>
      <c r="CG400" s="1327"/>
      <c r="CH400" s="1327"/>
      <c r="CI400" s="1327"/>
      <c r="CJ400" s="1327"/>
      <c r="CK400" s="1327"/>
      <c r="CL400" s="1327"/>
      <c r="CM400" s="1327"/>
      <c r="CN400" s="1327"/>
      <c r="CO400" s="1327"/>
      <c r="CP400" s="1327"/>
      <c r="CQ400" s="1327"/>
      <c r="CR400" s="1327"/>
      <c r="CS400" s="1327"/>
      <c r="CT400" s="1317"/>
      <c r="CU400" s="1317"/>
      <c r="CV400" s="1317"/>
      <c r="CW400" s="1317"/>
      <c r="CX400" s="1317"/>
      <c r="CY400" s="1317"/>
      <c r="CZ400" s="1317"/>
      <c r="DA400" s="1317"/>
      <c r="DB400" s="1317"/>
      <c r="DC400" s="1317"/>
      <c r="DD400" s="1317"/>
      <c r="DE400" s="1317"/>
      <c r="DF400" s="1317"/>
      <c r="DG400" s="1317"/>
    </row>
    <row r="401" ht="18.75" customHeight="1">
      <c r="G401" s="1344"/>
      <c r="H401" s="1345">
        <f t="shared" si="4"/>
        <v>0</v>
      </c>
      <c r="I401" s="1381"/>
      <c r="J401" s="1381"/>
      <c r="K401" s="1381"/>
      <c r="L401" s="1381"/>
      <c r="M401" s="1381"/>
      <c r="N401" s="1381"/>
      <c r="O401" s="1381"/>
      <c r="P401" s="1381"/>
      <c r="Q401" s="1381"/>
      <c r="R401" s="1381"/>
      <c r="T401" s="1349"/>
      <c r="U401" s="1349" t="s">
        <v>123</v>
      </c>
      <c r="V401" s="1349" t="s">
        <v>123</v>
      </c>
      <c r="W401" s="1349"/>
      <c r="X401" s="1349"/>
      <c r="Y401" s="1308"/>
      <c r="Z401" s="437" t="str">
        <f>IFERROR(__xludf.DUMMYFUNCTION("IF(NOT('portfólio'!$AV$7),"""",IF($T401="""","""",IFERROR(query({AtivosDados},""select sum(""&amp;Z$3&amp;"") where Col1='""&amp;$T401&amp;""' label sum(""&amp;Z$3&amp;"") ''""),0)))"),"")</f>
        <v/>
      </c>
      <c r="AA401" s="437" t="str">
        <f>IFERROR(__xludf.DUMMYFUNCTION("IF(NOT('portfólio'!$AV$7),"""",IF($T401="""","""",IFERROR(query({AtivosDados},""select sum(""&amp;AA$3&amp;"") where Col1='""&amp;$T401&amp;""' label sum(""&amp;AA$3&amp;"") ''""),0)))"),"")</f>
        <v/>
      </c>
      <c r="AB401" s="437" t="str">
        <f>IFERROR(__xludf.DUMMYFUNCTION("IF(NOT('portfólio'!$AV$7),"""",IF($T401="""","""",IFERROR(query({AtivosDados},""select sum(""&amp;AB$3&amp;"") where Col1='""&amp;$T401&amp;""' label sum(""&amp;AB$3&amp;"") ''""),0)))"),"")</f>
        <v/>
      </c>
      <c r="AC401" s="437" t="str">
        <f>IFERROR(__xludf.DUMMYFUNCTION("IF(NOT('portfólio'!$AV$7),"""",IF($T401="""","""",IFERROR(query({AtivosDados},""select sum(""&amp;AC$3&amp;"") where Col1='""&amp;$T401&amp;""' label sum(""&amp;AC$3&amp;"") ''""),0)))"),"")</f>
        <v/>
      </c>
      <c r="AD401" s="437" t="str">
        <f>IFERROR(__xludf.DUMMYFUNCTION("IF(NOT('portfólio'!$AV$7),"""",IF($T401="""","""",IFERROR(query({AtivosDados},""select sum(""&amp;AD$3&amp;"") where Col1='""&amp;$T401&amp;""' label sum(""&amp;AD$3&amp;"") ''""),0)))"),"")</f>
        <v/>
      </c>
      <c r="AE401" s="437"/>
      <c r="AF401" s="1327"/>
      <c r="AG401" s="437"/>
      <c r="AH401" s="437"/>
      <c r="AI401" s="437"/>
      <c r="AJ401" s="437"/>
      <c r="AK401" s="437"/>
      <c r="AL401" s="437"/>
      <c r="AM401" s="437"/>
      <c r="AN401" s="437"/>
      <c r="AO401" s="437"/>
      <c r="AP401" s="437"/>
      <c r="AQ401" s="1327"/>
      <c r="AR401" s="437"/>
      <c r="AS401" s="437"/>
      <c r="AT401" s="437"/>
      <c r="AU401" s="437"/>
      <c r="AV401" s="437"/>
      <c r="AW401" s="437"/>
      <c r="AX401" s="437"/>
      <c r="AY401" s="437"/>
      <c r="AZ401" s="437"/>
      <c r="BA401" s="437"/>
      <c r="BB401" s="1327"/>
      <c r="BC401" s="437"/>
      <c r="BD401" s="437"/>
      <c r="BE401" s="437"/>
      <c r="BF401" s="437"/>
      <c r="BG401" s="437"/>
      <c r="BH401" s="437"/>
      <c r="BI401" s="437"/>
      <c r="BJ401" s="437"/>
      <c r="BK401" s="437"/>
      <c r="BL401" s="437"/>
      <c r="BM401" s="1327"/>
      <c r="BN401" s="1327"/>
      <c r="BO401" s="1327"/>
      <c r="BP401" s="1327"/>
      <c r="BQ401" s="1327"/>
      <c r="BR401" s="1327"/>
      <c r="BS401" s="1327"/>
      <c r="BT401" s="1327"/>
      <c r="BU401" s="1327"/>
      <c r="BV401" s="1327"/>
      <c r="BW401" s="1327"/>
      <c r="BX401" s="1327"/>
      <c r="BY401" s="1327"/>
      <c r="BZ401" s="1327"/>
      <c r="CA401" s="1327"/>
      <c r="CB401" s="1327"/>
      <c r="CC401" s="1327"/>
      <c r="CD401" s="1327"/>
      <c r="CE401" s="1327"/>
      <c r="CF401" s="1327"/>
      <c r="CG401" s="1327"/>
      <c r="CH401" s="1327"/>
      <c r="CI401" s="1327"/>
      <c r="CJ401" s="1327"/>
      <c r="CK401" s="1327"/>
      <c r="CL401" s="1327"/>
      <c r="CM401" s="1327"/>
      <c r="CN401" s="1327"/>
      <c r="CO401" s="1327"/>
      <c r="CP401" s="1327"/>
      <c r="CQ401" s="1327"/>
      <c r="CR401" s="1327"/>
      <c r="CS401" s="1327"/>
      <c r="CT401" s="1317"/>
      <c r="CU401" s="1317"/>
      <c r="CV401" s="1317"/>
      <c r="CW401" s="1317"/>
      <c r="CX401" s="1317"/>
      <c r="CY401" s="1317"/>
      <c r="CZ401" s="1317"/>
      <c r="DA401" s="1317"/>
      <c r="DB401" s="1317"/>
      <c r="DC401" s="1317"/>
      <c r="DD401" s="1317"/>
      <c r="DE401" s="1317"/>
      <c r="DF401" s="1317"/>
      <c r="DG401" s="1317"/>
    </row>
    <row r="402" ht="18.75" customHeight="1">
      <c r="G402" s="1344"/>
      <c r="H402" s="1345">
        <f t="shared" si="4"/>
        <v>0</v>
      </c>
      <c r="I402" s="1381"/>
      <c r="J402" s="1381"/>
      <c r="K402" s="1381"/>
      <c r="L402" s="1381"/>
      <c r="M402" s="1381"/>
      <c r="N402" s="1381"/>
      <c r="O402" s="1381"/>
      <c r="P402" s="1381"/>
      <c r="Q402" s="1381"/>
      <c r="R402" s="1381"/>
      <c r="T402" s="1349"/>
      <c r="U402" s="1349" t="s">
        <v>123</v>
      </c>
      <c r="V402" s="1349" t="s">
        <v>123</v>
      </c>
      <c r="W402" s="1349"/>
      <c r="X402" s="1349"/>
      <c r="Y402" s="1308"/>
      <c r="Z402" s="437" t="str">
        <f>IFERROR(__xludf.DUMMYFUNCTION("IF(NOT('portfólio'!$AV$7),"""",IF($T402="""","""",IFERROR(query({AtivosDados},""select sum(""&amp;Z$3&amp;"") where Col1='""&amp;$T402&amp;""' label sum(""&amp;Z$3&amp;"") ''""),0)))"),"")</f>
        <v/>
      </c>
      <c r="AA402" s="437" t="str">
        <f>IFERROR(__xludf.DUMMYFUNCTION("IF(NOT('portfólio'!$AV$7),"""",IF($T402="""","""",IFERROR(query({AtivosDados},""select sum(""&amp;AA$3&amp;"") where Col1='""&amp;$T402&amp;""' label sum(""&amp;AA$3&amp;"") ''""),0)))"),"")</f>
        <v/>
      </c>
      <c r="AB402" s="437" t="str">
        <f>IFERROR(__xludf.DUMMYFUNCTION("IF(NOT('portfólio'!$AV$7),"""",IF($T402="""","""",IFERROR(query({AtivosDados},""select sum(""&amp;AB$3&amp;"") where Col1='""&amp;$T402&amp;""' label sum(""&amp;AB$3&amp;"") ''""),0)))"),"")</f>
        <v/>
      </c>
      <c r="AC402" s="437" t="str">
        <f>IFERROR(__xludf.DUMMYFUNCTION("IF(NOT('portfólio'!$AV$7),"""",IF($T402="""","""",IFERROR(query({AtivosDados},""select sum(""&amp;AC$3&amp;"") where Col1='""&amp;$T402&amp;""' label sum(""&amp;AC$3&amp;"") ''""),0)))"),"")</f>
        <v/>
      </c>
      <c r="AD402" s="437" t="str">
        <f>IFERROR(__xludf.DUMMYFUNCTION("IF(NOT('portfólio'!$AV$7),"""",IF($T402="""","""",IFERROR(query({AtivosDados},""select sum(""&amp;AD$3&amp;"") where Col1='""&amp;$T402&amp;""' label sum(""&amp;AD$3&amp;"") ''""),0)))"),"")</f>
        <v/>
      </c>
      <c r="AE402" s="437"/>
      <c r="AF402" s="1327"/>
      <c r="AG402" s="437"/>
      <c r="AH402" s="437"/>
      <c r="AI402" s="437"/>
      <c r="AJ402" s="437"/>
      <c r="AK402" s="437"/>
      <c r="AL402" s="437"/>
      <c r="AM402" s="437"/>
      <c r="AN402" s="437"/>
      <c r="AO402" s="437"/>
      <c r="AP402" s="437"/>
      <c r="AQ402" s="1327"/>
      <c r="AR402" s="437"/>
      <c r="AS402" s="437"/>
      <c r="AT402" s="437"/>
      <c r="AU402" s="437"/>
      <c r="AV402" s="437"/>
      <c r="AW402" s="437"/>
      <c r="AX402" s="437"/>
      <c r="AY402" s="437"/>
      <c r="AZ402" s="437"/>
      <c r="BA402" s="437"/>
      <c r="BB402" s="1327"/>
      <c r="BC402" s="437"/>
      <c r="BD402" s="437"/>
      <c r="BE402" s="437"/>
      <c r="BF402" s="437"/>
      <c r="BG402" s="437"/>
      <c r="BH402" s="437"/>
      <c r="BI402" s="437"/>
      <c r="BJ402" s="437"/>
      <c r="BK402" s="437"/>
      <c r="BL402" s="437"/>
      <c r="BM402" s="1327"/>
      <c r="BN402" s="1327"/>
      <c r="BO402" s="1327"/>
      <c r="BP402" s="1327"/>
      <c r="BQ402" s="1327"/>
      <c r="BR402" s="1327"/>
      <c r="BS402" s="1327"/>
      <c r="BT402" s="1327"/>
      <c r="BU402" s="1327"/>
      <c r="BV402" s="1327"/>
      <c r="BW402" s="1327"/>
      <c r="BX402" s="1327"/>
      <c r="BY402" s="1327"/>
      <c r="BZ402" s="1327"/>
      <c r="CA402" s="1327"/>
      <c r="CB402" s="1327"/>
      <c r="CC402" s="1327"/>
      <c r="CD402" s="1327"/>
      <c r="CE402" s="1327"/>
      <c r="CF402" s="1327"/>
      <c r="CG402" s="1327"/>
      <c r="CH402" s="1327"/>
      <c r="CI402" s="1327"/>
      <c r="CJ402" s="1327"/>
      <c r="CK402" s="1327"/>
      <c r="CL402" s="1327"/>
      <c r="CM402" s="1327"/>
      <c r="CN402" s="1327"/>
      <c r="CO402" s="1327"/>
      <c r="CP402" s="1327"/>
      <c r="CQ402" s="1327"/>
      <c r="CR402" s="1327"/>
      <c r="CS402" s="1327"/>
      <c r="CT402" s="1317"/>
      <c r="CU402" s="1317"/>
      <c r="CV402" s="1317"/>
      <c r="CW402" s="1317"/>
      <c r="CX402" s="1317"/>
      <c r="CY402" s="1317"/>
      <c r="CZ402" s="1317"/>
      <c r="DA402" s="1317"/>
      <c r="DB402" s="1317"/>
      <c r="DC402" s="1317"/>
      <c r="DD402" s="1317"/>
      <c r="DE402" s="1317"/>
      <c r="DF402" s="1317"/>
      <c r="DG402" s="1317"/>
    </row>
    <row r="403" ht="18.75" customHeight="1">
      <c r="G403" s="1344"/>
      <c r="H403" s="1345">
        <f t="shared" si="4"/>
        <v>0</v>
      </c>
      <c r="I403" s="1381"/>
      <c r="J403" s="1381"/>
      <c r="K403" s="1381"/>
      <c r="L403" s="1381"/>
      <c r="M403" s="1381"/>
      <c r="N403" s="1381"/>
      <c r="O403" s="1381"/>
      <c r="P403" s="1381"/>
      <c r="Q403" s="1381"/>
      <c r="R403" s="1381"/>
      <c r="T403" s="1349"/>
      <c r="U403" s="1349" t="s">
        <v>123</v>
      </c>
      <c r="V403" s="1349" t="s">
        <v>123</v>
      </c>
      <c r="W403" s="1349"/>
      <c r="X403" s="1349"/>
      <c r="Y403" s="1308"/>
      <c r="Z403" s="437" t="str">
        <f>IFERROR(__xludf.DUMMYFUNCTION("IF(NOT('portfólio'!$AV$7),"""",IF($T403="""","""",IFERROR(query({AtivosDados},""select sum(""&amp;Z$3&amp;"") where Col1='""&amp;$T403&amp;""' label sum(""&amp;Z$3&amp;"") ''""),0)))"),"")</f>
        <v/>
      </c>
      <c r="AA403" s="437" t="str">
        <f>IFERROR(__xludf.DUMMYFUNCTION("IF(NOT('portfólio'!$AV$7),"""",IF($T403="""","""",IFERROR(query({AtivosDados},""select sum(""&amp;AA$3&amp;"") where Col1='""&amp;$T403&amp;""' label sum(""&amp;AA$3&amp;"") ''""),0)))"),"")</f>
        <v/>
      </c>
      <c r="AB403" s="437" t="str">
        <f>IFERROR(__xludf.DUMMYFUNCTION("IF(NOT('portfólio'!$AV$7),"""",IF($T403="""","""",IFERROR(query({AtivosDados},""select sum(""&amp;AB$3&amp;"") where Col1='""&amp;$T403&amp;""' label sum(""&amp;AB$3&amp;"") ''""),0)))"),"")</f>
        <v/>
      </c>
      <c r="AC403" s="437" t="str">
        <f>IFERROR(__xludf.DUMMYFUNCTION("IF(NOT('portfólio'!$AV$7),"""",IF($T403="""","""",IFERROR(query({AtivosDados},""select sum(""&amp;AC$3&amp;"") where Col1='""&amp;$T403&amp;""' label sum(""&amp;AC$3&amp;"") ''""),0)))"),"")</f>
        <v/>
      </c>
      <c r="AD403" s="437" t="str">
        <f>IFERROR(__xludf.DUMMYFUNCTION("IF(NOT('portfólio'!$AV$7),"""",IF($T403="""","""",IFERROR(query({AtivosDados},""select sum(""&amp;AD$3&amp;"") where Col1='""&amp;$T403&amp;""' label sum(""&amp;AD$3&amp;"") ''""),0)))"),"")</f>
        <v/>
      </c>
      <c r="AE403" s="437"/>
      <c r="AF403" s="1327"/>
      <c r="AG403" s="437"/>
      <c r="AH403" s="437"/>
      <c r="AI403" s="437"/>
      <c r="AJ403" s="437"/>
      <c r="AK403" s="437"/>
      <c r="AL403" s="437"/>
      <c r="AM403" s="437"/>
      <c r="AN403" s="437"/>
      <c r="AO403" s="437"/>
      <c r="AP403" s="437"/>
      <c r="AQ403" s="1327"/>
      <c r="AR403" s="437"/>
      <c r="AS403" s="437"/>
      <c r="AT403" s="437"/>
      <c r="AU403" s="437"/>
      <c r="AV403" s="437"/>
      <c r="AW403" s="437"/>
      <c r="AX403" s="437"/>
      <c r="AY403" s="437"/>
      <c r="AZ403" s="437"/>
      <c r="BA403" s="437"/>
      <c r="BB403" s="1327"/>
      <c r="BC403" s="437"/>
      <c r="BD403" s="437"/>
      <c r="BE403" s="437"/>
      <c r="BF403" s="437"/>
      <c r="BG403" s="437"/>
      <c r="BH403" s="437"/>
      <c r="BI403" s="437"/>
      <c r="BJ403" s="437"/>
      <c r="BK403" s="437"/>
      <c r="BL403" s="437"/>
      <c r="BM403" s="1327"/>
      <c r="BN403" s="1327"/>
      <c r="BO403" s="1327"/>
      <c r="BP403" s="1327"/>
      <c r="BQ403" s="1327"/>
      <c r="BR403" s="1327"/>
      <c r="BS403" s="1327"/>
      <c r="BT403" s="1327"/>
      <c r="BU403" s="1327"/>
      <c r="BV403" s="1327"/>
      <c r="BW403" s="1327"/>
      <c r="BX403" s="1327"/>
      <c r="BY403" s="1327"/>
      <c r="BZ403" s="1327"/>
      <c r="CA403" s="1327"/>
      <c r="CB403" s="1327"/>
      <c r="CC403" s="1327"/>
      <c r="CD403" s="1327"/>
      <c r="CE403" s="1327"/>
      <c r="CF403" s="1327"/>
      <c r="CG403" s="1327"/>
      <c r="CH403" s="1327"/>
      <c r="CI403" s="1327"/>
      <c r="CJ403" s="1327"/>
      <c r="CK403" s="1327"/>
      <c r="CL403" s="1327"/>
      <c r="CM403" s="1327"/>
      <c r="CN403" s="1327"/>
      <c r="CO403" s="1327"/>
      <c r="CP403" s="1327"/>
      <c r="CQ403" s="1327"/>
      <c r="CR403" s="1327"/>
      <c r="CS403" s="1327"/>
      <c r="CT403" s="1317"/>
      <c r="CU403" s="1317"/>
      <c r="CV403" s="1317"/>
      <c r="CW403" s="1317"/>
      <c r="CX403" s="1317"/>
      <c r="CY403" s="1317"/>
      <c r="CZ403" s="1317"/>
      <c r="DA403" s="1317"/>
      <c r="DB403" s="1317"/>
      <c r="DC403" s="1317"/>
      <c r="DD403" s="1317"/>
      <c r="DE403" s="1317"/>
      <c r="DF403" s="1317"/>
      <c r="DG403" s="1317"/>
    </row>
    <row r="404" ht="18.75" customHeight="1">
      <c r="G404" s="1344"/>
      <c r="H404" s="1345">
        <f t="shared" si="4"/>
        <v>0</v>
      </c>
      <c r="I404" s="1381"/>
      <c r="J404" s="1381"/>
      <c r="K404" s="1381"/>
      <c r="L404" s="1381"/>
      <c r="M404" s="1381"/>
      <c r="N404" s="1381"/>
      <c r="O404" s="1381"/>
      <c r="P404" s="1381"/>
      <c r="Q404" s="1381"/>
      <c r="R404" s="1381"/>
      <c r="T404" s="1349"/>
      <c r="U404" s="1349" t="s">
        <v>123</v>
      </c>
      <c r="V404" s="1349" t="s">
        <v>123</v>
      </c>
      <c r="W404" s="1349"/>
      <c r="X404" s="1349"/>
      <c r="Y404" s="1308"/>
      <c r="Z404" s="437" t="str">
        <f>IFERROR(__xludf.DUMMYFUNCTION("IF(NOT('portfólio'!$AV$7),"""",IF($T404="""","""",IFERROR(query({AtivosDados},""select sum(""&amp;Z$3&amp;"") where Col1='""&amp;$T404&amp;""' label sum(""&amp;Z$3&amp;"") ''""),0)))"),"")</f>
        <v/>
      </c>
      <c r="AA404" s="437" t="str">
        <f>IFERROR(__xludf.DUMMYFUNCTION("IF(NOT('portfólio'!$AV$7),"""",IF($T404="""","""",IFERROR(query({AtivosDados},""select sum(""&amp;AA$3&amp;"") where Col1='""&amp;$T404&amp;""' label sum(""&amp;AA$3&amp;"") ''""),0)))"),"")</f>
        <v/>
      </c>
      <c r="AB404" s="437" t="str">
        <f>IFERROR(__xludf.DUMMYFUNCTION("IF(NOT('portfólio'!$AV$7),"""",IF($T404="""","""",IFERROR(query({AtivosDados},""select sum(""&amp;AB$3&amp;"") where Col1='""&amp;$T404&amp;""' label sum(""&amp;AB$3&amp;"") ''""),0)))"),"")</f>
        <v/>
      </c>
      <c r="AC404" s="437" t="str">
        <f>IFERROR(__xludf.DUMMYFUNCTION("IF(NOT('portfólio'!$AV$7),"""",IF($T404="""","""",IFERROR(query({AtivosDados},""select sum(""&amp;AC$3&amp;"") where Col1='""&amp;$T404&amp;""' label sum(""&amp;AC$3&amp;"") ''""),0)))"),"")</f>
        <v/>
      </c>
      <c r="AD404" s="437" t="str">
        <f>IFERROR(__xludf.DUMMYFUNCTION("IF(NOT('portfólio'!$AV$7),"""",IF($T404="""","""",IFERROR(query({AtivosDados},""select sum(""&amp;AD$3&amp;"") where Col1='""&amp;$T404&amp;""' label sum(""&amp;AD$3&amp;"") ''""),0)))"),"")</f>
        <v/>
      </c>
      <c r="AE404" s="437"/>
      <c r="AF404" s="1327"/>
      <c r="AG404" s="437"/>
      <c r="AH404" s="437"/>
      <c r="AI404" s="437"/>
      <c r="AJ404" s="437"/>
      <c r="AK404" s="437"/>
      <c r="AL404" s="437"/>
      <c r="AM404" s="437"/>
      <c r="AN404" s="437"/>
      <c r="AO404" s="437"/>
      <c r="AP404" s="437"/>
      <c r="AQ404" s="1327"/>
      <c r="AR404" s="437"/>
      <c r="AS404" s="437"/>
      <c r="AT404" s="437"/>
      <c r="AU404" s="437"/>
      <c r="AV404" s="437"/>
      <c r="AW404" s="437"/>
      <c r="AX404" s="437"/>
      <c r="AY404" s="437"/>
      <c r="AZ404" s="437"/>
      <c r="BA404" s="437"/>
      <c r="BB404" s="1327"/>
      <c r="BC404" s="437"/>
      <c r="BD404" s="437"/>
      <c r="BE404" s="437"/>
      <c r="BF404" s="437"/>
      <c r="BG404" s="437"/>
      <c r="BH404" s="437"/>
      <c r="BI404" s="437"/>
      <c r="BJ404" s="437"/>
      <c r="BK404" s="437"/>
      <c r="BL404" s="437"/>
      <c r="BM404" s="1327"/>
      <c r="BN404" s="1327"/>
      <c r="BO404" s="1327"/>
      <c r="BP404" s="1327"/>
      <c r="BQ404" s="1327"/>
      <c r="BR404" s="1327"/>
      <c r="BS404" s="1327"/>
      <c r="BT404" s="1327"/>
      <c r="BU404" s="1327"/>
      <c r="BV404" s="1327"/>
      <c r="BW404" s="1327"/>
      <c r="BX404" s="1327"/>
      <c r="BY404" s="1327"/>
      <c r="BZ404" s="1327"/>
      <c r="CA404" s="1327"/>
      <c r="CB404" s="1327"/>
      <c r="CC404" s="1327"/>
      <c r="CD404" s="1327"/>
      <c r="CE404" s="1327"/>
      <c r="CF404" s="1327"/>
      <c r="CG404" s="1327"/>
      <c r="CH404" s="1327"/>
      <c r="CI404" s="1327"/>
      <c r="CJ404" s="1327"/>
      <c r="CK404" s="1327"/>
      <c r="CL404" s="1327"/>
      <c r="CM404" s="1327"/>
      <c r="CN404" s="1327"/>
      <c r="CO404" s="1327"/>
      <c r="CP404" s="1327"/>
      <c r="CQ404" s="1327"/>
      <c r="CR404" s="1327"/>
      <c r="CS404" s="1327"/>
      <c r="CT404" s="1317"/>
      <c r="CU404" s="1317"/>
      <c r="CV404" s="1317"/>
      <c r="CW404" s="1317"/>
      <c r="CX404" s="1317"/>
      <c r="CY404" s="1317"/>
      <c r="CZ404" s="1317"/>
      <c r="DA404" s="1317"/>
      <c r="DB404" s="1317"/>
      <c r="DC404" s="1317"/>
      <c r="DD404" s="1317"/>
      <c r="DE404" s="1317"/>
      <c r="DF404" s="1317"/>
      <c r="DG404" s="1317"/>
    </row>
    <row r="405" ht="18.75" customHeight="1">
      <c r="G405" s="1344"/>
      <c r="H405" s="1345">
        <f t="shared" si="4"/>
        <v>0</v>
      </c>
      <c r="I405" s="1381"/>
      <c r="J405" s="1381"/>
      <c r="K405" s="1381"/>
      <c r="L405" s="1381"/>
      <c r="M405" s="1381"/>
      <c r="N405" s="1381"/>
      <c r="O405" s="1381"/>
      <c r="P405" s="1381"/>
      <c r="Q405" s="1381"/>
      <c r="R405" s="1381"/>
      <c r="T405" s="1349"/>
      <c r="U405" s="1349" t="s">
        <v>123</v>
      </c>
      <c r="V405" s="1349" t="s">
        <v>123</v>
      </c>
      <c r="W405" s="1349"/>
      <c r="X405" s="1349"/>
      <c r="Y405" s="1308"/>
      <c r="Z405" s="437" t="str">
        <f>IFERROR(__xludf.DUMMYFUNCTION("IF(NOT('portfólio'!$AV$7),"""",IF($T405="""","""",IFERROR(query({AtivosDados},""select sum(""&amp;Z$3&amp;"") where Col1='""&amp;$T405&amp;""' label sum(""&amp;Z$3&amp;"") ''""),0)))"),"")</f>
        <v/>
      </c>
      <c r="AA405" s="437" t="str">
        <f>IFERROR(__xludf.DUMMYFUNCTION("IF(NOT('portfólio'!$AV$7),"""",IF($T405="""","""",IFERROR(query({AtivosDados},""select sum(""&amp;AA$3&amp;"") where Col1='""&amp;$T405&amp;""' label sum(""&amp;AA$3&amp;"") ''""),0)))"),"")</f>
        <v/>
      </c>
      <c r="AB405" s="437" t="str">
        <f>IFERROR(__xludf.DUMMYFUNCTION("IF(NOT('portfólio'!$AV$7),"""",IF($T405="""","""",IFERROR(query({AtivosDados},""select sum(""&amp;AB$3&amp;"") where Col1='""&amp;$T405&amp;""' label sum(""&amp;AB$3&amp;"") ''""),0)))"),"")</f>
        <v/>
      </c>
      <c r="AC405" s="437" t="str">
        <f>IFERROR(__xludf.DUMMYFUNCTION("IF(NOT('portfólio'!$AV$7),"""",IF($T405="""","""",IFERROR(query({AtivosDados},""select sum(""&amp;AC$3&amp;"") where Col1='""&amp;$T405&amp;""' label sum(""&amp;AC$3&amp;"") ''""),0)))"),"")</f>
        <v/>
      </c>
      <c r="AD405" s="437" t="str">
        <f>IFERROR(__xludf.DUMMYFUNCTION("IF(NOT('portfólio'!$AV$7),"""",IF($T405="""","""",IFERROR(query({AtivosDados},""select sum(""&amp;AD$3&amp;"") where Col1='""&amp;$T405&amp;""' label sum(""&amp;AD$3&amp;"") ''""),0)))"),"")</f>
        <v/>
      </c>
      <c r="AE405" s="437"/>
      <c r="AF405" s="1327"/>
      <c r="AG405" s="437"/>
      <c r="AH405" s="437"/>
      <c r="AI405" s="437"/>
      <c r="AJ405" s="437"/>
      <c r="AK405" s="437"/>
      <c r="AL405" s="437"/>
      <c r="AM405" s="437"/>
      <c r="AN405" s="437"/>
      <c r="AO405" s="437"/>
      <c r="AP405" s="437"/>
      <c r="AQ405" s="1327"/>
      <c r="AR405" s="437"/>
      <c r="AS405" s="437"/>
      <c r="AT405" s="437"/>
      <c r="AU405" s="437"/>
      <c r="AV405" s="437"/>
      <c r="AW405" s="437"/>
      <c r="AX405" s="437"/>
      <c r="AY405" s="437"/>
      <c r="AZ405" s="437"/>
      <c r="BA405" s="437"/>
      <c r="BB405" s="1327"/>
      <c r="BC405" s="437"/>
      <c r="BD405" s="437"/>
      <c r="BE405" s="437"/>
      <c r="BF405" s="437"/>
      <c r="BG405" s="437"/>
      <c r="BH405" s="437"/>
      <c r="BI405" s="437"/>
      <c r="BJ405" s="437"/>
      <c r="BK405" s="437"/>
      <c r="BL405" s="437"/>
      <c r="BM405" s="1327"/>
      <c r="BN405" s="1327"/>
      <c r="BO405" s="1327"/>
      <c r="BP405" s="1327"/>
      <c r="BQ405" s="1327"/>
      <c r="BR405" s="1327"/>
      <c r="BS405" s="1327"/>
      <c r="BT405" s="1327"/>
      <c r="BU405" s="1327"/>
      <c r="BV405" s="1327"/>
      <c r="BW405" s="1327"/>
      <c r="BX405" s="1327"/>
      <c r="BY405" s="1327"/>
      <c r="BZ405" s="1327"/>
      <c r="CA405" s="1327"/>
      <c r="CB405" s="1327"/>
      <c r="CC405" s="1327"/>
      <c r="CD405" s="1327"/>
      <c r="CE405" s="1327"/>
      <c r="CF405" s="1327"/>
      <c r="CG405" s="1327"/>
      <c r="CH405" s="1327"/>
      <c r="CI405" s="1327"/>
      <c r="CJ405" s="1327"/>
      <c r="CK405" s="1327"/>
      <c r="CL405" s="1327"/>
      <c r="CM405" s="1327"/>
      <c r="CN405" s="1327"/>
      <c r="CO405" s="1327"/>
      <c r="CP405" s="1327"/>
      <c r="CQ405" s="1327"/>
      <c r="CR405" s="1327"/>
      <c r="CS405" s="1327"/>
      <c r="CT405" s="1317"/>
      <c r="CU405" s="1317"/>
      <c r="CV405" s="1317"/>
      <c r="CW405" s="1317"/>
      <c r="CX405" s="1317"/>
      <c r="CY405" s="1317"/>
      <c r="CZ405" s="1317"/>
      <c r="DA405" s="1317"/>
      <c r="DB405" s="1317"/>
      <c r="DC405" s="1317"/>
      <c r="DD405" s="1317"/>
      <c r="DE405" s="1317"/>
      <c r="DF405" s="1317"/>
      <c r="DG405" s="1317"/>
    </row>
    <row r="406" ht="18.75" customHeight="1">
      <c r="G406" s="1344"/>
      <c r="H406" s="1345">
        <f t="shared" si="4"/>
        <v>0</v>
      </c>
      <c r="I406" s="1381"/>
      <c r="J406" s="1381"/>
      <c r="K406" s="1381"/>
      <c r="L406" s="1381"/>
      <c r="M406" s="1381"/>
      <c r="N406" s="1381"/>
      <c r="O406" s="1381"/>
      <c r="P406" s="1381"/>
      <c r="Q406" s="1381"/>
      <c r="R406" s="1381"/>
      <c r="T406" s="1349"/>
      <c r="U406" s="1349" t="s">
        <v>123</v>
      </c>
      <c r="V406" s="1349" t="s">
        <v>123</v>
      </c>
      <c r="W406" s="1349"/>
      <c r="X406" s="1349"/>
      <c r="Y406" s="1308"/>
      <c r="Z406" s="437" t="str">
        <f>IFERROR(__xludf.DUMMYFUNCTION("IF(NOT('portfólio'!$AV$7),"""",IF($T406="""","""",IFERROR(query({AtivosDados},""select sum(""&amp;Z$3&amp;"") where Col1='""&amp;$T406&amp;""' label sum(""&amp;Z$3&amp;"") ''""),0)))"),"")</f>
        <v/>
      </c>
      <c r="AA406" s="437" t="str">
        <f>IFERROR(__xludf.DUMMYFUNCTION("IF(NOT('portfólio'!$AV$7),"""",IF($T406="""","""",IFERROR(query({AtivosDados},""select sum(""&amp;AA$3&amp;"") where Col1='""&amp;$T406&amp;""' label sum(""&amp;AA$3&amp;"") ''""),0)))"),"")</f>
        <v/>
      </c>
      <c r="AB406" s="437" t="str">
        <f>IFERROR(__xludf.DUMMYFUNCTION("IF(NOT('portfólio'!$AV$7),"""",IF($T406="""","""",IFERROR(query({AtivosDados},""select sum(""&amp;AB$3&amp;"") where Col1='""&amp;$T406&amp;""' label sum(""&amp;AB$3&amp;"") ''""),0)))"),"")</f>
        <v/>
      </c>
      <c r="AC406" s="437" t="str">
        <f>IFERROR(__xludf.DUMMYFUNCTION("IF(NOT('portfólio'!$AV$7),"""",IF($T406="""","""",IFERROR(query({AtivosDados},""select sum(""&amp;AC$3&amp;"") where Col1='""&amp;$T406&amp;""' label sum(""&amp;AC$3&amp;"") ''""),0)))"),"")</f>
        <v/>
      </c>
      <c r="AD406" s="437" t="str">
        <f>IFERROR(__xludf.DUMMYFUNCTION("IF(NOT('portfólio'!$AV$7),"""",IF($T406="""","""",IFERROR(query({AtivosDados},""select sum(""&amp;AD$3&amp;"") where Col1='""&amp;$T406&amp;""' label sum(""&amp;AD$3&amp;"") ''""),0)))"),"")</f>
        <v/>
      </c>
      <c r="AE406" s="437"/>
      <c r="AF406" s="1327"/>
      <c r="AG406" s="437"/>
      <c r="AH406" s="437"/>
      <c r="AI406" s="437"/>
      <c r="AJ406" s="437"/>
      <c r="AK406" s="437"/>
      <c r="AL406" s="437"/>
      <c r="AM406" s="437"/>
      <c r="AN406" s="437"/>
      <c r="AO406" s="437"/>
      <c r="AP406" s="437"/>
      <c r="AQ406" s="1327"/>
      <c r="AR406" s="437"/>
      <c r="AS406" s="437"/>
      <c r="AT406" s="437"/>
      <c r="AU406" s="437"/>
      <c r="AV406" s="437"/>
      <c r="AW406" s="437"/>
      <c r="AX406" s="437"/>
      <c r="AY406" s="437"/>
      <c r="AZ406" s="437"/>
      <c r="BA406" s="437"/>
      <c r="BB406" s="1327"/>
      <c r="BC406" s="437"/>
      <c r="BD406" s="437"/>
      <c r="BE406" s="437"/>
      <c r="BF406" s="437"/>
      <c r="BG406" s="437"/>
      <c r="BH406" s="437"/>
      <c r="BI406" s="437"/>
      <c r="BJ406" s="437"/>
      <c r="BK406" s="437"/>
      <c r="BL406" s="437"/>
      <c r="BM406" s="1327"/>
      <c r="BN406" s="1327"/>
      <c r="BO406" s="1327"/>
      <c r="BP406" s="1327"/>
      <c r="BQ406" s="1327"/>
      <c r="BR406" s="1327"/>
      <c r="BS406" s="1327"/>
      <c r="BT406" s="1327"/>
      <c r="BU406" s="1327"/>
      <c r="BV406" s="1327"/>
      <c r="BW406" s="1327"/>
      <c r="BX406" s="1327"/>
      <c r="BY406" s="1327"/>
      <c r="BZ406" s="1327"/>
      <c r="CA406" s="1327"/>
      <c r="CB406" s="1327"/>
      <c r="CC406" s="1327"/>
      <c r="CD406" s="1327"/>
      <c r="CE406" s="1327"/>
      <c r="CF406" s="1327"/>
      <c r="CG406" s="1327"/>
      <c r="CH406" s="1327"/>
      <c r="CI406" s="1327"/>
      <c r="CJ406" s="1327"/>
      <c r="CK406" s="1327"/>
      <c r="CL406" s="1327"/>
      <c r="CM406" s="1327"/>
      <c r="CN406" s="1327"/>
      <c r="CO406" s="1327"/>
      <c r="CP406" s="1327"/>
      <c r="CQ406" s="1327"/>
      <c r="CR406" s="1327"/>
      <c r="CS406" s="1327"/>
      <c r="CT406" s="1317"/>
      <c r="CU406" s="1317"/>
      <c r="CV406" s="1317"/>
      <c r="CW406" s="1317"/>
      <c r="CX406" s="1317"/>
      <c r="CY406" s="1317"/>
      <c r="CZ406" s="1317"/>
      <c r="DA406" s="1317"/>
      <c r="DB406" s="1317"/>
      <c r="DC406" s="1317"/>
      <c r="DD406" s="1317"/>
      <c r="DE406" s="1317"/>
      <c r="DF406" s="1317"/>
      <c r="DG406" s="1317"/>
    </row>
    <row r="407" ht="18.75" customHeight="1">
      <c r="G407" s="1344"/>
      <c r="H407" s="1345">
        <f t="shared" si="4"/>
        <v>0</v>
      </c>
      <c r="I407" s="1381"/>
      <c r="J407" s="1381"/>
      <c r="K407" s="1381"/>
      <c r="L407" s="1381"/>
      <c r="M407" s="1381"/>
      <c r="N407" s="1381"/>
      <c r="O407" s="1381"/>
      <c r="P407" s="1381"/>
      <c r="Q407" s="1381"/>
      <c r="R407" s="1381"/>
      <c r="T407" s="1349"/>
      <c r="U407" s="1349" t="s">
        <v>123</v>
      </c>
      <c r="V407" s="1349" t="s">
        <v>123</v>
      </c>
      <c r="W407" s="1349"/>
      <c r="X407" s="1349"/>
      <c r="Y407" s="1308"/>
      <c r="Z407" s="437" t="str">
        <f>IFERROR(__xludf.DUMMYFUNCTION("IF(NOT('portfólio'!$AV$7),"""",IF($T407="""","""",IFERROR(query({AtivosDados},""select sum(""&amp;Z$3&amp;"") where Col1='""&amp;$T407&amp;""' label sum(""&amp;Z$3&amp;"") ''""),0)))"),"")</f>
        <v/>
      </c>
      <c r="AA407" s="437" t="str">
        <f>IFERROR(__xludf.DUMMYFUNCTION("IF(NOT('portfólio'!$AV$7),"""",IF($T407="""","""",IFERROR(query({AtivosDados},""select sum(""&amp;AA$3&amp;"") where Col1='""&amp;$T407&amp;""' label sum(""&amp;AA$3&amp;"") ''""),0)))"),"")</f>
        <v/>
      </c>
      <c r="AB407" s="437" t="str">
        <f>IFERROR(__xludf.DUMMYFUNCTION("IF(NOT('portfólio'!$AV$7),"""",IF($T407="""","""",IFERROR(query({AtivosDados},""select sum(""&amp;AB$3&amp;"") where Col1='""&amp;$T407&amp;""' label sum(""&amp;AB$3&amp;"") ''""),0)))"),"")</f>
        <v/>
      </c>
      <c r="AC407" s="437" t="str">
        <f>IFERROR(__xludf.DUMMYFUNCTION("IF(NOT('portfólio'!$AV$7),"""",IF($T407="""","""",IFERROR(query({AtivosDados},""select sum(""&amp;AC$3&amp;"") where Col1='""&amp;$T407&amp;""' label sum(""&amp;AC$3&amp;"") ''""),0)))"),"")</f>
        <v/>
      </c>
      <c r="AD407" s="437" t="str">
        <f>IFERROR(__xludf.DUMMYFUNCTION("IF(NOT('portfólio'!$AV$7),"""",IF($T407="""","""",IFERROR(query({AtivosDados},""select sum(""&amp;AD$3&amp;"") where Col1='""&amp;$T407&amp;""' label sum(""&amp;AD$3&amp;"") ''""),0)))"),"")</f>
        <v/>
      </c>
      <c r="AE407" s="437"/>
      <c r="AF407" s="1327"/>
      <c r="AG407" s="437"/>
      <c r="AH407" s="437"/>
      <c r="AI407" s="437"/>
      <c r="AJ407" s="437"/>
      <c r="AK407" s="437"/>
      <c r="AL407" s="437"/>
      <c r="AM407" s="437"/>
      <c r="AN407" s="437"/>
      <c r="AO407" s="437"/>
      <c r="AP407" s="437"/>
      <c r="AQ407" s="1327"/>
      <c r="AR407" s="437"/>
      <c r="AS407" s="437"/>
      <c r="AT407" s="437"/>
      <c r="AU407" s="437"/>
      <c r="AV407" s="437"/>
      <c r="AW407" s="437"/>
      <c r="AX407" s="437"/>
      <c r="AY407" s="437"/>
      <c r="AZ407" s="437"/>
      <c r="BA407" s="437"/>
      <c r="BB407" s="1327"/>
      <c r="BC407" s="437"/>
      <c r="BD407" s="437"/>
      <c r="BE407" s="437"/>
      <c r="BF407" s="437"/>
      <c r="BG407" s="437"/>
      <c r="BH407" s="437"/>
      <c r="BI407" s="437"/>
      <c r="BJ407" s="437"/>
      <c r="BK407" s="437"/>
      <c r="BL407" s="437"/>
      <c r="BM407" s="1327"/>
      <c r="BN407" s="1327"/>
      <c r="BO407" s="1327"/>
      <c r="BP407" s="1327"/>
      <c r="BQ407" s="1327"/>
      <c r="BR407" s="1327"/>
      <c r="BS407" s="1327"/>
      <c r="BT407" s="1327"/>
      <c r="BU407" s="1327"/>
      <c r="BV407" s="1327"/>
      <c r="BW407" s="1327"/>
      <c r="BX407" s="1327"/>
      <c r="BY407" s="1327"/>
      <c r="BZ407" s="1327"/>
      <c r="CA407" s="1327"/>
      <c r="CB407" s="1327"/>
      <c r="CC407" s="1327"/>
      <c r="CD407" s="1327"/>
      <c r="CE407" s="1327"/>
      <c r="CF407" s="1327"/>
      <c r="CG407" s="1327"/>
      <c r="CH407" s="1327"/>
      <c r="CI407" s="1327"/>
      <c r="CJ407" s="1327"/>
      <c r="CK407" s="1327"/>
      <c r="CL407" s="1327"/>
      <c r="CM407" s="1327"/>
      <c r="CN407" s="1327"/>
      <c r="CO407" s="1327"/>
      <c r="CP407" s="1327"/>
      <c r="CQ407" s="1327"/>
      <c r="CR407" s="1327"/>
      <c r="CS407" s="1327"/>
      <c r="CT407" s="1317"/>
      <c r="CU407" s="1317"/>
      <c r="CV407" s="1317"/>
      <c r="CW407" s="1317"/>
      <c r="CX407" s="1317"/>
      <c r="CY407" s="1317"/>
      <c r="CZ407" s="1317"/>
      <c r="DA407" s="1317"/>
      <c r="DB407" s="1317"/>
      <c r="DC407" s="1317"/>
      <c r="DD407" s="1317"/>
      <c r="DE407" s="1317"/>
      <c r="DF407" s="1317"/>
      <c r="DG407" s="1317"/>
    </row>
    <row r="408" ht="18.75" customHeight="1">
      <c r="G408" s="1344"/>
      <c r="H408" s="1345">
        <f t="shared" si="4"/>
        <v>0</v>
      </c>
      <c r="I408" s="1381"/>
      <c r="J408" s="1381"/>
      <c r="K408" s="1381"/>
      <c r="L408" s="1381"/>
      <c r="M408" s="1381"/>
      <c r="N408" s="1381"/>
      <c r="O408" s="1381"/>
      <c r="P408" s="1381"/>
      <c r="Q408" s="1381"/>
      <c r="R408" s="1381"/>
      <c r="T408" s="1349"/>
      <c r="U408" s="1349" t="s">
        <v>123</v>
      </c>
      <c r="V408" s="1349" t="s">
        <v>123</v>
      </c>
      <c r="W408" s="1349"/>
      <c r="X408" s="1349"/>
      <c r="Y408" s="1308"/>
      <c r="Z408" s="437" t="str">
        <f>IFERROR(__xludf.DUMMYFUNCTION("IF(NOT('portfólio'!$AV$7),"""",IF($T408="""","""",IFERROR(query({AtivosDados},""select sum(""&amp;Z$3&amp;"") where Col1='""&amp;$T408&amp;""' label sum(""&amp;Z$3&amp;"") ''""),0)))"),"")</f>
        <v/>
      </c>
      <c r="AA408" s="437" t="str">
        <f>IFERROR(__xludf.DUMMYFUNCTION("IF(NOT('portfólio'!$AV$7),"""",IF($T408="""","""",IFERROR(query({AtivosDados},""select sum(""&amp;AA$3&amp;"") where Col1='""&amp;$T408&amp;""' label sum(""&amp;AA$3&amp;"") ''""),0)))"),"")</f>
        <v/>
      </c>
      <c r="AB408" s="437" t="str">
        <f>IFERROR(__xludf.DUMMYFUNCTION("IF(NOT('portfólio'!$AV$7),"""",IF($T408="""","""",IFERROR(query({AtivosDados},""select sum(""&amp;AB$3&amp;"") where Col1='""&amp;$T408&amp;""' label sum(""&amp;AB$3&amp;"") ''""),0)))"),"")</f>
        <v/>
      </c>
      <c r="AC408" s="437" t="str">
        <f>IFERROR(__xludf.DUMMYFUNCTION("IF(NOT('portfólio'!$AV$7),"""",IF($T408="""","""",IFERROR(query({AtivosDados},""select sum(""&amp;AC$3&amp;"") where Col1='""&amp;$T408&amp;""' label sum(""&amp;AC$3&amp;"") ''""),0)))"),"")</f>
        <v/>
      </c>
      <c r="AD408" s="437" t="str">
        <f>IFERROR(__xludf.DUMMYFUNCTION("IF(NOT('portfólio'!$AV$7),"""",IF($T408="""","""",IFERROR(query({AtivosDados},""select sum(""&amp;AD$3&amp;"") where Col1='""&amp;$T408&amp;""' label sum(""&amp;AD$3&amp;"") ''""),0)))"),"")</f>
        <v/>
      </c>
      <c r="AE408" s="437"/>
      <c r="AF408" s="1327"/>
      <c r="AG408" s="437"/>
      <c r="AH408" s="437"/>
      <c r="AI408" s="437"/>
      <c r="AJ408" s="437"/>
      <c r="AK408" s="437"/>
      <c r="AL408" s="437"/>
      <c r="AM408" s="437"/>
      <c r="AN408" s="437"/>
      <c r="AO408" s="437"/>
      <c r="AP408" s="437"/>
      <c r="AQ408" s="1327"/>
      <c r="AR408" s="437"/>
      <c r="AS408" s="437"/>
      <c r="AT408" s="437"/>
      <c r="AU408" s="437"/>
      <c r="AV408" s="437"/>
      <c r="AW408" s="437"/>
      <c r="AX408" s="437"/>
      <c r="AY408" s="437"/>
      <c r="AZ408" s="437"/>
      <c r="BA408" s="437"/>
      <c r="BB408" s="1327"/>
      <c r="BC408" s="437"/>
      <c r="BD408" s="437"/>
      <c r="BE408" s="437"/>
      <c r="BF408" s="437"/>
      <c r="BG408" s="437"/>
      <c r="BH408" s="437"/>
      <c r="BI408" s="437"/>
      <c r="BJ408" s="437"/>
      <c r="BK408" s="437"/>
      <c r="BL408" s="437"/>
      <c r="BM408" s="1327"/>
      <c r="BN408" s="1327"/>
      <c r="BO408" s="1327"/>
      <c r="BP408" s="1327"/>
      <c r="BQ408" s="1327"/>
      <c r="BR408" s="1327"/>
      <c r="BS408" s="1327"/>
      <c r="BT408" s="1327"/>
      <c r="BU408" s="1327"/>
      <c r="BV408" s="1327"/>
      <c r="BW408" s="1327"/>
      <c r="BX408" s="1327"/>
      <c r="BY408" s="1327"/>
      <c r="BZ408" s="1327"/>
      <c r="CA408" s="1327"/>
      <c r="CB408" s="1327"/>
      <c r="CC408" s="1327"/>
      <c r="CD408" s="1327"/>
      <c r="CE408" s="1327"/>
      <c r="CF408" s="1327"/>
      <c r="CG408" s="1327"/>
      <c r="CH408" s="1327"/>
      <c r="CI408" s="1327"/>
      <c r="CJ408" s="1327"/>
      <c r="CK408" s="1327"/>
      <c r="CL408" s="1327"/>
      <c r="CM408" s="1327"/>
      <c r="CN408" s="1327"/>
      <c r="CO408" s="1327"/>
      <c r="CP408" s="1327"/>
      <c r="CQ408" s="1327"/>
      <c r="CR408" s="1327"/>
      <c r="CS408" s="1327"/>
      <c r="CT408" s="1317"/>
      <c r="CU408" s="1317"/>
      <c r="CV408" s="1317"/>
      <c r="CW408" s="1317"/>
      <c r="CX408" s="1317"/>
      <c r="CY408" s="1317"/>
      <c r="CZ408" s="1317"/>
      <c r="DA408" s="1317"/>
      <c r="DB408" s="1317"/>
      <c r="DC408" s="1317"/>
      <c r="DD408" s="1317"/>
      <c r="DE408" s="1317"/>
      <c r="DF408" s="1317"/>
      <c r="DG408" s="1317"/>
    </row>
    <row r="409" ht="18.75" customHeight="1">
      <c r="G409" s="1344"/>
      <c r="H409" s="1345">
        <f t="shared" si="4"/>
        <v>0</v>
      </c>
      <c r="I409" s="1381"/>
      <c r="J409" s="1381"/>
      <c r="K409" s="1381"/>
      <c r="L409" s="1381"/>
      <c r="M409" s="1381"/>
      <c r="N409" s="1381"/>
      <c r="O409" s="1381"/>
      <c r="P409" s="1381"/>
      <c r="Q409" s="1381"/>
      <c r="R409" s="1381"/>
      <c r="T409" s="1349"/>
      <c r="U409" s="1349" t="s">
        <v>123</v>
      </c>
      <c r="V409" s="1349" t="s">
        <v>123</v>
      </c>
      <c r="W409" s="1349"/>
      <c r="X409" s="1349"/>
      <c r="Y409" s="1308"/>
      <c r="Z409" s="437" t="str">
        <f>IFERROR(__xludf.DUMMYFUNCTION("IF(NOT('portfólio'!$AV$7),"""",IF($T409="""","""",IFERROR(query({AtivosDados},""select sum(""&amp;Z$3&amp;"") where Col1='""&amp;$T409&amp;""' label sum(""&amp;Z$3&amp;"") ''""),0)))"),"")</f>
        <v/>
      </c>
      <c r="AA409" s="437" t="str">
        <f>IFERROR(__xludf.DUMMYFUNCTION("IF(NOT('portfólio'!$AV$7),"""",IF($T409="""","""",IFERROR(query({AtivosDados},""select sum(""&amp;AA$3&amp;"") where Col1='""&amp;$T409&amp;""' label sum(""&amp;AA$3&amp;"") ''""),0)))"),"")</f>
        <v/>
      </c>
      <c r="AB409" s="437" t="str">
        <f>IFERROR(__xludf.DUMMYFUNCTION("IF(NOT('portfólio'!$AV$7),"""",IF($T409="""","""",IFERROR(query({AtivosDados},""select sum(""&amp;AB$3&amp;"") where Col1='""&amp;$T409&amp;""' label sum(""&amp;AB$3&amp;"") ''""),0)))"),"")</f>
        <v/>
      </c>
      <c r="AC409" s="437" t="str">
        <f>IFERROR(__xludf.DUMMYFUNCTION("IF(NOT('portfólio'!$AV$7),"""",IF($T409="""","""",IFERROR(query({AtivosDados},""select sum(""&amp;AC$3&amp;"") where Col1='""&amp;$T409&amp;""' label sum(""&amp;AC$3&amp;"") ''""),0)))"),"")</f>
        <v/>
      </c>
      <c r="AD409" s="437" t="str">
        <f>IFERROR(__xludf.DUMMYFUNCTION("IF(NOT('portfólio'!$AV$7),"""",IF($T409="""","""",IFERROR(query({AtivosDados},""select sum(""&amp;AD$3&amp;"") where Col1='""&amp;$T409&amp;""' label sum(""&amp;AD$3&amp;"") ''""),0)))"),"")</f>
        <v/>
      </c>
      <c r="AE409" s="437"/>
      <c r="AF409" s="1327"/>
      <c r="AG409" s="437"/>
      <c r="AH409" s="437"/>
      <c r="AI409" s="437"/>
      <c r="AJ409" s="437"/>
      <c r="AK409" s="437"/>
      <c r="AL409" s="437"/>
      <c r="AM409" s="437"/>
      <c r="AN409" s="437"/>
      <c r="AO409" s="437"/>
      <c r="AP409" s="437"/>
      <c r="AQ409" s="1327"/>
      <c r="AR409" s="437"/>
      <c r="AS409" s="437"/>
      <c r="AT409" s="437"/>
      <c r="AU409" s="437"/>
      <c r="AV409" s="437"/>
      <c r="AW409" s="437"/>
      <c r="AX409" s="437"/>
      <c r="AY409" s="437"/>
      <c r="AZ409" s="437"/>
      <c r="BA409" s="437"/>
      <c r="BB409" s="1327"/>
      <c r="BC409" s="437"/>
      <c r="BD409" s="437"/>
      <c r="BE409" s="437"/>
      <c r="BF409" s="437"/>
      <c r="BG409" s="437"/>
      <c r="BH409" s="437"/>
      <c r="BI409" s="437"/>
      <c r="BJ409" s="437"/>
      <c r="BK409" s="437"/>
      <c r="BL409" s="437"/>
      <c r="BM409" s="1327"/>
      <c r="BN409" s="1327"/>
      <c r="BO409" s="1327"/>
      <c r="BP409" s="1327"/>
      <c r="BQ409" s="1327"/>
      <c r="BR409" s="1327"/>
      <c r="BS409" s="1327"/>
      <c r="BT409" s="1327"/>
      <c r="BU409" s="1327"/>
      <c r="BV409" s="1327"/>
      <c r="BW409" s="1327"/>
      <c r="BX409" s="1327"/>
      <c r="BY409" s="1327"/>
      <c r="BZ409" s="1327"/>
      <c r="CA409" s="1327"/>
      <c r="CB409" s="1327"/>
      <c r="CC409" s="1327"/>
      <c r="CD409" s="1327"/>
      <c r="CE409" s="1327"/>
      <c r="CF409" s="1327"/>
      <c r="CG409" s="1327"/>
      <c r="CH409" s="1327"/>
      <c r="CI409" s="1327"/>
      <c r="CJ409" s="1327"/>
      <c r="CK409" s="1327"/>
      <c r="CL409" s="1327"/>
      <c r="CM409" s="1327"/>
      <c r="CN409" s="1327"/>
      <c r="CO409" s="1327"/>
      <c r="CP409" s="1327"/>
      <c r="CQ409" s="1327"/>
      <c r="CR409" s="1327"/>
      <c r="CS409" s="1327"/>
      <c r="CT409" s="1317"/>
      <c r="CU409" s="1317"/>
      <c r="CV409" s="1317"/>
      <c r="CW409" s="1317"/>
      <c r="CX409" s="1317"/>
      <c r="CY409" s="1317"/>
      <c r="CZ409" s="1317"/>
      <c r="DA409" s="1317"/>
      <c r="DB409" s="1317"/>
      <c r="DC409" s="1317"/>
      <c r="DD409" s="1317"/>
      <c r="DE409" s="1317"/>
      <c r="DF409" s="1317"/>
      <c r="DG409" s="1317"/>
    </row>
    <row r="410" ht="18.75" customHeight="1">
      <c r="G410" s="1344"/>
      <c r="H410" s="1345">
        <f t="shared" si="4"/>
        <v>0</v>
      </c>
      <c r="I410" s="1381"/>
      <c r="J410" s="1381"/>
      <c r="K410" s="1381"/>
      <c r="L410" s="1381"/>
      <c r="M410" s="1381"/>
      <c r="N410" s="1381"/>
      <c r="O410" s="1381"/>
      <c r="P410" s="1381"/>
      <c r="Q410" s="1381"/>
      <c r="R410" s="1381"/>
      <c r="T410" s="1349"/>
      <c r="U410" s="1349" t="s">
        <v>123</v>
      </c>
      <c r="V410" s="1349" t="s">
        <v>123</v>
      </c>
      <c r="W410" s="1349"/>
      <c r="X410" s="1349"/>
      <c r="Y410" s="1308"/>
      <c r="Z410" s="437" t="str">
        <f>IFERROR(__xludf.DUMMYFUNCTION("IF(NOT('portfólio'!$AV$7),"""",IF($T410="""","""",IFERROR(query({AtivosDados},""select sum(""&amp;Z$3&amp;"") where Col1='""&amp;$T410&amp;""' label sum(""&amp;Z$3&amp;"") ''""),0)))"),"")</f>
        <v/>
      </c>
      <c r="AA410" s="437" t="str">
        <f>IFERROR(__xludf.DUMMYFUNCTION("IF(NOT('portfólio'!$AV$7),"""",IF($T410="""","""",IFERROR(query({AtivosDados},""select sum(""&amp;AA$3&amp;"") where Col1='""&amp;$T410&amp;""' label sum(""&amp;AA$3&amp;"") ''""),0)))"),"")</f>
        <v/>
      </c>
      <c r="AB410" s="437" t="str">
        <f>IFERROR(__xludf.DUMMYFUNCTION("IF(NOT('portfólio'!$AV$7),"""",IF($T410="""","""",IFERROR(query({AtivosDados},""select sum(""&amp;AB$3&amp;"") where Col1='""&amp;$T410&amp;""' label sum(""&amp;AB$3&amp;"") ''""),0)))"),"")</f>
        <v/>
      </c>
      <c r="AC410" s="437" t="str">
        <f>IFERROR(__xludf.DUMMYFUNCTION("IF(NOT('portfólio'!$AV$7),"""",IF($T410="""","""",IFERROR(query({AtivosDados},""select sum(""&amp;AC$3&amp;"") where Col1='""&amp;$T410&amp;""' label sum(""&amp;AC$3&amp;"") ''""),0)))"),"")</f>
        <v/>
      </c>
      <c r="AD410" s="437" t="str">
        <f>IFERROR(__xludf.DUMMYFUNCTION("IF(NOT('portfólio'!$AV$7),"""",IF($T410="""","""",IFERROR(query({AtivosDados},""select sum(""&amp;AD$3&amp;"") where Col1='""&amp;$T410&amp;""' label sum(""&amp;AD$3&amp;"") ''""),0)))"),"")</f>
        <v/>
      </c>
      <c r="AE410" s="437"/>
      <c r="AF410" s="1327"/>
      <c r="AG410" s="437"/>
      <c r="AH410" s="437"/>
      <c r="AI410" s="437"/>
      <c r="AJ410" s="437"/>
      <c r="AK410" s="437"/>
      <c r="AL410" s="437"/>
      <c r="AM410" s="437"/>
      <c r="AN410" s="437"/>
      <c r="AO410" s="437"/>
      <c r="AP410" s="437"/>
      <c r="AQ410" s="1327"/>
      <c r="AR410" s="437"/>
      <c r="AS410" s="437"/>
      <c r="AT410" s="437"/>
      <c r="AU410" s="437"/>
      <c r="AV410" s="437"/>
      <c r="AW410" s="437"/>
      <c r="AX410" s="437"/>
      <c r="AY410" s="437"/>
      <c r="AZ410" s="437"/>
      <c r="BA410" s="437"/>
      <c r="BB410" s="1327"/>
      <c r="BC410" s="437"/>
      <c r="BD410" s="437"/>
      <c r="BE410" s="437"/>
      <c r="BF410" s="437"/>
      <c r="BG410" s="437"/>
      <c r="BH410" s="437"/>
      <c r="BI410" s="437"/>
      <c r="BJ410" s="437"/>
      <c r="BK410" s="437"/>
      <c r="BL410" s="437"/>
      <c r="BM410" s="1327"/>
      <c r="BN410" s="1327"/>
      <c r="BO410" s="1327"/>
      <c r="BP410" s="1327"/>
      <c r="BQ410" s="1327"/>
      <c r="BR410" s="1327"/>
      <c r="BS410" s="1327"/>
      <c r="BT410" s="1327"/>
      <c r="BU410" s="1327"/>
      <c r="BV410" s="1327"/>
      <c r="BW410" s="1327"/>
      <c r="BX410" s="1327"/>
      <c r="BY410" s="1327"/>
      <c r="BZ410" s="1327"/>
      <c r="CA410" s="1327"/>
      <c r="CB410" s="1327"/>
      <c r="CC410" s="1327"/>
      <c r="CD410" s="1327"/>
      <c r="CE410" s="1327"/>
      <c r="CF410" s="1327"/>
      <c r="CG410" s="1327"/>
      <c r="CH410" s="1327"/>
      <c r="CI410" s="1327"/>
      <c r="CJ410" s="1327"/>
      <c r="CK410" s="1327"/>
      <c r="CL410" s="1327"/>
      <c r="CM410" s="1327"/>
      <c r="CN410" s="1327"/>
      <c r="CO410" s="1327"/>
      <c r="CP410" s="1327"/>
      <c r="CQ410" s="1327"/>
      <c r="CR410" s="1327"/>
      <c r="CS410" s="1327"/>
      <c r="CT410" s="1317"/>
      <c r="CU410" s="1317"/>
      <c r="CV410" s="1317"/>
      <c r="CW410" s="1317"/>
      <c r="CX410" s="1317"/>
      <c r="CY410" s="1317"/>
      <c r="CZ410" s="1317"/>
      <c r="DA410" s="1317"/>
      <c r="DB410" s="1317"/>
      <c r="DC410" s="1317"/>
      <c r="DD410" s="1317"/>
      <c r="DE410" s="1317"/>
      <c r="DF410" s="1317"/>
      <c r="DG410" s="1317"/>
    </row>
    <row r="411" ht="18.75" customHeight="1">
      <c r="G411" s="1344"/>
      <c r="H411" s="1345">
        <f t="shared" si="4"/>
        <v>0</v>
      </c>
      <c r="I411" s="1381"/>
      <c r="J411" s="1381"/>
      <c r="K411" s="1381"/>
      <c r="L411" s="1381"/>
      <c r="M411" s="1381"/>
      <c r="N411" s="1381"/>
      <c r="O411" s="1381"/>
      <c r="P411" s="1381"/>
      <c r="Q411" s="1381"/>
      <c r="R411" s="1381"/>
      <c r="T411" s="1349"/>
      <c r="U411" s="1349" t="s">
        <v>123</v>
      </c>
      <c r="V411" s="1349" t="s">
        <v>123</v>
      </c>
      <c r="W411" s="1349"/>
      <c r="X411" s="1349"/>
      <c r="Y411" s="1308"/>
      <c r="Z411" s="437" t="str">
        <f>IFERROR(__xludf.DUMMYFUNCTION("IF(NOT('portfólio'!$AV$7),"""",IF($T411="""","""",IFERROR(query({AtivosDados},""select sum(""&amp;Z$3&amp;"") where Col1='""&amp;$T411&amp;""' label sum(""&amp;Z$3&amp;"") ''""),0)))"),"")</f>
        <v/>
      </c>
      <c r="AA411" s="437" t="str">
        <f>IFERROR(__xludf.DUMMYFUNCTION("IF(NOT('portfólio'!$AV$7),"""",IF($T411="""","""",IFERROR(query({AtivosDados},""select sum(""&amp;AA$3&amp;"") where Col1='""&amp;$T411&amp;""' label sum(""&amp;AA$3&amp;"") ''""),0)))"),"")</f>
        <v/>
      </c>
      <c r="AB411" s="437" t="str">
        <f>IFERROR(__xludf.DUMMYFUNCTION("IF(NOT('portfólio'!$AV$7),"""",IF($T411="""","""",IFERROR(query({AtivosDados},""select sum(""&amp;AB$3&amp;"") where Col1='""&amp;$T411&amp;""' label sum(""&amp;AB$3&amp;"") ''""),0)))"),"")</f>
        <v/>
      </c>
      <c r="AC411" s="437" t="str">
        <f>IFERROR(__xludf.DUMMYFUNCTION("IF(NOT('portfólio'!$AV$7),"""",IF($T411="""","""",IFERROR(query({AtivosDados},""select sum(""&amp;AC$3&amp;"") where Col1='""&amp;$T411&amp;""' label sum(""&amp;AC$3&amp;"") ''""),0)))"),"")</f>
        <v/>
      </c>
      <c r="AD411" s="437" t="str">
        <f>IFERROR(__xludf.DUMMYFUNCTION("IF(NOT('portfólio'!$AV$7),"""",IF($T411="""","""",IFERROR(query({AtivosDados},""select sum(""&amp;AD$3&amp;"") where Col1='""&amp;$T411&amp;""' label sum(""&amp;AD$3&amp;"") ''""),0)))"),"")</f>
        <v/>
      </c>
      <c r="AE411" s="437"/>
      <c r="AF411" s="1327"/>
      <c r="AG411" s="437"/>
      <c r="AH411" s="437"/>
      <c r="AI411" s="437"/>
      <c r="AJ411" s="437"/>
      <c r="AK411" s="437"/>
      <c r="AL411" s="437"/>
      <c r="AM411" s="437"/>
      <c r="AN411" s="437"/>
      <c r="AO411" s="437"/>
      <c r="AP411" s="437"/>
      <c r="AQ411" s="1327"/>
      <c r="AR411" s="437"/>
      <c r="AS411" s="437"/>
      <c r="AT411" s="437"/>
      <c r="AU411" s="437"/>
      <c r="AV411" s="437"/>
      <c r="AW411" s="437"/>
      <c r="AX411" s="437"/>
      <c r="AY411" s="437"/>
      <c r="AZ411" s="437"/>
      <c r="BA411" s="437"/>
      <c r="BB411" s="1327"/>
      <c r="BC411" s="437"/>
      <c r="BD411" s="437"/>
      <c r="BE411" s="437"/>
      <c r="BF411" s="437"/>
      <c r="BG411" s="437"/>
      <c r="BH411" s="437"/>
      <c r="BI411" s="437"/>
      <c r="BJ411" s="437"/>
      <c r="BK411" s="437"/>
      <c r="BL411" s="437"/>
      <c r="BM411" s="1327"/>
      <c r="BN411" s="1327"/>
      <c r="BO411" s="1327"/>
      <c r="BP411" s="1327"/>
      <c r="BQ411" s="1327"/>
      <c r="BR411" s="1327"/>
      <c r="BS411" s="1327"/>
      <c r="BT411" s="1327"/>
      <c r="BU411" s="1327"/>
      <c r="BV411" s="1327"/>
      <c r="BW411" s="1327"/>
      <c r="BX411" s="1327"/>
      <c r="BY411" s="1327"/>
      <c r="BZ411" s="1327"/>
      <c r="CA411" s="1327"/>
      <c r="CB411" s="1327"/>
      <c r="CC411" s="1327"/>
      <c r="CD411" s="1327"/>
      <c r="CE411" s="1327"/>
      <c r="CF411" s="1327"/>
      <c r="CG411" s="1327"/>
      <c r="CH411" s="1327"/>
      <c r="CI411" s="1327"/>
      <c r="CJ411" s="1327"/>
      <c r="CK411" s="1327"/>
      <c r="CL411" s="1327"/>
      <c r="CM411" s="1327"/>
      <c r="CN411" s="1327"/>
      <c r="CO411" s="1327"/>
      <c r="CP411" s="1327"/>
      <c r="CQ411" s="1327"/>
      <c r="CR411" s="1327"/>
      <c r="CS411" s="1327"/>
      <c r="CT411" s="1317"/>
      <c r="CU411" s="1317"/>
      <c r="CV411" s="1317"/>
      <c r="CW411" s="1317"/>
      <c r="CX411" s="1317"/>
      <c r="CY411" s="1317"/>
      <c r="CZ411" s="1317"/>
      <c r="DA411" s="1317"/>
      <c r="DB411" s="1317"/>
      <c r="DC411" s="1317"/>
      <c r="DD411" s="1317"/>
      <c r="DE411" s="1317"/>
      <c r="DF411" s="1317"/>
      <c r="DG411" s="1317"/>
    </row>
    <row r="412" ht="18.75" customHeight="1">
      <c r="G412" s="1344"/>
      <c r="H412" s="1345">
        <f t="shared" si="4"/>
        <v>0</v>
      </c>
      <c r="I412" s="1381"/>
      <c r="J412" s="1381"/>
      <c r="K412" s="1381"/>
      <c r="L412" s="1381"/>
      <c r="M412" s="1381"/>
      <c r="N412" s="1381"/>
      <c r="O412" s="1381"/>
      <c r="P412" s="1381"/>
      <c r="Q412" s="1381"/>
      <c r="R412" s="1381"/>
      <c r="T412" s="1349"/>
      <c r="U412" s="1349" t="s">
        <v>123</v>
      </c>
      <c r="V412" s="1349" t="s">
        <v>123</v>
      </c>
      <c r="W412" s="1349"/>
      <c r="X412" s="1349"/>
      <c r="Y412" s="1308"/>
      <c r="Z412" s="437" t="str">
        <f>IFERROR(__xludf.DUMMYFUNCTION("IF(NOT('portfólio'!$AV$7),"""",IF($T412="""","""",IFERROR(query({AtivosDados},""select sum(""&amp;Z$3&amp;"") where Col1='""&amp;$T412&amp;""' label sum(""&amp;Z$3&amp;"") ''""),0)))"),"")</f>
        <v/>
      </c>
      <c r="AA412" s="437" t="str">
        <f>IFERROR(__xludf.DUMMYFUNCTION("IF(NOT('portfólio'!$AV$7),"""",IF($T412="""","""",IFERROR(query({AtivosDados},""select sum(""&amp;AA$3&amp;"") where Col1='""&amp;$T412&amp;""' label sum(""&amp;AA$3&amp;"") ''""),0)))"),"")</f>
        <v/>
      </c>
      <c r="AB412" s="437" t="str">
        <f>IFERROR(__xludf.DUMMYFUNCTION("IF(NOT('portfólio'!$AV$7),"""",IF($T412="""","""",IFERROR(query({AtivosDados},""select sum(""&amp;AB$3&amp;"") where Col1='""&amp;$T412&amp;""' label sum(""&amp;AB$3&amp;"") ''""),0)))"),"")</f>
        <v/>
      </c>
      <c r="AC412" s="437" t="str">
        <f>IFERROR(__xludf.DUMMYFUNCTION("IF(NOT('portfólio'!$AV$7),"""",IF($T412="""","""",IFERROR(query({AtivosDados},""select sum(""&amp;AC$3&amp;"") where Col1='""&amp;$T412&amp;""' label sum(""&amp;AC$3&amp;"") ''""),0)))"),"")</f>
        <v/>
      </c>
      <c r="AD412" s="437" t="str">
        <f>IFERROR(__xludf.DUMMYFUNCTION("IF(NOT('portfólio'!$AV$7),"""",IF($T412="""","""",IFERROR(query({AtivosDados},""select sum(""&amp;AD$3&amp;"") where Col1='""&amp;$T412&amp;""' label sum(""&amp;AD$3&amp;"") ''""),0)))"),"")</f>
        <v/>
      </c>
      <c r="AE412" s="437"/>
      <c r="AF412" s="1327"/>
      <c r="AG412" s="437"/>
      <c r="AH412" s="437"/>
      <c r="AI412" s="437"/>
      <c r="AJ412" s="437"/>
      <c r="AK412" s="437"/>
      <c r="AL412" s="437"/>
      <c r="AM412" s="437"/>
      <c r="AN412" s="437"/>
      <c r="AO412" s="437"/>
      <c r="AP412" s="437"/>
      <c r="AQ412" s="1327"/>
      <c r="AR412" s="437"/>
      <c r="AS412" s="437"/>
      <c r="AT412" s="437"/>
      <c r="AU412" s="437"/>
      <c r="AV412" s="437"/>
      <c r="AW412" s="437"/>
      <c r="AX412" s="437"/>
      <c r="AY412" s="437"/>
      <c r="AZ412" s="437"/>
      <c r="BA412" s="437"/>
      <c r="BB412" s="1327"/>
      <c r="BC412" s="437"/>
      <c r="BD412" s="437"/>
      <c r="BE412" s="437"/>
      <c r="BF412" s="437"/>
      <c r="BG412" s="437"/>
      <c r="BH412" s="437"/>
      <c r="BI412" s="437"/>
      <c r="BJ412" s="437"/>
      <c r="BK412" s="437"/>
      <c r="BL412" s="437"/>
      <c r="BM412" s="1327"/>
      <c r="BN412" s="1327"/>
      <c r="BO412" s="1327"/>
      <c r="BP412" s="1327"/>
      <c r="BQ412" s="1327"/>
      <c r="BR412" s="1327"/>
      <c r="BS412" s="1327"/>
      <c r="BT412" s="1327"/>
      <c r="BU412" s="1327"/>
      <c r="BV412" s="1327"/>
      <c r="BW412" s="1327"/>
      <c r="BX412" s="1327"/>
      <c r="BY412" s="1327"/>
      <c r="BZ412" s="1327"/>
      <c r="CA412" s="1327"/>
      <c r="CB412" s="1327"/>
      <c r="CC412" s="1327"/>
      <c r="CD412" s="1327"/>
      <c r="CE412" s="1327"/>
      <c r="CF412" s="1327"/>
      <c r="CG412" s="1327"/>
      <c r="CH412" s="1327"/>
      <c r="CI412" s="1327"/>
      <c r="CJ412" s="1327"/>
      <c r="CK412" s="1327"/>
      <c r="CL412" s="1327"/>
      <c r="CM412" s="1327"/>
      <c r="CN412" s="1327"/>
      <c r="CO412" s="1327"/>
      <c r="CP412" s="1327"/>
      <c r="CQ412" s="1327"/>
      <c r="CR412" s="1327"/>
      <c r="CS412" s="1327"/>
      <c r="CT412" s="1317"/>
      <c r="CU412" s="1317"/>
      <c r="CV412" s="1317"/>
      <c r="CW412" s="1317"/>
      <c r="CX412" s="1317"/>
      <c r="CY412" s="1317"/>
      <c r="CZ412" s="1317"/>
      <c r="DA412" s="1317"/>
      <c r="DB412" s="1317"/>
      <c r="DC412" s="1317"/>
      <c r="DD412" s="1317"/>
      <c r="DE412" s="1317"/>
      <c r="DF412" s="1317"/>
      <c r="DG412" s="1317"/>
    </row>
    <row r="413" ht="18.75" customHeight="1">
      <c r="G413" s="1344"/>
      <c r="H413" s="1345">
        <f t="shared" si="4"/>
        <v>0</v>
      </c>
      <c r="I413" s="1381"/>
      <c r="J413" s="1381"/>
      <c r="K413" s="1381"/>
      <c r="L413" s="1381"/>
      <c r="M413" s="1381"/>
      <c r="N413" s="1381"/>
      <c r="O413" s="1381"/>
      <c r="P413" s="1381"/>
      <c r="Q413" s="1381"/>
      <c r="R413" s="1381"/>
      <c r="T413" s="1349"/>
      <c r="U413" s="1349" t="s">
        <v>123</v>
      </c>
      <c r="V413" s="1349" t="s">
        <v>123</v>
      </c>
      <c r="W413" s="1349"/>
      <c r="X413" s="1349"/>
      <c r="Y413" s="1308"/>
      <c r="Z413" s="437" t="str">
        <f>IFERROR(__xludf.DUMMYFUNCTION("IF(NOT('portfólio'!$AV$7),"""",IF($T413="""","""",IFERROR(query({AtivosDados},""select sum(""&amp;Z$3&amp;"") where Col1='""&amp;$T413&amp;""' label sum(""&amp;Z$3&amp;"") ''""),0)))"),"")</f>
        <v/>
      </c>
      <c r="AA413" s="437" t="str">
        <f>IFERROR(__xludf.DUMMYFUNCTION("IF(NOT('portfólio'!$AV$7),"""",IF($T413="""","""",IFERROR(query({AtivosDados},""select sum(""&amp;AA$3&amp;"") where Col1='""&amp;$T413&amp;""' label sum(""&amp;AA$3&amp;"") ''""),0)))"),"")</f>
        <v/>
      </c>
      <c r="AB413" s="437" t="str">
        <f>IFERROR(__xludf.DUMMYFUNCTION("IF(NOT('portfólio'!$AV$7),"""",IF($T413="""","""",IFERROR(query({AtivosDados},""select sum(""&amp;AB$3&amp;"") where Col1='""&amp;$T413&amp;""' label sum(""&amp;AB$3&amp;"") ''""),0)))"),"")</f>
        <v/>
      </c>
      <c r="AC413" s="437" t="str">
        <f>IFERROR(__xludf.DUMMYFUNCTION("IF(NOT('portfólio'!$AV$7),"""",IF($T413="""","""",IFERROR(query({AtivosDados},""select sum(""&amp;AC$3&amp;"") where Col1='""&amp;$T413&amp;""' label sum(""&amp;AC$3&amp;"") ''""),0)))"),"")</f>
        <v/>
      </c>
      <c r="AD413" s="437" t="str">
        <f>IFERROR(__xludf.DUMMYFUNCTION("IF(NOT('portfólio'!$AV$7),"""",IF($T413="""","""",IFERROR(query({AtivosDados},""select sum(""&amp;AD$3&amp;"") where Col1='""&amp;$T413&amp;""' label sum(""&amp;AD$3&amp;"") ''""),0)))"),"")</f>
        <v/>
      </c>
      <c r="AE413" s="437"/>
      <c r="AF413" s="1327"/>
      <c r="AG413" s="437"/>
      <c r="AH413" s="437"/>
      <c r="AI413" s="437"/>
      <c r="AJ413" s="437"/>
      <c r="AK413" s="437"/>
      <c r="AL413" s="437"/>
      <c r="AM413" s="437"/>
      <c r="AN413" s="437"/>
      <c r="AO413" s="437"/>
      <c r="AP413" s="437"/>
      <c r="AQ413" s="1327"/>
      <c r="AR413" s="437"/>
      <c r="AS413" s="437"/>
      <c r="AT413" s="437"/>
      <c r="AU413" s="437"/>
      <c r="AV413" s="437"/>
      <c r="AW413" s="437"/>
      <c r="AX413" s="437"/>
      <c r="AY413" s="437"/>
      <c r="AZ413" s="437"/>
      <c r="BA413" s="437"/>
      <c r="BB413" s="1327"/>
      <c r="BC413" s="437"/>
      <c r="BD413" s="437"/>
      <c r="BE413" s="437"/>
      <c r="BF413" s="437"/>
      <c r="BG413" s="437"/>
      <c r="BH413" s="437"/>
      <c r="BI413" s="437"/>
      <c r="BJ413" s="437"/>
      <c r="BK413" s="437"/>
      <c r="BL413" s="437"/>
      <c r="BM413" s="1327"/>
      <c r="BN413" s="1327"/>
      <c r="BO413" s="1327"/>
      <c r="BP413" s="1327"/>
      <c r="BQ413" s="1327"/>
      <c r="BR413" s="1327"/>
      <c r="BS413" s="1327"/>
      <c r="BT413" s="1327"/>
      <c r="BU413" s="1327"/>
      <c r="BV413" s="1327"/>
      <c r="BW413" s="1327"/>
      <c r="BX413" s="1327"/>
      <c r="BY413" s="1327"/>
      <c r="BZ413" s="1327"/>
      <c r="CA413" s="1327"/>
      <c r="CB413" s="1327"/>
      <c r="CC413" s="1327"/>
      <c r="CD413" s="1327"/>
      <c r="CE413" s="1327"/>
      <c r="CF413" s="1327"/>
      <c r="CG413" s="1327"/>
      <c r="CH413" s="1327"/>
      <c r="CI413" s="1327"/>
      <c r="CJ413" s="1327"/>
      <c r="CK413" s="1327"/>
      <c r="CL413" s="1327"/>
      <c r="CM413" s="1327"/>
      <c r="CN413" s="1327"/>
      <c r="CO413" s="1327"/>
      <c r="CP413" s="1327"/>
      <c r="CQ413" s="1327"/>
      <c r="CR413" s="1327"/>
      <c r="CS413" s="1327"/>
      <c r="CT413" s="1317"/>
      <c r="CU413" s="1317"/>
      <c r="CV413" s="1317"/>
      <c r="CW413" s="1317"/>
      <c r="CX413" s="1317"/>
      <c r="CY413" s="1317"/>
      <c r="CZ413" s="1317"/>
      <c r="DA413" s="1317"/>
      <c r="DB413" s="1317"/>
      <c r="DC413" s="1317"/>
      <c r="DD413" s="1317"/>
      <c r="DE413" s="1317"/>
      <c r="DF413" s="1317"/>
      <c r="DG413" s="1317"/>
    </row>
    <row r="414" ht="18.75" customHeight="1">
      <c r="G414" s="1344"/>
      <c r="H414" s="1345">
        <f t="shared" si="4"/>
        <v>0</v>
      </c>
      <c r="I414" s="1381"/>
      <c r="J414" s="1381"/>
      <c r="K414" s="1381"/>
      <c r="L414" s="1381"/>
      <c r="M414" s="1381"/>
      <c r="N414" s="1381"/>
      <c r="O414" s="1381"/>
      <c r="P414" s="1381"/>
      <c r="Q414" s="1381"/>
      <c r="R414" s="1381"/>
      <c r="T414" s="1349"/>
      <c r="U414" s="1349" t="s">
        <v>123</v>
      </c>
      <c r="V414" s="1349" t="s">
        <v>123</v>
      </c>
      <c r="W414" s="1349"/>
      <c r="X414" s="1349"/>
      <c r="Y414" s="1308"/>
      <c r="Z414" s="437" t="str">
        <f>IFERROR(__xludf.DUMMYFUNCTION("IF(NOT('portfólio'!$AV$7),"""",IF($T414="""","""",IFERROR(query({AtivosDados},""select sum(""&amp;Z$3&amp;"") where Col1='""&amp;$T414&amp;""' label sum(""&amp;Z$3&amp;"") ''""),0)))"),"")</f>
        <v/>
      </c>
      <c r="AA414" s="437" t="str">
        <f>IFERROR(__xludf.DUMMYFUNCTION("IF(NOT('portfólio'!$AV$7),"""",IF($T414="""","""",IFERROR(query({AtivosDados},""select sum(""&amp;AA$3&amp;"") where Col1='""&amp;$T414&amp;""' label sum(""&amp;AA$3&amp;"") ''""),0)))"),"")</f>
        <v/>
      </c>
      <c r="AB414" s="437" t="str">
        <f>IFERROR(__xludf.DUMMYFUNCTION("IF(NOT('portfólio'!$AV$7),"""",IF($T414="""","""",IFERROR(query({AtivosDados},""select sum(""&amp;AB$3&amp;"") where Col1='""&amp;$T414&amp;""' label sum(""&amp;AB$3&amp;"") ''""),0)))"),"")</f>
        <v/>
      </c>
      <c r="AC414" s="437" t="str">
        <f>IFERROR(__xludf.DUMMYFUNCTION("IF(NOT('portfólio'!$AV$7),"""",IF($T414="""","""",IFERROR(query({AtivosDados},""select sum(""&amp;AC$3&amp;"") where Col1='""&amp;$T414&amp;""' label sum(""&amp;AC$3&amp;"") ''""),0)))"),"")</f>
        <v/>
      </c>
      <c r="AD414" s="437" t="str">
        <f>IFERROR(__xludf.DUMMYFUNCTION("IF(NOT('portfólio'!$AV$7),"""",IF($T414="""","""",IFERROR(query({AtivosDados},""select sum(""&amp;AD$3&amp;"") where Col1='""&amp;$T414&amp;""' label sum(""&amp;AD$3&amp;"") ''""),0)))"),"")</f>
        <v/>
      </c>
      <c r="AE414" s="437"/>
      <c r="AF414" s="1327"/>
      <c r="AG414" s="437"/>
      <c r="AH414" s="437"/>
      <c r="AI414" s="437"/>
      <c r="AJ414" s="437"/>
      <c r="AK414" s="437"/>
      <c r="AL414" s="437"/>
      <c r="AM414" s="437"/>
      <c r="AN414" s="437"/>
      <c r="AO414" s="437"/>
      <c r="AP414" s="437"/>
      <c r="AQ414" s="1327"/>
      <c r="AR414" s="437"/>
      <c r="AS414" s="437"/>
      <c r="AT414" s="437"/>
      <c r="AU414" s="437"/>
      <c r="AV414" s="437"/>
      <c r="AW414" s="437"/>
      <c r="AX414" s="437"/>
      <c r="AY414" s="437"/>
      <c r="AZ414" s="437"/>
      <c r="BA414" s="437"/>
      <c r="BB414" s="1327"/>
      <c r="BC414" s="437"/>
      <c r="BD414" s="437"/>
      <c r="BE414" s="437"/>
      <c r="BF414" s="437"/>
      <c r="BG414" s="437"/>
      <c r="BH414" s="437"/>
      <c r="BI414" s="437"/>
      <c r="BJ414" s="437"/>
      <c r="BK414" s="437"/>
      <c r="BL414" s="437"/>
      <c r="BM414" s="1327"/>
      <c r="BN414" s="1327"/>
      <c r="BO414" s="1327"/>
      <c r="BP414" s="1327"/>
      <c r="BQ414" s="1327"/>
      <c r="BR414" s="1327"/>
      <c r="BS414" s="1327"/>
      <c r="BT414" s="1327"/>
      <c r="BU414" s="1327"/>
      <c r="BV414" s="1327"/>
      <c r="BW414" s="1327"/>
      <c r="BX414" s="1327"/>
      <c r="BY414" s="1327"/>
      <c r="BZ414" s="1327"/>
      <c r="CA414" s="1327"/>
      <c r="CB414" s="1327"/>
      <c r="CC414" s="1327"/>
      <c r="CD414" s="1327"/>
      <c r="CE414" s="1327"/>
      <c r="CF414" s="1327"/>
      <c r="CG414" s="1327"/>
      <c r="CH414" s="1327"/>
      <c r="CI414" s="1327"/>
      <c r="CJ414" s="1327"/>
      <c r="CK414" s="1327"/>
      <c r="CL414" s="1327"/>
      <c r="CM414" s="1327"/>
      <c r="CN414" s="1327"/>
      <c r="CO414" s="1327"/>
      <c r="CP414" s="1327"/>
      <c r="CQ414" s="1327"/>
      <c r="CR414" s="1327"/>
      <c r="CS414" s="1327"/>
      <c r="CT414" s="1317"/>
      <c r="CU414" s="1317"/>
      <c r="CV414" s="1317"/>
      <c r="CW414" s="1317"/>
      <c r="CX414" s="1317"/>
      <c r="CY414" s="1317"/>
      <c r="CZ414" s="1317"/>
      <c r="DA414" s="1317"/>
      <c r="DB414" s="1317"/>
      <c r="DC414" s="1317"/>
      <c r="DD414" s="1317"/>
      <c r="DE414" s="1317"/>
      <c r="DF414" s="1317"/>
      <c r="DG414" s="1317"/>
    </row>
    <row r="415" ht="18.75" customHeight="1">
      <c r="G415" s="1344"/>
      <c r="H415" s="1345">
        <f t="shared" si="4"/>
        <v>0</v>
      </c>
      <c r="I415" s="1381"/>
      <c r="J415" s="1381"/>
      <c r="K415" s="1381"/>
      <c r="L415" s="1381"/>
      <c r="M415" s="1381"/>
      <c r="N415" s="1381"/>
      <c r="O415" s="1381"/>
      <c r="P415" s="1381"/>
      <c r="Q415" s="1381"/>
      <c r="R415" s="1381"/>
      <c r="T415" s="1349"/>
      <c r="U415" s="1349" t="s">
        <v>123</v>
      </c>
      <c r="V415" s="1349" t="s">
        <v>123</v>
      </c>
      <c r="W415" s="1349"/>
      <c r="X415" s="1349"/>
      <c r="Y415" s="1308"/>
      <c r="Z415" s="437" t="str">
        <f>IFERROR(__xludf.DUMMYFUNCTION("IF(NOT('portfólio'!$AV$7),"""",IF($T415="""","""",IFERROR(query({AtivosDados},""select sum(""&amp;Z$3&amp;"") where Col1='""&amp;$T415&amp;""' label sum(""&amp;Z$3&amp;"") ''""),0)))"),"")</f>
        <v/>
      </c>
      <c r="AA415" s="437" t="str">
        <f>IFERROR(__xludf.DUMMYFUNCTION("IF(NOT('portfólio'!$AV$7),"""",IF($T415="""","""",IFERROR(query({AtivosDados},""select sum(""&amp;AA$3&amp;"") where Col1='""&amp;$T415&amp;""' label sum(""&amp;AA$3&amp;"") ''""),0)))"),"")</f>
        <v/>
      </c>
      <c r="AB415" s="437" t="str">
        <f>IFERROR(__xludf.DUMMYFUNCTION("IF(NOT('portfólio'!$AV$7),"""",IF($T415="""","""",IFERROR(query({AtivosDados},""select sum(""&amp;AB$3&amp;"") where Col1='""&amp;$T415&amp;""' label sum(""&amp;AB$3&amp;"") ''""),0)))"),"")</f>
        <v/>
      </c>
      <c r="AC415" s="437" t="str">
        <f>IFERROR(__xludf.DUMMYFUNCTION("IF(NOT('portfólio'!$AV$7),"""",IF($T415="""","""",IFERROR(query({AtivosDados},""select sum(""&amp;AC$3&amp;"") where Col1='""&amp;$T415&amp;""' label sum(""&amp;AC$3&amp;"") ''""),0)))"),"")</f>
        <v/>
      </c>
      <c r="AD415" s="437" t="str">
        <f>IFERROR(__xludf.DUMMYFUNCTION("IF(NOT('portfólio'!$AV$7),"""",IF($T415="""","""",IFERROR(query({AtivosDados},""select sum(""&amp;AD$3&amp;"") where Col1='""&amp;$T415&amp;""' label sum(""&amp;AD$3&amp;"") ''""),0)))"),"")</f>
        <v/>
      </c>
      <c r="AE415" s="437"/>
      <c r="AF415" s="1327"/>
      <c r="AG415" s="437"/>
      <c r="AH415" s="437"/>
      <c r="AI415" s="437"/>
      <c r="AJ415" s="437"/>
      <c r="AK415" s="437"/>
      <c r="AL415" s="437"/>
      <c r="AM415" s="437"/>
      <c r="AN415" s="437"/>
      <c r="AO415" s="437"/>
      <c r="AP415" s="437"/>
      <c r="AQ415" s="1327"/>
      <c r="AR415" s="437"/>
      <c r="AS415" s="437"/>
      <c r="AT415" s="437"/>
      <c r="AU415" s="437"/>
      <c r="AV415" s="437"/>
      <c r="AW415" s="437"/>
      <c r="AX415" s="437"/>
      <c r="AY415" s="437"/>
      <c r="AZ415" s="437"/>
      <c r="BA415" s="437"/>
      <c r="BB415" s="1327"/>
      <c r="BC415" s="437"/>
      <c r="BD415" s="437"/>
      <c r="BE415" s="437"/>
      <c r="BF415" s="437"/>
      <c r="BG415" s="437"/>
      <c r="BH415" s="437"/>
      <c r="BI415" s="437"/>
      <c r="BJ415" s="437"/>
      <c r="BK415" s="437"/>
      <c r="BL415" s="437"/>
      <c r="BM415" s="1327"/>
      <c r="BN415" s="1327"/>
      <c r="BO415" s="1327"/>
      <c r="BP415" s="1327"/>
      <c r="BQ415" s="1327"/>
      <c r="BR415" s="1327"/>
      <c r="BS415" s="1327"/>
      <c r="BT415" s="1327"/>
      <c r="BU415" s="1327"/>
      <c r="BV415" s="1327"/>
      <c r="BW415" s="1327"/>
      <c r="BX415" s="1327"/>
      <c r="BY415" s="1327"/>
      <c r="BZ415" s="1327"/>
      <c r="CA415" s="1327"/>
      <c r="CB415" s="1327"/>
      <c r="CC415" s="1327"/>
      <c r="CD415" s="1327"/>
      <c r="CE415" s="1327"/>
      <c r="CF415" s="1327"/>
      <c r="CG415" s="1327"/>
      <c r="CH415" s="1327"/>
      <c r="CI415" s="1327"/>
      <c r="CJ415" s="1327"/>
      <c r="CK415" s="1327"/>
      <c r="CL415" s="1327"/>
      <c r="CM415" s="1327"/>
      <c r="CN415" s="1327"/>
      <c r="CO415" s="1327"/>
      <c r="CP415" s="1327"/>
      <c r="CQ415" s="1327"/>
      <c r="CR415" s="1327"/>
      <c r="CS415" s="1327"/>
      <c r="CT415" s="1317"/>
      <c r="CU415" s="1317"/>
      <c r="CV415" s="1317"/>
      <c r="CW415" s="1317"/>
      <c r="CX415" s="1317"/>
      <c r="CY415" s="1317"/>
      <c r="CZ415" s="1317"/>
      <c r="DA415" s="1317"/>
      <c r="DB415" s="1317"/>
      <c r="DC415" s="1317"/>
      <c r="DD415" s="1317"/>
      <c r="DE415" s="1317"/>
      <c r="DF415" s="1317"/>
      <c r="DG415" s="1317"/>
    </row>
    <row r="416" ht="18.75" customHeight="1">
      <c r="G416" s="1344"/>
      <c r="H416" s="1345">
        <f t="shared" si="4"/>
        <v>0</v>
      </c>
      <c r="I416" s="1381"/>
      <c r="J416" s="1381"/>
      <c r="K416" s="1381"/>
      <c r="L416" s="1381"/>
      <c r="M416" s="1381"/>
      <c r="N416" s="1381"/>
      <c r="O416" s="1381"/>
      <c r="P416" s="1381"/>
      <c r="Q416" s="1381"/>
      <c r="R416" s="1381"/>
      <c r="T416" s="1349"/>
      <c r="U416" s="1349" t="s">
        <v>123</v>
      </c>
      <c r="V416" s="1349" t="s">
        <v>123</v>
      </c>
      <c r="W416" s="1349"/>
      <c r="X416" s="1349"/>
      <c r="Y416" s="1308"/>
      <c r="Z416" s="437" t="str">
        <f>IFERROR(__xludf.DUMMYFUNCTION("IF(NOT('portfólio'!$AV$7),"""",IF($T416="""","""",IFERROR(query({AtivosDados},""select sum(""&amp;Z$3&amp;"") where Col1='""&amp;$T416&amp;""' label sum(""&amp;Z$3&amp;"") ''""),0)))"),"")</f>
        <v/>
      </c>
      <c r="AA416" s="437" t="str">
        <f>IFERROR(__xludf.DUMMYFUNCTION("IF(NOT('portfólio'!$AV$7),"""",IF($T416="""","""",IFERROR(query({AtivosDados},""select sum(""&amp;AA$3&amp;"") where Col1='""&amp;$T416&amp;""' label sum(""&amp;AA$3&amp;"") ''""),0)))"),"")</f>
        <v/>
      </c>
      <c r="AB416" s="437" t="str">
        <f>IFERROR(__xludf.DUMMYFUNCTION("IF(NOT('portfólio'!$AV$7),"""",IF($T416="""","""",IFERROR(query({AtivosDados},""select sum(""&amp;AB$3&amp;"") where Col1='""&amp;$T416&amp;""' label sum(""&amp;AB$3&amp;"") ''""),0)))"),"")</f>
        <v/>
      </c>
      <c r="AC416" s="437" t="str">
        <f>IFERROR(__xludf.DUMMYFUNCTION("IF(NOT('portfólio'!$AV$7),"""",IF($T416="""","""",IFERROR(query({AtivosDados},""select sum(""&amp;AC$3&amp;"") where Col1='""&amp;$T416&amp;""' label sum(""&amp;AC$3&amp;"") ''""),0)))"),"")</f>
        <v/>
      </c>
      <c r="AD416" s="437" t="str">
        <f>IFERROR(__xludf.DUMMYFUNCTION("IF(NOT('portfólio'!$AV$7),"""",IF($T416="""","""",IFERROR(query({AtivosDados},""select sum(""&amp;AD$3&amp;"") where Col1='""&amp;$T416&amp;""' label sum(""&amp;AD$3&amp;"") ''""),0)))"),"")</f>
        <v/>
      </c>
      <c r="AE416" s="437"/>
      <c r="AF416" s="1327"/>
      <c r="AG416" s="437"/>
      <c r="AH416" s="437"/>
      <c r="AI416" s="437"/>
      <c r="AJ416" s="437"/>
      <c r="AK416" s="437"/>
      <c r="AL416" s="437"/>
      <c r="AM416" s="437"/>
      <c r="AN416" s="437"/>
      <c r="AO416" s="437"/>
      <c r="AP416" s="437"/>
      <c r="AQ416" s="1327"/>
      <c r="AR416" s="437"/>
      <c r="AS416" s="437"/>
      <c r="AT416" s="437"/>
      <c r="AU416" s="437"/>
      <c r="AV416" s="437"/>
      <c r="AW416" s="437"/>
      <c r="AX416" s="437"/>
      <c r="AY416" s="437"/>
      <c r="AZ416" s="437"/>
      <c r="BA416" s="437"/>
      <c r="BB416" s="1327"/>
      <c r="BC416" s="437"/>
      <c r="BD416" s="437"/>
      <c r="BE416" s="437"/>
      <c r="BF416" s="437"/>
      <c r="BG416" s="437"/>
      <c r="BH416" s="437"/>
      <c r="BI416" s="437"/>
      <c r="BJ416" s="437"/>
      <c r="BK416" s="437"/>
      <c r="BL416" s="437"/>
      <c r="BM416" s="1327"/>
      <c r="BN416" s="1327"/>
      <c r="BO416" s="1327"/>
      <c r="BP416" s="1327"/>
      <c r="BQ416" s="1327"/>
      <c r="BR416" s="1327"/>
      <c r="BS416" s="1327"/>
      <c r="BT416" s="1327"/>
      <c r="BU416" s="1327"/>
      <c r="BV416" s="1327"/>
      <c r="BW416" s="1327"/>
      <c r="BX416" s="1327"/>
      <c r="BY416" s="1327"/>
      <c r="BZ416" s="1327"/>
      <c r="CA416" s="1327"/>
      <c r="CB416" s="1327"/>
      <c r="CC416" s="1327"/>
      <c r="CD416" s="1327"/>
      <c r="CE416" s="1327"/>
      <c r="CF416" s="1327"/>
      <c r="CG416" s="1327"/>
      <c r="CH416" s="1327"/>
      <c r="CI416" s="1327"/>
      <c r="CJ416" s="1327"/>
      <c r="CK416" s="1327"/>
      <c r="CL416" s="1327"/>
      <c r="CM416" s="1327"/>
      <c r="CN416" s="1327"/>
      <c r="CO416" s="1327"/>
      <c r="CP416" s="1327"/>
      <c r="CQ416" s="1327"/>
      <c r="CR416" s="1327"/>
      <c r="CS416" s="1327"/>
      <c r="CT416" s="1317"/>
      <c r="CU416" s="1317"/>
      <c r="CV416" s="1317"/>
      <c r="CW416" s="1317"/>
      <c r="CX416" s="1317"/>
      <c r="CY416" s="1317"/>
      <c r="CZ416" s="1317"/>
      <c r="DA416" s="1317"/>
      <c r="DB416" s="1317"/>
      <c r="DC416" s="1317"/>
      <c r="DD416" s="1317"/>
      <c r="DE416" s="1317"/>
      <c r="DF416" s="1317"/>
      <c r="DG416" s="1317"/>
    </row>
    <row r="417" ht="18.75" customHeight="1">
      <c r="G417" s="1344"/>
      <c r="H417" s="1345">
        <f t="shared" si="4"/>
        <v>0</v>
      </c>
      <c r="I417" s="1381"/>
      <c r="J417" s="1381"/>
      <c r="K417" s="1381"/>
      <c r="L417" s="1381"/>
      <c r="M417" s="1381"/>
      <c r="N417" s="1381"/>
      <c r="O417" s="1381"/>
      <c r="P417" s="1381"/>
      <c r="Q417" s="1381"/>
      <c r="R417" s="1381"/>
      <c r="T417" s="1349"/>
      <c r="U417" s="1349" t="s">
        <v>123</v>
      </c>
      <c r="V417" s="1349" t="s">
        <v>123</v>
      </c>
      <c r="W417" s="1349"/>
      <c r="X417" s="1349"/>
      <c r="Y417" s="1308"/>
      <c r="Z417" s="437" t="str">
        <f>IFERROR(__xludf.DUMMYFUNCTION("IF(NOT('portfólio'!$AV$7),"""",IF($T417="""","""",IFERROR(query({AtivosDados},""select sum(""&amp;Z$3&amp;"") where Col1='""&amp;$T417&amp;""' label sum(""&amp;Z$3&amp;"") ''""),0)))"),"")</f>
        <v/>
      </c>
      <c r="AA417" s="437" t="str">
        <f>IFERROR(__xludf.DUMMYFUNCTION("IF(NOT('portfólio'!$AV$7),"""",IF($T417="""","""",IFERROR(query({AtivosDados},""select sum(""&amp;AA$3&amp;"") where Col1='""&amp;$T417&amp;""' label sum(""&amp;AA$3&amp;"") ''""),0)))"),"")</f>
        <v/>
      </c>
      <c r="AB417" s="437" t="str">
        <f>IFERROR(__xludf.DUMMYFUNCTION("IF(NOT('portfólio'!$AV$7),"""",IF($T417="""","""",IFERROR(query({AtivosDados},""select sum(""&amp;AB$3&amp;"") where Col1='""&amp;$T417&amp;""' label sum(""&amp;AB$3&amp;"") ''""),0)))"),"")</f>
        <v/>
      </c>
      <c r="AC417" s="437" t="str">
        <f>IFERROR(__xludf.DUMMYFUNCTION("IF(NOT('portfólio'!$AV$7),"""",IF($T417="""","""",IFERROR(query({AtivosDados},""select sum(""&amp;AC$3&amp;"") where Col1='""&amp;$T417&amp;""' label sum(""&amp;AC$3&amp;"") ''""),0)))"),"")</f>
        <v/>
      </c>
      <c r="AD417" s="437" t="str">
        <f>IFERROR(__xludf.DUMMYFUNCTION("IF(NOT('portfólio'!$AV$7),"""",IF($T417="""","""",IFERROR(query({AtivosDados},""select sum(""&amp;AD$3&amp;"") where Col1='""&amp;$T417&amp;""' label sum(""&amp;AD$3&amp;"") ''""),0)))"),"")</f>
        <v/>
      </c>
      <c r="AE417" s="437"/>
      <c r="AF417" s="1327"/>
      <c r="AG417" s="437"/>
      <c r="AH417" s="437"/>
      <c r="AI417" s="437"/>
      <c r="AJ417" s="437"/>
      <c r="AK417" s="437"/>
      <c r="AL417" s="437"/>
      <c r="AM417" s="437"/>
      <c r="AN417" s="437"/>
      <c r="AO417" s="437"/>
      <c r="AP417" s="437"/>
      <c r="AQ417" s="1327"/>
      <c r="AR417" s="437"/>
      <c r="AS417" s="437"/>
      <c r="AT417" s="437"/>
      <c r="AU417" s="437"/>
      <c r="AV417" s="437"/>
      <c r="AW417" s="437"/>
      <c r="AX417" s="437"/>
      <c r="AY417" s="437"/>
      <c r="AZ417" s="437"/>
      <c r="BA417" s="437"/>
      <c r="BB417" s="1327"/>
      <c r="BC417" s="437"/>
      <c r="BD417" s="437"/>
      <c r="BE417" s="437"/>
      <c r="BF417" s="437"/>
      <c r="BG417" s="437"/>
      <c r="BH417" s="437"/>
      <c r="BI417" s="437"/>
      <c r="BJ417" s="437"/>
      <c r="BK417" s="437"/>
      <c r="BL417" s="437"/>
      <c r="BM417" s="1327"/>
      <c r="BN417" s="1327"/>
      <c r="BO417" s="1327"/>
      <c r="BP417" s="1327"/>
      <c r="BQ417" s="1327"/>
      <c r="BR417" s="1327"/>
      <c r="BS417" s="1327"/>
      <c r="BT417" s="1327"/>
      <c r="BU417" s="1327"/>
      <c r="BV417" s="1327"/>
      <c r="BW417" s="1327"/>
      <c r="BX417" s="1327"/>
      <c r="BY417" s="1327"/>
      <c r="BZ417" s="1327"/>
      <c r="CA417" s="1327"/>
      <c r="CB417" s="1327"/>
      <c r="CC417" s="1327"/>
      <c r="CD417" s="1327"/>
      <c r="CE417" s="1327"/>
      <c r="CF417" s="1327"/>
      <c r="CG417" s="1327"/>
      <c r="CH417" s="1327"/>
      <c r="CI417" s="1327"/>
      <c r="CJ417" s="1327"/>
      <c r="CK417" s="1327"/>
      <c r="CL417" s="1327"/>
      <c r="CM417" s="1327"/>
      <c r="CN417" s="1327"/>
      <c r="CO417" s="1327"/>
      <c r="CP417" s="1327"/>
      <c r="CQ417" s="1327"/>
      <c r="CR417" s="1327"/>
      <c r="CS417" s="1327"/>
      <c r="CT417" s="1317"/>
      <c r="CU417" s="1317"/>
      <c r="CV417" s="1317"/>
      <c r="CW417" s="1317"/>
      <c r="CX417" s="1317"/>
      <c r="CY417" s="1317"/>
      <c r="CZ417" s="1317"/>
      <c r="DA417" s="1317"/>
      <c r="DB417" s="1317"/>
      <c r="DC417" s="1317"/>
      <c r="DD417" s="1317"/>
      <c r="DE417" s="1317"/>
      <c r="DF417" s="1317"/>
      <c r="DG417" s="1317"/>
    </row>
    <row r="418" ht="18.75" customHeight="1">
      <c r="G418" s="1344"/>
      <c r="H418" s="1345">
        <f t="shared" si="4"/>
        <v>0</v>
      </c>
      <c r="I418" s="1381"/>
      <c r="J418" s="1381"/>
      <c r="K418" s="1381"/>
      <c r="L418" s="1381"/>
      <c r="M418" s="1381"/>
      <c r="N418" s="1381"/>
      <c r="O418" s="1381"/>
      <c r="P418" s="1381"/>
      <c r="Q418" s="1381"/>
      <c r="R418" s="1381"/>
      <c r="T418" s="1349"/>
      <c r="U418" s="1349" t="s">
        <v>123</v>
      </c>
      <c r="V418" s="1349" t="s">
        <v>123</v>
      </c>
      <c r="W418" s="1349"/>
      <c r="X418" s="1349"/>
      <c r="Y418" s="1308"/>
      <c r="Z418" s="437" t="str">
        <f>IFERROR(__xludf.DUMMYFUNCTION("IF(NOT('portfólio'!$AV$7),"""",IF($T418="""","""",IFERROR(query({AtivosDados},""select sum(""&amp;Z$3&amp;"") where Col1='""&amp;$T418&amp;""' label sum(""&amp;Z$3&amp;"") ''""),0)))"),"")</f>
        <v/>
      </c>
      <c r="AA418" s="437" t="str">
        <f>IFERROR(__xludf.DUMMYFUNCTION("IF(NOT('portfólio'!$AV$7),"""",IF($T418="""","""",IFERROR(query({AtivosDados},""select sum(""&amp;AA$3&amp;"") where Col1='""&amp;$T418&amp;""' label sum(""&amp;AA$3&amp;"") ''""),0)))"),"")</f>
        <v/>
      </c>
      <c r="AB418" s="437" t="str">
        <f>IFERROR(__xludf.DUMMYFUNCTION("IF(NOT('portfólio'!$AV$7),"""",IF($T418="""","""",IFERROR(query({AtivosDados},""select sum(""&amp;AB$3&amp;"") where Col1='""&amp;$T418&amp;""' label sum(""&amp;AB$3&amp;"") ''""),0)))"),"")</f>
        <v/>
      </c>
      <c r="AC418" s="437" t="str">
        <f>IFERROR(__xludf.DUMMYFUNCTION("IF(NOT('portfólio'!$AV$7),"""",IF($T418="""","""",IFERROR(query({AtivosDados},""select sum(""&amp;AC$3&amp;"") where Col1='""&amp;$T418&amp;""' label sum(""&amp;AC$3&amp;"") ''""),0)))"),"")</f>
        <v/>
      </c>
      <c r="AD418" s="437" t="str">
        <f>IFERROR(__xludf.DUMMYFUNCTION("IF(NOT('portfólio'!$AV$7),"""",IF($T418="""","""",IFERROR(query({AtivosDados},""select sum(""&amp;AD$3&amp;"") where Col1='""&amp;$T418&amp;""' label sum(""&amp;AD$3&amp;"") ''""),0)))"),"")</f>
        <v/>
      </c>
      <c r="AE418" s="437"/>
      <c r="AF418" s="1327"/>
      <c r="AG418" s="437"/>
      <c r="AH418" s="437"/>
      <c r="AI418" s="437"/>
      <c r="AJ418" s="437"/>
      <c r="AK418" s="437"/>
      <c r="AL418" s="437"/>
      <c r="AM418" s="437"/>
      <c r="AN418" s="437"/>
      <c r="AO418" s="437"/>
      <c r="AP418" s="437"/>
      <c r="AQ418" s="1327"/>
      <c r="AR418" s="437"/>
      <c r="AS418" s="437"/>
      <c r="AT418" s="437"/>
      <c r="AU418" s="437"/>
      <c r="AV418" s="437"/>
      <c r="AW418" s="437"/>
      <c r="AX418" s="437"/>
      <c r="AY418" s="437"/>
      <c r="AZ418" s="437"/>
      <c r="BA418" s="437"/>
      <c r="BB418" s="1327"/>
      <c r="BC418" s="437"/>
      <c r="BD418" s="437"/>
      <c r="BE418" s="437"/>
      <c r="BF418" s="437"/>
      <c r="BG418" s="437"/>
      <c r="BH418" s="437"/>
      <c r="BI418" s="437"/>
      <c r="BJ418" s="437"/>
      <c r="BK418" s="437"/>
      <c r="BL418" s="437"/>
      <c r="BM418" s="1327"/>
      <c r="BN418" s="1327"/>
      <c r="BO418" s="1327"/>
      <c r="BP418" s="1327"/>
      <c r="BQ418" s="1327"/>
      <c r="BR418" s="1327"/>
      <c r="BS418" s="1327"/>
      <c r="BT418" s="1327"/>
      <c r="BU418" s="1327"/>
      <c r="BV418" s="1327"/>
      <c r="BW418" s="1327"/>
      <c r="BX418" s="1327"/>
      <c r="BY418" s="1327"/>
      <c r="BZ418" s="1327"/>
      <c r="CA418" s="1327"/>
      <c r="CB418" s="1327"/>
      <c r="CC418" s="1327"/>
      <c r="CD418" s="1327"/>
      <c r="CE418" s="1327"/>
      <c r="CF418" s="1327"/>
      <c r="CG418" s="1327"/>
      <c r="CH418" s="1327"/>
      <c r="CI418" s="1327"/>
      <c r="CJ418" s="1327"/>
      <c r="CK418" s="1327"/>
      <c r="CL418" s="1327"/>
      <c r="CM418" s="1327"/>
      <c r="CN418" s="1327"/>
      <c r="CO418" s="1327"/>
      <c r="CP418" s="1327"/>
      <c r="CQ418" s="1327"/>
      <c r="CR418" s="1327"/>
      <c r="CS418" s="1327"/>
      <c r="CT418" s="1317"/>
      <c r="CU418" s="1317"/>
      <c r="CV418" s="1317"/>
      <c r="CW418" s="1317"/>
      <c r="CX418" s="1317"/>
      <c r="CY418" s="1317"/>
      <c r="CZ418" s="1317"/>
      <c r="DA418" s="1317"/>
      <c r="DB418" s="1317"/>
      <c r="DC418" s="1317"/>
      <c r="DD418" s="1317"/>
      <c r="DE418" s="1317"/>
      <c r="DF418" s="1317"/>
      <c r="DG418" s="1317"/>
    </row>
    <row r="419" ht="18.75" customHeight="1">
      <c r="G419" s="1344"/>
      <c r="H419" s="1345">
        <f t="shared" si="4"/>
        <v>0</v>
      </c>
      <c r="I419" s="1381"/>
      <c r="J419" s="1381"/>
      <c r="K419" s="1381"/>
      <c r="L419" s="1381"/>
      <c r="M419" s="1381"/>
      <c r="N419" s="1381"/>
      <c r="O419" s="1381"/>
      <c r="P419" s="1381"/>
      <c r="Q419" s="1381"/>
      <c r="R419" s="1381"/>
      <c r="T419" s="1349"/>
      <c r="U419" s="1349" t="s">
        <v>123</v>
      </c>
      <c r="V419" s="1349" t="s">
        <v>123</v>
      </c>
      <c r="W419" s="1349"/>
      <c r="X419" s="1349"/>
      <c r="Y419" s="1308"/>
      <c r="Z419" s="437" t="str">
        <f>IFERROR(__xludf.DUMMYFUNCTION("IF(NOT('portfólio'!$AV$7),"""",IF($T419="""","""",IFERROR(query({AtivosDados},""select sum(""&amp;Z$3&amp;"") where Col1='""&amp;$T419&amp;""' label sum(""&amp;Z$3&amp;"") ''""),0)))"),"")</f>
        <v/>
      </c>
      <c r="AA419" s="437" t="str">
        <f>IFERROR(__xludf.DUMMYFUNCTION("IF(NOT('portfólio'!$AV$7),"""",IF($T419="""","""",IFERROR(query({AtivosDados},""select sum(""&amp;AA$3&amp;"") where Col1='""&amp;$T419&amp;""' label sum(""&amp;AA$3&amp;"") ''""),0)))"),"")</f>
        <v/>
      </c>
      <c r="AB419" s="437" t="str">
        <f>IFERROR(__xludf.DUMMYFUNCTION("IF(NOT('portfólio'!$AV$7),"""",IF($T419="""","""",IFERROR(query({AtivosDados},""select sum(""&amp;AB$3&amp;"") where Col1='""&amp;$T419&amp;""' label sum(""&amp;AB$3&amp;"") ''""),0)))"),"")</f>
        <v/>
      </c>
      <c r="AC419" s="437" t="str">
        <f>IFERROR(__xludf.DUMMYFUNCTION("IF(NOT('portfólio'!$AV$7),"""",IF($T419="""","""",IFERROR(query({AtivosDados},""select sum(""&amp;AC$3&amp;"") where Col1='""&amp;$T419&amp;""' label sum(""&amp;AC$3&amp;"") ''""),0)))"),"")</f>
        <v/>
      </c>
      <c r="AD419" s="437" t="str">
        <f>IFERROR(__xludf.DUMMYFUNCTION("IF(NOT('portfólio'!$AV$7),"""",IF($T419="""","""",IFERROR(query({AtivosDados},""select sum(""&amp;AD$3&amp;"") where Col1='""&amp;$T419&amp;""' label sum(""&amp;AD$3&amp;"") ''""),0)))"),"")</f>
        <v/>
      </c>
      <c r="AE419" s="437"/>
      <c r="AF419" s="1327"/>
      <c r="AG419" s="437"/>
      <c r="AH419" s="437"/>
      <c r="AI419" s="437"/>
      <c r="AJ419" s="437"/>
      <c r="AK419" s="437"/>
      <c r="AL419" s="437"/>
      <c r="AM419" s="437"/>
      <c r="AN419" s="437"/>
      <c r="AO419" s="437"/>
      <c r="AP419" s="437"/>
      <c r="AQ419" s="1327"/>
      <c r="AR419" s="437"/>
      <c r="AS419" s="437"/>
      <c r="AT419" s="437"/>
      <c r="AU419" s="437"/>
      <c r="AV419" s="437"/>
      <c r="AW419" s="437"/>
      <c r="AX419" s="437"/>
      <c r="AY419" s="437"/>
      <c r="AZ419" s="437"/>
      <c r="BA419" s="437"/>
      <c r="BB419" s="1327"/>
      <c r="BC419" s="437"/>
      <c r="BD419" s="437"/>
      <c r="BE419" s="437"/>
      <c r="BF419" s="437"/>
      <c r="BG419" s="437"/>
      <c r="BH419" s="437"/>
      <c r="BI419" s="437"/>
      <c r="BJ419" s="437"/>
      <c r="BK419" s="437"/>
      <c r="BL419" s="437"/>
      <c r="BM419" s="1327"/>
      <c r="BN419" s="1327"/>
      <c r="BO419" s="1327"/>
      <c r="BP419" s="1327"/>
      <c r="BQ419" s="1327"/>
      <c r="BR419" s="1327"/>
      <c r="BS419" s="1327"/>
      <c r="BT419" s="1327"/>
      <c r="BU419" s="1327"/>
      <c r="BV419" s="1327"/>
      <c r="BW419" s="1327"/>
      <c r="BX419" s="1327"/>
      <c r="BY419" s="1327"/>
      <c r="BZ419" s="1327"/>
      <c r="CA419" s="1327"/>
      <c r="CB419" s="1327"/>
      <c r="CC419" s="1327"/>
      <c r="CD419" s="1327"/>
      <c r="CE419" s="1327"/>
      <c r="CF419" s="1327"/>
      <c r="CG419" s="1327"/>
      <c r="CH419" s="1327"/>
      <c r="CI419" s="1327"/>
      <c r="CJ419" s="1327"/>
      <c r="CK419" s="1327"/>
      <c r="CL419" s="1327"/>
      <c r="CM419" s="1327"/>
      <c r="CN419" s="1327"/>
      <c r="CO419" s="1327"/>
      <c r="CP419" s="1327"/>
      <c r="CQ419" s="1327"/>
      <c r="CR419" s="1327"/>
      <c r="CS419" s="1327"/>
      <c r="CT419" s="1317"/>
      <c r="CU419" s="1317"/>
      <c r="CV419" s="1317"/>
      <c r="CW419" s="1317"/>
      <c r="CX419" s="1317"/>
      <c r="CY419" s="1317"/>
      <c r="CZ419" s="1317"/>
      <c r="DA419" s="1317"/>
      <c r="DB419" s="1317"/>
      <c r="DC419" s="1317"/>
      <c r="DD419" s="1317"/>
      <c r="DE419" s="1317"/>
      <c r="DF419" s="1317"/>
      <c r="DG419" s="1317"/>
    </row>
    <row r="420" ht="18.75" customHeight="1">
      <c r="G420" s="1344"/>
      <c r="H420" s="1345">
        <f t="shared" si="4"/>
        <v>0</v>
      </c>
      <c r="I420" s="1381"/>
      <c r="J420" s="1381"/>
      <c r="K420" s="1381"/>
      <c r="L420" s="1381"/>
      <c r="M420" s="1381"/>
      <c r="N420" s="1381"/>
      <c r="O420" s="1381"/>
      <c r="P420" s="1381"/>
      <c r="Q420" s="1381"/>
      <c r="R420" s="1381"/>
      <c r="T420" s="1349"/>
      <c r="U420" s="1349" t="s">
        <v>123</v>
      </c>
      <c r="V420" s="1349" t="s">
        <v>123</v>
      </c>
      <c r="W420" s="1349"/>
      <c r="X420" s="1349"/>
      <c r="Y420" s="1308"/>
      <c r="Z420" s="437" t="str">
        <f>IFERROR(__xludf.DUMMYFUNCTION("IF(NOT('portfólio'!$AV$7),"""",IF($T420="""","""",IFERROR(query({AtivosDados},""select sum(""&amp;Z$3&amp;"") where Col1='""&amp;$T420&amp;""' label sum(""&amp;Z$3&amp;"") ''""),0)))"),"")</f>
        <v/>
      </c>
      <c r="AA420" s="437" t="str">
        <f>IFERROR(__xludf.DUMMYFUNCTION("IF(NOT('portfólio'!$AV$7),"""",IF($T420="""","""",IFERROR(query({AtivosDados},""select sum(""&amp;AA$3&amp;"") where Col1='""&amp;$T420&amp;""' label sum(""&amp;AA$3&amp;"") ''""),0)))"),"")</f>
        <v/>
      </c>
      <c r="AB420" s="437" t="str">
        <f>IFERROR(__xludf.DUMMYFUNCTION("IF(NOT('portfólio'!$AV$7),"""",IF($T420="""","""",IFERROR(query({AtivosDados},""select sum(""&amp;AB$3&amp;"") where Col1='""&amp;$T420&amp;""' label sum(""&amp;AB$3&amp;"") ''""),0)))"),"")</f>
        <v/>
      </c>
      <c r="AC420" s="437" t="str">
        <f>IFERROR(__xludf.DUMMYFUNCTION("IF(NOT('portfólio'!$AV$7),"""",IF($T420="""","""",IFERROR(query({AtivosDados},""select sum(""&amp;AC$3&amp;"") where Col1='""&amp;$T420&amp;""' label sum(""&amp;AC$3&amp;"") ''""),0)))"),"")</f>
        <v/>
      </c>
      <c r="AD420" s="437" t="str">
        <f>IFERROR(__xludf.DUMMYFUNCTION("IF(NOT('portfólio'!$AV$7),"""",IF($T420="""","""",IFERROR(query({AtivosDados},""select sum(""&amp;AD$3&amp;"") where Col1='""&amp;$T420&amp;""' label sum(""&amp;AD$3&amp;"") ''""),0)))"),"")</f>
        <v/>
      </c>
      <c r="AE420" s="437"/>
      <c r="AF420" s="1327"/>
      <c r="AG420" s="437"/>
      <c r="AH420" s="437"/>
      <c r="AI420" s="437"/>
      <c r="AJ420" s="437"/>
      <c r="AK420" s="437"/>
      <c r="AL420" s="437"/>
      <c r="AM420" s="437"/>
      <c r="AN420" s="437"/>
      <c r="AO420" s="437"/>
      <c r="AP420" s="437"/>
      <c r="AQ420" s="1327"/>
      <c r="AR420" s="437"/>
      <c r="AS420" s="437"/>
      <c r="AT420" s="437"/>
      <c r="AU420" s="437"/>
      <c r="AV420" s="437"/>
      <c r="AW420" s="437"/>
      <c r="AX420" s="437"/>
      <c r="AY420" s="437"/>
      <c r="AZ420" s="437"/>
      <c r="BA420" s="437"/>
      <c r="BB420" s="1327"/>
      <c r="BC420" s="437"/>
      <c r="BD420" s="437"/>
      <c r="BE420" s="437"/>
      <c r="BF420" s="437"/>
      <c r="BG420" s="437"/>
      <c r="BH420" s="437"/>
      <c r="BI420" s="437"/>
      <c r="BJ420" s="437"/>
      <c r="BK420" s="437"/>
      <c r="BL420" s="437"/>
      <c r="BM420" s="1327"/>
      <c r="BN420" s="1327"/>
      <c r="BO420" s="1327"/>
      <c r="BP420" s="1327"/>
      <c r="BQ420" s="1327"/>
      <c r="BR420" s="1327"/>
      <c r="BS420" s="1327"/>
      <c r="BT420" s="1327"/>
      <c r="BU420" s="1327"/>
      <c r="BV420" s="1327"/>
      <c r="BW420" s="1327"/>
      <c r="BX420" s="1327"/>
      <c r="BY420" s="1327"/>
      <c r="BZ420" s="1327"/>
      <c r="CA420" s="1327"/>
      <c r="CB420" s="1327"/>
      <c r="CC420" s="1327"/>
      <c r="CD420" s="1327"/>
      <c r="CE420" s="1327"/>
      <c r="CF420" s="1327"/>
      <c r="CG420" s="1327"/>
      <c r="CH420" s="1327"/>
      <c r="CI420" s="1327"/>
      <c r="CJ420" s="1327"/>
      <c r="CK420" s="1327"/>
      <c r="CL420" s="1327"/>
      <c r="CM420" s="1327"/>
      <c r="CN420" s="1327"/>
      <c r="CO420" s="1327"/>
      <c r="CP420" s="1327"/>
      <c r="CQ420" s="1327"/>
      <c r="CR420" s="1327"/>
      <c r="CS420" s="1327"/>
      <c r="CT420" s="1317"/>
      <c r="CU420" s="1317"/>
      <c r="CV420" s="1317"/>
      <c r="CW420" s="1317"/>
      <c r="CX420" s="1317"/>
      <c r="CY420" s="1317"/>
      <c r="CZ420" s="1317"/>
      <c r="DA420" s="1317"/>
      <c r="DB420" s="1317"/>
      <c r="DC420" s="1317"/>
      <c r="DD420" s="1317"/>
      <c r="DE420" s="1317"/>
      <c r="DF420" s="1317"/>
      <c r="DG420" s="1317"/>
    </row>
    <row r="421" ht="18.75" customHeight="1">
      <c r="G421" s="1344"/>
      <c r="H421" s="1345">
        <f t="shared" si="4"/>
        <v>0</v>
      </c>
      <c r="I421" s="1381"/>
      <c r="J421" s="1381"/>
      <c r="K421" s="1381"/>
      <c r="L421" s="1381"/>
      <c r="M421" s="1381"/>
      <c r="N421" s="1381"/>
      <c r="O421" s="1381"/>
      <c r="P421" s="1381"/>
      <c r="Q421" s="1381"/>
      <c r="R421" s="1381"/>
      <c r="T421" s="1349"/>
      <c r="U421" s="1349" t="s">
        <v>123</v>
      </c>
      <c r="V421" s="1349" t="s">
        <v>123</v>
      </c>
      <c r="W421" s="1349"/>
      <c r="X421" s="1349"/>
      <c r="Y421" s="1308"/>
      <c r="Z421" s="437" t="str">
        <f>IFERROR(__xludf.DUMMYFUNCTION("IF(NOT('portfólio'!$AV$7),"""",IF($T421="""","""",IFERROR(query({AtivosDados},""select sum(""&amp;Z$3&amp;"") where Col1='""&amp;$T421&amp;""' label sum(""&amp;Z$3&amp;"") ''""),0)))"),"")</f>
        <v/>
      </c>
      <c r="AA421" s="437" t="str">
        <f>IFERROR(__xludf.DUMMYFUNCTION("IF(NOT('portfólio'!$AV$7),"""",IF($T421="""","""",IFERROR(query({AtivosDados},""select sum(""&amp;AA$3&amp;"") where Col1='""&amp;$T421&amp;""' label sum(""&amp;AA$3&amp;"") ''""),0)))"),"")</f>
        <v/>
      </c>
      <c r="AB421" s="437" t="str">
        <f>IFERROR(__xludf.DUMMYFUNCTION("IF(NOT('portfólio'!$AV$7),"""",IF($T421="""","""",IFERROR(query({AtivosDados},""select sum(""&amp;AB$3&amp;"") where Col1='""&amp;$T421&amp;""' label sum(""&amp;AB$3&amp;"") ''""),0)))"),"")</f>
        <v/>
      </c>
      <c r="AC421" s="437" t="str">
        <f>IFERROR(__xludf.DUMMYFUNCTION("IF(NOT('portfólio'!$AV$7),"""",IF($T421="""","""",IFERROR(query({AtivosDados},""select sum(""&amp;AC$3&amp;"") where Col1='""&amp;$T421&amp;""' label sum(""&amp;AC$3&amp;"") ''""),0)))"),"")</f>
        <v/>
      </c>
      <c r="AD421" s="437" t="str">
        <f>IFERROR(__xludf.DUMMYFUNCTION("IF(NOT('portfólio'!$AV$7),"""",IF($T421="""","""",IFERROR(query({AtivosDados},""select sum(""&amp;AD$3&amp;"") where Col1='""&amp;$T421&amp;""' label sum(""&amp;AD$3&amp;"") ''""),0)))"),"")</f>
        <v/>
      </c>
      <c r="AE421" s="437"/>
      <c r="AF421" s="1327"/>
      <c r="AG421" s="437"/>
      <c r="AH421" s="437"/>
      <c r="AI421" s="437"/>
      <c r="AJ421" s="437"/>
      <c r="AK421" s="437"/>
      <c r="AL421" s="437"/>
      <c r="AM421" s="437"/>
      <c r="AN421" s="437"/>
      <c r="AO421" s="437"/>
      <c r="AP421" s="437"/>
      <c r="AQ421" s="1327"/>
      <c r="AR421" s="437"/>
      <c r="AS421" s="437"/>
      <c r="AT421" s="437"/>
      <c r="AU421" s="437"/>
      <c r="AV421" s="437"/>
      <c r="AW421" s="437"/>
      <c r="AX421" s="437"/>
      <c r="AY421" s="437"/>
      <c r="AZ421" s="437"/>
      <c r="BA421" s="437"/>
      <c r="BB421" s="1327"/>
      <c r="BC421" s="437"/>
      <c r="BD421" s="437"/>
      <c r="BE421" s="437"/>
      <c r="BF421" s="437"/>
      <c r="BG421" s="437"/>
      <c r="BH421" s="437"/>
      <c r="BI421" s="437"/>
      <c r="BJ421" s="437"/>
      <c r="BK421" s="437"/>
      <c r="BL421" s="437"/>
      <c r="BM421" s="1327"/>
      <c r="BN421" s="1327"/>
      <c r="BO421" s="1327"/>
      <c r="BP421" s="1327"/>
      <c r="BQ421" s="1327"/>
      <c r="BR421" s="1327"/>
      <c r="BS421" s="1327"/>
      <c r="BT421" s="1327"/>
      <c r="BU421" s="1327"/>
      <c r="BV421" s="1327"/>
      <c r="BW421" s="1327"/>
      <c r="BX421" s="1327"/>
      <c r="BY421" s="1327"/>
      <c r="BZ421" s="1327"/>
      <c r="CA421" s="1327"/>
      <c r="CB421" s="1327"/>
      <c r="CC421" s="1327"/>
      <c r="CD421" s="1327"/>
      <c r="CE421" s="1327"/>
      <c r="CF421" s="1327"/>
      <c r="CG421" s="1327"/>
      <c r="CH421" s="1327"/>
      <c r="CI421" s="1327"/>
      <c r="CJ421" s="1327"/>
      <c r="CK421" s="1327"/>
      <c r="CL421" s="1327"/>
      <c r="CM421" s="1327"/>
      <c r="CN421" s="1327"/>
      <c r="CO421" s="1327"/>
      <c r="CP421" s="1327"/>
      <c r="CQ421" s="1327"/>
      <c r="CR421" s="1327"/>
      <c r="CS421" s="1327"/>
      <c r="CT421" s="1317"/>
      <c r="CU421" s="1317"/>
      <c r="CV421" s="1317"/>
      <c r="CW421" s="1317"/>
      <c r="CX421" s="1317"/>
      <c r="CY421" s="1317"/>
      <c r="CZ421" s="1317"/>
      <c r="DA421" s="1317"/>
      <c r="DB421" s="1317"/>
      <c r="DC421" s="1317"/>
      <c r="DD421" s="1317"/>
      <c r="DE421" s="1317"/>
      <c r="DF421" s="1317"/>
      <c r="DG421" s="1317"/>
    </row>
    <row r="422" ht="18.75" customHeight="1">
      <c r="G422" s="1344"/>
      <c r="H422" s="1345">
        <f t="shared" si="4"/>
        <v>0</v>
      </c>
      <c r="I422" s="1381"/>
      <c r="J422" s="1381"/>
      <c r="K422" s="1381"/>
      <c r="L422" s="1381"/>
      <c r="M422" s="1381"/>
      <c r="N422" s="1381"/>
      <c r="O422" s="1381"/>
      <c r="P422" s="1381"/>
      <c r="Q422" s="1381"/>
      <c r="R422" s="1381"/>
      <c r="T422" s="1349"/>
      <c r="U422" s="1349" t="s">
        <v>123</v>
      </c>
      <c r="V422" s="1349" t="s">
        <v>123</v>
      </c>
      <c r="W422" s="1349"/>
      <c r="X422" s="1349"/>
      <c r="Y422" s="1308"/>
      <c r="Z422" s="437" t="str">
        <f>IFERROR(__xludf.DUMMYFUNCTION("IF(NOT('portfólio'!$AV$7),"""",IF($T422="""","""",IFERROR(query({AtivosDados},""select sum(""&amp;Z$3&amp;"") where Col1='""&amp;$T422&amp;""' label sum(""&amp;Z$3&amp;"") ''""),0)))"),"")</f>
        <v/>
      </c>
      <c r="AA422" s="437" t="str">
        <f>IFERROR(__xludf.DUMMYFUNCTION("IF(NOT('portfólio'!$AV$7),"""",IF($T422="""","""",IFERROR(query({AtivosDados},""select sum(""&amp;AA$3&amp;"") where Col1='""&amp;$T422&amp;""' label sum(""&amp;AA$3&amp;"") ''""),0)))"),"")</f>
        <v/>
      </c>
      <c r="AB422" s="437" t="str">
        <f>IFERROR(__xludf.DUMMYFUNCTION("IF(NOT('portfólio'!$AV$7),"""",IF($T422="""","""",IFERROR(query({AtivosDados},""select sum(""&amp;AB$3&amp;"") where Col1='""&amp;$T422&amp;""' label sum(""&amp;AB$3&amp;"") ''""),0)))"),"")</f>
        <v/>
      </c>
      <c r="AC422" s="437" t="str">
        <f>IFERROR(__xludf.DUMMYFUNCTION("IF(NOT('portfólio'!$AV$7),"""",IF($T422="""","""",IFERROR(query({AtivosDados},""select sum(""&amp;AC$3&amp;"") where Col1='""&amp;$T422&amp;""' label sum(""&amp;AC$3&amp;"") ''""),0)))"),"")</f>
        <v/>
      </c>
      <c r="AD422" s="437" t="str">
        <f>IFERROR(__xludf.DUMMYFUNCTION("IF(NOT('portfólio'!$AV$7),"""",IF($T422="""","""",IFERROR(query({AtivosDados},""select sum(""&amp;AD$3&amp;"") where Col1='""&amp;$T422&amp;""' label sum(""&amp;AD$3&amp;"") ''""),0)))"),"")</f>
        <v/>
      </c>
      <c r="AE422" s="437"/>
      <c r="AF422" s="1327"/>
      <c r="AG422" s="437"/>
      <c r="AH422" s="437"/>
      <c r="AI422" s="437"/>
      <c r="AJ422" s="437"/>
      <c r="AK422" s="437"/>
      <c r="AL422" s="437"/>
      <c r="AM422" s="437"/>
      <c r="AN422" s="437"/>
      <c r="AO422" s="437"/>
      <c r="AP422" s="437"/>
      <c r="AQ422" s="1327"/>
      <c r="AR422" s="437"/>
      <c r="AS422" s="437"/>
      <c r="AT422" s="437"/>
      <c r="AU422" s="437"/>
      <c r="AV422" s="437"/>
      <c r="AW422" s="437"/>
      <c r="AX422" s="437"/>
      <c r="AY422" s="437"/>
      <c r="AZ422" s="437"/>
      <c r="BA422" s="437"/>
      <c r="BB422" s="1327"/>
      <c r="BC422" s="437"/>
      <c r="BD422" s="437"/>
      <c r="BE422" s="437"/>
      <c r="BF422" s="437"/>
      <c r="BG422" s="437"/>
      <c r="BH422" s="437"/>
      <c r="BI422" s="437"/>
      <c r="BJ422" s="437"/>
      <c r="BK422" s="437"/>
      <c r="BL422" s="437"/>
      <c r="BM422" s="1327"/>
      <c r="BN422" s="1327"/>
      <c r="BO422" s="1327"/>
      <c r="BP422" s="1327"/>
      <c r="BQ422" s="1327"/>
      <c r="BR422" s="1327"/>
      <c r="BS422" s="1327"/>
      <c r="BT422" s="1327"/>
      <c r="BU422" s="1327"/>
      <c r="BV422" s="1327"/>
      <c r="BW422" s="1327"/>
      <c r="BX422" s="1327"/>
      <c r="BY422" s="1327"/>
      <c r="BZ422" s="1327"/>
      <c r="CA422" s="1327"/>
      <c r="CB422" s="1327"/>
      <c r="CC422" s="1327"/>
      <c r="CD422" s="1327"/>
      <c r="CE422" s="1327"/>
      <c r="CF422" s="1327"/>
      <c r="CG422" s="1327"/>
      <c r="CH422" s="1327"/>
      <c r="CI422" s="1327"/>
      <c r="CJ422" s="1327"/>
      <c r="CK422" s="1327"/>
      <c r="CL422" s="1327"/>
      <c r="CM422" s="1327"/>
      <c r="CN422" s="1327"/>
      <c r="CO422" s="1327"/>
      <c r="CP422" s="1327"/>
      <c r="CQ422" s="1327"/>
      <c r="CR422" s="1327"/>
      <c r="CS422" s="1327"/>
      <c r="CT422" s="1317"/>
      <c r="CU422" s="1317"/>
      <c r="CV422" s="1317"/>
      <c r="CW422" s="1317"/>
      <c r="CX422" s="1317"/>
      <c r="CY422" s="1317"/>
      <c r="CZ422" s="1317"/>
      <c r="DA422" s="1317"/>
      <c r="DB422" s="1317"/>
      <c r="DC422" s="1317"/>
      <c r="DD422" s="1317"/>
      <c r="DE422" s="1317"/>
      <c r="DF422" s="1317"/>
      <c r="DG422" s="1317"/>
    </row>
    <row r="423" ht="18.75" customHeight="1">
      <c r="G423" s="1344"/>
      <c r="H423" s="1345">
        <f t="shared" si="4"/>
        <v>0</v>
      </c>
      <c r="I423" s="1381"/>
      <c r="J423" s="1381"/>
      <c r="K423" s="1381"/>
      <c r="L423" s="1381"/>
      <c r="M423" s="1381"/>
      <c r="N423" s="1381"/>
      <c r="O423" s="1381"/>
      <c r="P423" s="1381"/>
      <c r="Q423" s="1381"/>
      <c r="R423" s="1381"/>
      <c r="T423" s="1349"/>
      <c r="U423" s="1349" t="s">
        <v>123</v>
      </c>
      <c r="V423" s="1349" t="s">
        <v>123</v>
      </c>
      <c r="W423" s="1349"/>
      <c r="X423" s="1349"/>
      <c r="Y423" s="1308"/>
      <c r="Z423" s="437" t="str">
        <f>IFERROR(__xludf.DUMMYFUNCTION("IF(NOT('portfólio'!$AV$7),"""",IF($T423="""","""",IFERROR(query({AtivosDados},""select sum(""&amp;Z$3&amp;"") where Col1='""&amp;$T423&amp;""' label sum(""&amp;Z$3&amp;"") ''""),0)))"),"")</f>
        <v/>
      </c>
      <c r="AA423" s="437" t="str">
        <f>IFERROR(__xludf.DUMMYFUNCTION("IF(NOT('portfólio'!$AV$7),"""",IF($T423="""","""",IFERROR(query({AtivosDados},""select sum(""&amp;AA$3&amp;"") where Col1='""&amp;$T423&amp;""' label sum(""&amp;AA$3&amp;"") ''""),0)))"),"")</f>
        <v/>
      </c>
      <c r="AB423" s="437" t="str">
        <f>IFERROR(__xludf.DUMMYFUNCTION("IF(NOT('portfólio'!$AV$7),"""",IF($T423="""","""",IFERROR(query({AtivosDados},""select sum(""&amp;AB$3&amp;"") where Col1='""&amp;$T423&amp;""' label sum(""&amp;AB$3&amp;"") ''""),0)))"),"")</f>
        <v/>
      </c>
      <c r="AC423" s="437" t="str">
        <f>IFERROR(__xludf.DUMMYFUNCTION("IF(NOT('portfólio'!$AV$7),"""",IF($T423="""","""",IFERROR(query({AtivosDados},""select sum(""&amp;AC$3&amp;"") where Col1='""&amp;$T423&amp;""' label sum(""&amp;AC$3&amp;"") ''""),0)))"),"")</f>
        <v/>
      </c>
      <c r="AD423" s="437" t="str">
        <f>IFERROR(__xludf.DUMMYFUNCTION("IF(NOT('portfólio'!$AV$7),"""",IF($T423="""","""",IFERROR(query({AtivosDados},""select sum(""&amp;AD$3&amp;"") where Col1='""&amp;$T423&amp;""' label sum(""&amp;AD$3&amp;"") ''""),0)))"),"")</f>
        <v/>
      </c>
      <c r="AE423" s="437"/>
      <c r="AF423" s="1327"/>
      <c r="AG423" s="437"/>
      <c r="AH423" s="437"/>
      <c r="AI423" s="437"/>
      <c r="AJ423" s="437"/>
      <c r="AK423" s="437"/>
      <c r="AL423" s="437"/>
      <c r="AM423" s="437"/>
      <c r="AN423" s="437"/>
      <c r="AO423" s="437"/>
      <c r="AP423" s="437"/>
      <c r="AQ423" s="1327"/>
      <c r="AR423" s="437"/>
      <c r="AS423" s="437"/>
      <c r="AT423" s="437"/>
      <c r="AU423" s="437"/>
      <c r="AV423" s="437"/>
      <c r="AW423" s="437"/>
      <c r="AX423" s="437"/>
      <c r="AY423" s="437"/>
      <c r="AZ423" s="437"/>
      <c r="BA423" s="437"/>
      <c r="BB423" s="1327"/>
      <c r="BC423" s="437"/>
      <c r="BD423" s="437"/>
      <c r="BE423" s="437"/>
      <c r="BF423" s="437"/>
      <c r="BG423" s="437"/>
      <c r="BH423" s="437"/>
      <c r="BI423" s="437"/>
      <c r="BJ423" s="437"/>
      <c r="BK423" s="437"/>
      <c r="BL423" s="437"/>
      <c r="BM423" s="1327"/>
      <c r="BN423" s="1327"/>
      <c r="BO423" s="1327"/>
      <c r="BP423" s="1327"/>
      <c r="BQ423" s="1327"/>
      <c r="BR423" s="1327"/>
      <c r="BS423" s="1327"/>
      <c r="BT423" s="1327"/>
      <c r="BU423" s="1327"/>
      <c r="BV423" s="1327"/>
      <c r="BW423" s="1327"/>
      <c r="BX423" s="1327"/>
      <c r="BY423" s="1327"/>
      <c r="BZ423" s="1327"/>
      <c r="CA423" s="1327"/>
      <c r="CB423" s="1327"/>
      <c r="CC423" s="1327"/>
      <c r="CD423" s="1327"/>
      <c r="CE423" s="1327"/>
      <c r="CF423" s="1327"/>
      <c r="CG423" s="1327"/>
      <c r="CH423" s="1327"/>
      <c r="CI423" s="1327"/>
      <c r="CJ423" s="1327"/>
      <c r="CK423" s="1327"/>
      <c r="CL423" s="1327"/>
      <c r="CM423" s="1327"/>
      <c r="CN423" s="1327"/>
      <c r="CO423" s="1327"/>
      <c r="CP423" s="1327"/>
      <c r="CQ423" s="1327"/>
      <c r="CR423" s="1327"/>
      <c r="CS423" s="1327"/>
      <c r="CT423" s="1317"/>
      <c r="CU423" s="1317"/>
      <c r="CV423" s="1317"/>
      <c r="CW423" s="1317"/>
      <c r="CX423" s="1317"/>
      <c r="CY423" s="1317"/>
      <c r="CZ423" s="1317"/>
      <c r="DA423" s="1317"/>
      <c r="DB423" s="1317"/>
      <c r="DC423" s="1317"/>
      <c r="DD423" s="1317"/>
      <c r="DE423" s="1317"/>
      <c r="DF423" s="1317"/>
      <c r="DG423" s="1317"/>
    </row>
    <row r="424" ht="18.75" customHeight="1">
      <c r="G424" s="1344"/>
      <c r="H424" s="1345">
        <f t="shared" si="4"/>
        <v>0</v>
      </c>
      <c r="I424" s="1381"/>
      <c r="J424" s="1381"/>
      <c r="K424" s="1381"/>
      <c r="L424" s="1381"/>
      <c r="M424" s="1381"/>
      <c r="N424" s="1381"/>
      <c r="O424" s="1381"/>
      <c r="P424" s="1381"/>
      <c r="Q424" s="1381"/>
      <c r="R424" s="1381"/>
      <c r="T424" s="1349"/>
      <c r="U424" s="1349" t="s">
        <v>123</v>
      </c>
      <c r="V424" s="1349" t="s">
        <v>123</v>
      </c>
      <c r="W424" s="1349"/>
      <c r="X424" s="1349"/>
      <c r="Y424" s="1308"/>
      <c r="Z424" s="437" t="str">
        <f>IFERROR(__xludf.DUMMYFUNCTION("IF(NOT('portfólio'!$AV$7),"""",IF($T424="""","""",IFERROR(query({AtivosDados},""select sum(""&amp;Z$3&amp;"") where Col1='""&amp;$T424&amp;""' label sum(""&amp;Z$3&amp;"") ''""),0)))"),"")</f>
        <v/>
      </c>
      <c r="AA424" s="437" t="str">
        <f>IFERROR(__xludf.DUMMYFUNCTION("IF(NOT('portfólio'!$AV$7),"""",IF($T424="""","""",IFERROR(query({AtivosDados},""select sum(""&amp;AA$3&amp;"") where Col1='""&amp;$T424&amp;""' label sum(""&amp;AA$3&amp;"") ''""),0)))"),"")</f>
        <v/>
      </c>
      <c r="AB424" s="437" t="str">
        <f>IFERROR(__xludf.DUMMYFUNCTION("IF(NOT('portfólio'!$AV$7),"""",IF($T424="""","""",IFERROR(query({AtivosDados},""select sum(""&amp;AB$3&amp;"") where Col1='""&amp;$T424&amp;""' label sum(""&amp;AB$3&amp;"") ''""),0)))"),"")</f>
        <v/>
      </c>
      <c r="AC424" s="437" t="str">
        <f>IFERROR(__xludf.DUMMYFUNCTION("IF(NOT('portfólio'!$AV$7),"""",IF($T424="""","""",IFERROR(query({AtivosDados},""select sum(""&amp;AC$3&amp;"") where Col1='""&amp;$T424&amp;""' label sum(""&amp;AC$3&amp;"") ''""),0)))"),"")</f>
        <v/>
      </c>
      <c r="AD424" s="437" t="str">
        <f>IFERROR(__xludf.DUMMYFUNCTION("IF(NOT('portfólio'!$AV$7),"""",IF($T424="""","""",IFERROR(query({AtivosDados},""select sum(""&amp;AD$3&amp;"") where Col1='""&amp;$T424&amp;""' label sum(""&amp;AD$3&amp;"") ''""),0)))"),"")</f>
        <v/>
      </c>
      <c r="AE424" s="437"/>
      <c r="AF424" s="1327"/>
      <c r="AG424" s="437"/>
      <c r="AH424" s="437"/>
      <c r="AI424" s="437"/>
      <c r="AJ424" s="437"/>
      <c r="AK424" s="437"/>
      <c r="AL424" s="437"/>
      <c r="AM424" s="437"/>
      <c r="AN424" s="437"/>
      <c r="AO424" s="437"/>
      <c r="AP424" s="437"/>
      <c r="AQ424" s="1327"/>
      <c r="AR424" s="437"/>
      <c r="AS424" s="437"/>
      <c r="AT424" s="437"/>
      <c r="AU424" s="437"/>
      <c r="AV424" s="437"/>
      <c r="AW424" s="437"/>
      <c r="AX424" s="437"/>
      <c r="AY424" s="437"/>
      <c r="AZ424" s="437"/>
      <c r="BA424" s="437"/>
      <c r="BB424" s="1327"/>
      <c r="BC424" s="437"/>
      <c r="BD424" s="437"/>
      <c r="BE424" s="437"/>
      <c r="BF424" s="437"/>
      <c r="BG424" s="437"/>
      <c r="BH424" s="437"/>
      <c r="BI424" s="437"/>
      <c r="BJ424" s="437"/>
      <c r="BK424" s="437"/>
      <c r="BL424" s="437"/>
      <c r="BM424" s="1327"/>
      <c r="BN424" s="1327"/>
      <c r="BO424" s="1327"/>
      <c r="BP424" s="1327"/>
      <c r="BQ424" s="1327"/>
      <c r="BR424" s="1327"/>
      <c r="BS424" s="1327"/>
      <c r="BT424" s="1327"/>
      <c r="BU424" s="1327"/>
      <c r="BV424" s="1327"/>
      <c r="BW424" s="1327"/>
      <c r="BX424" s="1327"/>
      <c r="BY424" s="1327"/>
      <c r="BZ424" s="1327"/>
      <c r="CA424" s="1327"/>
      <c r="CB424" s="1327"/>
      <c r="CC424" s="1327"/>
      <c r="CD424" s="1327"/>
      <c r="CE424" s="1327"/>
      <c r="CF424" s="1327"/>
      <c r="CG424" s="1327"/>
      <c r="CH424" s="1327"/>
      <c r="CI424" s="1327"/>
      <c r="CJ424" s="1327"/>
      <c r="CK424" s="1327"/>
      <c r="CL424" s="1327"/>
      <c r="CM424" s="1327"/>
      <c r="CN424" s="1327"/>
      <c r="CO424" s="1327"/>
      <c r="CP424" s="1327"/>
      <c r="CQ424" s="1327"/>
      <c r="CR424" s="1327"/>
      <c r="CS424" s="1327"/>
      <c r="CT424" s="1317"/>
      <c r="CU424" s="1317"/>
      <c r="CV424" s="1317"/>
      <c r="CW424" s="1317"/>
      <c r="CX424" s="1317"/>
      <c r="CY424" s="1317"/>
      <c r="CZ424" s="1317"/>
      <c r="DA424" s="1317"/>
      <c r="DB424" s="1317"/>
      <c r="DC424" s="1317"/>
      <c r="DD424" s="1317"/>
      <c r="DE424" s="1317"/>
      <c r="DF424" s="1317"/>
      <c r="DG424" s="1317"/>
    </row>
    <row r="425" ht="18.75" customHeight="1">
      <c r="G425" s="1344"/>
      <c r="H425" s="1345">
        <f t="shared" si="4"/>
        <v>0</v>
      </c>
      <c r="I425" s="1381"/>
      <c r="J425" s="1381"/>
      <c r="K425" s="1381"/>
      <c r="L425" s="1381"/>
      <c r="M425" s="1381"/>
      <c r="N425" s="1381"/>
      <c r="O425" s="1381"/>
      <c r="P425" s="1381"/>
      <c r="Q425" s="1381"/>
      <c r="R425" s="1381"/>
      <c r="T425" s="1349"/>
      <c r="U425" s="1349" t="s">
        <v>123</v>
      </c>
      <c r="V425" s="1349" t="s">
        <v>123</v>
      </c>
      <c r="W425" s="1349"/>
      <c r="X425" s="1349"/>
      <c r="Y425" s="1308"/>
      <c r="Z425" s="437" t="str">
        <f>IFERROR(__xludf.DUMMYFUNCTION("IF(NOT('portfólio'!$AV$7),"""",IF($T425="""","""",IFERROR(query({AtivosDados},""select sum(""&amp;Z$3&amp;"") where Col1='""&amp;$T425&amp;""' label sum(""&amp;Z$3&amp;"") ''""),0)))"),"")</f>
        <v/>
      </c>
      <c r="AA425" s="437" t="str">
        <f>IFERROR(__xludf.DUMMYFUNCTION("IF(NOT('portfólio'!$AV$7),"""",IF($T425="""","""",IFERROR(query({AtivosDados},""select sum(""&amp;AA$3&amp;"") where Col1='""&amp;$T425&amp;""' label sum(""&amp;AA$3&amp;"") ''""),0)))"),"")</f>
        <v/>
      </c>
      <c r="AB425" s="437" t="str">
        <f>IFERROR(__xludf.DUMMYFUNCTION("IF(NOT('portfólio'!$AV$7),"""",IF($T425="""","""",IFERROR(query({AtivosDados},""select sum(""&amp;AB$3&amp;"") where Col1='""&amp;$T425&amp;""' label sum(""&amp;AB$3&amp;"") ''""),0)))"),"")</f>
        <v/>
      </c>
      <c r="AC425" s="437" t="str">
        <f>IFERROR(__xludf.DUMMYFUNCTION("IF(NOT('portfólio'!$AV$7),"""",IF($T425="""","""",IFERROR(query({AtivosDados},""select sum(""&amp;AC$3&amp;"") where Col1='""&amp;$T425&amp;""' label sum(""&amp;AC$3&amp;"") ''""),0)))"),"")</f>
        <v/>
      </c>
      <c r="AD425" s="437" t="str">
        <f>IFERROR(__xludf.DUMMYFUNCTION("IF(NOT('portfólio'!$AV$7),"""",IF($T425="""","""",IFERROR(query({AtivosDados},""select sum(""&amp;AD$3&amp;"") where Col1='""&amp;$T425&amp;""' label sum(""&amp;AD$3&amp;"") ''""),0)))"),"")</f>
        <v/>
      </c>
      <c r="AE425" s="437"/>
      <c r="AF425" s="1327"/>
      <c r="AG425" s="437"/>
      <c r="AH425" s="437"/>
      <c r="AI425" s="437"/>
      <c r="AJ425" s="437"/>
      <c r="AK425" s="437"/>
      <c r="AL425" s="437"/>
      <c r="AM425" s="437"/>
      <c r="AN425" s="437"/>
      <c r="AO425" s="437"/>
      <c r="AP425" s="437"/>
      <c r="AQ425" s="1327"/>
      <c r="AR425" s="437"/>
      <c r="AS425" s="437"/>
      <c r="AT425" s="437"/>
      <c r="AU425" s="437"/>
      <c r="AV425" s="437"/>
      <c r="AW425" s="437"/>
      <c r="AX425" s="437"/>
      <c r="AY425" s="437"/>
      <c r="AZ425" s="437"/>
      <c r="BA425" s="437"/>
      <c r="BB425" s="1327"/>
      <c r="BC425" s="437"/>
      <c r="BD425" s="437"/>
      <c r="BE425" s="437"/>
      <c r="BF425" s="437"/>
      <c r="BG425" s="437"/>
      <c r="BH425" s="437"/>
      <c r="BI425" s="437"/>
      <c r="BJ425" s="437"/>
      <c r="BK425" s="437"/>
      <c r="BL425" s="437"/>
      <c r="BM425" s="1327"/>
      <c r="BN425" s="1327"/>
      <c r="BO425" s="1327"/>
      <c r="BP425" s="1327"/>
      <c r="BQ425" s="1327"/>
      <c r="BR425" s="1327"/>
      <c r="BS425" s="1327"/>
      <c r="BT425" s="1327"/>
      <c r="BU425" s="1327"/>
      <c r="BV425" s="1327"/>
      <c r="BW425" s="1327"/>
      <c r="BX425" s="1327"/>
      <c r="BY425" s="1327"/>
      <c r="BZ425" s="1327"/>
      <c r="CA425" s="1327"/>
      <c r="CB425" s="1327"/>
      <c r="CC425" s="1327"/>
      <c r="CD425" s="1327"/>
      <c r="CE425" s="1327"/>
      <c r="CF425" s="1327"/>
      <c r="CG425" s="1327"/>
      <c r="CH425" s="1327"/>
      <c r="CI425" s="1327"/>
      <c r="CJ425" s="1327"/>
      <c r="CK425" s="1327"/>
      <c r="CL425" s="1327"/>
      <c r="CM425" s="1327"/>
      <c r="CN425" s="1327"/>
      <c r="CO425" s="1327"/>
      <c r="CP425" s="1327"/>
      <c r="CQ425" s="1327"/>
      <c r="CR425" s="1327"/>
      <c r="CS425" s="1327"/>
      <c r="CT425" s="1317"/>
      <c r="CU425" s="1317"/>
      <c r="CV425" s="1317"/>
      <c r="CW425" s="1317"/>
      <c r="CX425" s="1317"/>
      <c r="CY425" s="1317"/>
      <c r="CZ425" s="1317"/>
      <c r="DA425" s="1317"/>
      <c r="DB425" s="1317"/>
      <c r="DC425" s="1317"/>
      <c r="DD425" s="1317"/>
      <c r="DE425" s="1317"/>
      <c r="DF425" s="1317"/>
      <c r="DG425" s="1317"/>
    </row>
    <row r="426" ht="18.75" customHeight="1">
      <c r="G426" s="1344"/>
      <c r="H426" s="1345">
        <f t="shared" si="4"/>
        <v>0</v>
      </c>
      <c r="I426" s="1381"/>
      <c r="J426" s="1381"/>
      <c r="K426" s="1381"/>
      <c r="L426" s="1381"/>
      <c r="M426" s="1381"/>
      <c r="N426" s="1381"/>
      <c r="O426" s="1381"/>
      <c r="P426" s="1381"/>
      <c r="Q426" s="1381"/>
      <c r="R426" s="1381"/>
      <c r="T426" s="1349"/>
      <c r="U426" s="1349" t="s">
        <v>123</v>
      </c>
      <c r="V426" s="1349" t="s">
        <v>123</v>
      </c>
      <c r="W426" s="1349"/>
      <c r="X426" s="1349"/>
      <c r="Y426" s="1308"/>
      <c r="Z426" s="437" t="str">
        <f>IFERROR(__xludf.DUMMYFUNCTION("IF(NOT('portfólio'!$AV$7),"""",IF($T426="""","""",IFERROR(query({AtivosDados},""select sum(""&amp;Z$3&amp;"") where Col1='""&amp;$T426&amp;""' label sum(""&amp;Z$3&amp;"") ''""),0)))"),"")</f>
        <v/>
      </c>
      <c r="AA426" s="437" t="str">
        <f>IFERROR(__xludf.DUMMYFUNCTION("IF(NOT('portfólio'!$AV$7),"""",IF($T426="""","""",IFERROR(query({AtivosDados},""select sum(""&amp;AA$3&amp;"") where Col1='""&amp;$T426&amp;""' label sum(""&amp;AA$3&amp;"") ''""),0)))"),"")</f>
        <v/>
      </c>
      <c r="AB426" s="437" t="str">
        <f>IFERROR(__xludf.DUMMYFUNCTION("IF(NOT('portfólio'!$AV$7),"""",IF($T426="""","""",IFERROR(query({AtivosDados},""select sum(""&amp;AB$3&amp;"") where Col1='""&amp;$T426&amp;""' label sum(""&amp;AB$3&amp;"") ''""),0)))"),"")</f>
        <v/>
      </c>
      <c r="AC426" s="437" t="str">
        <f>IFERROR(__xludf.DUMMYFUNCTION("IF(NOT('portfólio'!$AV$7),"""",IF($T426="""","""",IFERROR(query({AtivosDados},""select sum(""&amp;AC$3&amp;"") where Col1='""&amp;$T426&amp;""' label sum(""&amp;AC$3&amp;"") ''""),0)))"),"")</f>
        <v/>
      </c>
      <c r="AD426" s="437" t="str">
        <f>IFERROR(__xludf.DUMMYFUNCTION("IF(NOT('portfólio'!$AV$7),"""",IF($T426="""","""",IFERROR(query({AtivosDados},""select sum(""&amp;AD$3&amp;"") where Col1='""&amp;$T426&amp;""' label sum(""&amp;AD$3&amp;"") ''""),0)))"),"")</f>
        <v/>
      </c>
      <c r="AE426" s="437"/>
      <c r="AF426" s="1327"/>
      <c r="AG426" s="437"/>
      <c r="AH426" s="437"/>
      <c r="AI426" s="437"/>
      <c r="AJ426" s="437"/>
      <c r="AK426" s="437"/>
      <c r="AL426" s="437"/>
      <c r="AM426" s="437"/>
      <c r="AN426" s="437"/>
      <c r="AO426" s="437"/>
      <c r="AP426" s="437"/>
      <c r="AQ426" s="1327"/>
      <c r="AR426" s="437"/>
      <c r="AS426" s="437"/>
      <c r="AT426" s="437"/>
      <c r="AU426" s="437"/>
      <c r="AV426" s="437"/>
      <c r="AW426" s="437"/>
      <c r="AX426" s="437"/>
      <c r="AY426" s="437"/>
      <c r="AZ426" s="437"/>
      <c r="BA426" s="437"/>
      <c r="BB426" s="1327"/>
      <c r="BC426" s="437"/>
      <c r="BD426" s="437"/>
      <c r="BE426" s="437"/>
      <c r="BF426" s="437"/>
      <c r="BG426" s="437"/>
      <c r="BH426" s="437"/>
      <c r="BI426" s="437"/>
      <c r="BJ426" s="437"/>
      <c r="BK426" s="437"/>
      <c r="BL426" s="437"/>
      <c r="BM426" s="1327"/>
      <c r="BN426" s="1327"/>
      <c r="BO426" s="1327"/>
      <c r="BP426" s="1327"/>
      <c r="BQ426" s="1327"/>
      <c r="BR426" s="1327"/>
      <c r="BS426" s="1327"/>
      <c r="BT426" s="1327"/>
      <c r="BU426" s="1327"/>
      <c r="BV426" s="1327"/>
      <c r="BW426" s="1327"/>
      <c r="BX426" s="1327"/>
      <c r="BY426" s="1327"/>
      <c r="BZ426" s="1327"/>
      <c r="CA426" s="1327"/>
      <c r="CB426" s="1327"/>
      <c r="CC426" s="1327"/>
      <c r="CD426" s="1327"/>
      <c r="CE426" s="1327"/>
      <c r="CF426" s="1327"/>
      <c r="CG426" s="1327"/>
      <c r="CH426" s="1327"/>
      <c r="CI426" s="1327"/>
      <c r="CJ426" s="1327"/>
      <c r="CK426" s="1327"/>
      <c r="CL426" s="1327"/>
      <c r="CM426" s="1327"/>
      <c r="CN426" s="1327"/>
      <c r="CO426" s="1327"/>
      <c r="CP426" s="1327"/>
      <c r="CQ426" s="1327"/>
      <c r="CR426" s="1327"/>
      <c r="CS426" s="1327"/>
      <c r="CT426" s="1317"/>
      <c r="CU426" s="1317"/>
      <c r="CV426" s="1317"/>
      <c r="CW426" s="1317"/>
      <c r="CX426" s="1317"/>
      <c r="CY426" s="1317"/>
      <c r="CZ426" s="1317"/>
      <c r="DA426" s="1317"/>
      <c r="DB426" s="1317"/>
      <c r="DC426" s="1317"/>
      <c r="DD426" s="1317"/>
      <c r="DE426" s="1317"/>
      <c r="DF426" s="1317"/>
      <c r="DG426" s="1317"/>
    </row>
    <row r="427" ht="18.75" customHeight="1">
      <c r="G427" s="1344"/>
      <c r="H427" s="1345">
        <f t="shared" si="4"/>
        <v>0</v>
      </c>
      <c r="I427" s="1381"/>
      <c r="J427" s="1381"/>
      <c r="K427" s="1381"/>
      <c r="L427" s="1381"/>
      <c r="M427" s="1381"/>
      <c r="N427" s="1381"/>
      <c r="O427" s="1381"/>
      <c r="P427" s="1381"/>
      <c r="Q427" s="1381"/>
      <c r="R427" s="1381"/>
      <c r="T427" s="1349"/>
      <c r="U427" s="1349" t="s">
        <v>123</v>
      </c>
      <c r="V427" s="1349" t="s">
        <v>123</v>
      </c>
      <c r="W427" s="1349"/>
      <c r="X427" s="1349"/>
      <c r="Y427" s="1308"/>
      <c r="Z427" s="437" t="str">
        <f>IFERROR(__xludf.DUMMYFUNCTION("IF(NOT('portfólio'!$AV$7),"""",IF($T427="""","""",IFERROR(query({AtivosDados},""select sum(""&amp;Z$3&amp;"") where Col1='""&amp;$T427&amp;""' label sum(""&amp;Z$3&amp;"") ''""),0)))"),"")</f>
        <v/>
      </c>
      <c r="AA427" s="437" t="str">
        <f>IFERROR(__xludf.DUMMYFUNCTION("IF(NOT('portfólio'!$AV$7),"""",IF($T427="""","""",IFERROR(query({AtivosDados},""select sum(""&amp;AA$3&amp;"") where Col1='""&amp;$T427&amp;""' label sum(""&amp;AA$3&amp;"") ''""),0)))"),"")</f>
        <v/>
      </c>
      <c r="AB427" s="437" t="str">
        <f>IFERROR(__xludf.DUMMYFUNCTION("IF(NOT('portfólio'!$AV$7),"""",IF($T427="""","""",IFERROR(query({AtivosDados},""select sum(""&amp;AB$3&amp;"") where Col1='""&amp;$T427&amp;""' label sum(""&amp;AB$3&amp;"") ''""),0)))"),"")</f>
        <v/>
      </c>
      <c r="AC427" s="437" t="str">
        <f>IFERROR(__xludf.DUMMYFUNCTION("IF(NOT('portfólio'!$AV$7),"""",IF($T427="""","""",IFERROR(query({AtivosDados},""select sum(""&amp;AC$3&amp;"") where Col1='""&amp;$T427&amp;""' label sum(""&amp;AC$3&amp;"") ''""),0)))"),"")</f>
        <v/>
      </c>
      <c r="AD427" s="437" t="str">
        <f>IFERROR(__xludf.DUMMYFUNCTION("IF(NOT('portfólio'!$AV$7),"""",IF($T427="""","""",IFERROR(query({AtivosDados},""select sum(""&amp;AD$3&amp;"") where Col1='""&amp;$T427&amp;""' label sum(""&amp;AD$3&amp;"") ''""),0)))"),"")</f>
        <v/>
      </c>
      <c r="AE427" s="437"/>
      <c r="AF427" s="1327"/>
      <c r="AG427" s="437"/>
      <c r="AH427" s="437"/>
      <c r="AI427" s="437"/>
      <c r="AJ427" s="437"/>
      <c r="AK427" s="437"/>
      <c r="AL427" s="437"/>
      <c r="AM427" s="437"/>
      <c r="AN427" s="437"/>
      <c r="AO427" s="437"/>
      <c r="AP427" s="437"/>
      <c r="AQ427" s="1327"/>
      <c r="AR427" s="437"/>
      <c r="AS427" s="437"/>
      <c r="AT427" s="437"/>
      <c r="AU427" s="437"/>
      <c r="AV427" s="437"/>
      <c r="AW427" s="437"/>
      <c r="AX427" s="437"/>
      <c r="AY427" s="437"/>
      <c r="AZ427" s="437"/>
      <c r="BA427" s="437"/>
      <c r="BB427" s="1327"/>
      <c r="BC427" s="437"/>
      <c r="BD427" s="437"/>
      <c r="BE427" s="437"/>
      <c r="BF427" s="437"/>
      <c r="BG427" s="437"/>
      <c r="BH427" s="437"/>
      <c r="BI427" s="437"/>
      <c r="BJ427" s="437"/>
      <c r="BK427" s="437"/>
      <c r="BL427" s="437"/>
      <c r="BM427" s="1327"/>
      <c r="BN427" s="1327"/>
      <c r="BO427" s="1327"/>
      <c r="BP427" s="1327"/>
      <c r="BQ427" s="1327"/>
      <c r="BR427" s="1327"/>
      <c r="BS427" s="1327"/>
      <c r="BT427" s="1327"/>
      <c r="BU427" s="1327"/>
      <c r="BV427" s="1327"/>
      <c r="BW427" s="1327"/>
      <c r="BX427" s="1327"/>
      <c r="BY427" s="1327"/>
      <c r="BZ427" s="1327"/>
      <c r="CA427" s="1327"/>
      <c r="CB427" s="1327"/>
      <c r="CC427" s="1327"/>
      <c r="CD427" s="1327"/>
      <c r="CE427" s="1327"/>
      <c r="CF427" s="1327"/>
      <c r="CG427" s="1327"/>
      <c r="CH427" s="1327"/>
      <c r="CI427" s="1327"/>
      <c r="CJ427" s="1327"/>
      <c r="CK427" s="1327"/>
      <c r="CL427" s="1327"/>
      <c r="CM427" s="1327"/>
      <c r="CN427" s="1327"/>
      <c r="CO427" s="1327"/>
      <c r="CP427" s="1327"/>
      <c r="CQ427" s="1327"/>
      <c r="CR427" s="1327"/>
      <c r="CS427" s="1327"/>
      <c r="CT427" s="1317"/>
      <c r="CU427" s="1317"/>
      <c r="CV427" s="1317"/>
      <c r="CW427" s="1317"/>
      <c r="CX427" s="1317"/>
      <c r="CY427" s="1317"/>
      <c r="CZ427" s="1317"/>
      <c r="DA427" s="1317"/>
      <c r="DB427" s="1317"/>
      <c r="DC427" s="1317"/>
      <c r="DD427" s="1317"/>
      <c r="DE427" s="1317"/>
      <c r="DF427" s="1317"/>
      <c r="DG427" s="1317"/>
    </row>
    <row r="428" ht="18.75" customHeight="1">
      <c r="G428" s="1344"/>
      <c r="H428" s="1345">
        <f t="shared" si="4"/>
        <v>0</v>
      </c>
      <c r="I428" s="1381"/>
      <c r="J428" s="1381"/>
      <c r="K428" s="1381"/>
      <c r="L428" s="1381"/>
      <c r="M428" s="1381"/>
      <c r="N428" s="1381"/>
      <c r="O428" s="1381"/>
      <c r="P428" s="1381"/>
      <c r="Q428" s="1381"/>
      <c r="R428" s="1381"/>
      <c r="T428" s="1349"/>
      <c r="U428" s="1349" t="s">
        <v>123</v>
      </c>
      <c r="V428" s="1349" t="s">
        <v>123</v>
      </c>
      <c r="W428" s="1349"/>
      <c r="X428" s="1349"/>
      <c r="Y428" s="1308"/>
      <c r="Z428" s="437" t="str">
        <f>IFERROR(__xludf.DUMMYFUNCTION("IF(NOT('portfólio'!$AV$7),"""",IF($T428="""","""",IFERROR(query({AtivosDados},""select sum(""&amp;Z$3&amp;"") where Col1='""&amp;$T428&amp;""' label sum(""&amp;Z$3&amp;"") ''""),0)))"),"")</f>
        <v/>
      </c>
      <c r="AA428" s="437" t="str">
        <f>IFERROR(__xludf.DUMMYFUNCTION("IF(NOT('portfólio'!$AV$7),"""",IF($T428="""","""",IFERROR(query({AtivosDados},""select sum(""&amp;AA$3&amp;"") where Col1='""&amp;$T428&amp;""' label sum(""&amp;AA$3&amp;"") ''""),0)))"),"")</f>
        <v/>
      </c>
      <c r="AB428" s="437" t="str">
        <f>IFERROR(__xludf.DUMMYFUNCTION("IF(NOT('portfólio'!$AV$7),"""",IF($T428="""","""",IFERROR(query({AtivosDados},""select sum(""&amp;AB$3&amp;"") where Col1='""&amp;$T428&amp;""' label sum(""&amp;AB$3&amp;"") ''""),0)))"),"")</f>
        <v/>
      </c>
      <c r="AC428" s="437" t="str">
        <f>IFERROR(__xludf.DUMMYFUNCTION("IF(NOT('portfólio'!$AV$7),"""",IF($T428="""","""",IFERROR(query({AtivosDados},""select sum(""&amp;AC$3&amp;"") where Col1='""&amp;$T428&amp;""' label sum(""&amp;AC$3&amp;"") ''""),0)))"),"")</f>
        <v/>
      </c>
      <c r="AD428" s="437" t="str">
        <f>IFERROR(__xludf.DUMMYFUNCTION("IF(NOT('portfólio'!$AV$7),"""",IF($T428="""","""",IFERROR(query({AtivosDados},""select sum(""&amp;AD$3&amp;"") where Col1='""&amp;$T428&amp;""' label sum(""&amp;AD$3&amp;"") ''""),0)))"),"")</f>
        <v/>
      </c>
      <c r="AE428" s="437"/>
      <c r="AF428" s="1327"/>
      <c r="AG428" s="437"/>
      <c r="AH428" s="437"/>
      <c r="AI428" s="437"/>
      <c r="AJ428" s="437"/>
      <c r="AK428" s="437"/>
      <c r="AL428" s="437"/>
      <c r="AM428" s="437"/>
      <c r="AN428" s="437"/>
      <c r="AO428" s="437"/>
      <c r="AP428" s="437"/>
      <c r="AQ428" s="1327"/>
      <c r="AR428" s="437"/>
      <c r="AS428" s="437"/>
      <c r="AT428" s="437"/>
      <c r="AU428" s="437"/>
      <c r="AV428" s="437"/>
      <c r="AW428" s="437"/>
      <c r="AX428" s="437"/>
      <c r="AY428" s="437"/>
      <c r="AZ428" s="437"/>
      <c r="BA428" s="437"/>
      <c r="BB428" s="1327"/>
      <c r="BC428" s="437"/>
      <c r="BD428" s="437"/>
      <c r="BE428" s="437"/>
      <c r="BF428" s="437"/>
      <c r="BG428" s="437"/>
      <c r="BH428" s="437"/>
      <c r="BI428" s="437"/>
      <c r="BJ428" s="437"/>
      <c r="BK428" s="437"/>
      <c r="BL428" s="437"/>
      <c r="BM428" s="1327"/>
      <c r="BN428" s="1327"/>
      <c r="BO428" s="1327"/>
      <c r="BP428" s="1327"/>
      <c r="BQ428" s="1327"/>
      <c r="BR428" s="1327"/>
      <c r="BS428" s="1327"/>
      <c r="BT428" s="1327"/>
      <c r="BU428" s="1327"/>
      <c r="BV428" s="1327"/>
      <c r="BW428" s="1327"/>
      <c r="BX428" s="1327"/>
      <c r="BY428" s="1327"/>
      <c r="BZ428" s="1327"/>
      <c r="CA428" s="1327"/>
      <c r="CB428" s="1327"/>
      <c r="CC428" s="1327"/>
      <c r="CD428" s="1327"/>
      <c r="CE428" s="1327"/>
      <c r="CF428" s="1327"/>
      <c r="CG428" s="1327"/>
      <c r="CH428" s="1327"/>
      <c r="CI428" s="1327"/>
      <c r="CJ428" s="1327"/>
      <c r="CK428" s="1327"/>
      <c r="CL428" s="1327"/>
      <c r="CM428" s="1327"/>
      <c r="CN428" s="1327"/>
      <c r="CO428" s="1327"/>
      <c r="CP428" s="1327"/>
      <c r="CQ428" s="1327"/>
      <c r="CR428" s="1327"/>
      <c r="CS428" s="1327"/>
      <c r="CT428" s="1317"/>
      <c r="CU428" s="1317"/>
      <c r="CV428" s="1317"/>
      <c r="CW428" s="1317"/>
      <c r="CX428" s="1317"/>
      <c r="CY428" s="1317"/>
      <c r="CZ428" s="1317"/>
      <c r="DA428" s="1317"/>
      <c r="DB428" s="1317"/>
      <c r="DC428" s="1317"/>
      <c r="DD428" s="1317"/>
      <c r="DE428" s="1317"/>
      <c r="DF428" s="1317"/>
      <c r="DG428" s="1317"/>
    </row>
    <row r="429" ht="18.75" customHeight="1">
      <c r="G429" s="1344"/>
      <c r="H429" s="1345">
        <f t="shared" si="4"/>
        <v>0</v>
      </c>
      <c r="I429" s="1381"/>
      <c r="J429" s="1381"/>
      <c r="K429" s="1381"/>
      <c r="L429" s="1381"/>
      <c r="M429" s="1381"/>
      <c r="N429" s="1381"/>
      <c r="O429" s="1381"/>
      <c r="P429" s="1381"/>
      <c r="Q429" s="1381"/>
      <c r="R429" s="1381"/>
      <c r="T429" s="1349"/>
      <c r="U429" s="1349" t="s">
        <v>123</v>
      </c>
      <c r="V429" s="1349" t="s">
        <v>123</v>
      </c>
      <c r="W429" s="1349"/>
      <c r="X429" s="1349"/>
      <c r="Y429" s="1308"/>
      <c r="Z429" s="437" t="str">
        <f>IFERROR(__xludf.DUMMYFUNCTION("IF(NOT('portfólio'!$AV$7),"""",IF($T429="""","""",IFERROR(query({AtivosDados},""select sum(""&amp;Z$3&amp;"") where Col1='""&amp;$T429&amp;""' label sum(""&amp;Z$3&amp;"") ''""),0)))"),"")</f>
        <v/>
      </c>
      <c r="AA429" s="437" t="str">
        <f>IFERROR(__xludf.DUMMYFUNCTION("IF(NOT('portfólio'!$AV$7),"""",IF($T429="""","""",IFERROR(query({AtivosDados},""select sum(""&amp;AA$3&amp;"") where Col1='""&amp;$T429&amp;""' label sum(""&amp;AA$3&amp;"") ''""),0)))"),"")</f>
        <v/>
      </c>
      <c r="AB429" s="437" t="str">
        <f>IFERROR(__xludf.DUMMYFUNCTION("IF(NOT('portfólio'!$AV$7),"""",IF($T429="""","""",IFERROR(query({AtivosDados},""select sum(""&amp;AB$3&amp;"") where Col1='""&amp;$T429&amp;""' label sum(""&amp;AB$3&amp;"") ''""),0)))"),"")</f>
        <v/>
      </c>
      <c r="AC429" s="437" t="str">
        <f>IFERROR(__xludf.DUMMYFUNCTION("IF(NOT('portfólio'!$AV$7),"""",IF($T429="""","""",IFERROR(query({AtivosDados},""select sum(""&amp;AC$3&amp;"") where Col1='""&amp;$T429&amp;""' label sum(""&amp;AC$3&amp;"") ''""),0)))"),"")</f>
        <v/>
      </c>
      <c r="AD429" s="437" t="str">
        <f>IFERROR(__xludf.DUMMYFUNCTION("IF(NOT('portfólio'!$AV$7),"""",IF($T429="""","""",IFERROR(query({AtivosDados},""select sum(""&amp;AD$3&amp;"") where Col1='""&amp;$T429&amp;""' label sum(""&amp;AD$3&amp;"") ''""),0)))"),"")</f>
        <v/>
      </c>
      <c r="AE429" s="437"/>
      <c r="AF429" s="1327"/>
      <c r="AG429" s="437"/>
      <c r="AH429" s="437"/>
      <c r="AI429" s="437"/>
      <c r="AJ429" s="437"/>
      <c r="AK429" s="437"/>
      <c r="AL429" s="437"/>
      <c r="AM429" s="437"/>
      <c r="AN429" s="437"/>
      <c r="AO429" s="437"/>
      <c r="AP429" s="437"/>
      <c r="AQ429" s="1327"/>
      <c r="AR429" s="437"/>
      <c r="AS429" s="437"/>
      <c r="AT429" s="437"/>
      <c r="AU429" s="437"/>
      <c r="AV429" s="437"/>
      <c r="AW429" s="437"/>
      <c r="AX429" s="437"/>
      <c r="AY429" s="437"/>
      <c r="AZ429" s="437"/>
      <c r="BA429" s="437"/>
      <c r="BB429" s="1327"/>
      <c r="BC429" s="437"/>
      <c r="BD429" s="437"/>
      <c r="BE429" s="437"/>
      <c r="BF429" s="437"/>
      <c r="BG429" s="437"/>
      <c r="BH429" s="437"/>
      <c r="BI429" s="437"/>
      <c r="BJ429" s="437"/>
      <c r="BK429" s="437"/>
      <c r="BL429" s="437"/>
      <c r="BM429" s="1327"/>
      <c r="BN429" s="1327"/>
      <c r="BO429" s="1327"/>
      <c r="BP429" s="1327"/>
      <c r="BQ429" s="1327"/>
      <c r="BR429" s="1327"/>
      <c r="BS429" s="1327"/>
      <c r="BT429" s="1327"/>
      <c r="BU429" s="1327"/>
      <c r="BV429" s="1327"/>
      <c r="BW429" s="1327"/>
      <c r="BX429" s="1327"/>
      <c r="BY429" s="1327"/>
      <c r="BZ429" s="1327"/>
      <c r="CA429" s="1327"/>
      <c r="CB429" s="1327"/>
      <c r="CC429" s="1327"/>
      <c r="CD429" s="1327"/>
      <c r="CE429" s="1327"/>
      <c r="CF429" s="1327"/>
      <c r="CG429" s="1327"/>
      <c r="CH429" s="1327"/>
      <c r="CI429" s="1327"/>
      <c r="CJ429" s="1327"/>
      <c r="CK429" s="1327"/>
      <c r="CL429" s="1327"/>
      <c r="CM429" s="1327"/>
      <c r="CN429" s="1327"/>
      <c r="CO429" s="1327"/>
      <c r="CP429" s="1327"/>
      <c r="CQ429" s="1327"/>
      <c r="CR429" s="1327"/>
      <c r="CS429" s="1327"/>
      <c r="CT429" s="1317"/>
      <c r="CU429" s="1317"/>
      <c r="CV429" s="1317"/>
      <c r="CW429" s="1317"/>
      <c r="CX429" s="1317"/>
      <c r="CY429" s="1317"/>
      <c r="CZ429" s="1317"/>
      <c r="DA429" s="1317"/>
      <c r="DB429" s="1317"/>
      <c r="DC429" s="1317"/>
      <c r="DD429" s="1317"/>
      <c r="DE429" s="1317"/>
      <c r="DF429" s="1317"/>
      <c r="DG429" s="1317"/>
    </row>
    <row r="430" ht="18.75" customHeight="1">
      <c r="G430" s="1344"/>
      <c r="H430" s="1345">
        <f t="shared" si="4"/>
        <v>0</v>
      </c>
      <c r="I430" s="1381"/>
      <c r="J430" s="1381"/>
      <c r="K430" s="1381"/>
      <c r="L430" s="1381"/>
      <c r="M430" s="1381"/>
      <c r="N430" s="1381"/>
      <c r="O430" s="1381"/>
      <c r="P430" s="1381"/>
      <c r="Q430" s="1381"/>
      <c r="R430" s="1381"/>
      <c r="T430" s="1349"/>
      <c r="U430" s="1349" t="s">
        <v>123</v>
      </c>
      <c r="V430" s="1349" t="s">
        <v>123</v>
      </c>
      <c r="W430" s="1349"/>
      <c r="X430" s="1349"/>
      <c r="Y430" s="1308"/>
      <c r="Z430" s="437" t="str">
        <f>IFERROR(__xludf.DUMMYFUNCTION("IF(NOT('portfólio'!$AV$7),"""",IF($T430="""","""",IFERROR(query({AtivosDados},""select sum(""&amp;Z$3&amp;"") where Col1='""&amp;$T430&amp;""' label sum(""&amp;Z$3&amp;"") ''""),0)))"),"")</f>
        <v/>
      </c>
      <c r="AA430" s="437" t="str">
        <f>IFERROR(__xludf.DUMMYFUNCTION("IF(NOT('portfólio'!$AV$7),"""",IF($T430="""","""",IFERROR(query({AtivosDados},""select sum(""&amp;AA$3&amp;"") where Col1='""&amp;$T430&amp;""' label sum(""&amp;AA$3&amp;"") ''""),0)))"),"")</f>
        <v/>
      </c>
      <c r="AB430" s="437" t="str">
        <f>IFERROR(__xludf.DUMMYFUNCTION("IF(NOT('portfólio'!$AV$7),"""",IF($T430="""","""",IFERROR(query({AtivosDados},""select sum(""&amp;AB$3&amp;"") where Col1='""&amp;$T430&amp;""' label sum(""&amp;AB$3&amp;"") ''""),0)))"),"")</f>
        <v/>
      </c>
      <c r="AC430" s="437" t="str">
        <f>IFERROR(__xludf.DUMMYFUNCTION("IF(NOT('portfólio'!$AV$7),"""",IF($T430="""","""",IFERROR(query({AtivosDados},""select sum(""&amp;AC$3&amp;"") where Col1='""&amp;$T430&amp;""' label sum(""&amp;AC$3&amp;"") ''""),0)))"),"")</f>
        <v/>
      </c>
      <c r="AD430" s="437" t="str">
        <f>IFERROR(__xludf.DUMMYFUNCTION("IF(NOT('portfólio'!$AV$7),"""",IF($T430="""","""",IFERROR(query({AtivosDados},""select sum(""&amp;AD$3&amp;"") where Col1='""&amp;$T430&amp;""' label sum(""&amp;AD$3&amp;"") ''""),0)))"),"")</f>
        <v/>
      </c>
      <c r="AE430" s="437"/>
      <c r="AF430" s="1327"/>
      <c r="AG430" s="437"/>
      <c r="AH430" s="437"/>
      <c r="AI430" s="437"/>
      <c r="AJ430" s="437"/>
      <c r="AK430" s="437"/>
      <c r="AL430" s="437"/>
      <c r="AM430" s="437"/>
      <c r="AN430" s="437"/>
      <c r="AO430" s="437"/>
      <c r="AP430" s="437"/>
      <c r="AQ430" s="1327"/>
      <c r="AR430" s="437"/>
      <c r="AS430" s="437"/>
      <c r="AT430" s="437"/>
      <c r="AU430" s="437"/>
      <c r="AV430" s="437"/>
      <c r="AW430" s="437"/>
      <c r="AX430" s="437"/>
      <c r="AY430" s="437"/>
      <c r="AZ430" s="437"/>
      <c r="BA430" s="437"/>
      <c r="BB430" s="1327"/>
      <c r="BC430" s="437"/>
      <c r="BD430" s="437"/>
      <c r="BE430" s="437"/>
      <c r="BF430" s="437"/>
      <c r="BG430" s="437"/>
      <c r="BH430" s="437"/>
      <c r="BI430" s="437"/>
      <c r="BJ430" s="437"/>
      <c r="BK430" s="437"/>
      <c r="BL430" s="437"/>
      <c r="BM430" s="1327"/>
      <c r="BN430" s="1327"/>
      <c r="BO430" s="1327"/>
      <c r="BP430" s="1327"/>
      <c r="BQ430" s="1327"/>
      <c r="BR430" s="1327"/>
      <c r="BS430" s="1327"/>
      <c r="BT430" s="1327"/>
      <c r="BU430" s="1327"/>
      <c r="BV430" s="1327"/>
      <c r="BW430" s="1327"/>
      <c r="BX430" s="1327"/>
      <c r="BY430" s="1327"/>
      <c r="BZ430" s="1327"/>
      <c r="CA430" s="1327"/>
      <c r="CB430" s="1327"/>
      <c r="CC430" s="1327"/>
      <c r="CD430" s="1327"/>
      <c r="CE430" s="1327"/>
      <c r="CF430" s="1327"/>
      <c r="CG430" s="1327"/>
      <c r="CH430" s="1327"/>
      <c r="CI430" s="1327"/>
      <c r="CJ430" s="1327"/>
      <c r="CK430" s="1327"/>
      <c r="CL430" s="1327"/>
      <c r="CM430" s="1327"/>
      <c r="CN430" s="1327"/>
      <c r="CO430" s="1327"/>
      <c r="CP430" s="1327"/>
      <c r="CQ430" s="1327"/>
      <c r="CR430" s="1327"/>
      <c r="CS430" s="1327"/>
      <c r="CT430" s="1317"/>
      <c r="CU430" s="1317"/>
      <c r="CV430" s="1317"/>
      <c r="CW430" s="1317"/>
      <c r="CX430" s="1317"/>
      <c r="CY430" s="1317"/>
      <c r="CZ430" s="1317"/>
      <c r="DA430" s="1317"/>
      <c r="DB430" s="1317"/>
      <c r="DC430" s="1317"/>
      <c r="DD430" s="1317"/>
      <c r="DE430" s="1317"/>
      <c r="DF430" s="1317"/>
      <c r="DG430" s="1317"/>
    </row>
    <row r="431" ht="18.75" customHeight="1">
      <c r="G431" s="1344"/>
      <c r="H431" s="1345">
        <f t="shared" si="4"/>
        <v>0</v>
      </c>
      <c r="I431" s="1381"/>
      <c r="J431" s="1381"/>
      <c r="K431" s="1381"/>
      <c r="L431" s="1381"/>
      <c r="M431" s="1381"/>
      <c r="N431" s="1381"/>
      <c r="O431" s="1381"/>
      <c r="P431" s="1381"/>
      <c r="Q431" s="1381"/>
      <c r="R431" s="1381"/>
      <c r="T431" s="1349"/>
      <c r="U431" s="1349" t="s">
        <v>123</v>
      </c>
      <c r="V431" s="1349" t="s">
        <v>123</v>
      </c>
      <c r="W431" s="1349"/>
      <c r="X431" s="1349"/>
      <c r="Y431" s="1308"/>
      <c r="Z431" s="437" t="str">
        <f>IFERROR(__xludf.DUMMYFUNCTION("IF(NOT('portfólio'!$AV$7),"""",IF($T431="""","""",IFERROR(query({AtivosDados},""select sum(""&amp;Z$3&amp;"") where Col1='""&amp;$T431&amp;""' label sum(""&amp;Z$3&amp;"") ''""),0)))"),"")</f>
        <v/>
      </c>
      <c r="AA431" s="437" t="str">
        <f>IFERROR(__xludf.DUMMYFUNCTION("IF(NOT('portfólio'!$AV$7),"""",IF($T431="""","""",IFERROR(query({AtivosDados},""select sum(""&amp;AA$3&amp;"") where Col1='""&amp;$T431&amp;""' label sum(""&amp;AA$3&amp;"") ''""),0)))"),"")</f>
        <v/>
      </c>
      <c r="AB431" s="437" t="str">
        <f>IFERROR(__xludf.DUMMYFUNCTION("IF(NOT('portfólio'!$AV$7),"""",IF($T431="""","""",IFERROR(query({AtivosDados},""select sum(""&amp;AB$3&amp;"") where Col1='""&amp;$T431&amp;""' label sum(""&amp;AB$3&amp;"") ''""),0)))"),"")</f>
        <v/>
      </c>
      <c r="AC431" s="437" t="str">
        <f>IFERROR(__xludf.DUMMYFUNCTION("IF(NOT('portfólio'!$AV$7),"""",IF($T431="""","""",IFERROR(query({AtivosDados},""select sum(""&amp;AC$3&amp;"") where Col1='""&amp;$T431&amp;""' label sum(""&amp;AC$3&amp;"") ''""),0)))"),"")</f>
        <v/>
      </c>
      <c r="AD431" s="437" t="str">
        <f>IFERROR(__xludf.DUMMYFUNCTION("IF(NOT('portfólio'!$AV$7),"""",IF($T431="""","""",IFERROR(query({AtivosDados},""select sum(""&amp;AD$3&amp;"") where Col1='""&amp;$T431&amp;""' label sum(""&amp;AD$3&amp;"") ''""),0)))"),"")</f>
        <v/>
      </c>
      <c r="AE431" s="437"/>
      <c r="AF431" s="1327"/>
      <c r="AG431" s="437"/>
      <c r="AH431" s="437"/>
      <c r="AI431" s="437"/>
      <c r="AJ431" s="437"/>
      <c r="AK431" s="437"/>
      <c r="AL431" s="437"/>
      <c r="AM431" s="437"/>
      <c r="AN431" s="437"/>
      <c r="AO431" s="437"/>
      <c r="AP431" s="437"/>
      <c r="AQ431" s="1327"/>
      <c r="AR431" s="437"/>
      <c r="AS431" s="437"/>
      <c r="AT431" s="437"/>
      <c r="AU431" s="437"/>
      <c r="AV431" s="437"/>
      <c r="AW431" s="437"/>
      <c r="AX431" s="437"/>
      <c r="AY431" s="437"/>
      <c r="AZ431" s="437"/>
      <c r="BA431" s="437"/>
      <c r="BB431" s="1327"/>
      <c r="BC431" s="437"/>
      <c r="BD431" s="437"/>
      <c r="BE431" s="437"/>
      <c r="BF431" s="437"/>
      <c r="BG431" s="437"/>
      <c r="BH431" s="437"/>
      <c r="BI431" s="437"/>
      <c r="BJ431" s="437"/>
      <c r="BK431" s="437"/>
      <c r="BL431" s="437"/>
      <c r="BM431" s="1327"/>
      <c r="BN431" s="1327"/>
      <c r="BO431" s="1327"/>
      <c r="BP431" s="1327"/>
      <c r="BQ431" s="1327"/>
      <c r="BR431" s="1327"/>
      <c r="BS431" s="1327"/>
      <c r="BT431" s="1327"/>
      <c r="BU431" s="1327"/>
      <c r="BV431" s="1327"/>
      <c r="BW431" s="1327"/>
      <c r="BX431" s="1327"/>
      <c r="BY431" s="1327"/>
      <c r="BZ431" s="1327"/>
      <c r="CA431" s="1327"/>
      <c r="CB431" s="1327"/>
      <c r="CC431" s="1327"/>
      <c r="CD431" s="1327"/>
      <c r="CE431" s="1327"/>
      <c r="CF431" s="1327"/>
      <c r="CG431" s="1327"/>
      <c r="CH431" s="1327"/>
      <c r="CI431" s="1327"/>
      <c r="CJ431" s="1327"/>
      <c r="CK431" s="1327"/>
      <c r="CL431" s="1327"/>
      <c r="CM431" s="1327"/>
      <c r="CN431" s="1327"/>
      <c r="CO431" s="1327"/>
      <c r="CP431" s="1327"/>
      <c r="CQ431" s="1327"/>
      <c r="CR431" s="1327"/>
      <c r="CS431" s="1327"/>
      <c r="CT431" s="1317"/>
      <c r="CU431" s="1317"/>
      <c r="CV431" s="1317"/>
      <c r="CW431" s="1317"/>
      <c r="CX431" s="1317"/>
      <c r="CY431" s="1317"/>
      <c r="CZ431" s="1317"/>
      <c r="DA431" s="1317"/>
      <c r="DB431" s="1317"/>
      <c r="DC431" s="1317"/>
      <c r="DD431" s="1317"/>
      <c r="DE431" s="1317"/>
      <c r="DF431" s="1317"/>
      <c r="DG431" s="1317"/>
    </row>
    <row r="432" ht="18.75" customHeight="1">
      <c r="G432" s="1344"/>
      <c r="H432" s="1345">
        <f t="shared" si="4"/>
        <v>0</v>
      </c>
      <c r="I432" s="1381"/>
      <c r="J432" s="1381"/>
      <c r="K432" s="1381"/>
      <c r="L432" s="1381"/>
      <c r="M432" s="1381"/>
      <c r="N432" s="1381"/>
      <c r="O432" s="1381"/>
      <c r="P432" s="1381"/>
      <c r="Q432" s="1381"/>
      <c r="R432" s="1381"/>
      <c r="T432" s="1349"/>
      <c r="U432" s="1349" t="s">
        <v>123</v>
      </c>
      <c r="V432" s="1349" t="s">
        <v>123</v>
      </c>
      <c r="W432" s="1349"/>
      <c r="X432" s="1349"/>
      <c r="Y432" s="1308"/>
      <c r="Z432" s="437" t="str">
        <f>IFERROR(__xludf.DUMMYFUNCTION("IF(NOT('portfólio'!$AV$7),"""",IF($T432="""","""",IFERROR(query({AtivosDados},""select sum(""&amp;Z$3&amp;"") where Col1='""&amp;$T432&amp;""' label sum(""&amp;Z$3&amp;"") ''""),0)))"),"")</f>
        <v/>
      </c>
      <c r="AA432" s="437" t="str">
        <f>IFERROR(__xludf.DUMMYFUNCTION("IF(NOT('portfólio'!$AV$7),"""",IF($T432="""","""",IFERROR(query({AtivosDados},""select sum(""&amp;AA$3&amp;"") where Col1='""&amp;$T432&amp;""' label sum(""&amp;AA$3&amp;"") ''""),0)))"),"")</f>
        <v/>
      </c>
      <c r="AB432" s="437" t="str">
        <f>IFERROR(__xludf.DUMMYFUNCTION("IF(NOT('portfólio'!$AV$7),"""",IF($T432="""","""",IFERROR(query({AtivosDados},""select sum(""&amp;AB$3&amp;"") where Col1='""&amp;$T432&amp;""' label sum(""&amp;AB$3&amp;"") ''""),0)))"),"")</f>
        <v/>
      </c>
      <c r="AC432" s="437" t="str">
        <f>IFERROR(__xludf.DUMMYFUNCTION("IF(NOT('portfólio'!$AV$7),"""",IF($T432="""","""",IFERROR(query({AtivosDados},""select sum(""&amp;AC$3&amp;"") where Col1='""&amp;$T432&amp;""' label sum(""&amp;AC$3&amp;"") ''""),0)))"),"")</f>
        <v/>
      </c>
      <c r="AD432" s="437" t="str">
        <f>IFERROR(__xludf.DUMMYFUNCTION("IF(NOT('portfólio'!$AV$7),"""",IF($T432="""","""",IFERROR(query({AtivosDados},""select sum(""&amp;AD$3&amp;"") where Col1='""&amp;$T432&amp;""' label sum(""&amp;AD$3&amp;"") ''""),0)))"),"")</f>
        <v/>
      </c>
      <c r="AE432" s="437"/>
      <c r="AF432" s="1327"/>
      <c r="AG432" s="437"/>
      <c r="AH432" s="437"/>
      <c r="AI432" s="437"/>
      <c r="AJ432" s="437"/>
      <c r="AK432" s="437"/>
      <c r="AL432" s="437"/>
      <c r="AM432" s="437"/>
      <c r="AN432" s="437"/>
      <c r="AO432" s="437"/>
      <c r="AP432" s="437"/>
      <c r="AQ432" s="1327"/>
      <c r="AR432" s="437"/>
      <c r="AS432" s="437"/>
      <c r="AT432" s="437"/>
      <c r="AU432" s="437"/>
      <c r="AV432" s="437"/>
      <c r="AW432" s="437"/>
      <c r="AX432" s="437"/>
      <c r="AY432" s="437"/>
      <c r="AZ432" s="437"/>
      <c r="BA432" s="437"/>
      <c r="BB432" s="1327"/>
      <c r="BC432" s="437"/>
      <c r="BD432" s="437"/>
      <c r="BE432" s="437"/>
      <c r="BF432" s="437"/>
      <c r="BG432" s="437"/>
      <c r="BH432" s="437"/>
      <c r="BI432" s="437"/>
      <c r="BJ432" s="437"/>
      <c r="BK432" s="437"/>
      <c r="BL432" s="437"/>
      <c r="BM432" s="1327"/>
      <c r="BN432" s="1327"/>
      <c r="BO432" s="1327"/>
      <c r="BP432" s="1327"/>
      <c r="BQ432" s="1327"/>
      <c r="BR432" s="1327"/>
      <c r="BS432" s="1327"/>
      <c r="BT432" s="1327"/>
      <c r="BU432" s="1327"/>
      <c r="BV432" s="1327"/>
      <c r="BW432" s="1327"/>
      <c r="BX432" s="1327"/>
      <c r="BY432" s="1327"/>
      <c r="BZ432" s="1327"/>
      <c r="CA432" s="1327"/>
      <c r="CB432" s="1327"/>
      <c r="CC432" s="1327"/>
      <c r="CD432" s="1327"/>
      <c r="CE432" s="1327"/>
      <c r="CF432" s="1327"/>
      <c r="CG432" s="1327"/>
      <c r="CH432" s="1327"/>
      <c r="CI432" s="1327"/>
      <c r="CJ432" s="1327"/>
      <c r="CK432" s="1327"/>
      <c r="CL432" s="1327"/>
      <c r="CM432" s="1327"/>
      <c r="CN432" s="1327"/>
      <c r="CO432" s="1327"/>
      <c r="CP432" s="1327"/>
      <c r="CQ432" s="1327"/>
      <c r="CR432" s="1327"/>
      <c r="CS432" s="1327"/>
      <c r="CT432" s="1317"/>
      <c r="CU432" s="1317"/>
      <c r="CV432" s="1317"/>
      <c r="CW432" s="1317"/>
      <c r="CX432" s="1317"/>
      <c r="CY432" s="1317"/>
      <c r="CZ432" s="1317"/>
      <c r="DA432" s="1317"/>
      <c r="DB432" s="1317"/>
      <c r="DC432" s="1317"/>
      <c r="DD432" s="1317"/>
      <c r="DE432" s="1317"/>
      <c r="DF432" s="1317"/>
      <c r="DG432" s="1317"/>
    </row>
    <row r="433" ht="18.75" customHeight="1">
      <c r="G433" s="1344"/>
      <c r="H433" s="1345">
        <f t="shared" si="4"/>
        <v>0</v>
      </c>
      <c r="I433" s="1381"/>
      <c r="J433" s="1381"/>
      <c r="K433" s="1381"/>
      <c r="L433" s="1381"/>
      <c r="M433" s="1381"/>
      <c r="N433" s="1381"/>
      <c r="O433" s="1381"/>
      <c r="P433" s="1381"/>
      <c r="Q433" s="1381"/>
      <c r="R433" s="1381"/>
      <c r="T433" s="1349"/>
      <c r="U433" s="1349" t="s">
        <v>123</v>
      </c>
      <c r="V433" s="1349" t="s">
        <v>123</v>
      </c>
      <c r="W433" s="1349"/>
      <c r="X433" s="1349"/>
      <c r="Y433" s="1308"/>
      <c r="Z433" s="437" t="str">
        <f>IFERROR(__xludf.DUMMYFUNCTION("IF(NOT('portfólio'!$AV$7),"""",IF($T433="""","""",IFERROR(query({AtivosDados},""select sum(""&amp;Z$3&amp;"") where Col1='""&amp;$T433&amp;""' label sum(""&amp;Z$3&amp;"") ''""),0)))"),"")</f>
        <v/>
      </c>
      <c r="AA433" s="437" t="str">
        <f>IFERROR(__xludf.DUMMYFUNCTION("IF(NOT('portfólio'!$AV$7),"""",IF($T433="""","""",IFERROR(query({AtivosDados},""select sum(""&amp;AA$3&amp;"") where Col1='""&amp;$T433&amp;""' label sum(""&amp;AA$3&amp;"") ''""),0)))"),"")</f>
        <v/>
      </c>
      <c r="AB433" s="437" t="str">
        <f>IFERROR(__xludf.DUMMYFUNCTION("IF(NOT('portfólio'!$AV$7),"""",IF($T433="""","""",IFERROR(query({AtivosDados},""select sum(""&amp;AB$3&amp;"") where Col1='""&amp;$T433&amp;""' label sum(""&amp;AB$3&amp;"") ''""),0)))"),"")</f>
        <v/>
      </c>
      <c r="AC433" s="437" t="str">
        <f>IFERROR(__xludf.DUMMYFUNCTION("IF(NOT('portfólio'!$AV$7),"""",IF($T433="""","""",IFERROR(query({AtivosDados},""select sum(""&amp;AC$3&amp;"") where Col1='""&amp;$T433&amp;""' label sum(""&amp;AC$3&amp;"") ''""),0)))"),"")</f>
        <v/>
      </c>
      <c r="AD433" s="437" t="str">
        <f>IFERROR(__xludf.DUMMYFUNCTION("IF(NOT('portfólio'!$AV$7),"""",IF($T433="""","""",IFERROR(query({AtivosDados},""select sum(""&amp;AD$3&amp;"") where Col1='""&amp;$T433&amp;""' label sum(""&amp;AD$3&amp;"") ''""),0)))"),"")</f>
        <v/>
      </c>
      <c r="AE433" s="437"/>
      <c r="AF433" s="1327"/>
      <c r="AG433" s="437"/>
      <c r="AH433" s="437"/>
      <c r="AI433" s="437"/>
      <c r="AJ433" s="437"/>
      <c r="AK433" s="437"/>
      <c r="AL433" s="437"/>
      <c r="AM433" s="437"/>
      <c r="AN433" s="437"/>
      <c r="AO433" s="437"/>
      <c r="AP433" s="437"/>
      <c r="AQ433" s="1327"/>
      <c r="AR433" s="437"/>
      <c r="AS433" s="437"/>
      <c r="AT433" s="437"/>
      <c r="AU433" s="437"/>
      <c r="AV433" s="437"/>
      <c r="AW433" s="437"/>
      <c r="AX433" s="437"/>
      <c r="AY433" s="437"/>
      <c r="AZ433" s="437"/>
      <c r="BA433" s="437"/>
      <c r="BB433" s="1327"/>
      <c r="BC433" s="437"/>
      <c r="BD433" s="437"/>
      <c r="BE433" s="437"/>
      <c r="BF433" s="437"/>
      <c r="BG433" s="437"/>
      <c r="BH433" s="437"/>
      <c r="BI433" s="437"/>
      <c r="BJ433" s="437"/>
      <c r="BK433" s="437"/>
      <c r="BL433" s="437"/>
      <c r="BM433" s="1327"/>
      <c r="BN433" s="1327"/>
      <c r="BO433" s="1327"/>
      <c r="BP433" s="1327"/>
      <c r="BQ433" s="1327"/>
      <c r="BR433" s="1327"/>
      <c r="BS433" s="1327"/>
      <c r="BT433" s="1327"/>
      <c r="BU433" s="1327"/>
      <c r="BV433" s="1327"/>
      <c r="BW433" s="1327"/>
      <c r="BX433" s="1327"/>
      <c r="BY433" s="1327"/>
      <c r="BZ433" s="1327"/>
      <c r="CA433" s="1327"/>
      <c r="CB433" s="1327"/>
      <c r="CC433" s="1327"/>
      <c r="CD433" s="1327"/>
      <c r="CE433" s="1327"/>
      <c r="CF433" s="1327"/>
      <c r="CG433" s="1327"/>
      <c r="CH433" s="1327"/>
      <c r="CI433" s="1327"/>
      <c r="CJ433" s="1327"/>
      <c r="CK433" s="1327"/>
      <c r="CL433" s="1327"/>
      <c r="CM433" s="1327"/>
      <c r="CN433" s="1327"/>
      <c r="CO433" s="1327"/>
      <c r="CP433" s="1327"/>
      <c r="CQ433" s="1327"/>
      <c r="CR433" s="1327"/>
      <c r="CS433" s="1327"/>
      <c r="CT433" s="1317"/>
      <c r="CU433" s="1317"/>
      <c r="CV433" s="1317"/>
      <c r="CW433" s="1317"/>
      <c r="CX433" s="1317"/>
      <c r="CY433" s="1317"/>
      <c r="CZ433" s="1317"/>
      <c r="DA433" s="1317"/>
      <c r="DB433" s="1317"/>
      <c r="DC433" s="1317"/>
      <c r="DD433" s="1317"/>
      <c r="DE433" s="1317"/>
      <c r="DF433" s="1317"/>
      <c r="DG433" s="1317"/>
    </row>
    <row r="434" ht="18.75" customHeight="1">
      <c r="G434" s="1344"/>
      <c r="H434" s="1345">
        <f t="shared" si="4"/>
        <v>0</v>
      </c>
      <c r="I434" s="1381"/>
      <c r="J434" s="1381"/>
      <c r="K434" s="1381"/>
      <c r="L434" s="1381"/>
      <c r="M434" s="1381"/>
      <c r="N434" s="1381"/>
      <c r="O434" s="1381"/>
      <c r="P434" s="1381"/>
      <c r="Q434" s="1381"/>
      <c r="R434" s="1381"/>
      <c r="T434" s="1349"/>
      <c r="U434" s="1349" t="s">
        <v>123</v>
      </c>
      <c r="V434" s="1349" t="s">
        <v>123</v>
      </c>
      <c r="W434" s="1349"/>
      <c r="X434" s="1349"/>
      <c r="Y434" s="1308"/>
      <c r="Z434" s="437" t="str">
        <f>IFERROR(__xludf.DUMMYFUNCTION("IF(NOT('portfólio'!$AV$7),"""",IF($T434="""","""",IFERROR(query({AtivosDados},""select sum(""&amp;Z$3&amp;"") where Col1='""&amp;$T434&amp;""' label sum(""&amp;Z$3&amp;"") ''""),0)))"),"")</f>
        <v/>
      </c>
      <c r="AA434" s="437" t="str">
        <f>IFERROR(__xludf.DUMMYFUNCTION("IF(NOT('portfólio'!$AV$7),"""",IF($T434="""","""",IFERROR(query({AtivosDados},""select sum(""&amp;AA$3&amp;"") where Col1='""&amp;$T434&amp;""' label sum(""&amp;AA$3&amp;"") ''""),0)))"),"")</f>
        <v/>
      </c>
      <c r="AB434" s="437" t="str">
        <f>IFERROR(__xludf.DUMMYFUNCTION("IF(NOT('portfólio'!$AV$7),"""",IF($T434="""","""",IFERROR(query({AtivosDados},""select sum(""&amp;AB$3&amp;"") where Col1='""&amp;$T434&amp;""' label sum(""&amp;AB$3&amp;"") ''""),0)))"),"")</f>
        <v/>
      </c>
      <c r="AC434" s="437" t="str">
        <f>IFERROR(__xludf.DUMMYFUNCTION("IF(NOT('portfólio'!$AV$7),"""",IF($T434="""","""",IFERROR(query({AtivosDados},""select sum(""&amp;AC$3&amp;"") where Col1='""&amp;$T434&amp;""' label sum(""&amp;AC$3&amp;"") ''""),0)))"),"")</f>
        <v/>
      </c>
      <c r="AD434" s="437" t="str">
        <f>IFERROR(__xludf.DUMMYFUNCTION("IF(NOT('portfólio'!$AV$7),"""",IF($T434="""","""",IFERROR(query({AtivosDados},""select sum(""&amp;AD$3&amp;"") where Col1='""&amp;$T434&amp;""' label sum(""&amp;AD$3&amp;"") ''""),0)))"),"")</f>
        <v/>
      </c>
      <c r="AE434" s="437"/>
      <c r="AF434" s="1327"/>
      <c r="AG434" s="437"/>
      <c r="AH434" s="437"/>
      <c r="AI434" s="437"/>
      <c r="AJ434" s="437"/>
      <c r="AK434" s="437"/>
      <c r="AL434" s="437"/>
      <c r="AM434" s="437"/>
      <c r="AN434" s="437"/>
      <c r="AO434" s="437"/>
      <c r="AP434" s="437"/>
      <c r="AQ434" s="1327"/>
      <c r="AR434" s="437"/>
      <c r="AS434" s="437"/>
      <c r="AT434" s="437"/>
      <c r="AU434" s="437"/>
      <c r="AV434" s="437"/>
      <c r="AW434" s="437"/>
      <c r="AX434" s="437"/>
      <c r="AY434" s="437"/>
      <c r="AZ434" s="437"/>
      <c r="BA434" s="437"/>
      <c r="BB434" s="1327"/>
      <c r="BC434" s="437"/>
      <c r="BD434" s="437"/>
      <c r="BE434" s="437"/>
      <c r="BF434" s="437"/>
      <c r="BG434" s="437"/>
      <c r="BH434" s="437"/>
      <c r="BI434" s="437"/>
      <c r="BJ434" s="437"/>
      <c r="BK434" s="437"/>
      <c r="BL434" s="437"/>
      <c r="BM434" s="1327"/>
      <c r="BN434" s="1327"/>
      <c r="BO434" s="1327"/>
      <c r="BP434" s="1327"/>
      <c r="BQ434" s="1327"/>
      <c r="BR434" s="1327"/>
      <c r="BS434" s="1327"/>
      <c r="BT434" s="1327"/>
      <c r="BU434" s="1327"/>
      <c r="BV434" s="1327"/>
      <c r="BW434" s="1327"/>
      <c r="BX434" s="1327"/>
      <c r="BY434" s="1327"/>
      <c r="BZ434" s="1327"/>
      <c r="CA434" s="1327"/>
      <c r="CB434" s="1327"/>
      <c r="CC434" s="1327"/>
      <c r="CD434" s="1327"/>
      <c r="CE434" s="1327"/>
      <c r="CF434" s="1327"/>
      <c r="CG434" s="1327"/>
      <c r="CH434" s="1327"/>
      <c r="CI434" s="1327"/>
      <c r="CJ434" s="1327"/>
      <c r="CK434" s="1327"/>
      <c r="CL434" s="1327"/>
      <c r="CM434" s="1327"/>
      <c r="CN434" s="1327"/>
      <c r="CO434" s="1327"/>
      <c r="CP434" s="1327"/>
      <c r="CQ434" s="1327"/>
      <c r="CR434" s="1327"/>
      <c r="CS434" s="1327"/>
      <c r="CT434" s="1317"/>
      <c r="CU434" s="1317"/>
      <c r="CV434" s="1317"/>
      <c r="CW434" s="1317"/>
      <c r="CX434" s="1317"/>
      <c r="CY434" s="1317"/>
      <c r="CZ434" s="1317"/>
      <c r="DA434" s="1317"/>
      <c r="DB434" s="1317"/>
      <c r="DC434" s="1317"/>
      <c r="DD434" s="1317"/>
      <c r="DE434" s="1317"/>
      <c r="DF434" s="1317"/>
      <c r="DG434" s="1317"/>
    </row>
    <row r="435" ht="18.75" customHeight="1">
      <c r="G435" s="1344"/>
      <c r="H435" s="1345">
        <f t="shared" si="4"/>
        <v>0</v>
      </c>
      <c r="I435" s="1381"/>
      <c r="J435" s="1381"/>
      <c r="K435" s="1381"/>
      <c r="L435" s="1381"/>
      <c r="M435" s="1381"/>
      <c r="N435" s="1381"/>
      <c r="O435" s="1381"/>
      <c r="P435" s="1381"/>
      <c r="Q435" s="1381"/>
      <c r="R435" s="1381"/>
      <c r="T435" s="1349"/>
      <c r="U435" s="1349" t="s">
        <v>123</v>
      </c>
      <c r="V435" s="1349" t="s">
        <v>123</v>
      </c>
      <c r="W435" s="1349"/>
      <c r="X435" s="1349"/>
      <c r="Y435" s="1308"/>
      <c r="Z435" s="437" t="str">
        <f>IFERROR(__xludf.DUMMYFUNCTION("IF(NOT('portfólio'!$AV$7),"""",IF($T435="""","""",IFERROR(query({AtivosDados},""select sum(""&amp;Z$3&amp;"") where Col1='""&amp;$T435&amp;""' label sum(""&amp;Z$3&amp;"") ''""),0)))"),"")</f>
        <v/>
      </c>
      <c r="AA435" s="437" t="str">
        <f>IFERROR(__xludf.DUMMYFUNCTION("IF(NOT('portfólio'!$AV$7),"""",IF($T435="""","""",IFERROR(query({AtivosDados},""select sum(""&amp;AA$3&amp;"") where Col1='""&amp;$T435&amp;""' label sum(""&amp;AA$3&amp;"") ''""),0)))"),"")</f>
        <v/>
      </c>
      <c r="AB435" s="437" t="str">
        <f>IFERROR(__xludf.DUMMYFUNCTION("IF(NOT('portfólio'!$AV$7),"""",IF($T435="""","""",IFERROR(query({AtivosDados},""select sum(""&amp;AB$3&amp;"") where Col1='""&amp;$T435&amp;""' label sum(""&amp;AB$3&amp;"") ''""),0)))"),"")</f>
        <v/>
      </c>
      <c r="AC435" s="437" t="str">
        <f>IFERROR(__xludf.DUMMYFUNCTION("IF(NOT('portfólio'!$AV$7),"""",IF($T435="""","""",IFERROR(query({AtivosDados},""select sum(""&amp;AC$3&amp;"") where Col1='""&amp;$T435&amp;""' label sum(""&amp;AC$3&amp;"") ''""),0)))"),"")</f>
        <v/>
      </c>
      <c r="AD435" s="437" t="str">
        <f>IFERROR(__xludf.DUMMYFUNCTION("IF(NOT('portfólio'!$AV$7),"""",IF($T435="""","""",IFERROR(query({AtivosDados},""select sum(""&amp;AD$3&amp;"") where Col1='""&amp;$T435&amp;""' label sum(""&amp;AD$3&amp;"") ''""),0)))"),"")</f>
        <v/>
      </c>
      <c r="AE435" s="437"/>
      <c r="AF435" s="1327"/>
      <c r="AG435" s="437"/>
      <c r="AH435" s="437"/>
      <c r="AI435" s="437"/>
      <c r="AJ435" s="437"/>
      <c r="AK435" s="437"/>
      <c r="AL435" s="437"/>
      <c r="AM435" s="437"/>
      <c r="AN435" s="437"/>
      <c r="AO435" s="437"/>
      <c r="AP435" s="437"/>
      <c r="AQ435" s="1327"/>
      <c r="AR435" s="437"/>
      <c r="AS435" s="437"/>
      <c r="AT435" s="437"/>
      <c r="AU435" s="437"/>
      <c r="AV435" s="437"/>
      <c r="AW435" s="437"/>
      <c r="AX435" s="437"/>
      <c r="AY435" s="437"/>
      <c r="AZ435" s="437"/>
      <c r="BA435" s="437"/>
      <c r="BB435" s="1327"/>
      <c r="BC435" s="437"/>
      <c r="BD435" s="437"/>
      <c r="BE435" s="437"/>
      <c r="BF435" s="437"/>
      <c r="BG435" s="437"/>
      <c r="BH435" s="437"/>
      <c r="BI435" s="437"/>
      <c r="BJ435" s="437"/>
      <c r="BK435" s="437"/>
      <c r="BL435" s="437"/>
      <c r="BM435" s="1327"/>
      <c r="BN435" s="1327"/>
      <c r="BO435" s="1327"/>
      <c r="BP435" s="1327"/>
      <c r="BQ435" s="1327"/>
      <c r="BR435" s="1327"/>
      <c r="BS435" s="1327"/>
      <c r="BT435" s="1327"/>
      <c r="BU435" s="1327"/>
      <c r="BV435" s="1327"/>
      <c r="BW435" s="1327"/>
      <c r="BX435" s="1327"/>
      <c r="BY435" s="1327"/>
      <c r="BZ435" s="1327"/>
      <c r="CA435" s="1327"/>
      <c r="CB435" s="1327"/>
      <c r="CC435" s="1327"/>
      <c r="CD435" s="1327"/>
      <c r="CE435" s="1327"/>
      <c r="CF435" s="1327"/>
      <c r="CG435" s="1327"/>
      <c r="CH435" s="1327"/>
      <c r="CI435" s="1327"/>
      <c r="CJ435" s="1327"/>
      <c r="CK435" s="1327"/>
      <c r="CL435" s="1327"/>
      <c r="CM435" s="1327"/>
      <c r="CN435" s="1327"/>
      <c r="CO435" s="1327"/>
      <c r="CP435" s="1327"/>
      <c r="CQ435" s="1327"/>
      <c r="CR435" s="1327"/>
      <c r="CS435" s="1327"/>
      <c r="CT435" s="1317"/>
      <c r="CU435" s="1317"/>
      <c r="CV435" s="1317"/>
      <c r="CW435" s="1317"/>
      <c r="CX435" s="1317"/>
      <c r="CY435" s="1317"/>
      <c r="CZ435" s="1317"/>
      <c r="DA435" s="1317"/>
      <c r="DB435" s="1317"/>
      <c r="DC435" s="1317"/>
      <c r="DD435" s="1317"/>
      <c r="DE435" s="1317"/>
      <c r="DF435" s="1317"/>
      <c r="DG435" s="1317"/>
    </row>
    <row r="436" ht="18.75" customHeight="1">
      <c r="G436" s="1344"/>
      <c r="H436" s="1345">
        <f t="shared" si="4"/>
        <v>0</v>
      </c>
      <c r="I436" s="1381"/>
      <c r="J436" s="1381"/>
      <c r="K436" s="1381"/>
      <c r="L436" s="1381"/>
      <c r="M436" s="1381"/>
      <c r="N436" s="1381"/>
      <c r="O436" s="1381"/>
      <c r="P436" s="1381"/>
      <c r="Q436" s="1381"/>
      <c r="R436" s="1381"/>
      <c r="T436" s="1349"/>
      <c r="U436" s="1349" t="s">
        <v>123</v>
      </c>
      <c r="V436" s="1349" t="s">
        <v>123</v>
      </c>
      <c r="W436" s="1349"/>
      <c r="X436" s="1349"/>
      <c r="Y436" s="1308"/>
      <c r="Z436" s="437" t="str">
        <f>IFERROR(__xludf.DUMMYFUNCTION("IF(NOT('portfólio'!$AV$7),"""",IF($T436="""","""",IFERROR(query({AtivosDados},""select sum(""&amp;Z$3&amp;"") where Col1='""&amp;$T436&amp;""' label sum(""&amp;Z$3&amp;"") ''""),0)))"),"")</f>
        <v/>
      </c>
      <c r="AA436" s="437" t="str">
        <f>IFERROR(__xludf.DUMMYFUNCTION("IF(NOT('portfólio'!$AV$7),"""",IF($T436="""","""",IFERROR(query({AtivosDados},""select sum(""&amp;AA$3&amp;"") where Col1='""&amp;$T436&amp;""' label sum(""&amp;AA$3&amp;"") ''""),0)))"),"")</f>
        <v/>
      </c>
      <c r="AB436" s="437" t="str">
        <f>IFERROR(__xludf.DUMMYFUNCTION("IF(NOT('portfólio'!$AV$7),"""",IF($T436="""","""",IFERROR(query({AtivosDados},""select sum(""&amp;AB$3&amp;"") where Col1='""&amp;$T436&amp;""' label sum(""&amp;AB$3&amp;"") ''""),0)))"),"")</f>
        <v/>
      </c>
      <c r="AC436" s="437" t="str">
        <f>IFERROR(__xludf.DUMMYFUNCTION("IF(NOT('portfólio'!$AV$7),"""",IF($T436="""","""",IFERROR(query({AtivosDados},""select sum(""&amp;AC$3&amp;"") where Col1='""&amp;$T436&amp;""' label sum(""&amp;AC$3&amp;"") ''""),0)))"),"")</f>
        <v/>
      </c>
      <c r="AD436" s="437" t="str">
        <f>IFERROR(__xludf.DUMMYFUNCTION("IF(NOT('portfólio'!$AV$7),"""",IF($T436="""","""",IFERROR(query({AtivosDados},""select sum(""&amp;AD$3&amp;"") where Col1='""&amp;$T436&amp;""' label sum(""&amp;AD$3&amp;"") ''""),0)))"),"")</f>
        <v/>
      </c>
      <c r="AE436" s="437"/>
      <c r="AF436" s="1327"/>
      <c r="AG436" s="437"/>
      <c r="AH436" s="437"/>
      <c r="AI436" s="437"/>
      <c r="AJ436" s="437"/>
      <c r="AK436" s="437"/>
      <c r="AL436" s="437"/>
      <c r="AM436" s="437"/>
      <c r="AN436" s="437"/>
      <c r="AO436" s="437"/>
      <c r="AP436" s="437"/>
      <c r="AQ436" s="1327"/>
      <c r="AR436" s="437"/>
      <c r="AS436" s="437"/>
      <c r="AT436" s="437"/>
      <c r="AU436" s="437"/>
      <c r="AV436" s="437"/>
      <c r="AW436" s="437"/>
      <c r="AX436" s="437"/>
      <c r="AY436" s="437"/>
      <c r="AZ436" s="437"/>
      <c r="BA436" s="437"/>
      <c r="BB436" s="1327"/>
      <c r="BC436" s="437"/>
      <c r="BD436" s="437"/>
      <c r="BE436" s="437"/>
      <c r="BF436" s="437"/>
      <c r="BG436" s="437"/>
      <c r="BH436" s="437"/>
      <c r="BI436" s="437"/>
      <c r="BJ436" s="437"/>
      <c r="BK436" s="437"/>
      <c r="BL436" s="437"/>
      <c r="BM436" s="1327"/>
      <c r="BN436" s="1327"/>
      <c r="BO436" s="1327"/>
      <c r="BP436" s="1327"/>
      <c r="BQ436" s="1327"/>
      <c r="BR436" s="1327"/>
      <c r="BS436" s="1327"/>
      <c r="BT436" s="1327"/>
      <c r="BU436" s="1327"/>
      <c r="BV436" s="1327"/>
      <c r="BW436" s="1327"/>
      <c r="BX436" s="1327"/>
      <c r="BY436" s="1327"/>
      <c r="BZ436" s="1327"/>
      <c r="CA436" s="1327"/>
      <c r="CB436" s="1327"/>
      <c r="CC436" s="1327"/>
      <c r="CD436" s="1327"/>
      <c r="CE436" s="1327"/>
      <c r="CF436" s="1327"/>
      <c r="CG436" s="1327"/>
      <c r="CH436" s="1327"/>
      <c r="CI436" s="1327"/>
      <c r="CJ436" s="1327"/>
      <c r="CK436" s="1327"/>
      <c r="CL436" s="1327"/>
      <c r="CM436" s="1327"/>
      <c r="CN436" s="1327"/>
      <c r="CO436" s="1327"/>
      <c r="CP436" s="1327"/>
      <c r="CQ436" s="1327"/>
      <c r="CR436" s="1327"/>
      <c r="CS436" s="1327"/>
      <c r="CT436" s="1317"/>
      <c r="CU436" s="1317"/>
      <c r="CV436" s="1317"/>
      <c r="CW436" s="1317"/>
      <c r="CX436" s="1317"/>
      <c r="CY436" s="1317"/>
      <c r="CZ436" s="1317"/>
      <c r="DA436" s="1317"/>
      <c r="DB436" s="1317"/>
      <c r="DC436" s="1317"/>
      <c r="DD436" s="1317"/>
      <c r="DE436" s="1317"/>
      <c r="DF436" s="1317"/>
      <c r="DG436" s="1317"/>
    </row>
    <row r="437" ht="18.75" customHeight="1">
      <c r="G437" s="1344"/>
      <c r="H437" s="1345">
        <f t="shared" si="4"/>
        <v>0</v>
      </c>
      <c r="I437" s="1381"/>
      <c r="J437" s="1381"/>
      <c r="K437" s="1381"/>
      <c r="L437" s="1381"/>
      <c r="M437" s="1381"/>
      <c r="N437" s="1381"/>
      <c r="O437" s="1381"/>
      <c r="P437" s="1381"/>
      <c r="Q437" s="1381"/>
      <c r="R437" s="1381"/>
      <c r="T437" s="1349"/>
      <c r="U437" s="1349" t="s">
        <v>123</v>
      </c>
      <c r="V437" s="1349" t="s">
        <v>123</v>
      </c>
      <c r="W437" s="1349"/>
      <c r="X437" s="1349"/>
      <c r="Y437" s="1308"/>
      <c r="Z437" s="437" t="str">
        <f>IFERROR(__xludf.DUMMYFUNCTION("IF(NOT('portfólio'!$AV$7),"""",IF($T437="""","""",IFERROR(query({AtivosDados},""select sum(""&amp;Z$3&amp;"") where Col1='""&amp;$T437&amp;""' label sum(""&amp;Z$3&amp;"") ''""),0)))"),"")</f>
        <v/>
      </c>
      <c r="AA437" s="437" t="str">
        <f>IFERROR(__xludf.DUMMYFUNCTION("IF(NOT('portfólio'!$AV$7),"""",IF($T437="""","""",IFERROR(query({AtivosDados},""select sum(""&amp;AA$3&amp;"") where Col1='""&amp;$T437&amp;""' label sum(""&amp;AA$3&amp;"") ''""),0)))"),"")</f>
        <v/>
      </c>
      <c r="AB437" s="437" t="str">
        <f>IFERROR(__xludf.DUMMYFUNCTION("IF(NOT('portfólio'!$AV$7),"""",IF($T437="""","""",IFERROR(query({AtivosDados},""select sum(""&amp;AB$3&amp;"") where Col1='""&amp;$T437&amp;""' label sum(""&amp;AB$3&amp;"") ''""),0)))"),"")</f>
        <v/>
      </c>
      <c r="AC437" s="437" t="str">
        <f>IFERROR(__xludf.DUMMYFUNCTION("IF(NOT('portfólio'!$AV$7),"""",IF($T437="""","""",IFERROR(query({AtivosDados},""select sum(""&amp;AC$3&amp;"") where Col1='""&amp;$T437&amp;""' label sum(""&amp;AC$3&amp;"") ''""),0)))"),"")</f>
        <v/>
      </c>
      <c r="AD437" s="437" t="str">
        <f>IFERROR(__xludf.DUMMYFUNCTION("IF(NOT('portfólio'!$AV$7),"""",IF($T437="""","""",IFERROR(query({AtivosDados},""select sum(""&amp;AD$3&amp;"") where Col1='""&amp;$T437&amp;""' label sum(""&amp;AD$3&amp;"") ''""),0)))"),"")</f>
        <v/>
      </c>
      <c r="AE437" s="437"/>
      <c r="AF437" s="1327"/>
      <c r="AG437" s="437"/>
      <c r="AH437" s="437"/>
      <c r="AI437" s="437"/>
      <c r="AJ437" s="437"/>
      <c r="AK437" s="437"/>
      <c r="AL437" s="437"/>
      <c r="AM437" s="437"/>
      <c r="AN437" s="437"/>
      <c r="AO437" s="437"/>
      <c r="AP437" s="437"/>
      <c r="AQ437" s="1327"/>
      <c r="AR437" s="437"/>
      <c r="AS437" s="437"/>
      <c r="AT437" s="437"/>
      <c r="AU437" s="437"/>
      <c r="AV437" s="437"/>
      <c r="AW437" s="437"/>
      <c r="AX437" s="437"/>
      <c r="AY437" s="437"/>
      <c r="AZ437" s="437"/>
      <c r="BA437" s="437"/>
      <c r="BB437" s="1327"/>
      <c r="BC437" s="437"/>
      <c r="BD437" s="437"/>
      <c r="BE437" s="437"/>
      <c r="BF437" s="437"/>
      <c r="BG437" s="437"/>
      <c r="BH437" s="437"/>
      <c r="BI437" s="437"/>
      <c r="BJ437" s="437"/>
      <c r="BK437" s="437"/>
      <c r="BL437" s="437"/>
      <c r="BM437" s="1327"/>
      <c r="BN437" s="1327"/>
      <c r="BO437" s="1327"/>
      <c r="BP437" s="1327"/>
      <c r="BQ437" s="1327"/>
      <c r="BR437" s="1327"/>
      <c r="BS437" s="1327"/>
      <c r="BT437" s="1327"/>
      <c r="BU437" s="1327"/>
      <c r="BV437" s="1327"/>
      <c r="BW437" s="1327"/>
      <c r="BX437" s="1327"/>
      <c r="BY437" s="1327"/>
      <c r="BZ437" s="1327"/>
      <c r="CA437" s="1327"/>
      <c r="CB437" s="1327"/>
      <c r="CC437" s="1327"/>
      <c r="CD437" s="1327"/>
      <c r="CE437" s="1327"/>
      <c r="CF437" s="1327"/>
      <c r="CG437" s="1327"/>
      <c r="CH437" s="1327"/>
      <c r="CI437" s="1327"/>
      <c r="CJ437" s="1327"/>
      <c r="CK437" s="1327"/>
      <c r="CL437" s="1327"/>
      <c r="CM437" s="1327"/>
      <c r="CN437" s="1327"/>
      <c r="CO437" s="1327"/>
      <c r="CP437" s="1327"/>
      <c r="CQ437" s="1327"/>
      <c r="CR437" s="1327"/>
      <c r="CS437" s="1327"/>
      <c r="CT437" s="1317"/>
      <c r="CU437" s="1317"/>
      <c r="CV437" s="1317"/>
      <c r="CW437" s="1317"/>
      <c r="CX437" s="1317"/>
      <c r="CY437" s="1317"/>
      <c r="CZ437" s="1317"/>
      <c r="DA437" s="1317"/>
      <c r="DB437" s="1317"/>
      <c r="DC437" s="1317"/>
      <c r="DD437" s="1317"/>
      <c r="DE437" s="1317"/>
      <c r="DF437" s="1317"/>
      <c r="DG437" s="1317"/>
    </row>
    <row r="438" ht="18.75" customHeight="1">
      <c r="G438" s="1344"/>
      <c r="H438" s="1345">
        <f t="shared" si="4"/>
        <v>0</v>
      </c>
      <c r="I438" s="1381"/>
      <c r="J438" s="1381"/>
      <c r="K438" s="1381"/>
      <c r="L438" s="1381"/>
      <c r="M438" s="1381"/>
      <c r="N438" s="1381"/>
      <c r="O438" s="1381"/>
      <c r="P438" s="1381"/>
      <c r="Q438" s="1381"/>
      <c r="R438" s="1381"/>
      <c r="T438" s="1349"/>
      <c r="U438" s="1349" t="s">
        <v>123</v>
      </c>
      <c r="V438" s="1349" t="s">
        <v>123</v>
      </c>
      <c r="W438" s="1349"/>
      <c r="X438" s="1349"/>
      <c r="Y438" s="1308"/>
      <c r="Z438" s="437" t="str">
        <f>IFERROR(__xludf.DUMMYFUNCTION("IF(NOT('portfólio'!$AV$7),"""",IF($T438="""","""",IFERROR(query({AtivosDados},""select sum(""&amp;Z$3&amp;"") where Col1='""&amp;$T438&amp;""' label sum(""&amp;Z$3&amp;"") ''""),0)))"),"")</f>
        <v/>
      </c>
      <c r="AA438" s="437" t="str">
        <f>IFERROR(__xludf.DUMMYFUNCTION("IF(NOT('portfólio'!$AV$7),"""",IF($T438="""","""",IFERROR(query({AtivosDados},""select sum(""&amp;AA$3&amp;"") where Col1='""&amp;$T438&amp;""' label sum(""&amp;AA$3&amp;"") ''""),0)))"),"")</f>
        <v/>
      </c>
      <c r="AB438" s="437" t="str">
        <f>IFERROR(__xludf.DUMMYFUNCTION("IF(NOT('portfólio'!$AV$7),"""",IF($T438="""","""",IFERROR(query({AtivosDados},""select sum(""&amp;AB$3&amp;"") where Col1='""&amp;$T438&amp;""' label sum(""&amp;AB$3&amp;"") ''""),0)))"),"")</f>
        <v/>
      </c>
      <c r="AC438" s="437" t="str">
        <f>IFERROR(__xludf.DUMMYFUNCTION("IF(NOT('portfólio'!$AV$7),"""",IF($T438="""","""",IFERROR(query({AtivosDados},""select sum(""&amp;AC$3&amp;"") where Col1='""&amp;$T438&amp;""' label sum(""&amp;AC$3&amp;"") ''""),0)))"),"")</f>
        <v/>
      </c>
      <c r="AD438" s="437" t="str">
        <f>IFERROR(__xludf.DUMMYFUNCTION("IF(NOT('portfólio'!$AV$7),"""",IF($T438="""","""",IFERROR(query({AtivosDados},""select sum(""&amp;AD$3&amp;"") where Col1='""&amp;$T438&amp;""' label sum(""&amp;AD$3&amp;"") ''""),0)))"),"")</f>
        <v/>
      </c>
      <c r="AE438" s="437"/>
      <c r="AF438" s="1327"/>
      <c r="AG438" s="437"/>
      <c r="AH438" s="437"/>
      <c r="AI438" s="437"/>
      <c r="AJ438" s="437"/>
      <c r="AK438" s="437"/>
      <c r="AL438" s="437"/>
      <c r="AM438" s="437"/>
      <c r="AN438" s="437"/>
      <c r="AO438" s="437"/>
      <c r="AP438" s="437"/>
      <c r="AQ438" s="1327"/>
      <c r="AR438" s="437"/>
      <c r="AS438" s="437"/>
      <c r="AT438" s="437"/>
      <c r="AU438" s="437"/>
      <c r="AV438" s="437"/>
      <c r="AW438" s="437"/>
      <c r="AX438" s="437"/>
      <c r="AY438" s="437"/>
      <c r="AZ438" s="437"/>
      <c r="BA438" s="437"/>
      <c r="BB438" s="1327"/>
      <c r="BC438" s="437"/>
      <c r="BD438" s="437"/>
      <c r="BE438" s="437"/>
      <c r="BF438" s="437"/>
      <c r="BG438" s="437"/>
      <c r="BH438" s="437"/>
      <c r="BI438" s="437"/>
      <c r="BJ438" s="437"/>
      <c r="BK438" s="437"/>
      <c r="BL438" s="437"/>
      <c r="BM438" s="1327"/>
      <c r="BN438" s="1327"/>
      <c r="BO438" s="1327"/>
      <c r="BP438" s="1327"/>
      <c r="BQ438" s="1327"/>
      <c r="BR438" s="1327"/>
      <c r="BS438" s="1327"/>
      <c r="BT438" s="1327"/>
      <c r="BU438" s="1327"/>
      <c r="BV438" s="1327"/>
      <c r="BW438" s="1327"/>
      <c r="BX438" s="1327"/>
      <c r="BY438" s="1327"/>
      <c r="BZ438" s="1327"/>
      <c r="CA438" s="1327"/>
      <c r="CB438" s="1327"/>
      <c r="CC438" s="1327"/>
      <c r="CD438" s="1327"/>
      <c r="CE438" s="1327"/>
      <c r="CF438" s="1327"/>
      <c r="CG438" s="1327"/>
      <c r="CH438" s="1327"/>
      <c r="CI438" s="1327"/>
      <c r="CJ438" s="1327"/>
      <c r="CK438" s="1327"/>
      <c r="CL438" s="1327"/>
      <c r="CM438" s="1327"/>
      <c r="CN438" s="1327"/>
      <c r="CO438" s="1327"/>
      <c r="CP438" s="1327"/>
      <c r="CQ438" s="1327"/>
      <c r="CR438" s="1327"/>
      <c r="CS438" s="1327"/>
      <c r="CT438" s="1317"/>
      <c r="CU438" s="1317"/>
      <c r="CV438" s="1317"/>
      <c r="CW438" s="1317"/>
      <c r="CX438" s="1317"/>
      <c r="CY438" s="1317"/>
      <c r="CZ438" s="1317"/>
      <c r="DA438" s="1317"/>
      <c r="DB438" s="1317"/>
      <c r="DC438" s="1317"/>
      <c r="DD438" s="1317"/>
      <c r="DE438" s="1317"/>
      <c r="DF438" s="1317"/>
      <c r="DG438" s="1317"/>
    </row>
    <row r="439" ht="18.75" customHeight="1">
      <c r="G439" s="1344"/>
      <c r="H439" s="1345">
        <f t="shared" si="4"/>
        <v>0</v>
      </c>
      <c r="I439" s="1381"/>
      <c r="J439" s="1381"/>
      <c r="K439" s="1381"/>
      <c r="L439" s="1381"/>
      <c r="M439" s="1381"/>
      <c r="N439" s="1381"/>
      <c r="O439" s="1381"/>
      <c r="P439" s="1381"/>
      <c r="Q439" s="1381"/>
      <c r="R439" s="1381"/>
      <c r="T439" s="1349"/>
      <c r="U439" s="1349" t="s">
        <v>123</v>
      </c>
      <c r="V439" s="1349" t="s">
        <v>123</v>
      </c>
      <c r="W439" s="1349"/>
      <c r="X439" s="1349"/>
      <c r="Y439" s="1308"/>
      <c r="Z439" s="437" t="str">
        <f>IFERROR(__xludf.DUMMYFUNCTION("IF(NOT('portfólio'!$AV$7),"""",IF($T439="""","""",IFERROR(query({AtivosDados},""select sum(""&amp;Z$3&amp;"") where Col1='""&amp;$T439&amp;""' label sum(""&amp;Z$3&amp;"") ''""),0)))"),"")</f>
        <v/>
      </c>
      <c r="AA439" s="437" t="str">
        <f>IFERROR(__xludf.DUMMYFUNCTION("IF(NOT('portfólio'!$AV$7),"""",IF($T439="""","""",IFERROR(query({AtivosDados},""select sum(""&amp;AA$3&amp;"") where Col1='""&amp;$T439&amp;""' label sum(""&amp;AA$3&amp;"") ''""),0)))"),"")</f>
        <v/>
      </c>
      <c r="AB439" s="437" t="str">
        <f>IFERROR(__xludf.DUMMYFUNCTION("IF(NOT('portfólio'!$AV$7),"""",IF($T439="""","""",IFERROR(query({AtivosDados},""select sum(""&amp;AB$3&amp;"") where Col1='""&amp;$T439&amp;""' label sum(""&amp;AB$3&amp;"") ''""),0)))"),"")</f>
        <v/>
      </c>
      <c r="AC439" s="437" t="str">
        <f>IFERROR(__xludf.DUMMYFUNCTION("IF(NOT('portfólio'!$AV$7),"""",IF($T439="""","""",IFERROR(query({AtivosDados},""select sum(""&amp;AC$3&amp;"") where Col1='""&amp;$T439&amp;""' label sum(""&amp;AC$3&amp;"") ''""),0)))"),"")</f>
        <v/>
      </c>
      <c r="AD439" s="437" t="str">
        <f>IFERROR(__xludf.DUMMYFUNCTION("IF(NOT('portfólio'!$AV$7),"""",IF($T439="""","""",IFERROR(query({AtivosDados},""select sum(""&amp;AD$3&amp;"") where Col1='""&amp;$T439&amp;""' label sum(""&amp;AD$3&amp;"") ''""),0)))"),"")</f>
        <v/>
      </c>
      <c r="AE439" s="437"/>
      <c r="AF439" s="1327"/>
      <c r="AG439" s="437"/>
      <c r="AH439" s="437"/>
      <c r="AI439" s="437"/>
      <c r="AJ439" s="437"/>
      <c r="AK439" s="437"/>
      <c r="AL439" s="437"/>
      <c r="AM439" s="437"/>
      <c r="AN439" s="437"/>
      <c r="AO439" s="437"/>
      <c r="AP439" s="437"/>
      <c r="AQ439" s="1327"/>
      <c r="AR439" s="437"/>
      <c r="AS439" s="437"/>
      <c r="AT439" s="437"/>
      <c r="AU439" s="437"/>
      <c r="AV439" s="437"/>
      <c r="AW439" s="437"/>
      <c r="AX439" s="437"/>
      <c r="AY439" s="437"/>
      <c r="AZ439" s="437"/>
      <c r="BA439" s="437"/>
      <c r="BB439" s="1327"/>
      <c r="BC439" s="437"/>
      <c r="BD439" s="437"/>
      <c r="BE439" s="437"/>
      <c r="BF439" s="437"/>
      <c r="BG439" s="437"/>
      <c r="BH439" s="437"/>
      <c r="BI439" s="437"/>
      <c r="BJ439" s="437"/>
      <c r="BK439" s="437"/>
      <c r="BL439" s="437"/>
      <c r="BM439" s="1327"/>
      <c r="BN439" s="1327"/>
      <c r="BO439" s="1327"/>
      <c r="BP439" s="1327"/>
      <c r="BQ439" s="1327"/>
      <c r="BR439" s="1327"/>
      <c r="BS439" s="1327"/>
      <c r="BT439" s="1327"/>
      <c r="BU439" s="1327"/>
      <c r="BV439" s="1327"/>
      <c r="BW439" s="1327"/>
      <c r="BX439" s="1327"/>
      <c r="BY439" s="1327"/>
      <c r="BZ439" s="1327"/>
      <c r="CA439" s="1327"/>
      <c r="CB439" s="1327"/>
      <c r="CC439" s="1327"/>
      <c r="CD439" s="1327"/>
      <c r="CE439" s="1327"/>
      <c r="CF439" s="1327"/>
      <c r="CG439" s="1327"/>
      <c r="CH439" s="1327"/>
      <c r="CI439" s="1327"/>
      <c r="CJ439" s="1327"/>
      <c r="CK439" s="1327"/>
      <c r="CL439" s="1327"/>
      <c r="CM439" s="1327"/>
      <c r="CN439" s="1327"/>
      <c r="CO439" s="1327"/>
      <c r="CP439" s="1327"/>
      <c r="CQ439" s="1327"/>
      <c r="CR439" s="1327"/>
      <c r="CS439" s="1327"/>
      <c r="CT439" s="1317"/>
      <c r="CU439" s="1317"/>
      <c r="CV439" s="1317"/>
      <c r="CW439" s="1317"/>
      <c r="CX439" s="1317"/>
      <c r="CY439" s="1317"/>
      <c r="CZ439" s="1317"/>
      <c r="DA439" s="1317"/>
      <c r="DB439" s="1317"/>
      <c r="DC439" s="1317"/>
      <c r="DD439" s="1317"/>
      <c r="DE439" s="1317"/>
      <c r="DF439" s="1317"/>
      <c r="DG439" s="1317"/>
    </row>
    <row r="440" ht="18.75" customHeight="1">
      <c r="G440" s="1344"/>
      <c r="H440" s="1345">
        <f t="shared" si="4"/>
        <v>0</v>
      </c>
      <c r="I440" s="1381"/>
      <c r="J440" s="1381"/>
      <c r="K440" s="1381"/>
      <c r="L440" s="1381"/>
      <c r="M440" s="1381"/>
      <c r="N440" s="1381"/>
      <c r="O440" s="1381"/>
      <c r="P440" s="1381"/>
      <c r="Q440" s="1381"/>
      <c r="R440" s="1381"/>
      <c r="T440" s="1349"/>
      <c r="U440" s="1349" t="s">
        <v>123</v>
      </c>
      <c r="V440" s="1349" t="s">
        <v>123</v>
      </c>
      <c r="W440" s="1349"/>
      <c r="X440" s="1349"/>
      <c r="Y440" s="1308"/>
      <c r="Z440" s="437" t="str">
        <f>IFERROR(__xludf.DUMMYFUNCTION("IF(NOT('portfólio'!$AV$7),"""",IF($T440="""","""",IFERROR(query({AtivosDados},""select sum(""&amp;Z$3&amp;"") where Col1='""&amp;$T440&amp;""' label sum(""&amp;Z$3&amp;"") ''""),0)))"),"")</f>
        <v/>
      </c>
      <c r="AA440" s="437" t="str">
        <f>IFERROR(__xludf.DUMMYFUNCTION("IF(NOT('portfólio'!$AV$7),"""",IF($T440="""","""",IFERROR(query({AtivosDados},""select sum(""&amp;AA$3&amp;"") where Col1='""&amp;$T440&amp;""' label sum(""&amp;AA$3&amp;"") ''""),0)))"),"")</f>
        <v/>
      </c>
      <c r="AB440" s="437" t="str">
        <f>IFERROR(__xludf.DUMMYFUNCTION("IF(NOT('portfólio'!$AV$7),"""",IF($T440="""","""",IFERROR(query({AtivosDados},""select sum(""&amp;AB$3&amp;"") where Col1='""&amp;$T440&amp;""' label sum(""&amp;AB$3&amp;"") ''""),0)))"),"")</f>
        <v/>
      </c>
      <c r="AC440" s="437" t="str">
        <f>IFERROR(__xludf.DUMMYFUNCTION("IF(NOT('portfólio'!$AV$7),"""",IF($T440="""","""",IFERROR(query({AtivosDados},""select sum(""&amp;AC$3&amp;"") where Col1='""&amp;$T440&amp;""' label sum(""&amp;AC$3&amp;"") ''""),0)))"),"")</f>
        <v/>
      </c>
      <c r="AD440" s="437" t="str">
        <f>IFERROR(__xludf.DUMMYFUNCTION("IF(NOT('portfólio'!$AV$7),"""",IF($T440="""","""",IFERROR(query({AtivosDados},""select sum(""&amp;AD$3&amp;"") where Col1='""&amp;$T440&amp;""' label sum(""&amp;AD$3&amp;"") ''""),0)))"),"")</f>
        <v/>
      </c>
      <c r="AE440" s="437"/>
      <c r="AF440" s="1327"/>
      <c r="AG440" s="437"/>
      <c r="AH440" s="437"/>
      <c r="AI440" s="437"/>
      <c r="AJ440" s="437"/>
      <c r="AK440" s="437"/>
      <c r="AL440" s="437"/>
      <c r="AM440" s="437"/>
      <c r="AN440" s="437"/>
      <c r="AO440" s="437"/>
      <c r="AP440" s="437"/>
      <c r="AQ440" s="1327"/>
      <c r="AR440" s="437"/>
      <c r="AS440" s="437"/>
      <c r="AT440" s="437"/>
      <c r="AU440" s="437"/>
      <c r="AV440" s="437"/>
      <c r="AW440" s="437"/>
      <c r="AX440" s="437"/>
      <c r="AY440" s="437"/>
      <c r="AZ440" s="437"/>
      <c r="BA440" s="437"/>
      <c r="BB440" s="1327"/>
      <c r="BC440" s="437"/>
      <c r="BD440" s="437"/>
      <c r="BE440" s="437"/>
      <c r="BF440" s="437"/>
      <c r="BG440" s="437"/>
      <c r="BH440" s="437"/>
      <c r="BI440" s="437"/>
      <c r="BJ440" s="437"/>
      <c r="BK440" s="437"/>
      <c r="BL440" s="437"/>
      <c r="BM440" s="1327"/>
      <c r="BN440" s="1327"/>
      <c r="BO440" s="1327"/>
      <c r="BP440" s="1327"/>
      <c r="BQ440" s="1327"/>
      <c r="BR440" s="1327"/>
      <c r="BS440" s="1327"/>
      <c r="BT440" s="1327"/>
      <c r="BU440" s="1327"/>
      <c r="BV440" s="1327"/>
      <c r="BW440" s="1327"/>
      <c r="BX440" s="1327"/>
      <c r="BY440" s="1327"/>
      <c r="BZ440" s="1327"/>
      <c r="CA440" s="1327"/>
      <c r="CB440" s="1327"/>
      <c r="CC440" s="1327"/>
      <c r="CD440" s="1327"/>
      <c r="CE440" s="1327"/>
      <c r="CF440" s="1327"/>
      <c r="CG440" s="1327"/>
      <c r="CH440" s="1327"/>
      <c r="CI440" s="1327"/>
      <c r="CJ440" s="1327"/>
      <c r="CK440" s="1327"/>
      <c r="CL440" s="1327"/>
      <c r="CM440" s="1327"/>
      <c r="CN440" s="1327"/>
      <c r="CO440" s="1327"/>
      <c r="CP440" s="1327"/>
      <c r="CQ440" s="1327"/>
      <c r="CR440" s="1327"/>
      <c r="CS440" s="1327"/>
      <c r="CT440" s="1317"/>
      <c r="CU440" s="1317"/>
      <c r="CV440" s="1317"/>
      <c r="CW440" s="1317"/>
      <c r="CX440" s="1317"/>
      <c r="CY440" s="1317"/>
      <c r="CZ440" s="1317"/>
      <c r="DA440" s="1317"/>
      <c r="DB440" s="1317"/>
      <c r="DC440" s="1317"/>
      <c r="DD440" s="1317"/>
      <c r="DE440" s="1317"/>
      <c r="DF440" s="1317"/>
      <c r="DG440" s="1317"/>
    </row>
    <row r="441" ht="18.75" customHeight="1">
      <c r="G441" s="1344"/>
      <c r="H441" s="1345">
        <f t="shared" si="4"/>
        <v>0</v>
      </c>
      <c r="I441" s="1381"/>
      <c r="J441" s="1381"/>
      <c r="K441" s="1381"/>
      <c r="L441" s="1381"/>
      <c r="M441" s="1381"/>
      <c r="N441" s="1381"/>
      <c r="O441" s="1381"/>
      <c r="P441" s="1381"/>
      <c r="Q441" s="1381"/>
      <c r="R441" s="1381"/>
      <c r="T441" s="1349"/>
      <c r="U441" s="1349" t="s">
        <v>123</v>
      </c>
      <c r="V441" s="1349" t="s">
        <v>123</v>
      </c>
      <c r="W441" s="1349"/>
      <c r="X441" s="1349"/>
      <c r="Y441" s="1308"/>
      <c r="Z441" s="437" t="str">
        <f>IFERROR(__xludf.DUMMYFUNCTION("IF(NOT('portfólio'!$AV$7),"""",IF($T441="""","""",IFERROR(query({AtivosDados},""select sum(""&amp;Z$3&amp;"") where Col1='""&amp;$T441&amp;""' label sum(""&amp;Z$3&amp;"") ''""),0)))"),"")</f>
        <v/>
      </c>
      <c r="AA441" s="437" t="str">
        <f>IFERROR(__xludf.DUMMYFUNCTION("IF(NOT('portfólio'!$AV$7),"""",IF($T441="""","""",IFERROR(query({AtivosDados},""select sum(""&amp;AA$3&amp;"") where Col1='""&amp;$T441&amp;""' label sum(""&amp;AA$3&amp;"") ''""),0)))"),"")</f>
        <v/>
      </c>
      <c r="AB441" s="437" t="str">
        <f>IFERROR(__xludf.DUMMYFUNCTION("IF(NOT('portfólio'!$AV$7),"""",IF($T441="""","""",IFERROR(query({AtivosDados},""select sum(""&amp;AB$3&amp;"") where Col1='""&amp;$T441&amp;""' label sum(""&amp;AB$3&amp;"") ''""),0)))"),"")</f>
        <v/>
      </c>
      <c r="AC441" s="437" t="str">
        <f>IFERROR(__xludf.DUMMYFUNCTION("IF(NOT('portfólio'!$AV$7),"""",IF($T441="""","""",IFERROR(query({AtivosDados},""select sum(""&amp;AC$3&amp;"") where Col1='""&amp;$T441&amp;""' label sum(""&amp;AC$3&amp;"") ''""),0)))"),"")</f>
        <v/>
      </c>
      <c r="AD441" s="437" t="str">
        <f>IFERROR(__xludf.DUMMYFUNCTION("IF(NOT('portfólio'!$AV$7),"""",IF($T441="""","""",IFERROR(query({AtivosDados},""select sum(""&amp;AD$3&amp;"") where Col1='""&amp;$T441&amp;""' label sum(""&amp;AD$3&amp;"") ''""),0)))"),"")</f>
        <v/>
      </c>
      <c r="AE441" s="437"/>
      <c r="AF441" s="1327"/>
      <c r="AG441" s="437"/>
      <c r="AH441" s="437"/>
      <c r="AI441" s="437"/>
      <c r="AJ441" s="437"/>
      <c r="AK441" s="437"/>
      <c r="AL441" s="437"/>
      <c r="AM441" s="437"/>
      <c r="AN441" s="437"/>
      <c r="AO441" s="437"/>
      <c r="AP441" s="437"/>
      <c r="AQ441" s="1327"/>
      <c r="AR441" s="437"/>
      <c r="AS441" s="437"/>
      <c r="AT441" s="437"/>
      <c r="AU441" s="437"/>
      <c r="AV441" s="437"/>
      <c r="AW441" s="437"/>
      <c r="AX441" s="437"/>
      <c r="AY441" s="437"/>
      <c r="AZ441" s="437"/>
      <c r="BA441" s="437"/>
      <c r="BB441" s="1327"/>
      <c r="BC441" s="437"/>
      <c r="BD441" s="437"/>
      <c r="BE441" s="437"/>
      <c r="BF441" s="437"/>
      <c r="BG441" s="437"/>
      <c r="BH441" s="437"/>
      <c r="BI441" s="437"/>
      <c r="BJ441" s="437"/>
      <c r="BK441" s="437"/>
      <c r="BL441" s="437"/>
      <c r="BM441" s="1327"/>
      <c r="BN441" s="1327"/>
      <c r="BO441" s="1327"/>
      <c r="BP441" s="1327"/>
      <c r="BQ441" s="1327"/>
      <c r="BR441" s="1327"/>
      <c r="BS441" s="1327"/>
      <c r="BT441" s="1327"/>
      <c r="BU441" s="1327"/>
      <c r="BV441" s="1327"/>
      <c r="BW441" s="1327"/>
      <c r="BX441" s="1327"/>
      <c r="BY441" s="1327"/>
      <c r="BZ441" s="1327"/>
      <c r="CA441" s="1327"/>
      <c r="CB441" s="1327"/>
      <c r="CC441" s="1327"/>
      <c r="CD441" s="1327"/>
      <c r="CE441" s="1327"/>
      <c r="CF441" s="1327"/>
      <c r="CG441" s="1327"/>
      <c r="CH441" s="1327"/>
      <c r="CI441" s="1327"/>
      <c r="CJ441" s="1327"/>
      <c r="CK441" s="1327"/>
      <c r="CL441" s="1327"/>
      <c r="CM441" s="1327"/>
      <c r="CN441" s="1327"/>
      <c r="CO441" s="1327"/>
      <c r="CP441" s="1327"/>
      <c r="CQ441" s="1327"/>
      <c r="CR441" s="1327"/>
      <c r="CS441" s="1327"/>
      <c r="CT441" s="1317"/>
      <c r="CU441" s="1317"/>
      <c r="CV441" s="1317"/>
      <c r="CW441" s="1317"/>
      <c r="CX441" s="1317"/>
      <c r="CY441" s="1317"/>
      <c r="CZ441" s="1317"/>
      <c r="DA441" s="1317"/>
      <c r="DB441" s="1317"/>
      <c r="DC441" s="1317"/>
      <c r="DD441" s="1317"/>
      <c r="DE441" s="1317"/>
      <c r="DF441" s="1317"/>
      <c r="DG441" s="1317"/>
    </row>
    <row r="442" ht="18.75" customHeight="1">
      <c r="G442" s="1344"/>
      <c r="H442" s="1345">
        <f t="shared" si="4"/>
        <v>0</v>
      </c>
      <c r="I442" s="1381"/>
      <c r="J442" s="1381"/>
      <c r="K442" s="1381"/>
      <c r="L442" s="1381"/>
      <c r="M442" s="1381"/>
      <c r="N442" s="1381"/>
      <c r="O442" s="1381"/>
      <c r="P442" s="1381"/>
      <c r="Q442" s="1381"/>
      <c r="R442" s="1381"/>
      <c r="T442" s="1349"/>
      <c r="U442" s="1349" t="s">
        <v>123</v>
      </c>
      <c r="V442" s="1349" t="s">
        <v>123</v>
      </c>
      <c r="W442" s="1349"/>
      <c r="X442" s="1349"/>
      <c r="Y442" s="1308"/>
      <c r="Z442" s="437" t="str">
        <f>IFERROR(__xludf.DUMMYFUNCTION("IF(NOT('portfólio'!$AV$7),"""",IF($T442="""","""",IFERROR(query({AtivosDados},""select sum(""&amp;Z$3&amp;"") where Col1='""&amp;$T442&amp;""' label sum(""&amp;Z$3&amp;"") ''""),0)))"),"")</f>
        <v/>
      </c>
      <c r="AA442" s="437" t="str">
        <f>IFERROR(__xludf.DUMMYFUNCTION("IF(NOT('portfólio'!$AV$7),"""",IF($T442="""","""",IFERROR(query({AtivosDados},""select sum(""&amp;AA$3&amp;"") where Col1='""&amp;$T442&amp;""' label sum(""&amp;AA$3&amp;"") ''""),0)))"),"")</f>
        <v/>
      </c>
      <c r="AB442" s="437" t="str">
        <f>IFERROR(__xludf.DUMMYFUNCTION("IF(NOT('portfólio'!$AV$7),"""",IF($T442="""","""",IFERROR(query({AtivosDados},""select sum(""&amp;AB$3&amp;"") where Col1='""&amp;$T442&amp;""' label sum(""&amp;AB$3&amp;"") ''""),0)))"),"")</f>
        <v/>
      </c>
      <c r="AC442" s="437" t="str">
        <f>IFERROR(__xludf.DUMMYFUNCTION("IF(NOT('portfólio'!$AV$7),"""",IF($T442="""","""",IFERROR(query({AtivosDados},""select sum(""&amp;AC$3&amp;"") where Col1='""&amp;$T442&amp;""' label sum(""&amp;AC$3&amp;"") ''""),0)))"),"")</f>
        <v/>
      </c>
      <c r="AD442" s="437" t="str">
        <f>IFERROR(__xludf.DUMMYFUNCTION("IF(NOT('portfólio'!$AV$7),"""",IF($T442="""","""",IFERROR(query({AtivosDados},""select sum(""&amp;AD$3&amp;"") where Col1='""&amp;$T442&amp;""' label sum(""&amp;AD$3&amp;"") ''""),0)))"),"")</f>
        <v/>
      </c>
      <c r="AE442" s="437"/>
      <c r="AF442" s="1327"/>
      <c r="AG442" s="437"/>
      <c r="AH442" s="437"/>
      <c r="AI442" s="437"/>
      <c r="AJ442" s="437"/>
      <c r="AK442" s="437"/>
      <c r="AL442" s="437"/>
      <c r="AM442" s="437"/>
      <c r="AN442" s="437"/>
      <c r="AO442" s="437"/>
      <c r="AP442" s="437"/>
      <c r="AQ442" s="1327"/>
      <c r="AR442" s="437"/>
      <c r="AS442" s="437"/>
      <c r="AT442" s="437"/>
      <c r="AU442" s="437"/>
      <c r="AV442" s="437"/>
      <c r="AW442" s="437"/>
      <c r="AX442" s="437"/>
      <c r="AY442" s="437"/>
      <c r="AZ442" s="437"/>
      <c r="BA442" s="437"/>
      <c r="BB442" s="1327"/>
      <c r="BC442" s="437"/>
      <c r="BD442" s="437"/>
      <c r="BE442" s="437"/>
      <c r="BF442" s="437"/>
      <c r="BG442" s="437"/>
      <c r="BH442" s="437"/>
      <c r="BI442" s="437"/>
      <c r="BJ442" s="437"/>
      <c r="BK442" s="437"/>
      <c r="BL442" s="437"/>
      <c r="BM442" s="1327"/>
      <c r="BN442" s="1327"/>
      <c r="BO442" s="1327"/>
      <c r="BP442" s="1327"/>
      <c r="BQ442" s="1327"/>
      <c r="BR442" s="1327"/>
      <c r="BS442" s="1327"/>
      <c r="BT442" s="1327"/>
      <c r="BU442" s="1327"/>
      <c r="BV442" s="1327"/>
      <c r="BW442" s="1327"/>
      <c r="BX442" s="1327"/>
      <c r="BY442" s="1327"/>
      <c r="BZ442" s="1327"/>
      <c r="CA442" s="1327"/>
      <c r="CB442" s="1327"/>
      <c r="CC442" s="1327"/>
      <c r="CD442" s="1327"/>
      <c r="CE442" s="1327"/>
      <c r="CF442" s="1327"/>
      <c r="CG442" s="1327"/>
      <c r="CH442" s="1327"/>
      <c r="CI442" s="1327"/>
      <c r="CJ442" s="1327"/>
      <c r="CK442" s="1327"/>
      <c r="CL442" s="1327"/>
      <c r="CM442" s="1327"/>
      <c r="CN442" s="1327"/>
      <c r="CO442" s="1327"/>
      <c r="CP442" s="1327"/>
      <c r="CQ442" s="1327"/>
      <c r="CR442" s="1327"/>
      <c r="CS442" s="1327"/>
      <c r="CT442" s="1317"/>
      <c r="CU442" s="1317"/>
      <c r="CV442" s="1317"/>
      <c r="CW442" s="1317"/>
      <c r="CX442" s="1317"/>
      <c r="CY442" s="1317"/>
      <c r="CZ442" s="1317"/>
      <c r="DA442" s="1317"/>
      <c r="DB442" s="1317"/>
      <c r="DC442" s="1317"/>
      <c r="DD442" s="1317"/>
      <c r="DE442" s="1317"/>
      <c r="DF442" s="1317"/>
      <c r="DG442" s="1317"/>
    </row>
    <row r="443" ht="18.75" customHeight="1">
      <c r="G443" s="1344"/>
      <c r="H443" s="1345">
        <f t="shared" si="4"/>
        <v>0</v>
      </c>
      <c r="I443" s="1381"/>
      <c r="J443" s="1381"/>
      <c r="K443" s="1381"/>
      <c r="L443" s="1381"/>
      <c r="M443" s="1381"/>
      <c r="N443" s="1381"/>
      <c r="O443" s="1381"/>
      <c r="P443" s="1381"/>
      <c r="Q443" s="1381"/>
      <c r="R443" s="1381"/>
      <c r="T443" s="1349"/>
      <c r="U443" s="1349" t="s">
        <v>123</v>
      </c>
      <c r="V443" s="1349" t="s">
        <v>123</v>
      </c>
      <c r="W443" s="1349"/>
      <c r="X443" s="1349"/>
      <c r="Y443" s="1308"/>
      <c r="Z443" s="437" t="str">
        <f>IFERROR(__xludf.DUMMYFUNCTION("IF(NOT('portfólio'!$AV$7),"""",IF($T443="""","""",IFERROR(query({AtivosDados},""select sum(""&amp;Z$3&amp;"") where Col1='""&amp;$T443&amp;""' label sum(""&amp;Z$3&amp;"") ''""),0)))"),"")</f>
        <v/>
      </c>
      <c r="AA443" s="437" t="str">
        <f>IFERROR(__xludf.DUMMYFUNCTION("IF(NOT('portfólio'!$AV$7),"""",IF($T443="""","""",IFERROR(query({AtivosDados},""select sum(""&amp;AA$3&amp;"") where Col1='""&amp;$T443&amp;""' label sum(""&amp;AA$3&amp;"") ''""),0)))"),"")</f>
        <v/>
      </c>
      <c r="AB443" s="437" t="str">
        <f>IFERROR(__xludf.DUMMYFUNCTION("IF(NOT('portfólio'!$AV$7),"""",IF($T443="""","""",IFERROR(query({AtivosDados},""select sum(""&amp;AB$3&amp;"") where Col1='""&amp;$T443&amp;""' label sum(""&amp;AB$3&amp;"") ''""),0)))"),"")</f>
        <v/>
      </c>
      <c r="AC443" s="437" t="str">
        <f>IFERROR(__xludf.DUMMYFUNCTION("IF(NOT('portfólio'!$AV$7),"""",IF($T443="""","""",IFERROR(query({AtivosDados},""select sum(""&amp;AC$3&amp;"") where Col1='""&amp;$T443&amp;""' label sum(""&amp;AC$3&amp;"") ''""),0)))"),"")</f>
        <v/>
      </c>
      <c r="AD443" s="437" t="str">
        <f>IFERROR(__xludf.DUMMYFUNCTION("IF(NOT('portfólio'!$AV$7),"""",IF($T443="""","""",IFERROR(query({AtivosDados},""select sum(""&amp;AD$3&amp;"") where Col1='""&amp;$T443&amp;""' label sum(""&amp;AD$3&amp;"") ''""),0)))"),"")</f>
        <v/>
      </c>
      <c r="AE443" s="437"/>
      <c r="AF443" s="1327"/>
      <c r="AG443" s="437"/>
      <c r="AH443" s="437"/>
      <c r="AI443" s="437"/>
      <c r="AJ443" s="437"/>
      <c r="AK443" s="437"/>
      <c r="AL443" s="437"/>
      <c r="AM443" s="437"/>
      <c r="AN443" s="437"/>
      <c r="AO443" s="437"/>
      <c r="AP443" s="437"/>
      <c r="AQ443" s="1327"/>
      <c r="AR443" s="437"/>
      <c r="AS443" s="437"/>
      <c r="AT443" s="437"/>
      <c r="AU443" s="437"/>
      <c r="AV443" s="437"/>
      <c r="AW443" s="437"/>
      <c r="AX443" s="437"/>
      <c r="AY443" s="437"/>
      <c r="AZ443" s="437"/>
      <c r="BA443" s="437"/>
      <c r="BB443" s="1327"/>
      <c r="BC443" s="437"/>
      <c r="BD443" s="437"/>
      <c r="BE443" s="437"/>
      <c r="BF443" s="437"/>
      <c r="BG443" s="437"/>
      <c r="BH443" s="437"/>
      <c r="BI443" s="437"/>
      <c r="BJ443" s="437"/>
      <c r="BK443" s="437"/>
      <c r="BL443" s="437"/>
      <c r="BM443" s="1327"/>
      <c r="BN443" s="1327"/>
      <c r="BO443" s="1327"/>
      <c r="BP443" s="1327"/>
      <c r="BQ443" s="1327"/>
      <c r="BR443" s="1327"/>
      <c r="BS443" s="1327"/>
      <c r="BT443" s="1327"/>
      <c r="BU443" s="1327"/>
      <c r="BV443" s="1327"/>
      <c r="BW443" s="1327"/>
      <c r="BX443" s="1327"/>
      <c r="BY443" s="1327"/>
      <c r="BZ443" s="1327"/>
      <c r="CA443" s="1327"/>
      <c r="CB443" s="1327"/>
      <c r="CC443" s="1327"/>
      <c r="CD443" s="1327"/>
      <c r="CE443" s="1327"/>
      <c r="CF443" s="1327"/>
      <c r="CG443" s="1327"/>
      <c r="CH443" s="1327"/>
      <c r="CI443" s="1327"/>
      <c r="CJ443" s="1327"/>
      <c r="CK443" s="1327"/>
      <c r="CL443" s="1327"/>
      <c r="CM443" s="1327"/>
      <c r="CN443" s="1327"/>
      <c r="CO443" s="1327"/>
      <c r="CP443" s="1327"/>
      <c r="CQ443" s="1327"/>
      <c r="CR443" s="1327"/>
      <c r="CS443" s="1327"/>
      <c r="CT443" s="1317"/>
      <c r="CU443" s="1317"/>
      <c r="CV443" s="1317"/>
      <c r="CW443" s="1317"/>
      <c r="CX443" s="1317"/>
      <c r="CY443" s="1317"/>
      <c r="CZ443" s="1317"/>
      <c r="DA443" s="1317"/>
      <c r="DB443" s="1317"/>
      <c r="DC443" s="1317"/>
      <c r="DD443" s="1317"/>
      <c r="DE443" s="1317"/>
      <c r="DF443" s="1317"/>
      <c r="DG443" s="1317"/>
    </row>
    <row r="444" ht="18.75" customHeight="1">
      <c r="G444" s="1344"/>
      <c r="H444" s="1345">
        <f t="shared" si="4"/>
        <v>0</v>
      </c>
      <c r="I444" s="1381"/>
      <c r="J444" s="1381"/>
      <c r="K444" s="1381"/>
      <c r="L444" s="1381"/>
      <c r="M444" s="1381"/>
      <c r="N444" s="1381"/>
      <c r="O444" s="1381"/>
      <c r="P444" s="1381"/>
      <c r="Q444" s="1381"/>
      <c r="R444" s="1381"/>
      <c r="T444" s="1349"/>
      <c r="U444" s="1349" t="s">
        <v>123</v>
      </c>
      <c r="V444" s="1349" t="s">
        <v>123</v>
      </c>
      <c r="W444" s="1349"/>
      <c r="X444" s="1349"/>
      <c r="Y444" s="1308"/>
      <c r="Z444" s="437" t="str">
        <f>IFERROR(__xludf.DUMMYFUNCTION("IF(NOT('portfólio'!$AV$7),"""",IF($T444="""","""",IFERROR(query({AtivosDados},""select sum(""&amp;Z$3&amp;"") where Col1='""&amp;$T444&amp;""' label sum(""&amp;Z$3&amp;"") ''""),0)))"),"")</f>
        <v/>
      </c>
      <c r="AA444" s="437" t="str">
        <f>IFERROR(__xludf.DUMMYFUNCTION("IF(NOT('portfólio'!$AV$7),"""",IF($T444="""","""",IFERROR(query({AtivosDados},""select sum(""&amp;AA$3&amp;"") where Col1='""&amp;$T444&amp;""' label sum(""&amp;AA$3&amp;"") ''""),0)))"),"")</f>
        <v/>
      </c>
      <c r="AB444" s="437" t="str">
        <f>IFERROR(__xludf.DUMMYFUNCTION("IF(NOT('portfólio'!$AV$7),"""",IF($T444="""","""",IFERROR(query({AtivosDados},""select sum(""&amp;AB$3&amp;"") where Col1='""&amp;$T444&amp;""' label sum(""&amp;AB$3&amp;"") ''""),0)))"),"")</f>
        <v/>
      </c>
      <c r="AC444" s="437" t="str">
        <f>IFERROR(__xludf.DUMMYFUNCTION("IF(NOT('portfólio'!$AV$7),"""",IF($T444="""","""",IFERROR(query({AtivosDados},""select sum(""&amp;AC$3&amp;"") where Col1='""&amp;$T444&amp;""' label sum(""&amp;AC$3&amp;"") ''""),0)))"),"")</f>
        <v/>
      </c>
      <c r="AD444" s="437" t="str">
        <f>IFERROR(__xludf.DUMMYFUNCTION("IF(NOT('portfólio'!$AV$7),"""",IF($T444="""","""",IFERROR(query({AtivosDados},""select sum(""&amp;AD$3&amp;"") where Col1='""&amp;$T444&amp;""' label sum(""&amp;AD$3&amp;"") ''""),0)))"),"")</f>
        <v/>
      </c>
      <c r="AE444" s="437"/>
      <c r="AF444" s="1327"/>
      <c r="AG444" s="437"/>
      <c r="AH444" s="437"/>
      <c r="AI444" s="437"/>
      <c r="AJ444" s="437"/>
      <c r="AK444" s="437"/>
      <c r="AL444" s="437"/>
      <c r="AM444" s="437"/>
      <c r="AN444" s="437"/>
      <c r="AO444" s="437"/>
      <c r="AP444" s="437"/>
      <c r="AQ444" s="1327"/>
      <c r="AR444" s="437"/>
      <c r="AS444" s="437"/>
      <c r="AT444" s="437"/>
      <c r="AU444" s="437"/>
      <c r="AV444" s="437"/>
      <c r="AW444" s="437"/>
      <c r="AX444" s="437"/>
      <c r="AY444" s="437"/>
      <c r="AZ444" s="437"/>
      <c r="BA444" s="437"/>
      <c r="BB444" s="1327"/>
      <c r="BC444" s="437"/>
      <c r="BD444" s="437"/>
      <c r="BE444" s="437"/>
      <c r="BF444" s="437"/>
      <c r="BG444" s="437"/>
      <c r="BH444" s="437"/>
      <c r="BI444" s="437"/>
      <c r="BJ444" s="437"/>
      <c r="BK444" s="437"/>
      <c r="BL444" s="437"/>
      <c r="BM444" s="1327"/>
      <c r="BN444" s="1327"/>
      <c r="BO444" s="1327"/>
      <c r="BP444" s="1327"/>
      <c r="BQ444" s="1327"/>
      <c r="BR444" s="1327"/>
      <c r="BS444" s="1327"/>
      <c r="BT444" s="1327"/>
      <c r="BU444" s="1327"/>
      <c r="BV444" s="1327"/>
      <c r="BW444" s="1327"/>
      <c r="BX444" s="1327"/>
      <c r="BY444" s="1327"/>
      <c r="BZ444" s="1327"/>
      <c r="CA444" s="1327"/>
      <c r="CB444" s="1327"/>
      <c r="CC444" s="1327"/>
      <c r="CD444" s="1327"/>
      <c r="CE444" s="1327"/>
      <c r="CF444" s="1327"/>
      <c r="CG444" s="1327"/>
      <c r="CH444" s="1327"/>
      <c r="CI444" s="1327"/>
      <c r="CJ444" s="1327"/>
      <c r="CK444" s="1327"/>
      <c r="CL444" s="1327"/>
      <c r="CM444" s="1327"/>
      <c r="CN444" s="1327"/>
      <c r="CO444" s="1327"/>
      <c r="CP444" s="1327"/>
      <c r="CQ444" s="1327"/>
      <c r="CR444" s="1327"/>
      <c r="CS444" s="1327"/>
      <c r="CT444" s="1317"/>
      <c r="CU444" s="1317"/>
      <c r="CV444" s="1317"/>
      <c r="CW444" s="1317"/>
      <c r="CX444" s="1317"/>
      <c r="CY444" s="1317"/>
      <c r="CZ444" s="1317"/>
      <c r="DA444" s="1317"/>
      <c r="DB444" s="1317"/>
      <c r="DC444" s="1317"/>
      <c r="DD444" s="1317"/>
      <c r="DE444" s="1317"/>
      <c r="DF444" s="1317"/>
      <c r="DG444" s="1317"/>
    </row>
    <row r="445" ht="18.75" customHeight="1">
      <c r="G445" s="1344"/>
      <c r="H445" s="1345">
        <f t="shared" si="4"/>
        <v>0</v>
      </c>
      <c r="I445" s="1381"/>
      <c r="J445" s="1381"/>
      <c r="K445" s="1381"/>
      <c r="L445" s="1381"/>
      <c r="M445" s="1381"/>
      <c r="N445" s="1381"/>
      <c r="O445" s="1381"/>
      <c r="P445" s="1381"/>
      <c r="Q445" s="1381"/>
      <c r="R445" s="1381"/>
      <c r="T445" s="1349"/>
      <c r="U445" s="1349" t="s">
        <v>123</v>
      </c>
      <c r="V445" s="1349" t="s">
        <v>123</v>
      </c>
      <c r="W445" s="1349"/>
      <c r="X445" s="1349"/>
      <c r="Y445" s="1308"/>
      <c r="Z445" s="437" t="str">
        <f>IFERROR(__xludf.DUMMYFUNCTION("IF(NOT('portfólio'!$AV$7),"""",IF($T445="""","""",IFERROR(query({AtivosDados},""select sum(""&amp;Z$3&amp;"") where Col1='""&amp;$T445&amp;""' label sum(""&amp;Z$3&amp;"") ''""),0)))"),"")</f>
        <v/>
      </c>
      <c r="AA445" s="437" t="str">
        <f>IFERROR(__xludf.DUMMYFUNCTION("IF(NOT('portfólio'!$AV$7),"""",IF($T445="""","""",IFERROR(query({AtivosDados},""select sum(""&amp;AA$3&amp;"") where Col1='""&amp;$T445&amp;""' label sum(""&amp;AA$3&amp;"") ''""),0)))"),"")</f>
        <v/>
      </c>
      <c r="AB445" s="437" t="str">
        <f>IFERROR(__xludf.DUMMYFUNCTION("IF(NOT('portfólio'!$AV$7),"""",IF($T445="""","""",IFERROR(query({AtivosDados},""select sum(""&amp;AB$3&amp;"") where Col1='""&amp;$T445&amp;""' label sum(""&amp;AB$3&amp;"") ''""),0)))"),"")</f>
        <v/>
      </c>
      <c r="AC445" s="437" t="str">
        <f>IFERROR(__xludf.DUMMYFUNCTION("IF(NOT('portfólio'!$AV$7),"""",IF($T445="""","""",IFERROR(query({AtivosDados},""select sum(""&amp;AC$3&amp;"") where Col1='""&amp;$T445&amp;""' label sum(""&amp;AC$3&amp;"") ''""),0)))"),"")</f>
        <v/>
      </c>
      <c r="AD445" s="437" t="str">
        <f>IFERROR(__xludf.DUMMYFUNCTION("IF(NOT('portfólio'!$AV$7),"""",IF($T445="""","""",IFERROR(query({AtivosDados},""select sum(""&amp;AD$3&amp;"") where Col1='""&amp;$T445&amp;""' label sum(""&amp;AD$3&amp;"") ''""),0)))"),"")</f>
        <v/>
      </c>
      <c r="AE445" s="437"/>
      <c r="AF445" s="1327"/>
      <c r="AG445" s="437"/>
      <c r="AH445" s="437"/>
      <c r="AI445" s="437"/>
      <c r="AJ445" s="437"/>
      <c r="AK445" s="437"/>
      <c r="AL445" s="437"/>
      <c r="AM445" s="437"/>
      <c r="AN445" s="437"/>
      <c r="AO445" s="437"/>
      <c r="AP445" s="437"/>
      <c r="AQ445" s="1327"/>
      <c r="AR445" s="437"/>
      <c r="AS445" s="437"/>
      <c r="AT445" s="437"/>
      <c r="AU445" s="437"/>
      <c r="AV445" s="437"/>
      <c r="AW445" s="437"/>
      <c r="AX445" s="437"/>
      <c r="AY445" s="437"/>
      <c r="AZ445" s="437"/>
      <c r="BA445" s="437"/>
      <c r="BB445" s="1327"/>
      <c r="BC445" s="437"/>
      <c r="BD445" s="437"/>
      <c r="BE445" s="437"/>
      <c r="BF445" s="437"/>
      <c r="BG445" s="437"/>
      <c r="BH445" s="437"/>
      <c r="BI445" s="437"/>
      <c r="BJ445" s="437"/>
      <c r="BK445" s="437"/>
      <c r="BL445" s="437"/>
      <c r="BM445" s="1327"/>
      <c r="BN445" s="1327"/>
      <c r="BO445" s="1327"/>
      <c r="BP445" s="1327"/>
      <c r="BQ445" s="1327"/>
      <c r="BR445" s="1327"/>
      <c r="BS445" s="1327"/>
      <c r="BT445" s="1327"/>
      <c r="BU445" s="1327"/>
      <c r="BV445" s="1327"/>
      <c r="BW445" s="1327"/>
      <c r="BX445" s="1327"/>
      <c r="BY445" s="1327"/>
      <c r="BZ445" s="1327"/>
      <c r="CA445" s="1327"/>
      <c r="CB445" s="1327"/>
      <c r="CC445" s="1327"/>
      <c r="CD445" s="1327"/>
      <c r="CE445" s="1327"/>
      <c r="CF445" s="1327"/>
      <c r="CG445" s="1327"/>
      <c r="CH445" s="1327"/>
      <c r="CI445" s="1327"/>
      <c r="CJ445" s="1327"/>
      <c r="CK445" s="1327"/>
      <c r="CL445" s="1327"/>
      <c r="CM445" s="1327"/>
      <c r="CN445" s="1327"/>
      <c r="CO445" s="1327"/>
      <c r="CP445" s="1327"/>
      <c r="CQ445" s="1327"/>
      <c r="CR445" s="1327"/>
      <c r="CS445" s="1327"/>
      <c r="CT445" s="1317"/>
      <c r="CU445" s="1317"/>
      <c r="CV445" s="1317"/>
      <c r="CW445" s="1317"/>
      <c r="CX445" s="1317"/>
      <c r="CY445" s="1317"/>
      <c r="CZ445" s="1317"/>
      <c r="DA445" s="1317"/>
      <c r="DB445" s="1317"/>
      <c r="DC445" s="1317"/>
      <c r="DD445" s="1317"/>
      <c r="DE445" s="1317"/>
      <c r="DF445" s="1317"/>
      <c r="DG445" s="1317"/>
    </row>
    <row r="446" ht="18.75" customHeight="1">
      <c r="G446" s="1344"/>
      <c r="H446" s="1345">
        <f t="shared" si="4"/>
        <v>0</v>
      </c>
      <c r="I446" s="1381"/>
      <c r="J446" s="1381"/>
      <c r="K446" s="1381"/>
      <c r="L446" s="1381"/>
      <c r="M446" s="1381"/>
      <c r="N446" s="1381"/>
      <c r="O446" s="1381"/>
      <c r="P446" s="1381"/>
      <c r="Q446" s="1381"/>
      <c r="R446" s="1381"/>
      <c r="T446" s="1349"/>
      <c r="U446" s="1349" t="s">
        <v>123</v>
      </c>
      <c r="V446" s="1349" t="s">
        <v>123</v>
      </c>
      <c r="W446" s="1349"/>
      <c r="X446" s="1349"/>
      <c r="Y446" s="1308"/>
      <c r="Z446" s="437" t="str">
        <f>IFERROR(__xludf.DUMMYFUNCTION("IF(NOT('portfólio'!$AV$7),"""",IF($T446="""","""",IFERROR(query({AtivosDados},""select sum(""&amp;Z$3&amp;"") where Col1='""&amp;$T446&amp;""' label sum(""&amp;Z$3&amp;"") ''""),0)))"),"")</f>
        <v/>
      </c>
      <c r="AA446" s="437" t="str">
        <f>IFERROR(__xludf.DUMMYFUNCTION("IF(NOT('portfólio'!$AV$7),"""",IF($T446="""","""",IFERROR(query({AtivosDados},""select sum(""&amp;AA$3&amp;"") where Col1='""&amp;$T446&amp;""' label sum(""&amp;AA$3&amp;"") ''""),0)))"),"")</f>
        <v/>
      </c>
      <c r="AB446" s="437" t="str">
        <f>IFERROR(__xludf.DUMMYFUNCTION("IF(NOT('portfólio'!$AV$7),"""",IF($T446="""","""",IFERROR(query({AtivosDados},""select sum(""&amp;AB$3&amp;"") where Col1='""&amp;$T446&amp;""' label sum(""&amp;AB$3&amp;"") ''""),0)))"),"")</f>
        <v/>
      </c>
      <c r="AC446" s="437" t="str">
        <f>IFERROR(__xludf.DUMMYFUNCTION("IF(NOT('portfólio'!$AV$7),"""",IF($T446="""","""",IFERROR(query({AtivosDados},""select sum(""&amp;AC$3&amp;"") where Col1='""&amp;$T446&amp;""' label sum(""&amp;AC$3&amp;"") ''""),0)))"),"")</f>
        <v/>
      </c>
      <c r="AD446" s="437" t="str">
        <f>IFERROR(__xludf.DUMMYFUNCTION("IF(NOT('portfólio'!$AV$7),"""",IF($T446="""","""",IFERROR(query({AtivosDados},""select sum(""&amp;AD$3&amp;"") where Col1='""&amp;$T446&amp;""' label sum(""&amp;AD$3&amp;"") ''""),0)))"),"")</f>
        <v/>
      </c>
      <c r="AE446" s="437"/>
      <c r="AF446" s="1327"/>
      <c r="AG446" s="437"/>
      <c r="AH446" s="437"/>
      <c r="AI446" s="437"/>
      <c r="AJ446" s="437"/>
      <c r="AK446" s="437"/>
      <c r="AL446" s="437"/>
      <c r="AM446" s="437"/>
      <c r="AN446" s="437"/>
      <c r="AO446" s="437"/>
      <c r="AP446" s="437"/>
      <c r="AQ446" s="1327"/>
      <c r="AR446" s="437"/>
      <c r="AS446" s="437"/>
      <c r="AT446" s="437"/>
      <c r="AU446" s="437"/>
      <c r="AV446" s="437"/>
      <c r="AW446" s="437"/>
      <c r="AX446" s="437"/>
      <c r="AY446" s="437"/>
      <c r="AZ446" s="437"/>
      <c r="BA446" s="437"/>
      <c r="BB446" s="1327"/>
      <c r="BC446" s="437"/>
      <c r="BD446" s="437"/>
      <c r="BE446" s="437"/>
      <c r="BF446" s="437"/>
      <c r="BG446" s="437"/>
      <c r="BH446" s="437"/>
      <c r="BI446" s="437"/>
      <c r="BJ446" s="437"/>
      <c r="BK446" s="437"/>
      <c r="BL446" s="437"/>
      <c r="BM446" s="1327"/>
      <c r="BN446" s="1327"/>
      <c r="BO446" s="1327"/>
      <c r="BP446" s="1327"/>
      <c r="BQ446" s="1327"/>
      <c r="BR446" s="1327"/>
      <c r="BS446" s="1327"/>
      <c r="BT446" s="1327"/>
      <c r="BU446" s="1327"/>
      <c r="BV446" s="1327"/>
      <c r="BW446" s="1327"/>
      <c r="BX446" s="1327"/>
      <c r="BY446" s="1327"/>
      <c r="BZ446" s="1327"/>
      <c r="CA446" s="1327"/>
      <c r="CB446" s="1327"/>
      <c r="CC446" s="1327"/>
      <c r="CD446" s="1327"/>
      <c r="CE446" s="1327"/>
      <c r="CF446" s="1327"/>
      <c r="CG446" s="1327"/>
      <c r="CH446" s="1327"/>
      <c r="CI446" s="1327"/>
      <c r="CJ446" s="1327"/>
      <c r="CK446" s="1327"/>
      <c r="CL446" s="1327"/>
      <c r="CM446" s="1327"/>
      <c r="CN446" s="1327"/>
      <c r="CO446" s="1327"/>
      <c r="CP446" s="1327"/>
      <c r="CQ446" s="1327"/>
      <c r="CR446" s="1327"/>
      <c r="CS446" s="1327"/>
      <c r="CT446" s="1317"/>
      <c r="CU446" s="1317"/>
      <c r="CV446" s="1317"/>
      <c r="CW446" s="1317"/>
      <c r="CX446" s="1317"/>
      <c r="CY446" s="1317"/>
      <c r="CZ446" s="1317"/>
      <c r="DA446" s="1317"/>
      <c r="DB446" s="1317"/>
      <c r="DC446" s="1317"/>
      <c r="DD446" s="1317"/>
      <c r="DE446" s="1317"/>
      <c r="DF446" s="1317"/>
      <c r="DG446" s="1317"/>
    </row>
    <row r="447" ht="18.75" customHeight="1">
      <c r="G447" s="1344"/>
      <c r="H447" s="1345">
        <f t="shared" si="4"/>
        <v>0</v>
      </c>
      <c r="I447" s="1381"/>
      <c r="J447" s="1381"/>
      <c r="K447" s="1381"/>
      <c r="L447" s="1381"/>
      <c r="M447" s="1381"/>
      <c r="N447" s="1381"/>
      <c r="O447" s="1381"/>
      <c r="P447" s="1381"/>
      <c r="Q447" s="1381"/>
      <c r="R447" s="1381"/>
      <c r="T447" s="1349"/>
      <c r="U447" s="1349" t="s">
        <v>123</v>
      </c>
      <c r="V447" s="1349" t="s">
        <v>123</v>
      </c>
      <c r="W447" s="1349"/>
      <c r="X447" s="1349"/>
      <c r="Y447" s="1308"/>
      <c r="Z447" s="437" t="str">
        <f>IFERROR(__xludf.DUMMYFUNCTION("IF(NOT('portfólio'!$AV$7),"""",IF($T447="""","""",IFERROR(query({AtivosDados},""select sum(""&amp;Z$3&amp;"") where Col1='""&amp;$T447&amp;""' label sum(""&amp;Z$3&amp;"") ''""),0)))"),"")</f>
        <v/>
      </c>
      <c r="AA447" s="437" t="str">
        <f>IFERROR(__xludf.DUMMYFUNCTION("IF(NOT('portfólio'!$AV$7),"""",IF($T447="""","""",IFERROR(query({AtivosDados},""select sum(""&amp;AA$3&amp;"") where Col1='""&amp;$T447&amp;""' label sum(""&amp;AA$3&amp;"") ''""),0)))"),"")</f>
        <v/>
      </c>
      <c r="AB447" s="437" t="str">
        <f>IFERROR(__xludf.DUMMYFUNCTION("IF(NOT('portfólio'!$AV$7),"""",IF($T447="""","""",IFERROR(query({AtivosDados},""select sum(""&amp;AB$3&amp;"") where Col1='""&amp;$T447&amp;""' label sum(""&amp;AB$3&amp;"") ''""),0)))"),"")</f>
        <v/>
      </c>
      <c r="AC447" s="437" t="str">
        <f>IFERROR(__xludf.DUMMYFUNCTION("IF(NOT('portfólio'!$AV$7),"""",IF($T447="""","""",IFERROR(query({AtivosDados},""select sum(""&amp;AC$3&amp;"") where Col1='""&amp;$T447&amp;""' label sum(""&amp;AC$3&amp;"") ''""),0)))"),"")</f>
        <v/>
      </c>
      <c r="AD447" s="437" t="str">
        <f>IFERROR(__xludf.DUMMYFUNCTION("IF(NOT('portfólio'!$AV$7),"""",IF($T447="""","""",IFERROR(query({AtivosDados},""select sum(""&amp;AD$3&amp;"") where Col1='""&amp;$T447&amp;""' label sum(""&amp;AD$3&amp;"") ''""),0)))"),"")</f>
        <v/>
      </c>
      <c r="AE447" s="437"/>
      <c r="AF447" s="1327"/>
      <c r="AG447" s="437"/>
      <c r="AH447" s="437"/>
      <c r="AI447" s="437"/>
      <c r="AJ447" s="437"/>
      <c r="AK447" s="437"/>
      <c r="AL447" s="437"/>
      <c r="AM447" s="437"/>
      <c r="AN447" s="437"/>
      <c r="AO447" s="437"/>
      <c r="AP447" s="437"/>
      <c r="AQ447" s="1327"/>
      <c r="AR447" s="437"/>
      <c r="AS447" s="437"/>
      <c r="AT447" s="437"/>
      <c r="AU447" s="437"/>
      <c r="AV447" s="437"/>
      <c r="AW447" s="437"/>
      <c r="AX447" s="437"/>
      <c r="AY447" s="437"/>
      <c r="AZ447" s="437"/>
      <c r="BA447" s="437"/>
      <c r="BB447" s="1327"/>
      <c r="BC447" s="437"/>
      <c r="BD447" s="437"/>
      <c r="BE447" s="437"/>
      <c r="BF447" s="437"/>
      <c r="BG447" s="437"/>
      <c r="BH447" s="437"/>
      <c r="BI447" s="437"/>
      <c r="BJ447" s="437"/>
      <c r="BK447" s="437"/>
      <c r="BL447" s="437"/>
      <c r="BM447" s="1327"/>
      <c r="BN447" s="1327"/>
      <c r="BO447" s="1327"/>
      <c r="BP447" s="1327"/>
      <c r="BQ447" s="1327"/>
      <c r="BR447" s="1327"/>
      <c r="BS447" s="1327"/>
      <c r="BT447" s="1327"/>
      <c r="BU447" s="1327"/>
      <c r="BV447" s="1327"/>
      <c r="BW447" s="1327"/>
      <c r="BX447" s="1327"/>
      <c r="BY447" s="1327"/>
      <c r="BZ447" s="1327"/>
      <c r="CA447" s="1327"/>
      <c r="CB447" s="1327"/>
      <c r="CC447" s="1327"/>
      <c r="CD447" s="1327"/>
      <c r="CE447" s="1327"/>
      <c r="CF447" s="1327"/>
      <c r="CG447" s="1327"/>
      <c r="CH447" s="1327"/>
      <c r="CI447" s="1327"/>
      <c r="CJ447" s="1327"/>
      <c r="CK447" s="1327"/>
      <c r="CL447" s="1327"/>
      <c r="CM447" s="1327"/>
      <c r="CN447" s="1327"/>
      <c r="CO447" s="1327"/>
      <c r="CP447" s="1327"/>
      <c r="CQ447" s="1327"/>
      <c r="CR447" s="1327"/>
      <c r="CS447" s="1327"/>
      <c r="CT447" s="1317"/>
      <c r="CU447" s="1317"/>
      <c r="CV447" s="1317"/>
      <c r="CW447" s="1317"/>
      <c r="CX447" s="1317"/>
      <c r="CY447" s="1317"/>
      <c r="CZ447" s="1317"/>
      <c r="DA447" s="1317"/>
      <c r="DB447" s="1317"/>
      <c r="DC447" s="1317"/>
      <c r="DD447" s="1317"/>
      <c r="DE447" s="1317"/>
      <c r="DF447" s="1317"/>
      <c r="DG447" s="1317"/>
    </row>
    <row r="448" ht="18.75" customHeight="1">
      <c r="G448" s="1344"/>
      <c r="H448" s="1345">
        <f t="shared" si="4"/>
        <v>0</v>
      </c>
      <c r="I448" s="1381"/>
      <c r="J448" s="1381"/>
      <c r="K448" s="1381"/>
      <c r="L448" s="1381"/>
      <c r="M448" s="1381"/>
      <c r="N448" s="1381"/>
      <c r="O448" s="1381"/>
      <c r="P448" s="1381"/>
      <c r="Q448" s="1381"/>
      <c r="R448" s="1381"/>
      <c r="T448" s="1349"/>
      <c r="U448" s="1349" t="s">
        <v>123</v>
      </c>
      <c r="V448" s="1349" t="s">
        <v>123</v>
      </c>
      <c r="W448" s="1349"/>
      <c r="X448" s="1349"/>
      <c r="Y448" s="1308"/>
      <c r="Z448" s="437" t="str">
        <f>IFERROR(__xludf.DUMMYFUNCTION("IF(NOT('portfólio'!$AV$7),"""",IF($T448="""","""",IFERROR(query({AtivosDados},""select sum(""&amp;Z$3&amp;"") where Col1='""&amp;$T448&amp;""' label sum(""&amp;Z$3&amp;"") ''""),0)))"),"")</f>
        <v/>
      </c>
      <c r="AA448" s="437" t="str">
        <f>IFERROR(__xludf.DUMMYFUNCTION("IF(NOT('portfólio'!$AV$7),"""",IF($T448="""","""",IFERROR(query({AtivosDados},""select sum(""&amp;AA$3&amp;"") where Col1='""&amp;$T448&amp;""' label sum(""&amp;AA$3&amp;"") ''""),0)))"),"")</f>
        <v/>
      </c>
      <c r="AB448" s="437" t="str">
        <f>IFERROR(__xludf.DUMMYFUNCTION("IF(NOT('portfólio'!$AV$7),"""",IF($T448="""","""",IFERROR(query({AtivosDados},""select sum(""&amp;AB$3&amp;"") where Col1='""&amp;$T448&amp;""' label sum(""&amp;AB$3&amp;"") ''""),0)))"),"")</f>
        <v/>
      </c>
      <c r="AC448" s="437" t="str">
        <f>IFERROR(__xludf.DUMMYFUNCTION("IF(NOT('portfólio'!$AV$7),"""",IF($T448="""","""",IFERROR(query({AtivosDados},""select sum(""&amp;AC$3&amp;"") where Col1='""&amp;$T448&amp;""' label sum(""&amp;AC$3&amp;"") ''""),0)))"),"")</f>
        <v/>
      </c>
      <c r="AD448" s="437" t="str">
        <f>IFERROR(__xludf.DUMMYFUNCTION("IF(NOT('portfólio'!$AV$7),"""",IF($T448="""","""",IFERROR(query({AtivosDados},""select sum(""&amp;AD$3&amp;"") where Col1='""&amp;$T448&amp;""' label sum(""&amp;AD$3&amp;"") ''""),0)))"),"")</f>
        <v/>
      </c>
      <c r="AE448" s="437"/>
      <c r="AF448" s="1327"/>
      <c r="AG448" s="437"/>
      <c r="AH448" s="437"/>
      <c r="AI448" s="437"/>
      <c r="AJ448" s="437"/>
      <c r="AK448" s="437"/>
      <c r="AL448" s="437"/>
      <c r="AM448" s="437"/>
      <c r="AN448" s="437"/>
      <c r="AO448" s="437"/>
      <c r="AP448" s="437"/>
      <c r="AQ448" s="1327"/>
      <c r="AR448" s="437"/>
      <c r="AS448" s="437"/>
      <c r="AT448" s="437"/>
      <c r="AU448" s="437"/>
      <c r="AV448" s="437"/>
      <c r="AW448" s="437"/>
      <c r="AX448" s="437"/>
      <c r="AY448" s="437"/>
      <c r="AZ448" s="437"/>
      <c r="BA448" s="437"/>
      <c r="BB448" s="1327"/>
      <c r="BC448" s="437"/>
      <c r="BD448" s="437"/>
      <c r="BE448" s="437"/>
      <c r="BF448" s="437"/>
      <c r="BG448" s="437"/>
      <c r="BH448" s="437"/>
      <c r="BI448" s="437"/>
      <c r="BJ448" s="437"/>
      <c r="BK448" s="437"/>
      <c r="BL448" s="437"/>
      <c r="BM448" s="1327"/>
      <c r="BN448" s="1327"/>
      <c r="BO448" s="1327"/>
      <c r="BP448" s="1327"/>
      <c r="BQ448" s="1327"/>
      <c r="BR448" s="1327"/>
      <c r="BS448" s="1327"/>
      <c r="BT448" s="1327"/>
      <c r="BU448" s="1327"/>
      <c r="BV448" s="1327"/>
      <c r="BW448" s="1327"/>
      <c r="BX448" s="1327"/>
      <c r="BY448" s="1327"/>
      <c r="BZ448" s="1327"/>
      <c r="CA448" s="1327"/>
      <c r="CB448" s="1327"/>
      <c r="CC448" s="1327"/>
      <c r="CD448" s="1327"/>
      <c r="CE448" s="1327"/>
      <c r="CF448" s="1327"/>
      <c r="CG448" s="1327"/>
      <c r="CH448" s="1327"/>
      <c r="CI448" s="1327"/>
      <c r="CJ448" s="1327"/>
      <c r="CK448" s="1327"/>
      <c r="CL448" s="1327"/>
      <c r="CM448" s="1327"/>
      <c r="CN448" s="1327"/>
      <c r="CO448" s="1327"/>
      <c r="CP448" s="1327"/>
      <c r="CQ448" s="1327"/>
      <c r="CR448" s="1327"/>
      <c r="CS448" s="1327"/>
      <c r="CT448" s="1317"/>
      <c r="CU448" s="1317"/>
      <c r="CV448" s="1317"/>
      <c r="CW448" s="1317"/>
      <c r="CX448" s="1317"/>
      <c r="CY448" s="1317"/>
      <c r="CZ448" s="1317"/>
      <c r="DA448" s="1317"/>
      <c r="DB448" s="1317"/>
      <c r="DC448" s="1317"/>
      <c r="DD448" s="1317"/>
      <c r="DE448" s="1317"/>
      <c r="DF448" s="1317"/>
      <c r="DG448" s="1317"/>
    </row>
    <row r="449" ht="18.75" customHeight="1">
      <c r="G449" s="1344"/>
      <c r="H449" s="1345">
        <f t="shared" si="4"/>
        <v>0</v>
      </c>
      <c r="I449" s="1381"/>
      <c r="J449" s="1381"/>
      <c r="K449" s="1381"/>
      <c r="L449" s="1381"/>
      <c r="M449" s="1381"/>
      <c r="N449" s="1381"/>
      <c r="O449" s="1381"/>
      <c r="P449" s="1381"/>
      <c r="Q449" s="1381"/>
      <c r="R449" s="1381"/>
      <c r="T449" s="1349"/>
      <c r="U449" s="1349" t="s">
        <v>123</v>
      </c>
      <c r="V449" s="1349" t="s">
        <v>123</v>
      </c>
      <c r="W449" s="1349"/>
      <c r="X449" s="1349"/>
      <c r="Y449" s="1308"/>
      <c r="Z449" s="437" t="str">
        <f>IFERROR(__xludf.DUMMYFUNCTION("IF(NOT('portfólio'!$AV$7),"""",IF($T449="""","""",IFERROR(query({AtivosDados},""select sum(""&amp;Z$3&amp;"") where Col1='""&amp;$T449&amp;""' label sum(""&amp;Z$3&amp;"") ''""),0)))"),"")</f>
        <v/>
      </c>
      <c r="AA449" s="437" t="str">
        <f>IFERROR(__xludf.DUMMYFUNCTION("IF(NOT('portfólio'!$AV$7),"""",IF($T449="""","""",IFERROR(query({AtivosDados},""select sum(""&amp;AA$3&amp;"") where Col1='""&amp;$T449&amp;""' label sum(""&amp;AA$3&amp;"") ''""),0)))"),"")</f>
        <v/>
      </c>
      <c r="AB449" s="437" t="str">
        <f>IFERROR(__xludf.DUMMYFUNCTION("IF(NOT('portfólio'!$AV$7),"""",IF($T449="""","""",IFERROR(query({AtivosDados},""select sum(""&amp;AB$3&amp;"") where Col1='""&amp;$T449&amp;""' label sum(""&amp;AB$3&amp;"") ''""),0)))"),"")</f>
        <v/>
      </c>
      <c r="AC449" s="437" t="str">
        <f>IFERROR(__xludf.DUMMYFUNCTION("IF(NOT('portfólio'!$AV$7),"""",IF($T449="""","""",IFERROR(query({AtivosDados},""select sum(""&amp;AC$3&amp;"") where Col1='""&amp;$T449&amp;""' label sum(""&amp;AC$3&amp;"") ''""),0)))"),"")</f>
        <v/>
      </c>
      <c r="AD449" s="437" t="str">
        <f>IFERROR(__xludf.DUMMYFUNCTION("IF(NOT('portfólio'!$AV$7),"""",IF($T449="""","""",IFERROR(query({AtivosDados},""select sum(""&amp;AD$3&amp;"") where Col1='""&amp;$T449&amp;""' label sum(""&amp;AD$3&amp;"") ''""),0)))"),"")</f>
        <v/>
      </c>
      <c r="AE449" s="437"/>
      <c r="AF449" s="1327"/>
      <c r="AG449" s="437"/>
      <c r="AH449" s="437"/>
      <c r="AI449" s="437"/>
      <c r="AJ449" s="437"/>
      <c r="AK449" s="437"/>
      <c r="AL449" s="437"/>
      <c r="AM449" s="437"/>
      <c r="AN449" s="437"/>
      <c r="AO449" s="437"/>
      <c r="AP449" s="437"/>
      <c r="AQ449" s="1327"/>
      <c r="AR449" s="437"/>
      <c r="AS449" s="437"/>
      <c r="AT449" s="437"/>
      <c r="AU449" s="437"/>
      <c r="AV449" s="437"/>
      <c r="AW449" s="437"/>
      <c r="AX449" s="437"/>
      <c r="AY449" s="437"/>
      <c r="AZ449" s="437"/>
      <c r="BA449" s="437"/>
      <c r="BB449" s="1327"/>
      <c r="BC449" s="437"/>
      <c r="BD449" s="437"/>
      <c r="BE449" s="437"/>
      <c r="BF449" s="437"/>
      <c r="BG449" s="437"/>
      <c r="BH449" s="437"/>
      <c r="BI449" s="437"/>
      <c r="BJ449" s="437"/>
      <c r="BK449" s="437"/>
      <c r="BL449" s="437"/>
      <c r="BM449" s="1327"/>
      <c r="BN449" s="1327"/>
      <c r="BO449" s="1327"/>
      <c r="BP449" s="1327"/>
      <c r="BQ449" s="1327"/>
      <c r="BR449" s="1327"/>
      <c r="BS449" s="1327"/>
      <c r="BT449" s="1327"/>
      <c r="BU449" s="1327"/>
      <c r="BV449" s="1327"/>
      <c r="BW449" s="1327"/>
      <c r="BX449" s="1327"/>
      <c r="BY449" s="1327"/>
      <c r="BZ449" s="1327"/>
      <c r="CA449" s="1327"/>
      <c r="CB449" s="1327"/>
      <c r="CC449" s="1327"/>
      <c r="CD449" s="1327"/>
      <c r="CE449" s="1327"/>
      <c r="CF449" s="1327"/>
      <c r="CG449" s="1327"/>
      <c r="CH449" s="1327"/>
      <c r="CI449" s="1327"/>
      <c r="CJ449" s="1327"/>
      <c r="CK449" s="1327"/>
      <c r="CL449" s="1327"/>
      <c r="CM449" s="1327"/>
      <c r="CN449" s="1327"/>
      <c r="CO449" s="1327"/>
      <c r="CP449" s="1327"/>
      <c r="CQ449" s="1327"/>
      <c r="CR449" s="1327"/>
      <c r="CS449" s="1327"/>
      <c r="CT449" s="1317"/>
      <c r="CU449" s="1317"/>
      <c r="CV449" s="1317"/>
      <c r="CW449" s="1317"/>
      <c r="CX449" s="1317"/>
      <c r="CY449" s="1317"/>
      <c r="CZ449" s="1317"/>
      <c r="DA449" s="1317"/>
      <c r="DB449" s="1317"/>
      <c r="DC449" s="1317"/>
      <c r="DD449" s="1317"/>
      <c r="DE449" s="1317"/>
      <c r="DF449" s="1317"/>
      <c r="DG449" s="1317"/>
    </row>
    <row r="450" ht="18.75" customHeight="1">
      <c r="G450" s="1344"/>
      <c r="H450" s="1345">
        <f t="shared" si="4"/>
        <v>0</v>
      </c>
      <c r="I450" s="1381"/>
      <c r="J450" s="1381"/>
      <c r="K450" s="1381"/>
      <c r="L450" s="1381"/>
      <c r="M450" s="1381"/>
      <c r="N450" s="1381"/>
      <c r="O450" s="1381"/>
      <c r="P450" s="1381"/>
      <c r="Q450" s="1381"/>
      <c r="R450" s="1381"/>
      <c r="T450" s="1349"/>
      <c r="U450" s="1349" t="s">
        <v>123</v>
      </c>
      <c r="V450" s="1349" t="s">
        <v>123</v>
      </c>
      <c r="W450" s="1349"/>
      <c r="X450" s="1349"/>
      <c r="Y450" s="1308"/>
      <c r="Z450" s="437" t="str">
        <f>IFERROR(__xludf.DUMMYFUNCTION("IF(NOT('portfólio'!$AV$7),"""",IF($T450="""","""",IFERROR(query({AtivosDados},""select sum(""&amp;Z$3&amp;"") where Col1='""&amp;$T450&amp;""' label sum(""&amp;Z$3&amp;"") ''""),0)))"),"")</f>
        <v/>
      </c>
      <c r="AA450" s="437" t="str">
        <f>IFERROR(__xludf.DUMMYFUNCTION("IF(NOT('portfólio'!$AV$7),"""",IF($T450="""","""",IFERROR(query({AtivosDados},""select sum(""&amp;AA$3&amp;"") where Col1='""&amp;$T450&amp;""' label sum(""&amp;AA$3&amp;"") ''""),0)))"),"")</f>
        <v/>
      </c>
      <c r="AB450" s="437" t="str">
        <f>IFERROR(__xludf.DUMMYFUNCTION("IF(NOT('portfólio'!$AV$7),"""",IF($T450="""","""",IFERROR(query({AtivosDados},""select sum(""&amp;AB$3&amp;"") where Col1='""&amp;$T450&amp;""' label sum(""&amp;AB$3&amp;"") ''""),0)))"),"")</f>
        <v/>
      </c>
      <c r="AC450" s="437" t="str">
        <f>IFERROR(__xludf.DUMMYFUNCTION("IF(NOT('portfólio'!$AV$7),"""",IF($T450="""","""",IFERROR(query({AtivosDados},""select sum(""&amp;AC$3&amp;"") where Col1='""&amp;$T450&amp;""' label sum(""&amp;AC$3&amp;"") ''""),0)))"),"")</f>
        <v/>
      </c>
      <c r="AD450" s="437" t="str">
        <f>IFERROR(__xludf.DUMMYFUNCTION("IF(NOT('portfólio'!$AV$7),"""",IF($T450="""","""",IFERROR(query({AtivosDados},""select sum(""&amp;AD$3&amp;"") where Col1='""&amp;$T450&amp;""' label sum(""&amp;AD$3&amp;"") ''""),0)))"),"")</f>
        <v/>
      </c>
      <c r="AE450" s="437"/>
      <c r="AF450" s="1327"/>
      <c r="AG450" s="437"/>
      <c r="AH450" s="437"/>
      <c r="AI450" s="437"/>
      <c r="AJ450" s="437"/>
      <c r="AK450" s="437"/>
      <c r="AL450" s="437"/>
      <c r="AM450" s="437"/>
      <c r="AN450" s="437"/>
      <c r="AO450" s="437"/>
      <c r="AP450" s="437"/>
      <c r="AQ450" s="1327"/>
      <c r="AR450" s="437"/>
      <c r="AS450" s="437"/>
      <c r="AT450" s="437"/>
      <c r="AU450" s="437"/>
      <c r="AV450" s="437"/>
      <c r="AW450" s="437"/>
      <c r="AX450" s="437"/>
      <c r="AY450" s="437"/>
      <c r="AZ450" s="437"/>
      <c r="BA450" s="437"/>
      <c r="BB450" s="1327"/>
      <c r="BC450" s="437"/>
      <c r="BD450" s="437"/>
      <c r="BE450" s="437"/>
      <c r="BF450" s="437"/>
      <c r="BG450" s="437"/>
      <c r="BH450" s="437"/>
      <c r="BI450" s="437"/>
      <c r="BJ450" s="437"/>
      <c r="BK450" s="437"/>
      <c r="BL450" s="437"/>
      <c r="BM450" s="1327"/>
      <c r="BN450" s="1327"/>
      <c r="BO450" s="1327"/>
      <c r="BP450" s="1327"/>
      <c r="BQ450" s="1327"/>
      <c r="BR450" s="1327"/>
      <c r="BS450" s="1327"/>
      <c r="BT450" s="1327"/>
      <c r="BU450" s="1327"/>
      <c r="BV450" s="1327"/>
      <c r="BW450" s="1327"/>
      <c r="BX450" s="1327"/>
      <c r="BY450" s="1327"/>
      <c r="BZ450" s="1327"/>
      <c r="CA450" s="1327"/>
      <c r="CB450" s="1327"/>
      <c r="CC450" s="1327"/>
      <c r="CD450" s="1327"/>
      <c r="CE450" s="1327"/>
      <c r="CF450" s="1327"/>
      <c r="CG450" s="1327"/>
      <c r="CH450" s="1327"/>
      <c r="CI450" s="1327"/>
      <c r="CJ450" s="1327"/>
      <c r="CK450" s="1327"/>
      <c r="CL450" s="1327"/>
      <c r="CM450" s="1327"/>
      <c r="CN450" s="1327"/>
      <c r="CO450" s="1327"/>
      <c r="CP450" s="1327"/>
      <c r="CQ450" s="1327"/>
      <c r="CR450" s="1327"/>
      <c r="CS450" s="1327"/>
      <c r="CT450" s="1317"/>
      <c r="CU450" s="1317"/>
      <c r="CV450" s="1317"/>
      <c r="CW450" s="1317"/>
      <c r="CX450" s="1317"/>
      <c r="CY450" s="1317"/>
      <c r="CZ450" s="1317"/>
      <c r="DA450" s="1317"/>
      <c r="DB450" s="1317"/>
      <c r="DC450" s="1317"/>
      <c r="DD450" s="1317"/>
      <c r="DE450" s="1317"/>
      <c r="DF450" s="1317"/>
      <c r="DG450" s="1317"/>
    </row>
    <row r="451" ht="18.75" customHeight="1">
      <c r="G451" s="1344"/>
      <c r="H451" s="1345">
        <f t="shared" si="4"/>
        <v>0</v>
      </c>
      <c r="I451" s="1381"/>
      <c r="J451" s="1381"/>
      <c r="K451" s="1381"/>
      <c r="L451" s="1381"/>
      <c r="M451" s="1381"/>
      <c r="N451" s="1381"/>
      <c r="O451" s="1381"/>
      <c r="P451" s="1381"/>
      <c r="Q451" s="1381"/>
      <c r="R451" s="1381"/>
      <c r="T451" s="1349"/>
      <c r="U451" s="1349" t="s">
        <v>123</v>
      </c>
      <c r="V451" s="1349" t="s">
        <v>123</v>
      </c>
      <c r="W451" s="1349"/>
      <c r="X451" s="1349"/>
      <c r="Y451" s="1308"/>
      <c r="Z451" s="437" t="str">
        <f>IFERROR(__xludf.DUMMYFUNCTION("IF(NOT('portfólio'!$AV$7),"""",IF($T451="""","""",IFERROR(query({AtivosDados},""select sum(""&amp;Z$3&amp;"") where Col1='""&amp;$T451&amp;""' label sum(""&amp;Z$3&amp;"") ''""),0)))"),"")</f>
        <v/>
      </c>
      <c r="AA451" s="437" t="str">
        <f>IFERROR(__xludf.DUMMYFUNCTION("IF(NOT('portfólio'!$AV$7),"""",IF($T451="""","""",IFERROR(query({AtivosDados},""select sum(""&amp;AA$3&amp;"") where Col1='""&amp;$T451&amp;""' label sum(""&amp;AA$3&amp;"") ''""),0)))"),"")</f>
        <v/>
      </c>
      <c r="AB451" s="437" t="str">
        <f>IFERROR(__xludf.DUMMYFUNCTION("IF(NOT('portfólio'!$AV$7),"""",IF($T451="""","""",IFERROR(query({AtivosDados},""select sum(""&amp;AB$3&amp;"") where Col1='""&amp;$T451&amp;""' label sum(""&amp;AB$3&amp;"") ''""),0)))"),"")</f>
        <v/>
      </c>
      <c r="AC451" s="437" t="str">
        <f>IFERROR(__xludf.DUMMYFUNCTION("IF(NOT('portfólio'!$AV$7),"""",IF($T451="""","""",IFERROR(query({AtivosDados},""select sum(""&amp;AC$3&amp;"") where Col1='""&amp;$T451&amp;""' label sum(""&amp;AC$3&amp;"") ''""),0)))"),"")</f>
        <v/>
      </c>
      <c r="AD451" s="437" t="str">
        <f>IFERROR(__xludf.DUMMYFUNCTION("IF(NOT('portfólio'!$AV$7),"""",IF($T451="""","""",IFERROR(query({AtivosDados},""select sum(""&amp;AD$3&amp;"") where Col1='""&amp;$T451&amp;""' label sum(""&amp;AD$3&amp;"") ''""),0)))"),"")</f>
        <v/>
      </c>
      <c r="AE451" s="437"/>
      <c r="AF451" s="1327"/>
      <c r="AG451" s="437"/>
      <c r="AH451" s="437"/>
      <c r="AI451" s="437"/>
      <c r="AJ451" s="437"/>
      <c r="AK451" s="437"/>
      <c r="AL451" s="437"/>
      <c r="AM451" s="437"/>
      <c r="AN451" s="437"/>
      <c r="AO451" s="437"/>
      <c r="AP451" s="437"/>
      <c r="AQ451" s="1327"/>
      <c r="AR451" s="437"/>
      <c r="AS451" s="437"/>
      <c r="AT451" s="437"/>
      <c r="AU451" s="437"/>
      <c r="AV451" s="437"/>
      <c r="AW451" s="437"/>
      <c r="AX451" s="437"/>
      <c r="AY451" s="437"/>
      <c r="AZ451" s="437"/>
      <c r="BA451" s="437"/>
      <c r="BB451" s="1327"/>
      <c r="BC451" s="437"/>
      <c r="BD451" s="437"/>
      <c r="BE451" s="437"/>
      <c r="BF451" s="437"/>
      <c r="BG451" s="437"/>
      <c r="BH451" s="437"/>
      <c r="BI451" s="437"/>
      <c r="BJ451" s="437"/>
      <c r="BK451" s="437"/>
      <c r="BL451" s="437"/>
      <c r="BM451" s="1327"/>
      <c r="BN451" s="1327"/>
      <c r="BO451" s="1327"/>
      <c r="BP451" s="1327"/>
      <c r="BQ451" s="1327"/>
      <c r="BR451" s="1327"/>
      <c r="BS451" s="1327"/>
      <c r="BT451" s="1327"/>
      <c r="BU451" s="1327"/>
      <c r="BV451" s="1327"/>
      <c r="BW451" s="1327"/>
      <c r="BX451" s="1327"/>
      <c r="BY451" s="1327"/>
      <c r="BZ451" s="1327"/>
      <c r="CA451" s="1327"/>
      <c r="CB451" s="1327"/>
      <c r="CC451" s="1327"/>
      <c r="CD451" s="1327"/>
      <c r="CE451" s="1327"/>
      <c r="CF451" s="1327"/>
      <c r="CG451" s="1327"/>
      <c r="CH451" s="1327"/>
      <c r="CI451" s="1327"/>
      <c r="CJ451" s="1327"/>
      <c r="CK451" s="1327"/>
      <c r="CL451" s="1327"/>
      <c r="CM451" s="1327"/>
      <c r="CN451" s="1327"/>
      <c r="CO451" s="1327"/>
      <c r="CP451" s="1327"/>
      <c r="CQ451" s="1327"/>
      <c r="CR451" s="1327"/>
      <c r="CS451" s="1327"/>
      <c r="CT451" s="1317"/>
      <c r="CU451" s="1317"/>
      <c r="CV451" s="1317"/>
      <c r="CW451" s="1317"/>
      <c r="CX451" s="1317"/>
      <c r="CY451" s="1317"/>
      <c r="CZ451" s="1317"/>
      <c r="DA451" s="1317"/>
      <c r="DB451" s="1317"/>
      <c r="DC451" s="1317"/>
      <c r="DD451" s="1317"/>
      <c r="DE451" s="1317"/>
      <c r="DF451" s="1317"/>
      <c r="DG451" s="1317"/>
    </row>
    <row r="452" ht="18.75" customHeight="1">
      <c r="G452" s="1344"/>
      <c r="H452" s="1345">
        <f t="shared" si="4"/>
        <v>0</v>
      </c>
      <c r="I452" s="1381"/>
      <c r="J452" s="1381"/>
      <c r="K452" s="1381"/>
      <c r="L452" s="1381"/>
      <c r="M452" s="1381"/>
      <c r="N452" s="1381"/>
      <c r="O452" s="1381"/>
      <c r="P452" s="1381"/>
      <c r="Q452" s="1381"/>
      <c r="R452" s="1381"/>
      <c r="T452" s="1349"/>
      <c r="U452" s="1349" t="s">
        <v>123</v>
      </c>
      <c r="V452" s="1349" t="s">
        <v>123</v>
      </c>
      <c r="W452" s="1349"/>
      <c r="X452" s="1349"/>
      <c r="Y452" s="1308"/>
      <c r="Z452" s="437" t="str">
        <f>IFERROR(__xludf.DUMMYFUNCTION("IF(NOT('portfólio'!$AV$7),"""",IF($T452="""","""",IFERROR(query({AtivosDados},""select sum(""&amp;Z$3&amp;"") where Col1='""&amp;$T452&amp;""' label sum(""&amp;Z$3&amp;"") ''""),0)))"),"")</f>
        <v/>
      </c>
      <c r="AA452" s="437" t="str">
        <f>IFERROR(__xludf.DUMMYFUNCTION("IF(NOT('portfólio'!$AV$7),"""",IF($T452="""","""",IFERROR(query({AtivosDados},""select sum(""&amp;AA$3&amp;"") where Col1='""&amp;$T452&amp;""' label sum(""&amp;AA$3&amp;"") ''""),0)))"),"")</f>
        <v/>
      </c>
      <c r="AB452" s="437" t="str">
        <f>IFERROR(__xludf.DUMMYFUNCTION("IF(NOT('portfólio'!$AV$7),"""",IF($T452="""","""",IFERROR(query({AtivosDados},""select sum(""&amp;AB$3&amp;"") where Col1='""&amp;$T452&amp;""' label sum(""&amp;AB$3&amp;"") ''""),0)))"),"")</f>
        <v/>
      </c>
      <c r="AC452" s="437" t="str">
        <f>IFERROR(__xludf.DUMMYFUNCTION("IF(NOT('portfólio'!$AV$7),"""",IF($T452="""","""",IFERROR(query({AtivosDados},""select sum(""&amp;AC$3&amp;"") where Col1='""&amp;$T452&amp;""' label sum(""&amp;AC$3&amp;"") ''""),0)))"),"")</f>
        <v/>
      </c>
      <c r="AD452" s="437" t="str">
        <f>IFERROR(__xludf.DUMMYFUNCTION("IF(NOT('portfólio'!$AV$7),"""",IF($T452="""","""",IFERROR(query({AtivosDados},""select sum(""&amp;AD$3&amp;"") where Col1='""&amp;$T452&amp;""' label sum(""&amp;AD$3&amp;"") ''""),0)))"),"")</f>
        <v/>
      </c>
      <c r="AE452" s="437"/>
      <c r="AF452" s="1327"/>
      <c r="AG452" s="437"/>
      <c r="AH452" s="437"/>
      <c r="AI452" s="437"/>
      <c r="AJ452" s="437"/>
      <c r="AK452" s="437"/>
      <c r="AL452" s="437"/>
      <c r="AM452" s="437"/>
      <c r="AN452" s="437"/>
      <c r="AO452" s="437"/>
      <c r="AP452" s="437"/>
      <c r="AQ452" s="1327"/>
      <c r="AR452" s="437"/>
      <c r="AS452" s="437"/>
      <c r="AT452" s="437"/>
      <c r="AU452" s="437"/>
      <c r="AV452" s="437"/>
      <c r="AW452" s="437"/>
      <c r="AX452" s="437"/>
      <c r="AY452" s="437"/>
      <c r="AZ452" s="437"/>
      <c r="BA452" s="437"/>
      <c r="BB452" s="1327"/>
      <c r="BC452" s="437"/>
      <c r="BD452" s="437"/>
      <c r="BE452" s="437"/>
      <c r="BF452" s="437"/>
      <c r="BG452" s="437"/>
      <c r="BH452" s="437"/>
      <c r="BI452" s="437"/>
      <c r="BJ452" s="437"/>
      <c r="BK452" s="437"/>
      <c r="BL452" s="437"/>
      <c r="BM452" s="1327"/>
      <c r="BN452" s="1327"/>
      <c r="BO452" s="1327"/>
      <c r="BP452" s="1327"/>
      <c r="BQ452" s="1327"/>
      <c r="BR452" s="1327"/>
      <c r="BS452" s="1327"/>
      <c r="BT452" s="1327"/>
      <c r="BU452" s="1327"/>
      <c r="BV452" s="1327"/>
      <c r="BW452" s="1327"/>
      <c r="BX452" s="1327"/>
      <c r="BY452" s="1327"/>
      <c r="BZ452" s="1327"/>
      <c r="CA452" s="1327"/>
      <c r="CB452" s="1327"/>
      <c r="CC452" s="1327"/>
      <c r="CD452" s="1327"/>
      <c r="CE452" s="1327"/>
      <c r="CF452" s="1327"/>
      <c r="CG452" s="1327"/>
      <c r="CH452" s="1327"/>
      <c r="CI452" s="1327"/>
      <c r="CJ452" s="1327"/>
      <c r="CK452" s="1327"/>
      <c r="CL452" s="1327"/>
      <c r="CM452" s="1327"/>
      <c r="CN452" s="1327"/>
      <c r="CO452" s="1327"/>
      <c r="CP452" s="1327"/>
      <c r="CQ452" s="1327"/>
      <c r="CR452" s="1327"/>
      <c r="CS452" s="1327"/>
      <c r="CT452" s="1317"/>
      <c r="CU452" s="1317"/>
      <c r="CV452" s="1317"/>
      <c r="CW452" s="1317"/>
      <c r="CX452" s="1317"/>
      <c r="CY452" s="1317"/>
      <c r="CZ452" s="1317"/>
      <c r="DA452" s="1317"/>
      <c r="DB452" s="1317"/>
      <c r="DC452" s="1317"/>
      <c r="DD452" s="1317"/>
      <c r="DE452" s="1317"/>
      <c r="DF452" s="1317"/>
      <c r="DG452" s="1317"/>
    </row>
    <row r="453" ht="18.75" customHeight="1">
      <c r="G453" s="1344"/>
      <c r="H453" s="1345">
        <f t="shared" si="4"/>
        <v>0</v>
      </c>
      <c r="I453" s="1381"/>
      <c r="J453" s="1381"/>
      <c r="K453" s="1381"/>
      <c r="L453" s="1381"/>
      <c r="M453" s="1381"/>
      <c r="N453" s="1381"/>
      <c r="O453" s="1381"/>
      <c r="P453" s="1381"/>
      <c r="Q453" s="1381"/>
      <c r="R453" s="1381"/>
      <c r="T453" s="1349"/>
      <c r="U453" s="1349" t="s">
        <v>123</v>
      </c>
      <c r="V453" s="1349" t="s">
        <v>123</v>
      </c>
      <c r="W453" s="1349"/>
      <c r="X453" s="1349"/>
      <c r="Y453" s="1308"/>
      <c r="Z453" s="437" t="str">
        <f>IFERROR(__xludf.DUMMYFUNCTION("IF(NOT('portfólio'!$AV$7),"""",IF($T453="""","""",IFERROR(query({AtivosDados},""select sum(""&amp;Z$3&amp;"") where Col1='""&amp;$T453&amp;""' label sum(""&amp;Z$3&amp;"") ''""),0)))"),"")</f>
        <v/>
      </c>
      <c r="AA453" s="437" t="str">
        <f>IFERROR(__xludf.DUMMYFUNCTION("IF(NOT('portfólio'!$AV$7),"""",IF($T453="""","""",IFERROR(query({AtivosDados},""select sum(""&amp;AA$3&amp;"") where Col1='""&amp;$T453&amp;""' label sum(""&amp;AA$3&amp;"") ''""),0)))"),"")</f>
        <v/>
      </c>
      <c r="AB453" s="437" t="str">
        <f>IFERROR(__xludf.DUMMYFUNCTION("IF(NOT('portfólio'!$AV$7),"""",IF($T453="""","""",IFERROR(query({AtivosDados},""select sum(""&amp;AB$3&amp;"") where Col1='""&amp;$T453&amp;""' label sum(""&amp;AB$3&amp;"") ''""),0)))"),"")</f>
        <v/>
      </c>
      <c r="AC453" s="437" t="str">
        <f>IFERROR(__xludf.DUMMYFUNCTION("IF(NOT('portfólio'!$AV$7),"""",IF($T453="""","""",IFERROR(query({AtivosDados},""select sum(""&amp;AC$3&amp;"") where Col1='""&amp;$T453&amp;""' label sum(""&amp;AC$3&amp;"") ''""),0)))"),"")</f>
        <v/>
      </c>
      <c r="AD453" s="437" t="str">
        <f>IFERROR(__xludf.DUMMYFUNCTION("IF(NOT('portfólio'!$AV$7),"""",IF($T453="""","""",IFERROR(query({AtivosDados},""select sum(""&amp;AD$3&amp;"") where Col1='""&amp;$T453&amp;""' label sum(""&amp;AD$3&amp;"") ''""),0)))"),"")</f>
        <v/>
      </c>
      <c r="AE453" s="437"/>
      <c r="AF453" s="1327"/>
      <c r="AG453" s="437"/>
      <c r="AH453" s="437"/>
      <c r="AI453" s="437"/>
      <c r="AJ453" s="437"/>
      <c r="AK453" s="437"/>
      <c r="AL453" s="437"/>
      <c r="AM453" s="437"/>
      <c r="AN453" s="437"/>
      <c r="AO453" s="437"/>
      <c r="AP453" s="437"/>
      <c r="AQ453" s="1327"/>
      <c r="AR453" s="437"/>
      <c r="AS453" s="437"/>
      <c r="AT453" s="437"/>
      <c r="AU453" s="437"/>
      <c r="AV453" s="437"/>
      <c r="AW453" s="437"/>
      <c r="AX453" s="437"/>
      <c r="AY453" s="437"/>
      <c r="AZ453" s="437"/>
      <c r="BA453" s="437"/>
      <c r="BB453" s="1327"/>
      <c r="BC453" s="437"/>
      <c r="BD453" s="437"/>
      <c r="BE453" s="437"/>
      <c r="BF453" s="437"/>
      <c r="BG453" s="437"/>
      <c r="BH453" s="437"/>
      <c r="BI453" s="437"/>
      <c r="BJ453" s="437"/>
      <c r="BK453" s="437"/>
      <c r="BL453" s="437"/>
      <c r="BM453" s="1327"/>
      <c r="BN453" s="1327"/>
      <c r="BO453" s="1327"/>
      <c r="BP453" s="1327"/>
      <c r="BQ453" s="1327"/>
      <c r="BR453" s="1327"/>
      <c r="BS453" s="1327"/>
      <c r="BT453" s="1327"/>
      <c r="BU453" s="1327"/>
      <c r="BV453" s="1327"/>
      <c r="BW453" s="1327"/>
      <c r="BX453" s="1327"/>
      <c r="BY453" s="1327"/>
      <c r="BZ453" s="1327"/>
      <c r="CA453" s="1327"/>
      <c r="CB453" s="1327"/>
      <c r="CC453" s="1327"/>
      <c r="CD453" s="1327"/>
      <c r="CE453" s="1327"/>
      <c r="CF453" s="1327"/>
      <c r="CG453" s="1327"/>
      <c r="CH453" s="1327"/>
      <c r="CI453" s="1327"/>
      <c r="CJ453" s="1327"/>
      <c r="CK453" s="1327"/>
      <c r="CL453" s="1327"/>
      <c r="CM453" s="1327"/>
      <c r="CN453" s="1327"/>
      <c r="CO453" s="1327"/>
      <c r="CP453" s="1327"/>
      <c r="CQ453" s="1327"/>
      <c r="CR453" s="1327"/>
      <c r="CS453" s="1327"/>
      <c r="CT453" s="1317"/>
      <c r="CU453" s="1317"/>
      <c r="CV453" s="1317"/>
      <c r="CW453" s="1317"/>
      <c r="CX453" s="1317"/>
      <c r="CY453" s="1317"/>
      <c r="CZ453" s="1317"/>
      <c r="DA453" s="1317"/>
      <c r="DB453" s="1317"/>
      <c r="DC453" s="1317"/>
      <c r="DD453" s="1317"/>
      <c r="DE453" s="1317"/>
      <c r="DF453" s="1317"/>
      <c r="DG453" s="1317"/>
    </row>
    <row r="454" ht="18.75" customHeight="1">
      <c r="G454" s="1344"/>
      <c r="H454" s="1345">
        <f t="shared" si="4"/>
        <v>0</v>
      </c>
      <c r="I454" s="1381"/>
      <c r="J454" s="1381"/>
      <c r="K454" s="1381"/>
      <c r="L454" s="1381"/>
      <c r="M454" s="1381"/>
      <c r="N454" s="1381"/>
      <c r="O454" s="1381"/>
      <c r="P454" s="1381"/>
      <c r="Q454" s="1381"/>
      <c r="R454" s="1381"/>
      <c r="T454" s="1349"/>
      <c r="U454" s="1349" t="s">
        <v>123</v>
      </c>
      <c r="V454" s="1349" t="s">
        <v>123</v>
      </c>
      <c r="W454" s="1349"/>
      <c r="X454" s="1349"/>
      <c r="Y454" s="1308"/>
      <c r="Z454" s="437" t="str">
        <f>IFERROR(__xludf.DUMMYFUNCTION("IF(NOT('portfólio'!$AV$7),"""",IF($T454="""","""",IFERROR(query({AtivosDados},""select sum(""&amp;Z$3&amp;"") where Col1='""&amp;$T454&amp;""' label sum(""&amp;Z$3&amp;"") ''""),0)))"),"")</f>
        <v/>
      </c>
      <c r="AA454" s="437" t="str">
        <f>IFERROR(__xludf.DUMMYFUNCTION("IF(NOT('portfólio'!$AV$7),"""",IF($T454="""","""",IFERROR(query({AtivosDados},""select sum(""&amp;AA$3&amp;"") where Col1='""&amp;$T454&amp;""' label sum(""&amp;AA$3&amp;"") ''""),0)))"),"")</f>
        <v/>
      </c>
      <c r="AB454" s="437" t="str">
        <f>IFERROR(__xludf.DUMMYFUNCTION("IF(NOT('portfólio'!$AV$7),"""",IF($T454="""","""",IFERROR(query({AtivosDados},""select sum(""&amp;AB$3&amp;"") where Col1='""&amp;$T454&amp;""' label sum(""&amp;AB$3&amp;"") ''""),0)))"),"")</f>
        <v/>
      </c>
      <c r="AC454" s="437" t="str">
        <f>IFERROR(__xludf.DUMMYFUNCTION("IF(NOT('portfólio'!$AV$7),"""",IF($T454="""","""",IFERROR(query({AtivosDados},""select sum(""&amp;AC$3&amp;"") where Col1='""&amp;$T454&amp;""' label sum(""&amp;AC$3&amp;"") ''""),0)))"),"")</f>
        <v/>
      </c>
      <c r="AD454" s="437" t="str">
        <f>IFERROR(__xludf.DUMMYFUNCTION("IF(NOT('portfólio'!$AV$7),"""",IF($T454="""","""",IFERROR(query({AtivosDados},""select sum(""&amp;AD$3&amp;"") where Col1='""&amp;$T454&amp;""' label sum(""&amp;AD$3&amp;"") ''""),0)))"),"")</f>
        <v/>
      </c>
      <c r="AE454" s="437"/>
      <c r="AF454" s="1327"/>
      <c r="AG454" s="437"/>
      <c r="AH454" s="437"/>
      <c r="AI454" s="437"/>
      <c r="AJ454" s="437"/>
      <c r="AK454" s="437"/>
      <c r="AL454" s="437"/>
      <c r="AM454" s="437"/>
      <c r="AN454" s="437"/>
      <c r="AO454" s="437"/>
      <c r="AP454" s="437"/>
      <c r="AQ454" s="1327"/>
      <c r="AR454" s="437"/>
      <c r="AS454" s="437"/>
      <c r="AT454" s="437"/>
      <c r="AU454" s="437"/>
      <c r="AV454" s="437"/>
      <c r="AW454" s="437"/>
      <c r="AX454" s="437"/>
      <c r="AY454" s="437"/>
      <c r="AZ454" s="437"/>
      <c r="BA454" s="437"/>
      <c r="BB454" s="1327"/>
      <c r="BC454" s="437"/>
      <c r="BD454" s="437"/>
      <c r="BE454" s="437"/>
      <c r="BF454" s="437"/>
      <c r="BG454" s="437"/>
      <c r="BH454" s="437"/>
      <c r="BI454" s="437"/>
      <c r="BJ454" s="437"/>
      <c r="BK454" s="437"/>
      <c r="BL454" s="437"/>
      <c r="BM454" s="1327"/>
      <c r="BN454" s="1327"/>
      <c r="BO454" s="1327"/>
      <c r="BP454" s="1327"/>
      <c r="BQ454" s="1327"/>
      <c r="BR454" s="1327"/>
      <c r="BS454" s="1327"/>
      <c r="BT454" s="1327"/>
      <c r="BU454" s="1327"/>
      <c r="BV454" s="1327"/>
      <c r="BW454" s="1327"/>
      <c r="BX454" s="1327"/>
      <c r="BY454" s="1327"/>
      <c r="BZ454" s="1327"/>
      <c r="CA454" s="1327"/>
      <c r="CB454" s="1327"/>
      <c r="CC454" s="1327"/>
      <c r="CD454" s="1327"/>
      <c r="CE454" s="1327"/>
      <c r="CF454" s="1327"/>
      <c r="CG454" s="1327"/>
      <c r="CH454" s="1327"/>
      <c r="CI454" s="1327"/>
      <c r="CJ454" s="1327"/>
      <c r="CK454" s="1327"/>
      <c r="CL454" s="1327"/>
      <c r="CM454" s="1327"/>
      <c r="CN454" s="1327"/>
      <c r="CO454" s="1327"/>
      <c r="CP454" s="1327"/>
      <c r="CQ454" s="1327"/>
      <c r="CR454" s="1327"/>
      <c r="CS454" s="1327"/>
      <c r="CT454" s="1317"/>
      <c r="CU454" s="1317"/>
      <c r="CV454" s="1317"/>
      <c r="CW454" s="1317"/>
      <c r="CX454" s="1317"/>
      <c r="CY454" s="1317"/>
      <c r="CZ454" s="1317"/>
      <c r="DA454" s="1317"/>
      <c r="DB454" s="1317"/>
      <c r="DC454" s="1317"/>
      <c r="DD454" s="1317"/>
      <c r="DE454" s="1317"/>
      <c r="DF454" s="1317"/>
      <c r="DG454" s="1317"/>
    </row>
    <row r="455" ht="18.75" customHeight="1">
      <c r="G455" s="1344"/>
      <c r="H455" s="1345">
        <f t="shared" si="4"/>
        <v>0</v>
      </c>
      <c r="I455" s="1381"/>
      <c r="J455" s="1381"/>
      <c r="K455" s="1381"/>
      <c r="L455" s="1381"/>
      <c r="M455" s="1381"/>
      <c r="N455" s="1381"/>
      <c r="O455" s="1381"/>
      <c r="P455" s="1381"/>
      <c r="Q455" s="1381"/>
      <c r="R455" s="1381"/>
      <c r="T455" s="1349"/>
      <c r="U455" s="1349" t="s">
        <v>123</v>
      </c>
      <c r="V455" s="1349" t="s">
        <v>123</v>
      </c>
      <c r="W455" s="1349"/>
      <c r="X455" s="1349"/>
      <c r="Y455" s="1308"/>
      <c r="Z455" s="437" t="str">
        <f>IFERROR(__xludf.DUMMYFUNCTION("IF(NOT('portfólio'!$AV$7),"""",IF($T455="""","""",IFERROR(query({AtivosDados},""select sum(""&amp;Z$3&amp;"") where Col1='""&amp;$T455&amp;""' label sum(""&amp;Z$3&amp;"") ''""),0)))"),"")</f>
        <v/>
      </c>
      <c r="AA455" s="437" t="str">
        <f>IFERROR(__xludf.DUMMYFUNCTION("IF(NOT('portfólio'!$AV$7),"""",IF($T455="""","""",IFERROR(query({AtivosDados},""select sum(""&amp;AA$3&amp;"") where Col1='""&amp;$T455&amp;""' label sum(""&amp;AA$3&amp;"") ''""),0)))"),"")</f>
        <v/>
      </c>
      <c r="AB455" s="437" t="str">
        <f>IFERROR(__xludf.DUMMYFUNCTION("IF(NOT('portfólio'!$AV$7),"""",IF($T455="""","""",IFERROR(query({AtivosDados},""select sum(""&amp;AB$3&amp;"") where Col1='""&amp;$T455&amp;""' label sum(""&amp;AB$3&amp;"") ''""),0)))"),"")</f>
        <v/>
      </c>
      <c r="AC455" s="437" t="str">
        <f>IFERROR(__xludf.DUMMYFUNCTION("IF(NOT('portfólio'!$AV$7),"""",IF($T455="""","""",IFERROR(query({AtivosDados},""select sum(""&amp;AC$3&amp;"") where Col1='""&amp;$T455&amp;""' label sum(""&amp;AC$3&amp;"") ''""),0)))"),"")</f>
        <v/>
      </c>
      <c r="AD455" s="437" t="str">
        <f>IFERROR(__xludf.DUMMYFUNCTION("IF(NOT('portfólio'!$AV$7),"""",IF($T455="""","""",IFERROR(query({AtivosDados},""select sum(""&amp;AD$3&amp;"") where Col1='""&amp;$T455&amp;""' label sum(""&amp;AD$3&amp;"") ''""),0)))"),"")</f>
        <v/>
      </c>
      <c r="AE455" s="437"/>
      <c r="AF455" s="1327"/>
      <c r="AG455" s="437"/>
      <c r="AH455" s="437"/>
      <c r="AI455" s="437"/>
      <c r="AJ455" s="437"/>
      <c r="AK455" s="437"/>
      <c r="AL455" s="437"/>
      <c r="AM455" s="437"/>
      <c r="AN455" s="437"/>
      <c r="AO455" s="437"/>
      <c r="AP455" s="437"/>
      <c r="AQ455" s="1327"/>
      <c r="AR455" s="437"/>
      <c r="AS455" s="437"/>
      <c r="AT455" s="437"/>
      <c r="AU455" s="437"/>
      <c r="AV455" s="437"/>
      <c r="AW455" s="437"/>
      <c r="AX455" s="437"/>
      <c r="AY455" s="437"/>
      <c r="AZ455" s="437"/>
      <c r="BA455" s="437"/>
      <c r="BB455" s="1327"/>
      <c r="BC455" s="437"/>
      <c r="BD455" s="437"/>
      <c r="BE455" s="437"/>
      <c r="BF455" s="437"/>
      <c r="BG455" s="437"/>
      <c r="BH455" s="437"/>
      <c r="BI455" s="437"/>
      <c r="BJ455" s="437"/>
      <c r="BK455" s="437"/>
      <c r="BL455" s="437"/>
      <c r="BM455" s="1327"/>
      <c r="BN455" s="1327"/>
      <c r="BO455" s="1327"/>
      <c r="BP455" s="1327"/>
      <c r="BQ455" s="1327"/>
      <c r="BR455" s="1327"/>
      <c r="BS455" s="1327"/>
      <c r="BT455" s="1327"/>
      <c r="BU455" s="1327"/>
      <c r="BV455" s="1327"/>
      <c r="BW455" s="1327"/>
      <c r="BX455" s="1327"/>
      <c r="BY455" s="1327"/>
      <c r="BZ455" s="1327"/>
      <c r="CA455" s="1327"/>
      <c r="CB455" s="1327"/>
      <c r="CC455" s="1327"/>
      <c r="CD455" s="1327"/>
      <c r="CE455" s="1327"/>
      <c r="CF455" s="1327"/>
      <c r="CG455" s="1327"/>
      <c r="CH455" s="1327"/>
      <c r="CI455" s="1327"/>
      <c r="CJ455" s="1327"/>
      <c r="CK455" s="1327"/>
      <c r="CL455" s="1327"/>
      <c r="CM455" s="1327"/>
      <c r="CN455" s="1327"/>
      <c r="CO455" s="1327"/>
      <c r="CP455" s="1327"/>
      <c r="CQ455" s="1327"/>
      <c r="CR455" s="1327"/>
      <c r="CS455" s="1327"/>
      <c r="CT455" s="1317"/>
      <c r="CU455" s="1317"/>
      <c r="CV455" s="1317"/>
      <c r="CW455" s="1317"/>
      <c r="CX455" s="1317"/>
      <c r="CY455" s="1317"/>
      <c r="CZ455" s="1317"/>
      <c r="DA455" s="1317"/>
      <c r="DB455" s="1317"/>
      <c r="DC455" s="1317"/>
      <c r="DD455" s="1317"/>
      <c r="DE455" s="1317"/>
      <c r="DF455" s="1317"/>
      <c r="DG455" s="1317"/>
    </row>
    <row r="456" ht="18.75" customHeight="1">
      <c r="G456" s="1344"/>
      <c r="H456" s="1345">
        <f t="shared" si="4"/>
        <v>0</v>
      </c>
      <c r="I456" s="1381"/>
      <c r="J456" s="1381"/>
      <c r="K456" s="1381"/>
      <c r="L456" s="1381"/>
      <c r="M456" s="1381"/>
      <c r="N456" s="1381"/>
      <c r="O456" s="1381"/>
      <c r="P456" s="1381"/>
      <c r="Q456" s="1381"/>
      <c r="R456" s="1381"/>
      <c r="T456" s="1349"/>
      <c r="U456" s="1349" t="s">
        <v>123</v>
      </c>
      <c r="V456" s="1349" t="s">
        <v>123</v>
      </c>
      <c r="W456" s="1349"/>
      <c r="X456" s="1349"/>
      <c r="Y456" s="1308"/>
      <c r="Z456" s="437" t="str">
        <f>IFERROR(__xludf.DUMMYFUNCTION("IF(NOT('portfólio'!$AV$7),"""",IF($T456="""","""",IFERROR(query({AtivosDados},""select sum(""&amp;Z$3&amp;"") where Col1='""&amp;$T456&amp;""' label sum(""&amp;Z$3&amp;"") ''""),0)))"),"")</f>
        <v/>
      </c>
      <c r="AA456" s="437" t="str">
        <f>IFERROR(__xludf.DUMMYFUNCTION("IF(NOT('portfólio'!$AV$7),"""",IF($T456="""","""",IFERROR(query({AtivosDados},""select sum(""&amp;AA$3&amp;"") where Col1='""&amp;$T456&amp;""' label sum(""&amp;AA$3&amp;"") ''""),0)))"),"")</f>
        <v/>
      </c>
      <c r="AB456" s="437" t="str">
        <f>IFERROR(__xludf.DUMMYFUNCTION("IF(NOT('portfólio'!$AV$7),"""",IF($T456="""","""",IFERROR(query({AtivosDados},""select sum(""&amp;AB$3&amp;"") where Col1='""&amp;$T456&amp;""' label sum(""&amp;AB$3&amp;"") ''""),0)))"),"")</f>
        <v/>
      </c>
      <c r="AC456" s="437" t="str">
        <f>IFERROR(__xludf.DUMMYFUNCTION("IF(NOT('portfólio'!$AV$7),"""",IF($T456="""","""",IFERROR(query({AtivosDados},""select sum(""&amp;AC$3&amp;"") where Col1='""&amp;$T456&amp;""' label sum(""&amp;AC$3&amp;"") ''""),0)))"),"")</f>
        <v/>
      </c>
      <c r="AD456" s="437" t="str">
        <f>IFERROR(__xludf.DUMMYFUNCTION("IF(NOT('portfólio'!$AV$7),"""",IF($T456="""","""",IFERROR(query({AtivosDados},""select sum(""&amp;AD$3&amp;"") where Col1='""&amp;$T456&amp;""' label sum(""&amp;AD$3&amp;"") ''""),0)))"),"")</f>
        <v/>
      </c>
      <c r="AE456" s="437"/>
      <c r="AF456" s="1327"/>
      <c r="AG456" s="437"/>
      <c r="AH456" s="437"/>
      <c r="AI456" s="437"/>
      <c r="AJ456" s="437"/>
      <c r="AK456" s="437"/>
      <c r="AL456" s="437"/>
      <c r="AM456" s="437"/>
      <c r="AN456" s="437"/>
      <c r="AO456" s="437"/>
      <c r="AP456" s="437"/>
      <c r="AQ456" s="1327"/>
      <c r="AR456" s="437"/>
      <c r="AS456" s="437"/>
      <c r="AT456" s="437"/>
      <c r="AU456" s="437"/>
      <c r="AV456" s="437"/>
      <c r="AW456" s="437"/>
      <c r="AX456" s="437"/>
      <c r="AY456" s="437"/>
      <c r="AZ456" s="437"/>
      <c r="BA456" s="437"/>
      <c r="BB456" s="1327"/>
      <c r="BC456" s="437"/>
      <c r="BD456" s="437"/>
      <c r="BE456" s="437"/>
      <c r="BF456" s="437"/>
      <c r="BG456" s="437"/>
      <c r="BH456" s="437"/>
      <c r="BI456" s="437"/>
      <c r="BJ456" s="437"/>
      <c r="BK456" s="437"/>
      <c r="BL456" s="437"/>
      <c r="BM456" s="1327"/>
      <c r="BN456" s="1327"/>
      <c r="BO456" s="1327"/>
      <c r="BP456" s="1327"/>
      <c r="BQ456" s="1327"/>
      <c r="BR456" s="1327"/>
      <c r="BS456" s="1327"/>
      <c r="BT456" s="1327"/>
      <c r="BU456" s="1327"/>
      <c r="BV456" s="1327"/>
      <c r="BW456" s="1327"/>
      <c r="BX456" s="1327"/>
      <c r="BY456" s="1327"/>
      <c r="BZ456" s="1327"/>
      <c r="CA456" s="1327"/>
      <c r="CB456" s="1327"/>
      <c r="CC456" s="1327"/>
      <c r="CD456" s="1327"/>
      <c r="CE456" s="1327"/>
      <c r="CF456" s="1327"/>
      <c r="CG456" s="1327"/>
      <c r="CH456" s="1327"/>
      <c r="CI456" s="1327"/>
      <c r="CJ456" s="1327"/>
      <c r="CK456" s="1327"/>
      <c r="CL456" s="1327"/>
      <c r="CM456" s="1327"/>
      <c r="CN456" s="1327"/>
      <c r="CO456" s="1327"/>
      <c r="CP456" s="1327"/>
      <c r="CQ456" s="1327"/>
      <c r="CR456" s="1327"/>
      <c r="CS456" s="1327"/>
      <c r="CT456" s="1317"/>
      <c r="CU456" s="1317"/>
      <c r="CV456" s="1317"/>
      <c r="CW456" s="1317"/>
      <c r="CX456" s="1317"/>
      <c r="CY456" s="1317"/>
      <c r="CZ456" s="1317"/>
      <c r="DA456" s="1317"/>
      <c r="DB456" s="1317"/>
      <c r="DC456" s="1317"/>
      <c r="DD456" s="1317"/>
      <c r="DE456" s="1317"/>
      <c r="DF456" s="1317"/>
      <c r="DG456" s="1317"/>
    </row>
    <row r="457" ht="18.75" customHeight="1">
      <c r="G457" s="1344"/>
      <c r="H457" s="1345">
        <f t="shared" si="4"/>
        <v>0</v>
      </c>
      <c r="I457" s="1381"/>
      <c r="J457" s="1381"/>
      <c r="K457" s="1381"/>
      <c r="L457" s="1381"/>
      <c r="M457" s="1381"/>
      <c r="N457" s="1381"/>
      <c r="O457" s="1381"/>
      <c r="P457" s="1381"/>
      <c r="Q457" s="1381"/>
      <c r="R457" s="1381"/>
      <c r="T457" s="1349"/>
      <c r="U457" s="1349" t="s">
        <v>123</v>
      </c>
      <c r="V457" s="1349" t="s">
        <v>123</v>
      </c>
      <c r="W457" s="1349"/>
      <c r="X457" s="1349"/>
      <c r="Y457" s="1308"/>
      <c r="Z457" s="437" t="str">
        <f>IFERROR(__xludf.DUMMYFUNCTION("IF(NOT('portfólio'!$AV$7),"""",IF($T457="""","""",IFERROR(query({AtivosDados},""select sum(""&amp;Z$3&amp;"") where Col1='""&amp;$T457&amp;""' label sum(""&amp;Z$3&amp;"") ''""),0)))"),"")</f>
        <v/>
      </c>
      <c r="AA457" s="437" t="str">
        <f>IFERROR(__xludf.DUMMYFUNCTION("IF(NOT('portfólio'!$AV$7),"""",IF($T457="""","""",IFERROR(query({AtivosDados},""select sum(""&amp;AA$3&amp;"") where Col1='""&amp;$T457&amp;""' label sum(""&amp;AA$3&amp;"") ''""),0)))"),"")</f>
        <v/>
      </c>
      <c r="AB457" s="437" t="str">
        <f>IFERROR(__xludf.DUMMYFUNCTION("IF(NOT('portfólio'!$AV$7),"""",IF($T457="""","""",IFERROR(query({AtivosDados},""select sum(""&amp;AB$3&amp;"") where Col1='""&amp;$T457&amp;""' label sum(""&amp;AB$3&amp;"") ''""),0)))"),"")</f>
        <v/>
      </c>
      <c r="AC457" s="437" t="str">
        <f>IFERROR(__xludf.DUMMYFUNCTION("IF(NOT('portfólio'!$AV$7),"""",IF($T457="""","""",IFERROR(query({AtivosDados},""select sum(""&amp;AC$3&amp;"") where Col1='""&amp;$T457&amp;""' label sum(""&amp;AC$3&amp;"") ''""),0)))"),"")</f>
        <v/>
      </c>
      <c r="AD457" s="437" t="str">
        <f>IFERROR(__xludf.DUMMYFUNCTION("IF(NOT('portfólio'!$AV$7),"""",IF($T457="""","""",IFERROR(query({AtivosDados},""select sum(""&amp;AD$3&amp;"") where Col1='""&amp;$T457&amp;""' label sum(""&amp;AD$3&amp;"") ''""),0)))"),"")</f>
        <v/>
      </c>
      <c r="AE457" s="437"/>
      <c r="AF457" s="1327"/>
      <c r="AG457" s="437"/>
      <c r="AH457" s="437"/>
      <c r="AI457" s="437"/>
      <c r="AJ457" s="437"/>
      <c r="AK457" s="437"/>
      <c r="AL457" s="437"/>
      <c r="AM457" s="437"/>
      <c r="AN457" s="437"/>
      <c r="AO457" s="437"/>
      <c r="AP457" s="437"/>
      <c r="AQ457" s="1327"/>
      <c r="AR457" s="437"/>
      <c r="AS457" s="437"/>
      <c r="AT457" s="437"/>
      <c r="AU457" s="437"/>
      <c r="AV457" s="437"/>
      <c r="AW457" s="437"/>
      <c r="AX457" s="437"/>
      <c r="AY457" s="437"/>
      <c r="AZ457" s="437"/>
      <c r="BA457" s="437"/>
      <c r="BB457" s="1327"/>
      <c r="BC457" s="437"/>
      <c r="BD457" s="437"/>
      <c r="BE457" s="437"/>
      <c r="BF457" s="437"/>
      <c r="BG457" s="437"/>
      <c r="BH457" s="437"/>
      <c r="BI457" s="437"/>
      <c r="BJ457" s="437"/>
      <c r="BK457" s="437"/>
      <c r="BL457" s="437"/>
      <c r="BM457" s="1327"/>
      <c r="BN457" s="1327"/>
      <c r="BO457" s="1327"/>
      <c r="BP457" s="1327"/>
      <c r="BQ457" s="1327"/>
      <c r="BR457" s="1327"/>
      <c r="BS457" s="1327"/>
      <c r="BT457" s="1327"/>
      <c r="BU457" s="1327"/>
      <c r="BV457" s="1327"/>
      <c r="BW457" s="1327"/>
      <c r="BX457" s="1327"/>
      <c r="BY457" s="1327"/>
      <c r="BZ457" s="1327"/>
      <c r="CA457" s="1327"/>
      <c r="CB457" s="1327"/>
      <c r="CC457" s="1327"/>
      <c r="CD457" s="1327"/>
      <c r="CE457" s="1327"/>
      <c r="CF457" s="1327"/>
      <c r="CG457" s="1327"/>
      <c r="CH457" s="1327"/>
      <c r="CI457" s="1327"/>
      <c r="CJ457" s="1327"/>
      <c r="CK457" s="1327"/>
      <c r="CL457" s="1327"/>
      <c r="CM457" s="1327"/>
      <c r="CN457" s="1327"/>
      <c r="CO457" s="1327"/>
      <c r="CP457" s="1327"/>
      <c r="CQ457" s="1327"/>
      <c r="CR457" s="1327"/>
      <c r="CS457" s="1327"/>
      <c r="CT457" s="1317"/>
      <c r="CU457" s="1317"/>
      <c r="CV457" s="1317"/>
      <c r="CW457" s="1317"/>
      <c r="CX457" s="1317"/>
      <c r="CY457" s="1317"/>
      <c r="CZ457" s="1317"/>
      <c r="DA457" s="1317"/>
      <c r="DB457" s="1317"/>
      <c r="DC457" s="1317"/>
      <c r="DD457" s="1317"/>
      <c r="DE457" s="1317"/>
      <c r="DF457" s="1317"/>
      <c r="DG457" s="1317"/>
    </row>
    <row r="458" ht="18.75" customHeight="1">
      <c r="G458" s="1344"/>
      <c r="H458" s="1345">
        <f t="shared" si="4"/>
        <v>0</v>
      </c>
      <c r="I458" s="1381"/>
      <c r="J458" s="1381"/>
      <c r="K458" s="1381"/>
      <c r="L458" s="1381"/>
      <c r="M458" s="1381"/>
      <c r="N458" s="1381"/>
      <c r="O458" s="1381"/>
      <c r="P458" s="1381"/>
      <c r="Q458" s="1381"/>
      <c r="R458" s="1381"/>
      <c r="T458" s="1349"/>
      <c r="U458" s="1349" t="s">
        <v>123</v>
      </c>
      <c r="V458" s="1349" t="s">
        <v>123</v>
      </c>
      <c r="W458" s="1349"/>
      <c r="X458" s="1349"/>
      <c r="Y458" s="1308"/>
      <c r="Z458" s="437" t="str">
        <f>IFERROR(__xludf.DUMMYFUNCTION("IF(NOT('portfólio'!$AV$7),"""",IF($T458="""","""",IFERROR(query({AtivosDados},""select sum(""&amp;Z$3&amp;"") where Col1='""&amp;$T458&amp;""' label sum(""&amp;Z$3&amp;"") ''""),0)))"),"")</f>
        <v/>
      </c>
      <c r="AA458" s="437" t="str">
        <f>IFERROR(__xludf.DUMMYFUNCTION("IF(NOT('portfólio'!$AV$7),"""",IF($T458="""","""",IFERROR(query({AtivosDados},""select sum(""&amp;AA$3&amp;"") where Col1='""&amp;$T458&amp;""' label sum(""&amp;AA$3&amp;"") ''""),0)))"),"")</f>
        <v/>
      </c>
      <c r="AB458" s="437" t="str">
        <f>IFERROR(__xludf.DUMMYFUNCTION("IF(NOT('portfólio'!$AV$7),"""",IF($T458="""","""",IFERROR(query({AtivosDados},""select sum(""&amp;AB$3&amp;"") where Col1='""&amp;$T458&amp;""' label sum(""&amp;AB$3&amp;"") ''""),0)))"),"")</f>
        <v/>
      </c>
      <c r="AC458" s="437" t="str">
        <f>IFERROR(__xludf.DUMMYFUNCTION("IF(NOT('portfólio'!$AV$7),"""",IF($T458="""","""",IFERROR(query({AtivosDados},""select sum(""&amp;AC$3&amp;"") where Col1='""&amp;$T458&amp;""' label sum(""&amp;AC$3&amp;"") ''""),0)))"),"")</f>
        <v/>
      </c>
      <c r="AD458" s="437" t="str">
        <f>IFERROR(__xludf.DUMMYFUNCTION("IF(NOT('portfólio'!$AV$7),"""",IF($T458="""","""",IFERROR(query({AtivosDados},""select sum(""&amp;AD$3&amp;"") where Col1='""&amp;$T458&amp;""' label sum(""&amp;AD$3&amp;"") ''""),0)))"),"")</f>
        <v/>
      </c>
      <c r="AE458" s="437"/>
      <c r="AF458" s="1327"/>
      <c r="AG458" s="437"/>
      <c r="AH458" s="437"/>
      <c r="AI458" s="437"/>
      <c r="AJ458" s="437"/>
      <c r="AK458" s="437"/>
      <c r="AL458" s="437"/>
      <c r="AM458" s="437"/>
      <c r="AN458" s="437"/>
      <c r="AO458" s="437"/>
      <c r="AP458" s="437"/>
      <c r="AQ458" s="1327"/>
      <c r="AR458" s="437"/>
      <c r="AS458" s="437"/>
      <c r="AT458" s="437"/>
      <c r="AU458" s="437"/>
      <c r="AV458" s="437"/>
      <c r="AW458" s="437"/>
      <c r="AX458" s="437"/>
      <c r="AY458" s="437"/>
      <c r="AZ458" s="437"/>
      <c r="BA458" s="437"/>
      <c r="BB458" s="1327"/>
      <c r="BC458" s="437"/>
      <c r="BD458" s="437"/>
      <c r="BE458" s="437"/>
      <c r="BF458" s="437"/>
      <c r="BG458" s="437"/>
      <c r="BH458" s="437"/>
      <c r="BI458" s="437"/>
      <c r="BJ458" s="437"/>
      <c r="BK458" s="437"/>
      <c r="BL458" s="437"/>
      <c r="BM458" s="1327"/>
      <c r="BN458" s="1327"/>
      <c r="BO458" s="1327"/>
      <c r="BP458" s="1327"/>
      <c r="BQ458" s="1327"/>
      <c r="BR458" s="1327"/>
      <c r="BS458" s="1327"/>
      <c r="BT458" s="1327"/>
      <c r="BU458" s="1327"/>
      <c r="BV458" s="1327"/>
      <c r="BW458" s="1327"/>
      <c r="BX458" s="1327"/>
      <c r="BY458" s="1327"/>
      <c r="BZ458" s="1327"/>
      <c r="CA458" s="1327"/>
      <c r="CB458" s="1327"/>
      <c r="CC458" s="1327"/>
      <c r="CD458" s="1327"/>
      <c r="CE458" s="1327"/>
      <c r="CF458" s="1327"/>
      <c r="CG458" s="1327"/>
      <c r="CH458" s="1327"/>
      <c r="CI458" s="1327"/>
      <c r="CJ458" s="1327"/>
      <c r="CK458" s="1327"/>
      <c r="CL458" s="1327"/>
      <c r="CM458" s="1327"/>
      <c r="CN458" s="1327"/>
      <c r="CO458" s="1327"/>
      <c r="CP458" s="1327"/>
      <c r="CQ458" s="1327"/>
      <c r="CR458" s="1327"/>
      <c r="CS458" s="1327"/>
      <c r="CT458" s="1317"/>
      <c r="CU458" s="1317"/>
      <c r="CV458" s="1317"/>
      <c r="CW458" s="1317"/>
      <c r="CX458" s="1317"/>
      <c r="CY458" s="1317"/>
      <c r="CZ458" s="1317"/>
      <c r="DA458" s="1317"/>
      <c r="DB458" s="1317"/>
      <c r="DC458" s="1317"/>
      <c r="DD458" s="1317"/>
      <c r="DE458" s="1317"/>
      <c r="DF458" s="1317"/>
      <c r="DG458" s="1317"/>
    </row>
    <row r="459" ht="18.75" customHeight="1">
      <c r="G459" s="1344"/>
      <c r="H459" s="1345">
        <f t="shared" si="4"/>
        <v>0</v>
      </c>
      <c r="I459" s="1381"/>
      <c r="J459" s="1381"/>
      <c r="K459" s="1381"/>
      <c r="L459" s="1381"/>
      <c r="M459" s="1381"/>
      <c r="N459" s="1381"/>
      <c r="O459" s="1381"/>
      <c r="P459" s="1381"/>
      <c r="Q459" s="1381"/>
      <c r="R459" s="1381"/>
      <c r="T459" s="1349"/>
      <c r="U459" s="1349" t="s">
        <v>123</v>
      </c>
      <c r="V459" s="1349" t="s">
        <v>123</v>
      </c>
      <c r="W459" s="1349"/>
      <c r="X459" s="1349"/>
      <c r="Y459" s="1308"/>
      <c r="Z459" s="437" t="str">
        <f>IFERROR(__xludf.DUMMYFUNCTION("IF(NOT('portfólio'!$AV$7),"""",IF($T459="""","""",IFERROR(query({AtivosDados},""select sum(""&amp;Z$3&amp;"") where Col1='""&amp;$T459&amp;""' label sum(""&amp;Z$3&amp;"") ''""),0)))"),"")</f>
        <v/>
      </c>
      <c r="AA459" s="437" t="str">
        <f>IFERROR(__xludf.DUMMYFUNCTION("IF(NOT('portfólio'!$AV$7),"""",IF($T459="""","""",IFERROR(query({AtivosDados},""select sum(""&amp;AA$3&amp;"") where Col1='""&amp;$T459&amp;""' label sum(""&amp;AA$3&amp;"") ''""),0)))"),"")</f>
        <v/>
      </c>
      <c r="AB459" s="437" t="str">
        <f>IFERROR(__xludf.DUMMYFUNCTION("IF(NOT('portfólio'!$AV$7),"""",IF($T459="""","""",IFERROR(query({AtivosDados},""select sum(""&amp;AB$3&amp;"") where Col1='""&amp;$T459&amp;""' label sum(""&amp;AB$3&amp;"") ''""),0)))"),"")</f>
        <v/>
      </c>
      <c r="AC459" s="437" t="str">
        <f>IFERROR(__xludf.DUMMYFUNCTION("IF(NOT('portfólio'!$AV$7),"""",IF($T459="""","""",IFERROR(query({AtivosDados},""select sum(""&amp;AC$3&amp;"") where Col1='""&amp;$T459&amp;""' label sum(""&amp;AC$3&amp;"") ''""),0)))"),"")</f>
        <v/>
      </c>
      <c r="AD459" s="437" t="str">
        <f>IFERROR(__xludf.DUMMYFUNCTION("IF(NOT('portfólio'!$AV$7),"""",IF($T459="""","""",IFERROR(query({AtivosDados},""select sum(""&amp;AD$3&amp;"") where Col1='""&amp;$T459&amp;""' label sum(""&amp;AD$3&amp;"") ''""),0)))"),"")</f>
        <v/>
      </c>
      <c r="AE459" s="437"/>
      <c r="AF459" s="1327"/>
      <c r="AG459" s="437"/>
      <c r="AH459" s="437"/>
      <c r="AI459" s="437"/>
      <c r="AJ459" s="437"/>
      <c r="AK459" s="437"/>
      <c r="AL459" s="437"/>
      <c r="AM459" s="437"/>
      <c r="AN459" s="437"/>
      <c r="AO459" s="437"/>
      <c r="AP459" s="437"/>
      <c r="AQ459" s="1327"/>
      <c r="AR459" s="437"/>
      <c r="AS459" s="437"/>
      <c r="AT459" s="437"/>
      <c r="AU459" s="437"/>
      <c r="AV459" s="437"/>
      <c r="AW459" s="437"/>
      <c r="AX459" s="437"/>
      <c r="AY459" s="437"/>
      <c r="AZ459" s="437"/>
      <c r="BA459" s="437"/>
      <c r="BB459" s="1327"/>
      <c r="BC459" s="437"/>
      <c r="BD459" s="437"/>
      <c r="BE459" s="437"/>
      <c r="BF459" s="437"/>
      <c r="BG459" s="437"/>
      <c r="BH459" s="437"/>
      <c r="BI459" s="437"/>
      <c r="BJ459" s="437"/>
      <c r="BK459" s="437"/>
      <c r="BL459" s="437"/>
      <c r="BM459" s="1327"/>
      <c r="BN459" s="1327"/>
      <c r="BO459" s="1327"/>
      <c r="BP459" s="1327"/>
      <c r="BQ459" s="1327"/>
      <c r="BR459" s="1327"/>
      <c r="BS459" s="1327"/>
      <c r="BT459" s="1327"/>
      <c r="BU459" s="1327"/>
      <c r="BV459" s="1327"/>
      <c r="BW459" s="1327"/>
      <c r="BX459" s="1327"/>
      <c r="BY459" s="1327"/>
      <c r="BZ459" s="1327"/>
      <c r="CA459" s="1327"/>
      <c r="CB459" s="1327"/>
      <c r="CC459" s="1327"/>
      <c r="CD459" s="1327"/>
      <c r="CE459" s="1327"/>
      <c r="CF459" s="1327"/>
      <c r="CG459" s="1327"/>
      <c r="CH459" s="1327"/>
      <c r="CI459" s="1327"/>
      <c r="CJ459" s="1327"/>
      <c r="CK459" s="1327"/>
      <c r="CL459" s="1327"/>
      <c r="CM459" s="1327"/>
      <c r="CN459" s="1327"/>
      <c r="CO459" s="1327"/>
      <c r="CP459" s="1327"/>
      <c r="CQ459" s="1327"/>
      <c r="CR459" s="1327"/>
      <c r="CS459" s="1327"/>
      <c r="CT459" s="1317"/>
      <c r="CU459" s="1317"/>
      <c r="CV459" s="1317"/>
      <c r="CW459" s="1317"/>
      <c r="CX459" s="1317"/>
      <c r="CY459" s="1317"/>
      <c r="CZ459" s="1317"/>
      <c r="DA459" s="1317"/>
      <c r="DB459" s="1317"/>
      <c r="DC459" s="1317"/>
      <c r="DD459" s="1317"/>
      <c r="DE459" s="1317"/>
      <c r="DF459" s="1317"/>
      <c r="DG459" s="1317"/>
    </row>
    <row r="460" ht="18.75" customHeight="1">
      <c r="G460" s="1344"/>
      <c r="H460" s="1345">
        <f t="shared" si="4"/>
        <v>0</v>
      </c>
      <c r="I460" s="1381"/>
      <c r="J460" s="1381"/>
      <c r="K460" s="1381"/>
      <c r="L460" s="1381"/>
      <c r="M460" s="1381"/>
      <c r="N460" s="1381"/>
      <c r="O460" s="1381"/>
      <c r="P460" s="1381"/>
      <c r="Q460" s="1381"/>
      <c r="R460" s="1381"/>
      <c r="T460" s="1349"/>
      <c r="U460" s="1349" t="s">
        <v>123</v>
      </c>
      <c r="V460" s="1349" t="s">
        <v>123</v>
      </c>
      <c r="W460" s="1349"/>
      <c r="X460" s="1349"/>
      <c r="Y460" s="1308"/>
      <c r="Z460" s="437" t="str">
        <f>IFERROR(__xludf.DUMMYFUNCTION("IF(NOT('portfólio'!$AV$7),"""",IF($T460="""","""",IFERROR(query({AtivosDados},""select sum(""&amp;Z$3&amp;"") where Col1='""&amp;$T460&amp;""' label sum(""&amp;Z$3&amp;"") ''""),0)))"),"")</f>
        <v/>
      </c>
      <c r="AA460" s="437" t="str">
        <f>IFERROR(__xludf.DUMMYFUNCTION("IF(NOT('portfólio'!$AV$7),"""",IF($T460="""","""",IFERROR(query({AtivosDados},""select sum(""&amp;AA$3&amp;"") where Col1='""&amp;$T460&amp;""' label sum(""&amp;AA$3&amp;"") ''""),0)))"),"")</f>
        <v/>
      </c>
      <c r="AB460" s="437" t="str">
        <f>IFERROR(__xludf.DUMMYFUNCTION("IF(NOT('portfólio'!$AV$7),"""",IF($T460="""","""",IFERROR(query({AtivosDados},""select sum(""&amp;AB$3&amp;"") where Col1='""&amp;$T460&amp;""' label sum(""&amp;AB$3&amp;"") ''""),0)))"),"")</f>
        <v/>
      </c>
      <c r="AC460" s="437" t="str">
        <f>IFERROR(__xludf.DUMMYFUNCTION("IF(NOT('portfólio'!$AV$7),"""",IF($T460="""","""",IFERROR(query({AtivosDados},""select sum(""&amp;AC$3&amp;"") where Col1='""&amp;$T460&amp;""' label sum(""&amp;AC$3&amp;"") ''""),0)))"),"")</f>
        <v/>
      </c>
      <c r="AD460" s="437" t="str">
        <f>IFERROR(__xludf.DUMMYFUNCTION("IF(NOT('portfólio'!$AV$7),"""",IF($T460="""","""",IFERROR(query({AtivosDados},""select sum(""&amp;AD$3&amp;"") where Col1='""&amp;$T460&amp;""' label sum(""&amp;AD$3&amp;"") ''""),0)))"),"")</f>
        <v/>
      </c>
      <c r="AE460" s="437"/>
      <c r="AF460" s="1327"/>
      <c r="AG460" s="437"/>
      <c r="AH460" s="437"/>
      <c r="AI460" s="437"/>
      <c r="AJ460" s="437"/>
      <c r="AK460" s="437"/>
      <c r="AL460" s="437"/>
      <c r="AM460" s="437"/>
      <c r="AN460" s="437"/>
      <c r="AO460" s="437"/>
      <c r="AP460" s="437"/>
      <c r="AQ460" s="1327"/>
      <c r="AR460" s="437"/>
      <c r="AS460" s="437"/>
      <c r="AT460" s="437"/>
      <c r="AU460" s="437"/>
      <c r="AV460" s="437"/>
      <c r="AW460" s="437"/>
      <c r="AX460" s="437"/>
      <c r="AY460" s="437"/>
      <c r="AZ460" s="437"/>
      <c r="BA460" s="437"/>
      <c r="BB460" s="1327"/>
      <c r="BC460" s="437"/>
      <c r="BD460" s="437"/>
      <c r="BE460" s="437"/>
      <c r="BF460" s="437"/>
      <c r="BG460" s="437"/>
      <c r="BH460" s="437"/>
      <c r="BI460" s="437"/>
      <c r="BJ460" s="437"/>
      <c r="BK460" s="437"/>
      <c r="BL460" s="437"/>
      <c r="BM460" s="1327"/>
      <c r="BN460" s="1327"/>
      <c r="BO460" s="1327"/>
      <c r="BP460" s="1327"/>
      <c r="BQ460" s="1327"/>
      <c r="BR460" s="1327"/>
      <c r="BS460" s="1327"/>
      <c r="BT460" s="1327"/>
      <c r="BU460" s="1327"/>
      <c r="BV460" s="1327"/>
      <c r="BW460" s="1327"/>
      <c r="BX460" s="1327"/>
      <c r="BY460" s="1327"/>
      <c r="BZ460" s="1327"/>
      <c r="CA460" s="1327"/>
      <c r="CB460" s="1327"/>
      <c r="CC460" s="1327"/>
      <c r="CD460" s="1327"/>
      <c r="CE460" s="1327"/>
      <c r="CF460" s="1327"/>
      <c r="CG460" s="1327"/>
      <c r="CH460" s="1327"/>
      <c r="CI460" s="1327"/>
      <c r="CJ460" s="1327"/>
      <c r="CK460" s="1327"/>
      <c r="CL460" s="1327"/>
      <c r="CM460" s="1327"/>
      <c r="CN460" s="1327"/>
      <c r="CO460" s="1327"/>
      <c r="CP460" s="1327"/>
      <c r="CQ460" s="1327"/>
      <c r="CR460" s="1327"/>
      <c r="CS460" s="1327"/>
      <c r="CT460" s="1317"/>
      <c r="CU460" s="1317"/>
      <c r="CV460" s="1317"/>
      <c r="CW460" s="1317"/>
      <c r="CX460" s="1317"/>
      <c r="CY460" s="1317"/>
      <c r="CZ460" s="1317"/>
      <c r="DA460" s="1317"/>
      <c r="DB460" s="1317"/>
      <c r="DC460" s="1317"/>
      <c r="DD460" s="1317"/>
      <c r="DE460" s="1317"/>
      <c r="DF460" s="1317"/>
      <c r="DG460" s="1317"/>
    </row>
    <row r="461" ht="18.75" customHeight="1">
      <c r="G461" s="1344"/>
      <c r="H461" s="1345">
        <f t="shared" si="4"/>
        <v>0</v>
      </c>
      <c r="I461" s="1381"/>
      <c r="J461" s="1381"/>
      <c r="K461" s="1381"/>
      <c r="L461" s="1381"/>
      <c r="M461" s="1381"/>
      <c r="N461" s="1381"/>
      <c r="O461" s="1381"/>
      <c r="P461" s="1381"/>
      <c r="Q461" s="1381"/>
      <c r="R461" s="1381"/>
      <c r="T461" s="1349"/>
      <c r="U461" s="1349" t="s">
        <v>123</v>
      </c>
      <c r="V461" s="1349" t="s">
        <v>123</v>
      </c>
      <c r="W461" s="1349"/>
      <c r="X461" s="1349"/>
      <c r="Y461" s="1308"/>
      <c r="Z461" s="437" t="str">
        <f>IFERROR(__xludf.DUMMYFUNCTION("IF(NOT('portfólio'!$AV$7),"""",IF($T461="""","""",IFERROR(query({AtivosDados},""select sum(""&amp;Z$3&amp;"") where Col1='""&amp;$T461&amp;""' label sum(""&amp;Z$3&amp;"") ''""),0)))"),"")</f>
        <v/>
      </c>
      <c r="AA461" s="437" t="str">
        <f>IFERROR(__xludf.DUMMYFUNCTION("IF(NOT('portfólio'!$AV$7),"""",IF($T461="""","""",IFERROR(query({AtivosDados},""select sum(""&amp;AA$3&amp;"") where Col1='""&amp;$T461&amp;""' label sum(""&amp;AA$3&amp;"") ''""),0)))"),"")</f>
        <v/>
      </c>
      <c r="AB461" s="437" t="str">
        <f>IFERROR(__xludf.DUMMYFUNCTION("IF(NOT('portfólio'!$AV$7),"""",IF($T461="""","""",IFERROR(query({AtivosDados},""select sum(""&amp;AB$3&amp;"") where Col1='""&amp;$T461&amp;""' label sum(""&amp;AB$3&amp;"") ''""),0)))"),"")</f>
        <v/>
      </c>
      <c r="AC461" s="437" t="str">
        <f>IFERROR(__xludf.DUMMYFUNCTION("IF(NOT('portfólio'!$AV$7),"""",IF($T461="""","""",IFERROR(query({AtivosDados},""select sum(""&amp;AC$3&amp;"") where Col1='""&amp;$T461&amp;""' label sum(""&amp;AC$3&amp;"") ''""),0)))"),"")</f>
        <v/>
      </c>
      <c r="AD461" s="437" t="str">
        <f>IFERROR(__xludf.DUMMYFUNCTION("IF(NOT('portfólio'!$AV$7),"""",IF($T461="""","""",IFERROR(query({AtivosDados},""select sum(""&amp;AD$3&amp;"") where Col1='""&amp;$T461&amp;""' label sum(""&amp;AD$3&amp;"") ''""),0)))"),"")</f>
        <v/>
      </c>
      <c r="AE461" s="437"/>
      <c r="AF461" s="1327"/>
      <c r="AG461" s="437"/>
      <c r="AH461" s="437"/>
      <c r="AI461" s="437"/>
      <c r="AJ461" s="437"/>
      <c r="AK461" s="437"/>
      <c r="AL461" s="437"/>
      <c r="AM461" s="437"/>
      <c r="AN461" s="437"/>
      <c r="AO461" s="437"/>
      <c r="AP461" s="437"/>
      <c r="AQ461" s="1327"/>
      <c r="AR461" s="437"/>
      <c r="AS461" s="437"/>
      <c r="AT461" s="437"/>
      <c r="AU461" s="437"/>
      <c r="AV461" s="437"/>
      <c r="AW461" s="437"/>
      <c r="AX461" s="437"/>
      <c r="AY461" s="437"/>
      <c r="AZ461" s="437"/>
      <c r="BA461" s="437"/>
      <c r="BB461" s="1327"/>
      <c r="BC461" s="437"/>
      <c r="BD461" s="437"/>
      <c r="BE461" s="437"/>
      <c r="BF461" s="437"/>
      <c r="BG461" s="437"/>
      <c r="BH461" s="437"/>
      <c r="BI461" s="437"/>
      <c r="BJ461" s="437"/>
      <c r="BK461" s="437"/>
      <c r="BL461" s="437"/>
      <c r="BM461" s="1327"/>
      <c r="BN461" s="1327"/>
      <c r="BO461" s="1327"/>
      <c r="BP461" s="1327"/>
      <c r="BQ461" s="1327"/>
      <c r="BR461" s="1327"/>
      <c r="BS461" s="1327"/>
      <c r="BT461" s="1327"/>
      <c r="BU461" s="1327"/>
      <c r="BV461" s="1327"/>
      <c r="BW461" s="1327"/>
      <c r="BX461" s="1327"/>
      <c r="BY461" s="1327"/>
      <c r="BZ461" s="1327"/>
      <c r="CA461" s="1327"/>
      <c r="CB461" s="1327"/>
      <c r="CC461" s="1327"/>
      <c r="CD461" s="1327"/>
      <c r="CE461" s="1327"/>
      <c r="CF461" s="1327"/>
      <c r="CG461" s="1327"/>
      <c r="CH461" s="1327"/>
      <c r="CI461" s="1327"/>
      <c r="CJ461" s="1327"/>
      <c r="CK461" s="1327"/>
      <c r="CL461" s="1327"/>
      <c r="CM461" s="1327"/>
      <c r="CN461" s="1327"/>
      <c r="CO461" s="1327"/>
      <c r="CP461" s="1327"/>
      <c r="CQ461" s="1327"/>
      <c r="CR461" s="1327"/>
      <c r="CS461" s="1327"/>
      <c r="CT461" s="1317"/>
      <c r="CU461" s="1317"/>
      <c r="CV461" s="1317"/>
      <c r="CW461" s="1317"/>
      <c r="CX461" s="1317"/>
      <c r="CY461" s="1317"/>
      <c r="CZ461" s="1317"/>
      <c r="DA461" s="1317"/>
      <c r="DB461" s="1317"/>
      <c r="DC461" s="1317"/>
      <c r="DD461" s="1317"/>
      <c r="DE461" s="1317"/>
      <c r="DF461" s="1317"/>
      <c r="DG461" s="1317"/>
    </row>
    <row r="462" ht="18.75" customHeight="1">
      <c r="G462" s="1344"/>
      <c r="H462" s="1345">
        <f t="shared" si="4"/>
        <v>0</v>
      </c>
      <c r="I462" s="1381"/>
      <c r="J462" s="1381"/>
      <c r="K462" s="1381"/>
      <c r="L462" s="1381"/>
      <c r="M462" s="1381"/>
      <c r="N462" s="1381"/>
      <c r="O462" s="1381"/>
      <c r="P462" s="1381"/>
      <c r="Q462" s="1381"/>
      <c r="R462" s="1381"/>
      <c r="T462" s="1349"/>
      <c r="U462" s="1349" t="s">
        <v>123</v>
      </c>
      <c r="V462" s="1349" t="s">
        <v>123</v>
      </c>
      <c r="W462" s="1349"/>
      <c r="X462" s="1349"/>
      <c r="Y462" s="1308"/>
      <c r="Z462" s="437" t="str">
        <f>IFERROR(__xludf.DUMMYFUNCTION("IF(NOT('portfólio'!$AV$7),"""",IF($T462="""","""",IFERROR(query({AtivosDados},""select sum(""&amp;Z$3&amp;"") where Col1='""&amp;$T462&amp;""' label sum(""&amp;Z$3&amp;"") ''""),0)))"),"")</f>
        <v/>
      </c>
      <c r="AA462" s="437" t="str">
        <f>IFERROR(__xludf.DUMMYFUNCTION("IF(NOT('portfólio'!$AV$7),"""",IF($T462="""","""",IFERROR(query({AtivosDados},""select sum(""&amp;AA$3&amp;"") where Col1='""&amp;$T462&amp;""' label sum(""&amp;AA$3&amp;"") ''""),0)))"),"")</f>
        <v/>
      </c>
      <c r="AB462" s="437" t="str">
        <f>IFERROR(__xludf.DUMMYFUNCTION("IF(NOT('portfólio'!$AV$7),"""",IF($T462="""","""",IFERROR(query({AtivosDados},""select sum(""&amp;AB$3&amp;"") where Col1='""&amp;$T462&amp;""' label sum(""&amp;AB$3&amp;"") ''""),0)))"),"")</f>
        <v/>
      </c>
      <c r="AC462" s="437" t="str">
        <f>IFERROR(__xludf.DUMMYFUNCTION("IF(NOT('portfólio'!$AV$7),"""",IF($T462="""","""",IFERROR(query({AtivosDados},""select sum(""&amp;AC$3&amp;"") where Col1='""&amp;$T462&amp;""' label sum(""&amp;AC$3&amp;"") ''""),0)))"),"")</f>
        <v/>
      </c>
      <c r="AD462" s="437" t="str">
        <f>IFERROR(__xludf.DUMMYFUNCTION("IF(NOT('portfólio'!$AV$7),"""",IF($T462="""","""",IFERROR(query({AtivosDados},""select sum(""&amp;AD$3&amp;"") where Col1='""&amp;$T462&amp;""' label sum(""&amp;AD$3&amp;"") ''""),0)))"),"")</f>
        <v/>
      </c>
      <c r="AE462" s="437"/>
      <c r="AF462" s="1327"/>
      <c r="AG462" s="437"/>
      <c r="AH462" s="437"/>
      <c r="AI462" s="437"/>
      <c r="AJ462" s="437"/>
      <c r="AK462" s="437"/>
      <c r="AL462" s="437"/>
      <c r="AM462" s="437"/>
      <c r="AN462" s="437"/>
      <c r="AO462" s="437"/>
      <c r="AP462" s="437"/>
      <c r="AQ462" s="1327"/>
      <c r="AR462" s="437"/>
      <c r="AS462" s="437"/>
      <c r="AT462" s="437"/>
      <c r="AU462" s="437"/>
      <c r="AV462" s="437"/>
      <c r="AW462" s="437"/>
      <c r="AX462" s="437"/>
      <c r="AY462" s="437"/>
      <c r="AZ462" s="437"/>
      <c r="BA462" s="437"/>
      <c r="BB462" s="1327"/>
      <c r="BC462" s="437"/>
      <c r="BD462" s="437"/>
      <c r="BE462" s="437"/>
      <c r="BF462" s="437"/>
      <c r="BG462" s="437"/>
      <c r="BH462" s="437"/>
      <c r="BI462" s="437"/>
      <c r="BJ462" s="437"/>
      <c r="BK462" s="437"/>
      <c r="BL462" s="437"/>
      <c r="BM462" s="1327"/>
      <c r="BN462" s="1327"/>
      <c r="BO462" s="1327"/>
      <c r="BP462" s="1327"/>
      <c r="BQ462" s="1327"/>
      <c r="BR462" s="1327"/>
      <c r="BS462" s="1327"/>
      <c r="BT462" s="1327"/>
      <c r="BU462" s="1327"/>
      <c r="BV462" s="1327"/>
      <c r="BW462" s="1327"/>
      <c r="BX462" s="1327"/>
      <c r="BY462" s="1327"/>
      <c r="BZ462" s="1327"/>
      <c r="CA462" s="1327"/>
      <c r="CB462" s="1327"/>
      <c r="CC462" s="1327"/>
      <c r="CD462" s="1327"/>
      <c r="CE462" s="1327"/>
      <c r="CF462" s="1327"/>
      <c r="CG462" s="1327"/>
      <c r="CH462" s="1327"/>
      <c r="CI462" s="1327"/>
      <c r="CJ462" s="1327"/>
      <c r="CK462" s="1327"/>
      <c r="CL462" s="1327"/>
      <c r="CM462" s="1327"/>
      <c r="CN462" s="1327"/>
      <c r="CO462" s="1327"/>
      <c r="CP462" s="1327"/>
      <c r="CQ462" s="1327"/>
      <c r="CR462" s="1327"/>
      <c r="CS462" s="1327"/>
      <c r="CT462" s="1317"/>
      <c r="CU462" s="1317"/>
      <c r="CV462" s="1317"/>
      <c r="CW462" s="1317"/>
      <c r="CX462" s="1317"/>
      <c r="CY462" s="1317"/>
      <c r="CZ462" s="1317"/>
      <c r="DA462" s="1317"/>
      <c r="DB462" s="1317"/>
      <c r="DC462" s="1317"/>
      <c r="DD462" s="1317"/>
      <c r="DE462" s="1317"/>
      <c r="DF462" s="1317"/>
      <c r="DG462" s="1317"/>
    </row>
    <row r="463" ht="18.75" customHeight="1">
      <c r="G463" s="1344"/>
      <c r="H463" s="1345">
        <f t="shared" si="4"/>
        <v>0</v>
      </c>
      <c r="I463" s="1381"/>
      <c r="J463" s="1381"/>
      <c r="K463" s="1381"/>
      <c r="L463" s="1381"/>
      <c r="M463" s="1381"/>
      <c r="N463" s="1381"/>
      <c r="O463" s="1381"/>
      <c r="P463" s="1381"/>
      <c r="Q463" s="1381"/>
      <c r="R463" s="1381"/>
      <c r="T463" s="1349"/>
      <c r="U463" s="1349" t="s">
        <v>123</v>
      </c>
      <c r="V463" s="1349" t="s">
        <v>123</v>
      </c>
      <c r="W463" s="1349"/>
      <c r="X463" s="1349"/>
      <c r="Y463" s="1308"/>
      <c r="Z463" s="437" t="str">
        <f>IFERROR(__xludf.DUMMYFUNCTION("IF(NOT('portfólio'!$AV$7),"""",IF($T463="""","""",IFERROR(query({AtivosDados},""select sum(""&amp;Z$3&amp;"") where Col1='""&amp;$T463&amp;""' label sum(""&amp;Z$3&amp;"") ''""),0)))"),"")</f>
        <v/>
      </c>
      <c r="AA463" s="437" t="str">
        <f>IFERROR(__xludf.DUMMYFUNCTION("IF(NOT('portfólio'!$AV$7),"""",IF($T463="""","""",IFERROR(query({AtivosDados},""select sum(""&amp;AA$3&amp;"") where Col1='""&amp;$T463&amp;""' label sum(""&amp;AA$3&amp;"") ''""),0)))"),"")</f>
        <v/>
      </c>
      <c r="AB463" s="437" t="str">
        <f>IFERROR(__xludf.DUMMYFUNCTION("IF(NOT('portfólio'!$AV$7),"""",IF($T463="""","""",IFERROR(query({AtivosDados},""select sum(""&amp;AB$3&amp;"") where Col1='""&amp;$T463&amp;""' label sum(""&amp;AB$3&amp;"") ''""),0)))"),"")</f>
        <v/>
      </c>
      <c r="AC463" s="437" t="str">
        <f>IFERROR(__xludf.DUMMYFUNCTION("IF(NOT('portfólio'!$AV$7),"""",IF($T463="""","""",IFERROR(query({AtivosDados},""select sum(""&amp;AC$3&amp;"") where Col1='""&amp;$T463&amp;""' label sum(""&amp;AC$3&amp;"") ''""),0)))"),"")</f>
        <v/>
      </c>
      <c r="AD463" s="437" t="str">
        <f>IFERROR(__xludf.DUMMYFUNCTION("IF(NOT('portfólio'!$AV$7),"""",IF($T463="""","""",IFERROR(query({AtivosDados},""select sum(""&amp;AD$3&amp;"") where Col1='""&amp;$T463&amp;""' label sum(""&amp;AD$3&amp;"") ''""),0)))"),"")</f>
        <v/>
      </c>
      <c r="AE463" s="437"/>
      <c r="AF463" s="1327"/>
      <c r="AG463" s="437"/>
      <c r="AH463" s="437"/>
      <c r="AI463" s="437"/>
      <c r="AJ463" s="437"/>
      <c r="AK463" s="437"/>
      <c r="AL463" s="437"/>
      <c r="AM463" s="437"/>
      <c r="AN463" s="437"/>
      <c r="AO463" s="437"/>
      <c r="AP463" s="437"/>
      <c r="AQ463" s="1327"/>
      <c r="AR463" s="437"/>
      <c r="AS463" s="437"/>
      <c r="AT463" s="437"/>
      <c r="AU463" s="437"/>
      <c r="AV463" s="437"/>
      <c r="AW463" s="437"/>
      <c r="AX463" s="437"/>
      <c r="AY463" s="437"/>
      <c r="AZ463" s="437"/>
      <c r="BA463" s="437"/>
      <c r="BB463" s="1327"/>
      <c r="BC463" s="437"/>
      <c r="BD463" s="437"/>
      <c r="BE463" s="437"/>
      <c r="BF463" s="437"/>
      <c r="BG463" s="437"/>
      <c r="BH463" s="437"/>
      <c r="BI463" s="437"/>
      <c r="BJ463" s="437"/>
      <c r="BK463" s="437"/>
      <c r="BL463" s="437"/>
      <c r="BM463" s="1327"/>
      <c r="BN463" s="1327"/>
      <c r="BO463" s="1327"/>
      <c r="BP463" s="1327"/>
      <c r="BQ463" s="1327"/>
      <c r="BR463" s="1327"/>
      <c r="BS463" s="1327"/>
      <c r="BT463" s="1327"/>
      <c r="BU463" s="1327"/>
      <c r="BV463" s="1327"/>
      <c r="BW463" s="1327"/>
      <c r="BX463" s="1327"/>
      <c r="BY463" s="1327"/>
      <c r="BZ463" s="1327"/>
      <c r="CA463" s="1327"/>
      <c r="CB463" s="1327"/>
      <c r="CC463" s="1327"/>
      <c r="CD463" s="1327"/>
      <c r="CE463" s="1327"/>
      <c r="CF463" s="1327"/>
      <c r="CG463" s="1327"/>
      <c r="CH463" s="1327"/>
      <c r="CI463" s="1327"/>
      <c r="CJ463" s="1327"/>
      <c r="CK463" s="1327"/>
      <c r="CL463" s="1327"/>
      <c r="CM463" s="1327"/>
      <c r="CN463" s="1327"/>
      <c r="CO463" s="1327"/>
      <c r="CP463" s="1327"/>
      <c r="CQ463" s="1327"/>
      <c r="CR463" s="1327"/>
      <c r="CS463" s="1327"/>
      <c r="CT463" s="1317"/>
      <c r="CU463" s="1317"/>
      <c r="CV463" s="1317"/>
      <c r="CW463" s="1317"/>
      <c r="CX463" s="1317"/>
      <c r="CY463" s="1317"/>
      <c r="CZ463" s="1317"/>
      <c r="DA463" s="1317"/>
      <c r="DB463" s="1317"/>
      <c r="DC463" s="1317"/>
      <c r="DD463" s="1317"/>
      <c r="DE463" s="1317"/>
      <c r="DF463" s="1317"/>
      <c r="DG463" s="1317"/>
    </row>
    <row r="464" ht="18.75" customHeight="1">
      <c r="G464" s="1344"/>
      <c r="H464" s="1345">
        <f t="shared" si="4"/>
        <v>0</v>
      </c>
      <c r="I464" s="1381"/>
      <c r="J464" s="1381"/>
      <c r="K464" s="1381"/>
      <c r="L464" s="1381"/>
      <c r="M464" s="1381"/>
      <c r="N464" s="1381"/>
      <c r="O464" s="1381"/>
      <c r="P464" s="1381"/>
      <c r="Q464" s="1381"/>
      <c r="R464" s="1381"/>
      <c r="T464" s="1349"/>
      <c r="U464" s="1349" t="s">
        <v>123</v>
      </c>
      <c r="V464" s="1349" t="s">
        <v>123</v>
      </c>
      <c r="W464" s="1349"/>
      <c r="X464" s="1349"/>
      <c r="Y464" s="1308"/>
      <c r="Z464" s="437" t="str">
        <f>IFERROR(__xludf.DUMMYFUNCTION("IF(NOT('portfólio'!$AV$7),"""",IF($T464="""","""",IFERROR(query({AtivosDados},""select sum(""&amp;Z$3&amp;"") where Col1='""&amp;$T464&amp;""' label sum(""&amp;Z$3&amp;"") ''""),0)))"),"")</f>
        <v/>
      </c>
      <c r="AA464" s="437" t="str">
        <f>IFERROR(__xludf.DUMMYFUNCTION("IF(NOT('portfólio'!$AV$7),"""",IF($T464="""","""",IFERROR(query({AtivosDados},""select sum(""&amp;AA$3&amp;"") where Col1='""&amp;$T464&amp;""' label sum(""&amp;AA$3&amp;"") ''""),0)))"),"")</f>
        <v/>
      </c>
      <c r="AB464" s="437" t="str">
        <f>IFERROR(__xludf.DUMMYFUNCTION("IF(NOT('portfólio'!$AV$7),"""",IF($T464="""","""",IFERROR(query({AtivosDados},""select sum(""&amp;AB$3&amp;"") where Col1='""&amp;$T464&amp;""' label sum(""&amp;AB$3&amp;"") ''""),0)))"),"")</f>
        <v/>
      </c>
      <c r="AC464" s="437" t="str">
        <f>IFERROR(__xludf.DUMMYFUNCTION("IF(NOT('portfólio'!$AV$7),"""",IF($T464="""","""",IFERROR(query({AtivosDados},""select sum(""&amp;AC$3&amp;"") where Col1='""&amp;$T464&amp;""' label sum(""&amp;AC$3&amp;"") ''""),0)))"),"")</f>
        <v/>
      </c>
      <c r="AD464" s="437" t="str">
        <f>IFERROR(__xludf.DUMMYFUNCTION("IF(NOT('portfólio'!$AV$7),"""",IF($T464="""","""",IFERROR(query({AtivosDados},""select sum(""&amp;AD$3&amp;"") where Col1='""&amp;$T464&amp;""' label sum(""&amp;AD$3&amp;"") ''""),0)))"),"")</f>
        <v/>
      </c>
      <c r="AE464" s="437"/>
      <c r="AF464" s="1327"/>
      <c r="AG464" s="437"/>
      <c r="AH464" s="437"/>
      <c r="AI464" s="437"/>
      <c r="AJ464" s="437"/>
      <c r="AK464" s="437"/>
      <c r="AL464" s="437"/>
      <c r="AM464" s="437"/>
      <c r="AN464" s="437"/>
      <c r="AO464" s="437"/>
      <c r="AP464" s="437"/>
      <c r="AQ464" s="1327"/>
      <c r="AR464" s="437"/>
      <c r="AS464" s="437"/>
      <c r="AT464" s="437"/>
      <c r="AU464" s="437"/>
      <c r="AV464" s="437"/>
      <c r="AW464" s="437"/>
      <c r="AX464" s="437"/>
      <c r="AY464" s="437"/>
      <c r="AZ464" s="437"/>
      <c r="BA464" s="437"/>
      <c r="BB464" s="1327"/>
      <c r="BC464" s="437"/>
      <c r="BD464" s="437"/>
      <c r="BE464" s="437"/>
      <c r="BF464" s="437"/>
      <c r="BG464" s="437"/>
      <c r="BH464" s="437"/>
      <c r="BI464" s="437"/>
      <c r="BJ464" s="437"/>
      <c r="BK464" s="437"/>
      <c r="BL464" s="437"/>
      <c r="BM464" s="1327"/>
      <c r="BN464" s="1327"/>
      <c r="BO464" s="1327"/>
      <c r="BP464" s="1327"/>
      <c r="BQ464" s="1327"/>
      <c r="BR464" s="1327"/>
      <c r="BS464" s="1327"/>
      <c r="BT464" s="1327"/>
      <c r="BU464" s="1327"/>
      <c r="BV464" s="1327"/>
      <c r="BW464" s="1327"/>
      <c r="BX464" s="1327"/>
      <c r="BY464" s="1327"/>
      <c r="BZ464" s="1327"/>
      <c r="CA464" s="1327"/>
      <c r="CB464" s="1327"/>
      <c r="CC464" s="1327"/>
      <c r="CD464" s="1327"/>
      <c r="CE464" s="1327"/>
      <c r="CF464" s="1327"/>
      <c r="CG464" s="1327"/>
      <c r="CH464" s="1327"/>
      <c r="CI464" s="1327"/>
      <c r="CJ464" s="1327"/>
      <c r="CK464" s="1327"/>
      <c r="CL464" s="1327"/>
      <c r="CM464" s="1327"/>
      <c r="CN464" s="1327"/>
      <c r="CO464" s="1327"/>
      <c r="CP464" s="1327"/>
      <c r="CQ464" s="1327"/>
      <c r="CR464" s="1327"/>
      <c r="CS464" s="1327"/>
      <c r="CT464" s="1317"/>
      <c r="CU464" s="1317"/>
      <c r="CV464" s="1317"/>
      <c r="CW464" s="1317"/>
      <c r="CX464" s="1317"/>
      <c r="CY464" s="1317"/>
      <c r="CZ464" s="1317"/>
      <c r="DA464" s="1317"/>
      <c r="DB464" s="1317"/>
      <c r="DC464" s="1317"/>
      <c r="DD464" s="1317"/>
      <c r="DE464" s="1317"/>
      <c r="DF464" s="1317"/>
      <c r="DG464" s="1317"/>
    </row>
    <row r="465" ht="18.75" customHeight="1">
      <c r="G465" s="1344"/>
      <c r="H465" s="1345">
        <f t="shared" si="4"/>
        <v>0</v>
      </c>
      <c r="I465" s="1381"/>
      <c r="J465" s="1381"/>
      <c r="K465" s="1381"/>
      <c r="L465" s="1381"/>
      <c r="M465" s="1381"/>
      <c r="N465" s="1381"/>
      <c r="O465" s="1381"/>
      <c r="P465" s="1381"/>
      <c r="Q465" s="1381"/>
      <c r="R465" s="1381"/>
      <c r="T465" s="1349"/>
      <c r="U465" s="1349" t="s">
        <v>123</v>
      </c>
      <c r="V465" s="1349" t="s">
        <v>123</v>
      </c>
      <c r="W465" s="1349"/>
      <c r="X465" s="1349"/>
      <c r="Y465" s="1308"/>
      <c r="Z465" s="437" t="str">
        <f>IFERROR(__xludf.DUMMYFUNCTION("IF(NOT('portfólio'!$AV$7),"""",IF($T465="""","""",IFERROR(query({AtivosDados},""select sum(""&amp;Z$3&amp;"") where Col1='""&amp;$T465&amp;""' label sum(""&amp;Z$3&amp;"") ''""),0)))"),"")</f>
        <v/>
      </c>
      <c r="AA465" s="437" t="str">
        <f>IFERROR(__xludf.DUMMYFUNCTION("IF(NOT('portfólio'!$AV$7),"""",IF($T465="""","""",IFERROR(query({AtivosDados},""select sum(""&amp;AA$3&amp;"") where Col1='""&amp;$T465&amp;""' label sum(""&amp;AA$3&amp;"") ''""),0)))"),"")</f>
        <v/>
      </c>
      <c r="AB465" s="437" t="str">
        <f>IFERROR(__xludf.DUMMYFUNCTION("IF(NOT('portfólio'!$AV$7),"""",IF($T465="""","""",IFERROR(query({AtivosDados},""select sum(""&amp;AB$3&amp;"") where Col1='""&amp;$T465&amp;""' label sum(""&amp;AB$3&amp;"") ''""),0)))"),"")</f>
        <v/>
      </c>
      <c r="AC465" s="437" t="str">
        <f>IFERROR(__xludf.DUMMYFUNCTION("IF(NOT('portfólio'!$AV$7),"""",IF($T465="""","""",IFERROR(query({AtivosDados},""select sum(""&amp;AC$3&amp;"") where Col1='""&amp;$T465&amp;""' label sum(""&amp;AC$3&amp;"") ''""),0)))"),"")</f>
        <v/>
      </c>
      <c r="AD465" s="437" t="str">
        <f>IFERROR(__xludf.DUMMYFUNCTION("IF(NOT('portfólio'!$AV$7),"""",IF($T465="""","""",IFERROR(query({AtivosDados},""select sum(""&amp;AD$3&amp;"") where Col1='""&amp;$T465&amp;""' label sum(""&amp;AD$3&amp;"") ''""),0)))"),"")</f>
        <v/>
      </c>
      <c r="AE465" s="437"/>
      <c r="AF465" s="1327"/>
      <c r="AG465" s="437"/>
      <c r="AH465" s="437"/>
      <c r="AI465" s="437"/>
      <c r="AJ465" s="437"/>
      <c r="AK465" s="437"/>
      <c r="AL465" s="437"/>
      <c r="AM465" s="437"/>
      <c r="AN465" s="437"/>
      <c r="AO465" s="437"/>
      <c r="AP465" s="437"/>
      <c r="AQ465" s="1327"/>
      <c r="AR465" s="437"/>
      <c r="AS465" s="437"/>
      <c r="AT465" s="437"/>
      <c r="AU465" s="437"/>
      <c r="AV465" s="437"/>
      <c r="AW465" s="437"/>
      <c r="AX465" s="437"/>
      <c r="AY465" s="437"/>
      <c r="AZ465" s="437"/>
      <c r="BA465" s="437"/>
      <c r="BB465" s="1327"/>
      <c r="BC465" s="437"/>
      <c r="BD465" s="437"/>
      <c r="BE465" s="437"/>
      <c r="BF465" s="437"/>
      <c r="BG465" s="437"/>
      <c r="BH465" s="437"/>
      <c r="BI465" s="437"/>
      <c r="BJ465" s="437"/>
      <c r="BK465" s="437"/>
      <c r="BL465" s="437"/>
      <c r="BM465" s="1327"/>
      <c r="BN465" s="1327"/>
      <c r="BO465" s="1327"/>
      <c r="BP465" s="1327"/>
      <c r="BQ465" s="1327"/>
      <c r="BR465" s="1327"/>
      <c r="BS465" s="1327"/>
      <c r="BT465" s="1327"/>
      <c r="BU465" s="1327"/>
      <c r="BV465" s="1327"/>
      <c r="BW465" s="1327"/>
      <c r="BX465" s="1327"/>
      <c r="BY465" s="1327"/>
      <c r="BZ465" s="1327"/>
      <c r="CA465" s="1327"/>
      <c r="CB465" s="1327"/>
      <c r="CC465" s="1327"/>
      <c r="CD465" s="1327"/>
      <c r="CE465" s="1327"/>
      <c r="CF465" s="1327"/>
      <c r="CG465" s="1327"/>
      <c r="CH465" s="1327"/>
      <c r="CI465" s="1327"/>
      <c r="CJ465" s="1327"/>
      <c r="CK465" s="1327"/>
      <c r="CL465" s="1327"/>
      <c r="CM465" s="1327"/>
      <c r="CN465" s="1327"/>
      <c r="CO465" s="1327"/>
      <c r="CP465" s="1327"/>
      <c r="CQ465" s="1327"/>
      <c r="CR465" s="1327"/>
      <c r="CS465" s="1327"/>
      <c r="CT465" s="1317"/>
      <c r="CU465" s="1317"/>
      <c r="CV465" s="1317"/>
      <c r="CW465" s="1317"/>
      <c r="CX465" s="1317"/>
      <c r="CY465" s="1317"/>
      <c r="CZ465" s="1317"/>
      <c r="DA465" s="1317"/>
      <c r="DB465" s="1317"/>
      <c r="DC465" s="1317"/>
      <c r="DD465" s="1317"/>
      <c r="DE465" s="1317"/>
      <c r="DF465" s="1317"/>
      <c r="DG465" s="1317"/>
    </row>
    <row r="466" ht="18.75" customHeight="1">
      <c r="G466" s="1344"/>
      <c r="H466" s="1345">
        <f t="shared" si="4"/>
        <v>0</v>
      </c>
      <c r="I466" s="1381"/>
      <c r="J466" s="1381"/>
      <c r="K466" s="1381"/>
      <c r="L466" s="1381"/>
      <c r="M466" s="1381"/>
      <c r="N466" s="1381"/>
      <c r="O466" s="1381"/>
      <c r="P466" s="1381"/>
      <c r="Q466" s="1381"/>
      <c r="R466" s="1381"/>
      <c r="T466" s="1349"/>
      <c r="U466" s="1349" t="s">
        <v>123</v>
      </c>
      <c r="V466" s="1349" t="s">
        <v>123</v>
      </c>
      <c r="W466" s="1349"/>
      <c r="X466" s="1349"/>
      <c r="Y466" s="1308"/>
      <c r="Z466" s="437" t="str">
        <f>IFERROR(__xludf.DUMMYFUNCTION("IF(NOT('portfólio'!$AV$7),"""",IF($T466="""","""",IFERROR(query({AtivosDados},""select sum(""&amp;Z$3&amp;"") where Col1='""&amp;$T466&amp;""' label sum(""&amp;Z$3&amp;"") ''""),0)))"),"")</f>
        <v/>
      </c>
      <c r="AA466" s="437" t="str">
        <f>IFERROR(__xludf.DUMMYFUNCTION("IF(NOT('portfólio'!$AV$7),"""",IF($T466="""","""",IFERROR(query({AtivosDados},""select sum(""&amp;AA$3&amp;"") where Col1='""&amp;$T466&amp;""' label sum(""&amp;AA$3&amp;"") ''""),0)))"),"")</f>
        <v/>
      </c>
      <c r="AB466" s="437" t="str">
        <f>IFERROR(__xludf.DUMMYFUNCTION("IF(NOT('portfólio'!$AV$7),"""",IF($T466="""","""",IFERROR(query({AtivosDados},""select sum(""&amp;AB$3&amp;"") where Col1='""&amp;$T466&amp;""' label sum(""&amp;AB$3&amp;"") ''""),0)))"),"")</f>
        <v/>
      </c>
      <c r="AC466" s="437" t="str">
        <f>IFERROR(__xludf.DUMMYFUNCTION("IF(NOT('portfólio'!$AV$7),"""",IF($T466="""","""",IFERROR(query({AtivosDados},""select sum(""&amp;AC$3&amp;"") where Col1='""&amp;$T466&amp;""' label sum(""&amp;AC$3&amp;"") ''""),0)))"),"")</f>
        <v/>
      </c>
      <c r="AD466" s="437" t="str">
        <f>IFERROR(__xludf.DUMMYFUNCTION("IF(NOT('portfólio'!$AV$7),"""",IF($T466="""","""",IFERROR(query({AtivosDados},""select sum(""&amp;AD$3&amp;"") where Col1='""&amp;$T466&amp;""' label sum(""&amp;AD$3&amp;"") ''""),0)))"),"")</f>
        <v/>
      </c>
      <c r="AE466" s="437"/>
      <c r="AF466" s="1327"/>
      <c r="AG466" s="437"/>
      <c r="AH466" s="437"/>
      <c r="AI466" s="437"/>
      <c r="AJ466" s="437"/>
      <c r="AK466" s="437"/>
      <c r="AL466" s="437"/>
      <c r="AM466" s="437"/>
      <c r="AN466" s="437"/>
      <c r="AO466" s="437"/>
      <c r="AP466" s="437"/>
      <c r="AQ466" s="1327"/>
      <c r="AR466" s="437"/>
      <c r="AS466" s="437"/>
      <c r="AT466" s="437"/>
      <c r="AU466" s="437"/>
      <c r="AV466" s="437"/>
      <c r="AW466" s="437"/>
      <c r="AX466" s="437"/>
      <c r="AY466" s="437"/>
      <c r="AZ466" s="437"/>
      <c r="BA466" s="437"/>
      <c r="BB466" s="1327"/>
      <c r="BC466" s="437"/>
      <c r="BD466" s="437"/>
      <c r="BE466" s="437"/>
      <c r="BF466" s="437"/>
      <c r="BG466" s="437"/>
      <c r="BH466" s="437"/>
      <c r="BI466" s="437"/>
      <c r="BJ466" s="437"/>
      <c r="BK466" s="437"/>
      <c r="BL466" s="437"/>
      <c r="BM466" s="1327"/>
      <c r="BN466" s="1327"/>
      <c r="BO466" s="1327"/>
      <c r="BP466" s="1327"/>
      <c r="BQ466" s="1327"/>
      <c r="BR466" s="1327"/>
      <c r="BS466" s="1327"/>
      <c r="BT466" s="1327"/>
      <c r="BU466" s="1327"/>
      <c r="BV466" s="1327"/>
      <c r="BW466" s="1327"/>
      <c r="BX466" s="1327"/>
      <c r="BY466" s="1327"/>
      <c r="BZ466" s="1327"/>
      <c r="CA466" s="1327"/>
      <c r="CB466" s="1327"/>
      <c r="CC466" s="1327"/>
      <c r="CD466" s="1327"/>
      <c r="CE466" s="1327"/>
      <c r="CF466" s="1327"/>
      <c r="CG466" s="1327"/>
      <c r="CH466" s="1327"/>
      <c r="CI466" s="1327"/>
      <c r="CJ466" s="1327"/>
      <c r="CK466" s="1327"/>
      <c r="CL466" s="1327"/>
      <c r="CM466" s="1327"/>
      <c r="CN466" s="1327"/>
      <c r="CO466" s="1327"/>
      <c r="CP466" s="1327"/>
      <c r="CQ466" s="1327"/>
      <c r="CR466" s="1327"/>
      <c r="CS466" s="1327"/>
      <c r="CT466" s="1317"/>
      <c r="CU466" s="1317"/>
      <c r="CV466" s="1317"/>
      <c r="CW466" s="1317"/>
      <c r="CX466" s="1317"/>
      <c r="CY466" s="1317"/>
      <c r="CZ466" s="1317"/>
      <c r="DA466" s="1317"/>
      <c r="DB466" s="1317"/>
      <c r="DC466" s="1317"/>
      <c r="DD466" s="1317"/>
      <c r="DE466" s="1317"/>
      <c r="DF466" s="1317"/>
      <c r="DG466" s="1317"/>
    </row>
    <row r="467" ht="18.75" customHeight="1">
      <c r="G467" s="1344"/>
      <c r="H467" s="1345">
        <f t="shared" si="4"/>
        <v>0</v>
      </c>
      <c r="I467" s="1381"/>
      <c r="J467" s="1381"/>
      <c r="K467" s="1381"/>
      <c r="L467" s="1381"/>
      <c r="M467" s="1381"/>
      <c r="N467" s="1381"/>
      <c r="O467" s="1381"/>
      <c r="P467" s="1381"/>
      <c r="Q467" s="1381"/>
      <c r="R467" s="1381"/>
      <c r="T467" s="1349"/>
      <c r="U467" s="1349" t="s">
        <v>123</v>
      </c>
      <c r="V467" s="1349" t="s">
        <v>123</v>
      </c>
      <c r="W467" s="1349"/>
      <c r="X467" s="1349"/>
      <c r="Y467" s="1308"/>
      <c r="Z467" s="437" t="str">
        <f>IFERROR(__xludf.DUMMYFUNCTION("IF(NOT('portfólio'!$AV$7),"""",IF($T467="""","""",IFERROR(query({AtivosDados},""select sum(""&amp;Z$3&amp;"") where Col1='""&amp;$T467&amp;""' label sum(""&amp;Z$3&amp;"") ''""),0)))"),"")</f>
        <v/>
      </c>
      <c r="AA467" s="437" t="str">
        <f>IFERROR(__xludf.DUMMYFUNCTION("IF(NOT('portfólio'!$AV$7),"""",IF($T467="""","""",IFERROR(query({AtivosDados},""select sum(""&amp;AA$3&amp;"") where Col1='""&amp;$T467&amp;""' label sum(""&amp;AA$3&amp;"") ''""),0)))"),"")</f>
        <v/>
      </c>
      <c r="AB467" s="437" t="str">
        <f>IFERROR(__xludf.DUMMYFUNCTION("IF(NOT('portfólio'!$AV$7),"""",IF($T467="""","""",IFERROR(query({AtivosDados},""select sum(""&amp;AB$3&amp;"") where Col1='""&amp;$T467&amp;""' label sum(""&amp;AB$3&amp;"") ''""),0)))"),"")</f>
        <v/>
      </c>
      <c r="AC467" s="437" t="str">
        <f>IFERROR(__xludf.DUMMYFUNCTION("IF(NOT('portfólio'!$AV$7),"""",IF($T467="""","""",IFERROR(query({AtivosDados},""select sum(""&amp;AC$3&amp;"") where Col1='""&amp;$T467&amp;""' label sum(""&amp;AC$3&amp;"") ''""),0)))"),"")</f>
        <v/>
      </c>
      <c r="AD467" s="437" t="str">
        <f>IFERROR(__xludf.DUMMYFUNCTION("IF(NOT('portfólio'!$AV$7),"""",IF($T467="""","""",IFERROR(query({AtivosDados},""select sum(""&amp;AD$3&amp;"") where Col1='""&amp;$T467&amp;""' label sum(""&amp;AD$3&amp;"") ''""),0)))"),"")</f>
        <v/>
      </c>
      <c r="AE467" s="437"/>
      <c r="AF467" s="1327"/>
      <c r="AG467" s="437"/>
      <c r="AH467" s="437"/>
      <c r="AI467" s="437"/>
      <c r="AJ467" s="437"/>
      <c r="AK467" s="437"/>
      <c r="AL467" s="437"/>
      <c r="AM467" s="437"/>
      <c r="AN467" s="437"/>
      <c r="AO467" s="437"/>
      <c r="AP467" s="437"/>
      <c r="AQ467" s="1327"/>
      <c r="AR467" s="437"/>
      <c r="AS467" s="437"/>
      <c r="AT467" s="437"/>
      <c r="AU467" s="437"/>
      <c r="AV467" s="437"/>
      <c r="AW467" s="437"/>
      <c r="AX467" s="437"/>
      <c r="AY467" s="437"/>
      <c r="AZ467" s="437"/>
      <c r="BA467" s="437"/>
      <c r="BB467" s="1327"/>
      <c r="BC467" s="437"/>
      <c r="BD467" s="437"/>
      <c r="BE467" s="437"/>
      <c r="BF467" s="437"/>
      <c r="BG467" s="437"/>
      <c r="BH467" s="437"/>
      <c r="BI467" s="437"/>
      <c r="BJ467" s="437"/>
      <c r="BK467" s="437"/>
      <c r="BL467" s="437"/>
      <c r="BM467" s="1327"/>
      <c r="BN467" s="1327"/>
      <c r="BO467" s="1327"/>
      <c r="BP467" s="1327"/>
      <c r="BQ467" s="1327"/>
      <c r="BR467" s="1327"/>
      <c r="BS467" s="1327"/>
      <c r="BT467" s="1327"/>
      <c r="BU467" s="1327"/>
      <c r="BV467" s="1327"/>
      <c r="BW467" s="1327"/>
      <c r="BX467" s="1327"/>
      <c r="BY467" s="1327"/>
      <c r="BZ467" s="1327"/>
      <c r="CA467" s="1327"/>
      <c r="CB467" s="1327"/>
      <c r="CC467" s="1327"/>
      <c r="CD467" s="1327"/>
      <c r="CE467" s="1327"/>
      <c r="CF467" s="1327"/>
      <c r="CG467" s="1327"/>
      <c r="CH467" s="1327"/>
      <c r="CI467" s="1327"/>
      <c r="CJ467" s="1327"/>
      <c r="CK467" s="1327"/>
      <c r="CL467" s="1327"/>
      <c r="CM467" s="1327"/>
      <c r="CN467" s="1327"/>
      <c r="CO467" s="1327"/>
      <c r="CP467" s="1327"/>
      <c r="CQ467" s="1327"/>
      <c r="CR467" s="1327"/>
      <c r="CS467" s="1327"/>
      <c r="CT467" s="1317"/>
      <c r="CU467" s="1317"/>
      <c r="CV467" s="1317"/>
      <c r="CW467" s="1317"/>
      <c r="CX467" s="1317"/>
      <c r="CY467" s="1317"/>
      <c r="CZ467" s="1317"/>
      <c r="DA467" s="1317"/>
      <c r="DB467" s="1317"/>
      <c r="DC467" s="1317"/>
      <c r="DD467" s="1317"/>
      <c r="DE467" s="1317"/>
      <c r="DF467" s="1317"/>
      <c r="DG467" s="1317"/>
    </row>
    <row r="468" ht="18.75" customHeight="1">
      <c r="G468" s="1344"/>
      <c r="H468" s="1345">
        <f t="shared" si="4"/>
        <v>0</v>
      </c>
      <c r="I468" s="1381"/>
      <c r="J468" s="1381"/>
      <c r="K468" s="1381"/>
      <c r="L468" s="1381"/>
      <c r="M468" s="1381"/>
      <c r="N468" s="1381"/>
      <c r="O468" s="1381"/>
      <c r="P468" s="1381"/>
      <c r="Q468" s="1381"/>
      <c r="R468" s="1381"/>
      <c r="T468" s="1349"/>
      <c r="U468" s="1349" t="s">
        <v>123</v>
      </c>
      <c r="V468" s="1349" t="s">
        <v>123</v>
      </c>
      <c r="W468" s="1349"/>
      <c r="X468" s="1349"/>
      <c r="Y468" s="1308"/>
      <c r="Z468" s="437" t="str">
        <f>IFERROR(__xludf.DUMMYFUNCTION("IF(NOT('portfólio'!$AV$7),"""",IF($T468="""","""",IFERROR(query({AtivosDados},""select sum(""&amp;Z$3&amp;"") where Col1='""&amp;$T468&amp;""' label sum(""&amp;Z$3&amp;"") ''""),0)))"),"")</f>
        <v/>
      </c>
      <c r="AA468" s="437" t="str">
        <f>IFERROR(__xludf.DUMMYFUNCTION("IF(NOT('portfólio'!$AV$7),"""",IF($T468="""","""",IFERROR(query({AtivosDados},""select sum(""&amp;AA$3&amp;"") where Col1='""&amp;$T468&amp;""' label sum(""&amp;AA$3&amp;"") ''""),0)))"),"")</f>
        <v/>
      </c>
      <c r="AB468" s="437" t="str">
        <f>IFERROR(__xludf.DUMMYFUNCTION("IF(NOT('portfólio'!$AV$7),"""",IF($T468="""","""",IFERROR(query({AtivosDados},""select sum(""&amp;AB$3&amp;"") where Col1='""&amp;$T468&amp;""' label sum(""&amp;AB$3&amp;"") ''""),0)))"),"")</f>
        <v/>
      </c>
      <c r="AC468" s="437" t="str">
        <f>IFERROR(__xludf.DUMMYFUNCTION("IF(NOT('portfólio'!$AV$7),"""",IF($T468="""","""",IFERROR(query({AtivosDados},""select sum(""&amp;AC$3&amp;"") where Col1='""&amp;$T468&amp;""' label sum(""&amp;AC$3&amp;"") ''""),0)))"),"")</f>
        <v/>
      </c>
      <c r="AD468" s="437" t="str">
        <f>IFERROR(__xludf.DUMMYFUNCTION("IF(NOT('portfólio'!$AV$7),"""",IF($T468="""","""",IFERROR(query({AtivosDados},""select sum(""&amp;AD$3&amp;"") where Col1='""&amp;$T468&amp;""' label sum(""&amp;AD$3&amp;"") ''""),0)))"),"")</f>
        <v/>
      </c>
      <c r="AE468" s="437"/>
      <c r="AF468" s="1327"/>
      <c r="AG468" s="437"/>
      <c r="AH468" s="437"/>
      <c r="AI468" s="437"/>
      <c r="AJ468" s="437"/>
      <c r="AK468" s="437"/>
      <c r="AL468" s="437"/>
      <c r="AM468" s="437"/>
      <c r="AN468" s="437"/>
      <c r="AO468" s="437"/>
      <c r="AP468" s="437"/>
      <c r="AQ468" s="1327"/>
      <c r="AR468" s="437"/>
      <c r="AS468" s="437"/>
      <c r="AT468" s="437"/>
      <c r="AU468" s="437"/>
      <c r="AV468" s="437"/>
      <c r="AW468" s="437"/>
      <c r="AX468" s="437"/>
      <c r="AY468" s="437"/>
      <c r="AZ468" s="437"/>
      <c r="BA468" s="437"/>
      <c r="BB468" s="1327"/>
      <c r="BC468" s="437"/>
      <c r="BD468" s="437"/>
      <c r="BE468" s="437"/>
      <c r="BF468" s="437"/>
      <c r="BG468" s="437"/>
      <c r="BH468" s="437"/>
      <c r="BI468" s="437"/>
      <c r="BJ468" s="437"/>
      <c r="BK468" s="437"/>
      <c r="BL468" s="437"/>
      <c r="BM468" s="1327"/>
      <c r="BN468" s="1327"/>
      <c r="BO468" s="1327"/>
      <c r="BP468" s="1327"/>
      <c r="BQ468" s="1327"/>
      <c r="BR468" s="1327"/>
      <c r="BS468" s="1327"/>
      <c r="BT468" s="1327"/>
      <c r="BU468" s="1327"/>
      <c r="BV468" s="1327"/>
      <c r="BW468" s="1327"/>
      <c r="BX468" s="1327"/>
      <c r="BY468" s="1327"/>
      <c r="BZ468" s="1327"/>
      <c r="CA468" s="1327"/>
      <c r="CB468" s="1327"/>
      <c r="CC468" s="1327"/>
      <c r="CD468" s="1327"/>
      <c r="CE468" s="1327"/>
      <c r="CF468" s="1327"/>
      <c r="CG468" s="1327"/>
      <c r="CH468" s="1327"/>
      <c r="CI468" s="1327"/>
      <c r="CJ468" s="1327"/>
      <c r="CK468" s="1327"/>
      <c r="CL468" s="1327"/>
      <c r="CM468" s="1327"/>
      <c r="CN468" s="1327"/>
      <c r="CO468" s="1327"/>
      <c r="CP468" s="1327"/>
      <c r="CQ468" s="1327"/>
      <c r="CR468" s="1327"/>
      <c r="CS468" s="1327"/>
      <c r="CT468" s="1317"/>
      <c r="CU468" s="1317"/>
      <c r="CV468" s="1317"/>
      <c r="CW468" s="1317"/>
      <c r="CX468" s="1317"/>
      <c r="CY468" s="1317"/>
      <c r="CZ468" s="1317"/>
      <c r="DA468" s="1317"/>
      <c r="DB468" s="1317"/>
      <c r="DC468" s="1317"/>
      <c r="DD468" s="1317"/>
      <c r="DE468" s="1317"/>
      <c r="DF468" s="1317"/>
      <c r="DG468" s="1317"/>
    </row>
    <row r="469" ht="18.75" customHeight="1">
      <c r="G469" s="1344"/>
      <c r="H469" s="1345">
        <f t="shared" si="4"/>
        <v>0</v>
      </c>
      <c r="I469" s="1381"/>
      <c r="J469" s="1381"/>
      <c r="K469" s="1381"/>
      <c r="L469" s="1381"/>
      <c r="M469" s="1381"/>
      <c r="N469" s="1381"/>
      <c r="O469" s="1381"/>
      <c r="P469" s="1381"/>
      <c r="Q469" s="1381"/>
      <c r="R469" s="1381"/>
      <c r="T469" s="1349"/>
      <c r="U469" s="1349" t="s">
        <v>123</v>
      </c>
      <c r="V469" s="1349" t="s">
        <v>123</v>
      </c>
      <c r="W469" s="1349"/>
      <c r="X469" s="1349"/>
      <c r="Y469" s="1308"/>
      <c r="Z469" s="437" t="str">
        <f>IFERROR(__xludf.DUMMYFUNCTION("IF(NOT('portfólio'!$AV$7),"""",IF($T469="""","""",IFERROR(query({AtivosDados},""select sum(""&amp;Z$3&amp;"") where Col1='""&amp;$T469&amp;""' label sum(""&amp;Z$3&amp;"") ''""),0)))"),"")</f>
        <v/>
      </c>
      <c r="AA469" s="437" t="str">
        <f>IFERROR(__xludf.DUMMYFUNCTION("IF(NOT('portfólio'!$AV$7),"""",IF($T469="""","""",IFERROR(query({AtivosDados},""select sum(""&amp;AA$3&amp;"") where Col1='""&amp;$T469&amp;""' label sum(""&amp;AA$3&amp;"") ''""),0)))"),"")</f>
        <v/>
      </c>
      <c r="AB469" s="437" t="str">
        <f>IFERROR(__xludf.DUMMYFUNCTION("IF(NOT('portfólio'!$AV$7),"""",IF($T469="""","""",IFERROR(query({AtivosDados},""select sum(""&amp;AB$3&amp;"") where Col1='""&amp;$T469&amp;""' label sum(""&amp;AB$3&amp;"") ''""),0)))"),"")</f>
        <v/>
      </c>
      <c r="AC469" s="437" t="str">
        <f>IFERROR(__xludf.DUMMYFUNCTION("IF(NOT('portfólio'!$AV$7),"""",IF($T469="""","""",IFERROR(query({AtivosDados},""select sum(""&amp;AC$3&amp;"") where Col1='""&amp;$T469&amp;""' label sum(""&amp;AC$3&amp;"") ''""),0)))"),"")</f>
        <v/>
      </c>
      <c r="AD469" s="437" t="str">
        <f>IFERROR(__xludf.DUMMYFUNCTION("IF(NOT('portfólio'!$AV$7),"""",IF($T469="""","""",IFERROR(query({AtivosDados},""select sum(""&amp;AD$3&amp;"") where Col1='""&amp;$T469&amp;""' label sum(""&amp;AD$3&amp;"") ''""),0)))"),"")</f>
        <v/>
      </c>
      <c r="AE469" s="437"/>
      <c r="AF469" s="1327"/>
      <c r="AG469" s="437"/>
      <c r="AH469" s="437"/>
      <c r="AI469" s="437"/>
      <c r="AJ469" s="437"/>
      <c r="AK469" s="437"/>
      <c r="AL469" s="437"/>
      <c r="AM469" s="437"/>
      <c r="AN469" s="437"/>
      <c r="AO469" s="437"/>
      <c r="AP469" s="437"/>
      <c r="AQ469" s="1327"/>
      <c r="AR469" s="437"/>
      <c r="AS469" s="437"/>
      <c r="AT469" s="437"/>
      <c r="AU469" s="437"/>
      <c r="AV469" s="437"/>
      <c r="AW469" s="437"/>
      <c r="AX469" s="437"/>
      <c r="AY469" s="437"/>
      <c r="AZ469" s="437"/>
      <c r="BA469" s="437"/>
      <c r="BB469" s="1327"/>
      <c r="BC469" s="437"/>
      <c r="BD469" s="437"/>
      <c r="BE469" s="437"/>
      <c r="BF469" s="437"/>
      <c r="BG469" s="437"/>
      <c r="BH469" s="437"/>
      <c r="BI469" s="437"/>
      <c r="BJ469" s="437"/>
      <c r="BK469" s="437"/>
      <c r="BL469" s="437"/>
      <c r="BM469" s="1327"/>
      <c r="BN469" s="1327"/>
      <c r="BO469" s="1327"/>
      <c r="BP469" s="1327"/>
      <c r="BQ469" s="1327"/>
      <c r="BR469" s="1327"/>
      <c r="BS469" s="1327"/>
      <c r="BT469" s="1327"/>
      <c r="BU469" s="1327"/>
      <c r="BV469" s="1327"/>
      <c r="BW469" s="1327"/>
      <c r="BX469" s="1327"/>
      <c r="BY469" s="1327"/>
      <c r="BZ469" s="1327"/>
      <c r="CA469" s="1327"/>
      <c r="CB469" s="1327"/>
      <c r="CC469" s="1327"/>
      <c r="CD469" s="1327"/>
      <c r="CE469" s="1327"/>
      <c r="CF469" s="1327"/>
      <c r="CG469" s="1327"/>
      <c r="CH469" s="1327"/>
      <c r="CI469" s="1327"/>
      <c r="CJ469" s="1327"/>
      <c r="CK469" s="1327"/>
      <c r="CL469" s="1327"/>
      <c r="CM469" s="1327"/>
      <c r="CN469" s="1327"/>
      <c r="CO469" s="1327"/>
      <c r="CP469" s="1327"/>
      <c r="CQ469" s="1327"/>
      <c r="CR469" s="1327"/>
      <c r="CS469" s="1327"/>
      <c r="CT469" s="1317"/>
      <c r="CU469" s="1317"/>
      <c r="CV469" s="1317"/>
      <c r="CW469" s="1317"/>
      <c r="CX469" s="1317"/>
      <c r="CY469" s="1317"/>
      <c r="CZ469" s="1317"/>
      <c r="DA469" s="1317"/>
      <c r="DB469" s="1317"/>
      <c r="DC469" s="1317"/>
      <c r="DD469" s="1317"/>
      <c r="DE469" s="1317"/>
      <c r="DF469" s="1317"/>
      <c r="DG469" s="1317"/>
    </row>
    <row r="470" ht="18.75" customHeight="1">
      <c r="G470" s="1344"/>
      <c r="H470" s="1345">
        <f t="shared" si="4"/>
        <v>0</v>
      </c>
      <c r="I470" s="1381"/>
      <c r="J470" s="1381"/>
      <c r="K470" s="1381"/>
      <c r="L470" s="1381"/>
      <c r="M470" s="1381"/>
      <c r="N470" s="1381"/>
      <c r="O470" s="1381"/>
      <c r="P470" s="1381"/>
      <c r="Q470" s="1381"/>
      <c r="R470" s="1381"/>
      <c r="T470" s="1349"/>
      <c r="U470" s="1349" t="s">
        <v>123</v>
      </c>
      <c r="V470" s="1349" t="s">
        <v>123</v>
      </c>
      <c r="W470" s="1349"/>
      <c r="X470" s="1349"/>
      <c r="Y470" s="1308"/>
      <c r="Z470" s="437" t="str">
        <f>IFERROR(__xludf.DUMMYFUNCTION("IF(NOT('portfólio'!$AV$7),"""",IF($T470="""","""",IFERROR(query({AtivosDados},""select sum(""&amp;Z$3&amp;"") where Col1='""&amp;$T470&amp;""' label sum(""&amp;Z$3&amp;"") ''""),0)))"),"")</f>
        <v/>
      </c>
      <c r="AA470" s="437" t="str">
        <f>IFERROR(__xludf.DUMMYFUNCTION("IF(NOT('portfólio'!$AV$7),"""",IF($T470="""","""",IFERROR(query({AtivosDados},""select sum(""&amp;AA$3&amp;"") where Col1='""&amp;$T470&amp;""' label sum(""&amp;AA$3&amp;"") ''""),0)))"),"")</f>
        <v/>
      </c>
      <c r="AB470" s="437" t="str">
        <f>IFERROR(__xludf.DUMMYFUNCTION("IF(NOT('portfólio'!$AV$7),"""",IF($T470="""","""",IFERROR(query({AtivosDados},""select sum(""&amp;AB$3&amp;"") where Col1='""&amp;$T470&amp;""' label sum(""&amp;AB$3&amp;"") ''""),0)))"),"")</f>
        <v/>
      </c>
      <c r="AC470" s="437" t="str">
        <f>IFERROR(__xludf.DUMMYFUNCTION("IF(NOT('portfólio'!$AV$7),"""",IF($T470="""","""",IFERROR(query({AtivosDados},""select sum(""&amp;AC$3&amp;"") where Col1='""&amp;$T470&amp;""' label sum(""&amp;AC$3&amp;"") ''""),0)))"),"")</f>
        <v/>
      </c>
      <c r="AD470" s="437" t="str">
        <f>IFERROR(__xludf.DUMMYFUNCTION("IF(NOT('portfólio'!$AV$7),"""",IF($T470="""","""",IFERROR(query({AtivosDados},""select sum(""&amp;AD$3&amp;"") where Col1='""&amp;$T470&amp;""' label sum(""&amp;AD$3&amp;"") ''""),0)))"),"")</f>
        <v/>
      </c>
      <c r="AE470" s="437"/>
      <c r="AF470" s="1327"/>
      <c r="AG470" s="437"/>
      <c r="AH470" s="437"/>
      <c r="AI470" s="437"/>
      <c r="AJ470" s="437"/>
      <c r="AK470" s="437"/>
      <c r="AL470" s="437"/>
      <c r="AM470" s="437"/>
      <c r="AN470" s="437"/>
      <c r="AO470" s="437"/>
      <c r="AP470" s="437"/>
      <c r="AQ470" s="1327"/>
      <c r="AR470" s="437"/>
      <c r="AS470" s="437"/>
      <c r="AT470" s="437"/>
      <c r="AU470" s="437"/>
      <c r="AV470" s="437"/>
      <c r="AW470" s="437"/>
      <c r="AX470" s="437"/>
      <c r="AY470" s="437"/>
      <c r="AZ470" s="437"/>
      <c r="BA470" s="437"/>
      <c r="BB470" s="1327"/>
      <c r="BC470" s="437"/>
      <c r="BD470" s="437"/>
      <c r="BE470" s="437"/>
      <c r="BF470" s="437"/>
      <c r="BG470" s="437"/>
      <c r="BH470" s="437"/>
      <c r="BI470" s="437"/>
      <c r="BJ470" s="437"/>
      <c r="BK470" s="437"/>
      <c r="BL470" s="437"/>
      <c r="BM470" s="1327"/>
      <c r="BN470" s="1327"/>
      <c r="BO470" s="1327"/>
      <c r="BP470" s="1327"/>
      <c r="BQ470" s="1327"/>
      <c r="BR470" s="1327"/>
      <c r="BS470" s="1327"/>
      <c r="BT470" s="1327"/>
      <c r="BU470" s="1327"/>
      <c r="BV470" s="1327"/>
      <c r="BW470" s="1327"/>
      <c r="BX470" s="1327"/>
      <c r="BY470" s="1327"/>
      <c r="BZ470" s="1327"/>
      <c r="CA470" s="1327"/>
      <c r="CB470" s="1327"/>
      <c r="CC470" s="1327"/>
      <c r="CD470" s="1327"/>
      <c r="CE470" s="1327"/>
      <c r="CF470" s="1327"/>
      <c r="CG470" s="1327"/>
      <c r="CH470" s="1327"/>
      <c r="CI470" s="1327"/>
      <c r="CJ470" s="1327"/>
      <c r="CK470" s="1327"/>
      <c r="CL470" s="1327"/>
      <c r="CM470" s="1327"/>
      <c r="CN470" s="1327"/>
      <c r="CO470" s="1327"/>
      <c r="CP470" s="1327"/>
      <c r="CQ470" s="1327"/>
      <c r="CR470" s="1327"/>
      <c r="CS470" s="1327"/>
      <c r="CT470" s="1317"/>
      <c r="CU470" s="1317"/>
      <c r="CV470" s="1317"/>
      <c r="CW470" s="1317"/>
      <c r="CX470" s="1317"/>
      <c r="CY470" s="1317"/>
      <c r="CZ470" s="1317"/>
      <c r="DA470" s="1317"/>
      <c r="DB470" s="1317"/>
      <c r="DC470" s="1317"/>
      <c r="DD470" s="1317"/>
      <c r="DE470" s="1317"/>
      <c r="DF470" s="1317"/>
      <c r="DG470" s="1317"/>
    </row>
    <row r="471" ht="18.75" customHeight="1">
      <c r="G471" s="1344"/>
      <c r="H471" s="1345">
        <f t="shared" si="4"/>
        <v>0</v>
      </c>
      <c r="I471" s="1381"/>
      <c r="J471" s="1381"/>
      <c r="K471" s="1381"/>
      <c r="L471" s="1381"/>
      <c r="M471" s="1381"/>
      <c r="N471" s="1381"/>
      <c r="O471" s="1381"/>
      <c r="P471" s="1381"/>
      <c r="Q471" s="1381"/>
      <c r="R471" s="1381"/>
      <c r="T471" s="1349"/>
      <c r="U471" s="1349" t="s">
        <v>123</v>
      </c>
      <c r="V471" s="1349" t="s">
        <v>123</v>
      </c>
      <c r="W471" s="1349"/>
      <c r="X471" s="1349"/>
      <c r="Y471" s="1308"/>
      <c r="Z471" s="437" t="str">
        <f>IFERROR(__xludf.DUMMYFUNCTION("IF(NOT('portfólio'!$AV$7),"""",IF($T471="""","""",IFERROR(query({AtivosDados},""select sum(""&amp;Z$3&amp;"") where Col1='""&amp;$T471&amp;""' label sum(""&amp;Z$3&amp;"") ''""),0)))"),"")</f>
        <v/>
      </c>
      <c r="AA471" s="437" t="str">
        <f>IFERROR(__xludf.DUMMYFUNCTION("IF(NOT('portfólio'!$AV$7),"""",IF($T471="""","""",IFERROR(query({AtivosDados},""select sum(""&amp;AA$3&amp;"") where Col1='""&amp;$T471&amp;""' label sum(""&amp;AA$3&amp;"") ''""),0)))"),"")</f>
        <v/>
      </c>
      <c r="AB471" s="437" t="str">
        <f>IFERROR(__xludf.DUMMYFUNCTION("IF(NOT('portfólio'!$AV$7),"""",IF($T471="""","""",IFERROR(query({AtivosDados},""select sum(""&amp;AB$3&amp;"") where Col1='""&amp;$T471&amp;""' label sum(""&amp;AB$3&amp;"") ''""),0)))"),"")</f>
        <v/>
      </c>
      <c r="AC471" s="437" t="str">
        <f>IFERROR(__xludf.DUMMYFUNCTION("IF(NOT('portfólio'!$AV$7),"""",IF($T471="""","""",IFERROR(query({AtivosDados},""select sum(""&amp;AC$3&amp;"") where Col1='""&amp;$T471&amp;""' label sum(""&amp;AC$3&amp;"") ''""),0)))"),"")</f>
        <v/>
      </c>
      <c r="AD471" s="437" t="str">
        <f>IFERROR(__xludf.DUMMYFUNCTION("IF(NOT('portfólio'!$AV$7),"""",IF($T471="""","""",IFERROR(query({AtivosDados},""select sum(""&amp;AD$3&amp;"") where Col1='""&amp;$T471&amp;""' label sum(""&amp;AD$3&amp;"") ''""),0)))"),"")</f>
        <v/>
      </c>
      <c r="AE471" s="437"/>
      <c r="AF471" s="1327"/>
      <c r="AG471" s="437"/>
      <c r="AH471" s="437"/>
      <c r="AI471" s="437"/>
      <c r="AJ471" s="437"/>
      <c r="AK471" s="437"/>
      <c r="AL471" s="437"/>
      <c r="AM471" s="437"/>
      <c r="AN471" s="437"/>
      <c r="AO471" s="437"/>
      <c r="AP471" s="437"/>
      <c r="AQ471" s="1327"/>
      <c r="AR471" s="437"/>
      <c r="AS471" s="437"/>
      <c r="AT471" s="437"/>
      <c r="AU471" s="437"/>
      <c r="AV471" s="437"/>
      <c r="AW471" s="437"/>
      <c r="AX471" s="437"/>
      <c r="AY471" s="437"/>
      <c r="AZ471" s="437"/>
      <c r="BA471" s="437"/>
      <c r="BB471" s="1327"/>
      <c r="BC471" s="437"/>
      <c r="BD471" s="437"/>
      <c r="BE471" s="437"/>
      <c r="BF471" s="437"/>
      <c r="BG471" s="437"/>
      <c r="BH471" s="437"/>
      <c r="BI471" s="437"/>
      <c r="BJ471" s="437"/>
      <c r="BK471" s="437"/>
      <c r="BL471" s="437"/>
      <c r="BM471" s="1327"/>
      <c r="BN471" s="1327"/>
      <c r="BO471" s="1327"/>
      <c r="BP471" s="1327"/>
      <c r="BQ471" s="1327"/>
      <c r="BR471" s="1327"/>
      <c r="BS471" s="1327"/>
      <c r="BT471" s="1327"/>
      <c r="BU471" s="1327"/>
      <c r="BV471" s="1327"/>
      <c r="BW471" s="1327"/>
      <c r="BX471" s="1327"/>
      <c r="BY471" s="1327"/>
      <c r="BZ471" s="1327"/>
      <c r="CA471" s="1327"/>
      <c r="CB471" s="1327"/>
      <c r="CC471" s="1327"/>
      <c r="CD471" s="1327"/>
      <c r="CE471" s="1327"/>
      <c r="CF471" s="1327"/>
      <c r="CG471" s="1327"/>
      <c r="CH471" s="1327"/>
      <c r="CI471" s="1327"/>
      <c r="CJ471" s="1327"/>
      <c r="CK471" s="1327"/>
      <c r="CL471" s="1327"/>
      <c r="CM471" s="1327"/>
      <c r="CN471" s="1327"/>
      <c r="CO471" s="1327"/>
      <c r="CP471" s="1327"/>
      <c r="CQ471" s="1327"/>
      <c r="CR471" s="1327"/>
      <c r="CS471" s="1327"/>
      <c r="CT471" s="1317"/>
      <c r="CU471" s="1317"/>
      <c r="CV471" s="1317"/>
      <c r="CW471" s="1317"/>
      <c r="CX471" s="1317"/>
      <c r="CY471" s="1317"/>
      <c r="CZ471" s="1317"/>
      <c r="DA471" s="1317"/>
      <c r="DB471" s="1317"/>
      <c r="DC471" s="1317"/>
      <c r="DD471" s="1317"/>
      <c r="DE471" s="1317"/>
      <c r="DF471" s="1317"/>
      <c r="DG471" s="1317"/>
    </row>
    <row r="472" ht="18.75" customHeight="1">
      <c r="G472" s="1344"/>
      <c r="H472" s="1345">
        <f t="shared" si="4"/>
        <v>0</v>
      </c>
      <c r="I472" s="1381"/>
      <c r="J472" s="1381"/>
      <c r="K472" s="1381"/>
      <c r="L472" s="1381"/>
      <c r="M472" s="1381"/>
      <c r="N472" s="1381"/>
      <c r="O472" s="1381"/>
      <c r="P472" s="1381"/>
      <c r="Q472" s="1381"/>
      <c r="R472" s="1381"/>
      <c r="T472" s="1349"/>
      <c r="U472" s="1349" t="s">
        <v>123</v>
      </c>
      <c r="V472" s="1349" t="s">
        <v>123</v>
      </c>
      <c r="W472" s="1349"/>
      <c r="X472" s="1349"/>
      <c r="Y472" s="1308"/>
      <c r="Z472" s="437" t="str">
        <f>IFERROR(__xludf.DUMMYFUNCTION("IF(NOT('portfólio'!$AV$7),"""",IF($T472="""","""",IFERROR(query({AtivosDados},""select sum(""&amp;Z$3&amp;"") where Col1='""&amp;$T472&amp;""' label sum(""&amp;Z$3&amp;"") ''""),0)))"),"")</f>
        <v/>
      </c>
      <c r="AA472" s="437" t="str">
        <f>IFERROR(__xludf.DUMMYFUNCTION("IF(NOT('portfólio'!$AV$7),"""",IF($T472="""","""",IFERROR(query({AtivosDados},""select sum(""&amp;AA$3&amp;"") where Col1='""&amp;$T472&amp;""' label sum(""&amp;AA$3&amp;"") ''""),0)))"),"")</f>
        <v/>
      </c>
      <c r="AB472" s="437" t="str">
        <f>IFERROR(__xludf.DUMMYFUNCTION("IF(NOT('portfólio'!$AV$7),"""",IF($T472="""","""",IFERROR(query({AtivosDados},""select sum(""&amp;AB$3&amp;"") where Col1='""&amp;$T472&amp;""' label sum(""&amp;AB$3&amp;"") ''""),0)))"),"")</f>
        <v/>
      </c>
      <c r="AC472" s="437" t="str">
        <f>IFERROR(__xludf.DUMMYFUNCTION("IF(NOT('portfólio'!$AV$7),"""",IF($T472="""","""",IFERROR(query({AtivosDados},""select sum(""&amp;AC$3&amp;"") where Col1='""&amp;$T472&amp;""' label sum(""&amp;AC$3&amp;"") ''""),0)))"),"")</f>
        <v/>
      </c>
      <c r="AD472" s="437" t="str">
        <f>IFERROR(__xludf.DUMMYFUNCTION("IF(NOT('portfólio'!$AV$7),"""",IF($T472="""","""",IFERROR(query({AtivosDados},""select sum(""&amp;AD$3&amp;"") where Col1='""&amp;$T472&amp;""' label sum(""&amp;AD$3&amp;"") ''""),0)))"),"")</f>
        <v/>
      </c>
      <c r="AE472" s="437"/>
      <c r="AF472" s="1327"/>
      <c r="AG472" s="437"/>
      <c r="AH472" s="437"/>
      <c r="AI472" s="437"/>
      <c r="AJ472" s="437"/>
      <c r="AK472" s="437"/>
      <c r="AL472" s="437"/>
      <c r="AM472" s="437"/>
      <c r="AN472" s="437"/>
      <c r="AO472" s="437"/>
      <c r="AP472" s="437"/>
      <c r="AQ472" s="1327"/>
      <c r="AR472" s="437"/>
      <c r="AS472" s="437"/>
      <c r="AT472" s="437"/>
      <c r="AU472" s="437"/>
      <c r="AV472" s="437"/>
      <c r="AW472" s="437"/>
      <c r="AX472" s="437"/>
      <c r="AY472" s="437"/>
      <c r="AZ472" s="437"/>
      <c r="BA472" s="437"/>
      <c r="BB472" s="1327"/>
      <c r="BC472" s="437"/>
      <c r="BD472" s="437"/>
      <c r="BE472" s="437"/>
      <c r="BF472" s="437"/>
      <c r="BG472" s="437"/>
      <c r="BH472" s="437"/>
      <c r="BI472" s="437"/>
      <c r="BJ472" s="437"/>
      <c r="BK472" s="437"/>
      <c r="BL472" s="437"/>
      <c r="BM472" s="1327"/>
      <c r="BN472" s="1327"/>
      <c r="BO472" s="1327"/>
      <c r="BP472" s="1327"/>
      <c r="BQ472" s="1327"/>
      <c r="BR472" s="1327"/>
      <c r="BS472" s="1327"/>
      <c r="BT472" s="1327"/>
      <c r="BU472" s="1327"/>
      <c r="BV472" s="1327"/>
      <c r="BW472" s="1327"/>
      <c r="BX472" s="1327"/>
      <c r="BY472" s="1327"/>
      <c r="BZ472" s="1327"/>
      <c r="CA472" s="1327"/>
      <c r="CB472" s="1327"/>
      <c r="CC472" s="1327"/>
      <c r="CD472" s="1327"/>
      <c r="CE472" s="1327"/>
      <c r="CF472" s="1327"/>
      <c r="CG472" s="1327"/>
      <c r="CH472" s="1327"/>
      <c r="CI472" s="1327"/>
      <c r="CJ472" s="1327"/>
      <c r="CK472" s="1327"/>
      <c r="CL472" s="1327"/>
      <c r="CM472" s="1327"/>
      <c r="CN472" s="1327"/>
      <c r="CO472" s="1327"/>
      <c r="CP472" s="1327"/>
      <c r="CQ472" s="1327"/>
      <c r="CR472" s="1327"/>
      <c r="CS472" s="1327"/>
      <c r="CT472" s="1317"/>
      <c r="CU472" s="1317"/>
      <c r="CV472" s="1317"/>
      <c r="CW472" s="1317"/>
      <c r="CX472" s="1317"/>
      <c r="CY472" s="1317"/>
      <c r="CZ472" s="1317"/>
      <c r="DA472" s="1317"/>
      <c r="DB472" s="1317"/>
      <c r="DC472" s="1317"/>
      <c r="DD472" s="1317"/>
      <c r="DE472" s="1317"/>
      <c r="DF472" s="1317"/>
      <c r="DG472" s="1317"/>
    </row>
    <row r="473" ht="18.75" customHeight="1">
      <c r="G473" s="1344"/>
      <c r="H473" s="1345">
        <f t="shared" si="4"/>
        <v>0</v>
      </c>
      <c r="I473" s="1381"/>
      <c r="J473" s="1381"/>
      <c r="K473" s="1381"/>
      <c r="L473" s="1381"/>
      <c r="M473" s="1381"/>
      <c r="N473" s="1381"/>
      <c r="O473" s="1381"/>
      <c r="P473" s="1381"/>
      <c r="Q473" s="1381"/>
      <c r="R473" s="1381"/>
      <c r="T473" s="1349"/>
      <c r="U473" s="1349" t="s">
        <v>123</v>
      </c>
      <c r="V473" s="1349" t="s">
        <v>123</v>
      </c>
      <c r="W473" s="1349"/>
      <c r="X473" s="1349"/>
      <c r="Y473" s="1308"/>
      <c r="Z473" s="437" t="str">
        <f>IFERROR(__xludf.DUMMYFUNCTION("IF(NOT('portfólio'!$AV$7),"""",IF($T473="""","""",IFERROR(query({AtivosDados},""select sum(""&amp;Z$3&amp;"") where Col1='""&amp;$T473&amp;""' label sum(""&amp;Z$3&amp;"") ''""),0)))"),"")</f>
        <v/>
      </c>
      <c r="AA473" s="437" t="str">
        <f>IFERROR(__xludf.DUMMYFUNCTION("IF(NOT('portfólio'!$AV$7),"""",IF($T473="""","""",IFERROR(query({AtivosDados},""select sum(""&amp;AA$3&amp;"") where Col1='""&amp;$T473&amp;""' label sum(""&amp;AA$3&amp;"") ''""),0)))"),"")</f>
        <v/>
      </c>
      <c r="AB473" s="437" t="str">
        <f>IFERROR(__xludf.DUMMYFUNCTION("IF(NOT('portfólio'!$AV$7),"""",IF($T473="""","""",IFERROR(query({AtivosDados},""select sum(""&amp;AB$3&amp;"") where Col1='""&amp;$T473&amp;""' label sum(""&amp;AB$3&amp;"") ''""),0)))"),"")</f>
        <v/>
      </c>
      <c r="AC473" s="437" t="str">
        <f>IFERROR(__xludf.DUMMYFUNCTION("IF(NOT('portfólio'!$AV$7),"""",IF($T473="""","""",IFERROR(query({AtivosDados},""select sum(""&amp;AC$3&amp;"") where Col1='""&amp;$T473&amp;""' label sum(""&amp;AC$3&amp;"") ''""),0)))"),"")</f>
        <v/>
      </c>
      <c r="AD473" s="437" t="str">
        <f>IFERROR(__xludf.DUMMYFUNCTION("IF(NOT('portfólio'!$AV$7),"""",IF($T473="""","""",IFERROR(query({AtivosDados},""select sum(""&amp;AD$3&amp;"") where Col1='""&amp;$T473&amp;""' label sum(""&amp;AD$3&amp;"") ''""),0)))"),"")</f>
        <v/>
      </c>
      <c r="AE473" s="437"/>
      <c r="AF473" s="1327"/>
      <c r="AG473" s="437"/>
      <c r="AH473" s="437"/>
      <c r="AI473" s="437"/>
      <c r="AJ473" s="437"/>
      <c r="AK473" s="437"/>
      <c r="AL473" s="437"/>
      <c r="AM473" s="437"/>
      <c r="AN473" s="437"/>
      <c r="AO473" s="437"/>
      <c r="AP473" s="437"/>
      <c r="AQ473" s="1327"/>
      <c r="AR473" s="437"/>
      <c r="AS473" s="437"/>
      <c r="AT473" s="437"/>
      <c r="AU473" s="437"/>
      <c r="AV473" s="437"/>
      <c r="AW473" s="437"/>
      <c r="AX473" s="437"/>
      <c r="AY473" s="437"/>
      <c r="AZ473" s="437"/>
      <c r="BA473" s="437"/>
      <c r="BB473" s="1327"/>
      <c r="BC473" s="437"/>
      <c r="BD473" s="437"/>
      <c r="BE473" s="437"/>
      <c r="BF473" s="437"/>
      <c r="BG473" s="437"/>
      <c r="BH473" s="437"/>
      <c r="BI473" s="437"/>
      <c r="BJ473" s="437"/>
      <c r="BK473" s="437"/>
      <c r="BL473" s="437"/>
      <c r="BM473" s="1327"/>
      <c r="BN473" s="1327"/>
      <c r="BO473" s="1327"/>
      <c r="BP473" s="1327"/>
      <c r="BQ473" s="1327"/>
      <c r="BR473" s="1327"/>
      <c r="BS473" s="1327"/>
      <c r="BT473" s="1327"/>
      <c r="BU473" s="1327"/>
      <c r="BV473" s="1327"/>
      <c r="BW473" s="1327"/>
      <c r="BX473" s="1327"/>
      <c r="BY473" s="1327"/>
      <c r="BZ473" s="1327"/>
      <c r="CA473" s="1327"/>
      <c r="CB473" s="1327"/>
      <c r="CC473" s="1327"/>
      <c r="CD473" s="1327"/>
      <c r="CE473" s="1327"/>
      <c r="CF473" s="1327"/>
      <c r="CG473" s="1327"/>
      <c r="CH473" s="1327"/>
      <c r="CI473" s="1327"/>
      <c r="CJ473" s="1327"/>
      <c r="CK473" s="1327"/>
      <c r="CL473" s="1327"/>
      <c r="CM473" s="1327"/>
      <c r="CN473" s="1327"/>
      <c r="CO473" s="1327"/>
      <c r="CP473" s="1327"/>
      <c r="CQ473" s="1327"/>
      <c r="CR473" s="1327"/>
      <c r="CS473" s="1327"/>
      <c r="CT473" s="1317"/>
      <c r="CU473" s="1317"/>
      <c r="CV473" s="1317"/>
      <c r="CW473" s="1317"/>
      <c r="CX473" s="1317"/>
      <c r="CY473" s="1317"/>
      <c r="CZ473" s="1317"/>
      <c r="DA473" s="1317"/>
      <c r="DB473" s="1317"/>
      <c r="DC473" s="1317"/>
      <c r="DD473" s="1317"/>
      <c r="DE473" s="1317"/>
      <c r="DF473" s="1317"/>
      <c r="DG473" s="1317"/>
    </row>
    <row r="474" ht="18.75" customHeight="1">
      <c r="G474" s="1344"/>
      <c r="H474" s="1345">
        <f t="shared" si="4"/>
        <v>0</v>
      </c>
      <c r="I474" s="1381"/>
      <c r="J474" s="1381"/>
      <c r="K474" s="1381"/>
      <c r="L474" s="1381"/>
      <c r="M474" s="1381"/>
      <c r="N474" s="1381"/>
      <c r="O474" s="1381"/>
      <c r="P474" s="1381"/>
      <c r="Q474" s="1381"/>
      <c r="R474" s="1381"/>
      <c r="T474" s="1349"/>
      <c r="U474" s="1349" t="s">
        <v>123</v>
      </c>
      <c r="V474" s="1349" t="s">
        <v>123</v>
      </c>
      <c r="W474" s="1349"/>
      <c r="X474" s="1349"/>
      <c r="Y474" s="1308"/>
      <c r="Z474" s="437" t="str">
        <f>IFERROR(__xludf.DUMMYFUNCTION("IF(NOT('portfólio'!$AV$7),"""",IF($T474="""","""",IFERROR(query({AtivosDados},""select sum(""&amp;Z$3&amp;"") where Col1='""&amp;$T474&amp;""' label sum(""&amp;Z$3&amp;"") ''""),0)))"),"")</f>
        <v/>
      </c>
      <c r="AA474" s="437" t="str">
        <f>IFERROR(__xludf.DUMMYFUNCTION("IF(NOT('portfólio'!$AV$7),"""",IF($T474="""","""",IFERROR(query({AtivosDados},""select sum(""&amp;AA$3&amp;"") where Col1='""&amp;$T474&amp;""' label sum(""&amp;AA$3&amp;"") ''""),0)))"),"")</f>
        <v/>
      </c>
      <c r="AB474" s="437" t="str">
        <f>IFERROR(__xludf.DUMMYFUNCTION("IF(NOT('portfólio'!$AV$7),"""",IF($T474="""","""",IFERROR(query({AtivosDados},""select sum(""&amp;AB$3&amp;"") where Col1='""&amp;$T474&amp;""' label sum(""&amp;AB$3&amp;"") ''""),0)))"),"")</f>
        <v/>
      </c>
      <c r="AC474" s="437" t="str">
        <f>IFERROR(__xludf.DUMMYFUNCTION("IF(NOT('portfólio'!$AV$7),"""",IF($T474="""","""",IFERROR(query({AtivosDados},""select sum(""&amp;AC$3&amp;"") where Col1='""&amp;$T474&amp;""' label sum(""&amp;AC$3&amp;"") ''""),0)))"),"")</f>
        <v/>
      </c>
      <c r="AD474" s="437" t="str">
        <f>IFERROR(__xludf.DUMMYFUNCTION("IF(NOT('portfólio'!$AV$7),"""",IF($T474="""","""",IFERROR(query({AtivosDados},""select sum(""&amp;AD$3&amp;"") where Col1='""&amp;$T474&amp;""' label sum(""&amp;AD$3&amp;"") ''""),0)))"),"")</f>
        <v/>
      </c>
      <c r="AE474" s="437"/>
      <c r="AF474" s="1327"/>
      <c r="AG474" s="437"/>
      <c r="AH474" s="437"/>
      <c r="AI474" s="437"/>
      <c r="AJ474" s="437"/>
      <c r="AK474" s="437"/>
      <c r="AL474" s="437"/>
      <c r="AM474" s="437"/>
      <c r="AN474" s="437"/>
      <c r="AO474" s="437"/>
      <c r="AP474" s="437"/>
      <c r="AQ474" s="1327"/>
      <c r="AR474" s="437"/>
      <c r="AS474" s="437"/>
      <c r="AT474" s="437"/>
      <c r="AU474" s="437"/>
      <c r="AV474" s="437"/>
      <c r="AW474" s="437"/>
      <c r="AX474" s="437"/>
      <c r="AY474" s="437"/>
      <c r="AZ474" s="437"/>
      <c r="BA474" s="437"/>
      <c r="BB474" s="1327"/>
      <c r="BC474" s="437"/>
      <c r="BD474" s="437"/>
      <c r="BE474" s="437"/>
      <c r="BF474" s="437"/>
      <c r="BG474" s="437"/>
      <c r="BH474" s="437"/>
      <c r="BI474" s="437"/>
      <c r="BJ474" s="437"/>
      <c r="BK474" s="437"/>
      <c r="BL474" s="437"/>
      <c r="BM474" s="1327"/>
      <c r="BN474" s="1327"/>
      <c r="BO474" s="1327"/>
      <c r="BP474" s="1327"/>
      <c r="BQ474" s="1327"/>
      <c r="BR474" s="1327"/>
      <c r="BS474" s="1327"/>
      <c r="BT474" s="1327"/>
      <c r="BU474" s="1327"/>
      <c r="BV474" s="1327"/>
      <c r="BW474" s="1327"/>
      <c r="BX474" s="1327"/>
      <c r="BY474" s="1327"/>
      <c r="BZ474" s="1327"/>
      <c r="CA474" s="1327"/>
      <c r="CB474" s="1327"/>
      <c r="CC474" s="1327"/>
      <c r="CD474" s="1327"/>
      <c r="CE474" s="1327"/>
      <c r="CF474" s="1327"/>
      <c r="CG474" s="1327"/>
      <c r="CH474" s="1327"/>
      <c r="CI474" s="1327"/>
      <c r="CJ474" s="1327"/>
      <c r="CK474" s="1327"/>
      <c r="CL474" s="1327"/>
      <c r="CM474" s="1327"/>
      <c r="CN474" s="1327"/>
      <c r="CO474" s="1327"/>
      <c r="CP474" s="1327"/>
      <c r="CQ474" s="1327"/>
      <c r="CR474" s="1327"/>
      <c r="CS474" s="1327"/>
      <c r="CT474" s="1317"/>
      <c r="CU474" s="1317"/>
      <c r="CV474" s="1317"/>
      <c r="CW474" s="1317"/>
      <c r="CX474" s="1317"/>
      <c r="CY474" s="1317"/>
      <c r="CZ474" s="1317"/>
      <c r="DA474" s="1317"/>
      <c r="DB474" s="1317"/>
      <c r="DC474" s="1317"/>
      <c r="DD474" s="1317"/>
      <c r="DE474" s="1317"/>
      <c r="DF474" s="1317"/>
      <c r="DG474" s="1317"/>
    </row>
    <row r="475" ht="18.75" customHeight="1">
      <c r="G475" s="1344"/>
      <c r="H475" s="1345">
        <f t="shared" si="4"/>
        <v>0</v>
      </c>
      <c r="I475" s="1381"/>
      <c r="J475" s="1381"/>
      <c r="K475" s="1381"/>
      <c r="L475" s="1381"/>
      <c r="M475" s="1381"/>
      <c r="N475" s="1381"/>
      <c r="O475" s="1381"/>
      <c r="P475" s="1381"/>
      <c r="Q475" s="1381"/>
      <c r="R475" s="1381"/>
      <c r="T475" s="1349"/>
      <c r="U475" s="1349" t="s">
        <v>123</v>
      </c>
      <c r="V475" s="1349" t="s">
        <v>123</v>
      </c>
      <c r="W475" s="1349"/>
      <c r="X475" s="1349"/>
      <c r="Y475" s="1308"/>
      <c r="Z475" s="437" t="str">
        <f>IFERROR(__xludf.DUMMYFUNCTION("IF(NOT('portfólio'!$AV$7),"""",IF($T475="""","""",IFERROR(query({AtivosDados},""select sum(""&amp;Z$3&amp;"") where Col1='""&amp;$T475&amp;""' label sum(""&amp;Z$3&amp;"") ''""),0)))"),"")</f>
        <v/>
      </c>
      <c r="AA475" s="437" t="str">
        <f>IFERROR(__xludf.DUMMYFUNCTION("IF(NOT('portfólio'!$AV$7),"""",IF($T475="""","""",IFERROR(query({AtivosDados},""select sum(""&amp;AA$3&amp;"") where Col1='""&amp;$T475&amp;""' label sum(""&amp;AA$3&amp;"") ''""),0)))"),"")</f>
        <v/>
      </c>
      <c r="AB475" s="437" t="str">
        <f>IFERROR(__xludf.DUMMYFUNCTION("IF(NOT('portfólio'!$AV$7),"""",IF($T475="""","""",IFERROR(query({AtivosDados},""select sum(""&amp;AB$3&amp;"") where Col1='""&amp;$T475&amp;""' label sum(""&amp;AB$3&amp;"") ''""),0)))"),"")</f>
        <v/>
      </c>
      <c r="AC475" s="437" t="str">
        <f>IFERROR(__xludf.DUMMYFUNCTION("IF(NOT('portfólio'!$AV$7),"""",IF($T475="""","""",IFERROR(query({AtivosDados},""select sum(""&amp;AC$3&amp;"") where Col1='""&amp;$T475&amp;""' label sum(""&amp;AC$3&amp;"") ''""),0)))"),"")</f>
        <v/>
      </c>
      <c r="AD475" s="437" t="str">
        <f>IFERROR(__xludf.DUMMYFUNCTION("IF(NOT('portfólio'!$AV$7),"""",IF($T475="""","""",IFERROR(query({AtivosDados},""select sum(""&amp;AD$3&amp;"") where Col1='""&amp;$T475&amp;""' label sum(""&amp;AD$3&amp;"") ''""),0)))"),"")</f>
        <v/>
      </c>
      <c r="AE475" s="437"/>
      <c r="AF475" s="1327"/>
      <c r="AG475" s="437"/>
      <c r="AH475" s="437"/>
      <c r="AI475" s="437"/>
      <c r="AJ475" s="437"/>
      <c r="AK475" s="437"/>
      <c r="AL475" s="437"/>
      <c r="AM475" s="437"/>
      <c r="AN475" s="437"/>
      <c r="AO475" s="437"/>
      <c r="AP475" s="437"/>
      <c r="AQ475" s="1327"/>
      <c r="AR475" s="437"/>
      <c r="AS475" s="437"/>
      <c r="AT475" s="437"/>
      <c r="AU475" s="437"/>
      <c r="AV475" s="437"/>
      <c r="AW475" s="437"/>
      <c r="AX475" s="437"/>
      <c r="AY475" s="437"/>
      <c r="AZ475" s="437"/>
      <c r="BA475" s="437"/>
      <c r="BB475" s="1327"/>
      <c r="BC475" s="437"/>
      <c r="BD475" s="437"/>
      <c r="BE475" s="437"/>
      <c r="BF475" s="437"/>
      <c r="BG475" s="437"/>
      <c r="BH475" s="437"/>
      <c r="BI475" s="437"/>
      <c r="BJ475" s="437"/>
      <c r="BK475" s="437"/>
      <c r="BL475" s="437"/>
      <c r="BM475" s="1327"/>
      <c r="BN475" s="1327"/>
      <c r="BO475" s="1327"/>
      <c r="BP475" s="1327"/>
      <c r="BQ475" s="1327"/>
      <c r="BR475" s="1327"/>
      <c r="BS475" s="1327"/>
      <c r="BT475" s="1327"/>
      <c r="BU475" s="1327"/>
      <c r="BV475" s="1327"/>
      <c r="BW475" s="1327"/>
      <c r="BX475" s="1327"/>
      <c r="BY475" s="1327"/>
      <c r="BZ475" s="1327"/>
      <c r="CA475" s="1327"/>
      <c r="CB475" s="1327"/>
      <c r="CC475" s="1327"/>
      <c r="CD475" s="1327"/>
      <c r="CE475" s="1327"/>
      <c r="CF475" s="1327"/>
      <c r="CG475" s="1327"/>
      <c r="CH475" s="1327"/>
      <c r="CI475" s="1327"/>
      <c r="CJ475" s="1327"/>
      <c r="CK475" s="1327"/>
      <c r="CL475" s="1327"/>
      <c r="CM475" s="1327"/>
      <c r="CN475" s="1327"/>
      <c r="CO475" s="1327"/>
      <c r="CP475" s="1327"/>
      <c r="CQ475" s="1327"/>
      <c r="CR475" s="1327"/>
      <c r="CS475" s="1327"/>
      <c r="CT475" s="1317"/>
      <c r="CU475" s="1317"/>
      <c r="CV475" s="1317"/>
      <c r="CW475" s="1317"/>
      <c r="CX475" s="1317"/>
      <c r="CY475" s="1317"/>
      <c r="CZ475" s="1317"/>
      <c r="DA475" s="1317"/>
      <c r="DB475" s="1317"/>
      <c r="DC475" s="1317"/>
      <c r="DD475" s="1317"/>
      <c r="DE475" s="1317"/>
      <c r="DF475" s="1317"/>
      <c r="DG475" s="1317"/>
    </row>
    <row r="476" ht="18.75" customHeight="1">
      <c r="G476" s="1344"/>
      <c r="H476" s="1345">
        <f t="shared" si="4"/>
        <v>0</v>
      </c>
      <c r="I476" s="1381"/>
      <c r="J476" s="1381"/>
      <c r="K476" s="1381"/>
      <c r="L476" s="1381"/>
      <c r="M476" s="1381"/>
      <c r="N476" s="1381"/>
      <c r="O476" s="1381"/>
      <c r="P476" s="1381"/>
      <c r="Q476" s="1381"/>
      <c r="R476" s="1381"/>
      <c r="T476" s="1349"/>
      <c r="U476" s="1349" t="s">
        <v>123</v>
      </c>
      <c r="V476" s="1349" t="s">
        <v>123</v>
      </c>
      <c r="W476" s="1349"/>
      <c r="X476" s="1349"/>
      <c r="Y476" s="1308"/>
      <c r="Z476" s="437" t="str">
        <f>IFERROR(__xludf.DUMMYFUNCTION("IF(NOT('portfólio'!$AV$7),"""",IF($T476="""","""",IFERROR(query({AtivosDados},""select sum(""&amp;Z$3&amp;"") where Col1='""&amp;$T476&amp;""' label sum(""&amp;Z$3&amp;"") ''""),0)))"),"")</f>
        <v/>
      </c>
      <c r="AA476" s="437" t="str">
        <f>IFERROR(__xludf.DUMMYFUNCTION("IF(NOT('portfólio'!$AV$7),"""",IF($T476="""","""",IFERROR(query({AtivosDados},""select sum(""&amp;AA$3&amp;"") where Col1='""&amp;$T476&amp;""' label sum(""&amp;AA$3&amp;"") ''""),0)))"),"")</f>
        <v/>
      </c>
      <c r="AB476" s="437" t="str">
        <f>IFERROR(__xludf.DUMMYFUNCTION("IF(NOT('portfólio'!$AV$7),"""",IF($T476="""","""",IFERROR(query({AtivosDados},""select sum(""&amp;AB$3&amp;"") where Col1='""&amp;$T476&amp;""' label sum(""&amp;AB$3&amp;"") ''""),0)))"),"")</f>
        <v/>
      </c>
      <c r="AC476" s="437" t="str">
        <f>IFERROR(__xludf.DUMMYFUNCTION("IF(NOT('portfólio'!$AV$7),"""",IF($T476="""","""",IFERROR(query({AtivosDados},""select sum(""&amp;AC$3&amp;"") where Col1='""&amp;$T476&amp;""' label sum(""&amp;AC$3&amp;"") ''""),0)))"),"")</f>
        <v/>
      </c>
      <c r="AD476" s="437" t="str">
        <f>IFERROR(__xludf.DUMMYFUNCTION("IF(NOT('portfólio'!$AV$7),"""",IF($T476="""","""",IFERROR(query({AtivosDados},""select sum(""&amp;AD$3&amp;"") where Col1='""&amp;$T476&amp;""' label sum(""&amp;AD$3&amp;"") ''""),0)))"),"")</f>
        <v/>
      </c>
      <c r="AE476" s="437"/>
      <c r="AF476" s="1327"/>
      <c r="AG476" s="437"/>
      <c r="AH476" s="437"/>
      <c r="AI476" s="437"/>
      <c r="AJ476" s="437"/>
      <c r="AK476" s="437"/>
      <c r="AL476" s="437"/>
      <c r="AM476" s="437"/>
      <c r="AN476" s="437"/>
      <c r="AO476" s="437"/>
      <c r="AP476" s="437"/>
      <c r="AQ476" s="1327"/>
      <c r="AR476" s="437"/>
      <c r="AS476" s="437"/>
      <c r="AT476" s="437"/>
      <c r="AU476" s="437"/>
      <c r="AV476" s="437"/>
      <c r="AW476" s="437"/>
      <c r="AX476" s="437"/>
      <c r="AY476" s="437"/>
      <c r="AZ476" s="437"/>
      <c r="BA476" s="437"/>
      <c r="BB476" s="1327"/>
      <c r="BC476" s="437"/>
      <c r="BD476" s="437"/>
      <c r="BE476" s="437"/>
      <c r="BF476" s="437"/>
      <c r="BG476" s="437"/>
      <c r="BH476" s="437"/>
      <c r="BI476" s="437"/>
      <c r="BJ476" s="437"/>
      <c r="BK476" s="437"/>
      <c r="BL476" s="437"/>
      <c r="BM476" s="1327"/>
      <c r="BN476" s="1327"/>
      <c r="BO476" s="1327"/>
      <c r="BP476" s="1327"/>
      <c r="BQ476" s="1327"/>
      <c r="BR476" s="1327"/>
      <c r="BS476" s="1327"/>
      <c r="BT476" s="1327"/>
      <c r="BU476" s="1327"/>
      <c r="BV476" s="1327"/>
      <c r="BW476" s="1327"/>
      <c r="BX476" s="1327"/>
      <c r="BY476" s="1327"/>
      <c r="BZ476" s="1327"/>
      <c r="CA476" s="1327"/>
      <c r="CB476" s="1327"/>
      <c r="CC476" s="1327"/>
      <c r="CD476" s="1327"/>
      <c r="CE476" s="1327"/>
      <c r="CF476" s="1327"/>
      <c r="CG476" s="1327"/>
      <c r="CH476" s="1327"/>
      <c r="CI476" s="1327"/>
      <c r="CJ476" s="1327"/>
      <c r="CK476" s="1327"/>
      <c r="CL476" s="1327"/>
      <c r="CM476" s="1327"/>
      <c r="CN476" s="1327"/>
      <c r="CO476" s="1327"/>
      <c r="CP476" s="1327"/>
      <c r="CQ476" s="1327"/>
      <c r="CR476" s="1327"/>
      <c r="CS476" s="1327"/>
      <c r="CT476" s="1317"/>
      <c r="CU476" s="1317"/>
      <c r="CV476" s="1317"/>
      <c r="CW476" s="1317"/>
      <c r="CX476" s="1317"/>
      <c r="CY476" s="1317"/>
      <c r="CZ476" s="1317"/>
      <c r="DA476" s="1317"/>
      <c r="DB476" s="1317"/>
      <c r="DC476" s="1317"/>
      <c r="DD476" s="1317"/>
      <c r="DE476" s="1317"/>
      <c r="DF476" s="1317"/>
      <c r="DG476" s="1317"/>
    </row>
    <row r="477" ht="18.75" customHeight="1">
      <c r="G477" s="1344"/>
      <c r="H477" s="1345">
        <f t="shared" si="4"/>
        <v>0</v>
      </c>
      <c r="I477" s="1381"/>
      <c r="J477" s="1381"/>
      <c r="K477" s="1381"/>
      <c r="L477" s="1381"/>
      <c r="M477" s="1381"/>
      <c r="N477" s="1381"/>
      <c r="O477" s="1381"/>
      <c r="P477" s="1381"/>
      <c r="Q477" s="1381"/>
      <c r="R477" s="1381"/>
      <c r="T477" s="1349"/>
      <c r="U477" s="1349" t="s">
        <v>123</v>
      </c>
      <c r="V477" s="1349" t="s">
        <v>123</v>
      </c>
      <c r="W477" s="1349"/>
      <c r="X477" s="1349"/>
      <c r="Y477" s="1308"/>
      <c r="Z477" s="437" t="str">
        <f>IFERROR(__xludf.DUMMYFUNCTION("IF(NOT('portfólio'!$AV$7),"""",IF($T477="""","""",IFERROR(query({AtivosDados},""select sum(""&amp;Z$3&amp;"") where Col1='""&amp;$T477&amp;""' label sum(""&amp;Z$3&amp;"") ''""),0)))"),"")</f>
        <v/>
      </c>
      <c r="AA477" s="437" t="str">
        <f>IFERROR(__xludf.DUMMYFUNCTION("IF(NOT('portfólio'!$AV$7),"""",IF($T477="""","""",IFERROR(query({AtivosDados},""select sum(""&amp;AA$3&amp;"") where Col1='""&amp;$T477&amp;""' label sum(""&amp;AA$3&amp;"") ''""),0)))"),"")</f>
        <v/>
      </c>
      <c r="AB477" s="437" t="str">
        <f>IFERROR(__xludf.DUMMYFUNCTION("IF(NOT('portfólio'!$AV$7),"""",IF($T477="""","""",IFERROR(query({AtivosDados},""select sum(""&amp;AB$3&amp;"") where Col1='""&amp;$T477&amp;""' label sum(""&amp;AB$3&amp;"") ''""),0)))"),"")</f>
        <v/>
      </c>
      <c r="AC477" s="437" t="str">
        <f>IFERROR(__xludf.DUMMYFUNCTION("IF(NOT('portfólio'!$AV$7),"""",IF($T477="""","""",IFERROR(query({AtivosDados},""select sum(""&amp;AC$3&amp;"") where Col1='""&amp;$T477&amp;""' label sum(""&amp;AC$3&amp;"") ''""),0)))"),"")</f>
        <v/>
      </c>
      <c r="AD477" s="437" t="str">
        <f>IFERROR(__xludf.DUMMYFUNCTION("IF(NOT('portfólio'!$AV$7),"""",IF($T477="""","""",IFERROR(query({AtivosDados},""select sum(""&amp;AD$3&amp;"") where Col1='""&amp;$T477&amp;""' label sum(""&amp;AD$3&amp;"") ''""),0)))"),"")</f>
        <v/>
      </c>
      <c r="AE477" s="437"/>
      <c r="AF477" s="1327"/>
      <c r="AG477" s="437"/>
      <c r="AH477" s="437"/>
      <c r="AI477" s="437"/>
      <c r="AJ477" s="437"/>
      <c r="AK477" s="437"/>
      <c r="AL477" s="437"/>
      <c r="AM477" s="437"/>
      <c r="AN477" s="437"/>
      <c r="AO477" s="437"/>
      <c r="AP477" s="437"/>
      <c r="AQ477" s="1327"/>
      <c r="AR477" s="437"/>
      <c r="AS477" s="437"/>
      <c r="AT477" s="437"/>
      <c r="AU477" s="437"/>
      <c r="AV477" s="437"/>
      <c r="AW477" s="437"/>
      <c r="AX477" s="437"/>
      <c r="AY477" s="437"/>
      <c r="AZ477" s="437"/>
      <c r="BA477" s="437"/>
      <c r="BB477" s="1327"/>
      <c r="BC477" s="437"/>
      <c r="BD477" s="437"/>
      <c r="BE477" s="437"/>
      <c r="BF477" s="437"/>
      <c r="BG477" s="437"/>
      <c r="BH477" s="437"/>
      <c r="BI477" s="437"/>
      <c r="BJ477" s="437"/>
      <c r="BK477" s="437"/>
      <c r="BL477" s="437"/>
      <c r="BM477" s="1327"/>
      <c r="BN477" s="1327"/>
      <c r="BO477" s="1327"/>
      <c r="BP477" s="1327"/>
      <c r="BQ477" s="1327"/>
      <c r="BR477" s="1327"/>
      <c r="BS477" s="1327"/>
      <c r="BT477" s="1327"/>
      <c r="BU477" s="1327"/>
      <c r="BV477" s="1327"/>
      <c r="BW477" s="1327"/>
      <c r="BX477" s="1327"/>
      <c r="BY477" s="1327"/>
      <c r="BZ477" s="1327"/>
      <c r="CA477" s="1327"/>
      <c r="CB477" s="1327"/>
      <c r="CC477" s="1327"/>
      <c r="CD477" s="1327"/>
      <c r="CE477" s="1327"/>
      <c r="CF477" s="1327"/>
      <c r="CG477" s="1327"/>
      <c r="CH477" s="1327"/>
      <c r="CI477" s="1327"/>
      <c r="CJ477" s="1327"/>
      <c r="CK477" s="1327"/>
      <c r="CL477" s="1327"/>
      <c r="CM477" s="1327"/>
      <c r="CN477" s="1327"/>
      <c r="CO477" s="1327"/>
      <c r="CP477" s="1327"/>
      <c r="CQ477" s="1327"/>
      <c r="CR477" s="1327"/>
      <c r="CS477" s="1327"/>
      <c r="CT477" s="1317"/>
      <c r="CU477" s="1317"/>
      <c r="CV477" s="1317"/>
      <c r="CW477" s="1317"/>
      <c r="CX477" s="1317"/>
      <c r="CY477" s="1317"/>
      <c r="CZ477" s="1317"/>
      <c r="DA477" s="1317"/>
      <c r="DB477" s="1317"/>
      <c r="DC477" s="1317"/>
      <c r="DD477" s="1317"/>
      <c r="DE477" s="1317"/>
      <c r="DF477" s="1317"/>
      <c r="DG477" s="1317"/>
    </row>
    <row r="478" ht="18.75" customHeight="1">
      <c r="G478" s="1344"/>
      <c r="H478" s="1345">
        <f t="shared" si="4"/>
        <v>0</v>
      </c>
      <c r="I478" s="1381"/>
      <c r="J478" s="1381"/>
      <c r="K478" s="1381"/>
      <c r="L478" s="1381"/>
      <c r="M478" s="1381"/>
      <c r="N478" s="1381"/>
      <c r="O478" s="1381"/>
      <c r="P478" s="1381"/>
      <c r="Q478" s="1381"/>
      <c r="R478" s="1381"/>
      <c r="T478" s="1349"/>
      <c r="U478" s="1349" t="s">
        <v>123</v>
      </c>
      <c r="V478" s="1349" t="s">
        <v>123</v>
      </c>
      <c r="W478" s="1349"/>
      <c r="X478" s="1349"/>
      <c r="Y478" s="1308"/>
      <c r="Z478" s="437" t="str">
        <f>IFERROR(__xludf.DUMMYFUNCTION("IF(NOT('portfólio'!$AV$7),"""",IF($T478="""","""",IFERROR(query({AtivosDados},""select sum(""&amp;Z$3&amp;"") where Col1='""&amp;$T478&amp;""' label sum(""&amp;Z$3&amp;"") ''""),0)))"),"")</f>
        <v/>
      </c>
      <c r="AA478" s="437" t="str">
        <f>IFERROR(__xludf.DUMMYFUNCTION("IF(NOT('portfólio'!$AV$7),"""",IF($T478="""","""",IFERROR(query({AtivosDados},""select sum(""&amp;AA$3&amp;"") where Col1='""&amp;$T478&amp;""' label sum(""&amp;AA$3&amp;"") ''""),0)))"),"")</f>
        <v/>
      </c>
      <c r="AB478" s="437" t="str">
        <f>IFERROR(__xludf.DUMMYFUNCTION("IF(NOT('portfólio'!$AV$7),"""",IF($T478="""","""",IFERROR(query({AtivosDados},""select sum(""&amp;AB$3&amp;"") where Col1='""&amp;$T478&amp;""' label sum(""&amp;AB$3&amp;"") ''""),0)))"),"")</f>
        <v/>
      </c>
      <c r="AC478" s="437" t="str">
        <f>IFERROR(__xludf.DUMMYFUNCTION("IF(NOT('portfólio'!$AV$7),"""",IF($T478="""","""",IFERROR(query({AtivosDados},""select sum(""&amp;AC$3&amp;"") where Col1='""&amp;$T478&amp;""' label sum(""&amp;AC$3&amp;"") ''""),0)))"),"")</f>
        <v/>
      </c>
      <c r="AD478" s="437" t="str">
        <f>IFERROR(__xludf.DUMMYFUNCTION("IF(NOT('portfólio'!$AV$7),"""",IF($T478="""","""",IFERROR(query({AtivosDados},""select sum(""&amp;AD$3&amp;"") where Col1='""&amp;$T478&amp;""' label sum(""&amp;AD$3&amp;"") ''""),0)))"),"")</f>
        <v/>
      </c>
      <c r="AE478" s="437"/>
      <c r="AF478" s="1327"/>
      <c r="AG478" s="437"/>
      <c r="AH478" s="437"/>
      <c r="AI478" s="437"/>
      <c r="AJ478" s="437"/>
      <c r="AK478" s="437"/>
      <c r="AL478" s="437"/>
      <c r="AM478" s="437"/>
      <c r="AN478" s="437"/>
      <c r="AO478" s="437"/>
      <c r="AP478" s="437"/>
      <c r="AQ478" s="1327"/>
      <c r="AR478" s="437"/>
      <c r="AS478" s="437"/>
      <c r="AT478" s="437"/>
      <c r="AU478" s="437"/>
      <c r="AV478" s="437"/>
      <c r="AW478" s="437"/>
      <c r="AX478" s="437"/>
      <c r="AY478" s="437"/>
      <c r="AZ478" s="437"/>
      <c r="BA478" s="437"/>
      <c r="BB478" s="1327"/>
      <c r="BC478" s="437"/>
      <c r="BD478" s="437"/>
      <c r="BE478" s="437"/>
      <c r="BF478" s="437"/>
      <c r="BG478" s="437"/>
      <c r="BH478" s="437"/>
      <c r="BI478" s="437"/>
      <c r="BJ478" s="437"/>
      <c r="BK478" s="437"/>
      <c r="BL478" s="437"/>
      <c r="BM478" s="1327"/>
      <c r="BN478" s="1327"/>
      <c r="BO478" s="1327"/>
      <c r="BP478" s="1327"/>
      <c r="BQ478" s="1327"/>
      <c r="BR478" s="1327"/>
      <c r="BS478" s="1327"/>
      <c r="BT478" s="1327"/>
      <c r="BU478" s="1327"/>
      <c r="BV478" s="1327"/>
      <c r="BW478" s="1327"/>
      <c r="BX478" s="1327"/>
      <c r="BY478" s="1327"/>
      <c r="BZ478" s="1327"/>
      <c r="CA478" s="1327"/>
      <c r="CB478" s="1327"/>
      <c r="CC478" s="1327"/>
      <c r="CD478" s="1327"/>
      <c r="CE478" s="1327"/>
      <c r="CF478" s="1327"/>
      <c r="CG478" s="1327"/>
      <c r="CH478" s="1327"/>
      <c r="CI478" s="1327"/>
      <c r="CJ478" s="1327"/>
      <c r="CK478" s="1327"/>
      <c r="CL478" s="1327"/>
      <c r="CM478" s="1327"/>
      <c r="CN478" s="1327"/>
      <c r="CO478" s="1327"/>
      <c r="CP478" s="1327"/>
      <c r="CQ478" s="1327"/>
      <c r="CR478" s="1327"/>
      <c r="CS478" s="1327"/>
      <c r="CT478" s="1317"/>
      <c r="CU478" s="1317"/>
      <c r="CV478" s="1317"/>
      <c r="CW478" s="1317"/>
      <c r="CX478" s="1317"/>
      <c r="CY478" s="1317"/>
      <c r="CZ478" s="1317"/>
      <c r="DA478" s="1317"/>
      <c r="DB478" s="1317"/>
      <c r="DC478" s="1317"/>
      <c r="DD478" s="1317"/>
      <c r="DE478" s="1317"/>
      <c r="DF478" s="1317"/>
      <c r="DG478" s="1317"/>
    </row>
    <row r="479" ht="18.75" customHeight="1">
      <c r="G479" s="1344"/>
      <c r="H479" s="1345">
        <f t="shared" si="4"/>
        <v>0</v>
      </c>
      <c r="I479" s="1381"/>
      <c r="J479" s="1381"/>
      <c r="K479" s="1381"/>
      <c r="L479" s="1381"/>
      <c r="M479" s="1381"/>
      <c r="N479" s="1381"/>
      <c r="O479" s="1381"/>
      <c r="P479" s="1381"/>
      <c r="Q479" s="1381"/>
      <c r="R479" s="1381"/>
      <c r="T479" s="1349"/>
      <c r="U479" s="1349" t="s">
        <v>123</v>
      </c>
      <c r="V479" s="1349" t="s">
        <v>123</v>
      </c>
      <c r="W479" s="1349"/>
      <c r="X479" s="1349"/>
      <c r="Y479" s="1308"/>
      <c r="Z479" s="437" t="str">
        <f>IFERROR(__xludf.DUMMYFUNCTION("IF(NOT('portfólio'!$AV$7),"""",IF($T479="""","""",IFERROR(query({AtivosDados},""select sum(""&amp;Z$3&amp;"") where Col1='""&amp;$T479&amp;""' label sum(""&amp;Z$3&amp;"") ''""),0)))"),"")</f>
        <v/>
      </c>
      <c r="AA479" s="437" t="str">
        <f>IFERROR(__xludf.DUMMYFUNCTION("IF(NOT('portfólio'!$AV$7),"""",IF($T479="""","""",IFERROR(query({AtivosDados},""select sum(""&amp;AA$3&amp;"") where Col1='""&amp;$T479&amp;""' label sum(""&amp;AA$3&amp;"") ''""),0)))"),"")</f>
        <v/>
      </c>
      <c r="AB479" s="437" t="str">
        <f>IFERROR(__xludf.DUMMYFUNCTION("IF(NOT('portfólio'!$AV$7),"""",IF($T479="""","""",IFERROR(query({AtivosDados},""select sum(""&amp;AB$3&amp;"") where Col1='""&amp;$T479&amp;""' label sum(""&amp;AB$3&amp;"") ''""),0)))"),"")</f>
        <v/>
      </c>
      <c r="AC479" s="437" t="str">
        <f>IFERROR(__xludf.DUMMYFUNCTION("IF(NOT('portfólio'!$AV$7),"""",IF($T479="""","""",IFERROR(query({AtivosDados},""select sum(""&amp;AC$3&amp;"") where Col1='""&amp;$T479&amp;""' label sum(""&amp;AC$3&amp;"") ''""),0)))"),"")</f>
        <v/>
      </c>
      <c r="AD479" s="437" t="str">
        <f>IFERROR(__xludf.DUMMYFUNCTION("IF(NOT('portfólio'!$AV$7),"""",IF($T479="""","""",IFERROR(query({AtivosDados},""select sum(""&amp;AD$3&amp;"") where Col1='""&amp;$T479&amp;""' label sum(""&amp;AD$3&amp;"") ''""),0)))"),"")</f>
        <v/>
      </c>
      <c r="AE479" s="437"/>
      <c r="AF479" s="1327"/>
      <c r="AG479" s="437"/>
      <c r="AH479" s="437"/>
      <c r="AI479" s="437"/>
      <c r="AJ479" s="437"/>
      <c r="AK479" s="437"/>
      <c r="AL479" s="437"/>
      <c r="AM479" s="437"/>
      <c r="AN479" s="437"/>
      <c r="AO479" s="437"/>
      <c r="AP479" s="437"/>
      <c r="AQ479" s="1327"/>
      <c r="AR479" s="437"/>
      <c r="AS479" s="437"/>
      <c r="AT479" s="437"/>
      <c r="AU479" s="437"/>
      <c r="AV479" s="437"/>
      <c r="AW479" s="437"/>
      <c r="AX479" s="437"/>
      <c r="AY479" s="437"/>
      <c r="AZ479" s="437"/>
      <c r="BA479" s="437"/>
      <c r="BB479" s="1327"/>
      <c r="BC479" s="437"/>
      <c r="BD479" s="437"/>
      <c r="BE479" s="437"/>
      <c r="BF479" s="437"/>
      <c r="BG479" s="437"/>
      <c r="BH479" s="437"/>
      <c r="BI479" s="437"/>
      <c r="BJ479" s="437"/>
      <c r="BK479" s="437"/>
      <c r="BL479" s="437"/>
      <c r="BM479" s="1327"/>
      <c r="BN479" s="1327"/>
      <c r="BO479" s="1327"/>
      <c r="BP479" s="1327"/>
      <c r="BQ479" s="1327"/>
      <c r="BR479" s="1327"/>
      <c r="BS479" s="1327"/>
      <c r="BT479" s="1327"/>
      <c r="BU479" s="1327"/>
      <c r="BV479" s="1327"/>
      <c r="BW479" s="1327"/>
      <c r="BX479" s="1327"/>
      <c r="BY479" s="1327"/>
      <c r="BZ479" s="1327"/>
      <c r="CA479" s="1327"/>
      <c r="CB479" s="1327"/>
      <c r="CC479" s="1327"/>
      <c r="CD479" s="1327"/>
      <c r="CE479" s="1327"/>
      <c r="CF479" s="1327"/>
      <c r="CG479" s="1327"/>
      <c r="CH479" s="1327"/>
      <c r="CI479" s="1327"/>
      <c r="CJ479" s="1327"/>
      <c r="CK479" s="1327"/>
      <c r="CL479" s="1327"/>
      <c r="CM479" s="1327"/>
      <c r="CN479" s="1327"/>
      <c r="CO479" s="1327"/>
      <c r="CP479" s="1327"/>
      <c r="CQ479" s="1327"/>
      <c r="CR479" s="1327"/>
      <c r="CS479" s="1327"/>
      <c r="CT479" s="1317"/>
      <c r="CU479" s="1317"/>
      <c r="CV479" s="1317"/>
      <c r="CW479" s="1317"/>
      <c r="CX479" s="1317"/>
      <c r="CY479" s="1317"/>
      <c r="CZ479" s="1317"/>
      <c r="DA479" s="1317"/>
      <c r="DB479" s="1317"/>
      <c r="DC479" s="1317"/>
      <c r="DD479" s="1317"/>
      <c r="DE479" s="1317"/>
      <c r="DF479" s="1317"/>
      <c r="DG479" s="1317"/>
    </row>
    <row r="480" ht="18.75" customHeight="1">
      <c r="G480" s="1344"/>
      <c r="H480" s="1345">
        <f t="shared" si="4"/>
        <v>0</v>
      </c>
      <c r="I480" s="1381"/>
      <c r="J480" s="1381"/>
      <c r="K480" s="1381"/>
      <c r="L480" s="1381"/>
      <c r="M480" s="1381"/>
      <c r="N480" s="1381"/>
      <c r="O480" s="1381"/>
      <c r="P480" s="1381"/>
      <c r="Q480" s="1381"/>
      <c r="R480" s="1381"/>
      <c r="T480" s="1349"/>
      <c r="U480" s="1349" t="s">
        <v>123</v>
      </c>
      <c r="V480" s="1349" t="s">
        <v>123</v>
      </c>
      <c r="W480" s="1349"/>
      <c r="X480" s="1349"/>
      <c r="Y480" s="1308"/>
      <c r="Z480" s="437" t="str">
        <f>IFERROR(__xludf.DUMMYFUNCTION("IF(NOT('portfólio'!$AV$7),"""",IF($T480="""","""",IFERROR(query({AtivosDados},""select sum(""&amp;Z$3&amp;"") where Col1='""&amp;$T480&amp;""' label sum(""&amp;Z$3&amp;"") ''""),0)))"),"")</f>
        <v/>
      </c>
      <c r="AA480" s="437" t="str">
        <f>IFERROR(__xludf.DUMMYFUNCTION("IF(NOT('portfólio'!$AV$7),"""",IF($T480="""","""",IFERROR(query({AtivosDados},""select sum(""&amp;AA$3&amp;"") where Col1='""&amp;$T480&amp;""' label sum(""&amp;AA$3&amp;"") ''""),0)))"),"")</f>
        <v/>
      </c>
      <c r="AB480" s="437" t="str">
        <f>IFERROR(__xludf.DUMMYFUNCTION("IF(NOT('portfólio'!$AV$7),"""",IF($T480="""","""",IFERROR(query({AtivosDados},""select sum(""&amp;AB$3&amp;"") where Col1='""&amp;$T480&amp;""' label sum(""&amp;AB$3&amp;"") ''""),0)))"),"")</f>
        <v/>
      </c>
      <c r="AC480" s="437" t="str">
        <f>IFERROR(__xludf.DUMMYFUNCTION("IF(NOT('portfólio'!$AV$7),"""",IF($T480="""","""",IFERROR(query({AtivosDados},""select sum(""&amp;AC$3&amp;"") where Col1='""&amp;$T480&amp;""' label sum(""&amp;AC$3&amp;"") ''""),0)))"),"")</f>
        <v/>
      </c>
      <c r="AD480" s="437" t="str">
        <f>IFERROR(__xludf.DUMMYFUNCTION("IF(NOT('portfólio'!$AV$7),"""",IF($T480="""","""",IFERROR(query({AtivosDados},""select sum(""&amp;AD$3&amp;"") where Col1='""&amp;$T480&amp;""' label sum(""&amp;AD$3&amp;"") ''""),0)))"),"")</f>
        <v/>
      </c>
      <c r="AE480" s="437"/>
      <c r="AF480" s="1327"/>
      <c r="AG480" s="437"/>
      <c r="AH480" s="437"/>
      <c r="AI480" s="437"/>
      <c r="AJ480" s="437"/>
      <c r="AK480" s="437"/>
      <c r="AL480" s="437"/>
      <c r="AM480" s="437"/>
      <c r="AN480" s="437"/>
      <c r="AO480" s="437"/>
      <c r="AP480" s="437"/>
      <c r="AQ480" s="1327"/>
      <c r="AR480" s="437"/>
      <c r="AS480" s="437"/>
      <c r="AT480" s="437"/>
      <c r="AU480" s="437"/>
      <c r="AV480" s="437"/>
      <c r="AW480" s="437"/>
      <c r="AX480" s="437"/>
      <c r="AY480" s="437"/>
      <c r="AZ480" s="437"/>
      <c r="BA480" s="437"/>
      <c r="BB480" s="1327"/>
      <c r="BC480" s="437"/>
      <c r="BD480" s="437"/>
      <c r="BE480" s="437"/>
      <c r="BF480" s="437"/>
      <c r="BG480" s="437"/>
      <c r="BH480" s="437"/>
      <c r="BI480" s="437"/>
      <c r="BJ480" s="437"/>
      <c r="BK480" s="437"/>
      <c r="BL480" s="437"/>
      <c r="BM480" s="1327"/>
      <c r="BN480" s="1327"/>
      <c r="BO480" s="1327"/>
      <c r="BP480" s="1327"/>
      <c r="BQ480" s="1327"/>
      <c r="BR480" s="1327"/>
      <c r="BS480" s="1327"/>
      <c r="BT480" s="1327"/>
      <c r="BU480" s="1327"/>
      <c r="BV480" s="1327"/>
      <c r="BW480" s="1327"/>
      <c r="BX480" s="1327"/>
      <c r="BY480" s="1327"/>
      <c r="BZ480" s="1327"/>
      <c r="CA480" s="1327"/>
      <c r="CB480" s="1327"/>
      <c r="CC480" s="1327"/>
      <c r="CD480" s="1327"/>
      <c r="CE480" s="1327"/>
      <c r="CF480" s="1327"/>
      <c r="CG480" s="1327"/>
      <c r="CH480" s="1327"/>
      <c r="CI480" s="1327"/>
      <c r="CJ480" s="1327"/>
      <c r="CK480" s="1327"/>
      <c r="CL480" s="1327"/>
      <c r="CM480" s="1327"/>
      <c r="CN480" s="1327"/>
      <c r="CO480" s="1327"/>
      <c r="CP480" s="1327"/>
      <c r="CQ480" s="1327"/>
      <c r="CR480" s="1327"/>
      <c r="CS480" s="1327"/>
      <c r="CT480" s="1317"/>
      <c r="CU480" s="1317"/>
      <c r="CV480" s="1317"/>
      <c r="CW480" s="1317"/>
      <c r="CX480" s="1317"/>
      <c r="CY480" s="1317"/>
      <c r="CZ480" s="1317"/>
      <c r="DA480" s="1317"/>
      <c r="DB480" s="1317"/>
      <c r="DC480" s="1317"/>
      <c r="DD480" s="1317"/>
      <c r="DE480" s="1317"/>
      <c r="DF480" s="1317"/>
      <c r="DG480" s="1317"/>
    </row>
    <row r="481" ht="18.75" customHeight="1">
      <c r="G481" s="1344"/>
      <c r="H481" s="1345">
        <f t="shared" si="4"/>
        <v>0</v>
      </c>
      <c r="I481" s="1381"/>
      <c r="J481" s="1381"/>
      <c r="K481" s="1381"/>
      <c r="L481" s="1381"/>
      <c r="M481" s="1381"/>
      <c r="N481" s="1381"/>
      <c r="O481" s="1381"/>
      <c r="P481" s="1381"/>
      <c r="Q481" s="1381"/>
      <c r="R481" s="1381"/>
      <c r="T481" s="1349"/>
      <c r="U481" s="1349" t="s">
        <v>123</v>
      </c>
      <c r="V481" s="1349" t="s">
        <v>123</v>
      </c>
      <c r="W481" s="1349"/>
      <c r="X481" s="1349"/>
      <c r="Y481" s="1308"/>
      <c r="Z481" s="437" t="str">
        <f>IFERROR(__xludf.DUMMYFUNCTION("IF(NOT('portfólio'!$AV$7),"""",IF($T481="""","""",IFERROR(query({AtivosDados},""select sum(""&amp;Z$3&amp;"") where Col1='""&amp;$T481&amp;""' label sum(""&amp;Z$3&amp;"") ''""),0)))"),"")</f>
        <v/>
      </c>
      <c r="AA481" s="437" t="str">
        <f>IFERROR(__xludf.DUMMYFUNCTION("IF(NOT('portfólio'!$AV$7),"""",IF($T481="""","""",IFERROR(query({AtivosDados},""select sum(""&amp;AA$3&amp;"") where Col1='""&amp;$T481&amp;""' label sum(""&amp;AA$3&amp;"") ''""),0)))"),"")</f>
        <v/>
      </c>
      <c r="AB481" s="437" t="str">
        <f>IFERROR(__xludf.DUMMYFUNCTION("IF(NOT('portfólio'!$AV$7),"""",IF($T481="""","""",IFERROR(query({AtivosDados},""select sum(""&amp;AB$3&amp;"") where Col1='""&amp;$T481&amp;""' label sum(""&amp;AB$3&amp;"") ''""),0)))"),"")</f>
        <v/>
      </c>
      <c r="AC481" s="437" t="str">
        <f>IFERROR(__xludf.DUMMYFUNCTION("IF(NOT('portfólio'!$AV$7),"""",IF($T481="""","""",IFERROR(query({AtivosDados},""select sum(""&amp;AC$3&amp;"") where Col1='""&amp;$T481&amp;""' label sum(""&amp;AC$3&amp;"") ''""),0)))"),"")</f>
        <v/>
      </c>
      <c r="AD481" s="437" t="str">
        <f>IFERROR(__xludf.DUMMYFUNCTION("IF(NOT('portfólio'!$AV$7),"""",IF($T481="""","""",IFERROR(query({AtivosDados},""select sum(""&amp;AD$3&amp;"") where Col1='""&amp;$T481&amp;""' label sum(""&amp;AD$3&amp;"") ''""),0)))"),"")</f>
        <v/>
      </c>
      <c r="AE481" s="437"/>
      <c r="AF481" s="1327"/>
      <c r="AG481" s="437"/>
      <c r="AH481" s="437"/>
      <c r="AI481" s="437"/>
      <c r="AJ481" s="437"/>
      <c r="AK481" s="437"/>
      <c r="AL481" s="437"/>
      <c r="AM481" s="437"/>
      <c r="AN481" s="437"/>
      <c r="AO481" s="437"/>
      <c r="AP481" s="437"/>
      <c r="AQ481" s="1327"/>
      <c r="AR481" s="437"/>
      <c r="AS481" s="437"/>
      <c r="AT481" s="437"/>
      <c r="AU481" s="437"/>
      <c r="AV481" s="437"/>
      <c r="AW481" s="437"/>
      <c r="AX481" s="437"/>
      <c r="AY481" s="437"/>
      <c r="AZ481" s="437"/>
      <c r="BA481" s="437"/>
      <c r="BB481" s="1327"/>
      <c r="BC481" s="437"/>
      <c r="BD481" s="437"/>
      <c r="BE481" s="437"/>
      <c r="BF481" s="437"/>
      <c r="BG481" s="437"/>
      <c r="BH481" s="437"/>
      <c r="BI481" s="437"/>
      <c r="BJ481" s="437"/>
      <c r="BK481" s="437"/>
      <c r="BL481" s="437"/>
      <c r="BM481" s="1327"/>
      <c r="BN481" s="1327"/>
      <c r="BO481" s="1327"/>
      <c r="BP481" s="1327"/>
      <c r="BQ481" s="1327"/>
      <c r="BR481" s="1327"/>
      <c r="BS481" s="1327"/>
      <c r="BT481" s="1327"/>
      <c r="BU481" s="1327"/>
      <c r="BV481" s="1327"/>
      <c r="BW481" s="1327"/>
      <c r="BX481" s="1327"/>
      <c r="BY481" s="1327"/>
      <c r="BZ481" s="1327"/>
      <c r="CA481" s="1327"/>
      <c r="CB481" s="1327"/>
      <c r="CC481" s="1327"/>
      <c r="CD481" s="1327"/>
      <c r="CE481" s="1327"/>
      <c r="CF481" s="1327"/>
      <c r="CG481" s="1327"/>
      <c r="CH481" s="1327"/>
      <c r="CI481" s="1327"/>
      <c r="CJ481" s="1327"/>
      <c r="CK481" s="1327"/>
      <c r="CL481" s="1327"/>
      <c r="CM481" s="1327"/>
      <c r="CN481" s="1327"/>
      <c r="CO481" s="1327"/>
      <c r="CP481" s="1327"/>
      <c r="CQ481" s="1327"/>
      <c r="CR481" s="1327"/>
      <c r="CS481" s="1327"/>
      <c r="CT481" s="1317"/>
      <c r="CU481" s="1317"/>
      <c r="CV481" s="1317"/>
      <c r="CW481" s="1317"/>
      <c r="CX481" s="1317"/>
      <c r="CY481" s="1317"/>
      <c r="CZ481" s="1317"/>
      <c r="DA481" s="1317"/>
      <c r="DB481" s="1317"/>
      <c r="DC481" s="1317"/>
      <c r="DD481" s="1317"/>
      <c r="DE481" s="1317"/>
      <c r="DF481" s="1317"/>
      <c r="DG481" s="1317"/>
    </row>
    <row r="482" ht="18.75" customHeight="1">
      <c r="G482" s="1344"/>
      <c r="H482" s="1345">
        <f t="shared" si="4"/>
        <v>0</v>
      </c>
      <c r="I482" s="1381"/>
      <c r="J482" s="1381"/>
      <c r="K482" s="1381"/>
      <c r="L482" s="1381"/>
      <c r="M482" s="1381"/>
      <c r="N482" s="1381"/>
      <c r="O482" s="1381"/>
      <c r="P482" s="1381"/>
      <c r="Q482" s="1381"/>
      <c r="R482" s="1381"/>
      <c r="T482" s="1349"/>
      <c r="U482" s="1349" t="s">
        <v>123</v>
      </c>
      <c r="V482" s="1349" t="s">
        <v>123</v>
      </c>
      <c r="W482" s="1349"/>
      <c r="X482" s="1349"/>
      <c r="Y482" s="1308"/>
      <c r="Z482" s="437" t="str">
        <f>IFERROR(__xludf.DUMMYFUNCTION("IF(NOT('portfólio'!$AV$7),"""",IF($T482="""","""",IFERROR(query({AtivosDados},""select sum(""&amp;Z$3&amp;"") where Col1='""&amp;$T482&amp;""' label sum(""&amp;Z$3&amp;"") ''""),0)))"),"")</f>
        <v/>
      </c>
      <c r="AA482" s="437" t="str">
        <f>IFERROR(__xludf.DUMMYFUNCTION("IF(NOT('portfólio'!$AV$7),"""",IF($T482="""","""",IFERROR(query({AtivosDados},""select sum(""&amp;AA$3&amp;"") where Col1='""&amp;$T482&amp;""' label sum(""&amp;AA$3&amp;"") ''""),0)))"),"")</f>
        <v/>
      </c>
      <c r="AB482" s="437" t="str">
        <f>IFERROR(__xludf.DUMMYFUNCTION("IF(NOT('portfólio'!$AV$7),"""",IF($T482="""","""",IFERROR(query({AtivosDados},""select sum(""&amp;AB$3&amp;"") where Col1='""&amp;$T482&amp;""' label sum(""&amp;AB$3&amp;"") ''""),0)))"),"")</f>
        <v/>
      </c>
      <c r="AC482" s="437" t="str">
        <f>IFERROR(__xludf.DUMMYFUNCTION("IF(NOT('portfólio'!$AV$7),"""",IF($T482="""","""",IFERROR(query({AtivosDados},""select sum(""&amp;AC$3&amp;"") where Col1='""&amp;$T482&amp;""' label sum(""&amp;AC$3&amp;"") ''""),0)))"),"")</f>
        <v/>
      </c>
      <c r="AD482" s="437" t="str">
        <f>IFERROR(__xludf.DUMMYFUNCTION("IF(NOT('portfólio'!$AV$7),"""",IF($T482="""","""",IFERROR(query({AtivosDados},""select sum(""&amp;AD$3&amp;"") where Col1='""&amp;$T482&amp;""' label sum(""&amp;AD$3&amp;"") ''""),0)))"),"")</f>
        <v/>
      </c>
      <c r="AE482" s="437"/>
      <c r="AF482" s="1327"/>
      <c r="AG482" s="437"/>
      <c r="AH482" s="437"/>
      <c r="AI482" s="437"/>
      <c r="AJ482" s="437"/>
      <c r="AK482" s="437"/>
      <c r="AL482" s="437"/>
      <c r="AM482" s="437"/>
      <c r="AN482" s="437"/>
      <c r="AO482" s="437"/>
      <c r="AP482" s="437"/>
      <c r="AQ482" s="1327"/>
      <c r="AR482" s="437"/>
      <c r="AS482" s="437"/>
      <c r="AT482" s="437"/>
      <c r="AU482" s="437"/>
      <c r="AV482" s="437"/>
      <c r="AW482" s="437"/>
      <c r="AX482" s="437"/>
      <c r="AY482" s="437"/>
      <c r="AZ482" s="437"/>
      <c r="BA482" s="437"/>
      <c r="BB482" s="1327"/>
      <c r="BC482" s="437"/>
      <c r="BD482" s="437"/>
      <c r="BE482" s="437"/>
      <c r="BF482" s="437"/>
      <c r="BG482" s="437"/>
      <c r="BH482" s="437"/>
      <c r="BI482" s="437"/>
      <c r="BJ482" s="437"/>
      <c r="BK482" s="437"/>
      <c r="BL482" s="437"/>
      <c r="BM482" s="1327"/>
      <c r="BN482" s="1327"/>
      <c r="BO482" s="1327"/>
      <c r="BP482" s="1327"/>
      <c r="BQ482" s="1327"/>
      <c r="BR482" s="1327"/>
      <c r="BS482" s="1327"/>
      <c r="BT482" s="1327"/>
      <c r="BU482" s="1327"/>
      <c r="BV482" s="1327"/>
      <c r="BW482" s="1327"/>
      <c r="BX482" s="1327"/>
      <c r="BY482" s="1327"/>
      <c r="BZ482" s="1327"/>
      <c r="CA482" s="1327"/>
      <c r="CB482" s="1327"/>
      <c r="CC482" s="1327"/>
      <c r="CD482" s="1327"/>
      <c r="CE482" s="1327"/>
      <c r="CF482" s="1327"/>
      <c r="CG482" s="1327"/>
      <c r="CH482" s="1327"/>
      <c r="CI482" s="1327"/>
      <c r="CJ482" s="1327"/>
      <c r="CK482" s="1327"/>
      <c r="CL482" s="1327"/>
      <c r="CM482" s="1327"/>
      <c r="CN482" s="1327"/>
      <c r="CO482" s="1327"/>
      <c r="CP482" s="1327"/>
      <c r="CQ482" s="1327"/>
      <c r="CR482" s="1327"/>
      <c r="CS482" s="1327"/>
      <c r="CT482" s="1317"/>
      <c r="CU482" s="1317"/>
      <c r="CV482" s="1317"/>
      <c r="CW482" s="1317"/>
      <c r="CX482" s="1317"/>
      <c r="CY482" s="1317"/>
      <c r="CZ482" s="1317"/>
      <c r="DA482" s="1317"/>
      <c r="DB482" s="1317"/>
      <c r="DC482" s="1317"/>
      <c r="DD482" s="1317"/>
      <c r="DE482" s="1317"/>
      <c r="DF482" s="1317"/>
      <c r="DG482" s="1317"/>
    </row>
    <row r="483" ht="18.75" customHeight="1">
      <c r="G483" s="1344"/>
      <c r="H483" s="1345">
        <f t="shared" si="4"/>
        <v>0</v>
      </c>
      <c r="I483" s="1381"/>
      <c r="J483" s="1381"/>
      <c r="K483" s="1381"/>
      <c r="L483" s="1381"/>
      <c r="M483" s="1381"/>
      <c r="N483" s="1381"/>
      <c r="O483" s="1381"/>
      <c r="P483" s="1381"/>
      <c r="Q483" s="1381"/>
      <c r="R483" s="1381"/>
      <c r="T483" s="1349"/>
      <c r="U483" s="1349" t="s">
        <v>123</v>
      </c>
      <c r="V483" s="1349" t="s">
        <v>123</v>
      </c>
      <c r="W483" s="1349"/>
      <c r="X483" s="1349"/>
      <c r="Y483" s="1308"/>
      <c r="Z483" s="437" t="str">
        <f>IFERROR(__xludf.DUMMYFUNCTION("IF(NOT('portfólio'!$AV$7),"""",IF($T483="""","""",IFERROR(query({AtivosDados},""select sum(""&amp;Z$3&amp;"") where Col1='""&amp;$T483&amp;""' label sum(""&amp;Z$3&amp;"") ''""),0)))"),"")</f>
        <v/>
      </c>
      <c r="AA483" s="437" t="str">
        <f>IFERROR(__xludf.DUMMYFUNCTION("IF(NOT('portfólio'!$AV$7),"""",IF($T483="""","""",IFERROR(query({AtivosDados},""select sum(""&amp;AA$3&amp;"") where Col1='""&amp;$T483&amp;""' label sum(""&amp;AA$3&amp;"") ''""),0)))"),"")</f>
        <v/>
      </c>
      <c r="AB483" s="437" t="str">
        <f>IFERROR(__xludf.DUMMYFUNCTION("IF(NOT('portfólio'!$AV$7),"""",IF($T483="""","""",IFERROR(query({AtivosDados},""select sum(""&amp;AB$3&amp;"") where Col1='""&amp;$T483&amp;""' label sum(""&amp;AB$3&amp;"") ''""),0)))"),"")</f>
        <v/>
      </c>
      <c r="AC483" s="437" t="str">
        <f>IFERROR(__xludf.DUMMYFUNCTION("IF(NOT('portfólio'!$AV$7),"""",IF($T483="""","""",IFERROR(query({AtivosDados},""select sum(""&amp;AC$3&amp;"") where Col1='""&amp;$T483&amp;""' label sum(""&amp;AC$3&amp;"") ''""),0)))"),"")</f>
        <v/>
      </c>
      <c r="AD483" s="437" t="str">
        <f>IFERROR(__xludf.DUMMYFUNCTION("IF(NOT('portfólio'!$AV$7),"""",IF($T483="""","""",IFERROR(query({AtivosDados},""select sum(""&amp;AD$3&amp;"") where Col1='""&amp;$T483&amp;""' label sum(""&amp;AD$3&amp;"") ''""),0)))"),"")</f>
        <v/>
      </c>
      <c r="AE483" s="437"/>
      <c r="AF483" s="1327"/>
      <c r="AG483" s="437"/>
      <c r="AH483" s="437"/>
      <c r="AI483" s="437"/>
      <c r="AJ483" s="437"/>
      <c r="AK483" s="437"/>
      <c r="AL483" s="437"/>
      <c r="AM483" s="437"/>
      <c r="AN483" s="437"/>
      <c r="AO483" s="437"/>
      <c r="AP483" s="437"/>
      <c r="AQ483" s="1327"/>
      <c r="AR483" s="437"/>
      <c r="AS483" s="437"/>
      <c r="AT483" s="437"/>
      <c r="AU483" s="437"/>
      <c r="AV483" s="437"/>
      <c r="AW483" s="437"/>
      <c r="AX483" s="437"/>
      <c r="AY483" s="437"/>
      <c r="AZ483" s="437"/>
      <c r="BA483" s="437"/>
      <c r="BB483" s="1327"/>
      <c r="BC483" s="437"/>
      <c r="BD483" s="437"/>
      <c r="BE483" s="437"/>
      <c r="BF483" s="437"/>
      <c r="BG483" s="437"/>
      <c r="BH483" s="437"/>
      <c r="BI483" s="437"/>
      <c r="BJ483" s="437"/>
      <c r="BK483" s="437"/>
      <c r="BL483" s="437"/>
      <c r="BM483" s="1327"/>
      <c r="BN483" s="1327"/>
      <c r="BO483" s="1327"/>
      <c r="BP483" s="1327"/>
      <c r="BQ483" s="1327"/>
      <c r="BR483" s="1327"/>
      <c r="BS483" s="1327"/>
      <c r="BT483" s="1327"/>
      <c r="BU483" s="1327"/>
      <c r="BV483" s="1327"/>
      <c r="BW483" s="1327"/>
      <c r="BX483" s="1327"/>
      <c r="BY483" s="1327"/>
      <c r="BZ483" s="1327"/>
      <c r="CA483" s="1327"/>
      <c r="CB483" s="1327"/>
      <c r="CC483" s="1327"/>
      <c r="CD483" s="1327"/>
      <c r="CE483" s="1327"/>
      <c r="CF483" s="1327"/>
      <c r="CG483" s="1327"/>
      <c r="CH483" s="1327"/>
      <c r="CI483" s="1327"/>
      <c r="CJ483" s="1327"/>
      <c r="CK483" s="1327"/>
      <c r="CL483" s="1327"/>
      <c r="CM483" s="1327"/>
      <c r="CN483" s="1327"/>
      <c r="CO483" s="1327"/>
      <c r="CP483" s="1327"/>
      <c r="CQ483" s="1327"/>
      <c r="CR483" s="1327"/>
      <c r="CS483" s="1327"/>
      <c r="CT483" s="1317"/>
      <c r="CU483" s="1317"/>
      <c r="CV483" s="1317"/>
      <c r="CW483" s="1317"/>
      <c r="CX483" s="1317"/>
      <c r="CY483" s="1317"/>
      <c r="CZ483" s="1317"/>
      <c r="DA483" s="1317"/>
      <c r="DB483" s="1317"/>
      <c r="DC483" s="1317"/>
      <c r="DD483" s="1317"/>
      <c r="DE483" s="1317"/>
      <c r="DF483" s="1317"/>
      <c r="DG483" s="1317"/>
    </row>
    <row r="484" ht="18.75" customHeight="1">
      <c r="G484" s="1344"/>
      <c r="H484" s="1345">
        <f t="shared" si="4"/>
        <v>0</v>
      </c>
      <c r="I484" s="1381"/>
      <c r="J484" s="1381"/>
      <c r="K484" s="1381"/>
      <c r="L484" s="1381"/>
      <c r="M484" s="1381"/>
      <c r="N484" s="1381"/>
      <c r="O484" s="1381"/>
      <c r="P484" s="1381"/>
      <c r="Q484" s="1381"/>
      <c r="R484" s="1381"/>
      <c r="T484" s="1349"/>
      <c r="U484" s="1349" t="s">
        <v>123</v>
      </c>
      <c r="V484" s="1349" t="s">
        <v>123</v>
      </c>
      <c r="W484" s="1349"/>
      <c r="X484" s="1349"/>
      <c r="Y484" s="1308"/>
      <c r="Z484" s="437" t="str">
        <f>IFERROR(__xludf.DUMMYFUNCTION("IF(NOT('portfólio'!$AV$7),"""",IF($T484="""","""",IFERROR(query({AtivosDados},""select sum(""&amp;Z$3&amp;"") where Col1='""&amp;$T484&amp;""' label sum(""&amp;Z$3&amp;"") ''""),0)))"),"")</f>
        <v/>
      </c>
      <c r="AA484" s="437" t="str">
        <f>IFERROR(__xludf.DUMMYFUNCTION("IF(NOT('portfólio'!$AV$7),"""",IF($T484="""","""",IFERROR(query({AtivosDados},""select sum(""&amp;AA$3&amp;"") where Col1='""&amp;$T484&amp;""' label sum(""&amp;AA$3&amp;"") ''""),0)))"),"")</f>
        <v/>
      </c>
      <c r="AB484" s="437" t="str">
        <f>IFERROR(__xludf.DUMMYFUNCTION("IF(NOT('portfólio'!$AV$7),"""",IF($T484="""","""",IFERROR(query({AtivosDados},""select sum(""&amp;AB$3&amp;"") where Col1='""&amp;$T484&amp;""' label sum(""&amp;AB$3&amp;"") ''""),0)))"),"")</f>
        <v/>
      </c>
      <c r="AC484" s="437" t="str">
        <f>IFERROR(__xludf.DUMMYFUNCTION("IF(NOT('portfólio'!$AV$7),"""",IF($T484="""","""",IFERROR(query({AtivosDados},""select sum(""&amp;AC$3&amp;"") where Col1='""&amp;$T484&amp;""' label sum(""&amp;AC$3&amp;"") ''""),0)))"),"")</f>
        <v/>
      </c>
      <c r="AD484" s="437" t="str">
        <f>IFERROR(__xludf.DUMMYFUNCTION("IF(NOT('portfólio'!$AV$7),"""",IF($T484="""","""",IFERROR(query({AtivosDados},""select sum(""&amp;AD$3&amp;"") where Col1='""&amp;$T484&amp;""' label sum(""&amp;AD$3&amp;"") ''""),0)))"),"")</f>
        <v/>
      </c>
      <c r="AE484" s="437"/>
      <c r="AF484" s="1327"/>
      <c r="AG484" s="437"/>
      <c r="AH484" s="437"/>
      <c r="AI484" s="437"/>
      <c r="AJ484" s="437"/>
      <c r="AK484" s="437"/>
      <c r="AL484" s="437"/>
      <c r="AM484" s="437"/>
      <c r="AN484" s="437"/>
      <c r="AO484" s="437"/>
      <c r="AP484" s="437"/>
      <c r="AQ484" s="1327"/>
      <c r="AR484" s="437"/>
      <c r="AS484" s="437"/>
      <c r="AT484" s="437"/>
      <c r="AU484" s="437"/>
      <c r="AV484" s="437"/>
      <c r="AW484" s="437"/>
      <c r="AX484" s="437"/>
      <c r="AY484" s="437"/>
      <c r="AZ484" s="437"/>
      <c r="BA484" s="437"/>
      <c r="BB484" s="1327"/>
      <c r="BC484" s="437"/>
      <c r="BD484" s="437"/>
      <c r="BE484" s="437"/>
      <c r="BF484" s="437"/>
      <c r="BG484" s="437"/>
      <c r="BH484" s="437"/>
      <c r="BI484" s="437"/>
      <c r="BJ484" s="437"/>
      <c r="BK484" s="437"/>
      <c r="BL484" s="437"/>
      <c r="BM484" s="1327"/>
      <c r="BN484" s="1327"/>
      <c r="BO484" s="1327"/>
      <c r="BP484" s="1327"/>
      <c r="BQ484" s="1327"/>
      <c r="BR484" s="1327"/>
      <c r="BS484" s="1327"/>
      <c r="BT484" s="1327"/>
      <c r="BU484" s="1327"/>
      <c r="BV484" s="1327"/>
      <c r="BW484" s="1327"/>
      <c r="BX484" s="1327"/>
      <c r="BY484" s="1327"/>
      <c r="BZ484" s="1327"/>
      <c r="CA484" s="1327"/>
      <c r="CB484" s="1327"/>
      <c r="CC484" s="1327"/>
      <c r="CD484" s="1327"/>
      <c r="CE484" s="1327"/>
      <c r="CF484" s="1327"/>
      <c r="CG484" s="1327"/>
      <c r="CH484" s="1327"/>
      <c r="CI484" s="1327"/>
      <c r="CJ484" s="1327"/>
      <c r="CK484" s="1327"/>
      <c r="CL484" s="1327"/>
      <c r="CM484" s="1327"/>
      <c r="CN484" s="1327"/>
      <c r="CO484" s="1327"/>
      <c r="CP484" s="1327"/>
      <c r="CQ484" s="1327"/>
      <c r="CR484" s="1327"/>
      <c r="CS484" s="1327"/>
      <c r="CT484" s="1317"/>
      <c r="CU484" s="1317"/>
      <c r="CV484" s="1317"/>
      <c r="CW484" s="1317"/>
      <c r="CX484" s="1317"/>
      <c r="CY484" s="1317"/>
      <c r="CZ484" s="1317"/>
      <c r="DA484" s="1317"/>
      <c r="DB484" s="1317"/>
      <c r="DC484" s="1317"/>
      <c r="DD484" s="1317"/>
      <c r="DE484" s="1317"/>
      <c r="DF484" s="1317"/>
      <c r="DG484" s="1317"/>
    </row>
    <row r="485" ht="18.75" customHeight="1">
      <c r="G485" s="1344"/>
      <c r="H485" s="1345">
        <f t="shared" si="4"/>
        <v>0</v>
      </c>
      <c r="I485" s="1381"/>
      <c r="J485" s="1381"/>
      <c r="K485" s="1381"/>
      <c r="L485" s="1381"/>
      <c r="M485" s="1381"/>
      <c r="N485" s="1381"/>
      <c r="O485" s="1381"/>
      <c r="P485" s="1381"/>
      <c r="Q485" s="1381"/>
      <c r="R485" s="1381"/>
      <c r="T485" s="1349"/>
      <c r="U485" s="1349" t="s">
        <v>123</v>
      </c>
      <c r="V485" s="1349" t="s">
        <v>123</v>
      </c>
      <c r="W485" s="1349"/>
      <c r="X485" s="1349"/>
      <c r="Y485" s="1308"/>
      <c r="Z485" s="437" t="str">
        <f>IFERROR(__xludf.DUMMYFUNCTION("IF(NOT('portfólio'!$AV$7),"""",IF($T485="""","""",IFERROR(query({AtivosDados},""select sum(""&amp;Z$3&amp;"") where Col1='""&amp;$T485&amp;""' label sum(""&amp;Z$3&amp;"") ''""),0)))"),"")</f>
        <v/>
      </c>
      <c r="AA485" s="437" t="str">
        <f>IFERROR(__xludf.DUMMYFUNCTION("IF(NOT('portfólio'!$AV$7),"""",IF($T485="""","""",IFERROR(query({AtivosDados},""select sum(""&amp;AA$3&amp;"") where Col1='""&amp;$T485&amp;""' label sum(""&amp;AA$3&amp;"") ''""),0)))"),"")</f>
        <v/>
      </c>
      <c r="AB485" s="437" t="str">
        <f>IFERROR(__xludf.DUMMYFUNCTION("IF(NOT('portfólio'!$AV$7),"""",IF($T485="""","""",IFERROR(query({AtivosDados},""select sum(""&amp;AB$3&amp;"") where Col1='""&amp;$T485&amp;""' label sum(""&amp;AB$3&amp;"") ''""),0)))"),"")</f>
        <v/>
      </c>
      <c r="AC485" s="437" t="str">
        <f>IFERROR(__xludf.DUMMYFUNCTION("IF(NOT('portfólio'!$AV$7),"""",IF($T485="""","""",IFERROR(query({AtivosDados},""select sum(""&amp;AC$3&amp;"") where Col1='""&amp;$T485&amp;""' label sum(""&amp;AC$3&amp;"") ''""),0)))"),"")</f>
        <v/>
      </c>
      <c r="AD485" s="437" t="str">
        <f>IFERROR(__xludf.DUMMYFUNCTION("IF(NOT('portfólio'!$AV$7),"""",IF($T485="""","""",IFERROR(query({AtivosDados},""select sum(""&amp;AD$3&amp;"") where Col1='""&amp;$T485&amp;""' label sum(""&amp;AD$3&amp;"") ''""),0)))"),"")</f>
        <v/>
      </c>
      <c r="AE485" s="437"/>
      <c r="AF485" s="1327"/>
      <c r="AG485" s="437"/>
      <c r="AH485" s="437"/>
      <c r="AI485" s="437"/>
      <c r="AJ485" s="437"/>
      <c r="AK485" s="437"/>
      <c r="AL485" s="437"/>
      <c r="AM485" s="437"/>
      <c r="AN485" s="437"/>
      <c r="AO485" s="437"/>
      <c r="AP485" s="437"/>
      <c r="AQ485" s="1327"/>
      <c r="AR485" s="437"/>
      <c r="AS485" s="437"/>
      <c r="AT485" s="437"/>
      <c r="AU485" s="437"/>
      <c r="AV485" s="437"/>
      <c r="AW485" s="437"/>
      <c r="AX485" s="437"/>
      <c r="AY485" s="437"/>
      <c r="AZ485" s="437"/>
      <c r="BA485" s="437"/>
      <c r="BB485" s="1327"/>
      <c r="BC485" s="437"/>
      <c r="BD485" s="437"/>
      <c r="BE485" s="437"/>
      <c r="BF485" s="437"/>
      <c r="BG485" s="437"/>
      <c r="BH485" s="437"/>
      <c r="BI485" s="437"/>
      <c r="BJ485" s="437"/>
      <c r="BK485" s="437"/>
      <c r="BL485" s="437"/>
      <c r="BM485" s="1327"/>
      <c r="BN485" s="1327"/>
      <c r="BO485" s="1327"/>
      <c r="BP485" s="1327"/>
      <c r="BQ485" s="1327"/>
      <c r="BR485" s="1327"/>
      <c r="BS485" s="1327"/>
      <c r="BT485" s="1327"/>
      <c r="BU485" s="1327"/>
      <c r="BV485" s="1327"/>
      <c r="BW485" s="1327"/>
      <c r="BX485" s="1327"/>
      <c r="BY485" s="1327"/>
      <c r="BZ485" s="1327"/>
      <c r="CA485" s="1327"/>
      <c r="CB485" s="1327"/>
      <c r="CC485" s="1327"/>
      <c r="CD485" s="1327"/>
      <c r="CE485" s="1327"/>
      <c r="CF485" s="1327"/>
      <c r="CG485" s="1327"/>
      <c r="CH485" s="1327"/>
      <c r="CI485" s="1327"/>
      <c r="CJ485" s="1327"/>
      <c r="CK485" s="1327"/>
      <c r="CL485" s="1327"/>
      <c r="CM485" s="1327"/>
      <c r="CN485" s="1327"/>
      <c r="CO485" s="1327"/>
      <c r="CP485" s="1327"/>
      <c r="CQ485" s="1327"/>
      <c r="CR485" s="1327"/>
      <c r="CS485" s="1327"/>
      <c r="CT485" s="1317"/>
      <c r="CU485" s="1317"/>
      <c r="CV485" s="1317"/>
      <c r="CW485" s="1317"/>
      <c r="CX485" s="1317"/>
      <c r="CY485" s="1317"/>
      <c r="CZ485" s="1317"/>
      <c r="DA485" s="1317"/>
      <c r="DB485" s="1317"/>
      <c r="DC485" s="1317"/>
      <c r="DD485" s="1317"/>
      <c r="DE485" s="1317"/>
      <c r="DF485" s="1317"/>
      <c r="DG485" s="1317"/>
    </row>
    <row r="486" ht="18.75" customHeight="1">
      <c r="G486" s="1344"/>
      <c r="H486" s="1345">
        <f t="shared" si="4"/>
        <v>0</v>
      </c>
      <c r="I486" s="1381"/>
      <c r="J486" s="1381"/>
      <c r="K486" s="1381"/>
      <c r="L486" s="1381"/>
      <c r="M486" s="1381"/>
      <c r="N486" s="1381"/>
      <c r="O486" s="1381"/>
      <c r="P486" s="1381"/>
      <c r="Q486" s="1381"/>
      <c r="R486" s="1381"/>
      <c r="T486" s="1349"/>
      <c r="U486" s="1349" t="s">
        <v>123</v>
      </c>
      <c r="V486" s="1349" t="s">
        <v>123</v>
      </c>
      <c r="W486" s="1349"/>
      <c r="X486" s="1349"/>
      <c r="Y486" s="1308"/>
      <c r="Z486" s="437" t="str">
        <f>IFERROR(__xludf.DUMMYFUNCTION("IF(NOT('portfólio'!$AV$7),"""",IF($T486="""","""",IFERROR(query({AtivosDados},""select sum(""&amp;Z$3&amp;"") where Col1='""&amp;$T486&amp;""' label sum(""&amp;Z$3&amp;"") ''""),0)))"),"")</f>
        <v/>
      </c>
      <c r="AA486" s="437" t="str">
        <f>IFERROR(__xludf.DUMMYFUNCTION("IF(NOT('portfólio'!$AV$7),"""",IF($T486="""","""",IFERROR(query({AtivosDados},""select sum(""&amp;AA$3&amp;"") where Col1='""&amp;$T486&amp;""' label sum(""&amp;AA$3&amp;"") ''""),0)))"),"")</f>
        <v/>
      </c>
      <c r="AB486" s="437" t="str">
        <f>IFERROR(__xludf.DUMMYFUNCTION("IF(NOT('portfólio'!$AV$7),"""",IF($T486="""","""",IFERROR(query({AtivosDados},""select sum(""&amp;AB$3&amp;"") where Col1='""&amp;$T486&amp;""' label sum(""&amp;AB$3&amp;"") ''""),0)))"),"")</f>
        <v/>
      </c>
      <c r="AC486" s="437" t="str">
        <f>IFERROR(__xludf.DUMMYFUNCTION("IF(NOT('portfólio'!$AV$7),"""",IF($T486="""","""",IFERROR(query({AtivosDados},""select sum(""&amp;AC$3&amp;"") where Col1='""&amp;$T486&amp;""' label sum(""&amp;AC$3&amp;"") ''""),0)))"),"")</f>
        <v/>
      </c>
      <c r="AD486" s="437" t="str">
        <f>IFERROR(__xludf.DUMMYFUNCTION("IF(NOT('portfólio'!$AV$7),"""",IF($T486="""","""",IFERROR(query({AtivosDados},""select sum(""&amp;AD$3&amp;"") where Col1='""&amp;$T486&amp;""' label sum(""&amp;AD$3&amp;"") ''""),0)))"),"")</f>
        <v/>
      </c>
      <c r="AE486" s="437"/>
      <c r="AF486" s="1327"/>
      <c r="AG486" s="437"/>
      <c r="AH486" s="437"/>
      <c r="AI486" s="437"/>
      <c r="AJ486" s="437"/>
      <c r="AK486" s="437"/>
      <c r="AL486" s="437"/>
      <c r="AM486" s="437"/>
      <c r="AN486" s="437"/>
      <c r="AO486" s="437"/>
      <c r="AP486" s="437"/>
      <c r="AQ486" s="1327"/>
      <c r="AR486" s="437"/>
      <c r="AS486" s="437"/>
      <c r="AT486" s="437"/>
      <c r="AU486" s="437"/>
      <c r="AV486" s="437"/>
      <c r="AW486" s="437"/>
      <c r="AX486" s="437"/>
      <c r="AY486" s="437"/>
      <c r="AZ486" s="437"/>
      <c r="BA486" s="437"/>
      <c r="BB486" s="1327"/>
      <c r="BC486" s="437"/>
      <c r="BD486" s="437"/>
      <c r="BE486" s="437"/>
      <c r="BF486" s="437"/>
      <c r="BG486" s="437"/>
      <c r="BH486" s="437"/>
      <c r="BI486" s="437"/>
      <c r="BJ486" s="437"/>
      <c r="BK486" s="437"/>
      <c r="BL486" s="437"/>
      <c r="BM486" s="1327"/>
      <c r="BN486" s="1327"/>
      <c r="BO486" s="1327"/>
      <c r="BP486" s="1327"/>
      <c r="BQ486" s="1327"/>
      <c r="BR486" s="1327"/>
      <c r="BS486" s="1327"/>
      <c r="BT486" s="1327"/>
      <c r="BU486" s="1327"/>
      <c r="BV486" s="1327"/>
      <c r="BW486" s="1327"/>
      <c r="BX486" s="1327"/>
      <c r="BY486" s="1327"/>
      <c r="BZ486" s="1327"/>
      <c r="CA486" s="1327"/>
      <c r="CB486" s="1327"/>
      <c r="CC486" s="1327"/>
      <c r="CD486" s="1327"/>
      <c r="CE486" s="1327"/>
      <c r="CF486" s="1327"/>
      <c r="CG486" s="1327"/>
      <c r="CH486" s="1327"/>
      <c r="CI486" s="1327"/>
      <c r="CJ486" s="1327"/>
      <c r="CK486" s="1327"/>
      <c r="CL486" s="1327"/>
      <c r="CM486" s="1327"/>
      <c r="CN486" s="1327"/>
      <c r="CO486" s="1327"/>
      <c r="CP486" s="1327"/>
      <c r="CQ486" s="1327"/>
      <c r="CR486" s="1327"/>
      <c r="CS486" s="1327"/>
      <c r="CT486" s="1317"/>
      <c r="CU486" s="1317"/>
      <c r="CV486" s="1317"/>
      <c r="CW486" s="1317"/>
      <c r="CX486" s="1317"/>
      <c r="CY486" s="1317"/>
      <c r="CZ486" s="1317"/>
      <c r="DA486" s="1317"/>
      <c r="DB486" s="1317"/>
      <c r="DC486" s="1317"/>
      <c r="DD486" s="1317"/>
      <c r="DE486" s="1317"/>
      <c r="DF486" s="1317"/>
      <c r="DG486" s="1317"/>
    </row>
    <row r="487" ht="18.75" customHeight="1">
      <c r="G487" s="1344"/>
      <c r="H487" s="1345">
        <f t="shared" si="4"/>
        <v>0</v>
      </c>
      <c r="I487" s="1381"/>
      <c r="J487" s="1381"/>
      <c r="K487" s="1381"/>
      <c r="L487" s="1381"/>
      <c r="M487" s="1381"/>
      <c r="N487" s="1381"/>
      <c r="O487" s="1381"/>
      <c r="P487" s="1381"/>
      <c r="Q487" s="1381"/>
      <c r="R487" s="1381"/>
      <c r="T487" s="1349"/>
      <c r="U487" s="1349" t="s">
        <v>123</v>
      </c>
      <c r="V487" s="1349" t="s">
        <v>123</v>
      </c>
      <c r="W487" s="1349"/>
      <c r="X487" s="1349"/>
      <c r="Y487" s="1308"/>
      <c r="Z487" s="437" t="str">
        <f>IFERROR(__xludf.DUMMYFUNCTION("IF(NOT('portfólio'!$AV$7),"""",IF($T487="""","""",IFERROR(query({AtivosDados},""select sum(""&amp;Z$3&amp;"") where Col1='""&amp;$T487&amp;""' label sum(""&amp;Z$3&amp;"") ''""),0)))"),"")</f>
        <v/>
      </c>
      <c r="AA487" s="437" t="str">
        <f>IFERROR(__xludf.DUMMYFUNCTION("IF(NOT('portfólio'!$AV$7),"""",IF($T487="""","""",IFERROR(query({AtivosDados},""select sum(""&amp;AA$3&amp;"") where Col1='""&amp;$T487&amp;""' label sum(""&amp;AA$3&amp;"") ''""),0)))"),"")</f>
        <v/>
      </c>
      <c r="AB487" s="437" t="str">
        <f>IFERROR(__xludf.DUMMYFUNCTION("IF(NOT('portfólio'!$AV$7),"""",IF($T487="""","""",IFERROR(query({AtivosDados},""select sum(""&amp;AB$3&amp;"") where Col1='""&amp;$T487&amp;""' label sum(""&amp;AB$3&amp;"") ''""),0)))"),"")</f>
        <v/>
      </c>
      <c r="AC487" s="437" t="str">
        <f>IFERROR(__xludf.DUMMYFUNCTION("IF(NOT('portfólio'!$AV$7),"""",IF($T487="""","""",IFERROR(query({AtivosDados},""select sum(""&amp;AC$3&amp;"") where Col1='""&amp;$T487&amp;""' label sum(""&amp;AC$3&amp;"") ''""),0)))"),"")</f>
        <v/>
      </c>
      <c r="AD487" s="437" t="str">
        <f>IFERROR(__xludf.DUMMYFUNCTION("IF(NOT('portfólio'!$AV$7),"""",IF($T487="""","""",IFERROR(query({AtivosDados},""select sum(""&amp;AD$3&amp;"") where Col1='""&amp;$T487&amp;""' label sum(""&amp;AD$3&amp;"") ''""),0)))"),"")</f>
        <v/>
      </c>
      <c r="AE487" s="437"/>
      <c r="AF487" s="1327"/>
      <c r="AG487" s="437"/>
      <c r="AH487" s="437"/>
      <c r="AI487" s="437"/>
      <c r="AJ487" s="437"/>
      <c r="AK487" s="437"/>
      <c r="AL487" s="437"/>
      <c r="AM487" s="437"/>
      <c r="AN487" s="437"/>
      <c r="AO487" s="437"/>
      <c r="AP487" s="437"/>
      <c r="AQ487" s="1327"/>
      <c r="AR487" s="437"/>
      <c r="AS487" s="437"/>
      <c r="AT487" s="437"/>
      <c r="AU487" s="437"/>
      <c r="AV487" s="437"/>
      <c r="AW487" s="437"/>
      <c r="AX487" s="437"/>
      <c r="AY487" s="437"/>
      <c r="AZ487" s="437"/>
      <c r="BA487" s="437"/>
      <c r="BB487" s="1327"/>
      <c r="BC487" s="437"/>
      <c r="BD487" s="437"/>
      <c r="BE487" s="437"/>
      <c r="BF487" s="437"/>
      <c r="BG487" s="437"/>
      <c r="BH487" s="437"/>
      <c r="BI487" s="437"/>
      <c r="BJ487" s="437"/>
      <c r="BK487" s="437"/>
      <c r="BL487" s="437"/>
      <c r="BM487" s="1327"/>
      <c r="BN487" s="1327"/>
      <c r="BO487" s="1327"/>
      <c r="BP487" s="1327"/>
      <c r="BQ487" s="1327"/>
      <c r="BR487" s="1327"/>
      <c r="BS487" s="1327"/>
      <c r="BT487" s="1327"/>
      <c r="BU487" s="1327"/>
      <c r="BV487" s="1327"/>
      <c r="BW487" s="1327"/>
      <c r="BX487" s="1327"/>
      <c r="BY487" s="1327"/>
      <c r="BZ487" s="1327"/>
      <c r="CA487" s="1327"/>
      <c r="CB487" s="1327"/>
      <c r="CC487" s="1327"/>
      <c r="CD487" s="1327"/>
      <c r="CE487" s="1327"/>
      <c r="CF487" s="1327"/>
      <c r="CG487" s="1327"/>
      <c r="CH487" s="1327"/>
      <c r="CI487" s="1327"/>
      <c r="CJ487" s="1327"/>
      <c r="CK487" s="1327"/>
      <c r="CL487" s="1327"/>
      <c r="CM487" s="1327"/>
      <c r="CN487" s="1327"/>
      <c r="CO487" s="1327"/>
      <c r="CP487" s="1327"/>
      <c r="CQ487" s="1327"/>
      <c r="CR487" s="1327"/>
      <c r="CS487" s="1327"/>
      <c r="CT487" s="1317"/>
      <c r="CU487" s="1317"/>
      <c r="CV487" s="1317"/>
      <c r="CW487" s="1317"/>
      <c r="CX487" s="1317"/>
      <c r="CY487" s="1317"/>
      <c r="CZ487" s="1317"/>
      <c r="DA487" s="1317"/>
      <c r="DB487" s="1317"/>
      <c r="DC487" s="1317"/>
      <c r="DD487" s="1317"/>
      <c r="DE487" s="1317"/>
      <c r="DF487" s="1317"/>
      <c r="DG487" s="1317"/>
    </row>
    <row r="488" ht="18.75" customHeight="1">
      <c r="G488" s="1344"/>
      <c r="H488" s="1345">
        <f t="shared" si="4"/>
        <v>0</v>
      </c>
      <c r="I488" s="1381"/>
      <c r="J488" s="1381"/>
      <c r="K488" s="1381"/>
      <c r="L488" s="1381"/>
      <c r="M488" s="1381"/>
      <c r="N488" s="1381"/>
      <c r="O488" s="1381"/>
      <c r="P488" s="1381"/>
      <c r="Q488" s="1381"/>
      <c r="R488" s="1381"/>
      <c r="T488" s="1349"/>
      <c r="U488" s="1349" t="s">
        <v>123</v>
      </c>
      <c r="V488" s="1349" t="s">
        <v>123</v>
      </c>
      <c r="W488" s="1349"/>
      <c r="X488" s="1349"/>
      <c r="Y488" s="1308"/>
      <c r="Z488" s="437" t="str">
        <f>IFERROR(__xludf.DUMMYFUNCTION("IF(NOT('portfólio'!$AV$7),"""",IF($T488="""","""",IFERROR(query({AtivosDados},""select sum(""&amp;Z$3&amp;"") where Col1='""&amp;$T488&amp;""' label sum(""&amp;Z$3&amp;"") ''""),0)))"),"")</f>
        <v/>
      </c>
      <c r="AA488" s="437" t="str">
        <f>IFERROR(__xludf.DUMMYFUNCTION("IF(NOT('portfólio'!$AV$7),"""",IF($T488="""","""",IFERROR(query({AtivosDados},""select sum(""&amp;AA$3&amp;"") where Col1='""&amp;$T488&amp;""' label sum(""&amp;AA$3&amp;"") ''""),0)))"),"")</f>
        <v/>
      </c>
      <c r="AB488" s="437" t="str">
        <f>IFERROR(__xludf.DUMMYFUNCTION("IF(NOT('portfólio'!$AV$7),"""",IF($T488="""","""",IFERROR(query({AtivosDados},""select sum(""&amp;AB$3&amp;"") where Col1='""&amp;$T488&amp;""' label sum(""&amp;AB$3&amp;"") ''""),0)))"),"")</f>
        <v/>
      </c>
      <c r="AC488" s="437" t="str">
        <f>IFERROR(__xludf.DUMMYFUNCTION("IF(NOT('portfólio'!$AV$7),"""",IF($T488="""","""",IFERROR(query({AtivosDados},""select sum(""&amp;AC$3&amp;"") where Col1='""&amp;$T488&amp;""' label sum(""&amp;AC$3&amp;"") ''""),0)))"),"")</f>
        <v/>
      </c>
      <c r="AD488" s="437" t="str">
        <f>IFERROR(__xludf.DUMMYFUNCTION("IF(NOT('portfólio'!$AV$7),"""",IF($T488="""","""",IFERROR(query({AtivosDados},""select sum(""&amp;AD$3&amp;"") where Col1='""&amp;$T488&amp;""' label sum(""&amp;AD$3&amp;"") ''""),0)))"),"")</f>
        <v/>
      </c>
      <c r="AE488" s="437"/>
      <c r="AF488" s="1327"/>
      <c r="AG488" s="437"/>
      <c r="AH488" s="437"/>
      <c r="AI488" s="437"/>
      <c r="AJ488" s="437"/>
      <c r="AK488" s="437"/>
      <c r="AL488" s="437"/>
      <c r="AM488" s="437"/>
      <c r="AN488" s="437"/>
      <c r="AO488" s="437"/>
      <c r="AP488" s="437"/>
      <c r="AQ488" s="1327"/>
      <c r="AR488" s="437"/>
      <c r="AS488" s="437"/>
      <c r="AT488" s="437"/>
      <c r="AU488" s="437"/>
      <c r="AV488" s="437"/>
      <c r="AW488" s="437"/>
      <c r="AX488" s="437"/>
      <c r="AY488" s="437"/>
      <c r="AZ488" s="437"/>
      <c r="BA488" s="437"/>
      <c r="BB488" s="1327"/>
      <c r="BC488" s="437"/>
      <c r="BD488" s="437"/>
      <c r="BE488" s="437"/>
      <c r="BF488" s="437"/>
      <c r="BG488" s="437"/>
      <c r="BH488" s="437"/>
      <c r="BI488" s="437"/>
      <c r="BJ488" s="437"/>
      <c r="BK488" s="437"/>
      <c r="BL488" s="437"/>
      <c r="BM488" s="1327"/>
      <c r="BN488" s="1327"/>
      <c r="BO488" s="1327"/>
      <c r="BP488" s="1327"/>
      <c r="BQ488" s="1327"/>
      <c r="BR488" s="1327"/>
      <c r="BS488" s="1327"/>
      <c r="BT488" s="1327"/>
      <c r="BU488" s="1327"/>
      <c r="BV488" s="1327"/>
      <c r="BW488" s="1327"/>
      <c r="BX488" s="1327"/>
      <c r="BY488" s="1327"/>
      <c r="BZ488" s="1327"/>
      <c r="CA488" s="1327"/>
      <c r="CB488" s="1327"/>
      <c r="CC488" s="1327"/>
      <c r="CD488" s="1327"/>
      <c r="CE488" s="1327"/>
      <c r="CF488" s="1327"/>
      <c r="CG488" s="1327"/>
      <c r="CH488" s="1327"/>
      <c r="CI488" s="1327"/>
      <c r="CJ488" s="1327"/>
      <c r="CK488" s="1327"/>
      <c r="CL488" s="1327"/>
      <c r="CM488" s="1327"/>
      <c r="CN488" s="1327"/>
      <c r="CO488" s="1327"/>
      <c r="CP488" s="1327"/>
      <c r="CQ488" s="1327"/>
      <c r="CR488" s="1327"/>
      <c r="CS488" s="1327"/>
      <c r="CT488" s="1317"/>
      <c r="CU488" s="1317"/>
      <c r="CV488" s="1317"/>
      <c r="CW488" s="1317"/>
      <c r="CX488" s="1317"/>
      <c r="CY488" s="1317"/>
      <c r="CZ488" s="1317"/>
      <c r="DA488" s="1317"/>
      <c r="DB488" s="1317"/>
      <c r="DC488" s="1317"/>
      <c r="DD488" s="1317"/>
      <c r="DE488" s="1317"/>
      <c r="DF488" s="1317"/>
      <c r="DG488" s="1317"/>
    </row>
    <row r="489" ht="18.75" customHeight="1">
      <c r="G489" s="1344"/>
      <c r="H489" s="1345">
        <f t="shared" si="4"/>
        <v>0</v>
      </c>
      <c r="I489" s="1381"/>
      <c r="J489" s="1381"/>
      <c r="K489" s="1381"/>
      <c r="L489" s="1381"/>
      <c r="M489" s="1381"/>
      <c r="N489" s="1381"/>
      <c r="O489" s="1381"/>
      <c r="P489" s="1381"/>
      <c r="Q489" s="1381"/>
      <c r="R489" s="1381"/>
      <c r="T489" s="1349"/>
      <c r="U489" s="1349" t="s">
        <v>123</v>
      </c>
      <c r="V489" s="1349" t="s">
        <v>123</v>
      </c>
      <c r="W489" s="1349"/>
      <c r="X489" s="1349"/>
      <c r="Y489" s="1308"/>
      <c r="Z489" s="437" t="str">
        <f>IFERROR(__xludf.DUMMYFUNCTION("IF(NOT('portfólio'!$AV$7),"""",IF($T489="""","""",IFERROR(query({AtivosDados},""select sum(""&amp;Z$3&amp;"") where Col1='""&amp;$T489&amp;""' label sum(""&amp;Z$3&amp;"") ''""),0)))"),"")</f>
        <v/>
      </c>
      <c r="AA489" s="437" t="str">
        <f>IFERROR(__xludf.DUMMYFUNCTION("IF(NOT('portfólio'!$AV$7),"""",IF($T489="""","""",IFERROR(query({AtivosDados},""select sum(""&amp;AA$3&amp;"") where Col1='""&amp;$T489&amp;""' label sum(""&amp;AA$3&amp;"") ''""),0)))"),"")</f>
        <v/>
      </c>
      <c r="AB489" s="437" t="str">
        <f>IFERROR(__xludf.DUMMYFUNCTION("IF(NOT('portfólio'!$AV$7),"""",IF($T489="""","""",IFERROR(query({AtivosDados},""select sum(""&amp;AB$3&amp;"") where Col1='""&amp;$T489&amp;""' label sum(""&amp;AB$3&amp;"") ''""),0)))"),"")</f>
        <v/>
      </c>
      <c r="AC489" s="437" t="str">
        <f>IFERROR(__xludf.DUMMYFUNCTION("IF(NOT('portfólio'!$AV$7),"""",IF($T489="""","""",IFERROR(query({AtivosDados},""select sum(""&amp;AC$3&amp;"") where Col1='""&amp;$T489&amp;""' label sum(""&amp;AC$3&amp;"") ''""),0)))"),"")</f>
        <v/>
      </c>
      <c r="AD489" s="437" t="str">
        <f>IFERROR(__xludf.DUMMYFUNCTION("IF(NOT('portfólio'!$AV$7),"""",IF($T489="""","""",IFERROR(query({AtivosDados},""select sum(""&amp;AD$3&amp;"") where Col1='""&amp;$T489&amp;""' label sum(""&amp;AD$3&amp;"") ''""),0)))"),"")</f>
        <v/>
      </c>
      <c r="AE489" s="437"/>
      <c r="AF489" s="1327"/>
      <c r="AG489" s="437"/>
      <c r="AH489" s="437"/>
      <c r="AI489" s="437"/>
      <c r="AJ489" s="437"/>
      <c r="AK489" s="437"/>
      <c r="AL489" s="437"/>
      <c r="AM489" s="437"/>
      <c r="AN489" s="437"/>
      <c r="AO489" s="437"/>
      <c r="AP489" s="437"/>
      <c r="AQ489" s="1327"/>
      <c r="AR489" s="437"/>
      <c r="AS489" s="437"/>
      <c r="AT489" s="437"/>
      <c r="AU489" s="437"/>
      <c r="AV489" s="437"/>
      <c r="AW489" s="437"/>
      <c r="AX489" s="437"/>
      <c r="AY489" s="437"/>
      <c r="AZ489" s="437"/>
      <c r="BA489" s="437"/>
      <c r="BB489" s="1327"/>
      <c r="BC489" s="437"/>
      <c r="BD489" s="437"/>
      <c r="BE489" s="437"/>
      <c r="BF489" s="437"/>
      <c r="BG489" s="437"/>
      <c r="BH489" s="437"/>
      <c r="BI489" s="437"/>
      <c r="BJ489" s="437"/>
      <c r="BK489" s="437"/>
      <c r="BL489" s="437"/>
      <c r="BM489" s="1327"/>
      <c r="BN489" s="1327"/>
      <c r="BO489" s="1327"/>
      <c r="BP489" s="1327"/>
      <c r="BQ489" s="1327"/>
      <c r="BR489" s="1327"/>
      <c r="BS489" s="1327"/>
      <c r="BT489" s="1327"/>
      <c r="BU489" s="1327"/>
      <c r="BV489" s="1327"/>
      <c r="BW489" s="1327"/>
      <c r="BX489" s="1327"/>
      <c r="BY489" s="1327"/>
      <c r="BZ489" s="1327"/>
      <c r="CA489" s="1327"/>
      <c r="CB489" s="1327"/>
      <c r="CC489" s="1327"/>
      <c r="CD489" s="1327"/>
      <c r="CE489" s="1327"/>
      <c r="CF489" s="1327"/>
      <c r="CG489" s="1327"/>
      <c r="CH489" s="1327"/>
      <c r="CI489" s="1327"/>
      <c r="CJ489" s="1327"/>
      <c r="CK489" s="1327"/>
      <c r="CL489" s="1327"/>
      <c r="CM489" s="1327"/>
      <c r="CN489" s="1327"/>
      <c r="CO489" s="1327"/>
      <c r="CP489" s="1327"/>
      <c r="CQ489" s="1327"/>
      <c r="CR489" s="1327"/>
      <c r="CS489" s="1327"/>
      <c r="CT489" s="1317"/>
      <c r="CU489" s="1317"/>
      <c r="CV489" s="1317"/>
      <c r="CW489" s="1317"/>
      <c r="CX489" s="1317"/>
      <c r="CY489" s="1317"/>
      <c r="CZ489" s="1317"/>
      <c r="DA489" s="1317"/>
      <c r="DB489" s="1317"/>
      <c r="DC489" s="1317"/>
      <c r="DD489" s="1317"/>
      <c r="DE489" s="1317"/>
      <c r="DF489" s="1317"/>
      <c r="DG489" s="1317"/>
    </row>
    <row r="490" ht="18.75" customHeight="1">
      <c r="G490" s="1344"/>
      <c r="H490" s="1345">
        <f t="shared" si="4"/>
        <v>0</v>
      </c>
      <c r="I490" s="1381"/>
      <c r="J490" s="1381"/>
      <c r="K490" s="1381"/>
      <c r="L490" s="1381"/>
      <c r="M490" s="1381"/>
      <c r="N490" s="1381"/>
      <c r="O490" s="1381"/>
      <c r="P490" s="1381"/>
      <c r="Q490" s="1381"/>
      <c r="R490" s="1381"/>
      <c r="T490" s="1349"/>
      <c r="U490" s="1349" t="s">
        <v>123</v>
      </c>
      <c r="V490" s="1349" t="s">
        <v>123</v>
      </c>
      <c r="W490" s="1349"/>
      <c r="X490" s="1349"/>
      <c r="Y490" s="1308"/>
      <c r="Z490" s="437" t="str">
        <f>IFERROR(__xludf.DUMMYFUNCTION("IF(NOT('portfólio'!$AV$7),"""",IF($T490="""","""",IFERROR(query({AtivosDados},""select sum(""&amp;Z$3&amp;"") where Col1='""&amp;$T490&amp;""' label sum(""&amp;Z$3&amp;"") ''""),0)))"),"")</f>
        <v/>
      </c>
      <c r="AA490" s="437" t="str">
        <f>IFERROR(__xludf.DUMMYFUNCTION("IF(NOT('portfólio'!$AV$7),"""",IF($T490="""","""",IFERROR(query({AtivosDados},""select sum(""&amp;AA$3&amp;"") where Col1='""&amp;$T490&amp;""' label sum(""&amp;AA$3&amp;"") ''""),0)))"),"")</f>
        <v/>
      </c>
      <c r="AB490" s="437" t="str">
        <f>IFERROR(__xludf.DUMMYFUNCTION("IF(NOT('portfólio'!$AV$7),"""",IF($T490="""","""",IFERROR(query({AtivosDados},""select sum(""&amp;AB$3&amp;"") where Col1='""&amp;$T490&amp;""' label sum(""&amp;AB$3&amp;"") ''""),0)))"),"")</f>
        <v/>
      </c>
      <c r="AC490" s="437" t="str">
        <f>IFERROR(__xludf.DUMMYFUNCTION("IF(NOT('portfólio'!$AV$7),"""",IF($T490="""","""",IFERROR(query({AtivosDados},""select sum(""&amp;AC$3&amp;"") where Col1='""&amp;$T490&amp;""' label sum(""&amp;AC$3&amp;"") ''""),0)))"),"")</f>
        <v/>
      </c>
      <c r="AD490" s="437" t="str">
        <f>IFERROR(__xludf.DUMMYFUNCTION("IF(NOT('portfólio'!$AV$7),"""",IF($T490="""","""",IFERROR(query({AtivosDados},""select sum(""&amp;AD$3&amp;"") where Col1='""&amp;$T490&amp;""' label sum(""&amp;AD$3&amp;"") ''""),0)))"),"")</f>
        <v/>
      </c>
      <c r="AE490" s="437"/>
      <c r="AF490" s="1327"/>
      <c r="AG490" s="437"/>
      <c r="AH490" s="437"/>
      <c r="AI490" s="437"/>
      <c r="AJ490" s="437"/>
      <c r="AK490" s="437"/>
      <c r="AL490" s="437"/>
      <c r="AM490" s="437"/>
      <c r="AN490" s="437"/>
      <c r="AO490" s="437"/>
      <c r="AP490" s="437"/>
      <c r="AQ490" s="1327"/>
      <c r="AR490" s="437"/>
      <c r="AS490" s="437"/>
      <c r="AT490" s="437"/>
      <c r="AU490" s="437"/>
      <c r="AV490" s="437"/>
      <c r="AW490" s="437"/>
      <c r="AX490" s="437"/>
      <c r="AY490" s="437"/>
      <c r="AZ490" s="437"/>
      <c r="BA490" s="437"/>
      <c r="BB490" s="1327"/>
      <c r="BC490" s="437"/>
      <c r="BD490" s="437"/>
      <c r="BE490" s="437"/>
      <c r="BF490" s="437"/>
      <c r="BG490" s="437"/>
      <c r="BH490" s="437"/>
      <c r="BI490" s="437"/>
      <c r="BJ490" s="437"/>
      <c r="BK490" s="437"/>
      <c r="BL490" s="437"/>
      <c r="BM490" s="1327"/>
      <c r="BN490" s="1327"/>
      <c r="BO490" s="1327"/>
      <c r="BP490" s="1327"/>
      <c r="BQ490" s="1327"/>
      <c r="BR490" s="1327"/>
      <c r="BS490" s="1327"/>
      <c r="BT490" s="1327"/>
      <c r="BU490" s="1327"/>
      <c r="BV490" s="1327"/>
      <c r="BW490" s="1327"/>
      <c r="BX490" s="1327"/>
      <c r="BY490" s="1327"/>
      <c r="BZ490" s="1327"/>
      <c r="CA490" s="1327"/>
      <c r="CB490" s="1327"/>
      <c r="CC490" s="1327"/>
      <c r="CD490" s="1327"/>
      <c r="CE490" s="1327"/>
      <c r="CF490" s="1327"/>
      <c r="CG490" s="1327"/>
      <c r="CH490" s="1327"/>
      <c r="CI490" s="1327"/>
      <c r="CJ490" s="1327"/>
      <c r="CK490" s="1327"/>
      <c r="CL490" s="1327"/>
      <c r="CM490" s="1327"/>
      <c r="CN490" s="1327"/>
      <c r="CO490" s="1327"/>
      <c r="CP490" s="1327"/>
      <c r="CQ490" s="1327"/>
      <c r="CR490" s="1327"/>
      <c r="CS490" s="1327"/>
      <c r="CT490" s="1317"/>
      <c r="CU490" s="1317"/>
      <c r="CV490" s="1317"/>
      <c r="CW490" s="1317"/>
      <c r="CX490" s="1317"/>
      <c r="CY490" s="1317"/>
      <c r="CZ490" s="1317"/>
      <c r="DA490" s="1317"/>
      <c r="DB490" s="1317"/>
      <c r="DC490" s="1317"/>
      <c r="DD490" s="1317"/>
      <c r="DE490" s="1317"/>
      <c r="DF490" s="1317"/>
      <c r="DG490" s="1317"/>
    </row>
    <row r="491" ht="18.75" customHeight="1">
      <c r="G491" s="1344"/>
      <c r="H491" s="1345">
        <f t="shared" si="4"/>
        <v>0</v>
      </c>
      <c r="I491" s="1381"/>
      <c r="J491" s="1381"/>
      <c r="K491" s="1381"/>
      <c r="L491" s="1381"/>
      <c r="M491" s="1381"/>
      <c r="N491" s="1381"/>
      <c r="O491" s="1381"/>
      <c r="P491" s="1381"/>
      <c r="Q491" s="1381"/>
      <c r="R491" s="1381"/>
      <c r="T491" s="1349"/>
      <c r="U491" s="1349" t="s">
        <v>123</v>
      </c>
      <c r="V491" s="1349" t="s">
        <v>123</v>
      </c>
      <c r="W491" s="1349"/>
      <c r="X491" s="1349"/>
      <c r="Y491" s="1308"/>
      <c r="Z491" s="437" t="str">
        <f>IFERROR(__xludf.DUMMYFUNCTION("IF(NOT('portfólio'!$AV$7),"""",IF($T491="""","""",IFERROR(query({AtivosDados},""select sum(""&amp;Z$3&amp;"") where Col1='""&amp;$T491&amp;""' label sum(""&amp;Z$3&amp;"") ''""),0)))"),"")</f>
        <v/>
      </c>
      <c r="AA491" s="437" t="str">
        <f>IFERROR(__xludf.DUMMYFUNCTION("IF(NOT('portfólio'!$AV$7),"""",IF($T491="""","""",IFERROR(query({AtivosDados},""select sum(""&amp;AA$3&amp;"") where Col1='""&amp;$T491&amp;""' label sum(""&amp;AA$3&amp;"") ''""),0)))"),"")</f>
        <v/>
      </c>
      <c r="AB491" s="437" t="str">
        <f>IFERROR(__xludf.DUMMYFUNCTION("IF(NOT('portfólio'!$AV$7),"""",IF($T491="""","""",IFERROR(query({AtivosDados},""select sum(""&amp;AB$3&amp;"") where Col1='""&amp;$T491&amp;""' label sum(""&amp;AB$3&amp;"") ''""),0)))"),"")</f>
        <v/>
      </c>
      <c r="AC491" s="437" t="str">
        <f>IFERROR(__xludf.DUMMYFUNCTION("IF(NOT('portfólio'!$AV$7),"""",IF($T491="""","""",IFERROR(query({AtivosDados},""select sum(""&amp;AC$3&amp;"") where Col1='""&amp;$T491&amp;""' label sum(""&amp;AC$3&amp;"") ''""),0)))"),"")</f>
        <v/>
      </c>
      <c r="AD491" s="437" t="str">
        <f>IFERROR(__xludf.DUMMYFUNCTION("IF(NOT('portfólio'!$AV$7),"""",IF($T491="""","""",IFERROR(query({AtivosDados},""select sum(""&amp;AD$3&amp;"") where Col1='""&amp;$T491&amp;""' label sum(""&amp;AD$3&amp;"") ''""),0)))"),"")</f>
        <v/>
      </c>
      <c r="AE491" s="437"/>
      <c r="AF491" s="1327"/>
      <c r="AG491" s="437"/>
      <c r="AH491" s="437"/>
      <c r="AI491" s="437"/>
      <c r="AJ491" s="437"/>
      <c r="AK491" s="437"/>
      <c r="AL491" s="437"/>
      <c r="AM491" s="437"/>
      <c r="AN491" s="437"/>
      <c r="AO491" s="437"/>
      <c r="AP491" s="437"/>
      <c r="AQ491" s="1327"/>
      <c r="AR491" s="437"/>
      <c r="AS491" s="437"/>
      <c r="AT491" s="437"/>
      <c r="AU491" s="437"/>
      <c r="AV491" s="437"/>
      <c r="AW491" s="437"/>
      <c r="AX491" s="437"/>
      <c r="AY491" s="437"/>
      <c r="AZ491" s="437"/>
      <c r="BA491" s="437"/>
      <c r="BB491" s="1327"/>
      <c r="BC491" s="437"/>
      <c r="BD491" s="437"/>
      <c r="BE491" s="437"/>
      <c r="BF491" s="437"/>
      <c r="BG491" s="437"/>
      <c r="BH491" s="437"/>
      <c r="BI491" s="437"/>
      <c r="BJ491" s="437"/>
      <c r="BK491" s="437"/>
      <c r="BL491" s="437"/>
      <c r="BM491" s="1327"/>
      <c r="BN491" s="1327"/>
      <c r="BO491" s="1327"/>
      <c r="BP491" s="1327"/>
      <c r="BQ491" s="1327"/>
      <c r="BR491" s="1327"/>
      <c r="BS491" s="1327"/>
      <c r="BT491" s="1327"/>
      <c r="BU491" s="1327"/>
      <c r="BV491" s="1327"/>
      <c r="BW491" s="1327"/>
      <c r="BX491" s="1327"/>
      <c r="BY491" s="1327"/>
      <c r="BZ491" s="1327"/>
      <c r="CA491" s="1327"/>
      <c r="CB491" s="1327"/>
      <c r="CC491" s="1327"/>
      <c r="CD491" s="1327"/>
      <c r="CE491" s="1327"/>
      <c r="CF491" s="1327"/>
      <c r="CG491" s="1327"/>
      <c r="CH491" s="1327"/>
      <c r="CI491" s="1327"/>
      <c r="CJ491" s="1327"/>
      <c r="CK491" s="1327"/>
      <c r="CL491" s="1327"/>
      <c r="CM491" s="1327"/>
      <c r="CN491" s="1327"/>
      <c r="CO491" s="1327"/>
      <c r="CP491" s="1327"/>
      <c r="CQ491" s="1327"/>
      <c r="CR491" s="1327"/>
      <c r="CS491" s="1327"/>
      <c r="CT491" s="1317"/>
      <c r="CU491" s="1317"/>
      <c r="CV491" s="1317"/>
      <c r="CW491" s="1317"/>
      <c r="CX491" s="1317"/>
      <c r="CY491" s="1317"/>
      <c r="CZ491" s="1317"/>
      <c r="DA491" s="1317"/>
      <c r="DB491" s="1317"/>
      <c r="DC491" s="1317"/>
      <c r="DD491" s="1317"/>
      <c r="DE491" s="1317"/>
      <c r="DF491" s="1317"/>
      <c r="DG491" s="1317"/>
    </row>
    <row r="492" ht="18.75" customHeight="1">
      <c r="G492" s="1344"/>
      <c r="H492" s="1345">
        <f t="shared" si="4"/>
        <v>0</v>
      </c>
      <c r="I492" s="1381"/>
      <c r="J492" s="1381"/>
      <c r="K492" s="1381"/>
      <c r="L492" s="1381"/>
      <c r="M492" s="1381"/>
      <c r="N492" s="1381"/>
      <c r="O492" s="1381"/>
      <c r="P492" s="1381"/>
      <c r="Q492" s="1381"/>
      <c r="R492" s="1381"/>
      <c r="T492" s="1349"/>
      <c r="U492" s="1349" t="s">
        <v>123</v>
      </c>
      <c r="V492" s="1349" t="s">
        <v>123</v>
      </c>
      <c r="W492" s="1349"/>
      <c r="X492" s="1349"/>
      <c r="Y492" s="1308"/>
      <c r="Z492" s="437" t="str">
        <f>IFERROR(__xludf.DUMMYFUNCTION("IF(NOT('portfólio'!$AV$7),"""",IF($T492="""","""",IFERROR(query({AtivosDados},""select sum(""&amp;Z$3&amp;"") where Col1='""&amp;$T492&amp;""' label sum(""&amp;Z$3&amp;"") ''""),0)))"),"")</f>
        <v/>
      </c>
      <c r="AA492" s="437" t="str">
        <f>IFERROR(__xludf.DUMMYFUNCTION("IF(NOT('portfólio'!$AV$7),"""",IF($T492="""","""",IFERROR(query({AtivosDados},""select sum(""&amp;AA$3&amp;"") where Col1='""&amp;$T492&amp;""' label sum(""&amp;AA$3&amp;"") ''""),0)))"),"")</f>
        <v/>
      </c>
      <c r="AB492" s="437" t="str">
        <f>IFERROR(__xludf.DUMMYFUNCTION("IF(NOT('portfólio'!$AV$7),"""",IF($T492="""","""",IFERROR(query({AtivosDados},""select sum(""&amp;AB$3&amp;"") where Col1='""&amp;$T492&amp;""' label sum(""&amp;AB$3&amp;"") ''""),0)))"),"")</f>
        <v/>
      </c>
      <c r="AC492" s="437" t="str">
        <f>IFERROR(__xludf.DUMMYFUNCTION("IF(NOT('portfólio'!$AV$7),"""",IF($T492="""","""",IFERROR(query({AtivosDados},""select sum(""&amp;AC$3&amp;"") where Col1='""&amp;$T492&amp;""' label sum(""&amp;AC$3&amp;"") ''""),0)))"),"")</f>
        <v/>
      </c>
      <c r="AD492" s="437" t="str">
        <f>IFERROR(__xludf.DUMMYFUNCTION("IF(NOT('portfólio'!$AV$7),"""",IF($T492="""","""",IFERROR(query({AtivosDados},""select sum(""&amp;AD$3&amp;"") where Col1='""&amp;$T492&amp;""' label sum(""&amp;AD$3&amp;"") ''""),0)))"),"")</f>
        <v/>
      </c>
      <c r="AE492" s="437"/>
      <c r="AF492" s="1327"/>
      <c r="AG492" s="437"/>
      <c r="AH492" s="437"/>
      <c r="AI492" s="437"/>
      <c r="AJ492" s="437"/>
      <c r="AK492" s="437"/>
      <c r="AL492" s="437"/>
      <c r="AM492" s="437"/>
      <c r="AN492" s="437"/>
      <c r="AO492" s="437"/>
      <c r="AP492" s="437"/>
      <c r="AQ492" s="1327"/>
      <c r="AR492" s="437"/>
      <c r="AS492" s="437"/>
      <c r="AT492" s="437"/>
      <c r="AU492" s="437"/>
      <c r="AV492" s="437"/>
      <c r="AW492" s="437"/>
      <c r="AX492" s="437"/>
      <c r="AY492" s="437"/>
      <c r="AZ492" s="437"/>
      <c r="BA492" s="437"/>
      <c r="BB492" s="1327"/>
      <c r="BC492" s="437"/>
      <c r="BD492" s="437"/>
      <c r="BE492" s="437"/>
      <c r="BF492" s="437"/>
      <c r="BG492" s="437"/>
      <c r="BH492" s="437"/>
      <c r="BI492" s="437"/>
      <c r="BJ492" s="437"/>
      <c r="BK492" s="437"/>
      <c r="BL492" s="437"/>
      <c r="BM492" s="1327"/>
      <c r="BN492" s="1327"/>
      <c r="BO492" s="1327"/>
      <c r="BP492" s="1327"/>
      <c r="BQ492" s="1327"/>
      <c r="BR492" s="1327"/>
      <c r="BS492" s="1327"/>
      <c r="BT492" s="1327"/>
      <c r="BU492" s="1327"/>
      <c r="BV492" s="1327"/>
      <c r="BW492" s="1327"/>
      <c r="BX492" s="1327"/>
      <c r="BY492" s="1327"/>
      <c r="BZ492" s="1327"/>
      <c r="CA492" s="1327"/>
      <c r="CB492" s="1327"/>
      <c r="CC492" s="1327"/>
      <c r="CD492" s="1327"/>
      <c r="CE492" s="1327"/>
      <c r="CF492" s="1327"/>
      <c r="CG492" s="1327"/>
      <c r="CH492" s="1327"/>
      <c r="CI492" s="1327"/>
      <c r="CJ492" s="1327"/>
      <c r="CK492" s="1327"/>
      <c r="CL492" s="1327"/>
      <c r="CM492" s="1327"/>
      <c r="CN492" s="1327"/>
      <c r="CO492" s="1327"/>
      <c r="CP492" s="1327"/>
      <c r="CQ492" s="1327"/>
      <c r="CR492" s="1327"/>
      <c r="CS492" s="1327"/>
      <c r="CT492" s="1317"/>
      <c r="CU492" s="1317"/>
      <c r="CV492" s="1317"/>
      <c r="CW492" s="1317"/>
      <c r="CX492" s="1317"/>
      <c r="CY492" s="1317"/>
      <c r="CZ492" s="1317"/>
      <c r="DA492" s="1317"/>
      <c r="DB492" s="1317"/>
      <c r="DC492" s="1317"/>
      <c r="DD492" s="1317"/>
      <c r="DE492" s="1317"/>
      <c r="DF492" s="1317"/>
      <c r="DG492" s="1317"/>
    </row>
    <row r="493" ht="18.75" customHeight="1">
      <c r="G493" s="1344"/>
      <c r="H493" s="1345">
        <f t="shared" si="4"/>
        <v>0</v>
      </c>
      <c r="I493" s="1381"/>
      <c r="J493" s="1381"/>
      <c r="K493" s="1381"/>
      <c r="L493" s="1381"/>
      <c r="M493" s="1381"/>
      <c r="N493" s="1381"/>
      <c r="O493" s="1381"/>
      <c r="P493" s="1381"/>
      <c r="Q493" s="1381"/>
      <c r="R493" s="1381"/>
      <c r="T493" s="1349"/>
      <c r="U493" s="1349" t="s">
        <v>123</v>
      </c>
      <c r="V493" s="1349" t="s">
        <v>123</v>
      </c>
      <c r="W493" s="1349"/>
      <c r="X493" s="1349"/>
      <c r="Y493" s="1308"/>
      <c r="Z493" s="437" t="str">
        <f>IFERROR(__xludf.DUMMYFUNCTION("IF(NOT('portfólio'!$AV$7),"""",IF($T493="""","""",IFERROR(query({AtivosDados},""select sum(""&amp;Z$3&amp;"") where Col1='""&amp;$T493&amp;""' label sum(""&amp;Z$3&amp;"") ''""),0)))"),"")</f>
        <v/>
      </c>
      <c r="AA493" s="437" t="str">
        <f>IFERROR(__xludf.DUMMYFUNCTION("IF(NOT('portfólio'!$AV$7),"""",IF($T493="""","""",IFERROR(query({AtivosDados},""select sum(""&amp;AA$3&amp;"") where Col1='""&amp;$T493&amp;""' label sum(""&amp;AA$3&amp;"") ''""),0)))"),"")</f>
        <v/>
      </c>
      <c r="AB493" s="437" t="str">
        <f>IFERROR(__xludf.DUMMYFUNCTION("IF(NOT('portfólio'!$AV$7),"""",IF($T493="""","""",IFERROR(query({AtivosDados},""select sum(""&amp;AB$3&amp;"") where Col1='""&amp;$T493&amp;""' label sum(""&amp;AB$3&amp;"") ''""),0)))"),"")</f>
        <v/>
      </c>
      <c r="AC493" s="437" t="str">
        <f>IFERROR(__xludf.DUMMYFUNCTION("IF(NOT('portfólio'!$AV$7),"""",IF($T493="""","""",IFERROR(query({AtivosDados},""select sum(""&amp;AC$3&amp;"") where Col1='""&amp;$T493&amp;""' label sum(""&amp;AC$3&amp;"") ''""),0)))"),"")</f>
        <v/>
      </c>
      <c r="AD493" s="437" t="str">
        <f>IFERROR(__xludf.DUMMYFUNCTION("IF(NOT('portfólio'!$AV$7),"""",IF($T493="""","""",IFERROR(query({AtivosDados},""select sum(""&amp;AD$3&amp;"") where Col1='""&amp;$T493&amp;""' label sum(""&amp;AD$3&amp;"") ''""),0)))"),"")</f>
        <v/>
      </c>
      <c r="AE493" s="437"/>
      <c r="AF493" s="1327"/>
      <c r="AG493" s="437"/>
      <c r="AH493" s="437"/>
      <c r="AI493" s="437"/>
      <c r="AJ493" s="437"/>
      <c r="AK493" s="437"/>
      <c r="AL493" s="437"/>
      <c r="AM493" s="437"/>
      <c r="AN493" s="437"/>
      <c r="AO493" s="437"/>
      <c r="AP493" s="437"/>
      <c r="AQ493" s="1327"/>
      <c r="AR493" s="437"/>
      <c r="AS493" s="437"/>
      <c r="AT493" s="437"/>
      <c r="AU493" s="437"/>
      <c r="AV493" s="437"/>
      <c r="AW493" s="437"/>
      <c r="AX493" s="437"/>
      <c r="AY493" s="437"/>
      <c r="AZ493" s="437"/>
      <c r="BA493" s="437"/>
      <c r="BB493" s="1327"/>
      <c r="BC493" s="437"/>
      <c r="BD493" s="437"/>
      <c r="BE493" s="437"/>
      <c r="BF493" s="437"/>
      <c r="BG493" s="437"/>
      <c r="BH493" s="437"/>
      <c r="BI493" s="437"/>
      <c r="BJ493" s="437"/>
      <c r="BK493" s="437"/>
      <c r="BL493" s="437"/>
      <c r="BM493" s="1327"/>
      <c r="BN493" s="1327"/>
      <c r="BO493" s="1327"/>
      <c r="BP493" s="1327"/>
      <c r="BQ493" s="1327"/>
      <c r="BR493" s="1327"/>
      <c r="BS493" s="1327"/>
      <c r="BT493" s="1327"/>
      <c r="BU493" s="1327"/>
      <c r="BV493" s="1327"/>
      <c r="BW493" s="1327"/>
      <c r="BX493" s="1327"/>
      <c r="BY493" s="1327"/>
      <c r="BZ493" s="1327"/>
      <c r="CA493" s="1327"/>
      <c r="CB493" s="1327"/>
      <c r="CC493" s="1327"/>
      <c r="CD493" s="1327"/>
      <c r="CE493" s="1327"/>
      <c r="CF493" s="1327"/>
      <c r="CG493" s="1327"/>
      <c r="CH493" s="1327"/>
      <c r="CI493" s="1327"/>
      <c r="CJ493" s="1327"/>
      <c r="CK493" s="1327"/>
      <c r="CL493" s="1327"/>
      <c r="CM493" s="1327"/>
      <c r="CN493" s="1327"/>
      <c r="CO493" s="1327"/>
      <c r="CP493" s="1327"/>
      <c r="CQ493" s="1327"/>
      <c r="CR493" s="1327"/>
      <c r="CS493" s="1327"/>
      <c r="CT493" s="1317"/>
      <c r="CU493" s="1317"/>
      <c r="CV493" s="1317"/>
      <c r="CW493" s="1317"/>
      <c r="CX493" s="1317"/>
      <c r="CY493" s="1317"/>
      <c r="CZ493" s="1317"/>
      <c r="DA493" s="1317"/>
      <c r="DB493" s="1317"/>
      <c r="DC493" s="1317"/>
      <c r="DD493" s="1317"/>
      <c r="DE493" s="1317"/>
      <c r="DF493" s="1317"/>
      <c r="DG493" s="1317"/>
    </row>
    <row r="494" ht="18.75" customHeight="1">
      <c r="G494" s="1344"/>
      <c r="H494" s="1345">
        <f t="shared" si="4"/>
        <v>0</v>
      </c>
      <c r="I494" s="1381"/>
      <c r="J494" s="1381"/>
      <c r="K494" s="1381"/>
      <c r="L494" s="1381"/>
      <c r="M494" s="1381"/>
      <c r="N494" s="1381"/>
      <c r="O494" s="1381"/>
      <c r="P494" s="1381"/>
      <c r="Q494" s="1381"/>
      <c r="R494" s="1381"/>
      <c r="T494" s="1349"/>
      <c r="U494" s="1349" t="s">
        <v>123</v>
      </c>
      <c r="V494" s="1349" t="s">
        <v>123</v>
      </c>
      <c r="W494" s="1349"/>
      <c r="X494" s="1349"/>
      <c r="Y494" s="1308"/>
      <c r="Z494" s="437" t="str">
        <f>IFERROR(__xludf.DUMMYFUNCTION("IF(NOT('portfólio'!$AV$7),"""",IF($T494="""","""",IFERROR(query({AtivosDados},""select sum(""&amp;Z$3&amp;"") where Col1='""&amp;$T494&amp;""' label sum(""&amp;Z$3&amp;"") ''""),0)))"),"")</f>
        <v/>
      </c>
      <c r="AA494" s="437" t="str">
        <f>IFERROR(__xludf.DUMMYFUNCTION("IF(NOT('portfólio'!$AV$7),"""",IF($T494="""","""",IFERROR(query({AtivosDados},""select sum(""&amp;AA$3&amp;"") where Col1='""&amp;$T494&amp;""' label sum(""&amp;AA$3&amp;"") ''""),0)))"),"")</f>
        <v/>
      </c>
      <c r="AB494" s="437" t="str">
        <f>IFERROR(__xludf.DUMMYFUNCTION("IF(NOT('portfólio'!$AV$7),"""",IF($T494="""","""",IFERROR(query({AtivosDados},""select sum(""&amp;AB$3&amp;"") where Col1='""&amp;$T494&amp;""' label sum(""&amp;AB$3&amp;"") ''""),0)))"),"")</f>
        <v/>
      </c>
      <c r="AC494" s="437" t="str">
        <f>IFERROR(__xludf.DUMMYFUNCTION("IF(NOT('portfólio'!$AV$7),"""",IF($T494="""","""",IFERROR(query({AtivosDados},""select sum(""&amp;AC$3&amp;"") where Col1='""&amp;$T494&amp;""' label sum(""&amp;AC$3&amp;"") ''""),0)))"),"")</f>
        <v/>
      </c>
      <c r="AD494" s="437" t="str">
        <f>IFERROR(__xludf.DUMMYFUNCTION("IF(NOT('portfólio'!$AV$7),"""",IF($T494="""","""",IFERROR(query({AtivosDados},""select sum(""&amp;AD$3&amp;"") where Col1='""&amp;$T494&amp;""' label sum(""&amp;AD$3&amp;"") ''""),0)))"),"")</f>
        <v/>
      </c>
      <c r="AE494" s="437"/>
      <c r="AF494" s="1327"/>
      <c r="AG494" s="437"/>
      <c r="AH494" s="437"/>
      <c r="AI494" s="437"/>
      <c r="AJ494" s="437"/>
      <c r="AK494" s="437"/>
      <c r="AL494" s="437"/>
      <c r="AM494" s="437"/>
      <c r="AN494" s="437"/>
      <c r="AO494" s="437"/>
      <c r="AP494" s="437"/>
      <c r="AQ494" s="1327"/>
      <c r="AR494" s="437"/>
      <c r="AS494" s="437"/>
      <c r="AT494" s="437"/>
      <c r="AU494" s="437"/>
      <c r="AV494" s="437"/>
      <c r="AW494" s="437"/>
      <c r="AX494" s="437"/>
      <c r="AY494" s="437"/>
      <c r="AZ494" s="437"/>
      <c r="BA494" s="437"/>
      <c r="BB494" s="1327"/>
      <c r="BC494" s="437"/>
      <c r="BD494" s="437"/>
      <c r="BE494" s="437"/>
      <c r="BF494" s="437"/>
      <c r="BG494" s="437"/>
      <c r="BH494" s="437"/>
      <c r="BI494" s="437"/>
      <c r="BJ494" s="437"/>
      <c r="BK494" s="437"/>
      <c r="BL494" s="437"/>
      <c r="BM494" s="1327"/>
      <c r="BN494" s="1327"/>
      <c r="BO494" s="1327"/>
      <c r="BP494" s="1327"/>
      <c r="BQ494" s="1327"/>
      <c r="BR494" s="1327"/>
      <c r="BS494" s="1327"/>
      <c r="BT494" s="1327"/>
      <c r="BU494" s="1327"/>
      <c r="BV494" s="1327"/>
      <c r="BW494" s="1327"/>
      <c r="BX494" s="1327"/>
      <c r="BY494" s="1327"/>
      <c r="BZ494" s="1327"/>
      <c r="CA494" s="1327"/>
      <c r="CB494" s="1327"/>
      <c r="CC494" s="1327"/>
      <c r="CD494" s="1327"/>
      <c r="CE494" s="1327"/>
      <c r="CF494" s="1327"/>
      <c r="CG494" s="1327"/>
      <c r="CH494" s="1327"/>
      <c r="CI494" s="1327"/>
      <c r="CJ494" s="1327"/>
      <c r="CK494" s="1327"/>
      <c r="CL494" s="1327"/>
      <c r="CM494" s="1327"/>
      <c r="CN494" s="1327"/>
      <c r="CO494" s="1327"/>
      <c r="CP494" s="1327"/>
      <c r="CQ494" s="1327"/>
      <c r="CR494" s="1327"/>
      <c r="CS494" s="1327"/>
      <c r="CT494" s="1317"/>
      <c r="CU494" s="1317"/>
      <c r="CV494" s="1317"/>
      <c r="CW494" s="1317"/>
      <c r="CX494" s="1317"/>
      <c r="CY494" s="1317"/>
      <c r="CZ494" s="1317"/>
      <c r="DA494" s="1317"/>
      <c r="DB494" s="1317"/>
      <c r="DC494" s="1317"/>
      <c r="DD494" s="1317"/>
      <c r="DE494" s="1317"/>
      <c r="DF494" s="1317"/>
      <c r="DG494" s="1317"/>
    </row>
    <row r="495" ht="18.75" customHeight="1">
      <c r="G495" s="1344"/>
      <c r="H495" s="1345">
        <f t="shared" si="4"/>
        <v>0</v>
      </c>
      <c r="I495" s="1381"/>
      <c r="J495" s="1381"/>
      <c r="K495" s="1381"/>
      <c r="L495" s="1381"/>
      <c r="M495" s="1381"/>
      <c r="N495" s="1381"/>
      <c r="O495" s="1381"/>
      <c r="P495" s="1381"/>
      <c r="Q495" s="1381"/>
      <c r="R495" s="1381"/>
      <c r="T495" s="1349"/>
      <c r="U495" s="1349" t="s">
        <v>123</v>
      </c>
      <c r="V495" s="1349" t="s">
        <v>123</v>
      </c>
      <c r="W495" s="1349"/>
      <c r="X495" s="1349"/>
      <c r="Y495" s="1308"/>
      <c r="Z495" s="437" t="str">
        <f>IFERROR(__xludf.DUMMYFUNCTION("IF(NOT('portfólio'!$AV$7),"""",IF($T495="""","""",IFERROR(query({AtivosDados},""select sum(""&amp;Z$3&amp;"") where Col1='""&amp;$T495&amp;""' label sum(""&amp;Z$3&amp;"") ''""),0)))"),"")</f>
        <v/>
      </c>
      <c r="AA495" s="437" t="str">
        <f>IFERROR(__xludf.DUMMYFUNCTION("IF(NOT('portfólio'!$AV$7),"""",IF($T495="""","""",IFERROR(query({AtivosDados},""select sum(""&amp;AA$3&amp;"") where Col1='""&amp;$T495&amp;""' label sum(""&amp;AA$3&amp;"") ''""),0)))"),"")</f>
        <v/>
      </c>
      <c r="AB495" s="437" t="str">
        <f>IFERROR(__xludf.DUMMYFUNCTION("IF(NOT('portfólio'!$AV$7),"""",IF($T495="""","""",IFERROR(query({AtivosDados},""select sum(""&amp;AB$3&amp;"") where Col1='""&amp;$T495&amp;""' label sum(""&amp;AB$3&amp;"") ''""),0)))"),"")</f>
        <v/>
      </c>
      <c r="AC495" s="437" t="str">
        <f>IFERROR(__xludf.DUMMYFUNCTION("IF(NOT('portfólio'!$AV$7),"""",IF($T495="""","""",IFERROR(query({AtivosDados},""select sum(""&amp;AC$3&amp;"") where Col1='""&amp;$T495&amp;""' label sum(""&amp;AC$3&amp;"") ''""),0)))"),"")</f>
        <v/>
      </c>
      <c r="AD495" s="437" t="str">
        <f>IFERROR(__xludf.DUMMYFUNCTION("IF(NOT('portfólio'!$AV$7),"""",IF($T495="""","""",IFERROR(query({AtivosDados},""select sum(""&amp;AD$3&amp;"") where Col1='""&amp;$T495&amp;""' label sum(""&amp;AD$3&amp;"") ''""),0)))"),"")</f>
        <v/>
      </c>
      <c r="AE495" s="437"/>
      <c r="AF495" s="1327"/>
      <c r="AG495" s="437"/>
      <c r="AH495" s="437"/>
      <c r="AI495" s="437"/>
      <c r="AJ495" s="437"/>
      <c r="AK495" s="437"/>
      <c r="AL495" s="437"/>
      <c r="AM495" s="437"/>
      <c r="AN495" s="437"/>
      <c r="AO495" s="437"/>
      <c r="AP495" s="437"/>
      <c r="AQ495" s="1327"/>
      <c r="AR495" s="437"/>
      <c r="AS495" s="437"/>
      <c r="AT495" s="437"/>
      <c r="AU495" s="437"/>
      <c r="AV495" s="437"/>
      <c r="AW495" s="437"/>
      <c r="AX495" s="437"/>
      <c r="AY495" s="437"/>
      <c r="AZ495" s="437"/>
      <c r="BA495" s="437"/>
      <c r="BB495" s="1327"/>
      <c r="BC495" s="437"/>
      <c r="BD495" s="437"/>
      <c r="BE495" s="437"/>
      <c r="BF495" s="437"/>
      <c r="BG495" s="437"/>
      <c r="BH495" s="437"/>
      <c r="BI495" s="437"/>
      <c r="BJ495" s="437"/>
      <c r="BK495" s="437"/>
      <c r="BL495" s="437"/>
      <c r="BM495" s="1327"/>
      <c r="BN495" s="1327"/>
      <c r="BO495" s="1327"/>
      <c r="BP495" s="1327"/>
      <c r="BQ495" s="1327"/>
      <c r="BR495" s="1327"/>
      <c r="BS495" s="1327"/>
      <c r="BT495" s="1327"/>
      <c r="BU495" s="1327"/>
      <c r="BV495" s="1327"/>
      <c r="BW495" s="1327"/>
      <c r="BX495" s="1327"/>
      <c r="BY495" s="1327"/>
      <c r="BZ495" s="1327"/>
      <c r="CA495" s="1327"/>
      <c r="CB495" s="1327"/>
      <c r="CC495" s="1327"/>
      <c r="CD495" s="1327"/>
      <c r="CE495" s="1327"/>
      <c r="CF495" s="1327"/>
      <c r="CG495" s="1327"/>
      <c r="CH495" s="1327"/>
      <c r="CI495" s="1327"/>
      <c r="CJ495" s="1327"/>
      <c r="CK495" s="1327"/>
      <c r="CL495" s="1327"/>
      <c r="CM495" s="1327"/>
      <c r="CN495" s="1327"/>
      <c r="CO495" s="1327"/>
      <c r="CP495" s="1327"/>
      <c r="CQ495" s="1327"/>
      <c r="CR495" s="1327"/>
      <c r="CS495" s="1327"/>
      <c r="CT495" s="1317"/>
      <c r="CU495" s="1317"/>
      <c r="CV495" s="1317"/>
      <c r="CW495" s="1317"/>
      <c r="CX495" s="1317"/>
      <c r="CY495" s="1317"/>
      <c r="CZ495" s="1317"/>
      <c r="DA495" s="1317"/>
      <c r="DB495" s="1317"/>
      <c r="DC495" s="1317"/>
      <c r="DD495" s="1317"/>
      <c r="DE495" s="1317"/>
      <c r="DF495" s="1317"/>
      <c r="DG495" s="1317"/>
    </row>
    <row r="496" ht="18.75" customHeight="1">
      <c r="G496" s="1344"/>
      <c r="H496" s="1345">
        <f t="shared" si="4"/>
        <v>0</v>
      </c>
      <c r="I496" s="1381"/>
      <c r="J496" s="1381"/>
      <c r="K496" s="1381"/>
      <c r="L496" s="1381"/>
      <c r="M496" s="1381"/>
      <c r="N496" s="1381"/>
      <c r="O496" s="1381"/>
      <c r="P496" s="1381"/>
      <c r="Q496" s="1381"/>
      <c r="R496" s="1381"/>
      <c r="T496" s="1349"/>
      <c r="U496" s="1349" t="s">
        <v>123</v>
      </c>
      <c r="V496" s="1349" t="s">
        <v>123</v>
      </c>
      <c r="W496" s="1349"/>
      <c r="X496" s="1349"/>
      <c r="Y496" s="1308"/>
      <c r="Z496" s="437" t="str">
        <f>IFERROR(__xludf.DUMMYFUNCTION("IF(NOT('portfólio'!$AV$7),"""",IF($T496="""","""",IFERROR(query({AtivosDados},""select sum(""&amp;Z$3&amp;"") where Col1='""&amp;$T496&amp;""' label sum(""&amp;Z$3&amp;"") ''""),0)))"),"")</f>
        <v/>
      </c>
      <c r="AA496" s="437" t="str">
        <f>IFERROR(__xludf.DUMMYFUNCTION("IF(NOT('portfólio'!$AV$7),"""",IF($T496="""","""",IFERROR(query({AtivosDados},""select sum(""&amp;AA$3&amp;"") where Col1='""&amp;$T496&amp;""' label sum(""&amp;AA$3&amp;"") ''""),0)))"),"")</f>
        <v/>
      </c>
      <c r="AB496" s="437" t="str">
        <f>IFERROR(__xludf.DUMMYFUNCTION("IF(NOT('portfólio'!$AV$7),"""",IF($T496="""","""",IFERROR(query({AtivosDados},""select sum(""&amp;AB$3&amp;"") where Col1='""&amp;$T496&amp;""' label sum(""&amp;AB$3&amp;"") ''""),0)))"),"")</f>
        <v/>
      </c>
      <c r="AC496" s="437" t="str">
        <f>IFERROR(__xludf.DUMMYFUNCTION("IF(NOT('portfólio'!$AV$7),"""",IF($T496="""","""",IFERROR(query({AtivosDados},""select sum(""&amp;AC$3&amp;"") where Col1='""&amp;$T496&amp;""' label sum(""&amp;AC$3&amp;"") ''""),0)))"),"")</f>
        <v/>
      </c>
      <c r="AD496" s="437" t="str">
        <f>IFERROR(__xludf.DUMMYFUNCTION("IF(NOT('portfólio'!$AV$7),"""",IF($T496="""","""",IFERROR(query({AtivosDados},""select sum(""&amp;AD$3&amp;"") where Col1='""&amp;$T496&amp;""' label sum(""&amp;AD$3&amp;"") ''""),0)))"),"")</f>
        <v/>
      </c>
      <c r="AE496" s="437"/>
      <c r="AF496" s="1327"/>
      <c r="AG496" s="437"/>
      <c r="AH496" s="437"/>
      <c r="AI496" s="437"/>
      <c r="AJ496" s="437"/>
      <c r="AK496" s="437"/>
      <c r="AL496" s="437"/>
      <c r="AM496" s="437"/>
      <c r="AN496" s="437"/>
      <c r="AO496" s="437"/>
      <c r="AP496" s="437"/>
      <c r="AQ496" s="1327"/>
      <c r="AR496" s="437"/>
      <c r="AS496" s="437"/>
      <c r="AT496" s="437"/>
      <c r="AU496" s="437"/>
      <c r="AV496" s="437"/>
      <c r="AW496" s="437"/>
      <c r="AX496" s="437"/>
      <c r="AY496" s="437"/>
      <c r="AZ496" s="437"/>
      <c r="BA496" s="437"/>
      <c r="BB496" s="1327"/>
      <c r="BC496" s="437"/>
      <c r="BD496" s="437"/>
      <c r="BE496" s="437"/>
      <c r="BF496" s="437"/>
      <c r="BG496" s="437"/>
      <c r="BH496" s="437"/>
      <c r="BI496" s="437"/>
      <c r="BJ496" s="437"/>
      <c r="BK496" s="437"/>
      <c r="BL496" s="437"/>
      <c r="BM496" s="1327"/>
      <c r="BN496" s="1327"/>
      <c r="BO496" s="1327"/>
      <c r="BP496" s="1327"/>
      <c r="BQ496" s="1327"/>
      <c r="BR496" s="1327"/>
      <c r="BS496" s="1327"/>
      <c r="BT496" s="1327"/>
      <c r="BU496" s="1327"/>
      <c r="BV496" s="1327"/>
      <c r="BW496" s="1327"/>
      <c r="BX496" s="1327"/>
      <c r="BY496" s="1327"/>
      <c r="BZ496" s="1327"/>
      <c r="CA496" s="1327"/>
      <c r="CB496" s="1327"/>
      <c r="CC496" s="1327"/>
      <c r="CD496" s="1327"/>
      <c r="CE496" s="1327"/>
      <c r="CF496" s="1327"/>
      <c r="CG496" s="1327"/>
      <c r="CH496" s="1327"/>
      <c r="CI496" s="1327"/>
      <c r="CJ496" s="1327"/>
      <c r="CK496" s="1327"/>
      <c r="CL496" s="1327"/>
      <c r="CM496" s="1327"/>
      <c r="CN496" s="1327"/>
      <c r="CO496" s="1327"/>
      <c r="CP496" s="1327"/>
      <c r="CQ496" s="1327"/>
      <c r="CR496" s="1327"/>
      <c r="CS496" s="1327"/>
      <c r="CT496" s="1317"/>
      <c r="CU496" s="1317"/>
      <c r="CV496" s="1317"/>
      <c r="CW496" s="1317"/>
      <c r="CX496" s="1317"/>
      <c r="CY496" s="1317"/>
      <c r="CZ496" s="1317"/>
      <c r="DA496" s="1317"/>
      <c r="DB496" s="1317"/>
      <c r="DC496" s="1317"/>
      <c r="DD496" s="1317"/>
      <c r="DE496" s="1317"/>
      <c r="DF496" s="1317"/>
      <c r="DG496" s="1317"/>
    </row>
    <row r="497" ht="18.75" customHeight="1">
      <c r="G497" s="1344"/>
      <c r="H497" s="1345">
        <f t="shared" si="4"/>
        <v>0</v>
      </c>
      <c r="I497" s="1381"/>
      <c r="J497" s="1381"/>
      <c r="K497" s="1381"/>
      <c r="L497" s="1381"/>
      <c r="M497" s="1381"/>
      <c r="N497" s="1381"/>
      <c r="O497" s="1381"/>
      <c r="P497" s="1381"/>
      <c r="Q497" s="1381"/>
      <c r="R497" s="1381"/>
      <c r="T497" s="1349"/>
      <c r="U497" s="1349" t="s">
        <v>123</v>
      </c>
      <c r="V497" s="1349" t="s">
        <v>123</v>
      </c>
      <c r="W497" s="1349"/>
      <c r="X497" s="1349"/>
      <c r="Y497" s="1308"/>
      <c r="Z497" s="437" t="str">
        <f>IFERROR(__xludf.DUMMYFUNCTION("IF(NOT('portfólio'!$AV$7),"""",IF($T497="""","""",IFERROR(query({AtivosDados},""select sum(""&amp;Z$3&amp;"") where Col1='""&amp;$T497&amp;""' label sum(""&amp;Z$3&amp;"") ''""),0)))"),"")</f>
        <v/>
      </c>
      <c r="AA497" s="437" t="str">
        <f>IFERROR(__xludf.DUMMYFUNCTION("IF(NOT('portfólio'!$AV$7),"""",IF($T497="""","""",IFERROR(query({AtivosDados},""select sum(""&amp;AA$3&amp;"") where Col1='""&amp;$T497&amp;""' label sum(""&amp;AA$3&amp;"") ''""),0)))"),"")</f>
        <v/>
      </c>
      <c r="AB497" s="437" t="str">
        <f>IFERROR(__xludf.DUMMYFUNCTION("IF(NOT('portfólio'!$AV$7),"""",IF($T497="""","""",IFERROR(query({AtivosDados},""select sum(""&amp;AB$3&amp;"") where Col1='""&amp;$T497&amp;""' label sum(""&amp;AB$3&amp;"") ''""),0)))"),"")</f>
        <v/>
      </c>
      <c r="AC497" s="437" t="str">
        <f>IFERROR(__xludf.DUMMYFUNCTION("IF(NOT('portfólio'!$AV$7),"""",IF($T497="""","""",IFERROR(query({AtivosDados},""select sum(""&amp;AC$3&amp;"") where Col1='""&amp;$T497&amp;""' label sum(""&amp;AC$3&amp;"") ''""),0)))"),"")</f>
        <v/>
      </c>
      <c r="AD497" s="437" t="str">
        <f>IFERROR(__xludf.DUMMYFUNCTION("IF(NOT('portfólio'!$AV$7),"""",IF($T497="""","""",IFERROR(query({AtivosDados},""select sum(""&amp;AD$3&amp;"") where Col1='""&amp;$T497&amp;""' label sum(""&amp;AD$3&amp;"") ''""),0)))"),"")</f>
        <v/>
      </c>
      <c r="AE497" s="437"/>
      <c r="AF497" s="1327"/>
      <c r="AG497" s="437"/>
      <c r="AH497" s="437"/>
      <c r="AI497" s="437"/>
      <c r="AJ497" s="437"/>
      <c r="AK497" s="437"/>
      <c r="AL497" s="437"/>
      <c r="AM497" s="437"/>
      <c r="AN497" s="437"/>
      <c r="AO497" s="437"/>
      <c r="AP497" s="437"/>
      <c r="AQ497" s="1327"/>
      <c r="AR497" s="437"/>
      <c r="AS497" s="437"/>
      <c r="AT497" s="437"/>
      <c r="AU497" s="437"/>
      <c r="AV497" s="437"/>
      <c r="AW497" s="437"/>
      <c r="AX497" s="437"/>
      <c r="AY497" s="437"/>
      <c r="AZ497" s="437"/>
      <c r="BA497" s="437"/>
      <c r="BB497" s="1327"/>
      <c r="BC497" s="437"/>
      <c r="BD497" s="437"/>
      <c r="BE497" s="437"/>
      <c r="BF497" s="437"/>
      <c r="BG497" s="437"/>
      <c r="BH497" s="437"/>
      <c r="BI497" s="437"/>
      <c r="BJ497" s="437"/>
      <c r="BK497" s="437"/>
      <c r="BL497" s="437"/>
      <c r="BM497" s="1327"/>
      <c r="BN497" s="1327"/>
      <c r="BO497" s="1327"/>
      <c r="BP497" s="1327"/>
      <c r="BQ497" s="1327"/>
      <c r="BR497" s="1327"/>
      <c r="BS497" s="1327"/>
      <c r="BT497" s="1327"/>
      <c r="BU497" s="1327"/>
      <c r="BV497" s="1327"/>
      <c r="BW497" s="1327"/>
      <c r="BX497" s="1327"/>
      <c r="BY497" s="1327"/>
      <c r="BZ497" s="1327"/>
      <c r="CA497" s="1327"/>
      <c r="CB497" s="1327"/>
      <c r="CC497" s="1327"/>
      <c r="CD497" s="1327"/>
      <c r="CE497" s="1327"/>
      <c r="CF497" s="1327"/>
      <c r="CG497" s="1327"/>
      <c r="CH497" s="1327"/>
      <c r="CI497" s="1327"/>
      <c r="CJ497" s="1327"/>
      <c r="CK497" s="1327"/>
      <c r="CL497" s="1327"/>
      <c r="CM497" s="1327"/>
      <c r="CN497" s="1327"/>
      <c r="CO497" s="1327"/>
      <c r="CP497" s="1327"/>
      <c r="CQ497" s="1327"/>
      <c r="CR497" s="1327"/>
      <c r="CS497" s="1327"/>
      <c r="CT497" s="1317"/>
      <c r="CU497" s="1317"/>
      <c r="CV497" s="1317"/>
      <c r="CW497" s="1317"/>
      <c r="CX497" s="1317"/>
      <c r="CY497" s="1317"/>
      <c r="CZ497" s="1317"/>
      <c r="DA497" s="1317"/>
      <c r="DB497" s="1317"/>
      <c r="DC497" s="1317"/>
      <c r="DD497" s="1317"/>
      <c r="DE497" s="1317"/>
      <c r="DF497" s="1317"/>
      <c r="DG497" s="1317"/>
    </row>
    <row r="498" ht="18.75" customHeight="1">
      <c r="G498" s="1344"/>
      <c r="H498" s="1345">
        <f t="shared" si="4"/>
        <v>0</v>
      </c>
      <c r="I498" s="1381"/>
      <c r="J498" s="1381"/>
      <c r="K498" s="1381"/>
      <c r="L498" s="1381"/>
      <c r="M498" s="1381"/>
      <c r="N498" s="1381"/>
      <c r="O498" s="1381"/>
      <c r="P498" s="1381"/>
      <c r="Q498" s="1381"/>
      <c r="R498" s="1381"/>
      <c r="T498" s="1349"/>
      <c r="U498" s="1349" t="s">
        <v>123</v>
      </c>
      <c r="V498" s="1349" t="s">
        <v>123</v>
      </c>
      <c r="W498" s="1349"/>
      <c r="X498" s="1349"/>
      <c r="Y498" s="1308"/>
      <c r="Z498" s="437" t="str">
        <f>IFERROR(__xludf.DUMMYFUNCTION("IF(NOT('portfólio'!$AV$7),"""",IF($T498="""","""",IFERROR(query({AtivosDados},""select sum(""&amp;Z$3&amp;"") where Col1='""&amp;$T498&amp;""' label sum(""&amp;Z$3&amp;"") ''""),0)))"),"")</f>
        <v/>
      </c>
      <c r="AA498" s="437" t="str">
        <f>IFERROR(__xludf.DUMMYFUNCTION("IF(NOT('portfólio'!$AV$7),"""",IF($T498="""","""",IFERROR(query({AtivosDados},""select sum(""&amp;AA$3&amp;"") where Col1='""&amp;$T498&amp;""' label sum(""&amp;AA$3&amp;"") ''""),0)))"),"")</f>
        <v/>
      </c>
      <c r="AB498" s="437" t="str">
        <f>IFERROR(__xludf.DUMMYFUNCTION("IF(NOT('portfólio'!$AV$7),"""",IF($T498="""","""",IFERROR(query({AtivosDados},""select sum(""&amp;AB$3&amp;"") where Col1='""&amp;$T498&amp;""' label sum(""&amp;AB$3&amp;"") ''""),0)))"),"")</f>
        <v/>
      </c>
      <c r="AC498" s="437" t="str">
        <f>IFERROR(__xludf.DUMMYFUNCTION("IF(NOT('portfólio'!$AV$7),"""",IF($T498="""","""",IFERROR(query({AtivosDados},""select sum(""&amp;AC$3&amp;"") where Col1='""&amp;$T498&amp;""' label sum(""&amp;AC$3&amp;"") ''""),0)))"),"")</f>
        <v/>
      </c>
      <c r="AD498" s="437" t="str">
        <f>IFERROR(__xludf.DUMMYFUNCTION("IF(NOT('portfólio'!$AV$7),"""",IF($T498="""","""",IFERROR(query({AtivosDados},""select sum(""&amp;AD$3&amp;"") where Col1='""&amp;$T498&amp;""' label sum(""&amp;AD$3&amp;"") ''""),0)))"),"")</f>
        <v/>
      </c>
      <c r="AE498" s="437"/>
      <c r="AF498" s="1327"/>
      <c r="AG498" s="437"/>
      <c r="AH498" s="437"/>
      <c r="AI498" s="437"/>
      <c r="AJ498" s="437"/>
      <c r="AK498" s="437"/>
      <c r="AL498" s="437"/>
      <c r="AM498" s="437"/>
      <c r="AN498" s="437"/>
      <c r="AO498" s="437"/>
      <c r="AP498" s="437"/>
      <c r="AQ498" s="1327"/>
      <c r="AR498" s="437"/>
      <c r="AS498" s="437"/>
      <c r="AT498" s="437"/>
      <c r="AU498" s="437"/>
      <c r="AV498" s="437"/>
      <c r="AW498" s="437"/>
      <c r="AX498" s="437"/>
      <c r="AY498" s="437"/>
      <c r="AZ498" s="437"/>
      <c r="BA498" s="437"/>
      <c r="BB498" s="1327"/>
      <c r="BC498" s="437"/>
      <c r="BD498" s="437"/>
      <c r="BE498" s="437"/>
      <c r="BF498" s="437"/>
      <c r="BG498" s="437"/>
      <c r="BH498" s="437"/>
      <c r="BI498" s="437"/>
      <c r="BJ498" s="437"/>
      <c r="BK498" s="437"/>
      <c r="BL498" s="437"/>
      <c r="BM498" s="1327"/>
      <c r="BN498" s="1327"/>
      <c r="BO498" s="1327"/>
      <c r="BP498" s="1327"/>
      <c r="BQ498" s="1327"/>
      <c r="BR498" s="1327"/>
      <c r="BS498" s="1327"/>
      <c r="BT498" s="1327"/>
      <c r="BU498" s="1327"/>
      <c r="BV498" s="1327"/>
      <c r="BW498" s="1327"/>
      <c r="BX498" s="1327"/>
      <c r="BY498" s="1327"/>
      <c r="BZ498" s="1327"/>
      <c r="CA498" s="1327"/>
      <c r="CB498" s="1327"/>
      <c r="CC498" s="1327"/>
      <c r="CD498" s="1327"/>
      <c r="CE498" s="1327"/>
      <c r="CF498" s="1327"/>
      <c r="CG498" s="1327"/>
      <c r="CH498" s="1327"/>
      <c r="CI498" s="1327"/>
      <c r="CJ498" s="1327"/>
      <c r="CK498" s="1327"/>
      <c r="CL498" s="1327"/>
      <c r="CM498" s="1327"/>
      <c r="CN498" s="1327"/>
      <c r="CO498" s="1327"/>
      <c r="CP498" s="1327"/>
      <c r="CQ498" s="1327"/>
      <c r="CR498" s="1327"/>
      <c r="CS498" s="1327"/>
      <c r="CT498" s="1317"/>
      <c r="CU498" s="1317"/>
      <c r="CV498" s="1317"/>
      <c r="CW498" s="1317"/>
      <c r="CX498" s="1317"/>
      <c r="CY498" s="1317"/>
      <c r="CZ498" s="1317"/>
      <c r="DA498" s="1317"/>
      <c r="DB498" s="1317"/>
      <c r="DC498" s="1317"/>
      <c r="DD498" s="1317"/>
      <c r="DE498" s="1317"/>
      <c r="DF498" s="1317"/>
      <c r="DG498" s="1317"/>
    </row>
    <row r="499" ht="18.75" customHeight="1">
      <c r="G499" s="1344"/>
      <c r="H499" s="1345">
        <f t="shared" si="4"/>
        <v>0</v>
      </c>
      <c r="I499" s="1381"/>
      <c r="J499" s="1381"/>
      <c r="K499" s="1381"/>
      <c r="L499" s="1381"/>
      <c r="M499" s="1381"/>
      <c r="N499" s="1381"/>
      <c r="O499" s="1381"/>
      <c r="P499" s="1381"/>
      <c r="Q499" s="1381"/>
      <c r="R499" s="1381"/>
      <c r="T499" s="1349"/>
      <c r="U499" s="1349" t="s">
        <v>123</v>
      </c>
      <c r="V499" s="1349" t="s">
        <v>123</v>
      </c>
      <c r="W499" s="1349"/>
      <c r="X499" s="1349"/>
      <c r="Y499" s="1308"/>
      <c r="Z499" s="437" t="str">
        <f>IFERROR(__xludf.DUMMYFUNCTION("IF(NOT('portfólio'!$AV$7),"""",IF($T499="""","""",IFERROR(query({AtivosDados},""select sum(""&amp;Z$3&amp;"") where Col1='""&amp;$T499&amp;""' label sum(""&amp;Z$3&amp;"") ''""),0)))"),"")</f>
        <v/>
      </c>
      <c r="AA499" s="437" t="str">
        <f>IFERROR(__xludf.DUMMYFUNCTION("IF(NOT('portfólio'!$AV$7),"""",IF($T499="""","""",IFERROR(query({AtivosDados},""select sum(""&amp;AA$3&amp;"") where Col1='""&amp;$T499&amp;""' label sum(""&amp;AA$3&amp;"") ''""),0)))"),"")</f>
        <v/>
      </c>
      <c r="AB499" s="437" t="str">
        <f>IFERROR(__xludf.DUMMYFUNCTION("IF(NOT('portfólio'!$AV$7),"""",IF($T499="""","""",IFERROR(query({AtivosDados},""select sum(""&amp;AB$3&amp;"") where Col1='""&amp;$T499&amp;""' label sum(""&amp;AB$3&amp;"") ''""),0)))"),"")</f>
        <v/>
      </c>
      <c r="AC499" s="437" t="str">
        <f>IFERROR(__xludf.DUMMYFUNCTION("IF(NOT('portfólio'!$AV$7),"""",IF($T499="""","""",IFERROR(query({AtivosDados},""select sum(""&amp;AC$3&amp;"") where Col1='""&amp;$T499&amp;""' label sum(""&amp;AC$3&amp;"") ''""),0)))"),"")</f>
        <v/>
      </c>
      <c r="AD499" s="437" t="str">
        <f>IFERROR(__xludf.DUMMYFUNCTION("IF(NOT('portfólio'!$AV$7),"""",IF($T499="""","""",IFERROR(query({AtivosDados},""select sum(""&amp;AD$3&amp;"") where Col1='""&amp;$T499&amp;""' label sum(""&amp;AD$3&amp;"") ''""),0)))"),"")</f>
        <v/>
      </c>
      <c r="AE499" s="437"/>
      <c r="AF499" s="1327"/>
      <c r="AG499" s="437"/>
      <c r="AH499" s="437"/>
      <c r="AI499" s="437"/>
      <c r="AJ499" s="437"/>
      <c r="AK499" s="437"/>
      <c r="AL499" s="437"/>
      <c r="AM499" s="437"/>
      <c r="AN499" s="437"/>
      <c r="AO499" s="437"/>
      <c r="AP499" s="437"/>
      <c r="AQ499" s="1327"/>
      <c r="AR499" s="437"/>
      <c r="AS499" s="437"/>
      <c r="AT499" s="437"/>
      <c r="AU499" s="437"/>
      <c r="AV499" s="437"/>
      <c r="AW499" s="437"/>
      <c r="AX499" s="437"/>
      <c r="AY499" s="437"/>
      <c r="AZ499" s="437"/>
      <c r="BA499" s="437"/>
      <c r="BB499" s="1327"/>
      <c r="BC499" s="437"/>
      <c r="BD499" s="437"/>
      <c r="BE499" s="437"/>
      <c r="BF499" s="437"/>
      <c r="BG499" s="437"/>
      <c r="BH499" s="437"/>
      <c r="BI499" s="437"/>
      <c r="BJ499" s="437"/>
      <c r="BK499" s="437"/>
      <c r="BL499" s="437"/>
      <c r="BM499" s="1327"/>
      <c r="BN499" s="1327"/>
      <c r="BO499" s="1327"/>
      <c r="BP499" s="1327"/>
      <c r="BQ499" s="1327"/>
      <c r="BR499" s="1327"/>
      <c r="BS499" s="1327"/>
      <c r="BT499" s="1327"/>
      <c r="BU499" s="1327"/>
      <c r="BV499" s="1327"/>
      <c r="BW499" s="1327"/>
      <c r="BX499" s="1327"/>
      <c r="BY499" s="1327"/>
      <c r="BZ499" s="1327"/>
      <c r="CA499" s="1327"/>
      <c r="CB499" s="1327"/>
      <c r="CC499" s="1327"/>
      <c r="CD499" s="1327"/>
      <c r="CE499" s="1327"/>
      <c r="CF499" s="1327"/>
      <c r="CG499" s="1327"/>
      <c r="CH499" s="1327"/>
      <c r="CI499" s="1327"/>
      <c r="CJ499" s="1327"/>
      <c r="CK499" s="1327"/>
      <c r="CL499" s="1327"/>
      <c r="CM499" s="1327"/>
      <c r="CN499" s="1327"/>
      <c r="CO499" s="1327"/>
      <c r="CP499" s="1327"/>
      <c r="CQ499" s="1327"/>
      <c r="CR499" s="1327"/>
      <c r="CS499" s="1327"/>
      <c r="CT499" s="1317"/>
      <c r="CU499" s="1317"/>
      <c r="CV499" s="1317"/>
      <c r="CW499" s="1317"/>
      <c r="CX499" s="1317"/>
      <c r="CY499" s="1317"/>
      <c r="CZ499" s="1317"/>
      <c r="DA499" s="1317"/>
      <c r="DB499" s="1317"/>
      <c r="DC499" s="1317"/>
      <c r="DD499" s="1317"/>
      <c r="DE499" s="1317"/>
      <c r="DF499" s="1317"/>
      <c r="DG499" s="1317"/>
    </row>
    <row r="500" ht="18.75" customHeight="1">
      <c r="G500" s="1344"/>
      <c r="H500" s="1345">
        <f t="shared" si="4"/>
        <v>0</v>
      </c>
      <c r="I500" s="1381"/>
      <c r="J500" s="1381"/>
      <c r="K500" s="1381"/>
      <c r="L500" s="1381"/>
      <c r="M500" s="1381"/>
      <c r="N500" s="1381"/>
      <c r="O500" s="1381"/>
      <c r="P500" s="1381"/>
      <c r="Q500" s="1381"/>
      <c r="R500" s="1381"/>
      <c r="T500" s="1349"/>
      <c r="U500" s="1349" t="s">
        <v>123</v>
      </c>
      <c r="V500" s="1349" t="s">
        <v>123</v>
      </c>
      <c r="W500" s="1349"/>
      <c r="X500" s="1349"/>
      <c r="Y500" s="1308"/>
      <c r="Z500" s="437" t="str">
        <f>IFERROR(__xludf.DUMMYFUNCTION("IF(NOT('portfólio'!$AV$7),"""",IF($T500="""","""",IFERROR(query({AtivosDados},""select sum(""&amp;Z$3&amp;"") where Col1='""&amp;$T500&amp;""' label sum(""&amp;Z$3&amp;"") ''""),0)))"),"")</f>
        <v/>
      </c>
      <c r="AA500" s="437" t="str">
        <f>IFERROR(__xludf.DUMMYFUNCTION("IF(NOT('portfólio'!$AV$7),"""",IF($T500="""","""",IFERROR(query({AtivosDados},""select sum(""&amp;AA$3&amp;"") where Col1='""&amp;$T500&amp;""' label sum(""&amp;AA$3&amp;"") ''""),0)))"),"")</f>
        <v/>
      </c>
      <c r="AB500" s="437" t="str">
        <f>IFERROR(__xludf.DUMMYFUNCTION("IF(NOT('portfólio'!$AV$7),"""",IF($T500="""","""",IFERROR(query({AtivosDados},""select sum(""&amp;AB$3&amp;"") where Col1='""&amp;$T500&amp;""' label sum(""&amp;AB$3&amp;"") ''""),0)))"),"")</f>
        <v/>
      </c>
      <c r="AC500" s="437" t="str">
        <f>IFERROR(__xludf.DUMMYFUNCTION("IF(NOT('portfólio'!$AV$7),"""",IF($T500="""","""",IFERROR(query({AtivosDados},""select sum(""&amp;AC$3&amp;"") where Col1='""&amp;$T500&amp;""' label sum(""&amp;AC$3&amp;"") ''""),0)))"),"")</f>
        <v/>
      </c>
      <c r="AD500" s="437" t="str">
        <f>IFERROR(__xludf.DUMMYFUNCTION("IF(NOT('portfólio'!$AV$7),"""",IF($T500="""","""",IFERROR(query({AtivosDados},""select sum(""&amp;AD$3&amp;"") where Col1='""&amp;$T500&amp;""' label sum(""&amp;AD$3&amp;"") ''""),0)))"),"")</f>
        <v/>
      </c>
      <c r="AE500" s="437"/>
      <c r="AF500" s="1327"/>
      <c r="AG500" s="437"/>
      <c r="AH500" s="437"/>
      <c r="AI500" s="437"/>
      <c r="AJ500" s="437"/>
      <c r="AK500" s="437"/>
      <c r="AL500" s="437"/>
      <c r="AM500" s="437"/>
      <c r="AN500" s="437"/>
      <c r="AO500" s="437"/>
      <c r="AP500" s="437"/>
      <c r="AQ500" s="1327"/>
      <c r="AR500" s="437"/>
      <c r="AS500" s="437"/>
      <c r="AT500" s="437"/>
      <c r="AU500" s="437"/>
      <c r="AV500" s="437"/>
      <c r="AW500" s="437"/>
      <c r="AX500" s="437"/>
      <c r="AY500" s="437"/>
      <c r="AZ500" s="437"/>
      <c r="BA500" s="437"/>
      <c r="BB500" s="1327"/>
      <c r="BC500" s="437"/>
      <c r="BD500" s="437"/>
      <c r="BE500" s="437"/>
      <c r="BF500" s="437"/>
      <c r="BG500" s="437"/>
      <c r="BH500" s="437"/>
      <c r="BI500" s="437"/>
      <c r="BJ500" s="437"/>
      <c r="BK500" s="437"/>
      <c r="BL500" s="437"/>
      <c r="BM500" s="1327"/>
      <c r="BN500" s="1327"/>
      <c r="BO500" s="1327"/>
      <c r="BP500" s="1327"/>
      <c r="BQ500" s="1327"/>
      <c r="BR500" s="1327"/>
      <c r="BS500" s="1327"/>
      <c r="BT500" s="1327"/>
      <c r="BU500" s="1327"/>
      <c r="BV500" s="1327"/>
      <c r="BW500" s="1327"/>
      <c r="BX500" s="1327"/>
      <c r="BY500" s="1327"/>
      <c r="BZ500" s="1327"/>
      <c r="CA500" s="1327"/>
      <c r="CB500" s="1327"/>
      <c r="CC500" s="1327"/>
      <c r="CD500" s="1327"/>
      <c r="CE500" s="1327"/>
      <c r="CF500" s="1327"/>
      <c r="CG500" s="1327"/>
      <c r="CH500" s="1327"/>
      <c r="CI500" s="1327"/>
      <c r="CJ500" s="1327"/>
      <c r="CK500" s="1327"/>
      <c r="CL500" s="1327"/>
      <c r="CM500" s="1327"/>
      <c r="CN500" s="1327"/>
      <c r="CO500" s="1327"/>
      <c r="CP500" s="1327"/>
      <c r="CQ500" s="1327"/>
      <c r="CR500" s="1327"/>
      <c r="CS500" s="1327"/>
      <c r="CT500" s="1317"/>
      <c r="CU500" s="1317"/>
      <c r="CV500" s="1317"/>
      <c r="CW500" s="1317"/>
      <c r="CX500" s="1317"/>
      <c r="CY500" s="1317"/>
      <c r="CZ500" s="1317"/>
      <c r="DA500" s="1317"/>
      <c r="DB500" s="1317"/>
      <c r="DC500" s="1317"/>
      <c r="DD500" s="1317"/>
      <c r="DE500" s="1317"/>
      <c r="DF500" s="1317"/>
      <c r="DG500" s="1317"/>
    </row>
    <row r="501" ht="18.75" customHeight="1">
      <c r="G501" s="1344"/>
      <c r="H501" s="1345">
        <f t="shared" si="4"/>
        <v>0</v>
      </c>
      <c r="I501" s="1381"/>
      <c r="J501" s="1381"/>
      <c r="K501" s="1381"/>
      <c r="L501" s="1381"/>
      <c r="M501" s="1381"/>
      <c r="N501" s="1381"/>
      <c r="O501" s="1381"/>
      <c r="P501" s="1381"/>
      <c r="Q501" s="1381"/>
      <c r="R501" s="1381"/>
      <c r="T501" s="1349"/>
      <c r="U501" s="1349" t="s">
        <v>123</v>
      </c>
      <c r="V501" s="1349" t="s">
        <v>123</v>
      </c>
      <c r="W501" s="1349"/>
      <c r="X501" s="1349"/>
      <c r="Y501" s="1308"/>
      <c r="Z501" s="437" t="str">
        <f>IFERROR(__xludf.DUMMYFUNCTION("IF(NOT('portfólio'!$AV$7),"""",IF($T501="""","""",IFERROR(query({AtivosDados},""select sum(""&amp;Z$3&amp;"") where Col1='""&amp;$T501&amp;""' label sum(""&amp;Z$3&amp;"") ''""),0)))"),"")</f>
        <v/>
      </c>
      <c r="AA501" s="437" t="str">
        <f>IFERROR(__xludf.DUMMYFUNCTION("IF(NOT('portfólio'!$AV$7),"""",IF($T501="""","""",IFERROR(query({AtivosDados},""select sum(""&amp;AA$3&amp;"") where Col1='""&amp;$T501&amp;""' label sum(""&amp;AA$3&amp;"") ''""),0)))"),"")</f>
        <v/>
      </c>
      <c r="AB501" s="437" t="str">
        <f>IFERROR(__xludf.DUMMYFUNCTION("IF(NOT('portfólio'!$AV$7),"""",IF($T501="""","""",IFERROR(query({AtivosDados},""select sum(""&amp;AB$3&amp;"") where Col1='""&amp;$T501&amp;""' label sum(""&amp;AB$3&amp;"") ''""),0)))"),"")</f>
        <v/>
      </c>
      <c r="AC501" s="437" t="str">
        <f>IFERROR(__xludf.DUMMYFUNCTION("IF(NOT('portfólio'!$AV$7),"""",IF($T501="""","""",IFERROR(query({AtivosDados},""select sum(""&amp;AC$3&amp;"") where Col1='""&amp;$T501&amp;""' label sum(""&amp;AC$3&amp;"") ''""),0)))"),"")</f>
        <v/>
      </c>
      <c r="AD501" s="437" t="str">
        <f>IFERROR(__xludf.DUMMYFUNCTION("IF(NOT('portfólio'!$AV$7),"""",IF($T501="""","""",IFERROR(query({AtivosDados},""select sum(""&amp;AD$3&amp;"") where Col1='""&amp;$T501&amp;""' label sum(""&amp;AD$3&amp;"") ''""),0)))"),"")</f>
        <v/>
      </c>
      <c r="AE501" s="437"/>
      <c r="AF501" s="1327"/>
      <c r="AG501" s="437"/>
      <c r="AH501" s="437"/>
      <c r="AI501" s="437"/>
      <c r="AJ501" s="437"/>
      <c r="AK501" s="437"/>
      <c r="AL501" s="437"/>
      <c r="AM501" s="437"/>
      <c r="AN501" s="437"/>
      <c r="AO501" s="437"/>
      <c r="AP501" s="437"/>
      <c r="AQ501" s="1327"/>
      <c r="AR501" s="437"/>
      <c r="AS501" s="437"/>
      <c r="AT501" s="437"/>
      <c r="AU501" s="437"/>
      <c r="AV501" s="437"/>
      <c r="AW501" s="437"/>
      <c r="AX501" s="437"/>
      <c r="AY501" s="437"/>
      <c r="AZ501" s="437"/>
      <c r="BA501" s="437"/>
      <c r="BB501" s="1327"/>
      <c r="BC501" s="437"/>
      <c r="BD501" s="437"/>
      <c r="BE501" s="437"/>
      <c r="BF501" s="437"/>
      <c r="BG501" s="437"/>
      <c r="BH501" s="437"/>
      <c r="BI501" s="437"/>
      <c r="BJ501" s="437"/>
      <c r="BK501" s="437"/>
      <c r="BL501" s="437"/>
      <c r="BM501" s="1327"/>
      <c r="BN501" s="1327"/>
      <c r="BO501" s="1327"/>
      <c r="BP501" s="1327"/>
      <c r="BQ501" s="1327"/>
      <c r="BR501" s="1327"/>
      <c r="BS501" s="1327"/>
      <c r="BT501" s="1327"/>
      <c r="BU501" s="1327"/>
      <c r="BV501" s="1327"/>
      <c r="BW501" s="1327"/>
      <c r="BX501" s="1327"/>
      <c r="BY501" s="1327"/>
      <c r="BZ501" s="1327"/>
      <c r="CA501" s="1327"/>
      <c r="CB501" s="1327"/>
      <c r="CC501" s="1327"/>
      <c r="CD501" s="1327"/>
      <c r="CE501" s="1327"/>
      <c r="CF501" s="1327"/>
      <c r="CG501" s="1327"/>
      <c r="CH501" s="1327"/>
      <c r="CI501" s="1327"/>
      <c r="CJ501" s="1327"/>
      <c r="CK501" s="1327"/>
      <c r="CL501" s="1327"/>
      <c r="CM501" s="1327"/>
      <c r="CN501" s="1327"/>
      <c r="CO501" s="1327"/>
      <c r="CP501" s="1327"/>
      <c r="CQ501" s="1327"/>
      <c r="CR501" s="1327"/>
      <c r="CS501" s="1327"/>
      <c r="CT501" s="1317"/>
      <c r="CU501" s="1317"/>
      <c r="CV501" s="1317"/>
      <c r="CW501" s="1317"/>
      <c r="CX501" s="1317"/>
      <c r="CY501" s="1317"/>
      <c r="CZ501" s="1317"/>
      <c r="DA501" s="1317"/>
      <c r="DB501" s="1317"/>
      <c r="DC501" s="1317"/>
      <c r="DD501" s="1317"/>
      <c r="DE501" s="1317"/>
      <c r="DF501" s="1317"/>
      <c r="DG501" s="1317"/>
    </row>
    <row r="502" ht="18.75" customHeight="1">
      <c r="G502" s="1344"/>
      <c r="H502" s="1345">
        <f t="shared" si="4"/>
        <v>0</v>
      </c>
      <c r="I502" s="1381"/>
      <c r="J502" s="1381"/>
      <c r="K502" s="1381"/>
      <c r="L502" s="1381"/>
      <c r="M502" s="1381"/>
      <c r="N502" s="1381"/>
      <c r="O502" s="1381"/>
      <c r="P502" s="1381"/>
      <c r="Q502" s="1381"/>
      <c r="R502" s="1381"/>
      <c r="T502" s="1349"/>
      <c r="U502" s="1349" t="s">
        <v>123</v>
      </c>
      <c r="V502" s="1349" t="s">
        <v>123</v>
      </c>
      <c r="W502" s="1349"/>
      <c r="X502" s="1349"/>
      <c r="Y502" s="1308"/>
      <c r="Z502" s="437" t="str">
        <f>IFERROR(__xludf.DUMMYFUNCTION("IF(NOT('portfólio'!$AV$7),"""",IF($T502="""","""",IFERROR(query({AtivosDados},""select sum(""&amp;Z$3&amp;"") where Col1='""&amp;$T502&amp;""' label sum(""&amp;Z$3&amp;"") ''""),0)))"),"")</f>
        <v/>
      </c>
      <c r="AA502" s="437" t="str">
        <f>IFERROR(__xludf.DUMMYFUNCTION("IF(NOT('portfólio'!$AV$7),"""",IF($T502="""","""",IFERROR(query({AtivosDados},""select sum(""&amp;AA$3&amp;"") where Col1='""&amp;$T502&amp;""' label sum(""&amp;AA$3&amp;"") ''""),0)))"),"")</f>
        <v/>
      </c>
      <c r="AB502" s="437" t="str">
        <f>IFERROR(__xludf.DUMMYFUNCTION("IF(NOT('portfólio'!$AV$7),"""",IF($T502="""","""",IFERROR(query({AtivosDados},""select sum(""&amp;AB$3&amp;"") where Col1='""&amp;$T502&amp;""' label sum(""&amp;AB$3&amp;"") ''""),0)))"),"")</f>
        <v/>
      </c>
      <c r="AC502" s="437" t="str">
        <f>IFERROR(__xludf.DUMMYFUNCTION("IF(NOT('portfólio'!$AV$7),"""",IF($T502="""","""",IFERROR(query({AtivosDados},""select sum(""&amp;AC$3&amp;"") where Col1='""&amp;$T502&amp;""' label sum(""&amp;AC$3&amp;"") ''""),0)))"),"")</f>
        <v/>
      </c>
      <c r="AD502" s="437" t="str">
        <f>IFERROR(__xludf.DUMMYFUNCTION("IF(NOT('portfólio'!$AV$7),"""",IF($T502="""","""",IFERROR(query({AtivosDados},""select sum(""&amp;AD$3&amp;"") where Col1='""&amp;$T502&amp;""' label sum(""&amp;AD$3&amp;"") ''""),0)))"),"")</f>
        <v/>
      </c>
      <c r="AE502" s="437"/>
      <c r="AF502" s="1327"/>
      <c r="AG502" s="437"/>
      <c r="AH502" s="437"/>
      <c r="AI502" s="437"/>
      <c r="AJ502" s="437"/>
      <c r="AK502" s="437"/>
      <c r="AL502" s="437"/>
      <c r="AM502" s="437"/>
      <c r="AN502" s="437"/>
      <c r="AO502" s="437"/>
      <c r="AP502" s="437"/>
      <c r="AQ502" s="1327"/>
      <c r="AR502" s="437"/>
      <c r="AS502" s="437"/>
      <c r="AT502" s="437"/>
      <c r="AU502" s="437"/>
      <c r="AV502" s="437"/>
      <c r="AW502" s="437"/>
      <c r="AX502" s="437"/>
      <c r="AY502" s="437"/>
      <c r="AZ502" s="437"/>
      <c r="BA502" s="437"/>
      <c r="BB502" s="1327"/>
      <c r="BC502" s="437"/>
      <c r="BD502" s="437"/>
      <c r="BE502" s="437"/>
      <c r="BF502" s="437"/>
      <c r="BG502" s="437"/>
      <c r="BH502" s="437"/>
      <c r="BI502" s="437"/>
      <c r="BJ502" s="437"/>
      <c r="BK502" s="437"/>
      <c r="BL502" s="437"/>
      <c r="BM502" s="1327"/>
      <c r="BN502" s="1327"/>
      <c r="BO502" s="1327"/>
      <c r="BP502" s="1327"/>
      <c r="BQ502" s="1327"/>
      <c r="BR502" s="1327"/>
      <c r="BS502" s="1327"/>
      <c r="BT502" s="1327"/>
      <c r="BU502" s="1327"/>
      <c r="BV502" s="1327"/>
      <c r="BW502" s="1327"/>
      <c r="BX502" s="1327"/>
      <c r="BY502" s="1327"/>
      <c r="BZ502" s="1327"/>
      <c r="CA502" s="1327"/>
      <c r="CB502" s="1327"/>
      <c r="CC502" s="1327"/>
      <c r="CD502" s="1327"/>
      <c r="CE502" s="1327"/>
      <c r="CF502" s="1327"/>
      <c r="CG502" s="1327"/>
      <c r="CH502" s="1327"/>
      <c r="CI502" s="1327"/>
      <c r="CJ502" s="1327"/>
      <c r="CK502" s="1327"/>
      <c r="CL502" s="1327"/>
      <c r="CM502" s="1327"/>
      <c r="CN502" s="1327"/>
      <c r="CO502" s="1327"/>
      <c r="CP502" s="1327"/>
      <c r="CQ502" s="1327"/>
      <c r="CR502" s="1327"/>
      <c r="CS502" s="1327"/>
      <c r="CT502" s="1317"/>
      <c r="CU502" s="1317"/>
      <c r="CV502" s="1317"/>
      <c r="CW502" s="1317"/>
      <c r="CX502" s="1317"/>
      <c r="CY502" s="1317"/>
      <c r="CZ502" s="1317"/>
      <c r="DA502" s="1317"/>
      <c r="DB502" s="1317"/>
      <c r="DC502" s="1317"/>
      <c r="DD502" s="1317"/>
      <c r="DE502" s="1317"/>
      <c r="DF502" s="1317"/>
      <c r="DG502" s="1317"/>
    </row>
    <row r="503" ht="18.75" customHeight="1">
      <c r="G503" s="1344"/>
      <c r="H503" s="1345">
        <f t="shared" si="4"/>
        <v>0</v>
      </c>
      <c r="I503" s="1381"/>
      <c r="J503" s="1381"/>
      <c r="K503" s="1381"/>
      <c r="L503" s="1381"/>
      <c r="M503" s="1381"/>
      <c r="N503" s="1381"/>
      <c r="O503" s="1381"/>
      <c r="P503" s="1381"/>
      <c r="Q503" s="1381"/>
      <c r="R503" s="1381"/>
      <c r="T503" s="1349"/>
      <c r="U503" s="1349" t="s">
        <v>123</v>
      </c>
      <c r="V503" s="1349" t="s">
        <v>123</v>
      </c>
      <c r="W503" s="1349"/>
      <c r="X503" s="1349"/>
      <c r="Y503" s="1308"/>
      <c r="Z503" s="437" t="str">
        <f>IFERROR(__xludf.DUMMYFUNCTION("IF(NOT('portfólio'!$AV$7),"""",IF($T503="""","""",IFERROR(query({AtivosDados},""select sum(""&amp;Z$3&amp;"") where Col1='""&amp;$T503&amp;""' label sum(""&amp;Z$3&amp;"") ''""),0)))"),"")</f>
        <v/>
      </c>
      <c r="AA503" s="437" t="str">
        <f>IFERROR(__xludf.DUMMYFUNCTION("IF(NOT('portfólio'!$AV$7),"""",IF($T503="""","""",IFERROR(query({AtivosDados},""select sum(""&amp;AA$3&amp;"") where Col1='""&amp;$T503&amp;""' label sum(""&amp;AA$3&amp;"") ''""),0)))"),"")</f>
        <v/>
      </c>
      <c r="AB503" s="437" t="str">
        <f>IFERROR(__xludf.DUMMYFUNCTION("IF(NOT('portfólio'!$AV$7),"""",IF($T503="""","""",IFERROR(query({AtivosDados},""select sum(""&amp;AB$3&amp;"") where Col1='""&amp;$T503&amp;""' label sum(""&amp;AB$3&amp;"") ''""),0)))"),"")</f>
        <v/>
      </c>
      <c r="AC503" s="437" t="str">
        <f>IFERROR(__xludf.DUMMYFUNCTION("IF(NOT('portfólio'!$AV$7),"""",IF($T503="""","""",IFERROR(query({AtivosDados},""select sum(""&amp;AC$3&amp;"") where Col1='""&amp;$T503&amp;""' label sum(""&amp;AC$3&amp;"") ''""),0)))"),"")</f>
        <v/>
      </c>
      <c r="AD503" s="437" t="str">
        <f>IFERROR(__xludf.DUMMYFUNCTION("IF(NOT('portfólio'!$AV$7),"""",IF($T503="""","""",IFERROR(query({AtivosDados},""select sum(""&amp;AD$3&amp;"") where Col1='""&amp;$T503&amp;""' label sum(""&amp;AD$3&amp;"") ''""),0)))"),"")</f>
        <v/>
      </c>
      <c r="AE503" s="437"/>
      <c r="AF503" s="1327"/>
      <c r="AG503" s="437"/>
      <c r="AH503" s="437"/>
      <c r="AI503" s="437"/>
      <c r="AJ503" s="437"/>
      <c r="AK503" s="437"/>
      <c r="AL503" s="437"/>
      <c r="AM503" s="437"/>
      <c r="AN503" s="437"/>
      <c r="AO503" s="437"/>
      <c r="AP503" s="437"/>
      <c r="AQ503" s="1327"/>
      <c r="AR503" s="437"/>
      <c r="AS503" s="437"/>
      <c r="AT503" s="437"/>
      <c r="AU503" s="437"/>
      <c r="AV503" s="437"/>
      <c r="AW503" s="437"/>
      <c r="AX503" s="437"/>
      <c r="AY503" s="437"/>
      <c r="AZ503" s="437"/>
      <c r="BA503" s="437"/>
      <c r="BB503" s="1327"/>
      <c r="BC503" s="437"/>
      <c r="BD503" s="437"/>
      <c r="BE503" s="437"/>
      <c r="BF503" s="437"/>
      <c r="BG503" s="437"/>
      <c r="BH503" s="437"/>
      <c r="BI503" s="437"/>
      <c r="BJ503" s="437"/>
      <c r="BK503" s="437"/>
      <c r="BL503" s="437"/>
      <c r="BM503" s="1327"/>
      <c r="BN503" s="1327"/>
      <c r="BO503" s="1327"/>
      <c r="BP503" s="1327"/>
      <c r="BQ503" s="1327"/>
      <c r="BR503" s="1327"/>
      <c r="BS503" s="1327"/>
      <c r="BT503" s="1327"/>
      <c r="BU503" s="1327"/>
      <c r="BV503" s="1327"/>
      <c r="BW503" s="1327"/>
      <c r="BX503" s="1327"/>
      <c r="BY503" s="1327"/>
      <c r="BZ503" s="1327"/>
      <c r="CA503" s="1327"/>
      <c r="CB503" s="1327"/>
      <c r="CC503" s="1327"/>
      <c r="CD503" s="1327"/>
      <c r="CE503" s="1327"/>
      <c r="CF503" s="1327"/>
      <c r="CG503" s="1327"/>
      <c r="CH503" s="1327"/>
      <c r="CI503" s="1327"/>
      <c r="CJ503" s="1327"/>
      <c r="CK503" s="1327"/>
      <c r="CL503" s="1327"/>
      <c r="CM503" s="1327"/>
      <c r="CN503" s="1327"/>
      <c r="CO503" s="1327"/>
      <c r="CP503" s="1327"/>
      <c r="CQ503" s="1327"/>
      <c r="CR503" s="1327"/>
      <c r="CS503" s="1327"/>
      <c r="CT503" s="1317"/>
      <c r="CU503" s="1317"/>
      <c r="CV503" s="1317"/>
      <c r="CW503" s="1317"/>
      <c r="CX503" s="1317"/>
      <c r="CY503" s="1317"/>
      <c r="CZ503" s="1317"/>
      <c r="DA503" s="1317"/>
      <c r="DB503" s="1317"/>
      <c r="DC503" s="1317"/>
      <c r="DD503" s="1317"/>
      <c r="DE503" s="1317"/>
      <c r="DF503" s="1317"/>
      <c r="DG503" s="1317"/>
    </row>
    <row r="504" ht="18.75" customHeight="1">
      <c r="G504" s="1344"/>
      <c r="H504" s="1345">
        <f t="shared" si="4"/>
        <v>0</v>
      </c>
      <c r="I504" s="1381"/>
      <c r="J504" s="1381"/>
      <c r="K504" s="1381"/>
      <c r="L504" s="1381"/>
      <c r="M504" s="1381"/>
      <c r="N504" s="1381"/>
      <c r="O504" s="1381"/>
      <c r="P504" s="1381"/>
      <c r="Q504" s="1381"/>
      <c r="R504" s="1381"/>
      <c r="T504" s="1349"/>
      <c r="U504" s="1349" t="s">
        <v>123</v>
      </c>
      <c r="V504" s="1349" t="s">
        <v>123</v>
      </c>
      <c r="W504" s="1349"/>
      <c r="X504" s="1349"/>
      <c r="Y504" s="1308"/>
      <c r="Z504" s="437" t="str">
        <f>IFERROR(__xludf.DUMMYFUNCTION("IF(NOT('portfólio'!$AV$7),"""",IF($T504="""","""",IFERROR(query({AtivosDados},""select sum(""&amp;Z$3&amp;"") where Col1='""&amp;$T504&amp;""' label sum(""&amp;Z$3&amp;"") ''""),0)))"),"")</f>
        <v/>
      </c>
      <c r="AA504" s="437" t="str">
        <f>IFERROR(__xludf.DUMMYFUNCTION("IF(NOT('portfólio'!$AV$7),"""",IF($T504="""","""",IFERROR(query({AtivosDados},""select sum(""&amp;AA$3&amp;"") where Col1='""&amp;$T504&amp;""' label sum(""&amp;AA$3&amp;"") ''""),0)))"),"")</f>
        <v/>
      </c>
      <c r="AB504" s="437" t="str">
        <f>IFERROR(__xludf.DUMMYFUNCTION("IF(NOT('portfólio'!$AV$7),"""",IF($T504="""","""",IFERROR(query({AtivosDados},""select sum(""&amp;AB$3&amp;"") where Col1='""&amp;$T504&amp;""' label sum(""&amp;AB$3&amp;"") ''""),0)))"),"")</f>
        <v/>
      </c>
      <c r="AC504" s="437" t="str">
        <f>IFERROR(__xludf.DUMMYFUNCTION("IF(NOT('portfólio'!$AV$7),"""",IF($T504="""","""",IFERROR(query({AtivosDados},""select sum(""&amp;AC$3&amp;"") where Col1='""&amp;$T504&amp;""' label sum(""&amp;AC$3&amp;"") ''""),0)))"),"")</f>
        <v/>
      </c>
      <c r="AD504" s="437" t="str">
        <f>IFERROR(__xludf.DUMMYFUNCTION("IF(NOT('portfólio'!$AV$7),"""",IF($T504="""","""",IFERROR(query({AtivosDados},""select sum(""&amp;AD$3&amp;"") where Col1='""&amp;$T504&amp;""' label sum(""&amp;AD$3&amp;"") ''""),0)))"),"")</f>
        <v/>
      </c>
      <c r="AE504" s="437"/>
      <c r="AF504" s="1327"/>
      <c r="AG504" s="437"/>
      <c r="AH504" s="437"/>
      <c r="AI504" s="437"/>
      <c r="AJ504" s="437"/>
      <c r="AK504" s="437"/>
      <c r="AL504" s="437"/>
      <c r="AM504" s="437"/>
      <c r="AN504" s="437"/>
      <c r="AO504" s="437"/>
      <c r="AP504" s="437"/>
      <c r="AQ504" s="1327"/>
      <c r="AR504" s="437"/>
      <c r="AS504" s="437"/>
      <c r="AT504" s="437"/>
      <c r="AU504" s="437"/>
      <c r="AV504" s="437"/>
      <c r="AW504" s="437"/>
      <c r="AX504" s="437"/>
      <c r="AY504" s="437"/>
      <c r="AZ504" s="437"/>
      <c r="BA504" s="437"/>
      <c r="BB504" s="1327"/>
      <c r="BC504" s="437"/>
      <c r="BD504" s="437"/>
      <c r="BE504" s="437"/>
      <c r="BF504" s="437"/>
      <c r="BG504" s="437"/>
      <c r="BH504" s="437"/>
      <c r="BI504" s="437"/>
      <c r="BJ504" s="437"/>
      <c r="BK504" s="437"/>
      <c r="BL504" s="437"/>
      <c r="BM504" s="1327"/>
      <c r="BN504" s="1327"/>
      <c r="BO504" s="1327"/>
      <c r="BP504" s="1327"/>
      <c r="BQ504" s="1327"/>
      <c r="BR504" s="1327"/>
      <c r="BS504" s="1327"/>
      <c r="BT504" s="1327"/>
      <c r="BU504" s="1327"/>
      <c r="BV504" s="1327"/>
      <c r="BW504" s="1327"/>
      <c r="BX504" s="1327"/>
      <c r="BY504" s="1327"/>
      <c r="BZ504" s="1327"/>
      <c r="CA504" s="1327"/>
      <c r="CB504" s="1327"/>
      <c r="CC504" s="1327"/>
      <c r="CD504" s="1327"/>
      <c r="CE504" s="1327"/>
      <c r="CF504" s="1327"/>
      <c r="CG504" s="1327"/>
      <c r="CH504" s="1327"/>
      <c r="CI504" s="1327"/>
      <c r="CJ504" s="1327"/>
      <c r="CK504" s="1327"/>
      <c r="CL504" s="1327"/>
      <c r="CM504" s="1327"/>
      <c r="CN504" s="1327"/>
      <c r="CO504" s="1327"/>
      <c r="CP504" s="1327"/>
      <c r="CQ504" s="1327"/>
      <c r="CR504" s="1327"/>
      <c r="CS504" s="1327"/>
      <c r="CT504" s="1317"/>
      <c r="CU504" s="1317"/>
      <c r="CV504" s="1317"/>
      <c r="CW504" s="1317"/>
      <c r="CX504" s="1317"/>
      <c r="CY504" s="1317"/>
      <c r="CZ504" s="1317"/>
      <c r="DA504" s="1317"/>
      <c r="DB504" s="1317"/>
      <c r="DC504" s="1317"/>
      <c r="DD504" s="1317"/>
      <c r="DE504" s="1317"/>
      <c r="DF504" s="1317"/>
      <c r="DG504" s="1317"/>
    </row>
    <row r="505" ht="18.75" customHeight="1">
      <c r="G505" s="1344"/>
      <c r="H505" s="1345">
        <f t="shared" si="4"/>
        <v>0</v>
      </c>
      <c r="I505" s="1381"/>
      <c r="J505" s="1381"/>
      <c r="K505" s="1381"/>
      <c r="L505" s="1381"/>
      <c r="M505" s="1381"/>
      <c r="N505" s="1381"/>
      <c r="O505" s="1381"/>
      <c r="P505" s="1381"/>
      <c r="Q505" s="1381"/>
      <c r="R505" s="1381"/>
      <c r="T505" s="1349"/>
      <c r="U505" s="1349" t="s">
        <v>123</v>
      </c>
      <c r="V505" s="1349" t="s">
        <v>123</v>
      </c>
      <c r="W505" s="1349"/>
      <c r="X505" s="1349"/>
      <c r="Y505" s="1308"/>
      <c r="Z505" s="437" t="str">
        <f>IFERROR(__xludf.DUMMYFUNCTION("IF(NOT('portfólio'!$AV$7),"""",IF($T505="""","""",IFERROR(query({AtivosDados},""select sum(""&amp;Z$3&amp;"") where Col1='""&amp;$T505&amp;""' label sum(""&amp;Z$3&amp;"") ''""),0)))"),"")</f>
        <v/>
      </c>
      <c r="AA505" s="437" t="str">
        <f>IFERROR(__xludf.DUMMYFUNCTION("IF(NOT('portfólio'!$AV$7),"""",IF($T505="""","""",IFERROR(query({AtivosDados},""select sum(""&amp;AA$3&amp;"") where Col1='""&amp;$T505&amp;""' label sum(""&amp;AA$3&amp;"") ''""),0)))"),"")</f>
        <v/>
      </c>
      <c r="AB505" s="437" t="str">
        <f>IFERROR(__xludf.DUMMYFUNCTION("IF(NOT('portfólio'!$AV$7),"""",IF($T505="""","""",IFERROR(query({AtivosDados},""select sum(""&amp;AB$3&amp;"") where Col1='""&amp;$T505&amp;""' label sum(""&amp;AB$3&amp;"") ''""),0)))"),"")</f>
        <v/>
      </c>
      <c r="AC505" s="437" t="str">
        <f>IFERROR(__xludf.DUMMYFUNCTION("IF(NOT('portfólio'!$AV$7),"""",IF($T505="""","""",IFERROR(query({AtivosDados},""select sum(""&amp;AC$3&amp;"") where Col1='""&amp;$T505&amp;""' label sum(""&amp;AC$3&amp;"") ''""),0)))"),"")</f>
        <v/>
      </c>
      <c r="AD505" s="437" t="str">
        <f>IFERROR(__xludf.DUMMYFUNCTION("IF(NOT('portfólio'!$AV$7),"""",IF($T505="""","""",IFERROR(query({AtivosDados},""select sum(""&amp;AD$3&amp;"") where Col1='""&amp;$T505&amp;""' label sum(""&amp;AD$3&amp;"") ''""),0)))"),"")</f>
        <v/>
      </c>
      <c r="AE505" s="437"/>
      <c r="AF505" s="1327"/>
      <c r="AG505" s="437"/>
      <c r="AH505" s="437"/>
      <c r="AI505" s="437"/>
      <c r="AJ505" s="437"/>
      <c r="AK505" s="437"/>
      <c r="AL505" s="437"/>
      <c r="AM505" s="437"/>
      <c r="AN505" s="437"/>
      <c r="AO505" s="437"/>
      <c r="AP505" s="437"/>
      <c r="AQ505" s="1327"/>
      <c r="AR505" s="437"/>
      <c r="AS505" s="437"/>
      <c r="AT505" s="437"/>
      <c r="AU505" s="437"/>
      <c r="AV505" s="437"/>
      <c r="AW505" s="437"/>
      <c r="AX505" s="437"/>
      <c r="AY505" s="437"/>
      <c r="AZ505" s="437"/>
      <c r="BA505" s="437"/>
      <c r="BB505" s="1327"/>
      <c r="BC505" s="437"/>
      <c r="BD505" s="437"/>
      <c r="BE505" s="437"/>
      <c r="BF505" s="437"/>
      <c r="BG505" s="437"/>
      <c r="BH505" s="437"/>
      <c r="BI505" s="437"/>
      <c r="BJ505" s="437"/>
      <c r="BK505" s="437"/>
      <c r="BL505" s="437"/>
      <c r="BM505" s="1327"/>
      <c r="BN505" s="1327"/>
      <c r="BO505" s="1327"/>
      <c r="BP505" s="1327"/>
      <c r="BQ505" s="1327"/>
      <c r="BR505" s="1327"/>
      <c r="BS505" s="1327"/>
      <c r="BT505" s="1327"/>
      <c r="BU505" s="1327"/>
      <c r="BV505" s="1327"/>
      <c r="BW505" s="1327"/>
      <c r="BX505" s="1327"/>
      <c r="BY505" s="1327"/>
      <c r="BZ505" s="1327"/>
      <c r="CA505" s="1327"/>
      <c r="CB505" s="1327"/>
      <c r="CC505" s="1327"/>
      <c r="CD505" s="1327"/>
      <c r="CE505" s="1327"/>
      <c r="CF505" s="1327"/>
      <c r="CG505" s="1327"/>
      <c r="CH505" s="1327"/>
      <c r="CI505" s="1327"/>
      <c r="CJ505" s="1327"/>
      <c r="CK505" s="1327"/>
      <c r="CL505" s="1327"/>
      <c r="CM505" s="1327"/>
      <c r="CN505" s="1327"/>
      <c r="CO505" s="1327"/>
      <c r="CP505" s="1327"/>
      <c r="CQ505" s="1327"/>
      <c r="CR505" s="1327"/>
      <c r="CS505" s="1327"/>
      <c r="CT505" s="1317"/>
      <c r="CU505" s="1317"/>
      <c r="CV505" s="1317"/>
      <c r="CW505" s="1317"/>
      <c r="CX505" s="1317"/>
      <c r="CY505" s="1317"/>
      <c r="CZ505" s="1317"/>
      <c r="DA505" s="1317"/>
      <c r="DB505" s="1317"/>
      <c r="DC505" s="1317"/>
      <c r="DD505" s="1317"/>
      <c r="DE505" s="1317"/>
      <c r="DF505" s="1317"/>
      <c r="DG505" s="1317"/>
    </row>
    <row r="506" ht="18.75" customHeight="1">
      <c r="G506" s="1344"/>
      <c r="H506" s="1345">
        <f t="shared" si="4"/>
        <v>0</v>
      </c>
      <c r="I506" s="1381"/>
      <c r="J506" s="1381"/>
      <c r="K506" s="1381"/>
      <c r="L506" s="1381"/>
      <c r="M506" s="1381"/>
      <c r="N506" s="1381"/>
      <c r="O506" s="1381"/>
      <c r="P506" s="1381"/>
      <c r="Q506" s="1381"/>
      <c r="R506" s="1381"/>
      <c r="T506" s="1349"/>
      <c r="U506" s="1349" t="s">
        <v>123</v>
      </c>
      <c r="V506" s="1349" t="s">
        <v>123</v>
      </c>
      <c r="W506" s="1349"/>
      <c r="X506" s="1349"/>
      <c r="Y506" s="1308"/>
      <c r="Z506" s="437" t="str">
        <f>IFERROR(__xludf.DUMMYFUNCTION("IF(NOT('portfólio'!$AV$7),"""",IF($T506="""","""",IFERROR(query({AtivosDados},""select sum(""&amp;Z$3&amp;"") where Col1='""&amp;$T506&amp;""' label sum(""&amp;Z$3&amp;"") ''""),0)))"),"")</f>
        <v/>
      </c>
      <c r="AA506" s="437" t="str">
        <f>IFERROR(__xludf.DUMMYFUNCTION("IF(NOT('portfólio'!$AV$7),"""",IF($T506="""","""",IFERROR(query({AtivosDados},""select sum(""&amp;AA$3&amp;"") where Col1='""&amp;$T506&amp;""' label sum(""&amp;AA$3&amp;"") ''""),0)))"),"")</f>
        <v/>
      </c>
      <c r="AB506" s="437" t="str">
        <f>IFERROR(__xludf.DUMMYFUNCTION("IF(NOT('portfólio'!$AV$7),"""",IF($T506="""","""",IFERROR(query({AtivosDados},""select sum(""&amp;AB$3&amp;"") where Col1='""&amp;$T506&amp;""' label sum(""&amp;AB$3&amp;"") ''""),0)))"),"")</f>
        <v/>
      </c>
      <c r="AC506" s="437" t="str">
        <f>IFERROR(__xludf.DUMMYFUNCTION("IF(NOT('portfólio'!$AV$7),"""",IF($T506="""","""",IFERROR(query({AtivosDados},""select sum(""&amp;AC$3&amp;"") where Col1='""&amp;$T506&amp;""' label sum(""&amp;AC$3&amp;"") ''""),0)))"),"")</f>
        <v/>
      </c>
      <c r="AD506" s="437" t="str">
        <f>IFERROR(__xludf.DUMMYFUNCTION("IF(NOT('portfólio'!$AV$7),"""",IF($T506="""","""",IFERROR(query({AtivosDados},""select sum(""&amp;AD$3&amp;"") where Col1='""&amp;$T506&amp;""' label sum(""&amp;AD$3&amp;"") ''""),0)))"),"")</f>
        <v/>
      </c>
      <c r="AE506" s="437"/>
      <c r="AF506" s="1327"/>
      <c r="AG506" s="437"/>
      <c r="AH506" s="437"/>
      <c r="AI506" s="437"/>
      <c r="AJ506" s="437"/>
      <c r="AK506" s="437"/>
      <c r="AL506" s="437"/>
      <c r="AM506" s="437"/>
      <c r="AN506" s="437"/>
      <c r="AO506" s="437"/>
      <c r="AP506" s="437"/>
      <c r="AQ506" s="1327"/>
      <c r="AR506" s="437"/>
      <c r="AS506" s="437"/>
      <c r="AT506" s="437"/>
      <c r="AU506" s="437"/>
      <c r="AV506" s="437"/>
      <c r="AW506" s="437"/>
      <c r="AX506" s="437"/>
      <c r="AY506" s="437"/>
      <c r="AZ506" s="437"/>
      <c r="BA506" s="437"/>
      <c r="BB506" s="1327"/>
      <c r="BC506" s="437"/>
      <c r="BD506" s="437"/>
      <c r="BE506" s="437"/>
      <c r="BF506" s="437"/>
      <c r="BG506" s="437"/>
      <c r="BH506" s="437"/>
      <c r="BI506" s="437"/>
      <c r="BJ506" s="437"/>
      <c r="BK506" s="437"/>
      <c r="BL506" s="437"/>
      <c r="BM506" s="1327"/>
      <c r="BN506" s="1327"/>
      <c r="BO506" s="1327"/>
      <c r="BP506" s="1327"/>
      <c r="BQ506" s="1327"/>
      <c r="BR506" s="1327"/>
      <c r="BS506" s="1327"/>
      <c r="BT506" s="1327"/>
      <c r="BU506" s="1327"/>
      <c r="BV506" s="1327"/>
      <c r="BW506" s="1327"/>
      <c r="BX506" s="1327"/>
      <c r="BY506" s="1327"/>
      <c r="BZ506" s="1327"/>
      <c r="CA506" s="1327"/>
      <c r="CB506" s="1327"/>
      <c r="CC506" s="1327"/>
      <c r="CD506" s="1327"/>
      <c r="CE506" s="1327"/>
      <c r="CF506" s="1327"/>
      <c r="CG506" s="1327"/>
      <c r="CH506" s="1327"/>
      <c r="CI506" s="1327"/>
      <c r="CJ506" s="1327"/>
      <c r="CK506" s="1327"/>
      <c r="CL506" s="1327"/>
      <c r="CM506" s="1327"/>
      <c r="CN506" s="1327"/>
      <c r="CO506" s="1327"/>
      <c r="CP506" s="1327"/>
      <c r="CQ506" s="1327"/>
      <c r="CR506" s="1327"/>
      <c r="CS506" s="1327"/>
      <c r="CT506" s="1317"/>
      <c r="CU506" s="1317"/>
      <c r="CV506" s="1317"/>
      <c r="CW506" s="1317"/>
      <c r="CX506" s="1317"/>
      <c r="CY506" s="1317"/>
      <c r="CZ506" s="1317"/>
      <c r="DA506" s="1317"/>
      <c r="DB506" s="1317"/>
      <c r="DC506" s="1317"/>
      <c r="DD506" s="1317"/>
      <c r="DE506" s="1317"/>
      <c r="DF506" s="1317"/>
      <c r="DG506" s="1317"/>
    </row>
    <row r="507" ht="18.75" customHeight="1">
      <c r="G507" s="1344"/>
      <c r="H507" s="1345">
        <f t="shared" si="4"/>
        <v>0</v>
      </c>
      <c r="I507" s="1381"/>
      <c r="J507" s="1381"/>
      <c r="K507" s="1381"/>
      <c r="L507" s="1381"/>
      <c r="M507" s="1381"/>
      <c r="N507" s="1381"/>
      <c r="O507" s="1381"/>
      <c r="P507" s="1381"/>
      <c r="Q507" s="1381"/>
      <c r="R507" s="1381"/>
      <c r="T507" s="1349"/>
      <c r="U507" s="1349" t="s">
        <v>123</v>
      </c>
      <c r="V507" s="1349" t="s">
        <v>123</v>
      </c>
      <c r="W507" s="1349"/>
      <c r="X507" s="1349"/>
      <c r="Y507" s="1308"/>
      <c r="Z507" s="437" t="str">
        <f>IFERROR(__xludf.DUMMYFUNCTION("IF(NOT('portfólio'!$AV$7),"""",IF($T507="""","""",IFERROR(query({AtivosDados},""select sum(""&amp;Z$3&amp;"") where Col1='""&amp;$T507&amp;""' label sum(""&amp;Z$3&amp;"") ''""),0)))"),"")</f>
        <v/>
      </c>
      <c r="AA507" s="437" t="str">
        <f>IFERROR(__xludf.DUMMYFUNCTION("IF(NOT('portfólio'!$AV$7),"""",IF($T507="""","""",IFERROR(query({AtivosDados},""select sum(""&amp;AA$3&amp;"") where Col1='""&amp;$T507&amp;""' label sum(""&amp;AA$3&amp;"") ''""),0)))"),"")</f>
        <v/>
      </c>
      <c r="AB507" s="437" t="str">
        <f>IFERROR(__xludf.DUMMYFUNCTION("IF(NOT('portfólio'!$AV$7),"""",IF($T507="""","""",IFERROR(query({AtivosDados},""select sum(""&amp;AB$3&amp;"") where Col1='""&amp;$T507&amp;""' label sum(""&amp;AB$3&amp;"") ''""),0)))"),"")</f>
        <v/>
      </c>
      <c r="AC507" s="437" t="str">
        <f>IFERROR(__xludf.DUMMYFUNCTION("IF(NOT('portfólio'!$AV$7),"""",IF($T507="""","""",IFERROR(query({AtivosDados},""select sum(""&amp;AC$3&amp;"") where Col1='""&amp;$T507&amp;""' label sum(""&amp;AC$3&amp;"") ''""),0)))"),"")</f>
        <v/>
      </c>
      <c r="AD507" s="437" t="str">
        <f>IFERROR(__xludf.DUMMYFUNCTION("IF(NOT('portfólio'!$AV$7),"""",IF($T507="""","""",IFERROR(query({AtivosDados},""select sum(""&amp;AD$3&amp;"") where Col1='""&amp;$T507&amp;""' label sum(""&amp;AD$3&amp;"") ''""),0)))"),"")</f>
        <v/>
      </c>
      <c r="AE507" s="437"/>
      <c r="AF507" s="1327"/>
      <c r="AG507" s="437"/>
      <c r="AH507" s="437"/>
      <c r="AI507" s="437"/>
      <c r="AJ507" s="437"/>
      <c r="AK507" s="437"/>
      <c r="AL507" s="437"/>
      <c r="AM507" s="437"/>
      <c r="AN507" s="437"/>
      <c r="AO507" s="437"/>
      <c r="AP507" s="437"/>
      <c r="AQ507" s="1327"/>
      <c r="AR507" s="437"/>
      <c r="AS507" s="437"/>
      <c r="AT507" s="437"/>
      <c r="AU507" s="437"/>
      <c r="AV507" s="437"/>
      <c r="AW507" s="437"/>
      <c r="AX507" s="437"/>
      <c r="AY507" s="437"/>
      <c r="AZ507" s="437"/>
      <c r="BA507" s="437"/>
      <c r="BB507" s="1327"/>
      <c r="BC507" s="437"/>
      <c r="BD507" s="437"/>
      <c r="BE507" s="437"/>
      <c r="BF507" s="437"/>
      <c r="BG507" s="437"/>
      <c r="BH507" s="437"/>
      <c r="BI507" s="437"/>
      <c r="BJ507" s="437"/>
      <c r="BK507" s="437"/>
      <c r="BL507" s="437"/>
      <c r="BM507" s="1327"/>
      <c r="BN507" s="1327"/>
      <c r="BO507" s="1327"/>
      <c r="BP507" s="1327"/>
      <c r="BQ507" s="1327"/>
      <c r="BR507" s="1327"/>
      <c r="BS507" s="1327"/>
      <c r="BT507" s="1327"/>
      <c r="BU507" s="1327"/>
      <c r="BV507" s="1327"/>
      <c r="BW507" s="1327"/>
      <c r="BX507" s="1327"/>
      <c r="BY507" s="1327"/>
      <c r="BZ507" s="1327"/>
      <c r="CA507" s="1327"/>
      <c r="CB507" s="1327"/>
      <c r="CC507" s="1327"/>
      <c r="CD507" s="1327"/>
      <c r="CE507" s="1327"/>
      <c r="CF507" s="1327"/>
      <c r="CG507" s="1327"/>
      <c r="CH507" s="1327"/>
      <c r="CI507" s="1327"/>
      <c r="CJ507" s="1327"/>
      <c r="CK507" s="1327"/>
      <c r="CL507" s="1327"/>
      <c r="CM507" s="1327"/>
      <c r="CN507" s="1327"/>
      <c r="CO507" s="1327"/>
      <c r="CP507" s="1327"/>
      <c r="CQ507" s="1327"/>
      <c r="CR507" s="1327"/>
      <c r="CS507" s="1327"/>
      <c r="CT507" s="1317"/>
      <c r="CU507" s="1317"/>
      <c r="CV507" s="1317"/>
      <c r="CW507" s="1317"/>
      <c r="CX507" s="1317"/>
      <c r="CY507" s="1317"/>
      <c r="CZ507" s="1317"/>
      <c r="DA507" s="1317"/>
      <c r="DB507" s="1317"/>
      <c r="DC507" s="1317"/>
      <c r="DD507" s="1317"/>
      <c r="DE507" s="1317"/>
      <c r="DF507" s="1317"/>
      <c r="DG507" s="1317"/>
    </row>
    <row r="508" ht="18.75" customHeight="1">
      <c r="G508" s="1344"/>
      <c r="H508" s="1345">
        <f t="shared" si="4"/>
        <v>0</v>
      </c>
      <c r="I508" s="1381"/>
      <c r="J508" s="1381"/>
      <c r="K508" s="1381"/>
      <c r="L508" s="1381"/>
      <c r="M508" s="1381"/>
      <c r="N508" s="1381"/>
      <c r="O508" s="1381"/>
      <c r="P508" s="1381"/>
      <c r="Q508" s="1381"/>
      <c r="R508" s="1381"/>
      <c r="T508" s="1349"/>
      <c r="U508" s="1349" t="s">
        <v>123</v>
      </c>
      <c r="V508" s="1349" t="s">
        <v>123</v>
      </c>
      <c r="W508" s="1349"/>
      <c r="X508" s="1349"/>
      <c r="Y508" s="1308"/>
      <c r="Z508" s="437" t="str">
        <f>IFERROR(__xludf.DUMMYFUNCTION("IF(NOT('portfólio'!$AV$7),"""",IF($T508="""","""",IFERROR(query({AtivosDados},""select sum(""&amp;Z$3&amp;"") where Col1='""&amp;$T508&amp;""' label sum(""&amp;Z$3&amp;"") ''""),0)))"),"")</f>
        <v/>
      </c>
      <c r="AA508" s="437" t="str">
        <f>IFERROR(__xludf.DUMMYFUNCTION("IF(NOT('portfólio'!$AV$7),"""",IF($T508="""","""",IFERROR(query({AtivosDados},""select sum(""&amp;AA$3&amp;"") where Col1='""&amp;$T508&amp;""' label sum(""&amp;AA$3&amp;"") ''""),0)))"),"")</f>
        <v/>
      </c>
      <c r="AB508" s="437" t="str">
        <f>IFERROR(__xludf.DUMMYFUNCTION("IF(NOT('portfólio'!$AV$7),"""",IF($T508="""","""",IFERROR(query({AtivosDados},""select sum(""&amp;AB$3&amp;"") where Col1='""&amp;$T508&amp;""' label sum(""&amp;AB$3&amp;"") ''""),0)))"),"")</f>
        <v/>
      </c>
      <c r="AC508" s="437" t="str">
        <f>IFERROR(__xludf.DUMMYFUNCTION("IF(NOT('portfólio'!$AV$7),"""",IF($T508="""","""",IFERROR(query({AtivosDados},""select sum(""&amp;AC$3&amp;"") where Col1='""&amp;$T508&amp;""' label sum(""&amp;AC$3&amp;"") ''""),0)))"),"")</f>
        <v/>
      </c>
      <c r="AD508" s="437" t="str">
        <f>IFERROR(__xludf.DUMMYFUNCTION("IF(NOT('portfólio'!$AV$7),"""",IF($T508="""","""",IFERROR(query({AtivosDados},""select sum(""&amp;AD$3&amp;"") where Col1='""&amp;$T508&amp;""' label sum(""&amp;AD$3&amp;"") ''""),0)))"),"")</f>
        <v/>
      </c>
      <c r="AE508" s="437"/>
      <c r="AF508" s="1327"/>
      <c r="AG508" s="437"/>
      <c r="AH508" s="437"/>
      <c r="AI508" s="437"/>
      <c r="AJ508" s="437"/>
      <c r="AK508" s="437"/>
      <c r="AL508" s="437"/>
      <c r="AM508" s="437"/>
      <c r="AN508" s="437"/>
      <c r="AO508" s="437"/>
      <c r="AP508" s="437"/>
      <c r="AQ508" s="1327"/>
      <c r="AR508" s="437"/>
      <c r="AS508" s="437"/>
      <c r="AT508" s="437"/>
      <c r="AU508" s="437"/>
      <c r="AV508" s="437"/>
      <c r="AW508" s="437"/>
      <c r="AX508" s="437"/>
      <c r="AY508" s="437"/>
      <c r="AZ508" s="437"/>
      <c r="BA508" s="437"/>
      <c r="BB508" s="1327"/>
      <c r="BC508" s="437"/>
      <c r="BD508" s="437"/>
      <c r="BE508" s="437"/>
      <c r="BF508" s="437"/>
      <c r="BG508" s="437"/>
      <c r="BH508" s="437"/>
      <c r="BI508" s="437"/>
      <c r="BJ508" s="437"/>
      <c r="BK508" s="437"/>
      <c r="BL508" s="437"/>
      <c r="BM508" s="1327"/>
      <c r="BN508" s="1327"/>
      <c r="BO508" s="1327"/>
      <c r="BP508" s="1327"/>
      <c r="BQ508" s="1327"/>
      <c r="BR508" s="1327"/>
      <c r="BS508" s="1327"/>
      <c r="BT508" s="1327"/>
      <c r="BU508" s="1327"/>
      <c r="BV508" s="1327"/>
      <c r="BW508" s="1327"/>
      <c r="BX508" s="1327"/>
      <c r="BY508" s="1327"/>
      <c r="BZ508" s="1327"/>
      <c r="CA508" s="1327"/>
      <c r="CB508" s="1327"/>
      <c r="CC508" s="1327"/>
      <c r="CD508" s="1327"/>
      <c r="CE508" s="1327"/>
      <c r="CF508" s="1327"/>
      <c r="CG508" s="1327"/>
      <c r="CH508" s="1327"/>
      <c r="CI508" s="1327"/>
      <c r="CJ508" s="1327"/>
      <c r="CK508" s="1327"/>
      <c r="CL508" s="1327"/>
      <c r="CM508" s="1327"/>
      <c r="CN508" s="1327"/>
      <c r="CO508" s="1327"/>
      <c r="CP508" s="1327"/>
      <c r="CQ508" s="1327"/>
      <c r="CR508" s="1327"/>
      <c r="CS508" s="1327"/>
      <c r="CT508" s="1317"/>
      <c r="CU508" s="1317"/>
      <c r="CV508" s="1317"/>
      <c r="CW508" s="1317"/>
      <c r="CX508" s="1317"/>
      <c r="CY508" s="1317"/>
      <c r="CZ508" s="1317"/>
      <c r="DA508" s="1317"/>
      <c r="DB508" s="1317"/>
      <c r="DC508" s="1317"/>
      <c r="DD508" s="1317"/>
      <c r="DE508" s="1317"/>
      <c r="DF508" s="1317"/>
      <c r="DG508" s="1317"/>
    </row>
    <row r="509" ht="18.75" customHeight="1">
      <c r="G509" s="1344"/>
      <c r="H509" s="1345">
        <f t="shared" si="4"/>
        <v>0</v>
      </c>
      <c r="I509" s="1381"/>
      <c r="J509" s="1381"/>
      <c r="K509" s="1381"/>
      <c r="L509" s="1381"/>
      <c r="M509" s="1381"/>
      <c r="N509" s="1381"/>
      <c r="O509" s="1381"/>
      <c r="P509" s="1381"/>
      <c r="Q509" s="1381"/>
      <c r="R509" s="1381"/>
      <c r="T509" s="1349"/>
      <c r="U509" s="1349" t="s">
        <v>123</v>
      </c>
      <c r="V509" s="1349" t="s">
        <v>123</v>
      </c>
      <c r="W509" s="1349"/>
      <c r="X509" s="1349"/>
      <c r="Y509" s="1308"/>
      <c r="Z509" s="437" t="str">
        <f>IFERROR(__xludf.DUMMYFUNCTION("IF(NOT('portfólio'!$AV$7),"""",IF($T509="""","""",IFERROR(query({AtivosDados},""select sum(""&amp;Z$3&amp;"") where Col1='""&amp;$T509&amp;""' label sum(""&amp;Z$3&amp;"") ''""),0)))"),"")</f>
        <v/>
      </c>
      <c r="AA509" s="437" t="str">
        <f>IFERROR(__xludf.DUMMYFUNCTION("IF(NOT('portfólio'!$AV$7),"""",IF($T509="""","""",IFERROR(query({AtivosDados},""select sum(""&amp;AA$3&amp;"") where Col1='""&amp;$T509&amp;""' label sum(""&amp;AA$3&amp;"") ''""),0)))"),"")</f>
        <v/>
      </c>
      <c r="AB509" s="437" t="str">
        <f>IFERROR(__xludf.DUMMYFUNCTION("IF(NOT('portfólio'!$AV$7),"""",IF($T509="""","""",IFERROR(query({AtivosDados},""select sum(""&amp;AB$3&amp;"") where Col1='""&amp;$T509&amp;""' label sum(""&amp;AB$3&amp;"") ''""),0)))"),"")</f>
        <v/>
      </c>
      <c r="AC509" s="437" t="str">
        <f>IFERROR(__xludf.DUMMYFUNCTION("IF(NOT('portfólio'!$AV$7),"""",IF($T509="""","""",IFERROR(query({AtivosDados},""select sum(""&amp;AC$3&amp;"") where Col1='""&amp;$T509&amp;""' label sum(""&amp;AC$3&amp;"") ''""),0)))"),"")</f>
        <v/>
      </c>
      <c r="AD509" s="437" t="str">
        <f>IFERROR(__xludf.DUMMYFUNCTION("IF(NOT('portfólio'!$AV$7),"""",IF($T509="""","""",IFERROR(query({AtivosDados},""select sum(""&amp;AD$3&amp;"") where Col1='""&amp;$T509&amp;""' label sum(""&amp;AD$3&amp;"") ''""),0)))"),"")</f>
        <v/>
      </c>
      <c r="AE509" s="437"/>
      <c r="AF509" s="1327"/>
      <c r="AG509" s="437"/>
      <c r="AH509" s="437"/>
      <c r="AI509" s="437"/>
      <c r="AJ509" s="437"/>
      <c r="AK509" s="437"/>
      <c r="AL509" s="437"/>
      <c r="AM509" s="437"/>
      <c r="AN509" s="437"/>
      <c r="AO509" s="437"/>
      <c r="AP509" s="437"/>
      <c r="AQ509" s="1327"/>
      <c r="AR509" s="437"/>
      <c r="AS509" s="437"/>
      <c r="AT509" s="437"/>
      <c r="AU509" s="437"/>
      <c r="AV509" s="437"/>
      <c r="AW509" s="437"/>
      <c r="AX509" s="437"/>
      <c r="AY509" s="437"/>
      <c r="AZ509" s="437"/>
      <c r="BA509" s="437"/>
      <c r="BB509" s="1327"/>
      <c r="BC509" s="437"/>
      <c r="BD509" s="437"/>
      <c r="BE509" s="437"/>
      <c r="BF509" s="437"/>
      <c r="BG509" s="437"/>
      <c r="BH509" s="437"/>
      <c r="BI509" s="437"/>
      <c r="BJ509" s="437"/>
      <c r="BK509" s="437"/>
      <c r="BL509" s="437"/>
      <c r="BM509" s="1327"/>
      <c r="BN509" s="1327"/>
      <c r="BO509" s="1327"/>
      <c r="BP509" s="1327"/>
      <c r="BQ509" s="1327"/>
      <c r="BR509" s="1327"/>
      <c r="BS509" s="1327"/>
      <c r="BT509" s="1327"/>
      <c r="BU509" s="1327"/>
      <c r="BV509" s="1327"/>
      <c r="BW509" s="1327"/>
      <c r="BX509" s="1327"/>
      <c r="BY509" s="1327"/>
      <c r="BZ509" s="1327"/>
      <c r="CA509" s="1327"/>
      <c r="CB509" s="1327"/>
      <c r="CC509" s="1327"/>
      <c r="CD509" s="1327"/>
      <c r="CE509" s="1327"/>
      <c r="CF509" s="1327"/>
      <c r="CG509" s="1327"/>
      <c r="CH509" s="1327"/>
      <c r="CI509" s="1327"/>
      <c r="CJ509" s="1327"/>
      <c r="CK509" s="1327"/>
      <c r="CL509" s="1327"/>
      <c r="CM509" s="1327"/>
      <c r="CN509" s="1327"/>
      <c r="CO509" s="1327"/>
      <c r="CP509" s="1327"/>
      <c r="CQ509" s="1327"/>
      <c r="CR509" s="1327"/>
      <c r="CS509" s="1327"/>
      <c r="CT509" s="1317"/>
      <c r="CU509" s="1317"/>
      <c r="CV509" s="1317"/>
      <c r="CW509" s="1317"/>
      <c r="CX509" s="1317"/>
      <c r="CY509" s="1317"/>
      <c r="CZ509" s="1317"/>
      <c r="DA509" s="1317"/>
      <c r="DB509" s="1317"/>
      <c r="DC509" s="1317"/>
      <c r="DD509" s="1317"/>
      <c r="DE509" s="1317"/>
      <c r="DF509" s="1317"/>
      <c r="DG509" s="1317"/>
    </row>
    <row r="510" ht="18.75" customHeight="1">
      <c r="G510" s="1344"/>
      <c r="H510" s="1345">
        <f t="shared" si="4"/>
        <v>0</v>
      </c>
      <c r="I510" s="1381"/>
      <c r="J510" s="1381"/>
      <c r="K510" s="1381"/>
      <c r="L510" s="1381"/>
      <c r="M510" s="1381"/>
      <c r="N510" s="1381"/>
      <c r="O510" s="1381"/>
      <c r="P510" s="1381"/>
      <c r="Q510" s="1381"/>
      <c r="R510" s="1381"/>
      <c r="T510" s="1349"/>
      <c r="U510" s="1349" t="s">
        <v>123</v>
      </c>
      <c r="V510" s="1349" t="s">
        <v>123</v>
      </c>
      <c r="W510" s="1349"/>
      <c r="X510" s="1349"/>
      <c r="Y510" s="1308"/>
      <c r="Z510" s="437" t="str">
        <f>IFERROR(__xludf.DUMMYFUNCTION("IF(NOT('portfólio'!$AV$7),"""",IF($T510="""","""",IFERROR(query({AtivosDados},""select sum(""&amp;Z$3&amp;"") where Col1='""&amp;$T510&amp;""' label sum(""&amp;Z$3&amp;"") ''""),0)))"),"")</f>
        <v/>
      </c>
      <c r="AA510" s="437" t="str">
        <f>IFERROR(__xludf.DUMMYFUNCTION("IF(NOT('portfólio'!$AV$7),"""",IF($T510="""","""",IFERROR(query({AtivosDados},""select sum(""&amp;AA$3&amp;"") where Col1='""&amp;$T510&amp;""' label sum(""&amp;AA$3&amp;"") ''""),0)))"),"")</f>
        <v/>
      </c>
      <c r="AB510" s="437" t="str">
        <f>IFERROR(__xludf.DUMMYFUNCTION("IF(NOT('portfólio'!$AV$7),"""",IF($T510="""","""",IFERROR(query({AtivosDados},""select sum(""&amp;AB$3&amp;"") where Col1='""&amp;$T510&amp;""' label sum(""&amp;AB$3&amp;"") ''""),0)))"),"")</f>
        <v/>
      </c>
      <c r="AC510" s="437" t="str">
        <f>IFERROR(__xludf.DUMMYFUNCTION("IF(NOT('portfólio'!$AV$7),"""",IF($T510="""","""",IFERROR(query({AtivosDados},""select sum(""&amp;AC$3&amp;"") where Col1='""&amp;$T510&amp;""' label sum(""&amp;AC$3&amp;"") ''""),0)))"),"")</f>
        <v/>
      </c>
      <c r="AD510" s="437" t="str">
        <f>IFERROR(__xludf.DUMMYFUNCTION("IF(NOT('portfólio'!$AV$7),"""",IF($T510="""","""",IFERROR(query({AtivosDados},""select sum(""&amp;AD$3&amp;"") where Col1='""&amp;$T510&amp;""' label sum(""&amp;AD$3&amp;"") ''""),0)))"),"")</f>
        <v/>
      </c>
      <c r="AE510" s="437"/>
      <c r="AF510" s="1327"/>
      <c r="AG510" s="437"/>
      <c r="AH510" s="437"/>
      <c r="AI510" s="437"/>
      <c r="AJ510" s="437"/>
      <c r="AK510" s="437"/>
      <c r="AL510" s="437"/>
      <c r="AM510" s="437"/>
      <c r="AN510" s="437"/>
      <c r="AO510" s="437"/>
      <c r="AP510" s="437"/>
      <c r="AQ510" s="1327"/>
      <c r="AR510" s="437"/>
      <c r="AS510" s="437"/>
      <c r="AT510" s="437"/>
      <c r="AU510" s="437"/>
      <c r="AV510" s="437"/>
      <c r="AW510" s="437"/>
      <c r="AX510" s="437"/>
      <c r="AY510" s="437"/>
      <c r="AZ510" s="437"/>
      <c r="BA510" s="437"/>
      <c r="BB510" s="1327"/>
      <c r="BC510" s="437"/>
      <c r="BD510" s="437"/>
      <c r="BE510" s="437"/>
      <c r="BF510" s="437"/>
      <c r="BG510" s="437"/>
      <c r="BH510" s="437"/>
      <c r="BI510" s="437"/>
      <c r="BJ510" s="437"/>
      <c r="BK510" s="437"/>
      <c r="BL510" s="437"/>
      <c r="BM510" s="1327"/>
      <c r="BN510" s="1327"/>
      <c r="BO510" s="1327"/>
      <c r="BP510" s="1327"/>
      <c r="BQ510" s="1327"/>
      <c r="BR510" s="1327"/>
      <c r="BS510" s="1327"/>
      <c r="BT510" s="1327"/>
      <c r="BU510" s="1327"/>
      <c r="BV510" s="1327"/>
      <c r="BW510" s="1327"/>
      <c r="BX510" s="1327"/>
      <c r="BY510" s="1327"/>
      <c r="BZ510" s="1327"/>
      <c r="CA510" s="1327"/>
      <c r="CB510" s="1327"/>
      <c r="CC510" s="1327"/>
      <c r="CD510" s="1327"/>
      <c r="CE510" s="1327"/>
      <c r="CF510" s="1327"/>
      <c r="CG510" s="1327"/>
      <c r="CH510" s="1327"/>
      <c r="CI510" s="1327"/>
      <c r="CJ510" s="1327"/>
      <c r="CK510" s="1327"/>
      <c r="CL510" s="1327"/>
      <c r="CM510" s="1327"/>
      <c r="CN510" s="1327"/>
      <c r="CO510" s="1327"/>
      <c r="CP510" s="1327"/>
      <c r="CQ510" s="1327"/>
      <c r="CR510" s="1327"/>
      <c r="CS510" s="1327"/>
      <c r="CT510" s="1317"/>
      <c r="CU510" s="1317"/>
      <c r="CV510" s="1317"/>
      <c r="CW510" s="1317"/>
      <c r="CX510" s="1317"/>
      <c r="CY510" s="1317"/>
      <c r="CZ510" s="1317"/>
      <c r="DA510" s="1317"/>
      <c r="DB510" s="1317"/>
      <c r="DC510" s="1317"/>
      <c r="DD510" s="1317"/>
      <c r="DE510" s="1317"/>
      <c r="DF510" s="1317"/>
      <c r="DG510" s="1317"/>
    </row>
    <row r="511" ht="18.75" customHeight="1">
      <c r="G511" s="1344"/>
      <c r="H511" s="1345">
        <f t="shared" si="4"/>
        <v>0</v>
      </c>
      <c r="I511" s="1381"/>
      <c r="J511" s="1381"/>
      <c r="K511" s="1381"/>
      <c r="L511" s="1381"/>
      <c r="M511" s="1381"/>
      <c r="N511" s="1381"/>
      <c r="O511" s="1381"/>
      <c r="P511" s="1381"/>
      <c r="Q511" s="1381"/>
      <c r="R511" s="1381"/>
      <c r="T511" s="1349"/>
      <c r="U511" s="1349" t="s">
        <v>123</v>
      </c>
      <c r="V511" s="1349" t="s">
        <v>123</v>
      </c>
      <c r="W511" s="1349"/>
      <c r="X511" s="1349"/>
      <c r="Y511" s="1308"/>
      <c r="Z511" s="437" t="str">
        <f>IFERROR(__xludf.DUMMYFUNCTION("IF(NOT('portfólio'!$AV$7),"""",IF($T511="""","""",IFERROR(query({AtivosDados},""select sum(""&amp;Z$3&amp;"") where Col1='""&amp;$T511&amp;""' label sum(""&amp;Z$3&amp;"") ''""),0)))"),"")</f>
        <v/>
      </c>
      <c r="AA511" s="437" t="str">
        <f>IFERROR(__xludf.DUMMYFUNCTION("IF(NOT('portfólio'!$AV$7),"""",IF($T511="""","""",IFERROR(query({AtivosDados},""select sum(""&amp;AA$3&amp;"") where Col1='""&amp;$T511&amp;""' label sum(""&amp;AA$3&amp;"") ''""),0)))"),"")</f>
        <v/>
      </c>
      <c r="AB511" s="437" t="str">
        <f>IFERROR(__xludf.DUMMYFUNCTION("IF(NOT('portfólio'!$AV$7),"""",IF($T511="""","""",IFERROR(query({AtivosDados},""select sum(""&amp;AB$3&amp;"") where Col1='""&amp;$T511&amp;""' label sum(""&amp;AB$3&amp;"") ''""),0)))"),"")</f>
        <v/>
      </c>
      <c r="AC511" s="437" t="str">
        <f>IFERROR(__xludf.DUMMYFUNCTION("IF(NOT('portfólio'!$AV$7),"""",IF($T511="""","""",IFERROR(query({AtivosDados},""select sum(""&amp;AC$3&amp;"") where Col1='""&amp;$T511&amp;""' label sum(""&amp;AC$3&amp;"") ''""),0)))"),"")</f>
        <v/>
      </c>
      <c r="AD511" s="437" t="str">
        <f>IFERROR(__xludf.DUMMYFUNCTION("IF(NOT('portfólio'!$AV$7),"""",IF($T511="""","""",IFERROR(query({AtivosDados},""select sum(""&amp;AD$3&amp;"") where Col1='""&amp;$T511&amp;""' label sum(""&amp;AD$3&amp;"") ''""),0)))"),"")</f>
        <v/>
      </c>
      <c r="AE511" s="437"/>
      <c r="AF511" s="1327"/>
      <c r="AG511" s="437"/>
      <c r="AH511" s="437"/>
      <c r="AI511" s="437"/>
      <c r="AJ511" s="437"/>
      <c r="AK511" s="437"/>
      <c r="AL511" s="437"/>
      <c r="AM511" s="437"/>
      <c r="AN511" s="437"/>
      <c r="AO511" s="437"/>
      <c r="AP511" s="437"/>
      <c r="AQ511" s="1327"/>
      <c r="AR511" s="437"/>
      <c r="AS511" s="437"/>
      <c r="AT511" s="437"/>
      <c r="AU511" s="437"/>
      <c r="AV511" s="437"/>
      <c r="AW511" s="437"/>
      <c r="AX511" s="437"/>
      <c r="AY511" s="437"/>
      <c r="AZ511" s="437"/>
      <c r="BA511" s="437"/>
      <c r="BB511" s="1327"/>
      <c r="BC511" s="437"/>
      <c r="BD511" s="437"/>
      <c r="BE511" s="437"/>
      <c r="BF511" s="437"/>
      <c r="BG511" s="437"/>
      <c r="BH511" s="437"/>
      <c r="BI511" s="437"/>
      <c r="BJ511" s="437"/>
      <c r="BK511" s="437"/>
      <c r="BL511" s="437"/>
      <c r="BM511" s="1327"/>
      <c r="BN511" s="1327"/>
      <c r="BO511" s="1327"/>
      <c r="BP511" s="1327"/>
      <c r="BQ511" s="1327"/>
      <c r="BR511" s="1327"/>
      <c r="BS511" s="1327"/>
      <c r="BT511" s="1327"/>
      <c r="BU511" s="1327"/>
      <c r="BV511" s="1327"/>
      <c r="BW511" s="1327"/>
      <c r="BX511" s="1327"/>
      <c r="BY511" s="1327"/>
      <c r="BZ511" s="1327"/>
      <c r="CA511" s="1327"/>
      <c r="CB511" s="1327"/>
      <c r="CC511" s="1327"/>
      <c r="CD511" s="1327"/>
      <c r="CE511" s="1327"/>
      <c r="CF511" s="1327"/>
      <c r="CG511" s="1327"/>
      <c r="CH511" s="1327"/>
      <c r="CI511" s="1327"/>
      <c r="CJ511" s="1327"/>
      <c r="CK511" s="1327"/>
      <c r="CL511" s="1327"/>
      <c r="CM511" s="1327"/>
      <c r="CN511" s="1327"/>
      <c r="CO511" s="1327"/>
      <c r="CP511" s="1327"/>
      <c r="CQ511" s="1327"/>
      <c r="CR511" s="1327"/>
      <c r="CS511" s="1327"/>
      <c r="CT511" s="1317"/>
      <c r="CU511" s="1317"/>
      <c r="CV511" s="1317"/>
      <c r="CW511" s="1317"/>
      <c r="CX511" s="1317"/>
      <c r="CY511" s="1317"/>
      <c r="CZ511" s="1317"/>
      <c r="DA511" s="1317"/>
      <c r="DB511" s="1317"/>
      <c r="DC511" s="1317"/>
      <c r="DD511" s="1317"/>
      <c r="DE511" s="1317"/>
      <c r="DF511" s="1317"/>
      <c r="DG511" s="1317"/>
    </row>
    <row r="512" ht="18.75" customHeight="1">
      <c r="G512" s="1344"/>
      <c r="H512" s="1345">
        <f t="shared" si="4"/>
        <v>0</v>
      </c>
      <c r="I512" s="1381"/>
      <c r="J512" s="1381"/>
      <c r="K512" s="1381"/>
      <c r="L512" s="1381"/>
      <c r="M512" s="1381"/>
      <c r="N512" s="1381"/>
      <c r="O512" s="1381"/>
      <c r="P512" s="1381"/>
      <c r="Q512" s="1381"/>
      <c r="R512" s="1381"/>
      <c r="T512" s="1349"/>
      <c r="U512" s="1349" t="s">
        <v>123</v>
      </c>
      <c r="V512" s="1349" t="s">
        <v>123</v>
      </c>
      <c r="W512" s="1349"/>
      <c r="X512" s="1349"/>
      <c r="Y512" s="1308"/>
      <c r="Z512" s="437" t="str">
        <f>IFERROR(__xludf.DUMMYFUNCTION("IF(NOT('portfólio'!$AV$7),"""",IF($T512="""","""",IFERROR(query({AtivosDados},""select sum(""&amp;Z$3&amp;"") where Col1='""&amp;$T512&amp;""' label sum(""&amp;Z$3&amp;"") ''""),0)))"),"")</f>
        <v/>
      </c>
      <c r="AA512" s="437" t="str">
        <f>IFERROR(__xludf.DUMMYFUNCTION("IF(NOT('portfólio'!$AV$7),"""",IF($T512="""","""",IFERROR(query({AtivosDados},""select sum(""&amp;AA$3&amp;"") where Col1='""&amp;$T512&amp;""' label sum(""&amp;AA$3&amp;"") ''""),0)))"),"")</f>
        <v/>
      </c>
      <c r="AB512" s="437" t="str">
        <f>IFERROR(__xludf.DUMMYFUNCTION("IF(NOT('portfólio'!$AV$7),"""",IF($T512="""","""",IFERROR(query({AtivosDados},""select sum(""&amp;AB$3&amp;"") where Col1='""&amp;$T512&amp;""' label sum(""&amp;AB$3&amp;"") ''""),0)))"),"")</f>
        <v/>
      </c>
      <c r="AC512" s="437" t="str">
        <f>IFERROR(__xludf.DUMMYFUNCTION("IF(NOT('portfólio'!$AV$7),"""",IF($T512="""","""",IFERROR(query({AtivosDados},""select sum(""&amp;AC$3&amp;"") where Col1='""&amp;$T512&amp;""' label sum(""&amp;AC$3&amp;"") ''""),0)))"),"")</f>
        <v/>
      </c>
      <c r="AD512" s="437" t="str">
        <f>IFERROR(__xludf.DUMMYFUNCTION("IF(NOT('portfólio'!$AV$7),"""",IF($T512="""","""",IFERROR(query({AtivosDados},""select sum(""&amp;AD$3&amp;"") where Col1='""&amp;$T512&amp;""' label sum(""&amp;AD$3&amp;"") ''""),0)))"),"")</f>
        <v/>
      </c>
      <c r="AE512" s="437"/>
      <c r="AF512" s="1327"/>
      <c r="AG512" s="437"/>
      <c r="AH512" s="437"/>
      <c r="AI512" s="437"/>
      <c r="AJ512" s="437"/>
      <c r="AK512" s="437"/>
      <c r="AL512" s="437"/>
      <c r="AM512" s="437"/>
      <c r="AN512" s="437"/>
      <c r="AO512" s="437"/>
      <c r="AP512" s="437"/>
      <c r="AQ512" s="1327"/>
      <c r="AR512" s="437"/>
      <c r="AS512" s="437"/>
      <c r="AT512" s="437"/>
      <c r="AU512" s="437"/>
      <c r="AV512" s="437"/>
      <c r="AW512" s="437"/>
      <c r="AX512" s="437"/>
      <c r="AY512" s="437"/>
      <c r="AZ512" s="437"/>
      <c r="BA512" s="437"/>
      <c r="BB512" s="1327"/>
      <c r="BC512" s="437"/>
      <c r="BD512" s="437"/>
      <c r="BE512" s="437"/>
      <c r="BF512" s="437"/>
      <c r="BG512" s="437"/>
      <c r="BH512" s="437"/>
      <c r="BI512" s="437"/>
      <c r="BJ512" s="437"/>
      <c r="BK512" s="437"/>
      <c r="BL512" s="437"/>
      <c r="BM512" s="1327"/>
      <c r="BN512" s="1327"/>
      <c r="BO512" s="1327"/>
      <c r="BP512" s="1327"/>
      <c r="BQ512" s="1327"/>
      <c r="BR512" s="1327"/>
      <c r="BS512" s="1327"/>
      <c r="BT512" s="1327"/>
      <c r="BU512" s="1327"/>
      <c r="BV512" s="1327"/>
      <c r="BW512" s="1327"/>
      <c r="BX512" s="1327"/>
      <c r="BY512" s="1327"/>
      <c r="BZ512" s="1327"/>
      <c r="CA512" s="1327"/>
      <c r="CB512" s="1327"/>
      <c r="CC512" s="1327"/>
      <c r="CD512" s="1327"/>
      <c r="CE512" s="1327"/>
      <c r="CF512" s="1327"/>
      <c r="CG512" s="1327"/>
      <c r="CH512" s="1327"/>
      <c r="CI512" s="1327"/>
      <c r="CJ512" s="1327"/>
      <c r="CK512" s="1327"/>
      <c r="CL512" s="1327"/>
      <c r="CM512" s="1327"/>
      <c r="CN512" s="1327"/>
      <c r="CO512" s="1327"/>
      <c r="CP512" s="1327"/>
      <c r="CQ512" s="1327"/>
      <c r="CR512" s="1327"/>
      <c r="CS512" s="1327"/>
      <c r="CT512" s="1317"/>
      <c r="CU512" s="1317"/>
      <c r="CV512" s="1317"/>
      <c r="CW512" s="1317"/>
      <c r="CX512" s="1317"/>
      <c r="CY512" s="1317"/>
      <c r="CZ512" s="1317"/>
      <c r="DA512" s="1317"/>
      <c r="DB512" s="1317"/>
      <c r="DC512" s="1317"/>
      <c r="DD512" s="1317"/>
      <c r="DE512" s="1317"/>
      <c r="DF512" s="1317"/>
      <c r="DG512" s="1317"/>
    </row>
    <row r="513" ht="18.75" customHeight="1">
      <c r="G513" s="1344"/>
      <c r="H513" s="1345">
        <f t="shared" si="4"/>
        <v>0</v>
      </c>
      <c r="I513" s="1381"/>
      <c r="J513" s="1381"/>
      <c r="K513" s="1381"/>
      <c r="L513" s="1381"/>
      <c r="M513" s="1381"/>
      <c r="N513" s="1381"/>
      <c r="O513" s="1381"/>
      <c r="P513" s="1381"/>
      <c r="Q513" s="1381"/>
      <c r="R513" s="1381"/>
      <c r="T513" s="1349"/>
      <c r="U513" s="1349" t="s">
        <v>123</v>
      </c>
      <c r="V513" s="1349" t="s">
        <v>123</v>
      </c>
      <c r="W513" s="1349"/>
      <c r="X513" s="1349"/>
      <c r="Y513" s="1308"/>
      <c r="Z513" s="437" t="str">
        <f>IFERROR(__xludf.DUMMYFUNCTION("IF(NOT('portfólio'!$AV$7),"""",IF($T513="""","""",IFERROR(query({AtivosDados},""select sum(""&amp;Z$3&amp;"") where Col1='""&amp;$T513&amp;""' label sum(""&amp;Z$3&amp;"") ''""),0)))"),"")</f>
        <v/>
      </c>
      <c r="AA513" s="437" t="str">
        <f>IFERROR(__xludf.DUMMYFUNCTION("IF(NOT('portfólio'!$AV$7),"""",IF($T513="""","""",IFERROR(query({AtivosDados},""select sum(""&amp;AA$3&amp;"") where Col1='""&amp;$T513&amp;""' label sum(""&amp;AA$3&amp;"") ''""),0)))"),"")</f>
        <v/>
      </c>
      <c r="AB513" s="437" t="str">
        <f>IFERROR(__xludf.DUMMYFUNCTION("IF(NOT('portfólio'!$AV$7),"""",IF($T513="""","""",IFERROR(query({AtivosDados},""select sum(""&amp;AB$3&amp;"") where Col1='""&amp;$T513&amp;""' label sum(""&amp;AB$3&amp;"") ''""),0)))"),"")</f>
        <v/>
      </c>
      <c r="AC513" s="437" t="str">
        <f>IFERROR(__xludf.DUMMYFUNCTION("IF(NOT('portfólio'!$AV$7),"""",IF($T513="""","""",IFERROR(query({AtivosDados},""select sum(""&amp;AC$3&amp;"") where Col1='""&amp;$T513&amp;""' label sum(""&amp;AC$3&amp;"") ''""),0)))"),"")</f>
        <v/>
      </c>
      <c r="AD513" s="437" t="str">
        <f>IFERROR(__xludf.DUMMYFUNCTION("IF(NOT('portfólio'!$AV$7),"""",IF($T513="""","""",IFERROR(query({AtivosDados},""select sum(""&amp;AD$3&amp;"") where Col1='""&amp;$T513&amp;""' label sum(""&amp;AD$3&amp;"") ''""),0)))"),"")</f>
        <v/>
      </c>
      <c r="AE513" s="437"/>
      <c r="AF513" s="1327"/>
      <c r="AG513" s="437"/>
      <c r="AH513" s="437"/>
      <c r="AI513" s="437"/>
      <c r="AJ513" s="437"/>
      <c r="AK513" s="437"/>
      <c r="AL513" s="437"/>
      <c r="AM513" s="437"/>
      <c r="AN513" s="437"/>
      <c r="AO513" s="437"/>
      <c r="AP513" s="437"/>
      <c r="AQ513" s="1327"/>
      <c r="AR513" s="437"/>
      <c r="AS513" s="437"/>
      <c r="AT513" s="437"/>
      <c r="AU513" s="437"/>
      <c r="AV513" s="437"/>
      <c r="AW513" s="437"/>
      <c r="AX513" s="437"/>
      <c r="AY513" s="437"/>
      <c r="AZ513" s="437"/>
      <c r="BA513" s="437"/>
      <c r="BB513" s="1327"/>
      <c r="BC513" s="437"/>
      <c r="BD513" s="437"/>
      <c r="BE513" s="437"/>
      <c r="BF513" s="437"/>
      <c r="BG513" s="437"/>
      <c r="BH513" s="437"/>
      <c r="BI513" s="437"/>
      <c r="BJ513" s="437"/>
      <c r="BK513" s="437"/>
      <c r="BL513" s="437"/>
      <c r="BM513" s="1327"/>
      <c r="BN513" s="1327"/>
      <c r="BO513" s="1327"/>
      <c r="BP513" s="1327"/>
      <c r="BQ513" s="1327"/>
      <c r="BR513" s="1327"/>
      <c r="BS513" s="1327"/>
      <c r="BT513" s="1327"/>
      <c r="BU513" s="1327"/>
      <c r="BV513" s="1327"/>
      <c r="BW513" s="1327"/>
      <c r="BX513" s="1327"/>
      <c r="BY513" s="1327"/>
      <c r="BZ513" s="1327"/>
      <c r="CA513" s="1327"/>
      <c r="CB513" s="1327"/>
      <c r="CC513" s="1327"/>
      <c r="CD513" s="1327"/>
      <c r="CE513" s="1327"/>
      <c r="CF513" s="1327"/>
      <c r="CG513" s="1327"/>
      <c r="CH513" s="1327"/>
      <c r="CI513" s="1327"/>
      <c r="CJ513" s="1327"/>
      <c r="CK513" s="1327"/>
      <c r="CL513" s="1327"/>
      <c r="CM513" s="1327"/>
      <c r="CN513" s="1327"/>
      <c r="CO513" s="1327"/>
      <c r="CP513" s="1327"/>
      <c r="CQ513" s="1327"/>
      <c r="CR513" s="1327"/>
      <c r="CS513" s="1327"/>
      <c r="CT513" s="1317"/>
      <c r="CU513" s="1317"/>
      <c r="CV513" s="1317"/>
      <c r="CW513" s="1317"/>
      <c r="CX513" s="1317"/>
      <c r="CY513" s="1317"/>
      <c r="CZ513" s="1317"/>
      <c r="DA513" s="1317"/>
      <c r="DB513" s="1317"/>
      <c r="DC513" s="1317"/>
      <c r="DD513" s="1317"/>
      <c r="DE513" s="1317"/>
      <c r="DF513" s="1317"/>
      <c r="DG513" s="1317"/>
    </row>
    <row r="514" ht="18.75" customHeight="1">
      <c r="G514" s="1344"/>
      <c r="H514" s="1345">
        <f t="shared" si="4"/>
        <v>0</v>
      </c>
      <c r="I514" s="1381"/>
      <c r="J514" s="1381"/>
      <c r="K514" s="1381"/>
      <c r="L514" s="1381"/>
      <c r="M514" s="1381"/>
      <c r="N514" s="1381"/>
      <c r="O514" s="1381"/>
      <c r="P514" s="1381"/>
      <c r="Q514" s="1381"/>
      <c r="R514" s="1381"/>
      <c r="T514" s="1349"/>
      <c r="U514" s="1349" t="s">
        <v>123</v>
      </c>
      <c r="V514" s="1349" t="s">
        <v>123</v>
      </c>
      <c r="W514" s="1349"/>
      <c r="X514" s="1349"/>
      <c r="Y514" s="1308"/>
      <c r="Z514" s="437" t="str">
        <f>IFERROR(__xludf.DUMMYFUNCTION("IF(NOT('portfólio'!$AV$7),"""",IF($T514="""","""",IFERROR(query({AtivosDados},""select sum(""&amp;Z$3&amp;"") where Col1='""&amp;$T514&amp;""' label sum(""&amp;Z$3&amp;"") ''""),0)))"),"")</f>
        <v/>
      </c>
      <c r="AA514" s="437" t="str">
        <f>IFERROR(__xludf.DUMMYFUNCTION("IF(NOT('portfólio'!$AV$7),"""",IF($T514="""","""",IFERROR(query({AtivosDados},""select sum(""&amp;AA$3&amp;"") where Col1='""&amp;$T514&amp;""' label sum(""&amp;AA$3&amp;"") ''""),0)))"),"")</f>
        <v/>
      </c>
      <c r="AB514" s="437" t="str">
        <f>IFERROR(__xludf.DUMMYFUNCTION("IF(NOT('portfólio'!$AV$7),"""",IF($T514="""","""",IFERROR(query({AtivosDados},""select sum(""&amp;AB$3&amp;"") where Col1='""&amp;$T514&amp;""' label sum(""&amp;AB$3&amp;"") ''""),0)))"),"")</f>
        <v/>
      </c>
      <c r="AC514" s="437" t="str">
        <f>IFERROR(__xludf.DUMMYFUNCTION("IF(NOT('portfólio'!$AV$7),"""",IF($T514="""","""",IFERROR(query({AtivosDados},""select sum(""&amp;AC$3&amp;"") where Col1='""&amp;$T514&amp;""' label sum(""&amp;AC$3&amp;"") ''""),0)))"),"")</f>
        <v/>
      </c>
      <c r="AD514" s="437" t="str">
        <f>IFERROR(__xludf.DUMMYFUNCTION("IF(NOT('portfólio'!$AV$7),"""",IF($T514="""","""",IFERROR(query({AtivosDados},""select sum(""&amp;AD$3&amp;"") where Col1='""&amp;$T514&amp;""' label sum(""&amp;AD$3&amp;"") ''""),0)))"),"")</f>
        <v/>
      </c>
      <c r="AE514" s="437"/>
      <c r="AF514" s="1327"/>
      <c r="AG514" s="437"/>
      <c r="AH514" s="437"/>
      <c r="AI514" s="437"/>
      <c r="AJ514" s="437"/>
      <c r="AK514" s="437"/>
      <c r="AL514" s="437"/>
      <c r="AM514" s="437"/>
      <c r="AN514" s="437"/>
      <c r="AO514" s="437"/>
      <c r="AP514" s="437"/>
      <c r="AQ514" s="1327"/>
      <c r="AR514" s="437"/>
      <c r="AS514" s="437"/>
      <c r="AT514" s="437"/>
      <c r="AU514" s="437"/>
      <c r="AV514" s="437"/>
      <c r="AW514" s="437"/>
      <c r="AX514" s="437"/>
      <c r="AY514" s="437"/>
      <c r="AZ514" s="437"/>
      <c r="BA514" s="437"/>
      <c r="BB514" s="1327"/>
      <c r="BC514" s="437"/>
      <c r="BD514" s="437"/>
      <c r="BE514" s="437"/>
      <c r="BF514" s="437"/>
      <c r="BG514" s="437"/>
      <c r="BH514" s="437"/>
      <c r="BI514" s="437"/>
      <c r="BJ514" s="437"/>
      <c r="BK514" s="437"/>
      <c r="BL514" s="437"/>
      <c r="BM514" s="1327"/>
      <c r="BN514" s="1327"/>
      <c r="BO514" s="1327"/>
      <c r="BP514" s="1327"/>
      <c r="BQ514" s="1327"/>
      <c r="BR514" s="1327"/>
      <c r="BS514" s="1327"/>
      <c r="BT514" s="1327"/>
      <c r="BU514" s="1327"/>
      <c r="BV514" s="1327"/>
      <c r="BW514" s="1327"/>
      <c r="BX514" s="1327"/>
      <c r="BY514" s="1327"/>
      <c r="BZ514" s="1327"/>
      <c r="CA514" s="1327"/>
      <c r="CB514" s="1327"/>
      <c r="CC514" s="1327"/>
      <c r="CD514" s="1327"/>
      <c r="CE514" s="1327"/>
      <c r="CF514" s="1327"/>
      <c r="CG514" s="1327"/>
      <c r="CH514" s="1327"/>
      <c r="CI514" s="1327"/>
      <c r="CJ514" s="1327"/>
      <c r="CK514" s="1327"/>
      <c r="CL514" s="1327"/>
      <c r="CM514" s="1327"/>
      <c r="CN514" s="1327"/>
      <c r="CO514" s="1327"/>
      <c r="CP514" s="1327"/>
      <c r="CQ514" s="1327"/>
      <c r="CR514" s="1327"/>
      <c r="CS514" s="1327"/>
      <c r="CT514" s="1317"/>
      <c r="CU514" s="1317"/>
      <c r="CV514" s="1317"/>
      <c r="CW514" s="1317"/>
      <c r="CX514" s="1317"/>
      <c r="CY514" s="1317"/>
      <c r="CZ514" s="1317"/>
      <c r="DA514" s="1317"/>
      <c r="DB514" s="1317"/>
      <c r="DC514" s="1317"/>
      <c r="DD514" s="1317"/>
      <c r="DE514" s="1317"/>
      <c r="DF514" s="1317"/>
      <c r="DG514" s="1317"/>
    </row>
    <row r="515" ht="18.75" customHeight="1">
      <c r="G515" s="1344"/>
      <c r="H515" s="1345">
        <f t="shared" si="4"/>
        <v>0</v>
      </c>
      <c r="I515" s="1381"/>
      <c r="J515" s="1381"/>
      <c r="K515" s="1381"/>
      <c r="L515" s="1381"/>
      <c r="M515" s="1381"/>
      <c r="N515" s="1381"/>
      <c r="O515" s="1381"/>
      <c r="P515" s="1381"/>
      <c r="Q515" s="1381"/>
      <c r="R515" s="1381"/>
      <c r="T515" s="1349"/>
      <c r="U515" s="1349" t="s">
        <v>123</v>
      </c>
      <c r="V515" s="1349" t="s">
        <v>123</v>
      </c>
      <c r="W515" s="1349"/>
      <c r="X515" s="1349"/>
      <c r="Y515" s="1308"/>
      <c r="Z515" s="437" t="str">
        <f>IFERROR(__xludf.DUMMYFUNCTION("IF(NOT('portfólio'!$AV$7),"""",IF($T515="""","""",IFERROR(query({AtivosDados},""select sum(""&amp;Z$3&amp;"") where Col1='""&amp;$T515&amp;""' label sum(""&amp;Z$3&amp;"") ''""),0)))"),"")</f>
        <v/>
      </c>
      <c r="AA515" s="437" t="str">
        <f>IFERROR(__xludf.DUMMYFUNCTION("IF(NOT('portfólio'!$AV$7),"""",IF($T515="""","""",IFERROR(query({AtivosDados},""select sum(""&amp;AA$3&amp;"") where Col1='""&amp;$T515&amp;""' label sum(""&amp;AA$3&amp;"") ''""),0)))"),"")</f>
        <v/>
      </c>
      <c r="AB515" s="437" t="str">
        <f>IFERROR(__xludf.DUMMYFUNCTION("IF(NOT('portfólio'!$AV$7),"""",IF($T515="""","""",IFERROR(query({AtivosDados},""select sum(""&amp;AB$3&amp;"") where Col1='""&amp;$T515&amp;""' label sum(""&amp;AB$3&amp;"") ''""),0)))"),"")</f>
        <v/>
      </c>
      <c r="AC515" s="437" t="str">
        <f>IFERROR(__xludf.DUMMYFUNCTION("IF(NOT('portfólio'!$AV$7),"""",IF($T515="""","""",IFERROR(query({AtivosDados},""select sum(""&amp;AC$3&amp;"") where Col1='""&amp;$T515&amp;""' label sum(""&amp;AC$3&amp;"") ''""),0)))"),"")</f>
        <v/>
      </c>
      <c r="AD515" s="437" t="str">
        <f>IFERROR(__xludf.DUMMYFUNCTION("IF(NOT('portfólio'!$AV$7),"""",IF($T515="""","""",IFERROR(query({AtivosDados},""select sum(""&amp;AD$3&amp;"") where Col1='""&amp;$T515&amp;""' label sum(""&amp;AD$3&amp;"") ''""),0)))"),"")</f>
        <v/>
      </c>
      <c r="AE515" s="437"/>
      <c r="AF515" s="1327"/>
      <c r="AG515" s="437"/>
      <c r="AH515" s="437"/>
      <c r="AI515" s="437"/>
      <c r="AJ515" s="437"/>
      <c r="AK515" s="437"/>
      <c r="AL515" s="437"/>
      <c r="AM515" s="437"/>
      <c r="AN515" s="437"/>
      <c r="AO515" s="437"/>
      <c r="AP515" s="437"/>
      <c r="AQ515" s="1327"/>
      <c r="AR515" s="437"/>
      <c r="AS515" s="437"/>
      <c r="AT515" s="437"/>
      <c r="AU515" s="437"/>
      <c r="AV515" s="437"/>
      <c r="AW515" s="437"/>
      <c r="AX515" s="437"/>
      <c r="AY515" s="437"/>
      <c r="AZ515" s="437"/>
      <c r="BA515" s="437"/>
      <c r="BB515" s="1327"/>
      <c r="BC515" s="437"/>
      <c r="BD515" s="437"/>
      <c r="BE515" s="437"/>
      <c r="BF515" s="437"/>
      <c r="BG515" s="437"/>
      <c r="BH515" s="437"/>
      <c r="BI515" s="437"/>
      <c r="BJ515" s="437"/>
      <c r="BK515" s="437"/>
      <c r="BL515" s="437"/>
      <c r="BM515" s="1327"/>
      <c r="BN515" s="1327"/>
      <c r="BO515" s="1327"/>
      <c r="BP515" s="1327"/>
      <c r="BQ515" s="1327"/>
      <c r="BR515" s="1327"/>
      <c r="BS515" s="1327"/>
      <c r="BT515" s="1327"/>
      <c r="BU515" s="1327"/>
      <c r="BV515" s="1327"/>
      <c r="BW515" s="1327"/>
      <c r="BX515" s="1327"/>
      <c r="BY515" s="1327"/>
      <c r="BZ515" s="1327"/>
      <c r="CA515" s="1327"/>
      <c r="CB515" s="1327"/>
      <c r="CC515" s="1327"/>
      <c r="CD515" s="1327"/>
      <c r="CE515" s="1327"/>
      <c r="CF515" s="1327"/>
      <c r="CG515" s="1327"/>
      <c r="CH515" s="1327"/>
      <c r="CI515" s="1327"/>
      <c r="CJ515" s="1327"/>
      <c r="CK515" s="1327"/>
      <c r="CL515" s="1327"/>
      <c r="CM515" s="1327"/>
      <c r="CN515" s="1327"/>
      <c r="CO515" s="1327"/>
      <c r="CP515" s="1327"/>
      <c r="CQ515" s="1327"/>
      <c r="CR515" s="1327"/>
      <c r="CS515" s="1327"/>
      <c r="CT515" s="1317"/>
      <c r="CU515" s="1317"/>
      <c r="CV515" s="1317"/>
      <c r="CW515" s="1317"/>
      <c r="CX515" s="1317"/>
      <c r="CY515" s="1317"/>
      <c r="CZ515" s="1317"/>
      <c r="DA515" s="1317"/>
      <c r="DB515" s="1317"/>
      <c r="DC515" s="1317"/>
      <c r="DD515" s="1317"/>
      <c r="DE515" s="1317"/>
      <c r="DF515" s="1317"/>
      <c r="DG515" s="1317"/>
    </row>
    <row r="516" ht="18.75" customHeight="1">
      <c r="G516" s="1344"/>
      <c r="H516" s="1345">
        <f t="shared" si="4"/>
        <v>0</v>
      </c>
      <c r="I516" s="1381"/>
      <c r="J516" s="1381"/>
      <c r="K516" s="1381"/>
      <c r="L516" s="1381"/>
      <c r="M516" s="1381"/>
      <c r="N516" s="1381"/>
      <c r="O516" s="1381"/>
      <c r="P516" s="1381"/>
      <c r="Q516" s="1381"/>
      <c r="R516" s="1381"/>
      <c r="T516" s="1349"/>
      <c r="U516" s="1349" t="s">
        <v>123</v>
      </c>
      <c r="V516" s="1349" t="s">
        <v>123</v>
      </c>
      <c r="W516" s="1349"/>
      <c r="X516" s="1349"/>
      <c r="Y516" s="1308"/>
      <c r="Z516" s="437" t="str">
        <f>IFERROR(__xludf.DUMMYFUNCTION("IF(NOT('portfólio'!$AV$7),"""",IF($T516="""","""",IFERROR(query({AtivosDados},""select sum(""&amp;Z$3&amp;"") where Col1='""&amp;$T516&amp;""' label sum(""&amp;Z$3&amp;"") ''""),0)))"),"")</f>
        <v/>
      </c>
      <c r="AA516" s="437" t="str">
        <f>IFERROR(__xludf.DUMMYFUNCTION("IF(NOT('portfólio'!$AV$7),"""",IF($T516="""","""",IFERROR(query({AtivosDados},""select sum(""&amp;AA$3&amp;"") where Col1='""&amp;$T516&amp;""' label sum(""&amp;AA$3&amp;"") ''""),0)))"),"")</f>
        <v/>
      </c>
      <c r="AB516" s="437" t="str">
        <f>IFERROR(__xludf.DUMMYFUNCTION("IF(NOT('portfólio'!$AV$7),"""",IF($T516="""","""",IFERROR(query({AtivosDados},""select sum(""&amp;AB$3&amp;"") where Col1='""&amp;$T516&amp;""' label sum(""&amp;AB$3&amp;"") ''""),0)))"),"")</f>
        <v/>
      </c>
      <c r="AC516" s="437" t="str">
        <f>IFERROR(__xludf.DUMMYFUNCTION("IF(NOT('portfólio'!$AV$7),"""",IF($T516="""","""",IFERROR(query({AtivosDados},""select sum(""&amp;AC$3&amp;"") where Col1='""&amp;$T516&amp;""' label sum(""&amp;AC$3&amp;"") ''""),0)))"),"")</f>
        <v/>
      </c>
      <c r="AD516" s="437" t="str">
        <f>IFERROR(__xludf.DUMMYFUNCTION("IF(NOT('portfólio'!$AV$7),"""",IF($T516="""","""",IFERROR(query({AtivosDados},""select sum(""&amp;AD$3&amp;"") where Col1='""&amp;$T516&amp;""' label sum(""&amp;AD$3&amp;"") ''""),0)))"),"")</f>
        <v/>
      </c>
      <c r="AE516" s="437"/>
      <c r="AF516" s="1327"/>
      <c r="AG516" s="437"/>
      <c r="AH516" s="437"/>
      <c r="AI516" s="437"/>
      <c r="AJ516" s="437"/>
      <c r="AK516" s="437"/>
      <c r="AL516" s="437"/>
      <c r="AM516" s="437"/>
      <c r="AN516" s="437"/>
      <c r="AO516" s="437"/>
      <c r="AP516" s="437"/>
      <c r="AQ516" s="1327"/>
      <c r="AR516" s="437"/>
      <c r="AS516" s="437"/>
      <c r="AT516" s="437"/>
      <c r="AU516" s="437"/>
      <c r="AV516" s="437"/>
      <c r="AW516" s="437"/>
      <c r="AX516" s="437"/>
      <c r="AY516" s="437"/>
      <c r="AZ516" s="437"/>
      <c r="BA516" s="437"/>
      <c r="BB516" s="1327"/>
      <c r="BC516" s="437"/>
      <c r="BD516" s="437"/>
      <c r="BE516" s="437"/>
      <c r="BF516" s="437"/>
      <c r="BG516" s="437"/>
      <c r="BH516" s="437"/>
      <c r="BI516" s="437"/>
      <c r="BJ516" s="437"/>
      <c r="BK516" s="437"/>
      <c r="BL516" s="437"/>
      <c r="BM516" s="1327"/>
      <c r="BN516" s="1327"/>
      <c r="BO516" s="1327"/>
      <c r="BP516" s="1327"/>
      <c r="BQ516" s="1327"/>
      <c r="BR516" s="1327"/>
      <c r="BS516" s="1327"/>
      <c r="BT516" s="1327"/>
      <c r="BU516" s="1327"/>
      <c r="BV516" s="1327"/>
      <c r="BW516" s="1327"/>
      <c r="BX516" s="1327"/>
      <c r="BY516" s="1327"/>
      <c r="BZ516" s="1327"/>
      <c r="CA516" s="1327"/>
      <c r="CB516" s="1327"/>
      <c r="CC516" s="1327"/>
      <c r="CD516" s="1327"/>
      <c r="CE516" s="1327"/>
      <c r="CF516" s="1327"/>
      <c r="CG516" s="1327"/>
      <c r="CH516" s="1327"/>
      <c r="CI516" s="1327"/>
      <c r="CJ516" s="1327"/>
      <c r="CK516" s="1327"/>
      <c r="CL516" s="1327"/>
      <c r="CM516" s="1327"/>
      <c r="CN516" s="1327"/>
      <c r="CO516" s="1327"/>
      <c r="CP516" s="1327"/>
      <c r="CQ516" s="1327"/>
      <c r="CR516" s="1327"/>
      <c r="CS516" s="1327"/>
      <c r="CT516" s="1317"/>
      <c r="CU516" s="1317"/>
      <c r="CV516" s="1317"/>
      <c r="CW516" s="1317"/>
      <c r="CX516" s="1317"/>
      <c r="CY516" s="1317"/>
      <c r="CZ516" s="1317"/>
      <c r="DA516" s="1317"/>
      <c r="DB516" s="1317"/>
      <c r="DC516" s="1317"/>
      <c r="DD516" s="1317"/>
      <c r="DE516" s="1317"/>
      <c r="DF516" s="1317"/>
      <c r="DG516" s="1317"/>
    </row>
    <row r="517" ht="18.75" customHeight="1">
      <c r="G517" s="1344"/>
      <c r="H517" s="1345">
        <f t="shared" si="4"/>
        <v>0</v>
      </c>
      <c r="I517" s="1381"/>
      <c r="J517" s="1381"/>
      <c r="K517" s="1381"/>
      <c r="L517" s="1381"/>
      <c r="M517" s="1381"/>
      <c r="N517" s="1381"/>
      <c r="O517" s="1381"/>
      <c r="P517" s="1381"/>
      <c r="Q517" s="1381"/>
      <c r="R517" s="1381"/>
      <c r="T517" s="1349"/>
      <c r="U517" s="1349" t="s">
        <v>123</v>
      </c>
      <c r="V517" s="1349" t="s">
        <v>123</v>
      </c>
      <c r="W517" s="1349"/>
      <c r="X517" s="1349"/>
      <c r="Y517" s="1308"/>
      <c r="Z517" s="437" t="str">
        <f>IFERROR(__xludf.DUMMYFUNCTION("IF(NOT('portfólio'!$AV$7),"""",IF($T517="""","""",IFERROR(query({AtivosDados},""select sum(""&amp;Z$3&amp;"") where Col1='""&amp;$T517&amp;""' label sum(""&amp;Z$3&amp;"") ''""),0)))"),"")</f>
        <v/>
      </c>
      <c r="AA517" s="437" t="str">
        <f>IFERROR(__xludf.DUMMYFUNCTION("IF(NOT('portfólio'!$AV$7),"""",IF($T517="""","""",IFERROR(query({AtivosDados},""select sum(""&amp;AA$3&amp;"") where Col1='""&amp;$T517&amp;""' label sum(""&amp;AA$3&amp;"") ''""),0)))"),"")</f>
        <v/>
      </c>
      <c r="AB517" s="437" t="str">
        <f>IFERROR(__xludf.DUMMYFUNCTION("IF(NOT('portfólio'!$AV$7),"""",IF($T517="""","""",IFERROR(query({AtivosDados},""select sum(""&amp;AB$3&amp;"") where Col1='""&amp;$T517&amp;""' label sum(""&amp;AB$3&amp;"") ''""),0)))"),"")</f>
        <v/>
      </c>
      <c r="AC517" s="437" t="str">
        <f>IFERROR(__xludf.DUMMYFUNCTION("IF(NOT('portfólio'!$AV$7),"""",IF($T517="""","""",IFERROR(query({AtivosDados},""select sum(""&amp;AC$3&amp;"") where Col1='""&amp;$T517&amp;""' label sum(""&amp;AC$3&amp;"") ''""),0)))"),"")</f>
        <v/>
      </c>
      <c r="AD517" s="437" t="str">
        <f>IFERROR(__xludf.DUMMYFUNCTION("IF(NOT('portfólio'!$AV$7),"""",IF($T517="""","""",IFERROR(query({AtivosDados},""select sum(""&amp;AD$3&amp;"") where Col1='""&amp;$T517&amp;""' label sum(""&amp;AD$3&amp;"") ''""),0)))"),"")</f>
        <v/>
      </c>
      <c r="AE517" s="437"/>
      <c r="AF517" s="1327"/>
      <c r="AG517" s="437"/>
      <c r="AH517" s="437"/>
      <c r="AI517" s="437"/>
      <c r="AJ517" s="437"/>
      <c r="AK517" s="437"/>
      <c r="AL517" s="437"/>
      <c r="AM517" s="437"/>
      <c r="AN517" s="437"/>
      <c r="AO517" s="437"/>
      <c r="AP517" s="437"/>
      <c r="AQ517" s="1327"/>
      <c r="AR517" s="437"/>
      <c r="AS517" s="437"/>
      <c r="AT517" s="437"/>
      <c r="AU517" s="437"/>
      <c r="AV517" s="437"/>
      <c r="AW517" s="437"/>
      <c r="AX517" s="437"/>
      <c r="AY517" s="437"/>
      <c r="AZ517" s="437"/>
      <c r="BA517" s="437"/>
      <c r="BB517" s="1327"/>
      <c r="BC517" s="437"/>
      <c r="BD517" s="437"/>
      <c r="BE517" s="437"/>
      <c r="BF517" s="437"/>
      <c r="BG517" s="437"/>
      <c r="BH517" s="437"/>
      <c r="BI517" s="437"/>
      <c r="BJ517" s="437"/>
      <c r="BK517" s="437"/>
      <c r="BL517" s="437"/>
      <c r="BM517" s="1327"/>
      <c r="BN517" s="1327"/>
      <c r="BO517" s="1327"/>
      <c r="BP517" s="1327"/>
      <c r="BQ517" s="1327"/>
      <c r="BR517" s="1327"/>
      <c r="BS517" s="1327"/>
      <c r="BT517" s="1327"/>
      <c r="BU517" s="1327"/>
      <c r="BV517" s="1327"/>
      <c r="BW517" s="1327"/>
      <c r="BX517" s="1327"/>
      <c r="BY517" s="1327"/>
      <c r="BZ517" s="1327"/>
      <c r="CA517" s="1327"/>
      <c r="CB517" s="1327"/>
      <c r="CC517" s="1327"/>
      <c r="CD517" s="1327"/>
      <c r="CE517" s="1327"/>
      <c r="CF517" s="1327"/>
      <c r="CG517" s="1327"/>
      <c r="CH517" s="1327"/>
      <c r="CI517" s="1327"/>
      <c r="CJ517" s="1327"/>
      <c r="CK517" s="1327"/>
      <c r="CL517" s="1327"/>
      <c r="CM517" s="1327"/>
      <c r="CN517" s="1327"/>
      <c r="CO517" s="1327"/>
      <c r="CP517" s="1327"/>
      <c r="CQ517" s="1327"/>
      <c r="CR517" s="1327"/>
      <c r="CS517" s="1327"/>
      <c r="CT517" s="1317"/>
      <c r="CU517" s="1317"/>
      <c r="CV517" s="1317"/>
      <c r="CW517" s="1317"/>
      <c r="CX517" s="1317"/>
      <c r="CY517" s="1317"/>
      <c r="CZ517" s="1317"/>
      <c r="DA517" s="1317"/>
      <c r="DB517" s="1317"/>
      <c r="DC517" s="1317"/>
      <c r="DD517" s="1317"/>
      <c r="DE517" s="1317"/>
      <c r="DF517" s="1317"/>
      <c r="DG517" s="1317"/>
    </row>
    <row r="518" ht="18.75" customHeight="1">
      <c r="G518" s="1344"/>
      <c r="H518" s="1345">
        <f t="shared" si="4"/>
        <v>0</v>
      </c>
      <c r="I518" s="1381"/>
      <c r="J518" s="1381"/>
      <c r="K518" s="1381"/>
      <c r="L518" s="1381"/>
      <c r="M518" s="1381"/>
      <c r="N518" s="1381"/>
      <c r="O518" s="1381"/>
      <c r="P518" s="1381"/>
      <c r="Q518" s="1381"/>
      <c r="R518" s="1381"/>
      <c r="T518" s="1349"/>
      <c r="U518" s="1349" t="s">
        <v>123</v>
      </c>
      <c r="V518" s="1349" t="s">
        <v>123</v>
      </c>
      <c r="W518" s="1349"/>
      <c r="X518" s="1349"/>
      <c r="Y518" s="1308"/>
      <c r="Z518" s="437" t="str">
        <f>IFERROR(__xludf.DUMMYFUNCTION("IF(NOT('portfólio'!$AV$7),"""",IF($T518="""","""",IFERROR(query({AtivosDados},""select sum(""&amp;Z$3&amp;"") where Col1='""&amp;$T518&amp;""' label sum(""&amp;Z$3&amp;"") ''""),0)))"),"")</f>
        <v/>
      </c>
      <c r="AA518" s="437" t="str">
        <f>IFERROR(__xludf.DUMMYFUNCTION("IF(NOT('portfólio'!$AV$7),"""",IF($T518="""","""",IFERROR(query({AtivosDados},""select sum(""&amp;AA$3&amp;"") where Col1='""&amp;$T518&amp;""' label sum(""&amp;AA$3&amp;"") ''""),0)))"),"")</f>
        <v/>
      </c>
      <c r="AB518" s="437" t="str">
        <f>IFERROR(__xludf.DUMMYFUNCTION("IF(NOT('portfólio'!$AV$7),"""",IF($T518="""","""",IFERROR(query({AtivosDados},""select sum(""&amp;AB$3&amp;"") where Col1='""&amp;$T518&amp;""' label sum(""&amp;AB$3&amp;"") ''""),0)))"),"")</f>
        <v/>
      </c>
      <c r="AC518" s="437" t="str">
        <f>IFERROR(__xludf.DUMMYFUNCTION("IF(NOT('portfólio'!$AV$7),"""",IF($T518="""","""",IFERROR(query({AtivosDados},""select sum(""&amp;AC$3&amp;"") where Col1='""&amp;$T518&amp;""' label sum(""&amp;AC$3&amp;"") ''""),0)))"),"")</f>
        <v/>
      </c>
      <c r="AD518" s="437" t="str">
        <f>IFERROR(__xludf.DUMMYFUNCTION("IF(NOT('portfólio'!$AV$7),"""",IF($T518="""","""",IFERROR(query({AtivosDados},""select sum(""&amp;AD$3&amp;"") where Col1='""&amp;$T518&amp;""' label sum(""&amp;AD$3&amp;"") ''""),0)))"),"")</f>
        <v/>
      </c>
      <c r="AE518" s="437"/>
      <c r="AF518" s="1327"/>
      <c r="AG518" s="437"/>
      <c r="AH518" s="437"/>
      <c r="AI518" s="437"/>
      <c r="AJ518" s="437"/>
      <c r="AK518" s="437"/>
      <c r="AL518" s="437"/>
      <c r="AM518" s="437"/>
      <c r="AN518" s="437"/>
      <c r="AO518" s="437"/>
      <c r="AP518" s="437"/>
      <c r="AQ518" s="1327"/>
      <c r="AR518" s="437"/>
      <c r="AS518" s="437"/>
      <c r="AT518" s="437"/>
      <c r="AU518" s="437"/>
      <c r="AV518" s="437"/>
      <c r="AW518" s="437"/>
      <c r="AX518" s="437"/>
      <c r="AY518" s="437"/>
      <c r="AZ518" s="437"/>
      <c r="BA518" s="437"/>
      <c r="BB518" s="1327"/>
      <c r="BC518" s="437"/>
      <c r="BD518" s="437"/>
      <c r="BE518" s="437"/>
      <c r="BF518" s="437"/>
      <c r="BG518" s="437"/>
      <c r="BH518" s="437"/>
      <c r="BI518" s="437"/>
      <c r="BJ518" s="437"/>
      <c r="BK518" s="437"/>
      <c r="BL518" s="437"/>
      <c r="BM518" s="1327"/>
      <c r="BN518" s="1327"/>
      <c r="BO518" s="1327"/>
      <c r="BP518" s="1327"/>
      <c r="BQ518" s="1327"/>
      <c r="BR518" s="1327"/>
      <c r="BS518" s="1327"/>
      <c r="BT518" s="1327"/>
      <c r="BU518" s="1327"/>
      <c r="BV518" s="1327"/>
      <c r="BW518" s="1327"/>
      <c r="BX518" s="1327"/>
      <c r="BY518" s="1327"/>
      <c r="BZ518" s="1327"/>
      <c r="CA518" s="1327"/>
      <c r="CB518" s="1327"/>
      <c r="CC518" s="1327"/>
      <c r="CD518" s="1327"/>
      <c r="CE518" s="1327"/>
      <c r="CF518" s="1327"/>
      <c r="CG518" s="1327"/>
      <c r="CH518" s="1327"/>
      <c r="CI518" s="1327"/>
      <c r="CJ518" s="1327"/>
      <c r="CK518" s="1327"/>
      <c r="CL518" s="1327"/>
      <c r="CM518" s="1327"/>
      <c r="CN518" s="1327"/>
      <c r="CO518" s="1327"/>
      <c r="CP518" s="1327"/>
      <c r="CQ518" s="1327"/>
      <c r="CR518" s="1327"/>
      <c r="CS518" s="1327"/>
      <c r="CT518" s="1317"/>
      <c r="CU518" s="1317"/>
      <c r="CV518" s="1317"/>
      <c r="CW518" s="1317"/>
      <c r="CX518" s="1317"/>
      <c r="CY518" s="1317"/>
      <c r="CZ518" s="1317"/>
      <c r="DA518" s="1317"/>
      <c r="DB518" s="1317"/>
      <c r="DC518" s="1317"/>
      <c r="DD518" s="1317"/>
      <c r="DE518" s="1317"/>
      <c r="DF518" s="1317"/>
      <c r="DG518" s="1317"/>
    </row>
    <row r="519" ht="18.75" customHeight="1">
      <c r="G519" s="1344"/>
      <c r="H519" s="1345">
        <f t="shared" si="4"/>
        <v>0</v>
      </c>
      <c r="I519" s="1381"/>
      <c r="J519" s="1381"/>
      <c r="K519" s="1381"/>
      <c r="L519" s="1381"/>
      <c r="M519" s="1381"/>
      <c r="N519" s="1381"/>
      <c r="O519" s="1381"/>
      <c r="P519" s="1381"/>
      <c r="Q519" s="1381"/>
      <c r="R519" s="1381"/>
      <c r="T519" s="1349"/>
      <c r="U519" s="1349" t="s">
        <v>123</v>
      </c>
      <c r="V519" s="1349" t="s">
        <v>123</v>
      </c>
      <c r="W519" s="1349"/>
      <c r="X519" s="1349"/>
      <c r="Y519" s="1308"/>
      <c r="Z519" s="437" t="str">
        <f>IFERROR(__xludf.DUMMYFUNCTION("IF(NOT('portfólio'!$AV$7),"""",IF($T519="""","""",IFERROR(query({AtivosDados},""select sum(""&amp;Z$3&amp;"") where Col1='""&amp;$T519&amp;""' label sum(""&amp;Z$3&amp;"") ''""),0)))"),"")</f>
        <v/>
      </c>
      <c r="AA519" s="437" t="str">
        <f>IFERROR(__xludf.DUMMYFUNCTION("IF(NOT('portfólio'!$AV$7),"""",IF($T519="""","""",IFERROR(query({AtivosDados},""select sum(""&amp;AA$3&amp;"") where Col1='""&amp;$T519&amp;""' label sum(""&amp;AA$3&amp;"") ''""),0)))"),"")</f>
        <v/>
      </c>
      <c r="AB519" s="437" t="str">
        <f>IFERROR(__xludf.DUMMYFUNCTION("IF(NOT('portfólio'!$AV$7),"""",IF($T519="""","""",IFERROR(query({AtivosDados},""select sum(""&amp;AB$3&amp;"") where Col1='""&amp;$T519&amp;""' label sum(""&amp;AB$3&amp;"") ''""),0)))"),"")</f>
        <v/>
      </c>
      <c r="AC519" s="437" t="str">
        <f>IFERROR(__xludf.DUMMYFUNCTION("IF(NOT('portfólio'!$AV$7),"""",IF($T519="""","""",IFERROR(query({AtivosDados},""select sum(""&amp;AC$3&amp;"") where Col1='""&amp;$T519&amp;""' label sum(""&amp;AC$3&amp;"") ''""),0)))"),"")</f>
        <v/>
      </c>
      <c r="AD519" s="437" t="str">
        <f>IFERROR(__xludf.DUMMYFUNCTION("IF(NOT('portfólio'!$AV$7),"""",IF($T519="""","""",IFERROR(query({AtivosDados},""select sum(""&amp;AD$3&amp;"") where Col1='""&amp;$T519&amp;""' label sum(""&amp;AD$3&amp;"") ''""),0)))"),"")</f>
        <v/>
      </c>
      <c r="AE519" s="437"/>
      <c r="AF519" s="1327"/>
      <c r="AG519" s="437"/>
      <c r="AH519" s="437"/>
      <c r="AI519" s="437"/>
      <c r="AJ519" s="437"/>
      <c r="AK519" s="437"/>
      <c r="AL519" s="437"/>
      <c r="AM519" s="437"/>
      <c r="AN519" s="437"/>
      <c r="AO519" s="437"/>
      <c r="AP519" s="437"/>
      <c r="AQ519" s="1327"/>
      <c r="AR519" s="437"/>
      <c r="AS519" s="437"/>
      <c r="AT519" s="437"/>
      <c r="AU519" s="437"/>
      <c r="AV519" s="437"/>
      <c r="AW519" s="437"/>
      <c r="AX519" s="437"/>
      <c r="AY519" s="437"/>
      <c r="AZ519" s="437"/>
      <c r="BA519" s="437"/>
      <c r="BB519" s="1327"/>
      <c r="BC519" s="437"/>
      <c r="BD519" s="437"/>
      <c r="BE519" s="437"/>
      <c r="BF519" s="437"/>
      <c r="BG519" s="437"/>
      <c r="BH519" s="437"/>
      <c r="BI519" s="437"/>
      <c r="BJ519" s="437"/>
      <c r="BK519" s="437"/>
      <c r="BL519" s="437"/>
      <c r="BM519" s="1327"/>
      <c r="BN519" s="1327"/>
      <c r="BO519" s="1327"/>
      <c r="BP519" s="1327"/>
      <c r="BQ519" s="1327"/>
      <c r="BR519" s="1327"/>
      <c r="BS519" s="1327"/>
      <c r="BT519" s="1327"/>
      <c r="BU519" s="1327"/>
      <c r="BV519" s="1327"/>
      <c r="BW519" s="1327"/>
      <c r="BX519" s="1327"/>
      <c r="BY519" s="1327"/>
      <c r="BZ519" s="1327"/>
      <c r="CA519" s="1327"/>
      <c r="CB519" s="1327"/>
      <c r="CC519" s="1327"/>
      <c r="CD519" s="1327"/>
      <c r="CE519" s="1327"/>
      <c r="CF519" s="1327"/>
      <c r="CG519" s="1327"/>
      <c r="CH519" s="1327"/>
      <c r="CI519" s="1327"/>
      <c r="CJ519" s="1327"/>
      <c r="CK519" s="1327"/>
      <c r="CL519" s="1327"/>
      <c r="CM519" s="1327"/>
      <c r="CN519" s="1327"/>
      <c r="CO519" s="1327"/>
      <c r="CP519" s="1327"/>
      <c r="CQ519" s="1327"/>
      <c r="CR519" s="1327"/>
      <c r="CS519" s="1327"/>
      <c r="CT519" s="1317"/>
      <c r="CU519" s="1317"/>
      <c r="CV519" s="1317"/>
      <c r="CW519" s="1317"/>
      <c r="CX519" s="1317"/>
      <c r="CY519" s="1317"/>
      <c r="CZ519" s="1317"/>
      <c r="DA519" s="1317"/>
      <c r="DB519" s="1317"/>
      <c r="DC519" s="1317"/>
      <c r="DD519" s="1317"/>
      <c r="DE519" s="1317"/>
      <c r="DF519" s="1317"/>
      <c r="DG519" s="1317"/>
    </row>
    <row r="520" ht="18.75" customHeight="1">
      <c r="G520" s="1344"/>
      <c r="H520" s="1345">
        <f t="shared" si="4"/>
        <v>0</v>
      </c>
      <c r="I520" s="1381"/>
      <c r="J520" s="1381"/>
      <c r="K520" s="1381"/>
      <c r="L520" s="1381"/>
      <c r="M520" s="1381"/>
      <c r="N520" s="1381"/>
      <c r="O520" s="1381"/>
      <c r="P520" s="1381"/>
      <c r="Q520" s="1381"/>
      <c r="R520" s="1381"/>
      <c r="T520" s="1349"/>
      <c r="U520" s="1349" t="s">
        <v>123</v>
      </c>
      <c r="V520" s="1349" t="s">
        <v>123</v>
      </c>
      <c r="W520" s="1349"/>
      <c r="X520" s="1349"/>
      <c r="Y520" s="1308"/>
      <c r="Z520" s="437" t="str">
        <f>IFERROR(__xludf.DUMMYFUNCTION("IF(NOT('portfólio'!$AV$7),"""",IF($T520="""","""",IFERROR(query({AtivosDados},""select sum(""&amp;Z$3&amp;"") where Col1='""&amp;$T520&amp;""' label sum(""&amp;Z$3&amp;"") ''""),0)))"),"")</f>
        <v/>
      </c>
      <c r="AA520" s="437" t="str">
        <f>IFERROR(__xludf.DUMMYFUNCTION("IF(NOT('portfólio'!$AV$7),"""",IF($T520="""","""",IFERROR(query({AtivosDados},""select sum(""&amp;AA$3&amp;"") where Col1='""&amp;$T520&amp;""' label sum(""&amp;AA$3&amp;"") ''""),0)))"),"")</f>
        <v/>
      </c>
      <c r="AB520" s="437" t="str">
        <f>IFERROR(__xludf.DUMMYFUNCTION("IF(NOT('portfólio'!$AV$7),"""",IF($T520="""","""",IFERROR(query({AtivosDados},""select sum(""&amp;AB$3&amp;"") where Col1='""&amp;$T520&amp;""' label sum(""&amp;AB$3&amp;"") ''""),0)))"),"")</f>
        <v/>
      </c>
      <c r="AC520" s="437" t="str">
        <f>IFERROR(__xludf.DUMMYFUNCTION("IF(NOT('portfólio'!$AV$7),"""",IF($T520="""","""",IFERROR(query({AtivosDados},""select sum(""&amp;AC$3&amp;"") where Col1='""&amp;$T520&amp;""' label sum(""&amp;AC$3&amp;"") ''""),0)))"),"")</f>
        <v/>
      </c>
      <c r="AD520" s="437" t="str">
        <f>IFERROR(__xludf.DUMMYFUNCTION("IF(NOT('portfólio'!$AV$7),"""",IF($T520="""","""",IFERROR(query({AtivosDados},""select sum(""&amp;AD$3&amp;"") where Col1='""&amp;$T520&amp;""' label sum(""&amp;AD$3&amp;"") ''""),0)))"),"")</f>
        <v/>
      </c>
      <c r="AE520" s="437"/>
      <c r="AF520" s="1327"/>
      <c r="AG520" s="437"/>
      <c r="AH520" s="437"/>
      <c r="AI520" s="437"/>
      <c r="AJ520" s="437"/>
      <c r="AK520" s="437"/>
      <c r="AL520" s="437"/>
      <c r="AM520" s="437"/>
      <c r="AN520" s="437"/>
      <c r="AO520" s="437"/>
      <c r="AP520" s="437"/>
      <c r="AQ520" s="1327"/>
      <c r="AR520" s="437"/>
      <c r="AS520" s="437"/>
      <c r="AT520" s="437"/>
      <c r="AU520" s="437"/>
      <c r="AV520" s="437"/>
      <c r="AW520" s="437"/>
      <c r="AX520" s="437"/>
      <c r="AY520" s="437"/>
      <c r="AZ520" s="437"/>
      <c r="BA520" s="437"/>
      <c r="BB520" s="1327"/>
      <c r="BC520" s="437"/>
      <c r="BD520" s="437"/>
      <c r="BE520" s="437"/>
      <c r="BF520" s="437"/>
      <c r="BG520" s="437"/>
      <c r="BH520" s="437"/>
      <c r="BI520" s="437"/>
      <c r="BJ520" s="437"/>
      <c r="BK520" s="437"/>
      <c r="BL520" s="437"/>
      <c r="BM520" s="1327"/>
      <c r="BN520" s="1327"/>
      <c r="BO520" s="1327"/>
      <c r="BP520" s="1327"/>
      <c r="BQ520" s="1327"/>
      <c r="BR520" s="1327"/>
      <c r="BS520" s="1327"/>
      <c r="BT520" s="1327"/>
      <c r="BU520" s="1327"/>
      <c r="BV520" s="1327"/>
      <c r="BW520" s="1327"/>
      <c r="BX520" s="1327"/>
      <c r="BY520" s="1327"/>
      <c r="BZ520" s="1327"/>
      <c r="CA520" s="1327"/>
      <c r="CB520" s="1327"/>
      <c r="CC520" s="1327"/>
      <c r="CD520" s="1327"/>
      <c r="CE520" s="1327"/>
      <c r="CF520" s="1327"/>
      <c r="CG520" s="1327"/>
      <c r="CH520" s="1327"/>
      <c r="CI520" s="1327"/>
      <c r="CJ520" s="1327"/>
      <c r="CK520" s="1327"/>
      <c r="CL520" s="1327"/>
      <c r="CM520" s="1327"/>
      <c r="CN520" s="1327"/>
      <c r="CO520" s="1327"/>
      <c r="CP520" s="1327"/>
      <c r="CQ520" s="1327"/>
      <c r="CR520" s="1327"/>
      <c r="CS520" s="1327"/>
      <c r="CT520" s="1317"/>
      <c r="CU520" s="1317"/>
      <c r="CV520" s="1317"/>
      <c r="CW520" s="1317"/>
      <c r="CX520" s="1317"/>
      <c r="CY520" s="1317"/>
      <c r="CZ520" s="1317"/>
      <c r="DA520" s="1317"/>
      <c r="DB520" s="1317"/>
      <c r="DC520" s="1317"/>
      <c r="DD520" s="1317"/>
      <c r="DE520" s="1317"/>
      <c r="DF520" s="1317"/>
      <c r="DG520" s="1317"/>
    </row>
    <row r="521" ht="18.75" customHeight="1">
      <c r="G521" s="1344"/>
      <c r="H521" s="1345">
        <f t="shared" si="4"/>
        <v>0</v>
      </c>
      <c r="I521" s="1381"/>
      <c r="J521" s="1381"/>
      <c r="K521" s="1381"/>
      <c r="L521" s="1381"/>
      <c r="M521" s="1381"/>
      <c r="N521" s="1381"/>
      <c r="O521" s="1381"/>
      <c r="P521" s="1381"/>
      <c r="Q521" s="1381"/>
      <c r="R521" s="1381"/>
      <c r="T521" s="1349"/>
      <c r="U521" s="1349" t="s">
        <v>123</v>
      </c>
      <c r="V521" s="1349" t="s">
        <v>123</v>
      </c>
      <c r="W521" s="1349"/>
      <c r="X521" s="1349"/>
      <c r="Y521" s="1308"/>
      <c r="Z521" s="437" t="str">
        <f>IFERROR(__xludf.DUMMYFUNCTION("IF(NOT('portfólio'!$AV$7),"""",IF($T521="""","""",IFERROR(query({AtivosDados},""select sum(""&amp;Z$3&amp;"") where Col1='""&amp;$T521&amp;""' label sum(""&amp;Z$3&amp;"") ''""),0)))"),"")</f>
        <v/>
      </c>
      <c r="AA521" s="437" t="str">
        <f>IFERROR(__xludf.DUMMYFUNCTION("IF(NOT('portfólio'!$AV$7),"""",IF($T521="""","""",IFERROR(query({AtivosDados},""select sum(""&amp;AA$3&amp;"") where Col1='""&amp;$T521&amp;""' label sum(""&amp;AA$3&amp;"") ''""),0)))"),"")</f>
        <v/>
      </c>
      <c r="AB521" s="437" t="str">
        <f>IFERROR(__xludf.DUMMYFUNCTION("IF(NOT('portfólio'!$AV$7),"""",IF($T521="""","""",IFERROR(query({AtivosDados},""select sum(""&amp;AB$3&amp;"") where Col1='""&amp;$T521&amp;""' label sum(""&amp;AB$3&amp;"") ''""),0)))"),"")</f>
        <v/>
      </c>
      <c r="AC521" s="437" t="str">
        <f>IFERROR(__xludf.DUMMYFUNCTION("IF(NOT('portfólio'!$AV$7),"""",IF($T521="""","""",IFERROR(query({AtivosDados},""select sum(""&amp;AC$3&amp;"") where Col1='""&amp;$T521&amp;""' label sum(""&amp;AC$3&amp;"") ''""),0)))"),"")</f>
        <v/>
      </c>
      <c r="AD521" s="437" t="str">
        <f>IFERROR(__xludf.DUMMYFUNCTION("IF(NOT('portfólio'!$AV$7),"""",IF($T521="""","""",IFERROR(query({AtivosDados},""select sum(""&amp;AD$3&amp;"") where Col1='""&amp;$T521&amp;""' label sum(""&amp;AD$3&amp;"") ''""),0)))"),"")</f>
        <v/>
      </c>
      <c r="AE521" s="437"/>
      <c r="AF521" s="1327"/>
      <c r="AG521" s="437"/>
      <c r="AH521" s="437"/>
      <c r="AI521" s="437"/>
      <c r="AJ521" s="437"/>
      <c r="AK521" s="437"/>
      <c r="AL521" s="437"/>
      <c r="AM521" s="437"/>
      <c r="AN521" s="437"/>
      <c r="AO521" s="437"/>
      <c r="AP521" s="437"/>
      <c r="AQ521" s="1327"/>
      <c r="AR521" s="437"/>
      <c r="AS521" s="437"/>
      <c r="AT521" s="437"/>
      <c r="AU521" s="437"/>
      <c r="AV521" s="437"/>
      <c r="AW521" s="437"/>
      <c r="AX521" s="437"/>
      <c r="AY521" s="437"/>
      <c r="AZ521" s="437"/>
      <c r="BA521" s="437"/>
      <c r="BB521" s="1327"/>
      <c r="BC521" s="437"/>
      <c r="BD521" s="437"/>
      <c r="BE521" s="437"/>
      <c r="BF521" s="437"/>
      <c r="BG521" s="437"/>
      <c r="BH521" s="437"/>
      <c r="BI521" s="437"/>
      <c r="BJ521" s="437"/>
      <c r="BK521" s="437"/>
      <c r="BL521" s="437"/>
      <c r="BM521" s="1327"/>
      <c r="BN521" s="1327"/>
      <c r="BO521" s="1327"/>
      <c r="BP521" s="1327"/>
      <c r="BQ521" s="1327"/>
      <c r="BR521" s="1327"/>
      <c r="BS521" s="1327"/>
      <c r="BT521" s="1327"/>
      <c r="BU521" s="1327"/>
      <c r="BV521" s="1327"/>
      <c r="BW521" s="1327"/>
      <c r="BX521" s="1327"/>
      <c r="BY521" s="1327"/>
      <c r="BZ521" s="1327"/>
      <c r="CA521" s="1327"/>
      <c r="CB521" s="1327"/>
      <c r="CC521" s="1327"/>
      <c r="CD521" s="1327"/>
      <c r="CE521" s="1327"/>
      <c r="CF521" s="1327"/>
      <c r="CG521" s="1327"/>
      <c r="CH521" s="1327"/>
      <c r="CI521" s="1327"/>
      <c r="CJ521" s="1327"/>
      <c r="CK521" s="1327"/>
      <c r="CL521" s="1327"/>
      <c r="CM521" s="1327"/>
      <c r="CN521" s="1327"/>
      <c r="CO521" s="1327"/>
      <c r="CP521" s="1327"/>
      <c r="CQ521" s="1327"/>
      <c r="CR521" s="1327"/>
      <c r="CS521" s="1327"/>
      <c r="CT521" s="1317"/>
      <c r="CU521" s="1317"/>
      <c r="CV521" s="1317"/>
      <c r="CW521" s="1317"/>
      <c r="CX521" s="1317"/>
      <c r="CY521" s="1317"/>
      <c r="CZ521" s="1317"/>
      <c r="DA521" s="1317"/>
      <c r="DB521" s="1317"/>
      <c r="DC521" s="1317"/>
      <c r="DD521" s="1317"/>
      <c r="DE521" s="1317"/>
      <c r="DF521" s="1317"/>
      <c r="DG521" s="1317"/>
    </row>
    <row r="522" ht="18.75" customHeight="1">
      <c r="G522" s="1344"/>
      <c r="H522" s="1345">
        <f t="shared" si="4"/>
        <v>0</v>
      </c>
      <c r="I522" s="1381"/>
      <c r="J522" s="1381"/>
      <c r="K522" s="1381"/>
      <c r="L522" s="1381"/>
      <c r="M522" s="1381"/>
      <c r="N522" s="1381"/>
      <c r="O522" s="1381"/>
      <c r="P522" s="1381"/>
      <c r="Q522" s="1381"/>
      <c r="R522" s="1381"/>
      <c r="T522" s="1349"/>
      <c r="U522" s="1349" t="s">
        <v>123</v>
      </c>
      <c r="V522" s="1349" t="s">
        <v>123</v>
      </c>
      <c r="W522" s="1349"/>
      <c r="X522" s="1349"/>
      <c r="Y522" s="1308"/>
      <c r="Z522" s="437" t="str">
        <f>IFERROR(__xludf.DUMMYFUNCTION("IF(NOT('portfólio'!$AV$7),"""",IF($T522="""","""",IFERROR(query({AtivosDados},""select sum(""&amp;Z$3&amp;"") where Col1='""&amp;$T522&amp;""' label sum(""&amp;Z$3&amp;"") ''""),0)))"),"")</f>
        <v/>
      </c>
      <c r="AA522" s="437" t="str">
        <f>IFERROR(__xludf.DUMMYFUNCTION("IF(NOT('portfólio'!$AV$7),"""",IF($T522="""","""",IFERROR(query({AtivosDados},""select sum(""&amp;AA$3&amp;"") where Col1='""&amp;$T522&amp;""' label sum(""&amp;AA$3&amp;"") ''""),0)))"),"")</f>
        <v/>
      </c>
      <c r="AB522" s="437" t="str">
        <f>IFERROR(__xludf.DUMMYFUNCTION("IF(NOT('portfólio'!$AV$7),"""",IF($T522="""","""",IFERROR(query({AtivosDados},""select sum(""&amp;AB$3&amp;"") where Col1='""&amp;$T522&amp;""' label sum(""&amp;AB$3&amp;"") ''""),0)))"),"")</f>
        <v/>
      </c>
      <c r="AC522" s="437" t="str">
        <f>IFERROR(__xludf.DUMMYFUNCTION("IF(NOT('portfólio'!$AV$7),"""",IF($T522="""","""",IFERROR(query({AtivosDados},""select sum(""&amp;AC$3&amp;"") where Col1='""&amp;$T522&amp;""' label sum(""&amp;AC$3&amp;"") ''""),0)))"),"")</f>
        <v/>
      </c>
      <c r="AD522" s="437" t="str">
        <f>IFERROR(__xludf.DUMMYFUNCTION("IF(NOT('portfólio'!$AV$7),"""",IF($T522="""","""",IFERROR(query({AtivosDados},""select sum(""&amp;AD$3&amp;"") where Col1='""&amp;$T522&amp;""' label sum(""&amp;AD$3&amp;"") ''""),0)))"),"")</f>
        <v/>
      </c>
      <c r="AE522" s="437"/>
      <c r="AF522" s="1327"/>
      <c r="AG522" s="437"/>
      <c r="AH522" s="437"/>
      <c r="AI522" s="437"/>
      <c r="AJ522" s="437"/>
      <c r="AK522" s="437"/>
      <c r="AL522" s="437"/>
      <c r="AM522" s="437"/>
      <c r="AN522" s="437"/>
      <c r="AO522" s="437"/>
      <c r="AP522" s="437"/>
      <c r="AQ522" s="1327"/>
      <c r="AR522" s="437"/>
      <c r="AS522" s="437"/>
      <c r="AT522" s="437"/>
      <c r="AU522" s="437"/>
      <c r="AV522" s="437"/>
      <c r="AW522" s="437"/>
      <c r="AX522" s="437"/>
      <c r="AY522" s="437"/>
      <c r="AZ522" s="437"/>
      <c r="BA522" s="437"/>
      <c r="BB522" s="1327"/>
      <c r="BC522" s="437"/>
      <c r="BD522" s="437"/>
      <c r="BE522" s="437"/>
      <c r="BF522" s="437"/>
      <c r="BG522" s="437"/>
      <c r="BH522" s="437"/>
      <c r="BI522" s="437"/>
      <c r="BJ522" s="437"/>
      <c r="BK522" s="437"/>
      <c r="BL522" s="437"/>
      <c r="BM522" s="1327"/>
      <c r="BN522" s="1327"/>
      <c r="BO522" s="1327"/>
      <c r="BP522" s="1327"/>
      <c r="BQ522" s="1327"/>
      <c r="BR522" s="1327"/>
      <c r="BS522" s="1327"/>
      <c r="BT522" s="1327"/>
      <c r="BU522" s="1327"/>
      <c r="BV522" s="1327"/>
      <c r="BW522" s="1327"/>
      <c r="BX522" s="1327"/>
      <c r="BY522" s="1327"/>
      <c r="BZ522" s="1327"/>
      <c r="CA522" s="1327"/>
      <c r="CB522" s="1327"/>
      <c r="CC522" s="1327"/>
      <c r="CD522" s="1327"/>
      <c r="CE522" s="1327"/>
      <c r="CF522" s="1327"/>
      <c r="CG522" s="1327"/>
      <c r="CH522" s="1327"/>
      <c r="CI522" s="1327"/>
      <c r="CJ522" s="1327"/>
      <c r="CK522" s="1327"/>
      <c r="CL522" s="1327"/>
      <c r="CM522" s="1327"/>
      <c r="CN522" s="1327"/>
      <c r="CO522" s="1327"/>
      <c r="CP522" s="1327"/>
      <c r="CQ522" s="1327"/>
      <c r="CR522" s="1327"/>
      <c r="CS522" s="1327"/>
      <c r="CT522" s="1317"/>
      <c r="CU522" s="1317"/>
      <c r="CV522" s="1317"/>
      <c r="CW522" s="1317"/>
      <c r="CX522" s="1317"/>
      <c r="CY522" s="1317"/>
      <c r="CZ522" s="1317"/>
      <c r="DA522" s="1317"/>
      <c r="DB522" s="1317"/>
      <c r="DC522" s="1317"/>
      <c r="DD522" s="1317"/>
      <c r="DE522" s="1317"/>
      <c r="DF522" s="1317"/>
      <c r="DG522" s="1317"/>
    </row>
    <row r="523" ht="18.75" customHeight="1">
      <c r="G523" s="1344"/>
      <c r="H523" s="1345">
        <f t="shared" si="4"/>
        <v>0</v>
      </c>
      <c r="I523" s="1381"/>
      <c r="J523" s="1381"/>
      <c r="K523" s="1381"/>
      <c r="L523" s="1381"/>
      <c r="M523" s="1381"/>
      <c r="N523" s="1381"/>
      <c r="O523" s="1381"/>
      <c r="P523" s="1381"/>
      <c r="Q523" s="1381"/>
      <c r="R523" s="1381"/>
      <c r="T523" s="1349"/>
      <c r="U523" s="1349" t="s">
        <v>123</v>
      </c>
      <c r="V523" s="1349" t="s">
        <v>123</v>
      </c>
      <c r="W523" s="1349"/>
      <c r="X523" s="1349"/>
      <c r="Y523" s="1308"/>
      <c r="Z523" s="437" t="str">
        <f>IFERROR(__xludf.DUMMYFUNCTION("IF(NOT('portfólio'!$AV$7),"""",IF($T523="""","""",IFERROR(query({AtivosDados},""select sum(""&amp;Z$3&amp;"") where Col1='""&amp;$T523&amp;""' label sum(""&amp;Z$3&amp;"") ''""),0)))"),"")</f>
        <v/>
      </c>
      <c r="AA523" s="437" t="str">
        <f>IFERROR(__xludf.DUMMYFUNCTION("IF(NOT('portfólio'!$AV$7),"""",IF($T523="""","""",IFERROR(query({AtivosDados},""select sum(""&amp;AA$3&amp;"") where Col1='""&amp;$T523&amp;""' label sum(""&amp;AA$3&amp;"") ''""),0)))"),"")</f>
        <v/>
      </c>
      <c r="AB523" s="437" t="str">
        <f>IFERROR(__xludf.DUMMYFUNCTION("IF(NOT('portfólio'!$AV$7),"""",IF($T523="""","""",IFERROR(query({AtivosDados},""select sum(""&amp;AB$3&amp;"") where Col1='""&amp;$T523&amp;""' label sum(""&amp;AB$3&amp;"") ''""),0)))"),"")</f>
        <v/>
      </c>
      <c r="AC523" s="437" t="str">
        <f>IFERROR(__xludf.DUMMYFUNCTION("IF(NOT('portfólio'!$AV$7),"""",IF($T523="""","""",IFERROR(query({AtivosDados},""select sum(""&amp;AC$3&amp;"") where Col1='""&amp;$T523&amp;""' label sum(""&amp;AC$3&amp;"") ''""),0)))"),"")</f>
        <v/>
      </c>
      <c r="AD523" s="437" t="str">
        <f>IFERROR(__xludf.DUMMYFUNCTION("IF(NOT('portfólio'!$AV$7),"""",IF($T523="""","""",IFERROR(query({AtivosDados},""select sum(""&amp;AD$3&amp;"") where Col1='""&amp;$T523&amp;""' label sum(""&amp;AD$3&amp;"") ''""),0)))"),"")</f>
        <v/>
      </c>
      <c r="AE523" s="437"/>
      <c r="AF523" s="1327"/>
      <c r="AG523" s="437"/>
      <c r="AH523" s="437"/>
      <c r="AI523" s="437"/>
      <c r="AJ523" s="437"/>
      <c r="AK523" s="437"/>
      <c r="AL523" s="437"/>
      <c r="AM523" s="437"/>
      <c r="AN523" s="437"/>
      <c r="AO523" s="437"/>
      <c r="AP523" s="437"/>
      <c r="AQ523" s="1327"/>
      <c r="AR523" s="437"/>
      <c r="AS523" s="437"/>
      <c r="AT523" s="437"/>
      <c r="AU523" s="437"/>
      <c r="AV523" s="437"/>
      <c r="AW523" s="437"/>
      <c r="AX523" s="437"/>
      <c r="AY523" s="437"/>
      <c r="AZ523" s="437"/>
      <c r="BA523" s="437"/>
      <c r="BB523" s="1327"/>
      <c r="BC523" s="437"/>
      <c r="BD523" s="437"/>
      <c r="BE523" s="437"/>
      <c r="BF523" s="437"/>
      <c r="BG523" s="437"/>
      <c r="BH523" s="437"/>
      <c r="BI523" s="437"/>
      <c r="BJ523" s="437"/>
      <c r="BK523" s="437"/>
      <c r="BL523" s="437"/>
      <c r="BM523" s="1327"/>
      <c r="BN523" s="1327"/>
      <c r="BO523" s="1327"/>
      <c r="BP523" s="1327"/>
      <c r="BQ523" s="1327"/>
      <c r="BR523" s="1327"/>
      <c r="BS523" s="1327"/>
      <c r="BT523" s="1327"/>
      <c r="BU523" s="1327"/>
      <c r="BV523" s="1327"/>
      <c r="BW523" s="1327"/>
      <c r="BX523" s="1327"/>
      <c r="BY523" s="1327"/>
      <c r="BZ523" s="1327"/>
      <c r="CA523" s="1327"/>
      <c r="CB523" s="1327"/>
      <c r="CC523" s="1327"/>
      <c r="CD523" s="1327"/>
      <c r="CE523" s="1327"/>
      <c r="CF523" s="1327"/>
      <c r="CG523" s="1327"/>
      <c r="CH523" s="1327"/>
      <c r="CI523" s="1327"/>
      <c r="CJ523" s="1327"/>
      <c r="CK523" s="1327"/>
      <c r="CL523" s="1327"/>
      <c r="CM523" s="1327"/>
      <c r="CN523" s="1327"/>
      <c r="CO523" s="1327"/>
      <c r="CP523" s="1327"/>
      <c r="CQ523" s="1327"/>
      <c r="CR523" s="1327"/>
      <c r="CS523" s="1327"/>
      <c r="CT523" s="1317"/>
      <c r="CU523" s="1317"/>
      <c r="CV523" s="1317"/>
      <c r="CW523" s="1317"/>
      <c r="CX523" s="1317"/>
      <c r="CY523" s="1317"/>
      <c r="CZ523" s="1317"/>
      <c r="DA523" s="1317"/>
      <c r="DB523" s="1317"/>
      <c r="DC523" s="1317"/>
      <c r="DD523" s="1317"/>
      <c r="DE523" s="1317"/>
      <c r="DF523" s="1317"/>
      <c r="DG523" s="1317"/>
    </row>
    <row r="524" ht="18.75" customHeight="1">
      <c r="G524" s="1344"/>
      <c r="H524" s="1345">
        <f t="shared" si="4"/>
        <v>0</v>
      </c>
      <c r="I524" s="1381"/>
      <c r="J524" s="1381"/>
      <c r="K524" s="1381"/>
      <c r="L524" s="1381"/>
      <c r="M524" s="1381"/>
      <c r="N524" s="1381"/>
      <c r="O524" s="1381"/>
      <c r="P524" s="1381"/>
      <c r="Q524" s="1381"/>
      <c r="R524" s="1381"/>
      <c r="T524" s="1349"/>
      <c r="U524" s="1349" t="s">
        <v>123</v>
      </c>
      <c r="V524" s="1349" t="s">
        <v>123</v>
      </c>
      <c r="W524" s="1349"/>
      <c r="X524" s="1349"/>
      <c r="Y524" s="1308"/>
      <c r="Z524" s="437" t="str">
        <f>IFERROR(__xludf.DUMMYFUNCTION("IF(NOT('portfólio'!$AV$7),"""",IF($T524="""","""",IFERROR(query({AtivosDados},""select sum(""&amp;Z$3&amp;"") where Col1='""&amp;$T524&amp;""' label sum(""&amp;Z$3&amp;"") ''""),0)))"),"")</f>
        <v/>
      </c>
      <c r="AA524" s="437" t="str">
        <f>IFERROR(__xludf.DUMMYFUNCTION("IF(NOT('portfólio'!$AV$7),"""",IF($T524="""","""",IFERROR(query({AtivosDados},""select sum(""&amp;AA$3&amp;"") where Col1='""&amp;$T524&amp;""' label sum(""&amp;AA$3&amp;"") ''""),0)))"),"")</f>
        <v/>
      </c>
      <c r="AB524" s="437" t="str">
        <f>IFERROR(__xludf.DUMMYFUNCTION("IF(NOT('portfólio'!$AV$7),"""",IF($T524="""","""",IFERROR(query({AtivosDados},""select sum(""&amp;AB$3&amp;"") where Col1='""&amp;$T524&amp;""' label sum(""&amp;AB$3&amp;"") ''""),0)))"),"")</f>
        <v/>
      </c>
      <c r="AC524" s="437" t="str">
        <f>IFERROR(__xludf.DUMMYFUNCTION("IF(NOT('portfólio'!$AV$7),"""",IF($T524="""","""",IFERROR(query({AtivosDados},""select sum(""&amp;AC$3&amp;"") where Col1='""&amp;$T524&amp;""' label sum(""&amp;AC$3&amp;"") ''""),0)))"),"")</f>
        <v/>
      </c>
      <c r="AD524" s="437" t="str">
        <f>IFERROR(__xludf.DUMMYFUNCTION("IF(NOT('portfólio'!$AV$7),"""",IF($T524="""","""",IFERROR(query({AtivosDados},""select sum(""&amp;AD$3&amp;"") where Col1='""&amp;$T524&amp;""' label sum(""&amp;AD$3&amp;"") ''""),0)))"),"")</f>
        <v/>
      </c>
      <c r="AE524" s="437"/>
      <c r="AF524" s="1327"/>
      <c r="AG524" s="437"/>
      <c r="AH524" s="437"/>
      <c r="AI524" s="437"/>
      <c r="AJ524" s="437"/>
      <c r="AK524" s="437"/>
      <c r="AL524" s="437"/>
      <c r="AM524" s="437"/>
      <c r="AN524" s="437"/>
      <c r="AO524" s="437"/>
      <c r="AP524" s="437"/>
      <c r="AQ524" s="1327"/>
      <c r="AR524" s="437"/>
      <c r="AS524" s="437"/>
      <c r="AT524" s="437"/>
      <c r="AU524" s="437"/>
      <c r="AV524" s="437"/>
      <c r="AW524" s="437"/>
      <c r="AX524" s="437"/>
      <c r="AY524" s="437"/>
      <c r="AZ524" s="437"/>
      <c r="BA524" s="437"/>
      <c r="BB524" s="1327"/>
      <c r="BC524" s="437"/>
      <c r="BD524" s="437"/>
      <c r="BE524" s="437"/>
      <c r="BF524" s="437"/>
      <c r="BG524" s="437"/>
      <c r="BH524" s="437"/>
      <c r="BI524" s="437"/>
      <c r="BJ524" s="437"/>
      <c r="BK524" s="437"/>
      <c r="BL524" s="437"/>
      <c r="BM524" s="1327"/>
      <c r="BN524" s="1327"/>
      <c r="BO524" s="1327"/>
      <c r="BP524" s="1327"/>
      <c r="BQ524" s="1327"/>
      <c r="BR524" s="1327"/>
      <c r="BS524" s="1327"/>
      <c r="BT524" s="1327"/>
      <c r="BU524" s="1327"/>
      <c r="BV524" s="1327"/>
      <c r="BW524" s="1327"/>
      <c r="BX524" s="1327"/>
      <c r="BY524" s="1327"/>
      <c r="BZ524" s="1327"/>
      <c r="CA524" s="1327"/>
      <c r="CB524" s="1327"/>
      <c r="CC524" s="1327"/>
      <c r="CD524" s="1327"/>
      <c r="CE524" s="1327"/>
      <c r="CF524" s="1327"/>
      <c r="CG524" s="1327"/>
      <c r="CH524" s="1327"/>
      <c r="CI524" s="1327"/>
      <c r="CJ524" s="1327"/>
      <c r="CK524" s="1327"/>
      <c r="CL524" s="1327"/>
      <c r="CM524" s="1327"/>
      <c r="CN524" s="1327"/>
      <c r="CO524" s="1327"/>
      <c r="CP524" s="1327"/>
      <c r="CQ524" s="1327"/>
      <c r="CR524" s="1327"/>
      <c r="CS524" s="1327"/>
      <c r="CT524" s="1317"/>
      <c r="CU524" s="1317"/>
      <c r="CV524" s="1317"/>
      <c r="CW524" s="1317"/>
      <c r="CX524" s="1317"/>
      <c r="CY524" s="1317"/>
      <c r="CZ524" s="1317"/>
      <c r="DA524" s="1317"/>
      <c r="DB524" s="1317"/>
      <c r="DC524" s="1317"/>
      <c r="DD524" s="1317"/>
      <c r="DE524" s="1317"/>
      <c r="DF524" s="1317"/>
      <c r="DG524" s="1317"/>
    </row>
    <row r="525" ht="18.75" customHeight="1">
      <c r="G525" s="1344"/>
      <c r="H525" s="1345">
        <f t="shared" si="4"/>
        <v>0</v>
      </c>
      <c r="I525" s="1381"/>
      <c r="J525" s="1381"/>
      <c r="K525" s="1381"/>
      <c r="L525" s="1381"/>
      <c r="M525" s="1381"/>
      <c r="N525" s="1381"/>
      <c r="O525" s="1381"/>
      <c r="P525" s="1381"/>
      <c r="Q525" s="1381"/>
      <c r="R525" s="1381"/>
      <c r="T525" s="1349"/>
      <c r="U525" s="1349" t="s">
        <v>123</v>
      </c>
      <c r="V525" s="1349" t="s">
        <v>123</v>
      </c>
      <c r="W525" s="1349"/>
      <c r="X525" s="1349"/>
      <c r="Y525" s="1308"/>
      <c r="Z525" s="437" t="str">
        <f>IFERROR(__xludf.DUMMYFUNCTION("IF(NOT('portfólio'!$AV$7),"""",IF($T525="""","""",IFERROR(query({AtivosDados},""select sum(""&amp;Z$3&amp;"") where Col1='""&amp;$T525&amp;""' label sum(""&amp;Z$3&amp;"") ''""),0)))"),"")</f>
        <v/>
      </c>
      <c r="AA525" s="437" t="str">
        <f>IFERROR(__xludf.DUMMYFUNCTION("IF(NOT('portfólio'!$AV$7),"""",IF($T525="""","""",IFERROR(query({AtivosDados},""select sum(""&amp;AA$3&amp;"") where Col1='""&amp;$T525&amp;""' label sum(""&amp;AA$3&amp;"") ''""),0)))"),"")</f>
        <v/>
      </c>
      <c r="AB525" s="437" t="str">
        <f>IFERROR(__xludf.DUMMYFUNCTION("IF(NOT('portfólio'!$AV$7),"""",IF($T525="""","""",IFERROR(query({AtivosDados},""select sum(""&amp;AB$3&amp;"") where Col1='""&amp;$T525&amp;""' label sum(""&amp;AB$3&amp;"") ''""),0)))"),"")</f>
        <v/>
      </c>
      <c r="AC525" s="437" t="str">
        <f>IFERROR(__xludf.DUMMYFUNCTION("IF(NOT('portfólio'!$AV$7),"""",IF($T525="""","""",IFERROR(query({AtivosDados},""select sum(""&amp;AC$3&amp;"") where Col1='""&amp;$T525&amp;""' label sum(""&amp;AC$3&amp;"") ''""),0)))"),"")</f>
        <v/>
      </c>
      <c r="AD525" s="437" t="str">
        <f>IFERROR(__xludf.DUMMYFUNCTION("IF(NOT('portfólio'!$AV$7),"""",IF($T525="""","""",IFERROR(query({AtivosDados},""select sum(""&amp;AD$3&amp;"") where Col1='""&amp;$T525&amp;""' label sum(""&amp;AD$3&amp;"") ''""),0)))"),"")</f>
        <v/>
      </c>
      <c r="AE525" s="437"/>
      <c r="AF525" s="1327"/>
      <c r="AG525" s="437"/>
      <c r="AH525" s="437"/>
      <c r="AI525" s="437"/>
      <c r="AJ525" s="437"/>
      <c r="AK525" s="437"/>
      <c r="AL525" s="437"/>
      <c r="AM525" s="437"/>
      <c r="AN525" s="437"/>
      <c r="AO525" s="437"/>
      <c r="AP525" s="437"/>
      <c r="AQ525" s="1327"/>
      <c r="AR525" s="437"/>
      <c r="AS525" s="437"/>
      <c r="AT525" s="437"/>
      <c r="AU525" s="437"/>
      <c r="AV525" s="437"/>
      <c r="AW525" s="437"/>
      <c r="AX525" s="437"/>
      <c r="AY525" s="437"/>
      <c r="AZ525" s="437"/>
      <c r="BA525" s="437"/>
      <c r="BB525" s="1327"/>
      <c r="BC525" s="437"/>
      <c r="BD525" s="437"/>
      <c r="BE525" s="437"/>
      <c r="BF525" s="437"/>
      <c r="BG525" s="437"/>
      <c r="BH525" s="437"/>
      <c r="BI525" s="437"/>
      <c r="BJ525" s="437"/>
      <c r="BK525" s="437"/>
      <c r="BL525" s="437"/>
      <c r="BM525" s="1327"/>
      <c r="BN525" s="1327"/>
      <c r="BO525" s="1327"/>
      <c r="BP525" s="1327"/>
      <c r="BQ525" s="1327"/>
      <c r="BR525" s="1327"/>
      <c r="BS525" s="1327"/>
      <c r="BT525" s="1327"/>
      <c r="BU525" s="1327"/>
      <c r="BV525" s="1327"/>
      <c r="BW525" s="1327"/>
      <c r="BX525" s="1327"/>
      <c r="BY525" s="1327"/>
      <c r="BZ525" s="1327"/>
      <c r="CA525" s="1327"/>
      <c r="CB525" s="1327"/>
      <c r="CC525" s="1327"/>
      <c r="CD525" s="1327"/>
      <c r="CE525" s="1327"/>
      <c r="CF525" s="1327"/>
      <c r="CG525" s="1327"/>
      <c r="CH525" s="1327"/>
      <c r="CI525" s="1327"/>
      <c r="CJ525" s="1327"/>
      <c r="CK525" s="1327"/>
      <c r="CL525" s="1327"/>
      <c r="CM525" s="1327"/>
      <c r="CN525" s="1327"/>
      <c r="CO525" s="1327"/>
      <c r="CP525" s="1327"/>
      <c r="CQ525" s="1327"/>
      <c r="CR525" s="1327"/>
      <c r="CS525" s="1327"/>
      <c r="CT525" s="1317"/>
      <c r="CU525" s="1317"/>
      <c r="CV525" s="1317"/>
      <c r="CW525" s="1317"/>
      <c r="CX525" s="1317"/>
      <c r="CY525" s="1317"/>
      <c r="CZ525" s="1317"/>
      <c r="DA525" s="1317"/>
      <c r="DB525" s="1317"/>
      <c r="DC525" s="1317"/>
      <c r="DD525" s="1317"/>
      <c r="DE525" s="1317"/>
      <c r="DF525" s="1317"/>
      <c r="DG525" s="1317"/>
    </row>
    <row r="526" ht="18.75" customHeight="1">
      <c r="G526" s="1344"/>
      <c r="H526" s="1345">
        <f t="shared" si="4"/>
        <v>0</v>
      </c>
      <c r="I526" s="1381"/>
      <c r="J526" s="1381"/>
      <c r="K526" s="1381"/>
      <c r="L526" s="1381"/>
      <c r="M526" s="1381"/>
      <c r="N526" s="1381"/>
      <c r="O526" s="1381"/>
      <c r="P526" s="1381"/>
      <c r="Q526" s="1381"/>
      <c r="R526" s="1381"/>
      <c r="T526" s="1349"/>
      <c r="U526" s="1349" t="s">
        <v>123</v>
      </c>
      <c r="V526" s="1349" t="s">
        <v>123</v>
      </c>
      <c r="W526" s="1349"/>
      <c r="X526" s="1349"/>
      <c r="Y526" s="1308"/>
      <c r="Z526" s="437" t="str">
        <f>IFERROR(__xludf.DUMMYFUNCTION("IF(NOT('portfólio'!$AV$7),"""",IF($T526="""","""",IFERROR(query({AtivosDados},""select sum(""&amp;Z$3&amp;"") where Col1='""&amp;$T526&amp;""' label sum(""&amp;Z$3&amp;"") ''""),0)))"),"")</f>
        <v/>
      </c>
      <c r="AA526" s="437" t="str">
        <f>IFERROR(__xludf.DUMMYFUNCTION("IF(NOT('portfólio'!$AV$7),"""",IF($T526="""","""",IFERROR(query({AtivosDados},""select sum(""&amp;AA$3&amp;"") where Col1='""&amp;$T526&amp;""' label sum(""&amp;AA$3&amp;"") ''""),0)))"),"")</f>
        <v/>
      </c>
      <c r="AB526" s="437" t="str">
        <f>IFERROR(__xludf.DUMMYFUNCTION("IF(NOT('portfólio'!$AV$7),"""",IF($T526="""","""",IFERROR(query({AtivosDados},""select sum(""&amp;AB$3&amp;"") where Col1='""&amp;$T526&amp;""' label sum(""&amp;AB$3&amp;"") ''""),0)))"),"")</f>
        <v/>
      </c>
      <c r="AC526" s="437" t="str">
        <f>IFERROR(__xludf.DUMMYFUNCTION("IF(NOT('portfólio'!$AV$7),"""",IF($T526="""","""",IFERROR(query({AtivosDados},""select sum(""&amp;AC$3&amp;"") where Col1='""&amp;$T526&amp;""' label sum(""&amp;AC$3&amp;"") ''""),0)))"),"")</f>
        <v/>
      </c>
      <c r="AD526" s="437" t="str">
        <f>IFERROR(__xludf.DUMMYFUNCTION("IF(NOT('portfólio'!$AV$7),"""",IF($T526="""","""",IFERROR(query({AtivosDados},""select sum(""&amp;AD$3&amp;"") where Col1='""&amp;$T526&amp;""' label sum(""&amp;AD$3&amp;"") ''""),0)))"),"")</f>
        <v/>
      </c>
      <c r="AE526" s="437"/>
      <c r="AF526" s="1327"/>
      <c r="AG526" s="437"/>
      <c r="AH526" s="437"/>
      <c r="AI526" s="437"/>
      <c r="AJ526" s="437"/>
      <c r="AK526" s="437"/>
      <c r="AL526" s="437"/>
      <c r="AM526" s="437"/>
      <c r="AN526" s="437"/>
      <c r="AO526" s="437"/>
      <c r="AP526" s="437"/>
      <c r="AQ526" s="1327"/>
      <c r="AR526" s="437"/>
      <c r="AS526" s="437"/>
      <c r="AT526" s="437"/>
      <c r="AU526" s="437"/>
      <c r="AV526" s="437"/>
      <c r="AW526" s="437"/>
      <c r="AX526" s="437"/>
      <c r="AY526" s="437"/>
      <c r="AZ526" s="437"/>
      <c r="BA526" s="437"/>
      <c r="BB526" s="1327"/>
      <c r="BC526" s="437"/>
      <c r="BD526" s="437"/>
      <c r="BE526" s="437"/>
      <c r="BF526" s="437"/>
      <c r="BG526" s="437"/>
      <c r="BH526" s="437"/>
      <c r="BI526" s="437"/>
      <c r="BJ526" s="437"/>
      <c r="BK526" s="437"/>
      <c r="BL526" s="437"/>
      <c r="BM526" s="1327"/>
      <c r="BN526" s="1327"/>
      <c r="BO526" s="1327"/>
      <c r="BP526" s="1327"/>
      <c r="BQ526" s="1327"/>
      <c r="BR526" s="1327"/>
      <c r="BS526" s="1327"/>
      <c r="BT526" s="1327"/>
      <c r="BU526" s="1327"/>
      <c r="BV526" s="1327"/>
      <c r="BW526" s="1327"/>
      <c r="BX526" s="1327"/>
      <c r="BY526" s="1327"/>
      <c r="BZ526" s="1327"/>
      <c r="CA526" s="1327"/>
      <c r="CB526" s="1327"/>
      <c r="CC526" s="1327"/>
      <c r="CD526" s="1327"/>
      <c r="CE526" s="1327"/>
      <c r="CF526" s="1327"/>
      <c r="CG526" s="1327"/>
      <c r="CH526" s="1327"/>
      <c r="CI526" s="1327"/>
      <c r="CJ526" s="1327"/>
      <c r="CK526" s="1327"/>
      <c r="CL526" s="1327"/>
      <c r="CM526" s="1327"/>
      <c r="CN526" s="1327"/>
      <c r="CO526" s="1327"/>
      <c r="CP526" s="1327"/>
      <c r="CQ526" s="1327"/>
      <c r="CR526" s="1327"/>
      <c r="CS526" s="1327"/>
      <c r="CT526" s="1317"/>
      <c r="CU526" s="1317"/>
      <c r="CV526" s="1317"/>
      <c r="CW526" s="1317"/>
      <c r="CX526" s="1317"/>
      <c r="CY526" s="1317"/>
      <c r="CZ526" s="1317"/>
      <c r="DA526" s="1317"/>
      <c r="DB526" s="1317"/>
      <c r="DC526" s="1317"/>
      <c r="DD526" s="1317"/>
      <c r="DE526" s="1317"/>
      <c r="DF526" s="1317"/>
      <c r="DG526" s="1317"/>
    </row>
    <row r="527" ht="18.75" customHeight="1">
      <c r="G527" s="1344"/>
      <c r="H527" s="1345">
        <f t="shared" si="4"/>
        <v>0</v>
      </c>
      <c r="I527" s="1381"/>
      <c r="J527" s="1381"/>
      <c r="K527" s="1381"/>
      <c r="L527" s="1381"/>
      <c r="M527" s="1381"/>
      <c r="N527" s="1381"/>
      <c r="O527" s="1381"/>
      <c r="P527" s="1381"/>
      <c r="Q527" s="1381"/>
      <c r="R527" s="1381"/>
      <c r="T527" s="1349"/>
      <c r="U527" s="1349" t="s">
        <v>123</v>
      </c>
      <c r="V527" s="1349" t="s">
        <v>123</v>
      </c>
      <c r="W527" s="1349"/>
      <c r="X527" s="1349"/>
      <c r="Y527" s="1308"/>
      <c r="Z527" s="437" t="str">
        <f>IFERROR(__xludf.DUMMYFUNCTION("IF(NOT('portfólio'!$AV$7),"""",IF($T527="""","""",IFERROR(query({AtivosDados},""select sum(""&amp;Z$3&amp;"") where Col1='""&amp;$T527&amp;""' label sum(""&amp;Z$3&amp;"") ''""),0)))"),"")</f>
        <v/>
      </c>
      <c r="AA527" s="437" t="str">
        <f>IFERROR(__xludf.DUMMYFUNCTION("IF(NOT('portfólio'!$AV$7),"""",IF($T527="""","""",IFERROR(query({AtivosDados},""select sum(""&amp;AA$3&amp;"") where Col1='""&amp;$T527&amp;""' label sum(""&amp;AA$3&amp;"") ''""),0)))"),"")</f>
        <v/>
      </c>
      <c r="AB527" s="437" t="str">
        <f>IFERROR(__xludf.DUMMYFUNCTION("IF(NOT('portfólio'!$AV$7),"""",IF($T527="""","""",IFERROR(query({AtivosDados},""select sum(""&amp;AB$3&amp;"") where Col1='""&amp;$T527&amp;""' label sum(""&amp;AB$3&amp;"") ''""),0)))"),"")</f>
        <v/>
      </c>
      <c r="AC527" s="437" t="str">
        <f>IFERROR(__xludf.DUMMYFUNCTION("IF(NOT('portfólio'!$AV$7),"""",IF($T527="""","""",IFERROR(query({AtivosDados},""select sum(""&amp;AC$3&amp;"") where Col1='""&amp;$T527&amp;""' label sum(""&amp;AC$3&amp;"") ''""),0)))"),"")</f>
        <v/>
      </c>
      <c r="AD527" s="437" t="str">
        <f>IFERROR(__xludf.DUMMYFUNCTION("IF(NOT('portfólio'!$AV$7),"""",IF($T527="""","""",IFERROR(query({AtivosDados},""select sum(""&amp;AD$3&amp;"") where Col1='""&amp;$T527&amp;""' label sum(""&amp;AD$3&amp;"") ''""),0)))"),"")</f>
        <v/>
      </c>
      <c r="AE527" s="437"/>
      <c r="AF527" s="1327"/>
      <c r="AG527" s="437"/>
      <c r="AH527" s="437"/>
      <c r="AI527" s="437"/>
      <c r="AJ527" s="437"/>
      <c r="AK527" s="437"/>
      <c r="AL527" s="437"/>
      <c r="AM527" s="437"/>
      <c r="AN527" s="437"/>
      <c r="AO527" s="437"/>
      <c r="AP527" s="437"/>
      <c r="AQ527" s="1327"/>
      <c r="AR527" s="437"/>
      <c r="AS527" s="437"/>
      <c r="AT527" s="437"/>
      <c r="AU527" s="437"/>
      <c r="AV527" s="437"/>
      <c r="AW527" s="437"/>
      <c r="AX527" s="437"/>
      <c r="AY527" s="437"/>
      <c r="AZ527" s="437"/>
      <c r="BA527" s="437"/>
      <c r="BB527" s="1327"/>
      <c r="BC527" s="437"/>
      <c r="BD527" s="437"/>
      <c r="BE527" s="437"/>
      <c r="BF527" s="437"/>
      <c r="BG527" s="437"/>
      <c r="BH527" s="437"/>
      <c r="BI527" s="437"/>
      <c r="BJ527" s="437"/>
      <c r="BK527" s="437"/>
      <c r="BL527" s="437"/>
      <c r="BM527" s="1327"/>
      <c r="BN527" s="1327"/>
      <c r="BO527" s="1327"/>
      <c r="BP527" s="1327"/>
      <c r="BQ527" s="1327"/>
      <c r="BR527" s="1327"/>
      <c r="BS527" s="1327"/>
      <c r="BT527" s="1327"/>
      <c r="BU527" s="1327"/>
      <c r="BV527" s="1327"/>
      <c r="BW527" s="1327"/>
      <c r="BX527" s="1327"/>
      <c r="BY527" s="1327"/>
      <c r="BZ527" s="1327"/>
      <c r="CA527" s="1327"/>
      <c r="CB527" s="1327"/>
      <c r="CC527" s="1327"/>
      <c r="CD527" s="1327"/>
      <c r="CE527" s="1327"/>
      <c r="CF527" s="1327"/>
      <c r="CG527" s="1327"/>
      <c r="CH527" s="1327"/>
      <c r="CI527" s="1327"/>
      <c r="CJ527" s="1327"/>
      <c r="CK527" s="1327"/>
      <c r="CL527" s="1327"/>
      <c r="CM527" s="1327"/>
      <c r="CN527" s="1327"/>
      <c r="CO527" s="1327"/>
      <c r="CP527" s="1327"/>
      <c r="CQ527" s="1327"/>
      <c r="CR527" s="1327"/>
      <c r="CS527" s="1327"/>
      <c r="CT527" s="1317"/>
      <c r="CU527" s="1317"/>
      <c r="CV527" s="1317"/>
      <c r="CW527" s="1317"/>
      <c r="CX527" s="1317"/>
      <c r="CY527" s="1317"/>
      <c r="CZ527" s="1317"/>
      <c r="DA527" s="1317"/>
      <c r="DB527" s="1317"/>
      <c r="DC527" s="1317"/>
      <c r="DD527" s="1317"/>
      <c r="DE527" s="1317"/>
      <c r="DF527" s="1317"/>
      <c r="DG527" s="1317"/>
    </row>
    <row r="528" ht="18.75" customHeight="1">
      <c r="G528" s="1344"/>
      <c r="H528" s="1345">
        <f t="shared" si="4"/>
        <v>0</v>
      </c>
      <c r="I528" s="1381"/>
      <c r="J528" s="1381"/>
      <c r="K528" s="1381"/>
      <c r="L528" s="1381"/>
      <c r="M528" s="1381"/>
      <c r="N528" s="1381"/>
      <c r="O528" s="1381"/>
      <c r="P528" s="1381"/>
      <c r="Q528" s="1381"/>
      <c r="R528" s="1381"/>
      <c r="T528" s="1349"/>
      <c r="U528" s="1349" t="s">
        <v>123</v>
      </c>
      <c r="V528" s="1349" t="s">
        <v>123</v>
      </c>
      <c r="W528" s="1349"/>
      <c r="X528" s="1349"/>
      <c r="Y528" s="1308"/>
      <c r="Z528" s="437" t="str">
        <f>IFERROR(__xludf.DUMMYFUNCTION("IF(NOT('portfólio'!$AV$7),"""",IF($T528="""","""",IFERROR(query({AtivosDados},""select sum(""&amp;Z$3&amp;"") where Col1='""&amp;$T528&amp;""' label sum(""&amp;Z$3&amp;"") ''""),0)))"),"")</f>
        <v/>
      </c>
      <c r="AA528" s="437" t="str">
        <f>IFERROR(__xludf.DUMMYFUNCTION("IF(NOT('portfólio'!$AV$7),"""",IF($T528="""","""",IFERROR(query({AtivosDados},""select sum(""&amp;AA$3&amp;"") where Col1='""&amp;$T528&amp;""' label sum(""&amp;AA$3&amp;"") ''""),0)))"),"")</f>
        <v/>
      </c>
      <c r="AB528" s="437" t="str">
        <f>IFERROR(__xludf.DUMMYFUNCTION("IF(NOT('portfólio'!$AV$7),"""",IF($T528="""","""",IFERROR(query({AtivosDados},""select sum(""&amp;AB$3&amp;"") where Col1='""&amp;$T528&amp;""' label sum(""&amp;AB$3&amp;"") ''""),0)))"),"")</f>
        <v/>
      </c>
      <c r="AC528" s="437" t="str">
        <f>IFERROR(__xludf.DUMMYFUNCTION("IF(NOT('portfólio'!$AV$7),"""",IF($T528="""","""",IFERROR(query({AtivosDados},""select sum(""&amp;AC$3&amp;"") where Col1='""&amp;$T528&amp;""' label sum(""&amp;AC$3&amp;"") ''""),0)))"),"")</f>
        <v/>
      </c>
      <c r="AD528" s="437" t="str">
        <f>IFERROR(__xludf.DUMMYFUNCTION("IF(NOT('portfólio'!$AV$7),"""",IF($T528="""","""",IFERROR(query({AtivosDados},""select sum(""&amp;AD$3&amp;"") where Col1='""&amp;$T528&amp;""' label sum(""&amp;AD$3&amp;"") ''""),0)))"),"")</f>
        <v/>
      </c>
      <c r="AE528" s="437"/>
      <c r="AF528" s="1327"/>
      <c r="AG528" s="437"/>
      <c r="AH528" s="437"/>
      <c r="AI528" s="437"/>
      <c r="AJ528" s="437"/>
      <c r="AK528" s="437"/>
      <c r="AL528" s="437"/>
      <c r="AM528" s="437"/>
      <c r="AN528" s="437"/>
      <c r="AO528" s="437"/>
      <c r="AP528" s="437"/>
      <c r="AQ528" s="1327"/>
      <c r="AR528" s="437"/>
      <c r="AS528" s="437"/>
      <c r="AT528" s="437"/>
      <c r="AU528" s="437"/>
      <c r="AV528" s="437"/>
      <c r="AW528" s="437"/>
      <c r="AX528" s="437"/>
      <c r="AY528" s="437"/>
      <c r="AZ528" s="437"/>
      <c r="BA528" s="437"/>
      <c r="BB528" s="1327"/>
      <c r="BC528" s="437"/>
      <c r="BD528" s="437"/>
      <c r="BE528" s="437"/>
      <c r="BF528" s="437"/>
      <c r="BG528" s="437"/>
      <c r="BH528" s="437"/>
      <c r="BI528" s="437"/>
      <c r="BJ528" s="437"/>
      <c r="BK528" s="437"/>
      <c r="BL528" s="437"/>
      <c r="BM528" s="1327"/>
      <c r="BN528" s="1327"/>
      <c r="BO528" s="1327"/>
      <c r="BP528" s="1327"/>
      <c r="BQ528" s="1327"/>
      <c r="BR528" s="1327"/>
      <c r="BS528" s="1327"/>
      <c r="BT528" s="1327"/>
      <c r="BU528" s="1327"/>
      <c r="BV528" s="1327"/>
      <c r="BW528" s="1327"/>
      <c r="BX528" s="1327"/>
      <c r="BY528" s="1327"/>
      <c r="BZ528" s="1327"/>
      <c r="CA528" s="1327"/>
      <c r="CB528" s="1327"/>
      <c r="CC528" s="1327"/>
      <c r="CD528" s="1327"/>
      <c r="CE528" s="1327"/>
      <c r="CF528" s="1327"/>
      <c r="CG528" s="1327"/>
      <c r="CH528" s="1327"/>
      <c r="CI528" s="1327"/>
      <c r="CJ528" s="1327"/>
      <c r="CK528" s="1327"/>
      <c r="CL528" s="1327"/>
      <c r="CM528" s="1327"/>
      <c r="CN528" s="1327"/>
      <c r="CO528" s="1327"/>
      <c r="CP528" s="1327"/>
      <c r="CQ528" s="1327"/>
      <c r="CR528" s="1327"/>
      <c r="CS528" s="1327"/>
      <c r="CT528" s="1317"/>
      <c r="CU528" s="1317"/>
      <c r="CV528" s="1317"/>
      <c r="CW528" s="1317"/>
      <c r="CX528" s="1317"/>
      <c r="CY528" s="1317"/>
      <c r="CZ528" s="1317"/>
      <c r="DA528" s="1317"/>
      <c r="DB528" s="1317"/>
      <c r="DC528" s="1317"/>
      <c r="DD528" s="1317"/>
      <c r="DE528" s="1317"/>
      <c r="DF528" s="1317"/>
      <c r="DG528" s="1317"/>
    </row>
    <row r="529" ht="18.75" customHeight="1">
      <c r="G529" s="1344"/>
      <c r="H529" s="1345">
        <f t="shared" si="4"/>
        <v>0</v>
      </c>
      <c r="I529" s="1381"/>
      <c r="J529" s="1381"/>
      <c r="K529" s="1381"/>
      <c r="L529" s="1381"/>
      <c r="M529" s="1381"/>
      <c r="N529" s="1381"/>
      <c r="O529" s="1381"/>
      <c r="P529" s="1381"/>
      <c r="Q529" s="1381"/>
      <c r="R529" s="1381"/>
      <c r="T529" s="1349"/>
      <c r="U529" s="1349" t="s">
        <v>123</v>
      </c>
      <c r="V529" s="1349" t="s">
        <v>123</v>
      </c>
      <c r="W529" s="1349"/>
      <c r="X529" s="1349"/>
      <c r="Y529" s="1308"/>
      <c r="Z529" s="437" t="str">
        <f>IFERROR(__xludf.DUMMYFUNCTION("IF(NOT('portfólio'!$AV$7),"""",IF($T529="""","""",IFERROR(query({AtivosDados},""select sum(""&amp;Z$3&amp;"") where Col1='""&amp;$T529&amp;""' label sum(""&amp;Z$3&amp;"") ''""),0)))"),"")</f>
        <v/>
      </c>
      <c r="AA529" s="437" t="str">
        <f>IFERROR(__xludf.DUMMYFUNCTION("IF(NOT('portfólio'!$AV$7),"""",IF($T529="""","""",IFERROR(query({AtivosDados},""select sum(""&amp;AA$3&amp;"") where Col1='""&amp;$T529&amp;""' label sum(""&amp;AA$3&amp;"") ''""),0)))"),"")</f>
        <v/>
      </c>
      <c r="AB529" s="437" t="str">
        <f>IFERROR(__xludf.DUMMYFUNCTION("IF(NOT('portfólio'!$AV$7),"""",IF($T529="""","""",IFERROR(query({AtivosDados},""select sum(""&amp;AB$3&amp;"") where Col1='""&amp;$T529&amp;""' label sum(""&amp;AB$3&amp;"") ''""),0)))"),"")</f>
        <v/>
      </c>
      <c r="AC529" s="437" t="str">
        <f>IFERROR(__xludf.DUMMYFUNCTION("IF(NOT('portfólio'!$AV$7),"""",IF($T529="""","""",IFERROR(query({AtivosDados},""select sum(""&amp;AC$3&amp;"") where Col1='""&amp;$T529&amp;""' label sum(""&amp;AC$3&amp;"") ''""),0)))"),"")</f>
        <v/>
      </c>
      <c r="AD529" s="437" t="str">
        <f>IFERROR(__xludf.DUMMYFUNCTION("IF(NOT('portfólio'!$AV$7),"""",IF($T529="""","""",IFERROR(query({AtivosDados},""select sum(""&amp;AD$3&amp;"") where Col1='""&amp;$T529&amp;""' label sum(""&amp;AD$3&amp;"") ''""),0)))"),"")</f>
        <v/>
      </c>
      <c r="AE529" s="437"/>
      <c r="AF529" s="1327"/>
      <c r="AG529" s="437"/>
      <c r="AH529" s="437"/>
      <c r="AI529" s="437"/>
      <c r="AJ529" s="437"/>
      <c r="AK529" s="437"/>
      <c r="AL529" s="437"/>
      <c r="AM529" s="437"/>
      <c r="AN529" s="437"/>
      <c r="AO529" s="437"/>
      <c r="AP529" s="437"/>
      <c r="AQ529" s="1327"/>
      <c r="AR529" s="437"/>
      <c r="AS529" s="437"/>
      <c r="AT529" s="437"/>
      <c r="AU529" s="437"/>
      <c r="AV529" s="437"/>
      <c r="AW529" s="437"/>
      <c r="AX529" s="437"/>
      <c r="AY529" s="437"/>
      <c r="AZ529" s="437"/>
      <c r="BA529" s="437"/>
      <c r="BB529" s="1327"/>
      <c r="BC529" s="437"/>
      <c r="BD529" s="437"/>
      <c r="BE529" s="437"/>
      <c r="BF529" s="437"/>
      <c r="BG529" s="437"/>
      <c r="BH529" s="437"/>
      <c r="BI529" s="437"/>
      <c r="BJ529" s="437"/>
      <c r="BK529" s="437"/>
      <c r="BL529" s="437"/>
      <c r="BM529" s="1327"/>
      <c r="BN529" s="1327"/>
      <c r="BO529" s="1327"/>
      <c r="BP529" s="1327"/>
      <c r="BQ529" s="1327"/>
      <c r="BR529" s="1327"/>
      <c r="BS529" s="1327"/>
      <c r="BT529" s="1327"/>
      <c r="BU529" s="1327"/>
      <c r="BV529" s="1327"/>
      <c r="BW529" s="1327"/>
      <c r="BX529" s="1327"/>
      <c r="BY529" s="1327"/>
      <c r="BZ529" s="1327"/>
      <c r="CA529" s="1327"/>
      <c r="CB529" s="1327"/>
      <c r="CC529" s="1327"/>
      <c r="CD529" s="1327"/>
      <c r="CE529" s="1327"/>
      <c r="CF529" s="1327"/>
      <c r="CG529" s="1327"/>
      <c r="CH529" s="1327"/>
      <c r="CI529" s="1327"/>
      <c r="CJ529" s="1327"/>
      <c r="CK529" s="1327"/>
      <c r="CL529" s="1327"/>
      <c r="CM529" s="1327"/>
      <c r="CN529" s="1327"/>
      <c r="CO529" s="1327"/>
      <c r="CP529" s="1327"/>
      <c r="CQ529" s="1327"/>
      <c r="CR529" s="1327"/>
      <c r="CS529" s="1327"/>
      <c r="CT529" s="1317"/>
      <c r="CU529" s="1317"/>
      <c r="CV529" s="1317"/>
      <c r="CW529" s="1317"/>
      <c r="CX529" s="1317"/>
      <c r="CY529" s="1317"/>
      <c r="CZ529" s="1317"/>
      <c r="DA529" s="1317"/>
      <c r="DB529" s="1317"/>
      <c r="DC529" s="1317"/>
      <c r="DD529" s="1317"/>
      <c r="DE529" s="1317"/>
      <c r="DF529" s="1317"/>
      <c r="DG529" s="1317"/>
    </row>
    <row r="530" ht="18.75" customHeight="1">
      <c r="G530" s="1344"/>
      <c r="H530" s="1345">
        <f t="shared" si="4"/>
        <v>0</v>
      </c>
      <c r="I530" s="1381"/>
      <c r="J530" s="1381"/>
      <c r="K530" s="1381"/>
      <c r="L530" s="1381"/>
      <c r="M530" s="1381"/>
      <c r="N530" s="1381"/>
      <c r="O530" s="1381"/>
      <c r="P530" s="1381"/>
      <c r="Q530" s="1381"/>
      <c r="R530" s="1381"/>
      <c r="T530" s="1349"/>
      <c r="U530" s="1349" t="s">
        <v>123</v>
      </c>
      <c r="V530" s="1349" t="s">
        <v>123</v>
      </c>
      <c r="W530" s="1349"/>
      <c r="X530" s="1349"/>
      <c r="Y530" s="1308"/>
      <c r="Z530" s="437" t="str">
        <f>IFERROR(__xludf.DUMMYFUNCTION("IF(NOT('portfólio'!$AV$7),"""",IF($T530="""","""",IFERROR(query({AtivosDados},""select sum(""&amp;Z$3&amp;"") where Col1='""&amp;$T530&amp;""' label sum(""&amp;Z$3&amp;"") ''""),0)))"),"")</f>
        <v/>
      </c>
      <c r="AA530" s="437" t="str">
        <f>IFERROR(__xludf.DUMMYFUNCTION("IF(NOT('portfólio'!$AV$7),"""",IF($T530="""","""",IFERROR(query({AtivosDados},""select sum(""&amp;AA$3&amp;"") where Col1='""&amp;$T530&amp;""' label sum(""&amp;AA$3&amp;"") ''""),0)))"),"")</f>
        <v/>
      </c>
      <c r="AB530" s="437" t="str">
        <f>IFERROR(__xludf.DUMMYFUNCTION("IF(NOT('portfólio'!$AV$7),"""",IF($T530="""","""",IFERROR(query({AtivosDados},""select sum(""&amp;AB$3&amp;"") where Col1='""&amp;$T530&amp;""' label sum(""&amp;AB$3&amp;"") ''""),0)))"),"")</f>
        <v/>
      </c>
      <c r="AC530" s="437" t="str">
        <f>IFERROR(__xludf.DUMMYFUNCTION("IF(NOT('portfólio'!$AV$7),"""",IF($T530="""","""",IFERROR(query({AtivosDados},""select sum(""&amp;AC$3&amp;"") where Col1='""&amp;$T530&amp;""' label sum(""&amp;AC$3&amp;"") ''""),0)))"),"")</f>
        <v/>
      </c>
      <c r="AD530" s="437" t="str">
        <f>IFERROR(__xludf.DUMMYFUNCTION("IF(NOT('portfólio'!$AV$7),"""",IF($T530="""","""",IFERROR(query({AtivosDados},""select sum(""&amp;AD$3&amp;"") where Col1='""&amp;$T530&amp;""' label sum(""&amp;AD$3&amp;"") ''""),0)))"),"")</f>
        <v/>
      </c>
      <c r="AE530" s="437"/>
      <c r="AF530" s="1327"/>
      <c r="AG530" s="437"/>
      <c r="AH530" s="437"/>
      <c r="AI530" s="437"/>
      <c r="AJ530" s="437"/>
      <c r="AK530" s="437"/>
      <c r="AL530" s="437"/>
      <c r="AM530" s="437"/>
      <c r="AN530" s="437"/>
      <c r="AO530" s="437"/>
      <c r="AP530" s="437"/>
      <c r="AQ530" s="1327"/>
      <c r="AR530" s="437"/>
      <c r="AS530" s="437"/>
      <c r="AT530" s="437"/>
      <c r="AU530" s="437"/>
      <c r="AV530" s="437"/>
      <c r="AW530" s="437"/>
      <c r="AX530" s="437"/>
      <c r="AY530" s="437"/>
      <c r="AZ530" s="437"/>
      <c r="BA530" s="437"/>
      <c r="BB530" s="1327"/>
      <c r="BC530" s="437"/>
      <c r="BD530" s="437"/>
      <c r="BE530" s="437"/>
      <c r="BF530" s="437"/>
      <c r="BG530" s="437"/>
      <c r="BH530" s="437"/>
      <c r="BI530" s="437"/>
      <c r="BJ530" s="437"/>
      <c r="BK530" s="437"/>
      <c r="BL530" s="437"/>
      <c r="BM530" s="1327"/>
      <c r="BN530" s="1327"/>
      <c r="BO530" s="1327"/>
      <c r="BP530" s="1327"/>
      <c r="BQ530" s="1327"/>
      <c r="BR530" s="1327"/>
      <c r="BS530" s="1327"/>
      <c r="BT530" s="1327"/>
      <c r="BU530" s="1327"/>
      <c r="BV530" s="1327"/>
      <c r="BW530" s="1327"/>
      <c r="BX530" s="1327"/>
      <c r="BY530" s="1327"/>
      <c r="BZ530" s="1327"/>
      <c r="CA530" s="1327"/>
      <c r="CB530" s="1327"/>
      <c r="CC530" s="1327"/>
      <c r="CD530" s="1327"/>
      <c r="CE530" s="1327"/>
      <c r="CF530" s="1327"/>
      <c r="CG530" s="1327"/>
      <c r="CH530" s="1327"/>
      <c r="CI530" s="1327"/>
      <c r="CJ530" s="1327"/>
      <c r="CK530" s="1327"/>
      <c r="CL530" s="1327"/>
      <c r="CM530" s="1327"/>
      <c r="CN530" s="1327"/>
      <c r="CO530" s="1327"/>
      <c r="CP530" s="1327"/>
      <c r="CQ530" s="1327"/>
      <c r="CR530" s="1327"/>
      <c r="CS530" s="1327"/>
      <c r="CT530" s="1317"/>
      <c r="CU530" s="1317"/>
      <c r="CV530" s="1317"/>
      <c r="CW530" s="1317"/>
      <c r="CX530" s="1317"/>
      <c r="CY530" s="1317"/>
      <c r="CZ530" s="1317"/>
      <c r="DA530" s="1317"/>
      <c r="DB530" s="1317"/>
      <c r="DC530" s="1317"/>
      <c r="DD530" s="1317"/>
      <c r="DE530" s="1317"/>
      <c r="DF530" s="1317"/>
      <c r="DG530" s="1317"/>
    </row>
    <row r="531" ht="18.75" customHeight="1">
      <c r="G531" s="1344"/>
      <c r="H531" s="1345">
        <f t="shared" si="4"/>
        <v>0</v>
      </c>
      <c r="I531" s="1381"/>
      <c r="J531" s="1381"/>
      <c r="K531" s="1381"/>
      <c r="L531" s="1381"/>
      <c r="M531" s="1381"/>
      <c r="N531" s="1381"/>
      <c r="O531" s="1381"/>
      <c r="P531" s="1381"/>
      <c r="Q531" s="1381"/>
      <c r="R531" s="1381"/>
      <c r="T531" s="1349"/>
      <c r="U531" s="1349" t="s">
        <v>123</v>
      </c>
      <c r="V531" s="1349" t="s">
        <v>123</v>
      </c>
      <c r="W531" s="1349"/>
      <c r="X531" s="1349"/>
      <c r="Y531" s="1308"/>
      <c r="Z531" s="437" t="str">
        <f>IFERROR(__xludf.DUMMYFUNCTION("IF(NOT('portfólio'!$AV$7),"""",IF($T531="""","""",IFERROR(query({AtivosDados},""select sum(""&amp;Z$3&amp;"") where Col1='""&amp;$T531&amp;""' label sum(""&amp;Z$3&amp;"") ''""),0)))"),"")</f>
        <v/>
      </c>
      <c r="AA531" s="437" t="str">
        <f>IFERROR(__xludf.DUMMYFUNCTION("IF(NOT('portfólio'!$AV$7),"""",IF($T531="""","""",IFERROR(query({AtivosDados},""select sum(""&amp;AA$3&amp;"") where Col1='""&amp;$T531&amp;""' label sum(""&amp;AA$3&amp;"") ''""),0)))"),"")</f>
        <v/>
      </c>
      <c r="AB531" s="437" t="str">
        <f>IFERROR(__xludf.DUMMYFUNCTION("IF(NOT('portfólio'!$AV$7),"""",IF($T531="""","""",IFERROR(query({AtivosDados},""select sum(""&amp;AB$3&amp;"") where Col1='""&amp;$T531&amp;""' label sum(""&amp;AB$3&amp;"") ''""),0)))"),"")</f>
        <v/>
      </c>
      <c r="AC531" s="437" t="str">
        <f>IFERROR(__xludf.DUMMYFUNCTION("IF(NOT('portfólio'!$AV$7),"""",IF($T531="""","""",IFERROR(query({AtivosDados},""select sum(""&amp;AC$3&amp;"") where Col1='""&amp;$T531&amp;""' label sum(""&amp;AC$3&amp;"") ''""),0)))"),"")</f>
        <v/>
      </c>
      <c r="AD531" s="437" t="str">
        <f>IFERROR(__xludf.DUMMYFUNCTION("IF(NOT('portfólio'!$AV$7),"""",IF($T531="""","""",IFERROR(query({AtivosDados},""select sum(""&amp;AD$3&amp;"") where Col1='""&amp;$T531&amp;""' label sum(""&amp;AD$3&amp;"") ''""),0)))"),"")</f>
        <v/>
      </c>
      <c r="AE531" s="437"/>
      <c r="AF531" s="1327"/>
      <c r="AG531" s="437"/>
      <c r="AH531" s="437"/>
      <c r="AI531" s="437"/>
      <c r="AJ531" s="437"/>
      <c r="AK531" s="437"/>
      <c r="AL531" s="437"/>
      <c r="AM531" s="437"/>
      <c r="AN531" s="437"/>
      <c r="AO531" s="437"/>
      <c r="AP531" s="437"/>
      <c r="AQ531" s="1327"/>
      <c r="AR531" s="437"/>
      <c r="AS531" s="437"/>
      <c r="AT531" s="437"/>
      <c r="AU531" s="437"/>
      <c r="AV531" s="437"/>
      <c r="AW531" s="437"/>
      <c r="AX531" s="437"/>
      <c r="AY531" s="437"/>
      <c r="AZ531" s="437"/>
      <c r="BA531" s="437"/>
      <c r="BB531" s="1327"/>
      <c r="BC531" s="437"/>
      <c r="BD531" s="437"/>
      <c r="BE531" s="437"/>
      <c r="BF531" s="437"/>
      <c r="BG531" s="437"/>
      <c r="BH531" s="437"/>
      <c r="BI531" s="437"/>
      <c r="BJ531" s="437"/>
      <c r="BK531" s="437"/>
      <c r="BL531" s="437"/>
      <c r="BM531" s="1327"/>
      <c r="BN531" s="1327"/>
      <c r="BO531" s="1327"/>
      <c r="BP531" s="1327"/>
      <c r="BQ531" s="1327"/>
      <c r="BR531" s="1327"/>
      <c r="BS531" s="1327"/>
      <c r="BT531" s="1327"/>
      <c r="BU531" s="1327"/>
      <c r="BV531" s="1327"/>
      <c r="BW531" s="1327"/>
      <c r="BX531" s="1327"/>
      <c r="BY531" s="1327"/>
      <c r="BZ531" s="1327"/>
      <c r="CA531" s="1327"/>
      <c r="CB531" s="1327"/>
      <c r="CC531" s="1327"/>
      <c r="CD531" s="1327"/>
      <c r="CE531" s="1327"/>
      <c r="CF531" s="1327"/>
      <c r="CG531" s="1327"/>
      <c r="CH531" s="1327"/>
      <c r="CI531" s="1327"/>
      <c r="CJ531" s="1327"/>
      <c r="CK531" s="1327"/>
      <c r="CL531" s="1327"/>
      <c r="CM531" s="1327"/>
      <c r="CN531" s="1327"/>
      <c r="CO531" s="1327"/>
      <c r="CP531" s="1327"/>
      <c r="CQ531" s="1327"/>
      <c r="CR531" s="1327"/>
      <c r="CS531" s="1327"/>
      <c r="CT531" s="1317"/>
      <c r="CU531" s="1317"/>
      <c r="CV531" s="1317"/>
      <c r="CW531" s="1317"/>
      <c r="CX531" s="1317"/>
      <c r="CY531" s="1317"/>
      <c r="CZ531" s="1317"/>
      <c r="DA531" s="1317"/>
      <c r="DB531" s="1317"/>
      <c r="DC531" s="1317"/>
      <c r="DD531" s="1317"/>
      <c r="DE531" s="1317"/>
      <c r="DF531" s="1317"/>
      <c r="DG531" s="1317"/>
    </row>
    <row r="532" ht="18.75" customHeight="1">
      <c r="G532" s="1344"/>
      <c r="H532" s="1345">
        <f t="shared" si="4"/>
        <v>0</v>
      </c>
      <c r="I532" s="1381"/>
      <c r="J532" s="1381"/>
      <c r="K532" s="1381"/>
      <c r="L532" s="1381"/>
      <c r="M532" s="1381"/>
      <c r="N532" s="1381"/>
      <c r="O532" s="1381"/>
      <c r="P532" s="1381"/>
      <c r="Q532" s="1381"/>
      <c r="R532" s="1381"/>
      <c r="T532" s="1349"/>
      <c r="U532" s="1349" t="s">
        <v>123</v>
      </c>
      <c r="V532" s="1349" t="s">
        <v>123</v>
      </c>
      <c r="W532" s="1349"/>
      <c r="X532" s="1349"/>
      <c r="Y532" s="1308"/>
      <c r="Z532" s="437" t="str">
        <f>IFERROR(__xludf.DUMMYFUNCTION("IF(NOT('portfólio'!$AV$7),"""",IF($T532="""","""",IFERROR(query({AtivosDados},""select sum(""&amp;Z$3&amp;"") where Col1='""&amp;$T532&amp;""' label sum(""&amp;Z$3&amp;"") ''""),0)))"),"")</f>
        <v/>
      </c>
      <c r="AA532" s="437" t="str">
        <f>IFERROR(__xludf.DUMMYFUNCTION("IF(NOT('portfólio'!$AV$7),"""",IF($T532="""","""",IFERROR(query({AtivosDados},""select sum(""&amp;AA$3&amp;"") where Col1='""&amp;$T532&amp;""' label sum(""&amp;AA$3&amp;"") ''""),0)))"),"")</f>
        <v/>
      </c>
      <c r="AB532" s="437" t="str">
        <f>IFERROR(__xludf.DUMMYFUNCTION("IF(NOT('portfólio'!$AV$7),"""",IF($T532="""","""",IFERROR(query({AtivosDados},""select sum(""&amp;AB$3&amp;"") where Col1='""&amp;$T532&amp;""' label sum(""&amp;AB$3&amp;"") ''""),0)))"),"")</f>
        <v/>
      </c>
      <c r="AC532" s="437" t="str">
        <f>IFERROR(__xludf.DUMMYFUNCTION("IF(NOT('portfólio'!$AV$7),"""",IF($T532="""","""",IFERROR(query({AtivosDados},""select sum(""&amp;AC$3&amp;"") where Col1='""&amp;$T532&amp;""' label sum(""&amp;AC$3&amp;"") ''""),0)))"),"")</f>
        <v/>
      </c>
      <c r="AD532" s="437" t="str">
        <f>IFERROR(__xludf.DUMMYFUNCTION("IF(NOT('portfólio'!$AV$7),"""",IF($T532="""","""",IFERROR(query({AtivosDados},""select sum(""&amp;AD$3&amp;"") where Col1='""&amp;$T532&amp;""' label sum(""&amp;AD$3&amp;"") ''""),0)))"),"")</f>
        <v/>
      </c>
      <c r="AE532" s="437"/>
      <c r="AF532" s="1327"/>
      <c r="AG532" s="437"/>
      <c r="AH532" s="437"/>
      <c r="AI532" s="437"/>
      <c r="AJ532" s="437"/>
      <c r="AK532" s="437"/>
      <c r="AL532" s="437"/>
      <c r="AM532" s="437"/>
      <c r="AN532" s="437"/>
      <c r="AO532" s="437"/>
      <c r="AP532" s="437"/>
      <c r="AQ532" s="1327"/>
      <c r="AR532" s="437"/>
      <c r="AS532" s="437"/>
      <c r="AT532" s="437"/>
      <c r="AU532" s="437"/>
      <c r="AV532" s="437"/>
      <c r="AW532" s="437"/>
      <c r="AX532" s="437"/>
      <c r="AY532" s="437"/>
      <c r="AZ532" s="437"/>
      <c r="BA532" s="437"/>
      <c r="BB532" s="1327"/>
      <c r="BC532" s="437"/>
      <c r="BD532" s="437"/>
      <c r="BE532" s="437"/>
      <c r="BF532" s="437"/>
      <c r="BG532" s="437"/>
      <c r="BH532" s="437"/>
      <c r="BI532" s="437"/>
      <c r="BJ532" s="437"/>
      <c r="BK532" s="437"/>
      <c r="BL532" s="437"/>
      <c r="BM532" s="1327"/>
      <c r="BN532" s="1327"/>
      <c r="BO532" s="1327"/>
      <c r="BP532" s="1327"/>
      <c r="BQ532" s="1327"/>
      <c r="BR532" s="1327"/>
      <c r="BS532" s="1327"/>
      <c r="BT532" s="1327"/>
      <c r="BU532" s="1327"/>
      <c r="BV532" s="1327"/>
      <c r="BW532" s="1327"/>
      <c r="BX532" s="1327"/>
      <c r="BY532" s="1327"/>
      <c r="BZ532" s="1327"/>
      <c r="CA532" s="1327"/>
      <c r="CB532" s="1327"/>
      <c r="CC532" s="1327"/>
      <c r="CD532" s="1327"/>
      <c r="CE532" s="1327"/>
      <c r="CF532" s="1327"/>
      <c r="CG532" s="1327"/>
      <c r="CH532" s="1327"/>
      <c r="CI532" s="1327"/>
      <c r="CJ532" s="1327"/>
      <c r="CK532" s="1327"/>
      <c r="CL532" s="1327"/>
      <c r="CM532" s="1327"/>
      <c r="CN532" s="1327"/>
      <c r="CO532" s="1327"/>
      <c r="CP532" s="1327"/>
      <c r="CQ532" s="1327"/>
      <c r="CR532" s="1327"/>
      <c r="CS532" s="1327"/>
      <c r="CT532" s="1317"/>
      <c r="CU532" s="1317"/>
      <c r="CV532" s="1317"/>
      <c r="CW532" s="1317"/>
      <c r="CX532" s="1317"/>
      <c r="CY532" s="1317"/>
      <c r="CZ532" s="1317"/>
      <c r="DA532" s="1317"/>
      <c r="DB532" s="1317"/>
      <c r="DC532" s="1317"/>
      <c r="DD532" s="1317"/>
      <c r="DE532" s="1317"/>
      <c r="DF532" s="1317"/>
      <c r="DG532" s="1317"/>
    </row>
    <row r="533" ht="18.75" customHeight="1">
      <c r="G533" s="1344"/>
      <c r="H533" s="1345">
        <f t="shared" si="4"/>
        <v>0</v>
      </c>
      <c r="I533" s="1381"/>
      <c r="J533" s="1381"/>
      <c r="K533" s="1381"/>
      <c r="L533" s="1381"/>
      <c r="M533" s="1381"/>
      <c r="N533" s="1381"/>
      <c r="O533" s="1381"/>
      <c r="P533" s="1381"/>
      <c r="Q533" s="1381"/>
      <c r="R533" s="1381"/>
      <c r="T533" s="1349"/>
      <c r="U533" s="1349" t="s">
        <v>123</v>
      </c>
      <c r="V533" s="1349" t="s">
        <v>123</v>
      </c>
      <c r="W533" s="1349"/>
      <c r="X533" s="1349"/>
      <c r="Y533" s="1308"/>
      <c r="Z533" s="437" t="str">
        <f>IFERROR(__xludf.DUMMYFUNCTION("IF(NOT('portfólio'!$AV$7),"""",IF($T533="""","""",IFERROR(query({AtivosDados},""select sum(""&amp;Z$3&amp;"") where Col1='""&amp;$T533&amp;""' label sum(""&amp;Z$3&amp;"") ''""),0)))"),"")</f>
        <v/>
      </c>
      <c r="AA533" s="437" t="str">
        <f>IFERROR(__xludf.DUMMYFUNCTION("IF(NOT('portfólio'!$AV$7),"""",IF($T533="""","""",IFERROR(query({AtivosDados},""select sum(""&amp;AA$3&amp;"") where Col1='""&amp;$T533&amp;""' label sum(""&amp;AA$3&amp;"") ''""),0)))"),"")</f>
        <v/>
      </c>
      <c r="AB533" s="437" t="str">
        <f>IFERROR(__xludf.DUMMYFUNCTION("IF(NOT('portfólio'!$AV$7),"""",IF($T533="""","""",IFERROR(query({AtivosDados},""select sum(""&amp;AB$3&amp;"") where Col1='""&amp;$T533&amp;""' label sum(""&amp;AB$3&amp;"") ''""),0)))"),"")</f>
        <v/>
      </c>
      <c r="AC533" s="437" t="str">
        <f>IFERROR(__xludf.DUMMYFUNCTION("IF(NOT('portfólio'!$AV$7),"""",IF($T533="""","""",IFERROR(query({AtivosDados},""select sum(""&amp;AC$3&amp;"") where Col1='""&amp;$T533&amp;""' label sum(""&amp;AC$3&amp;"") ''""),0)))"),"")</f>
        <v/>
      </c>
      <c r="AD533" s="437" t="str">
        <f>IFERROR(__xludf.DUMMYFUNCTION("IF(NOT('portfólio'!$AV$7),"""",IF($T533="""","""",IFERROR(query({AtivosDados},""select sum(""&amp;AD$3&amp;"") where Col1='""&amp;$T533&amp;""' label sum(""&amp;AD$3&amp;"") ''""),0)))"),"")</f>
        <v/>
      </c>
      <c r="AE533" s="437"/>
      <c r="AF533" s="1327"/>
      <c r="AG533" s="437"/>
      <c r="AH533" s="437"/>
      <c r="AI533" s="437"/>
      <c r="AJ533" s="437"/>
      <c r="AK533" s="437"/>
      <c r="AL533" s="437"/>
      <c r="AM533" s="437"/>
      <c r="AN533" s="437"/>
      <c r="AO533" s="437"/>
      <c r="AP533" s="437"/>
      <c r="AQ533" s="1327"/>
      <c r="AR533" s="437"/>
      <c r="AS533" s="437"/>
      <c r="AT533" s="437"/>
      <c r="AU533" s="437"/>
      <c r="AV533" s="437"/>
      <c r="AW533" s="437"/>
      <c r="AX533" s="437"/>
      <c r="AY533" s="437"/>
      <c r="AZ533" s="437"/>
      <c r="BA533" s="437"/>
      <c r="BB533" s="1327"/>
      <c r="BC533" s="437"/>
      <c r="BD533" s="437"/>
      <c r="BE533" s="437"/>
      <c r="BF533" s="437"/>
      <c r="BG533" s="437"/>
      <c r="BH533" s="437"/>
      <c r="BI533" s="437"/>
      <c r="BJ533" s="437"/>
      <c r="BK533" s="437"/>
      <c r="BL533" s="437"/>
      <c r="BM533" s="1327"/>
      <c r="BN533" s="1327"/>
      <c r="BO533" s="1327"/>
      <c r="BP533" s="1327"/>
      <c r="BQ533" s="1327"/>
      <c r="BR533" s="1327"/>
      <c r="BS533" s="1327"/>
      <c r="BT533" s="1327"/>
      <c r="BU533" s="1327"/>
      <c r="BV533" s="1327"/>
      <c r="BW533" s="1327"/>
      <c r="BX533" s="1327"/>
      <c r="BY533" s="1327"/>
      <c r="BZ533" s="1327"/>
      <c r="CA533" s="1327"/>
      <c r="CB533" s="1327"/>
      <c r="CC533" s="1327"/>
      <c r="CD533" s="1327"/>
      <c r="CE533" s="1327"/>
      <c r="CF533" s="1327"/>
      <c r="CG533" s="1327"/>
      <c r="CH533" s="1327"/>
      <c r="CI533" s="1327"/>
      <c r="CJ533" s="1327"/>
      <c r="CK533" s="1327"/>
      <c r="CL533" s="1327"/>
      <c r="CM533" s="1327"/>
      <c r="CN533" s="1327"/>
      <c r="CO533" s="1327"/>
      <c r="CP533" s="1327"/>
      <c r="CQ533" s="1327"/>
      <c r="CR533" s="1327"/>
      <c r="CS533" s="1327"/>
      <c r="CT533" s="1317"/>
      <c r="CU533" s="1317"/>
      <c r="CV533" s="1317"/>
      <c r="CW533" s="1317"/>
      <c r="CX533" s="1317"/>
      <c r="CY533" s="1317"/>
      <c r="CZ533" s="1317"/>
      <c r="DA533" s="1317"/>
      <c r="DB533" s="1317"/>
      <c r="DC533" s="1317"/>
      <c r="DD533" s="1317"/>
      <c r="DE533" s="1317"/>
      <c r="DF533" s="1317"/>
      <c r="DG533" s="1317"/>
    </row>
    <row r="534" ht="18.75" customHeight="1">
      <c r="G534" s="1344"/>
      <c r="H534" s="1345">
        <f t="shared" si="4"/>
        <v>0</v>
      </c>
      <c r="I534" s="1381"/>
      <c r="J534" s="1381"/>
      <c r="K534" s="1381"/>
      <c r="L534" s="1381"/>
      <c r="M534" s="1381"/>
      <c r="N534" s="1381"/>
      <c r="O534" s="1381"/>
      <c r="P534" s="1381"/>
      <c r="Q534" s="1381"/>
      <c r="R534" s="1381"/>
      <c r="T534" s="1349"/>
      <c r="U534" s="1349" t="s">
        <v>123</v>
      </c>
      <c r="V534" s="1349" t="s">
        <v>123</v>
      </c>
      <c r="W534" s="1349"/>
      <c r="X534" s="1349"/>
      <c r="Y534" s="1308"/>
      <c r="Z534" s="437" t="str">
        <f>IFERROR(__xludf.DUMMYFUNCTION("IF(NOT('portfólio'!$AV$7),"""",IF($T534="""","""",IFERROR(query({AtivosDados},""select sum(""&amp;Z$3&amp;"") where Col1='""&amp;$T534&amp;""' label sum(""&amp;Z$3&amp;"") ''""),0)))"),"")</f>
        <v/>
      </c>
      <c r="AA534" s="437" t="str">
        <f>IFERROR(__xludf.DUMMYFUNCTION("IF(NOT('portfólio'!$AV$7),"""",IF($T534="""","""",IFERROR(query({AtivosDados},""select sum(""&amp;AA$3&amp;"") where Col1='""&amp;$T534&amp;""' label sum(""&amp;AA$3&amp;"") ''""),0)))"),"")</f>
        <v/>
      </c>
      <c r="AB534" s="437" t="str">
        <f>IFERROR(__xludf.DUMMYFUNCTION("IF(NOT('portfólio'!$AV$7),"""",IF($T534="""","""",IFERROR(query({AtivosDados},""select sum(""&amp;AB$3&amp;"") where Col1='""&amp;$T534&amp;""' label sum(""&amp;AB$3&amp;"") ''""),0)))"),"")</f>
        <v/>
      </c>
      <c r="AC534" s="437" t="str">
        <f>IFERROR(__xludf.DUMMYFUNCTION("IF(NOT('portfólio'!$AV$7),"""",IF($T534="""","""",IFERROR(query({AtivosDados},""select sum(""&amp;AC$3&amp;"") where Col1='""&amp;$T534&amp;""' label sum(""&amp;AC$3&amp;"") ''""),0)))"),"")</f>
        <v/>
      </c>
      <c r="AD534" s="437" t="str">
        <f>IFERROR(__xludf.DUMMYFUNCTION("IF(NOT('portfólio'!$AV$7),"""",IF($T534="""","""",IFERROR(query({AtivosDados},""select sum(""&amp;AD$3&amp;"") where Col1='""&amp;$T534&amp;""' label sum(""&amp;AD$3&amp;"") ''""),0)))"),"")</f>
        <v/>
      </c>
      <c r="AE534" s="437"/>
      <c r="AF534" s="1327"/>
      <c r="AG534" s="437"/>
      <c r="AH534" s="437"/>
      <c r="AI534" s="437"/>
      <c r="AJ534" s="437"/>
      <c r="AK534" s="437"/>
      <c r="AL534" s="437"/>
      <c r="AM534" s="437"/>
      <c r="AN534" s="437"/>
      <c r="AO534" s="437"/>
      <c r="AP534" s="437"/>
      <c r="AQ534" s="1327"/>
      <c r="AR534" s="437"/>
      <c r="AS534" s="437"/>
      <c r="AT534" s="437"/>
      <c r="AU534" s="437"/>
      <c r="AV534" s="437"/>
      <c r="AW534" s="437"/>
      <c r="AX534" s="437"/>
      <c r="AY534" s="437"/>
      <c r="AZ534" s="437"/>
      <c r="BA534" s="437"/>
      <c r="BB534" s="1327"/>
      <c r="BC534" s="437"/>
      <c r="BD534" s="437"/>
      <c r="BE534" s="437"/>
      <c r="BF534" s="437"/>
      <c r="BG534" s="437"/>
      <c r="BH534" s="437"/>
      <c r="BI534" s="437"/>
      <c r="BJ534" s="437"/>
      <c r="BK534" s="437"/>
      <c r="BL534" s="437"/>
      <c r="BM534" s="1327"/>
      <c r="BN534" s="1327"/>
      <c r="BO534" s="1327"/>
      <c r="BP534" s="1327"/>
      <c r="BQ534" s="1327"/>
      <c r="BR534" s="1327"/>
      <c r="BS534" s="1327"/>
      <c r="BT534" s="1327"/>
      <c r="BU534" s="1327"/>
      <c r="BV534" s="1327"/>
      <c r="BW534" s="1327"/>
      <c r="BX534" s="1327"/>
      <c r="BY534" s="1327"/>
      <c r="BZ534" s="1327"/>
      <c r="CA534" s="1327"/>
      <c r="CB534" s="1327"/>
      <c r="CC534" s="1327"/>
      <c r="CD534" s="1327"/>
      <c r="CE534" s="1327"/>
      <c r="CF534" s="1327"/>
      <c r="CG534" s="1327"/>
      <c r="CH534" s="1327"/>
      <c r="CI534" s="1327"/>
      <c r="CJ534" s="1327"/>
      <c r="CK534" s="1327"/>
      <c r="CL534" s="1327"/>
      <c r="CM534" s="1327"/>
      <c r="CN534" s="1327"/>
      <c r="CO534" s="1327"/>
      <c r="CP534" s="1327"/>
      <c r="CQ534" s="1327"/>
      <c r="CR534" s="1327"/>
      <c r="CS534" s="1327"/>
      <c r="CT534" s="1317"/>
      <c r="CU534" s="1317"/>
      <c r="CV534" s="1317"/>
      <c r="CW534" s="1317"/>
      <c r="CX534" s="1317"/>
      <c r="CY534" s="1317"/>
      <c r="CZ534" s="1317"/>
      <c r="DA534" s="1317"/>
      <c r="DB534" s="1317"/>
      <c r="DC534" s="1317"/>
      <c r="DD534" s="1317"/>
      <c r="DE534" s="1317"/>
      <c r="DF534" s="1317"/>
      <c r="DG534" s="1317"/>
    </row>
    <row r="535" ht="18.75" customHeight="1">
      <c r="G535" s="1344"/>
      <c r="H535" s="1345">
        <f t="shared" si="4"/>
        <v>0</v>
      </c>
      <c r="I535" s="1381"/>
      <c r="J535" s="1381"/>
      <c r="K535" s="1381"/>
      <c r="L535" s="1381"/>
      <c r="M535" s="1381"/>
      <c r="N535" s="1381"/>
      <c r="O535" s="1381"/>
      <c r="P535" s="1381"/>
      <c r="Q535" s="1381"/>
      <c r="R535" s="1381"/>
      <c r="T535" s="1349"/>
      <c r="U535" s="1349" t="s">
        <v>123</v>
      </c>
      <c r="V535" s="1349" t="s">
        <v>123</v>
      </c>
      <c r="W535" s="1349"/>
      <c r="X535" s="1349"/>
      <c r="Y535" s="1308"/>
      <c r="Z535" s="437" t="str">
        <f>IFERROR(__xludf.DUMMYFUNCTION("IF(NOT('portfólio'!$AV$7),"""",IF($T535="""","""",IFERROR(query({AtivosDados},""select sum(""&amp;Z$3&amp;"") where Col1='""&amp;$T535&amp;""' label sum(""&amp;Z$3&amp;"") ''""),0)))"),"")</f>
        <v/>
      </c>
      <c r="AA535" s="437" t="str">
        <f>IFERROR(__xludf.DUMMYFUNCTION("IF(NOT('portfólio'!$AV$7),"""",IF($T535="""","""",IFERROR(query({AtivosDados},""select sum(""&amp;AA$3&amp;"") where Col1='""&amp;$T535&amp;""' label sum(""&amp;AA$3&amp;"") ''""),0)))"),"")</f>
        <v/>
      </c>
      <c r="AB535" s="437" t="str">
        <f>IFERROR(__xludf.DUMMYFUNCTION("IF(NOT('portfólio'!$AV$7),"""",IF($T535="""","""",IFERROR(query({AtivosDados},""select sum(""&amp;AB$3&amp;"") where Col1='""&amp;$T535&amp;""' label sum(""&amp;AB$3&amp;"") ''""),0)))"),"")</f>
        <v/>
      </c>
      <c r="AC535" s="437" t="str">
        <f>IFERROR(__xludf.DUMMYFUNCTION("IF(NOT('portfólio'!$AV$7),"""",IF($T535="""","""",IFERROR(query({AtivosDados},""select sum(""&amp;AC$3&amp;"") where Col1='""&amp;$T535&amp;""' label sum(""&amp;AC$3&amp;"") ''""),0)))"),"")</f>
        <v/>
      </c>
      <c r="AD535" s="437" t="str">
        <f>IFERROR(__xludf.DUMMYFUNCTION("IF(NOT('portfólio'!$AV$7),"""",IF($T535="""","""",IFERROR(query({AtivosDados},""select sum(""&amp;AD$3&amp;"") where Col1='""&amp;$T535&amp;""' label sum(""&amp;AD$3&amp;"") ''""),0)))"),"")</f>
        <v/>
      </c>
      <c r="AE535" s="437"/>
      <c r="AF535" s="1327"/>
      <c r="AG535" s="437"/>
      <c r="AH535" s="437"/>
      <c r="AI535" s="437"/>
      <c r="AJ535" s="437"/>
      <c r="AK535" s="437"/>
      <c r="AL535" s="437"/>
      <c r="AM535" s="437"/>
      <c r="AN535" s="437"/>
      <c r="AO535" s="437"/>
      <c r="AP535" s="437"/>
      <c r="AQ535" s="1327"/>
      <c r="AR535" s="437"/>
      <c r="AS535" s="437"/>
      <c r="AT535" s="437"/>
      <c r="AU535" s="437"/>
      <c r="AV535" s="437"/>
      <c r="AW535" s="437"/>
      <c r="AX535" s="437"/>
      <c r="AY535" s="437"/>
      <c r="AZ535" s="437"/>
      <c r="BA535" s="437"/>
      <c r="BB535" s="1327"/>
      <c r="BC535" s="437"/>
      <c r="BD535" s="437"/>
      <c r="BE535" s="437"/>
      <c r="BF535" s="437"/>
      <c r="BG535" s="437"/>
      <c r="BH535" s="437"/>
      <c r="BI535" s="437"/>
      <c r="BJ535" s="437"/>
      <c r="BK535" s="437"/>
      <c r="BL535" s="437"/>
      <c r="BM535" s="1327"/>
      <c r="BN535" s="1327"/>
      <c r="BO535" s="1327"/>
      <c r="BP535" s="1327"/>
      <c r="BQ535" s="1327"/>
      <c r="BR535" s="1327"/>
      <c r="BS535" s="1327"/>
      <c r="BT535" s="1327"/>
      <c r="BU535" s="1327"/>
      <c r="BV535" s="1327"/>
      <c r="BW535" s="1327"/>
      <c r="BX535" s="1327"/>
      <c r="BY535" s="1327"/>
      <c r="BZ535" s="1327"/>
      <c r="CA535" s="1327"/>
      <c r="CB535" s="1327"/>
      <c r="CC535" s="1327"/>
      <c r="CD535" s="1327"/>
      <c r="CE535" s="1327"/>
      <c r="CF535" s="1327"/>
      <c r="CG535" s="1327"/>
      <c r="CH535" s="1327"/>
      <c r="CI535" s="1327"/>
      <c r="CJ535" s="1327"/>
      <c r="CK535" s="1327"/>
      <c r="CL535" s="1327"/>
      <c r="CM535" s="1327"/>
      <c r="CN535" s="1327"/>
      <c r="CO535" s="1327"/>
      <c r="CP535" s="1327"/>
      <c r="CQ535" s="1327"/>
      <c r="CR535" s="1327"/>
      <c r="CS535" s="1327"/>
      <c r="CT535" s="1317"/>
      <c r="CU535" s="1317"/>
      <c r="CV535" s="1317"/>
      <c r="CW535" s="1317"/>
      <c r="CX535" s="1317"/>
      <c r="CY535" s="1317"/>
      <c r="CZ535" s="1317"/>
      <c r="DA535" s="1317"/>
      <c r="DB535" s="1317"/>
      <c r="DC535" s="1317"/>
      <c r="DD535" s="1317"/>
      <c r="DE535" s="1317"/>
      <c r="DF535" s="1317"/>
      <c r="DG535" s="1317"/>
    </row>
    <row r="536" ht="18.75" customHeight="1">
      <c r="G536" s="1344"/>
      <c r="H536" s="1345">
        <f t="shared" si="4"/>
        <v>0</v>
      </c>
      <c r="I536" s="1381"/>
      <c r="J536" s="1381"/>
      <c r="K536" s="1381"/>
      <c r="L536" s="1381"/>
      <c r="M536" s="1381"/>
      <c r="N536" s="1381"/>
      <c r="O536" s="1381"/>
      <c r="P536" s="1381"/>
      <c r="Q536" s="1381"/>
      <c r="R536" s="1381"/>
      <c r="T536" s="1349"/>
      <c r="U536" s="1349" t="s">
        <v>123</v>
      </c>
      <c r="V536" s="1349" t="s">
        <v>123</v>
      </c>
      <c r="W536" s="1349"/>
      <c r="X536" s="1349"/>
      <c r="Y536" s="1308"/>
      <c r="Z536" s="437" t="str">
        <f>IFERROR(__xludf.DUMMYFUNCTION("IF(NOT('portfólio'!$AV$7),"""",IF($T536="""","""",IFERROR(query({AtivosDados},""select sum(""&amp;Z$3&amp;"") where Col1='""&amp;$T536&amp;""' label sum(""&amp;Z$3&amp;"") ''""),0)))"),"")</f>
        <v/>
      </c>
      <c r="AA536" s="437" t="str">
        <f>IFERROR(__xludf.DUMMYFUNCTION("IF(NOT('portfólio'!$AV$7),"""",IF($T536="""","""",IFERROR(query({AtivosDados},""select sum(""&amp;AA$3&amp;"") where Col1='""&amp;$T536&amp;""' label sum(""&amp;AA$3&amp;"") ''""),0)))"),"")</f>
        <v/>
      </c>
      <c r="AB536" s="437" t="str">
        <f>IFERROR(__xludf.DUMMYFUNCTION("IF(NOT('portfólio'!$AV$7),"""",IF($T536="""","""",IFERROR(query({AtivosDados},""select sum(""&amp;AB$3&amp;"") where Col1='""&amp;$T536&amp;""' label sum(""&amp;AB$3&amp;"") ''""),0)))"),"")</f>
        <v/>
      </c>
      <c r="AC536" s="437" t="str">
        <f>IFERROR(__xludf.DUMMYFUNCTION("IF(NOT('portfólio'!$AV$7),"""",IF($T536="""","""",IFERROR(query({AtivosDados},""select sum(""&amp;AC$3&amp;"") where Col1='""&amp;$T536&amp;""' label sum(""&amp;AC$3&amp;"") ''""),0)))"),"")</f>
        <v/>
      </c>
      <c r="AD536" s="437" t="str">
        <f>IFERROR(__xludf.DUMMYFUNCTION("IF(NOT('portfólio'!$AV$7),"""",IF($T536="""","""",IFERROR(query({AtivosDados},""select sum(""&amp;AD$3&amp;"") where Col1='""&amp;$T536&amp;""' label sum(""&amp;AD$3&amp;"") ''""),0)))"),"")</f>
        <v/>
      </c>
      <c r="AE536" s="437"/>
      <c r="AF536" s="1327"/>
      <c r="AG536" s="437"/>
      <c r="AH536" s="437"/>
      <c r="AI536" s="437"/>
      <c r="AJ536" s="437"/>
      <c r="AK536" s="437"/>
      <c r="AL536" s="437"/>
      <c r="AM536" s="437"/>
      <c r="AN536" s="437"/>
      <c r="AO536" s="437"/>
      <c r="AP536" s="437"/>
      <c r="AQ536" s="1327"/>
      <c r="AR536" s="437"/>
      <c r="AS536" s="437"/>
      <c r="AT536" s="437"/>
      <c r="AU536" s="437"/>
      <c r="AV536" s="437"/>
      <c r="AW536" s="437"/>
      <c r="AX536" s="437"/>
      <c r="AY536" s="437"/>
      <c r="AZ536" s="437"/>
      <c r="BA536" s="437"/>
      <c r="BB536" s="1327"/>
      <c r="BC536" s="437"/>
      <c r="BD536" s="437"/>
      <c r="BE536" s="437"/>
      <c r="BF536" s="437"/>
      <c r="BG536" s="437"/>
      <c r="BH536" s="437"/>
      <c r="BI536" s="437"/>
      <c r="BJ536" s="437"/>
      <c r="BK536" s="437"/>
      <c r="BL536" s="437"/>
      <c r="BM536" s="1327"/>
      <c r="BN536" s="1327"/>
      <c r="BO536" s="1327"/>
      <c r="BP536" s="1327"/>
      <c r="BQ536" s="1327"/>
      <c r="BR536" s="1327"/>
      <c r="BS536" s="1327"/>
      <c r="BT536" s="1327"/>
      <c r="BU536" s="1327"/>
      <c r="BV536" s="1327"/>
      <c r="BW536" s="1327"/>
      <c r="BX536" s="1327"/>
      <c r="BY536" s="1327"/>
      <c r="BZ536" s="1327"/>
      <c r="CA536" s="1327"/>
      <c r="CB536" s="1327"/>
      <c r="CC536" s="1327"/>
      <c r="CD536" s="1327"/>
      <c r="CE536" s="1327"/>
      <c r="CF536" s="1327"/>
      <c r="CG536" s="1327"/>
      <c r="CH536" s="1327"/>
      <c r="CI536" s="1327"/>
      <c r="CJ536" s="1327"/>
      <c r="CK536" s="1327"/>
      <c r="CL536" s="1327"/>
      <c r="CM536" s="1327"/>
      <c r="CN536" s="1327"/>
      <c r="CO536" s="1327"/>
      <c r="CP536" s="1327"/>
      <c r="CQ536" s="1327"/>
      <c r="CR536" s="1327"/>
      <c r="CS536" s="1327"/>
      <c r="CT536" s="1317"/>
      <c r="CU536" s="1317"/>
      <c r="CV536" s="1317"/>
      <c r="CW536" s="1317"/>
      <c r="CX536" s="1317"/>
      <c r="CY536" s="1317"/>
      <c r="CZ536" s="1317"/>
      <c r="DA536" s="1317"/>
      <c r="DB536" s="1317"/>
      <c r="DC536" s="1317"/>
      <c r="DD536" s="1317"/>
      <c r="DE536" s="1317"/>
      <c r="DF536" s="1317"/>
      <c r="DG536" s="1317"/>
    </row>
    <row r="537" ht="18.75" customHeight="1">
      <c r="G537" s="1344"/>
      <c r="H537" s="1345">
        <f t="shared" si="4"/>
        <v>0</v>
      </c>
      <c r="I537" s="1381"/>
      <c r="J537" s="1381"/>
      <c r="K537" s="1381"/>
      <c r="L537" s="1381"/>
      <c r="M537" s="1381"/>
      <c r="N537" s="1381"/>
      <c r="O537" s="1381"/>
      <c r="P537" s="1381"/>
      <c r="Q537" s="1381"/>
      <c r="R537" s="1381"/>
      <c r="T537" s="1349"/>
      <c r="U537" s="1349" t="s">
        <v>123</v>
      </c>
      <c r="V537" s="1349" t="s">
        <v>123</v>
      </c>
      <c r="W537" s="1349"/>
      <c r="X537" s="1349"/>
      <c r="Y537" s="1308"/>
      <c r="Z537" s="437" t="str">
        <f>IFERROR(__xludf.DUMMYFUNCTION("IF(NOT('portfólio'!$AV$7),"""",IF($T537="""","""",IFERROR(query({AtivosDados},""select sum(""&amp;Z$3&amp;"") where Col1='""&amp;$T537&amp;""' label sum(""&amp;Z$3&amp;"") ''""),0)))"),"")</f>
        <v/>
      </c>
      <c r="AA537" s="437" t="str">
        <f>IFERROR(__xludf.DUMMYFUNCTION("IF(NOT('portfólio'!$AV$7),"""",IF($T537="""","""",IFERROR(query({AtivosDados},""select sum(""&amp;AA$3&amp;"") where Col1='""&amp;$T537&amp;""' label sum(""&amp;AA$3&amp;"") ''""),0)))"),"")</f>
        <v/>
      </c>
      <c r="AB537" s="437" t="str">
        <f>IFERROR(__xludf.DUMMYFUNCTION("IF(NOT('portfólio'!$AV$7),"""",IF($T537="""","""",IFERROR(query({AtivosDados},""select sum(""&amp;AB$3&amp;"") where Col1='""&amp;$T537&amp;""' label sum(""&amp;AB$3&amp;"") ''""),0)))"),"")</f>
        <v/>
      </c>
      <c r="AC537" s="437" t="str">
        <f>IFERROR(__xludf.DUMMYFUNCTION("IF(NOT('portfólio'!$AV$7),"""",IF($T537="""","""",IFERROR(query({AtivosDados},""select sum(""&amp;AC$3&amp;"") where Col1='""&amp;$T537&amp;""' label sum(""&amp;AC$3&amp;"") ''""),0)))"),"")</f>
        <v/>
      </c>
      <c r="AD537" s="437" t="str">
        <f>IFERROR(__xludf.DUMMYFUNCTION("IF(NOT('portfólio'!$AV$7),"""",IF($T537="""","""",IFERROR(query({AtivosDados},""select sum(""&amp;AD$3&amp;"") where Col1='""&amp;$T537&amp;""' label sum(""&amp;AD$3&amp;"") ''""),0)))"),"")</f>
        <v/>
      </c>
      <c r="AE537" s="437"/>
      <c r="AF537" s="1327"/>
      <c r="AG537" s="437"/>
      <c r="AH537" s="437"/>
      <c r="AI537" s="437"/>
      <c r="AJ537" s="437"/>
      <c r="AK537" s="437"/>
      <c r="AL537" s="437"/>
      <c r="AM537" s="437"/>
      <c r="AN537" s="437"/>
      <c r="AO537" s="437"/>
      <c r="AP537" s="437"/>
      <c r="AQ537" s="1327"/>
      <c r="AR537" s="437"/>
      <c r="AS537" s="437"/>
      <c r="AT537" s="437"/>
      <c r="AU537" s="437"/>
      <c r="AV537" s="437"/>
      <c r="AW537" s="437"/>
      <c r="AX537" s="437"/>
      <c r="AY537" s="437"/>
      <c r="AZ537" s="437"/>
      <c r="BA537" s="437"/>
      <c r="BB537" s="1327"/>
      <c r="BC537" s="437"/>
      <c r="BD537" s="437"/>
      <c r="BE537" s="437"/>
      <c r="BF537" s="437"/>
      <c r="BG537" s="437"/>
      <c r="BH537" s="437"/>
      <c r="BI537" s="437"/>
      <c r="BJ537" s="437"/>
      <c r="BK537" s="437"/>
      <c r="BL537" s="437"/>
      <c r="BM537" s="1327"/>
      <c r="BN537" s="1327"/>
      <c r="BO537" s="1327"/>
      <c r="BP537" s="1327"/>
      <c r="BQ537" s="1327"/>
      <c r="BR537" s="1327"/>
      <c r="BS537" s="1327"/>
      <c r="BT537" s="1327"/>
      <c r="BU537" s="1327"/>
      <c r="BV537" s="1327"/>
      <c r="BW537" s="1327"/>
      <c r="BX537" s="1327"/>
      <c r="BY537" s="1327"/>
      <c r="BZ537" s="1327"/>
      <c r="CA537" s="1327"/>
      <c r="CB537" s="1327"/>
      <c r="CC537" s="1327"/>
      <c r="CD537" s="1327"/>
      <c r="CE537" s="1327"/>
      <c r="CF537" s="1327"/>
      <c r="CG537" s="1327"/>
      <c r="CH537" s="1327"/>
      <c r="CI537" s="1327"/>
      <c r="CJ537" s="1327"/>
      <c r="CK537" s="1327"/>
      <c r="CL537" s="1327"/>
      <c r="CM537" s="1327"/>
      <c r="CN537" s="1327"/>
      <c r="CO537" s="1327"/>
      <c r="CP537" s="1327"/>
      <c r="CQ537" s="1327"/>
      <c r="CR537" s="1327"/>
      <c r="CS537" s="1327"/>
      <c r="CT537" s="1317"/>
      <c r="CU537" s="1317"/>
      <c r="CV537" s="1317"/>
      <c r="CW537" s="1317"/>
      <c r="CX537" s="1317"/>
      <c r="CY537" s="1317"/>
      <c r="CZ537" s="1317"/>
      <c r="DA537" s="1317"/>
      <c r="DB537" s="1317"/>
      <c r="DC537" s="1317"/>
      <c r="DD537" s="1317"/>
      <c r="DE537" s="1317"/>
      <c r="DF537" s="1317"/>
      <c r="DG537" s="1317"/>
    </row>
    <row r="538" ht="18.75" customHeight="1">
      <c r="G538" s="1344"/>
      <c r="H538" s="1345">
        <f t="shared" si="4"/>
        <v>0</v>
      </c>
      <c r="I538" s="1381"/>
      <c r="J538" s="1381"/>
      <c r="K538" s="1381"/>
      <c r="L538" s="1381"/>
      <c r="M538" s="1381"/>
      <c r="N538" s="1381"/>
      <c r="O538" s="1381"/>
      <c r="P538" s="1381"/>
      <c r="Q538" s="1381"/>
      <c r="R538" s="1381"/>
      <c r="T538" s="1349"/>
      <c r="U538" s="1349" t="s">
        <v>123</v>
      </c>
      <c r="V538" s="1349" t="s">
        <v>123</v>
      </c>
      <c r="W538" s="1349"/>
      <c r="X538" s="1349"/>
      <c r="Y538" s="1308"/>
      <c r="Z538" s="437" t="str">
        <f>IFERROR(__xludf.DUMMYFUNCTION("IF(NOT('portfólio'!$AV$7),"""",IF($T538="""","""",IFERROR(query({AtivosDados},""select sum(""&amp;Z$3&amp;"") where Col1='""&amp;$T538&amp;""' label sum(""&amp;Z$3&amp;"") ''""),0)))"),"")</f>
        <v/>
      </c>
      <c r="AA538" s="437" t="str">
        <f>IFERROR(__xludf.DUMMYFUNCTION("IF(NOT('portfólio'!$AV$7),"""",IF($T538="""","""",IFERROR(query({AtivosDados},""select sum(""&amp;AA$3&amp;"") where Col1='""&amp;$T538&amp;""' label sum(""&amp;AA$3&amp;"") ''""),0)))"),"")</f>
        <v/>
      </c>
      <c r="AB538" s="437" t="str">
        <f>IFERROR(__xludf.DUMMYFUNCTION("IF(NOT('portfólio'!$AV$7),"""",IF($T538="""","""",IFERROR(query({AtivosDados},""select sum(""&amp;AB$3&amp;"") where Col1='""&amp;$T538&amp;""' label sum(""&amp;AB$3&amp;"") ''""),0)))"),"")</f>
        <v/>
      </c>
      <c r="AC538" s="437" t="str">
        <f>IFERROR(__xludf.DUMMYFUNCTION("IF(NOT('portfólio'!$AV$7),"""",IF($T538="""","""",IFERROR(query({AtivosDados},""select sum(""&amp;AC$3&amp;"") where Col1='""&amp;$T538&amp;""' label sum(""&amp;AC$3&amp;"") ''""),0)))"),"")</f>
        <v/>
      </c>
      <c r="AD538" s="437" t="str">
        <f>IFERROR(__xludf.DUMMYFUNCTION("IF(NOT('portfólio'!$AV$7),"""",IF($T538="""","""",IFERROR(query({AtivosDados},""select sum(""&amp;AD$3&amp;"") where Col1='""&amp;$T538&amp;""' label sum(""&amp;AD$3&amp;"") ''""),0)))"),"")</f>
        <v/>
      </c>
      <c r="AE538" s="437"/>
      <c r="AF538" s="1327"/>
      <c r="AG538" s="437"/>
      <c r="AH538" s="437"/>
      <c r="AI538" s="437"/>
      <c r="AJ538" s="437"/>
      <c r="AK538" s="437"/>
      <c r="AL538" s="437"/>
      <c r="AM538" s="437"/>
      <c r="AN538" s="437"/>
      <c r="AO538" s="437"/>
      <c r="AP538" s="437"/>
      <c r="AQ538" s="1327"/>
      <c r="AR538" s="437"/>
      <c r="AS538" s="437"/>
      <c r="AT538" s="437"/>
      <c r="AU538" s="437"/>
      <c r="AV538" s="437"/>
      <c r="AW538" s="437"/>
      <c r="AX538" s="437"/>
      <c r="AY538" s="437"/>
      <c r="AZ538" s="437"/>
      <c r="BA538" s="437"/>
      <c r="BB538" s="1327"/>
      <c r="BC538" s="437"/>
      <c r="BD538" s="437"/>
      <c r="BE538" s="437"/>
      <c r="BF538" s="437"/>
      <c r="BG538" s="437"/>
      <c r="BH538" s="437"/>
      <c r="BI538" s="437"/>
      <c r="BJ538" s="437"/>
      <c r="BK538" s="437"/>
      <c r="BL538" s="437"/>
      <c r="BM538" s="1327"/>
      <c r="BN538" s="1327"/>
      <c r="BO538" s="1327"/>
      <c r="BP538" s="1327"/>
      <c r="BQ538" s="1327"/>
      <c r="BR538" s="1327"/>
      <c r="BS538" s="1327"/>
      <c r="BT538" s="1327"/>
      <c r="BU538" s="1327"/>
      <c r="BV538" s="1327"/>
      <c r="BW538" s="1327"/>
      <c r="BX538" s="1327"/>
      <c r="BY538" s="1327"/>
      <c r="BZ538" s="1327"/>
      <c r="CA538" s="1327"/>
      <c r="CB538" s="1327"/>
      <c r="CC538" s="1327"/>
      <c r="CD538" s="1327"/>
      <c r="CE538" s="1327"/>
      <c r="CF538" s="1327"/>
      <c r="CG538" s="1327"/>
      <c r="CH538" s="1327"/>
      <c r="CI538" s="1327"/>
      <c r="CJ538" s="1327"/>
      <c r="CK538" s="1327"/>
      <c r="CL538" s="1327"/>
      <c r="CM538" s="1327"/>
      <c r="CN538" s="1327"/>
      <c r="CO538" s="1327"/>
      <c r="CP538" s="1327"/>
      <c r="CQ538" s="1327"/>
      <c r="CR538" s="1327"/>
      <c r="CS538" s="1327"/>
      <c r="CT538" s="1317"/>
      <c r="CU538" s="1317"/>
      <c r="CV538" s="1317"/>
      <c r="CW538" s="1317"/>
      <c r="CX538" s="1317"/>
      <c r="CY538" s="1317"/>
      <c r="CZ538" s="1317"/>
      <c r="DA538" s="1317"/>
      <c r="DB538" s="1317"/>
      <c r="DC538" s="1317"/>
      <c r="DD538" s="1317"/>
      <c r="DE538" s="1317"/>
      <c r="DF538" s="1317"/>
      <c r="DG538" s="1317"/>
    </row>
    <row r="539" ht="18.75" customHeight="1">
      <c r="G539" s="1344"/>
      <c r="H539" s="1345">
        <f t="shared" si="4"/>
        <v>0</v>
      </c>
      <c r="I539" s="1381"/>
      <c r="J539" s="1381"/>
      <c r="K539" s="1381"/>
      <c r="L539" s="1381"/>
      <c r="M539" s="1381"/>
      <c r="N539" s="1381"/>
      <c r="O539" s="1381"/>
      <c r="P539" s="1381"/>
      <c r="Q539" s="1381"/>
      <c r="R539" s="1381"/>
      <c r="T539" s="1349"/>
      <c r="U539" s="1349" t="s">
        <v>123</v>
      </c>
      <c r="V539" s="1349" t="s">
        <v>123</v>
      </c>
      <c r="W539" s="1349"/>
      <c r="X539" s="1349"/>
      <c r="Y539" s="1308"/>
      <c r="Z539" s="437" t="str">
        <f>IFERROR(__xludf.DUMMYFUNCTION("IF(NOT('portfólio'!$AV$7),"""",IF($T539="""","""",IFERROR(query({AtivosDados},""select sum(""&amp;Z$3&amp;"") where Col1='""&amp;$T539&amp;""' label sum(""&amp;Z$3&amp;"") ''""),0)))"),"")</f>
        <v/>
      </c>
      <c r="AA539" s="437" t="str">
        <f>IFERROR(__xludf.DUMMYFUNCTION("IF(NOT('portfólio'!$AV$7),"""",IF($T539="""","""",IFERROR(query({AtivosDados},""select sum(""&amp;AA$3&amp;"") where Col1='""&amp;$T539&amp;""' label sum(""&amp;AA$3&amp;"") ''""),0)))"),"")</f>
        <v/>
      </c>
      <c r="AB539" s="437" t="str">
        <f>IFERROR(__xludf.DUMMYFUNCTION("IF(NOT('portfólio'!$AV$7),"""",IF($T539="""","""",IFERROR(query({AtivosDados},""select sum(""&amp;AB$3&amp;"") where Col1='""&amp;$T539&amp;""' label sum(""&amp;AB$3&amp;"") ''""),0)))"),"")</f>
        <v/>
      </c>
      <c r="AC539" s="437" t="str">
        <f>IFERROR(__xludf.DUMMYFUNCTION("IF(NOT('portfólio'!$AV$7),"""",IF($T539="""","""",IFERROR(query({AtivosDados},""select sum(""&amp;AC$3&amp;"") where Col1='""&amp;$T539&amp;""' label sum(""&amp;AC$3&amp;"") ''""),0)))"),"")</f>
        <v/>
      </c>
      <c r="AD539" s="437" t="str">
        <f>IFERROR(__xludf.DUMMYFUNCTION("IF(NOT('portfólio'!$AV$7),"""",IF($T539="""","""",IFERROR(query({AtivosDados},""select sum(""&amp;AD$3&amp;"") where Col1='""&amp;$T539&amp;""' label sum(""&amp;AD$3&amp;"") ''""),0)))"),"")</f>
        <v/>
      </c>
      <c r="AE539" s="437"/>
      <c r="AF539" s="1327"/>
      <c r="AG539" s="437"/>
      <c r="AH539" s="437"/>
      <c r="AI539" s="437"/>
      <c r="AJ539" s="437"/>
      <c r="AK539" s="437"/>
      <c r="AL539" s="437"/>
      <c r="AM539" s="437"/>
      <c r="AN539" s="437"/>
      <c r="AO539" s="437"/>
      <c r="AP539" s="437"/>
      <c r="AQ539" s="1327"/>
      <c r="AR539" s="437"/>
      <c r="AS539" s="437"/>
      <c r="AT539" s="437"/>
      <c r="AU539" s="437"/>
      <c r="AV539" s="437"/>
      <c r="AW539" s="437"/>
      <c r="AX539" s="437"/>
      <c r="AY539" s="437"/>
      <c r="AZ539" s="437"/>
      <c r="BA539" s="437"/>
      <c r="BB539" s="1327"/>
      <c r="BC539" s="437"/>
      <c r="BD539" s="437"/>
      <c r="BE539" s="437"/>
      <c r="BF539" s="437"/>
      <c r="BG539" s="437"/>
      <c r="BH539" s="437"/>
      <c r="BI539" s="437"/>
      <c r="BJ539" s="437"/>
      <c r="BK539" s="437"/>
      <c r="BL539" s="437"/>
      <c r="BM539" s="1327"/>
      <c r="BN539" s="1327"/>
      <c r="BO539" s="1327"/>
      <c r="BP539" s="1327"/>
      <c r="BQ539" s="1327"/>
      <c r="BR539" s="1327"/>
      <c r="BS539" s="1327"/>
      <c r="BT539" s="1327"/>
      <c r="BU539" s="1327"/>
      <c r="BV539" s="1327"/>
      <c r="BW539" s="1327"/>
      <c r="BX539" s="1327"/>
      <c r="BY539" s="1327"/>
      <c r="BZ539" s="1327"/>
      <c r="CA539" s="1327"/>
      <c r="CB539" s="1327"/>
      <c r="CC539" s="1327"/>
      <c r="CD539" s="1327"/>
      <c r="CE539" s="1327"/>
      <c r="CF539" s="1327"/>
      <c r="CG539" s="1327"/>
      <c r="CH539" s="1327"/>
      <c r="CI539" s="1327"/>
      <c r="CJ539" s="1327"/>
      <c r="CK539" s="1327"/>
      <c r="CL539" s="1327"/>
      <c r="CM539" s="1327"/>
      <c r="CN539" s="1327"/>
      <c r="CO539" s="1327"/>
      <c r="CP539" s="1327"/>
      <c r="CQ539" s="1327"/>
      <c r="CR539" s="1327"/>
      <c r="CS539" s="1327"/>
      <c r="CT539" s="1317"/>
      <c r="CU539" s="1317"/>
      <c r="CV539" s="1317"/>
      <c r="CW539" s="1317"/>
      <c r="CX539" s="1317"/>
      <c r="CY539" s="1317"/>
      <c r="CZ539" s="1317"/>
      <c r="DA539" s="1317"/>
      <c r="DB539" s="1317"/>
      <c r="DC539" s="1317"/>
      <c r="DD539" s="1317"/>
      <c r="DE539" s="1317"/>
      <c r="DF539" s="1317"/>
      <c r="DG539" s="1317"/>
    </row>
    <row r="540" ht="18.75" customHeight="1">
      <c r="G540" s="1344"/>
      <c r="H540" s="1345">
        <f t="shared" si="4"/>
        <v>0</v>
      </c>
      <c r="I540" s="1381"/>
      <c r="J540" s="1381"/>
      <c r="K540" s="1381"/>
      <c r="L540" s="1381"/>
      <c r="M540" s="1381"/>
      <c r="N540" s="1381"/>
      <c r="O540" s="1381"/>
      <c r="P540" s="1381"/>
      <c r="Q540" s="1381"/>
      <c r="R540" s="1381"/>
      <c r="T540" s="1349"/>
      <c r="U540" s="1349" t="s">
        <v>123</v>
      </c>
      <c r="V540" s="1349" t="s">
        <v>123</v>
      </c>
      <c r="W540" s="1349"/>
      <c r="X540" s="1349"/>
      <c r="Y540" s="1308"/>
      <c r="Z540" s="437" t="str">
        <f>IFERROR(__xludf.DUMMYFUNCTION("IF(NOT('portfólio'!$AV$7),"""",IF($T540="""","""",IFERROR(query({AtivosDados},""select sum(""&amp;Z$3&amp;"") where Col1='""&amp;$T540&amp;""' label sum(""&amp;Z$3&amp;"") ''""),0)))"),"")</f>
        <v/>
      </c>
      <c r="AA540" s="437" t="str">
        <f>IFERROR(__xludf.DUMMYFUNCTION("IF(NOT('portfólio'!$AV$7),"""",IF($T540="""","""",IFERROR(query({AtivosDados},""select sum(""&amp;AA$3&amp;"") where Col1='""&amp;$T540&amp;""' label sum(""&amp;AA$3&amp;"") ''""),0)))"),"")</f>
        <v/>
      </c>
      <c r="AB540" s="437" t="str">
        <f>IFERROR(__xludf.DUMMYFUNCTION("IF(NOT('portfólio'!$AV$7),"""",IF($T540="""","""",IFERROR(query({AtivosDados},""select sum(""&amp;AB$3&amp;"") where Col1='""&amp;$T540&amp;""' label sum(""&amp;AB$3&amp;"") ''""),0)))"),"")</f>
        <v/>
      </c>
      <c r="AC540" s="437" t="str">
        <f>IFERROR(__xludf.DUMMYFUNCTION("IF(NOT('portfólio'!$AV$7),"""",IF($T540="""","""",IFERROR(query({AtivosDados},""select sum(""&amp;AC$3&amp;"") where Col1='""&amp;$T540&amp;""' label sum(""&amp;AC$3&amp;"") ''""),0)))"),"")</f>
        <v/>
      </c>
      <c r="AD540" s="437" t="str">
        <f>IFERROR(__xludf.DUMMYFUNCTION("IF(NOT('portfólio'!$AV$7),"""",IF($T540="""","""",IFERROR(query({AtivosDados},""select sum(""&amp;AD$3&amp;"") where Col1='""&amp;$T540&amp;""' label sum(""&amp;AD$3&amp;"") ''""),0)))"),"")</f>
        <v/>
      </c>
      <c r="AE540" s="437"/>
      <c r="AF540" s="1327"/>
      <c r="AG540" s="437"/>
      <c r="AH540" s="437"/>
      <c r="AI540" s="437"/>
      <c r="AJ540" s="437"/>
      <c r="AK540" s="437"/>
      <c r="AL540" s="437"/>
      <c r="AM540" s="437"/>
      <c r="AN540" s="437"/>
      <c r="AO540" s="437"/>
      <c r="AP540" s="437"/>
      <c r="AQ540" s="1327"/>
      <c r="AR540" s="437"/>
      <c r="AS540" s="437"/>
      <c r="AT540" s="437"/>
      <c r="AU540" s="437"/>
      <c r="AV540" s="437"/>
      <c r="AW540" s="437"/>
      <c r="AX540" s="437"/>
      <c r="AY540" s="437"/>
      <c r="AZ540" s="437"/>
      <c r="BA540" s="437"/>
      <c r="BB540" s="1327"/>
      <c r="BC540" s="437"/>
      <c r="BD540" s="437"/>
      <c r="BE540" s="437"/>
      <c r="BF540" s="437"/>
      <c r="BG540" s="437"/>
      <c r="BH540" s="437"/>
      <c r="BI540" s="437"/>
      <c r="BJ540" s="437"/>
      <c r="BK540" s="437"/>
      <c r="BL540" s="437"/>
      <c r="BM540" s="1327"/>
      <c r="BN540" s="1327"/>
      <c r="BO540" s="1327"/>
      <c r="BP540" s="1327"/>
      <c r="BQ540" s="1327"/>
      <c r="BR540" s="1327"/>
      <c r="BS540" s="1327"/>
      <c r="BT540" s="1327"/>
      <c r="BU540" s="1327"/>
      <c r="BV540" s="1327"/>
      <c r="BW540" s="1327"/>
      <c r="BX540" s="1327"/>
      <c r="BY540" s="1327"/>
      <c r="BZ540" s="1327"/>
      <c r="CA540" s="1327"/>
      <c r="CB540" s="1327"/>
      <c r="CC540" s="1327"/>
      <c r="CD540" s="1327"/>
      <c r="CE540" s="1327"/>
      <c r="CF540" s="1327"/>
      <c r="CG540" s="1327"/>
      <c r="CH540" s="1327"/>
      <c r="CI540" s="1327"/>
      <c r="CJ540" s="1327"/>
      <c r="CK540" s="1327"/>
      <c r="CL540" s="1327"/>
      <c r="CM540" s="1327"/>
      <c r="CN540" s="1327"/>
      <c r="CO540" s="1327"/>
      <c r="CP540" s="1327"/>
      <c r="CQ540" s="1327"/>
      <c r="CR540" s="1327"/>
      <c r="CS540" s="1327"/>
      <c r="CT540" s="1317"/>
      <c r="CU540" s="1317"/>
      <c r="CV540" s="1317"/>
      <c r="CW540" s="1317"/>
      <c r="CX540" s="1317"/>
      <c r="CY540" s="1317"/>
      <c r="CZ540" s="1317"/>
      <c r="DA540" s="1317"/>
      <c r="DB540" s="1317"/>
      <c r="DC540" s="1317"/>
      <c r="DD540" s="1317"/>
      <c r="DE540" s="1317"/>
      <c r="DF540" s="1317"/>
      <c r="DG540" s="1317"/>
    </row>
    <row r="541" ht="18.75" customHeight="1">
      <c r="G541" s="1344"/>
      <c r="H541" s="1345">
        <f t="shared" si="4"/>
        <v>0</v>
      </c>
      <c r="I541" s="1381"/>
      <c r="J541" s="1381"/>
      <c r="K541" s="1381"/>
      <c r="L541" s="1381"/>
      <c r="M541" s="1381"/>
      <c r="N541" s="1381"/>
      <c r="O541" s="1381"/>
      <c r="P541" s="1381"/>
      <c r="Q541" s="1381"/>
      <c r="R541" s="1381"/>
      <c r="T541" s="1349"/>
      <c r="U541" s="1349" t="s">
        <v>123</v>
      </c>
      <c r="V541" s="1349" t="s">
        <v>123</v>
      </c>
      <c r="W541" s="1349"/>
      <c r="X541" s="1349"/>
      <c r="Y541" s="1308"/>
      <c r="Z541" s="437" t="str">
        <f>IFERROR(__xludf.DUMMYFUNCTION("IF(NOT('portfólio'!$AV$7),"""",IF($T541="""","""",IFERROR(query({AtivosDados},""select sum(""&amp;Z$3&amp;"") where Col1='""&amp;$T541&amp;""' label sum(""&amp;Z$3&amp;"") ''""),0)))"),"")</f>
        <v/>
      </c>
      <c r="AA541" s="437" t="str">
        <f>IFERROR(__xludf.DUMMYFUNCTION("IF(NOT('portfólio'!$AV$7),"""",IF($T541="""","""",IFERROR(query({AtivosDados},""select sum(""&amp;AA$3&amp;"") where Col1='""&amp;$T541&amp;""' label sum(""&amp;AA$3&amp;"") ''""),0)))"),"")</f>
        <v/>
      </c>
      <c r="AB541" s="437" t="str">
        <f>IFERROR(__xludf.DUMMYFUNCTION("IF(NOT('portfólio'!$AV$7),"""",IF($T541="""","""",IFERROR(query({AtivosDados},""select sum(""&amp;AB$3&amp;"") where Col1='""&amp;$T541&amp;""' label sum(""&amp;AB$3&amp;"") ''""),0)))"),"")</f>
        <v/>
      </c>
      <c r="AC541" s="437" t="str">
        <f>IFERROR(__xludf.DUMMYFUNCTION("IF(NOT('portfólio'!$AV$7),"""",IF($T541="""","""",IFERROR(query({AtivosDados},""select sum(""&amp;AC$3&amp;"") where Col1='""&amp;$T541&amp;""' label sum(""&amp;AC$3&amp;"") ''""),0)))"),"")</f>
        <v/>
      </c>
      <c r="AD541" s="437" t="str">
        <f>IFERROR(__xludf.DUMMYFUNCTION("IF(NOT('portfólio'!$AV$7),"""",IF($T541="""","""",IFERROR(query({AtivosDados},""select sum(""&amp;AD$3&amp;"") where Col1='""&amp;$T541&amp;""' label sum(""&amp;AD$3&amp;"") ''""),0)))"),"")</f>
        <v/>
      </c>
      <c r="AE541" s="437"/>
      <c r="AF541" s="1327"/>
      <c r="AG541" s="437"/>
      <c r="AH541" s="437"/>
      <c r="AI541" s="437"/>
      <c r="AJ541" s="437"/>
      <c r="AK541" s="437"/>
      <c r="AL541" s="437"/>
      <c r="AM541" s="437"/>
      <c r="AN541" s="437"/>
      <c r="AO541" s="437"/>
      <c r="AP541" s="437"/>
      <c r="AQ541" s="1327"/>
      <c r="AR541" s="437"/>
      <c r="AS541" s="437"/>
      <c r="AT541" s="437"/>
      <c r="AU541" s="437"/>
      <c r="AV541" s="437"/>
      <c r="AW541" s="437"/>
      <c r="AX541" s="437"/>
      <c r="AY541" s="437"/>
      <c r="AZ541" s="437"/>
      <c r="BA541" s="437"/>
      <c r="BB541" s="1327"/>
      <c r="BC541" s="437"/>
      <c r="BD541" s="437"/>
      <c r="BE541" s="437"/>
      <c r="BF541" s="437"/>
      <c r="BG541" s="437"/>
      <c r="BH541" s="437"/>
      <c r="BI541" s="437"/>
      <c r="BJ541" s="437"/>
      <c r="BK541" s="437"/>
      <c r="BL541" s="437"/>
      <c r="BM541" s="1327"/>
      <c r="BN541" s="1327"/>
      <c r="BO541" s="1327"/>
      <c r="BP541" s="1327"/>
      <c r="BQ541" s="1327"/>
      <c r="BR541" s="1327"/>
      <c r="BS541" s="1327"/>
      <c r="BT541" s="1327"/>
      <c r="BU541" s="1327"/>
      <c r="BV541" s="1327"/>
      <c r="BW541" s="1327"/>
      <c r="BX541" s="1327"/>
      <c r="BY541" s="1327"/>
      <c r="BZ541" s="1327"/>
      <c r="CA541" s="1327"/>
      <c r="CB541" s="1327"/>
      <c r="CC541" s="1327"/>
      <c r="CD541" s="1327"/>
      <c r="CE541" s="1327"/>
      <c r="CF541" s="1327"/>
      <c r="CG541" s="1327"/>
      <c r="CH541" s="1327"/>
      <c r="CI541" s="1327"/>
      <c r="CJ541" s="1327"/>
      <c r="CK541" s="1327"/>
      <c r="CL541" s="1327"/>
      <c r="CM541" s="1327"/>
      <c r="CN541" s="1327"/>
      <c r="CO541" s="1327"/>
      <c r="CP541" s="1327"/>
      <c r="CQ541" s="1327"/>
      <c r="CR541" s="1327"/>
      <c r="CS541" s="1327"/>
      <c r="CT541" s="1317"/>
      <c r="CU541" s="1317"/>
      <c r="CV541" s="1317"/>
      <c r="CW541" s="1317"/>
      <c r="CX541" s="1317"/>
      <c r="CY541" s="1317"/>
      <c r="CZ541" s="1317"/>
      <c r="DA541" s="1317"/>
      <c r="DB541" s="1317"/>
      <c r="DC541" s="1317"/>
      <c r="DD541" s="1317"/>
      <c r="DE541" s="1317"/>
      <c r="DF541" s="1317"/>
      <c r="DG541" s="1317"/>
    </row>
    <row r="542" ht="18.75" customHeight="1">
      <c r="G542" s="1344"/>
      <c r="H542" s="1345">
        <f t="shared" si="4"/>
        <v>0</v>
      </c>
      <c r="I542" s="1381"/>
      <c r="J542" s="1381"/>
      <c r="K542" s="1381"/>
      <c r="L542" s="1381"/>
      <c r="M542" s="1381"/>
      <c r="N542" s="1381"/>
      <c r="O542" s="1381"/>
      <c r="P542" s="1381"/>
      <c r="Q542" s="1381"/>
      <c r="R542" s="1381"/>
      <c r="T542" s="1349"/>
      <c r="U542" s="1349" t="s">
        <v>123</v>
      </c>
      <c r="V542" s="1349" t="s">
        <v>123</v>
      </c>
      <c r="W542" s="1349"/>
      <c r="X542" s="1349"/>
      <c r="Y542" s="1308"/>
      <c r="Z542" s="437" t="str">
        <f>IFERROR(__xludf.DUMMYFUNCTION("IF(NOT('portfólio'!$AV$7),"""",IF($T542="""","""",IFERROR(query({AtivosDados},""select sum(""&amp;Z$3&amp;"") where Col1='""&amp;$T542&amp;""' label sum(""&amp;Z$3&amp;"") ''""),0)))"),"")</f>
        <v/>
      </c>
      <c r="AA542" s="437" t="str">
        <f>IFERROR(__xludf.DUMMYFUNCTION("IF(NOT('portfólio'!$AV$7),"""",IF($T542="""","""",IFERROR(query({AtivosDados},""select sum(""&amp;AA$3&amp;"") where Col1='""&amp;$T542&amp;""' label sum(""&amp;AA$3&amp;"") ''""),0)))"),"")</f>
        <v/>
      </c>
      <c r="AB542" s="437" t="str">
        <f>IFERROR(__xludf.DUMMYFUNCTION("IF(NOT('portfólio'!$AV$7),"""",IF($T542="""","""",IFERROR(query({AtivosDados},""select sum(""&amp;AB$3&amp;"") where Col1='""&amp;$T542&amp;""' label sum(""&amp;AB$3&amp;"") ''""),0)))"),"")</f>
        <v/>
      </c>
      <c r="AC542" s="437" t="str">
        <f>IFERROR(__xludf.DUMMYFUNCTION("IF(NOT('portfólio'!$AV$7),"""",IF($T542="""","""",IFERROR(query({AtivosDados},""select sum(""&amp;AC$3&amp;"") where Col1='""&amp;$T542&amp;""' label sum(""&amp;AC$3&amp;"") ''""),0)))"),"")</f>
        <v/>
      </c>
      <c r="AD542" s="437" t="str">
        <f>IFERROR(__xludf.DUMMYFUNCTION("IF(NOT('portfólio'!$AV$7),"""",IF($T542="""","""",IFERROR(query({AtivosDados},""select sum(""&amp;AD$3&amp;"") where Col1='""&amp;$T542&amp;""' label sum(""&amp;AD$3&amp;"") ''""),0)))"),"")</f>
        <v/>
      </c>
      <c r="AE542" s="437"/>
      <c r="AF542" s="1327"/>
      <c r="AG542" s="437"/>
      <c r="AH542" s="437"/>
      <c r="AI542" s="437"/>
      <c r="AJ542" s="437"/>
      <c r="AK542" s="437"/>
      <c r="AL542" s="437"/>
      <c r="AM542" s="437"/>
      <c r="AN542" s="437"/>
      <c r="AO542" s="437"/>
      <c r="AP542" s="437"/>
      <c r="AQ542" s="1327"/>
      <c r="AR542" s="437"/>
      <c r="AS542" s="437"/>
      <c r="AT542" s="437"/>
      <c r="AU542" s="437"/>
      <c r="AV542" s="437"/>
      <c r="AW542" s="437"/>
      <c r="AX542" s="437"/>
      <c r="AY542" s="437"/>
      <c r="AZ542" s="437"/>
      <c r="BA542" s="437"/>
      <c r="BB542" s="1327"/>
      <c r="BC542" s="437"/>
      <c r="BD542" s="437"/>
      <c r="BE542" s="437"/>
      <c r="BF542" s="437"/>
      <c r="BG542" s="437"/>
      <c r="BH542" s="437"/>
      <c r="BI542" s="437"/>
      <c r="BJ542" s="437"/>
      <c r="BK542" s="437"/>
      <c r="BL542" s="437"/>
      <c r="BM542" s="1327"/>
      <c r="BN542" s="1327"/>
      <c r="BO542" s="1327"/>
      <c r="BP542" s="1327"/>
      <c r="BQ542" s="1327"/>
      <c r="BR542" s="1327"/>
      <c r="BS542" s="1327"/>
      <c r="BT542" s="1327"/>
      <c r="BU542" s="1327"/>
      <c r="BV542" s="1327"/>
      <c r="BW542" s="1327"/>
      <c r="BX542" s="1327"/>
      <c r="BY542" s="1327"/>
      <c r="BZ542" s="1327"/>
      <c r="CA542" s="1327"/>
      <c r="CB542" s="1327"/>
      <c r="CC542" s="1327"/>
      <c r="CD542" s="1327"/>
      <c r="CE542" s="1327"/>
      <c r="CF542" s="1327"/>
      <c r="CG542" s="1327"/>
      <c r="CH542" s="1327"/>
      <c r="CI542" s="1327"/>
      <c r="CJ542" s="1327"/>
      <c r="CK542" s="1327"/>
      <c r="CL542" s="1327"/>
      <c r="CM542" s="1327"/>
      <c r="CN542" s="1327"/>
      <c r="CO542" s="1327"/>
      <c r="CP542" s="1327"/>
      <c r="CQ542" s="1327"/>
      <c r="CR542" s="1327"/>
      <c r="CS542" s="1327"/>
      <c r="CT542" s="1317"/>
      <c r="CU542" s="1317"/>
      <c r="CV542" s="1317"/>
      <c r="CW542" s="1317"/>
      <c r="CX542" s="1317"/>
      <c r="CY542" s="1317"/>
      <c r="CZ542" s="1317"/>
      <c r="DA542" s="1317"/>
      <c r="DB542" s="1317"/>
      <c r="DC542" s="1317"/>
      <c r="DD542" s="1317"/>
      <c r="DE542" s="1317"/>
      <c r="DF542" s="1317"/>
      <c r="DG542" s="1317"/>
    </row>
    <row r="543" ht="18.75" customHeight="1">
      <c r="G543" s="1344"/>
      <c r="H543" s="1345">
        <f t="shared" si="4"/>
        <v>0</v>
      </c>
      <c r="I543" s="1381"/>
      <c r="J543" s="1381"/>
      <c r="K543" s="1381"/>
      <c r="L543" s="1381"/>
      <c r="M543" s="1381"/>
      <c r="N543" s="1381"/>
      <c r="O543" s="1381"/>
      <c r="P543" s="1381"/>
      <c r="Q543" s="1381"/>
      <c r="R543" s="1381"/>
      <c r="T543" s="1349"/>
      <c r="U543" s="1349" t="s">
        <v>123</v>
      </c>
      <c r="V543" s="1349" t="s">
        <v>123</v>
      </c>
      <c r="W543" s="1349"/>
      <c r="X543" s="1349"/>
      <c r="Y543" s="1308"/>
      <c r="Z543" s="437" t="str">
        <f>IFERROR(__xludf.DUMMYFUNCTION("IF(NOT('portfólio'!$AV$7),"""",IF($T543="""","""",IFERROR(query({AtivosDados},""select sum(""&amp;Z$3&amp;"") where Col1='""&amp;$T543&amp;""' label sum(""&amp;Z$3&amp;"") ''""),0)))"),"")</f>
        <v/>
      </c>
      <c r="AA543" s="437" t="str">
        <f>IFERROR(__xludf.DUMMYFUNCTION("IF(NOT('portfólio'!$AV$7),"""",IF($T543="""","""",IFERROR(query({AtivosDados},""select sum(""&amp;AA$3&amp;"") where Col1='""&amp;$T543&amp;""' label sum(""&amp;AA$3&amp;"") ''""),0)))"),"")</f>
        <v/>
      </c>
      <c r="AB543" s="437" t="str">
        <f>IFERROR(__xludf.DUMMYFUNCTION("IF(NOT('portfólio'!$AV$7),"""",IF($T543="""","""",IFERROR(query({AtivosDados},""select sum(""&amp;AB$3&amp;"") where Col1='""&amp;$T543&amp;""' label sum(""&amp;AB$3&amp;"") ''""),0)))"),"")</f>
        <v/>
      </c>
      <c r="AC543" s="437" t="str">
        <f>IFERROR(__xludf.DUMMYFUNCTION("IF(NOT('portfólio'!$AV$7),"""",IF($T543="""","""",IFERROR(query({AtivosDados},""select sum(""&amp;AC$3&amp;"") where Col1='""&amp;$T543&amp;""' label sum(""&amp;AC$3&amp;"") ''""),0)))"),"")</f>
        <v/>
      </c>
      <c r="AD543" s="437" t="str">
        <f>IFERROR(__xludf.DUMMYFUNCTION("IF(NOT('portfólio'!$AV$7),"""",IF($T543="""","""",IFERROR(query({AtivosDados},""select sum(""&amp;AD$3&amp;"") where Col1='""&amp;$T543&amp;""' label sum(""&amp;AD$3&amp;"") ''""),0)))"),"")</f>
        <v/>
      </c>
      <c r="AE543" s="437"/>
      <c r="AF543" s="1327"/>
      <c r="AG543" s="437"/>
      <c r="AH543" s="437"/>
      <c r="AI543" s="437"/>
      <c r="AJ543" s="437"/>
      <c r="AK543" s="437"/>
      <c r="AL543" s="437"/>
      <c r="AM543" s="437"/>
      <c r="AN543" s="437"/>
      <c r="AO543" s="437"/>
      <c r="AP543" s="437"/>
      <c r="AQ543" s="1327"/>
      <c r="AR543" s="437"/>
      <c r="AS543" s="437"/>
      <c r="AT543" s="437"/>
      <c r="AU543" s="437"/>
      <c r="AV543" s="437"/>
      <c r="AW543" s="437"/>
      <c r="AX543" s="437"/>
      <c r="AY543" s="437"/>
      <c r="AZ543" s="437"/>
      <c r="BA543" s="437"/>
      <c r="BB543" s="1327"/>
      <c r="BC543" s="437"/>
      <c r="BD543" s="437"/>
      <c r="BE543" s="437"/>
      <c r="BF543" s="437"/>
      <c r="BG543" s="437"/>
      <c r="BH543" s="437"/>
      <c r="BI543" s="437"/>
      <c r="BJ543" s="437"/>
      <c r="BK543" s="437"/>
      <c r="BL543" s="437"/>
      <c r="BM543" s="1327"/>
      <c r="BN543" s="1327"/>
      <c r="BO543" s="1327"/>
      <c r="BP543" s="1327"/>
      <c r="BQ543" s="1327"/>
      <c r="BR543" s="1327"/>
      <c r="BS543" s="1327"/>
      <c r="BT543" s="1327"/>
      <c r="BU543" s="1327"/>
      <c r="BV543" s="1327"/>
      <c r="BW543" s="1327"/>
      <c r="BX543" s="1327"/>
      <c r="BY543" s="1327"/>
      <c r="BZ543" s="1327"/>
      <c r="CA543" s="1327"/>
      <c r="CB543" s="1327"/>
      <c r="CC543" s="1327"/>
      <c r="CD543" s="1327"/>
      <c r="CE543" s="1327"/>
      <c r="CF543" s="1327"/>
      <c r="CG543" s="1327"/>
      <c r="CH543" s="1327"/>
      <c r="CI543" s="1327"/>
      <c r="CJ543" s="1327"/>
      <c r="CK543" s="1327"/>
      <c r="CL543" s="1327"/>
      <c r="CM543" s="1327"/>
      <c r="CN543" s="1327"/>
      <c r="CO543" s="1327"/>
      <c r="CP543" s="1327"/>
      <c r="CQ543" s="1327"/>
      <c r="CR543" s="1327"/>
      <c r="CS543" s="1327"/>
      <c r="CT543" s="1317"/>
      <c r="CU543" s="1317"/>
      <c r="CV543" s="1317"/>
      <c r="CW543" s="1317"/>
      <c r="CX543" s="1317"/>
      <c r="CY543" s="1317"/>
      <c r="CZ543" s="1317"/>
      <c r="DA543" s="1317"/>
      <c r="DB543" s="1317"/>
      <c r="DC543" s="1317"/>
      <c r="DD543" s="1317"/>
      <c r="DE543" s="1317"/>
      <c r="DF543" s="1317"/>
      <c r="DG543" s="1317"/>
    </row>
    <row r="544" ht="18.75" customHeight="1">
      <c r="G544" s="1344"/>
      <c r="H544" s="1345">
        <f t="shared" si="4"/>
        <v>0</v>
      </c>
      <c r="I544" s="1381"/>
      <c r="J544" s="1381"/>
      <c r="K544" s="1381"/>
      <c r="L544" s="1381"/>
      <c r="M544" s="1381"/>
      <c r="N544" s="1381"/>
      <c r="O544" s="1381"/>
      <c r="P544" s="1381"/>
      <c r="Q544" s="1381"/>
      <c r="R544" s="1381"/>
      <c r="T544" s="1349"/>
      <c r="U544" s="1349" t="s">
        <v>123</v>
      </c>
      <c r="V544" s="1349" t="s">
        <v>123</v>
      </c>
      <c r="W544" s="1349"/>
      <c r="X544" s="1349"/>
      <c r="Y544" s="1308"/>
      <c r="Z544" s="437" t="str">
        <f>IFERROR(__xludf.DUMMYFUNCTION("IF(NOT('portfólio'!$AV$7),"""",IF($T544="""","""",IFERROR(query({AtivosDados},""select sum(""&amp;Z$3&amp;"") where Col1='""&amp;$T544&amp;""' label sum(""&amp;Z$3&amp;"") ''""),0)))"),"")</f>
        <v/>
      </c>
      <c r="AA544" s="437" t="str">
        <f>IFERROR(__xludf.DUMMYFUNCTION("IF(NOT('portfólio'!$AV$7),"""",IF($T544="""","""",IFERROR(query({AtivosDados},""select sum(""&amp;AA$3&amp;"") where Col1='""&amp;$T544&amp;""' label sum(""&amp;AA$3&amp;"") ''""),0)))"),"")</f>
        <v/>
      </c>
      <c r="AB544" s="437" t="str">
        <f>IFERROR(__xludf.DUMMYFUNCTION("IF(NOT('portfólio'!$AV$7),"""",IF($T544="""","""",IFERROR(query({AtivosDados},""select sum(""&amp;AB$3&amp;"") where Col1='""&amp;$T544&amp;""' label sum(""&amp;AB$3&amp;"") ''""),0)))"),"")</f>
        <v/>
      </c>
      <c r="AC544" s="437" t="str">
        <f>IFERROR(__xludf.DUMMYFUNCTION("IF(NOT('portfólio'!$AV$7),"""",IF($T544="""","""",IFERROR(query({AtivosDados},""select sum(""&amp;AC$3&amp;"") where Col1='""&amp;$T544&amp;""' label sum(""&amp;AC$3&amp;"") ''""),0)))"),"")</f>
        <v/>
      </c>
      <c r="AD544" s="437" t="str">
        <f>IFERROR(__xludf.DUMMYFUNCTION("IF(NOT('portfólio'!$AV$7),"""",IF($T544="""","""",IFERROR(query({AtivosDados},""select sum(""&amp;AD$3&amp;"") where Col1='""&amp;$T544&amp;""' label sum(""&amp;AD$3&amp;"") ''""),0)))"),"")</f>
        <v/>
      </c>
      <c r="AE544" s="437"/>
      <c r="AF544" s="1327"/>
      <c r="AG544" s="437"/>
      <c r="AH544" s="437"/>
      <c r="AI544" s="437"/>
      <c r="AJ544" s="437"/>
      <c r="AK544" s="437"/>
      <c r="AL544" s="437"/>
      <c r="AM544" s="437"/>
      <c r="AN544" s="437"/>
      <c r="AO544" s="437"/>
      <c r="AP544" s="437"/>
      <c r="AQ544" s="1327"/>
      <c r="AR544" s="437"/>
      <c r="AS544" s="437"/>
      <c r="AT544" s="437"/>
      <c r="AU544" s="437"/>
      <c r="AV544" s="437"/>
      <c r="AW544" s="437"/>
      <c r="AX544" s="437"/>
      <c r="AY544" s="437"/>
      <c r="AZ544" s="437"/>
      <c r="BA544" s="437"/>
      <c r="BB544" s="1327"/>
      <c r="BC544" s="437"/>
      <c r="BD544" s="437"/>
      <c r="BE544" s="437"/>
      <c r="BF544" s="437"/>
      <c r="BG544" s="437"/>
      <c r="BH544" s="437"/>
      <c r="BI544" s="437"/>
      <c r="BJ544" s="437"/>
      <c r="BK544" s="437"/>
      <c r="BL544" s="437"/>
      <c r="BM544" s="1327"/>
      <c r="BN544" s="1327"/>
      <c r="BO544" s="1327"/>
      <c r="BP544" s="1327"/>
      <c r="BQ544" s="1327"/>
      <c r="BR544" s="1327"/>
      <c r="BS544" s="1327"/>
      <c r="BT544" s="1327"/>
      <c r="BU544" s="1327"/>
      <c r="BV544" s="1327"/>
      <c r="BW544" s="1327"/>
      <c r="BX544" s="1327"/>
      <c r="BY544" s="1327"/>
      <c r="BZ544" s="1327"/>
      <c r="CA544" s="1327"/>
      <c r="CB544" s="1327"/>
      <c r="CC544" s="1327"/>
      <c r="CD544" s="1327"/>
      <c r="CE544" s="1327"/>
      <c r="CF544" s="1327"/>
      <c r="CG544" s="1327"/>
      <c r="CH544" s="1327"/>
      <c r="CI544" s="1327"/>
      <c r="CJ544" s="1327"/>
      <c r="CK544" s="1327"/>
      <c r="CL544" s="1327"/>
      <c r="CM544" s="1327"/>
      <c r="CN544" s="1327"/>
      <c r="CO544" s="1327"/>
      <c r="CP544" s="1327"/>
      <c r="CQ544" s="1327"/>
      <c r="CR544" s="1327"/>
      <c r="CS544" s="1327"/>
      <c r="CT544" s="1317"/>
      <c r="CU544" s="1317"/>
      <c r="CV544" s="1317"/>
      <c r="CW544" s="1317"/>
      <c r="CX544" s="1317"/>
      <c r="CY544" s="1317"/>
      <c r="CZ544" s="1317"/>
      <c r="DA544" s="1317"/>
      <c r="DB544" s="1317"/>
      <c r="DC544" s="1317"/>
      <c r="DD544" s="1317"/>
      <c r="DE544" s="1317"/>
      <c r="DF544" s="1317"/>
      <c r="DG544" s="1317"/>
    </row>
    <row r="545" ht="18.75" customHeight="1">
      <c r="G545" s="1344"/>
      <c r="H545" s="1345">
        <f t="shared" si="4"/>
        <v>0</v>
      </c>
      <c r="I545" s="1381"/>
      <c r="J545" s="1381"/>
      <c r="K545" s="1381"/>
      <c r="L545" s="1381"/>
      <c r="M545" s="1381"/>
      <c r="N545" s="1381"/>
      <c r="O545" s="1381"/>
      <c r="P545" s="1381"/>
      <c r="Q545" s="1381"/>
      <c r="R545" s="1381"/>
      <c r="T545" s="1349"/>
      <c r="U545" s="1349" t="s">
        <v>123</v>
      </c>
      <c r="V545" s="1349" t="s">
        <v>123</v>
      </c>
      <c r="W545" s="1349"/>
      <c r="X545" s="1349"/>
      <c r="Y545" s="1308"/>
      <c r="Z545" s="437" t="str">
        <f>IFERROR(__xludf.DUMMYFUNCTION("IF(NOT('portfólio'!$AV$7),"""",IF($T545="""","""",IFERROR(query({AtivosDados},""select sum(""&amp;Z$3&amp;"") where Col1='""&amp;$T545&amp;""' label sum(""&amp;Z$3&amp;"") ''""),0)))"),"")</f>
        <v/>
      </c>
      <c r="AA545" s="437" t="str">
        <f>IFERROR(__xludf.DUMMYFUNCTION("IF(NOT('portfólio'!$AV$7),"""",IF($T545="""","""",IFERROR(query({AtivosDados},""select sum(""&amp;AA$3&amp;"") where Col1='""&amp;$T545&amp;""' label sum(""&amp;AA$3&amp;"") ''""),0)))"),"")</f>
        <v/>
      </c>
      <c r="AB545" s="437" t="str">
        <f>IFERROR(__xludf.DUMMYFUNCTION("IF(NOT('portfólio'!$AV$7),"""",IF($T545="""","""",IFERROR(query({AtivosDados},""select sum(""&amp;AB$3&amp;"") where Col1='""&amp;$T545&amp;""' label sum(""&amp;AB$3&amp;"") ''""),0)))"),"")</f>
        <v/>
      </c>
      <c r="AC545" s="437" t="str">
        <f>IFERROR(__xludf.DUMMYFUNCTION("IF(NOT('portfólio'!$AV$7),"""",IF($T545="""","""",IFERROR(query({AtivosDados},""select sum(""&amp;AC$3&amp;"") where Col1='""&amp;$T545&amp;""' label sum(""&amp;AC$3&amp;"") ''""),0)))"),"")</f>
        <v/>
      </c>
      <c r="AD545" s="437" t="str">
        <f>IFERROR(__xludf.DUMMYFUNCTION("IF(NOT('portfólio'!$AV$7),"""",IF($T545="""","""",IFERROR(query({AtivosDados},""select sum(""&amp;AD$3&amp;"") where Col1='""&amp;$T545&amp;""' label sum(""&amp;AD$3&amp;"") ''""),0)))"),"")</f>
        <v/>
      </c>
      <c r="AE545" s="437"/>
      <c r="AF545" s="1327"/>
      <c r="AG545" s="437"/>
      <c r="AH545" s="437"/>
      <c r="AI545" s="437"/>
      <c r="AJ545" s="437"/>
      <c r="AK545" s="437"/>
      <c r="AL545" s="437"/>
      <c r="AM545" s="437"/>
      <c r="AN545" s="437"/>
      <c r="AO545" s="437"/>
      <c r="AP545" s="437"/>
      <c r="AQ545" s="1327"/>
      <c r="AR545" s="437"/>
      <c r="AS545" s="437"/>
      <c r="AT545" s="437"/>
      <c r="AU545" s="437"/>
      <c r="AV545" s="437"/>
      <c r="AW545" s="437"/>
      <c r="AX545" s="437"/>
      <c r="AY545" s="437"/>
      <c r="AZ545" s="437"/>
      <c r="BA545" s="437"/>
      <c r="BB545" s="1327"/>
      <c r="BC545" s="437"/>
      <c r="BD545" s="437"/>
      <c r="BE545" s="437"/>
      <c r="BF545" s="437"/>
      <c r="BG545" s="437"/>
      <c r="BH545" s="437"/>
      <c r="BI545" s="437"/>
      <c r="BJ545" s="437"/>
      <c r="BK545" s="437"/>
      <c r="BL545" s="437"/>
      <c r="BM545" s="1327"/>
      <c r="BN545" s="1327"/>
      <c r="BO545" s="1327"/>
      <c r="BP545" s="1327"/>
      <c r="BQ545" s="1327"/>
      <c r="BR545" s="1327"/>
      <c r="BS545" s="1327"/>
      <c r="BT545" s="1327"/>
      <c r="BU545" s="1327"/>
      <c r="BV545" s="1327"/>
      <c r="BW545" s="1327"/>
      <c r="BX545" s="1327"/>
      <c r="BY545" s="1327"/>
      <c r="BZ545" s="1327"/>
      <c r="CA545" s="1327"/>
      <c r="CB545" s="1327"/>
      <c r="CC545" s="1327"/>
      <c r="CD545" s="1327"/>
      <c r="CE545" s="1327"/>
      <c r="CF545" s="1327"/>
      <c r="CG545" s="1327"/>
      <c r="CH545" s="1327"/>
      <c r="CI545" s="1327"/>
      <c r="CJ545" s="1327"/>
      <c r="CK545" s="1327"/>
      <c r="CL545" s="1327"/>
      <c r="CM545" s="1327"/>
      <c r="CN545" s="1327"/>
      <c r="CO545" s="1327"/>
      <c r="CP545" s="1327"/>
      <c r="CQ545" s="1327"/>
      <c r="CR545" s="1327"/>
      <c r="CS545" s="1327"/>
      <c r="CT545" s="1317"/>
      <c r="CU545" s="1317"/>
      <c r="CV545" s="1317"/>
      <c r="CW545" s="1317"/>
      <c r="CX545" s="1317"/>
      <c r="CY545" s="1317"/>
      <c r="CZ545" s="1317"/>
      <c r="DA545" s="1317"/>
      <c r="DB545" s="1317"/>
      <c r="DC545" s="1317"/>
      <c r="DD545" s="1317"/>
      <c r="DE545" s="1317"/>
      <c r="DF545" s="1317"/>
      <c r="DG545" s="1317"/>
    </row>
    <row r="546" ht="18.75" customHeight="1">
      <c r="G546" s="1344"/>
      <c r="H546" s="1345">
        <f t="shared" si="4"/>
        <v>0</v>
      </c>
      <c r="I546" s="1381"/>
      <c r="J546" s="1381"/>
      <c r="K546" s="1381"/>
      <c r="L546" s="1381"/>
      <c r="M546" s="1381"/>
      <c r="N546" s="1381"/>
      <c r="O546" s="1381"/>
      <c r="P546" s="1381"/>
      <c r="Q546" s="1381"/>
      <c r="R546" s="1381"/>
      <c r="T546" s="1349"/>
      <c r="U546" s="1349" t="s">
        <v>123</v>
      </c>
      <c r="V546" s="1349" t="s">
        <v>123</v>
      </c>
      <c r="W546" s="1349"/>
      <c r="X546" s="1349"/>
      <c r="Y546" s="1308"/>
      <c r="Z546" s="437" t="str">
        <f>IFERROR(__xludf.DUMMYFUNCTION("IF(NOT('portfólio'!$AV$7),"""",IF($T546="""","""",IFERROR(query({AtivosDados},""select sum(""&amp;Z$3&amp;"") where Col1='""&amp;$T546&amp;""' label sum(""&amp;Z$3&amp;"") ''""),0)))"),"")</f>
        <v/>
      </c>
      <c r="AA546" s="437" t="str">
        <f>IFERROR(__xludf.DUMMYFUNCTION("IF(NOT('portfólio'!$AV$7),"""",IF($T546="""","""",IFERROR(query({AtivosDados},""select sum(""&amp;AA$3&amp;"") where Col1='""&amp;$T546&amp;""' label sum(""&amp;AA$3&amp;"") ''""),0)))"),"")</f>
        <v/>
      </c>
      <c r="AB546" s="437" t="str">
        <f>IFERROR(__xludf.DUMMYFUNCTION("IF(NOT('portfólio'!$AV$7),"""",IF($T546="""","""",IFERROR(query({AtivosDados},""select sum(""&amp;AB$3&amp;"") where Col1='""&amp;$T546&amp;""' label sum(""&amp;AB$3&amp;"") ''""),0)))"),"")</f>
        <v/>
      </c>
      <c r="AC546" s="437" t="str">
        <f>IFERROR(__xludf.DUMMYFUNCTION("IF(NOT('portfólio'!$AV$7),"""",IF($T546="""","""",IFERROR(query({AtivosDados},""select sum(""&amp;AC$3&amp;"") where Col1='""&amp;$T546&amp;""' label sum(""&amp;AC$3&amp;"") ''""),0)))"),"")</f>
        <v/>
      </c>
      <c r="AD546" s="437" t="str">
        <f>IFERROR(__xludf.DUMMYFUNCTION("IF(NOT('portfólio'!$AV$7),"""",IF($T546="""","""",IFERROR(query({AtivosDados},""select sum(""&amp;AD$3&amp;"") where Col1='""&amp;$T546&amp;""' label sum(""&amp;AD$3&amp;"") ''""),0)))"),"")</f>
        <v/>
      </c>
      <c r="AE546" s="437"/>
      <c r="AF546" s="1327"/>
      <c r="AG546" s="437"/>
      <c r="AH546" s="437"/>
      <c r="AI546" s="437"/>
      <c r="AJ546" s="437"/>
      <c r="AK546" s="437"/>
      <c r="AL546" s="437"/>
      <c r="AM546" s="437"/>
      <c r="AN546" s="437"/>
      <c r="AO546" s="437"/>
      <c r="AP546" s="437"/>
      <c r="AQ546" s="1327"/>
      <c r="AR546" s="437"/>
      <c r="AS546" s="437"/>
      <c r="AT546" s="437"/>
      <c r="AU546" s="437"/>
      <c r="AV546" s="437"/>
      <c r="AW546" s="437"/>
      <c r="AX546" s="437"/>
      <c r="AY546" s="437"/>
      <c r="AZ546" s="437"/>
      <c r="BA546" s="437"/>
      <c r="BB546" s="1327"/>
      <c r="BC546" s="437"/>
      <c r="BD546" s="437"/>
      <c r="BE546" s="437"/>
      <c r="BF546" s="437"/>
      <c r="BG546" s="437"/>
      <c r="BH546" s="437"/>
      <c r="BI546" s="437"/>
      <c r="BJ546" s="437"/>
      <c r="BK546" s="437"/>
      <c r="BL546" s="437"/>
      <c r="BM546" s="1327"/>
      <c r="BN546" s="1327"/>
      <c r="BO546" s="1327"/>
      <c r="BP546" s="1327"/>
      <c r="BQ546" s="1327"/>
      <c r="BR546" s="1327"/>
      <c r="BS546" s="1327"/>
      <c r="BT546" s="1327"/>
      <c r="BU546" s="1327"/>
      <c r="BV546" s="1327"/>
      <c r="BW546" s="1327"/>
      <c r="BX546" s="1327"/>
      <c r="BY546" s="1327"/>
      <c r="BZ546" s="1327"/>
      <c r="CA546" s="1327"/>
      <c r="CB546" s="1327"/>
      <c r="CC546" s="1327"/>
      <c r="CD546" s="1327"/>
      <c r="CE546" s="1327"/>
      <c r="CF546" s="1327"/>
      <c r="CG546" s="1327"/>
      <c r="CH546" s="1327"/>
      <c r="CI546" s="1327"/>
      <c r="CJ546" s="1327"/>
      <c r="CK546" s="1327"/>
      <c r="CL546" s="1327"/>
      <c r="CM546" s="1327"/>
      <c r="CN546" s="1327"/>
      <c r="CO546" s="1327"/>
      <c r="CP546" s="1327"/>
      <c r="CQ546" s="1327"/>
      <c r="CR546" s="1327"/>
      <c r="CS546" s="1327"/>
      <c r="CT546" s="1317"/>
      <c r="CU546" s="1317"/>
      <c r="CV546" s="1317"/>
      <c r="CW546" s="1317"/>
      <c r="CX546" s="1317"/>
      <c r="CY546" s="1317"/>
      <c r="CZ546" s="1317"/>
      <c r="DA546" s="1317"/>
      <c r="DB546" s="1317"/>
      <c r="DC546" s="1317"/>
      <c r="DD546" s="1317"/>
      <c r="DE546" s="1317"/>
      <c r="DF546" s="1317"/>
      <c r="DG546" s="1317"/>
    </row>
    <row r="547" ht="18.75" customHeight="1">
      <c r="G547" s="1344"/>
      <c r="H547" s="1345">
        <f t="shared" si="4"/>
        <v>0</v>
      </c>
      <c r="I547" s="1381"/>
      <c r="J547" s="1381"/>
      <c r="K547" s="1381"/>
      <c r="L547" s="1381"/>
      <c r="M547" s="1381"/>
      <c r="N547" s="1381"/>
      <c r="O547" s="1381"/>
      <c r="P547" s="1381"/>
      <c r="Q547" s="1381"/>
      <c r="R547" s="1381"/>
      <c r="T547" s="1349"/>
      <c r="U547" s="1349" t="s">
        <v>123</v>
      </c>
      <c r="V547" s="1349" t="s">
        <v>123</v>
      </c>
      <c r="W547" s="1349"/>
      <c r="X547" s="1349"/>
      <c r="Y547" s="1308"/>
      <c r="Z547" s="437" t="str">
        <f>IFERROR(__xludf.DUMMYFUNCTION("IF(NOT('portfólio'!$AV$7),"""",IF($T547="""","""",IFERROR(query({AtivosDados},""select sum(""&amp;Z$3&amp;"") where Col1='""&amp;$T547&amp;""' label sum(""&amp;Z$3&amp;"") ''""),0)))"),"")</f>
        <v/>
      </c>
      <c r="AA547" s="437" t="str">
        <f>IFERROR(__xludf.DUMMYFUNCTION("IF(NOT('portfólio'!$AV$7),"""",IF($T547="""","""",IFERROR(query({AtivosDados},""select sum(""&amp;AA$3&amp;"") where Col1='""&amp;$T547&amp;""' label sum(""&amp;AA$3&amp;"") ''""),0)))"),"")</f>
        <v/>
      </c>
      <c r="AB547" s="437" t="str">
        <f>IFERROR(__xludf.DUMMYFUNCTION("IF(NOT('portfólio'!$AV$7),"""",IF($T547="""","""",IFERROR(query({AtivosDados},""select sum(""&amp;AB$3&amp;"") where Col1='""&amp;$T547&amp;""' label sum(""&amp;AB$3&amp;"") ''""),0)))"),"")</f>
        <v/>
      </c>
      <c r="AC547" s="437" t="str">
        <f>IFERROR(__xludf.DUMMYFUNCTION("IF(NOT('portfólio'!$AV$7),"""",IF($T547="""","""",IFERROR(query({AtivosDados},""select sum(""&amp;AC$3&amp;"") where Col1='""&amp;$T547&amp;""' label sum(""&amp;AC$3&amp;"") ''""),0)))"),"")</f>
        <v/>
      </c>
      <c r="AD547" s="437" t="str">
        <f>IFERROR(__xludf.DUMMYFUNCTION("IF(NOT('portfólio'!$AV$7),"""",IF($T547="""","""",IFERROR(query({AtivosDados},""select sum(""&amp;AD$3&amp;"") where Col1='""&amp;$T547&amp;""' label sum(""&amp;AD$3&amp;"") ''""),0)))"),"")</f>
        <v/>
      </c>
      <c r="AE547" s="437"/>
      <c r="AF547" s="1327"/>
      <c r="AG547" s="437"/>
      <c r="AH547" s="437"/>
      <c r="AI547" s="437"/>
      <c r="AJ547" s="437"/>
      <c r="AK547" s="437"/>
      <c r="AL547" s="437"/>
      <c r="AM547" s="437"/>
      <c r="AN547" s="437"/>
      <c r="AO547" s="437"/>
      <c r="AP547" s="437"/>
      <c r="AQ547" s="1327"/>
      <c r="AR547" s="437"/>
      <c r="AS547" s="437"/>
      <c r="AT547" s="437"/>
      <c r="AU547" s="437"/>
      <c r="AV547" s="437"/>
      <c r="AW547" s="437"/>
      <c r="AX547" s="437"/>
      <c r="AY547" s="437"/>
      <c r="AZ547" s="437"/>
      <c r="BA547" s="437"/>
      <c r="BB547" s="1327"/>
      <c r="BC547" s="437"/>
      <c r="BD547" s="437"/>
      <c r="BE547" s="437"/>
      <c r="BF547" s="437"/>
      <c r="BG547" s="437"/>
      <c r="BH547" s="437"/>
      <c r="BI547" s="437"/>
      <c r="BJ547" s="437"/>
      <c r="BK547" s="437"/>
      <c r="BL547" s="437"/>
      <c r="BM547" s="1327"/>
      <c r="BN547" s="1327"/>
      <c r="BO547" s="1327"/>
      <c r="BP547" s="1327"/>
      <c r="BQ547" s="1327"/>
      <c r="BR547" s="1327"/>
      <c r="BS547" s="1327"/>
      <c r="BT547" s="1327"/>
      <c r="BU547" s="1327"/>
      <c r="BV547" s="1327"/>
      <c r="BW547" s="1327"/>
      <c r="BX547" s="1327"/>
      <c r="BY547" s="1327"/>
      <c r="BZ547" s="1327"/>
      <c r="CA547" s="1327"/>
      <c r="CB547" s="1327"/>
      <c r="CC547" s="1327"/>
      <c r="CD547" s="1327"/>
      <c r="CE547" s="1327"/>
      <c r="CF547" s="1327"/>
      <c r="CG547" s="1327"/>
      <c r="CH547" s="1327"/>
      <c r="CI547" s="1327"/>
      <c r="CJ547" s="1327"/>
      <c r="CK547" s="1327"/>
      <c r="CL547" s="1327"/>
      <c r="CM547" s="1327"/>
      <c r="CN547" s="1327"/>
      <c r="CO547" s="1327"/>
      <c r="CP547" s="1327"/>
      <c r="CQ547" s="1327"/>
      <c r="CR547" s="1327"/>
      <c r="CS547" s="1327"/>
      <c r="CT547" s="1317"/>
      <c r="CU547" s="1317"/>
      <c r="CV547" s="1317"/>
      <c r="CW547" s="1317"/>
      <c r="CX547" s="1317"/>
      <c r="CY547" s="1317"/>
      <c r="CZ547" s="1317"/>
      <c r="DA547" s="1317"/>
      <c r="DB547" s="1317"/>
      <c r="DC547" s="1317"/>
      <c r="DD547" s="1317"/>
      <c r="DE547" s="1317"/>
      <c r="DF547" s="1317"/>
      <c r="DG547" s="1317"/>
    </row>
    <row r="548" ht="18.75" customHeight="1">
      <c r="G548" s="1344"/>
      <c r="H548" s="1345">
        <f t="shared" si="4"/>
        <v>0</v>
      </c>
      <c r="I548" s="1381"/>
      <c r="J548" s="1381"/>
      <c r="K548" s="1381"/>
      <c r="L548" s="1381"/>
      <c r="M548" s="1381"/>
      <c r="N548" s="1381"/>
      <c r="O548" s="1381"/>
      <c r="P548" s="1381"/>
      <c r="Q548" s="1381"/>
      <c r="R548" s="1381"/>
      <c r="T548" s="1349"/>
      <c r="U548" s="1349" t="s">
        <v>123</v>
      </c>
      <c r="V548" s="1349" t="s">
        <v>123</v>
      </c>
      <c r="W548" s="1349"/>
      <c r="X548" s="1349"/>
      <c r="Y548" s="1308"/>
      <c r="Z548" s="437" t="str">
        <f>IFERROR(__xludf.DUMMYFUNCTION("IF(NOT('portfólio'!$AV$7),"""",IF($T548="""","""",IFERROR(query({AtivosDados},""select sum(""&amp;Z$3&amp;"") where Col1='""&amp;$T548&amp;""' label sum(""&amp;Z$3&amp;"") ''""),0)))"),"")</f>
        <v/>
      </c>
      <c r="AA548" s="437" t="str">
        <f>IFERROR(__xludf.DUMMYFUNCTION("IF(NOT('portfólio'!$AV$7),"""",IF($T548="""","""",IFERROR(query({AtivosDados},""select sum(""&amp;AA$3&amp;"") where Col1='""&amp;$T548&amp;""' label sum(""&amp;AA$3&amp;"") ''""),0)))"),"")</f>
        <v/>
      </c>
      <c r="AB548" s="437" t="str">
        <f>IFERROR(__xludf.DUMMYFUNCTION("IF(NOT('portfólio'!$AV$7),"""",IF($T548="""","""",IFERROR(query({AtivosDados},""select sum(""&amp;AB$3&amp;"") where Col1='""&amp;$T548&amp;""' label sum(""&amp;AB$3&amp;"") ''""),0)))"),"")</f>
        <v/>
      </c>
      <c r="AC548" s="437" t="str">
        <f>IFERROR(__xludf.DUMMYFUNCTION("IF(NOT('portfólio'!$AV$7),"""",IF($T548="""","""",IFERROR(query({AtivosDados},""select sum(""&amp;AC$3&amp;"") where Col1='""&amp;$T548&amp;""' label sum(""&amp;AC$3&amp;"") ''""),0)))"),"")</f>
        <v/>
      </c>
      <c r="AD548" s="437" t="str">
        <f>IFERROR(__xludf.DUMMYFUNCTION("IF(NOT('portfólio'!$AV$7),"""",IF($T548="""","""",IFERROR(query({AtivosDados},""select sum(""&amp;AD$3&amp;"") where Col1='""&amp;$T548&amp;""' label sum(""&amp;AD$3&amp;"") ''""),0)))"),"")</f>
        <v/>
      </c>
      <c r="AE548" s="437"/>
      <c r="AF548" s="1327"/>
      <c r="AG548" s="437"/>
      <c r="AH548" s="437"/>
      <c r="AI548" s="437"/>
      <c r="AJ548" s="437"/>
      <c r="AK548" s="437"/>
      <c r="AL548" s="437"/>
      <c r="AM548" s="437"/>
      <c r="AN548" s="437"/>
      <c r="AO548" s="437"/>
      <c r="AP548" s="437"/>
      <c r="AQ548" s="1327"/>
      <c r="AR548" s="437"/>
      <c r="AS548" s="437"/>
      <c r="AT548" s="437"/>
      <c r="AU548" s="437"/>
      <c r="AV548" s="437"/>
      <c r="AW548" s="437"/>
      <c r="AX548" s="437"/>
      <c r="AY548" s="437"/>
      <c r="AZ548" s="437"/>
      <c r="BA548" s="437"/>
      <c r="BB548" s="1327"/>
      <c r="BC548" s="437"/>
      <c r="BD548" s="437"/>
      <c r="BE548" s="437"/>
      <c r="BF548" s="437"/>
      <c r="BG548" s="437"/>
      <c r="BH548" s="437"/>
      <c r="BI548" s="437"/>
      <c r="BJ548" s="437"/>
      <c r="BK548" s="437"/>
      <c r="BL548" s="437"/>
      <c r="BM548" s="1327"/>
      <c r="BN548" s="1327"/>
      <c r="BO548" s="1327"/>
      <c r="BP548" s="1327"/>
      <c r="BQ548" s="1327"/>
      <c r="BR548" s="1327"/>
      <c r="BS548" s="1327"/>
      <c r="BT548" s="1327"/>
      <c r="BU548" s="1327"/>
      <c r="BV548" s="1327"/>
      <c r="BW548" s="1327"/>
      <c r="BX548" s="1327"/>
      <c r="BY548" s="1327"/>
      <c r="BZ548" s="1327"/>
      <c r="CA548" s="1327"/>
      <c r="CB548" s="1327"/>
      <c r="CC548" s="1327"/>
      <c r="CD548" s="1327"/>
      <c r="CE548" s="1327"/>
      <c r="CF548" s="1327"/>
      <c r="CG548" s="1327"/>
      <c r="CH548" s="1327"/>
      <c r="CI548" s="1327"/>
      <c r="CJ548" s="1327"/>
      <c r="CK548" s="1327"/>
      <c r="CL548" s="1327"/>
      <c r="CM548" s="1327"/>
      <c r="CN548" s="1327"/>
      <c r="CO548" s="1327"/>
      <c r="CP548" s="1327"/>
      <c r="CQ548" s="1327"/>
      <c r="CR548" s="1327"/>
      <c r="CS548" s="1327"/>
      <c r="CT548" s="1317"/>
      <c r="CU548" s="1317"/>
      <c r="CV548" s="1317"/>
      <c r="CW548" s="1317"/>
      <c r="CX548" s="1317"/>
      <c r="CY548" s="1317"/>
      <c r="CZ548" s="1317"/>
      <c r="DA548" s="1317"/>
      <c r="DB548" s="1317"/>
      <c r="DC548" s="1317"/>
      <c r="DD548" s="1317"/>
      <c r="DE548" s="1317"/>
      <c r="DF548" s="1317"/>
      <c r="DG548" s="1317"/>
    </row>
    <row r="549" ht="18.75" customHeight="1">
      <c r="G549" s="1344"/>
      <c r="H549" s="1345">
        <f t="shared" si="4"/>
        <v>0</v>
      </c>
      <c r="I549" s="1381"/>
      <c r="J549" s="1381"/>
      <c r="K549" s="1381"/>
      <c r="L549" s="1381"/>
      <c r="M549" s="1381"/>
      <c r="N549" s="1381"/>
      <c r="O549" s="1381"/>
      <c r="P549" s="1381"/>
      <c r="Q549" s="1381"/>
      <c r="R549" s="1381"/>
      <c r="T549" s="1349"/>
      <c r="U549" s="1349" t="s">
        <v>123</v>
      </c>
      <c r="V549" s="1349" t="s">
        <v>123</v>
      </c>
      <c r="W549" s="1349"/>
      <c r="X549" s="1349"/>
      <c r="Y549" s="1308"/>
      <c r="Z549" s="437" t="str">
        <f>IFERROR(__xludf.DUMMYFUNCTION("IF(NOT('portfólio'!$AV$7),"""",IF($T549="""","""",IFERROR(query({AtivosDados},""select sum(""&amp;Z$3&amp;"") where Col1='""&amp;$T549&amp;""' label sum(""&amp;Z$3&amp;"") ''""),0)))"),"")</f>
        <v/>
      </c>
      <c r="AA549" s="437" t="str">
        <f>IFERROR(__xludf.DUMMYFUNCTION("IF(NOT('portfólio'!$AV$7),"""",IF($T549="""","""",IFERROR(query({AtivosDados},""select sum(""&amp;AA$3&amp;"") where Col1='""&amp;$T549&amp;""' label sum(""&amp;AA$3&amp;"") ''""),0)))"),"")</f>
        <v/>
      </c>
      <c r="AB549" s="437" t="str">
        <f>IFERROR(__xludf.DUMMYFUNCTION("IF(NOT('portfólio'!$AV$7),"""",IF($T549="""","""",IFERROR(query({AtivosDados},""select sum(""&amp;AB$3&amp;"") where Col1='""&amp;$T549&amp;""' label sum(""&amp;AB$3&amp;"") ''""),0)))"),"")</f>
        <v/>
      </c>
      <c r="AC549" s="437" t="str">
        <f>IFERROR(__xludf.DUMMYFUNCTION("IF(NOT('portfólio'!$AV$7),"""",IF($T549="""","""",IFERROR(query({AtivosDados},""select sum(""&amp;AC$3&amp;"") where Col1='""&amp;$T549&amp;""' label sum(""&amp;AC$3&amp;"") ''""),0)))"),"")</f>
        <v/>
      </c>
      <c r="AD549" s="437" t="str">
        <f>IFERROR(__xludf.DUMMYFUNCTION("IF(NOT('portfólio'!$AV$7),"""",IF($T549="""","""",IFERROR(query({AtivosDados},""select sum(""&amp;AD$3&amp;"") where Col1='""&amp;$T549&amp;""' label sum(""&amp;AD$3&amp;"") ''""),0)))"),"")</f>
        <v/>
      </c>
      <c r="AE549" s="437"/>
      <c r="AF549" s="1327"/>
      <c r="AG549" s="437"/>
      <c r="AH549" s="437"/>
      <c r="AI549" s="437"/>
      <c r="AJ549" s="437"/>
      <c r="AK549" s="437"/>
      <c r="AL549" s="437"/>
      <c r="AM549" s="437"/>
      <c r="AN549" s="437"/>
      <c r="AO549" s="437"/>
      <c r="AP549" s="437"/>
      <c r="AQ549" s="1327"/>
      <c r="AR549" s="437"/>
      <c r="AS549" s="437"/>
      <c r="AT549" s="437"/>
      <c r="AU549" s="437"/>
      <c r="AV549" s="437"/>
      <c r="AW549" s="437"/>
      <c r="AX549" s="437"/>
      <c r="AY549" s="437"/>
      <c r="AZ549" s="437"/>
      <c r="BA549" s="437"/>
      <c r="BB549" s="1327"/>
      <c r="BC549" s="437"/>
      <c r="BD549" s="437"/>
      <c r="BE549" s="437"/>
      <c r="BF549" s="437"/>
      <c r="BG549" s="437"/>
      <c r="BH549" s="437"/>
      <c r="BI549" s="437"/>
      <c r="BJ549" s="437"/>
      <c r="BK549" s="437"/>
      <c r="BL549" s="437"/>
      <c r="BM549" s="1327"/>
      <c r="BN549" s="1327"/>
      <c r="BO549" s="1327"/>
      <c r="BP549" s="1327"/>
      <c r="BQ549" s="1327"/>
      <c r="BR549" s="1327"/>
      <c r="BS549" s="1327"/>
      <c r="BT549" s="1327"/>
      <c r="BU549" s="1327"/>
      <c r="BV549" s="1327"/>
      <c r="BW549" s="1327"/>
      <c r="BX549" s="1327"/>
      <c r="BY549" s="1327"/>
      <c r="BZ549" s="1327"/>
      <c r="CA549" s="1327"/>
      <c r="CB549" s="1327"/>
      <c r="CC549" s="1327"/>
      <c r="CD549" s="1327"/>
      <c r="CE549" s="1327"/>
      <c r="CF549" s="1327"/>
      <c r="CG549" s="1327"/>
      <c r="CH549" s="1327"/>
      <c r="CI549" s="1327"/>
      <c r="CJ549" s="1327"/>
      <c r="CK549" s="1327"/>
      <c r="CL549" s="1327"/>
      <c r="CM549" s="1327"/>
      <c r="CN549" s="1327"/>
      <c r="CO549" s="1327"/>
      <c r="CP549" s="1327"/>
      <c r="CQ549" s="1327"/>
      <c r="CR549" s="1327"/>
      <c r="CS549" s="1327"/>
      <c r="CT549" s="1317"/>
      <c r="CU549" s="1317"/>
      <c r="CV549" s="1317"/>
      <c r="CW549" s="1317"/>
      <c r="CX549" s="1317"/>
      <c r="CY549" s="1317"/>
      <c r="CZ549" s="1317"/>
      <c r="DA549" s="1317"/>
      <c r="DB549" s="1317"/>
      <c r="DC549" s="1317"/>
      <c r="DD549" s="1317"/>
      <c r="DE549" s="1317"/>
      <c r="DF549" s="1317"/>
      <c r="DG549" s="1317"/>
    </row>
    <row r="550" ht="18.75" customHeight="1">
      <c r="G550" s="1344"/>
      <c r="H550" s="1345">
        <f t="shared" si="4"/>
        <v>0</v>
      </c>
      <c r="I550" s="1381"/>
      <c r="J550" s="1381"/>
      <c r="K550" s="1381"/>
      <c r="L550" s="1381"/>
      <c r="M550" s="1381"/>
      <c r="N550" s="1381"/>
      <c r="O550" s="1381"/>
      <c r="P550" s="1381"/>
      <c r="Q550" s="1381"/>
      <c r="R550" s="1381"/>
      <c r="T550" s="1349"/>
      <c r="U550" s="1349" t="s">
        <v>123</v>
      </c>
      <c r="V550" s="1349" t="s">
        <v>123</v>
      </c>
      <c r="W550" s="1349"/>
      <c r="X550" s="1349"/>
      <c r="Y550" s="1308"/>
      <c r="Z550" s="437" t="str">
        <f>IFERROR(__xludf.DUMMYFUNCTION("IF(NOT('portfólio'!$AV$7),"""",IF($T550="""","""",IFERROR(query({AtivosDados},""select sum(""&amp;Z$3&amp;"") where Col1='""&amp;$T550&amp;""' label sum(""&amp;Z$3&amp;"") ''""),0)))"),"")</f>
        <v/>
      </c>
      <c r="AA550" s="437" t="str">
        <f>IFERROR(__xludf.DUMMYFUNCTION("IF(NOT('portfólio'!$AV$7),"""",IF($T550="""","""",IFERROR(query({AtivosDados},""select sum(""&amp;AA$3&amp;"") where Col1='""&amp;$T550&amp;""' label sum(""&amp;AA$3&amp;"") ''""),0)))"),"")</f>
        <v/>
      </c>
      <c r="AB550" s="437" t="str">
        <f>IFERROR(__xludf.DUMMYFUNCTION("IF(NOT('portfólio'!$AV$7),"""",IF($T550="""","""",IFERROR(query({AtivosDados},""select sum(""&amp;AB$3&amp;"") where Col1='""&amp;$T550&amp;""' label sum(""&amp;AB$3&amp;"") ''""),0)))"),"")</f>
        <v/>
      </c>
      <c r="AC550" s="437" t="str">
        <f>IFERROR(__xludf.DUMMYFUNCTION("IF(NOT('portfólio'!$AV$7),"""",IF($T550="""","""",IFERROR(query({AtivosDados},""select sum(""&amp;AC$3&amp;"") where Col1='""&amp;$T550&amp;""' label sum(""&amp;AC$3&amp;"") ''""),0)))"),"")</f>
        <v/>
      </c>
      <c r="AD550" s="437" t="str">
        <f>IFERROR(__xludf.DUMMYFUNCTION("IF(NOT('portfólio'!$AV$7),"""",IF($T550="""","""",IFERROR(query({AtivosDados},""select sum(""&amp;AD$3&amp;"") where Col1='""&amp;$T550&amp;""' label sum(""&amp;AD$3&amp;"") ''""),0)))"),"")</f>
        <v/>
      </c>
      <c r="AE550" s="437"/>
      <c r="AF550" s="1327"/>
      <c r="AG550" s="437"/>
      <c r="AH550" s="437"/>
      <c r="AI550" s="437"/>
      <c r="AJ550" s="437"/>
      <c r="AK550" s="437"/>
      <c r="AL550" s="437"/>
      <c r="AM550" s="437"/>
      <c r="AN550" s="437"/>
      <c r="AO550" s="437"/>
      <c r="AP550" s="437"/>
      <c r="AQ550" s="1327"/>
      <c r="AR550" s="437"/>
      <c r="AS550" s="437"/>
      <c r="AT550" s="437"/>
      <c r="AU550" s="437"/>
      <c r="AV550" s="437"/>
      <c r="AW550" s="437"/>
      <c r="AX550" s="437"/>
      <c r="AY550" s="437"/>
      <c r="AZ550" s="437"/>
      <c r="BA550" s="437"/>
      <c r="BB550" s="1327"/>
      <c r="BC550" s="437"/>
      <c r="BD550" s="437"/>
      <c r="BE550" s="437"/>
      <c r="BF550" s="437"/>
      <c r="BG550" s="437"/>
      <c r="BH550" s="437"/>
      <c r="BI550" s="437"/>
      <c r="BJ550" s="437"/>
      <c r="BK550" s="437"/>
      <c r="BL550" s="437"/>
      <c r="BM550" s="1327"/>
      <c r="BN550" s="1327"/>
      <c r="BO550" s="1327"/>
      <c r="BP550" s="1327"/>
      <c r="BQ550" s="1327"/>
      <c r="BR550" s="1327"/>
      <c r="BS550" s="1327"/>
      <c r="BT550" s="1327"/>
      <c r="BU550" s="1327"/>
      <c r="BV550" s="1327"/>
      <c r="BW550" s="1327"/>
      <c r="BX550" s="1327"/>
      <c r="BY550" s="1327"/>
      <c r="BZ550" s="1327"/>
      <c r="CA550" s="1327"/>
      <c r="CB550" s="1327"/>
      <c r="CC550" s="1327"/>
      <c r="CD550" s="1327"/>
      <c r="CE550" s="1327"/>
      <c r="CF550" s="1327"/>
      <c r="CG550" s="1327"/>
      <c r="CH550" s="1327"/>
      <c r="CI550" s="1327"/>
      <c r="CJ550" s="1327"/>
      <c r="CK550" s="1327"/>
      <c r="CL550" s="1327"/>
      <c r="CM550" s="1327"/>
      <c r="CN550" s="1327"/>
      <c r="CO550" s="1327"/>
      <c r="CP550" s="1327"/>
      <c r="CQ550" s="1327"/>
      <c r="CR550" s="1327"/>
      <c r="CS550" s="1327"/>
      <c r="CT550" s="1317"/>
      <c r="CU550" s="1317"/>
      <c r="CV550" s="1317"/>
      <c r="CW550" s="1317"/>
      <c r="CX550" s="1317"/>
      <c r="CY550" s="1317"/>
      <c r="CZ550" s="1317"/>
      <c r="DA550" s="1317"/>
      <c r="DB550" s="1317"/>
      <c r="DC550" s="1317"/>
      <c r="DD550" s="1317"/>
      <c r="DE550" s="1317"/>
      <c r="DF550" s="1317"/>
      <c r="DG550" s="1317"/>
    </row>
    <row r="551" ht="18.75" customHeight="1">
      <c r="G551" s="1344"/>
      <c r="H551" s="1345">
        <f t="shared" si="4"/>
        <v>0</v>
      </c>
      <c r="I551" s="1381"/>
      <c r="J551" s="1381"/>
      <c r="K551" s="1381"/>
      <c r="L551" s="1381"/>
      <c r="M551" s="1381"/>
      <c r="N551" s="1381"/>
      <c r="O551" s="1381"/>
      <c r="P551" s="1381"/>
      <c r="Q551" s="1381"/>
      <c r="R551" s="1381"/>
      <c r="T551" s="1349"/>
      <c r="U551" s="1349" t="s">
        <v>123</v>
      </c>
      <c r="V551" s="1349" t="s">
        <v>123</v>
      </c>
      <c r="W551" s="1349"/>
      <c r="X551" s="1349"/>
      <c r="Y551" s="1308"/>
      <c r="Z551" s="437" t="str">
        <f>IFERROR(__xludf.DUMMYFUNCTION("IF(NOT('portfólio'!$AV$7),"""",IF($T551="""","""",IFERROR(query({AtivosDados},""select sum(""&amp;Z$3&amp;"") where Col1='""&amp;$T551&amp;""' label sum(""&amp;Z$3&amp;"") ''""),0)))"),"")</f>
        <v/>
      </c>
      <c r="AA551" s="437" t="str">
        <f>IFERROR(__xludf.DUMMYFUNCTION("IF(NOT('portfólio'!$AV$7),"""",IF($T551="""","""",IFERROR(query({AtivosDados},""select sum(""&amp;AA$3&amp;"") where Col1='""&amp;$T551&amp;""' label sum(""&amp;AA$3&amp;"") ''""),0)))"),"")</f>
        <v/>
      </c>
      <c r="AB551" s="437" t="str">
        <f>IFERROR(__xludf.DUMMYFUNCTION("IF(NOT('portfólio'!$AV$7),"""",IF($T551="""","""",IFERROR(query({AtivosDados},""select sum(""&amp;AB$3&amp;"") where Col1='""&amp;$T551&amp;""' label sum(""&amp;AB$3&amp;"") ''""),0)))"),"")</f>
        <v/>
      </c>
      <c r="AC551" s="437" t="str">
        <f>IFERROR(__xludf.DUMMYFUNCTION("IF(NOT('portfólio'!$AV$7),"""",IF($T551="""","""",IFERROR(query({AtivosDados},""select sum(""&amp;AC$3&amp;"") where Col1='""&amp;$T551&amp;""' label sum(""&amp;AC$3&amp;"") ''""),0)))"),"")</f>
        <v/>
      </c>
      <c r="AD551" s="437" t="str">
        <f>IFERROR(__xludf.DUMMYFUNCTION("IF(NOT('portfólio'!$AV$7),"""",IF($T551="""","""",IFERROR(query({AtivosDados},""select sum(""&amp;AD$3&amp;"") where Col1='""&amp;$T551&amp;""' label sum(""&amp;AD$3&amp;"") ''""),0)))"),"")</f>
        <v/>
      </c>
      <c r="AE551" s="437"/>
      <c r="AF551" s="1327"/>
      <c r="AG551" s="437"/>
      <c r="AH551" s="437"/>
      <c r="AI551" s="437"/>
      <c r="AJ551" s="437"/>
      <c r="AK551" s="437"/>
      <c r="AL551" s="437"/>
      <c r="AM551" s="437"/>
      <c r="AN551" s="437"/>
      <c r="AO551" s="437"/>
      <c r="AP551" s="437"/>
      <c r="AQ551" s="1327"/>
      <c r="AR551" s="437"/>
      <c r="AS551" s="437"/>
      <c r="AT551" s="437"/>
      <c r="AU551" s="437"/>
      <c r="AV551" s="437"/>
      <c r="AW551" s="437"/>
      <c r="AX551" s="437"/>
      <c r="AY551" s="437"/>
      <c r="AZ551" s="437"/>
      <c r="BA551" s="437"/>
      <c r="BB551" s="1327"/>
      <c r="BC551" s="437"/>
      <c r="BD551" s="437"/>
      <c r="BE551" s="437"/>
      <c r="BF551" s="437"/>
      <c r="BG551" s="437"/>
      <c r="BH551" s="437"/>
      <c r="BI551" s="437"/>
      <c r="BJ551" s="437"/>
      <c r="BK551" s="437"/>
      <c r="BL551" s="437"/>
      <c r="BM551" s="1327"/>
      <c r="BN551" s="1327"/>
      <c r="BO551" s="1327"/>
      <c r="BP551" s="1327"/>
      <c r="BQ551" s="1327"/>
      <c r="BR551" s="1327"/>
      <c r="BS551" s="1327"/>
      <c r="BT551" s="1327"/>
      <c r="BU551" s="1327"/>
      <c r="BV551" s="1327"/>
      <c r="BW551" s="1327"/>
      <c r="BX551" s="1327"/>
      <c r="BY551" s="1327"/>
      <c r="BZ551" s="1327"/>
      <c r="CA551" s="1327"/>
      <c r="CB551" s="1327"/>
      <c r="CC551" s="1327"/>
      <c r="CD551" s="1327"/>
      <c r="CE551" s="1327"/>
      <c r="CF551" s="1327"/>
      <c r="CG551" s="1327"/>
      <c r="CH551" s="1327"/>
      <c r="CI551" s="1327"/>
      <c r="CJ551" s="1327"/>
      <c r="CK551" s="1327"/>
      <c r="CL551" s="1327"/>
      <c r="CM551" s="1327"/>
      <c r="CN551" s="1327"/>
      <c r="CO551" s="1327"/>
      <c r="CP551" s="1327"/>
      <c r="CQ551" s="1327"/>
      <c r="CR551" s="1327"/>
      <c r="CS551" s="1327"/>
      <c r="CT551" s="1317"/>
      <c r="CU551" s="1317"/>
      <c r="CV551" s="1317"/>
      <c r="CW551" s="1317"/>
      <c r="CX551" s="1317"/>
      <c r="CY551" s="1317"/>
      <c r="CZ551" s="1317"/>
      <c r="DA551" s="1317"/>
      <c r="DB551" s="1317"/>
      <c r="DC551" s="1317"/>
      <c r="DD551" s="1317"/>
      <c r="DE551" s="1317"/>
      <c r="DF551" s="1317"/>
      <c r="DG551" s="1317"/>
    </row>
    <row r="552" ht="18.75" customHeight="1">
      <c r="G552" s="1344"/>
      <c r="H552" s="1345">
        <f t="shared" si="4"/>
        <v>0</v>
      </c>
      <c r="I552" s="1381"/>
      <c r="J552" s="1381"/>
      <c r="K552" s="1381"/>
      <c r="L552" s="1381"/>
      <c r="M552" s="1381"/>
      <c r="N552" s="1381"/>
      <c r="O552" s="1381"/>
      <c r="P552" s="1381"/>
      <c r="Q552" s="1381"/>
      <c r="R552" s="1381"/>
      <c r="T552" s="1349"/>
      <c r="U552" s="1349" t="s">
        <v>123</v>
      </c>
      <c r="V552" s="1349" t="s">
        <v>123</v>
      </c>
      <c r="W552" s="1349"/>
      <c r="X552" s="1349"/>
      <c r="Y552" s="1308"/>
      <c r="Z552" s="437" t="str">
        <f>IFERROR(__xludf.DUMMYFUNCTION("IF(NOT('portfólio'!$AV$7),"""",IF($T552="""","""",IFERROR(query({AtivosDados},""select sum(""&amp;Z$3&amp;"") where Col1='""&amp;$T552&amp;""' label sum(""&amp;Z$3&amp;"") ''""),0)))"),"")</f>
        <v/>
      </c>
      <c r="AA552" s="437" t="str">
        <f>IFERROR(__xludf.DUMMYFUNCTION("IF(NOT('portfólio'!$AV$7),"""",IF($T552="""","""",IFERROR(query({AtivosDados},""select sum(""&amp;AA$3&amp;"") where Col1='""&amp;$T552&amp;""' label sum(""&amp;AA$3&amp;"") ''""),0)))"),"")</f>
        <v/>
      </c>
      <c r="AB552" s="437" t="str">
        <f>IFERROR(__xludf.DUMMYFUNCTION("IF(NOT('portfólio'!$AV$7),"""",IF($T552="""","""",IFERROR(query({AtivosDados},""select sum(""&amp;AB$3&amp;"") where Col1='""&amp;$T552&amp;""' label sum(""&amp;AB$3&amp;"") ''""),0)))"),"")</f>
        <v/>
      </c>
      <c r="AC552" s="437" t="str">
        <f>IFERROR(__xludf.DUMMYFUNCTION("IF(NOT('portfólio'!$AV$7),"""",IF($T552="""","""",IFERROR(query({AtivosDados},""select sum(""&amp;AC$3&amp;"") where Col1='""&amp;$T552&amp;""' label sum(""&amp;AC$3&amp;"") ''""),0)))"),"")</f>
        <v/>
      </c>
      <c r="AD552" s="437" t="str">
        <f>IFERROR(__xludf.DUMMYFUNCTION("IF(NOT('portfólio'!$AV$7),"""",IF($T552="""","""",IFERROR(query({AtivosDados},""select sum(""&amp;AD$3&amp;"") where Col1='""&amp;$T552&amp;""' label sum(""&amp;AD$3&amp;"") ''""),0)))"),"")</f>
        <v/>
      </c>
      <c r="AE552" s="437"/>
      <c r="AF552" s="1327"/>
      <c r="AG552" s="437"/>
      <c r="AH552" s="437"/>
      <c r="AI552" s="437"/>
      <c r="AJ552" s="437"/>
      <c r="AK552" s="437"/>
      <c r="AL552" s="437"/>
      <c r="AM552" s="437"/>
      <c r="AN552" s="437"/>
      <c r="AO552" s="437"/>
      <c r="AP552" s="437"/>
      <c r="AQ552" s="1327"/>
      <c r="AR552" s="437"/>
      <c r="AS552" s="437"/>
      <c r="AT552" s="437"/>
      <c r="AU552" s="437"/>
      <c r="AV552" s="437"/>
      <c r="AW552" s="437"/>
      <c r="AX552" s="437"/>
      <c r="AY552" s="437"/>
      <c r="AZ552" s="437"/>
      <c r="BA552" s="437"/>
      <c r="BB552" s="1327"/>
      <c r="BC552" s="437"/>
      <c r="BD552" s="437"/>
      <c r="BE552" s="437"/>
      <c r="BF552" s="437"/>
      <c r="BG552" s="437"/>
      <c r="BH552" s="437"/>
      <c r="BI552" s="437"/>
      <c r="BJ552" s="437"/>
      <c r="BK552" s="437"/>
      <c r="BL552" s="437"/>
      <c r="BM552" s="1327"/>
      <c r="BN552" s="1327"/>
      <c r="BO552" s="1327"/>
      <c r="BP552" s="1327"/>
      <c r="BQ552" s="1327"/>
      <c r="BR552" s="1327"/>
      <c r="BS552" s="1327"/>
      <c r="BT552" s="1327"/>
      <c r="BU552" s="1327"/>
      <c r="BV552" s="1327"/>
      <c r="BW552" s="1327"/>
      <c r="BX552" s="1327"/>
      <c r="BY552" s="1327"/>
      <c r="BZ552" s="1327"/>
      <c r="CA552" s="1327"/>
      <c r="CB552" s="1327"/>
      <c r="CC552" s="1327"/>
      <c r="CD552" s="1327"/>
      <c r="CE552" s="1327"/>
      <c r="CF552" s="1327"/>
      <c r="CG552" s="1327"/>
      <c r="CH552" s="1327"/>
      <c r="CI552" s="1327"/>
      <c r="CJ552" s="1327"/>
      <c r="CK552" s="1327"/>
      <c r="CL552" s="1327"/>
      <c r="CM552" s="1327"/>
      <c r="CN552" s="1327"/>
      <c r="CO552" s="1327"/>
      <c r="CP552" s="1327"/>
      <c r="CQ552" s="1327"/>
      <c r="CR552" s="1327"/>
      <c r="CS552" s="1327"/>
      <c r="CT552" s="1317"/>
      <c r="CU552" s="1317"/>
      <c r="CV552" s="1317"/>
      <c r="CW552" s="1317"/>
      <c r="CX552" s="1317"/>
      <c r="CY552" s="1317"/>
      <c r="CZ552" s="1317"/>
      <c r="DA552" s="1317"/>
      <c r="DB552" s="1317"/>
      <c r="DC552" s="1317"/>
      <c r="DD552" s="1317"/>
      <c r="DE552" s="1317"/>
      <c r="DF552" s="1317"/>
      <c r="DG552" s="1317"/>
    </row>
    <row r="553" ht="18.75" customHeight="1">
      <c r="G553" s="1344"/>
      <c r="H553" s="1345">
        <f t="shared" si="4"/>
        <v>0</v>
      </c>
      <c r="I553" s="1381"/>
      <c r="J553" s="1381"/>
      <c r="K553" s="1381"/>
      <c r="L553" s="1381"/>
      <c r="M553" s="1381"/>
      <c r="N553" s="1381"/>
      <c r="O553" s="1381"/>
      <c r="P553" s="1381"/>
      <c r="Q553" s="1381"/>
      <c r="R553" s="1381"/>
      <c r="T553" s="1349"/>
      <c r="U553" s="1349" t="s">
        <v>123</v>
      </c>
      <c r="V553" s="1349" t="s">
        <v>123</v>
      </c>
      <c r="W553" s="1349"/>
      <c r="X553" s="1349"/>
      <c r="Y553" s="1308"/>
      <c r="Z553" s="437" t="str">
        <f>IFERROR(__xludf.DUMMYFUNCTION("IF(NOT('portfólio'!$AV$7),"""",IF($T553="""","""",IFERROR(query({AtivosDados},""select sum(""&amp;Z$3&amp;"") where Col1='""&amp;$T553&amp;""' label sum(""&amp;Z$3&amp;"") ''""),0)))"),"")</f>
        <v/>
      </c>
      <c r="AA553" s="437" t="str">
        <f>IFERROR(__xludf.DUMMYFUNCTION("IF(NOT('portfólio'!$AV$7),"""",IF($T553="""","""",IFERROR(query({AtivosDados},""select sum(""&amp;AA$3&amp;"") where Col1='""&amp;$T553&amp;""' label sum(""&amp;AA$3&amp;"") ''""),0)))"),"")</f>
        <v/>
      </c>
      <c r="AB553" s="437" t="str">
        <f>IFERROR(__xludf.DUMMYFUNCTION("IF(NOT('portfólio'!$AV$7),"""",IF($T553="""","""",IFERROR(query({AtivosDados},""select sum(""&amp;AB$3&amp;"") where Col1='""&amp;$T553&amp;""' label sum(""&amp;AB$3&amp;"") ''""),0)))"),"")</f>
        <v/>
      </c>
      <c r="AC553" s="437" t="str">
        <f>IFERROR(__xludf.DUMMYFUNCTION("IF(NOT('portfólio'!$AV$7),"""",IF($T553="""","""",IFERROR(query({AtivosDados},""select sum(""&amp;AC$3&amp;"") where Col1='""&amp;$T553&amp;""' label sum(""&amp;AC$3&amp;"") ''""),0)))"),"")</f>
        <v/>
      </c>
      <c r="AD553" s="437" t="str">
        <f>IFERROR(__xludf.DUMMYFUNCTION("IF(NOT('portfólio'!$AV$7),"""",IF($T553="""","""",IFERROR(query({AtivosDados},""select sum(""&amp;AD$3&amp;"") where Col1='""&amp;$T553&amp;""' label sum(""&amp;AD$3&amp;"") ''""),0)))"),"")</f>
        <v/>
      </c>
      <c r="AE553" s="437"/>
      <c r="AF553" s="1327"/>
      <c r="AG553" s="437"/>
      <c r="AH553" s="437"/>
      <c r="AI553" s="437"/>
      <c r="AJ553" s="437"/>
      <c r="AK553" s="437"/>
      <c r="AL553" s="437"/>
      <c r="AM553" s="437"/>
      <c r="AN553" s="437"/>
      <c r="AO553" s="437"/>
      <c r="AP553" s="437"/>
      <c r="AQ553" s="1327"/>
      <c r="AR553" s="437"/>
      <c r="AS553" s="437"/>
      <c r="AT553" s="437"/>
      <c r="AU553" s="437"/>
      <c r="AV553" s="437"/>
      <c r="AW553" s="437"/>
      <c r="AX553" s="437"/>
      <c r="AY553" s="437"/>
      <c r="AZ553" s="437"/>
      <c r="BA553" s="437"/>
      <c r="BB553" s="1327"/>
      <c r="BC553" s="437"/>
      <c r="BD553" s="437"/>
      <c r="BE553" s="437"/>
      <c r="BF553" s="437"/>
      <c r="BG553" s="437"/>
      <c r="BH553" s="437"/>
      <c r="BI553" s="437"/>
      <c r="BJ553" s="437"/>
      <c r="BK553" s="437"/>
      <c r="BL553" s="437"/>
      <c r="BM553" s="1327"/>
      <c r="BN553" s="1327"/>
      <c r="BO553" s="1327"/>
      <c r="BP553" s="1327"/>
      <c r="BQ553" s="1327"/>
      <c r="BR553" s="1327"/>
      <c r="BS553" s="1327"/>
      <c r="BT553" s="1327"/>
      <c r="BU553" s="1327"/>
      <c r="BV553" s="1327"/>
      <c r="BW553" s="1327"/>
      <c r="BX553" s="1327"/>
      <c r="BY553" s="1327"/>
      <c r="BZ553" s="1327"/>
      <c r="CA553" s="1327"/>
      <c r="CB553" s="1327"/>
      <c r="CC553" s="1327"/>
      <c r="CD553" s="1327"/>
      <c r="CE553" s="1327"/>
      <c r="CF553" s="1327"/>
      <c r="CG553" s="1327"/>
      <c r="CH553" s="1327"/>
      <c r="CI553" s="1327"/>
      <c r="CJ553" s="1327"/>
      <c r="CK553" s="1327"/>
      <c r="CL553" s="1327"/>
      <c r="CM553" s="1327"/>
      <c r="CN553" s="1327"/>
      <c r="CO553" s="1327"/>
      <c r="CP553" s="1327"/>
      <c r="CQ553" s="1327"/>
      <c r="CR553" s="1327"/>
      <c r="CS553" s="1327"/>
      <c r="CT553" s="1317"/>
      <c r="CU553" s="1317"/>
      <c r="CV553" s="1317"/>
      <c r="CW553" s="1317"/>
      <c r="CX553" s="1317"/>
      <c r="CY553" s="1317"/>
      <c r="CZ553" s="1317"/>
      <c r="DA553" s="1317"/>
      <c r="DB553" s="1317"/>
      <c r="DC553" s="1317"/>
      <c r="DD553" s="1317"/>
      <c r="DE553" s="1317"/>
      <c r="DF553" s="1317"/>
      <c r="DG553" s="1317"/>
    </row>
    <row r="554" ht="18.75" customHeight="1">
      <c r="G554" s="1344"/>
      <c r="H554" s="1345">
        <f t="shared" si="4"/>
        <v>0</v>
      </c>
      <c r="I554" s="1381"/>
      <c r="J554" s="1381"/>
      <c r="K554" s="1381"/>
      <c r="L554" s="1381"/>
      <c r="M554" s="1381"/>
      <c r="N554" s="1381"/>
      <c r="O554" s="1381"/>
      <c r="P554" s="1381"/>
      <c r="Q554" s="1381"/>
      <c r="R554" s="1381"/>
      <c r="T554" s="1349"/>
      <c r="U554" s="1349" t="s">
        <v>123</v>
      </c>
      <c r="V554" s="1349" t="s">
        <v>123</v>
      </c>
      <c r="W554" s="1349"/>
      <c r="X554" s="1349"/>
      <c r="Y554" s="1308"/>
      <c r="Z554" s="437" t="str">
        <f>IFERROR(__xludf.DUMMYFUNCTION("IF(NOT('portfólio'!$AV$7),"""",IF($T554="""","""",IFERROR(query({AtivosDados},""select sum(""&amp;Z$3&amp;"") where Col1='""&amp;$T554&amp;""' label sum(""&amp;Z$3&amp;"") ''""),0)))"),"")</f>
        <v/>
      </c>
      <c r="AA554" s="437" t="str">
        <f>IFERROR(__xludf.DUMMYFUNCTION("IF(NOT('portfólio'!$AV$7),"""",IF($T554="""","""",IFERROR(query({AtivosDados},""select sum(""&amp;AA$3&amp;"") where Col1='""&amp;$T554&amp;""' label sum(""&amp;AA$3&amp;"") ''""),0)))"),"")</f>
        <v/>
      </c>
      <c r="AB554" s="437" t="str">
        <f>IFERROR(__xludf.DUMMYFUNCTION("IF(NOT('portfólio'!$AV$7),"""",IF($T554="""","""",IFERROR(query({AtivosDados},""select sum(""&amp;AB$3&amp;"") where Col1='""&amp;$T554&amp;""' label sum(""&amp;AB$3&amp;"") ''""),0)))"),"")</f>
        <v/>
      </c>
      <c r="AC554" s="437" t="str">
        <f>IFERROR(__xludf.DUMMYFUNCTION("IF(NOT('portfólio'!$AV$7),"""",IF($T554="""","""",IFERROR(query({AtivosDados},""select sum(""&amp;AC$3&amp;"") where Col1='""&amp;$T554&amp;""' label sum(""&amp;AC$3&amp;"") ''""),0)))"),"")</f>
        <v/>
      </c>
      <c r="AD554" s="437" t="str">
        <f>IFERROR(__xludf.DUMMYFUNCTION("IF(NOT('portfólio'!$AV$7),"""",IF($T554="""","""",IFERROR(query({AtivosDados},""select sum(""&amp;AD$3&amp;"") where Col1='""&amp;$T554&amp;""' label sum(""&amp;AD$3&amp;"") ''""),0)))"),"")</f>
        <v/>
      </c>
      <c r="AE554" s="437"/>
      <c r="AF554" s="1327"/>
      <c r="AG554" s="437"/>
      <c r="AH554" s="437"/>
      <c r="AI554" s="437"/>
      <c r="AJ554" s="437"/>
      <c r="AK554" s="437"/>
      <c r="AL554" s="437"/>
      <c r="AM554" s="437"/>
      <c r="AN554" s="437"/>
      <c r="AO554" s="437"/>
      <c r="AP554" s="437"/>
      <c r="AQ554" s="1327"/>
      <c r="AR554" s="437"/>
      <c r="AS554" s="437"/>
      <c r="AT554" s="437"/>
      <c r="AU554" s="437"/>
      <c r="AV554" s="437"/>
      <c r="AW554" s="437"/>
      <c r="AX554" s="437"/>
      <c r="AY554" s="437"/>
      <c r="AZ554" s="437"/>
      <c r="BA554" s="437"/>
      <c r="BB554" s="1327"/>
      <c r="BC554" s="437"/>
      <c r="BD554" s="437"/>
      <c r="BE554" s="437"/>
      <c r="BF554" s="437"/>
      <c r="BG554" s="437"/>
      <c r="BH554" s="437"/>
      <c r="BI554" s="437"/>
      <c r="BJ554" s="437"/>
      <c r="BK554" s="437"/>
      <c r="BL554" s="437"/>
      <c r="BM554" s="1327"/>
      <c r="BN554" s="1327"/>
      <c r="BO554" s="1327"/>
      <c r="BP554" s="1327"/>
      <c r="BQ554" s="1327"/>
      <c r="BR554" s="1327"/>
      <c r="BS554" s="1327"/>
      <c r="BT554" s="1327"/>
      <c r="BU554" s="1327"/>
      <c r="BV554" s="1327"/>
      <c r="BW554" s="1327"/>
      <c r="BX554" s="1327"/>
      <c r="BY554" s="1327"/>
      <c r="BZ554" s="1327"/>
      <c r="CA554" s="1327"/>
      <c r="CB554" s="1327"/>
      <c r="CC554" s="1327"/>
      <c r="CD554" s="1327"/>
      <c r="CE554" s="1327"/>
      <c r="CF554" s="1327"/>
      <c r="CG554" s="1327"/>
      <c r="CH554" s="1327"/>
      <c r="CI554" s="1327"/>
      <c r="CJ554" s="1327"/>
      <c r="CK554" s="1327"/>
      <c r="CL554" s="1327"/>
      <c r="CM554" s="1327"/>
      <c r="CN554" s="1327"/>
      <c r="CO554" s="1327"/>
      <c r="CP554" s="1327"/>
      <c r="CQ554" s="1327"/>
      <c r="CR554" s="1327"/>
      <c r="CS554" s="1327"/>
      <c r="CT554" s="1317"/>
      <c r="CU554" s="1317"/>
      <c r="CV554" s="1317"/>
      <c r="CW554" s="1317"/>
      <c r="CX554" s="1317"/>
      <c r="CY554" s="1317"/>
      <c r="CZ554" s="1317"/>
      <c r="DA554" s="1317"/>
      <c r="DB554" s="1317"/>
      <c r="DC554" s="1317"/>
      <c r="DD554" s="1317"/>
      <c r="DE554" s="1317"/>
      <c r="DF554" s="1317"/>
      <c r="DG554" s="1317"/>
    </row>
    <row r="555" ht="18.75" customHeight="1">
      <c r="G555" s="1344"/>
      <c r="H555" s="1345">
        <f t="shared" si="4"/>
        <v>0</v>
      </c>
      <c r="I555" s="1381"/>
      <c r="J555" s="1381"/>
      <c r="K555" s="1381"/>
      <c r="L555" s="1381"/>
      <c r="M555" s="1381"/>
      <c r="N555" s="1381"/>
      <c r="O555" s="1381"/>
      <c r="P555" s="1381"/>
      <c r="Q555" s="1381"/>
      <c r="R555" s="1381"/>
      <c r="T555" s="1349"/>
      <c r="U555" s="1349" t="s">
        <v>123</v>
      </c>
      <c r="V555" s="1349" t="s">
        <v>123</v>
      </c>
      <c r="W555" s="1349"/>
      <c r="X555" s="1349"/>
      <c r="Y555" s="1308"/>
      <c r="Z555" s="437" t="str">
        <f>IFERROR(__xludf.DUMMYFUNCTION("IF(NOT('portfólio'!$AV$7),"""",IF($T555="""","""",IFERROR(query({AtivosDados},""select sum(""&amp;Z$3&amp;"") where Col1='""&amp;$T555&amp;""' label sum(""&amp;Z$3&amp;"") ''""),0)))"),"")</f>
        <v/>
      </c>
      <c r="AA555" s="437" t="str">
        <f>IFERROR(__xludf.DUMMYFUNCTION("IF(NOT('portfólio'!$AV$7),"""",IF($T555="""","""",IFERROR(query({AtivosDados},""select sum(""&amp;AA$3&amp;"") where Col1='""&amp;$T555&amp;""' label sum(""&amp;AA$3&amp;"") ''""),0)))"),"")</f>
        <v/>
      </c>
      <c r="AB555" s="437" t="str">
        <f>IFERROR(__xludf.DUMMYFUNCTION("IF(NOT('portfólio'!$AV$7),"""",IF($T555="""","""",IFERROR(query({AtivosDados},""select sum(""&amp;AB$3&amp;"") where Col1='""&amp;$T555&amp;""' label sum(""&amp;AB$3&amp;"") ''""),0)))"),"")</f>
        <v/>
      </c>
      <c r="AC555" s="437" t="str">
        <f>IFERROR(__xludf.DUMMYFUNCTION("IF(NOT('portfólio'!$AV$7),"""",IF($T555="""","""",IFERROR(query({AtivosDados},""select sum(""&amp;AC$3&amp;"") where Col1='""&amp;$T555&amp;""' label sum(""&amp;AC$3&amp;"") ''""),0)))"),"")</f>
        <v/>
      </c>
      <c r="AD555" s="437" t="str">
        <f>IFERROR(__xludf.DUMMYFUNCTION("IF(NOT('portfólio'!$AV$7),"""",IF($T555="""","""",IFERROR(query({AtivosDados},""select sum(""&amp;AD$3&amp;"") where Col1='""&amp;$T555&amp;""' label sum(""&amp;AD$3&amp;"") ''""),0)))"),"")</f>
        <v/>
      </c>
      <c r="AE555" s="437"/>
      <c r="AF555" s="1327"/>
      <c r="AG555" s="437"/>
      <c r="AH555" s="437"/>
      <c r="AI555" s="437"/>
      <c r="AJ555" s="437"/>
      <c r="AK555" s="437"/>
      <c r="AL555" s="437"/>
      <c r="AM555" s="437"/>
      <c r="AN555" s="437"/>
      <c r="AO555" s="437"/>
      <c r="AP555" s="437"/>
      <c r="AQ555" s="1327"/>
      <c r="AR555" s="437"/>
      <c r="AS555" s="437"/>
      <c r="AT555" s="437"/>
      <c r="AU555" s="437"/>
      <c r="AV555" s="437"/>
      <c r="AW555" s="437"/>
      <c r="AX555" s="437"/>
      <c r="AY555" s="437"/>
      <c r="AZ555" s="437"/>
      <c r="BA555" s="437"/>
      <c r="BB555" s="1327"/>
      <c r="BC555" s="437"/>
      <c r="BD555" s="437"/>
      <c r="BE555" s="437"/>
      <c r="BF555" s="437"/>
      <c r="BG555" s="437"/>
      <c r="BH555" s="437"/>
      <c r="BI555" s="437"/>
      <c r="BJ555" s="437"/>
      <c r="BK555" s="437"/>
      <c r="BL555" s="437"/>
      <c r="BM555" s="1327"/>
      <c r="BN555" s="1327"/>
      <c r="BO555" s="1327"/>
      <c r="BP555" s="1327"/>
      <c r="BQ555" s="1327"/>
      <c r="BR555" s="1327"/>
      <c r="BS555" s="1327"/>
      <c r="BT555" s="1327"/>
      <c r="BU555" s="1327"/>
      <c r="BV555" s="1327"/>
      <c r="BW555" s="1327"/>
      <c r="BX555" s="1327"/>
      <c r="BY555" s="1327"/>
      <c r="BZ555" s="1327"/>
      <c r="CA555" s="1327"/>
      <c r="CB555" s="1327"/>
      <c r="CC555" s="1327"/>
      <c r="CD555" s="1327"/>
      <c r="CE555" s="1327"/>
      <c r="CF555" s="1327"/>
      <c r="CG555" s="1327"/>
      <c r="CH555" s="1327"/>
      <c r="CI555" s="1327"/>
      <c r="CJ555" s="1327"/>
      <c r="CK555" s="1327"/>
      <c r="CL555" s="1327"/>
      <c r="CM555" s="1327"/>
      <c r="CN555" s="1327"/>
      <c r="CO555" s="1327"/>
      <c r="CP555" s="1327"/>
      <c r="CQ555" s="1327"/>
      <c r="CR555" s="1327"/>
      <c r="CS555" s="1327"/>
      <c r="CT555" s="1317"/>
      <c r="CU555" s="1317"/>
      <c r="CV555" s="1317"/>
      <c r="CW555" s="1317"/>
      <c r="CX555" s="1317"/>
      <c r="CY555" s="1317"/>
      <c r="CZ555" s="1317"/>
      <c r="DA555" s="1317"/>
      <c r="DB555" s="1317"/>
      <c r="DC555" s="1317"/>
      <c r="DD555" s="1317"/>
      <c r="DE555" s="1317"/>
      <c r="DF555" s="1317"/>
      <c r="DG555" s="1317"/>
    </row>
    <row r="556" ht="18.75" customHeight="1">
      <c r="G556" s="1344"/>
      <c r="H556" s="1345">
        <f t="shared" si="4"/>
        <v>0</v>
      </c>
      <c r="I556" s="1381"/>
      <c r="J556" s="1381"/>
      <c r="K556" s="1381"/>
      <c r="L556" s="1381"/>
      <c r="M556" s="1381"/>
      <c r="N556" s="1381"/>
      <c r="O556" s="1381"/>
      <c r="P556" s="1381"/>
      <c r="Q556" s="1381"/>
      <c r="R556" s="1381"/>
      <c r="T556" s="1349"/>
      <c r="U556" s="1349" t="s">
        <v>123</v>
      </c>
      <c r="V556" s="1349" t="s">
        <v>123</v>
      </c>
      <c r="W556" s="1349"/>
      <c r="X556" s="1349"/>
      <c r="Y556" s="1308"/>
      <c r="Z556" s="437" t="str">
        <f>IFERROR(__xludf.DUMMYFUNCTION("IF(NOT('portfólio'!$AV$7),"""",IF($T556="""","""",IFERROR(query({AtivosDados},""select sum(""&amp;Z$3&amp;"") where Col1='""&amp;$T556&amp;""' label sum(""&amp;Z$3&amp;"") ''""),0)))"),"")</f>
        <v/>
      </c>
      <c r="AA556" s="437" t="str">
        <f>IFERROR(__xludf.DUMMYFUNCTION("IF(NOT('portfólio'!$AV$7),"""",IF($T556="""","""",IFERROR(query({AtivosDados},""select sum(""&amp;AA$3&amp;"") where Col1='""&amp;$T556&amp;""' label sum(""&amp;AA$3&amp;"") ''""),0)))"),"")</f>
        <v/>
      </c>
      <c r="AB556" s="437" t="str">
        <f>IFERROR(__xludf.DUMMYFUNCTION("IF(NOT('portfólio'!$AV$7),"""",IF($T556="""","""",IFERROR(query({AtivosDados},""select sum(""&amp;AB$3&amp;"") where Col1='""&amp;$T556&amp;""' label sum(""&amp;AB$3&amp;"") ''""),0)))"),"")</f>
        <v/>
      </c>
      <c r="AC556" s="437" t="str">
        <f>IFERROR(__xludf.DUMMYFUNCTION("IF(NOT('portfólio'!$AV$7),"""",IF($T556="""","""",IFERROR(query({AtivosDados},""select sum(""&amp;AC$3&amp;"") where Col1='""&amp;$T556&amp;""' label sum(""&amp;AC$3&amp;"") ''""),0)))"),"")</f>
        <v/>
      </c>
      <c r="AD556" s="437" t="str">
        <f>IFERROR(__xludf.DUMMYFUNCTION("IF(NOT('portfólio'!$AV$7),"""",IF($T556="""","""",IFERROR(query({AtivosDados},""select sum(""&amp;AD$3&amp;"") where Col1='""&amp;$T556&amp;""' label sum(""&amp;AD$3&amp;"") ''""),0)))"),"")</f>
        <v/>
      </c>
      <c r="AE556" s="437"/>
      <c r="AF556" s="1327"/>
      <c r="AG556" s="437"/>
      <c r="AH556" s="437"/>
      <c r="AI556" s="437"/>
      <c r="AJ556" s="437"/>
      <c r="AK556" s="437"/>
      <c r="AL556" s="437"/>
      <c r="AM556" s="437"/>
      <c r="AN556" s="437"/>
      <c r="AO556" s="437"/>
      <c r="AP556" s="437"/>
      <c r="AQ556" s="1327"/>
      <c r="AR556" s="437"/>
      <c r="AS556" s="437"/>
      <c r="AT556" s="437"/>
      <c r="AU556" s="437"/>
      <c r="AV556" s="437"/>
      <c r="AW556" s="437"/>
      <c r="AX556" s="437"/>
      <c r="AY556" s="437"/>
      <c r="AZ556" s="437"/>
      <c r="BA556" s="437"/>
      <c r="BB556" s="1327"/>
      <c r="BC556" s="437"/>
      <c r="BD556" s="437"/>
      <c r="BE556" s="437"/>
      <c r="BF556" s="437"/>
      <c r="BG556" s="437"/>
      <c r="BH556" s="437"/>
      <c r="BI556" s="437"/>
      <c r="BJ556" s="437"/>
      <c r="BK556" s="437"/>
      <c r="BL556" s="437"/>
      <c r="BM556" s="1327"/>
      <c r="BN556" s="1327"/>
      <c r="BO556" s="1327"/>
      <c r="BP556" s="1327"/>
      <c r="BQ556" s="1327"/>
      <c r="BR556" s="1327"/>
      <c r="BS556" s="1327"/>
      <c r="BT556" s="1327"/>
      <c r="BU556" s="1327"/>
      <c r="BV556" s="1327"/>
      <c r="BW556" s="1327"/>
      <c r="BX556" s="1327"/>
      <c r="BY556" s="1327"/>
      <c r="BZ556" s="1327"/>
      <c r="CA556" s="1327"/>
      <c r="CB556" s="1327"/>
      <c r="CC556" s="1327"/>
      <c r="CD556" s="1327"/>
      <c r="CE556" s="1327"/>
      <c r="CF556" s="1327"/>
      <c r="CG556" s="1327"/>
      <c r="CH556" s="1327"/>
      <c r="CI556" s="1327"/>
      <c r="CJ556" s="1327"/>
      <c r="CK556" s="1327"/>
      <c r="CL556" s="1327"/>
      <c r="CM556" s="1327"/>
      <c r="CN556" s="1327"/>
      <c r="CO556" s="1327"/>
      <c r="CP556" s="1327"/>
      <c r="CQ556" s="1327"/>
      <c r="CR556" s="1327"/>
      <c r="CS556" s="1327"/>
      <c r="CT556" s="1317"/>
      <c r="CU556" s="1317"/>
      <c r="CV556" s="1317"/>
      <c r="CW556" s="1317"/>
      <c r="CX556" s="1317"/>
      <c r="CY556" s="1317"/>
      <c r="CZ556" s="1317"/>
      <c r="DA556" s="1317"/>
      <c r="DB556" s="1317"/>
      <c r="DC556" s="1317"/>
      <c r="DD556" s="1317"/>
      <c r="DE556" s="1317"/>
      <c r="DF556" s="1317"/>
      <c r="DG556" s="1317"/>
    </row>
    <row r="557" ht="18.75" customHeight="1">
      <c r="G557" s="1344"/>
      <c r="H557" s="1345">
        <f t="shared" si="4"/>
        <v>0</v>
      </c>
      <c r="I557" s="1381"/>
      <c r="J557" s="1381"/>
      <c r="K557" s="1381"/>
      <c r="L557" s="1381"/>
      <c r="M557" s="1381"/>
      <c r="N557" s="1381"/>
      <c r="O557" s="1381"/>
      <c r="P557" s="1381"/>
      <c r="Q557" s="1381"/>
      <c r="R557" s="1381"/>
      <c r="T557" s="1349"/>
      <c r="U557" s="1349" t="s">
        <v>123</v>
      </c>
      <c r="V557" s="1349" t="s">
        <v>123</v>
      </c>
      <c r="W557" s="1349"/>
      <c r="X557" s="1349"/>
      <c r="Y557" s="1308"/>
      <c r="Z557" s="437" t="str">
        <f>IFERROR(__xludf.DUMMYFUNCTION("IF(NOT('portfólio'!$AV$7),"""",IF($T557="""","""",IFERROR(query({AtivosDados},""select sum(""&amp;Z$3&amp;"") where Col1='""&amp;$T557&amp;""' label sum(""&amp;Z$3&amp;"") ''""),0)))"),"")</f>
        <v/>
      </c>
      <c r="AA557" s="437" t="str">
        <f>IFERROR(__xludf.DUMMYFUNCTION("IF(NOT('portfólio'!$AV$7),"""",IF($T557="""","""",IFERROR(query({AtivosDados},""select sum(""&amp;AA$3&amp;"") where Col1='""&amp;$T557&amp;""' label sum(""&amp;AA$3&amp;"") ''""),0)))"),"")</f>
        <v/>
      </c>
      <c r="AB557" s="437" t="str">
        <f>IFERROR(__xludf.DUMMYFUNCTION("IF(NOT('portfólio'!$AV$7),"""",IF($T557="""","""",IFERROR(query({AtivosDados},""select sum(""&amp;AB$3&amp;"") where Col1='""&amp;$T557&amp;""' label sum(""&amp;AB$3&amp;"") ''""),0)))"),"")</f>
        <v/>
      </c>
      <c r="AC557" s="437" t="str">
        <f>IFERROR(__xludf.DUMMYFUNCTION("IF(NOT('portfólio'!$AV$7),"""",IF($T557="""","""",IFERROR(query({AtivosDados},""select sum(""&amp;AC$3&amp;"") where Col1='""&amp;$T557&amp;""' label sum(""&amp;AC$3&amp;"") ''""),0)))"),"")</f>
        <v/>
      </c>
      <c r="AD557" s="437" t="str">
        <f>IFERROR(__xludf.DUMMYFUNCTION("IF(NOT('portfólio'!$AV$7),"""",IF($T557="""","""",IFERROR(query({AtivosDados},""select sum(""&amp;AD$3&amp;"") where Col1='""&amp;$T557&amp;""' label sum(""&amp;AD$3&amp;"") ''""),0)))"),"")</f>
        <v/>
      </c>
      <c r="AE557" s="437"/>
      <c r="AF557" s="1327"/>
      <c r="AG557" s="437"/>
      <c r="AH557" s="437"/>
      <c r="AI557" s="437"/>
      <c r="AJ557" s="437"/>
      <c r="AK557" s="437"/>
      <c r="AL557" s="437"/>
      <c r="AM557" s="437"/>
      <c r="AN557" s="437"/>
      <c r="AO557" s="437"/>
      <c r="AP557" s="437"/>
      <c r="AQ557" s="1327"/>
      <c r="AR557" s="437"/>
      <c r="AS557" s="437"/>
      <c r="AT557" s="437"/>
      <c r="AU557" s="437"/>
      <c r="AV557" s="437"/>
      <c r="AW557" s="437"/>
      <c r="AX557" s="437"/>
      <c r="AY557" s="437"/>
      <c r="AZ557" s="437"/>
      <c r="BA557" s="437"/>
      <c r="BB557" s="1327"/>
      <c r="BC557" s="437"/>
      <c r="BD557" s="437"/>
      <c r="BE557" s="437"/>
      <c r="BF557" s="437"/>
      <c r="BG557" s="437"/>
      <c r="BH557" s="437"/>
      <c r="BI557" s="437"/>
      <c r="BJ557" s="437"/>
      <c r="BK557" s="437"/>
      <c r="BL557" s="437"/>
      <c r="BM557" s="1327"/>
      <c r="BN557" s="1327"/>
      <c r="BO557" s="1327"/>
      <c r="BP557" s="1327"/>
      <c r="BQ557" s="1327"/>
      <c r="BR557" s="1327"/>
      <c r="BS557" s="1327"/>
      <c r="BT557" s="1327"/>
      <c r="BU557" s="1327"/>
      <c r="BV557" s="1327"/>
      <c r="BW557" s="1327"/>
      <c r="BX557" s="1327"/>
      <c r="BY557" s="1327"/>
      <c r="BZ557" s="1327"/>
      <c r="CA557" s="1327"/>
      <c r="CB557" s="1327"/>
      <c r="CC557" s="1327"/>
      <c r="CD557" s="1327"/>
      <c r="CE557" s="1327"/>
      <c r="CF557" s="1327"/>
      <c r="CG557" s="1327"/>
      <c r="CH557" s="1327"/>
      <c r="CI557" s="1327"/>
      <c r="CJ557" s="1327"/>
      <c r="CK557" s="1327"/>
      <c r="CL557" s="1327"/>
      <c r="CM557" s="1327"/>
      <c r="CN557" s="1327"/>
      <c r="CO557" s="1327"/>
      <c r="CP557" s="1327"/>
      <c r="CQ557" s="1327"/>
      <c r="CR557" s="1327"/>
      <c r="CS557" s="1327"/>
      <c r="CT557" s="1317"/>
      <c r="CU557" s="1317"/>
      <c r="CV557" s="1317"/>
      <c r="CW557" s="1317"/>
      <c r="CX557" s="1317"/>
      <c r="CY557" s="1317"/>
      <c r="CZ557" s="1317"/>
      <c r="DA557" s="1317"/>
      <c r="DB557" s="1317"/>
      <c r="DC557" s="1317"/>
      <c r="DD557" s="1317"/>
      <c r="DE557" s="1317"/>
      <c r="DF557" s="1317"/>
      <c r="DG557" s="1317"/>
    </row>
    <row r="558" ht="18.75" customHeight="1">
      <c r="G558" s="1344"/>
      <c r="H558" s="1345">
        <f t="shared" si="4"/>
        <v>0</v>
      </c>
      <c r="I558" s="1381"/>
      <c r="J558" s="1381"/>
      <c r="K558" s="1381"/>
      <c r="L558" s="1381"/>
      <c r="M558" s="1381"/>
      <c r="N558" s="1381"/>
      <c r="O558" s="1381"/>
      <c r="P558" s="1381"/>
      <c r="Q558" s="1381"/>
      <c r="R558" s="1381"/>
      <c r="T558" s="1349"/>
      <c r="U558" s="1349" t="s">
        <v>123</v>
      </c>
      <c r="V558" s="1349" t="s">
        <v>123</v>
      </c>
      <c r="W558" s="1349"/>
      <c r="X558" s="1349"/>
      <c r="Y558" s="1308"/>
      <c r="Z558" s="437" t="str">
        <f>IFERROR(__xludf.DUMMYFUNCTION("IF(NOT('portfólio'!$AV$7),"""",IF($T558="""","""",IFERROR(query({AtivosDados},""select sum(""&amp;Z$3&amp;"") where Col1='""&amp;$T558&amp;""' label sum(""&amp;Z$3&amp;"") ''""),0)))"),"")</f>
        <v/>
      </c>
      <c r="AA558" s="437" t="str">
        <f>IFERROR(__xludf.DUMMYFUNCTION("IF(NOT('portfólio'!$AV$7),"""",IF($T558="""","""",IFERROR(query({AtivosDados},""select sum(""&amp;AA$3&amp;"") where Col1='""&amp;$T558&amp;""' label sum(""&amp;AA$3&amp;"") ''""),0)))"),"")</f>
        <v/>
      </c>
      <c r="AB558" s="437" t="str">
        <f>IFERROR(__xludf.DUMMYFUNCTION("IF(NOT('portfólio'!$AV$7),"""",IF($T558="""","""",IFERROR(query({AtivosDados},""select sum(""&amp;AB$3&amp;"") where Col1='""&amp;$T558&amp;""' label sum(""&amp;AB$3&amp;"") ''""),0)))"),"")</f>
        <v/>
      </c>
      <c r="AC558" s="437" t="str">
        <f>IFERROR(__xludf.DUMMYFUNCTION("IF(NOT('portfólio'!$AV$7),"""",IF($T558="""","""",IFERROR(query({AtivosDados},""select sum(""&amp;AC$3&amp;"") where Col1='""&amp;$T558&amp;""' label sum(""&amp;AC$3&amp;"") ''""),0)))"),"")</f>
        <v/>
      </c>
      <c r="AD558" s="437" t="str">
        <f>IFERROR(__xludf.DUMMYFUNCTION("IF(NOT('portfólio'!$AV$7),"""",IF($T558="""","""",IFERROR(query({AtivosDados},""select sum(""&amp;AD$3&amp;"") where Col1='""&amp;$T558&amp;""' label sum(""&amp;AD$3&amp;"") ''""),0)))"),"")</f>
        <v/>
      </c>
      <c r="AE558" s="437"/>
      <c r="AF558" s="1327"/>
      <c r="AG558" s="437"/>
      <c r="AH558" s="437"/>
      <c r="AI558" s="437"/>
      <c r="AJ558" s="437"/>
      <c r="AK558" s="437"/>
      <c r="AL558" s="437"/>
      <c r="AM558" s="437"/>
      <c r="AN558" s="437"/>
      <c r="AO558" s="437"/>
      <c r="AP558" s="437"/>
      <c r="AQ558" s="1327"/>
      <c r="AR558" s="437"/>
      <c r="AS558" s="437"/>
      <c r="AT558" s="437"/>
      <c r="AU558" s="437"/>
      <c r="AV558" s="437"/>
      <c r="AW558" s="437"/>
      <c r="AX558" s="437"/>
      <c r="AY558" s="437"/>
      <c r="AZ558" s="437"/>
      <c r="BA558" s="437"/>
      <c r="BB558" s="1327"/>
      <c r="BC558" s="437"/>
      <c r="BD558" s="437"/>
      <c r="BE558" s="437"/>
      <c r="BF558" s="437"/>
      <c r="BG558" s="437"/>
      <c r="BH558" s="437"/>
      <c r="BI558" s="437"/>
      <c r="BJ558" s="437"/>
      <c r="BK558" s="437"/>
      <c r="BL558" s="437"/>
      <c r="BM558" s="1327"/>
      <c r="BN558" s="1327"/>
      <c r="BO558" s="1327"/>
      <c r="BP558" s="1327"/>
      <c r="BQ558" s="1327"/>
      <c r="BR558" s="1327"/>
      <c r="BS558" s="1327"/>
      <c r="BT558" s="1327"/>
      <c r="BU558" s="1327"/>
      <c r="BV558" s="1327"/>
      <c r="BW558" s="1327"/>
      <c r="BX558" s="1327"/>
      <c r="BY558" s="1327"/>
      <c r="BZ558" s="1327"/>
      <c r="CA558" s="1327"/>
      <c r="CB558" s="1327"/>
      <c r="CC558" s="1327"/>
      <c r="CD558" s="1327"/>
      <c r="CE558" s="1327"/>
      <c r="CF558" s="1327"/>
      <c r="CG558" s="1327"/>
      <c r="CH558" s="1327"/>
      <c r="CI558" s="1327"/>
      <c r="CJ558" s="1327"/>
      <c r="CK558" s="1327"/>
      <c r="CL558" s="1327"/>
      <c r="CM558" s="1327"/>
      <c r="CN558" s="1327"/>
      <c r="CO558" s="1327"/>
      <c r="CP558" s="1327"/>
      <c r="CQ558" s="1327"/>
      <c r="CR558" s="1327"/>
      <c r="CS558" s="1327"/>
      <c r="CT558" s="1317"/>
      <c r="CU558" s="1317"/>
      <c r="CV558" s="1317"/>
      <c r="CW558" s="1317"/>
      <c r="CX558" s="1317"/>
      <c r="CY558" s="1317"/>
      <c r="CZ558" s="1317"/>
      <c r="DA558" s="1317"/>
      <c r="DB558" s="1317"/>
      <c r="DC558" s="1317"/>
      <c r="DD558" s="1317"/>
      <c r="DE558" s="1317"/>
      <c r="DF558" s="1317"/>
      <c r="DG558" s="1317"/>
    </row>
    <row r="559" ht="18.75" customHeight="1">
      <c r="G559" s="1344"/>
      <c r="H559" s="1345">
        <f t="shared" si="4"/>
        <v>0</v>
      </c>
      <c r="I559" s="1381"/>
      <c r="J559" s="1381"/>
      <c r="K559" s="1381"/>
      <c r="L559" s="1381"/>
      <c r="M559" s="1381"/>
      <c r="N559" s="1381"/>
      <c r="O559" s="1381"/>
      <c r="P559" s="1381"/>
      <c r="Q559" s="1381"/>
      <c r="R559" s="1381"/>
      <c r="T559" s="1349"/>
      <c r="U559" s="1349" t="s">
        <v>123</v>
      </c>
      <c r="V559" s="1349" t="s">
        <v>123</v>
      </c>
      <c r="W559" s="1349"/>
      <c r="X559" s="1349"/>
      <c r="Y559" s="1308"/>
      <c r="Z559" s="437" t="str">
        <f>IFERROR(__xludf.DUMMYFUNCTION("IF(NOT('portfólio'!$AV$7),"""",IF($T559="""","""",IFERROR(query({AtivosDados},""select sum(""&amp;Z$3&amp;"") where Col1='""&amp;$T559&amp;""' label sum(""&amp;Z$3&amp;"") ''""),0)))"),"")</f>
        <v/>
      </c>
      <c r="AA559" s="437" t="str">
        <f>IFERROR(__xludf.DUMMYFUNCTION("IF(NOT('portfólio'!$AV$7),"""",IF($T559="""","""",IFERROR(query({AtivosDados},""select sum(""&amp;AA$3&amp;"") where Col1='""&amp;$T559&amp;""' label sum(""&amp;AA$3&amp;"") ''""),0)))"),"")</f>
        <v/>
      </c>
      <c r="AB559" s="437" t="str">
        <f>IFERROR(__xludf.DUMMYFUNCTION("IF(NOT('portfólio'!$AV$7),"""",IF($T559="""","""",IFERROR(query({AtivosDados},""select sum(""&amp;AB$3&amp;"") where Col1='""&amp;$T559&amp;""' label sum(""&amp;AB$3&amp;"") ''""),0)))"),"")</f>
        <v/>
      </c>
      <c r="AC559" s="437" t="str">
        <f>IFERROR(__xludf.DUMMYFUNCTION("IF(NOT('portfólio'!$AV$7),"""",IF($T559="""","""",IFERROR(query({AtivosDados},""select sum(""&amp;AC$3&amp;"") where Col1='""&amp;$T559&amp;""' label sum(""&amp;AC$3&amp;"") ''""),0)))"),"")</f>
        <v/>
      </c>
      <c r="AD559" s="437" t="str">
        <f>IFERROR(__xludf.DUMMYFUNCTION("IF(NOT('portfólio'!$AV$7),"""",IF($T559="""","""",IFERROR(query({AtivosDados},""select sum(""&amp;AD$3&amp;"") where Col1='""&amp;$T559&amp;""' label sum(""&amp;AD$3&amp;"") ''""),0)))"),"")</f>
        <v/>
      </c>
      <c r="AE559" s="437"/>
      <c r="AF559" s="1327"/>
      <c r="AG559" s="437"/>
      <c r="AH559" s="437"/>
      <c r="AI559" s="437"/>
      <c r="AJ559" s="437"/>
      <c r="AK559" s="437"/>
      <c r="AL559" s="437"/>
      <c r="AM559" s="437"/>
      <c r="AN559" s="437"/>
      <c r="AO559" s="437"/>
      <c r="AP559" s="437"/>
      <c r="AQ559" s="1327"/>
      <c r="AR559" s="437"/>
      <c r="AS559" s="437"/>
      <c r="AT559" s="437"/>
      <c r="AU559" s="437"/>
      <c r="AV559" s="437"/>
      <c r="AW559" s="437"/>
      <c r="AX559" s="437"/>
      <c r="AY559" s="437"/>
      <c r="AZ559" s="437"/>
      <c r="BA559" s="437"/>
      <c r="BB559" s="1327"/>
      <c r="BC559" s="437"/>
      <c r="BD559" s="437"/>
      <c r="BE559" s="437"/>
      <c r="BF559" s="437"/>
      <c r="BG559" s="437"/>
      <c r="BH559" s="437"/>
      <c r="BI559" s="437"/>
      <c r="BJ559" s="437"/>
      <c r="BK559" s="437"/>
      <c r="BL559" s="437"/>
      <c r="BM559" s="1327"/>
      <c r="BN559" s="1327"/>
      <c r="BO559" s="1327"/>
      <c r="BP559" s="1327"/>
      <c r="BQ559" s="1327"/>
      <c r="BR559" s="1327"/>
      <c r="BS559" s="1327"/>
      <c r="BT559" s="1327"/>
      <c r="BU559" s="1327"/>
      <c r="BV559" s="1327"/>
      <c r="BW559" s="1327"/>
      <c r="BX559" s="1327"/>
      <c r="BY559" s="1327"/>
      <c r="BZ559" s="1327"/>
      <c r="CA559" s="1327"/>
      <c r="CB559" s="1327"/>
      <c r="CC559" s="1327"/>
      <c r="CD559" s="1327"/>
      <c r="CE559" s="1327"/>
      <c r="CF559" s="1327"/>
      <c r="CG559" s="1327"/>
      <c r="CH559" s="1327"/>
      <c r="CI559" s="1327"/>
      <c r="CJ559" s="1327"/>
      <c r="CK559" s="1327"/>
      <c r="CL559" s="1327"/>
      <c r="CM559" s="1327"/>
      <c r="CN559" s="1327"/>
      <c r="CO559" s="1327"/>
      <c r="CP559" s="1327"/>
      <c r="CQ559" s="1327"/>
      <c r="CR559" s="1327"/>
      <c r="CS559" s="1327"/>
      <c r="CT559" s="1317"/>
      <c r="CU559" s="1317"/>
      <c r="CV559" s="1317"/>
      <c r="CW559" s="1317"/>
      <c r="CX559" s="1317"/>
      <c r="CY559" s="1317"/>
      <c r="CZ559" s="1317"/>
      <c r="DA559" s="1317"/>
      <c r="DB559" s="1317"/>
      <c r="DC559" s="1317"/>
      <c r="DD559" s="1317"/>
      <c r="DE559" s="1317"/>
      <c r="DF559" s="1317"/>
      <c r="DG559" s="1317"/>
    </row>
    <row r="560" ht="18.75" customHeight="1">
      <c r="G560" s="1344"/>
      <c r="H560" s="1345">
        <f t="shared" si="4"/>
        <v>0</v>
      </c>
      <c r="I560" s="1381"/>
      <c r="J560" s="1381"/>
      <c r="K560" s="1381"/>
      <c r="L560" s="1381"/>
      <c r="M560" s="1381"/>
      <c r="N560" s="1381"/>
      <c r="O560" s="1381"/>
      <c r="P560" s="1381"/>
      <c r="Q560" s="1381"/>
      <c r="R560" s="1381"/>
      <c r="T560" s="1349"/>
      <c r="U560" s="1349" t="s">
        <v>123</v>
      </c>
      <c r="V560" s="1349" t="s">
        <v>123</v>
      </c>
      <c r="W560" s="1349"/>
      <c r="X560" s="1349"/>
      <c r="Y560" s="1308"/>
      <c r="Z560" s="437" t="str">
        <f>IFERROR(__xludf.DUMMYFUNCTION("IF(NOT('portfólio'!$AV$7),"""",IF($T560="""","""",IFERROR(query({AtivosDados},""select sum(""&amp;Z$3&amp;"") where Col1='""&amp;$T560&amp;""' label sum(""&amp;Z$3&amp;"") ''""),0)))"),"")</f>
        <v/>
      </c>
      <c r="AA560" s="437" t="str">
        <f>IFERROR(__xludf.DUMMYFUNCTION("IF(NOT('portfólio'!$AV$7),"""",IF($T560="""","""",IFERROR(query({AtivosDados},""select sum(""&amp;AA$3&amp;"") where Col1='""&amp;$T560&amp;""' label sum(""&amp;AA$3&amp;"") ''""),0)))"),"")</f>
        <v/>
      </c>
      <c r="AB560" s="437" t="str">
        <f>IFERROR(__xludf.DUMMYFUNCTION("IF(NOT('portfólio'!$AV$7),"""",IF($T560="""","""",IFERROR(query({AtivosDados},""select sum(""&amp;AB$3&amp;"") where Col1='""&amp;$T560&amp;""' label sum(""&amp;AB$3&amp;"") ''""),0)))"),"")</f>
        <v/>
      </c>
      <c r="AC560" s="437" t="str">
        <f>IFERROR(__xludf.DUMMYFUNCTION("IF(NOT('portfólio'!$AV$7),"""",IF($T560="""","""",IFERROR(query({AtivosDados},""select sum(""&amp;AC$3&amp;"") where Col1='""&amp;$T560&amp;""' label sum(""&amp;AC$3&amp;"") ''""),0)))"),"")</f>
        <v/>
      </c>
      <c r="AD560" s="437" t="str">
        <f>IFERROR(__xludf.DUMMYFUNCTION("IF(NOT('portfólio'!$AV$7),"""",IF($T560="""","""",IFERROR(query({AtivosDados},""select sum(""&amp;AD$3&amp;"") where Col1='""&amp;$T560&amp;""' label sum(""&amp;AD$3&amp;"") ''""),0)))"),"")</f>
        <v/>
      </c>
      <c r="AE560" s="437"/>
      <c r="AF560" s="1327"/>
      <c r="AG560" s="437"/>
      <c r="AH560" s="437"/>
      <c r="AI560" s="437"/>
      <c r="AJ560" s="437"/>
      <c r="AK560" s="437"/>
      <c r="AL560" s="437"/>
      <c r="AM560" s="437"/>
      <c r="AN560" s="437"/>
      <c r="AO560" s="437"/>
      <c r="AP560" s="437"/>
      <c r="AQ560" s="1327"/>
      <c r="AR560" s="437"/>
      <c r="AS560" s="437"/>
      <c r="AT560" s="437"/>
      <c r="AU560" s="437"/>
      <c r="AV560" s="437"/>
      <c r="AW560" s="437"/>
      <c r="AX560" s="437"/>
      <c r="AY560" s="437"/>
      <c r="AZ560" s="437"/>
      <c r="BA560" s="437"/>
      <c r="BB560" s="1327"/>
      <c r="BC560" s="437"/>
      <c r="BD560" s="437"/>
      <c r="BE560" s="437"/>
      <c r="BF560" s="437"/>
      <c r="BG560" s="437"/>
      <c r="BH560" s="437"/>
      <c r="BI560" s="437"/>
      <c r="BJ560" s="437"/>
      <c r="BK560" s="437"/>
      <c r="BL560" s="437"/>
      <c r="BM560" s="1327"/>
      <c r="BN560" s="1327"/>
      <c r="BO560" s="1327"/>
      <c r="BP560" s="1327"/>
      <c r="BQ560" s="1327"/>
      <c r="BR560" s="1327"/>
      <c r="BS560" s="1327"/>
      <c r="BT560" s="1327"/>
      <c r="BU560" s="1327"/>
      <c r="BV560" s="1327"/>
      <c r="BW560" s="1327"/>
      <c r="BX560" s="1327"/>
      <c r="BY560" s="1327"/>
      <c r="BZ560" s="1327"/>
      <c r="CA560" s="1327"/>
      <c r="CB560" s="1327"/>
      <c r="CC560" s="1327"/>
      <c r="CD560" s="1327"/>
      <c r="CE560" s="1327"/>
      <c r="CF560" s="1327"/>
      <c r="CG560" s="1327"/>
      <c r="CH560" s="1327"/>
      <c r="CI560" s="1327"/>
      <c r="CJ560" s="1327"/>
      <c r="CK560" s="1327"/>
      <c r="CL560" s="1327"/>
      <c r="CM560" s="1327"/>
      <c r="CN560" s="1327"/>
      <c r="CO560" s="1327"/>
      <c r="CP560" s="1327"/>
      <c r="CQ560" s="1327"/>
      <c r="CR560" s="1327"/>
      <c r="CS560" s="1327"/>
      <c r="CT560" s="1317"/>
      <c r="CU560" s="1317"/>
      <c r="CV560" s="1317"/>
      <c r="CW560" s="1317"/>
      <c r="CX560" s="1317"/>
      <c r="CY560" s="1317"/>
      <c r="CZ560" s="1317"/>
      <c r="DA560" s="1317"/>
      <c r="DB560" s="1317"/>
      <c r="DC560" s="1317"/>
      <c r="DD560" s="1317"/>
      <c r="DE560" s="1317"/>
      <c r="DF560" s="1317"/>
      <c r="DG560" s="1317"/>
    </row>
    <row r="561" ht="18.75" customHeight="1">
      <c r="G561" s="1344"/>
      <c r="H561" s="1345">
        <f t="shared" si="4"/>
        <v>0</v>
      </c>
      <c r="I561" s="1381"/>
      <c r="J561" s="1381"/>
      <c r="K561" s="1381"/>
      <c r="L561" s="1381"/>
      <c r="M561" s="1381"/>
      <c r="N561" s="1381"/>
      <c r="O561" s="1381"/>
      <c r="P561" s="1381"/>
      <c r="Q561" s="1381"/>
      <c r="R561" s="1381"/>
      <c r="T561" s="1349"/>
      <c r="U561" s="1349" t="s">
        <v>123</v>
      </c>
      <c r="V561" s="1349" t="s">
        <v>123</v>
      </c>
      <c r="W561" s="1349"/>
      <c r="X561" s="1349"/>
      <c r="Y561" s="1308"/>
      <c r="Z561" s="437" t="str">
        <f>IFERROR(__xludf.DUMMYFUNCTION("IF(NOT('portfólio'!$AV$7),"""",IF($T561="""","""",IFERROR(query({AtivosDados},""select sum(""&amp;Z$3&amp;"") where Col1='""&amp;$T561&amp;""' label sum(""&amp;Z$3&amp;"") ''""),0)))"),"")</f>
        <v/>
      </c>
      <c r="AA561" s="437" t="str">
        <f>IFERROR(__xludf.DUMMYFUNCTION("IF(NOT('portfólio'!$AV$7),"""",IF($T561="""","""",IFERROR(query({AtivosDados},""select sum(""&amp;AA$3&amp;"") where Col1='""&amp;$T561&amp;""' label sum(""&amp;AA$3&amp;"") ''""),0)))"),"")</f>
        <v/>
      </c>
      <c r="AB561" s="437" t="str">
        <f>IFERROR(__xludf.DUMMYFUNCTION("IF(NOT('portfólio'!$AV$7),"""",IF($T561="""","""",IFERROR(query({AtivosDados},""select sum(""&amp;AB$3&amp;"") where Col1='""&amp;$T561&amp;""' label sum(""&amp;AB$3&amp;"") ''""),0)))"),"")</f>
        <v/>
      </c>
      <c r="AC561" s="437" t="str">
        <f>IFERROR(__xludf.DUMMYFUNCTION("IF(NOT('portfólio'!$AV$7),"""",IF($T561="""","""",IFERROR(query({AtivosDados},""select sum(""&amp;AC$3&amp;"") where Col1='""&amp;$T561&amp;""' label sum(""&amp;AC$3&amp;"") ''""),0)))"),"")</f>
        <v/>
      </c>
      <c r="AD561" s="437" t="str">
        <f>IFERROR(__xludf.DUMMYFUNCTION("IF(NOT('portfólio'!$AV$7),"""",IF($T561="""","""",IFERROR(query({AtivosDados},""select sum(""&amp;AD$3&amp;"") where Col1='""&amp;$T561&amp;""' label sum(""&amp;AD$3&amp;"") ''""),0)))"),"")</f>
        <v/>
      </c>
      <c r="AE561" s="437"/>
      <c r="AF561" s="1327"/>
      <c r="AG561" s="437"/>
      <c r="AH561" s="437"/>
      <c r="AI561" s="437"/>
      <c r="AJ561" s="437"/>
      <c r="AK561" s="437"/>
      <c r="AL561" s="437"/>
      <c r="AM561" s="437"/>
      <c r="AN561" s="437"/>
      <c r="AO561" s="437"/>
      <c r="AP561" s="437"/>
      <c r="AQ561" s="1327"/>
      <c r="AR561" s="437"/>
      <c r="AS561" s="437"/>
      <c r="AT561" s="437"/>
      <c r="AU561" s="437"/>
      <c r="AV561" s="437"/>
      <c r="AW561" s="437"/>
      <c r="AX561" s="437"/>
      <c r="AY561" s="437"/>
      <c r="AZ561" s="437"/>
      <c r="BA561" s="437"/>
      <c r="BB561" s="1327"/>
      <c r="BC561" s="437"/>
      <c r="BD561" s="437"/>
      <c r="BE561" s="437"/>
      <c r="BF561" s="437"/>
      <c r="BG561" s="437"/>
      <c r="BH561" s="437"/>
      <c r="BI561" s="437"/>
      <c r="BJ561" s="437"/>
      <c r="BK561" s="437"/>
      <c r="BL561" s="437"/>
      <c r="BM561" s="1327"/>
      <c r="BN561" s="1327"/>
      <c r="BO561" s="1327"/>
      <c r="BP561" s="1327"/>
      <c r="BQ561" s="1327"/>
      <c r="BR561" s="1327"/>
      <c r="BS561" s="1327"/>
      <c r="BT561" s="1327"/>
      <c r="BU561" s="1327"/>
      <c r="BV561" s="1327"/>
      <c r="BW561" s="1327"/>
      <c r="BX561" s="1327"/>
      <c r="BY561" s="1327"/>
      <c r="BZ561" s="1327"/>
      <c r="CA561" s="1327"/>
      <c r="CB561" s="1327"/>
      <c r="CC561" s="1327"/>
      <c r="CD561" s="1327"/>
      <c r="CE561" s="1327"/>
      <c r="CF561" s="1327"/>
      <c r="CG561" s="1327"/>
      <c r="CH561" s="1327"/>
      <c r="CI561" s="1327"/>
      <c r="CJ561" s="1327"/>
      <c r="CK561" s="1327"/>
      <c r="CL561" s="1327"/>
      <c r="CM561" s="1327"/>
      <c r="CN561" s="1327"/>
      <c r="CO561" s="1327"/>
      <c r="CP561" s="1327"/>
      <c r="CQ561" s="1327"/>
      <c r="CR561" s="1327"/>
      <c r="CS561" s="1327"/>
      <c r="CT561" s="1317"/>
      <c r="CU561" s="1317"/>
      <c r="CV561" s="1317"/>
      <c r="CW561" s="1317"/>
      <c r="CX561" s="1317"/>
      <c r="CY561" s="1317"/>
      <c r="CZ561" s="1317"/>
      <c r="DA561" s="1317"/>
      <c r="DB561" s="1317"/>
      <c r="DC561" s="1317"/>
      <c r="DD561" s="1317"/>
      <c r="DE561" s="1317"/>
      <c r="DF561" s="1317"/>
      <c r="DG561" s="1317"/>
    </row>
    <row r="562" ht="18.75" customHeight="1">
      <c r="G562" s="1344"/>
      <c r="H562" s="1345">
        <f t="shared" si="4"/>
        <v>0</v>
      </c>
      <c r="I562" s="1381"/>
      <c r="J562" s="1381"/>
      <c r="K562" s="1381"/>
      <c r="L562" s="1381"/>
      <c r="M562" s="1381"/>
      <c r="N562" s="1381"/>
      <c r="O562" s="1381"/>
      <c r="P562" s="1381"/>
      <c r="Q562" s="1381"/>
      <c r="R562" s="1381"/>
      <c r="T562" s="1349"/>
      <c r="U562" s="1349" t="s">
        <v>123</v>
      </c>
      <c r="V562" s="1349" t="s">
        <v>123</v>
      </c>
      <c r="W562" s="1349"/>
      <c r="X562" s="1349"/>
      <c r="Y562" s="1308"/>
      <c r="Z562" s="437" t="str">
        <f>IFERROR(__xludf.DUMMYFUNCTION("IF(NOT('portfólio'!$AV$7),"""",IF($T562="""","""",IFERROR(query({AtivosDados},""select sum(""&amp;Z$3&amp;"") where Col1='""&amp;$T562&amp;""' label sum(""&amp;Z$3&amp;"") ''""),0)))"),"")</f>
        <v/>
      </c>
      <c r="AA562" s="437" t="str">
        <f>IFERROR(__xludf.DUMMYFUNCTION("IF(NOT('portfólio'!$AV$7),"""",IF($T562="""","""",IFERROR(query({AtivosDados},""select sum(""&amp;AA$3&amp;"") where Col1='""&amp;$T562&amp;""' label sum(""&amp;AA$3&amp;"") ''""),0)))"),"")</f>
        <v/>
      </c>
      <c r="AB562" s="437" t="str">
        <f>IFERROR(__xludf.DUMMYFUNCTION("IF(NOT('portfólio'!$AV$7),"""",IF($T562="""","""",IFERROR(query({AtivosDados},""select sum(""&amp;AB$3&amp;"") where Col1='""&amp;$T562&amp;""' label sum(""&amp;AB$3&amp;"") ''""),0)))"),"")</f>
        <v/>
      </c>
      <c r="AC562" s="437" t="str">
        <f>IFERROR(__xludf.DUMMYFUNCTION("IF(NOT('portfólio'!$AV$7),"""",IF($T562="""","""",IFERROR(query({AtivosDados},""select sum(""&amp;AC$3&amp;"") where Col1='""&amp;$T562&amp;""' label sum(""&amp;AC$3&amp;"") ''""),0)))"),"")</f>
        <v/>
      </c>
      <c r="AD562" s="437" t="str">
        <f>IFERROR(__xludf.DUMMYFUNCTION("IF(NOT('portfólio'!$AV$7),"""",IF($T562="""","""",IFERROR(query({AtivosDados},""select sum(""&amp;AD$3&amp;"") where Col1='""&amp;$T562&amp;""' label sum(""&amp;AD$3&amp;"") ''""),0)))"),"")</f>
        <v/>
      </c>
      <c r="AE562" s="437"/>
      <c r="AF562" s="1327"/>
      <c r="AG562" s="437"/>
      <c r="AH562" s="437"/>
      <c r="AI562" s="437"/>
      <c r="AJ562" s="437"/>
      <c r="AK562" s="437"/>
      <c r="AL562" s="437"/>
      <c r="AM562" s="437"/>
      <c r="AN562" s="437"/>
      <c r="AO562" s="437"/>
      <c r="AP562" s="437"/>
      <c r="AQ562" s="1327"/>
      <c r="AR562" s="437"/>
      <c r="AS562" s="437"/>
      <c r="AT562" s="437"/>
      <c r="AU562" s="437"/>
      <c r="AV562" s="437"/>
      <c r="AW562" s="437"/>
      <c r="AX562" s="437"/>
      <c r="AY562" s="437"/>
      <c r="AZ562" s="437"/>
      <c r="BA562" s="437"/>
      <c r="BB562" s="1327"/>
      <c r="BC562" s="437"/>
      <c r="BD562" s="437"/>
      <c r="BE562" s="437"/>
      <c r="BF562" s="437"/>
      <c r="BG562" s="437"/>
      <c r="BH562" s="437"/>
      <c r="BI562" s="437"/>
      <c r="BJ562" s="437"/>
      <c r="BK562" s="437"/>
      <c r="BL562" s="437"/>
      <c r="BM562" s="1327"/>
      <c r="BN562" s="1327"/>
      <c r="BO562" s="1327"/>
      <c r="BP562" s="1327"/>
      <c r="BQ562" s="1327"/>
      <c r="BR562" s="1327"/>
      <c r="BS562" s="1327"/>
      <c r="BT562" s="1327"/>
      <c r="BU562" s="1327"/>
      <c r="BV562" s="1327"/>
      <c r="BW562" s="1327"/>
      <c r="BX562" s="1327"/>
      <c r="BY562" s="1327"/>
      <c r="BZ562" s="1327"/>
      <c r="CA562" s="1327"/>
      <c r="CB562" s="1327"/>
      <c r="CC562" s="1327"/>
      <c r="CD562" s="1327"/>
      <c r="CE562" s="1327"/>
      <c r="CF562" s="1327"/>
      <c r="CG562" s="1327"/>
      <c r="CH562" s="1327"/>
      <c r="CI562" s="1327"/>
      <c r="CJ562" s="1327"/>
      <c r="CK562" s="1327"/>
      <c r="CL562" s="1327"/>
      <c r="CM562" s="1327"/>
      <c r="CN562" s="1327"/>
      <c r="CO562" s="1327"/>
      <c r="CP562" s="1327"/>
      <c r="CQ562" s="1327"/>
      <c r="CR562" s="1327"/>
      <c r="CS562" s="1327"/>
      <c r="CT562" s="1317"/>
      <c r="CU562" s="1317"/>
      <c r="CV562" s="1317"/>
      <c r="CW562" s="1317"/>
      <c r="CX562" s="1317"/>
      <c r="CY562" s="1317"/>
      <c r="CZ562" s="1317"/>
      <c r="DA562" s="1317"/>
      <c r="DB562" s="1317"/>
      <c r="DC562" s="1317"/>
      <c r="DD562" s="1317"/>
      <c r="DE562" s="1317"/>
      <c r="DF562" s="1317"/>
      <c r="DG562" s="1317"/>
    </row>
    <row r="563" ht="18.75" customHeight="1">
      <c r="G563" s="1344"/>
      <c r="H563" s="1345">
        <f t="shared" si="4"/>
        <v>0</v>
      </c>
      <c r="I563" s="1381"/>
      <c r="J563" s="1381"/>
      <c r="K563" s="1381"/>
      <c r="L563" s="1381"/>
      <c r="M563" s="1381"/>
      <c r="N563" s="1381"/>
      <c r="O563" s="1381"/>
      <c r="P563" s="1381"/>
      <c r="Q563" s="1381"/>
      <c r="R563" s="1381"/>
      <c r="T563" s="1349"/>
      <c r="U563" s="1349" t="s">
        <v>123</v>
      </c>
      <c r="V563" s="1349" t="s">
        <v>123</v>
      </c>
      <c r="W563" s="1349"/>
      <c r="X563" s="1349"/>
      <c r="Y563" s="1308"/>
      <c r="Z563" s="437" t="str">
        <f>IFERROR(__xludf.DUMMYFUNCTION("IF(NOT('portfólio'!$AV$7),"""",IF($T563="""","""",IFERROR(query({AtivosDados},""select sum(""&amp;Z$3&amp;"") where Col1='""&amp;$T563&amp;""' label sum(""&amp;Z$3&amp;"") ''""),0)))"),"")</f>
        <v/>
      </c>
      <c r="AA563" s="437" t="str">
        <f>IFERROR(__xludf.DUMMYFUNCTION("IF(NOT('portfólio'!$AV$7),"""",IF($T563="""","""",IFERROR(query({AtivosDados},""select sum(""&amp;AA$3&amp;"") where Col1='""&amp;$T563&amp;""' label sum(""&amp;AA$3&amp;"") ''""),0)))"),"")</f>
        <v/>
      </c>
      <c r="AB563" s="437" t="str">
        <f>IFERROR(__xludf.DUMMYFUNCTION("IF(NOT('portfólio'!$AV$7),"""",IF($T563="""","""",IFERROR(query({AtivosDados},""select sum(""&amp;AB$3&amp;"") where Col1='""&amp;$T563&amp;""' label sum(""&amp;AB$3&amp;"") ''""),0)))"),"")</f>
        <v/>
      </c>
      <c r="AC563" s="437" t="str">
        <f>IFERROR(__xludf.DUMMYFUNCTION("IF(NOT('portfólio'!$AV$7),"""",IF($T563="""","""",IFERROR(query({AtivosDados},""select sum(""&amp;AC$3&amp;"") where Col1='""&amp;$T563&amp;""' label sum(""&amp;AC$3&amp;"") ''""),0)))"),"")</f>
        <v/>
      </c>
      <c r="AD563" s="437" t="str">
        <f>IFERROR(__xludf.DUMMYFUNCTION("IF(NOT('portfólio'!$AV$7),"""",IF($T563="""","""",IFERROR(query({AtivosDados},""select sum(""&amp;AD$3&amp;"") where Col1='""&amp;$T563&amp;""' label sum(""&amp;AD$3&amp;"") ''""),0)))"),"")</f>
        <v/>
      </c>
      <c r="AE563" s="437"/>
      <c r="AF563" s="1327"/>
      <c r="AG563" s="437"/>
      <c r="AH563" s="437"/>
      <c r="AI563" s="437"/>
      <c r="AJ563" s="437"/>
      <c r="AK563" s="437"/>
      <c r="AL563" s="437"/>
      <c r="AM563" s="437"/>
      <c r="AN563" s="437"/>
      <c r="AO563" s="437"/>
      <c r="AP563" s="437"/>
      <c r="AQ563" s="1327"/>
      <c r="AR563" s="437"/>
      <c r="AS563" s="437"/>
      <c r="AT563" s="437"/>
      <c r="AU563" s="437"/>
      <c r="AV563" s="437"/>
      <c r="AW563" s="437"/>
      <c r="AX563" s="437"/>
      <c r="AY563" s="437"/>
      <c r="AZ563" s="437"/>
      <c r="BA563" s="437"/>
      <c r="BB563" s="1327"/>
      <c r="BC563" s="437"/>
      <c r="BD563" s="437"/>
      <c r="BE563" s="437"/>
      <c r="BF563" s="437"/>
      <c r="BG563" s="437"/>
      <c r="BH563" s="437"/>
      <c r="BI563" s="437"/>
      <c r="BJ563" s="437"/>
      <c r="BK563" s="437"/>
      <c r="BL563" s="437"/>
      <c r="BM563" s="1327"/>
      <c r="BN563" s="1327"/>
      <c r="BO563" s="1327"/>
      <c r="BP563" s="1327"/>
      <c r="BQ563" s="1327"/>
      <c r="BR563" s="1327"/>
      <c r="BS563" s="1327"/>
      <c r="BT563" s="1327"/>
      <c r="BU563" s="1327"/>
      <c r="BV563" s="1327"/>
      <c r="BW563" s="1327"/>
      <c r="BX563" s="1327"/>
      <c r="BY563" s="1327"/>
      <c r="BZ563" s="1327"/>
      <c r="CA563" s="1327"/>
      <c r="CB563" s="1327"/>
      <c r="CC563" s="1327"/>
      <c r="CD563" s="1327"/>
      <c r="CE563" s="1327"/>
      <c r="CF563" s="1327"/>
      <c r="CG563" s="1327"/>
      <c r="CH563" s="1327"/>
      <c r="CI563" s="1327"/>
      <c r="CJ563" s="1327"/>
      <c r="CK563" s="1327"/>
      <c r="CL563" s="1327"/>
      <c r="CM563" s="1327"/>
      <c r="CN563" s="1327"/>
      <c r="CO563" s="1327"/>
      <c r="CP563" s="1327"/>
      <c r="CQ563" s="1327"/>
      <c r="CR563" s="1327"/>
      <c r="CS563" s="1327"/>
      <c r="CT563" s="1317"/>
      <c r="CU563" s="1317"/>
      <c r="CV563" s="1317"/>
      <c r="CW563" s="1317"/>
      <c r="CX563" s="1317"/>
      <c r="CY563" s="1317"/>
      <c r="CZ563" s="1317"/>
      <c r="DA563" s="1317"/>
      <c r="DB563" s="1317"/>
      <c r="DC563" s="1317"/>
      <c r="DD563" s="1317"/>
      <c r="DE563" s="1317"/>
      <c r="DF563" s="1317"/>
      <c r="DG563" s="1317"/>
    </row>
    <row r="564" ht="18.75" customHeight="1">
      <c r="G564" s="1344"/>
      <c r="H564" s="1345">
        <f t="shared" si="4"/>
        <v>0</v>
      </c>
      <c r="I564" s="1381"/>
      <c r="J564" s="1381"/>
      <c r="K564" s="1381"/>
      <c r="L564" s="1381"/>
      <c r="M564" s="1381"/>
      <c r="N564" s="1381"/>
      <c r="O564" s="1381"/>
      <c r="P564" s="1381"/>
      <c r="Q564" s="1381"/>
      <c r="R564" s="1381"/>
      <c r="T564" s="1349"/>
      <c r="U564" s="1349" t="s">
        <v>123</v>
      </c>
      <c r="V564" s="1349" t="s">
        <v>123</v>
      </c>
      <c r="W564" s="1349"/>
      <c r="X564" s="1349"/>
      <c r="Y564" s="1308"/>
      <c r="Z564" s="437" t="str">
        <f>IFERROR(__xludf.DUMMYFUNCTION("IF(NOT('portfólio'!$AV$7),"""",IF($T564="""","""",IFERROR(query({AtivosDados},""select sum(""&amp;Z$3&amp;"") where Col1='""&amp;$T564&amp;""' label sum(""&amp;Z$3&amp;"") ''""),0)))"),"")</f>
        <v/>
      </c>
      <c r="AA564" s="437" t="str">
        <f>IFERROR(__xludf.DUMMYFUNCTION("IF(NOT('portfólio'!$AV$7),"""",IF($T564="""","""",IFERROR(query({AtivosDados},""select sum(""&amp;AA$3&amp;"") where Col1='""&amp;$T564&amp;""' label sum(""&amp;AA$3&amp;"") ''""),0)))"),"")</f>
        <v/>
      </c>
      <c r="AB564" s="437" t="str">
        <f>IFERROR(__xludf.DUMMYFUNCTION("IF(NOT('portfólio'!$AV$7),"""",IF($T564="""","""",IFERROR(query({AtivosDados},""select sum(""&amp;AB$3&amp;"") where Col1='""&amp;$T564&amp;""' label sum(""&amp;AB$3&amp;"") ''""),0)))"),"")</f>
        <v/>
      </c>
      <c r="AC564" s="437" t="str">
        <f>IFERROR(__xludf.DUMMYFUNCTION("IF(NOT('portfólio'!$AV$7),"""",IF($T564="""","""",IFERROR(query({AtivosDados},""select sum(""&amp;AC$3&amp;"") where Col1='""&amp;$T564&amp;""' label sum(""&amp;AC$3&amp;"") ''""),0)))"),"")</f>
        <v/>
      </c>
      <c r="AD564" s="437" t="str">
        <f>IFERROR(__xludf.DUMMYFUNCTION("IF(NOT('portfólio'!$AV$7),"""",IF($T564="""","""",IFERROR(query({AtivosDados},""select sum(""&amp;AD$3&amp;"") where Col1='""&amp;$T564&amp;""' label sum(""&amp;AD$3&amp;"") ''""),0)))"),"")</f>
        <v/>
      </c>
      <c r="AE564" s="437"/>
      <c r="AF564" s="1327"/>
      <c r="AG564" s="437"/>
      <c r="AH564" s="437"/>
      <c r="AI564" s="437"/>
      <c r="AJ564" s="437"/>
      <c r="AK564" s="437"/>
      <c r="AL564" s="437"/>
      <c r="AM564" s="437"/>
      <c r="AN564" s="437"/>
      <c r="AO564" s="437"/>
      <c r="AP564" s="437"/>
      <c r="AQ564" s="1327"/>
      <c r="AR564" s="437"/>
      <c r="AS564" s="437"/>
      <c r="AT564" s="437"/>
      <c r="AU564" s="437"/>
      <c r="AV564" s="437"/>
      <c r="AW564" s="437"/>
      <c r="AX564" s="437"/>
      <c r="AY564" s="437"/>
      <c r="AZ564" s="437"/>
      <c r="BA564" s="437"/>
      <c r="BB564" s="1327"/>
      <c r="BC564" s="437"/>
      <c r="BD564" s="437"/>
      <c r="BE564" s="437"/>
      <c r="BF564" s="437"/>
      <c r="BG564" s="437"/>
      <c r="BH564" s="437"/>
      <c r="BI564" s="437"/>
      <c r="BJ564" s="437"/>
      <c r="BK564" s="437"/>
      <c r="BL564" s="437"/>
      <c r="BM564" s="1327"/>
      <c r="BN564" s="1327"/>
      <c r="BO564" s="1327"/>
      <c r="BP564" s="1327"/>
      <c r="BQ564" s="1327"/>
      <c r="BR564" s="1327"/>
      <c r="BS564" s="1327"/>
      <c r="BT564" s="1327"/>
      <c r="BU564" s="1327"/>
      <c r="BV564" s="1327"/>
      <c r="BW564" s="1327"/>
      <c r="BX564" s="1327"/>
      <c r="BY564" s="1327"/>
      <c r="BZ564" s="1327"/>
      <c r="CA564" s="1327"/>
      <c r="CB564" s="1327"/>
      <c r="CC564" s="1327"/>
      <c r="CD564" s="1327"/>
      <c r="CE564" s="1327"/>
      <c r="CF564" s="1327"/>
      <c r="CG564" s="1327"/>
      <c r="CH564" s="1327"/>
      <c r="CI564" s="1327"/>
      <c r="CJ564" s="1327"/>
      <c r="CK564" s="1327"/>
      <c r="CL564" s="1327"/>
      <c r="CM564" s="1327"/>
      <c r="CN564" s="1327"/>
      <c r="CO564" s="1327"/>
      <c r="CP564" s="1327"/>
      <c r="CQ564" s="1327"/>
      <c r="CR564" s="1327"/>
      <c r="CS564" s="1327"/>
      <c r="CT564" s="1317"/>
      <c r="CU564" s="1317"/>
      <c r="CV564" s="1317"/>
      <c r="CW564" s="1317"/>
      <c r="CX564" s="1317"/>
      <c r="CY564" s="1317"/>
      <c r="CZ564" s="1317"/>
      <c r="DA564" s="1317"/>
      <c r="DB564" s="1317"/>
      <c r="DC564" s="1317"/>
      <c r="DD564" s="1317"/>
      <c r="DE564" s="1317"/>
      <c r="DF564" s="1317"/>
      <c r="DG564" s="1317"/>
    </row>
    <row r="565" ht="18.75" customHeight="1">
      <c r="G565" s="1344"/>
      <c r="H565" s="1345">
        <f t="shared" si="4"/>
        <v>0</v>
      </c>
      <c r="I565" s="1381"/>
      <c r="J565" s="1381"/>
      <c r="K565" s="1381"/>
      <c r="L565" s="1381"/>
      <c r="M565" s="1381"/>
      <c r="N565" s="1381"/>
      <c r="O565" s="1381"/>
      <c r="P565" s="1381"/>
      <c r="Q565" s="1381"/>
      <c r="R565" s="1381"/>
      <c r="T565" s="1349"/>
      <c r="U565" s="1349" t="s">
        <v>123</v>
      </c>
      <c r="V565" s="1349" t="s">
        <v>123</v>
      </c>
      <c r="W565" s="1349"/>
      <c r="X565" s="1349"/>
      <c r="Y565" s="1308"/>
      <c r="Z565" s="437" t="str">
        <f>IFERROR(__xludf.DUMMYFUNCTION("IF(NOT('portfólio'!$AV$7),"""",IF($T565="""","""",IFERROR(query({AtivosDados},""select sum(""&amp;Z$3&amp;"") where Col1='""&amp;$T565&amp;""' label sum(""&amp;Z$3&amp;"") ''""),0)))"),"")</f>
        <v/>
      </c>
      <c r="AA565" s="437" t="str">
        <f>IFERROR(__xludf.DUMMYFUNCTION("IF(NOT('portfólio'!$AV$7),"""",IF($T565="""","""",IFERROR(query({AtivosDados},""select sum(""&amp;AA$3&amp;"") where Col1='""&amp;$T565&amp;""' label sum(""&amp;AA$3&amp;"") ''""),0)))"),"")</f>
        <v/>
      </c>
      <c r="AB565" s="437" t="str">
        <f>IFERROR(__xludf.DUMMYFUNCTION("IF(NOT('portfólio'!$AV$7),"""",IF($T565="""","""",IFERROR(query({AtivosDados},""select sum(""&amp;AB$3&amp;"") where Col1='""&amp;$T565&amp;""' label sum(""&amp;AB$3&amp;"") ''""),0)))"),"")</f>
        <v/>
      </c>
      <c r="AC565" s="437" t="str">
        <f>IFERROR(__xludf.DUMMYFUNCTION("IF(NOT('portfólio'!$AV$7),"""",IF($T565="""","""",IFERROR(query({AtivosDados},""select sum(""&amp;AC$3&amp;"") where Col1='""&amp;$T565&amp;""' label sum(""&amp;AC$3&amp;"") ''""),0)))"),"")</f>
        <v/>
      </c>
      <c r="AD565" s="437" t="str">
        <f>IFERROR(__xludf.DUMMYFUNCTION("IF(NOT('portfólio'!$AV$7),"""",IF($T565="""","""",IFERROR(query({AtivosDados},""select sum(""&amp;AD$3&amp;"") where Col1='""&amp;$T565&amp;""' label sum(""&amp;AD$3&amp;"") ''""),0)))"),"")</f>
        <v/>
      </c>
      <c r="AE565" s="437"/>
      <c r="AF565" s="1327"/>
      <c r="AG565" s="437"/>
      <c r="AH565" s="437"/>
      <c r="AI565" s="437"/>
      <c r="AJ565" s="437"/>
      <c r="AK565" s="437"/>
      <c r="AL565" s="437"/>
      <c r="AM565" s="437"/>
      <c r="AN565" s="437"/>
      <c r="AO565" s="437"/>
      <c r="AP565" s="437"/>
      <c r="AQ565" s="1327"/>
      <c r="AR565" s="437"/>
      <c r="AS565" s="437"/>
      <c r="AT565" s="437"/>
      <c r="AU565" s="437"/>
      <c r="AV565" s="437"/>
      <c r="AW565" s="437"/>
      <c r="AX565" s="437"/>
      <c r="AY565" s="437"/>
      <c r="AZ565" s="437"/>
      <c r="BA565" s="437"/>
      <c r="BB565" s="1327"/>
      <c r="BC565" s="437"/>
      <c r="BD565" s="437"/>
      <c r="BE565" s="437"/>
      <c r="BF565" s="437"/>
      <c r="BG565" s="437"/>
      <c r="BH565" s="437"/>
      <c r="BI565" s="437"/>
      <c r="BJ565" s="437"/>
      <c r="BK565" s="437"/>
      <c r="BL565" s="437"/>
      <c r="BM565" s="1327"/>
      <c r="BN565" s="1327"/>
      <c r="BO565" s="1327"/>
      <c r="BP565" s="1327"/>
      <c r="BQ565" s="1327"/>
      <c r="BR565" s="1327"/>
      <c r="BS565" s="1327"/>
      <c r="BT565" s="1327"/>
      <c r="BU565" s="1327"/>
      <c r="BV565" s="1327"/>
      <c r="BW565" s="1327"/>
      <c r="BX565" s="1327"/>
      <c r="BY565" s="1327"/>
      <c r="BZ565" s="1327"/>
      <c r="CA565" s="1327"/>
      <c r="CB565" s="1327"/>
      <c r="CC565" s="1327"/>
      <c r="CD565" s="1327"/>
      <c r="CE565" s="1327"/>
      <c r="CF565" s="1327"/>
      <c r="CG565" s="1327"/>
      <c r="CH565" s="1327"/>
      <c r="CI565" s="1327"/>
      <c r="CJ565" s="1327"/>
      <c r="CK565" s="1327"/>
      <c r="CL565" s="1327"/>
      <c r="CM565" s="1327"/>
      <c r="CN565" s="1327"/>
      <c r="CO565" s="1327"/>
      <c r="CP565" s="1327"/>
      <c r="CQ565" s="1327"/>
      <c r="CR565" s="1327"/>
      <c r="CS565" s="1327"/>
      <c r="CT565" s="1317"/>
      <c r="CU565" s="1317"/>
      <c r="CV565" s="1317"/>
      <c r="CW565" s="1317"/>
      <c r="CX565" s="1317"/>
      <c r="CY565" s="1317"/>
      <c r="CZ565" s="1317"/>
      <c r="DA565" s="1317"/>
      <c r="DB565" s="1317"/>
      <c r="DC565" s="1317"/>
      <c r="DD565" s="1317"/>
      <c r="DE565" s="1317"/>
      <c r="DF565" s="1317"/>
      <c r="DG565" s="1317"/>
    </row>
    <row r="566" ht="18.75" customHeight="1">
      <c r="G566" s="1344"/>
      <c r="H566" s="1345">
        <f t="shared" si="4"/>
        <v>0</v>
      </c>
      <c r="I566" s="1381"/>
      <c r="J566" s="1381"/>
      <c r="K566" s="1381"/>
      <c r="L566" s="1381"/>
      <c r="M566" s="1381"/>
      <c r="N566" s="1381"/>
      <c r="O566" s="1381"/>
      <c r="P566" s="1381"/>
      <c r="Q566" s="1381"/>
      <c r="R566" s="1381"/>
      <c r="T566" s="1349"/>
      <c r="U566" s="1349" t="s">
        <v>123</v>
      </c>
      <c r="V566" s="1349" t="s">
        <v>123</v>
      </c>
      <c r="W566" s="1349"/>
      <c r="X566" s="1349"/>
      <c r="Y566" s="1308"/>
      <c r="Z566" s="437" t="str">
        <f>IFERROR(__xludf.DUMMYFUNCTION("IF(NOT('portfólio'!$AV$7),"""",IF($T566="""","""",IFERROR(query({AtivosDados},""select sum(""&amp;Z$3&amp;"") where Col1='""&amp;$T566&amp;""' label sum(""&amp;Z$3&amp;"") ''""),0)))"),"")</f>
        <v/>
      </c>
      <c r="AA566" s="437" t="str">
        <f>IFERROR(__xludf.DUMMYFUNCTION("IF(NOT('portfólio'!$AV$7),"""",IF($T566="""","""",IFERROR(query({AtivosDados},""select sum(""&amp;AA$3&amp;"") where Col1='""&amp;$T566&amp;""' label sum(""&amp;AA$3&amp;"") ''""),0)))"),"")</f>
        <v/>
      </c>
      <c r="AB566" s="437" t="str">
        <f>IFERROR(__xludf.DUMMYFUNCTION("IF(NOT('portfólio'!$AV$7),"""",IF($T566="""","""",IFERROR(query({AtivosDados},""select sum(""&amp;AB$3&amp;"") where Col1='""&amp;$T566&amp;""' label sum(""&amp;AB$3&amp;"") ''""),0)))"),"")</f>
        <v/>
      </c>
      <c r="AC566" s="437" t="str">
        <f>IFERROR(__xludf.DUMMYFUNCTION("IF(NOT('portfólio'!$AV$7),"""",IF($T566="""","""",IFERROR(query({AtivosDados},""select sum(""&amp;AC$3&amp;"") where Col1='""&amp;$T566&amp;""' label sum(""&amp;AC$3&amp;"") ''""),0)))"),"")</f>
        <v/>
      </c>
      <c r="AD566" s="437" t="str">
        <f>IFERROR(__xludf.DUMMYFUNCTION("IF(NOT('portfólio'!$AV$7),"""",IF($T566="""","""",IFERROR(query({AtivosDados},""select sum(""&amp;AD$3&amp;"") where Col1='""&amp;$T566&amp;""' label sum(""&amp;AD$3&amp;"") ''""),0)))"),"")</f>
        <v/>
      </c>
      <c r="AE566" s="437"/>
      <c r="AF566" s="1327"/>
      <c r="AG566" s="437"/>
      <c r="AH566" s="437"/>
      <c r="AI566" s="437"/>
      <c r="AJ566" s="437"/>
      <c r="AK566" s="437"/>
      <c r="AL566" s="437"/>
      <c r="AM566" s="437"/>
      <c r="AN566" s="437"/>
      <c r="AO566" s="437"/>
      <c r="AP566" s="437"/>
      <c r="AQ566" s="1327"/>
      <c r="AR566" s="437"/>
      <c r="AS566" s="437"/>
      <c r="AT566" s="437"/>
      <c r="AU566" s="437"/>
      <c r="AV566" s="437"/>
      <c r="AW566" s="437"/>
      <c r="AX566" s="437"/>
      <c r="AY566" s="437"/>
      <c r="AZ566" s="437"/>
      <c r="BA566" s="437"/>
      <c r="BB566" s="1327"/>
      <c r="BC566" s="437"/>
      <c r="BD566" s="437"/>
      <c r="BE566" s="437"/>
      <c r="BF566" s="437"/>
      <c r="BG566" s="437"/>
      <c r="BH566" s="437"/>
      <c r="BI566" s="437"/>
      <c r="BJ566" s="437"/>
      <c r="BK566" s="437"/>
      <c r="BL566" s="437"/>
      <c r="BM566" s="1327"/>
      <c r="BN566" s="1327"/>
      <c r="BO566" s="1327"/>
      <c r="BP566" s="1327"/>
      <c r="BQ566" s="1327"/>
      <c r="BR566" s="1327"/>
      <c r="BS566" s="1327"/>
      <c r="BT566" s="1327"/>
      <c r="BU566" s="1327"/>
      <c r="BV566" s="1327"/>
      <c r="BW566" s="1327"/>
      <c r="BX566" s="1327"/>
      <c r="BY566" s="1327"/>
      <c r="BZ566" s="1327"/>
      <c r="CA566" s="1327"/>
      <c r="CB566" s="1327"/>
      <c r="CC566" s="1327"/>
      <c r="CD566" s="1327"/>
      <c r="CE566" s="1327"/>
      <c r="CF566" s="1327"/>
      <c r="CG566" s="1327"/>
      <c r="CH566" s="1327"/>
      <c r="CI566" s="1327"/>
      <c r="CJ566" s="1327"/>
      <c r="CK566" s="1327"/>
      <c r="CL566" s="1327"/>
      <c r="CM566" s="1327"/>
      <c r="CN566" s="1327"/>
      <c r="CO566" s="1327"/>
      <c r="CP566" s="1327"/>
      <c r="CQ566" s="1327"/>
      <c r="CR566" s="1327"/>
      <c r="CS566" s="1327"/>
      <c r="CT566" s="1317"/>
      <c r="CU566" s="1317"/>
      <c r="CV566" s="1317"/>
      <c r="CW566" s="1317"/>
      <c r="CX566" s="1317"/>
      <c r="CY566" s="1317"/>
      <c r="CZ566" s="1317"/>
      <c r="DA566" s="1317"/>
      <c r="DB566" s="1317"/>
      <c r="DC566" s="1317"/>
      <c r="DD566" s="1317"/>
      <c r="DE566" s="1317"/>
      <c r="DF566" s="1317"/>
      <c r="DG566" s="1317"/>
    </row>
    <row r="567" ht="18.75" customHeight="1">
      <c r="G567" s="1344"/>
      <c r="H567" s="1345">
        <f t="shared" si="4"/>
        <v>0</v>
      </c>
      <c r="I567" s="1381"/>
      <c r="J567" s="1381"/>
      <c r="K567" s="1381"/>
      <c r="L567" s="1381"/>
      <c r="M567" s="1381"/>
      <c r="N567" s="1381"/>
      <c r="O567" s="1381"/>
      <c r="P567" s="1381"/>
      <c r="Q567" s="1381"/>
      <c r="R567" s="1381"/>
      <c r="T567" s="1349"/>
      <c r="U567" s="1349" t="s">
        <v>123</v>
      </c>
      <c r="V567" s="1349" t="s">
        <v>123</v>
      </c>
      <c r="W567" s="1349"/>
      <c r="X567" s="1349"/>
      <c r="Y567" s="1308"/>
      <c r="Z567" s="437" t="str">
        <f>IFERROR(__xludf.DUMMYFUNCTION("IF(NOT('portfólio'!$AV$7),"""",IF($T567="""","""",IFERROR(query({AtivosDados},""select sum(""&amp;Z$3&amp;"") where Col1='""&amp;$T567&amp;""' label sum(""&amp;Z$3&amp;"") ''""),0)))"),"")</f>
        <v/>
      </c>
      <c r="AA567" s="437" t="str">
        <f>IFERROR(__xludf.DUMMYFUNCTION("IF(NOT('portfólio'!$AV$7),"""",IF($T567="""","""",IFERROR(query({AtivosDados},""select sum(""&amp;AA$3&amp;"") where Col1='""&amp;$T567&amp;""' label sum(""&amp;AA$3&amp;"") ''""),0)))"),"")</f>
        <v/>
      </c>
      <c r="AB567" s="437" t="str">
        <f>IFERROR(__xludf.DUMMYFUNCTION("IF(NOT('portfólio'!$AV$7),"""",IF($T567="""","""",IFERROR(query({AtivosDados},""select sum(""&amp;AB$3&amp;"") where Col1='""&amp;$T567&amp;""' label sum(""&amp;AB$3&amp;"") ''""),0)))"),"")</f>
        <v/>
      </c>
      <c r="AC567" s="437" t="str">
        <f>IFERROR(__xludf.DUMMYFUNCTION("IF(NOT('portfólio'!$AV$7),"""",IF($T567="""","""",IFERROR(query({AtivosDados},""select sum(""&amp;AC$3&amp;"") where Col1='""&amp;$T567&amp;""' label sum(""&amp;AC$3&amp;"") ''""),0)))"),"")</f>
        <v/>
      </c>
      <c r="AD567" s="437" t="str">
        <f>IFERROR(__xludf.DUMMYFUNCTION("IF(NOT('portfólio'!$AV$7),"""",IF($T567="""","""",IFERROR(query({AtivosDados},""select sum(""&amp;AD$3&amp;"") where Col1='""&amp;$T567&amp;""' label sum(""&amp;AD$3&amp;"") ''""),0)))"),"")</f>
        <v/>
      </c>
      <c r="AE567" s="437"/>
      <c r="AF567" s="1327"/>
      <c r="AG567" s="437"/>
      <c r="AH567" s="437"/>
      <c r="AI567" s="437"/>
      <c r="AJ567" s="437"/>
      <c r="AK567" s="437"/>
      <c r="AL567" s="437"/>
      <c r="AM567" s="437"/>
      <c r="AN567" s="437"/>
      <c r="AO567" s="437"/>
      <c r="AP567" s="437"/>
      <c r="AQ567" s="1327"/>
      <c r="AR567" s="437"/>
      <c r="AS567" s="437"/>
      <c r="AT567" s="437"/>
      <c r="AU567" s="437"/>
      <c r="AV567" s="437"/>
      <c r="AW567" s="437"/>
      <c r="AX567" s="437"/>
      <c r="AY567" s="437"/>
      <c r="AZ567" s="437"/>
      <c r="BA567" s="437"/>
      <c r="BB567" s="1327"/>
      <c r="BC567" s="437"/>
      <c r="BD567" s="437"/>
      <c r="BE567" s="437"/>
      <c r="BF567" s="437"/>
      <c r="BG567" s="437"/>
      <c r="BH567" s="437"/>
      <c r="BI567" s="437"/>
      <c r="BJ567" s="437"/>
      <c r="BK567" s="437"/>
      <c r="BL567" s="437"/>
      <c r="BM567" s="1327"/>
      <c r="BN567" s="1327"/>
      <c r="BO567" s="1327"/>
      <c r="BP567" s="1327"/>
      <c r="BQ567" s="1327"/>
      <c r="BR567" s="1327"/>
      <c r="BS567" s="1327"/>
      <c r="BT567" s="1327"/>
      <c r="BU567" s="1327"/>
      <c r="BV567" s="1327"/>
      <c r="BW567" s="1327"/>
      <c r="BX567" s="1327"/>
      <c r="BY567" s="1327"/>
      <c r="BZ567" s="1327"/>
      <c r="CA567" s="1327"/>
      <c r="CB567" s="1327"/>
      <c r="CC567" s="1327"/>
      <c r="CD567" s="1327"/>
      <c r="CE567" s="1327"/>
      <c r="CF567" s="1327"/>
      <c r="CG567" s="1327"/>
      <c r="CH567" s="1327"/>
      <c r="CI567" s="1327"/>
      <c r="CJ567" s="1327"/>
      <c r="CK567" s="1327"/>
      <c r="CL567" s="1327"/>
      <c r="CM567" s="1327"/>
      <c r="CN567" s="1327"/>
      <c r="CO567" s="1327"/>
      <c r="CP567" s="1327"/>
      <c r="CQ567" s="1327"/>
      <c r="CR567" s="1327"/>
      <c r="CS567" s="1327"/>
      <c r="CT567" s="1317"/>
      <c r="CU567" s="1317"/>
      <c r="CV567" s="1317"/>
      <c r="CW567" s="1317"/>
      <c r="CX567" s="1317"/>
      <c r="CY567" s="1317"/>
      <c r="CZ567" s="1317"/>
      <c r="DA567" s="1317"/>
      <c r="DB567" s="1317"/>
      <c r="DC567" s="1317"/>
      <c r="DD567" s="1317"/>
      <c r="DE567" s="1317"/>
      <c r="DF567" s="1317"/>
      <c r="DG567" s="1317"/>
    </row>
    <row r="568" ht="18.75" customHeight="1">
      <c r="G568" s="1344"/>
      <c r="H568" s="1345">
        <f t="shared" si="4"/>
        <v>0</v>
      </c>
      <c r="I568" s="1381"/>
      <c r="J568" s="1381"/>
      <c r="K568" s="1381"/>
      <c r="L568" s="1381"/>
      <c r="M568" s="1381"/>
      <c r="N568" s="1381"/>
      <c r="O568" s="1381"/>
      <c r="P568" s="1381"/>
      <c r="Q568" s="1381"/>
      <c r="R568" s="1381"/>
      <c r="T568" s="1349"/>
      <c r="U568" s="1349" t="s">
        <v>123</v>
      </c>
      <c r="V568" s="1349" t="s">
        <v>123</v>
      </c>
      <c r="W568" s="1349"/>
      <c r="X568" s="1349"/>
      <c r="Y568" s="1308"/>
      <c r="Z568" s="437" t="str">
        <f>IFERROR(__xludf.DUMMYFUNCTION("IF(NOT('portfólio'!$AV$7),"""",IF($T568="""","""",IFERROR(query({AtivosDados},""select sum(""&amp;Z$3&amp;"") where Col1='""&amp;$T568&amp;""' label sum(""&amp;Z$3&amp;"") ''""),0)))"),"")</f>
        <v/>
      </c>
      <c r="AA568" s="437" t="str">
        <f>IFERROR(__xludf.DUMMYFUNCTION("IF(NOT('portfólio'!$AV$7),"""",IF($T568="""","""",IFERROR(query({AtivosDados},""select sum(""&amp;AA$3&amp;"") where Col1='""&amp;$T568&amp;""' label sum(""&amp;AA$3&amp;"") ''""),0)))"),"")</f>
        <v/>
      </c>
      <c r="AB568" s="437" t="str">
        <f>IFERROR(__xludf.DUMMYFUNCTION("IF(NOT('portfólio'!$AV$7),"""",IF($T568="""","""",IFERROR(query({AtivosDados},""select sum(""&amp;AB$3&amp;"") where Col1='""&amp;$T568&amp;""' label sum(""&amp;AB$3&amp;"") ''""),0)))"),"")</f>
        <v/>
      </c>
      <c r="AC568" s="437" t="str">
        <f>IFERROR(__xludf.DUMMYFUNCTION("IF(NOT('portfólio'!$AV$7),"""",IF($T568="""","""",IFERROR(query({AtivosDados},""select sum(""&amp;AC$3&amp;"") where Col1='""&amp;$T568&amp;""' label sum(""&amp;AC$3&amp;"") ''""),0)))"),"")</f>
        <v/>
      </c>
      <c r="AD568" s="437" t="str">
        <f>IFERROR(__xludf.DUMMYFUNCTION("IF(NOT('portfólio'!$AV$7),"""",IF($T568="""","""",IFERROR(query({AtivosDados},""select sum(""&amp;AD$3&amp;"") where Col1='""&amp;$T568&amp;""' label sum(""&amp;AD$3&amp;"") ''""),0)))"),"")</f>
        <v/>
      </c>
      <c r="AE568" s="437"/>
      <c r="AF568" s="1327"/>
      <c r="AG568" s="437"/>
      <c r="AH568" s="437"/>
      <c r="AI568" s="437"/>
      <c r="AJ568" s="437"/>
      <c r="AK568" s="437"/>
      <c r="AL568" s="437"/>
      <c r="AM568" s="437"/>
      <c r="AN568" s="437"/>
      <c r="AO568" s="437"/>
      <c r="AP568" s="437"/>
      <c r="AQ568" s="1327"/>
      <c r="AR568" s="437"/>
      <c r="AS568" s="437"/>
      <c r="AT568" s="437"/>
      <c r="AU568" s="437"/>
      <c r="AV568" s="437"/>
      <c r="AW568" s="437"/>
      <c r="AX568" s="437"/>
      <c r="AY568" s="437"/>
      <c r="AZ568" s="437"/>
      <c r="BA568" s="437"/>
      <c r="BB568" s="1327"/>
      <c r="BC568" s="437"/>
      <c r="BD568" s="437"/>
      <c r="BE568" s="437"/>
      <c r="BF568" s="437"/>
      <c r="BG568" s="437"/>
      <c r="BH568" s="437"/>
      <c r="BI568" s="437"/>
      <c r="BJ568" s="437"/>
      <c r="BK568" s="437"/>
      <c r="BL568" s="437"/>
      <c r="BM568" s="1327"/>
      <c r="BN568" s="1327"/>
      <c r="BO568" s="1327"/>
      <c r="BP568" s="1327"/>
      <c r="BQ568" s="1327"/>
      <c r="BR568" s="1327"/>
      <c r="BS568" s="1327"/>
      <c r="BT568" s="1327"/>
      <c r="BU568" s="1327"/>
      <c r="BV568" s="1327"/>
      <c r="BW568" s="1327"/>
      <c r="BX568" s="1327"/>
      <c r="BY568" s="1327"/>
      <c r="BZ568" s="1327"/>
      <c r="CA568" s="1327"/>
      <c r="CB568" s="1327"/>
      <c r="CC568" s="1327"/>
      <c r="CD568" s="1327"/>
      <c r="CE568" s="1327"/>
      <c r="CF568" s="1327"/>
      <c r="CG568" s="1327"/>
      <c r="CH568" s="1327"/>
      <c r="CI568" s="1327"/>
      <c r="CJ568" s="1327"/>
      <c r="CK568" s="1327"/>
      <c r="CL568" s="1327"/>
      <c r="CM568" s="1327"/>
      <c r="CN568" s="1327"/>
      <c r="CO568" s="1327"/>
      <c r="CP568" s="1327"/>
      <c r="CQ568" s="1327"/>
      <c r="CR568" s="1327"/>
      <c r="CS568" s="1327"/>
      <c r="CT568" s="1317"/>
      <c r="CU568" s="1317"/>
      <c r="CV568" s="1317"/>
      <c r="CW568" s="1317"/>
      <c r="CX568" s="1317"/>
      <c r="CY568" s="1317"/>
      <c r="CZ568" s="1317"/>
      <c r="DA568" s="1317"/>
      <c r="DB568" s="1317"/>
      <c r="DC568" s="1317"/>
      <c r="DD568" s="1317"/>
      <c r="DE568" s="1317"/>
      <c r="DF568" s="1317"/>
      <c r="DG568" s="1317"/>
    </row>
    <row r="569" ht="18.75" customHeight="1">
      <c r="G569" s="1344"/>
      <c r="H569" s="1345">
        <f t="shared" si="4"/>
        <v>0</v>
      </c>
      <c r="I569" s="1381"/>
      <c r="J569" s="1381"/>
      <c r="K569" s="1381"/>
      <c r="L569" s="1381"/>
      <c r="M569" s="1381"/>
      <c r="N569" s="1381"/>
      <c r="O569" s="1381"/>
      <c r="P569" s="1381"/>
      <c r="Q569" s="1381"/>
      <c r="R569" s="1381"/>
      <c r="T569" s="1349"/>
      <c r="U569" s="1349" t="s">
        <v>123</v>
      </c>
      <c r="V569" s="1349" t="s">
        <v>123</v>
      </c>
      <c r="W569" s="1349"/>
      <c r="X569" s="1349"/>
      <c r="Y569" s="1308"/>
      <c r="Z569" s="437" t="str">
        <f>IFERROR(__xludf.DUMMYFUNCTION("IF(NOT('portfólio'!$AV$7),"""",IF($T569="""","""",IFERROR(query({AtivosDados},""select sum(""&amp;Z$3&amp;"") where Col1='""&amp;$T569&amp;""' label sum(""&amp;Z$3&amp;"") ''""),0)))"),"")</f>
        <v/>
      </c>
      <c r="AA569" s="437" t="str">
        <f>IFERROR(__xludf.DUMMYFUNCTION("IF(NOT('portfólio'!$AV$7),"""",IF($T569="""","""",IFERROR(query({AtivosDados},""select sum(""&amp;AA$3&amp;"") where Col1='""&amp;$T569&amp;""' label sum(""&amp;AA$3&amp;"") ''""),0)))"),"")</f>
        <v/>
      </c>
      <c r="AB569" s="437" t="str">
        <f>IFERROR(__xludf.DUMMYFUNCTION("IF(NOT('portfólio'!$AV$7),"""",IF($T569="""","""",IFERROR(query({AtivosDados},""select sum(""&amp;AB$3&amp;"") where Col1='""&amp;$T569&amp;""' label sum(""&amp;AB$3&amp;"") ''""),0)))"),"")</f>
        <v/>
      </c>
      <c r="AC569" s="437" t="str">
        <f>IFERROR(__xludf.DUMMYFUNCTION("IF(NOT('portfólio'!$AV$7),"""",IF($T569="""","""",IFERROR(query({AtivosDados},""select sum(""&amp;AC$3&amp;"") where Col1='""&amp;$T569&amp;""' label sum(""&amp;AC$3&amp;"") ''""),0)))"),"")</f>
        <v/>
      </c>
      <c r="AD569" s="437" t="str">
        <f>IFERROR(__xludf.DUMMYFUNCTION("IF(NOT('portfólio'!$AV$7),"""",IF($T569="""","""",IFERROR(query({AtivosDados},""select sum(""&amp;AD$3&amp;"") where Col1='""&amp;$T569&amp;""' label sum(""&amp;AD$3&amp;"") ''""),0)))"),"")</f>
        <v/>
      </c>
      <c r="AE569" s="437"/>
      <c r="AF569" s="1327"/>
      <c r="AG569" s="437"/>
      <c r="AH569" s="437"/>
      <c r="AI569" s="437"/>
      <c r="AJ569" s="437"/>
      <c r="AK569" s="437"/>
      <c r="AL569" s="437"/>
      <c r="AM569" s="437"/>
      <c r="AN569" s="437"/>
      <c r="AO569" s="437"/>
      <c r="AP569" s="437"/>
      <c r="AQ569" s="1327"/>
      <c r="AR569" s="437"/>
      <c r="AS569" s="437"/>
      <c r="AT569" s="437"/>
      <c r="AU569" s="437"/>
      <c r="AV569" s="437"/>
      <c r="AW569" s="437"/>
      <c r="AX569" s="437"/>
      <c r="AY569" s="437"/>
      <c r="AZ569" s="437"/>
      <c r="BA569" s="437"/>
      <c r="BB569" s="1327"/>
      <c r="BC569" s="437"/>
      <c r="BD569" s="437"/>
      <c r="BE569" s="437"/>
      <c r="BF569" s="437"/>
      <c r="BG569" s="437"/>
      <c r="BH569" s="437"/>
      <c r="BI569" s="437"/>
      <c r="BJ569" s="437"/>
      <c r="BK569" s="437"/>
      <c r="BL569" s="437"/>
      <c r="BM569" s="1327"/>
      <c r="BN569" s="1327"/>
      <c r="BO569" s="1327"/>
      <c r="BP569" s="1327"/>
      <c r="BQ569" s="1327"/>
      <c r="BR569" s="1327"/>
      <c r="BS569" s="1327"/>
      <c r="BT569" s="1327"/>
      <c r="BU569" s="1327"/>
      <c r="BV569" s="1327"/>
      <c r="BW569" s="1327"/>
      <c r="BX569" s="1327"/>
      <c r="BY569" s="1327"/>
      <c r="BZ569" s="1327"/>
      <c r="CA569" s="1327"/>
      <c r="CB569" s="1327"/>
      <c r="CC569" s="1327"/>
      <c r="CD569" s="1327"/>
      <c r="CE569" s="1327"/>
      <c r="CF569" s="1327"/>
      <c r="CG569" s="1327"/>
      <c r="CH569" s="1327"/>
      <c r="CI569" s="1327"/>
      <c r="CJ569" s="1327"/>
      <c r="CK569" s="1327"/>
      <c r="CL569" s="1327"/>
      <c r="CM569" s="1327"/>
      <c r="CN569" s="1327"/>
      <c r="CO569" s="1327"/>
      <c r="CP569" s="1327"/>
      <c r="CQ569" s="1327"/>
      <c r="CR569" s="1327"/>
      <c r="CS569" s="1327"/>
      <c r="CT569" s="1317"/>
      <c r="CU569" s="1317"/>
      <c r="CV569" s="1317"/>
      <c r="CW569" s="1317"/>
      <c r="CX569" s="1317"/>
      <c r="CY569" s="1317"/>
      <c r="CZ569" s="1317"/>
      <c r="DA569" s="1317"/>
      <c r="DB569" s="1317"/>
      <c r="DC569" s="1317"/>
      <c r="DD569" s="1317"/>
      <c r="DE569" s="1317"/>
      <c r="DF569" s="1317"/>
      <c r="DG569" s="1317"/>
    </row>
    <row r="570" ht="18.75" customHeight="1">
      <c r="G570" s="1344"/>
      <c r="H570" s="1345">
        <f t="shared" si="4"/>
        <v>0</v>
      </c>
      <c r="I570" s="1381"/>
      <c r="J570" s="1381"/>
      <c r="K570" s="1381"/>
      <c r="L570" s="1381"/>
      <c r="M570" s="1381"/>
      <c r="N570" s="1381"/>
      <c r="O570" s="1381"/>
      <c r="P570" s="1381"/>
      <c r="Q570" s="1381"/>
      <c r="R570" s="1381"/>
      <c r="T570" s="1349"/>
      <c r="U570" s="1349" t="s">
        <v>123</v>
      </c>
      <c r="V570" s="1349" t="s">
        <v>123</v>
      </c>
      <c r="W570" s="1349"/>
      <c r="X570" s="1349"/>
      <c r="Y570" s="1308"/>
      <c r="Z570" s="437" t="str">
        <f>IFERROR(__xludf.DUMMYFUNCTION("IF(NOT('portfólio'!$AV$7),"""",IF($T570="""","""",IFERROR(query({AtivosDados},""select sum(""&amp;Z$3&amp;"") where Col1='""&amp;$T570&amp;""' label sum(""&amp;Z$3&amp;"") ''""),0)))"),"")</f>
        <v/>
      </c>
      <c r="AA570" s="437" t="str">
        <f>IFERROR(__xludf.DUMMYFUNCTION("IF(NOT('portfólio'!$AV$7),"""",IF($T570="""","""",IFERROR(query({AtivosDados},""select sum(""&amp;AA$3&amp;"") where Col1='""&amp;$T570&amp;""' label sum(""&amp;AA$3&amp;"") ''""),0)))"),"")</f>
        <v/>
      </c>
      <c r="AB570" s="437" t="str">
        <f>IFERROR(__xludf.DUMMYFUNCTION("IF(NOT('portfólio'!$AV$7),"""",IF($T570="""","""",IFERROR(query({AtivosDados},""select sum(""&amp;AB$3&amp;"") where Col1='""&amp;$T570&amp;""' label sum(""&amp;AB$3&amp;"") ''""),0)))"),"")</f>
        <v/>
      </c>
      <c r="AC570" s="437" t="str">
        <f>IFERROR(__xludf.DUMMYFUNCTION("IF(NOT('portfólio'!$AV$7),"""",IF($T570="""","""",IFERROR(query({AtivosDados},""select sum(""&amp;AC$3&amp;"") where Col1='""&amp;$T570&amp;""' label sum(""&amp;AC$3&amp;"") ''""),0)))"),"")</f>
        <v/>
      </c>
      <c r="AD570" s="437" t="str">
        <f>IFERROR(__xludf.DUMMYFUNCTION("IF(NOT('portfólio'!$AV$7),"""",IF($T570="""","""",IFERROR(query({AtivosDados},""select sum(""&amp;AD$3&amp;"") where Col1='""&amp;$T570&amp;""' label sum(""&amp;AD$3&amp;"") ''""),0)))"),"")</f>
        <v/>
      </c>
      <c r="AE570" s="437"/>
      <c r="AF570" s="1327"/>
      <c r="AG570" s="437"/>
      <c r="AH570" s="437"/>
      <c r="AI570" s="437"/>
      <c r="AJ570" s="437"/>
      <c r="AK570" s="437"/>
      <c r="AL570" s="437"/>
      <c r="AM570" s="437"/>
      <c r="AN570" s="437"/>
      <c r="AO570" s="437"/>
      <c r="AP570" s="437"/>
      <c r="AQ570" s="1327"/>
      <c r="AR570" s="437"/>
      <c r="AS570" s="437"/>
      <c r="AT570" s="437"/>
      <c r="AU570" s="437"/>
      <c r="AV570" s="437"/>
      <c r="AW570" s="437"/>
      <c r="AX570" s="437"/>
      <c r="AY570" s="437"/>
      <c r="AZ570" s="437"/>
      <c r="BA570" s="437"/>
      <c r="BB570" s="1327"/>
      <c r="BC570" s="437"/>
      <c r="BD570" s="437"/>
      <c r="BE570" s="437"/>
      <c r="BF570" s="437"/>
      <c r="BG570" s="437"/>
      <c r="BH570" s="437"/>
      <c r="BI570" s="437"/>
      <c r="BJ570" s="437"/>
      <c r="BK570" s="437"/>
      <c r="BL570" s="437"/>
      <c r="BM570" s="1327"/>
      <c r="BN570" s="1327"/>
      <c r="BO570" s="1327"/>
      <c r="BP570" s="1327"/>
      <c r="BQ570" s="1327"/>
      <c r="BR570" s="1327"/>
      <c r="BS570" s="1327"/>
      <c r="BT570" s="1327"/>
      <c r="BU570" s="1327"/>
      <c r="BV570" s="1327"/>
      <c r="BW570" s="1327"/>
      <c r="BX570" s="1327"/>
      <c r="BY570" s="1327"/>
      <c r="BZ570" s="1327"/>
      <c r="CA570" s="1327"/>
      <c r="CB570" s="1327"/>
      <c r="CC570" s="1327"/>
      <c r="CD570" s="1327"/>
      <c r="CE570" s="1327"/>
      <c r="CF570" s="1327"/>
      <c r="CG570" s="1327"/>
      <c r="CH570" s="1327"/>
      <c r="CI570" s="1327"/>
      <c r="CJ570" s="1327"/>
      <c r="CK570" s="1327"/>
      <c r="CL570" s="1327"/>
      <c r="CM570" s="1327"/>
      <c r="CN570" s="1327"/>
      <c r="CO570" s="1327"/>
      <c r="CP570" s="1327"/>
      <c r="CQ570" s="1327"/>
      <c r="CR570" s="1327"/>
      <c r="CS570" s="1327"/>
      <c r="CT570" s="1317"/>
      <c r="CU570" s="1317"/>
      <c r="CV570" s="1317"/>
      <c r="CW570" s="1317"/>
      <c r="CX570" s="1317"/>
      <c r="CY570" s="1317"/>
      <c r="CZ570" s="1317"/>
      <c r="DA570" s="1317"/>
      <c r="DB570" s="1317"/>
      <c r="DC570" s="1317"/>
      <c r="DD570" s="1317"/>
      <c r="DE570" s="1317"/>
      <c r="DF570" s="1317"/>
      <c r="DG570" s="1317"/>
    </row>
    <row r="571" ht="18.75" customHeight="1">
      <c r="G571" s="1344"/>
      <c r="H571" s="1345">
        <f t="shared" si="4"/>
        <v>0</v>
      </c>
      <c r="I571" s="1381"/>
      <c r="J571" s="1381"/>
      <c r="K571" s="1381"/>
      <c r="L571" s="1381"/>
      <c r="M571" s="1381"/>
      <c r="N571" s="1381"/>
      <c r="O571" s="1381"/>
      <c r="P571" s="1381"/>
      <c r="Q571" s="1381"/>
      <c r="R571" s="1381"/>
      <c r="T571" s="1349"/>
      <c r="U571" s="1349" t="s">
        <v>123</v>
      </c>
      <c r="V571" s="1349" t="s">
        <v>123</v>
      </c>
      <c r="W571" s="1349"/>
      <c r="X571" s="1349"/>
      <c r="Y571" s="1308"/>
      <c r="Z571" s="437" t="str">
        <f>IFERROR(__xludf.DUMMYFUNCTION("IF(NOT('portfólio'!$AV$7),"""",IF($T571="""","""",IFERROR(query({AtivosDados},""select sum(""&amp;Z$3&amp;"") where Col1='""&amp;$T571&amp;""' label sum(""&amp;Z$3&amp;"") ''""),0)))"),"")</f>
        <v/>
      </c>
      <c r="AA571" s="437" t="str">
        <f>IFERROR(__xludf.DUMMYFUNCTION("IF(NOT('portfólio'!$AV$7),"""",IF($T571="""","""",IFERROR(query({AtivosDados},""select sum(""&amp;AA$3&amp;"") where Col1='""&amp;$T571&amp;""' label sum(""&amp;AA$3&amp;"") ''""),0)))"),"")</f>
        <v/>
      </c>
      <c r="AB571" s="437" t="str">
        <f>IFERROR(__xludf.DUMMYFUNCTION("IF(NOT('portfólio'!$AV$7),"""",IF($T571="""","""",IFERROR(query({AtivosDados},""select sum(""&amp;AB$3&amp;"") where Col1='""&amp;$T571&amp;""' label sum(""&amp;AB$3&amp;"") ''""),0)))"),"")</f>
        <v/>
      </c>
      <c r="AC571" s="437" t="str">
        <f>IFERROR(__xludf.DUMMYFUNCTION("IF(NOT('portfólio'!$AV$7),"""",IF($T571="""","""",IFERROR(query({AtivosDados},""select sum(""&amp;AC$3&amp;"") where Col1='""&amp;$T571&amp;""' label sum(""&amp;AC$3&amp;"") ''""),0)))"),"")</f>
        <v/>
      </c>
      <c r="AD571" s="437" t="str">
        <f>IFERROR(__xludf.DUMMYFUNCTION("IF(NOT('portfólio'!$AV$7),"""",IF($T571="""","""",IFERROR(query({AtivosDados},""select sum(""&amp;AD$3&amp;"") where Col1='""&amp;$T571&amp;""' label sum(""&amp;AD$3&amp;"") ''""),0)))"),"")</f>
        <v/>
      </c>
      <c r="AE571" s="437"/>
      <c r="AF571" s="1327"/>
      <c r="AG571" s="437"/>
      <c r="AH571" s="437"/>
      <c r="AI571" s="437"/>
      <c r="AJ571" s="437"/>
      <c r="AK571" s="437"/>
      <c r="AL571" s="437"/>
      <c r="AM571" s="437"/>
      <c r="AN571" s="437"/>
      <c r="AO571" s="437"/>
      <c r="AP571" s="437"/>
      <c r="AQ571" s="1327"/>
      <c r="AR571" s="437"/>
      <c r="AS571" s="437"/>
      <c r="AT571" s="437"/>
      <c r="AU571" s="437"/>
      <c r="AV571" s="437"/>
      <c r="AW571" s="437"/>
      <c r="AX571" s="437"/>
      <c r="AY571" s="437"/>
      <c r="AZ571" s="437"/>
      <c r="BA571" s="437"/>
      <c r="BB571" s="1327"/>
      <c r="BC571" s="437"/>
      <c r="BD571" s="437"/>
      <c r="BE571" s="437"/>
      <c r="BF571" s="437"/>
      <c r="BG571" s="437"/>
      <c r="BH571" s="437"/>
      <c r="BI571" s="437"/>
      <c r="BJ571" s="437"/>
      <c r="BK571" s="437"/>
      <c r="BL571" s="437"/>
      <c r="BM571" s="1327"/>
      <c r="BN571" s="1327"/>
      <c r="BO571" s="1327"/>
      <c r="BP571" s="1327"/>
      <c r="BQ571" s="1327"/>
      <c r="BR571" s="1327"/>
      <c r="BS571" s="1327"/>
      <c r="BT571" s="1327"/>
      <c r="BU571" s="1327"/>
      <c r="BV571" s="1327"/>
      <c r="BW571" s="1327"/>
      <c r="BX571" s="1327"/>
      <c r="BY571" s="1327"/>
      <c r="BZ571" s="1327"/>
      <c r="CA571" s="1327"/>
      <c r="CB571" s="1327"/>
      <c r="CC571" s="1327"/>
      <c r="CD571" s="1327"/>
      <c r="CE571" s="1327"/>
      <c r="CF571" s="1327"/>
      <c r="CG571" s="1327"/>
      <c r="CH571" s="1327"/>
      <c r="CI571" s="1327"/>
      <c r="CJ571" s="1327"/>
      <c r="CK571" s="1327"/>
      <c r="CL571" s="1327"/>
      <c r="CM571" s="1327"/>
      <c r="CN571" s="1327"/>
      <c r="CO571" s="1327"/>
      <c r="CP571" s="1327"/>
      <c r="CQ571" s="1327"/>
      <c r="CR571" s="1327"/>
      <c r="CS571" s="1327"/>
      <c r="CT571" s="1317"/>
      <c r="CU571" s="1317"/>
      <c r="CV571" s="1317"/>
      <c r="CW571" s="1317"/>
      <c r="CX571" s="1317"/>
      <c r="CY571" s="1317"/>
      <c r="CZ571" s="1317"/>
      <c r="DA571" s="1317"/>
      <c r="DB571" s="1317"/>
      <c r="DC571" s="1317"/>
      <c r="DD571" s="1317"/>
      <c r="DE571" s="1317"/>
      <c r="DF571" s="1317"/>
      <c r="DG571" s="1317"/>
    </row>
    <row r="572" ht="18.75" customHeight="1">
      <c r="G572" s="1344"/>
      <c r="H572" s="1345">
        <f t="shared" si="4"/>
        <v>0</v>
      </c>
      <c r="I572" s="1381"/>
      <c r="J572" s="1381"/>
      <c r="K572" s="1381"/>
      <c r="L572" s="1381"/>
      <c r="M572" s="1381"/>
      <c r="N572" s="1381"/>
      <c r="O572" s="1381"/>
      <c r="P572" s="1381"/>
      <c r="Q572" s="1381"/>
      <c r="R572" s="1381"/>
      <c r="T572" s="1349"/>
      <c r="U572" s="1349" t="s">
        <v>123</v>
      </c>
      <c r="V572" s="1349" t="s">
        <v>123</v>
      </c>
      <c r="W572" s="1349"/>
      <c r="X572" s="1349"/>
      <c r="Y572" s="1308"/>
      <c r="Z572" s="437" t="str">
        <f>IFERROR(__xludf.DUMMYFUNCTION("IF(NOT('portfólio'!$AV$7),"""",IF($T572="""","""",IFERROR(query({AtivosDados},""select sum(""&amp;Z$3&amp;"") where Col1='""&amp;$T572&amp;""' label sum(""&amp;Z$3&amp;"") ''""),0)))"),"")</f>
        <v/>
      </c>
      <c r="AA572" s="437" t="str">
        <f>IFERROR(__xludf.DUMMYFUNCTION("IF(NOT('portfólio'!$AV$7),"""",IF($T572="""","""",IFERROR(query({AtivosDados},""select sum(""&amp;AA$3&amp;"") where Col1='""&amp;$T572&amp;""' label sum(""&amp;AA$3&amp;"") ''""),0)))"),"")</f>
        <v/>
      </c>
      <c r="AB572" s="437" t="str">
        <f>IFERROR(__xludf.DUMMYFUNCTION("IF(NOT('portfólio'!$AV$7),"""",IF($T572="""","""",IFERROR(query({AtivosDados},""select sum(""&amp;AB$3&amp;"") where Col1='""&amp;$T572&amp;""' label sum(""&amp;AB$3&amp;"") ''""),0)))"),"")</f>
        <v/>
      </c>
      <c r="AC572" s="437" t="str">
        <f>IFERROR(__xludf.DUMMYFUNCTION("IF(NOT('portfólio'!$AV$7),"""",IF($T572="""","""",IFERROR(query({AtivosDados},""select sum(""&amp;AC$3&amp;"") where Col1='""&amp;$T572&amp;""' label sum(""&amp;AC$3&amp;"") ''""),0)))"),"")</f>
        <v/>
      </c>
      <c r="AD572" s="437" t="str">
        <f>IFERROR(__xludf.DUMMYFUNCTION("IF(NOT('portfólio'!$AV$7),"""",IF($T572="""","""",IFERROR(query({AtivosDados},""select sum(""&amp;AD$3&amp;"") where Col1='""&amp;$T572&amp;""' label sum(""&amp;AD$3&amp;"") ''""),0)))"),"")</f>
        <v/>
      </c>
      <c r="AE572" s="437"/>
      <c r="AF572" s="1327"/>
      <c r="AG572" s="437"/>
      <c r="AH572" s="437"/>
      <c r="AI572" s="437"/>
      <c r="AJ572" s="437"/>
      <c r="AK572" s="437"/>
      <c r="AL572" s="437"/>
      <c r="AM572" s="437"/>
      <c r="AN572" s="437"/>
      <c r="AO572" s="437"/>
      <c r="AP572" s="437"/>
      <c r="AQ572" s="1327"/>
      <c r="AR572" s="437"/>
      <c r="AS572" s="437"/>
      <c r="AT572" s="437"/>
      <c r="AU572" s="437"/>
      <c r="AV572" s="437"/>
      <c r="AW572" s="437"/>
      <c r="AX572" s="437"/>
      <c r="AY572" s="437"/>
      <c r="AZ572" s="437"/>
      <c r="BA572" s="437"/>
      <c r="BB572" s="1327"/>
      <c r="BC572" s="437"/>
      <c r="BD572" s="437"/>
      <c r="BE572" s="437"/>
      <c r="BF572" s="437"/>
      <c r="BG572" s="437"/>
      <c r="BH572" s="437"/>
      <c r="BI572" s="437"/>
      <c r="BJ572" s="437"/>
      <c r="BK572" s="437"/>
      <c r="BL572" s="437"/>
      <c r="BM572" s="1327"/>
      <c r="BN572" s="1327"/>
      <c r="BO572" s="1327"/>
      <c r="BP572" s="1327"/>
      <c r="BQ572" s="1327"/>
      <c r="BR572" s="1327"/>
      <c r="BS572" s="1327"/>
      <c r="BT572" s="1327"/>
      <c r="BU572" s="1327"/>
      <c r="BV572" s="1327"/>
      <c r="BW572" s="1327"/>
      <c r="BX572" s="1327"/>
      <c r="BY572" s="1327"/>
      <c r="BZ572" s="1327"/>
      <c r="CA572" s="1327"/>
      <c r="CB572" s="1327"/>
      <c r="CC572" s="1327"/>
      <c r="CD572" s="1327"/>
      <c r="CE572" s="1327"/>
      <c r="CF572" s="1327"/>
      <c r="CG572" s="1327"/>
      <c r="CH572" s="1327"/>
      <c r="CI572" s="1327"/>
      <c r="CJ572" s="1327"/>
      <c r="CK572" s="1327"/>
      <c r="CL572" s="1327"/>
      <c r="CM572" s="1327"/>
      <c r="CN572" s="1327"/>
      <c r="CO572" s="1327"/>
      <c r="CP572" s="1327"/>
      <c r="CQ572" s="1327"/>
      <c r="CR572" s="1327"/>
      <c r="CS572" s="1327"/>
      <c r="CT572" s="1317"/>
      <c r="CU572" s="1317"/>
      <c r="CV572" s="1317"/>
      <c r="CW572" s="1317"/>
      <c r="CX572" s="1317"/>
      <c r="CY572" s="1317"/>
      <c r="CZ572" s="1317"/>
      <c r="DA572" s="1317"/>
      <c r="DB572" s="1317"/>
      <c r="DC572" s="1317"/>
      <c r="DD572" s="1317"/>
      <c r="DE572" s="1317"/>
      <c r="DF572" s="1317"/>
      <c r="DG572" s="1317"/>
    </row>
    <row r="573" ht="18.75" customHeight="1">
      <c r="G573" s="1344"/>
      <c r="H573" s="1345">
        <f t="shared" si="4"/>
        <v>0</v>
      </c>
      <c r="I573" s="1381"/>
      <c r="J573" s="1381"/>
      <c r="K573" s="1381"/>
      <c r="L573" s="1381"/>
      <c r="M573" s="1381"/>
      <c r="N573" s="1381"/>
      <c r="O573" s="1381"/>
      <c r="P573" s="1381"/>
      <c r="Q573" s="1381"/>
      <c r="R573" s="1381"/>
      <c r="T573" s="1349"/>
      <c r="U573" s="1349" t="s">
        <v>123</v>
      </c>
      <c r="V573" s="1349" t="s">
        <v>123</v>
      </c>
      <c r="W573" s="1349"/>
      <c r="X573" s="1349"/>
      <c r="Y573" s="1308"/>
      <c r="Z573" s="437" t="str">
        <f>IFERROR(__xludf.DUMMYFUNCTION("IF(NOT('portfólio'!$AV$7),"""",IF($T573="""","""",IFERROR(query({AtivosDados},""select sum(""&amp;Z$3&amp;"") where Col1='""&amp;$T573&amp;""' label sum(""&amp;Z$3&amp;"") ''""),0)))"),"")</f>
        <v/>
      </c>
      <c r="AA573" s="437" t="str">
        <f>IFERROR(__xludf.DUMMYFUNCTION("IF(NOT('portfólio'!$AV$7),"""",IF($T573="""","""",IFERROR(query({AtivosDados},""select sum(""&amp;AA$3&amp;"") where Col1='""&amp;$T573&amp;""' label sum(""&amp;AA$3&amp;"") ''""),0)))"),"")</f>
        <v/>
      </c>
      <c r="AB573" s="437" t="str">
        <f>IFERROR(__xludf.DUMMYFUNCTION("IF(NOT('portfólio'!$AV$7),"""",IF($T573="""","""",IFERROR(query({AtivosDados},""select sum(""&amp;AB$3&amp;"") where Col1='""&amp;$T573&amp;""' label sum(""&amp;AB$3&amp;"") ''""),0)))"),"")</f>
        <v/>
      </c>
      <c r="AC573" s="437" t="str">
        <f>IFERROR(__xludf.DUMMYFUNCTION("IF(NOT('portfólio'!$AV$7),"""",IF($T573="""","""",IFERROR(query({AtivosDados},""select sum(""&amp;AC$3&amp;"") where Col1='""&amp;$T573&amp;""' label sum(""&amp;AC$3&amp;"") ''""),0)))"),"")</f>
        <v/>
      </c>
      <c r="AD573" s="437" t="str">
        <f>IFERROR(__xludf.DUMMYFUNCTION("IF(NOT('portfólio'!$AV$7),"""",IF($T573="""","""",IFERROR(query({AtivosDados},""select sum(""&amp;AD$3&amp;"") where Col1='""&amp;$T573&amp;""' label sum(""&amp;AD$3&amp;"") ''""),0)))"),"")</f>
        <v/>
      </c>
      <c r="AE573" s="437"/>
      <c r="AF573" s="1327"/>
      <c r="AG573" s="437"/>
      <c r="AH573" s="437"/>
      <c r="AI573" s="437"/>
      <c r="AJ573" s="437"/>
      <c r="AK573" s="437"/>
      <c r="AL573" s="437"/>
      <c r="AM573" s="437"/>
      <c r="AN573" s="437"/>
      <c r="AO573" s="437"/>
      <c r="AP573" s="437"/>
      <c r="AQ573" s="1327"/>
      <c r="AR573" s="437"/>
      <c r="AS573" s="437"/>
      <c r="AT573" s="437"/>
      <c r="AU573" s="437"/>
      <c r="AV573" s="437"/>
      <c r="AW573" s="437"/>
      <c r="AX573" s="437"/>
      <c r="AY573" s="437"/>
      <c r="AZ573" s="437"/>
      <c r="BA573" s="437"/>
      <c r="BB573" s="1327"/>
      <c r="BC573" s="437"/>
      <c r="BD573" s="437"/>
      <c r="BE573" s="437"/>
      <c r="BF573" s="437"/>
      <c r="BG573" s="437"/>
      <c r="BH573" s="437"/>
      <c r="BI573" s="437"/>
      <c r="BJ573" s="437"/>
      <c r="BK573" s="437"/>
      <c r="BL573" s="437"/>
      <c r="BM573" s="1327"/>
      <c r="BN573" s="1327"/>
      <c r="BO573" s="1327"/>
      <c r="BP573" s="1327"/>
      <c r="BQ573" s="1327"/>
      <c r="BR573" s="1327"/>
      <c r="BS573" s="1327"/>
      <c r="BT573" s="1327"/>
      <c r="BU573" s="1327"/>
      <c r="BV573" s="1327"/>
      <c r="BW573" s="1327"/>
      <c r="BX573" s="1327"/>
      <c r="BY573" s="1327"/>
      <c r="BZ573" s="1327"/>
      <c r="CA573" s="1327"/>
      <c r="CB573" s="1327"/>
      <c r="CC573" s="1327"/>
      <c r="CD573" s="1327"/>
      <c r="CE573" s="1327"/>
      <c r="CF573" s="1327"/>
      <c r="CG573" s="1327"/>
      <c r="CH573" s="1327"/>
      <c r="CI573" s="1327"/>
      <c r="CJ573" s="1327"/>
      <c r="CK573" s="1327"/>
      <c r="CL573" s="1327"/>
      <c r="CM573" s="1327"/>
      <c r="CN573" s="1327"/>
      <c r="CO573" s="1327"/>
      <c r="CP573" s="1327"/>
      <c r="CQ573" s="1327"/>
      <c r="CR573" s="1327"/>
      <c r="CS573" s="1327"/>
      <c r="CT573" s="1317"/>
      <c r="CU573" s="1317"/>
      <c r="CV573" s="1317"/>
      <c r="CW573" s="1317"/>
      <c r="CX573" s="1317"/>
      <c r="CY573" s="1317"/>
      <c r="CZ573" s="1317"/>
      <c r="DA573" s="1317"/>
      <c r="DB573" s="1317"/>
      <c r="DC573" s="1317"/>
      <c r="DD573" s="1317"/>
      <c r="DE573" s="1317"/>
      <c r="DF573" s="1317"/>
      <c r="DG573" s="1317"/>
    </row>
    <row r="574" ht="18.75" customHeight="1">
      <c r="G574" s="1344"/>
      <c r="H574" s="1345">
        <f t="shared" si="4"/>
        <v>0</v>
      </c>
      <c r="I574" s="1381"/>
      <c r="J574" s="1381"/>
      <c r="K574" s="1381"/>
      <c r="L574" s="1381"/>
      <c r="M574" s="1381"/>
      <c r="N574" s="1381"/>
      <c r="O574" s="1381"/>
      <c r="P574" s="1381"/>
      <c r="Q574" s="1381"/>
      <c r="R574" s="1381"/>
      <c r="T574" s="1349"/>
      <c r="U574" s="1349" t="s">
        <v>123</v>
      </c>
      <c r="V574" s="1349" t="s">
        <v>123</v>
      </c>
      <c r="W574" s="1349"/>
      <c r="X574" s="1349"/>
      <c r="Y574" s="1308"/>
      <c r="Z574" s="437" t="str">
        <f>IFERROR(__xludf.DUMMYFUNCTION("IF(NOT('portfólio'!$AV$7),"""",IF($T574="""","""",IFERROR(query({AtivosDados},""select sum(""&amp;Z$3&amp;"") where Col1='""&amp;$T574&amp;""' label sum(""&amp;Z$3&amp;"") ''""),0)))"),"")</f>
        <v/>
      </c>
      <c r="AA574" s="437" t="str">
        <f>IFERROR(__xludf.DUMMYFUNCTION("IF(NOT('portfólio'!$AV$7),"""",IF($T574="""","""",IFERROR(query({AtivosDados},""select sum(""&amp;AA$3&amp;"") where Col1='""&amp;$T574&amp;""' label sum(""&amp;AA$3&amp;"") ''""),0)))"),"")</f>
        <v/>
      </c>
      <c r="AB574" s="437" t="str">
        <f>IFERROR(__xludf.DUMMYFUNCTION("IF(NOT('portfólio'!$AV$7),"""",IF($T574="""","""",IFERROR(query({AtivosDados},""select sum(""&amp;AB$3&amp;"") where Col1='""&amp;$T574&amp;""' label sum(""&amp;AB$3&amp;"") ''""),0)))"),"")</f>
        <v/>
      </c>
      <c r="AC574" s="437" t="str">
        <f>IFERROR(__xludf.DUMMYFUNCTION("IF(NOT('portfólio'!$AV$7),"""",IF($T574="""","""",IFERROR(query({AtivosDados},""select sum(""&amp;AC$3&amp;"") where Col1='""&amp;$T574&amp;""' label sum(""&amp;AC$3&amp;"") ''""),0)))"),"")</f>
        <v/>
      </c>
      <c r="AD574" s="437" t="str">
        <f>IFERROR(__xludf.DUMMYFUNCTION("IF(NOT('portfólio'!$AV$7),"""",IF($T574="""","""",IFERROR(query({AtivosDados},""select sum(""&amp;AD$3&amp;"") where Col1='""&amp;$T574&amp;""' label sum(""&amp;AD$3&amp;"") ''""),0)))"),"")</f>
        <v/>
      </c>
      <c r="AE574" s="437"/>
      <c r="AF574" s="1327"/>
      <c r="AG574" s="437"/>
      <c r="AH574" s="437"/>
      <c r="AI574" s="437"/>
      <c r="AJ574" s="437"/>
      <c r="AK574" s="437"/>
      <c r="AL574" s="437"/>
      <c r="AM574" s="437"/>
      <c r="AN574" s="437"/>
      <c r="AO574" s="437"/>
      <c r="AP574" s="437"/>
      <c r="AQ574" s="1327"/>
      <c r="AR574" s="437"/>
      <c r="AS574" s="437"/>
      <c r="AT574" s="437"/>
      <c r="AU574" s="437"/>
      <c r="AV574" s="437"/>
      <c r="AW574" s="437"/>
      <c r="AX574" s="437"/>
      <c r="AY574" s="437"/>
      <c r="AZ574" s="437"/>
      <c r="BA574" s="437"/>
      <c r="BB574" s="1327"/>
      <c r="BC574" s="437"/>
      <c r="BD574" s="437"/>
      <c r="BE574" s="437"/>
      <c r="BF574" s="437"/>
      <c r="BG574" s="437"/>
      <c r="BH574" s="437"/>
      <c r="BI574" s="437"/>
      <c r="BJ574" s="437"/>
      <c r="BK574" s="437"/>
      <c r="BL574" s="437"/>
      <c r="BM574" s="1327"/>
      <c r="BN574" s="1327"/>
      <c r="BO574" s="1327"/>
      <c r="BP574" s="1327"/>
      <c r="BQ574" s="1327"/>
      <c r="BR574" s="1327"/>
      <c r="BS574" s="1327"/>
      <c r="BT574" s="1327"/>
      <c r="BU574" s="1327"/>
      <c r="BV574" s="1327"/>
      <c r="BW574" s="1327"/>
      <c r="BX574" s="1327"/>
      <c r="BY574" s="1327"/>
      <c r="BZ574" s="1327"/>
      <c r="CA574" s="1327"/>
      <c r="CB574" s="1327"/>
      <c r="CC574" s="1327"/>
      <c r="CD574" s="1327"/>
      <c r="CE574" s="1327"/>
      <c r="CF574" s="1327"/>
      <c r="CG574" s="1327"/>
      <c r="CH574" s="1327"/>
      <c r="CI574" s="1327"/>
      <c r="CJ574" s="1327"/>
      <c r="CK574" s="1327"/>
      <c r="CL574" s="1327"/>
      <c r="CM574" s="1327"/>
      <c r="CN574" s="1327"/>
      <c r="CO574" s="1327"/>
      <c r="CP574" s="1327"/>
      <c r="CQ574" s="1327"/>
      <c r="CR574" s="1327"/>
      <c r="CS574" s="1327"/>
      <c r="CT574" s="1317"/>
      <c r="CU574" s="1317"/>
      <c r="CV574" s="1317"/>
      <c r="CW574" s="1317"/>
      <c r="CX574" s="1317"/>
      <c r="CY574" s="1317"/>
      <c r="CZ574" s="1317"/>
      <c r="DA574" s="1317"/>
      <c r="DB574" s="1317"/>
      <c r="DC574" s="1317"/>
      <c r="DD574" s="1317"/>
      <c r="DE574" s="1317"/>
      <c r="DF574" s="1317"/>
      <c r="DG574" s="1317"/>
    </row>
  </sheetData>
  <mergeCells count="32">
    <mergeCell ref="B1:C1"/>
    <mergeCell ref="G1:R1"/>
    <mergeCell ref="AG1:AP1"/>
    <mergeCell ref="AR1:BA1"/>
    <mergeCell ref="BC1:BL1"/>
    <mergeCell ref="CU1:DG1"/>
    <mergeCell ref="B3:E3"/>
    <mergeCell ref="BN16:CC16"/>
    <mergeCell ref="BN20:BV20"/>
    <mergeCell ref="BN26:BP26"/>
    <mergeCell ref="G3:R3"/>
    <mergeCell ref="T3:V3"/>
    <mergeCell ref="B5:C5"/>
    <mergeCell ref="B17:E17"/>
    <mergeCell ref="B18:C18"/>
    <mergeCell ref="B19:B20"/>
    <mergeCell ref="D20:E20"/>
    <mergeCell ref="B23:B24"/>
    <mergeCell ref="B25:B26"/>
    <mergeCell ref="B27:B29"/>
    <mergeCell ref="D25:E25"/>
    <mergeCell ref="D26:E26"/>
    <mergeCell ref="D27:E27"/>
    <mergeCell ref="D28:E28"/>
    <mergeCell ref="D29:E29"/>
    <mergeCell ref="D18:E18"/>
    <mergeCell ref="D19:E19"/>
    <mergeCell ref="B21:B22"/>
    <mergeCell ref="D21:E21"/>
    <mergeCell ref="D22:E22"/>
    <mergeCell ref="D23:E23"/>
    <mergeCell ref="D24:E24"/>
  </mergeCells>
  <conditionalFormatting sqref="G5:G574">
    <cfRule type="containsBlanks" dxfId="4" priority="1" stopIfTrue="1">
      <formula>LEN(TRIM(G5))=0</formula>
    </cfRule>
  </conditionalFormatting>
  <conditionalFormatting sqref="G5:G574">
    <cfRule type="expression" dxfId="84" priority="2">
      <formula>IF(V5&lt;&gt;"",TRUE)</formula>
    </cfRule>
  </conditionalFormatting>
  <conditionalFormatting sqref="G5:G574">
    <cfRule type="expression" dxfId="6" priority="3" stopIfTrue="1">
      <formula>IF(U5="FII",TRUE)</formula>
    </cfRule>
  </conditionalFormatting>
  <conditionalFormatting sqref="G5:G574">
    <cfRule type="expression" dxfId="5" priority="4" stopIfTrue="1">
      <formula>IF(U5="AÇÃO",TRUE)</formula>
    </cfRule>
  </conditionalFormatting>
  <conditionalFormatting sqref="G5:G574">
    <cfRule type="expression" dxfId="25" priority="5" stopIfTrue="1">
      <formula>IF(OR(U5="ETF",U5="FIA",U5="FIP",U5="FIP IE"),TRUE)</formula>
    </cfRule>
  </conditionalFormatting>
  <conditionalFormatting sqref="G5:G574">
    <cfRule type="expression" dxfId="44" priority="6" stopIfTrue="1">
      <formula>IF(U5="OPÇÃO",TRUE)</formula>
    </cfRule>
  </conditionalFormatting>
  <conditionalFormatting sqref="G5:G574">
    <cfRule type="expression" dxfId="45" priority="7" stopIfTrue="1">
      <formula>IF(U5="BDR",TRUE)</formula>
    </cfRule>
  </conditionalFormatting>
  <conditionalFormatting sqref="G5:G574">
    <cfRule type="expression" dxfId="33" priority="8" stopIfTrue="1">
      <formula>IF(OR(U5="STOCK",U5="REIT"),TRUE)</formula>
    </cfRule>
  </conditionalFormatting>
  <conditionalFormatting sqref="G5:G574">
    <cfRule type="expression" dxfId="1" priority="9" stopIfTrue="1">
      <formula>IF(U5="CRIPTO",TRUE)</formula>
    </cfRule>
  </conditionalFormatting>
  <conditionalFormatting sqref="H5:H574">
    <cfRule type="expression" dxfId="40" priority="10" stopIfTrue="1">
      <formula>IF(G5="",TRUE)</formula>
    </cfRule>
  </conditionalFormatting>
  <conditionalFormatting sqref="H5:H574">
    <cfRule type="expression" dxfId="85" priority="11" stopIfTrue="1">
      <formula>IF($V5&lt;&gt;"",TRUE)</formula>
    </cfRule>
  </conditionalFormatting>
  <conditionalFormatting sqref="H5:H574">
    <cfRule type="cellIs" dxfId="12" priority="12" stopIfTrue="1" operator="notEqual">
      <formula>1</formula>
    </cfRule>
  </conditionalFormatting>
  <conditionalFormatting sqref="H5:H574">
    <cfRule type="cellIs" dxfId="10" priority="13" stopIfTrue="1" operator="equal">
      <formula>1</formula>
    </cfRule>
  </conditionalFormatting>
  <conditionalFormatting sqref="I5:R574">
    <cfRule type="expression" dxfId="86" priority="14" stopIfTrue="1">
      <formula>IF($V5&lt;&gt;"",TRUE)</formula>
    </cfRule>
  </conditionalFormatting>
  <conditionalFormatting sqref="I5:R574">
    <cfRule type="expression" dxfId="7" priority="15" stopIfTrue="1">
      <formula>if($V5=$G5,TRUE)</formula>
    </cfRule>
  </conditionalFormatting>
  <conditionalFormatting sqref="G5:G574">
    <cfRule type="expression" dxfId="87" priority="16" stopIfTrue="1">
      <formula>IF(U5="R.FIXA",TRUE)</formula>
    </cfRule>
  </conditionalFormatting>
  <conditionalFormatting sqref="G5:G574">
    <cfRule type="expression" dxfId="88" priority="17" stopIfTrue="1">
      <formula>IF(U5="",TRUE)</formula>
    </cfRule>
  </conditionalFormatting>
  <conditionalFormatting sqref="G5:G574">
    <cfRule type="notContainsBlanks" dxfId="42" priority="18" stopIfTrue="1">
      <formula>LEN(TRIM(G5))&gt;0</formula>
    </cfRule>
  </conditionalFormatting>
  <conditionalFormatting sqref="D5">
    <cfRule type="cellIs" dxfId="1" priority="19" operator="notEqual">
      <formula>1</formula>
    </cfRule>
  </conditionalFormatting>
  <conditionalFormatting sqref="G3:R3">
    <cfRule type="containsText" dxfId="61" priority="20" operator="containsText" text="dlombello">
      <formula>NOT(ISERROR(SEARCH(("dlombello"),(G3))))</formula>
    </cfRule>
  </conditionalFormatting>
  <conditionalFormatting sqref="I5:R574">
    <cfRule type="expression" dxfId="86" priority="21" stopIfTrue="1">
      <formula>IF(I$4="",TRUE)</formula>
    </cfRule>
  </conditionalFormatting>
  <dataValidations>
    <dataValidation type="list" allowBlank="1" showInputMessage="1" prompt="Classe do ativo para configuração padrão da matriz de percentuais" sqref="E6:E15">
      <formula1>"AÇÃO,FII,STOCK,REIT,BDR,,OPÇÃO,CRIPTO,AÇÃO/STOCK/BDR,FII/REIT,AÇÃO/FII,STOCK/REIT,STOCK/REIT/BDR,STOCK/BDR"</formula1>
    </dataValidation>
    <dataValidation type="list" allowBlank="1" showInputMessage="1" showErrorMessage="1" prompt="Escolha o book onde este valor deve ser considerado" sqref="D19:D29">
      <formula1>config.books!$C$6:$C$15</formula1>
    </dataValidation>
    <dataValidation type="list" allowBlank="1" sqref="B6:B15">
      <formula1>config.books!$CS$5:$CS$6</formula1>
    </dataValidation>
  </dataValidations>
  <drawing r:id="rId2"/>
  <legacyDrawing r:id="rId3"/>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900FF"/>
    <outlinePr summaryBelow="0" summaryRight="0"/>
  </sheetPr>
  <sheetViews>
    <sheetView showGridLines="0" workbookViewId="0"/>
  </sheetViews>
  <sheetFormatPr customHeight="1" defaultColWidth="15.13" defaultRowHeight="15.75"/>
  <cols>
    <col customWidth="1" min="1" max="1" width="32.25"/>
    <col customWidth="1" min="2" max="2" width="3.75"/>
    <col customWidth="1" min="3" max="3" width="35.5"/>
  </cols>
  <sheetData>
    <row r="12">
      <c r="A12" s="1382" t="s">
        <v>1017</v>
      </c>
      <c r="C12" s="1382" t="s">
        <v>1018</v>
      </c>
    </row>
    <row r="13">
      <c r="A13" s="1383" t="s">
        <v>1019</v>
      </c>
      <c r="C13" s="1384" t="s">
        <v>1020</v>
      </c>
    </row>
    <row r="14">
      <c r="A14" s="1383" t="s">
        <v>1021</v>
      </c>
      <c r="C14" s="1384" t="s">
        <v>1022</v>
      </c>
    </row>
    <row r="15">
      <c r="A15" s="1383" t="s">
        <v>1023</v>
      </c>
      <c r="C15" s="1384" t="s">
        <v>1024</v>
      </c>
    </row>
    <row r="16">
      <c r="A16" s="1383" t="s">
        <v>1025</v>
      </c>
      <c r="C16" s="1384" t="s">
        <v>1026</v>
      </c>
    </row>
    <row r="17">
      <c r="A17" s="1383" t="s">
        <v>1027</v>
      </c>
      <c r="C17" s="1385"/>
    </row>
    <row r="18">
      <c r="A18" s="1383" t="s">
        <v>1028</v>
      </c>
      <c r="C18" s="1385"/>
    </row>
    <row r="19">
      <c r="A19" s="1383" t="s">
        <v>1029</v>
      </c>
      <c r="C19" s="1385"/>
    </row>
    <row r="20">
      <c r="A20" s="1308"/>
      <c r="B20" s="1386"/>
    </row>
  </sheetData>
  <mergeCells count="9">
    <mergeCell ref="A19:B19"/>
    <mergeCell ref="B20:C20"/>
    <mergeCell ref="A12:B12"/>
    <mergeCell ref="A13:B13"/>
    <mergeCell ref="A14:B14"/>
    <mergeCell ref="A15:B15"/>
    <mergeCell ref="A16:B16"/>
    <mergeCell ref="A17:B17"/>
    <mergeCell ref="A18:B18"/>
  </mergeCells>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3.0" topLeftCell="A4" activePane="bottomLeft" state="frozen"/>
      <selection activeCell="B5" sqref="B5" pane="bottomLeft"/>
    </sheetView>
  </sheetViews>
  <sheetFormatPr customHeight="1" defaultColWidth="15.13" defaultRowHeight="15.75"/>
  <cols>
    <col customWidth="1" min="1" max="3" width="8.38"/>
    <col customWidth="1" min="4" max="37" width="8.88"/>
    <col customWidth="1" min="38" max="38" width="1.13"/>
    <col customWidth="1" min="39" max="47" width="8.88"/>
    <col customWidth="1" min="48" max="48" width="13.63"/>
    <col customWidth="1" min="49" max="68" width="8.88"/>
  </cols>
  <sheetData>
    <row r="1">
      <c r="A1" s="1387" t="s">
        <v>1030</v>
      </c>
      <c r="B1" s="1387"/>
      <c r="C1" s="1387"/>
      <c r="D1" s="1387"/>
      <c r="E1" s="1387"/>
      <c r="F1" s="1387"/>
      <c r="G1" s="1387"/>
      <c r="H1" s="1387"/>
      <c r="I1" s="1387"/>
      <c r="J1" s="1387"/>
      <c r="K1" s="1387"/>
      <c r="L1" s="1387"/>
      <c r="M1" s="1387"/>
      <c r="N1" s="1387"/>
      <c r="O1" s="1387"/>
      <c r="P1" s="1387"/>
      <c r="Q1" s="1387"/>
      <c r="R1" s="1387"/>
      <c r="S1" s="1388"/>
      <c r="T1" s="1389"/>
      <c r="U1" s="1389"/>
      <c r="V1" s="1389"/>
      <c r="W1" s="1389"/>
      <c r="X1" s="1389"/>
      <c r="Y1" s="1389"/>
      <c r="Z1" s="1389"/>
      <c r="AA1" s="1389"/>
      <c r="AB1" s="1389"/>
      <c r="AC1" s="1389"/>
      <c r="AD1" s="1389"/>
      <c r="AE1" s="1389"/>
      <c r="AF1" s="1389"/>
      <c r="AG1" s="1389"/>
      <c r="AH1" s="1389"/>
      <c r="AI1" s="1389"/>
      <c r="AJ1" s="1389"/>
      <c r="AK1" s="1390"/>
      <c r="AL1" s="1391"/>
      <c r="AM1" s="1392"/>
      <c r="AN1" s="1393"/>
      <c r="AO1" s="1394"/>
      <c r="AP1" s="1395"/>
      <c r="AQ1" s="1394"/>
      <c r="AR1" s="1394"/>
      <c r="AS1" s="1395"/>
      <c r="AT1" s="1394"/>
      <c r="AU1" s="1394"/>
      <c r="AV1" s="1394"/>
      <c r="AW1" s="1394"/>
      <c r="AX1" s="1394"/>
      <c r="AY1" s="1394"/>
      <c r="AZ1" s="1394"/>
      <c r="BA1" s="1394"/>
      <c r="BB1" s="1394"/>
      <c r="BC1" s="1394"/>
      <c r="BD1" s="1396"/>
      <c r="BE1" s="1394"/>
      <c r="BF1" s="1394"/>
      <c r="BG1" s="1394"/>
      <c r="BH1" s="1394"/>
      <c r="BI1" s="1394"/>
      <c r="BJ1" s="1394"/>
      <c r="BK1" s="1394"/>
      <c r="BL1" s="1394"/>
      <c r="BM1" s="1394"/>
      <c r="BN1" s="1394"/>
      <c r="BO1" s="1394"/>
      <c r="BP1" s="1397"/>
    </row>
    <row r="2">
      <c r="A2" s="1398">
        <v>1.0</v>
      </c>
      <c r="B2" s="1398">
        <v>2.0</v>
      </c>
      <c r="C2" s="1398">
        <v>3.0</v>
      </c>
      <c r="D2" s="1398">
        <v>4.0</v>
      </c>
      <c r="E2" s="1398">
        <v>5.0</v>
      </c>
      <c r="F2" s="1398">
        <v>6.0</v>
      </c>
      <c r="G2" s="1398">
        <v>7.0</v>
      </c>
      <c r="H2" s="1398">
        <v>8.0</v>
      </c>
      <c r="I2" s="1398">
        <v>9.0</v>
      </c>
      <c r="J2" s="1398">
        <v>10.0</v>
      </c>
      <c r="K2" s="1398">
        <v>11.0</v>
      </c>
      <c r="L2" s="1398">
        <v>12.0</v>
      </c>
      <c r="M2" s="1398">
        <v>13.0</v>
      </c>
      <c r="N2" s="1398">
        <v>14.0</v>
      </c>
      <c r="O2" s="1398">
        <v>15.0</v>
      </c>
      <c r="P2" s="1398">
        <v>16.0</v>
      </c>
      <c r="Q2" s="1398">
        <v>17.0</v>
      </c>
      <c r="R2" s="1398">
        <v>18.0</v>
      </c>
      <c r="S2" s="1398">
        <v>19.0</v>
      </c>
      <c r="T2" s="1398">
        <v>20.0</v>
      </c>
      <c r="U2" s="1398">
        <v>21.0</v>
      </c>
      <c r="V2" s="1398">
        <v>22.0</v>
      </c>
      <c r="W2" s="1398">
        <v>23.0</v>
      </c>
      <c r="X2" s="1398">
        <v>24.0</v>
      </c>
      <c r="Y2" s="1398">
        <v>25.0</v>
      </c>
      <c r="Z2" s="1398">
        <v>26.0</v>
      </c>
      <c r="AA2" s="1398">
        <v>27.0</v>
      </c>
      <c r="AB2" s="1398">
        <v>28.0</v>
      </c>
      <c r="AC2" s="1398">
        <v>29.0</v>
      </c>
      <c r="AD2" s="1398">
        <v>30.0</v>
      </c>
      <c r="AE2" s="1398">
        <v>31.0</v>
      </c>
      <c r="AF2" s="1398">
        <v>32.0</v>
      </c>
      <c r="AG2" s="1398">
        <v>33.0</v>
      </c>
      <c r="AH2" s="1398">
        <v>34.0</v>
      </c>
      <c r="AI2" s="1398">
        <v>35.0</v>
      </c>
      <c r="AJ2" s="1398">
        <v>36.0</v>
      </c>
      <c r="AK2" s="1398">
        <v>37.0</v>
      </c>
      <c r="AL2" s="1398">
        <v>38.0</v>
      </c>
      <c r="AM2" s="1398">
        <v>39.0</v>
      </c>
      <c r="AN2" s="1398">
        <v>40.0</v>
      </c>
      <c r="AO2" s="1398">
        <v>41.0</v>
      </c>
      <c r="AP2" s="1398">
        <v>42.0</v>
      </c>
      <c r="AQ2" s="1398">
        <v>43.0</v>
      </c>
      <c r="AR2" s="1398">
        <v>44.0</v>
      </c>
      <c r="AS2" s="1399">
        <v>45.0</v>
      </c>
      <c r="AT2" s="1398">
        <v>46.0</v>
      </c>
      <c r="AU2" s="1398">
        <v>47.0</v>
      </c>
      <c r="AV2" s="1398">
        <v>48.0</v>
      </c>
      <c r="AW2" s="1398">
        <v>49.0</v>
      </c>
      <c r="AX2" s="1398">
        <v>50.0</v>
      </c>
      <c r="AY2" s="1398"/>
      <c r="AZ2" s="1398">
        <v>51.0</v>
      </c>
      <c r="BA2" s="1398">
        <v>52.0</v>
      </c>
      <c r="BB2" s="1398">
        <v>53.0</v>
      </c>
      <c r="BC2" s="1398">
        <v>54.0</v>
      </c>
      <c r="BD2" s="1398">
        <v>55.0</v>
      </c>
      <c r="BE2" s="1398">
        <v>56.0</v>
      </c>
      <c r="BF2" s="1398">
        <v>57.0</v>
      </c>
      <c r="BG2" s="1398">
        <v>58.0</v>
      </c>
      <c r="BH2" s="1398">
        <v>59.0</v>
      </c>
      <c r="BI2" s="1398">
        <v>60.0</v>
      </c>
      <c r="BJ2" s="1398">
        <v>61.0</v>
      </c>
      <c r="BK2" s="1398">
        <v>62.0</v>
      </c>
      <c r="BL2" s="1398">
        <v>63.0</v>
      </c>
      <c r="BM2" s="1398">
        <v>64.0</v>
      </c>
      <c r="BN2" s="1398">
        <v>65.0</v>
      </c>
      <c r="BO2" s="1398">
        <v>66.0</v>
      </c>
      <c r="BP2" s="1398">
        <v>67.0</v>
      </c>
    </row>
    <row r="3">
      <c r="A3" s="1400" t="s">
        <v>188</v>
      </c>
      <c r="B3" s="1401" t="s">
        <v>399</v>
      </c>
      <c r="C3" s="1402" t="s">
        <v>1031</v>
      </c>
      <c r="D3" s="1401" t="s">
        <v>189</v>
      </c>
      <c r="E3" s="1401" t="s">
        <v>316</v>
      </c>
      <c r="F3" s="1402" t="s">
        <v>390</v>
      </c>
      <c r="G3" s="1401" t="s">
        <v>300</v>
      </c>
      <c r="H3" s="1401" t="s">
        <v>918</v>
      </c>
      <c r="I3" s="1403" t="s">
        <v>1032</v>
      </c>
      <c r="J3" s="1401" t="s">
        <v>403</v>
      </c>
      <c r="K3" s="1401" t="s">
        <v>404</v>
      </c>
      <c r="L3" s="1404" t="s">
        <v>408</v>
      </c>
      <c r="M3" s="1404" t="s">
        <v>409</v>
      </c>
      <c r="N3" s="1401" t="s">
        <v>1033</v>
      </c>
      <c r="O3" s="1401" t="s">
        <v>160</v>
      </c>
      <c r="P3" s="1401" t="s">
        <v>336</v>
      </c>
      <c r="Q3" s="1401" t="s">
        <v>337</v>
      </c>
      <c r="R3" s="1401" t="s">
        <v>338</v>
      </c>
      <c r="S3" s="1405" t="s">
        <v>521</v>
      </c>
      <c r="T3" s="1397" t="s">
        <v>193</v>
      </c>
      <c r="U3" s="1397" t="s">
        <v>413</v>
      </c>
      <c r="V3" s="1397" t="s">
        <v>414</v>
      </c>
      <c r="W3" s="1397" t="s">
        <v>415</v>
      </c>
      <c r="X3" s="1397" t="s">
        <v>416</v>
      </c>
      <c r="Y3" s="1397" t="s">
        <v>417</v>
      </c>
      <c r="Z3" s="1397" t="s">
        <v>418</v>
      </c>
      <c r="AA3" s="1397" t="s">
        <v>419</v>
      </c>
      <c r="AB3" s="1397" t="s">
        <v>420</v>
      </c>
      <c r="AC3" s="1397" t="s">
        <v>421</v>
      </c>
      <c r="AD3" s="1397" t="s">
        <v>422</v>
      </c>
      <c r="AE3" s="1397" t="s">
        <v>423</v>
      </c>
      <c r="AF3" s="1397" t="s">
        <v>424</v>
      </c>
      <c r="AG3" s="1397" t="s">
        <v>425</v>
      </c>
      <c r="AH3" s="1397" t="s">
        <v>426</v>
      </c>
      <c r="AI3" s="1397" t="s">
        <v>427</v>
      </c>
      <c r="AJ3" s="1397" t="s">
        <v>428</v>
      </c>
      <c r="AK3" s="1397" t="s">
        <v>285</v>
      </c>
      <c r="AL3" s="1406"/>
      <c r="AM3" s="1407" t="s">
        <v>158</v>
      </c>
      <c r="AN3" s="1408" t="s">
        <v>161</v>
      </c>
      <c r="AO3" s="1408" t="s">
        <v>185</v>
      </c>
      <c r="AP3" s="1409" t="s">
        <v>191</v>
      </c>
      <c r="AQ3" s="1408" t="s">
        <v>163</v>
      </c>
      <c r="AR3" s="1409" t="s">
        <v>164</v>
      </c>
      <c r="AS3" s="1410" t="s">
        <v>169</v>
      </c>
      <c r="AT3" s="1401" t="s">
        <v>1034</v>
      </c>
      <c r="AU3" s="1411" t="s">
        <v>1035</v>
      </c>
      <c r="AV3" s="1412" t="s">
        <v>1036</v>
      </c>
      <c r="AW3" s="1401" t="s">
        <v>1037</v>
      </c>
      <c r="AX3" s="1402" t="s">
        <v>186</v>
      </c>
      <c r="AY3" s="1402" t="s">
        <v>194</v>
      </c>
      <c r="AZ3" s="1397" t="s">
        <v>187</v>
      </c>
      <c r="BA3" s="1413" t="s">
        <v>269</v>
      </c>
      <c r="BB3" s="1413" t="s">
        <v>156</v>
      </c>
      <c r="BC3" s="1414" t="s">
        <v>1038</v>
      </c>
      <c r="BD3" s="1415" t="s">
        <v>157</v>
      </c>
      <c r="BE3" s="1416" t="s">
        <v>192</v>
      </c>
      <c r="BF3" s="1417" t="s">
        <v>159</v>
      </c>
      <c r="BG3" s="1418" t="s">
        <v>1039</v>
      </c>
      <c r="BH3" s="1417" t="s">
        <v>162</v>
      </c>
      <c r="BI3" s="1419" t="s">
        <v>165</v>
      </c>
      <c r="BJ3" s="1420" t="s">
        <v>282</v>
      </c>
      <c r="BK3" s="1419" t="s">
        <v>166</v>
      </c>
      <c r="BL3" s="1421" t="s">
        <v>1040</v>
      </c>
      <c r="BM3" s="1420" t="s">
        <v>190</v>
      </c>
      <c r="BN3" s="1419" t="s">
        <v>168</v>
      </c>
      <c r="BO3" s="1419" t="s">
        <v>167</v>
      </c>
      <c r="BP3" s="1419" t="s">
        <v>155</v>
      </c>
    </row>
    <row r="4">
      <c r="A4" s="1422"/>
      <c r="B4" s="1423"/>
      <c r="C4" s="1423"/>
      <c r="D4" s="1422"/>
      <c r="E4" s="1422"/>
      <c r="F4" s="1422"/>
      <c r="G4" s="1424"/>
      <c r="H4" s="1424"/>
      <c r="I4" s="1425"/>
      <c r="J4" s="1426"/>
      <c r="K4" s="1427"/>
      <c r="L4" s="1428"/>
      <c r="M4" s="1428"/>
      <c r="N4" s="1429"/>
      <c r="O4" s="1429"/>
      <c r="P4" s="1430"/>
      <c r="Q4" s="1430"/>
      <c r="R4" s="1431"/>
      <c r="S4" s="1432"/>
      <c r="T4" s="1433"/>
      <c r="U4" s="1422"/>
      <c r="V4" s="1422"/>
      <c r="W4" s="1422"/>
      <c r="X4" s="1422"/>
      <c r="Y4" s="1422"/>
      <c r="Z4" s="1422"/>
      <c r="AA4" s="1422"/>
      <c r="AB4" s="1422"/>
      <c r="AC4" s="1422"/>
      <c r="AD4" s="1422"/>
      <c r="AE4" s="1422"/>
      <c r="AF4" s="1422"/>
      <c r="AG4" s="1422"/>
      <c r="AH4" s="1422"/>
      <c r="AI4" s="1422"/>
      <c r="AJ4" s="1422"/>
      <c r="AK4" s="1434"/>
      <c r="AL4" s="1435"/>
      <c r="AM4" s="1436" t="str">
        <f>IF(NOT($J4),"",IFERROR(VLOOKUP(A4,ativos.!$C$3:$W303,MATCH("cotacao",ativos.!$C$2:BP$2,0),FALSE),P4*AU4))</f>
        <v/>
      </c>
      <c r="AN4" s="1437" t="str">
        <f t="shared" ref="AN4:AN52" si="1">IF(NOT($J4),"",J4*AM4*N4)</f>
        <v/>
      </c>
      <c r="AO4" s="1438" t="str">
        <f t="shared" ref="AO4:AO52" si="2">IF(NOT($J4),"",IFERROR(AM4-(AM4/(((AV4+AW4)+(AV4*AW4))+1)),"")*J4)</f>
        <v/>
      </c>
      <c r="AP4" s="1439" t="str">
        <f t="shared" ref="AP4:AP52" si="3">IF(NOT($J4),"",IFERROR(((AV4+AW4)+(AV4*AW4))*IF(J4&gt;=0,1,-1),0))</f>
        <v/>
      </c>
      <c r="AQ4" s="1440" t="str">
        <f t="shared" ref="AQ4:AQ52" si="4">IF(NOT($J4),"",AN4-O4)</f>
        <v/>
      </c>
      <c r="AR4" s="1441" t="str">
        <f t="shared" ref="AR4:AR52" si="5">IF(NOT($J4),"",AQ4/ABS(J4*K4))</f>
        <v/>
      </c>
      <c r="AS4" s="1442" t="str">
        <f>IF(NOT(J4),"",IFERROR(VLOOKUP(A4,ativos.!$C$3:$W303,MATCH("variacaopct_dias",ativos.!$C$2:BP$2,0),FALSE),""))</f>
        <v/>
      </c>
      <c r="AT4" s="1443"/>
      <c r="AU4" s="1444" t="str">
        <f>IF(NOT($J4),"",IFERROR(VLOOKUP(A4,ativos.!$C$3:$S303,MATCH("fator_fx",ativos.!$C$2:BP$2,0),FALSE),0))</f>
        <v/>
      </c>
      <c r="AV4" s="1442" t="str">
        <f>IF(NOT($J4),"",IFERROR(VLOOKUP(A4,ativos.!$C$3:$W303,MATCH("variacaopct",ativos.!$C$2:BP$2,0),FALSE)/100,R4))</f>
        <v/>
      </c>
      <c r="AW4" s="1445" t="str">
        <f>IFERROR(__xludf.DUMMYFUNCTION("IF(NOT($J4),"""",IF(S4='config.parâmetros'!$B$8,0,IFERROR(AU4/INDEX(SORT(GOOGLEFINANCE(S4&amp;'config.parâmetros'!$B$8,""price"",TODAY()-3,TODAY(),1),1,0),2,2)-1,0)))"),"")</f>
        <v/>
      </c>
      <c r="AX4" s="1446" t="str">
        <f>IFERROR(__xludf.DUMMYFUNCTION("IF(NOT(J4),"""",IF('config.parâmetros'!$M$8,SUM(IFERROR(filter(proventos!Q$5:Q303,proventos!L$5:L303=B4,proventos!C$5:C303&gt;=DATEVALUE(I4),proventos!R$5:R303=T4),0)),SUM(IFERROR(filter(proventos!Q$5:Q303,proventos!L$5:L303=B4,proventos!C$5:C303&gt;=DATEVALUE("&amp;"I4)),0))))"),"")</f>
        <v/>
      </c>
      <c r="AY4" s="1446">
        <f t="shared" ref="AY4:AY52" si="6">AX4/(DATEDIF(I4,TODAY(),"M")+1)</f>
        <v>0</v>
      </c>
      <c r="AZ4" s="1446" t="str">
        <f>IFERROR(__xludf.DUMMYFUNCTION("IF(NOT(J4),"""",IF('config.parâmetros'!$M$8,SUM(IFERROR(filter(op.normal!P$5:P303,op.normal!N$5:N303=B4,op.normal!C$5:C303&gt;=DATEVALUE(I4),op.normal!AC$5:AC303=T4),0)),SUM(IFERROR(filter(op.normal!P$5:P303,op.normal!N$5:N303=B4,op.normal!C$5:C303&gt;=DATEVALU"&amp;"E(I4)),0))))"),"")</f>
        <v/>
      </c>
      <c r="BA4" s="1447" t="str">
        <f>IFERROR(__xludf.DUMMYFUNCTION("IF(A4="""","""",IFERROR(query({CarteirasAtivos},""Select Col3 where Col1 ='""&amp;A4&amp;""' limit 1""))) "),"")</f>
        <v/>
      </c>
      <c r="BB4" s="1447" t="str">
        <f>IFERROR(__xludf.DUMMYFUNCTION("IF(A4="""","""",SUMPRODUCT(IF(IFERROR(MATCH(query({CarteirasAtivos},""Select Col2 where Col1 = '""&amp;A4&amp;""'""),CarteirasListaCriadasComTotal,0)),1,0)))"),"")</f>
        <v/>
      </c>
      <c r="BC4" s="1446" t="str">
        <f>IFERROR(__xludf.DUMMYFUNCTION("IF($A4="""","""",IFERROR(AVERAGE(query({CarteirasAtivos;CarteirasAtivosEncerrados},""select Col5 where Col5 is not null and Col1 = '""&amp;$A4&amp;""' and Col10='SIM'""))*AU4))"),"")</f>
        <v/>
      </c>
      <c r="BD4" s="1448" t="str">
        <f>IF(A4="","",IF(NOT('config.parâmetros'!$M$8),IF(int(J4)=J4,TEXT(J4,"###,##0"),TEXT(J4,"###,##0.#######")),IF(int(J4)=J4,TEXT(J4,"###,##0"),TEXT(J4,"###,##0.#######"))&amp;"
("&amp;T4&amp;")"))</f>
        <v/>
      </c>
      <c r="BE4" s="1442" t="str">
        <f t="shared" ref="BE4:BE52" si="7">IF(A4="","",IF(BC4="","",IFERROR(BC4/AM4-1,"")))</f>
        <v/>
      </c>
      <c r="BF4" s="1447" t="str">
        <f t="shared" ref="BF4:BF52" si="8">IF(A4="","",IF(BC4="","NC",TEXT(TRUNC(BC4,2),"#,###,###0.00")&amp;"
("&amp;TEXT(TRUNC(BE4*100,2),"0.00")&amp;"%)"))</f>
        <v/>
      </c>
      <c r="BG4" s="1449" t="str">
        <f t="shared" ref="BG4:BG52" si="9">IF(A4="","",IFERROR(AZ4/AN4,""))</f>
        <v/>
      </c>
      <c r="BH4" s="1447" t="str">
        <f t="shared" ref="BH4:BH52" si="10">IF(A4="","",IF(AO4=0,"0,00",TEXT(TRUNC(AO4,2),"0.00")&amp;"
("&amp;TEXT(TRUNC(AP4*100,2),"0.00")&amp;"%)"))</f>
        <v/>
      </c>
      <c r="BI4" s="1447" t="str">
        <f t="shared" ref="BI4:BI52" si="11">IF(A4="","",IF(AZ4=0,"0,00",TEXT(TRUNC(AZ4,2),"#,###,##0.00")&amp;"
("&amp;TEXT(TRUNC(BG4*100,2),"0.00")&amp;"%)"))</f>
        <v/>
      </c>
      <c r="BJ4" s="1449" t="str">
        <f t="shared" ref="BJ4:BJ52" si="12">IF(A4="","",IFERROR(AX4/O4,""))</f>
        <v/>
      </c>
      <c r="BK4" s="1447" t="str">
        <f t="shared" ref="BK4:BK52" si="13">IF(A4="","",IFERROR(IF(AX4=0,"0,00",TEXT(TRUNC(AX4,2),"0.00")&amp;"
("&amp;TEXT(TRUNC(BJ4*100,2),"0.00")&amp;"%)"),""))</f>
        <v/>
      </c>
      <c r="BL4" s="1447" t="str">
        <f t="shared" ref="BL4:BL52" si="14">IF(A4="","",IF(AX4=0,TEXT(TRUNC(K4,2),"###,##0.00"),TEXT(TRUNC(K4,2),"###,##0.00")&amp;"
("&amp;TEXT(TRUNC(K4-(AX4/J4),2),"###,##0.00")&amp;")"))</f>
        <v/>
      </c>
      <c r="BM4" s="1449" t="str">
        <f t="shared" ref="BM4:BM52" si="15">IF(A4="","",((1+AK4)^(1/12))-1)</f>
        <v/>
      </c>
      <c r="BN4" s="1447" t="str">
        <f t="shared" ref="BN4:BN52" si="16">IF(A4="","",IF(AK4=0,"",TEXT(TRUNC(BM4*100,2),"0.0")&amp;"% am"&amp;"
"&amp;TEXT(TRUNC(AK4*100,2),"0.0")&amp;"% aa"))</f>
        <v/>
      </c>
      <c r="BO4" s="1447" t="str">
        <f t="shared" ref="BO4:BO52" si="17">IF(A4="","",AZ4+AX4+AQ4)</f>
        <v/>
      </c>
      <c r="BP4" s="1448" t="str">
        <f t="shared" ref="BP4:BP52" si="18">IF(A4="","",IF(A4=C4,A4,A4&amp;"
"&amp;UPPER(C4)))</f>
        <v/>
      </c>
    </row>
    <row r="5">
      <c r="A5" s="1422"/>
      <c r="B5" s="1423"/>
      <c r="C5" s="1423"/>
      <c r="D5" s="1422"/>
      <c r="E5" s="1422"/>
      <c r="F5" s="1422"/>
      <c r="G5" s="1424"/>
      <c r="H5" s="1424"/>
      <c r="I5" s="1450"/>
      <c r="J5" s="1426"/>
      <c r="K5" s="1427"/>
      <c r="L5" s="1428"/>
      <c r="M5" s="1428"/>
      <c r="N5" s="1429"/>
      <c r="O5" s="1429"/>
      <c r="P5" s="1430"/>
      <c r="Q5" s="1430"/>
      <c r="R5" s="1431"/>
      <c r="S5" s="1432"/>
      <c r="T5" s="1433"/>
      <c r="U5" s="1422"/>
      <c r="V5" s="1422"/>
      <c r="W5" s="1422"/>
      <c r="X5" s="1422"/>
      <c r="Y5" s="1422"/>
      <c r="Z5" s="1422"/>
      <c r="AA5" s="1422"/>
      <c r="AB5" s="1422"/>
      <c r="AC5" s="1422"/>
      <c r="AD5" s="1422"/>
      <c r="AE5" s="1422"/>
      <c r="AF5" s="1422"/>
      <c r="AG5" s="1422"/>
      <c r="AH5" s="1422"/>
      <c r="AI5" s="1422"/>
      <c r="AJ5" s="1422"/>
      <c r="AK5" s="1434"/>
      <c r="AL5" s="1435"/>
      <c r="AM5" s="1436" t="str">
        <f>IF(NOT($J5),"",IFERROR(VLOOKUP(A5,ativos.!$C$3:$W303,MATCH("cotacao",ativos.!$C$2:BP$2,0),FALSE),P5*AU5))</f>
        <v/>
      </c>
      <c r="AN5" s="1437" t="str">
        <f t="shared" si="1"/>
        <v/>
      </c>
      <c r="AO5" s="1438" t="str">
        <f t="shared" si="2"/>
        <v/>
      </c>
      <c r="AP5" s="1439" t="str">
        <f t="shared" si="3"/>
        <v/>
      </c>
      <c r="AQ5" s="1440" t="str">
        <f t="shared" si="4"/>
        <v/>
      </c>
      <c r="AR5" s="1441" t="str">
        <f t="shared" si="5"/>
        <v/>
      </c>
      <c r="AS5" s="1442" t="str">
        <f>IF(NOT(J5),"",IFERROR(VLOOKUP(A5,ativos.!$C$3:$W303,MATCH("variacaopct_dias",ativos.!$C$2:BP$2,0),FALSE),""))</f>
        <v/>
      </c>
      <c r="AT5" s="1443"/>
      <c r="AU5" s="1444" t="str">
        <f>IF(NOT($J5),"",IFERROR(VLOOKUP(A5,ativos.!$C$3:$S303,MATCH("fator_fx",ativos.!$C$2:BP$2,0),FALSE),0))</f>
        <v/>
      </c>
      <c r="AV5" s="1442" t="str">
        <f>IF(NOT($J5),"",IFERROR(VLOOKUP(A5,ativos.!$C$3:$W303,MATCH("variacaopct",ativos.!$C$2:BP$2,0),FALSE)/100,R5))</f>
        <v/>
      </c>
      <c r="AW5" s="1445" t="str">
        <f>IFERROR(__xludf.DUMMYFUNCTION("IF(NOT($J5),"""",IF(S5='config.parâmetros'!$B$8,0,IFERROR(AU5/INDEX(SORT(GOOGLEFINANCE(S5&amp;'config.parâmetros'!$B$8,""price"",TODAY()-3,TODAY(),1),1,0),2,2)-1,0)))"),"")</f>
        <v/>
      </c>
      <c r="AX5" s="1446" t="str">
        <f>IFERROR(__xludf.DUMMYFUNCTION("IF(NOT(J5),"""",IF('config.parâmetros'!$M$8,SUM(IFERROR(filter(proventos!Q$5:Q303,proventos!L$5:L303=B5,proventos!C$5:C303&gt;=DATEVALUE(I5),proventos!R$5:R303=T5),0)),SUM(IFERROR(filter(proventos!Q$5:Q303,proventos!L$5:L303=B5,proventos!C$5:C303&gt;=DATEVALUE("&amp;"I5)),0))))"),"")</f>
        <v/>
      </c>
      <c r="AY5" s="1446">
        <f t="shared" si="6"/>
        <v>0</v>
      </c>
      <c r="AZ5" s="1446" t="str">
        <f>IFERROR(__xludf.DUMMYFUNCTION("IF(NOT(J5),"""",IF('config.parâmetros'!$M$8,SUM(IFERROR(filter(op.normal!P$5:P303,op.normal!N$5:N303=B5,op.normal!C$5:C303&gt;=DATEVALUE(I5),op.normal!AC$5:AC303=T5),0)),SUM(IFERROR(filter(op.normal!P$5:P303,op.normal!N$5:N303=B5,op.normal!C$5:C303&gt;=DATEVALU"&amp;"E(I5)),0))))"),"")</f>
        <v/>
      </c>
      <c r="BA5" s="1447" t="str">
        <f>IFERROR(__xludf.DUMMYFUNCTION("IF(A5="""","""",IFERROR(query({CarteirasAtivos},""Select Col3 where Col1 ='""&amp;A5&amp;""' limit 1""))) "),"")</f>
        <v/>
      </c>
      <c r="BB5" s="1447" t="str">
        <f>IFERROR(__xludf.DUMMYFUNCTION("IF(A5="""","""",SUMPRODUCT(IF(IFERROR(MATCH(query({CarteirasAtivos},""Select Col2 where Col1 = '""&amp;A5&amp;""'""),CarteirasListaCriadasComTotal,0)),1,0)))"),"")</f>
        <v/>
      </c>
      <c r="BC5" s="1446" t="str">
        <f>IFERROR(__xludf.DUMMYFUNCTION("IF($A5="""","""",IFERROR(AVERAGE(query({CarteirasAtivos;CarteirasAtivosEncerrados},""select Col5 where Col5 is not null and Col1 = '""&amp;$A5&amp;""' and Col10='SIM'""))*AU5))"),"")</f>
        <v/>
      </c>
      <c r="BD5" s="1448" t="str">
        <f>IF(A5="","",IF(NOT('config.parâmetros'!$M$8),IF(int(J5)=J5,TEXT(J5,"###,##0"),TEXT(J5,"###,##0.#######")),IF(int(J5)=J5,TEXT(J5,"###,##0"),TEXT(J5,"###,##0.#######"))&amp;"
("&amp;T5&amp;")"))</f>
        <v/>
      </c>
      <c r="BE5" s="1442" t="str">
        <f t="shared" si="7"/>
        <v/>
      </c>
      <c r="BF5" s="1447" t="str">
        <f t="shared" si="8"/>
        <v/>
      </c>
      <c r="BG5" s="1449" t="str">
        <f t="shared" si="9"/>
        <v/>
      </c>
      <c r="BH5" s="1447" t="str">
        <f t="shared" si="10"/>
        <v/>
      </c>
      <c r="BI5" s="1447" t="str">
        <f t="shared" si="11"/>
        <v/>
      </c>
      <c r="BJ5" s="1449" t="str">
        <f t="shared" si="12"/>
        <v/>
      </c>
      <c r="BK5" s="1447" t="str">
        <f t="shared" si="13"/>
        <v/>
      </c>
      <c r="BL5" s="1447" t="str">
        <f t="shared" si="14"/>
        <v/>
      </c>
      <c r="BM5" s="1449" t="str">
        <f t="shared" si="15"/>
        <v/>
      </c>
      <c r="BN5" s="1447" t="str">
        <f t="shared" si="16"/>
        <v/>
      </c>
      <c r="BO5" s="1447" t="str">
        <f t="shared" si="17"/>
        <v/>
      </c>
      <c r="BP5" s="1448" t="str">
        <f t="shared" si="18"/>
        <v/>
      </c>
    </row>
    <row r="6">
      <c r="A6" s="1422"/>
      <c r="B6" s="1423"/>
      <c r="C6" s="1423"/>
      <c r="D6" s="1422"/>
      <c r="E6" s="1422"/>
      <c r="F6" s="1422"/>
      <c r="G6" s="1424"/>
      <c r="H6" s="1424"/>
      <c r="I6" s="1450"/>
      <c r="J6" s="1426"/>
      <c r="K6" s="1427"/>
      <c r="L6" s="1428"/>
      <c r="M6" s="1428"/>
      <c r="N6" s="1429"/>
      <c r="O6" s="1429"/>
      <c r="P6" s="1430"/>
      <c r="Q6" s="1430"/>
      <c r="R6" s="1431"/>
      <c r="S6" s="1432"/>
      <c r="T6" s="1433"/>
      <c r="U6" s="1422"/>
      <c r="V6" s="1422"/>
      <c r="W6" s="1422"/>
      <c r="X6" s="1422"/>
      <c r="Y6" s="1422"/>
      <c r="Z6" s="1422"/>
      <c r="AA6" s="1422"/>
      <c r="AB6" s="1422"/>
      <c r="AC6" s="1422"/>
      <c r="AD6" s="1422"/>
      <c r="AE6" s="1422"/>
      <c r="AF6" s="1422"/>
      <c r="AG6" s="1422"/>
      <c r="AH6" s="1422"/>
      <c r="AI6" s="1422"/>
      <c r="AJ6" s="1422"/>
      <c r="AK6" s="1434"/>
      <c r="AL6" s="1435"/>
      <c r="AM6" s="1436" t="str">
        <f>IF(NOT($J6),"",IFERROR(VLOOKUP(A6,ativos.!$C$3:$W303,MATCH("cotacao",ativos.!$C$2:BP$2,0),FALSE),P6*AU6))</f>
        <v/>
      </c>
      <c r="AN6" s="1437" t="str">
        <f t="shared" si="1"/>
        <v/>
      </c>
      <c r="AO6" s="1438" t="str">
        <f t="shared" si="2"/>
        <v/>
      </c>
      <c r="AP6" s="1439" t="str">
        <f t="shared" si="3"/>
        <v/>
      </c>
      <c r="AQ6" s="1440" t="str">
        <f t="shared" si="4"/>
        <v/>
      </c>
      <c r="AR6" s="1441" t="str">
        <f t="shared" si="5"/>
        <v/>
      </c>
      <c r="AS6" s="1442" t="str">
        <f>IF(NOT(J6),"",IFERROR(VLOOKUP(A6,ativos.!$C$3:$W303,MATCH("variacaopct_dias",ativos.!$C$2:BP$2,0),FALSE),""))</f>
        <v/>
      </c>
      <c r="AT6" s="1443"/>
      <c r="AU6" s="1444" t="str">
        <f>IF(NOT($J6),"",IFERROR(VLOOKUP(A6,ativos.!$C$3:$S303,MATCH("fator_fx",ativos.!$C$2:BP$2,0),FALSE),0))</f>
        <v/>
      </c>
      <c r="AV6" s="1442" t="str">
        <f>IF(NOT($J6),"",IFERROR(VLOOKUP(A6,ativos.!$C$3:$W303,MATCH("variacaopct",ativos.!$C$2:BP$2,0),FALSE)/100,R6))</f>
        <v/>
      </c>
      <c r="AW6" s="1445" t="str">
        <f>IFERROR(__xludf.DUMMYFUNCTION("IF(NOT($J6),"""",IF(S6='config.parâmetros'!$B$8,0,IFERROR(AU6/INDEX(SORT(GOOGLEFINANCE(S6&amp;'config.parâmetros'!$B$8,""price"",TODAY()-3,TODAY(),1),1,0),2,2)-1,0)))"),"")</f>
        <v/>
      </c>
      <c r="AX6" s="1446" t="str">
        <f>IFERROR(__xludf.DUMMYFUNCTION("IF(NOT(J6),"""",IF('config.parâmetros'!$M$8,SUM(IFERROR(filter(proventos!Q$5:Q303,proventos!L$5:L303=B6,proventos!C$5:C303&gt;=DATEVALUE(I6),proventos!R$5:R303=T6),0)),SUM(IFERROR(filter(proventos!Q$5:Q303,proventos!L$5:L303=B6,proventos!C$5:C303&gt;=DATEVALUE("&amp;"I6)),0))))"),"")</f>
        <v/>
      </c>
      <c r="AY6" s="1446">
        <f t="shared" si="6"/>
        <v>0</v>
      </c>
      <c r="AZ6" s="1446" t="str">
        <f>IFERROR(__xludf.DUMMYFUNCTION("IF(NOT(J6),"""",IF('config.parâmetros'!$M$8,SUM(IFERROR(filter(op.normal!P$5:P303,op.normal!N$5:N303=B6,op.normal!C$5:C303&gt;=DATEVALUE(I6),op.normal!AC$5:AC303=T6),0)),SUM(IFERROR(filter(op.normal!P$5:P303,op.normal!N$5:N303=B6,op.normal!C$5:C303&gt;=DATEVALU"&amp;"E(I6)),0))))"),"")</f>
        <v/>
      </c>
      <c r="BA6" s="1447" t="str">
        <f>IFERROR(__xludf.DUMMYFUNCTION("IF(A6="""","""",IFERROR(query({CarteirasAtivos},""Select Col3 where Col1 ='""&amp;A6&amp;""' limit 1""))) "),"")</f>
        <v/>
      </c>
      <c r="BB6" s="1447" t="str">
        <f>IFERROR(__xludf.DUMMYFUNCTION("IF(A6="""","""",SUMPRODUCT(IF(IFERROR(MATCH(query({CarteirasAtivos},""Select Col2 where Col1 = '""&amp;A6&amp;""'""),CarteirasListaCriadasComTotal,0)),1,0)))"),"")</f>
        <v/>
      </c>
      <c r="BC6" s="1446" t="str">
        <f>IFERROR(__xludf.DUMMYFUNCTION("IF($A6="""","""",IFERROR(AVERAGE(query({CarteirasAtivos;CarteirasAtivosEncerrados},""select Col5 where Col5 is not null and Col1 = '""&amp;$A6&amp;""' and Col10='SIM'""))*AU6))"),"")</f>
        <v/>
      </c>
      <c r="BD6" s="1448" t="str">
        <f>IF(A6="","",IF(NOT('config.parâmetros'!$M$8),IF(int(J6)=J6,TEXT(J6,"###,##0"),TEXT(J6,"###,##0.#######")),IF(int(J6)=J6,TEXT(J6,"###,##0"),TEXT(J6,"###,##0.#######"))&amp;"
("&amp;T6&amp;")"))</f>
        <v/>
      </c>
      <c r="BE6" s="1442" t="str">
        <f t="shared" si="7"/>
        <v/>
      </c>
      <c r="BF6" s="1447" t="str">
        <f t="shared" si="8"/>
        <v/>
      </c>
      <c r="BG6" s="1449" t="str">
        <f t="shared" si="9"/>
        <v/>
      </c>
      <c r="BH6" s="1447" t="str">
        <f t="shared" si="10"/>
        <v/>
      </c>
      <c r="BI6" s="1447" t="str">
        <f t="shared" si="11"/>
        <v/>
      </c>
      <c r="BJ6" s="1449" t="str">
        <f t="shared" si="12"/>
        <v/>
      </c>
      <c r="BK6" s="1447" t="str">
        <f t="shared" si="13"/>
        <v/>
      </c>
      <c r="BL6" s="1447" t="str">
        <f t="shared" si="14"/>
        <v/>
      </c>
      <c r="BM6" s="1449" t="str">
        <f t="shared" si="15"/>
        <v/>
      </c>
      <c r="BN6" s="1447" t="str">
        <f t="shared" si="16"/>
        <v/>
      </c>
      <c r="BO6" s="1447" t="str">
        <f t="shared" si="17"/>
        <v/>
      </c>
      <c r="BP6" s="1448" t="str">
        <f t="shared" si="18"/>
        <v/>
      </c>
    </row>
    <row r="7">
      <c r="A7" s="1422"/>
      <c r="B7" s="1423"/>
      <c r="C7" s="1423"/>
      <c r="D7" s="1422"/>
      <c r="E7" s="1422"/>
      <c r="F7" s="1422"/>
      <c r="G7" s="1424"/>
      <c r="H7" s="1424"/>
      <c r="I7" s="1451"/>
      <c r="J7" s="1426"/>
      <c r="K7" s="1427"/>
      <c r="L7" s="1428"/>
      <c r="M7" s="1428"/>
      <c r="N7" s="1429"/>
      <c r="O7" s="1429"/>
      <c r="P7" s="1430"/>
      <c r="Q7" s="1430"/>
      <c r="R7" s="1431"/>
      <c r="S7" s="1432"/>
      <c r="T7" s="1433"/>
      <c r="U7" s="1422"/>
      <c r="V7" s="1422"/>
      <c r="W7" s="1422"/>
      <c r="X7" s="1422"/>
      <c r="Y7" s="1422"/>
      <c r="Z7" s="1422"/>
      <c r="AA7" s="1422"/>
      <c r="AB7" s="1422"/>
      <c r="AC7" s="1422"/>
      <c r="AD7" s="1422"/>
      <c r="AE7" s="1422"/>
      <c r="AF7" s="1422"/>
      <c r="AG7" s="1422"/>
      <c r="AH7" s="1422"/>
      <c r="AI7" s="1422"/>
      <c r="AJ7" s="1422"/>
      <c r="AK7" s="1434"/>
      <c r="AL7" s="1435"/>
      <c r="AM7" s="1436" t="str">
        <f>IF(NOT($J7),"",IFERROR(VLOOKUP(A7,ativos.!$C$3:$W303,MATCH("cotacao",ativos.!$C$2:BP$2,0),FALSE),P7*AU7))</f>
        <v/>
      </c>
      <c r="AN7" s="1437" t="str">
        <f t="shared" si="1"/>
        <v/>
      </c>
      <c r="AO7" s="1438" t="str">
        <f t="shared" si="2"/>
        <v/>
      </c>
      <c r="AP7" s="1439" t="str">
        <f t="shared" si="3"/>
        <v/>
      </c>
      <c r="AQ7" s="1440" t="str">
        <f t="shared" si="4"/>
        <v/>
      </c>
      <c r="AR7" s="1441" t="str">
        <f t="shared" si="5"/>
        <v/>
      </c>
      <c r="AS7" s="1442" t="str">
        <f>IF(NOT(J7),"",IFERROR(VLOOKUP(A7,ativos.!$C$3:$W303,MATCH("variacaopct_dias",ativos.!$C$2:BP$2,0),FALSE),""))</f>
        <v/>
      </c>
      <c r="AT7" s="1443"/>
      <c r="AU7" s="1444" t="str">
        <f>IF(NOT($J7),"",IFERROR(VLOOKUP(A7,ativos.!$C$3:$S303,MATCH("fator_fx",ativos.!$C$2:BP$2,0),FALSE),0))</f>
        <v/>
      </c>
      <c r="AV7" s="1442" t="str">
        <f>IF(NOT($J7),"",IFERROR(VLOOKUP(A7,ativos.!$C$3:$W303,MATCH("variacaopct",ativos.!$C$2:BP$2,0),FALSE)/100,R7))</f>
        <v/>
      </c>
      <c r="AW7" s="1445" t="str">
        <f>IFERROR(__xludf.DUMMYFUNCTION("IF(NOT($J7),"""",IF(S7='config.parâmetros'!$B$8,0,IFERROR(AU7/INDEX(SORT(GOOGLEFINANCE(S7&amp;'config.parâmetros'!$B$8,""price"",TODAY()-3,TODAY(),1),1,0),2,2)-1,0)))"),"")</f>
        <v/>
      </c>
      <c r="AX7" s="1446" t="str">
        <f>IFERROR(__xludf.DUMMYFUNCTION("IF(NOT(J7),"""",IF('config.parâmetros'!$M$8,SUM(IFERROR(filter(proventos!Q$5:Q303,proventos!L$5:L303=B7,proventos!C$5:C303&gt;=DATEVALUE(I7),proventos!R$5:R303=T7),0)),SUM(IFERROR(filter(proventos!Q$5:Q303,proventos!L$5:L303=B7,proventos!C$5:C303&gt;=DATEVALUE("&amp;"I7)),0))))"),"")</f>
        <v/>
      </c>
      <c r="AY7" s="1446">
        <f t="shared" si="6"/>
        <v>0</v>
      </c>
      <c r="AZ7" s="1446" t="str">
        <f>IFERROR(__xludf.DUMMYFUNCTION("IF(NOT(J7),"""",IF('config.parâmetros'!$M$8,SUM(IFERROR(filter(op.normal!P$5:P303,op.normal!N$5:N303=B7,op.normal!C$5:C303&gt;=DATEVALUE(I7),op.normal!AC$5:AC303=T7),0)),SUM(IFERROR(filter(op.normal!P$5:P303,op.normal!N$5:N303=B7,op.normal!C$5:C303&gt;=DATEVALU"&amp;"E(I7)),0))))"),"")</f>
        <v/>
      </c>
      <c r="BA7" s="1447" t="str">
        <f>IFERROR(__xludf.DUMMYFUNCTION("IF(A7="""","""",IFERROR(query({CarteirasAtivos},""Select Col3 where Col1 ='""&amp;A7&amp;""' limit 1""))) "),"")</f>
        <v/>
      </c>
      <c r="BB7" s="1447" t="str">
        <f>IFERROR(__xludf.DUMMYFUNCTION("IF(A7="""","""",SUMPRODUCT(IF(IFERROR(MATCH(query({CarteirasAtivos},""Select Col2 where Col1 = '""&amp;A7&amp;""'""),CarteirasListaCriadasComTotal,0)),1,0)))"),"")</f>
        <v/>
      </c>
      <c r="BC7" s="1446" t="str">
        <f>IFERROR(__xludf.DUMMYFUNCTION("IF($A7="""","""",IFERROR(AVERAGE(query({CarteirasAtivos;CarteirasAtivosEncerrados},""select Col5 where Col5 is not null and Col1 = '""&amp;$A7&amp;""' and Col10='SIM'""))*AU7))"),"")</f>
        <v/>
      </c>
      <c r="BD7" s="1448" t="str">
        <f>IF(A7="","",IF(NOT('config.parâmetros'!$M$8),IF(int(J7)=J7,TEXT(J7,"###,##0"),TEXT(J7,"###,##0.#######")),IF(int(J7)=J7,TEXT(J7,"###,##0"),TEXT(J7,"###,##0.#######"))&amp;"
("&amp;T7&amp;")"))</f>
        <v/>
      </c>
      <c r="BE7" s="1442" t="str">
        <f t="shared" si="7"/>
        <v/>
      </c>
      <c r="BF7" s="1447" t="str">
        <f t="shared" si="8"/>
        <v/>
      </c>
      <c r="BG7" s="1449" t="str">
        <f t="shared" si="9"/>
        <v/>
      </c>
      <c r="BH7" s="1447" t="str">
        <f t="shared" si="10"/>
        <v/>
      </c>
      <c r="BI7" s="1447" t="str">
        <f t="shared" si="11"/>
        <v/>
      </c>
      <c r="BJ7" s="1449" t="str">
        <f t="shared" si="12"/>
        <v/>
      </c>
      <c r="BK7" s="1447" t="str">
        <f t="shared" si="13"/>
        <v/>
      </c>
      <c r="BL7" s="1447" t="str">
        <f t="shared" si="14"/>
        <v/>
      </c>
      <c r="BM7" s="1449" t="str">
        <f t="shared" si="15"/>
        <v/>
      </c>
      <c r="BN7" s="1447" t="str">
        <f t="shared" si="16"/>
        <v/>
      </c>
      <c r="BO7" s="1447" t="str">
        <f t="shared" si="17"/>
        <v/>
      </c>
      <c r="BP7" s="1448" t="str">
        <f t="shared" si="18"/>
        <v/>
      </c>
    </row>
    <row r="8">
      <c r="A8" s="1422"/>
      <c r="B8" s="1423"/>
      <c r="C8" s="1423"/>
      <c r="D8" s="1422"/>
      <c r="E8" s="1422"/>
      <c r="F8" s="1422"/>
      <c r="G8" s="1424"/>
      <c r="H8" s="1424"/>
      <c r="I8" s="1450"/>
      <c r="J8" s="1426"/>
      <c r="K8" s="1427"/>
      <c r="L8" s="1428"/>
      <c r="M8" s="1428"/>
      <c r="N8" s="1429"/>
      <c r="O8" s="1429"/>
      <c r="P8" s="1430"/>
      <c r="Q8" s="1430"/>
      <c r="R8" s="1431"/>
      <c r="S8" s="1432"/>
      <c r="T8" s="1433"/>
      <c r="U8" s="1422"/>
      <c r="V8" s="1422"/>
      <c r="W8" s="1422"/>
      <c r="X8" s="1422"/>
      <c r="Y8" s="1422"/>
      <c r="Z8" s="1422"/>
      <c r="AA8" s="1422"/>
      <c r="AB8" s="1422"/>
      <c r="AC8" s="1422"/>
      <c r="AD8" s="1422"/>
      <c r="AE8" s="1422"/>
      <c r="AF8" s="1422"/>
      <c r="AG8" s="1422"/>
      <c r="AH8" s="1422"/>
      <c r="AI8" s="1422"/>
      <c r="AJ8" s="1422"/>
      <c r="AK8" s="1434"/>
      <c r="AL8" s="1435"/>
      <c r="AM8" s="1436" t="str">
        <f>IF(NOT($J8),"",IFERROR(VLOOKUP(A8,ativos.!$C$3:$W303,MATCH("cotacao",ativos.!$C$2:BP$2,0),FALSE),P8*AU8))</f>
        <v/>
      </c>
      <c r="AN8" s="1437" t="str">
        <f t="shared" si="1"/>
        <v/>
      </c>
      <c r="AO8" s="1438" t="str">
        <f t="shared" si="2"/>
        <v/>
      </c>
      <c r="AP8" s="1439" t="str">
        <f t="shared" si="3"/>
        <v/>
      </c>
      <c r="AQ8" s="1440" t="str">
        <f t="shared" si="4"/>
        <v/>
      </c>
      <c r="AR8" s="1441" t="str">
        <f t="shared" si="5"/>
        <v/>
      </c>
      <c r="AS8" s="1442" t="str">
        <f>IF(NOT(J8),"",IFERROR(VLOOKUP(A8,ativos.!$C$3:$W303,MATCH("variacaopct_dias",ativos.!$C$2:BP$2,0),FALSE),""))</f>
        <v/>
      </c>
      <c r="AT8" s="1443"/>
      <c r="AU8" s="1444" t="str">
        <f>IF(NOT($J8),"",IFERROR(VLOOKUP(A8,ativos.!$C$3:$S303,MATCH("fator_fx",ativos.!$C$2:BP$2,0),FALSE),0))</f>
        <v/>
      </c>
      <c r="AV8" s="1442" t="str">
        <f>IF(NOT($J8),"",IFERROR(VLOOKUP(A8,ativos.!$C$3:$W303,MATCH("variacaopct",ativos.!$C$2:BP$2,0),FALSE)/100,R8))</f>
        <v/>
      </c>
      <c r="AW8" s="1445" t="str">
        <f>IFERROR(__xludf.DUMMYFUNCTION("IF(NOT($J8),"""",IF(S8='config.parâmetros'!$B$8,0,IFERROR(AU8/INDEX(SORT(GOOGLEFINANCE(S8&amp;'config.parâmetros'!$B$8,""price"",TODAY()-3,TODAY(),1),1,0),2,2)-1,0)))"),"")</f>
        <v/>
      </c>
      <c r="AX8" s="1446" t="str">
        <f>IFERROR(__xludf.DUMMYFUNCTION("IF(NOT(J8),"""",IF('config.parâmetros'!$M$8,SUM(IFERROR(filter(proventos!Q$5:Q303,proventos!L$5:L303=B8,proventos!C$5:C303&gt;=DATEVALUE(I8),proventos!R$5:R303=T8),0)),SUM(IFERROR(filter(proventos!Q$5:Q303,proventos!L$5:L303=B8,proventos!C$5:C303&gt;=DATEVALUE("&amp;"I8)),0))))"),"")</f>
        <v/>
      </c>
      <c r="AY8" s="1446">
        <f t="shared" si="6"/>
        <v>0</v>
      </c>
      <c r="AZ8" s="1446" t="str">
        <f>IFERROR(__xludf.DUMMYFUNCTION("IF(NOT(J8),"""",IF('config.parâmetros'!$M$8,SUM(IFERROR(filter(op.normal!P$5:P303,op.normal!N$5:N303=B8,op.normal!C$5:C303&gt;=DATEVALUE(I8),op.normal!AC$5:AC303=T8),0)),SUM(IFERROR(filter(op.normal!P$5:P303,op.normal!N$5:N303=B8,op.normal!C$5:C303&gt;=DATEVALU"&amp;"E(I8)),0))))"),"")</f>
        <v/>
      </c>
      <c r="BA8" s="1447" t="str">
        <f>IFERROR(__xludf.DUMMYFUNCTION("IF(A8="""","""",IFERROR(query({CarteirasAtivos},""Select Col3 where Col1 ='""&amp;A8&amp;""' limit 1""))) "),"")</f>
        <v/>
      </c>
      <c r="BB8" s="1447" t="str">
        <f>IFERROR(__xludf.DUMMYFUNCTION("IF(A8="""","""",SUMPRODUCT(IF(IFERROR(MATCH(query({CarteirasAtivos},""Select Col2 where Col1 = '""&amp;A8&amp;""'""),CarteirasListaCriadasComTotal,0)),1,0)))"),"")</f>
        <v/>
      </c>
      <c r="BC8" s="1446" t="str">
        <f>IFERROR(__xludf.DUMMYFUNCTION("IF($A8="""","""",IFERROR(AVERAGE(query({CarteirasAtivos;CarteirasAtivosEncerrados},""select Col5 where Col5 is not null and Col1 = '""&amp;$A8&amp;""' and Col10='SIM'""))*AU8))"),"")</f>
        <v/>
      </c>
      <c r="BD8" s="1448" t="str">
        <f>IF(A8="","",IF(NOT('config.parâmetros'!$M$8),IF(int(J8)=J8,TEXT(J8,"###,##0"),TEXT(J8,"###,##0.#######")),IF(int(J8)=J8,TEXT(J8,"###,##0"),TEXT(J8,"###,##0.#######"))&amp;"
("&amp;T8&amp;")"))</f>
        <v/>
      </c>
      <c r="BE8" s="1442" t="str">
        <f t="shared" si="7"/>
        <v/>
      </c>
      <c r="BF8" s="1447" t="str">
        <f t="shared" si="8"/>
        <v/>
      </c>
      <c r="BG8" s="1449" t="str">
        <f t="shared" si="9"/>
        <v/>
      </c>
      <c r="BH8" s="1447" t="str">
        <f t="shared" si="10"/>
        <v/>
      </c>
      <c r="BI8" s="1447" t="str">
        <f t="shared" si="11"/>
        <v/>
      </c>
      <c r="BJ8" s="1449" t="str">
        <f t="shared" si="12"/>
        <v/>
      </c>
      <c r="BK8" s="1447" t="str">
        <f t="shared" si="13"/>
        <v/>
      </c>
      <c r="BL8" s="1447" t="str">
        <f t="shared" si="14"/>
        <v/>
      </c>
      <c r="BM8" s="1449" t="str">
        <f t="shared" si="15"/>
        <v/>
      </c>
      <c r="BN8" s="1447" t="str">
        <f t="shared" si="16"/>
        <v/>
      </c>
      <c r="BO8" s="1447" t="str">
        <f t="shared" si="17"/>
        <v/>
      </c>
      <c r="BP8" s="1448" t="str">
        <f t="shared" si="18"/>
        <v/>
      </c>
    </row>
    <row r="9">
      <c r="A9" s="1422"/>
      <c r="B9" s="1423"/>
      <c r="C9" s="1423"/>
      <c r="D9" s="1422"/>
      <c r="E9" s="1422"/>
      <c r="F9" s="1422"/>
      <c r="G9" s="1424"/>
      <c r="H9" s="1424"/>
      <c r="I9" s="1450"/>
      <c r="J9" s="1426"/>
      <c r="K9" s="1427"/>
      <c r="L9" s="1428"/>
      <c r="M9" s="1428"/>
      <c r="N9" s="1429"/>
      <c r="O9" s="1429"/>
      <c r="P9" s="1430"/>
      <c r="Q9" s="1430"/>
      <c r="R9" s="1431"/>
      <c r="S9" s="1432"/>
      <c r="T9" s="1433"/>
      <c r="U9" s="1422"/>
      <c r="V9" s="1422"/>
      <c r="W9" s="1422"/>
      <c r="X9" s="1422"/>
      <c r="Y9" s="1422"/>
      <c r="Z9" s="1422"/>
      <c r="AA9" s="1422"/>
      <c r="AB9" s="1422"/>
      <c r="AC9" s="1422"/>
      <c r="AD9" s="1422"/>
      <c r="AE9" s="1422"/>
      <c r="AF9" s="1422"/>
      <c r="AG9" s="1422"/>
      <c r="AH9" s="1422"/>
      <c r="AI9" s="1422"/>
      <c r="AJ9" s="1422"/>
      <c r="AK9" s="1434"/>
      <c r="AL9" s="1435"/>
      <c r="AM9" s="1436" t="str">
        <f>IF(NOT($J9),"",IFERROR(VLOOKUP(A9,ativos.!$C$3:$W303,MATCH("cotacao",ativos.!$C$2:BP$2,0),FALSE),P9*AU9))</f>
        <v/>
      </c>
      <c r="AN9" s="1437" t="str">
        <f t="shared" si="1"/>
        <v/>
      </c>
      <c r="AO9" s="1438" t="str">
        <f t="shared" si="2"/>
        <v/>
      </c>
      <c r="AP9" s="1439" t="str">
        <f t="shared" si="3"/>
        <v/>
      </c>
      <c r="AQ9" s="1440" t="str">
        <f t="shared" si="4"/>
        <v/>
      </c>
      <c r="AR9" s="1441" t="str">
        <f t="shared" si="5"/>
        <v/>
      </c>
      <c r="AS9" s="1442" t="str">
        <f>IF(NOT(J9),"",IFERROR(VLOOKUP(A9,ativos.!$C$3:$W303,MATCH("variacaopct_dias",ativos.!$C$2:BP$2,0),FALSE),""))</f>
        <v/>
      </c>
      <c r="AT9" s="1443"/>
      <c r="AU9" s="1444" t="str">
        <f>IF(NOT($J9),"",IFERROR(VLOOKUP(A9,ativos.!$C$3:$S303,MATCH("fator_fx",ativos.!$C$2:BP$2,0),FALSE),0))</f>
        <v/>
      </c>
      <c r="AV9" s="1442" t="str">
        <f>IF(NOT($J9),"",IFERROR(VLOOKUP(A9,ativos.!$C$3:$W303,MATCH("variacaopct",ativos.!$C$2:BP$2,0),FALSE)/100,R9))</f>
        <v/>
      </c>
      <c r="AW9" s="1445" t="str">
        <f>IFERROR(__xludf.DUMMYFUNCTION("IF(NOT($J9),"""",IF(S9='config.parâmetros'!$B$8,0,IFERROR(AU9/INDEX(SORT(GOOGLEFINANCE(S9&amp;'config.parâmetros'!$B$8,""price"",TODAY()-3,TODAY(),1),1,0),2,2)-1,0)))"),"")</f>
        <v/>
      </c>
      <c r="AX9" s="1446" t="str">
        <f>IFERROR(__xludf.DUMMYFUNCTION("IF(NOT(J9),"""",IF('config.parâmetros'!$M$8,SUM(IFERROR(filter(proventos!Q$5:Q303,proventos!L$5:L303=B9,proventos!C$5:C303&gt;=DATEVALUE(I9),proventos!R$5:R303=T9),0)),SUM(IFERROR(filter(proventos!Q$5:Q303,proventos!L$5:L303=B9,proventos!C$5:C303&gt;=DATEVALUE("&amp;"I9)),0))))"),"")</f>
        <v/>
      </c>
      <c r="AY9" s="1446">
        <f t="shared" si="6"/>
        <v>0</v>
      </c>
      <c r="AZ9" s="1446" t="str">
        <f>IFERROR(__xludf.DUMMYFUNCTION("IF(NOT(J9),"""",IF('config.parâmetros'!$M$8,SUM(IFERROR(filter(op.normal!P$5:P303,op.normal!N$5:N303=B9,op.normal!C$5:C303&gt;=DATEVALUE(I9),op.normal!AC$5:AC303=T9),0)),SUM(IFERROR(filter(op.normal!P$5:P303,op.normal!N$5:N303=B9,op.normal!C$5:C303&gt;=DATEVALU"&amp;"E(I9)),0))))"),"")</f>
        <v/>
      </c>
      <c r="BA9" s="1447" t="str">
        <f>IFERROR(__xludf.DUMMYFUNCTION("IF(A9="""","""",IFERROR(query({CarteirasAtivos},""Select Col3 where Col1 ='""&amp;A9&amp;""' limit 1""))) "),"")</f>
        <v/>
      </c>
      <c r="BB9" s="1447" t="str">
        <f>IFERROR(__xludf.DUMMYFUNCTION("IF(A9="""","""",SUMPRODUCT(IF(IFERROR(MATCH(query({CarteirasAtivos},""Select Col2 where Col1 = '""&amp;A9&amp;""'""),CarteirasListaCriadasComTotal,0)),1,0)))"),"")</f>
        <v/>
      </c>
      <c r="BC9" s="1446" t="str">
        <f>IFERROR(__xludf.DUMMYFUNCTION("IF($A9="""","""",IFERROR(AVERAGE(query({CarteirasAtivos;CarteirasAtivosEncerrados},""select Col5 where Col5 is not null and Col1 = '""&amp;$A9&amp;""' and Col10='SIM'""))*AU9))"),"")</f>
        <v/>
      </c>
      <c r="BD9" s="1448" t="str">
        <f>IF(A9="","",IF(NOT('config.parâmetros'!$M$8),IF(int(J9)=J9,TEXT(J9,"###,##0"),TEXT(J9,"###,##0.#######")),IF(int(J9)=J9,TEXT(J9,"###,##0"),TEXT(J9,"###,##0.#######"))&amp;"
("&amp;T9&amp;")"))</f>
        <v/>
      </c>
      <c r="BE9" s="1442" t="str">
        <f t="shared" si="7"/>
        <v/>
      </c>
      <c r="BF9" s="1447" t="str">
        <f t="shared" si="8"/>
        <v/>
      </c>
      <c r="BG9" s="1449" t="str">
        <f t="shared" si="9"/>
        <v/>
      </c>
      <c r="BH9" s="1447" t="str">
        <f t="shared" si="10"/>
        <v/>
      </c>
      <c r="BI9" s="1447" t="str">
        <f t="shared" si="11"/>
        <v/>
      </c>
      <c r="BJ9" s="1449" t="str">
        <f t="shared" si="12"/>
        <v/>
      </c>
      <c r="BK9" s="1447" t="str">
        <f t="shared" si="13"/>
        <v/>
      </c>
      <c r="BL9" s="1447" t="str">
        <f t="shared" si="14"/>
        <v/>
      </c>
      <c r="BM9" s="1449" t="str">
        <f t="shared" si="15"/>
        <v/>
      </c>
      <c r="BN9" s="1447" t="str">
        <f t="shared" si="16"/>
        <v/>
      </c>
      <c r="BO9" s="1447" t="str">
        <f t="shared" si="17"/>
        <v/>
      </c>
      <c r="BP9" s="1448" t="str">
        <f t="shared" si="18"/>
        <v/>
      </c>
    </row>
    <row r="10">
      <c r="A10" s="1422"/>
      <c r="B10" s="1423"/>
      <c r="C10" s="1423"/>
      <c r="D10" s="1422"/>
      <c r="E10" s="1422"/>
      <c r="F10" s="1422"/>
      <c r="G10" s="1424"/>
      <c r="H10" s="1424"/>
      <c r="I10" s="1450"/>
      <c r="J10" s="1426"/>
      <c r="K10" s="1427"/>
      <c r="L10" s="1428"/>
      <c r="M10" s="1428"/>
      <c r="N10" s="1429"/>
      <c r="O10" s="1429"/>
      <c r="P10" s="1430"/>
      <c r="Q10" s="1430"/>
      <c r="R10" s="1431"/>
      <c r="S10" s="1432"/>
      <c r="T10" s="1433"/>
      <c r="U10" s="1422"/>
      <c r="V10" s="1422"/>
      <c r="W10" s="1422"/>
      <c r="X10" s="1422"/>
      <c r="Y10" s="1422"/>
      <c r="Z10" s="1422"/>
      <c r="AA10" s="1422"/>
      <c r="AB10" s="1422"/>
      <c r="AC10" s="1422"/>
      <c r="AD10" s="1422"/>
      <c r="AE10" s="1422"/>
      <c r="AF10" s="1422"/>
      <c r="AG10" s="1422"/>
      <c r="AH10" s="1422"/>
      <c r="AI10" s="1422"/>
      <c r="AJ10" s="1422"/>
      <c r="AK10" s="1434"/>
      <c r="AL10" s="1435"/>
      <c r="AM10" s="1436" t="str">
        <f>IF(NOT($J10),"",IFERROR(VLOOKUP(A10,ativos.!$C$3:$W303,MATCH("cotacao",ativos.!$C$2:BP$2,0),FALSE),P10*AU10))</f>
        <v/>
      </c>
      <c r="AN10" s="1437" t="str">
        <f t="shared" si="1"/>
        <v/>
      </c>
      <c r="AO10" s="1438" t="str">
        <f t="shared" si="2"/>
        <v/>
      </c>
      <c r="AP10" s="1439" t="str">
        <f t="shared" si="3"/>
        <v/>
      </c>
      <c r="AQ10" s="1440" t="str">
        <f t="shared" si="4"/>
        <v/>
      </c>
      <c r="AR10" s="1441" t="str">
        <f t="shared" si="5"/>
        <v/>
      </c>
      <c r="AS10" s="1442" t="str">
        <f>IF(NOT(J10),"",IFERROR(VLOOKUP(A10,ativos.!$C$3:$W303,MATCH("variacaopct_dias",ativos.!$C$2:BP$2,0),FALSE),""))</f>
        <v/>
      </c>
      <c r="AT10" s="1443"/>
      <c r="AU10" s="1444" t="str">
        <f>IF(NOT($J10),"",IFERROR(VLOOKUP(A10,ativos.!$C$3:$S303,MATCH("fator_fx",ativos.!$C$2:BP$2,0),FALSE),0))</f>
        <v/>
      </c>
      <c r="AV10" s="1442" t="str">
        <f>IF(NOT($J10),"",IFERROR(VLOOKUP(A10,ativos.!$C$3:$W303,MATCH("variacaopct",ativos.!$C$2:BP$2,0),FALSE)/100,R10))</f>
        <v/>
      </c>
      <c r="AW10" s="1445" t="str">
        <f>IFERROR(__xludf.DUMMYFUNCTION("IF(NOT($J10),"""",IF(S10='config.parâmetros'!$B$8,0,IFERROR(AU10/INDEX(SORT(GOOGLEFINANCE(S10&amp;'config.parâmetros'!$B$8,""price"",TODAY()-3,TODAY(),1),1,0),2,2)-1,0)))"),"")</f>
        <v/>
      </c>
      <c r="AX10" s="1446" t="str">
        <f>IFERROR(__xludf.DUMMYFUNCTION("IF(NOT(J10),"""",IF('config.parâmetros'!$M$8,SUM(IFERROR(filter(proventos!Q$5:Q303,proventos!L$5:L303=B10,proventos!C$5:C303&gt;=DATEVALUE(I10),proventos!R$5:R303=T10),0)),SUM(IFERROR(filter(proventos!Q$5:Q303,proventos!L$5:L303=B10,proventos!C$5:C303&gt;=DATEV"&amp;"ALUE(I10)),0))))"),"")</f>
        <v/>
      </c>
      <c r="AY10" s="1446">
        <f t="shared" si="6"/>
        <v>0</v>
      </c>
      <c r="AZ10" s="1446" t="str">
        <f>IFERROR(__xludf.DUMMYFUNCTION("IF(NOT(J10),"""",IF('config.parâmetros'!$M$8,SUM(IFERROR(filter(op.normal!P$5:P303,op.normal!N$5:N303=B10,op.normal!C$5:C303&gt;=DATEVALUE(I10),op.normal!AC$5:AC303=T10),0)),SUM(IFERROR(filter(op.normal!P$5:P303,op.normal!N$5:N303=B10,op.normal!C$5:C303&gt;=DAT"&amp;"EVALUE(I10)),0))))"),"")</f>
        <v/>
      </c>
      <c r="BA10" s="1447" t="str">
        <f>IFERROR(__xludf.DUMMYFUNCTION("IF(A10="""","""",IFERROR(query({CarteirasAtivos},""Select Col3 where Col1 ='""&amp;A10&amp;""' limit 1""))) "),"")</f>
        <v/>
      </c>
      <c r="BB10" s="1447" t="str">
        <f>IFERROR(__xludf.DUMMYFUNCTION("IF(A10="""","""",SUMPRODUCT(IF(IFERROR(MATCH(query({CarteirasAtivos},""Select Col2 where Col1 = '""&amp;A10&amp;""'""),CarteirasListaCriadasComTotal,0)),1,0)))"),"")</f>
        <v/>
      </c>
      <c r="BC10" s="1446" t="str">
        <f>IFERROR(__xludf.DUMMYFUNCTION("IF($A10="""","""",IFERROR(AVERAGE(query({CarteirasAtivos;CarteirasAtivosEncerrados},""select Col5 where Col5 is not null and Col1 = '""&amp;$A10&amp;""' and Col10='SIM'""))*AU10))"),"")</f>
        <v/>
      </c>
      <c r="BD10" s="1448" t="str">
        <f>IF(A10="","",IF(NOT('config.parâmetros'!$M$8),IF(int(J10)=J10,TEXT(J10,"###,##0"),TEXT(J10,"###,##0.#######")),IF(int(J10)=J10,TEXT(J10,"###,##0"),TEXT(J10,"###,##0.#######"))&amp;"
("&amp;T10&amp;")"))</f>
        <v/>
      </c>
      <c r="BE10" s="1442" t="str">
        <f t="shared" si="7"/>
        <v/>
      </c>
      <c r="BF10" s="1447" t="str">
        <f t="shared" si="8"/>
        <v/>
      </c>
      <c r="BG10" s="1449" t="str">
        <f t="shared" si="9"/>
        <v/>
      </c>
      <c r="BH10" s="1447" t="str">
        <f t="shared" si="10"/>
        <v/>
      </c>
      <c r="BI10" s="1447" t="str">
        <f t="shared" si="11"/>
        <v/>
      </c>
      <c r="BJ10" s="1449" t="str">
        <f t="shared" si="12"/>
        <v/>
      </c>
      <c r="BK10" s="1447" t="str">
        <f t="shared" si="13"/>
        <v/>
      </c>
      <c r="BL10" s="1447" t="str">
        <f t="shared" si="14"/>
        <v/>
      </c>
      <c r="BM10" s="1449" t="str">
        <f t="shared" si="15"/>
        <v/>
      </c>
      <c r="BN10" s="1447" t="str">
        <f t="shared" si="16"/>
        <v/>
      </c>
      <c r="BO10" s="1447" t="str">
        <f t="shared" si="17"/>
        <v/>
      </c>
      <c r="BP10" s="1448" t="str">
        <f t="shared" si="18"/>
        <v/>
      </c>
    </row>
    <row r="11">
      <c r="A11" s="1422"/>
      <c r="B11" s="1423"/>
      <c r="C11" s="1423"/>
      <c r="D11" s="1422"/>
      <c r="E11" s="1422"/>
      <c r="F11" s="1422"/>
      <c r="G11" s="1424"/>
      <c r="H11" s="1424"/>
      <c r="I11" s="1450"/>
      <c r="J11" s="1426"/>
      <c r="K11" s="1427"/>
      <c r="L11" s="1428"/>
      <c r="M11" s="1428"/>
      <c r="N11" s="1429"/>
      <c r="O11" s="1429"/>
      <c r="P11" s="1430"/>
      <c r="Q11" s="1430"/>
      <c r="R11" s="1431"/>
      <c r="S11" s="1432"/>
      <c r="T11" s="1433"/>
      <c r="U11" s="1422"/>
      <c r="V11" s="1422"/>
      <c r="W11" s="1422"/>
      <c r="X11" s="1422"/>
      <c r="Y11" s="1422"/>
      <c r="Z11" s="1422"/>
      <c r="AA11" s="1422"/>
      <c r="AB11" s="1422"/>
      <c r="AC11" s="1422"/>
      <c r="AD11" s="1422"/>
      <c r="AE11" s="1422"/>
      <c r="AF11" s="1422"/>
      <c r="AG11" s="1422"/>
      <c r="AH11" s="1422"/>
      <c r="AI11" s="1422"/>
      <c r="AJ11" s="1422"/>
      <c r="AK11" s="1434"/>
      <c r="AL11" s="1435"/>
      <c r="AM11" s="1436" t="str">
        <f>IF(NOT($J11),"",IFERROR(VLOOKUP(A11,ativos.!$C$3:$W303,MATCH("cotacao",ativos.!$C$2:BP$2,0),FALSE),P11*AU11))</f>
        <v/>
      </c>
      <c r="AN11" s="1437" t="str">
        <f t="shared" si="1"/>
        <v/>
      </c>
      <c r="AO11" s="1438" t="str">
        <f t="shared" si="2"/>
        <v/>
      </c>
      <c r="AP11" s="1439" t="str">
        <f t="shared" si="3"/>
        <v/>
      </c>
      <c r="AQ11" s="1440" t="str">
        <f t="shared" si="4"/>
        <v/>
      </c>
      <c r="AR11" s="1441" t="str">
        <f t="shared" si="5"/>
        <v/>
      </c>
      <c r="AS11" s="1442" t="str">
        <f>IF(NOT(J11),"",IFERROR(VLOOKUP(A11,ativos.!$C$3:$W303,MATCH("variacaopct_dias",ativos.!$C$2:BP$2,0),FALSE),""))</f>
        <v/>
      </c>
      <c r="AT11" s="1443"/>
      <c r="AU11" s="1444" t="str">
        <f>IF(NOT($J11),"",IFERROR(VLOOKUP(A11,ativos.!$C$3:$S303,MATCH("fator_fx",ativos.!$C$2:BP$2,0),FALSE),0))</f>
        <v/>
      </c>
      <c r="AV11" s="1442" t="str">
        <f>IF(NOT($J11),"",IFERROR(VLOOKUP(A11,ativos.!$C$3:$W303,MATCH("variacaopct",ativos.!$C$2:BP$2,0),FALSE)/100,R11))</f>
        <v/>
      </c>
      <c r="AW11" s="1445" t="str">
        <f>IFERROR(__xludf.DUMMYFUNCTION("IF(NOT($J11),"""",IF(S11='config.parâmetros'!$B$8,0,IFERROR(AU11/INDEX(SORT(GOOGLEFINANCE(S11&amp;'config.parâmetros'!$B$8,""price"",TODAY()-3,TODAY(),1),1,0),2,2)-1,0)))"),"")</f>
        <v/>
      </c>
      <c r="AX11" s="1446" t="str">
        <f>IFERROR(__xludf.DUMMYFUNCTION("IF(NOT(J11),"""",IF('config.parâmetros'!$M$8,SUM(IFERROR(filter(proventos!Q$5:Q303,proventos!L$5:L303=B11,proventos!C$5:C303&gt;=DATEVALUE(I11),proventos!R$5:R303=T11),0)),SUM(IFERROR(filter(proventos!Q$5:Q303,proventos!L$5:L303=B11,proventos!C$5:C303&gt;=DATEV"&amp;"ALUE(I11)),0))))"),"")</f>
        <v/>
      </c>
      <c r="AY11" s="1446">
        <f t="shared" si="6"/>
        <v>0</v>
      </c>
      <c r="AZ11" s="1446" t="str">
        <f>IFERROR(__xludf.DUMMYFUNCTION("IF(NOT(J11),"""",IF('config.parâmetros'!$M$8,SUM(IFERROR(filter(op.normal!P$5:P303,op.normal!N$5:N303=B11,op.normal!C$5:C303&gt;=DATEVALUE(I11),op.normal!AC$5:AC303=T11),0)),SUM(IFERROR(filter(op.normal!P$5:P303,op.normal!N$5:N303=B11,op.normal!C$5:C303&gt;=DAT"&amp;"EVALUE(I11)),0))))"),"")</f>
        <v/>
      </c>
      <c r="BA11" s="1447" t="str">
        <f>IFERROR(__xludf.DUMMYFUNCTION("IF(A11="""","""",IFERROR(query({CarteirasAtivos},""Select Col3 where Col1 ='""&amp;A11&amp;""' limit 1""))) "),"")</f>
        <v/>
      </c>
      <c r="BB11" s="1447" t="str">
        <f>IFERROR(__xludf.DUMMYFUNCTION("IF(A11="""","""",SUMPRODUCT(IF(IFERROR(MATCH(query({CarteirasAtivos},""Select Col2 where Col1 = '""&amp;A11&amp;""'""),CarteirasListaCriadasComTotal,0)),1,0)))"),"")</f>
        <v/>
      </c>
      <c r="BC11" s="1446" t="str">
        <f>IFERROR(__xludf.DUMMYFUNCTION("IF($A11="""","""",IFERROR(AVERAGE(query({CarteirasAtivos;CarteirasAtivosEncerrados},""select Col5 where Col5 is not null and Col1 = '""&amp;$A11&amp;""' and Col10='SIM'""))*AU11))"),"")</f>
        <v/>
      </c>
      <c r="BD11" s="1448" t="str">
        <f>IF(A11="","",IF(NOT('config.parâmetros'!$M$8),IF(int(J11)=J11,TEXT(J11,"###,##0"),TEXT(J11,"###,##0.#######")),IF(int(J11)=J11,TEXT(J11,"###,##0"),TEXT(J11,"###,##0.#######"))&amp;"
("&amp;T11&amp;")"))</f>
        <v/>
      </c>
      <c r="BE11" s="1442" t="str">
        <f t="shared" si="7"/>
        <v/>
      </c>
      <c r="BF11" s="1447" t="str">
        <f t="shared" si="8"/>
        <v/>
      </c>
      <c r="BG11" s="1449" t="str">
        <f t="shared" si="9"/>
        <v/>
      </c>
      <c r="BH11" s="1447" t="str">
        <f t="shared" si="10"/>
        <v/>
      </c>
      <c r="BI11" s="1447" t="str">
        <f t="shared" si="11"/>
        <v/>
      </c>
      <c r="BJ11" s="1449" t="str">
        <f t="shared" si="12"/>
        <v/>
      </c>
      <c r="BK11" s="1447" t="str">
        <f t="shared" si="13"/>
        <v/>
      </c>
      <c r="BL11" s="1447" t="str">
        <f t="shared" si="14"/>
        <v/>
      </c>
      <c r="BM11" s="1449" t="str">
        <f t="shared" si="15"/>
        <v/>
      </c>
      <c r="BN11" s="1447" t="str">
        <f t="shared" si="16"/>
        <v/>
      </c>
      <c r="BO11" s="1447" t="str">
        <f t="shared" si="17"/>
        <v/>
      </c>
      <c r="BP11" s="1448" t="str">
        <f t="shared" si="18"/>
        <v/>
      </c>
    </row>
    <row r="12">
      <c r="A12" s="1422"/>
      <c r="B12" s="1423"/>
      <c r="C12" s="1423"/>
      <c r="D12" s="1422"/>
      <c r="E12" s="1422"/>
      <c r="F12" s="1422"/>
      <c r="G12" s="1424"/>
      <c r="H12" s="1424"/>
      <c r="I12" s="1450"/>
      <c r="J12" s="1426"/>
      <c r="K12" s="1427"/>
      <c r="L12" s="1428"/>
      <c r="M12" s="1428"/>
      <c r="N12" s="1429"/>
      <c r="O12" s="1429"/>
      <c r="P12" s="1430"/>
      <c r="Q12" s="1430"/>
      <c r="R12" s="1431"/>
      <c r="S12" s="1432"/>
      <c r="T12" s="1433"/>
      <c r="U12" s="1422"/>
      <c r="V12" s="1422"/>
      <c r="W12" s="1422"/>
      <c r="X12" s="1422"/>
      <c r="Y12" s="1422"/>
      <c r="Z12" s="1422"/>
      <c r="AA12" s="1422"/>
      <c r="AB12" s="1422"/>
      <c r="AC12" s="1422"/>
      <c r="AD12" s="1422"/>
      <c r="AE12" s="1422"/>
      <c r="AF12" s="1422"/>
      <c r="AG12" s="1422"/>
      <c r="AH12" s="1422"/>
      <c r="AI12" s="1422"/>
      <c r="AJ12" s="1422"/>
      <c r="AK12" s="1434"/>
      <c r="AL12" s="1435"/>
      <c r="AM12" s="1436" t="str">
        <f>IF(NOT($J12),"",IFERROR(VLOOKUP(A12,ativos.!$C$3:$W303,MATCH("cotacao",ativos.!$C$2:BP$2,0),FALSE),P12*AU12))</f>
        <v/>
      </c>
      <c r="AN12" s="1437" t="str">
        <f t="shared" si="1"/>
        <v/>
      </c>
      <c r="AO12" s="1438" t="str">
        <f t="shared" si="2"/>
        <v/>
      </c>
      <c r="AP12" s="1439" t="str">
        <f t="shared" si="3"/>
        <v/>
      </c>
      <c r="AQ12" s="1440" t="str">
        <f t="shared" si="4"/>
        <v/>
      </c>
      <c r="AR12" s="1441" t="str">
        <f t="shared" si="5"/>
        <v/>
      </c>
      <c r="AS12" s="1442" t="str">
        <f>IF(NOT(J12),"",IFERROR(VLOOKUP(A12,ativos.!$C$3:$W303,MATCH("variacaopct_dias",ativos.!$C$2:BP$2,0),FALSE),""))</f>
        <v/>
      </c>
      <c r="AT12" s="1443"/>
      <c r="AU12" s="1444" t="str">
        <f>IF(NOT($J12),"",IFERROR(VLOOKUP(A12,ativos.!$C$3:$S303,MATCH("fator_fx",ativos.!$C$2:BP$2,0),FALSE),0))</f>
        <v/>
      </c>
      <c r="AV12" s="1442" t="str">
        <f>IF(NOT($J12),"",IFERROR(VLOOKUP(A12,ativos.!$C$3:$W303,MATCH("variacaopct",ativos.!$C$2:BP$2,0),FALSE)/100,R12))</f>
        <v/>
      </c>
      <c r="AW12" s="1445" t="str">
        <f>IFERROR(__xludf.DUMMYFUNCTION("IF(NOT($J12),"""",IF(S12='config.parâmetros'!$B$8,0,IFERROR(AU12/INDEX(SORT(GOOGLEFINANCE(S12&amp;'config.parâmetros'!$B$8,""price"",TODAY()-3,TODAY(),1),1,0),2,2)-1,0)))"),"")</f>
        <v/>
      </c>
      <c r="AX12" s="1446" t="str">
        <f>IFERROR(__xludf.DUMMYFUNCTION("IF(NOT(J12),"""",IF('config.parâmetros'!$M$8,SUM(IFERROR(filter(proventos!Q$5:Q303,proventos!L$5:L303=B12,proventos!C$5:C303&gt;=DATEVALUE(I12),proventos!R$5:R303=T12),0)),SUM(IFERROR(filter(proventos!Q$5:Q303,proventos!L$5:L303=B12,proventos!C$5:C303&gt;=DATEV"&amp;"ALUE(I12)),0))))"),"")</f>
        <v/>
      </c>
      <c r="AY12" s="1446">
        <f t="shared" si="6"/>
        <v>0</v>
      </c>
      <c r="AZ12" s="1446" t="str">
        <f>IFERROR(__xludf.DUMMYFUNCTION("IF(NOT(J12),"""",IF('config.parâmetros'!$M$8,SUM(IFERROR(filter(op.normal!P$5:P303,op.normal!N$5:N303=B12,op.normal!C$5:C303&gt;=DATEVALUE(I12),op.normal!AC$5:AC303=T12),0)),SUM(IFERROR(filter(op.normal!P$5:P303,op.normal!N$5:N303=B12,op.normal!C$5:C303&gt;=DAT"&amp;"EVALUE(I12)),0))))"),"")</f>
        <v/>
      </c>
      <c r="BA12" s="1447" t="str">
        <f>IFERROR(__xludf.DUMMYFUNCTION("IF(A12="""","""",IFERROR(query({CarteirasAtivos},""Select Col3 where Col1 ='""&amp;A12&amp;""' limit 1""))) "),"")</f>
        <v/>
      </c>
      <c r="BB12" s="1447" t="str">
        <f>IFERROR(__xludf.DUMMYFUNCTION("IF(A12="""","""",SUMPRODUCT(IF(IFERROR(MATCH(query({CarteirasAtivos},""Select Col2 where Col1 = '""&amp;A12&amp;""'""),CarteirasListaCriadasComTotal,0)),1,0)))"),"")</f>
        <v/>
      </c>
      <c r="BC12" s="1446" t="str">
        <f>IFERROR(__xludf.DUMMYFUNCTION("IF($A12="""","""",IFERROR(AVERAGE(query({CarteirasAtivos;CarteirasAtivosEncerrados},""select Col5 where Col5 is not null and Col1 = '""&amp;$A12&amp;""' and Col10='SIM'""))*AU12))"),"")</f>
        <v/>
      </c>
      <c r="BD12" s="1448" t="str">
        <f>IF(A12="","",IF(NOT('config.parâmetros'!$M$8),IF(int(J12)=J12,TEXT(J12,"###,##0"),TEXT(J12,"###,##0.#######")),IF(int(J12)=J12,TEXT(J12,"###,##0"),TEXT(J12,"###,##0.#######"))&amp;"
("&amp;T12&amp;")"))</f>
        <v/>
      </c>
      <c r="BE12" s="1442" t="str">
        <f t="shared" si="7"/>
        <v/>
      </c>
      <c r="BF12" s="1447" t="str">
        <f t="shared" si="8"/>
        <v/>
      </c>
      <c r="BG12" s="1449" t="str">
        <f t="shared" si="9"/>
        <v/>
      </c>
      <c r="BH12" s="1447" t="str">
        <f t="shared" si="10"/>
        <v/>
      </c>
      <c r="BI12" s="1447" t="str">
        <f t="shared" si="11"/>
        <v/>
      </c>
      <c r="BJ12" s="1449" t="str">
        <f t="shared" si="12"/>
        <v/>
      </c>
      <c r="BK12" s="1447" t="str">
        <f t="shared" si="13"/>
        <v/>
      </c>
      <c r="BL12" s="1447" t="str">
        <f t="shared" si="14"/>
        <v/>
      </c>
      <c r="BM12" s="1449" t="str">
        <f t="shared" si="15"/>
        <v/>
      </c>
      <c r="BN12" s="1447" t="str">
        <f t="shared" si="16"/>
        <v/>
      </c>
      <c r="BO12" s="1447" t="str">
        <f t="shared" si="17"/>
        <v/>
      </c>
      <c r="BP12" s="1448" t="str">
        <f t="shared" si="18"/>
        <v/>
      </c>
    </row>
    <row r="13">
      <c r="A13" s="1422"/>
      <c r="B13" s="1423"/>
      <c r="C13" s="1423"/>
      <c r="D13" s="1422"/>
      <c r="E13" s="1422"/>
      <c r="F13" s="1422"/>
      <c r="G13" s="1424"/>
      <c r="H13" s="1424"/>
      <c r="I13" s="1450"/>
      <c r="J13" s="1426"/>
      <c r="K13" s="1427"/>
      <c r="L13" s="1428"/>
      <c r="M13" s="1428"/>
      <c r="N13" s="1429"/>
      <c r="O13" s="1429"/>
      <c r="P13" s="1430"/>
      <c r="Q13" s="1430"/>
      <c r="R13" s="1431"/>
      <c r="S13" s="1432"/>
      <c r="T13" s="1433"/>
      <c r="U13" s="1422"/>
      <c r="V13" s="1422"/>
      <c r="W13" s="1422"/>
      <c r="X13" s="1422"/>
      <c r="Y13" s="1422"/>
      <c r="Z13" s="1422"/>
      <c r="AA13" s="1422"/>
      <c r="AB13" s="1422"/>
      <c r="AC13" s="1422"/>
      <c r="AD13" s="1422"/>
      <c r="AE13" s="1422"/>
      <c r="AF13" s="1422"/>
      <c r="AG13" s="1422"/>
      <c r="AH13" s="1422"/>
      <c r="AI13" s="1422"/>
      <c r="AJ13" s="1422"/>
      <c r="AK13" s="1434"/>
      <c r="AL13" s="1435"/>
      <c r="AM13" s="1436" t="str">
        <f>IF(NOT($J13),"",IFERROR(VLOOKUP(A13,ativos.!$C$3:$W303,MATCH("cotacao",ativos.!$C$2:BP$2,0),FALSE),P13*AU13))</f>
        <v/>
      </c>
      <c r="AN13" s="1437" t="str">
        <f t="shared" si="1"/>
        <v/>
      </c>
      <c r="AO13" s="1438" t="str">
        <f t="shared" si="2"/>
        <v/>
      </c>
      <c r="AP13" s="1439" t="str">
        <f t="shared" si="3"/>
        <v/>
      </c>
      <c r="AQ13" s="1440" t="str">
        <f t="shared" si="4"/>
        <v/>
      </c>
      <c r="AR13" s="1441" t="str">
        <f t="shared" si="5"/>
        <v/>
      </c>
      <c r="AS13" s="1442" t="str">
        <f>IF(NOT(J13),"",IFERROR(VLOOKUP(A13,ativos.!$C$3:$W303,MATCH("variacaopct_dias",ativos.!$C$2:BP$2,0),FALSE),""))</f>
        <v/>
      </c>
      <c r="AT13" s="1443"/>
      <c r="AU13" s="1444" t="str">
        <f>IF(NOT($J13),"",IFERROR(VLOOKUP(A13,ativos.!$C$3:$S303,MATCH("fator_fx",ativos.!$C$2:BP$2,0),FALSE),0))</f>
        <v/>
      </c>
      <c r="AV13" s="1442" t="str">
        <f>IF(NOT($J13),"",IFERROR(VLOOKUP(A13,ativos.!$C$3:$W303,MATCH("variacaopct",ativos.!$C$2:BP$2,0),FALSE)/100,R13))</f>
        <v/>
      </c>
      <c r="AW13" s="1445" t="str">
        <f>IFERROR(__xludf.DUMMYFUNCTION("IF(NOT($J13),"""",IF(S13='config.parâmetros'!$B$8,0,IFERROR(AU13/INDEX(SORT(GOOGLEFINANCE(S13&amp;'config.parâmetros'!$B$8,""price"",TODAY()-3,TODAY(),1),1,0),2,2)-1,0)))"),"")</f>
        <v/>
      </c>
      <c r="AX13" s="1446" t="str">
        <f>IFERROR(__xludf.DUMMYFUNCTION("IF(NOT(J13),"""",IF('config.parâmetros'!$M$8,SUM(IFERROR(filter(proventos!Q$5:Q303,proventos!L$5:L303=B13,proventos!C$5:C303&gt;=DATEVALUE(I13),proventos!R$5:R303=T13),0)),SUM(IFERROR(filter(proventos!Q$5:Q303,proventos!L$5:L303=B13,proventos!C$5:C303&gt;=DATEV"&amp;"ALUE(I13)),0))))"),"")</f>
        <v/>
      </c>
      <c r="AY13" s="1446">
        <f t="shared" si="6"/>
        <v>0</v>
      </c>
      <c r="AZ13" s="1446" t="str">
        <f>IFERROR(__xludf.DUMMYFUNCTION("IF(NOT(J13),"""",IF('config.parâmetros'!$M$8,SUM(IFERROR(filter(op.normal!P$5:P303,op.normal!N$5:N303=B13,op.normal!C$5:C303&gt;=DATEVALUE(I13),op.normal!AC$5:AC303=T13),0)),SUM(IFERROR(filter(op.normal!P$5:P303,op.normal!N$5:N303=B13,op.normal!C$5:C303&gt;=DAT"&amp;"EVALUE(I13)),0))))"),"")</f>
        <v/>
      </c>
      <c r="BA13" s="1447" t="str">
        <f>IFERROR(__xludf.DUMMYFUNCTION("IF(A13="""","""",IFERROR(query({CarteirasAtivos},""Select Col3 where Col1 ='""&amp;A13&amp;""' limit 1""))) "),"")</f>
        <v/>
      </c>
      <c r="BB13" s="1447" t="str">
        <f>IFERROR(__xludf.DUMMYFUNCTION("IF(A13="""","""",SUMPRODUCT(IF(IFERROR(MATCH(query({CarteirasAtivos},""Select Col2 where Col1 = '""&amp;A13&amp;""'""),CarteirasListaCriadasComTotal,0)),1,0)))"),"")</f>
        <v/>
      </c>
      <c r="BC13" s="1446" t="str">
        <f>IFERROR(__xludf.DUMMYFUNCTION("IF($A13="""","""",IFERROR(AVERAGE(query({CarteirasAtivos;CarteirasAtivosEncerrados},""select Col5 where Col5 is not null and Col1 = '""&amp;$A13&amp;""' and Col10='SIM'""))*AU13))"),"")</f>
        <v/>
      </c>
      <c r="BD13" s="1448" t="str">
        <f>IF(A13="","",IF(NOT('config.parâmetros'!$M$8),IF(int(J13)=J13,TEXT(J13,"###,##0"),TEXT(J13,"###,##0.#######")),IF(int(J13)=J13,TEXT(J13,"###,##0"),TEXT(J13,"###,##0.#######"))&amp;"
("&amp;T13&amp;")"))</f>
        <v/>
      </c>
      <c r="BE13" s="1442" t="str">
        <f t="shared" si="7"/>
        <v/>
      </c>
      <c r="BF13" s="1447" t="str">
        <f t="shared" si="8"/>
        <v/>
      </c>
      <c r="BG13" s="1449" t="str">
        <f t="shared" si="9"/>
        <v/>
      </c>
      <c r="BH13" s="1447" t="str">
        <f t="shared" si="10"/>
        <v/>
      </c>
      <c r="BI13" s="1447" t="str">
        <f t="shared" si="11"/>
        <v/>
      </c>
      <c r="BJ13" s="1449" t="str">
        <f t="shared" si="12"/>
        <v/>
      </c>
      <c r="BK13" s="1447" t="str">
        <f t="shared" si="13"/>
        <v/>
      </c>
      <c r="BL13" s="1447" t="str">
        <f t="shared" si="14"/>
        <v/>
      </c>
      <c r="BM13" s="1449" t="str">
        <f t="shared" si="15"/>
        <v/>
      </c>
      <c r="BN13" s="1447" t="str">
        <f t="shared" si="16"/>
        <v/>
      </c>
      <c r="BO13" s="1447" t="str">
        <f t="shared" si="17"/>
        <v/>
      </c>
      <c r="BP13" s="1448" t="str">
        <f t="shared" si="18"/>
        <v/>
      </c>
    </row>
    <row r="14">
      <c r="A14" s="1422"/>
      <c r="B14" s="1423"/>
      <c r="C14" s="1423"/>
      <c r="D14" s="1422"/>
      <c r="E14" s="1422"/>
      <c r="F14" s="1422"/>
      <c r="G14" s="1424"/>
      <c r="H14" s="1424"/>
      <c r="I14" s="1450"/>
      <c r="J14" s="1426"/>
      <c r="K14" s="1427"/>
      <c r="L14" s="1428"/>
      <c r="M14" s="1428"/>
      <c r="N14" s="1429"/>
      <c r="O14" s="1429"/>
      <c r="P14" s="1430"/>
      <c r="Q14" s="1430"/>
      <c r="R14" s="1431"/>
      <c r="S14" s="1432"/>
      <c r="T14" s="1433"/>
      <c r="U14" s="1422"/>
      <c r="V14" s="1422"/>
      <c r="W14" s="1422"/>
      <c r="X14" s="1422"/>
      <c r="Y14" s="1422"/>
      <c r="Z14" s="1422"/>
      <c r="AA14" s="1422"/>
      <c r="AB14" s="1422"/>
      <c r="AC14" s="1422"/>
      <c r="AD14" s="1422"/>
      <c r="AE14" s="1422"/>
      <c r="AF14" s="1422"/>
      <c r="AG14" s="1422"/>
      <c r="AH14" s="1422"/>
      <c r="AI14" s="1422"/>
      <c r="AJ14" s="1422"/>
      <c r="AK14" s="1434"/>
      <c r="AL14" s="1435"/>
      <c r="AM14" s="1436" t="str">
        <f>IF(NOT($J14),"",IFERROR(VLOOKUP(A14,ativos.!$C$3:$W303,MATCH("cotacao",ativos.!$C$2:BP$2,0),FALSE),P14*AU14))</f>
        <v/>
      </c>
      <c r="AN14" s="1437" t="str">
        <f t="shared" si="1"/>
        <v/>
      </c>
      <c r="AO14" s="1438" t="str">
        <f t="shared" si="2"/>
        <v/>
      </c>
      <c r="AP14" s="1439" t="str">
        <f t="shared" si="3"/>
        <v/>
      </c>
      <c r="AQ14" s="1440" t="str">
        <f t="shared" si="4"/>
        <v/>
      </c>
      <c r="AR14" s="1441" t="str">
        <f t="shared" si="5"/>
        <v/>
      </c>
      <c r="AS14" s="1442" t="str">
        <f>IF(NOT(J14),"",IFERROR(VLOOKUP(A14,ativos.!$C$3:$W303,MATCH("variacaopct_dias",ativos.!$C$2:BP$2,0),FALSE),""))</f>
        <v/>
      </c>
      <c r="AT14" s="1443"/>
      <c r="AU14" s="1444" t="str">
        <f>IF(NOT($J14),"",IFERROR(VLOOKUP(A14,ativos.!$C$3:$S303,MATCH("fator_fx",ativos.!$C$2:BP$2,0),FALSE),0))</f>
        <v/>
      </c>
      <c r="AV14" s="1442" t="str">
        <f>IF(NOT($J14),"",IFERROR(VLOOKUP(A14,ativos.!$C$3:$W303,MATCH("variacaopct",ativos.!$C$2:BP$2,0),FALSE)/100,R14))</f>
        <v/>
      </c>
      <c r="AW14" s="1445" t="str">
        <f>IFERROR(__xludf.DUMMYFUNCTION("IF(NOT($J14),"""",IF(S14='config.parâmetros'!$B$8,0,IFERROR(AU14/INDEX(SORT(GOOGLEFINANCE(S14&amp;'config.parâmetros'!$B$8,""price"",TODAY()-3,TODAY(),1),1,0),2,2)-1,0)))"),"")</f>
        <v/>
      </c>
      <c r="AX14" s="1446" t="str">
        <f>IFERROR(__xludf.DUMMYFUNCTION("IF(NOT(J14),"""",IF('config.parâmetros'!$M$8,SUM(IFERROR(filter(proventos!Q$5:Q303,proventos!L$5:L303=B14,proventos!C$5:C303&gt;=DATEVALUE(I14),proventos!R$5:R303=T14),0)),SUM(IFERROR(filter(proventos!Q$5:Q303,proventos!L$5:L303=B14,proventos!C$5:C303&gt;=DATEV"&amp;"ALUE(I14)),0))))"),"")</f>
        <v/>
      </c>
      <c r="AY14" s="1446">
        <f t="shared" si="6"/>
        <v>0</v>
      </c>
      <c r="AZ14" s="1446" t="str">
        <f>IFERROR(__xludf.DUMMYFUNCTION("IF(NOT(J14),"""",IF('config.parâmetros'!$M$8,SUM(IFERROR(filter(op.normal!P$5:P303,op.normal!N$5:N303=B14,op.normal!C$5:C303&gt;=DATEVALUE(I14),op.normal!AC$5:AC303=T14),0)),SUM(IFERROR(filter(op.normal!P$5:P303,op.normal!N$5:N303=B14,op.normal!C$5:C303&gt;=DAT"&amp;"EVALUE(I14)),0))))"),"")</f>
        <v/>
      </c>
      <c r="BA14" s="1447" t="str">
        <f>IFERROR(__xludf.DUMMYFUNCTION("IF(A14="""","""",IFERROR(query({CarteirasAtivos},""Select Col3 where Col1 ='""&amp;A14&amp;""' limit 1""))) "),"")</f>
        <v/>
      </c>
      <c r="BB14" s="1447" t="str">
        <f>IFERROR(__xludf.DUMMYFUNCTION("IF(A14="""","""",SUMPRODUCT(IF(IFERROR(MATCH(query({CarteirasAtivos},""Select Col2 where Col1 = '""&amp;A14&amp;""'""),CarteirasListaCriadasComTotal,0)),1,0)))"),"")</f>
        <v/>
      </c>
      <c r="BC14" s="1446" t="str">
        <f>IFERROR(__xludf.DUMMYFUNCTION("IF($A14="""","""",IFERROR(AVERAGE(query({CarteirasAtivos;CarteirasAtivosEncerrados},""select Col5 where Col5 is not null and Col1 = '""&amp;$A14&amp;""' and Col10='SIM'""))*AU14))"),"")</f>
        <v/>
      </c>
      <c r="BD14" s="1448" t="str">
        <f>IF(A14="","",IF(NOT('config.parâmetros'!$M$8),IF(int(J14)=J14,TEXT(J14,"###,##0"),TEXT(J14,"###,##0.#######")),IF(int(J14)=J14,TEXT(J14,"###,##0"),TEXT(J14,"###,##0.#######"))&amp;"
("&amp;T14&amp;")"))</f>
        <v/>
      </c>
      <c r="BE14" s="1442" t="str">
        <f t="shared" si="7"/>
        <v/>
      </c>
      <c r="BF14" s="1447" t="str">
        <f t="shared" si="8"/>
        <v/>
      </c>
      <c r="BG14" s="1449" t="str">
        <f t="shared" si="9"/>
        <v/>
      </c>
      <c r="BH14" s="1447" t="str">
        <f t="shared" si="10"/>
        <v/>
      </c>
      <c r="BI14" s="1447" t="str">
        <f t="shared" si="11"/>
        <v/>
      </c>
      <c r="BJ14" s="1449" t="str">
        <f t="shared" si="12"/>
        <v/>
      </c>
      <c r="BK14" s="1447" t="str">
        <f t="shared" si="13"/>
        <v/>
      </c>
      <c r="BL14" s="1447" t="str">
        <f t="shared" si="14"/>
        <v/>
      </c>
      <c r="BM14" s="1449" t="str">
        <f t="shared" si="15"/>
        <v/>
      </c>
      <c r="BN14" s="1447" t="str">
        <f t="shared" si="16"/>
        <v/>
      </c>
      <c r="BO14" s="1447" t="str">
        <f t="shared" si="17"/>
        <v/>
      </c>
      <c r="BP14" s="1448" t="str">
        <f t="shared" si="18"/>
        <v/>
      </c>
    </row>
    <row r="15">
      <c r="A15" s="1422"/>
      <c r="B15" s="1423"/>
      <c r="C15" s="1423"/>
      <c r="D15" s="1422"/>
      <c r="E15" s="1422"/>
      <c r="F15" s="1422"/>
      <c r="G15" s="1424"/>
      <c r="H15" s="1424"/>
      <c r="I15" s="1450"/>
      <c r="J15" s="1426"/>
      <c r="K15" s="1427"/>
      <c r="L15" s="1428"/>
      <c r="M15" s="1428"/>
      <c r="N15" s="1429"/>
      <c r="O15" s="1429"/>
      <c r="P15" s="1430"/>
      <c r="Q15" s="1430"/>
      <c r="R15" s="1431"/>
      <c r="S15" s="1432"/>
      <c r="T15" s="1433"/>
      <c r="U15" s="1422"/>
      <c r="V15" s="1422"/>
      <c r="W15" s="1422"/>
      <c r="X15" s="1422"/>
      <c r="Y15" s="1422"/>
      <c r="Z15" s="1422"/>
      <c r="AA15" s="1422"/>
      <c r="AB15" s="1422"/>
      <c r="AC15" s="1422"/>
      <c r="AD15" s="1422"/>
      <c r="AE15" s="1422"/>
      <c r="AF15" s="1422"/>
      <c r="AG15" s="1422"/>
      <c r="AH15" s="1422"/>
      <c r="AI15" s="1422"/>
      <c r="AJ15" s="1422"/>
      <c r="AK15" s="1434"/>
      <c r="AL15" s="1435"/>
      <c r="AM15" s="1436" t="str">
        <f>IF(NOT($J15),"",IFERROR(VLOOKUP(A15,ativos.!$C$3:$W303,MATCH("cotacao",ativos.!$C$2:BP$2,0),FALSE),P15*AU15))</f>
        <v/>
      </c>
      <c r="AN15" s="1437" t="str">
        <f t="shared" si="1"/>
        <v/>
      </c>
      <c r="AO15" s="1438" t="str">
        <f t="shared" si="2"/>
        <v/>
      </c>
      <c r="AP15" s="1439" t="str">
        <f t="shared" si="3"/>
        <v/>
      </c>
      <c r="AQ15" s="1440" t="str">
        <f t="shared" si="4"/>
        <v/>
      </c>
      <c r="AR15" s="1441" t="str">
        <f t="shared" si="5"/>
        <v/>
      </c>
      <c r="AS15" s="1442" t="str">
        <f>IF(NOT(J15),"",IFERROR(VLOOKUP(A15,ativos.!$C$3:$W303,MATCH("variacaopct_dias",ativos.!$C$2:BP$2,0),FALSE),""))</f>
        <v/>
      </c>
      <c r="AT15" s="1443"/>
      <c r="AU15" s="1444" t="str">
        <f>IF(NOT($J15),"",IFERROR(VLOOKUP(A15,ativos.!$C$3:$S303,MATCH("fator_fx",ativos.!$C$2:BP$2,0),FALSE),0))</f>
        <v/>
      </c>
      <c r="AV15" s="1442" t="str">
        <f>IF(NOT($J15),"",IFERROR(VLOOKUP(A15,ativos.!$C$3:$W303,MATCH("variacaopct",ativos.!$C$2:BP$2,0),FALSE)/100,R15))</f>
        <v/>
      </c>
      <c r="AW15" s="1445" t="str">
        <f>IFERROR(__xludf.DUMMYFUNCTION("IF(NOT($J15),"""",IF(S15='config.parâmetros'!$B$8,0,IFERROR(AU15/INDEX(SORT(GOOGLEFINANCE(S15&amp;'config.parâmetros'!$B$8,""price"",TODAY()-3,TODAY(),1),1,0),2,2)-1,0)))"),"")</f>
        <v/>
      </c>
      <c r="AX15" s="1446" t="str">
        <f>IFERROR(__xludf.DUMMYFUNCTION("IF(NOT(J15),"""",IF('config.parâmetros'!$M$8,SUM(IFERROR(filter(proventos!Q$5:Q303,proventos!L$5:L303=B15,proventos!C$5:C303&gt;=DATEVALUE(I15),proventos!R$5:R303=T15),0)),SUM(IFERROR(filter(proventos!Q$5:Q303,proventos!L$5:L303=B15,proventos!C$5:C303&gt;=DATEV"&amp;"ALUE(I15)),0))))"),"")</f>
        <v/>
      </c>
      <c r="AY15" s="1446">
        <f t="shared" si="6"/>
        <v>0</v>
      </c>
      <c r="AZ15" s="1446" t="str">
        <f>IFERROR(__xludf.DUMMYFUNCTION("IF(NOT(J15),"""",IF('config.parâmetros'!$M$8,SUM(IFERROR(filter(op.normal!P$5:P303,op.normal!N$5:N303=B15,op.normal!C$5:C303&gt;=DATEVALUE(I15),op.normal!AC$5:AC303=T15),0)),SUM(IFERROR(filter(op.normal!P$5:P303,op.normal!N$5:N303=B15,op.normal!C$5:C303&gt;=DAT"&amp;"EVALUE(I15)),0))))"),"")</f>
        <v/>
      </c>
      <c r="BA15" s="1447" t="str">
        <f>IFERROR(__xludf.DUMMYFUNCTION("IF(A15="""","""",IFERROR(query({CarteirasAtivos},""Select Col3 where Col1 ='""&amp;A15&amp;""' limit 1""))) "),"")</f>
        <v/>
      </c>
      <c r="BB15" s="1447" t="str">
        <f>IFERROR(__xludf.DUMMYFUNCTION("IF(A15="""","""",SUMPRODUCT(IF(IFERROR(MATCH(query({CarteirasAtivos},""Select Col2 where Col1 = '""&amp;A15&amp;""'""),CarteirasListaCriadasComTotal,0)),1,0)))"),"")</f>
        <v/>
      </c>
      <c r="BC15" s="1446" t="str">
        <f>IFERROR(__xludf.DUMMYFUNCTION("IF($A15="""","""",IFERROR(AVERAGE(query({CarteirasAtivos;CarteirasAtivosEncerrados},""select Col5 where Col5 is not null and Col1 = '""&amp;$A15&amp;""' and Col10='SIM'""))*AU15))"),"")</f>
        <v/>
      </c>
      <c r="BD15" s="1448" t="str">
        <f>IF(A15="","",IF(NOT('config.parâmetros'!$M$8),IF(int(J15)=J15,TEXT(J15,"###,##0"),TEXT(J15,"###,##0.#######")),IF(int(J15)=J15,TEXT(J15,"###,##0"),TEXT(J15,"###,##0.#######"))&amp;"
("&amp;T15&amp;")"))</f>
        <v/>
      </c>
      <c r="BE15" s="1442" t="str">
        <f t="shared" si="7"/>
        <v/>
      </c>
      <c r="BF15" s="1447" t="str">
        <f t="shared" si="8"/>
        <v/>
      </c>
      <c r="BG15" s="1449" t="str">
        <f t="shared" si="9"/>
        <v/>
      </c>
      <c r="BH15" s="1447" t="str">
        <f t="shared" si="10"/>
        <v/>
      </c>
      <c r="BI15" s="1447" t="str">
        <f t="shared" si="11"/>
        <v/>
      </c>
      <c r="BJ15" s="1449" t="str">
        <f t="shared" si="12"/>
        <v/>
      </c>
      <c r="BK15" s="1447" t="str">
        <f t="shared" si="13"/>
        <v/>
      </c>
      <c r="BL15" s="1447" t="str">
        <f t="shared" si="14"/>
        <v/>
      </c>
      <c r="BM15" s="1449" t="str">
        <f t="shared" si="15"/>
        <v/>
      </c>
      <c r="BN15" s="1447" t="str">
        <f t="shared" si="16"/>
        <v/>
      </c>
      <c r="BO15" s="1447" t="str">
        <f t="shared" si="17"/>
        <v/>
      </c>
      <c r="BP15" s="1448" t="str">
        <f t="shared" si="18"/>
        <v/>
      </c>
    </row>
    <row r="16">
      <c r="A16" s="1422"/>
      <c r="B16" s="1423"/>
      <c r="C16" s="1423"/>
      <c r="D16" s="1422"/>
      <c r="E16" s="1422"/>
      <c r="F16" s="1422"/>
      <c r="G16" s="1424"/>
      <c r="H16" s="1424"/>
      <c r="I16" s="1450"/>
      <c r="J16" s="1426"/>
      <c r="K16" s="1427"/>
      <c r="L16" s="1428"/>
      <c r="M16" s="1428"/>
      <c r="N16" s="1429"/>
      <c r="O16" s="1429"/>
      <c r="P16" s="1430"/>
      <c r="Q16" s="1430"/>
      <c r="R16" s="1431"/>
      <c r="S16" s="1432"/>
      <c r="T16" s="1433"/>
      <c r="U16" s="1422"/>
      <c r="V16" s="1422"/>
      <c r="W16" s="1422"/>
      <c r="X16" s="1422"/>
      <c r="Y16" s="1422"/>
      <c r="Z16" s="1422"/>
      <c r="AA16" s="1422"/>
      <c r="AB16" s="1422"/>
      <c r="AC16" s="1422"/>
      <c r="AD16" s="1422"/>
      <c r="AE16" s="1422"/>
      <c r="AF16" s="1422"/>
      <c r="AG16" s="1422"/>
      <c r="AH16" s="1422"/>
      <c r="AI16" s="1422"/>
      <c r="AJ16" s="1422"/>
      <c r="AK16" s="1434"/>
      <c r="AL16" s="1435"/>
      <c r="AM16" s="1436" t="str">
        <f>IF(NOT($J16),"",IFERROR(VLOOKUP(A16,ativos.!$C$3:$W303,MATCH("cotacao",ativos.!$C$2:BP$2,0),FALSE),P16*AU16))</f>
        <v/>
      </c>
      <c r="AN16" s="1437" t="str">
        <f t="shared" si="1"/>
        <v/>
      </c>
      <c r="AO16" s="1438" t="str">
        <f t="shared" si="2"/>
        <v/>
      </c>
      <c r="AP16" s="1439" t="str">
        <f t="shared" si="3"/>
        <v/>
      </c>
      <c r="AQ16" s="1440" t="str">
        <f t="shared" si="4"/>
        <v/>
      </c>
      <c r="AR16" s="1441" t="str">
        <f t="shared" si="5"/>
        <v/>
      </c>
      <c r="AS16" s="1442" t="str">
        <f>IF(NOT(J16),"",IFERROR(VLOOKUP(A16,ativos.!$C$3:$W303,MATCH("variacaopct_dias",ativos.!$C$2:BP$2,0),FALSE),""))</f>
        <v/>
      </c>
      <c r="AT16" s="1443"/>
      <c r="AU16" s="1444" t="str">
        <f>IF(NOT($J16),"",IFERROR(VLOOKUP(A16,ativos.!$C$3:$S303,MATCH("fator_fx",ativos.!$C$2:BP$2,0),FALSE),0))</f>
        <v/>
      </c>
      <c r="AV16" s="1442" t="str">
        <f>IF(NOT($J16),"",IFERROR(VLOOKUP(A16,ativos.!$C$3:$W303,MATCH("variacaopct",ativos.!$C$2:BP$2,0),FALSE)/100,R16))</f>
        <v/>
      </c>
      <c r="AW16" s="1445" t="str">
        <f>IFERROR(__xludf.DUMMYFUNCTION("IF(NOT($J16),"""",IF(S16='config.parâmetros'!$B$8,0,IFERROR(AU16/INDEX(SORT(GOOGLEFINANCE(S16&amp;'config.parâmetros'!$B$8,""price"",TODAY()-3,TODAY(),1),1,0),2,2)-1,0)))"),"")</f>
        <v/>
      </c>
      <c r="AX16" s="1446" t="str">
        <f>IFERROR(__xludf.DUMMYFUNCTION("IF(NOT(J16),"""",IF('config.parâmetros'!$M$8,SUM(IFERROR(filter(proventos!Q$5:Q303,proventos!L$5:L303=B16,proventos!C$5:C303&gt;=DATEVALUE(I16),proventos!R$5:R303=T16),0)),SUM(IFERROR(filter(proventos!Q$5:Q303,proventos!L$5:L303=B16,proventos!C$5:C303&gt;=DATEV"&amp;"ALUE(I16)),0))))"),"")</f>
        <v/>
      </c>
      <c r="AY16" s="1446">
        <f t="shared" si="6"/>
        <v>0</v>
      </c>
      <c r="AZ16" s="1446" t="str">
        <f>IFERROR(__xludf.DUMMYFUNCTION("IF(NOT(J16),"""",IF('config.parâmetros'!$M$8,SUM(IFERROR(filter(op.normal!P$5:P303,op.normal!N$5:N303=B16,op.normal!C$5:C303&gt;=DATEVALUE(I16),op.normal!AC$5:AC303=T16),0)),SUM(IFERROR(filter(op.normal!P$5:P303,op.normal!N$5:N303=B16,op.normal!C$5:C303&gt;=DAT"&amp;"EVALUE(I16)),0))))"),"")</f>
        <v/>
      </c>
      <c r="BA16" s="1447" t="str">
        <f>IFERROR(__xludf.DUMMYFUNCTION("IF(A16="""","""",IFERROR(query({CarteirasAtivos},""Select Col3 where Col1 ='""&amp;A16&amp;""' limit 1""))) "),"")</f>
        <v/>
      </c>
      <c r="BB16" s="1447" t="str">
        <f>IFERROR(__xludf.DUMMYFUNCTION("IF(A16="""","""",SUMPRODUCT(IF(IFERROR(MATCH(query({CarteirasAtivos},""Select Col2 where Col1 = '""&amp;A16&amp;""'""),CarteirasListaCriadasComTotal,0)),1,0)))"),"")</f>
        <v/>
      </c>
      <c r="BC16" s="1446" t="str">
        <f>IFERROR(__xludf.DUMMYFUNCTION("IF($A16="""","""",IFERROR(AVERAGE(query({CarteirasAtivos;CarteirasAtivosEncerrados},""select Col5 where Col5 is not null and Col1 = '""&amp;$A16&amp;""' and Col10='SIM'""))*AU16))"),"")</f>
        <v/>
      </c>
      <c r="BD16" s="1448" t="str">
        <f>IF(A16="","",IF(NOT('config.parâmetros'!$M$8),IF(int(J16)=J16,TEXT(J16,"###,##0"),TEXT(J16,"###,##0.#######")),IF(int(J16)=J16,TEXT(J16,"###,##0"),TEXT(J16,"###,##0.#######"))&amp;"
("&amp;T16&amp;")"))</f>
        <v/>
      </c>
      <c r="BE16" s="1442" t="str">
        <f t="shared" si="7"/>
        <v/>
      </c>
      <c r="BF16" s="1447" t="str">
        <f t="shared" si="8"/>
        <v/>
      </c>
      <c r="BG16" s="1449" t="str">
        <f t="shared" si="9"/>
        <v/>
      </c>
      <c r="BH16" s="1447" t="str">
        <f t="shared" si="10"/>
        <v/>
      </c>
      <c r="BI16" s="1447" t="str">
        <f t="shared" si="11"/>
        <v/>
      </c>
      <c r="BJ16" s="1449" t="str">
        <f t="shared" si="12"/>
        <v/>
      </c>
      <c r="BK16" s="1447" t="str">
        <f t="shared" si="13"/>
        <v/>
      </c>
      <c r="BL16" s="1447" t="str">
        <f t="shared" si="14"/>
        <v/>
      </c>
      <c r="BM16" s="1449" t="str">
        <f t="shared" si="15"/>
        <v/>
      </c>
      <c r="BN16" s="1447" t="str">
        <f t="shared" si="16"/>
        <v/>
      </c>
      <c r="BO16" s="1447" t="str">
        <f t="shared" si="17"/>
        <v/>
      </c>
      <c r="BP16" s="1448" t="str">
        <f t="shared" si="18"/>
        <v/>
      </c>
    </row>
    <row r="17">
      <c r="A17" s="1422"/>
      <c r="B17" s="1423"/>
      <c r="C17" s="1423"/>
      <c r="D17" s="1422"/>
      <c r="E17" s="1422"/>
      <c r="F17" s="1422"/>
      <c r="G17" s="1424"/>
      <c r="H17" s="1424"/>
      <c r="I17" s="1450"/>
      <c r="J17" s="1426"/>
      <c r="K17" s="1427"/>
      <c r="L17" s="1428"/>
      <c r="M17" s="1428"/>
      <c r="N17" s="1429"/>
      <c r="O17" s="1429"/>
      <c r="P17" s="1430"/>
      <c r="Q17" s="1430"/>
      <c r="R17" s="1431"/>
      <c r="S17" s="1432"/>
      <c r="T17" s="1433"/>
      <c r="U17" s="1422"/>
      <c r="V17" s="1422"/>
      <c r="W17" s="1422"/>
      <c r="X17" s="1422"/>
      <c r="Y17" s="1422"/>
      <c r="Z17" s="1422"/>
      <c r="AA17" s="1422"/>
      <c r="AB17" s="1422"/>
      <c r="AC17" s="1422"/>
      <c r="AD17" s="1422"/>
      <c r="AE17" s="1422"/>
      <c r="AF17" s="1422"/>
      <c r="AG17" s="1422"/>
      <c r="AH17" s="1422"/>
      <c r="AI17" s="1422"/>
      <c r="AJ17" s="1422"/>
      <c r="AK17" s="1434"/>
      <c r="AL17" s="1435"/>
      <c r="AM17" s="1436" t="str">
        <f>IF(NOT($J17),"",IFERROR(VLOOKUP(A17,ativos.!$C$3:$W303,MATCH("cotacao",ativos.!$C$2:BP$2,0),FALSE),P17*AU17))</f>
        <v/>
      </c>
      <c r="AN17" s="1437" t="str">
        <f t="shared" si="1"/>
        <v/>
      </c>
      <c r="AO17" s="1438" t="str">
        <f t="shared" si="2"/>
        <v/>
      </c>
      <c r="AP17" s="1439" t="str">
        <f t="shared" si="3"/>
        <v/>
      </c>
      <c r="AQ17" s="1440" t="str">
        <f t="shared" si="4"/>
        <v/>
      </c>
      <c r="AR17" s="1441" t="str">
        <f t="shared" si="5"/>
        <v/>
      </c>
      <c r="AS17" s="1442" t="str">
        <f>IF(NOT(J17),"",IFERROR(VLOOKUP(A17,ativos.!$C$3:$W303,MATCH("variacaopct_dias",ativos.!$C$2:BP$2,0),FALSE),""))</f>
        <v/>
      </c>
      <c r="AT17" s="1443"/>
      <c r="AU17" s="1444" t="str">
        <f>IF(NOT($J17),"",IFERROR(VLOOKUP(A17,ativos.!$C$3:$S303,MATCH("fator_fx",ativos.!$C$2:BP$2,0),FALSE),0))</f>
        <v/>
      </c>
      <c r="AV17" s="1442" t="str">
        <f>IF(NOT($J17),"",IFERROR(VLOOKUP(A17,ativos.!$C$3:$W303,MATCH("variacaopct",ativos.!$C$2:BP$2,0),FALSE)/100,R17))</f>
        <v/>
      </c>
      <c r="AW17" s="1445" t="str">
        <f>IFERROR(__xludf.DUMMYFUNCTION("IF(NOT($J17),"""",IF(S17='config.parâmetros'!$B$8,0,IFERROR(AU17/INDEX(SORT(GOOGLEFINANCE(S17&amp;'config.parâmetros'!$B$8,""price"",TODAY()-3,TODAY(),1),1,0),2,2)-1,0)))"),"")</f>
        <v/>
      </c>
      <c r="AX17" s="1446" t="str">
        <f>IFERROR(__xludf.DUMMYFUNCTION("IF(NOT(J17),"""",IF('config.parâmetros'!$M$8,SUM(IFERROR(filter(proventos!Q$5:Q303,proventos!L$5:L303=B17,proventos!C$5:C303&gt;=DATEVALUE(I17),proventos!R$5:R303=T17),0)),SUM(IFERROR(filter(proventos!Q$5:Q303,proventos!L$5:L303=B17,proventos!C$5:C303&gt;=DATEV"&amp;"ALUE(I17)),0))))"),"")</f>
        <v/>
      </c>
      <c r="AY17" s="1446">
        <f t="shared" si="6"/>
        <v>0</v>
      </c>
      <c r="AZ17" s="1446" t="str">
        <f>IFERROR(__xludf.DUMMYFUNCTION("IF(NOT(J17),"""",IF('config.parâmetros'!$M$8,SUM(IFERROR(filter(op.normal!P$5:P303,op.normal!N$5:N303=B17,op.normal!C$5:C303&gt;=DATEVALUE(I17),op.normal!AC$5:AC303=T17),0)),SUM(IFERROR(filter(op.normal!P$5:P303,op.normal!N$5:N303=B17,op.normal!C$5:C303&gt;=DAT"&amp;"EVALUE(I17)),0))))"),"")</f>
        <v/>
      </c>
      <c r="BA17" s="1447" t="str">
        <f>IFERROR(__xludf.DUMMYFUNCTION("IF(A17="""","""",IFERROR(query({CarteirasAtivos},""Select Col3 where Col1 ='""&amp;A17&amp;""' limit 1""))) "),"")</f>
        <v/>
      </c>
      <c r="BB17" s="1447" t="str">
        <f>IFERROR(__xludf.DUMMYFUNCTION("IF(A17="""","""",SUMPRODUCT(IF(IFERROR(MATCH(query({CarteirasAtivos},""Select Col2 where Col1 = '""&amp;A17&amp;""'""),CarteirasListaCriadasComTotal,0)),1,0)))"),"")</f>
        <v/>
      </c>
      <c r="BC17" s="1446" t="str">
        <f>IFERROR(__xludf.DUMMYFUNCTION("IF($A17="""","""",IFERROR(AVERAGE(query({CarteirasAtivos;CarteirasAtivosEncerrados},""select Col5 where Col5 is not null and Col1 = '""&amp;$A17&amp;""' and Col10='SIM'""))*AU17))"),"")</f>
        <v/>
      </c>
      <c r="BD17" s="1448" t="str">
        <f>IF(A17="","",IF(NOT('config.parâmetros'!$M$8),IF(int(J17)=J17,TEXT(J17,"###,##0"),TEXT(J17,"###,##0.#######")),IF(int(J17)=J17,TEXT(J17,"###,##0"),TEXT(J17,"###,##0.#######"))&amp;"
("&amp;T17&amp;")"))</f>
        <v/>
      </c>
      <c r="BE17" s="1442" t="str">
        <f t="shared" si="7"/>
        <v/>
      </c>
      <c r="BF17" s="1447" t="str">
        <f t="shared" si="8"/>
        <v/>
      </c>
      <c r="BG17" s="1449" t="str">
        <f t="shared" si="9"/>
        <v/>
      </c>
      <c r="BH17" s="1447" t="str">
        <f t="shared" si="10"/>
        <v/>
      </c>
      <c r="BI17" s="1447" t="str">
        <f t="shared" si="11"/>
        <v/>
      </c>
      <c r="BJ17" s="1449" t="str">
        <f t="shared" si="12"/>
        <v/>
      </c>
      <c r="BK17" s="1447" t="str">
        <f t="shared" si="13"/>
        <v/>
      </c>
      <c r="BL17" s="1447" t="str">
        <f t="shared" si="14"/>
        <v/>
      </c>
      <c r="BM17" s="1449" t="str">
        <f t="shared" si="15"/>
        <v/>
      </c>
      <c r="BN17" s="1447" t="str">
        <f t="shared" si="16"/>
        <v/>
      </c>
      <c r="BO17" s="1447" t="str">
        <f t="shared" si="17"/>
        <v/>
      </c>
      <c r="BP17" s="1448" t="str">
        <f t="shared" si="18"/>
        <v/>
      </c>
    </row>
    <row r="18">
      <c r="A18" s="1422"/>
      <c r="B18" s="1423"/>
      <c r="C18" s="1423"/>
      <c r="D18" s="1422"/>
      <c r="E18" s="1422"/>
      <c r="F18" s="1422"/>
      <c r="G18" s="1424"/>
      <c r="H18" s="1424"/>
      <c r="I18" s="1450"/>
      <c r="J18" s="1426"/>
      <c r="K18" s="1427"/>
      <c r="L18" s="1428"/>
      <c r="M18" s="1428"/>
      <c r="N18" s="1429"/>
      <c r="O18" s="1429"/>
      <c r="P18" s="1430"/>
      <c r="Q18" s="1430"/>
      <c r="R18" s="1431"/>
      <c r="S18" s="1432"/>
      <c r="T18" s="1433"/>
      <c r="U18" s="1422"/>
      <c r="V18" s="1422"/>
      <c r="W18" s="1422"/>
      <c r="X18" s="1422"/>
      <c r="Y18" s="1422"/>
      <c r="Z18" s="1422"/>
      <c r="AA18" s="1422"/>
      <c r="AB18" s="1422"/>
      <c r="AC18" s="1422"/>
      <c r="AD18" s="1422"/>
      <c r="AE18" s="1422"/>
      <c r="AF18" s="1422"/>
      <c r="AG18" s="1422"/>
      <c r="AH18" s="1422"/>
      <c r="AI18" s="1422"/>
      <c r="AJ18" s="1422"/>
      <c r="AK18" s="1434"/>
      <c r="AL18" s="1435"/>
      <c r="AM18" s="1436" t="str">
        <f>IF(NOT($J18),"",IFERROR(VLOOKUP(A18,ativos.!$C$3:$W303,MATCH("cotacao",ativos.!$C$2:BP$2,0),FALSE),P18*AU18))</f>
        <v/>
      </c>
      <c r="AN18" s="1437" t="str">
        <f t="shared" si="1"/>
        <v/>
      </c>
      <c r="AO18" s="1438" t="str">
        <f t="shared" si="2"/>
        <v/>
      </c>
      <c r="AP18" s="1439" t="str">
        <f t="shared" si="3"/>
        <v/>
      </c>
      <c r="AQ18" s="1440" t="str">
        <f t="shared" si="4"/>
        <v/>
      </c>
      <c r="AR18" s="1441" t="str">
        <f t="shared" si="5"/>
        <v/>
      </c>
      <c r="AS18" s="1442" t="str">
        <f>IF(NOT(J18),"",IFERROR(VLOOKUP(A18,ativos.!$C$3:$W303,MATCH("variacaopct_dias",ativos.!$C$2:BP$2,0),FALSE),""))</f>
        <v/>
      </c>
      <c r="AT18" s="1443"/>
      <c r="AU18" s="1444" t="str">
        <f>IF(NOT($J18),"",IFERROR(VLOOKUP(A18,ativos.!$C$3:$S303,MATCH("fator_fx",ativos.!$C$2:BP$2,0),FALSE),0))</f>
        <v/>
      </c>
      <c r="AV18" s="1442" t="str">
        <f>IF(NOT($J18),"",IFERROR(VLOOKUP(A18,ativos.!$C$3:$W303,MATCH("variacaopct",ativos.!$C$2:BP$2,0),FALSE)/100,R18))</f>
        <v/>
      </c>
      <c r="AW18" s="1445" t="str">
        <f>IFERROR(__xludf.DUMMYFUNCTION("IF(NOT($J18),"""",IF(S18='config.parâmetros'!$B$8,0,IFERROR(AU18/INDEX(SORT(GOOGLEFINANCE(S18&amp;'config.parâmetros'!$B$8,""price"",TODAY()-3,TODAY(),1),1,0),2,2)-1,0)))"),"")</f>
        <v/>
      </c>
      <c r="AX18" s="1446" t="str">
        <f>IFERROR(__xludf.DUMMYFUNCTION("IF(NOT(J18),"""",IF('config.parâmetros'!$M$8,SUM(IFERROR(filter(proventos!Q$5:Q303,proventos!L$5:L303=B18,proventos!C$5:C303&gt;=DATEVALUE(I18),proventos!R$5:R303=T18),0)),SUM(IFERROR(filter(proventos!Q$5:Q303,proventos!L$5:L303=B18,proventos!C$5:C303&gt;=DATEV"&amp;"ALUE(I18)),0))))"),"")</f>
        <v/>
      </c>
      <c r="AY18" s="1446">
        <f t="shared" si="6"/>
        <v>0</v>
      </c>
      <c r="AZ18" s="1446" t="str">
        <f>IFERROR(__xludf.DUMMYFUNCTION("IF(NOT(J18),"""",IF('config.parâmetros'!$M$8,SUM(IFERROR(filter(op.normal!P$5:P303,op.normal!N$5:N303=B18,op.normal!C$5:C303&gt;=DATEVALUE(I18),op.normal!AC$5:AC303=T18),0)),SUM(IFERROR(filter(op.normal!P$5:P303,op.normal!N$5:N303=B18,op.normal!C$5:C303&gt;=DAT"&amp;"EVALUE(I18)),0))))"),"")</f>
        <v/>
      </c>
      <c r="BA18" s="1447" t="str">
        <f>IFERROR(__xludf.DUMMYFUNCTION("IF(A18="""","""",IFERROR(query({CarteirasAtivos},""Select Col3 where Col1 ='""&amp;A18&amp;""' limit 1""))) "),"")</f>
        <v/>
      </c>
      <c r="BB18" s="1447" t="str">
        <f>IFERROR(__xludf.DUMMYFUNCTION("IF(A18="""","""",SUMPRODUCT(IF(IFERROR(MATCH(query({CarteirasAtivos},""Select Col2 where Col1 = '""&amp;A18&amp;""'""),CarteirasListaCriadasComTotal,0)),1,0)))"),"")</f>
        <v/>
      </c>
      <c r="BC18" s="1446" t="str">
        <f>IFERROR(__xludf.DUMMYFUNCTION("IF($A18="""","""",IFERROR(AVERAGE(query({CarteirasAtivos;CarteirasAtivosEncerrados},""select Col5 where Col5 is not null and Col1 = '""&amp;$A18&amp;""' and Col10='SIM'""))*AU18))"),"")</f>
        <v/>
      </c>
      <c r="BD18" s="1448" t="str">
        <f>IF(A18="","",IF(NOT('config.parâmetros'!$M$8),IF(int(J18)=J18,TEXT(J18,"###,##0"),TEXT(J18,"###,##0.#######")),IF(int(J18)=J18,TEXT(J18,"###,##0"),TEXT(J18,"###,##0.#######"))&amp;"
("&amp;T18&amp;")"))</f>
        <v/>
      </c>
      <c r="BE18" s="1442" t="str">
        <f t="shared" si="7"/>
        <v/>
      </c>
      <c r="BF18" s="1447" t="str">
        <f t="shared" si="8"/>
        <v/>
      </c>
      <c r="BG18" s="1449" t="str">
        <f t="shared" si="9"/>
        <v/>
      </c>
      <c r="BH18" s="1447" t="str">
        <f t="shared" si="10"/>
        <v/>
      </c>
      <c r="BI18" s="1447" t="str">
        <f t="shared" si="11"/>
        <v/>
      </c>
      <c r="BJ18" s="1449" t="str">
        <f t="shared" si="12"/>
        <v/>
      </c>
      <c r="BK18" s="1447" t="str">
        <f t="shared" si="13"/>
        <v/>
      </c>
      <c r="BL18" s="1447" t="str">
        <f t="shared" si="14"/>
        <v/>
      </c>
      <c r="BM18" s="1449" t="str">
        <f t="shared" si="15"/>
        <v/>
      </c>
      <c r="BN18" s="1447" t="str">
        <f t="shared" si="16"/>
        <v/>
      </c>
      <c r="BO18" s="1447" t="str">
        <f t="shared" si="17"/>
        <v/>
      </c>
      <c r="BP18" s="1448" t="str">
        <f t="shared" si="18"/>
        <v/>
      </c>
    </row>
    <row r="19">
      <c r="A19" s="1422"/>
      <c r="B19" s="1423"/>
      <c r="C19" s="1423"/>
      <c r="D19" s="1422"/>
      <c r="E19" s="1422"/>
      <c r="F19" s="1422"/>
      <c r="G19" s="1424"/>
      <c r="H19" s="1424"/>
      <c r="I19" s="1450"/>
      <c r="J19" s="1426"/>
      <c r="K19" s="1427"/>
      <c r="L19" s="1428"/>
      <c r="M19" s="1428"/>
      <c r="N19" s="1429"/>
      <c r="O19" s="1429"/>
      <c r="P19" s="1430"/>
      <c r="Q19" s="1430"/>
      <c r="R19" s="1431"/>
      <c r="S19" s="1432"/>
      <c r="T19" s="1433"/>
      <c r="U19" s="1422"/>
      <c r="V19" s="1422"/>
      <c r="W19" s="1422"/>
      <c r="X19" s="1422"/>
      <c r="Y19" s="1422"/>
      <c r="Z19" s="1422"/>
      <c r="AA19" s="1422"/>
      <c r="AB19" s="1422"/>
      <c r="AC19" s="1422"/>
      <c r="AD19" s="1422"/>
      <c r="AE19" s="1422"/>
      <c r="AF19" s="1422"/>
      <c r="AG19" s="1422"/>
      <c r="AH19" s="1422"/>
      <c r="AI19" s="1422"/>
      <c r="AJ19" s="1422"/>
      <c r="AK19" s="1434"/>
      <c r="AL19" s="1435"/>
      <c r="AM19" s="1436" t="str">
        <f>IF(NOT($J19),"",IFERROR(VLOOKUP(A19,ativos.!$C$3:$W303,MATCH("cotacao",ativos.!$C$2:BP$2,0),FALSE),P19*AU19))</f>
        <v/>
      </c>
      <c r="AN19" s="1437" t="str">
        <f t="shared" si="1"/>
        <v/>
      </c>
      <c r="AO19" s="1438" t="str">
        <f t="shared" si="2"/>
        <v/>
      </c>
      <c r="AP19" s="1439" t="str">
        <f t="shared" si="3"/>
        <v/>
      </c>
      <c r="AQ19" s="1440" t="str">
        <f t="shared" si="4"/>
        <v/>
      </c>
      <c r="AR19" s="1441" t="str">
        <f t="shared" si="5"/>
        <v/>
      </c>
      <c r="AS19" s="1442" t="str">
        <f>IF(NOT(J19),"",IFERROR(VLOOKUP(A19,ativos.!$C$3:$W303,MATCH("variacaopct_dias",ativos.!$C$2:BP$2,0),FALSE),""))</f>
        <v/>
      </c>
      <c r="AT19" s="1443"/>
      <c r="AU19" s="1444" t="str">
        <f>IF(NOT($J19),"",IFERROR(VLOOKUP(A19,ativos.!$C$3:$S303,MATCH("fator_fx",ativos.!$C$2:BP$2,0),FALSE),0))</f>
        <v/>
      </c>
      <c r="AV19" s="1442" t="str">
        <f>IF(NOT($J19),"",IFERROR(VLOOKUP(A19,ativos.!$C$3:$W303,MATCH("variacaopct",ativos.!$C$2:BP$2,0),FALSE)/100,R19))</f>
        <v/>
      </c>
      <c r="AW19" s="1445" t="str">
        <f>IFERROR(__xludf.DUMMYFUNCTION("IF(NOT($J19),"""",IF(S19='config.parâmetros'!$B$8,0,IFERROR(AU19/INDEX(SORT(GOOGLEFINANCE(S19&amp;'config.parâmetros'!$B$8,""price"",TODAY()-3,TODAY(),1),1,0),2,2)-1,0)))"),"")</f>
        <v/>
      </c>
      <c r="AX19" s="1446" t="str">
        <f>IFERROR(__xludf.DUMMYFUNCTION("IF(NOT(J19),"""",IF('config.parâmetros'!$M$8,SUM(IFERROR(filter(proventos!Q$5:Q303,proventos!L$5:L303=B19,proventos!C$5:C303&gt;=DATEVALUE(I19),proventos!R$5:R303=T19),0)),SUM(IFERROR(filter(proventos!Q$5:Q303,proventos!L$5:L303=B19,proventos!C$5:C303&gt;=DATEV"&amp;"ALUE(I19)),0))))"),"")</f>
        <v/>
      </c>
      <c r="AY19" s="1446">
        <f t="shared" si="6"/>
        <v>0</v>
      </c>
      <c r="AZ19" s="1446" t="str">
        <f>IFERROR(__xludf.DUMMYFUNCTION("IF(NOT(J19),"""",IF('config.parâmetros'!$M$8,SUM(IFERROR(filter(op.normal!P$5:P303,op.normal!N$5:N303=B19,op.normal!C$5:C303&gt;=DATEVALUE(I19),op.normal!AC$5:AC303=T19),0)),SUM(IFERROR(filter(op.normal!P$5:P303,op.normal!N$5:N303=B19,op.normal!C$5:C303&gt;=DAT"&amp;"EVALUE(I19)),0))))"),"")</f>
        <v/>
      </c>
      <c r="BA19" s="1447" t="str">
        <f>IFERROR(__xludf.DUMMYFUNCTION("IF(A19="""","""",IFERROR(query({CarteirasAtivos},""Select Col3 where Col1 ='""&amp;A19&amp;""' limit 1""))) "),"")</f>
        <v/>
      </c>
      <c r="BB19" s="1447" t="str">
        <f>IFERROR(__xludf.DUMMYFUNCTION("IF(A19="""","""",SUMPRODUCT(IF(IFERROR(MATCH(query({CarteirasAtivos},""Select Col2 where Col1 = '""&amp;A19&amp;""'""),CarteirasListaCriadasComTotal,0)),1,0)))"),"")</f>
        <v/>
      </c>
      <c r="BC19" s="1446" t="str">
        <f>IFERROR(__xludf.DUMMYFUNCTION("IF($A19="""","""",IFERROR(AVERAGE(query({CarteirasAtivos;CarteirasAtivosEncerrados},""select Col5 where Col5 is not null and Col1 = '""&amp;$A19&amp;""' and Col10='SIM'""))*AU19))"),"")</f>
        <v/>
      </c>
      <c r="BD19" s="1448" t="str">
        <f>IF(A19="","",IF(NOT('config.parâmetros'!$M$8),IF(int(J19)=J19,TEXT(J19,"###,##0"),TEXT(J19,"###,##0.#######")),IF(int(J19)=J19,TEXT(J19,"###,##0"),TEXT(J19,"###,##0.#######"))&amp;"
("&amp;T19&amp;")"))</f>
        <v/>
      </c>
      <c r="BE19" s="1442" t="str">
        <f t="shared" si="7"/>
        <v/>
      </c>
      <c r="BF19" s="1447" t="str">
        <f t="shared" si="8"/>
        <v/>
      </c>
      <c r="BG19" s="1449" t="str">
        <f t="shared" si="9"/>
        <v/>
      </c>
      <c r="BH19" s="1447" t="str">
        <f t="shared" si="10"/>
        <v/>
      </c>
      <c r="BI19" s="1447" t="str">
        <f t="shared" si="11"/>
        <v/>
      </c>
      <c r="BJ19" s="1449" t="str">
        <f t="shared" si="12"/>
        <v/>
      </c>
      <c r="BK19" s="1447" t="str">
        <f t="shared" si="13"/>
        <v/>
      </c>
      <c r="BL19" s="1447" t="str">
        <f t="shared" si="14"/>
        <v/>
      </c>
      <c r="BM19" s="1449" t="str">
        <f t="shared" si="15"/>
        <v/>
      </c>
      <c r="BN19" s="1447" t="str">
        <f t="shared" si="16"/>
        <v/>
      </c>
      <c r="BO19" s="1447" t="str">
        <f t="shared" si="17"/>
        <v/>
      </c>
      <c r="BP19" s="1448" t="str">
        <f t="shared" si="18"/>
        <v/>
      </c>
    </row>
    <row r="20">
      <c r="A20" s="1422"/>
      <c r="B20" s="1423"/>
      <c r="C20" s="1423"/>
      <c r="D20" s="1422"/>
      <c r="E20" s="1422"/>
      <c r="F20" s="1422"/>
      <c r="G20" s="1424"/>
      <c r="H20" s="1424"/>
      <c r="I20" s="1450"/>
      <c r="J20" s="1426"/>
      <c r="K20" s="1427"/>
      <c r="L20" s="1428"/>
      <c r="M20" s="1428"/>
      <c r="N20" s="1429"/>
      <c r="O20" s="1429"/>
      <c r="P20" s="1430"/>
      <c r="Q20" s="1430"/>
      <c r="R20" s="1431"/>
      <c r="S20" s="1432"/>
      <c r="T20" s="1433"/>
      <c r="U20" s="1422"/>
      <c r="V20" s="1422"/>
      <c r="W20" s="1422"/>
      <c r="X20" s="1422"/>
      <c r="Y20" s="1422"/>
      <c r="Z20" s="1422"/>
      <c r="AA20" s="1422"/>
      <c r="AB20" s="1422"/>
      <c r="AC20" s="1422"/>
      <c r="AD20" s="1422"/>
      <c r="AE20" s="1422"/>
      <c r="AF20" s="1422"/>
      <c r="AG20" s="1422"/>
      <c r="AH20" s="1422"/>
      <c r="AI20" s="1422"/>
      <c r="AJ20" s="1422"/>
      <c r="AK20" s="1434"/>
      <c r="AL20" s="1435"/>
      <c r="AM20" s="1436" t="str">
        <f>IF(NOT($J20),"",IFERROR(VLOOKUP(A20,ativos.!$C$3:$W303,MATCH("cotacao",ativos.!$C$2:BP$2,0),FALSE),P20*AU20))</f>
        <v/>
      </c>
      <c r="AN20" s="1437" t="str">
        <f t="shared" si="1"/>
        <v/>
      </c>
      <c r="AO20" s="1438" t="str">
        <f t="shared" si="2"/>
        <v/>
      </c>
      <c r="AP20" s="1439" t="str">
        <f t="shared" si="3"/>
        <v/>
      </c>
      <c r="AQ20" s="1440" t="str">
        <f t="shared" si="4"/>
        <v/>
      </c>
      <c r="AR20" s="1441" t="str">
        <f t="shared" si="5"/>
        <v/>
      </c>
      <c r="AS20" s="1442" t="str">
        <f>IF(NOT(J20),"",IFERROR(VLOOKUP(A20,ativos.!$C$3:$W303,MATCH("variacaopct_dias",ativos.!$C$2:BP$2,0),FALSE),""))</f>
        <v/>
      </c>
      <c r="AT20" s="1443"/>
      <c r="AU20" s="1444" t="str">
        <f>IF(NOT($J20),"",IFERROR(VLOOKUP(A20,ativos.!$C$3:$S303,MATCH("fator_fx",ativos.!$C$2:BP$2,0),FALSE),0))</f>
        <v/>
      </c>
      <c r="AV20" s="1442" t="str">
        <f>IF(NOT($J20),"",IFERROR(VLOOKUP(A20,ativos.!$C$3:$W303,MATCH("variacaopct",ativos.!$C$2:BP$2,0),FALSE)/100,R20))</f>
        <v/>
      </c>
      <c r="AW20" s="1445" t="str">
        <f>IFERROR(__xludf.DUMMYFUNCTION("IF(NOT($J20),"""",IF(S20='config.parâmetros'!$B$8,0,IFERROR(AU20/INDEX(SORT(GOOGLEFINANCE(S20&amp;'config.parâmetros'!$B$8,""price"",TODAY()-3,TODAY(),1),1,0),2,2)-1,0)))"),"")</f>
        <v/>
      </c>
      <c r="AX20" s="1446" t="str">
        <f>IFERROR(__xludf.DUMMYFUNCTION("IF(NOT(J20),"""",IF('config.parâmetros'!$M$8,SUM(IFERROR(filter(proventos!Q$5:Q303,proventos!L$5:L303=B20,proventos!C$5:C303&gt;=DATEVALUE(I20),proventos!R$5:R303=T20),0)),SUM(IFERROR(filter(proventos!Q$5:Q303,proventos!L$5:L303=B20,proventos!C$5:C303&gt;=DATEV"&amp;"ALUE(I20)),0))))"),"")</f>
        <v/>
      </c>
      <c r="AY20" s="1446">
        <f t="shared" si="6"/>
        <v>0</v>
      </c>
      <c r="AZ20" s="1446" t="str">
        <f>IFERROR(__xludf.DUMMYFUNCTION("IF(NOT(J20),"""",IF('config.parâmetros'!$M$8,SUM(IFERROR(filter(op.normal!P$5:P303,op.normal!N$5:N303=B20,op.normal!C$5:C303&gt;=DATEVALUE(I20),op.normal!AC$5:AC303=T20),0)),SUM(IFERROR(filter(op.normal!P$5:P303,op.normal!N$5:N303=B20,op.normal!C$5:C303&gt;=DAT"&amp;"EVALUE(I20)),0))))"),"")</f>
        <v/>
      </c>
      <c r="BA20" s="1447" t="str">
        <f>IFERROR(__xludf.DUMMYFUNCTION("IF(A20="""","""",IFERROR(query({CarteirasAtivos},""Select Col3 where Col1 ='""&amp;A20&amp;""' limit 1""))) "),"")</f>
        <v/>
      </c>
      <c r="BB20" s="1447" t="str">
        <f>IFERROR(__xludf.DUMMYFUNCTION("IF(A20="""","""",SUMPRODUCT(IF(IFERROR(MATCH(query({CarteirasAtivos},""Select Col2 where Col1 = '""&amp;A20&amp;""'""),CarteirasListaCriadasComTotal,0)),1,0)))"),"")</f>
        <v/>
      </c>
      <c r="BC20" s="1446" t="str">
        <f>IFERROR(__xludf.DUMMYFUNCTION("IF($A20="""","""",IFERROR(AVERAGE(query({CarteirasAtivos;CarteirasAtivosEncerrados},""select Col5 where Col5 is not null and Col1 = '""&amp;$A20&amp;""' and Col10='SIM'""))*AU20))"),"")</f>
        <v/>
      </c>
      <c r="BD20" s="1448" t="str">
        <f>IF(A20="","",IF(NOT('config.parâmetros'!$M$8),IF(int(J20)=J20,TEXT(J20,"###,##0"),TEXT(J20,"###,##0.#######")),IF(int(J20)=J20,TEXT(J20,"###,##0"),TEXT(J20,"###,##0.#######"))&amp;"
("&amp;T20&amp;")"))</f>
        <v/>
      </c>
      <c r="BE20" s="1442" t="str">
        <f t="shared" si="7"/>
        <v/>
      </c>
      <c r="BF20" s="1447" t="str">
        <f t="shared" si="8"/>
        <v/>
      </c>
      <c r="BG20" s="1449" t="str">
        <f t="shared" si="9"/>
        <v/>
      </c>
      <c r="BH20" s="1447" t="str">
        <f t="shared" si="10"/>
        <v/>
      </c>
      <c r="BI20" s="1447" t="str">
        <f t="shared" si="11"/>
        <v/>
      </c>
      <c r="BJ20" s="1449" t="str">
        <f t="shared" si="12"/>
        <v/>
      </c>
      <c r="BK20" s="1447" t="str">
        <f t="shared" si="13"/>
        <v/>
      </c>
      <c r="BL20" s="1447" t="str">
        <f t="shared" si="14"/>
        <v/>
      </c>
      <c r="BM20" s="1449" t="str">
        <f t="shared" si="15"/>
        <v/>
      </c>
      <c r="BN20" s="1447" t="str">
        <f t="shared" si="16"/>
        <v/>
      </c>
      <c r="BO20" s="1447" t="str">
        <f t="shared" si="17"/>
        <v/>
      </c>
      <c r="BP20" s="1448" t="str">
        <f t="shared" si="18"/>
        <v/>
      </c>
    </row>
    <row r="21">
      <c r="A21" s="1422"/>
      <c r="B21" s="1423"/>
      <c r="C21" s="1423"/>
      <c r="D21" s="1422"/>
      <c r="E21" s="1422"/>
      <c r="F21" s="1422"/>
      <c r="G21" s="1424"/>
      <c r="H21" s="1424"/>
      <c r="I21" s="1450"/>
      <c r="J21" s="1426"/>
      <c r="K21" s="1427"/>
      <c r="L21" s="1428"/>
      <c r="M21" s="1428"/>
      <c r="N21" s="1429"/>
      <c r="O21" s="1429"/>
      <c r="P21" s="1430"/>
      <c r="Q21" s="1430"/>
      <c r="R21" s="1431"/>
      <c r="S21" s="1432"/>
      <c r="T21" s="1433"/>
      <c r="U21" s="1422"/>
      <c r="V21" s="1422"/>
      <c r="W21" s="1422"/>
      <c r="X21" s="1422"/>
      <c r="Y21" s="1422"/>
      <c r="Z21" s="1422"/>
      <c r="AA21" s="1422"/>
      <c r="AB21" s="1422"/>
      <c r="AC21" s="1422"/>
      <c r="AD21" s="1422"/>
      <c r="AE21" s="1422"/>
      <c r="AF21" s="1422"/>
      <c r="AG21" s="1422"/>
      <c r="AH21" s="1422"/>
      <c r="AI21" s="1422"/>
      <c r="AJ21" s="1422"/>
      <c r="AK21" s="1434"/>
      <c r="AL21" s="1435"/>
      <c r="AM21" s="1436" t="str">
        <f>IF(NOT($J21),"",IFERROR(VLOOKUP(A21,ativos.!$C$3:$W303,MATCH("cotacao",ativos.!$C$2:BP$2,0),FALSE),P21*AU21))</f>
        <v/>
      </c>
      <c r="AN21" s="1437" t="str">
        <f t="shared" si="1"/>
        <v/>
      </c>
      <c r="AO21" s="1438" t="str">
        <f t="shared" si="2"/>
        <v/>
      </c>
      <c r="AP21" s="1439" t="str">
        <f t="shared" si="3"/>
        <v/>
      </c>
      <c r="AQ21" s="1440" t="str">
        <f t="shared" si="4"/>
        <v/>
      </c>
      <c r="AR21" s="1441" t="str">
        <f t="shared" si="5"/>
        <v/>
      </c>
      <c r="AS21" s="1442" t="str">
        <f>IF(NOT(J21),"",IFERROR(VLOOKUP(A21,ativos.!$C$3:$W303,MATCH("variacaopct_dias",ativos.!$C$2:BP$2,0),FALSE),""))</f>
        <v/>
      </c>
      <c r="AT21" s="1443"/>
      <c r="AU21" s="1444" t="str">
        <f>IF(NOT($J21),"",IFERROR(VLOOKUP(A21,ativos.!$C$3:$S303,MATCH("fator_fx",ativos.!$C$2:BP$2,0),FALSE),0))</f>
        <v/>
      </c>
      <c r="AV21" s="1442" t="str">
        <f>IF(NOT($J21),"",IFERROR(VLOOKUP(A21,ativos.!$C$3:$W303,MATCH("variacaopct",ativos.!$C$2:BP$2,0),FALSE)/100,R21))</f>
        <v/>
      </c>
      <c r="AW21" s="1445" t="str">
        <f>IFERROR(__xludf.DUMMYFUNCTION("IF(NOT($J21),"""",IF(S21='config.parâmetros'!$B$8,0,IFERROR(AU21/INDEX(SORT(GOOGLEFINANCE(S21&amp;'config.parâmetros'!$B$8,""price"",TODAY()-3,TODAY(),1),1,0),2,2)-1,0)))"),"")</f>
        <v/>
      </c>
      <c r="AX21" s="1446" t="str">
        <f>IFERROR(__xludf.DUMMYFUNCTION("IF(NOT(J21),"""",IF('config.parâmetros'!$M$8,SUM(IFERROR(filter(proventos!Q$5:Q303,proventos!L$5:L303=B21,proventos!C$5:C303&gt;=DATEVALUE(I21),proventos!R$5:R303=T21),0)),SUM(IFERROR(filter(proventos!Q$5:Q303,proventos!L$5:L303=B21,proventos!C$5:C303&gt;=DATEV"&amp;"ALUE(I21)),0))))"),"")</f>
        <v/>
      </c>
      <c r="AY21" s="1446">
        <f t="shared" si="6"/>
        <v>0</v>
      </c>
      <c r="AZ21" s="1446" t="str">
        <f>IFERROR(__xludf.DUMMYFUNCTION("IF(NOT(J21),"""",IF('config.parâmetros'!$M$8,SUM(IFERROR(filter(op.normal!P$5:P303,op.normal!N$5:N303=B21,op.normal!C$5:C303&gt;=DATEVALUE(I21),op.normal!AC$5:AC303=T21),0)),SUM(IFERROR(filter(op.normal!P$5:P303,op.normal!N$5:N303=B21,op.normal!C$5:C303&gt;=DAT"&amp;"EVALUE(I21)),0))))"),"")</f>
        <v/>
      </c>
      <c r="BA21" s="1447" t="str">
        <f>IFERROR(__xludf.DUMMYFUNCTION("IF(A21="""","""",IFERROR(query({CarteirasAtivos},""Select Col3 where Col1 ='""&amp;A21&amp;""' limit 1""))) "),"")</f>
        <v/>
      </c>
      <c r="BB21" s="1447" t="str">
        <f>IFERROR(__xludf.DUMMYFUNCTION("IF(A21="""","""",SUMPRODUCT(IF(IFERROR(MATCH(query({CarteirasAtivos},""Select Col2 where Col1 = '""&amp;A21&amp;""'""),CarteirasListaCriadasComTotal,0)),1,0)))"),"")</f>
        <v/>
      </c>
      <c r="BC21" s="1446" t="str">
        <f>IFERROR(__xludf.DUMMYFUNCTION("IF($A21="""","""",IFERROR(AVERAGE(query({CarteirasAtivos;CarteirasAtivosEncerrados},""select Col5 where Col5 is not null and Col1 = '""&amp;$A21&amp;""' and Col10='SIM'""))*AU21))"),"")</f>
        <v/>
      </c>
      <c r="BD21" s="1448" t="str">
        <f>IF(A21="","",IF(NOT('config.parâmetros'!$M$8),IF(int(J21)=J21,TEXT(J21,"###,##0"),TEXT(J21,"###,##0.#######")),IF(int(J21)=J21,TEXT(J21,"###,##0"),TEXT(J21,"###,##0.#######"))&amp;"
("&amp;T21&amp;")"))</f>
        <v/>
      </c>
      <c r="BE21" s="1442" t="str">
        <f t="shared" si="7"/>
        <v/>
      </c>
      <c r="BF21" s="1447" t="str">
        <f t="shared" si="8"/>
        <v/>
      </c>
      <c r="BG21" s="1449" t="str">
        <f t="shared" si="9"/>
        <v/>
      </c>
      <c r="BH21" s="1447" t="str">
        <f t="shared" si="10"/>
        <v/>
      </c>
      <c r="BI21" s="1447" t="str">
        <f t="shared" si="11"/>
        <v/>
      </c>
      <c r="BJ21" s="1449" t="str">
        <f t="shared" si="12"/>
        <v/>
      </c>
      <c r="BK21" s="1447" t="str">
        <f t="shared" si="13"/>
        <v/>
      </c>
      <c r="BL21" s="1447" t="str">
        <f t="shared" si="14"/>
        <v/>
      </c>
      <c r="BM21" s="1449" t="str">
        <f t="shared" si="15"/>
        <v/>
      </c>
      <c r="BN21" s="1447" t="str">
        <f t="shared" si="16"/>
        <v/>
      </c>
      <c r="BO21" s="1447" t="str">
        <f t="shared" si="17"/>
        <v/>
      </c>
      <c r="BP21" s="1448" t="str">
        <f t="shared" si="18"/>
        <v/>
      </c>
    </row>
    <row r="22">
      <c r="A22" s="1422"/>
      <c r="B22" s="1423"/>
      <c r="C22" s="1423"/>
      <c r="D22" s="1422"/>
      <c r="E22" s="1422"/>
      <c r="F22" s="1422"/>
      <c r="G22" s="1424"/>
      <c r="H22" s="1424"/>
      <c r="I22" s="1450"/>
      <c r="J22" s="1426"/>
      <c r="K22" s="1427"/>
      <c r="L22" s="1428"/>
      <c r="M22" s="1428"/>
      <c r="N22" s="1429"/>
      <c r="O22" s="1429"/>
      <c r="P22" s="1430"/>
      <c r="Q22" s="1430"/>
      <c r="R22" s="1431"/>
      <c r="S22" s="1432"/>
      <c r="T22" s="1433"/>
      <c r="U22" s="1422"/>
      <c r="V22" s="1422"/>
      <c r="W22" s="1422"/>
      <c r="X22" s="1422"/>
      <c r="Y22" s="1422"/>
      <c r="Z22" s="1422"/>
      <c r="AA22" s="1422"/>
      <c r="AB22" s="1422"/>
      <c r="AC22" s="1422"/>
      <c r="AD22" s="1422"/>
      <c r="AE22" s="1422"/>
      <c r="AF22" s="1422"/>
      <c r="AG22" s="1422"/>
      <c r="AH22" s="1422"/>
      <c r="AI22" s="1422"/>
      <c r="AJ22" s="1422"/>
      <c r="AK22" s="1434"/>
      <c r="AL22" s="1435"/>
      <c r="AM22" s="1436" t="str">
        <f>IF(NOT($J22),"",IFERROR(VLOOKUP(A22,ativos.!$C$3:$W303,MATCH("cotacao",ativos.!$C$2:BP$2,0),FALSE),P22*AU22))</f>
        <v/>
      </c>
      <c r="AN22" s="1437" t="str">
        <f t="shared" si="1"/>
        <v/>
      </c>
      <c r="AO22" s="1438" t="str">
        <f t="shared" si="2"/>
        <v/>
      </c>
      <c r="AP22" s="1439" t="str">
        <f t="shared" si="3"/>
        <v/>
      </c>
      <c r="AQ22" s="1440" t="str">
        <f t="shared" si="4"/>
        <v/>
      </c>
      <c r="AR22" s="1441" t="str">
        <f t="shared" si="5"/>
        <v/>
      </c>
      <c r="AS22" s="1442" t="str">
        <f>IF(NOT(J22),"",IFERROR(VLOOKUP(A22,ativos.!$C$3:$W303,MATCH("variacaopct_dias",ativos.!$C$2:BP$2,0),FALSE),""))</f>
        <v/>
      </c>
      <c r="AT22" s="1443"/>
      <c r="AU22" s="1444" t="str">
        <f>IF(NOT($J22),"",IFERROR(VLOOKUP(A22,ativos.!$C$3:$S303,MATCH("fator_fx",ativos.!$C$2:BP$2,0),FALSE),0))</f>
        <v/>
      </c>
      <c r="AV22" s="1442" t="str">
        <f>IF(NOT($J22),"",IFERROR(VLOOKUP(A22,ativos.!$C$3:$W303,MATCH("variacaopct",ativos.!$C$2:BP$2,0),FALSE)/100,R22))</f>
        <v/>
      </c>
      <c r="AW22" s="1445" t="str">
        <f>IFERROR(__xludf.DUMMYFUNCTION("IF(NOT($J22),"""",IF(S22='config.parâmetros'!$B$8,0,IFERROR(AU22/INDEX(SORT(GOOGLEFINANCE(S22&amp;'config.parâmetros'!$B$8,""price"",TODAY()-3,TODAY(),1),1,0),2,2)-1,0)))"),"")</f>
        <v/>
      </c>
      <c r="AX22" s="1446" t="str">
        <f>IFERROR(__xludf.DUMMYFUNCTION("IF(NOT(J22),"""",IF('config.parâmetros'!$M$8,SUM(IFERROR(filter(proventos!Q$5:Q303,proventos!L$5:L303=B22,proventos!C$5:C303&gt;=DATEVALUE(I22),proventos!R$5:R303=T22),0)),SUM(IFERROR(filter(proventos!Q$5:Q303,proventos!L$5:L303=B22,proventos!C$5:C303&gt;=DATEV"&amp;"ALUE(I22)),0))))"),"")</f>
        <v/>
      </c>
      <c r="AY22" s="1446">
        <f t="shared" si="6"/>
        <v>0</v>
      </c>
      <c r="AZ22" s="1446" t="str">
        <f>IFERROR(__xludf.DUMMYFUNCTION("IF(NOT(J22),"""",IF('config.parâmetros'!$M$8,SUM(IFERROR(filter(op.normal!P$5:P303,op.normal!N$5:N303=B22,op.normal!C$5:C303&gt;=DATEVALUE(I22),op.normal!AC$5:AC303=T22),0)),SUM(IFERROR(filter(op.normal!P$5:P303,op.normal!N$5:N303=B22,op.normal!C$5:C303&gt;=DAT"&amp;"EVALUE(I22)),0))))"),"")</f>
        <v/>
      </c>
      <c r="BA22" s="1447" t="str">
        <f>IFERROR(__xludf.DUMMYFUNCTION("IF(A22="""","""",IFERROR(query({CarteirasAtivos},""Select Col3 where Col1 ='""&amp;A22&amp;""' limit 1""))) "),"")</f>
        <v/>
      </c>
      <c r="BB22" s="1447" t="str">
        <f>IFERROR(__xludf.DUMMYFUNCTION("IF(A22="""","""",SUMPRODUCT(IF(IFERROR(MATCH(query({CarteirasAtivos},""Select Col2 where Col1 = '""&amp;A22&amp;""'""),CarteirasListaCriadasComTotal,0)),1,0)))"),"")</f>
        <v/>
      </c>
      <c r="BC22" s="1446" t="str">
        <f>IFERROR(__xludf.DUMMYFUNCTION("IF($A22="""","""",IFERROR(AVERAGE(query({CarteirasAtivos;CarteirasAtivosEncerrados},""select Col5 where Col5 is not null and Col1 = '""&amp;$A22&amp;""' and Col10='SIM'""))*AU22))"),"")</f>
        <v/>
      </c>
      <c r="BD22" s="1448" t="str">
        <f>IF(A22="","",IF(NOT('config.parâmetros'!$M$8),IF(int(J22)=J22,TEXT(J22,"###,##0"),TEXT(J22,"###,##0.#######")),IF(int(J22)=J22,TEXT(J22,"###,##0"),TEXT(J22,"###,##0.#######"))&amp;"
("&amp;T22&amp;")"))</f>
        <v/>
      </c>
      <c r="BE22" s="1442" t="str">
        <f t="shared" si="7"/>
        <v/>
      </c>
      <c r="BF22" s="1447" t="str">
        <f t="shared" si="8"/>
        <v/>
      </c>
      <c r="BG22" s="1449" t="str">
        <f t="shared" si="9"/>
        <v/>
      </c>
      <c r="BH22" s="1447" t="str">
        <f t="shared" si="10"/>
        <v/>
      </c>
      <c r="BI22" s="1447" t="str">
        <f t="shared" si="11"/>
        <v/>
      </c>
      <c r="BJ22" s="1449" t="str">
        <f t="shared" si="12"/>
        <v/>
      </c>
      <c r="BK22" s="1447" t="str">
        <f t="shared" si="13"/>
        <v/>
      </c>
      <c r="BL22" s="1447" t="str">
        <f t="shared" si="14"/>
        <v/>
      </c>
      <c r="BM22" s="1449" t="str">
        <f t="shared" si="15"/>
        <v/>
      </c>
      <c r="BN22" s="1447" t="str">
        <f t="shared" si="16"/>
        <v/>
      </c>
      <c r="BO22" s="1447" t="str">
        <f t="shared" si="17"/>
        <v/>
      </c>
      <c r="BP22" s="1448" t="str">
        <f t="shared" si="18"/>
        <v/>
      </c>
    </row>
    <row r="23">
      <c r="A23" s="1422"/>
      <c r="B23" s="1423"/>
      <c r="C23" s="1423"/>
      <c r="D23" s="1422"/>
      <c r="E23" s="1422"/>
      <c r="F23" s="1422"/>
      <c r="G23" s="1424"/>
      <c r="H23" s="1424"/>
      <c r="I23" s="1450"/>
      <c r="J23" s="1426"/>
      <c r="K23" s="1427"/>
      <c r="L23" s="1428"/>
      <c r="M23" s="1428"/>
      <c r="N23" s="1429"/>
      <c r="O23" s="1429"/>
      <c r="P23" s="1430"/>
      <c r="Q23" s="1430"/>
      <c r="R23" s="1431"/>
      <c r="S23" s="1432"/>
      <c r="T23" s="1433"/>
      <c r="U23" s="1422"/>
      <c r="V23" s="1422"/>
      <c r="W23" s="1422"/>
      <c r="X23" s="1422"/>
      <c r="Y23" s="1422"/>
      <c r="Z23" s="1422"/>
      <c r="AA23" s="1422"/>
      <c r="AB23" s="1422"/>
      <c r="AC23" s="1422"/>
      <c r="AD23" s="1422"/>
      <c r="AE23" s="1422"/>
      <c r="AF23" s="1422"/>
      <c r="AG23" s="1422"/>
      <c r="AH23" s="1422"/>
      <c r="AI23" s="1422"/>
      <c r="AJ23" s="1422"/>
      <c r="AK23" s="1434"/>
      <c r="AL23" s="1435"/>
      <c r="AM23" s="1436" t="str">
        <f>IF(NOT($J23),"",IFERROR(VLOOKUP(A23,ativos.!$C$3:$W303,MATCH("cotacao",ativos.!$C$2:BP$2,0),FALSE),P23*AU23))</f>
        <v/>
      </c>
      <c r="AN23" s="1437" t="str">
        <f t="shared" si="1"/>
        <v/>
      </c>
      <c r="AO23" s="1438" t="str">
        <f t="shared" si="2"/>
        <v/>
      </c>
      <c r="AP23" s="1439" t="str">
        <f t="shared" si="3"/>
        <v/>
      </c>
      <c r="AQ23" s="1440" t="str">
        <f t="shared" si="4"/>
        <v/>
      </c>
      <c r="AR23" s="1441" t="str">
        <f t="shared" si="5"/>
        <v/>
      </c>
      <c r="AS23" s="1442" t="str">
        <f>IF(NOT(J23),"",IFERROR(VLOOKUP(A23,ativos.!$C$3:$W303,MATCH("variacaopct_dias",ativos.!$C$2:BP$2,0),FALSE),""))</f>
        <v/>
      </c>
      <c r="AT23" s="1443"/>
      <c r="AU23" s="1444" t="str">
        <f>IF(NOT($J23),"",IFERROR(VLOOKUP(A23,ativos.!$C$3:$S303,MATCH("fator_fx",ativos.!$C$2:BP$2,0),FALSE),0))</f>
        <v/>
      </c>
      <c r="AV23" s="1442" t="str">
        <f>IF(NOT($J23),"",IFERROR(VLOOKUP(A23,ativos.!$C$3:$W303,MATCH("variacaopct",ativos.!$C$2:BP$2,0),FALSE)/100,R23))</f>
        <v/>
      </c>
      <c r="AW23" s="1445" t="str">
        <f>IFERROR(__xludf.DUMMYFUNCTION("IF(NOT($J23),"""",IF(S23='config.parâmetros'!$B$8,0,IFERROR(AU23/INDEX(SORT(GOOGLEFINANCE(S23&amp;'config.parâmetros'!$B$8,""price"",TODAY()-3,TODAY(),1),1,0),2,2)-1,0)))"),"")</f>
        <v/>
      </c>
      <c r="AX23" s="1446" t="str">
        <f>IFERROR(__xludf.DUMMYFUNCTION("IF(NOT(J23),"""",IF('config.parâmetros'!$M$8,SUM(IFERROR(filter(proventos!Q$5:Q303,proventos!L$5:L303=B23,proventos!C$5:C303&gt;=DATEVALUE(I23),proventos!R$5:R303=T23),0)),SUM(IFERROR(filter(proventos!Q$5:Q303,proventos!L$5:L303=B23,proventos!C$5:C303&gt;=DATEV"&amp;"ALUE(I23)),0))))"),"")</f>
        <v/>
      </c>
      <c r="AY23" s="1446">
        <f t="shared" si="6"/>
        <v>0</v>
      </c>
      <c r="AZ23" s="1446" t="str">
        <f>IFERROR(__xludf.DUMMYFUNCTION("IF(NOT(J23),"""",IF('config.parâmetros'!$M$8,SUM(IFERROR(filter(op.normal!P$5:P303,op.normal!N$5:N303=B23,op.normal!C$5:C303&gt;=DATEVALUE(I23),op.normal!AC$5:AC303=T23),0)),SUM(IFERROR(filter(op.normal!P$5:P303,op.normal!N$5:N303=B23,op.normal!C$5:C303&gt;=DAT"&amp;"EVALUE(I23)),0))))"),"")</f>
        <v/>
      </c>
      <c r="BA23" s="1447" t="str">
        <f>IFERROR(__xludf.DUMMYFUNCTION("IF(A23="""","""",IFERROR(query({CarteirasAtivos},""Select Col3 where Col1 ='""&amp;A23&amp;""' limit 1""))) "),"")</f>
        <v/>
      </c>
      <c r="BB23" s="1447" t="str">
        <f>IFERROR(__xludf.DUMMYFUNCTION("IF(A23="""","""",SUMPRODUCT(IF(IFERROR(MATCH(query({CarteirasAtivos},""Select Col2 where Col1 = '""&amp;A23&amp;""'""),CarteirasListaCriadasComTotal,0)),1,0)))"),"")</f>
        <v/>
      </c>
      <c r="BC23" s="1446" t="str">
        <f>IFERROR(__xludf.DUMMYFUNCTION("IF($A23="""","""",IFERROR(AVERAGE(query({CarteirasAtivos;CarteirasAtivosEncerrados},""select Col5 where Col5 is not null and Col1 = '""&amp;$A23&amp;""' and Col10='SIM'""))*AU23))"),"")</f>
        <v/>
      </c>
      <c r="BD23" s="1448" t="str">
        <f>IF(A23="","",IF(NOT('config.parâmetros'!$M$8),IF(int(J23)=J23,TEXT(J23,"###,##0"),TEXT(J23,"###,##0.#######")),IF(int(J23)=J23,TEXT(J23,"###,##0"),TEXT(J23,"###,##0.#######"))&amp;"
("&amp;T23&amp;")"))</f>
        <v/>
      </c>
      <c r="BE23" s="1442" t="str">
        <f t="shared" si="7"/>
        <v/>
      </c>
      <c r="BF23" s="1447" t="str">
        <f t="shared" si="8"/>
        <v/>
      </c>
      <c r="BG23" s="1449" t="str">
        <f t="shared" si="9"/>
        <v/>
      </c>
      <c r="BH23" s="1447" t="str">
        <f t="shared" si="10"/>
        <v/>
      </c>
      <c r="BI23" s="1447" t="str">
        <f t="shared" si="11"/>
        <v/>
      </c>
      <c r="BJ23" s="1449" t="str">
        <f t="shared" si="12"/>
        <v/>
      </c>
      <c r="BK23" s="1447" t="str">
        <f t="shared" si="13"/>
        <v/>
      </c>
      <c r="BL23" s="1447" t="str">
        <f t="shared" si="14"/>
        <v/>
      </c>
      <c r="BM23" s="1449" t="str">
        <f t="shared" si="15"/>
        <v/>
      </c>
      <c r="BN23" s="1447" t="str">
        <f t="shared" si="16"/>
        <v/>
      </c>
      <c r="BO23" s="1447" t="str">
        <f t="shared" si="17"/>
        <v/>
      </c>
      <c r="BP23" s="1448" t="str">
        <f t="shared" si="18"/>
        <v/>
      </c>
    </row>
    <row r="24">
      <c r="A24" s="1422"/>
      <c r="B24" s="1423"/>
      <c r="C24" s="1423"/>
      <c r="D24" s="1422"/>
      <c r="E24" s="1422"/>
      <c r="F24" s="1422"/>
      <c r="G24" s="1424"/>
      <c r="H24" s="1424"/>
      <c r="I24" s="1450"/>
      <c r="J24" s="1426"/>
      <c r="K24" s="1427"/>
      <c r="L24" s="1428"/>
      <c r="M24" s="1428"/>
      <c r="N24" s="1429"/>
      <c r="O24" s="1429"/>
      <c r="P24" s="1430"/>
      <c r="Q24" s="1430"/>
      <c r="R24" s="1431"/>
      <c r="S24" s="1432"/>
      <c r="T24" s="1433"/>
      <c r="U24" s="1422"/>
      <c r="V24" s="1422"/>
      <c r="W24" s="1422"/>
      <c r="X24" s="1422"/>
      <c r="Y24" s="1422"/>
      <c r="Z24" s="1422"/>
      <c r="AA24" s="1422"/>
      <c r="AB24" s="1422"/>
      <c r="AC24" s="1422"/>
      <c r="AD24" s="1422"/>
      <c r="AE24" s="1422"/>
      <c r="AF24" s="1422"/>
      <c r="AG24" s="1422"/>
      <c r="AH24" s="1422"/>
      <c r="AI24" s="1422"/>
      <c r="AJ24" s="1422"/>
      <c r="AK24" s="1434"/>
      <c r="AL24" s="1435"/>
      <c r="AM24" s="1436" t="str">
        <f>IF(NOT($J24),"",IFERROR(VLOOKUP(A24,ativos.!$C$3:$W303,MATCH("cotacao",ativos.!$C$2:BP$2,0),FALSE),P24*AU24))</f>
        <v/>
      </c>
      <c r="AN24" s="1437" t="str">
        <f t="shared" si="1"/>
        <v/>
      </c>
      <c r="AO24" s="1438" t="str">
        <f t="shared" si="2"/>
        <v/>
      </c>
      <c r="AP24" s="1439" t="str">
        <f t="shared" si="3"/>
        <v/>
      </c>
      <c r="AQ24" s="1440" t="str">
        <f t="shared" si="4"/>
        <v/>
      </c>
      <c r="AR24" s="1441" t="str">
        <f t="shared" si="5"/>
        <v/>
      </c>
      <c r="AS24" s="1442" t="str">
        <f>IF(NOT(J24),"",IFERROR(VLOOKUP(A24,ativos.!$C$3:$W303,MATCH("variacaopct_dias",ativos.!$C$2:BP$2,0),FALSE),""))</f>
        <v/>
      </c>
      <c r="AT24" s="1443"/>
      <c r="AU24" s="1444" t="str">
        <f>IF(NOT($J24),"",IFERROR(VLOOKUP(A24,ativos.!$C$3:$S303,MATCH("fator_fx",ativos.!$C$2:BP$2,0),FALSE),0))</f>
        <v/>
      </c>
      <c r="AV24" s="1442" t="str">
        <f>IF(NOT($J24),"",IFERROR(VLOOKUP(A24,ativos.!$C$3:$W303,MATCH("variacaopct",ativos.!$C$2:BP$2,0),FALSE)/100,R24))</f>
        <v/>
      </c>
      <c r="AW24" s="1445" t="str">
        <f>IFERROR(__xludf.DUMMYFUNCTION("IF(NOT($J24),"""",IF(S24='config.parâmetros'!$B$8,0,IFERROR(AU24/INDEX(SORT(GOOGLEFINANCE(S24&amp;'config.parâmetros'!$B$8,""price"",TODAY()-3,TODAY(),1),1,0),2,2)-1,0)))"),"")</f>
        <v/>
      </c>
      <c r="AX24" s="1446" t="str">
        <f>IFERROR(__xludf.DUMMYFUNCTION("IF(NOT(J24),"""",IF('config.parâmetros'!$M$8,SUM(IFERROR(filter(proventos!Q$5:Q303,proventos!L$5:L303=B24,proventos!C$5:C303&gt;=DATEVALUE(I24),proventos!R$5:R303=T24),0)),SUM(IFERROR(filter(proventos!Q$5:Q303,proventos!L$5:L303=B24,proventos!C$5:C303&gt;=DATEV"&amp;"ALUE(I24)),0))))"),"")</f>
        <v/>
      </c>
      <c r="AY24" s="1446">
        <f t="shared" si="6"/>
        <v>0</v>
      </c>
      <c r="AZ24" s="1446" t="str">
        <f>IFERROR(__xludf.DUMMYFUNCTION("IF(NOT(J24),"""",IF('config.parâmetros'!$M$8,SUM(IFERROR(filter(op.normal!P$5:P303,op.normal!N$5:N303=B24,op.normal!C$5:C303&gt;=DATEVALUE(I24),op.normal!AC$5:AC303=T24),0)),SUM(IFERROR(filter(op.normal!P$5:P303,op.normal!N$5:N303=B24,op.normal!C$5:C303&gt;=DAT"&amp;"EVALUE(I24)),0))))"),"")</f>
        <v/>
      </c>
      <c r="BA24" s="1447" t="str">
        <f>IFERROR(__xludf.DUMMYFUNCTION("IF(A24="""","""",IFERROR(query({CarteirasAtivos},""Select Col3 where Col1 ='""&amp;A24&amp;""' limit 1""))) "),"")</f>
        <v/>
      </c>
      <c r="BB24" s="1447" t="str">
        <f>IFERROR(__xludf.DUMMYFUNCTION("IF(A24="""","""",SUMPRODUCT(IF(IFERROR(MATCH(query({CarteirasAtivos},""Select Col2 where Col1 = '""&amp;A24&amp;""'""),CarteirasListaCriadasComTotal,0)),1,0)))"),"")</f>
        <v/>
      </c>
      <c r="BC24" s="1446" t="str">
        <f>IFERROR(__xludf.DUMMYFUNCTION("IF($A24="""","""",IFERROR(AVERAGE(query({CarteirasAtivos;CarteirasAtivosEncerrados},""select Col5 where Col5 is not null and Col1 = '""&amp;$A24&amp;""' and Col10='SIM'""))*AU24))"),"")</f>
        <v/>
      </c>
      <c r="BD24" s="1448" t="str">
        <f>IF(A24="","",IF(NOT('config.parâmetros'!$M$8),IF(int(J24)=J24,TEXT(J24,"###,##0"),TEXT(J24,"###,##0.#######")),IF(int(J24)=J24,TEXT(J24,"###,##0"),TEXT(J24,"###,##0.#######"))&amp;"
("&amp;T24&amp;")"))</f>
        <v/>
      </c>
      <c r="BE24" s="1442" t="str">
        <f t="shared" si="7"/>
        <v/>
      </c>
      <c r="BF24" s="1447" t="str">
        <f t="shared" si="8"/>
        <v/>
      </c>
      <c r="BG24" s="1449" t="str">
        <f t="shared" si="9"/>
        <v/>
      </c>
      <c r="BH24" s="1447" t="str">
        <f t="shared" si="10"/>
        <v/>
      </c>
      <c r="BI24" s="1447" t="str">
        <f t="shared" si="11"/>
        <v/>
      </c>
      <c r="BJ24" s="1449" t="str">
        <f t="shared" si="12"/>
        <v/>
      </c>
      <c r="BK24" s="1447" t="str">
        <f t="shared" si="13"/>
        <v/>
      </c>
      <c r="BL24" s="1447" t="str">
        <f t="shared" si="14"/>
        <v/>
      </c>
      <c r="BM24" s="1449" t="str">
        <f t="shared" si="15"/>
        <v/>
      </c>
      <c r="BN24" s="1447" t="str">
        <f t="shared" si="16"/>
        <v/>
      </c>
      <c r="BO24" s="1447" t="str">
        <f t="shared" si="17"/>
        <v/>
      </c>
      <c r="BP24" s="1448" t="str">
        <f t="shared" si="18"/>
        <v/>
      </c>
    </row>
    <row r="25">
      <c r="A25" s="1422"/>
      <c r="B25" s="1423"/>
      <c r="C25" s="1423"/>
      <c r="D25" s="1422"/>
      <c r="E25" s="1422"/>
      <c r="F25" s="1422"/>
      <c r="G25" s="1424"/>
      <c r="H25" s="1424"/>
      <c r="I25" s="1450"/>
      <c r="J25" s="1426"/>
      <c r="K25" s="1427"/>
      <c r="L25" s="1428"/>
      <c r="M25" s="1428"/>
      <c r="N25" s="1429"/>
      <c r="O25" s="1429"/>
      <c r="P25" s="1430"/>
      <c r="Q25" s="1430"/>
      <c r="R25" s="1431"/>
      <c r="S25" s="1432"/>
      <c r="T25" s="1433"/>
      <c r="U25" s="1422"/>
      <c r="V25" s="1422"/>
      <c r="W25" s="1422"/>
      <c r="X25" s="1422"/>
      <c r="Y25" s="1422"/>
      <c r="Z25" s="1422"/>
      <c r="AA25" s="1422"/>
      <c r="AB25" s="1422"/>
      <c r="AC25" s="1422"/>
      <c r="AD25" s="1422"/>
      <c r="AE25" s="1422"/>
      <c r="AF25" s="1422"/>
      <c r="AG25" s="1422"/>
      <c r="AH25" s="1422"/>
      <c r="AI25" s="1422"/>
      <c r="AJ25" s="1422"/>
      <c r="AK25" s="1434"/>
      <c r="AL25" s="1435"/>
      <c r="AM25" s="1436" t="str">
        <f>IF(NOT($J25),"",IFERROR(VLOOKUP(A25,ativos.!$C$3:$W303,MATCH("cotacao",ativos.!$C$2:BP$2,0),FALSE),P25*AU25))</f>
        <v/>
      </c>
      <c r="AN25" s="1437" t="str">
        <f t="shared" si="1"/>
        <v/>
      </c>
      <c r="AO25" s="1438" t="str">
        <f t="shared" si="2"/>
        <v/>
      </c>
      <c r="AP25" s="1439" t="str">
        <f t="shared" si="3"/>
        <v/>
      </c>
      <c r="AQ25" s="1440" t="str">
        <f t="shared" si="4"/>
        <v/>
      </c>
      <c r="AR25" s="1441" t="str">
        <f t="shared" si="5"/>
        <v/>
      </c>
      <c r="AS25" s="1442" t="str">
        <f>IF(NOT(J25),"",IFERROR(VLOOKUP(A25,ativos.!$C$3:$W303,MATCH("variacaopct_dias",ativos.!$C$2:BP$2,0),FALSE),""))</f>
        <v/>
      </c>
      <c r="AT25" s="1443"/>
      <c r="AU25" s="1444" t="str">
        <f>IF(NOT($J25),"",IFERROR(VLOOKUP(A25,ativos.!$C$3:$S303,MATCH("fator_fx",ativos.!$C$2:BP$2,0),FALSE),0))</f>
        <v/>
      </c>
      <c r="AV25" s="1442" t="str">
        <f>IF(NOT($J25),"",IFERROR(VLOOKUP(A25,ativos.!$C$3:$W303,MATCH("variacaopct",ativos.!$C$2:BP$2,0),FALSE)/100,R25))</f>
        <v/>
      </c>
      <c r="AW25" s="1445" t="str">
        <f>IFERROR(__xludf.DUMMYFUNCTION("IF(NOT($J25),"""",IF(S25='config.parâmetros'!$B$8,0,IFERROR(AU25/INDEX(SORT(GOOGLEFINANCE(S25&amp;'config.parâmetros'!$B$8,""price"",TODAY()-3,TODAY(),1),1,0),2,2)-1,0)))"),"")</f>
        <v/>
      </c>
      <c r="AX25" s="1446" t="str">
        <f>IFERROR(__xludf.DUMMYFUNCTION("IF(NOT(J25),"""",IF('config.parâmetros'!$M$8,SUM(IFERROR(filter(proventos!Q$5:Q303,proventos!L$5:L303=B25,proventos!C$5:C303&gt;=DATEVALUE(I25),proventos!R$5:R303=T25),0)),SUM(IFERROR(filter(proventos!Q$5:Q303,proventos!L$5:L303=B25,proventos!C$5:C303&gt;=DATEV"&amp;"ALUE(I25)),0))))"),"")</f>
        <v/>
      </c>
      <c r="AY25" s="1446">
        <f t="shared" si="6"/>
        <v>0</v>
      </c>
      <c r="AZ25" s="1446" t="str">
        <f>IFERROR(__xludf.DUMMYFUNCTION("IF(NOT(J25),"""",IF('config.parâmetros'!$M$8,SUM(IFERROR(filter(op.normal!P$5:P303,op.normal!N$5:N303=B25,op.normal!C$5:C303&gt;=DATEVALUE(I25),op.normal!AC$5:AC303=T25),0)),SUM(IFERROR(filter(op.normal!P$5:P303,op.normal!N$5:N303=B25,op.normal!C$5:C303&gt;=DAT"&amp;"EVALUE(I25)),0))))"),"")</f>
        <v/>
      </c>
      <c r="BA25" s="1447" t="str">
        <f>IFERROR(__xludf.DUMMYFUNCTION("IF(A25="""","""",IFERROR(query({CarteirasAtivos},""Select Col3 where Col1 ='""&amp;A25&amp;""' limit 1""))) "),"")</f>
        <v/>
      </c>
      <c r="BB25" s="1447" t="str">
        <f>IFERROR(__xludf.DUMMYFUNCTION("IF(A25="""","""",SUMPRODUCT(IF(IFERROR(MATCH(query({CarteirasAtivos},""Select Col2 where Col1 = '""&amp;A25&amp;""'""),CarteirasListaCriadasComTotal,0)),1,0)))"),"")</f>
        <v/>
      </c>
      <c r="BC25" s="1446" t="str">
        <f>IFERROR(__xludf.DUMMYFUNCTION("IF($A25="""","""",IFERROR(AVERAGE(query({CarteirasAtivos;CarteirasAtivosEncerrados},""select Col5 where Col5 is not null and Col1 = '""&amp;$A25&amp;""' and Col10='SIM'""))*AU25))"),"")</f>
        <v/>
      </c>
      <c r="BD25" s="1448" t="str">
        <f>IF(A25="","",IF(NOT('config.parâmetros'!$M$8),IF(int(J25)=J25,TEXT(J25,"###,##0"),TEXT(J25,"###,##0.#######")),IF(int(J25)=J25,TEXT(J25,"###,##0"),TEXT(J25,"###,##0.#######"))&amp;"
("&amp;T25&amp;")"))</f>
        <v/>
      </c>
      <c r="BE25" s="1442" t="str">
        <f t="shared" si="7"/>
        <v/>
      </c>
      <c r="BF25" s="1447" t="str">
        <f t="shared" si="8"/>
        <v/>
      </c>
      <c r="BG25" s="1449" t="str">
        <f t="shared" si="9"/>
        <v/>
      </c>
      <c r="BH25" s="1447" t="str">
        <f t="shared" si="10"/>
        <v/>
      </c>
      <c r="BI25" s="1447" t="str">
        <f t="shared" si="11"/>
        <v/>
      </c>
      <c r="BJ25" s="1449" t="str">
        <f t="shared" si="12"/>
        <v/>
      </c>
      <c r="BK25" s="1447" t="str">
        <f t="shared" si="13"/>
        <v/>
      </c>
      <c r="BL25" s="1447" t="str">
        <f t="shared" si="14"/>
        <v/>
      </c>
      <c r="BM25" s="1449" t="str">
        <f t="shared" si="15"/>
        <v/>
      </c>
      <c r="BN25" s="1447" t="str">
        <f t="shared" si="16"/>
        <v/>
      </c>
      <c r="BO25" s="1447" t="str">
        <f t="shared" si="17"/>
        <v/>
      </c>
      <c r="BP25" s="1448" t="str">
        <f t="shared" si="18"/>
        <v/>
      </c>
    </row>
    <row r="26">
      <c r="A26" s="1422"/>
      <c r="B26" s="1423"/>
      <c r="C26" s="1423"/>
      <c r="D26" s="1422"/>
      <c r="E26" s="1422"/>
      <c r="F26" s="1422"/>
      <c r="G26" s="1424"/>
      <c r="H26" s="1424"/>
      <c r="I26" s="1450"/>
      <c r="J26" s="1426"/>
      <c r="K26" s="1427"/>
      <c r="L26" s="1428"/>
      <c r="M26" s="1428"/>
      <c r="N26" s="1429"/>
      <c r="O26" s="1429"/>
      <c r="P26" s="1430"/>
      <c r="Q26" s="1430"/>
      <c r="R26" s="1431"/>
      <c r="S26" s="1432"/>
      <c r="T26" s="1433"/>
      <c r="U26" s="1422"/>
      <c r="V26" s="1422"/>
      <c r="W26" s="1422"/>
      <c r="X26" s="1422"/>
      <c r="Y26" s="1422"/>
      <c r="Z26" s="1422"/>
      <c r="AA26" s="1422"/>
      <c r="AB26" s="1422"/>
      <c r="AC26" s="1422"/>
      <c r="AD26" s="1422"/>
      <c r="AE26" s="1422"/>
      <c r="AF26" s="1422"/>
      <c r="AG26" s="1422"/>
      <c r="AH26" s="1422"/>
      <c r="AI26" s="1422"/>
      <c r="AJ26" s="1422"/>
      <c r="AK26" s="1434"/>
      <c r="AL26" s="1435"/>
      <c r="AM26" s="1436" t="str">
        <f>IF(NOT($J26),"",IFERROR(VLOOKUP(A26,ativos.!$C$3:$W303,MATCH("cotacao",ativos.!$C$2:BP$2,0),FALSE),P26*AU26))</f>
        <v/>
      </c>
      <c r="AN26" s="1437" t="str">
        <f t="shared" si="1"/>
        <v/>
      </c>
      <c r="AO26" s="1438" t="str">
        <f t="shared" si="2"/>
        <v/>
      </c>
      <c r="AP26" s="1439" t="str">
        <f t="shared" si="3"/>
        <v/>
      </c>
      <c r="AQ26" s="1440" t="str">
        <f t="shared" si="4"/>
        <v/>
      </c>
      <c r="AR26" s="1441" t="str">
        <f t="shared" si="5"/>
        <v/>
      </c>
      <c r="AS26" s="1442" t="str">
        <f>IF(NOT(J26),"",IFERROR(VLOOKUP(A26,ativos.!$C$3:$W303,MATCH("variacaopct_dias",ativos.!$C$2:BP$2,0),FALSE),""))</f>
        <v/>
      </c>
      <c r="AT26" s="1443"/>
      <c r="AU26" s="1444" t="str">
        <f>IF(NOT($J26),"",IFERROR(VLOOKUP(A26,ativos.!$C$3:$S303,MATCH("fator_fx",ativos.!$C$2:BP$2,0),FALSE),0))</f>
        <v/>
      </c>
      <c r="AV26" s="1442" t="str">
        <f>IF(NOT($J26),"",IFERROR(VLOOKUP(A26,ativos.!$C$3:$W303,MATCH("variacaopct",ativos.!$C$2:BP$2,0),FALSE)/100,R26))</f>
        <v/>
      </c>
      <c r="AW26" s="1445" t="str">
        <f>IFERROR(__xludf.DUMMYFUNCTION("IF(NOT($J26),"""",IF(S26='config.parâmetros'!$B$8,0,IFERROR(AU26/INDEX(SORT(GOOGLEFINANCE(S26&amp;'config.parâmetros'!$B$8,""price"",TODAY()-3,TODAY(),1),1,0),2,2)-1,0)))"),"")</f>
        <v/>
      </c>
      <c r="AX26" s="1446" t="str">
        <f>IFERROR(__xludf.DUMMYFUNCTION("IF(NOT(J26),"""",IF('config.parâmetros'!$M$8,SUM(IFERROR(filter(proventos!Q$5:Q303,proventos!L$5:L303=B26,proventos!C$5:C303&gt;=DATEVALUE(I26),proventos!R$5:R303=T26),0)),SUM(IFERROR(filter(proventos!Q$5:Q303,proventos!L$5:L303=B26,proventos!C$5:C303&gt;=DATEV"&amp;"ALUE(I26)),0))))"),"")</f>
        <v/>
      </c>
      <c r="AY26" s="1446">
        <f t="shared" si="6"/>
        <v>0</v>
      </c>
      <c r="AZ26" s="1446" t="str">
        <f>IFERROR(__xludf.DUMMYFUNCTION("IF(NOT(J26),"""",IF('config.parâmetros'!$M$8,SUM(IFERROR(filter(op.normal!P$5:P303,op.normal!N$5:N303=B26,op.normal!C$5:C303&gt;=DATEVALUE(I26),op.normal!AC$5:AC303=T26),0)),SUM(IFERROR(filter(op.normal!P$5:P303,op.normal!N$5:N303=B26,op.normal!C$5:C303&gt;=DAT"&amp;"EVALUE(I26)),0))))"),"")</f>
        <v/>
      </c>
      <c r="BA26" s="1447" t="str">
        <f>IFERROR(__xludf.DUMMYFUNCTION("IF(A26="""","""",IFERROR(query({CarteirasAtivos},""Select Col3 where Col1 ='""&amp;A26&amp;""' limit 1""))) "),"")</f>
        <v/>
      </c>
      <c r="BB26" s="1447" t="str">
        <f>IFERROR(__xludf.DUMMYFUNCTION("IF(A26="""","""",SUMPRODUCT(IF(IFERROR(MATCH(query({CarteirasAtivos},""Select Col2 where Col1 = '""&amp;A26&amp;""'""),CarteirasListaCriadasComTotal,0)),1,0)))"),"")</f>
        <v/>
      </c>
      <c r="BC26" s="1446" t="str">
        <f>IFERROR(__xludf.DUMMYFUNCTION("IF($A26="""","""",IFERROR(AVERAGE(query({CarteirasAtivos;CarteirasAtivosEncerrados},""select Col5 where Col5 is not null and Col1 = '""&amp;$A26&amp;""' and Col10='SIM'""))*AU26))"),"")</f>
        <v/>
      </c>
      <c r="BD26" s="1448" t="str">
        <f>IF(A26="","",IF(NOT('config.parâmetros'!$M$8),IF(int(J26)=J26,TEXT(J26,"###,##0"),TEXT(J26,"###,##0.#######")),IF(int(J26)=J26,TEXT(J26,"###,##0"),TEXT(J26,"###,##0.#######"))&amp;"
("&amp;T26&amp;")"))</f>
        <v/>
      </c>
      <c r="BE26" s="1442" t="str">
        <f t="shared" si="7"/>
        <v/>
      </c>
      <c r="BF26" s="1447" t="str">
        <f t="shared" si="8"/>
        <v/>
      </c>
      <c r="BG26" s="1449" t="str">
        <f t="shared" si="9"/>
        <v/>
      </c>
      <c r="BH26" s="1447" t="str">
        <f t="shared" si="10"/>
        <v/>
      </c>
      <c r="BI26" s="1447" t="str">
        <f t="shared" si="11"/>
        <v/>
      </c>
      <c r="BJ26" s="1449" t="str">
        <f t="shared" si="12"/>
        <v/>
      </c>
      <c r="BK26" s="1447" t="str">
        <f t="shared" si="13"/>
        <v/>
      </c>
      <c r="BL26" s="1447" t="str">
        <f t="shared" si="14"/>
        <v/>
      </c>
      <c r="BM26" s="1449" t="str">
        <f t="shared" si="15"/>
        <v/>
      </c>
      <c r="BN26" s="1447" t="str">
        <f t="shared" si="16"/>
        <v/>
      </c>
      <c r="BO26" s="1447" t="str">
        <f t="shared" si="17"/>
        <v/>
      </c>
      <c r="BP26" s="1448" t="str">
        <f t="shared" si="18"/>
        <v/>
      </c>
    </row>
    <row r="27">
      <c r="A27" s="1422"/>
      <c r="B27" s="1423"/>
      <c r="C27" s="1423"/>
      <c r="D27" s="1422"/>
      <c r="E27" s="1422"/>
      <c r="F27" s="1422"/>
      <c r="G27" s="1424"/>
      <c r="H27" s="1424"/>
      <c r="I27" s="1450"/>
      <c r="J27" s="1426"/>
      <c r="K27" s="1427"/>
      <c r="L27" s="1428"/>
      <c r="M27" s="1428"/>
      <c r="N27" s="1429"/>
      <c r="O27" s="1429"/>
      <c r="P27" s="1430"/>
      <c r="Q27" s="1430"/>
      <c r="R27" s="1431"/>
      <c r="S27" s="1432"/>
      <c r="T27" s="1433"/>
      <c r="U27" s="1422"/>
      <c r="V27" s="1422"/>
      <c r="W27" s="1422"/>
      <c r="X27" s="1422"/>
      <c r="Y27" s="1422"/>
      <c r="Z27" s="1422"/>
      <c r="AA27" s="1422"/>
      <c r="AB27" s="1422"/>
      <c r="AC27" s="1422"/>
      <c r="AD27" s="1422"/>
      <c r="AE27" s="1422"/>
      <c r="AF27" s="1422"/>
      <c r="AG27" s="1422"/>
      <c r="AH27" s="1422"/>
      <c r="AI27" s="1422"/>
      <c r="AJ27" s="1422"/>
      <c r="AK27" s="1434"/>
      <c r="AL27" s="1435"/>
      <c r="AM27" s="1436" t="str">
        <f>IF(NOT($J27),"",IFERROR(VLOOKUP(A27,ativos.!$C$3:$W303,MATCH("cotacao",ativos.!$C$2:BP$2,0),FALSE),P27*AU27))</f>
        <v/>
      </c>
      <c r="AN27" s="1437" t="str">
        <f t="shared" si="1"/>
        <v/>
      </c>
      <c r="AO27" s="1438" t="str">
        <f t="shared" si="2"/>
        <v/>
      </c>
      <c r="AP27" s="1439" t="str">
        <f t="shared" si="3"/>
        <v/>
      </c>
      <c r="AQ27" s="1440" t="str">
        <f t="shared" si="4"/>
        <v/>
      </c>
      <c r="AR27" s="1441" t="str">
        <f t="shared" si="5"/>
        <v/>
      </c>
      <c r="AS27" s="1442" t="str">
        <f>IF(NOT(J27),"",IFERROR(VLOOKUP(A27,ativos.!$C$3:$W303,MATCH("variacaopct_dias",ativos.!$C$2:BP$2,0),FALSE),""))</f>
        <v/>
      </c>
      <c r="AT27" s="1443"/>
      <c r="AU27" s="1444" t="str">
        <f>IF(NOT($J27),"",IFERROR(VLOOKUP(A27,ativos.!$C$3:$S303,MATCH("fator_fx",ativos.!$C$2:BP$2,0),FALSE),0))</f>
        <v/>
      </c>
      <c r="AV27" s="1442" t="str">
        <f>IF(NOT($J27),"",IFERROR(VLOOKUP(A27,ativos.!$C$3:$W303,MATCH("variacaopct",ativos.!$C$2:BP$2,0),FALSE)/100,R27))</f>
        <v/>
      </c>
      <c r="AW27" s="1445" t="str">
        <f>IFERROR(__xludf.DUMMYFUNCTION("IF(NOT($J27),"""",IF(S27='config.parâmetros'!$B$8,0,IFERROR(AU27/INDEX(SORT(GOOGLEFINANCE(S27&amp;'config.parâmetros'!$B$8,""price"",TODAY()-3,TODAY(),1),1,0),2,2)-1,0)))"),"")</f>
        <v/>
      </c>
      <c r="AX27" s="1446" t="str">
        <f>IFERROR(__xludf.DUMMYFUNCTION("IF(NOT(J27),"""",IF('config.parâmetros'!$M$8,SUM(IFERROR(filter(proventos!Q$5:Q303,proventos!L$5:L303=B27,proventos!C$5:C303&gt;=DATEVALUE(I27),proventos!R$5:R303=T27),0)),SUM(IFERROR(filter(proventos!Q$5:Q303,proventos!L$5:L303=B27,proventos!C$5:C303&gt;=DATEV"&amp;"ALUE(I27)),0))))"),"")</f>
        <v/>
      </c>
      <c r="AY27" s="1446">
        <f t="shared" si="6"/>
        <v>0</v>
      </c>
      <c r="AZ27" s="1446" t="str">
        <f>IFERROR(__xludf.DUMMYFUNCTION("IF(NOT(J27),"""",IF('config.parâmetros'!$M$8,SUM(IFERROR(filter(op.normal!P$5:P303,op.normal!N$5:N303=B27,op.normal!C$5:C303&gt;=DATEVALUE(I27),op.normal!AC$5:AC303=T27),0)),SUM(IFERROR(filter(op.normal!P$5:P303,op.normal!N$5:N303=B27,op.normal!C$5:C303&gt;=DAT"&amp;"EVALUE(I27)),0))))"),"")</f>
        <v/>
      </c>
      <c r="BA27" s="1447" t="str">
        <f>IFERROR(__xludf.DUMMYFUNCTION("IF(A27="""","""",IFERROR(query({CarteirasAtivos},""Select Col3 where Col1 ='""&amp;A27&amp;""' limit 1""))) "),"")</f>
        <v/>
      </c>
      <c r="BB27" s="1447" t="str">
        <f>IFERROR(__xludf.DUMMYFUNCTION("IF(A27="""","""",SUMPRODUCT(IF(IFERROR(MATCH(query({CarteirasAtivos},""Select Col2 where Col1 = '""&amp;A27&amp;""'""),CarteirasListaCriadasComTotal,0)),1,0)))"),"")</f>
        <v/>
      </c>
      <c r="BC27" s="1446" t="str">
        <f>IFERROR(__xludf.DUMMYFUNCTION("IF($A27="""","""",IFERROR(AVERAGE(query({CarteirasAtivos;CarteirasAtivosEncerrados},""select Col5 where Col5 is not null and Col1 = '""&amp;$A27&amp;""' and Col10='SIM'""))*AU27))"),"")</f>
        <v/>
      </c>
      <c r="BD27" s="1448" t="str">
        <f>IF(A27="","",IF(NOT('config.parâmetros'!$M$8),IF(int(J27)=J27,TEXT(J27,"###,##0"),TEXT(J27,"###,##0.#######")),IF(int(J27)=J27,TEXT(J27,"###,##0"),TEXT(J27,"###,##0.#######"))&amp;"
("&amp;T27&amp;")"))</f>
        <v/>
      </c>
      <c r="BE27" s="1442" t="str">
        <f t="shared" si="7"/>
        <v/>
      </c>
      <c r="BF27" s="1447" t="str">
        <f t="shared" si="8"/>
        <v/>
      </c>
      <c r="BG27" s="1449" t="str">
        <f t="shared" si="9"/>
        <v/>
      </c>
      <c r="BH27" s="1447" t="str">
        <f t="shared" si="10"/>
        <v/>
      </c>
      <c r="BI27" s="1447" t="str">
        <f t="shared" si="11"/>
        <v/>
      </c>
      <c r="BJ27" s="1449" t="str">
        <f t="shared" si="12"/>
        <v/>
      </c>
      <c r="BK27" s="1447" t="str">
        <f t="shared" si="13"/>
        <v/>
      </c>
      <c r="BL27" s="1447" t="str">
        <f t="shared" si="14"/>
        <v/>
      </c>
      <c r="BM27" s="1449" t="str">
        <f t="shared" si="15"/>
        <v/>
      </c>
      <c r="BN27" s="1447" t="str">
        <f t="shared" si="16"/>
        <v/>
      </c>
      <c r="BO27" s="1447" t="str">
        <f t="shared" si="17"/>
        <v/>
      </c>
      <c r="BP27" s="1448" t="str">
        <f t="shared" si="18"/>
        <v/>
      </c>
    </row>
    <row r="28">
      <c r="A28" s="1422"/>
      <c r="B28" s="1423"/>
      <c r="C28" s="1423"/>
      <c r="D28" s="1422"/>
      <c r="E28" s="1422"/>
      <c r="F28" s="1422"/>
      <c r="G28" s="1424"/>
      <c r="H28" s="1424"/>
      <c r="I28" s="1450"/>
      <c r="J28" s="1426"/>
      <c r="K28" s="1427"/>
      <c r="L28" s="1428"/>
      <c r="M28" s="1428"/>
      <c r="N28" s="1429"/>
      <c r="O28" s="1429"/>
      <c r="P28" s="1430"/>
      <c r="Q28" s="1430"/>
      <c r="R28" s="1431"/>
      <c r="S28" s="1432"/>
      <c r="T28" s="1433"/>
      <c r="U28" s="1422"/>
      <c r="V28" s="1422"/>
      <c r="W28" s="1422"/>
      <c r="X28" s="1422"/>
      <c r="Y28" s="1422"/>
      <c r="Z28" s="1422"/>
      <c r="AA28" s="1422"/>
      <c r="AB28" s="1422"/>
      <c r="AC28" s="1422"/>
      <c r="AD28" s="1422"/>
      <c r="AE28" s="1422"/>
      <c r="AF28" s="1422"/>
      <c r="AG28" s="1422"/>
      <c r="AH28" s="1422"/>
      <c r="AI28" s="1422"/>
      <c r="AJ28" s="1422"/>
      <c r="AK28" s="1434"/>
      <c r="AL28" s="1435"/>
      <c r="AM28" s="1436" t="str">
        <f>IF(NOT($J28),"",IFERROR(VLOOKUP(A28,ativos.!$C$3:$W303,MATCH("cotacao",ativos.!$C$2:BP$2,0),FALSE),P28*AU28))</f>
        <v/>
      </c>
      <c r="AN28" s="1437" t="str">
        <f t="shared" si="1"/>
        <v/>
      </c>
      <c r="AO28" s="1438" t="str">
        <f t="shared" si="2"/>
        <v/>
      </c>
      <c r="AP28" s="1439" t="str">
        <f t="shared" si="3"/>
        <v/>
      </c>
      <c r="AQ28" s="1440" t="str">
        <f t="shared" si="4"/>
        <v/>
      </c>
      <c r="AR28" s="1441" t="str">
        <f t="shared" si="5"/>
        <v/>
      </c>
      <c r="AS28" s="1442" t="str">
        <f>IF(NOT(J28),"",IFERROR(VLOOKUP(A28,ativos.!$C$3:$W303,MATCH("variacaopct_dias",ativos.!$C$2:BP$2,0),FALSE),""))</f>
        <v/>
      </c>
      <c r="AT28" s="1443"/>
      <c r="AU28" s="1444" t="str">
        <f>IF(NOT($J28),"",IFERROR(VLOOKUP(A28,ativos.!$C$3:$S303,MATCH("fator_fx",ativos.!$C$2:BP$2,0),FALSE),0))</f>
        <v/>
      </c>
      <c r="AV28" s="1442" t="str">
        <f>IF(NOT($J28),"",IFERROR(VLOOKUP(A28,ativos.!$C$3:$W303,MATCH("variacaopct",ativos.!$C$2:BP$2,0),FALSE)/100,R28))</f>
        <v/>
      </c>
      <c r="AW28" s="1445" t="str">
        <f>IFERROR(__xludf.DUMMYFUNCTION("IF(NOT($J28),"""",IF(S28='config.parâmetros'!$B$8,0,IFERROR(AU28/INDEX(SORT(GOOGLEFINANCE(S28&amp;'config.parâmetros'!$B$8,""price"",TODAY()-3,TODAY(),1),1,0),2,2)-1,0)))"),"")</f>
        <v/>
      </c>
      <c r="AX28" s="1446" t="str">
        <f>IFERROR(__xludf.DUMMYFUNCTION("IF(NOT(J28),"""",IF('config.parâmetros'!$M$8,SUM(IFERROR(filter(proventos!Q$5:Q303,proventos!L$5:L303=B28,proventos!C$5:C303&gt;=DATEVALUE(I28),proventos!R$5:R303=T28),0)),SUM(IFERROR(filter(proventos!Q$5:Q303,proventos!L$5:L303=B28,proventos!C$5:C303&gt;=DATEV"&amp;"ALUE(I28)),0))))"),"")</f>
        <v/>
      </c>
      <c r="AY28" s="1446">
        <f t="shared" si="6"/>
        <v>0</v>
      </c>
      <c r="AZ28" s="1446" t="str">
        <f>IFERROR(__xludf.DUMMYFUNCTION("IF(NOT(J28),"""",IF('config.parâmetros'!$M$8,SUM(IFERROR(filter(op.normal!P$5:P303,op.normal!N$5:N303=B28,op.normal!C$5:C303&gt;=DATEVALUE(I28),op.normal!AC$5:AC303=T28),0)),SUM(IFERROR(filter(op.normal!P$5:P303,op.normal!N$5:N303=B28,op.normal!C$5:C303&gt;=DAT"&amp;"EVALUE(I28)),0))))"),"")</f>
        <v/>
      </c>
      <c r="BA28" s="1447" t="str">
        <f>IFERROR(__xludf.DUMMYFUNCTION("IF(A28="""","""",IFERROR(query({CarteirasAtivos},""Select Col3 where Col1 ='""&amp;A28&amp;""' limit 1""))) "),"")</f>
        <v/>
      </c>
      <c r="BB28" s="1447" t="str">
        <f>IFERROR(__xludf.DUMMYFUNCTION("IF(A28="""","""",SUMPRODUCT(IF(IFERROR(MATCH(query({CarteirasAtivos},""Select Col2 where Col1 = '""&amp;A28&amp;""'""),CarteirasListaCriadasComTotal,0)),1,0)))"),"")</f>
        <v/>
      </c>
      <c r="BC28" s="1446" t="str">
        <f>IFERROR(__xludf.DUMMYFUNCTION("IF($A28="""","""",IFERROR(AVERAGE(query({CarteirasAtivos;CarteirasAtivosEncerrados},""select Col5 where Col5 is not null and Col1 = '""&amp;$A28&amp;""' and Col10='SIM'""))*AU28))"),"")</f>
        <v/>
      </c>
      <c r="BD28" s="1448" t="str">
        <f>IF(A28="","",IF(NOT('config.parâmetros'!$M$8),IF(int(J28)=J28,TEXT(J28,"###,##0"),TEXT(J28,"###,##0.#######")),IF(int(J28)=J28,TEXT(J28,"###,##0"),TEXT(J28,"###,##0.#######"))&amp;"
("&amp;T28&amp;")"))</f>
        <v/>
      </c>
      <c r="BE28" s="1442" t="str">
        <f t="shared" si="7"/>
        <v/>
      </c>
      <c r="BF28" s="1447" t="str">
        <f t="shared" si="8"/>
        <v/>
      </c>
      <c r="BG28" s="1449" t="str">
        <f t="shared" si="9"/>
        <v/>
      </c>
      <c r="BH28" s="1447" t="str">
        <f t="shared" si="10"/>
        <v/>
      </c>
      <c r="BI28" s="1447" t="str">
        <f t="shared" si="11"/>
        <v/>
      </c>
      <c r="BJ28" s="1449" t="str">
        <f t="shared" si="12"/>
        <v/>
      </c>
      <c r="BK28" s="1447" t="str">
        <f t="shared" si="13"/>
        <v/>
      </c>
      <c r="BL28" s="1447" t="str">
        <f t="shared" si="14"/>
        <v/>
      </c>
      <c r="BM28" s="1449" t="str">
        <f t="shared" si="15"/>
        <v/>
      </c>
      <c r="BN28" s="1447" t="str">
        <f t="shared" si="16"/>
        <v/>
      </c>
      <c r="BO28" s="1447" t="str">
        <f t="shared" si="17"/>
        <v/>
      </c>
      <c r="BP28" s="1448" t="str">
        <f t="shared" si="18"/>
        <v/>
      </c>
    </row>
    <row r="29">
      <c r="A29" s="1422"/>
      <c r="B29" s="1423"/>
      <c r="C29" s="1423"/>
      <c r="D29" s="1422"/>
      <c r="E29" s="1422"/>
      <c r="F29" s="1422"/>
      <c r="G29" s="1424"/>
      <c r="H29" s="1424"/>
      <c r="I29" s="1450"/>
      <c r="J29" s="1426"/>
      <c r="K29" s="1427"/>
      <c r="L29" s="1428"/>
      <c r="M29" s="1428"/>
      <c r="N29" s="1429"/>
      <c r="O29" s="1429"/>
      <c r="P29" s="1430"/>
      <c r="Q29" s="1430"/>
      <c r="R29" s="1431"/>
      <c r="S29" s="1432"/>
      <c r="T29" s="1433"/>
      <c r="U29" s="1422"/>
      <c r="V29" s="1422"/>
      <c r="W29" s="1422"/>
      <c r="X29" s="1422"/>
      <c r="Y29" s="1422"/>
      <c r="Z29" s="1422"/>
      <c r="AA29" s="1422"/>
      <c r="AB29" s="1422"/>
      <c r="AC29" s="1422"/>
      <c r="AD29" s="1422"/>
      <c r="AE29" s="1422"/>
      <c r="AF29" s="1422"/>
      <c r="AG29" s="1422"/>
      <c r="AH29" s="1422"/>
      <c r="AI29" s="1422"/>
      <c r="AJ29" s="1422"/>
      <c r="AK29" s="1434"/>
      <c r="AL29" s="1435"/>
      <c r="AM29" s="1436" t="str">
        <f>IF(NOT($J29),"",IFERROR(VLOOKUP(A29,ativos.!$C$3:$W303,MATCH("cotacao",ativos.!$C$2:BP$2,0),FALSE),P29*AU29))</f>
        <v/>
      </c>
      <c r="AN29" s="1437" t="str">
        <f t="shared" si="1"/>
        <v/>
      </c>
      <c r="AO29" s="1438" t="str">
        <f t="shared" si="2"/>
        <v/>
      </c>
      <c r="AP29" s="1439" t="str">
        <f t="shared" si="3"/>
        <v/>
      </c>
      <c r="AQ29" s="1440" t="str">
        <f t="shared" si="4"/>
        <v/>
      </c>
      <c r="AR29" s="1441" t="str">
        <f t="shared" si="5"/>
        <v/>
      </c>
      <c r="AS29" s="1442" t="str">
        <f>IF(NOT(J29),"",IFERROR(VLOOKUP(A29,ativos.!$C$3:$W303,MATCH("variacaopct_dias",ativos.!$C$2:BP$2,0),FALSE),""))</f>
        <v/>
      </c>
      <c r="AT29" s="1443"/>
      <c r="AU29" s="1444" t="str">
        <f>IF(NOT($J29),"",IFERROR(VLOOKUP(A29,ativos.!$C$3:$S303,MATCH("fator_fx",ativos.!$C$2:BP$2,0),FALSE),0))</f>
        <v/>
      </c>
      <c r="AV29" s="1442" t="str">
        <f>IF(NOT($J29),"",IFERROR(VLOOKUP(A29,ativos.!$C$3:$W303,MATCH("variacaopct",ativos.!$C$2:BP$2,0),FALSE)/100,R29))</f>
        <v/>
      </c>
      <c r="AW29" s="1445" t="str">
        <f>IFERROR(__xludf.DUMMYFUNCTION("IF(NOT($J29),"""",IF(S29='config.parâmetros'!$B$8,0,IFERROR(AU29/INDEX(SORT(GOOGLEFINANCE(S29&amp;'config.parâmetros'!$B$8,""price"",TODAY()-3,TODAY(),1),1,0),2,2)-1,0)))"),"")</f>
        <v/>
      </c>
      <c r="AX29" s="1446" t="str">
        <f>IFERROR(__xludf.DUMMYFUNCTION("IF(NOT(J29),"""",IF('config.parâmetros'!$M$8,SUM(IFERROR(filter(proventos!Q$5:Q303,proventos!L$5:L303=B29,proventos!C$5:C303&gt;=DATEVALUE(I29),proventos!R$5:R303=T29),0)),SUM(IFERROR(filter(proventos!Q$5:Q303,proventos!L$5:L303=B29,proventos!C$5:C303&gt;=DATEV"&amp;"ALUE(I29)),0))))"),"")</f>
        <v/>
      </c>
      <c r="AY29" s="1446">
        <f t="shared" si="6"/>
        <v>0</v>
      </c>
      <c r="AZ29" s="1446" t="str">
        <f>IFERROR(__xludf.DUMMYFUNCTION("IF(NOT(J29),"""",IF('config.parâmetros'!$M$8,SUM(IFERROR(filter(op.normal!P$5:P303,op.normal!N$5:N303=B29,op.normal!C$5:C303&gt;=DATEVALUE(I29),op.normal!AC$5:AC303=T29),0)),SUM(IFERROR(filter(op.normal!P$5:P303,op.normal!N$5:N303=B29,op.normal!C$5:C303&gt;=DAT"&amp;"EVALUE(I29)),0))))"),"")</f>
        <v/>
      </c>
      <c r="BA29" s="1447" t="str">
        <f>IFERROR(__xludf.DUMMYFUNCTION("IF(A29="""","""",IFERROR(query({CarteirasAtivos},""Select Col3 where Col1 ='""&amp;A29&amp;""' limit 1""))) "),"")</f>
        <v/>
      </c>
      <c r="BB29" s="1447" t="str">
        <f>IFERROR(__xludf.DUMMYFUNCTION("IF(A29="""","""",SUMPRODUCT(IF(IFERROR(MATCH(query({CarteirasAtivos},""Select Col2 where Col1 = '""&amp;A29&amp;""'""),CarteirasListaCriadasComTotal,0)),1,0)))"),"")</f>
        <v/>
      </c>
      <c r="BC29" s="1446" t="str">
        <f>IFERROR(__xludf.DUMMYFUNCTION("IF($A29="""","""",IFERROR(AVERAGE(query({CarteirasAtivos;CarteirasAtivosEncerrados},""select Col5 where Col5 is not null and Col1 = '""&amp;$A29&amp;""' and Col10='SIM'""))*AU29))"),"")</f>
        <v/>
      </c>
      <c r="BD29" s="1448" t="str">
        <f>IF(A29="","",IF(NOT('config.parâmetros'!$M$8),IF(int(J29)=J29,TEXT(J29,"###,##0"),TEXT(J29,"###,##0.#######")),IF(int(J29)=J29,TEXT(J29,"###,##0"),TEXT(J29,"###,##0.#######"))&amp;"
("&amp;T29&amp;")"))</f>
        <v/>
      </c>
      <c r="BE29" s="1442" t="str">
        <f t="shared" si="7"/>
        <v/>
      </c>
      <c r="BF29" s="1447" t="str">
        <f t="shared" si="8"/>
        <v/>
      </c>
      <c r="BG29" s="1449" t="str">
        <f t="shared" si="9"/>
        <v/>
      </c>
      <c r="BH29" s="1447" t="str">
        <f t="shared" si="10"/>
        <v/>
      </c>
      <c r="BI29" s="1447" t="str">
        <f t="shared" si="11"/>
        <v/>
      </c>
      <c r="BJ29" s="1449" t="str">
        <f t="shared" si="12"/>
        <v/>
      </c>
      <c r="BK29" s="1447" t="str">
        <f t="shared" si="13"/>
        <v/>
      </c>
      <c r="BL29" s="1447" t="str">
        <f t="shared" si="14"/>
        <v/>
      </c>
      <c r="BM29" s="1449" t="str">
        <f t="shared" si="15"/>
        <v/>
      </c>
      <c r="BN29" s="1447" t="str">
        <f t="shared" si="16"/>
        <v/>
      </c>
      <c r="BO29" s="1447" t="str">
        <f t="shared" si="17"/>
        <v/>
      </c>
      <c r="BP29" s="1448" t="str">
        <f t="shared" si="18"/>
        <v/>
      </c>
    </row>
    <row r="30">
      <c r="A30" s="1422"/>
      <c r="B30" s="1423"/>
      <c r="C30" s="1423"/>
      <c r="D30" s="1422"/>
      <c r="E30" s="1422"/>
      <c r="F30" s="1422"/>
      <c r="G30" s="1424"/>
      <c r="H30" s="1424"/>
      <c r="I30" s="1450"/>
      <c r="J30" s="1426"/>
      <c r="K30" s="1427"/>
      <c r="L30" s="1428"/>
      <c r="M30" s="1428"/>
      <c r="N30" s="1429"/>
      <c r="O30" s="1429"/>
      <c r="P30" s="1430"/>
      <c r="Q30" s="1430"/>
      <c r="R30" s="1431"/>
      <c r="S30" s="1432"/>
      <c r="T30" s="1433"/>
      <c r="U30" s="1422"/>
      <c r="V30" s="1422"/>
      <c r="W30" s="1422"/>
      <c r="X30" s="1422"/>
      <c r="Y30" s="1422"/>
      <c r="Z30" s="1422"/>
      <c r="AA30" s="1422"/>
      <c r="AB30" s="1422"/>
      <c r="AC30" s="1422"/>
      <c r="AD30" s="1422"/>
      <c r="AE30" s="1422"/>
      <c r="AF30" s="1422"/>
      <c r="AG30" s="1422"/>
      <c r="AH30" s="1422"/>
      <c r="AI30" s="1422"/>
      <c r="AJ30" s="1422"/>
      <c r="AK30" s="1434"/>
      <c r="AL30" s="1435"/>
      <c r="AM30" s="1436" t="str">
        <f>IF(NOT($J30),"",IFERROR(VLOOKUP(A30,ativos.!$C$3:$W303,MATCH("cotacao",ativos.!$C$2:BP$2,0),FALSE),P30*AU30))</f>
        <v/>
      </c>
      <c r="AN30" s="1437" t="str">
        <f t="shared" si="1"/>
        <v/>
      </c>
      <c r="AO30" s="1438" t="str">
        <f t="shared" si="2"/>
        <v/>
      </c>
      <c r="AP30" s="1439" t="str">
        <f t="shared" si="3"/>
        <v/>
      </c>
      <c r="AQ30" s="1440" t="str">
        <f t="shared" si="4"/>
        <v/>
      </c>
      <c r="AR30" s="1441" t="str">
        <f t="shared" si="5"/>
        <v/>
      </c>
      <c r="AS30" s="1442" t="str">
        <f>IF(NOT(J30),"",IFERROR(VLOOKUP(A30,ativos.!$C$3:$W303,MATCH("variacaopct_dias",ativos.!$C$2:BP$2,0),FALSE),""))</f>
        <v/>
      </c>
      <c r="AT30" s="1443"/>
      <c r="AU30" s="1444" t="str">
        <f>IF(NOT($J30),"",IFERROR(VLOOKUP(A30,ativos.!$C$3:$S303,MATCH("fator_fx",ativos.!$C$2:BP$2,0),FALSE),0))</f>
        <v/>
      </c>
      <c r="AV30" s="1442" t="str">
        <f>IF(NOT($J30),"",IFERROR(VLOOKUP(A30,ativos.!$C$3:$W303,MATCH("variacaopct",ativos.!$C$2:BP$2,0),FALSE)/100,R30))</f>
        <v/>
      </c>
      <c r="AW30" s="1445" t="str">
        <f>IFERROR(__xludf.DUMMYFUNCTION("IF(NOT($J30),"""",IF(S30='config.parâmetros'!$B$8,0,IFERROR(AU30/INDEX(SORT(GOOGLEFINANCE(S30&amp;'config.parâmetros'!$B$8,""price"",TODAY()-3,TODAY(),1),1,0),2,2)-1,0)))"),"")</f>
        <v/>
      </c>
      <c r="AX30" s="1446" t="str">
        <f>IFERROR(__xludf.DUMMYFUNCTION("IF(NOT(J30),"""",IF('config.parâmetros'!$M$8,SUM(IFERROR(filter(proventos!Q$5:Q303,proventos!L$5:L303=B30,proventos!C$5:C303&gt;=DATEVALUE(I30),proventos!R$5:R303=T30),0)),SUM(IFERROR(filter(proventos!Q$5:Q303,proventos!L$5:L303=B30,proventos!C$5:C303&gt;=DATEV"&amp;"ALUE(I30)),0))))"),"")</f>
        <v/>
      </c>
      <c r="AY30" s="1446">
        <f t="shared" si="6"/>
        <v>0</v>
      </c>
      <c r="AZ30" s="1446" t="str">
        <f>IFERROR(__xludf.DUMMYFUNCTION("IF(NOT(J30),"""",IF('config.parâmetros'!$M$8,SUM(IFERROR(filter(op.normal!P$5:P303,op.normal!N$5:N303=B30,op.normal!C$5:C303&gt;=DATEVALUE(I30),op.normal!AC$5:AC303=T30),0)),SUM(IFERROR(filter(op.normal!P$5:P303,op.normal!N$5:N303=B30,op.normal!C$5:C303&gt;=DAT"&amp;"EVALUE(I30)),0))))"),"")</f>
        <v/>
      </c>
      <c r="BA30" s="1447" t="str">
        <f>IFERROR(__xludf.DUMMYFUNCTION("IF(A30="""","""",IFERROR(query({CarteirasAtivos},""Select Col3 where Col1 ='""&amp;A30&amp;""' limit 1""))) "),"")</f>
        <v/>
      </c>
      <c r="BB30" s="1447" t="str">
        <f>IFERROR(__xludf.DUMMYFUNCTION("IF(A30="""","""",SUMPRODUCT(IF(IFERROR(MATCH(query({CarteirasAtivos},""Select Col2 where Col1 = '""&amp;A30&amp;""'""),CarteirasListaCriadasComTotal,0)),1,0)))"),"")</f>
        <v/>
      </c>
      <c r="BC30" s="1446" t="str">
        <f>IFERROR(__xludf.DUMMYFUNCTION("IF($A30="""","""",IFERROR(AVERAGE(query({CarteirasAtivos;CarteirasAtivosEncerrados},""select Col5 where Col5 is not null and Col1 = '""&amp;$A30&amp;""' and Col10='SIM'""))*AU30))"),"")</f>
        <v/>
      </c>
      <c r="BD30" s="1448" t="str">
        <f>IF(A30="","",IF(NOT('config.parâmetros'!$M$8),IF(int(J30)=J30,TEXT(J30,"###,##0"),TEXT(J30,"###,##0.#######")),IF(int(J30)=J30,TEXT(J30,"###,##0"),TEXT(J30,"###,##0.#######"))&amp;"
("&amp;T30&amp;")"))</f>
        <v/>
      </c>
      <c r="BE30" s="1442" t="str">
        <f t="shared" si="7"/>
        <v/>
      </c>
      <c r="BF30" s="1447" t="str">
        <f t="shared" si="8"/>
        <v/>
      </c>
      <c r="BG30" s="1449" t="str">
        <f t="shared" si="9"/>
        <v/>
      </c>
      <c r="BH30" s="1447" t="str">
        <f t="shared" si="10"/>
        <v/>
      </c>
      <c r="BI30" s="1447" t="str">
        <f t="shared" si="11"/>
        <v/>
      </c>
      <c r="BJ30" s="1449" t="str">
        <f t="shared" si="12"/>
        <v/>
      </c>
      <c r="BK30" s="1447" t="str">
        <f t="shared" si="13"/>
        <v/>
      </c>
      <c r="BL30" s="1447" t="str">
        <f t="shared" si="14"/>
        <v/>
      </c>
      <c r="BM30" s="1449" t="str">
        <f t="shared" si="15"/>
        <v/>
      </c>
      <c r="BN30" s="1447" t="str">
        <f t="shared" si="16"/>
        <v/>
      </c>
      <c r="BO30" s="1447" t="str">
        <f t="shared" si="17"/>
        <v/>
      </c>
      <c r="BP30" s="1448" t="str">
        <f t="shared" si="18"/>
        <v/>
      </c>
    </row>
    <row r="31">
      <c r="A31" s="1422"/>
      <c r="B31" s="1423"/>
      <c r="C31" s="1423"/>
      <c r="D31" s="1422"/>
      <c r="E31" s="1422"/>
      <c r="F31" s="1422"/>
      <c r="G31" s="1424"/>
      <c r="H31" s="1424"/>
      <c r="I31" s="1450"/>
      <c r="J31" s="1426"/>
      <c r="K31" s="1427"/>
      <c r="L31" s="1428"/>
      <c r="M31" s="1428"/>
      <c r="N31" s="1429"/>
      <c r="O31" s="1429"/>
      <c r="P31" s="1430"/>
      <c r="Q31" s="1430"/>
      <c r="R31" s="1431"/>
      <c r="S31" s="1432"/>
      <c r="T31" s="1433"/>
      <c r="U31" s="1422"/>
      <c r="V31" s="1422"/>
      <c r="W31" s="1422"/>
      <c r="X31" s="1422"/>
      <c r="Y31" s="1422"/>
      <c r="Z31" s="1422"/>
      <c r="AA31" s="1422"/>
      <c r="AB31" s="1422"/>
      <c r="AC31" s="1422"/>
      <c r="AD31" s="1422"/>
      <c r="AE31" s="1422"/>
      <c r="AF31" s="1422"/>
      <c r="AG31" s="1422"/>
      <c r="AH31" s="1422"/>
      <c r="AI31" s="1422"/>
      <c r="AJ31" s="1422"/>
      <c r="AK31" s="1434"/>
      <c r="AL31" s="1435"/>
      <c r="AM31" s="1436" t="str">
        <f>IF(NOT($J31),"",IFERROR(VLOOKUP(A31,ativos.!$C$3:$W303,MATCH("cotacao",ativos.!$C$2:BP$2,0),FALSE),P31*AU31))</f>
        <v/>
      </c>
      <c r="AN31" s="1437" t="str">
        <f t="shared" si="1"/>
        <v/>
      </c>
      <c r="AO31" s="1438" t="str">
        <f t="shared" si="2"/>
        <v/>
      </c>
      <c r="AP31" s="1439" t="str">
        <f t="shared" si="3"/>
        <v/>
      </c>
      <c r="AQ31" s="1440" t="str">
        <f t="shared" si="4"/>
        <v/>
      </c>
      <c r="AR31" s="1441" t="str">
        <f t="shared" si="5"/>
        <v/>
      </c>
      <c r="AS31" s="1442" t="str">
        <f>IF(NOT(J31),"",IFERROR(VLOOKUP(A31,ativos.!$C$3:$W303,MATCH("variacaopct_dias",ativos.!$C$2:BP$2,0),FALSE),""))</f>
        <v/>
      </c>
      <c r="AT31" s="1443"/>
      <c r="AU31" s="1444" t="str">
        <f>IF(NOT($J31),"",IFERROR(VLOOKUP(A31,ativos.!$C$3:$S303,MATCH("fator_fx",ativos.!$C$2:BP$2,0),FALSE),0))</f>
        <v/>
      </c>
      <c r="AV31" s="1442" t="str">
        <f>IF(NOT($J31),"",IFERROR(VLOOKUP(A31,ativos.!$C$3:$W303,MATCH("variacaopct",ativos.!$C$2:BP$2,0),FALSE)/100,R31))</f>
        <v/>
      </c>
      <c r="AW31" s="1445" t="str">
        <f>IFERROR(__xludf.DUMMYFUNCTION("IF(NOT($J31),"""",IF(S31='config.parâmetros'!$B$8,0,IFERROR(AU31/INDEX(SORT(GOOGLEFINANCE(S31&amp;'config.parâmetros'!$B$8,""price"",TODAY()-3,TODAY(),1),1,0),2,2)-1,0)))"),"")</f>
        <v/>
      </c>
      <c r="AX31" s="1446" t="str">
        <f>IFERROR(__xludf.DUMMYFUNCTION("IF(NOT(J31),"""",IF('config.parâmetros'!$M$8,SUM(IFERROR(filter(proventos!Q$5:Q303,proventos!L$5:L303=B31,proventos!C$5:C303&gt;=DATEVALUE(I31),proventos!R$5:R303=T31),0)),SUM(IFERROR(filter(proventos!Q$5:Q303,proventos!L$5:L303=B31,proventos!C$5:C303&gt;=DATEV"&amp;"ALUE(I31)),0))))"),"")</f>
        <v/>
      </c>
      <c r="AY31" s="1446">
        <f t="shared" si="6"/>
        <v>0</v>
      </c>
      <c r="AZ31" s="1446" t="str">
        <f>IFERROR(__xludf.DUMMYFUNCTION("IF(NOT(J31),"""",IF('config.parâmetros'!$M$8,SUM(IFERROR(filter(op.normal!P$5:P303,op.normal!N$5:N303=B31,op.normal!C$5:C303&gt;=DATEVALUE(I31),op.normal!AC$5:AC303=T31),0)),SUM(IFERROR(filter(op.normal!P$5:P303,op.normal!N$5:N303=B31,op.normal!C$5:C303&gt;=DAT"&amp;"EVALUE(I31)),0))))"),"")</f>
        <v/>
      </c>
      <c r="BA31" s="1447" t="str">
        <f>IFERROR(__xludf.DUMMYFUNCTION("IF(A31="""","""",IFERROR(query({CarteirasAtivos},""Select Col3 where Col1 ='""&amp;A31&amp;""' limit 1""))) "),"")</f>
        <v/>
      </c>
      <c r="BB31" s="1447" t="str">
        <f>IFERROR(__xludf.DUMMYFUNCTION("IF(A31="""","""",SUMPRODUCT(IF(IFERROR(MATCH(query({CarteirasAtivos},""Select Col2 where Col1 = '""&amp;A31&amp;""'""),CarteirasListaCriadasComTotal,0)),1,0)))"),"")</f>
        <v/>
      </c>
      <c r="BC31" s="1446" t="str">
        <f>IFERROR(__xludf.DUMMYFUNCTION("IF($A31="""","""",IFERROR(AVERAGE(query({CarteirasAtivos;CarteirasAtivosEncerrados},""select Col5 where Col5 is not null and Col1 = '""&amp;$A31&amp;""' and Col10='SIM'""))*AU31))"),"")</f>
        <v/>
      </c>
      <c r="BD31" s="1448" t="str">
        <f>IF(A31="","",IF(NOT('config.parâmetros'!$M$8),IF(int(J31)=J31,TEXT(J31,"###,##0"),TEXT(J31,"###,##0.#######")),IF(int(J31)=J31,TEXT(J31,"###,##0"),TEXT(J31,"###,##0.#######"))&amp;"
("&amp;T31&amp;")"))</f>
        <v/>
      </c>
      <c r="BE31" s="1442" t="str">
        <f t="shared" si="7"/>
        <v/>
      </c>
      <c r="BF31" s="1447" t="str">
        <f t="shared" si="8"/>
        <v/>
      </c>
      <c r="BG31" s="1449" t="str">
        <f t="shared" si="9"/>
        <v/>
      </c>
      <c r="BH31" s="1447" t="str">
        <f t="shared" si="10"/>
        <v/>
      </c>
      <c r="BI31" s="1447" t="str">
        <f t="shared" si="11"/>
        <v/>
      </c>
      <c r="BJ31" s="1449" t="str">
        <f t="shared" si="12"/>
        <v/>
      </c>
      <c r="BK31" s="1447" t="str">
        <f t="shared" si="13"/>
        <v/>
      </c>
      <c r="BL31" s="1447" t="str">
        <f t="shared" si="14"/>
        <v/>
      </c>
      <c r="BM31" s="1449" t="str">
        <f t="shared" si="15"/>
        <v/>
      </c>
      <c r="BN31" s="1447" t="str">
        <f t="shared" si="16"/>
        <v/>
      </c>
      <c r="BO31" s="1447" t="str">
        <f t="shared" si="17"/>
        <v/>
      </c>
      <c r="BP31" s="1448" t="str">
        <f t="shared" si="18"/>
        <v/>
      </c>
    </row>
    <row r="32">
      <c r="A32" s="1422"/>
      <c r="B32" s="1423"/>
      <c r="C32" s="1423"/>
      <c r="D32" s="1422"/>
      <c r="E32" s="1422"/>
      <c r="F32" s="1422"/>
      <c r="G32" s="1424"/>
      <c r="H32" s="1424"/>
      <c r="I32" s="1450"/>
      <c r="J32" s="1426"/>
      <c r="K32" s="1427"/>
      <c r="L32" s="1428"/>
      <c r="M32" s="1428"/>
      <c r="N32" s="1429"/>
      <c r="O32" s="1429"/>
      <c r="P32" s="1430"/>
      <c r="Q32" s="1430"/>
      <c r="R32" s="1431"/>
      <c r="S32" s="1432"/>
      <c r="T32" s="1433"/>
      <c r="U32" s="1422"/>
      <c r="V32" s="1422"/>
      <c r="W32" s="1422"/>
      <c r="X32" s="1422"/>
      <c r="Y32" s="1422"/>
      <c r="Z32" s="1422"/>
      <c r="AA32" s="1422"/>
      <c r="AB32" s="1422"/>
      <c r="AC32" s="1422"/>
      <c r="AD32" s="1422"/>
      <c r="AE32" s="1422"/>
      <c r="AF32" s="1422"/>
      <c r="AG32" s="1422"/>
      <c r="AH32" s="1422"/>
      <c r="AI32" s="1422"/>
      <c r="AJ32" s="1422"/>
      <c r="AK32" s="1434"/>
      <c r="AL32" s="1435"/>
      <c r="AM32" s="1436" t="str">
        <f>IF(NOT($J32),"",IFERROR(VLOOKUP(A32,ativos.!$C$3:$W303,MATCH("cotacao",ativos.!$C$2:BP$2,0),FALSE),P32*AU32))</f>
        <v/>
      </c>
      <c r="AN32" s="1437" t="str">
        <f t="shared" si="1"/>
        <v/>
      </c>
      <c r="AO32" s="1438" t="str">
        <f t="shared" si="2"/>
        <v/>
      </c>
      <c r="AP32" s="1439" t="str">
        <f t="shared" si="3"/>
        <v/>
      </c>
      <c r="AQ32" s="1440" t="str">
        <f t="shared" si="4"/>
        <v/>
      </c>
      <c r="AR32" s="1441" t="str">
        <f t="shared" si="5"/>
        <v/>
      </c>
      <c r="AS32" s="1442" t="str">
        <f>IF(NOT(J32),"",IFERROR(VLOOKUP(A32,ativos.!$C$3:$W303,MATCH("variacaopct_dias",ativos.!$C$2:BP$2,0),FALSE),""))</f>
        <v/>
      </c>
      <c r="AT32" s="1443"/>
      <c r="AU32" s="1444" t="str">
        <f>IF(NOT($J32),"",IFERROR(VLOOKUP(A32,ativos.!$C$3:$S303,MATCH("fator_fx",ativos.!$C$2:BP$2,0),FALSE),0))</f>
        <v/>
      </c>
      <c r="AV32" s="1442" t="str">
        <f>IF(NOT($J32),"",IFERROR(VLOOKUP(A32,ativos.!$C$3:$W303,MATCH("variacaopct",ativos.!$C$2:BP$2,0),FALSE)/100,R32))</f>
        <v/>
      </c>
      <c r="AW32" s="1445" t="str">
        <f>IFERROR(__xludf.DUMMYFUNCTION("IF(NOT($J32),"""",IF(S32='config.parâmetros'!$B$8,0,IFERROR(AU32/INDEX(SORT(GOOGLEFINANCE(S32&amp;'config.parâmetros'!$B$8,""price"",TODAY()-3,TODAY(),1),1,0),2,2)-1,0)))"),"")</f>
        <v/>
      </c>
      <c r="AX32" s="1446" t="str">
        <f>IFERROR(__xludf.DUMMYFUNCTION("IF(NOT(J32),"""",IF('config.parâmetros'!$M$8,SUM(IFERROR(filter(proventos!Q$5:Q303,proventos!L$5:L303=B32,proventos!C$5:C303&gt;=DATEVALUE(I32),proventos!R$5:R303=T32),0)),SUM(IFERROR(filter(proventos!Q$5:Q303,proventos!L$5:L303=B32,proventos!C$5:C303&gt;=DATEV"&amp;"ALUE(I32)),0))))"),"")</f>
        <v/>
      </c>
      <c r="AY32" s="1446">
        <f t="shared" si="6"/>
        <v>0</v>
      </c>
      <c r="AZ32" s="1446" t="str">
        <f>IFERROR(__xludf.DUMMYFUNCTION("IF(NOT(J32),"""",IF('config.parâmetros'!$M$8,SUM(IFERROR(filter(op.normal!P$5:P303,op.normal!N$5:N303=B32,op.normal!C$5:C303&gt;=DATEVALUE(I32),op.normal!AC$5:AC303=T32),0)),SUM(IFERROR(filter(op.normal!P$5:P303,op.normal!N$5:N303=B32,op.normal!C$5:C303&gt;=DAT"&amp;"EVALUE(I32)),0))))"),"")</f>
        <v/>
      </c>
      <c r="BA32" s="1447" t="str">
        <f>IFERROR(__xludf.DUMMYFUNCTION("IF(A32="""","""",IFERROR(query({CarteirasAtivos},""Select Col3 where Col1 ='""&amp;A32&amp;""' limit 1""))) "),"")</f>
        <v/>
      </c>
      <c r="BB32" s="1447" t="str">
        <f>IFERROR(__xludf.DUMMYFUNCTION("IF(A32="""","""",SUMPRODUCT(IF(IFERROR(MATCH(query({CarteirasAtivos},""Select Col2 where Col1 = '""&amp;A32&amp;""'""),CarteirasListaCriadasComTotal,0)),1,0)))"),"")</f>
        <v/>
      </c>
      <c r="BC32" s="1446" t="str">
        <f>IFERROR(__xludf.DUMMYFUNCTION("IF($A32="""","""",IFERROR(AVERAGE(query({CarteirasAtivos;CarteirasAtivosEncerrados},""select Col5 where Col5 is not null and Col1 = '""&amp;$A32&amp;""' and Col10='SIM'""))*AU32))"),"")</f>
        <v/>
      </c>
      <c r="BD32" s="1448" t="str">
        <f>IF(A32="","",IF(NOT('config.parâmetros'!$M$8),IF(int(J32)=J32,TEXT(J32,"###,##0"),TEXT(J32,"###,##0.#######")),IF(int(J32)=J32,TEXT(J32,"###,##0"),TEXT(J32,"###,##0.#######"))&amp;"
("&amp;T32&amp;")"))</f>
        <v/>
      </c>
      <c r="BE32" s="1442" t="str">
        <f t="shared" si="7"/>
        <v/>
      </c>
      <c r="BF32" s="1447" t="str">
        <f t="shared" si="8"/>
        <v/>
      </c>
      <c r="BG32" s="1449" t="str">
        <f t="shared" si="9"/>
        <v/>
      </c>
      <c r="BH32" s="1447" t="str">
        <f t="shared" si="10"/>
        <v/>
      </c>
      <c r="BI32" s="1447" t="str">
        <f t="shared" si="11"/>
        <v/>
      </c>
      <c r="BJ32" s="1449" t="str">
        <f t="shared" si="12"/>
        <v/>
      </c>
      <c r="BK32" s="1447" t="str">
        <f t="shared" si="13"/>
        <v/>
      </c>
      <c r="BL32" s="1447" t="str">
        <f t="shared" si="14"/>
        <v/>
      </c>
      <c r="BM32" s="1449" t="str">
        <f t="shared" si="15"/>
        <v/>
      </c>
      <c r="BN32" s="1447" t="str">
        <f t="shared" si="16"/>
        <v/>
      </c>
      <c r="BO32" s="1447" t="str">
        <f t="shared" si="17"/>
        <v/>
      </c>
      <c r="BP32" s="1448" t="str">
        <f t="shared" si="18"/>
        <v/>
      </c>
    </row>
    <row r="33">
      <c r="A33" s="1422"/>
      <c r="B33" s="1423"/>
      <c r="C33" s="1423"/>
      <c r="D33" s="1422"/>
      <c r="E33" s="1422"/>
      <c r="F33" s="1422"/>
      <c r="G33" s="1424"/>
      <c r="H33" s="1424"/>
      <c r="I33" s="1450"/>
      <c r="J33" s="1426"/>
      <c r="K33" s="1427"/>
      <c r="L33" s="1428"/>
      <c r="M33" s="1428"/>
      <c r="N33" s="1429"/>
      <c r="O33" s="1429"/>
      <c r="P33" s="1430"/>
      <c r="Q33" s="1430"/>
      <c r="R33" s="1431"/>
      <c r="S33" s="1432"/>
      <c r="T33" s="1433"/>
      <c r="U33" s="1422"/>
      <c r="V33" s="1422"/>
      <c r="W33" s="1422"/>
      <c r="X33" s="1422"/>
      <c r="Y33" s="1422"/>
      <c r="Z33" s="1422"/>
      <c r="AA33" s="1422"/>
      <c r="AB33" s="1422"/>
      <c r="AC33" s="1422"/>
      <c r="AD33" s="1422"/>
      <c r="AE33" s="1422"/>
      <c r="AF33" s="1422"/>
      <c r="AG33" s="1422"/>
      <c r="AH33" s="1422"/>
      <c r="AI33" s="1422"/>
      <c r="AJ33" s="1422"/>
      <c r="AK33" s="1434"/>
      <c r="AL33" s="1435"/>
      <c r="AM33" s="1436" t="str">
        <f>IF(NOT($J33),"",IFERROR(VLOOKUP(A33,ativos.!$C$3:$W303,MATCH("cotacao",ativos.!$C$2:BP$2,0),FALSE),P33*AU33))</f>
        <v/>
      </c>
      <c r="AN33" s="1437" t="str">
        <f t="shared" si="1"/>
        <v/>
      </c>
      <c r="AO33" s="1438" t="str">
        <f t="shared" si="2"/>
        <v/>
      </c>
      <c r="AP33" s="1439" t="str">
        <f t="shared" si="3"/>
        <v/>
      </c>
      <c r="AQ33" s="1440" t="str">
        <f t="shared" si="4"/>
        <v/>
      </c>
      <c r="AR33" s="1441" t="str">
        <f t="shared" si="5"/>
        <v/>
      </c>
      <c r="AS33" s="1442" t="str">
        <f>IF(NOT(J33),"",IFERROR(VLOOKUP(A33,ativos.!$C$3:$W303,MATCH("variacaopct_dias",ativos.!$C$2:BP$2,0),FALSE),""))</f>
        <v/>
      </c>
      <c r="AT33" s="1443"/>
      <c r="AU33" s="1444" t="str">
        <f>IF(NOT($J33),"",IFERROR(VLOOKUP(A33,ativos.!$C$3:$S303,MATCH("fator_fx",ativos.!$C$2:BP$2,0),FALSE),0))</f>
        <v/>
      </c>
      <c r="AV33" s="1442" t="str">
        <f>IF(NOT($J33),"",IFERROR(VLOOKUP(A33,ativos.!$C$3:$W303,MATCH("variacaopct",ativos.!$C$2:BP$2,0),FALSE)/100,R33))</f>
        <v/>
      </c>
      <c r="AW33" s="1445" t="str">
        <f>IFERROR(__xludf.DUMMYFUNCTION("IF(NOT($J33),"""",IF(S33='config.parâmetros'!$B$8,0,IFERROR(AU33/INDEX(SORT(GOOGLEFINANCE(S33&amp;'config.parâmetros'!$B$8,""price"",TODAY()-3,TODAY(),1),1,0),2,2)-1,0)))"),"")</f>
        <v/>
      </c>
      <c r="AX33" s="1446" t="str">
        <f>IFERROR(__xludf.DUMMYFUNCTION("IF(NOT(J33),"""",IF('config.parâmetros'!$M$8,SUM(IFERROR(filter(proventos!Q$5:Q303,proventos!L$5:L303=B33,proventos!C$5:C303&gt;=DATEVALUE(I33),proventos!R$5:R303=T33),0)),SUM(IFERROR(filter(proventos!Q$5:Q303,proventos!L$5:L303=B33,proventos!C$5:C303&gt;=DATEV"&amp;"ALUE(I33)),0))))"),"")</f>
        <v/>
      </c>
      <c r="AY33" s="1446">
        <f t="shared" si="6"/>
        <v>0</v>
      </c>
      <c r="AZ33" s="1446" t="str">
        <f>IFERROR(__xludf.DUMMYFUNCTION("IF(NOT(J33),"""",IF('config.parâmetros'!$M$8,SUM(IFERROR(filter(op.normal!P$5:P303,op.normal!N$5:N303=B33,op.normal!C$5:C303&gt;=DATEVALUE(I33),op.normal!AC$5:AC303=T33),0)),SUM(IFERROR(filter(op.normal!P$5:P303,op.normal!N$5:N303=B33,op.normal!C$5:C303&gt;=DAT"&amp;"EVALUE(I33)),0))))"),"")</f>
        <v/>
      </c>
      <c r="BA33" s="1447" t="str">
        <f>IFERROR(__xludf.DUMMYFUNCTION("IF(A33="""","""",IFERROR(query({CarteirasAtivos},""Select Col3 where Col1 ='""&amp;A33&amp;""' limit 1""))) "),"")</f>
        <v/>
      </c>
      <c r="BB33" s="1447" t="str">
        <f>IFERROR(__xludf.DUMMYFUNCTION("IF(A33="""","""",SUMPRODUCT(IF(IFERROR(MATCH(query({CarteirasAtivos},""Select Col2 where Col1 = '""&amp;A33&amp;""'""),CarteirasListaCriadasComTotal,0)),1,0)))"),"")</f>
        <v/>
      </c>
      <c r="BC33" s="1446" t="str">
        <f>IFERROR(__xludf.DUMMYFUNCTION("IF($A33="""","""",IFERROR(AVERAGE(query({CarteirasAtivos;CarteirasAtivosEncerrados},""select Col5 where Col5 is not null and Col1 = '""&amp;$A33&amp;""' and Col10='SIM'""))*AU33))"),"")</f>
        <v/>
      </c>
      <c r="BD33" s="1448" t="str">
        <f>IF(A33="","",IF(NOT('config.parâmetros'!$M$8),IF(int(J33)=J33,TEXT(J33,"###,##0"),TEXT(J33,"###,##0.#######")),IF(int(J33)=J33,TEXT(J33,"###,##0"),TEXT(J33,"###,##0.#######"))&amp;"
("&amp;T33&amp;")"))</f>
        <v/>
      </c>
      <c r="BE33" s="1442" t="str">
        <f t="shared" si="7"/>
        <v/>
      </c>
      <c r="BF33" s="1447" t="str">
        <f t="shared" si="8"/>
        <v/>
      </c>
      <c r="BG33" s="1449" t="str">
        <f t="shared" si="9"/>
        <v/>
      </c>
      <c r="BH33" s="1447" t="str">
        <f t="shared" si="10"/>
        <v/>
      </c>
      <c r="BI33" s="1447" t="str">
        <f t="shared" si="11"/>
        <v/>
      </c>
      <c r="BJ33" s="1449" t="str">
        <f t="shared" si="12"/>
        <v/>
      </c>
      <c r="BK33" s="1447" t="str">
        <f t="shared" si="13"/>
        <v/>
      </c>
      <c r="BL33" s="1447" t="str">
        <f t="shared" si="14"/>
        <v/>
      </c>
      <c r="BM33" s="1449" t="str">
        <f t="shared" si="15"/>
        <v/>
      </c>
      <c r="BN33" s="1447" t="str">
        <f t="shared" si="16"/>
        <v/>
      </c>
      <c r="BO33" s="1447" t="str">
        <f t="shared" si="17"/>
        <v/>
      </c>
      <c r="BP33" s="1448" t="str">
        <f t="shared" si="18"/>
        <v/>
      </c>
    </row>
    <row r="34">
      <c r="A34" s="1422"/>
      <c r="B34" s="1423"/>
      <c r="C34" s="1423"/>
      <c r="D34" s="1422"/>
      <c r="E34" s="1422"/>
      <c r="F34" s="1422"/>
      <c r="G34" s="1424"/>
      <c r="H34" s="1424"/>
      <c r="I34" s="1450"/>
      <c r="J34" s="1426"/>
      <c r="K34" s="1427"/>
      <c r="L34" s="1428"/>
      <c r="M34" s="1428"/>
      <c r="N34" s="1429"/>
      <c r="O34" s="1429"/>
      <c r="P34" s="1430"/>
      <c r="Q34" s="1430"/>
      <c r="R34" s="1431"/>
      <c r="S34" s="1432"/>
      <c r="T34" s="1433"/>
      <c r="U34" s="1422"/>
      <c r="V34" s="1422"/>
      <c r="W34" s="1422"/>
      <c r="X34" s="1422"/>
      <c r="Y34" s="1422"/>
      <c r="Z34" s="1422"/>
      <c r="AA34" s="1422"/>
      <c r="AB34" s="1422"/>
      <c r="AC34" s="1422"/>
      <c r="AD34" s="1422"/>
      <c r="AE34" s="1422"/>
      <c r="AF34" s="1422"/>
      <c r="AG34" s="1422"/>
      <c r="AH34" s="1422"/>
      <c r="AI34" s="1422"/>
      <c r="AJ34" s="1422"/>
      <c r="AK34" s="1434"/>
      <c r="AL34" s="1435"/>
      <c r="AM34" s="1436" t="str">
        <f>IF(NOT($J34),"",IFERROR(VLOOKUP(A34,ativos.!$C$3:$W303,MATCH("cotacao",ativos.!$C$2:BP$2,0),FALSE),P34*AU34))</f>
        <v/>
      </c>
      <c r="AN34" s="1437" t="str">
        <f t="shared" si="1"/>
        <v/>
      </c>
      <c r="AO34" s="1438" t="str">
        <f t="shared" si="2"/>
        <v/>
      </c>
      <c r="AP34" s="1439" t="str">
        <f t="shared" si="3"/>
        <v/>
      </c>
      <c r="AQ34" s="1440" t="str">
        <f t="shared" si="4"/>
        <v/>
      </c>
      <c r="AR34" s="1441" t="str">
        <f t="shared" si="5"/>
        <v/>
      </c>
      <c r="AS34" s="1442" t="str">
        <f>IF(NOT(J34),"",IFERROR(VLOOKUP(A34,ativos.!$C$3:$W303,MATCH("variacaopct_dias",ativos.!$C$2:BP$2,0),FALSE),""))</f>
        <v/>
      </c>
      <c r="AT34" s="1443"/>
      <c r="AU34" s="1444" t="str">
        <f>IF(NOT($J34),"",IFERROR(VLOOKUP(A34,ativos.!$C$3:$S303,MATCH("fator_fx",ativos.!$C$2:BP$2,0),FALSE),0))</f>
        <v/>
      </c>
      <c r="AV34" s="1442" t="str">
        <f>IF(NOT($J34),"",IFERROR(VLOOKUP(A34,ativos.!$C$3:$W303,MATCH("variacaopct",ativos.!$C$2:BP$2,0),FALSE)/100,R34))</f>
        <v/>
      </c>
      <c r="AW34" s="1445" t="str">
        <f>IFERROR(__xludf.DUMMYFUNCTION("IF(NOT($J34),"""",IF(S34='config.parâmetros'!$B$8,0,IFERROR(AU34/INDEX(SORT(GOOGLEFINANCE(S34&amp;'config.parâmetros'!$B$8,""price"",TODAY()-3,TODAY(),1),1,0),2,2)-1,0)))"),"")</f>
        <v/>
      </c>
      <c r="AX34" s="1446" t="str">
        <f>IFERROR(__xludf.DUMMYFUNCTION("IF(NOT(J34),"""",IF('config.parâmetros'!$M$8,SUM(IFERROR(filter(proventos!Q$5:Q303,proventos!L$5:L303=B34,proventos!C$5:C303&gt;=DATEVALUE(I34),proventos!R$5:R303=T34),0)),SUM(IFERROR(filter(proventos!Q$5:Q303,proventos!L$5:L303=B34,proventos!C$5:C303&gt;=DATEV"&amp;"ALUE(I34)),0))))"),"")</f>
        <v/>
      </c>
      <c r="AY34" s="1446">
        <f t="shared" si="6"/>
        <v>0</v>
      </c>
      <c r="AZ34" s="1446" t="str">
        <f>IFERROR(__xludf.DUMMYFUNCTION("IF(NOT(J34),"""",IF('config.parâmetros'!$M$8,SUM(IFERROR(filter(op.normal!P$5:P303,op.normal!N$5:N303=B34,op.normal!C$5:C303&gt;=DATEVALUE(I34),op.normal!AC$5:AC303=T34),0)),SUM(IFERROR(filter(op.normal!P$5:P303,op.normal!N$5:N303=B34,op.normal!C$5:C303&gt;=DAT"&amp;"EVALUE(I34)),0))))"),"")</f>
        <v/>
      </c>
      <c r="BA34" s="1447" t="str">
        <f>IFERROR(__xludf.DUMMYFUNCTION("IF(A34="""","""",IFERROR(query({CarteirasAtivos},""Select Col3 where Col1 ='""&amp;A34&amp;""' limit 1""))) "),"")</f>
        <v/>
      </c>
      <c r="BB34" s="1447" t="str">
        <f>IFERROR(__xludf.DUMMYFUNCTION("IF(A34="""","""",SUMPRODUCT(IF(IFERROR(MATCH(query({CarteirasAtivos},""Select Col2 where Col1 = '""&amp;A34&amp;""'""),CarteirasListaCriadasComTotal,0)),1,0)))"),"")</f>
        <v/>
      </c>
      <c r="BC34" s="1446" t="str">
        <f>IFERROR(__xludf.DUMMYFUNCTION("IF($A34="""","""",IFERROR(AVERAGE(query({CarteirasAtivos;CarteirasAtivosEncerrados},""select Col5 where Col5 is not null and Col1 = '""&amp;$A34&amp;""' and Col10='SIM'""))*AU34))"),"")</f>
        <v/>
      </c>
      <c r="BD34" s="1448" t="str">
        <f>IF(A34="","",IF(NOT('config.parâmetros'!$M$8),IF(int(J34)=J34,TEXT(J34,"###,##0"),TEXT(J34,"###,##0.#######")),IF(int(J34)=J34,TEXT(J34,"###,##0"),TEXT(J34,"###,##0.#######"))&amp;"
("&amp;T34&amp;")"))</f>
        <v/>
      </c>
      <c r="BE34" s="1442" t="str">
        <f t="shared" si="7"/>
        <v/>
      </c>
      <c r="BF34" s="1447" t="str">
        <f t="shared" si="8"/>
        <v/>
      </c>
      <c r="BG34" s="1449" t="str">
        <f t="shared" si="9"/>
        <v/>
      </c>
      <c r="BH34" s="1447" t="str">
        <f t="shared" si="10"/>
        <v/>
      </c>
      <c r="BI34" s="1447" t="str">
        <f t="shared" si="11"/>
        <v/>
      </c>
      <c r="BJ34" s="1449" t="str">
        <f t="shared" si="12"/>
        <v/>
      </c>
      <c r="BK34" s="1447" t="str">
        <f t="shared" si="13"/>
        <v/>
      </c>
      <c r="BL34" s="1447" t="str">
        <f t="shared" si="14"/>
        <v/>
      </c>
      <c r="BM34" s="1449" t="str">
        <f t="shared" si="15"/>
        <v/>
      </c>
      <c r="BN34" s="1447" t="str">
        <f t="shared" si="16"/>
        <v/>
      </c>
      <c r="BO34" s="1447" t="str">
        <f t="shared" si="17"/>
        <v/>
      </c>
      <c r="BP34" s="1448" t="str">
        <f t="shared" si="18"/>
        <v/>
      </c>
    </row>
    <row r="35">
      <c r="A35" s="1422"/>
      <c r="B35" s="1423"/>
      <c r="C35" s="1423"/>
      <c r="D35" s="1422"/>
      <c r="E35" s="1422"/>
      <c r="F35" s="1422"/>
      <c r="G35" s="1424"/>
      <c r="H35" s="1424"/>
      <c r="I35" s="1450"/>
      <c r="J35" s="1426"/>
      <c r="K35" s="1427"/>
      <c r="L35" s="1428"/>
      <c r="M35" s="1428"/>
      <c r="N35" s="1429"/>
      <c r="O35" s="1429"/>
      <c r="P35" s="1430"/>
      <c r="Q35" s="1430"/>
      <c r="R35" s="1431"/>
      <c r="S35" s="1432"/>
      <c r="T35" s="1433"/>
      <c r="U35" s="1422"/>
      <c r="V35" s="1422"/>
      <c r="W35" s="1422"/>
      <c r="X35" s="1422"/>
      <c r="Y35" s="1422"/>
      <c r="Z35" s="1422"/>
      <c r="AA35" s="1422"/>
      <c r="AB35" s="1422"/>
      <c r="AC35" s="1422"/>
      <c r="AD35" s="1422"/>
      <c r="AE35" s="1422"/>
      <c r="AF35" s="1422"/>
      <c r="AG35" s="1422"/>
      <c r="AH35" s="1422"/>
      <c r="AI35" s="1422"/>
      <c r="AJ35" s="1422"/>
      <c r="AK35" s="1434"/>
      <c r="AL35" s="1435"/>
      <c r="AM35" s="1436" t="str">
        <f>IF(NOT($J35),"",IFERROR(VLOOKUP(A35,ativos.!$C$3:$W303,MATCH("cotacao",ativos.!$C$2:BP$2,0),FALSE),P35*AU35))</f>
        <v/>
      </c>
      <c r="AN35" s="1437" t="str">
        <f t="shared" si="1"/>
        <v/>
      </c>
      <c r="AO35" s="1438" t="str">
        <f t="shared" si="2"/>
        <v/>
      </c>
      <c r="AP35" s="1439" t="str">
        <f t="shared" si="3"/>
        <v/>
      </c>
      <c r="AQ35" s="1440" t="str">
        <f t="shared" si="4"/>
        <v/>
      </c>
      <c r="AR35" s="1441" t="str">
        <f t="shared" si="5"/>
        <v/>
      </c>
      <c r="AS35" s="1442" t="str">
        <f>IF(NOT(J35),"",IFERROR(VLOOKUP(A35,ativos.!$C$3:$W303,MATCH("variacaopct_dias",ativos.!$C$2:BP$2,0),FALSE),""))</f>
        <v/>
      </c>
      <c r="AT35" s="1443"/>
      <c r="AU35" s="1444" t="str">
        <f>IF(NOT($J35),"",IFERROR(VLOOKUP(A35,ativos.!$C$3:$S303,MATCH("fator_fx",ativos.!$C$2:BP$2,0),FALSE),0))</f>
        <v/>
      </c>
      <c r="AV35" s="1442" t="str">
        <f>IF(NOT($J35),"",IFERROR(VLOOKUP(A35,ativos.!$C$3:$W303,MATCH("variacaopct",ativos.!$C$2:BP$2,0),FALSE)/100,R35))</f>
        <v/>
      </c>
      <c r="AW35" s="1445" t="str">
        <f>IFERROR(__xludf.DUMMYFUNCTION("IF(NOT($J35),"""",IF(S35='config.parâmetros'!$B$8,0,IFERROR(AU35/INDEX(SORT(GOOGLEFINANCE(S35&amp;'config.parâmetros'!$B$8,""price"",TODAY()-3,TODAY(),1),1,0),2,2)-1,0)))"),"")</f>
        <v/>
      </c>
      <c r="AX35" s="1446" t="str">
        <f>IFERROR(__xludf.DUMMYFUNCTION("IF(NOT(J35),"""",IF('config.parâmetros'!$M$8,SUM(IFERROR(filter(proventos!Q$5:Q303,proventos!L$5:L303=B35,proventos!C$5:C303&gt;=DATEVALUE(I35),proventos!R$5:R303=T35),0)),SUM(IFERROR(filter(proventos!Q$5:Q303,proventos!L$5:L303=B35,proventos!C$5:C303&gt;=DATEV"&amp;"ALUE(I35)),0))))"),"")</f>
        <v/>
      </c>
      <c r="AY35" s="1446">
        <f t="shared" si="6"/>
        <v>0</v>
      </c>
      <c r="AZ35" s="1446" t="str">
        <f>IFERROR(__xludf.DUMMYFUNCTION("IF(NOT(J35),"""",IF('config.parâmetros'!$M$8,SUM(IFERROR(filter(op.normal!P$5:P303,op.normal!N$5:N303=B35,op.normal!C$5:C303&gt;=DATEVALUE(I35),op.normal!AC$5:AC303=T35),0)),SUM(IFERROR(filter(op.normal!P$5:P303,op.normal!N$5:N303=B35,op.normal!C$5:C303&gt;=DAT"&amp;"EVALUE(I35)),0))))"),"")</f>
        <v/>
      </c>
      <c r="BA35" s="1447" t="str">
        <f>IFERROR(__xludf.DUMMYFUNCTION("IF(A35="""","""",IFERROR(query({CarteirasAtivos},""Select Col3 where Col1 ='""&amp;A35&amp;""' limit 1""))) "),"")</f>
        <v/>
      </c>
      <c r="BB35" s="1447" t="str">
        <f>IFERROR(__xludf.DUMMYFUNCTION("IF(A35="""","""",SUMPRODUCT(IF(IFERROR(MATCH(query({CarteirasAtivos},""Select Col2 where Col1 = '""&amp;A35&amp;""'""),CarteirasListaCriadasComTotal,0)),1,0)))"),"")</f>
        <v/>
      </c>
      <c r="BC35" s="1446" t="str">
        <f>IFERROR(__xludf.DUMMYFUNCTION("IF($A35="""","""",IFERROR(AVERAGE(query({CarteirasAtivos;CarteirasAtivosEncerrados},""select Col5 where Col5 is not null and Col1 = '""&amp;$A35&amp;""' and Col10='SIM'""))*AU35))"),"")</f>
        <v/>
      </c>
      <c r="BD35" s="1448" t="str">
        <f>IF(A35="","",IF(NOT('config.parâmetros'!$M$8),IF(int(J35)=J35,TEXT(J35,"###,##0"),TEXT(J35,"###,##0.#######")),IF(int(J35)=J35,TEXT(J35,"###,##0"),TEXT(J35,"###,##0.#######"))&amp;"
("&amp;T35&amp;")"))</f>
        <v/>
      </c>
      <c r="BE35" s="1442" t="str">
        <f t="shared" si="7"/>
        <v/>
      </c>
      <c r="BF35" s="1447" t="str">
        <f t="shared" si="8"/>
        <v/>
      </c>
      <c r="BG35" s="1449" t="str">
        <f t="shared" si="9"/>
        <v/>
      </c>
      <c r="BH35" s="1447" t="str">
        <f t="shared" si="10"/>
        <v/>
      </c>
      <c r="BI35" s="1447" t="str">
        <f t="shared" si="11"/>
        <v/>
      </c>
      <c r="BJ35" s="1449" t="str">
        <f t="shared" si="12"/>
        <v/>
      </c>
      <c r="BK35" s="1447" t="str">
        <f t="shared" si="13"/>
        <v/>
      </c>
      <c r="BL35" s="1447" t="str">
        <f t="shared" si="14"/>
        <v/>
      </c>
      <c r="BM35" s="1449" t="str">
        <f t="shared" si="15"/>
        <v/>
      </c>
      <c r="BN35" s="1447" t="str">
        <f t="shared" si="16"/>
        <v/>
      </c>
      <c r="BO35" s="1447" t="str">
        <f t="shared" si="17"/>
        <v/>
      </c>
      <c r="BP35" s="1448" t="str">
        <f t="shared" si="18"/>
        <v/>
      </c>
    </row>
    <row r="36">
      <c r="A36" s="1422"/>
      <c r="B36" s="1423"/>
      <c r="C36" s="1423"/>
      <c r="D36" s="1422"/>
      <c r="E36" s="1422"/>
      <c r="F36" s="1422"/>
      <c r="G36" s="1424"/>
      <c r="H36" s="1424"/>
      <c r="I36" s="1450"/>
      <c r="J36" s="1426"/>
      <c r="K36" s="1427"/>
      <c r="L36" s="1428"/>
      <c r="M36" s="1428"/>
      <c r="N36" s="1429"/>
      <c r="O36" s="1429"/>
      <c r="P36" s="1430"/>
      <c r="Q36" s="1430"/>
      <c r="R36" s="1431"/>
      <c r="S36" s="1432"/>
      <c r="T36" s="1433"/>
      <c r="U36" s="1422"/>
      <c r="V36" s="1422"/>
      <c r="W36" s="1422"/>
      <c r="X36" s="1422"/>
      <c r="Y36" s="1422"/>
      <c r="Z36" s="1422"/>
      <c r="AA36" s="1422"/>
      <c r="AB36" s="1422"/>
      <c r="AC36" s="1422"/>
      <c r="AD36" s="1422"/>
      <c r="AE36" s="1422"/>
      <c r="AF36" s="1422"/>
      <c r="AG36" s="1422"/>
      <c r="AH36" s="1422"/>
      <c r="AI36" s="1422"/>
      <c r="AJ36" s="1422"/>
      <c r="AK36" s="1434"/>
      <c r="AL36" s="1435"/>
      <c r="AM36" s="1436" t="str">
        <f>IF(NOT($J36),"",IFERROR(VLOOKUP(A36,ativos.!$C$3:$W303,MATCH("cotacao",ativos.!$C$2:BP$2,0),FALSE),P36*AU36))</f>
        <v/>
      </c>
      <c r="AN36" s="1437" t="str">
        <f t="shared" si="1"/>
        <v/>
      </c>
      <c r="AO36" s="1438" t="str">
        <f t="shared" si="2"/>
        <v/>
      </c>
      <c r="AP36" s="1439" t="str">
        <f t="shared" si="3"/>
        <v/>
      </c>
      <c r="AQ36" s="1440" t="str">
        <f t="shared" si="4"/>
        <v/>
      </c>
      <c r="AR36" s="1441" t="str">
        <f t="shared" si="5"/>
        <v/>
      </c>
      <c r="AS36" s="1442" t="str">
        <f>IF(NOT(J36),"",IFERROR(VLOOKUP(A36,ativos.!$C$3:$W303,MATCH("variacaopct_dias",ativos.!$C$2:BP$2,0),FALSE),""))</f>
        <v/>
      </c>
      <c r="AT36" s="1443"/>
      <c r="AU36" s="1444" t="str">
        <f>IF(NOT($J36),"",IFERROR(VLOOKUP(A36,ativos.!$C$3:$S303,MATCH("fator_fx",ativos.!$C$2:BP$2,0),FALSE),0))</f>
        <v/>
      </c>
      <c r="AV36" s="1442" t="str">
        <f>IF(NOT($J36),"",IFERROR(VLOOKUP(A36,ativos.!$C$3:$W303,MATCH("variacaopct",ativos.!$C$2:BP$2,0),FALSE)/100,R36))</f>
        <v/>
      </c>
      <c r="AW36" s="1445" t="str">
        <f>IFERROR(__xludf.DUMMYFUNCTION("IF(NOT($J36),"""",IF(S36='config.parâmetros'!$B$8,0,IFERROR(AU36/INDEX(SORT(GOOGLEFINANCE(S36&amp;'config.parâmetros'!$B$8,""price"",TODAY()-3,TODAY(),1),1,0),2,2)-1,0)))"),"")</f>
        <v/>
      </c>
      <c r="AX36" s="1446" t="str">
        <f>IFERROR(__xludf.DUMMYFUNCTION("IF(NOT(J36),"""",IF('config.parâmetros'!$M$8,SUM(IFERROR(filter(proventos!Q$5:Q303,proventos!L$5:L303=B36,proventos!C$5:C303&gt;=DATEVALUE(I36),proventos!R$5:R303=T36),0)),SUM(IFERROR(filter(proventos!Q$5:Q303,proventos!L$5:L303=B36,proventos!C$5:C303&gt;=DATEV"&amp;"ALUE(I36)),0))))"),"")</f>
        <v/>
      </c>
      <c r="AY36" s="1446">
        <f t="shared" si="6"/>
        <v>0</v>
      </c>
      <c r="AZ36" s="1446" t="str">
        <f>IFERROR(__xludf.DUMMYFUNCTION("IF(NOT(J36),"""",IF('config.parâmetros'!$M$8,SUM(IFERROR(filter(op.normal!P$5:P303,op.normal!N$5:N303=B36,op.normal!C$5:C303&gt;=DATEVALUE(I36),op.normal!AC$5:AC303=T36),0)),SUM(IFERROR(filter(op.normal!P$5:P303,op.normal!N$5:N303=B36,op.normal!C$5:C303&gt;=DAT"&amp;"EVALUE(I36)),0))))"),"")</f>
        <v/>
      </c>
      <c r="BA36" s="1447" t="str">
        <f>IFERROR(__xludf.DUMMYFUNCTION("IF(A36="""","""",IFERROR(query({CarteirasAtivos},""Select Col3 where Col1 ='""&amp;A36&amp;""' limit 1""))) "),"")</f>
        <v/>
      </c>
      <c r="BB36" s="1447" t="str">
        <f>IFERROR(__xludf.DUMMYFUNCTION("IF(A36="""","""",SUMPRODUCT(IF(IFERROR(MATCH(query({CarteirasAtivos},""Select Col2 where Col1 = '""&amp;A36&amp;""'""),CarteirasListaCriadasComTotal,0)),1,0)))"),"")</f>
        <v/>
      </c>
      <c r="BC36" s="1446" t="str">
        <f>IFERROR(__xludf.DUMMYFUNCTION("IF($A36="""","""",IFERROR(AVERAGE(query({CarteirasAtivos;CarteirasAtivosEncerrados},""select Col5 where Col5 is not null and Col1 = '""&amp;$A36&amp;""' and Col10='SIM'""))*AU36))"),"")</f>
        <v/>
      </c>
      <c r="BD36" s="1448" t="str">
        <f>IF(A36="","",IF(NOT('config.parâmetros'!$M$8),IF(int(J36)=J36,TEXT(J36,"###,##0"),TEXT(J36,"###,##0.#######")),IF(int(J36)=J36,TEXT(J36,"###,##0"),TEXT(J36,"###,##0.#######"))&amp;"
("&amp;T36&amp;")"))</f>
        <v/>
      </c>
      <c r="BE36" s="1442" t="str">
        <f t="shared" si="7"/>
        <v/>
      </c>
      <c r="BF36" s="1447" t="str">
        <f t="shared" si="8"/>
        <v/>
      </c>
      <c r="BG36" s="1449" t="str">
        <f t="shared" si="9"/>
        <v/>
      </c>
      <c r="BH36" s="1447" t="str">
        <f t="shared" si="10"/>
        <v/>
      </c>
      <c r="BI36" s="1447" t="str">
        <f t="shared" si="11"/>
        <v/>
      </c>
      <c r="BJ36" s="1449" t="str">
        <f t="shared" si="12"/>
        <v/>
      </c>
      <c r="BK36" s="1447" t="str">
        <f t="shared" si="13"/>
        <v/>
      </c>
      <c r="BL36" s="1447" t="str">
        <f t="shared" si="14"/>
        <v/>
      </c>
      <c r="BM36" s="1449" t="str">
        <f t="shared" si="15"/>
        <v/>
      </c>
      <c r="BN36" s="1447" t="str">
        <f t="shared" si="16"/>
        <v/>
      </c>
      <c r="BO36" s="1447" t="str">
        <f t="shared" si="17"/>
        <v/>
      </c>
      <c r="BP36" s="1448" t="str">
        <f t="shared" si="18"/>
        <v/>
      </c>
    </row>
    <row r="37">
      <c r="A37" s="1422"/>
      <c r="B37" s="1423"/>
      <c r="C37" s="1423"/>
      <c r="D37" s="1422"/>
      <c r="E37" s="1422"/>
      <c r="F37" s="1422"/>
      <c r="G37" s="1424"/>
      <c r="H37" s="1424"/>
      <c r="I37" s="1450"/>
      <c r="J37" s="1426"/>
      <c r="K37" s="1427"/>
      <c r="L37" s="1428"/>
      <c r="M37" s="1428"/>
      <c r="N37" s="1429"/>
      <c r="O37" s="1429"/>
      <c r="P37" s="1430"/>
      <c r="Q37" s="1430"/>
      <c r="R37" s="1431"/>
      <c r="S37" s="1432"/>
      <c r="T37" s="1433"/>
      <c r="U37" s="1422"/>
      <c r="V37" s="1422"/>
      <c r="W37" s="1422"/>
      <c r="X37" s="1422"/>
      <c r="Y37" s="1422"/>
      <c r="Z37" s="1422"/>
      <c r="AA37" s="1422"/>
      <c r="AB37" s="1422"/>
      <c r="AC37" s="1422"/>
      <c r="AD37" s="1422"/>
      <c r="AE37" s="1422"/>
      <c r="AF37" s="1422"/>
      <c r="AG37" s="1422"/>
      <c r="AH37" s="1422"/>
      <c r="AI37" s="1422"/>
      <c r="AJ37" s="1422"/>
      <c r="AK37" s="1434"/>
      <c r="AL37" s="1435"/>
      <c r="AM37" s="1436" t="str">
        <f>IF(NOT($J37),"",IFERROR(VLOOKUP(A37,ativos.!$C$3:$W303,MATCH("cotacao",ativos.!$C$2:BP$2,0),FALSE),P37*AU37))</f>
        <v/>
      </c>
      <c r="AN37" s="1437" t="str">
        <f t="shared" si="1"/>
        <v/>
      </c>
      <c r="AO37" s="1438" t="str">
        <f t="shared" si="2"/>
        <v/>
      </c>
      <c r="AP37" s="1439" t="str">
        <f t="shared" si="3"/>
        <v/>
      </c>
      <c r="AQ37" s="1440" t="str">
        <f t="shared" si="4"/>
        <v/>
      </c>
      <c r="AR37" s="1441" t="str">
        <f t="shared" si="5"/>
        <v/>
      </c>
      <c r="AS37" s="1442" t="str">
        <f>IF(NOT(J37),"",IFERROR(VLOOKUP(A37,ativos.!$C$3:$W303,MATCH("variacaopct_dias",ativos.!$C$2:BP$2,0),FALSE),""))</f>
        <v/>
      </c>
      <c r="AT37" s="1443"/>
      <c r="AU37" s="1444" t="str">
        <f>IF(NOT($J37),"",IFERROR(VLOOKUP(A37,ativos.!$C$3:$S303,MATCH("fator_fx",ativos.!$C$2:BP$2,0),FALSE),0))</f>
        <v/>
      </c>
      <c r="AV37" s="1442" t="str">
        <f>IF(NOT($J37),"",IFERROR(VLOOKUP(A37,ativos.!$C$3:$W303,MATCH("variacaopct",ativos.!$C$2:BP$2,0),FALSE)/100,R37))</f>
        <v/>
      </c>
      <c r="AW37" s="1445" t="str">
        <f>IFERROR(__xludf.DUMMYFUNCTION("IF(NOT($J37),"""",IF(S37='config.parâmetros'!$B$8,0,IFERROR(AU37/INDEX(SORT(GOOGLEFINANCE(S37&amp;'config.parâmetros'!$B$8,""price"",TODAY()-3,TODAY(),1),1,0),2,2)-1,0)))"),"")</f>
        <v/>
      </c>
      <c r="AX37" s="1446" t="str">
        <f>IFERROR(__xludf.DUMMYFUNCTION("IF(NOT(J37),"""",IF('config.parâmetros'!$M$8,SUM(IFERROR(filter(proventos!Q$5:Q303,proventos!L$5:L303=B37,proventos!C$5:C303&gt;=DATEVALUE(I37),proventos!R$5:R303=T37),0)),SUM(IFERROR(filter(proventos!Q$5:Q303,proventos!L$5:L303=B37,proventos!C$5:C303&gt;=DATEV"&amp;"ALUE(I37)),0))))"),"")</f>
        <v/>
      </c>
      <c r="AY37" s="1446">
        <f t="shared" si="6"/>
        <v>0</v>
      </c>
      <c r="AZ37" s="1446" t="str">
        <f>IFERROR(__xludf.DUMMYFUNCTION("IF(NOT(J37),"""",IF('config.parâmetros'!$M$8,SUM(IFERROR(filter(op.normal!P$5:P303,op.normal!N$5:N303=B37,op.normal!C$5:C303&gt;=DATEVALUE(I37),op.normal!AC$5:AC303=T37),0)),SUM(IFERROR(filter(op.normal!P$5:P303,op.normal!N$5:N303=B37,op.normal!C$5:C303&gt;=DAT"&amp;"EVALUE(I37)),0))))"),"")</f>
        <v/>
      </c>
      <c r="BA37" s="1447" t="str">
        <f>IFERROR(__xludf.DUMMYFUNCTION("IF(A37="""","""",IFERROR(query({CarteirasAtivos},""Select Col3 where Col1 ='""&amp;A37&amp;""' limit 1""))) "),"")</f>
        <v/>
      </c>
      <c r="BB37" s="1447" t="str">
        <f>IFERROR(__xludf.DUMMYFUNCTION("IF(A37="""","""",SUMPRODUCT(IF(IFERROR(MATCH(query({CarteirasAtivos},""Select Col2 where Col1 = '""&amp;A37&amp;""'""),CarteirasListaCriadasComTotal,0)),1,0)))"),"")</f>
        <v/>
      </c>
      <c r="BC37" s="1446" t="str">
        <f>IFERROR(__xludf.DUMMYFUNCTION("IF($A37="""","""",IFERROR(AVERAGE(query({CarteirasAtivos;CarteirasAtivosEncerrados},""select Col5 where Col5 is not null and Col1 = '""&amp;$A37&amp;""' and Col10='SIM'""))*AU37))"),"")</f>
        <v/>
      </c>
      <c r="BD37" s="1448" t="str">
        <f>IF(A37="","",IF(NOT('config.parâmetros'!$M$8),IF(int(J37)=J37,TEXT(J37,"###,##0"),TEXT(J37,"###,##0.#######")),IF(int(J37)=J37,TEXT(J37,"###,##0"),TEXT(J37,"###,##0.#######"))&amp;"
("&amp;T37&amp;")"))</f>
        <v/>
      </c>
      <c r="BE37" s="1442" t="str">
        <f t="shared" si="7"/>
        <v/>
      </c>
      <c r="BF37" s="1447" t="str">
        <f t="shared" si="8"/>
        <v/>
      </c>
      <c r="BG37" s="1449" t="str">
        <f t="shared" si="9"/>
        <v/>
      </c>
      <c r="BH37" s="1447" t="str">
        <f t="shared" si="10"/>
        <v/>
      </c>
      <c r="BI37" s="1447" t="str">
        <f t="shared" si="11"/>
        <v/>
      </c>
      <c r="BJ37" s="1449" t="str">
        <f t="shared" si="12"/>
        <v/>
      </c>
      <c r="BK37" s="1447" t="str">
        <f t="shared" si="13"/>
        <v/>
      </c>
      <c r="BL37" s="1447" t="str">
        <f t="shared" si="14"/>
        <v/>
      </c>
      <c r="BM37" s="1449" t="str">
        <f t="shared" si="15"/>
        <v/>
      </c>
      <c r="BN37" s="1447" t="str">
        <f t="shared" si="16"/>
        <v/>
      </c>
      <c r="BO37" s="1447" t="str">
        <f t="shared" si="17"/>
        <v/>
      </c>
      <c r="BP37" s="1448" t="str">
        <f t="shared" si="18"/>
        <v/>
      </c>
    </row>
    <row r="38">
      <c r="A38" s="1422"/>
      <c r="B38" s="1423"/>
      <c r="C38" s="1423"/>
      <c r="D38" s="1422"/>
      <c r="E38" s="1422"/>
      <c r="F38" s="1422"/>
      <c r="G38" s="1424"/>
      <c r="H38" s="1424"/>
      <c r="I38" s="1450"/>
      <c r="J38" s="1426"/>
      <c r="K38" s="1427"/>
      <c r="L38" s="1428"/>
      <c r="M38" s="1428"/>
      <c r="N38" s="1429"/>
      <c r="O38" s="1429"/>
      <c r="P38" s="1430"/>
      <c r="Q38" s="1430"/>
      <c r="R38" s="1431"/>
      <c r="S38" s="1432"/>
      <c r="T38" s="1433"/>
      <c r="U38" s="1422"/>
      <c r="V38" s="1422"/>
      <c r="W38" s="1422"/>
      <c r="X38" s="1422"/>
      <c r="Y38" s="1422"/>
      <c r="Z38" s="1422"/>
      <c r="AA38" s="1422"/>
      <c r="AB38" s="1422"/>
      <c r="AC38" s="1422"/>
      <c r="AD38" s="1422"/>
      <c r="AE38" s="1422"/>
      <c r="AF38" s="1422"/>
      <c r="AG38" s="1422"/>
      <c r="AH38" s="1422"/>
      <c r="AI38" s="1422"/>
      <c r="AJ38" s="1422"/>
      <c r="AK38" s="1434"/>
      <c r="AL38" s="1435"/>
      <c r="AM38" s="1436" t="str">
        <f>IF(NOT($J38),"",IFERROR(VLOOKUP(A38,ativos.!$C$3:$W303,MATCH("cotacao",ativos.!$C$2:BP$2,0),FALSE),P38*AU38))</f>
        <v/>
      </c>
      <c r="AN38" s="1437" t="str">
        <f t="shared" si="1"/>
        <v/>
      </c>
      <c r="AO38" s="1438" t="str">
        <f t="shared" si="2"/>
        <v/>
      </c>
      <c r="AP38" s="1439" t="str">
        <f t="shared" si="3"/>
        <v/>
      </c>
      <c r="AQ38" s="1440" t="str">
        <f t="shared" si="4"/>
        <v/>
      </c>
      <c r="AR38" s="1441" t="str">
        <f t="shared" si="5"/>
        <v/>
      </c>
      <c r="AS38" s="1442" t="str">
        <f>IF(NOT(J38),"",IFERROR(VLOOKUP(A38,ativos.!$C$3:$W303,MATCH("variacaopct_dias",ativos.!$C$2:BP$2,0),FALSE),""))</f>
        <v/>
      </c>
      <c r="AT38" s="1443"/>
      <c r="AU38" s="1444" t="str">
        <f>IF(NOT($J38),"",IFERROR(VLOOKUP(A38,ativos.!$C$3:$S303,MATCH("fator_fx",ativos.!$C$2:BP$2,0),FALSE),0))</f>
        <v/>
      </c>
      <c r="AV38" s="1442" t="str">
        <f>IF(NOT($J38),"",IFERROR(VLOOKUP(A38,ativos.!$C$3:$W303,MATCH("variacaopct",ativos.!$C$2:BP$2,0),FALSE)/100,R38))</f>
        <v/>
      </c>
      <c r="AW38" s="1445" t="str">
        <f>IFERROR(__xludf.DUMMYFUNCTION("IF(NOT($J38),"""",IF(S38='config.parâmetros'!$B$8,0,IFERROR(AU38/INDEX(SORT(GOOGLEFINANCE(S38&amp;'config.parâmetros'!$B$8,""price"",TODAY()-3,TODAY(),1),1,0),2,2)-1,0)))"),"")</f>
        <v/>
      </c>
      <c r="AX38" s="1446" t="str">
        <f>IFERROR(__xludf.DUMMYFUNCTION("IF(NOT(J38),"""",IF('config.parâmetros'!$M$8,SUM(IFERROR(filter(proventos!Q$5:Q303,proventos!L$5:L303=B38,proventos!C$5:C303&gt;=DATEVALUE(I38),proventos!R$5:R303=T38),0)),SUM(IFERROR(filter(proventos!Q$5:Q303,proventos!L$5:L303=B38,proventos!C$5:C303&gt;=DATEV"&amp;"ALUE(I38)),0))))"),"")</f>
        <v/>
      </c>
      <c r="AY38" s="1446">
        <f t="shared" si="6"/>
        <v>0</v>
      </c>
      <c r="AZ38" s="1446" t="str">
        <f>IFERROR(__xludf.DUMMYFUNCTION("IF(NOT(J38),"""",IF('config.parâmetros'!$M$8,SUM(IFERROR(filter(op.normal!P$5:P303,op.normal!N$5:N303=B38,op.normal!C$5:C303&gt;=DATEVALUE(I38),op.normal!AC$5:AC303=T38),0)),SUM(IFERROR(filter(op.normal!P$5:P303,op.normal!N$5:N303=B38,op.normal!C$5:C303&gt;=DAT"&amp;"EVALUE(I38)),0))))"),"")</f>
        <v/>
      </c>
      <c r="BA38" s="1447" t="str">
        <f>IFERROR(__xludf.DUMMYFUNCTION("IF(A38="""","""",IFERROR(query({CarteirasAtivos},""Select Col3 where Col1 ='""&amp;A38&amp;""' limit 1""))) "),"")</f>
        <v/>
      </c>
      <c r="BB38" s="1447" t="str">
        <f>IFERROR(__xludf.DUMMYFUNCTION("IF(A38="""","""",SUMPRODUCT(IF(IFERROR(MATCH(query({CarteirasAtivos},""Select Col2 where Col1 = '""&amp;A38&amp;""'""),CarteirasListaCriadasComTotal,0)),1,0)))"),"")</f>
        <v/>
      </c>
      <c r="BC38" s="1446" t="str">
        <f>IFERROR(__xludf.DUMMYFUNCTION("IF($A38="""","""",IFERROR(AVERAGE(query({CarteirasAtivos;CarteirasAtivosEncerrados},""select Col5 where Col5 is not null and Col1 = '""&amp;$A38&amp;""' and Col10='SIM'""))*AU38))"),"")</f>
        <v/>
      </c>
      <c r="BD38" s="1448" t="str">
        <f>IF(A38="","",IF(NOT('config.parâmetros'!$M$8),IF(int(J38)=J38,TEXT(J38,"###,##0"),TEXT(J38,"###,##0.#######")),IF(int(J38)=J38,TEXT(J38,"###,##0"),TEXT(J38,"###,##0.#######"))&amp;"
("&amp;T38&amp;")"))</f>
        <v/>
      </c>
      <c r="BE38" s="1442" t="str">
        <f t="shared" si="7"/>
        <v/>
      </c>
      <c r="BF38" s="1447" t="str">
        <f t="shared" si="8"/>
        <v/>
      </c>
      <c r="BG38" s="1449" t="str">
        <f t="shared" si="9"/>
        <v/>
      </c>
      <c r="BH38" s="1447" t="str">
        <f t="shared" si="10"/>
        <v/>
      </c>
      <c r="BI38" s="1447" t="str">
        <f t="shared" si="11"/>
        <v/>
      </c>
      <c r="BJ38" s="1449" t="str">
        <f t="shared" si="12"/>
        <v/>
      </c>
      <c r="BK38" s="1447" t="str">
        <f t="shared" si="13"/>
        <v/>
      </c>
      <c r="BL38" s="1447" t="str">
        <f t="shared" si="14"/>
        <v/>
      </c>
      <c r="BM38" s="1449" t="str">
        <f t="shared" si="15"/>
        <v/>
      </c>
      <c r="BN38" s="1447" t="str">
        <f t="shared" si="16"/>
        <v/>
      </c>
      <c r="BO38" s="1447" t="str">
        <f t="shared" si="17"/>
        <v/>
      </c>
      <c r="BP38" s="1448" t="str">
        <f t="shared" si="18"/>
        <v/>
      </c>
    </row>
    <row r="39">
      <c r="A39" s="1422"/>
      <c r="B39" s="1423"/>
      <c r="C39" s="1423"/>
      <c r="D39" s="1422"/>
      <c r="E39" s="1422"/>
      <c r="F39" s="1422"/>
      <c r="G39" s="1424"/>
      <c r="H39" s="1424"/>
      <c r="I39" s="1450"/>
      <c r="J39" s="1426"/>
      <c r="K39" s="1427"/>
      <c r="L39" s="1428"/>
      <c r="M39" s="1428"/>
      <c r="N39" s="1429"/>
      <c r="O39" s="1429"/>
      <c r="P39" s="1430"/>
      <c r="Q39" s="1430"/>
      <c r="R39" s="1431"/>
      <c r="S39" s="1432"/>
      <c r="T39" s="1433"/>
      <c r="U39" s="1422"/>
      <c r="V39" s="1422"/>
      <c r="W39" s="1422"/>
      <c r="X39" s="1422"/>
      <c r="Y39" s="1422"/>
      <c r="Z39" s="1422"/>
      <c r="AA39" s="1422"/>
      <c r="AB39" s="1422"/>
      <c r="AC39" s="1422"/>
      <c r="AD39" s="1422"/>
      <c r="AE39" s="1422"/>
      <c r="AF39" s="1422"/>
      <c r="AG39" s="1422"/>
      <c r="AH39" s="1422"/>
      <c r="AI39" s="1422"/>
      <c r="AJ39" s="1422"/>
      <c r="AK39" s="1434"/>
      <c r="AL39" s="1435"/>
      <c r="AM39" s="1436" t="str">
        <f>IF(NOT($J39),"",IFERROR(VLOOKUP(A39,ativos.!$C$3:$W303,MATCH("cotacao",ativos.!$C$2:BP$2,0),FALSE),P39*AU39))</f>
        <v/>
      </c>
      <c r="AN39" s="1437" t="str">
        <f t="shared" si="1"/>
        <v/>
      </c>
      <c r="AO39" s="1438" t="str">
        <f t="shared" si="2"/>
        <v/>
      </c>
      <c r="AP39" s="1439" t="str">
        <f t="shared" si="3"/>
        <v/>
      </c>
      <c r="AQ39" s="1440" t="str">
        <f t="shared" si="4"/>
        <v/>
      </c>
      <c r="AR39" s="1441" t="str">
        <f t="shared" si="5"/>
        <v/>
      </c>
      <c r="AS39" s="1442" t="str">
        <f>IF(NOT(J39),"",IFERROR(VLOOKUP(A39,ativos.!$C$3:$W303,MATCH("variacaopct_dias",ativos.!$C$2:BP$2,0),FALSE),""))</f>
        <v/>
      </c>
      <c r="AT39" s="1443"/>
      <c r="AU39" s="1444" t="str">
        <f>IF(NOT($J39),"",IFERROR(VLOOKUP(A39,ativos.!$C$3:$S303,MATCH("fator_fx",ativos.!$C$2:BP$2,0),FALSE),0))</f>
        <v/>
      </c>
      <c r="AV39" s="1442" t="str">
        <f>IF(NOT($J39),"",IFERROR(VLOOKUP(A39,ativos.!$C$3:$W303,MATCH("variacaopct",ativos.!$C$2:BP$2,0),FALSE)/100,R39))</f>
        <v/>
      </c>
      <c r="AW39" s="1445" t="str">
        <f>IFERROR(__xludf.DUMMYFUNCTION("IF(NOT($J39),"""",IF(S39='config.parâmetros'!$B$8,0,IFERROR(AU39/INDEX(SORT(GOOGLEFINANCE(S39&amp;'config.parâmetros'!$B$8,""price"",TODAY()-3,TODAY(),1),1,0),2,2)-1,0)))"),"")</f>
        <v/>
      </c>
      <c r="AX39" s="1446" t="str">
        <f>IFERROR(__xludf.DUMMYFUNCTION("IF(NOT(J39),"""",IF('config.parâmetros'!$M$8,SUM(IFERROR(filter(proventos!Q$5:Q303,proventos!L$5:L303=B39,proventos!C$5:C303&gt;=DATEVALUE(I39),proventos!R$5:R303=T39),0)),SUM(IFERROR(filter(proventos!Q$5:Q303,proventos!L$5:L303=B39,proventos!C$5:C303&gt;=DATEV"&amp;"ALUE(I39)),0))))"),"")</f>
        <v/>
      </c>
      <c r="AY39" s="1446">
        <f t="shared" si="6"/>
        <v>0</v>
      </c>
      <c r="AZ39" s="1446" t="str">
        <f>IFERROR(__xludf.DUMMYFUNCTION("IF(NOT(J39),"""",IF('config.parâmetros'!$M$8,SUM(IFERROR(filter(op.normal!P$5:P303,op.normal!N$5:N303=B39,op.normal!C$5:C303&gt;=DATEVALUE(I39),op.normal!AC$5:AC303=T39),0)),SUM(IFERROR(filter(op.normal!P$5:P303,op.normal!N$5:N303=B39,op.normal!C$5:C303&gt;=DAT"&amp;"EVALUE(I39)),0))))"),"")</f>
        <v/>
      </c>
      <c r="BA39" s="1447" t="str">
        <f>IFERROR(__xludf.DUMMYFUNCTION("IF(A39="""","""",IFERROR(query({CarteirasAtivos},""Select Col3 where Col1 ='""&amp;A39&amp;""' limit 1""))) "),"")</f>
        <v/>
      </c>
      <c r="BB39" s="1447" t="str">
        <f>IFERROR(__xludf.DUMMYFUNCTION("IF(A39="""","""",SUMPRODUCT(IF(IFERROR(MATCH(query({CarteirasAtivos},""Select Col2 where Col1 = '""&amp;A39&amp;""'""),CarteirasListaCriadasComTotal,0)),1,0)))"),"")</f>
        <v/>
      </c>
      <c r="BC39" s="1446" t="str">
        <f>IFERROR(__xludf.DUMMYFUNCTION("IF($A39="""","""",IFERROR(AVERAGE(query({CarteirasAtivos;CarteirasAtivosEncerrados},""select Col5 where Col5 is not null and Col1 = '""&amp;$A39&amp;""' and Col10='SIM'""))*AU39))"),"")</f>
        <v/>
      </c>
      <c r="BD39" s="1448" t="str">
        <f>IF(A39="","",IF(NOT('config.parâmetros'!$M$8),IF(int(J39)=J39,TEXT(J39,"###,##0"),TEXT(J39,"###,##0.#######")),IF(int(J39)=J39,TEXT(J39,"###,##0"),TEXT(J39,"###,##0.#######"))&amp;"
("&amp;T39&amp;")"))</f>
        <v/>
      </c>
      <c r="BE39" s="1442" t="str">
        <f t="shared" si="7"/>
        <v/>
      </c>
      <c r="BF39" s="1447" t="str">
        <f t="shared" si="8"/>
        <v/>
      </c>
      <c r="BG39" s="1449" t="str">
        <f t="shared" si="9"/>
        <v/>
      </c>
      <c r="BH39" s="1447" t="str">
        <f t="shared" si="10"/>
        <v/>
      </c>
      <c r="BI39" s="1447" t="str">
        <f t="shared" si="11"/>
        <v/>
      </c>
      <c r="BJ39" s="1449" t="str">
        <f t="shared" si="12"/>
        <v/>
      </c>
      <c r="BK39" s="1447" t="str">
        <f t="shared" si="13"/>
        <v/>
      </c>
      <c r="BL39" s="1447" t="str">
        <f t="shared" si="14"/>
        <v/>
      </c>
      <c r="BM39" s="1449" t="str">
        <f t="shared" si="15"/>
        <v/>
      </c>
      <c r="BN39" s="1447" t="str">
        <f t="shared" si="16"/>
        <v/>
      </c>
      <c r="BO39" s="1447" t="str">
        <f t="shared" si="17"/>
        <v/>
      </c>
      <c r="BP39" s="1448" t="str">
        <f t="shared" si="18"/>
        <v/>
      </c>
    </row>
    <row r="40">
      <c r="A40" s="1422"/>
      <c r="B40" s="1423"/>
      <c r="C40" s="1423"/>
      <c r="D40" s="1422"/>
      <c r="E40" s="1422"/>
      <c r="F40" s="1422"/>
      <c r="G40" s="1424"/>
      <c r="H40" s="1424"/>
      <c r="I40" s="1450"/>
      <c r="J40" s="1426"/>
      <c r="K40" s="1427"/>
      <c r="L40" s="1428"/>
      <c r="M40" s="1428"/>
      <c r="N40" s="1429"/>
      <c r="O40" s="1429"/>
      <c r="P40" s="1430"/>
      <c r="Q40" s="1430"/>
      <c r="R40" s="1431"/>
      <c r="S40" s="1432"/>
      <c r="T40" s="1433"/>
      <c r="U40" s="1422"/>
      <c r="V40" s="1422"/>
      <c r="W40" s="1422"/>
      <c r="X40" s="1422"/>
      <c r="Y40" s="1422"/>
      <c r="Z40" s="1422"/>
      <c r="AA40" s="1422"/>
      <c r="AB40" s="1422"/>
      <c r="AC40" s="1422"/>
      <c r="AD40" s="1422"/>
      <c r="AE40" s="1422"/>
      <c r="AF40" s="1422"/>
      <c r="AG40" s="1422"/>
      <c r="AH40" s="1422"/>
      <c r="AI40" s="1422"/>
      <c r="AJ40" s="1422"/>
      <c r="AK40" s="1434"/>
      <c r="AL40" s="1435"/>
      <c r="AM40" s="1436" t="str">
        <f>IF(NOT($J40),"",IFERROR(VLOOKUP(A40,ativos.!$C$3:$W303,MATCH("cotacao",ativos.!$C$2:BP$2,0),FALSE),P40*AU40))</f>
        <v/>
      </c>
      <c r="AN40" s="1437" t="str">
        <f t="shared" si="1"/>
        <v/>
      </c>
      <c r="AO40" s="1438" t="str">
        <f t="shared" si="2"/>
        <v/>
      </c>
      <c r="AP40" s="1439" t="str">
        <f t="shared" si="3"/>
        <v/>
      </c>
      <c r="AQ40" s="1440" t="str">
        <f t="shared" si="4"/>
        <v/>
      </c>
      <c r="AR40" s="1441" t="str">
        <f t="shared" si="5"/>
        <v/>
      </c>
      <c r="AS40" s="1442" t="str">
        <f>IF(NOT(J40),"",IFERROR(VLOOKUP(A40,ativos.!$C$3:$W303,MATCH("variacaopct_dias",ativos.!$C$2:BP$2,0),FALSE),""))</f>
        <v/>
      </c>
      <c r="AT40" s="1443"/>
      <c r="AU40" s="1444" t="str">
        <f>IF(NOT($J40),"",IFERROR(VLOOKUP(A40,ativos.!$C$3:$S303,MATCH("fator_fx",ativos.!$C$2:BP$2,0),FALSE),0))</f>
        <v/>
      </c>
      <c r="AV40" s="1442" t="str">
        <f>IF(NOT($J40),"",IFERROR(VLOOKUP(A40,ativos.!$C$3:$W303,MATCH("variacaopct",ativos.!$C$2:BP$2,0),FALSE)/100,R40))</f>
        <v/>
      </c>
      <c r="AW40" s="1445" t="str">
        <f>IFERROR(__xludf.DUMMYFUNCTION("IF(NOT($J40),"""",IF(S40='config.parâmetros'!$B$8,0,IFERROR(AU40/INDEX(SORT(GOOGLEFINANCE(S40&amp;'config.parâmetros'!$B$8,""price"",TODAY()-3,TODAY(),1),1,0),2,2)-1,0)))"),"")</f>
        <v/>
      </c>
      <c r="AX40" s="1446" t="str">
        <f>IFERROR(__xludf.DUMMYFUNCTION("IF(NOT(J40),"""",IF('config.parâmetros'!$M$8,SUM(IFERROR(filter(proventos!Q$5:Q303,proventos!L$5:L303=B40,proventos!C$5:C303&gt;=DATEVALUE(I40),proventos!R$5:R303=T40),0)),SUM(IFERROR(filter(proventos!Q$5:Q303,proventos!L$5:L303=B40,proventos!C$5:C303&gt;=DATEV"&amp;"ALUE(I40)),0))))"),"")</f>
        <v/>
      </c>
      <c r="AY40" s="1446">
        <f t="shared" si="6"/>
        <v>0</v>
      </c>
      <c r="AZ40" s="1446" t="str">
        <f>IFERROR(__xludf.DUMMYFUNCTION("IF(NOT(J40),"""",IF('config.parâmetros'!$M$8,SUM(IFERROR(filter(op.normal!P$5:P303,op.normal!N$5:N303=B40,op.normal!C$5:C303&gt;=DATEVALUE(I40),op.normal!AC$5:AC303=T40),0)),SUM(IFERROR(filter(op.normal!P$5:P303,op.normal!N$5:N303=B40,op.normal!C$5:C303&gt;=DAT"&amp;"EVALUE(I40)),0))))"),"")</f>
        <v/>
      </c>
      <c r="BA40" s="1447" t="str">
        <f>IFERROR(__xludf.DUMMYFUNCTION("IF(A40="""","""",IFERROR(query({CarteirasAtivos},""Select Col3 where Col1 ='""&amp;A40&amp;""' limit 1""))) "),"")</f>
        <v/>
      </c>
      <c r="BB40" s="1447" t="str">
        <f>IFERROR(__xludf.DUMMYFUNCTION("IF(A40="""","""",SUMPRODUCT(IF(IFERROR(MATCH(query({CarteirasAtivos},""Select Col2 where Col1 = '""&amp;A40&amp;""'""),CarteirasListaCriadasComTotal,0)),1,0)))"),"")</f>
        <v/>
      </c>
      <c r="BC40" s="1446" t="str">
        <f>IFERROR(__xludf.DUMMYFUNCTION("IF($A40="""","""",IFERROR(AVERAGE(query({CarteirasAtivos;CarteirasAtivosEncerrados},""select Col5 where Col5 is not null and Col1 = '""&amp;$A40&amp;""' and Col10='SIM'""))*AU40))"),"")</f>
        <v/>
      </c>
      <c r="BD40" s="1448" t="str">
        <f>IF(A40="","",IF(NOT('config.parâmetros'!$M$8),IF(int(J40)=J40,TEXT(J40,"###,##0"),TEXT(J40,"###,##0.#######")),IF(int(J40)=J40,TEXT(J40,"###,##0"),TEXT(J40,"###,##0.#######"))&amp;"
("&amp;T40&amp;")"))</f>
        <v/>
      </c>
      <c r="BE40" s="1442" t="str">
        <f t="shared" si="7"/>
        <v/>
      </c>
      <c r="BF40" s="1447" t="str">
        <f t="shared" si="8"/>
        <v/>
      </c>
      <c r="BG40" s="1449" t="str">
        <f t="shared" si="9"/>
        <v/>
      </c>
      <c r="BH40" s="1447" t="str">
        <f t="shared" si="10"/>
        <v/>
      </c>
      <c r="BI40" s="1447" t="str">
        <f t="shared" si="11"/>
        <v/>
      </c>
      <c r="BJ40" s="1449" t="str">
        <f t="shared" si="12"/>
        <v/>
      </c>
      <c r="BK40" s="1447" t="str">
        <f t="shared" si="13"/>
        <v/>
      </c>
      <c r="BL40" s="1447" t="str">
        <f t="shared" si="14"/>
        <v/>
      </c>
      <c r="BM40" s="1449" t="str">
        <f t="shared" si="15"/>
        <v/>
      </c>
      <c r="BN40" s="1447" t="str">
        <f t="shared" si="16"/>
        <v/>
      </c>
      <c r="BO40" s="1447" t="str">
        <f t="shared" si="17"/>
        <v/>
      </c>
      <c r="BP40" s="1448" t="str">
        <f t="shared" si="18"/>
        <v/>
      </c>
    </row>
    <row r="41">
      <c r="A41" s="1422"/>
      <c r="B41" s="1423"/>
      <c r="C41" s="1423"/>
      <c r="D41" s="1422"/>
      <c r="E41" s="1422"/>
      <c r="F41" s="1422"/>
      <c r="G41" s="1424"/>
      <c r="H41" s="1424"/>
      <c r="I41" s="1450"/>
      <c r="J41" s="1426"/>
      <c r="K41" s="1427"/>
      <c r="L41" s="1428"/>
      <c r="M41" s="1428"/>
      <c r="N41" s="1429"/>
      <c r="O41" s="1429"/>
      <c r="P41" s="1430"/>
      <c r="Q41" s="1430"/>
      <c r="R41" s="1431"/>
      <c r="S41" s="1432"/>
      <c r="T41" s="1433"/>
      <c r="U41" s="1422"/>
      <c r="V41" s="1422"/>
      <c r="W41" s="1422"/>
      <c r="X41" s="1422"/>
      <c r="Y41" s="1422"/>
      <c r="Z41" s="1422"/>
      <c r="AA41" s="1422"/>
      <c r="AB41" s="1422"/>
      <c r="AC41" s="1422"/>
      <c r="AD41" s="1422"/>
      <c r="AE41" s="1422"/>
      <c r="AF41" s="1422"/>
      <c r="AG41" s="1422"/>
      <c r="AH41" s="1422"/>
      <c r="AI41" s="1422"/>
      <c r="AJ41" s="1422"/>
      <c r="AK41" s="1434"/>
      <c r="AL41" s="1435"/>
      <c r="AM41" s="1436" t="str">
        <f>IF(NOT($J41),"",IFERROR(VLOOKUP(A41,ativos.!$C$3:$W303,MATCH("cotacao",ativos.!$C$2:BP$2,0),FALSE),P41*AU41))</f>
        <v/>
      </c>
      <c r="AN41" s="1437" t="str">
        <f t="shared" si="1"/>
        <v/>
      </c>
      <c r="AO41" s="1438" t="str">
        <f t="shared" si="2"/>
        <v/>
      </c>
      <c r="AP41" s="1439" t="str">
        <f t="shared" si="3"/>
        <v/>
      </c>
      <c r="AQ41" s="1440" t="str">
        <f t="shared" si="4"/>
        <v/>
      </c>
      <c r="AR41" s="1441" t="str">
        <f t="shared" si="5"/>
        <v/>
      </c>
      <c r="AS41" s="1442" t="str">
        <f>IF(NOT(J41),"",IFERROR(VLOOKUP(A41,ativos.!$C$3:$W303,MATCH("variacaopct_dias",ativos.!$C$2:BP$2,0),FALSE),""))</f>
        <v/>
      </c>
      <c r="AT41" s="1443"/>
      <c r="AU41" s="1444" t="str">
        <f>IF(NOT($J41),"",IFERROR(VLOOKUP(A41,ativos.!$C$3:$S303,MATCH("fator_fx",ativos.!$C$2:BP$2,0),FALSE),0))</f>
        <v/>
      </c>
      <c r="AV41" s="1442" t="str">
        <f>IF(NOT($J41),"",IFERROR(VLOOKUP(A41,ativos.!$C$3:$W303,MATCH("variacaopct",ativos.!$C$2:BP$2,0),FALSE)/100,R41))</f>
        <v/>
      </c>
      <c r="AW41" s="1445" t="str">
        <f>IFERROR(__xludf.DUMMYFUNCTION("IF(NOT($J41),"""",IF(S41='config.parâmetros'!$B$8,0,IFERROR(AU41/INDEX(SORT(GOOGLEFINANCE(S41&amp;'config.parâmetros'!$B$8,""price"",TODAY()-3,TODAY(),1),1,0),2,2)-1,0)))"),"")</f>
        <v/>
      </c>
      <c r="AX41" s="1446" t="str">
        <f>IFERROR(__xludf.DUMMYFUNCTION("IF(NOT(J41),"""",IF('config.parâmetros'!$M$8,SUM(IFERROR(filter(proventos!Q$5:Q303,proventos!L$5:L303=B41,proventos!C$5:C303&gt;=DATEVALUE(I41),proventos!R$5:R303=T41),0)),SUM(IFERROR(filter(proventos!Q$5:Q303,proventos!L$5:L303=B41,proventos!C$5:C303&gt;=DATEV"&amp;"ALUE(I41)),0))))"),"")</f>
        <v/>
      </c>
      <c r="AY41" s="1446">
        <f t="shared" si="6"/>
        <v>0</v>
      </c>
      <c r="AZ41" s="1446" t="str">
        <f>IFERROR(__xludf.DUMMYFUNCTION("IF(NOT(J41),"""",IF('config.parâmetros'!$M$8,SUM(IFERROR(filter(op.normal!P$5:P303,op.normal!N$5:N303=B41,op.normal!C$5:C303&gt;=DATEVALUE(I41),op.normal!AC$5:AC303=T41),0)),SUM(IFERROR(filter(op.normal!P$5:P303,op.normal!N$5:N303=B41,op.normal!C$5:C303&gt;=DAT"&amp;"EVALUE(I41)),0))))"),"")</f>
        <v/>
      </c>
      <c r="BA41" s="1447" t="str">
        <f>IFERROR(__xludf.DUMMYFUNCTION("IF(A41="""","""",IFERROR(query({CarteirasAtivos},""Select Col3 where Col1 ='""&amp;A41&amp;""' limit 1""))) "),"")</f>
        <v/>
      </c>
      <c r="BB41" s="1447" t="str">
        <f>IFERROR(__xludf.DUMMYFUNCTION("IF(A41="""","""",SUMPRODUCT(IF(IFERROR(MATCH(query({CarteirasAtivos},""Select Col2 where Col1 = '""&amp;A41&amp;""'""),CarteirasListaCriadasComTotal,0)),1,0)))"),"")</f>
        <v/>
      </c>
      <c r="BC41" s="1446" t="str">
        <f>IFERROR(__xludf.DUMMYFUNCTION("IF($A41="""","""",IFERROR(AVERAGE(query({CarteirasAtivos;CarteirasAtivosEncerrados},""select Col5 where Col5 is not null and Col1 = '""&amp;$A41&amp;""' and Col10='SIM'""))*AU41))"),"")</f>
        <v/>
      </c>
      <c r="BD41" s="1448" t="str">
        <f>IF(A41="","",IF(NOT('config.parâmetros'!$M$8),IF(int(J41)=J41,TEXT(J41,"###,##0"),TEXT(J41,"###,##0.#######")),IF(int(J41)=J41,TEXT(J41,"###,##0"),TEXT(J41,"###,##0.#######"))&amp;"
("&amp;T41&amp;")"))</f>
        <v/>
      </c>
      <c r="BE41" s="1442" t="str">
        <f t="shared" si="7"/>
        <v/>
      </c>
      <c r="BF41" s="1447" t="str">
        <f t="shared" si="8"/>
        <v/>
      </c>
      <c r="BG41" s="1449" t="str">
        <f t="shared" si="9"/>
        <v/>
      </c>
      <c r="BH41" s="1447" t="str">
        <f t="shared" si="10"/>
        <v/>
      </c>
      <c r="BI41" s="1447" t="str">
        <f t="shared" si="11"/>
        <v/>
      </c>
      <c r="BJ41" s="1449" t="str">
        <f t="shared" si="12"/>
        <v/>
      </c>
      <c r="BK41" s="1447" t="str">
        <f t="shared" si="13"/>
        <v/>
      </c>
      <c r="BL41" s="1447" t="str">
        <f t="shared" si="14"/>
        <v/>
      </c>
      <c r="BM41" s="1449" t="str">
        <f t="shared" si="15"/>
        <v/>
      </c>
      <c r="BN41" s="1447" t="str">
        <f t="shared" si="16"/>
        <v/>
      </c>
      <c r="BO41" s="1447" t="str">
        <f t="shared" si="17"/>
        <v/>
      </c>
      <c r="BP41" s="1448" t="str">
        <f t="shared" si="18"/>
        <v/>
      </c>
    </row>
    <row r="42">
      <c r="A42" s="1422"/>
      <c r="B42" s="1423"/>
      <c r="C42" s="1423"/>
      <c r="D42" s="1422"/>
      <c r="E42" s="1422"/>
      <c r="F42" s="1422"/>
      <c r="G42" s="1424"/>
      <c r="H42" s="1424"/>
      <c r="I42" s="1450"/>
      <c r="J42" s="1426"/>
      <c r="K42" s="1427"/>
      <c r="L42" s="1428"/>
      <c r="M42" s="1428"/>
      <c r="N42" s="1429"/>
      <c r="O42" s="1429"/>
      <c r="P42" s="1430"/>
      <c r="Q42" s="1430"/>
      <c r="R42" s="1431"/>
      <c r="S42" s="1432"/>
      <c r="T42" s="1433"/>
      <c r="U42" s="1422"/>
      <c r="V42" s="1422"/>
      <c r="W42" s="1422"/>
      <c r="X42" s="1422"/>
      <c r="Y42" s="1422"/>
      <c r="Z42" s="1422"/>
      <c r="AA42" s="1422"/>
      <c r="AB42" s="1422"/>
      <c r="AC42" s="1422"/>
      <c r="AD42" s="1422"/>
      <c r="AE42" s="1422"/>
      <c r="AF42" s="1422"/>
      <c r="AG42" s="1422"/>
      <c r="AH42" s="1422"/>
      <c r="AI42" s="1422"/>
      <c r="AJ42" s="1422"/>
      <c r="AK42" s="1434"/>
      <c r="AL42" s="1435"/>
      <c r="AM42" s="1436" t="str">
        <f>IF(NOT($J42),"",IFERROR(VLOOKUP(A42,ativos.!$C$3:$W303,MATCH("cotacao",ativos.!$C$2:BP$2,0),FALSE),P42*AU42))</f>
        <v/>
      </c>
      <c r="AN42" s="1437" t="str">
        <f t="shared" si="1"/>
        <v/>
      </c>
      <c r="AO42" s="1438" t="str">
        <f t="shared" si="2"/>
        <v/>
      </c>
      <c r="AP42" s="1439" t="str">
        <f t="shared" si="3"/>
        <v/>
      </c>
      <c r="AQ42" s="1440" t="str">
        <f t="shared" si="4"/>
        <v/>
      </c>
      <c r="AR42" s="1441" t="str">
        <f t="shared" si="5"/>
        <v/>
      </c>
      <c r="AS42" s="1442" t="str">
        <f>IF(NOT(J42),"",IFERROR(VLOOKUP(A42,ativos.!$C$3:$W303,MATCH("variacaopct_dias",ativos.!$C$2:BP$2,0),FALSE),""))</f>
        <v/>
      </c>
      <c r="AT42" s="1443"/>
      <c r="AU42" s="1444" t="str">
        <f>IF(NOT($J42),"",IFERROR(VLOOKUP(A42,ativos.!$C$3:$S303,MATCH("fator_fx",ativos.!$C$2:BP$2,0),FALSE),0))</f>
        <v/>
      </c>
      <c r="AV42" s="1442" t="str">
        <f>IF(NOT($J42),"",IFERROR(VLOOKUP(A42,ativos.!$C$3:$W303,MATCH("variacaopct",ativos.!$C$2:BP$2,0),FALSE)/100,R42))</f>
        <v/>
      </c>
      <c r="AW42" s="1445" t="str">
        <f>IFERROR(__xludf.DUMMYFUNCTION("IF(NOT($J42),"""",IF(S42='config.parâmetros'!$B$8,0,IFERROR(AU42/INDEX(SORT(GOOGLEFINANCE(S42&amp;'config.parâmetros'!$B$8,""price"",TODAY()-3,TODAY(),1),1,0),2,2)-1,0)))"),"")</f>
        <v/>
      </c>
      <c r="AX42" s="1446" t="str">
        <f>IFERROR(__xludf.DUMMYFUNCTION("IF(NOT(J42),"""",IF('config.parâmetros'!$M$8,SUM(IFERROR(filter(proventos!Q$5:Q303,proventos!L$5:L303=B42,proventos!C$5:C303&gt;=DATEVALUE(I42),proventos!R$5:R303=T42),0)),SUM(IFERROR(filter(proventos!Q$5:Q303,proventos!L$5:L303=B42,proventos!C$5:C303&gt;=DATEV"&amp;"ALUE(I42)),0))))"),"")</f>
        <v/>
      </c>
      <c r="AY42" s="1446">
        <f t="shared" si="6"/>
        <v>0</v>
      </c>
      <c r="AZ42" s="1446" t="str">
        <f>IFERROR(__xludf.DUMMYFUNCTION("IF(NOT(J42),"""",IF('config.parâmetros'!$M$8,SUM(IFERROR(filter(op.normal!P$5:P303,op.normal!N$5:N303=B42,op.normal!C$5:C303&gt;=DATEVALUE(I42),op.normal!AC$5:AC303=T42),0)),SUM(IFERROR(filter(op.normal!P$5:P303,op.normal!N$5:N303=B42,op.normal!C$5:C303&gt;=DAT"&amp;"EVALUE(I42)),0))))"),"")</f>
        <v/>
      </c>
      <c r="BA42" s="1447" t="str">
        <f>IFERROR(__xludf.DUMMYFUNCTION("IF(A42="""","""",IFERROR(query({CarteirasAtivos},""Select Col3 where Col1 ='""&amp;A42&amp;""' limit 1""))) "),"")</f>
        <v/>
      </c>
      <c r="BB42" s="1447" t="str">
        <f>IFERROR(__xludf.DUMMYFUNCTION("IF(A42="""","""",SUMPRODUCT(IF(IFERROR(MATCH(query({CarteirasAtivos},""Select Col2 where Col1 = '""&amp;A42&amp;""'""),CarteirasListaCriadasComTotal,0)),1,0)))"),"")</f>
        <v/>
      </c>
      <c r="BC42" s="1446" t="str">
        <f>IFERROR(__xludf.DUMMYFUNCTION("IF($A42="""","""",IFERROR(AVERAGE(query({CarteirasAtivos;CarteirasAtivosEncerrados},""select Col5 where Col5 is not null and Col1 = '""&amp;$A42&amp;""' and Col10='SIM'""))*AU42))"),"")</f>
        <v/>
      </c>
      <c r="BD42" s="1448" t="str">
        <f>IF(A42="","",IF(NOT('config.parâmetros'!$M$8),IF(int(J42)=J42,TEXT(J42,"###,##0"),TEXT(J42,"###,##0.#######")),IF(int(J42)=J42,TEXT(J42,"###,##0"),TEXT(J42,"###,##0.#######"))&amp;"
("&amp;T42&amp;")"))</f>
        <v/>
      </c>
      <c r="BE42" s="1442" t="str">
        <f t="shared" si="7"/>
        <v/>
      </c>
      <c r="BF42" s="1447" t="str">
        <f t="shared" si="8"/>
        <v/>
      </c>
      <c r="BG42" s="1449" t="str">
        <f t="shared" si="9"/>
        <v/>
      </c>
      <c r="BH42" s="1447" t="str">
        <f t="shared" si="10"/>
        <v/>
      </c>
      <c r="BI42" s="1447" t="str">
        <f t="shared" si="11"/>
        <v/>
      </c>
      <c r="BJ42" s="1449" t="str">
        <f t="shared" si="12"/>
        <v/>
      </c>
      <c r="BK42" s="1447" t="str">
        <f t="shared" si="13"/>
        <v/>
      </c>
      <c r="BL42" s="1447" t="str">
        <f t="shared" si="14"/>
        <v/>
      </c>
      <c r="BM42" s="1449" t="str">
        <f t="shared" si="15"/>
        <v/>
      </c>
      <c r="BN42" s="1447" t="str">
        <f t="shared" si="16"/>
        <v/>
      </c>
      <c r="BO42" s="1447" t="str">
        <f t="shared" si="17"/>
        <v/>
      </c>
      <c r="BP42" s="1448" t="str">
        <f t="shared" si="18"/>
        <v/>
      </c>
    </row>
    <row r="43">
      <c r="A43" s="1422"/>
      <c r="B43" s="1423"/>
      <c r="C43" s="1423"/>
      <c r="D43" s="1422"/>
      <c r="E43" s="1422"/>
      <c r="F43" s="1422"/>
      <c r="G43" s="1424"/>
      <c r="H43" s="1424"/>
      <c r="I43" s="1450"/>
      <c r="J43" s="1426"/>
      <c r="K43" s="1427"/>
      <c r="L43" s="1428"/>
      <c r="M43" s="1428"/>
      <c r="N43" s="1429"/>
      <c r="O43" s="1429"/>
      <c r="P43" s="1430"/>
      <c r="Q43" s="1430"/>
      <c r="R43" s="1431"/>
      <c r="S43" s="1432"/>
      <c r="T43" s="1433"/>
      <c r="U43" s="1422"/>
      <c r="V43" s="1422"/>
      <c r="W43" s="1422"/>
      <c r="X43" s="1422"/>
      <c r="Y43" s="1422"/>
      <c r="Z43" s="1422"/>
      <c r="AA43" s="1422"/>
      <c r="AB43" s="1422"/>
      <c r="AC43" s="1422"/>
      <c r="AD43" s="1422"/>
      <c r="AE43" s="1422"/>
      <c r="AF43" s="1422"/>
      <c r="AG43" s="1422"/>
      <c r="AH43" s="1422"/>
      <c r="AI43" s="1422"/>
      <c r="AJ43" s="1422"/>
      <c r="AK43" s="1434"/>
      <c r="AL43" s="1435"/>
      <c r="AM43" s="1436" t="str">
        <f>IF(NOT($J43),"",IFERROR(VLOOKUP(A43,ativos.!$C$3:$W303,MATCH("cotacao",ativos.!$C$2:BP$2,0),FALSE),P43*AU43))</f>
        <v/>
      </c>
      <c r="AN43" s="1437" t="str">
        <f t="shared" si="1"/>
        <v/>
      </c>
      <c r="AO43" s="1438" t="str">
        <f t="shared" si="2"/>
        <v/>
      </c>
      <c r="AP43" s="1439" t="str">
        <f t="shared" si="3"/>
        <v/>
      </c>
      <c r="AQ43" s="1440" t="str">
        <f t="shared" si="4"/>
        <v/>
      </c>
      <c r="AR43" s="1441" t="str">
        <f t="shared" si="5"/>
        <v/>
      </c>
      <c r="AS43" s="1442" t="str">
        <f>IF(NOT(J43),"",IFERROR(VLOOKUP(A43,ativos.!$C$3:$W303,MATCH("variacaopct_dias",ativos.!$C$2:BP$2,0),FALSE),""))</f>
        <v/>
      </c>
      <c r="AT43" s="1443"/>
      <c r="AU43" s="1444" t="str">
        <f>IF(NOT($J43),"",IFERROR(VLOOKUP(A43,ativos.!$C$3:$S303,MATCH("fator_fx",ativos.!$C$2:BP$2,0),FALSE),0))</f>
        <v/>
      </c>
      <c r="AV43" s="1442" t="str">
        <f>IF(NOT($J43),"",IFERROR(VLOOKUP(A43,ativos.!$C$3:$W303,MATCH("variacaopct",ativos.!$C$2:BP$2,0),FALSE)/100,R43))</f>
        <v/>
      </c>
      <c r="AW43" s="1445" t="str">
        <f>IFERROR(__xludf.DUMMYFUNCTION("IF(NOT($J43),"""",IF(S43='config.parâmetros'!$B$8,0,IFERROR(AU43/INDEX(SORT(GOOGLEFINANCE(S43&amp;'config.parâmetros'!$B$8,""price"",TODAY()-3,TODAY(),1),1,0),2,2)-1,0)))"),"")</f>
        <v/>
      </c>
      <c r="AX43" s="1446" t="str">
        <f>IFERROR(__xludf.DUMMYFUNCTION("IF(NOT(J43),"""",IF('config.parâmetros'!$M$8,SUM(IFERROR(filter(proventos!Q$5:Q303,proventos!L$5:L303=B43,proventos!C$5:C303&gt;=DATEVALUE(I43),proventos!R$5:R303=T43),0)),SUM(IFERROR(filter(proventos!Q$5:Q303,proventos!L$5:L303=B43,proventos!C$5:C303&gt;=DATEV"&amp;"ALUE(I43)),0))))"),"")</f>
        <v/>
      </c>
      <c r="AY43" s="1446">
        <f t="shared" si="6"/>
        <v>0</v>
      </c>
      <c r="AZ43" s="1446" t="str">
        <f>IFERROR(__xludf.DUMMYFUNCTION("IF(NOT(J43),"""",IF('config.parâmetros'!$M$8,SUM(IFERROR(filter(op.normal!P$5:P303,op.normal!N$5:N303=B43,op.normal!C$5:C303&gt;=DATEVALUE(I43),op.normal!AC$5:AC303=T43),0)),SUM(IFERROR(filter(op.normal!P$5:P303,op.normal!N$5:N303=B43,op.normal!C$5:C303&gt;=DAT"&amp;"EVALUE(I43)),0))))"),"")</f>
        <v/>
      </c>
      <c r="BA43" s="1447" t="str">
        <f>IFERROR(__xludf.DUMMYFUNCTION("IF(A43="""","""",IFERROR(query({CarteirasAtivos},""Select Col3 where Col1 ='""&amp;A43&amp;""' limit 1""))) "),"")</f>
        <v/>
      </c>
      <c r="BB43" s="1447" t="str">
        <f>IFERROR(__xludf.DUMMYFUNCTION("IF(A43="""","""",SUMPRODUCT(IF(IFERROR(MATCH(query({CarteirasAtivos},""Select Col2 where Col1 = '""&amp;A43&amp;""'""),CarteirasListaCriadasComTotal,0)),1,0)))"),"")</f>
        <v/>
      </c>
      <c r="BC43" s="1446" t="str">
        <f>IFERROR(__xludf.DUMMYFUNCTION("IF($A43="""","""",IFERROR(AVERAGE(query({CarteirasAtivos;CarteirasAtivosEncerrados},""select Col5 where Col5 is not null and Col1 = '""&amp;$A43&amp;""' and Col10='SIM'""))*AU43))"),"")</f>
        <v/>
      </c>
      <c r="BD43" s="1448" t="str">
        <f>IF(A43="","",IF(NOT('config.parâmetros'!$M$8),IF(int(J43)=J43,TEXT(J43,"###,##0"),TEXT(J43,"###,##0.#######")),IF(int(J43)=J43,TEXT(J43,"###,##0"),TEXT(J43,"###,##0.#######"))&amp;"
("&amp;T43&amp;")"))</f>
        <v/>
      </c>
      <c r="BE43" s="1442" t="str">
        <f t="shared" si="7"/>
        <v/>
      </c>
      <c r="BF43" s="1447" t="str">
        <f t="shared" si="8"/>
        <v/>
      </c>
      <c r="BG43" s="1449" t="str">
        <f t="shared" si="9"/>
        <v/>
      </c>
      <c r="BH43" s="1447" t="str">
        <f t="shared" si="10"/>
        <v/>
      </c>
      <c r="BI43" s="1447" t="str">
        <f t="shared" si="11"/>
        <v/>
      </c>
      <c r="BJ43" s="1449" t="str">
        <f t="shared" si="12"/>
        <v/>
      </c>
      <c r="BK43" s="1447" t="str">
        <f t="shared" si="13"/>
        <v/>
      </c>
      <c r="BL43" s="1447" t="str">
        <f t="shared" si="14"/>
        <v/>
      </c>
      <c r="BM43" s="1449" t="str">
        <f t="shared" si="15"/>
        <v/>
      </c>
      <c r="BN43" s="1447" t="str">
        <f t="shared" si="16"/>
        <v/>
      </c>
      <c r="BO43" s="1447" t="str">
        <f t="shared" si="17"/>
        <v/>
      </c>
      <c r="BP43" s="1448" t="str">
        <f t="shared" si="18"/>
        <v/>
      </c>
    </row>
    <row r="44">
      <c r="A44" s="1422"/>
      <c r="B44" s="1423"/>
      <c r="C44" s="1423"/>
      <c r="D44" s="1422"/>
      <c r="E44" s="1422"/>
      <c r="F44" s="1422"/>
      <c r="G44" s="1424"/>
      <c r="H44" s="1424"/>
      <c r="I44" s="1450"/>
      <c r="J44" s="1426"/>
      <c r="K44" s="1427"/>
      <c r="L44" s="1428"/>
      <c r="M44" s="1428"/>
      <c r="N44" s="1429"/>
      <c r="O44" s="1429"/>
      <c r="P44" s="1430"/>
      <c r="Q44" s="1430"/>
      <c r="R44" s="1431"/>
      <c r="S44" s="1432"/>
      <c r="T44" s="1433"/>
      <c r="U44" s="1422"/>
      <c r="V44" s="1422"/>
      <c r="W44" s="1422"/>
      <c r="X44" s="1422"/>
      <c r="Y44" s="1422"/>
      <c r="Z44" s="1422"/>
      <c r="AA44" s="1422"/>
      <c r="AB44" s="1422"/>
      <c r="AC44" s="1422"/>
      <c r="AD44" s="1422"/>
      <c r="AE44" s="1422"/>
      <c r="AF44" s="1422"/>
      <c r="AG44" s="1422"/>
      <c r="AH44" s="1422"/>
      <c r="AI44" s="1422"/>
      <c r="AJ44" s="1422"/>
      <c r="AK44" s="1434"/>
      <c r="AL44" s="1435"/>
      <c r="AM44" s="1436" t="str">
        <f>IF(NOT($J44),"",IFERROR(VLOOKUP(A44,ativos.!$C$3:$W303,MATCH("cotacao",ativos.!$C$2:BP$2,0),FALSE),P44*AU44))</f>
        <v/>
      </c>
      <c r="AN44" s="1437" t="str">
        <f t="shared" si="1"/>
        <v/>
      </c>
      <c r="AO44" s="1438" t="str">
        <f t="shared" si="2"/>
        <v/>
      </c>
      <c r="AP44" s="1439" t="str">
        <f t="shared" si="3"/>
        <v/>
      </c>
      <c r="AQ44" s="1440" t="str">
        <f t="shared" si="4"/>
        <v/>
      </c>
      <c r="AR44" s="1441" t="str">
        <f t="shared" si="5"/>
        <v/>
      </c>
      <c r="AS44" s="1442" t="str">
        <f>IF(NOT(J44),"",IFERROR(VLOOKUP(A44,ativos.!$C$3:$W303,MATCH("variacaopct_dias",ativos.!$C$2:BP$2,0),FALSE),""))</f>
        <v/>
      </c>
      <c r="AT44" s="1443"/>
      <c r="AU44" s="1444" t="str">
        <f>IF(NOT($J44),"",IFERROR(VLOOKUP(A44,ativos.!$C$3:$S303,MATCH("fator_fx",ativos.!$C$2:BP$2,0),FALSE),0))</f>
        <v/>
      </c>
      <c r="AV44" s="1442" t="str">
        <f>IF(NOT($J44),"",IFERROR(VLOOKUP(A44,ativos.!$C$3:$W303,MATCH("variacaopct",ativos.!$C$2:BP$2,0),FALSE)/100,R44))</f>
        <v/>
      </c>
      <c r="AW44" s="1445" t="str">
        <f>IFERROR(__xludf.DUMMYFUNCTION("IF(NOT($J44),"""",IF(S44='config.parâmetros'!$B$8,0,IFERROR(AU44/INDEX(SORT(GOOGLEFINANCE(S44&amp;'config.parâmetros'!$B$8,""price"",TODAY()-3,TODAY(),1),1,0),2,2)-1,0)))"),"")</f>
        <v/>
      </c>
      <c r="AX44" s="1446" t="str">
        <f>IFERROR(__xludf.DUMMYFUNCTION("IF(NOT(J44),"""",IF('config.parâmetros'!$M$8,SUM(IFERROR(filter(proventos!Q$5:Q303,proventos!L$5:L303=B44,proventos!C$5:C303&gt;=DATEVALUE(I44),proventos!R$5:R303=T44),0)),SUM(IFERROR(filter(proventos!Q$5:Q303,proventos!L$5:L303=B44,proventos!C$5:C303&gt;=DATEV"&amp;"ALUE(I44)),0))))"),"")</f>
        <v/>
      </c>
      <c r="AY44" s="1446">
        <f t="shared" si="6"/>
        <v>0</v>
      </c>
      <c r="AZ44" s="1446" t="str">
        <f>IFERROR(__xludf.DUMMYFUNCTION("IF(NOT(J44),"""",IF('config.parâmetros'!$M$8,SUM(IFERROR(filter(op.normal!P$5:P303,op.normal!N$5:N303=B44,op.normal!C$5:C303&gt;=DATEVALUE(I44),op.normal!AC$5:AC303=T44),0)),SUM(IFERROR(filter(op.normal!P$5:P303,op.normal!N$5:N303=B44,op.normal!C$5:C303&gt;=DAT"&amp;"EVALUE(I44)),0))))"),"")</f>
        <v/>
      </c>
      <c r="BA44" s="1447" t="str">
        <f>IFERROR(__xludf.DUMMYFUNCTION("IF(A44="""","""",IFERROR(query({CarteirasAtivos},""Select Col3 where Col1 ='""&amp;A44&amp;""' limit 1""))) "),"")</f>
        <v/>
      </c>
      <c r="BB44" s="1447" t="str">
        <f>IFERROR(__xludf.DUMMYFUNCTION("IF(A44="""","""",SUMPRODUCT(IF(IFERROR(MATCH(query({CarteirasAtivos},""Select Col2 where Col1 = '""&amp;A44&amp;""'""),CarteirasListaCriadasComTotal,0)),1,0)))"),"")</f>
        <v/>
      </c>
      <c r="BC44" s="1446" t="str">
        <f>IFERROR(__xludf.DUMMYFUNCTION("IF($A44="""","""",IFERROR(AVERAGE(query({CarteirasAtivos;CarteirasAtivosEncerrados},""select Col5 where Col5 is not null and Col1 = '""&amp;$A44&amp;""' and Col10='SIM'""))*AU44))"),"")</f>
        <v/>
      </c>
      <c r="BD44" s="1448" t="str">
        <f>IF(A44="","",IF(NOT('config.parâmetros'!$M$8),IF(int(J44)=J44,TEXT(J44,"###,##0"),TEXT(J44,"###,##0.#######")),IF(int(J44)=J44,TEXT(J44,"###,##0"),TEXT(J44,"###,##0.#######"))&amp;"
("&amp;T44&amp;")"))</f>
        <v/>
      </c>
      <c r="BE44" s="1442" t="str">
        <f t="shared" si="7"/>
        <v/>
      </c>
      <c r="BF44" s="1447" t="str">
        <f t="shared" si="8"/>
        <v/>
      </c>
      <c r="BG44" s="1449" t="str">
        <f t="shared" si="9"/>
        <v/>
      </c>
      <c r="BH44" s="1447" t="str">
        <f t="shared" si="10"/>
        <v/>
      </c>
      <c r="BI44" s="1447" t="str">
        <f t="shared" si="11"/>
        <v/>
      </c>
      <c r="BJ44" s="1449" t="str">
        <f t="shared" si="12"/>
        <v/>
      </c>
      <c r="BK44" s="1447" t="str">
        <f t="shared" si="13"/>
        <v/>
      </c>
      <c r="BL44" s="1447" t="str">
        <f t="shared" si="14"/>
        <v/>
      </c>
      <c r="BM44" s="1449" t="str">
        <f t="shared" si="15"/>
        <v/>
      </c>
      <c r="BN44" s="1447" t="str">
        <f t="shared" si="16"/>
        <v/>
      </c>
      <c r="BO44" s="1447" t="str">
        <f t="shared" si="17"/>
        <v/>
      </c>
      <c r="BP44" s="1448" t="str">
        <f t="shared" si="18"/>
        <v/>
      </c>
    </row>
    <row r="45">
      <c r="A45" s="1422"/>
      <c r="B45" s="1423"/>
      <c r="C45" s="1423"/>
      <c r="D45" s="1422"/>
      <c r="E45" s="1422"/>
      <c r="F45" s="1422"/>
      <c r="G45" s="1424"/>
      <c r="H45" s="1424"/>
      <c r="I45" s="1450"/>
      <c r="J45" s="1426"/>
      <c r="K45" s="1427"/>
      <c r="L45" s="1428"/>
      <c r="M45" s="1428"/>
      <c r="N45" s="1429"/>
      <c r="O45" s="1429"/>
      <c r="P45" s="1430"/>
      <c r="Q45" s="1430"/>
      <c r="R45" s="1431"/>
      <c r="S45" s="1432"/>
      <c r="T45" s="1433"/>
      <c r="U45" s="1422"/>
      <c r="V45" s="1422"/>
      <c r="W45" s="1422"/>
      <c r="X45" s="1422"/>
      <c r="Y45" s="1422"/>
      <c r="Z45" s="1422"/>
      <c r="AA45" s="1422"/>
      <c r="AB45" s="1422"/>
      <c r="AC45" s="1422"/>
      <c r="AD45" s="1422"/>
      <c r="AE45" s="1422"/>
      <c r="AF45" s="1422"/>
      <c r="AG45" s="1422"/>
      <c r="AH45" s="1422"/>
      <c r="AI45" s="1422"/>
      <c r="AJ45" s="1422"/>
      <c r="AK45" s="1434"/>
      <c r="AL45" s="1435"/>
      <c r="AM45" s="1436" t="str">
        <f>IF(NOT($J45),"",IFERROR(VLOOKUP(A45,ativos.!$C$3:$W303,MATCH("cotacao",ativos.!$C$2:BP$2,0),FALSE),P45*AU45))</f>
        <v/>
      </c>
      <c r="AN45" s="1437" t="str">
        <f t="shared" si="1"/>
        <v/>
      </c>
      <c r="AO45" s="1438" t="str">
        <f t="shared" si="2"/>
        <v/>
      </c>
      <c r="AP45" s="1439" t="str">
        <f t="shared" si="3"/>
        <v/>
      </c>
      <c r="AQ45" s="1440" t="str">
        <f t="shared" si="4"/>
        <v/>
      </c>
      <c r="AR45" s="1441" t="str">
        <f t="shared" si="5"/>
        <v/>
      </c>
      <c r="AS45" s="1442" t="str">
        <f>IF(NOT(J45),"",IFERROR(VLOOKUP(A45,ativos.!$C$3:$W303,MATCH("variacaopct_dias",ativos.!$C$2:BP$2,0),FALSE),""))</f>
        <v/>
      </c>
      <c r="AT45" s="1443"/>
      <c r="AU45" s="1444" t="str">
        <f>IF(NOT($J45),"",IFERROR(VLOOKUP(A45,ativos.!$C$3:$S303,MATCH("fator_fx",ativos.!$C$2:BP$2,0),FALSE),0))</f>
        <v/>
      </c>
      <c r="AV45" s="1442" t="str">
        <f>IF(NOT($J45),"",IFERROR(VLOOKUP(A45,ativos.!$C$3:$W303,MATCH("variacaopct",ativos.!$C$2:BP$2,0),FALSE)/100,R45))</f>
        <v/>
      </c>
      <c r="AW45" s="1445" t="str">
        <f>IFERROR(__xludf.DUMMYFUNCTION("IF(NOT($J45),"""",IF(S45='config.parâmetros'!$B$8,0,IFERROR(AU45/INDEX(SORT(GOOGLEFINANCE(S45&amp;'config.parâmetros'!$B$8,""price"",TODAY()-3,TODAY(),1),1,0),2,2)-1,0)))"),"")</f>
        <v/>
      </c>
      <c r="AX45" s="1446" t="str">
        <f>IFERROR(__xludf.DUMMYFUNCTION("IF(NOT(J45),"""",IF('config.parâmetros'!$M$8,SUM(IFERROR(filter(proventos!Q$5:Q303,proventos!L$5:L303=B45,proventos!C$5:C303&gt;=DATEVALUE(I45),proventos!R$5:R303=T45),0)),SUM(IFERROR(filter(proventos!Q$5:Q303,proventos!L$5:L303=B45,proventos!C$5:C303&gt;=DATEV"&amp;"ALUE(I45)),0))))"),"")</f>
        <v/>
      </c>
      <c r="AY45" s="1446">
        <f t="shared" si="6"/>
        <v>0</v>
      </c>
      <c r="AZ45" s="1446" t="str">
        <f>IFERROR(__xludf.DUMMYFUNCTION("IF(NOT(J45),"""",IF('config.parâmetros'!$M$8,SUM(IFERROR(filter(op.normal!P$5:P303,op.normal!N$5:N303=B45,op.normal!C$5:C303&gt;=DATEVALUE(I45),op.normal!AC$5:AC303=T45),0)),SUM(IFERROR(filter(op.normal!P$5:P303,op.normal!N$5:N303=B45,op.normal!C$5:C303&gt;=DAT"&amp;"EVALUE(I45)),0))))"),"")</f>
        <v/>
      </c>
      <c r="BA45" s="1447" t="str">
        <f>IFERROR(__xludf.DUMMYFUNCTION("IF(A45="""","""",IFERROR(query({CarteirasAtivos},""Select Col3 where Col1 ='""&amp;A45&amp;""' limit 1""))) "),"")</f>
        <v/>
      </c>
      <c r="BB45" s="1447" t="str">
        <f>IFERROR(__xludf.DUMMYFUNCTION("IF(A45="""","""",SUMPRODUCT(IF(IFERROR(MATCH(query({CarteirasAtivos},""Select Col2 where Col1 = '""&amp;A45&amp;""'""),CarteirasListaCriadasComTotal,0)),1,0)))"),"")</f>
        <v/>
      </c>
      <c r="BC45" s="1446" t="str">
        <f>IFERROR(__xludf.DUMMYFUNCTION("IF($A45="""","""",IFERROR(AVERAGE(query({CarteirasAtivos;CarteirasAtivosEncerrados},""select Col5 where Col5 is not null and Col1 = '""&amp;$A45&amp;""' and Col10='SIM'""))*AU45))"),"")</f>
        <v/>
      </c>
      <c r="BD45" s="1448" t="str">
        <f>IF(A45="","",IF(NOT('config.parâmetros'!$M$8),IF(int(J45)=J45,TEXT(J45,"###,##0"),TEXT(J45,"###,##0.#######")),IF(int(J45)=J45,TEXT(J45,"###,##0"),TEXT(J45,"###,##0.#######"))&amp;"
("&amp;T45&amp;")"))</f>
        <v/>
      </c>
      <c r="BE45" s="1442" t="str">
        <f t="shared" si="7"/>
        <v/>
      </c>
      <c r="BF45" s="1447" t="str">
        <f t="shared" si="8"/>
        <v/>
      </c>
      <c r="BG45" s="1449" t="str">
        <f t="shared" si="9"/>
        <v/>
      </c>
      <c r="BH45" s="1447" t="str">
        <f t="shared" si="10"/>
        <v/>
      </c>
      <c r="BI45" s="1447" t="str">
        <f t="shared" si="11"/>
        <v/>
      </c>
      <c r="BJ45" s="1449" t="str">
        <f t="shared" si="12"/>
        <v/>
      </c>
      <c r="BK45" s="1447" t="str">
        <f t="shared" si="13"/>
        <v/>
      </c>
      <c r="BL45" s="1447" t="str">
        <f t="shared" si="14"/>
        <v/>
      </c>
      <c r="BM45" s="1449" t="str">
        <f t="shared" si="15"/>
        <v/>
      </c>
      <c r="BN45" s="1447" t="str">
        <f t="shared" si="16"/>
        <v/>
      </c>
      <c r="BO45" s="1447" t="str">
        <f t="shared" si="17"/>
        <v/>
      </c>
      <c r="BP45" s="1448" t="str">
        <f t="shared" si="18"/>
        <v/>
      </c>
    </row>
    <row r="46">
      <c r="A46" s="1422"/>
      <c r="B46" s="1423"/>
      <c r="C46" s="1423"/>
      <c r="D46" s="1422"/>
      <c r="E46" s="1422"/>
      <c r="F46" s="1422"/>
      <c r="G46" s="1424"/>
      <c r="H46" s="1424"/>
      <c r="I46" s="1450"/>
      <c r="J46" s="1426"/>
      <c r="K46" s="1427"/>
      <c r="L46" s="1428"/>
      <c r="M46" s="1428"/>
      <c r="N46" s="1429"/>
      <c r="O46" s="1429"/>
      <c r="P46" s="1430"/>
      <c r="Q46" s="1430"/>
      <c r="R46" s="1431"/>
      <c r="S46" s="1432"/>
      <c r="T46" s="1433"/>
      <c r="U46" s="1422"/>
      <c r="V46" s="1422"/>
      <c r="W46" s="1422"/>
      <c r="X46" s="1422"/>
      <c r="Y46" s="1422"/>
      <c r="Z46" s="1422"/>
      <c r="AA46" s="1422"/>
      <c r="AB46" s="1422"/>
      <c r="AC46" s="1422"/>
      <c r="AD46" s="1422"/>
      <c r="AE46" s="1422"/>
      <c r="AF46" s="1422"/>
      <c r="AG46" s="1422"/>
      <c r="AH46" s="1422"/>
      <c r="AI46" s="1422"/>
      <c r="AJ46" s="1422"/>
      <c r="AK46" s="1434"/>
      <c r="AL46" s="1435"/>
      <c r="AM46" s="1436" t="str">
        <f>IF(NOT($J46),"",IFERROR(VLOOKUP(A46,ativos.!$C$3:$W303,MATCH("cotacao",ativos.!$C$2:BP$2,0),FALSE),P46*AU46))</f>
        <v/>
      </c>
      <c r="AN46" s="1437" t="str">
        <f t="shared" si="1"/>
        <v/>
      </c>
      <c r="AO46" s="1438" t="str">
        <f t="shared" si="2"/>
        <v/>
      </c>
      <c r="AP46" s="1439" t="str">
        <f t="shared" si="3"/>
        <v/>
      </c>
      <c r="AQ46" s="1440" t="str">
        <f t="shared" si="4"/>
        <v/>
      </c>
      <c r="AR46" s="1441" t="str">
        <f t="shared" si="5"/>
        <v/>
      </c>
      <c r="AS46" s="1442" t="str">
        <f>IF(NOT(J46),"",IFERROR(VLOOKUP(A46,ativos.!$C$3:$W303,MATCH("variacaopct_dias",ativos.!$C$2:BP$2,0),FALSE),""))</f>
        <v/>
      </c>
      <c r="AT46" s="1443"/>
      <c r="AU46" s="1444" t="str">
        <f>IF(NOT($J46),"",IFERROR(VLOOKUP(A46,ativos.!$C$3:$S303,MATCH("fator_fx",ativos.!$C$2:BP$2,0),FALSE),0))</f>
        <v/>
      </c>
      <c r="AV46" s="1442" t="str">
        <f>IF(NOT($J46),"",IFERROR(VLOOKUP(A46,ativos.!$C$3:$W303,MATCH("variacaopct",ativos.!$C$2:BP$2,0),FALSE)/100,R46))</f>
        <v/>
      </c>
      <c r="AW46" s="1445" t="str">
        <f>IFERROR(__xludf.DUMMYFUNCTION("IF(NOT($J46),"""",IF(S46='config.parâmetros'!$B$8,0,IFERROR(AU46/INDEX(SORT(GOOGLEFINANCE(S46&amp;'config.parâmetros'!$B$8,""price"",TODAY()-3,TODAY(),1),1,0),2,2)-1,0)))"),"")</f>
        <v/>
      </c>
      <c r="AX46" s="1446" t="str">
        <f>IFERROR(__xludf.DUMMYFUNCTION("IF(NOT(J46),"""",IF('config.parâmetros'!$M$8,SUM(IFERROR(filter(proventos!Q$5:Q303,proventos!L$5:L303=B46,proventos!C$5:C303&gt;=DATEVALUE(I46),proventos!R$5:R303=T46),0)),SUM(IFERROR(filter(proventos!Q$5:Q303,proventos!L$5:L303=B46,proventos!C$5:C303&gt;=DATEV"&amp;"ALUE(I46)),0))))"),"")</f>
        <v/>
      </c>
      <c r="AY46" s="1446">
        <f t="shared" si="6"/>
        <v>0</v>
      </c>
      <c r="AZ46" s="1446" t="str">
        <f>IFERROR(__xludf.DUMMYFUNCTION("IF(NOT(J46),"""",IF('config.parâmetros'!$M$8,SUM(IFERROR(filter(op.normal!P$5:P303,op.normal!N$5:N303=B46,op.normal!C$5:C303&gt;=DATEVALUE(I46),op.normal!AC$5:AC303=T46),0)),SUM(IFERROR(filter(op.normal!P$5:P303,op.normal!N$5:N303=B46,op.normal!C$5:C303&gt;=DAT"&amp;"EVALUE(I46)),0))))"),"")</f>
        <v/>
      </c>
      <c r="BA46" s="1447" t="str">
        <f>IFERROR(__xludf.DUMMYFUNCTION("IF(A46="""","""",IFERROR(query({CarteirasAtivos},""Select Col3 where Col1 ='""&amp;A46&amp;""' limit 1""))) "),"")</f>
        <v/>
      </c>
      <c r="BB46" s="1447" t="str">
        <f>IFERROR(__xludf.DUMMYFUNCTION("IF(A46="""","""",SUMPRODUCT(IF(IFERROR(MATCH(query({CarteirasAtivos},""Select Col2 where Col1 = '""&amp;A46&amp;""'""),CarteirasListaCriadasComTotal,0)),1,0)))"),"")</f>
        <v/>
      </c>
      <c r="BC46" s="1446" t="str">
        <f>IFERROR(__xludf.DUMMYFUNCTION("IF($A46="""","""",IFERROR(AVERAGE(query({CarteirasAtivos;CarteirasAtivosEncerrados},""select Col5 where Col5 is not null and Col1 = '""&amp;$A46&amp;""' and Col10='SIM'""))*AU46))"),"")</f>
        <v/>
      </c>
      <c r="BD46" s="1448" t="str">
        <f>IF(A46="","",IF(NOT('config.parâmetros'!$M$8),IF(int(J46)=J46,TEXT(J46,"###,##0"),TEXT(J46,"###,##0.#######")),IF(int(J46)=J46,TEXT(J46,"###,##0"),TEXT(J46,"###,##0.#######"))&amp;"
("&amp;T46&amp;")"))</f>
        <v/>
      </c>
      <c r="BE46" s="1442" t="str">
        <f t="shared" si="7"/>
        <v/>
      </c>
      <c r="BF46" s="1447" t="str">
        <f t="shared" si="8"/>
        <v/>
      </c>
      <c r="BG46" s="1449" t="str">
        <f t="shared" si="9"/>
        <v/>
      </c>
      <c r="BH46" s="1447" t="str">
        <f t="shared" si="10"/>
        <v/>
      </c>
      <c r="BI46" s="1447" t="str">
        <f t="shared" si="11"/>
        <v/>
      </c>
      <c r="BJ46" s="1449" t="str">
        <f t="shared" si="12"/>
        <v/>
      </c>
      <c r="BK46" s="1447" t="str">
        <f t="shared" si="13"/>
        <v/>
      </c>
      <c r="BL46" s="1447" t="str">
        <f t="shared" si="14"/>
        <v/>
      </c>
      <c r="BM46" s="1449" t="str">
        <f t="shared" si="15"/>
        <v/>
      </c>
      <c r="BN46" s="1447" t="str">
        <f t="shared" si="16"/>
        <v/>
      </c>
      <c r="BO46" s="1447" t="str">
        <f t="shared" si="17"/>
        <v/>
      </c>
      <c r="BP46" s="1448" t="str">
        <f t="shared" si="18"/>
        <v/>
      </c>
    </row>
    <row r="47">
      <c r="A47" s="1422"/>
      <c r="B47" s="1423"/>
      <c r="C47" s="1423"/>
      <c r="D47" s="1422"/>
      <c r="E47" s="1422"/>
      <c r="F47" s="1422"/>
      <c r="G47" s="1424"/>
      <c r="H47" s="1424"/>
      <c r="I47" s="1450"/>
      <c r="J47" s="1426"/>
      <c r="K47" s="1427"/>
      <c r="L47" s="1428"/>
      <c r="M47" s="1428"/>
      <c r="N47" s="1429"/>
      <c r="O47" s="1429"/>
      <c r="P47" s="1430"/>
      <c r="Q47" s="1430"/>
      <c r="R47" s="1431"/>
      <c r="S47" s="1432"/>
      <c r="T47" s="1433"/>
      <c r="U47" s="1422"/>
      <c r="V47" s="1422"/>
      <c r="W47" s="1422"/>
      <c r="X47" s="1422"/>
      <c r="Y47" s="1422"/>
      <c r="Z47" s="1422"/>
      <c r="AA47" s="1422"/>
      <c r="AB47" s="1422"/>
      <c r="AC47" s="1422"/>
      <c r="AD47" s="1422"/>
      <c r="AE47" s="1422"/>
      <c r="AF47" s="1422"/>
      <c r="AG47" s="1422"/>
      <c r="AH47" s="1422"/>
      <c r="AI47" s="1422"/>
      <c r="AJ47" s="1422"/>
      <c r="AK47" s="1434"/>
      <c r="AL47" s="1435"/>
      <c r="AM47" s="1436" t="str">
        <f>IF(NOT($J47),"",IFERROR(VLOOKUP(A47,ativos.!$C$3:$W303,MATCH("cotacao",ativos.!$C$2:BP$2,0),FALSE),P47*AU47))</f>
        <v/>
      </c>
      <c r="AN47" s="1437" t="str">
        <f t="shared" si="1"/>
        <v/>
      </c>
      <c r="AO47" s="1438" t="str">
        <f t="shared" si="2"/>
        <v/>
      </c>
      <c r="AP47" s="1439" t="str">
        <f t="shared" si="3"/>
        <v/>
      </c>
      <c r="AQ47" s="1440" t="str">
        <f t="shared" si="4"/>
        <v/>
      </c>
      <c r="AR47" s="1441" t="str">
        <f t="shared" si="5"/>
        <v/>
      </c>
      <c r="AS47" s="1442" t="str">
        <f>IF(NOT(J47),"",IFERROR(VLOOKUP(A47,ativos.!$C$3:$W303,MATCH("variacaopct_dias",ativos.!$C$2:BP$2,0),FALSE),""))</f>
        <v/>
      </c>
      <c r="AT47" s="1443"/>
      <c r="AU47" s="1444" t="str">
        <f>IF(NOT($J47),"",IFERROR(VLOOKUP(A47,ativos.!$C$3:$S303,MATCH("fator_fx",ativos.!$C$2:BP$2,0),FALSE),0))</f>
        <v/>
      </c>
      <c r="AV47" s="1442" t="str">
        <f>IF(NOT($J47),"",IFERROR(VLOOKUP(A47,ativos.!$C$3:$W303,MATCH("variacaopct",ativos.!$C$2:BP$2,0),FALSE)/100,R47))</f>
        <v/>
      </c>
      <c r="AW47" s="1445" t="str">
        <f>IFERROR(__xludf.DUMMYFUNCTION("IF(NOT($J47),"""",IF(S47='config.parâmetros'!$B$8,0,IFERROR(AU47/INDEX(SORT(GOOGLEFINANCE(S47&amp;'config.parâmetros'!$B$8,""price"",TODAY()-3,TODAY(),1),1,0),2,2)-1,0)))"),"")</f>
        <v/>
      </c>
      <c r="AX47" s="1446" t="str">
        <f>IFERROR(__xludf.DUMMYFUNCTION("IF(NOT(J47),"""",IF('config.parâmetros'!$M$8,SUM(IFERROR(filter(proventos!Q$5:Q303,proventos!L$5:L303=B47,proventos!C$5:C303&gt;=DATEVALUE(I47),proventos!R$5:R303=T47),0)),SUM(IFERROR(filter(proventos!Q$5:Q303,proventos!L$5:L303=B47,proventos!C$5:C303&gt;=DATEV"&amp;"ALUE(I47)),0))))"),"")</f>
        <v/>
      </c>
      <c r="AY47" s="1446">
        <f t="shared" si="6"/>
        <v>0</v>
      </c>
      <c r="AZ47" s="1446" t="str">
        <f>IFERROR(__xludf.DUMMYFUNCTION("IF(NOT(J47),"""",IF('config.parâmetros'!$M$8,SUM(IFERROR(filter(op.normal!P$5:P303,op.normal!N$5:N303=B47,op.normal!C$5:C303&gt;=DATEVALUE(I47),op.normal!AC$5:AC303=T47),0)),SUM(IFERROR(filter(op.normal!P$5:P303,op.normal!N$5:N303=B47,op.normal!C$5:C303&gt;=DAT"&amp;"EVALUE(I47)),0))))"),"")</f>
        <v/>
      </c>
      <c r="BA47" s="1447" t="str">
        <f>IFERROR(__xludf.DUMMYFUNCTION("IF(A47="""","""",IFERROR(query({CarteirasAtivos},""Select Col3 where Col1 ='""&amp;A47&amp;""' limit 1""))) "),"")</f>
        <v/>
      </c>
      <c r="BB47" s="1447" t="str">
        <f>IFERROR(__xludf.DUMMYFUNCTION("IF(A47="""","""",SUMPRODUCT(IF(IFERROR(MATCH(query({CarteirasAtivos},""Select Col2 where Col1 = '""&amp;A47&amp;""'""),CarteirasListaCriadasComTotal,0)),1,0)))"),"")</f>
        <v/>
      </c>
      <c r="BC47" s="1446" t="str">
        <f>IFERROR(__xludf.DUMMYFUNCTION("IF($A47="""","""",IFERROR(AVERAGE(query({CarteirasAtivos;CarteirasAtivosEncerrados},""select Col5 where Col5 is not null and Col1 = '""&amp;$A47&amp;""' and Col10='SIM'""))*AU47))"),"")</f>
        <v/>
      </c>
      <c r="BD47" s="1448" t="str">
        <f>IF(A47="","",IF(NOT('config.parâmetros'!$M$8),IF(int(J47)=J47,TEXT(J47,"###,##0"),TEXT(J47,"###,##0.#######")),IF(int(J47)=J47,TEXT(J47,"###,##0"),TEXT(J47,"###,##0.#######"))&amp;"
("&amp;T47&amp;")"))</f>
        <v/>
      </c>
      <c r="BE47" s="1442" t="str">
        <f t="shared" si="7"/>
        <v/>
      </c>
      <c r="BF47" s="1447" t="str">
        <f t="shared" si="8"/>
        <v/>
      </c>
      <c r="BG47" s="1449" t="str">
        <f t="shared" si="9"/>
        <v/>
      </c>
      <c r="BH47" s="1447" t="str">
        <f t="shared" si="10"/>
        <v/>
      </c>
      <c r="BI47" s="1447" t="str">
        <f t="shared" si="11"/>
        <v/>
      </c>
      <c r="BJ47" s="1449" t="str">
        <f t="shared" si="12"/>
        <v/>
      </c>
      <c r="BK47" s="1447" t="str">
        <f t="shared" si="13"/>
        <v/>
      </c>
      <c r="BL47" s="1447" t="str">
        <f t="shared" si="14"/>
        <v/>
      </c>
      <c r="BM47" s="1449" t="str">
        <f t="shared" si="15"/>
        <v/>
      </c>
      <c r="BN47" s="1447" t="str">
        <f t="shared" si="16"/>
        <v/>
      </c>
      <c r="BO47" s="1447" t="str">
        <f t="shared" si="17"/>
        <v/>
      </c>
      <c r="BP47" s="1448" t="str">
        <f t="shared" si="18"/>
        <v/>
      </c>
    </row>
    <row r="48">
      <c r="A48" s="1422"/>
      <c r="B48" s="1423"/>
      <c r="C48" s="1423"/>
      <c r="D48" s="1422"/>
      <c r="E48" s="1422"/>
      <c r="F48" s="1422"/>
      <c r="G48" s="1424"/>
      <c r="H48" s="1424"/>
      <c r="I48" s="1450"/>
      <c r="J48" s="1426"/>
      <c r="K48" s="1427"/>
      <c r="L48" s="1428"/>
      <c r="M48" s="1428"/>
      <c r="N48" s="1429"/>
      <c r="O48" s="1429"/>
      <c r="P48" s="1430"/>
      <c r="Q48" s="1430"/>
      <c r="R48" s="1431"/>
      <c r="S48" s="1432"/>
      <c r="T48" s="1433"/>
      <c r="U48" s="1422"/>
      <c r="V48" s="1422"/>
      <c r="W48" s="1422"/>
      <c r="X48" s="1422"/>
      <c r="Y48" s="1422"/>
      <c r="Z48" s="1422"/>
      <c r="AA48" s="1422"/>
      <c r="AB48" s="1422"/>
      <c r="AC48" s="1422"/>
      <c r="AD48" s="1422"/>
      <c r="AE48" s="1422"/>
      <c r="AF48" s="1422"/>
      <c r="AG48" s="1422"/>
      <c r="AH48" s="1422"/>
      <c r="AI48" s="1422"/>
      <c r="AJ48" s="1422"/>
      <c r="AK48" s="1434"/>
      <c r="AL48" s="1435"/>
      <c r="AM48" s="1436" t="str">
        <f>IF(NOT($J48),"",IFERROR(VLOOKUP(A48,ativos.!$C$3:$W303,MATCH("cotacao",ativos.!$C$2:BP$2,0),FALSE),P48*AU48))</f>
        <v/>
      </c>
      <c r="AN48" s="1437" t="str">
        <f t="shared" si="1"/>
        <v/>
      </c>
      <c r="AO48" s="1438" t="str">
        <f t="shared" si="2"/>
        <v/>
      </c>
      <c r="AP48" s="1439" t="str">
        <f t="shared" si="3"/>
        <v/>
      </c>
      <c r="AQ48" s="1440" t="str">
        <f t="shared" si="4"/>
        <v/>
      </c>
      <c r="AR48" s="1441" t="str">
        <f t="shared" si="5"/>
        <v/>
      </c>
      <c r="AS48" s="1442" t="str">
        <f>IF(NOT(J48),"",IFERROR(VLOOKUP(A48,ativos.!$C$3:$W303,MATCH("variacaopct_dias",ativos.!$C$2:BP$2,0),FALSE),""))</f>
        <v/>
      </c>
      <c r="AT48" s="1443"/>
      <c r="AU48" s="1444" t="str">
        <f>IF(NOT($J48),"",IFERROR(VLOOKUP(A48,ativos.!$C$3:$S303,MATCH("fator_fx",ativos.!$C$2:BP$2,0),FALSE),0))</f>
        <v/>
      </c>
      <c r="AV48" s="1442" t="str">
        <f>IF(NOT($J48),"",IFERROR(VLOOKUP(A48,ativos.!$C$3:$W303,MATCH("variacaopct",ativos.!$C$2:BP$2,0),FALSE)/100,R48))</f>
        <v/>
      </c>
      <c r="AW48" s="1445" t="str">
        <f>IFERROR(__xludf.DUMMYFUNCTION("IF(NOT($J48),"""",IF(S48='config.parâmetros'!$B$8,0,IFERROR(AU48/INDEX(SORT(GOOGLEFINANCE(S48&amp;'config.parâmetros'!$B$8,""price"",TODAY()-3,TODAY(),1),1,0),2,2)-1,0)))"),"")</f>
        <v/>
      </c>
      <c r="AX48" s="1446" t="str">
        <f>IFERROR(__xludf.DUMMYFUNCTION("IF(NOT(J48),"""",IF('config.parâmetros'!$M$8,SUM(IFERROR(filter(proventos!Q$5:Q303,proventos!L$5:L303=B48,proventos!C$5:C303&gt;=DATEVALUE(I48),proventos!R$5:R303=T48),0)),SUM(IFERROR(filter(proventos!Q$5:Q303,proventos!L$5:L303=B48,proventos!C$5:C303&gt;=DATEV"&amp;"ALUE(I48)),0))))"),"")</f>
        <v/>
      </c>
      <c r="AY48" s="1446">
        <f t="shared" si="6"/>
        <v>0</v>
      </c>
      <c r="AZ48" s="1446" t="str">
        <f>IFERROR(__xludf.DUMMYFUNCTION("IF(NOT(J48),"""",IF('config.parâmetros'!$M$8,SUM(IFERROR(filter(op.normal!P$5:P303,op.normal!N$5:N303=B48,op.normal!C$5:C303&gt;=DATEVALUE(I48),op.normal!AC$5:AC303=T48),0)),SUM(IFERROR(filter(op.normal!P$5:P303,op.normal!N$5:N303=B48,op.normal!C$5:C303&gt;=DAT"&amp;"EVALUE(I48)),0))))"),"")</f>
        <v/>
      </c>
      <c r="BA48" s="1447" t="str">
        <f>IFERROR(__xludf.DUMMYFUNCTION("IF(A48="""","""",IFERROR(query({CarteirasAtivos},""Select Col3 where Col1 ='""&amp;A48&amp;""' limit 1""))) "),"")</f>
        <v/>
      </c>
      <c r="BB48" s="1447" t="str">
        <f>IFERROR(__xludf.DUMMYFUNCTION("IF(A48="""","""",SUMPRODUCT(IF(IFERROR(MATCH(query({CarteirasAtivos},""Select Col2 where Col1 = '""&amp;A48&amp;""'""),CarteirasListaCriadasComTotal,0)),1,0)))"),"")</f>
        <v/>
      </c>
      <c r="BC48" s="1446" t="str">
        <f>IFERROR(__xludf.DUMMYFUNCTION("IF($A48="""","""",IFERROR(AVERAGE(query({CarteirasAtivos;CarteirasAtivosEncerrados},""select Col5 where Col5 is not null and Col1 = '""&amp;$A48&amp;""' and Col10='SIM'""))*AU48))"),"")</f>
        <v/>
      </c>
      <c r="BD48" s="1448" t="str">
        <f>IF(A48="","",IF(NOT('config.parâmetros'!$M$8),IF(int(J48)=J48,TEXT(J48,"###,##0"),TEXT(J48,"###,##0.#######")),IF(int(J48)=J48,TEXT(J48,"###,##0"),TEXT(J48,"###,##0.#######"))&amp;"
("&amp;T48&amp;")"))</f>
        <v/>
      </c>
      <c r="BE48" s="1442" t="str">
        <f t="shared" si="7"/>
        <v/>
      </c>
      <c r="BF48" s="1447" t="str">
        <f t="shared" si="8"/>
        <v/>
      </c>
      <c r="BG48" s="1449" t="str">
        <f t="shared" si="9"/>
        <v/>
      </c>
      <c r="BH48" s="1447" t="str">
        <f t="shared" si="10"/>
        <v/>
      </c>
      <c r="BI48" s="1447" t="str">
        <f t="shared" si="11"/>
        <v/>
      </c>
      <c r="BJ48" s="1449" t="str">
        <f t="shared" si="12"/>
        <v/>
      </c>
      <c r="BK48" s="1447" t="str">
        <f t="shared" si="13"/>
        <v/>
      </c>
      <c r="BL48" s="1447" t="str">
        <f t="shared" si="14"/>
        <v/>
      </c>
      <c r="BM48" s="1449" t="str">
        <f t="shared" si="15"/>
        <v/>
      </c>
      <c r="BN48" s="1447" t="str">
        <f t="shared" si="16"/>
        <v/>
      </c>
      <c r="BO48" s="1447" t="str">
        <f t="shared" si="17"/>
        <v/>
      </c>
      <c r="BP48" s="1448" t="str">
        <f t="shared" si="18"/>
        <v/>
      </c>
    </row>
    <row r="49">
      <c r="A49" s="1422"/>
      <c r="B49" s="1423"/>
      <c r="C49" s="1423"/>
      <c r="D49" s="1422"/>
      <c r="E49" s="1422"/>
      <c r="F49" s="1422"/>
      <c r="G49" s="1424"/>
      <c r="H49" s="1424"/>
      <c r="I49" s="1450"/>
      <c r="J49" s="1426"/>
      <c r="K49" s="1427"/>
      <c r="L49" s="1428"/>
      <c r="M49" s="1428"/>
      <c r="N49" s="1429"/>
      <c r="O49" s="1429"/>
      <c r="P49" s="1430"/>
      <c r="Q49" s="1430"/>
      <c r="R49" s="1431"/>
      <c r="S49" s="1432"/>
      <c r="T49" s="1433"/>
      <c r="U49" s="1422"/>
      <c r="V49" s="1422"/>
      <c r="W49" s="1422"/>
      <c r="X49" s="1422"/>
      <c r="Y49" s="1422"/>
      <c r="Z49" s="1422"/>
      <c r="AA49" s="1422"/>
      <c r="AB49" s="1422"/>
      <c r="AC49" s="1422"/>
      <c r="AD49" s="1422"/>
      <c r="AE49" s="1422"/>
      <c r="AF49" s="1422"/>
      <c r="AG49" s="1422"/>
      <c r="AH49" s="1422"/>
      <c r="AI49" s="1422"/>
      <c r="AJ49" s="1422"/>
      <c r="AK49" s="1434"/>
      <c r="AL49" s="1435"/>
      <c r="AM49" s="1436" t="str">
        <f>IF(NOT($J49),"",IFERROR(VLOOKUP(A49,ativos.!$C$3:$W303,MATCH("cotacao",ativos.!$C$2:BP$2,0),FALSE),P49*AU49))</f>
        <v/>
      </c>
      <c r="AN49" s="1437" t="str">
        <f t="shared" si="1"/>
        <v/>
      </c>
      <c r="AO49" s="1438" t="str">
        <f t="shared" si="2"/>
        <v/>
      </c>
      <c r="AP49" s="1439" t="str">
        <f t="shared" si="3"/>
        <v/>
      </c>
      <c r="AQ49" s="1440" t="str">
        <f t="shared" si="4"/>
        <v/>
      </c>
      <c r="AR49" s="1441" t="str">
        <f t="shared" si="5"/>
        <v/>
      </c>
      <c r="AS49" s="1442" t="str">
        <f>IF(NOT(J49),"",IFERROR(VLOOKUP(A49,ativos.!$C$3:$W303,MATCH("variacaopct_dias",ativos.!$C$2:BP$2,0),FALSE),""))</f>
        <v/>
      </c>
      <c r="AT49" s="1443"/>
      <c r="AU49" s="1444" t="str">
        <f>IF(NOT($J49),"",IFERROR(VLOOKUP(A49,ativos.!$C$3:$S303,MATCH("fator_fx",ativos.!$C$2:BP$2,0),FALSE),0))</f>
        <v/>
      </c>
      <c r="AV49" s="1442" t="str">
        <f>IF(NOT($J49),"",IFERROR(VLOOKUP(A49,ativos.!$C$3:$W303,MATCH("variacaopct",ativos.!$C$2:BP$2,0),FALSE)/100,R49))</f>
        <v/>
      </c>
      <c r="AW49" s="1445" t="str">
        <f>IFERROR(__xludf.DUMMYFUNCTION("IF(NOT($J49),"""",IF(S49='config.parâmetros'!$B$8,0,IFERROR(AU49/INDEX(SORT(GOOGLEFINANCE(S49&amp;'config.parâmetros'!$B$8,""price"",TODAY()-3,TODAY(),1),1,0),2,2)-1,0)))"),"")</f>
        <v/>
      </c>
      <c r="AX49" s="1446" t="str">
        <f>IFERROR(__xludf.DUMMYFUNCTION("IF(NOT(J49),"""",IF('config.parâmetros'!$M$8,SUM(IFERROR(filter(proventos!Q$5:Q303,proventos!L$5:L303=B49,proventos!C$5:C303&gt;=DATEVALUE(I49),proventos!R$5:R303=T49),0)),SUM(IFERROR(filter(proventos!Q$5:Q303,proventos!L$5:L303=B49,proventos!C$5:C303&gt;=DATEV"&amp;"ALUE(I49)),0))))"),"")</f>
        <v/>
      </c>
      <c r="AY49" s="1446">
        <f t="shared" si="6"/>
        <v>0</v>
      </c>
      <c r="AZ49" s="1446" t="str">
        <f>IFERROR(__xludf.DUMMYFUNCTION("IF(NOT(J49),"""",IF('config.parâmetros'!$M$8,SUM(IFERROR(filter(op.normal!P$5:P303,op.normal!N$5:N303=B49,op.normal!C$5:C303&gt;=DATEVALUE(I49),op.normal!AC$5:AC303=T49),0)),SUM(IFERROR(filter(op.normal!P$5:P303,op.normal!N$5:N303=B49,op.normal!C$5:C303&gt;=DAT"&amp;"EVALUE(I49)),0))))"),"")</f>
        <v/>
      </c>
      <c r="BA49" s="1447" t="str">
        <f>IFERROR(__xludf.DUMMYFUNCTION("IF(A49="""","""",IFERROR(query({CarteirasAtivos},""Select Col3 where Col1 ='""&amp;A49&amp;""' limit 1""))) "),"")</f>
        <v/>
      </c>
      <c r="BB49" s="1447" t="str">
        <f>IFERROR(__xludf.DUMMYFUNCTION("IF(A49="""","""",SUMPRODUCT(IF(IFERROR(MATCH(query({CarteirasAtivos},""Select Col2 where Col1 = '""&amp;A49&amp;""'""),CarteirasListaCriadasComTotal,0)),1,0)))"),"")</f>
        <v/>
      </c>
      <c r="BC49" s="1446" t="str">
        <f>IFERROR(__xludf.DUMMYFUNCTION("IF($A49="""","""",IFERROR(AVERAGE(query({CarteirasAtivos;CarteirasAtivosEncerrados},""select Col5 where Col5 is not null and Col1 = '""&amp;$A49&amp;""' and Col10='SIM'""))*AU49))"),"")</f>
        <v/>
      </c>
      <c r="BD49" s="1448" t="str">
        <f>IF(A49="","",IF(NOT('config.parâmetros'!$M$8),IF(int(J49)=J49,TEXT(J49,"###,##0"),TEXT(J49,"###,##0.#######")),IF(int(J49)=J49,TEXT(J49,"###,##0"),TEXT(J49,"###,##0.#######"))&amp;"
("&amp;T49&amp;")"))</f>
        <v/>
      </c>
      <c r="BE49" s="1442" t="str">
        <f t="shared" si="7"/>
        <v/>
      </c>
      <c r="BF49" s="1447" t="str">
        <f t="shared" si="8"/>
        <v/>
      </c>
      <c r="BG49" s="1449" t="str">
        <f t="shared" si="9"/>
        <v/>
      </c>
      <c r="BH49" s="1447" t="str">
        <f t="shared" si="10"/>
        <v/>
      </c>
      <c r="BI49" s="1447" t="str">
        <f t="shared" si="11"/>
        <v/>
      </c>
      <c r="BJ49" s="1449" t="str">
        <f t="shared" si="12"/>
        <v/>
      </c>
      <c r="BK49" s="1447" t="str">
        <f t="shared" si="13"/>
        <v/>
      </c>
      <c r="BL49" s="1447" t="str">
        <f t="shared" si="14"/>
        <v/>
      </c>
      <c r="BM49" s="1449" t="str">
        <f t="shared" si="15"/>
        <v/>
      </c>
      <c r="BN49" s="1447" t="str">
        <f t="shared" si="16"/>
        <v/>
      </c>
      <c r="BO49" s="1447" t="str">
        <f t="shared" si="17"/>
        <v/>
      </c>
      <c r="BP49" s="1448" t="str">
        <f t="shared" si="18"/>
        <v/>
      </c>
    </row>
    <row r="50">
      <c r="A50" s="1422"/>
      <c r="B50" s="1423"/>
      <c r="C50" s="1423"/>
      <c r="D50" s="1422"/>
      <c r="E50" s="1422"/>
      <c r="F50" s="1422"/>
      <c r="G50" s="1424"/>
      <c r="H50" s="1424"/>
      <c r="I50" s="1450"/>
      <c r="J50" s="1426"/>
      <c r="K50" s="1427"/>
      <c r="L50" s="1428"/>
      <c r="M50" s="1428"/>
      <c r="N50" s="1429"/>
      <c r="O50" s="1429"/>
      <c r="P50" s="1430"/>
      <c r="Q50" s="1430"/>
      <c r="R50" s="1431"/>
      <c r="S50" s="1432"/>
      <c r="T50" s="1433"/>
      <c r="U50" s="1422"/>
      <c r="V50" s="1422"/>
      <c r="W50" s="1422"/>
      <c r="X50" s="1422"/>
      <c r="Y50" s="1422"/>
      <c r="Z50" s="1422"/>
      <c r="AA50" s="1422"/>
      <c r="AB50" s="1422"/>
      <c r="AC50" s="1422"/>
      <c r="AD50" s="1422"/>
      <c r="AE50" s="1422"/>
      <c r="AF50" s="1422"/>
      <c r="AG50" s="1422"/>
      <c r="AH50" s="1422"/>
      <c r="AI50" s="1422"/>
      <c r="AJ50" s="1422"/>
      <c r="AK50" s="1434"/>
      <c r="AL50" s="1435"/>
      <c r="AM50" s="1436" t="str">
        <f>IF(NOT($J50),"",IFERROR(VLOOKUP(A50,ativos.!$C$3:$W303,MATCH("cotacao",ativos.!$C$2:BP$2,0),FALSE),P50*AU50))</f>
        <v/>
      </c>
      <c r="AN50" s="1437" t="str">
        <f t="shared" si="1"/>
        <v/>
      </c>
      <c r="AO50" s="1438" t="str">
        <f t="shared" si="2"/>
        <v/>
      </c>
      <c r="AP50" s="1439" t="str">
        <f t="shared" si="3"/>
        <v/>
      </c>
      <c r="AQ50" s="1440" t="str">
        <f t="shared" si="4"/>
        <v/>
      </c>
      <c r="AR50" s="1441" t="str">
        <f t="shared" si="5"/>
        <v/>
      </c>
      <c r="AS50" s="1442" t="str">
        <f>IF(NOT(J50),"",IFERROR(VLOOKUP(A50,ativos.!$C$3:$W303,MATCH("variacaopct_dias",ativos.!$C$2:BP$2,0),FALSE),""))</f>
        <v/>
      </c>
      <c r="AT50" s="1443"/>
      <c r="AU50" s="1444" t="str">
        <f>IF(NOT($J50),"",IFERROR(VLOOKUP(A50,ativos.!$C$3:$S303,MATCH("fator_fx",ativos.!$C$2:BP$2,0),FALSE),0))</f>
        <v/>
      </c>
      <c r="AV50" s="1442" t="str">
        <f>IF(NOT($J50),"",IFERROR(VLOOKUP(A50,ativos.!$C$3:$W303,MATCH("variacaopct",ativos.!$C$2:BP$2,0),FALSE)/100,R50))</f>
        <v/>
      </c>
      <c r="AW50" s="1445" t="str">
        <f>IFERROR(__xludf.DUMMYFUNCTION("IF(NOT($J50),"""",IF(S50='config.parâmetros'!$B$8,0,IFERROR(AU50/INDEX(SORT(GOOGLEFINANCE(S50&amp;'config.parâmetros'!$B$8,""price"",TODAY()-3,TODAY(),1),1,0),2,2)-1,0)))"),"")</f>
        <v/>
      </c>
      <c r="AX50" s="1446" t="str">
        <f>IFERROR(__xludf.DUMMYFUNCTION("IF(NOT(J50),"""",IF('config.parâmetros'!$M$8,SUM(IFERROR(filter(proventos!Q$5:Q303,proventos!L$5:L303=B50,proventos!C$5:C303&gt;=DATEVALUE(I50),proventos!R$5:R303=T50),0)),SUM(IFERROR(filter(proventos!Q$5:Q303,proventos!L$5:L303=B50,proventos!C$5:C303&gt;=DATEV"&amp;"ALUE(I50)),0))))"),"")</f>
        <v/>
      </c>
      <c r="AY50" s="1446">
        <f t="shared" si="6"/>
        <v>0</v>
      </c>
      <c r="AZ50" s="1446" t="str">
        <f>IFERROR(__xludf.DUMMYFUNCTION("IF(NOT(J50),"""",IF('config.parâmetros'!$M$8,SUM(IFERROR(filter(op.normal!P$5:P303,op.normal!N$5:N303=B50,op.normal!C$5:C303&gt;=DATEVALUE(I50),op.normal!AC$5:AC303=T50),0)),SUM(IFERROR(filter(op.normal!P$5:P303,op.normal!N$5:N303=B50,op.normal!C$5:C303&gt;=DAT"&amp;"EVALUE(I50)),0))))"),"")</f>
        <v/>
      </c>
      <c r="BA50" s="1447" t="str">
        <f>IFERROR(__xludf.DUMMYFUNCTION("IF(A50="""","""",IFERROR(query({CarteirasAtivos},""Select Col3 where Col1 ='""&amp;A50&amp;""' limit 1""))) "),"")</f>
        <v/>
      </c>
      <c r="BB50" s="1447" t="str">
        <f>IFERROR(__xludf.DUMMYFUNCTION("IF(A50="""","""",SUMPRODUCT(IF(IFERROR(MATCH(query({CarteirasAtivos},""Select Col2 where Col1 = '""&amp;A50&amp;""'""),CarteirasListaCriadasComTotal,0)),1,0)))"),"")</f>
        <v/>
      </c>
      <c r="BC50" s="1446" t="str">
        <f>IFERROR(__xludf.DUMMYFUNCTION("IF($A50="""","""",IFERROR(AVERAGE(query({CarteirasAtivos;CarteirasAtivosEncerrados},""select Col5 where Col5 is not null and Col1 = '""&amp;$A50&amp;""' and Col10='SIM'""))*AU50))"),"")</f>
        <v/>
      </c>
      <c r="BD50" s="1448" t="str">
        <f>IF(A50="","",IF(NOT('config.parâmetros'!$M$8),IF(int(J50)=J50,TEXT(J50,"###,##0"),TEXT(J50,"###,##0.#######")),IF(int(J50)=J50,TEXT(J50,"###,##0"),TEXT(J50,"###,##0.#######"))&amp;"
("&amp;T50&amp;")"))</f>
        <v/>
      </c>
      <c r="BE50" s="1442" t="str">
        <f t="shared" si="7"/>
        <v/>
      </c>
      <c r="BF50" s="1447" t="str">
        <f t="shared" si="8"/>
        <v/>
      </c>
      <c r="BG50" s="1449" t="str">
        <f t="shared" si="9"/>
        <v/>
      </c>
      <c r="BH50" s="1447" t="str">
        <f t="shared" si="10"/>
        <v/>
      </c>
      <c r="BI50" s="1447" t="str">
        <f t="shared" si="11"/>
        <v/>
      </c>
      <c r="BJ50" s="1449" t="str">
        <f t="shared" si="12"/>
        <v/>
      </c>
      <c r="BK50" s="1447" t="str">
        <f t="shared" si="13"/>
        <v/>
      </c>
      <c r="BL50" s="1447" t="str">
        <f t="shared" si="14"/>
        <v/>
      </c>
      <c r="BM50" s="1449" t="str">
        <f t="shared" si="15"/>
        <v/>
      </c>
      <c r="BN50" s="1447" t="str">
        <f t="shared" si="16"/>
        <v/>
      </c>
      <c r="BO50" s="1447" t="str">
        <f t="shared" si="17"/>
        <v/>
      </c>
      <c r="BP50" s="1448" t="str">
        <f t="shared" si="18"/>
        <v/>
      </c>
    </row>
    <row r="51">
      <c r="A51" s="1422"/>
      <c r="B51" s="1423"/>
      <c r="C51" s="1423"/>
      <c r="D51" s="1422"/>
      <c r="E51" s="1422"/>
      <c r="F51" s="1422"/>
      <c r="G51" s="1424"/>
      <c r="H51" s="1424"/>
      <c r="I51" s="1450"/>
      <c r="J51" s="1426"/>
      <c r="K51" s="1427"/>
      <c r="L51" s="1428"/>
      <c r="M51" s="1428"/>
      <c r="N51" s="1429"/>
      <c r="O51" s="1429"/>
      <c r="P51" s="1430"/>
      <c r="Q51" s="1430"/>
      <c r="R51" s="1431"/>
      <c r="S51" s="1432"/>
      <c r="T51" s="1433"/>
      <c r="U51" s="1422"/>
      <c r="V51" s="1422"/>
      <c r="W51" s="1422"/>
      <c r="X51" s="1422"/>
      <c r="Y51" s="1422"/>
      <c r="Z51" s="1422"/>
      <c r="AA51" s="1422"/>
      <c r="AB51" s="1422"/>
      <c r="AC51" s="1422"/>
      <c r="AD51" s="1422"/>
      <c r="AE51" s="1422"/>
      <c r="AF51" s="1422"/>
      <c r="AG51" s="1422"/>
      <c r="AH51" s="1422"/>
      <c r="AI51" s="1422"/>
      <c r="AJ51" s="1422"/>
      <c r="AK51" s="1434"/>
      <c r="AL51" s="1435"/>
      <c r="AM51" s="1436" t="str">
        <f>IF(NOT($J51),"",IFERROR(VLOOKUP(A51,ativos.!$C$3:$W303,MATCH("cotacao",ativos.!$C$2:BP$2,0),FALSE),P51*AU51))</f>
        <v/>
      </c>
      <c r="AN51" s="1437" t="str">
        <f t="shared" si="1"/>
        <v/>
      </c>
      <c r="AO51" s="1438" t="str">
        <f t="shared" si="2"/>
        <v/>
      </c>
      <c r="AP51" s="1439" t="str">
        <f t="shared" si="3"/>
        <v/>
      </c>
      <c r="AQ51" s="1440" t="str">
        <f t="shared" si="4"/>
        <v/>
      </c>
      <c r="AR51" s="1441" t="str">
        <f t="shared" si="5"/>
        <v/>
      </c>
      <c r="AS51" s="1442" t="str">
        <f>IF(NOT(J51),"",IFERROR(VLOOKUP(A51,ativos.!$C$3:$W303,MATCH("variacaopct_dias",ativos.!$C$2:BP$2,0),FALSE),""))</f>
        <v/>
      </c>
      <c r="AT51" s="1443"/>
      <c r="AU51" s="1444" t="str">
        <f>IF(NOT($J51),"",IFERROR(VLOOKUP(A51,ativos.!$C$3:$S303,MATCH("fator_fx",ativos.!$C$2:BP$2,0),FALSE),0))</f>
        <v/>
      </c>
      <c r="AV51" s="1442" t="str">
        <f>IF(NOT($J51),"",IFERROR(VLOOKUP(A51,ativos.!$C$3:$W303,MATCH("variacaopct",ativos.!$C$2:BP$2,0),FALSE)/100,R51))</f>
        <v/>
      </c>
      <c r="AW51" s="1445" t="str">
        <f>IFERROR(__xludf.DUMMYFUNCTION("IF(NOT($J51),"""",IF(S51='config.parâmetros'!$B$8,0,IFERROR(AU51/INDEX(SORT(GOOGLEFINANCE(S51&amp;'config.parâmetros'!$B$8,""price"",TODAY()-3,TODAY(),1),1,0),2,2)-1,0)))"),"")</f>
        <v/>
      </c>
      <c r="AX51" s="1446" t="str">
        <f>IFERROR(__xludf.DUMMYFUNCTION("IF(NOT(J51),"""",IF('config.parâmetros'!$M$8,SUM(IFERROR(filter(proventos!Q$5:Q303,proventos!L$5:L303=B51,proventos!C$5:C303&gt;=DATEVALUE(I51),proventos!R$5:R303=T51),0)),SUM(IFERROR(filter(proventos!Q$5:Q303,proventos!L$5:L303=B51,proventos!C$5:C303&gt;=DATEV"&amp;"ALUE(I51)),0))))"),"")</f>
        <v/>
      </c>
      <c r="AY51" s="1446">
        <f t="shared" si="6"/>
        <v>0</v>
      </c>
      <c r="AZ51" s="1446" t="str">
        <f>IFERROR(__xludf.DUMMYFUNCTION("IF(NOT(J51),"""",IF('config.parâmetros'!$M$8,SUM(IFERROR(filter(op.normal!P$5:P303,op.normal!N$5:N303=B51,op.normal!C$5:C303&gt;=DATEVALUE(I51),op.normal!AC$5:AC303=T51),0)),SUM(IFERROR(filter(op.normal!P$5:P303,op.normal!N$5:N303=B51,op.normal!C$5:C303&gt;=DAT"&amp;"EVALUE(I51)),0))))"),"")</f>
        <v/>
      </c>
      <c r="BA51" s="1447" t="str">
        <f>IFERROR(__xludf.DUMMYFUNCTION("IF(A51="""","""",IFERROR(query({CarteirasAtivos},""Select Col3 where Col1 ='""&amp;A51&amp;""' limit 1""))) "),"")</f>
        <v/>
      </c>
      <c r="BB51" s="1447" t="str">
        <f>IFERROR(__xludf.DUMMYFUNCTION("IF(A51="""","""",SUMPRODUCT(IF(IFERROR(MATCH(query({CarteirasAtivos},""Select Col2 where Col1 = '""&amp;A51&amp;""'""),CarteirasListaCriadasComTotal,0)),1,0)))"),"")</f>
        <v/>
      </c>
      <c r="BC51" s="1446" t="str">
        <f>IFERROR(__xludf.DUMMYFUNCTION("IF($A51="""","""",IFERROR(AVERAGE(query({CarteirasAtivos;CarteirasAtivosEncerrados},""select Col5 where Col5 is not null and Col1 = '""&amp;$A51&amp;""' and Col10='SIM'""))*AU51))"),"")</f>
        <v/>
      </c>
      <c r="BD51" s="1448" t="str">
        <f>IF(A51="","",IF(NOT('config.parâmetros'!$M$8),IF(int(J51)=J51,TEXT(J51,"###,##0"),TEXT(J51,"###,##0.#######")),IF(int(J51)=J51,TEXT(J51,"###,##0"),TEXT(J51,"###,##0.#######"))&amp;"
("&amp;T51&amp;")"))</f>
        <v/>
      </c>
      <c r="BE51" s="1442" t="str">
        <f t="shared" si="7"/>
        <v/>
      </c>
      <c r="BF51" s="1447" t="str">
        <f t="shared" si="8"/>
        <v/>
      </c>
      <c r="BG51" s="1449" t="str">
        <f t="shared" si="9"/>
        <v/>
      </c>
      <c r="BH51" s="1447" t="str">
        <f t="shared" si="10"/>
        <v/>
      </c>
      <c r="BI51" s="1447" t="str">
        <f t="shared" si="11"/>
        <v/>
      </c>
      <c r="BJ51" s="1449" t="str">
        <f t="shared" si="12"/>
        <v/>
      </c>
      <c r="BK51" s="1447" t="str">
        <f t="shared" si="13"/>
        <v/>
      </c>
      <c r="BL51" s="1447" t="str">
        <f t="shared" si="14"/>
        <v/>
      </c>
      <c r="BM51" s="1449" t="str">
        <f t="shared" si="15"/>
        <v/>
      </c>
      <c r="BN51" s="1447" t="str">
        <f t="shared" si="16"/>
        <v/>
      </c>
      <c r="BO51" s="1447" t="str">
        <f t="shared" si="17"/>
        <v/>
      </c>
      <c r="BP51" s="1448" t="str">
        <f t="shared" si="18"/>
        <v/>
      </c>
    </row>
    <row r="52">
      <c r="A52" s="1422"/>
      <c r="B52" s="1423"/>
      <c r="C52" s="1423"/>
      <c r="D52" s="1422"/>
      <c r="E52" s="1422"/>
      <c r="F52" s="1422"/>
      <c r="G52" s="1424"/>
      <c r="H52" s="1424"/>
      <c r="I52" s="1450"/>
      <c r="J52" s="1426"/>
      <c r="K52" s="1427"/>
      <c r="L52" s="1428"/>
      <c r="M52" s="1428"/>
      <c r="N52" s="1429"/>
      <c r="O52" s="1429"/>
      <c r="P52" s="1430"/>
      <c r="Q52" s="1430"/>
      <c r="R52" s="1431"/>
      <c r="S52" s="1432"/>
      <c r="T52" s="1433"/>
      <c r="U52" s="1422"/>
      <c r="V52" s="1422"/>
      <c r="W52" s="1422"/>
      <c r="X52" s="1422"/>
      <c r="Y52" s="1422"/>
      <c r="Z52" s="1422"/>
      <c r="AA52" s="1422"/>
      <c r="AB52" s="1422"/>
      <c r="AC52" s="1422"/>
      <c r="AD52" s="1422"/>
      <c r="AE52" s="1422"/>
      <c r="AF52" s="1422"/>
      <c r="AG52" s="1422"/>
      <c r="AH52" s="1422"/>
      <c r="AI52" s="1422"/>
      <c r="AJ52" s="1422"/>
      <c r="AK52" s="1434"/>
      <c r="AL52" s="1435"/>
      <c r="AM52" s="1436" t="str">
        <f>IF(NOT($J52),"",IFERROR(VLOOKUP(A52,ativos.!$C$3:$W303,MATCH("cotacao",ativos.!$C$2:BP$2,0),FALSE),P52*AU52))</f>
        <v/>
      </c>
      <c r="AN52" s="1437" t="str">
        <f t="shared" si="1"/>
        <v/>
      </c>
      <c r="AO52" s="1438" t="str">
        <f t="shared" si="2"/>
        <v/>
      </c>
      <c r="AP52" s="1439" t="str">
        <f t="shared" si="3"/>
        <v/>
      </c>
      <c r="AQ52" s="1440" t="str">
        <f t="shared" si="4"/>
        <v/>
      </c>
      <c r="AR52" s="1441" t="str">
        <f t="shared" si="5"/>
        <v/>
      </c>
      <c r="AS52" s="1442" t="str">
        <f>IF(NOT(J52),"",IFERROR(VLOOKUP(A52,ativos.!$C$3:$W303,MATCH("variacaopct_dias",ativos.!$C$2:BP$2,0),FALSE),""))</f>
        <v/>
      </c>
      <c r="AT52" s="1443"/>
      <c r="AU52" s="1444" t="str">
        <f>IF(NOT($J52),"",IFERROR(VLOOKUP(A52,ativos.!$C$3:$S303,MATCH("fator_fx",ativos.!$C$2:BP$2,0),FALSE),0))</f>
        <v/>
      </c>
      <c r="AV52" s="1442" t="str">
        <f>IF(NOT($J52),"",IFERROR(VLOOKUP(A52,ativos.!$C$3:$W303,MATCH("variacaopct",ativos.!$C$2:BP$2,0),FALSE)/100,R52))</f>
        <v/>
      </c>
      <c r="AW52" s="1445" t="str">
        <f>IFERROR(__xludf.DUMMYFUNCTION("IF(NOT($J52),"""",IF(S52='config.parâmetros'!$B$8,0,IFERROR(AU52/INDEX(SORT(GOOGLEFINANCE(S52&amp;'config.parâmetros'!$B$8,""price"",TODAY()-3,TODAY(),1),1,0),2,2)-1,0)))"),"")</f>
        <v/>
      </c>
      <c r="AX52" s="1446" t="str">
        <f>IFERROR(__xludf.DUMMYFUNCTION("IF(NOT(J52),"""",IF('config.parâmetros'!$M$8,SUM(IFERROR(filter(proventos!Q$5:Q303,proventos!L$5:L303=B52,proventos!C$5:C303&gt;=DATEVALUE(I52),proventos!R$5:R303=T52),0)),SUM(IFERROR(filter(proventos!Q$5:Q303,proventos!L$5:L303=B52,proventos!C$5:C303&gt;=DATEV"&amp;"ALUE(I52)),0))))"),"")</f>
        <v/>
      </c>
      <c r="AY52" s="1446">
        <f t="shared" si="6"/>
        <v>0</v>
      </c>
      <c r="AZ52" s="1446" t="str">
        <f>IFERROR(__xludf.DUMMYFUNCTION("IF(NOT(J52),"""",IF('config.parâmetros'!$M$8,SUM(IFERROR(filter(op.normal!P$5:P303,op.normal!N$5:N303=B52,op.normal!C$5:C303&gt;=DATEVALUE(I52),op.normal!AC$5:AC303=T52),0)),SUM(IFERROR(filter(op.normal!P$5:P303,op.normal!N$5:N303=B52,op.normal!C$5:C303&gt;=DAT"&amp;"EVALUE(I52)),0))))"),"")</f>
        <v/>
      </c>
      <c r="BA52" s="1447" t="str">
        <f>IFERROR(__xludf.DUMMYFUNCTION("IF(A52="""","""",IFERROR(query({CarteirasAtivos},""Select Col3 where Col1 ='""&amp;A52&amp;""' limit 1""))) "),"")</f>
        <v/>
      </c>
      <c r="BB52" s="1447" t="str">
        <f>IFERROR(__xludf.DUMMYFUNCTION("IF(A52="""","""",SUMPRODUCT(IF(IFERROR(MATCH(query({CarteirasAtivos},""Select Col2 where Col1 = '""&amp;A52&amp;""'""),CarteirasListaCriadasComTotal,0)),1,0)))"),"")</f>
        <v/>
      </c>
      <c r="BC52" s="1446" t="str">
        <f>IFERROR(__xludf.DUMMYFUNCTION("IF($A52="""","""",IFERROR(AVERAGE(query({CarteirasAtivos;CarteirasAtivosEncerrados},""select Col5 where Col5 is not null and Col1 = '""&amp;$A52&amp;""' and Col10='SIM'""))*AU52))"),"")</f>
        <v/>
      </c>
      <c r="BD52" s="1448" t="str">
        <f>IF(A52="","",IF(NOT('config.parâmetros'!$M$8),IF(int(J52)=J52,TEXT(J52,"###,##0"),TEXT(J52,"###,##0.#######")),IF(int(J52)=J52,TEXT(J52,"###,##0"),TEXT(J52,"###,##0.#######"))&amp;"
("&amp;T52&amp;")"))</f>
        <v/>
      </c>
      <c r="BE52" s="1442" t="str">
        <f t="shared" si="7"/>
        <v/>
      </c>
      <c r="BF52" s="1447" t="str">
        <f t="shared" si="8"/>
        <v/>
      </c>
      <c r="BG52" s="1449" t="str">
        <f t="shared" si="9"/>
        <v/>
      </c>
      <c r="BH52" s="1447" t="str">
        <f t="shared" si="10"/>
        <v/>
      </c>
      <c r="BI52" s="1447" t="str">
        <f t="shared" si="11"/>
        <v/>
      </c>
      <c r="BJ52" s="1449" t="str">
        <f t="shared" si="12"/>
        <v/>
      </c>
      <c r="BK52" s="1447" t="str">
        <f t="shared" si="13"/>
        <v/>
      </c>
      <c r="BL52" s="1447" t="str">
        <f t="shared" si="14"/>
        <v/>
      </c>
      <c r="BM52" s="1449" t="str">
        <f t="shared" si="15"/>
        <v/>
      </c>
      <c r="BN52" s="1447" t="str">
        <f t="shared" si="16"/>
        <v/>
      </c>
      <c r="BO52" s="1447" t="str">
        <f t="shared" si="17"/>
        <v/>
      </c>
      <c r="BP52" s="1448" t="str">
        <f t="shared" si="18"/>
        <v/>
      </c>
    </row>
    <row r="53">
      <c r="A53" s="1422"/>
      <c r="B53" s="1423"/>
      <c r="C53" s="1423"/>
      <c r="D53" s="1422"/>
      <c r="E53" s="1422"/>
      <c r="F53" s="1422"/>
      <c r="G53" s="1424"/>
      <c r="H53" s="1424"/>
      <c r="I53" s="1450"/>
      <c r="J53" s="1426"/>
      <c r="K53" s="1427"/>
      <c r="L53" s="1428"/>
      <c r="M53" s="1428"/>
      <c r="N53" s="1429"/>
      <c r="O53" s="1429"/>
      <c r="P53" s="1430"/>
      <c r="Q53" s="1430"/>
      <c r="R53" s="1431"/>
      <c r="S53" s="1432"/>
      <c r="T53" s="1433"/>
      <c r="U53" s="1422"/>
      <c r="V53" s="1422"/>
      <c r="W53" s="1422"/>
      <c r="X53" s="1422"/>
      <c r="Y53" s="1422"/>
      <c r="Z53" s="1422"/>
      <c r="AA53" s="1422"/>
      <c r="AB53" s="1422"/>
      <c r="AC53" s="1422"/>
      <c r="AD53" s="1422"/>
      <c r="AE53" s="1422"/>
      <c r="AF53" s="1422"/>
      <c r="AG53" s="1422"/>
      <c r="AH53" s="1422"/>
      <c r="AI53" s="1422"/>
      <c r="AJ53" s="1422"/>
      <c r="AK53" s="1434"/>
      <c r="AL53" s="1435"/>
      <c r="AM53" s="1436"/>
      <c r="AN53" s="1437"/>
      <c r="AO53" s="1438"/>
      <c r="AP53" s="1439"/>
      <c r="AQ53" s="1440"/>
      <c r="AR53" s="1441"/>
      <c r="AS53" s="1442"/>
      <c r="AT53" s="1443"/>
      <c r="AU53" s="1444"/>
      <c r="AV53" s="1442"/>
      <c r="AW53" s="1445"/>
      <c r="AX53" s="1446"/>
      <c r="AY53" s="1446"/>
      <c r="AZ53" s="1446"/>
      <c r="BA53" s="1447"/>
      <c r="BB53" s="1447"/>
      <c r="BC53" s="1446"/>
      <c r="BD53" s="1448"/>
      <c r="BE53" s="1442"/>
      <c r="BF53" s="1447"/>
      <c r="BG53" s="1449"/>
      <c r="BH53" s="1447"/>
      <c r="BI53" s="1447"/>
      <c r="BJ53" s="1449"/>
      <c r="BK53" s="1447"/>
      <c r="BL53" s="1447"/>
      <c r="BM53" s="1449"/>
      <c r="BN53" s="1447"/>
      <c r="BO53" s="1447"/>
      <c r="BP53" s="1448"/>
    </row>
    <row r="54">
      <c r="A54" s="1422"/>
      <c r="B54" s="1423"/>
      <c r="C54" s="1423"/>
      <c r="D54" s="1422"/>
      <c r="E54" s="1422"/>
      <c r="F54" s="1422"/>
      <c r="G54" s="1424"/>
      <c r="H54" s="1424"/>
      <c r="I54" s="1450"/>
      <c r="J54" s="1426"/>
      <c r="K54" s="1427"/>
      <c r="L54" s="1428"/>
      <c r="M54" s="1428"/>
      <c r="N54" s="1429"/>
      <c r="O54" s="1429"/>
      <c r="P54" s="1430"/>
      <c r="Q54" s="1430"/>
      <c r="R54" s="1431"/>
      <c r="S54" s="1432"/>
      <c r="T54" s="1433"/>
      <c r="U54" s="1422"/>
      <c r="V54" s="1422"/>
      <c r="W54" s="1422"/>
      <c r="X54" s="1422"/>
      <c r="Y54" s="1422"/>
      <c r="Z54" s="1422"/>
      <c r="AA54" s="1422"/>
      <c r="AB54" s="1422"/>
      <c r="AC54" s="1422"/>
      <c r="AD54" s="1422"/>
      <c r="AE54" s="1422"/>
      <c r="AF54" s="1422"/>
      <c r="AG54" s="1422"/>
      <c r="AH54" s="1422"/>
      <c r="AI54" s="1422"/>
      <c r="AJ54" s="1422"/>
      <c r="AK54" s="1434"/>
      <c r="AL54" s="1435"/>
      <c r="AM54" s="1436"/>
      <c r="AN54" s="1437"/>
      <c r="AO54" s="1438"/>
      <c r="AP54" s="1439"/>
      <c r="AQ54" s="1440"/>
      <c r="AR54" s="1441"/>
      <c r="AS54" s="1442"/>
      <c r="AT54" s="1443"/>
      <c r="AU54" s="1444"/>
      <c r="AV54" s="1442"/>
      <c r="AW54" s="1445"/>
      <c r="AX54" s="1446"/>
      <c r="AY54" s="1446"/>
      <c r="AZ54" s="1446"/>
      <c r="BA54" s="1447"/>
      <c r="BB54" s="1447"/>
      <c r="BC54" s="1446"/>
      <c r="BD54" s="1448"/>
      <c r="BE54" s="1442"/>
      <c r="BF54" s="1447"/>
      <c r="BG54" s="1449"/>
      <c r="BH54" s="1447"/>
      <c r="BI54" s="1447"/>
      <c r="BJ54" s="1449"/>
      <c r="BK54" s="1447"/>
      <c r="BL54" s="1447"/>
      <c r="BM54" s="1449"/>
      <c r="BN54" s="1447"/>
      <c r="BO54" s="1447"/>
      <c r="BP54" s="1448"/>
    </row>
    <row r="55">
      <c r="A55" s="1422"/>
      <c r="B55" s="1423"/>
      <c r="C55" s="1423"/>
      <c r="D55" s="1422"/>
      <c r="E55" s="1422"/>
      <c r="F55" s="1422"/>
      <c r="G55" s="1424"/>
      <c r="H55" s="1424"/>
      <c r="I55" s="1450"/>
      <c r="J55" s="1426"/>
      <c r="K55" s="1427"/>
      <c r="L55" s="1428"/>
      <c r="M55" s="1428"/>
      <c r="N55" s="1429"/>
      <c r="O55" s="1429"/>
      <c r="P55" s="1430"/>
      <c r="Q55" s="1430"/>
      <c r="R55" s="1431"/>
      <c r="S55" s="1432"/>
      <c r="T55" s="1433"/>
      <c r="U55" s="1422"/>
      <c r="V55" s="1422"/>
      <c r="W55" s="1422"/>
      <c r="X55" s="1422"/>
      <c r="Y55" s="1422"/>
      <c r="Z55" s="1422"/>
      <c r="AA55" s="1422"/>
      <c r="AB55" s="1422"/>
      <c r="AC55" s="1422"/>
      <c r="AD55" s="1422"/>
      <c r="AE55" s="1422"/>
      <c r="AF55" s="1422"/>
      <c r="AG55" s="1422"/>
      <c r="AH55" s="1422"/>
      <c r="AI55" s="1422"/>
      <c r="AJ55" s="1422"/>
      <c r="AK55" s="1434"/>
      <c r="AL55" s="1435"/>
      <c r="AM55" s="1436"/>
      <c r="AN55" s="1437"/>
      <c r="AO55" s="1438"/>
      <c r="AP55" s="1439"/>
      <c r="AQ55" s="1440"/>
      <c r="AR55" s="1441"/>
      <c r="AS55" s="1442"/>
      <c r="AT55" s="1443"/>
      <c r="AU55" s="1444"/>
      <c r="AV55" s="1442"/>
      <c r="AW55" s="1445"/>
      <c r="AX55" s="1446"/>
      <c r="AY55" s="1446"/>
      <c r="AZ55" s="1446"/>
      <c r="BA55" s="1447"/>
      <c r="BB55" s="1447"/>
      <c r="BC55" s="1446"/>
      <c r="BD55" s="1448"/>
      <c r="BE55" s="1442"/>
      <c r="BF55" s="1447"/>
      <c r="BG55" s="1449"/>
      <c r="BH55" s="1447"/>
      <c r="BI55" s="1447"/>
      <c r="BJ55" s="1449"/>
      <c r="BK55" s="1447"/>
      <c r="BL55" s="1447"/>
      <c r="BM55" s="1449"/>
      <c r="BN55" s="1447"/>
      <c r="BO55" s="1447"/>
      <c r="BP55" s="1448"/>
    </row>
    <row r="56">
      <c r="A56" s="1422"/>
      <c r="B56" s="1423"/>
      <c r="C56" s="1423"/>
      <c r="D56" s="1422"/>
      <c r="E56" s="1422"/>
      <c r="F56" s="1422"/>
      <c r="G56" s="1424"/>
      <c r="H56" s="1424"/>
      <c r="I56" s="1450"/>
      <c r="J56" s="1426"/>
      <c r="K56" s="1427"/>
      <c r="L56" s="1428"/>
      <c r="M56" s="1428"/>
      <c r="N56" s="1429"/>
      <c r="O56" s="1429"/>
      <c r="P56" s="1430"/>
      <c r="Q56" s="1430"/>
      <c r="R56" s="1431"/>
      <c r="S56" s="1432"/>
      <c r="T56" s="1433"/>
      <c r="U56" s="1422"/>
      <c r="V56" s="1422"/>
      <c r="W56" s="1422"/>
      <c r="X56" s="1422"/>
      <c r="Y56" s="1422"/>
      <c r="Z56" s="1422"/>
      <c r="AA56" s="1422"/>
      <c r="AB56" s="1422"/>
      <c r="AC56" s="1422"/>
      <c r="AD56" s="1422"/>
      <c r="AE56" s="1422"/>
      <c r="AF56" s="1422"/>
      <c r="AG56" s="1422"/>
      <c r="AH56" s="1422"/>
      <c r="AI56" s="1422"/>
      <c r="AJ56" s="1422"/>
      <c r="AK56" s="1434"/>
      <c r="AL56" s="1435"/>
      <c r="AM56" s="1436"/>
      <c r="AN56" s="1437"/>
      <c r="AO56" s="1438"/>
      <c r="AP56" s="1439"/>
      <c r="AQ56" s="1440"/>
      <c r="AR56" s="1441"/>
      <c r="AS56" s="1442"/>
      <c r="AT56" s="1443"/>
      <c r="AU56" s="1444"/>
      <c r="AV56" s="1442"/>
      <c r="AW56" s="1445"/>
      <c r="AX56" s="1446"/>
      <c r="AY56" s="1446"/>
      <c r="AZ56" s="1446"/>
      <c r="BA56" s="1447"/>
      <c r="BB56" s="1447"/>
      <c r="BC56" s="1446"/>
      <c r="BD56" s="1448"/>
      <c r="BE56" s="1442"/>
      <c r="BF56" s="1447"/>
      <c r="BG56" s="1449"/>
      <c r="BH56" s="1447"/>
      <c r="BI56" s="1447"/>
      <c r="BJ56" s="1449"/>
      <c r="BK56" s="1447"/>
      <c r="BL56" s="1447"/>
      <c r="BM56" s="1449"/>
      <c r="BN56" s="1447"/>
      <c r="BO56" s="1447"/>
      <c r="BP56" s="1448"/>
    </row>
    <row r="57">
      <c r="A57" s="1422"/>
      <c r="B57" s="1423"/>
      <c r="C57" s="1423"/>
      <c r="D57" s="1422"/>
      <c r="E57" s="1422"/>
      <c r="F57" s="1422"/>
      <c r="G57" s="1424"/>
      <c r="H57" s="1424"/>
      <c r="I57" s="1450"/>
      <c r="J57" s="1426"/>
      <c r="K57" s="1427"/>
      <c r="L57" s="1428"/>
      <c r="M57" s="1428"/>
      <c r="N57" s="1429"/>
      <c r="O57" s="1429"/>
      <c r="P57" s="1430"/>
      <c r="Q57" s="1430"/>
      <c r="R57" s="1431"/>
      <c r="S57" s="1432"/>
      <c r="T57" s="1433"/>
      <c r="U57" s="1422"/>
      <c r="V57" s="1422"/>
      <c r="W57" s="1422"/>
      <c r="X57" s="1422"/>
      <c r="Y57" s="1422"/>
      <c r="Z57" s="1422"/>
      <c r="AA57" s="1422"/>
      <c r="AB57" s="1422"/>
      <c r="AC57" s="1422"/>
      <c r="AD57" s="1422"/>
      <c r="AE57" s="1422"/>
      <c r="AF57" s="1422"/>
      <c r="AG57" s="1422"/>
      <c r="AH57" s="1422"/>
      <c r="AI57" s="1422"/>
      <c r="AJ57" s="1422"/>
      <c r="AK57" s="1434"/>
      <c r="AL57" s="1435"/>
      <c r="AM57" s="1436"/>
      <c r="AN57" s="1437"/>
      <c r="AO57" s="1438"/>
      <c r="AP57" s="1439"/>
      <c r="AQ57" s="1440"/>
      <c r="AR57" s="1441"/>
      <c r="AS57" s="1442"/>
      <c r="AT57" s="1443"/>
      <c r="AU57" s="1444"/>
      <c r="AV57" s="1442"/>
      <c r="AW57" s="1445"/>
      <c r="AX57" s="1446"/>
      <c r="AY57" s="1446"/>
      <c r="AZ57" s="1446"/>
      <c r="BA57" s="1447"/>
      <c r="BB57" s="1447"/>
      <c r="BC57" s="1446"/>
      <c r="BD57" s="1448"/>
      <c r="BE57" s="1442"/>
      <c r="BF57" s="1447"/>
      <c r="BG57" s="1449"/>
      <c r="BH57" s="1447"/>
      <c r="BI57" s="1447"/>
      <c r="BJ57" s="1449"/>
      <c r="BK57" s="1447"/>
      <c r="BL57" s="1447"/>
      <c r="BM57" s="1449"/>
      <c r="BN57" s="1447"/>
      <c r="BO57" s="1447"/>
      <c r="BP57" s="1448"/>
    </row>
    <row r="58">
      <c r="A58" s="1422"/>
      <c r="B58" s="1423"/>
      <c r="C58" s="1423"/>
      <c r="D58" s="1422"/>
      <c r="E58" s="1422"/>
      <c r="F58" s="1422"/>
      <c r="G58" s="1424"/>
      <c r="H58" s="1424"/>
      <c r="I58" s="1450"/>
      <c r="J58" s="1426"/>
      <c r="K58" s="1427"/>
      <c r="L58" s="1428"/>
      <c r="M58" s="1428"/>
      <c r="N58" s="1429"/>
      <c r="O58" s="1429"/>
      <c r="P58" s="1430"/>
      <c r="Q58" s="1430"/>
      <c r="R58" s="1431"/>
      <c r="S58" s="1432"/>
      <c r="T58" s="1433"/>
      <c r="U58" s="1422"/>
      <c r="V58" s="1422"/>
      <c r="W58" s="1422"/>
      <c r="X58" s="1422"/>
      <c r="Y58" s="1422"/>
      <c r="Z58" s="1422"/>
      <c r="AA58" s="1422"/>
      <c r="AB58" s="1422"/>
      <c r="AC58" s="1422"/>
      <c r="AD58" s="1422"/>
      <c r="AE58" s="1422"/>
      <c r="AF58" s="1422"/>
      <c r="AG58" s="1422"/>
      <c r="AH58" s="1422"/>
      <c r="AI58" s="1422"/>
      <c r="AJ58" s="1422"/>
      <c r="AK58" s="1434"/>
      <c r="AL58" s="1435"/>
      <c r="AM58" s="1436"/>
      <c r="AN58" s="1437"/>
      <c r="AO58" s="1438"/>
      <c r="AP58" s="1439"/>
      <c r="AQ58" s="1440"/>
      <c r="AR58" s="1441"/>
      <c r="AS58" s="1442"/>
      <c r="AT58" s="1443"/>
      <c r="AU58" s="1444"/>
      <c r="AV58" s="1442"/>
      <c r="AW58" s="1445"/>
      <c r="AX58" s="1446"/>
      <c r="AY58" s="1446"/>
      <c r="AZ58" s="1446"/>
      <c r="BA58" s="1447"/>
      <c r="BB58" s="1447"/>
      <c r="BC58" s="1446"/>
      <c r="BD58" s="1448"/>
      <c r="BE58" s="1442"/>
      <c r="BF58" s="1447"/>
      <c r="BG58" s="1449"/>
      <c r="BH58" s="1447"/>
      <c r="BI58" s="1447"/>
      <c r="BJ58" s="1449"/>
      <c r="BK58" s="1447"/>
      <c r="BL58" s="1447"/>
      <c r="BM58" s="1449"/>
      <c r="BN58" s="1447"/>
      <c r="BO58" s="1447"/>
      <c r="BP58" s="1448"/>
    </row>
    <row r="59">
      <c r="A59" s="1422"/>
      <c r="B59" s="1423"/>
      <c r="C59" s="1423"/>
      <c r="D59" s="1422"/>
      <c r="E59" s="1422"/>
      <c r="F59" s="1422"/>
      <c r="G59" s="1424"/>
      <c r="H59" s="1424"/>
      <c r="I59" s="1450"/>
      <c r="J59" s="1426"/>
      <c r="K59" s="1427"/>
      <c r="L59" s="1428"/>
      <c r="M59" s="1428"/>
      <c r="N59" s="1429"/>
      <c r="O59" s="1429"/>
      <c r="P59" s="1430"/>
      <c r="Q59" s="1430"/>
      <c r="R59" s="1431"/>
      <c r="S59" s="1432"/>
      <c r="T59" s="1433"/>
      <c r="U59" s="1422"/>
      <c r="V59" s="1422"/>
      <c r="W59" s="1422"/>
      <c r="X59" s="1422"/>
      <c r="Y59" s="1422"/>
      <c r="Z59" s="1422"/>
      <c r="AA59" s="1422"/>
      <c r="AB59" s="1422"/>
      <c r="AC59" s="1422"/>
      <c r="AD59" s="1422"/>
      <c r="AE59" s="1422"/>
      <c r="AF59" s="1422"/>
      <c r="AG59" s="1422"/>
      <c r="AH59" s="1422"/>
      <c r="AI59" s="1422"/>
      <c r="AJ59" s="1422"/>
      <c r="AK59" s="1434"/>
      <c r="AL59" s="1435"/>
      <c r="AM59" s="1436"/>
      <c r="AN59" s="1437"/>
      <c r="AO59" s="1438"/>
      <c r="AP59" s="1439"/>
      <c r="AQ59" s="1440"/>
      <c r="AR59" s="1441"/>
      <c r="AS59" s="1442"/>
      <c r="AT59" s="1443"/>
      <c r="AU59" s="1444"/>
      <c r="AV59" s="1442"/>
      <c r="AW59" s="1445"/>
      <c r="AX59" s="1446"/>
      <c r="AY59" s="1446"/>
      <c r="AZ59" s="1446"/>
      <c r="BA59" s="1447"/>
      <c r="BB59" s="1447"/>
      <c r="BC59" s="1446"/>
      <c r="BD59" s="1448"/>
      <c r="BE59" s="1442"/>
      <c r="BF59" s="1447"/>
      <c r="BG59" s="1449"/>
      <c r="BH59" s="1447"/>
      <c r="BI59" s="1447"/>
      <c r="BJ59" s="1449"/>
      <c r="BK59" s="1447"/>
      <c r="BL59" s="1447"/>
      <c r="BM59" s="1449"/>
      <c r="BN59" s="1447"/>
      <c r="BO59" s="1447"/>
      <c r="BP59" s="1448"/>
    </row>
    <row r="60">
      <c r="A60" s="1422"/>
      <c r="B60" s="1423"/>
      <c r="C60" s="1423"/>
      <c r="D60" s="1422"/>
      <c r="E60" s="1422"/>
      <c r="F60" s="1422"/>
      <c r="G60" s="1424"/>
      <c r="H60" s="1424"/>
      <c r="I60" s="1450"/>
      <c r="J60" s="1426"/>
      <c r="K60" s="1427"/>
      <c r="L60" s="1428"/>
      <c r="M60" s="1428"/>
      <c r="N60" s="1429"/>
      <c r="O60" s="1429"/>
      <c r="P60" s="1430"/>
      <c r="Q60" s="1430"/>
      <c r="R60" s="1431"/>
      <c r="S60" s="1432"/>
      <c r="T60" s="1433"/>
      <c r="U60" s="1422"/>
      <c r="V60" s="1422"/>
      <c r="W60" s="1422"/>
      <c r="X60" s="1422"/>
      <c r="Y60" s="1422"/>
      <c r="Z60" s="1422"/>
      <c r="AA60" s="1422"/>
      <c r="AB60" s="1422"/>
      <c r="AC60" s="1422"/>
      <c r="AD60" s="1422"/>
      <c r="AE60" s="1422"/>
      <c r="AF60" s="1422"/>
      <c r="AG60" s="1422"/>
      <c r="AH60" s="1422"/>
      <c r="AI60" s="1422"/>
      <c r="AJ60" s="1422"/>
      <c r="AK60" s="1434"/>
      <c r="AL60" s="1435"/>
      <c r="AM60" s="1436"/>
      <c r="AN60" s="1437"/>
      <c r="AO60" s="1438"/>
      <c r="AP60" s="1439"/>
      <c r="AQ60" s="1440"/>
      <c r="AR60" s="1441"/>
      <c r="AS60" s="1442"/>
      <c r="AT60" s="1443"/>
      <c r="AU60" s="1444"/>
      <c r="AV60" s="1442"/>
      <c r="AW60" s="1445"/>
      <c r="AX60" s="1446"/>
      <c r="AY60" s="1446"/>
      <c r="AZ60" s="1446"/>
      <c r="BA60" s="1447"/>
      <c r="BB60" s="1447"/>
      <c r="BC60" s="1446"/>
      <c r="BD60" s="1448"/>
      <c r="BE60" s="1442"/>
      <c r="BF60" s="1447"/>
      <c r="BG60" s="1449"/>
      <c r="BH60" s="1447"/>
      <c r="BI60" s="1447"/>
      <c r="BJ60" s="1449"/>
      <c r="BK60" s="1447"/>
      <c r="BL60" s="1447"/>
      <c r="BM60" s="1449"/>
      <c r="BN60" s="1447"/>
      <c r="BO60" s="1447"/>
      <c r="BP60" s="1448"/>
    </row>
    <row r="61">
      <c r="A61" s="1422"/>
      <c r="B61" s="1423"/>
      <c r="C61" s="1423"/>
      <c r="D61" s="1422"/>
      <c r="E61" s="1422"/>
      <c r="F61" s="1422"/>
      <c r="G61" s="1424"/>
      <c r="H61" s="1424"/>
      <c r="I61" s="1450"/>
      <c r="J61" s="1426"/>
      <c r="K61" s="1427"/>
      <c r="L61" s="1428"/>
      <c r="M61" s="1428"/>
      <c r="N61" s="1429"/>
      <c r="O61" s="1429"/>
      <c r="P61" s="1430"/>
      <c r="Q61" s="1430"/>
      <c r="R61" s="1431"/>
      <c r="S61" s="1432"/>
      <c r="T61" s="1433"/>
      <c r="U61" s="1422"/>
      <c r="V61" s="1422"/>
      <c r="W61" s="1422"/>
      <c r="X61" s="1422"/>
      <c r="Y61" s="1422"/>
      <c r="Z61" s="1422"/>
      <c r="AA61" s="1422"/>
      <c r="AB61" s="1422"/>
      <c r="AC61" s="1422"/>
      <c r="AD61" s="1422"/>
      <c r="AE61" s="1422"/>
      <c r="AF61" s="1422"/>
      <c r="AG61" s="1422"/>
      <c r="AH61" s="1422"/>
      <c r="AI61" s="1422"/>
      <c r="AJ61" s="1422"/>
      <c r="AK61" s="1434"/>
      <c r="AL61" s="1435"/>
      <c r="AM61" s="1436"/>
      <c r="AN61" s="1437"/>
      <c r="AO61" s="1438"/>
      <c r="AP61" s="1439"/>
      <c r="AQ61" s="1440"/>
      <c r="AR61" s="1441"/>
      <c r="AS61" s="1442"/>
      <c r="AT61" s="1443"/>
      <c r="AU61" s="1444"/>
      <c r="AV61" s="1442"/>
      <c r="AW61" s="1445"/>
      <c r="AX61" s="1446"/>
      <c r="AY61" s="1446"/>
      <c r="AZ61" s="1446"/>
      <c r="BA61" s="1447"/>
      <c r="BB61" s="1447"/>
      <c r="BC61" s="1446"/>
      <c r="BD61" s="1448"/>
      <c r="BE61" s="1442"/>
      <c r="BF61" s="1447"/>
      <c r="BG61" s="1449"/>
      <c r="BH61" s="1447"/>
      <c r="BI61" s="1447"/>
      <c r="BJ61" s="1449"/>
      <c r="BK61" s="1447"/>
      <c r="BL61" s="1447"/>
      <c r="BM61" s="1449"/>
      <c r="BN61" s="1447"/>
      <c r="BO61" s="1447"/>
      <c r="BP61" s="1448"/>
    </row>
    <row r="62">
      <c r="A62" s="1422"/>
      <c r="B62" s="1423"/>
      <c r="C62" s="1423"/>
      <c r="D62" s="1422"/>
      <c r="E62" s="1422"/>
      <c r="F62" s="1422"/>
      <c r="G62" s="1424"/>
      <c r="H62" s="1424"/>
      <c r="I62" s="1450"/>
      <c r="J62" s="1426"/>
      <c r="K62" s="1427"/>
      <c r="L62" s="1428"/>
      <c r="M62" s="1428"/>
      <c r="N62" s="1429"/>
      <c r="O62" s="1429"/>
      <c r="P62" s="1430"/>
      <c r="Q62" s="1430"/>
      <c r="R62" s="1431"/>
      <c r="S62" s="1432"/>
      <c r="T62" s="1433"/>
      <c r="U62" s="1422"/>
      <c r="V62" s="1422"/>
      <c r="W62" s="1422"/>
      <c r="X62" s="1422"/>
      <c r="Y62" s="1422"/>
      <c r="Z62" s="1422"/>
      <c r="AA62" s="1422"/>
      <c r="AB62" s="1422"/>
      <c r="AC62" s="1422"/>
      <c r="AD62" s="1422"/>
      <c r="AE62" s="1422"/>
      <c r="AF62" s="1422"/>
      <c r="AG62" s="1422"/>
      <c r="AH62" s="1422"/>
      <c r="AI62" s="1422"/>
      <c r="AJ62" s="1422"/>
      <c r="AK62" s="1434"/>
      <c r="AL62" s="1435"/>
      <c r="AM62" s="1436"/>
      <c r="AN62" s="1437"/>
      <c r="AO62" s="1438"/>
      <c r="AP62" s="1439"/>
      <c r="AQ62" s="1440"/>
      <c r="AR62" s="1441"/>
      <c r="AS62" s="1442"/>
      <c r="AT62" s="1443"/>
      <c r="AU62" s="1444"/>
      <c r="AV62" s="1442"/>
      <c r="AW62" s="1445"/>
      <c r="AX62" s="1446"/>
      <c r="AY62" s="1446"/>
      <c r="AZ62" s="1446"/>
      <c r="BA62" s="1447"/>
      <c r="BB62" s="1447"/>
      <c r="BC62" s="1446"/>
      <c r="BD62" s="1448"/>
      <c r="BE62" s="1442"/>
      <c r="BF62" s="1447"/>
      <c r="BG62" s="1449"/>
      <c r="BH62" s="1447"/>
      <c r="BI62" s="1447"/>
      <c r="BJ62" s="1449"/>
      <c r="BK62" s="1447"/>
      <c r="BL62" s="1447"/>
      <c r="BM62" s="1449"/>
      <c r="BN62" s="1447"/>
      <c r="BO62" s="1447"/>
      <c r="BP62" s="1448"/>
    </row>
    <row r="63">
      <c r="A63" s="1422"/>
      <c r="B63" s="1423"/>
      <c r="C63" s="1423"/>
      <c r="D63" s="1422"/>
      <c r="E63" s="1422"/>
      <c r="F63" s="1422"/>
      <c r="G63" s="1424"/>
      <c r="H63" s="1424"/>
      <c r="I63" s="1450"/>
      <c r="J63" s="1426"/>
      <c r="K63" s="1427"/>
      <c r="L63" s="1428"/>
      <c r="M63" s="1428"/>
      <c r="N63" s="1429"/>
      <c r="O63" s="1429"/>
      <c r="P63" s="1430"/>
      <c r="Q63" s="1430"/>
      <c r="R63" s="1431"/>
      <c r="S63" s="1432"/>
      <c r="T63" s="1433"/>
      <c r="U63" s="1422"/>
      <c r="V63" s="1422"/>
      <c r="W63" s="1422"/>
      <c r="X63" s="1422"/>
      <c r="Y63" s="1422"/>
      <c r="Z63" s="1422"/>
      <c r="AA63" s="1422"/>
      <c r="AB63" s="1422"/>
      <c r="AC63" s="1422"/>
      <c r="AD63" s="1422"/>
      <c r="AE63" s="1422"/>
      <c r="AF63" s="1422"/>
      <c r="AG63" s="1422"/>
      <c r="AH63" s="1422"/>
      <c r="AI63" s="1422"/>
      <c r="AJ63" s="1422"/>
      <c r="AK63" s="1434"/>
      <c r="AL63" s="1435"/>
      <c r="AM63" s="1436"/>
      <c r="AN63" s="1437"/>
      <c r="AO63" s="1438"/>
      <c r="AP63" s="1439"/>
      <c r="AQ63" s="1440"/>
      <c r="AR63" s="1441"/>
      <c r="AS63" s="1442"/>
      <c r="AT63" s="1443"/>
      <c r="AU63" s="1444"/>
      <c r="AV63" s="1442"/>
      <c r="AW63" s="1445"/>
      <c r="AX63" s="1446"/>
      <c r="AY63" s="1446"/>
      <c r="AZ63" s="1446"/>
      <c r="BA63" s="1447"/>
      <c r="BB63" s="1447"/>
      <c r="BC63" s="1446"/>
      <c r="BD63" s="1448"/>
      <c r="BE63" s="1442"/>
      <c r="BF63" s="1447"/>
      <c r="BG63" s="1449"/>
      <c r="BH63" s="1447"/>
      <c r="BI63" s="1447"/>
      <c r="BJ63" s="1449"/>
      <c r="BK63" s="1447"/>
      <c r="BL63" s="1447"/>
      <c r="BM63" s="1449"/>
      <c r="BN63" s="1447"/>
      <c r="BO63" s="1447"/>
      <c r="BP63" s="1448"/>
    </row>
    <row r="64">
      <c r="A64" s="1422"/>
      <c r="B64" s="1423"/>
      <c r="C64" s="1423"/>
      <c r="D64" s="1422"/>
      <c r="E64" s="1422"/>
      <c r="F64" s="1422"/>
      <c r="G64" s="1424"/>
      <c r="H64" s="1424"/>
      <c r="I64" s="1450"/>
      <c r="J64" s="1426"/>
      <c r="K64" s="1427"/>
      <c r="L64" s="1428"/>
      <c r="M64" s="1428"/>
      <c r="N64" s="1429"/>
      <c r="O64" s="1429"/>
      <c r="P64" s="1430"/>
      <c r="Q64" s="1430"/>
      <c r="R64" s="1431"/>
      <c r="S64" s="1432"/>
      <c r="T64" s="1433"/>
      <c r="U64" s="1422"/>
      <c r="V64" s="1422"/>
      <c r="W64" s="1422"/>
      <c r="X64" s="1422"/>
      <c r="Y64" s="1422"/>
      <c r="Z64" s="1422"/>
      <c r="AA64" s="1422"/>
      <c r="AB64" s="1422"/>
      <c r="AC64" s="1422"/>
      <c r="AD64" s="1422"/>
      <c r="AE64" s="1422"/>
      <c r="AF64" s="1422"/>
      <c r="AG64" s="1422"/>
      <c r="AH64" s="1422"/>
      <c r="AI64" s="1422"/>
      <c r="AJ64" s="1422"/>
      <c r="AK64" s="1434"/>
      <c r="AL64" s="1435"/>
      <c r="AM64" s="1436"/>
      <c r="AN64" s="1437"/>
      <c r="AO64" s="1438"/>
      <c r="AP64" s="1439"/>
      <c r="AQ64" s="1440"/>
      <c r="AR64" s="1441"/>
      <c r="AS64" s="1442"/>
      <c r="AT64" s="1443"/>
      <c r="AU64" s="1444"/>
      <c r="AV64" s="1442"/>
      <c r="AW64" s="1445"/>
      <c r="AX64" s="1446"/>
      <c r="AY64" s="1446"/>
      <c r="AZ64" s="1446"/>
      <c r="BA64" s="1447"/>
      <c r="BB64" s="1447"/>
      <c r="BC64" s="1446"/>
      <c r="BD64" s="1448"/>
      <c r="BE64" s="1442"/>
      <c r="BF64" s="1447"/>
      <c r="BG64" s="1449"/>
      <c r="BH64" s="1447"/>
      <c r="BI64" s="1447"/>
      <c r="BJ64" s="1449"/>
      <c r="BK64" s="1447"/>
      <c r="BL64" s="1447"/>
      <c r="BM64" s="1449"/>
      <c r="BN64" s="1447"/>
      <c r="BO64" s="1447"/>
      <c r="BP64" s="1448"/>
    </row>
    <row r="65">
      <c r="A65" s="1422"/>
      <c r="B65" s="1423"/>
      <c r="C65" s="1423"/>
      <c r="D65" s="1422"/>
      <c r="E65" s="1422"/>
      <c r="F65" s="1422"/>
      <c r="G65" s="1424"/>
      <c r="H65" s="1424"/>
      <c r="I65" s="1450"/>
      <c r="J65" s="1426"/>
      <c r="K65" s="1427"/>
      <c r="L65" s="1428"/>
      <c r="M65" s="1428"/>
      <c r="N65" s="1429"/>
      <c r="O65" s="1429"/>
      <c r="P65" s="1430"/>
      <c r="Q65" s="1430"/>
      <c r="R65" s="1431"/>
      <c r="S65" s="1432"/>
      <c r="T65" s="1433"/>
      <c r="U65" s="1422"/>
      <c r="V65" s="1422"/>
      <c r="W65" s="1422"/>
      <c r="X65" s="1422"/>
      <c r="Y65" s="1422"/>
      <c r="Z65" s="1422"/>
      <c r="AA65" s="1422"/>
      <c r="AB65" s="1422"/>
      <c r="AC65" s="1422"/>
      <c r="AD65" s="1422"/>
      <c r="AE65" s="1422"/>
      <c r="AF65" s="1422"/>
      <c r="AG65" s="1422"/>
      <c r="AH65" s="1422"/>
      <c r="AI65" s="1422"/>
      <c r="AJ65" s="1422"/>
      <c r="AK65" s="1434"/>
      <c r="AL65" s="1435"/>
      <c r="AM65" s="1436"/>
      <c r="AN65" s="1437"/>
      <c r="AO65" s="1438"/>
      <c r="AP65" s="1439"/>
      <c r="AQ65" s="1440"/>
      <c r="AR65" s="1441"/>
      <c r="AS65" s="1442"/>
      <c r="AT65" s="1443"/>
      <c r="AU65" s="1444"/>
      <c r="AV65" s="1442"/>
      <c r="AW65" s="1445"/>
      <c r="AX65" s="1446"/>
      <c r="AY65" s="1446"/>
      <c r="AZ65" s="1446"/>
      <c r="BA65" s="1447"/>
      <c r="BB65" s="1447"/>
      <c r="BC65" s="1446"/>
      <c r="BD65" s="1448"/>
      <c r="BE65" s="1442"/>
      <c r="BF65" s="1447"/>
      <c r="BG65" s="1449"/>
      <c r="BH65" s="1447"/>
      <c r="BI65" s="1447"/>
      <c r="BJ65" s="1449"/>
      <c r="BK65" s="1447"/>
      <c r="BL65" s="1447"/>
      <c r="BM65" s="1449"/>
      <c r="BN65" s="1447"/>
      <c r="BO65" s="1447"/>
      <c r="BP65" s="1448"/>
    </row>
    <row r="66">
      <c r="A66" s="1422"/>
      <c r="B66" s="1423"/>
      <c r="C66" s="1423"/>
      <c r="D66" s="1422"/>
      <c r="E66" s="1422"/>
      <c r="F66" s="1422"/>
      <c r="G66" s="1424"/>
      <c r="H66" s="1424"/>
      <c r="I66" s="1450"/>
      <c r="J66" s="1426"/>
      <c r="K66" s="1427"/>
      <c r="L66" s="1428"/>
      <c r="M66" s="1428"/>
      <c r="N66" s="1429"/>
      <c r="O66" s="1429"/>
      <c r="P66" s="1430"/>
      <c r="Q66" s="1430"/>
      <c r="R66" s="1431"/>
      <c r="S66" s="1432"/>
      <c r="T66" s="1433"/>
      <c r="U66" s="1422"/>
      <c r="V66" s="1422"/>
      <c r="W66" s="1422"/>
      <c r="X66" s="1422"/>
      <c r="Y66" s="1422"/>
      <c r="Z66" s="1422"/>
      <c r="AA66" s="1422"/>
      <c r="AB66" s="1422"/>
      <c r="AC66" s="1422"/>
      <c r="AD66" s="1422"/>
      <c r="AE66" s="1422"/>
      <c r="AF66" s="1422"/>
      <c r="AG66" s="1422"/>
      <c r="AH66" s="1422"/>
      <c r="AI66" s="1422"/>
      <c r="AJ66" s="1422"/>
      <c r="AK66" s="1434"/>
      <c r="AL66" s="1435"/>
      <c r="AM66" s="1436"/>
      <c r="AN66" s="1437"/>
      <c r="AO66" s="1438"/>
      <c r="AP66" s="1439"/>
      <c r="AQ66" s="1440"/>
      <c r="AR66" s="1441"/>
      <c r="AS66" s="1442"/>
      <c r="AT66" s="1443"/>
      <c r="AU66" s="1444"/>
      <c r="AV66" s="1442"/>
      <c r="AW66" s="1445"/>
      <c r="AX66" s="1446"/>
      <c r="AY66" s="1446"/>
      <c r="AZ66" s="1446"/>
      <c r="BA66" s="1447"/>
      <c r="BB66" s="1447"/>
      <c r="BC66" s="1446"/>
      <c r="BD66" s="1448"/>
      <c r="BE66" s="1442"/>
      <c r="BF66" s="1447"/>
      <c r="BG66" s="1449"/>
      <c r="BH66" s="1447"/>
      <c r="BI66" s="1447"/>
      <c r="BJ66" s="1449"/>
      <c r="BK66" s="1447"/>
      <c r="BL66" s="1447"/>
      <c r="BM66" s="1449"/>
      <c r="BN66" s="1447"/>
      <c r="BO66" s="1447"/>
      <c r="BP66" s="1448"/>
    </row>
    <row r="67">
      <c r="A67" s="1422"/>
      <c r="B67" s="1423"/>
      <c r="C67" s="1423"/>
      <c r="D67" s="1422"/>
      <c r="E67" s="1422"/>
      <c r="F67" s="1422"/>
      <c r="G67" s="1424"/>
      <c r="H67" s="1424"/>
      <c r="I67" s="1450"/>
      <c r="J67" s="1426"/>
      <c r="K67" s="1427"/>
      <c r="L67" s="1428"/>
      <c r="M67" s="1428"/>
      <c r="N67" s="1429"/>
      <c r="O67" s="1429"/>
      <c r="P67" s="1430"/>
      <c r="Q67" s="1430"/>
      <c r="R67" s="1431"/>
      <c r="S67" s="1432"/>
      <c r="T67" s="1433"/>
      <c r="U67" s="1422"/>
      <c r="V67" s="1422"/>
      <c r="W67" s="1422"/>
      <c r="X67" s="1422"/>
      <c r="Y67" s="1422"/>
      <c r="Z67" s="1422"/>
      <c r="AA67" s="1422"/>
      <c r="AB67" s="1422"/>
      <c r="AC67" s="1422"/>
      <c r="AD67" s="1422"/>
      <c r="AE67" s="1422"/>
      <c r="AF67" s="1422"/>
      <c r="AG67" s="1422"/>
      <c r="AH67" s="1422"/>
      <c r="AI67" s="1422"/>
      <c r="AJ67" s="1422"/>
      <c r="AK67" s="1434"/>
      <c r="AL67" s="1435"/>
      <c r="AM67" s="1436"/>
      <c r="AN67" s="1437"/>
      <c r="AO67" s="1438"/>
      <c r="AP67" s="1439"/>
      <c r="AQ67" s="1440"/>
      <c r="AR67" s="1441"/>
      <c r="AS67" s="1442"/>
      <c r="AT67" s="1443"/>
      <c r="AU67" s="1444"/>
      <c r="AV67" s="1442"/>
      <c r="AW67" s="1445"/>
      <c r="AX67" s="1446"/>
      <c r="AY67" s="1446"/>
      <c r="AZ67" s="1446"/>
      <c r="BA67" s="1447"/>
      <c r="BB67" s="1447"/>
      <c r="BC67" s="1446"/>
      <c r="BD67" s="1448"/>
      <c r="BE67" s="1442"/>
      <c r="BF67" s="1447"/>
      <c r="BG67" s="1449"/>
      <c r="BH67" s="1447"/>
      <c r="BI67" s="1447"/>
      <c r="BJ67" s="1449"/>
      <c r="BK67" s="1447"/>
      <c r="BL67" s="1447"/>
      <c r="BM67" s="1449"/>
      <c r="BN67" s="1447"/>
      <c r="BO67" s="1447"/>
      <c r="BP67" s="1448"/>
    </row>
    <row r="68">
      <c r="A68" s="1422"/>
      <c r="B68" s="1423"/>
      <c r="C68" s="1423"/>
      <c r="D68" s="1422"/>
      <c r="E68" s="1422"/>
      <c r="F68" s="1422"/>
      <c r="G68" s="1424"/>
      <c r="H68" s="1424"/>
      <c r="I68" s="1450"/>
      <c r="J68" s="1452"/>
      <c r="K68" s="1427"/>
      <c r="L68" s="1428"/>
      <c r="M68" s="1428"/>
      <c r="N68" s="1429"/>
      <c r="O68" s="1429"/>
      <c r="P68" s="1430"/>
      <c r="Q68" s="1430"/>
      <c r="R68" s="1431"/>
      <c r="S68" s="1432"/>
      <c r="T68" s="1433"/>
      <c r="U68" s="1422"/>
      <c r="V68" s="1422"/>
      <c r="W68" s="1422"/>
      <c r="X68" s="1422"/>
      <c r="Y68" s="1422"/>
      <c r="Z68" s="1422"/>
      <c r="AA68" s="1422"/>
      <c r="AB68" s="1422"/>
      <c r="AC68" s="1422"/>
      <c r="AD68" s="1422"/>
      <c r="AE68" s="1422"/>
      <c r="AF68" s="1422"/>
      <c r="AG68" s="1422"/>
      <c r="AH68" s="1422"/>
      <c r="AI68" s="1422"/>
      <c r="AJ68" s="1422"/>
      <c r="AK68" s="1434"/>
      <c r="AL68" s="1435"/>
      <c r="AM68" s="1436"/>
      <c r="AN68" s="1437"/>
      <c r="AO68" s="1438"/>
      <c r="AP68" s="1439"/>
      <c r="AQ68" s="1440"/>
      <c r="AR68" s="1441"/>
      <c r="AS68" s="1442"/>
      <c r="AT68" s="1443"/>
      <c r="AU68" s="1444"/>
      <c r="AV68" s="1442"/>
      <c r="AW68" s="1445"/>
      <c r="AX68" s="1446"/>
      <c r="AY68" s="1446"/>
      <c r="AZ68" s="1446"/>
      <c r="BA68" s="1447"/>
      <c r="BB68" s="1447"/>
      <c r="BC68" s="1446"/>
      <c r="BD68" s="1448"/>
      <c r="BE68" s="1442"/>
      <c r="BF68" s="1447"/>
      <c r="BG68" s="1449"/>
      <c r="BH68" s="1447"/>
      <c r="BI68" s="1447"/>
      <c r="BJ68" s="1449"/>
      <c r="BK68" s="1447"/>
      <c r="BL68" s="1447"/>
      <c r="BM68" s="1449"/>
      <c r="BN68" s="1447"/>
      <c r="BO68" s="1447"/>
      <c r="BP68" s="1448"/>
    </row>
    <row r="69">
      <c r="A69" s="1422"/>
      <c r="B69" s="1423"/>
      <c r="C69" s="1423"/>
      <c r="D69" s="1422"/>
      <c r="E69" s="1422"/>
      <c r="F69" s="1422"/>
      <c r="G69" s="1424"/>
      <c r="H69" s="1424"/>
      <c r="I69" s="1450"/>
      <c r="J69" s="1452"/>
      <c r="K69" s="1427"/>
      <c r="L69" s="1428"/>
      <c r="M69" s="1428"/>
      <c r="N69" s="1429"/>
      <c r="O69" s="1429"/>
      <c r="P69" s="1430"/>
      <c r="Q69" s="1430"/>
      <c r="R69" s="1431"/>
      <c r="S69" s="1432"/>
      <c r="T69" s="1433"/>
      <c r="U69" s="1422"/>
      <c r="V69" s="1422"/>
      <c r="W69" s="1422"/>
      <c r="X69" s="1422"/>
      <c r="Y69" s="1422"/>
      <c r="Z69" s="1422"/>
      <c r="AA69" s="1422"/>
      <c r="AB69" s="1422"/>
      <c r="AC69" s="1422"/>
      <c r="AD69" s="1422"/>
      <c r="AE69" s="1422"/>
      <c r="AF69" s="1422"/>
      <c r="AG69" s="1422"/>
      <c r="AH69" s="1422"/>
      <c r="AI69" s="1422"/>
      <c r="AJ69" s="1422"/>
      <c r="AK69" s="1434"/>
      <c r="AL69" s="1435"/>
      <c r="AM69" s="1436"/>
      <c r="AN69" s="1437"/>
      <c r="AO69" s="1438"/>
      <c r="AP69" s="1439"/>
      <c r="AQ69" s="1440"/>
      <c r="AR69" s="1441"/>
      <c r="AS69" s="1442"/>
      <c r="AT69" s="1443"/>
      <c r="AU69" s="1444"/>
      <c r="AV69" s="1442"/>
      <c r="AW69" s="1445"/>
      <c r="AX69" s="1446"/>
      <c r="AY69" s="1446"/>
      <c r="AZ69" s="1446"/>
      <c r="BA69" s="1447"/>
      <c r="BB69" s="1447"/>
      <c r="BC69" s="1446"/>
      <c r="BD69" s="1448"/>
      <c r="BE69" s="1442"/>
      <c r="BF69" s="1447"/>
      <c r="BG69" s="1449"/>
      <c r="BH69" s="1447"/>
      <c r="BI69" s="1447"/>
      <c r="BJ69" s="1449"/>
      <c r="BK69" s="1447"/>
      <c r="BL69" s="1447"/>
      <c r="BM69" s="1449"/>
      <c r="BN69" s="1447"/>
      <c r="BO69" s="1447"/>
      <c r="BP69" s="1448"/>
    </row>
    <row r="70">
      <c r="A70" s="1422"/>
      <c r="B70" s="1423"/>
      <c r="C70" s="1423"/>
      <c r="D70" s="1422"/>
      <c r="E70" s="1422"/>
      <c r="F70" s="1422"/>
      <c r="G70" s="1424"/>
      <c r="H70" s="1424"/>
      <c r="I70" s="1450"/>
      <c r="J70" s="1452"/>
      <c r="K70" s="1427"/>
      <c r="L70" s="1428"/>
      <c r="M70" s="1428"/>
      <c r="N70" s="1429"/>
      <c r="O70" s="1429"/>
      <c r="P70" s="1430"/>
      <c r="Q70" s="1430"/>
      <c r="R70" s="1431"/>
      <c r="S70" s="1432"/>
      <c r="T70" s="1433"/>
      <c r="U70" s="1422"/>
      <c r="V70" s="1422"/>
      <c r="W70" s="1422"/>
      <c r="X70" s="1422"/>
      <c r="Y70" s="1422"/>
      <c r="Z70" s="1422"/>
      <c r="AA70" s="1422"/>
      <c r="AB70" s="1422"/>
      <c r="AC70" s="1422"/>
      <c r="AD70" s="1422"/>
      <c r="AE70" s="1422"/>
      <c r="AF70" s="1422"/>
      <c r="AG70" s="1422"/>
      <c r="AH70" s="1422"/>
      <c r="AI70" s="1422"/>
      <c r="AJ70" s="1422"/>
      <c r="AK70" s="1434"/>
      <c r="AL70" s="1435"/>
      <c r="AM70" s="1436"/>
      <c r="AN70" s="1437"/>
      <c r="AO70" s="1438"/>
      <c r="AP70" s="1439"/>
      <c r="AQ70" s="1440"/>
      <c r="AR70" s="1441"/>
      <c r="AS70" s="1442"/>
      <c r="AT70" s="1443"/>
      <c r="AU70" s="1444"/>
      <c r="AV70" s="1442"/>
      <c r="AW70" s="1445"/>
      <c r="AX70" s="1446"/>
      <c r="AY70" s="1446"/>
      <c r="AZ70" s="1446"/>
      <c r="BA70" s="1447"/>
      <c r="BB70" s="1447"/>
      <c r="BC70" s="1446"/>
      <c r="BD70" s="1448"/>
      <c r="BE70" s="1442"/>
      <c r="BF70" s="1447"/>
      <c r="BG70" s="1449"/>
      <c r="BH70" s="1447"/>
      <c r="BI70" s="1447"/>
      <c r="BJ70" s="1449"/>
      <c r="BK70" s="1447"/>
      <c r="BL70" s="1447"/>
      <c r="BM70" s="1449"/>
      <c r="BN70" s="1447"/>
      <c r="BO70" s="1447"/>
      <c r="BP70" s="1448"/>
    </row>
    <row r="71">
      <c r="A71" s="1422"/>
      <c r="B71" s="1423"/>
      <c r="C71" s="1423"/>
      <c r="D71" s="1422"/>
      <c r="E71" s="1422"/>
      <c r="F71" s="1422"/>
      <c r="G71" s="1424"/>
      <c r="H71" s="1424"/>
      <c r="I71" s="1450"/>
      <c r="J71" s="1452"/>
      <c r="K71" s="1427"/>
      <c r="L71" s="1428"/>
      <c r="M71" s="1428"/>
      <c r="N71" s="1429"/>
      <c r="O71" s="1429"/>
      <c r="P71" s="1430"/>
      <c r="Q71" s="1430"/>
      <c r="R71" s="1431"/>
      <c r="S71" s="1432"/>
      <c r="T71" s="1433"/>
      <c r="U71" s="1422"/>
      <c r="V71" s="1422"/>
      <c r="W71" s="1422"/>
      <c r="X71" s="1422"/>
      <c r="Y71" s="1422"/>
      <c r="Z71" s="1422"/>
      <c r="AA71" s="1422"/>
      <c r="AB71" s="1422"/>
      <c r="AC71" s="1422"/>
      <c r="AD71" s="1422"/>
      <c r="AE71" s="1422"/>
      <c r="AF71" s="1422"/>
      <c r="AG71" s="1422"/>
      <c r="AH71" s="1422"/>
      <c r="AI71" s="1422"/>
      <c r="AJ71" s="1422"/>
      <c r="AK71" s="1434"/>
      <c r="AL71" s="1435"/>
      <c r="AM71" s="1436"/>
      <c r="AN71" s="1437"/>
      <c r="AO71" s="1438"/>
      <c r="AP71" s="1439"/>
      <c r="AQ71" s="1440"/>
      <c r="AR71" s="1441"/>
      <c r="AS71" s="1442"/>
      <c r="AT71" s="1443"/>
      <c r="AU71" s="1444"/>
      <c r="AV71" s="1442"/>
      <c r="AW71" s="1445"/>
      <c r="AX71" s="1446"/>
      <c r="AY71" s="1446"/>
      <c r="AZ71" s="1446"/>
      <c r="BA71" s="1447"/>
      <c r="BB71" s="1447"/>
      <c r="BC71" s="1446"/>
      <c r="BD71" s="1448"/>
      <c r="BE71" s="1442"/>
      <c r="BF71" s="1447"/>
      <c r="BG71" s="1449"/>
      <c r="BH71" s="1447"/>
      <c r="BI71" s="1447"/>
      <c r="BJ71" s="1449"/>
      <c r="BK71" s="1447"/>
      <c r="BL71" s="1447"/>
      <c r="BM71" s="1449"/>
      <c r="BN71" s="1447"/>
      <c r="BO71" s="1447"/>
      <c r="BP71" s="1448"/>
    </row>
    <row r="72">
      <c r="A72" s="1422"/>
      <c r="B72" s="1423"/>
      <c r="C72" s="1423"/>
      <c r="D72" s="1422"/>
      <c r="E72" s="1422"/>
      <c r="F72" s="1422"/>
      <c r="G72" s="1424"/>
      <c r="H72" s="1424"/>
      <c r="I72" s="1450"/>
      <c r="J72" s="1452"/>
      <c r="K72" s="1427"/>
      <c r="L72" s="1428"/>
      <c r="M72" s="1428"/>
      <c r="N72" s="1429"/>
      <c r="O72" s="1429"/>
      <c r="P72" s="1430"/>
      <c r="Q72" s="1430"/>
      <c r="R72" s="1431"/>
      <c r="S72" s="1432"/>
      <c r="T72" s="1433"/>
      <c r="U72" s="1422"/>
      <c r="V72" s="1422"/>
      <c r="W72" s="1422"/>
      <c r="X72" s="1422"/>
      <c r="Y72" s="1422"/>
      <c r="Z72" s="1422"/>
      <c r="AA72" s="1422"/>
      <c r="AB72" s="1422"/>
      <c r="AC72" s="1422"/>
      <c r="AD72" s="1422"/>
      <c r="AE72" s="1422"/>
      <c r="AF72" s="1422"/>
      <c r="AG72" s="1422"/>
      <c r="AH72" s="1422"/>
      <c r="AI72" s="1422"/>
      <c r="AJ72" s="1422"/>
      <c r="AK72" s="1434"/>
      <c r="AL72" s="1435"/>
      <c r="AM72" s="1436"/>
      <c r="AN72" s="1437"/>
      <c r="AO72" s="1438"/>
      <c r="AP72" s="1439"/>
      <c r="AQ72" s="1440"/>
      <c r="AR72" s="1441"/>
      <c r="AS72" s="1442"/>
      <c r="AT72" s="1443"/>
      <c r="AU72" s="1444"/>
      <c r="AV72" s="1442"/>
      <c r="AW72" s="1445"/>
      <c r="AX72" s="1446"/>
      <c r="AY72" s="1446"/>
      <c r="AZ72" s="1446"/>
      <c r="BA72" s="1447"/>
      <c r="BB72" s="1447"/>
      <c r="BC72" s="1446"/>
      <c r="BD72" s="1448"/>
      <c r="BE72" s="1442"/>
      <c r="BF72" s="1447"/>
      <c r="BG72" s="1449"/>
      <c r="BH72" s="1447"/>
      <c r="BI72" s="1447"/>
      <c r="BJ72" s="1449"/>
      <c r="BK72" s="1447"/>
      <c r="BL72" s="1447"/>
      <c r="BM72" s="1449"/>
      <c r="BN72" s="1447"/>
      <c r="BO72" s="1447"/>
      <c r="BP72" s="1448"/>
    </row>
    <row r="73">
      <c r="A73" s="1422"/>
      <c r="B73" s="1423"/>
      <c r="C73" s="1423"/>
      <c r="D73" s="1422"/>
      <c r="E73" s="1422"/>
      <c r="F73" s="1422"/>
      <c r="G73" s="1424"/>
      <c r="H73" s="1424"/>
      <c r="I73" s="1450"/>
      <c r="J73" s="1452"/>
      <c r="K73" s="1427"/>
      <c r="L73" s="1428"/>
      <c r="M73" s="1428"/>
      <c r="N73" s="1429"/>
      <c r="O73" s="1429"/>
      <c r="P73" s="1430"/>
      <c r="Q73" s="1430"/>
      <c r="R73" s="1431"/>
      <c r="S73" s="1432"/>
      <c r="T73" s="1433"/>
      <c r="U73" s="1422"/>
      <c r="V73" s="1422"/>
      <c r="W73" s="1422"/>
      <c r="X73" s="1422"/>
      <c r="Y73" s="1422"/>
      <c r="Z73" s="1422"/>
      <c r="AA73" s="1422"/>
      <c r="AB73" s="1422"/>
      <c r="AC73" s="1422"/>
      <c r="AD73" s="1422"/>
      <c r="AE73" s="1422"/>
      <c r="AF73" s="1422"/>
      <c r="AG73" s="1422"/>
      <c r="AH73" s="1422"/>
      <c r="AI73" s="1422"/>
      <c r="AJ73" s="1422"/>
      <c r="AK73" s="1434"/>
      <c r="AL73" s="1435"/>
      <c r="AM73" s="1436"/>
      <c r="AN73" s="1437"/>
      <c r="AO73" s="1438"/>
      <c r="AP73" s="1439"/>
      <c r="AQ73" s="1440"/>
      <c r="AR73" s="1441"/>
      <c r="AS73" s="1442"/>
      <c r="AT73" s="1443"/>
      <c r="AU73" s="1444"/>
      <c r="AV73" s="1442"/>
      <c r="AW73" s="1445"/>
      <c r="AX73" s="1446"/>
      <c r="AY73" s="1446"/>
      <c r="AZ73" s="1446"/>
      <c r="BA73" s="1447"/>
      <c r="BB73" s="1447"/>
      <c r="BC73" s="1446"/>
      <c r="BD73" s="1448"/>
      <c r="BE73" s="1442"/>
      <c r="BF73" s="1447"/>
      <c r="BG73" s="1449"/>
      <c r="BH73" s="1447"/>
      <c r="BI73" s="1447"/>
      <c r="BJ73" s="1449"/>
      <c r="BK73" s="1447"/>
      <c r="BL73" s="1447"/>
      <c r="BM73" s="1449"/>
      <c r="BN73" s="1447"/>
      <c r="BO73" s="1447"/>
      <c r="BP73" s="1448"/>
    </row>
    <row r="74">
      <c r="A74" s="1422"/>
      <c r="B74" s="1423"/>
      <c r="C74" s="1423"/>
      <c r="D74" s="1422"/>
      <c r="E74" s="1422"/>
      <c r="F74" s="1422"/>
      <c r="G74" s="1424"/>
      <c r="H74" s="1424"/>
      <c r="I74" s="1450"/>
      <c r="J74" s="1452"/>
      <c r="K74" s="1427"/>
      <c r="L74" s="1428"/>
      <c r="M74" s="1428"/>
      <c r="N74" s="1429"/>
      <c r="O74" s="1429"/>
      <c r="P74" s="1430"/>
      <c r="Q74" s="1430"/>
      <c r="R74" s="1431"/>
      <c r="S74" s="1432"/>
      <c r="T74" s="1433"/>
      <c r="U74" s="1422"/>
      <c r="V74" s="1422"/>
      <c r="W74" s="1422"/>
      <c r="X74" s="1422"/>
      <c r="Y74" s="1422"/>
      <c r="Z74" s="1422"/>
      <c r="AA74" s="1422"/>
      <c r="AB74" s="1422"/>
      <c r="AC74" s="1422"/>
      <c r="AD74" s="1422"/>
      <c r="AE74" s="1422"/>
      <c r="AF74" s="1422"/>
      <c r="AG74" s="1422"/>
      <c r="AH74" s="1422"/>
      <c r="AI74" s="1422"/>
      <c r="AJ74" s="1422"/>
      <c r="AK74" s="1434"/>
      <c r="AL74" s="1435"/>
      <c r="AM74" s="1436"/>
      <c r="AN74" s="1437"/>
      <c r="AO74" s="1438"/>
      <c r="AP74" s="1439"/>
      <c r="AQ74" s="1440"/>
      <c r="AR74" s="1441"/>
      <c r="AS74" s="1442"/>
      <c r="AT74" s="1443"/>
      <c r="AU74" s="1444"/>
      <c r="AV74" s="1442"/>
      <c r="AW74" s="1445"/>
      <c r="AX74" s="1446"/>
      <c r="AY74" s="1446"/>
      <c r="AZ74" s="1446"/>
      <c r="BA74" s="1447"/>
      <c r="BB74" s="1447"/>
      <c r="BC74" s="1446"/>
      <c r="BD74" s="1448"/>
      <c r="BE74" s="1442"/>
      <c r="BF74" s="1447"/>
      <c r="BG74" s="1449"/>
      <c r="BH74" s="1447"/>
      <c r="BI74" s="1447"/>
      <c r="BJ74" s="1449"/>
      <c r="BK74" s="1447"/>
      <c r="BL74" s="1447"/>
      <c r="BM74" s="1449"/>
      <c r="BN74" s="1447"/>
      <c r="BO74" s="1447"/>
      <c r="BP74" s="1448"/>
    </row>
    <row r="75">
      <c r="A75" s="1422"/>
      <c r="B75" s="1423"/>
      <c r="C75" s="1423"/>
      <c r="D75" s="1422"/>
      <c r="E75" s="1422"/>
      <c r="F75" s="1422"/>
      <c r="G75" s="1424"/>
      <c r="H75" s="1424"/>
      <c r="I75" s="1450"/>
      <c r="J75" s="1452"/>
      <c r="K75" s="1427"/>
      <c r="L75" s="1428"/>
      <c r="M75" s="1428"/>
      <c r="N75" s="1429"/>
      <c r="O75" s="1429"/>
      <c r="P75" s="1430"/>
      <c r="Q75" s="1430"/>
      <c r="R75" s="1431"/>
      <c r="S75" s="1432"/>
      <c r="T75" s="1433"/>
      <c r="U75" s="1422"/>
      <c r="V75" s="1422"/>
      <c r="W75" s="1422"/>
      <c r="X75" s="1422"/>
      <c r="Y75" s="1422"/>
      <c r="Z75" s="1422"/>
      <c r="AA75" s="1422"/>
      <c r="AB75" s="1422"/>
      <c r="AC75" s="1422"/>
      <c r="AD75" s="1422"/>
      <c r="AE75" s="1422"/>
      <c r="AF75" s="1422"/>
      <c r="AG75" s="1422"/>
      <c r="AH75" s="1422"/>
      <c r="AI75" s="1422"/>
      <c r="AJ75" s="1422"/>
      <c r="AK75" s="1434"/>
      <c r="AL75" s="1435"/>
      <c r="AM75" s="1436"/>
      <c r="AN75" s="1437"/>
      <c r="AO75" s="1438"/>
      <c r="AP75" s="1439"/>
      <c r="AQ75" s="1440"/>
      <c r="AR75" s="1441"/>
      <c r="AS75" s="1442"/>
      <c r="AT75" s="1443"/>
      <c r="AU75" s="1444"/>
      <c r="AV75" s="1442"/>
      <c r="AW75" s="1445"/>
      <c r="AX75" s="1446"/>
      <c r="AY75" s="1446"/>
      <c r="AZ75" s="1446"/>
      <c r="BA75" s="1447"/>
      <c r="BB75" s="1447"/>
      <c r="BC75" s="1446"/>
      <c r="BD75" s="1448"/>
      <c r="BE75" s="1442"/>
      <c r="BF75" s="1447"/>
      <c r="BG75" s="1449"/>
      <c r="BH75" s="1447"/>
      <c r="BI75" s="1447"/>
      <c r="BJ75" s="1449"/>
      <c r="BK75" s="1447"/>
      <c r="BL75" s="1447"/>
      <c r="BM75" s="1449"/>
      <c r="BN75" s="1447"/>
      <c r="BO75" s="1447"/>
      <c r="BP75" s="1448"/>
    </row>
    <row r="76">
      <c r="A76" s="1422"/>
      <c r="B76" s="1423"/>
      <c r="C76" s="1423"/>
      <c r="D76" s="1422"/>
      <c r="E76" s="1422"/>
      <c r="F76" s="1422"/>
      <c r="G76" s="1424"/>
      <c r="H76" s="1424"/>
      <c r="I76" s="1450"/>
      <c r="J76" s="1452"/>
      <c r="K76" s="1427"/>
      <c r="L76" s="1428"/>
      <c r="M76" s="1428"/>
      <c r="N76" s="1429"/>
      <c r="O76" s="1429"/>
      <c r="P76" s="1430"/>
      <c r="Q76" s="1430"/>
      <c r="R76" s="1431"/>
      <c r="S76" s="1432"/>
      <c r="T76" s="1433"/>
      <c r="U76" s="1422"/>
      <c r="V76" s="1422"/>
      <c r="W76" s="1422"/>
      <c r="X76" s="1422"/>
      <c r="Y76" s="1422"/>
      <c r="Z76" s="1422"/>
      <c r="AA76" s="1422"/>
      <c r="AB76" s="1422"/>
      <c r="AC76" s="1422"/>
      <c r="AD76" s="1422"/>
      <c r="AE76" s="1422"/>
      <c r="AF76" s="1422"/>
      <c r="AG76" s="1422"/>
      <c r="AH76" s="1422"/>
      <c r="AI76" s="1422"/>
      <c r="AJ76" s="1422"/>
      <c r="AK76" s="1434"/>
      <c r="AL76" s="1435"/>
      <c r="AM76" s="1436"/>
      <c r="AN76" s="1437"/>
      <c r="AO76" s="1438"/>
      <c r="AP76" s="1439"/>
      <c r="AQ76" s="1440"/>
      <c r="AR76" s="1441"/>
      <c r="AS76" s="1442"/>
      <c r="AT76" s="1443"/>
      <c r="AU76" s="1444"/>
      <c r="AV76" s="1442"/>
      <c r="AW76" s="1445"/>
      <c r="AX76" s="1446"/>
      <c r="AY76" s="1446"/>
      <c r="AZ76" s="1446"/>
      <c r="BA76" s="1447"/>
      <c r="BB76" s="1447"/>
      <c r="BC76" s="1446"/>
      <c r="BD76" s="1448"/>
      <c r="BE76" s="1442"/>
      <c r="BF76" s="1447"/>
      <c r="BG76" s="1449"/>
      <c r="BH76" s="1447"/>
      <c r="BI76" s="1447"/>
      <c r="BJ76" s="1449"/>
      <c r="BK76" s="1447"/>
      <c r="BL76" s="1447"/>
      <c r="BM76" s="1449"/>
      <c r="BN76" s="1447"/>
      <c r="BO76" s="1447"/>
      <c r="BP76" s="1448"/>
    </row>
    <row r="77">
      <c r="A77" s="1422"/>
      <c r="B77" s="1423"/>
      <c r="C77" s="1423"/>
      <c r="D77" s="1422"/>
      <c r="E77" s="1422"/>
      <c r="F77" s="1422"/>
      <c r="G77" s="1424"/>
      <c r="H77" s="1424"/>
      <c r="I77" s="1450"/>
      <c r="J77" s="1452"/>
      <c r="K77" s="1427"/>
      <c r="L77" s="1428"/>
      <c r="M77" s="1428"/>
      <c r="N77" s="1429"/>
      <c r="O77" s="1429"/>
      <c r="P77" s="1430"/>
      <c r="Q77" s="1430"/>
      <c r="R77" s="1431"/>
      <c r="S77" s="1432"/>
      <c r="T77" s="1433"/>
      <c r="U77" s="1422"/>
      <c r="V77" s="1422"/>
      <c r="W77" s="1422"/>
      <c r="X77" s="1422"/>
      <c r="Y77" s="1422"/>
      <c r="Z77" s="1422"/>
      <c r="AA77" s="1422"/>
      <c r="AB77" s="1422"/>
      <c r="AC77" s="1422"/>
      <c r="AD77" s="1422"/>
      <c r="AE77" s="1422"/>
      <c r="AF77" s="1422"/>
      <c r="AG77" s="1422"/>
      <c r="AH77" s="1422"/>
      <c r="AI77" s="1422"/>
      <c r="AJ77" s="1422"/>
      <c r="AK77" s="1434"/>
      <c r="AL77" s="1435"/>
      <c r="AM77" s="1436"/>
      <c r="AN77" s="1437"/>
      <c r="AO77" s="1438"/>
      <c r="AP77" s="1439"/>
      <c r="AQ77" s="1440"/>
      <c r="AR77" s="1441"/>
      <c r="AS77" s="1442"/>
      <c r="AT77" s="1443"/>
      <c r="AU77" s="1444"/>
      <c r="AV77" s="1442"/>
      <c r="AW77" s="1445"/>
      <c r="AX77" s="1446"/>
      <c r="AY77" s="1446"/>
      <c r="AZ77" s="1446"/>
      <c r="BA77" s="1447"/>
      <c r="BB77" s="1447"/>
      <c r="BC77" s="1446"/>
      <c r="BD77" s="1448"/>
      <c r="BE77" s="1442"/>
      <c r="BF77" s="1447"/>
      <c r="BG77" s="1449"/>
      <c r="BH77" s="1447"/>
      <c r="BI77" s="1447"/>
      <c r="BJ77" s="1449"/>
      <c r="BK77" s="1447"/>
      <c r="BL77" s="1447"/>
      <c r="BM77" s="1449"/>
      <c r="BN77" s="1447"/>
      <c r="BO77" s="1447"/>
      <c r="BP77" s="1448"/>
    </row>
    <row r="78">
      <c r="A78" s="1422"/>
      <c r="B78" s="1423"/>
      <c r="C78" s="1423"/>
      <c r="D78" s="1422"/>
      <c r="E78" s="1422"/>
      <c r="F78" s="1422"/>
      <c r="G78" s="1424"/>
      <c r="H78" s="1424"/>
      <c r="I78" s="1450"/>
      <c r="J78" s="1452"/>
      <c r="K78" s="1427"/>
      <c r="L78" s="1428"/>
      <c r="M78" s="1428"/>
      <c r="N78" s="1429"/>
      <c r="O78" s="1429"/>
      <c r="P78" s="1430"/>
      <c r="Q78" s="1430"/>
      <c r="R78" s="1431"/>
      <c r="S78" s="1432"/>
      <c r="T78" s="1433"/>
      <c r="U78" s="1422"/>
      <c r="V78" s="1453"/>
      <c r="W78" s="1453"/>
      <c r="X78" s="1453"/>
      <c r="Y78" s="1453"/>
      <c r="Z78" s="1453"/>
      <c r="AA78" s="1453"/>
      <c r="AB78" s="1453"/>
      <c r="AC78" s="1453"/>
      <c r="AD78" s="1453"/>
      <c r="AE78" s="1453"/>
      <c r="AF78" s="1453"/>
      <c r="AG78" s="1453"/>
      <c r="AH78" s="1453"/>
      <c r="AI78" s="1453"/>
      <c r="AJ78" s="1453"/>
      <c r="AK78" s="1434"/>
      <c r="AL78" s="1435"/>
      <c r="AM78" s="1436"/>
      <c r="AN78" s="1437"/>
      <c r="AO78" s="1438"/>
      <c r="AP78" s="1439"/>
      <c r="AQ78" s="1440"/>
      <c r="AR78" s="1441"/>
      <c r="AS78" s="1442"/>
      <c r="AT78" s="1443"/>
      <c r="AU78" s="1444"/>
      <c r="AV78" s="1442"/>
      <c r="AW78" s="1445"/>
      <c r="AX78" s="1446"/>
      <c r="AY78" s="1446"/>
      <c r="AZ78" s="1446"/>
      <c r="BA78" s="1447"/>
      <c r="BB78" s="1447"/>
      <c r="BC78" s="1446"/>
      <c r="BD78" s="1448"/>
      <c r="BE78" s="1442"/>
      <c r="BF78" s="1447"/>
      <c r="BG78" s="1449"/>
      <c r="BH78" s="1447"/>
      <c r="BI78" s="1447"/>
      <c r="BJ78" s="1449"/>
      <c r="BK78" s="1447"/>
      <c r="BL78" s="1447"/>
      <c r="BM78" s="1449"/>
      <c r="BN78" s="1447"/>
      <c r="BO78" s="1447"/>
      <c r="BP78" s="1448"/>
    </row>
    <row r="79">
      <c r="A79" s="1422"/>
      <c r="B79" s="1423"/>
      <c r="C79" s="1423"/>
      <c r="D79" s="1422"/>
      <c r="E79" s="1422"/>
      <c r="F79" s="1422"/>
      <c r="G79" s="1424"/>
      <c r="H79" s="1424"/>
      <c r="I79" s="1450"/>
      <c r="J79" s="1452"/>
      <c r="K79" s="1427"/>
      <c r="L79" s="1428"/>
      <c r="M79" s="1428"/>
      <c r="N79" s="1429"/>
      <c r="O79" s="1429"/>
      <c r="P79" s="1430"/>
      <c r="Q79" s="1430"/>
      <c r="R79" s="1431"/>
      <c r="S79" s="1432"/>
      <c r="T79" s="1433"/>
      <c r="U79" s="1422"/>
      <c r="V79" s="1453"/>
      <c r="W79" s="1453"/>
      <c r="X79" s="1453"/>
      <c r="Y79" s="1453"/>
      <c r="Z79" s="1453"/>
      <c r="AA79" s="1453"/>
      <c r="AB79" s="1453"/>
      <c r="AC79" s="1453"/>
      <c r="AD79" s="1453"/>
      <c r="AE79" s="1453"/>
      <c r="AF79" s="1453"/>
      <c r="AG79" s="1453"/>
      <c r="AH79" s="1453"/>
      <c r="AI79" s="1453"/>
      <c r="AJ79" s="1453"/>
      <c r="AK79" s="1434"/>
      <c r="AL79" s="1435"/>
      <c r="AM79" s="1436"/>
      <c r="AN79" s="1437"/>
      <c r="AO79" s="1438"/>
      <c r="AP79" s="1439"/>
      <c r="AQ79" s="1440"/>
      <c r="AR79" s="1441"/>
      <c r="AS79" s="1442"/>
      <c r="AT79" s="1443"/>
      <c r="AU79" s="1444"/>
      <c r="AV79" s="1442"/>
      <c r="AW79" s="1445"/>
      <c r="AX79" s="1446"/>
      <c r="AY79" s="1446"/>
      <c r="AZ79" s="1446"/>
      <c r="BA79" s="1447"/>
      <c r="BB79" s="1447"/>
      <c r="BC79" s="1446"/>
      <c r="BD79" s="1448"/>
      <c r="BE79" s="1442"/>
      <c r="BF79" s="1447"/>
      <c r="BG79" s="1449"/>
      <c r="BH79" s="1447"/>
      <c r="BI79" s="1447"/>
      <c r="BJ79" s="1449"/>
      <c r="BK79" s="1447"/>
      <c r="BL79" s="1447"/>
      <c r="BM79" s="1449"/>
      <c r="BN79" s="1447"/>
      <c r="BO79" s="1447"/>
      <c r="BP79" s="1448"/>
    </row>
    <row r="80">
      <c r="A80" s="1422"/>
      <c r="B80" s="1423"/>
      <c r="C80" s="1423"/>
      <c r="D80" s="1422"/>
      <c r="E80" s="1422"/>
      <c r="F80" s="1422"/>
      <c r="G80" s="1424"/>
      <c r="H80" s="1424"/>
      <c r="I80" s="1450"/>
      <c r="J80" s="1452"/>
      <c r="K80" s="1427"/>
      <c r="L80" s="1428"/>
      <c r="M80" s="1428"/>
      <c r="N80" s="1429"/>
      <c r="O80" s="1429"/>
      <c r="P80" s="1430"/>
      <c r="Q80" s="1430"/>
      <c r="R80" s="1431"/>
      <c r="S80" s="1432"/>
      <c r="T80" s="1433"/>
      <c r="U80" s="1422"/>
      <c r="V80" s="1453"/>
      <c r="W80" s="1453"/>
      <c r="X80" s="1453"/>
      <c r="Y80" s="1453"/>
      <c r="Z80" s="1453"/>
      <c r="AA80" s="1453"/>
      <c r="AB80" s="1453"/>
      <c r="AC80" s="1453"/>
      <c r="AD80" s="1453"/>
      <c r="AE80" s="1453"/>
      <c r="AF80" s="1453"/>
      <c r="AG80" s="1453"/>
      <c r="AH80" s="1453"/>
      <c r="AI80" s="1453"/>
      <c r="AJ80" s="1453"/>
      <c r="AK80" s="1434"/>
      <c r="AL80" s="1435"/>
      <c r="AM80" s="1436"/>
      <c r="AN80" s="1437"/>
      <c r="AO80" s="1438"/>
      <c r="AP80" s="1439"/>
      <c r="AQ80" s="1440"/>
      <c r="AR80" s="1441"/>
      <c r="AS80" s="1442"/>
      <c r="AT80" s="1443"/>
      <c r="AU80" s="1444"/>
      <c r="AV80" s="1442"/>
      <c r="AW80" s="1445"/>
      <c r="AX80" s="1446"/>
      <c r="AY80" s="1446"/>
      <c r="AZ80" s="1446"/>
      <c r="BA80" s="1447"/>
      <c r="BB80" s="1447"/>
      <c r="BC80" s="1446"/>
      <c r="BD80" s="1448"/>
      <c r="BE80" s="1442"/>
      <c r="BF80" s="1447"/>
      <c r="BG80" s="1449"/>
      <c r="BH80" s="1447"/>
      <c r="BI80" s="1447"/>
      <c r="BJ80" s="1449"/>
      <c r="BK80" s="1447"/>
      <c r="BL80" s="1447"/>
      <c r="BM80" s="1449"/>
      <c r="BN80" s="1447"/>
      <c r="BO80" s="1447"/>
      <c r="BP80" s="1448"/>
    </row>
    <row r="81">
      <c r="A81" s="1422"/>
      <c r="B81" s="1423"/>
      <c r="C81" s="1423"/>
      <c r="D81" s="1422"/>
      <c r="E81" s="1422"/>
      <c r="F81" s="1422"/>
      <c r="G81" s="1424"/>
      <c r="H81" s="1424"/>
      <c r="I81" s="1450"/>
      <c r="J81" s="1452"/>
      <c r="K81" s="1427"/>
      <c r="L81" s="1428"/>
      <c r="M81" s="1428"/>
      <c r="N81" s="1429"/>
      <c r="O81" s="1429"/>
      <c r="P81" s="1430"/>
      <c r="Q81" s="1430"/>
      <c r="R81" s="1431"/>
      <c r="S81" s="1432"/>
      <c r="T81" s="1433"/>
      <c r="U81" s="1422"/>
      <c r="V81" s="1453"/>
      <c r="W81" s="1453"/>
      <c r="X81" s="1453"/>
      <c r="Y81" s="1453"/>
      <c r="Z81" s="1453"/>
      <c r="AA81" s="1453"/>
      <c r="AB81" s="1453"/>
      <c r="AC81" s="1453"/>
      <c r="AD81" s="1453"/>
      <c r="AE81" s="1453"/>
      <c r="AF81" s="1453"/>
      <c r="AG81" s="1453"/>
      <c r="AH81" s="1453"/>
      <c r="AI81" s="1453"/>
      <c r="AJ81" s="1453"/>
      <c r="AK81" s="1434"/>
      <c r="AL81" s="1435"/>
      <c r="AM81" s="1436"/>
      <c r="AN81" s="1437"/>
      <c r="AO81" s="1438"/>
      <c r="AP81" s="1439"/>
      <c r="AQ81" s="1440"/>
      <c r="AR81" s="1441"/>
      <c r="AS81" s="1442"/>
      <c r="AT81" s="1443"/>
      <c r="AU81" s="1444"/>
      <c r="AV81" s="1442"/>
      <c r="AW81" s="1445"/>
      <c r="AX81" s="1446"/>
      <c r="AY81" s="1446"/>
      <c r="AZ81" s="1446"/>
      <c r="BA81" s="1447"/>
      <c r="BB81" s="1447"/>
      <c r="BC81" s="1446"/>
      <c r="BD81" s="1448"/>
      <c r="BE81" s="1442"/>
      <c r="BF81" s="1447"/>
      <c r="BG81" s="1449"/>
      <c r="BH81" s="1447"/>
      <c r="BI81" s="1447"/>
      <c r="BJ81" s="1449"/>
      <c r="BK81" s="1447"/>
      <c r="BL81" s="1447"/>
      <c r="BM81" s="1449"/>
      <c r="BN81" s="1447"/>
      <c r="BO81" s="1447"/>
      <c r="BP81" s="1448"/>
    </row>
    <row r="82">
      <c r="A82" s="1422"/>
      <c r="B82" s="1423"/>
      <c r="C82" s="1423"/>
      <c r="D82" s="1422"/>
      <c r="E82" s="1422"/>
      <c r="F82" s="1422"/>
      <c r="G82" s="1424"/>
      <c r="H82" s="1424"/>
      <c r="I82" s="1450"/>
      <c r="J82" s="1452"/>
      <c r="K82" s="1427"/>
      <c r="L82" s="1428"/>
      <c r="M82" s="1428"/>
      <c r="N82" s="1429"/>
      <c r="O82" s="1429"/>
      <c r="P82" s="1430"/>
      <c r="Q82" s="1430"/>
      <c r="R82" s="1431"/>
      <c r="S82" s="1432"/>
      <c r="T82" s="1433"/>
      <c r="U82" s="1422"/>
      <c r="V82" s="1453"/>
      <c r="W82" s="1453"/>
      <c r="X82" s="1453"/>
      <c r="Y82" s="1422"/>
      <c r="Z82" s="1453"/>
      <c r="AA82" s="1453"/>
      <c r="AB82" s="1453"/>
      <c r="AC82" s="1453"/>
      <c r="AD82" s="1453"/>
      <c r="AE82" s="1453"/>
      <c r="AF82" s="1453"/>
      <c r="AG82" s="1453"/>
      <c r="AH82" s="1453"/>
      <c r="AI82" s="1453"/>
      <c r="AJ82" s="1453"/>
      <c r="AK82" s="1434"/>
      <c r="AL82" s="1435"/>
      <c r="AM82" s="1436"/>
      <c r="AN82" s="1437"/>
      <c r="AO82" s="1438"/>
      <c r="AP82" s="1439"/>
      <c r="AQ82" s="1440"/>
      <c r="AR82" s="1441"/>
      <c r="AS82" s="1442"/>
      <c r="AT82" s="1443"/>
      <c r="AU82" s="1444"/>
      <c r="AV82" s="1442"/>
      <c r="AW82" s="1445"/>
      <c r="AX82" s="1446"/>
      <c r="AY82" s="1446"/>
      <c r="AZ82" s="1446"/>
      <c r="BA82" s="1447"/>
      <c r="BB82" s="1447"/>
      <c r="BC82" s="1446"/>
      <c r="BD82" s="1448"/>
      <c r="BE82" s="1442"/>
      <c r="BF82" s="1447"/>
      <c r="BG82" s="1449"/>
      <c r="BH82" s="1447"/>
      <c r="BI82" s="1447"/>
      <c r="BJ82" s="1449"/>
      <c r="BK82" s="1447"/>
      <c r="BL82" s="1447"/>
      <c r="BM82" s="1449"/>
      <c r="BN82" s="1447"/>
      <c r="BO82" s="1447"/>
      <c r="BP82" s="1448"/>
    </row>
    <row r="83">
      <c r="A83" s="1422"/>
      <c r="B83" s="1423"/>
      <c r="C83" s="1423"/>
      <c r="D83" s="1422"/>
      <c r="E83" s="1422"/>
      <c r="F83" s="1422"/>
      <c r="G83" s="1424"/>
      <c r="H83" s="1424"/>
      <c r="I83" s="1450"/>
      <c r="J83" s="1452"/>
      <c r="K83" s="1427"/>
      <c r="L83" s="1428"/>
      <c r="M83" s="1428"/>
      <c r="N83" s="1429"/>
      <c r="O83" s="1429"/>
      <c r="P83" s="1430"/>
      <c r="Q83" s="1430"/>
      <c r="R83" s="1431"/>
      <c r="S83" s="1432"/>
      <c r="T83" s="1433"/>
      <c r="U83" s="1422"/>
      <c r="V83" s="1453"/>
      <c r="W83" s="1453"/>
      <c r="X83" s="1453"/>
      <c r="Y83" s="1453"/>
      <c r="Z83" s="1453"/>
      <c r="AA83" s="1453"/>
      <c r="AB83" s="1453"/>
      <c r="AC83" s="1453"/>
      <c r="AD83" s="1453"/>
      <c r="AE83" s="1453"/>
      <c r="AF83" s="1453"/>
      <c r="AG83" s="1453"/>
      <c r="AH83" s="1453"/>
      <c r="AI83" s="1453"/>
      <c r="AJ83" s="1453"/>
      <c r="AK83" s="1434"/>
      <c r="AL83" s="1435"/>
      <c r="AM83" s="1436"/>
      <c r="AN83" s="1437"/>
      <c r="AO83" s="1438"/>
      <c r="AP83" s="1439"/>
      <c r="AQ83" s="1440"/>
      <c r="AR83" s="1441"/>
      <c r="AS83" s="1442"/>
      <c r="AT83" s="1443"/>
      <c r="AU83" s="1444"/>
      <c r="AV83" s="1442"/>
      <c r="AW83" s="1445"/>
      <c r="AX83" s="1446"/>
      <c r="AY83" s="1446"/>
      <c r="AZ83" s="1446"/>
      <c r="BA83" s="1447"/>
      <c r="BB83" s="1447"/>
      <c r="BC83" s="1446"/>
      <c r="BD83" s="1448"/>
      <c r="BE83" s="1442"/>
      <c r="BF83" s="1447"/>
      <c r="BG83" s="1449"/>
      <c r="BH83" s="1447"/>
      <c r="BI83" s="1447"/>
      <c r="BJ83" s="1449"/>
      <c r="BK83" s="1447"/>
      <c r="BL83" s="1447"/>
      <c r="BM83" s="1449"/>
      <c r="BN83" s="1447"/>
      <c r="BO83" s="1447"/>
      <c r="BP83" s="1448"/>
    </row>
    <row r="84">
      <c r="A84" s="1422"/>
      <c r="B84" s="1423"/>
      <c r="C84" s="1423"/>
      <c r="D84" s="1422"/>
      <c r="E84" s="1422"/>
      <c r="F84" s="1422"/>
      <c r="G84" s="1424"/>
      <c r="H84" s="1424"/>
      <c r="I84" s="1450"/>
      <c r="J84" s="1452"/>
      <c r="K84" s="1427"/>
      <c r="L84" s="1428"/>
      <c r="M84" s="1428"/>
      <c r="N84" s="1429"/>
      <c r="O84" s="1429"/>
      <c r="P84" s="1430"/>
      <c r="Q84" s="1430"/>
      <c r="R84" s="1431"/>
      <c r="S84" s="1432"/>
      <c r="T84" s="1433"/>
      <c r="U84" s="1422"/>
      <c r="V84" s="1453"/>
      <c r="W84" s="1453"/>
      <c r="X84" s="1453"/>
      <c r="Y84" s="1453"/>
      <c r="Z84" s="1453"/>
      <c r="AA84" s="1453"/>
      <c r="AB84" s="1453"/>
      <c r="AC84" s="1453"/>
      <c r="AD84" s="1453"/>
      <c r="AE84" s="1453"/>
      <c r="AF84" s="1453"/>
      <c r="AG84" s="1453"/>
      <c r="AH84" s="1453"/>
      <c r="AI84" s="1453"/>
      <c r="AJ84" s="1453"/>
      <c r="AK84" s="1434"/>
      <c r="AL84" s="1435"/>
      <c r="AM84" s="1436"/>
      <c r="AN84" s="1437"/>
      <c r="AO84" s="1438"/>
      <c r="AP84" s="1439"/>
      <c r="AQ84" s="1440"/>
      <c r="AR84" s="1441"/>
      <c r="AS84" s="1442"/>
      <c r="AT84" s="1443"/>
      <c r="AU84" s="1444"/>
      <c r="AV84" s="1442"/>
      <c r="AW84" s="1445"/>
      <c r="AX84" s="1446"/>
      <c r="AY84" s="1446"/>
      <c r="AZ84" s="1446"/>
      <c r="BA84" s="1447"/>
      <c r="BB84" s="1447"/>
      <c r="BC84" s="1446"/>
      <c r="BD84" s="1448"/>
      <c r="BE84" s="1442"/>
      <c r="BF84" s="1447"/>
      <c r="BG84" s="1449"/>
      <c r="BH84" s="1447"/>
      <c r="BI84" s="1447"/>
      <c r="BJ84" s="1449"/>
      <c r="BK84" s="1447"/>
      <c r="BL84" s="1447"/>
      <c r="BM84" s="1449"/>
      <c r="BN84" s="1447"/>
      <c r="BO84" s="1447"/>
      <c r="BP84" s="1448"/>
    </row>
    <row r="85">
      <c r="A85" s="1422"/>
      <c r="B85" s="1423"/>
      <c r="C85" s="1423"/>
      <c r="D85" s="1422"/>
      <c r="E85" s="1422"/>
      <c r="F85" s="1422"/>
      <c r="G85" s="1424"/>
      <c r="H85" s="1424"/>
      <c r="I85" s="1450"/>
      <c r="J85" s="1452"/>
      <c r="K85" s="1427"/>
      <c r="L85" s="1428"/>
      <c r="M85" s="1428"/>
      <c r="N85" s="1429"/>
      <c r="O85" s="1429"/>
      <c r="P85" s="1430"/>
      <c r="Q85" s="1430"/>
      <c r="R85" s="1431"/>
      <c r="S85" s="1432"/>
      <c r="T85" s="1433"/>
      <c r="U85" s="1422"/>
      <c r="V85" s="1453"/>
      <c r="W85" s="1453"/>
      <c r="X85" s="1453"/>
      <c r="Y85" s="1453"/>
      <c r="Z85" s="1453"/>
      <c r="AA85" s="1453"/>
      <c r="AB85" s="1453"/>
      <c r="AC85" s="1453"/>
      <c r="AD85" s="1453"/>
      <c r="AE85" s="1453"/>
      <c r="AF85" s="1453"/>
      <c r="AG85" s="1453"/>
      <c r="AH85" s="1453"/>
      <c r="AI85" s="1453"/>
      <c r="AJ85" s="1453"/>
      <c r="AK85" s="1434"/>
      <c r="AL85" s="1435"/>
      <c r="AM85" s="1436"/>
      <c r="AN85" s="1437"/>
      <c r="AO85" s="1438"/>
      <c r="AP85" s="1439"/>
      <c r="AQ85" s="1440"/>
      <c r="AR85" s="1441"/>
      <c r="AS85" s="1442"/>
      <c r="AT85" s="1443"/>
      <c r="AU85" s="1444"/>
      <c r="AV85" s="1442"/>
      <c r="AW85" s="1445"/>
      <c r="AX85" s="1446"/>
      <c r="AY85" s="1446"/>
      <c r="AZ85" s="1446"/>
      <c r="BA85" s="1447"/>
      <c r="BB85" s="1447"/>
      <c r="BC85" s="1446"/>
      <c r="BD85" s="1448"/>
      <c r="BE85" s="1442"/>
      <c r="BF85" s="1447"/>
      <c r="BG85" s="1449"/>
      <c r="BH85" s="1447"/>
      <c r="BI85" s="1447"/>
      <c r="BJ85" s="1449"/>
      <c r="BK85" s="1447"/>
      <c r="BL85" s="1447"/>
      <c r="BM85" s="1449"/>
      <c r="BN85" s="1447"/>
      <c r="BO85" s="1447"/>
      <c r="BP85" s="1448"/>
    </row>
    <row r="86">
      <c r="A86" s="1422"/>
      <c r="B86" s="1423"/>
      <c r="C86" s="1423"/>
      <c r="D86" s="1422"/>
      <c r="E86" s="1422"/>
      <c r="F86" s="1422"/>
      <c r="G86" s="1424"/>
      <c r="H86" s="1424"/>
      <c r="I86" s="1450"/>
      <c r="J86" s="1452"/>
      <c r="K86" s="1427"/>
      <c r="L86" s="1428"/>
      <c r="M86" s="1428"/>
      <c r="N86" s="1429"/>
      <c r="O86" s="1429"/>
      <c r="P86" s="1430"/>
      <c r="Q86" s="1430"/>
      <c r="R86" s="1431"/>
      <c r="S86" s="1432"/>
      <c r="T86" s="1433"/>
      <c r="U86" s="1422"/>
      <c r="V86" s="1453"/>
      <c r="W86" s="1422"/>
      <c r="X86" s="1453"/>
      <c r="Y86" s="1453"/>
      <c r="Z86" s="1453"/>
      <c r="AA86" s="1453"/>
      <c r="AB86" s="1453"/>
      <c r="AC86" s="1453"/>
      <c r="AD86" s="1453"/>
      <c r="AE86" s="1453"/>
      <c r="AF86" s="1453"/>
      <c r="AG86" s="1453"/>
      <c r="AH86" s="1453"/>
      <c r="AI86" s="1453"/>
      <c r="AJ86" s="1453"/>
      <c r="AK86" s="1434"/>
      <c r="AL86" s="1435"/>
      <c r="AM86" s="1436"/>
      <c r="AN86" s="1437"/>
      <c r="AO86" s="1438"/>
      <c r="AP86" s="1439"/>
      <c r="AQ86" s="1440"/>
      <c r="AR86" s="1441"/>
      <c r="AS86" s="1442"/>
      <c r="AT86" s="1443"/>
      <c r="AU86" s="1444"/>
      <c r="AV86" s="1442"/>
      <c r="AW86" s="1445"/>
      <c r="AX86" s="1446"/>
      <c r="AY86" s="1446"/>
      <c r="AZ86" s="1446"/>
      <c r="BA86" s="1447"/>
      <c r="BB86" s="1447"/>
      <c r="BC86" s="1446"/>
      <c r="BD86" s="1448"/>
      <c r="BE86" s="1442"/>
      <c r="BF86" s="1447"/>
      <c r="BG86" s="1449"/>
      <c r="BH86" s="1447"/>
      <c r="BI86" s="1447"/>
      <c r="BJ86" s="1449"/>
      <c r="BK86" s="1447"/>
      <c r="BL86" s="1447"/>
      <c r="BM86" s="1449"/>
      <c r="BN86" s="1447"/>
      <c r="BO86" s="1447"/>
      <c r="BP86" s="1448"/>
    </row>
    <row r="87">
      <c r="A87" s="1422"/>
      <c r="B87" s="1423"/>
      <c r="C87" s="1423"/>
      <c r="D87" s="1422"/>
      <c r="E87" s="1422"/>
      <c r="F87" s="1422"/>
      <c r="G87" s="1424"/>
      <c r="H87" s="1424"/>
      <c r="I87" s="1450"/>
      <c r="J87" s="1452"/>
      <c r="K87" s="1427"/>
      <c r="L87" s="1428"/>
      <c r="M87" s="1428"/>
      <c r="N87" s="1429"/>
      <c r="O87" s="1429"/>
      <c r="P87" s="1430"/>
      <c r="Q87" s="1430"/>
      <c r="R87" s="1431"/>
      <c r="S87" s="1432"/>
      <c r="T87" s="1433"/>
      <c r="U87" s="1422"/>
      <c r="V87" s="1453"/>
      <c r="W87" s="1453"/>
      <c r="X87" s="1453"/>
      <c r="Y87" s="1453"/>
      <c r="Z87" s="1453"/>
      <c r="AA87" s="1453"/>
      <c r="AB87" s="1453"/>
      <c r="AC87" s="1453"/>
      <c r="AD87" s="1453"/>
      <c r="AE87" s="1453"/>
      <c r="AF87" s="1453"/>
      <c r="AG87" s="1453"/>
      <c r="AH87" s="1453"/>
      <c r="AI87" s="1453"/>
      <c r="AJ87" s="1453"/>
      <c r="AK87" s="1434"/>
      <c r="AL87" s="1435"/>
      <c r="AM87" s="1436"/>
      <c r="AN87" s="1437"/>
      <c r="AO87" s="1438"/>
      <c r="AP87" s="1439"/>
      <c r="AQ87" s="1440"/>
      <c r="AR87" s="1441"/>
      <c r="AS87" s="1442"/>
      <c r="AT87" s="1443"/>
      <c r="AU87" s="1444"/>
      <c r="AV87" s="1442"/>
      <c r="AW87" s="1445"/>
      <c r="AX87" s="1446"/>
      <c r="AY87" s="1446"/>
      <c r="AZ87" s="1446"/>
      <c r="BA87" s="1447"/>
      <c r="BB87" s="1447"/>
      <c r="BC87" s="1446"/>
      <c r="BD87" s="1448"/>
      <c r="BE87" s="1442"/>
      <c r="BF87" s="1447"/>
      <c r="BG87" s="1449"/>
      <c r="BH87" s="1447"/>
      <c r="BI87" s="1447"/>
      <c r="BJ87" s="1449"/>
      <c r="BK87" s="1447"/>
      <c r="BL87" s="1447"/>
      <c r="BM87" s="1449"/>
      <c r="BN87" s="1447"/>
      <c r="BO87" s="1447"/>
      <c r="BP87" s="1448"/>
    </row>
    <row r="88">
      <c r="A88" s="1422"/>
      <c r="B88" s="1423"/>
      <c r="C88" s="1423"/>
      <c r="D88" s="1422"/>
      <c r="E88" s="1422"/>
      <c r="F88" s="1422"/>
      <c r="G88" s="1424"/>
      <c r="H88" s="1424"/>
      <c r="I88" s="1450"/>
      <c r="J88" s="1452"/>
      <c r="K88" s="1427"/>
      <c r="L88" s="1428"/>
      <c r="M88" s="1428"/>
      <c r="N88" s="1429"/>
      <c r="O88" s="1429"/>
      <c r="P88" s="1430"/>
      <c r="Q88" s="1430"/>
      <c r="R88" s="1431"/>
      <c r="S88" s="1432"/>
      <c r="T88" s="1433"/>
      <c r="U88" s="1422"/>
      <c r="V88" s="1453"/>
      <c r="W88" s="1422"/>
      <c r="X88" s="1453"/>
      <c r="Y88" s="1453"/>
      <c r="Z88" s="1453"/>
      <c r="AA88" s="1453"/>
      <c r="AB88" s="1453"/>
      <c r="AC88" s="1453"/>
      <c r="AD88" s="1453"/>
      <c r="AE88" s="1453"/>
      <c r="AF88" s="1453"/>
      <c r="AG88" s="1453"/>
      <c r="AH88" s="1453"/>
      <c r="AI88" s="1453"/>
      <c r="AJ88" s="1453"/>
      <c r="AK88" s="1434"/>
      <c r="AL88" s="1435"/>
      <c r="AM88" s="1436"/>
      <c r="AN88" s="1437"/>
      <c r="AO88" s="1438"/>
      <c r="AP88" s="1439"/>
      <c r="AQ88" s="1440"/>
      <c r="AR88" s="1441"/>
      <c r="AS88" s="1442"/>
      <c r="AT88" s="1443"/>
      <c r="AU88" s="1444"/>
      <c r="AV88" s="1442"/>
      <c r="AW88" s="1445"/>
      <c r="AX88" s="1446"/>
      <c r="AY88" s="1446"/>
      <c r="AZ88" s="1446"/>
      <c r="BA88" s="1447"/>
      <c r="BB88" s="1447"/>
      <c r="BC88" s="1446"/>
      <c r="BD88" s="1448"/>
      <c r="BE88" s="1442"/>
      <c r="BF88" s="1447"/>
      <c r="BG88" s="1449"/>
      <c r="BH88" s="1447"/>
      <c r="BI88" s="1447"/>
      <c r="BJ88" s="1449"/>
      <c r="BK88" s="1447"/>
      <c r="BL88" s="1447"/>
      <c r="BM88" s="1449"/>
      <c r="BN88" s="1447"/>
      <c r="BO88" s="1447"/>
      <c r="BP88" s="1448"/>
    </row>
    <row r="89">
      <c r="A89" s="1422"/>
      <c r="B89" s="1423"/>
      <c r="C89" s="1423"/>
      <c r="D89" s="1422"/>
      <c r="E89" s="1422"/>
      <c r="F89" s="1422"/>
      <c r="G89" s="1424"/>
      <c r="H89" s="1424"/>
      <c r="I89" s="1450"/>
      <c r="J89" s="1452"/>
      <c r="K89" s="1427"/>
      <c r="L89" s="1428"/>
      <c r="M89" s="1428"/>
      <c r="N89" s="1429"/>
      <c r="O89" s="1429"/>
      <c r="P89" s="1430"/>
      <c r="Q89" s="1430"/>
      <c r="R89" s="1431"/>
      <c r="S89" s="1432"/>
      <c r="T89" s="1433"/>
      <c r="U89" s="1422"/>
      <c r="V89" s="1453"/>
      <c r="W89" s="1453"/>
      <c r="X89" s="1453"/>
      <c r="Y89" s="1453"/>
      <c r="Z89" s="1453"/>
      <c r="AA89" s="1453"/>
      <c r="AB89" s="1453"/>
      <c r="AC89" s="1453"/>
      <c r="AD89" s="1453"/>
      <c r="AE89" s="1453"/>
      <c r="AF89" s="1453"/>
      <c r="AG89" s="1453"/>
      <c r="AH89" s="1453"/>
      <c r="AI89" s="1453"/>
      <c r="AJ89" s="1453"/>
      <c r="AK89" s="1434"/>
      <c r="AL89" s="1435"/>
      <c r="AM89" s="1436"/>
      <c r="AN89" s="1437"/>
      <c r="AO89" s="1438"/>
      <c r="AP89" s="1439"/>
      <c r="AQ89" s="1440"/>
      <c r="AR89" s="1441"/>
      <c r="AS89" s="1442"/>
      <c r="AT89" s="1443"/>
      <c r="AU89" s="1444"/>
      <c r="AV89" s="1442"/>
      <c r="AW89" s="1445"/>
      <c r="AX89" s="1446"/>
      <c r="AY89" s="1446"/>
      <c r="AZ89" s="1446"/>
      <c r="BA89" s="1447"/>
      <c r="BB89" s="1447"/>
      <c r="BC89" s="1446"/>
      <c r="BD89" s="1448"/>
      <c r="BE89" s="1442"/>
      <c r="BF89" s="1447"/>
      <c r="BG89" s="1449"/>
      <c r="BH89" s="1447"/>
      <c r="BI89" s="1447"/>
      <c r="BJ89" s="1449"/>
      <c r="BK89" s="1447"/>
      <c r="BL89" s="1447"/>
      <c r="BM89" s="1449"/>
      <c r="BN89" s="1447"/>
      <c r="BO89" s="1447"/>
      <c r="BP89" s="1448"/>
    </row>
    <row r="90">
      <c r="A90" s="1422"/>
      <c r="B90" s="1423"/>
      <c r="C90" s="1423"/>
      <c r="D90" s="1422"/>
      <c r="E90" s="1422"/>
      <c r="F90" s="1422"/>
      <c r="G90" s="1424"/>
      <c r="H90" s="1424"/>
      <c r="I90" s="1450"/>
      <c r="J90" s="1452"/>
      <c r="K90" s="1427"/>
      <c r="L90" s="1428"/>
      <c r="M90" s="1428"/>
      <c r="N90" s="1429"/>
      <c r="O90" s="1429"/>
      <c r="P90" s="1430"/>
      <c r="Q90" s="1430"/>
      <c r="R90" s="1431"/>
      <c r="S90" s="1432"/>
      <c r="T90" s="1433"/>
      <c r="U90" s="1422"/>
      <c r="V90" s="1453"/>
      <c r="W90" s="1453"/>
      <c r="X90" s="1453"/>
      <c r="Y90" s="1453"/>
      <c r="Z90" s="1453"/>
      <c r="AA90" s="1453"/>
      <c r="AB90" s="1453"/>
      <c r="AC90" s="1453"/>
      <c r="AD90" s="1453"/>
      <c r="AE90" s="1453"/>
      <c r="AF90" s="1453"/>
      <c r="AG90" s="1453"/>
      <c r="AH90" s="1453"/>
      <c r="AI90" s="1453"/>
      <c r="AJ90" s="1453"/>
      <c r="AK90" s="1434"/>
      <c r="AL90" s="1435"/>
      <c r="AM90" s="1436"/>
      <c r="AN90" s="1437"/>
      <c r="AO90" s="1438"/>
      <c r="AP90" s="1439"/>
      <c r="AQ90" s="1440"/>
      <c r="AR90" s="1441"/>
      <c r="AS90" s="1442"/>
      <c r="AT90" s="1443"/>
      <c r="AU90" s="1444"/>
      <c r="AV90" s="1442"/>
      <c r="AW90" s="1445"/>
      <c r="AX90" s="1446"/>
      <c r="AY90" s="1446"/>
      <c r="AZ90" s="1446"/>
      <c r="BA90" s="1447"/>
      <c r="BB90" s="1447"/>
      <c r="BC90" s="1446"/>
      <c r="BD90" s="1448"/>
      <c r="BE90" s="1442"/>
      <c r="BF90" s="1447"/>
      <c r="BG90" s="1449"/>
      <c r="BH90" s="1447"/>
      <c r="BI90" s="1447"/>
      <c r="BJ90" s="1449"/>
      <c r="BK90" s="1447"/>
      <c r="BL90" s="1447"/>
      <c r="BM90" s="1449"/>
      <c r="BN90" s="1447"/>
      <c r="BO90" s="1447"/>
      <c r="BP90" s="1448"/>
    </row>
    <row r="91">
      <c r="A91" s="1422"/>
      <c r="B91" s="1423"/>
      <c r="C91" s="1423"/>
      <c r="D91" s="1422"/>
      <c r="E91" s="1422"/>
      <c r="F91" s="1422"/>
      <c r="G91" s="1424"/>
      <c r="H91" s="1424"/>
      <c r="I91" s="1450"/>
      <c r="J91" s="1452"/>
      <c r="K91" s="1427"/>
      <c r="L91" s="1428"/>
      <c r="M91" s="1428"/>
      <c r="N91" s="1429"/>
      <c r="O91" s="1429"/>
      <c r="P91" s="1430"/>
      <c r="Q91" s="1430"/>
      <c r="R91" s="1431"/>
      <c r="S91" s="1432"/>
      <c r="T91" s="1433"/>
      <c r="U91" s="1422"/>
      <c r="V91" s="1453"/>
      <c r="W91" s="1453"/>
      <c r="X91" s="1453"/>
      <c r="Y91" s="1453"/>
      <c r="Z91" s="1453"/>
      <c r="AA91" s="1453"/>
      <c r="AB91" s="1453"/>
      <c r="AC91" s="1453"/>
      <c r="AD91" s="1453"/>
      <c r="AE91" s="1453"/>
      <c r="AF91" s="1453"/>
      <c r="AG91" s="1453"/>
      <c r="AH91" s="1453"/>
      <c r="AI91" s="1453"/>
      <c r="AJ91" s="1453"/>
      <c r="AK91" s="1434"/>
      <c r="AL91" s="1435"/>
      <c r="AM91" s="1436"/>
      <c r="AN91" s="1437"/>
      <c r="AO91" s="1438"/>
      <c r="AP91" s="1439"/>
      <c r="AQ91" s="1440"/>
      <c r="AR91" s="1441"/>
      <c r="AS91" s="1442"/>
      <c r="AT91" s="1443"/>
      <c r="AU91" s="1444"/>
      <c r="AV91" s="1442"/>
      <c r="AW91" s="1445"/>
      <c r="AX91" s="1446"/>
      <c r="AY91" s="1446"/>
      <c r="AZ91" s="1446"/>
      <c r="BA91" s="1447"/>
      <c r="BB91" s="1447"/>
      <c r="BC91" s="1446"/>
      <c r="BD91" s="1448"/>
      <c r="BE91" s="1442"/>
      <c r="BF91" s="1447"/>
      <c r="BG91" s="1449"/>
      <c r="BH91" s="1447"/>
      <c r="BI91" s="1447"/>
      <c r="BJ91" s="1449"/>
      <c r="BK91" s="1447"/>
      <c r="BL91" s="1447"/>
      <c r="BM91" s="1449"/>
      <c r="BN91" s="1447"/>
      <c r="BO91" s="1447"/>
      <c r="BP91" s="1448"/>
    </row>
    <row r="92">
      <c r="A92" s="1422"/>
      <c r="B92" s="1423"/>
      <c r="C92" s="1423"/>
      <c r="D92" s="1422"/>
      <c r="E92" s="1422"/>
      <c r="F92" s="1422"/>
      <c r="G92" s="1424"/>
      <c r="H92" s="1424"/>
      <c r="I92" s="1450"/>
      <c r="J92" s="1452"/>
      <c r="K92" s="1427"/>
      <c r="L92" s="1428"/>
      <c r="M92" s="1428"/>
      <c r="N92" s="1429"/>
      <c r="O92" s="1429"/>
      <c r="P92" s="1430"/>
      <c r="Q92" s="1430"/>
      <c r="R92" s="1431"/>
      <c r="S92" s="1432"/>
      <c r="T92" s="1433"/>
      <c r="U92" s="1422"/>
      <c r="V92" s="1453"/>
      <c r="W92" s="1453"/>
      <c r="X92" s="1453"/>
      <c r="Y92" s="1453"/>
      <c r="Z92" s="1453"/>
      <c r="AA92" s="1422"/>
      <c r="AB92" s="1453"/>
      <c r="AC92" s="1422"/>
      <c r="AD92" s="1453"/>
      <c r="AE92" s="1453"/>
      <c r="AF92" s="1453"/>
      <c r="AG92" s="1453"/>
      <c r="AH92" s="1453"/>
      <c r="AI92" s="1422"/>
      <c r="AJ92" s="1453"/>
      <c r="AK92" s="1434"/>
      <c r="AL92" s="1435"/>
      <c r="AM92" s="1436"/>
      <c r="AN92" s="1437"/>
      <c r="AO92" s="1438"/>
      <c r="AP92" s="1439"/>
      <c r="AQ92" s="1440"/>
      <c r="AR92" s="1441"/>
      <c r="AS92" s="1442"/>
      <c r="AT92" s="1443"/>
      <c r="AU92" s="1444"/>
      <c r="AV92" s="1442"/>
      <c r="AW92" s="1445"/>
      <c r="AX92" s="1446"/>
      <c r="AY92" s="1446"/>
      <c r="AZ92" s="1446"/>
      <c r="BA92" s="1447"/>
      <c r="BB92" s="1447"/>
      <c r="BC92" s="1446"/>
      <c r="BD92" s="1448"/>
      <c r="BE92" s="1442"/>
      <c r="BF92" s="1447"/>
      <c r="BG92" s="1449"/>
      <c r="BH92" s="1447"/>
      <c r="BI92" s="1447"/>
      <c r="BJ92" s="1449"/>
      <c r="BK92" s="1447"/>
      <c r="BL92" s="1447"/>
      <c r="BM92" s="1449"/>
      <c r="BN92" s="1447"/>
      <c r="BO92" s="1447"/>
      <c r="BP92" s="1448"/>
    </row>
    <row r="93">
      <c r="A93" s="1422"/>
      <c r="B93" s="1423"/>
      <c r="C93" s="1423"/>
      <c r="D93" s="1422"/>
      <c r="E93" s="1422"/>
      <c r="F93" s="1422"/>
      <c r="G93" s="1424"/>
      <c r="H93" s="1424"/>
      <c r="I93" s="1450"/>
      <c r="J93" s="1452"/>
      <c r="K93" s="1427"/>
      <c r="L93" s="1428"/>
      <c r="M93" s="1428"/>
      <c r="N93" s="1429"/>
      <c r="O93" s="1429"/>
      <c r="P93" s="1430"/>
      <c r="Q93" s="1430"/>
      <c r="R93" s="1431"/>
      <c r="S93" s="1432"/>
      <c r="T93" s="1433"/>
      <c r="U93" s="1422"/>
      <c r="V93" s="1453"/>
      <c r="W93" s="1453"/>
      <c r="X93" s="1453"/>
      <c r="Y93" s="1453"/>
      <c r="Z93" s="1453"/>
      <c r="AA93" s="1453"/>
      <c r="AB93" s="1453"/>
      <c r="AC93" s="1453"/>
      <c r="AD93" s="1453"/>
      <c r="AE93" s="1453"/>
      <c r="AF93" s="1453"/>
      <c r="AG93" s="1453"/>
      <c r="AH93" s="1453"/>
      <c r="AI93" s="1453"/>
      <c r="AJ93" s="1453"/>
      <c r="AK93" s="1434"/>
      <c r="AL93" s="1435"/>
      <c r="AM93" s="1436"/>
      <c r="AN93" s="1437"/>
      <c r="AO93" s="1438"/>
      <c r="AP93" s="1439"/>
      <c r="AQ93" s="1440"/>
      <c r="AR93" s="1441"/>
      <c r="AS93" s="1442"/>
      <c r="AT93" s="1443"/>
      <c r="AU93" s="1444"/>
      <c r="AV93" s="1442"/>
      <c r="AW93" s="1445"/>
      <c r="AX93" s="1446"/>
      <c r="AY93" s="1446"/>
      <c r="AZ93" s="1446"/>
      <c r="BA93" s="1447"/>
      <c r="BB93" s="1447"/>
      <c r="BC93" s="1446"/>
      <c r="BD93" s="1448"/>
      <c r="BE93" s="1442"/>
      <c r="BF93" s="1447"/>
      <c r="BG93" s="1449"/>
      <c r="BH93" s="1447"/>
      <c r="BI93" s="1447"/>
      <c r="BJ93" s="1449"/>
      <c r="BK93" s="1447"/>
      <c r="BL93" s="1447"/>
      <c r="BM93" s="1449"/>
      <c r="BN93" s="1447"/>
      <c r="BO93" s="1447"/>
      <c r="BP93" s="1448"/>
    </row>
    <row r="94">
      <c r="A94" s="1422"/>
      <c r="B94" s="1423"/>
      <c r="C94" s="1423"/>
      <c r="D94" s="1422"/>
      <c r="E94" s="1422"/>
      <c r="F94" s="1422"/>
      <c r="G94" s="1424"/>
      <c r="H94" s="1424"/>
      <c r="I94" s="1450"/>
      <c r="J94" s="1452"/>
      <c r="K94" s="1427"/>
      <c r="L94" s="1428"/>
      <c r="M94" s="1428"/>
      <c r="N94" s="1429"/>
      <c r="O94" s="1429"/>
      <c r="P94" s="1430"/>
      <c r="Q94" s="1430"/>
      <c r="R94" s="1431"/>
      <c r="S94" s="1432"/>
      <c r="T94" s="1433"/>
      <c r="U94" s="1422"/>
      <c r="V94" s="1453"/>
      <c r="W94" s="1453"/>
      <c r="X94" s="1453"/>
      <c r="Y94" s="1453"/>
      <c r="Z94" s="1453"/>
      <c r="AA94" s="1453"/>
      <c r="AB94" s="1453"/>
      <c r="AC94" s="1453"/>
      <c r="AD94" s="1453"/>
      <c r="AE94" s="1453"/>
      <c r="AF94" s="1453"/>
      <c r="AG94" s="1453"/>
      <c r="AH94" s="1453"/>
      <c r="AI94" s="1453"/>
      <c r="AJ94" s="1453"/>
      <c r="AK94" s="1434"/>
      <c r="AL94" s="1435"/>
      <c r="AM94" s="1436"/>
      <c r="AN94" s="1437"/>
      <c r="AO94" s="1438"/>
      <c r="AP94" s="1439"/>
      <c r="AQ94" s="1440"/>
      <c r="AR94" s="1441"/>
      <c r="AS94" s="1442"/>
      <c r="AT94" s="1443"/>
      <c r="AU94" s="1444"/>
      <c r="AV94" s="1442"/>
      <c r="AW94" s="1445"/>
      <c r="AX94" s="1446"/>
      <c r="AY94" s="1446"/>
      <c r="AZ94" s="1446"/>
      <c r="BA94" s="1447"/>
      <c r="BB94" s="1447"/>
      <c r="BC94" s="1446"/>
      <c r="BD94" s="1448"/>
      <c r="BE94" s="1442"/>
      <c r="BF94" s="1447"/>
      <c r="BG94" s="1449"/>
      <c r="BH94" s="1447"/>
      <c r="BI94" s="1447"/>
      <c r="BJ94" s="1449"/>
      <c r="BK94" s="1447"/>
      <c r="BL94" s="1447"/>
      <c r="BM94" s="1449"/>
      <c r="BN94" s="1447"/>
      <c r="BO94" s="1447"/>
      <c r="BP94" s="1448"/>
    </row>
    <row r="95">
      <c r="A95" s="1422"/>
      <c r="B95" s="1423"/>
      <c r="C95" s="1423"/>
      <c r="D95" s="1422"/>
      <c r="E95" s="1422"/>
      <c r="F95" s="1422"/>
      <c r="G95" s="1424"/>
      <c r="H95" s="1424"/>
      <c r="I95" s="1450"/>
      <c r="J95" s="1452"/>
      <c r="K95" s="1427"/>
      <c r="L95" s="1428"/>
      <c r="M95" s="1428"/>
      <c r="N95" s="1429"/>
      <c r="O95" s="1429"/>
      <c r="P95" s="1430"/>
      <c r="Q95" s="1430"/>
      <c r="R95" s="1431"/>
      <c r="S95" s="1432"/>
      <c r="T95" s="1433"/>
      <c r="U95" s="1422"/>
      <c r="V95" s="1453"/>
      <c r="W95" s="1453"/>
      <c r="X95" s="1453"/>
      <c r="Y95" s="1453"/>
      <c r="Z95" s="1453"/>
      <c r="AA95" s="1453"/>
      <c r="AB95" s="1453"/>
      <c r="AC95" s="1453"/>
      <c r="AD95" s="1453"/>
      <c r="AE95" s="1453"/>
      <c r="AF95" s="1453"/>
      <c r="AG95" s="1453"/>
      <c r="AH95" s="1453"/>
      <c r="AI95" s="1453"/>
      <c r="AJ95" s="1453"/>
      <c r="AK95" s="1434"/>
      <c r="AL95" s="1435"/>
      <c r="AM95" s="1436"/>
      <c r="AN95" s="1437"/>
      <c r="AO95" s="1438"/>
      <c r="AP95" s="1439"/>
      <c r="AQ95" s="1440"/>
      <c r="AR95" s="1441"/>
      <c r="AS95" s="1442"/>
      <c r="AT95" s="1443"/>
      <c r="AU95" s="1444"/>
      <c r="AV95" s="1442"/>
      <c r="AW95" s="1445"/>
      <c r="AX95" s="1446"/>
      <c r="AY95" s="1446"/>
      <c r="AZ95" s="1446"/>
      <c r="BA95" s="1447"/>
      <c r="BB95" s="1447"/>
      <c r="BC95" s="1446"/>
      <c r="BD95" s="1448"/>
      <c r="BE95" s="1442"/>
      <c r="BF95" s="1447"/>
      <c r="BG95" s="1449"/>
      <c r="BH95" s="1447"/>
      <c r="BI95" s="1447"/>
      <c r="BJ95" s="1449"/>
      <c r="BK95" s="1447"/>
      <c r="BL95" s="1447"/>
      <c r="BM95" s="1449"/>
      <c r="BN95" s="1447"/>
      <c r="BO95" s="1447"/>
      <c r="BP95" s="1448"/>
    </row>
    <row r="96">
      <c r="A96" s="1422"/>
      <c r="B96" s="1423"/>
      <c r="C96" s="1423"/>
      <c r="D96" s="1422"/>
      <c r="E96" s="1422"/>
      <c r="F96" s="1422"/>
      <c r="G96" s="1424"/>
      <c r="H96" s="1424"/>
      <c r="I96" s="1450"/>
      <c r="J96" s="1452"/>
      <c r="K96" s="1427"/>
      <c r="L96" s="1428"/>
      <c r="M96" s="1428"/>
      <c r="N96" s="1429"/>
      <c r="O96" s="1429"/>
      <c r="P96" s="1430"/>
      <c r="Q96" s="1430"/>
      <c r="R96" s="1431"/>
      <c r="S96" s="1432"/>
      <c r="T96" s="1433"/>
      <c r="U96" s="1422"/>
      <c r="V96" s="1453"/>
      <c r="W96" s="1453"/>
      <c r="X96" s="1453"/>
      <c r="Y96" s="1453"/>
      <c r="Z96" s="1453"/>
      <c r="AA96" s="1453"/>
      <c r="AB96" s="1453"/>
      <c r="AC96" s="1453"/>
      <c r="AD96" s="1422"/>
      <c r="AE96" s="1453"/>
      <c r="AF96" s="1453"/>
      <c r="AG96" s="1453"/>
      <c r="AH96" s="1453"/>
      <c r="AI96" s="1453"/>
      <c r="AJ96" s="1453"/>
      <c r="AK96" s="1434"/>
      <c r="AL96" s="1435"/>
      <c r="AM96" s="1436"/>
      <c r="AN96" s="1437"/>
      <c r="AO96" s="1438"/>
      <c r="AP96" s="1439"/>
      <c r="AQ96" s="1440"/>
      <c r="AR96" s="1441"/>
      <c r="AS96" s="1442"/>
      <c r="AT96" s="1443"/>
      <c r="AU96" s="1444"/>
      <c r="AV96" s="1442"/>
      <c r="AW96" s="1445"/>
      <c r="AX96" s="1446"/>
      <c r="AY96" s="1446"/>
      <c r="AZ96" s="1446"/>
      <c r="BA96" s="1447"/>
      <c r="BB96" s="1447"/>
      <c r="BC96" s="1446"/>
      <c r="BD96" s="1448"/>
      <c r="BE96" s="1442"/>
      <c r="BF96" s="1447"/>
      <c r="BG96" s="1449"/>
      <c r="BH96" s="1447"/>
      <c r="BI96" s="1447"/>
      <c r="BJ96" s="1449"/>
      <c r="BK96" s="1447"/>
      <c r="BL96" s="1447"/>
      <c r="BM96" s="1449"/>
      <c r="BN96" s="1447"/>
      <c r="BO96" s="1447"/>
      <c r="BP96" s="1448"/>
    </row>
    <row r="97">
      <c r="A97" s="1422"/>
      <c r="B97" s="1423"/>
      <c r="C97" s="1423"/>
      <c r="D97" s="1422"/>
      <c r="E97" s="1422"/>
      <c r="F97" s="1422"/>
      <c r="G97" s="1424"/>
      <c r="H97" s="1424"/>
      <c r="I97" s="1450"/>
      <c r="J97" s="1452"/>
      <c r="K97" s="1427"/>
      <c r="L97" s="1428"/>
      <c r="M97" s="1428"/>
      <c r="N97" s="1429"/>
      <c r="O97" s="1429"/>
      <c r="P97" s="1430"/>
      <c r="Q97" s="1430"/>
      <c r="R97" s="1431"/>
      <c r="S97" s="1432"/>
      <c r="T97" s="1433"/>
      <c r="U97" s="1422"/>
      <c r="V97" s="1453"/>
      <c r="W97" s="1453"/>
      <c r="X97" s="1453"/>
      <c r="Y97" s="1453"/>
      <c r="Z97" s="1453"/>
      <c r="AA97" s="1453"/>
      <c r="AB97" s="1453"/>
      <c r="AC97" s="1453"/>
      <c r="AD97" s="1453"/>
      <c r="AE97" s="1453"/>
      <c r="AF97" s="1453"/>
      <c r="AG97" s="1453"/>
      <c r="AH97" s="1453"/>
      <c r="AI97" s="1453"/>
      <c r="AJ97" s="1453"/>
      <c r="AK97" s="1434"/>
      <c r="AL97" s="1435"/>
      <c r="AM97" s="1436"/>
      <c r="AN97" s="1437"/>
      <c r="AO97" s="1438"/>
      <c r="AP97" s="1439"/>
      <c r="AQ97" s="1440"/>
      <c r="AR97" s="1441"/>
      <c r="AS97" s="1442"/>
      <c r="AT97" s="1443"/>
      <c r="AU97" s="1444"/>
      <c r="AV97" s="1442"/>
      <c r="AW97" s="1445"/>
      <c r="AX97" s="1446"/>
      <c r="AY97" s="1446"/>
      <c r="AZ97" s="1446"/>
      <c r="BA97" s="1447"/>
      <c r="BB97" s="1447"/>
      <c r="BC97" s="1446"/>
      <c r="BD97" s="1448"/>
      <c r="BE97" s="1442"/>
      <c r="BF97" s="1447"/>
      <c r="BG97" s="1449"/>
      <c r="BH97" s="1447"/>
      <c r="BI97" s="1447"/>
      <c r="BJ97" s="1449"/>
      <c r="BK97" s="1447"/>
      <c r="BL97" s="1447"/>
      <c r="BM97" s="1449"/>
      <c r="BN97" s="1447"/>
      <c r="BO97" s="1447"/>
      <c r="BP97" s="1448"/>
    </row>
    <row r="98">
      <c r="A98" s="1422"/>
      <c r="B98" s="1423"/>
      <c r="C98" s="1423"/>
      <c r="D98" s="1422"/>
      <c r="E98" s="1422"/>
      <c r="F98" s="1422"/>
      <c r="G98" s="1424"/>
      <c r="H98" s="1424"/>
      <c r="I98" s="1450"/>
      <c r="J98" s="1452"/>
      <c r="K98" s="1427"/>
      <c r="L98" s="1428"/>
      <c r="M98" s="1428"/>
      <c r="N98" s="1429"/>
      <c r="O98" s="1429"/>
      <c r="P98" s="1430"/>
      <c r="Q98" s="1430"/>
      <c r="R98" s="1431"/>
      <c r="S98" s="1432"/>
      <c r="T98" s="1433"/>
      <c r="U98" s="1422"/>
      <c r="V98" s="1453"/>
      <c r="W98" s="1453"/>
      <c r="X98" s="1453"/>
      <c r="Y98" s="1453"/>
      <c r="Z98" s="1453"/>
      <c r="AA98" s="1453"/>
      <c r="AB98" s="1453"/>
      <c r="AC98" s="1453"/>
      <c r="AD98" s="1453"/>
      <c r="AE98" s="1453"/>
      <c r="AF98" s="1453"/>
      <c r="AG98" s="1453"/>
      <c r="AH98" s="1453"/>
      <c r="AI98" s="1453"/>
      <c r="AJ98" s="1453"/>
      <c r="AK98" s="1434"/>
      <c r="AL98" s="1435"/>
      <c r="AM98" s="1436"/>
      <c r="AN98" s="1437"/>
      <c r="AO98" s="1438"/>
      <c r="AP98" s="1439"/>
      <c r="AQ98" s="1440"/>
      <c r="AR98" s="1441"/>
      <c r="AS98" s="1442"/>
      <c r="AT98" s="1443"/>
      <c r="AU98" s="1444"/>
      <c r="AV98" s="1442"/>
      <c r="AW98" s="1445"/>
      <c r="AX98" s="1446"/>
      <c r="AY98" s="1446"/>
      <c r="AZ98" s="1446"/>
      <c r="BA98" s="1447"/>
      <c r="BB98" s="1447"/>
      <c r="BC98" s="1446"/>
      <c r="BD98" s="1448"/>
      <c r="BE98" s="1442"/>
      <c r="BF98" s="1447"/>
      <c r="BG98" s="1449"/>
      <c r="BH98" s="1447"/>
      <c r="BI98" s="1447"/>
      <c r="BJ98" s="1449"/>
      <c r="BK98" s="1447"/>
      <c r="BL98" s="1447"/>
      <c r="BM98" s="1449"/>
      <c r="BN98" s="1447"/>
      <c r="BO98" s="1447"/>
      <c r="BP98" s="1448"/>
    </row>
    <row r="99">
      <c r="A99" s="1422"/>
      <c r="B99" s="1423"/>
      <c r="C99" s="1423"/>
      <c r="D99" s="1422"/>
      <c r="E99" s="1422"/>
      <c r="F99" s="1422"/>
      <c r="G99" s="1424"/>
      <c r="H99" s="1424"/>
      <c r="I99" s="1450"/>
      <c r="J99" s="1452"/>
      <c r="K99" s="1427"/>
      <c r="L99" s="1428"/>
      <c r="M99" s="1428"/>
      <c r="N99" s="1429"/>
      <c r="O99" s="1429"/>
      <c r="P99" s="1430"/>
      <c r="Q99" s="1430"/>
      <c r="R99" s="1431"/>
      <c r="S99" s="1432"/>
      <c r="T99" s="1433"/>
      <c r="U99" s="1422"/>
      <c r="V99" s="1453"/>
      <c r="W99" s="1453"/>
      <c r="X99" s="1453"/>
      <c r="Y99" s="1453"/>
      <c r="Z99" s="1453"/>
      <c r="AA99" s="1422"/>
      <c r="AB99" s="1453"/>
      <c r="AC99" s="1422"/>
      <c r="AD99" s="1453"/>
      <c r="AE99" s="1453"/>
      <c r="AF99" s="1453"/>
      <c r="AG99" s="1453"/>
      <c r="AH99" s="1453"/>
      <c r="AI99" s="1422"/>
      <c r="AJ99" s="1453"/>
      <c r="AK99" s="1434"/>
      <c r="AL99" s="1435"/>
      <c r="AM99" s="1436"/>
      <c r="AN99" s="1437"/>
      <c r="AO99" s="1438"/>
      <c r="AP99" s="1439"/>
      <c r="AQ99" s="1440"/>
      <c r="AR99" s="1441"/>
      <c r="AS99" s="1442"/>
      <c r="AT99" s="1443"/>
      <c r="AU99" s="1444"/>
      <c r="AV99" s="1442"/>
      <c r="AW99" s="1445"/>
      <c r="AX99" s="1446"/>
      <c r="AY99" s="1446"/>
      <c r="AZ99" s="1446"/>
      <c r="BA99" s="1447"/>
      <c r="BB99" s="1447"/>
      <c r="BC99" s="1446"/>
      <c r="BD99" s="1448"/>
      <c r="BE99" s="1442"/>
      <c r="BF99" s="1447"/>
      <c r="BG99" s="1449"/>
      <c r="BH99" s="1447"/>
      <c r="BI99" s="1447"/>
      <c r="BJ99" s="1449"/>
      <c r="BK99" s="1447"/>
      <c r="BL99" s="1447"/>
      <c r="BM99" s="1449"/>
      <c r="BN99" s="1447"/>
      <c r="BO99" s="1447"/>
      <c r="BP99" s="1448"/>
    </row>
    <row r="100">
      <c r="A100" s="1422"/>
      <c r="B100" s="1423"/>
      <c r="C100" s="1423"/>
      <c r="D100" s="1422"/>
      <c r="E100" s="1422"/>
      <c r="F100" s="1422"/>
      <c r="G100" s="1424"/>
      <c r="H100" s="1424"/>
      <c r="I100" s="1450"/>
      <c r="J100" s="1452"/>
      <c r="K100" s="1427"/>
      <c r="L100" s="1428"/>
      <c r="M100" s="1428"/>
      <c r="N100" s="1429"/>
      <c r="O100" s="1429"/>
      <c r="P100" s="1430"/>
      <c r="Q100" s="1430"/>
      <c r="R100" s="1431"/>
      <c r="S100" s="1432"/>
      <c r="T100" s="1433"/>
      <c r="U100" s="1422"/>
      <c r="V100" s="1453"/>
      <c r="W100" s="1453"/>
      <c r="X100" s="1453"/>
      <c r="Y100" s="1453"/>
      <c r="Z100" s="1422"/>
      <c r="AA100" s="1453"/>
      <c r="AB100" s="1453"/>
      <c r="AC100" s="1453"/>
      <c r="AD100" s="1453"/>
      <c r="AE100" s="1453"/>
      <c r="AF100" s="1453"/>
      <c r="AG100" s="1422"/>
      <c r="AH100" s="1453"/>
      <c r="AI100" s="1453"/>
      <c r="AJ100" s="1453"/>
      <c r="AK100" s="1434"/>
      <c r="AL100" s="1435"/>
      <c r="AM100" s="1436"/>
      <c r="AN100" s="1437"/>
      <c r="AO100" s="1438"/>
      <c r="AP100" s="1439"/>
      <c r="AQ100" s="1440"/>
      <c r="AR100" s="1441"/>
      <c r="AS100" s="1442"/>
      <c r="AT100" s="1443"/>
      <c r="AU100" s="1444"/>
      <c r="AV100" s="1442"/>
      <c r="AW100" s="1445"/>
      <c r="AX100" s="1446"/>
      <c r="AY100" s="1446"/>
      <c r="AZ100" s="1446"/>
      <c r="BA100" s="1447"/>
      <c r="BB100" s="1447"/>
      <c r="BC100" s="1446"/>
      <c r="BD100" s="1448"/>
      <c r="BE100" s="1442"/>
      <c r="BF100" s="1447"/>
      <c r="BG100" s="1449"/>
      <c r="BH100" s="1447"/>
      <c r="BI100" s="1447"/>
      <c r="BJ100" s="1449"/>
      <c r="BK100" s="1447"/>
      <c r="BL100" s="1447"/>
      <c r="BM100" s="1449"/>
      <c r="BN100" s="1447"/>
      <c r="BO100" s="1447"/>
      <c r="BP100" s="1448"/>
    </row>
    <row r="101">
      <c r="A101" s="1422"/>
      <c r="B101" s="1423"/>
      <c r="C101" s="1423"/>
      <c r="D101" s="1422"/>
      <c r="E101" s="1422"/>
      <c r="F101" s="1422"/>
      <c r="G101" s="1424"/>
      <c r="H101" s="1424"/>
      <c r="I101" s="1450"/>
      <c r="J101" s="1452"/>
      <c r="K101" s="1427"/>
      <c r="L101" s="1428"/>
      <c r="M101" s="1428"/>
      <c r="N101" s="1429"/>
      <c r="O101" s="1429"/>
      <c r="P101" s="1430"/>
      <c r="Q101" s="1430"/>
      <c r="R101" s="1431"/>
      <c r="S101" s="1432"/>
      <c r="T101" s="1433"/>
      <c r="U101" s="1422"/>
      <c r="V101" s="1453"/>
      <c r="W101" s="1453"/>
      <c r="X101" s="1453"/>
      <c r="Y101" s="1453"/>
      <c r="Z101" s="1422"/>
      <c r="AA101" s="1453"/>
      <c r="AB101" s="1453"/>
      <c r="AC101" s="1453"/>
      <c r="AD101" s="1453"/>
      <c r="AE101" s="1453"/>
      <c r="AF101" s="1453"/>
      <c r="AG101" s="1422"/>
      <c r="AH101" s="1453"/>
      <c r="AI101" s="1453"/>
      <c r="AJ101" s="1453"/>
      <c r="AK101" s="1434"/>
      <c r="AL101" s="1435"/>
      <c r="AM101" s="1436"/>
      <c r="AN101" s="1437"/>
      <c r="AO101" s="1438"/>
      <c r="AP101" s="1439"/>
      <c r="AQ101" s="1440"/>
      <c r="AR101" s="1441"/>
      <c r="AS101" s="1442"/>
      <c r="AT101" s="1443"/>
      <c r="AU101" s="1444"/>
      <c r="AV101" s="1442"/>
      <c r="AW101" s="1445"/>
      <c r="AX101" s="1446"/>
      <c r="AY101" s="1446"/>
      <c r="AZ101" s="1446"/>
      <c r="BA101" s="1447"/>
      <c r="BB101" s="1447"/>
      <c r="BC101" s="1446"/>
      <c r="BD101" s="1448"/>
      <c r="BE101" s="1442"/>
      <c r="BF101" s="1447"/>
      <c r="BG101" s="1449"/>
      <c r="BH101" s="1447"/>
      <c r="BI101" s="1447"/>
      <c r="BJ101" s="1449"/>
      <c r="BK101" s="1447"/>
      <c r="BL101" s="1447"/>
      <c r="BM101" s="1449"/>
      <c r="BN101" s="1447"/>
      <c r="BO101" s="1447"/>
      <c r="BP101" s="1448"/>
    </row>
    <row r="102">
      <c r="A102" s="1422"/>
      <c r="B102" s="1423"/>
      <c r="C102" s="1423"/>
      <c r="D102" s="1422"/>
      <c r="E102" s="1422"/>
      <c r="F102" s="1422"/>
      <c r="G102" s="1424"/>
      <c r="H102" s="1424"/>
      <c r="I102" s="1450"/>
      <c r="J102" s="1452"/>
      <c r="K102" s="1427"/>
      <c r="L102" s="1428"/>
      <c r="M102" s="1428"/>
      <c r="N102" s="1429"/>
      <c r="O102" s="1429"/>
      <c r="P102" s="1430"/>
      <c r="Q102" s="1430"/>
      <c r="R102" s="1431"/>
      <c r="S102" s="1432"/>
      <c r="T102" s="1433"/>
      <c r="U102" s="1422"/>
      <c r="V102" s="1453"/>
      <c r="W102" s="1453"/>
      <c r="X102" s="1453"/>
      <c r="Y102" s="1453"/>
      <c r="Z102" s="1453"/>
      <c r="AA102" s="1453"/>
      <c r="AB102" s="1453"/>
      <c r="AC102" s="1453"/>
      <c r="AD102" s="1453"/>
      <c r="AE102" s="1453"/>
      <c r="AF102" s="1453"/>
      <c r="AG102" s="1453"/>
      <c r="AH102" s="1453"/>
      <c r="AI102" s="1453"/>
      <c r="AJ102" s="1453"/>
      <c r="AK102" s="1434"/>
      <c r="AL102" s="1435"/>
      <c r="AM102" s="1436"/>
      <c r="AN102" s="1437"/>
      <c r="AO102" s="1438"/>
      <c r="AP102" s="1439"/>
      <c r="AQ102" s="1440"/>
      <c r="AR102" s="1441"/>
      <c r="AS102" s="1442"/>
      <c r="AT102" s="1443"/>
      <c r="AU102" s="1444"/>
      <c r="AV102" s="1442"/>
      <c r="AW102" s="1445"/>
      <c r="AX102" s="1446"/>
      <c r="AY102" s="1446"/>
      <c r="AZ102" s="1446"/>
      <c r="BA102" s="1447"/>
      <c r="BB102" s="1447"/>
      <c r="BC102" s="1446"/>
      <c r="BD102" s="1448"/>
      <c r="BE102" s="1442"/>
      <c r="BF102" s="1447"/>
      <c r="BG102" s="1449"/>
      <c r="BH102" s="1447"/>
      <c r="BI102" s="1447"/>
      <c r="BJ102" s="1449"/>
      <c r="BK102" s="1447"/>
      <c r="BL102" s="1447"/>
      <c r="BM102" s="1449"/>
      <c r="BN102" s="1447"/>
      <c r="BO102" s="1447"/>
      <c r="BP102" s="1448"/>
    </row>
    <row r="103">
      <c r="A103" s="1422"/>
      <c r="B103" s="1423"/>
      <c r="C103" s="1423"/>
      <c r="D103" s="1422"/>
      <c r="E103" s="1422"/>
      <c r="F103" s="1422"/>
      <c r="G103" s="1424"/>
      <c r="H103" s="1424"/>
      <c r="I103" s="1450"/>
      <c r="J103" s="1452"/>
      <c r="K103" s="1427"/>
      <c r="L103" s="1428"/>
      <c r="M103" s="1428"/>
      <c r="N103" s="1429"/>
      <c r="O103" s="1429"/>
      <c r="P103" s="1430"/>
      <c r="Q103" s="1430"/>
      <c r="R103" s="1431"/>
      <c r="S103" s="1432"/>
      <c r="T103" s="1433"/>
      <c r="U103" s="1422"/>
      <c r="V103" s="1453"/>
      <c r="W103" s="1453"/>
      <c r="X103" s="1453"/>
      <c r="Y103" s="1453"/>
      <c r="Z103" s="1422"/>
      <c r="AA103" s="1453"/>
      <c r="AB103" s="1453"/>
      <c r="AC103" s="1453"/>
      <c r="AD103" s="1453"/>
      <c r="AE103" s="1453"/>
      <c r="AF103" s="1453"/>
      <c r="AG103" s="1453"/>
      <c r="AH103" s="1422"/>
      <c r="AI103" s="1453"/>
      <c r="AJ103" s="1453"/>
      <c r="AK103" s="1434"/>
      <c r="AL103" s="1435"/>
      <c r="AM103" s="1436"/>
      <c r="AN103" s="1437"/>
      <c r="AO103" s="1438"/>
      <c r="AP103" s="1439"/>
      <c r="AQ103" s="1440"/>
      <c r="AR103" s="1441"/>
      <c r="AS103" s="1442"/>
      <c r="AT103" s="1443"/>
      <c r="AU103" s="1444"/>
      <c r="AV103" s="1442"/>
      <c r="AW103" s="1445"/>
      <c r="AX103" s="1446"/>
      <c r="AY103" s="1446"/>
      <c r="AZ103" s="1446"/>
      <c r="BA103" s="1447"/>
      <c r="BB103" s="1447"/>
      <c r="BC103" s="1446"/>
      <c r="BD103" s="1448"/>
      <c r="BE103" s="1442"/>
      <c r="BF103" s="1447"/>
      <c r="BG103" s="1449"/>
      <c r="BH103" s="1447"/>
      <c r="BI103" s="1447"/>
      <c r="BJ103" s="1449"/>
      <c r="BK103" s="1447"/>
      <c r="BL103" s="1447"/>
      <c r="BM103" s="1449"/>
      <c r="BN103" s="1447"/>
      <c r="BO103" s="1447"/>
      <c r="BP103" s="1448"/>
    </row>
    <row r="104">
      <c r="A104" s="1422"/>
      <c r="B104" s="1423"/>
      <c r="C104" s="1423"/>
      <c r="D104" s="1422"/>
      <c r="E104" s="1422"/>
      <c r="F104" s="1422"/>
      <c r="G104" s="1424"/>
      <c r="H104" s="1424"/>
      <c r="I104" s="1450"/>
      <c r="J104" s="1452"/>
      <c r="K104" s="1427"/>
      <c r="L104" s="1428"/>
      <c r="M104" s="1428"/>
      <c r="N104" s="1429"/>
      <c r="O104" s="1429"/>
      <c r="P104" s="1430"/>
      <c r="Q104" s="1430"/>
      <c r="R104" s="1431"/>
      <c r="S104" s="1432"/>
      <c r="T104" s="1433"/>
      <c r="U104" s="1422"/>
      <c r="V104" s="1453"/>
      <c r="W104" s="1453"/>
      <c r="X104" s="1453"/>
      <c r="Y104" s="1453"/>
      <c r="Z104" s="1422"/>
      <c r="AA104" s="1453"/>
      <c r="AB104" s="1453"/>
      <c r="AC104" s="1453"/>
      <c r="AD104" s="1453"/>
      <c r="AE104" s="1453"/>
      <c r="AF104" s="1453"/>
      <c r="AG104" s="1422"/>
      <c r="AH104" s="1453"/>
      <c r="AI104" s="1453"/>
      <c r="AJ104" s="1453"/>
      <c r="AK104" s="1434"/>
      <c r="AL104" s="1435"/>
      <c r="AM104" s="1436"/>
      <c r="AN104" s="1437"/>
      <c r="AO104" s="1438"/>
      <c r="AP104" s="1439"/>
      <c r="AQ104" s="1440"/>
      <c r="AR104" s="1441"/>
      <c r="AS104" s="1442"/>
      <c r="AT104" s="1443"/>
      <c r="AU104" s="1444"/>
      <c r="AV104" s="1442"/>
      <c r="AW104" s="1445"/>
      <c r="AX104" s="1446"/>
      <c r="AY104" s="1446"/>
      <c r="AZ104" s="1446"/>
      <c r="BA104" s="1447"/>
      <c r="BB104" s="1447"/>
      <c r="BC104" s="1446"/>
      <c r="BD104" s="1448"/>
      <c r="BE104" s="1442"/>
      <c r="BF104" s="1447"/>
      <c r="BG104" s="1449"/>
      <c r="BH104" s="1447"/>
      <c r="BI104" s="1447"/>
      <c r="BJ104" s="1449"/>
      <c r="BK104" s="1447"/>
      <c r="BL104" s="1447"/>
      <c r="BM104" s="1449"/>
      <c r="BN104" s="1447"/>
      <c r="BO104" s="1447"/>
      <c r="BP104" s="1448"/>
    </row>
    <row r="105">
      <c r="A105" s="1422"/>
      <c r="B105" s="1423"/>
      <c r="C105" s="1423"/>
      <c r="D105" s="1422"/>
      <c r="E105" s="1422"/>
      <c r="F105" s="1422"/>
      <c r="G105" s="1424"/>
      <c r="H105" s="1424"/>
      <c r="I105" s="1450"/>
      <c r="J105" s="1452"/>
      <c r="K105" s="1427"/>
      <c r="L105" s="1428"/>
      <c r="M105" s="1428"/>
      <c r="N105" s="1429"/>
      <c r="O105" s="1429"/>
      <c r="P105" s="1430"/>
      <c r="Q105" s="1430"/>
      <c r="R105" s="1431"/>
      <c r="S105" s="1432"/>
      <c r="T105" s="1433"/>
      <c r="U105" s="1422"/>
      <c r="V105" s="1453"/>
      <c r="W105" s="1453"/>
      <c r="X105" s="1453"/>
      <c r="Y105" s="1453"/>
      <c r="Z105" s="1453"/>
      <c r="AA105" s="1453"/>
      <c r="AB105" s="1453"/>
      <c r="AC105" s="1453"/>
      <c r="AD105" s="1453"/>
      <c r="AE105" s="1453"/>
      <c r="AF105" s="1453"/>
      <c r="AG105" s="1453"/>
      <c r="AH105" s="1453"/>
      <c r="AI105" s="1453"/>
      <c r="AJ105" s="1453"/>
      <c r="AK105" s="1434"/>
      <c r="AL105" s="1435"/>
      <c r="AM105" s="1436"/>
      <c r="AN105" s="1437"/>
      <c r="AO105" s="1438"/>
      <c r="AP105" s="1439"/>
      <c r="AQ105" s="1440"/>
      <c r="AR105" s="1441"/>
      <c r="AS105" s="1442"/>
      <c r="AT105" s="1443"/>
      <c r="AU105" s="1444"/>
      <c r="AV105" s="1442"/>
      <c r="AW105" s="1445"/>
      <c r="AX105" s="1446"/>
      <c r="AY105" s="1446"/>
      <c r="AZ105" s="1446"/>
      <c r="BA105" s="1447"/>
      <c r="BB105" s="1447"/>
      <c r="BC105" s="1446"/>
      <c r="BD105" s="1448"/>
      <c r="BE105" s="1442"/>
      <c r="BF105" s="1447"/>
      <c r="BG105" s="1449"/>
      <c r="BH105" s="1447"/>
      <c r="BI105" s="1447"/>
      <c r="BJ105" s="1449"/>
      <c r="BK105" s="1447"/>
      <c r="BL105" s="1447"/>
      <c r="BM105" s="1449"/>
      <c r="BN105" s="1447"/>
      <c r="BO105" s="1447"/>
      <c r="BP105" s="1448"/>
    </row>
    <row r="106">
      <c r="A106" s="1422"/>
      <c r="B106" s="1423"/>
      <c r="C106" s="1423"/>
      <c r="D106" s="1422"/>
      <c r="E106" s="1422"/>
      <c r="F106" s="1422"/>
      <c r="G106" s="1424"/>
      <c r="H106" s="1424"/>
      <c r="I106" s="1450"/>
      <c r="J106" s="1452"/>
      <c r="K106" s="1427"/>
      <c r="L106" s="1428"/>
      <c r="M106" s="1428"/>
      <c r="N106" s="1429"/>
      <c r="O106" s="1429"/>
      <c r="P106" s="1430"/>
      <c r="Q106" s="1430"/>
      <c r="R106" s="1431"/>
      <c r="S106" s="1432"/>
      <c r="T106" s="1433"/>
      <c r="U106" s="1422"/>
      <c r="V106" s="1453"/>
      <c r="W106" s="1453"/>
      <c r="X106" s="1453"/>
      <c r="Y106" s="1453"/>
      <c r="Z106" s="1453"/>
      <c r="AA106" s="1453"/>
      <c r="AB106" s="1453"/>
      <c r="AC106" s="1453"/>
      <c r="AD106" s="1453"/>
      <c r="AE106" s="1453"/>
      <c r="AF106" s="1453"/>
      <c r="AG106" s="1453"/>
      <c r="AH106" s="1453"/>
      <c r="AI106" s="1453"/>
      <c r="AJ106" s="1453"/>
      <c r="AK106" s="1434"/>
      <c r="AL106" s="1435"/>
      <c r="AM106" s="1436"/>
      <c r="AN106" s="1437"/>
      <c r="AO106" s="1438"/>
      <c r="AP106" s="1439"/>
      <c r="AQ106" s="1440"/>
      <c r="AR106" s="1441"/>
      <c r="AS106" s="1442"/>
      <c r="AT106" s="1443"/>
      <c r="AU106" s="1444"/>
      <c r="AV106" s="1442"/>
      <c r="AW106" s="1445"/>
      <c r="AX106" s="1446"/>
      <c r="AY106" s="1446"/>
      <c r="AZ106" s="1446"/>
      <c r="BA106" s="1447"/>
      <c r="BB106" s="1447"/>
      <c r="BC106" s="1446"/>
      <c r="BD106" s="1448"/>
      <c r="BE106" s="1442"/>
      <c r="BF106" s="1447"/>
      <c r="BG106" s="1449"/>
      <c r="BH106" s="1447"/>
      <c r="BI106" s="1447"/>
      <c r="BJ106" s="1449"/>
      <c r="BK106" s="1447"/>
      <c r="BL106" s="1447"/>
      <c r="BM106" s="1449"/>
      <c r="BN106" s="1447"/>
      <c r="BO106" s="1447"/>
      <c r="BP106" s="1448"/>
    </row>
    <row r="107">
      <c r="A107" s="1422"/>
      <c r="B107" s="1423"/>
      <c r="C107" s="1423"/>
      <c r="D107" s="1422"/>
      <c r="E107" s="1422"/>
      <c r="F107" s="1422"/>
      <c r="G107" s="1424"/>
      <c r="H107" s="1424"/>
      <c r="I107" s="1450"/>
      <c r="J107" s="1452"/>
      <c r="K107" s="1427"/>
      <c r="L107" s="1428"/>
      <c r="M107" s="1428"/>
      <c r="N107" s="1429"/>
      <c r="O107" s="1429"/>
      <c r="P107" s="1430"/>
      <c r="Q107" s="1430"/>
      <c r="R107" s="1431"/>
      <c r="S107" s="1432"/>
      <c r="T107" s="1433"/>
      <c r="U107" s="1422"/>
      <c r="V107" s="1453"/>
      <c r="W107" s="1453"/>
      <c r="X107" s="1453"/>
      <c r="Y107" s="1453"/>
      <c r="Z107" s="1453"/>
      <c r="AA107" s="1453"/>
      <c r="AB107" s="1453"/>
      <c r="AC107" s="1453"/>
      <c r="AD107" s="1453"/>
      <c r="AE107" s="1453"/>
      <c r="AF107" s="1453"/>
      <c r="AG107" s="1453"/>
      <c r="AH107" s="1453"/>
      <c r="AI107" s="1453"/>
      <c r="AJ107" s="1453"/>
      <c r="AK107" s="1434"/>
      <c r="AL107" s="1435"/>
      <c r="AM107" s="1436"/>
      <c r="AN107" s="1437"/>
      <c r="AO107" s="1438"/>
      <c r="AP107" s="1439"/>
      <c r="AQ107" s="1440"/>
      <c r="AR107" s="1441"/>
      <c r="AS107" s="1442"/>
      <c r="AT107" s="1443"/>
      <c r="AU107" s="1444"/>
      <c r="AV107" s="1442"/>
      <c r="AW107" s="1445"/>
      <c r="AX107" s="1446"/>
      <c r="AY107" s="1446"/>
      <c r="AZ107" s="1446"/>
      <c r="BA107" s="1447"/>
      <c r="BB107" s="1447"/>
      <c r="BC107" s="1446"/>
      <c r="BD107" s="1448"/>
      <c r="BE107" s="1442"/>
      <c r="BF107" s="1447"/>
      <c r="BG107" s="1449"/>
      <c r="BH107" s="1447"/>
      <c r="BI107" s="1447"/>
      <c r="BJ107" s="1449"/>
      <c r="BK107" s="1447"/>
      <c r="BL107" s="1447"/>
      <c r="BM107" s="1449"/>
      <c r="BN107" s="1447"/>
      <c r="BO107" s="1447"/>
      <c r="BP107" s="1448"/>
    </row>
    <row r="108">
      <c r="A108" s="1422"/>
      <c r="B108" s="1423"/>
      <c r="C108" s="1423"/>
      <c r="D108" s="1422"/>
      <c r="E108" s="1422"/>
      <c r="F108" s="1422"/>
      <c r="G108" s="1424"/>
      <c r="H108" s="1424"/>
      <c r="I108" s="1450"/>
      <c r="J108" s="1452"/>
      <c r="K108" s="1427"/>
      <c r="L108" s="1428"/>
      <c r="M108" s="1428"/>
      <c r="N108" s="1429"/>
      <c r="O108" s="1429"/>
      <c r="P108" s="1430"/>
      <c r="Q108" s="1430"/>
      <c r="R108" s="1431"/>
      <c r="S108" s="1432"/>
      <c r="T108" s="1433"/>
      <c r="U108" s="1422"/>
      <c r="V108" s="1453"/>
      <c r="W108" s="1453"/>
      <c r="X108" s="1453"/>
      <c r="Y108" s="1453"/>
      <c r="Z108" s="1453"/>
      <c r="AA108" s="1453"/>
      <c r="AB108" s="1453"/>
      <c r="AC108" s="1453"/>
      <c r="AD108" s="1453"/>
      <c r="AE108" s="1453"/>
      <c r="AF108" s="1453"/>
      <c r="AG108" s="1453"/>
      <c r="AH108" s="1453"/>
      <c r="AI108" s="1453"/>
      <c r="AJ108" s="1453"/>
      <c r="AK108" s="1434"/>
      <c r="AL108" s="1435"/>
      <c r="AM108" s="1436"/>
      <c r="AN108" s="1437"/>
      <c r="AO108" s="1438"/>
      <c r="AP108" s="1439"/>
      <c r="AQ108" s="1440"/>
      <c r="AR108" s="1441"/>
      <c r="AS108" s="1442"/>
      <c r="AT108" s="1443"/>
      <c r="AU108" s="1444"/>
      <c r="AV108" s="1442"/>
      <c r="AW108" s="1445"/>
      <c r="AX108" s="1446"/>
      <c r="AY108" s="1446"/>
      <c r="AZ108" s="1446"/>
      <c r="BA108" s="1447"/>
      <c r="BB108" s="1447"/>
      <c r="BC108" s="1446"/>
      <c r="BD108" s="1448"/>
      <c r="BE108" s="1442"/>
      <c r="BF108" s="1447"/>
      <c r="BG108" s="1449"/>
      <c r="BH108" s="1447"/>
      <c r="BI108" s="1447"/>
      <c r="BJ108" s="1449"/>
      <c r="BK108" s="1447"/>
      <c r="BL108" s="1447"/>
      <c r="BM108" s="1449"/>
      <c r="BN108" s="1447"/>
      <c r="BO108" s="1447"/>
      <c r="BP108" s="1448"/>
    </row>
    <row r="109">
      <c r="A109" s="1422"/>
      <c r="B109" s="1423"/>
      <c r="C109" s="1423"/>
      <c r="D109" s="1422"/>
      <c r="E109" s="1422"/>
      <c r="F109" s="1422"/>
      <c r="G109" s="1424"/>
      <c r="H109" s="1424"/>
      <c r="I109" s="1450"/>
      <c r="J109" s="1452"/>
      <c r="K109" s="1427"/>
      <c r="L109" s="1428"/>
      <c r="M109" s="1428"/>
      <c r="N109" s="1429"/>
      <c r="O109" s="1429"/>
      <c r="P109" s="1430"/>
      <c r="Q109" s="1430"/>
      <c r="R109" s="1431"/>
      <c r="S109" s="1432"/>
      <c r="T109" s="1433"/>
      <c r="U109" s="1422"/>
      <c r="V109" s="1453"/>
      <c r="W109" s="1453"/>
      <c r="X109" s="1453"/>
      <c r="Y109" s="1453"/>
      <c r="Z109" s="1453"/>
      <c r="AA109" s="1453"/>
      <c r="AB109" s="1453"/>
      <c r="AC109" s="1453"/>
      <c r="AD109" s="1453"/>
      <c r="AE109" s="1453"/>
      <c r="AF109" s="1453"/>
      <c r="AG109" s="1453"/>
      <c r="AH109" s="1453"/>
      <c r="AI109" s="1453"/>
      <c r="AJ109" s="1453"/>
      <c r="AK109" s="1434"/>
      <c r="AL109" s="1435"/>
      <c r="AM109" s="1436"/>
      <c r="AN109" s="1437"/>
      <c r="AO109" s="1438"/>
      <c r="AP109" s="1439"/>
      <c r="AQ109" s="1440"/>
      <c r="AR109" s="1441"/>
      <c r="AS109" s="1442"/>
      <c r="AT109" s="1443"/>
      <c r="AU109" s="1444"/>
      <c r="AV109" s="1442"/>
      <c r="AW109" s="1445"/>
      <c r="AX109" s="1446"/>
      <c r="AY109" s="1446"/>
      <c r="AZ109" s="1446"/>
      <c r="BA109" s="1447"/>
      <c r="BB109" s="1447"/>
      <c r="BC109" s="1446"/>
      <c r="BD109" s="1448"/>
      <c r="BE109" s="1442"/>
      <c r="BF109" s="1447"/>
      <c r="BG109" s="1449"/>
      <c r="BH109" s="1447"/>
      <c r="BI109" s="1447"/>
      <c r="BJ109" s="1449"/>
      <c r="BK109" s="1447"/>
      <c r="BL109" s="1447"/>
      <c r="BM109" s="1449"/>
      <c r="BN109" s="1447"/>
      <c r="BO109" s="1447"/>
      <c r="BP109" s="1448"/>
    </row>
    <row r="110">
      <c r="A110" s="1422"/>
      <c r="B110" s="1423"/>
      <c r="C110" s="1423"/>
      <c r="D110" s="1422"/>
      <c r="E110" s="1422"/>
      <c r="F110" s="1422"/>
      <c r="G110" s="1424"/>
      <c r="H110" s="1424"/>
      <c r="I110" s="1450"/>
      <c r="J110" s="1452"/>
      <c r="K110" s="1427"/>
      <c r="L110" s="1428"/>
      <c r="M110" s="1428"/>
      <c r="N110" s="1429"/>
      <c r="O110" s="1429"/>
      <c r="P110" s="1430"/>
      <c r="Q110" s="1430"/>
      <c r="R110" s="1431"/>
      <c r="S110" s="1432"/>
      <c r="T110" s="1433"/>
      <c r="U110" s="1422"/>
      <c r="V110" s="1453"/>
      <c r="W110" s="1453"/>
      <c r="X110" s="1453"/>
      <c r="Y110" s="1453"/>
      <c r="Z110" s="1453"/>
      <c r="AA110" s="1453"/>
      <c r="AB110" s="1453"/>
      <c r="AC110" s="1453"/>
      <c r="AD110" s="1453"/>
      <c r="AE110" s="1453"/>
      <c r="AF110" s="1453"/>
      <c r="AG110" s="1453"/>
      <c r="AH110" s="1453"/>
      <c r="AI110" s="1453"/>
      <c r="AJ110" s="1453"/>
      <c r="AK110" s="1434"/>
      <c r="AL110" s="1435"/>
      <c r="AM110" s="1436"/>
      <c r="AN110" s="1437"/>
      <c r="AO110" s="1438"/>
      <c r="AP110" s="1439"/>
      <c r="AQ110" s="1440"/>
      <c r="AR110" s="1441"/>
      <c r="AS110" s="1442"/>
      <c r="AT110" s="1443"/>
      <c r="AU110" s="1444"/>
      <c r="AV110" s="1442"/>
      <c r="AW110" s="1445"/>
      <c r="AX110" s="1446"/>
      <c r="AY110" s="1446"/>
      <c r="AZ110" s="1446"/>
      <c r="BA110" s="1447"/>
      <c r="BB110" s="1447"/>
      <c r="BC110" s="1446"/>
      <c r="BD110" s="1448"/>
      <c r="BE110" s="1442"/>
      <c r="BF110" s="1447"/>
      <c r="BG110" s="1449"/>
      <c r="BH110" s="1447"/>
      <c r="BI110" s="1447"/>
      <c r="BJ110" s="1449"/>
      <c r="BK110" s="1447"/>
      <c r="BL110" s="1447"/>
      <c r="BM110" s="1449"/>
      <c r="BN110" s="1447"/>
      <c r="BO110" s="1447"/>
      <c r="BP110" s="1448"/>
    </row>
    <row r="111">
      <c r="A111" s="1422"/>
      <c r="B111" s="1423"/>
      <c r="C111" s="1423"/>
      <c r="D111" s="1422"/>
      <c r="E111" s="1422"/>
      <c r="F111" s="1422"/>
      <c r="G111" s="1424"/>
      <c r="H111" s="1424"/>
      <c r="I111" s="1450"/>
      <c r="J111" s="1452"/>
      <c r="K111" s="1427"/>
      <c r="L111" s="1428"/>
      <c r="M111" s="1428"/>
      <c r="N111" s="1429"/>
      <c r="O111" s="1429"/>
      <c r="P111" s="1430"/>
      <c r="Q111" s="1430"/>
      <c r="R111" s="1431"/>
      <c r="S111" s="1432"/>
      <c r="T111" s="1433"/>
      <c r="U111" s="1422"/>
      <c r="V111" s="1453"/>
      <c r="W111" s="1453"/>
      <c r="X111" s="1453"/>
      <c r="Y111" s="1453"/>
      <c r="Z111" s="1422"/>
      <c r="AA111" s="1453"/>
      <c r="AB111" s="1453"/>
      <c r="AC111" s="1453"/>
      <c r="AD111" s="1453"/>
      <c r="AE111" s="1453"/>
      <c r="AF111" s="1453"/>
      <c r="AG111" s="1422"/>
      <c r="AH111" s="1453"/>
      <c r="AI111" s="1453"/>
      <c r="AJ111" s="1453"/>
      <c r="AK111" s="1434"/>
      <c r="AL111" s="1435"/>
      <c r="AM111" s="1436"/>
      <c r="AN111" s="1437"/>
      <c r="AO111" s="1438"/>
      <c r="AP111" s="1439"/>
      <c r="AQ111" s="1440"/>
      <c r="AR111" s="1441"/>
      <c r="AS111" s="1442"/>
      <c r="AT111" s="1443"/>
      <c r="AU111" s="1444"/>
      <c r="AV111" s="1442"/>
      <c r="AW111" s="1445"/>
      <c r="AX111" s="1446"/>
      <c r="AY111" s="1446"/>
      <c r="AZ111" s="1446"/>
      <c r="BA111" s="1447"/>
      <c r="BB111" s="1447"/>
      <c r="BC111" s="1446"/>
      <c r="BD111" s="1448"/>
      <c r="BE111" s="1442"/>
      <c r="BF111" s="1447"/>
      <c r="BG111" s="1449"/>
      <c r="BH111" s="1447"/>
      <c r="BI111" s="1447"/>
      <c r="BJ111" s="1449"/>
      <c r="BK111" s="1447"/>
      <c r="BL111" s="1447"/>
      <c r="BM111" s="1449"/>
      <c r="BN111" s="1447"/>
      <c r="BO111" s="1447"/>
      <c r="BP111" s="1448"/>
    </row>
    <row r="112">
      <c r="A112" s="1422"/>
      <c r="B112" s="1423"/>
      <c r="C112" s="1423"/>
      <c r="D112" s="1422"/>
      <c r="E112" s="1422"/>
      <c r="F112" s="1422"/>
      <c r="G112" s="1424"/>
      <c r="H112" s="1424"/>
      <c r="I112" s="1450"/>
      <c r="J112" s="1452"/>
      <c r="K112" s="1427"/>
      <c r="L112" s="1428"/>
      <c r="M112" s="1428"/>
      <c r="N112" s="1429"/>
      <c r="O112" s="1429"/>
      <c r="P112" s="1430"/>
      <c r="Q112" s="1430"/>
      <c r="R112" s="1431"/>
      <c r="S112" s="1432"/>
      <c r="T112" s="1433"/>
      <c r="U112" s="1422"/>
      <c r="V112" s="1453"/>
      <c r="W112" s="1453"/>
      <c r="X112" s="1453"/>
      <c r="Y112" s="1453"/>
      <c r="Z112" s="1422"/>
      <c r="AA112" s="1453"/>
      <c r="AB112" s="1453"/>
      <c r="AC112" s="1453"/>
      <c r="AD112" s="1453"/>
      <c r="AE112" s="1453"/>
      <c r="AF112" s="1453"/>
      <c r="AG112" s="1422"/>
      <c r="AH112" s="1453"/>
      <c r="AI112" s="1453"/>
      <c r="AJ112" s="1453"/>
      <c r="AK112" s="1434"/>
      <c r="AL112" s="1435"/>
      <c r="AM112" s="1436"/>
      <c r="AN112" s="1437"/>
      <c r="AO112" s="1438"/>
      <c r="AP112" s="1439"/>
      <c r="AQ112" s="1440"/>
      <c r="AR112" s="1441"/>
      <c r="AS112" s="1442"/>
      <c r="AT112" s="1443"/>
      <c r="AU112" s="1444"/>
      <c r="AV112" s="1442"/>
      <c r="AW112" s="1445"/>
      <c r="AX112" s="1446"/>
      <c r="AY112" s="1446"/>
      <c r="AZ112" s="1446"/>
      <c r="BA112" s="1447"/>
      <c r="BB112" s="1447"/>
      <c r="BC112" s="1446"/>
      <c r="BD112" s="1448"/>
      <c r="BE112" s="1442"/>
      <c r="BF112" s="1447"/>
      <c r="BG112" s="1449"/>
      <c r="BH112" s="1447"/>
      <c r="BI112" s="1447"/>
      <c r="BJ112" s="1449"/>
      <c r="BK112" s="1447"/>
      <c r="BL112" s="1447"/>
      <c r="BM112" s="1449"/>
      <c r="BN112" s="1447"/>
      <c r="BO112" s="1447"/>
      <c r="BP112" s="1448"/>
    </row>
    <row r="113">
      <c r="A113" s="1422"/>
      <c r="B113" s="1423"/>
      <c r="C113" s="1423"/>
      <c r="D113" s="1422"/>
      <c r="E113" s="1422"/>
      <c r="F113" s="1422"/>
      <c r="G113" s="1424"/>
      <c r="H113" s="1424"/>
      <c r="I113" s="1450"/>
      <c r="J113" s="1452"/>
      <c r="K113" s="1427"/>
      <c r="L113" s="1428"/>
      <c r="M113" s="1428"/>
      <c r="N113" s="1429"/>
      <c r="O113" s="1429"/>
      <c r="P113" s="1430"/>
      <c r="Q113" s="1430"/>
      <c r="R113" s="1431"/>
      <c r="S113" s="1432"/>
      <c r="T113" s="1433"/>
      <c r="U113" s="1422"/>
      <c r="V113" s="1453"/>
      <c r="W113" s="1453"/>
      <c r="X113" s="1453"/>
      <c r="Y113" s="1453"/>
      <c r="Z113" s="1422"/>
      <c r="AA113" s="1453"/>
      <c r="AB113" s="1453"/>
      <c r="AC113" s="1453"/>
      <c r="AD113" s="1453"/>
      <c r="AE113" s="1453"/>
      <c r="AF113" s="1453"/>
      <c r="AG113" s="1453"/>
      <c r="AH113" s="1453"/>
      <c r="AI113" s="1422"/>
      <c r="AJ113" s="1453"/>
      <c r="AK113" s="1434"/>
      <c r="AL113" s="1435"/>
      <c r="AM113" s="1436"/>
      <c r="AN113" s="1437"/>
      <c r="AO113" s="1438"/>
      <c r="AP113" s="1439"/>
      <c r="AQ113" s="1440"/>
      <c r="AR113" s="1441"/>
      <c r="AS113" s="1442"/>
      <c r="AT113" s="1443"/>
      <c r="AU113" s="1444"/>
      <c r="AV113" s="1442"/>
      <c r="AW113" s="1445"/>
      <c r="AX113" s="1446"/>
      <c r="AY113" s="1446"/>
      <c r="AZ113" s="1446"/>
      <c r="BA113" s="1447"/>
      <c r="BB113" s="1447"/>
      <c r="BC113" s="1446"/>
      <c r="BD113" s="1448"/>
      <c r="BE113" s="1442"/>
      <c r="BF113" s="1447"/>
      <c r="BG113" s="1449"/>
      <c r="BH113" s="1447"/>
      <c r="BI113" s="1447"/>
      <c r="BJ113" s="1449"/>
      <c r="BK113" s="1447"/>
      <c r="BL113" s="1447"/>
      <c r="BM113" s="1449"/>
      <c r="BN113" s="1447"/>
      <c r="BO113" s="1447"/>
      <c r="BP113" s="1448"/>
    </row>
    <row r="114">
      <c r="A114" s="1422"/>
      <c r="B114" s="1423"/>
      <c r="C114" s="1423"/>
      <c r="D114" s="1422"/>
      <c r="E114" s="1422"/>
      <c r="F114" s="1422"/>
      <c r="G114" s="1424"/>
      <c r="H114" s="1424"/>
      <c r="I114" s="1450"/>
      <c r="J114" s="1452"/>
      <c r="K114" s="1427"/>
      <c r="L114" s="1428"/>
      <c r="M114" s="1428"/>
      <c r="N114" s="1429"/>
      <c r="O114" s="1429"/>
      <c r="P114" s="1430"/>
      <c r="Q114" s="1430"/>
      <c r="R114" s="1431"/>
      <c r="S114" s="1432"/>
      <c r="T114" s="1433"/>
      <c r="U114" s="1422"/>
      <c r="V114" s="1453"/>
      <c r="W114" s="1453"/>
      <c r="X114" s="1453"/>
      <c r="Y114" s="1453"/>
      <c r="Z114" s="1422"/>
      <c r="AA114" s="1453"/>
      <c r="AB114" s="1453"/>
      <c r="AC114" s="1453"/>
      <c r="AD114" s="1453"/>
      <c r="AE114" s="1453"/>
      <c r="AF114" s="1453"/>
      <c r="AG114" s="1422"/>
      <c r="AH114" s="1453"/>
      <c r="AI114" s="1453"/>
      <c r="AJ114" s="1453"/>
      <c r="AK114" s="1434"/>
      <c r="AL114" s="1435"/>
      <c r="AM114" s="1436"/>
      <c r="AN114" s="1437"/>
      <c r="AO114" s="1438"/>
      <c r="AP114" s="1439"/>
      <c r="AQ114" s="1440"/>
      <c r="AR114" s="1441"/>
      <c r="AS114" s="1442"/>
      <c r="AT114" s="1443"/>
      <c r="AU114" s="1444"/>
      <c r="AV114" s="1442"/>
      <c r="AW114" s="1445"/>
      <c r="AX114" s="1446"/>
      <c r="AY114" s="1446"/>
      <c r="AZ114" s="1446"/>
      <c r="BA114" s="1447"/>
      <c r="BB114" s="1447"/>
      <c r="BC114" s="1446"/>
      <c r="BD114" s="1448"/>
      <c r="BE114" s="1442"/>
      <c r="BF114" s="1447"/>
      <c r="BG114" s="1449"/>
      <c r="BH114" s="1447"/>
      <c r="BI114" s="1447"/>
      <c r="BJ114" s="1449"/>
      <c r="BK114" s="1447"/>
      <c r="BL114" s="1447"/>
      <c r="BM114" s="1449"/>
      <c r="BN114" s="1447"/>
      <c r="BO114" s="1447"/>
      <c r="BP114" s="1448"/>
    </row>
    <row r="115">
      <c r="A115" s="1422"/>
      <c r="B115" s="1423"/>
      <c r="C115" s="1423"/>
      <c r="D115" s="1422"/>
      <c r="E115" s="1422"/>
      <c r="F115" s="1422"/>
      <c r="G115" s="1424"/>
      <c r="H115" s="1424"/>
      <c r="I115" s="1450"/>
      <c r="J115" s="1452"/>
      <c r="K115" s="1427"/>
      <c r="L115" s="1428"/>
      <c r="M115" s="1428"/>
      <c r="N115" s="1429"/>
      <c r="O115" s="1429"/>
      <c r="P115" s="1430"/>
      <c r="Q115" s="1430"/>
      <c r="R115" s="1431"/>
      <c r="S115" s="1432"/>
      <c r="T115" s="1433"/>
      <c r="U115" s="1422"/>
      <c r="V115" s="1453"/>
      <c r="W115" s="1453"/>
      <c r="X115" s="1453"/>
      <c r="Y115" s="1453"/>
      <c r="Z115" s="1453"/>
      <c r="AA115" s="1453"/>
      <c r="AB115" s="1453"/>
      <c r="AC115" s="1453"/>
      <c r="AD115" s="1453"/>
      <c r="AE115" s="1453"/>
      <c r="AF115" s="1453"/>
      <c r="AG115" s="1453"/>
      <c r="AH115" s="1453"/>
      <c r="AI115" s="1453"/>
      <c r="AJ115" s="1453"/>
      <c r="AK115" s="1434"/>
      <c r="AL115" s="1435"/>
      <c r="AM115" s="1436"/>
      <c r="AN115" s="1437"/>
      <c r="AO115" s="1438"/>
      <c r="AP115" s="1439"/>
      <c r="AQ115" s="1440"/>
      <c r="AR115" s="1441"/>
      <c r="AS115" s="1442"/>
      <c r="AT115" s="1443"/>
      <c r="AU115" s="1444"/>
      <c r="AV115" s="1442"/>
      <c r="AW115" s="1445"/>
      <c r="AX115" s="1446"/>
      <c r="AY115" s="1446"/>
      <c r="AZ115" s="1446"/>
      <c r="BA115" s="1447"/>
      <c r="BB115" s="1447"/>
      <c r="BC115" s="1446"/>
      <c r="BD115" s="1448"/>
      <c r="BE115" s="1442"/>
      <c r="BF115" s="1447"/>
      <c r="BG115" s="1449"/>
      <c r="BH115" s="1447"/>
      <c r="BI115" s="1447"/>
      <c r="BJ115" s="1449"/>
      <c r="BK115" s="1447"/>
      <c r="BL115" s="1447"/>
      <c r="BM115" s="1449"/>
      <c r="BN115" s="1447"/>
      <c r="BO115" s="1447"/>
      <c r="BP115" s="1448"/>
    </row>
    <row r="116">
      <c r="A116" s="1422"/>
      <c r="B116" s="1423"/>
      <c r="C116" s="1423"/>
      <c r="D116" s="1422"/>
      <c r="E116" s="1422"/>
      <c r="F116" s="1422"/>
      <c r="G116" s="1424"/>
      <c r="H116" s="1424"/>
      <c r="I116" s="1450"/>
      <c r="J116" s="1452"/>
      <c r="K116" s="1427"/>
      <c r="L116" s="1428"/>
      <c r="M116" s="1428"/>
      <c r="N116" s="1429"/>
      <c r="O116" s="1429"/>
      <c r="P116" s="1430"/>
      <c r="Q116" s="1430"/>
      <c r="R116" s="1431"/>
      <c r="S116" s="1432"/>
      <c r="T116" s="1433"/>
      <c r="U116" s="1422"/>
      <c r="V116" s="1453"/>
      <c r="W116" s="1453"/>
      <c r="X116" s="1453"/>
      <c r="Y116" s="1453"/>
      <c r="Z116" s="1422"/>
      <c r="AA116" s="1453"/>
      <c r="AB116" s="1453"/>
      <c r="AC116" s="1453"/>
      <c r="AD116" s="1453"/>
      <c r="AE116" s="1453"/>
      <c r="AF116" s="1453"/>
      <c r="AG116" s="1422"/>
      <c r="AH116" s="1453"/>
      <c r="AI116" s="1453"/>
      <c r="AJ116" s="1453"/>
      <c r="AK116" s="1434"/>
      <c r="AL116" s="1435"/>
      <c r="AM116" s="1436"/>
      <c r="AN116" s="1437"/>
      <c r="AO116" s="1438"/>
      <c r="AP116" s="1439"/>
      <c r="AQ116" s="1440"/>
      <c r="AR116" s="1441"/>
      <c r="AS116" s="1442"/>
      <c r="AT116" s="1443"/>
      <c r="AU116" s="1444"/>
      <c r="AV116" s="1442"/>
      <c r="AW116" s="1445"/>
      <c r="AX116" s="1446"/>
      <c r="AY116" s="1446"/>
      <c r="AZ116" s="1446"/>
      <c r="BA116" s="1447"/>
      <c r="BB116" s="1447"/>
      <c r="BC116" s="1446"/>
      <c r="BD116" s="1448"/>
      <c r="BE116" s="1442"/>
      <c r="BF116" s="1447"/>
      <c r="BG116" s="1449"/>
      <c r="BH116" s="1447"/>
      <c r="BI116" s="1447"/>
      <c r="BJ116" s="1449"/>
      <c r="BK116" s="1447"/>
      <c r="BL116" s="1447"/>
      <c r="BM116" s="1449"/>
      <c r="BN116" s="1447"/>
      <c r="BO116" s="1447"/>
      <c r="BP116" s="1448"/>
    </row>
    <row r="117">
      <c r="A117" s="1422"/>
      <c r="B117" s="1423"/>
      <c r="C117" s="1423"/>
      <c r="D117" s="1422"/>
      <c r="E117" s="1422"/>
      <c r="F117" s="1422"/>
      <c r="G117" s="1424"/>
      <c r="H117" s="1424"/>
      <c r="I117" s="1450"/>
      <c r="J117" s="1452"/>
      <c r="K117" s="1427"/>
      <c r="L117" s="1428"/>
      <c r="M117" s="1428"/>
      <c r="N117" s="1429"/>
      <c r="O117" s="1429"/>
      <c r="P117" s="1430"/>
      <c r="Q117" s="1430"/>
      <c r="R117" s="1431"/>
      <c r="S117" s="1432"/>
      <c r="T117" s="1433"/>
      <c r="U117" s="1422"/>
      <c r="V117" s="1453"/>
      <c r="W117" s="1453"/>
      <c r="X117" s="1453"/>
      <c r="Y117" s="1453"/>
      <c r="Z117" s="1453"/>
      <c r="AA117" s="1453"/>
      <c r="AB117" s="1453"/>
      <c r="AC117" s="1453"/>
      <c r="AD117" s="1453"/>
      <c r="AE117" s="1453"/>
      <c r="AF117" s="1453"/>
      <c r="AG117" s="1453"/>
      <c r="AH117" s="1453"/>
      <c r="AI117" s="1453"/>
      <c r="AJ117" s="1453"/>
      <c r="AK117" s="1434"/>
      <c r="AL117" s="1435"/>
      <c r="AM117" s="1436"/>
      <c r="AN117" s="1437"/>
      <c r="AO117" s="1438"/>
      <c r="AP117" s="1439"/>
      <c r="AQ117" s="1440"/>
      <c r="AR117" s="1441"/>
      <c r="AS117" s="1442"/>
      <c r="AT117" s="1443"/>
      <c r="AU117" s="1444"/>
      <c r="AV117" s="1442"/>
      <c r="AW117" s="1445"/>
      <c r="AX117" s="1446"/>
      <c r="AY117" s="1446"/>
      <c r="AZ117" s="1446"/>
      <c r="BA117" s="1447"/>
      <c r="BB117" s="1447"/>
      <c r="BC117" s="1446"/>
      <c r="BD117" s="1448"/>
      <c r="BE117" s="1442"/>
      <c r="BF117" s="1447"/>
      <c r="BG117" s="1449"/>
      <c r="BH117" s="1447"/>
      <c r="BI117" s="1447"/>
      <c r="BJ117" s="1449"/>
      <c r="BK117" s="1447"/>
      <c r="BL117" s="1447"/>
      <c r="BM117" s="1449"/>
      <c r="BN117" s="1447"/>
      <c r="BO117" s="1447"/>
      <c r="BP117" s="1448"/>
    </row>
    <row r="118">
      <c r="A118" s="1422"/>
      <c r="B118" s="1423"/>
      <c r="C118" s="1423"/>
      <c r="D118" s="1422"/>
      <c r="E118" s="1422"/>
      <c r="F118" s="1422"/>
      <c r="G118" s="1424"/>
      <c r="H118" s="1424"/>
      <c r="I118" s="1450"/>
      <c r="J118" s="1452"/>
      <c r="K118" s="1427"/>
      <c r="L118" s="1428"/>
      <c r="M118" s="1428"/>
      <c r="N118" s="1429"/>
      <c r="O118" s="1429"/>
      <c r="P118" s="1430"/>
      <c r="Q118" s="1430"/>
      <c r="R118" s="1431"/>
      <c r="S118" s="1432"/>
      <c r="T118" s="1433"/>
      <c r="U118" s="1422"/>
      <c r="V118" s="1453"/>
      <c r="W118" s="1453"/>
      <c r="X118" s="1453"/>
      <c r="Y118" s="1453"/>
      <c r="Z118" s="1453"/>
      <c r="AA118" s="1453"/>
      <c r="AB118" s="1453"/>
      <c r="AC118" s="1453"/>
      <c r="AD118" s="1453"/>
      <c r="AE118" s="1453"/>
      <c r="AF118" s="1453"/>
      <c r="AG118" s="1453"/>
      <c r="AH118" s="1453"/>
      <c r="AI118" s="1453"/>
      <c r="AJ118" s="1453"/>
      <c r="AK118" s="1434"/>
      <c r="AL118" s="1435"/>
      <c r="AM118" s="1436"/>
      <c r="AN118" s="1437"/>
      <c r="AO118" s="1438"/>
      <c r="AP118" s="1439"/>
      <c r="AQ118" s="1440"/>
      <c r="AR118" s="1441"/>
      <c r="AS118" s="1442"/>
      <c r="AT118" s="1443"/>
      <c r="AU118" s="1444"/>
      <c r="AV118" s="1442"/>
      <c r="AW118" s="1445"/>
      <c r="AX118" s="1446"/>
      <c r="AY118" s="1446"/>
      <c r="AZ118" s="1446"/>
      <c r="BA118" s="1447"/>
      <c r="BB118" s="1447"/>
      <c r="BC118" s="1446"/>
      <c r="BD118" s="1448"/>
      <c r="BE118" s="1442"/>
      <c r="BF118" s="1447"/>
      <c r="BG118" s="1449"/>
      <c r="BH118" s="1447"/>
      <c r="BI118" s="1447"/>
      <c r="BJ118" s="1449"/>
      <c r="BK118" s="1447"/>
      <c r="BL118" s="1447"/>
      <c r="BM118" s="1449"/>
      <c r="BN118" s="1447"/>
      <c r="BO118" s="1447"/>
      <c r="BP118" s="1448"/>
    </row>
    <row r="119">
      <c r="A119" s="1422"/>
      <c r="B119" s="1423"/>
      <c r="C119" s="1423"/>
      <c r="D119" s="1422"/>
      <c r="E119" s="1422"/>
      <c r="F119" s="1422"/>
      <c r="G119" s="1424"/>
      <c r="H119" s="1424"/>
      <c r="I119" s="1450"/>
      <c r="J119" s="1452"/>
      <c r="K119" s="1427"/>
      <c r="L119" s="1428"/>
      <c r="M119" s="1428"/>
      <c r="N119" s="1429"/>
      <c r="O119" s="1429"/>
      <c r="P119" s="1430"/>
      <c r="Q119" s="1430"/>
      <c r="R119" s="1431"/>
      <c r="S119" s="1432"/>
      <c r="T119" s="1433"/>
      <c r="U119" s="1422"/>
      <c r="V119" s="1453"/>
      <c r="W119" s="1453"/>
      <c r="X119" s="1453"/>
      <c r="Y119" s="1453"/>
      <c r="Z119" s="1422"/>
      <c r="AA119" s="1453"/>
      <c r="AB119" s="1453"/>
      <c r="AC119" s="1453"/>
      <c r="AD119" s="1453"/>
      <c r="AE119" s="1453"/>
      <c r="AF119" s="1453"/>
      <c r="AG119" s="1453"/>
      <c r="AH119" s="1453"/>
      <c r="AI119" s="1422"/>
      <c r="AJ119" s="1453"/>
      <c r="AK119" s="1434"/>
      <c r="AL119" s="1435"/>
      <c r="AM119" s="1436"/>
      <c r="AN119" s="1437"/>
      <c r="AO119" s="1438"/>
      <c r="AP119" s="1439"/>
      <c r="AQ119" s="1440"/>
      <c r="AR119" s="1441"/>
      <c r="AS119" s="1442"/>
      <c r="AT119" s="1443"/>
      <c r="AU119" s="1444"/>
      <c r="AV119" s="1442"/>
      <c r="AW119" s="1445"/>
      <c r="AX119" s="1446"/>
      <c r="AY119" s="1446"/>
      <c r="AZ119" s="1446"/>
      <c r="BA119" s="1447"/>
      <c r="BB119" s="1447"/>
      <c r="BC119" s="1446"/>
      <c r="BD119" s="1448"/>
      <c r="BE119" s="1442"/>
      <c r="BF119" s="1447"/>
      <c r="BG119" s="1449"/>
      <c r="BH119" s="1447"/>
      <c r="BI119" s="1447"/>
      <c r="BJ119" s="1449"/>
      <c r="BK119" s="1447"/>
      <c r="BL119" s="1447"/>
      <c r="BM119" s="1449"/>
      <c r="BN119" s="1447"/>
      <c r="BO119" s="1447"/>
      <c r="BP119" s="1448"/>
    </row>
    <row r="120">
      <c r="A120" s="1422"/>
      <c r="B120" s="1423"/>
      <c r="C120" s="1423"/>
      <c r="D120" s="1422"/>
      <c r="E120" s="1422"/>
      <c r="F120" s="1422"/>
      <c r="G120" s="1424"/>
      <c r="H120" s="1424"/>
      <c r="I120" s="1450"/>
      <c r="J120" s="1452"/>
      <c r="K120" s="1427"/>
      <c r="L120" s="1428"/>
      <c r="M120" s="1428"/>
      <c r="N120" s="1429"/>
      <c r="O120" s="1429"/>
      <c r="P120" s="1430"/>
      <c r="Q120" s="1430"/>
      <c r="R120" s="1431"/>
      <c r="S120" s="1432"/>
      <c r="T120" s="1433"/>
      <c r="U120" s="1422"/>
      <c r="V120" s="1453"/>
      <c r="W120" s="1453"/>
      <c r="X120" s="1453"/>
      <c r="Y120" s="1453"/>
      <c r="Z120" s="1422"/>
      <c r="AA120" s="1453"/>
      <c r="AB120" s="1453"/>
      <c r="AC120" s="1453"/>
      <c r="AD120" s="1453"/>
      <c r="AE120" s="1453"/>
      <c r="AF120" s="1453"/>
      <c r="AG120" s="1453"/>
      <c r="AH120" s="1453"/>
      <c r="AI120" s="1422"/>
      <c r="AJ120" s="1453"/>
      <c r="AK120" s="1434"/>
      <c r="AL120" s="1435"/>
      <c r="AM120" s="1436"/>
      <c r="AN120" s="1437"/>
      <c r="AO120" s="1438"/>
      <c r="AP120" s="1439"/>
      <c r="AQ120" s="1440"/>
      <c r="AR120" s="1441"/>
      <c r="AS120" s="1442"/>
      <c r="AT120" s="1443"/>
      <c r="AU120" s="1444"/>
      <c r="AV120" s="1442"/>
      <c r="AW120" s="1445"/>
      <c r="AX120" s="1446"/>
      <c r="AY120" s="1446"/>
      <c r="AZ120" s="1446"/>
      <c r="BA120" s="1447"/>
      <c r="BB120" s="1447"/>
      <c r="BC120" s="1446"/>
      <c r="BD120" s="1448"/>
      <c r="BE120" s="1442"/>
      <c r="BF120" s="1447"/>
      <c r="BG120" s="1449"/>
      <c r="BH120" s="1447"/>
      <c r="BI120" s="1447"/>
      <c r="BJ120" s="1449"/>
      <c r="BK120" s="1447"/>
      <c r="BL120" s="1447"/>
      <c r="BM120" s="1449"/>
      <c r="BN120" s="1447"/>
      <c r="BO120" s="1447"/>
      <c r="BP120" s="1448"/>
    </row>
    <row r="121">
      <c r="A121" s="1422"/>
      <c r="B121" s="1423"/>
      <c r="C121" s="1423"/>
      <c r="D121" s="1422"/>
      <c r="E121" s="1422"/>
      <c r="F121" s="1422"/>
      <c r="G121" s="1424"/>
      <c r="H121" s="1424"/>
      <c r="I121" s="1450"/>
      <c r="J121" s="1452"/>
      <c r="K121" s="1427"/>
      <c r="L121" s="1428"/>
      <c r="M121" s="1428"/>
      <c r="N121" s="1429"/>
      <c r="O121" s="1429"/>
      <c r="P121" s="1430"/>
      <c r="Q121" s="1430"/>
      <c r="R121" s="1431"/>
      <c r="S121" s="1432"/>
      <c r="T121" s="1433"/>
      <c r="U121" s="1422"/>
      <c r="V121" s="1453"/>
      <c r="W121" s="1453"/>
      <c r="X121" s="1453"/>
      <c r="Y121" s="1453"/>
      <c r="Z121" s="1422"/>
      <c r="AA121" s="1453"/>
      <c r="AB121" s="1453"/>
      <c r="AC121" s="1453"/>
      <c r="AD121" s="1453"/>
      <c r="AE121" s="1453"/>
      <c r="AF121" s="1453"/>
      <c r="AG121" s="1422"/>
      <c r="AH121" s="1453"/>
      <c r="AI121" s="1453"/>
      <c r="AJ121" s="1453"/>
      <c r="AK121" s="1434"/>
      <c r="AL121" s="1435"/>
      <c r="AM121" s="1436"/>
      <c r="AN121" s="1437"/>
      <c r="AO121" s="1438"/>
      <c r="AP121" s="1439"/>
      <c r="AQ121" s="1440"/>
      <c r="AR121" s="1441"/>
      <c r="AS121" s="1442"/>
      <c r="AT121" s="1443"/>
      <c r="AU121" s="1444"/>
      <c r="AV121" s="1442"/>
      <c r="AW121" s="1445"/>
      <c r="AX121" s="1446"/>
      <c r="AY121" s="1446"/>
      <c r="AZ121" s="1446"/>
      <c r="BA121" s="1447"/>
      <c r="BB121" s="1447"/>
      <c r="BC121" s="1446"/>
      <c r="BD121" s="1448"/>
      <c r="BE121" s="1442"/>
      <c r="BF121" s="1447"/>
      <c r="BG121" s="1449"/>
      <c r="BH121" s="1447"/>
      <c r="BI121" s="1447"/>
      <c r="BJ121" s="1449"/>
      <c r="BK121" s="1447"/>
      <c r="BL121" s="1447"/>
      <c r="BM121" s="1449"/>
      <c r="BN121" s="1447"/>
      <c r="BO121" s="1447"/>
      <c r="BP121" s="1448"/>
    </row>
    <row r="122">
      <c r="A122" s="1422"/>
      <c r="B122" s="1423"/>
      <c r="C122" s="1423"/>
      <c r="D122" s="1422"/>
      <c r="E122" s="1422"/>
      <c r="F122" s="1422"/>
      <c r="G122" s="1424"/>
      <c r="H122" s="1424"/>
      <c r="I122" s="1450"/>
      <c r="J122" s="1452"/>
      <c r="K122" s="1427"/>
      <c r="L122" s="1428"/>
      <c r="M122" s="1428"/>
      <c r="N122" s="1429"/>
      <c r="O122" s="1429"/>
      <c r="P122" s="1430"/>
      <c r="Q122" s="1430"/>
      <c r="R122" s="1431"/>
      <c r="S122" s="1432"/>
      <c r="T122" s="1433"/>
      <c r="U122" s="1422"/>
      <c r="V122" s="1453"/>
      <c r="W122" s="1453"/>
      <c r="X122" s="1453"/>
      <c r="Y122" s="1453"/>
      <c r="Z122" s="1453"/>
      <c r="AA122" s="1453"/>
      <c r="AB122" s="1453"/>
      <c r="AC122" s="1453"/>
      <c r="AD122" s="1453"/>
      <c r="AE122" s="1453"/>
      <c r="AF122" s="1422"/>
      <c r="AG122" s="1453"/>
      <c r="AH122" s="1453"/>
      <c r="AI122" s="1453"/>
      <c r="AJ122" s="1453"/>
      <c r="AK122" s="1434"/>
      <c r="AL122" s="1435"/>
      <c r="AM122" s="1436"/>
      <c r="AN122" s="1437"/>
      <c r="AO122" s="1438"/>
      <c r="AP122" s="1439"/>
      <c r="AQ122" s="1440"/>
      <c r="AR122" s="1441"/>
      <c r="AS122" s="1442"/>
      <c r="AT122" s="1443"/>
      <c r="AU122" s="1444"/>
      <c r="AV122" s="1442"/>
      <c r="AW122" s="1445"/>
      <c r="AX122" s="1446"/>
      <c r="AY122" s="1446"/>
      <c r="AZ122" s="1446"/>
      <c r="BA122" s="1447"/>
      <c r="BB122" s="1447"/>
      <c r="BC122" s="1446"/>
      <c r="BD122" s="1448"/>
      <c r="BE122" s="1442"/>
      <c r="BF122" s="1447"/>
      <c r="BG122" s="1449"/>
      <c r="BH122" s="1447"/>
      <c r="BI122" s="1447"/>
      <c r="BJ122" s="1449"/>
      <c r="BK122" s="1447"/>
      <c r="BL122" s="1447"/>
      <c r="BM122" s="1449"/>
      <c r="BN122" s="1447"/>
      <c r="BO122" s="1447"/>
      <c r="BP122" s="1448"/>
    </row>
    <row r="123">
      <c r="A123" s="1422"/>
      <c r="B123" s="1423"/>
      <c r="C123" s="1423"/>
      <c r="D123" s="1422"/>
      <c r="E123" s="1422"/>
      <c r="F123" s="1422"/>
      <c r="G123" s="1424"/>
      <c r="H123" s="1424"/>
      <c r="I123" s="1450"/>
      <c r="J123" s="1452"/>
      <c r="K123" s="1427"/>
      <c r="L123" s="1428"/>
      <c r="M123" s="1428"/>
      <c r="N123" s="1429"/>
      <c r="O123" s="1429"/>
      <c r="P123" s="1430"/>
      <c r="Q123" s="1430"/>
      <c r="R123" s="1431"/>
      <c r="S123" s="1432"/>
      <c r="T123" s="1433"/>
      <c r="U123" s="1422"/>
      <c r="V123" s="1453"/>
      <c r="W123" s="1453"/>
      <c r="X123" s="1453"/>
      <c r="Y123" s="1453"/>
      <c r="Z123" s="1453"/>
      <c r="AA123" s="1453"/>
      <c r="AB123" s="1453"/>
      <c r="AC123" s="1453"/>
      <c r="AD123" s="1453"/>
      <c r="AE123" s="1453"/>
      <c r="AF123" s="1453"/>
      <c r="AG123" s="1453"/>
      <c r="AH123" s="1453"/>
      <c r="AI123" s="1453"/>
      <c r="AJ123" s="1453"/>
      <c r="AK123" s="1434"/>
      <c r="AL123" s="1435"/>
      <c r="AM123" s="1436"/>
      <c r="AN123" s="1437"/>
      <c r="AO123" s="1438"/>
      <c r="AP123" s="1439"/>
      <c r="AQ123" s="1440"/>
      <c r="AR123" s="1441"/>
      <c r="AS123" s="1442"/>
      <c r="AT123" s="1443"/>
      <c r="AU123" s="1444"/>
      <c r="AV123" s="1442"/>
      <c r="AW123" s="1445"/>
      <c r="AX123" s="1446"/>
      <c r="AY123" s="1446"/>
      <c r="AZ123" s="1446"/>
      <c r="BA123" s="1447"/>
      <c r="BB123" s="1447"/>
      <c r="BC123" s="1446"/>
      <c r="BD123" s="1448"/>
      <c r="BE123" s="1442"/>
      <c r="BF123" s="1447"/>
      <c r="BG123" s="1449"/>
      <c r="BH123" s="1447"/>
      <c r="BI123" s="1447"/>
      <c r="BJ123" s="1449"/>
      <c r="BK123" s="1447"/>
      <c r="BL123" s="1447"/>
      <c r="BM123" s="1449"/>
      <c r="BN123" s="1447"/>
      <c r="BO123" s="1447"/>
      <c r="BP123" s="1448"/>
    </row>
    <row r="124">
      <c r="A124" s="1422"/>
      <c r="B124" s="1423"/>
      <c r="C124" s="1423"/>
      <c r="D124" s="1422"/>
      <c r="E124" s="1422"/>
      <c r="F124" s="1422"/>
      <c r="G124" s="1424"/>
      <c r="H124" s="1424"/>
      <c r="I124" s="1450"/>
      <c r="J124" s="1452"/>
      <c r="K124" s="1427"/>
      <c r="L124" s="1428"/>
      <c r="M124" s="1428"/>
      <c r="N124" s="1429"/>
      <c r="O124" s="1429"/>
      <c r="P124" s="1430"/>
      <c r="Q124" s="1430"/>
      <c r="R124" s="1431"/>
      <c r="S124" s="1432"/>
      <c r="T124" s="1433"/>
      <c r="U124" s="1422"/>
      <c r="V124" s="1453"/>
      <c r="W124" s="1453"/>
      <c r="X124" s="1453"/>
      <c r="Y124" s="1422"/>
      <c r="Z124" s="1453"/>
      <c r="AA124" s="1453"/>
      <c r="AB124" s="1453"/>
      <c r="AC124" s="1453"/>
      <c r="AD124" s="1453"/>
      <c r="AE124" s="1453"/>
      <c r="AF124" s="1453"/>
      <c r="AG124" s="1453"/>
      <c r="AH124" s="1453"/>
      <c r="AI124" s="1453"/>
      <c r="AJ124" s="1453"/>
      <c r="AK124" s="1434"/>
      <c r="AL124" s="1435"/>
      <c r="AM124" s="1436"/>
      <c r="AN124" s="1437"/>
      <c r="AO124" s="1438"/>
      <c r="AP124" s="1439"/>
      <c r="AQ124" s="1440"/>
      <c r="AR124" s="1441"/>
      <c r="AS124" s="1442"/>
      <c r="AT124" s="1443"/>
      <c r="AU124" s="1444"/>
      <c r="AV124" s="1442"/>
      <c r="AW124" s="1445"/>
      <c r="AX124" s="1446"/>
      <c r="AY124" s="1446"/>
      <c r="AZ124" s="1446"/>
      <c r="BA124" s="1447"/>
      <c r="BB124" s="1447"/>
      <c r="BC124" s="1446"/>
      <c r="BD124" s="1448"/>
      <c r="BE124" s="1442"/>
      <c r="BF124" s="1447"/>
      <c r="BG124" s="1449"/>
      <c r="BH124" s="1447"/>
      <c r="BI124" s="1447"/>
      <c r="BJ124" s="1449"/>
      <c r="BK124" s="1447"/>
      <c r="BL124" s="1447"/>
      <c r="BM124" s="1449"/>
      <c r="BN124" s="1447"/>
      <c r="BO124" s="1447"/>
      <c r="BP124" s="1448"/>
    </row>
    <row r="125">
      <c r="A125" s="1422"/>
      <c r="B125" s="1423"/>
      <c r="C125" s="1423"/>
      <c r="D125" s="1422"/>
      <c r="E125" s="1422"/>
      <c r="F125" s="1422"/>
      <c r="G125" s="1424"/>
      <c r="H125" s="1424"/>
      <c r="I125" s="1450"/>
      <c r="J125" s="1452"/>
      <c r="K125" s="1427"/>
      <c r="L125" s="1428"/>
      <c r="M125" s="1428"/>
      <c r="N125" s="1429"/>
      <c r="O125" s="1429"/>
      <c r="P125" s="1430"/>
      <c r="Q125" s="1430"/>
      <c r="R125" s="1431"/>
      <c r="S125" s="1432"/>
      <c r="T125" s="1433"/>
      <c r="U125" s="1422"/>
      <c r="V125" s="1453"/>
      <c r="W125" s="1453"/>
      <c r="X125" s="1453"/>
      <c r="Y125" s="1453"/>
      <c r="Z125" s="1453"/>
      <c r="AA125" s="1453"/>
      <c r="AB125" s="1453"/>
      <c r="AC125" s="1453"/>
      <c r="AD125" s="1453"/>
      <c r="AE125" s="1453"/>
      <c r="AF125" s="1453"/>
      <c r="AG125" s="1453"/>
      <c r="AH125" s="1453"/>
      <c r="AI125" s="1453"/>
      <c r="AJ125" s="1453"/>
      <c r="AK125" s="1434"/>
      <c r="AL125" s="1435"/>
      <c r="AM125" s="1436"/>
      <c r="AN125" s="1437"/>
      <c r="AO125" s="1438"/>
      <c r="AP125" s="1439"/>
      <c r="AQ125" s="1440"/>
      <c r="AR125" s="1441"/>
      <c r="AS125" s="1442"/>
      <c r="AT125" s="1443"/>
      <c r="AU125" s="1444"/>
      <c r="AV125" s="1442"/>
      <c r="AW125" s="1445"/>
      <c r="AX125" s="1446"/>
      <c r="AY125" s="1446"/>
      <c r="AZ125" s="1446"/>
      <c r="BA125" s="1447"/>
      <c r="BB125" s="1447"/>
      <c r="BC125" s="1446"/>
      <c r="BD125" s="1448"/>
      <c r="BE125" s="1442"/>
      <c r="BF125" s="1447"/>
      <c r="BG125" s="1449"/>
      <c r="BH125" s="1447"/>
      <c r="BI125" s="1447"/>
      <c r="BJ125" s="1449"/>
      <c r="BK125" s="1447"/>
      <c r="BL125" s="1447"/>
      <c r="BM125" s="1449"/>
      <c r="BN125" s="1447"/>
      <c r="BO125" s="1447"/>
      <c r="BP125" s="1448"/>
    </row>
    <row r="126">
      <c r="A126" s="1422"/>
      <c r="B126" s="1423"/>
      <c r="C126" s="1423"/>
      <c r="D126" s="1422"/>
      <c r="E126" s="1422"/>
      <c r="F126" s="1422"/>
      <c r="G126" s="1424"/>
      <c r="H126" s="1424"/>
      <c r="I126" s="1450"/>
      <c r="J126" s="1452"/>
      <c r="K126" s="1427"/>
      <c r="L126" s="1428"/>
      <c r="M126" s="1428"/>
      <c r="N126" s="1429"/>
      <c r="O126" s="1429"/>
      <c r="P126" s="1430"/>
      <c r="Q126" s="1430"/>
      <c r="R126" s="1431"/>
      <c r="S126" s="1432"/>
      <c r="T126" s="1433"/>
      <c r="U126" s="1422"/>
      <c r="V126" s="1453"/>
      <c r="W126" s="1453"/>
      <c r="X126" s="1453"/>
      <c r="Y126" s="1453"/>
      <c r="Z126" s="1453"/>
      <c r="AA126" s="1453"/>
      <c r="AB126" s="1453"/>
      <c r="AC126" s="1453"/>
      <c r="AD126" s="1453"/>
      <c r="AE126" s="1453"/>
      <c r="AF126" s="1453"/>
      <c r="AG126" s="1453"/>
      <c r="AH126" s="1453"/>
      <c r="AI126" s="1453"/>
      <c r="AJ126" s="1453"/>
      <c r="AK126" s="1434"/>
      <c r="AL126" s="1435"/>
      <c r="AM126" s="1436"/>
      <c r="AN126" s="1437"/>
      <c r="AO126" s="1438"/>
      <c r="AP126" s="1439"/>
      <c r="AQ126" s="1440"/>
      <c r="AR126" s="1441"/>
      <c r="AS126" s="1442"/>
      <c r="AT126" s="1443"/>
      <c r="AU126" s="1444"/>
      <c r="AV126" s="1442"/>
      <c r="AW126" s="1445"/>
      <c r="AX126" s="1446"/>
      <c r="AY126" s="1446"/>
      <c r="AZ126" s="1446"/>
      <c r="BA126" s="1447"/>
      <c r="BB126" s="1447"/>
      <c r="BC126" s="1446"/>
      <c r="BD126" s="1448"/>
      <c r="BE126" s="1442"/>
      <c r="BF126" s="1447"/>
      <c r="BG126" s="1449"/>
      <c r="BH126" s="1447"/>
      <c r="BI126" s="1447"/>
      <c r="BJ126" s="1449"/>
      <c r="BK126" s="1447"/>
      <c r="BL126" s="1447"/>
      <c r="BM126" s="1449"/>
      <c r="BN126" s="1447"/>
      <c r="BO126" s="1447"/>
      <c r="BP126" s="1448"/>
    </row>
    <row r="127">
      <c r="A127" s="1422"/>
      <c r="B127" s="1423"/>
      <c r="C127" s="1423"/>
      <c r="D127" s="1422"/>
      <c r="E127" s="1422"/>
      <c r="F127" s="1422"/>
      <c r="G127" s="1424"/>
      <c r="H127" s="1424"/>
      <c r="I127" s="1450"/>
      <c r="J127" s="1452"/>
      <c r="K127" s="1427"/>
      <c r="L127" s="1428"/>
      <c r="M127" s="1428"/>
      <c r="N127" s="1429"/>
      <c r="O127" s="1429"/>
      <c r="P127" s="1430"/>
      <c r="Q127" s="1430"/>
      <c r="R127" s="1431"/>
      <c r="S127" s="1432"/>
      <c r="T127" s="1433"/>
      <c r="U127" s="1422"/>
      <c r="V127" s="1453"/>
      <c r="W127" s="1422"/>
      <c r="X127" s="1453"/>
      <c r="Y127" s="1453"/>
      <c r="Z127" s="1453"/>
      <c r="AA127" s="1453"/>
      <c r="AB127" s="1453"/>
      <c r="AC127" s="1453"/>
      <c r="AD127" s="1453"/>
      <c r="AE127" s="1422"/>
      <c r="AF127" s="1453"/>
      <c r="AG127" s="1453"/>
      <c r="AH127" s="1453"/>
      <c r="AI127" s="1453"/>
      <c r="AJ127" s="1453"/>
      <c r="AK127" s="1434"/>
      <c r="AL127" s="1435"/>
      <c r="AM127" s="1436"/>
      <c r="AN127" s="1437"/>
      <c r="AO127" s="1438"/>
      <c r="AP127" s="1439"/>
      <c r="AQ127" s="1440"/>
      <c r="AR127" s="1441"/>
      <c r="AS127" s="1442"/>
      <c r="AT127" s="1443"/>
      <c r="AU127" s="1444"/>
      <c r="AV127" s="1442"/>
      <c r="AW127" s="1445"/>
      <c r="AX127" s="1446"/>
      <c r="AY127" s="1446"/>
      <c r="AZ127" s="1446"/>
      <c r="BA127" s="1447"/>
      <c r="BB127" s="1447"/>
      <c r="BC127" s="1446"/>
      <c r="BD127" s="1448"/>
      <c r="BE127" s="1442"/>
      <c r="BF127" s="1447"/>
      <c r="BG127" s="1449"/>
      <c r="BH127" s="1447"/>
      <c r="BI127" s="1447"/>
      <c r="BJ127" s="1449"/>
      <c r="BK127" s="1447"/>
      <c r="BL127" s="1447"/>
      <c r="BM127" s="1449"/>
      <c r="BN127" s="1447"/>
      <c r="BO127" s="1447"/>
      <c r="BP127" s="1448"/>
    </row>
    <row r="128">
      <c r="A128" s="1422"/>
      <c r="B128" s="1423"/>
      <c r="C128" s="1423"/>
      <c r="D128" s="1422"/>
      <c r="E128" s="1422"/>
      <c r="F128" s="1422"/>
      <c r="G128" s="1424"/>
      <c r="H128" s="1424"/>
      <c r="I128" s="1450"/>
      <c r="J128" s="1452"/>
      <c r="K128" s="1427"/>
      <c r="L128" s="1428"/>
      <c r="M128" s="1428"/>
      <c r="N128" s="1429"/>
      <c r="O128" s="1429"/>
      <c r="P128" s="1430"/>
      <c r="Q128" s="1430"/>
      <c r="R128" s="1431"/>
      <c r="S128" s="1432"/>
      <c r="T128" s="1433"/>
      <c r="U128" s="1422"/>
      <c r="V128" s="1453"/>
      <c r="W128" s="1453"/>
      <c r="X128" s="1453"/>
      <c r="Y128" s="1453"/>
      <c r="Z128" s="1453"/>
      <c r="AA128" s="1453"/>
      <c r="AB128" s="1453"/>
      <c r="AC128" s="1453"/>
      <c r="AD128" s="1453"/>
      <c r="AE128" s="1453"/>
      <c r="AF128" s="1453"/>
      <c r="AG128" s="1453"/>
      <c r="AH128" s="1453"/>
      <c r="AI128" s="1453"/>
      <c r="AJ128" s="1453"/>
      <c r="AK128" s="1434"/>
      <c r="AL128" s="1435"/>
      <c r="AM128" s="1436"/>
      <c r="AN128" s="1437"/>
      <c r="AO128" s="1438"/>
      <c r="AP128" s="1439"/>
      <c r="AQ128" s="1440"/>
      <c r="AR128" s="1441"/>
      <c r="AS128" s="1442"/>
      <c r="AT128" s="1443"/>
      <c r="AU128" s="1444"/>
      <c r="AV128" s="1442"/>
      <c r="AW128" s="1445"/>
      <c r="AX128" s="1446"/>
      <c r="AY128" s="1446"/>
      <c r="AZ128" s="1446"/>
      <c r="BA128" s="1447"/>
      <c r="BB128" s="1447"/>
      <c r="BC128" s="1446"/>
      <c r="BD128" s="1448"/>
      <c r="BE128" s="1442"/>
      <c r="BF128" s="1447"/>
      <c r="BG128" s="1449"/>
      <c r="BH128" s="1447"/>
      <c r="BI128" s="1447"/>
      <c r="BJ128" s="1449"/>
      <c r="BK128" s="1447"/>
      <c r="BL128" s="1447"/>
      <c r="BM128" s="1449"/>
      <c r="BN128" s="1447"/>
      <c r="BO128" s="1447"/>
      <c r="BP128" s="1448"/>
    </row>
    <row r="129">
      <c r="A129" s="1422"/>
      <c r="B129" s="1423"/>
      <c r="C129" s="1423"/>
      <c r="D129" s="1422"/>
      <c r="E129" s="1422"/>
      <c r="F129" s="1422"/>
      <c r="G129" s="1424"/>
      <c r="H129" s="1424"/>
      <c r="I129" s="1450"/>
      <c r="J129" s="1452"/>
      <c r="K129" s="1427"/>
      <c r="L129" s="1428"/>
      <c r="M129" s="1428"/>
      <c r="N129" s="1429"/>
      <c r="O129" s="1429"/>
      <c r="P129" s="1430"/>
      <c r="Q129" s="1430"/>
      <c r="R129" s="1431"/>
      <c r="S129" s="1432"/>
      <c r="T129" s="1433"/>
      <c r="U129" s="1422"/>
      <c r="V129" s="1453"/>
      <c r="W129" s="1453"/>
      <c r="X129" s="1453"/>
      <c r="Y129" s="1453"/>
      <c r="Z129" s="1453"/>
      <c r="AA129" s="1453"/>
      <c r="AB129" s="1453"/>
      <c r="AC129" s="1453"/>
      <c r="AD129" s="1453"/>
      <c r="AE129" s="1453"/>
      <c r="AF129" s="1453"/>
      <c r="AG129" s="1453"/>
      <c r="AH129" s="1453"/>
      <c r="AI129" s="1453"/>
      <c r="AJ129" s="1453"/>
      <c r="AK129" s="1434"/>
      <c r="AL129" s="1435"/>
      <c r="AM129" s="1436"/>
      <c r="AN129" s="1437"/>
      <c r="AO129" s="1438"/>
      <c r="AP129" s="1439"/>
      <c r="AQ129" s="1440"/>
      <c r="AR129" s="1441"/>
      <c r="AS129" s="1442"/>
      <c r="AT129" s="1443"/>
      <c r="AU129" s="1444"/>
      <c r="AV129" s="1442"/>
      <c r="AW129" s="1445"/>
      <c r="AX129" s="1446"/>
      <c r="AY129" s="1446"/>
      <c r="AZ129" s="1446"/>
      <c r="BA129" s="1447"/>
      <c r="BB129" s="1447"/>
      <c r="BC129" s="1446"/>
      <c r="BD129" s="1448"/>
      <c r="BE129" s="1442"/>
      <c r="BF129" s="1447"/>
      <c r="BG129" s="1449"/>
      <c r="BH129" s="1447"/>
      <c r="BI129" s="1447"/>
      <c r="BJ129" s="1449"/>
      <c r="BK129" s="1447"/>
      <c r="BL129" s="1447"/>
      <c r="BM129" s="1449"/>
      <c r="BN129" s="1447"/>
      <c r="BO129" s="1447"/>
      <c r="BP129" s="1448"/>
    </row>
    <row r="130">
      <c r="A130" s="1422"/>
      <c r="B130" s="1423"/>
      <c r="C130" s="1423"/>
      <c r="D130" s="1422"/>
      <c r="E130" s="1422"/>
      <c r="F130" s="1422"/>
      <c r="G130" s="1424"/>
      <c r="H130" s="1424"/>
      <c r="I130" s="1450"/>
      <c r="J130" s="1452"/>
      <c r="K130" s="1427"/>
      <c r="L130" s="1428"/>
      <c r="M130" s="1428"/>
      <c r="N130" s="1429"/>
      <c r="O130" s="1429"/>
      <c r="P130" s="1430"/>
      <c r="Q130" s="1430"/>
      <c r="R130" s="1431"/>
      <c r="S130" s="1432"/>
      <c r="T130" s="1433"/>
      <c r="U130" s="1422"/>
      <c r="V130" s="1453"/>
      <c r="W130" s="1453"/>
      <c r="X130" s="1453"/>
      <c r="Y130" s="1422"/>
      <c r="Z130" s="1453"/>
      <c r="AA130" s="1453"/>
      <c r="AB130" s="1453"/>
      <c r="AC130" s="1453"/>
      <c r="AD130" s="1453"/>
      <c r="AE130" s="1422"/>
      <c r="AF130" s="1453"/>
      <c r="AG130" s="1453"/>
      <c r="AH130" s="1453"/>
      <c r="AI130" s="1453"/>
      <c r="AJ130" s="1453"/>
      <c r="AK130" s="1434"/>
      <c r="AL130" s="1435"/>
      <c r="AM130" s="1436"/>
      <c r="AN130" s="1437"/>
      <c r="AO130" s="1438"/>
      <c r="AP130" s="1439"/>
      <c r="AQ130" s="1440"/>
      <c r="AR130" s="1441"/>
      <c r="AS130" s="1442"/>
      <c r="AT130" s="1443"/>
      <c r="AU130" s="1444"/>
      <c r="AV130" s="1442"/>
      <c r="AW130" s="1445"/>
      <c r="AX130" s="1446"/>
      <c r="AY130" s="1446"/>
      <c r="AZ130" s="1446"/>
      <c r="BA130" s="1447"/>
      <c r="BB130" s="1447"/>
      <c r="BC130" s="1446"/>
      <c r="BD130" s="1448"/>
      <c r="BE130" s="1442"/>
      <c r="BF130" s="1447"/>
      <c r="BG130" s="1449"/>
      <c r="BH130" s="1447"/>
      <c r="BI130" s="1447"/>
      <c r="BJ130" s="1449"/>
      <c r="BK130" s="1447"/>
      <c r="BL130" s="1447"/>
      <c r="BM130" s="1449"/>
      <c r="BN130" s="1447"/>
      <c r="BO130" s="1447"/>
      <c r="BP130" s="1448"/>
    </row>
    <row r="131">
      <c r="A131" s="1422"/>
      <c r="B131" s="1423"/>
      <c r="C131" s="1423"/>
      <c r="D131" s="1422"/>
      <c r="E131" s="1422"/>
      <c r="F131" s="1422"/>
      <c r="G131" s="1424"/>
      <c r="H131" s="1424"/>
      <c r="I131" s="1450"/>
      <c r="J131" s="1452"/>
      <c r="K131" s="1427"/>
      <c r="L131" s="1428"/>
      <c r="M131" s="1428"/>
      <c r="N131" s="1429"/>
      <c r="O131" s="1429"/>
      <c r="P131" s="1430"/>
      <c r="Q131" s="1430"/>
      <c r="R131" s="1431"/>
      <c r="S131" s="1432"/>
      <c r="T131" s="1433"/>
      <c r="U131" s="1422"/>
      <c r="V131" s="1453"/>
      <c r="W131" s="1453"/>
      <c r="X131" s="1453"/>
      <c r="Y131" s="1453"/>
      <c r="Z131" s="1453"/>
      <c r="AA131" s="1453"/>
      <c r="AB131" s="1453"/>
      <c r="AC131" s="1453"/>
      <c r="AD131" s="1453"/>
      <c r="AE131" s="1453"/>
      <c r="AF131" s="1453"/>
      <c r="AG131" s="1453"/>
      <c r="AH131" s="1453"/>
      <c r="AI131" s="1453"/>
      <c r="AJ131" s="1453"/>
      <c r="AK131" s="1434"/>
      <c r="AL131" s="1435"/>
      <c r="AM131" s="1436"/>
      <c r="AN131" s="1437"/>
      <c r="AO131" s="1438"/>
      <c r="AP131" s="1439"/>
      <c r="AQ131" s="1440"/>
      <c r="AR131" s="1441"/>
      <c r="AS131" s="1442"/>
      <c r="AT131" s="1443"/>
      <c r="AU131" s="1444"/>
      <c r="AV131" s="1442"/>
      <c r="AW131" s="1445"/>
      <c r="AX131" s="1446"/>
      <c r="AY131" s="1446"/>
      <c r="AZ131" s="1446"/>
      <c r="BA131" s="1447"/>
      <c r="BB131" s="1447"/>
      <c r="BC131" s="1446"/>
      <c r="BD131" s="1448"/>
      <c r="BE131" s="1442"/>
      <c r="BF131" s="1447"/>
      <c r="BG131" s="1449"/>
      <c r="BH131" s="1447"/>
      <c r="BI131" s="1447"/>
      <c r="BJ131" s="1449"/>
      <c r="BK131" s="1447"/>
      <c r="BL131" s="1447"/>
      <c r="BM131" s="1449"/>
      <c r="BN131" s="1447"/>
      <c r="BO131" s="1447"/>
      <c r="BP131" s="1448"/>
    </row>
    <row r="132">
      <c r="A132" s="1422"/>
      <c r="B132" s="1423"/>
      <c r="C132" s="1423"/>
      <c r="D132" s="1422"/>
      <c r="E132" s="1422"/>
      <c r="F132" s="1422"/>
      <c r="G132" s="1424"/>
      <c r="H132" s="1424"/>
      <c r="I132" s="1450"/>
      <c r="J132" s="1452"/>
      <c r="K132" s="1427"/>
      <c r="L132" s="1428"/>
      <c r="M132" s="1428"/>
      <c r="N132" s="1429"/>
      <c r="O132" s="1429"/>
      <c r="P132" s="1430"/>
      <c r="Q132" s="1430"/>
      <c r="R132" s="1431"/>
      <c r="S132" s="1432"/>
      <c r="T132" s="1433"/>
      <c r="U132" s="1422"/>
      <c r="V132" s="1453"/>
      <c r="W132" s="1453"/>
      <c r="X132" s="1453"/>
      <c r="Y132" s="1422"/>
      <c r="Z132" s="1453"/>
      <c r="AA132" s="1453"/>
      <c r="AB132" s="1453"/>
      <c r="AC132" s="1453"/>
      <c r="AD132" s="1453"/>
      <c r="AE132" s="1453"/>
      <c r="AF132" s="1453"/>
      <c r="AG132" s="1453"/>
      <c r="AH132" s="1453"/>
      <c r="AI132" s="1453"/>
      <c r="AJ132" s="1453"/>
      <c r="AK132" s="1434"/>
      <c r="AL132" s="1435"/>
      <c r="AM132" s="1436"/>
      <c r="AN132" s="1437"/>
      <c r="AO132" s="1438"/>
      <c r="AP132" s="1439"/>
      <c r="AQ132" s="1440"/>
      <c r="AR132" s="1441"/>
      <c r="AS132" s="1442"/>
      <c r="AT132" s="1443"/>
      <c r="AU132" s="1444"/>
      <c r="AV132" s="1442"/>
      <c r="AW132" s="1445"/>
      <c r="AX132" s="1446"/>
      <c r="AY132" s="1446"/>
      <c r="AZ132" s="1446"/>
      <c r="BA132" s="1447"/>
      <c r="BB132" s="1447"/>
      <c r="BC132" s="1446"/>
      <c r="BD132" s="1448"/>
      <c r="BE132" s="1442"/>
      <c r="BF132" s="1447"/>
      <c r="BG132" s="1449"/>
      <c r="BH132" s="1447"/>
      <c r="BI132" s="1447"/>
      <c r="BJ132" s="1449"/>
      <c r="BK132" s="1447"/>
      <c r="BL132" s="1447"/>
      <c r="BM132" s="1449"/>
      <c r="BN132" s="1447"/>
      <c r="BO132" s="1447"/>
      <c r="BP132" s="1448"/>
    </row>
    <row r="133">
      <c r="A133" s="1422"/>
      <c r="B133" s="1423"/>
      <c r="C133" s="1423"/>
      <c r="D133" s="1422"/>
      <c r="E133" s="1422"/>
      <c r="F133" s="1422"/>
      <c r="G133" s="1424"/>
      <c r="H133" s="1424"/>
      <c r="I133" s="1450"/>
      <c r="J133" s="1452"/>
      <c r="K133" s="1427"/>
      <c r="L133" s="1428"/>
      <c r="M133" s="1428"/>
      <c r="N133" s="1429"/>
      <c r="O133" s="1429"/>
      <c r="P133" s="1430"/>
      <c r="Q133" s="1430"/>
      <c r="R133" s="1431"/>
      <c r="S133" s="1432"/>
      <c r="T133" s="1433"/>
      <c r="U133" s="1422"/>
      <c r="V133" s="1453"/>
      <c r="W133" s="1453"/>
      <c r="X133" s="1453"/>
      <c r="Y133" s="1453"/>
      <c r="Z133" s="1453"/>
      <c r="AA133" s="1453"/>
      <c r="AB133" s="1453"/>
      <c r="AC133" s="1453"/>
      <c r="AD133" s="1453"/>
      <c r="AE133" s="1453"/>
      <c r="AF133" s="1453"/>
      <c r="AG133" s="1453"/>
      <c r="AH133" s="1453"/>
      <c r="AI133" s="1453"/>
      <c r="AJ133" s="1453"/>
      <c r="AK133" s="1434"/>
      <c r="AL133" s="1435"/>
      <c r="AM133" s="1436"/>
      <c r="AN133" s="1437"/>
      <c r="AO133" s="1438"/>
      <c r="AP133" s="1439"/>
      <c r="AQ133" s="1440"/>
      <c r="AR133" s="1441"/>
      <c r="AS133" s="1442"/>
      <c r="AT133" s="1443"/>
      <c r="AU133" s="1444"/>
      <c r="AV133" s="1442"/>
      <c r="AW133" s="1445"/>
      <c r="AX133" s="1446"/>
      <c r="AY133" s="1446"/>
      <c r="AZ133" s="1446"/>
      <c r="BA133" s="1447"/>
      <c r="BB133" s="1447"/>
      <c r="BC133" s="1446"/>
      <c r="BD133" s="1448"/>
      <c r="BE133" s="1442"/>
      <c r="BF133" s="1447"/>
      <c r="BG133" s="1449"/>
      <c r="BH133" s="1447"/>
      <c r="BI133" s="1447"/>
      <c r="BJ133" s="1449"/>
      <c r="BK133" s="1447"/>
      <c r="BL133" s="1447"/>
      <c r="BM133" s="1449"/>
      <c r="BN133" s="1447"/>
      <c r="BO133" s="1447"/>
      <c r="BP133" s="1448"/>
    </row>
    <row r="134">
      <c r="A134" s="1422"/>
      <c r="B134" s="1423"/>
      <c r="C134" s="1423"/>
      <c r="D134" s="1422"/>
      <c r="E134" s="1422"/>
      <c r="F134" s="1422"/>
      <c r="G134" s="1424"/>
      <c r="H134" s="1424"/>
      <c r="I134" s="1450"/>
      <c r="J134" s="1452"/>
      <c r="K134" s="1427"/>
      <c r="L134" s="1428"/>
      <c r="M134" s="1428"/>
      <c r="N134" s="1429"/>
      <c r="O134" s="1429"/>
      <c r="P134" s="1430"/>
      <c r="Q134" s="1430"/>
      <c r="R134" s="1431"/>
      <c r="S134" s="1432"/>
      <c r="T134" s="1433"/>
      <c r="U134" s="1422"/>
      <c r="V134" s="1453"/>
      <c r="W134" s="1453"/>
      <c r="X134" s="1453"/>
      <c r="Y134" s="1453"/>
      <c r="Z134" s="1453"/>
      <c r="AA134" s="1453"/>
      <c r="AB134" s="1453"/>
      <c r="AC134" s="1453"/>
      <c r="AD134" s="1453"/>
      <c r="AE134" s="1453"/>
      <c r="AF134" s="1453"/>
      <c r="AG134" s="1453"/>
      <c r="AH134" s="1453"/>
      <c r="AI134" s="1453"/>
      <c r="AJ134" s="1453"/>
      <c r="AK134" s="1434"/>
      <c r="AL134" s="1435"/>
      <c r="AM134" s="1436"/>
      <c r="AN134" s="1437"/>
      <c r="AO134" s="1438"/>
      <c r="AP134" s="1439"/>
      <c r="AQ134" s="1440"/>
      <c r="AR134" s="1441"/>
      <c r="AS134" s="1442"/>
      <c r="AT134" s="1443"/>
      <c r="AU134" s="1444"/>
      <c r="AV134" s="1442"/>
      <c r="AW134" s="1445"/>
      <c r="AX134" s="1446"/>
      <c r="AY134" s="1446"/>
      <c r="AZ134" s="1446"/>
      <c r="BA134" s="1447"/>
      <c r="BB134" s="1447"/>
      <c r="BC134" s="1446"/>
      <c r="BD134" s="1448"/>
      <c r="BE134" s="1442"/>
      <c r="BF134" s="1447"/>
      <c r="BG134" s="1449"/>
      <c r="BH134" s="1447"/>
      <c r="BI134" s="1447"/>
      <c r="BJ134" s="1449"/>
      <c r="BK134" s="1447"/>
      <c r="BL134" s="1447"/>
      <c r="BM134" s="1449"/>
      <c r="BN134" s="1447"/>
      <c r="BO134" s="1447"/>
      <c r="BP134" s="1448"/>
    </row>
    <row r="135">
      <c r="A135" s="1422"/>
      <c r="B135" s="1423"/>
      <c r="C135" s="1423"/>
      <c r="D135" s="1422"/>
      <c r="E135" s="1422"/>
      <c r="F135" s="1422"/>
      <c r="G135" s="1424"/>
      <c r="H135" s="1424"/>
      <c r="I135" s="1450"/>
      <c r="J135" s="1452"/>
      <c r="K135" s="1427"/>
      <c r="L135" s="1428"/>
      <c r="M135" s="1428"/>
      <c r="N135" s="1429"/>
      <c r="O135" s="1429"/>
      <c r="P135" s="1430"/>
      <c r="Q135" s="1430"/>
      <c r="R135" s="1431"/>
      <c r="S135" s="1432"/>
      <c r="T135" s="1433"/>
      <c r="U135" s="1422"/>
      <c r="V135" s="1453"/>
      <c r="W135" s="1453"/>
      <c r="X135" s="1453"/>
      <c r="Y135" s="1453"/>
      <c r="Z135" s="1453"/>
      <c r="AA135" s="1453"/>
      <c r="AB135" s="1453"/>
      <c r="AC135" s="1453"/>
      <c r="AD135" s="1453"/>
      <c r="AE135" s="1453"/>
      <c r="AF135" s="1453"/>
      <c r="AG135" s="1453"/>
      <c r="AH135" s="1453"/>
      <c r="AI135" s="1453"/>
      <c r="AJ135" s="1453"/>
      <c r="AK135" s="1434"/>
      <c r="AL135" s="1435"/>
      <c r="AM135" s="1436"/>
      <c r="AN135" s="1437"/>
      <c r="AO135" s="1438"/>
      <c r="AP135" s="1439"/>
      <c r="AQ135" s="1440"/>
      <c r="AR135" s="1441"/>
      <c r="AS135" s="1442"/>
      <c r="AT135" s="1443"/>
      <c r="AU135" s="1444"/>
      <c r="AV135" s="1442"/>
      <c r="AW135" s="1445"/>
      <c r="AX135" s="1446"/>
      <c r="AY135" s="1446"/>
      <c r="AZ135" s="1446"/>
      <c r="BA135" s="1447"/>
      <c r="BB135" s="1447"/>
      <c r="BC135" s="1446"/>
      <c r="BD135" s="1448"/>
      <c r="BE135" s="1442"/>
      <c r="BF135" s="1447"/>
      <c r="BG135" s="1449"/>
      <c r="BH135" s="1447"/>
      <c r="BI135" s="1447"/>
      <c r="BJ135" s="1449"/>
      <c r="BK135" s="1447"/>
      <c r="BL135" s="1447"/>
      <c r="BM135" s="1449"/>
      <c r="BN135" s="1447"/>
      <c r="BO135" s="1447"/>
      <c r="BP135" s="1448"/>
    </row>
    <row r="136">
      <c r="A136" s="1422"/>
      <c r="B136" s="1423"/>
      <c r="C136" s="1423"/>
      <c r="D136" s="1422"/>
      <c r="E136" s="1422"/>
      <c r="F136" s="1422"/>
      <c r="G136" s="1424"/>
      <c r="H136" s="1424"/>
      <c r="I136" s="1450"/>
      <c r="J136" s="1452"/>
      <c r="K136" s="1427"/>
      <c r="L136" s="1428"/>
      <c r="M136" s="1428"/>
      <c r="N136" s="1429"/>
      <c r="O136" s="1429"/>
      <c r="P136" s="1430"/>
      <c r="Q136" s="1430"/>
      <c r="R136" s="1431"/>
      <c r="S136" s="1432"/>
      <c r="T136" s="1433"/>
      <c r="U136" s="1422"/>
      <c r="V136" s="1453"/>
      <c r="W136" s="1453"/>
      <c r="X136" s="1453"/>
      <c r="Y136" s="1453"/>
      <c r="Z136" s="1453"/>
      <c r="AA136" s="1453"/>
      <c r="AB136" s="1453"/>
      <c r="AC136" s="1453"/>
      <c r="AD136" s="1453"/>
      <c r="AE136" s="1453"/>
      <c r="AF136" s="1453"/>
      <c r="AG136" s="1453"/>
      <c r="AH136" s="1453"/>
      <c r="AI136" s="1453"/>
      <c r="AJ136" s="1453"/>
      <c r="AK136" s="1434"/>
      <c r="AL136" s="1435"/>
      <c r="AM136" s="1436"/>
      <c r="AN136" s="1437"/>
      <c r="AO136" s="1438"/>
      <c r="AP136" s="1439"/>
      <c r="AQ136" s="1440"/>
      <c r="AR136" s="1441"/>
      <c r="AS136" s="1442"/>
      <c r="AT136" s="1443"/>
      <c r="AU136" s="1444"/>
      <c r="AV136" s="1442"/>
      <c r="AW136" s="1445"/>
      <c r="AX136" s="1446"/>
      <c r="AY136" s="1446"/>
      <c r="AZ136" s="1446"/>
      <c r="BA136" s="1447"/>
      <c r="BB136" s="1447"/>
      <c r="BC136" s="1446"/>
      <c r="BD136" s="1448"/>
      <c r="BE136" s="1442"/>
      <c r="BF136" s="1447"/>
      <c r="BG136" s="1449"/>
      <c r="BH136" s="1447"/>
      <c r="BI136" s="1447"/>
      <c r="BJ136" s="1449"/>
      <c r="BK136" s="1447"/>
      <c r="BL136" s="1447"/>
      <c r="BM136" s="1449"/>
      <c r="BN136" s="1447"/>
      <c r="BO136" s="1447"/>
      <c r="BP136" s="1448"/>
    </row>
    <row r="137">
      <c r="A137" s="1422"/>
      <c r="B137" s="1423"/>
      <c r="C137" s="1423"/>
      <c r="D137" s="1422"/>
      <c r="E137" s="1422"/>
      <c r="F137" s="1422"/>
      <c r="G137" s="1424"/>
      <c r="H137" s="1424"/>
      <c r="I137" s="1450"/>
      <c r="J137" s="1452"/>
      <c r="K137" s="1427"/>
      <c r="L137" s="1428"/>
      <c r="M137" s="1428"/>
      <c r="N137" s="1429"/>
      <c r="O137" s="1429"/>
      <c r="P137" s="1430"/>
      <c r="Q137" s="1430"/>
      <c r="R137" s="1431"/>
      <c r="S137" s="1432"/>
      <c r="T137" s="1433"/>
      <c r="U137" s="1422"/>
      <c r="V137" s="1453"/>
      <c r="W137" s="1453"/>
      <c r="X137" s="1453"/>
      <c r="Y137" s="1453"/>
      <c r="Z137" s="1453"/>
      <c r="AA137" s="1453"/>
      <c r="AB137" s="1453"/>
      <c r="AC137" s="1453"/>
      <c r="AD137" s="1453"/>
      <c r="AE137" s="1453"/>
      <c r="AF137" s="1453"/>
      <c r="AG137" s="1453"/>
      <c r="AH137" s="1453"/>
      <c r="AI137" s="1453"/>
      <c r="AJ137" s="1453"/>
      <c r="AK137" s="1434"/>
      <c r="AL137" s="1435"/>
      <c r="AM137" s="1436"/>
      <c r="AN137" s="1437"/>
      <c r="AO137" s="1438"/>
      <c r="AP137" s="1439"/>
      <c r="AQ137" s="1440"/>
      <c r="AR137" s="1441"/>
      <c r="AS137" s="1442"/>
      <c r="AT137" s="1443"/>
      <c r="AU137" s="1444"/>
      <c r="AV137" s="1442"/>
      <c r="AW137" s="1445"/>
      <c r="AX137" s="1446"/>
      <c r="AY137" s="1446"/>
      <c r="AZ137" s="1446"/>
      <c r="BA137" s="1447"/>
      <c r="BB137" s="1447"/>
      <c r="BC137" s="1446"/>
      <c r="BD137" s="1448"/>
      <c r="BE137" s="1442"/>
      <c r="BF137" s="1447"/>
      <c r="BG137" s="1449"/>
      <c r="BH137" s="1447"/>
      <c r="BI137" s="1447"/>
      <c r="BJ137" s="1449"/>
      <c r="BK137" s="1447"/>
      <c r="BL137" s="1447"/>
      <c r="BM137" s="1449"/>
      <c r="BN137" s="1447"/>
      <c r="BO137" s="1447"/>
      <c r="BP137" s="1448"/>
    </row>
    <row r="138">
      <c r="A138" s="1422"/>
      <c r="B138" s="1423"/>
      <c r="C138" s="1423"/>
      <c r="D138" s="1422"/>
      <c r="E138" s="1422"/>
      <c r="F138" s="1422"/>
      <c r="G138" s="1424"/>
      <c r="H138" s="1424"/>
      <c r="I138" s="1450"/>
      <c r="J138" s="1452"/>
      <c r="K138" s="1427"/>
      <c r="L138" s="1428"/>
      <c r="M138" s="1428"/>
      <c r="N138" s="1429"/>
      <c r="O138" s="1429"/>
      <c r="P138" s="1430"/>
      <c r="Q138" s="1430"/>
      <c r="R138" s="1431"/>
      <c r="S138" s="1432"/>
      <c r="T138" s="1433"/>
      <c r="U138" s="1422"/>
      <c r="V138" s="1453"/>
      <c r="W138" s="1453"/>
      <c r="X138" s="1453"/>
      <c r="Y138" s="1453"/>
      <c r="Z138" s="1453"/>
      <c r="AA138" s="1453"/>
      <c r="AB138" s="1453"/>
      <c r="AC138" s="1453"/>
      <c r="AD138" s="1453"/>
      <c r="AE138" s="1453"/>
      <c r="AF138" s="1453"/>
      <c r="AG138" s="1453"/>
      <c r="AH138" s="1453"/>
      <c r="AI138" s="1453"/>
      <c r="AJ138" s="1453"/>
      <c r="AK138" s="1434"/>
      <c r="AL138" s="1435"/>
      <c r="AM138" s="1436"/>
      <c r="AN138" s="1437"/>
      <c r="AO138" s="1438"/>
      <c r="AP138" s="1439"/>
      <c r="AQ138" s="1440"/>
      <c r="AR138" s="1441"/>
      <c r="AS138" s="1442"/>
      <c r="AT138" s="1443"/>
      <c r="AU138" s="1444"/>
      <c r="AV138" s="1442"/>
      <c r="AW138" s="1445"/>
      <c r="AX138" s="1446"/>
      <c r="AY138" s="1446"/>
      <c r="AZ138" s="1446"/>
      <c r="BA138" s="1447"/>
      <c r="BB138" s="1447"/>
      <c r="BC138" s="1446"/>
      <c r="BD138" s="1448"/>
      <c r="BE138" s="1442"/>
      <c r="BF138" s="1447"/>
      <c r="BG138" s="1449"/>
      <c r="BH138" s="1447"/>
      <c r="BI138" s="1447"/>
      <c r="BJ138" s="1449"/>
      <c r="BK138" s="1447"/>
      <c r="BL138" s="1447"/>
      <c r="BM138" s="1449"/>
      <c r="BN138" s="1447"/>
      <c r="BO138" s="1447"/>
      <c r="BP138" s="1448"/>
    </row>
    <row r="139">
      <c r="A139" s="1422"/>
      <c r="B139" s="1423"/>
      <c r="C139" s="1423"/>
      <c r="D139" s="1422"/>
      <c r="E139" s="1422"/>
      <c r="F139" s="1422"/>
      <c r="G139" s="1424"/>
      <c r="H139" s="1424"/>
      <c r="I139" s="1450"/>
      <c r="J139" s="1452"/>
      <c r="K139" s="1427"/>
      <c r="L139" s="1428"/>
      <c r="M139" s="1428"/>
      <c r="N139" s="1429"/>
      <c r="O139" s="1429"/>
      <c r="P139" s="1430"/>
      <c r="Q139" s="1430"/>
      <c r="R139" s="1431"/>
      <c r="S139" s="1432"/>
      <c r="T139" s="1433"/>
      <c r="U139" s="1422"/>
      <c r="V139" s="1453"/>
      <c r="W139" s="1453"/>
      <c r="X139" s="1453"/>
      <c r="Y139" s="1422"/>
      <c r="Z139" s="1453"/>
      <c r="AA139" s="1453"/>
      <c r="AB139" s="1453"/>
      <c r="AC139" s="1453"/>
      <c r="AD139" s="1453"/>
      <c r="AE139" s="1453"/>
      <c r="AF139" s="1453"/>
      <c r="AG139" s="1453"/>
      <c r="AH139" s="1453"/>
      <c r="AI139" s="1453"/>
      <c r="AJ139" s="1453"/>
      <c r="AK139" s="1434"/>
      <c r="AL139" s="1435"/>
      <c r="AM139" s="1436"/>
      <c r="AN139" s="1437"/>
      <c r="AO139" s="1438"/>
      <c r="AP139" s="1439"/>
      <c r="AQ139" s="1440"/>
      <c r="AR139" s="1441"/>
      <c r="AS139" s="1442"/>
      <c r="AT139" s="1443"/>
      <c r="AU139" s="1444"/>
      <c r="AV139" s="1442"/>
      <c r="AW139" s="1445"/>
      <c r="AX139" s="1446"/>
      <c r="AY139" s="1446"/>
      <c r="AZ139" s="1446"/>
      <c r="BA139" s="1447"/>
      <c r="BB139" s="1447"/>
      <c r="BC139" s="1446"/>
      <c r="BD139" s="1448"/>
      <c r="BE139" s="1442"/>
      <c r="BF139" s="1447"/>
      <c r="BG139" s="1449"/>
      <c r="BH139" s="1447"/>
      <c r="BI139" s="1447"/>
      <c r="BJ139" s="1449"/>
      <c r="BK139" s="1447"/>
      <c r="BL139" s="1447"/>
      <c r="BM139" s="1449"/>
      <c r="BN139" s="1447"/>
      <c r="BO139" s="1447"/>
      <c r="BP139" s="1448"/>
    </row>
    <row r="140">
      <c r="A140" s="1422"/>
      <c r="B140" s="1423"/>
      <c r="C140" s="1423"/>
      <c r="D140" s="1422"/>
      <c r="E140" s="1422"/>
      <c r="F140" s="1422"/>
      <c r="G140" s="1424"/>
      <c r="H140" s="1424"/>
      <c r="I140" s="1450"/>
      <c r="J140" s="1452"/>
      <c r="K140" s="1427"/>
      <c r="L140" s="1428"/>
      <c r="M140" s="1428"/>
      <c r="N140" s="1429"/>
      <c r="O140" s="1429"/>
      <c r="P140" s="1430"/>
      <c r="Q140" s="1430"/>
      <c r="R140" s="1431"/>
      <c r="S140" s="1432"/>
      <c r="T140" s="1433"/>
      <c r="U140" s="1422"/>
      <c r="V140" s="1453"/>
      <c r="W140" s="1453"/>
      <c r="X140" s="1453"/>
      <c r="Y140" s="1453"/>
      <c r="Z140" s="1453"/>
      <c r="AA140" s="1453"/>
      <c r="AB140" s="1453"/>
      <c r="AC140" s="1453"/>
      <c r="AD140" s="1453"/>
      <c r="AE140" s="1453"/>
      <c r="AF140" s="1453"/>
      <c r="AG140" s="1453"/>
      <c r="AH140" s="1453"/>
      <c r="AI140" s="1453"/>
      <c r="AJ140" s="1453"/>
      <c r="AK140" s="1434"/>
      <c r="AL140" s="1435"/>
      <c r="AM140" s="1436"/>
      <c r="AN140" s="1437"/>
      <c r="AO140" s="1438"/>
      <c r="AP140" s="1439"/>
      <c r="AQ140" s="1440"/>
      <c r="AR140" s="1441"/>
      <c r="AS140" s="1442"/>
      <c r="AT140" s="1443"/>
      <c r="AU140" s="1444"/>
      <c r="AV140" s="1442"/>
      <c r="AW140" s="1445"/>
      <c r="AX140" s="1446"/>
      <c r="AY140" s="1446"/>
      <c r="AZ140" s="1446"/>
      <c r="BA140" s="1447"/>
      <c r="BB140" s="1447"/>
      <c r="BC140" s="1446"/>
      <c r="BD140" s="1448"/>
      <c r="BE140" s="1442"/>
      <c r="BF140" s="1447"/>
      <c r="BG140" s="1449"/>
      <c r="BH140" s="1447"/>
      <c r="BI140" s="1447"/>
      <c r="BJ140" s="1449"/>
      <c r="BK140" s="1447"/>
      <c r="BL140" s="1447"/>
      <c r="BM140" s="1449"/>
      <c r="BN140" s="1447"/>
      <c r="BO140" s="1447"/>
      <c r="BP140" s="1448"/>
    </row>
    <row r="141">
      <c r="A141" s="1422"/>
      <c r="B141" s="1423"/>
      <c r="C141" s="1423"/>
      <c r="D141" s="1422"/>
      <c r="E141" s="1422"/>
      <c r="F141" s="1422"/>
      <c r="G141" s="1424"/>
      <c r="H141" s="1424"/>
      <c r="I141" s="1450"/>
      <c r="J141" s="1452"/>
      <c r="K141" s="1427"/>
      <c r="L141" s="1428"/>
      <c r="M141" s="1428"/>
      <c r="N141" s="1429"/>
      <c r="O141" s="1429"/>
      <c r="P141" s="1430"/>
      <c r="Q141" s="1430"/>
      <c r="R141" s="1431"/>
      <c r="S141" s="1432"/>
      <c r="T141" s="1433"/>
      <c r="U141" s="1422"/>
      <c r="V141" s="1453"/>
      <c r="W141" s="1453"/>
      <c r="X141" s="1453"/>
      <c r="Y141" s="1453"/>
      <c r="Z141" s="1453"/>
      <c r="AA141" s="1453"/>
      <c r="AB141" s="1453"/>
      <c r="AC141" s="1453"/>
      <c r="AD141" s="1453"/>
      <c r="AE141" s="1453"/>
      <c r="AF141" s="1453"/>
      <c r="AG141" s="1453"/>
      <c r="AH141" s="1453"/>
      <c r="AI141" s="1453"/>
      <c r="AJ141" s="1453"/>
      <c r="AK141" s="1434"/>
      <c r="AL141" s="1435"/>
      <c r="AM141" s="1436"/>
      <c r="AN141" s="1437"/>
      <c r="AO141" s="1438"/>
      <c r="AP141" s="1439"/>
      <c r="AQ141" s="1440"/>
      <c r="AR141" s="1441"/>
      <c r="AS141" s="1442"/>
      <c r="AT141" s="1443"/>
      <c r="AU141" s="1444"/>
      <c r="AV141" s="1442"/>
      <c r="AW141" s="1445"/>
      <c r="AX141" s="1446"/>
      <c r="AY141" s="1446"/>
      <c r="AZ141" s="1446"/>
      <c r="BA141" s="1447"/>
      <c r="BB141" s="1447"/>
      <c r="BC141" s="1446"/>
      <c r="BD141" s="1448"/>
      <c r="BE141" s="1442"/>
      <c r="BF141" s="1447"/>
      <c r="BG141" s="1449"/>
      <c r="BH141" s="1447"/>
      <c r="BI141" s="1447"/>
      <c r="BJ141" s="1449"/>
      <c r="BK141" s="1447"/>
      <c r="BL141" s="1447"/>
      <c r="BM141" s="1449"/>
      <c r="BN141" s="1447"/>
      <c r="BO141" s="1447"/>
      <c r="BP141" s="1448"/>
    </row>
    <row r="142">
      <c r="A142" s="1422"/>
      <c r="B142" s="1423"/>
      <c r="C142" s="1423"/>
      <c r="D142" s="1422"/>
      <c r="E142" s="1422"/>
      <c r="F142" s="1422"/>
      <c r="G142" s="1424"/>
      <c r="H142" s="1424"/>
      <c r="I142" s="1450"/>
      <c r="J142" s="1452"/>
      <c r="K142" s="1427"/>
      <c r="L142" s="1428"/>
      <c r="M142" s="1428"/>
      <c r="N142" s="1429"/>
      <c r="O142" s="1429"/>
      <c r="P142" s="1430"/>
      <c r="Q142" s="1430"/>
      <c r="R142" s="1431"/>
      <c r="S142" s="1432"/>
      <c r="T142" s="1433"/>
      <c r="U142" s="1422"/>
      <c r="V142" s="1453"/>
      <c r="W142" s="1453"/>
      <c r="X142" s="1453"/>
      <c r="Y142" s="1453"/>
      <c r="Z142" s="1453"/>
      <c r="AA142" s="1453"/>
      <c r="AB142" s="1453"/>
      <c r="AC142" s="1453"/>
      <c r="AD142" s="1453"/>
      <c r="AE142" s="1453"/>
      <c r="AF142" s="1453"/>
      <c r="AG142" s="1453"/>
      <c r="AH142" s="1453"/>
      <c r="AI142" s="1453"/>
      <c r="AJ142" s="1453"/>
      <c r="AK142" s="1434"/>
      <c r="AL142" s="1435"/>
      <c r="AM142" s="1436"/>
      <c r="AN142" s="1437"/>
      <c r="AO142" s="1438"/>
      <c r="AP142" s="1439"/>
      <c r="AQ142" s="1440"/>
      <c r="AR142" s="1441"/>
      <c r="AS142" s="1442"/>
      <c r="AT142" s="1443"/>
      <c r="AU142" s="1444"/>
      <c r="AV142" s="1442"/>
      <c r="AW142" s="1445"/>
      <c r="AX142" s="1446"/>
      <c r="AY142" s="1446"/>
      <c r="AZ142" s="1446"/>
      <c r="BA142" s="1447"/>
      <c r="BB142" s="1447"/>
      <c r="BC142" s="1446"/>
      <c r="BD142" s="1448"/>
      <c r="BE142" s="1442"/>
      <c r="BF142" s="1447"/>
      <c r="BG142" s="1449"/>
      <c r="BH142" s="1447"/>
      <c r="BI142" s="1447"/>
      <c r="BJ142" s="1449"/>
      <c r="BK142" s="1447"/>
      <c r="BL142" s="1447"/>
      <c r="BM142" s="1449"/>
      <c r="BN142" s="1447"/>
      <c r="BO142" s="1447"/>
      <c r="BP142" s="1448"/>
    </row>
    <row r="143">
      <c r="A143" s="1422"/>
      <c r="B143" s="1423"/>
      <c r="C143" s="1423"/>
      <c r="D143" s="1422"/>
      <c r="E143" s="1422"/>
      <c r="F143" s="1422"/>
      <c r="G143" s="1424"/>
      <c r="H143" s="1424"/>
      <c r="I143" s="1450"/>
      <c r="J143" s="1452"/>
      <c r="K143" s="1427"/>
      <c r="L143" s="1428"/>
      <c r="M143" s="1428"/>
      <c r="N143" s="1429"/>
      <c r="O143" s="1429"/>
      <c r="P143" s="1430"/>
      <c r="Q143" s="1430"/>
      <c r="R143" s="1431"/>
      <c r="S143" s="1432"/>
      <c r="T143" s="1433"/>
      <c r="U143" s="1422"/>
      <c r="V143" s="1453"/>
      <c r="W143" s="1422"/>
      <c r="X143" s="1453"/>
      <c r="Y143" s="1453"/>
      <c r="Z143" s="1453"/>
      <c r="AA143" s="1453"/>
      <c r="AB143" s="1453"/>
      <c r="AC143" s="1453"/>
      <c r="AD143" s="1453"/>
      <c r="AE143" s="1453"/>
      <c r="AF143" s="1453"/>
      <c r="AG143" s="1453"/>
      <c r="AH143" s="1453"/>
      <c r="AI143" s="1453"/>
      <c r="AJ143" s="1453"/>
      <c r="AK143" s="1434"/>
      <c r="AL143" s="1435"/>
      <c r="AM143" s="1436"/>
      <c r="AN143" s="1437"/>
      <c r="AO143" s="1438"/>
      <c r="AP143" s="1439"/>
      <c r="AQ143" s="1440"/>
      <c r="AR143" s="1441"/>
      <c r="AS143" s="1442"/>
      <c r="AT143" s="1443"/>
      <c r="AU143" s="1444"/>
      <c r="AV143" s="1442"/>
      <c r="AW143" s="1445"/>
      <c r="AX143" s="1446"/>
      <c r="AY143" s="1446"/>
      <c r="AZ143" s="1446"/>
      <c r="BA143" s="1447"/>
      <c r="BB143" s="1447"/>
      <c r="BC143" s="1446"/>
      <c r="BD143" s="1448"/>
      <c r="BE143" s="1442"/>
      <c r="BF143" s="1447"/>
      <c r="BG143" s="1449"/>
      <c r="BH143" s="1447"/>
      <c r="BI143" s="1447"/>
      <c r="BJ143" s="1449"/>
      <c r="BK143" s="1447"/>
      <c r="BL143" s="1447"/>
      <c r="BM143" s="1449"/>
      <c r="BN143" s="1447"/>
      <c r="BO143" s="1447"/>
      <c r="BP143" s="1448"/>
    </row>
    <row r="144">
      <c r="A144" s="1422"/>
      <c r="B144" s="1423"/>
      <c r="C144" s="1423"/>
      <c r="D144" s="1422"/>
      <c r="E144" s="1422"/>
      <c r="F144" s="1422"/>
      <c r="G144" s="1424"/>
      <c r="H144" s="1424"/>
      <c r="I144" s="1450"/>
      <c r="J144" s="1452"/>
      <c r="K144" s="1427"/>
      <c r="L144" s="1428"/>
      <c r="M144" s="1428"/>
      <c r="N144" s="1429"/>
      <c r="O144" s="1429"/>
      <c r="P144" s="1430"/>
      <c r="Q144" s="1430"/>
      <c r="R144" s="1431"/>
      <c r="S144" s="1432"/>
      <c r="T144" s="1433"/>
      <c r="U144" s="1422"/>
      <c r="V144" s="1453"/>
      <c r="W144" s="1453"/>
      <c r="X144" s="1453"/>
      <c r="Y144" s="1453"/>
      <c r="Z144" s="1453"/>
      <c r="AA144" s="1453"/>
      <c r="AB144" s="1453"/>
      <c r="AC144" s="1453"/>
      <c r="AD144" s="1453"/>
      <c r="AE144" s="1453"/>
      <c r="AF144" s="1453"/>
      <c r="AG144" s="1453"/>
      <c r="AH144" s="1453"/>
      <c r="AI144" s="1453"/>
      <c r="AJ144" s="1453"/>
      <c r="AK144" s="1434"/>
      <c r="AL144" s="1435"/>
      <c r="AM144" s="1436"/>
      <c r="AN144" s="1437"/>
      <c r="AO144" s="1438"/>
      <c r="AP144" s="1439"/>
      <c r="AQ144" s="1440"/>
      <c r="AR144" s="1441"/>
      <c r="AS144" s="1442"/>
      <c r="AT144" s="1443"/>
      <c r="AU144" s="1444"/>
      <c r="AV144" s="1442"/>
      <c r="AW144" s="1445"/>
      <c r="AX144" s="1446"/>
      <c r="AY144" s="1446"/>
      <c r="AZ144" s="1446"/>
      <c r="BA144" s="1447"/>
      <c r="BB144" s="1447"/>
      <c r="BC144" s="1446"/>
      <c r="BD144" s="1448"/>
      <c r="BE144" s="1442"/>
      <c r="BF144" s="1447"/>
      <c r="BG144" s="1449"/>
      <c r="BH144" s="1447"/>
      <c r="BI144" s="1447"/>
      <c r="BJ144" s="1449"/>
      <c r="BK144" s="1447"/>
      <c r="BL144" s="1447"/>
      <c r="BM144" s="1449"/>
      <c r="BN144" s="1447"/>
      <c r="BO144" s="1447"/>
      <c r="BP144" s="1448"/>
    </row>
    <row r="145">
      <c r="A145" s="1422"/>
      <c r="B145" s="1423"/>
      <c r="C145" s="1423"/>
      <c r="D145" s="1422"/>
      <c r="E145" s="1422"/>
      <c r="F145" s="1422"/>
      <c r="G145" s="1424"/>
      <c r="H145" s="1424"/>
      <c r="I145" s="1450"/>
      <c r="J145" s="1452"/>
      <c r="K145" s="1427"/>
      <c r="L145" s="1428"/>
      <c r="M145" s="1428"/>
      <c r="N145" s="1429"/>
      <c r="O145" s="1429"/>
      <c r="P145" s="1430"/>
      <c r="Q145" s="1430"/>
      <c r="R145" s="1431"/>
      <c r="S145" s="1432"/>
      <c r="T145" s="1433"/>
      <c r="U145" s="1422"/>
      <c r="V145" s="1453"/>
      <c r="W145" s="1422"/>
      <c r="X145" s="1453"/>
      <c r="Y145" s="1453"/>
      <c r="Z145" s="1453"/>
      <c r="AA145" s="1453"/>
      <c r="AB145" s="1453"/>
      <c r="AC145" s="1453"/>
      <c r="AD145" s="1453"/>
      <c r="AE145" s="1453"/>
      <c r="AF145" s="1453"/>
      <c r="AG145" s="1453"/>
      <c r="AH145" s="1453"/>
      <c r="AI145" s="1453"/>
      <c r="AJ145" s="1453"/>
      <c r="AK145" s="1434"/>
      <c r="AL145" s="1435"/>
      <c r="AM145" s="1436"/>
      <c r="AN145" s="1437"/>
      <c r="AO145" s="1438"/>
      <c r="AP145" s="1439"/>
      <c r="AQ145" s="1440"/>
      <c r="AR145" s="1441"/>
      <c r="AS145" s="1442"/>
      <c r="AT145" s="1443"/>
      <c r="AU145" s="1444"/>
      <c r="AV145" s="1442"/>
      <c r="AW145" s="1445"/>
      <c r="AX145" s="1446"/>
      <c r="AY145" s="1446"/>
      <c r="AZ145" s="1446"/>
      <c r="BA145" s="1447"/>
      <c r="BB145" s="1447"/>
      <c r="BC145" s="1446"/>
      <c r="BD145" s="1448"/>
      <c r="BE145" s="1442"/>
      <c r="BF145" s="1447"/>
      <c r="BG145" s="1449"/>
      <c r="BH145" s="1447"/>
      <c r="BI145" s="1447"/>
      <c r="BJ145" s="1449"/>
      <c r="BK145" s="1447"/>
      <c r="BL145" s="1447"/>
      <c r="BM145" s="1449"/>
      <c r="BN145" s="1447"/>
      <c r="BO145" s="1447"/>
      <c r="BP145" s="1448"/>
    </row>
    <row r="146">
      <c r="A146" s="1422"/>
      <c r="B146" s="1423"/>
      <c r="C146" s="1423"/>
      <c r="D146" s="1422"/>
      <c r="E146" s="1422"/>
      <c r="F146" s="1422"/>
      <c r="G146" s="1424"/>
      <c r="H146" s="1424"/>
      <c r="I146" s="1450"/>
      <c r="J146" s="1452"/>
      <c r="K146" s="1427"/>
      <c r="L146" s="1428"/>
      <c r="M146" s="1428"/>
      <c r="N146" s="1429"/>
      <c r="O146" s="1429"/>
      <c r="P146" s="1430"/>
      <c r="Q146" s="1430"/>
      <c r="R146" s="1431"/>
      <c r="S146" s="1432"/>
      <c r="T146" s="1433"/>
      <c r="U146" s="1422"/>
      <c r="V146" s="1453"/>
      <c r="W146" s="1453"/>
      <c r="X146" s="1453"/>
      <c r="Y146" s="1453"/>
      <c r="Z146" s="1453"/>
      <c r="AA146" s="1453"/>
      <c r="AB146" s="1453"/>
      <c r="AC146" s="1453"/>
      <c r="AD146" s="1453"/>
      <c r="AE146" s="1453"/>
      <c r="AF146" s="1453"/>
      <c r="AG146" s="1453"/>
      <c r="AH146" s="1453"/>
      <c r="AI146" s="1453"/>
      <c r="AJ146" s="1453"/>
      <c r="AK146" s="1434"/>
      <c r="AL146" s="1435"/>
      <c r="AM146" s="1436"/>
      <c r="AN146" s="1437"/>
      <c r="AO146" s="1438"/>
      <c r="AP146" s="1439"/>
      <c r="AQ146" s="1440"/>
      <c r="AR146" s="1441"/>
      <c r="AS146" s="1442"/>
      <c r="AT146" s="1443"/>
      <c r="AU146" s="1444"/>
      <c r="AV146" s="1442"/>
      <c r="AW146" s="1445"/>
      <c r="AX146" s="1446"/>
      <c r="AY146" s="1446"/>
      <c r="AZ146" s="1446"/>
      <c r="BA146" s="1447"/>
      <c r="BB146" s="1447"/>
      <c r="BC146" s="1446"/>
      <c r="BD146" s="1448"/>
      <c r="BE146" s="1442"/>
      <c r="BF146" s="1447"/>
      <c r="BG146" s="1449"/>
      <c r="BH146" s="1447"/>
      <c r="BI146" s="1447"/>
      <c r="BJ146" s="1449"/>
      <c r="BK146" s="1447"/>
      <c r="BL146" s="1447"/>
      <c r="BM146" s="1449"/>
      <c r="BN146" s="1447"/>
      <c r="BO146" s="1447"/>
      <c r="BP146" s="1448"/>
    </row>
    <row r="147">
      <c r="A147" s="1422"/>
      <c r="B147" s="1423"/>
      <c r="C147" s="1423"/>
      <c r="D147" s="1422"/>
      <c r="E147" s="1422"/>
      <c r="F147" s="1422"/>
      <c r="G147" s="1424"/>
      <c r="H147" s="1424"/>
      <c r="I147" s="1450"/>
      <c r="J147" s="1452"/>
      <c r="K147" s="1427"/>
      <c r="L147" s="1428"/>
      <c r="M147" s="1428"/>
      <c r="N147" s="1429"/>
      <c r="O147" s="1429"/>
      <c r="P147" s="1430"/>
      <c r="Q147" s="1430"/>
      <c r="R147" s="1431"/>
      <c r="S147" s="1432"/>
      <c r="T147" s="1433"/>
      <c r="U147" s="1422"/>
      <c r="V147" s="1453"/>
      <c r="W147" s="1453"/>
      <c r="X147" s="1453"/>
      <c r="Y147" s="1453"/>
      <c r="Z147" s="1453"/>
      <c r="AA147" s="1453"/>
      <c r="AB147" s="1453"/>
      <c r="AC147" s="1453"/>
      <c r="AD147" s="1453"/>
      <c r="AE147" s="1453"/>
      <c r="AF147" s="1453"/>
      <c r="AG147" s="1453"/>
      <c r="AH147" s="1453"/>
      <c r="AI147" s="1453"/>
      <c r="AJ147" s="1453"/>
      <c r="AK147" s="1434"/>
      <c r="AL147" s="1435"/>
      <c r="AM147" s="1436"/>
      <c r="AN147" s="1437"/>
      <c r="AO147" s="1438"/>
      <c r="AP147" s="1439"/>
      <c r="AQ147" s="1440"/>
      <c r="AR147" s="1441"/>
      <c r="AS147" s="1442"/>
      <c r="AT147" s="1443"/>
      <c r="AU147" s="1444"/>
      <c r="AV147" s="1442"/>
      <c r="AW147" s="1445"/>
      <c r="AX147" s="1446"/>
      <c r="AY147" s="1446"/>
      <c r="AZ147" s="1446"/>
      <c r="BA147" s="1447"/>
      <c r="BB147" s="1447"/>
      <c r="BC147" s="1446"/>
      <c r="BD147" s="1448"/>
      <c r="BE147" s="1442"/>
      <c r="BF147" s="1447"/>
      <c r="BG147" s="1449"/>
      <c r="BH147" s="1447"/>
      <c r="BI147" s="1447"/>
      <c r="BJ147" s="1449"/>
      <c r="BK147" s="1447"/>
      <c r="BL147" s="1447"/>
      <c r="BM147" s="1449"/>
      <c r="BN147" s="1447"/>
      <c r="BO147" s="1447"/>
      <c r="BP147" s="1448"/>
    </row>
    <row r="148">
      <c r="A148" s="1422"/>
      <c r="B148" s="1423"/>
      <c r="C148" s="1423"/>
      <c r="D148" s="1422"/>
      <c r="E148" s="1422"/>
      <c r="F148" s="1422"/>
      <c r="G148" s="1424"/>
      <c r="H148" s="1424"/>
      <c r="I148" s="1450"/>
      <c r="J148" s="1452"/>
      <c r="K148" s="1427"/>
      <c r="L148" s="1428"/>
      <c r="M148" s="1428"/>
      <c r="N148" s="1429"/>
      <c r="O148" s="1429"/>
      <c r="P148" s="1430"/>
      <c r="Q148" s="1430"/>
      <c r="R148" s="1431"/>
      <c r="S148" s="1432"/>
      <c r="T148" s="1433"/>
      <c r="U148" s="1422"/>
      <c r="V148" s="1453"/>
      <c r="W148" s="1453"/>
      <c r="X148" s="1453"/>
      <c r="Y148" s="1453"/>
      <c r="Z148" s="1453"/>
      <c r="AA148" s="1453"/>
      <c r="AB148" s="1453"/>
      <c r="AC148" s="1453"/>
      <c r="AD148" s="1453"/>
      <c r="AE148" s="1453"/>
      <c r="AF148" s="1453"/>
      <c r="AG148" s="1453"/>
      <c r="AH148" s="1453"/>
      <c r="AI148" s="1453"/>
      <c r="AJ148" s="1453"/>
      <c r="AK148" s="1434"/>
      <c r="AL148" s="1435"/>
      <c r="AM148" s="1436"/>
      <c r="AN148" s="1437"/>
      <c r="AO148" s="1438"/>
      <c r="AP148" s="1439"/>
      <c r="AQ148" s="1440"/>
      <c r="AR148" s="1441"/>
      <c r="AS148" s="1442"/>
      <c r="AT148" s="1443"/>
      <c r="AU148" s="1444"/>
      <c r="AV148" s="1442"/>
      <c r="AW148" s="1445"/>
      <c r="AX148" s="1446"/>
      <c r="AY148" s="1446"/>
      <c r="AZ148" s="1446"/>
      <c r="BA148" s="1447"/>
      <c r="BB148" s="1447"/>
      <c r="BC148" s="1446"/>
      <c r="BD148" s="1448"/>
      <c r="BE148" s="1442"/>
      <c r="BF148" s="1447"/>
      <c r="BG148" s="1449"/>
      <c r="BH148" s="1447"/>
      <c r="BI148" s="1447"/>
      <c r="BJ148" s="1449"/>
      <c r="BK148" s="1447"/>
      <c r="BL148" s="1447"/>
      <c r="BM148" s="1449"/>
      <c r="BN148" s="1447"/>
      <c r="BO148" s="1447"/>
      <c r="BP148" s="1448"/>
    </row>
    <row r="149">
      <c r="A149" s="1422"/>
      <c r="B149" s="1423"/>
      <c r="C149" s="1423"/>
      <c r="D149" s="1422"/>
      <c r="E149" s="1422"/>
      <c r="F149" s="1422"/>
      <c r="G149" s="1424"/>
      <c r="H149" s="1424"/>
      <c r="I149" s="1450"/>
      <c r="J149" s="1452"/>
      <c r="K149" s="1427"/>
      <c r="L149" s="1428"/>
      <c r="M149" s="1428"/>
      <c r="N149" s="1429"/>
      <c r="O149" s="1429"/>
      <c r="P149" s="1430"/>
      <c r="Q149" s="1430"/>
      <c r="R149" s="1431"/>
      <c r="S149" s="1432"/>
      <c r="T149" s="1433"/>
      <c r="U149" s="1422"/>
      <c r="V149" s="1453"/>
      <c r="W149" s="1453"/>
      <c r="X149" s="1453"/>
      <c r="Y149" s="1453"/>
      <c r="Z149" s="1453"/>
      <c r="AA149" s="1422"/>
      <c r="AB149" s="1453"/>
      <c r="AC149" s="1422"/>
      <c r="AD149" s="1453"/>
      <c r="AE149" s="1453"/>
      <c r="AF149" s="1453"/>
      <c r="AG149" s="1453"/>
      <c r="AH149" s="1453"/>
      <c r="AI149" s="1422"/>
      <c r="AJ149" s="1453"/>
      <c r="AK149" s="1434"/>
      <c r="AL149" s="1435"/>
      <c r="AM149" s="1436"/>
      <c r="AN149" s="1437"/>
      <c r="AO149" s="1438"/>
      <c r="AP149" s="1439"/>
      <c r="AQ149" s="1440"/>
      <c r="AR149" s="1441"/>
      <c r="AS149" s="1442"/>
      <c r="AT149" s="1443"/>
      <c r="AU149" s="1444"/>
      <c r="AV149" s="1442"/>
      <c r="AW149" s="1445"/>
      <c r="AX149" s="1446"/>
      <c r="AY149" s="1446"/>
      <c r="AZ149" s="1446"/>
      <c r="BA149" s="1447"/>
      <c r="BB149" s="1447"/>
      <c r="BC149" s="1446"/>
      <c r="BD149" s="1448"/>
      <c r="BE149" s="1442"/>
      <c r="BF149" s="1447"/>
      <c r="BG149" s="1449"/>
      <c r="BH149" s="1447"/>
      <c r="BI149" s="1447"/>
      <c r="BJ149" s="1449"/>
      <c r="BK149" s="1447"/>
      <c r="BL149" s="1447"/>
      <c r="BM149" s="1449"/>
      <c r="BN149" s="1447"/>
      <c r="BO149" s="1447"/>
      <c r="BP149" s="1448"/>
    </row>
    <row r="150">
      <c r="A150" s="1422"/>
      <c r="B150" s="1423"/>
      <c r="C150" s="1423"/>
      <c r="D150" s="1422"/>
      <c r="E150" s="1422"/>
      <c r="F150" s="1422"/>
      <c r="G150" s="1424"/>
      <c r="H150" s="1424"/>
      <c r="I150" s="1450"/>
      <c r="J150" s="1452"/>
      <c r="K150" s="1427"/>
      <c r="L150" s="1428"/>
      <c r="M150" s="1428"/>
      <c r="N150" s="1429"/>
      <c r="O150" s="1429"/>
      <c r="P150" s="1430"/>
      <c r="Q150" s="1430"/>
      <c r="R150" s="1431"/>
      <c r="S150" s="1432"/>
      <c r="T150" s="1433"/>
      <c r="U150" s="1422"/>
      <c r="V150" s="1453"/>
      <c r="W150" s="1453"/>
      <c r="X150" s="1453"/>
      <c r="Y150" s="1453"/>
      <c r="Z150" s="1453"/>
      <c r="AA150" s="1453"/>
      <c r="AB150" s="1453"/>
      <c r="AC150" s="1453"/>
      <c r="AD150" s="1453"/>
      <c r="AE150" s="1453"/>
      <c r="AF150" s="1453"/>
      <c r="AG150" s="1453"/>
      <c r="AH150" s="1453"/>
      <c r="AI150" s="1453"/>
      <c r="AJ150" s="1453"/>
      <c r="AK150" s="1434"/>
      <c r="AL150" s="1435"/>
      <c r="AM150" s="1436"/>
      <c r="AN150" s="1437"/>
      <c r="AO150" s="1438"/>
      <c r="AP150" s="1439"/>
      <c r="AQ150" s="1440"/>
      <c r="AR150" s="1441"/>
      <c r="AS150" s="1442"/>
      <c r="AT150" s="1443"/>
      <c r="AU150" s="1444"/>
      <c r="AV150" s="1442"/>
      <c r="AW150" s="1445"/>
      <c r="AX150" s="1446"/>
      <c r="AY150" s="1446"/>
      <c r="AZ150" s="1446"/>
      <c r="BA150" s="1447"/>
      <c r="BB150" s="1447"/>
      <c r="BC150" s="1446"/>
      <c r="BD150" s="1448"/>
      <c r="BE150" s="1442"/>
      <c r="BF150" s="1447"/>
      <c r="BG150" s="1449"/>
      <c r="BH150" s="1447"/>
      <c r="BI150" s="1447"/>
      <c r="BJ150" s="1449"/>
      <c r="BK150" s="1447"/>
      <c r="BL150" s="1447"/>
      <c r="BM150" s="1449"/>
      <c r="BN150" s="1447"/>
      <c r="BO150" s="1447"/>
      <c r="BP150" s="1448"/>
    </row>
    <row r="151">
      <c r="A151" s="1422"/>
      <c r="B151" s="1423"/>
      <c r="C151" s="1423"/>
      <c r="D151" s="1422"/>
      <c r="E151" s="1422"/>
      <c r="F151" s="1422"/>
      <c r="G151" s="1424"/>
      <c r="H151" s="1424"/>
      <c r="I151" s="1450"/>
      <c r="J151" s="1452"/>
      <c r="K151" s="1427"/>
      <c r="L151" s="1428"/>
      <c r="M151" s="1428"/>
      <c r="N151" s="1429"/>
      <c r="O151" s="1429"/>
      <c r="P151" s="1430"/>
      <c r="Q151" s="1430"/>
      <c r="R151" s="1431"/>
      <c r="S151" s="1432"/>
      <c r="T151" s="1433"/>
      <c r="U151" s="1422"/>
      <c r="V151" s="1453"/>
      <c r="W151" s="1453"/>
      <c r="X151" s="1453"/>
      <c r="Y151" s="1453"/>
      <c r="Z151" s="1453"/>
      <c r="AA151" s="1453"/>
      <c r="AB151" s="1453"/>
      <c r="AC151" s="1453"/>
      <c r="AD151" s="1453"/>
      <c r="AE151" s="1453"/>
      <c r="AF151" s="1453"/>
      <c r="AG151" s="1453"/>
      <c r="AH151" s="1453"/>
      <c r="AI151" s="1453"/>
      <c r="AJ151" s="1453"/>
      <c r="AK151" s="1434"/>
      <c r="AL151" s="1435"/>
      <c r="AM151" s="1436"/>
      <c r="AN151" s="1437"/>
      <c r="AO151" s="1438"/>
      <c r="AP151" s="1439"/>
      <c r="AQ151" s="1440"/>
      <c r="AR151" s="1441"/>
      <c r="AS151" s="1442"/>
      <c r="AT151" s="1443"/>
      <c r="AU151" s="1444"/>
      <c r="AV151" s="1442"/>
      <c r="AW151" s="1445"/>
      <c r="AX151" s="1446"/>
      <c r="AY151" s="1446"/>
      <c r="AZ151" s="1446"/>
      <c r="BA151" s="1447"/>
      <c r="BB151" s="1447"/>
      <c r="BC151" s="1446"/>
      <c r="BD151" s="1448"/>
      <c r="BE151" s="1442"/>
      <c r="BF151" s="1447"/>
      <c r="BG151" s="1449"/>
      <c r="BH151" s="1447"/>
      <c r="BI151" s="1447"/>
      <c r="BJ151" s="1449"/>
      <c r="BK151" s="1447"/>
      <c r="BL151" s="1447"/>
      <c r="BM151" s="1449"/>
      <c r="BN151" s="1447"/>
      <c r="BO151" s="1447"/>
      <c r="BP151" s="1448"/>
    </row>
    <row r="152">
      <c r="A152" s="1422"/>
      <c r="B152" s="1423"/>
      <c r="C152" s="1423"/>
      <c r="D152" s="1422"/>
      <c r="E152" s="1422"/>
      <c r="F152" s="1422"/>
      <c r="G152" s="1424"/>
      <c r="H152" s="1424"/>
      <c r="I152" s="1450"/>
      <c r="J152" s="1452"/>
      <c r="K152" s="1427"/>
      <c r="L152" s="1428"/>
      <c r="M152" s="1428"/>
      <c r="N152" s="1429"/>
      <c r="O152" s="1429"/>
      <c r="P152" s="1430"/>
      <c r="Q152" s="1430"/>
      <c r="R152" s="1431"/>
      <c r="S152" s="1432"/>
      <c r="T152" s="1433"/>
      <c r="U152" s="1422"/>
      <c r="V152" s="1453"/>
      <c r="W152" s="1453"/>
      <c r="X152" s="1453"/>
      <c r="Y152" s="1453"/>
      <c r="Z152" s="1453"/>
      <c r="AA152" s="1453"/>
      <c r="AB152" s="1453"/>
      <c r="AC152" s="1453"/>
      <c r="AD152" s="1453"/>
      <c r="AE152" s="1453"/>
      <c r="AF152" s="1453"/>
      <c r="AG152" s="1453"/>
      <c r="AH152" s="1453"/>
      <c r="AI152" s="1453"/>
      <c r="AJ152" s="1453"/>
      <c r="AK152" s="1434"/>
      <c r="AL152" s="1435"/>
      <c r="AM152" s="1436"/>
      <c r="AN152" s="1437"/>
      <c r="AO152" s="1438"/>
      <c r="AP152" s="1439"/>
      <c r="AQ152" s="1440"/>
      <c r="AR152" s="1441"/>
      <c r="AS152" s="1442"/>
      <c r="AT152" s="1443"/>
      <c r="AU152" s="1444"/>
      <c r="AV152" s="1442"/>
      <c r="AW152" s="1445"/>
      <c r="AX152" s="1446"/>
      <c r="AY152" s="1446"/>
      <c r="AZ152" s="1446"/>
      <c r="BA152" s="1447"/>
      <c r="BB152" s="1447"/>
      <c r="BC152" s="1446"/>
      <c r="BD152" s="1448"/>
      <c r="BE152" s="1442"/>
      <c r="BF152" s="1447"/>
      <c r="BG152" s="1449"/>
      <c r="BH152" s="1447"/>
      <c r="BI152" s="1447"/>
      <c r="BJ152" s="1449"/>
      <c r="BK152" s="1447"/>
      <c r="BL152" s="1447"/>
      <c r="BM152" s="1449"/>
      <c r="BN152" s="1447"/>
      <c r="BO152" s="1447"/>
      <c r="BP152" s="1448"/>
    </row>
    <row r="153">
      <c r="A153" s="1422"/>
      <c r="B153" s="1423"/>
      <c r="C153" s="1423"/>
      <c r="D153" s="1422"/>
      <c r="E153" s="1422"/>
      <c r="F153" s="1422"/>
      <c r="G153" s="1424"/>
      <c r="H153" s="1424"/>
      <c r="I153" s="1450"/>
      <c r="J153" s="1452"/>
      <c r="K153" s="1427"/>
      <c r="L153" s="1428"/>
      <c r="M153" s="1428"/>
      <c r="N153" s="1429"/>
      <c r="O153" s="1429"/>
      <c r="P153" s="1430"/>
      <c r="Q153" s="1430"/>
      <c r="R153" s="1431"/>
      <c r="S153" s="1432"/>
      <c r="T153" s="1433"/>
      <c r="U153" s="1422"/>
      <c r="V153" s="1453"/>
      <c r="W153" s="1453"/>
      <c r="X153" s="1453"/>
      <c r="Y153" s="1453"/>
      <c r="Z153" s="1453"/>
      <c r="AA153" s="1453"/>
      <c r="AB153" s="1453"/>
      <c r="AC153" s="1453"/>
      <c r="AD153" s="1422"/>
      <c r="AE153" s="1453"/>
      <c r="AF153" s="1453"/>
      <c r="AG153" s="1453"/>
      <c r="AH153" s="1453"/>
      <c r="AI153" s="1453"/>
      <c r="AJ153" s="1453"/>
      <c r="AK153" s="1434"/>
      <c r="AL153" s="1435"/>
      <c r="AM153" s="1436"/>
      <c r="AN153" s="1437"/>
      <c r="AO153" s="1438"/>
      <c r="AP153" s="1439"/>
      <c r="AQ153" s="1440"/>
      <c r="AR153" s="1441"/>
      <c r="AS153" s="1442"/>
      <c r="AT153" s="1443"/>
      <c r="AU153" s="1444"/>
      <c r="AV153" s="1442"/>
      <c r="AW153" s="1445"/>
      <c r="AX153" s="1446"/>
      <c r="AY153" s="1446"/>
      <c r="AZ153" s="1446"/>
      <c r="BA153" s="1447"/>
      <c r="BB153" s="1447"/>
      <c r="BC153" s="1446"/>
      <c r="BD153" s="1448"/>
      <c r="BE153" s="1442"/>
      <c r="BF153" s="1447"/>
      <c r="BG153" s="1449"/>
      <c r="BH153" s="1447"/>
      <c r="BI153" s="1447"/>
      <c r="BJ153" s="1449"/>
      <c r="BK153" s="1447"/>
      <c r="BL153" s="1447"/>
      <c r="BM153" s="1449"/>
      <c r="BN153" s="1447"/>
      <c r="BO153" s="1447"/>
      <c r="BP153" s="1448"/>
    </row>
    <row r="154">
      <c r="A154" s="1422"/>
      <c r="B154" s="1423"/>
      <c r="C154" s="1423"/>
      <c r="D154" s="1422"/>
      <c r="E154" s="1422"/>
      <c r="F154" s="1422"/>
      <c r="G154" s="1424"/>
      <c r="H154" s="1424"/>
      <c r="I154" s="1450"/>
      <c r="J154" s="1452"/>
      <c r="K154" s="1427"/>
      <c r="L154" s="1428"/>
      <c r="M154" s="1428"/>
      <c r="N154" s="1429"/>
      <c r="O154" s="1429"/>
      <c r="P154" s="1430"/>
      <c r="Q154" s="1430"/>
      <c r="R154" s="1431"/>
      <c r="S154" s="1432"/>
      <c r="T154" s="1433"/>
      <c r="U154" s="1422"/>
      <c r="V154" s="1453"/>
      <c r="W154" s="1453"/>
      <c r="X154" s="1453"/>
      <c r="Y154" s="1453"/>
      <c r="Z154" s="1453"/>
      <c r="AA154" s="1453"/>
      <c r="AB154" s="1453"/>
      <c r="AC154" s="1453"/>
      <c r="AD154" s="1453"/>
      <c r="AE154" s="1453"/>
      <c r="AF154" s="1453"/>
      <c r="AG154" s="1453"/>
      <c r="AH154" s="1453"/>
      <c r="AI154" s="1453"/>
      <c r="AJ154" s="1453"/>
      <c r="AK154" s="1434"/>
      <c r="AL154" s="1435"/>
      <c r="AM154" s="1436"/>
      <c r="AN154" s="1437"/>
      <c r="AO154" s="1438"/>
      <c r="AP154" s="1439"/>
      <c r="AQ154" s="1440"/>
      <c r="AR154" s="1441"/>
      <c r="AS154" s="1442"/>
      <c r="AT154" s="1443"/>
      <c r="AU154" s="1444"/>
      <c r="AV154" s="1442"/>
      <c r="AW154" s="1445"/>
      <c r="AX154" s="1446"/>
      <c r="AY154" s="1446"/>
      <c r="AZ154" s="1446"/>
      <c r="BA154" s="1447"/>
      <c r="BB154" s="1447"/>
      <c r="BC154" s="1446"/>
      <c r="BD154" s="1448"/>
      <c r="BE154" s="1442"/>
      <c r="BF154" s="1447"/>
      <c r="BG154" s="1449"/>
      <c r="BH154" s="1447"/>
      <c r="BI154" s="1447"/>
      <c r="BJ154" s="1449"/>
      <c r="BK154" s="1447"/>
      <c r="BL154" s="1447"/>
      <c r="BM154" s="1449"/>
      <c r="BN154" s="1447"/>
      <c r="BO154" s="1447"/>
      <c r="BP154" s="1448"/>
    </row>
    <row r="155">
      <c r="A155" s="1422"/>
      <c r="B155" s="1423"/>
      <c r="C155" s="1423"/>
      <c r="D155" s="1422"/>
      <c r="E155" s="1422"/>
      <c r="F155" s="1422"/>
      <c r="G155" s="1424"/>
      <c r="H155" s="1424"/>
      <c r="I155" s="1450"/>
      <c r="J155" s="1452"/>
      <c r="K155" s="1427"/>
      <c r="L155" s="1428"/>
      <c r="M155" s="1428"/>
      <c r="N155" s="1429"/>
      <c r="O155" s="1429"/>
      <c r="P155" s="1430"/>
      <c r="Q155" s="1430"/>
      <c r="R155" s="1431"/>
      <c r="S155" s="1432"/>
      <c r="T155" s="1433"/>
      <c r="U155" s="1422"/>
      <c r="V155" s="1453"/>
      <c r="W155" s="1453"/>
      <c r="X155" s="1453"/>
      <c r="Y155" s="1453"/>
      <c r="Z155" s="1453"/>
      <c r="AA155" s="1453"/>
      <c r="AB155" s="1453"/>
      <c r="AC155" s="1453"/>
      <c r="AD155" s="1453"/>
      <c r="AE155" s="1453"/>
      <c r="AF155" s="1453"/>
      <c r="AG155" s="1453"/>
      <c r="AH155" s="1453"/>
      <c r="AI155" s="1453"/>
      <c r="AJ155" s="1453"/>
      <c r="AK155" s="1434"/>
      <c r="AL155" s="1435"/>
      <c r="AM155" s="1436"/>
      <c r="AN155" s="1437"/>
      <c r="AO155" s="1438"/>
      <c r="AP155" s="1439"/>
      <c r="AQ155" s="1440"/>
      <c r="AR155" s="1441"/>
      <c r="AS155" s="1442"/>
      <c r="AT155" s="1443"/>
      <c r="AU155" s="1444"/>
      <c r="AV155" s="1442"/>
      <c r="AW155" s="1445"/>
      <c r="AX155" s="1446"/>
      <c r="AY155" s="1446"/>
      <c r="AZ155" s="1446"/>
      <c r="BA155" s="1447"/>
      <c r="BB155" s="1447"/>
      <c r="BC155" s="1446"/>
      <c r="BD155" s="1448"/>
      <c r="BE155" s="1442"/>
      <c r="BF155" s="1447"/>
      <c r="BG155" s="1449"/>
      <c r="BH155" s="1447"/>
      <c r="BI155" s="1447"/>
      <c r="BJ155" s="1449"/>
      <c r="BK155" s="1447"/>
      <c r="BL155" s="1447"/>
      <c r="BM155" s="1449"/>
      <c r="BN155" s="1447"/>
      <c r="BO155" s="1447"/>
      <c r="BP155" s="1448"/>
    </row>
    <row r="156">
      <c r="A156" s="1422"/>
      <c r="B156" s="1423"/>
      <c r="C156" s="1423"/>
      <c r="D156" s="1422"/>
      <c r="E156" s="1422"/>
      <c r="F156" s="1422"/>
      <c r="G156" s="1424"/>
      <c r="H156" s="1424"/>
      <c r="I156" s="1450"/>
      <c r="J156" s="1452"/>
      <c r="K156" s="1427"/>
      <c r="L156" s="1428"/>
      <c r="M156" s="1428"/>
      <c r="N156" s="1429"/>
      <c r="O156" s="1429"/>
      <c r="P156" s="1430"/>
      <c r="Q156" s="1430"/>
      <c r="R156" s="1431"/>
      <c r="S156" s="1432"/>
      <c r="T156" s="1433"/>
      <c r="U156" s="1422"/>
      <c r="V156" s="1453"/>
      <c r="W156" s="1453"/>
      <c r="X156" s="1453"/>
      <c r="Y156" s="1453"/>
      <c r="Z156" s="1453"/>
      <c r="AA156" s="1422"/>
      <c r="AB156" s="1453"/>
      <c r="AC156" s="1422"/>
      <c r="AD156" s="1453"/>
      <c r="AE156" s="1453"/>
      <c r="AF156" s="1453"/>
      <c r="AG156" s="1453"/>
      <c r="AH156" s="1453"/>
      <c r="AI156" s="1422"/>
      <c r="AJ156" s="1453"/>
      <c r="AK156" s="1434"/>
      <c r="AL156" s="1435"/>
      <c r="AM156" s="1436"/>
      <c r="AN156" s="1437"/>
      <c r="AO156" s="1438"/>
      <c r="AP156" s="1439"/>
      <c r="AQ156" s="1440"/>
      <c r="AR156" s="1441"/>
      <c r="AS156" s="1442"/>
      <c r="AT156" s="1443"/>
      <c r="AU156" s="1444"/>
      <c r="AV156" s="1442"/>
      <c r="AW156" s="1445"/>
      <c r="AX156" s="1446"/>
      <c r="AY156" s="1446"/>
      <c r="AZ156" s="1446"/>
      <c r="BA156" s="1447"/>
      <c r="BB156" s="1447"/>
      <c r="BC156" s="1446"/>
      <c r="BD156" s="1448"/>
      <c r="BE156" s="1442"/>
      <c r="BF156" s="1447"/>
      <c r="BG156" s="1449"/>
      <c r="BH156" s="1447"/>
      <c r="BI156" s="1447"/>
      <c r="BJ156" s="1449"/>
      <c r="BK156" s="1447"/>
      <c r="BL156" s="1447"/>
      <c r="BM156" s="1449"/>
      <c r="BN156" s="1447"/>
      <c r="BO156" s="1447"/>
      <c r="BP156" s="1448"/>
    </row>
    <row r="157">
      <c r="A157" s="1422"/>
      <c r="B157" s="1423"/>
      <c r="C157" s="1423"/>
      <c r="D157" s="1422"/>
      <c r="E157" s="1422"/>
      <c r="F157" s="1422"/>
      <c r="G157" s="1424"/>
      <c r="H157" s="1424"/>
      <c r="I157" s="1450"/>
      <c r="J157" s="1452"/>
      <c r="K157" s="1427"/>
      <c r="L157" s="1428"/>
      <c r="M157" s="1428"/>
      <c r="N157" s="1429"/>
      <c r="O157" s="1429"/>
      <c r="P157" s="1430"/>
      <c r="Q157" s="1430"/>
      <c r="R157" s="1431"/>
      <c r="S157" s="1432"/>
      <c r="T157" s="1433"/>
      <c r="U157" s="1422"/>
      <c r="V157" s="1453"/>
      <c r="W157" s="1453"/>
      <c r="X157" s="1453"/>
      <c r="Y157" s="1453"/>
      <c r="Z157" s="1422"/>
      <c r="AA157" s="1453"/>
      <c r="AB157" s="1453"/>
      <c r="AC157" s="1453"/>
      <c r="AD157" s="1453"/>
      <c r="AE157" s="1453"/>
      <c r="AF157" s="1453"/>
      <c r="AG157" s="1422"/>
      <c r="AH157" s="1453"/>
      <c r="AI157" s="1453"/>
      <c r="AJ157" s="1453"/>
      <c r="AK157" s="1434"/>
      <c r="AL157" s="1435"/>
      <c r="AM157" s="1436"/>
      <c r="AN157" s="1437"/>
      <c r="AO157" s="1438"/>
      <c r="AP157" s="1439"/>
      <c r="AQ157" s="1440"/>
      <c r="AR157" s="1441"/>
      <c r="AS157" s="1442"/>
      <c r="AT157" s="1443"/>
      <c r="AU157" s="1444"/>
      <c r="AV157" s="1442"/>
      <c r="AW157" s="1445"/>
      <c r="AX157" s="1446"/>
      <c r="AY157" s="1446"/>
      <c r="AZ157" s="1446"/>
      <c r="BA157" s="1447"/>
      <c r="BB157" s="1447"/>
      <c r="BC157" s="1446"/>
      <c r="BD157" s="1448"/>
      <c r="BE157" s="1442"/>
      <c r="BF157" s="1447"/>
      <c r="BG157" s="1449"/>
      <c r="BH157" s="1447"/>
      <c r="BI157" s="1447"/>
      <c r="BJ157" s="1449"/>
      <c r="BK157" s="1447"/>
      <c r="BL157" s="1447"/>
      <c r="BM157" s="1449"/>
      <c r="BN157" s="1447"/>
      <c r="BO157" s="1447"/>
      <c r="BP157" s="1448"/>
    </row>
    <row r="158">
      <c r="A158" s="1422"/>
      <c r="B158" s="1423"/>
      <c r="C158" s="1423"/>
      <c r="D158" s="1422"/>
      <c r="E158" s="1422"/>
      <c r="F158" s="1422"/>
      <c r="G158" s="1424"/>
      <c r="H158" s="1424"/>
      <c r="I158" s="1450"/>
      <c r="J158" s="1452"/>
      <c r="K158" s="1427"/>
      <c r="L158" s="1428"/>
      <c r="M158" s="1428"/>
      <c r="N158" s="1429"/>
      <c r="O158" s="1429"/>
      <c r="P158" s="1430"/>
      <c r="Q158" s="1430"/>
      <c r="R158" s="1431"/>
      <c r="S158" s="1432"/>
      <c r="T158" s="1433"/>
      <c r="U158" s="1422"/>
      <c r="V158" s="1453"/>
      <c r="W158" s="1453"/>
      <c r="X158" s="1453"/>
      <c r="Y158" s="1453"/>
      <c r="Z158" s="1422"/>
      <c r="AA158" s="1453"/>
      <c r="AB158" s="1453"/>
      <c r="AC158" s="1453"/>
      <c r="AD158" s="1453"/>
      <c r="AE158" s="1453"/>
      <c r="AF158" s="1453"/>
      <c r="AG158" s="1422"/>
      <c r="AH158" s="1453"/>
      <c r="AI158" s="1453"/>
      <c r="AJ158" s="1453"/>
      <c r="AK158" s="1434"/>
      <c r="AL158" s="1435"/>
      <c r="AM158" s="1436"/>
      <c r="AN158" s="1437"/>
      <c r="AO158" s="1438"/>
      <c r="AP158" s="1439"/>
      <c r="AQ158" s="1440"/>
      <c r="AR158" s="1441"/>
      <c r="AS158" s="1442"/>
      <c r="AT158" s="1443"/>
      <c r="AU158" s="1444"/>
      <c r="AV158" s="1442"/>
      <c r="AW158" s="1445"/>
      <c r="AX158" s="1446"/>
      <c r="AY158" s="1446"/>
      <c r="AZ158" s="1446"/>
      <c r="BA158" s="1447"/>
      <c r="BB158" s="1447"/>
      <c r="BC158" s="1446"/>
      <c r="BD158" s="1448"/>
      <c r="BE158" s="1442"/>
      <c r="BF158" s="1447"/>
      <c r="BG158" s="1449"/>
      <c r="BH158" s="1447"/>
      <c r="BI158" s="1447"/>
      <c r="BJ158" s="1449"/>
      <c r="BK158" s="1447"/>
      <c r="BL158" s="1447"/>
      <c r="BM158" s="1449"/>
      <c r="BN158" s="1447"/>
      <c r="BO158" s="1447"/>
      <c r="BP158" s="1448"/>
    </row>
    <row r="159">
      <c r="A159" s="1422"/>
      <c r="B159" s="1423"/>
      <c r="C159" s="1423"/>
      <c r="D159" s="1422"/>
      <c r="E159" s="1422"/>
      <c r="F159" s="1422"/>
      <c r="G159" s="1424"/>
      <c r="H159" s="1424"/>
      <c r="I159" s="1450"/>
      <c r="J159" s="1452"/>
      <c r="K159" s="1427"/>
      <c r="L159" s="1428"/>
      <c r="M159" s="1428"/>
      <c r="N159" s="1429"/>
      <c r="O159" s="1429"/>
      <c r="P159" s="1430"/>
      <c r="Q159" s="1430"/>
      <c r="R159" s="1431"/>
      <c r="S159" s="1432"/>
      <c r="T159" s="1433"/>
      <c r="U159" s="1422"/>
      <c r="V159" s="1453"/>
      <c r="W159" s="1453"/>
      <c r="X159" s="1453"/>
      <c r="Y159" s="1453"/>
      <c r="Z159" s="1453"/>
      <c r="AA159" s="1453"/>
      <c r="AB159" s="1453"/>
      <c r="AC159" s="1453"/>
      <c r="AD159" s="1453"/>
      <c r="AE159" s="1453"/>
      <c r="AF159" s="1453"/>
      <c r="AG159" s="1453"/>
      <c r="AH159" s="1453"/>
      <c r="AI159" s="1453"/>
      <c r="AJ159" s="1453"/>
      <c r="AK159" s="1434"/>
      <c r="AL159" s="1435"/>
      <c r="AM159" s="1436"/>
      <c r="AN159" s="1437"/>
      <c r="AO159" s="1438"/>
      <c r="AP159" s="1439"/>
      <c r="AQ159" s="1440"/>
      <c r="AR159" s="1441"/>
      <c r="AS159" s="1442"/>
      <c r="AT159" s="1443"/>
      <c r="AU159" s="1444"/>
      <c r="AV159" s="1442"/>
      <c r="AW159" s="1445"/>
      <c r="AX159" s="1446"/>
      <c r="AY159" s="1446"/>
      <c r="AZ159" s="1446"/>
      <c r="BA159" s="1447"/>
      <c r="BB159" s="1447"/>
      <c r="BC159" s="1446"/>
      <c r="BD159" s="1448"/>
      <c r="BE159" s="1442"/>
      <c r="BF159" s="1447"/>
      <c r="BG159" s="1449"/>
      <c r="BH159" s="1447"/>
      <c r="BI159" s="1447"/>
      <c r="BJ159" s="1449"/>
      <c r="BK159" s="1447"/>
      <c r="BL159" s="1447"/>
      <c r="BM159" s="1449"/>
      <c r="BN159" s="1447"/>
      <c r="BO159" s="1447"/>
      <c r="BP159" s="1448"/>
    </row>
    <row r="160">
      <c r="A160" s="1422"/>
      <c r="B160" s="1423"/>
      <c r="C160" s="1423"/>
      <c r="D160" s="1422"/>
      <c r="E160" s="1422"/>
      <c r="F160" s="1422"/>
      <c r="G160" s="1424"/>
      <c r="H160" s="1424"/>
      <c r="I160" s="1450"/>
      <c r="J160" s="1452"/>
      <c r="K160" s="1427"/>
      <c r="L160" s="1428"/>
      <c r="M160" s="1428"/>
      <c r="N160" s="1429"/>
      <c r="O160" s="1429"/>
      <c r="P160" s="1430"/>
      <c r="Q160" s="1430"/>
      <c r="R160" s="1431"/>
      <c r="S160" s="1432"/>
      <c r="T160" s="1433"/>
      <c r="U160" s="1422"/>
      <c r="V160" s="1453"/>
      <c r="W160" s="1453"/>
      <c r="X160" s="1453"/>
      <c r="Y160" s="1453"/>
      <c r="Z160" s="1422"/>
      <c r="AA160" s="1453"/>
      <c r="AB160" s="1453"/>
      <c r="AC160" s="1453"/>
      <c r="AD160" s="1453"/>
      <c r="AE160" s="1453"/>
      <c r="AF160" s="1453"/>
      <c r="AG160" s="1453"/>
      <c r="AH160" s="1422"/>
      <c r="AI160" s="1453"/>
      <c r="AJ160" s="1453"/>
      <c r="AK160" s="1434"/>
      <c r="AL160" s="1435"/>
      <c r="AM160" s="1436"/>
      <c r="AN160" s="1437"/>
      <c r="AO160" s="1438"/>
      <c r="AP160" s="1439"/>
      <c r="AQ160" s="1440"/>
      <c r="AR160" s="1441"/>
      <c r="AS160" s="1442"/>
      <c r="AT160" s="1443"/>
      <c r="AU160" s="1444"/>
      <c r="AV160" s="1442"/>
      <c r="AW160" s="1445"/>
      <c r="AX160" s="1446"/>
      <c r="AY160" s="1446"/>
      <c r="AZ160" s="1446"/>
      <c r="BA160" s="1447"/>
      <c r="BB160" s="1447"/>
      <c r="BC160" s="1446"/>
      <c r="BD160" s="1448"/>
      <c r="BE160" s="1442"/>
      <c r="BF160" s="1447"/>
      <c r="BG160" s="1449"/>
      <c r="BH160" s="1447"/>
      <c r="BI160" s="1447"/>
      <c r="BJ160" s="1449"/>
      <c r="BK160" s="1447"/>
      <c r="BL160" s="1447"/>
      <c r="BM160" s="1449"/>
      <c r="BN160" s="1447"/>
      <c r="BO160" s="1447"/>
      <c r="BP160" s="1448"/>
    </row>
    <row r="161">
      <c r="A161" s="1422"/>
      <c r="B161" s="1423"/>
      <c r="C161" s="1423"/>
      <c r="D161" s="1422"/>
      <c r="E161" s="1422"/>
      <c r="F161" s="1422"/>
      <c r="G161" s="1424"/>
      <c r="H161" s="1424"/>
      <c r="I161" s="1450"/>
      <c r="J161" s="1452"/>
      <c r="K161" s="1427"/>
      <c r="L161" s="1428"/>
      <c r="M161" s="1428"/>
      <c r="N161" s="1429"/>
      <c r="O161" s="1429"/>
      <c r="P161" s="1430"/>
      <c r="Q161" s="1430"/>
      <c r="R161" s="1431"/>
      <c r="S161" s="1432"/>
      <c r="T161" s="1433"/>
      <c r="U161" s="1422"/>
      <c r="V161" s="1453"/>
      <c r="W161" s="1453"/>
      <c r="X161" s="1453"/>
      <c r="Y161" s="1453"/>
      <c r="Z161" s="1422"/>
      <c r="AA161" s="1453"/>
      <c r="AB161" s="1453"/>
      <c r="AC161" s="1453"/>
      <c r="AD161" s="1453"/>
      <c r="AE161" s="1453"/>
      <c r="AF161" s="1453"/>
      <c r="AG161" s="1422"/>
      <c r="AH161" s="1453"/>
      <c r="AI161" s="1453"/>
      <c r="AJ161" s="1453"/>
      <c r="AK161" s="1434"/>
      <c r="AL161" s="1435"/>
      <c r="AM161" s="1436"/>
      <c r="AN161" s="1437"/>
      <c r="AO161" s="1438"/>
      <c r="AP161" s="1439"/>
      <c r="AQ161" s="1440"/>
      <c r="AR161" s="1441"/>
      <c r="AS161" s="1442"/>
      <c r="AT161" s="1443"/>
      <c r="AU161" s="1444"/>
      <c r="AV161" s="1442"/>
      <c r="AW161" s="1445"/>
      <c r="AX161" s="1446"/>
      <c r="AY161" s="1446"/>
      <c r="AZ161" s="1446"/>
      <c r="BA161" s="1447"/>
      <c r="BB161" s="1447"/>
      <c r="BC161" s="1446"/>
      <c r="BD161" s="1448"/>
      <c r="BE161" s="1442"/>
      <c r="BF161" s="1447"/>
      <c r="BG161" s="1449"/>
      <c r="BH161" s="1447"/>
      <c r="BI161" s="1447"/>
      <c r="BJ161" s="1449"/>
      <c r="BK161" s="1447"/>
      <c r="BL161" s="1447"/>
      <c r="BM161" s="1449"/>
      <c r="BN161" s="1447"/>
      <c r="BO161" s="1447"/>
      <c r="BP161" s="1448"/>
    </row>
    <row r="162">
      <c r="A162" s="1422"/>
      <c r="B162" s="1423"/>
      <c r="C162" s="1423"/>
      <c r="D162" s="1422"/>
      <c r="E162" s="1422"/>
      <c r="F162" s="1422"/>
      <c r="G162" s="1424"/>
      <c r="H162" s="1424"/>
      <c r="I162" s="1450"/>
      <c r="J162" s="1452"/>
      <c r="K162" s="1427"/>
      <c r="L162" s="1428"/>
      <c r="M162" s="1428"/>
      <c r="N162" s="1429"/>
      <c r="O162" s="1429"/>
      <c r="P162" s="1430"/>
      <c r="Q162" s="1430"/>
      <c r="R162" s="1431"/>
      <c r="S162" s="1432"/>
      <c r="T162" s="1433"/>
      <c r="U162" s="1422"/>
      <c r="V162" s="1453"/>
      <c r="W162" s="1453"/>
      <c r="X162" s="1453"/>
      <c r="Y162" s="1453"/>
      <c r="Z162" s="1453"/>
      <c r="AA162" s="1453"/>
      <c r="AB162" s="1453"/>
      <c r="AC162" s="1453"/>
      <c r="AD162" s="1453"/>
      <c r="AE162" s="1453"/>
      <c r="AF162" s="1453"/>
      <c r="AG162" s="1453"/>
      <c r="AH162" s="1453"/>
      <c r="AI162" s="1453"/>
      <c r="AJ162" s="1453"/>
      <c r="AK162" s="1434"/>
      <c r="AL162" s="1435"/>
      <c r="AM162" s="1436"/>
      <c r="AN162" s="1437"/>
      <c r="AO162" s="1438"/>
      <c r="AP162" s="1439"/>
      <c r="AQ162" s="1440"/>
      <c r="AR162" s="1441"/>
      <c r="AS162" s="1442"/>
      <c r="AT162" s="1443"/>
      <c r="AU162" s="1444"/>
      <c r="AV162" s="1442"/>
      <c r="AW162" s="1445"/>
      <c r="AX162" s="1446"/>
      <c r="AY162" s="1446"/>
      <c r="AZ162" s="1446"/>
      <c r="BA162" s="1447"/>
      <c r="BB162" s="1447"/>
      <c r="BC162" s="1446"/>
      <c r="BD162" s="1448"/>
      <c r="BE162" s="1442"/>
      <c r="BF162" s="1447"/>
      <c r="BG162" s="1449"/>
      <c r="BH162" s="1447"/>
      <c r="BI162" s="1447"/>
      <c r="BJ162" s="1449"/>
      <c r="BK162" s="1447"/>
      <c r="BL162" s="1447"/>
      <c r="BM162" s="1449"/>
      <c r="BN162" s="1447"/>
      <c r="BO162" s="1447"/>
      <c r="BP162" s="1448"/>
    </row>
    <row r="163">
      <c r="A163" s="1422"/>
      <c r="B163" s="1423"/>
      <c r="C163" s="1423"/>
      <c r="D163" s="1422"/>
      <c r="E163" s="1422"/>
      <c r="F163" s="1422"/>
      <c r="G163" s="1424"/>
      <c r="H163" s="1424"/>
      <c r="I163" s="1450"/>
      <c r="J163" s="1452"/>
      <c r="K163" s="1427"/>
      <c r="L163" s="1428"/>
      <c r="M163" s="1428"/>
      <c r="N163" s="1429"/>
      <c r="O163" s="1429"/>
      <c r="P163" s="1430"/>
      <c r="Q163" s="1430"/>
      <c r="R163" s="1431"/>
      <c r="S163" s="1432"/>
      <c r="T163" s="1433"/>
      <c r="U163" s="1422"/>
      <c r="V163" s="1453"/>
      <c r="W163" s="1453"/>
      <c r="X163" s="1453"/>
      <c r="Y163" s="1453"/>
      <c r="Z163" s="1453"/>
      <c r="AA163" s="1453"/>
      <c r="AB163" s="1453"/>
      <c r="AC163" s="1453"/>
      <c r="AD163" s="1453"/>
      <c r="AE163" s="1453"/>
      <c r="AF163" s="1453"/>
      <c r="AG163" s="1453"/>
      <c r="AH163" s="1453"/>
      <c r="AI163" s="1453"/>
      <c r="AJ163" s="1453"/>
      <c r="AK163" s="1434"/>
      <c r="AL163" s="1435"/>
      <c r="AM163" s="1436"/>
      <c r="AN163" s="1437"/>
      <c r="AO163" s="1438"/>
      <c r="AP163" s="1439"/>
      <c r="AQ163" s="1440"/>
      <c r="AR163" s="1441"/>
      <c r="AS163" s="1442"/>
      <c r="AT163" s="1443"/>
      <c r="AU163" s="1444"/>
      <c r="AV163" s="1442"/>
      <c r="AW163" s="1445"/>
      <c r="AX163" s="1446"/>
      <c r="AY163" s="1446"/>
      <c r="AZ163" s="1446"/>
      <c r="BA163" s="1447"/>
      <c r="BB163" s="1447"/>
      <c r="BC163" s="1446"/>
      <c r="BD163" s="1448"/>
      <c r="BE163" s="1442"/>
      <c r="BF163" s="1447"/>
      <c r="BG163" s="1449"/>
      <c r="BH163" s="1447"/>
      <c r="BI163" s="1447"/>
      <c r="BJ163" s="1449"/>
      <c r="BK163" s="1447"/>
      <c r="BL163" s="1447"/>
      <c r="BM163" s="1449"/>
      <c r="BN163" s="1447"/>
      <c r="BO163" s="1447"/>
      <c r="BP163" s="1448"/>
    </row>
    <row r="164">
      <c r="A164" s="1422"/>
      <c r="B164" s="1423"/>
      <c r="C164" s="1423"/>
      <c r="D164" s="1422"/>
      <c r="E164" s="1422"/>
      <c r="F164" s="1422"/>
      <c r="G164" s="1424"/>
      <c r="H164" s="1424"/>
      <c r="I164" s="1450"/>
      <c r="J164" s="1452"/>
      <c r="K164" s="1427"/>
      <c r="L164" s="1428"/>
      <c r="M164" s="1428"/>
      <c r="N164" s="1429"/>
      <c r="O164" s="1429"/>
      <c r="P164" s="1430"/>
      <c r="Q164" s="1430"/>
      <c r="R164" s="1431"/>
      <c r="S164" s="1432"/>
      <c r="T164" s="1433"/>
      <c r="U164" s="1422"/>
      <c r="V164" s="1453"/>
      <c r="W164" s="1453"/>
      <c r="X164" s="1453"/>
      <c r="Y164" s="1453"/>
      <c r="Z164" s="1453"/>
      <c r="AA164" s="1453"/>
      <c r="AB164" s="1453"/>
      <c r="AC164" s="1453"/>
      <c r="AD164" s="1453"/>
      <c r="AE164" s="1453"/>
      <c r="AF164" s="1453"/>
      <c r="AG164" s="1453"/>
      <c r="AH164" s="1453"/>
      <c r="AI164" s="1453"/>
      <c r="AJ164" s="1453"/>
      <c r="AK164" s="1434"/>
      <c r="AL164" s="1435"/>
      <c r="AM164" s="1436"/>
      <c r="AN164" s="1437"/>
      <c r="AO164" s="1438"/>
      <c r="AP164" s="1439"/>
      <c r="AQ164" s="1440"/>
      <c r="AR164" s="1441"/>
      <c r="AS164" s="1442"/>
      <c r="AT164" s="1443"/>
      <c r="AU164" s="1444"/>
      <c r="AV164" s="1442"/>
      <c r="AW164" s="1445"/>
      <c r="AX164" s="1446"/>
      <c r="AY164" s="1446"/>
      <c r="AZ164" s="1446"/>
      <c r="BA164" s="1447"/>
      <c r="BB164" s="1447"/>
      <c r="BC164" s="1446"/>
      <c r="BD164" s="1448"/>
      <c r="BE164" s="1442"/>
      <c r="BF164" s="1447"/>
      <c r="BG164" s="1449"/>
      <c r="BH164" s="1447"/>
      <c r="BI164" s="1447"/>
      <c r="BJ164" s="1449"/>
      <c r="BK164" s="1447"/>
      <c r="BL164" s="1447"/>
      <c r="BM164" s="1449"/>
      <c r="BN164" s="1447"/>
      <c r="BO164" s="1447"/>
      <c r="BP164" s="1448"/>
    </row>
    <row r="165">
      <c r="A165" s="1422"/>
      <c r="B165" s="1423"/>
      <c r="C165" s="1423"/>
      <c r="D165" s="1422"/>
      <c r="E165" s="1422"/>
      <c r="F165" s="1422"/>
      <c r="G165" s="1424"/>
      <c r="H165" s="1424"/>
      <c r="I165" s="1450"/>
      <c r="J165" s="1452"/>
      <c r="K165" s="1427"/>
      <c r="L165" s="1428"/>
      <c r="M165" s="1428"/>
      <c r="N165" s="1429"/>
      <c r="O165" s="1429"/>
      <c r="P165" s="1430"/>
      <c r="Q165" s="1430"/>
      <c r="R165" s="1431"/>
      <c r="S165" s="1432"/>
      <c r="T165" s="1433"/>
      <c r="U165" s="1422"/>
      <c r="V165" s="1453"/>
      <c r="W165" s="1453"/>
      <c r="X165" s="1453"/>
      <c r="Y165" s="1453"/>
      <c r="Z165" s="1453"/>
      <c r="AA165" s="1453"/>
      <c r="AB165" s="1453"/>
      <c r="AC165" s="1453"/>
      <c r="AD165" s="1453"/>
      <c r="AE165" s="1453"/>
      <c r="AF165" s="1453"/>
      <c r="AG165" s="1453"/>
      <c r="AH165" s="1453"/>
      <c r="AI165" s="1453"/>
      <c r="AJ165" s="1453"/>
      <c r="AK165" s="1434"/>
      <c r="AL165" s="1435"/>
      <c r="AM165" s="1436"/>
      <c r="AN165" s="1437"/>
      <c r="AO165" s="1438"/>
      <c r="AP165" s="1439"/>
      <c r="AQ165" s="1440"/>
      <c r="AR165" s="1441"/>
      <c r="AS165" s="1442"/>
      <c r="AT165" s="1443"/>
      <c r="AU165" s="1444"/>
      <c r="AV165" s="1442"/>
      <c r="AW165" s="1445"/>
      <c r="AX165" s="1446"/>
      <c r="AY165" s="1446"/>
      <c r="AZ165" s="1446"/>
      <c r="BA165" s="1447"/>
      <c r="BB165" s="1447"/>
      <c r="BC165" s="1446"/>
      <c r="BD165" s="1448"/>
      <c r="BE165" s="1442"/>
      <c r="BF165" s="1447"/>
      <c r="BG165" s="1449"/>
      <c r="BH165" s="1447"/>
      <c r="BI165" s="1447"/>
      <c r="BJ165" s="1449"/>
      <c r="BK165" s="1447"/>
      <c r="BL165" s="1447"/>
      <c r="BM165" s="1449"/>
      <c r="BN165" s="1447"/>
      <c r="BO165" s="1447"/>
      <c r="BP165" s="1448"/>
    </row>
    <row r="166">
      <c r="A166" s="1422"/>
      <c r="B166" s="1423"/>
      <c r="C166" s="1423"/>
      <c r="D166" s="1422"/>
      <c r="E166" s="1422"/>
      <c r="F166" s="1422"/>
      <c r="G166" s="1424"/>
      <c r="H166" s="1424"/>
      <c r="I166" s="1450"/>
      <c r="J166" s="1452"/>
      <c r="K166" s="1427"/>
      <c r="L166" s="1428"/>
      <c r="M166" s="1428"/>
      <c r="N166" s="1429"/>
      <c r="O166" s="1429"/>
      <c r="P166" s="1430"/>
      <c r="Q166" s="1430"/>
      <c r="R166" s="1431"/>
      <c r="S166" s="1432"/>
      <c r="T166" s="1433"/>
      <c r="U166" s="1422"/>
      <c r="V166" s="1453"/>
      <c r="W166" s="1453"/>
      <c r="X166" s="1453"/>
      <c r="Y166" s="1453"/>
      <c r="Z166" s="1453"/>
      <c r="AA166" s="1453"/>
      <c r="AB166" s="1453"/>
      <c r="AC166" s="1453"/>
      <c r="AD166" s="1453"/>
      <c r="AE166" s="1453"/>
      <c r="AF166" s="1453"/>
      <c r="AG166" s="1453"/>
      <c r="AH166" s="1453"/>
      <c r="AI166" s="1453"/>
      <c r="AJ166" s="1453"/>
      <c r="AK166" s="1434"/>
      <c r="AL166" s="1435"/>
      <c r="AM166" s="1436"/>
      <c r="AN166" s="1437"/>
      <c r="AO166" s="1438"/>
      <c r="AP166" s="1439"/>
      <c r="AQ166" s="1440"/>
      <c r="AR166" s="1441"/>
      <c r="AS166" s="1442"/>
      <c r="AT166" s="1443"/>
      <c r="AU166" s="1444"/>
      <c r="AV166" s="1442"/>
      <c r="AW166" s="1445"/>
      <c r="AX166" s="1446"/>
      <c r="AY166" s="1446"/>
      <c r="AZ166" s="1446"/>
      <c r="BA166" s="1447"/>
      <c r="BB166" s="1447"/>
      <c r="BC166" s="1446"/>
      <c r="BD166" s="1448"/>
      <c r="BE166" s="1442"/>
      <c r="BF166" s="1447"/>
      <c r="BG166" s="1449"/>
      <c r="BH166" s="1447"/>
      <c r="BI166" s="1447"/>
      <c r="BJ166" s="1449"/>
      <c r="BK166" s="1447"/>
      <c r="BL166" s="1447"/>
      <c r="BM166" s="1449"/>
      <c r="BN166" s="1447"/>
      <c r="BO166" s="1447"/>
      <c r="BP166" s="1448"/>
    </row>
    <row r="167">
      <c r="A167" s="1422"/>
      <c r="B167" s="1423"/>
      <c r="C167" s="1423"/>
      <c r="D167" s="1422"/>
      <c r="E167" s="1422"/>
      <c r="F167" s="1422"/>
      <c r="G167" s="1424"/>
      <c r="H167" s="1424"/>
      <c r="I167" s="1450"/>
      <c r="J167" s="1452"/>
      <c r="K167" s="1427"/>
      <c r="L167" s="1428"/>
      <c r="M167" s="1428"/>
      <c r="N167" s="1429"/>
      <c r="O167" s="1429"/>
      <c r="P167" s="1430"/>
      <c r="Q167" s="1430"/>
      <c r="R167" s="1431"/>
      <c r="S167" s="1432"/>
      <c r="T167" s="1433"/>
      <c r="U167" s="1422"/>
      <c r="V167" s="1453"/>
      <c r="W167" s="1453"/>
      <c r="X167" s="1453"/>
      <c r="Y167" s="1453"/>
      <c r="Z167" s="1453"/>
      <c r="AA167" s="1453"/>
      <c r="AB167" s="1453"/>
      <c r="AC167" s="1453"/>
      <c r="AD167" s="1453"/>
      <c r="AE167" s="1453"/>
      <c r="AF167" s="1453"/>
      <c r="AG167" s="1453"/>
      <c r="AH167" s="1453"/>
      <c r="AI167" s="1453"/>
      <c r="AJ167" s="1453"/>
      <c r="AK167" s="1434"/>
      <c r="AL167" s="1435"/>
      <c r="AM167" s="1436"/>
      <c r="AN167" s="1437"/>
      <c r="AO167" s="1438"/>
      <c r="AP167" s="1439"/>
      <c r="AQ167" s="1440"/>
      <c r="AR167" s="1441"/>
      <c r="AS167" s="1442"/>
      <c r="AT167" s="1443"/>
      <c r="AU167" s="1444"/>
      <c r="AV167" s="1442"/>
      <c r="AW167" s="1445"/>
      <c r="AX167" s="1446"/>
      <c r="AY167" s="1446"/>
      <c r="AZ167" s="1446"/>
      <c r="BA167" s="1447"/>
      <c r="BB167" s="1447"/>
      <c r="BC167" s="1446"/>
      <c r="BD167" s="1448"/>
      <c r="BE167" s="1442"/>
      <c r="BF167" s="1447"/>
      <c r="BG167" s="1449"/>
      <c r="BH167" s="1447"/>
      <c r="BI167" s="1447"/>
      <c r="BJ167" s="1449"/>
      <c r="BK167" s="1447"/>
      <c r="BL167" s="1447"/>
      <c r="BM167" s="1449"/>
      <c r="BN167" s="1447"/>
      <c r="BO167" s="1447"/>
      <c r="BP167" s="1448"/>
    </row>
    <row r="168">
      <c r="A168" s="1422"/>
      <c r="B168" s="1423"/>
      <c r="C168" s="1423"/>
      <c r="D168" s="1422"/>
      <c r="E168" s="1422"/>
      <c r="F168" s="1422"/>
      <c r="G168" s="1424"/>
      <c r="H168" s="1424"/>
      <c r="I168" s="1450"/>
      <c r="J168" s="1452"/>
      <c r="K168" s="1427"/>
      <c r="L168" s="1428"/>
      <c r="M168" s="1428"/>
      <c r="N168" s="1429"/>
      <c r="O168" s="1429"/>
      <c r="P168" s="1430"/>
      <c r="Q168" s="1430"/>
      <c r="R168" s="1431"/>
      <c r="S168" s="1432"/>
      <c r="T168" s="1433"/>
      <c r="U168" s="1422"/>
      <c r="V168" s="1453"/>
      <c r="W168" s="1453"/>
      <c r="X168" s="1453"/>
      <c r="Y168" s="1453"/>
      <c r="Z168" s="1422"/>
      <c r="AA168" s="1453"/>
      <c r="AB168" s="1453"/>
      <c r="AC168" s="1453"/>
      <c r="AD168" s="1453"/>
      <c r="AE168" s="1453"/>
      <c r="AF168" s="1453"/>
      <c r="AG168" s="1422"/>
      <c r="AH168" s="1453"/>
      <c r="AI168" s="1453"/>
      <c r="AJ168" s="1453"/>
      <c r="AK168" s="1434"/>
      <c r="AL168" s="1435"/>
      <c r="AM168" s="1436"/>
      <c r="AN168" s="1437"/>
      <c r="AO168" s="1438"/>
      <c r="AP168" s="1439"/>
      <c r="AQ168" s="1440"/>
      <c r="AR168" s="1441"/>
      <c r="AS168" s="1442"/>
      <c r="AT168" s="1443"/>
      <c r="AU168" s="1444"/>
      <c r="AV168" s="1442"/>
      <c r="AW168" s="1445"/>
      <c r="AX168" s="1446"/>
      <c r="AY168" s="1446"/>
      <c r="AZ168" s="1446"/>
      <c r="BA168" s="1447"/>
      <c r="BB168" s="1447"/>
      <c r="BC168" s="1446"/>
      <c r="BD168" s="1448"/>
      <c r="BE168" s="1442"/>
      <c r="BF168" s="1447"/>
      <c r="BG168" s="1449"/>
      <c r="BH168" s="1447"/>
      <c r="BI168" s="1447"/>
      <c r="BJ168" s="1449"/>
      <c r="BK168" s="1447"/>
      <c r="BL168" s="1447"/>
      <c r="BM168" s="1449"/>
      <c r="BN168" s="1447"/>
      <c r="BO168" s="1447"/>
      <c r="BP168" s="1448"/>
    </row>
    <row r="169">
      <c r="A169" s="1422"/>
      <c r="B169" s="1423"/>
      <c r="C169" s="1423"/>
      <c r="D169" s="1422"/>
      <c r="E169" s="1422"/>
      <c r="F169" s="1422"/>
      <c r="G169" s="1424"/>
      <c r="H169" s="1424"/>
      <c r="I169" s="1450"/>
      <c r="J169" s="1452"/>
      <c r="K169" s="1427"/>
      <c r="L169" s="1428"/>
      <c r="M169" s="1428"/>
      <c r="N169" s="1429"/>
      <c r="O169" s="1429"/>
      <c r="P169" s="1430"/>
      <c r="Q169" s="1430"/>
      <c r="R169" s="1431"/>
      <c r="S169" s="1432"/>
      <c r="T169" s="1433"/>
      <c r="U169" s="1422"/>
      <c r="V169" s="1453"/>
      <c r="W169" s="1453"/>
      <c r="X169" s="1453"/>
      <c r="Y169" s="1453"/>
      <c r="Z169" s="1422"/>
      <c r="AA169" s="1453"/>
      <c r="AB169" s="1453"/>
      <c r="AC169" s="1453"/>
      <c r="AD169" s="1453"/>
      <c r="AE169" s="1453"/>
      <c r="AF169" s="1453"/>
      <c r="AG169" s="1422"/>
      <c r="AH169" s="1453"/>
      <c r="AI169" s="1453"/>
      <c r="AJ169" s="1453"/>
      <c r="AK169" s="1434"/>
      <c r="AL169" s="1435"/>
      <c r="AM169" s="1436"/>
      <c r="AN169" s="1437"/>
      <c r="AO169" s="1438"/>
      <c r="AP169" s="1439"/>
      <c r="AQ169" s="1440"/>
      <c r="AR169" s="1441"/>
      <c r="AS169" s="1442"/>
      <c r="AT169" s="1443"/>
      <c r="AU169" s="1444"/>
      <c r="AV169" s="1442"/>
      <c r="AW169" s="1445"/>
      <c r="AX169" s="1446"/>
      <c r="AY169" s="1446"/>
      <c r="AZ169" s="1446"/>
      <c r="BA169" s="1447"/>
      <c r="BB169" s="1447"/>
      <c r="BC169" s="1446"/>
      <c r="BD169" s="1448"/>
      <c r="BE169" s="1442"/>
      <c r="BF169" s="1447"/>
      <c r="BG169" s="1449"/>
      <c r="BH169" s="1447"/>
      <c r="BI169" s="1447"/>
      <c r="BJ169" s="1449"/>
      <c r="BK169" s="1447"/>
      <c r="BL169" s="1447"/>
      <c r="BM169" s="1449"/>
      <c r="BN169" s="1447"/>
      <c r="BO169" s="1447"/>
      <c r="BP169" s="1448"/>
    </row>
    <row r="170">
      <c r="A170" s="1422"/>
      <c r="B170" s="1423"/>
      <c r="C170" s="1423"/>
      <c r="D170" s="1422"/>
      <c r="E170" s="1422"/>
      <c r="F170" s="1422"/>
      <c r="G170" s="1424"/>
      <c r="H170" s="1424"/>
      <c r="I170" s="1450"/>
      <c r="J170" s="1452"/>
      <c r="K170" s="1427"/>
      <c r="L170" s="1428"/>
      <c r="M170" s="1428"/>
      <c r="N170" s="1429"/>
      <c r="O170" s="1429"/>
      <c r="P170" s="1430"/>
      <c r="Q170" s="1430"/>
      <c r="R170" s="1431"/>
      <c r="S170" s="1432"/>
      <c r="T170" s="1433"/>
      <c r="U170" s="1422"/>
      <c r="V170" s="1453"/>
      <c r="W170" s="1453"/>
      <c r="X170" s="1453"/>
      <c r="Y170" s="1453"/>
      <c r="Z170" s="1422"/>
      <c r="AA170" s="1453"/>
      <c r="AB170" s="1453"/>
      <c r="AC170" s="1453"/>
      <c r="AD170" s="1453"/>
      <c r="AE170" s="1453"/>
      <c r="AF170" s="1453"/>
      <c r="AG170" s="1453"/>
      <c r="AH170" s="1453"/>
      <c r="AI170" s="1422"/>
      <c r="AJ170" s="1453"/>
      <c r="AK170" s="1434"/>
      <c r="AL170" s="1435"/>
      <c r="AM170" s="1436"/>
      <c r="AN170" s="1437"/>
      <c r="AO170" s="1438"/>
      <c r="AP170" s="1439"/>
      <c r="AQ170" s="1440"/>
      <c r="AR170" s="1441"/>
      <c r="AS170" s="1442"/>
      <c r="AT170" s="1443"/>
      <c r="AU170" s="1444"/>
      <c r="AV170" s="1442"/>
      <c r="AW170" s="1445"/>
      <c r="AX170" s="1446"/>
      <c r="AY170" s="1446"/>
      <c r="AZ170" s="1446"/>
      <c r="BA170" s="1447"/>
      <c r="BB170" s="1447"/>
      <c r="BC170" s="1446"/>
      <c r="BD170" s="1448"/>
      <c r="BE170" s="1442"/>
      <c r="BF170" s="1447"/>
      <c r="BG170" s="1449"/>
      <c r="BH170" s="1447"/>
      <c r="BI170" s="1447"/>
      <c r="BJ170" s="1449"/>
      <c r="BK170" s="1447"/>
      <c r="BL170" s="1447"/>
      <c r="BM170" s="1449"/>
      <c r="BN170" s="1447"/>
      <c r="BO170" s="1447"/>
      <c r="BP170" s="1448"/>
    </row>
    <row r="171">
      <c r="A171" s="1422"/>
      <c r="B171" s="1423"/>
      <c r="C171" s="1423"/>
      <c r="D171" s="1422"/>
      <c r="E171" s="1422"/>
      <c r="F171" s="1422"/>
      <c r="G171" s="1424"/>
      <c r="H171" s="1424"/>
      <c r="I171" s="1450"/>
      <c r="J171" s="1452"/>
      <c r="K171" s="1427"/>
      <c r="L171" s="1428"/>
      <c r="M171" s="1428"/>
      <c r="N171" s="1429"/>
      <c r="O171" s="1429"/>
      <c r="P171" s="1430"/>
      <c r="Q171" s="1430"/>
      <c r="R171" s="1431"/>
      <c r="S171" s="1432"/>
      <c r="T171" s="1433"/>
      <c r="U171" s="1422"/>
      <c r="V171" s="1453"/>
      <c r="W171" s="1453"/>
      <c r="X171" s="1453"/>
      <c r="Y171" s="1453"/>
      <c r="Z171" s="1422"/>
      <c r="AA171" s="1453"/>
      <c r="AB171" s="1453"/>
      <c r="AC171" s="1453"/>
      <c r="AD171" s="1453"/>
      <c r="AE171" s="1453"/>
      <c r="AF171" s="1453"/>
      <c r="AG171" s="1422"/>
      <c r="AH171" s="1453"/>
      <c r="AI171" s="1453"/>
      <c r="AJ171" s="1453"/>
      <c r="AK171" s="1434"/>
      <c r="AL171" s="1435"/>
      <c r="AM171" s="1436"/>
      <c r="AN171" s="1437"/>
      <c r="AO171" s="1438"/>
      <c r="AP171" s="1439"/>
      <c r="AQ171" s="1440"/>
      <c r="AR171" s="1441"/>
      <c r="AS171" s="1442"/>
      <c r="AT171" s="1443"/>
      <c r="AU171" s="1444"/>
      <c r="AV171" s="1442"/>
      <c r="AW171" s="1445"/>
      <c r="AX171" s="1446"/>
      <c r="AY171" s="1446"/>
      <c r="AZ171" s="1446"/>
      <c r="BA171" s="1447"/>
      <c r="BB171" s="1447"/>
      <c r="BC171" s="1446"/>
      <c r="BD171" s="1448"/>
      <c r="BE171" s="1442"/>
      <c r="BF171" s="1447"/>
      <c r="BG171" s="1449"/>
      <c r="BH171" s="1447"/>
      <c r="BI171" s="1447"/>
      <c r="BJ171" s="1449"/>
      <c r="BK171" s="1447"/>
      <c r="BL171" s="1447"/>
      <c r="BM171" s="1449"/>
      <c r="BN171" s="1447"/>
      <c r="BO171" s="1447"/>
      <c r="BP171" s="1448"/>
    </row>
    <row r="172">
      <c r="A172" s="1422"/>
      <c r="B172" s="1423"/>
      <c r="C172" s="1423"/>
      <c r="D172" s="1422"/>
      <c r="E172" s="1422"/>
      <c r="F172" s="1422"/>
      <c r="G172" s="1424"/>
      <c r="H172" s="1424"/>
      <c r="I172" s="1450"/>
      <c r="J172" s="1452"/>
      <c r="K172" s="1427"/>
      <c r="L172" s="1428"/>
      <c r="M172" s="1428"/>
      <c r="N172" s="1429"/>
      <c r="O172" s="1429"/>
      <c r="P172" s="1430"/>
      <c r="Q172" s="1430"/>
      <c r="R172" s="1431"/>
      <c r="S172" s="1432"/>
      <c r="T172" s="1433"/>
      <c r="U172" s="1422"/>
      <c r="V172" s="1453"/>
      <c r="W172" s="1453"/>
      <c r="X172" s="1453"/>
      <c r="Y172" s="1453"/>
      <c r="Z172" s="1453"/>
      <c r="AA172" s="1453"/>
      <c r="AB172" s="1453"/>
      <c r="AC172" s="1453"/>
      <c r="AD172" s="1453"/>
      <c r="AE172" s="1453"/>
      <c r="AF172" s="1453"/>
      <c r="AG172" s="1453"/>
      <c r="AH172" s="1453"/>
      <c r="AI172" s="1453"/>
      <c r="AJ172" s="1453"/>
      <c r="AK172" s="1434"/>
      <c r="AL172" s="1435"/>
      <c r="AM172" s="1436"/>
      <c r="AN172" s="1437"/>
      <c r="AO172" s="1438"/>
      <c r="AP172" s="1439"/>
      <c r="AQ172" s="1440"/>
      <c r="AR172" s="1441"/>
      <c r="AS172" s="1442"/>
      <c r="AT172" s="1443"/>
      <c r="AU172" s="1444"/>
      <c r="AV172" s="1442"/>
      <c r="AW172" s="1445"/>
      <c r="AX172" s="1446"/>
      <c r="AY172" s="1446"/>
      <c r="AZ172" s="1446"/>
      <c r="BA172" s="1447"/>
      <c r="BB172" s="1447"/>
      <c r="BC172" s="1446"/>
      <c r="BD172" s="1448"/>
      <c r="BE172" s="1442"/>
      <c r="BF172" s="1447"/>
      <c r="BG172" s="1449"/>
      <c r="BH172" s="1447"/>
      <c r="BI172" s="1447"/>
      <c r="BJ172" s="1449"/>
      <c r="BK172" s="1447"/>
      <c r="BL172" s="1447"/>
      <c r="BM172" s="1449"/>
      <c r="BN172" s="1447"/>
      <c r="BO172" s="1447"/>
      <c r="BP172" s="1448"/>
    </row>
    <row r="173">
      <c r="A173" s="1422"/>
      <c r="B173" s="1423"/>
      <c r="C173" s="1423"/>
      <c r="D173" s="1422"/>
      <c r="E173" s="1422"/>
      <c r="F173" s="1422"/>
      <c r="G173" s="1424"/>
      <c r="H173" s="1424"/>
      <c r="I173" s="1450"/>
      <c r="J173" s="1452"/>
      <c r="K173" s="1427"/>
      <c r="L173" s="1428"/>
      <c r="M173" s="1428"/>
      <c r="N173" s="1429"/>
      <c r="O173" s="1429"/>
      <c r="P173" s="1430"/>
      <c r="Q173" s="1430"/>
      <c r="R173" s="1431"/>
      <c r="S173" s="1432"/>
      <c r="T173" s="1433"/>
      <c r="U173" s="1422"/>
      <c r="V173" s="1453"/>
      <c r="W173" s="1453"/>
      <c r="X173" s="1453"/>
      <c r="Y173" s="1453"/>
      <c r="Z173" s="1422"/>
      <c r="AA173" s="1453"/>
      <c r="AB173" s="1453"/>
      <c r="AC173" s="1453"/>
      <c r="AD173" s="1453"/>
      <c r="AE173" s="1453"/>
      <c r="AF173" s="1453"/>
      <c r="AG173" s="1422"/>
      <c r="AH173" s="1453"/>
      <c r="AI173" s="1453"/>
      <c r="AJ173" s="1453"/>
      <c r="AK173" s="1434"/>
      <c r="AL173" s="1435"/>
      <c r="AM173" s="1436"/>
      <c r="AN173" s="1437"/>
      <c r="AO173" s="1438"/>
      <c r="AP173" s="1439"/>
      <c r="AQ173" s="1440"/>
      <c r="AR173" s="1441"/>
      <c r="AS173" s="1442"/>
      <c r="AT173" s="1443"/>
      <c r="AU173" s="1444"/>
      <c r="AV173" s="1442"/>
      <c r="AW173" s="1445"/>
      <c r="AX173" s="1446"/>
      <c r="AY173" s="1446"/>
      <c r="AZ173" s="1446"/>
      <c r="BA173" s="1447"/>
      <c r="BB173" s="1447"/>
      <c r="BC173" s="1446"/>
      <c r="BD173" s="1448"/>
      <c r="BE173" s="1442"/>
      <c r="BF173" s="1447"/>
      <c r="BG173" s="1449"/>
      <c r="BH173" s="1447"/>
      <c r="BI173" s="1447"/>
      <c r="BJ173" s="1449"/>
      <c r="BK173" s="1447"/>
      <c r="BL173" s="1447"/>
      <c r="BM173" s="1449"/>
      <c r="BN173" s="1447"/>
      <c r="BO173" s="1447"/>
      <c r="BP173" s="1448"/>
    </row>
    <row r="174">
      <c r="A174" s="1422"/>
      <c r="B174" s="1423"/>
      <c r="C174" s="1423"/>
      <c r="D174" s="1422"/>
      <c r="E174" s="1422"/>
      <c r="F174" s="1422"/>
      <c r="G174" s="1424"/>
      <c r="H174" s="1424"/>
      <c r="I174" s="1450"/>
      <c r="J174" s="1452"/>
      <c r="K174" s="1427"/>
      <c r="L174" s="1428"/>
      <c r="M174" s="1428"/>
      <c r="N174" s="1429"/>
      <c r="O174" s="1429"/>
      <c r="P174" s="1430"/>
      <c r="Q174" s="1430"/>
      <c r="R174" s="1431"/>
      <c r="S174" s="1432"/>
      <c r="T174" s="1433"/>
      <c r="U174" s="1422"/>
      <c r="V174" s="1453"/>
      <c r="W174" s="1453"/>
      <c r="X174" s="1453"/>
      <c r="Y174" s="1453"/>
      <c r="Z174" s="1453"/>
      <c r="AA174" s="1453"/>
      <c r="AB174" s="1453"/>
      <c r="AC174" s="1453"/>
      <c r="AD174" s="1453"/>
      <c r="AE174" s="1453"/>
      <c r="AF174" s="1453"/>
      <c r="AG174" s="1453"/>
      <c r="AH174" s="1453"/>
      <c r="AI174" s="1453"/>
      <c r="AJ174" s="1453"/>
      <c r="AK174" s="1434"/>
      <c r="AL174" s="1435"/>
      <c r="AM174" s="1436"/>
      <c r="AN174" s="1437"/>
      <c r="AO174" s="1438"/>
      <c r="AP174" s="1439"/>
      <c r="AQ174" s="1440"/>
      <c r="AR174" s="1441"/>
      <c r="AS174" s="1442"/>
      <c r="AT174" s="1443"/>
      <c r="AU174" s="1444"/>
      <c r="AV174" s="1442"/>
      <c r="AW174" s="1445"/>
      <c r="AX174" s="1446"/>
      <c r="AY174" s="1446"/>
      <c r="AZ174" s="1446"/>
      <c r="BA174" s="1447"/>
      <c r="BB174" s="1447"/>
      <c r="BC174" s="1446"/>
      <c r="BD174" s="1448"/>
      <c r="BE174" s="1442"/>
      <c r="BF174" s="1447"/>
      <c r="BG174" s="1449"/>
      <c r="BH174" s="1447"/>
      <c r="BI174" s="1447"/>
      <c r="BJ174" s="1449"/>
      <c r="BK174" s="1447"/>
      <c r="BL174" s="1447"/>
      <c r="BM174" s="1449"/>
      <c r="BN174" s="1447"/>
      <c r="BO174" s="1447"/>
      <c r="BP174" s="1448"/>
    </row>
    <row r="175">
      <c r="A175" s="1422"/>
      <c r="B175" s="1423"/>
      <c r="C175" s="1423"/>
      <c r="D175" s="1422"/>
      <c r="E175" s="1422"/>
      <c r="F175" s="1422"/>
      <c r="G175" s="1424"/>
      <c r="H175" s="1424"/>
      <c r="I175" s="1450"/>
      <c r="J175" s="1452"/>
      <c r="K175" s="1427"/>
      <c r="L175" s="1428"/>
      <c r="M175" s="1428"/>
      <c r="N175" s="1429"/>
      <c r="O175" s="1429"/>
      <c r="P175" s="1430"/>
      <c r="Q175" s="1430"/>
      <c r="R175" s="1431"/>
      <c r="S175" s="1432"/>
      <c r="T175" s="1433"/>
      <c r="U175" s="1422"/>
      <c r="V175" s="1453"/>
      <c r="W175" s="1453"/>
      <c r="X175" s="1453"/>
      <c r="Y175" s="1453"/>
      <c r="Z175" s="1453"/>
      <c r="AA175" s="1453"/>
      <c r="AB175" s="1453"/>
      <c r="AC175" s="1453"/>
      <c r="AD175" s="1453"/>
      <c r="AE175" s="1453"/>
      <c r="AF175" s="1453"/>
      <c r="AG175" s="1453"/>
      <c r="AH175" s="1453"/>
      <c r="AI175" s="1453"/>
      <c r="AJ175" s="1453"/>
      <c r="AK175" s="1434"/>
      <c r="AL175" s="1435"/>
      <c r="AM175" s="1436"/>
      <c r="AN175" s="1437"/>
      <c r="AO175" s="1438"/>
      <c r="AP175" s="1439"/>
      <c r="AQ175" s="1440"/>
      <c r="AR175" s="1441"/>
      <c r="AS175" s="1442"/>
      <c r="AT175" s="1443"/>
      <c r="AU175" s="1444"/>
      <c r="AV175" s="1442"/>
      <c r="AW175" s="1445"/>
      <c r="AX175" s="1446"/>
      <c r="AY175" s="1446"/>
      <c r="AZ175" s="1446"/>
      <c r="BA175" s="1447"/>
      <c r="BB175" s="1447"/>
      <c r="BC175" s="1446"/>
      <c r="BD175" s="1448"/>
      <c r="BE175" s="1442"/>
      <c r="BF175" s="1447"/>
      <c r="BG175" s="1449"/>
      <c r="BH175" s="1447"/>
      <c r="BI175" s="1447"/>
      <c r="BJ175" s="1449"/>
      <c r="BK175" s="1447"/>
      <c r="BL175" s="1447"/>
      <c r="BM175" s="1449"/>
      <c r="BN175" s="1447"/>
      <c r="BO175" s="1447"/>
      <c r="BP175" s="1448"/>
    </row>
    <row r="176">
      <c r="A176" s="1422"/>
      <c r="B176" s="1423"/>
      <c r="C176" s="1423"/>
      <c r="D176" s="1422"/>
      <c r="E176" s="1422"/>
      <c r="F176" s="1422"/>
      <c r="G176" s="1424"/>
      <c r="H176" s="1424"/>
      <c r="I176" s="1450"/>
      <c r="J176" s="1452"/>
      <c r="K176" s="1427"/>
      <c r="L176" s="1428"/>
      <c r="M176" s="1428"/>
      <c r="N176" s="1429"/>
      <c r="O176" s="1429"/>
      <c r="P176" s="1430"/>
      <c r="Q176" s="1430"/>
      <c r="R176" s="1431"/>
      <c r="S176" s="1432"/>
      <c r="T176" s="1433"/>
      <c r="U176" s="1422"/>
      <c r="V176" s="1453"/>
      <c r="W176" s="1453"/>
      <c r="X176" s="1453"/>
      <c r="Y176" s="1453"/>
      <c r="Z176" s="1422"/>
      <c r="AA176" s="1453"/>
      <c r="AB176" s="1453"/>
      <c r="AC176" s="1453"/>
      <c r="AD176" s="1453"/>
      <c r="AE176" s="1453"/>
      <c r="AF176" s="1453"/>
      <c r="AG176" s="1453"/>
      <c r="AH176" s="1453"/>
      <c r="AI176" s="1422"/>
      <c r="AJ176" s="1453"/>
      <c r="AK176" s="1434"/>
      <c r="AL176" s="1435"/>
      <c r="AM176" s="1436"/>
      <c r="AN176" s="1437"/>
      <c r="AO176" s="1438"/>
      <c r="AP176" s="1439"/>
      <c r="AQ176" s="1440"/>
      <c r="AR176" s="1441"/>
      <c r="AS176" s="1442"/>
      <c r="AT176" s="1443"/>
      <c r="AU176" s="1444"/>
      <c r="AV176" s="1442"/>
      <c r="AW176" s="1445"/>
      <c r="AX176" s="1446"/>
      <c r="AY176" s="1446"/>
      <c r="AZ176" s="1446"/>
      <c r="BA176" s="1447"/>
      <c r="BB176" s="1447"/>
      <c r="BC176" s="1446"/>
      <c r="BD176" s="1448"/>
      <c r="BE176" s="1442"/>
      <c r="BF176" s="1447"/>
      <c r="BG176" s="1449"/>
      <c r="BH176" s="1447"/>
      <c r="BI176" s="1447"/>
      <c r="BJ176" s="1449"/>
      <c r="BK176" s="1447"/>
      <c r="BL176" s="1447"/>
      <c r="BM176" s="1449"/>
      <c r="BN176" s="1447"/>
      <c r="BO176" s="1447"/>
      <c r="BP176" s="1448"/>
    </row>
    <row r="177">
      <c r="A177" s="1422"/>
      <c r="B177" s="1423"/>
      <c r="C177" s="1423"/>
      <c r="D177" s="1422"/>
      <c r="E177" s="1422"/>
      <c r="F177" s="1422"/>
      <c r="G177" s="1424"/>
      <c r="H177" s="1424"/>
      <c r="I177" s="1450"/>
      <c r="J177" s="1452"/>
      <c r="K177" s="1427"/>
      <c r="L177" s="1428"/>
      <c r="M177" s="1428"/>
      <c r="N177" s="1429"/>
      <c r="O177" s="1429"/>
      <c r="P177" s="1430"/>
      <c r="Q177" s="1430"/>
      <c r="R177" s="1431"/>
      <c r="S177" s="1432"/>
      <c r="T177" s="1433"/>
      <c r="U177" s="1422"/>
      <c r="V177" s="1453"/>
      <c r="W177" s="1453"/>
      <c r="X177" s="1453"/>
      <c r="Y177" s="1453"/>
      <c r="Z177" s="1422"/>
      <c r="AA177" s="1453"/>
      <c r="AB177" s="1453"/>
      <c r="AC177" s="1453"/>
      <c r="AD177" s="1453"/>
      <c r="AE177" s="1453"/>
      <c r="AF177" s="1453"/>
      <c r="AG177" s="1453"/>
      <c r="AH177" s="1453"/>
      <c r="AI177" s="1422"/>
      <c r="AJ177" s="1453"/>
      <c r="AK177" s="1434"/>
      <c r="AL177" s="1435"/>
      <c r="AM177" s="1436"/>
      <c r="AN177" s="1437"/>
      <c r="AO177" s="1438"/>
      <c r="AP177" s="1439"/>
      <c r="AQ177" s="1440"/>
      <c r="AR177" s="1441"/>
      <c r="AS177" s="1442"/>
      <c r="AT177" s="1443"/>
      <c r="AU177" s="1444"/>
      <c r="AV177" s="1442"/>
      <c r="AW177" s="1445"/>
      <c r="AX177" s="1446"/>
      <c r="AY177" s="1446"/>
      <c r="AZ177" s="1446"/>
      <c r="BA177" s="1447"/>
      <c r="BB177" s="1447"/>
      <c r="BC177" s="1446"/>
      <c r="BD177" s="1448"/>
      <c r="BE177" s="1442"/>
      <c r="BF177" s="1447"/>
      <c r="BG177" s="1449"/>
      <c r="BH177" s="1447"/>
      <c r="BI177" s="1447"/>
      <c r="BJ177" s="1449"/>
      <c r="BK177" s="1447"/>
      <c r="BL177" s="1447"/>
      <c r="BM177" s="1449"/>
      <c r="BN177" s="1447"/>
      <c r="BO177" s="1447"/>
      <c r="BP177" s="1448"/>
    </row>
    <row r="178">
      <c r="A178" s="1422"/>
      <c r="B178" s="1423"/>
      <c r="C178" s="1423"/>
      <c r="D178" s="1422"/>
      <c r="E178" s="1422"/>
      <c r="F178" s="1422"/>
      <c r="G178" s="1424"/>
      <c r="H178" s="1424"/>
      <c r="I178" s="1450"/>
      <c r="J178" s="1452"/>
      <c r="K178" s="1427"/>
      <c r="L178" s="1428"/>
      <c r="M178" s="1428"/>
      <c r="N178" s="1429"/>
      <c r="O178" s="1429"/>
      <c r="P178" s="1430"/>
      <c r="Q178" s="1430"/>
      <c r="R178" s="1431"/>
      <c r="S178" s="1432"/>
      <c r="T178" s="1433"/>
      <c r="U178" s="1422"/>
      <c r="V178" s="1453"/>
      <c r="W178" s="1453"/>
      <c r="X178" s="1453"/>
      <c r="Y178" s="1453"/>
      <c r="Z178" s="1422"/>
      <c r="AA178" s="1453"/>
      <c r="AB178" s="1453"/>
      <c r="AC178" s="1453"/>
      <c r="AD178" s="1453"/>
      <c r="AE178" s="1453"/>
      <c r="AF178" s="1453"/>
      <c r="AG178" s="1422"/>
      <c r="AH178" s="1453"/>
      <c r="AI178" s="1453"/>
      <c r="AJ178" s="1453"/>
      <c r="AK178" s="1434"/>
      <c r="AL178" s="1435"/>
      <c r="AM178" s="1436"/>
      <c r="AN178" s="1437"/>
      <c r="AO178" s="1438"/>
      <c r="AP178" s="1439"/>
      <c r="AQ178" s="1440"/>
      <c r="AR178" s="1441"/>
      <c r="AS178" s="1442"/>
      <c r="AT178" s="1443"/>
      <c r="AU178" s="1444"/>
      <c r="AV178" s="1442"/>
      <c r="AW178" s="1445"/>
      <c r="AX178" s="1446"/>
      <c r="AY178" s="1446"/>
      <c r="AZ178" s="1446"/>
      <c r="BA178" s="1447"/>
      <c r="BB178" s="1447"/>
      <c r="BC178" s="1446"/>
      <c r="BD178" s="1448"/>
      <c r="BE178" s="1442"/>
      <c r="BF178" s="1447"/>
      <c r="BG178" s="1449"/>
      <c r="BH178" s="1447"/>
      <c r="BI178" s="1447"/>
      <c r="BJ178" s="1449"/>
      <c r="BK178" s="1447"/>
      <c r="BL178" s="1447"/>
      <c r="BM178" s="1449"/>
      <c r="BN178" s="1447"/>
      <c r="BO178" s="1447"/>
      <c r="BP178" s="1448"/>
    </row>
    <row r="179">
      <c r="A179" s="1453"/>
      <c r="B179" s="1454"/>
      <c r="C179" s="1454"/>
      <c r="D179" s="1453"/>
      <c r="E179" s="1453"/>
      <c r="F179" s="1453"/>
      <c r="G179" s="1455"/>
      <c r="H179" s="1455"/>
      <c r="I179" s="1456"/>
      <c r="J179" s="1457"/>
      <c r="K179" s="1458"/>
      <c r="L179" s="1459"/>
      <c r="M179" s="1459"/>
      <c r="N179" s="1460"/>
      <c r="O179" s="1460"/>
      <c r="P179" s="1461"/>
      <c r="Q179" s="1461"/>
      <c r="R179" s="1462"/>
      <c r="S179" s="1463"/>
      <c r="T179" s="1464"/>
      <c r="U179" s="1453"/>
      <c r="V179" s="1453"/>
      <c r="W179" s="1453"/>
      <c r="X179" s="1453"/>
      <c r="Y179" s="1453"/>
      <c r="Z179" s="1453"/>
      <c r="AA179" s="1453"/>
      <c r="AB179" s="1453"/>
      <c r="AC179" s="1453"/>
      <c r="AD179" s="1453"/>
      <c r="AE179" s="1453"/>
      <c r="AF179" s="1453"/>
      <c r="AG179" s="1453"/>
      <c r="AH179" s="1453"/>
      <c r="AI179" s="1453"/>
      <c r="AJ179" s="1453"/>
      <c r="AK179" s="1465"/>
      <c r="AL179" s="1435"/>
      <c r="AM179" s="1436"/>
      <c r="AN179" s="1437"/>
      <c r="AO179" s="1438"/>
      <c r="AP179" s="1439"/>
      <c r="AQ179" s="1440"/>
      <c r="AR179" s="1441"/>
      <c r="AS179" s="1442"/>
      <c r="AT179" s="1443"/>
      <c r="AU179" s="1444"/>
      <c r="AV179" s="1442"/>
      <c r="AW179" s="1445"/>
      <c r="AX179" s="1446"/>
      <c r="AY179" s="1446"/>
      <c r="AZ179" s="1446"/>
      <c r="BA179" s="1447"/>
      <c r="BB179" s="1447"/>
      <c r="BC179" s="1446"/>
      <c r="BD179" s="1448"/>
      <c r="BE179" s="1442"/>
      <c r="BF179" s="1447"/>
      <c r="BG179" s="1449"/>
      <c r="BH179" s="1447"/>
      <c r="BI179" s="1447"/>
      <c r="BJ179" s="1449"/>
      <c r="BK179" s="1447"/>
      <c r="BL179" s="1447"/>
      <c r="BM179" s="1449"/>
      <c r="BN179" s="1447"/>
      <c r="BO179" s="1447"/>
      <c r="BP179" s="1448"/>
    </row>
    <row r="180">
      <c r="A180" s="1453"/>
      <c r="B180" s="1454"/>
      <c r="C180" s="1454"/>
      <c r="D180" s="1453"/>
      <c r="E180" s="1453"/>
      <c r="F180" s="1453"/>
      <c r="G180" s="1455"/>
      <c r="H180" s="1455"/>
      <c r="I180" s="1456"/>
      <c r="J180" s="1457"/>
      <c r="K180" s="1458"/>
      <c r="L180" s="1459"/>
      <c r="M180" s="1459"/>
      <c r="N180" s="1460"/>
      <c r="O180" s="1460"/>
      <c r="P180" s="1461"/>
      <c r="Q180" s="1461"/>
      <c r="R180" s="1462"/>
      <c r="S180" s="1463"/>
      <c r="T180" s="1464"/>
      <c r="U180" s="1453"/>
      <c r="V180" s="1453"/>
      <c r="W180" s="1453"/>
      <c r="X180" s="1453"/>
      <c r="Y180" s="1453"/>
      <c r="Z180" s="1453"/>
      <c r="AA180" s="1453"/>
      <c r="AB180" s="1453"/>
      <c r="AC180" s="1453"/>
      <c r="AD180" s="1453"/>
      <c r="AE180" s="1453"/>
      <c r="AF180" s="1453"/>
      <c r="AG180" s="1453"/>
      <c r="AH180" s="1453"/>
      <c r="AI180" s="1453"/>
      <c r="AJ180" s="1453"/>
      <c r="AK180" s="1465"/>
      <c r="AL180" s="1435"/>
      <c r="AM180" s="1436"/>
      <c r="AN180" s="1437"/>
      <c r="AO180" s="1438"/>
      <c r="AP180" s="1439"/>
      <c r="AQ180" s="1440"/>
      <c r="AR180" s="1441"/>
      <c r="AS180" s="1442"/>
      <c r="AT180" s="1443"/>
      <c r="AU180" s="1444"/>
      <c r="AV180" s="1442"/>
      <c r="AW180" s="1445"/>
      <c r="AX180" s="1446"/>
      <c r="AY180" s="1446"/>
      <c r="AZ180" s="1446"/>
      <c r="BA180" s="1447"/>
      <c r="BB180" s="1447"/>
      <c r="BC180" s="1446"/>
      <c r="BD180" s="1448"/>
      <c r="BE180" s="1442"/>
      <c r="BF180" s="1447"/>
      <c r="BG180" s="1449"/>
      <c r="BH180" s="1447"/>
      <c r="BI180" s="1447"/>
      <c r="BJ180" s="1449"/>
      <c r="BK180" s="1447"/>
      <c r="BL180" s="1447"/>
      <c r="BM180" s="1449"/>
      <c r="BN180" s="1447"/>
      <c r="BO180" s="1447"/>
      <c r="BP180" s="1448"/>
    </row>
    <row r="181">
      <c r="A181" s="1453"/>
      <c r="B181" s="1454"/>
      <c r="C181" s="1454"/>
      <c r="D181" s="1453"/>
      <c r="E181" s="1453"/>
      <c r="F181" s="1453"/>
      <c r="G181" s="1455"/>
      <c r="H181" s="1455"/>
      <c r="I181" s="1456"/>
      <c r="J181" s="1457"/>
      <c r="K181" s="1458"/>
      <c r="L181" s="1459"/>
      <c r="M181" s="1459"/>
      <c r="N181" s="1460"/>
      <c r="O181" s="1460"/>
      <c r="P181" s="1461"/>
      <c r="Q181" s="1461"/>
      <c r="R181" s="1462"/>
      <c r="S181" s="1463"/>
      <c r="T181" s="1464"/>
      <c r="U181" s="1453"/>
      <c r="V181" s="1453"/>
      <c r="W181" s="1453"/>
      <c r="X181" s="1453"/>
      <c r="Y181" s="1453"/>
      <c r="Z181" s="1453"/>
      <c r="AA181" s="1453"/>
      <c r="AB181" s="1453"/>
      <c r="AC181" s="1453"/>
      <c r="AD181" s="1453"/>
      <c r="AE181" s="1453"/>
      <c r="AF181" s="1453"/>
      <c r="AG181" s="1453"/>
      <c r="AH181" s="1453"/>
      <c r="AI181" s="1453"/>
      <c r="AJ181" s="1453"/>
      <c r="AK181" s="1465"/>
      <c r="AL181" s="1435"/>
      <c r="AM181" s="1436"/>
      <c r="AN181" s="1437"/>
      <c r="AO181" s="1438"/>
      <c r="AP181" s="1439"/>
      <c r="AQ181" s="1440"/>
      <c r="AR181" s="1441"/>
      <c r="AS181" s="1442"/>
      <c r="AT181" s="1443"/>
      <c r="AU181" s="1444"/>
      <c r="AV181" s="1442"/>
      <c r="AW181" s="1445"/>
      <c r="AX181" s="1446"/>
      <c r="AY181" s="1446"/>
      <c r="AZ181" s="1446"/>
      <c r="BA181" s="1447"/>
      <c r="BB181" s="1447"/>
      <c r="BC181" s="1446"/>
      <c r="BD181" s="1448"/>
      <c r="BE181" s="1442"/>
      <c r="BF181" s="1447"/>
      <c r="BG181" s="1449"/>
      <c r="BH181" s="1447"/>
      <c r="BI181" s="1447"/>
      <c r="BJ181" s="1449"/>
      <c r="BK181" s="1447"/>
      <c r="BL181" s="1447"/>
      <c r="BM181" s="1449"/>
      <c r="BN181" s="1447"/>
      <c r="BO181" s="1447"/>
      <c r="BP181" s="1448"/>
    </row>
    <row r="182">
      <c r="A182" s="1453"/>
      <c r="B182" s="1454"/>
      <c r="C182" s="1454"/>
      <c r="D182" s="1453"/>
      <c r="E182" s="1453"/>
      <c r="F182" s="1453"/>
      <c r="G182" s="1455"/>
      <c r="H182" s="1455"/>
      <c r="I182" s="1456"/>
      <c r="J182" s="1457"/>
      <c r="K182" s="1458"/>
      <c r="L182" s="1459"/>
      <c r="M182" s="1459"/>
      <c r="N182" s="1460"/>
      <c r="O182" s="1460"/>
      <c r="P182" s="1461"/>
      <c r="Q182" s="1461"/>
      <c r="R182" s="1462"/>
      <c r="S182" s="1463"/>
      <c r="T182" s="1464"/>
      <c r="U182" s="1453"/>
      <c r="V182" s="1453"/>
      <c r="W182" s="1453"/>
      <c r="X182" s="1453"/>
      <c r="Y182" s="1453"/>
      <c r="Z182" s="1453"/>
      <c r="AA182" s="1453"/>
      <c r="AB182" s="1453"/>
      <c r="AC182" s="1453"/>
      <c r="AD182" s="1453"/>
      <c r="AE182" s="1453"/>
      <c r="AF182" s="1453"/>
      <c r="AG182" s="1453"/>
      <c r="AH182" s="1453"/>
      <c r="AI182" s="1453"/>
      <c r="AJ182" s="1453"/>
      <c r="AK182" s="1465"/>
      <c r="AL182" s="1435"/>
      <c r="AM182" s="1436"/>
      <c r="AN182" s="1437"/>
      <c r="AO182" s="1438"/>
      <c r="AP182" s="1439"/>
      <c r="AQ182" s="1440"/>
      <c r="AR182" s="1441"/>
      <c r="AS182" s="1442"/>
      <c r="AT182" s="1443"/>
      <c r="AU182" s="1444"/>
      <c r="AV182" s="1442"/>
      <c r="AW182" s="1445"/>
      <c r="AX182" s="1446"/>
      <c r="AY182" s="1446"/>
      <c r="AZ182" s="1446"/>
      <c r="BA182" s="1447"/>
      <c r="BB182" s="1447"/>
      <c r="BC182" s="1446"/>
      <c r="BD182" s="1448"/>
      <c r="BE182" s="1442"/>
      <c r="BF182" s="1447"/>
      <c r="BG182" s="1449"/>
      <c r="BH182" s="1447"/>
      <c r="BI182" s="1447"/>
      <c r="BJ182" s="1449"/>
      <c r="BK182" s="1447"/>
      <c r="BL182" s="1447"/>
      <c r="BM182" s="1449"/>
      <c r="BN182" s="1447"/>
      <c r="BO182" s="1447"/>
      <c r="BP182" s="1448"/>
    </row>
    <row r="183">
      <c r="A183" s="1453"/>
      <c r="B183" s="1454"/>
      <c r="C183" s="1454"/>
      <c r="D183" s="1453"/>
      <c r="E183" s="1453"/>
      <c r="F183" s="1453"/>
      <c r="G183" s="1455"/>
      <c r="H183" s="1455"/>
      <c r="I183" s="1456"/>
      <c r="J183" s="1457"/>
      <c r="K183" s="1458"/>
      <c r="L183" s="1459"/>
      <c r="M183" s="1459"/>
      <c r="N183" s="1460"/>
      <c r="O183" s="1460"/>
      <c r="P183" s="1461"/>
      <c r="Q183" s="1461"/>
      <c r="R183" s="1462"/>
      <c r="S183" s="1463"/>
      <c r="T183" s="1464"/>
      <c r="U183" s="1453"/>
      <c r="V183" s="1453"/>
      <c r="W183" s="1453"/>
      <c r="X183" s="1453"/>
      <c r="Y183" s="1453"/>
      <c r="Z183" s="1453"/>
      <c r="AA183" s="1453"/>
      <c r="AB183" s="1453"/>
      <c r="AC183" s="1453"/>
      <c r="AD183" s="1453"/>
      <c r="AE183" s="1453"/>
      <c r="AF183" s="1453"/>
      <c r="AG183" s="1453"/>
      <c r="AH183" s="1453"/>
      <c r="AI183" s="1453"/>
      <c r="AJ183" s="1453"/>
      <c r="AK183" s="1465"/>
      <c r="AL183" s="1435"/>
      <c r="AM183" s="1436"/>
      <c r="AN183" s="1437"/>
      <c r="AO183" s="1438"/>
      <c r="AP183" s="1439"/>
      <c r="AQ183" s="1440"/>
      <c r="AR183" s="1441"/>
      <c r="AS183" s="1442"/>
      <c r="AT183" s="1443"/>
      <c r="AU183" s="1444"/>
      <c r="AV183" s="1442"/>
      <c r="AW183" s="1445"/>
      <c r="AX183" s="1446"/>
      <c r="AY183" s="1446"/>
      <c r="AZ183" s="1446"/>
      <c r="BA183" s="1447"/>
      <c r="BB183" s="1447"/>
      <c r="BC183" s="1446"/>
      <c r="BD183" s="1448"/>
      <c r="BE183" s="1442"/>
      <c r="BF183" s="1447"/>
      <c r="BG183" s="1449"/>
      <c r="BH183" s="1447"/>
      <c r="BI183" s="1447"/>
      <c r="BJ183" s="1449"/>
      <c r="BK183" s="1447"/>
      <c r="BL183" s="1447"/>
      <c r="BM183" s="1449"/>
      <c r="BN183" s="1447"/>
      <c r="BO183" s="1447"/>
      <c r="BP183" s="1448"/>
    </row>
    <row r="184">
      <c r="A184" s="1453"/>
      <c r="B184" s="1454"/>
      <c r="C184" s="1454"/>
      <c r="D184" s="1453"/>
      <c r="E184" s="1453"/>
      <c r="F184" s="1453"/>
      <c r="G184" s="1455"/>
      <c r="H184" s="1455"/>
      <c r="I184" s="1456"/>
      <c r="J184" s="1457"/>
      <c r="K184" s="1458"/>
      <c r="L184" s="1459"/>
      <c r="M184" s="1459"/>
      <c r="N184" s="1460"/>
      <c r="O184" s="1460"/>
      <c r="P184" s="1461"/>
      <c r="Q184" s="1461"/>
      <c r="R184" s="1462"/>
      <c r="S184" s="1463"/>
      <c r="T184" s="1464"/>
      <c r="U184" s="1453"/>
      <c r="V184" s="1453"/>
      <c r="W184" s="1453"/>
      <c r="X184" s="1453"/>
      <c r="Y184" s="1453"/>
      <c r="Z184" s="1453"/>
      <c r="AA184" s="1453"/>
      <c r="AB184" s="1453"/>
      <c r="AC184" s="1453"/>
      <c r="AD184" s="1453"/>
      <c r="AE184" s="1453"/>
      <c r="AF184" s="1453"/>
      <c r="AG184" s="1453"/>
      <c r="AH184" s="1453"/>
      <c r="AI184" s="1453"/>
      <c r="AJ184" s="1453"/>
      <c r="AK184" s="1465"/>
      <c r="AL184" s="1435"/>
      <c r="AM184" s="1436"/>
      <c r="AN184" s="1437"/>
      <c r="AO184" s="1438"/>
      <c r="AP184" s="1439"/>
      <c r="AQ184" s="1440"/>
      <c r="AR184" s="1441"/>
      <c r="AS184" s="1442"/>
      <c r="AT184" s="1443"/>
      <c r="AU184" s="1444"/>
      <c r="AV184" s="1442"/>
      <c r="AW184" s="1445"/>
      <c r="AX184" s="1446"/>
      <c r="AY184" s="1446"/>
      <c r="AZ184" s="1446"/>
      <c r="BA184" s="1447"/>
      <c r="BB184" s="1447"/>
      <c r="BC184" s="1446"/>
      <c r="BD184" s="1448"/>
      <c r="BE184" s="1442"/>
      <c r="BF184" s="1447"/>
      <c r="BG184" s="1449"/>
      <c r="BH184" s="1447"/>
      <c r="BI184" s="1447"/>
      <c r="BJ184" s="1449"/>
      <c r="BK184" s="1447"/>
      <c r="BL184" s="1447"/>
      <c r="BM184" s="1449"/>
      <c r="BN184" s="1447"/>
      <c r="BO184" s="1447"/>
      <c r="BP184" s="1448"/>
    </row>
    <row r="185">
      <c r="A185" s="1453"/>
      <c r="B185" s="1454"/>
      <c r="C185" s="1454"/>
      <c r="D185" s="1453"/>
      <c r="E185" s="1453"/>
      <c r="F185" s="1453"/>
      <c r="G185" s="1455"/>
      <c r="H185" s="1455"/>
      <c r="I185" s="1456"/>
      <c r="J185" s="1457"/>
      <c r="K185" s="1458"/>
      <c r="L185" s="1459"/>
      <c r="M185" s="1459"/>
      <c r="N185" s="1460"/>
      <c r="O185" s="1460"/>
      <c r="P185" s="1461"/>
      <c r="Q185" s="1461"/>
      <c r="R185" s="1462"/>
      <c r="S185" s="1463"/>
      <c r="T185" s="1464"/>
      <c r="U185" s="1453"/>
      <c r="V185" s="1453"/>
      <c r="W185" s="1453"/>
      <c r="X185" s="1453"/>
      <c r="Y185" s="1453"/>
      <c r="Z185" s="1453"/>
      <c r="AA185" s="1453"/>
      <c r="AB185" s="1453"/>
      <c r="AC185" s="1453"/>
      <c r="AD185" s="1453"/>
      <c r="AE185" s="1453"/>
      <c r="AF185" s="1453"/>
      <c r="AG185" s="1453"/>
      <c r="AH185" s="1453"/>
      <c r="AI185" s="1453"/>
      <c r="AJ185" s="1453"/>
      <c r="AK185" s="1465"/>
      <c r="AL185" s="1435"/>
      <c r="AM185" s="1436"/>
      <c r="AN185" s="1437"/>
      <c r="AO185" s="1438"/>
      <c r="AP185" s="1439"/>
      <c r="AQ185" s="1440"/>
      <c r="AR185" s="1441"/>
      <c r="AS185" s="1442"/>
      <c r="AT185" s="1443"/>
      <c r="AU185" s="1444"/>
      <c r="AV185" s="1442"/>
      <c r="AW185" s="1445"/>
      <c r="AX185" s="1446"/>
      <c r="AY185" s="1446"/>
      <c r="AZ185" s="1446"/>
      <c r="BA185" s="1447"/>
      <c r="BB185" s="1447"/>
      <c r="BC185" s="1446"/>
      <c r="BD185" s="1448"/>
      <c r="BE185" s="1442"/>
      <c r="BF185" s="1447"/>
      <c r="BG185" s="1449"/>
      <c r="BH185" s="1447"/>
      <c r="BI185" s="1447"/>
      <c r="BJ185" s="1449"/>
      <c r="BK185" s="1447"/>
      <c r="BL185" s="1447"/>
      <c r="BM185" s="1449"/>
      <c r="BN185" s="1447"/>
      <c r="BO185" s="1447"/>
      <c r="BP185" s="1448"/>
    </row>
    <row r="186">
      <c r="A186" s="1453"/>
      <c r="B186" s="1454"/>
      <c r="C186" s="1454"/>
      <c r="D186" s="1453"/>
      <c r="E186" s="1453"/>
      <c r="F186" s="1453"/>
      <c r="G186" s="1455"/>
      <c r="H186" s="1455"/>
      <c r="I186" s="1456"/>
      <c r="J186" s="1457"/>
      <c r="K186" s="1458"/>
      <c r="L186" s="1459"/>
      <c r="M186" s="1459"/>
      <c r="N186" s="1460"/>
      <c r="O186" s="1460"/>
      <c r="P186" s="1461"/>
      <c r="Q186" s="1461"/>
      <c r="R186" s="1462"/>
      <c r="S186" s="1463"/>
      <c r="T186" s="1464"/>
      <c r="U186" s="1453"/>
      <c r="V186" s="1453"/>
      <c r="W186" s="1453"/>
      <c r="X186" s="1453"/>
      <c r="Y186" s="1453"/>
      <c r="Z186" s="1453"/>
      <c r="AA186" s="1453"/>
      <c r="AB186" s="1453"/>
      <c r="AC186" s="1453"/>
      <c r="AD186" s="1453"/>
      <c r="AE186" s="1453"/>
      <c r="AF186" s="1453"/>
      <c r="AG186" s="1453"/>
      <c r="AH186" s="1453"/>
      <c r="AI186" s="1453"/>
      <c r="AJ186" s="1453"/>
      <c r="AK186" s="1465"/>
      <c r="AL186" s="1435"/>
      <c r="AM186" s="1436"/>
      <c r="AN186" s="1437"/>
      <c r="AO186" s="1438"/>
      <c r="AP186" s="1439"/>
      <c r="AQ186" s="1440"/>
      <c r="AR186" s="1441"/>
      <c r="AS186" s="1442"/>
      <c r="AT186" s="1443"/>
      <c r="AU186" s="1444"/>
      <c r="AV186" s="1442"/>
      <c r="AW186" s="1445"/>
      <c r="AX186" s="1446"/>
      <c r="AY186" s="1446"/>
      <c r="AZ186" s="1446"/>
      <c r="BA186" s="1447"/>
      <c r="BB186" s="1447"/>
      <c r="BC186" s="1446"/>
      <c r="BD186" s="1448"/>
      <c r="BE186" s="1442"/>
      <c r="BF186" s="1447"/>
      <c r="BG186" s="1449"/>
      <c r="BH186" s="1447"/>
      <c r="BI186" s="1447"/>
      <c r="BJ186" s="1449"/>
      <c r="BK186" s="1447"/>
      <c r="BL186" s="1447"/>
      <c r="BM186" s="1449"/>
      <c r="BN186" s="1447"/>
      <c r="BO186" s="1447"/>
      <c r="BP186" s="1448"/>
    </row>
    <row r="187">
      <c r="A187" s="1453"/>
      <c r="B187" s="1454"/>
      <c r="C187" s="1454"/>
      <c r="D187" s="1453"/>
      <c r="E187" s="1453"/>
      <c r="F187" s="1453"/>
      <c r="G187" s="1455"/>
      <c r="H187" s="1455"/>
      <c r="I187" s="1456"/>
      <c r="J187" s="1457"/>
      <c r="K187" s="1458"/>
      <c r="L187" s="1459"/>
      <c r="M187" s="1459"/>
      <c r="N187" s="1460"/>
      <c r="O187" s="1460"/>
      <c r="P187" s="1461"/>
      <c r="Q187" s="1461"/>
      <c r="R187" s="1462"/>
      <c r="S187" s="1463"/>
      <c r="T187" s="1464"/>
      <c r="U187" s="1453"/>
      <c r="V187" s="1453"/>
      <c r="W187" s="1453"/>
      <c r="X187" s="1453"/>
      <c r="Y187" s="1453"/>
      <c r="Z187" s="1453"/>
      <c r="AA187" s="1453"/>
      <c r="AB187" s="1453"/>
      <c r="AC187" s="1453"/>
      <c r="AD187" s="1453"/>
      <c r="AE187" s="1453"/>
      <c r="AF187" s="1453"/>
      <c r="AG187" s="1453"/>
      <c r="AH187" s="1453"/>
      <c r="AI187" s="1453"/>
      <c r="AJ187" s="1453"/>
      <c r="AK187" s="1465"/>
      <c r="AL187" s="1435"/>
      <c r="AM187" s="1436"/>
      <c r="AN187" s="1437"/>
      <c r="AO187" s="1438"/>
      <c r="AP187" s="1439"/>
      <c r="AQ187" s="1440"/>
      <c r="AR187" s="1441"/>
      <c r="AS187" s="1442"/>
      <c r="AT187" s="1443"/>
      <c r="AU187" s="1444"/>
      <c r="AV187" s="1442"/>
      <c r="AW187" s="1445"/>
      <c r="AX187" s="1446"/>
      <c r="AY187" s="1446"/>
      <c r="AZ187" s="1446"/>
      <c r="BA187" s="1447"/>
      <c r="BB187" s="1447"/>
      <c r="BC187" s="1446"/>
      <c r="BD187" s="1448"/>
      <c r="BE187" s="1442"/>
      <c r="BF187" s="1447"/>
      <c r="BG187" s="1449"/>
      <c r="BH187" s="1447"/>
      <c r="BI187" s="1447"/>
      <c r="BJ187" s="1449"/>
      <c r="BK187" s="1447"/>
      <c r="BL187" s="1447"/>
      <c r="BM187" s="1449"/>
      <c r="BN187" s="1447"/>
      <c r="BO187" s="1447"/>
      <c r="BP187" s="1448"/>
    </row>
    <row r="188">
      <c r="A188" s="1453"/>
      <c r="B188" s="1454"/>
      <c r="C188" s="1454"/>
      <c r="D188" s="1453"/>
      <c r="E188" s="1453"/>
      <c r="F188" s="1453"/>
      <c r="G188" s="1455"/>
      <c r="H188" s="1455"/>
      <c r="I188" s="1456"/>
      <c r="J188" s="1457"/>
      <c r="K188" s="1458"/>
      <c r="L188" s="1459"/>
      <c r="M188" s="1459"/>
      <c r="N188" s="1460"/>
      <c r="O188" s="1460"/>
      <c r="P188" s="1461"/>
      <c r="Q188" s="1461"/>
      <c r="R188" s="1462"/>
      <c r="S188" s="1463"/>
      <c r="T188" s="1464"/>
      <c r="U188" s="1453"/>
      <c r="V188" s="1453"/>
      <c r="W188" s="1453"/>
      <c r="X188" s="1453"/>
      <c r="Y188" s="1453"/>
      <c r="Z188" s="1453"/>
      <c r="AA188" s="1453"/>
      <c r="AB188" s="1453"/>
      <c r="AC188" s="1453"/>
      <c r="AD188" s="1453"/>
      <c r="AE188" s="1453"/>
      <c r="AF188" s="1453"/>
      <c r="AG188" s="1453"/>
      <c r="AH188" s="1453"/>
      <c r="AI188" s="1453"/>
      <c r="AJ188" s="1453"/>
      <c r="AK188" s="1465"/>
      <c r="AL188" s="1435"/>
      <c r="AM188" s="1436"/>
      <c r="AN188" s="1437"/>
      <c r="AO188" s="1438"/>
      <c r="AP188" s="1439"/>
      <c r="AQ188" s="1440"/>
      <c r="AR188" s="1441"/>
      <c r="AS188" s="1442"/>
      <c r="AT188" s="1443"/>
      <c r="AU188" s="1444"/>
      <c r="AV188" s="1442"/>
      <c r="AW188" s="1445"/>
      <c r="AX188" s="1446"/>
      <c r="AY188" s="1446"/>
      <c r="AZ188" s="1446"/>
      <c r="BA188" s="1447"/>
      <c r="BB188" s="1447"/>
      <c r="BC188" s="1446"/>
      <c r="BD188" s="1448"/>
      <c r="BE188" s="1442"/>
      <c r="BF188" s="1447"/>
      <c r="BG188" s="1449"/>
      <c r="BH188" s="1447"/>
      <c r="BI188" s="1447"/>
      <c r="BJ188" s="1449"/>
      <c r="BK188" s="1447"/>
      <c r="BL188" s="1447"/>
      <c r="BM188" s="1449"/>
      <c r="BN188" s="1447"/>
      <c r="BO188" s="1447"/>
      <c r="BP188" s="1448"/>
    </row>
    <row r="189">
      <c r="A189" s="1453"/>
      <c r="B189" s="1454"/>
      <c r="C189" s="1454"/>
      <c r="D189" s="1453"/>
      <c r="E189" s="1453"/>
      <c r="F189" s="1453"/>
      <c r="G189" s="1455"/>
      <c r="H189" s="1455"/>
      <c r="I189" s="1456"/>
      <c r="J189" s="1457"/>
      <c r="K189" s="1458"/>
      <c r="L189" s="1459"/>
      <c r="M189" s="1459"/>
      <c r="N189" s="1460"/>
      <c r="O189" s="1460"/>
      <c r="P189" s="1461"/>
      <c r="Q189" s="1461"/>
      <c r="R189" s="1462"/>
      <c r="S189" s="1463"/>
      <c r="T189" s="1464"/>
      <c r="U189" s="1453"/>
      <c r="V189" s="1453"/>
      <c r="W189" s="1453"/>
      <c r="X189" s="1453"/>
      <c r="Y189" s="1453"/>
      <c r="Z189" s="1453"/>
      <c r="AA189" s="1453"/>
      <c r="AB189" s="1453"/>
      <c r="AC189" s="1453"/>
      <c r="AD189" s="1453"/>
      <c r="AE189" s="1453"/>
      <c r="AF189" s="1453"/>
      <c r="AG189" s="1453"/>
      <c r="AH189" s="1453"/>
      <c r="AI189" s="1453"/>
      <c r="AJ189" s="1453"/>
      <c r="AK189" s="1465"/>
      <c r="AL189" s="1435"/>
      <c r="AM189" s="1436"/>
      <c r="AN189" s="1437"/>
      <c r="AO189" s="1438"/>
      <c r="AP189" s="1439"/>
      <c r="AQ189" s="1440"/>
      <c r="AR189" s="1441"/>
      <c r="AS189" s="1442"/>
      <c r="AT189" s="1443"/>
      <c r="AU189" s="1444"/>
      <c r="AV189" s="1442"/>
      <c r="AW189" s="1445"/>
      <c r="AX189" s="1446"/>
      <c r="AY189" s="1446"/>
      <c r="AZ189" s="1446"/>
      <c r="BA189" s="1447"/>
      <c r="BB189" s="1447"/>
      <c r="BC189" s="1446"/>
      <c r="BD189" s="1448"/>
      <c r="BE189" s="1442"/>
      <c r="BF189" s="1447"/>
      <c r="BG189" s="1449"/>
      <c r="BH189" s="1447"/>
      <c r="BI189" s="1447"/>
      <c r="BJ189" s="1449"/>
      <c r="BK189" s="1447"/>
      <c r="BL189" s="1447"/>
      <c r="BM189" s="1449"/>
      <c r="BN189" s="1447"/>
      <c r="BO189" s="1447"/>
      <c r="BP189" s="1448"/>
    </row>
    <row r="190">
      <c r="A190" s="1453"/>
      <c r="B190" s="1454"/>
      <c r="C190" s="1454"/>
      <c r="D190" s="1453"/>
      <c r="E190" s="1453"/>
      <c r="F190" s="1453"/>
      <c r="G190" s="1455"/>
      <c r="H190" s="1455"/>
      <c r="I190" s="1456"/>
      <c r="J190" s="1457"/>
      <c r="K190" s="1458"/>
      <c r="L190" s="1459"/>
      <c r="M190" s="1459"/>
      <c r="N190" s="1460"/>
      <c r="O190" s="1460"/>
      <c r="P190" s="1461"/>
      <c r="Q190" s="1461"/>
      <c r="R190" s="1462"/>
      <c r="S190" s="1463"/>
      <c r="T190" s="1464"/>
      <c r="U190" s="1453"/>
      <c r="V190" s="1453"/>
      <c r="W190" s="1453"/>
      <c r="X190" s="1453"/>
      <c r="Y190" s="1453"/>
      <c r="Z190" s="1453"/>
      <c r="AA190" s="1453"/>
      <c r="AB190" s="1453"/>
      <c r="AC190" s="1453"/>
      <c r="AD190" s="1453"/>
      <c r="AE190" s="1453"/>
      <c r="AF190" s="1453"/>
      <c r="AG190" s="1453"/>
      <c r="AH190" s="1453"/>
      <c r="AI190" s="1453"/>
      <c r="AJ190" s="1453"/>
      <c r="AK190" s="1465"/>
      <c r="AL190" s="1435"/>
      <c r="AM190" s="1436"/>
      <c r="AN190" s="1437"/>
      <c r="AO190" s="1438"/>
      <c r="AP190" s="1439"/>
      <c r="AQ190" s="1440"/>
      <c r="AR190" s="1441"/>
      <c r="AS190" s="1442"/>
      <c r="AT190" s="1443"/>
      <c r="AU190" s="1444"/>
      <c r="AV190" s="1442"/>
      <c r="AW190" s="1445"/>
      <c r="AX190" s="1446"/>
      <c r="AY190" s="1446"/>
      <c r="AZ190" s="1446"/>
      <c r="BA190" s="1447"/>
      <c r="BB190" s="1447"/>
      <c r="BC190" s="1446"/>
      <c r="BD190" s="1448"/>
      <c r="BE190" s="1442"/>
      <c r="BF190" s="1447"/>
      <c r="BG190" s="1449"/>
      <c r="BH190" s="1447"/>
      <c r="BI190" s="1447"/>
      <c r="BJ190" s="1449"/>
      <c r="BK190" s="1447"/>
      <c r="BL190" s="1447"/>
      <c r="BM190" s="1449"/>
      <c r="BN190" s="1447"/>
      <c r="BO190" s="1447"/>
      <c r="BP190" s="1448"/>
    </row>
    <row r="191">
      <c r="A191" s="1453"/>
      <c r="B191" s="1454"/>
      <c r="C191" s="1454"/>
      <c r="D191" s="1453"/>
      <c r="E191" s="1453"/>
      <c r="F191" s="1453"/>
      <c r="G191" s="1455"/>
      <c r="H191" s="1455"/>
      <c r="I191" s="1456"/>
      <c r="J191" s="1457"/>
      <c r="K191" s="1458"/>
      <c r="L191" s="1459"/>
      <c r="M191" s="1459"/>
      <c r="N191" s="1460"/>
      <c r="O191" s="1460"/>
      <c r="P191" s="1461"/>
      <c r="Q191" s="1461"/>
      <c r="R191" s="1462"/>
      <c r="S191" s="1463"/>
      <c r="T191" s="1464"/>
      <c r="U191" s="1453"/>
      <c r="V191" s="1453"/>
      <c r="W191" s="1453"/>
      <c r="X191" s="1453"/>
      <c r="Y191" s="1453"/>
      <c r="Z191" s="1453"/>
      <c r="AA191" s="1453"/>
      <c r="AB191" s="1453"/>
      <c r="AC191" s="1453"/>
      <c r="AD191" s="1453"/>
      <c r="AE191" s="1453"/>
      <c r="AF191" s="1453"/>
      <c r="AG191" s="1453"/>
      <c r="AH191" s="1453"/>
      <c r="AI191" s="1453"/>
      <c r="AJ191" s="1453"/>
      <c r="AK191" s="1465"/>
      <c r="AL191" s="1435"/>
      <c r="AM191" s="1436"/>
      <c r="AN191" s="1437"/>
      <c r="AO191" s="1438"/>
      <c r="AP191" s="1439"/>
      <c r="AQ191" s="1440"/>
      <c r="AR191" s="1441"/>
      <c r="AS191" s="1442"/>
      <c r="AT191" s="1443"/>
      <c r="AU191" s="1444"/>
      <c r="AV191" s="1442"/>
      <c r="AW191" s="1445"/>
      <c r="AX191" s="1446"/>
      <c r="AY191" s="1446"/>
      <c r="AZ191" s="1446"/>
      <c r="BA191" s="1447"/>
      <c r="BB191" s="1447"/>
      <c r="BC191" s="1446"/>
      <c r="BD191" s="1448"/>
      <c r="BE191" s="1442"/>
      <c r="BF191" s="1447"/>
      <c r="BG191" s="1449"/>
      <c r="BH191" s="1447"/>
      <c r="BI191" s="1447"/>
      <c r="BJ191" s="1449"/>
      <c r="BK191" s="1447"/>
      <c r="BL191" s="1447"/>
      <c r="BM191" s="1449"/>
      <c r="BN191" s="1447"/>
      <c r="BO191" s="1447"/>
      <c r="BP191" s="1448"/>
    </row>
    <row r="192">
      <c r="A192" s="1453"/>
      <c r="B192" s="1454"/>
      <c r="C192" s="1454"/>
      <c r="D192" s="1453"/>
      <c r="E192" s="1453"/>
      <c r="F192" s="1453"/>
      <c r="G192" s="1455"/>
      <c r="H192" s="1455"/>
      <c r="I192" s="1456"/>
      <c r="J192" s="1457"/>
      <c r="K192" s="1458"/>
      <c r="L192" s="1459"/>
      <c r="M192" s="1459"/>
      <c r="N192" s="1460"/>
      <c r="O192" s="1460"/>
      <c r="P192" s="1461"/>
      <c r="Q192" s="1461"/>
      <c r="R192" s="1462"/>
      <c r="S192" s="1463"/>
      <c r="T192" s="1464"/>
      <c r="U192" s="1453"/>
      <c r="V192" s="1453"/>
      <c r="W192" s="1453"/>
      <c r="X192" s="1453"/>
      <c r="Y192" s="1453"/>
      <c r="Z192" s="1453"/>
      <c r="AA192" s="1453"/>
      <c r="AB192" s="1453"/>
      <c r="AC192" s="1453"/>
      <c r="AD192" s="1453"/>
      <c r="AE192" s="1453"/>
      <c r="AF192" s="1453"/>
      <c r="AG192" s="1453"/>
      <c r="AH192" s="1453"/>
      <c r="AI192" s="1453"/>
      <c r="AJ192" s="1453"/>
      <c r="AK192" s="1465"/>
      <c r="AL192" s="1435"/>
      <c r="AM192" s="1436"/>
      <c r="AN192" s="1437"/>
      <c r="AO192" s="1438"/>
      <c r="AP192" s="1439"/>
      <c r="AQ192" s="1440"/>
      <c r="AR192" s="1441"/>
      <c r="AS192" s="1442"/>
      <c r="AT192" s="1443"/>
      <c r="AU192" s="1444"/>
      <c r="AV192" s="1442"/>
      <c r="AW192" s="1445"/>
      <c r="AX192" s="1446"/>
      <c r="AY192" s="1446"/>
      <c r="AZ192" s="1446"/>
      <c r="BA192" s="1447"/>
      <c r="BB192" s="1447"/>
      <c r="BC192" s="1446"/>
      <c r="BD192" s="1448"/>
      <c r="BE192" s="1442"/>
      <c r="BF192" s="1447"/>
      <c r="BG192" s="1449"/>
      <c r="BH192" s="1447"/>
      <c r="BI192" s="1447"/>
      <c r="BJ192" s="1449"/>
      <c r="BK192" s="1447"/>
      <c r="BL192" s="1447"/>
      <c r="BM192" s="1449"/>
      <c r="BN192" s="1447"/>
      <c r="BO192" s="1447"/>
      <c r="BP192" s="1448"/>
    </row>
    <row r="193">
      <c r="A193" s="1453"/>
      <c r="B193" s="1454"/>
      <c r="C193" s="1454"/>
      <c r="D193" s="1453"/>
      <c r="E193" s="1453"/>
      <c r="F193" s="1453"/>
      <c r="G193" s="1455"/>
      <c r="H193" s="1455"/>
      <c r="I193" s="1456"/>
      <c r="J193" s="1457"/>
      <c r="K193" s="1458"/>
      <c r="L193" s="1459"/>
      <c r="M193" s="1459"/>
      <c r="N193" s="1460"/>
      <c r="O193" s="1460"/>
      <c r="P193" s="1461"/>
      <c r="Q193" s="1461"/>
      <c r="R193" s="1462"/>
      <c r="S193" s="1463"/>
      <c r="T193" s="1464"/>
      <c r="U193" s="1453"/>
      <c r="V193" s="1453"/>
      <c r="W193" s="1453"/>
      <c r="X193" s="1453"/>
      <c r="Y193" s="1453"/>
      <c r="Z193" s="1453"/>
      <c r="AA193" s="1453"/>
      <c r="AB193" s="1453"/>
      <c r="AC193" s="1453"/>
      <c r="AD193" s="1453"/>
      <c r="AE193" s="1453"/>
      <c r="AF193" s="1453"/>
      <c r="AG193" s="1453"/>
      <c r="AH193" s="1453"/>
      <c r="AI193" s="1453"/>
      <c r="AJ193" s="1453"/>
      <c r="AK193" s="1465"/>
      <c r="AL193" s="1435"/>
      <c r="AM193" s="1436"/>
      <c r="AN193" s="1437"/>
      <c r="AO193" s="1438"/>
      <c r="AP193" s="1439"/>
      <c r="AQ193" s="1440"/>
      <c r="AR193" s="1441"/>
      <c r="AS193" s="1442"/>
      <c r="AT193" s="1443"/>
      <c r="AU193" s="1444"/>
      <c r="AV193" s="1442"/>
      <c r="AW193" s="1445"/>
      <c r="AX193" s="1446"/>
      <c r="AY193" s="1446"/>
      <c r="AZ193" s="1446"/>
      <c r="BA193" s="1447"/>
      <c r="BB193" s="1447"/>
      <c r="BC193" s="1446"/>
      <c r="BD193" s="1448"/>
      <c r="BE193" s="1442"/>
      <c r="BF193" s="1447"/>
      <c r="BG193" s="1449"/>
      <c r="BH193" s="1447"/>
      <c r="BI193" s="1447"/>
      <c r="BJ193" s="1449"/>
      <c r="BK193" s="1447"/>
      <c r="BL193" s="1447"/>
      <c r="BM193" s="1449"/>
      <c r="BN193" s="1447"/>
      <c r="BO193" s="1447"/>
      <c r="BP193" s="1448"/>
    </row>
    <row r="194">
      <c r="A194" s="1453"/>
      <c r="B194" s="1454"/>
      <c r="C194" s="1454"/>
      <c r="D194" s="1453"/>
      <c r="E194" s="1453"/>
      <c r="F194" s="1453"/>
      <c r="G194" s="1455"/>
      <c r="H194" s="1455"/>
      <c r="I194" s="1456"/>
      <c r="J194" s="1457"/>
      <c r="K194" s="1458"/>
      <c r="L194" s="1459"/>
      <c r="M194" s="1459"/>
      <c r="N194" s="1460"/>
      <c r="O194" s="1460"/>
      <c r="P194" s="1461"/>
      <c r="Q194" s="1461"/>
      <c r="R194" s="1462"/>
      <c r="S194" s="1463"/>
      <c r="T194" s="1464"/>
      <c r="U194" s="1453"/>
      <c r="V194" s="1453"/>
      <c r="W194" s="1453"/>
      <c r="X194" s="1453"/>
      <c r="Y194" s="1453"/>
      <c r="Z194" s="1453"/>
      <c r="AA194" s="1453"/>
      <c r="AB194" s="1453"/>
      <c r="AC194" s="1453"/>
      <c r="AD194" s="1453"/>
      <c r="AE194" s="1453"/>
      <c r="AF194" s="1453"/>
      <c r="AG194" s="1453"/>
      <c r="AH194" s="1453"/>
      <c r="AI194" s="1453"/>
      <c r="AJ194" s="1453"/>
      <c r="AK194" s="1465"/>
      <c r="AL194" s="1435"/>
      <c r="AM194" s="1436"/>
      <c r="AN194" s="1437"/>
      <c r="AO194" s="1438"/>
      <c r="AP194" s="1439"/>
      <c r="AQ194" s="1440"/>
      <c r="AR194" s="1441"/>
      <c r="AS194" s="1442"/>
      <c r="AT194" s="1443"/>
      <c r="AU194" s="1444"/>
      <c r="AV194" s="1442"/>
      <c r="AW194" s="1445"/>
      <c r="AX194" s="1446"/>
      <c r="AY194" s="1446"/>
      <c r="AZ194" s="1446"/>
      <c r="BA194" s="1447"/>
      <c r="BB194" s="1447"/>
      <c r="BC194" s="1446"/>
      <c r="BD194" s="1448"/>
      <c r="BE194" s="1442"/>
      <c r="BF194" s="1447"/>
      <c r="BG194" s="1449"/>
      <c r="BH194" s="1447"/>
      <c r="BI194" s="1447"/>
      <c r="BJ194" s="1449"/>
      <c r="BK194" s="1447"/>
      <c r="BL194" s="1447"/>
      <c r="BM194" s="1449"/>
      <c r="BN194" s="1447"/>
      <c r="BO194" s="1447"/>
      <c r="BP194" s="1448"/>
    </row>
    <row r="195">
      <c r="A195" s="1453"/>
      <c r="B195" s="1454"/>
      <c r="C195" s="1454"/>
      <c r="D195" s="1453"/>
      <c r="E195" s="1453"/>
      <c r="F195" s="1453"/>
      <c r="G195" s="1455"/>
      <c r="H195" s="1455"/>
      <c r="I195" s="1456"/>
      <c r="J195" s="1457"/>
      <c r="K195" s="1458"/>
      <c r="L195" s="1459"/>
      <c r="M195" s="1459"/>
      <c r="N195" s="1460"/>
      <c r="O195" s="1460"/>
      <c r="P195" s="1461"/>
      <c r="Q195" s="1461"/>
      <c r="R195" s="1462"/>
      <c r="S195" s="1463"/>
      <c r="T195" s="1464"/>
      <c r="U195" s="1453"/>
      <c r="V195" s="1453"/>
      <c r="W195" s="1453"/>
      <c r="X195" s="1453"/>
      <c r="Y195" s="1453"/>
      <c r="Z195" s="1453"/>
      <c r="AA195" s="1453"/>
      <c r="AB195" s="1453"/>
      <c r="AC195" s="1453"/>
      <c r="AD195" s="1453"/>
      <c r="AE195" s="1453"/>
      <c r="AF195" s="1453"/>
      <c r="AG195" s="1453"/>
      <c r="AH195" s="1453"/>
      <c r="AI195" s="1453"/>
      <c r="AJ195" s="1453"/>
      <c r="AK195" s="1465"/>
      <c r="AL195" s="1435"/>
      <c r="AM195" s="1436"/>
      <c r="AN195" s="1437"/>
      <c r="AO195" s="1438"/>
      <c r="AP195" s="1439"/>
      <c r="AQ195" s="1440"/>
      <c r="AR195" s="1441"/>
      <c r="AS195" s="1442"/>
      <c r="AT195" s="1443"/>
      <c r="AU195" s="1444"/>
      <c r="AV195" s="1442"/>
      <c r="AW195" s="1445"/>
      <c r="AX195" s="1446"/>
      <c r="AY195" s="1446"/>
      <c r="AZ195" s="1446"/>
      <c r="BA195" s="1447"/>
      <c r="BB195" s="1447"/>
      <c r="BC195" s="1446"/>
      <c r="BD195" s="1448"/>
      <c r="BE195" s="1442"/>
      <c r="BF195" s="1447"/>
      <c r="BG195" s="1449"/>
      <c r="BH195" s="1447"/>
      <c r="BI195" s="1447"/>
      <c r="BJ195" s="1449"/>
      <c r="BK195" s="1447"/>
      <c r="BL195" s="1447"/>
      <c r="BM195" s="1449"/>
      <c r="BN195" s="1447"/>
      <c r="BO195" s="1447"/>
      <c r="BP195" s="1448"/>
    </row>
    <row r="196">
      <c r="A196" s="1453"/>
      <c r="B196" s="1454"/>
      <c r="C196" s="1454"/>
      <c r="D196" s="1453"/>
      <c r="E196" s="1453"/>
      <c r="F196" s="1453"/>
      <c r="G196" s="1455"/>
      <c r="H196" s="1455"/>
      <c r="I196" s="1456"/>
      <c r="J196" s="1457"/>
      <c r="K196" s="1458"/>
      <c r="L196" s="1459"/>
      <c r="M196" s="1459"/>
      <c r="N196" s="1460"/>
      <c r="O196" s="1460"/>
      <c r="P196" s="1461"/>
      <c r="Q196" s="1461"/>
      <c r="R196" s="1462"/>
      <c r="S196" s="1463"/>
      <c r="T196" s="1464"/>
      <c r="U196" s="1453"/>
      <c r="V196" s="1453"/>
      <c r="W196" s="1453"/>
      <c r="X196" s="1453"/>
      <c r="Y196" s="1453"/>
      <c r="Z196" s="1453"/>
      <c r="AA196" s="1453"/>
      <c r="AB196" s="1453"/>
      <c r="AC196" s="1453"/>
      <c r="AD196" s="1453"/>
      <c r="AE196" s="1453"/>
      <c r="AF196" s="1453"/>
      <c r="AG196" s="1453"/>
      <c r="AH196" s="1453"/>
      <c r="AI196" s="1453"/>
      <c r="AJ196" s="1453"/>
      <c r="AK196" s="1465"/>
      <c r="AL196" s="1435"/>
      <c r="AM196" s="1436"/>
      <c r="AN196" s="1437"/>
      <c r="AO196" s="1438"/>
      <c r="AP196" s="1439"/>
      <c r="AQ196" s="1440"/>
      <c r="AR196" s="1441"/>
      <c r="AS196" s="1442"/>
      <c r="AT196" s="1443"/>
      <c r="AU196" s="1444"/>
      <c r="AV196" s="1442"/>
      <c r="AW196" s="1445"/>
      <c r="AX196" s="1446"/>
      <c r="AY196" s="1446"/>
      <c r="AZ196" s="1446"/>
      <c r="BA196" s="1447"/>
      <c r="BB196" s="1447"/>
      <c r="BC196" s="1446"/>
      <c r="BD196" s="1448"/>
      <c r="BE196" s="1442"/>
      <c r="BF196" s="1447"/>
      <c r="BG196" s="1449"/>
      <c r="BH196" s="1447"/>
      <c r="BI196" s="1447"/>
      <c r="BJ196" s="1449"/>
      <c r="BK196" s="1447"/>
      <c r="BL196" s="1447"/>
      <c r="BM196" s="1449"/>
      <c r="BN196" s="1447"/>
      <c r="BO196" s="1447"/>
      <c r="BP196" s="1448"/>
    </row>
    <row r="197">
      <c r="A197" s="1453"/>
      <c r="B197" s="1454"/>
      <c r="C197" s="1454"/>
      <c r="D197" s="1453"/>
      <c r="E197" s="1453"/>
      <c r="F197" s="1453"/>
      <c r="G197" s="1455"/>
      <c r="H197" s="1455"/>
      <c r="I197" s="1456"/>
      <c r="J197" s="1457"/>
      <c r="K197" s="1458"/>
      <c r="L197" s="1459"/>
      <c r="M197" s="1459"/>
      <c r="N197" s="1460"/>
      <c r="O197" s="1460"/>
      <c r="P197" s="1461"/>
      <c r="Q197" s="1461"/>
      <c r="R197" s="1462"/>
      <c r="S197" s="1463"/>
      <c r="T197" s="1464"/>
      <c r="U197" s="1453"/>
      <c r="V197" s="1453"/>
      <c r="W197" s="1453"/>
      <c r="X197" s="1453"/>
      <c r="Y197" s="1453"/>
      <c r="Z197" s="1453"/>
      <c r="AA197" s="1453"/>
      <c r="AB197" s="1453"/>
      <c r="AC197" s="1453"/>
      <c r="AD197" s="1453"/>
      <c r="AE197" s="1453"/>
      <c r="AF197" s="1453"/>
      <c r="AG197" s="1453"/>
      <c r="AH197" s="1453"/>
      <c r="AI197" s="1453"/>
      <c r="AJ197" s="1453"/>
      <c r="AK197" s="1465"/>
      <c r="AL197" s="1435"/>
      <c r="AM197" s="1436"/>
      <c r="AN197" s="1437"/>
      <c r="AO197" s="1438"/>
      <c r="AP197" s="1439"/>
      <c r="AQ197" s="1440"/>
      <c r="AR197" s="1441"/>
      <c r="AS197" s="1442"/>
      <c r="AT197" s="1443"/>
      <c r="AU197" s="1444"/>
      <c r="AV197" s="1442"/>
      <c r="AW197" s="1445"/>
      <c r="AX197" s="1446"/>
      <c r="AY197" s="1446"/>
      <c r="AZ197" s="1446"/>
      <c r="BA197" s="1447"/>
      <c r="BB197" s="1447"/>
      <c r="BC197" s="1446"/>
      <c r="BD197" s="1448"/>
      <c r="BE197" s="1442"/>
      <c r="BF197" s="1447"/>
      <c r="BG197" s="1449"/>
      <c r="BH197" s="1447"/>
      <c r="BI197" s="1447"/>
      <c r="BJ197" s="1449"/>
      <c r="BK197" s="1447"/>
      <c r="BL197" s="1447"/>
      <c r="BM197" s="1449"/>
      <c r="BN197" s="1447"/>
      <c r="BO197" s="1447"/>
      <c r="BP197" s="1448"/>
    </row>
    <row r="198">
      <c r="A198" s="1453"/>
      <c r="B198" s="1454"/>
      <c r="C198" s="1454"/>
      <c r="D198" s="1453"/>
      <c r="E198" s="1453"/>
      <c r="F198" s="1453"/>
      <c r="G198" s="1455"/>
      <c r="H198" s="1455"/>
      <c r="I198" s="1456"/>
      <c r="J198" s="1457"/>
      <c r="K198" s="1458"/>
      <c r="L198" s="1459"/>
      <c r="M198" s="1459"/>
      <c r="N198" s="1460"/>
      <c r="O198" s="1460"/>
      <c r="P198" s="1461"/>
      <c r="Q198" s="1461"/>
      <c r="R198" s="1462"/>
      <c r="S198" s="1463"/>
      <c r="T198" s="1464"/>
      <c r="U198" s="1453"/>
      <c r="V198" s="1453"/>
      <c r="W198" s="1453"/>
      <c r="X198" s="1453"/>
      <c r="Y198" s="1453"/>
      <c r="Z198" s="1453"/>
      <c r="AA198" s="1453"/>
      <c r="AB198" s="1453"/>
      <c r="AC198" s="1453"/>
      <c r="AD198" s="1453"/>
      <c r="AE198" s="1453"/>
      <c r="AF198" s="1453"/>
      <c r="AG198" s="1453"/>
      <c r="AH198" s="1453"/>
      <c r="AI198" s="1453"/>
      <c r="AJ198" s="1453"/>
      <c r="AK198" s="1465"/>
      <c r="AL198" s="1435"/>
      <c r="AM198" s="1436"/>
      <c r="AN198" s="1437"/>
      <c r="AO198" s="1438"/>
      <c r="AP198" s="1439"/>
      <c r="AQ198" s="1440"/>
      <c r="AR198" s="1441"/>
      <c r="AS198" s="1442"/>
      <c r="AT198" s="1443"/>
      <c r="AU198" s="1444"/>
      <c r="AV198" s="1442"/>
      <c r="AW198" s="1445"/>
      <c r="AX198" s="1446"/>
      <c r="AY198" s="1446"/>
      <c r="AZ198" s="1446"/>
      <c r="BA198" s="1447"/>
      <c r="BB198" s="1447"/>
      <c r="BC198" s="1446"/>
      <c r="BD198" s="1448"/>
      <c r="BE198" s="1442"/>
      <c r="BF198" s="1447"/>
      <c r="BG198" s="1449"/>
      <c r="BH198" s="1447"/>
      <c r="BI198" s="1447"/>
      <c r="BJ198" s="1449"/>
      <c r="BK198" s="1447"/>
      <c r="BL198" s="1447"/>
      <c r="BM198" s="1449"/>
      <c r="BN198" s="1447"/>
      <c r="BO198" s="1447"/>
      <c r="BP198" s="1448"/>
    </row>
    <row r="199">
      <c r="A199" s="1453"/>
      <c r="B199" s="1454"/>
      <c r="C199" s="1454"/>
      <c r="D199" s="1453"/>
      <c r="E199" s="1453"/>
      <c r="F199" s="1453"/>
      <c r="G199" s="1455"/>
      <c r="H199" s="1455"/>
      <c r="I199" s="1456"/>
      <c r="J199" s="1457"/>
      <c r="K199" s="1458"/>
      <c r="L199" s="1459"/>
      <c r="M199" s="1459"/>
      <c r="N199" s="1460"/>
      <c r="O199" s="1460"/>
      <c r="P199" s="1461"/>
      <c r="Q199" s="1461"/>
      <c r="R199" s="1462"/>
      <c r="S199" s="1463"/>
      <c r="T199" s="1464"/>
      <c r="U199" s="1453"/>
      <c r="V199" s="1453"/>
      <c r="W199" s="1453"/>
      <c r="X199" s="1453"/>
      <c r="Y199" s="1453"/>
      <c r="Z199" s="1453"/>
      <c r="AA199" s="1453"/>
      <c r="AB199" s="1453"/>
      <c r="AC199" s="1453"/>
      <c r="AD199" s="1453"/>
      <c r="AE199" s="1453"/>
      <c r="AF199" s="1453"/>
      <c r="AG199" s="1453"/>
      <c r="AH199" s="1453"/>
      <c r="AI199" s="1453"/>
      <c r="AJ199" s="1453"/>
      <c r="AK199" s="1465"/>
      <c r="AL199" s="1435"/>
      <c r="AM199" s="1436"/>
      <c r="AN199" s="1437"/>
      <c r="AO199" s="1438"/>
      <c r="AP199" s="1439"/>
      <c r="AQ199" s="1440"/>
      <c r="AR199" s="1441"/>
      <c r="AS199" s="1442"/>
      <c r="AT199" s="1443"/>
      <c r="AU199" s="1444"/>
      <c r="AV199" s="1442"/>
      <c r="AW199" s="1445"/>
      <c r="AX199" s="1446"/>
      <c r="AY199" s="1446"/>
      <c r="AZ199" s="1446"/>
      <c r="BA199" s="1447"/>
      <c r="BB199" s="1447"/>
      <c r="BC199" s="1446"/>
      <c r="BD199" s="1448"/>
      <c r="BE199" s="1442"/>
      <c r="BF199" s="1447"/>
      <c r="BG199" s="1449"/>
      <c r="BH199" s="1447"/>
      <c r="BI199" s="1447"/>
      <c r="BJ199" s="1449"/>
      <c r="BK199" s="1447"/>
      <c r="BL199" s="1447"/>
      <c r="BM199" s="1449"/>
      <c r="BN199" s="1447"/>
      <c r="BO199" s="1447"/>
      <c r="BP199" s="1448"/>
    </row>
    <row r="200">
      <c r="A200" s="1453"/>
      <c r="B200" s="1454"/>
      <c r="C200" s="1454"/>
      <c r="D200" s="1453"/>
      <c r="E200" s="1453"/>
      <c r="F200" s="1453"/>
      <c r="G200" s="1455"/>
      <c r="H200" s="1455"/>
      <c r="I200" s="1456"/>
      <c r="J200" s="1457"/>
      <c r="K200" s="1458"/>
      <c r="L200" s="1459"/>
      <c r="M200" s="1459"/>
      <c r="N200" s="1460"/>
      <c r="O200" s="1460"/>
      <c r="P200" s="1461"/>
      <c r="Q200" s="1461"/>
      <c r="R200" s="1462"/>
      <c r="S200" s="1463"/>
      <c r="T200" s="1464"/>
      <c r="U200" s="1453"/>
      <c r="V200" s="1453"/>
      <c r="W200" s="1453"/>
      <c r="X200" s="1453"/>
      <c r="Y200" s="1453"/>
      <c r="Z200" s="1453"/>
      <c r="AA200" s="1453"/>
      <c r="AB200" s="1453"/>
      <c r="AC200" s="1453"/>
      <c r="AD200" s="1453"/>
      <c r="AE200" s="1453"/>
      <c r="AF200" s="1453"/>
      <c r="AG200" s="1453"/>
      <c r="AH200" s="1453"/>
      <c r="AI200" s="1453"/>
      <c r="AJ200" s="1453"/>
      <c r="AK200" s="1465"/>
      <c r="AL200" s="1435"/>
      <c r="AM200" s="1436"/>
      <c r="AN200" s="1437"/>
      <c r="AO200" s="1438"/>
      <c r="AP200" s="1439"/>
      <c r="AQ200" s="1440"/>
      <c r="AR200" s="1441"/>
      <c r="AS200" s="1442"/>
      <c r="AT200" s="1443"/>
      <c r="AU200" s="1444"/>
      <c r="AV200" s="1442"/>
      <c r="AW200" s="1445"/>
      <c r="AX200" s="1446"/>
      <c r="AY200" s="1446"/>
      <c r="AZ200" s="1446"/>
      <c r="BA200" s="1447"/>
      <c r="BB200" s="1447"/>
      <c r="BC200" s="1446"/>
      <c r="BD200" s="1448"/>
      <c r="BE200" s="1442"/>
      <c r="BF200" s="1447"/>
      <c r="BG200" s="1449"/>
      <c r="BH200" s="1447"/>
      <c r="BI200" s="1447"/>
      <c r="BJ200" s="1449"/>
      <c r="BK200" s="1447"/>
      <c r="BL200" s="1447"/>
      <c r="BM200" s="1449"/>
      <c r="BN200" s="1447"/>
      <c r="BO200" s="1447"/>
      <c r="BP200" s="1448"/>
    </row>
    <row r="201">
      <c r="A201" s="1453"/>
      <c r="B201" s="1454"/>
      <c r="C201" s="1454"/>
      <c r="D201" s="1453"/>
      <c r="E201" s="1453"/>
      <c r="F201" s="1453"/>
      <c r="G201" s="1455"/>
      <c r="H201" s="1455"/>
      <c r="I201" s="1456"/>
      <c r="J201" s="1457"/>
      <c r="K201" s="1458"/>
      <c r="L201" s="1459"/>
      <c r="M201" s="1459"/>
      <c r="N201" s="1460"/>
      <c r="O201" s="1460"/>
      <c r="P201" s="1461"/>
      <c r="Q201" s="1461"/>
      <c r="R201" s="1462"/>
      <c r="S201" s="1463"/>
      <c r="T201" s="1464"/>
      <c r="U201" s="1453"/>
      <c r="V201" s="1453"/>
      <c r="W201" s="1453"/>
      <c r="X201" s="1453"/>
      <c r="Y201" s="1453"/>
      <c r="Z201" s="1453"/>
      <c r="AA201" s="1453"/>
      <c r="AB201" s="1453"/>
      <c r="AC201" s="1453"/>
      <c r="AD201" s="1453"/>
      <c r="AE201" s="1453"/>
      <c r="AF201" s="1453"/>
      <c r="AG201" s="1453"/>
      <c r="AH201" s="1453"/>
      <c r="AI201" s="1453"/>
      <c r="AJ201" s="1453"/>
      <c r="AK201" s="1465"/>
      <c r="AL201" s="1435"/>
      <c r="AM201" s="1436"/>
      <c r="AN201" s="1437"/>
      <c r="AO201" s="1438"/>
      <c r="AP201" s="1439"/>
      <c r="AQ201" s="1440"/>
      <c r="AR201" s="1441"/>
      <c r="AS201" s="1442"/>
      <c r="AT201" s="1443"/>
      <c r="AU201" s="1444"/>
      <c r="AV201" s="1442"/>
      <c r="AW201" s="1445"/>
      <c r="AX201" s="1446"/>
      <c r="AY201" s="1446"/>
      <c r="AZ201" s="1446"/>
      <c r="BA201" s="1447"/>
      <c r="BB201" s="1447"/>
      <c r="BC201" s="1446"/>
      <c r="BD201" s="1448"/>
      <c r="BE201" s="1442"/>
      <c r="BF201" s="1447"/>
      <c r="BG201" s="1449"/>
      <c r="BH201" s="1447"/>
      <c r="BI201" s="1447"/>
      <c r="BJ201" s="1449"/>
      <c r="BK201" s="1447"/>
      <c r="BL201" s="1447"/>
      <c r="BM201" s="1449"/>
      <c r="BN201" s="1447"/>
      <c r="BO201" s="1447"/>
      <c r="BP201" s="1448"/>
    </row>
    <row r="202">
      <c r="A202" s="1453"/>
      <c r="B202" s="1454"/>
      <c r="C202" s="1454"/>
      <c r="D202" s="1453"/>
      <c r="E202" s="1453"/>
      <c r="F202" s="1453"/>
      <c r="G202" s="1455"/>
      <c r="H202" s="1455"/>
      <c r="I202" s="1456"/>
      <c r="J202" s="1457"/>
      <c r="K202" s="1458"/>
      <c r="L202" s="1459"/>
      <c r="M202" s="1459"/>
      <c r="N202" s="1460"/>
      <c r="O202" s="1460"/>
      <c r="P202" s="1461"/>
      <c r="Q202" s="1461"/>
      <c r="R202" s="1462"/>
      <c r="S202" s="1463"/>
      <c r="T202" s="1464"/>
      <c r="U202" s="1453"/>
      <c r="V202" s="1453"/>
      <c r="W202" s="1453"/>
      <c r="X202" s="1453"/>
      <c r="Y202" s="1453"/>
      <c r="Z202" s="1453"/>
      <c r="AA202" s="1453"/>
      <c r="AB202" s="1453"/>
      <c r="AC202" s="1453"/>
      <c r="AD202" s="1453"/>
      <c r="AE202" s="1453"/>
      <c r="AF202" s="1453"/>
      <c r="AG202" s="1453"/>
      <c r="AH202" s="1453"/>
      <c r="AI202" s="1453"/>
      <c r="AJ202" s="1453"/>
      <c r="AK202" s="1465"/>
      <c r="AL202" s="1435"/>
      <c r="AM202" s="1436"/>
      <c r="AN202" s="1437"/>
      <c r="AO202" s="1438"/>
      <c r="AP202" s="1439"/>
      <c r="AQ202" s="1440"/>
      <c r="AR202" s="1441"/>
      <c r="AS202" s="1442"/>
      <c r="AT202" s="1443"/>
      <c r="AU202" s="1444"/>
      <c r="AV202" s="1442"/>
      <c r="AW202" s="1445"/>
      <c r="AX202" s="1446"/>
      <c r="AY202" s="1446"/>
      <c r="AZ202" s="1446"/>
      <c r="BA202" s="1447"/>
      <c r="BB202" s="1447"/>
      <c r="BC202" s="1446"/>
      <c r="BD202" s="1448"/>
      <c r="BE202" s="1442"/>
      <c r="BF202" s="1447"/>
      <c r="BG202" s="1449"/>
      <c r="BH202" s="1447"/>
      <c r="BI202" s="1447"/>
      <c r="BJ202" s="1449"/>
      <c r="BK202" s="1447"/>
      <c r="BL202" s="1447"/>
      <c r="BM202" s="1449"/>
      <c r="BN202" s="1447"/>
      <c r="BO202" s="1447"/>
      <c r="BP202" s="1448"/>
    </row>
    <row r="203">
      <c r="A203" s="1453"/>
      <c r="B203" s="1454"/>
      <c r="C203" s="1454"/>
      <c r="D203" s="1453"/>
      <c r="E203" s="1453"/>
      <c r="F203" s="1453"/>
      <c r="G203" s="1455"/>
      <c r="H203" s="1455"/>
      <c r="I203" s="1456"/>
      <c r="J203" s="1457"/>
      <c r="K203" s="1458"/>
      <c r="L203" s="1459"/>
      <c r="M203" s="1459"/>
      <c r="N203" s="1460"/>
      <c r="O203" s="1460"/>
      <c r="P203" s="1461"/>
      <c r="Q203" s="1461"/>
      <c r="R203" s="1462"/>
      <c r="S203" s="1463"/>
      <c r="T203" s="1464"/>
      <c r="U203" s="1453"/>
      <c r="V203" s="1453"/>
      <c r="W203" s="1453"/>
      <c r="X203" s="1453"/>
      <c r="Y203" s="1453"/>
      <c r="Z203" s="1453"/>
      <c r="AA203" s="1453"/>
      <c r="AB203" s="1453"/>
      <c r="AC203" s="1453"/>
      <c r="AD203" s="1453"/>
      <c r="AE203" s="1453"/>
      <c r="AF203" s="1453"/>
      <c r="AG203" s="1453"/>
      <c r="AH203" s="1453"/>
      <c r="AI203" s="1453"/>
      <c r="AJ203" s="1453"/>
      <c r="AK203" s="1465"/>
      <c r="AL203" s="1435"/>
      <c r="AM203" s="1436"/>
      <c r="AN203" s="1437"/>
      <c r="AO203" s="1438"/>
      <c r="AP203" s="1439"/>
      <c r="AQ203" s="1440"/>
      <c r="AR203" s="1441"/>
      <c r="AS203" s="1442"/>
      <c r="AT203" s="1443"/>
      <c r="AU203" s="1444"/>
      <c r="AV203" s="1442"/>
      <c r="AW203" s="1445"/>
      <c r="AX203" s="1446"/>
      <c r="AY203" s="1446"/>
      <c r="AZ203" s="1446"/>
      <c r="BA203" s="1447"/>
      <c r="BB203" s="1447"/>
      <c r="BC203" s="1446"/>
      <c r="BD203" s="1448"/>
      <c r="BE203" s="1442"/>
      <c r="BF203" s="1447"/>
      <c r="BG203" s="1449"/>
      <c r="BH203" s="1447"/>
      <c r="BI203" s="1447"/>
      <c r="BJ203" s="1449"/>
      <c r="BK203" s="1447"/>
      <c r="BL203" s="1447"/>
      <c r="BM203" s="1449"/>
      <c r="BN203" s="1447"/>
      <c r="BO203" s="1447"/>
      <c r="BP203" s="1448"/>
    </row>
    <row r="204">
      <c r="A204" s="1453"/>
      <c r="B204" s="1454"/>
      <c r="C204" s="1454"/>
      <c r="D204" s="1453"/>
      <c r="E204" s="1453"/>
      <c r="F204" s="1453"/>
      <c r="G204" s="1455"/>
      <c r="H204" s="1455"/>
      <c r="I204" s="1456"/>
      <c r="J204" s="1457"/>
      <c r="K204" s="1458"/>
      <c r="L204" s="1459"/>
      <c r="M204" s="1459"/>
      <c r="N204" s="1460"/>
      <c r="O204" s="1460"/>
      <c r="P204" s="1461"/>
      <c r="Q204" s="1461"/>
      <c r="R204" s="1462"/>
      <c r="S204" s="1463"/>
      <c r="T204" s="1464"/>
      <c r="U204" s="1453"/>
      <c r="V204" s="1453"/>
      <c r="W204" s="1453"/>
      <c r="X204" s="1453"/>
      <c r="Y204" s="1453"/>
      <c r="Z204" s="1453"/>
      <c r="AA204" s="1453"/>
      <c r="AB204" s="1453"/>
      <c r="AC204" s="1453"/>
      <c r="AD204" s="1453"/>
      <c r="AE204" s="1453"/>
      <c r="AF204" s="1453"/>
      <c r="AG204" s="1453"/>
      <c r="AH204" s="1453"/>
      <c r="AI204" s="1453"/>
      <c r="AJ204" s="1453"/>
      <c r="AK204" s="1465"/>
      <c r="AL204" s="1435"/>
      <c r="AM204" s="1436"/>
      <c r="AN204" s="1437"/>
      <c r="AO204" s="1438"/>
      <c r="AP204" s="1439"/>
      <c r="AQ204" s="1440"/>
      <c r="AR204" s="1441"/>
      <c r="AS204" s="1442"/>
      <c r="AT204" s="1443"/>
      <c r="AU204" s="1444"/>
      <c r="AV204" s="1442"/>
      <c r="AW204" s="1445"/>
      <c r="AX204" s="1446"/>
      <c r="AY204" s="1446"/>
      <c r="AZ204" s="1446"/>
      <c r="BA204" s="1447"/>
      <c r="BB204" s="1447"/>
      <c r="BC204" s="1446"/>
      <c r="BD204" s="1448"/>
      <c r="BE204" s="1442"/>
      <c r="BF204" s="1447"/>
      <c r="BG204" s="1449"/>
      <c r="BH204" s="1447"/>
      <c r="BI204" s="1447"/>
      <c r="BJ204" s="1449"/>
      <c r="BK204" s="1447"/>
      <c r="BL204" s="1447"/>
      <c r="BM204" s="1449"/>
      <c r="BN204" s="1447"/>
      <c r="BO204" s="1447"/>
      <c r="BP204" s="1448"/>
    </row>
    <row r="205">
      <c r="A205" s="1453"/>
      <c r="B205" s="1454"/>
      <c r="C205" s="1454"/>
      <c r="D205" s="1453"/>
      <c r="E205" s="1453"/>
      <c r="F205" s="1453"/>
      <c r="G205" s="1455"/>
      <c r="H205" s="1455"/>
      <c r="I205" s="1456"/>
      <c r="J205" s="1457"/>
      <c r="K205" s="1458"/>
      <c r="L205" s="1459"/>
      <c r="M205" s="1459"/>
      <c r="N205" s="1460"/>
      <c r="O205" s="1460"/>
      <c r="P205" s="1461"/>
      <c r="Q205" s="1461"/>
      <c r="R205" s="1462"/>
      <c r="S205" s="1463"/>
      <c r="T205" s="1464"/>
      <c r="U205" s="1453"/>
      <c r="V205" s="1453"/>
      <c r="W205" s="1453"/>
      <c r="X205" s="1453"/>
      <c r="Y205" s="1453"/>
      <c r="Z205" s="1453"/>
      <c r="AA205" s="1453"/>
      <c r="AB205" s="1453"/>
      <c r="AC205" s="1453"/>
      <c r="AD205" s="1453"/>
      <c r="AE205" s="1453"/>
      <c r="AF205" s="1453"/>
      <c r="AG205" s="1453"/>
      <c r="AH205" s="1453"/>
      <c r="AI205" s="1453"/>
      <c r="AJ205" s="1453"/>
      <c r="AK205" s="1465"/>
      <c r="AL205" s="1435"/>
      <c r="AM205" s="1436"/>
      <c r="AN205" s="1437"/>
      <c r="AO205" s="1438"/>
      <c r="AP205" s="1439"/>
      <c r="AQ205" s="1440"/>
      <c r="AR205" s="1441"/>
      <c r="AS205" s="1442"/>
      <c r="AT205" s="1443"/>
      <c r="AU205" s="1444"/>
      <c r="AV205" s="1442"/>
      <c r="AW205" s="1445"/>
      <c r="AX205" s="1446"/>
      <c r="AY205" s="1446"/>
      <c r="AZ205" s="1446"/>
      <c r="BA205" s="1447"/>
      <c r="BB205" s="1447"/>
      <c r="BC205" s="1446"/>
      <c r="BD205" s="1448"/>
      <c r="BE205" s="1442"/>
      <c r="BF205" s="1447"/>
      <c r="BG205" s="1449"/>
      <c r="BH205" s="1447"/>
      <c r="BI205" s="1447"/>
      <c r="BJ205" s="1449"/>
      <c r="BK205" s="1447"/>
      <c r="BL205" s="1447"/>
      <c r="BM205" s="1449"/>
      <c r="BN205" s="1447"/>
      <c r="BO205" s="1447"/>
      <c r="BP205" s="1448"/>
    </row>
    <row r="206">
      <c r="A206" s="1453"/>
      <c r="B206" s="1454"/>
      <c r="C206" s="1454"/>
      <c r="D206" s="1453"/>
      <c r="E206" s="1453"/>
      <c r="F206" s="1453"/>
      <c r="G206" s="1455"/>
      <c r="H206" s="1455"/>
      <c r="I206" s="1456"/>
      <c r="J206" s="1457"/>
      <c r="K206" s="1458"/>
      <c r="L206" s="1459"/>
      <c r="M206" s="1459"/>
      <c r="N206" s="1460"/>
      <c r="O206" s="1460"/>
      <c r="P206" s="1461"/>
      <c r="Q206" s="1461"/>
      <c r="R206" s="1462"/>
      <c r="S206" s="1463"/>
      <c r="T206" s="1464"/>
      <c r="U206" s="1453"/>
      <c r="V206" s="1453"/>
      <c r="W206" s="1453"/>
      <c r="X206" s="1453"/>
      <c r="Y206" s="1453"/>
      <c r="Z206" s="1453"/>
      <c r="AA206" s="1453"/>
      <c r="AB206" s="1453"/>
      <c r="AC206" s="1453"/>
      <c r="AD206" s="1453"/>
      <c r="AE206" s="1453"/>
      <c r="AF206" s="1453"/>
      <c r="AG206" s="1453"/>
      <c r="AH206" s="1453"/>
      <c r="AI206" s="1453"/>
      <c r="AJ206" s="1453"/>
      <c r="AK206" s="1465"/>
      <c r="AL206" s="1435"/>
      <c r="AM206" s="1436"/>
      <c r="AN206" s="1437"/>
      <c r="AO206" s="1438"/>
      <c r="AP206" s="1439"/>
      <c r="AQ206" s="1440"/>
      <c r="AR206" s="1441"/>
      <c r="AS206" s="1442"/>
      <c r="AT206" s="1443"/>
      <c r="AU206" s="1444"/>
      <c r="AV206" s="1442"/>
      <c r="AW206" s="1445"/>
      <c r="AX206" s="1446"/>
      <c r="AY206" s="1446"/>
      <c r="AZ206" s="1446"/>
      <c r="BA206" s="1447"/>
      <c r="BB206" s="1447"/>
      <c r="BC206" s="1446"/>
      <c r="BD206" s="1448"/>
      <c r="BE206" s="1442"/>
      <c r="BF206" s="1447"/>
      <c r="BG206" s="1449"/>
      <c r="BH206" s="1447"/>
      <c r="BI206" s="1447"/>
      <c r="BJ206" s="1449"/>
      <c r="BK206" s="1447"/>
      <c r="BL206" s="1447"/>
      <c r="BM206" s="1449"/>
      <c r="BN206" s="1447"/>
      <c r="BO206" s="1447"/>
      <c r="BP206" s="1448"/>
    </row>
    <row r="207">
      <c r="A207" s="1453"/>
      <c r="B207" s="1454"/>
      <c r="C207" s="1454"/>
      <c r="D207" s="1453"/>
      <c r="E207" s="1453"/>
      <c r="F207" s="1453"/>
      <c r="G207" s="1455"/>
      <c r="H207" s="1455"/>
      <c r="I207" s="1456"/>
      <c r="J207" s="1457"/>
      <c r="K207" s="1458"/>
      <c r="L207" s="1459"/>
      <c r="M207" s="1459"/>
      <c r="N207" s="1460"/>
      <c r="O207" s="1460"/>
      <c r="P207" s="1461"/>
      <c r="Q207" s="1461"/>
      <c r="R207" s="1462"/>
      <c r="S207" s="1463"/>
      <c r="T207" s="1464"/>
      <c r="U207" s="1453"/>
      <c r="V207" s="1453"/>
      <c r="W207" s="1453"/>
      <c r="X207" s="1453"/>
      <c r="Y207" s="1453"/>
      <c r="Z207" s="1453"/>
      <c r="AA207" s="1453"/>
      <c r="AB207" s="1453"/>
      <c r="AC207" s="1453"/>
      <c r="AD207" s="1453"/>
      <c r="AE207" s="1453"/>
      <c r="AF207" s="1453"/>
      <c r="AG207" s="1453"/>
      <c r="AH207" s="1453"/>
      <c r="AI207" s="1453"/>
      <c r="AJ207" s="1453"/>
      <c r="AK207" s="1465"/>
      <c r="AL207" s="1435"/>
      <c r="AM207" s="1436"/>
      <c r="AN207" s="1437"/>
      <c r="AO207" s="1438"/>
      <c r="AP207" s="1439"/>
      <c r="AQ207" s="1440"/>
      <c r="AR207" s="1441"/>
      <c r="AS207" s="1442"/>
      <c r="AT207" s="1443"/>
      <c r="AU207" s="1444"/>
      <c r="AV207" s="1442"/>
      <c r="AW207" s="1445"/>
      <c r="AX207" s="1446"/>
      <c r="AY207" s="1446"/>
      <c r="AZ207" s="1446"/>
      <c r="BA207" s="1447"/>
      <c r="BB207" s="1447"/>
      <c r="BC207" s="1446"/>
      <c r="BD207" s="1448"/>
      <c r="BE207" s="1442"/>
      <c r="BF207" s="1447"/>
      <c r="BG207" s="1449"/>
      <c r="BH207" s="1447"/>
      <c r="BI207" s="1447"/>
      <c r="BJ207" s="1449"/>
      <c r="BK207" s="1447"/>
      <c r="BL207" s="1447"/>
      <c r="BM207" s="1449"/>
      <c r="BN207" s="1447"/>
      <c r="BO207" s="1447"/>
      <c r="BP207" s="1448"/>
    </row>
    <row r="208">
      <c r="A208" s="1453"/>
      <c r="B208" s="1454"/>
      <c r="C208" s="1454"/>
      <c r="D208" s="1453"/>
      <c r="E208" s="1453"/>
      <c r="F208" s="1453"/>
      <c r="G208" s="1455"/>
      <c r="H208" s="1455"/>
      <c r="I208" s="1456"/>
      <c r="J208" s="1457"/>
      <c r="K208" s="1458"/>
      <c r="L208" s="1459"/>
      <c r="M208" s="1459"/>
      <c r="N208" s="1460"/>
      <c r="O208" s="1460"/>
      <c r="P208" s="1461"/>
      <c r="Q208" s="1461"/>
      <c r="R208" s="1462"/>
      <c r="S208" s="1463"/>
      <c r="T208" s="1464"/>
      <c r="U208" s="1453"/>
      <c r="V208" s="1453"/>
      <c r="W208" s="1453"/>
      <c r="X208" s="1453"/>
      <c r="Y208" s="1453"/>
      <c r="Z208" s="1453"/>
      <c r="AA208" s="1453"/>
      <c r="AB208" s="1453"/>
      <c r="AC208" s="1453"/>
      <c r="AD208" s="1453"/>
      <c r="AE208" s="1453"/>
      <c r="AF208" s="1453"/>
      <c r="AG208" s="1453"/>
      <c r="AH208" s="1453"/>
      <c r="AI208" s="1453"/>
      <c r="AJ208" s="1453"/>
      <c r="AK208" s="1465"/>
      <c r="AL208" s="1435"/>
      <c r="AM208" s="1436"/>
      <c r="AN208" s="1437"/>
      <c r="AO208" s="1438"/>
      <c r="AP208" s="1439"/>
      <c r="AQ208" s="1440"/>
      <c r="AR208" s="1441"/>
      <c r="AS208" s="1442"/>
      <c r="AT208" s="1443"/>
      <c r="AU208" s="1444"/>
      <c r="AV208" s="1442"/>
      <c r="AW208" s="1445"/>
      <c r="AX208" s="1446"/>
      <c r="AY208" s="1446"/>
      <c r="AZ208" s="1446"/>
      <c r="BA208" s="1447"/>
      <c r="BB208" s="1447"/>
      <c r="BC208" s="1446"/>
      <c r="BD208" s="1448"/>
      <c r="BE208" s="1442"/>
      <c r="BF208" s="1447"/>
      <c r="BG208" s="1449"/>
      <c r="BH208" s="1447"/>
      <c r="BI208" s="1447"/>
      <c r="BJ208" s="1449"/>
      <c r="BK208" s="1447"/>
      <c r="BL208" s="1447"/>
      <c r="BM208" s="1449"/>
      <c r="BN208" s="1447"/>
      <c r="BO208" s="1447"/>
      <c r="BP208" s="1448"/>
    </row>
    <row r="209">
      <c r="A209" s="1453"/>
      <c r="B209" s="1454"/>
      <c r="C209" s="1454"/>
      <c r="D209" s="1453"/>
      <c r="E209" s="1453"/>
      <c r="F209" s="1453"/>
      <c r="G209" s="1455"/>
      <c r="H209" s="1455"/>
      <c r="I209" s="1456"/>
      <c r="J209" s="1457"/>
      <c r="K209" s="1458"/>
      <c r="L209" s="1459"/>
      <c r="M209" s="1459"/>
      <c r="N209" s="1460"/>
      <c r="O209" s="1460"/>
      <c r="P209" s="1461"/>
      <c r="Q209" s="1461"/>
      <c r="R209" s="1462"/>
      <c r="S209" s="1463"/>
      <c r="T209" s="1464"/>
      <c r="U209" s="1453"/>
      <c r="V209" s="1453"/>
      <c r="W209" s="1453"/>
      <c r="X209" s="1453"/>
      <c r="Y209" s="1453"/>
      <c r="Z209" s="1453"/>
      <c r="AA209" s="1453"/>
      <c r="AB209" s="1453"/>
      <c r="AC209" s="1453"/>
      <c r="AD209" s="1453"/>
      <c r="AE209" s="1453"/>
      <c r="AF209" s="1453"/>
      <c r="AG209" s="1453"/>
      <c r="AH209" s="1453"/>
      <c r="AI209" s="1453"/>
      <c r="AJ209" s="1453"/>
      <c r="AK209" s="1465"/>
      <c r="AL209" s="1435"/>
      <c r="AM209" s="1436"/>
      <c r="AN209" s="1437"/>
      <c r="AO209" s="1438"/>
      <c r="AP209" s="1439"/>
      <c r="AQ209" s="1440"/>
      <c r="AR209" s="1441"/>
      <c r="AS209" s="1442"/>
      <c r="AT209" s="1443"/>
      <c r="AU209" s="1444"/>
      <c r="AV209" s="1442"/>
      <c r="AW209" s="1445"/>
      <c r="AX209" s="1446"/>
      <c r="AY209" s="1446"/>
      <c r="AZ209" s="1446"/>
      <c r="BA209" s="1447"/>
      <c r="BB209" s="1447"/>
      <c r="BC209" s="1446"/>
      <c r="BD209" s="1448"/>
      <c r="BE209" s="1442"/>
      <c r="BF209" s="1447"/>
      <c r="BG209" s="1449"/>
      <c r="BH209" s="1447"/>
      <c r="BI209" s="1447"/>
      <c r="BJ209" s="1449"/>
      <c r="BK209" s="1447"/>
      <c r="BL209" s="1447"/>
      <c r="BM209" s="1449"/>
      <c r="BN209" s="1447"/>
      <c r="BO209" s="1447"/>
      <c r="BP209" s="1448"/>
    </row>
    <row r="210">
      <c r="A210" s="1453"/>
      <c r="B210" s="1454"/>
      <c r="C210" s="1454"/>
      <c r="D210" s="1453"/>
      <c r="E210" s="1453"/>
      <c r="F210" s="1453"/>
      <c r="G210" s="1455"/>
      <c r="H210" s="1455"/>
      <c r="I210" s="1456"/>
      <c r="J210" s="1457"/>
      <c r="K210" s="1458"/>
      <c r="L210" s="1459"/>
      <c r="M210" s="1459"/>
      <c r="N210" s="1460"/>
      <c r="O210" s="1460"/>
      <c r="P210" s="1461"/>
      <c r="Q210" s="1461"/>
      <c r="R210" s="1462"/>
      <c r="S210" s="1463"/>
      <c r="T210" s="1464"/>
      <c r="U210" s="1453"/>
      <c r="V210" s="1453"/>
      <c r="W210" s="1453"/>
      <c r="X210" s="1453"/>
      <c r="Y210" s="1453"/>
      <c r="Z210" s="1453"/>
      <c r="AA210" s="1453"/>
      <c r="AB210" s="1453"/>
      <c r="AC210" s="1453"/>
      <c r="AD210" s="1453"/>
      <c r="AE210" s="1453"/>
      <c r="AF210" s="1453"/>
      <c r="AG210" s="1453"/>
      <c r="AH210" s="1453"/>
      <c r="AI210" s="1453"/>
      <c r="AJ210" s="1453"/>
      <c r="AK210" s="1465"/>
      <c r="AL210" s="1435"/>
      <c r="AM210" s="1436"/>
      <c r="AN210" s="1437"/>
      <c r="AO210" s="1438"/>
      <c r="AP210" s="1439"/>
      <c r="AQ210" s="1440"/>
      <c r="AR210" s="1441"/>
      <c r="AS210" s="1442"/>
      <c r="AT210" s="1443"/>
      <c r="AU210" s="1444"/>
      <c r="AV210" s="1442"/>
      <c r="AW210" s="1445"/>
      <c r="AX210" s="1446"/>
      <c r="AY210" s="1446"/>
      <c r="AZ210" s="1446"/>
      <c r="BA210" s="1447"/>
      <c r="BB210" s="1447"/>
      <c r="BC210" s="1446"/>
      <c r="BD210" s="1448"/>
      <c r="BE210" s="1442"/>
      <c r="BF210" s="1447"/>
      <c r="BG210" s="1449"/>
      <c r="BH210" s="1447"/>
      <c r="BI210" s="1447"/>
      <c r="BJ210" s="1449"/>
      <c r="BK210" s="1447"/>
      <c r="BL210" s="1447"/>
      <c r="BM210" s="1449"/>
      <c r="BN210" s="1447"/>
      <c r="BO210" s="1447"/>
      <c r="BP210" s="1448"/>
    </row>
    <row r="211">
      <c r="A211" s="1453"/>
      <c r="B211" s="1454"/>
      <c r="C211" s="1454"/>
      <c r="D211" s="1453"/>
      <c r="E211" s="1453"/>
      <c r="F211" s="1453"/>
      <c r="G211" s="1455"/>
      <c r="H211" s="1455"/>
      <c r="I211" s="1456"/>
      <c r="J211" s="1457"/>
      <c r="K211" s="1458"/>
      <c r="L211" s="1459"/>
      <c r="M211" s="1459"/>
      <c r="N211" s="1460"/>
      <c r="O211" s="1460"/>
      <c r="P211" s="1461"/>
      <c r="Q211" s="1461"/>
      <c r="R211" s="1462"/>
      <c r="S211" s="1463"/>
      <c r="T211" s="1464"/>
      <c r="U211" s="1453"/>
      <c r="V211" s="1453"/>
      <c r="W211" s="1453"/>
      <c r="X211" s="1453"/>
      <c r="Y211" s="1453"/>
      <c r="Z211" s="1453"/>
      <c r="AA211" s="1453"/>
      <c r="AB211" s="1453"/>
      <c r="AC211" s="1453"/>
      <c r="AD211" s="1453"/>
      <c r="AE211" s="1453"/>
      <c r="AF211" s="1453"/>
      <c r="AG211" s="1453"/>
      <c r="AH211" s="1453"/>
      <c r="AI211" s="1453"/>
      <c r="AJ211" s="1453"/>
      <c r="AK211" s="1465"/>
      <c r="AL211" s="1435"/>
      <c r="AM211" s="1436"/>
      <c r="AN211" s="1437"/>
      <c r="AO211" s="1438"/>
      <c r="AP211" s="1439"/>
      <c r="AQ211" s="1440"/>
      <c r="AR211" s="1441"/>
      <c r="AS211" s="1442"/>
      <c r="AT211" s="1443"/>
      <c r="AU211" s="1444"/>
      <c r="AV211" s="1442"/>
      <c r="AW211" s="1445"/>
      <c r="AX211" s="1446"/>
      <c r="AY211" s="1446"/>
      <c r="AZ211" s="1446"/>
      <c r="BA211" s="1447"/>
      <c r="BB211" s="1447"/>
      <c r="BC211" s="1446"/>
      <c r="BD211" s="1448"/>
      <c r="BE211" s="1442"/>
      <c r="BF211" s="1447"/>
      <c r="BG211" s="1449"/>
      <c r="BH211" s="1447"/>
      <c r="BI211" s="1447"/>
      <c r="BJ211" s="1449"/>
      <c r="BK211" s="1447"/>
      <c r="BL211" s="1447"/>
      <c r="BM211" s="1449"/>
      <c r="BN211" s="1447"/>
      <c r="BO211" s="1447"/>
      <c r="BP211" s="1448"/>
    </row>
    <row r="212">
      <c r="A212" s="1453"/>
      <c r="B212" s="1454"/>
      <c r="C212" s="1454"/>
      <c r="D212" s="1453"/>
      <c r="E212" s="1453"/>
      <c r="F212" s="1453"/>
      <c r="G212" s="1455"/>
      <c r="H212" s="1455"/>
      <c r="I212" s="1456"/>
      <c r="J212" s="1457"/>
      <c r="K212" s="1458"/>
      <c r="L212" s="1459"/>
      <c r="M212" s="1459"/>
      <c r="N212" s="1460"/>
      <c r="O212" s="1460"/>
      <c r="P212" s="1461"/>
      <c r="Q212" s="1461"/>
      <c r="R212" s="1462"/>
      <c r="S212" s="1463"/>
      <c r="T212" s="1464"/>
      <c r="U212" s="1453"/>
      <c r="V212" s="1453"/>
      <c r="W212" s="1453"/>
      <c r="X212" s="1453"/>
      <c r="Y212" s="1453"/>
      <c r="Z212" s="1453"/>
      <c r="AA212" s="1453"/>
      <c r="AB212" s="1453"/>
      <c r="AC212" s="1453"/>
      <c r="AD212" s="1453"/>
      <c r="AE212" s="1453"/>
      <c r="AF212" s="1453"/>
      <c r="AG212" s="1453"/>
      <c r="AH212" s="1453"/>
      <c r="AI212" s="1453"/>
      <c r="AJ212" s="1453"/>
      <c r="AK212" s="1465"/>
      <c r="AL212" s="1435"/>
      <c r="AM212" s="1436"/>
      <c r="AN212" s="1437"/>
      <c r="AO212" s="1438"/>
      <c r="AP212" s="1439"/>
      <c r="AQ212" s="1440"/>
      <c r="AR212" s="1441"/>
      <c r="AS212" s="1442"/>
      <c r="AT212" s="1443"/>
      <c r="AU212" s="1444"/>
      <c r="AV212" s="1442"/>
      <c r="AW212" s="1445"/>
      <c r="AX212" s="1446"/>
      <c r="AY212" s="1446"/>
      <c r="AZ212" s="1446"/>
      <c r="BA212" s="1447"/>
      <c r="BB212" s="1447"/>
      <c r="BC212" s="1446"/>
      <c r="BD212" s="1448"/>
      <c r="BE212" s="1442"/>
      <c r="BF212" s="1447"/>
      <c r="BG212" s="1449"/>
      <c r="BH212" s="1447"/>
      <c r="BI212" s="1447"/>
      <c r="BJ212" s="1449"/>
      <c r="BK212" s="1447"/>
      <c r="BL212" s="1447"/>
      <c r="BM212" s="1449"/>
      <c r="BN212" s="1447"/>
      <c r="BO212" s="1447"/>
      <c r="BP212" s="1448"/>
    </row>
    <row r="213">
      <c r="A213" s="1453"/>
      <c r="B213" s="1454"/>
      <c r="C213" s="1454"/>
      <c r="D213" s="1453"/>
      <c r="E213" s="1453"/>
      <c r="F213" s="1453"/>
      <c r="G213" s="1455"/>
      <c r="H213" s="1455"/>
      <c r="I213" s="1456"/>
      <c r="J213" s="1457"/>
      <c r="K213" s="1458"/>
      <c r="L213" s="1459"/>
      <c r="M213" s="1459"/>
      <c r="N213" s="1460"/>
      <c r="O213" s="1460"/>
      <c r="P213" s="1461"/>
      <c r="Q213" s="1461"/>
      <c r="R213" s="1462"/>
      <c r="S213" s="1463"/>
      <c r="T213" s="1464"/>
      <c r="U213" s="1453"/>
      <c r="V213" s="1453"/>
      <c r="W213" s="1453"/>
      <c r="X213" s="1453"/>
      <c r="Y213" s="1453"/>
      <c r="Z213" s="1453"/>
      <c r="AA213" s="1453"/>
      <c r="AB213" s="1453"/>
      <c r="AC213" s="1453"/>
      <c r="AD213" s="1453"/>
      <c r="AE213" s="1453"/>
      <c r="AF213" s="1453"/>
      <c r="AG213" s="1453"/>
      <c r="AH213" s="1453"/>
      <c r="AI213" s="1453"/>
      <c r="AJ213" s="1453"/>
      <c r="AK213" s="1465"/>
      <c r="AL213" s="1435"/>
      <c r="AM213" s="1436"/>
      <c r="AN213" s="1437"/>
      <c r="AO213" s="1438"/>
      <c r="AP213" s="1439"/>
      <c r="AQ213" s="1440"/>
      <c r="AR213" s="1441"/>
      <c r="AS213" s="1442"/>
      <c r="AT213" s="1443"/>
      <c r="AU213" s="1444"/>
      <c r="AV213" s="1442"/>
      <c r="AW213" s="1445"/>
      <c r="AX213" s="1446"/>
      <c r="AY213" s="1446"/>
      <c r="AZ213" s="1446"/>
      <c r="BA213" s="1447"/>
      <c r="BB213" s="1447"/>
      <c r="BC213" s="1446"/>
      <c r="BD213" s="1448"/>
      <c r="BE213" s="1442"/>
      <c r="BF213" s="1447"/>
      <c r="BG213" s="1449"/>
      <c r="BH213" s="1447"/>
      <c r="BI213" s="1447"/>
      <c r="BJ213" s="1449"/>
      <c r="BK213" s="1447"/>
      <c r="BL213" s="1447"/>
      <c r="BM213" s="1449"/>
      <c r="BN213" s="1447"/>
      <c r="BO213" s="1447"/>
      <c r="BP213" s="1448"/>
    </row>
    <row r="214">
      <c r="A214" s="1453"/>
      <c r="B214" s="1454"/>
      <c r="C214" s="1454"/>
      <c r="D214" s="1453"/>
      <c r="E214" s="1453"/>
      <c r="F214" s="1453"/>
      <c r="G214" s="1455"/>
      <c r="H214" s="1455"/>
      <c r="I214" s="1456"/>
      <c r="J214" s="1457"/>
      <c r="K214" s="1458"/>
      <c r="L214" s="1459"/>
      <c r="M214" s="1459"/>
      <c r="N214" s="1460"/>
      <c r="O214" s="1460"/>
      <c r="P214" s="1461"/>
      <c r="Q214" s="1461"/>
      <c r="R214" s="1462"/>
      <c r="S214" s="1463"/>
      <c r="T214" s="1464"/>
      <c r="U214" s="1453"/>
      <c r="V214" s="1453"/>
      <c r="W214" s="1453"/>
      <c r="X214" s="1453"/>
      <c r="Y214" s="1453"/>
      <c r="Z214" s="1453"/>
      <c r="AA214" s="1453"/>
      <c r="AB214" s="1453"/>
      <c r="AC214" s="1453"/>
      <c r="AD214" s="1453"/>
      <c r="AE214" s="1453"/>
      <c r="AF214" s="1453"/>
      <c r="AG214" s="1453"/>
      <c r="AH214" s="1453"/>
      <c r="AI214" s="1453"/>
      <c r="AJ214" s="1453"/>
      <c r="AK214" s="1465"/>
      <c r="AL214" s="1435"/>
      <c r="AM214" s="1436"/>
      <c r="AN214" s="1437"/>
      <c r="AO214" s="1438"/>
      <c r="AP214" s="1439"/>
      <c r="AQ214" s="1440"/>
      <c r="AR214" s="1441"/>
      <c r="AS214" s="1442"/>
      <c r="AT214" s="1443"/>
      <c r="AU214" s="1444"/>
      <c r="AV214" s="1442"/>
      <c r="AW214" s="1445"/>
      <c r="AX214" s="1446"/>
      <c r="AY214" s="1446"/>
      <c r="AZ214" s="1446"/>
      <c r="BA214" s="1447"/>
      <c r="BB214" s="1447"/>
      <c r="BC214" s="1446"/>
      <c r="BD214" s="1448"/>
      <c r="BE214" s="1442"/>
      <c r="BF214" s="1447"/>
      <c r="BG214" s="1449"/>
      <c r="BH214" s="1447"/>
      <c r="BI214" s="1447"/>
      <c r="BJ214" s="1449"/>
      <c r="BK214" s="1447"/>
      <c r="BL214" s="1447"/>
      <c r="BM214" s="1449"/>
      <c r="BN214" s="1447"/>
      <c r="BO214" s="1447"/>
      <c r="BP214" s="1448"/>
    </row>
    <row r="215">
      <c r="A215" s="1453"/>
      <c r="B215" s="1454"/>
      <c r="C215" s="1454"/>
      <c r="D215" s="1453"/>
      <c r="E215" s="1453"/>
      <c r="F215" s="1453"/>
      <c r="G215" s="1455"/>
      <c r="H215" s="1455"/>
      <c r="I215" s="1456"/>
      <c r="J215" s="1457"/>
      <c r="K215" s="1458"/>
      <c r="L215" s="1459"/>
      <c r="M215" s="1459"/>
      <c r="N215" s="1460"/>
      <c r="O215" s="1460"/>
      <c r="P215" s="1461"/>
      <c r="Q215" s="1461"/>
      <c r="R215" s="1462"/>
      <c r="S215" s="1463"/>
      <c r="T215" s="1464"/>
      <c r="U215" s="1453"/>
      <c r="V215" s="1453"/>
      <c r="W215" s="1453"/>
      <c r="X215" s="1453"/>
      <c r="Y215" s="1453"/>
      <c r="Z215" s="1453"/>
      <c r="AA215" s="1453"/>
      <c r="AB215" s="1453"/>
      <c r="AC215" s="1453"/>
      <c r="AD215" s="1453"/>
      <c r="AE215" s="1453"/>
      <c r="AF215" s="1453"/>
      <c r="AG215" s="1453"/>
      <c r="AH215" s="1453"/>
      <c r="AI215" s="1453"/>
      <c r="AJ215" s="1453"/>
      <c r="AK215" s="1465"/>
      <c r="AL215" s="1435"/>
      <c r="AM215" s="1436"/>
      <c r="AN215" s="1437"/>
      <c r="AO215" s="1438"/>
      <c r="AP215" s="1439"/>
      <c r="AQ215" s="1440"/>
      <c r="AR215" s="1441"/>
      <c r="AS215" s="1442"/>
      <c r="AT215" s="1443"/>
      <c r="AU215" s="1444"/>
      <c r="AV215" s="1442"/>
      <c r="AW215" s="1445"/>
      <c r="AX215" s="1446"/>
      <c r="AY215" s="1446"/>
      <c r="AZ215" s="1446"/>
      <c r="BA215" s="1447"/>
      <c r="BB215" s="1447"/>
      <c r="BC215" s="1446"/>
      <c r="BD215" s="1448"/>
      <c r="BE215" s="1442"/>
      <c r="BF215" s="1447"/>
      <c r="BG215" s="1449"/>
      <c r="BH215" s="1447"/>
      <c r="BI215" s="1447"/>
      <c r="BJ215" s="1449"/>
      <c r="BK215" s="1447"/>
      <c r="BL215" s="1447"/>
      <c r="BM215" s="1449"/>
      <c r="BN215" s="1447"/>
      <c r="BO215" s="1447"/>
      <c r="BP215" s="1448"/>
    </row>
    <row r="216">
      <c r="A216" s="1453"/>
      <c r="B216" s="1454"/>
      <c r="C216" s="1454"/>
      <c r="D216" s="1453"/>
      <c r="E216" s="1453"/>
      <c r="F216" s="1453"/>
      <c r="G216" s="1455"/>
      <c r="H216" s="1455"/>
      <c r="I216" s="1456"/>
      <c r="J216" s="1457"/>
      <c r="K216" s="1458"/>
      <c r="L216" s="1459"/>
      <c r="M216" s="1459"/>
      <c r="N216" s="1460"/>
      <c r="O216" s="1460"/>
      <c r="P216" s="1461"/>
      <c r="Q216" s="1461"/>
      <c r="R216" s="1462"/>
      <c r="S216" s="1463"/>
      <c r="T216" s="1464"/>
      <c r="U216" s="1453"/>
      <c r="V216" s="1453"/>
      <c r="W216" s="1453"/>
      <c r="X216" s="1453"/>
      <c r="Y216" s="1453"/>
      <c r="Z216" s="1453"/>
      <c r="AA216" s="1453"/>
      <c r="AB216" s="1453"/>
      <c r="AC216" s="1453"/>
      <c r="AD216" s="1453"/>
      <c r="AE216" s="1453"/>
      <c r="AF216" s="1453"/>
      <c r="AG216" s="1453"/>
      <c r="AH216" s="1453"/>
      <c r="AI216" s="1453"/>
      <c r="AJ216" s="1453"/>
      <c r="AK216" s="1465"/>
      <c r="AL216" s="1435"/>
      <c r="AM216" s="1436"/>
      <c r="AN216" s="1437"/>
      <c r="AO216" s="1438"/>
      <c r="AP216" s="1439"/>
      <c r="AQ216" s="1440"/>
      <c r="AR216" s="1441"/>
      <c r="AS216" s="1442"/>
      <c r="AT216" s="1443"/>
      <c r="AU216" s="1444"/>
      <c r="AV216" s="1442"/>
      <c r="AW216" s="1445"/>
      <c r="AX216" s="1446"/>
      <c r="AY216" s="1446"/>
      <c r="AZ216" s="1446"/>
      <c r="BA216" s="1447"/>
      <c r="BB216" s="1447"/>
      <c r="BC216" s="1446"/>
      <c r="BD216" s="1448"/>
      <c r="BE216" s="1442"/>
      <c r="BF216" s="1447"/>
      <c r="BG216" s="1449"/>
      <c r="BH216" s="1447"/>
      <c r="BI216" s="1447"/>
      <c r="BJ216" s="1449"/>
      <c r="BK216" s="1447"/>
      <c r="BL216" s="1447"/>
      <c r="BM216" s="1449"/>
      <c r="BN216" s="1447"/>
      <c r="BO216" s="1447"/>
      <c r="BP216" s="1448"/>
    </row>
    <row r="217">
      <c r="A217" s="1453"/>
      <c r="B217" s="1454"/>
      <c r="C217" s="1454"/>
      <c r="D217" s="1453"/>
      <c r="E217" s="1453"/>
      <c r="F217" s="1453"/>
      <c r="G217" s="1455"/>
      <c r="H217" s="1455"/>
      <c r="I217" s="1456"/>
      <c r="J217" s="1457"/>
      <c r="K217" s="1458"/>
      <c r="L217" s="1459"/>
      <c r="M217" s="1459"/>
      <c r="N217" s="1460"/>
      <c r="O217" s="1460"/>
      <c r="P217" s="1461"/>
      <c r="Q217" s="1461"/>
      <c r="R217" s="1462"/>
      <c r="S217" s="1463"/>
      <c r="T217" s="1464"/>
      <c r="U217" s="1453"/>
      <c r="V217" s="1453"/>
      <c r="W217" s="1453"/>
      <c r="X217" s="1453"/>
      <c r="Y217" s="1453"/>
      <c r="Z217" s="1453"/>
      <c r="AA217" s="1453"/>
      <c r="AB217" s="1453"/>
      <c r="AC217" s="1453"/>
      <c r="AD217" s="1453"/>
      <c r="AE217" s="1453"/>
      <c r="AF217" s="1453"/>
      <c r="AG217" s="1453"/>
      <c r="AH217" s="1453"/>
      <c r="AI217" s="1453"/>
      <c r="AJ217" s="1453"/>
      <c r="AK217" s="1465"/>
      <c r="AL217" s="1435"/>
      <c r="AM217" s="1436"/>
      <c r="AN217" s="1437"/>
      <c r="AO217" s="1438"/>
      <c r="AP217" s="1439"/>
      <c r="AQ217" s="1440"/>
      <c r="AR217" s="1441"/>
      <c r="AS217" s="1442"/>
      <c r="AT217" s="1443"/>
      <c r="AU217" s="1444"/>
      <c r="AV217" s="1442"/>
      <c r="AW217" s="1445"/>
      <c r="AX217" s="1446"/>
      <c r="AY217" s="1446"/>
      <c r="AZ217" s="1446"/>
      <c r="BA217" s="1447"/>
      <c r="BB217" s="1447"/>
      <c r="BC217" s="1446"/>
      <c r="BD217" s="1448"/>
      <c r="BE217" s="1442"/>
      <c r="BF217" s="1447"/>
      <c r="BG217" s="1449"/>
      <c r="BH217" s="1447"/>
      <c r="BI217" s="1447"/>
      <c r="BJ217" s="1449"/>
      <c r="BK217" s="1447"/>
      <c r="BL217" s="1447"/>
      <c r="BM217" s="1449"/>
      <c r="BN217" s="1447"/>
      <c r="BO217" s="1447"/>
      <c r="BP217" s="1448"/>
    </row>
    <row r="218">
      <c r="A218" s="1453"/>
      <c r="B218" s="1454"/>
      <c r="C218" s="1454"/>
      <c r="D218" s="1453"/>
      <c r="E218" s="1453"/>
      <c r="F218" s="1453"/>
      <c r="G218" s="1455"/>
      <c r="H218" s="1455"/>
      <c r="I218" s="1456"/>
      <c r="J218" s="1457"/>
      <c r="K218" s="1458"/>
      <c r="L218" s="1459"/>
      <c r="M218" s="1459"/>
      <c r="N218" s="1460"/>
      <c r="O218" s="1460"/>
      <c r="P218" s="1461"/>
      <c r="Q218" s="1461"/>
      <c r="R218" s="1462"/>
      <c r="S218" s="1463"/>
      <c r="T218" s="1464"/>
      <c r="U218" s="1453"/>
      <c r="V218" s="1453"/>
      <c r="W218" s="1453"/>
      <c r="X218" s="1453"/>
      <c r="Y218" s="1453"/>
      <c r="Z218" s="1453"/>
      <c r="AA218" s="1453"/>
      <c r="AB218" s="1453"/>
      <c r="AC218" s="1453"/>
      <c r="AD218" s="1453"/>
      <c r="AE218" s="1453"/>
      <c r="AF218" s="1453"/>
      <c r="AG218" s="1453"/>
      <c r="AH218" s="1453"/>
      <c r="AI218" s="1453"/>
      <c r="AJ218" s="1453"/>
      <c r="AK218" s="1465"/>
      <c r="AL218" s="1435"/>
      <c r="AM218" s="1436"/>
      <c r="AN218" s="1437"/>
      <c r="AO218" s="1438"/>
      <c r="AP218" s="1439"/>
      <c r="AQ218" s="1440"/>
      <c r="AR218" s="1441"/>
      <c r="AS218" s="1442"/>
      <c r="AT218" s="1443"/>
      <c r="AU218" s="1444"/>
      <c r="AV218" s="1442"/>
      <c r="AW218" s="1445"/>
      <c r="AX218" s="1446"/>
      <c r="AY218" s="1446"/>
      <c r="AZ218" s="1446"/>
      <c r="BA218" s="1447"/>
      <c r="BB218" s="1447"/>
      <c r="BC218" s="1446"/>
      <c r="BD218" s="1448"/>
      <c r="BE218" s="1442"/>
      <c r="BF218" s="1447"/>
      <c r="BG218" s="1449"/>
      <c r="BH218" s="1447"/>
      <c r="BI218" s="1447"/>
      <c r="BJ218" s="1449"/>
      <c r="BK218" s="1447"/>
      <c r="BL218" s="1447"/>
      <c r="BM218" s="1449"/>
      <c r="BN218" s="1447"/>
      <c r="BO218" s="1447"/>
      <c r="BP218" s="1448"/>
    </row>
    <row r="219">
      <c r="A219" s="1453"/>
      <c r="B219" s="1454"/>
      <c r="C219" s="1454"/>
      <c r="D219" s="1453"/>
      <c r="E219" s="1453"/>
      <c r="F219" s="1453"/>
      <c r="G219" s="1455"/>
      <c r="H219" s="1455"/>
      <c r="I219" s="1456"/>
      <c r="J219" s="1457"/>
      <c r="K219" s="1458"/>
      <c r="L219" s="1459"/>
      <c r="M219" s="1459"/>
      <c r="N219" s="1460"/>
      <c r="O219" s="1460"/>
      <c r="P219" s="1461"/>
      <c r="Q219" s="1461"/>
      <c r="R219" s="1462"/>
      <c r="S219" s="1463"/>
      <c r="T219" s="1464"/>
      <c r="U219" s="1453"/>
      <c r="V219" s="1453"/>
      <c r="W219" s="1453"/>
      <c r="X219" s="1453"/>
      <c r="Y219" s="1453"/>
      <c r="Z219" s="1453"/>
      <c r="AA219" s="1453"/>
      <c r="AB219" s="1453"/>
      <c r="AC219" s="1453"/>
      <c r="AD219" s="1453"/>
      <c r="AE219" s="1453"/>
      <c r="AF219" s="1453"/>
      <c r="AG219" s="1453"/>
      <c r="AH219" s="1453"/>
      <c r="AI219" s="1453"/>
      <c r="AJ219" s="1453"/>
      <c r="AK219" s="1465"/>
      <c r="AL219" s="1435"/>
      <c r="AM219" s="1436"/>
      <c r="AN219" s="1437"/>
      <c r="AO219" s="1438"/>
      <c r="AP219" s="1439"/>
      <c r="AQ219" s="1440"/>
      <c r="AR219" s="1441"/>
      <c r="AS219" s="1442"/>
      <c r="AT219" s="1443"/>
      <c r="AU219" s="1444"/>
      <c r="AV219" s="1442"/>
      <c r="AW219" s="1445"/>
      <c r="AX219" s="1446"/>
      <c r="AY219" s="1446"/>
      <c r="AZ219" s="1446"/>
      <c r="BA219" s="1447"/>
      <c r="BB219" s="1447"/>
      <c r="BC219" s="1446"/>
      <c r="BD219" s="1448"/>
      <c r="BE219" s="1442"/>
      <c r="BF219" s="1447"/>
      <c r="BG219" s="1449"/>
      <c r="BH219" s="1447"/>
      <c r="BI219" s="1447"/>
      <c r="BJ219" s="1449"/>
      <c r="BK219" s="1447"/>
      <c r="BL219" s="1447"/>
      <c r="BM219" s="1449"/>
      <c r="BN219" s="1447"/>
      <c r="BO219" s="1447"/>
      <c r="BP219" s="1448"/>
    </row>
    <row r="220">
      <c r="A220" s="1453"/>
      <c r="B220" s="1454"/>
      <c r="C220" s="1454"/>
      <c r="D220" s="1453"/>
      <c r="E220" s="1453"/>
      <c r="F220" s="1453"/>
      <c r="G220" s="1455"/>
      <c r="H220" s="1455"/>
      <c r="I220" s="1456"/>
      <c r="J220" s="1457"/>
      <c r="K220" s="1458"/>
      <c r="L220" s="1459"/>
      <c r="M220" s="1459"/>
      <c r="N220" s="1460"/>
      <c r="O220" s="1460"/>
      <c r="P220" s="1461"/>
      <c r="Q220" s="1461"/>
      <c r="R220" s="1462"/>
      <c r="S220" s="1463"/>
      <c r="T220" s="1464"/>
      <c r="U220" s="1453"/>
      <c r="V220" s="1453"/>
      <c r="W220" s="1453"/>
      <c r="X220" s="1453"/>
      <c r="Y220" s="1453"/>
      <c r="Z220" s="1453"/>
      <c r="AA220" s="1453"/>
      <c r="AB220" s="1453"/>
      <c r="AC220" s="1453"/>
      <c r="AD220" s="1453"/>
      <c r="AE220" s="1453"/>
      <c r="AF220" s="1453"/>
      <c r="AG220" s="1453"/>
      <c r="AH220" s="1453"/>
      <c r="AI220" s="1453"/>
      <c r="AJ220" s="1453"/>
      <c r="AK220" s="1465"/>
      <c r="AL220" s="1435"/>
      <c r="AM220" s="1436"/>
      <c r="AN220" s="1437"/>
      <c r="AO220" s="1438"/>
      <c r="AP220" s="1439"/>
      <c r="AQ220" s="1440"/>
      <c r="AR220" s="1441"/>
      <c r="AS220" s="1442"/>
      <c r="AT220" s="1443"/>
      <c r="AU220" s="1444"/>
      <c r="AV220" s="1442"/>
      <c r="AW220" s="1445"/>
      <c r="AX220" s="1446"/>
      <c r="AY220" s="1446"/>
      <c r="AZ220" s="1446"/>
      <c r="BA220" s="1447"/>
      <c r="BB220" s="1447"/>
      <c r="BC220" s="1446"/>
      <c r="BD220" s="1448"/>
      <c r="BE220" s="1442"/>
      <c r="BF220" s="1447"/>
      <c r="BG220" s="1449"/>
      <c r="BH220" s="1447"/>
      <c r="BI220" s="1447"/>
      <c r="BJ220" s="1449"/>
      <c r="BK220" s="1447"/>
      <c r="BL220" s="1447"/>
      <c r="BM220" s="1449"/>
      <c r="BN220" s="1447"/>
      <c r="BO220" s="1447"/>
      <c r="BP220" s="1448"/>
    </row>
    <row r="221">
      <c r="A221" s="1453"/>
      <c r="B221" s="1454"/>
      <c r="C221" s="1454"/>
      <c r="D221" s="1453"/>
      <c r="E221" s="1453"/>
      <c r="F221" s="1453"/>
      <c r="G221" s="1455"/>
      <c r="H221" s="1455"/>
      <c r="I221" s="1456"/>
      <c r="J221" s="1457"/>
      <c r="K221" s="1458"/>
      <c r="L221" s="1459"/>
      <c r="M221" s="1459"/>
      <c r="N221" s="1460"/>
      <c r="O221" s="1460"/>
      <c r="P221" s="1461"/>
      <c r="Q221" s="1461"/>
      <c r="R221" s="1462"/>
      <c r="S221" s="1463"/>
      <c r="T221" s="1464"/>
      <c r="U221" s="1453"/>
      <c r="V221" s="1453"/>
      <c r="W221" s="1453"/>
      <c r="X221" s="1453"/>
      <c r="Y221" s="1453"/>
      <c r="Z221" s="1453"/>
      <c r="AA221" s="1453"/>
      <c r="AB221" s="1453"/>
      <c r="AC221" s="1453"/>
      <c r="AD221" s="1453"/>
      <c r="AE221" s="1453"/>
      <c r="AF221" s="1453"/>
      <c r="AG221" s="1453"/>
      <c r="AH221" s="1453"/>
      <c r="AI221" s="1453"/>
      <c r="AJ221" s="1453"/>
      <c r="AK221" s="1465"/>
      <c r="AL221" s="1435"/>
      <c r="AM221" s="1436"/>
      <c r="AN221" s="1437"/>
      <c r="AO221" s="1438"/>
      <c r="AP221" s="1439"/>
      <c r="AQ221" s="1440"/>
      <c r="AR221" s="1441"/>
      <c r="AS221" s="1442"/>
      <c r="AT221" s="1443"/>
      <c r="AU221" s="1444"/>
      <c r="AV221" s="1442"/>
      <c r="AW221" s="1445"/>
      <c r="AX221" s="1446"/>
      <c r="AY221" s="1446"/>
      <c r="AZ221" s="1446"/>
      <c r="BA221" s="1447"/>
      <c r="BB221" s="1447"/>
      <c r="BC221" s="1446"/>
      <c r="BD221" s="1448"/>
      <c r="BE221" s="1442"/>
      <c r="BF221" s="1447"/>
      <c r="BG221" s="1449"/>
      <c r="BH221" s="1447"/>
      <c r="BI221" s="1447"/>
      <c r="BJ221" s="1449"/>
      <c r="BK221" s="1447"/>
      <c r="BL221" s="1447"/>
      <c r="BM221" s="1449"/>
      <c r="BN221" s="1447"/>
      <c r="BO221" s="1447"/>
      <c r="BP221" s="1448"/>
    </row>
    <row r="222">
      <c r="A222" s="1453"/>
      <c r="B222" s="1454"/>
      <c r="C222" s="1454"/>
      <c r="D222" s="1453"/>
      <c r="E222" s="1453"/>
      <c r="F222" s="1453"/>
      <c r="G222" s="1455"/>
      <c r="H222" s="1455"/>
      <c r="I222" s="1456"/>
      <c r="J222" s="1457"/>
      <c r="K222" s="1458"/>
      <c r="L222" s="1459"/>
      <c r="M222" s="1459"/>
      <c r="N222" s="1460"/>
      <c r="O222" s="1460"/>
      <c r="P222" s="1461"/>
      <c r="Q222" s="1461"/>
      <c r="R222" s="1462"/>
      <c r="S222" s="1463"/>
      <c r="T222" s="1464"/>
      <c r="U222" s="1453"/>
      <c r="V222" s="1453"/>
      <c r="W222" s="1453"/>
      <c r="X222" s="1453"/>
      <c r="Y222" s="1453"/>
      <c r="Z222" s="1453"/>
      <c r="AA222" s="1453"/>
      <c r="AB222" s="1453"/>
      <c r="AC222" s="1453"/>
      <c r="AD222" s="1453"/>
      <c r="AE222" s="1453"/>
      <c r="AF222" s="1453"/>
      <c r="AG222" s="1453"/>
      <c r="AH222" s="1453"/>
      <c r="AI222" s="1453"/>
      <c r="AJ222" s="1453"/>
      <c r="AK222" s="1465"/>
      <c r="AL222" s="1435"/>
      <c r="AM222" s="1436"/>
      <c r="AN222" s="1437"/>
      <c r="AO222" s="1438"/>
      <c r="AP222" s="1439"/>
      <c r="AQ222" s="1440"/>
      <c r="AR222" s="1441"/>
      <c r="AS222" s="1442"/>
      <c r="AT222" s="1443"/>
      <c r="AU222" s="1444"/>
      <c r="AV222" s="1442"/>
      <c r="AW222" s="1445"/>
      <c r="AX222" s="1446"/>
      <c r="AY222" s="1446"/>
      <c r="AZ222" s="1446"/>
      <c r="BA222" s="1447"/>
      <c r="BB222" s="1447"/>
      <c r="BC222" s="1446"/>
      <c r="BD222" s="1448"/>
      <c r="BE222" s="1442"/>
      <c r="BF222" s="1447"/>
      <c r="BG222" s="1449"/>
      <c r="BH222" s="1447"/>
      <c r="BI222" s="1447"/>
      <c r="BJ222" s="1449"/>
      <c r="BK222" s="1447"/>
      <c r="BL222" s="1447"/>
      <c r="BM222" s="1449"/>
      <c r="BN222" s="1447"/>
      <c r="BO222" s="1447"/>
      <c r="BP222" s="1448"/>
    </row>
    <row r="223">
      <c r="A223" s="1453"/>
      <c r="B223" s="1454"/>
      <c r="C223" s="1454"/>
      <c r="D223" s="1453"/>
      <c r="E223" s="1453"/>
      <c r="F223" s="1453"/>
      <c r="G223" s="1455"/>
      <c r="H223" s="1455"/>
      <c r="I223" s="1456"/>
      <c r="J223" s="1457"/>
      <c r="K223" s="1458"/>
      <c r="L223" s="1459"/>
      <c r="M223" s="1459"/>
      <c r="N223" s="1460"/>
      <c r="O223" s="1460"/>
      <c r="P223" s="1461"/>
      <c r="Q223" s="1461"/>
      <c r="R223" s="1462"/>
      <c r="S223" s="1463"/>
      <c r="T223" s="1464"/>
      <c r="U223" s="1453"/>
      <c r="V223" s="1453"/>
      <c r="W223" s="1453"/>
      <c r="X223" s="1453"/>
      <c r="Y223" s="1453"/>
      <c r="Z223" s="1453"/>
      <c r="AA223" s="1453"/>
      <c r="AB223" s="1453"/>
      <c r="AC223" s="1453"/>
      <c r="AD223" s="1453"/>
      <c r="AE223" s="1453"/>
      <c r="AF223" s="1453"/>
      <c r="AG223" s="1453"/>
      <c r="AH223" s="1453"/>
      <c r="AI223" s="1453"/>
      <c r="AJ223" s="1453"/>
      <c r="AK223" s="1465"/>
      <c r="AL223" s="1435"/>
      <c r="AM223" s="1436"/>
      <c r="AN223" s="1437"/>
      <c r="AO223" s="1438"/>
      <c r="AP223" s="1439"/>
      <c r="AQ223" s="1440"/>
      <c r="AR223" s="1441"/>
      <c r="AS223" s="1442"/>
      <c r="AT223" s="1443"/>
      <c r="AU223" s="1444"/>
      <c r="AV223" s="1442"/>
      <c r="AW223" s="1445"/>
      <c r="AX223" s="1446"/>
      <c r="AY223" s="1446"/>
      <c r="AZ223" s="1446"/>
      <c r="BA223" s="1447"/>
      <c r="BB223" s="1447"/>
      <c r="BC223" s="1446"/>
      <c r="BD223" s="1448"/>
      <c r="BE223" s="1442"/>
      <c r="BF223" s="1447"/>
      <c r="BG223" s="1449"/>
      <c r="BH223" s="1447"/>
      <c r="BI223" s="1447"/>
      <c r="BJ223" s="1449"/>
      <c r="BK223" s="1447"/>
      <c r="BL223" s="1447"/>
      <c r="BM223" s="1449"/>
      <c r="BN223" s="1447"/>
      <c r="BO223" s="1447"/>
      <c r="BP223" s="1448"/>
    </row>
    <row r="224">
      <c r="A224" s="1453"/>
      <c r="B224" s="1454"/>
      <c r="C224" s="1454"/>
      <c r="D224" s="1453"/>
      <c r="E224" s="1453"/>
      <c r="F224" s="1453"/>
      <c r="G224" s="1455"/>
      <c r="H224" s="1455"/>
      <c r="I224" s="1456"/>
      <c r="J224" s="1457"/>
      <c r="K224" s="1458"/>
      <c r="L224" s="1459"/>
      <c r="M224" s="1459"/>
      <c r="N224" s="1460"/>
      <c r="O224" s="1460"/>
      <c r="P224" s="1461"/>
      <c r="Q224" s="1461"/>
      <c r="R224" s="1462"/>
      <c r="S224" s="1463"/>
      <c r="T224" s="1464"/>
      <c r="U224" s="1453"/>
      <c r="V224" s="1453"/>
      <c r="W224" s="1453"/>
      <c r="X224" s="1453"/>
      <c r="Y224" s="1453"/>
      <c r="Z224" s="1453"/>
      <c r="AA224" s="1453"/>
      <c r="AB224" s="1453"/>
      <c r="AC224" s="1453"/>
      <c r="AD224" s="1453"/>
      <c r="AE224" s="1453"/>
      <c r="AF224" s="1453"/>
      <c r="AG224" s="1453"/>
      <c r="AH224" s="1453"/>
      <c r="AI224" s="1453"/>
      <c r="AJ224" s="1453"/>
      <c r="AK224" s="1465"/>
      <c r="AL224" s="1435"/>
      <c r="AM224" s="1436"/>
      <c r="AN224" s="1437"/>
      <c r="AO224" s="1438"/>
      <c r="AP224" s="1439"/>
      <c r="AQ224" s="1440"/>
      <c r="AR224" s="1441"/>
      <c r="AS224" s="1442"/>
      <c r="AT224" s="1443"/>
      <c r="AU224" s="1444"/>
      <c r="AV224" s="1442"/>
      <c r="AW224" s="1445"/>
      <c r="AX224" s="1446"/>
      <c r="AY224" s="1446"/>
      <c r="AZ224" s="1446"/>
      <c r="BA224" s="1447"/>
      <c r="BB224" s="1447"/>
      <c r="BC224" s="1446"/>
      <c r="BD224" s="1448"/>
      <c r="BE224" s="1442"/>
      <c r="BF224" s="1447"/>
      <c r="BG224" s="1449"/>
      <c r="BH224" s="1447"/>
      <c r="BI224" s="1447"/>
      <c r="BJ224" s="1449"/>
      <c r="BK224" s="1447"/>
      <c r="BL224" s="1447"/>
      <c r="BM224" s="1449"/>
      <c r="BN224" s="1447"/>
      <c r="BO224" s="1447"/>
      <c r="BP224" s="1448"/>
    </row>
    <row r="225">
      <c r="A225" s="1453"/>
      <c r="B225" s="1454"/>
      <c r="C225" s="1454"/>
      <c r="D225" s="1453"/>
      <c r="E225" s="1453"/>
      <c r="F225" s="1453"/>
      <c r="G225" s="1455"/>
      <c r="H225" s="1455"/>
      <c r="I225" s="1456"/>
      <c r="J225" s="1457"/>
      <c r="K225" s="1458"/>
      <c r="L225" s="1459"/>
      <c r="M225" s="1459"/>
      <c r="N225" s="1460"/>
      <c r="O225" s="1460"/>
      <c r="P225" s="1461"/>
      <c r="Q225" s="1461"/>
      <c r="R225" s="1462"/>
      <c r="S225" s="1463"/>
      <c r="T225" s="1464"/>
      <c r="U225" s="1453"/>
      <c r="V225" s="1453"/>
      <c r="W225" s="1453"/>
      <c r="X225" s="1453"/>
      <c r="Y225" s="1453"/>
      <c r="Z225" s="1453"/>
      <c r="AA225" s="1453"/>
      <c r="AB225" s="1453"/>
      <c r="AC225" s="1453"/>
      <c r="AD225" s="1453"/>
      <c r="AE225" s="1453"/>
      <c r="AF225" s="1453"/>
      <c r="AG225" s="1453"/>
      <c r="AH225" s="1453"/>
      <c r="AI225" s="1453"/>
      <c r="AJ225" s="1453"/>
      <c r="AK225" s="1465"/>
      <c r="AL225" s="1435"/>
      <c r="AM225" s="1436"/>
      <c r="AN225" s="1437"/>
      <c r="AO225" s="1438"/>
      <c r="AP225" s="1439"/>
      <c r="AQ225" s="1440"/>
      <c r="AR225" s="1441"/>
      <c r="AS225" s="1442"/>
      <c r="AT225" s="1443"/>
      <c r="AU225" s="1444"/>
      <c r="AV225" s="1442"/>
      <c r="AW225" s="1445"/>
      <c r="AX225" s="1446"/>
      <c r="AY225" s="1446"/>
      <c r="AZ225" s="1446"/>
      <c r="BA225" s="1447"/>
      <c r="BB225" s="1447"/>
      <c r="BC225" s="1446"/>
      <c r="BD225" s="1448"/>
      <c r="BE225" s="1442"/>
      <c r="BF225" s="1447"/>
      <c r="BG225" s="1449"/>
      <c r="BH225" s="1447"/>
      <c r="BI225" s="1447"/>
      <c r="BJ225" s="1449"/>
      <c r="BK225" s="1447"/>
      <c r="BL225" s="1447"/>
      <c r="BM225" s="1449"/>
      <c r="BN225" s="1447"/>
      <c r="BO225" s="1447"/>
      <c r="BP225" s="1448"/>
    </row>
    <row r="226">
      <c r="A226" s="1453"/>
      <c r="B226" s="1454"/>
      <c r="C226" s="1454"/>
      <c r="D226" s="1453"/>
      <c r="E226" s="1453"/>
      <c r="F226" s="1453"/>
      <c r="G226" s="1455"/>
      <c r="H226" s="1455"/>
      <c r="I226" s="1456"/>
      <c r="J226" s="1457"/>
      <c r="K226" s="1458"/>
      <c r="L226" s="1459"/>
      <c r="M226" s="1459"/>
      <c r="N226" s="1460"/>
      <c r="O226" s="1460"/>
      <c r="P226" s="1461"/>
      <c r="Q226" s="1461"/>
      <c r="R226" s="1462"/>
      <c r="S226" s="1463"/>
      <c r="T226" s="1464"/>
      <c r="U226" s="1453"/>
      <c r="V226" s="1453"/>
      <c r="W226" s="1453"/>
      <c r="X226" s="1453"/>
      <c r="Y226" s="1453"/>
      <c r="Z226" s="1453"/>
      <c r="AA226" s="1453"/>
      <c r="AB226" s="1453"/>
      <c r="AC226" s="1453"/>
      <c r="AD226" s="1453"/>
      <c r="AE226" s="1453"/>
      <c r="AF226" s="1453"/>
      <c r="AG226" s="1453"/>
      <c r="AH226" s="1453"/>
      <c r="AI226" s="1453"/>
      <c r="AJ226" s="1453"/>
      <c r="AK226" s="1465"/>
      <c r="AL226" s="1435"/>
      <c r="AM226" s="1436"/>
      <c r="AN226" s="1437"/>
      <c r="AO226" s="1438"/>
      <c r="AP226" s="1439"/>
      <c r="AQ226" s="1440"/>
      <c r="AR226" s="1441"/>
      <c r="AS226" s="1442"/>
      <c r="AT226" s="1443"/>
      <c r="AU226" s="1444"/>
      <c r="AV226" s="1442"/>
      <c r="AW226" s="1445"/>
      <c r="AX226" s="1446"/>
      <c r="AY226" s="1446"/>
      <c r="AZ226" s="1446"/>
      <c r="BA226" s="1447"/>
      <c r="BB226" s="1447"/>
      <c r="BC226" s="1446"/>
      <c r="BD226" s="1448"/>
      <c r="BE226" s="1442"/>
      <c r="BF226" s="1447"/>
      <c r="BG226" s="1449"/>
      <c r="BH226" s="1447"/>
      <c r="BI226" s="1447"/>
      <c r="BJ226" s="1449"/>
      <c r="BK226" s="1447"/>
      <c r="BL226" s="1447"/>
      <c r="BM226" s="1449"/>
      <c r="BN226" s="1447"/>
      <c r="BO226" s="1447"/>
      <c r="BP226" s="1448"/>
    </row>
    <row r="227">
      <c r="A227" s="1453"/>
      <c r="B227" s="1454"/>
      <c r="C227" s="1454"/>
      <c r="D227" s="1453"/>
      <c r="E227" s="1453"/>
      <c r="F227" s="1453"/>
      <c r="G227" s="1455"/>
      <c r="H227" s="1455"/>
      <c r="I227" s="1456"/>
      <c r="J227" s="1457"/>
      <c r="K227" s="1458"/>
      <c r="L227" s="1459"/>
      <c r="M227" s="1459"/>
      <c r="N227" s="1460"/>
      <c r="O227" s="1460"/>
      <c r="P227" s="1461"/>
      <c r="Q227" s="1461"/>
      <c r="R227" s="1462"/>
      <c r="S227" s="1463"/>
      <c r="T227" s="1464"/>
      <c r="U227" s="1453"/>
      <c r="V227" s="1453"/>
      <c r="W227" s="1453"/>
      <c r="X227" s="1453"/>
      <c r="Y227" s="1453"/>
      <c r="Z227" s="1453"/>
      <c r="AA227" s="1453"/>
      <c r="AB227" s="1453"/>
      <c r="AC227" s="1453"/>
      <c r="AD227" s="1453"/>
      <c r="AE227" s="1453"/>
      <c r="AF227" s="1453"/>
      <c r="AG227" s="1453"/>
      <c r="AH227" s="1453"/>
      <c r="AI227" s="1453"/>
      <c r="AJ227" s="1453"/>
      <c r="AK227" s="1465"/>
      <c r="AL227" s="1435"/>
      <c r="AM227" s="1436"/>
      <c r="AN227" s="1437"/>
      <c r="AO227" s="1438"/>
      <c r="AP227" s="1439"/>
      <c r="AQ227" s="1440"/>
      <c r="AR227" s="1441"/>
      <c r="AS227" s="1442"/>
      <c r="AT227" s="1443"/>
      <c r="AU227" s="1444"/>
      <c r="AV227" s="1442"/>
      <c r="AW227" s="1445"/>
      <c r="AX227" s="1446"/>
      <c r="AY227" s="1446"/>
      <c r="AZ227" s="1446"/>
      <c r="BA227" s="1447"/>
      <c r="BB227" s="1447"/>
      <c r="BC227" s="1446"/>
      <c r="BD227" s="1448"/>
      <c r="BE227" s="1442"/>
      <c r="BF227" s="1447"/>
      <c r="BG227" s="1449"/>
      <c r="BH227" s="1447"/>
      <c r="BI227" s="1447"/>
      <c r="BJ227" s="1449"/>
      <c r="BK227" s="1447"/>
      <c r="BL227" s="1447"/>
      <c r="BM227" s="1449"/>
      <c r="BN227" s="1447"/>
      <c r="BO227" s="1447"/>
      <c r="BP227" s="1448"/>
    </row>
    <row r="228">
      <c r="A228" s="1453"/>
      <c r="B228" s="1454"/>
      <c r="C228" s="1454"/>
      <c r="D228" s="1453"/>
      <c r="E228" s="1453"/>
      <c r="F228" s="1453"/>
      <c r="G228" s="1455"/>
      <c r="H228" s="1455"/>
      <c r="I228" s="1456"/>
      <c r="J228" s="1457"/>
      <c r="K228" s="1458"/>
      <c r="L228" s="1459"/>
      <c r="M228" s="1459"/>
      <c r="N228" s="1460"/>
      <c r="O228" s="1460"/>
      <c r="P228" s="1461"/>
      <c r="Q228" s="1461"/>
      <c r="R228" s="1462"/>
      <c r="S228" s="1463"/>
      <c r="T228" s="1464"/>
      <c r="U228" s="1453"/>
      <c r="V228" s="1453"/>
      <c r="W228" s="1453"/>
      <c r="X228" s="1453"/>
      <c r="Y228" s="1453"/>
      <c r="Z228" s="1453"/>
      <c r="AA228" s="1453"/>
      <c r="AB228" s="1453"/>
      <c r="AC228" s="1453"/>
      <c r="AD228" s="1453"/>
      <c r="AE228" s="1453"/>
      <c r="AF228" s="1453"/>
      <c r="AG228" s="1453"/>
      <c r="AH228" s="1453"/>
      <c r="AI228" s="1453"/>
      <c r="AJ228" s="1453"/>
      <c r="AK228" s="1465"/>
      <c r="AL228" s="1435"/>
      <c r="AM228" s="1436"/>
      <c r="AN228" s="1437"/>
      <c r="AO228" s="1438"/>
      <c r="AP228" s="1439"/>
      <c r="AQ228" s="1440"/>
      <c r="AR228" s="1441"/>
      <c r="AS228" s="1442"/>
      <c r="AT228" s="1443"/>
      <c r="AU228" s="1444"/>
      <c r="AV228" s="1442"/>
      <c r="AW228" s="1445"/>
      <c r="AX228" s="1446"/>
      <c r="AY228" s="1446"/>
      <c r="AZ228" s="1446"/>
      <c r="BA228" s="1447"/>
      <c r="BB228" s="1447"/>
      <c r="BC228" s="1446"/>
      <c r="BD228" s="1448"/>
      <c r="BE228" s="1442"/>
      <c r="BF228" s="1447"/>
      <c r="BG228" s="1449"/>
      <c r="BH228" s="1447"/>
      <c r="BI228" s="1447"/>
      <c r="BJ228" s="1449"/>
      <c r="BK228" s="1447"/>
      <c r="BL228" s="1447"/>
      <c r="BM228" s="1449"/>
      <c r="BN228" s="1447"/>
      <c r="BO228" s="1447"/>
      <c r="BP228" s="1448"/>
    </row>
    <row r="229">
      <c r="A229" s="1453"/>
      <c r="B229" s="1454"/>
      <c r="C229" s="1454"/>
      <c r="D229" s="1453"/>
      <c r="E229" s="1453"/>
      <c r="F229" s="1453"/>
      <c r="G229" s="1455"/>
      <c r="H229" s="1455"/>
      <c r="I229" s="1456"/>
      <c r="J229" s="1457"/>
      <c r="K229" s="1458"/>
      <c r="L229" s="1459"/>
      <c r="M229" s="1459"/>
      <c r="N229" s="1460"/>
      <c r="O229" s="1460"/>
      <c r="P229" s="1461"/>
      <c r="Q229" s="1461"/>
      <c r="R229" s="1462"/>
      <c r="S229" s="1463"/>
      <c r="T229" s="1464"/>
      <c r="U229" s="1453"/>
      <c r="V229" s="1453"/>
      <c r="W229" s="1453"/>
      <c r="X229" s="1453"/>
      <c r="Y229" s="1453"/>
      <c r="Z229" s="1453"/>
      <c r="AA229" s="1453"/>
      <c r="AB229" s="1453"/>
      <c r="AC229" s="1453"/>
      <c r="AD229" s="1453"/>
      <c r="AE229" s="1453"/>
      <c r="AF229" s="1453"/>
      <c r="AG229" s="1453"/>
      <c r="AH229" s="1453"/>
      <c r="AI229" s="1453"/>
      <c r="AJ229" s="1453"/>
      <c r="AK229" s="1465"/>
      <c r="AL229" s="1435"/>
      <c r="AM229" s="1436"/>
      <c r="AN229" s="1437"/>
      <c r="AO229" s="1438"/>
      <c r="AP229" s="1439"/>
      <c r="AQ229" s="1440"/>
      <c r="AR229" s="1441"/>
      <c r="AS229" s="1442"/>
      <c r="AT229" s="1443"/>
      <c r="AU229" s="1444"/>
      <c r="AV229" s="1442"/>
      <c r="AW229" s="1445"/>
      <c r="AX229" s="1446"/>
      <c r="AY229" s="1446"/>
      <c r="AZ229" s="1446"/>
      <c r="BA229" s="1447"/>
      <c r="BB229" s="1447"/>
      <c r="BC229" s="1446"/>
      <c r="BD229" s="1448"/>
      <c r="BE229" s="1442"/>
      <c r="BF229" s="1447"/>
      <c r="BG229" s="1449"/>
      <c r="BH229" s="1447"/>
      <c r="BI229" s="1447"/>
      <c r="BJ229" s="1449"/>
      <c r="BK229" s="1447"/>
      <c r="BL229" s="1447"/>
      <c r="BM229" s="1449"/>
      <c r="BN229" s="1447"/>
      <c r="BO229" s="1447"/>
      <c r="BP229" s="1448"/>
    </row>
    <row r="230">
      <c r="A230" s="1453"/>
      <c r="B230" s="1454"/>
      <c r="C230" s="1454"/>
      <c r="D230" s="1453"/>
      <c r="E230" s="1453"/>
      <c r="F230" s="1453"/>
      <c r="G230" s="1455"/>
      <c r="H230" s="1455"/>
      <c r="I230" s="1456"/>
      <c r="J230" s="1457"/>
      <c r="K230" s="1458"/>
      <c r="L230" s="1459"/>
      <c r="M230" s="1459"/>
      <c r="N230" s="1460"/>
      <c r="O230" s="1460"/>
      <c r="P230" s="1461"/>
      <c r="Q230" s="1461"/>
      <c r="R230" s="1462"/>
      <c r="S230" s="1463"/>
      <c r="T230" s="1464"/>
      <c r="U230" s="1453"/>
      <c r="V230" s="1453"/>
      <c r="W230" s="1453"/>
      <c r="X230" s="1453"/>
      <c r="Y230" s="1453"/>
      <c r="Z230" s="1453"/>
      <c r="AA230" s="1453"/>
      <c r="AB230" s="1453"/>
      <c r="AC230" s="1453"/>
      <c r="AD230" s="1453"/>
      <c r="AE230" s="1453"/>
      <c r="AF230" s="1453"/>
      <c r="AG230" s="1453"/>
      <c r="AH230" s="1453"/>
      <c r="AI230" s="1453"/>
      <c r="AJ230" s="1453"/>
      <c r="AK230" s="1465"/>
      <c r="AL230" s="1435"/>
      <c r="AM230" s="1436"/>
      <c r="AN230" s="1437"/>
      <c r="AO230" s="1438"/>
      <c r="AP230" s="1439"/>
      <c r="AQ230" s="1440"/>
      <c r="AR230" s="1441"/>
      <c r="AS230" s="1442"/>
      <c r="AT230" s="1443"/>
      <c r="AU230" s="1444"/>
      <c r="AV230" s="1442"/>
      <c r="AW230" s="1445"/>
      <c r="AX230" s="1446"/>
      <c r="AY230" s="1446"/>
      <c r="AZ230" s="1446"/>
      <c r="BA230" s="1447"/>
      <c r="BB230" s="1447"/>
      <c r="BC230" s="1446"/>
      <c r="BD230" s="1448"/>
      <c r="BE230" s="1442"/>
      <c r="BF230" s="1447"/>
      <c r="BG230" s="1449"/>
      <c r="BH230" s="1447"/>
      <c r="BI230" s="1447"/>
      <c r="BJ230" s="1449"/>
      <c r="BK230" s="1447"/>
      <c r="BL230" s="1447"/>
      <c r="BM230" s="1449"/>
      <c r="BN230" s="1447"/>
      <c r="BO230" s="1447"/>
      <c r="BP230" s="1448"/>
    </row>
    <row r="231">
      <c r="A231" s="1453"/>
      <c r="B231" s="1454"/>
      <c r="C231" s="1454"/>
      <c r="D231" s="1453"/>
      <c r="E231" s="1453"/>
      <c r="F231" s="1453"/>
      <c r="G231" s="1455"/>
      <c r="H231" s="1455"/>
      <c r="I231" s="1456"/>
      <c r="J231" s="1457"/>
      <c r="K231" s="1458"/>
      <c r="L231" s="1459"/>
      <c r="M231" s="1459"/>
      <c r="N231" s="1460"/>
      <c r="O231" s="1460"/>
      <c r="P231" s="1461"/>
      <c r="Q231" s="1461"/>
      <c r="R231" s="1462"/>
      <c r="S231" s="1463"/>
      <c r="T231" s="1464"/>
      <c r="U231" s="1453"/>
      <c r="V231" s="1453"/>
      <c r="W231" s="1453"/>
      <c r="X231" s="1453"/>
      <c r="Y231" s="1453"/>
      <c r="Z231" s="1453"/>
      <c r="AA231" s="1453"/>
      <c r="AB231" s="1453"/>
      <c r="AC231" s="1453"/>
      <c r="AD231" s="1453"/>
      <c r="AE231" s="1453"/>
      <c r="AF231" s="1453"/>
      <c r="AG231" s="1453"/>
      <c r="AH231" s="1453"/>
      <c r="AI231" s="1453"/>
      <c r="AJ231" s="1453"/>
      <c r="AK231" s="1465"/>
      <c r="AL231" s="1435"/>
      <c r="AM231" s="1436"/>
      <c r="AN231" s="1437"/>
      <c r="AO231" s="1438"/>
      <c r="AP231" s="1439"/>
      <c r="AQ231" s="1440"/>
      <c r="AR231" s="1441"/>
      <c r="AS231" s="1442"/>
      <c r="AT231" s="1443"/>
      <c r="AU231" s="1444"/>
      <c r="AV231" s="1442"/>
      <c r="AW231" s="1445"/>
      <c r="AX231" s="1446"/>
      <c r="AY231" s="1446"/>
      <c r="AZ231" s="1446"/>
      <c r="BA231" s="1447"/>
      <c r="BB231" s="1447"/>
      <c r="BC231" s="1446"/>
      <c r="BD231" s="1448"/>
      <c r="BE231" s="1442"/>
      <c r="BF231" s="1447"/>
      <c r="BG231" s="1449"/>
      <c r="BH231" s="1447"/>
      <c r="BI231" s="1447"/>
      <c r="BJ231" s="1449"/>
      <c r="BK231" s="1447"/>
      <c r="BL231" s="1447"/>
      <c r="BM231" s="1449"/>
      <c r="BN231" s="1447"/>
      <c r="BO231" s="1447"/>
      <c r="BP231" s="1448"/>
    </row>
    <row r="232">
      <c r="A232" s="1453"/>
      <c r="B232" s="1454"/>
      <c r="C232" s="1454"/>
      <c r="D232" s="1453"/>
      <c r="E232" s="1453"/>
      <c r="F232" s="1453"/>
      <c r="G232" s="1455"/>
      <c r="H232" s="1455"/>
      <c r="I232" s="1456"/>
      <c r="J232" s="1457"/>
      <c r="K232" s="1458"/>
      <c r="L232" s="1459"/>
      <c r="M232" s="1459"/>
      <c r="N232" s="1460"/>
      <c r="O232" s="1460"/>
      <c r="P232" s="1461"/>
      <c r="Q232" s="1461"/>
      <c r="R232" s="1462"/>
      <c r="S232" s="1463"/>
      <c r="T232" s="1464"/>
      <c r="U232" s="1453"/>
      <c r="V232" s="1453"/>
      <c r="W232" s="1453"/>
      <c r="X232" s="1453"/>
      <c r="Y232" s="1453"/>
      <c r="Z232" s="1453"/>
      <c r="AA232" s="1453"/>
      <c r="AB232" s="1453"/>
      <c r="AC232" s="1453"/>
      <c r="AD232" s="1453"/>
      <c r="AE232" s="1453"/>
      <c r="AF232" s="1453"/>
      <c r="AG232" s="1453"/>
      <c r="AH232" s="1453"/>
      <c r="AI232" s="1453"/>
      <c r="AJ232" s="1453"/>
      <c r="AK232" s="1465"/>
      <c r="AL232" s="1435"/>
      <c r="AM232" s="1436"/>
      <c r="AN232" s="1437"/>
      <c r="AO232" s="1438"/>
      <c r="AP232" s="1439"/>
      <c r="AQ232" s="1440"/>
      <c r="AR232" s="1441"/>
      <c r="AS232" s="1442"/>
      <c r="AT232" s="1443"/>
      <c r="AU232" s="1444"/>
      <c r="AV232" s="1442"/>
      <c r="AW232" s="1445"/>
      <c r="AX232" s="1446"/>
      <c r="AY232" s="1446"/>
      <c r="AZ232" s="1446"/>
      <c r="BA232" s="1447"/>
      <c r="BB232" s="1447"/>
      <c r="BC232" s="1446"/>
      <c r="BD232" s="1448"/>
      <c r="BE232" s="1442"/>
      <c r="BF232" s="1447"/>
      <c r="BG232" s="1449"/>
      <c r="BH232" s="1447"/>
      <c r="BI232" s="1447"/>
      <c r="BJ232" s="1449"/>
      <c r="BK232" s="1447"/>
      <c r="BL232" s="1447"/>
      <c r="BM232" s="1449"/>
      <c r="BN232" s="1447"/>
      <c r="BO232" s="1447"/>
      <c r="BP232" s="1448"/>
    </row>
    <row r="233">
      <c r="A233" s="1453"/>
      <c r="B233" s="1454"/>
      <c r="C233" s="1454"/>
      <c r="D233" s="1453"/>
      <c r="E233" s="1453"/>
      <c r="F233" s="1453"/>
      <c r="G233" s="1455"/>
      <c r="H233" s="1455"/>
      <c r="I233" s="1456"/>
      <c r="J233" s="1457"/>
      <c r="K233" s="1458"/>
      <c r="L233" s="1459"/>
      <c r="M233" s="1459"/>
      <c r="N233" s="1460"/>
      <c r="O233" s="1460"/>
      <c r="P233" s="1461"/>
      <c r="Q233" s="1461"/>
      <c r="R233" s="1462"/>
      <c r="S233" s="1463"/>
      <c r="T233" s="1464"/>
      <c r="U233" s="1453"/>
      <c r="V233" s="1453"/>
      <c r="W233" s="1453"/>
      <c r="X233" s="1453"/>
      <c r="Y233" s="1453"/>
      <c r="Z233" s="1453"/>
      <c r="AA233" s="1453"/>
      <c r="AB233" s="1453"/>
      <c r="AC233" s="1453"/>
      <c r="AD233" s="1453"/>
      <c r="AE233" s="1453"/>
      <c r="AF233" s="1453"/>
      <c r="AG233" s="1453"/>
      <c r="AH233" s="1453"/>
      <c r="AI233" s="1453"/>
      <c r="AJ233" s="1453"/>
      <c r="AK233" s="1465"/>
      <c r="AL233" s="1435"/>
      <c r="AM233" s="1436"/>
      <c r="AN233" s="1437"/>
      <c r="AO233" s="1438"/>
      <c r="AP233" s="1439"/>
      <c r="AQ233" s="1440"/>
      <c r="AR233" s="1441"/>
      <c r="AS233" s="1442"/>
      <c r="AT233" s="1443"/>
      <c r="AU233" s="1444"/>
      <c r="AV233" s="1442"/>
      <c r="AW233" s="1445"/>
      <c r="AX233" s="1446"/>
      <c r="AY233" s="1446"/>
      <c r="AZ233" s="1446"/>
      <c r="BA233" s="1447"/>
      <c r="BB233" s="1447"/>
      <c r="BC233" s="1446"/>
      <c r="BD233" s="1448"/>
      <c r="BE233" s="1442"/>
      <c r="BF233" s="1447"/>
      <c r="BG233" s="1449"/>
      <c r="BH233" s="1447"/>
      <c r="BI233" s="1447"/>
      <c r="BJ233" s="1449"/>
      <c r="BK233" s="1447"/>
      <c r="BL233" s="1447"/>
      <c r="BM233" s="1449"/>
      <c r="BN233" s="1447"/>
      <c r="BO233" s="1447"/>
      <c r="BP233" s="1448"/>
    </row>
    <row r="234">
      <c r="A234" s="1453"/>
      <c r="B234" s="1454"/>
      <c r="C234" s="1454"/>
      <c r="D234" s="1453"/>
      <c r="E234" s="1453"/>
      <c r="F234" s="1453"/>
      <c r="G234" s="1455"/>
      <c r="H234" s="1455"/>
      <c r="I234" s="1456"/>
      <c r="J234" s="1457"/>
      <c r="K234" s="1458"/>
      <c r="L234" s="1459"/>
      <c r="M234" s="1459"/>
      <c r="N234" s="1460"/>
      <c r="O234" s="1460"/>
      <c r="P234" s="1461"/>
      <c r="Q234" s="1461"/>
      <c r="R234" s="1462"/>
      <c r="S234" s="1463"/>
      <c r="T234" s="1464"/>
      <c r="U234" s="1453"/>
      <c r="V234" s="1453"/>
      <c r="W234" s="1453"/>
      <c r="X234" s="1453"/>
      <c r="Y234" s="1453"/>
      <c r="Z234" s="1453"/>
      <c r="AA234" s="1453"/>
      <c r="AB234" s="1453"/>
      <c r="AC234" s="1453"/>
      <c r="AD234" s="1453"/>
      <c r="AE234" s="1453"/>
      <c r="AF234" s="1453"/>
      <c r="AG234" s="1453"/>
      <c r="AH234" s="1453"/>
      <c r="AI234" s="1453"/>
      <c r="AJ234" s="1453"/>
      <c r="AK234" s="1465"/>
      <c r="AL234" s="1435"/>
      <c r="AM234" s="1436"/>
      <c r="AN234" s="1437"/>
      <c r="AO234" s="1438"/>
      <c r="AP234" s="1439"/>
      <c r="AQ234" s="1440"/>
      <c r="AR234" s="1441"/>
      <c r="AS234" s="1442"/>
      <c r="AT234" s="1443"/>
      <c r="AU234" s="1444"/>
      <c r="AV234" s="1442"/>
      <c r="AW234" s="1445"/>
      <c r="AX234" s="1446"/>
      <c r="AY234" s="1446"/>
      <c r="AZ234" s="1446"/>
      <c r="BA234" s="1447"/>
      <c r="BB234" s="1447"/>
      <c r="BC234" s="1446"/>
      <c r="BD234" s="1448"/>
      <c r="BE234" s="1442"/>
      <c r="BF234" s="1447"/>
      <c r="BG234" s="1449"/>
      <c r="BH234" s="1447"/>
      <c r="BI234" s="1447"/>
      <c r="BJ234" s="1449"/>
      <c r="BK234" s="1447"/>
      <c r="BL234" s="1447"/>
      <c r="BM234" s="1449"/>
      <c r="BN234" s="1447"/>
      <c r="BO234" s="1447"/>
      <c r="BP234" s="1448"/>
    </row>
    <row r="235">
      <c r="A235" s="1453"/>
      <c r="B235" s="1454"/>
      <c r="C235" s="1454"/>
      <c r="D235" s="1453"/>
      <c r="E235" s="1453"/>
      <c r="F235" s="1453"/>
      <c r="G235" s="1455"/>
      <c r="H235" s="1455"/>
      <c r="I235" s="1456"/>
      <c r="J235" s="1457"/>
      <c r="K235" s="1458"/>
      <c r="L235" s="1459"/>
      <c r="M235" s="1459"/>
      <c r="N235" s="1460"/>
      <c r="O235" s="1460"/>
      <c r="P235" s="1461"/>
      <c r="Q235" s="1461"/>
      <c r="R235" s="1462"/>
      <c r="S235" s="1463"/>
      <c r="T235" s="1464"/>
      <c r="U235" s="1453"/>
      <c r="V235" s="1453"/>
      <c r="W235" s="1453"/>
      <c r="X235" s="1453"/>
      <c r="Y235" s="1453"/>
      <c r="Z235" s="1453"/>
      <c r="AA235" s="1453"/>
      <c r="AB235" s="1453"/>
      <c r="AC235" s="1453"/>
      <c r="AD235" s="1453"/>
      <c r="AE235" s="1453"/>
      <c r="AF235" s="1453"/>
      <c r="AG235" s="1453"/>
      <c r="AH235" s="1453"/>
      <c r="AI235" s="1453"/>
      <c r="AJ235" s="1453"/>
      <c r="AK235" s="1465"/>
      <c r="AL235" s="1435"/>
      <c r="AM235" s="1436"/>
      <c r="AN235" s="1437"/>
      <c r="AO235" s="1438"/>
      <c r="AP235" s="1439"/>
      <c r="AQ235" s="1440"/>
      <c r="AR235" s="1441"/>
      <c r="AS235" s="1442"/>
      <c r="AT235" s="1443"/>
      <c r="AU235" s="1444"/>
      <c r="AV235" s="1442"/>
      <c r="AW235" s="1445"/>
      <c r="AX235" s="1446"/>
      <c r="AY235" s="1446"/>
      <c r="AZ235" s="1446"/>
      <c r="BA235" s="1447"/>
      <c r="BB235" s="1447"/>
      <c r="BC235" s="1446"/>
      <c r="BD235" s="1448"/>
      <c r="BE235" s="1442"/>
      <c r="BF235" s="1447"/>
      <c r="BG235" s="1449"/>
      <c r="BH235" s="1447"/>
      <c r="BI235" s="1447"/>
      <c r="BJ235" s="1449"/>
      <c r="BK235" s="1447"/>
      <c r="BL235" s="1447"/>
      <c r="BM235" s="1449"/>
      <c r="BN235" s="1447"/>
      <c r="BO235" s="1447"/>
      <c r="BP235" s="1448"/>
    </row>
    <row r="236">
      <c r="A236" s="1453"/>
      <c r="B236" s="1454"/>
      <c r="C236" s="1454"/>
      <c r="D236" s="1453"/>
      <c r="E236" s="1453"/>
      <c r="F236" s="1453"/>
      <c r="G236" s="1455"/>
      <c r="H236" s="1455"/>
      <c r="I236" s="1456"/>
      <c r="J236" s="1457"/>
      <c r="K236" s="1458"/>
      <c r="L236" s="1459"/>
      <c r="M236" s="1459"/>
      <c r="N236" s="1460"/>
      <c r="O236" s="1460"/>
      <c r="P236" s="1461"/>
      <c r="Q236" s="1461"/>
      <c r="R236" s="1462"/>
      <c r="S236" s="1463"/>
      <c r="T236" s="1464"/>
      <c r="U236" s="1453"/>
      <c r="V236" s="1453"/>
      <c r="W236" s="1453"/>
      <c r="X236" s="1453"/>
      <c r="Y236" s="1453"/>
      <c r="Z236" s="1453"/>
      <c r="AA236" s="1453"/>
      <c r="AB236" s="1453"/>
      <c r="AC236" s="1453"/>
      <c r="AD236" s="1453"/>
      <c r="AE236" s="1453"/>
      <c r="AF236" s="1453"/>
      <c r="AG236" s="1453"/>
      <c r="AH236" s="1453"/>
      <c r="AI236" s="1453"/>
      <c r="AJ236" s="1453"/>
      <c r="AK236" s="1465"/>
      <c r="AL236" s="1435"/>
      <c r="AM236" s="1436"/>
      <c r="AN236" s="1437"/>
      <c r="AO236" s="1438"/>
      <c r="AP236" s="1439"/>
      <c r="AQ236" s="1440"/>
      <c r="AR236" s="1441"/>
      <c r="AS236" s="1442"/>
      <c r="AT236" s="1443"/>
      <c r="AU236" s="1444"/>
      <c r="AV236" s="1442"/>
      <c r="AW236" s="1445"/>
      <c r="AX236" s="1446"/>
      <c r="AY236" s="1446"/>
      <c r="AZ236" s="1446"/>
      <c r="BA236" s="1447"/>
      <c r="BB236" s="1447"/>
      <c r="BC236" s="1446"/>
      <c r="BD236" s="1448"/>
      <c r="BE236" s="1442"/>
      <c r="BF236" s="1447"/>
      <c r="BG236" s="1449"/>
      <c r="BH236" s="1447"/>
      <c r="BI236" s="1447"/>
      <c r="BJ236" s="1449"/>
      <c r="BK236" s="1447"/>
      <c r="BL236" s="1447"/>
      <c r="BM236" s="1449"/>
      <c r="BN236" s="1447"/>
      <c r="BO236" s="1447"/>
      <c r="BP236" s="1448"/>
    </row>
    <row r="237">
      <c r="A237" s="1453"/>
      <c r="B237" s="1454"/>
      <c r="C237" s="1454"/>
      <c r="D237" s="1453"/>
      <c r="E237" s="1453"/>
      <c r="F237" s="1453"/>
      <c r="G237" s="1455"/>
      <c r="H237" s="1455"/>
      <c r="I237" s="1456"/>
      <c r="J237" s="1457"/>
      <c r="K237" s="1458"/>
      <c r="L237" s="1459"/>
      <c r="M237" s="1459"/>
      <c r="N237" s="1460"/>
      <c r="O237" s="1460"/>
      <c r="P237" s="1461"/>
      <c r="Q237" s="1461"/>
      <c r="R237" s="1462"/>
      <c r="S237" s="1463"/>
      <c r="T237" s="1464"/>
      <c r="U237" s="1453"/>
      <c r="V237" s="1453"/>
      <c r="W237" s="1453"/>
      <c r="X237" s="1453"/>
      <c r="Y237" s="1453"/>
      <c r="Z237" s="1453"/>
      <c r="AA237" s="1453"/>
      <c r="AB237" s="1453"/>
      <c r="AC237" s="1453"/>
      <c r="AD237" s="1453"/>
      <c r="AE237" s="1453"/>
      <c r="AF237" s="1453"/>
      <c r="AG237" s="1453"/>
      <c r="AH237" s="1453"/>
      <c r="AI237" s="1453"/>
      <c r="AJ237" s="1453"/>
      <c r="AK237" s="1465"/>
      <c r="AL237" s="1435"/>
      <c r="AM237" s="1436"/>
      <c r="AN237" s="1437"/>
      <c r="AO237" s="1438"/>
      <c r="AP237" s="1439"/>
      <c r="AQ237" s="1440"/>
      <c r="AR237" s="1441"/>
      <c r="AS237" s="1442"/>
      <c r="AT237" s="1443"/>
      <c r="AU237" s="1444"/>
      <c r="AV237" s="1442"/>
      <c r="AW237" s="1445"/>
      <c r="AX237" s="1446"/>
      <c r="AY237" s="1446"/>
      <c r="AZ237" s="1446"/>
      <c r="BA237" s="1447"/>
      <c r="BB237" s="1447"/>
      <c r="BC237" s="1446"/>
      <c r="BD237" s="1448"/>
      <c r="BE237" s="1442"/>
      <c r="BF237" s="1447"/>
      <c r="BG237" s="1449"/>
      <c r="BH237" s="1447"/>
      <c r="BI237" s="1447"/>
      <c r="BJ237" s="1449"/>
      <c r="BK237" s="1447"/>
      <c r="BL237" s="1447"/>
      <c r="BM237" s="1449"/>
      <c r="BN237" s="1447"/>
      <c r="BO237" s="1447"/>
      <c r="BP237" s="1448"/>
    </row>
    <row r="238">
      <c r="A238" s="1453"/>
      <c r="B238" s="1454"/>
      <c r="C238" s="1454"/>
      <c r="D238" s="1453"/>
      <c r="E238" s="1453"/>
      <c r="F238" s="1453"/>
      <c r="G238" s="1455"/>
      <c r="H238" s="1455"/>
      <c r="I238" s="1456"/>
      <c r="J238" s="1457"/>
      <c r="K238" s="1458"/>
      <c r="L238" s="1459"/>
      <c r="M238" s="1459"/>
      <c r="N238" s="1460"/>
      <c r="O238" s="1460"/>
      <c r="P238" s="1461"/>
      <c r="Q238" s="1461"/>
      <c r="R238" s="1462"/>
      <c r="S238" s="1463"/>
      <c r="T238" s="1464"/>
      <c r="U238" s="1453"/>
      <c r="V238" s="1453"/>
      <c r="W238" s="1453"/>
      <c r="X238" s="1453"/>
      <c r="Y238" s="1453"/>
      <c r="Z238" s="1453"/>
      <c r="AA238" s="1453"/>
      <c r="AB238" s="1453"/>
      <c r="AC238" s="1453"/>
      <c r="AD238" s="1453"/>
      <c r="AE238" s="1453"/>
      <c r="AF238" s="1453"/>
      <c r="AG238" s="1453"/>
      <c r="AH238" s="1453"/>
      <c r="AI238" s="1453"/>
      <c r="AJ238" s="1453"/>
      <c r="AK238" s="1465"/>
      <c r="AL238" s="1435"/>
      <c r="AM238" s="1436"/>
      <c r="AN238" s="1437"/>
      <c r="AO238" s="1438"/>
      <c r="AP238" s="1439"/>
      <c r="AQ238" s="1440"/>
      <c r="AR238" s="1441"/>
      <c r="AS238" s="1442"/>
      <c r="AT238" s="1443"/>
      <c r="AU238" s="1444"/>
      <c r="AV238" s="1442"/>
      <c r="AW238" s="1445"/>
      <c r="AX238" s="1446"/>
      <c r="AY238" s="1446"/>
      <c r="AZ238" s="1446"/>
      <c r="BA238" s="1447"/>
      <c r="BB238" s="1447"/>
      <c r="BC238" s="1446"/>
      <c r="BD238" s="1448"/>
      <c r="BE238" s="1442"/>
      <c r="BF238" s="1447"/>
      <c r="BG238" s="1449"/>
      <c r="BH238" s="1447"/>
      <c r="BI238" s="1447"/>
      <c r="BJ238" s="1449"/>
      <c r="BK238" s="1447"/>
      <c r="BL238" s="1447"/>
      <c r="BM238" s="1449"/>
      <c r="BN238" s="1447"/>
      <c r="BO238" s="1447"/>
      <c r="BP238" s="1448"/>
    </row>
    <row r="239">
      <c r="A239" s="1453"/>
      <c r="B239" s="1454"/>
      <c r="C239" s="1454"/>
      <c r="D239" s="1453"/>
      <c r="E239" s="1453"/>
      <c r="F239" s="1453"/>
      <c r="G239" s="1455"/>
      <c r="H239" s="1455"/>
      <c r="I239" s="1456"/>
      <c r="J239" s="1457"/>
      <c r="K239" s="1458"/>
      <c r="L239" s="1459"/>
      <c r="M239" s="1459"/>
      <c r="N239" s="1460"/>
      <c r="O239" s="1460"/>
      <c r="P239" s="1461"/>
      <c r="Q239" s="1461"/>
      <c r="R239" s="1462"/>
      <c r="S239" s="1463"/>
      <c r="T239" s="1464"/>
      <c r="U239" s="1453"/>
      <c r="V239" s="1453"/>
      <c r="W239" s="1453"/>
      <c r="X239" s="1453"/>
      <c r="Y239" s="1453"/>
      <c r="Z239" s="1453"/>
      <c r="AA239" s="1453"/>
      <c r="AB239" s="1453"/>
      <c r="AC239" s="1453"/>
      <c r="AD239" s="1453"/>
      <c r="AE239" s="1453"/>
      <c r="AF239" s="1453"/>
      <c r="AG239" s="1453"/>
      <c r="AH239" s="1453"/>
      <c r="AI239" s="1453"/>
      <c r="AJ239" s="1453"/>
      <c r="AK239" s="1465"/>
      <c r="AL239" s="1435"/>
      <c r="AM239" s="1436"/>
      <c r="AN239" s="1437"/>
      <c r="AO239" s="1438"/>
      <c r="AP239" s="1439"/>
      <c r="AQ239" s="1440"/>
      <c r="AR239" s="1441"/>
      <c r="AS239" s="1442"/>
      <c r="AT239" s="1443"/>
      <c r="AU239" s="1444"/>
      <c r="AV239" s="1442"/>
      <c r="AW239" s="1445"/>
      <c r="AX239" s="1446"/>
      <c r="AY239" s="1446"/>
      <c r="AZ239" s="1446"/>
      <c r="BA239" s="1447"/>
      <c r="BB239" s="1447"/>
      <c r="BC239" s="1446"/>
      <c r="BD239" s="1448"/>
      <c r="BE239" s="1442"/>
      <c r="BF239" s="1447"/>
      <c r="BG239" s="1449"/>
      <c r="BH239" s="1447"/>
      <c r="BI239" s="1447"/>
      <c r="BJ239" s="1449"/>
      <c r="BK239" s="1447"/>
      <c r="BL239" s="1447"/>
      <c r="BM239" s="1449"/>
      <c r="BN239" s="1447"/>
      <c r="BO239" s="1447"/>
      <c r="BP239" s="1448"/>
    </row>
    <row r="240">
      <c r="A240" s="1453"/>
      <c r="B240" s="1454"/>
      <c r="C240" s="1454"/>
      <c r="D240" s="1453"/>
      <c r="E240" s="1453"/>
      <c r="F240" s="1453"/>
      <c r="G240" s="1455"/>
      <c r="H240" s="1455"/>
      <c r="I240" s="1456"/>
      <c r="J240" s="1457"/>
      <c r="K240" s="1458"/>
      <c r="L240" s="1459"/>
      <c r="M240" s="1459"/>
      <c r="N240" s="1460"/>
      <c r="O240" s="1460"/>
      <c r="P240" s="1461"/>
      <c r="Q240" s="1461"/>
      <c r="R240" s="1462"/>
      <c r="S240" s="1463"/>
      <c r="T240" s="1464"/>
      <c r="U240" s="1453"/>
      <c r="V240" s="1453"/>
      <c r="W240" s="1453"/>
      <c r="X240" s="1453"/>
      <c r="Y240" s="1453"/>
      <c r="Z240" s="1453"/>
      <c r="AA240" s="1453"/>
      <c r="AB240" s="1453"/>
      <c r="AC240" s="1453"/>
      <c r="AD240" s="1453"/>
      <c r="AE240" s="1453"/>
      <c r="AF240" s="1453"/>
      <c r="AG240" s="1453"/>
      <c r="AH240" s="1453"/>
      <c r="AI240" s="1453"/>
      <c r="AJ240" s="1453"/>
      <c r="AK240" s="1465"/>
      <c r="AL240" s="1435"/>
      <c r="AM240" s="1436"/>
      <c r="AN240" s="1437"/>
      <c r="AO240" s="1438"/>
      <c r="AP240" s="1439"/>
      <c r="AQ240" s="1440"/>
      <c r="AR240" s="1441"/>
      <c r="AS240" s="1442"/>
      <c r="AT240" s="1443"/>
      <c r="AU240" s="1444"/>
      <c r="AV240" s="1442"/>
      <c r="AW240" s="1445"/>
      <c r="AX240" s="1446"/>
      <c r="AY240" s="1446"/>
      <c r="AZ240" s="1446"/>
      <c r="BA240" s="1447"/>
      <c r="BB240" s="1447"/>
      <c r="BC240" s="1446"/>
      <c r="BD240" s="1448"/>
      <c r="BE240" s="1442"/>
      <c r="BF240" s="1447"/>
      <c r="BG240" s="1449"/>
      <c r="BH240" s="1447"/>
      <c r="BI240" s="1447"/>
      <c r="BJ240" s="1449"/>
      <c r="BK240" s="1447"/>
      <c r="BL240" s="1447"/>
      <c r="BM240" s="1449"/>
      <c r="BN240" s="1447"/>
      <c r="BO240" s="1447"/>
      <c r="BP240" s="1448"/>
    </row>
    <row r="241">
      <c r="A241" s="1453"/>
      <c r="B241" s="1454"/>
      <c r="C241" s="1454"/>
      <c r="D241" s="1453"/>
      <c r="E241" s="1453"/>
      <c r="F241" s="1453"/>
      <c r="G241" s="1455"/>
      <c r="H241" s="1455"/>
      <c r="I241" s="1456"/>
      <c r="J241" s="1457"/>
      <c r="K241" s="1458"/>
      <c r="L241" s="1459"/>
      <c r="M241" s="1459"/>
      <c r="N241" s="1460"/>
      <c r="O241" s="1460"/>
      <c r="P241" s="1461"/>
      <c r="Q241" s="1461"/>
      <c r="R241" s="1462"/>
      <c r="S241" s="1463"/>
      <c r="T241" s="1464"/>
      <c r="U241" s="1453"/>
      <c r="V241" s="1453"/>
      <c r="W241" s="1453"/>
      <c r="X241" s="1453"/>
      <c r="Y241" s="1453"/>
      <c r="Z241" s="1453"/>
      <c r="AA241" s="1453"/>
      <c r="AB241" s="1453"/>
      <c r="AC241" s="1453"/>
      <c r="AD241" s="1453"/>
      <c r="AE241" s="1453"/>
      <c r="AF241" s="1453"/>
      <c r="AG241" s="1453"/>
      <c r="AH241" s="1453"/>
      <c r="AI241" s="1453"/>
      <c r="AJ241" s="1453"/>
      <c r="AK241" s="1465"/>
      <c r="AL241" s="1435"/>
      <c r="AM241" s="1436"/>
      <c r="AN241" s="1437"/>
      <c r="AO241" s="1438"/>
      <c r="AP241" s="1439"/>
      <c r="AQ241" s="1440"/>
      <c r="AR241" s="1441"/>
      <c r="AS241" s="1442"/>
      <c r="AT241" s="1443"/>
      <c r="AU241" s="1444"/>
      <c r="AV241" s="1442"/>
      <c r="AW241" s="1445"/>
      <c r="AX241" s="1446"/>
      <c r="AY241" s="1446"/>
      <c r="AZ241" s="1446"/>
      <c r="BA241" s="1447"/>
      <c r="BB241" s="1447"/>
      <c r="BC241" s="1446"/>
      <c r="BD241" s="1448"/>
      <c r="BE241" s="1442"/>
      <c r="BF241" s="1447"/>
      <c r="BG241" s="1449"/>
      <c r="BH241" s="1447"/>
      <c r="BI241" s="1447"/>
      <c r="BJ241" s="1449"/>
      <c r="BK241" s="1447"/>
      <c r="BL241" s="1447"/>
      <c r="BM241" s="1449"/>
      <c r="BN241" s="1447"/>
      <c r="BO241" s="1447"/>
      <c r="BP241" s="1448"/>
    </row>
    <row r="242">
      <c r="A242" s="1453"/>
      <c r="B242" s="1454"/>
      <c r="C242" s="1454"/>
      <c r="D242" s="1453"/>
      <c r="E242" s="1453"/>
      <c r="F242" s="1453"/>
      <c r="G242" s="1455"/>
      <c r="H242" s="1455"/>
      <c r="I242" s="1456"/>
      <c r="J242" s="1457"/>
      <c r="K242" s="1458"/>
      <c r="L242" s="1459"/>
      <c r="M242" s="1459"/>
      <c r="N242" s="1460"/>
      <c r="O242" s="1460"/>
      <c r="P242" s="1461"/>
      <c r="Q242" s="1461"/>
      <c r="R242" s="1462"/>
      <c r="S242" s="1463"/>
      <c r="T242" s="1464"/>
      <c r="U242" s="1453"/>
      <c r="V242" s="1453"/>
      <c r="W242" s="1453"/>
      <c r="X242" s="1453"/>
      <c r="Y242" s="1453"/>
      <c r="Z242" s="1453"/>
      <c r="AA242" s="1453"/>
      <c r="AB242" s="1453"/>
      <c r="AC242" s="1453"/>
      <c r="AD242" s="1453"/>
      <c r="AE242" s="1453"/>
      <c r="AF242" s="1453"/>
      <c r="AG242" s="1453"/>
      <c r="AH242" s="1453"/>
      <c r="AI242" s="1453"/>
      <c r="AJ242" s="1453"/>
      <c r="AK242" s="1465"/>
      <c r="AL242" s="1435"/>
      <c r="AM242" s="1436"/>
      <c r="AN242" s="1437"/>
      <c r="AO242" s="1438"/>
      <c r="AP242" s="1439"/>
      <c r="AQ242" s="1440"/>
      <c r="AR242" s="1441"/>
      <c r="AS242" s="1442"/>
      <c r="AT242" s="1443"/>
      <c r="AU242" s="1444"/>
      <c r="AV242" s="1442"/>
      <c r="AW242" s="1445"/>
      <c r="AX242" s="1446"/>
      <c r="AY242" s="1446"/>
      <c r="AZ242" s="1446"/>
      <c r="BA242" s="1447"/>
      <c r="BB242" s="1447"/>
      <c r="BC242" s="1446"/>
      <c r="BD242" s="1448"/>
      <c r="BE242" s="1442"/>
      <c r="BF242" s="1447"/>
      <c r="BG242" s="1449"/>
      <c r="BH242" s="1447"/>
      <c r="BI242" s="1447"/>
      <c r="BJ242" s="1449"/>
      <c r="BK242" s="1447"/>
      <c r="BL242" s="1447"/>
      <c r="BM242" s="1449"/>
      <c r="BN242" s="1447"/>
      <c r="BO242" s="1447"/>
      <c r="BP242" s="1448"/>
    </row>
    <row r="243">
      <c r="A243" s="1453"/>
      <c r="B243" s="1454"/>
      <c r="C243" s="1454"/>
      <c r="D243" s="1453"/>
      <c r="E243" s="1453"/>
      <c r="F243" s="1453"/>
      <c r="G243" s="1455"/>
      <c r="H243" s="1455"/>
      <c r="I243" s="1456"/>
      <c r="J243" s="1457"/>
      <c r="K243" s="1458"/>
      <c r="L243" s="1459"/>
      <c r="M243" s="1459"/>
      <c r="N243" s="1460"/>
      <c r="O243" s="1460"/>
      <c r="P243" s="1461"/>
      <c r="Q243" s="1461"/>
      <c r="R243" s="1462"/>
      <c r="S243" s="1463"/>
      <c r="T243" s="1464"/>
      <c r="U243" s="1453"/>
      <c r="V243" s="1453"/>
      <c r="W243" s="1453"/>
      <c r="X243" s="1453"/>
      <c r="Y243" s="1453"/>
      <c r="Z243" s="1453"/>
      <c r="AA243" s="1453"/>
      <c r="AB243" s="1453"/>
      <c r="AC243" s="1453"/>
      <c r="AD243" s="1453"/>
      <c r="AE243" s="1453"/>
      <c r="AF243" s="1453"/>
      <c r="AG243" s="1453"/>
      <c r="AH243" s="1453"/>
      <c r="AI243" s="1453"/>
      <c r="AJ243" s="1453"/>
      <c r="AK243" s="1465"/>
      <c r="AL243" s="1435"/>
      <c r="AM243" s="1436"/>
      <c r="AN243" s="1437"/>
      <c r="AO243" s="1438"/>
      <c r="AP243" s="1439"/>
      <c r="AQ243" s="1440"/>
      <c r="AR243" s="1441"/>
      <c r="AS243" s="1442"/>
      <c r="AT243" s="1443"/>
      <c r="AU243" s="1444"/>
      <c r="AV243" s="1442"/>
      <c r="AW243" s="1445"/>
      <c r="AX243" s="1446"/>
      <c r="AY243" s="1446"/>
      <c r="AZ243" s="1446"/>
      <c r="BA243" s="1447"/>
      <c r="BB243" s="1447"/>
      <c r="BC243" s="1446"/>
      <c r="BD243" s="1448"/>
      <c r="BE243" s="1442"/>
      <c r="BF243" s="1447"/>
      <c r="BG243" s="1449"/>
      <c r="BH243" s="1447"/>
      <c r="BI243" s="1447"/>
      <c r="BJ243" s="1449"/>
      <c r="BK243" s="1447"/>
      <c r="BL243" s="1447"/>
      <c r="BM243" s="1449"/>
      <c r="BN243" s="1447"/>
      <c r="BO243" s="1447"/>
      <c r="BP243" s="1448"/>
    </row>
    <row r="244">
      <c r="A244" s="1453"/>
      <c r="B244" s="1454"/>
      <c r="C244" s="1454"/>
      <c r="D244" s="1453"/>
      <c r="E244" s="1453"/>
      <c r="F244" s="1453"/>
      <c r="G244" s="1455"/>
      <c r="H244" s="1455"/>
      <c r="I244" s="1456"/>
      <c r="J244" s="1457"/>
      <c r="K244" s="1458"/>
      <c r="L244" s="1459"/>
      <c r="M244" s="1459"/>
      <c r="N244" s="1460"/>
      <c r="O244" s="1460"/>
      <c r="P244" s="1461"/>
      <c r="Q244" s="1461"/>
      <c r="R244" s="1462"/>
      <c r="S244" s="1463"/>
      <c r="T244" s="1464"/>
      <c r="U244" s="1453"/>
      <c r="V244" s="1453"/>
      <c r="W244" s="1453"/>
      <c r="X244" s="1453"/>
      <c r="Y244" s="1453"/>
      <c r="Z244" s="1453"/>
      <c r="AA244" s="1453"/>
      <c r="AB244" s="1453"/>
      <c r="AC244" s="1453"/>
      <c r="AD244" s="1453"/>
      <c r="AE244" s="1453"/>
      <c r="AF244" s="1453"/>
      <c r="AG244" s="1453"/>
      <c r="AH244" s="1453"/>
      <c r="AI244" s="1453"/>
      <c r="AJ244" s="1453"/>
      <c r="AK244" s="1465"/>
      <c r="AL244" s="1435"/>
      <c r="AM244" s="1436"/>
      <c r="AN244" s="1437"/>
      <c r="AO244" s="1438"/>
      <c r="AP244" s="1439"/>
      <c r="AQ244" s="1440"/>
      <c r="AR244" s="1441"/>
      <c r="AS244" s="1442"/>
      <c r="AT244" s="1443"/>
      <c r="AU244" s="1444"/>
      <c r="AV244" s="1442"/>
      <c r="AW244" s="1445"/>
      <c r="AX244" s="1446"/>
      <c r="AY244" s="1446"/>
      <c r="AZ244" s="1446"/>
      <c r="BA244" s="1447"/>
      <c r="BB244" s="1447"/>
      <c r="BC244" s="1446"/>
      <c r="BD244" s="1448"/>
      <c r="BE244" s="1442"/>
      <c r="BF244" s="1447"/>
      <c r="BG244" s="1449"/>
      <c r="BH244" s="1447"/>
      <c r="BI244" s="1447"/>
      <c r="BJ244" s="1449"/>
      <c r="BK244" s="1447"/>
      <c r="BL244" s="1447"/>
      <c r="BM244" s="1449"/>
      <c r="BN244" s="1447"/>
      <c r="BO244" s="1447"/>
      <c r="BP244" s="1448"/>
    </row>
    <row r="245">
      <c r="A245" s="1453"/>
      <c r="B245" s="1454"/>
      <c r="C245" s="1454"/>
      <c r="D245" s="1453"/>
      <c r="E245" s="1453"/>
      <c r="F245" s="1453"/>
      <c r="G245" s="1455"/>
      <c r="H245" s="1455"/>
      <c r="I245" s="1456"/>
      <c r="J245" s="1457"/>
      <c r="K245" s="1458"/>
      <c r="L245" s="1459"/>
      <c r="M245" s="1459"/>
      <c r="N245" s="1460"/>
      <c r="O245" s="1460"/>
      <c r="P245" s="1461"/>
      <c r="Q245" s="1461"/>
      <c r="R245" s="1462"/>
      <c r="S245" s="1463"/>
      <c r="T245" s="1464"/>
      <c r="U245" s="1453"/>
      <c r="V245" s="1453"/>
      <c r="W245" s="1453"/>
      <c r="X245" s="1453"/>
      <c r="Y245" s="1453"/>
      <c r="Z245" s="1453"/>
      <c r="AA245" s="1453"/>
      <c r="AB245" s="1453"/>
      <c r="AC245" s="1453"/>
      <c r="AD245" s="1453"/>
      <c r="AE245" s="1453"/>
      <c r="AF245" s="1453"/>
      <c r="AG245" s="1453"/>
      <c r="AH245" s="1453"/>
      <c r="AI245" s="1453"/>
      <c r="AJ245" s="1453"/>
      <c r="AK245" s="1465"/>
      <c r="AL245" s="1435"/>
      <c r="AM245" s="1436"/>
      <c r="AN245" s="1437"/>
      <c r="AO245" s="1438"/>
      <c r="AP245" s="1439"/>
      <c r="AQ245" s="1440"/>
      <c r="AR245" s="1441"/>
      <c r="AS245" s="1442"/>
      <c r="AT245" s="1443"/>
      <c r="AU245" s="1444"/>
      <c r="AV245" s="1442"/>
      <c r="AW245" s="1445"/>
      <c r="AX245" s="1446"/>
      <c r="AY245" s="1446"/>
      <c r="AZ245" s="1446"/>
      <c r="BA245" s="1447"/>
      <c r="BB245" s="1447"/>
      <c r="BC245" s="1446"/>
      <c r="BD245" s="1448"/>
      <c r="BE245" s="1442"/>
      <c r="BF245" s="1447"/>
      <c r="BG245" s="1449"/>
      <c r="BH245" s="1447"/>
      <c r="BI245" s="1447"/>
      <c r="BJ245" s="1449"/>
      <c r="BK245" s="1447"/>
      <c r="BL245" s="1447"/>
      <c r="BM245" s="1449"/>
      <c r="BN245" s="1447"/>
      <c r="BO245" s="1447"/>
      <c r="BP245" s="1448"/>
    </row>
    <row r="246">
      <c r="A246" s="1453"/>
      <c r="B246" s="1454"/>
      <c r="C246" s="1454"/>
      <c r="D246" s="1453"/>
      <c r="E246" s="1453"/>
      <c r="F246" s="1453"/>
      <c r="G246" s="1455"/>
      <c r="H246" s="1455"/>
      <c r="I246" s="1456"/>
      <c r="J246" s="1457"/>
      <c r="K246" s="1458"/>
      <c r="L246" s="1459"/>
      <c r="M246" s="1459"/>
      <c r="N246" s="1460"/>
      <c r="O246" s="1460"/>
      <c r="P246" s="1461"/>
      <c r="Q246" s="1461"/>
      <c r="R246" s="1462"/>
      <c r="S246" s="1463"/>
      <c r="T246" s="1464"/>
      <c r="U246" s="1453"/>
      <c r="V246" s="1453"/>
      <c r="W246" s="1453"/>
      <c r="X246" s="1453"/>
      <c r="Y246" s="1453"/>
      <c r="Z246" s="1453"/>
      <c r="AA246" s="1453"/>
      <c r="AB246" s="1453"/>
      <c r="AC246" s="1453"/>
      <c r="AD246" s="1453"/>
      <c r="AE246" s="1453"/>
      <c r="AF246" s="1453"/>
      <c r="AG246" s="1453"/>
      <c r="AH246" s="1453"/>
      <c r="AI246" s="1453"/>
      <c r="AJ246" s="1453"/>
      <c r="AK246" s="1465"/>
      <c r="AL246" s="1435"/>
      <c r="AM246" s="1436"/>
      <c r="AN246" s="1437"/>
      <c r="AO246" s="1438"/>
      <c r="AP246" s="1439"/>
      <c r="AQ246" s="1440"/>
      <c r="AR246" s="1441"/>
      <c r="AS246" s="1442"/>
      <c r="AT246" s="1443"/>
      <c r="AU246" s="1444"/>
      <c r="AV246" s="1442"/>
      <c r="AW246" s="1445"/>
      <c r="AX246" s="1446"/>
      <c r="AY246" s="1446"/>
      <c r="AZ246" s="1446"/>
      <c r="BA246" s="1447"/>
      <c r="BB246" s="1447"/>
      <c r="BC246" s="1446"/>
      <c r="BD246" s="1448"/>
      <c r="BE246" s="1442"/>
      <c r="BF246" s="1447"/>
      <c r="BG246" s="1449"/>
      <c r="BH246" s="1447"/>
      <c r="BI246" s="1447"/>
      <c r="BJ246" s="1449"/>
      <c r="BK246" s="1447"/>
      <c r="BL246" s="1447"/>
      <c r="BM246" s="1449"/>
      <c r="BN246" s="1447"/>
      <c r="BO246" s="1447"/>
      <c r="BP246" s="1448"/>
    </row>
    <row r="247">
      <c r="A247" s="1453"/>
      <c r="B247" s="1454"/>
      <c r="C247" s="1454"/>
      <c r="D247" s="1453"/>
      <c r="E247" s="1453"/>
      <c r="F247" s="1453"/>
      <c r="G247" s="1455"/>
      <c r="H247" s="1455"/>
      <c r="I247" s="1456"/>
      <c r="J247" s="1457"/>
      <c r="K247" s="1458"/>
      <c r="L247" s="1459"/>
      <c r="M247" s="1459"/>
      <c r="N247" s="1460"/>
      <c r="O247" s="1460"/>
      <c r="P247" s="1461"/>
      <c r="Q247" s="1461"/>
      <c r="R247" s="1462"/>
      <c r="S247" s="1463"/>
      <c r="T247" s="1464"/>
      <c r="U247" s="1453"/>
      <c r="V247" s="1453"/>
      <c r="W247" s="1453"/>
      <c r="X247" s="1453"/>
      <c r="Y247" s="1453"/>
      <c r="Z247" s="1453"/>
      <c r="AA247" s="1453"/>
      <c r="AB247" s="1453"/>
      <c r="AC247" s="1453"/>
      <c r="AD247" s="1453"/>
      <c r="AE247" s="1453"/>
      <c r="AF247" s="1453"/>
      <c r="AG247" s="1453"/>
      <c r="AH247" s="1453"/>
      <c r="AI247" s="1453"/>
      <c r="AJ247" s="1453"/>
      <c r="AK247" s="1465"/>
      <c r="AL247" s="1435"/>
      <c r="AM247" s="1436"/>
      <c r="AN247" s="1437"/>
      <c r="AO247" s="1438"/>
      <c r="AP247" s="1439"/>
      <c r="AQ247" s="1440"/>
      <c r="AR247" s="1441"/>
      <c r="AS247" s="1442"/>
      <c r="AT247" s="1443"/>
      <c r="AU247" s="1444"/>
      <c r="AV247" s="1442"/>
      <c r="AW247" s="1445"/>
      <c r="AX247" s="1446"/>
      <c r="AY247" s="1446"/>
      <c r="AZ247" s="1446"/>
      <c r="BA247" s="1447"/>
      <c r="BB247" s="1447"/>
      <c r="BC247" s="1446"/>
      <c r="BD247" s="1448"/>
      <c r="BE247" s="1442"/>
      <c r="BF247" s="1447"/>
      <c r="BG247" s="1449"/>
      <c r="BH247" s="1447"/>
      <c r="BI247" s="1447"/>
      <c r="BJ247" s="1449"/>
      <c r="BK247" s="1447"/>
      <c r="BL247" s="1447"/>
      <c r="BM247" s="1449"/>
      <c r="BN247" s="1447"/>
      <c r="BO247" s="1447"/>
      <c r="BP247" s="1448"/>
    </row>
    <row r="248">
      <c r="A248" s="1453"/>
      <c r="B248" s="1454"/>
      <c r="C248" s="1454"/>
      <c r="D248" s="1453"/>
      <c r="E248" s="1453"/>
      <c r="F248" s="1453"/>
      <c r="G248" s="1455"/>
      <c r="H248" s="1455"/>
      <c r="I248" s="1456"/>
      <c r="J248" s="1457"/>
      <c r="K248" s="1458"/>
      <c r="L248" s="1459"/>
      <c r="M248" s="1459"/>
      <c r="N248" s="1460"/>
      <c r="O248" s="1460"/>
      <c r="P248" s="1461"/>
      <c r="Q248" s="1461"/>
      <c r="R248" s="1462"/>
      <c r="S248" s="1463"/>
      <c r="T248" s="1464"/>
      <c r="U248" s="1453"/>
      <c r="V248" s="1453"/>
      <c r="W248" s="1453"/>
      <c r="X248" s="1453"/>
      <c r="Y248" s="1453"/>
      <c r="Z248" s="1453"/>
      <c r="AA248" s="1453"/>
      <c r="AB248" s="1453"/>
      <c r="AC248" s="1453"/>
      <c r="AD248" s="1453"/>
      <c r="AE248" s="1453"/>
      <c r="AF248" s="1453"/>
      <c r="AG248" s="1453"/>
      <c r="AH248" s="1453"/>
      <c r="AI248" s="1453"/>
      <c r="AJ248" s="1453"/>
      <c r="AK248" s="1465"/>
      <c r="AL248" s="1435"/>
      <c r="AM248" s="1436"/>
      <c r="AN248" s="1437"/>
      <c r="AO248" s="1438"/>
      <c r="AP248" s="1439"/>
      <c r="AQ248" s="1440"/>
      <c r="AR248" s="1441"/>
      <c r="AS248" s="1442"/>
      <c r="AT248" s="1443"/>
      <c r="AU248" s="1444"/>
      <c r="AV248" s="1442"/>
      <c r="AW248" s="1445"/>
      <c r="AX248" s="1446"/>
      <c r="AY248" s="1446"/>
      <c r="AZ248" s="1446"/>
      <c r="BA248" s="1447"/>
      <c r="BB248" s="1447"/>
      <c r="BC248" s="1446"/>
      <c r="BD248" s="1448"/>
      <c r="BE248" s="1442"/>
      <c r="BF248" s="1447"/>
      <c r="BG248" s="1449"/>
      <c r="BH248" s="1447"/>
      <c r="BI248" s="1447"/>
      <c r="BJ248" s="1449"/>
      <c r="BK248" s="1447"/>
      <c r="BL248" s="1447"/>
      <c r="BM248" s="1449"/>
      <c r="BN248" s="1447"/>
      <c r="BO248" s="1447"/>
      <c r="BP248" s="1448"/>
    </row>
    <row r="249">
      <c r="A249" s="1453"/>
      <c r="B249" s="1454"/>
      <c r="C249" s="1454"/>
      <c r="D249" s="1453"/>
      <c r="E249" s="1453"/>
      <c r="F249" s="1453"/>
      <c r="G249" s="1455"/>
      <c r="H249" s="1455"/>
      <c r="I249" s="1456"/>
      <c r="J249" s="1457"/>
      <c r="K249" s="1458"/>
      <c r="L249" s="1459"/>
      <c r="M249" s="1459"/>
      <c r="N249" s="1460"/>
      <c r="O249" s="1460"/>
      <c r="P249" s="1461"/>
      <c r="Q249" s="1461"/>
      <c r="R249" s="1462"/>
      <c r="S249" s="1463"/>
      <c r="T249" s="1464"/>
      <c r="U249" s="1453"/>
      <c r="V249" s="1453"/>
      <c r="W249" s="1453"/>
      <c r="X249" s="1453"/>
      <c r="Y249" s="1453"/>
      <c r="Z249" s="1453"/>
      <c r="AA249" s="1453"/>
      <c r="AB249" s="1453"/>
      <c r="AC249" s="1453"/>
      <c r="AD249" s="1453"/>
      <c r="AE249" s="1453"/>
      <c r="AF249" s="1453"/>
      <c r="AG249" s="1453"/>
      <c r="AH249" s="1453"/>
      <c r="AI249" s="1453"/>
      <c r="AJ249" s="1453"/>
      <c r="AK249" s="1465"/>
      <c r="AL249" s="1435"/>
      <c r="AM249" s="1436"/>
      <c r="AN249" s="1437"/>
      <c r="AO249" s="1438"/>
      <c r="AP249" s="1439"/>
      <c r="AQ249" s="1440"/>
      <c r="AR249" s="1441"/>
      <c r="AS249" s="1442"/>
      <c r="AT249" s="1443"/>
      <c r="AU249" s="1444"/>
      <c r="AV249" s="1442"/>
      <c r="AW249" s="1445"/>
      <c r="AX249" s="1446"/>
      <c r="AY249" s="1446"/>
      <c r="AZ249" s="1446"/>
      <c r="BA249" s="1447"/>
      <c r="BB249" s="1447"/>
      <c r="BC249" s="1446"/>
      <c r="BD249" s="1448"/>
      <c r="BE249" s="1442"/>
      <c r="BF249" s="1447"/>
      <c r="BG249" s="1449"/>
      <c r="BH249" s="1447"/>
      <c r="BI249" s="1447"/>
      <c r="BJ249" s="1449"/>
      <c r="BK249" s="1447"/>
      <c r="BL249" s="1447"/>
      <c r="BM249" s="1449"/>
      <c r="BN249" s="1447"/>
      <c r="BO249" s="1447"/>
      <c r="BP249" s="1448"/>
    </row>
    <row r="250">
      <c r="A250" s="1453"/>
      <c r="B250" s="1454"/>
      <c r="C250" s="1454"/>
      <c r="D250" s="1453"/>
      <c r="E250" s="1453"/>
      <c r="F250" s="1453"/>
      <c r="G250" s="1455"/>
      <c r="H250" s="1455"/>
      <c r="I250" s="1456"/>
      <c r="J250" s="1457"/>
      <c r="K250" s="1458"/>
      <c r="L250" s="1459"/>
      <c r="M250" s="1459"/>
      <c r="N250" s="1460"/>
      <c r="O250" s="1460"/>
      <c r="P250" s="1461"/>
      <c r="Q250" s="1461"/>
      <c r="R250" s="1462"/>
      <c r="S250" s="1463"/>
      <c r="T250" s="1464"/>
      <c r="U250" s="1453"/>
      <c r="V250" s="1453"/>
      <c r="W250" s="1453"/>
      <c r="X250" s="1453"/>
      <c r="Y250" s="1453"/>
      <c r="Z250" s="1453"/>
      <c r="AA250" s="1453"/>
      <c r="AB250" s="1453"/>
      <c r="AC250" s="1453"/>
      <c r="AD250" s="1453"/>
      <c r="AE250" s="1453"/>
      <c r="AF250" s="1453"/>
      <c r="AG250" s="1453"/>
      <c r="AH250" s="1453"/>
      <c r="AI250" s="1453"/>
      <c r="AJ250" s="1453"/>
      <c r="AK250" s="1465"/>
      <c r="AL250" s="1435"/>
      <c r="AM250" s="1436"/>
      <c r="AN250" s="1437"/>
      <c r="AO250" s="1438"/>
      <c r="AP250" s="1439"/>
      <c r="AQ250" s="1440"/>
      <c r="AR250" s="1441"/>
      <c r="AS250" s="1442"/>
      <c r="AT250" s="1443"/>
      <c r="AU250" s="1444"/>
      <c r="AV250" s="1442"/>
      <c r="AW250" s="1445"/>
      <c r="AX250" s="1446"/>
      <c r="AY250" s="1446"/>
      <c r="AZ250" s="1446"/>
      <c r="BA250" s="1447"/>
      <c r="BB250" s="1447"/>
      <c r="BC250" s="1446"/>
      <c r="BD250" s="1448"/>
      <c r="BE250" s="1442"/>
      <c r="BF250" s="1447"/>
      <c r="BG250" s="1449"/>
      <c r="BH250" s="1447"/>
      <c r="BI250" s="1447"/>
      <c r="BJ250" s="1449"/>
      <c r="BK250" s="1447"/>
      <c r="BL250" s="1447"/>
      <c r="BM250" s="1449"/>
      <c r="BN250" s="1447"/>
      <c r="BO250" s="1447"/>
      <c r="BP250" s="1448"/>
    </row>
    <row r="251">
      <c r="A251" s="1453"/>
      <c r="B251" s="1454"/>
      <c r="C251" s="1454"/>
      <c r="D251" s="1453"/>
      <c r="E251" s="1453"/>
      <c r="F251" s="1453"/>
      <c r="G251" s="1455"/>
      <c r="H251" s="1455"/>
      <c r="I251" s="1456"/>
      <c r="J251" s="1457"/>
      <c r="K251" s="1458"/>
      <c r="L251" s="1459"/>
      <c r="M251" s="1459"/>
      <c r="N251" s="1460"/>
      <c r="O251" s="1460"/>
      <c r="P251" s="1461"/>
      <c r="Q251" s="1461"/>
      <c r="R251" s="1462"/>
      <c r="S251" s="1463"/>
      <c r="T251" s="1464"/>
      <c r="U251" s="1453"/>
      <c r="V251" s="1453"/>
      <c r="W251" s="1453"/>
      <c r="X251" s="1453"/>
      <c r="Y251" s="1453"/>
      <c r="Z251" s="1453"/>
      <c r="AA251" s="1453"/>
      <c r="AB251" s="1453"/>
      <c r="AC251" s="1453"/>
      <c r="AD251" s="1453"/>
      <c r="AE251" s="1453"/>
      <c r="AF251" s="1453"/>
      <c r="AG251" s="1453"/>
      <c r="AH251" s="1453"/>
      <c r="AI251" s="1453"/>
      <c r="AJ251" s="1453"/>
      <c r="AK251" s="1465"/>
      <c r="AL251" s="1435"/>
      <c r="AM251" s="1436"/>
      <c r="AN251" s="1437"/>
      <c r="AO251" s="1438"/>
      <c r="AP251" s="1439"/>
      <c r="AQ251" s="1440"/>
      <c r="AR251" s="1441"/>
      <c r="AS251" s="1442"/>
      <c r="AT251" s="1443"/>
      <c r="AU251" s="1444"/>
      <c r="AV251" s="1442"/>
      <c r="AW251" s="1445"/>
      <c r="AX251" s="1446"/>
      <c r="AY251" s="1446"/>
      <c r="AZ251" s="1446"/>
      <c r="BA251" s="1447"/>
      <c r="BB251" s="1447"/>
      <c r="BC251" s="1446"/>
      <c r="BD251" s="1448"/>
      <c r="BE251" s="1442"/>
      <c r="BF251" s="1447"/>
      <c r="BG251" s="1449"/>
      <c r="BH251" s="1447"/>
      <c r="BI251" s="1447"/>
      <c r="BJ251" s="1449"/>
      <c r="BK251" s="1447"/>
      <c r="BL251" s="1447"/>
      <c r="BM251" s="1449"/>
      <c r="BN251" s="1447"/>
      <c r="BO251" s="1447"/>
      <c r="BP251" s="1448"/>
    </row>
    <row r="252">
      <c r="A252" s="1453"/>
      <c r="B252" s="1454"/>
      <c r="C252" s="1454"/>
      <c r="D252" s="1453"/>
      <c r="E252" s="1453"/>
      <c r="F252" s="1453"/>
      <c r="G252" s="1455"/>
      <c r="H252" s="1455"/>
      <c r="I252" s="1456"/>
      <c r="J252" s="1457"/>
      <c r="K252" s="1458"/>
      <c r="L252" s="1459"/>
      <c r="M252" s="1459"/>
      <c r="N252" s="1460"/>
      <c r="O252" s="1460"/>
      <c r="P252" s="1461"/>
      <c r="Q252" s="1461"/>
      <c r="R252" s="1462"/>
      <c r="S252" s="1463"/>
      <c r="T252" s="1464"/>
      <c r="U252" s="1453"/>
      <c r="V252" s="1453"/>
      <c r="W252" s="1453"/>
      <c r="X252" s="1453"/>
      <c r="Y252" s="1453"/>
      <c r="Z252" s="1453"/>
      <c r="AA252" s="1453"/>
      <c r="AB252" s="1453"/>
      <c r="AC252" s="1453"/>
      <c r="AD252" s="1453"/>
      <c r="AE252" s="1453"/>
      <c r="AF252" s="1453"/>
      <c r="AG252" s="1453"/>
      <c r="AH252" s="1453"/>
      <c r="AI252" s="1453"/>
      <c r="AJ252" s="1453"/>
      <c r="AK252" s="1465"/>
      <c r="AL252" s="1435"/>
      <c r="AM252" s="1436"/>
      <c r="AN252" s="1437"/>
      <c r="AO252" s="1438"/>
      <c r="AP252" s="1439"/>
      <c r="AQ252" s="1440"/>
      <c r="AR252" s="1441"/>
      <c r="AS252" s="1442"/>
      <c r="AT252" s="1443"/>
      <c r="AU252" s="1444"/>
      <c r="AV252" s="1442"/>
      <c r="AW252" s="1445"/>
      <c r="AX252" s="1446"/>
      <c r="AY252" s="1446"/>
      <c r="AZ252" s="1446"/>
      <c r="BA252" s="1447"/>
      <c r="BB252" s="1447"/>
      <c r="BC252" s="1446"/>
      <c r="BD252" s="1448"/>
      <c r="BE252" s="1442"/>
      <c r="BF252" s="1447"/>
      <c r="BG252" s="1449"/>
      <c r="BH252" s="1447"/>
      <c r="BI252" s="1447"/>
      <c r="BJ252" s="1449"/>
      <c r="BK252" s="1447"/>
      <c r="BL252" s="1447"/>
      <c r="BM252" s="1449"/>
      <c r="BN252" s="1447"/>
      <c r="BO252" s="1447"/>
      <c r="BP252" s="1448"/>
    </row>
    <row r="253">
      <c r="A253" s="1453"/>
      <c r="B253" s="1454"/>
      <c r="C253" s="1454"/>
      <c r="D253" s="1453"/>
      <c r="E253" s="1453"/>
      <c r="F253" s="1453"/>
      <c r="G253" s="1455"/>
      <c r="H253" s="1455"/>
      <c r="I253" s="1456"/>
      <c r="J253" s="1457"/>
      <c r="K253" s="1458"/>
      <c r="L253" s="1459"/>
      <c r="M253" s="1459"/>
      <c r="N253" s="1460"/>
      <c r="O253" s="1460"/>
      <c r="P253" s="1461"/>
      <c r="Q253" s="1461"/>
      <c r="R253" s="1462"/>
      <c r="S253" s="1463"/>
      <c r="T253" s="1464"/>
      <c r="U253" s="1453"/>
      <c r="V253" s="1453"/>
      <c r="W253" s="1453"/>
      <c r="X253" s="1453"/>
      <c r="Y253" s="1453"/>
      <c r="Z253" s="1453"/>
      <c r="AA253" s="1453"/>
      <c r="AB253" s="1453"/>
      <c r="AC253" s="1453"/>
      <c r="AD253" s="1453"/>
      <c r="AE253" s="1453"/>
      <c r="AF253" s="1453"/>
      <c r="AG253" s="1453"/>
      <c r="AH253" s="1453"/>
      <c r="AI253" s="1453"/>
      <c r="AJ253" s="1453"/>
      <c r="AK253" s="1465"/>
      <c r="AL253" s="1435"/>
      <c r="AM253" s="1436"/>
      <c r="AN253" s="1437"/>
      <c r="AO253" s="1438"/>
      <c r="AP253" s="1439"/>
      <c r="AQ253" s="1440"/>
      <c r="AR253" s="1441"/>
      <c r="AS253" s="1442"/>
      <c r="AT253" s="1443"/>
      <c r="AU253" s="1444"/>
      <c r="AV253" s="1442"/>
      <c r="AW253" s="1445"/>
      <c r="AX253" s="1446"/>
      <c r="AY253" s="1446"/>
      <c r="AZ253" s="1446"/>
      <c r="BA253" s="1447"/>
      <c r="BB253" s="1447"/>
      <c r="BC253" s="1446"/>
      <c r="BD253" s="1448"/>
      <c r="BE253" s="1442"/>
      <c r="BF253" s="1447"/>
      <c r="BG253" s="1449"/>
      <c r="BH253" s="1447"/>
      <c r="BI253" s="1447"/>
      <c r="BJ253" s="1449"/>
      <c r="BK253" s="1447"/>
      <c r="BL253" s="1447"/>
      <c r="BM253" s="1449"/>
      <c r="BN253" s="1447"/>
      <c r="BO253" s="1447"/>
      <c r="BP253" s="1448"/>
    </row>
    <row r="254">
      <c r="A254" s="1453"/>
      <c r="B254" s="1454"/>
      <c r="C254" s="1454"/>
      <c r="D254" s="1453"/>
      <c r="E254" s="1453"/>
      <c r="F254" s="1453"/>
      <c r="G254" s="1455"/>
      <c r="H254" s="1455"/>
      <c r="I254" s="1456"/>
      <c r="J254" s="1457"/>
      <c r="K254" s="1458"/>
      <c r="L254" s="1459"/>
      <c r="M254" s="1459"/>
      <c r="N254" s="1460"/>
      <c r="O254" s="1460"/>
      <c r="P254" s="1461"/>
      <c r="Q254" s="1461"/>
      <c r="R254" s="1462"/>
      <c r="S254" s="1463"/>
      <c r="T254" s="1464"/>
      <c r="U254" s="1453"/>
      <c r="V254" s="1453"/>
      <c r="W254" s="1453"/>
      <c r="X254" s="1453"/>
      <c r="Y254" s="1453"/>
      <c r="Z254" s="1453"/>
      <c r="AA254" s="1453"/>
      <c r="AB254" s="1453"/>
      <c r="AC254" s="1453"/>
      <c r="AD254" s="1453"/>
      <c r="AE254" s="1453"/>
      <c r="AF254" s="1453"/>
      <c r="AG254" s="1453"/>
      <c r="AH254" s="1453"/>
      <c r="AI254" s="1453"/>
      <c r="AJ254" s="1453"/>
      <c r="AK254" s="1465"/>
      <c r="AL254" s="1435"/>
      <c r="AM254" s="1436"/>
      <c r="AN254" s="1437"/>
      <c r="AO254" s="1438"/>
      <c r="AP254" s="1439"/>
      <c r="AQ254" s="1440"/>
      <c r="AR254" s="1441"/>
      <c r="AS254" s="1442"/>
      <c r="AT254" s="1443"/>
      <c r="AU254" s="1444"/>
      <c r="AV254" s="1442"/>
      <c r="AW254" s="1445"/>
      <c r="AX254" s="1446"/>
      <c r="AY254" s="1446"/>
      <c r="AZ254" s="1446"/>
      <c r="BA254" s="1447"/>
      <c r="BB254" s="1447"/>
      <c r="BC254" s="1446"/>
      <c r="BD254" s="1448"/>
      <c r="BE254" s="1442"/>
      <c r="BF254" s="1447"/>
      <c r="BG254" s="1449"/>
      <c r="BH254" s="1447"/>
      <c r="BI254" s="1447"/>
      <c r="BJ254" s="1449"/>
      <c r="BK254" s="1447"/>
      <c r="BL254" s="1447"/>
      <c r="BM254" s="1449"/>
      <c r="BN254" s="1447"/>
      <c r="BO254" s="1447"/>
      <c r="BP254" s="1448"/>
    </row>
    <row r="255">
      <c r="A255" s="1453"/>
      <c r="B255" s="1454"/>
      <c r="C255" s="1454"/>
      <c r="D255" s="1453"/>
      <c r="E255" s="1453"/>
      <c r="F255" s="1453"/>
      <c r="G255" s="1455"/>
      <c r="H255" s="1455"/>
      <c r="I255" s="1456"/>
      <c r="J255" s="1457"/>
      <c r="K255" s="1458"/>
      <c r="L255" s="1459"/>
      <c r="M255" s="1459"/>
      <c r="N255" s="1460"/>
      <c r="O255" s="1460"/>
      <c r="P255" s="1461"/>
      <c r="Q255" s="1461"/>
      <c r="R255" s="1462"/>
      <c r="S255" s="1463"/>
      <c r="T255" s="1464"/>
      <c r="U255" s="1453"/>
      <c r="V255" s="1453"/>
      <c r="W255" s="1453"/>
      <c r="X255" s="1453"/>
      <c r="Y255" s="1453"/>
      <c r="Z255" s="1453"/>
      <c r="AA255" s="1453"/>
      <c r="AB255" s="1453"/>
      <c r="AC255" s="1453"/>
      <c r="AD255" s="1453"/>
      <c r="AE255" s="1453"/>
      <c r="AF255" s="1453"/>
      <c r="AG255" s="1453"/>
      <c r="AH255" s="1453"/>
      <c r="AI255" s="1453"/>
      <c r="AJ255" s="1453"/>
      <c r="AK255" s="1465"/>
      <c r="AL255" s="1435"/>
      <c r="AM255" s="1436"/>
      <c r="AN255" s="1437"/>
      <c r="AO255" s="1438"/>
      <c r="AP255" s="1439"/>
      <c r="AQ255" s="1440"/>
      <c r="AR255" s="1441"/>
      <c r="AS255" s="1442"/>
      <c r="AT255" s="1443"/>
      <c r="AU255" s="1444"/>
      <c r="AV255" s="1442"/>
      <c r="AW255" s="1445"/>
      <c r="AX255" s="1446"/>
      <c r="AY255" s="1446"/>
      <c r="AZ255" s="1446"/>
      <c r="BA255" s="1447"/>
      <c r="BB255" s="1447"/>
      <c r="BC255" s="1446"/>
      <c r="BD255" s="1448"/>
      <c r="BE255" s="1442"/>
      <c r="BF255" s="1447"/>
      <c r="BG255" s="1449"/>
      <c r="BH255" s="1447"/>
      <c r="BI255" s="1447"/>
      <c r="BJ255" s="1449"/>
      <c r="BK255" s="1447"/>
      <c r="BL255" s="1447"/>
      <c r="BM255" s="1449"/>
      <c r="BN255" s="1447"/>
      <c r="BO255" s="1447"/>
      <c r="BP255" s="1448"/>
    </row>
    <row r="256">
      <c r="A256" s="1453"/>
      <c r="B256" s="1454"/>
      <c r="C256" s="1454"/>
      <c r="D256" s="1453"/>
      <c r="E256" s="1453"/>
      <c r="F256" s="1453"/>
      <c r="G256" s="1455"/>
      <c r="H256" s="1455"/>
      <c r="I256" s="1456"/>
      <c r="J256" s="1457"/>
      <c r="K256" s="1458"/>
      <c r="L256" s="1459"/>
      <c r="M256" s="1459"/>
      <c r="N256" s="1460"/>
      <c r="O256" s="1460"/>
      <c r="P256" s="1461"/>
      <c r="Q256" s="1461"/>
      <c r="R256" s="1462"/>
      <c r="S256" s="1463"/>
      <c r="T256" s="1464"/>
      <c r="U256" s="1453"/>
      <c r="V256" s="1453"/>
      <c r="W256" s="1453"/>
      <c r="X256" s="1453"/>
      <c r="Y256" s="1453"/>
      <c r="Z256" s="1453"/>
      <c r="AA256" s="1453"/>
      <c r="AB256" s="1453"/>
      <c r="AC256" s="1453"/>
      <c r="AD256" s="1453"/>
      <c r="AE256" s="1453"/>
      <c r="AF256" s="1453"/>
      <c r="AG256" s="1453"/>
      <c r="AH256" s="1453"/>
      <c r="AI256" s="1453"/>
      <c r="AJ256" s="1453"/>
      <c r="AK256" s="1465"/>
      <c r="AL256" s="1435"/>
      <c r="AM256" s="1436"/>
      <c r="AN256" s="1437"/>
      <c r="AO256" s="1438"/>
      <c r="AP256" s="1439"/>
      <c r="AQ256" s="1440"/>
      <c r="AR256" s="1441"/>
      <c r="AS256" s="1442"/>
      <c r="AT256" s="1443"/>
      <c r="AU256" s="1444"/>
      <c r="AV256" s="1442"/>
      <c r="AW256" s="1445"/>
      <c r="AX256" s="1446"/>
      <c r="AY256" s="1446"/>
      <c r="AZ256" s="1446"/>
      <c r="BA256" s="1447"/>
      <c r="BB256" s="1447"/>
      <c r="BC256" s="1446"/>
      <c r="BD256" s="1448"/>
      <c r="BE256" s="1442"/>
      <c r="BF256" s="1447"/>
      <c r="BG256" s="1449"/>
      <c r="BH256" s="1447"/>
      <c r="BI256" s="1447"/>
      <c r="BJ256" s="1449"/>
      <c r="BK256" s="1447"/>
      <c r="BL256" s="1447"/>
      <c r="BM256" s="1449"/>
      <c r="BN256" s="1447"/>
      <c r="BO256" s="1447"/>
      <c r="BP256" s="1448"/>
    </row>
    <row r="257">
      <c r="A257" s="1453"/>
      <c r="B257" s="1454"/>
      <c r="C257" s="1454"/>
      <c r="D257" s="1453"/>
      <c r="E257" s="1453"/>
      <c r="F257" s="1453"/>
      <c r="G257" s="1455"/>
      <c r="H257" s="1455"/>
      <c r="I257" s="1456"/>
      <c r="J257" s="1457"/>
      <c r="K257" s="1458"/>
      <c r="L257" s="1459"/>
      <c r="M257" s="1459"/>
      <c r="N257" s="1460"/>
      <c r="O257" s="1460"/>
      <c r="P257" s="1461"/>
      <c r="Q257" s="1461"/>
      <c r="R257" s="1462"/>
      <c r="S257" s="1463"/>
      <c r="T257" s="1464"/>
      <c r="U257" s="1453"/>
      <c r="V257" s="1453"/>
      <c r="W257" s="1453"/>
      <c r="X257" s="1453"/>
      <c r="Y257" s="1453"/>
      <c r="Z257" s="1453"/>
      <c r="AA257" s="1453"/>
      <c r="AB257" s="1453"/>
      <c r="AC257" s="1453"/>
      <c r="AD257" s="1453"/>
      <c r="AE257" s="1453"/>
      <c r="AF257" s="1453"/>
      <c r="AG257" s="1453"/>
      <c r="AH257" s="1453"/>
      <c r="AI257" s="1453"/>
      <c r="AJ257" s="1453"/>
      <c r="AK257" s="1465"/>
      <c r="AL257" s="1435"/>
      <c r="AM257" s="1436"/>
      <c r="AN257" s="1437"/>
      <c r="AO257" s="1438"/>
      <c r="AP257" s="1439"/>
      <c r="AQ257" s="1440"/>
      <c r="AR257" s="1441"/>
      <c r="AS257" s="1442"/>
      <c r="AT257" s="1443"/>
      <c r="AU257" s="1444"/>
      <c r="AV257" s="1442"/>
      <c r="AW257" s="1445"/>
      <c r="AX257" s="1446"/>
      <c r="AY257" s="1446"/>
      <c r="AZ257" s="1446"/>
      <c r="BA257" s="1447"/>
      <c r="BB257" s="1447"/>
      <c r="BC257" s="1446"/>
      <c r="BD257" s="1448"/>
      <c r="BE257" s="1442"/>
      <c r="BF257" s="1447"/>
      <c r="BG257" s="1449"/>
      <c r="BH257" s="1447"/>
      <c r="BI257" s="1447"/>
      <c r="BJ257" s="1449"/>
      <c r="BK257" s="1447"/>
      <c r="BL257" s="1447"/>
      <c r="BM257" s="1449"/>
      <c r="BN257" s="1447"/>
      <c r="BO257" s="1447"/>
      <c r="BP257" s="1448"/>
    </row>
    <row r="258">
      <c r="A258" s="1453"/>
      <c r="B258" s="1454"/>
      <c r="C258" s="1454"/>
      <c r="D258" s="1453"/>
      <c r="E258" s="1453"/>
      <c r="F258" s="1453"/>
      <c r="G258" s="1455"/>
      <c r="H258" s="1455"/>
      <c r="I258" s="1456"/>
      <c r="J258" s="1457"/>
      <c r="K258" s="1458"/>
      <c r="L258" s="1459"/>
      <c r="M258" s="1459"/>
      <c r="N258" s="1460"/>
      <c r="O258" s="1460"/>
      <c r="P258" s="1461"/>
      <c r="Q258" s="1461"/>
      <c r="R258" s="1462"/>
      <c r="S258" s="1463"/>
      <c r="T258" s="1464"/>
      <c r="U258" s="1453"/>
      <c r="V258" s="1453"/>
      <c r="W258" s="1453"/>
      <c r="X258" s="1453"/>
      <c r="Y258" s="1453"/>
      <c r="Z258" s="1453"/>
      <c r="AA258" s="1453"/>
      <c r="AB258" s="1453"/>
      <c r="AC258" s="1453"/>
      <c r="AD258" s="1453"/>
      <c r="AE258" s="1453"/>
      <c r="AF258" s="1453"/>
      <c r="AG258" s="1453"/>
      <c r="AH258" s="1453"/>
      <c r="AI258" s="1453"/>
      <c r="AJ258" s="1453"/>
      <c r="AK258" s="1465"/>
      <c r="AL258" s="1435"/>
      <c r="AM258" s="1436"/>
      <c r="AN258" s="1437"/>
      <c r="AO258" s="1438"/>
      <c r="AP258" s="1439"/>
      <c r="AQ258" s="1440"/>
      <c r="AR258" s="1441"/>
      <c r="AS258" s="1442"/>
      <c r="AT258" s="1443"/>
      <c r="AU258" s="1444"/>
      <c r="AV258" s="1442"/>
      <c r="AW258" s="1445"/>
      <c r="AX258" s="1446"/>
      <c r="AY258" s="1446"/>
      <c r="AZ258" s="1446"/>
      <c r="BA258" s="1447"/>
      <c r="BB258" s="1447"/>
      <c r="BC258" s="1446"/>
      <c r="BD258" s="1448"/>
      <c r="BE258" s="1442"/>
      <c r="BF258" s="1447"/>
      <c r="BG258" s="1449"/>
      <c r="BH258" s="1447"/>
      <c r="BI258" s="1447"/>
      <c r="BJ258" s="1449"/>
      <c r="BK258" s="1447"/>
      <c r="BL258" s="1447"/>
      <c r="BM258" s="1449"/>
      <c r="BN258" s="1447"/>
      <c r="BO258" s="1447"/>
      <c r="BP258" s="1448"/>
    </row>
    <row r="259">
      <c r="A259" s="1453"/>
      <c r="B259" s="1454"/>
      <c r="C259" s="1454"/>
      <c r="D259" s="1453"/>
      <c r="E259" s="1453"/>
      <c r="F259" s="1453"/>
      <c r="G259" s="1455"/>
      <c r="H259" s="1455"/>
      <c r="I259" s="1456"/>
      <c r="J259" s="1457"/>
      <c r="K259" s="1458"/>
      <c r="L259" s="1459"/>
      <c r="M259" s="1459"/>
      <c r="N259" s="1460"/>
      <c r="O259" s="1460"/>
      <c r="P259" s="1461"/>
      <c r="Q259" s="1461"/>
      <c r="R259" s="1462"/>
      <c r="S259" s="1463"/>
      <c r="T259" s="1464"/>
      <c r="U259" s="1453"/>
      <c r="V259" s="1453"/>
      <c r="W259" s="1453"/>
      <c r="X259" s="1453"/>
      <c r="Y259" s="1453"/>
      <c r="Z259" s="1453"/>
      <c r="AA259" s="1453"/>
      <c r="AB259" s="1453"/>
      <c r="AC259" s="1453"/>
      <c r="AD259" s="1453"/>
      <c r="AE259" s="1453"/>
      <c r="AF259" s="1453"/>
      <c r="AG259" s="1453"/>
      <c r="AH259" s="1453"/>
      <c r="AI259" s="1453"/>
      <c r="AJ259" s="1453"/>
      <c r="AK259" s="1465"/>
      <c r="AL259" s="1435"/>
      <c r="AM259" s="1436"/>
      <c r="AN259" s="1437"/>
      <c r="AO259" s="1438"/>
      <c r="AP259" s="1439"/>
      <c r="AQ259" s="1440"/>
      <c r="AR259" s="1441"/>
      <c r="AS259" s="1442"/>
      <c r="AT259" s="1443"/>
      <c r="AU259" s="1444"/>
      <c r="AV259" s="1442"/>
      <c r="AW259" s="1445"/>
      <c r="AX259" s="1446"/>
      <c r="AY259" s="1446"/>
      <c r="AZ259" s="1446"/>
      <c r="BA259" s="1447"/>
      <c r="BB259" s="1447"/>
      <c r="BC259" s="1446"/>
      <c r="BD259" s="1448"/>
      <c r="BE259" s="1442"/>
      <c r="BF259" s="1447"/>
      <c r="BG259" s="1449"/>
      <c r="BH259" s="1447"/>
      <c r="BI259" s="1447"/>
      <c r="BJ259" s="1449"/>
      <c r="BK259" s="1447"/>
      <c r="BL259" s="1447"/>
      <c r="BM259" s="1449"/>
      <c r="BN259" s="1447"/>
      <c r="BO259" s="1447"/>
      <c r="BP259" s="1448"/>
    </row>
    <row r="260">
      <c r="A260" s="1453"/>
      <c r="B260" s="1454"/>
      <c r="C260" s="1454"/>
      <c r="D260" s="1453"/>
      <c r="E260" s="1453"/>
      <c r="F260" s="1453"/>
      <c r="G260" s="1455"/>
      <c r="H260" s="1455"/>
      <c r="I260" s="1456"/>
      <c r="J260" s="1457"/>
      <c r="K260" s="1458"/>
      <c r="L260" s="1459"/>
      <c r="M260" s="1459"/>
      <c r="N260" s="1460"/>
      <c r="O260" s="1460"/>
      <c r="P260" s="1461"/>
      <c r="Q260" s="1461"/>
      <c r="R260" s="1462"/>
      <c r="S260" s="1463"/>
      <c r="T260" s="1464"/>
      <c r="U260" s="1453"/>
      <c r="V260" s="1453"/>
      <c r="W260" s="1453"/>
      <c r="X260" s="1453"/>
      <c r="Y260" s="1453"/>
      <c r="Z260" s="1453"/>
      <c r="AA260" s="1453"/>
      <c r="AB260" s="1453"/>
      <c r="AC260" s="1453"/>
      <c r="AD260" s="1453"/>
      <c r="AE260" s="1453"/>
      <c r="AF260" s="1453"/>
      <c r="AG260" s="1453"/>
      <c r="AH260" s="1453"/>
      <c r="AI260" s="1453"/>
      <c r="AJ260" s="1453"/>
      <c r="AK260" s="1465"/>
      <c r="AL260" s="1435"/>
      <c r="AM260" s="1436"/>
      <c r="AN260" s="1437"/>
      <c r="AO260" s="1438"/>
      <c r="AP260" s="1439"/>
      <c r="AQ260" s="1440"/>
      <c r="AR260" s="1441"/>
      <c r="AS260" s="1442"/>
      <c r="AT260" s="1443"/>
      <c r="AU260" s="1444"/>
      <c r="AV260" s="1442"/>
      <c r="AW260" s="1445"/>
      <c r="AX260" s="1446"/>
      <c r="AY260" s="1446"/>
      <c r="AZ260" s="1446"/>
      <c r="BA260" s="1447"/>
      <c r="BB260" s="1447"/>
      <c r="BC260" s="1446"/>
      <c r="BD260" s="1448"/>
      <c r="BE260" s="1442"/>
      <c r="BF260" s="1447"/>
      <c r="BG260" s="1449"/>
      <c r="BH260" s="1447"/>
      <c r="BI260" s="1447"/>
      <c r="BJ260" s="1449"/>
      <c r="BK260" s="1447"/>
      <c r="BL260" s="1447"/>
      <c r="BM260" s="1449"/>
      <c r="BN260" s="1447"/>
      <c r="BO260" s="1447"/>
      <c r="BP260" s="1448"/>
    </row>
    <row r="261">
      <c r="A261" s="1453"/>
      <c r="B261" s="1454"/>
      <c r="C261" s="1454"/>
      <c r="D261" s="1453"/>
      <c r="E261" s="1453"/>
      <c r="F261" s="1453"/>
      <c r="G261" s="1455"/>
      <c r="H261" s="1455"/>
      <c r="I261" s="1456"/>
      <c r="J261" s="1457"/>
      <c r="K261" s="1458"/>
      <c r="L261" s="1459"/>
      <c r="M261" s="1459"/>
      <c r="N261" s="1460"/>
      <c r="O261" s="1460"/>
      <c r="P261" s="1461"/>
      <c r="Q261" s="1461"/>
      <c r="R261" s="1462"/>
      <c r="S261" s="1463"/>
      <c r="T261" s="1464"/>
      <c r="U261" s="1453"/>
      <c r="V261" s="1453"/>
      <c r="W261" s="1453"/>
      <c r="X261" s="1453"/>
      <c r="Y261" s="1453"/>
      <c r="Z261" s="1453"/>
      <c r="AA261" s="1453"/>
      <c r="AB261" s="1453"/>
      <c r="AC261" s="1453"/>
      <c r="AD261" s="1453"/>
      <c r="AE261" s="1453"/>
      <c r="AF261" s="1453"/>
      <c r="AG261" s="1453"/>
      <c r="AH261" s="1453"/>
      <c r="AI261" s="1453"/>
      <c r="AJ261" s="1453"/>
      <c r="AK261" s="1465"/>
      <c r="AL261" s="1435"/>
      <c r="AM261" s="1436"/>
      <c r="AN261" s="1437"/>
      <c r="AO261" s="1438"/>
      <c r="AP261" s="1439"/>
      <c r="AQ261" s="1440"/>
      <c r="AR261" s="1441"/>
      <c r="AS261" s="1442"/>
      <c r="AT261" s="1443"/>
      <c r="AU261" s="1444"/>
      <c r="AV261" s="1442"/>
      <c r="AW261" s="1445"/>
      <c r="AX261" s="1446"/>
      <c r="AY261" s="1446"/>
      <c r="AZ261" s="1446"/>
      <c r="BA261" s="1447"/>
      <c r="BB261" s="1447"/>
      <c r="BC261" s="1446"/>
      <c r="BD261" s="1448"/>
      <c r="BE261" s="1442"/>
      <c r="BF261" s="1447"/>
      <c r="BG261" s="1449"/>
      <c r="BH261" s="1447"/>
      <c r="BI261" s="1447"/>
      <c r="BJ261" s="1449"/>
      <c r="BK261" s="1447"/>
      <c r="BL261" s="1447"/>
      <c r="BM261" s="1449"/>
      <c r="BN261" s="1447"/>
      <c r="BO261" s="1447"/>
      <c r="BP261" s="1448"/>
    </row>
    <row r="262">
      <c r="A262" s="1453"/>
      <c r="B262" s="1454"/>
      <c r="C262" s="1454"/>
      <c r="D262" s="1453"/>
      <c r="E262" s="1453"/>
      <c r="F262" s="1453"/>
      <c r="G262" s="1455"/>
      <c r="H262" s="1455"/>
      <c r="I262" s="1456"/>
      <c r="J262" s="1457"/>
      <c r="K262" s="1458"/>
      <c r="L262" s="1459"/>
      <c r="M262" s="1459"/>
      <c r="N262" s="1460"/>
      <c r="O262" s="1460"/>
      <c r="P262" s="1461"/>
      <c r="Q262" s="1461"/>
      <c r="R262" s="1462"/>
      <c r="S262" s="1463"/>
      <c r="T262" s="1464"/>
      <c r="U262" s="1453"/>
      <c r="V262" s="1453"/>
      <c r="W262" s="1453"/>
      <c r="X262" s="1453"/>
      <c r="Y262" s="1453"/>
      <c r="Z262" s="1453"/>
      <c r="AA262" s="1453"/>
      <c r="AB262" s="1453"/>
      <c r="AC262" s="1453"/>
      <c r="AD262" s="1453"/>
      <c r="AE262" s="1453"/>
      <c r="AF262" s="1453"/>
      <c r="AG262" s="1453"/>
      <c r="AH262" s="1453"/>
      <c r="AI262" s="1453"/>
      <c r="AJ262" s="1453"/>
      <c r="AK262" s="1465"/>
      <c r="AL262" s="1435"/>
      <c r="AM262" s="1436"/>
      <c r="AN262" s="1437"/>
      <c r="AO262" s="1438"/>
      <c r="AP262" s="1439"/>
      <c r="AQ262" s="1440"/>
      <c r="AR262" s="1441"/>
      <c r="AS262" s="1442"/>
      <c r="AT262" s="1443"/>
      <c r="AU262" s="1444"/>
      <c r="AV262" s="1442"/>
      <c r="AW262" s="1445"/>
      <c r="AX262" s="1446"/>
      <c r="AY262" s="1446"/>
      <c r="AZ262" s="1446"/>
      <c r="BA262" s="1447"/>
      <c r="BB262" s="1447"/>
      <c r="BC262" s="1446"/>
      <c r="BD262" s="1448"/>
      <c r="BE262" s="1442"/>
      <c r="BF262" s="1447"/>
      <c r="BG262" s="1449"/>
      <c r="BH262" s="1447"/>
      <c r="BI262" s="1447"/>
      <c r="BJ262" s="1449"/>
      <c r="BK262" s="1447"/>
      <c r="BL262" s="1447"/>
      <c r="BM262" s="1449"/>
      <c r="BN262" s="1447"/>
      <c r="BO262" s="1447"/>
      <c r="BP262" s="1448"/>
    </row>
    <row r="263">
      <c r="A263" s="1453"/>
      <c r="B263" s="1454"/>
      <c r="C263" s="1454"/>
      <c r="D263" s="1453"/>
      <c r="E263" s="1453"/>
      <c r="F263" s="1453"/>
      <c r="G263" s="1455"/>
      <c r="H263" s="1455"/>
      <c r="I263" s="1456"/>
      <c r="J263" s="1457"/>
      <c r="K263" s="1458"/>
      <c r="L263" s="1459"/>
      <c r="M263" s="1459"/>
      <c r="N263" s="1460"/>
      <c r="O263" s="1460"/>
      <c r="P263" s="1461"/>
      <c r="Q263" s="1461"/>
      <c r="R263" s="1462"/>
      <c r="S263" s="1463"/>
      <c r="T263" s="1464"/>
      <c r="U263" s="1453"/>
      <c r="V263" s="1453"/>
      <c r="W263" s="1453"/>
      <c r="X263" s="1453"/>
      <c r="Y263" s="1453"/>
      <c r="Z263" s="1453"/>
      <c r="AA263" s="1453"/>
      <c r="AB263" s="1453"/>
      <c r="AC263" s="1453"/>
      <c r="AD263" s="1453"/>
      <c r="AE263" s="1453"/>
      <c r="AF263" s="1453"/>
      <c r="AG263" s="1453"/>
      <c r="AH263" s="1453"/>
      <c r="AI263" s="1453"/>
      <c r="AJ263" s="1453"/>
      <c r="AK263" s="1465"/>
      <c r="AL263" s="1435"/>
      <c r="AM263" s="1436"/>
      <c r="AN263" s="1437"/>
      <c r="AO263" s="1438"/>
      <c r="AP263" s="1439"/>
      <c r="AQ263" s="1440"/>
      <c r="AR263" s="1441"/>
      <c r="AS263" s="1442"/>
      <c r="AT263" s="1443"/>
      <c r="AU263" s="1444"/>
      <c r="AV263" s="1442"/>
      <c r="AW263" s="1445"/>
      <c r="AX263" s="1446"/>
      <c r="AY263" s="1446"/>
      <c r="AZ263" s="1446"/>
      <c r="BA263" s="1447"/>
      <c r="BB263" s="1447"/>
      <c r="BC263" s="1446"/>
      <c r="BD263" s="1448"/>
      <c r="BE263" s="1442"/>
      <c r="BF263" s="1447"/>
      <c r="BG263" s="1449"/>
      <c r="BH263" s="1447"/>
      <c r="BI263" s="1447"/>
      <c r="BJ263" s="1449"/>
      <c r="BK263" s="1447"/>
      <c r="BL263" s="1447"/>
      <c r="BM263" s="1449"/>
      <c r="BN263" s="1447"/>
      <c r="BO263" s="1447"/>
      <c r="BP263" s="1448"/>
    </row>
    <row r="264">
      <c r="A264" s="1453"/>
      <c r="B264" s="1454"/>
      <c r="C264" s="1454"/>
      <c r="D264" s="1453"/>
      <c r="E264" s="1453"/>
      <c r="F264" s="1453"/>
      <c r="G264" s="1455"/>
      <c r="H264" s="1455"/>
      <c r="I264" s="1456"/>
      <c r="J264" s="1457"/>
      <c r="K264" s="1458"/>
      <c r="L264" s="1459"/>
      <c r="M264" s="1459"/>
      <c r="N264" s="1460"/>
      <c r="O264" s="1460"/>
      <c r="P264" s="1461"/>
      <c r="Q264" s="1461"/>
      <c r="R264" s="1462"/>
      <c r="S264" s="1463"/>
      <c r="T264" s="1464"/>
      <c r="U264" s="1453"/>
      <c r="V264" s="1453"/>
      <c r="W264" s="1453"/>
      <c r="X264" s="1453"/>
      <c r="Y264" s="1453"/>
      <c r="Z264" s="1453"/>
      <c r="AA264" s="1453"/>
      <c r="AB264" s="1453"/>
      <c r="AC264" s="1453"/>
      <c r="AD264" s="1453"/>
      <c r="AE264" s="1453"/>
      <c r="AF264" s="1453"/>
      <c r="AG264" s="1453"/>
      <c r="AH264" s="1453"/>
      <c r="AI264" s="1453"/>
      <c r="AJ264" s="1453"/>
      <c r="AK264" s="1465"/>
      <c r="AL264" s="1435"/>
      <c r="AM264" s="1436"/>
      <c r="AN264" s="1437"/>
      <c r="AO264" s="1438"/>
      <c r="AP264" s="1439"/>
      <c r="AQ264" s="1440"/>
      <c r="AR264" s="1441"/>
      <c r="AS264" s="1442"/>
      <c r="AT264" s="1443"/>
      <c r="AU264" s="1444"/>
      <c r="AV264" s="1442"/>
      <c r="AW264" s="1445"/>
      <c r="AX264" s="1446"/>
      <c r="AY264" s="1446"/>
      <c r="AZ264" s="1446"/>
      <c r="BA264" s="1447"/>
      <c r="BB264" s="1447"/>
      <c r="BC264" s="1446"/>
      <c r="BD264" s="1448"/>
      <c r="BE264" s="1442"/>
      <c r="BF264" s="1447"/>
      <c r="BG264" s="1449"/>
      <c r="BH264" s="1447"/>
      <c r="BI264" s="1447"/>
      <c r="BJ264" s="1449"/>
      <c r="BK264" s="1447"/>
      <c r="BL264" s="1447"/>
      <c r="BM264" s="1449"/>
      <c r="BN264" s="1447"/>
      <c r="BO264" s="1447"/>
      <c r="BP264" s="1448"/>
    </row>
    <row r="265">
      <c r="A265" s="1453"/>
      <c r="B265" s="1454"/>
      <c r="C265" s="1454"/>
      <c r="D265" s="1453"/>
      <c r="E265" s="1453"/>
      <c r="F265" s="1453"/>
      <c r="G265" s="1455"/>
      <c r="H265" s="1455"/>
      <c r="I265" s="1456"/>
      <c r="J265" s="1457"/>
      <c r="K265" s="1458"/>
      <c r="L265" s="1459"/>
      <c r="M265" s="1459"/>
      <c r="N265" s="1460"/>
      <c r="O265" s="1460"/>
      <c r="P265" s="1461"/>
      <c r="Q265" s="1461"/>
      <c r="R265" s="1462"/>
      <c r="S265" s="1463"/>
      <c r="T265" s="1464"/>
      <c r="U265" s="1453"/>
      <c r="V265" s="1453"/>
      <c r="W265" s="1453"/>
      <c r="X265" s="1453"/>
      <c r="Y265" s="1453"/>
      <c r="Z265" s="1453"/>
      <c r="AA265" s="1453"/>
      <c r="AB265" s="1453"/>
      <c r="AC265" s="1453"/>
      <c r="AD265" s="1453"/>
      <c r="AE265" s="1453"/>
      <c r="AF265" s="1453"/>
      <c r="AG265" s="1453"/>
      <c r="AH265" s="1453"/>
      <c r="AI265" s="1453"/>
      <c r="AJ265" s="1453"/>
      <c r="AK265" s="1465"/>
      <c r="AL265" s="1435"/>
      <c r="AM265" s="1436"/>
      <c r="AN265" s="1437"/>
      <c r="AO265" s="1438"/>
      <c r="AP265" s="1439"/>
      <c r="AQ265" s="1440"/>
      <c r="AR265" s="1441"/>
      <c r="AS265" s="1442"/>
      <c r="AT265" s="1443"/>
      <c r="AU265" s="1444"/>
      <c r="AV265" s="1442"/>
      <c r="AW265" s="1445"/>
      <c r="AX265" s="1446"/>
      <c r="AY265" s="1446"/>
      <c r="AZ265" s="1446"/>
      <c r="BA265" s="1447"/>
      <c r="BB265" s="1447"/>
      <c r="BC265" s="1446"/>
      <c r="BD265" s="1448"/>
      <c r="BE265" s="1442"/>
      <c r="BF265" s="1447"/>
      <c r="BG265" s="1449"/>
      <c r="BH265" s="1447"/>
      <c r="BI265" s="1447"/>
      <c r="BJ265" s="1449"/>
      <c r="BK265" s="1447"/>
      <c r="BL265" s="1447"/>
      <c r="BM265" s="1449"/>
      <c r="BN265" s="1447"/>
      <c r="BO265" s="1447"/>
      <c r="BP265" s="1448"/>
    </row>
    <row r="266">
      <c r="A266" s="1453"/>
      <c r="B266" s="1454"/>
      <c r="C266" s="1454"/>
      <c r="D266" s="1453"/>
      <c r="E266" s="1453"/>
      <c r="F266" s="1453"/>
      <c r="G266" s="1455"/>
      <c r="H266" s="1455"/>
      <c r="I266" s="1456"/>
      <c r="J266" s="1457"/>
      <c r="K266" s="1458"/>
      <c r="L266" s="1459"/>
      <c r="M266" s="1459"/>
      <c r="N266" s="1460"/>
      <c r="O266" s="1460"/>
      <c r="P266" s="1461"/>
      <c r="Q266" s="1461"/>
      <c r="R266" s="1462"/>
      <c r="S266" s="1463"/>
      <c r="T266" s="1464"/>
      <c r="U266" s="1453"/>
      <c r="V266" s="1453"/>
      <c r="W266" s="1453"/>
      <c r="X266" s="1453"/>
      <c r="Y266" s="1453"/>
      <c r="Z266" s="1453"/>
      <c r="AA266" s="1453"/>
      <c r="AB266" s="1453"/>
      <c r="AC266" s="1453"/>
      <c r="AD266" s="1453"/>
      <c r="AE266" s="1453"/>
      <c r="AF266" s="1453"/>
      <c r="AG266" s="1453"/>
      <c r="AH266" s="1453"/>
      <c r="AI266" s="1453"/>
      <c r="AJ266" s="1453"/>
      <c r="AK266" s="1465"/>
      <c r="AL266" s="1435"/>
      <c r="AM266" s="1436"/>
      <c r="AN266" s="1437"/>
      <c r="AO266" s="1438"/>
      <c r="AP266" s="1439"/>
      <c r="AQ266" s="1440"/>
      <c r="AR266" s="1441"/>
      <c r="AS266" s="1442"/>
      <c r="AT266" s="1443"/>
      <c r="AU266" s="1444"/>
      <c r="AV266" s="1442"/>
      <c r="AW266" s="1445"/>
      <c r="AX266" s="1446"/>
      <c r="AY266" s="1446"/>
      <c r="AZ266" s="1446"/>
      <c r="BA266" s="1447"/>
      <c r="BB266" s="1447"/>
      <c r="BC266" s="1446"/>
      <c r="BD266" s="1448"/>
      <c r="BE266" s="1442"/>
      <c r="BF266" s="1447"/>
      <c r="BG266" s="1449"/>
      <c r="BH266" s="1447"/>
      <c r="BI266" s="1447"/>
      <c r="BJ266" s="1449"/>
      <c r="BK266" s="1447"/>
      <c r="BL266" s="1447"/>
      <c r="BM266" s="1449"/>
      <c r="BN266" s="1447"/>
      <c r="BO266" s="1447"/>
      <c r="BP266" s="1448"/>
    </row>
    <row r="267">
      <c r="A267" s="1453"/>
      <c r="B267" s="1454"/>
      <c r="C267" s="1454"/>
      <c r="D267" s="1453"/>
      <c r="E267" s="1453"/>
      <c r="F267" s="1453"/>
      <c r="G267" s="1455"/>
      <c r="H267" s="1455"/>
      <c r="I267" s="1456"/>
      <c r="J267" s="1457"/>
      <c r="K267" s="1458"/>
      <c r="L267" s="1459"/>
      <c r="M267" s="1459"/>
      <c r="N267" s="1460"/>
      <c r="O267" s="1460"/>
      <c r="P267" s="1461"/>
      <c r="Q267" s="1461"/>
      <c r="R267" s="1462"/>
      <c r="S267" s="1463"/>
      <c r="T267" s="1464"/>
      <c r="U267" s="1453"/>
      <c r="V267" s="1453"/>
      <c r="W267" s="1453"/>
      <c r="X267" s="1453"/>
      <c r="Y267" s="1453"/>
      <c r="Z267" s="1453"/>
      <c r="AA267" s="1453"/>
      <c r="AB267" s="1453"/>
      <c r="AC267" s="1453"/>
      <c r="AD267" s="1453"/>
      <c r="AE267" s="1453"/>
      <c r="AF267" s="1453"/>
      <c r="AG267" s="1453"/>
      <c r="AH267" s="1453"/>
      <c r="AI267" s="1453"/>
      <c r="AJ267" s="1453"/>
      <c r="AK267" s="1465"/>
      <c r="AL267" s="1435"/>
      <c r="AM267" s="1436"/>
      <c r="AN267" s="1437"/>
      <c r="AO267" s="1438"/>
      <c r="AP267" s="1439"/>
      <c r="AQ267" s="1440"/>
      <c r="AR267" s="1441"/>
      <c r="AS267" s="1442"/>
      <c r="AT267" s="1443"/>
      <c r="AU267" s="1444"/>
      <c r="AV267" s="1442"/>
      <c r="AW267" s="1445"/>
      <c r="AX267" s="1446"/>
      <c r="AY267" s="1446"/>
      <c r="AZ267" s="1446"/>
      <c r="BA267" s="1447"/>
      <c r="BB267" s="1447"/>
      <c r="BC267" s="1446"/>
      <c r="BD267" s="1448"/>
      <c r="BE267" s="1442"/>
      <c r="BF267" s="1447"/>
      <c r="BG267" s="1449"/>
      <c r="BH267" s="1447"/>
      <c r="BI267" s="1447"/>
      <c r="BJ267" s="1449"/>
      <c r="BK267" s="1447"/>
      <c r="BL267" s="1447"/>
      <c r="BM267" s="1449"/>
      <c r="BN267" s="1447"/>
      <c r="BO267" s="1447"/>
      <c r="BP267" s="1448"/>
    </row>
    <row r="268">
      <c r="A268" s="1453"/>
      <c r="B268" s="1454"/>
      <c r="C268" s="1454"/>
      <c r="D268" s="1453"/>
      <c r="E268" s="1453"/>
      <c r="F268" s="1453"/>
      <c r="G268" s="1455"/>
      <c r="H268" s="1455"/>
      <c r="I268" s="1456"/>
      <c r="J268" s="1457"/>
      <c r="K268" s="1458"/>
      <c r="L268" s="1459"/>
      <c r="M268" s="1459"/>
      <c r="N268" s="1460"/>
      <c r="O268" s="1460"/>
      <c r="P268" s="1461"/>
      <c r="Q268" s="1461"/>
      <c r="R268" s="1462"/>
      <c r="S268" s="1463"/>
      <c r="T268" s="1464"/>
      <c r="U268" s="1453"/>
      <c r="V268" s="1453"/>
      <c r="W268" s="1453"/>
      <c r="X268" s="1453"/>
      <c r="Y268" s="1453"/>
      <c r="Z268" s="1453"/>
      <c r="AA268" s="1453"/>
      <c r="AB268" s="1453"/>
      <c r="AC268" s="1453"/>
      <c r="AD268" s="1453"/>
      <c r="AE268" s="1453"/>
      <c r="AF268" s="1453"/>
      <c r="AG268" s="1453"/>
      <c r="AH268" s="1453"/>
      <c r="AI268" s="1453"/>
      <c r="AJ268" s="1453"/>
      <c r="AK268" s="1465"/>
      <c r="AL268" s="1435"/>
      <c r="AM268" s="1436"/>
      <c r="AN268" s="1437"/>
      <c r="AO268" s="1438"/>
      <c r="AP268" s="1439"/>
      <c r="AQ268" s="1440"/>
      <c r="AR268" s="1441"/>
      <c r="AS268" s="1442"/>
      <c r="AT268" s="1443"/>
      <c r="AU268" s="1444"/>
      <c r="AV268" s="1442"/>
      <c r="AW268" s="1445"/>
      <c r="AX268" s="1446"/>
      <c r="AY268" s="1446"/>
      <c r="AZ268" s="1446"/>
      <c r="BA268" s="1447"/>
      <c r="BB268" s="1447"/>
      <c r="BC268" s="1446"/>
      <c r="BD268" s="1448"/>
      <c r="BE268" s="1442"/>
      <c r="BF268" s="1447"/>
      <c r="BG268" s="1449"/>
      <c r="BH268" s="1447"/>
      <c r="BI268" s="1447"/>
      <c r="BJ268" s="1449"/>
      <c r="BK268" s="1447"/>
      <c r="BL268" s="1447"/>
      <c r="BM268" s="1449"/>
      <c r="BN268" s="1447"/>
      <c r="BO268" s="1447"/>
      <c r="BP268" s="1448"/>
    </row>
    <row r="269">
      <c r="A269" s="1453"/>
      <c r="B269" s="1454"/>
      <c r="C269" s="1454"/>
      <c r="D269" s="1453"/>
      <c r="E269" s="1453"/>
      <c r="F269" s="1453"/>
      <c r="G269" s="1455"/>
      <c r="H269" s="1455"/>
      <c r="I269" s="1456"/>
      <c r="J269" s="1457"/>
      <c r="K269" s="1458"/>
      <c r="L269" s="1459"/>
      <c r="M269" s="1459"/>
      <c r="N269" s="1460"/>
      <c r="O269" s="1460"/>
      <c r="P269" s="1461"/>
      <c r="Q269" s="1461"/>
      <c r="R269" s="1462"/>
      <c r="S269" s="1463"/>
      <c r="T269" s="1464"/>
      <c r="U269" s="1453"/>
      <c r="V269" s="1453"/>
      <c r="W269" s="1453"/>
      <c r="X269" s="1453"/>
      <c r="Y269" s="1453"/>
      <c r="Z269" s="1453"/>
      <c r="AA269" s="1453"/>
      <c r="AB269" s="1453"/>
      <c r="AC269" s="1453"/>
      <c r="AD269" s="1453"/>
      <c r="AE269" s="1453"/>
      <c r="AF269" s="1453"/>
      <c r="AG269" s="1453"/>
      <c r="AH269" s="1453"/>
      <c r="AI269" s="1453"/>
      <c r="AJ269" s="1453"/>
      <c r="AK269" s="1465"/>
      <c r="AL269" s="1435"/>
      <c r="AM269" s="1436"/>
      <c r="AN269" s="1437"/>
      <c r="AO269" s="1438"/>
      <c r="AP269" s="1439"/>
      <c r="AQ269" s="1440"/>
      <c r="AR269" s="1441"/>
      <c r="AS269" s="1442"/>
      <c r="AT269" s="1443"/>
      <c r="AU269" s="1444"/>
      <c r="AV269" s="1442"/>
      <c r="AW269" s="1445"/>
      <c r="AX269" s="1446"/>
      <c r="AY269" s="1446"/>
      <c r="AZ269" s="1446"/>
      <c r="BA269" s="1447"/>
      <c r="BB269" s="1447"/>
      <c r="BC269" s="1446"/>
      <c r="BD269" s="1448"/>
      <c r="BE269" s="1442"/>
      <c r="BF269" s="1447"/>
      <c r="BG269" s="1449"/>
      <c r="BH269" s="1447"/>
      <c r="BI269" s="1447"/>
      <c r="BJ269" s="1449"/>
      <c r="BK269" s="1447"/>
      <c r="BL269" s="1447"/>
      <c r="BM269" s="1449"/>
      <c r="BN269" s="1447"/>
      <c r="BO269" s="1447"/>
      <c r="BP269" s="1448"/>
    </row>
    <row r="270">
      <c r="A270" s="1453"/>
      <c r="B270" s="1454"/>
      <c r="C270" s="1454"/>
      <c r="D270" s="1453"/>
      <c r="E270" s="1453"/>
      <c r="F270" s="1453"/>
      <c r="G270" s="1455"/>
      <c r="H270" s="1455"/>
      <c r="I270" s="1456"/>
      <c r="J270" s="1457"/>
      <c r="K270" s="1458"/>
      <c r="L270" s="1459"/>
      <c r="M270" s="1459"/>
      <c r="N270" s="1460"/>
      <c r="O270" s="1460"/>
      <c r="P270" s="1461"/>
      <c r="Q270" s="1461"/>
      <c r="R270" s="1462"/>
      <c r="S270" s="1463"/>
      <c r="T270" s="1464"/>
      <c r="U270" s="1453"/>
      <c r="V270" s="1453"/>
      <c r="W270" s="1453"/>
      <c r="X270" s="1453"/>
      <c r="Y270" s="1453"/>
      <c r="Z270" s="1453"/>
      <c r="AA270" s="1453"/>
      <c r="AB270" s="1453"/>
      <c r="AC270" s="1453"/>
      <c r="AD270" s="1453"/>
      <c r="AE270" s="1453"/>
      <c r="AF270" s="1453"/>
      <c r="AG270" s="1453"/>
      <c r="AH270" s="1453"/>
      <c r="AI270" s="1453"/>
      <c r="AJ270" s="1453"/>
      <c r="AK270" s="1465"/>
      <c r="AL270" s="1435"/>
      <c r="AM270" s="1436"/>
      <c r="AN270" s="1437"/>
      <c r="AO270" s="1438"/>
      <c r="AP270" s="1439"/>
      <c r="AQ270" s="1440"/>
      <c r="AR270" s="1441"/>
      <c r="AS270" s="1442"/>
      <c r="AT270" s="1443"/>
      <c r="AU270" s="1444"/>
      <c r="AV270" s="1442"/>
      <c r="AW270" s="1445"/>
      <c r="AX270" s="1446"/>
      <c r="AY270" s="1446"/>
      <c r="AZ270" s="1446"/>
      <c r="BA270" s="1447"/>
      <c r="BB270" s="1447"/>
      <c r="BC270" s="1446"/>
      <c r="BD270" s="1448"/>
      <c r="BE270" s="1442"/>
      <c r="BF270" s="1447"/>
      <c r="BG270" s="1449"/>
      <c r="BH270" s="1447"/>
      <c r="BI270" s="1447"/>
      <c r="BJ270" s="1449"/>
      <c r="BK270" s="1447"/>
      <c r="BL270" s="1447"/>
      <c r="BM270" s="1449"/>
      <c r="BN270" s="1447"/>
      <c r="BO270" s="1447"/>
      <c r="BP270" s="1448"/>
    </row>
    <row r="271">
      <c r="A271" s="1453"/>
      <c r="B271" s="1454"/>
      <c r="C271" s="1454"/>
      <c r="D271" s="1453"/>
      <c r="E271" s="1453"/>
      <c r="F271" s="1453"/>
      <c r="G271" s="1455"/>
      <c r="H271" s="1455"/>
      <c r="I271" s="1456"/>
      <c r="J271" s="1457"/>
      <c r="K271" s="1458"/>
      <c r="L271" s="1459"/>
      <c r="M271" s="1459"/>
      <c r="N271" s="1460"/>
      <c r="O271" s="1460"/>
      <c r="P271" s="1461"/>
      <c r="Q271" s="1461"/>
      <c r="R271" s="1462"/>
      <c r="S271" s="1463"/>
      <c r="T271" s="1464"/>
      <c r="U271" s="1453"/>
      <c r="V271" s="1453"/>
      <c r="W271" s="1453"/>
      <c r="X271" s="1453"/>
      <c r="Y271" s="1453"/>
      <c r="Z271" s="1453"/>
      <c r="AA271" s="1453"/>
      <c r="AB271" s="1453"/>
      <c r="AC271" s="1453"/>
      <c r="AD271" s="1453"/>
      <c r="AE271" s="1453"/>
      <c r="AF271" s="1453"/>
      <c r="AG271" s="1453"/>
      <c r="AH271" s="1453"/>
      <c r="AI271" s="1453"/>
      <c r="AJ271" s="1453"/>
      <c r="AK271" s="1465"/>
      <c r="AL271" s="1435"/>
      <c r="AM271" s="1436"/>
      <c r="AN271" s="1437"/>
      <c r="AO271" s="1438"/>
      <c r="AP271" s="1439"/>
      <c r="AQ271" s="1440"/>
      <c r="AR271" s="1441"/>
      <c r="AS271" s="1442"/>
      <c r="AT271" s="1443"/>
      <c r="AU271" s="1444"/>
      <c r="AV271" s="1442"/>
      <c r="AW271" s="1445"/>
      <c r="AX271" s="1446"/>
      <c r="AY271" s="1446"/>
      <c r="AZ271" s="1446"/>
      <c r="BA271" s="1447"/>
      <c r="BB271" s="1447"/>
      <c r="BC271" s="1446"/>
      <c r="BD271" s="1448"/>
      <c r="BE271" s="1442"/>
      <c r="BF271" s="1447"/>
      <c r="BG271" s="1449"/>
      <c r="BH271" s="1447"/>
      <c r="BI271" s="1447"/>
      <c r="BJ271" s="1449"/>
      <c r="BK271" s="1447"/>
      <c r="BL271" s="1447"/>
      <c r="BM271" s="1449"/>
      <c r="BN271" s="1447"/>
      <c r="BO271" s="1447"/>
      <c r="BP271" s="1448"/>
    </row>
    <row r="272">
      <c r="A272" s="1453"/>
      <c r="B272" s="1454"/>
      <c r="C272" s="1454"/>
      <c r="D272" s="1453"/>
      <c r="E272" s="1453"/>
      <c r="F272" s="1453"/>
      <c r="G272" s="1455"/>
      <c r="H272" s="1455"/>
      <c r="I272" s="1456"/>
      <c r="J272" s="1457"/>
      <c r="K272" s="1458"/>
      <c r="L272" s="1459"/>
      <c r="M272" s="1459"/>
      <c r="N272" s="1460"/>
      <c r="O272" s="1460"/>
      <c r="P272" s="1461"/>
      <c r="Q272" s="1461"/>
      <c r="R272" s="1462"/>
      <c r="S272" s="1463"/>
      <c r="T272" s="1464"/>
      <c r="U272" s="1453"/>
      <c r="V272" s="1453"/>
      <c r="W272" s="1453"/>
      <c r="X272" s="1453"/>
      <c r="Y272" s="1453"/>
      <c r="Z272" s="1453"/>
      <c r="AA272" s="1453"/>
      <c r="AB272" s="1453"/>
      <c r="AC272" s="1453"/>
      <c r="AD272" s="1453"/>
      <c r="AE272" s="1453"/>
      <c r="AF272" s="1453"/>
      <c r="AG272" s="1453"/>
      <c r="AH272" s="1453"/>
      <c r="AI272" s="1453"/>
      <c r="AJ272" s="1453"/>
      <c r="AK272" s="1465"/>
      <c r="AL272" s="1435"/>
      <c r="AM272" s="1436"/>
      <c r="AN272" s="1437"/>
      <c r="AO272" s="1438"/>
      <c r="AP272" s="1439"/>
      <c r="AQ272" s="1440"/>
      <c r="AR272" s="1441"/>
      <c r="AS272" s="1442"/>
      <c r="AT272" s="1443"/>
      <c r="AU272" s="1444"/>
      <c r="AV272" s="1442"/>
      <c r="AW272" s="1445"/>
      <c r="AX272" s="1446"/>
      <c r="AY272" s="1446"/>
      <c r="AZ272" s="1446"/>
      <c r="BA272" s="1447"/>
      <c r="BB272" s="1447"/>
      <c r="BC272" s="1446"/>
      <c r="BD272" s="1448"/>
      <c r="BE272" s="1442"/>
      <c r="BF272" s="1447"/>
      <c r="BG272" s="1449"/>
      <c r="BH272" s="1447"/>
      <c r="BI272" s="1447"/>
      <c r="BJ272" s="1449"/>
      <c r="BK272" s="1447"/>
      <c r="BL272" s="1447"/>
      <c r="BM272" s="1449"/>
      <c r="BN272" s="1447"/>
      <c r="BO272" s="1447"/>
      <c r="BP272" s="1448"/>
    </row>
    <row r="273">
      <c r="A273" s="1453"/>
      <c r="B273" s="1454"/>
      <c r="C273" s="1454"/>
      <c r="D273" s="1453"/>
      <c r="E273" s="1453"/>
      <c r="F273" s="1453"/>
      <c r="G273" s="1455"/>
      <c r="H273" s="1455"/>
      <c r="I273" s="1456"/>
      <c r="J273" s="1457"/>
      <c r="K273" s="1458"/>
      <c r="L273" s="1459"/>
      <c r="M273" s="1459"/>
      <c r="N273" s="1460"/>
      <c r="O273" s="1460"/>
      <c r="P273" s="1461"/>
      <c r="Q273" s="1461"/>
      <c r="R273" s="1462"/>
      <c r="S273" s="1463"/>
      <c r="T273" s="1464"/>
      <c r="U273" s="1453"/>
      <c r="V273" s="1453"/>
      <c r="W273" s="1453"/>
      <c r="X273" s="1453"/>
      <c r="Y273" s="1453"/>
      <c r="Z273" s="1453"/>
      <c r="AA273" s="1453"/>
      <c r="AB273" s="1453"/>
      <c r="AC273" s="1453"/>
      <c r="AD273" s="1453"/>
      <c r="AE273" s="1453"/>
      <c r="AF273" s="1453"/>
      <c r="AG273" s="1453"/>
      <c r="AH273" s="1453"/>
      <c r="AI273" s="1453"/>
      <c r="AJ273" s="1453"/>
      <c r="AK273" s="1465"/>
      <c r="AL273" s="1435"/>
      <c r="AM273" s="1436"/>
      <c r="AN273" s="1437"/>
      <c r="AO273" s="1438"/>
      <c r="AP273" s="1439"/>
      <c r="AQ273" s="1440"/>
      <c r="AR273" s="1441"/>
      <c r="AS273" s="1442"/>
      <c r="AT273" s="1443"/>
      <c r="AU273" s="1444"/>
      <c r="AV273" s="1442"/>
      <c r="AW273" s="1445"/>
      <c r="AX273" s="1446"/>
      <c r="AY273" s="1446"/>
      <c r="AZ273" s="1446"/>
      <c r="BA273" s="1447"/>
      <c r="BB273" s="1447"/>
      <c r="BC273" s="1446"/>
      <c r="BD273" s="1448"/>
      <c r="BE273" s="1442"/>
      <c r="BF273" s="1447"/>
      <c r="BG273" s="1449"/>
      <c r="BH273" s="1447"/>
      <c r="BI273" s="1447"/>
      <c r="BJ273" s="1449"/>
      <c r="BK273" s="1447"/>
      <c r="BL273" s="1447"/>
      <c r="BM273" s="1449"/>
      <c r="BN273" s="1447"/>
      <c r="BO273" s="1447"/>
      <c r="BP273" s="1448"/>
    </row>
    <row r="274">
      <c r="A274" s="1453"/>
      <c r="B274" s="1454"/>
      <c r="C274" s="1454"/>
      <c r="D274" s="1453"/>
      <c r="E274" s="1453"/>
      <c r="F274" s="1453"/>
      <c r="G274" s="1455"/>
      <c r="H274" s="1455"/>
      <c r="I274" s="1456"/>
      <c r="J274" s="1457"/>
      <c r="K274" s="1458"/>
      <c r="L274" s="1459"/>
      <c r="M274" s="1459"/>
      <c r="N274" s="1460"/>
      <c r="O274" s="1460"/>
      <c r="P274" s="1461"/>
      <c r="Q274" s="1461"/>
      <c r="R274" s="1462"/>
      <c r="S274" s="1463"/>
      <c r="T274" s="1464"/>
      <c r="U274" s="1453"/>
      <c r="V274" s="1453"/>
      <c r="W274" s="1453"/>
      <c r="X274" s="1453"/>
      <c r="Y274" s="1453"/>
      <c r="Z274" s="1453"/>
      <c r="AA274" s="1453"/>
      <c r="AB274" s="1453"/>
      <c r="AC274" s="1453"/>
      <c r="AD274" s="1453"/>
      <c r="AE274" s="1453"/>
      <c r="AF274" s="1453"/>
      <c r="AG274" s="1453"/>
      <c r="AH274" s="1453"/>
      <c r="AI274" s="1453"/>
      <c r="AJ274" s="1453"/>
      <c r="AK274" s="1465"/>
      <c r="AL274" s="1435"/>
      <c r="AM274" s="1436"/>
      <c r="AN274" s="1437"/>
      <c r="AO274" s="1438"/>
      <c r="AP274" s="1439"/>
      <c r="AQ274" s="1440"/>
      <c r="AR274" s="1441"/>
      <c r="AS274" s="1442"/>
      <c r="AT274" s="1443"/>
      <c r="AU274" s="1444"/>
      <c r="AV274" s="1442"/>
      <c r="AW274" s="1445"/>
      <c r="AX274" s="1446"/>
      <c r="AY274" s="1446"/>
      <c r="AZ274" s="1446"/>
      <c r="BA274" s="1447"/>
      <c r="BB274" s="1447"/>
      <c r="BC274" s="1446"/>
      <c r="BD274" s="1448"/>
      <c r="BE274" s="1442"/>
      <c r="BF274" s="1447"/>
      <c r="BG274" s="1449"/>
      <c r="BH274" s="1447"/>
      <c r="BI274" s="1447"/>
      <c r="BJ274" s="1449"/>
      <c r="BK274" s="1447"/>
      <c r="BL274" s="1447"/>
      <c r="BM274" s="1449"/>
      <c r="BN274" s="1447"/>
      <c r="BO274" s="1447"/>
      <c r="BP274" s="1448"/>
    </row>
    <row r="275">
      <c r="A275" s="1453"/>
      <c r="B275" s="1454"/>
      <c r="C275" s="1454"/>
      <c r="D275" s="1453"/>
      <c r="E275" s="1453"/>
      <c r="F275" s="1453"/>
      <c r="G275" s="1455"/>
      <c r="H275" s="1455"/>
      <c r="I275" s="1456"/>
      <c r="J275" s="1457"/>
      <c r="K275" s="1458"/>
      <c r="L275" s="1459"/>
      <c r="M275" s="1459"/>
      <c r="N275" s="1460"/>
      <c r="O275" s="1460"/>
      <c r="P275" s="1461"/>
      <c r="Q275" s="1461"/>
      <c r="R275" s="1462"/>
      <c r="S275" s="1463"/>
      <c r="T275" s="1464"/>
      <c r="U275" s="1453"/>
      <c r="V275" s="1453"/>
      <c r="W275" s="1453"/>
      <c r="X275" s="1453"/>
      <c r="Y275" s="1453"/>
      <c r="Z275" s="1453"/>
      <c r="AA275" s="1453"/>
      <c r="AB275" s="1453"/>
      <c r="AC275" s="1453"/>
      <c r="AD275" s="1453"/>
      <c r="AE275" s="1453"/>
      <c r="AF275" s="1453"/>
      <c r="AG275" s="1453"/>
      <c r="AH275" s="1453"/>
      <c r="AI275" s="1453"/>
      <c r="AJ275" s="1453"/>
      <c r="AK275" s="1465"/>
      <c r="AL275" s="1435"/>
      <c r="AM275" s="1436"/>
      <c r="AN275" s="1437"/>
      <c r="AO275" s="1438"/>
      <c r="AP275" s="1439"/>
      <c r="AQ275" s="1440"/>
      <c r="AR275" s="1441"/>
      <c r="AS275" s="1442"/>
      <c r="AT275" s="1443"/>
      <c r="AU275" s="1444"/>
      <c r="AV275" s="1442"/>
      <c r="AW275" s="1445"/>
      <c r="AX275" s="1446"/>
      <c r="AY275" s="1446"/>
      <c r="AZ275" s="1446"/>
      <c r="BA275" s="1447"/>
      <c r="BB275" s="1447"/>
      <c r="BC275" s="1446"/>
      <c r="BD275" s="1448"/>
      <c r="BE275" s="1442"/>
      <c r="BF275" s="1447"/>
      <c r="BG275" s="1449"/>
      <c r="BH275" s="1447"/>
      <c r="BI275" s="1447"/>
      <c r="BJ275" s="1449"/>
      <c r="BK275" s="1447"/>
      <c r="BL275" s="1447"/>
      <c r="BM275" s="1449"/>
      <c r="BN275" s="1447"/>
      <c r="BO275" s="1447"/>
      <c r="BP275" s="1448"/>
    </row>
    <row r="276">
      <c r="A276" s="1453"/>
      <c r="B276" s="1454"/>
      <c r="C276" s="1454"/>
      <c r="D276" s="1453"/>
      <c r="E276" s="1453"/>
      <c r="F276" s="1453"/>
      <c r="G276" s="1455"/>
      <c r="H276" s="1455"/>
      <c r="I276" s="1456"/>
      <c r="J276" s="1457"/>
      <c r="K276" s="1458"/>
      <c r="L276" s="1459"/>
      <c r="M276" s="1459"/>
      <c r="N276" s="1460"/>
      <c r="O276" s="1460"/>
      <c r="P276" s="1461"/>
      <c r="Q276" s="1461"/>
      <c r="R276" s="1462"/>
      <c r="S276" s="1463"/>
      <c r="T276" s="1464"/>
      <c r="U276" s="1453"/>
      <c r="V276" s="1453"/>
      <c r="W276" s="1453"/>
      <c r="X276" s="1453"/>
      <c r="Y276" s="1453"/>
      <c r="Z276" s="1453"/>
      <c r="AA276" s="1453"/>
      <c r="AB276" s="1453"/>
      <c r="AC276" s="1453"/>
      <c r="AD276" s="1453"/>
      <c r="AE276" s="1453"/>
      <c r="AF276" s="1453"/>
      <c r="AG276" s="1453"/>
      <c r="AH276" s="1453"/>
      <c r="AI276" s="1453"/>
      <c r="AJ276" s="1453"/>
      <c r="AK276" s="1465"/>
      <c r="AL276" s="1435"/>
      <c r="AM276" s="1436"/>
      <c r="AN276" s="1437"/>
      <c r="AO276" s="1438"/>
      <c r="AP276" s="1439"/>
      <c r="AQ276" s="1440"/>
      <c r="AR276" s="1441"/>
      <c r="AS276" s="1442"/>
      <c r="AT276" s="1443"/>
      <c r="AU276" s="1444"/>
      <c r="AV276" s="1442"/>
      <c r="AW276" s="1445"/>
      <c r="AX276" s="1446"/>
      <c r="AY276" s="1446"/>
      <c r="AZ276" s="1446"/>
      <c r="BA276" s="1447"/>
      <c r="BB276" s="1447"/>
      <c r="BC276" s="1446"/>
      <c r="BD276" s="1448"/>
      <c r="BE276" s="1442"/>
      <c r="BF276" s="1447"/>
      <c r="BG276" s="1449"/>
      <c r="BH276" s="1447"/>
      <c r="BI276" s="1447"/>
      <c r="BJ276" s="1449"/>
      <c r="BK276" s="1447"/>
      <c r="BL276" s="1447"/>
      <c r="BM276" s="1449"/>
      <c r="BN276" s="1447"/>
      <c r="BO276" s="1447"/>
      <c r="BP276" s="1448"/>
    </row>
    <row r="277">
      <c r="A277" s="1453"/>
      <c r="B277" s="1454"/>
      <c r="C277" s="1454"/>
      <c r="D277" s="1453"/>
      <c r="E277" s="1453"/>
      <c r="F277" s="1453"/>
      <c r="G277" s="1455"/>
      <c r="H277" s="1455"/>
      <c r="I277" s="1456"/>
      <c r="J277" s="1457"/>
      <c r="K277" s="1458"/>
      <c r="L277" s="1459"/>
      <c r="M277" s="1459"/>
      <c r="N277" s="1460"/>
      <c r="O277" s="1460"/>
      <c r="P277" s="1461"/>
      <c r="Q277" s="1461"/>
      <c r="R277" s="1462"/>
      <c r="S277" s="1463"/>
      <c r="T277" s="1464"/>
      <c r="U277" s="1453"/>
      <c r="V277" s="1453"/>
      <c r="W277" s="1453"/>
      <c r="X277" s="1453"/>
      <c r="Y277" s="1453"/>
      <c r="Z277" s="1453"/>
      <c r="AA277" s="1453"/>
      <c r="AB277" s="1453"/>
      <c r="AC277" s="1453"/>
      <c r="AD277" s="1453"/>
      <c r="AE277" s="1453"/>
      <c r="AF277" s="1453"/>
      <c r="AG277" s="1453"/>
      <c r="AH277" s="1453"/>
      <c r="AI277" s="1453"/>
      <c r="AJ277" s="1453"/>
      <c r="AK277" s="1465"/>
      <c r="AL277" s="1435"/>
      <c r="AM277" s="1436"/>
      <c r="AN277" s="1437"/>
      <c r="AO277" s="1438"/>
      <c r="AP277" s="1439"/>
      <c r="AQ277" s="1440"/>
      <c r="AR277" s="1441"/>
      <c r="AS277" s="1442"/>
      <c r="AT277" s="1443"/>
      <c r="AU277" s="1444"/>
      <c r="AV277" s="1442"/>
      <c r="AW277" s="1445"/>
      <c r="AX277" s="1446"/>
      <c r="AY277" s="1446"/>
      <c r="AZ277" s="1446"/>
      <c r="BA277" s="1447"/>
      <c r="BB277" s="1447"/>
      <c r="BC277" s="1446"/>
      <c r="BD277" s="1448"/>
      <c r="BE277" s="1442"/>
      <c r="BF277" s="1447"/>
      <c r="BG277" s="1449"/>
      <c r="BH277" s="1447"/>
      <c r="BI277" s="1447"/>
      <c r="BJ277" s="1449"/>
      <c r="BK277" s="1447"/>
      <c r="BL277" s="1447"/>
      <c r="BM277" s="1449"/>
      <c r="BN277" s="1447"/>
      <c r="BO277" s="1447"/>
      <c r="BP277" s="1448"/>
    </row>
    <row r="278">
      <c r="A278" s="1453"/>
      <c r="B278" s="1454"/>
      <c r="C278" s="1454"/>
      <c r="D278" s="1453"/>
      <c r="E278" s="1453"/>
      <c r="F278" s="1453"/>
      <c r="G278" s="1455"/>
      <c r="H278" s="1455"/>
      <c r="I278" s="1456"/>
      <c r="J278" s="1457"/>
      <c r="K278" s="1458"/>
      <c r="L278" s="1459"/>
      <c r="M278" s="1459"/>
      <c r="N278" s="1460"/>
      <c r="O278" s="1460"/>
      <c r="P278" s="1461"/>
      <c r="Q278" s="1461"/>
      <c r="R278" s="1462"/>
      <c r="S278" s="1463"/>
      <c r="T278" s="1464"/>
      <c r="U278" s="1453"/>
      <c r="V278" s="1453"/>
      <c r="W278" s="1453"/>
      <c r="X278" s="1453"/>
      <c r="Y278" s="1453"/>
      <c r="Z278" s="1453"/>
      <c r="AA278" s="1453"/>
      <c r="AB278" s="1453"/>
      <c r="AC278" s="1453"/>
      <c r="AD278" s="1453"/>
      <c r="AE278" s="1453"/>
      <c r="AF278" s="1453"/>
      <c r="AG278" s="1453"/>
      <c r="AH278" s="1453"/>
      <c r="AI278" s="1453"/>
      <c r="AJ278" s="1453"/>
      <c r="AK278" s="1465"/>
      <c r="AL278" s="1435"/>
      <c r="AM278" s="1436"/>
      <c r="AN278" s="1437"/>
      <c r="AO278" s="1438"/>
      <c r="AP278" s="1439"/>
      <c r="AQ278" s="1440"/>
      <c r="AR278" s="1441"/>
      <c r="AS278" s="1442"/>
      <c r="AT278" s="1443"/>
      <c r="AU278" s="1444"/>
      <c r="AV278" s="1442"/>
      <c r="AW278" s="1445"/>
      <c r="AX278" s="1446"/>
      <c r="AY278" s="1446"/>
      <c r="AZ278" s="1446"/>
      <c r="BA278" s="1447"/>
      <c r="BB278" s="1447"/>
      <c r="BC278" s="1446"/>
      <c r="BD278" s="1448"/>
      <c r="BE278" s="1442"/>
      <c r="BF278" s="1447"/>
      <c r="BG278" s="1449"/>
      <c r="BH278" s="1447"/>
      <c r="BI278" s="1447"/>
      <c r="BJ278" s="1449"/>
      <c r="BK278" s="1447"/>
      <c r="BL278" s="1447"/>
      <c r="BM278" s="1449"/>
      <c r="BN278" s="1447"/>
      <c r="BO278" s="1447"/>
      <c r="BP278" s="1448"/>
    </row>
    <row r="279">
      <c r="A279" s="1453"/>
      <c r="B279" s="1454"/>
      <c r="C279" s="1454"/>
      <c r="D279" s="1453"/>
      <c r="E279" s="1453"/>
      <c r="F279" s="1453"/>
      <c r="G279" s="1455"/>
      <c r="H279" s="1455"/>
      <c r="I279" s="1456"/>
      <c r="J279" s="1457"/>
      <c r="K279" s="1458"/>
      <c r="L279" s="1459"/>
      <c r="M279" s="1459"/>
      <c r="N279" s="1460"/>
      <c r="O279" s="1460"/>
      <c r="P279" s="1461"/>
      <c r="Q279" s="1461"/>
      <c r="R279" s="1462"/>
      <c r="S279" s="1463"/>
      <c r="T279" s="1464"/>
      <c r="U279" s="1453"/>
      <c r="V279" s="1453"/>
      <c r="W279" s="1453"/>
      <c r="X279" s="1453"/>
      <c r="Y279" s="1453"/>
      <c r="Z279" s="1453"/>
      <c r="AA279" s="1453"/>
      <c r="AB279" s="1453"/>
      <c r="AC279" s="1453"/>
      <c r="AD279" s="1453"/>
      <c r="AE279" s="1453"/>
      <c r="AF279" s="1453"/>
      <c r="AG279" s="1453"/>
      <c r="AH279" s="1453"/>
      <c r="AI279" s="1453"/>
      <c r="AJ279" s="1453"/>
      <c r="AK279" s="1465"/>
      <c r="AL279" s="1435"/>
      <c r="AM279" s="1436"/>
      <c r="AN279" s="1437"/>
      <c r="AO279" s="1438"/>
      <c r="AP279" s="1439"/>
      <c r="AQ279" s="1440"/>
      <c r="AR279" s="1441"/>
      <c r="AS279" s="1442"/>
      <c r="AT279" s="1443"/>
      <c r="AU279" s="1444"/>
      <c r="AV279" s="1442"/>
      <c r="AW279" s="1445"/>
      <c r="AX279" s="1446"/>
      <c r="AY279" s="1446"/>
      <c r="AZ279" s="1446"/>
      <c r="BA279" s="1447"/>
      <c r="BB279" s="1447"/>
      <c r="BC279" s="1446"/>
      <c r="BD279" s="1448"/>
      <c r="BE279" s="1442"/>
      <c r="BF279" s="1447"/>
      <c r="BG279" s="1449"/>
      <c r="BH279" s="1447"/>
      <c r="BI279" s="1447"/>
      <c r="BJ279" s="1449"/>
      <c r="BK279" s="1447"/>
      <c r="BL279" s="1447"/>
      <c r="BM279" s="1449"/>
      <c r="BN279" s="1447"/>
      <c r="BO279" s="1447"/>
      <c r="BP279" s="1448"/>
    </row>
    <row r="280">
      <c r="A280" s="1453"/>
      <c r="B280" s="1454"/>
      <c r="C280" s="1454"/>
      <c r="D280" s="1453"/>
      <c r="E280" s="1453"/>
      <c r="F280" s="1453"/>
      <c r="G280" s="1455"/>
      <c r="H280" s="1455"/>
      <c r="I280" s="1456"/>
      <c r="J280" s="1457"/>
      <c r="K280" s="1458"/>
      <c r="L280" s="1459"/>
      <c r="M280" s="1459"/>
      <c r="N280" s="1460"/>
      <c r="O280" s="1460"/>
      <c r="P280" s="1461"/>
      <c r="Q280" s="1461"/>
      <c r="R280" s="1462"/>
      <c r="S280" s="1463"/>
      <c r="T280" s="1464"/>
      <c r="U280" s="1453"/>
      <c r="V280" s="1453"/>
      <c r="W280" s="1453"/>
      <c r="X280" s="1453"/>
      <c r="Y280" s="1453"/>
      <c r="Z280" s="1453"/>
      <c r="AA280" s="1453"/>
      <c r="AB280" s="1453"/>
      <c r="AC280" s="1453"/>
      <c r="AD280" s="1453"/>
      <c r="AE280" s="1453"/>
      <c r="AF280" s="1453"/>
      <c r="AG280" s="1453"/>
      <c r="AH280" s="1453"/>
      <c r="AI280" s="1453"/>
      <c r="AJ280" s="1453"/>
      <c r="AK280" s="1465"/>
      <c r="AL280" s="1435"/>
      <c r="AM280" s="1436"/>
      <c r="AN280" s="1437"/>
      <c r="AO280" s="1438"/>
      <c r="AP280" s="1439"/>
      <c r="AQ280" s="1440"/>
      <c r="AR280" s="1441"/>
      <c r="AS280" s="1442"/>
      <c r="AT280" s="1443"/>
      <c r="AU280" s="1444"/>
      <c r="AV280" s="1442"/>
      <c r="AW280" s="1445"/>
      <c r="AX280" s="1446"/>
      <c r="AY280" s="1446"/>
      <c r="AZ280" s="1446"/>
      <c r="BA280" s="1447"/>
      <c r="BB280" s="1447"/>
      <c r="BC280" s="1446"/>
      <c r="BD280" s="1448"/>
      <c r="BE280" s="1442"/>
      <c r="BF280" s="1447"/>
      <c r="BG280" s="1449"/>
      <c r="BH280" s="1447"/>
      <c r="BI280" s="1447"/>
      <c r="BJ280" s="1449"/>
      <c r="BK280" s="1447"/>
      <c r="BL280" s="1447"/>
      <c r="BM280" s="1449"/>
      <c r="BN280" s="1447"/>
      <c r="BO280" s="1447"/>
      <c r="BP280" s="1448"/>
    </row>
    <row r="281">
      <c r="A281" s="1453"/>
      <c r="B281" s="1454"/>
      <c r="C281" s="1454"/>
      <c r="D281" s="1453"/>
      <c r="E281" s="1453"/>
      <c r="F281" s="1453"/>
      <c r="G281" s="1455"/>
      <c r="H281" s="1455"/>
      <c r="I281" s="1456"/>
      <c r="J281" s="1457"/>
      <c r="K281" s="1458"/>
      <c r="L281" s="1459"/>
      <c r="M281" s="1459"/>
      <c r="N281" s="1460"/>
      <c r="O281" s="1460"/>
      <c r="P281" s="1461"/>
      <c r="Q281" s="1461"/>
      <c r="R281" s="1462"/>
      <c r="S281" s="1463"/>
      <c r="T281" s="1464"/>
      <c r="U281" s="1453"/>
      <c r="V281" s="1453"/>
      <c r="W281" s="1453"/>
      <c r="X281" s="1453"/>
      <c r="Y281" s="1453"/>
      <c r="Z281" s="1453"/>
      <c r="AA281" s="1453"/>
      <c r="AB281" s="1453"/>
      <c r="AC281" s="1453"/>
      <c r="AD281" s="1453"/>
      <c r="AE281" s="1453"/>
      <c r="AF281" s="1453"/>
      <c r="AG281" s="1453"/>
      <c r="AH281" s="1453"/>
      <c r="AI281" s="1453"/>
      <c r="AJ281" s="1453"/>
      <c r="AK281" s="1465"/>
      <c r="AL281" s="1435"/>
      <c r="AM281" s="1436"/>
      <c r="AN281" s="1437"/>
      <c r="AO281" s="1438"/>
      <c r="AP281" s="1439"/>
      <c r="AQ281" s="1440"/>
      <c r="AR281" s="1441"/>
      <c r="AS281" s="1442"/>
      <c r="AT281" s="1443"/>
      <c r="AU281" s="1444"/>
      <c r="AV281" s="1442"/>
      <c r="AW281" s="1445"/>
      <c r="AX281" s="1446"/>
      <c r="AY281" s="1446"/>
      <c r="AZ281" s="1446"/>
      <c r="BA281" s="1447"/>
      <c r="BB281" s="1447"/>
      <c r="BC281" s="1446"/>
      <c r="BD281" s="1448"/>
      <c r="BE281" s="1442"/>
      <c r="BF281" s="1447"/>
      <c r="BG281" s="1449"/>
      <c r="BH281" s="1447"/>
      <c r="BI281" s="1447"/>
      <c r="BJ281" s="1449"/>
      <c r="BK281" s="1447"/>
      <c r="BL281" s="1447"/>
      <c r="BM281" s="1449"/>
      <c r="BN281" s="1447"/>
      <c r="BO281" s="1447"/>
      <c r="BP281" s="1448"/>
    </row>
    <row r="282">
      <c r="A282" s="1453"/>
      <c r="B282" s="1454"/>
      <c r="C282" s="1454"/>
      <c r="D282" s="1453"/>
      <c r="E282" s="1453"/>
      <c r="F282" s="1453"/>
      <c r="G282" s="1455"/>
      <c r="H282" s="1455"/>
      <c r="I282" s="1456"/>
      <c r="J282" s="1457"/>
      <c r="K282" s="1458"/>
      <c r="L282" s="1459"/>
      <c r="M282" s="1459"/>
      <c r="N282" s="1460"/>
      <c r="O282" s="1460"/>
      <c r="P282" s="1461"/>
      <c r="Q282" s="1461"/>
      <c r="R282" s="1462"/>
      <c r="S282" s="1463"/>
      <c r="T282" s="1464"/>
      <c r="U282" s="1453"/>
      <c r="V282" s="1453"/>
      <c r="W282" s="1453"/>
      <c r="X282" s="1453"/>
      <c r="Y282" s="1453"/>
      <c r="Z282" s="1453"/>
      <c r="AA282" s="1453"/>
      <c r="AB282" s="1453"/>
      <c r="AC282" s="1453"/>
      <c r="AD282" s="1453"/>
      <c r="AE282" s="1453"/>
      <c r="AF282" s="1453"/>
      <c r="AG282" s="1453"/>
      <c r="AH282" s="1453"/>
      <c r="AI282" s="1453"/>
      <c r="AJ282" s="1453"/>
      <c r="AK282" s="1465"/>
      <c r="AL282" s="1435"/>
      <c r="AM282" s="1436"/>
      <c r="AN282" s="1437"/>
      <c r="AO282" s="1438"/>
      <c r="AP282" s="1439"/>
      <c r="AQ282" s="1440"/>
      <c r="AR282" s="1441"/>
      <c r="AS282" s="1442"/>
      <c r="AT282" s="1443"/>
      <c r="AU282" s="1444"/>
      <c r="AV282" s="1442"/>
      <c r="AW282" s="1445"/>
      <c r="AX282" s="1446"/>
      <c r="AY282" s="1446"/>
      <c r="AZ282" s="1446"/>
      <c r="BA282" s="1447"/>
      <c r="BB282" s="1447"/>
      <c r="BC282" s="1446"/>
      <c r="BD282" s="1448"/>
      <c r="BE282" s="1442"/>
      <c r="BF282" s="1447"/>
      <c r="BG282" s="1449"/>
      <c r="BH282" s="1447"/>
      <c r="BI282" s="1447"/>
      <c r="BJ282" s="1449"/>
      <c r="BK282" s="1447"/>
      <c r="BL282" s="1447"/>
      <c r="BM282" s="1449"/>
      <c r="BN282" s="1447"/>
      <c r="BO282" s="1447"/>
      <c r="BP282" s="1448"/>
    </row>
    <row r="283">
      <c r="A283" s="1453"/>
      <c r="B283" s="1454"/>
      <c r="C283" s="1454"/>
      <c r="D283" s="1453"/>
      <c r="E283" s="1453"/>
      <c r="F283" s="1453"/>
      <c r="G283" s="1455"/>
      <c r="H283" s="1455"/>
      <c r="I283" s="1456"/>
      <c r="J283" s="1457"/>
      <c r="K283" s="1458"/>
      <c r="L283" s="1459"/>
      <c r="M283" s="1459"/>
      <c r="N283" s="1460"/>
      <c r="O283" s="1460"/>
      <c r="P283" s="1461"/>
      <c r="Q283" s="1461"/>
      <c r="R283" s="1462"/>
      <c r="S283" s="1463"/>
      <c r="T283" s="1464"/>
      <c r="U283" s="1453"/>
      <c r="V283" s="1453"/>
      <c r="W283" s="1453"/>
      <c r="X283" s="1453"/>
      <c r="Y283" s="1453"/>
      <c r="Z283" s="1453"/>
      <c r="AA283" s="1453"/>
      <c r="AB283" s="1453"/>
      <c r="AC283" s="1453"/>
      <c r="AD283" s="1453"/>
      <c r="AE283" s="1453"/>
      <c r="AF283" s="1453"/>
      <c r="AG283" s="1453"/>
      <c r="AH283" s="1453"/>
      <c r="AI283" s="1453"/>
      <c r="AJ283" s="1453"/>
      <c r="AK283" s="1465"/>
      <c r="AL283" s="1435"/>
      <c r="AM283" s="1436"/>
      <c r="AN283" s="1437"/>
      <c r="AO283" s="1438"/>
      <c r="AP283" s="1439"/>
      <c r="AQ283" s="1440"/>
      <c r="AR283" s="1441"/>
      <c r="AS283" s="1442"/>
      <c r="AT283" s="1443"/>
      <c r="AU283" s="1444"/>
      <c r="AV283" s="1442"/>
      <c r="AW283" s="1445"/>
      <c r="AX283" s="1446"/>
      <c r="AY283" s="1446"/>
      <c r="AZ283" s="1446"/>
      <c r="BA283" s="1447"/>
      <c r="BB283" s="1447"/>
      <c r="BC283" s="1446"/>
      <c r="BD283" s="1448"/>
      <c r="BE283" s="1442"/>
      <c r="BF283" s="1447"/>
      <c r="BG283" s="1449"/>
      <c r="BH283" s="1447"/>
      <c r="BI283" s="1447"/>
      <c r="BJ283" s="1449"/>
      <c r="BK283" s="1447"/>
      <c r="BL283" s="1447"/>
      <c r="BM283" s="1449"/>
      <c r="BN283" s="1447"/>
      <c r="BO283" s="1447"/>
      <c r="BP283" s="1448"/>
    </row>
    <row r="284">
      <c r="A284" s="1453"/>
      <c r="B284" s="1454"/>
      <c r="C284" s="1454"/>
      <c r="D284" s="1453"/>
      <c r="E284" s="1453"/>
      <c r="F284" s="1453"/>
      <c r="G284" s="1455"/>
      <c r="H284" s="1455"/>
      <c r="I284" s="1456"/>
      <c r="J284" s="1457"/>
      <c r="K284" s="1458"/>
      <c r="L284" s="1459"/>
      <c r="M284" s="1459"/>
      <c r="N284" s="1460"/>
      <c r="O284" s="1460"/>
      <c r="P284" s="1461"/>
      <c r="Q284" s="1461"/>
      <c r="R284" s="1462"/>
      <c r="S284" s="1463"/>
      <c r="T284" s="1464"/>
      <c r="U284" s="1453"/>
      <c r="V284" s="1453"/>
      <c r="W284" s="1453"/>
      <c r="X284" s="1453"/>
      <c r="Y284" s="1453"/>
      <c r="Z284" s="1453"/>
      <c r="AA284" s="1453"/>
      <c r="AB284" s="1453"/>
      <c r="AC284" s="1453"/>
      <c r="AD284" s="1453"/>
      <c r="AE284" s="1453"/>
      <c r="AF284" s="1453"/>
      <c r="AG284" s="1453"/>
      <c r="AH284" s="1453"/>
      <c r="AI284" s="1453"/>
      <c r="AJ284" s="1453"/>
      <c r="AK284" s="1465"/>
      <c r="AL284" s="1435"/>
      <c r="AM284" s="1436"/>
      <c r="AN284" s="1437"/>
      <c r="AO284" s="1438"/>
      <c r="AP284" s="1439"/>
      <c r="AQ284" s="1440"/>
      <c r="AR284" s="1441"/>
      <c r="AS284" s="1442"/>
      <c r="AT284" s="1443"/>
      <c r="AU284" s="1444"/>
      <c r="AV284" s="1442"/>
      <c r="AW284" s="1445"/>
      <c r="AX284" s="1446"/>
      <c r="AY284" s="1446"/>
      <c r="AZ284" s="1446"/>
      <c r="BA284" s="1447"/>
      <c r="BB284" s="1447"/>
      <c r="BC284" s="1446"/>
      <c r="BD284" s="1448"/>
      <c r="BE284" s="1442"/>
      <c r="BF284" s="1447"/>
      <c r="BG284" s="1449"/>
      <c r="BH284" s="1447"/>
      <c r="BI284" s="1447"/>
      <c r="BJ284" s="1449"/>
      <c r="BK284" s="1447"/>
      <c r="BL284" s="1447"/>
      <c r="BM284" s="1449"/>
      <c r="BN284" s="1447"/>
      <c r="BO284" s="1447"/>
      <c r="BP284" s="1448"/>
    </row>
    <row r="285">
      <c r="A285" s="1453"/>
      <c r="B285" s="1454"/>
      <c r="C285" s="1454"/>
      <c r="D285" s="1453"/>
      <c r="E285" s="1453"/>
      <c r="F285" s="1453"/>
      <c r="G285" s="1455"/>
      <c r="H285" s="1455"/>
      <c r="I285" s="1456"/>
      <c r="J285" s="1457"/>
      <c r="K285" s="1458"/>
      <c r="L285" s="1459"/>
      <c r="M285" s="1459"/>
      <c r="N285" s="1460"/>
      <c r="O285" s="1460"/>
      <c r="P285" s="1461"/>
      <c r="Q285" s="1461"/>
      <c r="R285" s="1462"/>
      <c r="S285" s="1463"/>
      <c r="T285" s="1464"/>
      <c r="U285" s="1453"/>
      <c r="V285" s="1453"/>
      <c r="W285" s="1453"/>
      <c r="X285" s="1453"/>
      <c r="Y285" s="1453"/>
      <c r="Z285" s="1453"/>
      <c r="AA285" s="1453"/>
      <c r="AB285" s="1453"/>
      <c r="AC285" s="1453"/>
      <c r="AD285" s="1453"/>
      <c r="AE285" s="1453"/>
      <c r="AF285" s="1453"/>
      <c r="AG285" s="1453"/>
      <c r="AH285" s="1453"/>
      <c r="AI285" s="1453"/>
      <c r="AJ285" s="1453"/>
      <c r="AK285" s="1465"/>
      <c r="AL285" s="1435"/>
      <c r="AM285" s="1436"/>
      <c r="AN285" s="1437"/>
      <c r="AO285" s="1438"/>
      <c r="AP285" s="1439"/>
      <c r="AQ285" s="1440"/>
      <c r="AR285" s="1441"/>
      <c r="AS285" s="1442"/>
      <c r="AT285" s="1443"/>
      <c r="AU285" s="1444"/>
      <c r="AV285" s="1442"/>
      <c r="AW285" s="1445"/>
      <c r="AX285" s="1446"/>
      <c r="AY285" s="1446"/>
      <c r="AZ285" s="1446"/>
      <c r="BA285" s="1447"/>
      <c r="BB285" s="1447"/>
      <c r="BC285" s="1446"/>
      <c r="BD285" s="1448"/>
      <c r="BE285" s="1442"/>
      <c r="BF285" s="1447"/>
      <c r="BG285" s="1449"/>
      <c r="BH285" s="1447"/>
      <c r="BI285" s="1447"/>
      <c r="BJ285" s="1449"/>
      <c r="BK285" s="1447"/>
      <c r="BL285" s="1447"/>
      <c r="BM285" s="1449"/>
      <c r="BN285" s="1447"/>
      <c r="BO285" s="1447"/>
      <c r="BP285" s="1448"/>
    </row>
    <row r="286">
      <c r="A286" s="1453"/>
      <c r="B286" s="1454"/>
      <c r="C286" s="1454"/>
      <c r="D286" s="1453"/>
      <c r="E286" s="1453"/>
      <c r="F286" s="1453"/>
      <c r="G286" s="1455"/>
      <c r="H286" s="1455"/>
      <c r="I286" s="1456"/>
      <c r="J286" s="1457"/>
      <c r="K286" s="1458"/>
      <c r="L286" s="1459"/>
      <c r="M286" s="1459"/>
      <c r="N286" s="1460"/>
      <c r="O286" s="1460"/>
      <c r="P286" s="1461"/>
      <c r="Q286" s="1461"/>
      <c r="R286" s="1462"/>
      <c r="S286" s="1463"/>
      <c r="T286" s="1464"/>
      <c r="U286" s="1453"/>
      <c r="V286" s="1453"/>
      <c r="W286" s="1453"/>
      <c r="X286" s="1453"/>
      <c r="Y286" s="1453"/>
      <c r="Z286" s="1453"/>
      <c r="AA286" s="1453"/>
      <c r="AB286" s="1453"/>
      <c r="AC286" s="1453"/>
      <c r="AD286" s="1453"/>
      <c r="AE286" s="1453"/>
      <c r="AF286" s="1453"/>
      <c r="AG286" s="1453"/>
      <c r="AH286" s="1453"/>
      <c r="AI286" s="1453"/>
      <c r="AJ286" s="1453"/>
      <c r="AK286" s="1465"/>
      <c r="AL286" s="1435"/>
      <c r="AM286" s="1436"/>
      <c r="AN286" s="1437"/>
      <c r="AO286" s="1438"/>
      <c r="AP286" s="1439"/>
      <c r="AQ286" s="1440"/>
      <c r="AR286" s="1441"/>
      <c r="AS286" s="1442"/>
      <c r="AT286" s="1443"/>
      <c r="AU286" s="1444"/>
      <c r="AV286" s="1442"/>
      <c r="AW286" s="1445"/>
      <c r="AX286" s="1446"/>
      <c r="AY286" s="1446"/>
      <c r="AZ286" s="1446"/>
      <c r="BA286" s="1447"/>
      <c r="BB286" s="1447"/>
      <c r="BC286" s="1446"/>
      <c r="BD286" s="1448"/>
      <c r="BE286" s="1442"/>
      <c r="BF286" s="1447"/>
      <c r="BG286" s="1449"/>
      <c r="BH286" s="1447"/>
      <c r="BI286" s="1447"/>
      <c r="BJ286" s="1449"/>
      <c r="BK286" s="1447"/>
      <c r="BL286" s="1447"/>
      <c r="BM286" s="1449"/>
      <c r="BN286" s="1447"/>
      <c r="BO286" s="1447"/>
      <c r="BP286" s="1448"/>
    </row>
    <row r="287">
      <c r="A287" s="1453"/>
      <c r="B287" s="1454"/>
      <c r="C287" s="1454"/>
      <c r="D287" s="1453"/>
      <c r="E287" s="1453"/>
      <c r="F287" s="1453"/>
      <c r="G287" s="1455"/>
      <c r="H287" s="1455"/>
      <c r="I287" s="1456"/>
      <c r="J287" s="1457"/>
      <c r="K287" s="1458"/>
      <c r="L287" s="1459"/>
      <c r="M287" s="1459"/>
      <c r="N287" s="1460"/>
      <c r="O287" s="1460"/>
      <c r="P287" s="1461"/>
      <c r="Q287" s="1461"/>
      <c r="R287" s="1462"/>
      <c r="S287" s="1463"/>
      <c r="T287" s="1464"/>
      <c r="U287" s="1453"/>
      <c r="V287" s="1453"/>
      <c r="W287" s="1453"/>
      <c r="X287" s="1453"/>
      <c r="Y287" s="1453"/>
      <c r="Z287" s="1453"/>
      <c r="AA287" s="1453"/>
      <c r="AB287" s="1453"/>
      <c r="AC287" s="1453"/>
      <c r="AD287" s="1453"/>
      <c r="AE287" s="1453"/>
      <c r="AF287" s="1453"/>
      <c r="AG287" s="1453"/>
      <c r="AH287" s="1453"/>
      <c r="AI287" s="1453"/>
      <c r="AJ287" s="1453"/>
      <c r="AK287" s="1465"/>
      <c r="AL287" s="1435"/>
      <c r="AM287" s="1436"/>
      <c r="AN287" s="1437"/>
      <c r="AO287" s="1438"/>
      <c r="AP287" s="1439"/>
      <c r="AQ287" s="1440"/>
      <c r="AR287" s="1441"/>
      <c r="AS287" s="1442"/>
      <c r="AT287" s="1443"/>
      <c r="AU287" s="1444"/>
      <c r="AV287" s="1442"/>
      <c r="AW287" s="1445"/>
      <c r="AX287" s="1446"/>
      <c r="AY287" s="1446"/>
      <c r="AZ287" s="1446"/>
      <c r="BA287" s="1447"/>
      <c r="BB287" s="1447"/>
      <c r="BC287" s="1446"/>
      <c r="BD287" s="1448"/>
      <c r="BE287" s="1442"/>
      <c r="BF287" s="1447"/>
      <c r="BG287" s="1449"/>
      <c r="BH287" s="1447"/>
      <c r="BI287" s="1447"/>
      <c r="BJ287" s="1449"/>
      <c r="BK287" s="1447"/>
      <c r="BL287" s="1447"/>
      <c r="BM287" s="1449"/>
      <c r="BN287" s="1447"/>
      <c r="BO287" s="1447"/>
      <c r="BP287" s="1448"/>
    </row>
    <row r="288">
      <c r="A288" s="1453"/>
      <c r="B288" s="1454"/>
      <c r="C288" s="1454"/>
      <c r="D288" s="1453"/>
      <c r="E288" s="1453"/>
      <c r="F288" s="1453"/>
      <c r="G288" s="1455"/>
      <c r="H288" s="1455"/>
      <c r="I288" s="1456"/>
      <c r="J288" s="1457"/>
      <c r="K288" s="1458"/>
      <c r="L288" s="1459"/>
      <c r="M288" s="1459"/>
      <c r="N288" s="1460"/>
      <c r="O288" s="1460"/>
      <c r="P288" s="1461"/>
      <c r="Q288" s="1461"/>
      <c r="R288" s="1462"/>
      <c r="S288" s="1463"/>
      <c r="T288" s="1464"/>
      <c r="U288" s="1453"/>
      <c r="V288" s="1453"/>
      <c r="W288" s="1453"/>
      <c r="X288" s="1453"/>
      <c r="Y288" s="1453"/>
      <c r="Z288" s="1453"/>
      <c r="AA288" s="1453"/>
      <c r="AB288" s="1453"/>
      <c r="AC288" s="1453"/>
      <c r="AD288" s="1453"/>
      <c r="AE288" s="1453"/>
      <c r="AF288" s="1453"/>
      <c r="AG288" s="1453"/>
      <c r="AH288" s="1453"/>
      <c r="AI288" s="1453"/>
      <c r="AJ288" s="1453"/>
      <c r="AK288" s="1465"/>
      <c r="AL288" s="1435"/>
      <c r="AM288" s="1436"/>
      <c r="AN288" s="1437"/>
      <c r="AO288" s="1438"/>
      <c r="AP288" s="1439"/>
      <c r="AQ288" s="1440"/>
      <c r="AR288" s="1441"/>
      <c r="AS288" s="1442"/>
      <c r="AT288" s="1443"/>
      <c r="AU288" s="1444"/>
      <c r="AV288" s="1442"/>
      <c r="AW288" s="1445"/>
      <c r="AX288" s="1446"/>
      <c r="AY288" s="1446"/>
      <c r="AZ288" s="1446"/>
      <c r="BA288" s="1447"/>
      <c r="BB288" s="1447"/>
      <c r="BC288" s="1446"/>
      <c r="BD288" s="1448"/>
      <c r="BE288" s="1442"/>
      <c r="BF288" s="1447"/>
      <c r="BG288" s="1449"/>
      <c r="BH288" s="1447"/>
      <c r="BI288" s="1447"/>
      <c r="BJ288" s="1449"/>
      <c r="BK288" s="1447"/>
      <c r="BL288" s="1447"/>
      <c r="BM288" s="1449"/>
      <c r="BN288" s="1447"/>
      <c r="BO288" s="1447"/>
      <c r="BP288" s="1448"/>
    </row>
    <row r="289">
      <c r="A289" s="1453"/>
      <c r="B289" s="1454"/>
      <c r="C289" s="1454"/>
      <c r="D289" s="1453"/>
      <c r="E289" s="1453"/>
      <c r="F289" s="1453"/>
      <c r="G289" s="1455"/>
      <c r="H289" s="1455"/>
      <c r="I289" s="1456"/>
      <c r="J289" s="1457"/>
      <c r="K289" s="1458"/>
      <c r="L289" s="1459"/>
      <c r="M289" s="1459"/>
      <c r="N289" s="1460"/>
      <c r="O289" s="1460"/>
      <c r="P289" s="1461"/>
      <c r="Q289" s="1461"/>
      <c r="R289" s="1462"/>
      <c r="S289" s="1463"/>
      <c r="T289" s="1464"/>
      <c r="U289" s="1453"/>
      <c r="V289" s="1453"/>
      <c r="W289" s="1453"/>
      <c r="X289" s="1453"/>
      <c r="Y289" s="1453"/>
      <c r="Z289" s="1453"/>
      <c r="AA289" s="1453"/>
      <c r="AB289" s="1453"/>
      <c r="AC289" s="1453"/>
      <c r="AD289" s="1453"/>
      <c r="AE289" s="1453"/>
      <c r="AF289" s="1453"/>
      <c r="AG289" s="1453"/>
      <c r="AH289" s="1453"/>
      <c r="AI289" s="1453"/>
      <c r="AJ289" s="1453"/>
      <c r="AK289" s="1465"/>
      <c r="AL289" s="1435"/>
      <c r="AM289" s="1436"/>
      <c r="AN289" s="1437"/>
      <c r="AO289" s="1438"/>
      <c r="AP289" s="1439"/>
      <c r="AQ289" s="1440"/>
      <c r="AR289" s="1441"/>
      <c r="AS289" s="1442"/>
      <c r="AT289" s="1443"/>
      <c r="AU289" s="1444"/>
      <c r="AV289" s="1442"/>
      <c r="AW289" s="1445"/>
      <c r="AX289" s="1446"/>
      <c r="AY289" s="1446"/>
      <c r="AZ289" s="1446"/>
      <c r="BA289" s="1447"/>
      <c r="BB289" s="1447"/>
      <c r="BC289" s="1446"/>
      <c r="BD289" s="1448"/>
      <c r="BE289" s="1442"/>
      <c r="BF289" s="1447"/>
      <c r="BG289" s="1449"/>
      <c r="BH289" s="1447"/>
      <c r="BI289" s="1447"/>
      <c r="BJ289" s="1449"/>
      <c r="BK289" s="1447"/>
      <c r="BL289" s="1447"/>
      <c r="BM289" s="1449"/>
      <c r="BN289" s="1447"/>
      <c r="BO289" s="1447"/>
      <c r="BP289" s="1448"/>
    </row>
    <row r="290">
      <c r="A290" s="1453"/>
      <c r="B290" s="1454"/>
      <c r="C290" s="1454"/>
      <c r="D290" s="1453"/>
      <c r="E290" s="1453"/>
      <c r="F290" s="1453"/>
      <c r="G290" s="1455"/>
      <c r="H290" s="1455"/>
      <c r="I290" s="1456"/>
      <c r="J290" s="1457"/>
      <c r="K290" s="1458"/>
      <c r="L290" s="1459"/>
      <c r="M290" s="1459"/>
      <c r="N290" s="1460"/>
      <c r="O290" s="1460"/>
      <c r="P290" s="1461"/>
      <c r="Q290" s="1461"/>
      <c r="R290" s="1462"/>
      <c r="S290" s="1463"/>
      <c r="T290" s="1464"/>
      <c r="U290" s="1453"/>
      <c r="V290" s="1453"/>
      <c r="W290" s="1453"/>
      <c r="X290" s="1453"/>
      <c r="Y290" s="1453"/>
      <c r="Z290" s="1453"/>
      <c r="AA290" s="1453"/>
      <c r="AB290" s="1453"/>
      <c r="AC290" s="1453"/>
      <c r="AD290" s="1453"/>
      <c r="AE290" s="1453"/>
      <c r="AF290" s="1453"/>
      <c r="AG290" s="1453"/>
      <c r="AH290" s="1453"/>
      <c r="AI290" s="1453"/>
      <c r="AJ290" s="1453"/>
      <c r="AK290" s="1465"/>
      <c r="AL290" s="1435"/>
      <c r="AM290" s="1436"/>
      <c r="AN290" s="1437"/>
      <c r="AO290" s="1438"/>
      <c r="AP290" s="1439"/>
      <c r="AQ290" s="1440"/>
      <c r="AR290" s="1441"/>
      <c r="AS290" s="1442"/>
      <c r="AT290" s="1443"/>
      <c r="AU290" s="1444"/>
      <c r="AV290" s="1442"/>
      <c r="AW290" s="1445"/>
      <c r="AX290" s="1446"/>
      <c r="AY290" s="1446"/>
      <c r="AZ290" s="1446"/>
      <c r="BA290" s="1447"/>
      <c r="BB290" s="1447"/>
      <c r="BC290" s="1446"/>
      <c r="BD290" s="1448"/>
      <c r="BE290" s="1442"/>
      <c r="BF290" s="1447"/>
      <c r="BG290" s="1449"/>
      <c r="BH290" s="1447"/>
      <c r="BI290" s="1447"/>
      <c r="BJ290" s="1449"/>
      <c r="BK290" s="1447"/>
      <c r="BL290" s="1447"/>
      <c r="BM290" s="1449"/>
      <c r="BN290" s="1447"/>
      <c r="BO290" s="1447"/>
      <c r="BP290" s="1448"/>
    </row>
    <row r="291">
      <c r="A291" s="1453"/>
      <c r="B291" s="1454"/>
      <c r="C291" s="1454"/>
      <c r="D291" s="1453"/>
      <c r="E291" s="1453"/>
      <c r="F291" s="1453"/>
      <c r="G291" s="1455"/>
      <c r="H291" s="1455"/>
      <c r="I291" s="1456"/>
      <c r="J291" s="1457"/>
      <c r="K291" s="1458"/>
      <c r="L291" s="1459"/>
      <c r="M291" s="1459"/>
      <c r="N291" s="1460"/>
      <c r="O291" s="1460"/>
      <c r="P291" s="1461"/>
      <c r="Q291" s="1461"/>
      <c r="R291" s="1462"/>
      <c r="S291" s="1463"/>
      <c r="T291" s="1464"/>
      <c r="U291" s="1453"/>
      <c r="V291" s="1453"/>
      <c r="W291" s="1453"/>
      <c r="X291" s="1453"/>
      <c r="Y291" s="1453"/>
      <c r="Z291" s="1453"/>
      <c r="AA291" s="1453"/>
      <c r="AB291" s="1453"/>
      <c r="AC291" s="1453"/>
      <c r="AD291" s="1453"/>
      <c r="AE291" s="1453"/>
      <c r="AF291" s="1453"/>
      <c r="AG291" s="1453"/>
      <c r="AH291" s="1453"/>
      <c r="AI291" s="1453"/>
      <c r="AJ291" s="1453"/>
      <c r="AK291" s="1465"/>
      <c r="AL291" s="1435"/>
      <c r="AM291" s="1436"/>
      <c r="AN291" s="1437"/>
      <c r="AO291" s="1438"/>
      <c r="AP291" s="1439"/>
      <c r="AQ291" s="1440"/>
      <c r="AR291" s="1441"/>
      <c r="AS291" s="1442"/>
      <c r="AT291" s="1443"/>
      <c r="AU291" s="1444"/>
      <c r="AV291" s="1442"/>
      <c r="AW291" s="1445"/>
      <c r="AX291" s="1446"/>
      <c r="AY291" s="1446"/>
      <c r="AZ291" s="1446"/>
      <c r="BA291" s="1447"/>
      <c r="BB291" s="1447"/>
      <c r="BC291" s="1446"/>
      <c r="BD291" s="1448"/>
      <c r="BE291" s="1442"/>
      <c r="BF291" s="1447"/>
      <c r="BG291" s="1449"/>
      <c r="BH291" s="1447"/>
      <c r="BI291" s="1447"/>
      <c r="BJ291" s="1449"/>
      <c r="BK291" s="1447"/>
      <c r="BL291" s="1447"/>
      <c r="BM291" s="1449"/>
      <c r="BN291" s="1447"/>
      <c r="BO291" s="1447"/>
      <c r="BP291" s="1448"/>
    </row>
    <row r="292">
      <c r="A292" s="1453"/>
      <c r="B292" s="1454"/>
      <c r="C292" s="1454"/>
      <c r="D292" s="1453"/>
      <c r="E292" s="1453"/>
      <c r="F292" s="1453"/>
      <c r="G292" s="1455"/>
      <c r="H292" s="1455"/>
      <c r="I292" s="1456"/>
      <c r="J292" s="1457"/>
      <c r="K292" s="1458"/>
      <c r="L292" s="1459"/>
      <c r="M292" s="1459"/>
      <c r="N292" s="1460"/>
      <c r="O292" s="1460"/>
      <c r="P292" s="1461"/>
      <c r="Q292" s="1461"/>
      <c r="R292" s="1462"/>
      <c r="S292" s="1463"/>
      <c r="T292" s="1464"/>
      <c r="U292" s="1453"/>
      <c r="V292" s="1453"/>
      <c r="W292" s="1453"/>
      <c r="X292" s="1453"/>
      <c r="Y292" s="1453"/>
      <c r="Z292" s="1453"/>
      <c r="AA292" s="1453"/>
      <c r="AB292" s="1453"/>
      <c r="AC292" s="1453"/>
      <c r="AD292" s="1453"/>
      <c r="AE292" s="1453"/>
      <c r="AF292" s="1453"/>
      <c r="AG292" s="1453"/>
      <c r="AH292" s="1453"/>
      <c r="AI292" s="1453"/>
      <c r="AJ292" s="1453"/>
      <c r="AK292" s="1465"/>
      <c r="AL292" s="1435"/>
      <c r="AM292" s="1436"/>
      <c r="AN292" s="1437"/>
      <c r="AO292" s="1438"/>
      <c r="AP292" s="1439"/>
      <c r="AQ292" s="1440"/>
      <c r="AR292" s="1441"/>
      <c r="AS292" s="1442"/>
      <c r="AT292" s="1443"/>
      <c r="AU292" s="1444"/>
      <c r="AV292" s="1442"/>
      <c r="AW292" s="1445"/>
      <c r="AX292" s="1446"/>
      <c r="AY292" s="1446"/>
      <c r="AZ292" s="1446"/>
      <c r="BA292" s="1447"/>
      <c r="BB292" s="1447"/>
      <c r="BC292" s="1446"/>
      <c r="BD292" s="1448"/>
      <c r="BE292" s="1442"/>
      <c r="BF292" s="1447"/>
      <c r="BG292" s="1449"/>
      <c r="BH292" s="1447"/>
      <c r="BI292" s="1447"/>
      <c r="BJ292" s="1449"/>
      <c r="BK292" s="1447"/>
      <c r="BL292" s="1447"/>
      <c r="BM292" s="1449"/>
      <c r="BN292" s="1447"/>
      <c r="BO292" s="1447"/>
      <c r="BP292" s="1448"/>
    </row>
    <row r="293">
      <c r="A293" s="1453"/>
      <c r="B293" s="1454"/>
      <c r="C293" s="1454"/>
      <c r="D293" s="1453"/>
      <c r="E293" s="1453"/>
      <c r="F293" s="1453"/>
      <c r="G293" s="1455"/>
      <c r="H293" s="1455"/>
      <c r="I293" s="1456"/>
      <c r="J293" s="1457"/>
      <c r="K293" s="1458"/>
      <c r="L293" s="1459"/>
      <c r="M293" s="1459"/>
      <c r="N293" s="1460"/>
      <c r="O293" s="1460"/>
      <c r="P293" s="1461"/>
      <c r="Q293" s="1461"/>
      <c r="R293" s="1462"/>
      <c r="S293" s="1463"/>
      <c r="T293" s="1464"/>
      <c r="U293" s="1453"/>
      <c r="V293" s="1453"/>
      <c r="W293" s="1453"/>
      <c r="X293" s="1453"/>
      <c r="Y293" s="1453"/>
      <c r="Z293" s="1453"/>
      <c r="AA293" s="1453"/>
      <c r="AB293" s="1453"/>
      <c r="AC293" s="1453"/>
      <c r="AD293" s="1453"/>
      <c r="AE293" s="1453"/>
      <c r="AF293" s="1453"/>
      <c r="AG293" s="1453"/>
      <c r="AH293" s="1453"/>
      <c r="AI293" s="1453"/>
      <c r="AJ293" s="1453"/>
      <c r="AK293" s="1465"/>
      <c r="AL293" s="1435"/>
      <c r="AM293" s="1436"/>
      <c r="AN293" s="1437"/>
      <c r="AO293" s="1438"/>
      <c r="AP293" s="1439"/>
      <c r="AQ293" s="1440"/>
      <c r="AR293" s="1441"/>
      <c r="AS293" s="1442"/>
      <c r="AT293" s="1443"/>
      <c r="AU293" s="1444"/>
      <c r="AV293" s="1442"/>
      <c r="AW293" s="1445"/>
      <c r="AX293" s="1446"/>
      <c r="AY293" s="1446"/>
      <c r="AZ293" s="1446"/>
      <c r="BA293" s="1447"/>
      <c r="BB293" s="1447"/>
      <c r="BC293" s="1446"/>
      <c r="BD293" s="1448"/>
      <c r="BE293" s="1442"/>
      <c r="BF293" s="1447"/>
      <c r="BG293" s="1449"/>
      <c r="BH293" s="1447"/>
      <c r="BI293" s="1447"/>
      <c r="BJ293" s="1449"/>
      <c r="BK293" s="1447"/>
      <c r="BL293" s="1447"/>
      <c r="BM293" s="1449"/>
      <c r="BN293" s="1447"/>
      <c r="BO293" s="1447"/>
      <c r="BP293" s="1448"/>
    </row>
    <row r="294">
      <c r="A294" s="1453"/>
      <c r="B294" s="1454"/>
      <c r="C294" s="1454"/>
      <c r="D294" s="1453"/>
      <c r="E294" s="1453"/>
      <c r="F294" s="1453"/>
      <c r="G294" s="1455"/>
      <c r="H294" s="1455"/>
      <c r="I294" s="1456"/>
      <c r="J294" s="1457"/>
      <c r="K294" s="1458"/>
      <c r="L294" s="1459"/>
      <c r="M294" s="1459"/>
      <c r="N294" s="1460"/>
      <c r="O294" s="1460"/>
      <c r="P294" s="1461"/>
      <c r="Q294" s="1461"/>
      <c r="R294" s="1462"/>
      <c r="S294" s="1463"/>
      <c r="T294" s="1464"/>
      <c r="U294" s="1453"/>
      <c r="V294" s="1453"/>
      <c r="W294" s="1453"/>
      <c r="X294" s="1453"/>
      <c r="Y294" s="1453"/>
      <c r="Z294" s="1453"/>
      <c r="AA294" s="1453"/>
      <c r="AB294" s="1453"/>
      <c r="AC294" s="1453"/>
      <c r="AD294" s="1453"/>
      <c r="AE294" s="1453"/>
      <c r="AF294" s="1453"/>
      <c r="AG294" s="1453"/>
      <c r="AH294" s="1453"/>
      <c r="AI294" s="1453"/>
      <c r="AJ294" s="1453"/>
      <c r="AK294" s="1465"/>
      <c r="AL294" s="1435"/>
      <c r="AM294" s="1436"/>
      <c r="AN294" s="1437"/>
      <c r="AO294" s="1438"/>
      <c r="AP294" s="1439"/>
      <c r="AQ294" s="1440"/>
      <c r="AR294" s="1441"/>
      <c r="AS294" s="1442"/>
      <c r="AT294" s="1443"/>
      <c r="AU294" s="1444"/>
      <c r="AV294" s="1442"/>
      <c r="AW294" s="1445"/>
      <c r="AX294" s="1446"/>
      <c r="AY294" s="1446"/>
      <c r="AZ294" s="1446"/>
      <c r="BA294" s="1447"/>
      <c r="BB294" s="1447"/>
      <c r="BC294" s="1446"/>
      <c r="BD294" s="1448"/>
      <c r="BE294" s="1442"/>
      <c r="BF294" s="1447"/>
      <c r="BG294" s="1449"/>
      <c r="BH294" s="1447"/>
      <c r="BI294" s="1447"/>
      <c r="BJ294" s="1449"/>
      <c r="BK294" s="1447"/>
      <c r="BL294" s="1447"/>
      <c r="BM294" s="1449"/>
      <c r="BN294" s="1447"/>
      <c r="BO294" s="1447"/>
      <c r="BP294" s="1448"/>
    </row>
    <row r="295">
      <c r="A295" s="1453"/>
      <c r="B295" s="1454"/>
      <c r="C295" s="1454"/>
      <c r="D295" s="1453"/>
      <c r="E295" s="1453"/>
      <c r="F295" s="1453"/>
      <c r="G295" s="1455"/>
      <c r="H295" s="1455"/>
      <c r="I295" s="1456"/>
      <c r="J295" s="1457"/>
      <c r="K295" s="1458"/>
      <c r="L295" s="1459"/>
      <c r="M295" s="1459"/>
      <c r="N295" s="1460"/>
      <c r="O295" s="1460"/>
      <c r="P295" s="1461"/>
      <c r="Q295" s="1461"/>
      <c r="R295" s="1462"/>
      <c r="S295" s="1463"/>
      <c r="T295" s="1464"/>
      <c r="U295" s="1453"/>
      <c r="V295" s="1453"/>
      <c r="W295" s="1453"/>
      <c r="X295" s="1453"/>
      <c r="Y295" s="1453"/>
      <c r="Z295" s="1453"/>
      <c r="AA295" s="1453"/>
      <c r="AB295" s="1453"/>
      <c r="AC295" s="1453"/>
      <c r="AD295" s="1453"/>
      <c r="AE295" s="1453"/>
      <c r="AF295" s="1453"/>
      <c r="AG295" s="1453"/>
      <c r="AH295" s="1453"/>
      <c r="AI295" s="1453"/>
      <c r="AJ295" s="1453"/>
      <c r="AK295" s="1465"/>
      <c r="AL295" s="1435"/>
      <c r="AM295" s="1436"/>
      <c r="AN295" s="1437"/>
      <c r="AO295" s="1438"/>
      <c r="AP295" s="1439"/>
      <c r="AQ295" s="1440"/>
      <c r="AR295" s="1441"/>
      <c r="AS295" s="1442"/>
      <c r="AT295" s="1443"/>
      <c r="AU295" s="1444"/>
      <c r="AV295" s="1442"/>
      <c r="AW295" s="1445"/>
      <c r="AX295" s="1446"/>
      <c r="AY295" s="1446"/>
      <c r="AZ295" s="1446"/>
      <c r="BA295" s="1447"/>
      <c r="BB295" s="1447"/>
      <c r="BC295" s="1446"/>
      <c r="BD295" s="1448"/>
      <c r="BE295" s="1442"/>
      <c r="BF295" s="1447"/>
      <c r="BG295" s="1449"/>
      <c r="BH295" s="1447"/>
      <c r="BI295" s="1447"/>
      <c r="BJ295" s="1449"/>
      <c r="BK295" s="1447"/>
      <c r="BL295" s="1447"/>
      <c r="BM295" s="1449"/>
      <c r="BN295" s="1447"/>
      <c r="BO295" s="1447"/>
      <c r="BP295" s="1448"/>
    </row>
    <row r="296">
      <c r="A296" s="1453"/>
      <c r="B296" s="1454"/>
      <c r="C296" s="1454"/>
      <c r="D296" s="1453"/>
      <c r="E296" s="1453"/>
      <c r="F296" s="1453"/>
      <c r="G296" s="1455"/>
      <c r="H296" s="1455"/>
      <c r="I296" s="1456"/>
      <c r="J296" s="1457"/>
      <c r="K296" s="1458"/>
      <c r="L296" s="1459"/>
      <c r="M296" s="1459"/>
      <c r="N296" s="1460"/>
      <c r="O296" s="1460"/>
      <c r="P296" s="1461"/>
      <c r="Q296" s="1461"/>
      <c r="R296" s="1462"/>
      <c r="S296" s="1463"/>
      <c r="T296" s="1464"/>
      <c r="U296" s="1453"/>
      <c r="V296" s="1453"/>
      <c r="W296" s="1453"/>
      <c r="X296" s="1453"/>
      <c r="Y296" s="1453"/>
      <c r="Z296" s="1453"/>
      <c r="AA296" s="1453"/>
      <c r="AB296" s="1453"/>
      <c r="AC296" s="1453"/>
      <c r="AD296" s="1453"/>
      <c r="AE296" s="1453"/>
      <c r="AF296" s="1453"/>
      <c r="AG296" s="1453"/>
      <c r="AH296" s="1453"/>
      <c r="AI296" s="1453"/>
      <c r="AJ296" s="1453"/>
      <c r="AK296" s="1465"/>
      <c r="AL296" s="1435"/>
      <c r="AM296" s="1436"/>
      <c r="AN296" s="1437"/>
      <c r="AO296" s="1438"/>
      <c r="AP296" s="1439"/>
      <c r="AQ296" s="1440"/>
      <c r="AR296" s="1441"/>
      <c r="AS296" s="1442"/>
      <c r="AT296" s="1443"/>
      <c r="AU296" s="1444"/>
      <c r="AV296" s="1442"/>
      <c r="AW296" s="1445"/>
      <c r="AX296" s="1446"/>
      <c r="AY296" s="1446"/>
      <c r="AZ296" s="1446"/>
      <c r="BA296" s="1447"/>
      <c r="BB296" s="1447"/>
      <c r="BC296" s="1446"/>
      <c r="BD296" s="1448"/>
      <c r="BE296" s="1442"/>
      <c r="BF296" s="1447"/>
      <c r="BG296" s="1449"/>
      <c r="BH296" s="1447"/>
      <c r="BI296" s="1447"/>
      <c r="BJ296" s="1449"/>
      <c r="BK296" s="1447"/>
      <c r="BL296" s="1447"/>
      <c r="BM296" s="1449"/>
      <c r="BN296" s="1447"/>
      <c r="BO296" s="1447"/>
      <c r="BP296" s="1448"/>
    </row>
    <row r="297">
      <c r="A297" s="1453"/>
      <c r="B297" s="1454"/>
      <c r="C297" s="1454"/>
      <c r="D297" s="1453"/>
      <c r="E297" s="1453"/>
      <c r="F297" s="1453"/>
      <c r="G297" s="1455"/>
      <c r="H297" s="1455"/>
      <c r="I297" s="1456"/>
      <c r="J297" s="1457"/>
      <c r="K297" s="1458"/>
      <c r="L297" s="1459"/>
      <c r="M297" s="1459"/>
      <c r="N297" s="1460"/>
      <c r="O297" s="1460"/>
      <c r="P297" s="1461"/>
      <c r="Q297" s="1461"/>
      <c r="R297" s="1462"/>
      <c r="S297" s="1463"/>
      <c r="T297" s="1464"/>
      <c r="U297" s="1453"/>
      <c r="V297" s="1453"/>
      <c r="W297" s="1453"/>
      <c r="X297" s="1453"/>
      <c r="Y297" s="1453"/>
      <c r="Z297" s="1453"/>
      <c r="AA297" s="1453"/>
      <c r="AB297" s="1453"/>
      <c r="AC297" s="1453"/>
      <c r="AD297" s="1453"/>
      <c r="AE297" s="1453"/>
      <c r="AF297" s="1453"/>
      <c r="AG297" s="1453"/>
      <c r="AH297" s="1453"/>
      <c r="AI297" s="1453"/>
      <c r="AJ297" s="1453"/>
      <c r="AK297" s="1465"/>
      <c r="AL297" s="1435"/>
      <c r="AM297" s="1436"/>
      <c r="AN297" s="1437"/>
      <c r="AO297" s="1438"/>
      <c r="AP297" s="1439"/>
      <c r="AQ297" s="1440"/>
      <c r="AR297" s="1441"/>
      <c r="AS297" s="1442"/>
      <c r="AT297" s="1443"/>
      <c r="AU297" s="1444"/>
      <c r="AV297" s="1442"/>
      <c r="AW297" s="1445"/>
      <c r="AX297" s="1446"/>
      <c r="AY297" s="1446"/>
      <c r="AZ297" s="1446"/>
      <c r="BA297" s="1447"/>
      <c r="BB297" s="1447"/>
      <c r="BC297" s="1446"/>
      <c r="BD297" s="1448"/>
      <c r="BE297" s="1442"/>
      <c r="BF297" s="1447"/>
      <c r="BG297" s="1449"/>
      <c r="BH297" s="1447"/>
      <c r="BI297" s="1447"/>
      <c r="BJ297" s="1449"/>
      <c r="BK297" s="1447"/>
      <c r="BL297" s="1447"/>
      <c r="BM297" s="1449"/>
      <c r="BN297" s="1447"/>
      <c r="BO297" s="1447"/>
      <c r="BP297" s="1448"/>
    </row>
    <row r="298">
      <c r="A298" s="1453"/>
      <c r="B298" s="1454"/>
      <c r="C298" s="1454"/>
      <c r="D298" s="1453"/>
      <c r="E298" s="1453"/>
      <c r="F298" s="1453"/>
      <c r="G298" s="1455"/>
      <c r="H298" s="1455"/>
      <c r="I298" s="1456"/>
      <c r="J298" s="1457"/>
      <c r="K298" s="1458"/>
      <c r="L298" s="1459"/>
      <c r="M298" s="1459"/>
      <c r="N298" s="1460"/>
      <c r="O298" s="1460"/>
      <c r="P298" s="1461"/>
      <c r="Q298" s="1461"/>
      <c r="R298" s="1462"/>
      <c r="S298" s="1463"/>
      <c r="T298" s="1464"/>
      <c r="U298" s="1453"/>
      <c r="V298" s="1453"/>
      <c r="W298" s="1453"/>
      <c r="X298" s="1453"/>
      <c r="Y298" s="1453"/>
      <c r="Z298" s="1453"/>
      <c r="AA298" s="1453"/>
      <c r="AB298" s="1453"/>
      <c r="AC298" s="1453"/>
      <c r="AD298" s="1453"/>
      <c r="AE298" s="1453"/>
      <c r="AF298" s="1453"/>
      <c r="AG298" s="1453"/>
      <c r="AH298" s="1453"/>
      <c r="AI298" s="1453"/>
      <c r="AJ298" s="1453"/>
      <c r="AK298" s="1465"/>
      <c r="AL298" s="1435"/>
      <c r="AM298" s="1436"/>
      <c r="AN298" s="1437"/>
      <c r="AO298" s="1438"/>
      <c r="AP298" s="1439"/>
      <c r="AQ298" s="1440"/>
      <c r="AR298" s="1441"/>
      <c r="AS298" s="1442"/>
      <c r="AT298" s="1443"/>
      <c r="AU298" s="1444"/>
      <c r="AV298" s="1442"/>
      <c r="AW298" s="1445"/>
      <c r="AX298" s="1446"/>
      <c r="AY298" s="1446"/>
      <c r="AZ298" s="1446"/>
      <c r="BA298" s="1447"/>
      <c r="BB298" s="1447"/>
      <c r="BC298" s="1446"/>
      <c r="BD298" s="1448"/>
      <c r="BE298" s="1442"/>
      <c r="BF298" s="1447"/>
      <c r="BG298" s="1449"/>
      <c r="BH298" s="1447"/>
      <c r="BI298" s="1447"/>
      <c r="BJ298" s="1449"/>
      <c r="BK298" s="1447"/>
      <c r="BL298" s="1447"/>
      <c r="BM298" s="1449"/>
      <c r="BN298" s="1447"/>
      <c r="BO298" s="1447"/>
      <c r="BP298" s="1448"/>
    </row>
    <row r="299">
      <c r="A299" s="1453"/>
      <c r="B299" s="1454"/>
      <c r="C299" s="1454"/>
      <c r="D299" s="1453"/>
      <c r="E299" s="1453"/>
      <c r="F299" s="1453"/>
      <c r="G299" s="1455"/>
      <c r="H299" s="1455"/>
      <c r="I299" s="1456"/>
      <c r="J299" s="1457"/>
      <c r="K299" s="1458"/>
      <c r="L299" s="1459"/>
      <c r="M299" s="1459"/>
      <c r="N299" s="1460"/>
      <c r="O299" s="1460"/>
      <c r="P299" s="1461"/>
      <c r="Q299" s="1461"/>
      <c r="R299" s="1462"/>
      <c r="S299" s="1463"/>
      <c r="T299" s="1464"/>
      <c r="U299" s="1453"/>
      <c r="V299" s="1453"/>
      <c r="W299" s="1453"/>
      <c r="X299" s="1453"/>
      <c r="Y299" s="1453"/>
      <c r="Z299" s="1453"/>
      <c r="AA299" s="1453"/>
      <c r="AB299" s="1453"/>
      <c r="AC299" s="1453"/>
      <c r="AD299" s="1453"/>
      <c r="AE299" s="1453"/>
      <c r="AF299" s="1453"/>
      <c r="AG299" s="1453"/>
      <c r="AH299" s="1453"/>
      <c r="AI299" s="1453"/>
      <c r="AJ299" s="1453"/>
      <c r="AK299" s="1465"/>
      <c r="AL299" s="1435"/>
      <c r="AM299" s="1436"/>
      <c r="AN299" s="1437"/>
      <c r="AO299" s="1438"/>
      <c r="AP299" s="1439"/>
      <c r="AQ299" s="1440"/>
      <c r="AR299" s="1441"/>
      <c r="AS299" s="1442"/>
      <c r="AT299" s="1443"/>
      <c r="AU299" s="1444"/>
      <c r="AV299" s="1442"/>
      <c r="AW299" s="1445"/>
      <c r="AX299" s="1446"/>
      <c r="AY299" s="1446"/>
      <c r="AZ299" s="1446"/>
      <c r="BA299" s="1447"/>
      <c r="BB299" s="1447"/>
      <c r="BC299" s="1446"/>
      <c r="BD299" s="1448"/>
      <c r="BE299" s="1442"/>
      <c r="BF299" s="1447"/>
      <c r="BG299" s="1449"/>
      <c r="BH299" s="1447"/>
      <c r="BI299" s="1447"/>
      <c r="BJ299" s="1449"/>
      <c r="BK299" s="1447"/>
      <c r="BL299" s="1447"/>
      <c r="BM299" s="1449"/>
      <c r="BN299" s="1447"/>
      <c r="BO299" s="1447"/>
      <c r="BP299" s="1448"/>
    </row>
    <row r="300">
      <c r="A300" s="1453"/>
      <c r="B300" s="1454"/>
      <c r="C300" s="1454"/>
      <c r="D300" s="1453"/>
      <c r="E300" s="1453"/>
      <c r="F300" s="1453"/>
      <c r="G300" s="1455"/>
      <c r="H300" s="1455"/>
      <c r="I300" s="1456"/>
      <c r="J300" s="1457"/>
      <c r="K300" s="1458"/>
      <c r="L300" s="1459"/>
      <c r="M300" s="1459"/>
      <c r="N300" s="1460"/>
      <c r="O300" s="1460"/>
      <c r="P300" s="1461"/>
      <c r="Q300" s="1461"/>
      <c r="R300" s="1462"/>
      <c r="S300" s="1463"/>
      <c r="T300" s="1464"/>
      <c r="U300" s="1453"/>
      <c r="V300" s="1453"/>
      <c r="W300" s="1453"/>
      <c r="X300" s="1453"/>
      <c r="Y300" s="1453"/>
      <c r="Z300" s="1453"/>
      <c r="AA300" s="1453"/>
      <c r="AB300" s="1453"/>
      <c r="AC300" s="1453"/>
      <c r="AD300" s="1453"/>
      <c r="AE300" s="1453"/>
      <c r="AF300" s="1453"/>
      <c r="AG300" s="1453"/>
      <c r="AH300" s="1453"/>
      <c r="AI300" s="1453"/>
      <c r="AJ300" s="1453"/>
      <c r="AK300" s="1465"/>
      <c r="AL300" s="1435"/>
      <c r="AM300" s="1436"/>
      <c r="AN300" s="1437"/>
      <c r="AO300" s="1438"/>
      <c r="AP300" s="1439"/>
      <c r="AQ300" s="1440"/>
      <c r="AR300" s="1441"/>
      <c r="AS300" s="1442"/>
      <c r="AT300" s="1443"/>
      <c r="AU300" s="1444"/>
      <c r="AV300" s="1442"/>
      <c r="AW300" s="1445"/>
      <c r="AX300" s="1446"/>
      <c r="AY300" s="1446"/>
      <c r="AZ300" s="1446"/>
      <c r="BA300" s="1447"/>
      <c r="BB300" s="1447"/>
      <c r="BC300" s="1446"/>
      <c r="BD300" s="1448"/>
      <c r="BE300" s="1442"/>
      <c r="BF300" s="1447"/>
      <c r="BG300" s="1449"/>
      <c r="BH300" s="1447"/>
      <c r="BI300" s="1447"/>
      <c r="BJ300" s="1449"/>
      <c r="BK300" s="1447"/>
      <c r="BL300" s="1447"/>
      <c r="BM300" s="1449"/>
      <c r="BN300" s="1447"/>
      <c r="BO300" s="1447"/>
      <c r="BP300" s="1448"/>
    </row>
    <row r="301">
      <c r="A301" s="1453"/>
      <c r="B301" s="1454"/>
      <c r="C301" s="1454"/>
      <c r="D301" s="1453"/>
      <c r="E301" s="1453"/>
      <c r="F301" s="1453"/>
      <c r="G301" s="1455"/>
      <c r="H301" s="1455"/>
      <c r="I301" s="1456"/>
      <c r="J301" s="1457"/>
      <c r="K301" s="1458"/>
      <c r="L301" s="1459"/>
      <c r="M301" s="1459"/>
      <c r="N301" s="1460"/>
      <c r="O301" s="1460"/>
      <c r="P301" s="1461"/>
      <c r="Q301" s="1461"/>
      <c r="R301" s="1462"/>
      <c r="S301" s="1463"/>
      <c r="T301" s="1464"/>
      <c r="U301" s="1453"/>
      <c r="V301" s="1453"/>
      <c r="W301" s="1453"/>
      <c r="X301" s="1453"/>
      <c r="Y301" s="1453"/>
      <c r="Z301" s="1453"/>
      <c r="AA301" s="1453"/>
      <c r="AB301" s="1453"/>
      <c r="AC301" s="1453"/>
      <c r="AD301" s="1453"/>
      <c r="AE301" s="1453"/>
      <c r="AF301" s="1453"/>
      <c r="AG301" s="1453"/>
      <c r="AH301" s="1453"/>
      <c r="AI301" s="1453"/>
      <c r="AJ301" s="1453"/>
      <c r="AK301" s="1465"/>
      <c r="AL301" s="1435"/>
      <c r="AM301" s="1436"/>
      <c r="AN301" s="1437"/>
      <c r="AO301" s="1438"/>
      <c r="AP301" s="1439"/>
      <c r="AQ301" s="1440"/>
      <c r="AR301" s="1441"/>
      <c r="AS301" s="1442"/>
      <c r="AT301" s="1443"/>
      <c r="AU301" s="1444"/>
      <c r="AV301" s="1442"/>
      <c r="AW301" s="1445"/>
      <c r="AX301" s="1446"/>
      <c r="AY301" s="1446"/>
      <c r="AZ301" s="1446"/>
      <c r="BA301" s="1447"/>
      <c r="BB301" s="1447"/>
      <c r="BC301" s="1446"/>
      <c r="BD301" s="1448"/>
      <c r="BE301" s="1442"/>
      <c r="BF301" s="1447"/>
      <c r="BG301" s="1449"/>
      <c r="BH301" s="1447"/>
      <c r="BI301" s="1447"/>
      <c r="BJ301" s="1449"/>
      <c r="BK301" s="1447"/>
      <c r="BL301" s="1447"/>
      <c r="BM301" s="1449"/>
      <c r="BN301" s="1447"/>
      <c r="BO301" s="1447"/>
      <c r="BP301" s="1448"/>
    </row>
    <row r="302">
      <c r="A302" s="1453"/>
      <c r="B302" s="1454"/>
      <c r="C302" s="1454"/>
      <c r="D302" s="1453"/>
      <c r="E302" s="1453"/>
      <c r="F302" s="1453"/>
      <c r="G302" s="1455"/>
      <c r="H302" s="1455"/>
      <c r="I302" s="1456"/>
      <c r="J302" s="1457"/>
      <c r="K302" s="1458"/>
      <c r="L302" s="1459"/>
      <c r="M302" s="1459"/>
      <c r="N302" s="1460"/>
      <c r="O302" s="1460"/>
      <c r="P302" s="1461"/>
      <c r="Q302" s="1461"/>
      <c r="R302" s="1462"/>
      <c r="S302" s="1463"/>
      <c r="T302" s="1464"/>
      <c r="U302" s="1453"/>
      <c r="V302" s="1453"/>
      <c r="W302" s="1453"/>
      <c r="X302" s="1453"/>
      <c r="Y302" s="1453"/>
      <c r="Z302" s="1453"/>
      <c r="AA302" s="1453"/>
      <c r="AB302" s="1453"/>
      <c r="AC302" s="1453"/>
      <c r="AD302" s="1453"/>
      <c r="AE302" s="1453"/>
      <c r="AF302" s="1453"/>
      <c r="AG302" s="1453"/>
      <c r="AH302" s="1453"/>
      <c r="AI302" s="1453"/>
      <c r="AJ302" s="1453"/>
      <c r="AK302" s="1465"/>
      <c r="AL302" s="1435"/>
      <c r="AM302" s="1436"/>
      <c r="AN302" s="1437"/>
      <c r="AO302" s="1438"/>
      <c r="AP302" s="1439"/>
      <c r="AQ302" s="1440"/>
      <c r="AR302" s="1441"/>
      <c r="AS302" s="1442"/>
      <c r="AT302" s="1443"/>
      <c r="AU302" s="1444"/>
      <c r="AV302" s="1442"/>
      <c r="AW302" s="1445"/>
      <c r="AX302" s="1446"/>
      <c r="AY302" s="1446"/>
      <c r="AZ302" s="1446"/>
      <c r="BA302" s="1447"/>
      <c r="BB302" s="1447"/>
      <c r="BC302" s="1446"/>
      <c r="BD302" s="1448"/>
      <c r="BE302" s="1442"/>
      <c r="BF302" s="1447"/>
      <c r="BG302" s="1449"/>
      <c r="BH302" s="1447"/>
      <c r="BI302" s="1447"/>
      <c r="BJ302" s="1449"/>
      <c r="BK302" s="1447"/>
      <c r="BL302" s="1447"/>
      <c r="BM302" s="1449"/>
      <c r="BN302" s="1447"/>
      <c r="BO302" s="1447"/>
      <c r="BP302" s="1448"/>
    </row>
    <row r="303">
      <c r="A303" s="1453"/>
      <c r="B303" s="1454"/>
      <c r="C303" s="1454"/>
      <c r="D303" s="1453"/>
      <c r="E303" s="1453"/>
      <c r="F303" s="1453"/>
      <c r="G303" s="1455"/>
      <c r="H303" s="1455"/>
      <c r="I303" s="1456"/>
      <c r="J303" s="1457"/>
      <c r="K303" s="1458"/>
      <c r="L303" s="1459"/>
      <c r="M303" s="1459"/>
      <c r="N303" s="1460"/>
      <c r="O303" s="1460"/>
      <c r="P303" s="1461"/>
      <c r="Q303" s="1461"/>
      <c r="R303" s="1462"/>
      <c r="S303" s="1463"/>
      <c r="T303" s="1464"/>
      <c r="U303" s="1453"/>
      <c r="V303" s="1453"/>
      <c r="W303" s="1453"/>
      <c r="X303" s="1453"/>
      <c r="Y303" s="1453"/>
      <c r="Z303" s="1453"/>
      <c r="AA303" s="1453"/>
      <c r="AB303" s="1453"/>
      <c r="AC303" s="1453"/>
      <c r="AD303" s="1453"/>
      <c r="AE303" s="1453"/>
      <c r="AF303" s="1453"/>
      <c r="AG303" s="1453"/>
      <c r="AH303" s="1453"/>
      <c r="AI303" s="1453"/>
      <c r="AJ303" s="1453"/>
      <c r="AK303" s="1465"/>
      <c r="AL303" s="1466"/>
      <c r="AM303" s="1436"/>
      <c r="AN303" s="1437"/>
      <c r="AO303" s="1438"/>
      <c r="AP303" s="1439"/>
      <c r="AQ303" s="1440"/>
      <c r="AR303" s="1441"/>
      <c r="AS303" s="1442"/>
      <c r="AT303" s="1443"/>
      <c r="AU303" s="1444"/>
      <c r="AV303" s="1442"/>
      <c r="AW303" s="1445"/>
      <c r="AX303" s="1446"/>
      <c r="AY303" s="1446"/>
      <c r="AZ303" s="1446"/>
      <c r="BA303" s="1447"/>
      <c r="BB303" s="1447"/>
      <c r="BC303" s="1446"/>
      <c r="BD303" s="1448"/>
      <c r="BE303" s="1442"/>
      <c r="BF303" s="1447"/>
      <c r="BG303" s="1449"/>
      <c r="BH303" s="1447"/>
      <c r="BI303" s="1447"/>
      <c r="BJ303" s="1449"/>
      <c r="BK303" s="1447"/>
      <c r="BL303" s="1447"/>
      <c r="BM303" s="1449"/>
      <c r="BN303" s="1447"/>
      <c r="BO303" s="1447"/>
      <c r="BP303" s="1448"/>
    </row>
  </sheetData>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5.13" defaultRowHeight="15.75"/>
  <cols>
    <col customWidth="1" min="1" max="1" width="9.63"/>
    <col customWidth="1" min="2" max="2" width="1.13"/>
    <col customWidth="1" min="3" max="15" width="9.63"/>
    <col customWidth="1" min="16" max="16" width="1.13"/>
    <col customWidth="1" min="17" max="25" width="9.63"/>
  </cols>
  <sheetData>
    <row r="1">
      <c r="A1" s="581"/>
      <c r="B1" s="1467"/>
      <c r="C1" s="624">
        <v>1.0</v>
      </c>
      <c r="D1" s="624">
        <v>2.0</v>
      </c>
      <c r="E1" s="624">
        <v>3.0</v>
      </c>
      <c r="F1" s="624">
        <v>4.0</v>
      </c>
      <c r="G1" s="624">
        <v>5.0</v>
      </c>
      <c r="H1" s="624">
        <v>6.0</v>
      </c>
      <c r="I1" s="624">
        <v>7.0</v>
      </c>
      <c r="J1" s="624">
        <v>8.0</v>
      </c>
      <c r="K1" s="624">
        <v>9.0</v>
      </c>
      <c r="L1" s="624">
        <v>10.0</v>
      </c>
      <c r="M1" s="624">
        <v>11.0</v>
      </c>
      <c r="N1" s="624">
        <v>12.0</v>
      </c>
      <c r="O1" s="624">
        <v>13.0</v>
      </c>
      <c r="P1" s="624">
        <v>14.0</v>
      </c>
      <c r="Q1" s="624">
        <v>15.0</v>
      </c>
      <c r="R1" s="624">
        <v>16.0</v>
      </c>
      <c r="S1" s="624">
        <v>17.0</v>
      </c>
      <c r="T1" s="624">
        <v>18.0</v>
      </c>
      <c r="U1" s="624">
        <v>19.0</v>
      </c>
      <c r="V1" s="624">
        <v>20.0</v>
      </c>
      <c r="W1" s="1468">
        <v>21.0</v>
      </c>
      <c r="X1" s="624">
        <v>22.0</v>
      </c>
      <c r="Y1" s="624">
        <v>23.0</v>
      </c>
    </row>
    <row r="2">
      <c r="A2" s="1469" t="s">
        <v>1041</v>
      </c>
      <c r="B2" s="1467"/>
      <c r="C2" s="1400" t="s">
        <v>188</v>
      </c>
      <c r="D2" s="1469" t="s">
        <v>1042</v>
      </c>
      <c r="E2" s="1469" t="s">
        <v>399</v>
      </c>
      <c r="F2" s="1401" t="s">
        <v>189</v>
      </c>
      <c r="G2" s="1401" t="s">
        <v>336</v>
      </c>
      <c r="H2" s="1470" t="s">
        <v>337</v>
      </c>
      <c r="I2" s="1470" t="s">
        <v>338</v>
      </c>
      <c r="J2" s="1470" t="s">
        <v>1043</v>
      </c>
      <c r="K2" s="1470" t="s">
        <v>1044</v>
      </c>
      <c r="L2" s="1405" t="s">
        <v>521</v>
      </c>
      <c r="M2" s="1471" t="s">
        <v>300</v>
      </c>
      <c r="N2" s="1471" t="s">
        <v>918</v>
      </c>
      <c r="O2" s="1471" t="s">
        <v>1031</v>
      </c>
      <c r="P2" s="1467"/>
      <c r="Q2" s="1411" t="s">
        <v>1035</v>
      </c>
      <c r="R2" s="1407" t="s">
        <v>158</v>
      </c>
      <c r="S2" s="1472" t="s">
        <v>1045</v>
      </c>
      <c r="T2" s="1472" t="s">
        <v>1046</v>
      </c>
      <c r="U2" s="1472" t="s">
        <v>1047</v>
      </c>
      <c r="V2" s="1472" t="s">
        <v>1048</v>
      </c>
      <c r="W2" s="1473" t="s">
        <v>1049</v>
      </c>
      <c r="X2" s="1472"/>
      <c r="Y2" s="1472"/>
    </row>
    <row r="3">
      <c r="A3" s="581" t="str">
        <f>IFERROR(__xludf.DUMMYFUNCTION("IFERROR(unique(query({IFERROR(query({CarteirasAtivos;CarteirasAtivosEncerrados},""select Col1 where Col1 is not null""));AtivosLista;radar!H9:H1000},""select Col1 where Col1 is not null order by Col1"")))"),"")</f>
        <v/>
      </c>
      <c r="B3" s="1467"/>
      <c r="C3" s="624"/>
      <c r="D3" s="624"/>
      <c r="E3" s="624"/>
      <c r="F3" s="624"/>
      <c r="G3" s="624"/>
      <c r="H3" s="624"/>
      <c r="I3" s="624"/>
      <c r="J3" s="624"/>
      <c r="K3" s="624"/>
      <c r="L3" s="624"/>
      <c r="M3" s="1474"/>
      <c r="N3" s="1474"/>
      <c r="O3" s="1474"/>
      <c r="P3" s="1467"/>
      <c r="Q3" s="581" t="str">
        <f>IFERROR(__xludf.DUMMYFUNCTION("IF($C3="""","""",IF(L3="""",1,IF(L3='config.parâmetros'!$B$8,1,IFERROR(GOOGLEFINANCE(IF(L3=""GBX"",""GBP"",L3)&amp;IF('config.parâmetros'!$B$8=""GBX"",""GBP"",'config.parâmetros'!$B$8)),1)/IF(L3=""GBX"",100,IF('config.parâmetros'!$B$8=""GBX"",0.01,1)))))"),"")</f>
        <v/>
      </c>
      <c r="R3" s="581" t="str">
        <f>IFERROR(__xludf.DUMMYFUNCTION("IF(C3="""","""",IF((D3=""OUTROS"")+(D3=""""),VLOOKUP(C3,AtivosDados,$R$1,FALSE),IF('config.parâmetros'!$B$9,IFERROR(GOOGLEFINANCE(E3),G3)*Q3,G3*Q3)))"),"")</f>
        <v/>
      </c>
      <c r="S3" s="581" t="str">
        <f t="shared" ref="S3:S45" si="1">IF(C3="","",IF(O3="",C3,IF(O3="---",C3,C3&amp;"
"&amp;UPPER(O3))))</f>
        <v/>
      </c>
      <c r="T3" s="581" t="str">
        <f>IFERROR(__xludf.DUMMYFUNCTION("IF(C3="""","""",IF('config.parâmetros'!$B$9,IFERROR(GOOGLEFINANCE(E3,""change""),H3),H3))"),"")</f>
        <v/>
      </c>
      <c r="U3" s="581" t="str">
        <f>IFERROR(__xludf.DUMMYFUNCTION("IF(C3="""","""",IF('config.parâmetros'!$B$9,IFERROR(GOOGLEFINANCE(E3,""changepct""),I3),I3))"),"")</f>
        <v/>
      </c>
      <c r="V3" s="581" t="str">
        <f>IFERROR(__xludf.DUMMYFUNCTION("IF(C3="""","""",IF('config.parâmetros'!$B$9,IFERROR(INDEX(GOOGLEFINANCE(B4,""price"",TODAY()-'portfólio'!$AF$43,TODAY()),2,2),J3),J3))"),"")</f>
        <v/>
      </c>
      <c r="W3" s="1475" t="str">
        <f>IFERROR(__xludf.DUMMYFUNCTION("IF(C3="""","""",IFERROR(IF('config.parâmetros'!$B$9,IFERROR(GOOGLEFINANCE(E3),G3),G3)/V3-1,""""))"),"")</f>
        <v/>
      </c>
      <c r="X3" s="624"/>
      <c r="Y3" s="624"/>
    </row>
    <row r="4">
      <c r="A4" s="581"/>
      <c r="B4" s="1467"/>
      <c r="C4" s="624"/>
      <c r="D4" s="624"/>
      <c r="E4" s="624"/>
      <c r="F4" s="624"/>
      <c r="G4" s="1476"/>
      <c r="H4" s="1476"/>
      <c r="I4" s="1476"/>
      <c r="J4" s="1476"/>
      <c r="K4" s="1476"/>
      <c r="L4" s="624"/>
      <c r="M4" s="1474"/>
      <c r="N4" s="1474"/>
      <c r="O4" s="1474"/>
      <c r="P4" s="1467"/>
      <c r="Q4" s="581" t="str">
        <f>IFERROR(__xludf.DUMMYFUNCTION("IF($C4="""","""",IF(L4="""",1,IF(L4='config.parâmetros'!$B$8,1,IFERROR(GOOGLEFINANCE(IF(L4=""GBX"",""GBP"",L4)&amp;IF('config.parâmetros'!$B$8=""GBX"",""GBP"",'config.parâmetros'!$B$8)),1)/IF(L4=""GBX"",100,IF('config.parâmetros'!$B$8=""GBX"",0.01,1)))))"),"")</f>
        <v/>
      </c>
      <c r="R4" s="581" t="str">
        <f>IFERROR(__xludf.DUMMYFUNCTION("IF(C4="""","""",IF(D4=""OUTROS"",VLOOKUP(C4,AtivosDados,$R$1,FALSE),IF('config.parâmetros'!$B$9,IFERROR(GOOGLEFINANCE(E4),G4)*Q4,G4*Q4)))"),"")</f>
        <v/>
      </c>
      <c r="S4" s="581" t="str">
        <f t="shared" si="1"/>
        <v/>
      </c>
      <c r="T4" s="581" t="str">
        <f>IFERROR(__xludf.DUMMYFUNCTION("IF(C4="""","""",IF('config.parâmetros'!$B$9,IFERROR(GOOGLEFINANCE(E4,""change""),H4),H4))"),"")</f>
        <v/>
      </c>
      <c r="U4" s="581" t="str">
        <f>IFERROR(__xludf.DUMMYFUNCTION("IF(C4="""","""",IF('config.parâmetros'!$B$9,IFERROR(GOOGLEFINANCE(E4,""changepct""),I4),I4))"),"")</f>
        <v/>
      </c>
      <c r="V4" s="581" t="str">
        <f>IFERROR(__xludf.DUMMYFUNCTION("IF(C4="""","""",IF('config.parâmetros'!$B$9,IFERROR(INDEX(GOOGLEFINANCE(B5,""price"",TODAY()-'portfólio'!$AF$43,TODAY()),2,2),J4),J4))"),"")</f>
        <v/>
      </c>
      <c r="W4" s="1475" t="str">
        <f>IFERROR(__xludf.DUMMYFUNCTION("IF(C4="""","""",IF('config.parâmetros'!$B$9,IFERROR(GOOGLEFINANCE(E4),G4),G4)/V4-1)"),"")</f>
        <v/>
      </c>
      <c r="X4" s="624"/>
      <c r="Y4" s="624"/>
    </row>
    <row r="5">
      <c r="A5" s="581"/>
      <c r="B5" s="1467"/>
      <c r="C5" s="624"/>
      <c r="D5" s="624"/>
      <c r="E5" s="624"/>
      <c r="F5" s="624"/>
      <c r="G5" s="1476"/>
      <c r="H5" s="1476"/>
      <c r="I5" s="1476"/>
      <c r="J5" s="1476"/>
      <c r="K5" s="1476"/>
      <c r="L5" s="624"/>
      <c r="M5" s="1474"/>
      <c r="N5" s="1474"/>
      <c r="O5" s="1474"/>
      <c r="P5" s="1467"/>
      <c r="Q5" s="581" t="str">
        <f>IFERROR(__xludf.DUMMYFUNCTION("IF($C5="""","""",IF(L5="""",1,IF(L5='config.parâmetros'!$B$8,1,IFERROR(GOOGLEFINANCE(IF(L5=""GBX"",""GBP"",L5)&amp;IF('config.parâmetros'!$B$8=""GBX"",""GBP"",'config.parâmetros'!$B$8)),1)/IF(L5=""GBX"",100,IF('config.parâmetros'!$B$8=""GBX"",0.01,1)))))"),"")</f>
        <v/>
      </c>
      <c r="R5" s="581" t="str">
        <f>IFERROR(__xludf.DUMMYFUNCTION("IF(C5="""","""",IF(D5=""OUTROS"",VLOOKUP(C5,AtivosDados,$R$1,FALSE),IF('config.parâmetros'!$B$9,IFERROR(GOOGLEFINANCE(E5),G5)*Q5,G5*Q5)))"),"")</f>
        <v/>
      </c>
      <c r="S5" s="581" t="str">
        <f t="shared" si="1"/>
        <v/>
      </c>
      <c r="T5" s="581" t="str">
        <f>IFERROR(__xludf.DUMMYFUNCTION("IF(C5="""","""",IF('config.parâmetros'!$B$9,IFERROR(GOOGLEFINANCE(E5,""change""),H5),H5))"),"")</f>
        <v/>
      </c>
      <c r="U5" s="581" t="str">
        <f>IFERROR(__xludf.DUMMYFUNCTION("IF(C5="""","""",IF('config.parâmetros'!$B$9,IFERROR(GOOGLEFINANCE(E5,""changepct""),I5),I5))"),"")</f>
        <v/>
      </c>
      <c r="V5" s="581" t="str">
        <f>IFERROR(__xludf.DUMMYFUNCTION("IF(C5="""","""",IF('config.parâmetros'!$B$9,IFERROR(INDEX(GOOGLEFINANCE(B6,""price"",TODAY()-'portfólio'!$AF$43,TODAY()),2,2),J5),J5))"),"")</f>
        <v/>
      </c>
      <c r="W5" s="1475" t="str">
        <f>IFERROR(__xludf.DUMMYFUNCTION("IF(C5="""","""",IF('config.parâmetros'!$B$9,IFERROR(GOOGLEFINANCE(E5),G5),G5)/V5-1)"),"")</f>
        <v/>
      </c>
      <c r="X5" s="624"/>
      <c r="Y5" s="624"/>
    </row>
    <row r="6">
      <c r="A6" s="581"/>
      <c r="B6" s="1467"/>
      <c r="C6" s="624"/>
      <c r="D6" s="624"/>
      <c r="E6" s="624"/>
      <c r="F6" s="624"/>
      <c r="G6" s="1476"/>
      <c r="H6" s="1476"/>
      <c r="I6" s="1476"/>
      <c r="J6" s="1476"/>
      <c r="K6" s="1476"/>
      <c r="L6" s="624"/>
      <c r="M6" s="1474"/>
      <c r="N6" s="1474"/>
      <c r="O6" s="1474"/>
      <c r="P6" s="1467"/>
      <c r="Q6" s="581" t="str">
        <f>IFERROR(__xludf.DUMMYFUNCTION("IF($C6="""","""",IF(L6="""",1,IF(L6='config.parâmetros'!$B$8,1,IFERROR(GOOGLEFINANCE(IF(L6=""GBX"",""GBP"",L6)&amp;IF('config.parâmetros'!$B$8=""GBX"",""GBP"",'config.parâmetros'!$B$8)),1)/IF(L6=""GBX"",100,IF('config.parâmetros'!$B$8=""GBX"",0.01,1)))))"),"")</f>
        <v/>
      </c>
      <c r="R6" s="581" t="str">
        <f>IFERROR(__xludf.DUMMYFUNCTION("IF(C6="""","""",IF(D6=""OUTROS"",VLOOKUP(C6,AtivosDados,$R$1,FALSE),IF('config.parâmetros'!$B$9,IFERROR(GOOGLEFINANCE(E6),G6)*Q6,G6*Q6)))"),"")</f>
        <v/>
      </c>
      <c r="S6" s="581" t="str">
        <f t="shared" si="1"/>
        <v/>
      </c>
      <c r="T6" s="581" t="str">
        <f>IFERROR(__xludf.DUMMYFUNCTION("IF(C6="""","""",IF('config.parâmetros'!$B$9,IFERROR(GOOGLEFINANCE(E6,""change""),H6),H6))"),"")</f>
        <v/>
      </c>
      <c r="U6" s="581" t="str">
        <f>IFERROR(__xludf.DUMMYFUNCTION("IF(C6="""","""",IF('config.parâmetros'!$B$9,IFERROR(GOOGLEFINANCE(E6,""changepct""),I6),I6))"),"")</f>
        <v/>
      </c>
      <c r="V6" s="581" t="str">
        <f>IFERROR(__xludf.DUMMYFUNCTION("IF(C6="""","""",IF('config.parâmetros'!$B$9,IFERROR(INDEX(GOOGLEFINANCE(B7,""price"",TODAY()-'portfólio'!$AF$43,TODAY()),2,2),J6),J6))"),"")</f>
        <v/>
      </c>
      <c r="W6" s="1475" t="str">
        <f>IFERROR(__xludf.DUMMYFUNCTION("IF(C6="""","""",IF('config.parâmetros'!$B$9,IFERROR(GOOGLEFINANCE(E6),G6),G6)/V6-1)"),"")</f>
        <v/>
      </c>
      <c r="X6" s="624"/>
      <c r="Y6" s="624"/>
    </row>
    <row r="7">
      <c r="A7" s="581"/>
      <c r="B7" s="1467"/>
      <c r="C7" s="624"/>
      <c r="D7" s="624"/>
      <c r="E7" s="624"/>
      <c r="F7" s="624"/>
      <c r="G7" s="1476"/>
      <c r="H7" s="1476"/>
      <c r="I7" s="1476"/>
      <c r="J7" s="1476"/>
      <c r="K7" s="1476"/>
      <c r="L7" s="624"/>
      <c r="M7" s="1474"/>
      <c r="N7" s="1474"/>
      <c r="O7" s="1474"/>
      <c r="P7" s="1467"/>
      <c r="Q7" s="581" t="str">
        <f>IFERROR(__xludf.DUMMYFUNCTION("IF($C7="""","""",IF(L7="""",1,IF(L7='config.parâmetros'!$B$8,1,IFERROR(GOOGLEFINANCE(IF(L7=""GBX"",""GBP"",L7)&amp;IF('config.parâmetros'!$B$8=""GBX"",""GBP"",'config.parâmetros'!$B$8)),1)/IF(L7=""GBX"",100,IF('config.parâmetros'!$B$8=""GBX"",0.01,1)))))"),"")</f>
        <v/>
      </c>
      <c r="R7" s="581" t="str">
        <f>IFERROR(__xludf.DUMMYFUNCTION("IF(C7="""","""",IF(D7=""OUTROS"",VLOOKUP(C7,AtivosDados,$R$1,FALSE),IF('config.parâmetros'!$B$9,IFERROR(GOOGLEFINANCE(E7),G7)*Q7,G7*Q7)))"),"")</f>
        <v/>
      </c>
      <c r="S7" s="581" t="str">
        <f t="shared" si="1"/>
        <v/>
      </c>
      <c r="T7" s="581" t="str">
        <f>IFERROR(__xludf.DUMMYFUNCTION("IF(C7="""","""",IF('config.parâmetros'!$B$9,IFERROR(GOOGLEFINANCE(E7,""change""),H7),H7))"),"")</f>
        <v/>
      </c>
      <c r="U7" s="581" t="str">
        <f>IFERROR(__xludf.DUMMYFUNCTION("IF(C7="""","""",IF('config.parâmetros'!$B$9,IFERROR(GOOGLEFINANCE(E7,""changepct""),I7),I7))"),"")</f>
        <v/>
      </c>
      <c r="V7" s="581" t="str">
        <f>IFERROR(__xludf.DUMMYFUNCTION("IF(C7="""","""",IF('config.parâmetros'!$B$9,IFERROR(INDEX(GOOGLEFINANCE(B8,""price"",TODAY()-'portfólio'!$AF$43,TODAY()),2,2),J7),J7))"),"")</f>
        <v/>
      </c>
      <c r="W7" s="1475" t="str">
        <f>IFERROR(__xludf.DUMMYFUNCTION("IF(C7="""","""",IF('config.parâmetros'!$B$9,IFERROR(GOOGLEFINANCE(E7),G7),G7)/V7-1)"),"")</f>
        <v/>
      </c>
      <c r="X7" s="624"/>
      <c r="Y7" s="624"/>
    </row>
    <row r="8">
      <c r="A8" s="581"/>
      <c r="B8" s="1467"/>
      <c r="C8" s="624"/>
      <c r="D8" s="624"/>
      <c r="E8" s="624"/>
      <c r="F8" s="624"/>
      <c r="G8" s="1476"/>
      <c r="H8" s="1476"/>
      <c r="I8" s="1476"/>
      <c r="J8" s="1476"/>
      <c r="K8" s="1476"/>
      <c r="L8" s="624"/>
      <c r="M8" s="1474"/>
      <c r="N8" s="1474"/>
      <c r="O8" s="1474"/>
      <c r="P8" s="1467"/>
      <c r="Q8" s="581" t="str">
        <f>IFERROR(__xludf.DUMMYFUNCTION("IF($C8="""","""",IF(L8="""",1,IF(L8='config.parâmetros'!$B$8,1,IFERROR(GOOGLEFINANCE(IF(L8=""GBX"",""GBP"",L8)&amp;IF('config.parâmetros'!$B$8=""GBX"",""GBP"",'config.parâmetros'!$B$8)),1)/IF(L8=""GBX"",100,IF('config.parâmetros'!$B$8=""GBX"",0.01,1)))))"),"")</f>
        <v/>
      </c>
      <c r="R8" s="581" t="str">
        <f>IFERROR(__xludf.DUMMYFUNCTION("IF(C8="""","""",IF(D8=""OUTROS"",VLOOKUP(C8,AtivosDados,$R$1,FALSE),IF('config.parâmetros'!$B$9,IFERROR(GOOGLEFINANCE(E8),G8)*Q8,G8*Q8)))"),"")</f>
        <v/>
      </c>
      <c r="S8" s="581" t="str">
        <f t="shared" si="1"/>
        <v/>
      </c>
      <c r="T8" s="581" t="str">
        <f>IFERROR(__xludf.DUMMYFUNCTION("IF(C8="""","""",IF('config.parâmetros'!$B$9,IFERROR(GOOGLEFINANCE(E8,""change""),H8),H8))"),"")</f>
        <v/>
      </c>
      <c r="U8" s="581" t="str">
        <f>IFERROR(__xludf.DUMMYFUNCTION("IF(C8="""","""",IF('config.parâmetros'!$B$9,IFERROR(GOOGLEFINANCE(E8,""changepct""),I8),I8))"),"")</f>
        <v/>
      </c>
      <c r="V8" s="581" t="str">
        <f>IFERROR(__xludf.DUMMYFUNCTION("IF(C8="""","""",IF('config.parâmetros'!$B$9,IFERROR(INDEX(GOOGLEFINANCE(B9,""price"",TODAY()-'portfólio'!$AF$43,TODAY()),2,2),J8),J8))"),"")</f>
        <v/>
      </c>
      <c r="W8" s="1475" t="str">
        <f>IFERROR(__xludf.DUMMYFUNCTION("IF(C8="""","""",IF('config.parâmetros'!$B$9,IFERROR(GOOGLEFINANCE(E8),G8),G8)/V8-1)"),"")</f>
        <v/>
      </c>
      <c r="X8" s="624"/>
      <c r="Y8" s="624"/>
    </row>
    <row r="9">
      <c r="A9" s="581"/>
      <c r="B9" s="1467"/>
      <c r="C9" s="624"/>
      <c r="D9" s="624"/>
      <c r="E9" s="624"/>
      <c r="F9" s="624"/>
      <c r="G9" s="1476"/>
      <c r="H9" s="1476"/>
      <c r="I9" s="1476"/>
      <c r="J9" s="1476"/>
      <c r="K9" s="1476"/>
      <c r="L9" s="624"/>
      <c r="M9" s="1474"/>
      <c r="N9" s="1474"/>
      <c r="O9" s="1474"/>
      <c r="P9" s="1467"/>
      <c r="Q9" s="581" t="str">
        <f>IFERROR(__xludf.DUMMYFUNCTION("IF($C9="""","""",IF(L9="""",1,IF(L9='config.parâmetros'!$B$8,1,IFERROR(GOOGLEFINANCE(IF(L9=""GBX"",""GBP"",L9)&amp;IF('config.parâmetros'!$B$8=""GBX"",""GBP"",'config.parâmetros'!$B$8)),1)/IF(L9=""GBX"",100,IF('config.parâmetros'!$B$8=""GBX"",0.01,1)))))"),"")</f>
        <v/>
      </c>
      <c r="R9" s="581" t="str">
        <f>IFERROR(__xludf.DUMMYFUNCTION("IF(C9="""","""",IF(D9=""OUTROS"",VLOOKUP(C9,AtivosDados,$R$1,FALSE),IF('config.parâmetros'!$B$9,IFERROR(GOOGLEFINANCE(E9),G9)*Q9,G9*Q9)))"),"")</f>
        <v/>
      </c>
      <c r="S9" s="581" t="str">
        <f t="shared" si="1"/>
        <v/>
      </c>
      <c r="T9" s="581" t="str">
        <f>IFERROR(__xludf.DUMMYFUNCTION("IF(C9="""","""",IF('config.parâmetros'!$B$9,IFERROR(GOOGLEFINANCE(E9,""change""),H9),H9))"),"")</f>
        <v/>
      </c>
      <c r="U9" s="581" t="str">
        <f>IFERROR(__xludf.DUMMYFUNCTION("IF(C9="""","""",IF('config.parâmetros'!$B$9,IFERROR(GOOGLEFINANCE(E9,""changepct""),I9),I9))"),"")</f>
        <v/>
      </c>
      <c r="V9" s="581" t="str">
        <f>IFERROR(__xludf.DUMMYFUNCTION("IF(C9="""","""",IF('config.parâmetros'!$B$9,IFERROR(INDEX(GOOGLEFINANCE(B10,""price"",TODAY()-'portfólio'!$AF$43,TODAY()),2,2),J9),J9))"),"")</f>
        <v/>
      </c>
      <c r="W9" s="1475" t="str">
        <f>IFERROR(__xludf.DUMMYFUNCTION("IF(C9="""","""",IF('config.parâmetros'!$B$9,IFERROR(GOOGLEFINANCE(E9),G9),G9)/V9-1)"),"")</f>
        <v/>
      </c>
      <c r="X9" s="624"/>
      <c r="Y9" s="624"/>
    </row>
    <row r="10">
      <c r="A10" s="581"/>
      <c r="B10" s="1467"/>
      <c r="C10" s="624"/>
      <c r="D10" s="624"/>
      <c r="E10" s="624"/>
      <c r="F10" s="624"/>
      <c r="G10" s="1476"/>
      <c r="H10" s="1476"/>
      <c r="I10" s="1476"/>
      <c r="J10" s="1476"/>
      <c r="K10" s="1476"/>
      <c r="L10" s="624"/>
      <c r="M10" s="1474"/>
      <c r="N10" s="1474"/>
      <c r="O10" s="1474"/>
      <c r="P10" s="1467"/>
      <c r="Q10" s="581" t="str">
        <f>IFERROR(__xludf.DUMMYFUNCTION("IF($C10="""","""",IF(L10="""",1,IF(L10='config.parâmetros'!$B$8,1,IFERROR(GOOGLEFINANCE(IF(L10=""GBX"",""GBP"",L10)&amp;IF('config.parâmetros'!$B$8=""GBX"",""GBP"",'config.parâmetros'!$B$8)),1)/IF(L10=""GBX"",100,IF('config.parâmetros'!$B$8=""GBX"",0.01,1))))"&amp;")"),"")</f>
        <v/>
      </c>
      <c r="R10" s="581" t="str">
        <f>IFERROR(__xludf.DUMMYFUNCTION("IF(C10="""","""",IF(D10=""OUTROS"",VLOOKUP(C10,AtivosDados,$R$1,FALSE),IF('config.parâmetros'!$B$9,IFERROR(GOOGLEFINANCE(E10),G10)*Q10,G10*Q10)))"),"")</f>
        <v/>
      </c>
      <c r="S10" s="581" t="str">
        <f t="shared" si="1"/>
        <v/>
      </c>
      <c r="T10" s="581" t="str">
        <f>IFERROR(__xludf.DUMMYFUNCTION("IF(C10="""","""",IF('config.parâmetros'!$B$9,IFERROR(GOOGLEFINANCE(E10,""change""),H10),H10))"),"")</f>
        <v/>
      </c>
      <c r="U10" s="581" t="str">
        <f>IFERROR(__xludf.DUMMYFUNCTION("IF(C10="""","""",IF('config.parâmetros'!$B$9,IFERROR(GOOGLEFINANCE(E10,""changepct""),I10),I10))"),"")</f>
        <v/>
      </c>
      <c r="V10" s="581" t="str">
        <f>IFERROR(__xludf.DUMMYFUNCTION("IF(C10="""","""",IF('config.parâmetros'!$B$9,IFERROR(INDEX(GOOGLEFINANCE(B11,""price"",TODAY()-'portfólio'!$AF$43,TODAY()),2,2),J10),J10))"),"")</f>
        <v/>
      </c>
      <c r="W10" s="1475" t="str">
        <f>IFERROR(__xludf.DUMMYFUNCTION("IF(C10="""","""",IF('config.parâmetros'!$B$9,IFERROR(GOOGLEFINANCE(E10),G10),G10)/V10-1)"),"")</f>
        <v/>
      </c>
      <c r="X10" s="624"/>
      <c r="Y10" s="624"/>
    </row>
    <row r="11">
      <c r="A11" s="581"/>
      <c r="B11" s="1467"/>
      <c r="C11" s="624"/>
      <c r="D11" s="624"/>
      <c r="E11" s="624"/>
      <c r="F11" s="624"/>
      <c r="G11" s="1476"/>
      <c r="H11" s="1476"/>
      <c r="I11" s="1476"/>
      <c r="J11" s="1476"/>
      <c r="K11" s="1476"/>
      <c r="L11" s="624"/>
      <c r="M11" s="1474"/>
      <c r="N11" s="1474"/>
      <c r="O11" s="1474"/>
      <c r="P11" s="1467"/>
      <c r="Q11" s="581" t="str">
        <f>IFERROR(__xludf.DUMMYFUNCTION("IF($C11="""","""",IF(L11="""",1,IF(L11='config.parâmetros'!$B$8,1,IFERROR(GOOGLEFINANCE(IF(L11=""GBX"",""GBP"",L11)&amp;IF('config.parâmetros'!$B$8=""GBX"",""GBP"",'config.parâmetros'!$B$8)),1)/IF(L11=""GBX"",100,IF('config.parâmetros'!$B$8=""GBX"",0.01,1))))"&amp;")"),"")</f>
        <v/>
      </c>
      <c r="R11" s="581" t="str">
        <f>IFERROR(__xludf.DUMMYFUNCTION("IF(C11="""","""",IF(D11=""OUTROS"",VLOOKUP(C11,AtivosDados,$R$1,FALSE),IF('config.parâmetros'!$B$9,IFERROR(GOOGLEFINANCE(E11),G11)*Q11,G11*Q11)))"),"")</f>
        <v/>
      </c>
      <c r="S11" s="581" t="str">
        <f t="shared" si="1"/>
        <v/>
      </c>
      <c r="T11" s="581" t="str">
        <f>IFERROR(__xludf.DUMMYFUNCTION("IF(C11="""","""",IF('config.parâmetros'!$B$9,IFERROR(GOOGLEFINANCE(E11,""change""),H11),H11))"),"")</f>
        <v/>
      </c>
      <c r="U11" s="581" t="str">
        <f>IFERROR(__xludf.DUMMYFUNCTION("IF(C11="""","""",IF('config.parâmetros'!$B$9,IFERROR(GOOGLEFINANCE(E11,""changepct""),I11),I11))"),"")</f>
        <v/>
      </c>
      <c r="V11" s="581" t="str">
        <f>IFERROR(__xludf.DUMMYFUNCTION("IF(C11="""","""",IF('config.parâmetros'!$B$9,IFERROR(INDEX(GOOGLEFINANCE(B12,""price"",TODAY()-'portfólio'!$AF$43,TODAY()),2,2),J11),J11))"),"")</f>
        <v/>
      </c>
      <c r="W11" s="1475" t="str">
        <f>IFERROR(__xludf.DUMMYFUNCTION("IF(C11="""","""",IF('config.parâmetros'!$B$9,IFERROR(GOOGLEFINANCE(E11),G11),G11)/V11-1)"),"")</f>
        <v/>
      </c>
      <c r="X11" s="581"/>
      <c r="Y11" s="581"/>
    </row>
    <row r="12">
      <c r="A12" s="581"/>
      <c r="B12" s="1467"/>
      <c r="C12" s="624"/>
      <c r="D12" s="624"/>
      <c r="E12" s="624"/>
      <c r="F12" s="624"/>
      <c r="G12" s="1476"/>
      <c r="H12" s="1476"/>
      <c r="I12" s="1476"/>
      <c r="J12" s="1476"/>
      <c r="K12" s="1476"/>
      <c r="L12" s="624"/>
      <c r="M12" s="1474"/>
      <c r="N12" s="1474"/>
      <c r="O12" s="1474"/>
      <c r="P12" s="1467"/>
      <c r="Q12" s="581" t="str">
        <f>IFERROR(__xludf.DUMMYFUNCTION("IF($C12="""","""",IF(L12="""",1,IF(L12='config.parâmetros'!$B$8,1,IFERROR(GOOGLEFINANCE(IF(L12=""GBX"",""GBP"",L12)&amp;IF('config.parâmetros'!$B$8=""GBX"",""GBP"",'config.parâmetros'!$B$8)),1)/IF(L12=""GBX"",100,IF('config.parâmetros'!$B$8=""GBX"",0.01,1))))"&amp;")"),"")</f>
        <v/>
      </c>
      <c r="R12" s="581" t="str">
        <f>IFERROR(__xludf.DUMMYFUNCTION("IF(C12="""","""",IF(D12=""OUTROS"",VLOOKUP(C12,AtivosDados,$R$1,FALSE),IF('config.parâmetros'!$B$9,IFERROR(GOOGLEFINANCE(E12),G12)*Q12,G12*Q12)))"),"")</f>
        <v/>
      </c>
      <c r="S12" s="581" t="str">
        <f t="shared" si="1"/>
        <v/>
      </c>
      <c r="T12" s="581" t="str">
        <f>IFERROR(__xludf.DUMMYFUNCTION("IF(C12="""","""",IF('config.parâmetros'!$B$9,IFERROR(GOOGLEFINANCE(E12,""change""),H12),H12))"),"")</f>
        <v/>
      </c>
      <c r="U12" s="581" t="str">
        <f>IFERROR(__xludf.DUMMYFUNCTION("IF(C12="""","""",IF('config.parâmetros'!$B$9,IFERROR(GOOGLEFINANCE(E12,""changepct""),I12),I12))"),"")</f>
        <v/>
      </c>
      <c r="V12" s="581" t="str">
        <f>IFERROR(__xludf.DUMMYFUNCTION("IF(C12="""","""",IF('config.parâmetros'!$B$9,IFERROR(INDEX(GOOGLEFINANCE(B13,""price"",TODAY()-'portfólio'!$AF$43,TODAY()),2,2),J12),J12))"),"")</f>
        <v/>
      </c>
      <c r="W12" s="1475" t="str">
        <f>IFERROR(__xludf.DUMMYFUNCTION("IF(C12="""","""",IF('config.parâmetros'!$B$9,IFERROR(GOOGLEFINANCE(E12),G12),G12)/V12-1)"),"")</f>
        <v/>
      </c>
      <c r="X12" s="581"/>
      <c r="Y12" s="581"/>
    </row>
    <row r="13">
      <c r="A13" s="581"/>
      <c r="B13" s="1467"/>
      <c r="C13" s="624"/>
      <c r="D13" s="624"/>
      <c r="E13" s="624"/>
      <c r="F13" s="624"/>
      <c r="G13" s="1476"/>
      <c r="H13" s="1476"/>
      <c r="I13" s="1476"/>
      <c r="J13" s="1476"/>
      <c r="K13" s="1476"/>
      <c r="L13" s="624"/>
      <c r="M13" s="1474"/>
      <c r="N13" s="1474"/>
      <c r="O13" s="1474"/>
      <c r="P13" s="1467"/>
      <c r="Q13" s="581" t="str">
        <f>IFERROR(__xludf.DUMMYFUNCTION("IF($C13="""","""",IF(L13="""",1,IF(L13='config.parâmetros'!$B$8,1,IFERROR(GOOGLEFINANCE(IF(L13=""GBX"",""GBP"",L13)&amp;IF('config.parâmetros'!$B$8=""GBX"",""GBP"",'config.parâmetros'!$B$8)),1)/IF(L13=""GBX"",100,IF('config.parâmetros'!$B$8=""GBX"",0.01,1))))"&amp;")"),"")</f>
        <v/>
      </c>
      <c r="R13" s="581" t="str">
        <f>IFERROR(__xludf.DUMMYFUNCTION("IF(C13="""","""",IF(D13=""OUTROS"",VLOOKUP(C13,AtivosDados,$R$1,FALSE),IF('config.parâmetros'!$B$9,IFERROR(GOOGLEFINANCE(E13),G13)*Q13,G13*Q13)))"),"")</f>
        <v/>
      </c>
      <c r="S13" s="581" t="str">
        <f t="shared" si="1"/>
        <v/>
      </c>
      <c r="T13" s="581" t="str">
        <f>IFERROR(__xludf.DUMMYFUNCTION("IF(C13="""","""",IF('config.parâmetros'!$B$9,IFERROR(GOOGLEFINANCE(E13,""change""),H13),H13))"),"")</f>
        <v/>
      </c>
      <c r="U13" s="581" t="str">
        <f>IFERROR(__xludf.DUMMYFUNCTION("IF(C13="""","""",IF('config.parâmetros'!$B$9,IFERROR(GOOGLEFINANCE(E13,""changepct""),I13),I13))"),"")</f>
        <v/>
      </c>
      <c r="V13" s="581" t="str">
        <f>IFERROR(__xludf.DUMMYFUNCTION("IF(C13="""","""",IF('config.parâmetros'!$B$9,IFERROR(INDEX(GOOGLEFINANCE(B14,""price"",TODAY()-'portfólio'!$AF$43,TODAY()),2,2),J13),J13))"),"")</f>
        <v/>
      </c>
      <c r="W13" s="1475" t="str">
        <f>IFERROR(__xludf.DUMMYFUNCTION("IF(C13="""","""",IF('config.parâmetros'!$B$9,IFERROR(GOOGLEFINANCE(E13),G13),G13)/V13-1)"),"")</f>
        <v/>
      </c>
      <c r="X13" s="581"/>
      <c r="Y13" s="581"/>
    </row>
    <row r="14">
      <c r="A14" s="581"/>
      <c r="B14" s="1467"/>
      <c r="C14" s="624"/>
      <c r="D14" s="624"/>
      <c r="E14" s="624"/>
      <c r="F14" s="624"/>
      <c r="G14" s="1476"/>
      <c r="H14" s="1476"/>
      <c r="I14" s="1476"/>
      <c r="J14" s="1476"/>
      <c r="K14" s="1476"/>
      <c r="L14" s="624"/>
      <c r="M14" s="1474"/>
      <c r="N14" s="1474"/>
      <c r="O14" s="1474"/>
      <c r="P14" s="1467"/>
      <c r="Q14" s="581" t="str">
        <f>IFERROR(__xludf.DUMMYFUNCTION("IF($C14="""","""",IF(L14="""",1,IF(L14='config.parâmetros'!$B$8,1,IFERROR(GOOGLEFINANCE(IF(L14=""GBX"",""GBP"",L14)&amp;IF('config.parâmetros'!$B$8=""GBX"",""GBP"",'config.parâmetros'!$B$8)),1)/IF(L14=""GBX"",100,IF('config.parâmetros'!$B$8=""GBX"",0.01,1))))"&amp;")"),"")</f>
        <v/>
      </c>
      <c r="R14" s="581" t="str">
        <f>IFERROR(__xludf.DUMMYFUNCTION("IF(C14="""","""",IF(D14=""OUTROS"",VLOOKUP(C14,AtivosDados,$R$1,FALSE),IF('config.parâmetros'!$B$9,IFERROR(GOOGLEFINANCE(E14),G14)*Q14,G14*Q14)))"),"")</f>
        <v/>
      </c>
      <c r="S14" s="581" t="str">
        <f t="shared" si="1"/>
        <v/>
      </c>
      <c r="T14" s="581" t="str">
        <f>IFERROR(__xludf.DUMMYFUNCTION("IF(C14="""","""",IF('config.parâmetros'!$B$9,IFERROR(GOOGLEFINANCE(E14,""change""),H14),H14))"),"")</f>
        <v/>
      </c>
      <c r="U14" s="581" t="str">
        <f>IFERROR(__xludf.DUMMYFUNCTION("IF(C14="""","""",IF('config.parâmetros'!$B$9,IFERROR(GOOGLEFINANCE(E14,""changepct""),I14),I14))"),"")</f>
        <v/>
      </c>
      <c r="V14" s="581" t="str">
        <f>IFERROR(__xludf.DUMMYFUNCTION("IF(C14="""","""",IF('config.parâmetros'!$B$9,IFERROR(INDEX(GOOGLEFINANCE(B15,""price"",TODAY()-'portfólio'!$AF$43,TODAY()),2,2),J14),J14))"),"")</f>
        <v/>
      </c>
      <c r="W14" s="1475" t="str">
        <f>IFERROR(__xludf.DUMMYFUNCTION("IF(C14="""","""",IF('config.parâmetros'!$B$9,IFERROR(GOOGLEFINANCE(E14),G14),G14)/V14-1)"),"")</f>
        <v/>
      </c>
      <c r="X14" s="581"/>
      <c r="Y14" s="581"/>
    </row>
    <row r="15">
      <c r="A15" s="581"/>
      <c r="B15" s="1467"/>
      <c r="C15" s="624"/>
      <c r="D15" s="624"/>
      <c r="E15" s="624"/>
      <c r="F15" s="624"/>
      <c r="G15" s="1476"/>
      <c r="H15" s="1476"/>
      <c r="I15" s="1476"/>
      <c r="J15" s="1476"/>
      <c r="K15" s="1476"/>
      <c r="L15" s="624"/>
      <c r="M15" s="1474"/>
      <c r="N15" s="1474"/>
      <c r="O15" s="1474"/>
      <c r="P15" s="1467"/>
      <c r="Q15" s="581" t="str">
        <f>IFERROR(__xludf.DUMMYFUNCTION("IF($C15="""","""",IF(L15="""",1,IF(L15='config.parâmetros'!$B$8,1,IFERROR(GOOGLEFINANCE(IF(L15=""GBX"",""GBP"",L15)&amp;IF('config.parâmetros'!$B$8=""GBX"",""GBP"",'config.parâmetros'!$B$8)),1)/IF(L15=""GBX"",100,IF('config.parâmetros'!$B$8=""GBX"",0.01,1))))"&amp;")"),"")</f>
        <v/>
      </c>
      <c r="R15" s="581" t="str">
        <f>IFERROR(__xludf.DUMMYFUNCTION("IF(C15="""","""",IF(D15=""OUTROS"",VLOOKUP(C15,AtivosDados,$R$1,FALSE),IF('config.parâmetros'!$B$9,IFERROR(GOOGLEFINANCE(E15),G15)*Q15,G15*Q15)))"),"")</f>
        <v/>
      </c>
      <c r="S15" s="581" t="str">
        <f t="shared" si="1"/>
        <v/>
      </c>
      <c r="T15" s="581" t="str">
        <f>IFERROR(__xludf.DUMMYFUNCTION("IF(C15="""","""",IF('config.parâmetros'!$B$9,IFERROR(GOOGLEFINANCE(E15,""change""),H15),H15))"),"")</f>
        <v/>
      </c>
      <c r="U15" s="581" t="str">
        <f>IFERROR(__xludf.DUMMYFUNCTION("IF(C15="""","""",IF('config.parâmetros'!$B$9,IFERROR(GOOGLEFINANCE(E15,""changepct""),I15),I15))"),"")</f>
        <v/>
      </c>
      <c r="V15" s="581" t="str">
        <f>IFERROR(__xludf.DUMMYFUNCTION("IF(C15="""","""",IF('config.parâmetros'!$B$9,IFERROR(INDEX(GOOGLEFINANCE(B16,""price"",TODAY()-'portfólio'!$AF$43,TODAY()),2,2),J15),J15))"),"")</f>
        <v/>
      </c>
      <c r="W15" s="1475" t="str">
        <f>IFERROR(__xludf.DUMMYFUNCTION("IF(C15="""","""",IF('config.parâmetros'!$B$9,IFERROR(GOOGLEFINANCE(E15),G15),G15)/V15-1)"),"")</f>
        <v/>
      </c>
      <c r="X15" s="581"/>
      <c r="Y15" s="581"/>
    </row>
    <row r="16">
      <c r="A16" s="581"/>
      <c r="B16" s="1467"/>
      <c r="C16" s="624"/>
      <c r="D16" s="624"/>
      <c r="E16" s="624"/>
      <c r="F16" s="624"/>
      <c r="G16" s="1476"/>
      <c r="H16" s="1476"/>
      <c r="I16" s="1476"/>
      <c r="J16" s="1476"/>
      <c r="K16" s="1476"/>
      <c r="L16" s="624"/>
      <c r="M16" s="1474"/>
      <c r="N16" s="1474"/>
      <c r="O16" s="1474"/>
      <c r="P16" s="1467"/>
      <c r="Q16" s="581" t="str">
        <f>IFERROR(__xludf.DUMMYFUNCTION("IF($C16="""","""",IF(L16="""",1,IF(L16='config.parâmetros'!$B$8,1,IFERROR(GOOGLEFINANCE(IF(L16=""GBX"",""GBP"",L16)&amp;IF('config.parâmetros'!$B$8=""GBX"",""GBP"",'config.parâmetros'!$B$8)),1)/IF(L16=""GBX"",100,IF('config.parâmetros'!$B$8=""GBX"",0.01,1))))"&amp;")"),"")</f>
        <v/>
      </c>
      <c r="R16" s="581" t="str">
        <f>IFERROR(__xludf.DUMMYFUNCTION("IF(C16="""","""",IF(D16=""OUTROS"",VLOOKUP(C16,AtivosDados,$R$1,FALSE),IF('config.parâmetros'!$B$9,IFERROR(GOOGLEFINANCE(E16),G16)*Q16,G16*Q16)))"),"")</f>
        <v/>
      </c>
      <c r="S16" s="581" t="str">
        <f t="shared" si="1"/>
        <v/>
      </c>
      <c r="T16" s="581" t="str">
        <f>IFERROR(__xludf.DUMMYFUNCTION("IF(C16="""","""",IF('config.parâmetros'!$B$9,IFERROR(GOOGLEFINANCE(E16,""change""),H16),H16))"),"")</f>
        <v/>
      </c>
      <c r="U16" s="581" t="str">
        <f>IFERROR(__xludf.DUMMYFUNCTION("IF(C16="""","""",IF('config.parâmetros'!$B$9,IFERROR(GOOGLEFINANCE(E16,""changepct""),I16),I16))"),"")</f>
        <v/>
      </c>
      <c r="V16" s="581" t="str">
        <f>IFERROR(__xludf.DUMMYFUNCTION("IF(C16="""","""",IF('config.parâmetros'!$B$9,IFERROR(INDEX(GOOGLEFINANCE(B17,""price"",TODAY()-'portfólio'!$AF$43,TODAY()),2,2),J16),J16))"),"")</f>
        <v/>
      </c>
      <c r="W16" s="1475" t="str">
        <f>IFERROR(__xludf.DUMMYFUNCTION("IF(C16="""","""",IF('config.parâmetros'!$B$9,IFERROR(GOOGLEFINANCE(E16),G16),G16)/V16-1)"),"")</f>
        <v/>
      </c>
      <c r="X16" s="581"/>
      <c r="Y16" s="581"/>
    </row>
    <row r="17">
      <c r="A17" s="581"/>
      <c r="B17" s="1467"/>
      <c r="C17" s="624"/>
      <c r="D17" s="624"/>
      <c r="E17" s="624"/>
      <c r="F17" s="624"/>
      <c r="G17" s="1476"/>
      <c r="H17" s="1476"/>
      <c r="I17" s="1476"/>
      <c r="J17" s="1476"/>
      <c r="K17" s="1476"/>
      <c r="L17" s="624"/>
      <c r="M17" s="1474"/>
      <c r="N17" s="1474"/>
      <c r="O17" s="1474"/>
      <c r="P17" s="1467"/>
      <c r="Q17" s="581" t="str">
        <f>IFERROR(__xludf.DUMMYFUNCTION("IF($C17="""","""",IF(L17="""",1,IF(L17='config.parâmetros'!$B$8,1,IFERROR(GOOGLEFINANCE(IF(L17=""GBX"",""GBP"",L17)&amp;IF('config.parâmetros'!$B$8=""GBX"",""GBP"",'config.parâmetros'!$B$8)),1)/IF(L17=""GBX"",100,IF('config.parâmetros'!$B$8=""GBX"",0.01,1))))"&amp;")"),"")</f>
        <v/>
      </c>
      <c r="R17" s="581" t="str">
        <f>IFERROR(__xludf.DUMMYFUNCTION("IF(C17="""","""",IF(D17=""OUTROS"",VLOOKUP(C17,AtivosDados,$R$1,FALSE),IF('config.parâmetros'!$B$9,IFERROR(GOOGLEFINANCE(E17),G17)*Q17,G17*Q17)))"),"")</f>
        <v/>
      </c>
      <c r="S17" s="581" t="str">
        <f t="shared" si="1"/>
        <v/>
      </c>
      <c r="T17" s="581" t="str">
        <f>IFERROR(__xludf.DUMMYFUNCTION("IF(C17="""","""",IF('config.parâmetros'!$B$9,IFERROR(GOOGLEFINANCE(E17,""change""),H17),H17))"),"")</f>
        <v/>
      </c>
      <c r="U17" s="581" t="str">
        <f>IFERROR(__xludf.DUMMYFUNCTION("IF(C17="""","""",IF('config.parâmetros'!$B$9,IFERROR(GOOGLEFINANCE(E17,""changepct""),I17),I17))"),"")</f>
        <v/>
      </c>
      <c r="V17" s="581" t="str">
        <f>IFERROR(__xludf.DUMMYFUNCTION("IF(C17="""","""",IF('config.parâmetros'!$B$9,IFERROR(INDEX(GOOGLEFINANCE(B18,""price"",TODAY()-'portfólio'!$AF$43,TODAY()),2,2),J17),J17))"),"")</f>
        <v/>
      </c>
      <c r="W17" s="1475" t="str">
        <f>IFERROR(__xludf.DUMMYFUNCTION("IF(C17="""","""",IF('config.parâmetros'!$B$9,IFERROR(GOOGLEFINANCE(E17),G17),G17)/V17-1)"),"")</f>
        <v/>
      </c>
      <c r="X17" s="581"/>
      <c r="Y17" s="581"/>
    </row>
    <row r="18">
      <c r="A18" s="581"/>
      <c r="B18" s="1467"/>
      <c r="C18" s="624"/>
      <c r="D18" s="624"/>
      <c r="E18" s="624"/>
      <c r="F18" s="624"/>
      <c r="G18" s="1476"/>
      <c r="H18" s="1476"/>
      <c r="I18" s="1476"/>
      <c r="J18" s="1476"/>
      <c r="K18" s="1476"/>
      <c r="L18" s="624"/>
      <c r="M18" s="1474"/>
      <c r="N18" s="1474"/>
      <c r="O18" s="1474"/>
      <c r="P18" s="1467"/>
      <c r="Q18" s="581" t="str">
        <f>IFERROR(__xludf.DUMMYFUNCTION("IF($C18="""","""",IF(L18="""",1,IF(L18='config.parâmetros'!$B$8,1,IFERROR(GOOGLEFINANCE(IF(L18=""GBX"",""GBP"",L18)&amp;IF('config.parâmetros'!$B$8=""GBX"",""GBP"",'config.parâmetros'!$B$8)),1)/IF(L18=""GBX"",100,IF('config.parâmetros'!$B$8=""GBX"",0.01,1))))"&amp;")"),"")</f>
        <v/>
      </c>
      <c r="R18" s="581" t="str">
        <f>IFERROR(__xludf.DUMMYFUNCTION("IF(C18="""","""",IF(D18=""OUTROS"",VLOOKUP(C18,AtivosDados,$R$1,FALSE),IF('config.parâmetros'!$B$9,IFERROR(GOOGLEFINANCE(E18),G18)*Q18,G18*Q18)))"),"")</f>
        <v/>
      </c>
      <c r="S18" s="581" t="str">
        <f t="shared" si="1"/>
        <v/>
      </c>
      <c r="T18" s="581" t="str">
        <f>IFERROR(__xludf.DUMMYFUNCTION("IF(C18="""","""",IF('config.parâmetros'!$B$9,IFERROR(GOOGLEFINANCE(E18,""change""),H18),H18))"),"")</f>
        <v/>
      </c>
      <c r="U18" s="581" t="str">
        <f>IFERROR(__xludf.DUMMYFUNCTION("IF(C18="""","""",IF('config.parâmetros'!$B$9,IFERROR(GOOGLEFINANCE(E18,""changepct""),I18),I18))"),"")</f>
        <v/>
      </c>
      <c r="V18" s="581" t="str">
        <f>IFERROR(__xludf.DUMMYFUNCTION("IF(C18="""","""",IF('config.parâmetros'!$B$9,IFERROR(INDEX(GOOGLEFINANCE(B19,""price"",TODAY()-'portfólio'!$AF$43,TODAY()),2,2),J18),J18))"),"")</f>
        <v/>
      </c>
      <c r="W18" s="1475" t="str">
        <f>IFERROR(__xludf.DUMMYFUNCTION("IF(C18="""","""",IF('config.parâmetros'!$B$9,IFERROR(GOOGLEFINANCE(E18),G18),G18)/V18-1)"),"")</f>
        <v/>
      </c>
      <c r="X18" s="581"/>
      <c r="Y18" s="581"/>
    </row>
    <row r="19">
      <c r="A19" s="581"/>
      <c r="B19" s="1467"/>
      <c r="C19" s="624"/>
      <c r="D19" s="624"/>
      <c r="E19" s="624"/>
      <c r="F19" s="624"/>
      <c r="G19" s="1476"/>
      <c r="H19" s="1476"/>
      <c r="I19" s="1476"/>
      <c r="J19" s="1476"/>
      <c r="K19" s="1476"/>
      <c r="L19" s="624"/>
      <c r="M19" s="1474"/>
      <c r="N19" s="1474"/>
      <c r="O19" s="1474"/>
      <c r="P19" s="1467"/>
      <c r="Q19" s="581" t="str">
        <f>IFERROR(__xludf.DUMMYFUNCTION("IF($C19="""","""",IF(L19="""",1,IF(L19='config.parâmetros'!$B$8,1,IFERROR(GOOGLEFINANCE(IF(L19=""GBX"",""GBP"",L19)&amp;IF('config.parâmetros'!$B$8=""GBX"",""GBP"",'config.parâmetros'!$B$8)),1)/IF(L19=""GBX"",100,IF('config.parâmetros'!$B$8=""GBX"",0.01,1))))"&amp;")"),"")</f>
        <v/>
      </c>
      <c r="R19" s="581" t="str">
        <f>IFERROR(__xludf.DUMMYFUNCTION("IF(C19="""","""",IF(D19=""OUTROS"",VLOOKUP(C19,AtivosDados,$R$1,FALSE),IF('config.parâmetros'!$B$9,IFERROR(GOOGLEFINANCE(E19),G19)*Q19,G19*Q19)))"),"")</f>
        <v/>
      </c>
      <c r="S19" s="581" t="str">
        <f t="shared" si="1"/>
        <v/>
      </c>
      <c r="T19" s="581" t="str">
        <f>IFERROR(__xludf.DUMMYFUNCTION("IF(C19="""","""",IF('config.parâmetros'!$B$9,IFERROR(GOOGLEFINANCE(E19,""change""),H19),H19))"),"")</f>
        <v/>
      </c>
      <c r="U19" s="581" t="str">
        <f>IFERROR(__xludf.DUMMYFUNCTION("IF(C19="""","""",IF('config.parâmetros'!$B$9,IFERROR(GOOGLEFINANCE(E19,""changepct""),I19),I19))"),"")</f>
        <v/>
      </c>
      <c r="V19" s="581" t="str">
        <f>IFERROR(__xludf.DUMMYFUNCTION("IF(C19="""","""",IF('config.parâmetros'!$B$9,IFERROR(INDEX(GOOGLEFINANCE(B20,""price"",TODAY()-'portfólio'!$AF$43,TODAY()),2,2),J19),J19))"),"")</f>
        <v/>
      </c>
      <c r="W19" s="1475" t="str">
        <f>IFERROR(__xludf.DUMMYFUNCTION("IF(C19="""","""",IF('config.parâmetros'!$B$9,IFERROR(GOOGLEFINANCE(E19),G19),G19)/V19-1)"),"")</f>
        <v/>
      </c>
      <c r="X19" s="581"/>
      <c r="Y19" s="581"/>
    </row>
    <row r="20">
      <c r="A20" s="581"/>
      <c r="B20" s="1467"/>
      <c r="C20" s="624"/>
      <c r="D20" s="624"/>
      <c r="E20" s="624"/>
      <c r="F20" s="624"/>
      <c r="G20" s="1476"/>
      <c r="H20" s="1476"/>
      <c r="I20" s="1476"/>
      <c r="J20" s="1476"/>
      <c r="K20" s="1476"/>
      <c r="L20" s="624"/>
      <c r="M20" s="1474"/>
      <c r="N20" s="1474"/>
      <c r="O20" s="1474"/>
      <c r="P20" s="1467"/>
      <c r="Q20" s="581" t="str">
        <f>IFERROR(__xludf.DUMMYFUNCTION("IF($C20="""","""",IF(L20="""",1,IF(L20='config.parâmetros'!$B$8,1,IFERROR(GOOGLEFINANCE(IF(L20=""GBX"",""GBP"",L20)&amp;IF('config.parâmetros'!$B$8=""GBX"",""GBP"",'config.parâmetros'!$B$8)),1)/IF(L20=""GBX"",100,IF('config.parâmetros'!$B$8=""GBX"",0.01,1))))"&amp;")"),"")</f>
        <v/>
      </c>
      <c r="R20" s="581" t="str">
        <f>IFERROR(__xludf.DUMMYFUNCTION("IF(C20="""","""",IF(D20=""OUTROS"",VLOOKUP(C20,AtivosDados,$R$1,FALSE),IF('config.parâmetros'!$B$9,IFERROR(GOOGLEFINANCE(E20),G20)*Q20,G20*Q20)))"),"")</f>
        <v/>
      </c>
      <c r="S20" s="581" t="str">
        <f t="shared" si="1"/>
        <v/>
      </c>
      <c r="T20" s="581" t="str">
        <f>IFERROR(__xludf.DUMMYFUNCTION("IF(C20="""","""",IF('config.parâmetros'!$B$9,IFERROR(GOOGLEFINANCE(E20,""change""),H20),H20))"),"")</f>
        <v/>
      </c>
      <c r="U20" s="581" t="str">
        <f>IFERROR(__xludf.DUMMYFUNCTION("IF(C20="""","""",IF('config.parâmetros'!$B$9,IFERROR(GOOGLEFINANCE(E20,""changepct""),I20),I20))"),"")</f>
        <v/>
      </c>
      <c r="V20" s="581" t="str">
        <f>IFERROR(__xludf.DUMMYFUNCTION("IF(C20="""","""",IF('config.parâmetros'!$B$9,IFERROR(INDEX(GOOGLEFINANCE(B21,""price"",TODAY()-'portfólio'!$AF$43,TODAY()),2,2),J20),J20))"),"")</f>
        <v/>
      </c>
      <c r="W20" s="1475" t="str">
        <f>IFERROR(__xludf.DUMMYFUNCTION("IF(C20="""","""",IF('config.parâmetros'!$B$9,IFERROR(GOOGLEFINANCE(E20),G20),G20)/V20-1)"),"")</f>
        <v/>
      </c>
      <c r="X20" s="581"/>
      <c r="Y20" s="581"/>
    </row>
    <row r="21">
      <c r="A21" s="581"/>
      <c r="B21" s="1467"/>
      <c r="C21" s="624"/>
      <c r="D21" s="624"/>
      <c r="E21" s="624"/>
      <c r="F21" s="624"/>
      <c r="G21" s="1476"/>
      <c r="H21" s="1476"/>
      <c r="I21" s="1476"/>
      <c r="J21" s="1476"/>
      <c r="K21" s="1476"/>
      <c r="L21" s="624"/>
      <c r="M21" s="1474"/>
      <c r="N21" s="1474"/>
      <c r="O21" s="1474"/>
      <c r="P21" s="1467"/>
      <c r="Q21" s="581" t="str">
        <f>IFERROR(__xludf.DUMMYFUNCTION("IF($C21="""","""",IF(L21="""",1,IF(L21='config.parâmetros'!$B$8,1,IFERROR(GOOGLEFINANCE(IF(L21=""GBX"",""GBP"",L21)&amp;IF('config.parâmetros'!$B$8=""GBX"",""GBP"",'config.parâmetros'!$B$8)),1)/IF(L21=""GBX"",100,IF('config.parâmetros'!$B$8=""GBX"",0.01,1))))"&amp;")"),"")</f>
        <v/>
      </c>
      <c r="R21" s="581" t="str">
        <f>IFERROR(__xludf.DUMMYFUNCTION("IF(C21="""","""",IF(D21=""OUTROS"",VLOOKUP(C21,AtivosDados,$R$1,FALSE),IF('config.parâmetros'!$B$9,IFERROR(GOOGLEFINANCE(E21),G21)*Q21,G21*Q21)))"),"")</f>
        <v/>
      </c>
      <c r="S21" s="581" t="str">
        <f t="shared" si="1"/>
        <v/>
      </c>
      <c r="T21" s="581" t="str">
        <f>IFERROR(__xludf.DUMMYFUNCTION("IF(C21="""","""",IF('config.parâmetros'!$B$9,IFERROR(GOOGLEFINANCE(E21,""change""),H21),H21))"),"")</f>
        <v/>
      </c>
      <c r="U21" s="581" t="str">
        <f>IFERROR(__xludf.DUMMYFUNCTION("IF(C21="""","""",IF('config.parâmetros'!$B$9,IFERROR(GOOGLEFINANCE(E21,""changepct""),I21),I21))"),"")</f>
        <v/>
      </c>
      <c r="V21" s="581" t="str">
        <f>IFERROR(__xludf.DUMMYFUNCTION("IF(C21="""","""",IF('config.parâmetros'!$B$9,IFERROR(INDEX(GOOGLEFINANCE(B22,""price"",TODAY()-'portfólio'!$AF$43,TODAY()),2,2),J21),J21))"),"")</f>
        <v/>
      </c>
      <c r="W21" s="1475" t="str">
        <f>IFERROR(__xludf.DUMMYFUNCTION("IF(C21="""","""",IF('config.parâmetros'!$B$9,IFERROR(GOOGLEFINANCE(E21),G21),G21)/V21-1)"),"")</f>
        <v/>
      </c>
      <c r="X21" s="581"/>
      <c r="Y21" s="581"/>
    </row>
    <row r="22">
      <c r="A22" s="581"/>
      <c r="B22" s="1467"/>
      <c r="C22" s="624"/>
      <c r="D22" s="624"/>
      <c r="E22" s="624"/>
      <c r="F22" s="624"/>
      <c r="G22" s="1476"/>
      <c r="H22" s="1476"/>
      <c r="I22" s="1476"/>
      <c r="J22" s="1476"/>
      <c r="K22" s="1476"/>
      <c r="L22" s="624"/>
      <c r="M22" s="1474"/>
      <c r="N22" s="1474"/>
      <c r="O22" s="1474"/>
      <c r="P22" s="1467"/>
      <c r="Q22" s="581" t="str">
        <f>IFERROR(__xludf.DUMMYFUNCTION("IF($C22="""","""",IF(L22="""",1,IF(L22='config.parâmetros'!$B$8,1,IFERROR(GOOGLEFINANCE(IF(L22=""GBX"",""GBP"",L22)&amp;IF('config.parâmetros'!$B$8=""GBX"",""GBP"",'config.parâmetros'!$B$8)),1)/IF(L22=""GBX"",100,IF('config.parâmetros'!$B$8=""GBX"",0.01,1))))"&amp;")"),"")</f>
        <v/>
      </c>
      <c r="R22" s="581" t="str">
        <f>IFERROR(__xludf.DUMMYFUNCTION("IF(C22="""","""",IF(D22=""OUTROS"",VLOOKUP(C22,AtivosDados,$R$1,FALSE),IF('config.parâmetros'!$B$9,IFERROR(GOOGLEFINANCE(E22),G22)*Q22,G22*Q22)))"),"")</f>
        <v/>
      </c>
      <c r="S22" s="581" t="str">
        <f t="shared" si="1"/>
        <v/>
      </c>
      <c r="T22" s="581" t="str">
        <f>IFERROR(__xludf.DUMMYFUNCTION("IF(C22="""","""",IF('config.parâmetros'!$B$9,IFERROR(GOOGLEFINANCE(E22,""change""),H22),H22))"),"")</f>
        <v/>
      </c>
      <c r="U22" s="581" t="str">
        <f>IFERROR(__xludf.DUMMYFUNCTION("IF(C22="""","""",IF('config.parâmetros'!$B$9,IFERROR(GOOGLEFINANCE(E22,""changepct""),I22),I22))"),"")</f>
        <v/>
      </c>
      <c r="V22" s="581" t="str">
        <f>IFERROR(__xludf.DUMMYFUNCTION("IF(C22="""","""",IF('config.parâmetros'!$B$9,IFERROR(INDEX(GOOGLEFINANCE(B23,""price"",TODAY()-'portfólio'!$AF$43,TODAY()),2,2),J22),J22))"),"")</f>
        <v/>
      </c>
      <c r="W22" s="1475" t="str">
        <f>IFERROR(__xludf.DUMMYFUNCTION("IF(C22="""","""",IF('config.parâmetros'!$B$9,IFERROR(GOOGLEFINANCE(E22),G22),G22)/V22-1)"),"")</f>
        <v/>
      </c>
      <c r="X22" s="581"/>
      <c r="Y22" s="581"/>
    </row>
    <row r="23">
      <c r="A23" s="581"/>
      <c r="B23" s="1467"/>
      <c r="C23" s="624"/>
      <c r="D23" s="624"/>
      <c r="E23" s="624"/>
      <c r="F23" s="624"/>
      <c r="G23" s="1476"/>
      <c r="H23" s="1476"/>
      <c r="I23" s="1476"/>
      <c r="J23" s="1476"/>
      <c r="K23" s="1476"/>
      <c r="L23" s="624"/>
      <c r="M23" s="1474"/>
      <c r="N23" s="1474"/>
      <c r="O23" s="1474"/>
      <c r="P23" s="1467"/>
      <c r="Q23" s="581" t="str">
        <f>IFERROR(__xludf.DUMMYFUNCTION("IF($C23="""","""",IF(L23="""",1,IF(L23='config.parâmetros'!$B$8,1,IFERROR(GOOGLEFINANCE(IF(L23=""GBX"",""GBP"",L23)&amp;IF('config.parâmetros'!$B$8=""GBX"",""GBP"",'config.parâmetros'!$B$8)),1)/IF(L23=""GBX"",100,IF('config.parâmetros'!$B$8=""GBX"",0.01,1))))"&amp;")"),"")</f>
        <v/>
      </c>
      <c r="R23" s="581" t="str">
        <f>IFERROR(__xludf.DUMMYFUNCTION("IF(C23="""","""",IF(D23=""OUTROS"",VLOOKUP(C23,AtivosDados,$R$1,FALSE),IF('config.parâmetros'!$B$9,IFERROR(GOOGLEFINANCE(E23),G23)*Q23,G23*Q23)))"),"")</f>
        <v/>
      </c>
      <c r="S23" s="581" t="str">
        <f t="shared" si="1"/>
        <v/>
      </c>
      <c r="T23" s="581" t="str">
        <f>IFERROR(__xludf.DUMMYFUNCTION("IF(C23="""","""",IF('config.parâmetros'!$B$9,IFERROR(GOOGLEFINANCE(E23,""change""),H23),H23))"),"")</f>
        <v/>
      </c>
      <c r="U23" s="581" t="str">
        <f>IFERROR(__xludf.DUMMYFUNCTION("IF(C23="""","""",IF('config.parâmetros'!$B$9,IFERROR(GOOGLEFINANCE(E23,""changepct""),I23),I23))"),"")</f>
        <v/>
      </c>
      <c r="V23" s="581" t="str">
        <f>IFERROR(__xludf.DUMMYFUNCTION("IF(C23="""","""",IF('config.parâmetros'!$B$9,IFERROR(INDEX(GOOGLEFINANCE(B24,""price"",TODAY()-'portfólio'!$AF$43,TODAY()),2,2),J23),J23))"),"")</f>
        <v/>
      </c>
      <c r="W23" s="1475" t="str">
        <f>IFERROR(__xludf.DUMMYFUNCTION("IF(C23="""","""",IF('config.parâmetros'!$B$9,IFERROR(GOOGLEFINANCE(E23),G23),G23)/V23-1)"),"")</f>
        <v/>
      </c>
      <c r="X23" s="581"/>
      <c r="Y23" s="581"/>
    </row>
    <row r="24">
      <c r="A24" s="581"/>
      <c r="B24" s="1467"/>
      <c r="C24" s="624"/>
      <c r="D24" s="624"/>
      <c r="E24" s="624"/>
      <c r="F24" s="624"/>
      <c r="G24" s="1476"/>
      <c r="H24" s="1476"/>
      <c r="I24" s="1476"/>
      <c r="J24" s="1476"/>
      <c r="K24" s="1476"/>
      <c r="L24" s="624"/>
      <c r="M24" s="1474"/>
      <c r="N24" s="1474"/>
      <c r="O24" s="1474"/>
      <c r="P24" s="1467"/>
      <c r="Q24" s="581" t="str">
        <f>IFERROR(__xludf.DUMMYFUNCTION("IF($C24="""","""",IF(L24="""",1,IF(L24='config.parâmetros'!$B$8,1,IFERROR(GOOGLEFINANCE(IF(L24=""GBX"",""GBP"",L24)&amp;IF('config.parâmetros'!$B$8=""GBX"",""GBP"",'config.parâmetros'!$B$8)),1)/IF(L24=""GBX"",100,IF('config.parâmetros'!$B$8=""GBX"",0.01,1))))"&amp;")"),"")</f>
        <v/>
      </c>
      <c r="R24" s="581" t="str">
        <f>IFERROR(__xludf.DUMMYFUNCTION("IF(C24="""","""",IF(D24=""OUTROS"",VLOOKUP(C24,AtivosDados,$R$1,FALSE),IF('config.parâmetros'!$B$9,IFERROR(GOOGLEFINANCE(E24),G24)*Q24,G24*Q24)))"),"")</f>
        <v/>
      </c>
      <c r="S24" s="581" t="str">
        <f t="shared" si="1"/>
        <v/>
      </c>
      <c r="T24" s="581" t="str">
        <f>IFERROR(__xludf.DUMMYFUNCTION("IF(C24="""","""",IF('config.parâmetros'!$B$9,IFERROR(GOOGLEFINANCE(E24,""change""),H24),H24))"),"")</f>
        <v/>
      </c>
      <c r="U24" s="581" t="str">
        <f>IFERROR(__xludf.DUMMYFUNCTION("IF(C24="""","""",IF('config.parâmetros'!$B$9,IFERROR(GOOGLEFINANCE(E24,""changepct""),I24),I24))"),"")</f>
        <v/>
      </c>
      <c r="V24" s="581" t="str">
        <f>IFERROR(__xludf.DUMMYFUNCTION("IF(C24="""","""",IF('config.parâmetros'!$B$9,IFERROR(INDEX(GOOGLEFINANCE(B25,""price"",TODAY()-'portfólio'!$AF$43,TODAY()),2,2),J24),J24))"),"")</f>
        <v/>
      </c>
      <c r="W24" s="1475" t="str">
        <f>IFERROR(__xludf.DUMMYFUNCTION("IF(C24="""","""",IF('config.parâmetros'!$B$9,IFERROR(GOOGLEFINANCE(E24),G24),G24)/V24-1)"),"")</f>
        <v/>
      </c>
      <c r="X24" s="581"/>
      <c r="Y24" s="581"/>
    </row>
    <row r="25">
      <c r="A25" s="581"/>
      <c r="B25" s="1467"/>
      <c r="C25" s="624"/>
      <c r="D25" s="624"/>
      <c r="E25" s="624"/>
      <c r="F25" s="624"/>
      <c r="G25" s="1476"/>
      <c r="H25" s="1476"/>
      <c r="I25" s="1476"/>
      <c r="J25" s="1476"/>
      <c r="K25" s="1476"/>
      <c r="L25" s="624"/>
      <c r="M25" s="1474"/>
      <c r="N25" s="1474"/>
      <c r="O25" s="1474"/>
      <c r="P25" s="1467"/>
      <c r="Q25" s="581" t="str">
        <f>IFERROR(__xludf.DUMMYFUNCTION("IF($C25="""","""",IF(L25="""",1,IF(L25='config.parâmetros'!$B$8,1,IFERROR(GOOGLEFINANCE(IF(L25=""GBX"",""GBP"",L25)&amp;IF('config.parâmetros'!$B$8=""GBX"",""GBP"",'config.parâmetros'!$B$8)),1)/IF(L25=""GBX"",100,IF('config.parâmetros'!$B$8=""GBX"",0.01,1))))"&amp;")"),"")</f>
        <v/>
      </c>
      <c r="R25" s="581" t="str">
        <f>IFERROR(__xludf.DUMMYFUNCTION("IF(C25="""","""",IF(D25=""OUTROS"",VLOOKUP(C25,AtivosDados,$R$1,FALSE),IF('config.parâmetros'!$B$9,IFERROR(GOOGLEFINANCE(E25),G25)*Q25,G25*Q25)))"),"")</f>
        <v/>
      </c>
      <c r="S25" s="581" t="str">
        <f t="shared" si="1"/>
        <v/>
      </c>
      <c r="T25" s="581" t="str">
        <f>IFERROR(__xludf.DUMMYFUNCTION("IF(C25="""","""",IF('config.parâmetros'!$B$9,IFERROR(GOOGLEFINANCE(E25,""change""),H25),H25))"),"")</f>
        <v/>
      </c>
      <c r="U25" s="581" t="str">
        <f>IFERROR(__xludf.DUMMYFUNCTION("IF(C25="""","""",IF('config.parâmetros'!$B$9,IFERROR(GOOGLEFINANCE(E25,""changepct""),I25),I25))"),"")</f>
        <v/>
      </c>
      <c r="V25" s="581" t="str">
        <f>IFERROR(__xludf.DUMMYFUNCTION("IF(C25="""","""",IF('config.parâmetros'!$B$9,IFERROR(INDEX(GOOGLEFINANCE(B26,""price"",TODAY()-'portfólio'!$AF$43,TODAY()),2,2),J25),J25))"),"")</f>
        <v/>
      </c>
      <c r="W25" s="1475" t="str">
        <f>IFERROR(__xludf.DUMMYFUNCTION("IF(C25="""","""",IF('config.parâmetros'!$B$9,IFERROR(GOOGLEFINANCE(E25),G25),G25)/V25-1)"),"")</f>
        <v/>
      </c>
      <c r="X25" s="581"/>
      <c r="Y25" s="581"/>
    </row>
    <row r="26">
      <c r="A26" s="581"/>
      <c r="B26" s="1467"/>
      <c r="C26" s="624"/>
      <c r="D26" s="624"/>
      <c r="E26" s="624"/>
      <c r="F26" s="624"/>
      <c r="G26" s="1476"/>
      <c r="H26" s="1476"/>
      <c r="I26" s="1476"/>
      <c r="J26" s="1476"/>
      <c r="K26" s="1476"/>
      <c r="L26" s="624"/>
      <c r="M26" s="1474"/>
      <c r="N26" s="1474"/>
      <c r="O26" s="1474"/>
      <c r="P26" s="1467"/>
      <c r="Q26" s="581" t="str">
        <f>IFERROR(__xludf.DUMMYFUNCTION("IF($C26="""","""",IF(L26="""",1,IF(L26='config.parâmetros'!$B$8,1,IFERROR(GOOGLEFINANCE(IF(L26=""GBX"",""GBP"",L26)&amp;IF('config.parâmetros'!$B$8=""GBX"",""GBP"",'config.parâmetros'!$B$8)),1)/IF(L26=""GBX"",100,IF('config.parâmetros'!$B$8=""GBX"",0.01,1))))"&amp;")"),"")</f>
        <v/>
      </c>
      <c r="R26" s="581" t="str">
        <f>IFERROR(__xludf.DUMMYFUNCTION("IF(C26="""","""",IF(D26=""OUTROS"",VLOOKUP(C26,AtivosDados,$R$1,FALSE),IF('config.parâmetros'!$B$9,IFERROR(GOOGLEFINANCE(E26),G26)*Q26,G26*Q26)))"),"")</f>
        <v/>
      </c>
      <c r="S26" s="581" t="str">
        <f t="shared" si="1"/>
        <v/>
      </c>
      <c r="T26" s="581" t="str">
        <f>IFERROR(__xludf.DUMMYFUNCTION("IF(C26="""","""",IF('config.parâmetros'!$B$9,IFERROR(GOOGLEFINANCE(E26,""change""),H26),H26))"),"")</f>
        <v/>
      </c>
      <c r="U26" s="581" t="str">
        <f>IFERROR(__xludf.DUMMYFUNCTION("IF(C26="""","""",IF('config.parâmetros'!$B$9,IFERROR(GOOGLEFINANCE(E26,""changepct""),I26),I26))"),"")</f>
        <v/>
      </c>
      <c r="V26" s="581" t="str">
        <f>IFERROR(__xludf.DUMMYFUNCTION("IF(C26="""","""",IF('config.parâmetros'!$B$9,IFERROR(INDEX(GOOGLEFINANCE(B27,""price"",TODAY()-'portfólio'!$AF$43,TODAY()),2,2),J26),J26))"),"")</f>
        <v/>
      </c>
      <c r="W26" s="1475" t="str">
        <f>IFERROR(__xludf.DUMMYFUNCTION("IF(C26="""","""",IF('config.parâmetros'!$B$9,IFERROR(GOOGLEFINANCE(E26),G26),G26)/V26-1)"),"")</f>
        <v/>
      </c>
      <c r="X26" s="581"/>
      <c r="Y26" s="581"/>
    </row>
    <row r="27">
      <c r="A27" s="581"/>
      <c r="B27" s="1467"/>
      <c r="C27" s="624"/>
      <c r="D27" s="624"/>
      <c r="E27" s="624"/>
      <c r="F27" s="624"/>
      <c r="G27" s="1476"/>
      <c r="H27" s="1476"/>
      <c r="I27" s="1476"/>
      <c r="J27" s="1476"/>
      <c r="K27" s="1476"/>
      <c r="L27" s="624"/>
      <c r="M27" s="1474"/>
      <c r="N27" s="1474"/>
      <c r="O27" s="1474"/>
      <c r="P27" s="1467"/>
      <c r="Q27" s="581" t="str">
        <f>IFERROR(__xludf.DUMMYFUNCTION("IF($C27="""","""",IF(L27="""",1,IF(L27='config.parâmetros'!$B$8,1,IFERROR(GOOGLEFINANCE(IF(L27=""GBX"",""GBP"",L27)&amp;IF('config.parâmetros'!$B$8=""GBX"",""GBP"",'config.parâmetros'!$B$8)),1)/IF(L27=""GBX"",100,IF('config.parâmetros'!$B$8=""GBX"",0.01,1))))"&amp;")"),"")</f>
        <v/>
      </c>
      <c r="R27" s="581" t="str">
        <f>IFERROR(__xludf.DUMMYFUNCTION("IF(C27="""","""",IF(D27=""OUTROS"",VLOOKUP(C27,AtivosDados,$R$1,FALSE),IF('config.parâmetros'!$B$9,IFERROR(GOOGLEFINANCE(E27),G27)*Q27,G27*Q27)))"),"")</f>
        <v/>
      </c>
      <c r="S27" s="581" t="str">
        <f t="shared" si="1"/>
        <v/>
      </c>
      <c r="T27" s="581" t="str">
        <f>IFERROR(__xludf.DUMMYFUNCTION("IF(C27="""","""",IF('config.parâmetros'!$B$9,IFERROR(GOOGLEFINANCE(E27,""change""),H27),H27))"),"")</f>
        <v/>
      </c>
      <c r="U27" s="581" t="str">
        <f>IFERROR(__xludf.DUMMYFUNCTION("IF(C27="""","""",IF('config.parâmetros'!$B$9,IFERROR(GOOGLEFINANCE(E27,""changepct""),I27),I27))"),"")</f>
        <v/>
      </c>
      <c r="V27" s="581" t="str">
        <f>IFERROR(__xludf.DUMMYFUNCTION("IF(C27="""","""",IF('config.parâmetros'!$B$9,IFERROR(INDEX(GOOGLEFINANCE(B28,""price"",TODAY()-'portfólio'!$AF$43,TODAY()),2,2),J27),J27))"),"")</f>
        <v/>
      </c>
      <c r="W27" s="1475" t="str">
        <f>IFERROR(__xludf.DUMMYFUNCTION("IF(C27="""","""",IF('config.parâmetros'!$B$9,IFERROR(GOOGLEFINANCE(E27),G27),G27)/V27-1)"),"")</f>
        <v/>
      </c>
      <c r="X27" s="581"/>
      <c r="Y27" s="581"/>
    </row>
    <row r="28">
      <c r="A28" s="581"/>
      <c r="B28" s="1467"/>
      <c r="C28" s="624"/>
      <c r="D28" s="624"/>
      <c r="E28" s="624"/>
      <c r="F28" s="624"/>
      <c r="G28" s="1476"/>
      <c r="H28" s="1476"/>
      <c r="I28" s="1476"/>
      <c r="J28" s="1476"/>
      <c r="K28" s="1476"/>
      <c r="L28" s="624"/>
      <c r="M28" s="1474"/>
      <c r="N28" s="1474"/>
      <c r="O28" s="1474"/>
      <c r="P28" s="1467"/>
      <c r="Q28" s="581" t="str">
        <f>IFERROR(__xludf.DUMMYFUNCTION("IF($C28="""","""",IF(L28="""",1,IF(L28='config.parâmetros'!$B$8,1,IFERROR(GOOGLEFINANCE(IF(L28=""GBX"",""GBP"",L28)&amp;IF('config.parâmetros'!$B$8=""GBX"",""GBP"",'config.parâmetros'!$B$8)),1)/IF(L28=""GBX"",100,IF('config.parâmetros'!$B$8=""GBX"",0.01,1))))"&amp;")"),"")</f>
        <v/>
      </c>
      <c r="R28" s="581" t="str">
        <f>IFERROR(__xludf.DUMMYFUNCTION("IF(C28="""","""",IF(D28=""OUTROS"",VLOOKUP(C28,AtivosDados,$R$1,FALSE),IF('config.parâmetros'!$B$9,IFERROR(GOOGLEFINANCE(E28),G28)*Q28,G28*Q28)))"),"")</f>
        <v/>
      </c>
      <c r="S28" s="581" t="str">
        <f t="shared" si="1"/>
        <v/>
      </c>
      <c r="T28" s="581" t="str">
        <f>IFERROR(__xludf.DUMMYFUNCTION("IF(C28="""","""",IF('config.parâmetros'!$B$9,IFERROR(GOOGLEFINANCE(E28,""change""),H28),H28))"),"")</f>
        <v/>
      </c>
      <c r="U28" s="581" t="str">
        <f>IFERROR(__xludf.DUMMYFUNCTION("IF(C28="""","""",IF('config.parâmetros'!$B$9,IFERROR(GOOGLEFINANCE(E28,""changepct""),I28),I28))"),"")</f>
        <v/>
      </c>
      <c r="V28" s="581" t="str">
        <f>IFERROR(__xludf.DUMMYFUNCTION("IF(C28="""","""",IF('config.parâmetros'!$B$9,IFERROR(INDEX(GOOGLEFINANCE(B29,""price"",TODAY()-'portfólio'!$AF$43,TODAY()),2,2),J28),J28))"),"")</f>
        <v/>
      </c>
      <c r="W28" s="1475" t="str">
        <f>IFERROR(__xludf.DUMMYFUNCTION("IF(C28="""","""",IF('config.parâmetros'!$B$9,IFERROR(GOOGLEFINANCE(E28),G28),G28)/V28-1)"),"")</f>
        <v/>
      </c>
      <c r="X28" s="581"/>
      <c r="Y28" s="581"/>
    </row>
    <row r="29">
      <c r="A29" s="581"/>
      <c r="B29" s="1467"/>
      <c r="C29" s="624"/>
      <c r="D29" s="624"/>
      <c r="E29" s="624"/>
      <c r="F29" s="624"/>
      <c r="G29" s="1476"/>
      <c r="H29" s="1476"/>
      <c r="I29" s="1476"/>
      <c r="J29" s="1476"/>
      <c r="K29" s="1476"/>
      <c r="L29" s="624"/>
      <c r="M29" s="1474"/>
      <c r="N29" s="1474"/>
      <c r="O29" s="1474"/>
      <c r="P29" s="1467"/>
      <c r="Q29" s="581" t="str">
        <f>IFERROR(__xludf.DUMMYFUNCTION("IF($C29="""","""",IF(L29="""",1,IF(L29='config.parâmetros'!$B$8,1,IFERROR(GOOGLEFINANCE(IF(L29=""GBX"",""GBP"",L29)&amp;IF('config.parâmetros'!$B$8=""GBX"",""GBP"",'config.parâmetros'!$B$8)),1)/IF(L29=""GBX"",100,IF('config.parâmetros'!$B$8=""GBX"",0.01,1))))"&amp;")"),"")</f>
        <v/>
      </c>
      <c r="R29" s="581" t="str">
        <f>IFERROR(__xludf.DUMMYFUNCTION("IF(C29="""","""",IF(D29=""OUTROS"",VLOOKUP(C29,AtivosDados,$R$1,FALSE),IF('config.parâmetros'!$B$9,IFERROR(GOOGLEFINANCE(E29),G29)*Q29,G29*Q29)))"),"")</f>
        <v/>
      </c>
      <c r="S29" s="581" t="str">
        <f t="shared" si="1"/>
        <v/>
      </c>
      <c r="T29" s="581" t="str">
        <f>IFERROR(__xludf.DUMMYFUNCTION("IF(C29="""","""",IF('config.parâmetros'!$B$9,IFERROR(GOOGLEFINANCE(E29,""change""),H29),H29))"),"")</f>
        <v/>
      </c>
      <c r="U29" s="581" t="str">
        <f>IFERROR(__xludf.DUMMYFUNCTION("IF(C29="""","""",IF('config.parâmetros'!$B$9,IFERROR(GOOGLEFINANCE(E29,""changepct""),I29),I29))"),"")</f>
        <v/>
      </c>
      <c r="V29" s="581" t="str">
        <f>IFERROR(__xludf.DUMMYFUNCTION("IF(C29="""","""",IF('config.parâmetros'!$B$9,IFERROR(INDEX(GOOGLEFINANCE(B30,""price"",TODAY()-'portfólio'!$AF$43,TODAY()),2,2),J29),J29))"),"")</f>
        <v/>
      </c>
      <c r="W29" s="1475" t="str">
        <f>IFERROR(__xludf.DUMMYFUNCTION("IF(C29="""","""",IF('config.parâmetros'!$B$9,IFERROR(GOOGLEFINANCE(E29),G29),G29)/V29-1)"),"")</f>
        <v/>
      </c>
      <c r="X29" s="581"/>
      <c r="Y29" s="581"/>
    </row>
    <row r="30">
      <c r="A30" s="581"/>
      <c r="B30" s="1467"/>
      <c r="C30" s="624"/>
      <c r="D30" s="624"/>
      <c r="E30" s="624"/>
      <c r="F30" s="624"/>
      <c r="G30" s="1476"/>
      <c r="H30" s="1476"/>
      <c r="I30" s="1476"/>
      <c r="J30" s="1476"/>
      <c r="K30" s="1476"/>
      <c r="L30" s="624"/>
      <c r="M30" s="1474"/>
      <c r="N30" s="1474"/>
      <c r="O30" s="1474"/>
      <c r="P30" s="1467"/>
      <c r="Q30" s="581" t="str">
        <f>IFERROR(__xludf.DUMMYFUNCTION("IF($C30="""","""",IF(L30="""",1,IF(L30='config.parâmetros'!$B$8,1,IFERROR(GOOGLEFINANCE(IF(L30=""GBX"",""GBP"",L30)&amp;IF('config.parâmetros'!$B$8=""GBX"",""GBP"",'config.parâmetros'!$B$8)),1)/IF(L30=""GBX"",100,IF('config.parâmetros'!$B$8=""GBX"",0.01,1))))"&amp;")"),"")</f>
        <v/>
      </c>
      <c r="R30" s="581" t="str">
        <f>IFERROR(__xludf.DUMMYFUNCTION("IF(C30="""","""",IF(D30=""OUTROS"",VLOOKUP(C30,AtivosDados,$R$1,FALSE),IF('config.parâmetros'!$B$9,IFERROR(GOOGLEFINANCE(E30),G30)*Q30,G30*Q30)))"),"")</f>
        <v/>
      </c>
      <c r="S30" s="581" t="str">
        <f t="shared" si="1"/>
        <v/>
      </c>
      <c r="T30" s="581" t="str">
        <f>IFERROR(__xludf.DUMMYFUNCTION("IF(C30="""","""",IF('config.parâmetros'!$B$9,IFERROR(GOOGLEFINANCE(E30,""change""),H30),H30))"),"")</f>
        <v/>
      </c>
      <c r="U30" s="581" t="str">
        <f>IFERROR(__xludf.DUMMYFUNCTION("IF(C30="""","""",IF('config.parâmetros'!$B$9,IFERROR(GOOGLEFINANCE(E30,""changepct""),I30),I30))"),"")</f>
        <v/>
      </c>
      <c r="V30" s="581" t="str">
        <f>IFERROR(__xludf.DUMMYFUNCTION("IF(C30="""","""",IF('config.parâmetros'!$B$9,IFERROR(INDEX(GOOGLEFINANCE(B31,""price"",TODAY()-'portfólio'!$AF$43,TODAY()),2,2),J30),J30))"),"")</f>
        <v/>
      </c>
      <c r="W30" s="1475" t="str">
        <f>IFERROR(__xludf.DUMMYFUNCTION("IF(C30="""","""",IF('config.parâmetros'!$B$9,IFERROR(GOOGLEFINANCE(E30),G30),G30)/V30-1)"),"")</f>
        <v/>
      </c>
      <c r="X30" s="581"/>
      <c r="Y30" s="581"/>
    </row>
    <row r="31">
      <c r="A31" s="581"/>
      <c r="B31" s="1467"/>
      <c r="C31" s="624"/>
      <c r="D31" s="624"/>
      <c r="E31" s="624"/>
      <c r="F31" s="624"/>
      <c r="G31" s="1476"/>
      <c r="H31" s="1476"/>
      <c r="I31" s="1476"/>
      <c r="J31" s="1476"/>
      <c r="K31" s="1476"/>
      <c r="L31" s="624"/>
      <c r="M31" s="1474"/>
      <c r="N31" s="1474"/>
      <c r="O31" s="1474"/>
      <c r="P31" s="1467"/>
      <c r="Q31" s="581" t="str">
        <f>IFERROR(__xludf.DUMMYFUNCTION("IF($C31="""","""",IF(L31="""",1,IF(L31='config.parâmetros'!$B$8,1,IFERROR(GOOGLEFINANCE(IF(L31=""GBX"",""GBP"",L31)&amp;IF('config.parâmetros'!$B$8=""GBX"",""GBP"",'config.parâmetros'!$B$8)),1)/IF(L31=""GBX"",100,IF('config.parâmetros'!$B$8=""GBX"",0.01,1))))"&amp;")"),"")</f>
        <v/>
      </c>
      <c r="R31" s="581" t="str">
        <f>IFERROR(__xludf.DUMMYFUNCTION("IF(C31="""","""",IF(D31=""OUTROS"",VLOOKUP(C31,AtivosDados,$R$1,FALSE),IF('config.parâmetros'!$B$9,IFERROR(GOOGLEFINANCE(E31),G31)*Q31,G31*Q31)))"),"")</f>
        <v/>
      </c>
      <c r="S31" s="581" t="str">
        <f t="shared" si="1"/>
        <v/>
      </c>
      <c r="T31" s="581" t="str">
        <f>IFERROR(__xludf.DUMMYFUNCTION("IF(C31="""","""",IF('config.parâmetros'!$B$9,IFERROR(GOOGLEFINANCE(E31,""change""),H31),H31))"),"")</f>
        <v/>
      </c>
      <c r="U31" s="581" t="str">
        <f>IFERROR(__xludf.DUMMYFUNCTION("IF(C31="""","""",IF('config.parâmetros'!$B$9,IFERROR(GOOGLEFINANCE(E31,""changepct""),I31),I31))"),"")</f>
        <v/>
      </c>
      <c r="V31" s="581" t="str">
        <f>IFERROR(__xludf.DUMMYFUNCTION("IF(C31="""","""",IF('config.parâmetros'!$B$9,IFERROR(INDEX(GOOGLEFINANCE(B32,""price"",TODAY()-'portfólio'!$AF$43,TODAY()),2,2),J31),J31))"),"")</f>
        <v/>
      </c>
      <c r="W31" s="1475" t="str">
        <f>IFERROR(__xludf.DUMMYFUNCTION("IF(C31="""","""",IF('config.parâmetros'!$B$9,IFERROR(GOOGLEFINANCE(E31),G31),G31)/V31-1)"),"")</f>
        <v/>
      </c>
      <c r="X31" s="581"/>
      <c r="Y31" s="581"/>
    </row>
    <row r="32">
      <c r="A32" s="581"/>
      <c r="B32" s="1467"/>
      <c r="C32" s="624"/>
      <c r="D32" s="624"/>
      <c r="E32" s="624"/>
      <c r="F32" s="624"/>
      <c r="G32" s="1476"/>
      <c r="H32" s="1476"/>
      <c r="I32" s="1476"/>
      <c r="J32" s="1476"/>
      <c r="K32" s="1476"/>
      <c r="L32" s="624"/>
      <c r="M32" s="1474"/>
      <c r="N32" s="1474"/>
      <c r="O32" s="1474"/>
      <c r="P32" s="1467"/>
      <c r="Q32" s="581" t="str">
        <f>IFERROR(__xludf.DUMMYFUNCTION("IF($C32="""","""",IF(L32="""",1,IF(L32='config.parâmetros'!$B$8,1,IFERROR(GOOGLEFINANCE(IF(L32=""GBX"",""GBP"",L32)&amp;IF('config.parâmetros'!$B$8=""GBX"",""GBP"",'config.parâmetros'!$B$8)),1)/IF(L32=""GBX"",100,IF('config.parâmetros'!$B$8=""GBX"",0.01,1))))"&amp;")"),"")</f>
        <v/>
      </c>
      <c r="R32" s="581" t="str">
        <f>IFERROR(__xludf.DUMMYFUNCTION("IF(C32="""","""",IF(D32=""OUTROS"",VLOOKUP(C32,AtivosDados,$R$1,FALSE),IF('config.parâmetros'!$B$9,IFERROR(GOOGLEFINANCE(E32),G32)*Q32,G32*Q32)))"),"")</f>
        <v/>
      </c>
      <c r="S32" s="581" t="str">
        <f t="shared" si="1"/>
        <v/>
      </c>
      <c r="T32" s="581" t="str">
        <f>IFERROR(__xludf.DUMMYFUNCTION("IF(C32="""","""",IF('config.parâmetros'!$B$9,IFERROR(GOOGLEFINANCE(E32,""change""),H32),H32))"),"")</f>
        <v/>
      </c>
      <c r="U32" s="581" t="str">
        <f>IFERROR(__xludf.DUMMYFUNCTION("IF(C32="""","""",IF('config.parâmetros'!$B$9,IFERROR(GOOGLEFINANCE(E32,""changepct""),I32),I32))"),"")</f>
        <v/>
      </c>
      <c r="V32" s="581" t="str">
        <f>IFERROR(__xludf.DUMMYFUNCTION("IF(C32="""","""",IF('config.parâmetros'!$B$9,IFERROR(INDEX(GOOGLEFINANCE(B33,""price"",TODAY()-'portfólio'!$AF$43,TODAY()),2,2),J32),J32))"),"")</f>
        <v/>
      </c>
      <c r="W32" s="1475" t="str">
        <f>IFERROR(__xludf.DUMMYFUNCTION("IF(C32="""","""",IF('config.parâmetros'!$B$9,IFERROR(GOOGLEFINANCE(E32),G32),G32)/V32-1)"),"")</f>
        <v/>
      </c>
      <c r="X32" s="581"/>
      <c r="Y32" s="581"/>
    </row>
    <row r="33">
      <c r="A33" s="581"/>
      <c r="B33" s="1467"/>
      <c r="C33" s="624"/>
      <c r="D33" s="624"/>
      <c r="E33" s="624"/>
      <c r="F33" s="624"/>
      <c r="G33" s="1476"/>
      <c r="H33" s="1476"/>
      <c r="I33" s="1476"/>
      <c r="J33" s="1476"/>
      <c r="K33" s="1476"/>
      <c r="L33" s="624"/>
      <c r="M33" s="1474"/>
      <c r="N33" s="1474"/>
      <c r="O33" s="1474"/>
      <c r="P33" s="1467"/>
      <c r="Q33" s="581" t="str">
        <f>IFERROR(__xludf.DUMMYFUNCTION("IF($C33="""","""",IF(L33="""",1,IF(L33='config.parâmetros'!$B$8,1,IFERROR(GOOGLEFINANCE(IF(L33=""GBX"",""GBP"",L33)&amp;IF('config.parâmetros'!$B$8=""GBX"",""GBP"",'config.parâmetros'!$B$8)),1)/IF(L33=""GBX"",100,IF('config.parâmetros'!$B$8=""GBX"",0.01,1))))"&amp;")"),"")</f>
        <v/>
      </c>
      <c r="R33" s="581" t="str">
        <f>IFERROR(__xludf.DUMMYFUNCTION("IF(C33="""","""",IF(D33=""OUTROS"",VLOOKUP(C33,AtivosDados,$R$1,FALSE),IF('config.parâmetros'!$B$9,IFERROR(GOOGLEFINANCE(E33),G33)*Q33,G33*Q33)))"),"")</f>
        <v/>
      </c>
      <c r="S33" s="581" t="str">
        <f t="shared" si="1"/>
        <v/>
      </c>
      <c r="T33" s="581" t="str">
        <f>IFERROR(__xludf.DUMMYFUNCTION("IF(C33="""","""",IF('config.parâmetros'!$B$9,IFERROR(GOOGLEFINANCE(E33,""change""),H33),H33))"),"")</f>
        <v/>
      </c>
      <c r="U33" s="581" t="str">
        <f>IFERROR(__xludf.DUMMYFUNCTION("IF(C33="""","""",IF('config.parâmetros'!$B$9,IFERROR(GOOGLEFINANCE(E33,""changepct""),I33),I33))"),"")</f>
        <v/>
      </c>
      <c r="V33" s="581" t="str">
        <f>IFERROR(__xludf.DUMMYFUNCTION("IF(C33="""","""",IF('config.parâmetros'!$B$9,IFERROR(INDEX(GOOGLEFINANCE(B34,""price"",TODAY()-'portfólio'!$AF$43,TODAY()),2,2),J33),J33))"),"")</f>
        <v/>
      </c>
      <c r="W33" s="1475" t="str">
        <f>IFERROR(__xludf.DUMMYFUNCTION("IF(C33="""","""",IF('config.parâmetros'!$B$9,IFERROR(GOOGLEFINANCE(E33),G33),G33)/V33-1)"),"")</f>
        <v/>
      </c>
      <c r="X33" s="581"/>
      <c r="Y33" s="581"/>
    </row>
    <row r="34">
      <c r="A34" s="581"/>
      <c r="B34" s="1467"/>
      <c r="C34" s="624"/>
      <c r="D34" s="624"/>
      <c r="E34" s="624"/>
      <c r="F34" s="624"/>
      <c r="G34" s="1476"/>
      <c r="H34" s="1476"/>
      <c r="I34" s="1476"/>
      <c r="J34" s="1476"/>
      <c r="K34" s="1476"/>
      <c r="L34" s="624"/>
      <c r="M34" s="1474"/>
      <c r="N34" s="1474"/>
      <c r="O34" s="1474"/>
      <c r="P34" s="1467"/>
      <c r="Q34" s="581" t="str">
        <f>IFERROR(__xludf.DUMMYFUNCTION("IF($C34="""","""",IF(L34="""",1,IF(L34='config.parâmetros'!$B$8,1,IFERROR(GOOGLEFINANCE(IF(L34=""GBX"",""GBP"",L34)&amp;IF('config.parâmetros'!$B$8=""GBX"",""GBP"",'config.parâmetros'!$B$8)),1)/IF(L34=""GBX"",100,IF('config.parâmetros'!$B$8=""GBX"",0.01,1))))"&amp;")"),"")</f>
        <v/>
      </c>
      <c r="R34" s="581" t="str">
        <f>IFERROR(__xludf.DUMMYFUNCTION("IF(C34="""","""",IF(D34=""OUTROS"",VLOOKUP(C34,AtivosDados,$R$1,FALSE),IF('config.parâmetros'!$B$9,IFERROR(GOOGLEFINANCE(E34),G34)*Q34,G34*Q34)))"),"")</f>
        <v/>
      </c>
      <c r="S34" s="581" t="str">
        <f t="shared" si="1"/>
        <v/>
      </c>
      <c r="T34" s="581" t="str">
        <f>IFERROR(__xludf.DUMMYFUNCTION("IF(C34="""","""",IF('config.parâmetros'!$B$9,IFERROR(GOOGLEFINANCE(E34,""change""),H34),H34))"),"")</f>
        <v/>
      </c>
      <c r="U34" s="581" t="str">
        <f>IFERROR(__xludf.DUMMYFUNCTION("IF(C34="""","""",IF('config.parâmetros'!$B$9,IFERROR(GOOGLEFINANCE(E34,""changepct""),I34),I34))"),"")</f>
        <v/>
      </c>
      <c r="V34" s="581" t="str">
        <f>IFERROR(__xludf.DUMMYFUNCTION("IF(C34="""","""",IF('config.parâmetros'!$B$9,IFERROR(INDEX(GOOGLEFINANCE(B35,""price"",TODAY()-'portfólio'!$AF$43,TODAY()),2,2),J34),J34))"),"")</f>
        <v/>
      </c>
      <c r="W34" s="1475" t="str">
        <f>IFERROR(__xludf.DUMMYFUNCTION("IF(C34="""","""",IF('config.parâmetros'!$B$9,IFERROR(GOOGLEFINANCE(E34),G34),G34)/V34-1)"),"")</f>
        <v/>
      </c>
      <c r="X34" s="581"/>
      <c r="Y34" s="581"/>
    </row>
    <row r="35">
      <c r="A35" s="581"/>
      <c r="B35" s="1467"/>
      <c r="C35" s="624"/>
      <c r="D35" s="624"/>
      <c r="E35" s="624"/>
      <c r="F35" s="624"/>
      <c r="G35" s="1476"/>
      <c r="H35" s="1476"/>
      <c r="I35" s="1476"/>
      <c r="J35" s="1476"/>
      <c r="K35" s="1476"/>
      <c r="L35" s="624"/>
      <c r="M35" s="1474"/>
      <c r="N35" s="1474"/>
      <c r="O35" s="1474"/>
      <c r="P35" s="1467"/>
      <c r="Q35" s="581" t="str">
        <f>IFERROR(__xludf.DUMMYFUNCTION("IF($C35="""","""",IF(L35="""",1,IF(L35='config.parâmetros'!$B$8,1,IFERROR(GOOGLEFINANCE(IF(L35=""GBX"",""GBP"",L35)&amp;IF('config.parâmetros'!$B$8=""GBX"",""GBP"",'config.parâmetros'!$B$8)),1)/IF(L35=""GBX"",100,IF('config.parâmetros'!$B$8=""GBX"",0.01,1))))"&amp;")"),"")</f>
        <v/>
      </c>
      <c r="R35" s="581" t="str">
        <f>IFERROR(__xludf.DUMMYFUNCTION("IF(C35="""","""",IF(D35=""OUTROS"",VLOOKUP(C35,AtivosDados,$R$1,FALSE),IF('config.parâmetros'!$B$9,IFERROR(GOOGLEFINANCE(E35),G35)*Q35,G35*Q35)))"),"")</f>
        <v/>
      </c>
      <c r="S35" s="581" t="str">
        <f t="shared" si="1"/>
        <v/>
      </c>
      <c r="T35" s="581" t="str">
        <f>IFERROR(__xludf.DUMMYFUNCTION("IF(C35="""","""",IF('config.parâmetros'!$B$9,IFERROR(GOOGLEFINANCE(E35,""change""),H35),H35))"),"")</f>
        <v/>
      </c>
      <c r="U35" s="581" t="str">
        <f>IFERROR(__xludf.DUMMYFUNCTION("IF(C35="""","""",IF('config.parâmetros'!$B$9,IFERROR(GOOGLEFINANCE(E35,""changepct""),I35),I35))"),"")</f>
        <v/>
      </c>
      <c r="V35" s="581" t="str">
        <f>IFERROR(__xludf.DUMMYFUNCTION("IF(C35="""","""",IF('config.parâmetros'!$B$9,IFERROR(INDEX(GOOGLEFINANCE(B36,""price"",TODAY()-'portfólio'!$AF$43,TODAY()),2,2),J35),J35))"),"")</f>
        <v/>
      </c>
      <c r="W35" s="1475" t="str">
        <f>IFERROR(__xludf.DUMMYFUNCTION("IF(C35="""","""",IF('config.parâmetros'!$B$9,IFERROR(GOOGLEFINANCE(E35),G35),G35)/V35-1)"),"")</f>
        <v/>
      </c>
      <c r="X35" s="581"/>
      <c r="Y35" s="581"/>
    </row>
    <row r="36">
      <c r="A36" s="581"/>
      <c r="B36" s="1467"/>
      <c r="C36" s="624"/>
      <c r="D36" s="624"/>
      <c r="E36" s="624"/>
      <c r="F36" s="624"/>
      <c r="G36" s="1476"/>
      <c r="H36" s="1476"/>
      <c r="I36" s="1476"/>
      <c r="J36" s="1476"/>
      <c r="K36" s="1476"/>
      <c r="L36" s="624"/>
      <c r="M36" s="1474"/>
      <c r="N36" s="1474"/>
      <c r="O36" s="1474"/>
      <c r="P36" s="1467"/>
      <c r="Q36" s="581" t="str">
        <f>IFERROR(__xludf.DUMMYFUNCTION("IF($C36="""","""",IF(L36="""",1,IF(L36='config.parâmetros'!$B$8,1,IFERROR(GOOGLEFINANCE(IF(L36=""GBX"",""GBP"",L36)&amp;IF('config.parâmetros'!$B$8=""GBX"",""GBP"",'config.parâmetros'!$B$8)),1)/IF(L36=""GBX"",100,IF('config.parâmetros'!$B$8=""GBX"",0.01,1))))"&amp;")"),"")</f>
        <v/>
      </c>
      <c r="R36" s="581" t="str">
        <f>IFERROR(__xludf.DUMMYFUNCTION("IF(C36="""","""",IF(D36=""OUTROS"",VLOOKUP(C36,AtivosDados,$R$1,FALSE),IF('config.parâmetros'!$B$9,IFERROR(GOOGLEFINANCE(E36),G36)*Q36,G36*Q36)))"),"")</f>
        <v/>
      </c>
      <c r="S36" s="581" t="str">
        <f t="shared" si="1"/>
        <v/>
      </c>
      <c r="T36" s="581" t="str">
        <f>IFERROR(__xludf.DUMMYFUNCTION("IF(C36="""","""",IF('config.parâmetros'!$B$9,IFERROR(GOOGLEFINANCE(E36,""change""),H36),H36))"),"")</f>
        <v/>
      </c>
      <c r="U36" s="581" t="str">
        <f>IFERROR(__xludf.DUMMYFUNCTION("IF(C36="""","""",IF('config.parâmetros'!$B$9,IFERROR(GOOGLEFINANCE(E36,""changepct""),I36),I36))"),"")</f>
        <v/>
      </c>
      <c r="V36" s="581" t="str">
        <f>IFERROR(__xludf.DUMMYFUNCTION("IF(C36="""","""",IF('config.parâmetros'!$B$9,IFERROR(INDEX(GOOGLEFINANCE(B37,""price"",TODAY()-'portfólio'!$AF$43,TODAY()),2,2),J36),J36))"),"")</f>
        <v/>
      </c>
      <c r="W36" s="1475" t="str">
        <f>IFERROR(__xludf.DUMMYFUNCTION("IF(C36="""","""",IF('config.parâmetros'!$B$9,IFERROR(GOOGLEFINANCE(E36),G36),G36)/V36-1)"),"")</f>
        <v/>
      </c>
      <c r="X36" s="581"/>
      <c r="Y36" s="581"/>
    </row>
    <row r="37">
      <c r="A37" s="581"/>
      <c r="B37" s="1467"/>
      <c r="C37" s="624"/>
      <c r="D37" s="624"/>
      <c r="E37" s="624"/>
      <c r="F37" s="624"/>
      <c r="G37" s="1476"/>
      <c r="H37" s="1476"/>
      <c r="I37" s="1476"/>
      <c r="J37" s="1476"/>
      <c r="K37" s="1476"/>
      <c r="L37" s="624"/>
      <c r="M37" s="1474"/>
      <c r="N37" s="1474"/>
      <c r="O37" s="1474"/>
      <c r="P37" s="1467"/>
      <c r="Q37" s="581" t="str">
        <f>IFERROR(__xludf.DUMMYFUNCTION("IF($C37="""","""",IF(L37="""",1,IF(L37='config.parâmetros'!$B$8,1,IFERROR(GOOGLEFINANCE(IF(L37=""GBX"",""GBP"",L37)&amp;IF('config.parâmetros'!$B$8=""GBX"",""GBP"",'config.parâmetros'!$B$8)),1)/IF(L37=""GBX"",100,IF('config.parâmetros'!$B$8=""GBX"",0.01,1))))"&amp;")"),"")</f>
        <v/>
      </c>
      <c r="R37" s="581" t="str">
        <f>IFERROR(__xludf.DUMMYFUNCTION("IF(C37="""","""",IF(D37=""OUTROS"",VLOOKUP(C37,AtivosDados,$R$1,FALSE),IF('config.parâmetros'!$B$9,IFERROR(GOOGLEFINANCE(E37),G37)*Q37,G37*Q37)))"),"")</f>
        <v/>
      </c>
      <c r="S37" s="581" t="str">
        <f t="shared" si="1"/>
        <v/>
      </c>
      <c r="T37" s="581" t="str">
        <f>IFERROR(__xludf.DUMMYFUNCTION("IF(C37="""","""",IF('config.parâmetros'!$B$9,IFERROR(GOOGLEFINANCE(E37,""change""),H37),H37))"),"")</f>
        <v/>
      </c>
      <c r="U37" s="581" t="str">
        <f>IFERROR(__xludf.DUMMYFUNCTION("IF(C37="""","""",IF('config.parâmetros'!$B$9,IFERROR(GOOGLEFINANCE(E37,""changepct""),I37),I37))"),"")</f>
        <v/>
      </c>
      <c r="V37" s="581" t="str">
        <f>IFERROR(__xludf.DUMMYFUNCTION("IF(C37="""","""",IF('config.parâmetros'!$B$9,IFERROR(INDEX(GOOGLEFINANCE(B38,""price"",TODAY()-'portfólio'!$AF$43,TODAY()),2,2),J37),J37))"),"")</f>
        <v/>
      </c>
      <c r="W37" s="1475" t="str">
        <f>IFERROR(__xludf.DUMMYFUNCTION("IF(C37="""","""",IF('config.parâmetros'!$B$9,IFERROR(GOOGLEFINANCE(E37),G37),G37)/V37-1)"),"")</f>
        <v/>
      </c>
      <c r="X37" s="581"/>
      <c r="Y37" s="581"/>
    </row>
    <row r="38">
      <c r="A38" s="581"/>
      <c r="B38" s="1467"/>
      <c r="C38" s="624"/>
      <c r="D38" s="624"/>
      <c r="E38" s="624"/>
      <c r="F38" s="624"/>
      <c r="G38" s="1476"/>
      <c r="H38" s="1476"/>
      <c r="I38" s="1476"/>
      <c r="J38" s="1476"/>
      <c r="K38" s="1476"/>
      <c r="L38" s="624"/>
      <c r="M38" s="1474"/>
      <c r="N38" s="1474"/>
      <c r="O38" s="1474"/>
      <c r="P38" s="1467"/>
      <c r="Q38" s="581" t="str">
        <f>IFERROR(__xludf.DUMMYFUNCTION("IF($C38="""","""",IF(L38="""",1,IF(L38='config.parâmetros'!$B$8,1,IFERROR(GOOGLEFINANCE(IF(L38=""GBX"",""GBP"",L38)&amp;IF('config.parâmetros'!$B$8=""GBX"",""GBP"",'config.parâmetros'!$B$8)),1)/IF(L38=""GBX"",100,IF('config.parâmetros'!$B$8=""GBX"",0.01,1))))"&amp;")"),"")</f>
        <v/>
      </c>
      <c r="R38" s="581" t="str">
        <f>IFERROR(__xludf.DUMMYFUNCTION("IF(C38="""","""",IF(D38=""OUTROS"",VLOOKUP(C38,AtivosDados,$R$1,FALSE),IF('config.parâmetros'!$B$9,IFERROR(GOOGLEFINANCE(E38),G38)*Q38,G38*Q38)))"),"")</f>
        <v/>
      </c>
      <c r="S38" s="581" t="str">
        <f t="shared" si="1"/>
        <v/>
      </c>
      <c r="T38" s="581" t="str">
        <f>IFERROR(__xludf.DUMMYFUNCTION("IF(C38="""","""",IF('config.parâmetros'!$B$9,IFERROR(GOOGLEFINANCE(E38,""change""),H38),H38))"),"")</f>
        <v/>
      </c>
      <c r="U38" s="581" t="str">
        <f>IFERROR(__xludf.DUMMYFUNCTION("IF(C38="""","""",IF('config.parâmetros'!$B$9,IFERROR(GOOGLEFINANCE(E38,""changepct""),I38),I38))"),"")</f>
        <v/>
      </c>
      <c r="V38" s="581" t="str">
        <f>IFERROR(__xludf.DUMMYFUNCTION("IF(C38="""","""",IF('config.parâmetros'!$B$9,IFERROR(INDEX(GOOGLEFINANCE(B39,""price"",TODAY()-'portfólio'!$AF$43,TODAY()),2,2),J38),J38))"),"")</f>
        <v/>
      </c>
      <c r="W38" s="1475" t="str">
        <f>IFERROR(__xludf.DUMMYFUNCTION("IF(C38="""","""",IF('config.parâmetros'!$B$9,IFERROR(GOOGLEFINANCE(E38),G38),G38)/V38-1)"),"")</f>
        <v/>
      </c>
      <c r="X38" s="581"/>
      <c r="Y38" s="581"/>
    </row>
    <row r="39">
      <c r="A39" s="581"/>
      <c r="B39" s="1467"/>
      <c r="C39" s="624"/>
      <c r="D39" s="624"/>
      <c r="E39" s="624"/>
      <c r="F39" s="624"/>
      <c r="G39" s="1476"/>
      <c r="H39" s="1476"/>
      <c r="I39" s="1476"/>
      <c r="J39" s="1476"/>
      <c r="K39" s="1476"/>
      <c r="L39" s="624"/>
      <c r="M39" s="1474"/>
      <c r="N39" s="1474"/>
      <c r="O39" s="1474"/>
      <c r="P39" s="1467"/>
      <c r="Q39" s="581" t="str">
        <f>IFERROR(__xludf.DUMMYFUNCTION("IF($C39="""","""",IF(L39="""",1,IF(L39='config.parâmetros'!$B$8,1,IFERROR(GOOGLEFINANCE(IF(L39=""GBX"",""GBP"",L39)&amp;IF('config.parâmetros'!$B$8=""GBX"",""GBP"",'config.parâmetros'!$B$8)),1)/IF(L39=""GBX"",100,IF('config.parâmetros'!$B$8=""GBX"",0.01,1))))"&amp;")"),"")</f>
        <v/>
      </c>
      <c r="R39" s="581" t="str">
        <f>IFERROR(__xludf.DUMMYFUNCTION("IF(C39="""","""",IF(D39=""OUTROS"",VLOOKUP(C39,AtivosDados,$R$1,FALSE),IF('config.parâmetros'!$B$9,IFERROR(GOOGLEFINANCE(E39),G39)*Q39,G39*Q39)))"),"")</f>
        <v/>
      </c>
      <c r="S39" s="581" t="str">
        <f t="shared" si="1"/>
        <v/>
      </c>
      <c r="T39" s="581" t="str">
        <f>IFERROR(__xludf.DUMMYFUNCTION("IF(C39="""","""",IF('config.parâmetros'!$B$9,IFERROR(GOOGLEFINANCE(E39,""change""),H39),H39))"),"")</f>
        <v/>
      </c>
      <c r="U39" s="581" t="str">
        <f>IFERROR(__xludf.DUMMYFUNCTION("IF(C39="""","""",IF('config.parâmetros'!$B$9,IFERROR(GOOGLEFINANCE(E39,""changepct""),I39),I39))"),"")</f>
        <v/>
      </c>
      <c r="V39" s="581" t="str">
        <f>IFERROR(__xludf.DUMMYFUNCTION("IF(C39="""","""",IF('config.parâmetros'!$B$9,IFERROR(INDEX(GOOGLEFINANCE(B40,""price"",TODAY()-'portfólio'!$AF$43,TODAY()),2,2),J39),J39))"),"")</f>
        <v/>
      </c>
      <c r="W39" s="1475" t="str">
        <f>IFERROR(__xludf.DUMMYFUNCTION("IF(C39="""","""",IF('config.parâmetros'!$B$9,IFERROR(GOOGLEFINANCE(E39),G39),G39)/V39-1)"),"")</f>
        <v/>
      </c>
      <c r="X39" s="581"/>
      <c r="Y39" s="581"/>
    </row>
    <row r="40">
      <c r="A40" s="581"/>
      <c r="B40" s="1467"/>
      <c r="C40" s="624"/>
      <c r="D40" s="624"/>
      <c r="E40" s="624"/>
      <c r="F40" s="624"/>
      <c r="G40" s="1476"/>
      <c r="H40" s="1476"/>
      <c r="I40" s="1476"/>
      <c r="J40" s="1476"/>
      <c r="K40" s="1476"/>
      <c r="L40" s="624"/>
      <c r="M40" s="1474"/>
      <c r="N40" s="1474"/>
      <c r="O40" s="1474"/>
      <c r="P40" s="1467"/>
      <c r="Q40" s="581" t="str">
        <f>IFERROR(__xludf.DUMMYFUNCTION("IF($C40="""","""",IF(L40="""",1,IF(L40='config.parâmetros'!$B$8,1,IFERROR(GOOGLEFINANCE(IF(L40=""GBX"",""GBP"",L40)&amp;IF('config.parâmetros'!$B$8=""GBX"",""GBP"",'config.parâmetros'!$B$8)),1)/IF(L40=""GBX"",100,IF('config.parâmetros'!$B$8=""GBX"",0.01,1))))"&amp;")"),"")</f>
        <v/>
      </c>
      <c r="R40" s="581" t="str">
        <f>IFERROR(__xludf.DUMMYFUNCTION("IF(C40="""","""",IF(D40=""OUTROS"",VLOOKUP(C40,AtivosDados,$R$1,FALSE),IF('config.parâmetros'!$B$9,IFERROR(GOOGLEFINANCE(E40),G40)*Q40,G40*Q40)))"),"")</f>
        <v/>
      </c>
      <c r="S40" s="581" t="str">
        <f t="shared" si="1"/>
        <v/>
      </c>
      <c r="T40" s="581" t="str">
        <f>IFERROR(__xludf.DUMMYFUNCTION("IF(C40="""","""",IF('config.parâmetros'!$B$9,IFERROR(GOOGLEFINANCE(E40,""change""),H40),H40))"),"")</f>
        <v/>
      </c>
      <c r="U40" s="581" t="str">
        <f>IFERROR(__xludf.DUMMYFUNCTION("IF(C40="""","""",IF('config.parâmetros'!$B$9,IFERROR(GOOGLEFINANCE(E40,""changepct""),I40),I40))"),"")</f>
        <v/>
      </c>
      <c r="V40" s="581" t="str">
        <f>IFERROR(__xludf.DUMMYFUNCTION("IF(C40="""","""",IF('config.parâmetros'!$B$9,IFERROR(INDEX(GOOGLEFINANCE(B41,""price"",TODAY()-'portfólio'!$AF$43,TODAY()),2,2),J40),J40))"),"")</f>
        <v/>
      </c>
      <c r="W40" s="1475" t="str">
        <f>IFERROR(__xludf.DUMMYFUNCTION("IF(C40="""","""",IF('config.parâmetros'!$B$9,IFERROR(GOOGLEFINANCE(E40),G40),G40)/V40-1)"),"")</f>
        <v/>
      </c>
      <c r="X40" s="581"/>
      <c r="Y40" s="581"/>
    </row>
    <row r="41">
      <c r="A41" s="581"/>
      <c r="B41" s="1467"/>
      <c r="C41" s="624"/>
      <c r="D41" s="624"/>
      <c r="E41" s="624"/>
      <c r="F41" s="624"/>
      <c r="G41" s="1476"/>
      <c r="H41" s="1476"/>
      <c r="I41" s="1476"/>
      <c r="J41" s="1476"/>
      <c r="K41" s="1476"/>
      <c r="L41" s="624"/>
      <c r="M41" s="1474"/>
      <c r="N41" s="1474"/>
      <c r="O41" s="1474"/>
      <c r="P41" s="1467"/>
      <c r="Q41" s="581" t="str">
        <f>IFERROR(__xludf.DUMMYFUNCTION("IF($C41="""","""",IF(L41="""",1,IF(L41='config.parâmetros'!$B$8,1,IFERROR(GOOGLEFINANCE(IF(L41=""GBX"",""GBP"",L41)&amp;IF('config.parâmetros'!$B$8=""GBX"",""GBP"",'config.parâmetros'!$B$8)),1)/IF(L41=""GBX"",100,IF('config.parâmetros'!$B$8=""GBX"",0.01,1))))"&amp;")"),"")</f>
        <v/>
      </c>
      <c r="R41" s="581" t="str">
        <f>IFERROR(__xludf.DUMMYFUNCTION("IF(C41="""","""",IF(D41=""OUTROS"",VLOOKUP(C41,AtivosDados,$R$1,FALSE),IF('config.parâmetros'!$B$9,IFERROR(GOOGLEFINANCE(E41),G41)*Q41,G41*Q41)))"),"")</f>
        <v/>
      </c>
      <c r="S41" s="581" t="str">
        <f t="shared" si="1"/>
        <v/>
      </c>
      <c r="T41" s="581" t="str">
        <f>IFERROR(__xludf.DUMMYFUNCTION("IF(C41="""","""",IF('config.parâmetros'!$B$9,IFERROR(GOOGLEFINANCE(E41,""change""),H41),H41))"),"")</f>
        <v/>
      </c>
      <c r="U41" s="581" t="str">
        <f>IFERROR(__xludf.DUMMYFUNCTION("IF(C41="""","""",IF('config.parâmetros'!$B$9,IFERROR(GOOGLEFINANCE(E41,""changepct""),I41),I41))"),"")</f>
        <v/>
      </c>
      <c r="V41" s="581" t="str">
        <f>IFERROR(__xludf.DUMMYFUNCTION("IF(C41="""","""",IF('config.parâmetros'!$B$9,IFERROR(INDEX(GOOGLEFINANCE(B42,""price"",TODAY()-'portfólio'!$AF$43,TODAY()),2,2),J41),J41))"),"")</f>
        <v/>
      </c>
      <c r="W41" s="1475" t="str">
        <f>IFERROR(__xludf.DUMMYFUNCTION("IF(C41="""","""",IF('config.parâmetros'!$B$9,IFERROR(GOOGLEFINANCE(E41),G41),G41)/V41-1)"),"")</f>
        <v/>
      </c>
      <c r="X41" s="581"/>
      <c r="Y41" s="581"/>
    </row>
    <row r="42">
      <c r="A42" s="581"/>
      <c r="B42" s="1467"/>
      <c r="C42" s="624"/>
      <c r="D42" s="624"/>
      <c r="E42" s="624"/>
      <c r="F42" s="624"/>
      <c r="G42" s="1476"/>
      <c r="H42" s="1476"/>
      <c r="I42" s="1476"/>
      <c r="J42" s="1476"/>
      <c r="K42" s="1476"/>
      <c r="L42" s="624"/>
      <c r="M42" s="1474"/>
      <c r="N42" s="1474"/>
      <c r="O42" s="1474"/>
      <c r="P42" s="1467"/>
      <c r="Q42" s="581" t="str">
        <f>IFERROR(__xludf.DUMMYFUNCTION("IF($C42="""","""",IF(L42="""",1,IF(L42='config.parâmetros'!$B$8,1,IFERROR(GOOGLEFINANCE(IF(L42=""GBX"",""GBP"",L42)&amp;IF('config.parâmetros'!$B$8=""GBX"",""GBP"",'config.parâmetros'!$B$8)),1)/IF(L42=""GBX"",100,IF('config.parâmetros'!$B$8=""GBX"",0.01,1))))"&amp;")"),"")</f>
        <v/>
      </c>
      <c r="R42" s="581" t="str">
        <f>IFERROR(__xludf.DUMMYFUNCTION("IF(C42="""","""",IF(D42=""OUTROS"",VLOOKUP(C42,AtivosDados,$R$1,FALSE),IF('config.parâmetros'!$B$9,IFERROR(GOOGLEFINANCE(E42),G42)*Q42,G42*Q42)))"),"")</f>
        <v/>
      </c>
      <c r="S42" s="581" t="str">
        <f t="shared" si="1"/>
        <v/>
      </c>
      <c r="T42" s="581" t="str">
        <f>IFERROR(__xludf.DUMMYFUNCTION("IF(C42="""","""",IF('config.parâmetros'!$B$9,IFERROR(GOOGLEFINANCE(E42,""change""),H42),H42))"),"")</f>
        <v/>
      </c>
      <c r="U42" s="581" t="str">
        <f>IFERROR(__xludf.DUMMYFUNCTION("IF(C42="""","""",IF('config.parâmetros'!$B$9,IFERROR(GOOGLEFINANCE(E42,""changepct""),I42),I42))"),"")</f>
        <v/>
      </c>
      <c r="V42" s="581" t="str">
        <f>IFERROR(__xludf.DUMMYFUNCTION("IF(C42="""","""",IF('config.parâmetros'!$B$9,IFERROR(INDEX(GOOGLEFINANCE(B43,""price"",TODAY()-'portfólio'!$AF$43,TODAY()),2,2),J42),J42))"),"")</f>
        <v/>
      </c>
      <c r="W42" s="1475" t="str">
        <f>IFERROR(__xludf.DUMMYFUNCTION("IF(C42="""","""",IF('config.parâmetros'!$B$9,IFERROR(GOOGLEFINANCE(E42),G42),G42)/V42-1)"),"")</f>
        <v/>
      </c>
      <c r="X42" s="581"/>
      <c r="Y42" s="581"/>
    </row>
    <row r="43">
      <c r="A43" s="581"/>
      <c r="B43" s="1467"/>
      <c r="C43" s="624"/>
      <c r="D43" s="624"/>
      <c r="E43" s="624"/>
      <c r="F43" s="624"/>
      <c r="G43" s="1476"/>
      <c r="H43" s="1476"/>
      <c r="I43" s="1476"/>
      <c r="J43" s="1476"/>
      <c r="K43" s="1476"/>
      <c r="L43" s="624"/>
      <c r="M43" s="1474"/>
      <c r="N43" s="1474"/>
      <c r="O43" s="1474"/>
      <c r="P43" s="1467"/>
      <c r="Q43" s="581" t="str">
        <f>IFERROR(__xludf.DUMMYFUNCTION("IF($C43="""","""",IF(L43="""",1,IF(L43='config.parâmetros'!$B$8,1,IFERROR(GOOGLEFINANCE(IF(L43=""GBX"",""GBP"",L43)&amp;IF('config.parâmetros'!$B$8=""GBX"",""GBP"",'config.parâmetros'!$B$8)),1)/IF(L43=""GBX"",100,IF('config.parâmetros'!$B$8=""GBX"",0.01,1))))"&amp;")"),"")</f>
        <v/>
      </c>
      <c r="R43" s="581" t="str">
        <f>IFERROR(__xludf.DUMMYFUNCTION("IF(C43="""","""",IF(D43=""OUTROS"",VLOOKUP(C43,AtivosDados,$R$1,FALSE),IF('config.parâmetros'!$B$9,IFERROR(GOOGLEFINANCE(E43),G43)*Q43,G43*Q43)))"),"")</f>
        <v/>
      </c>
      <c r="S43" s="581" t="str">
        <f t="shared" si="1"/>
        <v/>
      </c>
      <c r="T43" s="581" t="str">
        <f>IFERROR(__xludf.DUMMYFUNCTION("IF(C43="""","""",IF('config.parâmetros'!$B$9,IFERROR(GOOGLEFINANCE(E43,""change""),H43),H43))"),"")</f>
        <v/>
      </c>
      <c r="U43" s="581" t="str">
        <f>IFERROR(__xludf.DUMMYFUNCTION("IF(C43="""","""",IF('config.parâmetros'!$B$9,IFERROR(GOOGLEFINANCE(E43,""changepct""),I43),I43))"),"")</f>
        <v/>
      </c>
      <c r="V43" s="581" t="str">
        <f>IFERROR(__xludf.DUMMYFUNCTION("IF(C43="""","""",IF('config.parâmetros'!$B$9,IFERROR(INDEX(GOOGLEFINANCE(B44,""price"",TODAY()-'portfólio'!$AF$43,TODAY()),2,2),J43),J43))"),"")</f>
        <v/>
      </c>
      <c r="W43" s="1475" t="str">
        <f>IFERROR(__xludf.DUMMYFUNCTION("IF(C43="""","""",IF('config.parâmetros'!$B$9,IFERROR(GOOGLEFINANCE(E43),G43),G43)/V43-1)"),"")</f>
        <v/>
      </c>
      <c r="X43" s="581"/>
      <c r="Y43" s="581"/>
    </row>
    <row r="44">
      <c r="A44" s="581"/>
      <c r="B44" s="1467"/>
      <c r="C44" s="624"/>
      <c r="D44" s="624"/>
      <c r="E44" s="624"/>
      <c r="F44" s="624"/>
      <c r="G44" s="1476"/>
      <c r="H44" s="1476"/>
      <c r="I44" s="1476"/>
      <c r="J44" s="1476"/>
      <c r="K44" s="1476"/>
      <c r="L44" s="624"/>
      <c r="M44" s="1474"/>
      <c r="N44" s="1474"/>
      <c r="O44" s="1474"/>
      <c r="P44" s="1467"/>
      <c r="Q44" s="581" t="str">
        <f>IFERROR(__xludf.DUMMYFUNCTION("IF($C44="""","""",IF(L44="""",1,IF(L44='config.parâmetros'!$B$8,1,IFERROR(GOOGLEFINANCE(IF(L44=""GBX"",""GBP"",L44)&amp;IF('config.parâmetros'!$B$8=""GBX"",""GBP"",'config.parâmetros'!$B$8)),1)/IF(L44=""GBX"",100,IF('config.parâmetros'!$B$8=""GBX"",0.01,1))))"&amp;")"),"")</f>
        <v/>
      </c>
      <c r="R44" s="581" t="str">
        <f>IFERROR(__xludf.DUMMYFUNCTION("IF(C44="""","""",IF(D44=""OUTROS"",VLOOKUP(C44,AtivosDados,$R$1,FALSE),IF('config.parâmetros'!$B$9,IFERROR(GOOGLEFINANCE(E44),G44)*Q44,G44*Q44)))"),"")</f>
        <v/>
      </c>
      <c r="S44" s="581" t="str">
        <f t="shared" si="1"/>
        <v/>
      </c>
      <c r="T44" s="581" t="str">
        <f>IFERROR(__xludf.DUMMYFUNCTION("IF(C44="""","""",IF('config.parâmetros'!$B$9,IFERROR(GOOGLEFINANCE(E44,""change""),H44),H44))"),"")</f>
        <v/>
      </c>
      <c r="U44" s="581" t="str">
        <f>IFERROR(__xludf.DUMMYFUNCTION("IF(C44="""","""",IF('config.parâmetros'!$B$9,IFERROR(GOOGLEFINANCE(E44,""changepct""),I44),I44))"),"")</f>
        <v/>
      </c>
      <c r="V44" s="581" t="str">
        <f>IFERROR(__xludf.DUMMYFUNCTION("IF(C44="""","""",IF('config.parâmetros'!$B$9,IFERROR(INDEX(GOOGLEFINANCE(B45,""price"",TODAY()-'portfólio'!$AF$43,TODAY()),2,2),J44),J44))"),"")</f>
        <v/>
      </c>
      <c r="W44" s="1475" t="str">
        <f>IFERROR(__xludf.DUMMYFUNCTION("IF(C44="""","""",IF('config.parâmetros'!$B$9,IFERROR(GOOGLEFINANCE(E44),G44),G44)/V44-1)"),"")</f>
        <v/>
      </c>
      <c r="X44" s="581"/>
      <c r="Y44" s="581"/>
    </row>
    <row r="45">
      <c r="A45" s="581"/>
      <c r="B45" s="1467"/>
      <c r="C45" s="624"/>
      <c r="D45" s="624"/>
      <c r="E45" s="624"/>
      <c r="F45" s="624"/>
      <c r="G45" s="1476"/>
      <c r="H45" s="1476"/>
      <c r="I45" s="1476"/>
      <c r="J45" s="1476"/>
      <c r="K45" s="1476"/>
      <c r="L45" s="624"/>
      <c r="M45" s="1474"/>
      <c r="N45" s="1474"/>
      <c r="O45" s="1474"/>
      <c r="P45" s="1467"/>
      <c r="Q45" s="581" t="str">
        <f>IFERROR(__xludf.DUMMYFUNCTION("IF($C45="""","""",IF(L45="""",1,IF(L45='config.parâmetros'!$B$8,1,IFERROR(GOOGLEFINANCE(IF(L45=""GBX"",""GBP"",L45)&amp;IF('config.parâmetros'!$B$8=""GBX"",""GBP"",'config.parâmetros'!$B$8)),1)/IF(L45=""GBX"",100,IF('config.parâmetros'!$B$8=""GBX"",0.01,1))))"&amp;")"),"")</f>
        <v/>
      </c>
      <c r="R45" s="581" t="str">
        <f>IFERROR(__xludf.DUMMYFUNCTION("IF(C45="""","""",IF(D45=""OUTROS"",VLOOKUP(C45,AtivosDados,$R$1,FALSE),IF('config.parâmetros'!$B$9,IFERROR(GOOGLEFINANCE(E45),G45)*Q45,G45*Q45)))"),"")</f>
        <v/>
      </c>
      <c r="S45" s="581" t="str">
        <f t="shared" si="1"/>
        <v/>
      </c>
      <c r="T45" s="581" t="str">
        <f>IFERROR(__xludf.DUMMYFUNCTION("IF(C45="""","""",IF('config.parâmetros'!$B$9,IFERROR(GOOGLEFINANCE(E45,""change""),H45),H45))"),"")</f>
        <v/>
      </c>
      <c r="U45" s="581" t="str">
        <f>IFERROR(__xludf.DUMMYFUNCTION("IF(C45="""","""",IF('config.parâmetros'!$B$9,IFERROR(GOOGLEFINANCE(E45,""changepct""),I45),I45))"),"")</f>
        <v/>
      </c>
      <c r="V45" s="581" t="str">
        <f>IFERROR(__xludf.DUMMYFUNCTION("IF(C45="""","""",IF('config.parâmetros'!$B$9,IFERROR(INDEX(GOOGLEFINANCE(B46,""price"",TODAY()-'portfólio'!$AF$43,TODAY()),2,2),J45),J45))"),"")</f>
        <v/>
      </c>
      <c r="W45" s="1475" t="str">
        <f>IFERROR(__xludf.DUMMYFUNCTION("IF(C45="""","""",IF('config.parâmetros'!$B$9,IFERROR(GOOGLEFINANCE(E45),G45),G45)/V45-1)"),"")</f>
        <v/>
      </c>
      <c r="X45" s="581"/>
      <c r="Y45" s="581"/>
    </row>
    <row r="46">
      <c r="A46" s="581"/>
      <c r="B46" s="1467"/>
      <c r="C46" s="624"/>
      <c r="D46" s="624"/>
      <c r="E46" s="624"/>
      <c r="F46" s="624"/>
      <c r="G46" s="1476"/>
      <c r="H46" s="1476"/>
      <c r="I46" s="1476"/>
      <c r="J46" s="1476"/>
      <c r="K46" s="1476"/>
      <c r="L46" s="624"/>
      <c r="M46" s="1474"/>
      <c r="N46" s="1474"/>
      <c r="O46" s="1474"/>
      <c r="P46" s="1467"/>
      <c r="Q46" s="581"/>
      <c r="R46" s="581"/>
      <c r="S46" s="581"/>
      <c r="T46" s="581"/>
      <c r="U46" s="581"/>
      <c r="V46" s="581"/>
      <c r="W46" s="1475"/>
      <c r="X46" s="581"/>
      <c r="Y46" s="581"/>
    </row>
    <row r="47">
      <c r="A47" s="581"/>
      <c r="B47" s="1467"/>
      <c r="C47" s="624"/>
      <c r="D47" s="624"/>
      <c r="E47" s="624"/>
      <c r="F47" s="624"/>
      <c r="G47" s="1476"/>
      <c r="H47" s="1476"/>
      <c r="I47" s="1476"/>
      <c r="J47" s="1476"/>
      <c r="K47" s="1476"/>
      <c r="L47" s="624"/>
      <c r="M47" s="1474"/>
      <c r="N47" s="1474"/>
      <c r="O47" s="1474"/>
      <c r="P47" s="1467"/>
      <c r="Q47" s="581"/>
      <c r="R47" s="581"/>
      <c r="S47" s="581"/>
      <c r="T47" s="581"/>
      <c r="U47" s="581"/>
      <c r="V47" s="581"/>
      <c r="W47" s="1475"/>
      <c r="X47" s="581"/>
      <c r="Y47" s="581"/>
    </row>
    <row r="48">
      <c r="A48" s="581"/>
      <c r="B48" s="1467"/>
      <c r="C48" s="624"/>
      <c r="D48" s="624"/>
      <c r="E48" s="624"/>
      <c r="F48" s="624"/>
      <c r="G48" s="1476"/>
      <c r="H48" s="1476"/>
      <c r="I48" s="1476"/>
      <c r="J48" s="1476"/>
      <c r="K48" s="1476"/>
      <c r="L48" s="624"/>
      <c r="M48" s="1474"/>
      <c r="N48" s="1474"/>
      <c r="O48" s="1474"/>
      <c r="P48" s="1467"/>
      <c r="Q48" s="581"/>
      <c r="R48" s="581"/>
      <c r="S48" s="581"/>
      <c r="T48" s="581"/>
      <c r="U48" s="581"/>
      <c r="V48" s="581"/>
      <c r="W48" s="1475"/>
      <c r="X48" s="581"/>
      <c r="Y48" s="581"/>
    </row>
    <row r="49">
      <c r="A49" s="581"/>
      <c r="B49" s="1467"/>
      <c r="C49" s="624"/>
      <c r="D49" s="624"/>
      <c r="E49" s="624"/>
      <c r="F49" s="624"/>
      <c r="G49" s="1476"/>
      <c r="H49" s="1476"/>
      <c r="I49" s="1476"/>
      <c r="J49" s="1476"/>
      <c r="K49" s="1476"/>
      <c r="L49" s="624"/>
      <c r="M49" s="1474"/>
      <c r="N49" s="1474"/>
      <c r="O49" s="1474"/>
      <c r="P49" s="1467"/>
      <c r="Q49" s="581"/>
      <c r="R49" s="581"/>
      <c r="S49" s="581"/>
      <c r="T49" s="581"/>
      <c r="U49" s="581"/>
      <c r="V49" s="581"/>
      <c r="W49" s="1475"/>
      <c r="X49" s="581"/>
      <c r="Y49" s="581"/>
    </row>
    <row r="50">
      <c r="A50" s="581"/>
      <c r="B50" s="1467"/>
      <c r="C50" s="624"/>
      <c r="D50" s="624"/>
      <c r="E50" s="624"/>
      <c r="F50" s="624"/>
      <c r="G50" s="1476"/>
      <c r="H50" s="1476"/>
      <c r="I50" s="1476"/>
      <c r="J50" s="1476"/>
      <c r="K50" s="1476"/>
      <c r="L50" s="624"/>
      <c r="M50" s="1474"/>
      <c r="N50" s="1474"/>
      <c r="O50" s="1474"/>
      <c r="P50" s="1467"/>
      <c r="Q50" s="581"/>
      <c r="R50" s="581"/>
      <c r="S50" s="581"/>
      <c r="T50" s="581"/>
      <c r="U50" s="581"/>
      <c r="V50" s="581"/>
      <c r="W50" s="1475"/>
      <c r="X50" s="581"/>
      <c r="Y50" s="581"/>
    </row>
    <row r="51">
      <c r="A51" s="581"/>
      <c r="B51" s="1467"/>
      <c r="C51" s="624"/>
      <c r="D51" s="624"/>
      <c r="E51" s="624"/>
      <c r="F51" s="624"/>
      <c r="G51" s="1476"/>
      <c r="H51" s="1476"/>
      <c r="I51" s="1476"/>
      <c r="J51" s="1476"/>
      <c r="K51" s="1476"/>
      <c r="L51" s="624"/>
      <c r="M51" s="1474"/>
      <c r="N51" s="1474"/>
      <c r="O51" s="1474"/>
      <c r="P51" s="1467"/>
      <c r="Q51" s="581"/>
      <c r="R51" s="581"/>
      <c r="S51" s="581"/>
      <c r="T51" s="581"/>
      <c r="U51" s="581"/>
      <c r="V51" s="581"/>
      <c r="W51" s="1475"/>
      <c r="X51" s="581"/>
      <c r="Y51" s="581"/>
    </row>
    <row r="52">
      <c r="A52" s="581"/>
      <c r="B52" s="1467"/>
      <c r="C52" s="624"/>
      <c r="D52" s="624"/>
      <c r="E52" s="624"/>
      <c r="F52" s="624"/>
      <c r="G52" s="1476"/>
      <c r="H52" s="1476"/>
      <c r="I52" s="1476"/>
      <c r="J52" s="1476"/>
      <c r="K52" s="1476"/>
      <c r="L52" s="624"/>
      <c r="M52" s="1474"/>
      <c r="N52" s="1474"/>
      <c r="O52" s="1474"/>
      <c r="P52" s="1467"/>
      <c r="Q52" s="581"/>
      <c r="R52" s="581"/>
      <c r="S52" s="581"/>
      <c r="T52" s="581"/>
      <c r="U52" s="581"/>
      <c r="V52" s="581"/>
      <c r="W52" s="1475"/>
      <c r="X52" s="581"/>
      <c r="Y52" s="581"/>
    </row>
    <row r="53">
      <c r="A53" s="581"/>
      <c r="B53" s="1467"/>
      <c r="C53" s="624"/>
      <c r="D53" s="624"/>
      <c r="E53" s="624"/>
      <c r="F53" s="624"/>
      <c r="G53" s="1476"/>
      <c r="H53" s="1476"/>
      <c r="I53" s="1476"/>
      <c r="J53" s="1476"/>
      <c r="K53" s="1476"/>
      <c r="L53" s="624"/>
      <c r="M53" s="1474"/>
      <c r="N53" s="1474"/>
      <c r="O53" s="1474"/>
      <c r="P53" s="1467"/>
      <c r="Q53" s="581"/>
      <c r="R53" s="581"/>
      <c r="S53" s="581"/>
      <c r="T53" s="581"/>
      <c r="U53" s="581"/>
      <c r="V53" s="581"/>
      <c r="W53" s="1475"/>
      <c r="X53" s="581"/>
      <c r="Y53" s="581"/>
    </row>
    <row r="54">
      <c r="A54" s="581"/>
      <c r="B54" s="1467"/>
      <c r="C54" s="624"/>
      <c r="D54" s="624"/>
      <c r="E54" s="624"/>
      <c r="F54" s="624"/>
      <c r="G54" s="1476"/>
      <c r="H54" s="1476"/>
      <c r="I54" s="1476"/>
      <c r="J54" s="1476"/>
      <c r="K54" s="1476"/>
      <c r="L54" s="624"/>
      <c r="M54" s="1474"/>
      <c r="N54" s="1474"/>
      <c r="O54" s="1474"/>
      <c r="P54" s="1467"/>
      <c r="Q54" s="581"/>
      <c r="R54" s="581"/>
      <c r="S54" s="581"/>
      <c r="T54" s="581"/>
      <c r="U54" s="581"/>
      <c r="V54" s="581"/>
      <c r="W54" s="1475"/>
      <c r="X54" s="581"/>
      <c r="Y54" s="581"/>
    </row>
    <row r="55">
      <c r="A55" s="581"/>
      <c r="B55" s="1467"/>
      <c r="C55" s="624"/>
      <c r="D55" s="624"/>
      <c r="E55" s="624"/>
      <c r="F55" s="624"/>
      <c r="G55" s="1476"/>
      <c r="H55" s="1476"/>
      <c r="I55" s="1476"/>
      <c r="J55" s="1476"/>
      <c r="K55" s="1476"/>
      <c r="L55" s="624"/>
      <c r="M55" s="1474"/>
      <c r="N55" s="1474"/>
      <c r="O55" s="1474"/>
      <c r="P55" s="1467"/>
      <c r="Q55" s="581"/>
      <c r="R55" s="581"/>
      <c r="S55" s="581"/>
      <c r="T55" s="581"/>
      <c r="U55" s="581"/>
      <c r="V55" s="581"/>
      <c r="W55" s="1475"/>
      <c r="X55" s="581"/>
      <c r="Y55" s="581"/>
    </row>
    <row r="56">
      <c r="A56" s="581"/>
      <c r="B56" s="1467"/>
      <c r="C56" s="624"/>
      <c r="D56" s="624"/>
      <c r="E56" s="624"/>
      <c r="F56" s="624"/>
      <c r="G56" s="1476"/>
      <c r="H56" s="1476"/>
      <c r="I56" s="1476"/>
      <c r="J56" s="1476"/>
      <c r="K56" s="1476"/>
      <c r="L56" s="624"/>
      <c r="M56" s="1474"/>
      <c r="N56" s="1474"/>
      <c r="O56" s="1474"/>
      <c r="P56" s="1467"/>
      <c r="Q56" s="581"/>
      <c r="R56" s="581"/>
      <c r="S56" s="581"/>
      <c r="T56" s="581"/>
      <c r="U56" s="581"/>
      <c r="V56" s="581"/>
      <c r="W56" s="1475"/>
      <c r="X56" s="581"/>
      <c r="Y56" s="581"/>
    </row>
    <row r="57">
      <c r="A57" s="581"/>
      <c r="B57" s="1467"/>
      <c r="C57" s="624"/>
      <c r="D57" s="624"/>
      <c r="E57" s="624"/>
      <c r="F57" s="624"/>
      <c r="G57" s="1476"/>
      <c r="H57" s="1476"/>
      <c r="I57" s="1476"/>
      <c r="J57" s="1476"/>
      <c r="K57" s="1476"/>
      <c r="L57" s="624"/>
      <c r="M57" s="1474"/>
      <c r="N57" s="1474"/>
      <c r="O57" s="1474"/>
      <c r="P57" s="1467"/>
      <c r="Q57" s="581"/>
      <c r="R57" s="581"/>
      <c r="S57" s="581"/>
      <c r="T57" s="581"/>
      <c r="U57" s="581"/>
      <c r="V57" s="581"/>
      <c r="W57" s="1475"/>
      <c r="X57" s="581"/>
      <c r="Y57" s="581"/>
    </row>
    <row r="58">
      <c r="A58" s="581"/>
      <c r="B58" s="1467"/>
      <c r="C58" s="624"/>
      <c r="D58" s="624"/>
      <c r="E58" s="624"/>
      <c r="F58" s="624"/>
      <c r="G58" s="1476"/>
      <c r="H58" s="1476"/>
      <c r="I58" s="1476"/>
      <c r="J58" s="1476"/>
      <c r="K58" s="1476"/>
      <c r="L58" s="624"/>
      <c r="M58" s="1474"/>
      <c r="N58" s="1474"/>
      <c r="O58" s="1474"/>
      <c r="P58" s="1467"/>
      <c r="Q58" s="581"/>
      <c r="R58" s="581"/>
      <c r="S58" s="581"/>
      <c r="T58" s="581"/>
      <c r="U58" s="581"/>
      <c r="V58" s="581"/>
      <c r="W58" s="1475"/>
      <c r="X58" s="581"/>
      <c r="Y58" s="581"/>
    </row>
    <row r="59">
      <c r="A59" s="581"/>
      <c r="B59" s="1467"/>
      <c r="C59" s="624"/>
      <c r="D59" s="624"/>
      <c r="E59" s="624"/>
      <c r="F59" s="624"/>
      <c r="G59" s="1476"/>
      <c r="H59" s="1476"/>
      <c r="I59" s="1476"/>
      <c r="J59" s="1476"/>
      <c r="K59" s="1476"/>
      <c r="L59" s="624"/>
      <c r="M59" s="1474"/>
      <c r="N59" s="1474"/>
      <c r="O59" s="1474"/>
      <c r="P59" s="1467"/>
      <c r="Q59" s="581"/>
      <c r="R59" s="581"/>
      <c r="S59" s="581"/>
      <c r="T59" s="581"/>
      <c r="U59" s="581"/>
      <c r="V59" s="581"/>
      <c r="W59" s="1475"/>
      <c r="X59" s="581"/>
      <c r="Y59" s="581"/>
    </row>
    <row r="60">
      <c r="A60" s="581"/>
      <c r="B60" s="1467"/>
      <c r="C60" s="624"/>
      <c r="D60" s="624"/>
      <c r="E60" s="624"/>
      <c r="F60" s="624"/>
      <c r="G60" s="1476"/>
      <c r="H60" s="1476"/>
      <c r="I60" s="1476"/>
      <c r="J60" s="1476"/>
      <c r="K60" s="1476"/>
      <c r="L60" s="624"/>
      <c r="M60" s="1474"/>
      <c r="N60" s="1474"/>
      <c r="O60" s="1474"/>
      <c r="P60" s="1467"/>
      <c r="Q60" s="581"/>
      <c r="R60" s="581"/>
      <c r="S60" s="581"/>
      <c r="T60" s="581"/>
      <c r="U60" s="581"/>
      <c r="V60" s="581"/>
      <c r="W60" s="1475"/>
      <c r="X60" s="581"/>
      <c r="Y60" s="581"/>
    </row>
    <row r="61">
      <c r="A61" s="581"/>
      <c r="B61" s="1467"/>
      <c r="C61" s="624"/>
      <c r="D61" s="624"/>
      <c r="E61" s="624"/>
      <c r="F61" s="624"/>
      <c r="G61" s="1476"/>
      <c r="H61" s="1476"/>
      <c r="I61" s="1476"/>
      <c r="J61" s="1476"/>
      <c r="K61" s="1476"/>
      <c r="L61" s="624"/>
      <c r="M61" s="1474"/>
      <c r="N61" s="1474"/>
      <c r="O61" s="1474"/>
      <c r="P61" s="1467"/>
      <c r="Q61" s="581"/>
      <c r="R61" s="581"/>
      <c r="S61" s="581"/>
      <c r="T61" s="581"/>
      <c r="U61" s="581"/>
      <c r="V61" s="581"/>
      <c r="W61" s="1475"/>
      <c r="X61" s="581"/>
      <c r="Y61" s="581"/>
    </row>
    <row r="62">
      <c r="A62" s="581"/>
      <c r="B62" s="1467"/>
      <c r="C62" s="624"/>
      <c r="D62" s="624"/>
      <c r="E62" s="624"/>
      <c r="F62" s="624"/>
      <c r="G62" s="1476"/>
      <c r="H62" s="1476"/>
      <c r="I62" s="1476"/>
      <c r="J62" s="1476"/>
      <c r="K62" s="1476"/>
      <c r="L62" s="624"/>
      <c r="M62" s="1474"/>
      <c r="N62" s="1474"/>
      <c r="O62" s="1474"/>
      <c r="P62" s="1467"/>
      <c r="Q62" s="581"/>
      <c r="R62" s="581"/>
      <c r="S62" s="581"/>
      <c r="T62" s="581"/>
      <c r="U62" s="581"/>
      <c r="V62" s="581"/>
      <c r="W62" s="1475"/>
      <c r="X62" s="581"/>
      <c r="Y62" s="581"/>
    </row>
    <row r="63">
      <c r="A63" s="581"/>
      <c r="B63" s="1467"/>
      <c r="C63" s="624"/>
      <c r="D63" s="624"/>
      <c r="E63" s="624"/>
      <c r="F63" s="624"/>
      <c r="G63" s="1476"/>
      <c r="H63" s="1476"/>
      <c r="I63" s="1476"/>
      <c r="J63" s="1476"/>
      <c r="K63" s="1476"/>
      <c r="L63" s="624"/>
      <c r="M63" s="1474"/>
      <c r="N63" s="1474"/>
      <c r="O63" s="1474"/>
      <c r="P63" s="1467"/>
      <c r="Q63" s="581"/>
      <c r="R63" s="581"/>
      <c r="S63" s="581"/>
      <c r="T63" s="581"/>
      <c r="U63" s="581"/>
      <c r="V63" s="581"/>
      <c r="W63" s="1475"/>
      <c r="X63" s="581"/>
      <c r="Y63" s="581"/>
    </row>
    <row r="64">
      <c r="A64" s="581"/>
      <c r="B64" s="1467"/>
      <c r="C64" s="624"/>
      <c r="D64" s="624"/>
      <c r="E64" s="624"/>
      <c r="F64" s="624"/>
      <c r="G64" s="1476"/>
      <c r="H64" s="1476"/>
      <c r="I64" s="1476"/>
      <c r="J64" s="1476"/>
      <c r="K64" s="1476"/>
      <c r="L64" s="624"/>
      <c r="M64" s="1474"/>
      <c r="N64" s="1474"/>
      <c r="O64" s="1474"/>
      <c r="P64" s="1467"/>
      <c r="Q64" s="581"/>
      <c r="R64" s="581"/>
      <c r="S64" s="581"/>
      <c r="T64" s="581"/>
      <c r="U64" s="581"/>
      <c r="V64" s="581"/>
      <c r="W64" s="1475"/>
      <c r="X64" s="581"/>
      <c r="Y64" s="581"/>
    </row>
    <row r="65">
      <c r="A65" s="581"/>
      <c r="B65" s="1467"/>
      <c r="C65" s="624"/>
      <c r="D65" s="624"/>
      <c r="E65" s="624"/>
      <c r="F65" s="624"/>
      <c r="G65" s="1476"/>
      <c r="H65" s="1476"/>
      <c r="I65" s="1476"/>
      <c r="J65" s="1476"/>
      <c r="K65" s="1476"/>
      <c r="L65" s="624"/>
      <c r="M65" s="1474"/>
      <c r="N65" s="1474"/>
      <c r="O65" s="1474"/>
      <c r="P65" s="1467"/>
      <c r="Q65" s="581"/>
      <c r="R65" s="581"/>
      <c r="S65" s="581"/>
      <c r="T65" s="581"/>
      <c r="U65" s="581"/>
      <c r="V65" s="581"/>
      <c r="W65" s="1475"/>
      <c r="X65" s="581"/>
      <c r="Y65" s="581"/>
    </row>
    <row r="66">
      <c r="A66" s="581"/>
      <c r="B66" s="1467"/>
      <c r="C66" s="624"/>
      <c r="D66" s="624"/>
      <c r="E66" s="624"/>
      <c r="F66" s="624"/>
      <c r="G66" s="1476"/>
      <c r="H66" s="1476"/>
      <c r="I66" s="1476"/>
      <c r="J66" s="1476"/>
      <c r="K66" s="1476"/>
      <c r="L66" s="624"/>
      <c r="M66" s="1474"/>
      <c r="N66" s="1474"/>
      <c r="O66" s="1474"/>
      <c r="P66" s="1467"/>
      <c r="Q66" s="581"/>
      <c r="R66" s="581"/>
      <c r="S66" s="581"/>
      <c r="T66" s="581"/>
      <c r="U66" s="581"/>
      <c r="V66" s="581"/>
      <c r="W66" s="1475"/>
      <c r="X66" s="581"/>
      <c r="Y66" s="581"/>
    </row>
    <row r="67">
      <c r="A67" s="581"/>
      <c r="B67" s="1467"/>
      <c r="C67" s="624"/>
      <c r="D67" s="624"/>
      <c r="E67" s="624"/>
      <c r="F67" s="624"/>
      <c r="G67" s="1476"/>
      <c r="H67" s="1476"/>
      <c r="I67" s="1476"/>
      <c r="J67" s="1476"/>
      <c r="K67" s="1476"/>
      <c r="L67" s="624"/>
      <c r="M67" s="1474"/>
      <c r="N67" s="1474"/>
      <c r="O67" s="1474"/>
      <c r="P67" s="1467"/>
      <c r="Q67" s="581"/>
      <c r="R67" s="581"/>
      <c r="S67" s="581"/>
      <c r="T67" s="581"/>
      <c r="U67" s="581"/>
      <c r="V67" s="581"/>
      <c r="W67" s="1475"/>
      <c r="X67" s="581"/>
      <c r="Y67" s="581"/>
    </row>
    <row r="68">
      <c r="A68" s="581"/>
      <c r="B68" s="1467"/>
      <c r="C68" s="624"/>
      <c r="D68" s="624"/>
      <c r="E68" s="624"/>
      <c r="F68" s="624"/>
      <c r="G68" s="1476"/>
      <c r="H68" s="1476"/>
      <c r="I68" s="1476"/>
      <c r="J68" s="1476"/>
      <c r="K68" s="1476"/>
      <c r="L68" s="624"/>
      <c r="M68" s="1474"/>
      <c r="N68" s="1474"/>
      <c r="O68" s="1474"/>
      <c r="P68" s="1467"/>
      <c r="Q68" s="581"/>
      <c r="R68" s="581"/>
      <c r="S68" s="581"/>
      <c r="T68" s="581"/>
      <c r="U68" s="581"/>
      <c r="V68" s="581"/>
      <c r="W68" s="1475"/>
      <c r="X68" s="581"/>
      <c r="Y68" s="581"/>
    </row>
    <row r="69">
      <c r="A69" s="581"/>
      <c r="B69" s="1467"/>
      <c r="C69" s="624"/>
      <c r="D69" s="624"/>
      <c r="E69" s="624"/>
      <c r="F69" s="624"/>
      <c r="G69" s="1476"/>
      <c r="H69" s="1476"/>
      <c r="I69" s="1476"/>
      <c r="J69" s="1476"/>
      <c r="K69" s="1476"/>
      <c r="L69" s="624"/>
      <c r="M69" s="1474"/>
      <c r="N69" s="1474"/>
      <c r="O69" s="1474"/>
      <c r="P69" s="1467"/>
      <c r="Q69" s="581"/>
      <c r="R69" s="581"/>
      <c r="S69" s="581"/>
      <c r="T69" s="581"/>
      <c r="U69" s="581"/>
      <c r="V69" s="581"/>
      <c r="W69" s="1475"/>
      <c r="X69" s="581"/>
      <c r="Y69" s="581"/>
    </row>
    <row r="70">
      <c r="A70" s="581"/>
      <c r="B70" s="1467"/>
      <c r="C70" s="624"/>
      <c r="D70" s="624"/>
      <c r="E70" s="624"/>
      <c r="F70" s="624"/>
      <c r="G70" s="1476"/>
      <c r="H70" s="1476"/>
      <c r="I70" s="1476"/>
      <c r="J70" s="1476"/>
      <c r="K70" s="1476"/>
      <c r="L70" s="624"/>
      <c r="M70" s="1474"/>
      <c r="N70" s="1474"/>
      <c r="O70" s="1474"/>
      <c r="P70" s="1467"/>
      <c r="Q70" s="581"/>
      <c r="R70" s="581"/>
      <c r="S70" s="581"/>
      <c r="T70" s="581"/>
      <c r="U70" s="581"/>
      <c r="V70" s="581"/>
      <c r="W70" s="1475"/>
      <c r="X70" s="581"/>
      <c r="Y70" s="581"/>
    </row>
    <row r="71">
      <c r="A71" s="581"/>
      <c r="B71" s="1467"/>
      <c r="C71" s="624"/>
      <c r="D71" s="624"/>
      <c r="E71" s="624"/>
      <c r="F71" s="624"/>
      <c r="G71" s="1476"/>
      <c r="H71" s="1476"/>
      <c r="I71" s="1476"/>
      <c r="J71" s="1476"/>
      <c r="K71" s="1476"/>
      <c r="L71" s="624"/>
      <c r="M71" s="1474"/>
      <c r="N71" s="1474"/>
      <c r="O71" s="1474"/>
      <c r="P71" s="1467"/>
      <c r="Q71" s="581"/>
      <c r="R71" s="581"/>
      <c r="S71" s="581"/>
      <c r="T71" s="581"/>
      <c r="U71" s="581"/>
      <c r="V71" s="581"/>
      <c r="W71" s="1475"/>
      <c r="X71" s="581"/>
      <c r="Y71" s="581"/>
    </row>
    <row r="72">
      <c r="A72" s="581"/>
      <c r="B72" s="1467"/>
      <c r="C72" s="624"/>
      <c r="D72" s="624"/>
      <c r="E72" s="624"/>
      <c r="F72" s="624"/>
      <c r="G72" s="1476"/>
      <c r="H72" s="1476"/>
      <c r="I72" s="1476"/>
      <c r="J72" s="1476"/>
      <c r="K72" s="1476"/>
      <c r="L72" s="624"/>
      <c r="M72" s="1474"/>
      <c r="N72" s="1474"/>
      <c r="O72" s="1474"/>
      <c r="P72" s="1467"/>
      <c r="Q72" s="581"/>
      <c r="R72" s="581"/>
      <c r="S72" s="581"/>
      <c r="T72" s="581"/>
      <c r="U72" s="581"/>
      <c r="V72" s="581"/>
      <c r="W72" s="1475"/>
      <c r="X72" s="581"/>
      <c r="Y72" s="581"/>
    </row>
    <row r="73">
      <c r="A73" s="581"/>
      <c r="B73" s="1467"/>
      <c r="C73" s="624"/>
      <c r="D73" s="624"/>
      <c r="E73" s="624"/>
      <c r="F73" s="624"/>
      <c r="G73" s="1476"/>
      <c r="H73" s="1476"/>
      <c r="I73" s="1476"/>
      <c r="J73" s="1476"/>
      <c r="K73" s="1476"/>
      <c r="L73" s="624"/>
      <c r="M73" s="1474"/>
      <c r="N73" s="1474"/>
      <c r="O73" s="1474"/>
      <c r="P73" s="1467"/>
      <c r="Q73" s="581"/>
      <c r="R73" s="581"/>
      <c r="S73" s="581"/>
      <c r="T73" s="581"/>
      <c r="U73" s="581"/>
      <c r="V73" s="581"/>
      <c r="W73" s="1475"/>
      <c r="X73" s="581"/>
      <c r="Y73" s="581"/>
    </row>
    <row r="74">
      <c r="A74" s="581"/>
      <c r="B74" s="1467"/>
      <c r="C74" s="624"/>
      <c r="D74" s="624"/>
      <c r="E74" s="624"/>
      <c r="F74" s="624"/>
      <c r="G74" s="1476"/>
      <c r="H74" s="1476"/>
      <c r="I74" s="1476"/>
      <c r="J74" s="1476"/>
      <c r="K74" s="1476"/>
      <c r="L74" s="624"/>
      <c r="M74" s="1474"/>
      <c r="N74" s="1474"/>
      <c r="O74" s="1474"/>
      <c r="P74" s="1467"/>
      <c r="Q74" s="581"/>
      <c r="R74" s="581"/>
      <c r="S74" s="581"/>
      <c r="T74" s="581"/>
      <c r="U74" s="581"/>
      <c r="V74" s="581"/>
      <c r="W74" s="1475"/>
      <c r="X74" s="581"/>
      <c r="Y74" s="581"/>
    </row>
    <row r="75">
      <c r="A75" s="581"/>
      <c r="B75" s="1467"/>
      <c r="C75" s="624"/>
      <c r="D75" s="624"/>
      <c r="E75" s="624"/>
      <c r="F75" s="624"/>
      <c r="G75" s="1476"/>
      <c r="H75" s="1476"/>
      <c r="I75" s="1476"/>
      <c r="J75" s="1476"/>
      <c r="K75" s="1476"/>
      <c r="L75" s="624"/>
      <c r="M75" s="1474"/>
      <c r="N75" s="1474"/>
      <c r="O75" s="1474"/>
      <c r="P75" s="1467"/>
      <c r="Q75" s="581"/>
      <c r="R75" s="581"/>
      <c r="S75" s="581"/>
      <c r="T75" s="581"/>
      <c r="U75" s="581"/>
      <c r="V75" s="581"/>
      <c r="W75" s="1475"/>
      <c r="X75" s="581"/>
      <c r="Y75" s="581"/>
    </row>
    <row r="76">
      <c r="A76" s="581"/>
      <c r="B76" s="1467"/>
      <c r="C76" s="624"/>
      <c r="D76" s="624"/>
      <c r="E76" s="624"/>
      <c r="F76" s="624"/>
      <c r="G76" s="1476"/>
      <c r="H76" s="1476"/>
      <c r="I76" s="1476"/>
      <c r="J76" s="1476"/>
      <c r="K76" s="1476"/>
      <c r="L76" s="624"/>
      <c r="M76" s="1474"/>
      <c r="N76" s="1474"/>
      <c r="O76" s="1474"/>
      <c r="P76" s="1467"/>
      <c r="Q76" s="581"/>
      <c r="R76" s="581"/>
      <c r="S76" s="581"/>
      <c r="T76" s="581"/>
      <c r="U76" s="581"/>
      <c r="V76" s="581"/>
      <c r="W76" s="1475"/>
      <c r="X76" s="581"/>
      <c r="Y76" s="581"/>
    </row>
    <row r="77">
      <c r="A77" s="581"/>
      <c r="B77" s="1467"/>
      <c r="C77" s="624"/>
      <c r="D77" s="624"/>
      <c r="E77" s="624"/>
      <c r="F77" s="624"/>
      <c r="G77" s="1476"/>
      <c r="H77" s="1476"/>
      <c r="I77" s="1476"/>
      <c r="J77" s="1476"/>
      <c r="K77" s="1476"/>
      <c r="L77" s="624"/>
      <c r="M77" s="1474"/>
      <c r="N77" s="1474"/>
      <c r="O77" s="1474"/>
      <c r="P77" s="1467"/>
      <c r="Q77" s="581"/>
      <c r="R77" s="581"/>
      <c r="S77" s="581"/>
      <c r="T77" s="581"/>
      <c r="U77" s="581"/>
      <c r="V77" s="581"/>
      <c r="W77" s="1475"/>
      <c r="X77" s="581"/>
      <c r="Y77" s="581"/>
    </row>
    <row r="78">
      <c r="A78" s="581"/>
      <c r="B78" s="1467"/>
      <c r="C78" s="624"/>
      <c r="D78" s="624"/>
      <c r="E78" s="624"/>
      <c r="F78" s="624"/>
      <c r="G78" s="1476"/>
      <c r="H78" s="1476"/>
      <c r="I78" s="1476"/>
      <c r="J78" s="1476"/>
      <c r="K78" s="1476"/>
      <c r="L78" s="624"/>
      <c r="M78" s="1474"/>
      <c r="N78" s="1474"/>
      <c r="O78" s="1474"/>
      <c r="P78" s="1467"/>
      <c r="Q78" s="581"/>
      <c r="R78" s="581"/>
      <c r="S78" s="581"/>
      <c r="T78" s="581"/>
      <c r="U78" s="581"/>
      <c r="V78" s="581"/>
      <c r="W78" s="1475"/>
      <c r="X78" s="581"/>
      <c r="Y78" s="581"/>
    </row>
    <row r="79">
      <c r="A79" s="581"/>
      <c r="B79" s="1467"/>
      <c r="C79" s="624"/>
      <c r="D79" s="624"/>
      <c r="E79" s="624"/>
      <c r="F79" s="624"/>
      <c r="G79" s="1476"/>
      <c r="H79" s="1476"/>
      <c r="I79" s="1476"/>
      <c r="J79" s="1476"/>
      <c r="K79" s="1476"/>
      <c r="L79" s="624"/>
      <c r="M79" s="1474"/>
      <c r="N79" s="1474"/>
      <c r="O79" s="1474"/>
      <c r="P79" s="1467"/>
      <c r="Q79" s="581"/>
      <c r="R79" s="581"/>
      <c r="S79" s="581"/>
      <c r="T79" s="581"/>
      <c r="U79" s="581"/>
      <c r="V79" s="581"/>
      <c r="W79" s="1475"/>
      <c r="X79" s="581"/>
      <c r="Y79" s="581"/>
    </row>
    <row r="80">
      <c r="A80" s="581"/>
      <c r="B80" s="1467"/>
      <c r="C80" s="624"/>
      <c r="D80" s="624"/>
      <c r="E80" s="624"/>
      <c r="F80" s="624"/>
      <c r="G80" s="1476"/>
      <c r="H80" s="1476"/>
      <c r="I80" s="1476"/>
      <c r="J80" s="1476"/>
      <c r="K80" s="1476"/>
      <c r="L80" s="624"/>
      <c r="M80" s="1474"/>
      <c r="N80" s="1474"/>
      <c r="O80" s="1474"/>
      <c r="P80" s="1467"/>
      <c r="Q80" s="581"/>
      <c r="R80" s="581"/>
      <c r="S80" s="581"/>
      <c r="T80" s="581"/>
      <c r="U80" s="581"/>
      <c r="V80" s="581"/>
      <c r="W80" s="1475"/>
      <c r="X80" s="581"/>
      <c r="Y80" s="581"/>
    </row>
    <row r="81">
      <c r="A81" s="581"/>
      <c r="B81" s="1467"/>
      <c r="C81" s="624"/>
      <c r="D81" s="624"/>
      <c r="E81" s="624"/>
      <c r="F81" s="624"/>
      <c r="G81" s="1476"/>
      <c r="H81" s="1476"/>
      <c r="I81" s="1476"/>
      <c r="J81" s="1476"/>
      <c r="K81" s="1476"/>
      <c r="L81" s="624"/>
      <c r="M81" s="1474"/>
      <c r="N81" s="1474"/>
      <c r="O81" s="1474"/>
      <c r="P81" s="1467"/>
      <c r="Q81" s="581"/>
      <c r="R81" s="581"/>
      <c r="S81" s="581"/>
      <c r="T81" s="581"/>
      <c r="U81" s="581"/>
      <c r="V81" s="581"/>
      <c r="W81" s="1475"/>
      <c r="X81" s="581"/>
      <c r="Y81" s="581"/>
    </row>
    <row r="82">
      <c r="A82" s="581"/>
      <c r="B82" s="1467"/>
      <c r="C82" s="624"/>
      <c r="D82" s="624"/>
      <c r="E82" s="624"/>
      <c r="F82" s="624"/>
      <c r="G82" s="1476"/>
      <c r="H82" s="1476"/>
      <c r="I82" s="1476"/>
      <c r="J82" s="1476"/>
      <c r="K82" s="1476"/>
      <c r="L82" s="624"/>
      <c r="M82" s="1474"/>
      <c r="N82" s="1474"/>
      <c r="O82" s="1474"/>
      <c r="P82" s="1467"/>
      <c r="Q82" s="581"/>
      <c r="R82" s="581"/>
      <c r="S82" s="581"/>
      <c r="T82" s="581"/>
      <c r="U82" s="581"/>
      <c r="V82" s="581"/>
      <c r="W82" s="1475"/>
      <c r="X82" s="581"/>
      <c r="Y82" s="581"/>
    </row>
    <row r="83">
      <c r="A83" s="581"/>
      <c r="B83" s="1467"/>
      <c r="C83" s="624"/>
      <c r="D83" s="624"/>
      <c r="E83" s="624"/>
      <c r="F83" s="624"/>
      <c r="G83" s="1476"/>
      <c r="H83" s="1476"/>
      <c r="I83" s="1476"/>
      <c r="J83" s="1476"/>
      <c r="K83" s="1476"/>
      <c r="L83" s="624"/>
      <c r="M83" s="1474"/>
      <c r="N83" s="1474"/>
      <c r="O83" s="1474"/>
      <c r="P83" s="1467"/>
      <c r="Q83" s="581"/>
      <c r="R83" s="581"/>
      <c r="S83" s="581"/>
      <c r="T83" s="581"/>
      <c r="U83" s="581"/>
      <c r="V83" s="581"/>
      <c r="W83" s="1475"/>
      <c r="X83" s="581"/>
      <c r="Y83" s="581"/>
    </row>
    <row r="84">
      <c r="A84" s="581"/>
      <c r="B84" s="1467"/>
      <c r="C84" s="624"/>
      <c r="D84" s="624"/>
      <c r="E84" s="624"/>
      <c r="F84" s="624"/>
      <c r="G84" s="1476"/>
      <c r="H84" s="1476"/>
      <c r="I84" s="1476"/>
      <c r="J84" s="1476"/>
      <c r="K84" s="1476"/>
      <c r="L84" s="624"/>
      <c r="M84" s="1474"/>
      <c r="N84" s="1474"/>
      <c r="O84" s="1474"/>
      <c r="P84" s="1467"/>
      <c r="Q84" s="581"/>
      <c r="R84" s="581"/>
      <c r="S84" s="581"/>
      <c r="T84" s="581"/>
      <c r="U84" s="581"/>
      <c r="V84" s="581"/>
      <c r="W84" s="1475"/>
      <c r="X84" s="581"/>
      <c r="Y84" s="581"/>
    </row>
    <row r="85">
      <c r="A85" s="581"/>
      <c r="B85" s="1467"/>
      <c r="C85" s="624"/>
      <c r="D85" s="624"/>
      <c r="E85" s="624"/>
      <c r="F85" s="624"/>
      <c r="G85" s="1476"/>
      <c r="H85" s="1476"/>
      <c r="I85" s="1476"/>
      <c r="J85" s="1476"/>
      <c r="K85" s="1476"/>
      <c r="L85" s="624"/>
      <c r="M85" s="1474"/>
      <c r="N85" s="1474"/>
      <c r="O85" s="1474"/>
      <c r="P85" s="1467"/>
      <c r="Q85" s="581"/>
      <c r="R85" s="581"/>
      <c r="S85" s="581"/>
      <c r="T85" s="581"/>
      <c r="U85" s="581"/>
      <c r="V85" s="581"/>
      <c r="W85" s="1475"/>
      <c r="X85" s="581"/>
      <c r="Y85" s="581"/>
    </row>
    <row r="86">
      <c r="A86" s="581"/>
      <c r="B86" s="1467"/>
      <c r="C86" s="624"/>
      <c r="D86" s="624"/>
      <c r="E86" s="624"/>
      <c r="F86" s="624"/>
      <c r="G86" s="1476"/>
      <c r="H86" s="1476"/>
      <c r="I86" s="1476"/>
      <c r="J86" s="1476"/>
      <c r="K86" s="1476"/>
      <c r="L86" s="624"/>
      <c r="M86" s="1474"/>
      <c r="N86" s="1474"/>
      <c r="O86" s="1474"/>
      <c r="P86" s="1467"/>
      <c r="Q86" s="581"/>
      <c r="R86" s="581"/>
      <c r="S86" s="581"/>
      <c r="T86" s="581"/>
      <c r="U86" s="581"/>
      <c r="V86" s="581"/>
      <c r="W86" s="1475"/>
      <c r="X86" s="581"/>
      <c r="Y86" s="581"/>
    </row>
    <row r="87">
      <c r="A87" s="581"/>
      <c r="B87" s="1467"/>
      <c r="C87" s="624"/>
      <c r="D87" s="624"/>
      <c r="E87" s="624"/>
      <c r="F87" s="624"/>
      <c r="G87" s="1476"/>
      <c r="H87" s="1476"/>
      <c r="I87" s="1476"/>
      <c r="J87" s="1476"/>
      <c r="K87" s="1476"/>
      <c r="L87" s="624"/>
      <c r="M87" s="1474"/>
      <c r="N87" s="1474"/>
      <c r="O87" s="1474"/>
      <c r="P87" s="1467"/>
      <c r="Q87" s="581"/>
      <c r="R87" s="581"/>
      <c r="S87" s="581"/>
      <c r="T87" s="581"/>
      <c r="U87" s="581"/>
      <c r="V87" s="581"/>
      <c r="W87" s="1475"/>
      <c r="X87" s="581"/>
      <c r="Y87" s="581"/>
    </row>
    <row r="88">
      <c r="A88" s="581"/>
      <c r="B88" s="1467"/>
      <c r="C88" s="624"/>
      <c r="D88" s="624"/>
      <c r="E88" s="624"/>
      <c r="F88" s="624"/>
      <c r="G88" s="1476"/>
      <c r="H88" s="1476"/>
      <c r="I88" s="1476"/>
      <c r="J88" s="1476"/>
      <c r="K88" s="1476"/>
      <c r="L88" s="624"/>
      <c r="M88" s="1474"/>
      <c r="N88" s="1474"/>
      <c r="O88" s="1474"/>
      <c r="P88" s="1467"/>
      <c r="Q88" s="581"/>
      <c r="R88" s="581"/>
      <c r="S88" s="581"/>
      <c r="T88" s="581"/>
      <c r="U88" s="581"/>
      <c r="V88" s="581"/>
      <c r="W88" s="1475"/>
      <c r="X88" s="581"/>
      <c r="Y88" s="581"/>
    </row>
    <row r="89">
      <c r="A89" s="581"/>
      <c r="B89" s="1467"/>
      <c r="C89" s="624"/>
      <c r="D89" s="624"/>
      <c r="E89" s="624"/>
      <c r="F89" s="624"/>
      <c r="G89" s="1476"/>
      <c r="H89" s="1476"/>
      <c r="I89" s="1476"/>
      <c r="J89" s="1476"/>
      <c r="K89" s="1476"/>
      <c r="L89" s="624"/>
      <c r="M89" s="1474"/>
      <c r="N89" s="1474"/>
      <c r="O89" s="1474"/>
      <c r="P89" s="1467"/>
      <c r="Q89" s="581"/>
      <c r="R89" s="581"/>
      <c r="S89" s="581"/>
      <c r="T89" s="581"/>
      <c r="U89" s="581"/>
      <c r="V89" s="581"/>
      <c r="W89" s="1475"/>
      <c r="X89" s="581"/>
      <c r="Y89" s="581"/>
    </row>
    <row r="90">
      <c r="A90" s="581"/>
      <c r="B90" s="1467"/>
      <c r="C90" s="624"/>
      <c r="D90" s="624"/>
      <c r="E90" s="624"/>
      <c r="F90" s="624"/>
      <c r="G90" s="1476"/>
      <c r="H90" s="1476"/>
      <c r="I90" s="1476"/>
      <c r="J90" s="1476"/>
      <c r="K90" s="1476"/>
      <c r="L90" s="624"/>
      <c r="M90" s="1474"/>
      <c r="N90" s="1474"/>
      <c r="O90" s="1474"/>
      <c r="P90" s="1467"/>
      <c r="Q90" s="581"/>
      <c r="R90" s="581"/>
      <c r="S90" s="581"/>
      <c r="T90" s="581"/>
      <c r="U90" s="581"/>
      <c r="V90" s="581"/>
      <c r="W90" s="1475"/>
      <c r="X90" s="581"/>
      <c r="Y90" s="581"/>
    </row>
    <row r="91">
      <c r="A91" s="581"/>
      <c r="B91" s="1467"/>
      <c r="C91" s="624"/>
      <c r="D91" s="624"/>
      <c r="E91" s="624"/>
      <c r="F91" s="624"/>
      <c r="G91" s="1476"/>
      <c r="H91" s="1476"/>
      <c r="I91" s="1476"/>
      <c r="J91" s="1476"/>
      <c r="K91" s="1476"/>
      <c r="L91" s="624"/>
      <c r="M91" s="1474"/>
      <c r="N91" s="1474"/>
      <c r="O91" s="1474"/>
      <c r="P91" s="1467"/>
      <c r="Q91" s="581"/>
      <c r="R91" s="581"/>
      <c r="S91" s="581"/>
      <c r="T91" s="581"/>
      <c r="U91" s="581"/>
      <c r="V91" s="581"/>
      <c r="W91" s="1475"/>
      <c r="X91" s="581"/>
      <c r="Y91" s="581"/>
    </row>
    <row r="92">
      <c r="A92" s="581"/>
      <c r="B92" s="1467"/>
      <c r="C92" s="624"/>
      <c r="D92" s="624"/>
      <c r="E92" s="624"/>
      <c r="F92" s="624"/>
      <c r="G92" s="1476"/>
      <c r="H92" s="1476"/>
      <c r="I92" s="1476"/>
      <c r="J92" s="1476"/>
      <c r="K92" s="1476"/>
      <c r="L92" s="624"/>
      <c r="M92" s="1474"/>
      <c r="N92" s="1474"/>
      <c r="O92" s="1474"/>
      <c r="P92" s="1467"/>
      <c r="Q92" s="581"/>
      <c r="R92" s="581"/>
      <c r="S92" s="581"/>
      <c r="T92" s="581"/>
      <c r="U92" s="581"/>
      <c r="V92" s="581"/>
      <c r="W92" s="1475"/>
      <c r="X92" s="581"/>
      <c r="Y92" s="581"/>
    </row>
    <row r="93">
      <c r="A93" s="581"/>
      <c r="B93" s="1467"/>
      <c r="C93" s="624"/>
      <c r="D93" s="624"/>
      <c r="E93" s="624"/>
      <c r="F93" s="624"/>
      <c r="G93" s="1476"/>
      <c r="H93" s="1476"/>
      <c r="I93" s="1476"/>
      <c r="J93" s="1476"/>
      <c r="K93" s="1476"/>
      <c r="L93" s="624"/>
      <c r="M93" s="1474"/>
      <c r="N93" s="1474"/>
      <c r="O93" s="1474"/>
      <c r="P93" s="1467"/>
      <c r="Q93" s="581"/>
      <c r="R93" s="581"/>
      <c r="S93" s="581"/>
      <c r="T93" s="581"/>
      <c r="U93" s="581"/>
      <c r="V93" s="581"/>
      <c r="W93" s="1475"/>
      <c r="X93" s="581"/>
      <c r="Y93" s="581"/>
    </row>
    <row r="94">
      <c r="A94" s="581"/>
      <c r="B94" s="1467"/>
      <c r="C94" s="624"/>
      <c r="D94" s="624"/>
      <c r="E94" s="624"/>
      <c r="F94" s="624"/>
      <c r="G94" s="1476"/>
      <c r="H94" s="1476"/>
      <c r="I94" s="1476"/>
      <c r="J94" s="1476"/>
      <c r="K94" s="1476"/>
      <c r="L94" s="624"/>
      <c r="M94" s="1474"/>
      <c r="N94" s="1474"/>
      <c r="O94" s="1474"/>
      <c r="P94" s="1467"/>
      <c r="Q94" s="581"/>
      <c r="R94" s="581"/>
      <c r="S94" s="581"/>
      <c r="T94" s="581"/>
      <c r="U94" s="581"/>
      <c r="V94" s="581"/>
      <c r="W94" s="1475"/>
      <c r="X94" s="581"/>
      <c r="Y94" s="581"/>
    </row>
    <row r="95">
      <c r="A95" s="581"/>
      <c r="B95" s="1467"/>
      <c r="C95" s="624"/>
      <c r="D95" s="624"/>
      <c r="E95" s="624"/>
      <c r="F95" s="624"/>
      <c r="G95" s="1476"/>
      <c r="H95" s="1476"/>
      <c r="I95" s="1476"/>
      <c r="J95" s="1476"/>
      <c r="K95" s="1476"/>
      <c r="L95" s="624"/>
      <c r="M95" s="1474"/>
      <c r="N95" s="1474"/>
      <c r="O95" s="1474"/>
      <c r="P95" s="1467"/>
      <c r="Q95" s="581"/>
      <c r="R95" s="581"/>
      <c r="S95" s="581"/>
      <c r="T95" s="581"/>
      <c r="U95" s="581"/>
      <c r="V95" s="581"/>
      <c r="W95" s="1475"/>
      <c r="X95" s="581"/>
      <c r="Y95" s="581"/>
    </row>
    <row r="96">
      <c r="A96" s="581"/>
      <c r="B96" s="1467"/>
      <c r="C96" s="624"/>
      <c r="D96" s="624"/>
      <c r="E96" s="624"/>
      <c r="F96" s="624"/>
      <c r="G96" s="1476"/>
      <c r="H96" s="1476"/>
      <c r="I96" s="1476"/>
      <c r="J96" s="1476"/>
      <c r="K96" s="1476"/>
      <c r="L96" s="624"/>
      <c r="M96" s="1474"/>
      <c r="N96" s="1474"/>
      <c r="O96" s="1474"/>
      <c r="P96" s="1467"/>
      <c r="Q96" s="581"/>
      <c r="R96" s="581"/>
      <c r="S96" s="581"/>
      <c r="T96" s="581"/>
      <c r="U96" s="581"/>
      <c r="V96" s="581"/>
      <c r="W96" s="1475"/>
      <c r="X96" s="581"/>
      <c r="Y96" s="581"/>
    </row>
    <row r="97">
      <c r="A97" s="581"/>
      <c r="B97" s="1467"/>
      <c r="C97" s="624"/>
      <c r="D97" s="624"/>
      <c r="E97" s="624"/>
      <c r="F97" s="624"/>
      <c r="G97" s="1476"/>
      <c r="H97" s="1476"/>
      <c r="I97" s="1476"/>
      <c r="J97" s="1476"/>
      <c r="K97" s="1476"/>
      <c r="L97" s="624"/>
      <c r="M97" s="1474"/>
      <c r="N97" s="1474"/>
      <c r="O97" s="1474"/>
      <c r="P97" s="1467"/>
      <c r="Q97" s="581"/>
      <c r="R97" s="581"/>
      <c r="S97" s="581"/>
      <c r="T97" s="581"/>
      <c r="U97" s="581"/>
      <c r="V97" s="581"/>
      <c r="W97" s="1475"/>
      <c r="X97" s="581"/>
      <c r="Y97" s="581"/>
    </row>
    <row r="98">
      <c r="A98" s="581"/>
      <c r="B98" s="1467"/>
      <c r="C98" s="624"/>
      <c r="D98" s="624"/>
      <c r="E98" s="624"/>
      <c r="F98" s="624"/>
      <c r="G98" s="1476"/>
      <c r="H98" s="1476"/>
      <c r="I98" s="1476"/>
      <c r="J98" s="1476"/>
      <c r="K98" s="1476"/>
      <c r="L98" s="624"/>
      <c r="M98" s="1474"/>
      <c r="N98" s="1474"/>
      <c r="O98" s="1474"/>
      <c r="P98" s="1467"/>
      <c r="Q98" s="581"/>
      <c r="R98" s="581"/>
      <c r="S98" s="581"/>
      <c r="T98" s="581"/>
      <c r="U98" s="581"/>
      <c r="V98" s="581"/>
      <c r="W98" s="1475"/>
      <c r="X98" s="581"/>
      <c r="Y98" s="581"/>
    </row>
    <row r="99">
      <c r="A99" s="581"/>
      <c r="B99" s="1467"/>
      <c r="C99" s="624"/>
      <c r="D99" s="624"/>
      <c r="E99" s="624"/>
      <c r="F99" s="624"/>
      <c r="G99" s="1476"/>
      <c r="H99" s="1476"/>
      <c r="I99" s="1476"/>
      <c r="J99" s="1476"/>
      <c r="K99" s="1476"/>
      <c r="L99" s="624"/>
      <c r="M99" s="1474"/>
      <c r="N99" s="1474"/>
      <c r="O99" s="1474"/>
      <c r="P99" s="1467"/>
      <c r="Q99" s="581"/>
      <c r="R99" s="581"/>
      <c r="S99" s="581"/>
      <c r="T99" s="581"/>
      <c r="U99" s="581"/>
      <c r="V99" s="581"/>
      <c r="W99" s="1475"/>
      <c r="X99" s="581"/>
      <c r="Y99" s="581"/>
    </row>
    <row r="100">
      <c r="A100" s="581"/>
      <c r="B100" s="1467"/>
      <c r="C100" s="624"/>
      <c r="D100" s="624"/>
      <c r="E100" s="624"/>
      <c r="F100" s="624"/>
      <c r="G100" s="1476"/>
      <c r="H100" s="1476"/>
      <c r="I100" s="1476"/>
      <c r="J100" s="1476"/>
      <c r="K100" s="1476"/>
      <c r="L100" s="624"/>
      <c r="M100" s="1474"/>
      <c r="N100" s="1474"/>
      <c r="O100" s="1474"/>
      <c r="P100" s="1467"/>
      <c r="Q100" s="581"/>
      <c r="R100" s="581"/>
      <c r="S100" s="581"/>
      <c r="T100" s="581"/>
      <c r="U100" s="581"/>
      <c r="V100" s="581"/>
      <c r="W100" s="1475"/>
      <c r="X100" s="581"/>
      <c r="Y100" s="581"/>
    </row>
    <row r="101">
      <c r="A101" s="581"/>
      <c r="B101" s="1467"/>
      <c r="C101" s="624"/>
      <c r="D101" s="624"/>
      <c r="E101" s="624"/>
      <c r="F101" s="624"/>
      <c r="G101" s="1476"/>
      <c r="H101" s="1476"/>
      <c r="I101" s="1476"/>
      <c r="J101" s="1476"/>
      <c r="K101" s="1476"/>
      <c r="L101" s="624"/>
      <c r="M101" s="1474"/>
      <c r="N101" s="1474"/>
      <c r="O101" s="1474"/>
      <c r="P101" s="1467"/>
      <c r="Q101" s="581"/>
      <c r="R101" s="581"/>
      <c r="S101" s="581"/>
      <c r="T101" s="581"/>
      <c r="U101" s="581"/>
      <c r="V101" s="581"/>
      <c r="W101" s="1475"/>
      <c r="X101" s="581"/>
      <c r="Y101" s="581"/>
    </row>
    <row r="102">
      <c r="A102" s="581"/>
      <c r="B102" s="1467"/>
      <c r="C102" s="624"/>
      <c r="D102" s="624"/>
      <c r="E102" s="624"/>
      <c r="F102" s="624"/>
      <c r="G102" s="1476"/>
      <c r="H102" s="1476"/>
      <c r="I102" s="1476"/>
      <c r="J102" s="1476"/>
      <c r="K102" s="1476"/>
      <c r="L102" s="624"/>
      <c r="M102" s="1474"/>
      <c r="N102" s="1474"/>
      <c r="O102" s="1474"/>
      <c r="P102" s="1467"/>
      <c r="Q102" s="581"/>
      <c r="R102" s="581"/>
      <c r="S102" s="581"/>
      <c r="T102" s="581"/>
      <c r="U102" s="581"/>
      <c r="V102" s="581"/>
      <c r="W102" s="1475"/>
      <c r="X102" s="581"/>
      <c r="Y102" s="581"/>
    </row>
    <row r="103">
      <c r="A103" s="581"/>
      <c r="B103" s="1467"/>
      <c r="C103" s="624"/>
      <c r="D103" s="624"/>
      <c r="E103" s="624"/>
      <c r="F103" s="624"/>
      <c r="G103" s="1476"/>
      <c r="H103" s="1476"/>
      <c r="I103" s="1476"/>
      <c r="J103" s="1476"/>
      <c r="K103" s="1476"/>
      <c r="L103" s="624"/>
      <c r="M103" s="1474"/>
      <c r="N103" s="1474"/>
      <c r="O103" s="1474"/>
      <c r="P103" s="1467"/>
      <c r="Q103" s="581"/>
      <c r="R103" s="581"/>
      <c r="S103" s="581"/>
      <c r="T103" s="581"/>
      <c r="U103" s="581"/>
      <c r="V103" s="581"/>
      <c r="W103" s="1475"/>
      <c r="X103" s="581"/>
      <c r="Y103" s="581"/>
    </row>
    <row r="104">
      <c r="A104" s="581"/>
      <c r="B104" s="1467"/>
      <c r="C104" s="624"/>
      <c r="D104" s="624"/>
      <c r="E104" s="624"/>
      <c r="F104" s="624"/>
      <c r="G104" s="1476"/>
      <c r="H104" s="1476"/>
      <c r="I104" s="1476"/>
      <c r="J104" s="1476"/>
      <c r="K104" s="1476"/>
      <c r="L104" s="624"/>
      <c r="M104" s="1474"/>
      <c r="N104" s="1474"/>
      <c r="O104" s="1474"/>
      <c r="P104" s="1467"/>
      <c r="Q104" s="581"/>
      <c r="R104" s="581"/>
      <c r="S104" s="581"/>
      <c r="T104" s="581"/>
      <c r="U104" s="581"/>
      <c r="V104" s="581"/>
      <c r="W104" s="1475"/>
      <c r="X104" s="581"/>
      <c r="Y104" s="581"/>
    </row>
    <row r="105">
      <c r="A105" s="581"/>
      <c r="B105" s="1467"/>
      <c r="C105" s="624"/>
      <c r="D105" s="624"/>
      <c r="E105" s="624"/>
      <c r="F105" s="624"/>
      <c r="G105" s="1476"/>
      <c r="H105" s="1476"/>
      <c r="I105" s="1476"/>
      <c r="J105" s="1476"/>
      <c r="K105" s="1476"/>
      <c r="L105" s="624"/>
      <c r="M105" s="1474"/>
      <c r="N105" s="1474"/>
      <c r="O105" s="1474"/>
      <c r="P105" s="1467"/>
      <c r="Q105" s="581"/>
      <c r="R105" s="581"/>
      <c r="S105" s="581"/>
      <c r="T105" s="581"/>
      <c r="U105" s="581"/>
      <c r="V105" s="581"/>
      <c r="W105" s="1475"/>
      <c r="X105" s="581"/>
      <c r="Y105" s="581"/>
    </row>
    <row r="106">
      <c r="A106" s="581"/>
      <c r="B106" s="1467"/>
      <c r="C106" s="624"/>
      <c r="D106" s="624"/>
      <c r="E106" s="624"/>
      <c r="F106" s="624"/>
      <c r="G106" s="1476"/>
      <c r="H106" s="1476"/>
      <c r="I106" s="1476"/>
      <c r="J106" s="1476"/>
      <c r="K106" s="1476"/>
      <c r="L106" s="624"/>
      <c r="M106" s="1474"/>
      <c r="N106" s="1474"/>
      <c r="O106" s="1474"/>
      <c r="P106" s="1467"/>
      <c r="Q106" s="581"/>
      <c r="R106" s="581"/>
      <c r="S106" s="581"/>
      <c r="T106" s="581"/>
      <c r="U106" s="581"/>
      <c r="V106" s="581"/>
      <c r="W106" s="1475"/>
      <c r="X106" s="581"/>
      <c r="Y106" s="581"/>
    </row>
    <row r="107">
      <c r="A107" s="581"/>
      <c r="B107" s="1467"/>
      <c r="C107" s="624"/>
      <c r="D107" s="624"/>
      <c r="E107" s="624"/>
      <c r="F107" s="624"/>
      <c r="G107" s="1476"/>
      <c r="H107" s="1476"/>
      <c r="I107" s="1476"/>
      <c r="J107" s="1476"/>
      <c r="K107" s="1476"/>
      <c r="L107" s="624"/>
      <c r="M107" s="1474"/>
      <c r="N107" s="1474"/>
      <c r="O107" s="1474"/>
      <c r="P107" s="1467"/>
      <c r="Q107" s="581"/>
      <c r="R107" s="581"/>
      <c r="S107" s="581"/>
      <c r="T107" s="581"/>
      <c r="U107" s="581"/>
      <c r="V107" s="581"/>
      <c r="W107" s="1475"/>
      <c r="X107" s="581"/>
      <c r="Y107" s="581"/>
    </row>
    <row r="108">
      <c r="A108" s="581"/>
      <c r="B108" s="1467"/>
      <c r="C108" s="624"/>
      <c r="D108" s="624"/>
      <c r="E108" s="624"/>
      <c r="F108" s="624"/>
      <c r="G108" s="1476"/>
      <c r="H108" s="1476"/>
      <c r="I108" s="1476"/>
      <c r="J108" s="1476"/>
      <c r="K108" s="1476"/>
      <c r="L108" s="624"/>
      <c r="M108" s="1474"/>
      <c r="N108" s="1474"/>
      <c r="O108" s="1474"/>
      <c r="P108" s="1467"/>
      <c r="Q108" s="581"/>
      <c r="R108" s="581"/>
      <c r="S108" s="581"/>
      <c r="T108" s="581"/>
      <c r="U108" s="581"/>
      <c r="V108" s="581"/>
      <c r="W108" s="1475"/>
      <c r="X108" s="581"/>
      <c r="Y108" s="581"/>
    </row>
    <row r="109">
      <c r="A109" s="581"/>
      <c r="B109" s="1467"/>
      <c r="C109" s="624"/>
      <c r="D109" s="624"/>
      <c r="E109" s="624"/>
      <c r="F109" s="624"/>
      <c r="G109" s="1476"/>
      <c r="H109" s="1476"/>
      <c r="I109" s="1476"/>
      <c r="J109" s="1476"/>
      <c r="K109" s="1476"/>
      <c r="L109" s="624"/>
      <c r="M109" s="1474"/>
      <c r="N109" s="1474"/>
      <c r="O109" s="1474"/>
      <c r="P109" s="1467"/>
      <c r="Q109" s="581"/>
      <c r="R109" s="581"/>
      <c r="S109" s="581"/>
      <c r="T109" s="581"/>
      <c r="U109" s="581"/>
      <c r="V109" s="581"/>
      <c r="W109" s="1475"/>
      <c r="X109" s="581"/>
      <c r="Y109" s="581"/>
    </row>
    <row r="110">
      <c r="A110" s="581"/>
      <c r="B110" s="1467"/>
      <c r="C110" s="624"/>
      <c r="D110" s="624"/>
      <c r="E110" s="624"/>
      <c r="F110" s="624"/>
      <c r="G110" s="1476"/>
      <c r="H110" s="1476"/>
      <c r="I110" s="1476"/>
      <c r="J110" s="1476"/>
      <c r="K110" s="1476"/>
      <c r="L110" s="624"/>
      <c r="M110" s="1474"/>
      <c r="N110" s="1474"/>
      <c r="O110" s="1474"/>
      <c r="P110" s="1467"/>
      <c r="Q110" s="581"/>
      <c r="R110" s="581"/>
      <c r="S110" s="581"/>
      <c r="T110" s="581"/>
      <c r="U110" s="581"/>
      <c r="V110" s="581"/>
      <c r="W110" s="1475"/>
      <c r="X110" s="581"/>
      <c r="Y110" s="581"/>
    </row>
    <row r="111">
      <c r="A111" s="581"/>
      <c r="B111" s="1467"/>
      <c r="C111" s="624"/>
      <c r="D111" s="624"/>
      <c r="E111" s="624"/>
      <c r="F111" s="624"/>
      <c r="G111" s="1476"/>
      <c r="H111" s="1476"/>
      <c r="I111" s="1476"/>
      <c r="J111" s="1476"/>
      <c r="K111" s="1476"/>
      <c r="L111" s="624"/>
      <c r="M111" s="1474"/>
      <c r="N111" s="1474"/>
      <c r="O111" s="1474"/>
      <c r="P111" s="1467"/>
      <c r="Q111" s="581"/>
      <c r="R111" s="581"/>
      <c r="S111" s="581"/>
      <c r="T111" s="581"/>
      <c r="U111" s="581"/>
      <c r="V111" s="581"/>
      <c r="W111" s="1475"/>
      <c r="X111" s="581"/>
      <c r="Y111" s="581"/>
    </row>
    <row r="112">
      <c r="A112" s="581"/>
      <c r="B112" s="1467"/>
      <c r="C112" s="624"/>
      <c r="D112" s="624"/>
      <c r="E112" s="624"/>
      <c r="F112" s="624"/>
      <c r="G112" s="1476"/>
      <c r="H112" s="1476"/>
      <c r="I112" s="1476"/>
      <c r="J112" s="1476"/>
      <c r="K112" s="1476"/>
      <c r="L112" s="624"/>
      <c r="M112" s="1474"/>
      <c r="N112" s="1474"/>
      <c r="O112" s="1474"/>
      <c r="P112" s="1467"/>
      <c r="Q112" s="581"/>
      <c r="R112" s="581"/>
      <c r="S112" s="581"/>
      <c r="T112" s="581"/>
      <c r="U112" s="581"/>
      <c r="V112" s="581"/>
      <c r="W112" s="1475"/>
      <c r="X112" s="581"/>
      <c r="Y112" s="581"/>
    </row>
    <row r="113">
      <c r="A113" s="581"/>
      <c r="B113" s="1467"/>
      <c r="C113" s="624"/>
      <c r="D113" s="624"/>
      <c r="E113" s="624"/>
      <c r="F113" s="624"/>
      <c r="G113" s="1476"/>
      <c r="H113" s="1476"/>
      <c r="I113" s="1476"/>
      <c r="J113" s="1476"/>
      <c r="K113" s="1476"/>
      <c r="L113" s="624"/>
      <c r="M113" s="1474"/>
      <c r="N113" s="1474"/>
      <c r="O113" s="1474"/>
      <c r="P113" s="1467"/>
      <c r="Q113" s="581"/>
      <c r="R113" s="581"/>
      <c r="S113" s="581"/>
      <c r="T113" s="581"/>
      <c r="U113" s="581"/>
      <c r="V113" s="581"/>
      <c r="W113" s="1475"/>
      <c r="X113" s="581"/>
      <c r="Y113" s="581"/>
    </row>
    <row r="114">
      <c r="A114" s="581"/>
      <c r="B114" s="1467"/>
      <c r="C114" s="624"/>
      <c r="D114" s="624"/>
      <c r="E114" s="624"/>
      <c r="F114" s="624"/>
      <c r="G114" s="1476"/>
      <c r="H114" s="1476"/>
      <c r="I114" s="1476"/>
      <c r="J114" s="1476"/>
      <c r="K114" s="1476"/>
      <c r="L114" s="624"/>
      <c r="M114" s="1474"/>
      <c r="N114" s="1474"/>
      <c r="O114" s="1474"/>
      <c r="P114" s="1467"/>
      <c r="Q114" s="581"/>
      <c r="R114" s="581"/>
      <c r="S114" s="581"/>
      <c r="T114" s="581"/>
      <c r="U114" s="581"/>
      <c r="V114" s="581"/>
      <c r="W114" s="1475"/>
      <c r="X114" s="581"/>
      <c r="Y114" s="581"/>
    </row>
    <row r="115">
      <c r="A115" s="581"/>
      <c r="B115" s="1467"/>
      <c r="C115" s="624"/>
      <c r="D115" s="624"/>
      <c r="E115" s="624"/>
      <c r="F115" s="624"/>
      <c r="G115" s="1476"/>
      <c r="H115" s="1476"/>
      <c r="I115" s="1476"/>
      <c r="J115" s="1476"/>
      <c r="K115" s="1476"/>
      <c r="L115" s="624"/>
      <c r="M115" s="1474"/>
      <c r="N115" s="1474"/>
      <c r="O115" s="1474"/>
      <c r="P115" s="1467"/>
      <c r="Q115" s="581"/>
      <c r="R115" s="581"/>
      <c r="S115" s="581"/>
      <c r="T115" s="581"/>
      <c r="U115" s="581"/>
      <c r="V115" s="581"/>
      <c r="W115" s="1475"/>
      <c r="X115" s="581"/>
      <c r="Y115" s="581"/>
    </row>
    <row r="116">
      <c r="A116" s="581"/>
      <c r="B116" s="1467"/>
      <c r="C116" s="624"/>
      <c r="D116" s="624"/>
      <c r="E116" s="624"/>
      <c r="F116" s="624"/>
      <c r="G116" s="1476"/>
      <c r="H116" s="1476"/>
      <c r="I116" s="1476"/>
      <c r="J116" s="1476"/>
      <c r="K116" s="1476"/>
      <c r="L116" s="624"/>
      <c r="M116" s="1474"/>
      <c r="N116" s="1474"/>
      <c r="O116" s="1474"/>
      <c r="P116" s="1467"/>
      <c r="Q116" s="581"/>
      <c r="R116" s="581"/>
      <c r="S116" s="581"/>
      <c r="T116" s="581"/>
      <c r="U116" s="581"/>
      <c r="V116" s="581"/>
      <c r="W116" s="1475"/>
      <c r="X116" s="581"/>
      <c r="Y116" s="581"/>
    </row>
    <row r="117">
      <c r="A117" s="581"/>
      <c r="B117" s="1467"/>
      <c r="C117" s="624"/>
      <c r="D117" s="624"/>
      <c r="E117" s="624"/>
      <c r="F117" s="624"/>
      <c r="G117" s="1476"/>
      <c r="H117" s="1476"/>
      <c r="I117" s="1476"/>
      <c r="J117" s="1476"/>
      <c r="K117" s="1476"/>
      <c r="L117" s="624"/>
      <c r="M117" s="1474"/>
      <c r="N117" s="1474"/>
      <c r="O117" s="1474"/>
      <c r="P117" s="1467"/>
      <c r="Q117" s="581"/>
      <c r="R117" s="581"/>
      <c r="S117" s="581"/>
      <c r="T117" s="581"/>
      <c r="U117" s="581"/>
      <c r="V117" s="581"/>
      <c r="W117" s="1475"/>
      <c r="X117" s="581"/>
      <c r="Y117" s="581"/>
    </row>
    <row r="118">
      <c r="A118" s="581"/>
      <c r="B118" s="1467"/>
      <c r="C118" s="624"/>
      <c r="D118" s="624"/>
      <c r="E118" s="624"/>
      <c r="F118" s="624"/>
      <c r="G118" s="1476"/>
      <c r="H118" s="1476"/>
      <c r="I118" s="1476"/>
      <c r="J118" s="1476"/>
      <c r="K118" s="1476"/>
      <c r="L118" s="624"/>
      <c r="M118" s="1474"/>
      <c r="N118" s="1474"/>
      <c r="O118" s="1474"/>
      <c r="P118" s="1467"/>
      <c r="Q118" s="581"/>
      <c r="R118" s="581"/>
      <c r="S118" s="581"/>
      <c r="T118" s="581"/>
      <c r="U118" s="581"/>
      <c r="V118" s="581"/>
      <c r="W118" s="1475"/>
      <c r="X118" s="581"/>
      <c r="Y118" s="581"/>
    </row>
    <row r="119">
      <c r="A119" s="581"/>
      <c r="B119" s="1467"/>
      <c r="C119" s="624"/>
      <c r="D119" s="624"/>
      <c r="E119" s="624"/>
      <c r="F119" s="624"/>
      <c r="G119" s="1476"/>
      <c r="H119" s="1476"/>
      <c r="I119" s="1476"/>
      <c r="J119" s="1476"/>
      <c r="K119" s="1476"/>
      <c r="L119" s="624"/>
      <c r="M119" s="1474"/>
      <c r="N119" s="1474"/>
      <c r="O119" s="1474"/>
      <c r="P119" s="1467"/>
      <c r="Q119" s="581"/>
      <c r="R119" s="581"/>
      <c r="S119" s="581"/>
      <c r="T119" s="581"/>
      <c r="U119" s="581"/>
      <c r="V119" s="581"/>
      <c r="W119" s="1475"/>
      <c r="X119" s="581"/>
      <c r="Y119" s="581"/>
    </row>
    <row r="120">
      <c r="A120" s="581"/>
      <c r="B120" s="1467"/>
      <c r="C120" s="624"/>
      <c r="D120" s="624"/>
      <c r="E120" s="624"/>
      <c r="F120" s="624"/>
      <c r="G120" s="1476"/>
      <c r="H120" s="1476"/>
      <c r="I120" s="1476"/>
      <c r="J120" s="1476"/>
      <c r="K120" s="1476"/>
      <c r="L120" s="624"/>
      <c r="M120" s="1474"/>
      <c r="N120" s="1474"/>
      <c r="O120" s="1474"/>
      <c r="P120" s="1467"/>
      <c r="Q120" s="581"/>
      <c r="R120" s="581"/>
      <c r="S120" s="581"/>
      <c r="T120" s="581"/>
      <c r="U120" s="581"/>
      <c r="V120" s="581"/>
      <c r="W120" s="1475"/>
      <c r="X120" s="581"/>
      <c r="Y120" s="581"/>
    </row>
    <row r="121">
      <c r="A121" s="581"/>
      <c r="B121" s="1467"/>
      <c r="C121" s="624"/>
      <c r="D121" s="624"/>
      <c r="E121" s="624"/>
      <c r="F121" s="624"/>
      <c r="G121" s="1476"/>
      <c r="H121" s="1476"/>
      <c r="I121" s="1476"/>
      <c r="J121" s="1476"/>
      <c r="K121" s="1476"/>
      <c r="L121" s="624"/>
      <c r="M121" s="1474"/>
      <c r="N121" s="1474"/>
      <c r="O121" s="1474"/>
      <c r="P121" s="1467"/>
      <c r="Q121" s="581"/>
      <c r="R121" s="581"/>
      <c r="S121" s="581"/>
      <c r="T121" s="581"/>
      <c r="U121" s="581"/>
      <c r="V121" s="581"/>
      <c r="W121" s="1475"/>
      <c r="X121" s="581"/>
      <c r="Y121" s="581"/>
    </row>
    <row r="122">
      <c r="A122" s="581"/>
      <c r="B122" s="1467"/>
      <c r="C122" s="624"/>
      <c r="D122" s="624"/>
      <c r="E122" s="624"/>
      <c r="F122" s="624"/>
      <c r="G122" s="1476"/>
      <c r="H122" s="1476"/>
      <c r="I122" s="1476"/>
      <c r="J122" s="1476"/>
      <c r="K122" s="1476"/>
      <c r="L122" s="624"/>
      <c r="M122" s="1474"/>
      <c r="N122" s="1474"/>
      <c r="O122" s="1474"/>
      <c r="P122" s="1467"/>
      <c r="Q122" s="581"/>
      <c r="R122" s="581"/>
      <c r="S122" s="581"/>
      <c r="T122" s="581"/>
      <c r="U122" s="581"/>
      <c r="V122" s="581"/>
      <c r="W122" s="1475"/>
      <c r="X122" s="581"/>
      <c r="Y122" s="581"/>
    </row>
    <row r="123">
      <c r="A123" s="581"/>
      <c r="B123" s="1467"/>
      <c r="C123" s="624"/>
      <c r="D123" s="624"/>
      <c r="E123" s="624"/>
      <c r="F123" s="624"/>
      <c r="G123" s="1476"/>
      <c r="H123" s="1476"/>
      <c r="I123" s="1476"/>
      <c r="J123" s="1476"/>
      <c r="K123" s="1476"/>
      <c r="L123" s="624"/>
      <c r="M123" s="1474"/>
      <c r="N123" s="1474"/>
      <c r="O123" s="1474"/>
      <c r="P123" s="1467"/>
      <c r="Q123" s="581"/>
      <c r="R123" s="581"/>
      <c r="S123" s="581"/>
      <c r="T123" s="581"/>
      <c r="U123" s="581"/>
      <c r="V123" s="581"/>
      <c r="W123" s="1475"/>
      <c r="X123" s="581"/>
      <c r="Y123" s="581"/>
    </row>
    <row r="124">
      <c r="A124" s="581"/>
      <c r="B124" s="1467"/>
      <c r="C124" s="624"/>
      <c r="D124" s="624"/>
      <c r="E124" s="624"/>
      <c r="F124" s="624"/>
      <c r="G124" s="1476"/>
      <c r="H124" s="1476"/>
      <c r="I124" s="1476"/>
      <c r="J124" s="1476"/>
      <c r="K124" s="1476"/>
      <c r="L124" s="624"/>
      <c r="M124" s="1474"/>
      <c r="N124" s="1474"/>
      <c r="O124" s="1474"/>
      <c r="P124" s="1467"/>
      <c r="Q124" s="581"/>
      <c r="R124" s="581"/>
      <c r="S124" s="581"/>
      <c r="T124" s="581"/>
      <c r="U124" s="581"/>
      <c r="V124" s="581"/>
      <c r="W124" s="1475"/>
      <c r="X124" s="581"/>
      <c r="Y124" s="581"/>
    </row>
    <row r="125">
      <c r="A125" s="581"/>
      <c r="B125" s="1467"/>
      <c r="C125" s="624"/>
      <c r="D125" s="624"/>
      <c r="E125" s="624"/>
      <c r="F125" s="624"/>
      <c r="G125" s="1476"/>
      <c r="H125" s="1476"/>
      <c r="I125" s="1476"/>
      <c r="J125" s="1476"/>
      <c r="K125" s="1476"/>
      <c r="L125" s="624"/>
      <c r="M125" s="1474"/>
      <c r="N125" s="1474"/>
      <c r="O125" s="1474"/>
      <c r="P125" s="1467"/>
      <c r="Q125" s="581"/>
      <c r="R125" s="581"/>
      <c r="S125" s="581"/>
      <c r="T125" s="581"/>
      <c r="U125" s="581"/>
      <c r="V125" s="581"/>
      <c r="W125" s="1475"/>
      <c r="X125" s="581"/>
      <c r="Y125" s="581"/>
    </row>
    <row r="126">
      <c r="A126" s="581"/>
      <c r="B126" s="1467"/>
      <c r="C126" s="624"/>
      <c r="D126" s="624"/>
      <c r="E126" s="624"/>
      <c r="F126" s="624"/>
      <c r="G126" s="1476"/>
      <c r="H126" s="1476"/>
      <c r="I126" s="1476"/>
      <c r="J126" s="1476"/>
      <c r="K126" s="1476"/>
      <c r="L126" s="624"/>
      <c r="M126" s="1474"/>
      <c r="N126" s="1474"/>
      <c r="O126" s="1474"/>
      <c r="P126" s="1467"/>
      <c r="Q126" s="581"/>
      <c r="R126" s="581"/>
      <c r="S126" s="581"/>
      <c r="T126" s="581"/>
      <c r="U126" s="581"/>
      <c r="V126" s="581"/>
      <c r="W126" s="1475"/>
      <c r="X126" s="581"/>
      <c r="Y126" s="581"/>
    </row>
    <row r="127">
      <c r="A127" s="581"/>
      <c r="B127" s="1467"/>
      <c r="C127" s="624"/>
      <c r="D127" s="624"/>
      <c r="E127" s="624"/>
      <c r="F127" s="624"/>
      <c r="G127" s="1476"/>
      <c r="H127" s="1476"/>
      <c r="I127" s="1476"/>
      <c r="J127" s="1476"/>
      <c r="K127" s="1476"/>
      <c r="L127" s="624"/>
      <c r="M127" s="1474"/>
      <c r="N127" s="1474"/>
      <c r="O127" s="1474"/>
      <c r="P127" s="1467"/>
      <c r="Q127" s="581"/>
      <c r="R127" s="581"/>
      <c r="S127" s="581"/>
      <c r="T127" s="581"/>
      <c r="U127" s="581"/>
      <c r="V127" s="581"/>
      <c r="W127" s="1475"/>
      <c r="X127" s="581"/>
      <c r="Y127" s="581"/>
    </row>
    <row r="128">
      <c r="A128" s="581"/>
      <c r="B128" s="1467"/>
      <c r="C128" s="624"/>
      <c r="D128" s="624"/>
      <c r="E128" s="624"/>
      <c r="F128" s="624"/>
      <c r="G128" s="1476"/>
      <c r="H128" s="1476"/>
      <c r="I128" s="1476"/>
      <c r="J128" s="1476"/>
      <c r="K128" s="1476"/>
      <c r="L128" s="624"/>
      <c r="M128" s="1474"/>
      <c r="N128" s="1474"/>
      <c r="O128" s="1474"/>
      <c r="P128" s="1467"/>
      <c r="Q128" s="581"/>
      <c r="R128" s="581"/>
      <c r="S128" s="581"/>
      <c r="T128" s="581"/>
      <c r="U128" s="581"/>
      <c r="V128" s="581"/>
      <c r="W128" s="1475"/>
      <c r="X128" s="581"/>
      <c r="Y128" s="581"/>
    </row>
    <row r="129">
      <c r="A129" s="581"/>
      <c r="B129" s="1467"/>
      <c r="C129" s="624"/>
      <c r="D129" s="624"/>
      <c r="E129" s="624"/>
      <c r="F129" s="624"/>
      <c r="G129" s="1476"/>
      <c r="H129" s="1476"/>
      <c r="I129" s="1476"/>
      <c r="J129" s="1476"/>
      <c r="K129" s="1476"/>
      <c r="L129" s="624"/>
      <c r="M129" s="1474"/>
      <c r="N129" s="1474"/>
      <c r="O129" s="1474"/>
      <c r="P129" s="1467"/>
      <c r="Q129" s="581"/>
      <c r="R129" s="581"/>
      <c r="S129" s="581"/>
      <c r="T129" s="581"/>
      <c r="U129" s="581"/>
      <c r="V129" s="581"/>
      <c r="W129" s="1475"/>
      <c r="X129" s="581"/>
      <c r="Y129" s="581"/>
    </row>
    <row r="130">
      <c r="A130" s="581"/>
      <c r="B130" s="1467"/>
      <c r="C130" s="624"/>
      <c r="D130" s="624"/>
      <c r="E130" s="624"/>
      <c r="F130" s="624"/>
      <c r="G130" s="1476"/>
      <c r="H130" s="1476"/>
      <c r="I130" s="1476"/>
      <c r="J130" s="1476"/>
      <c r="K130" s="1476"/>
      <c r="L130" s="624"/>
      <c r="M130" s="1474"/>
      <c r="N130" s="1474"/>
      <c r="O130" s="1474"/>
      <c r="P130" s="1467"/>
      <c r="Q130" s="581"/>
      <c r="R130" s="581"/>
      <c r="S130" s="581"/>
      <c r="T130" s="581"/>
      <c r="U130" s="581"/>
      <c r="V130" s="581"/>
      <c r="W130" s="1475"/>
      <c r="X130" s="581"/>
      <c r="Y130" s="581"/>
    </row>
    <row r="131">
      <c r="A131" s="581"/>
      <c r="B131" s="1467"/>
      <c r="C131" s="624"/>
      <c r="D131" s="624"/>
      <c r="E131" s="624"/>
      <c r="F131" s="624"/>
      <c r="G131" s="1476"/>
      <c r="H131" s="1476"/>
      <c r="I131" s="1476"/>
      <c r="J131" s="1476"/>
      <c r="K131" s="1476"/>
      <c r="L131" s="624"/>
      <c r="M131" s="1474"/>
      <c r="N131" s="1474"/>
      <c r="O131" s="1474"/>
      <c r="P131" s="1467"/>
      <c r="Q131" s="581"/>
      <c r="R131" s="581"/>
      <c r="S131" s="581"/>
      <c r="T131" s="581"/>
      <c r="U131" s="581"/>
      <c r="V131" s="581"/>
      <c r="W131" s="1475"/>
      <c r="X131" s="581"/>
      <c r="Y131" s="581"/>
    </row>
    <row r="132">
      <c r="A132" s="581"/>
      <c r="B132" s="1467"/>
      <c r="C132" s="624"/>
      <c r="D132" s="624"/>
      <c r="E132" s="624"/>
      <c r="F132" s="624"/>
      <c r="G132" s="1476"/>
      <c r="H132" s="1476"/>
      <c r="I132" s="1476"/>
      <c r="J132" s="1476"/>
      <c r="K132" s="1476"/>
      <c r="L132" s="624"/>
      <c r="M132" s="1474"/>
      <c r="N132" s="1474"/>
      <c r="O132" s="1474"/>
      <c r="P132" s="1467"/>
      <c r="Q132" s="581"/>
      <c r="R132" s="581"/>
      <c r="S132" s="581"/>
      <c r="T132" s="581"/>
      <c r="U132" s="581"/>
      <c r="V132" s="581"/>
      <c r="W132" s="1475"/>
      <c r="X132" s="581"/>
      <c r="Y132" s="581"/>
    </row>
    <row r="133">
      <c r="A133" s="581"/>
      <c r="B133" s="1467"/>
      <c r="C133" s="624"/>
      <c r="D133" s="624"/>
      <c r="E133" s="624"/>
      <c r="F133" s="624"/>
      <c r="G133" s="1476"/>
      <c r="H133" s="1476"/>
      <c r="I133" s="1476"/>
      <c r="J133" s="1476"/>
      <c r="K133" s="1476"/>
      <c r="L133" s="624"/>
      <c r="M133" s="1474"/>
      <c r="N133" s="1474"/>
      <c r="O133" s="1474"/>
      <c r="P133" s="1467"/>
      <c r="Q133" s="581"/>
      <c r="R133" s="581"/>
      <c r="S133" s="581"/>
      <c r="T133" s="581"/>
      <c r="U133" s="581"/>
      <c r="V133" s="581"/>
      <c r="W133" s="1475"/>
      <c r="X133" s="581"/>
      <c r="Y133" s="581"/>
    </row>
    <row r="134">
      <c r="A134" s="581"/>
      <c r="B134" s="1467"/>
      <c r="C134" s="624"/>
      <c r="D134" s="624"/>
      <c r="E134" s="624"/>
      <c r="F134" s="624"/>
      <c r="G134" s="1476"/>
      <c r="H134" s="1476"/>
      <c r="I134" s="1476"/>
      <c r="J134" s="1476"/>
      <c r="K134" s="1476"/>
      <c r="L134" s="624"/>
      <c r="M134" s="1474"/>
      <c r="N134" s="1474"/>
      <c r="O134" s="1474"/>
      <c r="P134" s="1467"/>
      <c r="Q134" s="581"/>
      <c r="R134" s="581"/>
      <c r="S134" s="581"/>
      <c r="T134" s="581"/>
      <c r="U134" s="581"/>
      <c r="V134" s="581"/>
      <c r="W134" s="1475"/>
      <c r="X134" s="581"/>
      <c r="Y134" s="581"/>
    </row>
    <row r="135">
      <c r="A135" s="581"/>
      <c r="B135" s="1467"/>
      <c r="C135" s="624"/>
      <c r="D135" s="624"/>
      <c r="E135" s="624"/>
      <c r="F135" s="624"/>
      <c r="G135" s="1476"/>
      <c r="H135" s="1476"/>
      <c r="I135" s="1476"/>
      <c r="J135" s="1476"/>
      <c r="K135" s="1476"/>
      <c r="L135" s="624"/>
      <c r="M135" s="1474"/>
      <c r="N135" s="1474"/>
      <c r="O135" s="1474"/>
      <c r="P135" s="1467"/>
      <c r="Q135" s="581"/>
      <c r="R135" s="581"/>
      <c r="S135" s="581"/>
      <c r="T135" s="581"/>
      <c r="U135" s="581"/>
      <c r="V135" s="581"/>
      <c r="W135" s="1475"/>
      <c r="X135" s="581"/>
      <c r="Y135" s="581"/>
    </row>
    <row r="136">
      <c r="A136" s="581"/>
      <c r="B136" s="1467"/>
      <c r="C136" s="624"/>
      <c r="D136" s="624"/>
      <c r="E136" s="624"/>
      <c r="F136" s="624"/>
      <c r="G136" s="1476"/>
      <c r="H136" s="1476"/>
      <c r="I136" s="1476"/>
      <c r="J136" s="1476"/>
      <c r="K136" s="1476"/>
      <c r="L136" s="624"/>
      <c r="M136" s="1474"/>
      <c r="N136" s="1474"/>
      <c r="O136" s="1474"/>
      <c r="P136" s="1467"/>
      <c r="Q136" s="581"/>
      <c r="R136" s="581"/>
      <c r="S136" s="581"/>
      <c r="T136" s="581"/>
      <c r="U136" s="581"/>
      <c r="V136" s="581"/>
      <c r="W136" s="1475"/>
      <c r="X136" s="581"/>
      <c r="Y136" s="581"/>
    </row>
    <row r="137">
      <c r="A137" s="581"/>
      <c r="B137" s="1467"/>
      <c r="C137" s="624"/>
      <c r="D137" s="624"/>
      <c r="E137" s="624"/>
      <c r="F137" s="624"/>
      <c r="G137" s="1476"/>
      <c r="H137" s="1476"/>
      <c r="I137" s="1476"/>
      <c r="J137" s="1476"/>
      <c r="K137" s="1476"/>
      <c r="L137" s="624"/>
      <c r="M137" s="1474"/>
      <c r="N137" s="1474"/>
      <c r="O137" s="1474"/>
      <c r="P137" s="1467"/>
      <c r="Q137" s="581"/>
      <c r="R137" s="581"/>
      <c r="S137" s="581"/>
      <c r="T137" s="581"/>
      <c r="U137" s="581"/>
      <c r="V137" s="581"/>
      <c r="W137" s="1475"/>
      <c r="X137" s="581"/>
      <c r="Y137" s="581"/>
    </row>
    <row r="138">
      <c r="A138" s="581"/>
      <c r="B138" s="1467"/>
      <c r="C138" s="624"/>
      <c r="D138" s="624"/>
      <c r="E138" s="624"/>
      <c r="F138" s="624"/>
      <c r="G138" s="1476"/>
      <c r="H138" s="1476"/>
      <c r="I138" s="1476"/>
      <c r="J138" s="1476"/>
      <c r="K138" s="1476"/>
      <c r="L138" s="624"/>
      <c r="M138" s="1474"/>
      <c r="N138" s="1474"/>
      <c r="O138" s="1474"/>
      <c r="P138" s="1467"/>
      <c r="Q138" s="581"/>
      <c r="R138" s="581"/>
      <c r="S138" s="581"/>
      <c r="T138" s="581"/>
      <c r="U138" s="581"/>
      <c r="V138" s="581"/>
      <c r="W138" s="1475"/>
      <c r="X138" s="581"/>
      <c r="Y138" s="581"/>
    </row>
    <row r="139">
      <c r="A139" s="581"/>
      <c r="B139" s="1467"/>
      <c r="C139" s="624"/>
      <c r="D139" s="624"/>
      <c r="E139" s="624"/>
      <c r="F139" s="624"/>
      <c r="G139" s="1476"/>
      <c r="H139" s="1476"/>
      <c r="I139" s="1476"/>
      <c r="J139" s="1476"/>
      <c r="K139" s="1476"/>
      <c r="L139" s="624"/>
      <c r="M139" s="1474"/>
      <c r="N139" s="1474"/>
      <c r="O139" s="1474"/>
      <c r="P139" s="1467"/>
      <c r="Q139" s="581"/>
      <c r="R139" s="581"/>
      <c r="S139" s="581"/>
      <c r="T139" s="581"/>
      <c r="U139" s="581"/>
      <c r="V139" s="581"/>
      <c r="W139" s="1475"/>
      <c r="X139" s="581"/>
      <c r="Y139" s="581"/>
    </row>
    <row r="140">
      <c r="A140" s="581"/>
      <c r="B140" s="1467"/>
      <c r="C140" s="624"/>
      <c r="D140" s="624"/>
      <c r="E140" s="624"/>
      <c r="F140" s="624"/>
      <c r="G140" s="1476"/>
      <c r="H140" s="1476"/>
      <c r="I140" s="1476"/>
      <c r="J140" s="1476"/>
      <c r="K140" s="1476"/>
      <c r="L140" s="624"/>
      <c r="M140" s="1474"/>
      <c r="N140" s="1474"/>
      <c r="O140" s="1474"/>
      <c r="P140" s="1467"/>
      <c r="Q140" s="581"/>
      <c r="R140" s="581"/>
      <c r="S140" s="581"/>
      <c r="T140" s="581"/>
      <c r="U140" s="581"/>
      <c r="V140" s="581"/>
      <c r="W140" s="1475"/>
      <c r="X140" s="581"/>
      <c r="Y140" s="581"/>
    </row>
    <row r="141">
      <c r="A141" s="581"/>
      <c r="B141" s="1467"/>
      <c r="C141" s="624"/>
      <c r="D141" s="624"/>
      <c r="E141" s="624"/>
      <c r="F141" s="624"/>
      <c r="G141" s="1476"/>
      <c r="H141" s="1476"/>
      <c r="I141" s="1476"/>
      <c r="J141" s="1476"/>
      <c r="K141" s="1476"/>
      <c r="L141" s="624"/>
      <c r="M141" s="1474"/>
      <c r="N141" s="1474"/>
      <c r="O141" s="1474"/>
      <c r="P141" s="1467"/>
      <c r="Q141" s="581"/>
      <c r="R141" s="581"/>
      <c r="S141" s="581"/>
      <c r="T141" s="581"/>
      <c r="U141" s="581"/>
      <c r="V141" s="581"/>
      <c r="W141" s="1475"/>
      <c r="X141" s="581"/>
      <c r="Y141" s="581"/>
    </row>
    <row r="142">
      <c r="A142" s="581"/>
      <c r="B142" s="1467"/>
      <c r="C142" s="624"/>
      <c r="D142" s="624"/>
      <c r="E142" s="624"/>
      <c r="F142" s="624"/>
      <c r="G142" s="1476"/>
      <c r="H142" s="1476"/>
      <c r="I142" s="1476"/>
      <c r="J142" s="1476"/>
      <c r="K142" s="1476"/>
      <c r="L142" s="624"/>
      <c r="M142" s="1474"/>
      <c r="N142" s="1474"/>
      <c r="O142" s="1474"/>
      <c r="P142" s="1467"/>
      <c r="Q142" s="581"/>
      <c r="R142" s="581"/>
      <c r="S142" s="581"/>
      <c r="T142" s="581"/>
      <c r="U142" s="581"/>
      <c r="V142" s="581"/>
      <c r="W142" s="1475"/>
      <c r="X142" s="581"/>
      <c r="Y142" s="581"/>
    </row>
    <row r="143">
      <c r="A143" s="581"/>
      <c r="B143" s="1467"/>
      <c r="C143" s="624"/>
      <c r="D143" s="624"/>
      <c r="E143" s="624"/>
      <c r="F143" s="624"/>
      <c r="G143" s="1476"/>
      <c r="H143" s="1476"/>
      <c r="I143" s="1476"/>
      <c r="J143" s="1476"/>
      <c r="K143" s="1476"/>
      <c r="L143" s="624"/>
      <c r="M143" s="1474"/>
      <c r="N143" s="1474"/>
      <c r="O143" s="1474"/>
      <c r="P143" s="1467"/>
      <c r="Q143" s="581"/>
      <c r="R143" s="581"/>
      <c r="S143" s="581"/>
      <c r="T143" s="581"/>
      <c r="U143" s="581"/>
      <c r="V143" s="581"/>
      <c r="W143" s="1475"/>
      <c r="X143" s="581"/>
      <c r="Y143" s="581"/>
    </row>
    <row r="144">
      <c r="A144" s="581"/>
      <c r="B144" s="1467"/>
      <c r="C144" s="624"/>
      <c r="D144" s="624"/>
      <c r="E144" s="624"/>
      <c r="F144" s="624"/>
      <c r="G144" s="1476"/>
      <c r="H144" s="1476"/>
      <c r="I144" s="1476"/>
      <c r="J144" s="1476"/>
      <c r="K144" s="1476"/>
      <c r="L144" s="624"/>
      <c r="M144" s="1474"/>
      <c r="N144" s="1474"/>
      <c r="O144" s="1474"/>
      <c r="P144" s="1467"/>
      <c r="Q144" s="581"/>
      <c r="R144" s="581"/>
      <c r="S144" s="581"/>
      <c r="T144" s="581"/>
      <c r="U144" s="581"/>
      <c r="V144" s="581"/>
      <c r="W144" s="1475"/>
      <c r="X144" s="581"/>
      <c r="Y144" s="581"/>
    </row>
    <row r="145">
      <c r="A145" s="581"/>
      <c r="B145" s="1467"/>
      <c r="C145" s="624"/>
      <c r="D145" s="624"/>
      <c r="E145" s="624"/>
      <c r="F145" s="624"/>
      <c r="G145" s="1476"/>
      <c r="H145" s="1476"/>
      <c r="I145" s="1476"/>
      <c r="J145" s="1476"/>
      <c r="K145" s="1476"/>
      <c r="L145" s="624"/>
      <c r="M145" s="1474"/>
      <c r="N145" s="1474"/>
      <c r="O145" s="1474"/>
      <c r="P145" s="1467"/>
      <c r="Q145" s="581"/>
      <c r="R145" s="581"/>
      <c r="S145" s="581"/>
      <c r="T145" s="581"/>
      <c r="U145" s="581"/>
      <c r="V145" s="581"/>
      <c r="W145" s="1475"/>
      <c r="X145" s="581"/>
      <c r="Y145" s="581"/>
    </row>
    <row r="146">
      <c r="A146" s="581"/>
      <c r="B146" s="1467"/>
      <c r="C146" s="624"/>
      <c r="D146" s="624"/>
      <c r="E146" s="624"/>
      <c r="F146" s="624"/>
      <c r="G146" s="1476"/>
      <c r="H146" s="1476"/>
      <c r="I146" s="1476"/>
      <c r="J146" s="1476"/>
      <c r="K146" s="1476"/>
      <c r="L146" s="624"/>
      <c r="M146" s="1474"/>
      <c r="N146" s="1474"/>
      <c r="O146" s="1474"/>
      <c r="P146" s="1467"/>
      <c r="Q146" s="581"/>
      <c r="R146" s="581"/>
      <c r="S146" s="581"/>
      <c r="T146" s="581"/>
      <c r="U146" s="581"/>
      <c r="V146" s="581"/>
      <c r="W146" s="1475"/>
      <c r="X146" s="581"/>
      <c r="Y146" s="581"/>
    </row>
    <row r="147">
      <c r="A147" s="581"/>
      <c r="B147" s="1467"/>
      <c r="C147" s="624"/>
      <c r="D147" s="624"/>
      <c r="E147" s="624"/>
      <c r="F147" s="624"/>
      <c r="G147" s="1476"/>
      <c r="H147" s="1476"/>
      <c r="I147" s="1476"/>
      <c r="J147" s="1476"/>
      <c r="K147" s="1476"/>
      <c r="L147" s="624"/>
      <c r="M147" s="1474"/>
      <c r="N147" s="1474"/>
      <c r="O147" s="1474"/>
      <c r="P147" s="1467"/>
      <c r="Q147" s="581"/>
      <c r="R147" s="581"/>
      <c r="S147" s="581"/>
      <c r="T147" s="581"/>
      <c r="U147" s="581"/>
      <c r="V147" s="581"/>
      <c r="W147" s="1475"/>
      <c r="X147" s="581"/>
      <c r="Y147" s="581"/>
    </row>
    <row r="148">
      <c r="A148" s="581"/>
      <c r="B148" s="1467"/>
      <c r="C148" s="624"/>
      <c r="D148" s="624"/>
      <c r="E148" s="624"/>
      <c r="F148" s="624"/>
      <c r="G148" s="1476"/>
      <c r="H148" s="1476"/>
      <c r="I148" s="1476"/>
      <c r="J148" s="1476"/>
      <c r="K148" s="1476"/>
      <c r="L148" s="624"/>
      <c r="M148" s="1474"/>
      <c r="N148" s="1474"/>
      <c r="O148" s="1474"/>
      <c r="P148" s="1467"/>
      <c r="Q148" s="581"/>
      <c r="R148" s="581"/>
      <c r="S148" s="581"/>
      <c r="T148" s="581"/>
      <c r="U148" s="581"/>
      <c r="V148" s="581"/>
      <c r="W148" s="1475"/>
      <c r="X148" s="581"/>
      <c r="Y148" s="581"/>
    </row>
    <row r="149">
      <c r="A149" s="581"/>
      <c r="B149" s="1467"/>
      <c r="C149" s="624"/>
      <c r="D149" s="624"/>
      <c r="E149" s="624"/>
      <c r="F149" s="624"/>
      <c r="G149" s="1476"/>
      <c r="H149" s="1476"/>
      <c r="I149" s="1476"/>
      <c r="J149" s="1476"/>
      <c r="K149" s="1476"/>
      <c r="L149" s="624"/>
      <c r="M149" s="1474"/>
      <c r="N149" s="1474"/>
      <c r="O149" s="1474"/>
      <c r="P149" s="1467"/>
      <c r="Q149" s="581"/>
      <c r="R149" s="581"/>
      <c r="S149" s="581"/>
      <c r="T149" s="581"/>
      <c r="U149" s="581"/>
      <c r="V149" s="581"/>
      <c r="W149" s="1475"/>
      <c r="X149" s="581"/>
      <c r="Y149" s="581"/>
    </row>
    <row r="150">
      <c r="A150" s="581"/>
      <c r="B150" s="1467"/>
      <c r="C150" s="624"/>
      <c r="D150" s="624"/>
      <c r="E150" s="624"/>
      <c r="F150" s="624"/>
      <c r="G150" s="1476"/>
      <c r="H150" s="1476"/>
      <c r="I150" s="1476"/>
      <c r="J150" s="1476"/>
      <c r="K150" s="1476"/>
      <c r="L150" s="624"/>
      <c r="M150" s="1474"/>
      <c r="N150" s="1474"/>
      <c r="O150" s="1474"/>
      <c r="P150" s="1467"/>
      <c r="Q150" s="581"/>
      <c r="R150" s="581"/>
      <c r="S150" s="581"/>
      <c r="T150" s="581"/>
      <c r="U150" s="581"/>
      <c r="V150" s="581"/>
      <c r="W150" s="1475"/>
      <c r="X150" s="581"/>
      <c r="Y150" s="581"/>
    </row>
    <row r="151">
      <c r="A151" s="581"/>
      <c r="B151" s="1467"/>
      <c r="C151" s="624"/>
      <c r="D151" s="624"/>
      <c r="E151" s="624"/>
      <c r="F151" s="624"/>
      <c r="G151" s="1476"/>
      <c r="H151" s="1476"/>
      <c r="I151" s="1476"/>
      <c r="J151" s="1476"/>
      <c r="K151" s="1476"/>
      <c r="L151" s="624"/>
      <c r="M151" s="1474"/>
      <c r="N151" s="1474"/>
      <c r="O151" s="1474"/>
      <c r="P151" s="1467"/>
      <c r="Q151" s="581"/>
      <c r="R151" s="581"/>
      <c r="S151" s="581"/>
      <c r="T151" s="581"/>
      <c r="U151" s="581"/>
      <c r="V151" s="581"/>
      <c r="W151" s="1475"/>
      <c r="X151" s="581"/>
      <c r="Y151" s="581"/>
    </row>
    <row r="152">
      <c r="A152" s="581"/>
      <c r="B152" s="1467"/>
      <c r="C152" s="624"/>
      <c r="D152" s="624"/>
      <c r="E152" s="624"/>
      <c r="F152" s="624"/>
      <c r="G152" s="1476"/>
      <c r="H152" s="1476"/>
      <c r="I152" s="1476"/>
      <c r="J152" s="1476"/>
      <c r="K152" s="1476"/>
      <c r="L152" s="624"/>
      <c r="M152" s="1474"/>
      <c r="N152" s="1474"/>
      <c r="O152" s="1474"/>
      <c r="P152" s="1467"/>
      <c r="Q152" s="581"/>
      <c r="R152" s="581"/>
      <c r="S152" s="581"/>
      <c r="T152" s="581"/>
      <c r="U152" s="581"/>
      <c r="V152" s="581"/>
      <c r="W152" s="1475"/>
      <c r="X152" s="581"/>
      <c r="Y152" s="581"/>
    </row>
    <row r="153">
      <c r="A153" s="581"/>
      <c r="B153" s="1467"/>
      <c r="C153" s="624"/>
      <c r="D153" s="624"/>
      <c r="E153" s="624"/>
      <c r="F153" s="624"/>
      <c r="G153" s="1476"/>
      <c r="H153" s="1476"/>
      <c r="I153" s="1476"/>
      <c r="J153" s="1476"/>
      <c r="K153" s="1476"/>
      <c r="L153" s="624"/>
      <c r="M153" s="1474"/>
      <c r="N153" s="1474"/>
      <c r="O153" s="1474"/>
      <c r="P153" s="1467"/>
      <c r="Q153" s="581"/>
      <c r="R153" s="581"/>
      <c r="S153" s="581"/>
      <c r="T153" s="581"/>
      <c r="U153" s="581"/>
      <c r="V153" s="581"/>
      <c r="W153" s="1475"/>
      <c r="X153" s="581"/>
      <c r="Y153" s="581"/>
    </row>
    <row r="154">
      <c r="A154" s="581"/>
      <c r="B154" s="1467"/>
      <c r="C154" s="624"/>
      <c r="D154" s="624"/>
      <c r="E154" s="624"/>
      <c r="F154" s="624"/>
      <c r="G154" s="1476"/>
      <c r="H154" s="1476"/>
      <c r="I154" s="1476"/>
      <c r="J154" s="1476"/>
      <c r="K154" s="1476"/>
      <c r="L154" s="624"/>
      <c r="M154" s="1474"/>
      <c r="N154" s="1474"/>
      <c r="O154" s="1474"/>
      <c r="P154" s="1467"/>
      <c r="Q154" s="581"/>
      <c r="R154" s="581"/>
      <c r="S154" s="581"/>
      <c r="T154" s="581"/>
      <c r="U154" s="581"/>
      <c r="V154" s="581"/>
      <c r="W154" s="1475"/>
      <c r="X154" s="581"/>
      <c r="Y154" s="581"/>
    </row>
    <row r="155">
      <c r="A155" s="581"/>
      <c r="B155" s="1467"/>
      <c r="C155" s="624"/>
      <c r="D155" s="624"/>
      <c r="E155" s="624"/>
      <c r="F155" s="624"/>
      <c r="G155" s="1476"/>
      <c r="H155" s="1476"/>
      <c r="I155" s="1476"/>
      <c r="J155" s="1476"/>
      <c r="K155" s="1476"/>
      <c r="L155" s="624"/>
      <c r="M155" s="1474"/>
      <c r="N155" s="1474"/>
      <c r="O155" s="1474"/>
      <c r="P155" s="1467"/>
      <c r="Q155" s="581"/>
      <c r="R155" s="581"/>
      <c r="S155" s="581"/>
      <c r="T155" s="581"/>
      <c r="U155" s="581"/>
      <c r="V155" s="581"/>
      <c r="W155" s="1475"/>
      <c r="X155" s="581"/>
      <c r="Y155" s="581"/>
    </row>
    <row r="156">
      <c r="A156" s="581"/>
      <c r="B156" s="1467"/>
      <c r="C156" s="624"/>
      <c r="D156" s="624"/>
      <c r="E156" s="624"/>
      <c r="F156" s="624"/>
      <c r="G156" s="1476"/>
      <c r="H156" s="1476"/>
      <c r="I156" s="1476"/>
      <c r="J156" s="1476"/>
      <c r="K156" s="1476"/>
      <c r="L156" s="624"/>
      <c r="M156" s="1474"/>
      <c r="N156" s="1474"/>
      <c r="O156" s="1474"/>
      <c r="P156" s="1467"/>
      <c r="Q156" s="581"/>
      <c r="R156" s="581"/>
      <c r="S156" s="581"/>
      <c r="T156" s="581"/>
      <c r="U156" s="581"/>
      <c r="V156" s="581"/>
      <c r="W156" s="1475"/>
      <c r="X156" s="581"/>
      <c r="Y156" s="581"/>
    </row>
    <row r="157">
      <c r="A157" s="581"/>
      <c r="B157" s="1467"/>
      <c r="C157" s="624"/>
      <c r="D157" s="624"/>
      <c r="E157" s="624"/>
      <c r="F157" s="624"/>
      <c r="G157" s="1476"/>
      <c r="H157" s="1476"/>
      <c r="I157" s="1476"/>
      <c r="J157" s="1476"/>
      <c r="K157" s="1476"/>
      <c r="L157" s="624"/>
      <c r="M157" s="1474"/>
      <c r="N157" s="1474"/>
      <c r="O157" s="1474"/>
      <c r="P157" s="1467"/>
      <c r="Q157" s="581"/>
      <c r="R157" s="581"/>
      <c r="S157" s="581"/>
      <c r="T157" s="581"/>
      <c r="U157" s="581"/>
      <c r="V157" s="581"/>
      <c r="W157" s="1475"/>
      <c r="X157" s="581"/>
      <c r="Y157" s="581"/>
    </row>
    <row r="158">
      <c r="A158" s="581"/>
      <c r="B158" s="1467"/>
      <c r="C158" s="624"/>
      <c r="D158" s="624"/>
      <c r="E158" s="624"/>
      <c r="F158" s="624"/>
      <c r="G158" s="1476"/>
      <c r="H158" s="1476"/>
      <c r="I158" s="1476"/>
      <c r="J158" s="1476"/>
      <c r="K158" s="1476"/>
      <c r="L158" s="624"/>
      <c r="M158" s="1474"/>
      <c r="N158" s="1474"/>
      <c r="O158" s="1474"/>
      <c r="P158" s="1467"/>
      <c r="Q158" s="581"/>
      <c r="R158" s="581"/>
      <c r="S158" s="581"/>
      <c r="T158" s="581"/>
      <c r="U158" s="581"/>
      <c r="V158" s="581"/>
      <c r="W158" s="1475"/>
      <c r="X158" s="581"/>
      <c r="Y158" s="581"/>
    </row>
    <row r="159">
      <c r="A159" s="581"/>
      <c r="B159" s="1467"/>
      <c r="C159" s="624"/>
      <c r="D159" s="624"/>
      <c r="E159" s="624"/>
      <c r="F159" s="624"/>
      <c r="G159" s="1476"/>
      <c r="H159" s="1476"/>
      <c r="I159" s="1476"/>
      <c r="J159" s="1476"/>
      <c r="K159" s="1476"/>
      <c r="L159" s="624"/>
      <c r="M159" s="1474"/>
      <c r="N159" s="1474"/>
      <c r="O159" s="1474"/>
      <c r="P159" s="1467"/>
      <c r="Q159" s="581"/>
      <c r="R159" s="581"/>
      <c r="S159" s="581"/>
      <c r="T159" s="581"/>
      <c r="U159" s="581"/>
      <c r="V159" s="581"/>
      <c r="W159" s="1475"/>
      <c r="X159" s="581"/>
      <c r="Y159" s="581"/>
    </row>
    <row r="160">
      <c r="A160" s="581"/>
      <c r="B160" s="1467"/>
      <c r="C160" s="624"/>
      <c r="D160" s="624"/>
      <c r="E160" s="624"/>
      <c r="F160" s="624"/>
      <c r="G160" s="1476"/>
      <c r="H160" s="1476"/>
      <c r="I160" s="1476"/>
      <c r="J160" s="1476"/>
      <c r="K160" s="1476"/>
      <c r="L160" s="624"/>
      <c r="M160" s="1474"/>
      <c r="N160" s="1474"/>
      <c r="O160" s="1474"/>
      <c r="P160" s="1467"/>
      <c r="Q160" s="581"/>
      <c r="R160" s="581"/>
      <c r="S160" s="581"/>
      <c r="T160" s="581"/>
      <c r="U160" s="581"/>
      <c r="V160" s="581"/>
      <c r="W160" s="1475"/>
      <c r="X160" s="581"/>
      <c r="Y160" s="581"/>
    </row>
    <row r="161">
      <c r="A161" s="581"/>
      <c r="B161" s="1467"/>
      <c r="C161" s="624"/>
      <c r="D161" s="624"/>
      <c r="E161" s="624"/>
      <c r="F161" s="624"/>
      <c r="G161" s="1476"/>
      <c r="H161" s="1476"/>
      <c r="I161" s="1476"/>
      <c r="J161" s="1476"/>
      <c r="K161" s="1476"/>
      <c r="L161" s="624"/>
      <c r="M161" s="1474"/>
      <c r="N161" s="1474"/>
      <c r="O161" s="1474"/>
      <c r="P161" s="1467"/>
      <c r="Q161" s="581"/>
      <c r="R161" s="581"/>
      <c r="S161" s="581"/>
      <c r="T161" s="581"/>
      <c r="U161" s="581"/>
      <c r="V161" s="581"/>
      <c r="W161" s="1475"/>
      <c r="X161" s="581"/>
      <c r="Y161" s="581"/>
    </row>
    <row r="162">
      <c r="A162" s="581"/>
      <c r="B162" s="1467"/>
      <c r="C162" s="624"/>
      <c r="D162" s="624"/>
      <c r="E162" s="624"/>
      <c r="F162" s="624"/>
      <c r="G162" s="1476"/>
      <c r="H162" s="1476"/>
      <c r="I162" s="1476"/>
      <c r="J162" s="1476"/>
      <c r="K162" s="1476"/>
      <c r="L162" s="624"/>
      <c r="M162" s="1474"/>
      <c r="N162" s="1474"/>
      <c r="O162" s="1474"/>
      <c r="P162" s="1467"/>
      <c r="Q162" s="581"/>
      <c r="R162" s="581"/>
      <c r="S162" s="581"/>
      <c r="T162" s="581"/>
      <c r="U162" s="581"/>
      <c r="V162" s="581"/>
      <c r="W162" s="1475"/>
      <c r="X162" s="581"/>
      <c r="Y162" s="581"/>
    </row>
    <row r="163">
      <c r="A163" s="581"/>
      <c r="B163" s="1467"/>
      <c r="C163" s="624"/>
      <c r="D163" s="624"/>
      <c r="E163" s="624"/>
      <c r="F163" s="624"/>
      <c r="G163" s="1476"/>
      <c r="H163" s="1476"/>
      <c r="I163" s="1476"/>
      <c r="J163" s="1476"/>
      <c r="K163" s="1476"/>
      <c r="L163" s="624"/>
      <c r="M163" s="1474"/>
      <c r="N163" s="1474"/>
      <c r="O163" s="1474"/>
      <c r="P163" s="1467"/>
      <c r="Q163" s="581"/>
      <c r="R163" s="581"/>
      <c r="S163" s="581"/>
      <c r="T163" s="581"/>
      <c r="U163" s="581"/>
      <c r="V163" s="581"/>
      <c r="W163" s="1475"/>
      <c r="X163" s="581"/>
      <c r="Y163" s="581"/>
    </row>
    <row r="164">
      <c r="A164" s="581"/>
      <c r="B164" s="1467"/>
      <c r="C164" s="624"/>
      <c r="D164" s="624"/>
      <c r="E164" s="624"/>
      <c r="F164" s="624"/>
      <c r="G164" s="1476"/>
      <c r="H164" s="1476"/>
      <c r="I164" s="1476"/>
      <c r="J164" s="1476"/>
      <c r="K164" s="1476"/>
      <c r="L164" s="624"/>
      <c r="M164" s="1474"/>
      <c r="N164" s="1474"/>
      <c r="O164" s="1474"/>
      <c r="P164" s="1467"/>
      <c r="Q164" s="581"/>
      <c r="R164" s="581"/>
      <c r="S164" s="581"/>
      <c r="T164" s="581"/>
      <c r="U164" s="581"/>
      <c r="V164" s="581"/>
      <c r="W164" s="1475"/>
      <c r="X164" s="581"/>
      <c r="Y164" s="581"/>
    </row>
    <row r="165">
      <c r="A165" s="581"/>
      <c r="B165" s="1467"/>
      <c r="C165" s="624"/>
      <c r="D165" s="624"/>
      <c r="E165" s="624"/>
      <c r="F165" s="624"/>
      <c r="G165" s="1476"/>
      <c r="H165" s="1476"/>
      <c r="I165" s="1476"/>
      <c r="J165" s="1476"/>
      <c r="K165" s="1476"/>
      <c r="L165" s="624"/>
      <c r="M165" s="1474"/>
      <c r="N165" s="1474"/>
      <c r="O165" s="1474"/>
      <c r="P165" s="1467"/>
      <c r="Q165" s="581"/>
      <c r="R165" s="581"/>
      <c r="S165" s="581"/>
      <c r="T165" s="581"/>
      <c r="U165" s="581"/>
      <c r="V165" s="581"/>
      <c r="W165" s="1475"/>
      <c r="X165" s="581"/>
      <c r="Y165" s="581"/>
    </row>
    <row r="166">
      <c r="A166" s="581"/>
      <c r="B166" s="1467"/>
      <c r="C166" s="624"/>
      <c r="D166" s="624"/>
      <c r="E166" s="624"/>
      <c r="F166" s="624"/>
      <c r="G166" s="1476"/>
      <c r="H166" s="1476"/>
      <c r="I166" s="1476"/>
      <c r="J166" s="1476"/>
      <c r="K166" s="1476"/>
      <c r="L166" s="624"/>
      <c r="M166" s="1474"/>
      <c r="N166" s="1474"/>
      <c r="O166" s="1474"/>
      <c r="P166" s="1467"/>
      <c r="Q166" s="581"/>
      <c r="R166" s="581"/>
      <c r="S166" s="581"/>
      <c r="T166" s="581"/>
      <c r="U166" s="581"/>
      <c r="V166" s="581"/>
      <c r="W166" s="1475"/>
      <c r="X166" s="581"/>
      <c r="Y166" s="581"/>
    </row>
    <row r="167">
      <c r="A167" s="581"/>
      <c r="B167" s="1467"/>
      <c r="C167" s="624"/>
      <c r="D167" s="624"/>
      <c r="E167" s="624"/>
      <c r="F167" s="624"/>
      <c r="G167" s="1476"/>
      <c r="H167" s="1476"/>
      <c r="I167" s="1476"/>
      <c r="J167" s="1476"/>
      <c r="K167" s="1476"/>
      <c r="L167" s="624"/>
      <c r="M167" s="1474"/>
      <c r="N167" s="1474"/>
      <c r="O167" s="1474"/>
      <c r="P167" s="1467"/>
      <c r="Q167" s="581"/>
      <c r="R167" s="581"/>
      <c r="S167" s="581"/>
      <c r="T167" s="581"/>
      <c r="U167" s="581"/>
      <c r="V167" s="581"/>
      <c r="W167" s="1475"/>
      <c r="X167" s="581"/>
      <c r="Y167" s="581"/>
    </row>
    <row r="168">
      <c r="A168" s="581"/>
      <c r="B168" s="1467"/>
      <c r="C168" s="624"/>
      <c r="D168" s="624"/>
      <c r="E168" s="624"/>
      <c r="F168" s="624"/>
      <c r="G168" s="1476"/>
      <c r="H168" s="1476"/>
      <c r="I168" s="1476"/>
      <c r="J168" s="1476"/>
      <c r="K168" s="1476"/>
      <c r="L168" s="624"/>
      <c r="M168" s="1474"/>
      <c r="N168" s="1474"/>
      <c r="O168" s="1474"/>
      <c r="P168" s="1467"/>
      <c r="Q168" s="581"/>
      <c r="R168" s="581"/>
      <c r="S168" s="581"/>
      <c r="T168" s="581"/>
      <c r="U168" s="581"/>
      <c r="V168" s="581"/>
      <c r="W168" s="1475"/>
      <c r="X168" s="581"/>
      <c r="Y168" s="581"/>
    </row>
    <row r="169">
      <c r="A169" s="581"/>
      <c r="B169" s="1467"/>
      <c r="C169" s="624"/>
      <c r="D169" s="624"/>
      <c r="E169" s="624"/>
      <c r="F169" s="624"/>
      <c r="G169" s="1476"/>
      <c r="H169" s="1476"/>
      <c r="I169" s="1476"/>
      <c r="J169" s="1476"/>
      <c r="K169" s="1476"/>
      <c r="L169" s="624"/>
      <c r="M169" s="1474"/>
      <c r="N169" s="1474"/>
      <c r="O169" s="1474"/>
      <c r="P169" s="1467"/>
      <c r="Q169" s="581"/>
      <c r="R169" s="581"/>
      <c r="S169" s="581"/>
      <c r="T169" s="581"/>
      <c r="U169" s="581"/>
      <c r="V169" s="581"/>
      <c r="W169" s="1475"/>
      <c r="X169" s="581"/>
      <c r="Y169" s="581"/>
    </row>
    <row r="170">
      <c r="A170" s="581"/>
      <c r="B170" s="1467"/>
      <c r="C170" s="624"/>
      <c r="D170" s="624"/>
      <c r="E170" s="624"/>
      <c r="F170" s="624"/>
      <c r="G170" s="1476"/>
      <c r="H170" s="1476"/>
      <c r="I170" s="1476"/>
      <c r="J170" s="1476"/>
      <c r="K170" s="1476"/>
      <c r="L170" s="624"/>
      <c r="M170" s="1474"/>
      <c r="N170" s="1474"/>
      <c r="O170" s="1474"/>
      <c r="P170" s="1467"/>
      <c r="Q170" s="581"/>
      <c r="R170" s="581"/>
      <c r="S170" s="581"/>
      <c r="T170" s="581"/>
      <c r="U170" s="581"/>
      <c r="V170" s="581"/>
      <c r="W170" s="1475"/>
      <c r="X170" s="581"/>
      <c r="Y170" s="581"/>
    </row>
    <row r="171">
      <c r="A171" s="581"/>
      <c r="B171" s="1467"/>
      <c r="C171" s="624"/>
      <c r="D171" s="624"/>
      <c r="E171" s="624"/>
      <c r="F171" s="624"/>
      <c r="G171" s="1476"/>
      <c r="H171" s="1476"/>
      <c r="I171" s="1476"/>
      <c r="J171" s="1476"/>
      <c r="K171" s="1476"/>
      <c r="L171" s="624"/>
      <c r="M171" s="1474"/>
      <c r="N171" s="1474"/>
      <c r="O171" s="1474"/>
      <c r="P171" s="1467"/>
      <c r="Q171" s="581"/>
      <c r="R171" s="581"/>
      <c r="S171" s="581"/>
      <c r="T171" s="581"/>
      <c r="U171" s="581"/>
      <c r="V171" s="581"/>
      <c r="W171" s="1475"/>
      <c r="X171" s="581"/>
      <c r="Y171" s="581"/>
    </row>
    <row r="172">
      <c r="A172" s="581"/>
      <c r="B172" s="1467"/>
      <c r="C172" s="624"/>
      <c r="D172" s="624"/>
      <c r="E172" s="624"/>
      <c r="F172" s="624"/>
      <c r="G172" s="1476"/>
      <c r="H172" s="1476"/>
      <c r="I172" s="1476"/>
      <c r="J172" s="1476"/>
      <c r="K172" s="1476"/>
      <c r="L172" s="624"/>
      <c r="M172" s="1474"/>
      <c r="N172" s="1474"/>
      <c r="O172" s="1474"/>
      <c r="P172" s="1467"/>
      <c r="Q172" s="581"/>
      <c r="R172" s="581"/>
      <c r="S172" s="581"/>
      <c r="T172" s="581"/>
      <c r="U172" s="581"/>
      <c r="V172" s="581"/>
      <c r="W172" s="1475"/>
      <c r="X172" s="581"/>
      <c r="Y172" s="581"/>
    </row>
    <row r="173">
      <c r="A173" s="581"/>
      <c r="B173" s="1467"/>
      <c r="C173" s="624"/>
      <c r="D173" s="624"/>
      <c r="E173" s="624"/>
      <c r="F173" s="624"/>
      <c r="G173" s="1476"/>
      <c r="H173" s="1476"/>
      <c r="I173" s="1476"/>
      <c r="J173" s="1476"/>
      <c r="K173" s="1476"/>
      <c r="L173" s="624"/>
      <c r="M173" s="1474"/>
      <c r="N173" s="1474"/>
      <c r="O173" s="1474"/>
      <c r="P173" s="1467"/>
      <c r="Q173" s="581"/>
      <c r="R173" s="581"/>
      <c r="S173" s="581"/>
      <c r="T173" s="581"/>
      <c r="U173" s="581"/>
      <c r="V173" s="581"/>
      <c r="W173" s="1475"/>
      <c r="X173" s="581"/>
      <c r="Y173" s="581"/>
    </row>
    <row r="174">
      <c r="A174" s="581"/>
      <c r="B174" s="1467"/>
      <c r="C174" s="624"/>
      <c r="D174" s="624"/>
      <c r="E174" s="624"/>
      <c r="F174" s="624"/>
      <c r="G174" s="1476"/>
      <c r="H174" s="1476"/>
      <c r="I174" s="1476"/>
      <c r="J174" s="1476"/>
      <c r="K174" s="1476"/>
      <c r="L174" s="624"/>
      <c r="M174" s="1474"/>
      <c r="N174" s="1474"/>
      <c r="O174" s="1474"/>
      <c r="P174" s="1467"/>
      <c r="Q174" s="581"/>
      <c r="R174" s="581"/>
      <c r="S174" s="581"/>
      <c r="T174" s="581"/>
      <c r="U174" s="581"/>
      <c r="V174" s="581"/>
      <c r="W174" s="1475"/>
      <c r="X174" s="581"/>
      <c r="Y174" s="581"/>
    </row>
    <row r="175">
      <c r="A175" s="581"/>
      <c r="B175" s="1467"/>
      <c r="C175" s="624"/>
      <c r="D175" s="624"/>
      <c r="E175" s="624"/>
      <c r="F175" s="624"/>
      <c r="G175" s="1476"/>
      <c r="H175" s="1476"/>
      <c r="I175" s="1476"/>
      <c r="J175" s="1476"/>
      <c r="K175" s="1476"/>
      <c r="L175" s="624"/>
      <c r="M175" s="1474"/>
      <c r="N175" s="1474"/>
      <c r="O175" s="1474"/>
      <c r="P175" s="1467"/>
      <c r="Q175" s="581"/>
      <c r="R175" s="581"/>
      <c r="S175" s="581"/>
      <c r="T175" s="581"/>
      <c r="U175" s="581"/>
      <c r="V175" s="581"/>
      <c r="W175" s="1475"/>
      <c r="X175" s="581"/>
      <c r="Y175" s="581"/>
    </row>
    <row r="176">
      <c r="A176" s="581"/>
      <c r="B176" s="1467"/>
      <c r="C176" s="624"/>
      <c r="D176" s="624"/>
      <c r="E176" s="624"/>
      <c r="F176" s="624"/>
      <c r="G176" s="1476"/>
      <c r="H176" s="1476"/>
      <c r="I176" s="1476"/>
      <c r="J176" s="1476"/>
      <c r="K176" s="1476"/>
      <c r="L176" s="624"/>
      <c r="M176" s="1474"/>
      <c r="N176" s="1474"/>
      <c r="O176" s="1474"/>
      <c r="P176" s="1467"/>
      <c r="Q176" s="581"/>
      <c r="R176" s="581"/>
      <c r="S176" s="581"/>
      <c r="T176" s="581"/>
      <c r="U176" s="581"/>
      <c r="V176" s="581"/>
      <c r="W176" s="1475"/>
      <c r="X176" s="581"/>
      <c r="Y176" s="581"/>
    </row>
    <row r="177">
      <c r="A177" s="581"/>
      <c r="B177" s="1467"/>
      <c r="C177" s="624"/>
      <c r="D177" s="624"/>
      <c r="E177" s="624"/>
      <c r="F177" s="624"/>
      <c r="G177" s="1476"/>
      <c r="H177" s="1476"/>
      <c r="I177" s="1476"/>
      <c r="J177" s="1476"/>
      <c r="K177" s="1476"/>
      <c r="L177" s="624"/>
      <c r="M177" s="1474"/>
      <c r="N177" s="1474"/>
      <c r="O177" s="1474"/>
      <c r="P177" s="1467"/>
      <c r="Q177" s="581"/>
      <c r="R177" s="581"/>
      <c r="S177" s="581"/>
      <c r="T177" s="581"/>
      <c r="U177" s="581"/>
      <c r="V177" s="581"/>
      <c r="W177" s="1475"/>
      <c r="X177" s="581"/>
      <c r="Y177" s="581"/>
    </row>
    <row r="178">
      <c r="A178" s="581"/>
      <c r="B178" s="1467"/>
      <c r="C178" s="624"/>
      <c r="D178" s="624"/>
      <c r="E178" s="624"/>
      <c r="F178" s="624"/>
      <c r="G178" s="1476"/>
      <c r="H178" s="1476"/>
      <c r="I178" s="1476"/>
      <c r="J178" s="1476"/>
      <c r="K178" s="1476"/>
      <c r="L178" s="624"/>
      <c r="M178" s="1474"/>
      <c r="N178" s="1474"/>
      <c r="O178" s="1474"/>
      <c r="P178" s="1467"/>
      <c r="Q178" s="581"/>
      <c r="R178" s="581"/>
      <c r="S178" s="581"/>
      <c r="T178" s="581"/>
      <c r="U178" s="581"/>
      <c r="V178" s="581"/>
      <c r="W178" s="1475"/>
      <c r="X178" s="581"/>
      <c r="Y178" s="581"/>
    </row>
    <row r="179">
      <c r="A179" s="581"/>
      <c r="B179" s="1467"/>
      <c r="C179" s="624"/>
      <c r="D179" s="624"/>
      <c r="E179" s="624"/>
      <c r="F179" s="624"/>
      <c r="G179" s="1476"/>
      <c r="H179" s="1476"/>
      <c r="I179" s="1476"/>
      <c r="J179" s="1476"/>
      <c r="K179" s="1476"/>
      <c r="L179" s="624"/>
      <c r="M179" s="1474"/>
      <c r="N179" s="1474"/>
      <c r="O179" s="1474"/>
      <c r="P179" s="1467"/>
      <c r="Q179" s="581"/>
      <c r="R179" s="581"/>
      <c r="S179" s="581"/>
      <c r="T179" s="581"/>
      <c r="U179" s="581"/>
      <c r="V179" s="581"/>
      <c r="W179" s="1475"/>
      <c r="X179" s="581"/>
      <c r="Y179" s="581"/>
    </row>
    <row r="180">
      <c r="A180" s="581"/>
      <c r="B180" s="1467"/>
      <c r="C180" s="624"/>
      <c r="D180" s="624"/>
      <c r="E180" s="624"/>
      <c r="F180" s="624"/>
      <c r="G180" s="1476"/>
      <c r="H180" s="1476"/>
      <c r="I180" s="1476"/>
      <c r="J180" s="1476"/>
      <c r="K180" s="1476"/>
      <c r="L180" s="624"/>
      <c r="M180" s="1474"/>
      <c r="N180" s="1474"/>
      <c r="O180" s="1474"/>
      <c r="P180" s="1467"/>
      <c r="Q180" s="581"/>
      <c r="R180" s="581"/>
      <c r="S180" s="581"/>
      <c r="T180" s="581"/>
      <c r="U180" s="581"/>
      <c r="V180" s="581"/>
      <c r="W180" s="1475"/>
      <c r="X180" s="581"/>
      <c r="Y180" s="581"/>
    </row>
    <row r="181">
      <c r="A181" s="581"/>
      <c r="B181" s="1467"/>
      <c r="C181" s="624"/>
      <c r="D181" s="624"/>
      <c r="E181" s="624"/>
      <c r="F181" s="624"/>
      <c r="G181" s="1476"/>
      <c r="H181" s="1476"/>
      <c r="I181" s="1476"/>
      <c r="J181" s="1476"/>
      <c r="K181" s="1476"/>
      <c r="L181" s="624"/>
      <c r="M181" s="1474"/>
      <c r="N181" s="1474"/>
      <c r="O181" s="1474"/>
      <c r="P181" s="1467"/>
      <c r="Q181" s="581"/>
      <c r="R181" s="581"/>
      <c r="S181" s="581"/>
      <c r="T181" s="581"/>
      <c r="U181" s="581"/>
      <c r="V181" s="581"/>
      <c r="W181" s="1475"/>
      <c r="X181" s="581"/>
      <c r="Y181" s="581"/>
    </row>
    <row r="182">
      <c r="A182" s="581"/>
      <c r="B182" s="1467"/>
      <c r="C182" s="624"/>
      <c r="D182" s="624"/>
      <c r="E182" s="624"/>
      <c r="F182" s="624"/>
      <c r="G182" s="1476"/>
      <c r="H182" s="1476"/>
      <c r="I182" s="1476"/>
      <c r="J182" s="1476"/>
      <c r="K182" s="1476"/>
      <c r="L182" s="624"/>
      <c r="M182" s="1474"/>
      <c r="N182" s="1474"/>
      <c r="O182" s="1474"/>
      <c r="P182" s="1467"/>
      <c r="Q182" s="581"/>
      <c r="R182" s="581"/>
      <c r="S182" s="581"/>
      <c r="T182" s="581"/>
      <c r="U182" s="581"/>
      <c r="V182" s="581"/>
      <c r="W182" s="1475"/>
      <c r="X182" s="581"/>
      <c r="Y182" s="581"/>
    </row>
    <row r="183">
      <c r="A183" s="581"/>
      <c r="B183" s="1467"/>
      <c r="C183" s="624"/>
      <c r="D183" s="624"/>
      <c r="E183" s="624"/>
      <c r="F183" s="624"/>
      <c r="G183" s="1476"/>
      <c r="H183" s="1476"/>
      <c r="I183" s="1476"/>
      <c r="J183" s="1476"/>
      <c r="K183" s="1476"/>
      <c r="L183" s="624"/>
      <c r="M183" s="1474"/>
      <c r="N183" s="1474"/>
      <c r="O183" s="1474"/>
      <c r="P183" s="1467"/>
      <c r="Q183" s="581"/>
      <c r="R183" s="581"/>
      <c r="S183" s="581"/>
      <c r="T183" s="581"/>
      <c r="U183" s="581"/>
      <c r="V183" s="581"/>
      <c r="W183" s="1475"/>
      <c r="X183" s="581"/>
      <c r="Y183" s="581"/>
    </row>
    <row r="184">
      <c r="A184" s="581"/>
      <c r="B184" s="1467"/>
      <c r="C184" s="624"/>
      <c r="D184" s="624"/>
      <c r="E184" s="624"/>
      <c r="F184" s="624"/>
      <c r="G184" s="1476"/>
      <c r="H184" s="1476"/>
      <c r="I184" s="1476"/>
      <c r="J184" s="1476"/>
      <c r="K184" s="1476"/>
      <c r="L184" s="624"/>
      <c r="M184" s="1474"/>
      <c r="N184" s="1474"/>
      <c r="O184" s="1474"/>
      <c r="P184" s="1467"/>
      <c r="Q184" s="581"/>
      <c r="R184" s="581"/>
      <c r="S184" s="581"/>
      <c r="T184" s="581"/>
      <c r="U184" s="581"/>
      <c r="V184" s="581"/>
      <c r="W184" s="1475"/>
      <c r="X184" s="581"/>
      <c r="Y184" s="581"/>
    </row>
    <row r="185">
      <c r="A185" s="581"/>
      <c r="B185" s="1467"/>
      <c r="C185" s="624"/>
      <c r="D185" s="624"/>
      <c r="E185" s="624"/>
      <c r="F185" s="624"/>
      <c r="G185" s="1476"/>
      <c r="H185" s="1476"/>
      <c r="I185" s="1476"/>
      <c r="J185" s="1476"/>
      <c r="K185" s="1476"/>
      <c r="L185" s="624"/>
      <c r="M185" s="1474"/>
      <c r="N185" s="1474"/>
      <c r="O185" s="1474"/>
      <c r="P185" s="1467"/>
      <c r="Q185" s="581"/>
      <c r="R185" s="581"/>
      <c r="S185" s="581"/>
      <c r="T185" s="581"/>
      <c r="U185" s="581"/>
      <c r="V185" s="581"/>
      <c r="W185" s="1475"/>
      <c r="X185" s="581"/>
      <c r="Y185" s="581"/>
    </row>
    <row r="186">
      <c r="A186" s="581"/>
      <c r="B186" s="1467"/>
      <c r="C186" s="624"/>
      <c r="D186" s="624"/>
      <c r="E186" s="624"/>
      <c r="F186" s="624"/>
      <c r="G186" s="1476"/>
      <c r="H186" s="1476"/>
      <c r="I186" s="1476"/>
      <c r="J186" s="1476"/>
      <c r="K186" s="1476"/>
      <c r="L186" s="624"/>
      <c r="M186" s="1474"/>
      <c r="N186" s="1474"/>
      <c r="O186" s="1474"/>
      <c r="P186" s="1467"/>
      <c r="Q186" s="581"/>
      <c r="R186" s="581"/>
      <c r="S186" s="581"/>
      <c r="T186" s="581"/>
      <c r="U186" s="581"/>
      <c r="V186" s="581"/>
      <c r="W186" s="1475"/>
      <c r="X186" s="581"/>
      <c r="Y186" s="581"/>
    </row>
    <row r="187">
      <c r="A187" s="581"/>
      <c r="B187" s="1467"/>
      <c r="C187" s="624"/>
      <c r="D187" s="624"/>
      <c r="E187" s="624"/>
      <c r="F187" s="624"/>
      <c r="G187" s="1476"/>
      <c r="H187" s="1476"/>
      <c r="I187" s="1476"/>
      <c r="J187" s="1476"/>
      <c r="K187" s="1476"/>
      <c r="L187" s="624"/>
      <c r="M187" s="1474"/>
      <c r="N187" s="1474"/>
      <c r="O187" s="1474"/>
      <c r="P187" s="1467"/>
      <c r="Q187" s="581"/>
      <c r="R187" s="581"/>
      <c r="S187" s="581"/>
      <c r="T187" s="581"/>
      <c r="U187" s="581"/>
      <c r="V187" s="581"/>
      <c r="W187" s="1475"/>
      <c r="X187" s="581"/>
      <c r="Y187" s="581"/>
    </row>
    <row r="188">
      <c r="A188" s="581"/>
      <c r="B188" s="1467"/>
      <c r="C188" s="624"/>
      <c r="D188" s="624"/>
      <c r="E188" s="624"/>
      <c r="F188" s="624"/>
      <c r="G188" s="1476"/>
      <c r="H188" s="1476"/>
      <c r="I188" s="1476"/>
      <c r="J188" s="1476"/>
      <c r="K188" s="1476"/>
      <c r="L188" s="624"/>
      <c r="M188" s="1474"/>
      <c r="N188" s="1474"/>
      <c r="O188" s="1474"/>
      <c r="P188" s="1467"/>
      <c r="Q188" s="581"/>
      <c r="R188" s="581"/>
      <c r="S188" s="581"/>
      <c r="T188" s="581"/>
      <c r="U188" s="581"/>
      <c r="V188" s="581"/>
      <c r="W188" s="1475"/>
      <c r="X188" s="581"/>
      <c r="Y188" s="581"/>
    </row>
    <row r="189">
      <c r="A189" s="581"/>
      <c r="B189" s="1467"/>
      <c r="C189" s="624"/>
      <c r="D189" s="624"/>
      <c r="E189" s="624"/>
      <c r="F189" s="624"/>
      <c r="G189" s="1476"/>
      <c r="H189" s="1476"/>
      <c r="I189" s="1476"/>
      <c r="J189" s="1476"/>
      <c r="K189" s="1476"/>
      <c r="L189" s="624"/>
      <c r="M189" s="1474"/>
      <c r="N189" s="1474"/>
      <c r="O189" s="1474"/>
      <c r="P189" s="1467"/>
      <c r="Q189" s="581"/>
      <c r="R189" s="581"/>
      <c r="S189" s="581"/>
      <c r="T189" s="581"/>
      <c r="U189" s="581"/>
      <c r="V189" s="581"/>
      <c r="W189" s="1475"/>
      <c r="X189" s="581"/>
      <c r="Y189" s="581"/>
    </row>
    <row r="190">
      <c r="A190" s="581"/>
      <c r="B190" s="1467"/>
      <c r="C190" s="624"/>
      <c r="D190" s="624"/>
      <c r="E190" s="624"/>
      <c r="F190" s="624"/>
      <c r="G190" s="1476"/>
      <c r="H190" s="1476"/>
      <c r="I190" s="1476"/>
      <c r="J190" s="1476"/>
      <c r="K190" s="1476"/>
      <c r="L190" s="624"/>
      <c r="M190" s="1474"/>
      <c r="N190" s="1474"/>
      <c r="O190" s="1474"/>
      <c r="P190" s="1467"/>
      <c r="Q190" s="581"/>
      <c r="R190" s="581"/>
      <c r="S190" s="581"/>
      <c r="T190" s="581"/>
      <c r="U190" s="581"/>
      <c r="V190" s="581"/>
      <c r="W190" s="1475"/>
      <c r="X190" s="581"/>
      <c r="Y190" s="581"/>
    </row>
    <row r="191">
      <c r="A191" s="581"/>
      <c r="B191" s="1467"/>
      <c r="C191" s="624"/>
      <c r="D191" s="624"/>
      <c r="E191" s="624"/>
      <c r="F191" s="624"/>
      <c r="G191" s="1476"/>
      <c r="H191" s="1476"/>
      <c r="I191" s="1476"/>
      <c r="J191" s="1476"/>
      <c r="K191" s="1476"/>
      <c r="L191" s="624"/>
      <c r="M191" s="1474"/>
      <c r="N191" s="1474"/>
      <c r="O191" s="1474"/>
      <c r="P191" s="1467"/>
      <c r="Q191" s="581"/>
      <c r="R191" s="581"/>
      <c r="S191" s="581"/>
      <c r="T191" s="581"/>
      <c r="U191" s="581"/>
      <c r="V191" s="581"/>
      <c r="W191" s="1475"/>
      <c r="X191" s="581"/>
      <c r="Y191" s="581"/>
    </row>
    <row r="192">
      <c r="A192" s="581"/>
      <c r="B192" s="1467"/>
      <c r="C192" s="624"/>
      <c r="D192" s="624"/>
      <c r="E192" s="624"/>
      <c r="F192" s="624"/>
      <c r="G192" s="1476"/>
      <c r="H192" s="1476"/>
      <c r="I192" s="1476"/>
      <c r="J192" s="1476"/>
      <c r="K192" s="1476"/>
      <c r="L192" s="624"/>
      <c r="M192" s="1474"/>
      <c r="N192" s="1474"/>
      <c r="O192" s="1474"/>
      <c r="P192" s="1467"/>
      <c r="Q192" s="581"/>
      <c r="R192" s="581"/>
      <c r="S192" s="581"/>
      <c r="T192" s="581"/>
      <c r="U192" s="581"/>
      <c r="V192" s="581"/>
      <c r="W192" s="1475"/>
      <c r="X192" s="581"/>
      <c r="Y192" s="581"/>
    </row>
    <row r="193">
      <c r="A193" s="581"/>
      <c r="B193" s="1467"/>
      <c r="C193" s="624"/>
      <c r="D193" s="624"/>
      <c r="E193" s="624"/>
      <c r="F193" s="624"/>
      <c r="G193" s="1476"/>
      <c r="H193" s="1476"/>
      <c r="I193" s="1476"/>
      <c r="J193" s="1476"/>
      <c r="K193" s="1476"/>
      <c r="L193" s="624"/>
      <c r="M193" s="1474"/>
      <c r="N193" s="1474"/>
      <c r="O193" s="1474"/>
      <c r="P193" s="1467"/>
      <c r="Q193" s="581"/>
      <c r="R193" s="581"/>
      <c r="S193" s="581"/>
      <c r="T193" s="581"/>
      <c r="U193" s="581"/>
      <c r="V193" s="581"/>
      <c r="W193" s="1475"/>
      <c r="X193" s="581"/>
      <c r="Y193" s="581"/>
    </row>
    <row r="194">
      <c r="A194" s="581"/>
      <c r="B194" s="1467"/>
      <c r="C194" s="624"/>
      <c r="D194" s="624"/>
      <c r="E194" s="624"/>
      <c r="F194" s="624"/>
      <c r="G194" s="1476"/>
      <c r="H194" s="1476"/>
      <c r="I194" s="1476"/>
      <c r="J194" s="1476"/>
      <c r="K194" s="1476"/>
      <c r="L194" s="624"/>
      <c r="M194" s="1474"/>
      <c r="N194" s="1474"/>
      <c r="O194" s="1474"/>
      <c r="P194" s="1467"/>
      <c r="Q194" s="581"/>
      <c r="R194" s="581"/>
      <c r="S194" s="581"/>
      <c r="T194" s="581"/>
      <c r="U194" s="581"/>
      <c r="V194" s="581"/>
      <c r="W194" s="1475"/>
      <c r="X194" s="581"/>
      <c r="Y194" s="581"/>
    </row>
    <row r="195">
      <c r="A195" s="581"/>
      <c r="B195" s="1467"/>
      <c r="C195" s="624"/>
      <c r="D195" s="624"/>
      <c r="E195" s="624"/>
      <c r="F195" s="624"/>
      <c r="G195" s="1476"/>
      <c r="H195" s="1476"/>
      <c r="I195" s="1476"/>
      <c r="J195" s="1476"/>
      <c r="K195" s="1476"/>
      <c r="L195" s="624"/>
      <c r="M195" s="1474"/>
      <c r="N195" s="1474"/>
      <c r="O195" s="1474"/>
      <c r="P195" s="1467"/>
      <c r="Q195" s="581"/>
      <c r="R195" s="581"/>
      <c r="S195" s="581"/>
      <c r="T195" s="581"/>
      <c r="U195" s="581"/>
      <c r="V195" s="581"/>
      <c r="W195" s="1475"/>
      <c r="X195" s="581"/>
      <c r="Y195" s="581"/>
    </row>
    <row r="196">
      <c r="A196" s="581"/>
      <c r="B196" s="1467"/>
      <c r="C196" s="624"/>
      <c r="D196" s="624"/>
      <c r="E196" s="624"/>
      <c r="F196" s="624"/>
      <c r="G196" s="1476"/>
      <c r="H196" s="1476"/>
      <c r="I196" s="1476"/>
      <c r="J196" s="1476"/>
      <c r="K196" s="1476"/>
      <c r="L196" s="624"/>
      <c r="M196" s="1474"/>
      <c r="N196" s="1474"/>
      <c r="O196" s="1474"/>
      <c r="P196" s="1467"/>
      <c r="Q196" s="581"/>
      <c r="R196" s="581"/>
      <c r="S196" s="581"/>
      <c r="T196" s="581"/>
      <c r="U196" s="581"/>
      <c r="V196" s="581"/>
      <c r="W196" s="1475"/>
      <c r="X196" s="581"/>
      <c r="Y196" s="581"/>
    </row>
    <row r="197">
      <c r="A197" s="581"/>
      <c r="B197" s="1467"/>
      <c r="C197" s="624"/>
      <c r="D197" s="624"/>
      <c r="E197" s="624"/>
      <c r="F197" s="624"/>
      <c r="G197" s="1476"/>
      <c r="H197" s="1476"/>
      <c r="I197" s="1476"/>
      <c r="J197" s="1476"/>
      <c r="K197" s="1476"/>
      <c r="L197" s="624"/>
      <c r="M197" s="1474"/>
      <c r="N197" s="1474"/>
      <c r="O197" s="1474"/>
      <c r="P197" s="1467"/>
      <c r="Q197" s="581"/>
      <c r="R197" s="581"/>
      <c r="S197" s="581"/>
      <c r="T197" s="581"/>
      <c r="U197" s="581"/>
      <c r="V197" s="581"/>
      <c r="W197" s="1475"/>
      <c r="X197" s="581"/>
      <c r="Y197" s="581"/>
    </row>
    <row r="198">
      <c r="A198" s="581"/>
      <c r="B198" s="1467"/>
      <c r="C198" s="624"/>
      <c r="D198" s="624"/>
      <c r="E198" s="624"/>
      <c r="F198" s="624"/>
      <c r="G198" s="1476"/>
      <c r="H198" s="1476"/>
      <c r="I198" s="1476"/>
      <c r="J198" s="1476"/>
      <c r="K198" s="1476"/>
      <c r="L198" s="624"/>
      <c r="M198" s="1474"/>
      <c r="N198" s="1474"/>
      <c r="O198" s="1474"/>
      <c r="P198" s="1467"/>
      <c r="Q198" s="581"/>
      <c r="R198" s="581"/>
      <c r="S198" s="581"/>
      <c r="T198" s="581"/>
      <c r="U198" s="581"/>
      <c r="V198" s="581"/>
      <c r="W198" s="1475"/>
      <c r="X198" s="581"/>
      <c r="Y198" s="581"/>
    </row>
    <row r="199">
      <c r="A199" s="581"/>
      <c r="B199" s="1467"/>
      <c r="C199" s="624"/>
      <c r="D199" s="624"/>
      <c r="E199" s="624"/>
      <c r="F199" s="624"/>
      <c r="G199" s="1476"/>
      <c r="H199" s="1476"/>
      <c r="I199" s="1476"/>
      <c r="J199" s="1476"/>
      <c r="K199" s="1476"/>
      <c r="L199" s="624"/>
      <c r="M199" s="1474"/>
      <c r="N199" s="1474"/>
      <c r="O199" s="1474"/>
      <c r="P199" s="1467"/>
      <c r="Q199" s="581"/>
      <c r="R199" s="581"/>
      <c r="S199" s="581"/>
      <c r="T199" s="581"/>
      <c r="U199" s="581"/>
      <c r="V199" s="581"/>
      <c r="W199" s="1475"/>
      <c r="X199" s="581"/>
      <c r="Y199" s="581"/>
    </row>
    <row r="200">
      <c r="A200" s="581"/>
      <c r="B200" s="1467"/>
      <c r="C200" s="624"/>
      <c r="D200" s="624"/>
      <c r="E200" s="624"/>
      <c r="F200" s="624"/>
      <c r="G200" s="1476"/>
      <c r="H200" s="1476"/>
      <c r="I200" s="1476"/>
      <c r="J200" s="1476"/>
      <c r="K200" s="1476"/>
      <c r="L200" s="624"/>
      <c r="M200" s="1474"/>
      <c r="N200" s="1474"/>
      <c r="O200" s="1474"/>
      <c r="P200" s="1467"/>
      <c r="Q200" s="581"/>
      <c r="R200" s="581"/>
      <c r="S200" s="581"/>
      <c r="T200" s="581"/>
      <c r="U200" s="581"/>
      <c r="V200" s="581"/>
      <c r="W200" s="1475"/>
      <c r="X200" s="581"/>
      <c r="Y200" s="581"/>
    </row>
    <row r="201">
      <c r="A201" s="581"/>
      <c r="B201" s="1467"/>
      <c r="C201" s="624"/>
      <c r="D201" s="624"/>
      <c r="E201" s="624"/>
      <c r="F201" s="624"/>
      <c r="G201" s="1476"/>
      <c r="H201" s="1476"/>
      <c r="I201" s="1476"/>
      <c r="J201" s="1476"/>
      <c r="K201" s="1476"/>
      <c r="L201" s="624"/>
      <c r="M201" s="1474"/>
      <c r="N201" s="1474"/>
      <c r="O201" s="1474"/>
      <c r="P201" s="1467"/>
      <c r="Q201" s="581"/>
      <c r="R201" s="581"/>
      <c r="S201" s="581"/>
      <c r="T201" s="581"/>
      <c r="U201" s="581"/>
      <c r="V201" s="581"/>
      <c r="W201" s="1475"/>
      <c r="X201" s="581"/>
      <c r="Y201" s="581"/>
    </row>
    <row r="202">
      <c r="A202" s="581"/>
      <c r="B202" s="1467"/>
      <c r="C202" s="624"/>
      <c r="D202" s="624"/>
      <c r="E202" s="624"/>
      <c r="F202" s="624"/>
      <c r="G202" s="1476"/>
      <c r="H202" s="1476"/>
      <c r="I202" s="1476"/>
      <c r="J202" s="1476"/>
      <c r="K202" s="1476"/>
      <c r="L202" s="624"/>
      <c r="M202" s="1474"/>
      <c r="N202" s="1474"/>
      <c r="O202" s="1474"/>
      <c r="P202" s="1467"/>
      <c r="Q202" s="581"/>
      <c r="R202" s="581"/>
      <c r="S202" s="581"/>
      <c r="T202" s="581"/>
      <c r="U202" s="581"/>
      <c r="V202" s="581"/>
      <c r="W202" s="1475"/>
      <c r="X202" s="581"/>
      <c r="Y202" s="581"/>
    </row>
    <row r="203">
      <c r="A203" s="581"/>
      <c r="B203" s="1467"/>
      <c r="C203" s="624"/>
      <c r="D203" s="624"/>
      <c r="E203" s="624"/>
      <c r="F203" s="624"/>
      <c r="G203" s="1476"/>
      <c r="H203" s="1476"/>
      <c r="I203" s="1476"/>
      <c r="J203" s="1476"/>
      <c r="K203" s="1476"/>
      <c r="L203" s="624"/>
      <c r="M203" s="1474"/>
      <c r="N203" s="1474"/>
      <c r="O203" s="1474"/>
      <c r="P203" s="1467"/>
      <c r="Q203" s="581"/>
      <c r="R203" s="581"/>
      <c r="S203" s="581"/>
      <c r="T203" s="581"/>
      <c r="U203" s="581"/>
      <c r="V203" s="581"/>
      <c r="W203" s="1475"/>
      <c r="X203" s="581"/>
      <c r="Y203" s="581"/>
    </row>
    <row r="204">
      <c r="A204" s="581"/>
      <c r="B204" s="1467"/>
      <c r="C204" s="624"/>
      <c r="D204" s="624"/>
      <c r="E204" s="624"/>
      <c r="F204" s="624"/>
      <c r="G204" s="1476"/>
      <c r="H204" s="1476"/>
      <c r="I204" s="1476"/>
      <c r="J204" s="1476"/>
      <c r="K204" s="1476"/>
      <c r="L204" s="624"/>
      <c r="M204" s="1474"/>
      <c r="N204" s="1474"/>
      <c r="O204" s="1474"/>
      <c r="P204" s="1467"/>
      <c r="Q204" s="581"/>
      <c r="R204" s="581"/>
      <c r="S204" s="581"/>
      <c r="T204" s="581"/>
      <c r="U204" s="581"/>
      <c r="V204" s="581"/>
      <c r="W204" s="1475"/>
      <c r="X204" s="581"/>
      <c r="Y204" s="581"/>
    </row>
    <row r="205">
      <c r="A205" s="581"/>
      <c r="B205" s="1467"/>
      <c r="C205" s="624"/>
      <c r="D205" s="624"/>
      <c r="E205" s="624"/>
      <c r="F205" s="624"/>
      <c r="G205" s="1476"/>
      <c r="H205" s="1476"/>
      <c r="I205" s="1476"/>
      <c r="J205" s="1476"/>
      <c r="K205" s="1476"/>
      <c r="L205" s="624"/>
      <c r="M205" s="1474"/>
      <c r="N205" s="1474"/>
      <c r="O205" s="1474"/>
      <c r="P205" s="1467"/>
      <c r="Q205" s="581"/>
      <c r="R205" s="581"/>
      <c r="S205" s="581"/>
      <c r="T205" s="581"/>
      <c r="U205" s="581"/>
      <c r="V205" s="581"/>
      <c r="W205" s="1475"/>
      <c r="X205" s="581"/>
      <c r="Y205" s="581"/>
    </row>
    <row r="206">
      <c r="A206" s="581"/>
      <c r="B206" s="1467"/>
      <c r="C206" s="624"/>
      <c r="D206" s="624"/>
      <c r="E206" s="624"/>
      <c r="F206" s="624"/>
      <c r="G206" s="1476"/>
      <c r="H206" s="1476"/>
      <c r="I206" s="1476"/>
      <c r="J206" s="1476"/>
      <c r="K206" s="1476"/>
      <c r="L206" s="624"/>
      <c r="M206" s="1474"/>
      <c r="N206" s="1474"/>
      <c r="O206" s="1474"/>
      <c r="P206" s="1467"/>
      <c r="Q206" s="581"/>
      <c r="R206" s="581"/>
      <c r="S206" s="581"/>
      <c r="T206" s="581"/>
      <c r="U206" s="581"/>
      <c r="V206" s="581"/>
      <c r="W206" s="1475"/>
      <c r="X206" s="581"/>
      <c r="Y206" s="581"/>
    </row>
    <row r="207">
      <c r="A207" s="581"/>
      <c r="B207" s="1467"/>
      <c r="C207" s="624"/>
      <c r="D207" s="624"/>
      <c r="E207" s="624"/>
      <c r="F207" s="624"/>
      <c r="G207" s="1476"/>
      <c r="H207" s="1476"/>
      <c r="I207" s="1476"/>
      <c r="J207" s="1476"/>
      <c r="K207" s="1476"/>
      <c r="L207" s="624"/>
      <c r="M207" s="1474"/>
      <c r="N207" s="1474"/>
      <c r="O207" s="1474"/>
      <c r="P207" s="1467"/>
      <c r="Q207" s="581"/>
      <c r="R207" s="581"/>
      <c r="S207" s="581"/>
      <c r="T207" s="581"/>
      <c r="U207" s="581"/>
      <c r="V207" s="581"/>
      <c r="W207" s="1475"/>
      <c r="X207" s="581"/>
      <c r="Y207" s="581"/>
    </row>
    <row r="208">
      <c r="A208" s="581"/>
      <c r="B208" s="1467"/>
      <c r="C208" s="624"/>
      <c r="D208" s="624"/>
      <c r="E208" s="624"/>
      <c r="F208" s="624"/>
      <c r="G208" s="1476"/>
      <c r="H208" s="1476"/>
      <c r="I208" s="1476"/>
      <c r="J208" s="1476"/>
      <c r="K208" s="1476"/>
      <c r="L208" s="624"/>
      <c r="M208" s="1474"/>
      <c r="N208" s="1474"/>
      <c r="O208" s="1474"/>
      <c r="P208" s="1467"/>
      <c r="Q208" s="581"/>
      <c r="R208" s="581"/>
      <c r="S208" s="581"/>
      <c r="T208" s="581"/>
      <c r="U208" s="581"/>
      <c r="V208" s="581"/>
      <c r="W208" s="1475"/>
      <c r="X208" s="581"/>
      <c r="Y208" s="581"/>
    </row>
    <row r="209">
      <c r="A209" s="581"/>
      <c r="B209" s="1467"/>
      <c r="C209" s="624"/>
      <c r="D209" s="624"/>
      <c r="E209" s="624"/>
      <c r="F209" s="624"/>
      <c r="G209" s="1476"/>
      <c r="H209" s="1476"/>
      <c r="I209" s="1476"/>
      <c r="J209" s="1476"/>
      <c r="K209" s="1476"/>
      <c r="L209" s="624"/>
      <c r="M209" s="1474"/>
      <c r="N209" s="1474"/>
      <c r="O209" s="1474"/>
      <c r="P209" s="1467"/>
      <c r="Q209" s="581"/>
      <c r="R209" s="581"/>
      <c r="S209" s="581"/>
      <c r="T209" s="581"/>
      <c r="U209" s="581"/>
      <c r="V209" s="581"/>
      <c r="W209" s="1475"/>
      <c r="X209" s="581"/>
      <c r="Y209" s="581"/>
    </row>
    <row r="210">
      <c r="A210" s="581"/>
      <c r="B210" s="1467"/>
      <c r="C210" s="624"/>
      <c r="D210" s="624"/>
      <c r="E210" s="624"/>
      <c r="F210" s="624"/>
      <c r="G210" s="1476"/>
      <c r="H210" s="1476"/>
      <c r="I210" s="1476"/>
      <c r="J210" s="1476"/>
      <c r="K210" s="1476"/>
      <c r="L210" s="624"/>
      <c r="M210" s="1474"/>
      <c r="N210" s="1474"/>
      <c r="O210" s="1474"/>
      <c r="P210" s="1467"/>
      <c r="Q210" s="581"/>
      <c r="R210" s="581"/>
      <c r="S210" s="581"/>
      <c r="T210" s="581"/>
      <c r="U210" s="581"/>
      <c r="V210" s="581"/>
      <c r="W210" s="1475"/>
      <c r="X210" s="581"/>
      <c r="Y210" s="581"/>
    </row>
    <row r="211">
      <c r="A211" s="581"/>
      <c r="B211" s="1467"/>
      <c r="C211" s="624"/>
      <c r="D211" s="624"/>
      <c r="E211" s="624"/>
      <c r="F211" s="624"/>
      <c r="G211" s="1476"/>
      <c r="H211" s="1476"/>
      <c r="I211" s="1476"/>
      <c r="J211" s="1476"/>
      <c r="K211" s="1476"/>
      <c r="L211" s="624"/>
      <c r="M211" s="1474"/>
      <c r="N211" s="1474"/>
      <c r="O211" s="1474"/>
      <c r="P211" s="1467"/>
      <c r="Q211" s="581"/>
      <c r="R211" s="581"/>
      <c r="S211" s="581"/>
      <c r="T211" s="581"/>
      <c r="U211" s="581"/>
      <c r="V211" s="581"/>
      <c r="W211" s="1475"/>
      <c r="X211" s="581"/>
      <c r="Y211" s="581"/>
    </row>
    <row r="212">
      <c r="A212" s="581"/>
      <c r="B212" s="1467"/>
      <c r="C212" s="624"/>
      <c r="D212" s="624"/>
      <c r="E212" s="624"/>
      <c r="F212" s="624"/>
      <c r="G212" s="1476"/>
      <c r="H212" s="1476"/>
      <c r="I212" s="1476"/>
      <c r="J212" s="1476"/>
      <c r="K212" s="1476"/>
      <c r="L212" s="624"/>
      <c r="M212" s="1474"/>
      <c r="N212" s="1474"/>
      <c r="O212" s="1474"/>
      <c r="P212" s="1467"/>
      <c r="Q212" s="581"/>
      <c r="R212" s="581"/>
      <c r="S212" s="581"/>
      <c r="T212" s="581"/>
      <c r="U212" s="581"/>
      <c r="V212" s="581"/>
      <c r="W212" s="1475"/>
      <c r="X212" s="581"/>
      <c r="Y212" s="581"/>
    </row>
    <row r="213">
      <c r="A213" s="581"/>
      <c r="B213" s="1467"/>
      <c r="C213" s="624"/>
      <c r="D213" s="624"/>
      <c r="E213" s="624"/>
      <c r="F213" s="624"/>
      <c r="G213" s="1476"/>
      <c r="H213" s="1476"/>
      <c r="I213" s="1476"/>
      <c r="J213" s="1476"/>
      <c r="K213" s="1476"/>
      <c r="L213" s="624"/>
      <c r="M213" s="1474"/>
      <c r="N213" s="1474"/>
      <c r="O213" s="1474"/>
      <c r="P213" s="1467"/>
      <c r="Q213" s="581"/>
      <c r="R213" s="581"/>
      <c r="S213" s="581"/>
      <c r="T213" s="581"/>
      <c r="U213" s="581"/>
      <c r="V213" s="581"/>
      <c r="W213" s="1475"/>
      <c r="X213" s="581"/>
      <c r="Y213" s="581"/>
    </row>
    <row r="214">
      <c r="A214" s="581"/>
      <c r="B214" s="1467"/>
      <c r="C214" s="624"/>
      <c r="D214" s="624"/>
      <c r="E214" s="624"/>
      <c r="F214" s="624"/>
      <c r="G214" s="1476"/>
      <c r="H214" s="1476"/>
      <c r="I214" s="1476"/>
      <c r="J214" s="1476"/>
      <c r="K214" s="1476"/>
      <c r="L214" s="624"/>
      <c r="M214" s="1474"/>
      <c r="N214" s="1474"/>
      <c r="O214" s="1474"/>
      <c r="P214" s="1467"/>
      <c r="Q214" s="581"/>
      <c r="R214" s="581"/>
      <c r="S214" s="581"/>
      <c r="T214" s="581"/>
      <c r="U214" s="581"/>
      <c r="V214" s="581"/>
      <c r="W214" s="1475"/>
      <c r="X214" s="581"/>
      <c r="Y214" s="581"/>
    </row>
    <row r="215">
      <c r="A215" s="581"/>
      <c r="B215" s="1467"/>
      <c r="C215" s="624"/>
      <c r="D215" s="624"/>
      <c r="E215" s="624"/>
      <c r="F215" s="624"/>
      <c r="G215" s="1476"/>
      <c r="H215" s="1476"/>
      <c r="I215" s="1476"/>
      <c r="J215" s="1476"/>
      <c r="K215" s="1476"/>
      <c r="L215" s="624"/>
      <c r="M215" s="1474"/>
      <c r="N215" s="1474"/>
      <c r="O215" s="1474"/>
      <c r="P215" s="1467"/>
      <c r="Q215" s="581"/>
      <c r="R215" s="581"/>
      <c r="S215" s="581"/>
      <c r="T215" s="581"/>
      <c r="U215" s="581"/>
      <c r="V215" s="581"/>
      <c r="W215" s="1475"/>
      <c r="X215" s="581"/>
      <c r="Y215" s="581"/>
    </row>
    <row r="216">
      <c r="A216" s="581"/>
      <c r="B216" s="1467"/>
      <c r="C216" s="624"/>
      <c r="D216" s="624"/>
      <c r="E216" s="624"/>
      <c r="F216" s="624"/>
      <c r="G216" s="1476"/>
      <c r="H216" s="1476"/>
      <c r="I216" s="1476"/>
      <c r="J216" s="1476"/>
      <c r="K216" s="1476"/>
      <c r="L216" s="624"/>
      <c r="M216" s="1474"/>
      <c r="N216" s="1474"/>
      <c r="O216" s="1474"/>
      <c r="P216" s="1467"/>
      <c r="Q216" s="581"/>
      <c r="R216" s="581"/>
      <c r="S216" s="581"/>
      <c r="T216" s="581"/>
      <c r="U216" s="581"/>
      <c r="V216" s="581"/>
      <c r="W216" s="1475"/>
      <c r="X216" s="581"/>
      <c r="Y216" s="581"/>
    </row>
    <row r="217">
      <c r="A217" s="581"/>
      <c r="B217" s="1467"/>
      <c r="C217" s="624"/>
      <c r="D217" s="624"/>
      <c r="E217" s="624"/>
      <c r="F217" s="624"/>
      <c r="G217" s="1476"/>
      <c r="H217" s="1476"/>
      <c r="I217" s="1476"/>
      <c r="J217" s="1476"/>
      <c r="K217" s="1476"/>
      <c r="L217" s="624"/>
      <c r="M217" s="1474"/>
      <c r="N217" s="1474"/>
      <c r="O217" s="1474"/>
      <c r="P217" s="1467"/>
      <c r="Q217" s="581"/>
      <c r="R217" s="581"/>
      <c r="S217" s="581"/>
      <c r="T217" s="581"/>
      <c r="U217" s="581"/>
      <c r="V217" s="581"/>
      <c r="W217" s="1475"/>
      <c r="X217" s="581"/>
      <c r="Y217" s="581"/>
    </row>
    <row r="218">
      <c r="A218" s="581"/>
      <c r="B218" s="1467"/>
      <c r="C218" s="624"/>
      <c r="D218" s="624"/>
      <c r="E218" s="624"/>
      <c r="F218" s="624"/>
      <c r="G218" s="1476"/>
      <c r="H218" s="1476"/>
      <c r="I218" s="1476"/>
      <c r="J218" s="1476"/>
      <c r="K218" s="1476"/>
      <c r="L218" s="624"/>
      <c r="M218" s="1474"/>
      <c r="N218" s="1474"/>
      <c r="O218" s="1474"/>
      <c r="P218" s="1467"/>
      <c r="Q218" s="581"/>
      <c r="R218" s="581"/>
      <c r="S218" s="581"/>
      <c r="T218" s="581"/>
      <c r="U218" s="581"/>
      <c r="V218" s="581"/>
      <c r="W218" s="1475"/>
      <c r="X218" s="581"/>
      <c r="Y218" s="581"/>
    </row>
    <row r="219">
      <c r="A219" s="581"/>
      <c r="B219" s="1467"/>
      <c r="C219" s="624"/>
      <c r="D219" s="624"/>
      <c r="E219" s="624"/>
      <c r="F219" s="624"/>
      <c r="G219" s="1476"/>
      <c r="H219" s="1476"/>
      <c r="I219" s="1476"/>
      <c r="J219" s="1476"/>
      <c r="K219" s="1476"/>
      <c r="L219" s="624"/>
      <c r="M219" s="1474"/>
      <c r="N219" s="1474"/>
      <c r="O219" s="1474"/>
      <c r="P219" s="1467"/>
      <c r="Q219" s="581"/>
      <c r="R219" s="581"/>
      <c r="S219" s="581"/>
      <c r="T219" s="581"/>
      <c r="U219" s="581"/>
      <c r="V219" s="581"/>
      <c r="W219" s="1475"/>
      <c r="X219" s="581"/>
      <c r="Y219" s="581"/>
    </row>
    <row r="220">
      <c r="A220" s="581"/>
      <c r="B220" s="1467"/>
      <c r="C220" s="624"/>
      <c r="D220" s="624"/>
      <c r="E220" s="624"/>
      <c r="F220" s="624"/>
      <c r="G220" s="1476"/>
      <c r="H220" s="1476"/>
      <c r="I220" s="1476"/>
      <c r="J220" s="1476"/>
      <c r="K220" s="1476"/>
      <c r="L220" s="624"/>
      <c r="M220" s="1474"/>
      <c r="N220" s="1474"/>
      <c r="O220" s="1474"/>
      <c r="P220" s="1467"/>
      <c r="Q220" s="581"/>
      <c r="R220" s="581"/>
      <c r="S220" s="581"/>
      <c r="T220" s="581"/>
      <c r="U220" s="581"/>
      <c r="V220" s="581"/>
      <c r="W220" s="1475"/>
      <c r="X220" s="581"/>
      <c r="Y220" s="581"/>
    </row>
    <row r="221">
      <c r="A221" s="581"/>
      <c r="B221" s="1467"/>
      <c r="C221" s="624"/>
      <c r="D221" s="624"/>
      <c r="E221" s="624"/>
      <c r="F221" s="624"/>
      <c r="G221" s="1476"/>
      <c r="H221" s="1476"/>
      <c r="I221" s="1476"/>
      <c r="J221" s="1476"/>
      <c r="K221" s="1476"/>
      <c r="L221" s="624"/>
      <c r="M221" s="1474"/>
      <c r="N221" s="1474"/>
      <c r="O221" s="1474"/>
      <c r="P221" s="1467"/>
      <c r="Q221" s="581"/>
      <c r="R221" s="581"/>
      <c r="S221" s="581"/>
      <c r="T221" s="581"/>
      <c r="U221" s="581"/>
      <c r="V221" s="581"/>
      <c r="W221" s="1475"/>
      <c r="X221" s="581"/>
      <c r="Y221" s="581"/>
    </row>
    <row r="222">
      <c r="A222" s="581"/>
      <c r="B222" s="1467"/>
      <c r="C222" s="624"/>
      <c r="D222" s="624"/>
      <c r="E222" s="624"/>
      <c r="F222" s="624"/>
      <c r="G222" s="1476"/>
      <c r="H222" s="1476"/>
      <c r="I222" s="1476"/>
      <c r="J222" s="1476"/>
      <c r="K222" s="1476"/>
      <c r="L222" s="624"/>
      <c r="M222" s="1474"/>
      <c r="N222" s="1474"/>
      <c r="O222" s="1474"/>
      <c r="P222" s="1467"/>
      <c r="Q222" s="581"/>
      <c r="R222" s="581"/>
      <c r="S222" s="581"/>
      <c r="T222" s="581"/>
      <c r="U222" s="581"/>
      <c r="V222" s="581"/>
      <c r="W222" s="1475"/>
      <c r="X222" s="581"/>
      <c r="Y222" s="581"/>
    </row>
    <row r="223">
      <c r="A223" s="581"/>
      <c r="B223" s="1467"/>
      <c r="C223" s="624"/>
      <c r="D223" s="624"/>
      <c r="E223" s="624"/>
      <c r="F223" s="624"/>
      <c r="G223" s="1476"/>
      <c r="H223" s="1476"/>
      <c r="I223" s="1476"/>
      <c r="J223" s="1476"/>
      <c r="K223" s="1476"/>
      <c r="L223" s="624"/>
      <c r="M223" s="1474"/>
      <c r="N223" s="1474"/>
      <c r="O223" s="1474"/>
      <c r="P223" s="1467"/>
      <c r="Q223" s="581"/>
      <c r="R223" s="581"/>
      <c r="S223" s="581"/>
      <c r="T223" s="581"/>
      <c r="U223" s="581"/>
      <c r="V223" s="581"/>
      <c r="W223" s="1475"/>
      <c r="X223" s="581"/>
      <c r="Y223" s="581"/>
    </row>
    <row r="224">
      <c r="A224" s="581"/>
      <c r="B224" s="1467"/>
      <c r="C224" s="624"/>
      <c r="D224" s="624"/>
      <c r="E224" s="624"/>
      <c r="F224" s="624"/>
      <c r="G224" s="1476"/>
      <c r="H224" s="1476"/>
      <c r="I224" s="1476"/>
      <c r="J224" s="1476"/>
      <c r="K224" s="1476"/>
      <c r="L224" s="624"/>
      <c r="M224" s="1474"/>
      <c r="N224" s="1474"/>
      <c r="O224" s="1474"/>
      <c r="P224" s="1467"/>
      <c r="Q224" s="581"/>
      <c r="R224" s="581"/>
      <c r="S224" s="581"/>
      <c r="T224" s="581"/>
      <c r="U224" s="581"/>
      <c r="V224" s="581"/>
      <c r="W224" s="1475"/>
      <c r="X224" s="581"/>
      <c r="Y224" s="581"/>
    </row>
    <row r="225">
      <c r="A225" s="581"/>
      <c r="B225" s="1467"/>
      <c r="C225" s="624"/>
      <c r="D225" s="624"/>
      <c r="E225" s="624"/>
      <c r="F225" s="624"/>
      <c r="G225" s="1476"/>
      <c r="H225" s="1476"/>
      <c r="I225" s="1476"/>
      <c r="J225" s="1476"/>
      <c r="K225" s="1476"/>
      <c r="L225" s="624"/>
      <c r="M225" s="1474"/>
      <c r="N225" s="1474"/>
      <c r="O225" s="1474"/>
      <c r="P225" s="1467"/>
      <c r="Q225" s="581"/>
      <c r="R225" s="581"/>
      <c r="S225" s="581"/>
      <c r="T225" s="581"/>
      <c r="U225" s="581"/>
      <c r="V225" s="581"/>
      <c r="W225" s="1475"/>
      <c r="X225" s="581"/>
      <c r="Y225" s="581"/>
    </row>
    <row r="226">
      <c r="A226" s="581"/>
      <c r="B226" s="1467"/>
      <c r="C226" s="624"/>
      <c r="D226" s="624"/>
      <c r="E226" s="624"/>
      <c r="F226" s="624"/>
      <c r="G226" s="1476"/>
      <c r="H226" s="1476"/>
      <c r="I226" s="1476"/>
      <c r="J226" s="1476"/>
      <c r="K226" s="1476"/>
      <c r="L226" s="624"/>
      <c r="M226" s="1474"/>
      <c r="N226" s="1474"/>
      <c r="O226" s="1474"/>
      <c r="P226" s="1467"/>
      <c r="Q226" s="581"/>
      <c r="R226" s="581"/>
      <c r="S226" s="581"/>
      <c r="T226" s="581"/>
      <c r="U226" s="581"/>
      <c r="V226" s="581"/>
      <c r="W226" s="1475"/>
      <c r="X226" s="581"/>
      <c r="Y226" s="581"/>
    </row>
    <row r="227">
      <c r="A227" s="581"/>
      <c r="B227" s="1467"/>
      <c r="C227" s="624"/>
      <c r="D227" s="624"/>
      <c r="E227" s="624"/>
      <c r="F227" s="624"/>
      <c r="G227" s="1476"/>
      <c r="H227" s="1476"/>
      <c r="I227" s="1476"/>
      <c r="J227" s="1476"/>
      <c r="K227" s="1476"/>
      <c r="L227" s="624"/>
      <c r="M227" s="1474"/>
      <c r="N227" s="1474"/>
      <c r="O227" s="1474"/>
      <c r="P227" s="1467"/>
      <c r="Q227" s="581"/>
      <c r="R227" s="581"/>
      <c r="S227" s="581"/>
      <c r="T227" s="581"/>
      <c r="U227" s="581"/>
      <c r="V227" s="581"/>
      <c r="W227" s="1475"/>
      <c r="X227" s="581"/>
      <c r="Y227" s="581"/>
    </row>
    <row r="228">
      <c r="A228" s="581"/>
      <c r="B228" s="1467"/>
      <c r="C228" s="624"/>
      <c r="D228" s="624"/>
      <c r="E228" s="624"/>
      <c r="F228" s="624"/>
      <c r="G228" s="1476"/>
      <c r="H228" s="1476"/>
      <c r="I228" s="1476"/>
      <c r="J228" s="1476"/>
      <c r="K228" s="1476"/>
      <c r="L228" s="624"/>
      <c r="M228" s="1474"/>
      <c r="N228" s="1474"/>
      <c r="O228" s="1474"/>
      <c r="P228" s="1467"/>
      <c r="Q228" s="581"/>
      <c r="R228" s="581"/>
      <c r="S228" s="581"/>
      <c r="T228" s="581"/>
      <c r="U228" s="581"/>
      <c r="V228" s="581"/>
      <c r="W228" s="1475"/>
      <c r="X228" s="581"/>
      <c r="Y228" s="581"/>
    </row>
    <row r="229">
      <c r="A229" s="581"/>
      <c r="B229" s="1467"/>
      <c r="C229" s="624"/>
      <c r="D229" s="624"/>
      <c r="E229" s="624"/>
      <c r="F229" s="624"/>
      <c r="G229" s="1476"/>
      <c r="H229" s="1476"/>
      <c r="I229" s="1476"/>
      <c r="J229" s="1476"/>
      <c r="K229" s="1476"/>
      <c r="L229" s="624"/>
      <c r="M229" s="1474"/>
      <c r="N229" s="1474"/>
      <c r="O229" s="1474"/>
      <c r="P229" s="1467"/>
      <c r="Q229" s="581"/>
      <c r="R229" s="581"/>
      <c r="S229" s="581"/>
      <c r="T229" s="581"/>
      <c r="U229" s="581"/>
      <c r="V229" s="581"/>
      <c r="W229" s="1475"/>
      <c r="X229" s="581"/>
      <c r="Y229" s="581"/>
    </row>
    <row r="230">
      <c r="A230" s="581"/>
      <c r="B230" s="1467"/>
      <c r="C230" s="624"/>
      <c r="D230" s="624"/>
      <c r="E230" s="624"/>
      <c r="F230" s="624"/>
      <c r="G230" s="1476"/>
      <c r="H230" s="1476"/>
      <c r="I230" s="1476"/>
      <c r="J230" s="1476"/>
      <c r="K230" s="1476"/>
      <c r="L230" s="624"/>
      <c r="M230" s="1474"/>
      <c r="N230" s="1474"/>
      <c r="O230" s="1474"/>
      <c r="P230" s="1467"/>
      <c r="Q230" s="581"/>
      <c r="R230" s="581"/>
      <c r="S230" s="581"/>
      <c r="T230" s="581"/>
      <c r="U230" s="581"/>
      <c r="V230" s="581"/>
      <c r="W230" s="1475"/>
      <c r="X230" s="581"/>
      <c r="Y230" s="581"/>
    </row>
    <row r="231">
      <c r="A231" s="581"/>
      <c r="B231" s="1467"/>
      <c r="C231" s="624"/>
      <c r="D231" s="624"/>
      <c r="E231" s="624"/>
      <c r="F231" s="624"/>
      <c r="G231" s="1476"/>
      <c r="H231" s="1476"/>
      <c r="I231" s="1476"/>
      <c r="J231" s="1476"/>
      <c r="K231" s="1476"/>
      <c r="L231" s="624"/>
      <c r="M231" s="1474"/>
      <c r="N231" s="1474"/>
      <c r="O231" s="1474"/>
      <c r="P231" s="1467"/>
      <c r="Q231" s="581"/>
      <c r="R231" s="581"/>
      <c r="S231" s="581"/>
      <c r="T231" s="581"/>
      <c r="U231" s="581"/>
      <c r="V231" s="581"/>
      <c r="W231" s="1475"/>
      <c r="X231" s="581"/>
      <c r="Y231" s="581"/>
    </row>
    <row r="232">
      <c r="A232" s="581"/>
      <c r="B232" s="1467"/>
      <c r="C232" s="624"/>
      <c r="D232" s="624"/>
      <c r="E232" s="624"/>
      <c r="F232" s="624"/>
      <c r="G232" s="1476"/>
      <c r="H232" s="1476"/>
      <c r="I232" s="1476"/>
      <c r="J232" s="1476"/>
      <c r="K232" s="1476"/>
      <c r="L232" s="624"/>
      <c r="M232" s="1474"/>
      <c r="N232" s="1474"/>
      <c r="O232" s="1474"/>
      <c r="P232" s="1467"/>
      <c r="Q232" s="581"/>
      <c r="R232" s="581"/>
      <c r="S232" s="581"/>
      <c r="T232" s="581"/>
      <c r="U232" s="581"/>
      <c r="V232" s="581"/>
      <c r="W232" s="1475"/>
      <c r="X232" s="581"/>
      <c r="Y232" s="581"/>
    </row>
    <row r="233">
      <c r="A233" s="581"/>
      <c r="B233" s="1467"/>
      <c r="C233" s="624"/>
      <c r="D233" s="624"/>
      <c r="E233" s="624"/>
      <c r="F233" s="624"/>
      <c r="G233" s="1476"/>
      <c r="H233" s="1476"/>
      <c r="I233" s="1476"/>
      <c r="J233" s="1476"/>
      <c r="K233" s="1476"/>
      <c r="L233" s="624"/>
      <c r="M233" s="1474"/>
      <c r="N233" s="1474"/>
      <c r="O233" s="1474"/>
      <c r="P233" s="1467"/>
      <c r="Q233" s="581"/>
      <c r="R233" s="581"/>
      <c r="S233" s="581"/>
      <c r="T233" s="581"/>
      <c r="U233" s="581"/>
      <c r="V233" s="581"/>
      <c r="W233" s="1475"/>
      <c r="X233" s="581"/>
      <c r="Y233" s="581"/>
    </row>
    <row r="234">
      <c r="A234" s="581"/>
      <c r="B234" s="1467"/>
      <c r="C234" s="624"/>
      <c r="D234" s="624"/>
      <c r="E234" s="624"/>
      <c r="F234" s="624"/>
      <c r="G234" s="1476"/>
      <c r="H234" s="1476"/>
      <c r="I234" s="1476"/>
      <c r="J234" s="1476"/>
      <c r="K234" s="1476"/>
      <c r="L234" s="624"/>
      <c r="M234" s="1474"/>
      <c r="N234" s="1474"/>
      <c r="O234" s="1474"/>
      <c r="P234" s="1467"/>
      <c r="Q234" s="581"/>
      <c r="R234" s="581"/>
      <c r="S234" s="581"/>
      <c r="T234" s="581"/>
      <c r="U234" s="581"/>
      <c r="V234" s="581"/>
      <c r="W234" s="1475"/>
      <c r="X234" s="581"/>
      <c r="Y234" s="581"/>
    </row>
    <row r="235">
      <c r="A235" s="581"/>
      <c r="B235" s="1467"/>
      <c r="C235" s="624"/>
      <c r="D235" s="624"/>
      <c r="E235" s="624"/>
      <c r="F235" s="624"/>
      <c r="G235" s="1476"/>
      <c r="H235" s="1476"/>
      <c r="I235" s="1476"/>
      <c r="J235" s="1476"/>
      <c r="K235" s="1476"/>
      <c r="L235" s="624"/>
      <c r="M235" s="1474"/>
      <c r="N235" s="1474"/>
      <c r="O235" s="1474"/>
      <c r="P235" s="1467"/>
      <c r="Q235" s="581"/>
      <c r="R235" s="581"/>
      <c r="S235" s="581"/>
      <c r="T235" s="581"/>
      <c r="U235" s="581"/>
      <c r="V235" s="581"/>
      <c r="W235" s="1475"/>
      <c r="X235" s="581"/>
      <c r="Y235" s="581"/>
    </row>
    <row r="236">
      <c r="A236" s="581"/>
      <c r="B236" s="1467"/>
      <c r="C236" s="624"/>
      <c r="D236" s="624"/>
      <c r="E236" s="624"/>
      <c r="F236" s="624"/>
      <c r="G236" s="1476"/>
      <c r="H236" s="1476"/>
      <c r="I236" s="1476"/>
      <c r="J236" s="1476"/>
      <c r="K236" s="1476"/>
      <c r="L236" s="624"/>
      <c r="M236" s="1474"/>
      <c r="N236" s="1474"/>
      <c r="O236" s="1474"/>
      <c r="P236" s="1467"/>
      <c r="Q236" s="581"/>
      <c r="R236" s="581"/>
      <c r="S236" s="581"/>
      <c r="T236" s="581"/>
      <c r="U236" s="581"/>
      <c r="V236" s="581"/>
      <c r="W236" s="1475"/>
      <c r="X236" s="581"/>
      <c r="Y236" s="581"/>
    </row>
    <row r="237">
      <c r="A237" s="581"/>
      <c r="B237" s="1467"/>
      <c r="C237" s="624"/>
      <c r="D237" s="624"/>
      <c r="E237" s="624"/>
      <c r="F237" s="624"/>
      <c r="G237" s="1476"/>
      <c r="H237" s="1476"/>
      <c r="I237" s="1476"/>
      <c r="J237" s="1476"/>
      <c r="K237" s="1476"/>
      <c r="L237" s="624"/>
      <c r="M237" s="1474"/>
      <c r="N237" s="1474"/>
      <c r="O237" s="1474"/>
      <c r="P237" s="1467"/>
      <c r="Q237" s="581"/>
      <c r="R237" s="581"/>
      <c r="S237" s="581"/>
      <c r="T237" s="581"/>
      <c r="U237" s="581"/>
      <c r="V237" s="581"/>
      <c r="W237" s="1475"/>
      <c r="X237" s="581"/>
      <c r="Y237" s="581"/>
    </row>
    <row r="238">
      <c r="A238" s="581"/>
      <c r="B238" s="1467"/>
      <c r="C238" s="624"/>
      <c r="D238" s="624"/>
      <c r="E238" s="624"/>
      <c r="F238" s="624"/>
      <c r="G238" s="1476"/>
      <c r="H238" s="1476"/>
      <c r="I238" s="1476"/>
      <c r="J238" s="1476"/>
      <c r="K238" s="1476"/>
      <c r="L238" s="624"/>
      <c r="M238" s="1474"/>
      <c r="N238" s="1474"/>
      <c r="O238" s="1474"/>
      <c r="P238" s="1467"/>
      <c r="Q238" s="581"/>
      <c r="R238" s="581"/>
      <c r="S238" s="581"/>
      <c r="T238" s="581"/>
      <c r="U238" s="581"/>
      <c r="V238" s="581"/>
      <c r="W238" s="1475"/>
      <c r="X238" s="581"/>
      <c r="Y238" s="581"/>
    </row>
    <row r="239">
      <c r="A239" s="581"/>
      <c r="B239" s="1467"/>
      <c r="C239" s="624"/>
      <c r="D239" s="624"/>
      <c r="E239" s="624"/>
      <c r="F239" s="624"/>
      <c r="G239" s="1476"/>
      <c r="H239" s="1476"/>
      <c r="I239" s="1476"/>
      <c r="J239" s="1476"/>
      <c r="K239" s="1476"/>
      <c r="L239" s="624"/>
      <c r="M239" s="1474"/>
      <c r="N239" s="1474"/>
      <c r="O239" s="1474"/>
      <c r="P239" s="1467"/>
      <c r="Q239" s="581"/>
      <c r="R239" s="581"/>
      <c r="S239" s="581"/>
      <c r="T239" s="581"/>
      <c r="U239" s="581"/>
      <c r="V239" s="581"/>
      <c r="W239" s="1475"/>
      <c r="X239" s="581"/>
      <c r="Y239" s="581"/>
    </row>
    <row r="240">
      <c r="A240" s="581"/>
      <c r="B240" s="1467"/>
      <c r="C240" s="624"/>
      <c r="D240" s="624"/>
      <c r="E240" s="624"/>
      <c r="F240" s="624"/>
      <c r="G240" s="1476"/>
      <c r="H240" s="1476"/>
      <c r="I240" s="1476"/>
      <c r="J240" s="1476"/>
      <c r="K240" s="1476"/>
      <c r="L240" s="624"/>
      <c r="M240" s="1474"/>
      <c r="N240" s="1474"/>
      <c r="O240" s="1474"/>
      <c r="P240" s="1467"/>
      <c r="Q240" s="581"/>
      <c r="R240" s="581"/>
      <c r="S240" s="581"/>
      <c r="T240" s="581"/>
      <c r="U240" s="581"/>
      <c r="V240" s="581"/>
      <c r="W240" s="1475"/>
      <c r="X240" s="581"/>
      <c r="Y240" s="581"/>
    </row>
    <row r="241">
      <c r="A241" s="581"/>
      <c r="B241" s="1467"/>
      <c r="C241" s="624"/>
      <c r="D241" s="624"/>
      <c r="E241" s="624"/>
      <c r="F241" s="624"/>
      <c r="G241" s="1476"/>
      <c r="H241" s="1476"/>
      <c r="I241" s="1476"/>
      <c r="J241" s="1476"/>
      <c r="K241" s="1476"/>
      <c r="L241" s="624"/>
      <c r="M241" s="1474"/>
      <c r="N241" s="1474"/>
      <c r="O241" s="1474"/>
      <c r="P241" s="1467"/>
      <c r="Q241" s="581"/>
      <c r="R241" s="581"/>
      <c r="S241" s="581"/>
      <c r="T241" s="581"/>
      <c r="U241" s="581"/>
      <c r="V241" s="581"/>
      <c r="W241" s="1475"/>
      <c r="X241" s="581"/>
      <c r="Y241" s="581"/>
    </row>
    <row r="242">
      <c r="A242" s="581"/>
      <c r="B242" s="1467"/>
      <c r="C242" s="624"/>
      <c r="D242" s="624"/>
      <c r="E242" s="624"/>
      <c r="F242" s="624"/>
      <c r="G242" s="1476"/>
      <c r="H242" s="1476"/>
      <c r="I242" s="1476"/>
      <c r="J242" s="1476"/>
      <c r="K242" s="1476"/>
      <c r="L242" s="624"/>
      <c r="M242" s="1474"/>
      <c r="N242" s="1474"/>
      <c r="O242" s="1474"/>
      <c r="P242" s="1467"/>
      <c r="Q242" s="581"/>
      <c r="R242" s="581"/>
      <c r="S242" s="581"/>
      <c r="T242" s="581"/>
      <c r="U242" s="581"/>
      <c r="V242" s="581"/>
      <c r="W242" s="1475"/>
      <c r="X242" s="581"/>
      <c r="Y242" s="581"/>
    </row>
    <row r="243">
      <c r="A243" s="581"/>
      <c r="B243" s="1467"/>
      <c r="C243" s="624"/>
      <c r="D243" s="624"/>
      <c r="E243" s="624"/>
      <c r="F243" s="624"/>
      <c r="G243" s="1476"/>
      <c r="H243" s="1476"/>
      <c r="I243" s="1476"/>
      <c r="J243" s="1476"/>
      <c r="K243" s="1476"/>
      <c r="L243" s="624"/>
      <c r="M243" s="1474"/>
      <c r="N243" s="1474"/>
      <c r="O243" s="1474"/>
      <c r="P243" s="1467"/>
      <c r="Q243" s="581"/>
      <c r="R243" s="581"/>
      <c r="S243" s="581"/>
      <c r="T243" s="581"/>
      <c r="U243" s="581"/>
      <c r="V243" s="581"/>
      <c r="W243" s="1475"/>
      <c r="X243" s="581"/>
      <c r="Y243" s="581"/>
    </row>
    <row r="244">
      <c r="A244" s="581"/>
      <c r="B244" s="1467"/>
      <c r="C244" s="624"/>
      <c r="D244" s="624"/>
      <c r="E244" s="624"/>
      <c r="F244" s="624"/>
      <c r="G244" s="1476"/>
      <c r="H244" s="1476"/>
      <c r="I244" s="1476"/>
      <c r="J244" s="1476"/>
      <c r="K244" s="1476"/>
      <c r="L244" s="624"/>
      <c r="M244" s="1474"/>
      <c r="N244" s="1474"/>
      <c r="O244" s="1474"/>
      <c r="P244" s="1467"/>
      <c r="Q244" s="581"/>
      <c r="R244" s="581"/>
      <c r="S244" s="581"/>
      <c r="T244" s="581"/>
      <c r="U244" s="581"/>
      <c r="V244" s="581"/>
      <c r="W244" s="1475"/>
      <c r="X244" s="581"/>
      <c r="Y244" s="581"/>
    </row>
    <row r="245">
      <c r="A245" s="581"/>
      <c r="B245" s="1467"/>
      <c r="C245" s="624"/>
      <c r="D245" s="624"/>
      <c r="E245" s="624"/>
      <c r="F245" s="624"/>
      <c r="G245" s="1476"/>
      <c r="H245" s="1476"/>
      <c r="I245" s="1476"/>
      <c r="J245" s="1476"/>
      <c r="K245" s="1476"/>
      <c r="L245" s="624"/>
      <c r="M245" s="1474"/>
      <c r="N245" s="1474"/>
      <c r="O245" s="1474"/>
      <c r="P245" s="1467"/>
      <c r="Q245" s="581"/>
      <c r="R245" s="581"/>
      <c r="S245" s="581"/>
      <c r="T245" s="581"/>
      <c r="U245" s="581"/>
      <c r="V245" s="581"/>
      <c r="W245" s="1475"/>
      <c r="X245" s="581"/>
      <c r="Y245" s="581"/>
    </row>
    <row r="246">
      <c r="A246" s="581"/>
      <c r="B246" s="1467"/>
      <c r="C246" s="624"/>
      <c r="D246" s="624"/>
      <c r="E246" s="624"/>
      <c r="F246" s="624"/>
      <c r="G246" s="1476"/>
      <c r="H246" s="1476"/>
      <c r="I246" s="1476"/>
      <c r="J246" s="1476"/>
      <c r="K246" s="1476"/>
      <c r="L246" s="624"/>
      <c r="M246" s="1474"/>
      <c r="N246" s="1474"/>
      <c r="O246" s="1474"/>
      <c r="P246" s="1467"/>
      <c r="Q246" s="581"/>
      <c r="R246" s="581"/>
      <c r="S246" s="581"/>
      <c r="T246" s="581"/>
      <c r="U246" s="581"/>
      <c r="V246" s="581"/>
      <c r="W246" s="1475"/>
      <c r="X246" s="581"/>
      <c r="Y246" s="581"/>
    </row>
    <row r="247">
      <c r="A247" s="581"/>
      <c r="B247" s="1467"/>
      <c r="C247" s="624"/>
      <c r="D247" s="624"/>
      <c r="E247" s="624"/>
      <c r="F247" s="624"/>
      <c r="G247" s="1476"/>
      <c r="H247" s="1476"/>
      <c r="I247" s="1476"/>
      <c r="J247" s="1476"/>
      <c r="K247" s="1476"/>
      <c r="L247" s="624"/>
      <c r="M247" s="1474"/>
      <c r="N247" s="1474"/>
      <c r="O247" s="1474"/>
      <c r="P247" s="1467"/>
      <c r="Q247" s="581"/>
      <c r="R247" s="581"/>
      <c r="S247" s="581"/>
      <c r="T247" s="581"/>
      <c r="U247" s="581"/>
      <c r="V247" s="581"/>
      <c r="W247" s="1475"/>
      <c r="X247" s="581"/>
      <c r="Y247" s="581"/>
    </row>
    <row r="248">
      <c r="A248" s="581"/>
      <c r="B248" s="1467"/>
      <c r="C248" s="624"/>
      <c r="D248" s="624"/>
      <c r="E248" s="624"/>
      <c r="F248" s="624"/>
      <c r="G248" s="1476"/>
      <c r="H248" s="1476"/>
      <c r="I248" s="1476"/>
      <c r="J248" s="1476"/>
      <c r="K248" s="1476"/>
      <c r="L248" s="624"/>
      <c r="M248" s="1474"/>
      <c r="N248" s="1474"/>
      <c r="O248" s="1474"/>
      <c r="P248" s="1467"/>
      <c r="Q248" s="581"/>
      <c r="R248" s="581"/>
      <c r="S248" s="581"/>
      <c r="T248" s="581"/>
      <c r="U248" s="581"/>
      <c r="V248" s="581"/>
      <c r="W248" s="1475"/>
      <c r="X248" s="581"/>
      <c r="Y248" s="581"/>
    </row>
    <row r="249">
      <c r="A249" s="581"/>
      <c r="B249" s="1467"/>
      <c r="C249" s="624"/>
      <c r="D249" s="624"/>
      <c r="E249" s="624"/>
      <c r="F249" s="624"/>
      <c r="G249" s="1476"/>
      <c r="H249" s="1476"/>
      <c r="I249" s="1476"/>
      <c r="J249" s="1476"/>
      <c r="K249" s="1476"/>
      <c r="L249" s="624"/>
      <c r="M249" s="1474"/>
      <c r="N249" s="1474"/>
      <c r="O249" s="1474"/>
      <c r="P249" s="1467"/>
      <c r="Q249" s="581"/>
      <c r="R249" s="581"/>
      <c r="S249" s="581"/>
      <c r="T249" s="581"/>
      <c r="U249" s="581"/>
      <c r="V249" s="581"/>
      <c r="W249" s="1475"/>
      <c r="X249" s="581"/>
      <c r="Y249" s="581"/>
    </row>
    <row r="250">
      <c r="A250" s="581"/>
      <c r="B250" s="1467"/>
      <c r="C250" s="624"/>
      <c r="D250" s="624"/>
      <c r="E250" s="624"/>
      <c r="F250" s="624"/>
      <c r="G250" s="1476"/>
      <c r="H250" s="1476"/>
      <c r="I250" s="1476"/>
      <c r="J250" s="1476"/>
      <c r="K250" s="1476"/>
      <c r="L250" s="624"/>
      <c r="M250" s="1474"/>
      <c r="N250" s="1474"/>
      <c r="O250" s="1474"/>
      <c r="P250" s="1467"/>
      <c r="Q250" s="581"/>
      <c r="R250" s="581"/>
      <c r="S250" s="581"/>
      <c r="T250" s="581"/>
      <c r="U250" s="581"/>
      <c r="V250" s="581"/>
      <c r="W250" s="1475"/>
      <c r="X250" s="581"/>
      <c r="Y250" s="581"/>
    </row>
    <row r="251">
      <c r="A251" s="581"/>
      <c r="B251" s="1467"/>
      <c r="C251" s="624"/>
      <c r="D251" s="624"/>
      <c r="E251" s="624"/>
      <c r="F251" s="624"/>
      <c r="G251" s="1476"/>
      <c r="H251" s="1476"/>
      <c r="I251" s="1476"/>
      <c r="J251" s="1476"/>
      <c r="K251" s="1476"/>
      <c r="L251" s="624"/>
      <c r="M251" s="1474"/>
      <c r="N251" s="1474"/>
      <c r="O251" s="1474"/>
      <c r="P251" s="1467"/>
      <c r="Q251" s="581"/>
      <c r="R251" s="581"/>
      <c r="S251" s="581"/>
      <c r="T251" s="581"/>
      <c r="U251" s="581"/>
      <c r="V251" s="581"/>
      <c r="W251" s="1475"/>
      <c r="X251" s="581"/>
      <c r="Y251" s="581"/>
    </row>
    <row r="252">
      <c r="A252" s="581"/>
      <c r="B252" s="1467"/>
      <c r="C252" s="624"/>
      <c r="D252" s="624"/>
      <c r="E252" s="624"/>
      <c r="F252" s="624"/>
      <c r="G252" s="1476"/>
      <c r="H252" s="1476"/>
      <c r="I252" s="1476"/>
      <c r="J252" s="1476"/>
      <c r="K252" s="1476"/>
      <c r="L252" s="624"/>
      <c r="M252" s="1474"/>
      <c r="N252" s="1474"/>
      <c r="O252" s="1474"/>
      <c r="P252" s="1467"/>
      <c r="Q252" s="581"/>
      <c r="R252" s="581"/>
      <c r="S252" s="581"/>
      <c r="T252" s="581"/>
      <c r="U252" s="581"/>
      <c r="V252" s="581"/>
      <c r="W252" s="1475"/>
      <c r="X252" s="581"/>
      <c r="Y252" s="581"/>
    </row>
    <row r="253">
      <c r="A253" s="581"/>
      <c r="B253" s="1467"/>
      <c r="C253" s="624"/>
      <c r="D253" s="624"/>
      <c r="E253" s="624"/>
      <c r="F253" s="624"/>
      <c r="G253" s="1476"/>
      <c r="H253" s="1476"/>
      <c r="I253" s="1476"/>
      <c r="J253" s="1476"/>
      <c r="K253" s="1476"/>
      <c r="L253" s="624"/>
      <c r="M253" s="1474"/>
      <c r="N253" s="1474"/>
      <c r="O253" s="1474"/>
      <c r="P253" s="1467"/>
      <c r="Q253" s="581"/>
      <c r="R253" s="581"/>
      <c r="S253" s="581"/>
      <c r="T253" s="581"/>
      <c r="U253" s="581"/>
      <c r="V253" s="581"/>
      <c r="W253" s="1475"/>
      <c r="X253" s="581"/>
      <c r="Y253" s="581"/>
    </row>
    <row r="254">
      <c r="A254" s="581"/>
      <c r="B254" s="1467"/>
      <c r="C254" s="624"/>
      <c r="D254" s="624"/>
      <c r="E254" s="624"/>
      <c r="F254" s="624"/>
      <c r="G254" s="1476"/>
      <c r="H254" s="1476"/>
      <c r="I254" s="1476"/>
      <c r="J254" s="1476"/>
      <c r="K254" s="1476"/>
      <c r="L254" s="624"/>
      <c r="M254" s="1474"/>
      <c r="N254" s="1474"/>
      <c r="O254" s="1474"/>
      <c r="P254" s="1467"/>
      <c r="Q254" s="581"/>
      <c r="R254" s="581"/>
      <c r="S254" s="581"/>
      <c r="T254" s="581"/>
      <c r="U254" s="581"/>
      <c r="V254" s="581"/>
      <c r="W254" s="1475"/>
      <c r="X254" s="581"/>
      <c r="Y254" s="581"/>
    </row>
    <row r="255">
      <c r="A255" s="581"/>
      <c r="B255" s="1467"/>
      <c r="C255" s="624"/>
      <c r="D255" s="624"/>
      <c r="E255" s="624"/>
      <c r="F255" s="624"/>
      <c r="G255" s="1476"/>
      <c r="H255" s="1476"/>
      <c r="I255" s="1476"/>
      <c r="J255" s="1476"/>
      <c r="K255" s="1476"/>
      <c r="L255" s="624"/>
      <c r="M255" s="1474"/>
      <c r="N255" s="1474"/>
      <c r="O255" s="1474"/>
      <c r="P255" s="1467"/>
      <c r="Q255" s="581"/>
      <c r="R255" s="581"/>
      <c r="S255" s="581"/>
      <c r="T255" s="581"/>
      <c r="U255" s="581"/>
      <c r="V255" s="581"/>
      <c r="W255" s="1475"/>
      <c r="X255" s="581"/>
      <c r="Y255" s="581"/>
    </row>
    <row r="256">
      <c r="A256" s="581"/>
      <c r="B256" s="1467"/>
      <c r="C256" s="624"/>
      <c r="D256" s="624"/>
      <c r="E256" s="624"/>
      <c r="F256" s="624"/>
      <c r="G256" s="1476"/>
      <c r="H256" s="1476"/>
      <c r="I256" s="1476"/>
      <c r="J256" s="1476"/>
      <c r="K256" s="1476"/>
      <c r="L256" s="624"/>
      <c r="M256" s="1474"/>
      <c r="N256" s="1474"/>
      <c r="O256" s="1474"/>
      <c r="P256" s="1467"/>
      <c r="Q256" s="581"/>
      <c r="R256" s="581"/>
      <c r="S256" s="581"/>
      <c r="T256" s="581"/>
      <c r="U256" s="581"/>
      <c r="V256" s="581"/>
      <c r="W256" s="1475"/>
      <c r="X256" s="581"/>
      <c r="Y256" s="581"/>
    </row>
    <row r="257">
      <c r="A257" s="581"/>
      <c r="B257" s="1467"/>
      <c r="C257" s="624"/>
      <c r="D257" s="624"/>
      <c r="E257" s="624"/>
      <c r="F257" s="624"/>
      <c r="G257" s="1476"/>
      <c r="H257" s="1476"/>
      <c r="I257" s="1476"/>
      <c r="J257" s="1476"/>
      <c r="K257" s="1476"/>
      <c r="L257" s="624"/>
      <c r="M257" s="1474"/>
      <c r="N257" s="1474"/>
      <c r="O257" s="1474"/>
      <c r="P257" s="1467"/>
      <c r="Q257" s="581"/>
      <c r="R257" s="581"/>
      <c r="S257" s="581"/>
      <c r="T257" s="581"/>
      <c r="U257" s="581"/>
      <c r="V257" s="581"/>
      <c r="W257" s="1475"/>
      <c r="X257" s="581"/>
      <c r="Y257" s="581"/>
    </row>
    <row r="258">
      <c r="A258" s="581"/>
      <c r="B258" s="1467"/>
      <c r="C258" s="624"/>
      <c r="D258" s="624"/>
      <c r="E258" s="624"/>
      <c r="F258" s="624"/>
      <c r="G258" s="1476"/>
      <c r="H258" s="1476"/>
      <c r="I258" s="1476"/>
      <c r="J258" s="1476"/>
      <c r="K258" s="1476"/>
      <c r="L258" s="624"/>
      <c r="M258" s="1474"/>
      <c r="N258" s="1474"/>
      <c r="O258" s="1474"/>
      <c r="P258" s="1467"/>
      <c r="Q258" s="581"/>
      <c r="R258" s="581"/>
      <c r="S258" s="581"/>
      <c r="T258" s="581"/>
      <c r="U258" s="581"/>
      <c r="V258" s="581"/>
      <c r="W258" s="1475"/>
      <c r="X258" s="581"/>
      <c r="Y258" s="581"/>
    </row>
    <row r="259">
      <c r="A259" s="581"/>
      <c r="B259" s="1467"/>
      <c r="C259" s="624"/>
      <c r="D259" s="624"/>
      <c r="E259" s="581"/>
      <c r="F259" s="624"/>
      <c r="G259" s="581"/>
      <c r="H259" s="581"/>
      <c r="I259" s="581"/>
      <c r="J259" s="581"/>
      <c r="K259" s="581"/>
      <c r="L259" s="581"/>
      <c r="M259" s="1477"/>
      <c r="N259" s="1477"/>
      <c r="O259" s="1477"/>
      <c r="P259" s="1467"/>
      <c r="Q259" s="581"/>
      <c r="R259" s="581"/>
      <c r="S259" s="581"/>
      <c r="T259" s="581"/>
      <c r="U259" s="581"/>
      <c r="V259" s="581"/>
      <c r="W259" s="1475"/>
      <c r="X259" s="581"/>
      <c r="Y259" s="581"/>
    </row>
    <row r="260">
      <c r="A260" s="581"/>
      <c r="B260" s="1467"/>
      <c r="C260" s="624"/>
      <c r="D260" s="624"/>
      <c r="E260" s="624"/>
      <c r="F260" s="624"/>
      <c r="G260" s="1476"/>
      <c r="H260" s="1476"/>
      <c r="I260" s="1476"/>
      <c r="J260" s="1476"/>
      <c r="K260" s="1476"/>
      <c r="L260" s="624"/>
      <c r="M260" s="1474"/>
      <c r="N260" s="1474"/>
      <c r="O260" s="1474"/>
      <c r="P260" s="1467"/>
      <c r="Q260" s="581"/>
      <c r="R260" s="581"/>
      <c r="S260" s="581"/>
      <c r="T260" s="581"/>
      <c r="U260" s="581"/>
      <c r="V260" s="581"/>
      <c r="W260" s="1475"/>
      <c r="X260" s="581"/>
      <c r="Y260" s="581"/>
    </row>
    <row r="261">
      <c r="A261" s="581"/>
      <c r="B261" s="1467"/>
      <c r="C261" s="624"/>
      <c r="D261" s="624"/>
      <c r="E261" s="624"/>
      <c r="F261" s="624"/>
      <c r="G261" s="1476"/>
      <c r="H261" s="1476"/>
      <c r="I261" s="1476"/>
      <c r="J261" s="1476"/>
      <c r="K261" s="1476"/>
      <c r="L261" s="624"/>
      <c r="M261" s="1474"/>
      <c r="N261" s="1474"/>
      <c r="O261" s="1474"/>
      <c r="P261" s="1467"/>
      <c r="Q261" s="581"/>
      <c r="R261" s="581"/>
      <c r="S261" s="581"/>
      <c r="T261" s="581"/>
      <c r="U261" s="581"/>
      <c r="V261" s="581"/>
      <c r="W261" s="1475"/>
      <c r="X261" s="581"/>
      <c r="Y261" s="581"/>
    </row>
    <row r="262">
      <c r="A262" s="581"/>
      <c r="B262" s="1467"/>
      <c r="C262" s="624"/>
      <c r="D262" s="624"/>
      <c r="E262" s="624"/>
      <c r="F262" s="624"/>
      <c r="G262" s="1476"/>
      <c r="H262" s="1476"/>
      <c r="I262" s="1476"/>
      <c r="J262" s="1476"/>
      <c r="K262" s="1476"/>
      <c r="L262" s="624"/>
      <c r="M262" s="1474"/>
      <c r="N262" s="1474"/>
      <c r="O262" s="1474"/>
      <c r="P262" s="1467"/>
      <c r="Q262" s="581"/>
      <c r="R262" s="581"/>
      <c r="S262" s="581"/>
      <c r="T262" s="581"/>
      <c r="U262" s="581"/>
      <c r="V262" s="581"/>
      <c r="W262" s="1475"/>
      <c r="X262" s="581"/>
      <c r="Y262" s="581"/>
    </row>
    <row r="263">
      <c r="A263" s="581"/>
      <c r="B263" s="1467"/>
      <c r="C263" s="624"/>
      <c r="D263" s="624"/>
      <c r="E263" s="624"/>
      <c r="F263" s="624"/>
      <c r="G263" s="1476"/>
      <c r="H263" s="1476"/>
      <c r="I263" s="1476"/>
      <c r="J263" s="1476"/>
      <c r="K263" s="1476"/>
      <c r="L263" s="624"/>
      <c r="M263" s="1474"/>
      <c r="N263" s="1474"/>
      <c r="O263" s="1474"/>
      <c r="P263" s="1467"/>
      <c r="Q263" s="581"/>
      <c r="R263" s="581"/>
      <c r="S263" s="581"/>
      <c r="T263" s="581"/>
      <c r="U263" s="581"/>
      <c r="V263" s="581"/>
      <c r="W263" s="1475"/>
      <c r="X263" s="581"/>
      <c r="Y263" s="581"/>
    </row>
    <row r="264">
      <c r="A264" s="581"/>
      <c r="B264" s="1467"/>
      <c r="C264" s="624"/>
      <c r="D264" s="624"/>
      <c r="E264" s="624"/>
      <c r="F264" s="624"/>
      <c r="G264" s="1476"/>
      <c r="H264" s="1476"/>
      <c r="I264" s="1476"/>
      <c r="J264" s="1476"/>
      <c r="K264" s="1476"/>
      <c r="L264" s="624"/>
      <c r="M264" s="1474"/>
      <c r="N264" s="1474"/>
      <c r="O264" s="1474"/>
      <c r="P264" s="1467"/>
      <c r="Q264" s="581"/>
      <c r="R264" s="581"/>
      <c r="S264" s="581"/>
      <c r="T264" s="581"/>
      <c r="U264" s="581"/>
      <c r="V264" s="581"/>
      <c r="W264" s="1475"/>
      <c r="X264" s="581"/>
      <c r="Y264" s="581"/>
    </row>
    <row r="265">
      <c r="A265" s="581"/>
      <c r="B265" s="1467"/>
      <c r="C265" s="624"/>
      <c r="D265" s="624"/>
      <c r="E265" s="624"/>
      <c r="F265" s="624"/>
      <c r="G265" s="1476"/>
      <c r="H265" s="1476"/>
      <c r="I265" s="1476"/>
      <c r="J265" s="1476"/>
      <c r="K265" s="1476"/>
      <c r="L265" s="624"/>
      <c r="M265" s="1474"/>
      <c r="N265" s="1474"/>
      <c r="O265" s="1474"/>
      <c r="P265" s="1467"/>
      <c r="Q265" s="581"/>
      <c r="R265" s="581"/>
      <c r="S265" s="581"/>
      <c r="T265" s="581"/>
      <c r="U265" s="581"/>
      <c r="V265" s="581"/>
      <c r="W265" s="1475"/>
      <c r="X265" s="581"/>
      <c r="Y265" s="581"/>
    </row>
    <row r="266">
      <c r="A266" s="581"/>
      <c r="B266" s="1467"/>
      <c r="C266" s="581"/>
      <c r="D266" s="581"/>
      <c r="E266" s="581"/>
      <c r="F266" s="624"/>
      <c r="G266" s="581"/>
      <c r="H266" s="581"/>
      <c r="I266" s="581"/>
      <c r="J266" s="581"/>
      <c r="K266" s="581"/>
      <c r="L266" s="581"/>
      <c r="M266" s="1477"/>
      <c r="N266" s="1477"/>
      <c r="O266" s="1477"/>
      <c r="P266" s="1467"/>
      <c r="Q266" s="581"/>
      <c r="R266" s="581"/>
      <c r="S266" s="581"/>
      <c r="T266" s="581"/>
      <c r="U266" s="581"/>
      <c r="V266" s="581"/>
      <c r="W266" s="1475"/>
      <c r="X266" s="581"/>
      <c r="Y266" s="581"/>
    </row>
    <row r="267">
      <c r="A267" s="581"/>
      <c r="B267" s="1467"/>
      <c r="C267" s="581"/>
      <c r="D267" s="581"/>
      <c r="E267" s="581"/>
      <c r="F267" s="624"/>
      <c r="G267" s="581"/>
      <c r="H267" s="581"/>
      <c r="I267" s="581"/>
      <c r="J267" s="581"/>
      <c r="K267" s="581"/>
      <c r="L267" s="581"/>
      <c r="M267" s="1477"/>
      <c r="N267" s="1477"/>
      <c r="O267" s="1477"/>
      <c r="P267" s="1467"/>
      <c r="Q267" s="581"/>
      <c r="R267" s="581"/>
      <c r="S267" s="581"/>
      <c r="T267" s="581"/>
      <c r="U267" s="581"/>
      <c r="V267" s="581"/>
      <c r="W267" s="1475"/>
      <c r="X267" s="581"/>
      <c r="Y267" s="581"/>
    </row>
    <row r="268">
      <c r="A268" s="581"/>
      <c r="B268" s="1467"/>
      <c r="C268" s="581"/>
      <c r="D268" s="581"/>
      <c r="E268" s="581"/>
      <c r="F268" s="624"/>
      <c r="G268" s="581"/>
      <c r="H268" s="581"/>
      <c r="I268" s="581"/>
      <c r="J268" s="581"/>
      <c r="K268" s="581"/>
      <c r="L268" s="581"/>
      <c r="M268" s="1477"/>
      <c r="N268" s="1477"/>
      <c r="O268" s="1477"/>
      <c r="P268" s="1467"/>
      <c r="Q268" s="581"/>
      <c r="R268" s="581"/>
      <c r="S268" s="581"/>
      <c r="T268" s="581"/>
      <c r="U268" s="581"/>
      <c r="V268" s="581"/>
      <c r="W268" s="1475"/>
      <c r="X268" s="581"/>
      <c r="Y268" s="581"/>
    </row>
    <row r="269">
      <c r="A269" s="581"/>
      <c r="B269" s="1467"/>
      <c r="C269" s="581"/>
      <c r="D269" s="581"/>
      <c r="E269" s="581"/>
      <c r="F269" s="624"/>
      <c r="G269" s="581"/>
      <c r="H269" s="581"/>
      <c r="I269" s="581"/>
      <c r="J269" s="581"/>
      <c r="K269" s="581"/>
      <c r="L269" s="581"/>
      <c r="M269" s="1477"/>
      <c r="N269" s="1477"/>
      <c r="O269" s="1477"/>
      <c r="P269" s="1467"/>
      <c r="Q269" s="581"/>
      <c r="R269" s="581"/>
      <c r="S269" s="581"/>
      <c r="T269" s="581"/>
      <c r="U269" s="581"/>
      <c r="V269" s="581"/>
      <c r="W269" s="1475"/>
      <c r="X269" s="581"/>
      <c r="Y269" s="581"/>
    </row>
    <row r="270">
      <c r="A270" s="581"/>
      <c r="B270" s="1467"/>
      <c r="C270" s="581"/>
      <c r="D270" s="581"/>
      <c r="E270" s="581"/>
      <c r="F270" s="624"/>
      <c r="G270" s="581"/>
      <c r="H270" s="581"/>
      <c r="I270" s="581"/>
      <c r="J270" s="581"/>
      <c r="K270" s="581"/>
      <c r="L270" s="581"/>
      <c r="M270" s="1477"/>
      <c r="N270" s="1477"/>
      <c r="O270" s="1477"/>
      <c r="P270" s="1467"/>
      <c r="Q270" s="581"/>
      <c r="R270" s="581"/>
      <c r="S270" s="581"/>
      <c r="T270" s="581"/>
      <c r="U270" s="581"/>
      <c r="V270" s="581"/>
      <c r="W270" s="1475"/>
      <c r="X270" s="581"/>
      <c r="Y270" s="581"/>
    </row>
    <row r="271">
      <c r="A271" s="581"/>
      <c r="B271" s="1467"/>
      <c r="C271" s="581"/>
      <c r="D271" s="581"/>
      <c r="E271" s="581"/>
      <c r="F271" s="624"/>
      <c r="G271" s="581"/>
      <c r="H271" s="581"/>
      <c r="I271" s="581"/>
      <c r="J271" s="581"/>
      <c r="K271" s="581"/>
      <c r="L271" s="581"/>
      <c r="M271" s="1477"/>
      <c r="N271" s="1477"/>
      <c r="O271" s="1477"/>
      <c r="P271" s="1467"/>
      <c r="Q271" s="581"/>
      <c r="R271" s="581"/>
      <c r="S271" s="581"/>
      <c r="T271" s="581"/>
      <c r="U271" s="581"/>
      <c r="V271" s="581"/>
      <c r="W271" s="1475"/>
      <c r="X271" s="581"/>
      <c r="Y271" s="581"/>
    </row>
    <row r="272">
      <c r="A272" s="581"/>
      <c r="B272" s="1467"/>
      <c r="C272" s="581"/>
      <c r="D272" s="581"/>
      <c r="E272" s="581"/>
      <c r="F272" s="624"/>
      <c r="G272" s="581"/>
      <c r="H272" s="581"/>
      <c r="I272" s="581"/>
      <c r="J272" s="581"/>
      <c r="K272" s="581"/>
      <c r="L272" s="581"/>
      <c r="M272" s="1477"/>
      <c r="N272" s="1477"/>
      <c r="O272" s="1477"/>
      <c r="P272" s="1467"/>
      <c r="Q272" s="581"/>
      <c r="R272" s="581"/>
      <c r="S272" s="581"/>
      <c r="T272" s="581"/>
      <c r="U272" s="581"/>
      <c r="V272" s="581"/>
      <c r="W272" s="1475"/>
      <c r="X272" s="581"/>
      <c r="Y272" s="581"/>
    </row>
    <row r="273">
      <c r="A273" s="581"/>
      <c r="B273" s="1467"/>
      <c r="C273" s="581"/>
      <c r="D273" s="581"/>
      <c r="E273" s="581"/>
      <c r="F273" s="624"/>
      <c r="G273" s="581"/>
      <c r="H273" s="581"/>
      <c r="I273" s="581"/>
      <c r="J273" s="581"/>
      <c r="K273" s="581"/>
      <c r="L273" s="581"/>
      <c r="M273" s="1477"/>
      <c r="N273" s="1477"/>
      <c r="O273" s="1477"/>
      <c r="P273" s="1467"/>
      <c r="Q273" s="581"/>
      <c r="R273" s="581"/>
      <c r="S273" s="581"/>
      <c r="T273" s="581"/>
      <c r="U273" s="581"/>
      <c r="V273" s="581"/>
      <c r="W273" s="1475"/>
      <c r="X273" s="581"/>
      <c r="Y273" s="581"/>
    </row>
    <row r="274">
      <c r="A274" s="581"/>
      <c r="B274" s="1467"/>
      <c r="C274" s="581"/>
      <c r="D274" s="581"/>
      <c r="E274" s="581"/>
      <c r="F274" s="624"/>
      <c r="G274" s="581"/>
      <c r="H274" s="581"/>
      <c r="I274" s="581"/>
      <c r="J274" s="581"/>
      <c r="K274" s="581"/>
      <c r="L274" s="581"/>
      <c r="M274" s="1477"/>
      <c r="N274" s="1477"/>
      <c r="O274" s="1477"/>
      <c r="P274" s="1467"/>
      <c r="Q274" s="581"/>
      <c r="R274" s="581"/>
      <c r="S274" s="581"/>
      <c r="T274" s="581"/>
      <c r="U274" s="581"/>
      <c r="V274" s="581"/>
      <c r="W274" s="1475"/>
      <c r="X274" s="581"/>
      <c r="Y274" s="581"/>
    </row>
    <row r="275">
      <c r="A275" s="581"/>
      <c r="B275" s="1467"/>
      <c r="C275" s="581"/>
      <c r="D275" s="581"/>
      <c r="E275" s="581"/>
      <c r="F275" s="624"/>
      <c r="G275" s="581"/>
      <c r="H275" s="581"/>
      <c r="I275" s="581"/>
      <c r="J275" s="581"/>
      <c r="K275" s="581"/>
      <c r="L275" s="581"/>
      <c r="M275" s="1477"/>
      <c r="N275" s="1477"/>
      <c r="O275" s="1477"/>
      <c r="P275" s="1467"/>
      <c r="Q275" s="581"/>
      <c r="R275" s="581"/>
      <c r="S275" s="581"/>
      <c r="T275" s="581"/>
      <c r="U275" s="581"/>
      <c r="V275" s="581"/>
      <c r="W275" s="1475"/>
      <c r="X275" s="581"/>
      <c r="Y275" s="581"/>
    </row>
    <row r="276">
      <c r="A276" s="581"/>
      <c r="B276" s="1467"/>
      <c r="C276" s="581"/>
      <c r="D276" s="581"/>
      <c r="E276" s="581"/>
      <c r="F276" s="624"/>
      <c r="G276" s="581"/>
      <c r="H276" s="581"/>
      <c r="I276" s="581"/>
      <c r="J276" s="581"/>
      <c r="K276" s="581"/>
      <c r="L276" s="581"/>
      <c r="M276" s="1477"/>
      <c r="N276" s="1477"/>
      <c r="O276" s="1477"/>
      <c r="P276" s="1467"/>
      <c r="Q276" s="581"/>
      <c r="R276" s="581"/>
      <c r="S276" s="581"/>
      <c r="T276" s="581"/>
      <c r="U276" s="581"/>
      <c r="V276" s="581"/>
      <c r="W276" s="1475"/>
      <c r="X276" s="581"/>
      <c r="Y276" s="581"/>
    </row>
    <row r="277">
      <c r="A277" s="581"/>
      <c r="B277" s="1467"/>
      <c r="C277" s="581"/>
      <c r="D277" s="581"/>
      <c r="E277" s="581"/>
      <c r="F277" s="624"/>
      <c r="G277" s="581"/>
      <c r="H277" s="581"/>
      <c r="I277" s="581"/>
      <c r="J277" s="581"/>
      <c r="K277" s="581"/>
      <c r="L277" s="581"/>
      <c r="M277" s="1477"/>
      <c r="N277" s="1477"/>
      <c r="O277" s="1477"/>
      <c r="P277" s="1467"/>
      <c r="Q277" s="581"/>
      <c r="R277" s="581"/>
      <c r="S277" s="581"/>
      <c r="T277" s="581"/>
      <c r="U277" s="581"/>
      <c r="V277" s="581"/>
      <c r="W277" s="1475"/>
      <c r="X277" s="581"/>
      <c r="Y277" s="581"/>
    </row>
    <row r="278">
      <c r="A278" s="581"/>
      <c r="B278" s="1467"/>
      <c r="C278" s="581"/>
      <c r="D278" s="581"/>
      <c r="E278" s="581"/>
      <c r="F278" s="624"/>
      <c r="G278" s="581"/>
      <c r="H278" s="581"/>
      <c r="I278" s="581"/>
      <c r="J278" s="581"/>
      <c r="K278" s="581"/>
      <c r="L278" s="581"/>
      <c r="M278" s="1477"/>
      <c r="N278" s="1477"/>
      <c r="O278" s="1477"/>
      <c r="P278" s="1467"/>
      <c r="Q278" s="581"/>
      <c r="R278" s="581"/>
      <c r="S278" s="581"/>
      <c r="T278" s="581"/>
      <c r="U278" s="581"/>
      <c r="V278" s="581"/>
      <c r="W278" s="1475"/>
      <c r="X278" s="581"/>
      <c r="Y278" s="581"/>
    </row>
    <row r="279">
      <c r="A279" s="581"/>
      <c r="B279" s="1467"/>
      <c r="C279" s="581"/>
      <c r="D279" s="581"/>
      <c r="E279" s="581"/>
      <c r="F279" s="624"/>
      <c r="G279" s="581"/>
      <c r="H279" s="581"/>
      <c r="I279" s="581"/>
      <c r="J279" s="581"/>
      <c r="K279" s="581"/>
      <c r="L279" s="581"/>
      <c r="M279" s="1477"/>
      <c r="N279" s="1477"/>
      <c r="O279" s="1477"/>
      <c r="P279" s="1467"/>
      <c r="Q279" s="581"/>
      <c r="R279" s="581"/>
      <c r="S279" s="581"/>
      <c r="T279" s="581"/>
      <c r="U279" s="581"/>
      <c r="V279" s="581"/>
      <c r="W279" s="1475"/>
      <c r="X279" s="581"/>
      <c r="Y279" s="581"/>
    </row>
    <row r="280">
      <c r="A280" s="581"/>
      <c r="B280" s="1467"/>
      <c r="C280" s="581"/>
      <c r="D280" s="581"/>
      <c r="E280" s="581"/>
      <c r="F280" s="624"/>
      <c r="G280" s="581"/>
      <c r="H280" s="581"/>
      <c r="I280" s="581"/>
      <c r="J280" s="581"/>
      <c r="K280" s="581"/>
      <c r="L280" s="581"/>
      <c r="M280" s="1477"/>
      <c r="N280" s="1477"/>
      <c r="O280" s="1477"/>
      <c r="P280" s="1467"/>
      <c r="Q280" s="581"/>
      <c r="R280" s="581"/>
      <c r="S280" s="581"/>
      <c r="T280" s="581"/>
      <c r="U280" s="581"/>
      <c r="V280" s="581"/>
      <c r="W280" s="1475"/>
      <c r="X280" s="581"/>
      <c r="Y280" s="581"/>
    </row>
    <row r="281">
      <c r="A281" s="581"/>
      <c r="B281" s="1467"/>
      <c r="C281" s="581"/>
      <c r="D281" s="581"/>
      <c r="E281" s="581"/>
      <c r="F281" s="624"/>
      <c r="G281" s="581"/>
      <c r="H281" s="581"/>
      <c r="I281" s="581"/>
      <c r="J281" s="581"/>
      <c r="K281" s="581"/>
      <c r="L281" s="581"/>
      <c r="M281" s="1477"/>
      <c r="N281" s="1477"/>
      <c r="O281" s="1477"/>
      <c r="P281" s="1467"/>
      <c r="Q281" s="581"/>
      <c r="R281" s="581"/>
      <c r="S281" s="581"/>
      <c r="T281" s="581"/>
      <c r="U281" s="581"/>
      <c r="V281" s="581"/>
      <c r="W281" s="1475"/>
      <c r="X281" s="581"/>
      <c r="Y281" s="581"/>
    </row>
    <row r="282">
      <c r="A282" s="581"/>
      <c r="B282" s="1467"/>
      <c r="C282" s="581"/>
      <c r="D282" s="581"/>
      <c r="E282" s="581"/>
      <c r="F282" s="624"/>
      <c r="G282" s="581"/>
      <c r="H282" s="581"/>
      <c r="I282" s="581"/>
      <c r="J282" s="581"/>
      <c r="K282" s="581"/>
      <c r="L282" s="581"/>
      <c r="M282" s="1477"/>
      <c r="N282" s="1477"/>
      <c r="O282" s="1477"/>
      <c r="P282" s="1467"/>
      <c r="Q282" s="581"/>
      <c r="R282" s="581"/>
      <c r="S282" s="581"/>
      <c r="T282" s="581"/>
      <c r="U282" s="581"/>
      <c r="V282" s="581"/>
      <c r="W282" s="1475"/>
      <c r="X282" s="581"/>
      <c r="Y282" s="581"/>
    </row>
    <row r="283">
      <c r="A283" s="581"/>
      <c r="B283" s="1467"/>
      <c r="C283" s="581"/>
      <c r="D283" s="581"/>
      <c r="E283" s="581"/>
      <c r="F283" s="624"/>
      <c r="G283" s="581"/>
      <c r="H283" s="581"/>
      <c r="I283" s="581"/>
      <c r="J283" s="581"/>
      <c r="K283" s="581"/>
      <c r="L283" s="581"/>
      <c r="M283" s="1477"/>
      <c r="N283" s="1477"/>
      <c r="O283" s="1477"/>
      <c r="P283" s="1467"/>
      <c r="Q283" s="581"/>
      <c r="R283" s="581"/>
      <c r="S283" s="581"/>
      <c r="T283" s="581"/>
      <c r="U283" s="581"/>
      <c r="V283" s="581"/>
      <c r="W283" s="1475"/>
      <c r="X283" s="581"/>
      <c r="Y283" s="581"/>
    </row>
    <row r="284">
      <c r="A284" s="581"/>
      <c r="B284" s="1467"/>
      <c r="C284" s="581"/>
      <c r="D284" s="581"/>
      <c r="E284" s="581"/>
      <c r="F284" s="624"/>
      <c r="G284" s="581"/>
      <c r="H284" s="581"/>
      <c r="I284" s="581"/>
      <c r="J284" s="581"/>
      <c r="K284" s="581"/>
      <c r="L284" s="581"/>
      <c r="M284" s="1477"/>
      <c r="N284" s="1477"/>
      <c r="O284" s="1477"/>
      <c r="P284" s="1467"/>
      <c r="Q284" s="581"/>
      <c r="R284" s="581"/>
      <c r="S284" s="581"/>
      <c r="T284" s="581"/>
      <c r="U284" s="581"/>
      <c r="V284" s="581"/>
      <c r="W284" s="1475"/>
      <c r="X284" s="581"/>
      <c r="Y284" s="581"/>
    </row>
    <row r="285">
      <c r="A285" s="581"/>
      <c r="B285" s="1467"/>
      <c r="C285" s="581"/>
      <c r="D285" s="581"/>
      <c r="E285" s="581"/>
      <c r="F285" s="624"/>
      <c r="G285" s="581"/>
      <c r="H285" s="581"/>
      <c r="I285" s="581"/>
      <c r="J285" s="581"/>
      <c r="K285" s="581"/>
      <c r="L285" s="581"/>
      <c r="M285" s="1477"/>
      <c r="N285" s="1477"/>
      <c r="O285" s="1477"/>
      <c r="P285" s="1467"/>
      <c r="Q285" s="581"/>
      <c r="R285" s="581"/>
      <c r="S285" s="581"/>
      <c r="T285" s="581"/>
      <c r="U285" s="581"/>
      <c r="V285" s="581"/>
      <c r="W285" s="1475"/>
      <c r="X285" s="581"/>
      <c r="Y285" s="581"/>
    </row>
    <row r="286">
      <c r="A286" s="581"/>
      <c r="B286" s="1467"/>
      <c r="C286" s="581"/>
      <c r="D286" s="581"/>
      <c r="E286" s="581"/>
      <c r="F286" s="624"/>
      <c r="G286" s="581"/>
      <c r="H286" s="581"/>
      <c r="I286" s="581"/>
      <c r="J286" s="581"/>
      <c r="K286" s="581"/>
      <c r="L286" s="581"/>
      <c r="M286" s="1477"/>
      <c r="N286" s="1477"/>
      <c r="O286" s="1477"/>
      <c r="P286" s="1467"/>
      <c r="Q286" s="581"/>
      <c r="R286" s="581"/>
      <c r="S286" s="581"/>
      <c r="T286" s="581"/>
      <c r="U286" s="581"/>
      <c r="V286" s="581"/>
      <c r="W286" s="1475"/>
      <c r="X286" s="581"/>
      <c r="Y286" s="581"/>
    </row>
    <row r="287">
      <c r="A287" s="581"/>
      <c r="B287" s="1467"/>
      <c r="C287" s="581"/>
      <c r="D287" s="581"/>
      <c r="E287" s="581"/>
      <c r="F287" s="624"/>
      <c r="G287" s="581"/>
      <c r="H287" s="581"/>
      <c r="I287" s="581"/>
      <c r="J287" s="581"/>
      <c r="K287" s="581"/>
      <c r="L287" s="581"/>
      <c r="M287" s="1477"/>
      <c r="N287" s="1477"/>
      <c r="O287" s="1477"/>
      <c r="P287" s="1467"/>
      <c r="Q287" s="581"/>
      <c r="R287" s="581"/>
      <c r="S287" s="581"/>
      <c r="T287" s="581"/>
      <c r="U287" s="581"/>
      <c r="V287" s="581"/>
      <c r="W287" s="1475"/>
      <c r="X287" s="581"/>
      <c r="Y287" s="581"/>
    </row>
    <row r="288">
      <c r="A288" s="581"/>
      <c r="B288" s="1467"/>
      <c r="C288" s="581"/>
      <c r="D288" s="581"/>
      <c r="E288" s="581"/>
      <c r="F288" s="624"/>
      <c r="G288" s="581"/>
      <c r="H288" s="581"/>
      <c r="I288" s="581"/>
      <c r="J288" s="581"/>
      <c r="K288" s="581"/>
      <c r="L288" s="581"/>
      <c r="M288" s="1477"/>
      <c r="N288" s="1477"/>
      <c r="O288" s="1477"/>
      <c r="P288" s="1467"/>
      <c r="Q288" s="581"/>
      <c r="R288" s="581"/>
      <c r="S288" s="581"/>
      <c r="T288" s="581"/>
      <c r="U288" s="581"/>
      <c r="V288" s="581"/>
      <c r="W288" s="1475"/>
      <c r="X288" s="581"/>
      <c r="Y288" s="581"/>
    </row>
    <row r="289">
      <c r="A289" s="581"/>
      <c r="B289" s="1467"/>
      <c r="C289" s="581"/>
      <c r="D289" s="581"/>
      <c r="E289" s="581"/>
      <c r="F289" s="624"/>
      <c r="G289" s="581"/>
      <c r="H289" s="581"/>
      <c r="I289" s="581"/>
      <c r="J289" s="581"/>
      <c r="K289" s="581"/>
      <c r="L289" s="581"/>
      <c r="M289" s="1477"/>
      <c r="N289" s="1477"/>
      <c r="O289" s="1477"/>
      <c r="P289" s="1467"/>
      <c r="Q289" s="581"/>
      <c r="R289" s="581"/>
      <c r="S289" s="581"/>
      <c r="T289" s="581"/>
      <c r="U289" s="581"/>
      <c r="V289" s="581"/>
      <c r="W289" s="1475"/>
      <c r="X289" s="581"/>
      <c r="Y289" s="581"/>
    </row>
    <row r="290">
      <c r="A290" s="581"/>
      <c r="B290" s="1467"/>
      <c r="C290" s="581"/>
      <c r="D290" s="581"/>
      <c r="E290" s="581"/>
      <c r="F290" s="624"/>
      <c r="G290" s="581"/>
      <c r="H290" s="581"/>
      <c r="I290" s="581"/>
      <c r="J290" s="581"/>
      <c r="K290" s="581"/>
      <c r="L290" s="581"/>
      <c r="M290" s="1477"/>
      <c r="N290" s="1477"/>
      <c r="O290" s="1477"/>
      <c r="P290" s="1467"/>
      <c r="Q290" s="581"/>
      <c r="R290" s="581"/>
      <c r="S290" s="581"/>
      <c r="T290" s="581"/>
      <c r="U290" s="581"/>
      <c r="V290" s="581"/>
      <c r="W290" s="1475"/>
      <c r="X290" s="581"/>
      <c r="Y290" s="581"/>
    </row>
    <row r="291">
      <c r="A291" s="581"/>
      <c r="B291" s="1467"/>
      <c r="C291" s="581"/>
      <c r="D291" s="581"/>
      <c r="E291" s="581"/>
      <c r="F291" s="624"/>
      <c r="G291" s="581"/>
      <c r="H291" s="581"/>
      <c r="I291" s="581"/>
      <c r="J291" s="581"/>
      <c r="K291" s="581"/>
      <c r="L291" s="581"/>
      <c r="M291" s="1477"/>
      <c r="N291" s="1477"/>
      <c r="O291" s="1477"/>
      <c r="P291" s="1467"/>
      <c r="Q291" s="581"/>
      <c r="R291" s="581"/>
      <c r="S291" s="581"/>
      <c r="T291" s="581"/>
      <c r="U291" s="581"/>
      <c r="V291" s="581"/>
      <c r="W291" s="1475"/>
      <c r="X291" s="581"/>
      <c r="Y291" s="581"/>
    </row>
    <row r="292">
      <c r="A292" s="581"/>
      <c r="B292" s="1467"/>
      <c r="C292" s="581"/>
      <c r="D292" s="581"/>
      <c r="E292" s="581"/>
      <c r="F292" s="624"/>
      <c r="G292" s="581"/>
      <c r="H292" s="581"/>
      <c r="I292" s="581"/>
      <c r="J292" s="581"/>
      <c r="K292" s="581"/>
      <c r="L292" s="581"/>
      <c r="M292" s="1477"/>
      <c r="N292" s="1477"/>
      <c r="O292" s="1477"/>
      <c r="P292" s="1467"/>
      <c r="Q292" s="581"/>
      <c r="R292" s="581"/>
      <c r="S292" s="581"/>
      <c r="T292" s="581"/>
      <c r="U292" s="581"/>
      <c r="V292" s="581"/>
      <c r="W292" s="1475"/>
      <c r="X292" s="581"/>
      <c r="Y292" s="581"/>
    </row>
    <row r="293">
      <c r="A293" s="581"/>
      <c r="B293" s="1467"/>
      <c r="C293" s="581"/>
      <c r="D293" s="581"/>
      <c r="E293" s="581"/>
      <c r="F293" s="624"/>
      <c r="G293" s="581"/>
      <c r="H293" s="581"/>
      <c r="I293" s="581"/>
      <c r="J293" s="581"/>
      <c r="K293" s="581"/>
      <c r="L293" s="581"/>
      <c r="M293" s="1477"/>
      <c r="N293" s="1477"/>
      <c r="O293" s="1477"/>
      <c r="P293" s="1467"/>
      <c r="Q293" s="581"/>
      <c r="R293" s="581"/>
      <c r="S293" s="581"/>
      <c r="T293" s="581"/>
      <c r="U293" s="581"/>
      <c r="V293" s="581"/>
      <c r="W293" s="1475"/>
      <c r="X293" s="581"/>
      <c r="Y293" s="581"/>
    </row>
    <row r="294">
      <c r="A294" s="581"/>
      <c r="B294" s="1467"/>
      <c r="C294" s="581"/>
      <c r="D294" s="581"/>
      <c r="E294" s="581"/>
      <c r="F294" s="624"/>
      <c r="G294" s="581"/>
      <c r="H294" s="581"/>
      <c r="I294" s="581"/>
      <c r="J294" s="581"/>
      <c r="K294" s="581"/>
      <c r="L294" s="581"/>
      <c r="M294" s="1477"/>
      <c r="N294" s="1477"/>
      <c r="O294" s="1477"/>
      <c r="P294" s="1467"/>
      <c r="Q294" s="581"/>
      <c r="R294" s="581"/>
      <c r="S294" s="581"/>
      <c r="T294" s="581"/>
      <c r="U294" s="581"/>
      <c r="V294" s="581"/>
      <c r="W294" s="1475"/>
      <c r="X294" s="581"/>
      <c r="Y294" s="581"/>
    </row>
    <row r="295">
      <c r="A295" s="581"/>
      <c r="B295" s="1467"/>
      <c r="C295" s="581"/>
      <c r="D295" s="581"/>
      <c r="E295" s="581"/>
      <c r="F295" s="624"/>
      <c r="G295" s="581"/>
      <c r="H295" s="581"/>
      <c r="I295" s="581"/>
      <c r="J295" s="581"/>
      <c r="K295" s="581"/>
      <c r="L295" s="581"/>
      <c r="M295" s="1477"/>
      <c r="N295" s="1477"/>
      <c r="O295" s="1477"/>
      <c r="P295" s="1467"/>
      <c r="Q295" s="581"/>
      <c r="R295" s="581"/>
      <c r="S295" s="581"/>
      <c r="T295" s="581"/>
      <c r="U295" s="581"/>
      <c r="V295" s="581"/>
      <c r="W295" s="1475"/>
      <c r="X295" s="581"/>
      <c r="Y295" s="581"/>
    </row>
    <row r="296">
      <c r="A296" s="581"/>
      <c r="B296" s="1467"/>
      <c r="C296" s="581"/>
      <c r="D296" s="581"/>
      <c r="E296" s="581"/>
      <c r="F296" s="624"/>
      <c r="G296" s="581"/>
      <c r="H296" s="581"/>
      <c r="I296" s="581"/>
      <c r="J296" s="581"/>
      <c r="K296" s="581"/>
      <c r="L296" s="581"/>
      <c r="M296" s="1477"/>
      <c r="N296" s="1477"/>
      <c r="O296" s="1477"/>
      <c r="P296" s="1467"/>
      <c r="Q296" s="581"/>
      <c r="R296" s="581"/>
      <c r="S296" s="581"/>
      <c r="T296" s="581"/>
      <c r="U296" s="581"/>
      <c r="V296" s="581"/>
      <c r="W296" s="1475"/>
      <c r="X296" s="581"/>
      <c r="Y296" s="581"/>
    </row>
    <row r="297">
      <c r="A297" s="581"/>
      <c r="B297" s="1467"/>
      <c r="C297" s="581"/>
      <c r="D297" s="581"/>
      <c r="E297" s="581"/>
      <c r="F297" s="624"/>
      <c r="G297" s="581"/>
      <c r="H297" s="581"/>
      <c r="I297" s="581"/>
      <c r="J297" s="581"/>
      <c r="K297" s="581"/>
      <c r="L297" s="581"/>
      <c r="M297" s="1477"/>
      <c r="N297" s="1477"/>
      <c r="O297" s="1477"/>
      <c r="P297" s="1467"/>
      <c r="Q297" s="581"/>
      <c r="R297" s="581"/>
      <c r="S297" s="581"/>
      <c r="T297" s="581"/>
      <c r="U297" s="581"/>
      <c r="V297" s="581"/>
      <c r="W297" s="1475"/>
      <c r="X297" s="581"/>
      <c r="Y297" s="581"/>
    </row>
    <row r="298">
      <c r="A298" s="581"/>
      <c r="B298" s="1467"/>
      <c r="C298" s="581"/>
      <c r="D298" s="581"/>
      <c r="E298" s="581"/>
      <c r="F298" s="624"/>
      <c r="G298" s="581"/>
      <c r="H298" s="581"/>
      <c r="I298" s="581"/>
      <c r="J298" s="581"/>
      <c r="K298" s="581"/>
      <c r="L298" s="581"/>
      <c r="M298" s="1477"/>
      <c r="N298" s="1477"/>
      <c r="O298" s="1477"/>
      <c r="P298" s="1467"/>
      <c r="Q298" s="581"/>
      <c r="R298" s="581"/>
      <c r="S298" s="581"/>
      <c r="T298" s="581"/>
      <c r="U298" s="581"/>
      <c r="V298" s="581"/>
      <c r="W298" s="1475"/>
      <c r="X298" s="581"/>
      <c r="Y298" s="581"/>
    </row>
    <row r="299">
      <c r="A299" s="581"/>
      <c r="B299" s="1467"/>
      <c r="C299" s="581"/>
      <c r="D299" s="581"/>
      <c r="E299" s="581"/>
      <c r="F299" s="624"/>
      <c r="G299" s="581"/>
      <c r="H299" s="581"/>
      <c r="I299" s="581"/>
      <c r="J299" s="581"/>
      <c r="K299" s="581"/>
      <c r="L299" s="581"/>
      <c r="M299" s="1477"/>
      <c r="N299" s="1477"/>
      <c r="O299" s="1477"/>
      <c r="P299" s="1467"/>
      <c r="Q299" s="581"/>
      <c r="R299" s="581"/>
      <c r="S299" s="581"/>
      <c r="T299" s="581"/>
      <c r="U299" s="581"/>
      <c r="V299" s="581"/>
      <c r="W299" s="1475"/>
      <c r="X299" s="581"/>
      <c r="Y299" s="581"/>
    </row>
    <row r="300">
      <c r="A300" s="581"/>
      <c r="B300" s="1467"/>
      <c r="C300" s="581"/>
      <c r="D300" s="581"/>
      <c r="E300" s="581"/>
      <c r="F300" s="624"/>
      <c r="G300" s="581"/>
      <c r="H300" s="581"/>
      <c r="I300" s="581"/>
      <c r="J300" s="581"/>
      <c r="K300" s="581"/>
      <c r="L300" s="581"/>
      <c r="M300" s="1477"/>
      <c r="N300" s="1477"/>
      <c r="O300" s="1477"/>
      <c r="P300" s="1467"/>
      <c r="Q300" s="581"/>
      <c r="R300" s="581"/>
      <c r="S300" s="581"/>
      <c r="T300" s="581"/>
      <c r="U300" s="581"/>
      <c r="V300" s="581"/>
      <c r="W300" s="1475"/>
      <c r="X300" s="581"/>
      <c r="Y300" s="581"/>
    </row>
    <row r="301">
      <c r="A301" s="581"/>
      <c r="B301" s="1467"/>
      <c r="C301" s="581"/>
      <c r="D301" s="581"/>
      <c r="E301" s="581"/>
      <c r="F301" s="624"/>
      <c r="G301" s="581"/>
      <c r="H301" s="581"/>
      <c r="I301" s="581"/>
      <c r="J301" s="581"/>
      <c r="K301" s="581"/>
      <c r="L301" s="581"/>
      <c r="M301" s="1477"/>
      <c r="N301" s="1477"/>
      <c r="O301" s="1477"/>
      <c r="P301" s="1467"/>
      <c r="Q301" s="581"/>
      <c r="R301" s="581"/>
      <c r="S301" s="581"/>
      <c r="T301" s="581"/>
      <c r="U301" s="581"/>
      <c r="V301" s="581"/>
      <c r="W301" s="1475"/>
      <c r="X301" s="581"/>
      <c r="Y301" s="581"/>
    </row>
    <row r="302">
      <c r="A302" s="581"/>
      <c r="B302" s="1467"/>
      <c r="C302" s="581"/>
      <c r="D302" s="581"/>
      <c r="E302" s="581"/>
      <c r="F302" s="624"/>
      <c r="G302" s="581"/>
      <c r="H302" s="581"/>
      <c r="I302" s="581"/>
      <c r="J302" s="581"/>
      <c r="K302" s="581"/>
      <c r="L302" s="581"/>
      <c r="M302" s="1477"/>
      <c r="N302" s="1477"/>
      <c r="O302" s="1477"/>
      <c r="P302" s="1467"/>
      <c r="Q302" s="581"/>
      <c r="R302" s="581"/>
      <c r="S302" s="581"/>
      <c r="T302" s="581"/>
      <c r="U302" s="581"/>
      <c r="V302" s="581"/>
      <c r="W302" s="1475"/>
      <c r="X302" s="581"/>
      <c r="Y302" s="581"/>
    </row>
    <row r="303">
      <c r="A303" s="581"/>
      <c r="B303" s="1467"/>
      <c r="C303" s="581"/>
      <c r="D303" s="581"/>
      <c r="E303" s="581"/>
      <c r="F303" s="624"/>
      <c r="G303" s="581"/>
      <c r="H303" s="581"/>
      <c r="I303" s="581"/>
      <c r="J303" s="581"/>
      <c r="K303" s="581"/>
      <c r="L303" s="581"/>
      <c r="M303" s="1477"/>
      <c r="N303" s="1477"/>
      <c r="O303" s="1477"/>
      <c r="P303" s="1467"/>
      <c r="Q303" s="581"/>
      <c r="R303" s="581"/>
      <c r="S303" s="581"/>
      <c r="T303" s="581"/>
      <c r="U303" s="581"/>
      <c r="V303" s="581"/>
      <c r="W303" s="1475"/>
      <c r="X303" s="581"/>
      <c r="Y303" s="581"/>
    </row>
    <row r="304">
      <c r="A304" s="581"/>
      <c r="B304" s="1467"/>
      <c r="C304" s="581"/>
      <c r="D304" s="581"/>
      <c r="E304" s="581"/>
      <c r="F304" s="624"/>
      <c r="G304" s="581"/>
      <c r="H304" s="581"/>
      <c r="I304" s="581"/>
      <c r="J304" s="581"/>
      <c r="K304" s="581"/>
      <c r="L304" s="581"/>
      <c r="M304" s="1477"/>
      <c r="N304" s="1477"/>
      <c r="O304" s="1477"/>
      <c r="P304" s="1467"/>
      <c r="Q304" s="581"/>
      <c r="R304" s="581"/>
      <c r="S304" s="581"/>
      <c r="T304" s="581"/>
      <c r="U304" s="581"/>
      <c r="V304" s="581"/>
      <c r="W304" s="1475"/>
      <c r="X304" s="581"/>
      <c r="Y304" s="581"/>
    </row>
    <row r="305">
      <c r="A305" s="581"/>
      <c r="B305" s="1467"/>
      <c r="C305" s="581"/>
      <c r="D305" s="581"/>
      <c r="E305" s="581"/>
      <c r="F305" s="624"/>
      <c r="G305" s="581"/>
      <c r="H305" s="581"/>
      <c r="I305" s="581"/>
      <c r="J305" s="581"/>
      <c r="K305" s="581"/>
      <c r="L305" s="581"/>
      <c r="M305" s="1477"/>
      <c r="N305" s="1477"/>
      <c r="O305" s="1477"/>
      <c r="P305" s="1467"/>
      <c r="Q305" s="581"/>
      <c r="R305" s="581"/>
      <c r="S305" s="581"/>
      <c r="T305" s="581"/>
      <c r="U305" s="581"/>
      <c r="V305" s="581"/>
      <c r="W305" s="1475"/>
      <c r="X305" s="581"/>
      <c r="Y305" s="581"/>
    </row>
    <row r="306">
      <c r="A306" s="581"/>
      <c r="B306" s="1467"/>
      <c r="C306" s="581"/>
      <c r="D306" s="581"/>
      <c r="E306" s="581"/>
      <c r="F306" s="624"/>
      <c r="G306" s="581"/>
      <c r="H306" s="581"/>
      <c r="I306" s="581"/>
      <c r="J306" s="581"/>
      <c r="K306" s="581"/>
      <c r="L306" s="581"/>
      <c r="M306" s="1477"/>
      <c r="N306" s="1477"/>
      <c r="O306" s="1477"/>
      <c r="P306" s="1467"/>
      <c r="Q306" s="581"/>
      <c r="R306" s="581"/>
      <c r="S306" s="581"/>
      <c r="T306" s="581"/>
      <c r="U306" s="581"/>
      <c r="V306" s="581"/>
      <c r="W306" s="1475"/>
      <c r="X306" s="581"/>
      <c r="Y306" s="581"/>
    </row>
    <row r="307">
      <c r="A307" s="581"/>
      <c r="B307" s="1467"/>
      <c r="C307" s="581"/>
      <c r="D307" s="581"/>
      <c r="E307" s="581"/>
      <c r="F307" s="624"/>
      <c r="G307" s="581"/>
      <c r="H307" s="581"/>
      <c r="I307" s="581"/>
      <c r="J307" s="581"/>
      <c r="K307" s="581"/>
      <c r="L307" s="581"/>
      <c r="M307" s="1477"/>
      <c r="N307" s="1477"/>
      <c r="O307" s="1477"/>
      <c r="P307" s="1467"/>
      <c r="Q307" s="581"/>
      <c r="R307" s="581"/>
      <c r="S307" s="581"/>
      <c r="T307" s="581"/>
      <c r="U307" s="581"/>
      <c r="V307" s="581"/>
      <c r="W307" s="1475"/>
      <c r="X307" s="581"/>
      <c r="Y307" s="581"/>
    </row>
    <row r="308">
      <c r="A308" s="581"/>
      <c r="B308" s="1467"/>
      <c r="C308" s="581"/>
      <c r="D308" s="581"/>
      <c r="E308" s="581"/>
      <c r="F308" s="624"/>
      <c r="G308" s="581"/>
      <c r="H308" s="581"/>
      <c r="I308" s="581"/>
      <c r="J308" s="581"/>
      <c r="K308" s="581"/>
      <c r="L308" s="581"/>
      <c r="M308" s="1477"/>
      <c r="N308" s="1477"/>
      <c r="O308" s="1477"/>
      <c r="P308" s="1467"/>
      <c r="Q308" s="581"/>
      <c r="R308" s="581"/>
      <c r="S308" s="581"/>
      <c r="T308" s="581"/>
      <c r="U308" s="581"/>
      <c r="V308" s="581"/>
      <c r="W308" s="1475"/>
      <c r="X308" s="581"/>
      <c r="Y308" s="581"/>
    </row>
    <row r="309">
      <c r="A309" s="581"/>
      <c r="B309" s="1467"/>
      <c r="C309" s="581"/>
      <c r="D309" s="581"/>
      <c r="E309" s="581"/>
      <c r="F309" s="624"/>
      <c r="G309" s="581"/>
      <c r="H309" s="581"/>
      <c r="I309" s="581"/>
      <c r="J309" s="581"/>
      <c r="K309" s="581"/>
      <c r="L309" s="581"/>
      <c r="M309" s="1477"/>
      <c r="N309" s="1477"/>
      <c r="O309" s="1477"/>
      <c r="P309" s="1467"/>
      <c r="Q309" s="581"/>
      <c r="R309" s="581"/>
      <c r="S309" s="581"/>
      <c r="T309" s="581"/>
      <c r="U309" s="581"/>
      <c r="V309" s="581"/>
      <c r="W309" s="1475"/>
      <c r="X309" s="581"/>
      <c r="Y309" s="581"/>
    </row>
    <row r="310">
      <c r="A310" s="581"/>
      <c r="B310" s="1467"/>
      <c r="C310" s="581"/>
      <c r="D310" s="581"/>
      <c r="E310" s="581"/>
      <c r="F310" s="624"/>
      <c r="G310" s="581"/>
      <c r="H310" s="581"/>
      <c r="I310" s="581"/>
      <c r="J310" s="581"/>
      <c r="K310" s="581"/>
      <c r="L310" s="581"/>
      <c r="M310" s="1477"/>
      <c r="N310" s="1477"/>
      <c r="O310" s="1477"/>
      <c r="P310" s="1467"/>
      <c r="Q310" s="581"/>
      <c r="R310" s="581"/>
      <c r="S310" s="581"/>
      <c r="T310" s="581"/>
      <c r="U310" s="581"/>
      <c r="V310" s="581"/>
      <c r="W310" s="1475"/>
      <c r="X310" s="581"/>
      <c r="Y310" s="581"/>
    </row>
    <row r="311">
      <c r="A311" s="581"/>
      <c r="B311" s="1467"/>
      <c r="C311" s="581"/>
      <c r="D311" s="581"/>
      <c r="E311" s="581"/>
      <c r="F311" s="624"/>
      <c r="G311" s="581"/>
      <c r="H311" s="581"/>
      <c r="I311" s="581"/>
      <c r="J311" s="581"/>
      <c r="K311" s="581"/>
      <c r="L311" s="581"/>
      <c r="M311" s="1477"/>
      <c r="N311" s="1477"/>
      <c r="O311" s="1477"/>
      <c r="P311" s="1467"/>
      <c r="Q311" s="581"/>
      <c r="R311" s="581"/>
      <c r="S311" s="581"/>
      <c r="T311" s="581"/>
      <c r="U311" s="581"/>
      <c r="V311" s="581"/>
      <c r="W311" s="1475"/>
      <c r="X311" s="581"/>
      <c r="Y311" s="581"/>
    </row>
    <row r="312">
      <c r="A312" s="581"/>
      <c r="B312" s="1467"/>
      <c r="C312" s="581"/>
      <c r="D312" s="581"/>
      <c r="E312" s="581"/>
      <c r="F312" s="624"/>
      <c r="G312" s="581"/>
      <c r="H312" s="581"/>
      <c r="I312" s="581"/>
      <c r="J312" s="581"/>
      <c r="K312" s="581"/>
      <c r="L312" s="581"/>
      <c r="M312" s="1477"/>
      <c r="N312" s="1477"/>
      <c r="O312" s="1477"/>
      <c r="P312" s="1467"/>
      <c r="Q312" s="581"/>
      <c r="R312" s="581"/>
      <c r="S312" s="581"/>
      <c r="T312" s="581"/>
      <c r="U312" s="581"/>
      <c r="V312" s="581"/>
      <c r="W312" s="1475"/>
      <c r="X312" s="581"/>
      <c r="Y312" s="581"/>
    </row>
    <row r="313">
      <c r="A313" s="581"/>
      <c r="B313" s="1467"/>
      <c r="C313" s="581"/>
      <c r="D313" s="581"/>
      <c r="E313" s="581"/>
      <c r="F313" s="624"/>
      <c r="G313" s="581"/>
      <c r="H313" s="581"/>
      <c r="I313" s="581"/>
      <c r="J313" s="581"/>
      <c r="K313" s="581"/>
      <c r="L313" s="581"/>
      <c r="M313" s="1477"/>
      <c r="N313" s="1477"/>
      <c r="O313" s="1477"/>
      <c r="P313" s="1467"/>
      <c r="Q313" s="581"/>
      <c r="R313" s="581"/>
      <c r="S313" s="581"/>
      <c r="T313" s="581"/>
      <c r="U313" s="581"/>
      <c r="V313" s="581"/>
      <c r="W313" s="1475"/>
      <c r="X313" s="581"/>
      <c r="Y313" s="581"/>
    </row>
    <row r="314">
      <c r="A314" s="581"/>
      <c r="B314" s="1467"/>
      <c r="C314" s="581"/>
      <c r="D314" s="581"/>
      <c r="E314" s="581"/>
      <c r="F314" s="624"/>
      <c r="G314" s="581"/>
      <c r="H314" s="581"/>
      <c r="I314" s="581"/>
      <c r="J314" s="581"/>
      <c r="K314" s="581"/>
      <c r="L314" s="581"/>
      <c r="M314" s="1477"/>
      <c r="N314" s="1477"/>
      <c r="O314" s="1477"/>
      <c r="P314" s="1467"/>
      <c r="Q314" s="581"/>
      <c r="R314" s="581"/>
      <c r="S314" s="581"/>
      <c r="T314" s="581"/>
      <c r="U314" s="581"/>
      <c r="V314" s="581"/>
      <c r="W314" s="1475"/>
      <c r="X314" s="581"/>
      <c r="Y314" s="581"/>
    </row>
    <row r="315">
      <c r="A315" s="581"/>
      <c r="B315" s="1467"/>
      <c r="C315" s="581"/>
      <c r="D315" s="581"/>
      <c r="E315" s="581"/>
      <c r="F315" s="624"/>
      <c r="G315" s="581"/>
      <c r="H315" s="581"/>
      <c r="I315" s="581"/>
      <c r="J315" s="581"/>
      <c r="K315" s="581"/>
      <c r="L315" s="581"/>
      <c r="M315" s="1477"/>
      <c r="N315" s="1477"/>
      <c r="O315" s="1477"/>
      <c r="P315" s="1467"/>
      <c r="Q315" s="581"/>
      <c r="R315" s="581"/>
      <c r="S315" s="581"/>
      <c r="T315" s="581"/>
      <c r="U315" s="581"/>
      <c r="V315" s="581"/>
      <c r="W315" s="1475"/>
      <c r="X315" s="581"/>
      <c r="Y315" s="581"/>
    </row>
    <row r="316">
      <c r="A316" s="581"/>
      <c r="B316" s="1467"/>
      <c r="C316" s="581"/>
      <c r="D316" s="581"/>
      <c r="E316" s="581"/>
      <c r="F316" s="624"/>
      <c r="G316" s="581"/>
      <c r="H316" s="581"/>
      <c r="I316" s="581"/>
      <c r="J316" s="581"/>
      <c r="K316" s="581"/>
      <c r="L316" s="581"/>
      <c r="M316" s="1477"/>
      <c r="N316" s="1477"/>
      <c r="O316" s="1477"/>
      <c r="P316" s="1467"/>
      <c r="Q316" s="581"/>
      <c r="R316" s="581"/>
      <c r="S316" s="581"/>
      <c r="T316" s="581"/>
      <c r="U316" s="581"/>
      <c r="V316" s="581"/>
      <c r="W316" s="1475"/>
      <c r="X316" s="581"/>
      <c r="Y316" s="581"/>
    </row>
    <row r="317">
      <c r="A317" s="581"/>
      <c r="B317" s="1467"/>
      <c r="C317" s="581"/>
      <c r="D317" s="581"/>
      <c r="E317" s="581"/>
      <c r="F317" s="624"/>
      <c r="G317" s="581"/>
      <c r="H317" s="581"/>
      <c r="I317" s="581"/>
      <c r="J317" s="581"/>
      <c r="K317" s="581"/>
      <c r="L317" s="581"/>
      <c r="M317" s="1477"/>
      <c r="N317" s="1477"/>
      <c r="O317" s="1477"/>
      <c r="P317" s="1467"/>
      <c r="Q317" s="581"/>
      <c r="R317" s="581"/>
      <c r="S317" s="581"/>
      <c r="T317" s="581"/>
      <c r="U317" s="581"/>
      <c r="V317" s="581"/>
      <c r="W317" s="1475"/>
      <c r="X317" s="581"/>
      <c r="Y317" s="581"/>
    </row>
    <row r="318">
      <c r="A318" s="581"/>
      <c r="B318" s="1467"/>
      <c r="C318" s="581"/>
      <c r="D318" s="581"/>
      <c r="E318" s="581"/>
      <c r="F318" s="624"/>
      <c r="G318" s="581"/>
      <c r="H318" s="581"/>
      <c r="I318" s="581"/>
      <c r="J318" s="581"/>
      <c r="K318" s="581"/>
      <c r="L318" s="581"/>
      <c r="M318" s="1477"/>
      <c r="N318" s="1477"/>
      <c r="O318" s="1477"/>
      <c r="P318" s="1467"/>
      <c r="Q318" s="581"/>
      <c r="R318" s="581"/>
      <c r="S318" s="581"/>
      <c r="T318" s="581"/>
      <c r="U318" s="581"/>
      <c r="V318" s="581"/>
      <c r="W318" s="1475"/>
      <c r="X318" s="581"/>
      <c r="Y318" s="581"/>
    </row>
    <row r="319">
      <c r="A319" s="581"/>
      <c r="B319" s="1467"/>
      <c r="C319" s="581"/>
      <c r="D319" s="581"/>
      <c r="E319" s="581"/>
      <c r="F319" s="624"/>
      <c r="G319" s="581"/>
      <c r="H319" s="581"/>
      <c r="I319" s="581"/>
      <c r="J319" s="581"/>
      <c r="K319" s="581"/>
      <c r="L319" s="581"/>
      <c r="M319" s="1477"/>
      <c r="N319" s="1477"/>
      <c r="O319" s="1477"/>
      <c r="P319" s="1467"/>
      <c r="Q319" s="581"/>
      <c r="R319" s="581"/>
      <c r="S319" s="581"/>
      <c r="T319" s="581"/>
      <c r="U319" s="581"/>
      <c r="V319" s="581"/>
      <c r="W319" s="1475"/>
      <c r="X319" s="581"/>
      <c r="Y319" s="581"/>
    </row>
    <row r="320">
      <c r="A320" s="581"/>
      <c r="B320" s="1467"/>
      <c r="C320" s="581"/>
      <c r="D320" s="581"/>
      <c r="E320" s="581"/>
      <c r="F320" s="624"/>
      <c r="G320" s="581"/>
      <c r="H320" s="581"/>
      <c r="I320" s="581"/>
      <c r="J320" s="581"/>
      <c r="K320" s="581"/>
      <c r="L320" s="581"/>
      <c r="M320" s="1477"/>
      <c r="N320" s="1477"/>
      <c r="O320" s="1477"/>
      <c r="P320" s="1467"/>
      <c r="Q320" s="581"/>
      <c r="R320" s="581"/>
      <c r="S320" s="581"/>
      <c r="T320" s="581"/>
      <c r="U320" s="581"/>
      <c r="V320" s="581"/>
      <c r="W320" s="1475"/>
      <c r="X320" s="581"/>
      <c r="Y320" s="581"/>
    </row>
    <row r="321">
      <c r="A321" s="581"/>
      <c r="B321" s="1467"/>
      <c r="C321" s="581"/>
      <c r="D321" s="581"/>
      <c r="E321" s="581"/>
      <c r="F321" s="624"/>
      <c r="G321" s="581"/>
      <c r="H321" s="581"/>
      <c r="I321" s="581"/>
      <c r="J321" s="581"/>
      <c r="K321" s="581"/>
      <c r="L321" s="581"/>
      <c r="M321" s="1477"/>
      <c r="N321" s="1477"/>
      <c r="O321" s="1477"/>
      <c r="P321" s="1467"/>
      <c r="Q321" s="581"/>
      <c r="R321" s="581"/>
      <c r="S321" s="581"/>
      <c r="T321" s="581"/>
      <c r="U321" s="581"/>
      <c r="V321" s="581"/>
      <c r="W321" s="1475"/>
      <c r="X321" s="581"/>
      <c r="Y321" s="581"/>
    </row>
    <row r="322">
      <c r="A322" s="581"/>
      <c r="B322" s="1467"/>
      <c r="C322" s="581"/>
      <c r="D322" s="581"/>
      <c r="E322" s="581"/>
      <c r="F322" s="624"/>
      <c r="G322" s="581"/>
      <c r="H322" s="581"/>
      <c r="I322" s="581"/>
      <c r="J322" s="581"/>
      <c r="K322" s="581"/>
      <c r="L322" s="581"/>
      <c r="M322" s="1477"/>
      <c r="N322" s="1477"/>
      <c r="O322" s="1477"/>
      <c r="P322" s="1467"/>
      <c r="Q322" s="581"/>
      <c r="R322" s="581"/>
      <c r="S322" s="581"/>
      <c r="T322" s="581"/>
      <c r="U322" s="581"/>
      <c r="V322" s="581"/>
      <c r="W322" s="1475"/>
      <c r="X322" s="581"/>
      <c r="Y322" s="581"/>
    </row>
    <row r="323">
      <c r="A323" s="581"/>
      <c r="B323" s="1467"/>
      <c r="C323" s="581"/>
      <c r="D323" s="581"/>
      <c r="E323" s="581"/>
      <c r="F323" s="624"/>
      <c r="G323" s="581"/>
      <c r="H323" s="581"/>
      <c r="I323" s="581"/>
      <c r="J323" s="581"/>
      <c r="K323" s="581"/>
      <c r="L323" s="581"/>
      <c r="M323" s="1477"/>
      <c r="N323" s="1477"/>
      <c r="O323" s="1477"/>
      <c r="P323" s="1467"/>
      <c r="Q323" s="581"/>
      <c r="R323" s="581"/>
      <c r="S323" s="581"/>
      <c r="T323" s="581"/>
      <c r="U323" s="581"/>
      <c r="V323" s="581"/>
      <c r="W323" s="1475"/>
      <c r="X323" s="581"/>
      <c r="Y323" s="581"/>
    </row>
    <row r="324">
      <c r="A324" s="581"/>
      <c r="B324" s="1467"/>
      <c r="C324" s="581"/>
      <c r="D324" s="581"/>
      <c r="E324" s="581"/>
      <c r="F324" s="624"/>
      <c r="G324" s="581"/>
      <c r="H324" s="581"/>
      <c r="I324" s="581"/>
      <c r="J324" s="581"/>
      <c r="K324" s="581"/>
      <c r="L324" s="581"/>
      <c r="M324" s="1477"/>
      <c r="N324" s="1477"/>
      <c r="O324" s="1477"/>
      <c r="P324" s="1467"/>
      <c r="Q324" s="581"/>
      <c r="R324" s="581"/>
      <c r="S324" s="581"/>
      <c r="T324" s="581"/>
      <c r="U324" s="581"/>
      <c r="V324" s="581"/>
      <c r="W324" s="1475"/>
      <c r="X324" s="581"/>
      <c r="Y324" s="581"/>
    </row>
    <row r="325">
      <c r="A325" s="581"/>
      <c r="B325" s="1467"/>
      <c r="C325" s="581"/>
      <c r="D325" s="581"/>
      <c r="E325" s="581"/>
      <c r="F325" s="624"/>
      <c r="G325" s="581"/>
      <c r="H325" s="581"/>
      <c r="I325" s="581"/>
      <c r="J325" s="581"/>
      <c r="K325" s="581"/>
      <c r="L325" s="581"/>
      <c r="M325" s="1477"/>
      <c r="N325" s="1477"/>
      <c r="O325" s="1477"/>
      <c r="P325" s="1467"/>
      <c r="Q325" s="581"/>
      <c r="R325" s="581"/>
      <c r="S325" s="581"/>
      <c r="T325" s="581"/>
      <c r="U325" s="581"/>
      <c r="V325" s="581"/>
      <c r="W325" s="1475"/>
      <c r="X325" s="581"/>
      <c r="Y325" s="581"/>
    </row>
    <row r="326">
      <c r="A326" s="581"/>
      <c r="B326" s="1467"/>
      <c r="C326" s="581"/>
      <c r="D326" s="581"/>
      <c r="E326" s="581"/>
      <c r="F326" s="624"/>
      <c r="G326" s="581"/>
      <c r="H326" s="581"/>
      <c r="I326" s="581"/>
      <c r="J326" s="581"/>
      <c r="K326" s="581"/>
      <c r="L326" s="581"/>
      <c r="M326" s="1477"/>
      <c r="N326" s="1477"/>
      <c r="O326" s="1477"/>
      <c r="P326" s="1467"/>
      <c r="Q326" s="581"/>
      <c r="R326" s="581"/>
      <c r="S326" s="581"/>
      <c r="T326" s="581"/>
      <c r="U326" s="581"/>
      <c r="V326" s="581"/>
      <c r="W326" s="1475"/>
      <c r="X326" s="581"/>
      <c r="Y326" s="581"/>
    </row>
    <row r="327">
      <c r="A327" s="581"/>
      <c r="B327" s="1467"/>
      <c r="C327" s="581"/>
      <c r="D327" s="581"/>
      <c r="E327" s="581"/>
      <c r="F327" s="624"/>
      <c r="G327" s="581"/>
      <c r="H327" s="581"/>
      <c r="I327" s="581"/>
      <c r="J327" s="581"/>
      <c r="K327" s="581"/>
      <c r="L327" s="581"/>
      <c r="M327" s="1477"/>
      <c r="N327" s="1477"/>
      <c r="O327" s="1477"/>
      <c r="P327" s="1467"/>
      <c r="Q327" s="581"/>
      <c r="R327" s="581"/>
      <c r="S327" s="581"/>
      <c r="T327" s="581"/>
      <c r="U327" s="581"/>
      <c r="V327" s="581"/>
      <c r="W327" s="1475"/>
      <c r="X327" s="581"/>
      <c r="Y327" s="581"/>
    </row>
    <row r="328">
      <c r="A328" s="581"/>
      <c r="B328" s="1467"/>
      <c r="C328" s="581"/>
      <c r="D328" s="581"/>
      <c r="E328" s="581"/>
      <c r="F328" s="624"/>
      <c r="G328" s="581"/>
      <c r="H328" s="581"/>
      <c r="I328" s="581"/>
      <c r="J328" s="581"/>
      <c r="K328" s="581"/>
      <c r="L328" s="581"/>
      <c r="M328" s="1477"/>
      <c r="N328" s="1477"/>
      <c r="O328" s="1477"/>
      <c r="P328" s="1467"/>
      <c r="Q328" s="581"/>
      <c r="R328" s="581"/>
      <c r="S328" s="581"/>
      <c r="T328" s="581"/>
      <c r="U328" s="581"/>
      <c r="V328" s="581"/>
      <c r="W328" s="1475"/>
      <c r="X328" s="581"/>
      <c r="Y328" s="581"/>
    </row>
    <row r="329">
      <c r="A329" s="581"/>
      <c r="B329" s="1467"/>
      <c r="C329" s="581"/>
      <c r="D329" s="581"/>
      <c r="E329" s="581"/>
      <c r="F329" s="624"/>
      <c r="G329" s="581"/>
      <c r="H329" s="581"/>
      <c r="I329" s="581"/>
      <c r="J329" s="581"/>
      <c r="K329" s="581"/>
      <c r="L329" s="581"/>
      <c r="M329" s="1477"/>
      <c r="N329" s="1477"/>
      <c r="O329" s="1477"/>
      <c r="P329" s="1467"/>
      <c r="Q329" s="581"/>
      <c r="R329" s="581"/>
      <c r="S329" s="581"/>
      <c r="T329" s="581"/>
      <c r="U329" s="581"/>
      <c r="V329" s="581"/>
      <c r="W329" s="1475"/>
      <c r="X329" s="581"/>
      <c r="Y329" s="581"/>
    </row>
    <row r="330">
      <c r="A330" s="581"/>
      <c r="B330" s="1467"/>
      <c r="C330" s="581"/>
      <c r="D330" s="581"/>
      <c r="E330" s="581"/>
      <c r="F330" s="624"/>
      <c r="G330" s="581"/>
      <c r="H330" s="581"/>
      <c r="I330" s="581"/>
      <c r="J330" s="581"/>
      <c r="K330" s="581"/>
      <c r="L330" s="581"/>
      <c r="M330" s="1477"/>
      <c r="N330" s="1477"/>
      <c r="O330" s="1477"/>
      <c r="P330" s="1467"/>
      <c r="Q330" s="581"/>
      <c r="R330" s="581"/>
      <c r="S330" s="581"/>
      <c r="T330" s="581"/>
      <c r="U330" s="581"/>
      <c r="V330" s="581"/>
      <c r="W330" s="1475"/>
      <c r="X330" s="581"/>
      <c r="Y330" s="581"/>
    </row>
    <row r="331">
      <c r="A331" s="581"/>
      <c r="B331" s="1467"/>
      <c r="C331" s="581"/>
      <c r="D331" s="581"/>
      <c r="E331" s="581"/>
      <c r="F331" s="624"/>
      <c r="G331" s="581"/>
      <c r="H331" s="581"/>
      <c r="I331" s="581"/>
      <c r="J331" s="581"/>
      <c r="K331" s="581"/>
      <c r="L331" s="581"/>
      <c r="M331" s="1477"/>
      <c r="N331" s="1477"/>
      <c r="O331" s="1477"/>
      <c r="P331" s="1467"/>
      <c r="Q331" s="581"/>
      <c r="R331" s="581"/>
      <c r="S331" s="581"/>
      <c r="T331" s="581"/>
      <c r="U331" s="581"/>
      <c r="V331" s="581"/>
      <c r="W331" s="1475"/>
      <c r="X331" s="581"/>
      <c r="Y331" s="581"/>
    </row>
    <row r="332">
      <c r="A332" s="581"/>
      <c r="B332" s="1467"/>
      <c r="C332" s="581"/>
      <c r="D332" s="581"/>
      <c r="E332" s="581"/>
      <c r="F332" s="624"/>
      <c r="G332" s="581"/>
      <c r="H332" s="581"/>
      <c r="I332" s="581"/>
      <c r="J332" s="581"/>
      <c r="K332" s="581"/>
      <c r="L332" s="581"/>
      <c r="M332" s="1477"/>
      <c r="N332" s="1477"/>
      <c r="O332" s="1477"/>
      <c r="P332" s="1467"/>
      <c r="Q332" s="581"/>
      <c r="R332" s="581"/>
      <c r="S332" s="581"/>
      <c r="T332" s="581"/>
      <c r="U332" s="581"/>
      <c r="V332" s="581"/>
      <c r="W332" s="1475"/>
      <c r="X332" s="581"/>
      <c r="Y332" s="581"/>
    </row>
    <row r="333">
      <c r="A333" s="581"/>
      <c r="B333" s="1467"/>
      <c r="C333" s="581"/>
      <c r="D333" s="581"/>
      <c r="E333" s="581"/>
      <c r="F333" s="624"/>
      <c r="G333" s="581"/>
      <c r="H333" s="581"/>
      <c r="I333" s="581"/>
      <c r="J333" s="581"/>
      <c r="K333" s="581"/>
      <c r="L333" s="581"/>
      <c r="M333" s="1477"/>
      <c r="N333" s="1477"/>
      <c r="O333" s="1477"/>
      <c r="P333" s="1467"/>
      <c r="Q333" s="581"/>
      <c r="R333" s="581"/>
      <c r="S333" s="581"/>
      <c r="T333" s="581"/>
      <c r="U333" s="581"/>
      <c r="V333" s="581"/>
      <c r="W333" s="1475"/>
      <c r="X333" s="581"/>
      <c r="Y333" s="581"/>
    </row>
    <row r="334">
      <c r="A334" s="581"/>
      <c r="B334" s="1467"/>
      <c r="C334" s="581"/>
      <c r="D334" s="581"/>
      <c r="E334" s="581"/>
      <c r="F334" s="624"/>
      <c r="G334" s="581"/>
      <c r="H334" s="581"/>
      <c r="I334" s="581"/>
      <c r="J334" s="581"/>
      <c r="K334" s="581"/>
      <c r="L334" s="581"/>
      <c r="M334" s="1477"/>
      <c r="N334" s="1477"/>
      <c r="O334" s="1477"/>
      <c r="P334" s="1467"/>
      <c r="Q334" s="581"/>
      <c r="R334" s="581"/>
      <c r="S334" s="581"/>
      <c r="T334" s="581"/>
      <c r="U334" s="581"/>
      <c r="V334" s="581"/>
      <c r="W334" s="1475"/>
      <c r="X334" s="581"/>
      <c r="Y334" s="581"/>
    </row>
    <row r="335">
      <c r="A335" s="581"/>
      <c r="B335" s="1467"/>
      <c r="C335" s="581"/>
      <c r="D335" s="581"/>
      <c r="E335" s="581"/>
      <c r="F335" s="624"/>
      <c r="G335" s="581"/>
      <c r="H335" s="581"/>
      <c r="I335" s="581"/>
      <c r="J335" s="581"/>
      <c r="K335" s="581"/>
      <c r="L335" s="581"/>
      <c r="M335" s="1477"/>
      <c r="N335" s="1477"/>
      <c r="O335" s="1477"/>
      <c r="P335" s="1467"/>
      <c r="Q335" s="581"/>
      <c r="R335" s="581"/>
      <c r="S335" s="581"/>
      <c r="T335" s="581"/>
      <c r="U335" s="581"/>
      <c r="V335" s="581"/>
      <c r="W335" s="1475"/>
      <c r="X335" s="581"/>
      <c r="Y335" s="581"/>
    </row>
    <row r="336">
      <c r="A336" s="581"/>
      <c r="B336" s="1467"/>
      <c r="C336" s="581"/>
      <c r="D336" s="581"/>
      <c r="E336" s="581"/>
      <c r="F336" s="624"/>
      <c r="G336" s="581"/>
      <c r="H336" s="581"/>
      <c r="I336" s="581"/>
      <c r="J336" s="581"/>
      <c r="K336" s="581"/>
      <c r="L336" s="581"/>
      <c r="M336" s="1477"/>
      <c r="N336" s="1477"/>
      <c r="O336" s="1477"/>
      <c r="P336" s="1467"/>
      <c r="Q336" s="581"/>
      <c r="R336" s="581"/>
      <c r="S336" s="581"/>
      <c r="T336" s="581"/>
      <c r="U336" s="581"/>
      <c r="V336" s="581"/>
      <c r="W336" s="1475"/>
      <c r="X336" s="581"/>
      <c r="Y336" s="581"/>
    </row>
    <row r="337">
      <c r="A337" s="581"/>
      <c r="B337" s="1467"/>
      <c r="C337" s="581"/>
      <c r="D337" s="581"/>
      <c r="E337" s="581"/>
      <c r="F337" s="624"/>
      <c r="G337" s="581"/>
      <c r="H337" s="581"/>
      <c r="I337" s="581"/>
      <c r="J337" s="581"/>
      <c r="K337" s="581"/>
      <c r="L337" s="581"/>
      <c r="M337" s="1477"/>
      <c r="N337" s="1477"/>
      <c r="O337" s="1477"/>
      <c r="P337" s="1467"/>
      <c r="Q337" s="581"/>
      <c r="R337" s="581"/>
      <c r="S337" s="581"/>
      <c r="T337" s="581"/>
      <c r="U337" s="581"/>
      <c r="V337" s="581"/>
      <c r="W337" s="1475"/>
      <c r="X337" s="581"/>
      <c r="Y337" s="581"/>
    </row>
    <row r="338">
      <c r="A338" s="581"/>
      <c r="B338" s="1467"/>
      <c r="C338" s="581"/>
      <c r="D338" s="581"/>
      <c r="E338" s="581"/>
      <c r="F338" s="624"/>
      <c r="G338" s="581"/>
      <c r="H338" s="581"/>
      <c r="I338" s="581"/>
      <c r="J338" s="581"/>
      <c r="K338" s="581"/>
      <c r="L338" s="581"/>
      <c r="M338" s="1477"/>
      <c r="N338" s="1477"/>
      <c r="O338" s="1477"/>
      <c r="P338" s="1467"/>
      <c r="Q338" s="581"/>
      <c r="R338" s="581"/>
      <c r="S338" s="581"/>
      <c r="T338" s="581"/>
      <c r="U338" s="581"/>
      <c r="V338" s="581"/>
      <c r="W338" s="1475"/>
      <c r="X338" s="581"/>
      <c r="Y338" s="581"/>
    </row>
    <row r="339">
      <c r="A339" s="581"/>
      <c r="B339" s="1467"/>
      <c r="C339" s="581"/>
      <c r="D339" s="581"/>
      <c r="E339" s="581"/>
      <c r="F339" s="624"/>
      <c r="G339" s="581"/>
      <c r="H339" s="581"/>
      <c r="I339" s="581"/>
      <c r="J339" s="581"/>
      <c r="K339" s="581"/>
      <c r="L339" s="581"/>
      <c r="M339" s="1477"/>
      <c r="N339" s="1477"/>
      <c r="O339" s="1477"/>
      <c r="P339" s="1467"/>
      <c r="Q339" s="581"/>
      <c r="R339" s="581"/>
      <c r="S339" s="581"/>
      <c r="T339" s="581"/>
      <c r="U339" s="581"/>
      <c r="V339" s="581"/>
      <c r="W339" s="1475"/>
      <c r="X339" s="581"/>
      <c r="Y339" s="581"/>
    </row>
    <row r="340">
      <c r="A340" s="581"/>
      <c r="B340" s="1467"/>
      <c r="C340" s="581"/>
      <c r="D340" s="581"/>
      <c r="E340" s="581"/>
      <c r="F340" s="624"/>
      <c r="G340" s="581"/>
      <c r="H340" s="581"/>
      <c r="I340" s="581"/>
      <c r="J340" s="581"/>
      <c r="K340" s="581"/>
      <c r="L340" s="581"/>
      <c r="M340" s="1477"/>
      <c r="N340" s="1477"/>
      <c r="O340" s="1477"/>
      <c r="P340" s="1467"/>
      <c r="Q340" s="581"/>
      <c r="R340" s="581"/>
      <c r="S340" s="581"/>
      <c r="T340" s="581"/>
      <c r="U340" s="581"/>
      <c r="V340" s="581"/>
      <c r="W340" s="1475"/>
      <c r="X340" s="581"/>
      <c r="Y340" s="581"/>
    </row>
    <row r="341">
      <c r="A341" s="581"/>
      <c r="B341" s="1467"/>
      <c r="C341" s="581"/>
      <c r="D341" s="581"/>
      <c r="E341" s="581"/>
      <c r="F341" s="624"/>
      <c r="G341" s="581"/>
      <c r="H341" s="581"/>
      <c r="I341" s="581"/>
      <c r="J341" s="581"/>
      <c r="K341" s="581"/>
      <c r="L341" s="581"/>
      <c r="M341" s="1477"/>
      <c r="N341" s="1477"/>
      <c r="O341" s="1477"/>
      <c r="P341" s="1467"/>
      <c r="Q341" s="581"/>
      <c r="R341" s="581"/>
      <c r="S341" s="581"/>
      <c r="T341" s="581"/>
      <c r="U341" s="581"/>
      <c r="V341" s="581"/>
      <c r="W341" s="1475"/>
      <c r="X341" s="581"/>
      <c r="Y341" s="581"/>
    </row>
    <row r="342">
      <c r="A342" s="581"/>
      <c r="B342" s="1467"/>
      <c r="C342" s="581"/>
      <c r="D342" s="581"/>
      <c r="E342" s="581"/>
      <c r="F342" s="624"/>
      <c r="G342" s="581"/>
      <c r="H342" s="581"/>
      <c r="I342" s="581"/>
      <c r="J342" s="581"/>
      <c r="K342" s="581"/>
      <c r="L342" s="581"/>
      <c r="M342" s="1477"/>
      <c r="N342" s="1477"/>
      <c r="O342" s="1477"/>
      <c r="P342" s="1467"/>
      <c r="Q342" s="581"/>
      <c r="R342" s="581"/>
      <c r="S342" s="581"/>
      <c r="T342" s="581"/>
      <c r="U342" s="581"/>
      <c r="V342" s="581"/>
      <c r="W342" s="1475"/>
      <c r="X342" s="581"/>
      <c r="Y342" s="581"/>
    </row>
    <row r="343">
      <c r="A343" s="581"/>
      <c r="B343" s="1467"/>
      <c r="C343" s="581"/>
      <c r="D343" s="581"/>
      <c r="E343" s="581"/>
      <c r="F343" s="624"/>
      <c r="G343" s="581"/>
      <c r="H343" s="581"/>
      <c r="I343" s="581"/>
      <c r="J343" s="581"/>
      <c r="K343" s="581"/>
      <c r="L343" s="581"/>
      <c r="M343" s="1477"/>
      <c r="N343" s="1477"/>
      <c r="O343" s="1477"/>
      <c r="P343" s="1467"/>
      <c r="Q343" s="581"/>
      <c r="R343" s="581"/>
      <c r="S343" s="581"/>
      <c r="T343" s="581"/>
      <c r="U343" s="581"/>
      <c r="V343" s="581"/>
      <c r="W343" s="1475"/>
      <c r="X343" s="581"/>
      <c r="Y343" s="581"/>
    </row>
    <row r="344">
      <c r="A344" s="581"/>
      <c r="B344" s="1467"/>
      <c r="C344" s="581"/>
      <c r="D344" s="581"/>
      <c r="E344" s="581"/>
      <c r="F344" s="624"/>
      <c r="G344" s="581"/>
      <c r="H344" s="581"/>
      <c r="I344" s="581"/>
      <c r="J344" s="581"/>
      <c r="K344" s="581"/>
      <c r="L344" s="581"/>
      <c r="M344" s="1477"/>
      <c r="N344" s="1477"/>
      <c r="O344" s="1477"/>
      <c r="P344" s="1467"/>
      <c r="Q344" s="581"/>
      <c r="R344" s="581"/>
      <c r="S344" s="581"/>
      <c r="T344" s="581"/>
      <c r="U344" s="581"/>
      <c r="V344" s="581"/>
      <c r="W344" s="1475"/>
      <c r="X344" s="581"/>
      <c r="Y344" s="581"/>
    </row>
    <row r="345">
      <c r="A345" s="581"/>
      <c r="B345" s="1467"/>
      <c r="C345" s="581"/>
      <c r="D345" s="581"/>
      <c r="E345" s="581"/>
      <c r="F345" s="624"/>
      <c r="G345" s="581"/>
      <c r="H345" s="581"/>
      <c r="I345" s="581"/>
      <c r="J345" s="581"/>
      <c r="K345" s="581"/>
      <c r="L345" s="581"/>
      <c r="M345" s="1477"/>
      <c r="N345" s="1477"/>
      <c r="O345" s="1477"/>
      <c r="P345" s="1467"/>
      <c r="Q345" s="581"/>
      <c r="R345" s="581"/>
      <c r="S345" s="581"/>
      <c r="T345" s="581"/>
      <c r="U345" s="581"/>
      <c r="V345" s="581"/>
      <c r="W345" s="1475"/>
      <c r="X345" s="581"/>
      <c r="Y345" s="581"/>
    </row>
    <row r="346">
      <c r="A346" s="581"/>
      <c r="B346" s="1467"/>
      <c r="C346" s="581"/>
      <c r="D346" s="581"/>
      <c r="E346" s="581"/>
      <c r="F346" s="624"/>
      <c r="G346" s="581"/>
      <c r="H346" s="581"/>
      <c r="I346" s="581"/>
      <c r="J346" s="581"/>
      <c r="K346" s="581"/>
      <c r="L346" s="581"/>
      <c r="M346" s="1477"/>
      <c r="N346" s="1477"/>
      <c r="O346" s="1477"/>
      <c r="P346" s="1467"/>
      <c r="Q346" s="581"/>
      <c r="R346" s="581"/>
      <c r="S346" s="581"/>
      <c r="T346" s="581"/>
      <c r="U346" s="581"/>
      <c r="V346" s="581"/>
      <c r="W346" s="1475"/>
      <c r="X346" s="581"/>
      <c r="Y346" s="581"/>
    </row>
    <row r="347">
      <c r="A347" s="581"/>
      <c r="B347" s="1467"/>
      <c r="C347" s="581"/>
      <c r="D347" s="581"/>
      <c r="E347" s="581"/>
      <c r="F347" s="624"/>
      <c r="G347" s="581"/>
      <c r="H347" s="581"/>
      <c r="I347" s="581"/>
      <c r="J347" s="581"/>
      <c r="K347" s="581"/>
      <c r="L347" s="581"/>
      <c r="M347" s="1477"/>
      <c r="N347" s="1477"/>
      <c r="O347" s="1477"/>
      <c r="P347" s="1467"/>
      <c r="Q347" s="581"/>
      <c r="R347" s="581"/>
      <c r="S347" s="581"/>
      <c r="T347" s="581"/>
      <c r="U347" s="581"/>
      <c r="V347" s="581"/>
      <c r="W347" s="1475"/>
      <c r="X347" s="581"/>
      <c r="Y347" s="581"/>
    </row>
    <row r="348">
      <c r="A348" s="581"/>
      <c r="B348" s="1467"/>
      <c r="C348" s="581"/>
      <c r="D348" s="581"/>
      <c r="E348" s="581"/>
      <c r="F348" s="624"/>
      <c r="G348" s="581"/>
      <c r="H348" s="581"/>
      <c r="I348" s="581"/>
      <c r="J348" s="581"/>
      <c r="K348" s="581"/>
      <c r="L348" s="581"/>
      <c r="M348" s="1477"/>
      <c r="N348" s="1477"/>
      <c r="O348" s="1477"/>
      <c r="P348" s="1467"/>
      <c r="Q348" s="581"/>
      <c r="R348" s="581"/>
      <c r="S348" s="581"/>
      <c r="T348" s="581"/>
      <c r="U348" s="581"/>
      <c r="V348" s="581"/>
      <c r="W348" s="1475"/>
      <c r="X348" s="581"/>
      <c r="Y348" s="581"/>
    </row>
    <row r="349">
      <c r="A349" s="581"/>
      <c r="B349" s="1467"/>
      <c r="C349" s="581"/>
      <c r="D349" s="581"/>
      <c r="E349" s="581"/>
      <c r="F349" s="624"/>
      <c r="G349" s="581"/>
      <c r="H349" s="581"/>
      <c r="I349" s="581"/>
      <c r="J349" s="581"/>
      <c r="K349" s="581"/>
      <c r="L349" s="581"/>
      <c r="M349" s="1477"/>
      <c r="N349" s="1477"/>
      <c r="O349" s="1477"/>
      <c r="P349" s="1467"/>
      <c r="Q349" s="581"/>
      <c r="R349" s="581"/>
      <c r="S349" s="581"/>
      <c r="T349" s="581"/>
      <c r="U349" s="581"/>
      <c r="V349" s="581"/>
      <c r="W349" s="1475"/>
      <c r="X349" s="581"/>
      <c r="Y349" s="581"/>
    </row>
    <row r="350">
      <c r="A350" s="581"/>
      <c r="B350" s="1467"/>
      <c r="C350" s="581"/>
      <c r="D350" s="581"/>
      <c r="E350" s="581"/>
      <c r="F350" s="624"/>
      <c r="G350" s="581"/>
      <c r="H350" s="581"/>
      <c r="I350" s="581"/>
      <c r="J350" s="581"/>
      <c r="K350" s="581"/>
      <c r="L350" s="581"/>
      <c r="M350" s="1477"/>
      <c r="N350" s="1477"/>
      <c r="O350" s="1477"/>
      <c r="P350" s="1467"/>
      <c r="Q350" s="581"/>
      <c r="R350" s="581"/>
      <c r="S350" s="581"/>
      <c r="T350" s="581"/>
      <c r="U350" s="581"/>
      <c r="V350" s="581"/>
      <c r="W350" s="1475"/>
      <c r="X350" s="581"/>
      <c r="Y350" s="581"/>
    </row>
    <row r="351">
      <c r="A351" s="581"/>
      <c r="B351" s="1467"/>
      <c r="C351" s="581"/>
      <c r="D351" s="581"/>
      <c r="E351" s="581"/>
      <c r="F351" s="624"/>
      <c r="G351" s="581"/>
      <c r="H351" s="581"/>
      <c r="I351" s="581"/>
      <c r="J351" s="581"/>
      <c r="K351" s="581"/>
      <c r="L351" s="581"/>
      <c r="M351" s="1477"/>
      <c r="N351" s="1477"/>
      <c r="O351" s="1477"/>
      <c r="P351" s="1467"/>
      <c r="Q351" s="581"/>
      <c r="R351" s="581"/>
      <c r="S351" s="581"/>
      <c r="T351" s="581"/>
      <c r="U351" s="581"/>
      <c r="V351" s="581"/>
      <c r="W351" s="1475"/>
      <c r="X351" s="581"/>
      <c r="Y351" s="581"/>
    </row>
    <row r="352">
      <c r="A352" s="581"/>
      <c r="B352" s="1467"/>
      <c r="C352" s="581"/>
      <c r="D352" s="581"/>
      <c r="E352" s="581"/>
      <c r="F352" s="624"/>
      <c r="G352" s="581"/>
      <c r="H352" s="581"/>
      <c r="I352" s="581"/>
      <c r="J352" s="581"/>
      <c r="K352" s="581"/>
      <c r="L352" s="581"/>
      <c r="M352" s="1477"/>
      <c r="N352" s="1477"/>
      <c r="O352" s="1477"/>
      <c r="P352" s="1467"/>
      <c r="Q352" s="581"/>
      <c r="R352" s="581"/>
      <c r="S352" s="581"/>
      <c r="T352" s="581"/>
      <c r="U352" s="581"/>
      <c r="V352" s="581"/>
      <c r="W352" s="1475"/>
      <c r="X352" s="581"/>
      <c r="Y352" s="581"/>
    </row>
    <row r="353">
      <c r="A353" s="581"/>
      <c r="B353" s="1467"/>
      <c r="C353" s="581"/>
      <c r="D353" s="581"/>
      <c r="E353" s="581"/>
      <c r="F353" s="624"/>
      <c r="G353" s="581"/>
      <c r="H353" s="581"/>
      <c r="I353" s="581"/>
      <c r="J353" s="581"/>
      <c r="K353" s="581"/>
      <c r="L353" s="581"/>
      <c r="M353" s="1477"/>
      <c r="N353" s="1477"/>
      <c r="O353" s="1477"/>
      <c r="P353" s="1467"/>
      <c r="Q353" s="581"/>
      <c r="R353" s="581"/>
      <c r="S353" s="581"/>
      <c r="T353" s="581"/>
      <c r="U353" s="581"/>
      <c r="V353" s="581"/>
      <c r="W353" s="1475"/>
      <c r="X353" s="581"/>
      <c r="Y353" s="581"/>
    </row>
    <row r="354">
      <c r="A354" s="581"/>
      <c r="B354" s="1467"/>
      <c r="C354" s="581"/>
      <c r="D354" s="581"/>
      <c r="E354" s="581"/>
      <c r="F354" s="624"/>
      <c r="G354" s="581"/>
      <c r="H354" s="581"/>
      <c r="I354" s="581"/>
      <c r="J354" s="581"/>
      <c r="K354" s="581"/>
      <c r="L354" s="581"/>
      <c r="M354" s="1477"/>
      <c r="N354" s="1477"/>
      <c r="O354" s="1477"/>
      <c r="P354" s="1467"/>
      <c r="Q354" s="581"/>
      <c r="R354" s="581"/>
      <c r="S354" s="581"/>
      <c r="T354" s="581"/>
      <c r="U354" s="581"/>
      <c r="V354" s="581"/>
      <c r="W354" s="1475"/>
      <c r="X354" s="581"/>
      <c r="Y354" s="581"/>
    </row>
    <row r="355">
      <c r="A355" s="581"/>
      <c r="B355" s="1467"/>
      <c r="C355" s="581"/>
      <c r="D355" s="581"/>
      <c r="E355" s="581"/>
      <c r="F355" s="624"/>
      <c r="G355" s="581"/>
      <c r="H355" s="581"/>
      <c r="I355" s="581"/>
      <c r="J355" s="581"/>
      <c r="K355" s="581"/>
      <c r="L355" s="581"/>
      <c r="M355" s="1477"/>
      <c r="N355" s="1477"/>
      <c r="O355" s="1477"/>
      <c r="P355" s="1467"/>
      <c r="Q355" s="581"/>
      <c r="R355" s="581"/>
      <c r="S355" s="581"/>
      <c r="T355" s="581"/>
      <c r="U355" s="581"/>
      <c r="V355" s="581"/>
      <c r="W355" s="1475"/>
      <c r="X355" s="581"/>
      <c r="Y355" s="581"/>
    </row>
    <row r="356">
      <c r="A356" s="581"/>
      <c r="B356" s="1467"/>
      <c r="C356" s="581"/>
      <c r="D356" s="581"/>
      <c r="E356" s="581"/>
      <c r="F356" s="624"/>
      <c r="G356" s="581"/>
      <c r="H356" s="581"/>
      <c r="I356" s="581"/>
      <c r="J356" s="581"/>
      <c r="K356" s="581"/>
      <c r="L356" s="581"/>
      <c r="M356" s="1477"/>
      <c r="N356" s="1477"/>
      <c r="O356" s="1477"/>
      <c r="P356" s="1467"/>
      <c r="Q356" s="581"/>
      <c r="R356" s="581"/>
      <c r="S356" s="581"/>
      <c r="T356" s="581"/>
      <c r="U356" s="581"/>
      <c r="V356" s="581"/>
      <c r="W356" s="1475"/>
      <c r="X356" s="581"/>
      <c r="Y356" s="581"/>
    </row>
    <row r="357">
      <c r="A357" s="581"/>
      <c r="B357" s="1467"/>
      <c r="C357" s="581"/>
      <c r="D357" s="581"/>
      <c r="E357" s="581"/>
      <c r="F357" s="624"/>
      <c r="G357" s="581"/>
      <c r="H357" s="581"/>
      <c r="I357" s="581"/>
      <c r="J357" s="581"/>
      <c r="K357" s="581"/>
      <c r="L357" s="581"/>
      <c r="M357" s="1477"/>
      <c r="N357" s="1477"/>
      <c r="O357" s="1477"/>
      <c r="P357" s="1467"/>
      <c r="Q357" s="581"/>
      <c r="R357" s="581"/>
      <c r="S357" s="581"/>
      <c r="T357" s="581"/>
      <c r="U357" s="581"/>
      <c r="V357" s="581"/>
      <c r="W357" s="1475"/>
      <c r="X357" s="581"/>
      <c r="Y357" s="581"/>
    </row>
    <row r="358">
      <c r="A358" s="581"/>
      <c r="B358" s="1467"/>
      <c r="C358" s="581"/>
      <c r="D358" s="581"/>
      <c r="E358" s="581"/>
      <c r="F358" s="624"/>
      <c r="G358" s="581"/>
      <c r="H358" s="581"/>
      <c r="I358" s="581"/>
      <c r="J358" s="581"/>
      <c r="K358" s="581"/>
      <c r="L358" s="581"/>
      <c r="M358" s="1477"/>
      <c r="N358" s="1477"/>
      <c r="O358" s="1477"/>
      <c r="P358" s="1467"/>
      <c r="Q358" s="581"/>
      <c r="R358" s="581"/>
      <c r="S358" s="581"/>
      <c r="T358" s="581"/>
      <c r="U358" s="581"/>
      <c r="V358" s="581"/>
      <c r="W358" s="1475"/>
      <c r="X358" s="581"/>
      <c r="Y358" s="581"/>
    </row>
    <row r="359">
      <c r="A359" s="581"/>
      <c r="B359" s="1467"/>
      <c r="C359" s="581"/>
      <c r="D359" s="581"/>
      <c r="E359" s="581"/>
      <c r="F359" s="624"/>
      <c r="G359" s="581"/>
      <c r="H359" s="581"/>
      <c r="I359" s="581"/>
      <c r="J359" s="581"/>
      <c r="K359" s="581"/>
      <c r="L359" s="581"/>
      <c r="M359" s="1477"/>
      <c r="N359" s="1477"/>
      <c r="O359" s="1477"/>
      <c r="P359" s="1467"/>
      <c r="Q359" s="581"/>
      <c r="R359" s="581"/>
      <c r="S359" s="581"/>
      <c r="T359" s="581"/>
      <c r="U359" s="581"/>
      <c r="V359" s="581"/>
      <c r="W359" s="1475"/>
      <c r="X359" s="581"/>
      <c r="Y359" s="581"/>
    </row>
    <row r="360">
      <c r="A360" s="581"/>
      <c r="B360" s="1467"/>
      <c r="C360" s="581"/>
      <c r="D360" s="581"/>
      <c r="E360" s="581"/>
      <c r="F360" s="624"/>
      <c r="G360" s="581"/>
      <c r="H360" s="581"/>
      <c r="I360" s="581"/>
      <c r="J360" s="581"/>
      <c r="K360" s="581"/>
      <c r="L360" s="581"/>
      <c r="M360" s="1477"/>
      <c r="N360" s="1477"/>
      <c r="O360" s="1477"/>
      <c r="P360" s="1467"/>
      <c r="Q360" s="581"/>
      <c r="R360" s="581"/>
      <c r="S360" s="581"/>
      <c r="T360" s="581"/>
      <c r="U360" s="581"/>
      <c r="V360" s="581"/>
      <c r="W360" s="1475"/>
      <c r="X360" s="581"/>
      <c r="Y360" s="581"/>
    </row>
    <row r="361">
      <c r="A361" s="581"/>
      <c r="B361" s="1467"/>
      <c r="C361" s="581"/>
      <c r="D361" s="581"/>
      <c r="E361" s="581"/>
      <c r="F361" s="624"/>
      <c r="G361" s="581"/>
      <c r="H361" s="581"/>
      <c r="I361" s="581"/>
      <c r="J361" s="581"/>
      <c r="K361" s="581"/>
      <c r="L361" s="581"/>
      <c r="M361" s="1477"/>
      <c r="N361" s="1477"/>
      <c r="O361" s="1477"/>
      <c r="P361" s="1467"/>
      <c r="Q361" s="581"/>
      <c r="R361" s="581"/>
      <c r="S361" s="581"/>
      <c r="T361" s="581"/>
      <c r="U361" s="581"/>
      <c r="V361" s="581"/>
      <c r="W361" s="1475"/>
      <c r="X361" s="581"/>
      <c r="Y361" s="581"/>
    </row>
    <row r="362">
      <c r="A362" s="581"/>
      <c r="B362" s="1467"/>
      <c r="C362" s="581"/>
      <c r="D362" s="581"/>
      <c r="E362" s="581"/>
      <c r="F362" s="624"/>
      <c r="G362" s="581"/>
      <c r="H362" s="581"/>
      <c r="I362" s="581"/>
      <c r="J362" s="581"/>
      <c r="K362" s="581"/>
      <c r="L362" s="581"/>
      <c r="M362" s="1477"/>
      <c r="N362" s="1477"/>
      <c r="O362" s="1477"/>
      <c r="P362" s="1467"/>
      <c r="Q362" s="581"/>
      <c r="R362" s="581"/>
      <c r="S362" s="581"/>
      <c r="T362" s="581"/>
      <c r="U362" s="581"/>
      <c r="V362" s="581"/>
      <c r="W362" s="1475"/>
      <c r="X362" s="581"/>
      <c r="Y362" s="581"/>
    </row>
    <row r="363">
      <c r="A363" s="581"/>
      <c r="B363" s="1467"/>
      <c r="C363" s="581"/>
      <c r="D363" s="581"/>
      <c r="E363" s="581"/>
      <c r="F363" s="624"/>
      <c r="G363" s="581"/>
      <c r="H363" s="581"/>
      <c r="I363" s="581"/>
      <c r="J363" s="581"/>
      <c r="K363" s="581"/>
      <c r="L363" s="581"/>
      <c r="M363" s="1477"/>
      <c r="N363" s="1477"/>
      <c r="O363" s="1477"/>
      <c r="P363" s="1467"/>
      <c r="Q363" s="581"/>
      <c r="R363" s="581"/>
      <c r="S363" s="581"/>
      <c r="T363" s="581"/>
      <c r="U363" s="581"/>
      <c r="V363" s="581"/>
      <c r="W363" s="1475"/>
      <c r="X363" s="581"/>
      <c r="Y363" s="581"/>
    </row>
    <row r="364">
      <c r="A364" s="581"/>
      <c r="B364" s="1467"/>
      <c r="C364" s="581"/>
      <c r="D364" s="581"/>
      <c r="E364" s="581"/>
      <c r="F364" s="624"/>
      <c r="G364" s="581"/>
      <c r="H364" s="581"/>
      <c r="I364" s="581"/>
      <c r="J364" s="581"/>
      <c r="K364" s="581"/>
      <c r="L364" s="581"/>
      <c r="M364" s="1477"/>
      <c r="N364" s="1477"/>
      <c r="O364" s="1477"/>
      <c r="P364" s="1467"/>
      <c r="Q364" s="581"/>
      <c r="R364" s="581"/>
      <c r="S364" s="581"/>
      <c r="T364" s="581"/>
      <c r="U364" s="581"/>
      <c r="V364" s="581"/>
      <c r="W364" s="1475"/>
      <c r="X364" s="581"/>
      <c r="Y364" s="581"/>
    </row>
    <row r="365">
      <c r="A365" s="581"/>
      <c r="B365" s="1467"/>
      <c r="C365" s="581"/>
      <c r="D365" s="581"/>
      <c r="E365" s="581"/>
      <c r="F365" s="624"/>
      <c r="G365" s="581"/>
      <c r="H365" s="581"/>
      <c r="I365" s="581"/>
      <c r="J365" s="581"/>
      <c r="K365" s="581"/>
      <c r="L365" s="581"/>
      <c r="M365" s="1477"/>
      <c r="N365" s="1477"/>
      <c r="O365" s="1477"/>
      <c r="P365" s="1467"/>
      <c r="Q365" s="581"/>
      <c r="R365" s="581"/>
      <c r="S365" s="581"/>
      <c r="T365" s="581"/>
      <c r="U365" s="581"/>
      <c r="V365" s="581"/>
      <c r="W365" s="1475"/>
      <c r="X365" s="581"/>
      <c r="Y365" s="581"/>
    </row>
    <row r="366">
      <c r="A366" s="581"/>
      <c r="B366" s="1467"/>
      <c r="C366" s="581"/>
      <c r="D366" s="581"/>
      <c r="E366" s="581"/>
      <c r="F366" s="624"/>
      <c r="G366" s="581"/>
      <c r="H366" s="581"/>
      <c r="I366" s="581"/>
      <c r="J366" s="581"/>
      <c r="K366" s="581"/>
      <c r="L366" s="581"/>
      <c r="M366" s="1477"/>
      <c r="N366" s="1477"/>
      <c r="O366" s="1477"/>
      <c r="P366" s="1467"/>
      <c r="Q366" s="581"/>
      <c r="R366" s="581"/>
      <c r="S366" s="581"/>
      <c r="T366" s="581"/>
      <c r="U366" s="581"/>
      <c r="V366" s="581"/>
      <c r="W366" s="1475"/>
      <c r="X366" s="581"/>
      <c r="Y366" s="581"/>
    </row>
    <row r="367">
      <c r="A367" s="581"/>
      <c r="B367" s="1467"/>
      <c r="C367" s="581"/>
      <c r="D367" s="581"/>
      <c r="E367" s="581"/>
      <c r="F367" s="624"/>
      <c r="G367" s="581"/>
      <c r="H367" s="581"/>
      <c r="I367" s="581"/>
      <c r="J367" s="581"/>
      <c r="K367" s="581"/>
      <c r="L367" s="581"/>
      <c r="M367" s="1477"/>
      <c r="N367" s="1477"/>
      <c r="O367" s="1477"/>
      <c r="P367" s="1467"/>
      <c r="Q367" s="581"/>
      <c r="R367" s="581"/>
      <c r="S367" s="581"/>
      <c r="T367" s="581"/>
      <c r="U367" s="581"/>
      <c r="V367" s="581"/>
      <c r="W367" s="1475"/>
      <c r="X367" s="581"/>
      <c r="Y367" s="581"/>
    </row>
    <row r="368">
      <c r="A368" s="581"/>
      <c r="B368" s="1467"/>
      <c r="C368" s="581"/>
      <c r="D368" s="581"/>
      <c r="E368" s="581"/>
      <c r="F368" s="624"/>
      <c r="G368" s="581"/>
      <c r="H368" s="581"/>
      <c r="I368" s="581"/>
      <c r="J368" s="581"/>
      <c r="K368" s="581"/>
      <c r="L368" s="581"/>
      <c r="M368" s="1477"/>
      <c r="N368" s="1477"/>
      <c r="O368" s="1477"/>
      <c r="P368" s="1467"/>
      <c r="Q368" s="581"/>
      <c r="R368" s="581"/>
      <c r="S368" s="581"/>
      <c r="T368" s="581"/>
      <c r="U368" s="581"/>
      <c r="V368" s="581"/>
      <c r="W368" s="1475"/>
      <c r="X368" s="581"/>
      <c r="Y368" s="581"/>
    </row>
    <row r="369">
      <c r="A369" s="581"/>
      <c r="B369" s="1467"/>
      <c r="C369" s="581"/>
      <c r="D369" s="581"/>
      <c r="E369" s="581"/>
      <c r="F369" s="624"/>
      <c r="G369" s="581"/>
      <c r="H369" s="581"/>
      <c r="I369" s="581"/>
      <c r="J369" s="581"/>
      <c r="K369" s="581"/>
      <c r="L369" s="581"/>
      <c r="M369" s="1477"/>
      <c r="N369" s="1477"/>
      <c r="O369" s="1477"/>
      <c r="P369" s="1467"/>
      <c r="Q369" s="581"/>
      <c r="R369" s="581"/>
      <c r="S369" s="581"/>
      <c r="T369" s="581"/>
      <c r="U369" s="581"/>
      <c r="V369" s="581"/>
      <c r="W369" s="1475"/>
      <c r="X369" s="581"/>
      <c r="Y369" s="581"/>
    </row>
    <row r="370">
      <c r="A370" s="581"/>
      <c r="B370" s="1467"/>
      <c r="C370" s="581"/>
      <c r="D370" s="581"/>
      <c r="E370" s="581"/>
      <c r="F370" s="624"/>
      <c r="G370" s="581"/>
      <c r="H370" s="581"/>
      <c r="I370" s="581"/>
      <c r="J370" s="581"/>
      <c r="K370" s="581"/>
      <c r="L370" s="581"/>
      <c r="M370" s="1477"/>
      <c r="N370" s="1477"/>
      <c r="O370" s="1477"/>
      <c r="P370" s="1467"/>
      <c r="Q370" s="581"/>
      <c r="R370" s="581"/>
      <c r="S370" s="581"/>
      <c r="T370" s="581"/>
      <c r="U370" s="581"/>
      <c r="V370" s="581"/>
      <c r="W370" s="1475"/>
      <c r="X370" s="581"/>
      <c r="Y370" s="581"/>
    </row>
    <row r="371">
      <c r="A371" s="581"/>
      <c r="B371" s="1467"/>
      <c r="C371" s="581"/>
      <c r="D371" s="581"/>
      <c r="E371" s="581"/>
      <c r="F371" s="624"/>
      <c r="G371" s="581"/>
      <c r="H371" s="581"/>
      <c r="I371" s="581"/>
      <c r="J371" s="581"/>
      <c r="K371" s="581"/>
      <c r="L371" s="581"/>
      <c r="M371" s="1477"/>
      <c r="N371" s="1477"/>
      <c r="O371" s="1477"/>
      <c r="P371" s="1467"/>
      <c r="Q371" s="581"/>
      <c r="R371" s="581"/>
      <c r="S371" s="581"/>
      <c r="T371" s="581"/>
      <c r="U371" s="581"/>
      <c r="V371" s="581"/>
      <c r="W371" s="1475"/>
      <c r="X371" s="581"/>
      <c r="Y371" s="581"/>
    </row>
    <row r="372">
      <c r="A372" s="581"/>
      <c r="B372" s="1467"/>
      <c r="C372" s="581"/>
      <c r="D372" s="581"/>
      <c r="E372" s="581"/>
      <c r="F372" s="624"/>
      <c r="G372" s="581"/>
      <c r="H372" s="581"/>
      <c r="I372" s="581"/>
      <c r="J372" s="581"/>
      <c r="K372" s="581"/>
      <c r="L372" s="581"/>
      <c r="M372" s="1477"/>
      <c r="N372" s="1477"/>
      <c r="O372" s="1477"/>
      <c r="P372" s="1467"/>
      <c r="Q372" s="581"/>
      <c r="R372" s="581"/>
      <c r="S372" s="581"/>
      <c r="T372" s="581"/>
      <c r="U372" s="581"/>
      <c r="V372" s="581"/>
      <c r="W372" s="1475"/>
      <c r="X372" s="581"/>
      <c r="Y372" s="581"/>
    </row>
    <row r="373">
      <c r="A373" s="581"/>
      <c r="B373" s="1467"/>
      <c r="C373" s="581"/>
      <c r="D373" s="581"/>
      <c r="E373" s="581"/>
      <c r="F373" s="624"/>
      <c r="G373" s="581"/>
      <c r="H373" s="581"/>
      <c r="I373" s="581"/>
      <c r="J373" s="581"/>
      <c r="K373" s="581"/>
      <c r="L373" s="581"/>
      <c r="M373" s="1477"/>
      <c r="N373" s="1477"/>
      <c r="O373" s="1477"/>
      <c r="P373" s="1467"/>
      <c r="Q373" s="581"/>
      <c r="R373" s="581"/>
      <c r="S373" s="581"/>
      <c r="T373" s="581"/>
      <c r="U373" s="581"/>
      <c r="V373" s="581"/>
      <c r="W373" s="1475"/>
      <c r="X373" s="581"/>
      <c r="Y373" s="581"/>
    </row>
    <row r="374">
      <c r="A374" s="581"/>
      <c r="B374" s="1467"/>
      <c r="C374" s="581"/>
      <c r="D374" s="581"/>
      <c r="E374" s="581"/>
      <c r="F374" s="624"/>
      <c r="G374" s="581"/>
      <c r="H374" s="581"/>
      <c r="I374" s="581"/>
      <c r="J374" s="581"/>
      <c r="K374" s="581"/>
      <c r="L374" s="581"/>
      <c r="M374" s="1477"/>
      <c r="N374" s="1477"/>
      <c r="O374" s="1477"/>
      <c r="P374" s="1467"/>
      <c r="Q374" s="581"/>
      <c r="R374" s="581"/>
      <c r="S374" s="581"/>
      <c r="T374" s="581"/>
      <c r="U374" s="581"/>
      <c r="V374" s="581"/>
      <c r="W374" s="1475"/>
      <c r="X374" s="581"/>
      <c r="Y374" s="581"/>
    </row>
    <row r="375">
      <c r="A375" s="581"/>
      <c r="B375" s="1467"/>
      <c r="C375" s="581"/>
      <c r="D375" s="581"/>
      <c r="E375" s="581"/>
      <c r="F375" s="624"/>
      <c r="G375" s="581"/>
      <c r="H375" s="581"/>
      <c r="I375" s="581"/>
      <c r="J375" s="581"/>
      <c r="K375" s="581"/>
      <c r="L375" s="581"/>
      <c r="M375" s="1477"/>
      <c r="N375" s="1477"/>
      <c r="O375" s="1477"/>
      <c r="P375" s="1467"/>
      <c r="Q375" s="581"/>
      <c r="R375" s="581"/>
      <c r="S375" s="581"/>
      <c r="T375" s="581"/>
      <c r="U375" s="581"/>
      <c r="V375" s="581"/>
      <c r="W375" s="1475"/>
      <c r="X375" s="581"/>
      <c r="Y375" s="581"/>
    </row>
    <row r="376">
      <c r="A376" s="581"/>
      <c r="B376" s="1467"/>
      <c r="C376" s="581"/>
      <c r="D376" s="581"/>
      <c r="E376" s="581"/>
      <c r="F376" s="624"/>
      <c r="G376" s="581"/>
      <c r="H376" s="581"/>
      <c r="I376" s="581"/>
      <c r="J376" s="581"/>
      <c r="K376" s="581"/>
      <c r="L376" s="581"/>
      <c r="M376" s="1477"/>
      <c r="N376" s="1477"/>
      <c r="O376" s="1477"/>
      <c r="P376" s="1467"/>
      <c r="Q376" s="581"/>
      <c r="R376" s="581"/>
      <c r="S376" s="581"/>
      <c r="T376" s="581"/>
      <c r="U376" s="581"/>
      <c r="V376" s="581"/>
      <c r="W376" s="1475"/>
      <c r="X376" s="581"/>
      <c r="Y376" s="581"/>
    </row>
    <row r="377">
      <c r="A377" s="581"/>
      <c r="B377" s="1467"/>
      <c r="C377" s="581"/>
      <c r="D377" s="581"/>
      <c r="E377" s="581"/>
      <c r="F377" s="624"/>
      <c r="G377" s="581"/>
      <c r="H377" s="581"/>
      <c r="I377" s="581"/>
      <c r="J377" s="581"/>
      <c r="K377" s="581"/>
      <c r="L377" s="581"/>
      <c r="M377" s="1477"/>
      <c r="N377" s="1477"/>
      <c r="O377" s="1477"/>
      <c r="P377" s="1467"/>
      <c r="Q377" s="581"/>
      <c r="R377" s="581"/>
      <c r="S377" s="581"/>
      <c r="T377" s="581"/>
      <c r="U377" s="581"/>
      <c r="V377" s="581"/>
      <c r="W377" s="1475"/>
      <c r="X377" s="581"/>
      <c r="Y377" s="581"/>
    </row>
    <row r="378">
      <c r="A378" s="581"/>
      <c r="B378" s="1467"/>
      <c r="C378" s="581"/>
      <c r="D378" s="581"/>
      <c r="E378" s="581"/>
      <c r="F378" s="624"/>
      <c r="G378" s="581"/>
      <c r="H378" s="581"/>
      <c r="I378" s="581"/>
      <c r="J378" s="581"/>
      <c r="K378" s="581"/>
      <c r="L378" s="581"/>
      <c r="M378" s="1477"/>
      <c r="N378" s="1477"/>
      <c r="O378" s="1477"/>
      <c r="P378" s="1467"/>
      <c r="Q378" s="581"/>
      <c r="R378" s="581"/>
      <c r="S378" s="581"/>
      <c r="T378" s="581"/>
      <c r="U378" s="581"/>
      <c r="V378" s="581"/>
      <c r="W378" s="1475"/>
      <c r="X378" s="581"/>
      <c r="Y378" s="581"/>
    </row>
    <row r="379">
      <c r="A379" s="581"/>
      <c r="B379" s="1467"/>
      <c r="C379" s="581"/>
      <c r="D379" s="581"/>
      <c r="E379" s="581"/>
      <c r="F379" s="624"/>
      <c r="G379" s="581"/>
      <c r="H379" s="581"/>
      <c r="I379" s="581"/>
      <c r="J379" s="581"/>
      <c r="K379" s="581"/>
      <c r="L379" s="581"/>
      <c r="M379" s="1477"/>
      <c r="N379" s="1477"/>
      <c r="O379" s="1477"/>
      <c r="P379" s="1467"/>
      <c r="Q379" s="581"/>
      <c r="R379" s="581"/>
      <c r="S379" s="581"/>
      <c r="T379" s="581"/>
      <c r="U379" s="581"/>
      <c r="V379" s="581"/>
      <c r="W379" s="1475"/>
      <c r="X379" s="581"/>
      <c r="Y379" s="581"/>
    </row>
    <row r="380">
      <c r="A380" s="581"/>
      <c r="B380" s="1467"/>
      <c r="C380" s="581"/>
      <c r="D380" s="581"/>
      <c r="E380" s="581"/>
      <c r="F380" s="624"/>
      <c r="G380" s="581"/>
      <c r="H380" s="581"/>
      <c r="I380" s="581"/>
      <c r="J380" s="581"/>
      <c r="K380" s="581"/>
      <c r="L380" s="581"/>
      <c r="M380" s="1477"/>
      <c r="N380" s="1477"/>
      <c r="O380" s="1477"/>
      <c r="P380" s="1467"/>
      <c r="Q380" s="581"/>
      <c r="R380" s="581"/>
      <c r="S380" s="581"/>
      <c r="T380" s="581"/>
      <c r="U380" s="581"/>
      <c r="V380" s="581"/>
      <c r="W380" s="1475"/>
      <c r="X380" s="581"/>
      <c r="Y380" s="581"/>
    </row>
    <row r="381">
      <c r="A381" s="581"/>
      <c r="B381" s="1467"/>
      <c r="C381" s="581"/>
      <c r="D381" s="581"/>
      <c r="E381" s="581"/>
      <c r="F381" s="624"/>
      <c r="G381" s="581"/>
      <c r="H381" s="581"/>
      <c r="I381" s="581"/>
      <c r="J381" s="581"/>
      <c r="K381" s="581"/>
      <c r="L381" s="581"/>
      <c r="M381" s="1477"/>
      <c r="N381" s="1477"/>
      <c r="O381" s="1477"/>
      <c r="P381" s="1467"/>
      <c r="Q381" s="581"/>
      <c r="R381" s="581"/>
      <c r="S381" s="581"/>
      <c r="T381" s="581"/>
      <c r="U381" s="581"/>
      <c r="V381" s="581"/>
      <c r="W381" s="1475"/>
      <c r="X381" s="581"/>
      <c r="Y381" s="581"/>
    </row>
    <row r="382">
      <c r="A382" s="581"/>
      <c r="B382" s="1467"/>
      <c r="C382" s="581"/>
      <c r="D382" s="581"/>
      <c r="E382" s="581"/>
      <c r="F382" s="624"/>
      <c r="G382" s="581"/>
      <c r="H382" s="581"/>
      <c r="I382" s="581"/>
      <c r="J382" s="581"/>
      <c r="K382" s="581"/>
      <c r="L382" s="581"/>
      <c r="M382" s="1477"/>
      <c r="N382" s="1477"/>
      <c r="O382" s="1477"/>
      <c r="P382" s="1467"/>
      <c r="Q382" s="581"/>
      <c r="R382" s="581"/>
      <c r="S382" s="581"/>
      <c r="T382" s="581"/>
      <c r="U382" s="581"/>
      <c r="V382" s="581"/>
      <c r="W382" s="1475"/>
      <c r="X382" s="581"/>
      <c r="Y382" s="581"/>
    </row>
    <row r="383">
      <c r="A383" s="581"/>
      <c r="B383" s="1467"/>
      <c r="C383" s="581"/>
      <c r="D383" s="581"/>
      <c r="E383" s="581"/>
      <c r="F383" s="624"/>
      <c r="G383" s="581"/>
      <c r="H383" s="581"/>
      <c r="I383" s="581"/>
      <c r="J383" s="581"/>
      <c r="K383" s="581"/>
      <c r="L383" s="581"/>
      <c r="M383" s="1477"/>
      <c r="N383" s="1477"/>
      <c r="O383" s="1477"/>
      <c r="P383" s="1467"/>
      <c r="Q383" s="581"/>
      <c r="R383" s="581"/>
      <c r="S383" s="581"/>
      <c r="T383" s="581"/>
      <c r="U383" s="581"/>
      <c r="V383" s="581"/>
      <c r="W383" s="1475"/>
      <c r="X383" s="581"/>
      <c r="Y383" s="581"/>
    </row>
    <row r="384">
      <c r="A384" s="581"/>
      <c r="B384" s="1467"/>
      <c r="C384" s="581"/>
      <c r="D384" s="581"/>
      <c r="E384" s="581"/>
      <c r="F384" s="624"/>
      <c r="G384" s="581"/>
      <c r="H384" s="581"/>
      <c r="I384" s="581"/>
      <c r="J384" s="581"/>
      <c r="K384" s="581"/>
      <c r="L384" s="581"/>
      <c r="M384" s="1477"/>
      <c r="N384" s="1477"/>
      <c r="O384" s="1477"/>
      <c r="P384" s="1467"/>
      <c r="Q384" s="581"/>
      <c r="R384" s="581"/>
      <c r="S384" s="581"/>
      <c r="T384" s="581"/>
      <c r="U384" s="581"/>
      <c r="V384" s="581"/>
      <c r="W384" s="1475"/>
      <c r="X384" s="581"/>
      <c r="Y384" s="581"/>
    </row>
    <row r="385">
      <c r="A385" s="581"/>
      <c r="B385" s="1467"/>
      <c r="C385" s="581"/>
      <c r="D385" s="581"/>
      <c r="E385" s="581"/>
      <c r="F385" s="624"/>
      <c r="G385" s="581"/>
      <c r="H385" s="581"/>
      <c r="I385" s="581"/>
      <c r="J385" s="581"/>
      <c r="K385" s="581"/>
      <c r="L385" s="581"/>
      <c r="M385" s="1477"/>
      <c r="N385" s="1477"/>
      <c r="O385" s="1477"/>
      <c r="P385" s="1467"/>
      <c r="Q385" s="581"/>
      <c r="R385" s="581"/>
      <c r="S385" s="581"/>
      <c r="T385" s="581"/>
      <c r="U385" s="581"/>
      <c r="V385" s="581"/>
      <c r="W385" s="1475"/>
      <c r="X385" s="581"/>
      <c r="Y385" s="581"/>
    </row>
    <row r="386">
      <c r="A386" s="581"/>
      <c r="B386" s="1467"/>
      <c r="C386" s="581"/>
      <c r="D386" s="581"/>
      <c r="E386" s="581"/>
      <c r="F386" s="624"/>
      <c r="G386" s="581"/>
      <c r="H386" s="581"/>
      <c r="I386" s="581"/>
      <c r="J386" s="581"/>
      <c r="K386" s="581"/>
      <c r="L386" s="581"/>
      <c r="M386" s="1477"/>
      <c r="N386" s="1477"/>
      <c r="O386" s="1477"/>
      <c r="P386" s="1467"/>
      <c r="Q386" s="581"/>
      <c r="R386" s="581"/>
      <c r="S386" s="581"/>
      <c r="T386" s="581"/>
      <c r="U386" s="581"/>
      <c r="V386" s="581"/>
      <c r="W386" s="1475"/>
      <c r="X386" s="581"/>
      <c r="Y386" s="581"/>
    </row>
    <row r="387">
      <c r="A387" s="581"/>
      <c r="B387" s="1467"/>
      <c r="C387" s="581"/>
      <c r="D387" s="581"/>
      <c r="E387" s="581"/>
      <c r="F387" s="624"/>
      <c r="G387" s="581"/>
      <c r="H387" s="581"/>
      <c r="I387" s="581"/>
      <c r="J387" s="581"/>
      <c r="K387" s="581"/>
      <c r="L387" s="581"/>
      <c r="M387" s="1477"/>
      <c r="N387" s="1477"/>
      <c r="O387" s="1477"/>
      <c r="P387" s="1467"/>
      <c r="Q387" s="581"/>
      <c r="R387" s="581"/>
      <c r="S387" s="581"/>
      <c r="T387" s="581"/>
      <c r="U387" s="581"/>
      <c r="V387" s="581"/>
      <c r="W387" s="1475"/>
      <c r="X387" s="581"/>
      <c r="Y387" s="581"/>
    </row>
    <row r="388">
      <c r="A388" s="581"/>
      <c r="B388" s="1467"/>
      <c r="C388" s="581"/>
      <c r="D388" s="581"/>
      <c r="E388" s="581"/>
      <c r="F388" s="624"/>
      <c r="G388" s="581"/>
      <c r="H388" s="581"/>
      <c r="I388" s="581"/>
      <c r="J388" s="581"/>
      <c r="K388" s="581"/>
      <c r="L388" s="581"/>
      <c r="M388" s="1477"/>
      <c r="N388" s="1477"/>
      <c r="O388" s="1477"/>
      <c r="P388" s="1467"/>
      <c r="Q388" s="581"/>
      <c r="R388" s="581"/>
      <c r="S388" s="581"/>
      <c r="T388" s="581"/>
      <c r="U388" s="581"/>
      <c r="V388" s="581"/>
      <c r="W388" s="1475"/>
      <c r="X388" s="581"/>
      <c r="Y388" s="581"/>
    </row>
    <row r="389">
      <c r="A389" s="581"/>
      <c r="B389" s="1467"/>
      <c r="C389" s="581"/>
      <c r="D389" s="581"/>
      <c r="E389" s="581"/>
      <c r="F389" s="624"/>
      <c r="G389" s="581"/>
      <c r="H389" s="581"/>
      <c r="I389" s="581"/>
      <c r="J389" s="581"/>
      <c r="K389" s="581"/>
      <c r="L389" s="581"/>
      <c r="M389" s="1477"/>
      <c r="N389" s="1477"/>
      <c r="O389" s="1477"/>
      <c r="P389" s="1467"/>
      <c r="Q389" s="581"/>
      <c r="R389" s="581"/>
      <c r="S389" s="581"/>
      <c r="T389" s="581"/>
      <c r="U389" s="581"/>
      <c r="V389" s="581"/>
      <c r="W389" s="1475"/>
      <c r="X389" s="581"/>
      <c r="Y389" s="581"/>
    </row>
    <row r="390">
      <c r="A390" s="581"/>
      <c r="B390" s="1467"/>
      <c r="C390" s="581"/>
      <c r="D390" s="581"/>
      <c r="E390" s="581"/>
      <c r="F390" s="624"/>
      <c r="G390" s="581"/>
      <c r="H390" s="581"/>
      <c r="I390" s="581"/>
      <c r="J390" s="581"/>
      <c r="K390" s="581"/>
      <c r="L390" s="581"/>
      <c r="M390" s="1477"/>
      <c r="N390" s="1477"/>
      <c r="O390" s="1477"/>
      <c r="P390" s="1467"/>
      <c r="Q390" s="581"/>
      <c r="R390" s="581"/>
      <c r="S390" s="581"/>
      <c r="T390" s="581"/>
      <c r="U390" s="581"/>
      <c r="V390" s="581"/>
      <c r="W390" s="1475"/>
      <c r="X390" s="581"/>
      <c r="Y390" s="581"/>
    </row>
    <row r="391">
      <c r="A391" s="581"/>
      <c r="B391" s="1467"/>
      <c r="C391" s="581"/>
      <c r="D391" s="581"/>
      <c r="E391" s="581"/>
      <c r="F391" s="624"/>
      <c r="G391" s="581"/>
      <c r="H391" s="581"/>
      <c r="I391" s="581"/>
      <c r="J391" s="581"/>
      <c r="K391" s="581"/>
      <c r="L391" s="581"/>
      <c r="M391" s="1477"/>
      <c r="N391" s="1477"/>
      <c r="O391" s="1477"/>
      <c r="P391" s="1467"/>
      <c r="Q391" s="581"/>
      <c r="R391" s="581"/>
      <c r="S391" s="581"/>
      <c r="T391" s="581"/>
      <c r="U391" s="581"/>
      <c r="V391" s="581"/>
      <c r="W391" s="1475"/>
      <c r="X391" s="581"/>
      <c r="Y391" s="581"/>
    </row>
    <row r="392">
      <c r="A392" s="581"/>
      <c r="B392" s="1467"/>
      <c r="C392" s="581"/>
      <c r="D392" s="581"/>
      <c r="E392" s="581"/>
      <c r="F392" s="624"/>
      <c r="G392" s="581"/>
      <c r="H392" s="581"/>
      <c r="I392" s="581"/>
      <c r="J392" s="581"/>
      <c r="K392" s="581"/>
      <c r="L392" s="581"/>
      <c r="M392" s="1477"/>
      <c r="N392" s="1477"/>
      <c r="O392" s="1477"/>
      <c r="P392" s="1467"/>
      <c r="Q392" s="581"/>
      <c r="R392" s="581"/>
      <c r="S392" s="581"/>
      <c r="T392" s="581"/>
      <c r="U392" s="581"/>
      <c r="V392" s="581"/>
      <c r="W392" s="1475"/>
      <c r="X392" s="581"/>
      <c r="Y392" s="581"/>
    </row>
    <row r="393">
      <c r="A393" s="581"/>
      <c r="B393" s="1467"/>
      <c r="C393" s="581"/>
      <c r="D393" s="581"/>
      <c r="E393" s="581"/>
      <c r="F393" s="624"/>
      <c r="G393" s="581"/>
      <c r="H393" s="581"/>
      <c r="I393" s="581"/>
      <c r="J393" s="581"/>
      <c r="K393" s="581"/>
      <c r="L393" s="581"/>
      <c r="M393" s="1477"/>
      <c r="N393" s="1477"/>
      <c r="O393" s="1477"/>
      <c r="P393" s="1467"/>
      <c r="Q393" s="581"/>
      <c r="R393" s="581"/>
      <c r="S393" s="581"/>
      <c r="T393" s="581"/>
      <c r="U393" s="581"/>
      <c r="V393" s="581"/>
      <c r="W393" s="1475"/>
      <c r="X393" s="581"/>
      <c r="Y393" s="581"/>
    </row>
    <row r="394">
      <c r="A394" s="581"/>
      <c r="B394" s="1467"/>
      <c r="C394" s="581"/>
      <c r="D394" s="581"/>
      <c r="E394" s="581"/>
      <c r="F394" s="624"/>
      <c r="G394" s="581"/>
      <c r="H394" s="581"/>
      <c r="I394" s="581"/>
      <c r="J394" s="581"/>
      <c r="K394" s="581"/>
      <c r="L394" s="581"/>
      <c r="M394" s="1477"/>
      <c r="N394" s="1477"/>
      <c r="O394" s="1477"/>
      <c r="P394" s="1467"/>
      <c r="Q394" s="581"/>
      <c r="R394" s="581"/>
      <c r="S394" s="581"/>
      <c r="T394" s="581"/>
      <c r="U394" s="581"/>
      <c r="V394" s="581"/>
      <c r="W394" s="1475"/>
      <c r="X394" s="581"/>
      <c r="Y394" s="581"/>
    </row>
    <row r="395">
      <c r="A395" s="581"/>
      <c r="B395" s="1467"/>
      <c r="C395" s="581"/>
      <c r="D395" s="581"/>
      <c r="E395" s="581"/>
      <c r="F395" s="624"/>
      <c r="G395" s="581"/>
      <c r="H395" s="581"/>
      <c r="I395" s="581"/>
      <c r="J395" s="581"/>
      <c r="K395" s="581"/>
      <c r="L395" s="581"/>
      <c r="M395" s="1477"/>
      <c r="N395" s="1477"/>
      <c r="O395" s="1477"/>
      <c r="P395" s="1467"/>
      <c r="Q395" s="581"/>
      <c r="R395" s="581"/>
      <c r="S395" s="581"/>
      <c r="T395" s="581"/>
      <c r="U395" s="581"/>
      <c r="V395" s="581"/>
      <c r="W395" s="1475"/>
      <c r="X395" s="581"/>
      <c r="Y395" s="581"/>
    </row>
    <row r="396">
      <c r="A396" s="581"/>
      <c r="B396" s="1467"/>
      <c r="C396" s="581"/>
      <c r="D396" s="581"/>
      <c r="E396" s="581"/>
      <c r="F396" s="624"/>
      <c r="G396" s="581"/>
      <c r="H396" s="581"/>
      <c r="I396" s="581"/>
      <c r="J396" s="581"/>
      <c r="K396" s="581"/>
      <c r="L396" s="581"/>
      <c r="M396" s="1477"/>
      <c r="N396" s="1477"/>
      <c r="O396" s="1477"/>
      <c r="P396" s="1467"/>
      <c r="Q396" s="581"/>
      <c r="R396" s="581"/>
      <c r="S396" s="581"/>
      <c r="T396" s="581"/>
      <c r="U396" s="581"/>
      <c r="V396" s="581"/>
      <c r="W396" s="1475"/>
      <c r="X396" s="581"/>
      <c r="Y396" s="581"/>
    </row>
    <row r="397">
      <c r="A397" s="581"/>
      <c r="B397" s="1467"/>
      <c r="C397" s="581"/>
      <c r="D397" s="581"/>
      <c r="E397" s="581"/>
      <c r="F397" s="624"/>
      <c r="G397" s="581"/>
      <c r="H397" s="581"/>
      <c r="I397" s="581"/>
      <c r="J397" s="581"/>
      <c r="K397" s="581"/>
      <c r="L397" s="581"/>
      <c r="M397" s="1477"/>
      <c r="N397" s="1477"/>
      <c r="O397" s="1477"/>
      <c r="P397" s="1467"/>
      <c r="Q397" s="581"/>
      <c r="R397" s="581"/>
      <c r="S397" s="581"/>
      <c r="T397" s="581"/>
      <c r="U397" s="581"/>
      <c r="V397" s="581"/>
      <c r="W397" s="1475"/>
      <c r="X397" s="581"/>
      <c r="Y397" s="581"/>
    </row>
    <row r="398">
      <c r="A398" s="581"/>
      <c r="B398" s="1467"/>
      <c r="C398" s="581"/>
      <c r="D398" s="581"/>
      <c r="E398" s="581"/>
      <c r="F398" s="624"/>
      <c r="G398" s="581"/>
      <c r="H398" s="581"/>
      <c r="I398" s="581"/>
      <c r="J398" s="581"/>
      <c r="K398" s="581"/>
      <c r="L398" s="581"/>
      <c r="M398" s="1477"/>
      <c r="N398" s="1477"/>
      <c r="O398" s="1477"/>
      <c r="P398" s="1467"/>
      <c r="Q398" s="581"/>
      <c r="R398" s="581"/>
      <c r="S398" s="581"/>
      <c r="T398" s="581"/>
      <c r="U398" s="581"/>
      <c r="V398" s="581"/>
      <c r="W398" s="1475"/>
      <c r="X398" s="581"/>
      <c r="Y398" s="581"/>
    </row>
    <row r="399">
      <c r="A399" s="581"/>
      <c r="B399" s="1467"/>
      <c r="C399" s="581"/>
      <c r="D399" s="581"/>
      <c r="E399" s="581"/>
      <c r="F399" s="624"/>
      <c r="G399" s="581"/>
      <c r="H399" s="581"/>
      <c r="I399" s="581"/>
      <c r="J399" s="581"/>
      <c r="K399" s="581"/>
      <c r="L399" s="581"/>
      <c r="M399" s="1477"/>
      <c r="N399" s="1477"/>
      <c r="O399" s="1477"/>
      <c r="P399" s="1467"/>
      <c r="Q399" s="581"/>
      <c r="R399" s="581"/>
      <c r="S399" s="581"/>
      <c r="T399" s="581"/>
      <c r="U399" s="581"/>
      <c r="V399" s="581"/>
      <c r="W399" s="1475"/>
      <c r="X399" s="581"/>
      <c r="Y399" s="581"/>
    </row>
    <row r="400">
      <c r="A400" s="581"/>
      <c r="B400" s="1467"/>
      <c r="C400" s="581"/>
      <c r="D400" s="581"/>
      <c r="E400" s="581"/>
      <c r="F400" s="624"/>
      <c r="G400" s="581"/>
      <c r="H400" s="581"/>
      <c r="I400" s="581"/>
      <c r="J400" s="581"/>
      <c r="K400" s="581"/>
      <c r="L400" s="581"/>
      <c r="M400" s="1477"/>
      <c r="N400" s="1477"/>
      <c r="O400" s="1477"/>
      <c r="P400" s="1467"/>
      <c r="Q400" s="581"/>
      <c r="R400" s="581"/>
      <c r="S400" s="581"/>
      <c r="T400" s="581"/>
      <c r="U400" s="581"/>
      <c r="V400" s="581"/>
      <c r="W400" s="1475"/>
      <c r="X400" s="581"/>
      <c r="Y400" s="581"/>
    </row>
    <row r="401">
      <c r="A401" s="581"/>
      <c r="B401" s="1467"/>
      <c r="C401" s="581"/>
      <c r="D401" s="581"/>
      <c r="E401" s="581"/>
      <c r="F401" s="624"/>
      <c r="G401" s="581"/>
      <c r="H401" s="581"/>
      <c r="I401" s="581"/>
      <c r="J401" s="581"/>
      <c r="K401" s="581"/>
      <c r="L401" s="581"/>
      <c r="M401" s="1477"/>
      <c r="N401" s="1477"/>
      <c r="O401" s="1477"/>
      <c r="P401" s="1467"/>
      <c r="Q401" s="581"/>
      <c r="R401" s="581"/>
      <c r="S401" s="581"/>
      <c r="T401" s="581"/>
      <c r="U401" s="581"/>
      <c r="V401" s="581"/>
      <c r="W401" s="1475"/>
      <c r="X401" s="581"/>
      <c r="Y401" s="581"/>
    </row>
    <row r="402">
      <c r="A402" s="581"/>
      <c r="B402" s="1467"/>
      <c r="C402" s="581"/>
      <c r="D402" s="581"/>
      <c r="E402" s="581"/>
      <c r="F402" s="624"/>
      <c r="G402" s="581"/>
      <c r="H402" s="581"/>
      <c r="I402" s="581"/>
      <c r="J402" s="581"/>
      <c r="K402" s="581"/>
      <c r="L402" s="581"/>
      <c r="M402" s="1477"/>
      <c r="N402" s="1477"/>
      <c r="O402" s="1477"/>
      <c r="P402" s="1467"/>
      <c r="Q402" s="581"/>
      <c r="R402" s="581"/>
      <c r="S402" s="581"/>
      <c r="T402" s="581"/>
      <c r="U402" s="581"/>
      <c r="V402" s="581"/>
      <c r="W402" s="1475"/>
      <c r="X402" s="581"/>
      <c r="Y402" s="581"/>
    </row>
    <row r="403">
      <c r="A403" s="581"/>
      <c r="B403" s="1467"/>
      <c r="C403" s="581"/>
      <c r="D403" s="581"/>
      <c r="E403" s="581"/>
      <c r="F403" s="624"/>
      <c r="G403" s="581"/>
      <c r="H403" s="581"/>
      <c r="I403" s="581"/>
      <c r="J403" s="581"/>
      <c r="K403" s="581"/>
      <c r="L403" s="581"/>
      <c r="M403" s="1477"/>
      <c r="N403" s="1477"/>
      <c r="O403" s="1477"/>
      <c r="P403" s="1467"/>
      <c r="Q403" s="581"/>
      <c r="R403" s="581"/>
      <c r="S403" s="581"/>
      <c r="T403" s="581"/>
      <c r="U403" s="581"/>
      <c r="V403" s="581"/>
      <c r="W403" s="1475"/>
      <c r="X403" s="581"/>
      <c r="Y403" s="581"/>
    </row>
    <row r="404">
      <c r="A404" s="581"/>
      <c r="B404" s="1467"/>
      <c r="C404" s="581"/>
      <c r="D404" s="581"/>
      <c r="E404" s="581"/>
      <c r="F404" s="624"/>
      <c r="G404" s="581"/>
      <c r="H404" s="581"/>
      <c r="I404" s="581"/>
      <c r="J404" s="581"/>
      <c r="K404" s="581"/>
      <c r="L404" s="581"/>
      <c r="M404" s="1477"/>
      <c r="N404" s="1477"/>
      <c r="O404" s="1477"/>
      <c r="P404" s="1467"/>
      <c r="Q404" s="581"/>
      <c r="R404" s="581"/>
      <c r="S404" s="581"/>
      <c r="T404" s="581"/>
      <c r="U404" s="581"/>
      <c r="V404" s="581"/>
      <c r="W404" s="1475"/>
      <c r="X404" s="581"/>
      <c r="Y404" s="581"/>
    </row>
    <row r="405">
      <c r="A405" s="581"/>
      <c r="B405" s="1467"/>
      <c r="C405" s="581"/>
      <c r="D405" s="581"/>
      <c r="E405" s="581"/>
      <c r="F405" s="624"/>
      <c r="G405" s="581"/>
      <c r="H405" s="581"/>
      <c r="I405" s="581"/>
      <c r="J405" s="581"/>
      <c r="K405" s="581"/>
      <c r="L405" s="581"/>
      <c r="M405" s="1477"/>
      <c r="N405" s="1477"/>
      <c r="O405" s="1477"/>
      <c r="P405" s="1467"/>
      <c r="Q405" s="581"/>
      <c r="R405" s="581"/>
      <c r="S405" s="581"/>
      <c r="T405" s="581"/>
      <c r="U405" s="581"/>
      <c r="V405" s="581"/>
      <c r="W405" s="1475"/>
      <c r="X405" s="581"/>
      <c r="Y405" s="581"/>
    </row>
    <row r="406">
      <c r="A406" s="581"/>
      <c r="B406" s="1467"/>
      <c r="C406" s="581"/>
      <c r="D406" s="581"/>
      <c r="E406" s="581"/>
      <c r="F406" s="624"/>
      <c r="G406" s="581"/>
      <c r="H406" s="581"/>
      <c r="I406" s="581"/>
      <c r="J406" s="581"/>
      <c r="K406" s="581"/>
      <c r="L406" s="581"/>
      <c r="M406" s="1477"/>
      <c r="N406" s="1477"/>
      <c r="O406" s="1477"/>
      <c r="P406" s="1467"/>
      <c r="Q406" s="581"/>
      <c r="R406" s="581"/>
      <c r="S406" s="581"/>
      <c r="T406" s="581"/>
      <c r="U406" s="581"/>
      <c r="V406" s="581"/>
      <c r="W406" s="1475"/>
      <c r="X406" s="581"/>
      <c r="Y406" s="581"/>
    </row>
    <row r="407">
      <c r="A407" s="581"/>
      <c r="B407" s="1467"/>
      <c r="C407" s="581"/>
      <c r="D407" s="581"/>
      <c r="E407" s="581"/>
      <c r="F407" s="624"/>
      <c r="G407" s="581"/>
      <c r="H407" s="581"/>
      <c r="I407" s="581"/>
      <c r="J407" s="581"/>
      <c r="K407" s="581"/>
      <c r="L407" s="581"/>
      <c r="M407" s="1477"/>
      <c r="N407" s="1477"/>
      <c r="O407" s="1477"/>
      <c r="P407" s="1467"/>
      <c r="Q407" s="581"/>
      <c r="R407" s="581"/>
      <c r="S407" s="581"/>
      <c r="T407" s="581"/>
      <c r="U407" s="581"/>
      <c r="V407" s="581"/>
      <c r="W407" s="1475"/>
      <c r="X407" s="581"/>
      <c r="Y407" s="581"/>
    </row>
    <row r="408">
      <c r="A408" s="581"/>
      <c r="B408" s="1467"/>
      <c r="C408" s="581"/>
      <c r="D408" s="581"/>
      <c r="E408" s="581"/>
      <c r="F408" s="624"/>
      <c r="G408" s="581"/>
      <c r="H408" s="581"/>
      <c r="I408" s="581"/>
      <c r="J408" s="581"/>
      <c r="K408" s="581"/>
      <c r="L408" s="581"/>
      <c r="M408" s="1477"/>
      <c r="N408" s="1477"/>
      <c r="O408" s="1477"/>
      <c r="P408" s="1467"/>
      <c r="Q408" s="581"/>
      <c r="R408" s="581"/>
      <c r="S408" s="581"/>
      <c r="T408" s="581"/>
      <c r="U408" s="581"/>
      <c r="V408" s="581"/>
      <c r="W408" s="1475"/>
      <c r="X408" s="581"/>
      <c r="Y408" s="581"/>
    </row>
    <row r="409">
      <c r="A409" s="581"/>
      <c r="B409" s="1467"/>
      <c r="C409" s="581"/>
      <c r="D409" s="581"/>
      <c r="E409" s="581"/>
      <c r="F409" s="624"/>
      <c r="G409" s="581"/>
      <c r="H409" s="581"/>
      <c r="I409" s="581"/>
      <c r="J409" s="581"/>
      <c r="K409" s="581"/>
      <c r="L409" s="581"/>
      <c r="M409" s="1477"/>
      <c r="N409" s="1477"/>
      <c r="O409" s="1477"/>
      <c r="P409" s="1467"/>
      <c r="Q409" s="581"/>
      <c r="R409" s="581"/>
      <c r="S409" s="581"/>
      <c r="T409" s="581"/>
      <c r="U409" s="581"/>
      <c r="V409" s="581"/>
      <c r="W409" s="1475"/>
      <c r="X409" s="581"/>
      <c r="Y409" s="581"/>
    </row>
    <row r="410">
      <c r="A410" s="581"/>
      <c r="B410" s="1467"/>
      <c r="C410" s="581"/>
      <c r="D410" s="581"/>
      <c r="E410" s="581"/>
      <c r="F410" s="624"/>
      <c r="G410" s="581"/>
      <c r="H410" s="581"/>
      <c r="I410" s="581"/>
      <c r="J410" s="581"/>
      <c r="K410" s="581"/>
      <c r="L410" s="581"/>
      <c r="M410" s="1477"/>
      <c r="N410" s="1477"/>
      <c r="O410" s="1477"/>
      <c r="P410" s="1467"/>
      <c r="Q410" s="581"/>
      <c r="R410" s="581"/>
      <c r="S410" s="581"/>
      <c r="T410" s="581"/>
      <c r="U410" s="581"/>
      <c r="V410" s="581"/>
      <c r="W410" s="1475"/>
      <c r="X410" s="581"/>
      <c r="Y410" s="581"/>
    </row>
    <row r="411">
      <c r="A411" s="581"/>
      <c r="B411" s="1467"/>
      <c r="C411" s="581"/>
      <c r="D411" s="581"/>
      <c r="E411" s="581"/>
      <c r="F411" s="624"/>
      <c r="G411" s="581"/>
      <c r="H411" s="581"/>
      <c r="I411" s="581"/>
      <c r="J411" s="581"/>
      <c r="K411" s="581"/>
      <c r="L411" s="581"/>
      <c r="M411" s="1477"/>
      <c r="N411" s="1477"/>
      <c r="O411" s="1477"/>
      <c r="P411" s="1467"/>
      <c r="Q411" s="581"/>
      <c r="R411" s="581"/>
      <c r="S411" s="581"/>
      <c r="T411" s="581"/>
      <c r="U411" s="581"/>
      <c r="V411" s="581"/>
      <c r="W411" s="1475"/>
      <c r="X411" s="581"/>
      <c r="Y411" s="581"/>
    </row>
    <row r="412">
      <c r="A412" s="581"/>
      <c r="B412" s="1467"/>
      <c r="C412" s="581"/>
      <c r="D412" s="581"/>
      <c r="E412" s="581"/>
      <c r="F412" s="624"/>
      <c r="G412" s="581"/>
      <c r="H412" s="581"/>
      <c r="I412" s="581"/>
      <c r="J412" s="581"/>
      <c r="K412" s="581"/>
      <c r="L412" s="581"/>
      <c r="M412" s="1477"/>
      <c r="N412" s="1477"/>
      <c r="O412" s="1477"/>
      <c r="P412" s="1467"/>
      <c r="Q412" s="581"/>
      <c r="R412" s="581"/>
      <c r="S412" s="581"/>
      <c r="T412" s="581"/>
      <c r="U412" s="581"/>
      <c r="V412" s="581"/>
      <c r="W412" s="1475"/>
      <c r="X412" s="581"/>
      <c r="Y412" s="581"/>
    </row>
    <row r="413">
      <c r="A413" s="581"/>
      <c r="B413" s="1467"/>
      <c r="C413" s="581"/>
      <c r="D413" s="581"/>
      <c r="E413" s="581"/>
      <c r="F413" s="624"/>
      <c r="G413" s="581"/>
      <c r="H413" s="581"/>
      <c r="I413" s="581"/>
      <c r="J413" s="581"/>
      <c r="K413" s="581"/>
      <c r="L413" s="581"/>
      <c r="M413" s="1477"/>
      <c r="N413" s="1477"/>
      <c r="O413" s="1477"/>
      <c r="P413" s="1467"/>
      <c r="Q413" s="581"/>
      <c r="R413" s="581"/>
      <c r="S413" s="581"/>
      <c r="T413" s="581"/>
      <c r="U413" s="581"/>
      <c r="V413" s="581"/>
      <c r="W413" s="1475"/>
      <c r="X413" s="581"/>
      <c r="Y413" s="581"/>
    </row>
    <row r="414">
      <c r="A414" s="581"/>
      <c r="B414" s="1467"/>
      <c r="C414" s="581"/>
      <c r="D414" s="581"/>
      <c r="E414" s="581"/>
      <c r="F414" s="624"/>
      <c r="G414" s="581"/>
      <c r="H414" s="581"/>
      <c r="I414" s="581"/>
      <c r="J414" s="581"/>
      <c r="K414" s="581"/>
      <c r="L414" s="581"/>
      <c r="M414" s="1477"/>
      <c r="N414" s="1477"/>
      <c r="O414" s="1477"/>
      <c r="P414" s="1467"/>
      <c r="Q414" s="581"/>
      <c r="R414" s="581"/>
      <c r="S414" s="581"/>
      <c r="T414" s="581"/>
      <c r="U414" s="581"/>
      <c r="V414" s="581"/>
      <c r="W414" s="1475"/>
      <c r="X414" s="581"/>
      <c r="Y414" s="581"/>
    </row>
    <row r="415">
      <c r="A415" s="581"/>
      <c r="B415" s="1467"/>
      <c r="C415" s="581"/>
      <c r="D415" s="581"/>
      <c r="E415" s="581"/>
      <c r="F415" s="624"/>
      <c r="G415" s="581"/>
      <c r="H415" s="581"/>
      <c r="I415" s="581"/>
      <c r="J415" s="581"/>
      <c r="K415" s="581"/>
      <c r="L415" s="581"/>
      <c r="M415" s="1477"/>
      <c r="N415" s="1477"/>
      <c r="O415" s="1477"/>
      <c r="P415" s="1467"/>
      <c r="Q415" s="581"/>
      <c r="R415" s="581"/>
      <c r="S415" s="581"/>
      <c r="T415" s="581"/>
      <c r="U415" s="581"/>
      <c r="V415" s="581"/>
      <c r="W415" s="1475"/>
      <c r="X415" s="581"/>
      <c r="Y415" s="581"/>
    </row>
    <row r="416">
      <c r="A416" s="581"/>
      <c r="B416" s="1467"/>
      <c r="C416" s="581"/>
      <c r="D416" s="581"/>
      <c r="E416" s="581"/>
      <c r="F416" s="624"/>
      <c r="G416" s="581"/>
      <c r="H416" s="581"/>
      <c r="I416" s="581"/>
      <c r="J416" s="581"/>
      <c r="K416" s="581"/>
      <c r="L416" s="581"/>
      <c r="M416" s="1477"/>
      <c r="N416" s="1477"/>
      <c r="O416" s="1477"/>
      <c r="P416" s="1467"/>
      <c r="Q416" s="581"/>
      <c r="R416" s="581"/>
      <c r="S416" s="581"/>
      <c r="T416" s="581"/>
      <c r="U416" s="581"/>
      <c r="V416" s="581"/>
      <c r="W416" s="1475"/>
      <c r="X416" s="581"/>
      <c r="Y416" s="581"/>
    </row>
    <row r="417">
      <c r="A417" s="581"/>
      <c r="B417" s="1467"/>
      <c r="C417" s="581"/>
      <c r="D417" s="581"/>
      <c r="E417" s="581"/>
      <c r="F417" s="624"/>
      <c r="G417" s="581"/>
      <c r="H417" s="581"/>
      <c r="I417" s="581"/>
      <c r="J417" s="581"/>
      <c r="K417" s="581"/>
      <c r="L417" s="581"/>
      <c r="M417" s="1477"/>
      <c r="N417" s="1477"/>
      <c r="O417" s="1477"/>
      <c r="P417" s="1467"/>
      <c r="Q417" s="581"/>
      <c r="R417" s="581"/>
      <c r="S417" s="581"/>
      <c r="T417" s="581"/>
      <c r="U417" s="581"/>
      <c r="V417" s="581"/>
      <c r="W417" s="1475"/>
      <c r="X417" s="581"/>
      <c r="Y417" s="581"/>
    </row>
    <row r="418">
      <c r="A418" s="581"/>
      <c r="B418" s="1467"/>
      <c r="C418" s="581"/>
      <c r="D418" s="581"/>
      <c r="E418" s="581"/>
      <c r="F418" s="624"/>
      <c r="G418" s="581"/>
      <c r="H418" s="581"/>
      <c r="I418" s="581"/>
      <c r="J418" s="581"/>
      <c r="K418" s="581"/>
      <c r="L418" s="581"/>
      <c r="M418" s="1477"/>
      <c r="N418" s="1477"/>
      <c r="O418" s="1477"/>
      <c r="P418" s="1467"/>
      <c r="Q418" s="581"/>
      <c r="R418" s="581"/>
      <c r="S418" s="581"/>
      <c r="T418" s="581"/>
      <c r="U418" s="581"/>
      <c r="V418" s="581"/>
      <c r="W418" s="1475"/>
      <c r="X418" s="581"/>
      <c r="Y418" s="581"/>
    </row>
    <row r="419">
      <c r="A419" s="581"/>
      <c r="B419" s="1467"/>
      <c r="C419" s="581"/>
      <c r="D419" s="581"/>
      <c r="E419" s="581"/>
      <c r="F419" s="624"/>
      <c r="G419" s="581"/>
      <c r="H419" s="581"/>
      <c r="I419" s="581"/>
      <c r="J419" s="581"/>
      <c r="K419" s="581"/>
      <c r="L419" s="581"/>
      <c r="M419" s="1477"/>
      <c r="N419" s="1477"/>
      <c r="O419" s="1477"/>
      <c r="P419" s="1467"/>
      <c r="Q419" s="581"/>
      <c r="R419" s="581"/>
      <c r="S419" s="581"/>
      <c r="T419" s="581"/>
      <c r="U419" s="581"/>
      <c r="V419" s="581"/>
      <c r="W419" s="1475"/>
      <c r="X419" s="581"/>
      <c r="Y419" s="581"/>
    </row>
    <row r="420">
      <c r="A420" s="581"/>
      <c r="B420" s="1467"/>
      <c r="C420" s="581"/>
      <c r="D420" s="581"/>
      <c r="E420" s="581"/>
      <c r="F420" s="624"/>
      <c r="G420" s="581"/>
      <c r="H420" s="581"/>
      <c r="I420" s="581"/>
      <c r="J420" s="581"/>
      <c r="K420" s="581"/>
      <c r="L420" s="581"/>
      <c r="M420" s="1477"/>
      <c r="N420" s="1477"/>
      <c r="O420" s="1477"/>
      <c r="P420" s="1467"/>
      <c r="Q420" s="581"/>
      <c r="R420" s="581"/>
      <c r="S420" s="581"/>
      <c r="T420" s="581"/>
      <c r="U420" s="581"/>
      <c r="V420" s="581"/>
      <c r="W420" s="1475"/>
      <c r="X420" s="581"/>
      <c r="Y420" s="581"/>
    </row>
    <row r="421">
      <c r="A421" s="581"/>
      <c r="B421" s="1467"/>
      <c r="C421" s="581"/>
      <c r="D421" s="581"/>
      <c r="E421" s="581"/>
      <c r="F421" s="624"/>
      <c r="G421" s="581"/>
      <c r="H421" s="581"/>
      <c r="I421" s="581"/>
      <c r="J421" s="581"/>
      <c r="K421" s="581"/>
      <c r="L421" s="581"/>
      <c r="M421" s="1477"/>
      <c r="N421" s="1477"/>
      <c r="O421" s="1477"/>
      <c r="P421" s="1467"/>
      <c r="Q421" s="581"/>
      <c r="R421" s="581"/>
      <c r="S421" s="581"/>
      <c r="T421" s="581"/>
      <c r="U421" s="581"/>
      <c r="V421" s="581"/>
      <c r="W421" s="1475"/>
      <c r="X421" s="581"/>
      <c r="Y421" s="581"/>
    </row>
    <row r="422">
      <c r="A422" s="581"/>
      <c r="B422" s="1467"/>
      <c r="C422" s="581"/>
      <c r="D422" s="581"/>
      <c r="E422" s="581"/>
      <c r="F422" s="624"/>
      <c r="G422" s="581"/>
      <c r="H422" s="581"/>
      <c r="I422" s="581"/>
      <c r="J422" s="581"/>
      <c r="K422" s="581"/>
      <c r="L422" s="581"/>
      <c r="M422" s="1477"/>
      <c r="N422" s="1477"/>
      <c r="O422" s="1477"/>
      <c r="P422" s="1467"/>
      <c r="Q422" s="581"/>
      <c r="R422" s="581"/>
      <c r="S422" s="581"/>
      <c r="T422" s="581"/>
      <c r="U422" s="581"/>
      <c r="V422" s="581"/>
      <c r="W422" s="1475"/>
      <c r="X422" s="581"/>
      <c r="Y422" s="581"/>
    </row>
    <row r="423">
      <c r="A423" s="581"/>
      <c r="B423" s="1467"/>
      <c r="C423" s="581"/>
      <c r="D423" s="581"/>
      <c r="E423" s="581"/>
      <c r="F423" s="624"/>
      <c r="G423" s="581"/>
      <c r="H423" s="581"/>
      <c r="I423" s="581"/>
      <c r="J423" s="581"/>
      <c r="K423" s="581"/>
      <c r="L423" s="581"/>
      <c r="M423" s="1477"/>
      <c r="N423" s="1477"/>
      <c r="O423" s="1477"/>
      <c r="P423" s="1467"/>
      <c r="Q423" s="581"/>
      <c r="R423" s="581"/>
      <c r="S423" s="581"/>
      <c r="T423" s="581"/>
      <c r="U423" s="581"/>
      <c r="V423" s="581"/>
      <c r="W423" s="1475"/>
      <c r="X423" s="581"/>
      <c r="Y423" s="581"/>
    </row>
    <row r="424">
      <c r="A424" s="581"/>
      <c r="B424" s="1467"/>
      <c r="C424" s="581"/>
      <c r="D424" s="581"/>
      <c r="E424" s="581"/>
      <c r="F424" s="624"/>
      <c r="G424" s="581"/>
      <c r="H424" s="581"/>
      <c r="I424" s="581"/>
      <c r="J424" s="581"/>
      <c r="K424" s="581"/>
      <c r="L424" s="581"/>
      <c r="M424" s="1477"/>
      <c r="N424" s="1477"/>
      <c r="O424" s="1477"/>
      <c r="P424" s="1467"/>
      <c r="Q424" s="581"/>
      <c r="R424" s="581"/>
      <c r="S424" s="581"/>
      <c r="T424" s="581"/>
      <c r="U424" s="581"/>
      <c r="V424" s="581"/>
      <c r="W424" s="1475"/>
      <c r="X424" s="581"/>
      <c r="Y424" s="581"/>
    </row>
    <row r="425">
      <c r="A425" s="581"/>
      <c r="B425" s="1467"/>
      <c r="C425" s="581"/>
      <c r="D425" s="581"/>
      <c r="E425" s="581"/>
      <c r="F425" s="624"/>
      <c r="G425" s="581"/>
      <c r="H425" s="581"/>
      <c r="I425" s="581"/>
      <c r="J425" s="581"/>
      <c r="K425" s="581"/>
      <c r="L425" s="581"/>
      <c r="M425" s="1477"/>
      <c r="N425" s="1477"/>
      <c r="O425" s="1477"/>
      <c r="P425" s="1467"/>
      <c r="Q425" s="581"/>
      <c r="R425" s="581"/>
      <c r="S425" s="581"/>
      <c r="T425" s="581"/>
      <c r="U425" s="581"/>
      <c r="V425" s="581"/>
      <c r="W425" s="1475"/>
      <c r="X425" s="581"/>
      <c r="Y425" s="581"/>
    </row>
    <row r="426">
      <c r="A426" s="581"/>
      <c r="B426" s="1467"/>
      <c r="C426" s="581"/>
      <c r="D426" s="581"/>
      <c r="E426" s="581"/>
      <c r="F426" s="624"/>
      <c r="G426" s="581"/>
      <c r="H426" s="581"/>
      <c r="I426" s="581"/>
      <c r="J426" s="581"/>
      <c r="K426" s="581"/>
      <c r="L426" s="581"/>
      <c r="M426" s="1477"/>
      <c r="N426" s="1477"/>
      <c r="O426" s="1477"/>
      <c r="P426" s="1467"/>
      <c r="Q426" s="581"/>
      <c r="R426" s="581"/>
      <c r="S426" s="581"/>
      <c r="T426" s="581"/>
      <c r="U426" s="581"/>
      <c r="V426" s="581"/>
      <c r="W426" s="1475"/>
      <c r="X426" s="581"/>
      <c r="Y426" s="581"/>
    </row>
    <row r="427">
      <c r="A427" s="581"/>
      <c r="B427" s="1467"/>
      <c r="C427" s="581"/>
      <c r="D427" s="581"/>
      <c r="E427" s="581"/>
      <c r="F427" s="624"/>
      <c r="G427" s="581"/>
      <c r="H427" s="581"/>
      <c r="I427" s="581"/>
      <c r="J427" s="581"/>
      <c r="K427" s="581"/>
      <c r="L427" s="581"/>
      <c r="M427" s="1477"/>
      <c r="N427" s="1477"/>
      <c r="O427" s="1477"/>
      <c r="P427" s="1467"/>
      <c r="Q427" s="581"/>
      <c r="R427" s="581"/>
      <c r="S427" s="581"/>
      <c r="T427" s="581"/>
      <c r="U427" s="581"/>
      <c r="V427" s="581"/>
      <c r="W427" s="1475"/>
      <c r="X427" s="581"/>
      <c r="Y427" s="581"/>
    </row>
    <row r="428">
      <c r="A428" s="581"/>
      <c r="B428" s="1467"/>
      <c r="C428" s="581"/>
      <c r="D428" s="581"/>
      <c r="E428" s="581"/>
      <c r="F428" s="624"/>
      <c r="G428" s="581"/>
      <c r="H428" s="581"/>
      <c r="I428" s="581"/>
      <c r="J428" s="581"/>
      <c r="K428" s="581"/>
      <c r="L428" s="581"/>
      <c r="M428" s="1477"/>
      <c r="N428" s="1477"/>
      <c r="O428" s="1477"/>
      <c r="P428" s="1467"/>
      <c r="Q428" s="581"/>
      <c r="R428" s="581"/>
      <c r="S428" s="581"/>
      <c r="T428" s="581"/>
      <c r="U428" s="581"/>
      <c r="V428" s="581"/>
      <c r="W428" s="1475"/>
      <c r="X428" s="581"/>
      <c r="Y428" s="581"/>
    </row>
    <row r="429">
      <c r="A429" s="581"/>
      <c r="B429" s="1467"/>
      <c r="C429" s="581"/>
      <c r="D429" s="581"/>
      <c r="E429" s="581"/>
      <c r="F429" s="624"/>
      <c r="G429" s="581"/>
      <c r="H429" s="581"/>
      <c r="I429" s="581"/>
      <c r="J429" s="581"/>
      <c r="K429" s="581"/>
      <c r="L429" s="581"/>
      <c r="M429" s="1477"/>
      <c r="N429" s="1477"/>
      <c r="O429" s="1477"/>
      <c r="P429" s="1467"/>
      <c r="Q429" s="581"/>
      <c r="R429" s="581"/>
      <c r="S429" s="581"/>
      <c r="T429" s="581"/>
      <c r="U429" s="581"/>
      <c r="V429" s="581"/>
      <c r="W429" s="1475"/>
      <c r="X429" s="581"/>
      <c r="Y429" s="581"/>
    </row>
    <row r="430">
      <c r="A430" s="581"/>
      <c r="B430" s="1467"/>
      <c r="C430" s="581"/>
      <c r="D430" s="581"/>
      <c r="E430" s="581"/>
      <c r="F430" s="624"/>
      <c r="G430" s="581"/>
      <c r="H430" s="581"/>
      <c r="I430" s="581"/>
      <c r="J430" s="581"/>
      <c r="K430" s="581"/>
      <c r="L430" s="581"/>
      <c r="M430" s="1477"/>
      <c r="N430" s="1477"/>
      <c r="O430" s="1477"/>
      <c r="P430" s="1467"/>
      <c r="Q430" s="581"/>
      <c r="R430" s="581"/>
      <c r="S430" s="581"/>
      <c r="T430" s="581"/>
      <c r="U430" s="581"/>
      <c r="V430" s="581"/>
      <c r="W430" s="1475"/>
      <c r="X430" s="581"/>
      <c r="Y430" s="581"/>
    </row>
    <row r="431">
      <c r="A431" s="581"/>
      <c r="B431" s="1467"/>
      <c r="C431" s="581"/>
      <c r="D431" s="581"/>
      <c r="E431" s="581"/>
      <c r="F431" s="624"/>
      <c r="G431" s="581"/>
      <c r="H431" s="581"/>
      <c r="I431" s="581"/>
      <c r="J431" s="581"/>
      <c r="K431" s="581"/>
      <c r="L431" s="581"/>
      <c r="M431" s="1477"/>
      <c r="N431" s="1477"/>
      <c r="O431" s="1477"/>
      <c r="P431" s="1467"/>
      <c r="Q431" s="581"/>
      <c r="R431" s="581"/>
      <c r="S431" s="581"/>
      <c r="T431" s="581"/>
      <c r="U431" s="581"/>
      <c r="V431" s="581"/>
      <c r="W431" s="1475"/>
      <c r="X431" s="581"/>
      <c r="Y431" s="581"/>
    </row>
    <row r="432">
      <c r="A432" s="581"/>
      <c r="B432" s="1467"/>
      <c r="C432" s="581"/>
      <c r="D432" s="581"/>
      <c r="E432" s="581"/>
      <c r="F432" s="624"/>
      <c r="G432" s="581"/>
      <c r="H432" s="581"/>
      <c r="I432" s="581"/>
      <c r="J432" s="581"/>
      <c r="K432" s="581"/>
      <c r="L432" s="581"/>
      <c r="M432" s="1477"/>
      <c r="N432" s="1477"/>
      <c r="O432" s="1477"/>
      <c r="P432" s="1467"/>
      <c r="Q432" s="581"/>
      <c r="R432" s="581"/>
      <c r="S432" s="581"/>
      <c r="T432" s="581"/>
      <c r="U432" s="581"/>
      <c r="V432" s="581"/>
      <c r="W432" s="1475"/>
      <c r="X432" s="581"/>
      <c r="Y432" s="581"/>
    </row>
    <row r="433">
      <c r="A433" s="581"/>
      <c r="B433" s="1467"/>
      <c r="C433" s="581"/>
      <c r="D433" s="581"/>
      <c r="E433" s="581"/>
      <c r="F433" s="624"/>
      <c r="G433" s="581"/>
      <c r="H433" s="581"/>
      <c r="I433" s="581"/>
      <c r="J433" s="581"/>
      <c r="K433" s="581"/>
      <c r="L433" s="581"/>
      <c r="M433" s="1477"/>
      <c r="N433" s="1477"/>
      <c r="O433" s="1477"/>
      <c r="P433" s="1467"/>
      <c r="Q433" s="581"/>
      <c r="R433" s="581"/>
      <c r="S433" s="581"/>
      <c r="T433" s="581"/>
      <c r="U433" s="581"/>
      <c r="V433" s="581"/>
      <c r="W433" s="1475"/>
      <c r="X433" s="581"/>
      <c r="Y433" s="581"/>
    </row>
    <row r="434">
      <c r="A434" s="581"/>
      <c r="B434" s="1467"/>
      <c r="C434" s="581"/>
      <c r="D434" s="581"/>
      <c r="E434" s="581"/>
      <c r="F434" s="624"/>
      <c r="G434" s="581"/>
      <c r="H434" s="581"/>
      <c r="I434" s="581"/>
      <c r="J434" s="581"/>
      <c r="K434" s="581"/>
      <c r="L434" s="581"/>
      <c r="M434" s="1477"/>
      <c r="N434" s="1477"/>
      <c r="O434" s="1477"/>
      <c r="P434" s="1467"/>
      <c r="Q434" s="581"/>
      <c r="R434" s="581"/>
      <c r="S434" s="581"/>
      <c r="T434" s="581"/>
      <c r="U434" s="581"/>
      <c r="V434" s="581"/>
      <c r="W434" s="1475"/>
      <c r="X434" s="581"/>
      <c r="Y434" s="581"/>
    </row>
    <row r="435">
      <c r="A435" s="581"/>
      <c r="B435" s="1467"/>
      <c r="C435" s="581"/>
      <c r="D435" s="581"/>
      <c r="E435" s="581"/>
      <c r="F435" s="624"/>
      <c r="G435" s="581"/>
      <c r="H435" s="581"/>
      <c r="I435" s="581"/>
      <c r="J435" s="581"/>
      <c r="K435" s="581"/>
      <c r="L435" s="581"/>
      <c r="M435" s="1477"/>
      <c r="N435" s="1477"/>
      <c r="O435" s="1477"/>
      <c r="P435" s="1467"/>
      <c r="Q435" s="581"/>
      <c r="R435" s="581"/>
      <c r="S435" s="581"/>
      <c r="T435" s="581"/>
      <c r="U435" s="581"/>
      <c r="V435" s="581"/>
      <c r="W435" s="1475"/>
      <c r="X435" s="581"/>
      <c r="Y435" s="581"/>
    </row>
    <row r="436">
      <c r="A436" s="581"/>
      <c r="B436" s="1467"/>
      <c r="C436" s="581"/>
      <c r="D436" s="581"/>
      <c r="E436" s="581"/>
      <c r="F436" s="624"/>
      <c r="G436" s="581"/>
      <c r="H436" s="581"/>
      <c r="I436" s="581"/>
      <c r="J436" s="581"/>
      <c r="K436" s="581"/>
      <c r="L436" s="581"/>
      <c r="M436" s="1477"/>
      <c r="N436" s="1477"/>
      <c r="O436" s="1477"/>
      <c r="P436" s="1467"/>
      <c r="Q436" s="581"/>
      <c r="R436" s="581"/>
      <c r="S436" s="581"/>
      <c r="T436" s="581"/>
      <c r="U436" s="581"/>
      <c r="V436" s="581"/>
      <c r="W436" s="1475"/>
      <c r="X436" s="581"/>
      <c r="Y436" s="581"/>
    </row>
    <row r="437">
      <c r="A437" s="581"/>
      <c r="B437" s="1467"/>
      <c r="C437" s="581"/>
      <c r="D437" s="581"/>
      <c r="E437" s="581"/>
      <c r="F437" s="624"/>
      <c r="G437" s="581"/>
      <c r="H437" s="581"/>
      <c r="I437" s="581"/>
      <c r="J437" s="581"/>
      <c r="K437" s="581"/>
      <c r="L437" s="581"/>
      <c r="M437" s="1477"/>
      <c r="N437" s="1477"/>
      <c r="O437" s="1477"/>
      <c r="P437" s="1467"/>
      <c r="Q437" s="581"/>
      <c r="R437" s="581"/>
      <c r="S437" s="581"/>
      <c r="T437" s="581"/>
      <c r="U437" s="581"/>
      <c r="V437" s="581"/>
      <c r="W437" s="1475"/>
      <c r="X437" s="581"/>
      <c r="Y437" s="581"/>
    </row>
    <row r="438">
      <c r="A438" s="581"/>
      <c r="B438" s="1467"/>
      <c r="C438" s="581"/>
      <c r="D438" s="581"/>
      <c r="E438" s="581"/>
      <c r="F438" s="624"/>
      <c r="G438" s="581"/>
      <c r="H438" s="581"/>
      <c r="I438" s="581"/>
      <c r="J438" s="581"/>
      <c r="K438" s="581"/>
      <c r="L438" s="581"/>
      <c r="M438" s="1477"/>
      <c r="N438" s="1477"/>
      <c r="O438" s="1477"/>
      <c r="P438" s="1467"/>
      <c r="Q438" s="581"/>
      <c r="R438" s="581"/>
      <c r="S438" s="581"/>
      <c r="T438" s="581"/>
      <c r="U438" s="581"/>
      <c r="V438" s="581"/>
      <c r="W438" s="1475"/>
      <c r="X438" s="581"/>
      <c r="Y438" s="581"/>
    </row>
    <row r="439">
      <c r="A439" s="581"/>
      <c r="B439" s="1467"/>
      <c r="C439" s="581"/>
      <c r="D439" s="581"/>
      <c r="E439" s="581"/>
      <c r="F439" s="624"/>
      <c r="G439" s="581"/>
      <c r="H439" s="581"/>
      <c r="I439" s="581"/>
      <c r="J439" s="581"/>
      <c r="K439" s="581"/>
      <c r="L439" s="581"/>
      <c r="M439" s="1477"/>
      <c r="N439" s="1477"/>
      <c r="O439" s="1477"/>
      <c r="P439" s="1467"/>
      <c r="Q439" s="581"/>
      <c r="R439" s="581"/>
      <c r="S439" s="581"/>
      <c r="T439" s="581"/>
      <c r="U439" s="581"/>
      <c r="V439" s="581"/>
      <c r="W439" s="1475"/>
      <c r="X439" s="581"/>
      <c r="Y439" s="581"/>
    </row>
    <row r="440">
      <c r="A440" s="581"/>
      <c r="B440" s="1467"/>
      <c r="C440" s="581"/>
      <c r="D440" s="581"/>
      <c r="E440" s="581"/>
      <c r="F440" s="624"/>
      <c r="G440" s="581"/>
      <c r="H440" s="581"/>
      <c r="I440" s="581"/>
      <c r="J440" s="581"/>
      <c r="K440" s="581"/>
      <c r="L440" s="581"/>
      <c r="M440" s="1477"/>
      <c r="N440" s="1477"/>
      <c r="O440" s="1477"/>
      <c r="P440" s="1467"/>
      <c r="Q440" s="581"/>
      <c r="R440" s="581"/>
      <c r="S440" s="581"/>
      <c r="T440" s="581"/>
      <c r="U440" s="581"/>
      <c r="V440" s="581"/>
      <c r="W440" s="1475"/>
      <c r="X440" s="581"/>
      <c r="Y440" s="581"/>
    </row>
    <row r="441">
      <c r="A441" s="581"/>
      <c r="B441" s="1467"/>
      <c r="C441" s="581"/>
      <c r="D441" s="581"/>
      <c r="E441" s="581"/>
      <c r="F441" s="624"/>
      <c r="G441" s="581"/>
      <c r="H441" s="581"/>
      <c r="I441" s="581"/>
      <c r="J441" s="581"/>
      <c r="K441" s="581"/>
      <c r="L441" s="581"/>
      <c r="M441" s="1477"/>
      <c r="N441" s="1477"/>
      <c r="O441" s="1477"/>
      <c r="P441" s="1467"/>
      <c r="Q441" s="581"/>
      <c r="R441" s="581"/>
      <c r="S441" s="581"/>
      <c r="T441" s="581"/>
      <c r="U441" s="581"/>
      <c r="V441" s="581"/>
      <c r="W441" s="1475"/>
      <c r="X441" s="581"/>
      <c r="Y441" s="581"/>
    </row>
    <row r="442">
      <c r="A442" s="581"/>
      <c r="B442" s="1467"/>
      <c r="C442" s="581"/>
      <c r="D442" s="581"/>
      <c r="E442" s="581"/>
      <c r="F442" s="624"/>
      <c r="G442" s="581"/>
      <c r="H442" s="581"/>
      <c r="I442" s="581"/>
      <c r="J442" s="581"/>
      <c r="K442" s="581"/>
      <c r="L442" s="581"/>
      <c r="M442" s="1477"/>
      <c r="N442" s="1477"/>
      <c r="O442" s="1477"/>
      <c r="P442" s="1467"/>
      <c r="Q442" s="581"/>
      <c r="R442" s="581"/>
      <c r="S442" s="581"/>
      <c r="T442" s="581"/>
      <c r="U442" s="581"/>
      <c r="V442" s="581"/>
      <c r="W442" s="1475"/>
      <c r="X442" s="581"/>
      <c r="Y442" s="581"/>
    </row>
    <row r="443">
      <c r="A443" s="581"/>
      <c r="B443" s="1467"/>
      <c r="C443" s="581"/>
      <c r="D443" s="581"/>
      <c r="E443" s="581"/>
      <c r="F443" s="624"/>
      <c r="G443" s="581"/>
      <c r="H443" s="581"/>
      <c r="I443" s="581"/>
      <c r="J443" s="581"/>
      <c r="K443" s="581"/>
      <c r="L443" s="581"/>
      <c r="M443" s="1477"/>
      <c r="N443" s="1477"/>
      <c r="O443" s="1477"/>
      <c r="P443" s="1467"/>
      <c r="Q443" s="581"/>
      <c r="R443" s="581"/>
      <c r="S443" s="581"/>
      <c r="T443" s="581"/>
      <c r="U443" s="581"/>
      <c r="V443" s="581"/>
      <c r="W443" s="1475"/>
      <c r="X443" s="581"/>
      <c r="Y443" s="581"/>
    </row>
    <row r="444">
      <c r="A444" s="581"/>
      <c r="B444" s="1467"/>
      <c r="C444" s="581"/>
      <c r="D444" s="581"/>
      <c r="E444" s="581"/>
      <c r="F444" s="624"/>
      <c r="G444" s="581"/>
      <c r="H444" s="581"/>
      <c r="I444" s="581"/>
      <c r="J444" s="581"/>
      <c r="K444" s="581"/>
      <c r="L444" s="581"/>
      <c r="M444" s="1477"/>
      <c r="N444" s="1477"/>
      <c r="O444" s="1477"/>
      <c r="P444" s="1467"/>
      <c r="Q444" s="581"/>
      <c r="R444" s="581"/>
      <c r="S444" s="581"/>
      <c r="T444" s="581"/>
      <c r="U444" s="581"/>
      <c r="V444" s="581"/>
      <c r="W444" s="1475"/>
      <c r="X444" s="581"/>
      <c r="Y444" s="581"/>
    </row>
    <row r="445">
      <c r="A445" s="581"/>
      <c r="B445" s="1467"/>
      <c r="C445" s="581"/>
      <c r="D445" s="581"/>
      <c r="E445" s="581"/>
      <c r="F445" s="624"/>
      <c r="G445" s="581"/>
      <c r="H445" s="581"/>
      <c r="I445" s="581"/>
      <c r="J445" s="581"/>
      <c r="K445" s="581"/>
      <c r="L445" s="581"/>
      <c r="M445" s="1477"/>
      <c r="N445" s="1477"/>
      <c r="O445" s="1477"/>
      <c r="P445" s="1467"/>
      <c r="Q445" s="581"/>
      <c r="R445" s="581"/>
      <c r="S445" s="581"/>
      <c r="T445" s="581"/>
      <c r="U445" s="581"/>
      <c r="V445" s="581"/>
      <c r="W445" s="1475"/>
      <c r="X445" s="581"/>
      <c r="Y445" s="581"/>
    </row>
    <row r="446">
      <c r="A446" s="581"/>
      <c r="B446" s="1467"/>
      <c r="C446" s="581"/>
      <c r="D446" s="581"/>
      <c r="E446" s="581"/>
      <c r="F446" s="624"/>
      <c r="G446" s="581"/>
      <c r="H446" s="581"/>
      <c r="I446" s="581"/>
      <c r="J446" s="581"/>
      <c r="K446" s="581"/>
      <c r="L446" s="581"/>
      <c r="M446" s="1477"/>
      <c r="N446" s="1477"/>
      <c r="O446" s="1477"/>
      <c r="P446" s="1467"/>
      <c r="Q446" s="581"/>
      <c r="R446" s="581"/>
      <c r="S446" s="581"/>
      <c r="T446" s="581"/>
      <c r="U446" s="581"/>
      <c r="V446" s="581"/>
      <c r="W446" s="1475"/>
      <c r="X446" s="581"/>
      <c r="Y446" s="581"/>
    </row>
    <row r="447">
      <c r="A447" s="581"/>
      <c r="B447" s="1467"/>
      <c r="C447" s="581"/>
      <c r="D447" s="581"/>
      <c r="E447" s="581"/>
      <c r="F447" s="624"/>
      <c r="G447" s="581"/>
      <c r="H447" s="581"/>
      <c r="I447" s="581"/>
      <c r="J447" s="581"/>
      <c r="K447" s="581"/>
      <c r="L447" s="581"/>
      <c r="M447" s="1477"/>
      <c r="N447" s="1477"/>
      <c r="O447" s="1477"/>
      <c r="P447" s="1467"/>
      <c r="Q447" s="581"/>
      <c r="R447" s="581"/>
      <c r="S447" s="581"/>
      <c r="T447" s="581"/>
      <c r="U447" s="581"/>
      <c r="V447" s="581"/>
      <c r="W447" s="1475"/>
      <c r="X447" s="581"/>
      <c r="Y447" s="581"/>
    </row>
    <row r="448">
      <c r="A448" s="581"/>
      <c r="B448" s="1467"/>
      <c r="C448" s="581"/>
      <c r="D448" s="581"/>
      <c r="E448" s="581"/>
      <c r="F448" s="624"/>
      <c r="G448" s="581"/>
      <c r="H448" s="581"/>
      <c r="I448" s="581"/>
      <c r="J448" s="581"/>
      <c r="K448" s="581"/>
      <c r="L448" s="581"/>
      <c r="M448" s="1477"/>
      <c r="N448" s="1477"/>
      <c r="O448" s="1477"/>
      <c r="P448" s="1467"/>
      <c r="Q448" s="581"/>
      <c r="R448" s="581"/>
      <c r="S448" s="581"/>
      <c r="T448" s="581"/>
      <c r="U448" s="581"/>
      <c r="V448" s="581"/>
      <c r="W448" s="1475"/>
      <c r="X448" s="581"/>
      <c r="Y448" s="581"/>
    </row>
    <row r="449">
      <c r="A449" s="581"/>
      <c r="B449" s="1467"/>
      <c r="C449" s="581"/>
      <c r="D449" s="581"/>
      <c r="E449" s="581"/>
      <c r="F449" s="624"/>
      <c r="G449" s="581"/>
      <c r="H449" s="581"/>
      <c r="I449" s="581"/>
      <c r="J449" s="581"/>
      <c r="K449" s="581"/>
      <c r="L449" s="581"/>
      <c r="M449" s="1477"/>
      <c r="N449" s="1477"/>
      <c r="O449" s="1477"/>
      <c r="P449" s="1467"/>
      <c r="Q449" s="581"/>
      <c r="R449" s="581"/>
      <c r="S449" s="581"/>
      <c r="T449" s="581"/>
      <c r="U449" s="581"/>
      <c r="V449" s="581"/>
      <c r="W449" s="1475"/>
      <c r="X449" s="581"/>
      <c r="Y449" s="581"/>
    </row>
    <row r="450">
      <c r="A450" s="581"/>
      <c r="B450" s="1467"/>
      <c r="C450" s="581"/>
      <c r="D450" s="581"/>
      <c r="E450" s="581"/>
      <c r="F450" s="624"/>
      <c r="G450" s="581"/>
      <c r="H450" s="581"/>
      <c r="I450" s="581"/>
      <c r="J450" s="581"/>
      <c r="K450" s="581"/>
      <c r="L450" s="581"/>
      <c r="M450" s="1477"/>
      <c r="N450" s="1477"/>
      <c r="O450" s="1477"/>
      <c r="P450" s="1467"/>
      <c r="Q450" s="581"/>
      <c r="R450" s="581"/>
      <c r="S450" s="581"/>
      <c r="T450" s="581"/>
      <c r="U450" s="581"/>
      <c r="V450" s="581"/>
      <c r="W450" s="1475"/>
      <c r="X450" s="581"/>
      <c r="Y450" s="581"/>
    </row>
    <row r="451">
      <c r="A451" s="581"/>
      <c r="B451" s="1467"/>
      <c r="C451" s="581"/>
      <c r="D451" s="581"/>
      <c r="E451" s="581"/>
      <c r="F451" s="624"/>
      <c r="G451" s="581"/>
      <c r="H451" s="581"/>
      <c r="I451" s="581"/>
      <c r="J451" s="581"/>
      <c r="K451" s="581"/>
      <c r="L451" s="581"/>
      <c r="M451" s="1477"/>
      <c r="N451" s="1477"/>
      <c r="O451" s="1477"/>
      <c r="P451" s="1467"/>
      <c r="Q451" s="581"/>
      <c r="R451" s="581"/>
      <c r="S451" s="581"/>
      <c r="T451" s="581"/>
      <c r="U451" s="581"/>
      <c r="V451" s="581"/>
      <c r="W451" s="1475"/>
      <c r="X451" s="581"/>
      <c r="Y451" s="581"/>
    </row>
    <row r="452">
      <c r="A452" s="581"/>
      <c r="B452" s="1467"/>
      <c r="C452" s="581"/>
      <c r="D452" s="581"/>
      <c r="E452" s="581"/>
      <c r="F452" s="624"/>
      <c r="G452" s="581"/>
      <c r="H452" s="581"/>
      <c r="I452" s="581"/>
      <c r="J452" s="581"/>
      <c r="K452" s="581"/>
      <c r="L452" s="581"/>
      <c r="M452" s="1477"/>
      <c r="N452" s="1477"/>
      <c r="O452" s="1477"/>
      <c r="P452" s="1467"/>
      <c r="Q452" s="581"/>
      <c r="R452" s="581"/>
      <c r="S452" s="581"/>
      <c r="T452" s="581"/>
      <c r="U452" s="581"/>
      <c r="V452" s="581"/>
      <c r="W452" s="1475"/>
      <c r="X452" s="581"/>
      <c r="Y452" s="581"/>
    </row>
    <row r="453">
      <c r="A453" s="581"/>
      <c r="B453" s="1467"/>
      <c r="C453" s="581"/>
      <c r="D453" s="581"/>
      <c r="E453" s="581"/>
      <c r="F453" s="624"/>
      <c r="G453" s="581"/>
      <c r="H453" s="581"/>
      <c r="I453" s="581"/>
      <c r="J453" s="581"/>
      <c r="K453" s="581"/>
      <c r="L453" s="581"/>
      <c r="M453" s="1477"/>
      <c r="N453" s="1477"/>
      <c r="O453" s="1477"/>
      <c r="P453" s="1467"/>
      <c r="Q453" s="581"/>
      <c r="R453" s="581"/>
      <c r="S453" s="581"/>
      <c r="T453" s="581"/>
      <c r="U453" s="581"/>
      <c r="V453" s="581"/>
      <c r="W453" s="1475"/>
      <c r="X453" s="581"/>
      <c r="Y453" s="581"/>
    </row>
    <row r="454">
      <c r="A454" s="581"/>
      <c r="B454" s="1467"/>
      <c r="C454" s="581"/>
      <c r="D454" s="581"/>
      <c r="E454" s="581"/>
      <c r="F454" s="624"/>
      <c r="G454" s="581"/>
      <c r="H454" s="581"/>
      <c r="I454" s="581"/>
      <c r="J454" s="581"/>
      <c r="K454" s="581"/>
      <c r="L454" s="581"/>
      <c r="M454" s="1477"/>
      <c r="N454" s="1477"/>
      <c r="O454" s="1477"/>
      <c r="P454" s="1467"/>
      <c r="Q454" s="581"/>
      <c r="R454" s="581"/>
      <c r="S454" s="581"/>
      <c r="T454" s="581"/>
      <c r="U454" s="581"/>
      <c r="V454" s="581"/>
      <c r="W454" s="1475"/>
      <c r="X454" s="581"/>
      <c r="Y454" s="581"/>
    </row>
    <row r="455">
      <c r="A455" s="581"/>
      <c r="B455" s="1467"/>
      <c r="C455" s="581"/>
      <c r="D455" s="581"/>
      <c r="E455" s="581"/>
      <c r="F455" s="624"/>
      <c r="G455" s="581"/>
      <c r="H455" s="581"/>
      <c r="I455" s="581"/>
      <c r="J455" s="581"/>
      <c r="K455" s="581"/>
      <c r="L455" s="581"/>
      <c r="M455" s="1477"/>
      <c r="N455" s="1477"/>
      <c r="O455" s="1477"/>
      <c r="P455" s="1467"/>
      <c r="Q455" s="581"/>
      <c r="R455" s="581"/>
      <c r="S455" s="581"/>
      <c r="T455" s="581"/>
      <c r="U455" s="581"/>
      <c r="V455" s="581"/>
      <c r="W455" s="1475"/>
      <c r="X455" s="581"/>
      <c r="Y455" s="581"/>
    </row>
    <row r="456">
      <c r="A456" s="581"/>
      <c r="B456" s="1467"/>
      <c r="C456" s="581"/>
      <c r="D456" s="581"/>
      <c r="E456" s="581"/>
      <c r="F456" s="624"/>
      <c r="G456" s="581"/>
      <c r="H456" s="581"/>
      <c r="I456" s="581"/>
      <c r="J456" s="581"/>
      <c r="K456" s="581"/>
      <c r="L456" s="581"/>
      <c r="M456" s="1477"/>
      <c r="N456" s="1477"/>
      <c r="O456" s="1477"/>
      <c r="P456" s="1467"/>
      <c r="Q456" s="581"/>
      <c r="R456" s="581"/>
      <c r="S456" s="581"/>
      <c r="T456" s="581"/>
      <c r="U456" s="581"/>
      <c r="V456" s="581"/>
      <c r="W456" s="1475"/>
      <c r="X456" s="581"/>
      <c r="Y456" s="581"/>
    </row>
    <row r="457">
      <c r="A457" s="581"/>
      <c r="B457" s="1467"/>
      <c r="C457" s="581"/>
      <c r="D457" s="581"/>
      <c r="E457" s="581"/>
      <c r="F457" s="624"/>
      <c r="G457" s="581"/>
      <c r="H457" s="581"/>
      <c r="I457" s="581"/>
      <c r="J457" s="581"/>
      <c r="K457" s="581"/>
      <c r="L457" s="581"/>
      <c r="M457" s="1477"/>
      <c r="N457" s="1477"/>
      <c r="O457" s="1477"/>
      <c r="P457" s="1467"/>
      <c r="Q457" s="581"/>
      <c r="R457" s="581"/>
      <c r="S457" s="581"/>
      <c r="T457" s="581"/>
      <c r="U457" s="581"/>
      <c r="V457" s="581"/>
      <c r="W457" s="1475"/>
      <c r="X457" s="581"/>
      <c r="Y457" s="581"/>
    </row>
    <row r="458">
      <c r="A458" s="581"/>
      <c r="B458" s="1467"/>
      <c r="C458" s="581"/>
      <c r="D458" s="581"/>
      <c r="E458" s="581"/>
      <c r="F458" s="624"/>
      <c r="G458" s="581"/>
      <c r="H458" s="581"/>
      <c r="I458" s="581"/>
      <c r="J458" s="581"/>
      <c r="K458" s="581"/>
      <c r="L458" s="581"/>
      <c r="M458" s="1477"/>
      <c r="N458" s="1477"/>
      <c r="O458" s="1477"/>
      <c r="P458" s="1467"/>
      <c r="Q458" s="581"/>
      <c r="R458" s="581"/>
      <c r="S458" s="581"/>
      <c r="T458" s="581"/>
      <c r="U458" s="581"/>
      <c r="V458" s="581"/>
      <c r="W458" s="1475"/>
      <c r="X458" s="581"/>
      <c r="Y458" s="581"/>
    </row>
    <row r="459">
      <c r="A459" s="581"/>
      <c r="B459" s="1467"/>
      <c r="C459" s="581"/>
      <c r="D459" s="581"/>
      <c r="E459" s="581"/>
      <c r="F459" s="624"/>
      <c r="G459" s="581"/>
      <c r="H459" s="581"/>
      <c r="I459" s="581"/>
      <c r="J459" s="581"/>
      <c r="K459" s="581"/>
      <c r="L459" s="581"/>
      <c r="M459" s="1477"/>
      <c r="N459" s="1477"/>
      <c r="O459" s="1477"/>
      <c r="P459" s="1467"/>
      <c r="Q459" s="581"/>
      <c r="R459" s="581"/>
      <c r="S459" s="581"/>
      <c r="T459" s="581"/>
      <c r="U459" s="581"/>
      <c r="V459" s="581"/>
      <c r="W459" s="1475"/>
      <c r="X459" s="581"/>
      <c r="Y459" s="581"/>
    </row>
    <row r="460">
      <c r="A460" s="581"/>
      <c r="B460" s="1467"/>
      <c r="C460" s="581"/>
      <c r="D460" s="581"/>
      <c r="E460" s="581"/>
      <c r="F460" s="624"/>
      <c r="G460" s="581"/>
      <c r="H460" s="581"/>
      <c r="I460" s="581"/>
      <c r="J460" s="581"/>
      <c r="K460" s="581"/>
      <c r="L460" s="581"/>
      <c r="M460" s="1477"/>
      <c r="N460" s="1477"/>
      <c r="O460" s="1477"/>
      <c r="P460" s="1467"/>
      <c r="Q460" s="581"/>
      <c r="R460" s="581"/>
      <c r="S460" s="581"/>
      <c r="T460" s="581"/>
      <c r="U460" s="581"/>
      <c r="V460" s="581"/>
      <c r="W460" s="1475"/>
      <c r="X460" s="581"/>
      <c r="Y460" s="581"/>
    </row>
    <row r="461">
      <c r="A461" s="581"/>
      <c r="B461" s="1467"/>
      <c r="C461" s="581"/>
      <c r="D461" s="581"/>
      <c r="E461" s="581"/>
      <c r="F461" s="624"/>
      <c r="G461" s="581"/>
      <c r="H461" s="581"/>
      <c r="I461" s="581"/>
      <c r="J461" s="581"/>
      <c r="K461" s="581"/>
      <c r="L461" s="581"/>
      <c r="M461" s="1477"/>
      <c r="N461" s="1477"/>
      <c r="O461" s="1477"/>
      <c r="P461" s="1467"/>
      <c r="Q461" s="581"/>
      <c r="R461" s="581"/>
      <c r="S461" s="581"/>
      <c r="T461" s="581"/>
      <c r="U461" s="581"/>
      <c r="V461" s="581"/>
      <c r="W461" s="1475"/>
      <c r="X461" s="581"/>
      <c r="Y461" s="581"/>
    </row>
    <row r="462">
      <c r="A462" s="581"/>
      <c r="B462" s="1467"/>
      <c r="C462" s="581"/>
      <c r="D462" s="581"/>
      <c r="E462" s="581"/>
      <c r="F462" s="624"/>
      <c r="G462" s="581"/>
      <c r="H462" s="581"/>
      <c r="I462" s="581"/>
      <c r="J462" s="581"/>
      <c r="K462" s="581"/>
      <c r="L462" s="581"/>
      <c r="M462" s="1477"/>
      <c r="N462" s="1477"/>
      <c r="O462" s="1477"/>
      <c r="P462" s="1467"/>
      <c r="Q462" s="581"/>
      <c r="R462" s="581"/>
      <c r="S462" s="581"/>
      <c r="T462" s="581"/>
      <c r="U462" s="581"/>
      <c r="V462" s="581"/>
      <c r="W462" s="1475"/>
      <c r="X462" s="581"/>
      <c r="Y462" s="581"/>
    </row>
    <row r="463">
      <c r="A463" s="581"/>
      <c r="B463" s="1467"/>
      <c r="C463" s="581"/>
      <c r="D463" s="581"/>
      <c r="E463" s="581"/>
      <c r="F463" s="624"/>
      <c r="G463" s="581"/>
      <c r="H463" s="581"/>
      <c r="I463" s="581"/>
      <c r="J463" s="581"/>
      <c r="K463" s="581"/>
      <c r="L463" s="581"/>
      <c r="M463" s="1477"/>
      <c r="N463" s="1477"/>
      <c r="O463" s="1477"/>
      <c r="P463" s="1467"/>
      <c r="Q463" s="581"/>
      <c r="R463" s="581"/>
      <c r="S463" s="581"/>
      <c r="T463" s="581"/>
      <c r="U463" s="581"/>
      <c r="V463" s="581"/>
      <c r="W463" s="1475"/>
      <c r="X463" s="581"/>
      <c r="Y463" s="581"/>
    </row>
    <row r="464">
      <c r="A464" s="581"/>
      <c r="B464" s="1467"/>
      <c r="C464" s="581"/>
      <c r="D464" s="581"/>
      <c r="E464" s="581"/>
      <c r="F464" s="624"/>
      <c r="G464" s="581"/>
      <c r="H464" s="581"/>
      <c r="I464" s="581"/>
      <c r="J464" s="581"/>
      <c r="K464" s="581"/>
      <c r="L464" s="581"/>
      <c r="M464" s="1477"/>
      <c r="N464" s="1477"/>
      <c r="O464" s="1477"/>
      <c r="P464" s="1467"/>
      <c r="Q464" s="581"/>
      <c r="R464" s="581"/>
      <c r="S464" s="581"/>
      <c r="T464" s="581"/>
      <c r="U464" s="581"/>
      <c r="V464" s="581"/>
      <c r="W464" s="1475"/>
      <c r="X464" s="581"/>
      <c r="Y464" s="581"/>
    </row>
    <row r="465">
      <c r="A465" s="581"/>
      <c r="B465" s="1467"/>
      <c r="C465" s="581"/>
      <c r="D465" s="581"/>
      <c r="E465" s="581"/>
      <c r="F465" s="624"/>
      <c r="G465" s="581"/>
      <c r="H465" s="581"/>
      <c r="I465" s="581"/>
      <c r="J465" s="581"/>
      <c r="K465" s="581"/>
      <c r="L465" s="581"/>
      <c r="M465" s="1477"/>
      <c r="N465" s="1477"/>
      <c r="O465" s="1477"/>
      <c r="P465" s="1467"/>
      <c r="Q465" s="581"/>
      <c r="R465" s="581"/>
      <c r="S465" s="581"/>
      <c r="T465" s="581"/>
      <c r="U465" s="581"/>
      <c r="V465" s="581"/>
      <c r="W465" s="1475"/>
      <c r="X465" s="581"/>
      <c r="Y465" s="581"/>
    </row>
    <row r="466">
      <c r="A466" s="581"/>
      <c r="B466" s="1467"/>
      <c r="C466" s="581"/>
      <c r="D466" s="581"/>
      <c r="E466" s="581"/>
      <c r="F466" s="624"/>
      <c r="G466" s="581"/>
      <c r="H466" s="581"/>
      <c r="I466" s="581"/>
      <c r="J466" s="581"/>
      <c r="K466" s="581"/>
      <c r="L466" s="581"/>
      <c r="M466" s="1477"/>
      <c r="N466" s="1477"/>
      <c r="O466" s="1477"/>
      <c r="P466" s="1467"/>
      <c r="Q466" s="581"/>
      <c r="R466" s="581"/>
      <c r="S466" s="581"/>
      <c r="T466" s="581"/>
      <c r="U466" s="581"/>
      <c r="V466" s="581"/>
      <c r="W466" s="1475"/>
      <c r="X466" s="581"/>
      <c r="Y466" s="581"/>
    </row>
    <row r="467">
      <c r="A467" s="581"/>
      <c r="B467" s="1467"/>
      <c r="C467" s="581"/>
      <c r="D467" s="581"/>
      <c r="E467" s="581"/>
      <c r="F467" s="624"/>
      <c r="G467" s="581"/>
      <c r="H467" s="581"/>
      <c r="I467" s="581"/>
      <c r="J467" s="581"/>
      <c r="K467" s="581"/>
      <c r="L467" s="581"/>
      <c r="M467" s="1477"/>
      <c r="N467" s="1477"/>
      <c r="O467" s="1477"/>
      <c r="P467" s="1467"/>
      <c r="Q467" s="581"/>
      <c r="R467" s="581"/>
      <c r="S467" s="581"/>
      <c r="T467" s="581"/>
      <c r="U467" s="581"/>
      <c r="V467" s="581"/>
      <c r="W467" s="1475"/>
      <c r="X467" s="581"/>
      <c r="Y467" s="581"/>
    </row>
    <row r="468">
      <c r="A468" s="581"/>
      <c r="B468" s="1467"/>
      <c r="C468" s="581"/>
      <c r="D468" s="581"/>
      <c r="E468" s="581"/>
      <c r="F468" s="624"/>
      <c r="G468" s="581"/>
      <c r="H468" s="581"/>
      <c r="I468" s="581"/>
      <c r="J468" s="581"/>
      <c r="K468" s="581"/>
      <c r="L468" s="581"/>
      <c r="M468" s="1477"/>
      <c r="N468" s="1477"/>
      <c r="O468" s="1477"/>
      <c r="P468" s="1467"/>
      <c r="Q468" s="581"/>
      <c r="R468" s="581"/>
      <c r="S468" s="581"/>
      <c r="T468" s="581"/>
      <c r="U468" s="581"/>
      <c r="V468" s="581"/>
      <c r="W468" s="1475"/>
      <c r="X468" s="581"/>
      <c r="Y468" s="581"/>
    </row>
    <row r="469">
      <c r="A469" s="581"/>
      <c r="B469" s="1467"/>
      <c r="C469" s="581"/>
      <c r="D469" s="581"/>
      <c r="E469" s="581"/>
      <c r="F469" s="624"/>
      <c r="G469" s="581"/>
      <c r="H469" s="581"/>
      <c r="I469" s="581"/>
      <c r="J469" s="581"/>
      <c r="K469" s="581"/>
      <c r="L469" s="581"/>
      <c r="M469" s="1477"/>
      <c r="N469" s="1477"/>
      <c r="O469" s="1477"/>
      <c r="P469" s="1467"/>
      <c r="Q469" s="581"/>
      <c r="R469" s="581"/>
      <c r="S469" s="581"/>
      <c r="T469" s="581"/>
      <c r="U469" s="581"/>
      <c r="V469" s="581"/>
      <c r="W469" s="1475"/>
      <c r="X469" s="581"/>
      <c r="Y469" s="581"/>
    </row>
    <row r="470">
      <c r="A470" s="581"/>
      <c r="B470" s="1467"/>
      <c r="C470" s="581"/>
      <c r="D470" s="581"/>
      <c r="E470" s="581"/>
      <c r="F470" s="624"/>
      <c r="G470" s="581"/>
      <c r="H470" s="581"/>
      <c r="I470" s="581"/>
      <c r="J470" s="581"/>
      <c r="K470" s="581"/>
      <c r="L470" s="581"/>
      <c r="M470" s="1477"/>
      <c r="N470" s="1477"/>
      <c r="O470" s="1477"/>
      <c r="P470" s="1467"/>
      <c r="Q470" s="581"/>
      <c r="R470" s="581"/>
      <c r="S470" s="581"/>
      <c r="T470" s="581"/>
      <c r="U470" s="581"/>
      <c r="V470" s="581"/>
      <c r="W470" s="1475"/>
      <c r="X470" s="581"/>
      <c r="Y470" s="581"/>
    </row>
    <row r="471">
      <c r="A471" s="581"/>
      <c r="B471" s="1467"/>
      <c r="C471" s="581"/>
      <c r="D471" s="581"/>
      <c r="E471" s="581"/>
      <c r="F471" s="624"/>
      <c r="G471" s="581"/>
      <c r="H471" s="581"/>
      <c r="I471" s="581"/>
      <c r="J471" s="581"/>
      <c r="K471" s="581"/>
      <c r="L471" s="581"/>
      <c r="M471" s="1477"/>
      <c r="N471" s="1477"/>
      <c r="O471" s="1477"/>
      <c r="P471" s="1467"/>
      <c r="Q471" s="581"/>
      <c r="R471" s="581"/>
      <c r="S471" s="581"/>
      <c r="T471" s="581"/>
      <c r="U471" s="581"/>
      <c r="V471" s="581"/>
      <c r="W471" s="1475"/>
      <c r="X471" s="581"/>
      <c r="Y471" s="581"/>
    </row>
    <row r="472">
      <c r="A472" s="581"/>
      <c r="B472" s="1467"/>
      <c r="C472" s="581"/>
      <c r="D472" s="581"/>
      <c r="E472" s="581"/>
      <c r="F472" s="624"/>
      <c r="G472" s="581"/>
      <c r="H472" s="581"/>
      <c r="I472" s="581"/>
      <c r="J472" s="581"/>
      <c r="K472" s="581"/>
      <c r="L472" s="581"/>
      <c r="M472" s="1477"/>
      <c r="N472" s="1477"/>
      <c r="O472" s="1477"/>
      <c r="P472" s="1467"/>
      <c r="Q472" s="581"/>
      <c r="R472" s="581"/>
      <c r="S472" s="581"/>
      <c r="T472" s="581"/>
      <c r="U472" s="581"/>
      <c r="V472" s="581"/>
      <c r="W472" s="1475"/>
      <c r="X472" s="581"/>
      <c r="Y472" s="581"/>
    </row>
    <row r="473">
      <c r="A473" s="581"/>
      <c r="B473" s="1467"/>
      <c r="C473" s="581"/>
      <c r="D473" s="581"/>
      <c r="E473" s="581"/>
      <c r="F473" s="624"/>
      <c r="G473" s="581"/>
      <c r="H473" s="581"/>
      <c r="I473" s="581"/>
      <c r="J473" s="581"/>
      <c r="K473" s="581"/>
      <c r="L473" s="581"/>
      <c r="M473" s="1477"/>
      <c r="N473" s="1477"/>
      <c r="O473" s="1477"/>
      <c r="P473" s="1467"/>
      <c r="Q473" s="581"/>
      <c r="R473" s="581"/>
      <c r="S473" s="581"/>
      <c r="T473" s="581"/>
      <c r="U473" s="581"/>
      <c r="V473" s="581"/>
      <c r="W473" s="1475"/>
      <c r="X473" s="581"/>
      <c r="Y473" s="581"/>
    </row>
    <row r="474">
      <c r="A474" s="581"/>
      <c r="B474" s="1467"/>
      <c r="C474" s="581"/>
      <c r="D474" s="581"/>
      <c r="E474" s="581"/>
      <c r="F474" s="624"/>
      <c r="G474" s="581"/>
      <c r="H474" s="581"/>
      <c r="I474" s="581"/>
      <c r="J474" s="581"/>
      <c r="K474" s="581"/>
      <c r="L474" s="581"/>
      <c r="M474" s="1477"/>
      <c r="N474" s="1477"/>
      <c r="O474" s="1477"/>
      <c r="P474" s="1467"/>
      <c r="Q474" s="581"/>
      <c r="R474" s="581"/>
      <c r="S474" s="581"/>
      <c r="T474" s="581"/>
      <c r="U474" s="581"/>
      <c r="V474" s="581"/>
      <c r="W474" s="1475"/>
      <c r="X474" s="581"/>
      <c r="Y474" s="581"/>
    </row>
    <row r="475">
      <c r="A475" s="581"/>
      <c r="B475" s="1467"/>
      <c r="C475" s="581"/>
      <c r="D475" s="581"/>
      <c r="E475" s="581"/>
      <c r="F475" s="624"/>
      <c r="G475" s="581"/>
      <c r="H475" s="581"/>
      <c r="I475" s="581"/>
      <c r="J475" s="581"/>
      <c r="K475" s="581"/>
      <c r="L475" s="581"/>
      <c r="M475" s="1477"/>
      <c r="N475" s="1477"/>
      <c r="O475" s="1477"/>
      <c r="P475" s="1467"/>
      <c r="Q475" s="581"/>
      <c r="R475" s="581"/>
      <c r="S475" s="581"/>
      <c r="T475" s="581"/>
      <c r="U475" s="581"/>
      <c r="V475" s="581"/>
      <c r="W475" s="1475"/>
      <c r="X475" s="581"/>
      <c r="Y475" s="581"/>
    </row>
    <row r="476">
      <c r="A476" s="581"/>
      <c r="B476" s="1467"/>
      <c r="C476" s="581"/>
      <c r="D476" s="581"/>
      <c r="E476" s="581"/>
      <c r="F476" s="624"/>
      <c r="G476" s="581"/>
      <c r="H476" s="581"/>
      <c r="I476" s="581"/>
      <c r="J476" s="581"/>
      <c r="K476" s="581"/>
      <c r="L476" s="581"/>
      <c r="M476" s="1477"/>
      <c r="N476" s="1477"/>
      <c r="O476" s="1477"/>
      <c r="P476" s="1467"/>
      <c r="Q476" s="581"/>
      <c r="R476" s="581"/>
      <c r="S476" s="581"/>
      <c r="T476" s="581"/>
      <c r="U476" s="581"/>
      <c r="V476" s="581"/>
      <c r="W476" s="1475"/>
      <c r="X476" s="581"/>
      <c r="Y476" s="581"/>
    </row>
    <row r="477">
      <c r="A477" s="581"/>
      <c r="B477" s="1467"/>
      <c r="C477" s="581"/>
      <c r="D477" s="581"/>
      <c r="E477" s="581"/>
      <c r="F477" s="624"/>
      <c r="G477" s="581"/>
      <c r="H477" s="581"/>
      <c r="I477" s="581"/>
      <c r="J477" s="581"/>
      <c r="K477" s="581"/>
      <c r="L477" s="581"/>
      <c r="M477" s="1477"/>
      <c r="N477" s="1477"/>
      <c r="O477" s="1477"/>
      <c r="P477" s="1467"/>
      <c r="Q477" s="581"/>
      <c r="R477" s="581"/>
      <c r="S477" s="581"/>
      <c r="T477" s="581"/>
      <c r="U477" s="581"/>
      <c r="V477" s="581"/>
      <c r="W477" s="1475"/>
      <c r="X477" s="581"/>
      <c r="Y477" s="581"/>
    </row>
    <row r="478">
      <c r="A478" s="581"/>
      <c r="B478" s="1467"/>
      <c r="C478" s="581"/>
      <c r="D478" s="581"/>
      <c r="E478" s="581"/>
      <c r="F478" s="624"/>
      <c r="G478" s="581"/>
      <c r="H478" s="581"/>
      <c r="I478" s="581"/>
      <c r="J478" s="581"/>
      <c r="K478" s="581"/>
      <c r="L478" s="581"/>
      <c r="M478" s="1477"/>
      <c r="N478" s="1477"/>
      <c r="O478" s="1477"/>
      <c r="P478" s="1467"/>
      <c r="Q478" s="581"/>
      <c r="R478" s="581"/>
      <c r="S478" s="581"/>
      <c r="T478" s="581"/>
      <c r="U478" s="581"/>
      <c r="V478" s="581"/>
      <c r="W478" s="1475"/>
      <c r="X478" s="581"/>
      <c r="Y478" s="581"/>
    </row>
    <row r="479">
      <c r="A479" s="581"/>
      <c r="B479" s="1467"/>
      <c r="C479" s="581"/>
      <c r="D479" s="581"/>
      <c r="E479" s="581"/>
      <c r="F479" s="624"/>
      <c r="G479" s="581"/>
      <c r="H479" s="581"/>
      <c r="I479" s="581"/>
      <c r="J479" s="581"/>
      <c r="K479" s="581"/>
      <c r="L479" s="581"/>
      <c r="M479" s="1477"/>
      <c r="N479" s="1477"/>
      <c r="O479" s="1477"/>
      <c r="P479" s="1467"/>
      <c r="Q479" s="581"/>
      <c r="R479" s="581"/>
      <c r="S479" s="581"/>
      <c r="T479" s="581"/>
      <c r="U479" s="581"/>
      <c r="V479" s="581"/>
      <c r="W479" s="1475"/>
      <c r="X479" s="581"/>
      <c r="Y479" s="581"/>
    </row>
    <row r="480">
      <c r="A480" s="581"/>
      <c r="B480" s="1467"/>
      <c r="C480" s="581"/>
      <c r="D480" s="581"/>
      <c r="E480" s="581"/>
      <c r="F480" s="624"/>
      <c r="G480" s="581"/>
      <c r="H480" s="581"/>
      <c r="I480" s="581"/>
      <c r="J480" s="581"/>
      <c r="K480" s="581"/>
      <c r="L480" s="581"/>
      <c r="M480" s="1477"/>
      <c r="N480" s="1477"/>
      <c r="O480" s="1477"/>
      <c r="P480" s="1467"/>
      <c r="Q480" s="581"/>
      <c r="R480" s="581"/>
      <c r="S480" s="581"/>
      <c r="T480" s="581"/>
      <c r="U480" s="581"/>
      <c r="V480" s="581"/>
      <c r="W480" s="1475"/>
      <c r="X480" s="581"/>
      <c r="Y480" s="581"/>
    </row>
    <row r="481">
      <c r="A481" s="581"/>
      <c r="B481" s="1467"/>
      <c r="C481" s="581"/>
      <c r="D481" s="581"/>
      <c r="E481" s="581"/>
      <c r="F481" s="624"/>
      <c r="G481" s="581"/>
      <c r="H481" s="581"/>
      <c r="I481" s="581"/>
      <c r="J481" s="581"/>
      <c r="K481" s="581"/>
      <c r="L481" s="581"/>
      <c r="M481" s="1477"/>
      <c r="N481" s="1477"/>
      <c r="O481" s="1477"/>
      <c r="P481" s="1467"/>
      <c r="Q481" s="581"/>
      <c r="R481" s="581"/>
      <c r="S481" s="581"/>
      <c r="T481" s="581"/>
      <c r="U481" s="581"/>
      <c r="V481" s="581"/>
      <c r="W481" s="1475"/>
      <c r="X481" s="581"/>
      <c r="Y481" s="581"/>
    </row>
    <row r="482">
      <c r="A482" s="581"/>
      <c r="B482" s="1467"/>
      <c r="C482" s="581"/>
      <c r="D482" s="581"/>
      <c r="E482" s="581"/>
      <c r="F482" s="624"/>
      <c r="G482" s="581"/>
      <c r="H482" s="581"/>
      <c r="I482" s="581"/>
      <c r="J482" s="581"/>
      <c r="K482" s="581"/>
      <c r="L482" s="581"/>
      <c r="M482" s="1477"/>
      <c r="N482" s="1477"/>
      <c r="O482" s="1477"/>
      <c r="P482" s="1467"/>
      <c r="Q482" s="581"/>
      <c r="R482" s="581"/>
      <c r="S482" s="581"/>
      <c r="T482" s="581"/>
      <c r="U482" s="581"/>
      <c r="V482" s="581"/>
      <c r="W482" s="1475"/>
      <c r="X482" s="581"/>
      <c r="Y482" s="581"/>
    </row>
    <row r="483">
      <c r="A483" s="581"/>
      <c r="B483" s="1467"/>
      <c r="C483" s="581"/>
      <c r="D483" s="581"/>
      <c r="E483" s="581"/>
      <c r="F483" s="624"/>
      <c r="G483" s="581"/>
      <c r="H483" s="581"/>
      <c r="I483" s="581"/>
      <c r="J483" s="581"/>
      <c r="K483" s="581"/>
      <c r="L483" s="581"/>
      <c r="M483" s="1477"/>
      <c r="N483" s="1477"/>
      <c r="O483" s="1477"/>
      <c r="P483" s="1467"/>
      <c r="Q483" s="581"/>
      <c r="R483" s="581"/>
      <c r="S483" s="581"/>
      <c r="T483" s="581"/>
      <c r="U483" s="581"/>
      <c r="V483" s="581"/>
      <c r="W483" s="1475"/>
      <c r="X483" s="581"/>
      <c r="Y483" s="581"/>
    </row>
    <row r="484">
      <c r="A484" s="581"/>
      <c r="B484" s="1467"/>
      <c r="C484" s="581"/>
      <c r="D484" s="581"/>
      <c r="E484" s="581"/>
      <c r="F484" s="624"/>
      <c r="G484" s="581"/>
      <c r="H484" s="581"/>
      <c r="I484" s="581"/>
      <c r="J484" s="581"/>
      <c r="K484" s="581"/>
      <c r="L484" s="581"/>
      <c r="M484" s="1477"/>
      <c r="N484" s="1477"/>
      <c r="O484" s="1477"/>
      <c r="P484" s="1467"/>
      <c r="Q484" s="581"/>
      <c r="R484" s="581"/>
      <c r="S484" s="581"/>
      <c r="T484" s="581"/>
      <c r="U484" s="581"/>
      <c r="V484" s="581"/>
      <c r="W484" s="1475"/>
      <c r="X484" s="581"/>
      <c r="Y484" s="581"/>
    </row>
    <row r="485">
      <c r="A485" s="581"/>
      <c r="B485" s="1467"/>
      <c r="C485" s="581"/>
      <c r="D485" s="581"/>
      <c r="E485" s="581"/>
      <c r="F485" s="624"/>
      <c r="G485" s="581"/>
      <c r="H485" s="581"/>
      <c r="I485" s="581"/>
      <c r="J485" s="581"/>
      <c r="K485" s="581"/>
      <c r="L485" s="581"/>
      <c r="M485" s="1477"/>
      <c r="N485" s="1477"/>
      <c r="O485" s="1477"/>
      <c r="P485" s="1467"/>
      <c r="Q485" s="581"/>
      <c r="R485" s="581"/>
      <c r="S485" s="581"/>
      <c r="T485" s="581"/>
      <c r="U485" s="581"/>
      <c r="V485" s="581"/>
      <c r="W485" s="1475"/>
      <c r="X485" s="581"/>
      <c r="Y485" s="581"/>
    </row>
    <row r="486">
      <c r="A486" s="581"/>
      <c r="B486" s="1467"/>
      <c r="C486" s="581"/>
      <c r="D486" s="581"/>
      <c r="E486" s="581"/>
      <c r="F486" s="624"/>
      <c r="G486" s="581"/>
      <c r="H486" s="581"/>
      <c r="I486" s="581"/>
      <c r="J486" s="581"/>
      <c r="K486" s="581"/>
      <c r="L486" s="581"/>
      <c r="M486" s="1477"/>
      <c r="N486" s="1477"/>
      <c r="O486" s="1477"/>
      <c r="P486" s="1467"/>
      <c r="Q486" s="581"/>
      <c r="R486" s="581"/>
      <c r="S486" s="581"/>
      <c r="T486" s="581"/>
      <c r="U486" s="581"/>
      <c r="V486" s="581"/>
      <c r="W486" s="1475"/>
      <c r="X486" s="581"/>
      <c r="Y486" s="581"/>
    </row>
    <row r="487">
      <c r="A487" s="581"/>
      <c r="B487" s="1467"/>
      <c r="C487" s="581"/>
      <c r="D487" s="581"/>
      <c r="E487" s="581"/>
      <c r="F487" s="624"/>
      <c r="G487" s="581"/>
      <c r="H487" s="581"/>
      <c r="I487" s="581"/>
      <c r="J487" s="581"/>
      <c r="K487" s="581"/>
      <c r="L487" s="581"/>
      <c r="M487" s="1477"/>
      <c r="N487" s="1477"/>
      <c r="O487" s="1477"/>
      <c r="P487" s="1467"/>
      <c r="Q487" s="581"/>
      <c r="R487" s="581"/>
      <c r="S487" s="581"/>
      <c r="T487" s="581"/>
      <c r="U487" s="581"/>
      <c r="V487" s="581"/>
      <c r="W487" s="1475"/>
      <c r="X487" s="581"/>
      <c r="Y487" s="581"/>
    </row>
    <row r="488">
      <c r="A488" s="581"/>
      <c r="B488" s="1467"/>
      <c r="C488" s="581"/>
      <c r="D488" s="581"/>
      <c r="E488" s="581"/>
      <c r="F488" s="624"/>
      <c r="G488" s="581"/>
      <c r="H488" s="581"/>
      <c r="I488" s="581"/>
      <c r="J488" s="581"/>
      <c r="K488" s="581"/>
      <c r="L488" s="581"/>
      <c r="M488" s="1477"/>
      <c r="N488" s="1477"/>
      <c r="O488" s="1477"/>
      <c r="P488" s="1467"/>
      <c r="Q488" s="581"/>
      <c r="R488" s="581"/>
      <c r="S488" s="581"/>
      <c r="T488" s="581"/>
      <c r="U488" s="581"/>
      <c r="V488" s="581"/>
      <c r="W488" s="1475"/>
      <c r="X488" s="581"/>
      <c r="Y488" s="581"/>
    </row>
    <row r="489">
      <c r="A489" s="581"/>
      <c r="B489" s="1467"/>
      <c r="C489" s="581"/>
      <c r="D489" s="581"/>
      <c r="E489" s="581"/>
      <c r="F489" s="624"/>
      <c r="G489" s="581"/>
      <c r="H489" s="581"/>
      <c r="I489" s="581"/>
      <c r="J489" s="581"/>
      <c r="K489" s="581"/>
      <c r="L489" s="581"/>
      <c r="M489" s="1477"/>
      <c r="N489" s="1477"/>
      <c r="O489" s="1477"/>
      <c r="P489" s="1467"/>
      <c r="Q489" s="581"/>
      <c r="R489" s="581"/>
      <c r="S489" s="581"/>
      <c r="T489" s="581"/>
      <c r="U489" s="581"/>
      <c r="V489" s="581"/>
      <c r="W489" s="1475"/>
      <c r="X489" s="581"/>
      <c r="Y489" s="581"/>
    </row>
    <row r="490">
      <c r="A490" s="581"/>
      <c r="B490" s="1467"/>
      <c r="C490" s="581"/>
      <c r="D490" s="581"/>
      <c r="E490" s="581"/>
      <c r="F490" s="624"/>
      <c r="G490" s="581"/>
      <c r="H490" s="581"/>
      <c r="I490" s="581"/>
      <c r="J490" s="581"/>
      <c r="K490" s="581"/>
      <c r="L490" s="581"/>
      <c r="M490" s="1477"/>
      <c r="N490" s="1477"/>
      <c r="O490" s="1477"/>
      <c r="P490" s="1467"/>
      <c r="Q490" s="581"/>
      <c r="R490" s="581"/>
      <c r="S490" s="581"/>
      <c r="T490" s="581"/>
      <c r="U490" s="581"/>
      <c r="V490" s="581"/>
      <c r="W490" s="1475"/>
      <c r="X490" s="581"/>
      <c r="Y490" s="581"/>
    </row>
    <row r="491">
      <c r="A491" s="581"/>
      <c r="B491" s="1467"/>
      <c r="C491" s="581"/>
      <c r="D491" s="581"/>
      <c r="E491" s="581"/>
      <c r="F491" s="624"/>
      <c r="G491" s="581"/>
      <c r="H491" s="581"/>
      <c r="I491" s="581"/>
      <c r="J491" s="581"/>
      <c r="K491" s="581"/>
      <c r="L491" s="581"/>
      <c r="M491" s="1477"/>
      <c r="N491" s="1477"/>
      <c r="O491" s="1477"/>
      <c r="P491" s="1467"/>
      <c r="Q491" s="581"/>
      <c r="R491" s="581"/>
      <c r="S491" s="581"/>
      <c r="T491" s="581"/>
      <c r="U491" s="581"/>
      <c r="V491" s="581"/>
      <c r="W491" s="1475"/>
      <c r="X491" s="581"/>
      <c r="Y491" s="581"/>
    </row>
    <row r="492">
      <c r="A492" s="581"/>
      <c r="B492" s="1467"/>
      <c r="C492" s="581"/>
      <c r="D492" s="581"/>
      <c r="E492" s="581"/>
      <c r="F492" s="624"/>
      <c r="G492" s="581"/>
      <c r="H492" s="581"/>
      <c r="I492" s="581"/>
      <c r="J492" s="581"/>
      <c r="K492" s="581"/>
      <c r="L492" s="581"/>
      <c r="M492" s="1477"/>
      <c r="N492" s="1477"/>
      <c r="O492" s="1477"/>
      <c r="P492" s="1467"/>
      <c r="Q492" s="581"/>
      <c r="R492" s="581"/>
      <c r="S492" s="581"/>
      <c r="T492" s="581"/>
      <c r="U492" s="581"/>
      <c r="V492" s="581"/>
      <c r="W492" s="1475"/>
      <c r="X492" s="581"/>
      <c r="Y492" s="581"/>
    </row>
    <row r="493">
      <c r="A493" s="581"/>
      <c r="B493" s="1467"/>
      <c r="C493" s="581"/>
      <c r="D493" s="581"/>
      <c r="E493" s="581"/>
      <c r="F493" s="624"/>
      <c r="G493" s="581"/>
      <c r="H493" s="581"/>
      <c r="I493" s="581"/>
      <c r="J493" s="581"/>
      <c r="K493" s="581"/>
      <c r="L493" s="581"/>
      <c r="M493" s="1477"/>
      <c r="N493" s="1477"/>
      <c r="O493" s="1477"/>
      <c r="P493" s="1467"/>
      <c r="Q493" s="581"/>
      <c r="R493" s="581"/>
      <c r="S493" s="581"/>
      <c r="T493" s="581"/>
      <c r="U493" s="581"/>
      <c r="V493" s="581"/>
      <c r="W493" s="1475"/>
      <c r="X493" s="581"/>
      <c r="Y493" s="581"/>
    </row>
    <row r="494">
      <c r="A494" s="581"/>
      <c r="B494" s="1467"/>
      <c r="C494" s="581"/>
      <c r="D494" s="581"/>
      <c r="E494" s="581"/>
      <c r="F494" s="624"/>
      <c r="G494" s="581"/>
      <c r="H494" s="581"/>
      <c r="I494" s="581"/>
      <c r="J494" s="581"/>
      <c r="K494" s="581"/>
      <c r="L494" s="581"/>
      <c r="M494" s="1477"/>
      <c r="N494" s="1477"/>
      <c r="O494" s="1477"/>
      <c r="P494" s="1467"/>
      <c r="Q494" s="581"/>
      <c r="R494" s="581"/>
      <c r="S494" s="581"/>
      <c r="T494" s="581"/>
      <c r="U494" s="581"/>
      <c r="V494" s="581"/>
      <c r="W494" s="1475"/>
      <c r="X494" s="581"/>
      <c r="Y494" s="581"/>
    </row>
    <row r="495">
      <c r="A495" s="581"/>
      <c r="B495" s="1467"/>
      <c r="C495" s="581"/>
      <c r="D495" s="581"/>
      <c r="E495" s="581"/>
      <c r="F495" s="624"/>
      <c r="G495" s="581"/>
      <c r="H495" s="581"/>
      <c r="I495" s="581"/>
      <c r="J495" s="581"/>
      <c r="K495" s="581"/>
      <c r="L495" s="581"/>
      <c r="M495" s="1477"/>
      <c r="N495" s="1477"/>
      <c r="O495" s="1477"/>
      <c r="P495" s="1467"/>
      <c r="Q495" s="581"/>
      <c r="R495" s="581"/>
      <c r="S495" s="581"/>
      <c r="T495" s="581"/>
      <c r="U495" s="581"/>
      <c r="V495" s="581"/>
      <c r="W495" s="1475"/>
      <c r="X495" s="581"/>
      <c r="Y495" s="581"/>
    </row>
    <row r="496">
      <c r="A496" s="581"/>
      <c r="B496" s="1467"/>
      <c r="C496" s="581"/>
      <c r="D496" s="581"/>
      <c r="E496" s="581"/>
      <c r="F496" s="624"/>
      <c r="G496" s="581"/>
      <c r="H496" s="581"/>
      <c r="I496" s="581"/>
      <c r="J496" s="581"/>
      <c r="K496" s="581"/>
      <c r="L496" s="581"/>
      <c r="M496" s="1477"/>
      <c r="N496" s="1477"/>
      <c r="O496" s="1477"/>
      <c r="P496" s="1467"/>
      <c r="Q496" s="581"/>
      <c r="R496" s="581"/>
      <c r="S496" s="581"/>
      <c r="T496" s="581"/>
      <c r="U496" s="581"/>
      <c r="V496" s="581"/>
      <c r="W496" s="1475"/>
      <c r="X496" s="581"/>
      <c r="Y496" s="581"/>
    </row>
    <row r="497">
      <c r="A497" s="581"/>
      <c r="B497" s="1467"/>
      <c r="C497" s="581"/>
      <c r="D497" s="581"/>
      <c r="E497" s="581"/>
      <c r="F497" s="624"/>
      <c r="G497" s="581"/>
      <c r="H497" s="581"/>
      <c r="I497" s="581"/>
      <c r="J497" s="581"/>
      <c r="K497" s="581"/>
      <c r="L497" s="581"/>
      <c r="M497" s="1477"/>
      <c r="N497" s="1477"/>
      <c r="O497" s="1477"/>
      <c r="P497" s="1467"/>
      <c r="Q497" s="581"/>
      <c r="R497" s="581"/>
      <c r="S497" s="581"/>
      <c r="T497" s="581"/>
      <c r="U497" s="581"/>
      <c r="V497" s="581"/>
      <c r="W497" s="1475"/>
      <c r="X497" s="581"/>
      <c r="Y497" s="581"/>
    </row>
    <row r="498">
      <c r="A498" s="581"/>
      <c r="B498" s="1467"/>
      <c r="C498" s="581"/>
      <c r="D498" s="581"/>
      <c r="E498" s="581"/>
      <c r="F498" s="624"/>
      <c r="G498" s="581"/>
      <c r="H498" s="581"/>
      <c r="I498" s="581"/>
      <c r="J498" s="581"/>
      <c r="K498" s="581"/>
      <c r="L498" s="581"/>
      <c r="M498" s="1477"/>
      <c r="N498" s="1477"/>
      <c r="O498" s="1477"/>
      <c r="P498" s="1467"/>
      <c r="Q498" s="581"/>
      <c r="R498" s="581"/>
      <c r="S498" s="581"/>
      <c r="T498" s="581"/>
      <c r="U498" s="581"/>
      <c r="V498" s="581"/>
      <c r="W498" s="1475"/>
      <c r="X498" s="581"/>
      <c r="Y498" s="581"/>
    </row>
    <row r="499">
      <c r="A499" s="581"/>
      <c r="B499" s="1467"/>
      <c r="C499" s="581"/>
      <c r="D499" s="581"/>
      <c r="E499" s="581"/>
      <c r="F499" s="624"/>
      <c r="G499" s="581"/>
      <c r="H499" s="581"/>
      <c r="I499" s="581"/>
      <c r="J499" s="581"/>
      <c r="K499" s="581"/>
      <c r="L499" s="581"/>
      <c r="M499" s="1477"/>
      <c r="N499" s="1477"/>
      <c r="O499" s="1477"/>
      <c r="P499" s="1467"/>
      <c r="Q499" s="581"/>
      <c r="R499" s="581"/>
      <c r="S499" s="581"/>
      <c r="T499" s="581"/>
      <c r="U499" s="581"/>
      <c r="V499" s="581"/>
      <c r="W499" s="1475"/>
      <c r="X499" s="581"/>
      <c r="Y499" s="581"/>
    </row>
    <row r="500">
      <c r="A500" s="581"/>
      <c r="B500" s="1467"/>
      <c r="C500" s="581"/>
      <c r="D500" s="581"/>
      <c r="E500" s="581"/>
      <c r="F500" s="624"/>
      <c r="G500" s="581"/>
      <c r="H500" s="581"/>
      <c r="I500" s="581"/>
      <c r="J500" s="581"/>
      <c r="K500" s="581"/>
      <c r="L500" s="581"/>
      <c r="M500" s="1477"/>
      <c r="N500" s="1477"/>
      <c r="O500" s="1477"/>
      <c r="P500" s="1467"/>
      <c r="Q500" s="581"/>
      <c r="R500" s="581"/>
      <c r="S500" s="581"/>
      <c r="T500" s="581"/>
      <c r="U500" s="581"/>
      <c r="V500" s="581"/>
      <c r="W500" s="1475"/>
      <c r="X500" s="581"/>
      <c r="Y500" s="581"/>
    </row>
    <row r="501">
      <c r="A501" s="581"/>
      <c r="B501" s="1467"/>
      <c r="C501" s="581"/>
      <c r="D501" s="581"/>
      <c r="E501" s="581"/>
      <c r="F501" s="624"/>
      <c r="G501" s="581"/>
      <c r="H501" s="581"/>
      <c r="I501" s="581"/>
      <c r="J501" s="581"/>
      <c r="K501" s="581"/>
      <c r="L501" s="581"/>
      <c r="M501" s="1477"/>
      <c r="N501" s="1477"/>
      <c r="O501" s="1477"/>
      <c r="P501" s="1467"/>
      <c r="Q501" s="581"/>
      <c r="R501" s="581"/>
      <c r="S501" s="581"/>
      <c r="T501" s="581"/>
      <c r="U501" s="581"/>
      <c r="V501" s="581"/>
      <c r="W501" s="1475"/>
      <c r="X501" s="581"/>
      <c r="Y501" s="581"/>
    </row>
    <row r="502">
      <c r="A502" s="581"/>
      <c r="B502" s="1467"/>
      <c r="C502" s="581"/>
      <c r="D502" s="581"/>
      <c r="E502" s="581"/>
      <c r="F502" s="624"/>
      <c r="G502" s="581"/>
      <c r="H502" s="581"/>
      <c r="I502" s="581"/>
      <c r="J502" s="581"/>
      <c r="K502" s="581"/>
      <c r="L502" s="581"/>
      <c r="M502" s="1477"/>
      <c r="N502" s="1477"/>
      <c r="O502" s="1477"/>
      <c r="P502" s="1467"/>
      <c r="Q502" s="581"/>
      <c r="R502" s="581"/>
      <c r="S502" s="581"/>
      <c r="T502" s="581"/>
      <c r="U502" s="581"/>
      <c r="V502" s="581"/>
      <c r="W502" s="1475"/>
      <c r="X502" s="581"/>
      <c r="Y502" s="581"/>
    </row>
    <row r="503">
      <c r="A503" s="581"/>
      <c r="B503" s="1467"/>
      <c r="C503" s="581"/>
      <c r="D503" s="581"/>
      <c r="E503" s="581"/>
      <c r="F503" s="624"/>
      <c r="G503" s="581"/>
      <c r="H503" s="581"/>
      <c r="I503" s="581"/>
      <c r="J503" s="581"/>
      <c r="K503" s="581"/>
      <c r="L503" s="581"/>
      <c r="M503" s="1477"/>
      <c r="N503" s="1477"/>
      <c r="O503" s="1477"/>
      <c r="P503" s="1467"/>
      <c r="Q503" s="581"/>
      <c r="R503" s="581"/>
      <c r="S503" s="581"/>
      <c r="T503" s="581"/>
      <c r="U503" s="581"/>
      <c r="V503" s="581"/>
      <c r="W503" s="1475"/>
      <c r="X503" s="581"/>
      <c r="Y503" s="581"/>
    </row>
    <row r="504">
      <c r="A504" s="581"/>
      <c r="B504" s="1467"/>
      <c r="C504" s="581"/>
      <c r="D504" s="581"/>
      <c r="E504" s="581"/>
      <c r="F504" s="624"/>
      <c r="G504" s="581"/>
      <c r="H504" s="581"/>
      <c r="I504" s="581"/>
      <c r="J504" s="581"/>
      <c r="K504" s="581"/>
      <c r="L504" s="581"/>
      <c r="M504" s="1477"/>
      <c r="N504" s="1477"/>
      <c r="O504" s="1477"/>
      <c r="P504" s="1467"/>
      <c r="Q504" s="581"/>
      <c r="R504" s="581"/>
      <c r="S504" s="581"/>
      <c r="T504" s="581"/>
      <c r="U504" s="581"/>
      <c r="V504" s="581"/>
      <c r="W504" s="1475"/>
      <c r="X504" s="581"/>
      <c r="Y504" s="581"/>
    </row>
    <row r="505">
      <c r="A505" s="581"/>
      <c r="B505" s="1467"/>
      <c r="C505" s="581"/>
      <c r="D505" s="581"/>
      <c r="E505" s="581"/>
      <c r="F505" s="624"/>
      <c r="G505" s="581"/>
      <c r="H505" s="581"/>
      <c r="I505" s="581"/>
      <c r="J505" s="581"/>
      <c r="K505" s="581"/>
      <c r="L505" s="581"/>
      <c r="M505" s="1477"/>
      <c r="N505" s="1477"/>
      <c r="O505" s="1477"/>
      <c r="P505" s="1467"/>
      <c r="Q505" s="581"/>
      <c r="R505" s="581"/>
      <c r="S505" s="581"/>
      <c r="T505" s="581"/>
      <c r="U505" s="581"/>
      <c r="V505" s="581"/>
      <c r="W505" s="1475"/>
      <c r="X505" s="581"/>
      <c r="Y505" s="581"/>
    </row>
    <row r="506">
      <c r="A506" s="581"/>
      <c r="B506" s="1467"/>
      <c r="C506" s="581"/>
      <c r="D506" s="581"/>
      <c r="E506" s="581"/>
      <c r="F506" s="624"/>
      <c r="G506" s="581"/>
      <c r="H506" s="581"/>
      <c r="I506" s="581"/>
      <c r="J506" s="581"/>
      <c r="K506" s="581"/>
      <c r="L506" s="581"/>
      <c r="M506" s="1477"/>
      <c r="N506" s="1477"/>
      <c r="O506" s="1477"/>
      <c r="P506" s="1467"/>
      <c r="Q506" s="581"/>
      <c r="R506" s="581"/>
      <c r="S506" s="581"/>
      <c r="T506" s="581"/>
      <c r="U506" s="581"/>
      <c r="V506" s="581"/>
      <c r="W506" s="1475"/>
      <c r="X506" s="581"/>
      <c r="Y506" s="581"/>
    </row>
    <row r="507">
      <c r="A507" s="581"/>
      <c r="B507" s="1467"/>
      <c r="C507" s="581"/>
      <c r="D507" s="581"/>
      <c r="E507" s="581"/>
      <c r="F507" s="624"/>
      <c r="G507" s="581"/>
      <c r="H507" s="581"/>
      <c r="I507" s="581"/>
      <c r="J507" s="581"/>
      <c r="K507" s="581"/>
      <c r="L507" s="581"/>
      <c r="M507" s="1477"/>
      <c r="N507" s="1477"/>
      <c r="O507" s="1477"/>
      <c r="P507" s="1467"/>
      <c r="Q507" s="581"/>
      <c r="R507" s="581"/>
      <c r="S507" s="581"/>
      <c r="T507" s="581"/>
      <c r="U507" s="581"/>
      <c r="V507" s="581"/>
      <c r="W507" s="1475"/>
      <c r="X507" s="581"/>
      <c r="Y507" s="581"/>
    </row>
    <row r="508">
      <c r="A508" s="581"/>
      <c r="B508" s="1467"/>
      <c r="C508" s="581"/>
      <c r="D508" s="581"/>
      <c r="E508" s="581"/>
      <c r="F508" s="624"/>
      <c r="G508" s="581"/>
      <c r="H508" s="581"/>
      <c r="I508" s="581"/>
      <c r="J508" s="581"/>
      <c r="K508" s="581"/>
      <c r="L508" s="581"/>
      <c r="M508" s="1477"/>
      <c r="N508" s="1477"/>
      <c r="O508" s="1477"/>
      <c r="P508" s="1467"/>
      <c r="Q508" s="581"/>
      <c r="R508" s="581"/>
      <c r="S508" s="581"/>
      <c r="T508" s="581"/>
      <c r="U508" s="581"/>
      <c r="V508" s="581"/>
      <c r="W508" s="1475"/>
      <c r="X508" s="581"/>
      <c r="Y508" s="581"/>
    </row>
    <row r="509">
      <c r="A509" s="581"/>
      <c r="B509" s="1467"/>
      <c r="C509" s="581"/>
      <c r="D509" s="581"/>
      <c r="E509" s="581"/>
      <c r="F509" s="624"/>
      <c r="G509" s="581"/>
      <c r="H509" s="581"/>
      <c r="I509" s="581"/>
      <c r="J509" s="581"/>
      <c r="K509" s="581"/>
      <c r="L509" s="581"/>
      <c r="M509" s="1477"/>
      <c r="N509" s="1477"/>
      <c r="O509" s="1477"/>
      <c r="P509" s="1467"/>
      <c r="Q509" s="581"/>
      <c r="R509" s="581"/>
      <c r="S509" s="581"/>
      <c r="T509" s="581"/>
      <c r="U509" s="581"/>
      <c r="V509" s="581"/>
      <c r="W509" s="1475"/>
      <c r="X509" s="581"/>
      <c r="Y509" s="581"/>
    </row>
    <row r="510">
      <c r="A510" s="581"/>
      <c r="B510" s="1467"/>
      <c r="C510" s="581"/>
      <c r="D510" s="581"/>
      <c r="E510" s="581"/>
      <c r="F510" s="624"/>
      <c r="G510" s="581"/>
      <c r="H510" s="581"/>
      <c r="I510" s="581"/>
      <c r="J510" s="581"/>
      <c r="K510" s="581"/>
      <c r="L510" s="581"/>
      <c r="M510" s="1477"/>
      <c r="N510" s="1477"/>
      <c r="O510" s="1477"/>
      <c r="P510" s="1467"/>
      <c r="Q510" s="581"/>
      <c r="R510" s="581"/>
      <c r="S510" s="581"/>
      <c r="T510" s="581"/>
      <c r="U510" s="581"/>
      <c r="V510" s="581"/>
      <c r="W510" s="1475"/>
      <c r="X510" s="581"/>
      <c r="Y510" s="581"/>
    </row>
    <row r="511">
      <c r="A511" s="581"/>
      <c r="B511" s="1467"/>
      <c r="C511" s="581"/>
      <c r="D511" s="581"/>
      <c r="E511" s="581"/>
      <c r="F511" s="624"/>
      <c r="G511" s="581"/>
      <c r="H511" s="581"/>
      <c r="I511" s="581"/>
      <c r="J511" s="581"/>
      <c r="K511" s="581"/>
      <c r="L511" s="581"/>
      <c r="M511" s="1477"/>
      <c r="N511" s="1477"/>
      <c r="O511" s="1477"/>
      <c r="P511" s="1467"/>
      <c r="Q511" s="581"/>
      <c r="R511" s="581"/>
      <c r="S511" s="581"/>
      <c r="T511" s="581"/>
      <c r="U511" s="581"/>
      <c r="V511" s="581"/>
      <c r="W511" s="1475"/>
      <c r="X511" s="581"/>
      <c r="Y511" s="581"/>
    </row>
    <row r="512">
      <c r="A512" s="581"/>
      <c r="B512" s="1467"/>
      <c r="C512" s="581"/>
      <c r="D512" s="581"/>
      <c r="E512" s="581"/>
      <c r="F512" s="624"/>
      <c r="G512" s="581"/>
      <c r="H512" s="581"/>
      <c r="I512" s="581"/>
      <c r="J512" s="581"/>
      <c r="K512" s="581"/>
      <c r="L512" s="581"/>
      <c r="M512" s="1477"/>
      <c r="N512" s="1477"/>
      <c r="O512" s="1477"/>
      <c r="P512" s="1467"/>
      <c r="Q512" s="581"/>
      <c r="R512" s="581"/>
      <c r="S512" s="581"/>
      <c r="T512" s="581"/>
      <c r="U512" s="581"/>
      <c r="V512" s="581"/>
      <c r="W512" s="1475"/>
      <c r="X512" s="581"/>
      <c r="Y512" s="581"/>
    </row>
    <row r="513">
      <c r="A513" s="581"/>
      <c r="B513" s="1467"/>
      <c r="C513" s="581"/>
      <c r="D513" s="581"/>
      <c r="E513" s="581"/>
      <c r="F513" s="624"/>
      <c r="G513" s="581"/>
      <c r="H513" s="581"/>
      <c r="I513" s="581"/>
      <c r="J513" s="581"/>
      <c r="K513" s="581"/>
      <c r="L513" s="581"/>
      <c r="M513" s="1477"/>
      <c r="N513" s="1477"/>
      <c r="O513" s="1477"/>
      <c r="P513" s="1467"/>
      <c r="Q513" s="581"/>
      <c r="R513" s="581"/>
      <c r="S513" s="581"/>
      <c r="T513" s="581"/>
      <c r="U513" s="581"/>
      <c r="V513" s="581"/>
      <c r="W513" s="1475"/>
      <c r="X513" s="581"/>
      <c r="Y513" s="581"/>
    </row>
    <row r="514">
      <c r="A514" s="581"/>
      <c r="B514" s="1467"/>
      <c r="C514" s="581"/>
      <c r="D514" s="581"/>
      <c r="E514" s="581"/>
      <c r="F514" s="624"/>
      <c r="G514" s="581"/>
      <c r="H514" s="581"/>
      <c r="I514" s="581"/>
      <c r="J514" s="581"/>
      <c r="K514" s="581"/>
      <c r="L514" s="581"/>
      <c r="M514" s="1477"/>
      <c r="N514" s="1477"/>
      <c r="O514" s="1477"/>
      <c r="P514" s="1467"/>
      <c r="Q514" s="581"/>
      <c r="R514" s="581"/>
      <c r="S514" s="581"/>
      <c r="T514" s="581"/>
      <c r="U514" s="581"/>
      <c r="V514" s="581"/>
      <c r="W514" s="1475"/>
      <c r="X514" s="581"/>
      <c r="Y514" s="581"/>
    </row>
    <row r="515">
      <c r="A515" s="581"/>
      <c r="B515" s="1467"/>
      <c r="C515" s="581"/>
      <c r="D515" s="581"/>
      <c r="E515" s="581"/>
      <c r="F515" s="624"/>
      <c r="G515" s="581"/>
      <c r="H515" s="581"/>
      <c r="I515" s="581"/>
      <c r="J515" s="581"/>
      <c r="K515" s="581"/>
      <c r="L515" s="581"/>
      <c r="M515" s="1477"/>
      <c r="N515" s="1477"/>
      <c r="O515" s="1477"/>
      <c r="P515" s="1467"/>
      <c r="Q515" s="581"/>
      <c r="R515" s="581"/>
      <c r="S515" s="581"/>
      <c r="T515" s="581"/>
      <c r="U515" s="581"/>
      <c r="V515" s="581"/>
      <c r="W515" s="1475"/>
      <c r="X515" s="581"/>
      <c r="Y515" s="581"/>
    </row>
    <row r="516">
      <c r="A516" s="581"/>
      <c r="B516" s="1467"/>
      <c r="C516" s="581"/>
      <c r="D516" s="581"/>
      <c r="E516" s="581"/>
      <c r="F516" s="624"/>
      <c r="G516" s="581"/>
      <c r="H516" s="581"/>
      <c r="I516" s="581"/>
      <c r="J516" s="581"/>
      <c r="K516" s="581"/>
      <c r="L516" s="581"/>
      <c r="M516" s="1477"/>
      <c r="N516" s="1477"/>
      <c r="O516" s="1477"/>
      <c r="P516" s="1467"/>
      <c r="Q516" s="581"/>
      <c r="R516" s="581"/>
      <c r="S516" s="581"/>
      <c r="T516" s="581"/>
      <c r="U516" s="581"/>
      <c r="V516" s="581"/>
      <c r="W516" s="1475"/>
      <c r="X516" s="581"/>
      <c r="Y516" s="581"/>
    </row>
    <row r="517">
      <c r="A517" s="581"/>
      <c r="B517" s="1467"/>
      <c r="C517" s="581"/>
      <c r="D517" s="581"/>
      <c r="E517" s="581"/>
      <c r="F517" s="624"/>
      <c r="G517" s="581"/>
      <c r="H517" s="581"/>
      <c r="I517" s="581"/>
      <c r="J517" s="581"/>
      <c r="K517" s="581"/>
      <c r="L517" s="581"/>
      <c r="M517" s="1477"/>
      <c r="N517" s="1477"/>
      <c r="O517" s="1477"/>
      <c r="P517" s="1467"/>
      <c r="Q517" s="581"/>
      <c r="R517" s="581"/>
      <c r="S517" s="581"/>
      <c r="T517" s="581"/>
      <c r="U517" s="581"/>
      <c r="V517" s="581"/>
      <c r="W517" s="1475"/>
      <c r="X517" s="581"/>
      <c r="Y517" s="581"/>
    </row>
    <row r="518">
      <c r="A518" s="581"/>
      <c r="B518" s="1467"/>
      <c r="C518" s="581"/>
      <c r="D518" s="581"/>
      <c r="E518" s="581"/>
      <c r="F518" s="624"/>
      <c r="G518" s="581"/>
      <c r="H518" s="581"/>
      <c r="I518" s="581"/>
      <c r="J518" s="581"/>
      <c r="K518" s="581"/>
      <c r="L518" s="581"/>
      <c r="M518" s="1477"/>
      <c r="N518" s="1477"/>
      <c r="O518" s="1477"/>
      <c r="P518" s="1467"/>
      <c r="Q518" s="581"/>
      <c r="R518" s="581"/>
      <c r="S518" s="581"/>
      <c r="T518" s="581"/>
      <c r="U518" s="581"/>
      <c r="V518" s="581"/>
      <c r="W518" s="1475"/>
      <c r="X518" s="581"/>
      <c r="Y518" s="581"/>
    </row>
    <row r="519">
      <c r="A519" s="581"/>
      <c r="B519" s="1467"/>
      <c r="C519" s="581"/>
      <c r="D519" s="581"/>
      <c r="E519" s="581"/>
      <c r="F519" s="624"/>
      <c r="G519" s="581"/>
      <c r="H519" s="581"/>
      <c r="I519" s="581"/>
      <c r="J519" s="581"/>
      <c r="K519" s="581"/>
      <c r="L519" s="581"/>
      <c r="M519" s="1477"/>
      <c r="N519" s="1477"/>
      <c r="O519" s="1477"/>
      <c r="P519" s="1467"/>
      <c r="Q519" s="581"/>
      <c r="R519" s="581"/>
      <c r="S519" s="581"/>
      <c r="T519" s="581"/>
      <c r="U519" s="581"/>
      <c r="V519" s="581"/>
      <c r="W519" s="1475"/>
      <c r="X519" s="581"/>
      <c r="Y519" s="581"/>
    </row>
    <row r="520">
      <c r="A520" s="581"/>
      <c r="B520" s="1467"/>
      <c r="C520" s="581"/>
      <c r="D520" s="581"/>
      <c r="E520" s="581"/>
      <c r="F520" s="624"/>
      <c r="G520" s="581"/>
      <c r="H520" s="581"/>
      <c r="I520" s="581"/>
      <c r="J520" s="581"/>
      <c r="K520" s="581"/>
      <c r="L520" s="581"/>
      <c r="M520" s="1477"/>
      <c r="N520" s="1477"/>
      <c r="O520" s="1477"/>
      <c r="P520" s="1467"/>
      <c r="Q520" s="581"/>
      <c r="R520" s="581"/>
      <c r="S520" s="581"/>
      <c r="T520" s="581"/>
      <c r="U520" s="581"/>
      <c r="V520" s="581"/>
      <c r="W520" s="1475"/>
      <c r="X520" s="581"/>
      <c r="Y520" s="581"/>
    </row>
    <row r="521">
      <c r="A521" s="581"/>
      <c r="B521" s="1467"/>
      <c r="C521" s="581"/>
      <c r="D521" s="581"/>
      <c r="E521" s="581"/>
      <c r="F521" s="624"/>
      <c r="G521" s="581"/>
      <c r="H521" s="581"/>
      <c r="I521" s="581"/>
      <c r="J521" s="581"/>
      <c r="K521" s="581"/>
      <c r="L521" s="581"/>
      <c r="M521" s="1477"/>
      <c r="N521" s="1477"/>
      <c r="O521" s="1477"/>
      <c r="P521" s="1467"/>
      <c r="Q521" s="581"/>
      <c r="R521" s="581"/>
      <c r="S521" s="581"/>
      <c r="T521" s="581"/>
      <c r="U521" s="581"/>
      <c r="V521" s="581"/>
      <c r="W521" s="1475"/>
      <c r="X521" s="581"/>
      <c r="Y521" s="581"/>
    </row>
    <row r="522">
      <c r="A522" s="581"/>
      <c r="B522" s="1467"/>
      <c r="C522" s="581"/>
      <c r="D522" s="581"/>
      <c r="E522" s="581"/>
      <c r="F522" s="624"/>
      <c r="G522" s="581"/>
      <c r="H522" s="581"/>
      <c r="I522" s="581"/>
      <c r="J522" s="581"/>
      <c r="K522" s="581"/>
      <c r="L522" s="581"/>
      <c r="M522" s="1477"/>
      <c r="N522" s="1477"/>
      <c r="O522" s="1477"/>
      <c r="P522" s="1467"/>
      <c r="Q522" s="581"/>
      <c r="R522" s="581"/>
      <c r="S522" s="581"/>
      <c r="T522" s="581"/>
      <c r="U522" s="581"/>
      <c r="V522" s="581"/>
      <c r="W522" s="1475"/>
      <c r="X522" s="581"/>
      <c r="Y522" s="581"/>
    </row>
    <row r="523">
      <c r="A523" s="581"/>
      <c r="B523" s="1467"/>
      <c r="C523" s="581"/>
      <c r="D523" s="581"/>
      <c r="E523" s="581"/>
      <c r="F523" s="624"/>
      <c r="G523" s="581"/>
      <c r="H523" s="581"/>
      <c r="I523" s="581"/>
      <c r="J523" s="581"/>
      <c r="K523" s="581"/>
      <c r="L523" s="581"/>
      <c r="M523" s="1477"/>
      <c r="N523" s="1477"/>
      <c r="O523" s="1477"/>
      <c r="P523" s="1467"/>
      <c r="Q523" s="581"/>
      <c r="R523" s="581"/>
      <c r="S523" s="581"/>
      <c r="T523" s="581"/>
      <c r="U523" s="581"/>
      <c r="V523" s="581"/>
      <c r="W523" s="1475"/>
      <c r="X523" s="581"/>
      <c r="Y523" s="581"/>
    </row>
    <row r="524">
      <c r="A524" s="581"/>
      <c r="B524" s="1467"/>
      <c r="C524" s="581"/>
      <c r="D524" s="581"/>
      <c r="E524" s="581"/>
      <c r="F524" s="624"/>
      <c r="G524" s="581"/>
      <c r="H524" s="581"/>
      <c r="I524" s="581"/>
      <c r="J524" s="581"/>
      <c r="K524" s="581"/>
      <c r="L524" s="581"/>
      <c r="M524" s="1477"/>
      <c r="N524" s="1477"/>
      <c r="O524" s="1477"/>
      <c r="P524" s="1467"/>
      <c r="Q524" s="581"/>
      <c r="R524" s="581"/>
      <c r="S524" s="581"/>
      <c r="T524" s="581"/>
      <c r="U524" s="581"/>
      <c r="V524" s="581"/>
      <c r="W524" s="1475"/>
      <c r="X524" s="581"/>
      <c r="Y524" s="581"/>
    </row>
    <row r="525">
      <c r="A525" s="581"/>
      <c r="B525" s="1467"/>
      <c r="C525" s="581"/>
      <c r="D525" s="581"/>
      <c r="E525" s="581"/>
      <c r="F525" s="624"/>
      <c r="G525" s="581"/>
      <c r="H525" s="581"/>
      <c r="I525" s="581"/>
      <c r="J525" s="581"/>
      <c r="K525" s="581"/>
      <c r="L525" s="581"/>
      <c r="M525" s="1477"/>
      <c r="N525" s="1477"/>
      <c r="O525" s="1477"/>
      <c r="P525" s="1467"/>
      <c r="Q525" s="581"/>
      <c r="R525" s="581"/>
      <c r="S525" s="581"/>
      <c r="T525" s="581"/>
      <c r="U525" s="581"/>
      <c r="V525" s="581"/>
      <c r="W525" s="1475"/>
      <c r="X525" s="581"/>
      <c r="Y525" s="581"/>
    </row>
    <row r="526">
      <c r="A526" s="581"/>
      <c r="B526" s="1467"/>
      <c r="C526" s="581"/>
      <c r="D526" s="581"/>
      <c r="E526" s="581"/>
      <c r="F526" s="624"/>
      <c r="G526" s="581"/>
      <c r="H526" s="581"/>
      <c r="I526" s="581"/>
      <c r="J526" s="581"/>
      <c r="K526" s="581"/>
      <c r="L526" s="581"/>
      <c r="M526" s="1477"/>
      <c r="N526" s="1477"/>
      <c r="O526" s="1477"/>
      <c r="P526" s="1467"/>
      <c r="Q526" s="581"/>
      <c r="R526" s="581"/>
      <c r="S526" s="581"/>
      <c r="T526" s="581"/>
      <c r="U526" s="581"/>
      <c r="V526" s="581"/>
      <c r="W526" s="1475"/>
      <c r="X526" s="581"/>
      <c r="Y526" s="581"/>
    </row>
    <row r="527">
      <c r="A527" s="581"/>
      <c r="B527" s="1467"/>
      <c r="C527" s="581"/>
      <c r="D527" s="581"/>
      <c r="E527" s="581"/>
      <c r="F527" s="624"/>
      <c r="G527" s="581"/>
      <c r="H527" s="581"/>
      <c r="I527" s="581"/>
      <c r="J527" s="581"/>
      <c r="K527" s="581"/>
      <c r="L527" s="581"/>
      <c r="M527" s="1477"/>
      <c r="N527" s="1477"/>
      <c r="O527" s="1477"/>
      <c r="P527" s="1467"/>
      <c r="Q527" s="581"/>
      <c r="R527" s="581"/>
      <c r="S527" s="581"/>
      <c r="T527" s="581"/>
      <c r="U527" s="581"/>
      <c r="V527" s="581"/>
      <c r="W527" s="1475"/>
      <c r="X527" s="581"/>
      <c r="Y527" s="581"/>
    </row>
    <row r="528">
      <c r="A528" s="581"/>
      <c r="B528" s="1467"/>
      <c r="C528" s="581"/>
      <c r="D528" s="581"/>
      <c r="E528" s="581"/>
      <c r="F528" s="624"/>
      <c r="G528" s="581"/>
      <c r="H528" s="581"/>
      <c r="I528" s="581"/>
      <c r="J528" s="581"/>
      <c r="K528" s="581"/>
      <c r="L528" s="581"/>
      <c r="M528" s="1477"/>
      <c r="N528" s="1477"/>
      <c r="O528" s="1477"/>
      <c r="P528" s="1467"/>
      <c r="Q528" s="581"/>
      <c r="R528" s="581"/>
      <c r="S528" s="581"/>
      <c r="T528" s="581"/>
      <c r="U528" s="581"/>
      <c r="V528" s="581"/>
      <c r="W528" s="1475"/>
      <c r="X528" s="581"/>
      <c r="Y528" s="581"/>
    </row>
    <row r="529">
      <c r="A529" s="581"/>
      <c r="B529" s="1467"/>
      <c r="C529" s="581"/>
      <c r="D529" s="581"/>
      <c r="E529" s="581"/>
      <c r="F529" s="624"/>
      <c r="G529" s="581"/>
      <c r="H529" s="581"/>
      <c r="I529" s="581"/>
      <c r="J529" s="581"/>
      <c r="K529" s="581"/>
      <c r="L529" s="581"/>
      <c r="M529" s="1477"/>
      <c r="N529" s="1477"/>
      <c r="O529" s="1477"/>
      <c r="P529" s="1467"/>
      <c r="Q529" s="581"/>
      <c r="R529" s="581"/>
      <c r="S529" s="581"/>
      <c r="T529" s="581"/>
      <c r="U529" s="581"/>
      <c r="V529" s="581"/>
      <c r="W529" s="1475"/>
      <c r="X529" s="581"/>
      <c r="Y529" s="581"/>
    </row>
    <row r="530">
      <c r="A530" s="581"/>
      <c r="B530" s="1467"/>
      <c r="C530" s="581"/>
      <c r="D530" s="581"/>
      <c r="E530" s="581"/>
      <c r="F530" s="624"/>
      <c r="G530" s="581"/>
      <c r="H530" s="581"/>
      <c r="I530" s="581"/>
      <c r="J530" s="581"/>
      <c r="K530" s="581"/>
      <c r="L530" s="581"/>
      <c r="M530" s="1477"/>
      <c r="N530" s="1477"/>
      <c r="O530" s="1477"/>
      <c r="P530" s="1467"/>
      <c r="Q530" s="581"/>
      <c r="R530" s="581"/>
      <c r="S530" s="581"/>
      <c r="T530" s="581"/>
      <c r="U530" s="581"/>
      <c r="V530" s="581"/>
      <c r="W530" s="1475"/>
      <c r="X530" s="581"/>
      <c r="Y530" s="581"/>
    </row>
    <row r="531">
      <c r="A531" s="581"/>
      <c r="B531" s="1467"/>
      <c r="C531" s="581"/>
      <c r="D531" s="581"/>
      <c r="E531" s="581"/>
      <c r="F531" s="624"/>
      <c r="G531" s="581"/>
      <c r="H531" s="581"/>
      <c r="I531" s="581"/>
      <c r="J531" s="581"/>
      <c r="K531" s="581"/>
      <c r="L531" s="581"/>
      <c r="M531" s="1477"/>
      <c r="N531" s="1477"/>
      <c r="O531" s="1477"/>
      <c r="P531" s="1467"/>
      <c r="Q531" s="581"/>
      <c r="R531" s="581"/>
      <c r="S531" s="581"/>
      <c r="T531" s="581"/>
      <c r="U531" s="581"/>
      <c r="V531" s="581"/>
      <c r="W531" s="1475"/>
      <c r="X531" s="581"/>
      <c r="Y531" s="581"/>
    </row>
    <row r="532">
      <c r="A532" s="581"/>
      <c r="B532" s="1467"/>
      <c r="C532" s="581"/>
      <c r="D532" s="581"/>
      <c r="E532" s="581"/>
      <c r="F532" s="624"/>
      <c r="G532" s="581"/>
      <c r="H532" s="581"/>
      <c r="I532" s="581"/>
      <c r="J532" s="581"/>
      <c r="K532" s="581"/>
      <c r="L532" s="581"/>
      <c r="M532" s="1477"/>
      <c r="N532" s="1477"/>
      <c r="O532" s="1477"/>
      <c r="P532" s="1467"/>
      <c r="Q532" s="581"/>
      <c r="R532" s="581"/>
      <c r="S532" s="581"/>
      <c r="T532" s="581"/>
      <c r="U532" s="581"/>
      <c r="V532" s="581"/>
      <c r="W532" s="1475"/>
      <c r="X532" s="581"/>
      <c r="Y532" s="581"/>
    </row>
    <row r="533">
      <c r="A533" s="581"/>
      <c r="B533" s="1467"/>
      <c r="C533" s="581"/>
      <c r="D533" s="581"/>
      <c r="E533" s="581"/>
      <c r="F533" s="624"/>
      <c r="G533" s="581"/>
      <c r="H533" s="581"/>
      <c r="I533" s="581"/>
      <c r="J533" s="581"/>
      <c r="K533" s="581"/>
      <c r="L533" s="581"/>
      <c r="M533" s="1477"/>
      <c r="N533" s="1477"/>
      <c r="O533" s="1477"/>
      <c r="P533" s="1467"/>
      <c r="Q533" s="581"/>
      <c r="R533" s="581"/>
      <c r="S533" s="581"/>
      <c r="T533" s="581"/>
      <c r="U533" s="581"/>
      <c r="V533" s="581"/>
      <c r="W533" s="1475"/>
      <c r="X533" s="581"/>
      <c r="Y533" s="581"/>
    </row>
    <row r="534">
      <c r="A534" s="581"/>
      <c r="B534" s="1467"/>
      <c r="C534" s="581"/>
      <c r="D534" s="581"/>
      <c r="E534" s="581"/>
      <c r="F534" s="624"/>
      <c r="G534" s="581"/>
      <c r="H534" s="581"/>
      <c r="I534" s="581"/>
      <c r="J534" s="581"/>
      <c r="K534" s="581"/>
      <c r="L534" s="581"/>
      <c r="M534" s="1477"/>
      <c r="N534" s="1477"/>
      <c r="O534" s="1477"/>
      <c r="P534" s="1467"/>
      <c r="Q534" s="581"/>
      <c r="R534" s="581"/>
      <c r="S534" s="581"/>
      <c r="T534" s="581"/>
      <c r="U534" s="581"/>
      <c r="V534" s="581"/>
      <c r="W534" s="1475"/>
      <c r="X534" s="581"/>
      <c r="Y534" s="581"/>
    </row>
    <row r="535">
      <c r="A535" s="581"/>
      <c r="B535" s="1467"/>
      <c r="C535" s="581"/>
      <c r="D535" s="581"/>
      <c r="E535" s="581"/>
      <c r="F535" s="624"/>
      <c r="G535" s="581"/>
      <c r="H535" s="581"/>
      <c r="I535" s="581"/>
      <c r="J535" s="581"/>
      <c r="K535" s="581"/>
      <c r="L535" s="581"/>
      <c r="M535" s="1477"/>
      <c r="N535" s="1477"/>
      <c r="O535" s="1477"/>
      <c r="P535" s="1467"/>
      <c r="Q535" s="581"/>
      <c r="R535" s="581"/>
      <c r="S535" s="581"/>
      <c r="T535" s="581"/>
      <c r="U535" s="581"/>
      <c r="V535" s="581"/>
      <c r="W535" s="1475"/>
      <c r="X535" s="581"/>
      <c r="Y535" s="581"/>
    </row>
    <row r="536">
      <c r="A536" s="581"/>
      <c r="B536" s="1467"/>
      <c r="C536" s="581"/>
      <c r="D536" s="581"/>
      <c r="E536" s="581"/>
      <c r="F536" s="624"/>
      <c r="G536" s="581"/>
      <c r="H536" s="581"/>
      <c r="I536" s="581"/>
      <c r="J536" s="581"/>
      <c r="K536" s="581"/>
      <c r="L536" s="581"/>
      <c r="M536" s="1477"/>
      <c r="N536" s="1477"/>
      <c r="O536" s="1477"/>
      <c r="P536" s="1467"/>
      <c r="Q536" s="581"/>
      <c r="R536" s="581"/>
      <c r="S536" s="581"/>
      <c r="T536" s="581"/>
      <c r="U536" s="581"/>
      <c r="V536" s="581"/>
      <c r="W536" s="1475"/>
      <c r="X536" s="581"/>
      <c r="Y536" s="581"/>
    </row>
    <row r="537">
      <c r="A537" s="581"/>
      <c r="B537" s="1467"/>
      <c r="C537" s="581"/>
      <c r="D537" s="581"/>
      <c r="E537" s="581"/>
      <c r="F537" s="624"/>
      <c r="G537" s="581"/>
      <c r="H537" s="581"/>
      <c r="I537" s="581"/>
      <c r="J537" s="581"/>
      <c r="K537" s="581"/>
      <c r="L537" s="581"/>
      <c r="M537" s="1477"/>
      <c r="N537" s="1477"/>
      <c r="O537" s="1477"/>
      <c r="P537" s="1467"/>
      <c r="Q537" s="581"/>
      <c r="R537" s="581"/>
      <c r="S537" s="581"/>
      <c r="T537" s="581"/>
      <c r="U537" s="581"/>
      <c r="V537" s="581"/>
      <c r="W537" s="1475"/>
      <c r="X537" s="581"/>
      <c r="Y537" s="581"/>
    </row>
    <row r="538">
      <c r="A538" s="581"/>
      <c r="B538" s="1467"/>
      <c r="C538" s="581"/>
      <c r="D538" s="581"/>
      <c r="E538" s="581"/>
      <c r="F538" s="624"/>
      <c r="G538" s="581"/>
      <c r="H538" s="581"/>
      <c r="I538" s="581"/>
      <c r="J538" s="581"/>
      <c r="K538" s="581"/>
      <c r="L538" s="581"/>
      <c r="M538" s="1477"/>
      <c r="N538" s="1477"/>
      <c r="O538" s="1477"/>
      <c r="P538" s="1467"/>
      <c r="Q538" s="581"/>
      <c r="R538" s="581"/>
      <c r="S538" s="581"/>
      <c r="T538" s="581"/>
      <c r="U538" s="581"/>
      <c r="V538" s="581"/>
      <c r="W538" s="1475"/>
      <c r="X538" s="581"/>
      <c r="Y538" s="581"/>
    </row>
    <row r="539">
      <c r="A539" s="581"/>
      <c r="B539" s="1467"/>
      <c r="C539" s="581"/>
      <c r="D539" s="581"/>
      <c r="E539" s="581"/>
      <c r="F539" s="624"/>
      <c r="G539" s="581"/>
      <c r="H539" s="581"/>
      <c r="I539" s="581"/>
      <c r="J539" s="581"/>
      <c r="K539" s="581"/>
      <c r="L539" s="581"/>
      <c r="M539" s="1477"/>
      <c r="N539" s="1477"/>
      <c r="O539" s="1477"/>
      <c r="P539" s="1467"/>
      <c r="Q539" s="581"/>
      <c r="R539" s="581"/>
      <c r="S539" s="581"/>
      <c r="T539" s="581"/>
      <c r="U539" s="581"/>
      <c r="V539" s="581"/>
      <c r="W539" s="1475"/>
      <c r="X539" s="581"/>
      <c r="Y539" s="581"/>
    </row>
    <row r="540">
      <c r="A540" s="581"/>
      <c r="B540" s="1467"/>
      <c r="C540" s="581"/>
      <c r="D540" s="581"/>
      <c r="E540" s="581"/>
      <c r="F540" s="624"/>
      <c r="G540" s="581"/>
      <c r="H540" s="581"/>
      <c r="I540" s="581"/>
      <c r="J540" s="581"/>
      <c r="K540" s="581"/>
      <c r="L540" s="581"/>
      <c r="M540" s="1477"/>
      <c r="N540" s="1477"/>
      <c r="O540" s="1477"/>
      <c r="P540" s="1467"/>
      <c r="Q540" s="581"/>
      <c r="R540" s="581"/>
      <c r="S540" s="581"/>
      <c r="T540" s="581"/>
      <c r="U540" s="581"/>
      <c r="V540" s="581"/>
      <c r="W540" s="1475"/>
      <c r="X540" s="581"/>
      <c r="Y540" s="581"/>
    </row>
    <row r="541">
      <c r="A541" s="581"/>
      <c r="B541" s="1467"/>
      <c r="C541" s="581"/>
      <c r="D541" s="581"/>
      <c r="E541" s="581"/>
      <c r="F541" s="624"/>
      <c r="G541" s="581"/>
      <c r="H541" s="581"/>
      <c r="I541" s="581"/>
      <c r="J541" s="581"/>
      <c r="K541" s="581"/>
      <c r="L541" s="581"/>
      <c r="M541" s="1477"/>
      <c r="N541" s="1477"/>
      <c r="O541" s="1477"/>
      <c r="P541" s="1467"/>
      <c r="Q541" s="581"/>
      <c r="R541" s="581"/>
      <c r="S541" s="581"/>
      <c r="T541" s="581"/>
      <c r="U541" s="581"/>
      <c r="V541" s="581"/>
      <c r="W541" s="1475"/>
      <c r="X541" s="581"/>
      <c r="Y541" s="581"/>
    </row>
    <row r="542">
      <c r="A542" s="581"/>
      <c r="B542" s="1467"/>
      <c r="C542" s="581"/>
      <c r="D542" s="581"/>
      <c r="E542" s="581"/>
      <c r="F542" s="624"/>
      <c r="G542" s="581"/>
      <c r="H542" s="581"/>
      <c r="I542" s="581"/>
      <c r="J542" s="581"/>
      <c r="K542" s="581"/>
      <c r="L542" s="581"/>
      <c r="M542" s="1477"/>
      <c r="N542" s="1477"/>
      <c r="O542" s="1477"/>
      <c r="P542" s="1467"/>
      <c r="Q542" s="581"/>
      <c r="R542" s="581"/>
      <c r="S542" s="581"/>
      <c r="T542" s="581"/>
      <c r="U542" s="581"/>
      <c r="V542" s="581"/>
      <c r="W542" s="1475"/>
      <c r="X542" s="581"/>
      <c r="Y542" s="581"/>
    </row>
    <row r="543">
      <c r="A543" s="581"/>
      <c r="B543" s="1467"/>
      <c r="C543" s="581"/>
      <c r="D543" s="581"/>
      <c r="E543" s="581"/>
      <c r="F543" s="624"/>
      <c r="G543" s="581"/>
      <c r="H543" s="581"/>
      <c r="I543" s="581"/>
      <c r="J543" s="581"/>
      <c r="K543" s="581"/>
      <c r="L543" s="581"/>
      <c r="M543" s="1477"/>
      <c r="N543" s="1477"/>
      <c r="O543" s="1477"/>
      <c r="P543" s="1467"/>
      <c r="Q543" s="581"/>
      <c r="R543" s="581"/>
      <c r="S543" s="581"/>
      <c r="T543" s="581"/>
      <c r="U543" s="581"/>
      <c r="V543" s="581"/>
      <c r="W543" s="1475"/>
      <c r="X543" s="581"/>
      <c r="Y543" s="581"/>
    </row>
    <row r="544">
      <c r="A544" s="581"/>
      <c r="B544" s="1467"/>
      <c r="C544" s="581"/>
      <c r="D544" s="581"/>
      <c r="E544" s="581"/>
      <c r="F544" s="624"/>
      <c r="G544" s="581"/>
      <c r="H544" s="581"/>
      <c r="I544" s="581"/>
      <c r="J544" s="581"/>
      <c r="K544" s="581"/>
      <c r="L544" s="581"/>
      <c r="M544" s="1477"/>
      <c r="N544" s="1477"/>
      <c r="O544" s="1477"/>
      <c r="P544" s="1467"/>
      <c r="Q544" s="581"/>
      <c r="R544" s="581"/>
      <c r="S544" s="581"/>
      <c r="T544" s="581"/>
      <c r="U544" s="581"/>
      <c r="V544" s="581"/>
      <c r="W544" s="1475"/>
      <c r="X544" s="581"/>
      <c r="Y544" s="581"/>
    </row>
    <row r="545">
      <c r="A545" s="581"/>
      <c r="B545" s="1467"/>
      <c r="C545" s="581"/>
      <c r="D545" s="581"/>
      <c r="E545" s="581"/>
      <c r="F545" s="624"/>
      <c r="G545" s="581"/>
      <c r="H545" s="581"/>
      <c r="I545" s="581"/>
      <c r="J545" s="581"/>
      <c r="K545" s="581"/>
      <c r="L545" s="581"/>
      <c r="M545" s="1477"/>
      <c r="N545" s="1477"/>
      <c r="O545" s="1477"/>
      <c r="P545" s="1467"/>
      <c r="Q545" s="581"/>
      <c r="R545" s="581"/>
      <c r="S545" s="581"/>
      <c r="T545" s="581"/>
      <c r="U545" s="581"/>
      <c r="V545" s="581"/>
      <c r="W545" s="1475"/>
      <c r="X545" s="581"/>
      <c r="Y545" s="581"/>
    </row>
    <row r="546">
      <c r="A546" s="581"/>
      <c r="B546" s="1467"/>
      <c r="C546" s="581"/>
      <c r="D546" s="581"/>
      <c r="E546" s="581"/>
      <c r="F546" s="624"/>
      <c r="G546" s="581"/>
      <c r="H546" s="581"/>
      <c r="I546" s="581"/>
      <c r="J546" s="581"/>
      <c r="K546" s="581"/>
      <c r="L546" s="581"/>
      <c r="M546" s="1477"/>
      <c r="N546" s="1477"/>
      <c r="O546" s="1477"/>
      <c r="P546" s="1467"/>
      <c r="Q546" s="581"/>
      <c r="R546" s="581"/>
      <c r="S546" s="581"/>
      <c r="T546" s="581"/>
      <c r="U546" s="581"/>
      <c r="V546" s="581"/>
      <c r="W546" s="1475"/>
      <c r="X546" s="581"/>
      <c r="Y546" s="581"/>
    </row>
    <row r="547">
      <c r="A547" s="581"/>
      <c r="B547" s="1467"/>
      <c r="C547" s="581"/>
      <c r="D547" s="581"/>
      <c r="E547" s="581"/>
      <c r="F547" s="624"/>
      <c r="G547" s="581"/>
      <c r="H547" s="581"/>
      <c r="I547" s="581"/>
      <c r="J547" s="581"/>
      <c r="K547" s="581"/>
      <c r="L547" s="581"/>
      <c r="M547" s="1477"/>
      <c r="N547" s="1477"/>
      <c r="O547" s="1477"/>
      <c r="P547" s="1467"/>
      <c r="Q547" s="581"/>
      <c r="R547" s="581"/>
      <c r="S547" s="581"/>
      <c r="T547" s="581"/>
      <c r="U547" s="581"/>
      <c r="V547" s="581"/>
      <c r="W547" s="1475"/>
      <c r="X547" s="581"/>
      <c r="Y547" s="581"/>
    </row>
    <row r="548">
      <c r="A548" s="581"/>
      <c r="B548" s="1467"/>
      <c r="C548" s="581"/>
      <c r="D548" s="581"/>
      <c r="E548" s="581"/>
      <c r="F548" s="624"/>
      <c r="G548" s="581"/>
      <c r="H548" s="581"/>
      <c r="I548" s="581"/>
      <c r="J548" s="581"/>
      <c r="K548" s="581"/>
      <c r="L548" s="581"/>
      <c r="M548" s="1477"/>
      <c r="N548" s="1477"/>
      <c r="O548" s="1477"/>
      <c r="P548" s="1467"/>
      <c r="Q548" s="581"/>
      <c r="R548" s="581"/>
      <c r="S548" s="581"/>
      <c r="T548" s="581"/>
      <c r="U548" s="581"/>
      <c r="V548" s="581"/>
      <c r="W548" s="1475"/>
      <c r="X548" s="581"/>
      <c r="Y548" s="581"/>
    </row>
    <row r="549">
      <c r="A549" s="581"/>
      <c r="B549" s="1467"/>
      <c r="C549" s="581"/>
      <c r="D549" s="581"/>
      <c r="E549" s="581"/>
      <c r="F549" s="624"/>
      <c r="G549" s="581"/>
      <c r="H549" s="581"/>
      <c r="I549" s="581"/>
      <c r="J549" s="581"/>
      <c r="K549" s="581"/>
      <c r="L549" s="581"/>
      <c r="M549" s="1477"/>
      <c r="N549" s="1477"/>
      <c r="O549" s="1477"/>
      <c r="P549" s="1467"/>
      <c r="Q549" s="581"/>
      <c r="R549" s="581"/>
      <c r="S549" s="581"/>
      <c r="T549" s="581"/>
      <c r="U549" s="581"/>
      <c r="V549" s="581"/>
      <c r="W549" s="1475"/>
      <c r="X549" s="581"/>
      <c r="Y549" s="581"/>
    </row>
    <row r="550">
      <c r="A550" s="581"/>
      <c r="B550" s="1467"/>
      <c r="C550" s="581"/>
      <c r="D550" s="581"/>
      <c r="E550" s="581"/>
      <c r="F550" s="624"/>
      <c r="G550" s="581"/>
      <c r="H550" s="581"/>
      <c r="I550" s="581"/>
      <c r="J550" s="581"/>
      <c r="K550" s="581"/>
      <c r="L550" s="581"/>
      <c r="M550" s="1477"/>
      <c r="N550" s="1477"/>
      <c r="O550" s="1477"/>
      <c r="P550" s="1467"/>
      <c r="Q550" s="581"/>
      <c r="R550" s="581"/>
      <c r="S550" s="581"/>
      <c r="T550" s="581"/>
      <c r="U550" s="581"/>
      <c r="V550" s="581"/>
      <c r="W550" s="1475"/>
      <c r="X550" s="581"/>
      <c r="Y550" s="581"/>
    </row>
    <row r="551">
      <c r="A551" s="581"/>
      <c r="B551" s="1467"/>
      <c r="C551" s="581"/>
      <c r="D551" s="581"/>
      <c r="E551" s="581"/>
      <c r="F551" s="624"/>
      <c r="G551" s="581"/>
      <c r="H551" s="581"/>
      <c r="I551" s="581"/>
      <c r="J551" s="581"/>
      <c r="K551" s="581"/>
      <c r="L551" s="581"/>
      <c r="M551" s="1477"/>
      <c r="N551" s="1477"/>
      <c r="O551" s="1477"/>
      <c r="P551" s="1467"/>
      <c r="Q551" s="581"/>
      <c r="R551" s="581"/>
      <c r="S551" s="581"/>
      <c r="T551" s="581"/>
      <c r="U551" s="581"/>
      <c r="V551" s="581"/>
      <c r="W551" s="1475"/>
      <c r="X551" s="581"/>
      <c r="Y551" s="581"/>
    </row>
    <row r="552">
      <c r="A552" s="581"/>
      <c r="B552" s="1467"/>
      <c r="C552" s="581"/>
      <c r="D552" s="581"/>
      <c r="E552" s="581"/>
      <c r="F552" s="624"/>
      <c r="G552" s="581"/>
      <c r="H552" s="581"/>
      <c r="I552" s="581"/>
      <c r="J552" s="581"/>
      <c r="K552" s="581"/>
      <c r="L552" s="581"/>
      <c r="M552" s="1477"/>
      <c r="N552" s="1477"/>
      <c r="O552" s="1477"/>
      <c r="P552" s="1467"/>
      <c r="Q552" s="581"/>
      <c r="R552" s="581"/>
      <c r="S552" s="581"/>
      <c r="T552" s="581"/>
      <c r="U552" s="581"/>
      <c r="V552" s="581"/>
      <c r="W552" s="1475"/>
      <c r="X552" s="581"/>
      <c r="Y552" s="581"/>
    </row>
    <row r="553">
      <c r="A553" s="581"/>
      <c r="B553" s="1467"/>
      <c r="C553" s="581"/>
      <c r="D553" s="581"/>
      <c r="E553" s="581"/>
      <c r="F553" s="624"/>
      <c r="G553" s="581"/>
      <c r="H553" s="581"/>
      <c r="I553" s="581"/>
      <c r="J553" s="581"/>
      <c r="K553" s="581"/>
      <c r="L553" s="581"/>
      <c r="M553" s="1477"/>
      <c r="N553" s="1477"/>
      <c r="O553" s="1477"/>
      <c r="P553" s="1467"/>
      <c r="Q553" s="581"/>
      <c r="R553" s="581"/>
      <c r="S553" s="581"/>
      <c r="T553" s="581"/>
      <c r="U553" s="581"/>
      <c r="V553" s="581"/>
      <c r="W553" s="1475"/>
      <c r="X553" s="581"/>
      <c r="Y553" s="581"/>
    </row>
    <row r="554">
      <c r="A554" s="581"/>
      <c r="B554" s="1467"/>
      <c r="C554" s="581"/>
      <c r="D554" s="581"/>
      <c r="E554" s="581"/>
      <c r="F554" s="624"/>
      <c r="G554" s="581"/>
      <c r="H554" s="581"/>
      <c r="I554" s="581"/>
      <c r="J554" s="581"/>
      <c r="K554" s="581"/>
      <c r="L554" s="581"/>
      <c r="M554" s="1477"/>
      <c r="N554" s="1477"/>
      <c r="O554" s="1477"/>
      <c r="P554" s="1467"/>
      <c r="Q554" s="581"/>
      <c r="R554" s="581"/>
      <c r="S554" s="581"/>
      <c r="T554" s="581"/>
      <c r="U554" s="581"/>
      <c r="V554" s="581"/>
      <c r="W554" s="1475"/>
      <c r="X554" s="581"/>
      <c r="Y554" s="581"/>
    </row>
    <row r="555">
      <c r="A555" s="581"/>
      <c r="B555" s="1467"/>
      <c r="C555" s="581"/>
      <c r="D555" s="581"/>
      <c r="E555" s="581"/>
      <c r="F555" s="624"/>
      <c r="G555" s="581"/>
      <c r="H555" s="581"/>
      <c r="I555" s="581"/>
      <c r="J555" s="581"/>
      <c r="K555" s="581"/>
      <c r="L555" s="581"/>
      <c r="M555" s="1477"/>
      <c r="N555" s="1477"/>
      <c r="O555" s="1477"/>
      <c r="P555" s="1467"/>
      <c r="Q555" s="581"/>
      <c r="R555" s="581"/>
      <c r="S555" s="581"/>
      <c r="T555" s="581"/>
      <c r="U555" s="581"/>
      <c r="V555" s="581"/>
      <c r="W555" s="1475"/>
      <c r="X555" s="581"/>
      <c r="Y555" s="581"/>
    </row>
    <row r="556">
      <c r="A556" s="581"/>
      <c r="B556" s="1467"/>
      <c r="C556" s="581"/>
      <c r="D556" s="581"/>
      <c r="E556" s="581"/>
      <c r="F556" s="624"/>
      <c r="G556" s="581"/>
      <c r="H556" s="581"/>
      <c r="I556" s="581"/>
      <c r="J556" s="581"/>
      <c r="K556" s="581"/>
      <c r="L556" s="581"/>
      <c r="M556" s="1477"/>
      <c r="N556" s="1477"/>
      <c r="O556" s="1477"/>
      <c r="P556" s="1467"/>
      <c r="Q556" s="581"/>
      <c r="R556" s="581"/>
      <c r="S556" s="581"/>
      <c r="T556" s="581"/>
      <c r="U556" s="581"/>
      <c r="V556" s="581"/>
      <c r="W556" s="1475"/>
      <c r="X556" s="581"/>
      <c r="Y556" s="581"/>
    </row>
    <row r="557">
      <c r="A557" s="581"/>
      <c r="B557" s="1467"/>
      <c r="C557" s="581"/>
      <c r="D557" s="581"/>
      <c r="E557" s="581"/>
      <c r="F557" s="624"/>
      <c r="G557" s="581"/>
      <c r="H557" s="581"/>
      <c r="I557" s="581"/>
      <c r="J557" s="581"/>
      <c r="K557" s="581"/>
      <c r="L557" s="581"/>
      <c r="M557" s="1477"/>
      <c r="N557" s="1477"/>
      <c r="O557" s="1477"/>
      <c r="P557" s="1467"/>
      <c r="Q557" s="581"/>
      <c r="R557" s="581"/>
      <c r="S557" s="581"/>
      <c r="T557" s="581"/>
      <c r="U557" s="581"/>
      <c r="V557" s="581"/>
      <c r="W557" s="1475"/>
      <c r="X557" s="581"/>
      <c r="Y557" s="581"/>
    </row>
    <row r="558">
      <c r="A558" s="581"/>
      <c r="B558" s="1467"/>
      <c r="C558" s="581"/>
      <c r="D558" s="581"/>
      <c r="E558" s="581"/>
      <c r="F558" s="624"/>
      <c r="G558" s="581"/>
      <c r="H558" s="581"/>
      <c r="I558" s="581"/>
      <c r="J558" s="581"/>
      <c r="K558" s="581"/>
      <c r="L558" s="581"/>
      <c r="M558" s="1477"/>
      <c r="N558" s="1477"/>
      <c r="O558" s="1477"/>
      <c r="P558" s="1467"/>
      <c r="Q558" s="581"/>
      <c r="R558" s="581"/>
      <c r="S558" s="581"/>
      <c r="T558" s="581"/>
      <c r="U558" s="581"/>
      <c r="V558" s="581"/>
      <c r="W558" s="1475"/>
      <c r="X558" s="581"/>
      <c r="Y558" s="581"/>
    </row>
    <row r="559">
      <c r="A559" s="581"/>
      <c r="B559" s="1467"/>
      <c r="C559" s="581"/>
      <c r="D559" s="581"/>
      <c r="E559" s="581"/>
      <c r="F559" s="624"/>
      <c r="G559" s="581"/>
      <c r="H559" s="581"/>
      <c r="I559" s="581"/>
      <c r="J559" s="581"/>
      <c r="K559" s="581"/>
      <c r="L559" s="581"/>
      <c r="M559" s="1477"/>
      <c r="N559" s="1477"/>
      <c r="O559" s="1477"/>
      <c r="P559" s="1467"/>
      <c r="Q559" s="581"/>
      <c r="R559" s="581"/>
      <c r="S559" s="581"/>
      <c r="T559" s="581"/>
      <c r="U559" s="581"/>
      <c r="V559" s="581"/>
      <c r="W559" s="1475"/>
      <c r="X559" s="581"/>
      <c r="Y559" s="581"/>
    </row>
    <row r="560">
      <c r="A560" s="581"/>
      <c r="B560" s="1467"/>
      <c r="C560" s="581"/>
      <c r="D560" s="581"/>
      <c r="E560" s="581"/>
      <c r="F560" s="624"/>
      <c r="G560" s="581"/>
      <c r="H560" s="581"/>
      <c r="I560" s="581"/>
      <c r="J560" s="581"/>
      <c r="K560" s="581"/>
      <c r="L560" s="581"/>
      <c r="M560" s="1477"/>
      <c r="N560" s="1477"/>
      <c r="O560" s="1477"/>
      <c r="P560" s="1467"/>
      <c r="Q560" s="581"/>
      <c r="R560" s="581"/>
      <c r="S560" s="581"/>
      <c r="T560" s="581"/>
      <c r="U560" s="581"/>
      <c r="V560" s="581"/>
      <c r="W560" s="1475"/>
      <c r="X560" s="581"/>
      <c r="Y560" s="581"/>
    </row>
    <row r="561">
      <c r="A561" s="581"/>
      <c r="B561" s="1467"/>
      <c r="C561" s="581"/>
      <c r="D561" s="581"/>
      <c r="E561" s="581"/>
      <c r="F561" s="624"/>
      <c r="G561" s="581"/>
      <c r="H561" s="581"/>
      <c r="I561" s="581"/>
      <c r="J561" s="581"/>
      <c r="K561" s="581"/>
      <c r="L561" s="581"/>
      <c r="M561" s="1477"/>
      <c r="N561" s="1477"/>
      <c r="O561" s="1477"/>
      <c r="P561" s="1467"/>
      <c r="Q561" s="581"/>
      <c r="R561" s="581"/>
      <c r="S561" s="581"/>
      <c r="T561" s="581"/>
      <c r="U561" s="581"/>
      <c r="V561" s="581"/>
      <c r="W561" s="1475"/>
      <c r="X561" s="581"/>
      <c r="Y561" s="581"/>
    </row>
    <row r="562">
      <c r="A562" s="581"/>
      <c r="B562" s="1467"/>
      <c r="C562" s="581"/>
      <c r="D562" s="581"/>
      <c r="E562" s="581"/>
      <c r="F562" s="624"/>
      <c r="G562" s="581"/>
      <c r="H562" s="581"/>
      <c r="I562" s="581"/>
      <c r="J562" s="581"/>
      <c r="K562" s="581"/>
      <c r="L562" s="581"/>
      <c r="M562" s="1477"/>
      <c r="N562" s="1477"/>
      <c r="O562" s="1477"/>
      <c r="P562" s="1467"/>
      <c r="Q562" s="581"/>
      <c r="R562" s="581"/>
      <c r="S562" s="581"/>
      <c r="T562" s="581"/>
      <c r="U562" s="581"/>
      <c r="V562" s="581"/>
      <c r="W562" s="1475"/>
      <c r="X562" s="581"/>
      <c r="Y562" s="581"/>
    </row>
    <row r="563">
      <c r="A563" s="581"/>
      <c r="B563" s="1467"/>
      <c r="C563" s="581"/>
      <c r="D563" s="581"/>
      <c r="E563" s="581"/>
      <c r="F563" s="624"/>
      <c r="G563" s="581"/>
      <c r="H563" s="581"/>
      <c r="I563" s="581"/>
      <c r="J563" s="581"/>
      <c r="K563" s="581"/>
      <c r="L563" s="581"/>
      <c r="M563" s="1477"/>
      <c r="N563" s="1477"/>
      <c r="O563" s="1477"/>
      <c r="P563" s="1467"/>
      <c r="Q563" s="581"/>
      <c r="R563" s="581"/>
      <c r="S563" s="581"/>
      <c r="T563" s="581"/>
      <c r="U563" s="581"/>
      <c r="V563" s="581"/>
      <c r="W563" s="1475"/>
      <c r="X563" s="581"/>
      <c r="Y563" s="581"/>
    </row>
    <row r="564">
      <c r="A564" s="581"/>
      <c r="B564" s="1467"/>
      <c r="C564" s="581"/>
      <c r="D564" s="581"/>
      <c r="E564" s="581"/>
      <c r="F564" s="624"/>
      <c r="G564" s="581"/>
      <c r="H564" s="581"/>
      <c r="I564" s="581"/>
      <c r="J564" s="581"/>
      <c r="K564" s="581"/>
      <c r="L564" s="581"/>
      <c r="M564" s="1477"/>
      <c r="N564" s="1477"/>
      <c r="O564" s="1477"/>
      <c r="P564" s="1467"/>
      <c r="Q564" s="581"/>
      <c r="R564" s="581"/>
      <c r="S564" s="581"/>
      <c r="T564" s="581"/>
      <c r="U564" s="581"/>
      <c r="V564" s="581"/>
      <c r="W564" s="1475"/>
      <c r="X564" s="581"/>
      <c r="Y564" s="581"/>
    </row>
    <row r="565">
      <c r="A565" s="581"/>
      <c r="B565" s="1467"/>
      <c r="C565" s="581"/>
      <c r="D565" s="581"/>
      <c r="E565" s="581"/>
      <c r="F565" s="624"/>
      <c r="G565" s="581"/>
      <c r="H565" s="581"/>
      <c r="I565" s="581"/>
      <c r="J565" s="581"/>
      <c r="K565" s="581"/>
      <c r="L565" s="581"/>
      <c r="M565" s="1477"/>
      <c r="N565" s="1477"/>
      <c r="O565" s="1477"/>
      <c r="P565" s="1467"/>
      <c r="Q565" s="581"/>
      <c r="R565" s="581"/>
      <c r="S565" s="581"/>
      <c r="T565" s="581"/>
      <c r="U565" s="581"/>
      <c r="V565" s="581"/>
      <c r="W565" s="1475"/>
      <c r="X565" s="581"/>
      <c r="Y565" s="581"/>
    </row>
    <row r="566">
      <c r="A566" s="581"/>
      <c r="B566" s="1467"/>
      <c r="C566" s="581"/>
      <c r="D566" s="581"/>
      <c r="E566" s="581"/>
      <c r="F566" s="624"/>
      <c r="G566" s="581"/>
      <c r="H566" s="581"/>
      <c r="I566" s="581"/>
      <c r="J566" s="581"/>
      <c r="K566" s="581"/>
      <c r="L566" s="581"/>
      <c r="M566" s="1477"/>
      <c r="N566" s="1477"/>
      <c r="O566" s="1477"/>
      <c r="P566" s="1467"/>
      <c r="Q566" s="581"/>
      <c r="R566" s="581"/>
      <c r="S566" s="581"/>
      <c r="T566" s="581"/>
      <c r="U566" s="581"/>
      <c r="V566" s="581"/>
      <c r="W566" s="1475"/>
      <c r="X566" s="581"/>
      <c r="Y566" s="581"/>
    </row>
    <row r="567">
      <c r="A567" s="581"/>
      <c r="B567" s="1467"/>
      <c r="C567" s="581"/>
      <c r="D567" s="581"/>
      <c r="E567" s="581"/>
      <c r="F567" s="624"/>
      <c r="G567" s="581"/>
      <c r="H567" s="581"/>
      <c r="I567" s="581"/>
      <c r="J567" s="581"/>
      <c r="K567" s="581"/>
      <c r="L567" s="581"/>
      <c r="M567" s="1477"/>
      <c r="N567" s="1477"/>
      <c r="O567" s="1477"/>
      <c r="P567" s="1467"/>
      <c r="Q567" s="581"/>
      <c r="R567" s="581"/>
      <c r="S567" s="581"/>
      <c r="T567" s="581"/>
      <c r="U567" s="581"/>
      <c r="V567" s="581"/>
      <c r="W567" s="1475"/>
      <c r="X567" s="581"/>
      <c r="Y567" s="581"/>
    </row>
    <row r="568">
      <c r="A568" s="581"/>
      <c r="B568" s="1467"/>
      <c r="C568" s="581"/>
      <c r="D568" s="581"/>
      <c r="E568" s="581"/>
      <c r="F568" s="624"/>
      <c r="G568" s="581"/>
      <c r="H568" s="581"/>
      <c r="I568" s="581"/>
      <c r="J568" s="581"/>
      <c r="K568" s="581"/>
      <c r="L568" s="581"/>
      <c r="M568" s="1477"/>
      <c r="N568" s="1477"/>
      <c r="O568" s="1477"/>
      <c r="P568" s="1467"/>
      <c r="Q568" s="581"/>
      <c r="R568" s="581"/>
      <c r="S568" s="581"/>
      <c r="T568" s="581"/>
      <c r="U568" s="581"/>
      <c r="V568" s="581"/>
      <c r="W568" s="1475"/>
      <c r="X568" s="581"/>
      <c r="Y568" s="581"/>
    </row>
    <row r="569">
      <c r="A569" s="581"/>
      <c r="B569" s="1467"/>
      <c r="C569" s="581"/>
      <c r="D569" s="581"/>
      <c r="E569" s="581"/>
      <c r="F569" s="624"/>
      <c r="G569" s="581"/>
      <c r="H569" s="581"/>
      <c r="I569" s="581"/>
      <c r="J569" s="581"/>
      <c r="K569" s="581"/>
      <c r="L569" s="581"/>
      <c r="M569" s="1477"/>
      <c r="N569" s="1477"/>
      <c r="O569" s="1477"/>
      <c r="P569" s="1467"/>
      <c r="Q569" s="581"/>
      <c r="R569" s="581"/>
      <c r="S569" s="581"/>
      <c r="T569" s="581"/>
      <c r="U569" s="581"/>
      <c r="V569" s="581"/>
      <c r="W569" s="1475"/>
      <c r="X569" s="581"/>
      <c r="Y569" s="581"/>
    </row>
    <row r="570">
      <c r="A570" s="581"/>
      <c r="B570" s="1467"/>
      <c r="C570" s="581"/>
      <c r="D570" s="581"/>
      <c r="E570" s="581"/>
      <c r="F570" s="624"/>
      <c r="G570" s="581"/>
      <c r="H570" s="581"/>
      <c r="I570" s="581"/>
      <c r="J570" s="581"/>
      <c r="K570" s="581"/>
      <c r="L570" s="581"/>
      <c r="M570" s="1477"/>
      <c r="N570" s="1477"/>
      <c r="O570" s="1477"/>
      <c r="P570" s="1467"/>
      <c r="Q570" s="581"/>
      <c r="R570" s="581"/>
      <c r="S570" s="581"/>
      <c r="T570" s="581"/>
      <c r="U570" s="581"/>
      <c r="V570" s="581"/>
      <c r="W570" s="1475"/>
      <c r="X570" s="581"/>
      <c r="Y570" s="581"/>
    </row>
    <row r="571">
      <c r="A571" s="581"/>
      <c r="B571" s="1467"/>
      <c r="C571" s="581"/>
      <c r="D571" s="581"/>
      <c r="E571" s="581"/>
      <c r="F571" s="624"/>
      <c r="G571" s="581"/>
      <c r="H571" s="581"/>
      <c r="I571" s="581"/>
      <c r="J571" s="581"/>
      <c r="K571" s="581"/>
      <c r="L571" s="581"/>
      <c r="M571" s="1477"/>
      <c r="N571" s="1477"/>
      <c r="O571" s="1477"/>
      <c r="P571" s="1467"/>
      <c r="Q571" s="581"/>
      <c r="R571" s="581"/>
      <c r="S571" s="581"/>
      <c r="T571" s="581"/>
      <c r="U571" s="581"/>
      <c r="V571" s="581"/>
      <c r="W571" s="1475"/>
      <c r="X571" s="581"/>
      <c r="Y571" s="581"/>
    </row>
    <row r="572">
      <c r="A572" s="581"/>
      <c r="B572" s="1467"/>
      <c r="C572" s="581"/>
      <c r="D572" s="581"/>
      <c r="E572" s="581"/>
      <c r="F572" s="624"/>
      <c r="G572" s="581"/>
      <c r="H572" s="581"/>
      <c r="I572" s="581"/>
      <c r="J572" s="581"/>
      <c r="K572" s="581"/>
      <c r="L572" s="581"/>
      <c r="M572" s="1477"/>
      <c r="N572" s="1477"/>
      <c r="O572" s="1477"/>
      <c r="P572" s="1467"/>
      <c r="Q572" s="581"/>
      <c r="R572" s="581"/>
      <c r="S572" s="581"/>
      <c r="T572" s="581"/>
      <c r="U572" s="581"/>
      <c r="V572" s="581"/>
      <c r="W572" s="1475"/>
      <c r="X572" s="581"/>
      <c r="Y572" s="581"/>
    </row>
    <row r="573">
      <c r="A573" s="581"/>
      <c r="B573" s="1467"/>
      <c r="C573" s="581"/>
      <c r="D573" s="581"/>
      <c r="E573" s="581"/>
      <c r="F573" s="624"/>
      <c r="G573" s="581"/>
      <c r="H573" s="581"/>
      <c r="I573" s="581"/>
      <c r="J573" s="581"/>
      <c r="K573" s="581"/>
      <c r="L573" s="581"/>
      <c r="M573" s="1477"/>
      <c r="N573" s="1477"/>
      <c r="O573" s="1477"/>
      <c r="P573" s="1467"/>
      <c r="Q573" s="581"/>
      <c r="R573" s="581"/>
      <c r="S573" s="581"/>
      <c r="T573" s="581"/>
      <c r="U573" s="581"/>
      <c r="V573" s="581"/>
      <c r="W573" s="1475"/>
      <c r="X573" s="581"/>
      <c r="Y573" s="581"/>
    </row>
    <row r="574">
      <c r="A574" s="581"/>
      <c r="B574" s="1467"/>
      <c r="C574" s="581"/>
      <c r="D574" s="581"/>
      <c r="E574" s="581"/>
      <c r="F574" s="624"/>
      <c r="G574" s="581"/>
      <c r="H574" s="581"/>
      <c r="I574" s="581"/>
      <c r="J574" s="581"/>
      <c r="K574" s="581"/>
      <c r="L574" s="581"/>
      <c r="M574" s="1477"/>
      <c r="N574" s="1477"/>
      <c r="O574" s="1477"/>
      <c r="P574" s="1467"/>
      <c r="Q574" s="581"/>
      <c r="R574" s="581"/>
      <c r="S574" s="581"/>
      <c r="T574" s="581"/>
      <c r="U574" s="581"/>
      <c r="V574" s="581"/>
      <c r="W574" s="1475"/>
      <c r="X574" s="581"/>
      <c r="Y574" s="581"/>
    </row>
    <row r="575">
      <c r="A575" s="581"/>
      <c r="B575" s="1467"/>
      <c r="C575" s="581"/>
      <c r="D575" s="581"/>
      <c r="E575" s="581"/>
      <c r="F575" s="624"/>
      <c r="G575" s="581"/>
      <c r="H575" s="581"/>
      <c r="I575" s="581"/>
      <c r="J575" s="581"/>
      <c r="K575" s="581"/>
      <c r="L575" s="581"/>
      <c r="M575" s="1477"/>
      <c r="N575" s="1477"/>
      <c r="O575" s="1477"/>
      <c r="P575" s="1467"/>
      <c r="Q575" s="581"/>
      <c r="R575" s="581"/>
      <c r="S575" s="581"/>
      <c r="T575" s="581"/>
      <c r="U575" s="581"/>
      <c r="V575" s="581"/>
      <c r="W575" s="1475"/>
      <c r="X575" s="581"/>
      <c r="Y575" s="581"/>
    </row>
    <row r="576">
      <c r="A576" s="581"/>
      <c r="B576" s="1467"/>
      <c r="C576" s="581"/>
      <c r="D576" s="581"/>
      <c r="E576" s="581"/>
      <c r="F576" s="624"/>
      <c r="G576" s="581"/>
      <c r="H576" s="581"/>
      <c r="I576" s="581"/>
      <c r="J576" s="581"/>
      <c r="K576" s="581"/>
      <c r="L576" s="581"/>
      <c r="M576" s="1477"/>
      <c r="N576" s="1477"/>
      <c r="O576" s="1477"/>
      <c r="P576" s="1467"/>
      <c r="Q576" s="581"/>
      <c r="R576" s="581"/>
      <c r="S576" s="581"/>
      <c r="T576" s="581"/>
      <c r="U576" s="581"/>
      <c r="V576" s="581"/>
      <c r="W576" s="1475"/>
      <c r="X576" s="581"/>
      <c r="Y576" s="581"/>
    </row>
    <row r="577">
      <c r="A577" s="581"/>
      <c r="B577" s="1467"/>
      <c r="C577" s="581"/>
      <c r="D577" s="581"/>
      <c r="E577" s="581"/>
      <c r="F577" s="624"/>
      <c r="G577" s="581"/>
      <c r="H577" s="581"/>
      <c r="I577" s="581"/>
      <c r="J577" s="581"/>
      <c r="K577" s="581"/>
      <c r="L577" s="581"/>
      <c r="M577" s="1477"/>
      <c r="N577" s="1477"/>
      <c r="O577" s="1477"/>
      <c r="P577" s="1467"/>
      <c r="Q577" s="581"/>
      <c r="R577" s="581"/>
      <c r="S577" s="581"/>
      <c r="T577" s="581"/>
      <c r="U577" s="581"/>
      <c r="V577" s="581"/>
      <c r="W577" s="1475"/>
      <c r="X577" s="581"/>
      <c r="Y577" s="581"/>
    </row>
    <row r="578">
      <c r="A578" s="581"/>
      <c r="B578" s="1467"/>
      <c r="C578" s="581"/>
      <c r="D578" s="581"/>
      <c r="E578" s="581"/>
      <c r="F578" s="624"/>
      <c r="G578" s="581"/>
      <c r="H578" s="581"/>
      <c r="I578" s="581"/>
      <c r="J578" s="581"/>
      <c r="K578" s="581"/>
      <c r="L578" s="581"/>
      <c r="M578" s="1477"/>
      <c r="N578" s="1477"/>
      <c r="O578" s="1477"/>
      <c r="P578" s="1467"/>
      <c r="Q578" s="581"/>
      <c r="R578" s="581"/>
      <c r="S578" s="581"/>
      <c r="T578" s="581"/>
      <c r="U578" s="581"/>
      <c r="V578" s="581"/>
      <c r="W578" s="1475"/>
      <c r="X578" s="581"/>
      <c r="Y578" s="581"/>
    </row>
    <row r="579">
      <c r="A579" s="581"/>
      <c r="B579" s="1467"/>
      <c r="C579" s="581"/>
      <c r="D579" s="581"/>
      <c r="E579" s="581"/>
      <c r="F579" s="624"/>
      <c r="G579" s="581"/>
      <c r="H579" s="581"/>
      <c r="I579" s="581"/>
      <c r="J579" s="581"/>
      <c r="K579" s="581"/>
      <c r="L579" s="581"/>
      <c r="M579" s="1477"/>
      <c r="N579" s="1477"/>
      <c r="O579" s="1477"/>
      <c r="P579" s="1467"/>
      <c r="Q579" s="581"/>
      <c r="R579" s="581"/>
      <c r="S579" s="581"/>
      <c r="T579" s="581"/>
      <c r="U579" s="581"/>
      <c r="V579" s="581"/>
      <c r="W579" s="1475"/>
      <c r="X579" s="581"/>
      <c r="Y579" s="581"/>
    </row>
    <row r="580">
      <c r="A580" s="581"/>
      <c r="B580" s="1467"/>
      <c r="C580" s="581"/>
      <c r="D580" s="581"/>
      <c r="E580" s="581"/>
      <c r="F580" s="624"/>
      <c r="G580" s="581"/>
      <c r="H580" s="581"/>
      <c r="I580" s="581"/>
      <c r="J580" s="581"/>
      <c r="K580" s="581"/>
      <c r="L580" s="581"/>
      <c r="M580" s="1477"/>
      <c r="N580" s="1477"/>
      <c r="O580" s="1477"/>
      <c r="P580" s="1467"/>
      <c r="Q580" s="581"/>
      <c r="R580" s="581"/>
      <c r="S580" s="581"/>
      <c r="T580" s="581"/>
      <c r="U580" s="581"/>
      <c r="V580" s="581"/>
      <c r="W580" s="1475"/>
      <c r="X580" s="581"/>
      <c r="Y580" s="581"/>
    </row>
    <row r="581">
      <c r="A581" s="581"/>
      <c r="B581" s="1467"/>
      <c r="C581" s="581"/>
      <c r="D581" s="581"/>
      <c r="E581" s="581"/>
      <c r="F581" s="624"/>
      <c r="G581" s="581"/>
      <c r="H581" s="581"/>
      <c r="I581" s="581"/>
      <c r="J581" s="581"/>
      <c r="K581" s="581"/>
      <c r="L581" s="581"/>
      <c r="M581" s="1477"/>
      <c r="N581" s="1477"/>
      <c r="O581" s="1477"/>
      <c r="P581" s="1467"/>
      <c r="Q581" s="581"/>
      <c r="R581" s="581"/>
      <c r="S581" s="581"/>
      <c r="T581" s="581"/>
      <c r="U581" s="581"/>
      <c r="V581" s="581"/>
      <c r="W581" s="1475"/>
      <c r="X581" s="581"/>
      <c r="Y581" s="581"/>
    </row>
    <row r="582">
      <c r="A582" s="581"/>
      <c r="B582" s="1467"/>
      <c r="C582" s="581"/>
      <c r="D582" s="581"/>
      <c r="E582" s="581"/>
      <c r="F582" s="624"/>
      <c r="G582" s="581"/>
      <c r="H582" s="581"/>
      <c r="I582" s="581"/>
      <c r="J582" s="581"/>
      <c r="K582" s="581"/>
      <c r="L582" s="581"/>
      <c r="M582" s="1477"/>
      <c r="N582" s="1477"/>
      <c r="O582" s="1477"/>
      <c r="P582" s="1467"/>
      <c r="Q582" s="581"/>
      <c r="R582" s="581"/>
      <c r="S582" s="581"/>
      <c r="T582" s="581"/>
      <c r="U582" s="581"/>
      <c r="V582" s="581"/>
      <c r="W582" s="1475"/>
      <c r="X582" s="581"/>
      <c r="Y582" s="581"/>
    </row>
    <row r="583">
      <c r="A583" s="581"/>
      <c r="B583" s="1467"/>
      <c r="C583" s="581"/>
      <c r="D583" s="581"/>
      <c r="E583" s="581"/>
      <c r="F583" s="624"/>
      <c r="G583" s="581"/>
      <c r="H583" s="581"/>
      <c r="I583" s="581"/>
      <c r="J583" s="581"/>
      <c r="K583" s="581"/>
      <c r="L583" s="581"/>
      <c r="M583" s="1477"/>
      <c r="N583" s="1477"/>
      <c r="O583" s="1477"/>
      <c r="P583" s="1467"/>
      <c r="Q583" s="581"/>
      <c r="R583" s="581"/>
      <c r="S583" s="581"/>
      <c r="T583" s="581"/>
      <c r="U583" s="581"/>
      <c r="V583" s="581"/>
      <c r="W583" s="1475"/>
      <c r="X583" s="581"/>
      <c r="Y583" s="581"/>
    </row>
    <row r="584">
      <c r="A584" s="581"/>
      <c r="B584" s="1467"/>
      <c r="C584" s="581"/>
      <c r="D584" s="581"/>
      <c r="E584" s="581"/>
      <c r="F584" s="624"/>
      <c r="G584" s="581"/>
      <c r="H584" s="581"/>
      <c r="I584" s="581"/>
      <c r="J584" s="581"/>
      <c r="K584" s="581"/>
      <c r="L584" s="581"/>
      <c r="M584" s="1477"/>
      <c r="N584" s="1477"/>
      <c r="O584" s="1477"/>
      <c r="P584" s="1467"/>
      <c r="Q584" s="581"/>
      <c r="R584" s="581"/>
      <c r="S584" s="581"/>
      <c r="T584" s="581"/>
      <c r="U584" s="581"/>
      <c r="V584" s="581"/>
      <c r="W584" s="1475"/>
      <c r="X584" s="581"/>
      <c r="Y584" s="581"/>
    </row>
    <row r="585">
      <c r="A585" s="581"/>
      <c r="B585" s="1467"/>
      <c r="C585" s="581"/>
      <c r="D585" s="581"/>
      <c r="E585" s="581"/>
      <c r="F585" s="624"/>
      <c r="G585" s="581"/>
      <c r="H585" s="581"/>
      <c r="I585" s="581"/>
      <c r="J585" s="581"/>
      <c r="K585" s="581"/>
      <c r="L585" s="581"/>
      <c r="M585" s="1477"/>
      <c r="N585" s="1477"/>
      <c r="O585" s="1477"/>
      <c r="P585" s="1467"/>
      <c r="Q585" s="581"/>
      <c r="R585" s="581"/>
      <c r="S585" s="581"/>
      <c r="T585" s="581"/>
      <c r="U585" s="581"/>
      <c r="V585" s="581"/>
      <c r="W585" s="1475"/>
      <c r="X585" s="581"/>
      <c r="Y585" s="581"/>
    </row>
    <row r="586">
      <c r="A586" s="581"/>
      <c r="B586" s="1467"/>
      <c r="C586" s="581"/>
      <c r="D586" s="581"/>
      <c r="E586" s="581"/>
      <c r="F586" s="624"/>
      <c r="G586" s="581"/>
      <c r="H586" s="581"/>
      <c r="I586" s="581"/>
      <c r="J586" s="581"/>
      <c r="K586" s="581"/>
      <c r="L586" s="581"/>
      <c r="M586" s="1477"/>
      <c r="N586" s="1477"/>
      <c r="O586" s="1477"/>
      <c r="P586" s="1467"/>
      <c r="Q586" s="581"/>
      <c r="R586" s="581"/>
      <c r="S586" s="581"/>
      <c r="T586" s="581"/>
      <c r="U586" s="581"/>
      <c r="V586" s="581"/>
      <c r="W586" s="1475"/>
      <c r="X586" s="581"/>
      <c r="Y586" s="581"/>
    </row>
    <row r="587">
      <c r="A587" s="581"/>
      <c r="B587" s="1467"/>
      <c r="C587" s="581"/>
      <c r="D587" s="581"/>
      <c r="E587" s="581"/>
      <c r="F587" s="624"/>
      <c r="G587" s="581"/>
      <c r="H587" s="581"/>
      <c r="I587" s="581"/>
      <c r="J587" s="581"/>
      <c r="K587" s="581"/>
      <c r="L587" s="581"/>
      <c r="M587" s="1477"/>
      <c r="N587" s="1477"/>
      <c r="O587" s="1477"/>
      <c r="P587" s="1467"/>
      <c r="Q587" s="581"/>
      <c r="R587" s="581"/>
      <c r="S587" s="581"/>
      <c r="T587" s="581"/>
      <c r="U587" s="581"/>
      <c r="V587" s="581"/>
      <c r="W587" s="1475"/>
      <c r="X587" s="581"/>
      <c r="Y587" s="581"/>
    </row>
    <row r="588">
      <c r="A588" s="581"/>
      <c r="B588" s="1467"/>
      <c r="C588" s="581"/>
      <c r="D588" s="581"/>
      <c r="E588" s="581"/>
      <c r="F588" s="624"/>
      <c r="G588" s="581"/>
      <c r="H588" s="581"/>
      <c r="I588" s="581"/>
      <c r="J588" s="581"/>
      <c r="K588" s="581"/>
      <c r="L588" s="581"/>
      <c r="M588" s="1477"/>
      <c r="N588" s="1477"/>
      <c r="O588" s="1477"/>
      <c r="P588" s="1467"/>
      <c r="Q588" s="581"/>
      <c r="R588" s="581"/>
      <c r="S588" s="581"/>
      <c r="T588" s="581"/>
      <c r="U588" s="581"/>
      <c r="V588" s="581"/>
      <c r="W588" s="1475"/>
      <c r="X588" s="581"/>
      <c r="Y588" s="581"/>
    </row>
    <row r="589">
      <c r="A589" s="581"/>
      <c r="B589" s="1467"/>
      <c r="C589" s="581"/>
      <c r="D589" s="581"/>
      <c r="E589" s="581"/>
      <c r="F589" s="624"/>
      <c r="G589" s="581"/>
      <c r="H589" s="581"/>
      <c r="I589" s="581"/>
      <c r="J589" s="581"/>
      <c r="K589" s="581"/>
      <c r="L589" s="581"/>
      <c r="M589" s="1477"/>
      <c r="N589" s="1477"/>
      <c r="O589" s="1477"/>
      <c r="P589" s="1467"/>
      <c r="Q589" s="581"/>
      <c r="R589" s="581"/>
      <c r="S589" s="581"/>
      <c r="T589" s="581"/>
      <c r="U589" s="581"/>
      <c r="V589" s="581"/>
      <c r="W589" s="1475"/>
      <c r="X589" s="581"/>
      <c r="Y589" s="581"/>
    </row>
    <row r="590">
      <c r="A590" s="581"/>
      <c r="B590" s="1467"/>
      <c r="C590" s="581"/>
      <c r="D590" s="581"/>
      <c r="E590" s="581"/>
      <c r="F590" s="624"/>
      <c r="G590" s="581"/>
      <c r="H590" s="581"/>
      <c r="I590" s="581"/>
      <c r="J590" s="581"/>
      <c r="K590" s="581"/>
      <c r="L590" s="581"/>
      <c r="M590" s="1477"/>
      <c r="N590" s="1477"/>
      <c r="O590" s="1477"/>
      <c r="P590" s="1467"/>
      <c r="Q590" s="581"/>
      <c r="R590" s="581"/>
      <c r="S590" s="581"/>
      <c r="T590" s="581"/>
      <c r="U590" s="581"/>
      <c r="V590" s="581"/>
      <c r="W590" s="1475"/>
      <c r="X590" s="581"/>
      <c r="Y590" s="581"/>
    </row>
    <row r="591">
      <c r="A591" s="581"/>
      <c r="B591" s="1467"/>
      <c r="C591" s="581"/>
      <c r="D591" s="581"/>
      <c r="E591" s="581"/>
      <c r="F591" s="624"/>
      <c r="G591" s="581"/>
      <c r="H591" s="581"/>
      <c r="I591" s="581"/>
      <c r="J591" s="581"/>
      <c r="K591" s="581"/>
      <c r="L591" s="581"/>
      <c r="M591" s="1477"/>
      <c r="N591" s="1477"/>
      <c r="O591" s="1477"/>
      <c r="P591" s="1467"/>
      <c r="Q591" s="581"/>
      <c r="R591" s="581"/>
      <c r="S591" s="581"/>
      <c r="T591" s="581"/>
      <c r="U591" s="581"/>
      <c r="V591" s="581"/>
      <c r="W591" s="1475"/>
      <c r="X591" s="581"/>
      <c r="Y591" s="581"/>
    </row>
    <row r="592">
      <c r="A592" s="581"/>
      <c r="B592" s="1467"/>
      <c r="C592" s="581"/>
      <c r="D592" s="581"/>
      <c r="E592" s="581"/>
      <c r="F592" s="624"/>
      <c r="G592" s="581"/>
      <c r="H592" s="581"/>
      <c r="I592" s="581"/>
      <c r="J592" s="581"/>
      <c r="K592" s="581"/>
      <c r="L592" s="581"/>
      <c r="M592" s="1477"/>
      <c r="N592" s="1477"/>
      <c r="O592" s="1477"/>
      <c r="P592" s="1467"/>
      <c r="Q592" s="581"/>
      <c r="R592" s="581"/>
      <c r="S592" s="581"/>
      <c r="T592" s="581"/>
      <c r="U592" s="581"/>
      <c r="V592" s="581"/>
      <c r="W592" s="1475"/>
      <c r="X592" s="581"/>
      <c r="Y592" s="581"/>
    </row>
    <row r="593">
      <c r="A593" s="581"/>
      <c r="B593" s="1467"/>
      <c r="C593" s="581"/>
      <c r="D593" s="581"/>
      <c r="E593" s="581"/>
      <c r="F593" s="624"/>
      <c r="G593" s="581"/>
      <c r="H593" s="581"/>
      <c r="I593" s="581"/>
      <c r="J593" s="581"/>
      <c r="K593" s="581"/>
      <c r="L593" s="581"/>
      <c r="M593" s="1477"/>
      <c r="N593" s="1477"/>
      <c r="O593" s="1477"/>
      <c r="P593" s="1467"/>
      <c r="Q593" s="581"/>
      <c r="R593" s="581"/>
      <c r="S593" s="581"/>
      <c r="T593" s="581"/>
      <c r="U593" s="581"/>
      <c r="V593" s="581"/>
      <c r="W593" s="1475"/>
      <c r="X593" s="581"/>
      <c r="Y593" s="581"/>
    </row>
    <row r="594">
      <c r="A594" s="581"/>
      <c r="B594" s="1467"/>
      <c r="C594" s="581"/>
      <c r="D594" s="581"/>
      <c r="E594" s="581"/>
      <c r="F594" s="624"/>
      <c r="G594" s="581"/>
      <c r="H594" s="581"/>
      <c r="I594" s="581"/>
      <c r="J594" s="581"/>
      <c r="K594" s="581"/>
      <c r="L594" s="581"/>
      <c r="M594" s="1477"/>
      <c r="N594" s="1477"/>
      <c r="O594" s="1477"/>
      <c r="P594" s="1467"/>
      <c r="Q594" s="581"/>
      <c r="R594" s="581"/>
      <c r="S594" s="581"/>
      <c r="T594" s="581"/>
      <c r="U594" s="581"/>
      <c r="V594" s="581"/>
      <c r="W594" s="1475"/>
      <c r="X594" s="581"/>
      <c r="Y594" s="581"/>
    </row>
    <row r="595">
      <c r="A595" s="581"/>
      <c r="B595" s="1467"/>
      <c r="C595" s="581"/>
      <c r="D595" s="581"/>
      <c r="E595" s="581"/>
      <c r="F595" s="624"/>
      <c r="G595" s="581"/>
      <c r="H595" s="581"/>
      <c r="I595" s="581"/>
      <c r="J595" s="581"/>
      <c r="K595" s="581"/>
      <c r="L595" s="581"/>
      <c r="M595" s="1477"/>
      <c r="N595" s="1477"/>
      <c r="O595" s="1477"/>
      <c r="P595" s="1467"/>
      <c r="Q595" s="581"/>
      <c r="R595" s="581"/>
      <c r="S595" s="581"/>
      <c r="T595" s="581"/>
      <c r="U595" s="581"/>
      <c r="V595" s="581"/>
      <c r="W595" s="1475"/>
      <c r="X595" s="581"/>
      <c r="Y595" s="581"/>
    </row>
    <row r="596">
      <c r="A596" s="581"/>
      <c r="B596" s="1467"/>
      <c r="C596" s="581"/>
      <c r="D596" s="581"/>
      <c r="E596" s="581"/>
      <c r="F596" s="624"/>
      <c r="G596" s="581"/>
      <c r="H596" s="581"/>
      <c r="I596" s="581"/>
      <c r="J596" s="581"/>
      <c r="K596" s="581"/>
      <c r="L596" s="581"/>
      <c r="M596" s="1477"/>
      <c r="N596" s="1477"/>
      <c r="O596" s="1477"/>
      <c r="P596" s="1467"/>
      <c r="Q596" s="581"/>
      <c r="R596" s="581"/>
      <c r="S596" s="581"/>
      <c r="T596" s="581"/>
      <c r="U596" s="581"/>
      <c r="V596" s="581"/>
      <c r="W596" s="1475"/>
      <c r="X596" s="581"/>
      <c r="Y596" s="581"/>
    </row>
    <row r="597">
      <c r="A597" s="581"/>
      <c r="B597" s="1467"/>
      <c r="C597" s="581"/>
      <c r="D597" s="581"/>
      <c r="E597" s="581"/>
      <c r="F597" s="624"/>
      <c r="G597" s="581"/>
      <c r="H597" s="581"/>
      <c r="I597" s="581"/>
      <c r="J597" s="581"/>
      <c r="K597" s="581"/>
      <c r="L597" s="581"/>
      <c r="M597" s="1477"/>
      <c r="N597" s="1477"/>
      <c r="O597" s="1477"/>
      <c r="P597" s="1467"/>
      <c r="Q597" s="581"/>
      <c r="R597" s="581"/>
      <c r="S597" s="581"/>
      <c r="T597" s="581"/>
      <c r="U597" s="581"/>
      <c r="V597" s="581"/>
      <c r="W597" s="1475"/>
      <c r="X597" s="581"/>
      <c r="Y597" s="581"/>
    </row>
    <row r="598">
      <c r="A598" s="581"/>
      <c r="B598" s="1467"/>
      <c r="C598" s="581"/>
      <c r="D598" s="581"/>
      <c r="E598" s="581"/>
      <c r="F598" s="624"/>
      <c r="G598" s="581"/>
      <c r="H598" s="581"/>
      <c r="I598" s="581"/>
      <c r="J598" s="581"/>
      <c r="K598" s="581"/>
      <c r="L598" s="581"/>
      <c r="M598" s="1477"/>
      <c r="N598" s="1477"/>
      <c r="O598" s="1477"/>
      <c r="P598" s="1467"/>
      <c r="Q598" s="581"/>
      <c r="R598" s="581"/>
      <c r="S598" s="581"/>
      <c r="T598" s="581"/>
      <c r="U598" s="581"/>
      <c r="V598" s="581"/>
      <c r="W598" s="1475"/>
      <c r="X598" s="581"/>
      <c r="Y598" s="581"/>
    </row>
    <row r="599">
      <c r="A599" s="581"/>
      <c r="B599" s="1467"/>
      <c r="C599" s="581"/>
      <c r="D599" s="581"/>
      <c r="E599" s="581"/>
      <c r="F599" s="624"/>
      <c r="G599" s="581"/>
      <c r="H599" s="581"/>
      <c r="I599" s="581"/>
      <c r="J599" s="581"/>
      <c r="K599" s="581"/>
      <c r="L599" s="581"/>
      <c r="M599" s="1477"/>
      <c r="N599" s="1477"/>
      <c r="O599" s="1477"/>
      <c r="P599" s="1467"/>
      <c r="Q599" s="581"/>
      <c r="R599" s="581"/>
      <c r="S599" s="581"/>
      <c r="T599" s="581"/>
      <c r="U599" s="581"/>
      <c r="V599" s="581"/>
      <c r="W599" s="1475"/>
      <c r="X599" s="581"/>
      <c r="Y599" s="581"/>
    </row>
    <row r="600">
      <c r="A600" s="581"/>
      <c r="B600" s="1467"/>
      <c r="C600" s="581"/>
      <c r="D600" s="581"/>
      <c r="E600" s="581"/>
      <c r="F600" s="624"/>
      <c r="G600" s="581"/>
      <c r="H600" s="581"/>
      <c r="I600" s="581"/>
      <c r="J600" s="581"/>
      <c r="K600" s="581"/>
      <c r="L600" s="581"/>
      <c r="M600" s="1477"/>
      <c r="N600" s="1477"/>
      <c r="O600" s="1477"/>
      <c r="P600" s="1467"/>
      <c r="Q600" s="581"/>
      <c r="R600" s="581"/>
      <c r="S600" s="581"/>
      <c r="T600" s="581"/>
      <c r="U600" s="581"/>
      <c r="V600" s="581"/>
      <c r="W600" s="1475"/>
      <c r="X600" s="581"/>
      <c r="Y600" s="581"/>
    </row>
    <row r="601">
      <c r="A601" s="581"/>
      <c r="B601" s="1467"/>
      <c r="C601" s="581"/>
      <c r="D601" s="581"/>
      <c r="E601" s="581"/>
      <c r="F601" s="624"/>
      <c r="G601" s="581"/>
      <c r="H601" s="581"/>
      <c r="I601" s="581"/>
      <c r="J601" s="581"/>
      <c r="K601" s="581"/>
      <c r="L601" s="581"/>
      <c r="M601" s="1477"/>
      <c r="N601" s="1477"/>
      <c r="O601" s="1477"/>
      <c r="P601" s="1467"/>
      <c r="Q601" s="581"/>
      <c r="R601" s="581"/>
      <c r="S601" s="581"/>
      <c r="T601" s="581"/>
      <c r="U601" s="581"/>
      <c r="V601" s="581"/>
      <c r="W601" s="1475"/>
      <c r="X601" s="581"/>
      <c r="Y601" s="581"/>
    </row>
    <row r="602">
      <c r="A602" s="581"/>
      <c r="B602" s="1467"/>
      <c r="C602" s="581"/>
      <c r="D602" s="581"/>
      <c r="E602" s="581"/>
      <c r="F602" s="624"/>
      <c r="G602" s="581"/>
      <c r="H602" s="581"/>
      <c r="I602" s="581"/>
      <c r="J602" s="581"/>
      <c r="K602" s="581"/>
      <c r="L602" s="581"/>
      <c r="M602" s="1477"/>
      <c r="N602" s="1477"/>
      <c r="O602" s="1477"/>
      <c r="P602" s="1467"/>
      <c r="Q602" s="581"/>
      <c r="R602" s="581"/>
      <c r="S602" s="581"/>
      <c r="T602" s="581"/>
      <c r="U602" s="581"/>
      <c r="V602" s="581"/>
      <c r="W602" s="1475"/>
      <c r="X602" s="581"/>
      <c r="Y602" s="581"/>
    </row>
    <row r="603">
      <c r="A603" s="581"/>
      <c r="B603" s="1467"/>
      <c r="C603" s="581"/>
      <c r="D603" s="581"/>
      <c r="E603" s="581"/>
      <c r="F603" s="624"/>
      <c r="G603" s="581"/>
      <c r="H603" s="581"/>
      <c r="I603" s="581"/>
      <c r="J603" s="581"/>
      <c r="K603" s="581"/>
      <c r="L603" s="581"/>
      <c r="M603" s="1477"/>
      <c r="N603" s="1477"/>
      <c r="O603" s="1477"/>
      <c r="P603" s="1467"/>
      <c r="Q603" s="581"/>
      <c r="R603" s="581"/>
      <c r="S603" s="581"/>
      <c r="T603" s="581"/>
      <c r="U603" s="581"/>
      <c r="V603" s="581"/>
      <c r="W603" s="1475"/>
      <c r="X603" s="581"/>
      <c r="Y603" s="581"/>
    </row>
    <row r="604">
      <c r="A604" s="581"/>
      <c r="B604" s="1467"/>
      <c r="C604" s="581"/>
      <c r="D604" s="581"/>
      <c r="E604" s="581"/>
      <c r="F604" s="624"/>
      <c r="G604" s="581"/>
      <c r="H604" s="581"/>
      <c r="I604" s="581"/>
      <c r="J604" s="581"/>
      <c r="K604" s="581"/>
      <c r="L604" s="581"/>
      <c r="M604" s="1477"/>
      <c r="N604" s="1477"/>
      <c r="O604" s="1477"/>
      <c r="P604" s="1467"/>
      <c r="Q604" s="581"/>
      <c r="R604" s="581"/>
      <c r="S604" s="581"/>
      <c r="T604" s="581"/>
      <c r="U604" s="581"/>
      <c r="V604" s="581"/>
      <c r="W604" s="1475"/>
      <c r="X604" s="581"/>
      <c r="Y604" s="581"/>
    </row>
    <row r="605">
      <c r="A605" s="581"/>
      <c r="B605" s="1467"/>
      <c r="C605" s="581"/>
      <c r="D605" s="581"/>
      <c r="E605" s="581"/>
      <c r="F605" s="624"/>
      <c r="G605" s="581"/>
      <c r="H605" s="581"/>
      <c r="I605" s="581"/>
      <c r="J605" s="581"/>
      <c r="K605" s="581"/>
      <c r="L605" s="581"/>
      <c r="M605" s="1477"/>
      <c r="N605" s="1477"/>
      <c r="O605" s="1477"/>
      <c r="P605" s="1467"/>
      <c r="Q605" s="581"/>
      <c r="R605" s="581"/>
      <c r="S605" s="581"/>
      <c r="T605" s="581"/>
      <c r="U605" s="581"/>
      <c r="V605" s="581"/>
      <c r="W605" s="1475"/>
      <c r="X605" s="581"/>
      <c r="Y605" s="581"/>
    </row>
    <row r="606">
      <c r="A606" s="581"/>
      <c r="B606" s="1467"/>
      <c r="C606" s="581"/>
      <c r="D606" s="581"/>
      <c r="E606" s="581"/>
      <c r="F606" s="624"/>
      <c r="G606" s="581"/>
      <c r="H606" s="581"/>
      <c r="I606" s="581"/>
      <c r="J606" s="581"/>
      <c r="K606" s="581"/>
      <c r="L606" s="581"/>
      <c r="M606" s="1477"/>
      <c r="N606" s="1477"/>
      <c r="O606" s="1477"/>
      <c r="P606" s="1467"/>
      <c r="Q606" s="581"/>
      <c r="R606" s="581"/>
      <c r="S606" s="581"/>
      <c r="T606" s="581"/>
      <c r="U606" s="581"/>
      <c r="V606" s="581"/>
      <c r="W606" s="1475"/>
      <c r="X606" s="581"/>
      <c r="Y606" s="581"/>
    </row>
    <row r="607">
      <c r="A607" s="581"/>
      <c r="B607" s="1467"/>
      <c r="C607" s="581"/>
      <c r="D607" s="581"/>
      <c r="E607" s="581"/>
      <c r="F607" s="624"/>
      <c r="G607" s="581"/>
      <c r="H607" s="581"/>
      <c r="I607" s="581"/>
      <c r="J607" s="581"/>
      <c r="K607" s="581"/>
      <c r="L607" s="581"/>
      <c r="M607" s="1477"/>
      <c r="N607" s="1477"/>
      <c r="O607" s="1477"/>
      <c r="P607" s="1467"/>
      <c r="Q607" s="581"/>
      <c r="R607" s="581"/>
      <c r="S607" s="581"/>
      <c r="T607" s="581"/>
      <c r="U607" s="581"/>
      <c r="V607" s="581"/>
      <c r="W607" s="1475"/>
      <c r="X607" s="581"/>
      <c r="Y607" s="581"/>
    </row>
    <row r="608">
      <c r="A608" s="581"/>
      <c r="B608" s="1467"/>
      <c r="C608" s="581"/>
      <c r="D608" s="581"/>
      <c r="E608" s="581"/>
      <c r="F608" s="624"/>
      <c r="G608" s="581"/>
      <c r="H608" s="581"/>
      <c r="I608" s="581"/>
      <c r="J608" s="581"/>
      <c r="K608" s="581"/>
      <c r="L608" s="581"/>
      <c r="M608" s="1477"/>
      <c r="N608" s="1477"/>
      <c r="O608" s="1477"/>
      <c r="P608" s="1467"/>
      <c r="Q608" s="581"/>
      <c r="R608" s="581"/>
      <c r="S608" s="581"/>
      <c r="T608" s="581"/>
      <c r="U608" s="581"/>
      <c r="V608" s="581"/>
      <c r="W608" s="1475"/>
      <c r="X608" s="581"/>
      <c r="Y608" s="581"/>
    </row>
    <row r="609">
      <c r="A609" s="581"/>
      <c r="B609" s="1467"/>
      <c r="C609" s="581"/>
      <c r="D609" s="581"/>
      <c r="E609" s="581"/>
      <c r="F609" s="624"/>
      <c r="G609" s="581"/>
      <c r="H609" s="581"/>
      <c r="I609" s="581"/>
      <c r="J609" s="581"/>
      <c r="K609" s="581"/>
      <c r="L609" s="581"/>
      <c r="M609" s="1477"/>
      <c r="N609" s="1477"/>
      <c r="O609" s="1477"/>
      <c r="P609" s="1467"/>
      <c r="Q609" s="581"/>
      <c r="R609" s="581"/>
      <c r="S609" s="581"/>
      <c r="T609" s="581"/>
      <c r="U609" s="581"/>
      <c r="V609" s="581"/>
      <c r="W609" s="1475"/>
      <c r="X609" s="581"/>
      <c r="Y609" s="581"/>
    </row>
    <row r="610">
      <c r="A610" s="581"/>
      <c r="B610" s="1467"/>
      <c r="C610" s="581"/>
      <c r="D610" s="581"/>
      <c r="E610" s="581"/>
      <c r="F610" s="624"/>
      <c r="G610" s="581"/>
      <c r="H610" s="581"/>
      <c r="I610" s="581"/>
      <c r="J610" s="581"/>
      <c r="K610" s="581"/>
      <c r="L610" s="581"/>
      <c r="M610" s="1477"/>
      <c r="N610" s="1477"/>
      <c r="O610" s="1477"/>
      <c r="P610" s="1467"/>
      <c r="Q610" s="581"/>
      <c r="R610" s="581"/>
      <c r="S610" s="581"/>
      <c r="T610" s="581"/>
      <c r="U610" s="581"/>
      <c r="V610" s="581"/>
      <c r="W610" s="1475"/>
      <c r="X610" s="581"/>
      <c r="Y610" s="581"/>
    </row>
    <row r="611">
      <c r="A611" s="581"/>
      <c r="B611" s="1467"/>
      <c r="C611" s="581"/>
      <c r="D611" s="581"/>
      <c r="E611" s="581"/>
      <c r="F611" s="624"/>
      <c r="G611" s="581"/>
      <c r="H611" s="581"/>
      <c r="I611" s="581"/>
      <c r="J611" s="581"/>
      <c r="K611" s="581"/>
      <c r="L611" s="581"/>
      <c r="M611" s="1477"/>
      <c r="N611" s="1477"/>
      <c r="O611" s="1477"/>
      <c r="P611" s="1467"/>
      <c r="Q611" s="581"/>
      <c r="R611" s="581"/>
      <c r="S611" s="581"/>
      <c r="T611" s="581"/>
      <c r="U611" s="581"/>
      <c r="V611" s="581"/>
      <c r="W611" s="1475"/>
      <c r="X611" s="581"/>
      <c r="Y611" s="581"/>
    </row>
    <row r="612">
      <c r="A612" s="581"/>
      <c r="B612" s="1467"/>
      <c r="C612" s="581"/>
      <c r="D612" s="581"/>
      <c r="E612" s="581"/>
      <c r="F612" s="624"/>
      <c r="G612" s="581"/>
      <c r="H612" s="581"/>
      <c r="I612" s="581"/>
      <c r="J612" s="581"/>
      <c r="K612" s="581"/>
      <c r="L612" s="581"/>
      <c r="M612" s="1477"/>
      <c r="N612" s="1477"/>
      <c r="O612" s="1477"/>
      <c r="P612" s="1467"/>
      <c r="Q612" s="581"/>
      <c r="R612" s="581"/>
      <c r="S612" s="581"/>
      <c r="T612" s="581"/>
      <c r="U612" s="581"/>
      <c r="V612" s="581"/>
      <c r="W612" s="1475"/>
      <c r="X612" s="581"/>
      <c r="Y612" s="581"/>
    </row>
    <row r="613">
      <c r="A613" s="581"/>
      <c r="B613" s="1467"/>
      <c r="C613" s="581"/>
      <c r="D613" s="581"/>
      <c r="E613" s="581"/>
      <c r="F613" s="624"/>
      <c r="G613" s="581"/>
      <c r="H613" s="581"/>
      <c r="I613" s="581"/>
      <c r="J613" s="581"/>
      <c r="K613" s="581"/>
      <c r="L613" s="581"/>
      <c r="M613" s="1477"/>
      <c r="N613" s="1477"/>
      <c r="O613" s="1477"/>
      <c r="P613" s="1467"/>
      <c r="Q613" s="581"/>
      <c r="R613" s="581"/>
      <c r="S613" s="581"/>
      <c r="T613" s="581"/>
      <c r="U613" s="581"/>
      <c r="V613" s="581"/>
      <c r="W613" s="1475"/>
      <c r="X613" s="581"/>
      <c r="Y613" s="581"/>
    </row>
    <row r="614">
      <c r="A614" s="581"/>
      <c r="B614" s="1467"/>
      <c r="C614" s="581"/>
      <c r="D614" s="581"/>
      <c r="E614" s="581"/>
      <c r="F614" s="624"/>
      <c r="G614" s="581"/>
      <c r="H614" s="581"/>
      <c r="I614" s="581"/>
      <c r="J614" s="581"/>
      <c r="K614" s="581"/>
      <c r="L614" s="581"/>
      <c r="M614" s="1477"/>
      <c r="N614" s="1477"/>
      <c r="O614" s="1477"/>
      <c r="P614" s="1467"/>
      <c r="Q614" s="581"/>
      <c r="R614" s="581"/>
      <c r="S614" s="581"/>
      <c r="T614" s="581"/>
      <c r="U614" s="581"/>
      <c r="V614" s="581"/>
      <c r="W614" s="1475"/>
      <c r="X614" s="581"/>
      <c r="Y614" s="581"/>
    </row>
    <row r="615">
      <c r="A615" s="581"/>
      <c r="B615" s="1467"/>
      <c r="C615" s="581"/>
      <c r="D615" s="581"/>
      <c r="E615" s="581"/>
      <c r="F615" s="624"/>
      <c r="G615" s="581"/>
      <c r="H615" s="581"/>
      <c r="I615" s="581"/>
      <c r="J615" s="581"/>
      <c r="K615" s="581"/>
      <c r="L615" s="581"/>
      <c r="M615" s="1477"/>
      <c r="N615" s="1477"/>
      <c r="O615" s="1477"/>
      <c r="P615" s="1467"/>
      <c r="Q615" s="581"/>
      <c r="R615" s="581"/>
      <c r="S615" s="581"/>
      <c r="T615" s="581"/>
      <c r="U615" s="581"/>
      <c r="V615" s="581"/>
      <c r="W615" s="1475"/>
      <c r="X615" s="581"/>
      <c r="Y615" s="581"/>
    </row>
    <row r="616">
      <c r="A616" s="581"/>
      <c r="B616" s="1467"/>
      <c r="C616" s="581"/>
      <c r="D616" s="581"/>
      <c r="E616" s="581"/>
      <c r="F616" s="624"/>
      <c r="G616" s="581"/>
      <c r="H616" s="581"/>
      <c r="I616" s="581"/>
      <c r="J616" s="581"/>
      <c r="K616" s="581"/>
      <c r="L616" s="581"/>
      <c r="M616" s="1477"/>
      <c r="N616" s="1477"/>
      <c r="O616" s="1477"/>
      <c r="P616" s="1467"/>
      <c r="Q616" s="581"/>
      <c r="R616" s="581"/>
      <c r="S616" s="581"/>
      <c r="T616" s="581"/>
      <c r="U616" s="581"/>
      <c r="V616" s="581"/>
      <c r="W616" s="1475"/>
      <c r="X616" s="581"/>
      <c r="Y616" s="581"/>
    </row>
    <row r="617">
      <c r="A617" s="581"/>
      <c r="B617" s="1467"/>
      <c r="C617" s="581"/>
      <c r="D617" s="581"/>
      <c r="E617" s="581"/>
      <c r="F617" s="624"/>
      <c r="G617" s="581"/>
      <c r="H617" s="581"/>
      <c r="I617" s="581"/>
      <c r="J617" s="581"/>
      <c r="K617" s="581"/>
      <c r="L617" s="581"/>
      <c r="M617" s="1477"/>
      <c r="N617" s="1477"/>
      <c r="O617" s="1477"/>
      <c r="P617" s="1467"/>
      <c r="Q617" s="581"/>
      <c r="R617" s="581"/>
      <c r="S617" s="581"/>
      <c r="T617" s="581"/>
      <c r="U617" s="581"/>
      <c r="V617" s="581"/>
      <c r="W617" s="1475"/>
      <c r="X617" s="581"/>
      <c r="Y617" s="581"/>
    </row>
    <row r="618">
      <c r="A618" s="581"/>
      <c r="B618" s="1467"/>
      <c r="C618" s="581"/>
      <c r="D618" s="581"/>
      <c r="E618" s="581"/>
      <c r="F618" s="624"/>
      <c r="G618" s="581"/>
      <c r="H618" s="581"/>
      <c r="I618" s="581"/>
      <c r="J618" s="581"/>
      <c r="K618" s="581"/>
      <c r="L618" s="581"/>
      <c r="M618" s="1477"/>
      <c r="N618" s="1477"/>
      <c r="O618" s="1477"/>
      <c r="P618" s="1467"/>
      <c r="Q618" s="581"/>
      <c r="R618" s="581"/>
      <c r="S618" s="581"/>
      <c r="T618" s="581"/>
      <c r="U618" s="581"/>
      <c r="V618" s="581"/>
      <c r="W618" s="1475"/>
      <c r="X618" s="581"/>
      <c r="Y618" s="581"/>
    </row>
    <row r="619">
      <c r="A619" s="581"/>
      <c r="B619" s="1467"/>
      <c r="C619" s="581"/>
      <c r="D619" s="581"/>
      <c r="E619" s="581"/>
      <c r="F619" s="624"/>
      <c r="G619" s="581"/>
      <c r="H619" s="581"/>
      <c r="I619" s="581"/>
      <c r="J619" s="581"/>
      <c r="K619" s="581"/>
      <c r="L619" s="581"/>
      <c r="M619" s="1477"/>
      <c r="N619" s="1477"/>
      <c r="O619" s="1477"/>
      <c r="P619" s="1467"/>
      <c r="Q619" s="581"/>
      <c r="R619" s="581"/>
      <c r="S619" s="581"/>
      <c r="T619" s="581"/>
      <c r="U619" s="581"/>
      <c r="V619" s="581"/>
      <c r="W619" s="1475"/>
      <c r="X619" s="581"/>
      <c r="Y619" s="581"/>
    </row>
    <row r="620">
      <c r="A620" s="581"/>
      <c r="B620" s="1467"/>
      <c r="C620" s="581"/>
      <c r="D620" s="581"/>
      <c r="E620" s="581"/>
      <c r="F620" s="624"/>
      <c r="G620" s="581"/>
      <c r="H620" s="581"/>
      <c r="I620" s="581"/>
      <c r="J620" s="581"/>
      <c r="K620" s="581"/>
      <c r="L620" s="581"/>
      <c r="M620" s="1477"/>
      <c r="N620" s="1477"/>
      <c r="O620" s="1477"/>
      <c r="P620" s="1467"/>
      <c r="Q620" s="581"/>
      <c r="R620" s="581"/>
      <c r="S620" s="581"/>
      <c r="T620" s="581"/>
      <c r="U620" s="581"/>
      <c r="V620" s="581"/>
      <c r="W620" s="1475"/>
      <c r="X620" s="581"/>
      <c r="Y620" s="581"/>
    </row>
    <row r="621">
      <c r="A621" s="581"/>
      <c r="B621" s="1467"/>
      <c r="C621" s="581"/>
      <c r="D621" s="581"/>
      <c r="E621" s="581"/>
      <c r="F621" s="624"/>
      <c r="G621" s="581"/>
      <c r="H621" s="581"/>
      <c r="I621" s="581"/>
      <c r="J621" s="581"/>
      <c r="K621" s="581"/>
      <c r="L621" s="581"/>
      <c r="M621" s="1477"/>
      <c r="N621" s="1477"/>
      <c r="O621" s="1477"/>
      <c r="P621" s="1467"/>
      <c r="Q621" s="581"/>
      <c r="R621" s="581"/>
      <c r="S621" s="581"/>
      <c r="T621" s="581"/>
      <c r="U621" s="581"/>
      <c r="V621" s="581"/>
      <c r="W621" s="1475"/>
      <c r="X621" s="581"/>
      <c r="Y621" s="581"/>
    </row>
    <row r="622">
      <c r="A622" s="581"/>
      <c r="B622" s="1467"/>
      <c r="C622" s="581"/>
      <c r="D622" s="581"/>
      <c r="E622" s="581"/>
      <c r="F622" s="624"/>
      <c r="G622" s="581"/>
      <c r="H622" s="581"/>
      <c r="I622" s="581"/>
      <c r="J622" s="581"/>
      <c r="K622" s="581"/>
      <c r="L622" s="581"/>
      <c r="M622" s="1477"/>
      <c r="N622" s="1477"/>
      <c r="O622" s="1477"/>
      <c r="P622" s="1467"/>
      <c r="Q622" s="581"/>
      <c r="R622" s="581"/>
      <c r="S622" s="581"/>
      <c r="T622" s="581"/>
      <c r="U622" s="581"/>
      <c r="V622" s="581"/>
      <c r="W622" s="1475"/>
      <c r="X622" s="581"/>
      <c r="Y622" s="581"/>
    </row>
    <row r="623">
      <c r="A623" s="581"/>
      <c r="B623" s="1467"/>
      <c r="C623" s="581"/>
      <c r="D623" s="581"/>
      <c r="E623" s="581"/>
      <c r="F623" s="624"/>
      <c r="G623" s="581"/>
      <c r="H623" s="581"/>
      <c r="I623" s="581"/>
      <c r="J623" s="581"/>
      <c r="K623" s="581"/>
      <c r="L623" s="581"/>
      <c r="M623" s="1477"/>
      <c r="N623" s="1477"/>
      <c r="O623" s="1477"/>
      <c r="P623" s="1467"/>
      <c r="Q623" s="581"/>
      <c r="R623" s="581"/>
      <c r="S623" s="581"/>
      <c r="T623" s="581"/>
      <c r="U623" s="581"/>
      <c r="V623" s="581"/>
      <c r="W623" s="1475"/>
      <c r="X623" s="581"/>
      <c r="Y623" s="581"/>
    </row>
    <row r="624">
      <c r="A624" s="581"/>
      <c r="B624" s="1467"/>
      <c r="C624" s="581"/>
      <c r="D624" s="581"/>
      <c r="E624" s="581"/>
      <c r="F624" s="624"/>
      <c r="G624" s="581"/>
      <c r="H624" s="581"/>
      <c r="I624" s="581"/>
      <c r="J624" s="581"/>
      <c r="K624" s="581"/>
      <c r="L624" s="581"/>
      <c r="M624" s="1477"/>
      <c r="N624" s="1477"/>
      <c r="O624" s="1477"/>
      <c r="P624" s="1467"/>
      <c r="Q624" s="581"/>
      <c r="R624" s="581"/>
      <c r="S624" s="581"/>
      <c r="T624" s="581"/>
      <c r="U624" s="581"/>
      <c r="V624" s="581"/>
      <c r="W624" s="1475"/>
      <c r="X624" s="581"/>
      <c r="Y624" s="581"/>
    </row>
    <row r="625">
      <c r="A625" s="581"/>
      <c r="B625" s="1467"/>
      <c r="C625" s="581"/>
      <c r="D625" s="581"/>
      <c r="E625" s="581"/>
      <c r="F625" s="624"/>
      <c r="G625" s="581"/>
      <c r="H625" s="581"/>
      <c r="I625" s="581"/>
      <c r="J625" s="581"/>
      <c r="K625" s="581"/>
      <c r="L625" s="581"/>
      <c r="M625" s="1477"/>
      <c r="N625" s="1477"/>
      <c r="O625" s="1477"/>
      <c r="P625" s="1467"/>
      <c r="Q625" s="581"/>
      <c r="R625" s="581"/>
      <c r="S625" s="581"/>
      <c r="T625" s="581"/>
      <c r="U625" s="581"/>
      <c r="V625" s="581"/>
      <c r="W625" s="1475"/>
      <c r="X625" s="581"/>
      <c r="Y625" s="581"/>
    </row>
    <row r="626">
      <c r="A626" s="581"/>
      <c r="B626" s="1467"/>
      <c r="C626" s="581"/>
      <c r="D626" s="581"/>
      <c r="E626" s="581"/>
      <c r="F626" s="624"/>
      <c r="G626" s="581"/>
      <c r="H626" s="581"/>
      <c r="I626" s="581"/>
      <c r="J626" s="581"/>
      <c r="K626" s="581"/>
      <c r="L626" s="581"/>
      <c r="M626" s="1477"/>
      <c r="N626" s="1477"/>
      <c r="O626" s="1477"/>
      <c r="P626" s="1467"/>
      <c r="Q626" s="581"/>
      <c r="R626" s="581"/>
      <c r="S626" s="581"/>
      <c r="T626" s="581"/>
      <c r="U626" s="581"/>
      <c r="V626" s="581"/>
      <c r="W626" s="1475"/>
      <c r="X626" s="581"/>
      <c r="Y626" s="581"/>
    </row>
    <row r="627">
      <c r="A627" s="581"/>
      <c r="B627" s="1467"/>
      <c r="C627" s="581"/>
      <c r="D627" s="581"/>
      <c r="E627" s="581"/>
      <c r="F627" s="624"/>
      <c r="G627" s="581"/>
      <c r="H627" s="581"/>
      <c r="I627" s="581"/>
      <c r="J627" s="581"/>
      <c r="K627" s="581"/>
      <c r="L627" s="581"/>
      <c r="M627" s="1477"/>
      <c r="N627" s="1477"/>
      <c r="O627" s="1477"/>
      <c r="P627" s="1467"/>
      <c r="Q627" s="581"/>
      <c r="R627" s="581"/>
      <c r="S627" s="581"/>
      <c r="T627" s="581"/>
      <c r="U627" s="581"/>
      <c r="V627" s="581"/>
      <c r="W627" s="1475"/>
      <c r="X627" s="581"/>
      <c r="Y627" s="581"/>
    </row>
    <row r="628">
      <c r="A628" s="581"/>
      <c r="B628" s="1467"/>
      <c r="C628" s="581"/>
      <c r="D628" s="581"/>
      <c r="E628" s="581"/>
      <c r="F628" s="624"/>
      <c r="G628" s="581"/>
      <c r="H628" s="581"/>
      <c r="I628" s="581"/>
      <c r="J628" s="581"/>
      <c r="K628" s="581"/>
      <c r="L628" s="581"/>
      <c r="M628" s="1477"/>
      <c r="N628" s="1477"/>
      <c r="O628" s="1477"/>
      <c r="P628" s="1467"/>
      <c r="Q628" s="581"/>
      <c r="R628" s="581"/>
      <c r="S628" s="581"/>
      <c r="T628" s="581"/>
      <c r="U628" s="581"/>
      <c r="V628" s="581"/>
      <c r="W628" s="1475"/>
      <c r="X628" s="581"/>
      <c r="Y628" s="581"/>
    </row>
    <row r="629">
      <c r="A629" s="581"/>
      <c r="B629" s="1467"/>
      <c r="C629" s="581"/>
      <c r="D629" s="581"/>
      <c r="E629" s="581"/>
      <c r="F629" s="624"/>
      <c r="G629" s="581"/>
      <c r="H629" s="581"/>
      <c r="I629" s="581"/>
      <c r="J629" s="581"/>
      <c r="K629" s="581"/>
      <c r="L629" s="581"/>
      <c r="M629" s="1477"/>
      <c r="N629" s="1477"/>
      <c r="O629" s="1477"/>
      <c r="P629" s="1467"/>
      <c r="Q629" s="581"/>
      <c r="R629" s="581"/>
      <c r="S629" s="581"/>
      <c r="T629" s="581"/>
      <c r="U629" s="581"/>
      <c r="V629" s="581"/>
      <c r="W629" s="1475"/>
      <c r="X629" s="581"/>
      <c r="Y629" s="581"/>
    </row>
    <row r="630">
      <c r="A630" s="581"/>
      <c r="B630" s="1467"/>
      <c r="C630" s="581"/>
      <c r="D630" s="581"/>
      <c r="E630" s="581"/>
      <c r="F630" s="624"/>
      <c r="G630" s="581"/>
      <c r="H630" s="581"/>
      <c r="I630" s="581"/>
      <c r="J630" s="581"/>
      <c r="K630" s="581"/>
      <c r="L630" s="581"/>
      <c r="M630" s="1477"/>
      <c r="N630" s="1477"/>
      <c r="O630" s="1477"/>
      <c r="P630" s="1467"/>
      <c r="Q630" s="581"/>
      <c r="R630" s="581"/>
      <c r="S630" s="581"/>
      <c r="T630" s="581"/>
      <c r="U630" s="581"/>
      <c r="V630" s="581"/>
      <c r="W630" s="1475"/>
      <c r="X630" s="581"/>
      <c r="Y630" s="581"/>
    </row>
    <row r="631">
      <c r="A631" s="581"/>
      <c r="B631" s="1467"/>
      <c r="C631" s="581"/>
      <c r="D631" s="581"/>
      <c r="E631" s="581"/>
      <c r="F631" s="624"/>
      <c r="G631" s="581"/>
      <c r="H631" s="581"/>
      <c r="I631" s="581"/>
      <c r="J631" s="581"/>
      <c r="K631" s="581"/>
      <c r="L631" s="581"/>
      <c r="M631" s="1477"/>
      <c r="N631" s="1477"/>
      <c r="O631" s="1477"/>
      <c r="P631" s="1467"/>
      <c r="Q631" s="581"/>
      <c r="R631" s="581"/>
      <c r="S631" s="581"/>
      <c r="T631" s="581"/>
      <c r="U631" s="581"/>
      <c r="V631" s="581"/>
      <c r="W631" s="1475"/>
      <c r="X631" s="581"/>
      <c r="Y631" s="581"/>
    </row>
    <row r="632">
      <c r="A632" s="581"/>
      <c r="B632" s="1467"/>
      <c r="C632" s="581"/>
      <c r="D632" s="581"/>
      <c r="E632" s="581"/>
      <c r="F632" s="624"/>
      <c r="G632" s="581"/>
      <c r="H632" s="581"/>
      <c r="I632" s="581"/>
      <c r="J632" s="581"/>
      <c r="K632" s="581"/>
      <c r="L632" s="581"/>
      <c r="M632" s="1477"/>
      <c r="N632" s="1477"/>
      <c r="O632" s="1477"/>
      <c r="P632" s="1467"/>
      <c r="Q632" s="581"/>
      <c r="R632" s="581"/>
      <c r="S632" s="581"/>
      <c r="T632" s="581"/>
      <c r="U632" s="581"/>
      <c r="V632" s="581"/>
      <c r="W632" s="1475"/>
      <c r="X632" s="581"/>
      <c r="Y632" s="581"/>
    </row>
    <row r="633">
      <c r="A633" s="581"/>
      <c r="B633" s="1467"/>
      <c r="C633" s="581"/>
      <c r="D633" s="581"/>
      <c r="E633" s="581"/>
      <c r="F633" s="624"/>
      <c r="G633" s="581"/>
      <c r="H633" s="581"/>
      <c r="I633" s="581"/>
      <c r="J633" s="581"/>
      <c r="K633" s="581"/>
      <c r="L633" s="581"/>
      <c r="M633" s="1477"/>
      <c r="N633" s="1477"/>
      <c r="O633" s="1477"/>
      <c r="P633" s="1467"/>
      <c r="Q633" s="581"/>
      <c r="R633" s="581"/>
      <c r="S633" s="581"/>
      <c r="T633" s="581"/>
      <c r="U633" s="581"/>
      <c r="V633" s="581"/>
      <c r="W633" s="1475"/>
      <c r="X633" s="581"/>
      <c r="Y633" s="581"/>
    </row>
    <row r="634">
      <c r="A634" s="581"/>
      <c r="B634" s="1467"/>
      <c r="C634" s="581"/>
      <c r="D634" s="581"/>
      <c r="E634" s="581"/>
      <c r="F634" s="624"/>
      <c r="G634" s="581"/>
      <c r="H634" s="581"/>
      <c r="I634" s="581"/>
      <c r="J634" s="581"/>
      <c r="K634" s="581"/>
      <c r="L634" s="581"/>
      <c r="M634" s="1477"/>
      <c r="N634" s="1477"/>
      <c r="O634" s="1477"/>
      <c r="P634" s="1467"/>
      <c r="Q634" s="581"/>
      <c r="R634" s="581"/>
      <c r="S634" s="581"/>
      <c r="T634" s="581"/>
      <c r="U634" s="581"/>
      <c r="V634" s="581"/>
      <c r="W634" s="1475"/>
      <c r="X634" s="581"/>
      <c r="Y634" s="581"/>
    </row>
    <row r="635">
      <c r="A635" s="581"/>
      <c r="B635" s="1467"/>
      <c r="C635" s="581"/>
      <c r="D635" s="581"/>
      <c r="E635" s="581"/>
      <c r="F635" s="624"/>
      <c r="G635" s="581"/>
      <c r="H635" s="581"/>
      <c r="I635" s="581"/>
      <c r="J635" s="581"/>
      <c r="K635" s="581"/>
      <c r="L635" s="581"/>
      <c r="M635" s="1477"/>
      <c r="N635" s="1477"/>
      <c r="O635" s="1477"/>
      <c r="P635" s="1467"/>
      <c r="Q635" s="581"/>
      <c r="R635" s="581"/>
      <c r="S635" s="581"/>
      <c r="T635" s="581"/>
      <c r="U635" s="581"/>
      <c r="V635" s="581"/>
      <c r="W635" s="1475"/>
      <c r="X635" s="581"/>
      <c r="Y635" s="581"/>
    </row>
    <row r="636">
      <c r="A636" s="581"/>
      <c r="B636" s="1467"/>
      <c r="C636" s="581"/>
      <c r="D636" s="581"/>
      <c r="E636" s="581"/>
      <c r="F636" s="624"/>
      <c r="G636" s="581"/>
      <c r="H636" s="581"/>
      <c r="I636" s="581"/>
      <c r="J636" s="581"/>
      <c r="K636" s="581"/>
      <c r="L636" s="581"/>
      <c r="M636" s="1477"/>
      <c r="N636" s="1477"/>
      <c r="O636" s="1477"/>
      <c r="P636" s="1467"/>
      <c r="Q636" s="581"/>
      <c r="R636" s="581"/>
      <c r="S636" s="581"/>
      <c r="T636" s="581"/>
      <c r="U636" s="581"/>
      <c r="V636" s="581"/>
      <c r="W636" s="1475"/>
      <c r="X636" s="581"/>
      <c r="Y636" s="581"/>
    </row>
    <row r="637">
      <c r="A637" s="581"/>
      <c r="B637" s="1467"/>
      <c r="C637" s="581"/>
      <c r="D637" s="581"/>
      <c r="E637" s="581"/>
      <c r="F637" s="624"/>
      <c r="G637" s="581"/>
      <c r="H637" s="581"/>
      <c r="I637" s="581"/>
      <c r="J637" s="581"/>
      <c r="K637" s="581"/>
      <c r="L637" s="581"/>
      <c r="M637" s="1477"/>
      <c r="N637" s="1477"/>
      <c r="O637" s="1477"/>
      <c r="P637" s="1467"/>
      <c r="Q637" s="581"/>
      <c r="R637" s="581"/>
      <c r="S637" s="581"/>
      <c r="T637" s="581"/>
      <c r="U637" s="581"/>
      <c r="V637" s="581"/>
      <c r="W637" s="1475"/>
      <c r="X637" s="581"/>
      <c r="Y637" s="581"/>
    </row>
    <row r="638">
      <c r="A638" s="581"/>
      <c r="B638" s="1467"/>
      <c r="C638" s="581"/>
      <c r="D638" s="581"/>
      <c r="E638" s="581"/>
      <c r="F638" s="624"/>
      <c r="G638" s="581"/>
      <c r="H638" s="581"/>
      <c r="I638" s="581"/>
      <c r="J638" s="581"/>
      <c r="K638" s="581"/>
      <c r="L638" s="581"/>
      <c r="M638" s="1477"/>
      <c r="N638" s="1477"/>
      <c r="O638" s="1477"/>
      <c r="P638" s="1467"/>
      <c r="Q638" s="581"/>
      <c r="R638" s="581"/>
      <c r="S638" s="581"/>
      <c r="T638" s="581"/>
      <c r="U638" s="581"/>
      <c r="V638" s="581"/>
      <c r="W638" s="1475"/>
      <c r="X638" s="581"/>
      <c r="Y638" s="581"/>
    </row>
    <row r="639">
      <c r="A639" s="581"/>
      <c r="B639" s="1467"/>
      <c r="C639" s="581"/>
      <c r="D639" s="581"/>
      <c r="E639" s="581"/>
      <c r="F639" s="624"/>
      <c r="G639" s="581"/>
      <c r="H639" s="581"/>
      <c r="I639" s="581"/>
      <c r="J639" s="581"/>
      <c r="K639" s="581"/>
      <c r="L639" s="581"/>
      <c r="M639" s="1477"/>
      <c r="N639" s="1477"/>
      <c r="O639" s="1477"/>
      <c r="P639" s="1467"/>
      <c r="Q639" s="581"/>
      <c r="R639" s="581"/>
      <c r="S639" s="581"/>
      <c r="T639" s="581"/>
      <c r="U639" s="581"/>
      <c r="V639" s="581"/>
      <c r="W639" s="1475"/>
      <c r="X639" s="581"/>
      <c r="Y639" s="581"/>
    </row>
    <row r="640">
      <c r="A640" s="581"/>
      <c r="B640" s="1467"/>
      <c r="C640" s="581"/>
      <c r="D640" s="581"/>
      <c r="E640" s="581"/>
      <c r="F640" s="624"/>
      <c r="G640" s="581"/>
      <c r="H640" s="581"/>
      <c r="I640" s="581"/>
      <c r="J640" s="581"/>
      <c r="K640" s="581"/>
      <c r="L640" s="581"/>
      <c r="M640" s="1477"/>
      <c r="N640" s="1477"/>
      <c r="O640" s="1477"/>
      <c r="P640" s="1467"/>
      <c r="Q640" s="581"/>
      <c r="R640" s="581"/>
      <c r="S640" s="581"/>
      <c r="T640" s="581"/>
      <c r="U640" s="581"/>
      <c r="V640" s="581"/>
      <c r="W640" s="1475"/>
      <c r="X640" s="581"/>
      <c r="Y640" s="581"/>
    </row>
    <row r="641">
      <c r="A641" s="581"/>
      <c r="B641" s="1467"/>
      <c r="C641" s="581"/>
      <c r="D641" s="581"/>
      <c r="E641" s="581"/>
      <c r="F641" s="624"/>
      <c r="G641" s="581"/>
      <c r="H641" s="581"/>
      <c r="I641" s="581"/>
      <c r="J641" s="581"/>
      <c r="K641" s="581"/>
      <c r="L641" s="581"/>
      <c r="M641" s="1477"/>
      <c r="N641" s="1477"/>
      <c r="O641" s="1477"/>
      <c r="P641" s="1467"/>
      <c r="Q641" s="581"/>
      <c r="R641" s="581"/>
      <c r="S641" s="581"/>
      <c r="T641" s="581"/>
      <c r="U641" s="581"/>
      <c r="V641" s="581"/>
      <c r="W641" s="1475"/>
      <c r="X641" s="581"/>
      <c r="Y641" s="581"/>
    </row>
    <row r="642">
      <c r="A642" s="581"/>
      <c r="B642" s="1467"/>
      <c r="C642" s="581"/>
      <c r="D642" s="581"/>
      <c r="E642" s="581"/>
      <c r="F642" s="624"/>
      <c r="G642" s="581"/>
      <c r="H642" s="581"/>
      <c r="I642" s="581"/>
      <c r="J642" s="581"/>
      <c r="K642" s="581"/>
      <c r="L642" s="581"/>
      <c r="M642" s="1477"/>
      <c r="N642" s="1477"/>
      <c r="O642" s="1477"/>
      <c r="P642" s="1467"/>
      <c r="Q642" s="581"/>
      <c r="R642" s="581"/>
      <c r="S642" s="581"/>
      <c r="T642" s="581"/>
      <c r="U642" s="581"/>
      <c r="V642" s="581"/>
      <c r="W642" s="1475"/>
      <c r="X642" s="581"/>
      <c r="Y642" s="581"/>
    </row>
    <row r="643">
      <c r="A643" s="581"/>
      <c r="B643" s="1467"/>
      <c r="C643" s="581"/>
      <c r="D643" s="581"/>
      <c r="E643" s="581"/>
      <c r="F643" s="624"/>
      <c r="G643" s="581"/>
      <c r="H643" s="581"/>
      <c r="I643" s="581"/>
      <c r="J643" s="581"/>
      <c r="K643" s="581"/>
      <c r="L643" s="581"/>
      <c r="M643" s="1477"/>
      <c r="N643" s="1477"/>
      <c r="O643" s="1477"/>
      <c r="P643" s="1467"/>
      <c r="Q643" s="581"/>
      <c r="R643" s="581"/>
      <c r="S643" s="581"/>
      <c r="T643" s="581"/>
      <c r="U643" s="581"/>
      <c r="V643" s="581"/>
      <c r="W643" s="1475"/>
      <c r="X643" s="581"/>
      <c r="Y643" s="581"/>
    </row>
    <row r="644">
      <c r="A644" s="581"/>
      <c r="B644" s="1467"/>
      <c r="C644" s="581"/>
      <c r="D644" s="581"/>
      <c r="E644" s="581"/>
      <c r="F644" s="624"/>
      <c r="G644" s="581"/>
      <c r="H644" s="581"/>
      <c r="I644" s="581"/>
      <c r="J644" s="581"/>
      <c r="K644" s="581"/>
      <c r="L644" s="581"/>
      <c r="M644" s="1477"/>
      <c r="N644" s="1477"/>
      <c r="O644" s="1477"/>
      <c r="P644" s="1467"/>
      <c r="Q644" s="581"/>
      <c r="R644" s="581"/>
      <c r="S644" s="581"/>
      <c r="T644" s="581"/>
      <c r="U644" s="581"/>
      <c r="V644" s="581"/>
      <c r="W644" s="1475"/>
      <c r="X644" s="581"/>
      <c r="Y644" s="581"/>
    </row>
    <row r="645">
      <c r="A645" s="581"/>
      <c r="B645" s="1467"/>
      <c r="C645" s="581"/>
      <c r="D645" s="581"/>
      <c r="E645" s="581"/>
      <c r="F645" s="624"/>
      <c r="G645" s="581"/>
      <c r="H645" s="581"/>
      <c r="I645" s="581"/>
      <c r="J645" s="581"/>
      <c r="K645" s="581"/>
      <c r="L645" s="581"/>
      <c r="M645" s="1477"/>
      <c r="N645" s="1477"/>
      <c r="O645" s="1477"/>
      <c r="P645" s="1467"/>
      <c r="Q645" s="581"/>
      <c r="R645" s="581"/>
      <c r="S645" s="581"/>
      <c r="T645" s="581"/>
      <c r="U645" s="581"/>
      <c r="V645" s="581"/>
      <c r="W645" s="1475"/>
      <c r="X645" s="581"/>
      <c r="Y645" s="581"/>
    </row>
    <row r="646">
      <c r="A646" s="581"/>
      <c r="B646" s="1467"/>
      <c r="C646" s="581"/>
      <c r="D646" s="581"/>
      <c r="E646" s="581"/>
      <c r="F646" s="624"/>
      <c r="G646" s="581"/>
      <c r="H646" s="581"/>
      <c r="I646" s="581"/>
      <c r="J646" s="581"/>
      <c r="K646" s="581"/>
      <c r="L646" s="581"/>
      <c r="M646" s="1477"/>
      <c r="N646" s="1477"/>
      <c r="O646" s="1477"/>
      <c r="P646" s="1467"/>
      <c r="Q646" s="581"/>
      <c r="R646" s="581"/>
      <c r="S646" s="581"/>
      <c r="T646" s="581"/>
      <c r="U646" s="581"/>
      <c r="V646" s="581"/>
      <c r="W646" s="1475"/>
      <c r="X646" s="581"/>
      <c r="Y646" s="581"/>
    </row>
    <row r="647">
      <c r="A647" s="581"/>
      <c r="B647" s="1467"/>
      <c r="C647" s="581"/>
      <c r="D647" s="581"/>
      <c r="E647" s="581"/>
      <c r="F647" s="624"/>
      <c r="G647" s="581"/>
      <c r="H647" s="581"/>
      <c r="I647" s="581"/>
      <c r="J647" s="581"/>
      <c r="K647" s="581"/>
      <c r="L647" s="581"/>
      <c r="M647" s="1477"/>
      <c r="N647" s="1477"/>
      <c r="O647" s="1477"/>
      <c r="P647" s="1467"/>
      <c r="Q647" s="581"/>
      <c r="R647" s="581"/>
      <c r="S647" s="581"/>
      <c r="T647" s="581"/>
      <c r="U647" s="581"/>
      <c r="V647" s="581"/>
      <c r="W647" s="1475"/>
      <c r="X647" s="581"/>
      <c r="Y647" s="581"/>
    </row>
    <row r="648">
      <c r="A648" s="581"/>
      <c r="B648" s="1467"/>
      <c r="C648" s="581"/>
      <c r="D648" s="581"/>
      <c r="E648" s="581"/>
      <c r="F648" s="624"/>
      <c r="G648" s="581"/>
      <c r="H648" s="581"/>
      <c r="I648" s="581"/>
      <c r="J648" s="581"/>
      <c r="K648" s="581"/>
      <c r="L648" s="581"/>
      <c r="M648" s="1477"/>
      <c r="N648" s="1477"/>
      <c r="O648" s="1477"/>
      <c r="P648" s="1467"/>
      <c r="Q648" s="581"/>
      <c r="R648" s="581"/>
      <c r="S648" s="581"/>
      <c r="T648" s="581"/>
      <c r="U648" s="581"/>
      <c r="V648" s="581"/>
      <c r="W648" s="1475"/>
      <c r="X648" s="581"/>
      <c r="Y648" s="581"/>
    </row>
    <row r="649">
      <c r="A649" s="581"/>
      <c r="B649" s="1467"/>
      <c r="C649" s="581"/>
      <c r="D649" s="581"/>
      <c r="E649" s="581"/>
      <c r="F649" s="624"/>
      <c r="G649" s="581"/>
      <c r="H649" s="581"/>
      <c r="I649" s="581"/>
      <c r="J649" s="581"/>
      <c r="K649" s="581"/>
      <c r="L649" s="581"/>
      <c r="M649" s="1477"/>
      <c r="N649" s="1477"/>
      <c r="O649" s="1477"/>
      <c r="P649" s="1467"/>
      <c r="Q649" s="581"/>
      <c r="R649" s="581"/>
      <c r="S649" s="581"/>
      <c r="T649" s="581"/>
      <c r="U649" s="581"/>
      <c r="V649" s="581"/>
      <c r="W649" s="1475"/>
      <c r="X649" s="581"/>
      <c r="Y649" s="581"/>
    </row>
    <row r="650">
      <c r="A650" s="581"/>
      <c r="B650" s="1467"/>
      <c r="C650" s="581"/>
      <c r="D650" s="581"/>
      <c r="E650" s="581"/>
      <c r="F650" s="624"/>
      <c r="G650" s="581"/>
      <c r="H650" s="581"/>
      <c r="I650" s="581"/>
      <c r="J650" s="581"/>
      <c r="K650" s="581"/>
      <c r="L650" s="581"/>
      <c r="M650" s="1477"/>
      <c r="N650" s="1477"/>
      <c r="O650" s="1477"/>
      <c r="P650" s="1467"/>
      <c r="Q650" s="581"/>
      <c r="R650" s="581"/>
      <c r="S650" s="581"/>
      <c r="T650" s="581"/>
      <c r="U650" s="581"/>
      <c r="V650" s="581"/>
      <c r="W650" s="1475"/>
      <c r="X650" s="581"/>
      <c r="Y650" s="581"/>
    </row>
    <row r="651">
      <c r="A651" s="581"/>
      <c r="B651" s="1467"/>
      <c r="C651" s="581"/>
      <c r="D651" s="581"/>
      <c r="E651" s="581"/>
      <c r="F651" s="624"/>
      <c r="G651" s="581"/>
      <c r="H651" s="581"/>
      <c r="I651" s="581"/>
      <c r="J651" s="581"/>
      <c r="K651" s="581"/>
      <c r="L651" s="581"/>
      <c r="M651" s="1477"/>
      <c r="N651" s="1477"/>
      <c r="O651" s="1477"/>
      <c r="P651" s="1467"/>
      <c r="Q651" s="581"/>
      <c r="R651" s="581"/>
      <c r="S651" s="581"/>
      <c r="T651" s="581"/>
      <c r="U651" s="581"/>
      <c r="V651" s="581"/>
      <c r="W651" s="1475"/>
      <c r="X651" s="581"/>
      <c r="Y651" s="581"/>
    </row>
    <row r="652">
      <c r="A652" s="581"/>
      <c r="B652" s="1467"/>
      <c r="C652" s="581"/>
      <c r="D652" s="581"/>
      <c r="E652" s="581"/>
      <c r="F652" s="624"/>
      <c r="G652" s="581"/>
      <c r="H652" s="581"/>
      <c r="I652" s="581"/>
      <c r="J652" s="581"/>
      <c r="K652" s="581"/>
      <c r="L652" s="581"/>
      <c r="M652" s="1477"/>
      <c r="N652" s="1477"/>
      <c r="O652" s="1477"/>
      <c r="P652" s="1467"/>
      <c r="Q652" s="581"/>
      <c r="R652" s="581"/>
      <c r="S652" s="581"/>
      <c r="T652" s="581"/>
      <c r="U652" s="581"/>
      <c r="V652" s="581"/>
      <c r="W652" s="1475"/>
      <c r="X652" s="581"/>
      <c r="Y652" s="581"/>
    </row>
    <row r="653">
      <c r="A653" s="581"/>
      <c r="B653" s="1467"/>
      <c r="C653" s="581"/>
      <c r="D653" s="581"/>
      <c r="E653" s="581"/>
      <c r="F653" s="624"/>
      <c r="G653" s="581"/>
      <c r="H653" s="581"/>
      <c r="I653" s="581"/>
      <c r="J653" s="581"/>
      <c r="K653" s="581"/>
      <c r="L653" s="581"/>
      <c r="M653" s="1477"/>
      <c r="N653" s="1477"/>
      <c r="O653" s="1477"/>
      <c r="P653" s="1467"/>
      <c r="Q653" s="581"/>
      <c r="R653" s="581"/>
      <c r="S653" s="581"/>
      <c r="T653" s="581"/>
      <c r="U653" s="581"/>
      <c r="V653" s="581"/>
      <c r="W653" s="1475"/>
      <c r="X653" s="581"/>
      <c r="Y653" s="581"/>
    </row>
    <row r="654">
      <c r="A654" s="581"/>
      <c r="B654" s="1467"/>
      <c r="C654" s="581"/>
      <c r="D654" s="581"/>
      <c r="E654" s="581"/>
      <c r="F654" s="624"/>
      <c r="G654" s="581"/>
      <c r="H654" s="581"/>
      <c r="I654" s="581"/>
      <c r="J654" s="581"/>
      <c r="K654" s="581"/>
      <c r="L654" s="581"/>
      <c r="M654" s="1477"/>
      <c r="N654" s="1477"/>
      <c r="O654" s="1477"/>
      <c r="P654" s="1467"/>
      <c r="Q654" s="581"/>
      <c r="R654" s="581"/>
      <c r="S654" s="581"/>
      <c r="T654" s="581"/>
      <c r="U654" s="581"/>
      <c r="V654" s="581"/>
      <c r="W654" s="1475"/>
      <c r="X654" s="581"/>
      <c r="Y654" s="581"/>
    </row>
    <row r="655">
      <c r="A655" s="581"/>
      <c r="B655" s="1467"/>
      <c r="C655" s="581"/>
      <c r="D655" s="581"/>
      <c r="E655" s="581"/>
      <c r="F655" s="624"/>
      <c r="G655" s="581"/>
      <c r="H655" s="581"/>
      <c r="I655" s="581"/>
      <c r="J655" s="581"/>
      <c r="K655" s="581"/>
      <c r="L655" s="581"/>
      <c r="M655" s="1477"/>
      <c r="N655" s="1477"/>
      <c r="O655" s="1477"/>
      <c r="P655" s="1467"/>
      <c r="Q655" s="581"/>
      <c r="R655" s="581"/>
      <c r="S655" s="581"/>
      <c r="T655" s="581"/>
      <c r="U655" s="581"/>
      <c r="V655" s="581"/>
      <c r="W655" s="1475"/>
      <c r="X655" s="581"/>
      <c r="Y655" s="581"/>
    </row>
    <row r="656">
      <c r="A656" s="581"/>
      <c r="B656" s="1467"/>
      <c r="C656" s="581"/>
      <c r="D656" s="581"/>
      <c r="E656" s="581"/>
      <c r="F656" s="624"/>
      <c r="G656" s="581"/>
      <c r="H656" s="581"/>
      <c r="I656" s="581"/>
      <c r="J656" s="581"/>
      <c r="K656" s="581"/>
      <c r="L656" s="581"/>
      <c r="M656" s="1477"/>
      <c r="N656" s="1477"/>
      <c r="O656" s="1477"/>
      <c r="P656" s="1467"/>
      <c r="Q656" s="581"/>
      <c r="R656" s="581"/>
      <c r="S656" s="581"/>
      <c r="T656" s="581"/>
      <c r="U656" s="581"/>
      <c r="V656" s="581"/>
      <c r="W656" s="1475"/>
      <c r="X656" s="581"/>
      <c r="Y656" s="581"/>
    </row>
    <row r="657">
      <c r="A657" s="581"/>
      <c r="B657" s="1467"/>
      <c r="C657" s="581"/>
      <c r="D657" s="581"/>
      <c r="E657" s="581"/>
      <c r="F657" s="624"/>
      <c r="G657" s="581"/>
      <c r="H657" s="581"/>
      <c r="I657" s="581"/>
      <c r="J657" s="581"/>
      <c r="K657" s="581"/>
      <c r="L657" s="581"/>
      <c r="M657" s="1477"/>
      <c r="N657" s="1477"/>
      <c r="O657" s="1477"/>
      <c r="P657" s="1467"/>
      <c r="Q657" s="581"/>
      <c r="R657" s="581"/>
      <c r="S657" s="581"/>
      <c r="T657" s="581"/>
      <c r="U657" s="581"/>
      <c r="V657" s="581"/>
      <c r="W657" s="1475"/>
      <c r="X657" s="581"/>
      <c r="Y657" s="581"/>
    </row>
    <row r="658">
      <c r="A658" s="581"/>
      <c r="B658" s="1467"/>
      <c r="C658" s="581"/>
      <c r="D658" s="581"/>
      <c r="E658" s="581"/>
      <c r="F658" s="624"/>
      <c r="G658" s="581"/>
      <c r="H658" s="581"/>
      <c r="I658" s="581"/>
      <c r="J658" s="581"/>
      <c r="K658" s="581"/>
      <c r="L658" s="581"/>
      <c r="M658" s="1477"/>
      <c r="N658" s="1477"/>
      <c r="O658" s="1477"/>
      <c r="P658" s="1467"/>
      <c r="Q658" s="581"/>
      <c r="R658" s="581"/>
      <c r="S658" s="581"/>
      <c r="T658" s="581"/>
      <c r="U658" s="581"/>
      <c r="V658" s="581"/>
      <c r="W658" s="1475"/>
      <c r="X658" s="581"/>
      <c r="Y658" s="581"/>
    </row>
    <row r="659">
      <c r="A659" s="581"/>
      <c r="B659" s="1467"/>
      <c r="C659" s="581"/>
      <c r="D659" s="581"/>
      <c r="E659" s="581"/>
      <c r="F659" s="624"/>
      <c r="G659" s="581"/>
      <c r="H659" s="581"/>
      <c r="I659" s="581"/>
      <c r="J659" s="581"/>
      <c r="K659" s="581"/>
      <c r="L659" s="581"/>
      <c r="M659" s="1477"/>
      <c r="N659" s="1477"/>
      <c r="O659" s="1477"/>
      <c r="P659" s="1467"/>
      <c r="Q659" s="581"/>
      <c r="R659" s="581"/>
      <c r="S659" s="581"/>
      <c r="T659" s="581"/>
      <c r="U659" s="581"/>
      <c r="V659" s="581"/>
      <c r="W659" s="1475"/>
      <c r="X659" s="581"/>
      <c r="Y659" s="581"/>
    </row>
    <row r="660">
      <c r="A660" s="581"/>
      <c r="B660" s="1467"/>
      <c r="C660" s="581"/>
      <c r="D660" s="581"/>
      <c r="E660" s="581"/>
      <c r="F660" s="624"/>
      <c r="G660" s="581"/>
      <c r="H660" s="581"/>
      <c r="I660" s="581"/>
      <c r="J660" s="581"/>
      <c r="K660" s="581"/>
      <c r="L660" s="581"/>
      <c r="M660" s="1477"/>
      <c r="N660" s="1477"/>
      <c r="O660" s="1477"/>
      <c r="P660" s="1467"/>
      <c r="Q660" s="581"/>
      <c r="R660" s="581"/>
      <c r="S660" s="581"/>
      <c r="T660" s="581"/>
      <c r="U660" s="581"/>
      <c r="V660" s="581"/>
      <c r="W660" s="1475"/>
      <c r="X660" s="581"/>
      <c r="Y660" s="581"/>
    </row>
    <row r="661">
      <c r="A661" s="581"/>
      <c r="B661" s="1467"/>
      <c r="C661" s="581"/>
      <c r="D661" s="581"/>
      <c r="E661" s="581"/>
      <c r="F661" s="624"/>
      <c r="G661" s="581"/>
      <c r="H661" s="581"/>
      <c r="I661" s="581"/>
      <c r="J661" s="581"/>
      <c r="K661" s="581"/>
      <c r="L661" s="581"/>
      <c r="M661" s="1477"/>
      <c r="N661" s="1477"/>
      <c r="O661" s="1477"/>
      <c r="P661" s="1467"/>
      <c r="Q661" s="581"/>
      <c r="R661" s="581"/>
      <c r="S661" s="581"/>
      <c r="T661" s="581"/>
      <c r="U661" s="581"/>
      <c r="V661" s="581"/>
      <c r="W661" s="1475"/>
      <c r="X661" s="581"/>
      <c r="Y661" s="581"/>
    </row>
    <row r="662">
      <c r="A662" s="581"/>
      <c r="B662" s="1467"/>
      <c r="C662" s="581"/>
      <c r="D662" s="581"/>
      <c r="E662" s="581"/>
      <c r="F662" s="624"/>
      <c r="G662" s="581"/>
      <c r="H662" s="581"/>
      <c r="I662" s="581"/>
      <c r="J662" s="581"/>
      <c r="K662" s="581"/>
      <c r="L662" s="581"/>
      <c r="M662" s="1477"/>
      <c r="N662" s="1477"/>
      <c r="O662" s="1477"/>
      <c r="P662" s="1467"/>
      <c r="Q662" s="581"/>
      <c r="R662" s="581"/>
      <c r="S662" s="581"/>
      <c r="T662" s="581"/>
      <c r="U662" s="581"/>
      <c r="V662" s="581"/>
      <c r="W662" s="1475"/>
      <c r="X662" s="581"/>
      <c r="Y662" s="581"/>
    </row>
    <row r="663">
      <c r="A663" s="581"/>
      <c r="B663" s="1467"/>
      <c r="C663" s="581"/>
      <c r="D663" s="581"/>
      <c r="E663" s="581"/>
      <c r="F663" s="624"/>
      <c r="G663" s="581"/>
      <c r="H663" s="581"/>
      <c r="I663" s="581"/>
      <c r="J663" s="581"/>
      <c r="K663" s="581"/>
      <c r="L663" s="581"/>
      <c r="M663" s="1477"/>
      <c r="N663" s="1477"/>
      <c r="O663" s="1477"/>
      <c r="P663" s="1467"/>
      <c r="Q663" s="581"/>
      <c r="R663" s="581"/>
      <c r="S663" s="581"/>
      <c r="T663" s="581"/>
      <c r="U663" s="581"/>
      <c r="V663" s="581"/>
      <c r="W663" s="1475"/>
      <c r="X663" s="581"/>
      <c r="Y663" s="581"/>
    </row>
    <row r="664">
      <c r="A664" s="581"/>
      <c r="B664" s="1467"/>
      <c r="C664" s="581"/>
      <c r="D664" s="581"/>
      <c r="E664" s="581"/>
      <c r="F664" s="624"/>
      <c r="G664" s="581"/>
      <c r="H664" s="581"/>
      <c r="I664" s="581"/>
      <c r="J664" s="581"/>
      <c r="K664" s="581"/>
      <c r="L664" s="581"/>
      <c r="M664" s="1477"/>
      <c r="N664" s="1477"/>
      <c r="O664" s="1477"/>
      <c r="P664" s="1467"/>
      <c r="Q664" s="581"/>
      <c r="R664" s="581"/>
      <c r="S664" s="581"/>
      <c r="T664" s="581"/>
      <c r="U664" s="581"/>
      <c r="V664" s="581"/>
      <c r="W664" s="1475"/>
      <c r="X664" s="581"/>
      <c r="Y664" s="581"/>
    </row>
    <row r="665">
      <c r="A665" s="581"/>
      <c r="B665" s="1467"/>
      <c r="C665" s="581"/>
      <c r="D665" s="581"/>
      <c r="E665" s="581"/>
      <c r="F665" s="624"/>
      <c r="G665" s="581"/>
      <c r="H665" s="581"/>
      <c r="I665" s="581"/>
      <c r="J665" s="581"/>
      <c r="K665" s="581"/>
      <c r="L665" s="581"/>
      <c r="M665" s="1477"/>
      <c r="N665" s="1477"/>
      <c r="O665" s="1477"/>
      <c r="P665" s="1467"/>
      <c r="Q665" s="581"/>
      <c r="R665" s="581"/>
      <c r="S665" s="581"/>
      <c r="T665" s="581"/>
      <c r="U665" s="581"/>
      <c r="V665" s="581"/>
      <c r="W665" s="1475"/>
      <c r="X665" s="581"/>
      <c r="Y665" s="581"/>
    </row>
    <row r="666">
      <c r="A666" s="581"/>
      <c r="B666" s="1467"/>
      <c r="C666" s="581"/>
      <c r="D666" s="581"/>
      <c r="E666" s="581"/>
      <c r="F666" s="624"/>
      <c r="G666" s="581"/>
      <c r="H666" s="581"/>
      <c r="I666" s="581"/>
      <c r="J666" s="581"/>
      <c r="K666" s="581"/>
      <c r="L666" s="581"/>
      <c r="M666" s="1477"/>
      <c r="N666" s="1477"/>
      <c r="O666" s="1477"/>
      <c r="P666" s="1467"/>
      <c r="Q666" s="581"/>
      <c r="R666" s="581"/>
      <c r="S666" s="581"/>
      <c r="T666" s="581"/>
      <c r="U666" s="581"/>
      <c r="V666" s="581"/>
      <c r="W666" s="1475"/>
      <c r="X666" s="581"/>
      <c r="Y666" s="581"/>
    </row>
    <row r="667">
      <c r="A667" s="581"/>
      <c r="B667" s="1467"/>
      <c r="C667" s="581"/>
      <c r="D667" s="581"/>
      <c r="E667" s="581"/>
      <c r="F667" s="624"/>
      <c r="G667" s="581"/>
      <c r="H667" s="581"/>
      <c r="I667" s="581"/>
      <c r="J667" s="581"/>
      <c r="K667" s="581"/>
      <c r="L667" s="581"/>
      <c r="M667" s="1477"/>
      <c r="N667" s="1477"/>
      <c r="O667" s="1477"/>
      <c r="P667" s="1467"/>
      <c r="Q667" s="581"/>
      <c r="R667" s="581"/>
      <c r="S667" s="581"/>
      <c r="T667" s="581"/>
      <c r="U667" s="581"/>
      <c r="V667" s="581"/>
      <c r="W667" s="1475"/>
      <c r="X667" s="581"/>
      <c r="Y667" s="581"/>
    </row>
    <row r="668">
      <c r="A668" s="581"/>
      <c r="B668" s="1467"/>
      <c r="C668" s="581"/>
      <c r="D668" s="581"/>
      <c r="E668" s="581"/>
      <c r="F668" s="624"/>
      <c r="G668" s="581"/>
      <c r="H668" s="581"/>
      <c r="I668" s="581"/>
      <c r="J668" s="581"/>
      <c r="K668" s="581"/>
      <c r="L668" s="581"/>
      <c r="M668" s="1477"/>
      <c r="N668" s="1477"/>
      <c r="O668" s="1477"/>
      <c r="P668" s="1467"/>
      <c r="Q668" s="581"/>
      <c r="R668" s="581"/>
      <c r="S668" s="581"/>
      <c r="T668" s="581"/>
      <c r="U668" s="581"/>
      <c r="V668" s="581"/>
      <c r="W668" s="1475"/>
      <c r="X668" s="581"/>
      <c r="Y668" s="581"/>
    </row>
    <row r="669">
      <c r="A669" s="581"/>
      <c r="B669" s="1467"/>
      <c r="C669" s="581"/>
      <c r="D669" s="581"/>
      <c r="E669" s="581"/>
      <c r="F669" s="624"/>
      <c r="G669" s="581"/>
      <c r="H669" s="581"/>
      <c r="I669" s="581"/>
      <c r="J669" s="581"/>
      <c r="K669" s="581"/>
      <c r="L669" s="581"/>
      <c r="M669" s="1477"/>
      <c r="N669" s="1477"/>
      <c r="O669" s="1477"/>
      <c r="P669" s="1467"/>
      <c r="Q669" s="581"/>
      <c r="R669" s="581"/>
      <c r="S669" s="581"/>
      <c r="T669" s="581"/>
      <c r="U669" s="581"/>
      <c r="V669" s="581"/>
      <c r="W669" s="1475"/>
      <c r="X669" s="581"/>
      <c r="Y669" s="581"/>
    </row>
    <row r="670">
      <c r="A670" s="581"/>
      <c r="B670" s="1467"/>
      <c r="C670" s="581"/>
      <c r="D670" s="581"/>
      <c r="E670" s="581"/>
      <c r="F670" s="624"/>
      <c r="G670" s="581"/>
      <c r="H670" s="581"/>
      <c r="I670" s="581"/>
      <c r="J670" s="581"/>
      <c r="K670" s="581"/>
      <c r="L670" s="581"/>
      <c r="M670" s="1477"/>
      <c r="N670" s="1477"/>
      <c r="O670" s="1477"/>
      <c r="P670" s="1467"/>
      <c r="Q670" s="581"/>
      <c r="R670" s="581"/>
      <c r="S670" s="581"/>
      <c r="T670" s="581"/>
      <c r="U670" s="581"/>
      <c r="V670" s="581"/>
      <c r="W670" s="1475"/>
      <c r="X670" s="581"/>
      <c r="Y670" s="581"/>
    </row>
    <row r="671">
      <c r="A671" s="581"/>
      <c r="B671" s="1467"/>
      <c r="C671" s="581"/>
      <c r="D671" s="581"/>
      <c r="E671" s="581"/>
      <c r="F671" s="624"/>
      <c r="G671" s="581"/>
      <c r="H671" s="581"/>
      <c r="I671" s="581"/>
      <c r="J671" s="581"/>
      <c r="K671" s="581"/>
      <c r="L671" s="581"/>
      <c r="M671" s="1477"/>
      <c r="N671" s="1477"/>
      <c r="O671" s="1477"/>
      <c r="P671" s="1467"/>
      <c r="Q671" s="581"/>
      <c r="R671" s="581"/>
      <c r="S671" s="581"/>
      <c r="T671" s="581"/>
      <c r="U671" s="581"/>
      <c r="V671" s="581"/>
      <c r="W671" s="1475"/>
      <c r="X671" s="581"/>
      <c r="Y671" s="581"/>
    </row>
    <row r="672">
      <c r="A672" s="581"/>
      <c r="B672" s="1467"/>
      <c r="C672" s="581"/>
      <c r="D672" s="581"/>
      <c r="E672" s="581"/>
      <c r="F672" s="624"/>
      <c r="G672" s="581"/>
      <c r="H672" s="581"/>
      <c r="I672" s="581"/>
      <c r="J672" s="581"/>
      <c r="K672" s="581"/>
      <c r="L672" s="581"/>
      <c r="M672" s="1477"/>
      <c r="N672" s="1477"/>
      <c r="O672" s="1477"/>
      <c r="P672" s="1467"/>
      <c r="Q672" s="581"/>
      <c r="R672" s="581"/>
      <c r="S672" s="581"/>
      <c r="T672" s="581"/>
      <c r="U672" s="581"/>
      <c r="V672" s="581"/>
      <c r="W672" s="1475"/>
      <c r="X672" s="581"/>
      <c r="Y672" s="581"/>
    </row>
    <row r="673">
      <c r="A673" s="581"/>
      <c r="B673" s="1467"/>
      <c r="C673" s="581"/>
      <c r="D673" s="581"/>
      <c r="E673" s="581"/>
      <c r="F673" s="624"/>
      <c r="G673" s="581"/>
      <c r="H673" s="581"/>
      <c r="I673" s="581"/>
      <c r="J673" s="581"/>
      <c r="K673" s="581"/>
      <c r="L673" s="581"/>
      <c r="M673" s="1477"/>
      <c r="N673" s="1477"/>
      <c r="O673" s="1477"/>
      <c r="P673" s="1467"/>
      <c r="Q673" s="581"/>
      <c r="R673" s="581"/>
      <c r="S673" s="581"/>
      <c r="T673" s="581"/>
      <c r="U673" s="581"/>
      <c r="V673" s="581"/>
      <c r="W673" s="1475"/>
      <c r="X673" s="581"/>
      <c r="Y673" s="581"/>
    </row>
    <row r="674">
      <c r="A674" s="581"/>
      <c r="B674" s="1467"/>
      <c r="C674" s="581"/>
      <c r="D674" s="581"/>
      <c r="E674" s="581"/>
      <c r="F674" s="624"/>
      <c r="G674" s="581"/>
      <c r="H674" s="581"/>
      <c r="I674" s="581"/>
      <c r="J674" s="581"/>
      <c r="K674" s="581"/>
      <c r="L674" s="581"/>
      <c r="M674" s="1477"/>
      <c r="N674" s="1477"/>
      <c r="O674" s="1477"/>
      <c r="P674" s="1467"/>
      <c r="Q674" s="581"/>
      <c r="R674" s="581"/>
      <c r="S674" s="581"/>
      <c r="T674" s="581"/>
      <c r="U674" s="581"/>
      <c r="V674" s="581"/>
      <c r="W674" s="1475"/>
      <c r="X674" s="581"/>
      <c r="Y674" s="581"/>
    </row>
    <row r="675">
      <c r="A675" s="581"/>
      <c r="B675" s="1467"/>
      <c r="C675" s="581"/>
      <c r="D675" s="581"/>
      <c r="E675" s="581"/>
      <c r="F675" s="624"/>
      <c r="G675" s="581"/>
      <c r="H675" s="581"/>
      <c r="I675" s="581"/>
      <c r="J675" s="581"/>
      <c r="K675" s="581"/>
      <c r="L675" s="581"/>
      <c r="M675" s="1477"/>
      <c r="N675" s="1477"/>
      <c r="O675" s="1477"/>
      <c r="P675" s="1467"/>
      <c r="Q675" s="581"/>
      <c r="R675" s="581"/>
      <c r="S675" s="581"/>
      <c r="T675" s="581"/>
      <c r="U675" s="581"/>
      <c r="V675" s="581"/>
      <c r="W675" s="1475"/>
      <c r="X675" s="581"/>
      <c r="Y675" s="581"/>
    </row>
    <row r="676">
      <c r="A676" s="581"/>
      <c r="B676" s="1467"/>
      <c r="C676" s="581"/>
      <c r="D676" s="581"/>
      <c r="E676" s="581"/>
      <c r="F676" s="624"/>
      <c r="G676" s="581"/>
      <c r="H676" s="581"/>
      <c r="I676" s="581"/>
      <c r="J676" s="581"/>
      <c r="K676" s="581"/>
      <c r="L676" s="581"/>
      <c r="M676" s="1477"/>
      <c r="N676" s="1477"/>
      <c r="O676" s="1477"/>
      <c r="P676" s="1467"/>
      <c r="Q676" s="581"/>
      <c r="R676" s="581"/>
      <c r="S676" s="581"/>
      <c r="T676" s="581"/>
      <c r="U676" s="581"/>
      <c r="V676" s="581"/>
      <c r="W676" s="1475"/>
      <c r="X676" s="581"/>
      <c r="Y676" s="581"/>
    </row>
    <row r="677">
      <c r="A677" s="581"/>
      <c r="B677" s="1467"/>
      <c r="C677" s="581"/>
      <c r="D677" s="581"/>
      <c r="E677" s="581"/>
      <c r="F677" s="624"/>
      <c r="G677" s="581"/>
      <c r="H677" s="581"/>
      <c r="I677" s="581"/>
      <c r="J677" s="581"/>
      <c r="K677" s="581"/>
      <c r="L677" s="581"/>
      <c r="M677" s="1477"/>
      <c r="N677" s="1477"/>
      <c r="O677" s="1477"/>
      <c r="P677" s="1467"/>
      <c r="Q677" s="581"/>
      <c r="R677" s="581"/>
      <c r="S677" s="581"/>
      <c r="T677" s="581"/>
      <c r="U677" s="581"/>
      <c r="V677" s="581"/>
      <c r="W677" s="1475"/>
      <c r="X677" s="581"/>
      <c r="Y677" s="581"/>
    </row>
    <row r="678">
      <c r="A678" s="581"/>
      <c r="B678" s="1467"/>
      <c r="C678" s="581"/>
      <c r="D678" s="581"/>
      <c r="E678" s="581"/>
      <c r="F678" s="624"/>
      <c r="G678" s="581"/>
      <c r="H678" s="581"/>
      <c r="I678" s="581"/>
      <c r="J678" s="581"/>
      <c r="K678" s="581"/>
      <c r="L678" s="581"/>
      <c r="M678" s="1477"/>
      <c r="N678" s="1477"/>
      <c r="O678" s="1477"/>
      <c r="P678" s="1467"/>
      <c r="Q678" s="581"/>
      <c r="R678" s="581"/>
      <c r="S678" s="581"/>
      <c r="T678" s="581"/>
      <c r="U678" s="581"/>
      <c r="V678" s="581"/>
      <c r="W678" s="1475"/>
      <c r="X678" s="581"/>
      <c r="Y678" s="581"/>
    </row>
    <row r="679">
      <c r="A679" s="581"/>
      <c r="B679" s="1467"/>
      <c r="C679" s="581"/>
      <c r="D679" s="581"/>
      <c r="E679" s="581"/>
      <c r="F679" s="624"/>
      <c r="G679" s="581"/>
      <c r="H679" s="581"/>
      <c r="I679" s="581"/>
      <c r="J679" s="581"/>
      <c r="K679" s="581"/>
      <c r="L679" s="581"/>
      <c r="M679" s="1477"/>
      <c r="N679" s="1477"/>
      <c r="O679" s="1477"/>
      <c r="P679" s="1467"/>
      <c r="Q679" s="581"/>
      <c r="R679" s="581"/>
      <c r="S679" s="581"/>
      <c r="T679" s="581"/>
      <c r="U679" s="581"/>
      <c r="V679" s="581"/>
      <c r="W679" s="1475"/>
      <c r="X679" s="581"/>
      <c r="Y679" s="581"/>
    </row>
    <row r="680">
      <c r="A680" s="581"/>
      <c r="B680" s="1467"/>
      <c r="C680" s="581"/>
      <c r="D680" s="581"/>
      <c r="E680" s="581"/>
      <c r="F680" s="624"/>
      <c r="G680" s="581"/>
      <c r="H680" s="581"/>
      <c r="I680" s="581"/>
      <c r="J680" s="581"/>
      <c r="K680" s="581"/>
      <c r="L680" s="581"/>
      <c r="M680" s="1477"/>
      <c r="N680" s="1477"/>
      <c r="O680" s="1477"/>
      <c r="P680" s="1467"/>
      <c r="Q680" s="581"/>
      <c r="R680" s="581"/>
      <c r="S680" s="581"/>
      <c r="T680" s="581"/>
      <c r="U680" s="581"/>
      <c r="V680" s="581"/>
      <c r="W680" s="1475"/>
      <c r="X680" s="581"/>
      <c r="Y680" s="581"/>
    </row>
    <row r="681">
      <c r="A681" s="581"/>
      <c r="B681" s="1467"/>
      <c r="C681" s="581"/>
      <c r="D681" s="581"/>
      <c r="E681" s="581"/>
      <c r="F681" s="624"/>
      <c r="G681" s="581"/>
      <c r="H681" s="581"/>
      <c r="I681" s="581"/>
      <c r="J681" s="581"/>
      <c r="K681" s="581"/>
      <c r="L681" s="581"/>
      <c r="M681" s="1477"/>
      <c r="N681" s="1477"/>
      <c r="O681" s="1477"/>
      <c r="P681" s="1467"/>
      <c r="Q681" s="581"/>
      <c r="R681" s="581"/>
      <c r="S681" s="581"/>
      <c r="T681" s="581"/>
      <c r="U681" s="581"/>
      <c r="V681" s="581"/>
      <c r="W681" s="1475"/>
      <c r="X681" s="581"/>
      <c r="Y681" s="581"/>
    </row>
    <row r="682">
      <c r="A682" s="581"/>
      <c r="B682" s="1467"/>
      <c r="C682" s="581"/>
      <c r="D682" s="581"/>
      <c r="E682" s="581"/>
      <c r="F682" s="624"/>
      <c r="G682" s="581"/>
      <c r="H682" s="581"/>
      <c r="I682" s="581"/>
      <c r="J682" s="581"/>
      <c r="K682" s="581"/>
      <c r="L682" s="581"/>
      <c r="M682" s="1477"/>
      <c r="N682" s="1477"/>
      <c r="O682" s="1477"/>
      <c r="P682" s="1467"/>
      <c r="Q682" s="581"/>
      <c r="R682" s="581"/>
      <c r="S682" s="581"/>
      <c r="T682" s="581"/>
      <c r="U682" s="581"/>
      <c r="V682" s="581"/>
      <c r="W682" s="1475"/>
      <c r="X682" s="581"/>
      <c r="Y682" s="581"/>
    </row>
    <row r="683">
      <c r="A683" s="581"/>
      <c r="B683" s="1467"/>
      <c r="C683" s="581"/>
      <c r="D683" s="581"/>
      <c r="E683" s="581"/>
      <c r="F683" s="624"/>
      <c r="G683" s="581"/>
      <c r="H683" s="581"/>
      <c r="I683" s="581"/>
      <c r="J683" s="581"/>
      <c r="K683" s="581"/>
      <c r="L683" s="581"/>
      <c r="M683" s="1477"/>
      <c r="N683" s="1477"/>
      <c r="O683" s="1477"/>
      <c r="P683" s="1467"/>
      <c r="Q683" s="581"/>
      <c r="R683" s="581"/>
      <c r="S683" s="581"/>
      <c r="T683" s="581"/>
      <c r="U683" s="581"/>
      <c r="V683" s="581"/>
      <c r="W683" s="1475"/>
      <c r="X683" s="581"/>
      <c r="Y683" s="581"/>
    </row>
    <row r="684">
      <c r="A684" s="581"/>
      <c r="B684" s="1467"/>
      <c r="C684" s="581"/>
      <c r="D684" s="581"/>
      <c r="E684" s="581"/>
      <c r="F684" s="624"/>
      <c r="G684" s="581"/>
      <c r="H684" s="581"/>
      <c r="I684" s="581"/>
      <c r="J684" s="581"/>
      <c r="K684" s="581"/>
      <c r="L684" s="581"/>
      <c r="M684" s="1477"/>
      <c r="N684" s="1477"/>
      <c r="O684" s="1477"/>
      <c r="P684" s="1467"/>
      <c r="Q684" s="581"/>
      <c r="R684" s="581"/>
      <c r="S684" s="581"/>
      <c r="T684" s="581"/>
      <c r="U684" s="581"/>
      <c r="V684" s="581"/>
      <c r="W684" s="1475"/>
      <c r="X684" s="581"/>
      <c r="Y684" s="581"/>
    </row>
    <row r="685">
      <c r="A685" s="581"/>
      <c r="B685" s="1467"/>
      <c r="C685" s="581"/>
      <c r="D685" s="581"/>
      <c r="E685" s="581"/>
      <c r="F685" s="624"/>
      <c r="G685" s="581"/>
      <c r="H685" s="581"/>
      <c r="I685" s="581"/>
      <c r="J685" s="581"/>
      <c r="K685" s="581"/>
      <c r="L685" s="581"/>
      <c r="M685" s="1477"/>
      <c r="N685" s="1477"/>
      <c r="O685" s="1477"/>
      <c r="P685" s="1467"/>
      <c r="Q685" s="581"/>
      <c r="R685" s="581"/>
      <c r="S685" s="581"/>
      <c r="T685" s="581"/>
      <c r="U685" s="581"/>
      <c r="V685" s="581"/>
      <c r="W685" s="1475"/>
      <c r="X685" s="581"/>
      <c r="Y685" s="581"/>
    </row>
    <row r="686">
      <c r="A686" s="581"/>
      <c r="B686" s="1467"/>
      <c r="C686" s="581"/>
      <c r="D686" s="581"/>
      <c r="E686" s="581"/>
      <c r="F686" s="624"/>
      <c r="G686" s="581"/>
      <c r="H686" s="581"/>
      <c r="I686" s="581"/>
      <c r="J686" s="581"/>
      <c r="K686" s="581"/>
      <c r="L686" s="581"/>
      <c r="M686" s="1477"/>
      <c r="N686" s="1477"/>
      <c r="O686" s="1477"/>
      <c r="P686" s="1467"/>
      <c r="Q686" s="581"/>
      <c r="R686" s="581"/>
      <c r="S686" s="581"/>
      <c r="T686" s="581"/>
      <c r="U686" s="581"/>
      <c r="V686" s="581"/>
      <c r="W686" s="1475"/>
      <c r="X686" s="581"/>
      <c r="Y686" s="581"/>
    </row>
    <row r="687">
      <c r="A687" s="581"/>
      <c r="B687" s="1467"/>
      <c r="C687" s="581"/>
      <c r="D687" s="581"/>
      <c r="E687" s="581"/>
      <c r="F687" s="624"/>
      <c r="G687" s="581"/>
      <c r="H687" s="581"/>
      <c r="I687" s="581"/>
      <c r="J687" s="581"/>
      <c r="K687" s="581"/>
      <c r="L687" s="581"/>
      <c r="M687" s="1477"/>
      <c r="N687" s="1477"/>
      <c r="O687" s="1477"/>
      <c r="P687" s="1467"/>
      <c r="Q687" s="581"/>
      <c r="R687" s="581"/>
      <c r="S687" s="581"/>
      <c r="T687" s="581"/>
      <c r="U687" s="581"/>
      <c r="V687" s="581"/>
      <c r="W687" s="1475"/>
      <c r="X687" s="581"/>
      <c r="Y687" s="581"/>
    </row>
    <row r="688">
      <c r="A688" s="581"/>
      <c r="B688" s="1467"/>
      <c r="C688" s="581"/>
      <c r="D688" s="581"/>
      <c r="E688" s="581"/>
      <c r="F688" s="624"/>
      <c r="G688" s="581"/>
      <c r="H688" s="581"/>
      <c r="I688" s="581"/>
      <c r="J688" s="581"/>
      <c r="K688" s="581"/>
      <c r="L688" s="581"/>
      <c r="M688" s="1477"/>
      <c r="N688" s="1477"/>
      <c r="O688" s="1477"/>
      <c r="P688" s="1467"/>
      <c r="Q688" s="581"/>
      <c r="R688" s="581"/>
      <c r="S688" s="581"/>
      <c r="T688" s="581"/>
      <c r="U688" s="581"/>
      <c r="V688" s="581"/>
      <c r="W688" s="1475"/>
      <c r="X688" s="581"/>
      <c r="Y688" s="581"/>
    </row>
    <row r="689">
      <c r="A689" s="581"/>
      <c r="B689" s="1467"/>
      <c r="C689" s="581"/>
      <c r="D689" s="581"/>
      <c r="E689" s="581"/>
      <c r="F689" s="624"/>
      <c r="G689" s="581"/>
      <c r="H689" s="581"/>
      <c r="I689" s="581"/>
      <c r="J689" s="581"/>
      <c r="K689" s="581"/>
      <c r="L689" s="581"/>
      <c r="M689" s="1477"/>
      <c r="N689" s="1477"/>
      <c r="O689" s="1477"/>
      <c r="P689" s="1467"/>
      <c r="Q689" s="581"/>
      <c r="R689" s="581"/>
      <c r="S689" s="581"/>
      <c r="T689" s="581"/>
      <c r="U689" s="581"/>
      <c r="V689" s="581"/>
      <c r="W689" s="1475"/>
      <c r="X689" s="581"/>
      <c r="Y689" s="581"/>
    </row>
    <row r="690">
      <c r="A690" s="581"/>
      <c r="B690" s="1467"/>
      <c r="C690" s="581"/>
      <c r="D690" s="581"/>
      <c r="E690" s="581"/>
      <c r="F690" s="624"/>
      <c r="G690" s="581"/>
      <c r="H690" s="581"/>
      <c r="I690" s="581"/>
      <c r="J690" s="581"/>
      <c r="K690" s="581"/>
      <c r="L690" s="581"/>
      <c r="M690" s="1477"/>
      <c r="N690" s="1477"/>
      <c r="O690" s="1477"/>
      <c r="P690" s="1467"/>
      <c r="Q690" s="581"/>
      <c r="R690" s="581"/>
      <c r="S690" s="581"/>
      <c r="T690" s="581"/>
      <c r="U690" s="581"/>
      <c r="V690" s="581"/>
      <c r="W690" s="1475"/>
      <c r="X690" s="581"/>
      <c r="Y690" s="581"/>
    </row>
    <row r="691">
      <c r="A691" s="581"/>
      <c r="B691" s="1467"/>
      <c r="C691" s="581"/>
      <c r="D691" s="581"/>
      <c r="E691" s="581"/>
      <c r="F691" s="624"/>
      <c r="G691" s="581"/>
      <c r="H691" s="581"/>
      <c r="I691" s="581"/>
      <c r="J691" s="581"/>
      <c r="K691" s="581"/>
      <c r="L691" s="581"/>
      <c r="M691" s="1477"/>
      <c r="N691" s="1477"/>
      <c r="O691" s="1477"/>
      <c r="P691" s="1467"/>
      <c r="Q691" s="581"/>
      <c r="R691" s="581"/>
      <c r="S691" s="581"/>
      <c r="T691" s="581"/>
      <c r="U691" s="581"/>
      <c r="V691" s="581"/>
      <c r="W691" s="1475"/>
      <c r="X691" s="581"/>
      <c r="Y691" s="581"/>
    </row>
    <row r="692">
      <c r="A692" s="581"/>
      <c r="B692" s="1467"/>
      <c r="C692" s="581"/>
      <c r="D692" s="581"/>
      <c r="E692" s="581"/>
      <c r="F692" s="624"/>
      <c r="G692" s="581"/>
      <c r="H692" s="581"/>
      <c r="I692" s="581"/>
      <c r="J692" s="581"/>
      <c r="K692" s="581"/>
      <c r="L692" s="581"/>
      <c r="M692" s="1477"/>
      <c r="N692" s="1477"/>
      <c r="O692" s="1477"/>
      <c r="P692" s="1467"/>
      <c r="Q692" s="581"/>
      <c r="R692" s="581"/>
      <c r="S692" s="581"/>
      <c r="T692" s="581"/>
      <c r="U692" s="581"/>
      <c r="V692" s="581"/>
      <c r="W692" s="1475"/>
      <c r="X692" s="581"/>
      <c r="Y692" s="581"/>
    </row>
    <row r="693">
      <c r="A693" s="581"/>
      <c r="B693" s="1467"/>
      <c r="C693" s="581"/>
      <c r="D693" s="581"/>
      <c r="E693" s="581"/>
      <c r="F693" s="624"/>
      <c r="G693" s="581"/>
      <c r="H693" s="581"/>
      <c r="I693" s="581"/>
      <c r="J693" s="581"/>
      <c r="K693" s="581"/>
      <c r="L693" s="581"/>
      <c r="M693" s="1477"/>
      <c r="N693" s="1477"/>
      <c r="O693" s="1477"/>
      <c r="P693" s="1467"/>
      <c r="Q693" s="581"/>
      <c r="R693" s="581"/>
      <c r="S693" s="581"/>
      <c r="T693" s="581"/>
      <c r="U693" s="581"/>
      <c r="V693" s="581"/>
      <c r="W693" s="1475"/>
      <c r="X693" s="581"/>
      <c r="Y693" s="581"/>
    </row>
    <row r="694">
      <c r="A694" s="581"/>
      <c r="B694" s="1467"/>
      <c r="C694" s="581"/>
      <c r="D694" s="581"/>
      <c r="E694" s="581"/>
      <c r="F694" s="624"/>
      <c r="G694" s="581"/>
      <c r="H694" s="581"/>
      <c r="I694" s="581"/>
      <c r="J694" s="581"/>
      <c r="K694" s="581"/>
      <c r="L694" s="581"/>
      <c r="M694" s="1477"/>
      <c r="N694" s="1477"/>
      <c r="O694" s="1477"/>
      <c r="P694" s="1467"/>
      <c r="Q694" s="581"/>
      <c r="R694" s="581"/>
      <c r="S694" s="581"/>
      <c r="T694" s="581"/>
      <c r="U694" s="581"/>
      <c r="V694" s="581"/>
      <c r="W694" s="1475"/>
      <c r="X694" s="581"/>
      <c r="Y694" s="581"/>
    </row>
    <row r="695">
      <c r="A695" s="581"/>
      <c r="B695" s="1467"/>
      <c r="C695" s="581"/>
      <c r="D695" s="581"/>
      <c r="E695" s="581"/>
      <c r="F695" s="624"/>
      <c r="G695" s="581"/>
      <c r="H695" s="581"/>
      <c r="I695" s="581"/>
      <c r="J695" s="581"/>
      <c r="K695" s="581"/>
      <c r="L695" s="581"/>
      <c r="M695" s="1477"/>
      <c r="N695" s="1477"/>
      <c r="O695" s="1477"/>
      <c r="P695" s="1467"/>
      <c r="Q695" s="581"/>
      <c r="R695" s="581"/>
      <c r="S695" s="581"/>
      <c r="T695" s="581"/>
      <c r="U695" s="581"/>
      <c r="V695" s="581"/>
      <c r="W695" s="1475"/>
      <c r="X695" s="581"/>
      <c r="Y695" s="581"/>
    </row>
    <row r="696">
      <c r="A696" s="581"/>
      <c r="B696" s="1467"/>
      <c r="C696" s="581"/>
      <c r="D696" s="581"/>
      <c r="E696" s="581"/>
      <c r="F696" s="624"/>
      <c r="G696" s="581"/>
      <c r="H696" s="581"/>
      <c r="I696" s="581"/>
      <c r="J696" s="581"/>
      <c r="K696" s="581"/>
      <c r="L696" s="581"/>
      <c r="M696" s="1477"/>
      <c r="N696" s="1477"/>
      <c r="O696" s="1477"/>
      <c r="P696" s="1467"/>
      <c r="Q696" s="581"/>
      <c r="R696" s="581"/>
      <c r="S696" s="581"/>
      <c r="T696" s="581"/>
      <c r="U696" s="581"/>
      <c r="V696" s="581"/>
      <c r="W696" s="1475"/>
      <c r="X696" s="581"/>
      <c r="Y696" s="581"/>
    </row>
    <row r="697">
      <c r="A697" s="581"/>
      <c r="B697" s="1467"/>
      <c r="C697" s="581"/>
      <c r="D697" s="581"/>
      <c r="E697" s="581"/>
      <c r="F697" s="624"/>
      <c r="G697" s="581"/>
      <c r="H697" s="581"/>
      <c r="I697" s="581"/>
      <c r="J697" s="581"/>
      <c r="K697" s="581"/>
      <c r="L697" s="581"/>
      <c r="M697" s="1477"/>
      <c r="N697" s="1477"/>
      <c r="O697" s="1477"/>
      <c r="P697" s="1467"/>
      <c r="Q697" s="581"/>
      <c r="R697" s="581"/>
      <c r="S697" s="581"/>
      <c r="T697" s="581"/>
      <c r="U697" s="581"/>
      <c r="V697" s="581"/>
      <c r="W697" s="1475"/>
      <c r="X697" s="581"/>
      <c r="Y697" s="581"/>
    </row>
    <row r="698">
      <c r="A698" s="581"/>
      <c r="B698" s="1467"/>
      <c r="C698" s="581"/>
      <c r="D698" s="581"/>
      <c r="E698" s="581"/>
      <c r="F698" s="624"/>
      <c r="G698" s="581"/>
      <c r="H698" s="581"/>
      <c r="I698" s="581"/>
      <c r="J698" s="581"/>
      <c r="K698" s="581"/>
      <c r="L698" s="581"/>
      <c r="M698" s="1477"/>
      <c r="N698" s="1477"/>
      <c r="O698" s="1477"/>
      <c r="P698" s="1467"/>
      <c r="Q698" s="581"/>
      <c r="R698" s="581"/>
      <c r="S698" s="581"/>
      <c r="T698" s="581"/>
      <c r="U698" s="581"/>
      <c r="V698" s="581"/>
      <c r="W698" s="1475"/>
      <c r="X698" s="581"/>
      <c r="Y698" s="581"/>
    </row>
    <row r="699">
      <c r="A699" s="581"/>
      <c r="B699" s="1467"/>
      <c r="C699" s="581"/>
      <c r="D699" s="581"/>
      <c r="E699" s="581"/>
      <c r="F699" s="624"/>
      <c r="G699" s="581"/>
      <c r="H699" s="581"/>
      <c r="I699" s="581"/>
      <c r="J699" s="581"/>
      <c r="K699" s="581"/>
      <c r="L699" s="581"/>
      <c r="M699" s="1477"/>
      <c r="N699" s="1477"/>
      <c r="O699" s="1477"/>
      <c r="P699" s="1467"/>
      <c r="Q699" s="581"/>
      <c r="R699" s="581"/>
      <c r="S699" s="581"/>
      <c r="T699" s="581"/>
      <c r="U699" s="581"/>
      <c r="V699" s="581"/>
      <c r="W699" s="1475"/>
      <c r="X699" s="581"/>
      <c r="Y699" s="581"/>
    </row>
    <row r="700">
      <c r="A700" s="581"/>
      <c r="B700" s="1467"/>
      <c r="C700" s="581"/>
      <c r="D700" s="581"/>
      <c r="E700" s="581"/>
      <c r="F700" s="624"/>
      <c r="G700" s="581"/>
      <c r="H700" s="581"/>
      <c r="I700" s="581"/>
      <c r="J700" s="581"/>
      <c r="K700" s="581"/>
      <c r="L700" s="581"/>
      <c r="M700" s="1477"/>
      <c r="N700" s="1477"/>
      <c r="O700" s="1477"/>
      <c r="P700" s="1467"/>
      <c r="Q700" s="581"/>
      <c r="R700" s="581"/>
      <c r="S700" s="581"/>
      <c r="T700" s="581"/>
      <c r="U700" s="581"/>
      <c r="V700" s="581"/>
      <c r="W700" s="1475"/>
      <c r="X700" s="581"/>
      <c r="Y700" s="581"/>
    </row>
    <row r="701">
      <c r="A701" s="581"/>
      <c r="B701" s="1467"/>
      <c r="C701" s="581"/>
      <c r="D701" s="581"/>
      <c r="E701" s="581"/>
      <c r="F701" s="624"/>
      <c r="G701" s="581"/>
      <c r="H701" s="581"/>
      <c r="I701" s="581"/>
      <c r="J701" s="581"/>
      <c r="K701" s="581"/>
      <c r="L701" s="581"/>
      <c r="M701" s="1477"/>
      <c r="N701" s="1477"/>
      <c r="O701" s="1477"/>
      <c r="P701" s="1467"/>
      <c r="Q701" s="581"/>
      <c r="R701" s="581"/>
      <c r="S701" s="581"/>
      <c r="T701" s="581"/>
      <c r="U701" s="581"/>
      <c r="V701" s="581"/>
      <c r="W701" s="1475"/>
      <c r="X701" s="581"/>
      <c r="Y701" s="581"/>
    </row>
    <row r="702">
      <c r="A702" s="581"/>
      <c r="B702" s="1467"/>
      <c r="C702" s="581"/>
      <c r="D702" s="581"/>
      <c r="E702" s="581"/>
      <c r="F702" s="624"/>
      <c r="G702" s="581"/>
      <c r="H702" s="581"/>
      <c r="I702" s="581"/>
      <c r="J702" s="581"/>
      <c r="K702" s="581"/>
      <c r="L702" s="581"/>
      <c r="M702" s="1477"/>
      <c r="N702" s="1477"/>
      <c r="O702" s="1477"/>
      <c r="P702" s="1467"/>
      <c r="Q702" s="581"/>
      <c r="R702" s="581"/>
      <c r="S702" s="581"/>
      <c r="T702" s="581"/>
      <c r="U702" s="581"/>
      <c r="V702" s="581"/>
      <c r="W702" s="1475"/>
      <c r="X702" s="581"/>
      <c r="Y702" s="581"/>
    </row>
    <row r="703">
      <c r="A703" s="581"/>
      <c r="B703" s="1467"/>
      <c r="C703" s="581"/>
      <c r="D703" s="581"/>
      <c r="E703" s="581"/>
      <c r="F703" s="624"/>
      <c r="G703" s="581"/>
      <c r="H703" s="581"/>
      <c r="I703" s="581"/>
      <c r="J703" s="581"/>
      <c r="K703" s="581"/>
      <c r="L703" s="581"/>
      <c r="M703" s="1477"/>
      <c r="N703" s="1477"/>
      <c r="O703" s="1477"/>
      <c r="P703" s="1467"/>
      <c r="Q703" s="581"/>
      <c r="R703" s="581"/>
      <c r="S703" s="581"/>
      <c r="T703" s="581"/>
      <c r="U703" s="581"/>
      <c r="V703" s="581"/>
      <c r="W703" s="1475"/>
      <c r="X703" s="581"/>
      <c r="Y703" s="581"/>
    </row>
    <row r="704">
      <c r="A704" s="581"/>
      <c r="B704" s="1467"/>
      <c r="C704" s="581"/>
      <c r="D704" s="581"/>
      <c r="E704" s="581"/>
      <c r="F704" s="624"/>
      <c r="G704" s="581"/>
      <c r="H704" s="581"/>
      <c r="I704" s="581"/>
      <c r="J704" s="581"/>
      <c r="K704" s="581"/>
      <c r="L704" s="581"/>
      <c r="M704" s="1477"/>
      <c r="N704" s="1477"/>
      <c r="O704" s="1477"/>
      <c r="P704" s="1467"/>
      <c r="Q704" s="581"/>
      <c r="R704" s="581"/>
      <c r="S704" s="581"/>
      <c r="T704" s="581"/>
      <c r="U704" s="581"/>
      <c r="V704" s="581"/>
      <c r="W704" s="1475"/>
      <c r="X704" s="581"/>
      <c r="Y704" s="581"/>
    </row>
    <row r="705">
      <c r="A705" s="581"/>
      <c r="B705" s="1467"/>
      <c r="C705" s="581"/>
      <c r="D705" s="581"/>
      <c r="E705" s="581"/>
      <c r="F705" s="624"/>
      <c r="G705" s="581"/>
      <c r="H705" s="581"/>
      <c r="I705" s="581"/>
      <c r="J705" s="581"/>
      <c r="K705" s="581"/>
      <c r="L705" s="581"/>
      <c r="M705" s="1477"/>
      <c r="N705" s="1477"/>
      <c r="O705" s="1477"/>
      <c r="P705" s="1467"/>
      <c r="Q705" s="581"/>
      <c r="R705" s="581"/>
      <c r="S705" s="581"/>
      <c r="T705" s="581"/>
      <c r="U705" s="581"/>
      <c r="V705" s="581"/>
      <c r="W705" s="1475"/>
      <c r="X705" s="581"/>
      <c r="Y705" s="581"/>
    </row>
    <row r="706">
      <c r="A706" s="581"/>
      <c r="B706" s="1467"/>
      <c r="C706" s="581"/>
      <c r="D706" s="581"/>
      <c r="E706" s="581"/>
      <c r="F706" s="624"/>
      <c r="G706" s="581"/>
      <c r="H706" s="581"/>
      <c r="I706" s="581"/>
      <c r="J706" s="581"/>
      <c r="K706" s="581"/>
      <c r="L706" s="581"/>
      <c r="M706" s="1477"/>
      <c r="N706" s="1477"/>
      <c r="O706" s="1477"/>
      <c r="P706" s="1467"/>
      <c r="Q706" s="581"/>
      <c r="R706" s="581"/>
      <c r="S706" s="581"/>
      <c r="T706" s="581"/>
      <c r="U706" s="581"/>
      <c r="V706" s="581"/>
      <c r="W706" s="1475"/>
      <c r="X706" s="581"/>
      <c r="Y706" s="581"/>
    </row>
    <row r="707">
      <c r="A707" s="581"/>
      <c r="B707" s="1467"/>
      <c r="C707" s="581"/>
      <c r="D707" s="581"/>
      <c r="E707" s="581"/>
      <c r="F707" s="624"/>
      <c r="G707" s="581"/>
      <c r="H707" s="581"/>
      <c r="I707" s="581"/>
      <c r="J707" s="581"/>
      <c r="K707" s="581"/>
      <c r="L707" s="581"/>
      <c r="M707" s="1477"/>
      <c r="N707" s="1477"/>
      <c r="O707" s="1477"/>
      <c r="P707" s="1467"/>
      <c r="Q707" s="581"/>
      <c r="R707" s="581"/>
      <c r="S707" s="581"/>
      <c r="T707" s="581"/>
      <c r="U707" s="581"/>
      <c r="V707" s="581"/>
      <c r="W707" s="1475"/>
      <c r="X707" s="581"/>
      <c r="Y707" s="581"/>
    </row>
    <row r="708">
      <c r="A708" s="581"/>
      <c r="B708" s="1467"/>
      <c r="C708" s="581"/>
      <c r="D708" s="581"/>
      <c r="E708" s="581"/>
      <c r="F708" s="624"/>
      <c r="G708" s="581"/>
      <c r="H708" s="581"/>
      <c r="I708" s="581"/>
      <c r="J708" s="581"/>
      <c r="K708" s="581"/>
      <c r="L708" s="581"/>
      <c r="M708" s="1477"/>
      <c r="N708" s="1477"/>
      <c r="O708" s="1477"/>
      <c r="P708" s="1467"/>
      <c r="Q708" s="581"/>
      <c r="R708" s="581"/>
      <c r="S708" s="581"/>
      <c r="T708" s="581"/>
      <c r="U708" s="581"/>
      <c r="V708" s="581"/>
      <c r="W708" s="1475"/>
      <c r="X708" s="581"/>
      <c r="Y708" s="581"/>
    </row>
    <row r="709">
      <c r="A709" s="581"/>
      <c r="B709" s="1467"/>
      <c r="C709" s="581"/>
      <c r="D709" s="581"/>
      <c r="E709" s="581"/>
      <c r="F709" s="624"/>
      <c r="G709" s="581"/>
      <c r="H709" s="581"/>
      <c r="I709" s="581"/>
      <c r="J709" s="581"/>
      <c r="K709" s="581"/>
      <c r="L709" s="581"/>
      <c r="M709" s="1477"/>
      <c r="N709" s="1477"/>
      <c r="O709" s="1477"/>
      <c r="P709" s="1467"/>
      <c r="Q709" s="581"/>
      <c r="R709" s="581"/>
      <c r="S709" s="581"/>
      <c r="T709" s="581"/>
      <c r="U709" s="581"/>
      <c r="V709" s="581"/>
      <c r="W709" s="1475"/>
      <c r="X709" s="581"/>
      <c r="Y709" s="581"/>
    </row>
    <row r="710">
      <c r="A710" s="581"/>
      <c r="B710" s="1467"/>
      <c r="C710" s="581"/>
      <c r="D710" s="581"/>
      <c r="E710" s="581"/>
      <c r="F710" s="624"/>
      <c r="G710" s="581"/>
      <c r="H710" s="581"/>
      <c r="I710" s="581"/>
      <c r="J710" s="581"/>
      <c r="K710" s="581"/>
      <c r="L710" s="581"/>
      <c r="M710" s="1477"/>
      <c r="N710" s="1477"/>
      <c r="O710" s="1477"/>
      <c r="P710" s="1467"/>
      <c r="Q710" s="581"/>
      <c r="R710" s="581"/>
      <c r="S710" s="581"/>
      <c r="T710" s="581"/>
      <c r="U710" s="581"/>
      <c r="V710" s="581"/>
      <c r="W710" s="1475"/>
      <c r="X710" s="581"/>
      <c r="Y710" s="581"/>
    </row>
    <row r="711">
      <c r="A711" s="581"/>
      <c r="B711" s="1467"/>
      <c r="C711" s="581"/>
      <c r="D711" s="581"/>
      <c r="E711" s="581"/>
      <c r="F711" s="624"/>
      <c r="G711" s="581"/>
      <c r="H711" s="581"/>
      <c r="I711" s="581"/>
      <c r="J711" s="581"/>
      <c r="K711" s="581"/>
      <c r="L711" s="581"/>
      <c r="M711" s="1477"/>
      <c r="N711" s="1477"/>
      <c r="O711" s="1477"/>
      <c r="P711" s="1467"/>
      <c r="Q711" s="581"/>
      <c r="R711" s="581"/>
      <c r="S711" s="581"/>
      <c r="T711" s="581"/>
      <c r="U711" s="581"/>
      <c r="V711" s="581"/>
      <c r="W711" s="1475"/>
      <c r="X711" s="581"/>
      <c r="Y711" s="581"/>
    </row>
    <row r="712">
      <c r="A712" s="581"/>
      <c r="B712" s="1467"/>
      <c r="C712" s="581"/>
      <c r="D712" s="581"/>
      <c r="E712" s="581"/>
      <c r="F712" s="624"/>
      <c r="G712" s="581"/>
      <c r="H712" s="581"/>
      <c r="I712" s="581"/>
      <c r="J712" s="581"/>
      <c r="K712" s="581"/>
      <c r="L712" s="581"/>
      <c r="M712" s="1477"/>
      <c r="N712" s="1477"/>
      <c r="O712" s="1477"/>
      <c r="P712" s="1467"/>
      <c r="Q712" s="581"/>
      <c r="R712" s="581"/>
      <c r="S712" s="581"/>
      <c r="T712" s="581"/>
      <c r="U712" s="581"/>
      <c r="V712" s="581"/>
      <c r="W712" s="1475"/>
      <c r="X712" s="581"/>
      <c r="Y712" s="581"/>
    </row>
    <row r="713">
      <c r="A713" s="581"/>
      <c r="B713" s="1467"/>
      <c r="C713" s="581"/>
      <c r="D713" s="581"/>
      <c r="E713" s="581"/>
      <c r="F713" s="624"/>
      <c r="G713" s="581"/>
      <c r="H713" s="581"/>
      <c r="I713" s="581"/>
      <c r="J713" s="581"/>
      <c r="K713" s="581"/>
      <c r="L713" s="581"/>
      <c r="M713" s="1477"/>
      <c r="N713" s="1477"/>
      <c r="O713" s="1477"/>
      <c r="P713" s="1467"/>
      <c r="Q713" s="581"/>
      <c r="R713" s="581"/>
      <c r="S713" s="581"/>
      <c r="T713" s="581"/>
      <c r="U713" s="581"/>
      <c r="V713" s="581"/>
      <c r="W713" s="1475"/>
      <c r="X713" s="581"/>
      <c r="Y713" s="581"/>
    </row>
    <row r="714">
      <c r="A714" s="581"/>
      <c r="B714" s="1467"/>
      <c r="C714" s="581"/>
      <c r="D714" s="581"/>
      <c r="E714" s="581"/>
      <c r="F714" s="624"/>
      <c r="G714" s="581"/>
      <c r="H714" s="581"/>
      <c r="I714" s="581"/>
      <c r="J714" s="581"/>
      <c r="K714" s="581"/>
      <c r="L714" s="581"/>
      <c r="M714" s="1477"/>
      <c r="N714" s="1477"/>
      <c r="O714" s="1477"/>
      <c r="P714" s="1467"/>
      <c r="Q714" s="581"/>
      <c r="R714" s="581"/>
      <c r="S714" s="581"/>
      <c r="T714" s="581"/>
      <c r="U714" s="581"/>
      <c r="V714" s="581"/>
      <c r="W714" s="1475"/>
      <c r="X714" s="581"/>
      <c r="Y714" s="581"/>
    </row>
    <row r="715">
      <c r="A715" s="581"/>
      <c r="B715" s="1467"/>
      <c r="C715" s="581"/>
      <c r="D715" s="581"/>
      <c r="E715" s="581"/>
      <c r="F715" s="624"/>
      <c r="G715" s="581"/>
      <c r="H715" s="581"/>
      <c r="I715" s="581"/>
      <c r="J715" s="581"/>
      <c r="K715" s="581"/>
      <c r="L715" s="581"/>
      <c r="M715" s="1477"/>
      <c r="N715" s="1477"/>
      <c r="O715" s="1477"/>
      <c r="P715" s="1467"/>
      <c r="Q715" s="581"/>
      <c r="R715" s="581"/>
      <c r="S715" s="581"/>
      <c r="T715" s="581"/>
      <c r="U715" s="581"/>
      <c r="V715" s="581"/>
      <c r="W715" s="1475"/>
      <c r="X715" s="581"/>
      <c r="Y715" s="581"/>
    </row>
    <row r="716">
      <c r="A716" s="581"/>
      <c r="B716" s="1467"/>
      <c r="C716" s="581"/>
      <c r="D716" s="581"/>
      <c r="E716" s="581"/>
      <c r="F716" s="624"/>
      <c r="G716" s="581"/>
      <c r="H716" s="581"/>
      <c r="I716" s="581"/>
      <c r="J716" s="581"/>
      <c r="K716" s="581"/>
      <c r="L716" s="581"/>
      <c r="M716" s="1477"/>
      <c r="N716" s="1477"/>
      <c r="O716" s="1477"/>
      <c r="P716" s="1467"/>
      <c r="Q716" s="581"/>
      <c r="R716" s="581"/>
      <c r="S716" s="581"/>
      <c r="T716" s="581"/>
      <c r="U716" s="581"/>
      <c r="V716" s="581"/>
      <c r="W716" s="1475"/>
      <c r="X716" s="581"/>
      <c r="Y716" s="581"/>
    </row>
    <row r="717">
      <c r="A717" s="581"/>
      <c r="B717" s="1467"/>
      <c r="C717" s="581"/>
      <c r="D717" s="581"/>
      <c r="E717" s="581"/>
      <c r="F717" s="624"/>
      <c r="G717" s="581"/>
      <c r="H717" s="581"/>
      <c r="I717" s="581"/>
      <c r="J717" s="581"/>
      <c r="K717" s="581"/>
      <c r="L717" s="581"/>
      <c r="M717" s="1477"/>
      <c r="N717" s="1477"/>
      <c r="O717" s="1477"/>
      <c r="P717" s="1467"/>
      <c r="Q717" s="581"/>
      <c r="R717" s="581"/>
      <c r="S717" s="581"/>
      <c r="T717" s="581"/>
      <c r="U717" s="581"/>
      <c r="V717" s="581"/>
      <c r="W717" s="1475"/>
      <c r="X717" s="581"/>
      <c r="Y717" s="581"/>
    </row>
    <row r="718">
      <c r="A718" s="581"/>
      <c r="B718" s="1467"/>
      <c r="C718" s="581"/>
      <c r="D718" s="581"/>
      <c r="E718" s="581"/>
      <c r="F718" s="624"/>
      <c r="G718" s="581"/>
      <c r="H718" s="581"/>
      <c r="I718" s="581"/>
      <c r="J718" s="581"/>
      <c r="K718" s="581"/>
      <c r="L718" s="581"/>
      <c r="M718" s="1477"/>
      <c r="N718" s="1477"/>
      <c r="O718" s="1477"/>
      <c r="P718" s="1467"/>
      <c r="Q718" s="581"/>
      <c r="R718" s="581"/>
      <c r="S718" s="581"/>
      <c r="T718" s="581"/>
      <c r="U718" s="581"/>
      <c r="V718" s="581"/>
      <c r="W718" s="1475"/>
      <c r="X718" s="581"/>
      <c r="Y718" s="581"/>
    </row>
    <row r="719">
      <c r="A719" s="581"/>
      <c r="B719" s="1467"/>
      <c r="C719" s="581"/>
      <c r="D719" s="581"/>
      <c r="E719" s="581"/>
      <c r="F719" s="624"/>
      <c r="G719" s="581"/>
      <c r="H719" s="581"/>
      <c r="I719" s="581"/>
      <c r="J719" s="581"/>
      <c r="K719" s="581"/>
      <c r="L719" s="581"/>
      <c r="M719" s="1477"/>
      <c r="N719" s="1477"/>
      <c r="O719" s="1477"/>
      <c r="P719" s="1467"/>
      <c r="Q719" s="581"/>
      <c r="R719" s="581"/>
      <c r="S719" s="581"/>
      <c r="T719" s="581"/>
      <c r="U719" s="581"/>
      <c r="V719" s="581"/>
      <c r="W719" s="1475"/>
      <c r="X719" s="581"/>
      <c r="Y719" s="581"/>
    </row>
    <row r="720">
      <c r="A720" s="581"/>
      <c r="B720" s="1467"/>
      <c r="C720" s="581"/>
      <c r="D720" s="581"/>
      <c r="E720" s="581"/>
      <c r="F720" s="624"/>
      <c r="G720" s="581"/>
      <c r="H720" s="581"/>
      <c r="I720" s="581"/>
      <c r="J720" s="581"/>
      <c r="K720" s="581"/>
      <c r="L720" s="581"/>
      <c r="M720" s="1477"/>
      <c r="N720" s="1477"/>
      <c r="O720" s="1477"/>
      <c r="P720" s="1467"/>
      <c r="Q720" s="581"/>
      <c r="R720" s="581"/>
      <c r="S720" s="581"/>
      <c r="T720" s="581"/>
      <c r="U720" s="581"/>
      <c r="V720" s="581"/>
      <c r="W720" s="1475"/>
      <c r="X720" s="581"/>
      <c r="Y720" s="581"/>
    </row>
    <row r="721">
      <c r="A721" s="581"/>
      <c r="B721" s="1467"/>
      <c r="C721" s="581"/>
      <c r="D721" s="581"/>
      <c r="E721" s="581"/>
      <c r="F721" s="624"/>
      <c r="G721" s="581"/>
      <c r="H721" s="581"/>
      <c r="I721" s="581"/>
      <c r="J721" s="581"/>
      <c r="K721" s="581"/>
      <c r="L721" s="581"/>
      <c r="M721" s="1477"/>
      <c r="N721" s="1477"/>
      <c r="O721" s="1477"/>
      <c r="P721" s="1467"/>
      <c r="Q721" s="581"/>
      <c r="R721" s="581"/>
      <c r="S721" s="581"/>
      <c r="T721" s="581"/>
      <c r="U721" s="581"/>
      <c r="V721" s="581"/>
      <c r="W721" s="1475"/>
      <c r="X721" s="581"/>
      <c r="Y721" s="581"/>
    </row>
    <row r="722">
      <c r="A722" s="581"/>
      <c r="B722" s="1467"/>
      <c r="C722" s="581"/>
      <c r="D722" s="581"/>
      <c r="E722" s="581"/>
      <c r="F722" s="624"/>
      <c r="G722" s="581"/>
      <c r="H722" s="581"/>
      <c r="I722" s="581"/>
      <c r="J722" s="581"/>
      <c r="K722" s="581"/>
      <c r="L722" s="581"/>
      <c r="M722" s="1477"/>
      <c r="N722" s="1477"/>
      <c r="O722" s="1477"/>
      <c r="P722" s="1467"/>
      <c r="Q722" s="581"/>
      <c r="R722" s="581"/>
      <c r="S722" s="581"/>
      <c r="T722" s="581"/>
      <c r="U722" s="581"/>
      <c r="V722" s="581"/>
      <c r="W722" s="1475"/>
      <c r="X722" s="581"/>
      <c r="Y722" s="581"/>
    </row>
    <row r="723">
      <c r="A723" s="581"/>
      <c r="B723" s="1467"/>
      <c r="C723" s="581"/>
      <c r="D723" s="581"/>
      <c r="E723" s="581"/>
      <c r="F723" s="624"/>
      <c r="G723" s="581"/>
      <c r="H723" s="581"/>
      <c r="I723" s="581"/>
      <c r="J723" s="581"/>
      <c r="K723" s="581"/>
      <c r="L723" s="581"/>
      <c r="M723" s="1477"/>
      <c r="N723" s="1477"/>
      <c r="O723" s="1477"/>
      <c r="P723" s="1467"/>
      <c r="Q723" s="581"/>
      <c r="R723" s="581"/>
      <c r="S723" s="581"/>
      <c r="T723" s="581"/>
      <c r="U723" s="581"/>
      <c r="V723" s="581"/>
      <c r="W723" s="1475"/>
      <c r="X723" s="581"/>
      <c r="Y723" s="581"/>
    </row>
    <row r="724">
      <c r="A724" s="581"/>
      <c r="B724" s="1467"/>
      <c r="C724" s="581"/>
      <c r="D724" s="581"/>
      <c r="E724" s="581"/>
      <c r="F724" s="624"/>
      <c r="G724" s="581"/>
      <c r="H724" s="581"/>
      <c r="I724" s="581"/>
      <c r="J724" s="581"/>
      <c r="K724" s="581"/>
      <c r="L724" s="581"/>
      <c r="M724" s="1477"/>
      <c r="N724" s="1477"/>
      <c r="O724" s="1477"/>
      <c r="P724" s="1467"/>
      <c r="Q724" s="581"/>
      <c r="R724" s="581"/>
      <c r="S724" s="581"/>
      <c r="T724" s="581"/>
      <c r="U724" s="581"/>
      <c r="V724" s="581"/>
      <c r="W724" s="1475"/>
      <c r="X724" s="581"/>
      <c r="Y724" s="581"/>
    </row>
    <row r="725">
      <c r="A725" s="581"/>
      <c r="B725" s="1467"/>
      <c r="C725" s="581"/>
      <c r="D725" s="581"/>
      <c r="E725" s="581"/>
      <c r="F725" s="624"/>
      <c r="G725" s="581"/>
      <c r="H725" s="581"/>
      <c r="I725" s="581"/>
      <c r="J725" s="581"/>
      <c r="K725" s="581"/>
      <c r="L725" s="581"/>
      <c r="M725" s="1477"/>
      <c r="N725" s="1477"/>
      <c r="O725" s="1477"/>
      <c r="P725" s="1467"/>
      <c r="Q725" s="581"/>
      <c r="R725" s="581"/>
      <c r="S725" s="581"/>
      <c r="T725" s="581"/>
      <c r="U725" s="581"/>
      <c r="V725" s="581"/>
      <c r="W725" s="1475"/>
      <c r="X725" s="581"/>
      <c r="Y725" s="581"/>
    </row>
    <row r="726">
      <c r="A726" s="581"/>
      <c r="B726" s="1467"/>
      <c r="C726" s="581"/>
      <c r="D726" s="581"/>
      <c r="E726" s="581"/>
      <c r="F726" s="624"/>
      <c r="G726" s="581"/>
      <c r="H726" s="581"/>
      <c r="I726" s="581"/>
      <c r="J726" s="581"/>
      <c r="K726" s="581"/>
      <c r="L726" s="581"/>
      <c r="M726" s="1477"/>
      <c r="N726" s="1477"/>
      <c r="O726" s="1477"/>
      <c r="P726" s="1467"/>
      <c r="Q726" s="581"/>
      <c r="R726" s="581"/>
      <c r="S726" s="581"/>
      <c r="T726" s="581"/>
      <c r="U726" s="581"/>
      <c r="V726" s="581"/>
      <c r="W726" s="1475"/>
      <c r="X726" s="581"/>
      <c r="Y726" s="581"/>
    </row>
    <row r="727">
      <c r="A727" s="581"/>
      <c r="B727" s="1467"/>
      <c r="C727" s="581"/>
      <c r="D727" s="581"/>
      <c r="E727" s="581"/>
      <c r="F727" s="624"/>
      <c r="G727" s="581"/>
      <c r="H727" s="581"/>
      <c r="I727" s="581"/>
      <c r="J727" s="581"/>
      <c r="K727" s="581"/>
      <c r="L727" s="581"/>
      <c r="M727" s="1477"/>
      <c r="N727" s="1477"/>
      <c r="O727" s="1477"/>
      <c r="P727" s="1467"/>
      <c r="Q727" s="581"/>
      <c r="R727" s="581"/>
      <c r="S727" s="581"/>
      <c r="T727" s="581"/>
      <c r="U727" s="581"/>
      <c r="V727" s="581"/>
      <c r="W727" s="1475"/>
      <c r="X727" s="581"/>
      <c r="Y727" s="581"/>
    </row>
    <row r="728">
      <c r="A728" s="581"/>
      <c r="B728" s="1467"/>
      <c r="C728" s="581"/>
      <c r="D728" s="581"/>
      <c r="E728" s="581"/>
      <c r="F728" s="624"/>
      <c r="G728" s="581"/>
      <c r="H728" s="581"/>
      <c r="I728" s="581"/>
      <c r="J728" s="581"/>
      <c r="K728" s="581"/>
      <c r="L728" s="581"/>
      <c r="M728" s="1477"/>
      <c r="N728" s="1477"/>
      <c r="O728" s="1477"/>
      <c r="P728" s="1467"/>
      <c r="Q728" s="581"/>
      <c r="R728" s="581"/>
      <c r="S728" s="581"/>
      <c r="T728" s="581"/>
      <c r="U728" s="581"/>
      <c r="V728" s="581"/>
      <c r="W728" s="1475"/>
      <c r="X728" s="581"/>
      <c r="Y728" s="581"/>
    </row>
    <row r="729">
      <c r="A729" s="581"/>
      <c r="B729" s="1467"/>
      <c r="C729" s="581"/>
      <c r="D729" s="581"/>
      <c r="E729" s="581"/>
      <c r="F729" s="624"/>
      <c r="G729" s="581"/>
      <c r="H729" s="581"/>
      <c r="I729" s="581"/>
      <c r="J729" s="581"/>
      <c r="K729" s="581"/>
      <c r="L729" s="581"/>
      <c r="M729" s="1477"/>
      <c r="N729" s="1477"/>
      <c r="O729" s="1477"/>
      <c r="P729" s="1467"/>
      <c r="Q729" s="581"/>
      <c r="R729" s="581"/>
      <c r="S729" s="581"/>
      <c r="T729" s="581"/>
      <c r="U729" s="581"/>
      <c r="V729" s="581"/>
      <c r="W729" s="1475"/>
      <c r="X729" s="581"/>
      <c r="Y729" s="581"/>
    </row>
    <row r="730">
      <c r="A730" s="581"/>
      <c r="B730" s="1467"/>
      <c r="C730" s="581"/>
      <c r="D730" s="581"/>
      <c r="E730" s="581"/>
      <c r="F730" s="624"/>
      <c r="G730" s="581"/>
      <c r="H730" s="581"/>
      <c r="I730" s="581"/>
      <c r="J730" s="581"/>
      <c r="K730" s="581"/>
      <c r="L730" s="581"/>
      <c r="M730" s="1477"/>
      <c r="N730" s="1477"/>
      <c r="O730" s="1477"/>
      <c r="P730" s="1467"/>
      <c r="Q730" s="581"/>
      <c r="R730" s="581"/>
      <c r="S730" s="581"/>
      <c r="T730" s="581"/>
      <c r="U730" s="581"/>
      <c r="V730" s="581"/>
      <c r="W730" s="1475"/>
      <c r="X730" s="581"/>
      <c r="Y730" s="581"/>
    </row>
    <row r="731">
      <c r="A731" s="581"/>
      <c r="B731" s="1467"/>
      <c r="C731" s="581"/>
      <c r="D731" s="581"/>
      <c r="E731" s="581"/>
      <c r="F731" s="624"/>
      <c r="G731" s="581"/>
      <c r="H731" s="581"/>
      <c r="I731" s="581"/>
      <c r="J731" s="581"/>
      <c r="K731" s="581"/>
      <c r="L731" s="581"/>
      <c r="M731" s="1477"/>
      <c r="N731" s="1477"/>
      <c r="O731" s="1477"/>
      <c r="P731" s="1467"/>
      <c r="Q731" s="581"/>
      <c r="R731" s="581"/>
      <c r="S731" s="581"/>
      <c r="T731" s="581"/>
      <c r="U731" s="581"/>
      <c r="V731" s="581"/>
      <c r="W731" s="1475"/>
      <c r="X731" s="581"/>
      <c r="Y731" s="581"/>
    </row>
    <row r="732">
      <c r="A732" s="581"/>
      <c r="B732" s="1467"/>
      <c r="C732" s="581"/>
      <c r="D732" s="581"/>
      <c r="E732" s="581"/>
      <c r="F732" s="624"/>
      <c r="G732" s="581"/>
      <c r="H732" s="581"/>
      <c r="I732" s="581"/>
      <c r="J732" s="581"/>
      <c r="K732" s="581"/>
      <c r="L732" s="581"/>
      <c r="M732" s="1477"/>
      <c r="N732" s="1477"/>
      <c r="O732" s="1477"/>
      <c r="P732" s="1467"/>
      <c r="Q732" s="581"/>
      <c r="R732" s="581"/>
      <c r="S732" s="581"/>
      <c r="T732" s="581"/>
      <c r="U732" s="581"/>
      <c r="V732" s="581"/>
      <c r="W732" s="1475"/>
      <c r="X732" s="581"/>
      <c r="Y732" s="581"/>
    </row>
    <row r="733">
      <c r="A733" s="581"/>
      <c r="B733" s="1467"/>
      <c r="C733" s="581"/>
      <c r="D733" s="581"/>
      <c r="E733" s="581"/>
      <c r="F733" s="624"/>
      <c r="G733" s="581"/>
      <c r="H733" s="581"/>
      <c r="I733" s="581"/>
      <c r="J733" s="581"/>
      <c r="K733" s="581"/>
      <c r="L733" s="581"/>
      <c r="M733" s="1477"/>
      <c r="N733" s="1477"/>
      <c r="O733" s="1477"/>
      <c r="P733" s="1467"/>
      <c r="Q733" s="581"/>
      <c r="R733" s="581"/>
      <c r="S733" s="581"/>
      <c r="T733" s="581"/>
      <c r="U733" s="581"/>
      <c r="V733" s="581"/>
      <c r="W733" s="1475"/>
      <c r="X733" s="581"/>
      <c r="Y733" s="581"/>
    </row>
    <row r="734">
      <c r="A734" s="581"/>
      <c r="B734" s="1467"/>
      <c r="C734" s="581"/>
      <c r="D734" s="581"/>
      <c r="E734" s="581"/>
      <c r="F734" s="624"/>
      <c r="G734" s="581"/>
      <c r="H734" s="581"/>
      <c r="I734" s="581"/>
      <c r="J734" s="581"/>
      <c r="K734" s="581"/>
      <c r="L734" s="581"/>
      <c r="M734" s="1477"/>
      <c r="N734" s="1477"/>
      <c r="O734" s="1477"/>
      <c r="P734" s="1467"/>
      <c r="Q734" s="581"/>
      <c r="R734" s="581"/>
      <c r="S734" s="581"/>
      <c r="T734" s="581"/>
      <c r="U734" s="581"/>
      <c r="V734" s="581"/>
      <c r="W734" s="1475"/>
      <c r="X734" s="581"/>
      <c r="Y734" s="581"/>
    </row>
    <row r="735">
      <c r="A735" s="581"/>
      <c r="B735" s="1467"/>
      <c r="C735" s="581"/>
      <c r="D735" s="581"/>
      <c r="E735" s="581"/>
      <c r="F735" s="624"/>
      <c r="G735" s="581"/>
      <c r="H735" s="581"/>
      <c r="I735" s="581"/>
      <c r="J735" s="581"/>
      <c r="K735" s="581"/>
      <c r="L735" s="581"/>
      <c r="M735" s="1477"/>
      <c r="N735" s="1477"/>
      <c r="O735" s="1477"/>
      <c r="P735" s="1467"/>
      <c r="Q735" s="581"/>
      <c r="R735" s="581"/>
      <c r="S735" s="581"/>
      <c r="T735" s="581"/>
      <c r="U735" s="581"/>
      <c r="V735" s="581"/>
      <c r="W735" s="1475"/>
      <c r="X735" s="581"/>
      <c r="Y735" s="581"/>
    </row>
    <row r="736">
      <c r="A736" s="581"/>
      <c r="B736" s="1467"/>
      <c r="C736" s="581"/>
      <c r="D736" s="581"/>
      <c r="E736" s="581"/>
      <c r="F736" s="624"/>
      <c r="G736" s="581"/>
      <c r="H736" s="581"/>
      <c r="I736" s="581"/>
      <c r="J736" s="581"/>
      <c r="K736" s="581"/>
      <c r="L736" s="581"/>
      <c r="M736" s="1477"/>
      <c r="N736" s="1477"/>
      <c r="O736" s="1477"/>
      <c r="P736" s="1467"/>
      <c r="Q736" s="581"/>
      <c r="R736" s="581"/>
      <c r="S736" s="581"/>
      <c r="T736" s="581"/>
      <c r="U736" s="581"/>
      <c r="V736" s="581"/>
      <c r="W736" s="1475"/>
      <c r="X736" s="581"/>
      <c r="Y736" s="581"/>
    </row>
    <row r="737">
      <c r="A737" s="581"/>
      <c r="B737" s="1467"/>
      <c r="C737" s="581"/>
      <c r="D737" s="581"/>
      <c r="E737" s="581"/>
      <c r="F737" s="624"/>
      <c r="G737" s="581"/>
      <c r="H737" s="581"/>
      <c r="I737" s="581"/>
      <c r="J737" s="581"/>
      <c r="K737" s="581"/>
      <c r="L737" s="581"/>
      <c r="M737" s="1477"/>
      <c r="N737" s="1477"/>
      <c r="O737" s="1477"/>
      <c r="P737" s="1467"/>
      <c r="Q737" s="581"/>
      <c r="R737" s="581"/>
      <c r="S737" s="581"/>
      <c r="T737" s="581"/>
      <c r="U737" s="581"/>
      <c r="V737" s="581"/>
      <c r="W737" s="1475"/>
      <c r="X737" s="581"/>
      <c r="Y737" s="581"/>
    </row>
    <row r="738">
      <c r="A738" s="581"/>
      <c r="B738" s="1467"/>
      <c r="C738" s="581"/>
      <c r="D738" s="581"/>
      <c r="E738" s="581"/>
      <c r="F738" s="624"/>
      <c r="G738" s="581"/>
      <c r="H738" s="581"/>
      <c r="I738" s="581"/>
      <c r="J738" s="581"/>
      <c r="K738" s="581"/>
      <c r="L738" s="581"/>
      <c r="M738" s="1477"/>
      <c r="N738" s="1477"/>
      <c r="O738" s="1477"/>
      <c r="P738" s="1467"/>
      <c r="Q738" s="581"/>
      <c r="R738" s="581"/>
      <c r="S738" s="581"/>
      <c r="T738" s="581"/>
      <c r="U738" s="581"/>
      <c r="V738" s="581"/>
      <c r="W738" s="1475"/>
      <c r="X738" s="581"/>
      <c r="Y738" s="581"/>
    </row>
    <row r="739">
      <c r="A739" s="581"/>
      <c r="B739" s="1467"/>
      <c r="C739" s="581"/>
      <c r="D739" s="581"/>
      <c r="E739" s="581"/>
      <c r="F739" s="624"/>
      <c r="G739" s="581"/>
      <c r="H739" s="581"/>
      <c r="I739" s="581"/>
      <c r="J739" s="581"/>
      <c r="K739" s="581"/>
      <c r="L739" s="581"/>
      <c r="M739" s="1477"/>
      <c r="N739" s="1477"/>
      <c r="O739" s="1477"/>
      <c r="P739" s="1467"/>
      <c r="Q739" s="581"/>
      <c r="R739" s="581"/>
      <c r="S739" s="581"/>
      <c r="T739" s="581"/>
      <c r="U739" s="581"/>
      <c r="V739" s="581"/>
      <c r="W739" s="1475"/>
      <c r="X739" s="581"/>
      <c r="Y739" s="581"/>
    </row>
    <row r="740">
      <c r="A740" s="581"/>
      <c r="B740" s="1467"/>
      <c r="C740" s="581"/>
      <c r="D740" s="581"/>
      <c r="E740" s="581"/>
      <c r="F740" s="624"/>
      <c r="G740" s="581"/>
      <c r="H740" s="581"/>
      <c r="I740" s="581"/>
      <c r="J740" s="581"/>
      <c r="K740" s="581"/>
      <c r="L740" s="581"/>
      <c r="M740" s="1477"/>
      <c r="N740" s="1477"/>
      <c r="O740" s="1477"/>
      <c r="P740" s="1467"/>
      <c r="Q740" s="581"/>
      <c r="R740" s="581"/>
      <c r="S740" s="581"/>
      <c r="T740" s="581"/>
      <c r="U740" s="581"/>
      <c r="V740" s="581"/>
      <c r="W740" s="1475"/>
      <c r="X740" s="581"/>
      <c r="Y740" s="581"/>
    </row>
    <row r="741">
      <c r="A741" s="581"/>
      <c r="B741" s="1467"/>
      <c r="C741" s="581"/>
      <c r="D741" s="581"/>
      <c r="E741" s="581"/>
      <c r="F741" s="624"/>
      <c r="G741" s="581"/>
      <c r="H741" s="581"/>
      <c r="I741" s="581"/>
      <c r="J741" s="581"/>
      <c r="K741" s="581"/>
      <c r="L741" s="581"/>
      <c r="M741" s="1477"/>
      <c r="N741" s="1477"/>
      <c r="O741" s="1477"/>
      <c r="P741" s="1467"/>
      <c r="Q741" s="581"/>
      <c r="R741" s="581"/>
      <c r="S741" s="581"/>
      <c r="T741" s="581"/>
      <c r="U741" s="581"/>
      <c r="V741" s="581"/>
      <c r="W741" s="1475"/>
      <c r="X741" s="581"/>
      <c r="Y741" s="581"/>
    </row>
    <row r="742">
      <c r="A742" s="581"/>
      <c r="B742" s="1467"/>
      <c r="C742" s="581"/>
      <c r="D742" s="581"/>
      <c r="E742" s="581"/>
      <c r="F742" s="624"/>
      <c r="G742" s="581"/>
      <c r="H742" s="581"/>
      <c r="I742" s="581"/>
      <c r="J742" s="581"/>
      <c r="K742" s="581"/>
      <c r="L742" s="581"/>
      <c r="M742" s="1477"/>
      <c r="N742" s="1477"/>
      <c r="O742" s="1477"/>
      <c r="P742" s="1467"/>
      <c r="Q742" s="581"/>
      <c r="R742" s="581"/>
      <c r="S742" s="581"/>
      <c r="T742" s="581"/>
      <c r="U742" s="581"/>
      <c r="V742" s="581"/>
      <c r="W742" s="1475"/>
      <c r="X742" s="581"/>
      <c r="Y742" s="581"/>
    </row>
    <row r="743">
      <c r="A743" s="581"/>
      <c r="B743" s="1467"/>
      <c r="C743" s="581"/>
      <c r="D743" s="581"/>
      <c r="E743" s="581"/>
      <c r="F743" s="624"/>
      <c r="G743" s="581"/>
      <c r="H743" s="581"/>
      <c r="I743" s="581"/>
      <c r="J743" s="581"/>
      <c r="K743" s="581"/>
      <c r="L743" s="581"/>
      <c r="M743" s="1477"/>
      <c r="N743" s="1477"/>
      <c r="O743" s="1477"/>
      <c r="P743" s="1467"/>
      <c r="Q743" s="581"/>
      <c r="R743" s="581"/>
      <c r="S743" s="581"/>
      <c r="T743" s="581"/>
      <c r="U743" s="581"/>
      <c r="V743" s="581"/>
      <c r="W743" s="1475"/>
      <c r="X743" s="581"/>
      <c r="Y743" s="581"/>
    </row>
    <row r="744">
      <c r="A744" s="581"/>
      <c r="B744" s="1467"/>
      <c r="C744" s="581"/>
      <c r="D744" s="581"/>
      <c r="E744" s="581"/>
      <c r="F744" s="624"/>
      <c r="G744" s="581"/>
      <c r="H744" s="581"/>
      <c r="I744" s="581"/>
      <c r="J744" s="581"/>
      <c r="K744" s="581"/>
      <c r="L744" s="581"/>
      <c r="M744" s="1477"/>
      <c r="N744" s="1477"/>
      <c r="O744" s="1477"/>
      <c r="P744" s="1467"/>
      <c r="Q744" s="581"/>
      <c r="R744" s="581"/>
      <c r="S744" s="581"/>
      <c r="T744" s="581"/>
      <c r="U744" s="581"/>
      <c r="V744" s="581"/>
      <c r="W744" s="1475"/>
      <c r="X744" s="581"/>
      <c r="Y744" s="581"/>
    </row>
    <row r="745">
      <c r="A745" s="581"/>
      <c r="B745" s="1467"/>
      <c r="C745" s="581"/>
      <c r="D745" s="581"/>
      <c r="E745" s="581"/>
      <c r="F745" s="624"/>
      <c r="G745" s="581"/>
      <c r="H745" s="581"/>
      <c r="I745" s="581"/>
      <c r="J745" s="581"/>
      <c r="K745" s="581"/>
      <c r="L745" s="581"/>
      <c r="M745" s="1477"/>
      <c r="N745" s="1477"/>
      <c r="O745" s="1477"/>
      <c r="P745" s="1467"/>
      <c r="Q745" s="581"/>
      <c r="R745" s="581"/>
      <c r="S745" s="581"/>
      <c r="T745" s="581"/>
      <c r="U745" s="581"/>
      <c r="V745" s="581"/>
      <c r="W745" s="1475"/>
      <c r="X745" s="581"/>
      <c r="Y745" s="581"/>
    </row>
    <row r="746">
      <c r="A746" s="581"/>
      <c r="B746" s="1467"/>
      <c r="C746" s="581"/>
      <c r="D746" s="581"/>
      <c r="E746" s="581"/>
      <c r="F746" s="624"/>
      <c r="G746" s="581"/>
      <c r="H746" s="581"/>
      <c r="I746" s="581"/>
      <c r="J746" s="581"/>
      <c r="K746" s="581"/>
      <c r="L746" s="581"/>
      <c r="M746" s="1477"/>
      <c r="N746" s="1477"/>
      <c r="O746" s="1477"/>
      <c r="P746" s="1467"/>
      <c r="Q746" s="581"/>
      <c r="R746" s="581"/>
      <c r="S746" s="581"/>
      <c r="T746" s="581"/>
      <c r="U746" s="581"/>
      <c r="V746" s="581"/>
      <c r="W746" s="1475"/>
      <c r="X746" s="581"/>
      <c r="Y746" s="581"/>
    </row>
    <row r="747">
      <c r="A747" s="581"/>
      <c r="B747" s="1467"/>
      <c r="C747" s="581"/>
      <c r="D747" s="581"/>
      <c r="E747" s="581"/>
      <c r="F747" s="624"/>
      <c r="G747" s="581"/>
      <c r="H747" s="581"/>
      <c r="I747" s="581"/>
      <c r="J747" s="581"/>
      <c r="K747" s="581"/>
      <c r="L747" s="581"/>
      <c r="M747" s="1477"/>
      <c r="N747" s="1477"/>
      <c r="O747" s="1477"/>
      <c r="P747" s="1467"/>
      <c r="Q747" s="581"/>
      <c r="R747" s="581"/>
      <c r="S747" s="581"/>
      <c r="T747" s="581"/>
      <c r="U747" s="581"/>
      <c r="V747" s="581"/>
      <c r="W747" s="1475"/>
      <c r="X747" s="581"/>
      <c r="Y747" s="581"/>
    </row>
    <row r="748">
      <c r="A748" s="581"/>
      <c r="B748" s="1467"/>
      <c r="C748" s="581"/>
      <c r="D748" s="581"/>
      <c r="E748" s="581"/>
      <c r="F748" s="624"/>
      <c r="G748" s="581"/>
      <c r="H748" s="581"/>
      <c r="I748" s="581"/>
      <c r="J748" s="581"/>
      <c r="K748" s="581"/>
      <c r="L748" s="581"/>
      <c r="M748" s="1477"/>
      <c r="N748" s="1477"/>
      <c r="O748" s="1477"/>
      <c r="P748" s="1467"/>
      <c r="Q748" s="581"/>
      <c r="R748" s="581"/>
      <c r="S748" s="581"/>
      <c r="T748" s="581"/>
      <c r="U748" s="581"/>
      <c r="V748" s="581"/>
      <c r="W748" s="1475"/>
      <c r="X748" s="581"/>
      <c r="Y748" s="581"/>
    </row>
    <row r="749">
      <c r="A749" s="581"/>
      <c r="B749" s="1467"/>
      <c r="C749" s="581"/>
      <c r="D749" s="581"/>
      <c r="E749" s="581"/>
      <c r="F749" s="624"/>
      <c r="G749" s="581"/>
      <c r="H749" s="581"/>
      <c r="I749" s="581"/>
      <c r="J749" s="581"/>
      <c r="K749" s="581"/>
      <c r="L749" s="581"/>
      <c r="M749" s="1477"/>
      <c r="N749" s="1477"/>
      <c r="O749" s="1477"/>
      <c r="P749" s="1467"/>
      <c r="Q749" s="581"/>
      <c r="R749" s="581"/>
      <c r="S749" s="581"/>
      <c r="T749" s="581"/>
      <c r="U749" s="581"/>
      <c r="V749" s="581"/>
      <c r="W749" s="1475"/>
      <c r="X749" s="581"/>
      <c r="Y749" s="581"/>
    </row>
    <row r="750">
      <c r="A750" s="581"/>
      <c r="B750" s="1467"/>
      <c r="C750" s="581"/>
      <c r="D750" s="581"/>
      <c r="E750" s="581"/>
      <c r="F750" s="624"/>
      <c r="G750" s="581"/>
      <c r="H750" s="581"/>
      <c r="I750" s="581"/>
      <c r="J750" s="581"/>
      <c r="K750" s="581"/>
      <c r="L750" s="581"/>
      <c r="M750" s="1477"/>
      <c r="N750" s="1477"/>
      <c r="O750" s="1477"/>
      <c r="P750" s="1467"/>
      <c r="Q750" s="581"/>
      <c r="R750" s="581"/>
      <c r="S750" s="581"/>
      <c r="T750" s="581"/>
      <c r="U750" s="581"/>
      <c r="V750" s="581"/>
      <c r="W750" s="1475"/>
      <c r="X750" s="581"/>
      <c r="Y750" s="581"/>
    </row>
    <row r="751">
      <c r="A751" s="581"/>
      <c r="B751" s="1467"/>
      <c r="C751" s="581"/>
      <c r="D751" s="581"/>
      <c r="E751" s="581"/>
      <c r="F751" s="624"/>
      <c r="G751" s="581"/>
      <c r="H751" s="581"/>
      <c r="I751" s="581"/>
      <c r="J751" s="581"/>
      <c r="K751" s="581"/>
      <c r="L751" s="581"/>
      <c r="M751" s="1477"/>
      <c r="N751" s="1477"/>
      <c r="O751" s="1477"/>
      <c r="P751" s="1467"/>
      <c r="Q751" s="581"/>
      <c r="R751" s="581"/>
      <c r="S751" s="581"/>
      <c r="T751" s="581"/>
      <c r="U751" s="581"/>
      <c r="V751" s="581"/>
      <c r="W751" s="1475"/>
      <c r="X751" s="581"/>
      <c r="Y751" s="581"/>
    </row>
    <row r="752">
      <c r="A752" s="581"/>
      <c r="B752" s="1467"/>
      <c r="C752" s="581"/>
      <c r="D752" s="581"/>
      <c r="E752" s="581"/>
      <c r="F752" s="624"/>
      <c r="G752" s="581"/>
      <c r="H752" s="581"/>
      <c r="I752" s="581"/>
      <c r="J752" s="581"/>
      <c r="K752" s="581"/>
      <c r="L752" s="581"/>
      <c r="M752" s="1477"/>
      <c r="N752" s="1477"/>
      <c r="O752" s="1477"/>
      <c r="P752" s="1467"/>
      <c r="Q752" s="581"/>
      <c r="R752" s="581"/>
      <c r="S752" s="581"/>
      <c r="T752" s="581"/>
      <c r="U752" s="581"/>
      <c r="V752" s="581"/>
      <c r="W752" s="1475"/>
      <c r="X752" s="581"/>
      <c r="Y752" s="581"/>
    </row>
    <row r="753">
      <c r="A753" s="581"/>
      <c r="B753" s="1467"/>
      <c r="C753" s="581"/>
      <c r="D753" s="581"/>
      <c r="E753" s="581"/>
      <c r="F753" s="624"/>
      <c r="G753" s="581"/>
      <c r="H753" s="581"/>
      <c r="I753" s="581"/>
      <c r="J753" s="581"/>
      <c r="K753" s="581"/>
      <c r="L753" s="581"/>
      <c r="M753" s="1477"/>
      <c r="N753" s="1477"/>
      <c r="O753" s="1477"/>
      <c r="P753" s="1467"/>
      <c r="Q753" s="581"/>
      <c r="R753" s="581"/>
      <c r="S753" s="581"/>
      <c r="T753" s="581"/>
      <c r="U753" s="581"/>
      <c r="V753" s="581"/>
      <c r="W753" s="1475"/>
      <c r="X753" s="581"/>
      <c r="Y753" s="581"/>
    </row>
    <row r="754">
      <c r="A754" s="581"/>
      <c r="B754" s="1467"/>
      <c r="C754" s="581"/>
      <c r="D754" s="581"/>
      <c r="E754" s="581"/>
      <c r="F754" s="624"/>
      <c r="G754" s="581"/>
      <c r="H754" s="581"/>
      <c r="I754" s="581"/>
      <c r="J754" s="581"/>
      <c r="K754" s="581"/>
      <c r="L754" s="581"/>
      <c r="M754" s="1477"/>
      <c r="N754" s="1477"/>
      <c r="O754" s="1477"/>
      <c r="P754" s="1467"/>
      <c r="Q754" s="581"/>
      <c r="R754" s="581"/>
      <c r="S754" s="581"/>
      <c r="T754" s="581"/>
      <c r="U754" s="581"/>
      <c r="V754" s="581"/>
      <c r="W754" s="1475"/>
      <c r="X754" s="581"/>
      <c r="Y754" s="581"/>
    </row>
    <row r="755">
      <c r="A755" s="581"/>
      <c r="B755" s="1467"/>
      <c r="C755" s="581"/>
      <c r="D755" s="581"/>
      <c r="E755" s="581"/>
      <c r="F755" s="624"/>
      <c r="G755" s="581"/>
      <c r="H755" s="581"/>
      <c r="I755" s="581"/>
      <c r="J755" s="581"/>
      <c r="K755" s="581"/>
      <c r="L755" s="581"/>
      <c r="M755" s="1477"/>
      <c r="N755" s="1477"/>
      <c r="O755" s="1477"/>
      <c r="P755" s="1467"/>
      <c r="Q755" s="581"/>
      <c r="R755" s="581"/>
      <c r="S755" s="581"/>
      <c r="T755" s="581"/>
      <c r="U755" s="581"/>
      <c r="V755" s="581"/>
      <c r="W755" s="1475"/>
      <c r="X755" s="581"/>
      <c r="Y755" s="581"/>
    </row>
    <row r="756">
      <c r="A756" s="581"/>
      <c r="B756" s="1467"/>
      <c r="C756" s="581"/>
      <c r="D756" s="581"/>
      <c r="E756" s="581"/>
      <c r="F756" s="624"/>
      <c r="G756" s="581"/>
      <c r="H756" s="581"/>
      <c r="I756" s="581"/>
      <c r="J756" s="581"/>
      <c r="K756" s="581"/>
      <c r="L756" s="581"/>
      <c r="M756" s="1477"/>
      <c r="N756" s="1477"/>
      <c r="O756" s="1477"/>
      <c r="P756" s="1467"/>
      <c r="Q756" s="581"/>
      <c r="R756" s="581"/>
      <c r="S756" s="581"/>
      <c r="T756" s="581"/>
      <c r="U756" s="581"/>
      <c r="V756" s="581"/>
      <c r="W756" s="1475"/>
      <c r="X756" s="581"/>
      <c r="Y756" s="581"/>
    </row>
    <row r="757">
      <c r="A757" s="581"/>
      <c r="B757" s="1467"/>
      <c r="C757" s="581"/>
      <c r="D757" s="581"/>
      <c r="E757" s="581"/>
      <c r="F757" s="624"/>
      <c r="G757" s="581"/>
      <c r="H757" s="581"/>
      <c r="I757" s="581"/>
      <c r="J757" s="581"/>
      <c r="K757" s="581"/>
      <c r="L757" s="581"/>
      <c r="M757" s="1477"/>
      <c r="N757" s="1477"/>
      <c r="O757" s="1477"/>
      <c r="P757" s="1467"/>
      <c r="Q757" s="581"/>
      <c r="R757" s="581"/>
      <c r="S757" s="581"/>
      <c r="T757" s="581"/>
      <c r="U757" s="581"/>
      <c r="V757" s="581"/>
      <c r="W757" s="1475"/>
      <c r="X757" s="581"/>
      <c r="Y757" s="581"/>
    </row>
    <row r="758">
      <c r="A758" s="581"/>
      <c r="B758" s="1467"/>
      <c r="C758" s="581"/>
      <c r="D758" s="581"/>
      <c r="E758" s="581"/>
      <c r="F758" s="624"/>
      <c r="G758" s="581"/>
      <c r="H758" s="581"/>
      <c r="I758" s="581"/>
      <c r="J758" s="581"/>
      <c r="K758" s="581"/>
      <c r="L758" s="581"/>
      <c r="M758" s="1477"/>
      <c r="N758" s="1477"/>
      <c r="O758" s="1477"/>
      <c r="P758" s="1467"/>
      <c r="Q758" s="581"/>
      <c r="R758" s="581"/>
      <c r="S758" s="581"/>
      <c r="T758" s="581"/>
      <c r="U758" s="581"/>
      <c r="V758" s="581"/>
      <c r="W758" s="1475"/>
      <c r="X758" s="581"/>
      <c r="Y758" s="581"/>
    </row>
    <row r="759">
      <c r="A759" s="581"/>
      <c r="B759" s="1467"/>
      <c r="C759" s="581"/>
      <c r="D759" s="581"/>
      <c r="E759" s="581"/>
      <c r="F759" s="624"/>
      <c r="G759" s="581"/>
      <c r="H759" s="581"/>
      <c r="I759" s="581"/>
      <c r="J759" s="581"/>
      <c r="K759" s="581"/>
      <c r="L759" s="581"/>
      <c r="M759" s="1477"/>
      <c r="N759" s="1477"/>
      <c r="O759" s="1477"/>
      <c r="P759" s="1467"/>
      <c r="Q759" s="581"/>
      <c r="R759" s="581"/>
      <c r="S759" s="581"/>
      <c r="T759" s="581"/>
      <c r="U759" s="581"/>
      <c r="V759" s="581"/>
      <c r="W759" s="1475"/>
      <c r="X759" s="581"/>
      <c r="Y759" s="581"/>
    </row>
    <row r="760">
      <c r="A760" s="581"/>
      <c r="B760" s="1467"/>
      <c r="C760" s="581"/>
      <c r="D760" s="581"/>
      <c r="E760" s="581"/>
      <c r="F760" s="624"/>
      <c r="G760" s="581"/>
      <c r="H760" s="581"/>
      <c r="I760" s="581"/>
      <c r="J760" s="581"/>
      <c r="K760" s="581"/>
      <c r="L760" s="581"/>
      <c r="M760" s="1477"/>
      <c r="N760" s="1477"/>
      <c r="O760" s="1477"/>
      <c r="P760" s="1467"/>
      <c r="Q760" s="581"/>
      <c r="R760" s="581"/>
      <c r="S760" s="581"/>
      <c r="T760" s="581"/>
      <c r="U760" s="581"/>
      <c r="V760" s="581"/>
      <c r="W760" s="1475"/>
      <c r="X760" s="581"/>
      <c r="Y760" s="581"/>
    </row>
    <row r="761">
      <c r="A761" s="581"/>
      <c r="B761" s="1467"/>
      <c r="C761" s="581"/>
      <c r="D761" s="581"/>
      <c r="E761" s="581"/>
      <c r="F761" s="624"/>
      <c r="G761" s="581"/>
      <c r="H761" s="581"/>
      <c r="I761" s="581"/>
      <c r="J761" s="581"/>
      <c r="K761" s="581"/>
      <c r="L761" s="581"/>
      <c r="M761" s="1477"/>
      <c r="N761" s="1477"/>
      <c r="O761" s="1477"/>
      <c r="P761" s="1467"/>
      <c r="Q761" s="581"/>
      <c r="R761" s="581"/>
      <c r="S761" s="581"/>
      <c r="T761" s="581"/>
      <c r="U761" s="581"/>
      <c r="V761" s="581"/>
      <c r="W761" s="1475"/>
      <c r="X761" s="581"/>
      <c r="Y761" s="581"/>
    </row>
    <row r="762">
      <c r="A762" s="581"/>
      <c r="B762" s="1467"/>
      <c r="C762" s="581"/>
      <c r="D762" s="581"/>
      <c r="E762" s="581"/>
      <c r="F762" s="624"/>
      <c r="G762" s="581"/>
      <c r="H762" s="581"/>
      <c r="I762" s="581"/>
      <c r="J762" s="581"/>
      <c r="K762" s="581"/>
      <c r="L762" s="581"/>
      <c r="M762" s="1477"/>
      <c r="N762" s="1477"/>
      <c r="O762" s="1477"/>
      <c r="P762" s="1467"/>
      <c r="Q762" s="581"/>
      <c r="R762" s="581"/>
      <c r="S762" s="581"/>
      <c r="T762" s="581"/>
      <c r="U762" s="581"/>
      <c r="V762" s="581"/>
      <c r="W762" s="1475"/>
      <c r="X762" s="581"/>
      <c r="Y762" s="581"/>
    </row>
    <row r="763">
      <c r="A763" s="581"/>
      <c r="B763" s="1467"/>
      <c r="C763" s="581"/>
      <c r="D763" s="581"/>
      <c r="E763" s="581"/>
      <c r="F763" s="624"/>
      <c r="G763" s="581"/>
      <c r="H763" s="581"/>
      <c r="I763" s="581"/>
      <c r="J763" s="581"/>
      <c r="K763" s="581"/>
      <c r="L763" s="581"/>
      <c r="M763" s="1477"/>
      <c r="N763" s="1477"/>
      <c r="O763" s="1477"/>
      <c r="P763" s="1467"/>
      <c r="Q763" s="581"/>
      <c r="R763" s="581"/>
      <c r="S763" s="581"/>
      <c r="T763" s="581"/>
      <c r="U763" s="581"/>
      <c r="V763" s="581"/>
      <c r="W763" s="1475"/>
      <c r="X763" s="581"/>
      <c r="Y763" s="581"/>
    </row>
    <row r="764">
      <c r="A764" s="581"/>
      <c r="B764" s="1467"/>
      <c r="C764" s="581"/>
      <c r="D764" s="581"/>
      <c r="E764" s="581"/>
      <c r="F764" s="624"/>
      <c r="G764" s="581"/>
      <c r="H764" s="581"/>
      <c r="I764" s="581"/>
      <c r="J764" s="581"/>
      <c r="K764" s="581"/>
      <c r="L764" s="581"/>
      <c r="M764" s="1477"/>
      <c r="N764" s="1477"/>
      <c r="O764" s="1477"/>
      <c r="P764" s="1467"/>
      <c r="Q764" s="581"/>
      <c r="R764" s="581"/>
      <c r="S764" s="581"/>
      <c r="T764" s="581"/>
      <c r="U764" s="581"/>
      <c r="V764" s="581"/>
      <c r="W764" s="1475"/>
      <c r="X764" s="581"/>
      <c r="Y764" s="581"/>
    </row>
    <row r="765">
      <c r="A765" s="581"/>
      <c r="B765" s="1467"/>
      <c r="C765" s="581"/>
      <c r="D765" s="581"/>
      <c r="E765" s="581"/>
      <c r="F765" s="624"/>
      <c r="G765" s="581"/>
      <c r="H765" s="581"/>
      <c r="I765" s="581"/>
      <c r="J765" s="581"/>
      <c r="K765" s="581"/>
      <c r="L765" s="581"/>
      <c r="M765" s="1477"/>
      <c r="N765" s="1477"/>
      <c r="O765" s="1477"/>
      <c r="P765" s="1467"/>
      <c r="Q765" s="581"/>
      <c r="R765" s="581"/>
      <c r="S765" s="581"/>
      <c r="T765" s="581"/>
      <c r="U765" s="581"/>
      <c r="V765" s="581"/>
      <c r="W765" s="1475"/>
      <c r="X765" s="581"/>
      <c r="Y765" s="581"/>
    </row>
    <row r="766">
      <c r="A766" s="581"/>
      <c r="B766" s="1467"/>
      <c r="C766" s="581"/>
      <c r="D766" s="581"/>
      <c r="E766" s="581"/>
      <c r="F766" s="624"/>
      <c r="G766" s="581"/>
      <c r="H766" s="581"/>
      <c r="I766" s="581"/>
      <c r="J766" s="581"/>
      <c r="K766" s="581"/>
      <c r="L766" s="581"/>
      <c r="M766" s="1477"/>
      <c r="N766" s="1477"/>
      <c r="O766" s="1477"/>
      <c r="P766" s="1467"/>
      <c r="Q766" s="581"/>
      <c r="R766" s="581"/>
      <c r="S766" s="581"/>
      <c r="T766" s="581"/>
      <c r="U766" s="581"/>
      <c r="V766" s="581"/>
      <c r="W766" s="1475"/>
      <c r="X766" s="581"/>
      <c r="Y766" s="581"/>
    </row>
    <row r="767">
      <c r="A767" s="581"/>
      <c r="B767" s="1467"/>
      <c r="C767" s="581"/>
      <c r="D767" s="581"/>
      <c r="E767" s="581"/>
      <c r="F767" s="624"/>
      <c r="G767" s="581"/>
      <c r="H767" s="581"/>
      <c r="I767" s="581"/>
      <c r="J767" s="581"/>
      <c r="K767" s="581"/>
      <c r="L767" s="581"/>
      <c r="M767" s="1477"/>
      <c r="N767" s="1477"/>
      <c r="O767" s="1477"/>
      <c r="P767" s="1467"/>
      <c r="Q767" s="581"/>
      <c r="R767" s="581"/>
      <c r="S767" s="581"/>
      <c r="T767" s="581"/>
      <c r="U767" s="581"/>
      <c r="V767" s="581"/>
      <c r="W767" s="1475"/>
      <c r="X767" s="581"/>
      <c r="Y767" s="581"/>
    </row>
    <row r="768">
      <c r="A768" s="581"/>
      <c r="B768" s="1467"/>
      <c r="C768" s="581"/>
      <c r="D768" s="581"/>
      <c r="E768" s="581"/>
      <c r="F768" s="624"/>
      <c r="G768" s="581"/>
      <c r="H768" s="581"/>
      <c r="I768" s="581"/>
      <c r="J768" s="581"/>
      <c r="K768" s="581"/>
      <c r="L768" s="581"/>
      <c r="M768" s="1477"/>
      <c r="N768" s="1477"/>
      <c r="O768" s="1477"/>
      <c r="P768" s="1467"/>
      <c r="Q768" s="581"/>
      <c r="R768" s="581"/>
      <c r="S768" s="581"/>
      <c r="T768" s="581"/>
      <c r="U768" s="581"/>
      <c r="V768" s="581"/>
      <c r="W768" s="1475"/>
      <c r="X768" s="581"/>
      <c r="Y768" s="581"/>
    </row>
    <row r="769">
      <c r="A769" s="581"/>
      <c r="B769" s="1467"/>
      <c r="C769" s="581"/>
      <c r="D769" s="581"/>
      <c r="E769" s="581"/>
      <c r="F769" s="624"/>
      <c r="G769" s="581"/>
      <c r="H769" s="581"/>
      <c r="I769" s="581"/>
      <c r="J769" s="581"/>
      <c r="K769" s="581"/>
      <c r="L769" s="581"/>
      <c r="M769" s="1477"/>
      <c r="N769" s="1477"/>
      <c r="O769" s="1477"/>
      <c r="P769" s="1467"/>
      <c r="Q769" s="581"/>
      <c r="R769" s="581"/>
      <c r="S769" s="581"/>
      <c r="T769" s="581"/>
      <c r="U769" s="581"/>
      <c r="V769" s="581"/>
      <c r="W769" s="1475"/>
      <c r="X769" s="581"/>
      <c r="Y769" s="581"/>
    </row>
    <row r="770">
      <c r="A770" s="581"/>
      <c r="B770" s="1467"/>
      <c r="C770" s="581"/>
      <c r="D770" s="581"/>
      <c r="E770" s="581"/>
      <c r="F770" s="624"/>
      <c r="G770" s="581"/>
      <c r="H770" s="581"/>
      <c r="I770" s="581"/>
      <c r="J770" s="581"/>
      <c r="K770" s="581"/>
      <c r="L770" s="581"/>
      <c r="M770" s="1477"/>
      <c r="N770" s="1477"/>
      <c r="O770" s="1477"/>
      <c r="P770" s="1467"/>
      <c r="Q770" s="581"/>
      <c r="R770" s="581"/>
      <c r="S770" s="581"/>
      <c r="T770" s="581"/>
      <c r="U770" s="581"/>
      <c r="V770" s="581"/>
      <c r="W770" s="1475"/>
      <c r="X770" s="581"/>
      <c r="Y770" s="581"/>
    </row>
    <row r="771">
      <c r="A771" s="581"/>
      <c r="B771" s="1467"/>
      <c r="C771" s="581"/>
      <c r="D771" s="581"/>
      <c r="E771" s="581"/>
      <c r="F771" s="624"/>
      <c r="G771" s="581"/>
      <c r="H771" s="581"/>
      <c r="I771" s="581"/>
      <c r="J771" s="581"/>
      <c r="K771" s="581"/>
      <c r="L771" s="581"/>
      <c r="M771" s="1477"/>
      <c r="N771" s="1477"/>
      <c r="O771" s="1477"/>
      <c r="P771" s="1467"/>
      <c r="Q771" s="581"/>
      <c r="R771" s="581"/>
      <c r="S771" s="581"/>
      <c r="T771" s="581"/>
      <c r="U771" s="581"/>
      <c r="V771" s="581"/>
      <c r="W771" s="1475"/>
      <c r="X771" s="581"/>
      <c r="Y771" s="581"/>
    </row>
    <row r="772">
      <c r="A772" s="581"/>
      <c r="B772" s="1467"/>
      <c r="C772" s="581"/>
      <c r="D772" s="581"/>
      <c r="E772" s="581"/>
      <c r="F772" s="624"/>
      <c r="G772" s="581"/>
      <c r="H772" s="581"/>
      <c r="I772" s="581"/>
      <c r="J772" s="581"/>
      <c r="K772" s="581"/>
      <c r="L772" s="581"/>
      <c r="M772" s="1477"/>
      <c r="N772" s="1477"/>
      <c r="O772" s="1477"/>
      <c r="P772" s="1467"/>
      <c r="Q772" s="581"/>
      <c r="R772" s="581"/>
      <c r="S772" s="581"/>
      <c r="T772" s="581"/>
      <c r="U772" s="581"/>
      <c r="V772" s="581"/>
      <c r="W772" s="1475"/>
      <c r="X772" s="581"/>
      <c r="Y772" s="581"/>
    </row>
    <row r="773">
      <c r="A773" s="581"/>
      <c r="B773" s="1467"/>
      <c r="C773" s="581"/>
      <c r="D773" s="581"/>
      <c r="E773" s="581"/>
      <c r="F773" s="624"/>
      <c r="G773" s="581"/>
      <c r="H773" s="581"/>
      <c r="I773" s="581"/>
      <c r="J773" s="581"/>
      <c r="K773" s="581"/>
      <c r="L773" s="581"/>
      <c r="M773" s="1477"/>
      <c r="N773" s="1477"/>
      <c r="O773" s="1477"/>
      <c r="P773" s="1467"/>
      <c r="Q773" s="581"/>
      <c r="R773" s="581"/>
      <c r="S773" s="581"/>
      <c r="T773" s="581"/>
      <c r="U773" s="581"/>
      <c r="V773" s="581"/>
      <c r="W773" s="1475"/>
      <c r="X773" s="581"/>
      <c r="Y773" s="581"/>
    </row>
    <row r="774">
      <c r="A774" s="581"/>
      <c r="B774" s="1467"/>
      <c r="C774" s="581"/>
      <c r="D774" s="581"/>
      <c r="E774" s="581"/>
      <c r="F774" s="624"/>
      <c r="G774" s="581"/>
      <c r="H774" s="581"/>
      <c r="I774" s="581"/>
      <c r="J774" s="581"/>
      <c r="K774" s="581"/>
      <c r="L774" s="581"/>
      <c r="M774" s="1477"/>
      <c r="N774" s="1477"/>
      <c r="O774" s="1477"/>
      <c r="P774" s="1467"/>
      <c r="Q774" s="581"/>
      <c r="R774" s="581"/>
      <c r="S774" s="581"/>
      <c r="T774" s="581"/>
      <c r="U774" s="581"/>
      <c r="V774" s="581"/>
      <c r="W774" s="1475"/>
      <c r="X774" s="581"/>
      <c r="Y774" s="581"/>
    </row>
    <row r="775">
      <c r="A775" s="581"/>
      <c r="B775" s="1467"/>
      <c r="C775" s="581"/>
      <c r="D775" s="581"/>
      <c r="E775" s="581"/>
      <c r="F775" s="624"/>
      <c r="G775" s="581"/>
      <c r="H775" s="581"/>
      <c r="I775" s="581"/>
      <c r="J775" s="581"/>
      <c r="K775" s="581"/>
      <c r="L775" s="581"/>
      <c r="M775" s="1477"/>
      <c r="N775" s="1477"/>
      <c r="O775" s="1477"/>
      <c r="P775" s="1467"/>
      <c r="Q775" s="581"/>
      <c r="R775" s="581"/>
      <c r="S775" s="581"/>
      <c r="T775" s="581"/>
      <c r="U775" s="581"/>
      <c r="V775" s="581"/>
      <c r="W775" s="1475"/>
      <c r="X775" s="581"/>
      <c r="Y775" s="581"/>
    </row>
    <row r="776">
      <c r="A776" s="581"/>
      <c r="B776" s="1467"/>
      <c r="C776" s="581"/>
      <c r="D776" s="581"/>
      <c r="E776" s="581"/>
      <c r="F776" s="624"/>
      <c r="G776" s="581"/>
      <c r="H776" s="581"/>
      <c r="I776" s="581"/>
      <c r="J776" s="581"/>
      <c r="K776" s="581"/>
      <c r="L776" s="581"/>
      <c r="M776" s="1477"/>
      <c r="N776" s="1477"/>
      <c r="O776" s="1477"/>
      <c r="P776" s="1467"/>
      <c r="Q776" s="581"/>
      <c r="R776" s="581"/>
      <c r="S776" s="581"/>
      <c r="T776" s="581"/>
      <c r="U776" s="581"/>
      <c r="V776" s="581"/>
      <c r="W776" s="1475"/>
      <c r="X776" s="581"/>
      <c r="Y776" s="581"/>
    </row>
    <row r="777">
      <c r="A777" s="581"/>
      <c r="B777" s="1467"/>
      <c r="C777" s="581"/>
      <c r="D777" s="581"/>
      <c r="E777" s="581"/>
      <c r="F777" s="624"/>
      <c r="G777" s="581"/>
      <c r="H777" s="581"/>
      <c r="I777" s="581"/>
      <c r="J777" s="581"/>
      <c r="K777" s="581"/>
      <c r="L777" s="581"/>
      <c r="M777" s="1477"/>
      <c r="N777" s="1477"/>
      <c r="O777" s="1477"/>
      <c r="P777" s="1467"/>
      <c r="Q777" s="581"/>
      <c r="R777" s="581"/>
      <c r="S777" s="581"/>
      <c r="T777" s="581"/>
      <c r="U777" s="581"/>
      <c r="V777" s="581"/>
      <c r="W777" s="1475"/>
      <c r="X777" s="581"/>
      <c r="Y777" s="581"/>
    </row>
    <row r="778">
      <c r="A778" s="581"/>
      <c r="B778" s="1467"/>
      <c r="C778" s="581"/>
      <c r="D778" s="581"/>
      <c r="E778" s="581"/>
      <c r="F778" s="624"/>
      <c r="G778" s="581"/>
      <c r="H778" s="581"/>
      <c r="I778" s="581"/>
      <c r="J778" s="581"/>
      <c r="K778" s="581"/>
      <c r="L778" s="581"/>
      <c r="M778" s="1477"/>
      <c r="N778" s="1477"/>
      <c r="O778" s="1477"/>
      <c r="P778" s="1467"/>
      <c r="Q778" s="581"/>
      <c r="R778" s="581"/>
      <c r="S778" s="581"/>
      <c r="T778" s="581"/>
      <c r="U778" s="581"/>
      <c r="V778" s="581"/>
      <c r="W778" s="1475"/>
      <c r="X778" s="581"/>
      <c r="Y778" s="581"/>
    </row>
    <row r="779">
      <c r="A779" s="581"/>
      <c r="B779" s="1467"/>
      <c r="C779" s="581"/>
      <c r="D779" s="581"/>
      <c r="E779" s="581"/>
      <c r="F779" s="624"/>
      <c r="G779" s="581"/>
      <c r="H779" s="581"/>
      <c r="I779" s="581"/>
      <c r="J779" s="581"/>
      <c r="K779" s="581"/>
      <c r="L779" s="581"/>
      <c r="M779" s="1477"/>
      <c r="N779" s="1477"/>
      <c r="O779" s="1477"/>
      <c r="P779" s="1467"/>
      <c r="Q779" s="581"/>
      <c r="R779" s="581"/>
      <c r="S779" s="581"/>
      <c r="T779" s="581"/>
      <c r="U779" s="581"/>
      <c r="V779" s="581"/>
      <c r="W779" s="1475"/>
      <c r="X779" s="581"/>
      <c r="Y779" s="581"/>
    </row>
    <row r="780">
      <c r="A780" s="581"/>
      <c r="B780" s="1467"/>
      <c r="C780" s="581"/>
      <c r="D780" s="581"/>
      <c r="E780" s="581"/>
      <c r="F780" s="624"/>
      <c r="G780" s="581"/>
      <c r="H780" s="581"/>
      <c r="I780" s="581"/>
      <c r="J780" s="581"/>
      <c r="K780" s="581"/>
      <c r="L780" s="581"/>
      <c r="M780" s="1477"/>
      <c r="N780" s="1477"/>
      <c r="O780" s="1477"/>
      <c r="P780" s="1467"/>
      <c r="Q780" s="581"/>
      <c r="R780" s="581"/>
      <c r="S780" s="581"/>
      <c r="T780" s="581"/>
      <c r="U780" s="581"/>
      <c r="V780" s="581"/>
      <c r="W780" s="1475"/>
      <c r="X780" s="581"/>
      <c r="Y780" s="581"/>
    </row>
    <row r="781">
      <c r="A781" s="581"/>
      <c r="B781" s="1467"/>
      <c r="C781" s="581"/>
      <c r="D781" s="581"/>
      <c r="E781" s="581"/>
      <c r="F781" s="624"/>
      <c r="G781" s="581"/>
      <c r="H781" s="581"/>
      <c r="I781" s="581"/>
      <c r="J781" s="581"/>
      <c r="K781" s="581"/>
      <c r="L781" s="581"/>
      <c r="M781" s="1477"/>
      <c r="N781" s="1477"/>
      <c r="O781" s="1477"/>
      <c r="P781" s="1467"/>
      <c r="Q781" s="581"/>
      <c r="R781" s="581"/>
      <c r="S781" s="581"/>
      <c r="T781" s="581"/>
      <c r="U781" s="581"/>
      <c r="V781" s="581"/>
      <c r="W781" s="1475"/>
      <c r="X781" s="581"/>
      <c r="Y781" s="581"/>
    </row>
    <row r="782">
      <c r="A782" s="581"/>
      <c r="B782" s="1467"/>
      <c r="C782" s="581"/>
      <c r="D782" s="581"/>
      <c r="E782" s="581"/>
      <c r="F782" s="624"/>
      <c r="G782" s="581"/>
      <c r="H782" s="581"/>
      <c r="I782" s="581"/>
      <c r="J782" s="581"/>
      <c r="K782" s="581"/>
      <c r="L782" s="581"/>
      <c r="M782" s="1477"/>
      <c r="N782" s="1477"/>
      <c r="O782" s="1477"/>
      <c r="P782" s="1467"/>
      <c r="Q782" s="581"/>
      <c r="R782" s="581"/>
      <c r="S782" s="581"/>
      <c r="T782" s="581"/>
      <c r="U782" s="581"/>
      <c r="V782" s="581"/>
      <c r="W782" s="1475"/>
      <c r="X782" s="581"/>
      <c r="Y782" s="581"/>
    </row>
    <row r="783">
      <c r="A783" s="581"/>
      <c r="B783" s="1467"/>
      <c r="C783" s="581"/>
      <c r="D783" s="581"/>
      <c r="E783" s="581"/>
      <c r="F783" s="624"/>
      <c r="G783" s="581"/>
      <c r="H783" s="581"/>
      <c r="I783" s="581"/>
      <c r="J783" s="581"/>
      <c r="K783" s="581"/>
      <c r="L783" s="581"/>
      <c r="M783" s="1477"/>
      <c r="N783" s="1477"/>
      <c r="O783" s="1477"/>
      <c r="P783" s="1467"/>
      <c r="Q783" s="581"/>
      <c r="R783" s="581"/>
      <c r="S783" s="581"/>
      <c r="T783" s="581"/>
      <c r="U783" s="581"/>
      <c r="V783" s="581"/>
      <c r="W783" s="1475"/>
      <c r="X783" s="581"/>
      <c r="Y783" s="581"/>
    </row>
    <row r="784">
      <c r="A784" s="581"/>
      <c r="B784" s="1467"/>
      <c r="C784" s="581"/>
      <c r="D784" s="581"/>
      <c r="E784" s="581"/>
      <c r="F784" s="624"/>
      <c r="G784" s="581"/>
      <c r="H784" s="581"/>
      <c r="I784" s="581"/>
      <c r="J784" s="581"/>
      <c r="K784" s="581"/>
      <c r="L784" s="581"/>
      <c r="M784" s="1477"/>
      <c r="N784" s="1477"/>
      <c r="O784" s="1477"/>
      <c r="P784" s="1467"/>
      <c r="Q784" s="581"/>
      <c r="R784" s="581"/>
      <c r="S784" s="581"/>
      <c r="T784" s="581"/>
      <c r="U784" s="581"/>
      <c r="V784" s="581"/>
      <c r="W784" s="1475"/>
      <c r="X784" s="581"/>
      <c r="Y784" s="581"/>
    </row>
    <row r="785">
      <c r="A785" s="581"/>
      <c r="B785" s="1467"/>
      <c r="C785" s="581"/>
      <c r="D785" s="581"/>
      <c r="E785" s="581"/>
      <c r="F785" s="624"/>
      <c r="G785" s="581"/>
      <c r="H785" s="581"/>
      <c r="I785" s="581"/>
      <c r="J785" s="581"/>
      <c r="K785" s="581"/>
      <c r="L785" s="581"/>
      <c r="M785" s="1477"/>
      <c r="N785" s="1477"/>
      <c r="O785" s="1477"/>
      <c r="P785" s="1467"/>
      <c r="Q785" s="581"/>
      <c r="R785" s="581"/>
      <c r="S785" s="581"/>
      <c r="T785" s="581"/>
      <c r="U785" s="581"/>
      <c r="V785" s="581"/>
      <c r="W785" s="1475"/>
      <c r="X785" s="581"/>
      <c r="Y785" s="581"/>
    </row>
    <row r="786">
      <c r="A786" s="581"/>
      <c r="B786" s="1467"/>
      <c r="C786" s="581"/>
      <c r="D786" s="581"/>
      <c r="E786" s="581"/>
      <c r="F786" s="624"/>
      <c r="G786" s="581"/>
      <c r="H786" s="581"/>
      <c r="I786" s="581"/>
      <c r="J786" s="581"/>
      <c r="K786" s="581"/>
      <c r="L786" s="581"/>
      <c r="M786" s="1477"/>
      <c r="N786" s="1477"/>
      <c r="O786" s="1477"/>
      <c r="P786" s="1467"/>
      <c r="Q786" s="581"/>
      <c r="R786" s="581"/>
      <c r="S786" s="581"/>
      <c r="T786" s="581"/>
      <c r="U786" s="581"/>
      <c r="V786" s="581"/>
      <c r="W786" s="1475"/>
      <c r="X786" s="581"/>
      <c r="Y786" s="581"/>
    </row>
    <row r="787">
      <c r="A787" s="581"/>
      <c r="B787" s="1467"/>
      <c r="C787" s="581"/>
      <c r="D787" s="581"/>
      <c r="E787" s="581"/>
      <c r="F787" s="624"/>
      <c r="G787" s="581"/>
      <c r="H787" s="581"/>
      <c r="I787" s="581"/>
      <c r="J787" s="581"/>
      <c r="K787" s="581"/>
      <c r="L787" s="581"/>
      <c r="M787" s="1477"/>
      <c r="N787" s="1477"/>
      <c r="O787" s="1477"/>
      <c r="P787" s="1467"/>
      <c r="Q787" s="581"/>
      <c r="R787" s="581"/>
      <c r="S787" s="581"/>
      <c r="T787" s="581"/>
      <c r="U787" s="581"/>
      <c r="V787" s="581"/>
      <c r="W787" s="1475"/>
      <c r="X787" s="581"/>
      <c r="Y787" s="581"/>
    </row>
    <row r="788">
      <c r="A788" s="581"/>
      <c r="B788" s="1467"/>
      <c r="C788" s="581"/>
      <c r="D788" s="581"/>
      <c r="E788" s="581"/>
      <c r="F788" s="624"/>
      <c r="G788" s="581"/>
      <c r="H788" s="581"/>
      <c r="I788" s="581"/>
      <c r="J788" s="581"/>
      <c r="K788" s="581"/>
      <c r="L788" s="581"/>
      <c r="M788" s="1477"/>
      <c r="N788" s="1477"/>
      <c r="O788" s="1477"/>
      <c r="P788" s="1467"/>
      <c r="Q788" s="581"/>
      <c r="R788" s="581"/>
      <c r="S788" s="581"/>
      <c r="T788" s="581"/>
      <c r="U788" s="581"/>
      <c r="V788" s="581"/>
      <c r="W788" s="1475"/>
      <c r="X788" s="581"/>
      <c r="Y788" s="581"/>
    </row>
    <row r="789">
      <c r="A789" s="581"/>
      <c r="B789" s="1467"/>
      <c r="C789" s="581"/>
      <c r="D789" s="581"/>
      <c r="E789" s="581"/>
      <c r="F789" s="624"/>
      <c r="G789" s="581"/>
      <c r="H789" s="581"/>
      <c r="I789" s="581"/>
      <c r="J789" s="581"/>
      <c r="K789" s="581"/>
      <c r="L789" s="581"/>
      <c r="M789" s="1477"/>
      <c r="N789" s="1477"/>
      <c r="O789" s="1477"/>
      <c r="P789" s="1467"/>
      <c r="Q789" s="581"/>
      <c r="R789" s="581"/>
      <c r="S789" s="581"/>
      <c r="T789" s="581"/>
      <c r="U789" s="581"/>
      <c r="V789" s="581"/>
      <c r="W789" s="1475"/>
      <c r="X789" s="581"/>
      <c r="Y789" s="581"/>
    </row>
    <row r="790">
      <c r="A790" s="581"/>
      <c r="B790" s="1467"/>
      <c r="C790" s="581"/>
      <c r="D790" s="581"/>
      <c r="E790" s="581"/>
      <c r="F790" s="624"/>
      <c r="G790" s="581"/>
      <c r="H790" s="581"/>
      <c r="I790" s="581"/>
      <c r="J790" s="581"/>
      <c r="K790" s="581"/>
      <c r="L790" s="581"/>
      <c r="M790" s="1477"/>
      <c r="N790" s="1477"/>
      <c r="O790" s="1477"/>
      <c r="P790" s="1467"/>
      <c r="Q790" s="581"/>
      <c r="R790" s="581"/>
      <c r="S790" s="581"/>
      <c r="T790" s="581"/>
      <c r="U790" s="581"/>
      <c r="V790" s="581"/>
      <c r="W790" s="1475"/>
      <c r="X790" s="581"/>
      <c r="Y790" s="581"/>
    </row>
    <row r="791">
      <c r="A791" s="581"/>
      <c r="B791" s="1467"/>
      <c r="C791" s="581"/>
      <c r="D791" s="581"/>
      <c r="E791" s="581"/>
      <c r="F791" s="624"/>
      <c r="G791" s="581"/>
      <c r="H791" s="581"/>
      <c r="I791" s="581"/>
      <c r="J791" s="581"/>
      <c r="K791" s="581"/>
      <c r="L791" s="581"/>
      <c r="M791" s="1477"/>
      <c r="N791" s="1477"/>
      <c r="O791" s="1477"/>
      <c r="P791" s="1467"/>
      <c r="Q791" s="581"/>
      <c r="R791" s="581"/>
      <c r="S791" s="581"/>
      <c r="T791" s="581"/>
      <c r="U791" s="581"/>
      <c r="V791" s="581"/>
      <c r="W791" s="1475"/>
      <c r="X791" s="581"/>
      <c r="Y791" s="581"/>
    </row>
    <row r="792">
      <c r="A792" s="581"/>
      <c r="B792" s="1467"/>
      <c r="C792" s="581"/>
      <c r="D792" s="581"/>
      <c r="E792" s="581"/>
      <c r="F792" s="624"/>
      <c r="G792" s="581"/>
      <c r="H792" s="581"/>
      <c r="I792" s="581"/>
      <c r="J792" s="581"/>
      <c r="K792" s="581"/>
      <c r="L792" s="581"/>
      <c r="M792" s="1477"/>
      <c r="N792" s="1477"/>
      <c r="O792" s="1477"/>
      <c r="P792" s="1467"/>
      <c r="Q792" s="581"/>
      <c r="R792" s="581"/>
      <c r="S792" s="581"/>
      <c r="T792" s="581"/>
      <c r="U792" s="581"/>
      <c r="V792" s="581"/>
      <c r="W792" s="1475"/>
      <c r="X792" s="581"/>
      <c r="Y792" s="581"/>
    </row>
    <row r="793">
      <c r="A793" s="581"/>
      <c r="B793" s="1467"/>
      <c r="C793" s="581"/>
      <c r="D793" s="581"/>
      <c r="E793" s="581"/>
      <c r="F793" s="624"/>
      <c r="G793" s="581"/>
      <c r="H793" s="581"/>
      <c r="I793" s="581"/>
      <c r="J793" s="581"/>
      <c r="K793" s="581"/>
      <c r="L793" s="581"/>
      <c r="M793" s="1477"/>
      <c r="N793" s="1477"/>
      <c r="O793" s="1477"/>
      <c r="P793" s="1467"/>
      <c r="Q793" s="581"/>
      <c r="R793" s="581"/>
      <c r="S793" s="581"/>
      <c r="T793" s="581"/>
      <c r="U793" s="581"/>
      <c r="V793" s="581"/>
      <c r="W793" s="1475"/>
      <c r="X793" s="581"/>
      <c r="Y793" s="581"/>
    </row>
    <row r="794">
      <c r="A794" s="581"/>
      <c r="B794" s="1467"/>
      <c r="C794" s="581"/>
      <c r="D794" s="581"/>
      <c r="E794" s="581"/>
      <c r="F794" s="624"/>
      <c r="G794" s="581"/>
      <c r="H794" s="581"/>
      <c r="I794" s="581"/>
      <c r="J794" s="581"/>
      <c r="K794" s="581"/>
      <c r="L794" s="581"/>
      <c r="M794" s="1477"/>
      <c r="N794" s="1477"/>
      <c r="O794" s="1477"/>
      <c r="P794" s="1467"/>
      <c r="Q794" s="581"/>
      <c r="R794" s="581"/>
      <c r="S794" s="581"/>
      <c r="T794" s="581"/>
      <c r="U794" s="581"/>
      <c r="V794" s="581"/>
      <c r="W794" s="1475"/>
      <c r="X794" s="581"/>
      <c r="Y794" s="581"/>
    </row>
    <row r="795">
      <c r="A795" s="581"/>
      <c r="B795" s="1467"/>
      <c r="C795" s="581"/>
      <c r="D795" s="581"/>
      <c r="E795" s="581"/>
      <c r="F795" s="624"/>
      <c r="G795" s="581"/>
      <c r="H795" s="581"/>
      <c r="I795" s="581"/>
      <c r="J795" s="581"/>
      <c r="K795" s="581"/>
      <c r="L795" s="581"/>
      <c r="M795" s="1477"/>
      <c r="N795" s="1477"/>
      <c r="O795" s="1477"/>
      <c r="P795" s="1467"/>
      <c r="Q795" s="581"/>
      <c r="R795" s="581"/>
      <c r="S795" s="581"/>
      <c r="T795" s="581"/>
      <c r="U795" s="581"/>
      <c r="V795" s="581"/>
      <c r="W795" s="1475"/>
      <c r="X795" s="581"/>
      <c r="Y795" s="581"/>
    </row>
    <row r="796">
      <c r="A796" s="581"/>
      <c r="B796" s="1467"/>
      <c r="C796" s="581"/>
      <c r="D796" s="581"/>
      <c r="E796" s="581"/>
      <c r="F796" s="624"/>
      <c r="G796" s="581"/>
      <c r="H796" s="581"/>
      <c r="I796" s="581"/>
      <c r="J796" s="581"/>
      <c r="K796" s="581"/>
      <c r="L796" s="581"/>
      <c r="M796" s="1477"/>
      <c r="N796" s="1477"/>
      <c r="O796" s="1477"/>
      <c r="P796" s="1467"/>
      <c r="Q796" s="581"/>
      <c r="R796" s="581"/>
      <c r="S796" s="581"/>
      <c r="T796" s="581"/>
      <c r="U796" s="581"/>
      <c r="V796" s="581"/>
      <c r="W796" s="1475"/>
      <c r="X796" s="581"/>
      <c r="Y796" s="581"/>
    </row>
    <row r="797">
      <c r="A797" s="581"/>
      <c r="B797" s="1467"/>
      <c r="C797" s="581"/>
      <c r="D797" s="581"/>
      <c r="E797" s="581"/>
      <c r="F797" s="624"/>
      <c r="G797" s="581"/>
      <c r="H797" s="581"/>
      <c r="I797" s="581"/>
      <c r="J797" s="581"/>
      <c r="K797" s="581"/>
      <c r="L797" s="581"/>
      <c r="M797" s="1477"/>
      <c r="N797" s="1477"/>
      <c r="O797" s="1477"/>
      <c r="P797" s="1467"/>
      <c r="Q797" s="581"/>
      <c r="R797" s="581"/>
      <c r="S797" s="581"/>
      <c r="T797" s="581"/>
      <c r="U797" s="581"/>
      <c r="V797" s="581"/>
      <c r="W797" s="1475"/>
      <c r="X797" s="581"/>
      <c r="Y797" s="581"/>
    </row>
    <row r="798">
      <c r="A798" s="581"/>
      <c r="B798" s="1467"/>
      <c r="C798" s="581"/>
      <c r="D798" s="581"/>
      <c r="E798" s="581"/>
      <c r="F798" s="624"/>
      <c r="G798" s="581"/>
      <c r="H798" s="581"/>
      <c r="I798" s="581"/>
      <c r="J798" s="581"/>
      <c r="K798" s="581"/>
      <c r="L798" s="581"/>
      <c r="M798" s="1477"/>
      <c r="N798" s="1477"/>
      <c r="O798" s="1477"/>
      <c r="P798" s="1467"/>
      <c r="Q798" s="581"/>
      <c r="R798" s="581"/>
      <c r="S798" s="581"/>
      <c r="T798" s="581"/>
      <c r="U798" s="581"/>
      <c r="V798" s="581"/>
      <c r="W798" s="1475"/>
      <c r="X798" s="581"/>
      <c r="Y798" s="581"/>
    </row>
    <row r="799">
      <c r="A799" s="581"/>
      <c r="B799" s="1467"/>
      <c r="C799" s="581"/>
      <c r="D799" s="581"/>
      <c r="E799" s="581"/>
      <c r="F799" s="624"/>
      <c r="G799" s="581"/>
      <c r="H799" s="581"/>
      <c r="I799" s="581"/>
      <c r="J799" s="581"/>
      <c r="K799" s="581"/>
      <c r="L799" s="581"/>
      <c r="M799" s="1477"/>
      <c r="N799" s="1477"/>
      <c r="O799" s="1477"/>
      <c r="P799" s="1467"/>
      <c r="Q799" s="581"/>
      <c r="R799" s="581"/>
      <c r="S799" s="581"/>
      <c r="T799" s="581"/>
      <c r="U799" s="581"/>
      <c r="V799" s="581"/>
      <c r="W799" s="1475"/>
      <c r="X799" s="581"/>
      <c r="Y799" s="581"/>
    </row>
    <row r="800">
      <c r="A800" s="581"/>
      <c r="B800" s="1467"/>
      <c r="C800" s="581"/>
      <c r="D800" s="581"/>
      <c r="E800" s="581"/>
      <c r="F800" s="624"/>
      <c r="G800" s="581"/>
      <c r="H800" s="581"/>
      <c r="I800" s="581"/>
      <c r="J800" s="581"/>
      <c r="K800" s="581"/>
      <c r="L800" s="581"/>
      <c r="M800" s="1477"/>
      <c r="N800" s="1477"/>
      <c r="O800" s="1477"/>
      <c r="P800" s="1467"/>
      <c r="Q800" s="581"/>
      <c r="R800" s="581"/>
      <c r="S800" s="581"/>
      <c r="T800" s="581"/>
      <c r="U800" s="581"/>
      <c r="V800" s="581"/>
      <c r="W800" s="1475"/>
      <c r="X800" s="581"/>
      <c r="Y800" s="581"/>
    </row>
    <row r="801">
      <c r="A801" s="581"/>
      <c r="B801" s="1467"/>
      <c r="C801" s="581"/>
      <c r="D801" s="581"/>
      <c r="E801" s="581"/>
      <c r="F801" s="624"/>
      <c r="G801" s="581"/>
      <c r="H801" s="581"/>
      <c r="I801" s="581"/>
      <c r="J801" s="581"/>
      <c r="K801" s="581"/>
      <c r="L801" s="581"/>
      <c r="M801" s="1477"/>
      <c r="N801" s="1477"/>
      <c r="O801" s="1477"/>
      <c r="P801" s="1467"/>
      <c r="Q801" s="581"/>
      <c r="R801" s="581"/>
      <c r="S801" s="581"/>
      <c r="T801" s="581"/>
      <c r="U801" s="581"/>
      <c r="V801" s="581"/>
      <c r="W801" s="1475"/>
      <c r="X801" s="581"/>
      <c r="Y801" s="581"/>
    </row>
    <row r="802">
      <c r="A802" s="581"/>
      <c r="B802" s="1467"/>
      <c r="C802" s="581"/>
      <c r="D802" s="581"/>
      <c r="E802" s="581"/>
      <c r="F802" s="624"/>
      <c r="G802" s="581"/>
      <c r="H802" s="581"/>
      <c r="I802" s="581"/>
      <c r="J802" s="581"/>
      <c r="K802" s="581"/>
      <c r="L802" s="581"/>
      <c r="M802" s="1477"/>
      <c r="N802" s="1477"/>
      <c r="O802" s="1477"/>
      <c r="P802" s="1467"/>
      <c r="Q802" s="581"/>
      <c r="R802" s="581"/>
      <c r="S802" s="581"/>
      <c r="T802" s="581"/>
      <c r="U802" s="581"/>
      <c r="V802" s="581"/>
      <c r="W802" s="1475"/>
      <c r="X802" s="581"/>
      <c r="Y802" s="581"/>
    </row>
    <row r="803">
      <c r="A803" s="581"/>
      <c r="B803" s="1467"/>
      <c r="C803" s="581"/>
      <c r="D803" s="581"/>
      <c r="E803" s="581"/>
      <c r="F803" s="624"/>
      <c r="G803" s="581"/>
      <c r="H803" s="581"/>
      <c r="I803" s="581"/>
      <c r="J803" s="581"/>
      <c r="K803" s="581"/>
      <c r="L803" s="581"/>
      <c r="M803" s="1477"/>
      <c r="N803" s="1477"/>
      <c r="O803" s="1477"/>
      <c r="P803" s="1467"/>
      <c r="Q803" s="581"/>
      <c r="R803" s="581"/>
      <c r="S803" s="581"/>
      <c r="T803" s="581"/>
      <c r="U803" s="581"/>
      <c r="V803" s="581"/>
      <c r="W803" s="1475"/>
      <c r="X803" s="581"/>
      <c r="Y803" s="581"/>
    </row>
    <row r="804">
      <c r="A804" s="581"/>
      <c r="B804" s="1467"/>
      <c r="C804" s="581"/>
      <c r="D804" s="581"/>
      <c r="E804" s="581"/>
      <c r="F804" s="624"/>
      <c r="G804" s="581"/>
      <c r="H804" s="581"/>
      <c r="I804" s="581"/>
      <c r="J804" s="581"/>
      <c r="K804" s="581"/>
      <c r="L804" s="581"/>
      <c r="M804" s="1477"/>
      <c r="N804" s="1477"/>
      <c r="O804" s="1477"/>
      <c r="P804" s="1467"/>
      <c r="Q804" s="581"/>
      <c r="R804" s="581"/>
      <c r="S804" s="581"/>
      <c r="T804" s="581"/>
      <c r="U804" s="581"/>
      <c r="V804" s="581"/>
      <c r="W804" s="1475"/>
      <c r="X804" s="581"/>
      <c r="Y804" s="581"/>
    </row>
    <row r="805">
      <c r="A805" s="581"/>
      <c r="B805" s="1467"/>
      <c r="C805" s="581"/>
      <c r="D805" s="581"/>
      <c r="E805" s="581"/>
      <c r="F805" s="624"/>
      <c r="G805" s="581"/>
      <c r="H805" s="581"/>
      <c r="I805" s="581"/>
      <c r="J805" s="581"/>
      <c r="K805" s="581"/>
      <c r="L805" s="581"/>
      <c r="M805" s="1477"/>
      <c r="N805" s="1477"/>
      <c r="O805" s="1477"/>
      <c r="P805" s="1467"/>
      <c r="Q805" s="581"/>
      <c r="R805" s="581"/>
      <c r="S805" s="581"/>
      <c r="T805" s="581"/>
      <c r="U805" s="581"/>
      <c r="V805" s="581"/>
      <c r="W805" s="1475"/>
      <c r="X805" s="581"/>
      <c r="Y805" s="581"/>
    </row>
    <row r="806">
      <c r="A806" s="581"/>
      <c r="B806" s="1467"/>
      <c r="C806" s="581"/>
      <c r="D806" s="581"/>
      <c r="E806" s="581"/>
      <c r="F806" s="624"/>
      <c r="G806" s="581"/>
      <c r="H806" s="581"/>
      <c r="I806" s="581"/>
      <c r="J806" s="581"/>
      <c r="K806" s="581"/>
      <c r="L806" s="581"/>
      <c r="M806" s="1477"/>
      <c r="N806" s="1477"/>
      <c r="O806" s="1477"/>
      <c r="P806" s="1467"/>
      <c r="Q806" s="581"/>
      <c r="R806" s="581"/>
      <c r="S806" s="581"/>
      <c r="T806" s="581"/>
      <c r="U806" s="581"/>
      <c r="V806" s="581"/>
      <c r="W806" s="1475"/>
      <c r="X806" s="581"/>
      <c r="Y806" s="581"/>
    </row>
    <row r="807">
      <c r="A807" s="581"/>
      <c r="B807" s="1467"/>
      <c r="C807" s="581"/>
      <c r="D807" s="581"/>
      <c r="E807" s="581"/>
      <c r="F807" s="624"/>
      <c r="G807" s="581"/>
      <c r="H807" s="581"/>
      <c r="I807" s="581"/>
      <c r="J807" s="581"/>
      <c r="K807" s="581"/>
      <c r="L807" s="581"/>
      <c r="M807" s="1477"/>
      <c r="N807" s="1477"/>
      <c r="O807" s="1477"/>
      <c r="P807" s="1467"/>
      <c r="Q807" s="581"/>
      <c r="R807" s="581"/>
      <c r="S807" s="581"/>
      <c r="T807" s="581"/>
      <c r="U807" s="581"/>
      <c r="V807" s="581"/>
      <c r="W807" s="1475"/>
      <c r="X807" s="581"/>
      <c r="Y807" s="581"/>
    </row>
    <row r="808">
      <c r="A808" s="581"/>
      <c r="B808" s="1467"/>
      <c r="C808" s="581"/>
      <c r="D808" s="581"/>
      <c r="E808" s="581"/>
      <c r="F808" s="624"/>
      <c r="G808" s="581"/>
      <c r="H808" s="581"/>
      <c r="I808" s="581"/>
      <c r="J808" s="581"/>
      <c r="K808" s="581"/>
      <c r="L808" s="581"/>
      <c r="M808" s="1477"/>
      <c r="N808" s="1477"/>
      <c r="O808" s="1477"/>
      <c r="P808" s="1467"/>
      <c r="Q808" s="581"/>
      <c r="R808" s="581"/>
      <c r="S808" s="581"/>
      <c r="T808" s="581"/>
      <c r="U808" s="581"/>
      <c r="V808" s="581"/>
      <c r="W808" s="1475"/>
      <c r="X808" s="581"/>
      <c r="Y808" s="581"/>
    </row>
    <row r="809">
      <c r="A809" s="581"/>
      <c r="B809" s="1467"/>
      <c r="C809" s="581"/>
      <c r="D809" s="581"/>
      <c r="E809" s="581"/>
      <c r="F809" s="624"/>
      <c r="G809" s="581"/>
      <c r="H809" s="581"/>
      <c r="I809" s="581"/>
      <c r="J809" s="581"/>
      <c r="K809" s="581"/>
      <c r="L809" s="581"/>
      <c r="M809" s="1477"/>
      <c r="N809" s="1477"/>
      <c r="O809" s="1477"/>
      <c r="P809" s="1467"/>
      <c r="Q809" s="581"/>
      <c r="R809" s="581"/>
      <c r="S809" s="581"/>
      <c r="T809" s="581"/>
      <c r="U809" s="581"/>
      <c r="V809" s="581"/>
      <c r="W809" s="1475"/>
      <c r="X809" s="581"/>
      <c r="Y809" s="581"/>
    </row>
    <row r="810">
      <c r="A810" s="581"/>
      <c r="B810" s="1467"/>
      <c r="C810" s="581"/>
      <c r="D810" s="581"/>
      <c r="E810" s="581"/>
      <c r="F810" s="624"/>
      <c r="G810" s="581"/>
      <c r="H810" s="581"/>
      <c r="I810" s="581"/>
      <c r="J810" s="581"/>
      <c r="K810" s="581"/>
      <c r="L810" s="581"/>
      <c r="M810" s="1477"/>
      <c r="N810" s="1477"/>
      <c r="O810" s="1477"/>
      <c r="P810" s="1467"/>
      <c r="Q810" s="581"/>
      <c r="R810" s="581"/>
      <c r="S810" s="581"/>
      <c r="T810" s="581"/>
      <c r="U810" s="581"/>
      <c r="V810" s="581"/>
      <c r="W810" s="1475"/>
      <c r="X810" s="581"/>
      <c r="Y810" s="581"/>
    </row>
    <row r="811">
      <c r="A811" s="581"/>
      <c r="B811" s="1467"/>
      <c r="C811" s="581"/>
      <c r="D811" s="581"/>
      <c r="E811" s="581"/>
      <c r="F811" s="624"/>
      <c r="G811" s="581"/>
      <c r="H811" s="581"/>
      <c r="I811" s="581"/>
      <c r="J811" s="581"/>
      <c r="K811" s="581"/>
      <c r="L811" s="581"/>
      <c r="M811" s="1477"/>
      <c r="N811" s="1477"/>
      <c r="O811" s="1477"/>
      <c r="P811" s="1467"/>
      <c r="Q811" s="581"/>
      <c r="R811" s="581"/>
      <c r="S811" s="581"/>
      <c r="T811" s="581"/>
      <c r="U811" s="581"/>
      <c r="V811" s="581"/>
      <c r="W811" s="1475"/>
      <c r="X811" s="581"/>
      <c r="Y811" s="581"/>
    </row>
    <row r="812">
      <c r="A812" s="581"/>
      <c r="B812" s="1467"/>
      <c r="C812" s="581"/>
      <c r="D812" s="581"/>
      <c r="E812" s="581"/>
      <c r="F812" s="624"/>
      <c r="G812" s="581"/>
      <c r="H812" s="581"/>
      <c r="I812" s="581"/>
      <c r="J812" s="581"/>
      <c r="K812" s="581"/>
      <c r="L812" s="581"/>
      <c r="M812" s="1477"/>
      <c r="N812" s="1477"/>
      <c r="O812" s="1477"/>
      <c r="P812" s="1467"/>
      <c r="Q812" s="581"/>
      <c r="R812" s="581"/>
      <c r="S812" s="581"/>
      <c r="T812" s="581"/>
      <c r="U812" s="581"/>
      <c r="V812" s="581"/>
      <c r="W812" s="1475"/>
      <c r="X812" s="581"/>
      <c r="Y812" s="581"/>
    </row>
    <row r="813">
      <c r="A813" s="581"/>
      <c r="B813" s="1467"/>
      <c r="C813" s="581"/>
      <c r="D813" s="581"/>
      <c r="E813" s="581"/>
      <c r="F813" s="624"/>
      <c r="G813" s="581"/>
      <c r="H813" s="581"/>
      <c r="I813" s="581"/>
      <c r="J813" s="581"/>
      <c r="K813" s="581"/>
      <c r="L813" s="581"/>
      <c r="M813" s="1477"/>
      <c r="N813" s="1477"/>
      <c r="O813" s="1477"/>
      <c r="P813" s="1467"/>
      <c r="Q813" s="581"/>
      <c r="R813" s="581"/>
      <c r="S813" s="581"/>
      <c r="T813" s="581"/>
      <c r="U813" s="581"/>
      <c r="V813" s="581"/>
      <c r="W813" s="1475"/>
      <c r="X813" s="581"/>
      <c r="Y813" s="581"/>
    </row>
    <row r="814">
      <c r="A814" s="581"/>
      <c r="B814" s="1467"/>
      <c r="C814" s="581"/>
      <c r="D814" s="581"/>
      <c r="E814" s="581"/>
      <c r="F814" s="624"/>
      <c r="G814" s="581"/>
      <c r="H814" s="581"/>
      <c r="I814" s="581"/>
      <c r="J814" s="581"/>
      <c r="K814" s="581"/>
      <c r="L814" s="581"/>
      <c r="M814" s="1477"/>
      <c r="N814" s="1477"/>
      <c r="O814" s="1477"/>
      <c r="P814" s="1467"/>
      <c r="Q814" s="581"/>
      <c r="R814" s="581"/>
      <c r="S814" s="581"/>
      <c r="T814" s="581"/>
      <c r="U814" s="581"/>
      <c r="V814" s="581"/>
      <c r="W814" s="1475"/>
      <c r="X814" s="581"/>
      <c r="Y814" s="581"/>
    </row>
    <row r="815">
      <c r="A815" s="581"/>
      <c r="B815" s="1467"/>
      <c r="C815" s="581"/>
      <c r="D815" s="581"/>
      <c r="E815" s="581"/>
      <c r="F815" s="624"/>
      <c r="G815" s="581"/>
      <c r="H815" s="581"/>
      <c r="I815" s="581"/>
      <c r="J815" s="581"/>
      <c r="K815" s="581"/>
      <c r="L815" s="581"/>
      <c r="M815" s="1477"/>
      <c r="N815" s="1477"/>
      <c r="O815" s="1477"/>
      <c r="P815" s="1467"/>
      <c r="Q815" s="581"/>
      <c r="R815" s="581"/>
      <c r="S815" s="581"/>
      <c r="T815" s="581"/>
      <c r="U815" s="581"/>
      <c r="V815" s="581"/>
      <c r="W815" s="1475"/>
      <c r="X815" s="581"/>
      <c r="Y815" s="581"/>
    </row>
    <row r="816">
      <c r="A816" s="581"/>
      <c r="B816" s="1467"/>
      <c r="C816" s="581"/>
      <c r="D816" s="581"/>
      <c r="E816" s="581"/>
      <c r="F816" s="624"/>
      <c r="G816" s="581"/>
      <c r="H816" s="581"/>
      <c r="I816" s="581"/>
      <c r="J816" s="581"/>
      <c r="K816" s="581"/>
      <c r="L816" s="581"/>
      <c r="M816" s="1477"/>
      <c r="N816" s="1477"/>
      <c r="O816" s="1477"/>
      <c r="P816" s="1467"/>
      <c r="Q816" s="581"/>
      <c r="R816" s="581"/>
      <c r="S816" s="581"/>
      <c r="T816" s="581"/>
      <c r="U816" s="581"/>
      <c r="V816" s="581"/>
      <c r="W816" s="1475"/>
      <c r="X816" s="581"/>
      <c r="Y816" s="581"/>
    </row>
    <row r="817">
      <c r="A817" s="581"/>
      <c r="B817" s="1467"/>
      <c r="C817" s="581"/>
      <c r="D817" s="581"/>
      <c r="E817" s="581"/>
      <c r="F817" s="624"/>
      <c r="G817" s="581"/>
      <c r="H817" s="581"/>
      <c r="I817" s="581"/>
      <c r="J817" s="581"/>
      <c r="K817" s="581"/>
      <c r="L817" s="581"/>
      <c r="M817" s="1477"/>
      <c r="N817" s="1477"/>
      <c r="O817" s="1477"/>
      <c r="P817" s="1467"/>
      <c r="Q817" s="581"/>
      <c r="R817" s="581"/>
      <c r="S817" s="581"/>
      <c r="T817" s="581"/>
      <c r="U817" s="581"/>
      <c r="V817" s="581"/>
      <c r="W817" s="1475"/>
      <c r="X817" s="581"/>
      <c r="Y817" s="581"/>
    </row>
    <row r="818">
      <c r="A818" s="581"/>
      <c r="B818" s="1467"/>
      <c r="C818" s="581"/>
      <c r="D818" s="581"/>
      <c r="E818" s="581"/>
      <c r="F818" s="624"/>
      <c r="G818" s="581"/>
      <c r="H818" s="581"/>
      <c r="I818" s="581"/>
      <c r="J818" s="581"/>
      <c r="K818" s="581"/>
      <c r="L818" s="581"/>
      <c r="M818" s="1477"/>
      <c r="N818" s="1477"/>
      <c r="O818" s="1477"/>
      <c r="P818" s="1467"/>
      <c r="Q818" s="581"/>
      <c r="R818" s="581"/>
      <c r="S818" s="581"/>
      <c r="T818" s="581"/>
      <c r="U818" s="581"/>
      <c r="V818" s="581"/>
      <c r="W818" s="1475"/>
      <c r="X818" s="581"/>
      <c r="Y818" s="581"/>
    </row>
    <row r="819">
      <c r="A819" s="581"/>
      <c r="B819" s="1467"/>
      <c r="C819" s="581"/>
      <c r="D819" s="581"/>
      <c r="E819" s="581"/>
      <c r="F819" s="624"/>
      <c r="G819" s="581"/>
      <c r="H819" s="581"/>
      <c r="I819" s="581"/>
      <c r="J819" s="581"/>
      <c r="K819" s="581"/>
      <c r="L819" s="581"/>
      <c r="M819" s="1477"/>
      <c r="N819" s="1477"/>
      <c r="O819" s="1477"/>
      <c r="P819" s="1467"/>
      <c r="Q819" s="581"/>
      <c r="R819" s="581"/>
      <c r="S819" s="581"/>
      <c r="T819" s="581"/>
      <c r="U819" s="581"/>
      <c r="V819" s="581"/>
      <c r="W819" s="1475"/>
      <c r="X819" s="581"/>
      <c r="Y819" s="581"/>
    </row>
    <row r="820">
      <c r="A820" s="581"/>
      <c r="B820" s="1467"/>
      <c r="C820" s="581"/>
      <c r="D820" s="581"/>
      <c r="E820" s="581"/>
      <c r="F820" s="624"/>
      <c r="G820" s="581"/>
      <c r="H820" s="581"/>
      <c r="I820" s="581"/>
      <c r="J820" s="581"/>
      <c r="K820" s="581"/>
      <c r="L820" s="581"/>
      <c r="M820" s="1477"/>
      <c r="N820" s="1477"/>
      <c r="O820" s="1477"/>
      <c r="P820" s="1467"/>
      <c r="Q820" s="581"/>
      <c r="R820" s="581"/>
      <c r="S820" s="581"/>
      <c r="T820" s="581"/>
      <c r="U820" s="581"/>
      <c r="V820" s="581"/>
      <c r="W820" s="1475"/>
      <c r="X820" s="581"/>
      <c r="Y820" s="581"/>
    </row>
    <row r="821">
      <c r="A821" s="581"/>
      <c r="B821" s="1467"/>
      <c r="C821" s="581"/>
      <c r="D821" s="581"/>
      <c r="E821" s="581"/>
      <c r="F821" s="624"/>
      <c r="G821" s="581"/>
      <c r="H821" s="581"/>
      <c r="I821" s="581"/>
      <c r="J821" s="581"/>
      <c r="K821" s="581"/>
      <c r="L821" s="581"/>
      <c r="M821" s="1477"/>
      <c r="N821" s="1477"/>
      <c r="O821" s="1477"/>
      <c r="P821" s="1467"/>
      <c r="Q821" s="581"/>
      <c r="R821" s="581"/>
      <c r="S821" s="581"/>
      <c r="T821" s="581"/>
      <c r="U821" s="581"/>
      <c r="V821" s="581"/>
      <c r="W821" s="1475"/>
      <c r="X821" s="581"/>
      <c r="Y821" s="581"/>
    </row>
    <row r="822">
      <c r="A822" s="581"/>
      <c r="B822" s="1467"/>
      <c r="C822" s="581"/>
      <c r="D822" s="581"/>
      <c r="E822" s="581"/>
      <c r="F822" s="624"/>
      <c r="G822" s="581"/>
      <c r="H822" s="581"/>
      <c r="I822" s="581"/>
      <c r="J822" s="581"/>
      <c r="K822" s="581"/>
      <c r="L822" s="581"/>
      <c r="M822" s="1477"/>
      <c r="N822" s="1477"/>
      <c r="O822" s="1477"/>
      <c r="P822" s="1467"/>
      <c r="Q822" s="581"/>
      <c r="R822" s="581"/>
      <c r="S822" s="581"/>
      <c r="T822" s="581"/>
      <c r="U822" s="581"/>
      <c r="V822" s="581"/>
      <c r="W822" s="1475"/>
      <c r="X822" s="581"/>
      <c r="Y822" s="581"/>
    </row>
    <row r="823">
      <c r="A823" s="581"/>
      <c r="B823" s="1467"/>
      <c r="C823" s="581"/>
      <c r="D823" s="581"/>
      <c r="E823" s="581"/>
      <c r="F823" s="624"/>
      <c r="G823" s="581"/>
      <c r="H823" s="581"/>
      <c r="I823" s="581"/>
      <c r="J823" s="581"/>
      <c r="K823" s="581"/>
      <c r="L823" s="581"/>
      <c r="M823" s="1477"/>
      <c r="N823" s="1477"/>
      <c r="O823" s="1477"/>
      <c r="P823" s="1467"/>
      <c r="Q823" s="581"/>
      <c r="R823" s="581"/>
      <c r="S823" s="581"/>
      <c r="T823" s="581"/>
      <c r="U823" s="581"/>
      <c r="V823" s="581"/>
      <c r="W823" s="1475"/>
      <c r="X823" s="581"/>
      <c r="Y823" s="581"/>
    </row>
    <row r="824">
      <c r="A824" s="581"/>
      <c r="B824" s="1467"/>
      <c r="C824" s="581"/>
      <c r="D824" s="581"/>
      <c r="E824" s="581"/>
      <c r="F824" s="624"/>
      <c r="G824" s="581"/>
      <c r="H824" s="581"/>
      <c r="I824" s="581"/>
      <c r="J824" s="581"/>
      <c r="K824" s="581"/>
      <c r="L824" s="581"/>
      <c r="M824" s="1477"/>
      <c r="N824" s="1477"/>
      <c r="O824" s="1477"/>
      <c r="P824" s="1467"/>
      <c r="Q824" s="581"/>
      <c r="R824" s="581"/>
      <c r="S824" s="581"/>
      <c r="T824" s="581"/>
      <c r="U824" s="581"/>
      <c r="V824" s="581"/>
      <c r="W824" s="1475"/>
      <c r="X824" s="581"/>
      <c r="Y824" s="581"/>
    </row>
    <row r="825">
      <c r="A825" s="581"/>
      <c r="B825" s="1467"/>
      <c r="C825" s="581"/>
      <c r="D825" s="581"/>
      <c r="E825" s="581"/>
      <c r="F825" s="624"/>
      <c r="G825" s="581"/>
      <c r="H825" s="581"/>
      <c r="I825" s="581"/>
      <c r="J825" s="581"/>
      <c r="K825" s="581"/>
      <c r="L825" s="581"/>
      <c r="M825" s="1477"/>
      <c r="N825" s="1477"/>
      <c r="O825" s="1477"/>
      <c r="P825" s="1467"/>
      <c r="Q825" s="581"/>
      <c r="R825" s="581"/>
      <c r="S825" s="581"/>
      <c r="T825" s="581"/>
      <c r="U825" s="581"/>
      <c r="V825" s="581"/>
      <c r="W825" s="1475"/>
      <c r="X825" s="581"/>
      <c r="Y825" s="581"/>
    </row>
    <row r="826">
      <c r="A826" s="581"/>
      <c r="B826" s="1467"/>
      <c r="C826" s="581"/>
      <c r="D826" s="581"/>
      <c r="E826" s="581"/>
      <c r="F826" s="624"/>
      <c r="G826" s="581"/>
      <c r="H826" s="581"/>
      <c r="I826" s="581"/>
      <c r="J826" s="581"/>
      <c r="K826" s="581"/>
      <c r="L826" s="581"/>
      <c r="M826" s="1477"/>
      <c r="N826" s="1477"/>
      <c r="O826" s="1477"/>
      <c r="P826" s="1467"/>
      <c r="Q826" s="581"/>
      <c r="R826" s="581"/>
      <c r="S826" s="581"/>
      <c r="T826" s="581"/>
      <c r="U826" s="581"/>
      <c r="V826" s="581"/>
      <c r="W826" s="1475"/>
      <c r="X826" s="581"/>
      <c r="Y826" s="581"/>
    </row>
    <row r="827">
      <c r="A827" s="581"/>
      <c r="B827" s="1467"/>
      <c r="C827" s="581"/>
      <c r="D827" s="581"/>
      <c r="E827" s="581"/>
      <c r="F827" s="624"/>
      <c r="G827" s="581"/>
      <c r="H827" s="581"/>
      <c r="I827" s="581"/>
      <c r="J827" s="581"/>
      <c r="K827" s="581"/>
      <c r="L827" s="581"/>
      <c r="M827" s="1477"/>
      <c r="N827" s="1477"/>
      <c r="O827" s="1477"/>
      <c r="P827" s="1467"/>
      <c r="Q827" s="581"/>
      <c r="R827" s="581"/>
      <c r="S827" s="581"/>
      <c r="T827" s="581"/>
      <c r="U827" s="581"/>
      <c r="V827" s="581"/>
      <c r="W827" s="1475"/>
      <c r="X827" s="581"/>
      <c r="Y827" s="581"/>
    </row>
    <row r="828">
      <c r="A828" s="581"/>
      <c r="B828" s="1467"/>
      <c r="C828" s="581"/>
      <c r="D828" s="581"/>
      <c r="E828" s="581"/>
      <c r="F828" s="624"/>
      <c r="G828" s="581"/>
      <c r="H828" s="581"/>
      <c r="I828" s="581"/>
      <c r="J828" s="581"/>
      <c r="K828" s="581"/>
      <c r="L828" s="581"/>
      <c r="M828" s="1477"/>
      <c r="N828" s="1477"/>
      <c r="O828" s="1477"/>
      <c r="P828" s="1467"/>
      <c r="Q828" s="581"/>
      <c r="R828" s="581"/>
      <c r="S828" s="581"/>
      <c r="T828" s="581"/>
      <c r="U828" s="581"/>
      <c r="V828" s="581"/>
      <c r="W828" s="1475"/>
      <c r="X828" s="581"/>
      <c r="Y828" s="581"/>
    </row>
    <row r="829">
      <c r="A829" s="581"/>
      <c r="B829" s="1467"/>
      <c r="C829" s="581"/>
      <c r="D829" s="581"/>
      <c r="E829" s="581"/>
      <c r="F829" s="624"/>
      <c r="G829" s="581"/>
      <c r="H829" s="581"/>
      <c r="I829" s="581"/>
      <c r="J829" s="581"/>
      <c r="K829" s="581"/>
      <c r="L829" s="581"/>
      <c r="M829" s="1477"/>
      <c r="N829" s="1477"/>
      <c r="O829" s="1477"/>
      <c r="P829" s="1467"/>
      <c r="Q829" s="581"/>
      <c r="R829" s="581"/>
      <c r="S829" s="581"/>
      <c r="T829" s="581"/>
      <c r="U829" s="581"/>
      <c r="V829" s="581"/>
      <c r="W829" s="1475"/>
      <c r="X829" s="581"/>
      <c r="Y829" s="581"/>
    </row>
    <row r="830">
      <c r="A830" s="581"/>
      <c r="B830" s="1467"/>
      <c r="C830" s="581"/>
      <c r="D830" s="581"/>
      <c r="E830" s="581"/>
      <c r="F830" s="624"/>
      <c r="G830" s="581"/>
      <c r="H830" s="581"/>
      <c r="I830" s="581"/>
      <c r="J830" s="581"/>
      <c r="K830" s="581"/>
      <c r="L830" s="581"/>
      <c r="M830" s="1477"/>
      <c r="N830" s="1477"/>
      <c r="O830" s="1477"/>
      <c r="P830" s="1467"/>
      <c r="Q830" s="581"/>
      <c r="R830" s="581"/>
      <c r="S830" s="581"/>
      <c r="T830" s="581"/>
      <c r="U830" s="581"/>
      <c r="V830" s="581"/>
      <c r="W830" s="1475"/>
      <c r="X830" s="581"/>
      <c r="Y830" s="581"/>
    </row>
    <row r="831">
      <c r="A831" s="581"/>
      <c r="B831" s="1467"/>
      <c r="C831" s="581"/>
      <c r="D831" s="581"/>
      <c r="E831" s="581"/>
      <c r="F831" s="624"/>
      <c r="G831" s="581"/>
      <c r="H831" s="581"/>
      <c r="I831" s="581"/>
      <c r="J831" s="581"/>
      <c r="K831" s="581"/>
      <c r="L831" s="581"/>
      <c r="M831" s="1477"/>
      <c r="N831" s="1477"/>
      <c r="O831" s="1477"/>
      <c r="P831" s="1467"/>
      <c r="Q831" s="581"/>
      <c r="R831" s="581"/>
      <c r="S831" s="581"/>
      <c r="T831" s="581"/>
      <c r="U831" s="581"/>
      <c r="V831" s="581"/>
      <c r="W831" s="1475"/>
      <c r="X831" s="581"/>
      <c r="Y831" s="581"/>
    </row>
    <row r="832">
      <c r="A832" s="581"/>
      <c r="B832" s="1467"/>
      <c r="C832" s="581"/>
      <c r="D832" s="581"/>
      <c r="E832" s="581"/>
      <c r="F832" s="624"/>
      <c r="G832" s="581"/>
      <c r="H832" s="581"/>
      <c r="I832" s="581"/>
      <c r="J832" s="581"/>
      <c r="K832" s="581"/>
      <c r="L832" s="581"/>
      <c r="M832" s="1477"/>
      <c r="N832" s="1477"/>
      <c r="O832" s="1477"/>
      <c r="P832" s="1467"/>
      <c r="Q832" s="581"/>
      <c r="R832" s="581"/>
      <c r="S832" s="581"/>
      <c r="T832" s="581"/>
      <c r="U832" s="581"/>
      <c r="V832" s="581"/>
      <c r="W832" s="1475"/>
      <c r="X832" s="581"/>
      <c r="Y832" s="581"/>
    </row>
    <row r="833">
      <c r="A833" s="581"/>
      <c r="B833" s="1467"/>
      <c r="C833" s="581"/>
      <c r="D833" s="581"/>
      <c r="E833" s="581"/>
      <c r="F833" s="624"/>
      <c r="G833" s="581"/>
      <c r="H833" s="581"/>
      <c r="I833" s="581"/>
      <c r="J833" s="581"/>
      <c r="K833" s="581"/>
      <c r="L833" s="581"/>
      <c r="M833" s="1477"/>
      <c r="N833" s="1477"/>
      <c r="O833" s="1477"/>
      <c r="P833" s="1467"/>
      <c r="Q833" s="581"/>
      <c r="R833" s="581"/>
      <c r="S833" s="581"/>
      <c r="T833" s="581"/>
      <c r="U833" s="581"/>
      <c r="V833" s="581"/>
      <c r="W833" s="1475"/>
      <c r="X833" s="581"/>
      <c r="Y833" s="581"/>
    </row>
    <row r="834">
      <c r="A834" s="581"/>
      <c r="B834" s="1467"/>
      <c r="C834" s="581"/>
      <c r="D834" s="581"/>
      <c r="E834" s="581"/>
      <c r="F834" s="624"/>
      <c r="G834" s="581"/>
      <c r="H834" s="581"/>
      <c r="I834" s="581"/>
      <c r="J834" s="581"/>
      <c r="K834" s="581"/>
      <c r="L834" s="581"/>
      <c r="M834" s="1477"/>
      <c r="N834" s="1477"/>
      <c r="O834" s="1477"/>
      <c r="P834" s="1467"/>
      <c r="Q834" s="581"/>
      <c r="R834" s="581"/>
      <c r="S834" s="581"/>
      <c r="T834" s="581"/>
      <c r="U834" s="581"/>
      <c r="V834" s="581"/>
      <c r="W834" s="1475"/>
      <c r="X834" s="581"/>
      <c r="Y834" s="581"/>
    </row>
    <row r="835">
      <c r="A835" s="581"/>
      <c r="B835" s="1467"/>
      <c r="C835" s="581"/>
      <c r="D835" s="581"/>
      <c r="E835" s="581"/>
      <c r="F835" s="624"/>
      <c r="G835" s="581"/>
      <c r="H835" s="581"/>
      <c r="I835" s="581"/>
      <c r="J835" s="581"/>
      <c r="K835" s="581"/>
      <c r="L835" s="581"/>
      <c r="M835" s="1477"/>
      <c r="N835" s="1477"/>
      <c r="O835" s="1477"/>
      <c r="P835" s="1467"/>
      <c r="Q835" s="581"/>
      <c r="R835" s="581"/>
      <c r="S835" s="581"/>
      <c r="T835" s="581"/>
      <c r="U835" s="581"/>
      <c r="V835" s="581"/>
      <c r="W835" s="1475"/>
      <c r="X835" s="581"/>
      <c r="Y835" s="581"/>
    </row>
    <row r="836">
      <c r="A836" s="581"/>
      <c r="B836" s="1467"/>
      <c r="C836" s="581"/>
      <c r="D836" s="581"/>
      <c r="E836" s="581"/>
      <c r="F836" s="624"/>
      <c r="G836" s="581"/>
      <c r="H836" s="581"/>
      <c r="I836" s="581"/>
      <c r="J836" s="581"/>
      <c r="K836" s="581"/>
      <c r="L836" s="581"/>
      <c r="M836" s="1477"/>
      <c r="N836" s="1477"/>
      <c r="O836" s="1477"/>
      <c r="P836" s="1467"/>
      <c r="Q836" s="581"/>
      <c r="R836" s="581"/>
      <c r="S836" s="581"/>
      <c r="T836" s="581"/>
      <c r="U836" s="581"/>
      <c r="V836" s="581"/>
      <c r="W836" s="1475"/>
      <c r="X836" s="581"/>
      <c r="Y836" s="581"/>
    </row>
    <row r="837">
      <c r="A837" s="581"/>
      <c r="B837" s="1467"/>
      <c r="C837" s="581"/>
      <c r="D837" s="581"/>
      <c r="E837" s="581"/>
      <c r="F837" s="624"/>
      <c r="G837" s="581"/>
      <c r="H837" s="581"/>
      <c r="I837" s="581"/>
      <c r="J837" s="581"/>
      <c r="K837" s="581"/>
      <c r="L837" s="581"/>
      <c r="M837" s="1477"/>
      <c r="N837" s="1477"/>
      <c r="O837" s="1477"/>
      <c r="P837" s="1467"/>
      <c r="Q837" s="581"/>
      <c r="R837" s="581"/>
      <c r="S837" s="581"/>
      <c r="T837" s="581"/>
      <c r="U837" s="581"/>
      <c r="V837" s="581"/>
      <c r="W837" s="1475"/>
      <c r="X837" s="581"/>
      <c r="Y837" s="581"/>
    </row>
    <row r="838">
      <c r="A838" s="581"/>
      <c r="B838" s="1467"/>
      <c r="C838" s="581"/>
      <c r="D838" s="581"/>
      <c r="E838" s="581"/>
      <c r="F838" s="624"/>
      <c r="G838" s="581"/>
      <c r="H838" s="581"/>
      <c r="I838" s="581"/>
      <c r="J838" s="581"/>
      <c r="K838" s="581"/>
      <c r="L838" s="581"/>
      <c r="M838" s="1477"/>
      <c r="N838" s="1477"/>
      <c r="O838" s="1477"/>
      <c r="P838" s="1467"/>
      <c r="Q838" s="581"/>
      <c r="R838" s="581"/>
      <c r="S838" s="581"/>
      <c r="T838" s="581"/>
      <c r="U838" s="581"/>
      <c r="V838" s="581"/>
      <c r="W838" s="1475"/>
      <c r="X838" s="581"/>
      <c r="Y838" s="581"/>
    </row>
    <row r="839">
      <c r="A839" s="581"/>
      <c r="B839" s="1467"/>
      <c r="C839" s="581"/>
      <c r="D839" s="581"/>
      <c r="E839" s="581"/>
      <c r="F839" s="624"/>
      <c r="G839" s="581"/>
      <c r="H839" s="581"/>
      <c r="I839" s="581"/>
      <c r="J839" s="581"/>
      <c r="K839" s="581"/>
      <c r="L839" s="581"/>
      <c r="M839" s="1477"/>
      <c r="N839" s="1477"/>
      <c r="O839" s="1477"/>
      <c r="P839" s="1467"/>
      <c r="Q839" s="581"/>
      <c r="R839" s="581"/>
      <c r="S839" s="581"/>
      <c r="T839" s="581"/>
      <c r="U839" s="581"/>
      <c r="V839" s="581"/>
      <c r="W839" s="1475"/>
      <c r="X839" s="581"/>
      <c r="Y839" s="581"/>
    </row>
    <row r="840">
      <c r="A840" s="581"/>
      <c r="B840" s="1467"/>
      <c r="C840" s="581"/>
      <c r="D840" s="581"/>
      <c r="E840" s="581"/>
      <c r="F840" s="624"/>
      <c r="G840" s="581"/>
      <c r="H840" s="581"/>
      <c r="I840" s="581"/>
      <c r="J840" s="581"/>
      <c r="K840" s="581"/>
      <c r="L840" s="581"/>
      <c r="M840" s="1477"/>
      <c r="N840" s="1477"/>
      <c r="O840" s="1477"/>
      <c r="P840" s="1467"/>
      <c r="Q840" s="581"/>
      <c r="R840" s="581"/>
      <c r="S840" s="581"/>
      <c r="T840" s="581"/>
      <c r="U840" s="581"/>
      <c r="V840" s="581"/>
      <c r="W840" s="1475"/>
      <c r="X840" s="581"/>
      <c r="Y840" s="581"/>
    </row>
    <row r="841">
      <c r="A841" s="581"/>
      <c r="B841" s="1467"/>
      <c r="C841" s="581"/>
      <c r="D841" s="581"/>
      <c r="E841" s="581"/>
      <c r="F841" s="624"/>
      <c r="G841" s="581"/>
      <c r="H841" s="581"/>
      <c r="I841" s="581"/>
      <c r="J841" s="581"/>
      <c r="K841" s="581"/>
      <c r="L841" s="581"/>
      <c r="M841" s="1477"/>
      <c r="N841" s="1477"/>
      <c r="O841" s="1477"/>
      <c r="P841" s="1467"/>
      <c r="Q841" s="581"/>
      <c r="R841" s="581"/>
      <c r="S841" s="581"/>
      <c r="T841" s="581"/>
      <c r="U841" s="581"/>
      <c r="V841" s="581"/>
      <c r="W841" s="1475"/>
      <c r="X841" s="581"/>
      <c r="Y841" s="581"/>
    </row>
    <row r="842">
      <c r="A842" s="581"/>
      <c r="B842" s="1467"/>
      <c r="C842" s="581"/>
      <c r="D842" s="581"/>
      <c r="E842" s="581"/>
      <c r="F842" s="624"/>
      <c r="G842" s="581"/>
      <c r="H842" s="581"/>
      <c r="I842" s="581"/>
      <c r="J842" s="581"/>
      <c r="K842" s="581"/>
      <c r="L842" s="581"/>
      <c r="M842" s="1477"/>
      <c r="N842" s="1477"/>
      <c r="O842" s="1477"/>
      <c r="P842" s="1467"/>
      <c r="Q842" s="581"/>
      <c r="R842" s="581"/>
      <c r="S842" s="581"/>
      <c r="T842" s="581"/>
      <c r="U842" s="581"/>
      <c r="V842" s="581"/>
      <c r="W842" s="1475"/>
      <c r="X842" s="581"/>
      <c r="Y842" s="581"/>
    </row>
    <row r="843">
      <c r="A843" s="581"/>
      <c r="B843" s="1467"/>
      <c r="C843" s="581"/>
      <c r="D843" s="581"/>
      <c r="E843" s="581"/>
      <c r="F843" s="624"/>
      <c r="G843" s="581"/>
      <c r="H843" s="581"/>
      <c r="I843" s="581"/>
      <c r="J843" s="581"/>
      <c r="K843" s="581"/>
      <c r="L843" s="581"/>
      <c r="M843" s="1477"/>
      <c r="N843" s="1477"/>
      <c r="O843" s="1477"/>
      <c r="P843" s="1467"/>
      <c r="Q843" s="581"/>
      <c r="R843" s="581"/>
      <c r="S843" s="581"/>
      <c r="T843" s="581"/>
      <c r="U843" s="581"/>
      <c r="V843" s="581"/>
      <c r="W843" s="1475"/>
      <c r="X843" s="581"/>
      <c r="Y843" s="581"/>
    </row>
    <row r="844">
      <c r="A844" s="581"/>
      <c r="B844" s="1467"/>
      <c r="C844" s="581"/>
      <c r="D844" s="581"/>
      <c r="E844" s="581"/>
      <c r="F844" s="624"/>
      <c r="G844" s="581"/>
      <c r="H844" s="581"/>
      <c r="I844" s="581"/>
      <c r="J844" s="581"/>
      <c r="K844" s="581"/>
      <c r="L844" s="581"/>
      <c r="M844" s="1477"/>
      <c r="N844" s="1477"/>
      <c r="O844" s="1477"/>
      <c r="P844" s="1467"/>
      <c r="Q844" s="581"/>
      <c r="R844" s="581"/>
      <c r="S844" s="581"/>
      <c r="T844" s="581"/>
      <c r="U844" s="581"/>
      <c r="V844" s="581"/>
      <c r="W844" s="1475"/>
      <c r="X844" s="581"/>
      <c r="Y844" s="581"/>
    </row>
    <row r="845">
      <c r="A845" s="581"/>
      <c r="B845" s="1467"/>
      <c r="C845" s="581"/>
      <c r="D845" s="581"/>
      <c r="E845" s="581"/>
      <c r="F845" s="624"/>
      <c r="G845" s="581"/>
      <c r="H845" s="581"/>
      <c r="I845" s="581"/>
      <c r="J845" s="581"/>
      <c r="K845" s="581"/>
      <c r="L845" s="581"/>
      <c r="M845" s="1477"/>
      <c r="N845" s="1477"/>
      <c r="O845" s="1477"/>
      <c r="P845" s="1467"/>
      <c r="Q845" s="581"/>
      <c r="R845" s="581"/>
      <c r="S845" s="581"/>
      <c r="T845" s="581"/>
      <c r="U845" s="581"/>
      <c r="V845" s="581"/>
      <c r="W845" s="1475"/>
      <c r="X845" s="581"/>
      <c r="Y845" s="581"/>
    </row>
    <row r="846">
      <c r="A846" s="581"/>
      <c r="B846" s="1467"/>
      <c r="C846" s="581"/>
      <c r="D846" s="581"/>
      <c r="E846" s="581"/>
      <c r="F846" s="624"/>
      <c r="G846" s="581"/>
      <c r="H846" s="581"/>
      <c r="I846" s="581"/>
      <c r="J846" s="581"/>
      <c r="K846" s="581"/>
      <c r="L846" s="581"/>
      <c r="M846" s="1477"/>
      <c r="N846" s="1477"/>
      <c r="O846" s="1477"/>
      <c r="P846" s="1467"/>
      <c r="Q846" s="581"/>
      <c r="R846" s="581"/>
      <c r="S846" s="581"/>
      <c r="T846" s="581"/>
      <c r="U846" s="581"/>
      <c r="V846" s="581"/>
      <c r="W846" s="1475"/>
      <c r="X846" s="581"/>
      <c r="Y846" s="581"/>
    </row>
    <row r="847">
      <c r="A847" s="581"/>
      <c r="B847" s="1467"/>
      <c r="C847" s="581"/>
      <c r="D847" s="581"/>
      <c r="E847" s="581"/>
      <c r="F847" s="624"/>
      <c r="G847" s="581"/>
      <c r="H847" s="581"/>
      <c r="I847" s="581"/>
      <c r="J847" s="581"/>
      <c r="K847" s="581"/>
      <c r="L847" s="581"/>
      <c r="M847" s="1477"/>
      <c r="N847" s="1477"/>
      <c r="O847" s="1477"/>
      <c r="P847" s="1467"/>
      <c r="Q847" s="581"/>
      <c r="R847" s="581"/>
      <c r="S847" s="581"/>
      <c r="T847" s="581"/>
      <c r="U847" s="581"/>
      <c r="V847" s="581"/>
      <c r="W847" s="1475"/>
      <c r="X847" s="581"/>
      <c r="Y847" s="581"/>
    </row>
    <row r="848">
      <c r="A848" s="581"/>
      <c r="B848" s="1467"/>
      <c r="C848" s="581"/>
      <c r="D848" s="581"/>
      <c r="E848" s="581"/>
      <c r="F848" s="624"/>
      <c r="G848" s="581"/>
      <c r="H848" s="581"/>
      <c r="I848" s="581"/>
      <c r="J848" s="581"/>
      <c r="K848" s="581"/>
      <c r="L848" s="581"/>
      <c r="M848" s="1477"/>
      <c r="N848" s="1477"/>
      <c r="O848" s="1477"/>
      <c r="P848" s="1467"/>
      <c r="Q848" s="581"/>
      <c r="R848" s="581"/>
      <c r="S848" s="581"/>
      <c r="T848" s="581"/>
      <c r="U848" s="581"/>
      <c r="V848" s="581"/>
      <c r="W848" s="1475"/>
      <c r="X848" s="581"/>
      <c r="Y848" s="581"/>
    </row>
    <row r="849">
      <c r="A849" s="581"/>
      <c r="B849" s="1467"/>
      <c r="C849" s="581"/>
      <c r="D849" s="581"/>
      <c r="E849" s="581"/>
      <c r="F849" s="624"/>
      <c r="G849" s="581"/>
      <c r="H849" s="581"/>
      <c r="I849" s="581"/>
      <c r="J849" s="581"/>
      <c r="K849" s="581"/>
      <c r="L849" s="581"/>
      <c r="M849" s="1477"/>
      <c r="N849" s="1477"/>
      <c r="O849" s="1477"/>
      <c r="P849" s="1467"/>
      <c r="Q849" s="581"/>
      <c r="R849" s="581"/>
      <c r="S849" s="581"/>
      <c r="T849" s="581"/>
      <c r="U849" s="581"/>
      <c r="V849" s="581"/>
      <c r="W849" s="1475"/>
      <c r="X849" s="581"/>
      <c r="Y849" s="581"/>
    </row>
    <row r="850">
      <c r="A850" s="581"/>
      <c r="B850" s="1467"/>
      <c r="C850" s="581"/>
      <c r="D850" s="581"/>
      <c r="E850" s="581"/>
      <c r="F850" s="624"/>
      <c r="G850" s="581"/>
      <c r="H850" s="581"/>
      <c r="I850" s="581"/>
      <c r="J850" s="581"/>
      <c r="K850" s="581"/>
      <c r="L850" s="581"/>
      <c r="M850" s="1477"/>
      <c r="N850" s="1477"/>
      <c r="O850" s="1477"/>
      <c r="P850" s="1467"/>
      <c r="Q850" s="581"/>
      <c r="R850" s="581"/>
      <c r="S850" s="581"/>
      <c r="T850" s="581"/>
      <c r="U850" s="581"/>
      <c r="V850" s="581"/>
      <c r="W850" s="1475"/>
      <c r="X850" s="581"/>
      <c r="Y850" s="581"/>
    </row>
    <row r="851">
      <c r="A851" s="581"/>
      <c r="B851" s="1467"/>
      <c r="C851" s="581"/>
      <c r="D851" s="581"/>
      <c r="E851" s="581"/>
      <c r="F851" s="624"/>
      <c r="G851" s="581"/>
      <c r="H851" s="581"/>
      <c r="I851" s="581"/>
      <c r="J851" s="581"/>
      <c r="K851" s="581"/>
      <c r="L851" s="581"/>
      <c r="M851" s="1477"/>
      <c r="N851" s="1477"/>
      <c r="O851" s="1477"/>
      <c r="P851" s="1467"/>
      <c r="Q851" s="581"/>
      <c r="R851" s="581"/>
      <c r="S851" s="581"/>
      <c r="T851" s="581"/>
      <c r="U851" s="581"/>
      <c r="V851" s="581"/>
      <c r="W851" s="1475"/>
      <c r="X851" s="581"/>
      <c r="Y851" s="581"/>
    </row>
    <row r="852">
      <c r="A852" s="581"/>
      <c r="B852" s="1467"/>
      <c r="C852" s="581"/>
      <c r="D852" s="581"/>
      <c r="E852" s="581"/>
      <c r="F852" s="624"/>
      <c r="G852" s="581"/>
      <c r="H852" s="581"/>
      <c r="I852" s="581"/>
      <c r="J852" s="581"/>
      <c r="K852" s="581"/>
      <c r="L852" s="581"/>
      <c r="M852" s="1477"/>
      <c r="N852" s="1477"/>
      <c r="O852" s="1477"/>
      <c r="P852" s="1467"/>
      <c r="Q852" s="581"/>
      <c r="R852" s="581"/>
      <c r="S852" s="581"/>
      <c r="T852" s="581"/>
      <c r="U852" s="581"/>
      <c r="V852" s="581"/>
      <c r="W852" s="1475"/>
      <c r="X852" s="581"/>
      <c r="Y852" s="581"/>
    </row>
    <row r="853">
      <c r="A853" s="581"/>
      <c r="B853" s="1467"/>
      <c r="C853" s="581"/>
      <c r="D853" s="581"/>
      <c r="E853" s="581"/>
      <c r="F853" s="624"/>
      <c r="G853" s="581"/>
      <c r="H853" s="581"/>
      <c r="I853" s="581"/>
      <c r="J853" s="581"/>
      <c r="K853" s="581"/>
      <c r="L853" s="581"/>
      <c r="M853" s="1477"/>
      <c r="N853" s="1477"/>
      <c r="O853" s="1477"/>
      <c r="P853" s="1467"/>
      <c r="Q853" s="581"/>
      <c r="R853" s="581"/>
      <c r="S853" s="581"/>
      <c r="T853" s="581"/>
      <c r="U853" s="581"/>
      <c r="V853" s="581"/>
      <c r="W853" s="1475"/>
      <c r="X853" s="581"/>
      <c r="Y853" s="581"/>
    </row>
    <row r="854">
      <c r="A854" s="581"/>
      <c r="B854" s="1467"/>
      <c r="C854" s="581"/>
      <c r="D854" s="581"/>
      <c r="E854" s="581"/>
      <c r="F854" s="624"/>
      <c r="G854" s="581"/>
      <c r="H854" s="581"/>
      <c r="I854" s="581"/>
      <c r="J854" s="581"/>
      <c r="K854" s="581"/>
      <c r="L854" s="581"/>
      <c r="M854" s="1477"/>
      <c r="N854" s="1477"/>
      <c r="O854" s="1477"/>
      <c r="P854" s="1467"/>
      <c r="Q854" s="581"/>
      <c r="R854" s="581"/>
      <c r="S854" s="581"/>
      <c r="T854" s="581"/>
      <c r="U854" s="581"/>
      <c r="V854" s="581"/>
      <c r="W854" s="1475"/>
      <c r="X854" s="581"/>
      <c r="Y854" s="581"/>
    </row>
    <row r="855">
      <c r="A855" s="581"/>
      <c r="B855" s="1467"/>
      <c r="C855" s="581"/>
      <c r="D855" s="581"/>
      <c r="E855" s="581"/>
      <c r="F855" s="624"/>
      <c r="G855" s="581"/>
      <c r="H855" s="581"/>
      <c r="I855" s="581"/>
      <c r="J855" s="581"/>
      <c r="K855" s="581"/>
      <c r="L855" s="581"/>
      <c r="M855" s="1477"/>
      <c r="N855" s="1477"/>
      <c r="O855" s="1477"/>
      <c r="P855" s="1467"/>
      <c r="Q855" s="581"/>
      <c r="R855" s="581"/>
      <c r="S855" s="581"/>
      <c r="T855" s="581"/>
      <c r="U855" s="581"/>
      <c r="V855" s="581"/>
      <c r="W855" s="1475"/>
      <c r="X855" s="581"/>
      <c r="Y855" s="581"/>
    </row>
    <row r="856">
      <c r="A856" s="581"/>
      <c r="B856" s="1467"/>
      <c r="C856" s="581"/>
      <c r="D856" s="581"/>
      <c r="E856" s="581"/>
      <c r="F856" s="624"/>
      <c r="G856" s="581"/>
      <c r="H856" s="581"/>
      <c r="I856" s="581"/>
      <c r="J856" s="581"/>
      <c r="K856" s="581"/>
      <c r="L856" s="581"/>
      <c r="M856" s="1477"/>
      <c r="N856" s="1477"/>
      <c r="O856" s="1477"/>
      <c r="P856" s="1467"/>
      <c r="Q856" s="581"/>
      <c r="R856" s="581"/>
      <c r="S856" s="581"/>
      <c r="T856" s="581"/>
      <c r="U856" s="581"/>
      <c r="V856" s="581"/>
      <c r="W856" s="1475"/>
      <c r="X856" s="581"/>
      <c r="Y856" s="581"/>
    </row>
    <row r="857">
      <c r="A857" s="581"/>
      <c r="B857" s="1467"/>
      <c r="C857" s="581"/>
      <c r="D857" s="581"/>
      <c r="E857" s="581"/>
      <c r="F857" s="624"/>
      <c r="G857" s="581"/>
      <c r="H857" s="581"/>
      <c r="I857" s="581"/>
      <c r="J857" s="581"/>
      <c r="K857" s="581"/>
      <c r="L857" s="581"/>
      <c r="M857" s="1477"/>
      <c r="N857" s="1477"/>
      <c r="O857" s="1477"/>
      <c r="P857" s="1467"/>
      <c r="Q857" s="581"/>
      <c r="R857" s="581"/>
      <c r="S857" s="581"/>
      <c r="T857" s="581"/>
      <c r="U857" s="581"/>
      <c r="V857" s="581"/>
      <c r="W857" s="1475"/>
      <c r="X857" s="581"/>
      <c r="Y857" s="581"/>
    </row>
    <row r="858">
      <c r="A858" s="581"/>
      <c r="B858" s="1467"/>
      <c r="C858" s="581"/>
      <c r="D858" s="581"/>
      <c r="E858" s="581"/>
      <c r="F858" s="624"/>
      <c r="G858" s="581"/>
      <c r="H858" s="581"/>
      <c r="I858" s="581"/>
      <c r="J858" s="581"/>
      <c r="K858" s="581"/>
      <c r="L858" s="581"/>
      <c r="M858" s="1477"/>
      <c r="N858" s="1477"/>
      <c r="O858" s="1477"/>
      <c r="P858" s="1467"/>
      <c r="Q858" s="581"/>
      <c r="R858" s="581"/>
      <c r="S858" s="581"/>
      <c r="T858" s="581"/>
      <c r="U858" s="581"/>
      <c r="V858" s="581"/>
      <c r="W858" s="1475"/>
      <c r="X858" s="581"/>
      <c r="Y858" s="581"/>
    </row>
    <row r="859">
      <c r="A859" s="581"/>
      <c r="B859" s="1467"/>
      <c r="C859" s="581"/>
      <c r="D859" s="581"/>
      <c r="E859" s="581"/>
      <c r="F859" s="624"/>
      <c r="G859" s="581"/>
      <c r="H859" s="581"/>
      <c r="I859" s="581"/>
      <c r="J859" s="581"/>
      <c r="K859" s="581"/>
      <c r="L859" s="581"/>
      <c r="M859" s="1477"/>
      <c r="N859" s="1477"/>
      <c r="O859" s="1477"/>
      <c r="P859" s="1467"/>
      <c r="Q859" s="581"/>
      <c r="R859" s="581"/>
      <c r="S859" s="581"/>
      <c r="T859" s="581"/>
      <c r="U859" s="581"/>
      <c r="V859" s="581"/>
      <c r="W859" s="1475"/>
      <c r="X859" s="581"/>
      <c r="Y859" s="581"/>
    </row>
    <row r="860">
      <c r="A860" s="581"/>
      <c r="B860" s="1467"/>
      <c r="C860" s="581"/>
      <c r="D860" s="581"/>
      <c r="E860" s="581"/>
      <c r="F860" s="624"/>
      <c r="G860" s="581"/>
      <c r="H860" s="581"/>
      <c r="I860" s="581"/>
      <c r="J860" s="581"/>
      <c r="K860" s="581"/>
      <c r="L860" s="581"/>
      <c r="M860" s="1477"/>
      <c r="N860" s="1477"/>
      <c r="O860" s="1477"/>
      <c r="P860" s="1467"/>
      <c r="Q860" s="581"/>
      <c r="R860" s="581"/>
      <c r="S860" s="581"/>
      <c r="T860" s="581"/>
      <c r="U860" s="581"/>
      <c r="V860" s="581"/>
      <c r="W860" s="1475"/>
      <c r="X860" s="581"/>
      <c r="Y860" s="581"/>
    </row>
    <row r="861">
      <c r="A861" s="581"/>
      <c r="B861" s="1467"/>
      <c r="C861" s="581"/>
      <c r="D861" s="581"/>
      <c r="E861" s="581"/>
      <c r="F861" s="624"/>
      <c r="G861" s="581"/>
      <c r="H861" s="581"/>
      <c r="I861" s="581"/>
      <c r="J861" s="581"/>
      <c r="K861" s="581"/>
      <c r="L861" s="581"/>
      <c r="M861" s="1477"/>
      <c r="N861" s="1477"/>
      <c r="O861" s="1477"/>
      <c r="P861" s="1467"/>
      <c r="Q861" s="581"/>
      <c r="R861" s="581"/>
      <c r="S861" s="581"/>
      <c r="T861" s="581"/>
      <c r="U861" s="581"/>
      <c r="V861" s="581"/>
      <c r="W861" s="1475"/>
      <c r="X861" s="581"/>
      <c r="Y861" s="581"/>
    </row>
    <row r="862">
      <c r="A862" s="581"/>
      <c r="B862" s="1467"/>
      <c r="C862" s="581"/>
      <c r="D862" s="581"/>
      <c r="E862" s="581"/>
      <c r="F862" s="624"/>
      <c r="G862" s="581"/>
      <c r="H862" s="581"/>
      <c r="I862" s="581"/>
      <c r="J862" s="581"/>
      <c r="K862" s="581"/>
      <c r="L862" s="581"/>
      <c r="M862" s="1477"/>
      <c r="N862" s="1477"/>
      <c r="O862" s="1477"/>
      <c r="P862" s="1467"/>
      <c r="Q862" s="581"/>
      <c r="R862" s="581"/>
      <c r="S862" s="581"/>
      <c r="T862" s="581"/>
      <c r="U862" s="581"/>
      <c r="V862" s="581"/>
      <c r="W862" s="1475"/>
      <c r="X862" s="581"/>
      <c r="Y862" s="581"/>
    </row>
    <row r="863">
      <c r="A863" s="581"/>
      <c r="B863" s="1467"/>
      <c r="C863" s="581"/>
      <c r="D863" s="581"/>
      <c r="E863" s="581"/>
      <c r="F863" s="624"/>
      <c r="G863" s="581"/>
      <c r="H863" s="581"/>
      <c r="I863" s="581"/>
      <c r="J863" s="581"/>
      <c r="K863" s="581"/>
      <c r="L863" s="581"/>
      <c r="M863" s="1477"/>
      <c r="N863" s="1477"/>
      <c r="O863" s="1477"/>
      <c r="P863" s="1467"/>
      <c r="Q863" s="581"/>
      <c r="R863" s="581"/>
      <c r="S863" s="581"/>
      <c r="T863" s="581"/>
      <c r="U863" s="581"/>
      <c r="V863" s="581"/>
      <c r="W863" s="1475"/>
      <c r="X863" s="581"/>
      <c r="Y863" s="581"/>
    </row>
    <row r="864">
      <c r="A864" s="581"/>
      <c r="B864" s="1467"/>
      <c r="C864" s="581"/>
      <c r="D864" s="581"/>
      <c r="E864" s="581"/>
      <c r="F864" s="624"/>
      <c r="G864" s="581"/>
      <c r="H864" s="581"/>
      <c r="I864" s="581"/>
      <c r="J864" s="581"/>
      <c r="K864" s="581"/>
      <c r="L864" s="581"/>
      <c r="M864" s="1477"/>
      <c r="N864" s="1477"/>
      <c r="O864" s="1477"/>
      <c r="P864" s="1467"/>
      <c r="Q864" s="581"/>
      <c r="R864" s="581"/>
      <c r="S864" s="581"/>
      <c r="T864" s="581"/>
      <c r="U864" s="581"/>
      <c r="V864" s="581"/>
      <c r="W864" s="1475"/>
      <c r="X864" s="581"/>
      <c r="Y864" s="581"/>
    </row>
    <row r="865">
      <c r="A865" s="581"/>
      <c r="B865" s="1467"/>
      <c r="C865" s="581"/>
      <c r="D865" s="581"/>
      <c r="E865" s="581"/>
      <c r="F865" s="624"/>
      <c r="G865" s="581"/>
      <c r="H865" s="581"/>
      <c r="I865" s="581"/>
      <c r="J865" s="581"/>
      <c r="K865" s="581"/>
      <c r="L865" s="581"/>
      <c r="M865" s="1477"/>
      <c r="N865" s="1477"/>
      <c r="O865" s="1477"/>
      <c r="P865" s="1467"/>
      <c r="Q865" s="581"/>
      <c r="R865" s="581"/>
      <c r="S865" s="581"/>
      <c r="T865" s="581"/>
      <c r="U865" s="581"/>
      <c r="V865" s="581"/>
      <c r="W865" s="1475"/>
      <c r="X865" s="581"/>
      <c r="Y865" s="581"/>
    </row>
    <row r="866">
      <c r="A866" s="581"/>
      <c r="B866" s="1467"/>
      <c r="C866" s="581"/>
      <c r="D866" s="581"/>
      <c r="E866" s="581"/>
      <c r="F866" s="624"/>
      <c r="G866" s="581"/>
      <c r="H866" s="581"/>
      <c r="I866" s="581"/>
      <c r="J866" s="581"/>
      <c r="K866" s="581"/>
      <c r="L866" s="581"/>
      <c r="M866" s="1477"/>
      <c r="N866" s="1477"/>
      <c r="O866" s="1477"/>
      <c r="P866" s="1467"/>
      <c r="Q866" s="581"/>
      <c r="R866" s="581"/>
      <c r="S866" s="581"/>
      <c r="T866" s="581"/>
      <c r="U866" s="581"/>
      <c r="V866" s="581"/>
      <c r="W866" s="1475"/>
      <c r="X866" s="581"/>
      <c r="Y866" s="581"/>
    </row>
    <row r="867">
      <c r="A867" s="581"/>
      <c r="B867" s="1467"/>
      <c r="C867" s="581"/>
      <c r="D867" s="581"/>
      <c r="E867" s="581"/>
      <c r="F867" s="624"/>
      <c r="G867" s="581"/>
      <c r="H867" s="581"/>
      <c r="I867" s="581"/>
      <c r="J867" s="581"/>
      <c r="K867" s="581"/>
      <c r="L867" s="581"/>
      <c r="M867" s="1477"/>
      <c r="N867" s="1477"/>
      <c r="O867" s="1477"/>
      <c r="P867" s="1467"/>
      <c r="Q867" s="581"/>
      <c r="R867" s="581"/>
      <c r="S867" s="581"/>
      <c r="T867" s="581"/>
      <c r="U867" s="581"/>
      <c r="V867" s="581"/>
      <c r="W867" s="1475"/>
      <c r="X867" s="581"/>
      <c r="Y867" s="581"/>
    </row>
    <row r="868">
      <c r="A868" s="581"/>
      <c r="B868" s="1467"/>
      <c r="C868" s="581"/>
      <c r="D868" s="581"/>
      <c r="E868" s="581"/>
      <c r="F868" s="624"/>
      <c r="G868" s="581"/>
      <c r="H868" s="581"/>
      <c r="I868" s="581"/>
      <c r="J868" s="581"/>
      <c r="K868" s="581"/>
      <c r="L868" s="581"/>
      <c r="M868" s="1477"/>
      <c r="N868" s="1477"/>
      <c r="O868" s="1477"/>
      <c r="P868" s="1467"/>
      <c r="Q868" s="581"/>
      <c r="R868" s="581"/>
      <c r="S868" s="581"/>
      <c r="T868" s="581"/>
      <c r="U868" s="581"/>
      <c r="V868" s="581"/>
      <c r="W868" s="1475"/>
      <c r="X868" s="581"/>
      <c r="Y868" s="581"/>
    </row>
    <row r="869">
      <c r="A869" s="581"/>
      <c r="B869" s="1467"/>
      <c r="C869" s="581"/>
      <c r="D869" s="581"/>
      <c r="E869" s="581"/>
      <c r="F869" s="624"/>
      <c r="G869" s="581"/>
      <c r="H869" s="581"/>
      <c r="I869" s="581"/>
      <c r="J869" s="581"/>
      <c r="K869" s="581"/>
      <c r="L869" s="581"/>
      <c r="M869" s="1477"/>
      <c r="N869" s="1477"/>
      <c r="O869" s="1477"/>
      <c r="P869" s="1467"/>
      <c r="Q869" s="581"/>
      <c r="R869" s="581"/>
      <c r="S869" s="581"/>
      <c r="T869" s="581"/>
      <c r="U869" s="581"/>
      <c r="V869" s="581"/>
      <c r="W869" s="1475"/>
      <c r="X869" s="581"/>
      <c r="Y869" s="581"/>
    </row>
    <row r="870">
      <c r="A870" s="581"/>
      <c r="B870" s="1467"/>
      <c r="C870" s="581"/>
      <c r="D870" s="581"/>
      <c r="E870" s="581"/>
      <c r="F870" s="624"/>
      <c r="G870" s="581"/>
      <c r="H870" s="581"/>
      <c r="I870" s="581"/>
      <c r="J870" s="581"/>
      <c r="K870" s="581"/>
      <c r="L870" s="581"/>
      <c r="M870" s="1477"/>
      <c r="N870" s="1477"/>
      <c r="O870" s="1477"/>
      <c r="P870" s="1467"/>
      <c r="Q870" s="581"/>
      <c r="R870" s="581"/>
      <c r="S870" s="581"/>
      <c r="T870" s="581"/>
      <c r="U870" s="581"/>
      <c r="V870" s="581"/>
      <c r="W870" s="1475"/>
      <c r="X870" s="581"/>
      <c r="Y870" s="581"/>
    </row>
    <row r="871">
      <c r="A871" s="581"/>
      <c r="B871" s="1467"/>
      <c r="C871" s="581"/>
      <c r="D871" s="581"/>
      <c r="E871" s="581"/>
      <c r="F871" s="624"/>
      <c r="G871" s="581"/>
      <c r="H871" s="581"/>
      <c r="I871" s="581"/>
      <c r="J871" s="581"/>
      <c r="K871" s="581"/>
      <c r="L871" s="581"/>
      <c r="M871" s="1477"/>
      <c r="N871" s="1477"/>
      <c r="O871" s="1477"/>
      <c r="P871" s="1467"/>
      <c r="Q871" s="581"/>
      <c r="R871" s="581"/>
      <c r="S871" s="581"/>
      <c r="T871" s="581"/>
      <c r="U871" s="581"/>
      <c r="V871" s="581"/>
      <c r="W871" s="1475"/>
      <c r="X871" s="581"/>
      <c r="Y871" s="581"/>
    </row>
    <row r="872">
      <c r="A872" s="581"/>
      <c r="B872" s="1467"/>
      <c r="C872" s="581"/>
      <c r="D872" s="581"/>
      <c r="E872" s="581"/>
      <c r="F872" s="624"/>
      <c r="G872" s="581"/>
      <c r="H872" s="581"/>
      <c r="I872" s="581"/>
      <c r="J872" s="581"/>
      <c r="K872" s="581"/>
      <c r="L872" s="581"/>
      <c r="M872" s="1477"/>
      <c r="N872" s="1477"/>
      <c r="O872" s="1477"/>
      <c r="P872" s="1467"/>
      <c r="Q872" s="581"/>
      <c r="R872" s="581"/>
      <c r="S872" s="581"/>
      <c r="T872" s="581"/>
      <c r="U872" s="581"/>
      <c r="V872" s="581"/>
      <c r="W872" s="1475"/>
      <c r="X872" s="581"/>
      <c r="Y872" s="581"/>
    </row>
    <row r="873">
      <c r="A873" s="581"/>
      <c r="B873" s="1467"/>
      <c r="C873" s="581"/>
      <c r="D873" s="581"/>
      <c r="E873" s="581"/>
      <c r="F873" s="624"/>
      <c r="G873" s="581"/>
      <c r="H873" s="581"/>
      <c r="I873" s="581"/>
      <c r="J873" s="581"/>
      <c r="K873" s="581"/>
      <c r="L873" s="581"/>
      <c r="M873" s="1477"/>
      <c r="N873" s="1477"/>
      <c r="O873" s="1477"/>
      <c r="P873" s="1467"/>
      <c r="Q873" s="581"/>
      <c r="R873" s="581"/>
      <c r="S873" s="581"/>
      <c r="T873" s="581"/>
      <c r="U873" s="581"/>
      <c r="V873" s="581"/>
      <c r="W873" s="1475"/>
      <c r="X873" s="581"/>
      <c r="Y873" s="581"/>
    </row>
    <row r="874">
      <c r="A874" s="581"/>
      <c r="B874" s="1467"/>
      <c r="C874" s="581"/>
      <c r="D874" s="581"/>
      <c r="E874" s="581"/>
      <c r="F874" s="624"/>
      <c r="G874" s="581"/>
      <c r="H874" s="581"/>
      <c r="I874" s="581"/>
      <c r="J874" s="581"/>
      <c r="K874" s="581"/>
      <c r="L874" s="581"/>
      <c r="M874" s="1477"/>
      <c r="N874" s="1477"/>
      <c r="O874" s="1477"/>
      <c r="P874" s="1467"/>
      <c r="Q874" s="581"/>
      <c r="R874" s="581"/>
      <c r="S874" s="581"/>
      <c r="T874" s="581"/>
      <c r="U874" s="581"/>
      <c r="V874" s="581"/>
      <c r="W874" s="1475"/>
      <c r="X874" s="581"/>
      <c r="Y874" s="581"/>
    </row>
    <row r="875">
      <c r="A875" s="581"/>
      <c r="B875" s="1467"/>
      <c r="C875" s="581"/>
      <c r="D875" s="581"/>
      <c r="E875" s="581"/>
      <c r="F875" s="624"/>
      <c r="G875" s="581"/>
      <c r="H875" s="581"/>
      <c r="I875" s="581"/>
      <c r="J875" s="581"/>
      <c r="K875" s="581"/>
      <c r="L875" s="581"/>
      <c r="M875" s="1477"/>
      <c r="N875" s="1477"/>
      <c r="O875" s="1477"/>
      <c r="P875" s="1467"/>
      <c r="Q875" s="581"/>
      <c r="R875" s="581"/>
      <c r="S875" s="581"/>
      <c r="T875" s="581"/>
      <c r="U875" s="581"/>
      <c r="V875" s="581"/>
      <c r="W875" s="1475"/>
      <c r="X875" s="581"/>
      <c r="Y875" s="581"/>
    </row>
    <row r="876">
      <c r="A876" s="581"/>
      <c r="B876" s="1467"/>
      <c r="C876" s="581"/>
      <c r="D876" s="581"/>
      <c r="E876" s="581"/>
      <c r="F876" s="624"/>
      <c r="G876" s="581"/>
      <c r="H876" s="581"/>
      <c r="I876" s="581"/>
      <c r="J876" s="581"/>
      <c r="K876" s="581"/>
      <c r="L876" s="581"/>
      <c r="M876" s="1477"/>
      <c r="N876" s="1477"/>
      <c r="O876" s="1477"/>
      <c r="P876" s="1467"/>
      <c r="Q876" s="581"/>
      <c r="R876" s="581"/>
      <c r="S876" s="581"/>
      <c r="T876" s="581"/>
      <c r="U876" s="581"/>
      <c r="V876" s="581"/>
      <c r="W876" s="1475"/>
      <c r="X876" s="581"/>
      <c r="Y876" s="581"/>
    </row>
    <row r="877">
      <c r="A877" s="581"/>
      <c r="B877" s="1467"/>
      <c r="C877" s="581"/>
      <c r="D877" s="581"/>
      <c r="E877" s="581"/>
      <c r="F877" s="624"/>
      <c r="G877" s="581"/>
      <c r="H877" s="581"/>
      <c r="I877" s="581"/>
      <c r="J877" s="581"/>
      <c r="K877" s="581"/>
      <c r="L877" s="581"/>
      <c r="M877" s="1477"/>
      <c r="N877" s="1477"/>
      <c r="O877" s="1477"/>
      <c r="P877" s="1467"/>
      <c r="Q877" s="581"/>
      <c r="R877" s="581"/>
      <c r="S877" s="581"/>
      <c r="T877" s="581"/>
      <c r="U877" s="581"/>
      <c r="V877" s="581"/>
      <c r="W877" s="1475"/>
      <c r="X877" s="581"/>
      <c r="Y877" s="581"/>
    </row>
    <row r="878">
      <c r="A878" s="581"/>
      <c r="B878" s="1467"/>
      <c r="C878" s="581"/>
      <c r="D878" s="581"/>
      <c r="E878" s="581"/>
      <c r="F878" s="624"/>
      <c r="G878" s="581"/>
      <c r="H878" s="581"/>
      <c r="I878" s="581"/>
      <c r="J878" s="581"/>
      <c r="K878" s="581"/>
      <c r="L878" s="581"/>
      <c r="M878" s="1477"/>
      <c r="N878" s="1477"/>
      <c r="O878" s="1477"/>
      <c r="P878" s="1467"/>
      <c r="Q878" s="581"/>
      <c r="R878" s="581"/>
      <c r="S878" s="581"/>
      <c r="T878" s="581"/>
      <c r="U878" s="581"/>
      <c r="V878" s="581"/>
      <c r="W878" s="1475"/>
      <c r="X878" s="581"/>
      <c r="Y878" s="581"/>
    </row>
    <row r="879">
      <c r="A879" s="581"/>
      <c r="B879" s="1467"/>
      <c r="C879" s="581"/>
      <c r="D879" s="581"/>
      <c r="E879" s="581"/>
      <c r="F879" s="624"/>
      <c r="G879" s="581"/>
      <c r="H879" s="581"/>
      <c r="I879" s="581"/>
      <c r="J879" s="581"/>
      <c r="K879" s="581"/>
      <c r="L879" s="581"/>
      <c r="M879" s="1477"/>
      <c r="N879" s="1477"/>
      <c r="O879" s="1477"/>
      <c r="P879" s="1467"/>
      <c r="Q879" s="581"/>
      <c r="R879" s="581"/>
      <c r="S879" s="581"/>
      <c r="T879" s="581"/>
      <c r="U879" s="581"/>
      <c r="V879" s="581"/>
      <c r="W879" s="1475"/>
      <c r="X879" s="581"/>
      <c r="Y879" s="581"/>
    </row>
    <row r="880">
      <c r="A880" s="581"/>
      <c r="B880" s="1467"/>
      <c r="C880" s="581"/>
      <c r="D880" s="581"/>
      <c r="E880" s="581"/>
      <c r="F880" s="624"/>
      <c r="G880" s="581"/>
      <c r="H880" s="581"/>
      <c r="I880" s="581"/>
      <c r="J880" s="581"/>
      <c r="K880" s="581"/>
      <c r="L880" s="581"/>
      <c r="M880" s="1477"/>
      <c r="N880" s="1477"/>
      <c r="O880" s="1477"/>
      <c r="P880" s="1467"/>
      <c r="Q880" s="581"/>
      <c r="R880" s="581"/>
      <c r="S880" s="581"/>
      <c r="T880" s="581"/>
      <c r="U880" s="581"/>
      <c r="V880" s="581"/>
      <c r="W880" s="1475"/>
      <c r="X880" s="581"/>
      <c r="Y880" s="581"/>
    </row>
    <row r="881">
      <c r="A881" s="581"/>
      <c r="B881" s="1467"/>
      <c r="C881" s="581"/>
      <c r="D881" s="581"/>
      <c r="E881" s="581"/>
      <c r="F881" s="624"/>
      <c r="G881" s="581"/>
      <c r="H881" s="581"/>
      <c r="I881" s="581"/>
      <c r="J881" s="581"/>
      <c r="K881" s="581"/>
      <c r="L881" s="581"/>
      <c r="M881" s="1477"/>
      <c r="N881" s="1477"/>
      <c r="O881" s="1477"/>
      <c r="P881" s="1467"/>
      <c r="Q881" s="581"/>
      <c r="R881" s="581"/>
      <c r="S881" s="581"/>
      <c r="T881" s="581"/>
      <c r="U881" s="581"/>
      <c r="V881" s="581"/>
      <c r="W881" s="1475"/>
      <c r="X881" s="581"/>
      <c r="Y881" s="581"/>
    </row>
    <row r="882">
      <c r="A882" s="581"/>
      <c r="B882" s="1467"/>
      <c r="C882" s="581"/>
      <c r="D882" s="581"/>
      <c r="E882" s="581"/>
      <c r="F882" s="624"/>
      <c r="G882" s="581"/>
      <c r="H882" s="581"/>
      <c r="I882" s="581"/>
      <c r="J882" s="581"/>
      <c r="K882" s="581"/>
      <c r="L882" s="581"/>
      <c r="M882" s="1477"/>
      <c r="N882" s="1477"/>
      <c r="O882" s="1477"/>
      <c r="P882" s="1467"/>
      <c r="Q882" s="581"/>
      <c r="R882" s="581"/>
      <c r="S882" s="581"/>
      <c r="T882" s="581"/>
      <c r="U882" s="581"/>
      <c r="V882" s="581"/>
      <c r="W882" s="1475"/>
      <c r="X882" s="581"/>
      <c r="Y882" s="581"/>
    </row>
    <row r="883">
      <c r="A883" s="581"/>
      <c r="B883" s="1467"/>
      <c r="C883" s="581"/>
      <c r="D883" s="581"/>
      <c r="E883" s="581"/>
      <c r="F883" s="624"/>
      <c r="G883" s="581"/>
      <c r="H883" s="581"/>
      <c r="I883" s="581"/>
      <c r="J883" s="581"/>
      <c r="K883" s="581"/>
      <c r="L883" s="581"/>
      <c r="M883" s="1477"/>
      <c r="N883" s="1477"/>
      <c r="O883" s="1477"/>
      <c r="P883" s="1467"/>
      <c r="Q883" s="581"/>
      <c r="R883" s="581"/>
      <c r="S883" s="581"/>
      <c r="T883" s="581"/>
      <c r="U883" s="581"/>
      <c r="V883" s="581"/>
      <c r="W883" s="1475"/>
      <c r="X883" s="581"/>
      <c r="Y883" s="581"/>
    </row>
    <row r="884">
      <c r="A884" s="581"/>
      <c r="B884" s="1467"/>
      <c r="C884" s="581"/>
      <c r="D884" s="581"/>
      <c r="E884" s="581"/>
      <c r="F884" s="624"/>
      <c r="G884" s="581"/>
      <c r="H884" s="581"/>
      <c r="I884" s="581"/>
      <c r="J884" s="581"/>
      <c r="K884" s="581"/>
      <c r="L884" s="581"/>
      <c r="M884" s="1477"/>
      <c r="N884" s="1477"/>
      <c r="O884" s="1477"/>
      <c r="P884" s="1467"/>
      <c r="Q884" s="581"/>
      <c r="R884" s="581"/>
      <c r="S884" s="581"/>
      <c r="T884" s="581"/>
      <c r="U884" s="581"/>
      <c r="V884" s="581"/>
      <c r="W884" s="1475"/>
      <c r="X884" s="581"/>
      <c r="Y884" s="581"/>
    </row>
    <row r="885">
      <c r="A885" s="581"/>
      <c r="B885" s="1467"/>
      <c r="C885" s="581"/>
      <c r="D885" s="581"/>
      <c r="E885" s="581"/>
      <c r="F885" s="624"/>
      <c r="G885" s="581"/>
      <c r="H885" s="581"/>
      <c r="I885" s="581"/>
      <c r="J885" s="581"/>
      <c r="K885" s="581"/>
      <c r="L885" s="581"/>
      <c r="M885" s="1477"/>
      <c r="N885" s="1477"/>
      <c r="O885" s="1477"/>
      <c r="P885" s="1467"/>
      <c r="Q885" s="581"/>
      <c r="R885" s="581"/>
      <c r="S885" s="581"/>
      <c r="T885" s="581"/>
      <c r="U885" s="581"/>
      <c r="V885" s="581"/>
      <c r="W885" s="1475"/>
      <c r="X885" s="581"/>
      <c r="Y885" s="581"/>
    </row>
    <row r="886">
      <c r="A886" s="581"/>
      <c r="B886" s="1467"/>
      <c r="C886" s="581"/>
      <c r="D886" s="581"/>
      <c r="E886" s="581"/>
      <c r="F886" s="624"/>
      <c r="G886" s="581"/>
      <c r="H886" s="581"/>
      <c r="I886" s="581"/>
      <c r="J886" s="581"/>
      <c r="K886" s="581"/>
      <c r="L886" s="581"/>
      <c r="M886" s="1477"/>
      <c r="N886" s="1477"/>
      <c r="O886" s="1477"/>
      <c r="P886" s="1467"/>
      <c r="Q886" s="581"/>
      <c r="R886" s="581"/>
      <c r="S886" s="581"/>
      <c r="T886" s="581"/>
      <c r="U886" s="581"/>
      <c r="V886" s="581"/>
      <c r="W886" s="1475"/>
      <c r="X886" s="581"/>
      <c r="Y886" s="581"/>
    </row>
    <row r="887">
      <c r="A887" s="581"/>
      <c r="B887" s="1467"/>
      <c r="C887" s="581"/>
      <c r="D887" s="581"/>
      <c r="E887" s="581"/>
      <c r="F887" s="624"/>
      <c r="G887" s="581"/>
      <c r="H887" s="581"/>
      <c r="I887" s="581"/>
      <c r="J887" s="581"/>
      <c r="K887" s="581"/>
      <c r="L887" s="581"/>
      <c r="M887" s="1477"/>
      <c r="N887" s="1477"/>
      <c r="O887" s="1477"/>
      <c r="P887" s="1467"/>
      <c r="Q887" s="581"/>
      <c r="R887" s="581"/>
      <c r="S887" s="581"/>
      <c r="T887" s="581"/>
      <c r="U887" s="581"/>
      <c r="V887" s="581"/>
      <c r="W887" s="1475"/>
      <c r="X887" s="581"/>
      <c r="Y887" s="581"/>
    </row>
    <row r="888">
      <c r="A888" s="581"/>
      <c r="B888" s="1467"/>
      <c r="C888" s="581"/>
      <c r="D888" s="581"/>
      <c r="E888" s="581"/>
      <c r="F888" s="624"/>
      <c r="G888" s="581"/>
      <c r="H888" s="581"/>
      <c r="I888" s="581"/>
      <c r="J888" s="581"/>
      <c r="K888" s="581"/>
      <c r="L888" s="581"/>
      <c r="M888" s="1477"/>
      <c r="N888" s="1477"/>
      <c r="O888" s="1477"/>
      <c r="P888" s="1467"/>
      <c r="Q888" s="581"/>
      <c r="R888" s="581"/>
      <c r="S888" s="581"/>
      <c r="T888" s="581"/>
      <c r="U888" s="581"/>
      <c r="V888" s="581"/>
      <c r="W888" s="1475"/>
      <c r="X888" s="581"/>
      <c r="Y888" s="581"/>
    </row>
    <row r="889">
      <c r="A889" s="581"/>
      <c r="B889" s="1467"/>
      <c r="C889" s="581"/>
      <c r="D889" s="581"/>
      <c r="E889" s="581"/>
      <c r="F889" s="624"/>
      <c r="G889" s="581"/>
      <c r="H889" s="581"/>
      <c r="I889" s="581"/>
      <c r="J889" s="581"/>
      <c r="K889" s="581"/>
      <c r="L889" s="581"/>
      <c r="M889" s="1477"/>
      <c r="N889" s="1477"/>
      <c r="O889" s="1477"/>
      <c r="P889" s="1467"/>
      <c r="Q889" s="581"/>
      <c r="R889" s="581"/>
      <c r="S889" s="581"/>
      <c r="T889" s="581"/>
      <c r="U889" s="581"/>
      <c r="V889" s="581"/>
      <c r="W889" s="1475"/>
      <c r="X889" s="581"/>
      <c r="Y889" s="581"/>
    </row>
    <row r="890">
      <c r="A890" s="581"/>
      <c r="B890" s="1467"/>
      <c r="C890" s="581"/>
      <c r="D890" s="581"/>
      <c r="E890" s="581"/>
      <c r="F890" s="624"/>
      <c r="G890" s="581"/>
      <c r="H890" s="581"/>
      <c r="I890" s="581"/>
      <c r="J890" s="581"/>
      <c r="K890" s="581"/>
      <c r="L890" s="581"/>
      <c r="M890" s="1477"/>
      <c r="N890" s="1477"/>
      <c r="O890" s="1477"/>
      <c r="P890" s="1467"/>
      <c r="Q890" s="581"/>
      <c r="R890" s="581"/>
      <c r="S890" s="581"/>
      <c r="T890" s="581"/>
      <c r="U890" s="581"/>
      <c r="V890" s="581"/>
      <c r="W890" s="1475"/>
      <c r="X890" s="581"/>
      <c r="Y890" s="581"/>
    </row>
    <row r="891">
      <c r="A891" s="581"/>
      <c r="B891" s="1467"/>
      <c r="C891" s="581"/>
      <c r="D891" s="581"/>
      <c r="E891" s="581"/>
      <c r="F891" s="624"/>
      <c r="G891" s="581"/>
      <c r="H891" s="581"/>
      <c r="I891" s="581"/>
      <c r="J891" s="581"/>
      <c r="K891" s="581"/>
      <c r="L891" s="581"/>
      <c r="M891" s="1477"/>
      <c r="N891" s="1477"/>
      <c r="O891" s="1477"/>
      <c r="P891" s="1467"/>
      <c r="Q891" s="581"/>
      <c r="R891" s="581"/>
      <c r="S891" s="581"/>
      <c r="T891" s="581"/>
      <c r="U891" s="581"/>
      <c r="V891" s="581"/>
      <c r="W891" s="1475"/>
      <c r="X891" s="581"/>
      <c r="Y891" s="581"/>
    </row>
    <row r="892">
      <c r="A892" s="581"/>
      <c r="B892" s="1467"/>
      <c r="C892" s="581"/>
      <c r="D892" s="581"/>
      <c r="E892" s="581"/>
      <c r="F892" s="624"/>
      <c r="G892" s="581"/>
      <c r="H892" s="581"/>
      <c r="I892" s="581"/>
      <c r="J892" s="581"/>
      <c r="K892" s="581"/>
      <c r="L892" s="581"/>
      <c r="M892" s="1477"/>
      <c r="N892" s="1477"/>
      <c r="O892" s="1477"/>
      <c r="P892" s="1467"/>
      <c r="Q892" s="581"/>
      <c r="R892" s="581"/>
      <c r="S892" s="581"/>
      <c r="T892" s="581"/>
      <c r="U892" s="581"/>
      <c r="V892" s="581"/>
      <c r="W892" s="1475"/>
      <c r="X892" s="581"/>
      <c r="Y892" s="581"/>
    </row>
    <row r="893">
      <c r="A893" s="581"/>
      <c r="B893" s="1467"/>
      <c r="C893" s="581"/>
      <c r="D893" s="581"/>
      <c r="E893" s="581"/>
      <c r="F893" s="624"/>
      <c r="G893" s="581"/>
      <c r="H893" s="581"/>
      <c r="I893" s="581"/>
      <c r="J893" s="581"/>
      <c r="K893" s="581"/>
      <c r="L893" s="581"/>
      <c r="M893" s="1477"/>
      <c r="N893" s="1477"/>
      <c r="O893" s="1477"/>
      <c r="P893" s="1467"/>
      <c r="Q893" s="581"/>
      <c r="R893" s="581"/>
      <c r="S893" s="581"/>
      <c r="T893" s="581"/>
      <c r="U893" s="581"/>
      <c r="V893" s="581"/>
      <c r="W893" s="1475"/>
      <c r="X893" s="581"/>
      <c r="Y893" s="581"/>
    </row>
    <row r="894">
      <c r="A894" s="581"/>
      <c r="B894" s="1467"/>
      <c r="C894" s="581"/>
      <c r="D894" s="581"/>
      <c r="E894" s="581"/>
      <c r="F894" s="624"/>
      <c r="G894" s="581"/>
      <c r="H894" s="581"/>
      <c r="I894" s="581"/>
      <c r="J894" s="581"/>
      <c r="K894" s="581"/>
      <c r="L894" s="581"/>
      <c r="M894" s="1477"/>
      <c r="N894" s="1477"/>
      <c r="O894" s="1477"/>
      <c r="P894" s="1467"/>
      <c r="Q894" s="581"/>
      <c r="R894" s="581"/>
      <c r="S894" s="581"/>
      <c r="T894" s="581"/>
      <c r="U894" s="581"/>
      <c r="V894" s="581"/>
      <c r="W894" s="1475"/>
      <c r="X894" s="581"/>
      <c r="Y894" s="581"/>
    </row>
    <row r="895">
      <c r="A895" s="581"/>
      <c r="B895" s="1467"/>
      <c r="C895" s="581"/>
      <c r="D895" s="581"/>
      <c r="E895" s="581"/>
      <c r="F895" s="624"/>
      <c r="G895" s="581"/>
      <c r="H895" s="581"/>
      <c r="I895" s="581"/>
      <c r="J895" s="581"/>
      <c r="K895" s="581"/>
      <c r="L895" s="581"/>
      <c r="M895" s="1477"/>
      <c r="N895" s="1477"/>
      <c r="O895" s="1477"/>
      <c r="P895" s="1467"/>
      <c r="Q895" s="581"/>
      <c r="R895" s="581"/>
      <c r="S895" s="581"/>
      <c r="T895" s="581"/>
      <c r="U895" s="581"/>
      <c r="V895" s="581"/>
      <c r="W895" s="1475"/>
      <c r="X895" s="581"/>
      <c r="Y895" s="581"/>
    </row>
    <row r="896">
      <c r="A896" s="581"/>
      <c r="B896" s="1467"/>
      <c r="C896" s="581"/>
      <c r="D896" s="581"/>
      <c r="E896" s="581"/>
      <c r="F896" s="624"/>
      <c r="G896" s="581"/>
      <c r="H896" s="581"/>
      <c r="I896" s="581"/>
      <c r="J896" s="581"/>
      <c r="K896" s="581"/>
      <c r="L896" s="581"/>
      <c r="M896" s="1477"/>
      <c r="N896" s="1477"/>
      <c r="O896" s="1477"/>
      <c r="P896" s="1467"/>
      <c r="Q896" s="581"/>
      <c r="R896" s="581"/>
      <c r="S896" s="581"/>
      <c r="T896" s="581"/>
      <c r="U896" s="581"/>
      <c r="V896" s="581"/>
      <c r="W896" s="1475"/>
      <c r="X896" s="581"/>
      <c r="Y896" s="581"/>
    </row>
    <row r="897">
      <c r="A897" s="581"/>
      <c r="B897" s="1467"/>
      <c r="C897" s="581"/>
      <c r="D897" s="581"/>
      <c r="E897" s="581"/>
      <c r="F897" s="624"/>
      <c r="G897" s="581"/>
      <c r="H897" s="581"/>
      <c r="I897" s="581"/>
      <c r="J897" s="581"/>
      <c r="K897" s="581"/>
      <c r="L897" s="581"/>
      <c r="M897" s="1477"/>
      <c r="N897" s="1477"/>
      <c r="O897" s="1477"/>
      <c r="P897" s="1467"/>
      <c r="Q897" s="581"/>
      <c r="R897" s="581"/>
      <c r="S897" s="581"/>
      <c r="T897" s="581"/>
      <c r="U897" s="581"/>
      <c r="V897" s="581"/>
      <c r="W897" s="1475"/>
      <c r="X897" s="581"/>
      <c r="Y897" s="581"/>
    </row>
    <row r="898">
      <c r="A898" s="581"/>
      <c r="B898" s="1467"/>
      <c r="C898" s="581"/>
      <c r="D898" s="581"/>
      <c r="E898" s="581"/>
      <c r="F898" s="624"/>
      <c r="G898" s="581"/>
      <c r="H898" s="581"/>
      <c r="I898" s="581"/>
      <c r="J898" s="581"/>
      <c r="K898" s="581"/>
      <c r="L898" s="581"/>
      <c r="M898" s="1477"/>
      <c r="N898" s="1477"/>
      <c r="O898" s="1477"/>
      <c r="P898" s="1467"/>
      <c r="Q898" s="581"/>
      <c r="R898" s="581"/>
      <c r="S898" s="581"/>
      <c r="T898" s="581"/>
      <c r="U898" s="581"/>
      <c r="V898" s="581"/>
      <c r="W898" s="1475"/>
      <c r="X898" s="581"/>
      <c r="Y898" s="581"/>
    </row>
    <row r="899">
      <c r="A899" s="581"/>
      <c r="B899" s="1467"/>
      <c r="C899" s="581"/>
      <c r="D899" s="581"/>
      <c r="E899" s="581"/>
      <c r="F899" s="624"/>
      <c r="G899" s="581"/>
      <c r="H899" s="581"/>
      <c r="I899" s="581"/>
      <c r="J899" s="581"/>
      <c r="K899" s="581"/>
      <c r="L899" s="581"/>
      <c r="M899" s="1477"/>
      <c r="N899" s="1477"/>
      <c r="O899" s="1477"/>
      <c r="P899" s="1467"/>
      <c r="Q899" s="581"/>
      <c r="R899" s="581"/>
      <c r="S899" s="581"/>
      <c r="T899" s="581"/>
      <c r="U899" s="581"/>
      <c r="V899" s="581"/>
      <c r="W899" s="1475"/>
      <c r="X899" s="581"/>
      <c r="Y899" s="581"/>
    </row>
    <row r="900">
      <c r="A900" s="581"/>
      <c r="B900" s="1467"/>
      <c r="C900" s="581"/>
      <c r="D900" s="581"/>
      <c r="E900" s="581"/>
      <c r="F900" s="624"/>
      <c r="G900" s="581"/>
      <c r="H900" s="581"/>
      <c r="I900" s="581"/>
      <c r="J900" s="581"/>
      <c r="K900" s="581"/>
      <c r="L900" s="581"/>
      <c r="M900" s="1477"/>
      <c r="N900" s="1477"/>
      <c r="O900" s="1477"/>
      <c r="P900" s="1467"/>
      <c r="Q900" s="581"/>
      <c r="R900" s="581"/>
      <c r="S900" s="581"/>
      <c r="T900" s="581"/>
      <c r="U900" s="581"/>
      <c r="V900" s="581"/>
      <c r="W900" s="1475"/>
      <c r="X900" s="581"/>
      <c r="Y900" s="581"/>
    </row>
    <row r="901">
      <c r="A901" s="581"/>
      <c r="B901" s="1467"/>
      <c r="C901" s="581"/>
      <c r="D901" s="581"/>
      <c r="E901" s="581"/>
      <c r="F901" s="624"/>
      <c r="G901" s="581"/>
      <c r="H901" s="581"/>
      <c r="I901" s="581"/>
      <c r="J901" s="581"/>
      <c r="K901" s="581"/>
      <c r="L901" s="581"/>
      <c r="M901" s="1477"/>
      <c r="N901" s="1477"/>
      <c r="O901" s="1477"/>
      <c r="P901" s="1467"/>
      <c r="Q901" s="581"/>
      <c r="R901" s="581"/>
      <c r="S901" s="581"/>
      <c r="T901" s="581"/>
      <c r="U901" s="581"/>
      <c r="V901" s="581"/>
      <c r="W901" s="1475"/>
      <c r="X901" s="581"/>
      <c r="Y901" s="581"/>
    </row>
    <row r="902">
      <c r="A902" s="581"/>
      <c r="B902" s="1467"/>
      <c r="C902" s="581"/>
      <c r="D902" s="581"/>
      <c r="E902" s="581"/>
      <c r="F902" s="624"/>
      <c r="G902" s="581"/>
      <c r="H902" s="581"/>
      <c r="I902" s="581"/>
      <c r="J902" s="581"/>
      <c r="K902" s="581"/>
      <c r="L902" s="581"/>
      <c r="M902" s="1477"/>
      <c r="N902" s="1477"/>
      <c r="O902" s="1477"/>
      <c r="P902" s="1467"/>
      <c r="Q902" s="581"/>
      <c r="R902" s="581"/>
      <c r="S902" s="581"/>
      <c r="T902" s="581"/>
      <c r="U902" s="581"/>
      <c r="V902" s="581"/>
      <c r="W902" s="1475"/>
      <c r="X902" s="581"/>
      <c r="Y902" s="581"/>
    </row>
    <row r="903">
      <c r="A903" s="581"/>
      <c r="B903" s="1467"/>
      <c r="C903" s="581"/>
      <c r="D903" s="581"/>
      <c r="E903" s="581"/>
      <c r="F903" s="624"/>
      <c r="G903" s="581"/>
      <c r="H903" s="581"/>
      <c r="I903" s="581"/>
      <c r="J903" s="581"/>
      <c r="K903" s="581"/>
      <c r="L903" s="581"/>
      <c r="M903" s="1477"/>
      <c r="N903" s="1477"/>
      <c r="O903" s="1477"/>
      <c r="P903" s="1467"/>
      <c r="Q903" s="581"/>
      <c r="R903" s="581"/>
      <c r="S903" s="581"/>
      <c r="T903" s="581"/>
      <c r="U903" s="581"/>
      <c r="V903" s="581"/>
      <c r="W903" s="1475"/>
      <c r="X903" s="581"/>
      <c r="Y903" s="581"/>
    </row>
    <row r="904">
      <c r="A904" s="581"/>
      <c r="B904" s="1467"/>
      <c r="C904" s="581"/>
      <c r="D904" s="581"/>
      <c r="E904" s="581"/>
      <c r="F904" s="624"/>
      <c r="G904" s="581"/>
      <c r="H904" s="581"/>
      <c r="I904" s="581"/>
      <c r="J904" s="581"/>
      <c r="K904" s="581"/>
      <c r="L904" s="581"/>
      <c r="M904" s="1477"/>
      <c r="N904" s="1477"/>
      <c r="O904" s="1477"/>
      <c r="P904" s="1467"/>
      <c r="Q904" s="581"/>
      <c r="R904" s="581"/>
      <c r="S904" s="581"/>
      <c r="T904" s="581"/>
      <c r="U904" s="581"/>
      <c r="V904" s="581"/>
      <c r="W904" s="1475"/>
      <c r="X904" s="581"/>
      <c r="Y904" s="581"/>
    </row>
    <row r="905">
      <c r="A905" s="581"/>
      <c r="B905" s="1467"/>
      <c r="C905" s="581"/>
      <c r="D905" s="581"/>
      <c r="E905" s="581"/>
      <c r="F905" s="624"/>
      <c r="G905" s="581"/>
      <c r="H905" s="581"/>
      <c r="I905" s="581"/>
      <c r="J905" s="581"/>
      <c r="K905" s="581"/>
      <c r="L905" s="581"/>
      <c r="M905" s="1477"/>
      <c r="N905" s="1477"/>
      <c r="O905" s="1477"/>
      <c r="P905" s="1467"/>
      <c r="Q905" s="581"/>
      <c r="R905" s="581"/>
      <c r="S905" s="581"/>
      <c r="T905" s="581"/>
      <c r="U905" s="581"/>
      <c r="V905" s="581"/>
      <c r="W905" s="1475"/>
      <c r="X905" s="581"/>
      <c r="Y905" s="581"/>
    </row>
    <row r="906">
      <c r="A906" s="581"/>
      <c r="B906" s="1467"/>
      <c r="C906" s="581"/>
      <c r="D906" s="581"/>
      <c r="E906" s="581"/>
      <c r="F906" s="624"/>
      <c r="G906" s="581"/>
      <c r="H906" s="581"/>
      <c r="I906" s="581"/>
      <c r="J906" s="581"/>
      <c r="K906" s="581"/>
      <c r="L906" s="581"/>
      <c r="M906" s="1477"/>
      <c r="N906" s="1477"/>
      <c r="O906" s="1477"/>
      <c r="P906" s="1467"/>
      <c r="Q906" s="581"/>
      <c r="R906" s="581"/>
      <c r="S906" s="581"/>
      <c r="T906" s="581"/>
      <c r="U906" s="581"/>
      <c r="V906" s="581"/>
      <c r="W906" s="1475"/>
      <c r="X906" s="581"/>
      <c r="Y906" s="581"/>
    </row>
    <row r="907">
      <c r="A907" s="581"/>
      <c r="B907" s="1467"/>
      <c r="C907" s="581"/>
      <c r="D907" s="581"/>
      <c r="E907" s="581"/>
      <c r="F907" s="624"/>
      <c r="G907" s="581"/>
      <c r="H907" s="581"/>
      <c r="I907" s="581"/>
      <c r="J907" s="581"/>
      <c r="K907" s="581"/>
      <c r="L907" s="581"/>
      <c r="M907" s="1477"/>
      <c r="N907" s="1477"/>
      <c r="O907" s="1477"/>
      <c r="P907" s="1467"/>
      <c r="Q907" s="581"/>
      <c r="R907" s="581"/>
      <c r="S907" s="581"/>
      <c r="T907" s="581"/>
      <c r="U907" s="581"/>
      <c r="V907" s="581"/>
      <c r="W907" s="1475"/>
      <c r="X907" s="581"/>
      <c r="Y907" s="581"/>
    </row>
    <row r="908">
      <c r="A908" s="581"/>
      <c r="B908" s="1467"/>
      <c r="C908" s="581"/>
      <c r="D908" s="581"/>
      <c r="E908" s="581"/>
      <c r="F908" s="624"/>
      <c r="G908" s="581"/>
      <c r="H908" s="581"/>
      <c r="I908" s="581"/>
      <c r="J908" s="581"/>
      <c r="K908" s="581"/>
      <c r="L908" s="581"/>
      <c r="M908" s="1477"/>
      <c r="N908" s="1477"/>
      <c r="O908" s="1477"/>
      <c r="P908" s="1467"/>
      <c r="Q908" s="581"/>
      <c r="R908" s="581"/>
      <c r="S908" s="581"/>
      <c r="T908" s="581"/>
      <c r="U908" s="581"/>
      <c r="V908" s="581"/>
      <c r="W908" s="1475"/>
      <c r="X908" s="581"/>
      <c r="Y908" s="581"/>
    </row>
    <row r="909">
      <c r="A909" s="581"/>
      <c r="B909" s="1467"/>
      <c r="C909" s="581"/>
      <c r="D909" s="581"/>
      <c r="E909" s="581"/>
      <c r="F909" s="624"/>
      <c r="G909" s="581"/>
      <c r="H909" s="581"/>
      <c r="I909" s="581"/>
      <c r="J909" s="581"/>
      <c r="K909" s="581"/>
      <c r="L909" s="581"/>
      <c r="M909" s="1477"/>
      <c r="N909" s="1477"/>
      <c r="O909" s="1477"/>
      <c r="P909" s="1467"/>
      <c r="Q909" s="581"/>
      <c r="R909" s="581"/>
      <c r="S909" s="581"/>
      <c r="T909" s="581"/>
      <c r="U909" s="581"/>
      <c r="V909" s="581"/>
      <c r="W909" s="1475"/>
      <c r="X909" s="581"/>
      <c r="Y909" s="581"/>
    </row>
    <row r="910">
      <c r="A910" s="581"/>
      <c r="B910" s="1467"/>
      <c r="C910" s="581"/>
      <c r="D910" s="581"/>
      <c r="E910" s="581"/>
      <c r="F910" s="624"/>
      <c r="G910" s="581"/>
      <c r="H910" s="581"/>
      <c r="I910" s="581"/>
      <c r="J910" s="581"/>
      <c r="K910" s="581"/>
      <c r="L910" s="581"/>
      <c r="M910" s="1477"/>
      <c r="N910" s="1477"/>
      <c r="O910" s="1477"/>
      <c r="P910" s="1467"/>
      <c r="Q910" s="581"/>
      <c r="R910" s="581"/>
      <c r="S910" s="581"/>
      <c r="T910" s="581"/>
      <c r="U910" s="581"/>
      <c r="V910" s="581"/>
      <c r="W910" s="1475"/>
      <c r="X910" s="581"/>
      <c r="Y910" s="581"/>
    </row>
    <row r="911">
      <c r="A911" s="581"/>
      <c r="B911" s="1467"/>
      <c r="C911" s="581"/>
      <c r="D911" s="581"/>
      <c r="E911" s="581"/>
      <c r="F911" s="624"/>
      <c r="G911" s="581"/>
      <c r="H911" s="581"/>
      <c r="I911" s="581"/>
      <c r="J911" s="581"/>
      <c r="K911" s="581"/>
      <c r="L911" s="581"/>
      <c r="M911" s="1477"/>
      <c r="N911" s="1477"/>
      <c r="O911" s="1477"/>
      <c r="P911" s="1467"/>
      <c r="Q911" s="581"/>
      <c r="R911" s="581"/>
      <c r="S911" s="581"/>
      <c r="T911" s="581"/>
      <c r="U911" s="581"/>
      <c r="V911" s="581"/>
      <c r="W911" s="1475"/>
      <c r="X911" s="581"/>
      <c r="Y911" s="581"/>
    </row>
    <row r="912">
      <c r="A912" s="581"/>
      <c r="B912" s="1467"/>
      <c r="C912" s="581"/>
      <c r="D912" s="581"/>
      <c r="E912" s="581"/>
      <c r="F912" s="624"/>
      <c r="G912" s="581"/>
      <c r="H912" s="581"/>
      <c r="I912" s="581"/>
      <c r="J912" s="581"/>
      <c r="K912" s="581"/>
      <c r="L912" s="581"/>
      <c r="M912" s="1477"/>
      <c r="N912" s="1477"/>
      <c r="O912" s="1477"/>
      <c r="P912" s="1467"/>
      <c r="Q912" s="581"/>
      <c r="R912" s="581"/>
      <c r="S912" s="581"/>
      <c r="T912" s="581"/>
      <c r="U912" s="581"/>
      <c r="V912" s="581"/>
      <c r="W912" s="1475"/>
      <c r="X912" s="581"/>
      <c r="Y912" s="581"/>
    </row>
    <row r="913">
      <c r="A913" s="581"/>
      <c r="B913" s="1467"/>
      <c r="C913" s="581"/>
      <c r="D913" s="581"/>
      <c r="E913" s="581"/>
      <c r="F913" s="624"/>
      <c r="G913" s="581"/>
      <c r="H913" s="581"/>
      <c r="I913" s="581"/>
      <c r="J913" s="581"/>
      <c r="K913" s="581"/>
      <c r="L913" s="581"/>
      <c r="M913" s="1477"/>
      <c r="N913" s="1477"/>
      <c r="O913" s="1477"/>
      <c r="P913" s="1467"/>
      <c r="Q913" s="581"/>
      <c r="R913" s="581"/>
      <c r="S913" s="581"/>
      <c r="T913" s="581"/>
      <c r="U913" s="581"/>
      <c r="V913" s="581"/>
      <c r="W913" s="1475"/>
      <c r="X913" s="581"/>
      <c r="Y913" s="581"/>
    </row>
    <row r="914">
      <c r="A914" s="581"/>
      <c r="B914" s="1467"/>
      <c r="C914" s="581"/>
      <c r="D914" s="581"/>
      <c r="E914" s="581"/>
      <c r="F914" s="624"/>
      <c r="G914" s="581"/>
      <c r="H914" s="581"/>
      <c r="I914" s="581"/>
      <c r="J914" s="581"/>
      <c r="K914" s="581"/>
      <c r="L914" s="581"/>
      <c r="M914" s="1477"/>
      <c r="N914" s="1477"/>
      <c r="O914" s="1477"/>
      <c r="P914" s="1467"/>
      <c r="Q914" s="581"/>
      <c r="R914" s="581"/>
      <c r="S914" s="581"/>
      <c r="T914" s="581"/>
      <c r="U914" s="581"/>
      <c r="V914" s="581"/>
      <c r="W914" s="1475"/>
      <c r="X914" s="581"/>
      <c r="Y914" s="581"/>
    </row>
    <row r="915">
      <c r="A915" s="581"/>
      <c r="B915" s="1467"/>
      <c r="C915" s="581"/>
      <c r="D915" s="581"/>
      <c r="E915" s="581"/>
      <c r="F915" s="624"/>
      <c r="G915" s="581"/>
      <c r="H915" s="581"/>
      <c r="I915" s="581"/>
      <c r="J915" s="581"/>
      <c r="K915" s="581"/>
      <c r="L915" s="581"/>
      <c r="M915" s="1477"/>
      <c r="N915" s="1477"/>
      <c r="O915" s="1477"/>
      <c r="P915" s="1467"/>
      <c r="Q915" s="581"/>
      <c r="R915" s="581"/>
      <c r="S915" s="581"/>
      <c r="T915" s="581"/>
      <c r="U915" s="581"/>
      <c r="V915" s="581"/>
      <c r="W915" s="1475"/>
      <c r="X915" s="581"/>
      <c r="Y915" s="581"/>
    </row>
    <row r="916">
      <c r="A916" s="581"/>
      <c r="B916" s="1467"/>
      <c r="C916" s="581"/>
      <c r="D916" s="581"/>
      <c r="E916" s="581"/>
      <c r="F916" s="624"/>
      <c r="G916" s="581"/>
      <c r="H916" s="581"/>
      <c r="I916" s="581"/>
      <c r="J916" s="581"/>
      <c r="K916" s="581"/>
      <c r="L916" s="581"/>
      <c r="M916" s="1477"/>
      <c r="N916" s="1477"/>
      <c r="O916" s="1477"/>
      <c r="P916" s="1467"/>
      <c r="Q916" s="581"/>
      <c r="R916" s="581"/>
      <c r="S916" s="581"/>
      <c r="T916" s="581"/>
      <c r="U916" s="581"/>
      <c r="V916" s="581"/>
      <c r="W916" s="1475"/>
      <c r="X916" s="581"/>
      <c r="Y916" s="581"/>
    </row>
    <row r="917">
      <c r="A917" s="581"/>
      <c r="B917" s="1467"/>
      <c r="C917" s="581"/>
      <c r="D917" s="581"/>
      <c r="E917" s="581"/>
      <c r="F917" s="624"/>
      <c r="G917" s="581"/>
      <c r="H917" s="581"/>
      <c r="I917" s="581"/>
      <c r="J917" s="581"/>
      <c r="K917" s="581"/>
      <c r="L917" s="581"/>
      <c r="M917" s="1477"/>
      <c r="N917" s="1477"/>
      <c r="O917" s="1477"/>
      <c r="P917" s="1467"/>
      <c r="Q917" s="581"/>
      <c r="R917" s="581"/>
      <c r="S917" s="581"/>
      <c r="T917" s="581"/>
      <c r="U917" s="581"/>
      <c r="V917" s="581"/>
      <c r="W917" s="1475"/>
      <c r="X917" s="581"/>
      <c r="Y917" s="581"/>
    </row>
    <row r="918">
      <c r="A918" s="581"/>
      <c r="B918" s="1467"/>
      <c r="C918" s="581"/>
      <c r="D918" s="581"/>
      <c r="E918" s="581"/>
      <c r="F918" s="624"/>
      <c r="G918" s="581"/>
      <c r="H918" s="581"/>
      <c r="I918" s="581"/>
      <c r="J918" s="581"/>
      <c r="K918" s="581"/>
      <c r="L918" s="581"/>
      <c r="M918" s="1477"/>
      <c r="N918" s="1477"/>
      <c r="O918" s="1477"/>
      <c r="P918" s="1467"/>
      <c r="Q918" s="581"/>
      <c r="R918" s="581"/>
      <c r="S918" s="581"/>
      <c r="T918" s="581"/>
      <c r="U918" s="581"/>
      <c r="V918" s="581"/>
      <c r="W918" s="1475"/>
      <c r="X918" s="581"/>
      <c r="Y918" s="581"/>
    </row>
    <row r="919">
      <c r="A919" s="581"/>
      <c r="B919" s="1467"/>
      <c r="C919" s="581"/>
      <c r="D919" s="581"/>
      <c r="E919" s="581"/>
      <c r="F919" s="624"/>
      <c r="G919" s="581"/>
      <c r="H919" s="581"/>
      <c r="I919" s="581"/>
      <c r="J919" s="581"/>
      <c r="K919" s="581"/>
      <c r="L919" s="581"/>
      <c r="M919" s="1477"/>
      <c r="N919" s="1477"/>
      <c r="O919" s="1477"/>
      <c r="P919" s="1467"/>
      <c r="Q919" s="581"/>
      <c r="R919" s="581"/>
      <c r="S919" s="581"/>
      <c r="T919" s="581"/>
      <c r="U919" s="581"/>
      <c r="V919" s="581"/>
      <c r="W919" s="1475"/>
      <c r="X919" s="581"/>
      <c r="Y919" s="581"/>
    </row>
    <row r="920">
      <c r="A920" s="581"/>
      <c r="B920" s="1467"/>
      <c r="C920" s="581"/>
      <c r="D920" s="581"/>
      <c r="E920" s="581"/>
      <c r="F920" s="624"/>
      <c r="G920" s="581"/>
      <c r="H920" s="581"/>
      <c r="I920" s="581"/>
      <c r="J920" s="581"/>
      <c r="K920" s="581"/>
      <c r="L920" s="581"/>
      <c r="M920" s="1477"/>
      <c r="N920" s="1477"/>
      <c r="O920" s="1477"/>
      <c r="P920" s="1467"/>
      <c r="Q920" s="581"/>
      <c r="R920" s="581"/>
      <c r="S920" s="581"/>
      <c r="T920" s="581"/>
      <c r="U920" s="581"/>
      <c r="V920" s="581"/>
      <c r="W920" s="1475"/>
      <c r="X920" s="581"/>
      <c r="Y920" s="581"/>
    </row>
    <row r="921">
      <c r="A921" s="581"/>
      <c r="B921" s="1467"/>
      <c r="C921" s="581"/>
      <c r="D921" s="581"/>
      <c r="E921" s="581"/>
      <c r="F921" s="624"/>
      <c r="G921" s="581"/>
      <c r="H921" s="581"/>
      <c r="I921" s="581"/>
      <c r="J921" s="581"/>
      <c r="K921" s="581"/>
      <c r="L921" s="581"/>
      <c r="M921" s="1477"/>
      <c r="N921" s="1477"/>
      <c r="O921" s="1477"/>
      <c r="P921" s="1467"/>
      <c r="Q921" s="581"/>
      <c r="R921" s="581"/>
      <c r="S921" s="581"/>
      <c r="T921" s="581"/>
      <c r="U921" s="581"/>
      <c r="V921" s="581"/>
      <c r="W921" s="1475"/>
      <c r="X921" s="581"/>
      <c r="Y921" s="581"/>
    </row>
    <row r="922">
      <c r="A922" s="581"/>
      <c r="B922" s="1467"/>
      <c r="C922" s="581"/>
      <c r="D922" s="581"/>
      <c r="E922" s="581"/>
      <c r="F922" s="624"/>
      <c r="G922" s="581"/>
      <c r="H922" s="581"/>
      <c r="I922" s="581"/>
      <c r="J922" s="581"/>
      <c r="K922" s="581"/>
      <c r="L922" s="581"/>
      <c r="M922" s="1477"/>
      <c r="N922" s="1477"/>
      <c r="O922" s="1477"/>
      <c r="P922" s="1467"/>
      <c r="Q922" s="581"/>
      <c r="R922" s="581"/>
      <c r="S922" s="581"/>
      <c r="T922" s="581"/>
      <c r="U922" s="581"/>
      <c r="V922" s="581"/>
      <c r="W922" s="1475"/>
      <c r="X922" s="581"/>
      <c r="Y922" s="581"/>
    </row>
    <row r="923">
      <c r="A923" s="581"/>
      <c r="B923" s="1467"/>
      <c r="C923" s="581"/>
      <c r="D923" s="581"/>
      <c r="E923" s="581"/>
      <c r="F923" s="624"/>
      <c r="G923" s="581"/>
      <c r="H923" s="581"/>
      <c r="I923" s="581"/>
      <c r="J923" s="581"/>
      <c r="K923" s="581"/>
      <c r="L923" s="581"/>
      <c r="M923" s="1477"/>
      <c r="N923" s="1477"/>
      <c r="O923" s="1477"/>
      <c r="P923" s="1467"/>
      <c r="Q923" s="581"/>
      <c r="R923" s="581"/>
      <c r="S923" s="581"/>
      <c r="T923" s="581"/>
      <c r="U923" s="581"/>
      <c r="V923" s="581"/>
      <c r="W923" s="1475"/>
      <c r="X923" s="581"/>
      <c r="Y923" s="581"/>
    </row>
    <row r="924">
      <c r="A924" s="581"/>
      <c r="B924" s="1467"/>
      <c r="C924" s="581"/>
      <c r="D924" s="581"/>
      <c r="E924" s="581"/>
      <c r="F924" s="624"/>
      <c r="G924" s="581"/>
      <c r="H924" s="581"/>
      <c r="I924" s="581"/>
      <c r="J924" s="581"/>
      <c r="K924" s="581"/>
      <c r="L924" s="581"/>
      <c r="M924" s="1477"/>
      <c r="N924" s="1477"/>
      <c r="O924" s="1477"/>
      <c r="P924" s="1467"/>
      <c r="Q924" s="581"/>
      <c r="R924" s="581"/>
      <c r="S924" s="581"/>
      <c r="T924" s="581"/>
      <c r="U924" s="581"/>
      <c r="V924" s="581"/>
      <c r="W924" s="1475"/>
      <c r="X924" s="581"/>
      <c r="Y924" s="581"/>
    </row>
    <row r="925">
      <c r="A925" s="581"/>
      <c r="B925" s="1467"/>
      <c r="C925" s="581"/>
      <c r="D925" s="581"/>
      <c r="E925" s="581"/>
      <c r="F925" s="624"/>
      <c r="G925" s="581"/>
      <c r="H925" s="581"/>
      <c r="I925" s="581"/>
      <c r="J925" s="581"/>
      <c r="K925" s="581"/>
      <c r="L925" s="581"/>
      <c r="M925" s="1477"/>
      <c r="N925" s="1477"/>
      <c r="O925" s="1477"/>
      <c r="P925" s="1467"/>
      <c r="Q925" s="581"/>
      <c r="R925" s="581"/>
      <c r="S925" s="581"/>
      <c r="T925" s="581"/>
      <c r="U925" s="581"/>
      <c r="V925" s="581"/>
      <c r="W925" s="1475"/>
      <c r="X925" s="581"/>
      <c r="Y925" s="581"/>
    </row>
    <row r="926">
      <c r="A926" s="581"/>
      <c r="B926" s="1467"/>
      <c r="C926" s="581"/>
      <c r="D926" s="581"/>
      <c r="E926" s="581"/>
      <c r="F926" s="624"/>
      <c r="G926" s="581"/>
      <c r="H926" s="581"/>
      <c r="I926" s="581"/>
      <c r="J926" s="581"/>
      <c r="K926" s="581"/>
      <c r="L926" s="581"/>
      <c r="M926" s="1477"/>
      <c r="N926" s="1477"/>
      <c r="O926" s="1477"/>
      <c r="P926" s="1467"/>
      <c r="Q926" s="581"/>
      <c r="R926" s="581"/>
      <c r="S926" s="581"/>
      <c r="T926" s="581"/>
      <c r="U926" s="581"/>
      <c r="V926" s="581"/>
      <c r="W926" s="1475"/>
      <c r="X926" s="581"/>
      <c r="Y926" s="581"/>
    </row>
    <row r="927">
      <c r="A927" s="581"/>
      <c r="B927" s="1467"/>
      <c r="C927" s="581"/>
      <c r="D927" s="581"/>
      <c r="E927" s="581"/>
      <c r="F927" s="624"/>
      <c r="G927" s="581"/>
      <c r="H927" s="581"/>
      <c r="I927" s="581"/>
      <c r="J927" s="581"/>
      <c r="K927" s="581"/>
      <c r="L927" s="581"/>
      <c r="M927" s="1477"/>
      <c r="N927" s="1477"/>
      <c r="O927" s="1477"/>
      <c r="P927" s="1467"/>
      <c r="Q927" s="581"/>
      <c r="R927" s="581"/>
      <c r="S927" s="581"/>
      <c r="T927" s="581"/>
      <c r="U927" s="581"/>
      <c r="V927" s="581"/>
      <c r="W927" s="1475"/>
      <c r="X927" s="581"/>
      <c r="Y927" s="581"/>
    </row>
    <row r="928">
      <c r="A928" s="581"/>
      <c r="B928" s="1467"/>
      <c r="C928" s="581"/>
      <c r="D928" s="581"/>
      <c r="E928" s="581"/>
      <c r="F928" s="624"/>
      <c r="G928" s="581"/>
      <c r="H928" s="581"/>
      <c r="I928" s="581"/>
      <c r="J928" s="581"/>
      <c r="K928" s="581"/>
      <c r="L928" s="581"/>
      <c r="M928" s="1477"/>
      <c r="N928" s="1477"/>
      <c r="O928" s="1477"/>
      <c r="P928" s="1467"/>
      <c r="Q928" s="581"/>
      <c r="R928" s="581"/>
      <c r="S928" s="581"/>
      <c r="T928" s="581"/>
      <c r="U928" s="581"/>
      <c r="V928" s="581"/>
      <c r="W928" s="1475"/>
      <c r="X928" s="581"/>
      <c r="Y928" s="581"/>
    </row>
    <row r="929">
      <c r="A929" s="581"/>
      <c r="B929" s="1467"/>
      <c r="C929" s="581"/>
      <c r="D929" s="581"/>
      <c r="E929" s="581"/>
      <c r="F929" s="624"/>
      <c r="G929" s="581"/>
      <c r="H929" s="581"/>
      <c r="I929" s="581"/>
      <c r="J929" s="581"/>
      <c r="K929" s="581"/>
      <c r="L929" s="581"/>
      <c r="M929" s="1477"/>
      <c r="N929" s="1477"/>
      <c r="O929" s="1477"/>
      <c r="P929" s="1467"/>
      <c r="Q929" s="581"/>
      <c r="R929" s="581"/>
      <c r="S929" s="581"/>
      <c r="T929" s="581"/>
      <c r="U929" s="581"/>
      <c r="V929" s="581"/>
      <c r="W929" s="1475"/>
      <c r="X929" s="581"/>
      <c r="Y929" s="581"/>
    </row>
    <row r="930">
      <c r="A930" s="581"/>
      <c r="B930" s="1467"/>
      <c r="C930" s="581"/>
      <c r="D930" s="581"/>
      <c r="E930" s="581"/>
      <c r="F930" s="624"/>
      <c r="G930" s="581"/>
      <c r="H930" s="581"/>
      <c r="I930" s="581"/>
      <c r="J930" s="581"/>
      <c r="K930" s="581"/>
      <c r="L930" s="581"/>
      <c r="M930" s="1477"/>
      <c r="N930" s="1477"/>
      <c r="O930" s="1477"/>
      <c r="P930" s="1467"/>
      <c r="Q930" s="581"/>
      <c r="R930" s="581"/>
      <c r="S930" s="581"/>
      <c r="T930" s="581"/>
      <c r="U930" s="581"/>
      <c r="V930" s="581"/>
      <c r="W930" s="1475"/>
      <c r="X930" s="581"/>
      <c r="Y930" s="581"/>
    </row>
    <row r="931">
      <c r="A931" s="581"/>
      <c r="B931" s="1467"/>
      <c r="C931" s="581"/>
      <c r="D931" s="581"/>
      <c r="E931" s="581"/>
      <c r="F931" s="624"/>
      <c r="G931" s="581"/>
      <c r="H931" s="581"/>
      <c r="I931" s="581"/>
      <c r="J931" s="581"/>
      <c r="K931" s="581"/>
      <c r="L931" s="581"/>
      <c r="M931" s="1477"/>
      <c r="N931" s="1477"/>
      <c r="O931" s="1477"/>
      <c r="P931" s="1467"/>
      <c r="Q931" s="581"/>
      <c r="R931" s="581"/>
      <c r="S931" s="581"/>
      <c r="T931" s="581"/>
      <c r="U931" s="581"/>
      <c r="V931" s="581"/>
      <c r="W931" s="1475"/>
      <c r="X931" s="581"/>
      <c r="Y931" s="581"/>
    </row>
    <row r="932">
      <c r="A932" s="581"/>
      <c r="B932" s="1467"/>
      <c r="C932" s="581"/>
      <c r="D932" s="581"/>
      <c r="E932" s="581"/>
      <c r="F932" s="624"/>
      <c r="G932" s="581"/>
      <c r="H932" s="581"/>
      <c r="I932" s="581"/>
      <c r="J932" s="581"/>
      <c r="K932" s="581"/>
      <c r="L932" s="581"/>
      <c r="M932" s="1477"/>
      <c r="N932" s="1477"/>
      <c r="O932" s="1477"/>
      <c r="P932" s="1467"/>
      <c r="Q932" s="581"/>
      <c r="R932" s="581"/>
      <c r="S932" s="581"/>
      <c r="T932" s="581"/>
      <c r="U932" s="581"/>
      <c r="V932" s="581"/>
      <c r="W932" s="1475"/>
      <c r="X932" s="581"/>
      <c r="Y932" s="581"/>
    </row>
    <row r="933">
      <c r="A933" s="581"/>
      <c r="B933" s="1467"/>
      <c r="C933" s="581"/>
      <c r="D933" s="581"/>
      <c r="E933" s="581"/>
      <c r="F933" s="624"/>
      <c r="G933" s="581"/>
      <c r="H933" s="581"/>
      <c r="I933" s="581"/>
      <c r="J933" s="581"/>
      <c r="K933" s="581"/>
      <c r="L933" s="581"/>
      <c r="M933" s="1477"/>
      <c r="N933" s="1477"/>
      <c r="O933" s="1477"/>
      <c r="P933" s="1467"/>
      <c r="Q933" s="581"/>
      <c r="R933" s="581"/>
      <c r="S933" s="581"/>
      <c r="T933" s="581"/>
      <c r="U933" s="581"/>
      <c r="V933" s="581"/>
      <c r="W933" s="1475"/>
      <c r="X933" s="581"/>
      <c r="Y933" s="581"/>
    </row>
    <row r="934">
      <c r="A934" s="581"/>
      <c r="B934" s="1467"/>
      <c r="C934" s="581"/>
      <c r="D934" s="581"/>
      <c r="E934" s="581"/>
      <c r="F934" s="624"/>
      <c r="G934" s="581"/>
      <c r="H934" s="581"/>
      <c r="I934" s="581"/>
      <c r="J934" s="581"/>
      <c r="K934" s="581"/>
      <c r="L934" s="581"/>
      <c r="M934" s="1477"/>
      <c r="N934" s="1477"/>
      <c r="O934" s="1477"/>
      <c r="P934" s="1467"/>
      <c r="Q934" s="581"/>
      <c r="R934" s="581"/>
      <c r="S934" s="581"/>
      <c r="T934" s="581"/>
      <c r="U934" s="581"/>
      <c r="V934" s="581"/>
      <c r="W934" s="1475"/>
      <c r="X934" s="581"/>
      <c r="Y934" s="581"/>
    </row>
    <row r="935">
      <c r="A935" s="581"/>
      <c r="B935" s="1467"/>
      <c r="C935" s="581"/>
      <c r="D935" s="581"/>
      <c r="E935" s="581"/>
      <c r="F935" s="624"/>
      <c r="G935" s="581"/>
      <c r="H935" s="581"/>
      <c r="I935" s="581"/>
      <c r="J935" s="581"/>
      <c r="K935" s="581"/>
      <c r="L935" s="581"/>
      <c r="M935" s="1477"/>
      <c r="N935" s="1477"/>
      <c r="O935" s="1477"/>
      <c r="P935" s="1467"/>
      <c r="Q935" s="581"/>
      <c r="R935" s="581"/>
      <c r="S935" s="581"/>
      <c r="T935" s="581"/>
      <c r="U935" s="581"/>
      <c r="V935" s="581"/>
      <c r="W935" s="1475"/>
      <c r="X935" s="581"/>
      <c r="Y935" s="581"/>
    </row>
    <row r="936">
      <c r="A936" s="581"/>
      <c r="B936" s="1467"/>
      <c r="C936" s="581"/>
      <c r="D936" s="581"/>
      <c r="E936" s="581"/>
      <c r="F936" s="624"/>
      <c r="G936" s="581"/>
      <c r="H936" s="581"/>
      <c r="I936" s="581"/>
      <c r="J936" s="581"/>
      <c r="K936" s="581"/>
      <c r="L936" s="581"/>
      <c r="M936" s="1477"/>
      <c r="N936" s="1477"/>
      <c r="O936" s="1477"/>
      <c r="P936" s="1467"/>
      <c r="Q936" s="581"/>
      <c r="R936" s="581"/>
      <c r="S936" s="581"/>
      <c r="T936" s="581"/>
      <c r="U936" s="581"/>
      <c r="V936" s="581"/>
      <c r="W936" s="1475"/>
      <c r="X936" s="581"/>
      <c r="Y936" s="581"/>
    </row>
    <row r="937">
      <c r="A937" s="581"/>
      <c r="B937" s="1467"/>
      <c r="C937" s="581"/>
      <c r="D937" s="581"/>
      <c r="E937" s="581"/>
      <c r="F937" s="624"/>
      <c r="G937" s="581"/>
      <c r="H937" s="581"/>
      <c r="I937" s="581"/>
      <c r="J937" s="581"/>
      <c r="K937" s="581"/>
      <c r="L937" s="581"/>
      <c r="M937" s="1477"/>
      <c r="N937" s="1477"/>
      <c r="O937" s="1477"/>
      <c r="P937" s="1467"/>
      <c r="Q937" s="581"/>
      <c r="R937" s="581"/>
      <c r="S937" s="581"/>
      <c r="T937" s="581"/>
      <c r="U937" s="581"/>
      <c r="V937" s="581"/>
      <c r="W937" s="1475"/>
      <c r="X937" s="581"/>
      <c r="Y937" s="581"/>
    </row>
    <row r="938">
      <c r="A938" s="581"/>
      <c r="B938" s="1467"/>
      <c r="C938" s="581"/>
      <c r="D938" s="581"/>
      <c r="E938" s="581"/>
      <c r="F938" s="624"/>
      <c r="G938" s="581"/>
      <c r="H938" s="581"/>
      <c r="I938" s="581"/>
      <c r="J938" s="581"/>
      <c r="K938" s="581"/>
      <c r="L938" s="581"/>
      <c r="M938" s="1477"/>
      <c r="N938" s="1477"/>
      <c r="O938" s="1477"/>
      <c r="P938" s="1467"/>
      <c r="Q938" s="581"/>
      <c r="R938" s="581"/>
      <c r="S938" s="581"/>
      <c r="T938" s="581"/>
      <c r="U938" s="581"/>
      <c r="V938" s="581"/>
      <c r="W938" s="1475"/>
      <c r="X938" s="581"/>
      <c r="Y938" s="581"/>
    </row>
    <row r="939">
      <c r="A939" s="581"/>
      <c r="B939" s="1467"/>
      <c r="C939" s="581"/>
      <c r="D939" s="581"/>
      <c r="E939" s="581"/>
      <c r="F939" s="624"/>
      <c r="G939" s="581"/>
      <c r="H939" s="581"/>
      <c r="I939" s="581"/>
      <c r="J939" s="581"/>
      <c r="K939" s="581"/>
      <c r="L939" s="581"/>
      <c r="M939" s="1477"/>
      <c r="N939" s="1477"/>
      <c r="O939" s="1477"/>
      <c r="P939" s="1467"/>
      <c r="Q939" s="581"/>
      <c r="R939" s="581"/>
      <c r="S939" s="581"/>
      <c r="T939" s="581"/>
      <c r="U939" s="581"/>
      <c r="V939" s="581"/>
      <c r="W939" s="1475"/>
      <c r="X939" s="581"/>
      <c r="Y939" s="581"/>
    </row>
    <row r="940">
      <c r="A940" s="581"/>
      <c r="B940" s="1467"/>
      <c r="C940" s="581"/>
      <c r="D940" s="581"/>
      <c r="E940" s="581"/>
      <c r="F940" s="624"/>
      <c r="G940" s="581"/>
      <c r="H940" s="581"/>
      <c r="I940" s="581"/>
      <c r="J940" s="581"/>
      <c r="K940" s="581"/>
      <c r="L940" s="581"/>
      <c r="M940" s="1477"/>
      <c r="N940" s="1477"/>
      <c r="O940" s="1477"/>
      <c r="P940" s="1467"/>
      <c r="Q940" s="581"/>
      <c r="R940" s="581"/>
      <c r="S940" s="581"/>
      <c r="T940" s="581"/>
      <c r="U940" s="581"/>
      <c r="V940" s="581"/>
      <c r="W940" s="1475"/>
      <c r="X940" s="581"/>
      <c r="Y940" s="581"/>
    </row>
    <row r="941">
      <c r="A941" s="581"/>
      <c r="B941" s="1467"/>
      <c r="C941" s="581"/>
      <c r="D941" s="581"/>
      <c r="E941" s="581"/>
      <c r="F941" s="624"/>
      <c r="G941" s="581"/>
      <c r="H941" s="581"/>
      <c r="I941" s="581"/>
      <c r="J941" s="581"/>
      <c r="K941" s="581"/>
      <c r="L941" s="581"/>
      <c r="M941" s="1477"/>
      <c r="N941" s="1477"/>
      <c r="O941" s="1477"/>
      <c r="P941" s="1467"/>
      <c r="Q941" s="581"/>
      <c r="R941" s="581"/>
      <c r="S941" s="581"/>
      <c r="T941" s="581"/>
      <c r="U941" s="581"/>
      <c r="V941" s="581"/>
      <c r="W941" s="1475"/>
      <c r="X941" s="581"/>
      <c r="Y941" s="581"/>
    </row>
    <row r="942">
      <c r="A942" s="581"/>
      <c r="B942" s="1467"/>
      <c r="C942" s="581"/>
      <c r="D942" s="581"/>
      <c r="E942" s="581"/>
      <c r="F942" s="624"/>
      <c r="G942" s="581"/>
      <c r="H942" s="581"/>
      <c r="I942" s="581"/>
      <c r="J942" s="581"/>
      <c r="K942" s="581"/>
      <c r="L942" s="581"/>
      <c r="M942" s="1477"/>
      <c r="N942" s="1477"/>
      <c r="O942" s="1477"/>
      <c r="P942" s="1467"/>
      <c r="Q942" s="581"/>
      <c r="R942" s="581"/>
      <c r="S942" s="581"/>
      <c r="T942" s="581"/>
      <c r="U942" s="581"/>
      <c r="V942" s="581"/>
      <c r="W942" s="1475"/>
      <c r="X942" s="581"/>
      <c r="Y942" s="581"/>
    </row>
    <row r="943">
      <c r="A943" s="581"/>
      <c r="B943" s="1467"/>
      <c r="C943" s="581"/>
      <c r="D943" s="581"/>
      <c r="E943" s="581"/>
      <c r="F943" s="624"/>
      <c r="G943" s="581"/>
      <c r="H943" s="581"/>
      <c r="I943" s="581"/>
      <c r="J943" s="581"/>
      <c r="K943" s="581"/>
      <c r="L943" s="581"/>
      <c r="M943" s="1477"/>
      <c r="N943" s="1477"/>
      <c r="O943" s="1477"/>
      <c r="P943" s="1467"/>
      <c r="Q943" s="581"/>
      <c r="R943" s="581"/>
      <c r="S943" s="581"/>
      <c r="T943" s="581"/>
      <c r="U943" s="581"/>
      <c r="V943" s="581"/>
      <c r="W943" s="1475"/>
      <c r="X943" s="581"/>
      <c r="Y943" s="581"/>
    </row>
    <row r="944">
      <c r="A944" s="581"/>
      <c r="B944" s="1467"/>
      <c r="C944" s="581"/>
      <c r="D944" s="581"/>
      <c r="E944" s="581"/>
      <c r="F944" s="624"/>
      <c r="G944" s="581"/>
      <c r="H944" s="581"/>
      <c r="I944" s="581"/>
      <c r="J944" s="581"/>
      <c r="K944" s="581"/>
      <c r="L944" s="581"/>
      <c r="M944" s="1477"/>
      <c r="N944" s="1477"/>
      <c r="O944" s="1477"/>
      <c r="P944" s="1467"/>
      <c r="Q944" s="581"/>
      <c r="R944" s="581"/>
      <c r="S944" s="581"/>
      <c r="T944" s="581"/>
      <c r="U944" s="581"/>
      <c r="V944" s="581"/>
      <c r="W944" s="1475"/>
      <c r="X944" s="581"/>
      <c r="Y944" s="581"/>
    </row>
    <row r="945">
      <c r="A945" s="581"/>
      <c r="B945" s="1467"/>
      <c r="C945" s="581"/>
      <c r="D945" s="581"/>
      <c r="E945" s="581"/>
      <c r="F945" s="624"/>
      <c r="G945" s="581"/>
      <c r="H945" s="581"/>
      <c r="I945" s="581"/>
      <c r="J945" s="581"/>
      <c r="K945" s="581"/>
      <c r="L945" s="581"/>
      <c r="M945" s="1477"/>
      <c r="N945" s="1477"/>
      <c r="O945" s="1477"/>
      <c r="P945" s="1467"/>
      <c r="Q945" s="581"/>
      <c r="R945" s="581"/>
      <c r="S945" s="581"/>
      <c r="T945" s="581"/>
      <c r="U945" s="581"/>
      <c r="V945" s="581"/>
      <c r="W945" s="1475"/>
      <c r="X945" s="581"/>
      <c r="Y945" s="581"/>
    </row>
    <row r="946">
      <c r="A946" s="581"/>
      <c r="B946" s="1467"/>
      <c r="C946" s="581"/>
      <c r="D946" s="581"/>
      <c r="E946" s="581"/>
      <c r="F946" s="624"/>
      <c r="G946" s="581"/>
      <c r="H946" s="581"/>
      <c r="I946" s="581"/>
      <c r="J946" s="581"/>
      <c r="K946" s="581"/>
      <c r="L946" s="581"/>
      <c r="M946" s="1477"/>
      <c r="N946" s="1477"/>
      <c r="O946" s="1477"/>
      <c r="P946" s="1467"/>
      <c r="Q946" s="581"/>
      <c r="R946" s="581"/>
      <c r="S946" s="581"/>
      <c r="T946" s="581"/>
      <c r="U946" s="581"/>
      <c r="V946" s="581"/>
      <c r="W946" s="1475"/>
      <c r="X946" s="581"/>
      <c r="Y946" s="581"/>
    </row>
    <row r="947">
      <c r="A947" s="581"/>
      <c r="B947" s="1467"/>
      <c r="C947" s="581"/>
      <c r="D947" s="581"/>
      <c r="E947" s="581"/>
      <c r="F947" s="624"/>
      <c r="G947" s="581"/>
      <c r="H947" s="581"/>
      <c r="I947" s="581"/>
      <c r="J947" s="581"/>
      <c r="K947" s="581"/>
      <c r="L947" s="581"/>
      <c r="M947" s="1477"/>
      <c r="N947" s="1477"/>
      <c r="O947" s="1477"/>
      <c r="P947" s="1467"/>
      <c r="Q947" s="581"/>
      <c r="R947" s="581"/>
      <c r="S947" s="581"/>
      <c r="T947" s="581"/>
      <c r="U947" s="581"/>
      <c r="V947" s="581"/>
      <c r="W947" s="1475"/>
      <c r="X947" s="581"/>
      <c r="Y947" s="581"/>
    </row>
    <row r="948">
      <c r="A948" s="581"/>
      <c r="B948" s="1467"/>
      <c r="C948" s="581"/>
      <c r="D948" s="581"/>
      <c r="E948" s="581"/>
      <c r="F948" s="624"/>
      <c r="G948" s="581"/>
      <c r="H948" s="581"/>
      <c r="I948" s="581"/>
      <c r="J948" s="581"/>
      <c r="K948" s="581"/>
      <c r="L948" s="581"/>
      <c r="M948" s="1477"/>
      <c r="N948" s="1477"/>
      <c r="O948" s="1477"/>
      <c r="P948" s="1467"/>
      <c r="Q948" s="581"/>
      <c r="R948" s="581"/>
      <c r="S948" s="581"/>
      <c r="T948" s="581"/>
      <c r="U948" s="581"/>
      <c r="V948" s="581"/>
      <c r="W948" s="1475"/>
      <c r="X948" s="581"/>
      <c r="Y948" s="581"/>
    </row>
    <row r="949">
      <c r="A949" s="581"/>
      <c r="B949" s="1467"/>
      <c r="C949" s="581"/>
      <c r="D949" s="581"/>
      <c r="E949" s="581"/>
      <c r="F949" s="624"/>
      <c r="G949" s="581"/>
      <c r="H949" s="581"/>
      <c r="I949" s="581"/>
      <c r="J949" s="581"/>
      <c r="K949" s="581"/>
      <c r="L949" s="581"/>
      <c r="M949" s="1477"/>
      <c r="N949" s="1477"/>
      <c r="O949" s="1477"/>
      <c r="P949" s="1467"/>
      <c r="Q949" s="581"/>
      <c r="R949" s="581"/>
      <c r="S949" s="581"/>
      <c r="T949" s="581"/>
      <c r="U949" s="581"/>
      <c r="V949" s="581"/>
      <c r="W949" s="1475"/>
      <c r="X949" s="581"/>
      <c r="Y949" s="581"/>
    </row>
    <row r="950">
      <c r="A950" s="581"/>
      <c r="B950" s="1467"/>
      <c r="C950" s="581"/>
      <c r="D950" s="581"/>
      <c r="E950" s="581"/>
      <c r="F950" s="624"/>
      <c r="G950" s="581"/>
      <c r="H950" s="581"/>
      <c r="I950" s="581"/>
      <c r="J950" s="581"/>
      <c r="K950" s="581"/>
      <c r="L950" s="581"/>
      <c r="M950" s="1477"/>
      <c r="N950" s="1477"/>
      <c r="O950" s="1477"/>
      <c r="P950" s="1467"/>
      <c r="Q950" s="581"/>
      <c r="R950" s="581"/>
      <c r="S950" s="581"/>
      <c r="T950" s="581"/>
      <c r="U950" s="581"/>
      <c r="V950" s="581"/>
      <c r="W950" s="1475"/>
      <c r="X950" s="581"/>
      <c r="Y950" s="581"/>
    </row>
    <row r="951">
      <c r="A951" s="581"/>
      <c r="B951" s="1467"/>
      <c r="C951" s="581"/>
      <c r="D951" s="581"/>
      <c r="E951" s="581"/>
      <c r="F951" s="624"/>
      <c r="G951" s="581"/>
      <c r="H951" s="581"/>
      <c r="I951" s="581"/>
      <c r="J951" s="581"/>
      <c r="K951" s="581"/>
      <c r="L951" s="581"/>
      <c r="M951" s="1477"/>
      <c r="N951" s="1477"/>
      <c r="O951" s="1477"/>
      <c r="P951" s="1467"/>
      <c r="Q951" s="581"/>
      <c r="R951" s="581"/>
      <c r="S951" s="581"/>
      <c r="T951" s="581"/>
      <c r="U951" s="581"/>
      <c r="V951" s="581"/>
      <c r="W951" s="1475"/>
      <c r="X951" s="581"/>
      <c r="Y951" s="581"/>
    </row>
    <row r="952">
      <c r="A952" s="581"/>
      <c r="B952" s="1467"/>
      <c r="C952" s="581"/>
      <c r="D952" s="581"/>
      <c r="E952" s="581"/>
      <c r="F952" s="624"/>
      <c r="G952" s="581"/>
      <c r="H952" s="581"/>
      <c r="I952" s="581"/>
      <c r="J952" s="581"/>
      <c r="K952" s="581"/>
      <c r="L952" s="581"/>
      <c r="M952" s="1477"/>
      <c r="N952" s="1477"/>
      <c r="O952" s="1477"/>
      <c r="P952" s="1467"/>
      <c r="Q952" s="581"/>
      <c r="R952" s="581"/>
      <c r="S952" s="581"/>
      <c r="T952" s="581"/>
      <c r="U952" s="581"/>
      <c r="V952" s="581"/>
      <c r="W952" s="1475"/>
      <c r="X952" s="581"/>
      <c r="Y952" s="581"/>
    </row>
    <row r="953">
      <c r="A953" s="581"/>
      <c r="B953" s="1467"/>
      <c r="C953" s="581"/>
      <c r="D953" s="581"/>
      <c r="E953" s="581"/>
      <c r="F953" s="624"/>
      <c r="G953" s="581"/>
      <c r="H953" s="581"/>
      <c r="I953" s="581"/>
      <c r="J953" s="581"/>
      <c r="K953" s="581"/>
      <c r="L953" s="581"/>
      <c r="M953" s="1477"/>
      <c r="N953" s="1477"/>
      <c r="O953" s="1477"/>
      <c r="P953" s="1467"/>
      <c r="Q953" s="581"/>
      <c r="R953" s="581"/>
      <c r="S953" s="581"/>
      <c r="T953" s="581"/>
      <c r="U953" s="581"/>
      <c r="V953" s="581"/>
      <c r="W953" s="1475"/>
      <c r="X953" s="581"/>
      <c r="Y953" s="581"/>
    </row>
    <row r="954">
      <c r="A954" s="581"/>
      <c r="B954" s="1467"/>
      <c r="C954" s="581"/>
      <c r="D954" s="581"/>
      <c r="E954" s="581"/>
      <c r="F954" s="624"/>
      <c r="G954" s="581"/>
      <c r="H954" s="581"/>
      <c r="I954" s="581"/>
      <c r="J954" s="581"/>
      <c r="K954" s="581"/>
      <c r="L954" s="581"/>
      <c r="M954" s="1477"/>
      <c r="N954" s="1477"/>
      <c r="O954" s="1477"/>
      <c r="P954" s="1467"/>
      <c r="Q954" s="581"/>
      <c r="R954" s="581"/>
      <c r="S954" s="581"/>
      <c r="T954" s="581"/>
      <c r="U954" s="581"/>
      <c r="V954" s="581"/>
      <c r="W954" s="1475"/>
      <c r="X954" s="581"/>
      <c r="Y954" s="581"/>
    </row>
    <row r="955">
      <c r="A955" s="581"/>
      <c r="B955" s="1467"/>
      <c r="C955" s="581"/>
      <c r="D955" s="581"/>
      <c r="E955" s="581"/>
      <c r="F955" s="624"/>
      <c r="G955" s="581"/>
      <c r="H955" s="581"/>
      <c r="I955" s="581"/>
      <c r="J955" s="581"/>
      <c r="K955" s="581"/>
      <c r="L955" s="581"/>
      <c r="M955" s="1477"/>
      <c r="N955" s="1477"/>
      <c r="O955" s="1477"/>
      <c r="P955" s="1467"/>
      <c r="Q955" s="581"/>
      <c r="R955" s="581"/>
      <c r="S955" s="581"/>
      <c r="T955" s="581"/>
      <c r="U955" s="581"/>
      <c r="V955" s="581"/>
      <c r="W955" s="1475"/>
      <c r="X955" s="581"/>
      <c r="Y955" s="581"/>
    </row>
    <row r="956">
      <c r="A956" s="581"/>
      <c r="B956" s="1467"/>
      <c r="C956" s="581"/>
      <c r="D956" s="581"/>
      <c r="E956" s="581"/>
      <c r="F956" s="624"/>
      <c r="G956" s="581"/>
      <c r="H956" s="581"/>
      <c r="I956" s="581"/>
      <c r="J956" s="581"/>
      <c r="K956" s="581"/>
      <c r="L956" s="581"/>
      <c r="M956" s="1477"/>
      <c r="N956" s="1477"/>
      <c r="O956" s="1477"/>
      <c r="P956" s="1467"/>
      <c r="Q956" s="581"/>
      <c r="R956" s="581"/>
      <c r="S956" s="581"/>
      <c r="T956" s="581"/>
      <c r="U956" s="581"/>
      <c r="V956" s="581"/>
      <c r="W956" s="1475"/>
      <c r="X956" s="581"/>
      <c r="Y956" s="581"/>
    </row>
    <row r="957">
      <c r="A957" s="581"/>
      <c r="B957" s="1467"/>
      <c r="C957" s="581"/>
      <c r="D957" s="581"/>
      <c r="E957" s="581"/>
      <c r="F957" s="624"/>
      <c r="G957" s="581"/>
      <c r="H957" s="581"/>
      <c r="I957" s="581"/>
      <c r="J957" s="581"/>
      <c r="K957" s="581"/>
      <c r="L957" s="581"/>
      <c r="M957" s="1477"/>
      <c r="N957" s="1477"/>
      <c r="O957" s="1477"/>
      <c r="P957" s="1467"/>
      <c r="Q957" s="581"/>
      <c r="R957" s="581"/>
      <c r="S957" s="581"/>
      <c r="T957" s="581"/>
      <c r="U957" s="581"/>
      <c r="V957" s="581"/>
      <c r="W957" s="1475"/>
      <c r="X957" s="581"/>
      <c r="Y957" s="581"/>
    </row>
    <row r="958">
      <c r="A958" s="581"/>
      <c r="B958" s="1467"/>
      <c r="C958" s="581"/>
      <c r="D958" s="581"/>
      <c r="E958" s="581"/>
      <c r="F958" s="624"/>
      <c r="G958" s="581"/>
      <c r="H958" s="581"/>
      <c r="I958" s="581"/>
      <c r="J958" s="581"/>
      <c r="K958" s="581"/>
      <c r="L958" s="581"/>
      <c r="M958" s="1477"/>
      <c r="N958" s="1477"/>
      <c r="O958" s="1477"/>
      <c r="P958" s="1467"/>
      <c r="Q958" s="581"/>
      <c r="R958" s="581"/>
      <c r="S958" s="581"/>
      <c r="T958" s="581"/>
      <c r="U958" s="581"/>
      <c r="V958" s="581"/>
      <c r="W958" s="1475"/>
      <c r="X958" s="581"/>
      <c r="Y958" s="581"/>
    </row>
    <row r="959">
      <c r="A959" s="581"/>
      <c r="B959" s="1467"/>
      <c r="C959" s="581"/>
      <c r="D959" s="581"/>
      <c r="E959" s="581"/>
      <c r="F959" s="624"/>
      <c r="G959" s="581"/>
      <c r="H959" s="581"/>
      <c r="I959" s="581"/>
      <c r="J959" s="581"/>
      <c r="K959" s="581"/>
      <c r="L959" s="581"/>
      <c r="M959" s="1477"/>
      <c r="N959" s="1477"/>
      <c r="O959" s="1477"/>
      <c r="P959" s="1467"/>
      <c r="Q959" s="581"/>
      <c r="R959" s="581"/>
      <c r="S959" s="581"/>
      <c r="T959" s="581"/>
      <c r="U959" s="581"/>
      <c r="V959" s="581"/>
      <c r="W959" s="1475"/>
      <c r="X959" s="581"/>
      <c r="Y959" s="581"/>
    </row>
    <row r="960">
      <c r="A960" s="581"/>
      <c r="B960" s="1467"/>
      <c r="C960" s="581"/>
      <c r="D960" s="581"/>
      <c r="E960" s="581"/>
      <c r="F960" s="624"/>
      <c r="G960" s="581"/>
      <c r="H960" s="581"/>
      <c r="I960" s="581"/>
      <c r="J960" s="581"/>
      <c r="K960" s="581"/>
      <c r="L960" s="581"/>
      <c r="M960" s="1477"/>
      <c r="N960" s="1477"/>
      <c r="O960" s="1477"/>
      <c r="P960" s="1467"/>
      <c r="Q960" s="581"/>
      <c r="R960" s="581"/>
      <c r="S960" s="581"/>
      <c r="T960" s="581"/>
      <c r="U960" s="581"/>
      <c r="V960" s="581"/>
      <c r="W960" s="1475"/>
      <c r="X960" s="581"/>
      <c r="Y960" s="581"/>
    </row>
    <row r="961">
      <c r="A961" s="581"/>
      <c r="B961" s="1467"/>
      <c r="C961" s="581"/>
      <c r="D961" s="581"/>
      <c r="E961" s="581"/>
      <c r="F961" s="624"/>
      <c r="G961" s="581"/>
      <c r="H961" s="581"/>
      <c r="I961" s="581"/>
      <c r="J961" s="581"/>
      <c r="K961" s="581"/>
      <c r="L961" s="581"/>
      <c r="M961" s="1477"/>
      <c r="N961" s="1477"/>
      <c r="O961" s="1477"/>
      <c r="P961" s="1467"/>
      <c r="Q961" s="581"/>
      <c r="R961" s="581"/>
      <c r="S961" s="581"/>
      <c r="T961" s="581"/>
      <c r="U961" s="581"/>
      <c r="V961" s="581"/>
      <c r="W961" s="1475"/>
      <c r="X961" s="581"/>
      <c r="Y961" s="581"/>
    </row>
    <row r="962">
      <c r="A962" s="581"/>
      <c r="B962" s="1467"/>
      <c r="C962" s="581"/>
      <c r="D962" s="581"/>
      <c r="E962" s="581"/>
      <c r="F962" s="624"/>
      <c r="G962" s="581"/>
      <c r="H962" s="581"/>
      <c r="I962" s="581"/>
      <c r="J962" s="581"/>
      <c r="K962" s="581"/>
      <c r="L962" s="581"/>
      <c r="M962" s="1477"/>
      <c r="N962" s="1477"/>
      <c r="O962" s="1477"/>
      <c r="P962" s="1467"/>
      <c r="Q962" s="581"/>
      <c r="R962" s="581"/>
      <c r="S962" s="581"/>
      <c r="T962" s="581"/>
      <c r="U962" s="581"/>
      <c r="V962" s="581"/>
      <c r="W962" s="1475"/>
      <c r="X962" s="581"/>
      <c r="Y962" s="581"/>
    </row>
    <row r="963">
      <c r="A963" s="581"/>
      <c r="B963" s="1467"/>
      <c r="C963" s="581"/>
      <c r="D963" s="581"/>
      <c r="E963" s="581"/>
      <c r="F963" s="624"/>
      <c r="G963" s="581"/>
      <c r="H963" s="581"/>
      <c r="I963" s="581"/>
      <c r="J963" s="581"/>
      <c r="K963" s="581"/>
      <c r="L963" s="581"/>
      <c r="M963" s="1477"/>
      <c r="N963" s="1477"/>
      <c r="O963" s="1477"/>
      <c r="P963" s="1467"/>
      <c r="Q963" s="581"/>
      <c r="R963" s="581"/>
      <c r="S963" s="581"/>
      <c r="T963" s="581"/>
      <c r="U963" s="581"/>
      <c r="V963" s="581"/>
      <c r="W963" s="1475"/>
      <c r="X963" s="581"/>
      <c r="Y963" s="581"/>
    </row>
    <row r="964">
      <c r="A964" s="581"/>
      <c r="B964" s="1467"/>
      <c r="C964" s="581"/>
      <c r="D964" s="581"/>
      <c r="E964" s="581"/>
      <c r="F964" s="624"/>
      <c r="G964" s="581"/>
      <c r="H964" s="581"/>
      <c r="I964" s="581"/>
      <c r="J964" s="581"/>
      <c r="K964" s="581"/>
      <c r="L964" s="581"/>
      <c r="M964" s="1477"/>
      <c r="N964" s="1477"/>
      <c r="O964" s="1477"/>
      <c r="P964" s="1467"/>
      <c r="Q964" s="581"/>
      <c r="R964" s="581"/>
      <c r="S964" s="581"/>
      <c r="T964" s="581"/>
      <c r="U964" s="581"/>
      <c r="V964" s="581"/>
      <c r="W964" s="1475"/>
      <c r="X964" s="581"/>
      <c r="Y964" s="581"/>
    </row>
    <row r="965">
      <c r="A965" s="581"/>
      <c r="B965" s="1467"/>
      <c r="C965" s="581"/>
      <c r="D965" s="581"/>
      <c r="E965" s="581"/>
      <c r="F965" s="624"/>
      <c r="G965" s="581"/>
      <c r="H965" s="581"/>
      <c r="I965" s="581"/>
      <c r="J965" s="581"/>
      <c r="K965" s="581"/>
      <c r="L965" s="581"/>
      <c r="M965" s="1477"/>
      <c r="N965" s="1477"/>
      <c r="O965" s="1477"/>
      <c r="P965" s="1467"/>
      <c r="Q965" s="581"/>
      <c r="R965" s="581"/>
      <c r="S965" s="581"/>
      <c r="T965" s="581"/>
      <c r="U965" s="581"/>
      <c r="V965" s="581"/>
      <c r="W965" s="1475"/>
      <c r="X965" s="581"/>
      <c r="Y965" s="581"/>
    </row>
    <row r="966">
      <c r="A966" s="581"/>
      <c r="B966" s="1467"/>
      <c r="C966" s="581"/>
      <c r="D966" s="581"/>
      <c r="E966" s="581"/>
      <c r="F966" s="624"/>
      <c r="G966" s="581"/>
      <c r="H966" s="581"/>
      <c r="I966" s="581"/>
      <c r="J966" s="581"/>
      <c r="K966" s="581"/>
      <c r="L966" s="581"/>
      <c r="M966" s="1477"/>
      <c r="N966" s="1477"/>
      <c r="O966" s="1477"/>
      <c r="P966" s="1467"/>
      <c r="Q966" s="581"/>
      <c r="R966" s="581"/>
      <c r="S966" s="581"/>
      <c r="T966" s="581"/>
      <c r="U966" s="581"/>
      <c r="V966" s="581"/>
      <c r="W966" s="1475"/>
      <c r="X966" s="581"/>
      <c r="Y966" s="581"/>
    </row>
    <row r="967">
      <c r="A967" s="581"/>
      <c r="B967" s="1467"/>
      <c r="C967" s="581"/>
      <c r="D967" s="581"/>
      <c r="E967" s="581"/>
      <c r="F967" s="624"/>
      <c r="G967" s="581"/>
      <c r="H967" s="581"/>
      <c r="I967" s="581"/>
      <c r="J967" s="581"/>
      <c r="K967" s="581"/>
      <c r="L967" s="581"/>
      <c r="M967" s="1477"/>
      <c r="N967" s="1477"/>
      <c r="O967" s="1477"/>
      <c r="P967" s="1467"/>
      <c r="Q967" s="581"/>
      <c r="R967" s="581"/>
      <c r="S967" s="581"/>
      <c r="T967" s="581"/>
      <c r="U967" s="581"/>
      <c r="V967" s="581"/>
      <c r="W967" s="1475"/>
      <c r="X967" s="581"/>
      <c r="Y967" s="581"/>
    </row>
    <row r="968">
      <c r="A968" s="581"/>
      <c r="B968" s="1467"/>
      <c r="C968" s="581"/>
      <c r="D968" s="581"/>
      <c r="E968" s="581"/>
      <c r="F968" s="624"/>
      <c r="G968" s="581"/>
      <c r="H968" s="581"/>
      <c r="I968" s="581"/>
      <c r="J968" s="581"/>
      <c r="K968" s="581"/>
      <c r="L968" s="581"/>
      <c r="M968" s="1477"/>
      <c r="N968" s="1477"/>
      <c r="O968" s="1477"/>
      <c r="P968" s="1467"/>
      <c r="Q968" s="581"/>
      <c r="R968" s="581"/>
      <c r="S968" s="581"/>
      <c r="T968" s="581"/>
      <c r="U968" s="581"/>
      <c r="V968" s="581"/>
      <c r="W968" s="1475"/>
      <c r="X968" s="581"/>
      <c r="Y968" s="581"/>
    </row>
    <row r="969">
      <c r="A969" s="581"/>
      <c r="B969" s="1467"/>
      <c r="C969" s="581"/>
      <c r="D969" s="581"/>
      <c r="E969" s="581"/>
      <c r="F969" s="624"/>
      <c r="G969" s="581"/>
      <c r="H969" s="581"/>
      <c r="I969" s="581"/>
      <c r="J969" s="581"/>
      <c r="K969" s="581"/>
      <c r="L969" s="581"/>
      <c r="M969" s="1477"/>
      <c r="N969" s="1477"/>
      <c r="O969" s="1477"/>
      <c r="P969" s="1467"/>
      <c r="Q969" s="581"/>
      <c r="R969" s="581"/>
      <c r="S969" s="581"/>
      <c r="T969" s="581"/>
      <c r="U969" s="581"/>
      <c r="V969" s="581"/>
      <c r="W969" s="1475"/>
      <c r="X969" s="581"/>
      <c r="Y969" s="581"/>
    </row>
    <row r="970">
      <c r="A970" s="581"/>
      <c r="B970" s="1467"/>
      <c r="C970" s="581"/>
      <c r="D970" s="581"/>
      <c r="E970" s="581"/>
      <c r="F970" s="624"/>
      <c r="G970" s="581"/>
      <c r="H970" s="581"/>
      <c r="I970" s="581"/>
      <c r="J970" s="581"/>
      <c r="K970" s="581"/>
      <c r="L970" s="581"/>
      <c r="M970" s="1477"/>
      <c r="N970" s="1477"/>
      <c r="O970" s="1477"/>
      <c r="P970" s="1467"/>
      <c r="Q970" s="581"/>
      <c r="R970" s="581"/>
      <c r="S970" s="581"/>
      <c r="T970" s="581"/>
      <c r="U970" s="581"/>
      <c r="V970" s="581"/>
      <c r="W970" s="1475"/>
      <c r="X970" s="581"/>
      <c r="Y970" s="581"/>
    </row>
    <row r="971">
      <c r="A971" s="581"/>
      <c r="B971" s="1467"/>
      <c r="C971" s="581"/>
      <c r="D971" s="581"/>
      <c r="E971" s="581"/>
      <c r="F971" s="624"/>
      <c r="G971" s="581"/>
      <c r="H971" s="581"/>
      <c r="I971" s="581"/>
      <c r="J971" s="581"/>
      <c r="K971" s="581"/>
      <c r="L971" s="581"/>
      <c r="M971" s="1477"/>
      <c r="N971" s="1477"/>
      <c r="O971" s="1477"/>
      <c r="P971" s="1467"/>
      <c r="Q971" s="581"/>
      <c r="R971" s="581"/>
      <c r="S971" s="581"/>
      <c r="T971" s="581"/>
      <c r="U971" s="581"/>
      <c r="V971" s="581"/>
      <c r="W971" s="1475"/>
      <c r="X971" s="581"/>
      <c r="Y971" s="581"/>
    </row>
    <row r="972">
      <c r="A972" s="581"/>
      <c r="B972" s="1467"/>
      <c r="C972" s="581"/>
      <c r="D972" s="581"/>
      <c r="E972" s="581"/>
      <c r="F972" s="624"/>
      <c r="G972" s="581"/>
      <c r="H972" s="581"/>
      <c r="I972" s="581"/>
      <c r="J972" s="581"/>
      <c r="K972" s="581"/>
      <c r="L972" s="581"/>
      <c r="M972" s="1477"/>
      <c r="N972" s="1477"/>
      <c r="O972" s="1477"/>
      <c r="P972" s="1467"/>
      <c r="Q972" s="581"/>
      <c r="R972" s="581"/>
      <c r="S972" s="581"/>
      <c r="T972" s="581"/>
      <c r="U972" s="581"/>
      <c r="V972" s="581"/>
      <c r="W972" s="1475"/>
      <c r="X972" s="581"/>
      <c r="Y972" s="581"/>
    </row>
    <row r="973">
      <c r="A973" s="581"/>
      <c r="B973" s="1467"/>
      <c r="C973" s="581"/>
      <c r="D973" s="581"/>
      <c r="E973" s="581"/>
      <c r="F973" s="624"/>
      <c r="G973" s="581"/>
      <c r="H973" s="581"/>
      <c r="I973" s="581"/>
      <c r="J973" s="581"/>
      <c r="K973" s="581"/>
      <c r="L973" s="581"/>
      <c r="M973" s="1477"/>
      <c r="N973" s="1477"/>
      <c r="O973" s="1477"/>
      <c r="P973" s="1467"/>
      <c r="Q973" s="581"/>
      <c r="R973" s="581"/>
      <c r="S973" s="581"/>
      <c r="T973" s="581"/>
      <c r="U973" s="581"/>
      <c r="V973" s="581"/>
      <c r="W973" s="1475"/>
      <c r="X973" s="581"/>
      <c r="Y973" s="581"/>
    </row>
    <row r="974">
      <c r="A974" s="581"/>
      <c r="B974" s="1467"/>
      <c r="C974" s="581"/>
      <c r="D974" s="581"/>
      <c r="E974" s="581"/>
      <c r="F974" s="624"/>
      <c r="G974" s="581"/>
      <c r="H974" s="581"/>
      <c r="I974" s="581"/>
      <c r="J974" s="581"/>
      <c r="K974" s="581"/>
      <c r="L974" s="581"/>
      <c r="M974" s="1477"/>
      <c r="N974" s="1477"/>
      <c r="O974" s="1477"/>
      <c r="P974" s="1467"/>
      <c r="Q974" s="581"/>
      <c r="R974" s="581"/>
      <c r="S974" s="581"/>
      <c r="T974" s="581"/>
      <c r="U974" s="581"/>
      <c r="V974" s="581"/>
      <c r="W974" s="1475"/>
      <c r="X974" s="581"/>
      <c r="Y974" s="581"/>
    </row>
    <row r="975">
      <c r="A975" s="581"/>
      <c r="B975" s="1467"/>
      <c r="C975" s="581"/>
      <c r="D975" s="581"/>
      <c r="E975" s="581"/>
      <c r="F975" s="624"/>
      <c r="G975" s="581"/>
      <c r="H975" s="581"/>
      <c r="I975" s="581"/>
      <c r="J975" s="581"/>
      <c r="K975" s="581"/>
      <c r="L975" s="581"/>
      <c r="M975" s="1477"/>
      <c r="N975" s="1477"/>
      <c r="O975" s="1477"/>
      <c r="P975" s="1467"/>
      <c r="Q975" s="581"/>
      <c r="R975" s="581"/>
      <c r="S975" s="581"/>
      <c r="T975" s="581"/>
      <c r="U975" s="581"/>
      <c r="V975" s="581"/>
      <c r="W975" s="1475"/>
      <c r="X975" s="581"/>
      <c r="Y975" s="581"/>
    </row>
    <row r="976">
      <c r="A976" s="581"/>
      <c r="B976" s="1467"/>
      <c r="C976" s="581"/>
      <c r="D976" s="581"/>
      <c r="E976" s="581"/>
      <c r="F976" s="624"/>
      <c r="G976" s="581"/>
      <c r="H976" s="581"/>
      <c r="I976" s="581"/>
      <c r="J976" s="581"/>
      <c r="K976" s="581"/>
      <c r="L976" s="581"/>
      <c r="M976" s="1477"/>
      <c r="N976" s="1477"/>
      <c r="O976" s="1477"/>
      <c r="P976" s="1467"/>
      <c r="Q976" s="581"/>
      <c r="R976" s="581"/>
      <c r="S976" s="581"/>
      <c r="T976" s="581"/>
      <c r="U976" s="581"/>
      <c r="V976" s="581"/>
      <c r="W976" s="1475"/>
      <c r="X976" s="581"/>
      <c r="Y976" s="581"/>
    </row>
    <row r="977">
      <c r="A977" s="581"/>
      <c r="B977" s="1467"/>
      <c r="C977" s="581"/>
      <c r="D977" s="581"/>
      <c r="E977" s="581"/>
      <c r="F977" s="624"/>
      <c r="G977" s="581"/>
      <c r="H977" s="581"/>
      <c r="I977" s="581"/>
      <c r="J977" s="581"/>
      <c r="K977" s="581"/>
      <c r="L977" s="581"/>
      <c r="M977" s="1477"/>
      <c r="N977" s="1477"/>
      <c r="O977" s="1477"/>
      <c r="P977" s="1467"/>
      <c r="Q977" s="581"/>
      <c r="R977" s="581"/>
      <c r="S977" s="581"/>
      <c r="T977" s="581"/>
      <c r="U977" s="581"/>
      <c r="V977" s="581"/>
      <c r="W977" s="1475"/>
      <c r="X977" s="581"/>
      <c r="Y977" s="581"/>
    </row>
    <row r="978">
      <c r="A978" s="581"/>
      <c r="B978" s="1467"/>
      <c r="C978" s="581"/>
      <c r="D978" s="581"/>
      <c r="E978" s="581"/>
      <c r="F978" s="624"/>
      <c r="G978" s="581"/>
      <c r="H978" s="581"/>
      <c r="I978" s="581"/>
      <c r="J978" s="581"/>
      <c r="K978" s="581"/>
      <c r="L978" s="581"/>
      <c r="M978" s="1477"/>
      <c r="N978" s="1477"/>
      <c r="O978" s="1477"/>
      <c r="P978" s="1467"/>
      <c r="Q978" s="581"/>
      <c r="R978" s="581"/>
      <c r="S978" s="581"/>
      <c r="T978" s="581"/>
      <c r="U978" s="581"/>
      <c r="V978" s="581"/>
      <c r="W978" s="1475"/>
      <c r="X978" s="581"/>
      <c r="Y978" s="581"/>
    </row>
    <row r="979">
      <c r="A979" s="581"/>
      <c r="B979" s="1467"/>
      <c r="C979" s="581"/>
      <c r="D979" s="581"/>
      <c r="E979" s="581"/>
      <c r="F979" s="624"/>
      <c r="G979" s="581"/>
      <c r="H979" s="581"/>
      <c r="I979" s="581"/>
      <c r="J979" s="581"/>
      <c r="K979" s="581"/>
      <c r="L979" s="581"/>
      <c r="M979" s="1477"/>
      <c r="N979" s="1477"/>
      <c r="O979" s="1477"/>
      <c r="P979" s="1467"/>
      <c r="Q979" s="581"/>
      <c r="R979" s="581"/>
      <c r="S979" s="581"/>
      <c r="T979" s="581"/>
      <c r="U979" s="581"/>
      <c r="V979" s="581"/>
      <c r="W979" s="1475"/>
      <c r="X979" s="581"/>
      <c r="Y979" s="581"/>
    </row>
    <row r="980">
      <c r="A980" s="581"/>
      <c r="B980" s="1467"/>
      <c r="C980" s="581"/>
      <c r="D980" s="581"/>
      <c r="E980" s="581"/>
      <c r="F980" s="624"/>
      <c r="G980" s="581"/>
      <c r="H980" s="581"/>
      <c r="I980" s="581"/>
      <c r="J980" s="581"/>
      <c r="K980" s="581"/>
      <c r="L980" s="581"/>
      <c r="M980" s="1477"/>
      <c r="N980" s="1477"/>
      <c r="O980" s="1477"/>
      <c r="P980" s="1467"/>
      <c r="Q980" s="581"/>
      <c r="R980" s="581"/>
      <c r="S980" s="581"/>
      <c r="T980" s="581"/>
      <c r="U980" s="581"/>
      <c r="V980" s="581"/>
      <c r="W980" s="1475"/>
      <c r="X980" s="581"/>
      <c r="Y980" s="581"/>
    </row>
    <row r="981">
      <c r="A981" s="581"/>
      <c r="B981" s="1467"/>
      <c r="C981" s="581"/>
      <c r="D981" s="581"/>
      <c r="E981" s="581"/>
      <c r="F981" s="624"/>
      <c r="G981" s="581"/>
      <c r="H981" s="581"/>
      <c r="I981" s="581"/>
      <c r="J981" s="581"/>
      <c r="K981" s="581"/>
      <c r="L981" s="581"/>
      <c r="M981" s="1477"/>
      <c r="N981" s="1477"/>
      <c r="O981" s="1477"/>
      <c r="P981" s="1467"/>
      <c r="Q981" s="581"/>
      <c r="R981" s="581"/>
      <c r="S981" s="581"/>
      <c r="T981" s="581"/>
      <c r="U981" s="581"/>
      <c r="V981" s="581"/>
      <c r="W981" s="1475"/>
      <c r="X981" s="581"/>
      <c r="Y981" s="581"/>
    </row>
    <row r="982">
      <c r="A982" s="581"/>
      <c r="B982" s="1467"/>
      <c r="C982" s="581"/>
      <c r="D982" s="581"/>
      <c r="E982" s="581"/>
      <c r="F982" s="624"/>
      <c r="G982" s="581"/>
      <c r="H982" s="581"/>
      <c r="I982" s="581"/>
      <c r="J982" s="581"/>
      <c r="K982" s="581"/>
      <c r="L982" s="581"/>
      <c r="M982" s="1477"/>
      <c r="N982" s="1477"/>
      <c r="O982" s="1477"/>
      <c r="P982" s="1467"/>
      <c r="Q982" s="581"/>
      <c r="R982" s="581"/>
      <c r="S982" s="581"/>
      <c r="T982" s="581"/>
      <c r="U982" s="581"/>
      <c r="V982" s="581"/>
      <c r="W982" s="1475"/>
      <c r="X982" s="581"/>
      <c r="Y982" s="581"/>
    </row>
    <row r="983">
      <c r="A983" s="581"/>
      <c r="B983" s="1467"/>
      <c r="C983" s="581"/>
      <c r="D983" s="581"/>
      <c r="E983" s="581"/>
      <c r="F983" s="624"/>
      <c r="G983" s="581"/>
      <c r="H983" s="581"/>
      <c r="I983" s="581"/>
      <c r="J983" s="581"/>
      <c r="K983" s="581"/>
      <c r="L983" s="581"/>
      <c r="M983" s="1477"/>
      <c r="N983" s="1477"/>
      <c r="O983" s="1477"/>
      <c r="P983" s="1467"/>
      <c r="Q983" s="581"/>
      <c r="R983" s="581"/>
      <c r="S983" s="581"/>
      <c r="T983" s="581"/>
      <c r="U983" s="581"/>
      <c r="V983" s="581"/>
      <c r="W983" s="1475"/>
      <c r="X983" s="581"/>
      <c r="Y983" s="581"/>
    </row>
    <row r="984">
      <c r="A984" s="581"/>
      <c r="B984" s="1467"/>
      <c r="C984" s="581"/>
      <c r="D984" s="581"/>
      <c r="E984" s="581"/>
      <c r="F984" s="624"/>
      <c r="G984" s="581"/>
      <c r="H984" s="581"/>
      <c r="I984" s="581"/>
      <c r="J984" s="581"/>
      <c r="K984" s="581"/>
      <c r="L984" s="581"/>
      <c r="M984" s="1477"/>
      <c r="N984" s="1477"/>
      <c r="O984" s="1477"/>
      <c r="P984" s="1467"/>
      <c r="Q984" s="581"/>
      <c r="R984" s="581"/>
      <c r="S984" s="581"/>
      <c r="T984" s="581"/>
      <c r="U984" s="581"/>
      <c r="V984" s="581"/>
      <c r="W984" s="1475"/>
      <c r="X984" s="581"/>
      <c r="Y984" s="581"/>
    </row>
    <row r="985">
      <c r="A985" s="581"/>
      <c r="B985" s="1467"/>
      <c r="C985" s="581"/>
      <c r="D985" s="581"/>
      <c r="E985" s="581"/>
      <c r="F985" s="624"/>
      <c r="G985" s="581"/>
      <c r="H985" s="581"/>
      <c r="I985" s="581"/>
      <c r="J985" s="581"/>
      <c r="K985" s="581"/>
      <c r="L985" s="581"/>
      <c r="M985" s="1477"/>
      <c r="N985" s="1477"/>
      <c r="O985" s="1477"/>
      <c r="P985" s="1467"/>
      <c r="Q985" s="581"/>
      <c r="R985" s="581"/>
      <c r="S985" s="581"/>
      <c r="T985" s="581"/>
      <c r="U985" s="581"/>
      <c r="V985" s="581"/>
      <c r="W985" s="1475"/>
      <c r="X985" s="581"/>
      <c r="Y985" s="581"/>
    </row>
    <row r="986">
      <c r="A986" s="581"/>
      <c r="B986" s="1467"/>
      <c r="C986" s="581"/>
      <c r="D986" s="581"/>
      <c r="E986" s="581"/>
      <c r="F986" s="624"/>
      <c r="G986" s="581"/>
      <c r="H986" s="581"/>
      <c r="I986" s="581"/>
      <c r="J986" s="581"/>
      <c r="K986" s="581"/>
      <c r="L986" s="581"/>
      <c r="M986" s="1477"/>
      <c r="N986" s="1477"/>
      <c r="O986" s="1477"/>
      <c r="P986" s="1467"/>
      <c r="Q986" s="581"/>
      <c r="R986" s="581"/>
      <c r="S986" s="581"/>
      <c r="T986" s="581"/>
      <c r="U986" s="581"/>
      <c r="V986" s="581"/>
      <c r="W986" s="1475"/>
      <c r="X986" s="581"/>
      <c r="Y986" s="581"/>
    </row>
    <row r="987">
      <c r="A987" s="581"/>
      <c r="B987" s="1467"/>
      <c r="C987" s="581"/>
      <c r="D987" s="581"/>
      <c r="E987" s="581"/>
      <c r="F987" s="624"/>
      <c r="G987" s="581"/>
      <c r="H987" s="581"/>
      <c r="I987" s="581"/>
      <c r="J987" s="581"/>
      <c r="K987" s="581"/>
      <c r="L987" s="581"/>
      <c r="M987" s="1477"/>
      <c r="N987" s="1477"/>
      <c r="O987" s="1477"/>
      <c r="P987" s="1467"/>
      <c r="Q987" s="581"/>
      <c r="R987" s="581"/>
      <c r="S987" s="581"/>
      <c r="T987" s="581"/>
      <c r="U987" s="581"/>
      <c r="V987" s="581"/>
      <c r="W987" s="1475"/>
      <c r="X987" s="581"/>
      <c r="Y987" s="581"/>
    </row>
    <row r="988">
      <c r="A988" s="581"/>
      <c r="B988" s="1467"/>
      <c r="C988" s="581"/>
      <c r="D988" s="581"/>
      <c r="E988" s="581"/>
      <c r="F988" s="624"/>
      <c r="G988" s="581"/>
      <c r="H988" s="581"/>
      <c r="I988" s="581"/>
      <c r="J988" s="581"/>
      <c r="K988" s="581"/>
      <c r="L988" s="581"/>
      <c r="M988" s="1477"/>
      <c r="N988" s="1477"/>
      <c r="O988" s="1477"/>
      <c r="P988" s="1467"/>
      <c r="Q988" s="581"/>
      <c r="R988" s="581"/>
      <c r="S988" s="581"/>
      <c r="T988" s="581"/>
      <c r="U988" s="581"/>
      <c r="V988" s="581"/>
      <c r="W988" s="1475"/>
      <c r="X988" s="581"/>
      <c r="Y988" s="581"/>
    </row>
    <row r="989">
      <c r="A989" s="581"/>
      <c r="B989" s="1467"/>
      <c r="C989" s="581"/>
      <c r="D989" s="581"/>
      <c r="E989" s="581"/>
      <c r="F989" s="624"/>
      <c r="G989" s="581"/>
      <c r="H989" s="581"/>
      <c r="I989" s="581"/>
      <c r="J989" s="581"/>
      <c r="K989" s="581"/>
      <c r="L989" s="581"/>
      <c r="M989" s="1477"/>
      <c r="N989" s="1477"/>
      <c r="O989" s="1477"/>
      <c r="P989" s="1467"/>
      <c r="Q989" s="581"/>
      <c r="R989" s="581"/>
      <c r="S989" s="581"/>
      <c r="T989" s="581"/>
      <c r="U989" s="581"/>
      <c r="V989" s="581"/>
      <c r="W989" s="1475"/>
      <c r="X989" s="581"/>
      <c r="Y989" s="581"/>
    </row>
    <row r="990">
      <c r="A990" s="581"/>
      <c r="B990" s="1467"/>
      <c r="C990" s="581"/>
      <c r="D990" s="581"/>
      <c r="E990" s="581"/>
      <c r="F990" s="624"/>
      <c r="G990" s="581"/>
      <c r="H990" s="581"/>
      <c r="I990" s="581"/>
      <c r="J990" s="581"/>
      <c r="K990" s="581"/>
      <c r="L990" s="581"/>
      <c r="M990" s="1477"/>
      <c r="N990" s="1477"/>
      <c r="O990" s="1477"/>
      <c r="P990" s="1467"/>
      <c r="Q990" s="581"/>
      <c r="R990" s="581"/>
      <c r="S990" s="581"/>
      <c r="T990" s="581"/>
      <c r="U990" s="581"/>
      <c r="V990" s="581"/>
      <c r="W990" s="1475"/>
      <c r="X990" s="581"/>
      <c r="Y990" s="581"/>
    </row>
    <row r="991">
      <c r="A991" s="581"/>
      <c r="B991" s="1467"/>
      <c r="C991" s="581"/>
      <c r="D991" s="581"/>
      <c r="E991" s="581"/>
      <c r="F991" s="624"/>
      <c r="G991" s="581"/>
      <c r="H991" s="581"/>
      <c r="I991" s="581"/>
      <c r="J991" s="581"/>
      <c r="K991" s="581"/>
      <c r="L991" s="581"/>
      <c r="M991" s="1477"/>
      <c r="N991" s="1477"/>
      <c r="O991" s="1477"/>
      <c r="P991" s="1467"/>
      <c r="Q991" s="581"/>
      <c r="R991" s="581"/>
      <c r="S991" s="581"/>
      <c r="T991" s="581"/>
      <c r="U991" s="581"/>
      <c r="V991" s="581"/>
      <c r="W991" s="1475"/>
      <c r="X991" s="581"/>
      <c r="Y991" s="581"/>
    </row>
    <row r="992">
      <c r="A992" s="581"/>
      <c r="B992" s="1467"/>
      <c r="C992" s="581"/>
      <c r="D992" s="581"/>
      <c r="E992" s="581"/>
      <c r="F992" s="624"/>
      <c r="G992" s="581"/>
      <c r="H992" s="581"/>
      <c r="I992" s="581"/>
      <c r="J992" s="581"/>
      <c r="K992" s="581"/>
      <c r="L992" s="581"/>
      <c r="M992" s="1477"/>
      <c r="N992" s="1477"/>
      <c r="O992" s="1477"/>
      <c r="P992" s="1467"/>
      <c r="Q992" s="581"/>
      <c r="R992" s="581"/>
      <c r="S992" s="581"/>
      <c r="T992" s="581"/>
      <c r="U992" s="581"/>
      <c r="V992" s="581"/>
      <c r="W992" s="1475"/>
      <c r="X992" s="581"/>
      <c r="Y992" s="581"/>
    </row>
    <row r="993">
      <c r="A993" s="581"/>
      <c r="B993" s="1467"/>
      <c r="C993" s="581"/>
      <c r="D993" s="581"/>
      <c r="E993" s="581"/>
      <c r="F993" s="624"/>
      <c r="G993" s="581"/>
      <c r="H993" s="581"/>
      <c r="I993" s="581"/>
      <c r="J993" s="581"/>
      <c r="K993" s="581"/>
      <c r="L993" s="581"/>
      <c r="M993" s="1477"/>
      <c r="N993" s="1477"/>
      <c r="O993" s="1477"/>
      <c r="P993" s="1467"/>
      <c r="Q993" s="581"/>
      <c r="R993" s="581"/>
      <c r="S993" s="581"/>
      <c r="T993" s="581"/>
      <c r="U993" s="581"/>
      <c r="V993" s="581"/>
      <c r="W993" s="1475"/>
      <c r="X993" s="581"/>
      <c r="Y993" s="581"/>
    </row>
    <row r="994">
      <c r="A994" s="581"/>
      <c r="B994" s="1467"/>
      <c r="C994" s="581"/>
      <c r="D994" s="581"/>
      <c r="E994" s="581"/>
      <c r="F994" s="624"/>
      <c r="G994" s="581"/>
      <c r="H994" s="581"/>
      <c r="I994" s="581"/>
      <c r="J994" s="581"/>
      <c r="K994" s="581"/>
      <c r="L994" s="581"/>
      <c r="M994" s="1477"/>
      <c r="N994" s="1477"/>
      <c r="O994" s="1477"/>
      <c r="P994" s="1467"/>
      <c r="Q994" s="581"/>
      <c r="R994" s="581"/>
      <c r="S994" s="581"/>
      <c r="T994" s="581"/>
      <c r="U994" s="581"/>
      <c r="V994" s="581"/>
      <c r="W994" s="1475"/>
      <c r="X994" s="581"/>
      <c r="Y994" s="581"/>
    </row>
    <row r="995">
      <c r="A995" s="581"/>
      <c r="B995" s="1467"/>
      <c r="C995" s="581"/>
      <c r="D995" s="581"/>
      <c r="E995" s="581"/>
      <c r="F995" s="624"/>
      <c r="G995" s="581"/>
      <c r="H995" s="581"/>
      <c r="I995" s="581"/>
      <c r="J995" s="581"/>
      <c r="K995" s="581"/>
      <c r="L995" s="581"/>
      <c r="M995" s="1477"/>
      <c r="N995" s="1477"/>
      <c r="O995" s="1477"/>
      <c r="P995" s="1467"/>
      <c r="Q995" s="581"/>
      <c r="R995" s="581"/>
      <c r="S995" s="581"/>
      <c r="T995" s="581"/>
      <c r="U995" s="581"/>
      <c r="V995" s="581"/>
      <c r="W995" s="1475"/>
      <c r="X995" s="581"/>
      <c r="Y995" s="581"/>
    </row>
    <row r="996">
      <c r="A996" s="581"/>
      <c r="B996" s="1467"/>
      <c r="C996" s="581"/>
      <c r="D996" s="581"/>
      <c r="E996" s="581"/>
      <c r="F996" s="624"/>
      <c r="G996" s="581"/>
      <c r="H996" s="581"/>
      <c r="I996" s="581"/>
      <c r="J996" s="581"/>
      <c r="K996" s="581"/>
      <c r="L996" s="581"/>
      <c r="M996" s="1477"/>
      <c r="N996" s="1477"/>
      <c r="O996" s="1477"/>
      <c r="P996" s="1467"/>
      <c r="Q996" s="581"/>
      <c r="R996" s="581"/>
      <c r="S996" s="581"/>
      <c r="T996" s="581"/>
      <c r="U996" s="581"/>
      <c r="V996" s="581"/>
      <c r="W996" s="1475"/>
      <c r="X996" s="581"/>
      <c r="Y996" s="581"/>
    </row>
    <row r="997">
      <c r="A997" s="581"/>
      <c r="B997" s="1467"/>
      <c r="C997" s="581"/>
      <c r="D997" s="581"/>
      <c r="E997" s="581"/>
      <c r="F997" s="624"/>
      <c r="G997" s="581"/>
      <c r="H997" s="581"/>
      <c r="I997" s="581"/>
      <c r="J997" s="581"/>
      <c r="K997" s="581"/>
      <c r="L997" s="581"/>
      <c r="M997" s="1477"/>
      <c r="N997" s="1477"/>
      <c r="O997" s="1477"/>
      <c r="P997" s="1467"/>
      <c r="Q997" s="581"/>
      <c r="R997" s="581"/>
      <c r="S997" s="581"/>
      <c r="T997" s="581"/>
      <c r="U997" s="581"/>
      <c r="V997" s="581"/>
      <c r="W997" s="1475"/>
      <c r="X997" s="581"/>
      <c r="Y997" s="581"/>
    </row>
    <row r="998">
      <c r="A998" s="581"/>
      <c r="B998" s="1467"/>
      <c r="C998" s="581"/>
      <c r="D998" s="581"/>
      <c r="E998" s="581"/>
      <c r="F998" s="624"/>
      <c r="G998" s="581"/>
      <c r="H998" s="581"/>
      <c r="I998" s="581"/>
      <c r="J998" s="581"/>
      <c r="K998" s="581"/>
      <c r="L998" s="581"/>
      <c r="M998" s="1477"/>
      <c r="N998" s="1477"/>
      <c r="O998" s="1477"/>
      <c r="P998" s="1467"/>
      <c r="Q998" s="581"/>
      <c r="R998" s="581"/>
      <c r="S998" s="581"/>
      <c r="T998" s="581"/>
      <c r="U998" s="581"/>
      <c r="V998" s="581"/>
      <c r="W998" s="1475"/>
      <c r="X998" s="581"/>
      <c r="Y998" s="581"/>
    </row>
    <row r="999">
      <c r="A999" s="581"/>
      <c r="B999" s="1467"/>
      <c r="C999" s="581"/>
      <c r="D999" s="581"/>
      <c r="E999" s="581"/>
      <c r="F999" s="624"/>
      <c r="G999" s="581"/>
      <c r="H999" s="581"/>
      <c r="I999" s="581"/>
      <c r="J999" s="581"/>
      <c r="K999" s="581"/>
      <c r="L999" s="581"/>
      <c r="M999" s="1477"/>
      <c r="N999" s="1477"/>
      <c r="O999" s="1477"/>
      <c r="P999" s="1467"/>
      <c r="Q999" s="581"/>
      <c r="R999" s="581"/>
      <c r="S999" s="581"/>
      <c r="T999" s="581"/>
      <c r="U999" s="581"/>
      <c r="V999" s="581"/>
      <c r="W999" s="1475"/>
      <c r="X999" s="581"/>
      <c r="Y999" s="581"/>
    </row>
    <row r="1000">
      <c r="A1000" s="581"/>
      <c r="B1000" s="1467"/>
      <c r="C1000" s="581"/>
      <c r="D1000" s="581"/>
      <c r="E1000" s="581"/>
      <c r="F1000" s="624"/>
      <c r="G1000" s="581"/>
      <c r="H1000" s="581"/>
      <c r="I1000" s="581"/>
      <c r="J1000" s="581"/>
      <c r="K1000" s="581"/>
      <c r="L1000" s="581"/>
      <c r="M1000" s="1477"/>
      <c r="N1000" s="1477"/>
      <c r="O1000" s="1477"/>
      <c r="P1000" s="1467"/>
      <c r="Q1000" s="581"/>
      <c r="R1000" s="581"/>
      <c r="S1000" s="581"/>
      <c r="T1000" s="581"/>
      <c r="U1000" s="581"/>
      <c r="V1000" s="581"/>
      <c r="W1000" s="1475"/>
      <c r="X1000" s="581"/>
      <c r="Y1000" s="581"/>
    </row>
  </sheetData>
  <drawing r:id="rId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5.13" defaultRowHeight="15.75"/>
  <cols>
    <col customWidth="1" min="1" max="1" width="7.63"/>
    <col customWidth="1" min="2" max="2" width="11.0"/>
    <col customWidth="1" min="3" max="10" width="7.75"/>
    <col customWidth="1" min="11" max="11" width="11.88"/>
    <col customWidth="1" min="12" max="12" width="29.38"/>
    <col customWidth="1" min="13" max="13" width="1.88"/>
    <col customWidth="1" min="14" max="14" width="7.63"/>
    <col customWidth="1" min="15" max="15" width="11.0"/>
    <col customWidth="1" min="16" max="23" width="7.75"/>
    <col customWidth="1" min="24" max="24" width="27.5"/>
    <col customWidth="1" min="25" max="25" width="43.88"/>
    <col customWidth="1" min="26" max="26" width="1.88"/>
    <col customWidth="1" min="27" max="27" width="11.75"/>
    <col customWidth="1" min="28" max="28" width="8.63"/>
    <col customWidth="1" min="29" max="29" width="11.75"/>
    <col customWidth="1" min="30" max="34" width="8.63"/>
    <col customWidth="1" min="35" max="35" width="1.88"/>
    <col customWidth="1" min="36" max="37" width="15.75"/>
  </cols>
  <sheetData>
    <row r="1">
      <c r="A1" s="1478" t="s">
        <v>118</v>
      </c>
      <c r="B1" s="611"/>
      <c r="C1" s="611"/>
      <c r="D1" s="611"/>
      <c r="E1" s="611"/>
      <c r="F1" s="611"/>
      <c r="G1" s="611"/>
      <c r="H1" s="611"/>
      <c r="I1" s="611"/>
      <c r="J1" s="611"/>
      <c r="K1" s="611"/>
      <c r="L1" s="111"/>
      <c r="M1" s="1479"/>
      <c r="N1" s="1480" t="s">
        <v>1050</v>
      </c>
      <c r="O1" s="611"/>
      <c r="P1" s="611"/>
      <c r="Q1" s="611"/>
      <c r="R1" s="611"/>
      <c r="S1" s="611"/>
      <c r="T1" s="611"/>
      <c r="U1" s="611"/>
      <c r="V1" s="611"/>
      <c r="W1" s="611"/>
      <c r="X1" s="611"/>
      <c r="Y1" s="111"/>
      <c r="Z1" s="1481"/>
      <c r="AA1" s="1482" t="s">
        <v>1051</v>
      </c>
      <c r="AB1" s="170"/>
      <c r="AC1" s="170"/>
      <c r="AD1" s="170"/>
      <c r="AE1" s="170"/>
      <c r="AF1" s="170"/>
      <c r="AG1" s="170"/>
      <c r="AH1" s="318"/>
      <c r="AI1" s="1483"/>
      <c r="AJ1" s="1482" t="s">
        <v>1052</v>
      </c>
      <c r="AK1" s="318"/>
    </row>
    <row r="2">
      <c r="A2" s="1484">
        <f>COUNTIF(A4:A754,"?*")</f>
        <v>0</v>
      </c>
      <c r="B2" s="1484">
        <v>2.0</v>
      </c>
      <c r="C2" s="1484">
        <v>3.0</v>
      </c>
      <c r="D2" s="1484">
        <v>4.0</v>
      </c>
      <c r="E2" s="1484">
        <v>5.0</v>
      </c>
      <c r="F2" s="1484">
        <v>6.0</v>
      </c>
      <c r="G2" s="1484">
        <v>7.0</v>
      </c>
      <c r="H2" s="1485">
        <v>8.0</v>
      </c>
      <c r="I2" s="1484">
        <v>9.0</v>
      </c>
      <c r="J2" s="1486">
        <v>10.0</v>
      </c>
      <c r="K2" s="1487">
        <f>MATCH("ativo",portfolio.!$A$3:AK$3,0)</f>
        <v>1</v>
      </c>
      <c r="L2" s="1397">
        <v>12.0</v>
      </c>
      <c r="M2" s="1479"/>
      <c r="N2" s="1484">
        <f>COUNTIF(N4:N754,"?*")</f>
        <v>0</v>
      </c>
      <c r="O2" s="1488">
        <v>2.0</v>
      </c>
      <c r="P2" s="1488">
        <v>3.0</v>
      </c>
      <c r="Q2" s="1488">
        <v>4.0</v>
      </c>
      <c r="R2" s="1489">
        <v>5.0</v>
      </c>
      <c r="S2" s="1487">
        <v>6.0</v>
      </c>
      <c r="T2" s="1487">
        <v>7.0</v>
      </c>
      <c r="U2" s="1487">
        <v>8.0</v>
      </c>
      <c r="V2" s="1487">
        <v>9.0</v>
      </c>
      <c r="W2" s="1487">
        <v>10.0</v>
      </c>
      <c r="X2" s="1487">
        <v>11.0</v>
      </c>
      <c r="Y2" s="1397">
        <v>12.0</v>
      </c>
      <c r="Z2" s="1481"/>
      <c r="AA2" s="505" t="s">
        <v>1053</v>
      </c>
      <c r="AB2" s="50"/>
      <c r="AC2" s="51"/>
      <c r="AD2" s="482"/>
      <c r="AE2" s="505" t="s">
        <v>255</v>
      </c>
      <c r="AF2" s="50"/>
      <c r="AG2" s="51"/>
      <c r="AH2" s="496"/>
      <c r="AI2" s="1483"/>
      <c r="AJ2" s="482" t="s">
        <v>1054</v>
      </c>
      <c r="AK2" s="1490"/>
    </row>
    <row r="3">
      <c r="A3" s="94" t="s">
        <v>206</v>
      </c>
      <c r="B3" s="94" t="s">
        <v>295</v>
      </c>
      <c r="C3" s="1491" t="s">
        <v>268</v>
      </c>
      <c r="D3" s="1491" t="s">
        <v>1055</v>
      </c>
      <c r="E3" s="1491" t="s">
        <v>1056</v>
      </c>
      <c r="F3" s="1491" t="s">
        <v>1057</v>
      </c>
      <c r="G3" s="1491" t="s">
        <v>1058</v>
      </c>
      <c r="H3" s="1492" t="s">
        <v>1059</v>
      </c>
      <c r="I3" s="1491" t="s">
        <v>939</v>
      </c>
      <c r="J3" s="1491" t="s">
        <v>1060</v>
      </c>
      <c r="K3" s="1493" t="s">
        <v>1061</v>
      </c>
      <c r="L3" s="1491" t="s">
        <v>1062</v>
      </c>
      <c r="M3" s="1494"/>
      <c r="N3" s="1493" t="s">
        <v>206</v>
      </c>
      <c r="O3" s="1495" t="s">
        <v>295</v>
      </c>
      <c r="P3" s="1495" t="s">
        <v>268</v>
      </c>
      <c r="Q3" s="1496" t="s">
        <v>1055</v>
      </c>
      <c r="R3" s="1496" t="s">
        <v>1056</v>
      </c>
      <c r="S3" s="1493" t="s">
        <v>1057</v>
      </c>
      <c r="T3" s="1491" t="s">
        <v>1058</v>
      </c>
      <c r="U3" s="1497" t="s">
        <v>1059</v>
      </c>
      <c r="V3" s="1493" t="s">
        <v>939</v>
      </c>
      <c r="W3" s="1491" t="s">
        <v>1060</v>
      </c>
      <c r="X3" s="1493" t="s">
        <v>1061</v>
      </c>
      <c r="Y3" s="1491" t="s">
        <v>1062</v>
      </c>
      <c r="Z3" s="1498"/>
      <c r="AA3" s="325" t="s">
        <v>118</v>
      </c>
      <c r="AB3" s="325" t="s">
        <v>1063</v>
      </c>
      <c r="AC3" s="325" t="s">
        <v>197</v>
      </c>
      <c r="AD3" s="325" t="s">
        <v>1064</v>
      </c>
      <c r="AE3" s="326" t="s">
        <v>255</v>
      </c>
      <c r="AF3" s="326" t="s">
        <v>1065</v>
      </c>
      <c r="AG3" s="326" t="s">
        <v>197</v>
      </c>
      <c r="AH3" s="326" t="s">
        <v>1066</v>
      </c>
      <c r="AI3" s="1499"/>
      <c r="AJ3" s="482" t="s">
        <v>1067</v>
      </c>
      <c r="AK3" s="1500"/>
    </row>
    <row r="4">
      <c r="A4" s="499" t="str">
        <f>IFERROR(__xludf.DUMMYFUNCTION("IFERROR(QUERY({CarteirasMatrizAtivosCompleta1;CarteirasMatrizAtivosCompleta2;CarteirasMatrizAtivosCompleta3;CarteirasMatrizAtivosCompleta4;CarteirasMatrizAtivosCompleta5;CarteirasMatrizAtivosCompleta6;CarteirasMatrizAtivosCompleta7;CarteirasMatrizAtivosCo"&amp;"mpleta8;CarteirasMatrizAtivosCompleta9;CarteirasMatrizAtivosCompleta10;CarteirasMatrizAtivosCompleta11;CarteirasMatrizAtivosCompleta12;CarteirasMatrizAtivosCompleta13;CarteirasMatrizAtivosCompleta14;CarteirasMatrizAtivosCompleta15},""select Col3, Col13, C"&amp;"ol2, Col5, Col6, Col7, Col8,Col10,Col11 where Col3 is not null and Col2 is not null"",0))"),"")</f>
        <v/>
      </c>
      <c r="B4" s="1501"/>
      <c r="C4" s="1502"/>
      <c r="D4" s="1503"/>
      <c r="E4" s="1503"/>
      <c r="F4" s="1504"/>
      <c r="G4" s="1504"/>
      <c r="H4" s="483"/>
      <c r="I4" s="1505"/>
      <c r="J4" s="1506" t="str">
        <f t="array" ref="J4:J754">IF(A4:A754="","","SIM")</f>
        <v/>
      </c>
      <c r="K4" s="1506"/>
      <c r="L4" s="1506"/>
      <c r="M4" s="1479"/>
      <c r="N4" s="1503" t="str">
        <f>IFERROR(__xludf.DUMMYFUNCTION("IFERROR(QUERY({CarteirasMatrizAtivosCompleta1;CarteirasMatrizAtivosCompleta2;CarteirasMatrizAtivosCompleta3;CarteirasMatrizAtivosCompleta4;CarteirasMatrizAtivosCompleta5;CarteirasMatrizAtivosCompleta6;CarteirasMatrizAtivosCompleta7;CarteirasMatrizAtivosCo"&amp;"mpleta8;CarteirasMatrizAtivosCompleta9;CarteirasMatrizAtivosCompleta10;CarteirasMatrizAtivosCompleta11;CarteirasMatrizAtivosCompleta12;CarteirasMatrizAtivosCompleta13;CarteirasMatrizAtivosCompleta14;CarteirasMatrizAtivosCompleta15},""select Col3, Col13, C"&amp;"ol2, Col5, Col6, Col7, Col8, Col10,Col11 where Col3 is not null and Col2 is null"",0))"),"")</f>
        <v/>
      </c>
      <c r="O4" s="1503"/>
      <c r="P4" s="1507"/>
      <c r="Q4" s="1508"/>
      <c r="R4" s="1508"/>
      <c r="S4" s="1504"/>
      <c r="T4" s="1504"/>
      <c r="U4" s="483"/>
      <c r="V4" s="1505"/>
      <c r="W4" s="1506" t="str">
        <f t="array" ref="W4:W754">IF(N4:N754="","",IF(IFERROR(VLOOKUP(N4:N754,AtivosDados,MATCH("ativo",portfolio.!A3:AK3,0),FALSE),"")=N4:N754,IF(IFERROR(VLOOKUP(N4:N754,A4:A754,1,FALSE),"")=N4:N754,"NÃO","SIM"),"NÃO"))</f>
        <v/>
      </c>
      <c r="X4" s="1506"/>
      <c r="Y4" s="1506"/>
      <c r="Z4" s="1481"/>
      <c r="AA4" s="499"/>
      <c r="AB4" s="499"/>
      <c r="AC4" s="499"/>
      <c r="AD4" s="499"/>
      <c r="AE4" s="499">
        <f>COUNTA(AE5:AE20) - 1</f>
        <v>0</v>
      </c>
      <c r="AF4" s="499"/>
      <c r="AG4" s="499"/>
      <c r="AH4" s="499">
        <f>counta(AtivosLista)</f>
        <v>0</v>
      </c>
      <c r="AI4" s="1483"/>
      <c r="AJ4" s="482" t="s">
        <v>1068</v>
      </c>
      <c r="AK4" s="1500"/>
    </row>
    <row r="5">
      <c r="A5" s="499"/>
      <c r="B5" s="1509"/>
      <c r="C5" s="1502"/>
      <c r="D5" s="1503"/>
      <c r="E5" s="1503"/>
      <c r="F5" s="1504"/>
      <c r="G5" s="1504"/>
      <c r="H5" s="483"/>
      <c r="I5" s="1505"/>
      <c r="J5" s="1506" t="s">
        <v>123</v>
      </c>
      <c r="K5" s="1506"/>
      <c r="L5" s="1506"/>
      <c r="M5" s="1479"/>
      <c r="N5" s="1503"/>
      <c r="O5" s="1503"/>
      <c r="P5" s="1507"/>
      <c r="Q5" s="1508"/>
      <c r="R5" s="1508"/>
      <c r="S5" s="1504"/>
      <c r="T5" s="1504"/>
      <c r="U5" s="483"/>
      <c r="V5" s="1505"/>
      <c r="W5" s="1506" t="s">
        <v>123</v>
      </c>
      <c r="X5" s="1506"/>
      <c r="Y5" s="1506"/>
      <c r="Z5" s="1481"/>
      <c r="AA5" s="1510" t="s">
        <v>1069</v>
      </c>
      <c r="AB5" s="1510" t="s">
        <v>1070</v>
      </c>
      <c r="AC5" s="1511"/>
      <c r="AD5" s="1511"/>
      <c r="AE5" s="487" t="str">
        <f>AA5</f>
        <v>TODAS AS CARTEIRAS</v>
      </c>
      <c r="AF5" s="487" t="s">
        <v>1071</v>
      </c>
      <c r="AG5" s="487"/>
      <c r="AH5" s="487" t="str">
        <f>IFERROR(__xludf.DUMMYFUNCTION("IFERROR(unique(filter(portfolio.!A4:A754,portfolio.!A4:A754&lt;&gt;"""")))"),"")</f>
        <v/>
      </c>
      <c r="AI5" s="1483"/>
      <c r="AJ5" s="482" t="s">
        <v>1072</v>
      </c>
      <c r="AK5" s="1512"/>
    </row>
    <row r="6">
      <c r="A6" s="499"/>
      <c r="B6" s="1509"/>
      <c r="C6" s="1502"/>
      <c r="D6" s="1503"/>
      <c r="E6" s="1503"/>
      <c r="F6" s="1504"/>
      <c r="G6" s="1504"/>
      <c r="H6" s="483"/>
      <c r="I6" s="1505"/>
      <c r="J6" s="1506" t="s">
        <v>123</v>
      </c>
      <c r="K6" s="1506"/>
      <c r="L6" s="1506"/>
      <c r="M6" s="1479"/>
      <c r="N6" s="1503"/>
      <c r="O6" s="1503"/>
      <c r="P6" s="1507"/>
      <c r="Q6" s="1508"/>
      <c r="R6" s="1508"/>
      <c r="S6" s="1504"/>
      <c r="T6" s="1504"/>
      <c r="U6" s="483"/>
      <c r="V6" s="1505"/>
      <c r="W6" s="1506" t="s">
        <v>123</v>
      </c>
      <c r="X6" s="1506"/>
      <c r="Y6" s="1506"/>
      <c r="Z6" s="1513">
        <v>1.0</v>
      </c>
      <c r="AA6" s="499" t="str">
        <f t="array" ref="AA6:AA20">{CarteirasNome1;CarteirasNome2;CarteirasNome3;CarteirasNome4;CarteirasNome5;CarteirasNome6;CarteirasNome7;CarteirasNome8;CarteirasNome9;CarteirasNome10;CarteirasNome11;CarteirasNome12;CarteirasNome13;CarteirasNome14;CarteirasNome15}</f>
        <v/>
      </c>
      <c r="AB6" s="499" t="str">
        <f t="array" ref="AB6:AB20">{CarteirasNomeAbreviado1;CarteirasNomeAbreviado2;CarteirasNomeAbreviado3;CarteirasNomeAbreviado4;CarteirasNomeAbreviado5;CarteirasNomeAbreviado6;CarteirasNomeAbreviado7;CarteirasNomeAbreviado8;CarteirasNomeAbreviado9;CarteirasNomeAbreviado10;CarteirasNomeAbreviado11;CarteirasNomeAbreviado12;CarteirasNomeAbreviado13;CarteirasNomeAbreviado14;CarteirasNomeAbreviado15}</f>
        <v/>
      </c>
      <c r="AC6" s="499" t="str">
        <f t="array" ref="AC6:AC20">{CarteirasPerfil1;CarteirasPerfil2;CarteirasPerfil3;CarteirasPerfil4;CarteirasPerfil5;CarteirasPerfil6;CarteirasPerfil7;CarteirasPerfil8;CarteirasPerfil9;CarteirasPerfil10;CarteirasPerfil11;CarteirasPerfil12;CarteirasPerfil13;CarteirasPerfil14;CarteirasPerfil15}</f>
        <v/>
      </c>
      <c r="AD6" s="487" t="b">
        <f t="array" ref="AD6:AD20">if(config.carteiras!B9:B23,if(AA6:AA20&lt;&gt;"",true,false))</f>
        <v>0</v>
      </c>
      <c r="AE6" s="487" t="str">
        <f>IFERROR(__xludf.DUMMYFUNCTION("IFERROR(FILTER(AA5:AA20,AD5:AD20))"),"")</f>
        <v/>
      </c>
      <c r="AF6" s="1511" t="str">
        <f>IFERROR(__xludf.DUMMYFUNCTION("IFERROR(FILTER(AB6:AB20,AD6:AD20))"),"")</f>
        <v/>
      </c>
      <c r="AG6" s="487" t="str">
        <f>IFERROR(__xludf.DUMMYFUNCTION("IFERROR(FILTER(AC6:AC20,AD6:AD20))"),"")</f>
        <v/>
      </c>
      <c r="AH6" s="487"/>
      <c r="AI6" s="1483"/>
      <c r="AJ6" s="482"/>
      <c r="AK6" s="1500"/>
    </row>
    <row r="7">
      <c r="A7" s="499"/>
      <c r="B7" s="1509"/>
      <c r="C7" s="1502"/>
      <c r="D7" s="1503"/>
      <c r="E7" s="1503"/>
      <c r="F7" s="1504"/>
      <c r="G7" s="1504"/>
      <c r="H7" s="483"/>
      <c r="I7" s="1505"/>
      <c r="J7" s="1506" t="s">
        <v>123</v>
      </c>
      <c r="K7" s="1506"/>
      <c r="L7" s="1506"/>
      <c r="M7" s="1479"/>
      <c r="N7" s="1503"/>
      <c r="O7" s="1503"/>
      <c r="P7" s="1507"/>
      <c r="Q7" s="1508"/>
      <c r="R7" s="1508"/>
      <c r="S7" s="1504"/>
      <c r="T7" s="1504"/>
      <c r="U7" s="483"/>
      <c r="V7" s="1505"/>
      <c r="W7" s="1506" t="s">
        <v>123</v>
      </c>
      <c r="X7" s="1506"/>
      <c r="Y7" s="1506"/>
      <c r="Z7" s="1513">
        <v>2.0</v>
      </c>
      <c r="AA7" s="1510"/>
      <c r="AB7" s="1510"/>
      <c r="AC7" s="1511"/>
      <c r="AD7" s="487" t="b">
        <v>0</v>
      </c>
      <c r="AE7" s="487"/>
      <c r="AF7" s="487"/>
      <c r="AG7" s="487"/>
      <c r="AH7" s="487"/>
      <c r="AI7" s="1483"/>
    </row>
    <row r="8">
      <c r="A8" s="499"/>
      <c r="B8" s="1509"/>
      <c r="C8" s="1502"/>
      <c r="D8" s="1503"/>
      <c r="E8" s="1503"/>
      <c r="F8" s="1504"/>
      <c r="G8" s="1504"/>
      <c r="H8" s="483"/>
      <c r="I8" s="1505"/>
      <c r="J8" s="1506" t="s">
        <v>123</v>
      </c>
      <c r="K8" s="1506"/>
      <c r="L8" s="1506"/>
      <c r="M8" s="1479"/>
      <c r="N8" s="1503"/>
      <c r="O8" s="1503"/>
      <c r="P8" s="1507"/>
      <c r="Q8" s="1508"/>
      <c r="R8" s="1508"/>
      <c r="S8" s="1504"/>
      <c r="T8" s="1504"/>
      <c r="U8" s="483"/>
      <c r="V8" s="1505"/>
      <c r="W8" s="1506" t="s">
        <v>123</v>
      </c>
      <c r="X8" s="1506"/>
      <c r="Y8" s="1506"/>
      <c r="Z8" s="1513">
        <v>3.0</v>
      </c>
      <c r="AA8" s="1510"/>
      <c r="AB8" s="1510"/>
      <c r="AC8" s="1511"/>
      <c r="AD8" s="487" t="b">
        <v>0</v>
      </c>
      <c r="AE8" s="1511"/>
      <c r="AF8" s="1511"/>
      <c r="AG8" s="487"/>
      <c r="AH8" s="487"/>
      <c r="AI8" s="1483"/>
    </row>
    <row r="9">
      <c r="A9" s="499"/>
      <c r="B9" s="1509"/>
      <c r="C9" s="1502"/>
      <c r="D9" s="1503"/>
      <c r="E9" s="1503"/>
      <c r="F9" s="1504"/>
      <c r="G9" s="1504"/>
      <c r="H9" s="483"/>
      <c r="I9" s="1505"/>
      <c r="J9" s="1506" t="s">
        <v>123</v>
      </c>
      <c r="K9" s="1506"/>
      <c r="L9" s="1506"/>
      <c r="M9" s="1479"/>
      <c r="N9" s="1503"/>
      <c r="O9" s="1503"/>
      <c r="P9" s="1507"/>
      <c r="Q9" s="1508"/>
      <c r="R9" s="1508"/>
      <c r="S9" s="1504"/>
      <c r="T9" s="1504"/>
      <c r="U9" s="483"/>
      <c r="V9" s="1505"/>
      <c r="W9" s="1506" t="s">
        <v>123</v>
      </c>
      <c r="X9" s="1506"/>
      <c r="Y9" s="1506"/>
      <c r="Z9" s="1513">
        <v>4.0</v>
      </c>
      <c r="AA9" s="1510"/>
      <c r="AB9" s="1510"/>
      <c r="AC9" s="1511"/>
      <c r="AD9" s="487" t="b">
        <v>0</v>
      </c>
      <c r="AE9" s="1511"/>
      <c r="AF9" s="1511"/>
      <c r="AG9" s="487"/>
      <c r="AH9" s="487"/>
      <c r="AI9" s="1483"/>
    </row>
    <row r="10">
      <c r="A10" s="499"/>
      <c r="B10" s="1509"/>
      <c r="C10" s="1502"/>
      <c r="D10" s="1503"/>
      <c r="E10" s="1503"/>
      <c r="F10" s="1504"/>
      <c r="G10" s="1504"/>
      <c r="H10" s="483"/>
      <c r="I10" s="1505"/>
      <c r="J10" s="1506" t="s">
        <v>123</v>
      </c>
      <c r="K10" s="1506"/>
      <c r="L10" s="1506"/>
      <c r="M10" s="1479"/>
      <c r="N10" s="1503"/>
      <c r="O10" s="1503"/>
      <c r="P10" s="1507"/>
      <c r="Q10" s="1508"/>
      <c r="R10" s="1508"/>
      <c r="S10" s="1504"/>
      <c r="T10" s="1504"/>
      <c r="U10" s="483"/>
      <c r="V10" s="1505"/>
      <c r="W10" s="1506" t="s">
        <v>123</v>
      </c>
      <c r="X10" s="1506"/>
      <c r="Y10" s="1506"/>
      <c r="Z10" s="1513">
        <v>5.0</v>
      </c>
      <c r="AA10" s="1510"/>
      <c r="AB10" s="1510"/>
      <c r="AC10" s="1511"/>
      <c r="AD10" s="487" t="b">
        <v>0</v>
      </c>
      <c r="AE10" s="1511"/>
      <c r="AF10" s="1511"/>
      <c r="AG10" s="487"/>
      <c r="AH10" s="487"/>
      <c r="AI10" s="1483"/>
    </row>
    <row r="11">
      <c r="A11" s="499"/>
      <c r="B11" s="1509"/>
      <c r="C11" s="1502"/>
      <c r="D11" s="1503"/>
      <c r="E11" s="1503"/>
      <c r="F11" s="1504"/>
      <c r="G11" s="1504"/>
      <c r="H11" s="483"/>
      <c r="I11" s="1505"/>
      <c r="J11" s="1506" t="s">
        <v>123</v>
      </c>
      <c r="K11" s="1506"/>
      <c r="L11" s="1506"/>
      <c r="M11" s="1479"/>
      <c r="N11" s="1503"/>
      <c r="O11" s="1503"/>
      <c r="P11" s="1507"/>
      <c r="Q11" s="1508"/>
      <c r="R11" s="1508"/>
      <c r="S11" s="1504"/>
      <c r="T11" s="1504"/>
      <c r="U11" s="483"/>
      <c r="V11" s="1505"/>
      <c r="W11" s="1506" t="s">
        <v>123</v>
      </c>
      <c r="X11" s="1506"/>
      <c r="Y11" s="1506"/>
      <c r="Z11" s="1513">
        <v>6.0</v>
      </c>
      <c r="AA11" s="1510"/>
      <c r="AB11" s="1510"/>
      <c r="AC11" s="1511"/>
      <c r="AD11" s="1511" t="b">
        <v>0</v>
      </c>
      <c r="AE11" s="1511"/>
      <c r="AF11" s="1511"/>
      <c r="AG11" s="487"/>
      <c r="AH11" s="487"/>
      <c r="AI11" s="1483"/>
    </row>
    <row r="12">
      <c r="A12" s="499"/>
      <c r="B12" s="1509"/>
      <c r="C12" s="1502"/>
      <c r="D12" s="1503"/>
      <c r="E12" s="1503"/>
      <c r="F12" s="1504"/>
      <c r="G12" s="1504"/>
      <c r="H12" s="483"/>
      <c r="I12" s="1505"/>
      <c r="J12" s="1506" t="s">
        <v>123</v>
      </c>
      <c r="K12" s="1506"/>
      <c r="L12" s="1506"/>
      <c r="M12" s="1479"/>
      <c r="N12" s="1503"/>
      <c r="O12" s="1503"/>
      <c r="P12" s="1507"/>
      <c r="Q12" s="1508"/>
      <c r="R12" s="1508"/>
      <c r="S12" s="1504"/>
      <c r="T12" s="1504"/>
      <c r="U12" s="483"/>
      <c r="V12" s="1505"/>
      <c r="W12" s="1506" t="s">
        <v>123</v>
      </c>
      <c r="X12" s="1506"/>
      <c r="Y12" s="1506"/>
      <c r="Z12" s="1513">
        <v>7.0</v>
      </c>
      <c r="AA12" s="1510"/>
      <c r="AB12" s="1510"/>
      <c r="AC12" s="1511"/>
      <c r="AD12" s="1511" t="b">
        <v>0</v>
      </c>
      <c r="AE12" s="1511"/>
      <c r="AF12" s="1511"/>
      <c r="AG12" s="487"/>
      <c r="AH12" s="487"/>
      <c r="AI12" s="1483"/>
      <c r="AJ12" s="1514"/>
      <c r="AK12" s="1514"/>
    </row>
    <row r="13">
      <c r="A13" s="499"/>
      <c r="B13" s="1509"/>
      <c r="C13" s="1502"/>
      <c r="D13" s="1503"/>
      <c r="E13" s="1503"/>
      <c r="F13" s="1504"/>
      <c r="G13" s="1504"/>
      <c r="H13" s="483"/>
      <c r="I13" s="1505"/>
      <c r="J13" s="1506" t="s">
        <v>123</v>
      </c>
      <c r="K13" s="1506"/>
      <c r="L13" s="1506"/>
      <c r="M13" s="1479"/>
      <c r="N13" s="1503"/>
      <c r="O13" s="1503"/>
      <c r="P13" s="1507"/>
      <c r="Q13" s="1508"/>
      <c r="R13" s="1508"/>
      <c r="S13" s="1504"/>
      <c r="T13" s="1504"/>
      <c r="U13" s="483"/>
      <c r="V13" s="1505"/>
      <c r="W13" s="1506" t="s">
        <v>123</v>
      </c>
      <c r="X13" s="1506"/>
      <c r="Y13" s="1506"/>
      <c r="Z13" s="1513">
        <v>8.0</v>
      </c>
      <c r="AA13" s="1510"/>
      <c r="AB13" s="1510"/>
      <c r="AC13" s="1511"/>
      <c r="AD13" s="1511" t="b">
        <v>0</v>
      </c>
      <c r="AE13" s="1511"/>
      <c r="AF13" s="1511"/>
      <c r="AG13" s="487"/>
      <c r="AH13" s="487"/>
      <c r="AI13" s="1483"/>
      <c r="AJ13" s="1514"/>
      <c r="AK13" s="1514"/>
    </row>
    <row r="14">
      <c r="A14" s="499"/>
      <c r="B14" s="1509"/>
      <c r="C14" s="1502"/>
      <c r="D14" s="1503"/>
      <c r="E14" s="1503"/>
      <c r="F14" s="1504"/>
      <c r="G14" s="1504"/>
      <c r="H14" s="483"/>
      <c r="I14" s="1505"/>
      <c r="J14" s="1506" t="s">
        <v>123</v>
      </c>
      <c r="K14" s="1506"/>
      <c r="L14" s="1506"/>
      <c r="M14" s="1479"/>
      <c r="N14" s="1503"/>
      <c r="O14" s="1503"/>
      <c r="P14" s="1507"/>
      <c r="Q14" s="1508"/>
      <c r="R14" s="1508"/>
      <c r="S14" s="1504"/>
      <c r="T14" s="1504"/>
      <c r="U14" s="483"/>
      <c r="V14" s="1505"/>
      <c r="W14" s="1506" t="s">
        <v>123</v>
      </c>
      <c r="X14" s="1506"/>
      <c r="Y14" s="1506"/>
      <c r="Z14" s="1513">
        <v>9.0</v>
      </c>
      <c r="AA14" s="1510"/>
      <c r="AB14" s="1510"/>
      <c r="AC14" s="1511"/>
      <c r="AD14" s="1511" t="b">
        <v>0</v>
      </c>
      <c r="AE14" s="1511"/>
      <c r="AF14" s="1511"/>
      <c r="AG14" s="487"/>
      <c r="AH14" s="487"/>
      <c r="AI14" s="1483"/>
      <c r="AJ14" s="1514"/>
      <c r="AK14" s="1514"/>
    </row>
    <row r="15">
      <c r="A15" s="499"/>
      <c r="B15" s="1509"/>
      <c r="C15" s="1502"/>
      <c r="D15" s="1503"/>
      <c r="E15" s="1503"/>
      <c r="F15" s="1504"/>
      <c r="G15" s="1504"/>
      <c r="H15" s="483"/>
      <c r="I15" s="1505"/>
      <c r="J15" s="1506" t="s">
        <v>123</v>
      </c>
      <c r="K15" s="1506"/>
      <c r="L15" s="1506"/>
      <c r="M15" s="1479"/>
      <c r="N15" s="1503"/>
      <c r="O15" s="1503"/>
      <c r="P15" s="1507"/>
      <c r="Q15" s="1508"/>
      <c r="R15" s="1508"/>
      <c r="S15" s="1504"/>
      <c r="T15" s="1504"/>
      <c r="U15" s="483"/>
      <c r="V15" s="1505"/>
      <c r="W15" s="1506" t="s">
        <v>123</v>
      </c>
      <c r="X15" s="1506"/>
      <c r="Y15" s="1506"/>
      <c r="Z15" s="1513">
        <v>10.0</v>
      </c>
      <c r="AA15" s="1510"/>
      <c r="AB15" s="1510"/>
      <c r="AC15" s="1511"/>
      <c r="AD15" s="1511" t="b">
        <v>0</v>
      </c>
      <c r="AE15" s="499"/>
      <c r="AF15" s="499"/>
      <c r="AG15" s="487"/>
      <c r="AH15" s="487"/>
      <c r="AI15" s="1483"/>
      <c r="AJ15" s="1514"/>
      <c r="AK15" s="1514"/>
    </row>
    <row r="16">
      <c r="A16" s="499"/>
      <c r="B16" s="1509"/>
      <c r="C16" s="1502"/>
      <c r="D16" s="1503"/>
      <c r="E16" s="1503"/>
      <c r="F16" s="1504"/>
      <c r="G16" s="1504"/>
      <c r="H16" s="483"/>
      <c r="I16" s="1505"/>
      <c r="J16" s="1506" t="s">
        <v>123</v>
      </c>
      <c r="K16" s="1506"/>
      <c r="L16" s="1506"/>
      <c r="M16" s="1479"/>
      <c r="N16" s="1503"/>
      <c r="O16" s="1503"/>
      <c r="P16" s="1507"/>
      <c r="Q16" s="1508"/>
      <c r="R16" s="1508"/>
      <c r="S16" s="1504"/>
      <c r="T16" s="1504"/>
      <c r="U16" s="483"/>
      <c r="V16" s="1505"/>
      <c r="W16" s="1506" t="s">
        <v>123</v>
      </c>
      <c r="X16" s="1506"/>
      <c r="Y16" s="1506"/>
      <c r="Z16" s="1513">
        <v>11.0</v>
      </c>
      <c r="AA16" s="499"/>
      <c r="AB16" s="499"/>
      <c r="AC16" s="1511"/>
      <c r="AD16" s="1511" t="b">
        <v>0</v>
      </c>
      <c r="AE16" s="499"/>
      <c r="AF16" s="499"/>
      <c r="AG16" s="499"/>
      <c r="AH16" s="499"/>
      <c r="AI16" s="1483"/>
      <c r="AJ16" s="1514"/>
      <c r="AK16" s="1514"/>
    </row>
    <row r="17">
      <c r="A17" s="499"/>
      <c r="B17" s="1509"/>
      <c r="C17" s="1502"/>
      <c r="D17" s="1503"/>
      <c r="E17" s="1503"/>
      <c r="F17" s="1504"/>
      <c r="G17" s="1504"/>
      <c r="H17" s="483"/>
      <c r="I17" s="1505"/>
      <c r="J17" s="1506" t="s">
        <v>123</v>
      </c>
      <c r="K17" s="1506"/>
      <c r="L17" s="1506"/>
      <c r="M17" s="1479"/>
      <c r="N17" s="1503"/>
      <c r="O17" s="1503"/>
      <c r="P17" s="1507"/>
      <c r="Q17" s="1508"/>
      <c r="R17" s="1508"/>
      <c r="S17" s="1504"/>
      <c r="T17" s="1504"/>
      <c r="U17" s="483"/>
      <c r="V17" s="1505"/>
      <c r="W17" s="1506" t="s">
        <v>123</v>
      </c>
      <c r="X17" s="1506"/>
      <c r="Y17" s="1506"/>
      <c r="Z17" s="1513">
        <v>12.0</v>
      </c>
      <c r="AA17" s="499"/>
      <c r="AB17" s="499"/>
      <c r="AC17" s="1511"/>
      <c r="AD17" s="1511" t="b">
        <v>0</v>
      </c>
      <c r="AE17" s="499"/>
      <c r="AF17" s="499"/>
      <c r="AG17" s="499"/>
      <c r="AH17" s="499"/>
      <c r="AI17" s="1483"/>
      <c r="AJ17" s="1514"/>
      <c r="AK17" s="1514"/>
    </row>
    <row r="18">
      <c r="A18" s="499"/>
      <c r="B18" s="1509"/>
      <c r="C18" s="1502"/>
      <c r="D18" s="1503"/>
      <c r="E18" s="1503"/>
      <c r="F18" s="1504"/>
      <c r="G18" s="1504"/>
      <c r="H18" s="483"/>
      <c r="I18" s="1505"/>
      <c r="J18" s="1506" t="s">
        <v>123</v>
      </c>
      <c r="K18" s="1506"/>
      <c r="L18" s="1506"/>
      <c r="M18" s="1479"/>
      <c r="N18" s="1503"/>
      <c r="O18" s="1503"/>
      <c r="P18" s="1507"/>
      <c r="Q18" s="1508"/>
      <c r="R18" s="1508"/>
      <c r="S18" s="1504"/>
      <c r="T18" s="1504"/>
      <c r="U18" s="483"/>
      <c r="V18" s="1505"/>
      <c r="W18" s="1506" t="s">
        <v>123</v>
      </c>
      <c r="X18" s="1506"/>
      <c r="Y18" s="1506"/>
      <c r="Z18" s="1513">
        <v>13.0</v>
      </c>
      <c r="AA18" s="499"/>
      <c r="AB18" s="499"/>
      <c r="AC18" s="1511"/>
      <c r="AD18" s="1511" t="b">
        <v>0</v>
      </c>
      <c r="AE18" s="499"/>
      <c r="AF18" s="499"/>
      <c r="AG18" s="499"/>
      <c r="AH18" s="499"/>
      <c r="AI18" s="1483"/>
      <c r="AJ18" s="1514"/>
      <c r="AK18" s="1514"/>
    </row>
    <row r="19">
      <c r="A19" s="499"/>
      <c r="B19" s="1509"/>
      <c r="C19" s="1502"/>
      <c r="D19" s="1503"/>
      <c r="E19" s="1503"/>
      <c r="F19" s="1504"/>
      <c r="G19" s="1504"/>
      <c r="H19" s="483"/>
      <c r="I19" s="1505"/>
      <c r="J19" s="1506" t="s">
        <v>123</v>
      </c>
      <c r="K19" s="1506"/>
      <c r="L19" s="1506"/>
      <c r="M19" s="1479"/>
      <c r="N19" s="1503"/>
      <c r="O19" s="1503"/>
      <c r="P19" s="1507"/>
      <c r="Q19" s="1508"/>
      <c r="R19" s="1508"/>
      <c r="S19" s="1504"/>
      <c r="T19" s="1504"/>
      <c r="U19" s="483"/>
      <c r="V19" s="1505"/>
      <c r="W19" s="1506" t="s">
        <v>123</v>
      </c>
      <c r="X19" s="1506"/>
      <c r="Y19" s="1506"/>
      <c r="Z19" s="1513">
        <v>14.0</v>
      </c>
      <c r="AA19" s="499"/>
      <c r="AB19" s="499"/>
      <c r="AC19" s="1511"/>
      <c r="AD19" s="1511" t="b">
        <v>0</v>
      </c>
      <c r="AE19" s="499"/>
      <c r="AF19" s="499"/>
      <c r="AG19" s="499"/>
      <c r="AH19" s="499"/>
      <c r="AI19" s="1483"/>
      <c r="AJ19" s="1514"/>
      <c r="AK19" s="1514"/>
    </row>
    <row r="20">
      <c r="A20" s="499"/>
      <c r="B20" s="1509"/>
      <c r="C20" s="1502"/>
      <c r="D20" s="1503"/>
      <c r="E20" s="1503"/>
      <c r="F20" s="1504"/>
      <c r="G20" s="1504"/>
      <c r="H20" s="483"/>
      <c r="I20" s="1505"/>
      <c r="J20" s="1506" t="s">
        <v>123</v>
      </c>
      <c r="K20" s="1506"/>
      <c r="L20" s="1506"/>
      <c r="M20" s="1479"/>
      <c r="N20" s="1503"/>
      <c r="O20" s="1503"/>
      <c r="P20" s="1507"/>
      <c r="Q20" s="1508"/>
      <c r="R20" s="1508"/>
      <c r="S20" s="1504"/>
      <c r="T20" s="1504"/>
      <c r="U20" s="483"/>
      <c r="V20" s="1505"/>
      <c r="W20" s="1506" t="s">
        <v>123</v>
      </c>
      <c r="X20" s="1506"/>
      <c r="Y20" s="1506"/>
      <c r="Z20" s="1513">
        <v>15.0</v>
      </c>
      <c r="AA20" s="499"/>
      <c r="AB20" s="499"/>
      <c r="AC20" s="1511"/>
      <c r="AD20" s="1511" t="b">
        <v>0</v>
      </c>
      <c r="AE20" s="499"/>
      <c r="AF20" s="499"/>
      <c r="AG20" s="499"/>
      <c r="AH20" s="499"/>
      <c r="AI20" s="1483"/>
      <c r="AJ20" s="1514"/>
      <c r="AK20" s="1514"/>
    </row>
    <row r="21">
      <c r="A21" s="499"/>
      <c r="B21" s="1501"/>
      <c r="C21" s="1502"/>
      <c r="D21" s="1503"/>
      <c r="E21" s="1503"/>
      <c r="F21" s="1504"/>
      <c r="G21" s="1504"/>
      <c r="H21" s="483"/>
      <c r="I21" s="1505"/>
      <c r="J21" s="1506" t="s">
        <v>123</v>
      </c>
      <c r="K21" s="1506"/>
      <c r="L21" s="1506"/>
      <c r="M21" s="1479"/>
      <c r="N21" s="1503"/>
      <c r="O21" s="1503"/>
      <c r="P21" s="1507"/>
      <c r="Q21" s="1508"/>
      <c r="R21" s="1508"/>
      <c r="S21" s="1504"/>
      <c r="T21" s="1504"/>
      <c r="U21" s="483"/>
      <c r="V21" s="1505"/>
      <c r="W21" s="1506" t="s">
        <v>123</v>
      </c>
      <c r="X21" s="1506"/>
      <c r="Y21" s="1506"/>
      <c r="Z21" s="1481"/>
      <c r="AA21" s="499"/>
      <c r="AB21" s="499"/>
      <c r="AC21" s="499"/>
      <c r="AD21" s="499"/>
      <c r="AE21" s="499"/>
      <c r="AF21" s="499"/>
      <c r="AG21" s="499"/>
      <c r="AH21" s="499"/>
      <c r="AI21" s="1483"/>
      <c r="AJ21" s="1514"/>
      <c r="AK21" s="1514"/>
    </row>
    <row r="22">
      <c r="A22" s="499"/>
      <c r="B22" s="1501"/>
      <c r="C22" s="1502"/>
      <c r="D22" s="1503"/>
      <c r="E22" s="1503"/>
      <c r="F22" s="1504"/>
      <c r="G22" s="1504"/>
      <c r="H22" s="483"/>
      <c r="I22" s="1505"/>
      <c r="J22" s="1506" t="s">
        <v>123</v>
      </c>
      <c r="K22" s="1506"/>
      <c r="L22" s="1506"/>
      <c r="M22" s="1479"/>
      <c r="N22" s="1503"/>
      <c r="O22" s="1503"/>
      <c r="P22" s="1507"/>
      <c r="Q22" s="1508"/>
      <c r="R22" s="1508"/>
      <c r="S22" s="1504"/>
      <c r="T22" s="1504"/>
      <c r="U22" s="483"/>
      <c r="V22" s="1505"/>
      <c r="W22" s="1506" t="s">
        <v>123</v>
      </c>
      <c r="X22" s="1506"/>
      <c r="Y22" s="1506"/>
      <c r="Z22" s="1481"/>
      <c r="AA22" s="499"/>
      <c r="AB22" s="499"/>
      <c r="AC22" s="499"/>
      <c r="AD22" s="499"/>
      <c r="AE22" s="499"/>
      <c r="AF22" s="499"/>
      <c r="AG22" s="499"/>
      <c r="AH22" s="499"/>
      <c r="AI22" s="1483"/>
      <c r="AJ22" s="1514"/>
      <c r="AK22" s="1514"/>
    </row>
    <row r="23">
      <c r="A23" s="499"/>
      <c r="B23" s="1501"/>
      <c r="C23" s="1502"/>
      <c r="D23" s="1503"/>
      <c r="E23" s="1503"/>
      <c r="F23" s="1504"/>
      <c r="G23" s="1504"/>
      <c r="H23" s="483"/>
      <c r="I23" s="1505"/>
      <c r="J23" s="1506" t="s">
        <v>123</v>
      </c>
      <c r="K23" s="1506"/>
      <c r="L23" s="1506"/>
      <c r="M23" s="1479"/>
      <c r="N23" s="1503"/>
      <c r="O23" s="1503"/>
      <c r="P23" s="1507"/>
      <c r="Q23" s="1508"/>
      <c r="R23" s="1508"/>
      <c r="S23" s="1504"/>
      <c r="T23" s="1504"/>
      <c r="U23" s="483"/>
      <c r="V23" s="1505"/>
      <c r="W23" s="1506" t="s">
        <v>123</v>
      </c>
      <c r="X23" s="1506"/>
      <c r="Y23" s="1506"/>
      <c r="Z23" s="1481"/>
      <c r="AA23" s="499"/>
      <c r="AB23" s="499"/>
      <c r="AC23" s="499"/>
      <c r="AD23" s="499"/>
      <c r="AE23" s="499"/>
      <c r="AF23" s="499"/>
      <c r="AG23" s="499"/>
      <c r="AH23" s="499"/>
      <c r="AI23" s="1483"/>
      <c r="AJ23" s="1514"/>
      <c r="AK23" s="1514"/>
    </row>
    <row r="24">
      <c r="A24" s="499"/>
      <c r="B24" s="1501"/>
      <c r="C24" s="1502"/>
      <c r="D24" s="1503"/>
      <c r="E24" s="1503"/>
      <c r="F24" s="1504"/>
      <c r="G24" s="1504"/>
      <c r="H24" s="483"/>
      <c r="I24" s="1505"/>
      <c r="J24" s="1506" t="s">
        <v>123</v>
      </c>
      <c r="K24" s="1506"/>
      <c r="L24" s="1506"/>
      <c r="M24" s="1479"/>
      <c r="N24" s="1503"/>
      <c r="O24" s="1503"/>
      <c r="P24" s="1507"/>
      <c r="Q24" s="1508"/>
      <c r="R24" s="1508"/>
      <c r="S24" s="1504"/>
      <c r="T24" s="1504"/>
      <c r="U24" s="483"/>
      <c r="V24" s="1505"/>
      <c r="W24" s="1506" t="s">
        <v>123</v>
      </c>
      <c r="X24" s="1506"/>
      <c r="Y24" s="1506"/>
      <c r="Z24" s="1481"/>
      <c r="AA24" s="499"/>
      <c r="AB24" s="499"/>
      <c r="AC24" s="499"/>
      <c r="AD24" s="499"/>
      <c r="AE24" s="499"/>
      <c r="AF24" s="499"/>
      <c r="AG24" s="499"/>
      <c r="AH24" s="499"/>
      <c r="AI24" s="1483"/>
      <c r="AJ24" s="1514"/>
      <c r="AK24" s="1514"/>
    </row>
    <row r="25">
      <c r="A25" s="499"/>
      <c r="B25" s="1501"/>
      <c r="C25" s="1502"/>
      <c r="D25" s="1503"/>
      <c r="E25" s="1503"/>
      <c r="F25" s="1504"/>
      <c r="G25" s="1504"/>
      <c r="H25" s="483"/>
      <c r="I25" s="1505"/>
      <c r="J25" s="1506" t="s">
        <v>123</v>
      </c>
      <c r="K25" s="1506"/>
      <c r="L25" s="1506"/>
      <c r="M25" s="1479"/>
      <c r="N25" s="1503"/>
      <c r="O25" s="1503"/>
      <c r="P25" s="1507"/>
      <c r="Q25" s="1508"/>
      <c r="R25" s="1508"/>
      <c r="S25" s="1504"/>
      <c r="T25" s="1504"/>
      <c r="U25" s="483"/>
      <c r="V25" s="1505"/>
      <c r="W25" s="1506" t="s">
        <v>123</v>
      </c>
      <c r="X25" s="1506"/>
      <c r="Y25" s="1506"/>
      <c r="Z25" s="1481"/>
      <c r="AA25" s="499"/>
      <c r="AB25" s="499"/>
      <c r="AC25" s="499"/>
      <c r="AD25" s="499"/>
      <c r="AE25" s="499"/>
      <c r="AF25" s="499"/>
      <c r="AG25" s="499"/>
      <c r="AH25" s="499"/>
      <c r="AI25" s="1483"/>
      <c r="AJ25" s="1514"/>
      <c r="AK25" s="1514"/>
    </row>
    <row r="26">
      <c r="A26" s="499"/>
      <c r="B26" s="1501"/>
      <c r="C26" s="1502"/>
      <c r="D26" s="1503"/>
      <c r="E26" s="1503"/>
      <c r="F26" s="1504"/>
      <c r="G26" s="1504"/>
      <c r="H26" s="483"/>
      <c r="I26" s="1505"/>
      <c r="J26" s="1506" t="s">
        <v>123</v>
      </c>
      <c r="K26" s="1506"/>
      <c r="L26" s="1506"/>
      <c r="M26" s="1479"/>
      <c r="N26" s="1503"/>
      <c r="O26" s="1503"/>
      <c r="P26" s="1507"/>
      <c r="Q26" s="1508"/>
      <c r="R26" s="1508"/>
      <c r="S26" s="1504"/>
      <c r="T26" s="1504"/>
      <c r="U26" s="483"/>
      <c r="V26" s="1505"/>
      <c r="W26" s="1506" t="s">
        <v>123</v>
      </c>
      <c r="X26" s="1506"/>
      <c r="Y26" s="1506"/>
      <c r="Z26" s="1481"/>
      <c r="AA26" s="499"/>
      <c r="AB26" s="499"/>
      <c r="AC26" s="499"/>
      <c r="AD26" s="499"/>
      <c r="AE26" s="499"/>
      <c r="AF26" s="499"/>
      <c r="AG26" s="499"/>
      <c r="AH26" s="499"/>
      <c r="AI26" s="1483"/>
      <c r="AJ26" s="1514"/>
      <c r="AK26" s="1514"/>
    </row>
    <row r="27">
      <c r="A27" s="499"/>
      <c r="B27" s="1501"/>
      <c r="C27" s="1502"/>
      <c r="D27" s="1503"/>
      <c r="E27" s="1503"/>
      <c r="F27" s="1504"/>
      <c r="G27" s="1504"/>
      <c r="H27" s="483"/>
      <c r="I27" s="1505"/>
      <c r="J27" s="1506" t="s">
        <v>123</v>
      </c>
      <c r="K27" s="1506"/>
      <c r="L27" s="1506"/>
      <c r="M27" s="1479"/>
      <c r="N27" s="1503"/>
      <c r="O27" s="1503"/>
      <c r="P27" s="1507"/>
      <c r="Q27" s="1508"/>
      <c r="R27" s="1508"/>
      <c r="S27" s="1504"/>
      <c r="T27" s="1504"/>
      <c r="U27" s="483"/>
      <c r="V27" s="1505"/>
      <c r="W27" s="1506" t="s">
        <v>123</v>
      </c>
      <c r="X27" s="1506"/>
      <c r="Y27" s="1506"/>
      <c r="Z27" s="1481"/>
      <c r="AA27" s="499"/>
      <c r="AB27" s="499"/>
      <c r="AC27" s="499"/>
      <c r="AD27" s="499"/>
      <c r="AE27" s="499"/>
      <c r="AF27" s="499"/>
      <c r="AG27" s="499"/>
      <c r="AH27" s="499"/>
      <c r="AI27" s="1483"/>
      <c r="AJ27" s="1514"/>
      <c r="AK27" s="1514"/>
    </row>
    <row r="28">
      <c r="A28" s="499"/>
      <c r="B28" s="1501"/>
      <c r="C28" s="1502"/>
      <c r="D28" s="1503"/>
      <c r="E28" s="1503"/>
      <c r="F28" s="1504"/>
      <c r="G28" s="1504"/>
      <c r="H28" s="483"/>
      <c r="I28" s="1505"/>
      <c r="J28" s="1506" t="s">
        <v>123</v>
      </c>
      <c r="K28" s="1506"/>
      <c r="L28" s="1506"/>
      <c r="M28" s="1479"/>
      <c r="N28" s="1503"/>
      <c r="O28" s="1503"/>
      <c r="P28" s="1507"/>
      <c r="Q28" s="1508"/>
      <c r="R28" s="1508"/>
      <c r="S28" s="1504"/>
      <c r="T28" s="1504"/>
      <c r="U28" s="483"/>
      <c r="V28" s="1505"/>
      <c r="W28" s="1506" t="s">
        <v>123</v>
      </c>
      <c r="X28" s="1506"/>
      <c r="Y28" s="1506"/>
      <c r="Z28" s="1481"/>
      <c r="AA28" s="499"/>
      <c r="AB28" s="499"/>
      <c r="AC28" s="499"/>
      <c r="AD28" s="499"/>
      <c r="AE28" s="499"/>
      <c r="AF28" s="499"/>
      <c r="AG28" s="499"/>
      <c r="AH28" s="499"/>
      <c r="AI28" s="1483"/>
      <c r="AJ28" s="1514"/>
      <c r="AK28" s="1514"/>
    </row>
    <row r="29">
      <c r="A29" s="499"/>
      <c r="B29" s="1501"/>
      <c r="C29" s="1502"/>
      <c r="D29" s="1503"/>
      <c r="E29" s="1503"/>
      <c r="F29" s="1504"/>
      <c r="G29" s="1504"/>
      <c r="H29" s="483"/>
      <c r="I29" s="1505"/>
      <c r="J29" s="1506" t="s">
        <v>123</v>
      </c>
      <c r="K29" s="1506"/>
      <c r="L29" s="1506"/>
      <c r="M29" s="1479"/>
      <c r="N29" s="1503"/>
      <c r="O29" s="1503"/>
      <c r="P29" s="1507"/>
      <c r="Q29" s="1508"/>
      <c r="R29" s="1508"/>
      <c r="S29" s="1504"/>
      <c r="T29" s="1504"/>
      <c r="U29" s="483"/>
      <c r="V29" s="1505"/>
      <c r="W29" s="1506" t="s">
        <v>123</v>
      </c>
      <c r="X29" s="1506"/>
      <c r="Y29" s="1506"/>
      <c r="Z29" s="1481"/>
      <c r="AA29" s="499"/>
      <c r="AB29" s="499"/>
      <c r="AC29" s="499"/>
      <c r="AD29" s="499"/>
      <c r="AE29" s="499"/>
      <c r="AF29" s="499"/>
      <c r="AG29" s="499"/>
      <c r="AH29" s="499"/>
      <c r="AI29" s="1483"/>
      <c r="AJ29" s="1514"/>
      <c r="AK29" s="1514"/>
    </row>
    <row r="30">
      <c r="A30" s="499"/>
      <c r="B30" s="1501"/>
      <c r="C30" s="1502"/>
      <c r="D30" s="1503"/>
      <c r="E30" s="1503"/>
      <c r="F30" s="1504"/>
      <c r="G30" s="1504"/>
      <c r="H30" s="483"/>
      <c r="I30" s="1505"/>
      <c r="J30" s="1506" t="s">
        <v>123</v>
      </c>
      <c r="K30" s="1506"/>
      <c r="L30" s="1506"/>
      <c r="M30" s="1479"/>
      <c r="N30" s="1503"/>
      <c r="O30" s="1503"/>
      <c r="P30" s="1507"/>
      <c r="Q30" s="1508"/>
      <c r="R30" s="1508"/>
      <c r="S30" s="1504"/>
      <c r="T30" s="1504"/>
      <c r="U30" s="483"/>
      <c r="V30" s="1505"/>
      <c r="W30" s="1506" t="s">
        <v>123</v>
      </c>
      <c r="X30" s="1506"/>
      <c r="Y30" s="1506"/>
      <c r="Z30" s="1481"/>
      <c r="AA30" s="499"/>
      <c r="AB30" s="499"/>
      <c r="AC30" s="499"/>
      <c r="AD30" s="499"/>
      <c r="AE30" s="499"/>
      <c r="AF30" s="499"/>
      <c r="AG30" s="499"/>
      <c r="AH30" s="499"/>
      <c r="AI30" s="1483"/>
      <c r="AJ30" s="1514"/>
      <c r="AK30" s="1514"/>
    </row>
    <row r="31">
      <c r="A31" s="499"/>
      <c r="B31" s="1501"/>
      <c r="C31" s="1502"/>
      <c r="D31" s="1503"/>
      <c r="E31" s="1503"/>
      <c r="F31" s="1504"/>
      <c r="G31" s="1504"/>
      <c r="H31" s="483"/>
      <c r="I31" s="1505"/>
      <c r="J31" s="1506" t="s">
        <v>123</v>
      </c>
      <c r="K31" s="1506"/>
      <c r="L31" s="1506"/>
      <c r="M31" s="1479"/>
      <c r="N31" s="1503"/>
      <c r="O31" s="1503"/>
      <c r="P31" s="1507"/>
      <c r="Q31" s="1508"/>
      <c r="R31" s="1508"/>
      <c r="S31" s="1504"/>
      <c r="T31" s="1504"/>
      <c r="U31" s="483"/>
      <c r="V31" s="1505"/>
      <c r="W31" s="1506" t="s">
        <v>123</v>
      </c>
      <c r="X31" s="1506"/>
      <c r="Y31" s="1506"/>
      <c r="Z31" s="1481"/>
      <c r="AA31" s="499"/>
      <c r="AB31" s="499"/>
      <c r="AC31" s="499"/>
      <c r="AD31" s="499"/>
      <c r="AE31" s="499"/>
      <c r="AF31" s="499"/>
      <c r="AG31" s="499"/>
      <c r="AH31" s="499"/>
      <c r="AI31" s="1483"/>
      <c r="AJ31" s="1514"/>
      <c r="AK31" s="1514"/>
    </row>
    <row r="32">
      <c r="A32" s="499"/>
      <c r="B32" s="1501"/>
      <c r="C32" s="1502"/>
      <c r="D32" s="1503"/>
      <c r="E32" s="1503"/>
      <c r="F32" s="1504"/>
      <c r="G32" s="1504"/>
      <c r="H32" s="483"/>
      <c r="I32" s="1505"/>
      <c r="J32" s="1506" t="s">
        <v>123</v>
      </c>
      <c r="K32" s="1506"/>
      <c r="L32" s="1506"/>
      <c r="M32" s="1479"/>
      <c r="N32" s="1503"/>
      <c r="O32" s="1503"/>
      <c r="P32" s="1507"/>
      <c r="Q32" s="1508"/>
      <c r="R32" s="1508"/>
      <c r="S32" s="1504"/>
      <c r="T32" s="1504"/>
      <c r="U32" s="483"/>
      <c r="V32" s="1505"/>
      <c r="W32" s="1506" t="s">
        <v>123</v>
      </c>
      <c r="X32" s="1506"/>
      <c r="Y32" s="1506"/>
      <c r="Z32" s="1481"/>
      <c r="AA32" s="499"/>
      <c r="AB32" s="499"/>
      <c r="AC32" s="499"/>
      <c r="AD32" s="499"/>
      <c r="AE32" s="499"/>
      <c r="AF32" s="499"/>
      <c r="AG32" s="499"/>
      <c r="AH32" s="499"/>
      <c r="AI32" s="1483"/>
      <c r="AJ32" s="1514"/>
      <c r="AK32" s="1514"/>
    </row>
    <row r="33">
      <c r="A33" s="499"/>
      <c r="B33" s="1501"/>
      <c r="C33" s="1502"/>
      <c r="D33" s="1503"/>
      <c r="E33" s="1503"/>
      <c r="F33" s="1504"/>
      <c r="G33" s="1504"/>
      <c r="H33" s="483"/>
      <c r="I33" s="1505"/>
      <c r="J33" s="1506" t="s">
        <v>123</v>
      </c>
      <c r="K33" s="1506"/>
      <c r="L33" s="1506"/>
      <c r="M33" s="1479"/>
      <c r="N33" s="1503"/>
      <c r="O33" s="1503"/>
      <c r="P33" s="1507"/>
      <c r="Q33" s="1508"/>
      <c r="R33" s="1508"/>
      <c r="S33" s="1504"/>
      <c r="T33" s="1504"/>
      <c r="U33" s="483"/>
      <c r="V33" s="1505"/>
      <c r="W33" s="1506" t="s">
        <v>123</v>
      </c>
      <c r="X33" s="1506"/>
      <c r="Y33" s="1506"/>
      <c r="Z33" s="1481"/>
      <c r="AA33" s="499"/>
      <c r="AB33" s="499"/>
      <c r="AC33" s="499"/>
      <c r="AD33" s="499"/>
      <c r="AE33" s="499"/>
      <c r="AF33" s="499"/>
      <c r="AG33" s="499"/>
      <c r="AH33" s="499"/>
      <c r="AI33" s="1483"/>
      <c r="AJ33" s="1514"/>
      <c r="AK33" s="1514"/>
    </row>
    <row r="34">
      <c r="A34" s="499"/>
      <c r="B34" s="1501"/>
      <c r="C34" s="1502"/>
      <c r="D34" s="1503"/>
      <c r="E34" s="1503"/>
      <c r="F34" s="1504"/>
      <c r="G34" s="1504"/>
      <c r="H34" s="483"/>
      <c r="I34" s="1505"/>
      <c r="J34" s="1506" t="s">
        <v>123</v>
      </c>
      <c r="K34" s="1506"/>
      <c r="L34" s="1506"/>
      <c r="M34" s="1479"/>
      <c r="N34" s="1503"/>
      <c r="O34" s="1503"/>
      <c r="P34" s="1507"/>
      <c r="Q34" s="1508"/>
      <c r="R34" s="1508"/>
      <c r="S34" s="1504"/>
      <c r="T34" s="1504"/>
      <c r="U34" s="483"/>
      <c r="V34" s="1505"/>
      <c r="W34" s="1506" t="s">
        <v>123</v>
      </c>
      <c r="X34" s="1506"/>
      <c r="Y34" s="1506"/>
      <c r="Z34" s="1481"/>
      <c r="AA34" s="499"/>
      <c r="AB34" s="499"/>
      <c r="AC34" s="499"/>
      <c r="AD34" s="499"/>
      <c r="AE34" s="499"/>
      <c r="AF34" s="499"/>
      <c r="AG34" s="499"/>
      <c r="AH34" s="499"/>
      <c r="AI34" s="1483"/>
      <c r="AJ34" s="1514"/>
      <c r="AK34" s="1514"/>
    </row>
    <row r="35">
      <c r="A35" s="499"/>
      <c r="B35" s="1501"/>
      <c r="C35" s="1502"/>
      <c r="D35" s="1503"/>
      <c r="E35" s="1503"/>
      <c r="F35" s="1504"/>
      <c r="G35" s="1504"/>
      <c r="H35" s="483"/>
      <c r="I35" s="1505"/>
      <c r="J35" s="1506" t="s">
        <v>123</v>
      </c>
      <c r="K35" s="1506"/>
      <c r="L35" s="1506"/>
      <c r="M35" s="1479"/>
      <c r="N35" s="1503"/>
      <c r="O35" s="1503"/>
      <c r="P35" s="1507"/>
      <c r="Q35" s="1508"/>
      <c r="R35" s="1508"/>
      <c r="S35" s="1504"/>
      <c r="T35" s="1504"/>
      <c r="U35" s="483"/>
      <c r="V35" s="1505"/>
      <c r="W35" s="1506" t="s">
        <v>123</v>
      </c>
      <c r="X35" s="1506"/>
      <c r="Y35" s="1506"/>
      <c r="Z35" s="1481"/>
      <c r="AA35" s="499"/>
      <c r="AB35" s="499"/>
      <c r="AC35" s="499"/>
      <c r="AD35" s="499"/>
      <c r="AE35" s="499"/>
      <c r="AF35" s="499"/>
      <c r="AG35" s="499"/>
      <c r="AH35" s="499"/>
      <c r="AI35" s="1483"/>
      <c r="AJ35" s="1515"/>
      <c r="AK35" s="1515"/>
    </row>
    <row r="36">
      <c r="A36" s="499"/>
      <c r="B36" s="1501"/>
      <c r="C36" s="1502"/>
      <c r="D36" s="1503"/>
      <c r="E36" s="1503"/>
      <c r="F36" s="1504"/>
      <c r="G36" s="1504"/>
      <c r="H36" s="483"/>
      <c r="I36" s="1505"/>
      <c r="J36" s="1506" t="s">
        <v>123</v>
      </c>
      <c r="K36" s="1506"/>
      <c r="L36" s="1506"/>
      <c r="M36" s="1479"/>
      <c r="N36" s="1503"/>
      <c r="O36" s="1503"/>
      <c r="P36" s="1507"/>
      <c r="Q36" s="1508"/>
      <c r="R36" s="1508"/>
      <c r="S36" s="1504"/>
      <c r="T36" s="1504"/>
      <c r="U36" s="483"/>
      <c r="V36" s="1505"/>
      <c r="W36" s="1506" t="s">
        <v>123</v>
      </c>
      <c r="X36" s="1506"/>
      <c r="Y36" s="1506"/>
      <c r="Z36" s="1481"/>
      <c r="AA36" s="499"/>
      <c r="AB36" s="499"/>
      <c r="AC36" s="499"/>
      <c r="AD36" s="499"/>
      <c r="AE36" s="499"/>
      <c r="AF36" s="499"/>
      <c r="AG36" s="499"/>
      <c r="AH36" s="499"/>
      <c r="AI36" s="1483"/>
      <c r="AJ36" s="1515"/>
      <c r="AK36" s="1515"/>
    </row>
    <row r="37">
      <c r="A37" s="499"/>
      <c r="B37" s="1501"/>
      <c r="C37" s="1502"/>
      <c r="D37" s="1503"/>
      <c r="E37" s="1503"/>
      <c r="F37" s="1504"/>
      <c r="G37" s="1504"/>
      <c r="H37" s="483"/>
      <c r="I37" s="1505"/>
      <c r="J37" s="1506" t="s">
        <v>123</v>
      </c>
      <c r="K37" s="1506"/>
      <c r="L37" s="1506"/>
      <c r="M37" s="1479"/>
      <c r="N37" s="1503"/>
      <c r="O37" s="1503"/>
      <c r="P37" s="1507"/>
      <c r="Q37" s="1508"/>
      <c r="R37" s="1508"/>
      <c r="S37" s="1504"/>
      <c r="T37" s="1504"/>
      <c r="U37" s="483"/>
      <c r="V37" s="1505"/>
      <c r="W37" s="1506" t="s">
        <v>123</v>
      </c>
      <c r="X37" s="1506"/>
      <c r="Y37" s="1506"/>
      <c r="Z37" s="1481"/>
      <c r="AA37" s="499"/>
      <c r="AB37" s="499"/>
      <c r="AC37" s="499"/>
      <c r="AD37" s="499"/>
      <c r="AE37" s="499"/>
      <c r="AF37" s="499"/>
      <c r="AG37" s="499"/>
      <c r="AH37" s="499"/>
      <c r="AI37" s="1483"/>
      <c r="AJ37" s="1515"/>
      <c r="AK37" s="1515"/>
    </row>
    <row r="38">
      <c r="A38" s="499"/>
      <c r="B38" s="1501"/>
      <c r="C38" s="1502"/>
      <c r="D38" s="1503"/>
      <c r="E38" s="1503"/>
      <c r="F38" s="1504"/>
      <c r="G38" s="1504"/>
      <c r="H38" s="483"/>
      <c r="I38" s="1505"/>
      <c r="J38" s="1506" t="s">
        <v>123</v>
      </c>
      <c r="K38" s="1506"/>
      <c r="L38" s="1506"/>
      <c r="M38" s="1479"/>
      <c r="N38" s="1503"/>
      <c r="O38" s="1503"/>
      <c r="P38" s="1507"/>
      <c r="Q38" s="1508"/>
      <c r="R38" s="1508"/>
      <c r="S38" s="1504"/>
      <c r="T38" s="1504"/>
      <c r="U38" s="483"/>
      <c r="V38" s="1505"/>
      <c r="W38" s="1506" t="s">
        <v>123</v>
      </c>
      <c r="X38" s="1506"/>
      <c r="Y38" s="1506"/>
      <c r="Z38" s="1481"/>
      <c r="AA38" s="499"/>
      <c r="AB38" s="499"/>
      <c r="AC38" s="499"/>
      <c r="AD38" s="499"/>
      <c r="AE38" s="499"/>
      <c r="AF38" s="499"/>
      <c r="AG38" s="499"/>
      <c r="AH38" s="499"/>
      <c r="AI38" s="1483"/>
      <c r="AJ38" s="1515"/>
      <c r="AK38" s="1515"/>
    </row>
    <row r="39">
      <c r="A39" s="499"/>
      <c r="B39" s="1501"/>
      <c r="C39" s="1502"/>
      <c r="D39" s="1503"/>
      <c r="E39" s="1503"/>
      <c r="F39" s="1504"/>
      <c r="G39" s="1504"/>
      <c r="H39" s="483"/>
      <c r="I39" s="1505"/>
      <c r="J39" s="1506" t="s">
        <v>123</v>
      </c>
      <c r="K39" s="1506"/>
      <c r="L39" s="1506"/>
      <c r="M39" s="1479"/>
      <c r="N39" s="1503"/>
      <c r="O39" s="1503"/>
      <c r="P39" s="1507"/>
      <c r="Q39" s="1508"/>
      <c r="R39" s="1508"/>
      <c r="S39" s="1504"/>
      <c r="T39" s="1504"/>
      <c r="U39" s="483"/>
      <c r="V39" s="1505"/>
      <c r="W39" s="1506" t="s">
        <v>123</v>
      </c>
      <c r="X39" s="1506"/>
      <c r="Y39" s="1506"/>
      <c r="Z39" s="1481"/>
      <c r="AA39" s="499"/>
      <c r="AB39" s="499"/>
      <c r="AC39" s="499"/>
      <c r="AD39" s="499"/>
      <c r="AE39" s="499"/>
      <c r="AF39" s="499"/>
      <c r="AG39" s="499"/>
      <c r="AH39" s="499"/>
      <c r="AI39" s="1483"/>
      <c r="AJ39" s="1515"/>
      <c r="AK39" s="1515"/>
    </row>
    <row r="40">
      <c r="A40" s="499"/>
      <c r="B40" s="1501"/>
      <c r="C40" s="1502"/>
      <c r="D40" s="1503"/>
      <c r="E40" s="1503"/>
      <c r="F40" s="1504"/>
      <c r="G40" s="1504"/>
      <c r="H40" s="483"/>
      <c r="I40" s="1505"/>
      <c r="J40" s="1506" t="s">
        <v>123</v>
      </c>
      <c r="K40" s="1506"/>
      <c r="L40" s="1506"/>
      <c r="M40" s="1479"/>
      <c r="N40" s="1503"/>
      <c r="O40" s="1503"/>
      <c r="P40" s="1507"/>
      <c r="Q40" s="1508"/>
      <c r="R40" s="1508"/>
      <c r="S40" s="1504"/>
      <c r="T40" s="1504"/>
      <c r="U40" s="483"/>
      <c r="V40" s="1505"/>
      <c r="W40" s="1506" t="s">
        <v>123</v>
      </c>
      <c r="X40" s="1506"/>
      <c r="Y40" s="1506"/>
      <c r="Z40" s="1481"/>
      <c r="AA40" s="499"/>
      <c r="AB40" s="499"/>
      <c r="AC40" s="499"/>
      <c r="AD40" s="499"/>
      <c r="AE40" s="499"/>
      <c r="AF40" s="499"/>
      <c r="AG40" s="499"/>
      <c r="AH40" s="499"/>
      <c r="AI40" s="1483"/>
      <c r="AJ40" s="1515"/>
      <c r="AK40" s="1515"/>
    </row>
    <row r="41">
      <c r="A41" s="499"/>
      <c r="B41" s="1501"/>
      <c r="C41" s="1502"/>
      <c r="D41" s="1503"/>
      <c r="E41" s="1503"/>
      <c r="F41" s="1504"/>
      <c r="G41" s="1504"/>
      <c r="H41" s="483"/>
      <c r="I41" s="1505"/>
      <c r="J41" s="1506" t="s">
        <v>123</v>
      </c>
      <c r="K41" s="1506"/>
      <c r="L41" s="1506"/>
      <c r="M41" s="1479"/>
      <c r="N41" s="1503"/>
      <c r="O41" s="1503"/>
      <c r="P41" s="1507"/>
      <c r="Q41" s="1508"/>
      <c r="R41" s="1508"/>
      <c r="S41" s="1504"/>
      <c r="T41" s="1504"/>
      <c r="U41" s="483"/>
      <c r="V41" s="1505"/>
      <c r="W41" s="1506" t="s">
        <v>123</v>
      </c>
      <c r="X41" s="1506"/>
      <c r="Y41" s="1506"/>
      <c r="Z41" s="1481"/>
      <c r="AA41" s="499"/>
      <c r="AB41" s="499"/>
      <c r="AC41" s="499"/>
      <c r="AD41" s="499"/>
      <c r="AE41" s="499"/>
      <c r="AF41" s="499"/>
      <c r="AG41" s="499"/>
      <c r="AH41" s="499"/>
      <c r="AI41" s="1483"/>
      <c r="AJ41" s="1515"/>
      <c r="AK41" s="1515"/>
    </row>
    <row r="42">
      <c r="A42" s="499"/>
      <c r="B42" s="1501"/>
      <c r="C42" s="1502"/>
      <c r="D42" s="1503"/>
      <c r="E42" s="1503"/>
      <c r="F42" s="1504"/>
      <c r="G42" s="1504"/>
      <c r="H42" s="483"/>
      <c r="I42" s="1505"/>
      <c r="J42" s="1506" t="s">
        <v>123</v>
      </c>
      <c r="K42" s="1506"/>
      <c r="L42" s="1506"/>
      <c r="M42" s="1479"/>
      <c r="N42" s="1503"/>
      <c r="O42" s="1503"/>
      <c r="P42" s="1507"/>
      <c r="Q42" s="1508"/>
      <c r="R42" s="1508"/>
      <c r="S42" s="1504"/>
      <c r="T42" s="1504"/>
      <c r="U42" s="483"/>
      <c r="V42" s="1505"/>
      <c r="W42" s="1506" t="s">
        <v>123</v>
      </c>
      <c r="X42" s="1506"/>
      <c r="Y42" s="1506"/>
      <c r="Z42" s="1481"/>
      <c r="AA42" s="499"/>
      <c r="AB42" s="499"/>
      <c r="AC42" s="499"/>
      <c r="AD42" s="499"/>
      <c r="AE42" s="499"/>
      <c r="AF42" s="499"/>
      <c r="AG42" s="499"/>
      <c r="AH42" s="499"/>
      <c r="AI42" s="1483"/>
    </row>
    <row r="43">
      <c r="A43" s="499"/>
      <c r="B43" s="1501"/>
      <c r="C43" s="1502"/>
      <c r="D43" s="1503"/>
      <c r="E43" s="1503"/>
      <c r="F43" s="1504"/>
      <c r="G43" s="1504"/>
      <c r="H43" s="483"/>
      <c r="I43" s="1505"/>
      <c r="J43" s="1506" t="s">
        <v>123</v>
      </c>
      <c r="K43" s="1506"/>
      <c r="L43" s="1506"/>
      <c r="M43" s="1479"/>
      <c r="N43" s="1503"/>
      <c r="O43" s="1503"/>
      <c r="P43" s="1507"/>
      <c r="Q43" s="1508"/>
      <c r="R43" s="1508"/>
      <c r="S43" s="1504"/>
      <c r="T43" s="1504"/>
      <c r="U43" s="483"/>
      <c r="V43" s="1505"/>
      <c r="W43" s="1506" t="s">
        <v>123</v>
      </c>
      <c r="X43" s="1506"/>
      <c r="Y43" s="1506"/>
      <c r="Z43" s="1481"/>
      <c r="AA43" s="499"/>
      <c r="AB43" s="499"/>
      <c r="AC43" s="499"/>
      <c r="AD43" s="499"/>
      <c r="AE43" s="499"/>
      <c r="AF43" s="499"/>
      <c r="AG43" s="499"/>
      <c r="AH43" s="499"/>
      <c r="AI43" s="1483"/>
    </row>
    <row r="44">
      <c r="A44" s="499"/>
      <c r="B44" s="1501"/>
      <c r="C44" s="1502"/>
      <c r="D44" s="1503"/>
      <c r="E44" s="1503"/>
      <c r="F44" s="1504"/>
      <c r="G44" s="1504"/>
      <c r="H44" s="483"/>
      <c r="I44" s="1505"/>
      <c r="J44" s="1506" t="s">
        <v>123</v>
      </c>
      <c r="K44" s="1506"/>
      <c r="L44" s="1506"/>
      <c r="M44" s="1479"/>
      <c r="N44" s="1503"/>
      <c r="O44" s="1503"/>
      <c r="P44" s="1507"/>
      <c r="Q44" s="1508"/>
      <c r="R44" s="1508"/>
      <c r="S44" s="1504"/>
      <c r="T44" s="1504"/>
      <c r="U44" s="483"/>
      <c r="V44" s="1505"/>
      <c r="W44" s="1506" t="s">
        <v>123</v>
      </c>
      <c r="X44" s="1506"/>
      <c r="Y44" s="1506"/>
      <c r="Z44" s="1481"/>
      <c r="AA44" s="499"/>
      <c r="AB44" s="499"/>
      <c r="AC44" s="499"/>
      <c r="AD44" s="499"/>
      <c r="AE44" s="499"/>
      <c r="AF44" s="499"/>
      <c r="AG44" s="499"/>
      <c r="AH44" s="499"/>
      <c r="AI44" s="1483"/>
    </row>
    <row r="45">
      <c r="A45" s="499"/>
      <c r="B45" s="1501"/>
      <c r="C45" s="1502"/>
      <c r="D45" s="1503"/>
      <c r="E45" s="1503"/>
      <c r="F45" s="1504"/>
      <c r="G45" s="1504"/>
      <c r="H45" s="483"/>
      <c r="I45" s="1505"/>
      <c r="J45" s="1506" t="s">
        <v>123</v>
      </c>
      <c r="K45" s="1506"/>
      <c r="L45" s="1506"/>
      <c r="M45" s="1479"/>
      <c r="N45" s="1503"/>
      <c r="O45" s="1503"/>
      <c r="P45" s="1507"/>
      <c r="Q45" s="1508"/>
      <c r="R45" s="1508"/>
      <c r="S45" s="1504"/>
      <c r="T45" s="1504"/>
      <c r="U45" s="483"/>
      <c r="V45" s="1505"/>
      <c r="W45" s="1506" t="s">
        <v>123</v>
      </c>
      <c r="X45" s="1506"/>
      <c r="Y45" s="1506"/>
      <c r="Z45" s="1481"/>
      <c r="AA45" s="499"/>
      <c r="AB45" s="499"/>
      <c r="AC45" s="499"/>
      <c r="AD45" s="499"/>
      <c r="AE45" s="499"/>
      <c r="AF45" s="499"/>
      <c r="AG45" s="499"/>
      <c r="AH45" s="499"/>
      <c r="AI45" s="1483"/>
    </row>
    <row r="46">
      <c r="A46" s="499"/>
      <c r="B46" s="1501"/>
      <c r="C46" s="1502"/>
      <c r="D46" s="1503"/>
      <c r="E46" s="1503"/>
      <c r="F46" s="1504"/>
      <c r="G46" s="1504"/>
      <c r="H46" s="483"/>
      <c r="I46" s="1505"/>
      <c r="J46" s="1506" t="s">
        <v>123</v>
      </c>
      <c r="K46" s="1506"/>
      <c r="L46" s="1506"/>
      <c r="M46" s="1479"/>
      <c r="N46" s="1503"/>
      <c r="O46" s="1503"/>
      <c r="P46" s="1507"/>
      <c r="Q46" s="1508"/>
      <c r="R46" s="1508"/>
      <c r="S46" s="1504"/>
      <c r="T46" s="1504"/>
      <c r="U46" s="483"/>
      <c r="V46" s="1505"/>
      <c r="W46" s="1506" t="s">
        <v>123</v>
      </c>
      <c r="X46" s="1506"/>
      <c r="Y46" s="1506"/>
      <c r="Z46" s="1481"/>
      <c r="AA46" s="499"/>
      <c r="AB46" s="499"/>
      <c r="AC46" s="499"/>
      <c r="AD46" s="499"/>
      <c r="AE46" s="499"/>
      <c r="AF46" s="499"/>
      <c r="AG46" s="499"/>
      <c r="AH46" s="499"/>
      <c r="AI46" s="1483"/>
    </row>
    <row r="47">
      <c r="A47" s="499"/>
      <c r="B47" s="1501"/>
      <c r="C47" s="1502"/>
      <c r="D47" s="1503"/>
      <c r="E47" s="1503"/>
      <c r="F47" s="1504"/>
      <c r="G47" s="1504"/>
      <c r="H47" s="483"/>
      <c r="I47" s="1505"/>
      <c r="J47" s="1506" t="s">
        <v>123</v>
      </c>
      <c r="K47" s="1506"/>
      <c r="L47" s="1506"/>
      <c r="M47" s="1479"/>
      <c r="N47" s="1503"/>
      <c r="O47" s="1503"/>
      <c r="P47" s="1507"/>
      <c r="Q47" s="1508"/>
      <c r="R47" s="1508"/>
      <c r="S47" s="1504"/>
      <c r="T47" s="1504"/>
      <c r="U47" s="483"/>
      <c r="V47" s="1505"/>
      <c r="W47" s="1506" t="s">
        <v>123</v>
      </c>
      <c r="X47" s="1506"/>
      <c r="Y47" s="1506"/>
      <c r="Z47" s="1481"/>
      <c r="AA47" s="499"/>
      <c r="AB47" s="499"/>
      <c r="AC47" s="499"/>
      <c r="AD47" s="499"/>
      <c r="AE47" s="499"/>
      <c r="AF47" s="499"/>
      <c r="AG47" s="499"/>
      <c r="AH47" s="499"/>
      <c r="AI47" s="1483"/>
    </row>
    <row r="48">
      <c r="A48" s="499"/>
      <c r="B48" s="1501"/>
      <c r="C48" s="1502"/>
      <c r="D48" s="1503"/>
      <c r="E48" s="1503"/>
      <c r="F48" s="1504"/>
      <c r="G48" s="1504"/>
      <c r="H48" s="483"/>
      <c r="I48" s="1505"/>
      <c r="J48" s="1506" t="s">
        <v>123</v>
      </c>
      <c r="K48" s="1506"/>
      <c r="L48" s="1506"/>
      <c r="M48" s="1479"/>
      <c r="N48" s="1503"/>
      <c r="O48" s="1503"/>
      <c r="P48" s="1507"/>
      <c r="Q48" s="1508"/>
      <c r="R48" s="1508"/>
      <c r="S48" s="1504"/>
      <c r="T48" s="1504"/>
      <c r="U48" s="483"/>
      <c r="V48" s="1505"/>
      <c r="W48" s="1506" t="s">
        <v>123</v>
      </c>
      <c r="X48" s="1506"/>
      <c r="Y48" s="1506"/>
      <c r="Z48" s="1481"/>
      <c r="AA48" s="499"/>
      <c r="AB48" s="499"/>
      <c r="AC48" s="499"/>
      <c r="AD48" s="499"/>
      <c r="AE48" s="499"/>
      <c r="AF48" s="499"/>
      <c r="AG48" s="499"/>
      <c r="AH48" s="499"/>
      <c r="AI48" s="1483"/>
    </row>
    <row r="49">
      <c r="A49" s="499"/>
      <c r="B49" s="1501"/>
      <c r="C49" s="1502"/>
      <c r="D49" s="1503"/>
      <c r="E49" s="1503"/>
      <c r="F49" s="1504"/>
      <c r="G49" s="1504"/>
      <c r="H49" s="483"/>
      <c r="I49" s="1505"/>
      <c r="J49" s="1506" t="s">
        <v>123</v>
      </c>
      <c r="K49" s="1506"/>
      <c r="L49" s="1506"/>
      <c r="M49" s="1479"/>
      <c r="N49" s="1503"/>
      <c r="O49" s="1503"/>
      <c r="P49" s="1507"/>
      <c r="Q49" s="1508"/>
      <c r="R49" s="1508"/>
      <c r="S49" s="1504"/>
      <c r="T49" s="1504"/>
      <c r="U49" s="483"/>
      <c r="V49" s="1505"/>
      <c r="W49" s="1506" t="s">
        <v>123</v>
      </c>
      <c r="X49" s="1506"/>
      <c r="Y49" s="1506"/>
      <c r="Z49" s="1481"/>
      <c r="AA49" s="499"/>
      <c r="AB49" s="499"/>
      <c r="AC49" s="499"/>
      <c r="AD49" s="499"/>
      <c r="AE49" s="499"/>
      <c r="AF49" s="499"/>
      <c r="AG49" s="499"/>
      <c r="AH49" s="499"/>
      <c r="AI49" s="1483"/>
    </row>
    <row r="50">
      <c r="A50" s="499"/>
      <c r="B50" s="1501"/>
      <c r="C50" s="1502"/>
      <c r="D50" s="1503"/>
      <c r="E50" s="1503"/>
      <c r="F50" s="1504"/>
      <c r="G50" s="1504"/>
      <c r="H50" s="483"/>
      <c r="I50" s="1505"/>
      <c r="J50" s="1506" t="s">
        <v>123</v>
      </c>
      <c r="K50" s="1506"/>
      <c r="L50" s="1506"/>
      <c r="M50" s="1479"/>
      <c r="N50" s="1503"/>
      <c r="O50" s="1503"/>
      <c r="P50" s="1507"/>
      <c r="Q50" s="1508"/>
      <c r="R50" s="1508"/>
      <c r="S50" s="1504"/>
      <c r="T50" s="1504"/>
      <c r="U50" s="483"/>
      <c r="V50" s="1505"/>
      <c r="W50" s="1506" t="s">
        <v>123</v>
      </c>
      <c r="X50" s="1506"/>
      <c r="Y50" s="1506"/>
      <c r="Z50" s="1481"/>
      <c r="AA50" s="499"/>
      <c r="AB50" s="499"/>
      <c r="AC50" s="499"/>
      <c r="AD50" s="499"/>
      <c r="AE50" s="499"/>
      <c r="AF50" s="499"/>
      <c r="AG50" s="499"/>
      <c r="AH50" s="499"/>
      <c r="AI50" s="1483"/>
    </row>
    <row r="51">
      <c r="A51" s="499"/>
      <c r="B51" s="1501"/>
      <c r="C51" s="1502"/>
      <c r="D51" s="1503"/>
      <c r="E51" s="1503"/>
      <c r="F51" s="1504"/>
      <c r="G51" s="1504"/>
      <c r="H51" s="483"/>
      <c r="I51" s="1505"/>
      <c r="J51" s="1506" t="s">
        <v>123</v>
      </c>
      <c r="K51" s="1506"/>
      <c r="L51" s="1506"/>
      <c r="M51" s="1479"/>
      <c r="N51" s="1503"/>
      <c r="O51" s="1503"/>
      <c r="P51" s="1507"/>
      <c r="Q51" s="1508"/>
      <c r="R51" s="1508"/>
      <c r="S51" s="1504"/>
      <c r="T51" s="1504"/>
      <c r="U51" s="483"/>
      <c r="V51" s="1505"/>
      <c r="W51" s="1506" t="s">
        <v>123</v>
      </c>
      <c r="X51" s="1506"/>
      <c r="Y51" s="1506"/>
      <c r="Z51" s="1481"/>
      <c r="AA51" s="499"/>
      <c r="AB51" s="499"/>
      <c r="AC51" s="499"/>
      <c r="AD51" s="499"/>
      <c r="AE51" s="499"/>
      <c r="AF51" s="499"/>
      <c r="AG51" s="499"/>
      <c r="AH51" s="499"/>
      <c r="AI51" s="1483"/>
    </row>
    <row r="52">
      <c r="A52" s="499"/>
      <c r="B52" s="1501"/>
      <c r="C52" s="1502"/>
      <c r="D52" s="1503"/>
      <c r="E52" s="1503"/>
      <c r="F52" s="1504"/>
      <c r="G52" s="1504"/>
      <c r="H52" s="483"/>
      <c r="I52" s="1505"/>
      <c r="J52" s="1506" t="s">
        <v>123</v>
      </c>
      <c r="K52" s="1506"/>
      <c r="L52" s="1506"/>
      <c r="M52" s="1479"/>
      <c r="N52" s="1503"/>
      <c r="O52" s="1503"/>
      <c r="P52" s="1507"/>
      <c r="Q52" s="1508"/>
      <c r="R52" s="1508"/>
      <c r="S52" s="1504"/>
      <c r="T52" s="1504"/>
      <c r="U52" s="483"/>
      <c r="V52" s="1505"/>
      <c r="W52" s="1506" t="s">
        <v>123</v>
      </c>
      <c r="X52" s="1506"/>
      <c r="Y52" s="1506"/>
      <c r="Z52" s="1481"/>
      <c r="AA52" s="499"/>
      <c r="AB52" s="499"/>
      <c r="AC52" s="499"/>
      <c r="AD52" s="499"/>
      <c r="AE52" s="499"/>
      <c r="AF52" s="499"/>
      <c r="AG52" s="499"/>
      <c r="AH52" s="499"/>
      <c r="AI52" s="1483"/>
    </row>
    <row r="53">
      <c r="A53" s="499"/>
      <c r="B53" s="1501"/>
      <c r="C53" s="1502"/>
      <c r="D53" s="1503"/>
      <c r="E53" s="1503"/>
      <c r="F53" s="1504"/>
      <c r="G53" s="1504"/>
      <c r="H53" s="483"/>
      <c r="I53" s="1505"/>
      <c r="J53" s="1506" t="s">
        <v>123</v>
      </c>
      <c r="K53" s="1506"/>
      <c r="L53" s="1506"/>
      <c r="M53" s="1479"/>
      <c r="N53" s="1503"/>
      <c r="O53" s="1503"/>
      <c r="P53" s="1507"/>
      <c r="Q53" s="1508"/>
      <c r="R53" s="1508"/>
      <c r="S53" s="1504"/>
      <c r="T53" s="1504"/>
      <c r="U53" s="483"/>
      <c r="V53" s="1505"/>
      <c r="W53" s="1506" t="s">
        <v>123</v>
      </c>
      <c r="X53" s="1506"/>
      <c r="Y53" s="1506"/>
      <c r="Z53" s="1481"/>
      <c r="AA53" s="499"/>
      <c r="AB53" s="499"/>
      <c r="AC53" s="499"/>
      <c r="AD53" s="499"/>
      <c r="AE53" s="499"/>
      <c r="AF53" s="499"/>
      <c r="AG53" s="499"/>
      <c r="AH53" s="499"/>
      <c r="AI53" s="1483"/>
      <c r="AJ53" s="1515"/>
      <c r="AK53" s="1515"/>
    </row>
    <row r="54">
      <c r="A54" s="499"/>
      <c r="B54" s="1501"/>
      <c r="C54" s="1502"/>
      <c r="D54" s="1503"/>
      <c r="E54" s="1503"/>
      <c r="F54" s="1504"/>
      <c r="G54" s="1504"/>
      <c r="H54" s="483"/>
      <c r="I54" s="1505"/>
      <c r="J54" s="1506" t="s">
        <v>123</v>
      </c>
      <c r="K54" s="1506"/>
      <c r="L54" s="1506"/>
      <c r="M54" s="1479"/>
      <c r="N54" s="1503"/>
      <c r="O54" s="1503"/>
      <c r="P54" s="1507"/>
      <c r="Q54" s="1508"/>
      <c r="R54" s="1508"/>
      <c r="S54" s="1504"/>
      <c r="T54" s="1504"/>
      <c r="U54" s="483"/>
      <c r="V54" s="1505"/>
      <c r="W54" s="1506" t="s">
        <v>123</v>
      </c>
      <c r="X54" s="1506"/>
      <c r="Y54" s="1506"/>
      <c r="Z54" s="1481"/>
      <c r="AA54" s="499"/>
      <c r="AB54" s="499"/>
      <c r="AC54" s="499"/>
      <c r="AD54" s="499"/>
      <c r="AE54" s="499"/>
      <c r="AF54" s="499"/>
      <c r="AG54" s="499"/>
      <c r="AH54" s="499"/>
      <c r="AI54" s="1483"/>
      <c r="AJ54" s="1515"/>
      <c r="AK54" s="1515"/>
    </row>
    <row r="55">
      <c r="A55" s="499"/>
      <c r="B55" s="1501"/>
      <c r="C55" s="1502"/>
      <c r="D55" s="1503"/>
      <c r="E55" s="1503"/>
      <c r="F55" s="1504"/>
      <c r="G55" s="1504"/>
      <c r="H55" s="483"/>
      <c r="I55" s="1505"/>
      <c r="J55" s="1506" t="s">
        <v>123</v>
      </c>
      <c r="K55" s="1506"/>
      <c r="L55" s="1506"/>
      <c r="M55" s="1479"/>
      <c r="N55" s="1503"/>
      <c r="O55" s="1503"/>
      <c r="P55" s="1507"/>
      <c r="Q55" s="1508"/>
      <c r="R55" s="1508"/>
      <c r="S55" s="1504"/>
      <c r="T55" s="1504"/>
      <c r="U55" s="483"/>
      <c r="V55" s="1505"/>
      <c r="W55" s="1506" t="s">
        <v>123</v>
      </c>
      <c r="X55" s="1506"/>
      <c r="Y55" s="1506"/>
      <c r="Z55" s="1481"/>
      <c r="AA55" s="499"/>
      <c r="AB55" s="499"/>
      <c r="AC55" s="499"/>
      <c r="AD55" s="499"/>
      <c r="AE55" s="499"/>
      <c r="AF55" s="499"/>
      <c r="AG55" s="499"/>
      <c r="AH55" s="499"/>
      <c r="AI55" s="1483"/>
      <c r="AJ55" s="1515"/>
      <c r="AK55" s="1515"/>
    </row>
    <row r="56">
      <c r="A56" s="499"/>
      <c r="B56" s="1501"/>
      <c r="C56" s="1502"/>
      <c r="D56" s="1503"/>
      <c r="E56" s="1503"/>
      <c r="F56" s="1504"/>
      <c r="G56" s="1504"/>
      <c r="H56" s="483"/>
      <c r="I56" s="1505"/>
      <c r="J56" s="1506" t="s">
        <v>123</v>
      </c>
      <c r="K56" s="1506"/>
      <c r="L56" s="1506"/>
      <c r="M56" s="1479"/>
      <c r="N56" s="1503"/>
      <c r="O56" s="1503"/>
      <c r="P56" s="1507"/>
      <c r="Q56" s="1508"/>
      <c r="R56" s="1508"/>
      <c r="S56" s="1504"/>
      <c r="T56" s="1504"/>
      <c r="U56" s="483"/>
      <c r="V56" s="1505"/>
      <c r="W56" s="1506" t="s">
        <v>123</v>
      </c>
      <c r="X56" s="1506"/>
      <c r="Y56" s="1506"/>
      <c r="Z56" s="1481"/>
      <c r="AA56" s="499"/>
      <c r="AB56" s="499"/>
      <c r="AC56" s="499"/>
      <c r="AD56" s="499"/>
      <c r="AE56" s="499"/>
      <c r="AF56" s="499"/>
      <c r="AG56" s="499"/>
      <c r="AH56" s="499"/>
      <c r="AI56" s="1483"/>
      <c r="AJ56" s="1515"/>
      <c r="AK56" s="1515"/>
    </row>
    <row r="57">
      <c r="A57" s="499"/>
      <c r="B57" s="1501"/>
      <c r="C57" s="1502"/>
      <c r="D57" s="1503"/>
      <c r="E57" s="1503"/>
      <c r="F57" s="1504"/>
      <c r="G57" s="1504"/>
      <c r="H57" s="483"/>
      <c r="I57" s="1505"/>
      <c r="J57" s="1506" t="s">
        <v>123</v>
      </c>
      <c r="K57" s="1506"/>
      <c r="L57" s="1506"/>
      <c r="M57" s="1479"/>
      <c r="N57" s="1503"/>
      <c r="O57" s="1503"/>
      <c r="P57" s="1507"/>
      <c r="Q57" s="1508"/>
      <c r="R57" s="1508"/>
      <c r="S57" s="1504"/>
      <c r="T57" s="1504"/>
      <c r="U57" s="483"/>
      <c r="V57" s="1505"/>
      <c r="W57" s="1506" t="s">
        <v>123</v>
      </c>
      <c r="X57" s="1506"/>
      <c r="Y57" s="1506"/>
      <c r="Z57" s="1481"/>
      <c r="AA57" s="499"/>
      <c r="AB57" s="499"/>
      <c r="AC57" s="499"/>
      <c r="AD57" s="499"/>
      <c r="AE57" s="499"/>
      <c r="AF57" s="499"/>
      <c r="AG57" s="499"/>
      <c r="AH57" s="499"/>
      <c r="AI57" s="1483"/>
      <c r="AJ57" s="1515"/>
      <c r="AK57" s="1515"/>
    </row>
    <row r="58">
      <c r="A58" s="499"/>
      <c r="B58" s="1501"/>
      <c r="C58" s="1502"/>
      <c r="D58" s="1503"/>
      <c r="E58" s="1503"/>
      <c r="F58" s="1504"/>
      <c r="G58" s="1504"/>
      <c r="H58" s="483"/>
      <c r="I58" s="1505"/>
      <c r="J58" s="1506" t="s">
        <v>123</v>
      </c>
      <c r="K58" s="1506"/>
      <c r="L58" s="1506"/>
      <c r="M58" s="1479"/>
      <c r="N58" s="1503"/>
      <c r="O58" s="1503"/>
      <c r="P58" s="1507"/>
      <c r="Q58" s="1508"/>
      <c r="R58" s="1508"/>
      <c r="S58" s="1504"/>
      <c r="T58" s="1504"/>
      <c r="U58" s="483"/>
      <c r="V58" s="1505"/>
      <c r="W58" s="1506" t="s">
        <v>123</v>
      </c>
      <c r="X58" s="1506"/>
      <c r="Y58" s="1506"/>
      <c r="Z58" s="1481"/>
      <c r="AA58" s="499"/>
      <c r="AB58" s="499"/>
      <c r="AC58" s="499"/>
      <c r="AD58" s="499"/>
      <c r="AE58" s="499"/>
      <c r="AF58" s="499"/>
      <c r="AG58" s="499"/>
      <c r="AH58" s="499"/>
      <c r="AI58" s="1483"/>
      <c r="AJ58" s="1515"/>
      <c r="AK58" s="1515"/>
    </row>
    <row r="59">
      <c r="A59" s="499"/>
      <c r="B59" s="1501"/>
      <c r="C59" s="1502"/>
      <c r="D59" s="1503"/>
      <c r="E59" s="1503"/>
      <c r="F59" s="1504"/>
      <c r="G59" s="1504"/>
      <c r="H59" s="483"/>
      <c r="I59" s="1505"/>
      <c r="J59" s="1506" t="s">
        <v>123</v>
      </c>
      <c r="K59" s="1506"/>
      <c r="L59" s="1506"/>
      <c r="M59" s="1479"/>
      <c r="N59" s="1503"/>
      <c r="O59" s="1503"/>
      <c r="P59" s="1507"/>
      <c r="Q59" s="1508"/>
      <c r="R59" s="1508"/>
      <c r="S59" s="1504"/>
      <c r="T59" s="1504"/>
      <c r="U59" s="483"/>
      <c r="V59" s="1505"/>
      <c r="W59" s="1506" t="s">
        <v>123</v>
      </c>
      <c r="X59" s="1506"/>
      <c r="Y59" s="1506"/>
      <c r="Z59" s="1481"/>
      <c r="AA59" s="499"/>
      <c r="AB59" s="499"/>
      <c r="AC59" s="499"/>
      <c r="AD59" s="499"/>
      <c r="AE59" s="499"/>
      <c r="AF59" s="499"/>
      <c r="AG59" s="499"/>
      <c r="AH59" s="499"/>
      <c r="AI59" s="1483"/>
      <c r="AJ59" s="1515"/>
      <c r="AK59" s="1515"/>
    </row>
    <row r="60">
      <c r="A60" s="499"/>
      <c r="B60" s="1501"/>
      <c r="C60" s="1502"/>
      <c r="D60" s="1503"/>
      <c r="E60" s="1503"/>
      <c r="F60" s="1504"/>
      <c r="G60" s="1504"/>
      <c r="H60" s="483"/>
      <c r="I60" s="1505"/>
      <c r="J60" s="1506" t="s">
        <v>123</v>
      </c>
      <c r="K60" s="1506"/>
      <c r="L60" s="1506"/>
      <c r="M60" s="1479"/>
      <c r="N60" s="1503"/>
      <c r="O60" s="1503"/>
      <c r="P60" s="1507"/>
      <c r="Q60" s="1508"/>
      <c r="R60" s="1508"/>
      <c r="S60" s="1504"/>
      <c r="T60" s="1504"/>
      <c r="U60" s="483"/>
      <c r="V60" s="1505"/>
      <c r="W60" s="1506" t="s">
        <v>123</v>
      </c>
      <c r="X60" s="1506"/>
      <c r="Y60" s="1506"/>
      <c r="Z60" s="1481"/>
      <c r="AA60" s="499"/>
      <c r="AB60" s="499"/>
      <c r="AC60" s="499"/>
      <c r="AD60" s="499"/>
      <c r="AE60" s="499"/>
      <c r="AF60" s="499"/>
      <c r="AG60" s="499"/>
      <c r="AH60" s="499"/>
      <c r="AI60" s="1483"/>
      <c r="AJ60" s="1515"/>
      <c r="AK60" s="1515"/>
    </row>
    <row r="61">
      <c r="A61" s="499"/>
      <c r="B61" s="1501"/>
      <c r="C61" s="1502"/>
      <c r="D61" s="1503"/>
      <c r="E61" s="1503"/>
      <c r="F61" s="1504"/>
      <c r="G61" s="1504"/>
      <c r="H61" s="483"/>
      <c r="I61" s="1505"/>
      <c r="J61" s="1506" t="s">
        <v>123</v>
      </c>
      <c r="K61" s="1506"/>
      <c r="L61" s="1506"/>
      <c r="M61" s="1479"/>
      <c r="N61" s="1503"/>
      <c r="O61" s="1503"/>
      <c r="P61" s="1507"/>
      <c r="Q61" s="1508"/>
      <c r="R61" s="1508"/>
      <c r="S61" s="1504"/>
      <c r="T61" s="1504"/>
      <c r="U61" s="483"/>
      <c r="V61" s="1505"/>
      <c r="W61" s="1506" t="s">
        <v>123</v>
      </c>
      <c r="X61" s="1506"/>
      <c r="Y61" s="1506"/>
      <c r="Z61" s="1481"/>
      <c r="AA61" s="499"/>
      <c r="AB61" s="499"/>
      <c r="AC61" s="499"/>
      <c r="AD61" s="499"/>
      <c r="AE61" s="499"/>
      <c r="AF61" s="499"/>
      <c r="AG61" s="499"/>
      <c r="AH61" s="499"/>
      <c r="AI61" s="1483"/>
      <c r="AJ61" s="1515"/>
      <c r="AK61" s="1515"/>
    </row>
    <row r="62">
      <c r="A62" s="499"/>
      <c r="B62" s="1501"/>
      <c r="C62" s="1502"/>
      <c r="D62" s="1503"/>
      <c r="E62" s="1503"/>
      <c r="F62" s="1504"/>
      <c r="G62" s="1504"/>
      <c r="H62" s="483"/>
      <c r="I62" s="1505"/>
      <c r="J62" s="1506" t="s">
        <v>123</v>
      </c>
      <c r="K62" s="1506"/>
      <c r="L62" s="1506"/>
      <c r="M62" s="1479"/>
      <c r="N62" s="1503"/>
      <c r="O62" s="1503"/>
      <c r="P62" s="1507"/>
      <c r="Q62" s="1508"/>
      <c r="R62" s="1508"/>
      <c r="S62" s="1504"/>
      <c r="T62" s="1504"/>
      <c r="U62" s="483"/>
      <c r="V62" s="1505"/>
      <c r="W62" s="1506" t="s">
        <v>123</v>
      </c>
      <c r="X62" s="1506"/>
      <c r="Y62" s="1506"/>
      <c r="Z62" s="1481"/>
      <c r="AA62" s="499"/>
      <c r="AB62" s="499"/>
      <c r="AC62" s="499"/>
      <c r="AD62" s="499"/>
      <c r="AE62" s="499"/>
      <c r="AF62" s="499"/>
      <c r="AG62" s="499"/>
      <c r="AH62" s="499"/>
      <c r="AI62" s="1483"/>
      <c r="AJ62" s="1515"/>
      <c r="AK62" s="1515"/>
    </row>
    <row r="63">
      <c r="A63" s="499"/>
      <c r="B63" s="1501"/>
      <c r="C63" s="1502"/>
      <c r="D63" s="1503"/>
      <c r="E63" s="1503"/>
      <c r="F63" s="1504"/>
      <c r="G63" s="1504"/>
      <c r="H63" s="483"/>
      <c r="I63" s="1505"/>
      <c r="J63" s="1506" t="s">
        <v>123</v>
      </c>
      <c r="K63" s="1506"/>
      <c r="L63" s="1506"/>
      <c r="M63" s="1479"/>
      <c r="N63" s="1503"/>
      <c r="O63" s="1503"/>
      <c r="P63" s="1507"/>
      <c r="Q63" s="1508"/>
      <c r="R63" s="1508"/>
      <c r="S63" s="1504"/>
      <c r="T63" s="1504"/>
      <c r="U63" s="483"/>
      <c r="V63" s="1505"/>
      <c r="W63" s="1506" t="s">
        <v>123</v>
      </c>
      <c r="X63" s="1506"/>
      <c r="Y63" s="1506"/>
      <c r="Z63" s="1481"/>
      <c r="AA63" s="499"/>
      <c r="AB63" s="499"/>
      <c r="AC63" s="499"/>
      <c r="AD63" s="499"/>
      <c r="AE63" s="499"/>
      <c r="AF63" s="499"/>
      <c r="AG63" s="499"/>
      <c r="AH63" s="499"/>
      <c r="AI63" s="1483"/>
      <c r="AJ63" s="1515"/>
      <c r="AK63" s="1515"/>
    </row>
    <row r="64">
      <c r="A64" s="499"/>
      <c r="B64" s="1501"/>
      <c r="C64" s="1502"/>
      <c r="D64" s="1503"/>
      <c r="E64" s="1503"/>
      <c r="F64" s="1504"/>
      <c r="G64" s="1504"/>
      <c r="H64" s="483"/>
      <c r="I64" s="1505"/>
      <c r="J64" s="1506" t="s">
        <v>123</v>
      </c>
      <c r="K64" s="1506"/>
      <c r="L64" s="1506"/>
      <c r="M64" s="1479"/>
      <c r="N64" s="1503"/>
      <c r="O64" s="1503"/>
      <c r="P64" s="1507"/>
      <c r="Q64" s="1508"/>
      <c r="R64" s="1508"/>
      <c r="S64" s="1504"/>
      <c r="T64" s="1504"/>
      <c r="U64" s="483"/>
      <c r="V64" s="1505"/>
      <c r="W64" s="1506" t="s">
        <v>123</v>
      </c>
      <c r="X64" s="1506"/>
      <c r="Y64" s="1506"/>
      <c r="Z64" s="1481"/>
      <c r="AA64" s="499"/>
      <c r="AB64" s="499"/>
      <c r="AC64" s="499"/>
      <c r="AD64" s="499"/>
      <c r="AE64" s="499"/>
      <c r="AF64" s="499"/>
      <c r="AG64" s="499"/>
      <c r="AH64" s="499"/>
      <c r="AI64" s="1483"/>
      <c r="AJ64" s="1515"/>
      <c r="AK64" s="1515"/>
    </row>
    <row r="65">
      <c r="A65" s="499"/>
      <c r="B65" s="1501"/>
      <c r="C65" s="1502"/>
      <c r="D65" s="1503"/>
      <c r="E65" s="1503"/>
      <c r="F65" s="1504"/>
      <c r="G65" s="1504"/>
      <c r="H65" s="483"/>
      <c r="I65" s="1505"/>
      <c r="J65" s="1506" t="s">
        <v>123</v>
      </c>
      <c r="K65" s="1506"/>
      <c r="L65" s="1506"/>
      <c r="M65" s="1479"/>
      <c r="N65" s="1503"/>
      <c r="O65" s="1503"/>
      <c r="P65" s="1507"/>
      <c r="Q65" s="1508"/>
      <c r="R65" s="1508"/>
      <c r="S65" s="1504"/>
      <c r="T65" s="1504"/>
      <c r="U65" s="483"/>
      <c r="V65" s="1505"/>
      <c r="W65" s="1506" t="s">
        <v>123</v>
      </c>
      <c r="X65" s="1506"/>
      <c r="Y65" s="1506"/>
      <c r="Z65" s="1481"/>
      <c r="AA65" s="499"/>
      <c r="AB65" s="499"/>
      <c r="AC65" s="499"/>
      <c r="AD65" s="499"/>
      <c r="AE65" s="499"/>
      <c r="AF65" s="499"/>
      <c r="AG65" s="499"/>
      <c r="AH65" s="499"/>
      <c r="AI65" s="1483"/>
      <c r="AJ65" s="1515"/>
      <c r="AK65" s="1515"/>
    </row>
    <row r="66">
      <c r="A66" s="499"/>
      <c r="B66" s="1501"/>
      <c r="C66" s="1502"/>
      <c r="D66" s="1503"/>
      <c r="E66" s="1503"/>
      <c r="F66" s="1504"/>
      <c r="G66" s="1504"/>
      <c r="H66" s="483"/>
      <c r="I66" s="1505"/>
      <c r="J66" s="1506" t="s">
        <v>123</v>
      </c>
      <c r="K66" s="1506"/>
      <c r="L66" s="1506"/>
      <c r="M66" s="1479"/>
      <c r="N66" s="1503"/>
      <c r="O66" s="1503"/>
      <c r="P66" s="1507"/>
      <c r="Q66" s="1508"/>
      <c r="R66" s="1508"/>
      <c r="S66" s="1504"/>
      <c r="T66" s="1504"/>
      <c r="U66" s="483"/>
      <c r="V66" s="1505"/>
      <c r="W66" s="1506" t="s">
        <v>123</v>
      </c>
      <c r="X66" s="1506"/>
      <c r="Y66" s="1506"/>
      <c r="Z66" s="1481"/>
      <c r="AA66" s="499"/>
      <c r="AB66" s="499"/>
      <c r="AC66" s="499"/>
      <c r="AD66" s="499"/>
      <c r="AE66" s="499"/>
      <c r="AF66" s="499"/>
      <c r="AG66" s="499"/>
      <c r="AH66" s="499"/>
      <c r="AI66" s="1483"/>
      <c r="AJ66" s="1515"/>
      <c r="AK66" s="1515"/>
    </row>
    <row r="67">
      <c r="A67" s="499"/>
      <c r="B67" s="1501"/>
      <c r="C67" s="1502"/>
      <c r="D67" s="1503"/>
      <c r="E67" s="1503"/>
      <c r="F67" s="1504"/>
      <c r="G67" s="1504"/>
      <c r="H67" s="483"/>
      <c r="I67" s="1505"/>
      <c r="J67" s="1506" t="s">
        <v>123</v>
      </c>
      <c r="K67" s="1506"/>
      <c r="L67" s="1506"/>
      <c r="M67" s="1479"/>
      <c r="N67" s="1503"/>
      <c r="O67" s="1503"/>
      <c r="P67" s="1507"/>
      <c r="Q67" s="1508"/>
      <c r="R67" s="1508"/>
      <c r="S67" s="1504"/>
      <c r="T67" s="1504"/>
      <c r="U67" s="483"/>
      <c r="V67" s="1505"/>
      <c r="W67" s="1506" t="s">
        <v>123</v>
      </c>
      <c r="X67" s="1506"/>
      <c r="Y67" s="1506"/>
      <c r="Z67" s="1481"/>
      <c r="AA67" s="499"/>
      <c r="AB67" s="499"/>
      <c r="AC67" s="499"/>
      <c r="AD67" s="499"/>
      <c r="AE67" s="499"/>
      <c r="AF67" s="499"/>
      <c r="AG67" s="499"/>
      <c r="AH67" s="499"/>
      <c r="AI67" s="1483"/>
      <c r="AJ67" s="1515"/>
      <c r="AK67" s="1515"/>
    </row>
    <row r="68">
      <c r="A68" s="499"/>
      <c r="B68" s="1501"/>
      <c r="C68" s="1502"/>
      <c r="D68" s="1503"/>
      <c r="E68" s="1503"/>
      <c r="F68" s="1504"/>
      <c r="G68" s="1504"/>
      <c r="H68" s="483"/>
      <c r="I68" s="1505"/>
      <c r="J68" s="1506" t="s">
        <v>123</v>
      </c>
      <c r="K68" s="1506"/>
      <c r="L68" s="1506"/>
      <c r="M68" s="1479"/>
      <c r="N68" s="1503"/>
      <c r="O68" s="1503"/>
      <c r="P68" s="1507"/>
      <c r="Q68" s="1508"/>
      <c r="R68" s="1508"/>
      <c r="S68" s="1504"/>
      <c r="T68" s="1504"/>
      <c r="U68" s="483"/>
      <c r="V68" s="1505"/>
      <c r="W68" s="1506" t="s">
        <v>123</v>
      </c>
      <c r="X68" s="1506"/>
      <c r="Y68" s="1506"/>
      <c r="Z68" s="1481"/>
      <c r="AA68" s="499"/>
      <c r="AB68" s="499"/>
      <c r="AC68" s="499"/>
      <c r="AD68" s="499"/>
      <c r="AE68" s="499"/>
      <c r="AF68" s="499"/>
      <c r="AG68" s="499"/>
      <c r="AH68" s="499"/>
      <c r="AI68" s="1483"/>
      <c r="AJ68" s="1515"/>
      <c r="AK68" s="1515"/>
    </row>
    <row r="69">
      <c r="A69" s="499"/>
      <c r="B69" s="1501"/>
      <c r="C69" s="1502"/>
      <c r="D69" s="1503"/>
      <c r="E69" s="1503"/>
      <c r="F69" s="1504"/>
      <c r="G69" s="1504"/>
      <c r="H69" s="483"/>
      <c r="I69" s="1505"/>
      <c r="J69" s="1506" t="s">
        <v>123</v>
      </c>
      <c r="K69" s="1506"/>
      <c r="L69" s="1506"/>
      <c r="M69" s="1479"/>
      <c r="N69" s="1503"/>
      <c r="O69" s="1503"/>
      <c r="P69" s="1507"/>
      <c r="Q69" s="1508"/>
      <c r="R69" s="1508"/>
      <c r="S69" s="1504"/>
      <c r="T69" s="1504"/>
      <c r="U69" s="483"/>
      <c r="V69" s="1505"/>
      <c r="W69" s="1506" t="s">
        <v>123</v>
      </c>
      <c r="X69" s="1506"/>
      <c r="Y69" s="1506"/>
      <c r="Z69" s="1481"/>
      <c r="AA69" s="499"/>
      <c r="AB69" s="499"/>
      <c r="AC69" s="499"/>
      <c r="AD69" s="499"/>
      <c r="AE69" s="499"/>
      <c r="AF69" s="499"/>
      <c r="AG69" s="499"/>
      <c r="AH69" s="499"/>
      <c r="AI69" s="1483"/>
      <c r="AJ69" s="1515"/>
      <c r="AK69" s="1515"/>
    </row>
    <row r="70">
      <c r="A70" s="499"/>
      <c r="B70" s="1501"/>
      <c r="C70" s="1502"/>
      <c r="D70" s="1503"/>
      <c r="E70" s="1503"/>
      <c r="F70" s="1504"/>
      <c r="G70" s="1504"/>
      <c r="H70" s="483"/>
      <c r="I70" s="1505"/>
      <c r="J70" s="1506" t="s">
        <v>123</v>
      </c>
      <c r="K70" s="1506"/>
      <c r="L70" s="1506"/>
      <c r="M70" s="1479"/>
      <c r="N70" s="1503"/>
      <c r="O70" s="1503"/>
      <c r="P70" s="1507"/>
      <c r="Q70" s="1508"/>
      <c r="R70" s="1508"/>
      <c r="S70" s="1504"/>
      <c r="T70" s="1504"/>
      <c r="U70" s="483"/>
      <c r="V70" s="1505"/>
      <c r="W70" s="1506" t="s">
        <v>123</v>
      </c>
      <c r="X70" s="1506"/>
      <c r="Y70" s="1506"/>
      <c r="Z70" s="1481"/>
      <c r="AA70" s="499"/>
      <c r="AB70" s="499"/>
      <c r="AC70" s="499"/>
      <c r="AD70" s="499"/>
      <c r="AE70" s="499"/>
      <c r="AF70" s="499"/>
      <c r="AG70" s="499"/>
      <c r="AH70" s="499"/>
      <c r="AI70" s="1483"/>
      <c r="AJ70" s="1515"/>
      <c r="AK70" s="1515"/>
    </row>
    <row r="71">
      <c r="A71" s="499"/>
      <c r="B71" s="1501"/>
      <c r="C71" s="1502"/>
      <c r="D71" s="1503"/>
      <c r="E71" s="1503"/>
      <c r="F71" s="1504"/>
      <c r="G71" s="1504"/>
      <c r="H71" s="483"/>
      <c r="I71" s="1505"/>
      <c r="J71" s="1506" t="s">
        <v>123</v>
      </c>
      <c r="K71" s="1506"/>
      <c r="L71" s="1506"/>
      <c r="M71" s="1479"/>
      <c r="N71" s="1503"/>
      <c r="O71" s="1503"/>
      <c r="P71" s="1507"/>
      <c r="Q71" s="1508"/>
      <c r="R71" s="1508"/>
      <c r="S71" s="1504"/>
      <c r="T71" s="1504"/>
      <c r="U71" s="483"/>
      <c r="V71" s="1505"/>
      <c r="W71" s="1506" t="s">
        <v>123</v>
      </c>
      <c r="X71" s="1506"/>
      <c r="Y71" s="1506"/>
      <c r="Z71" s="1481"/>
      <c r="AA71" s="499"/>
      <c r="AB71" s="499"/>
      <c r="AC71" s="499"/>
      <c r="AD71" s="499"/>
      <c r="AE71" s="499"/>
      <c r="AF71" s="499"/>
      <c r="AG71" s="499"/>
      <c r="AH71" s="499"/>
      <c r="AI71" s="1483"/>
      <c r="AJ71" s="1515"/>
      <c r="AK71" s="1515"/>
    </row>
    <row r="72">
      <c r="A72" s="499"/>
      <c r="B72" s="1501"/>
      <c r="C72" s="1502"/>
      <c r="D72" s="1503"/>
      <c r="E72" s="1503"/>
      <c r="F72" s="1504"/>
      <c r="G72" s="1504"/>
      <c r="H72" s="483"/>
      <c r="I72" s="1505"/>
      <c r="J72" s="1506" t="s">
        <v>123</v>
      </c>
      <c r="K72" s="1506"/>
      <c r="L72" s="1506"/>
      <c r="M72" s="1479"/>
      <c r="N72" s="1503"/>
      <c r="O72" s="1503"/>
      <c r="P72" s="1507"/>
      <c r="Q72" s="1508"/>
      <c r="R72" s="1508"/>
      <c r="S72" s="1504"/>
      <c r="T72" s="1504"/>
      <c r="U72" s="483"/>
      <c r="V72" s="1505"/>
      <c r="W72" s="1506" t="s">
        <v>123</v>
      </c>
      <c r="X72" s="1506"/>
      <c r="Y72" s="1506"/>
      <c r="Z72" s="1481"/>
      <c r="AA72" s="499"/>
      <c r="AB72" s="499"/>
      <c r="AC72" s="499"/>
      <c r="AD72" s="499"/>
      <c r="AE72" s="499"/>
      <c r="AF72" s="499"/>
      <c r="AG72" s="499"/>
      <c r="AH72" s="499"/>
      <c r="AI72" s="1483"/>
      <c r="AJ72" s="1515"/>
      <c r="AK72" s="1515"/>
    </row>
    <row r="73">
      <c r="A73" s="499"/>
      <c r="B73" s="1501"/>
      <c r="C73" s="1502"/>
      <c r="D73" s="1503"/>
      <c r="E73" s="1503"/>
      <c r="F73" s="1504"/>
      <c r="G73" s="1504"/>
      <c r="H73" s="483"/>
      <c r="I73" s="1505"/>
      <c r="J73" s="1506" t="s">
        <v>123</v>
      </c>
      <c r="K73" s="1506"/>
      <c r="L73" s="1506"/>
      <c r="M73" s="1479"/>
      <c r="N73" s="1503"/>
      <c r="O73" s="1503"/>
      <c r="P73" s="1507"/>
      <c r="Q73" s="1508"/>
      <c r="R73" s="1508"/>
      <c r="S73" s="1504"/>
      <c r="T73" s="1504"/>
      <c r="U73" s="483"/>
      <c r="V73" s="1505"/>
      <c r="W73" s="1506" t="s">
        <v>123</v>
      </c>
      <c r="X73" s="1506"/>
      <c r="Y73" s="1506"/>
      <c r="Z73" s="1481"/>
      <c r="AA73" s="499"/>
      <c r="AB73" s="499"/>
      <c r="AC73" s="499"/>
      <c r="AD73" s="499"/>
      <c r="AE73" s="499"/>
      <c r="AF73" s="499"/>
      <c r="AG73" s="499"/>
      <c r="AH73" s="499"/>
      <c r="AI73" s="1483"/>
      <c r="AJ73" s="1515"/>
      <c r="AK73" s="1515"/>
    </row>
    <row r="74">
      <c r="A74" s="499"/>
      <c r="B74" s="1501"/>
      <c r="C74" s="1502"/>
      <c r="D74" s="1503"/>
      <c r="E74" s="1503"/>
      <c r="F74" s="1504"/>
      <c r="G74" s="1504"/>
      <c r="H74" s="483"/>
      <c r="I74" s="1505"/>
      <c r="J74" s="1506" t="s">
        <v>123</v>
      </c>
      <c r="K74" s="1506"/>
      <c r="L74" s="1506"/>
      <c r="M74" s="1479"/>
      <c r="N74" s="1503"/>
      <c r="O74" s="1503"/>
      <c r="P74" s="1507"/>
      <c r="Q74" s="1508"/>
      <c r="R74" s="1508"/>
      <c r="S74" s="1504"/>
      <c r="T74" s="1504"/>
      <c r="U74" s="483"/>
      <c r="V74" s="1505"/>
      <c r="W74" s="1506" t="s">
        <v>123</v>
      </c>
      <c r="X74" s="1506"/>
      <c r="Y74" s="1506"/>
      <c r="Z74" s="1481"/>
      <c r="AA74" s="499"/>
      <c r="AB74" s="499"/>
      <c r="AC74" s="499"/>
      <c r="AD74" s="499"/>
      <c r="AE74" s="499"/>
      <c r="AF74" s="499"/>
      <c r="AG74" s="499"/>
      <c r="AH74" s="499"/>
      <c r="AI74" s="1483"/>
      <c r="AJ74" s="1515"/>
      <c r="AK74" s="1515"/>
    </row>
    <row r="75">
      <c r="A75" s="499"/>
      <c r="B75" s="1501"/>
      <c r="C75" s="1502"/>
      <c r="D75" s="1503"/>
      <c r="E75" s="1503"/>
      <c r="F75" s="1504"/>
      <c r="G75" s="1504"/>
      <c r="H75" s="483"/>
      <c r="I75" s="1505"/>
      <c r="J75" s="1506" t="s">
        <v>123</v>
      </c>
      <c r="K75" s="1506"/>
      <c r="L75" s="1506"/>
      <c r="M75" s="1479"/>
      <c r="N75" s="1503"/>
      <c r="O75" s="1503"/>
      <c r="P75" s="1507"/>
      <c r="Q75" s="1508"/>
      <c r="R75" s="1508"/>
      <c r="S75" s="1504"/>
      <c r="T75" s="1504"/>
      <c r="U75" s="483"/>
      <c r="V75" s="1505"/>
      <c r="W75" s="1506" t="s">
        <v>123</v>
      </c>
      <c r="X75" s="1506"/>
      <c r="Y75" s="1506"/>
      <c r="Z75" s="1481"/>
      <c r="AA75" s="499"/>
      <c r="AB75" s="499"/>
      <c r="AC75" s="499"/>
      <c r="AD75" s="499"/>
      <c r="AE75" s="499"/>
      <c r="AF75" s="499"/>
      <c r="AG75" s="499"/>
      <c r="AH75" s="499"/>
      <c r="AI75" s="1483"/>
      <c r="AJ75" s="1515"/>
      <c r="AK75" s="1515"/>
    </row>
    <row r="76">
      <c r="A76" s="499"/>
      <c r="B76" s="1501"/>
      <c r="C76" s="1502"/>
      <c r="D76" s="1503"/>
      <c r="E76" s="1503"/>
      <c r="F76" s="1504"/>
      <c r="G76" s="1504"/>
      <c r="H76" s="483"/>
      <c r="I76" s="1505"/>
      <c r="J76" s="1506" t="s">
        <v>123</v>
      </c>
      <c r="K76" s="1506"/>
      <c r="L76" s="1506"/>
      <c r="M76" s="1479"/>
      <c r="N76" s="1503"/>
      <c r="O76" s="1503"/>
      <c r="P76" s="1507"/>
      <c r="Q76" s="1508"/>
      <c r="R76" s="1508"/>
      <c r="S76" s="1504"/>
      <c r="T76" s="1504"/>
      <c r="U76" s="483"/>
      <c r="V76" s="1505"/>
      <c r="W76" s="1506" t="s">
        <v>123</v>
      </c>
      <c r="X76" s="1506"/>
      <c r="Y76" s="1506"/>
      <c r="Z76" s="1481"/>
      <c r="AA76" s="499"/>
      <c r="AB76" s="499"/>
      <c r="AC76" s="499"/>
      <c r="AD76" s="499"/>
      <c r="AE76" s="499"/>
      <c r="AF76" s="499"/>
      <c r="AG76" s="499"/>
      <c r="AH76" s="499"/>
      <c r="AI76" s="1483"/>
      <c r="AJ76" s="1515"/>
      <c r="AK76" s="1515"/>
    </row>
    <row r="77">
      <c r="A77" s="499"/>
      <c r="B77" s="1501"/>
      <c r="C77" s="1502"/>
      <c r="D77" s="1503"/>
      <c r="E77" s="1503"/>
      <c r="F77" s="1504"/>
      <c r="G77" s="1504"/>
      <c r="H77" s="483"/>
      <c r="I77" s="1505"/>
      <c r="J77" s="1506" t="s">
        <v>123</v>
      </c>
      <c r="K77" s="1506"/>
      <c r="L77" s="1506"/>
      <c r="M77" s="1479"/>
      <c r="N77" s="1503"/>
      <c r="O77" s="1503"/>
      <c r="P77" s="1507"/>
      <c r="Q77" s="1508"/>
      <c r="R77" s="1508"/>
      <c r="S77" s="1504"/>
      <c r="T77" s="1504"/>
      <c r="U77" s="483"/>
      <c r="V77" s="1505"/>
      <c r="W77" s="1506" t="s">
        <v>123</v>
      </c>
      <c r="X77" s="1506"/>
      <c r="Y77" s="1506"/>
      <c r="Z77" s="1481"/>
      <c r="AA77" s="499"/>
      <c r="AB77" s="499"/>
      <c r="AC77" s="499"/>
      <c r="AD77" s="499"/>
      <c r="AE77" s="499"/>
      <c r="AF77" s="499"/>
      <c r="AG77" s="499"/>
      <c r="AH77" s="499"/>
      <c r="AI77" s="1483"/>
      <c r="AJ77" s="1515"/>
      <c r="AK77" s="1515"/>
    </row>
    <row r="78">
      <c r="A78" s="499"/>
      <c r="B78" s="1501"/>
      <c r="C78" s="1502"/>
      <c r="D78" s="1503"/>
      <c r="E78" s="1503"/>
      <c r="F78" s="1504"/>
      <c r="G78" s="1504"/>
      <c r="H78" s="483"/>
      <c r="I78" s="1505"/>
      <c r="J78" s="1506" t="s">
        <v>123</v>
      </c>
      <c r="K78" s="1506"/>
      <c r="L78" s="1506"/>
      <c r="M78" s="1479"/>
      <c r="N78" s="1503"/>
      <c r="O78" s="1503"/>
      <c r="P78" s="1507"/>
      <c r="Q78" s="1508"/>
      <c r="R78" s="1508"/>
      <c r="S78" s="1504"/>
      <c r="T78" s="1504"/>
      <c r="U78" s="483"/>
      <c r="V78" s="1505"/>
      <c r="W78" s="1506" t="s">
        <v>123</v>
      </c>
      <c r="X78" s="1506"/>
      <c r="Y78" s="1506"/>
      <c r="Z78" s="1481"/>
      <c r="AA78" s="499"/>
      <c r="AB78" s="499"/>
      <c r="AC78" s="499"/>
      <c r="AD78" s="499"/>
      <c r="AE78" s="499"/>
      <c r="AF78" s="499"/>
      <c r="AG78" s="499"/>
      <c r="AH78" s="499"/>
      <c r="AI78" s="1483"/>
      <c r="AJ78" s="1515"/>
      <c r="AK78" s="1515"/>
    </row>
    <row r="79">
      <c r="A79" s="499"/>
      <c r="B79" s="1501"/>
      <c r="C79" s="1502"/>
      <c r="D79" s="1503"/>
      <c r="E79" s="1503"/>
      <c r="F79" s="1504"/>
      <c r="G79" s="1504"/>
      <c r="H79" s="483"/>
      <c r="I79" s="1505"/>
      <c r="J79" s="1506" t="s">
        <v>123</v>
      </c>
      <c r="K79" s="1506"/>
      <c r="L79" s="1506"/>
      <c r="M79" s="1479"/>
      <c r="N79" s="1503"/>
      <c r="O79" s="1503"/>
      <c r="P79" s="1507"/>
      <c r="Q79" s="1508"/>
      <c r="R79" s="1508"/>
      <c r="S79" s="1504"/>
      <c r="T79" s="1504"/>
      <c r="U79" s="483"/>
      <c r="V79" s="1505"/>
      <c r="W79" s="1506" t="s">
        <v>123</v>
      </c>
      <c r="X79" s="1506"/>
      <c r="Y79" s="1506"/>
      <c r="Z79" s="1481"/>
      <c r="AA79" s="499"/>
      <c r="AB79" s="499"/>
      <c r="AC79" s="499"/>
      <c r="AD79" s="499"/>
      <c r="AE79" s="499"/>
      <c r="AF79" s="499"/>
      <c r="AG79" s="499"/>
      <c r="AH79" s="499"/>
      <c r="AI79" s="1483"/>
      <c r="AJ79" s="1515"/>
      <c r="AK79" s="1515"/>
    </row>
    <row r="80">
      <c r="A80" s="499"/>
      <c r="B80" s="1501"/>
      <c r="C80" s="1502"/>
      <c r="D80" s="1503"/>
      <c r="E80" s="1503"/>
      <c r="F80" s="1504"/>
      <c r="G80" s="1504"/>
      <c r="H80" s="483"/>
      <c r="I80" s="1505"/>
      <c r="J80" s="1506" t="s">
        <v>123</v>
      </c>
      <c r="K80" s="1506"/>
      <c r="L80" s="1506"/>
      <c r="M80" s="1479"/>
      <c r="N80" s="1503"/>
      <c r="O80" s="1503"/>
      <c r="P80" s="1507"/>
      <c r="Q80" s="1508"/>
      <c r="R80" s="1508"/>
      <c r="S80" s="1504"/>
      <c r="T80" s="1504"/>
      <c r="U80" s="483"/>
      <c r="V80" s="1505"/>
      <c r="W80" s="1506" t="s">
        <v>123</v>
      </c>
      <c r="X80" s="1506"/>
      <c r="Y80" s="1506"/>
      <c r="Z80" s="1481"/>
      <c r="AA80" s="499"/>
      <c r="AB80" s="499"/>
      <c r="AC80" s="499"/>
      <c r="AD80" s="499"/>
      <c r="AE80" s="499"/>
      <c r="AF80" s="499"/>
      <c r="AG80" s="499"/>
      <c r="AH80" s="499"/>
      <c r="AI80" s="1483"/>
      <c r="AJ80" s="1515"/>
      <c r="AK80" s="1515"/>
    </row>
    <row r="81">
      <c r="A81" s="499"/>
      <c r="B81" s="1501"/>
      <c r="C81" s="1502"/>
      <c r="D81" s="1503"/>
      <c r="E81" s="1503"/>
      <c r="F81" s="1504"/>
      <c r="G81" s="1504"/>
      <c r="H81" s="483"/>
      <c r="I81" s="1505"/>
      <c r="J81" s="1506" t="s">
        <v>123</v>
      </c>
      <c r="K81" s="1506"/>
      <c r="L81" s="1506"/>
      <c r="M81" s="1479"/>
      <c r="N81" s="1503"/>
      <c r="O81" s="1503"/>
      <c r="P81" s="1507"/>
      <c r="Q81" s="1508"/>
      <c r="R81" s="1508"/>
      <c r="S81" s="1504"/>
      <c r="T81" s="1504"/>
      <c r="U81" s="483"/>
      <c r="V81" s="1505"/>
      <c r="W81" s="1506" t="s">
        <v>123</v>
      </c>
      <c r="X81" s="1506"/>
      <c r="Y81" s="1506"/>
      <c r="Z81" s="1481"/>
      <c r="AA81" s="499"/>
      <c r="AB81" s="499"/>
      <c r="AC81" s="499"/>
      <c r="AD81" s="499"/>
      <c r="AE81" s="499"/>
      <c r="AF81" s="499"/>
      <c r="AG81" s="499"/>
      <c r="AH81" s="499"/>
      <c r="AI81" s="1483"/>
      <c r="AJ81" s="1515"/>
      <c r="AK81" s="1515"/>
    </row>
    <row r="82">
      <c r="A82" s="499"/>
      <c r="B82" s="1501"/>
      <c r="C82" s="1502"/>
      <c r="D82" s="1503"/>
      <c r="E82" s="1503"/>
      <c r="F82" s="1504"/>
      <c r="G82" s="1504"/>
      <c r="H82" s="483"/>
      <c r="I82" s="1505"/>
      <c r="J82" s="1506" t="s">
        <v>123</v>
      </c>
      <c r="K82" s="1506"/>
      <c r="L82" s="1506"/>
      <c r="M82" s="1479"/>
      <c r="N82" s="1503"/>
      <c r="O82" s="1503"/>
      <c r="P82" s="1507"/>
      <c r="Q82" s="1508"/>
      <c r="R82" s="1508"/>
      <c r="S82" s="1504"/>
      <c r="T82" s="1504"/>
      <c r="U82" s="483"/>
      <c r="V82" s="1505"/>
      <c r="W82" s="1506" t="s">
        <v>123</v>
      </c>
      <c r="X82" s="1506"/>
      <c r="Y82" s="1506"/>
      <c r="Z82" s="1481"/>
      <c r="AA82" s="499"/>
      <c r="AB82" s="499"/>
      <c r="AC82" s="499"/>
      <c r="AD82" s="499"/>
      <c r="AE82" s="499"/>
      <c r="AF82" s="499"/>
      <c r="AG82" s="499"/>
      <c r="AH82" s="499"/>
      <c r="AI82" s="1483"/>
      <c r="AJ82" s="1515"/>
      <c r="AK82" s="1515"/>
    </row>
    <row r="83">
      <c r="A83" s="499"/>
      <c r="B83" s="1501"/>
      <c r="C83" s="1502"/>
      <c r="D83" s="1503"/>
      <c r="E83" s="1503"/>
      <c r="F83" s="1504"/>
      <c r="G83" s="1504"/>
      <c r="H83" s="483"/>
      <c r="I83" s="1505"/>
      <c r="J83" s="1506" t="s">
        <v>123</v>
      </c>
      <c r="K83" s="1506"/>
      <c r="L83" s="1506"/>
      <c r="M83" s="1479"/>
      <c r="N83" s="1503"/>
      <c r="O83" s="1503"/>
      <c r="P83" s="1507"/>
      <c r="Q83" s="1508"/>
      <c r="R83" s="1508"/>
      <c r="S83" s="1504"/>
      <c r="T83" s="1504"/>
      <c r="U83" s="483"/>
      <c r="V83" s="1505"/>
      <c r="W83" s="1506" t="s">
        <v>123</v>
      </c>
      <c r="X83" s="1506"/>
      <c r="Y83" s="1506"/>
      <c r="Z83" s="1481"/>
      <c r="AA83" s="499"/>
      <c r="AB83" s="499"/>
      <c r="AC83" s="499"/>
      <c r="AD83" s="499"/>
      <c r="AE83" s="499"/>
      <c r="AF83" s="499"/>
      <c r="AG83" s="499"/>
      <c r="AH83" s="499"/>
      <c r="AI83" s="1483"/>
      <c r="AJ83" s="1515"/>
      <c r="AK83" s="1515"/>
    </row>
    <row r="84">
      <c r="A84" s="499"/>
      <c r="B84" s="1501"/>
      <c r="C84" s="1502"/>
      <c r="D84" s="1503"/>
      <c r="E84" s="1503"/>
      <c r="F84" s="1504"/>
      <c r="G84" s="1504"/>
      <c r="H84" s="483"/>
      <c r="I84" s="1505"/>
      <c r="J84" s="1506" t="s">
        <v>123</v>
      </c>
      <c r="K84" s="1506"/>
      <c r="L84" s="1506"/>
      <c r="M84" s="1479"/>
      <c r="N84" s="1503"/>
      <c r="O84" s="1503"/>
      <c r="P84" s="1507"/>
      <c r="Q84" s="1508"/>
      <c r="R84" s="1508"/>
      <c r="S84" s="1504"/>
      <c r="T84" s="1504"/>
      <c r="U84" s="483"/>
      <c r="V84" s="1505"/>
      <c r="W84" s="1506" t="s">
        <v>123</v>
      </c>
      <c r="X84" s="1506"/>
      <c r="Y84" s="1506"/>
      <c r="Z84" s="1481"/>
      <c r="AA84" s="499"/>
      <c r="AB84" s="499"/>
      <c r="AC84" s="499"/>
      <c r="AD84" s="499"/>
      <c r="AE84" s="499"/>
      <c r="AF84" s="499"/>
      <c r="AG84" s="499"/>
      <c r="AH84" s="499"/>
      <c r="AI84" s="1483"/>
      <c r="AJ84" s="1515"/>
      <c r="AK84" s="1515"/>
    </row>
    <row r="85">
      <c r="A85" s="499"/>
      <c r="B85" s="1501"/>
      <c r="C85" s="1502"/>
      <c r="D85" s="1503"/>
      <c r="E85" s="1503"/>
      <c r="F85" s="1504"/>
      <c r="G85" s="1504"/>
      <c r="H85" s="483"/>
      <c r="I85" s="1505"/>
      <c r="J85" s="1506" t="s">
        <v>123</v>
      </c>
      <c r="K85" s="1506"/>
      <c r="L85" s="1506"/>
      <c r="M85" s="1479"/>
      <c r="N85" s="1503"/>
      <c r="O85" s="1503"/>
      <c r="P85" s="1507"/>
      <c r="Q85" s="1508"/>
      <c r="R85" s="1508"/>
      <c r="S85" s="1504"/>
      <c r="T85" s="1504"/>
      <c r="U85" s="483"/>
      <c r="V85" s="1505"/>
      <c r="W85" s="1506" t="s">
        <v>123</v>
      </c>
      <c r="X85" s="1506"/>
      <c r="Y85" s="1506"/>
      <c r="Z85" s="1481"/>
      <c r="AA85" s="499"/>
      <c r="AB85" s="499"/>
      <c r="AC85" s="499"/>
      <c r="AD85" s="499"/>
      <c r="AE85" s="499"/>
      <c r="AF85" s="499"/>
      <c r="AG85" s="499"/>
      <c r="AH85" s="499"/>
      <c r="AI85" s="1483"/>
      <c r="AJ85" s="1515"/>
      <c r="AK85" s="1515"/>
    </row>
    <row r="86">
      <c r="A86" s="499"/>
      <c r="B86" s="1501"/>
      <c r="C86" s="1502"/>
      <c r="D86" s="1503"/>
      <c r="E86" s="1503"/>
      <c r="F86" s="1504"/>
      <c r="G86" s="1504"/>
      <c r="H86" s="483"/>
      <c r="I86" s="1505"/>
      <c r="J86" s="1506" t="s">
        <v>123</v>
      </c>
      <c r="K86" s="1506"/>
      <c r="L86" s="1506"/>
      <c r="M86" s="1479"/>
      <c r="N86" s="1503"/>
      <c r="O86" s="1503"/>
      <c r="P86" s="1507"/>
      <c r="Q86" s="1508"/>
      <c r="R86" s="1508"/>
      <c r="S86" s="1504"/>
      <c r="T86" s="1504"/>
      <c r="U86" s="483"/>
      <c r="V86" s="1505"/>
      <c r="W86" s="1506" t="s">
        <v>123</v>
      </c>
      <c r="X86" s="1506"/>
      <c r="Y86" s="1506"/>
      <c r="Z86" s="1481"/>
      <c r="AA86" s="499"/>
      <c r="AB86" s="499"/>
      <c r="AC86" s="499"/>
      <c r="AD86" s="499"/>
      <c r="AE86" s="499"/>
      <c r="AF86" s="499"/>
      <c r="AG86" s="499"/>
      <c r="AH86" s="499"/>
      <c r="AI86" s="1483"/>
      <c r="AJ86" s="1515"/>
      <c r="AK86" s="1515"/>
    </row>
    <row r="87">
      <c r="A87" s="499"/>
      <c r="B87" s="1501"/>
      <c r="C87" s="1502"/>
      <c r="D87" s="1503"/>
      <c r="E87" s="1503"/>
      <c r="F87" s="1504"/>
      <c r="G87" s="1504"/>
      <c r="H87" s="483"/>
      <c r="I87" s="1505"/>
      <c r="J87" s="1506" t="s">
        <v>123</v>
      </c>
      <c r="K87" s="1506"/>
      <c r="L87" s="1506"/>
      <c r="M87" s="1479"/>
      <c r="N87" s="1503"/>
      <c r="O87" s="1503"/>
      <c r="P87" s="1507"/>
      <c r="Q87" s="1508"/>
      <c r="R87" s="1508"/>
      <c r="S87" s="1504"/>
      <c r="T87" s="1504"/>
      <c r="U87" s="483"/>
      <c r="V87" s="1505"/>
      <c r="W87" s="1506" t="s">
        <v>123</v>
      </c>
      <c r="X87" s="1506"/>
      <c r="Y87" s="1506"/>
      <c r="Z87" s="1481"/>
      <c r="AA87" s="499"/>
      <c r="AB87" s="499"/>
      <c r="AC87" s="499"/>
      <c r="AD87" s="499"/>
      <c r="AE87" s="499"/>
      <c r="AF87" s="499"/>
      <c r="AG87" s="499"/>
      <c r="AH87" s="499"/>
      <c r="AI87" s="1483"/>
      <c r="AJ87" s="1515"/>
      <c r="AK87" s="1515"/>
    </row>
    <row r="88">
      <c r="A88" s="499"/>
      <c r="B88" s="1501"/>
      <c r="C88" s="1502"/>
      <c r="D88" s="1503"/>
      <c r="E88" s="1503"/>
      <c r="F88" s="1504"/>
      <c r="G88" s="1504"/>
      <c r="H88" s="483"/>
      <c r="I88" s="1505"/>
      <c r="J88" s="1506" t="s">
        <v>123</v>
      </c>
      <c r="K88" s="1506"/>
      <c r="L88" s="1506"/>
      <c r="M88" s="1479"/>
      <c r="N88" s="1503"/>
      <c r="O88" s="1503"/>
      <c r="P88" s="1507"/>
      <c r="Q88" s="1508"/>
      <c r="R88" s="1508"/>
      <c r="S88" s="1504"/>
      <c r="T88" s="1504"/>
      <c r="U88" s="483"/>
      <c r="V88" s="1505"/>
      <c r="W88" s="1506" t="s">
        <v>123</v>
      </c>
      <c r="X88" s="1506"/>
      <c r="Y88" s="1506"/>
      <c r="Z88" s="1481"/>
      <c r="AA88" s="499"/>
      <c r="AB88" s="499"/>
      <c r="AC88" s="499"/>
      <c r="AD88" s="499"/>
      <c r="AE88" s="499"/>
      <c r="AF88" s="499"/>
      <c r="AG88" s="499"/>
      <c r="AH88" s="499"/>
      <c r="AI88" s="1483"/>
      <c r="AJ88" s="1515"/>
      <c r="AK88" s="1515"/>
    </row>
    <row r="89">
      <c r="A89" s="499"/>
      <c r="B89" s="1501"/>
      <c r="C89" s="1502"/>
      <c r="D89" s="1503"/>
      <c r="E89" s="1503"/>
      <c r="F89" s="1504"/>
      <c r="G89" s="1504"/>
      <c r="H89" s="483"/>
      <c r="I89" s="1505"/>
      <c r="J89" s="1506" t="s">
        <v>123</v>
      </c>
      <c r="K89" s="1506"/>
      <c r="L89" s="1506"/>
      <c r="M89" s="1479"/>
      <c r="N89" s="1503"/>
      <c r="O89" s="1503"/>
      <c r="P89" s="1507"/>
      <c r="Q89" s="1508"/>
      <c r="R89" s="1508"/>
      <c r="S89" s="1504"/>
      <c r="T89" s="1504"/>
      <c r="U89" s="483"/>
      <c r="V89" s="1505"/>
      <c r="W89" s="1506" t="s">
        <v>123</v>
      </c>
      <c r="X89" s="1506"/>
      <c r="Y89" s="1506"/>
      <c r="Z89" s="1481"/>
      <c r="AA89" s="499"/>
      <c r="AB89" s="499"/>
      <c r="AC89" s="499"/>
      <c r="AD89" s="499"/>
      <c r="AE89" s="499"/>
      <c r="AF89" s="499"/>
      <c r="AG89" s="499"/>
      <c r="AH89" s="499"/>
      <c r="AI89" s="1483"/>
      <c r="AJ89" s="1515"/>
      <c r="AK89" s="1515"/>
    </row>
    <row r="90">
      <c r="A90" s="499"/>
      <c r="B90" s="1501"/>
      <c r="C90" s="1502"/>
      <c r="D90" s="1503"/>
      <c r="E90" s="1503"/>
      <c r="F90" s="1504"/>
      <c r="G90" s="1504"/>
      <c r="H90" s="483"/>
      <c r="I90" s="1505"/>
      <c r="J90" s="1506" t="s">
        <v>123</v>
      </c>
      <c r="K90" s="1506"/>
      <c r="L90" s="1506"/>
      <c r="M90" s="1479"/>
      <c r="N90" s="1503"/>
      <c r="O90" s="1503"/>
      <c r="P90" s="1507"/>
      <c r="Q90" s="1508"/>
      <c r="R90" s="1508"/>
      <c r="S90" s="1504"/>
      <c r="T90" s="1504"/>
      <c r="U90" s="483"/>
      <c r="V90" s="1505"/>
      <c r="W90" s="1506" t="s">
        <v>123</v>
      </c>
      <c r="X90" s="1506"/>
      <c r="Y90" s="1506"/>
      <c r="Z90" s="1481"/>
      <c r="AA90" s="499"/>
      <c r="AB90" s="499"/>
      <c r="AC90" s="499"/>
      <c r="AD90" s="499"/>
      <c r="AE90" s="499"/>
      <c r="AF90" s="499"/>
      <c r="AG90" s="499"/>
      <c r="AH90" s="499"/>
      <c r="AI90" s="1483"/>
      <c r="AJ90" s="1515"/>
      <c r="AK90" s="1515"/>
    </row>
    <row r="91">
      <c r="A91" s="499"/>
      <c r="B91" s="1501"/>
      <c r="C91" s="1502"/>
      <c r="D91" s="1503"/>
      <c r="E91" s="1503"/>
      <c r="F91" s="1504"/>
      <c r="G91" s="1504"/>
      <c r="H91" s="483"/>
      <c r="I91" s="1505"/>
      <c r="J91" s="1506" t="s">
        <v>123</v>
      </c>
      <c r="K91" s="1506"/>
      <c r="L91" s="1506"/>
      <c r="M91" s="1479"/>
      <c r="N91" s="1503"/>
      <c r="O91" s="1503"/>
      <c r="P91" s="1507"/>
      <c r="Q91" s="1508"/>
      <c r="R91" s="1508"/>
      <c r="S91" s="1504"/>
      <c r="T91" s="1504"/>
      <c r="U91" s="483"/>
      <c r="V91" s="1505"/>
      <c r="W91" s="1506" t="s">
        <v>123</v>
      </c>
      <c r="X91" s="1506"/>
      <c r="Y91" s="1506"/>
      <c r="Z91" s="1481"/>
      <c r="AA91" s="499"/>
      <c r="AB91" s="499"/>
      <c r="AC91" s="499"/>
      <c r="AD91" s="499"/>
      <c r="AE91" s="499"/>
      <c r="AF91" s="499"/>
      <c r="AG91" s="499"/>
      <c r="AH91" s="499"/>
      <c r="AI91" s="1483"/>
      <c r="AJ91" s="1515"/>
      <c r="AK91" s="1515"/>
    </row>
    <row r="92">
      <c r="A92" s="499"/>
      <c r="B92" s="1501"/>
      <c r="C92" s="1502"/>
      <c r="D92" s="1503"/>
      <c r="E92" s="1503"/>
      <c r="F92" s="1504"/>
      <c r="G92" s="1504"/>
      <c r="H92" s="483"/>
      <c r="I92" s="1505"/>
      <c r="J92" s="1506" t="s">
        <v>123</v>
      </c>
      <c r="K92" s="1506"/>
      <c r="L92" s="1506"/>
      <c r="M92" s="1479"/>
      <c r="N92" s="1503"/>
      <c r="O92" s="1503"/>
      <c r="P92" s="1507"/>
      <c r="Q92" s="1508"/>
      <c r="R92" s="1508"/>
      <c r="S92" s="1504"/>
      <c r="T92" s="1504"/>
      <c r="U92" s="483"/>
      <c r="V92" s="1505"/>
      <c r="W92" s="1506" t="s">
        <v>123</v>
      </c>
      <c r="X92" s="1506"/>
      <c r="Y92" s="1506"/>
      <c r="Z92" s="1481"/>
      <c r="AA92" s="499"/>
      <c r="AB92" s="499"/>
      <c r="AC92" s="499"/>
      <c r="AD92" s="499"/>
      <c r="AE92" s="499"/>
      <c r="AF92" s="499"/>
      <c r="AG92" s="499"/>
      <c r="AH92" s="499"/>
      <c r="AI92" s="1483"/>
      <c r="AJ92" s="1515"/>
      <c r="AK92" s="1515"/>
    </row>
    <row r="93">
      <c r="A93" s="499"/>
      <c r="B93" s="1501"/>
      <c r="C93" s="1502"/>
      <c r="D93" s="1503"/>
      <c r="E93" s="1503"/>
      <c r="F93" s="1504"/>
      <c r="G93" s="1504"/>
      <c r="H93" s="483"/>
      <c r="I93" s="1505"/>
      <c r="J93" s="1506" t="s">
        <v>123</v>
      </c>
      <c r="K93" s="1506"/>
      <c r="L93" s="1506"/>
      <c r="M93" s="1479"/>
      <c r="N93" s="1503"/>
      <c r="O93" s="1503"/>
      <c r="P93" s="1507"/>
      <c r="Q93" s="1508"/>
      <c r="R93" s="1508"/>
      <c r="S93" s="1504"/>
      <c r="T93" s="1504"/>
      <c r="U93" s="483"/>
      <c r="V93" s="1505"/>
      <c r="W93" s="1506" t="s">
        <v>123</v>
      </c>
      <c r="X93" s="1506"/>
      <c r="Y93" s="1506"/>
      <c r="Z93" s="1481"/>
      <c r="AA93" s="499"/>
      <c r="AB93" s="499"/>
      <c r="AC93" s="499"/>
      <c r="AD93" s="499"/>
      <c r="AE93" s="499"/>
      <c r="AF93" s="499"/>
      <c r="AG93" s="499"/>
      <c r="AH93" s="499"/>
      <c r="AI93" s="1483"/>
      <c r="AJ93" s="1515"/>
      <c r="AK93" s="1515"/>
    </row>
    <row r="94">
      <c r="A94" s="499"/>
      <c r="B94" s="1501"/>
      <c r="C94" s="1502"/>
      <c r="D94" s="1503"/>
      <c r="E94" s="1503"/>
      <c r="F94" s="1504"/>
      <c r="G94" s="1504"/>
      <c r="H94" s="483"/>
      <c r="I94" s="1505"/>
      <c r="J94" s="1506" t="s">
        <v>123</v>
      </c>
      <c r="K94" s="1506"/>
      <c r="L94" s="1506"/>
      <c r="M94" s="1479"/>
      <c r="N94" s="1503"/>
      <c r="O94" s="1503"/>
      <c r="P94" s="1507"/>
      <c r="Q94" s="1508"/>
      <c r="R94" s="1508"/>
      <c r="S94" s="1504"/>
      <c r="T94" s="1504"/>
      <c r="U94" s="483"/>
      <c r="V94" s="1505"/>
      <c r="W94" s="1506" t="s">
        <v>123</v>
      </c>
      <c r="X94" s="1506"/>
      <c r="Y94" s="1506"/>
      <c r="Z94" s="1481"/>
      <c r="AA94" s="499"/>
      <c r="AB94" s="499"/>
      <c r="AC94" s="499"/>
      <c r="AD94" s="499"/>
      <c r="AE94" s="499"/>
      <c r="AF94" s="499"/>
      <c r="AG94" s="499"/>
      <c r="AH94" s="499"/>
      <c r="AI94" s="1483"/>
      <c r="AJ94" s="1515"/>
      <c r="AK94" s="1515"/>
    </row>
    <row r="95">
      <c r="A95" s="499"/>
      <c r="B95" s="1501"/>
      <c r="C95" s="1502"/>
      <c r="D95" s="1503"/>
      <c r="E95" s="1503"/>
      <c r="F95" s="1504"/>
      <c r="G95" s="1504"/>
      <c r="H95" s="483"/>
      <c r="I95" s="1505"/>
      <c r="J95" s="1506" t="s">
        <v>123</v>
      </c>
      <c r="K95" s="1506"/>
      <c r="L95" s="1506"/>
      <c r="M95" s="1479"/>
      <c r="N95" s="1503"/>
      <c r="O95" s="1503"/>
      <c r="P95" s="1507"/>
      <c r="Q95" s="1508"/>
      <c r="R95" s="1508"/>
      <c r="S95" s="1504"/>
      <c r="T95" s="1504"/>
      <c r="U95" s="483"/>
      <c r="V95" s="1505"/>
      <c r="W95" s="1506" t="s">
        <v>123</v>
      </c>
      <c r="X95" s="1506"/>
      <c r="Y95" s="1506"/>
      <c r="Z95" s="1481"/>
      <c r="AA95" s="499"/>
      <c r="AB95" s="499"/>
      <c r="AC95" s="499"/>
      <c r="AD95" s="499"/>
      <c r="AE95" s="499"/>
      <c r="AF95" s="499"/>
      <c r="AG95" s="499"/>
      <c r="AH95" s="499"/>
      <c r="AI95" s="1483"/>
      <c r="AJ95" s="1515"/>
      <c r="AK95" s="1515"/>
    </row>
    <row r="96">
      <c r="A96" s="499"/>
      <c r="B96" s="1501"/>
      <c r="C96" s="1502"/>
      <c r="D96" s="1503"/>
      <c r="E96" s="1503"/>
      <c r="F96" s="1504"/>
      <c r="G96" s="1504"/>
      <c r="H96" s="483"/>
      <c r="I96" s="1505"/>
      <c r="J96" s="1506" t="s">
        <v>123</v>
      </c>
      <c r="K96" s="1506"/>
      <c r="L96" s="1506"/>
      <c r="M96" s="1479"/>
      <c r="N96" s="1503"/>
      <c r="O96" s="1503"/>
      <c r="P96" s="1507"/>
      <c r="Q96" s="1508"/>
      <c r="R96" s="1508"/>
      <c r="S96" s="1504"/>
      <c r="T96" s="1504"/>
      <c r="U96" s="483"/>
      <c r="V96" s="1505"/>
      <c r="W96" s="1506" t="s">
        <v>123</v>
      </c>
      <c r="X96" s="1506"/>
      <c r="Y96" s="1506"/>
      <c r="Z96" s="1481"/>
      <c r="AA96" s="499"/>
      <c r="AB96" s="499"/>
      <c r="AC96" s="499"/>
      <c r="AD96" s="499"/>
      <c r="AE96" s="499"/>
      <c r="AF96" s="499"/>
      <c r="AG96" s="499"/>
      <c r="AH96" s="499"/>
      <c r="AI96" s="1483"/>
      <c r="AJ96" s="1515"/>
      <c r="AK96" s="1515"/>
    </row>
    <row r="97">
      <c r="A97" s="499"/>
      <c r="B97" s="1501"/>
      <c r="C97" s="1502"/>
      <c r="D97" s="1503"/>
      <c r="E97" s="1503"/>
      <c r="F97" s="1504"/>
      <c r="G97" s="1504"/>
      <c r="H97" s="483"/>
      <c r="I97" s="1505"/>
      <c r="J97" s="1506" t="s">
        <v>123</v>
      </c>
      <c r="K97" s="1506"/>
      <c r="L97" s="1506"/>
      <c r="M97" s="1479"/>
      <c r="N97" s="1503"/>
      <c r="O97" s="1503"/>
      <c r="P97" s="1507"/>
      <c r="Q97" s="1508"/>
      <c r="R97" s="1508"/>
      <c r="S97" s="1504"/>
      <c r="T97" s="1504"/>
      <c r="U97" s="483"/>
      <c r="V97" s="1505"/>
      <c r="W97" s="1506" t="s">
        <v>123</v>
      </c>
      <c r="X97" s="1506"/>
      <c r="Y97" s="1506"/>
      <c r="Z97" s="1481"/>
      <c r="AA97" s="499"/>
      <c r="AB97" s="499"/>
      <c r="AC97" s="499"/>
      <c r="AD97" s="499"/>
      <c r="AE97" s="499"/>
      <c r="AF97" s="499"/>
      <c r="AG97" s="499"/>
      <c r="AH97" s="499"/>
      <c r="AI97" s="1483"/>
      <c r="AJ97" s="1515"/>
      <c r="AK97" s="1515"/>
    </row>
    <row r="98">
      <c r="A98" s="499"/>
      <c r="B98" s="1501"/>
      <c r="C98" s="1502"/>
      <c r="D98" s="1503"/>
      <c r="E98" s="1503"/>
      <c r="F98" s="1504"/>
      <c r="G98" s="1504"/>
      <c r="H98" s="483"/>
      <c r="I98" s="1505"/>
      <c r="J98" s="1506" t="s">
        <v>123</v>
      </c>
      <c r="K98" s="1506"/>
      <c r="L98" s="1506"/>
      <c r="M98" s="1479"/>
      <c r="N98" s="1503"/>
      <c r="O98" s="1503"/>
      <c r="P98" s="1507"/>
      <c r="Q98" s="1508"/>
      <c r="R98" s="1508"/>
      <c r="S98" s="1504"/>
      <c r="T98" s="1504"/>
      <c r="U98" s="483"/>
      <c r="V98" s="1505"/>
      <c r="W98" s="1506" t="s">
        <v>123</v>
      </c>
      <c r="X98" s="1506"/>
      <c r="Y98" s="1506"/>
      <c r="Z98" s="1481"/>
      <c r="AA98" s="499"/>
      <c r="AB98" s="499"/>
      <c r="AC98" s="499"/>
      <c r="AD98" s="499"/>
      <c r="AE98" s="499"/>
      <c r="AF98" s="499"/>
      <c r="AG98" s="499"/>
      <c r="AH98" s="499"/>
      <c r="AI98" s="1483"/>
      <c r="AJ98" s="1515"/>
      <c r="AK98" s="1515"/>
    </row>
    <row r="99">
      <c r="A99" s="499"/>
      <c r="B99" s="1501"/>
      <c r="C99" s="1502"/>
      <c r="D99" s="1503"/>
      <c r="E99" s="1503"/>
      <c r="F99" s="1504"/>
      <c r="G99" s="1504"/>
      <c r="H99" s="483"/>
      <c r="I99" s="1505"/>
      <c r="J99" s="1506" t="s">
        <v>123</v>
      </c>
      <c r="K99" s="1506"/>
      <c r="L99" s="1506"/>
      <c r="M99" s="1479"/>
      <c r="N99" s="1503"/>
      <c r="O99" s="1503"/>
      <c r="P99" s="1507"/>
      <c r="Q99" s="1508"/>
      <c r="R99" s="1508"/>
      <c r="S99" s="1504"/>
      <c r="T99" s="1504"/>
      <c r="U99" s="483"/>
      <c r="V99" s="1505"/>
      <c r="W99" s="1506" t="s">
        <v>123</v>
      </c>
      <c r="X99" s="1506"/>
      <c r="Y99" s="1506"/>
      <c r="Z99" s="1481"/>
      <c r="AA99" s="499"/>
      <c r="AB99" s="499"/>
      <c r="AC99" s="499"/>
      <c r="AD99" s="499"/>
      <c r="AE99" s="499"/>
      <c r="AF99" s="499"/>
      <c r="AG99" s="499"/>
      <c r="AH99" s="499"/>
      <c r="AI99" s="1483"/>
      <c r="AJ99" s="1515"/>
      <c r="AK99" s="1515"/>
    </row>
    <row r="100">
      <c r="A100" s="499"/>
      <c r="B100" s="1501"/>
      <c r="C100" s="1502"/>
      <c r="D100" s="1503"/>
      <c r="E100" s="1503"/>
      <c r="F100" s="1504"/>
      <c r="G100" s="1504"/>
      <c r="H100" s="483"/>
      <c r="I100" s="1505"/>
      <c r="J100" s="1506" t="s">
        <v>123</v>
      </c>
      <c r="K100" s="1506"/>
      <c r="L100" s="1506"/>
      <c r="M100" s="1479"/>
      <c r="N100" s="1503"/>
      <c r="O100" s="1503"/>
      <c r="P100" s="1507"/>
      <c r="Q100" s="1508"/>
      <c r="R100" s="1508"/>
      <c r="S100" s="1504"/>
      <c r="T100" s="1504"/>
      <c r="U100" s="483"/>
      <c r="V100" s="1505"/>
      <c r="W100" s="1506" t="s">
        <v>123</v>
      </c>
      <c r="X100" s="1506"/>
      <c r="Y100" s="1506"/>
      <c r="Z100" s="1481"/>
      <c r="AA100" s="499"/>
      <c r="AB100" s="499"/>
      <c r="AC100" s="499"/>
      <c r="AD100" s="499"/>
      <c r="AE100" s="499"/>
      <c r="AF100" s="499"/>
      <c r="AG100" s="499"/>
      <c r="AH100" s="499"/>
      <c r="AI100" s="1483"/>
      <c r="AJ100" s="1515"/>
      <c r="AK100" s="1515"/>
    </row>
    <row r="101">
      <c r="A101" s="499"/>
      <c r="B101" s="1501"/>
      <c r="C101" s="1502"/>
      <c r="D101" s="1503"/>
      <c r="E101" s="1503"/>
      <c r="F101" s="1504"/>
      <c r="G101" s="1504"/>
      <c r="H101" s="483"/>
      <c r="I101" s="1505"/>
      <c r="J101" s="1506" t="s">
        <v>123</v>
      </c>
      <c r="K101" s="1506"/>
      <c r="L101" s="1506"/>
      <c r="M101" s="1479"/>
      <c r="N101" s="1503"/>
      <c r="O101" s="1503"/>
      <c r="P101" s="1507"/>
      <c r="Q101" s="1508"/>
      <c r="R101" s="1508"/>
      <c r="S101" s="1504"/>
      <c r="T101" s="1504"/>
      <c r="U101" s="483"/>
      <c r="V101" s="1505"/>
      <c r="W101" s="1506" t="s">
        <v>123</v>
      </c>
      <c r="X101" s="1506"/>
      <c r="Y101" s="1506"/>
      <c r="Z101" s="1481"/>
      <c r="AA101" s="499"/>
      <c r="AB101" s="499"/>
      <c r="AC101" s="499"/>
      <c r="AD101" s="499"/>
      <c r="AE101" s="499"/>
      <c r="AF101" s="499"/>
      <c r="AG101" s="499"/>
      <c r="AH101" s="499"/>
      <c r="AI101" s="1483"/>
      <c r="AJ101" s="1515"/>
      <c r="AK101" s="1515"/>
    </row>
    <row r="102">
      <c r="A102" s="499"/>
      <c r="B102" s="1501"/>
      <c r="C102" s="1502"/>
      <c r="D102" s="1503"/>
      <c r="E102" s="1503"/>
      <c r="F102" s="1504"/>
      <c r="G102" s="1504"/>
      <c r="H102" s="483"/>
      <c r="I102" s="1505"/>
      <c r="J102" s="1506" t="s">
        <v>123</v>
      </c>
      <c r="K102" s="1506"/>
      <c r="L102" s="1506"/>
      <c r="M102" s="1479"/>
      <c r="N102" s="1503"/>
      <c r="O102" s="1503"/>
      <c r="P102" s="1507"/>
      <c r="Q102" s="1508"/>
      <c r="R102" s="1508"/>
      <c r="S102" s="1504"/>
      <c r="T102" s="1504"/>
      <c r="U102" s="483"/>
      <c r="V102" s="1505"/>
      <c r="W102" s="1506" t="s">
        <v>123</v>
      </c>
      <c r="X102" s="1506"/>
      <c r="Y102" s="1506"/>
      <c r="Z102" s="1481"/>
      <c r="AA102" s="499"/>
      <c r="AB102" s="499"/>
      <c r="AC102" s="499"/>
      <c r="AD102" s="499"/>
      <c r="AE102" s="499"/>
      <c r="AF102" s="499"/>
      <c r="AG102" s="499"/>
      <c r="AH102" s="499"/>
      <c r="AI102" s="1483"/>
      <c r="AJ102" s="1515"/>
      <c r="AK102" s="1515"/>
    </row>
    <row r="103">
      <c r="A103" s="499"/>
      <c r="B103" s="1501"/>
      <c r="C103" s="1502"/>
      <c r="D103" s="1503"/>
      <c r="E103" s="1503"/>
      <c r="F103" s="1504"/>
      <c r="G103" s="1504"/>
      <c r="H103" s="483"/>
      <c r="I103" s="1505"/>
      <c r="J103" s="1506" t="s">
        <v>123</v>
      </c>
      <c r="K103" s="1506"/>
      <c r="L103" s="1506"/>
      <c r="M103" s="1479"/>
      <c r="N103" s="1503"/>
      <c r="O103" s="1503"/>
      <c r="P103" s="1507"/>
      <c r="Q103" s="1508"/>
      <c r="R103" s="1508"/>
      <c r="S103" s="1504"/>
      <c r="T103" s="1504"/>
      <c r="U103" s="483"/>
      <c r="V103" s="1505"/>
      <c r="W103" s="1506" t="s">
        <v>123</v>
      </c>
      <c r="X103" s="1506"/>
      <c r="Y103" s="1506"/>
      <c r="Z103" s="1481"/>
      <c r="AA103" s="499"/>
      <c r="AB103" s="499"/>
      <c r="AC103" s="499"/>
      <c r="AD103" s="499"/>
      <c r="AE103" s="499"/>
      <c r="AF103" s="499"/>
      <c r="AG103" s="499"/>
      <c r="AH103" s="499"/>
      <c r="AI103" s="1483"/>
      <c r="AJ103" s="1515"/>
      <c r="AK103" s="1515"/>
    </row>
    <row r="104">
      <c r="A104" s="499"/>
      <c r="B104" s="1501"/>
      <c r="C104" s="1502"/>
      <c r="D104" s="1503"/>
      <c r="E104" s="1503"/>
      <c r="F104" s="1504"/>
      <c r="G104" s="1504"/>
      <c r="H104" s="483"/>
      <c r="I104" s="1505"/>
      <c r="J104" s="1506" t="s">
        <v>123</v>
      </c>
      <c r="K104" s="1506"/>
      <c r="L104" s="1506"/>
      <c r="M104" s="1479"/>
      <c r="N104" s="1503"/>
      <c r="O104" s="1503"/>
      <c r="P104" s="1503"/>
      <c r="Q104" s="1503"/>
      <c r="R104" s="1503"/>
      <c r="S104" s="1504"/>
      <c r="T104" s="1504"/>
      <c r="U104" s="483"/>
      <c r="V104" s="1505"/>
      <c r="W104" s="1506" t="s">
        <v>123</v>
      </c>
      <c r="X104" s="1506"/>
      <c r="Y104" s="1506"/>
      <c r="Z104" s="1481"/>
      <c r="AA104" s="499"/>
      <c r="AB104" s="499"/>
      <c r="AC104" s="499"/>
      <c r="AD104" s="499"/>
      <c r="AE104" s="499"/>
      <c r="AF104" s="499"/>
      <c r="AG104" s="499"/>
      <c r="AH104" s="499"/>
      <c r="AI104" s="1483"/>
      <c r="AJ104" s="1515"/>
      <c r="AK104" s="1515"/>
    </row>
    <row r="105">
      <c r="A105" s="499"/>
      <c r="B105" s="1501"/>
      <c r="C105" s="1502"/>
      <c r="D105" s="1503"/>
      <c r="E105" s="1503"/>
      <c r="F105" s="1504"/>
      <c r="G105" s="1504"/>
      <c r="H105" s="483"/>
      <c r="I105" s="1505"/>
      <c r="J105" s="1506" t="s">
        <v>123</v>
      </c>
      <c r="K105" s="1506"/>
      <c r="L105" s="1506"/>
      <c r="M105" s="1479"/>
      <c r="N105" s="1503"/>
      <c r="O105" s="1503"/>
      <c r="P105" s="1503"/>
      <c r="Q105" s="1503"/>
      <c r="R105" s="1503"/>
      <c r="S105" s="1504"/>
      <c r="T105" s="1504"/>
      <c r="U105" s="483"/>
      <c r="V105" s="1505"/>
      <c r="W105" s="1506" t="s">
        <v>123</v>
      </c>
      <c r="X105" s="1506"/>
      <c r="Y105" s="1506"/>
      <c r="Z105" s="1481"/>
      <c r="AA105" s="499"/>
      <c r="AB105" s="499"/>
      <c r="AC105" s="499"/>
      <c r="AD105" s="499"/>
      <c r="AE105" s="499"/>
      <c r="AF105" s="499"/>
      <c r="AG105" s="499"/>
      <c r="AH105" s="499"/>
      <c r="AI105" s="1483"/>
      <c r="AJ105" s="1515"/>
      <c r="AK105" s="1515"/>
    </row>
    <row r="106">
      <c r="A106" s="499"/>
      <c r="B106" s="1501"/>
      <c r="C106" s="1502"/>
      <c r="D106" s="1503"/>
      <c r="E106" s="1503"/>
      <c r="F106" s="1504"/>
      <c r="G106" s="1504"/>
      <c r="H106" s="483"/>
      <c r="I106" s="1505"/>
      <c r="J106" s="1506" t="s">
        <v>123</v>
      </c>
      <c r="K106" s="1506"/>
      <c r="L106" s="1506"/>
      <c r="M106" s="1479"/>
      <c r="N106" s="1503"/>
      <c r="O106" s="1503"/>
      <c r="P106" s="1503"/>
      <c r="Q106" s="1503"/>
      <c r="R106" s="1503"/>
      <c r="S106" s="1504"/>
      <c r="T106" s="1504"/>
      <c r="U106" s="483"/>
      <c r="V106" s="1505"/>
      <c r="W106" s="1506" t="s">
        <v>123</v>
      </c>
      <c r="X106" s="1506"/>
      <c r="Y106" s="1506"/>
      <c r="Z106" s="1481"/>
      <c r="AA106" s="499"/>
      <c r="AB106" s="499"/>
      <c r="AC106" s="499"/>
      <c r="AD106" s="499"/>
      <c r="AE106" s="499"/>
      <c r="AF106" s="499"/>
      <c r="AG106" s="499"/>
      <c r="AH106" s="499"/>
      <c r="AI106" s="1483"/>
      <c r="AJ106" s="1515"/>
      <c r="AK106" s="1515"/>
    </row>
    <row r="107">
      <c r="A107" s="499"/>
      <c r="B107" s="1501"/>
      <c r="C107" s="1502"/>
      <c r="D107" s="1503"/>
      <c r="E107" s="1503"/>
      <c r="F107" s="1504"/>
      <c r="G107" s="1504"/>
      <c r="H107" s="483"/>
      <c r="I107" s="1505"/>
      <c r="J107" s="1506" t="s">
        <v>123</v>
      </c>
      <c r="K107" s="1506"/>
      <c r="L107" s="1506"/>
      <c r="M107" s="1479"/>
      <c r="N107" s="1503"/>
      <c r="O107" s="1503"/>
      <c r="P107" s="1503"/>
      <c r="Q107" s="1503"/>
      <c r="R107" s="1503"/>
      <c r="S107" s="1504"/>
      <c r="T107" s="1504"/>
      <c r="U107" s="483"/>
      <c r="V107" s="1505"/>
      <c r="W107" s="1506" t="s">
        <v>123</v>
      </c>
      <c r="X107" s="1506"/>
      <c r="Y107" s="1506"/>
      <c r="Z107" s="1481"/>
      <c r="AA107" s="499"/>
      <c r="AB107" s="499"/>
      <c r="AC107" s="499"/>
      <c r="AD107" s="499"/>
      <c r="AE107" s="499"/>
      <c r="AF107" s="499"/>
      <c r="AG107" s="499"/>
      <c r="AH107" s="499"/>
      <c r="AI107" s="1483"/>
      <c r="AJ107" s="1515"/>
      <c r="AK107" s="1515"/>
    </row>
    <row r="108">
      <c r="A108" s="499"/>
      <c r="B108" s="1501"/>
      <c r="C108" s="1502"/>
      <c r="D108" s="1503"/>
      <c r="E108" s="1503"/>
      <c r="F108" s="1504"/>
      <c r="G108" s="1504"/>
      <c r="H108" s="483"/>
      <c r="I108" s="1505"/>
      <c r="J108" s="1506" t="s">
        <v>123</v>
      </c>
      <c r="K108" s="1506"/>
      <c r="L108" s="1506"/>
      <c r="M108" s="1479"/>
      <c r="N108" s="1503"/>
      <c r="O108" s="1503"/>
      <c r="P108" s="1503"/>
      <c r="Q108" s="1503"/>
      <c r="R108" s="1503"/>
      <c r="S108" s="1504"/>
      <c r="T108" s="1504"/>
      <c r="U108" s="483"/>
      <c r="V108" s="1505"/>
      <c r="W108" s="1506" t="s">
        <v>123</v>
      </c>
      <c r="X108" s="1506"/>
      <c r="Y108" s="1506"/>
      <c r="Z108" s="1481"/>
      <c r="AA108" s="499"/>
      <c r="AB108" s="499"/>
      <c r="AC108" s="499"/>
      <c r="AD108" s="499"/>
      <c r="AE108" s="499"/>
      <c r="AF108" s="499"/>
      <c r="AG108" s="499"/>
      <c r="AH108" s="499"/>
      <c r="AI108" s="1483"/>
      <c r="AJ108" s="1515"/>
      <c r="AK108" s="1515"/>
    </row>
    <row r="109">
      <c r="A109" s="499"/>
      <c r="B109" s="1501"/>
      <c r="C109" s="1502"/>
      <c r="D109" s="1503"/>
      <c r="E109" s="1503"/>
      <c r="F109" s="1504"/>
      <c r="G109" s="1504"/>
      <c r="H109" s="483"/>
      <c r="I109" s="1505"/>
      <c r="J109" s="1506" t="s">
        <v>123</v>
      </c>
      <c r="K109" s="1506"/>
      <c r="L109" s="1506"/>
      <c r="M109" s="1479"/>
      <c r="N109" s="1503"/>
      <c r="O109" s="1503"/>
      <c r="P109" s="1503"/>
      <c r="Q109" s="1503"/>
      <c r="R109" s="1503"/>
      <c r="S109" s="1504"/>
      <c r="T109" s="1504"/>
      <c r="U109" s="483"/>
      <c r="V109" s="1505"/>
      <c r="W109" s="1506" t="s">
        <v>123</v>
      </c>
      <c r="X109" s="1506"/>
      <c r="Y109" s="1506"/>
      <c r="Z109" s="1481"/>
      <c r="AA109" s="499"/>
      <c r="AB109" s="499"/>
      <c r="AC109" s="499"/>
      <c r="AD109" s="499"/>
      <c r="AE109" s="499"/>
      <c r="AF109" s="499"/>
      <c r="AG109" s="499"/>
      <c r="AH109" s="499"/>
      <c r="AI109" s="1483"/>
      <c r="AJ109" s="1515"/>
      <c r="AK109" s="1515"/>
    </row>
    <row r="110">
      <c r="A110" s="499"/>
      <c r="B110" s="1501"/>
      <c r="C110" s="1502"/>
      <c r="D110" s="1503"/>
      <c r="E110" s="1503"/>
      <c r="F110" s="1504"/>
      <c r="G110" s="1504"/>
      <c r="H110" s="483"/>
      <c r="I110" s="1505"/>
      <c r="J110" s="1506" t="s">
        <v>123</v>
      </c>
      <c r="K110" s="1506"/>
      <c r="L110" s="1506"/>
      <c r="M110" s="1479"/>
      <c r="N110" s="1503"/>
      <c r="O110" s="1503"/>
      <c r="P110" s="1503"/>
      <c r="Q110" s="1503"/>
      <c r="R110" s="1503"/>
      <c r="S110" s="1504"/>
      <c r="T110" s="1504"/>
      <c r="U110" s="483"/>
      <c r="V110" s="1505"/>
      <c r="W110" s="1506" t="s">
        <v>123</v>
      </c>
      <c r="X110" s="1506"/>
      <c r="Y110" s="1506"/>
      <c r="Z110" s="1481"/>
      <c r="AA110" s="499"/>
      <c r="AB110" s="499"/>
      <c r="AC110" s="499"/>
      <c r="AD110" s="499"/>
      <c r="AE110" s="499"/>
      <c r="AF110" s="499"/>
      <c r="AG110" s="499"/>
      <c r="AH110" s="499"/>
      <c r="AI110" s="1483"/>
      <c r="AJ110" s="1515"/>
      <c r="AK110" s="1515"/>
    </row>
    <row r="111">
      <c r="A111" s="499"/>
      <c r="B111" s="1501"/>
      <c r="C111" s="1502"/>
      <c r="D111" s="1503"/>
      <c r="E111" s="1503"/>
      <c r="F111" s="1504"/>
      <c r="G111" s="1504"/>
      <c r="H111" s="483"/>
      <c r="I111" s="1505"/>
      <c r="J111" s="1506" t="s">
        <v>123</v>
      </c>
      <c r="K111" s="1506"/>
      <c r="L111" s="1506"/>
      <c r="M111" s="1479"/>
      <c r="N111" s="1503"/>
      <c r="O111" s="1503"/>
      <c r="P111" s="1503"/>
      <c r="Q111" s="1503"/>
      <c r="R111" s="1503"/>
      <c r="S111" s="1504"/>
      <c r="T111" s="1504"/>
      <c r="U111" s="483"/>
      <c r="V111" s="1505"/>
      <c r="W111" s="1506" t="s">
        <v>123</v>
      </c>
      <c r="X111" s="1506"/>
      <c r="Y111" s="1506"/>
      <c r="Z111" s="1481"/>
      <c r="AA111" s="499"/>
      <c r="AB111" s="499"/>
      <c r="AC111" s="499"/>
      <c r="AD111" s="499"/>
      <c r="AE111" s="499"/>
      <c r="AF111" s="499"/>
      <c r="AG111" s="499"/>
      <c r="AH111" s="499"/>
      <c r="AI111" s="1483"/>
      <c r="AJ111" s="1515"/>
      <c r="AK111" s="1515"/>
    </row>
    <row r="112">
      <c r="A112" s="499"/>
      <c r="B112" s="1501"/>
      <c r="C112" s="1502"/>
      <c r="D112" s="1503"/>
      <c r="E112" s="1503"/>
      <c r="F112" s="1504"/>
      <c r="G112" s="1504"/>
      <c r="H112" s="483"/>
      <c r="I112" s="1505"/>
      <c r="J112" s="1506" t="s">
        <v>123</v>
      </c>
      <c r="K112" s="1506"/>
      <c r="L112" s="1506"/>
      <c r="M112" s="1479"/>
      <c r="N112" s="1503"/>
      <c r="O112" s="1503"/>
      <c r="P112" s="1503"/>
      <c r="Q112" s="1503"/>
      <c r="R112" s="1503"/>
      <c r="S112" s="1504"/>
      <c r="T112" s="1504"/>
      <c r="U112" s="483"/>
      <c r="V112" s="1505"/>
      <c r="W112" s="1506" t="s">
        <v>123</v>
      </c>
      <c r="X112" s="1506"/>
      <c r="Y112" s="1506"/>
      <c r="Z112" s="1481"/>
      <c r="AA112" s="499"/>
      <c r="AB112" s="499"/>
      <c r="AC112" s="499"/>
      <c r="AD112" s="499"/>
      <c r="AE112" s="499"/>
      <c r="AF112" s="499"/>
      <c r="AG112" s="499"/>
      <c r="AH112" s="499"/>
      <c r="AI112" s="1483"/>
      <c r="AJ112" s="1515"/>
      <c r="AK112" s="1515"/>
    </row>
    <row r="113">
      <c r="A113" s="499"/>
      <c r="B113" s="1501"/>
      <c r="C113" s="1502"/>
      <c r="D113" s="1503"/>
      <c r="E113" s="1503"/>
      <c r="F113" s="1504"/>
      <c r="G113" s="1504"/>
      <c r="H113" s="483"/>
      <c r="I113" s="1505"/>
      <c r="J113" s="1506" t="s">
        <v>123</v>
      </c>
      <c r="K113" s="1506"/>
      <c r="L113" s="1506"/>
      <c r="M113" s="1479"/>
      <c r="N113" s="1503"/>
      <c r="O113" s="1503"/>
      <c r="P113" s="1503"/>
      <c r="Q113" s="1503"/>
      <c r="R113" s="1503"/>
      <c r="S113" s="1504"/>
      <c r="T113" s="1504"/>
      <c r="U113" s="483"/>
      <c r="V113" s="1505"/>
      <c r="W113" s="1506" t="s">
        <v>123</v>
      </c>
      <c r="X113" s="1506"/>
      <c r="Y113" s="1506"/>
      <c r="Z113" s="1481"/>
      <c r="AA113" s="499"/>
      <c r="AB113" s="499"/>
      <c r="AC113" s="499"/>
      <c r="AD113" s="499"/>
      <c r="AE113" s="499"/>
      <c r="AF113" s="499"/>
      <c r="AG113" s="499"/>
      <c r="AH113" s="499"/>
      <c r="AI113" s="1483"/>
      <c r="AJ113" s="1515"/>
      <c r="AK113" s="1515"/>
    </row>
    <row r="114">
      <c r="A114" s="499"/>
      <c r="B114" s="1501"/>
      <c r="C114" s="1502"/>
      <c r="D114" s="1503"/>
      <c r="E114" s="1503"/>
      <c r="F114" s="1504"/>
      <c r="G114" s="1504"/>
      <c r="H114" s="483"/>
      <c r="I114" s="1505"/>
      <c r="J114" s="1506" t="s">
        <v>123</v>
      </c>
      <c r="K114" s="1506"/>
      <c r="L114" s="1506"/>
      <c r="M114" s="1479"/>
      <c r="N114" s="1503"/>
      <c r="O114" s="1503"/>
      <c r="P114" s="1503"/>
      <c r="Q114" s="1503"/>
      <c r="R114" s="1503"/>
      <c r="S114" s="1504"/>
      <c r="T114" s="1504"/>
      <c r="U114" s="483"/>
      <c r="V114" s="1505"/>
      <c r="W114" s="1506" t="s">
        <v>123</v>
      </c>
      <c r="X114" s="1506"/>
      <c r="Y114" s="1506"/>
      <c r="Z114" s="1481"/>
      <c r="AA114" s="499"/>
      <c r="AB114" s="499"/>
      <c r="AC114" s="499"/>
      <c r="AD114" s="499"/>
      <c r="AE114" s="499"/>
      <c r="AF114" s="499"/>
      <c r="AG114" s="499"/>
      <c r="AH114" s="499"/>
      <c r="AI114" s="1483"/>
      <c r="AJ114" s="1515"/>
      <c r="AK114" s="1515"/>
    </row>
    <row r="115">
      <c r="A115" s="499"/>
      <c r="B115" s="1501"/>
      <c r="C115" s="1502"/>
      <c r="D115" s="1503"/>
      <c r="E115" s="1503"/>
      <c r="F115" s="1504"/>
      <c r="G115" s="1504"/>
      <c r="H115" s="483"/>
      <c r="I115" s="1505"/>
      <c r="J115" s="1506" t="s">
        <v>123</v>
      </c>
      <c r="K115" s="1506"/>
      <c r="L115" s="1506"/>
      <c r="M115" s="1479"/>
      <c r="N115" s="1503"/>
      <c r="O115" s="1503"/>
      <c r="P115" s="1503"/>
      <c r="Q115" s="1503"/>
      <c r="R115" s="1503"/>
      <c r="S115" s="1504"/>
      <c r="T115" s="1504"/>
      <c r="U115" s="483"/>
      <c r="V115" s="1505"/>
      <c r="W115" s="1506" t="s">
        <v>123</v>
      </c>
      <c r="X115" s="1506"/>
      <c r="Y115" s="1506"/>
      <c r="Z115" s="1481"/>
      <c r="AA115" s="499"/>
      <c r="AB115" s="499"/>
      <c r="AC115" s="499"/>
      <c r="AD115" s="499"/>
      <c r="AE115" s="499"/>
      <c r="AF115" s="499"/>
      <c r="AG115" s="499"/>
      <c r="AH115" s="499"/>
      <c r="AI115" s="1483"/>
      <c r="AJ115" s="1515"/>
      <c r="AK115" s="1515"/>
    </row>
    <row r="116">
      <c r="A116" s="499"/>
      <c r="B116" s="1501"/>
      <c r="C116" s="1502"/>
      <c r="D116" s="1503"/>
      <c r="E116" s="1503"/>
      <c r="F116" s="1504"/>
      <c r="G116" s="1504"/>
      <c r="H116" s="483"/>
      <c r="I116" s="1505"/>
      <c r="J116" s="1506" t="s">
        <v>123</v>
      </c>
      <c r="K116" s="1506"/>
      <c r="L116" s="1506"/>
      <c r="M116" s="1479"/>
      <c r="N116" s="1503"/>
      <c r="O116" s="1503"/>
      <c r="P116" s="1503"/>
      <c r="Q116" s="1503"/>
      <c r="R116" s="1503"/>
      <c r="S116" s="1504"/>
      <c r="T116" s="1504"/>
      <c r="U116" s="483"/>
      <c r="V116" s="1505"/>
      <c r="W116" s="1506" t="s">
        <v>123</v>
      </c>
      <c r="X116" s="1506"/>
      <c r="Y116" s="1506"/>
      <c r="Z116" s="1481"/>
      <c r="AA116" s="499"/>
      <c r="AB116" s="499"/>
      <c r="AC116" s="499"/>
      <c r="AD116" s="499"/>
      <c r="AE116" s="499"/>
      <c r="AF116" s="499"/>
      <c r="AG116" s="499"/>
      <c r="AH116" s="499"/>
      <c r="AI116" s="1483"/>
      <c r="AJ116" s="1515"/>
      <c r="AK116" s="1515"/>
    </row>
    <row r="117">
      <c r="A117" s="499"/>
      <c r="B117" s="1501"/>
      <c r="C117" s="1502"/>
      <c r="D117" s="1503"/>
      <c r="E117" s="1503"/>
      <c r="F117" s="1504"/>
      <c r="G117" s="1504"/>
      <c r="H117" s="483"/>
      <c r="I117" s="1505"/>
      <c r="J117" s="1506" t="s">
        <v>123</v>
      </c>
      <c r="K117" s="1506"/>
      <c r="L117" s="1506"/>
      <c r="M117" s="1479"/>
      <c r="N117" s="1503"/>
      <c r="O117" s="1503"/>
      <c r="P117" s="1503"/>
      <c r="Q117" s="1503"/>
      <c r="R117" s="1503"/>
      <c r="S117" s="1504"/>
      <c r="T117" s="1504"/>
      <c r="U117" s="483"/>
      <c r="V117" s="1505"/>
      <c r="W117" s="1506" t="s">
        <v>123</v>
      </c>
      <c r="X117" s="1506"/>
      <c r="Y117" s="1506"/>
      <c r="Z117" s="1481"/>
      <c r="AA117" s="499"/>
      <c r="AB117" s="499"/>
      <c r="AC117" s="499"/>
      <c r="AD117" s="499"/>
      <c r="AE117" s="499"/>
      <c r="AF117" s="499"/>
      <c r="AG117" s="499"/>
      <c r="AH117" s="499"/>
      <c r="AI117" s="1483"/>
      <c r="AJ117" s="1515"/>
      <c r="AK117" s="1515"/>
    </row>
    <row r="118">
      <c r="A118" s="499"/>
      <c r="B118" s="1501"/>
      <c r="C118" s="1502"/>
      <c r="D118" s="1503"/>
      <c r="E118" s="1503"/>
      <c r="F118" s="1504"/>
      <c r="G118" s="1504"/>
      <c r="H118" s="483"/>
      <c r="I118" s="1505"/>
      <c r="J118" s="1506" t="s">
        <v>123</v>
      </c>
      <c r="K118" s="1506"/>
      <c r="L118" s="1506"/>
      <c r="M118" s="1479"/>
      <c r="N118" s="1503"/>
      <c r="O118" s="1503"/>
      <c r="P118" s="1503"/>
      <c r="Q118" s="1503"/>
      <c r="R118" s="1503"/>
      <c r="S118" s="1504"/>
      <c r="T118" s="1504"/>
      <c r="U118" s="483"/>
      <c r="V118" s="1505"/>
      <c r="W118" s="1506" t="s">
        <v>123</v>
      </c>
      <c r="X118" s="1506"/>
      <c r="Y118" s="1506"/>
      <c r="Z118" s="1481"/>
      <c r="AA118" s="499"/>
      <c r="AB118" s="499"/>
      <c r="AC118" s="499"/>
      <c r="AD118" s="499"/>
      <c r="AE118" s="499"/>
      <c r="AF118" s="499"/>
      <c r="AG118" s="499"/>
      <c r="AH118" s="499"/>
      <c r="AI118" s="1483"/>
      <c r="AJ118" s="1515"/>
      <c r="AK118" s="1515"/>
    </row>
    <row r="119">
      <c r="A119" s="499"/>
      <c r="B119" s="1501"/>
      <c r="C119" s="1502"/>
      <c r="D119" s="1503"/>
      <c r="E119" s="1503"/>
      <c r="F119" s="1504"/>
      <c r="G119" s="1504"/>
      <c r="H119" s="483"/>
      <c r="I119" s="1505"/>
      <c r="J119" s="1506" t="s">
        <v>123</v>
      </c>
      <c r="K119" s="1506"/>
      <c r="L119" s="1506"/>
      <c r="M119" s="1479"/>
      <c r="N119" s="1503"/>
      <c r="O119" s="1503"/>
      <c r="P119" s="1503"/>
      <c r="Q119" s="1503"/>
      <c r="R119" s="1503"/>
      <c r="S119" s="1504"/>
      <c r="T119" s="1504"/>
      <c r="U119" s="483"/>
      <c r="V119" s="1505"/>
      <c r="W119" s="1506" t="s">
        <v>123</v>
      </c>
      <c r="X119" s="1506"/>
      <c r="Y119" s="1506"/>
      <c r="Z119" s="1481"/>
      <c r="AA119" s="499"/>
      <c r="AB119" s="499"/>
      <c r="AC119" s="499"/>
      <c r="AD119" s="499"/>
      <c r="AE119" s="499"/>
      <c r="AF119" s="499"/>
      <c r="AG119" s="499"/>
      <c r="AH119" s="499"/>
      <c r="AI119" s="1483"/>
      <c r="AJ119" s="1515"/>
      <c r="AK119" s="1515"/>
    </row>
    <row r="120">
      <c r="A120" s="499"/>
      <c r="B120" s="1501"/>
      <c r="C120" s="1502"/>
      <c r="D120" s="1503"/>
      <c r="E120" s="1503"/>
      <c r="F120" s="1504"/>
      <c r="G120" s="1504"/>
      <c r="H120" s="483"/>
      <c r="I120" s="1505"/>
      <c r="J120" s="1506" t="s">
        <v>123</v>
      </c>
      <c r="K120" s="1506"/>
      <c r="L120" s="1506"/>
      <c r="M120" s="1479"/>
      <c r="N120" s="1503"/>
      <c r="O120" s="1503"/>
      <c r="P120" s="1503"/>
      <c r="Q120" s="1503"/>
      <c r="R120" s="1503"/>
      <c r="S120" s="1504"/>
      <c r="T120" s="1504"/>
      <c r="U120" s="483"/>
      <c r="V120" s="1505"/>
      <c r="W120" s="1506" t="s">
        <v>123</v>
      </c>
      <c r="X120" s="1506"/>
      <c r="Y120" s="1506"/>
      <c r="Z120" s="1481"/>
      <c r="AA120" s="499"/>
      <c r="AB120" s="499"/>
      <c r="AC120" s="499"/>
      <c r="AD120" s="499"/>
      <c r="AE120" s="499"/>
      <c r="AF120" s="499"/>
      <c r="AG120" s="499"/>
      <c r="AH120" s="499"/>
      <c r="AI120" s="1483"/>
      <c r="AJ120" s="1515"/>
      <c r="AK120" s="1515"/>
    </row>
    <row r="121">
      <c r="A121" s="499"/>
      <c r="B121" s="1501"/>
      <c r="C121" s="1502"/>
      <c r="D121" s="1503"/>
      <c r="E121" s="1503"/>
      <c r="F121" s="1504"/>
      <c r="G121" s="1504"/>
      <c r="H121" s="483"/>
      <c r="I121" s="1505"/>
      <c r="J121" s="1506" t="s">
        <v>123</v>
      </c>
      <c r="K121" s="1506"/>
      <c r="L121" s="1506"/>
      <c r="M121" s="1479"/>
      <c r="N121" s="1503"/>
      <c r="O121" s="1503"/>
      <c r="P121" s="1503"/>
      <c r="Q121" s="1503"/>
      <c r="R121" s="1503"/>
      <c r="S121" s="1504"/>
      <c r="T121" s="1504"/>
      <c r="U121" s="483"/>
      <c r="V121" s="1505"/>
      <c r="W121" s="1506" t="s">
        <v>123</v>
      </c>
      <c r="X121" s="1506"/>
      <c r="Y121" s="1506"/>
      <c r="Z121" s="1481"/>
      <c r="AA121" s="499"/>
      <c r="AB121" s="499"/>
      <c r="AC121" s="499"/>
      <c r="AD121" s="499"/>
      <c r="AE121" s="499"/>
      <c r="AF121" s="499"/>
      <c r="AG121" s="499"/>
      <c r="AH121" s="499"/>
      <c r="AI121" s="1483"/>
      <c r="AJ121" s="1515"/>
      <c r="AK121" s="1515"/>
    </row>
    <row r="122">
      <c r="A122" s="499"/>
      <c r="B122" s="1501"/>
      <c r="C122" s="1502"/>
      <c r="D122" s="1503"/>
      <c r="E122" s="1503"/>
      <c r="F122" s="1504"/>
      <c r="G122" s="1504"/>
      <c r="H122" s="483"/>
      <c r="I122" s="1505"/>
      <c r="J122" s="1506" t="s">
        <v>123</v>
      </c>
      <c r="K122" s="1506"/>
      <c r="L122" s="1506"/>
      <c r="M122" s="1479"/>
      <c r="N122" s="1503"/>
      <c r="O122" s="1503"/>
      <c r="P122" s="1503"/>
      <c r="Q122" s="1503"/>
      <c r="R122" s="1503"/>
      <c r="S122" s="1504"/>
      <c r="T122" s="1504"/>
      <c r="U122" s="483"/>
      <c r="V122" s="1505"/>
      <c r="W122" s="1506" t="s">
        <v>123</v>
      </c>
      <c r="X122" s="1506"/>
      <c r="Y122" s="1506"/>
      <c r="Z122" s="1481"/>
      <c r="AA122" s="499"/>
      <c r="AB122" s="499"/>
      <c r="AC122" s="499"/>
      <c r="AD122" s="499"/>
      <c r="AE122" s="499"/>
      <c r="AF122" s="499"/>
      <c r="AG122" s="499"/>
      <c r="AH122" s="499"/>
      <c r="AI122" s="1483"/>
      <c r="AJ122" s="1515"/>
      <c r="AK122" s="1515"/>
    </row>
    <row r="123">
      <c r="A123" s="499"/>
      <c r="B123" s="1501"/>
      <c r="C123" s="1502"/>
      <c r="D123" s="1503"/>
      <c r="E123" s="1503"/>
      <c r="F123" s="1504"/>
      <c r="G123" s="1504"/>
      <c r="H123" s="483"/>
      <c r="I123" s="1505"/>
      <c r="J123" s="1506" t="s">
        <v>123</v>
      </c>
      <c r="K123" s="1506"/>
      <c r="L123" s="1506"/>
      <c r="M123" s="1479"/>
      <c r="N123" s="1503"/>
      <c r="O123" s="1503"/>
      <c r="P123" s="1503"/>
      <c r="Q123" s="1503"/>
      <c r="R123" s="1503"/>
      <c r="S123" s="1504"/>
      <c r="T123" s="1504"/>
      <c r="U123" s="483"/>
      <c r="V123" s="1505"/>
      <c r="W123" s="1506" t="s">
        <v>123</v>
      </c>
      <c r="X123" s="1506"/>
      <c r="Y123" s="1506"/>
      <c r="Z123" s="1481"/>
      <c r="AA123" s="499"/>
      <c r="AB123" s="499"/>
      <c r="AC123" s="499"/>
      <c r="AD123" s="499"/>
      <c r="AE123" s="499"/>
      <c r="AF123" s="499"/>
      <c r="AG123" s="499"/>
      <c r="AH123" s="499"/>
      <c r="AI123" s="1483"/>
      <c r="AJ123" s="1515"/>
      <c r="AK123" s="1515"/>
    </row>
    <row r="124">
      <c r="A124" s="499"/>
      <c r="B124" s="1501"/>
      <c r="C124" s="1502"/>
      <c r="D124" s="1503"/>
      <c r="E124" s="1503"/>
      <c r="F124" s="1504"/>
      <c r="G124" s="1504"/>
      <c r="H124" s="483"/>
      <c r="I124" s="1505"/>
      <c r="J124" s="1506" t="s">
        <v>123</v>
      </c>
      <c r="K124" s="1506"/>
      <c r="L124" s="1506"/>
      <c r="M124" s="1479"/>
      <c r="N124" s="1503"/>
      <c r="O124" s="1503"/>
      <c r="P124" s="1503"/>
      <c r="Q124" s="1503"/>
      <c r="R124" s="1503"/>
      <c r="S124" s="1504"/>
      <c r="T124" s="1504"/>
      <c r="U124" s="483"/>
      <c r="V124" s="1505"/>
      <c r="W124" s="1506" t="s">
        <v>123</v>
      </c>
      <c r="X124" s="1506"/>
      <c r="Y124" s="1506"/>
      <c r="Z124" s="1481"/>
      <c r="AA124" s="499"/>
      <c r="AB124" s="499"/>
      <c r="AC124" s="499"/>
      <c r="AD124" s="499"/>
      <c r="AE124" s="499"/>
      <c r="AF124" s="499"/>
      <c r="AG124" s="499"/>
      <c r="AH124" s="499"/>
      <c r="AI124" s="1483"/>
      <c r="AJ124" s="1515"/>
      <c r="AK124" s="1515"/>
    </row>
    <row r="125">
      <c r="A125" s="499"/>
      <c r="B125" s="1501"/>
      <c r="C125" s="1502"/>
      <c r="D125" s="1503"/>
      <c r="E125" s="1503"/>
      <c r="F125" s="1504"/>
      <c r="G125" s="1504"/>
      <c r="H125" s="483"/>
      <c r="I125" s="1505"/>
      <c r="J125" s="1506" t="s">
        <v>123</v>
      </c>
      <c r="K125" s="1506"/>
      <c r="L125" s="1506"/>
      <c r="M125" s="1479"/>
      <c r="N125" s="1503"/>
      <c r="O125" s="1503"/>
      <c r="P125" s="1503"/>
      <c r="Q125" s="1503"/>
      <c r="R125" s="1503"/>
      <c r="S125" s="1504"/>
      <c r="T125" s="1504"/>
      <c r="U125" s="483"/>
      <c r="V125" s="1505"/>
      <c r="W125" s="1506" t="s">
        <v>123</v>
      </c>
      <c r="X125" s="1506"/>
      <c r="Y125" s="1506"/>
      <c r="Z125" s="1481"/>
      <c r="AA125" s="499"/>
      <c r="AB125" s="499"/>
      <c r="AC125" s="499"/>
      <c r="AD125" s="499"/>
      <c r="AE125" s="499"/>
      <c r="AF125" s="499"/>
      <c r="AG125" s="499"/>
      <c r="AH125" s="499"/>
      <c r="AI125" s="1483"/>
      <c r="AJ125" s="1515"/>
      <c r="AK125" s="1515"/>
    </row>
    <row r="126">
      <c r="A126" s="499"/>
      <c r="B126" s="1501"/>
      <c r="C126" s="1502"/>
      <c r="D126" s="1503"/>
      <c r="E126" s="1503"/>
      <c r="F126" s="1504"/>
      <c r="G126" s="1504"/>
      <c r="H126" s="483"/>
      <c r="I126" s="1505"/>
      <c r="J126" s="1506" t="s">
        <v>123</v>
      </c>
      <c r="K126" s="1506"/>
      <c r="L126" s="1506"/>
      <c r="M126" s="1479"/>
      <c r="N126" s="1503"/>
      <c r="O126" s="1503"/>
      <c r="P126" s="1503"/>
      <c r="Q126" s="1503"/>
      <c r="R126" s="1503"/>
      <c r="S126" s="1504"/>
      <c r="T126" s="1504"/>
      <c r="U126" s="483"/>
      <c r="V126" s="1505"/>
      <c r="W126" s="1506" t="s">
        <v>123</v>
      </c>
      <c r="X126" s="1506"/>
      <c r="Y126" s="1506"/>
      <c r="Z126" s="1481"/>
      <c r="AA126" s="499"/>
      <c r="AB126" s="499"/>
      <c r="AC126" s="499"/>
      <c r="AD126" s="499"/>
      <c r="AE126" s="499"/>
      <c r="AF126" s="499"/>
      <c r="AG126" s="499"/>
      <c r="AH126" s="499"/>
      <c r="AI126" s="1483"/>
      <c r="AJ126" s="1515"/>
      <c r="AK126" s="1515"/>
    </row>
    <row r="127">
      <c r="A127" s="499"/>
      <c r="B127" s="1501"/>
      <c r="C127" s="1502"/>
      <c r="D127" s="1503"/>
      <c r="E127" s="1503"/>
      <c r="F127" s="1504"/>
      <c r="G127" s="1504"/>
      <c r="H127" s="483"/>
      <c r="I127" s="1505"/>
      <c r="J127" s="1506" t="s">
        <v>123</v>
      </c>
      <c r="K127" s="1506"/>
      <c r="L127" s="1506"/>
      <c r="M127" s="1479"/>
      <c r="N127" s="1503"/>
      <c r="O127" s="1503"/>
      <c r="P127" s="1503"/>
      <c r="Q127" s="1503"/>
      <c r="R127" s="1503"/>
      <c r="S127" s="1504"/>
      <c r="T127" s="1504"/>
      <c r="U127" s="483"/>
      <c r="V127" s="1505"/>
      <c r="W127" s="1506" t="s">
        <v>123</v>
      </c>
      <c r="X127" s="1506"/>
      <c r="Y127" s="1506"/>
      <c r="Z127" s="1481"/>
      <c r="AA127" s="499"/>
      <c r="AB127" s="499"/>
      <c r="AC127" s="499"/>
      <c r="AD127" s="499"/>
      <c r="AE127" s="499"/>
      <c r="AF127" s="499"/>
      <c r="AG127" s="499"/>
      <c r="AH127" s="499"/>
      <c r="AI127" s="1483"/>
      <c r="AJ127" s="1515"/>
      <c r="AK127" s="1515"/>
    </row>
    <row r="128">
      <c r="A128" s="499"/>
      <c r="B128" s="1501"/>
      <c r="C128" s="1502"/>
      <c r="D128" s="1503"/>
      <c r="E128" s="1503"/>
      <c r="F128" s="1504"/>
      <c r="G128" s="1504"/>
      <c r="H128" s="483"/>
      <c r="I128" s="1505"/>
      <c r="J128" s="1506" t="s">
        <v>123</v>
      </c>
      <c r="K128" s="1506"/>
      <c r="L128" s="1506"/>
      <c r="M128" s="1479"/>
      <c r="N128" s="1503"/>
      <c r="O128" s="1503"/>
      <c r="P128" s="1503"/>
      <c r="Q128" s="1503"/>
      <c r="R128" s="1503"/>
      <c r="S128" s="1504"/>
      <c r="T128" s="1504"/>
      <c r="U128" s="483"/>
      <c r="V128" s="1505"/>
      <c r="W128" s="1506" t="s">
        <v>123</v>
      </c>
      <c r="X128" s="1506"/>
      <c r="Y128" s="1506"/>
      <c r="Z128" s="1481"/>
      <c r="AA128" s="499"/>
      <c r="AB128" s="499"/>
      <c r="AC128" s="499"/>
      <c r="AD128" s="499"/>
      <c r="AE128" s="499"/>
      <c r="AF128" s="499"/>
      <c r="AG128" s="499"/>
      <c r="AH128" s="499"/>
      <c r="AI128" s="1483"/>
      <c r="AJ128" s="1515"/>
      <c r="AK128" s="1515"/>
    </row>
    <row r="129">
      <c r="A129" s="499"/>
      <c r="B129" s="1501"/>
      <c r="C129" s="1502"/>
      <c r="D129" s="1503"/>
      <c r="E129" s="1503"/>
      <c r="F129" s="1504"/>
      <c r="G129" s="1504"/>
      <c r="H129" s="483"/>
      <c r="I129" s="1505"/>
      <c r="J129" s="1506" t="s">
        <v>123</v>
      </c>
      <c r="K129" s="1506"/>
      <c r="L129" s="1506"/>
      <c r="M129" s="1479"/>
      <c r="N129" s="1503"/>
      <c r="O129" s="1503"/>
      <c r="P129" s="1503"/>
      <c r="Q129" s="1503"/>
      <c r="R129" s="1503"/>
      <c r="S129" s="1504"/>
      <c r="T129" s="1504"/>
      <c r="U129" s="483"/>
      <c r="V129" s="1505"/>
      <c r="W129" s="1506" t="s">
        <v>123</v>
      </c>
      <c r="X129" s="1506"/>
      <c r="Y129" s="1506"/>
      <c r="Z129" s="1481"/>
      <c r="AA129" s="499"/>
      <c r="AB129" s="499"/>
      <c r="AC129" s="499"/>
      <c r="AD129" s="499"/>
      <c r="AE129" s="499"/>
      <c r="AF129" s="499"/>
      <c r="AG129" s="499"/>
      <c r="AH129" s="499"/>
      <c r="AI129" s="1483"/>
      <c r="AJ129" s="1515"/>
      <c r="AK129" s="1515"/>
    </row>
    <row r="130">
      <c r="A130" s="499"/>
      <c r="B130" s="1501"/>
      <c r="C130" s="1502"/>
      <c r="D130" s="1503"/>
      <c r="E130" s="1503"/>
      <c r="F130" s="1504"/>
      <c r="G130" s="1504"/>
      <c r="H130" s="483"/>
      <c r="I130" s="1505"/>
      <c r="J130" s="1506" t="s">
        <v>123</v>
      </c>
      <c r="K130" s="1506"/>
      <c r="L130" s="1506"/>
      <c r="M130" s="1479"/>
      <c r="N130" s="1503"/>
      <c r="O130" s="1503"/>
      <c r="P130" s="1503"/>
      <c r="Q130" s="1503"/>
      <c r="R130" s="1503"/>
      <c r="S130" s="1504"/>
      <c r="T130" s="1504"/>
      <c r="U130" s="483"/>
      <c r="V130" s="1505"/>
      <c r="W130" s="1506" t="s">
        <v>123</v>
      </c>
      <c r="X130" s="1506"/>
      <c r="Y130" s="1506"/>
      <c r="Z130" s="1481"/>
      <c r="AA130" s="499"/>
      <c r="AB130" s="499"/>
      <c r="AC130" s="499"/>
      <c r="AD130" s="499"/>
      <c r="AE130" s="499"/>
      <c r="AF130" s="499"/>
      <c r="AG130" s="499"/>
      <c r="AH130" s="499"/>
      <c r="AI130" s="1483"/>
      <c r="AJ130" s="1515"/>
      <c r="AK130" s="1515"/>
    </row>
    <row r="131">
      <c r="A131" s="499"/>
      <c r="B131" s="1501"/>
      <c r="C131" s="1502"/>
      <c r="D131" s="1503"/>
      <c r="E131" s="1503"/>
      <c r="F131" s="1504"/>
      <c r="G131" s="1504"/>
      <c r="H131" s="483"/>
      <c r="I131" s="1505"/>
      <c r="J131" s="1506" t="s">
        <v>123</v>
      </c>
      <c r="K131" s="1506"/>
      <c r="L131" s="1506"/>
      <c r="M131" s="1479"/>
      <c r="N131" s="1503"/>
      <c r="O131" s="1503"/>
      <c r="P131" s="1503"/>
      <c r="Q131" s="1503"/>
      <c r="R131" s="1503"/>
      <c r="S131" s="1504"/>
      <c r="T131" s="1504"/>
      <c r="U131" s="483"/>
      <c r="V131" s="1505"/>
      <c r="W131" s="1506" t="s">
        <v>123</v>
      </c>
      <c r="X131" s="1506"/>
      <c r="Y131" s="1506"/>
      <c r="Z131" s="1481"/>
      <c r="AA131" s="499"/>
      <c r="AB131" s="499"/>
      <c r="AC131" s="499"/>
      <c r="AD131" s="499"/>
      <c r="AE131" s="499"/>
      <c r="AF131" s="499"/>
      <c r="AG131" s="499"/>
      <c r="AH131" s="499"/>
      <c r="AI131" s="1483"/>
      <c r="AJ131" s="1515"/>
      <c r="AK131" s="1515"/>
    </row>
    <row r="132">
      <c r="A132" s="499"/>
      <c r="B132" s="1501"/>
      <c r="C132" s="1502"/>
      <c r="D132" s="1503"/>
      <c r="E132" s="1503"/>
      <c r="F132" s="1504"/>
      <c r="G132" s="1504"/>
      <c r="H132" s="483"/>
      <c r="I132" s="1505"/>
      <c r="J132" s="1506" t="s">
        <v>123</v>
      </c>
      <c r="K132" s="1506"/>
      <c r="L132" s="1506"/>
      <c r="M132" s="1479"/>
      <c r="N132" s="1503"/>
      <c r="O132" s="1503"/>
      <c r="P132" s="1503"/>
      <c r="Q132" s="1503"/>
      <c r="R132" s="1503"/>
      <c r="S132" s="1504"/>
      <c r="T132" s="1504"/>
      <c r="U132" s="483"/>
      <c r="V132" s="1505"/>
      <c r="W132" s="1506" t="s">
        <v>123</v>
      </c>
      <c r="X132" s="1506"/>
      <c r="Y132" s="1506"/>
      <c r="Z132" s="1481"/>
      <c r="AA132" s="499"/>
      <c r="AB132" s="499"/>
      <c r="AC132" s="499"/>
      <c r="AD132" s="499"/>
      <c r="AE132" s="499"/>
      <c r="AF132" s="499"/>
      <c r="AG132" s="499"/>
      <c r="AH132" s="499"/>
      <c r="AI132" s="1483"/>
      <c r="AJ132" s="1515"/>
      <c r="AK132" s="1515"/>
    </row>
    <row r="133">
      <c r="A133" s="499"/>
      <c r="B133" s="1501"/>
      <c r="C133" s="1502"/>
      <c r="D133" s="1503"/>
      <c r="E133" s="1503"/>
      <c r="F133" s="1504"/>
      <c r="G133" s="1504"/>
      <c r="H133" s="483"/>
      <c r="I133" s="1505"/>
      <c r="J133" s="1506" t="s">
        <v>123</v>
      </c>
      <c r="K133" s="1506"/>
      <c r="L133" s="1506"/>
      <c r="M133" s="1479"/>
      <c r="N133" s="1503"/>
      <c r="O133" s="1503"/>
      <c r="P133" s="1503"/>
      <c r="Q133" s="1503"/>
      <c r="R133" s="1503"/>
      <c r="S133" s="1504"/>
      <c r="T133" s="1504"/>
      <c r="U133" s="483"/>
      <c r="V133" s="1505"/>
      <c r="W133" s="1506" t="s">
        <v>123</v>
      </c>
      <c r="X133" s="1506"/>
      <c r="Y133" s="1506"/>
      <c r="Z133" s="1481"/>
      <c r="AA133" s="499"/>
      <c r="AB133" s="499"/>
      <c r="AC133" s="499"/>
      <c r="AD133" s="499"/>
      <c r="AE133" s="499"/>
      <c r="AF133" s="499"/>
      <c r="AG133" s="499"/>
      <c r="AH133" s="499"/>
      <c r="AI133" s="1483"/>
      <c r="AJ133" s="1515"/>
      <c r="AK133" s="1515"/>
    </row>
    <row r="134">
      <c r="A134" s="499"/>
      <c r="B134" s="1501"/>
      <c r="C134" s="1502"/>
      <c r="D134" s="1503"/>
      <c r="E134" s="1503"/>
      <c r="F134" s="1504"/>
      <c r="G134" s="1504"/>
      <c r="H134" s="483"/>
      <c r="I134" s="1505"/>
      <c r="J134" s="1506" t="s">
        <v>123</v>
      </c>
      <c r="K134" s="1506"/>
      <c r="L134" s="1506"/>
      <c r="M134" s="1479"/>
      <c r="N134" s="1503"/>
      <c r="O134" s="1503"/>
      <c r="P134" s="1503"/>
      <c r="Q134" s="1503"/>
      <c r="R134" s="1503"/>
      <c r="S134" s="1504"/>
      <c r="T134" s="1504"/>
      <c r="U134" s="483"/>
      <c r="V134" s="1505"/>
      <c r="W134" s="1516" t="s">
        <v>123</v>
      </c>
      <c r="X134" s="1506"/>
      <c r="Y134" s="1506"/>
      <c r="Z134" s="1481"/>
      <c r="AA134" s="499"/>
      <c r="AB134" s="499"/>
      <c r="AC134" s="499"/>
      <c r="AD134" s="499"/>
      <c r="AE134" s="499"/>
      <c r="AF134" s="499"/>
      <c r="AG134" s="499"/>
      <c r="AH134" s="499"/>
      <c r="AI134" s="1483"/>
      <c r="AJ134" s="1515"/>
      <c r="AK134" s="1515"/>
    </row>
    <row r="135">
      <c r="A135" s="499"/>
      <c r="B135" s="1501"/>
      <c r="C135" s="1502"/>
      <c r="D135" s="1503"/>
      <c r="E135" s="1503"/>
      <c r="F135" s="1504"/>
      <c r="G135" s="1504"/>
      <c r="H135" s="483"/>
      <c r="I135" s="1505"/>
      <c r="J135" s="1506" t="s">
        <v>123</v>
      </c>
      <c r="K135" s="1506"/>
      <c r="L135" s="1506"/>
      <c r="M135" s="1479"/>
      <c r="N135" s="1503"/>
      <c r="O135" s="1503"/>
      <c r="P135" s="1503"/>
      <c r="Q135" s="1503"/>
      <c r="R135" s="1503"/>
      <c r="S135" s="1504"/>
      <c r="T135" s="1504"/>
      <c r="U135" s="483"/>
      <c r="V135" s="1505"/>
      <c r="W135" s="1516" t="s">
        <v>123</v>
      </c>
      <c r="X135" s="1506"/>
      <c r="Y135" s="1506"/>
      <c r="Z135" s="1481"/>
      <c r="AA135" s="499"/>
      <c r="AB135" s="499"/>
      <c r="AC135" s="499"/>
      <c r="AD135" s="499"/>
      <c r="AE135" s="499"/>
      <c r="AF135" s="499"/>
      <c r="AG135" s="499"/>
      <c r="AH135" s="499"/>
      <c r="AI135" s="1483"/>
      <c r="AJ135" s="1515"/>
      <c r="AK135" s="1515"/>
    </row>
    <row r="136">
      <c r="A136" s="499"/>
      <c r="B136" s="1501"/>
      <c r="C136" s="1502"/>
      <c r="D136" s="1503"/>
      <c r="E136" s="1503"/>
      <c r="F136" s="1504"/>
      <c r="G136" s="1504"/>
      <c r="H136" s="483"/>
      <c r="I136" s="1505"/>
      <c r="J136" s="1506" t="s">
        <v>123</v>
      </c>
      <c r="K136" s="1506"/>
      <c r="L136" s="1506"/>
      <c r="M136" s="1479"/>
      <c r="N136" s="1503"/>
      <c r="O136" s="1503"/>
      <c r="P136" s="1503"/>
      <c r="Q136" s="1503"/>
      <c r="R136" s="1503"/>
      <c r="S136" s="1504"/>
      <c r="T136" s="1504"/>
      <c r="U136" s="483"/>
      <c r="V136" s="1505"/>
      <c r="W136" s="1516" t="s">
        <v>123</v>
      </c>
      <c r="X136" s="1506"/>
      <c r="Y136" s="1506"/>
      <c r="Z136" s="1481"/>
      <c r="AA136" s="499"/>
      <c r="AB136" s="499"/>
      <c r="AC136" s="499"/>
      <c r="AD136" s="499"/>
      <c r="AE136" s="499"/>
      <c r="AF136" s="499"/>
      <c r="AG136" s="499"/>
      <c r="AH136" s="499"/>
      <c r="AI136" s="1483"/>
      <c r="AJ136" s="1515"/>
      <c r="AK136" s="1515"/>
    </row>
    <row r="137">
      <c r="A137" s="499"/>
      <c r="B137" s="1501"/>
      <c r="C137" s="1502"/>
      <c r="D137" s="1503"/>
      <c r="E137" s="1503"/>
      <c r="F137" s="1504"/>
      <c r="G137" s="1504"/>
      <c r="H137" s="483"/>
      <c r="I137" s="1505"/>
      <c r="J137" s="1506" t="s">
        <v>123</v>
      </c>
      <c r="K137" s="1506"/>
      <c r="L137" s="1506"/>
      <c r="M137" s="1479"/>
      <c r="N137" s="1503"/>
      <c r="O137" s="1503"/>
      <c r="P137" s="1503"/>
      <c r="Q137" s="1503"/>
      <c r="R137" s="1503"/>
      <c r="S137" s="1504"/>
      <c r="T137" s="1504"/>
      <c r="U137" s="483"/>
      <c r="V137" s="1505"/>
      <c r="W137" s="1516" t="s">
        <v>123</v>
      </c>
      <c r="X137" s="1506"/>
      <c r="Y137" s="1506"/>
      <c r="Z137" s="1481"/>
      <c r="AA137" s="499"/>
      <c r="AB137" s="499"/>
      <c r="AC137" s="499"/>
      <c r="AD137" s="499"/>
      <c r="AE137" s="499"/>
      <c r="AF137" s="499"/>
      <c r="AG137" s="499"/>
      <c r="AH137" s="499"/>
      <c r="AI137" s="1483"/>
      <c r="AJ137" s="1515"/>
      <c r="AK137" s="1515"/>
    </row>
    <row r="138">
      <c r="A138" s="499"/>
      <c r="B138" s="1501"/>
      <c r="C138" s="1502"/>
      <c r="D138" s="1503"/>
      <c r="E138" s="1503"/>
      <c r="F138" s="1504"/>
      <c r="G138" s="1504"/>
      <c r="H138" s="483"/>
      <c r="I138" s="1505"/>
      <c r="J138" s="1506" t="s">
        <v>123</v>
      </c>
      <c r="K138" s="1506"/>
      <c r="L138" s="1506"/>
      <c r="M138" s="1479"/>
      <c r="N138" s="1503"/>
      <c r="O138" s="1503"/>
      <c r="P138" s="1503"/>
      <c r="Q138" s="1503"/>
      <c r="R138" s="1503"/>
      <c r="S138" s="1504"/>
      <c r="T138" s="1504"/>
      <c r="U138" s="483"/>
      <c r="V138" s="1505"/>
      <c r="W138" s="1516" t="s">
        <v>123</v>
      </c>
      <c r="X138" s="1506"/>
      <c r="Y138" s="1506"/>
      <c r="Z138" s="1481"/>
      <c r="AA138" s="499"/>
      <c r="AB138" s="499"/>
      <c r="AC138" s="499"/>
      <c r="AD138" s="499"/>
      <c r="AE138" s="499"/>
      <c r="AF138" s="499"/>
      <c r="AG138" s="499"/>
      <c r="AH138" s="499"/>
      <c r="AI138" s="1483"/>
      <c r="AJ138" s="1515"/>
      <c r="AK138" s="1515"/>
    </row>
    <row r="139">
      <c r="A139" s="499"/>
      <c r="B139" s="1501"/>
      <c r="C139" s="1502"/>
      <c r="D139" s="1503"/>
      <c r="E139" s="1503"/>
      <c r="F139" s="1504"/>
      <c r="G139" s="1504"/>
      <c r="H139" s="483"/>
      <c r="I139" s="1505"/>
      <c r="J139" s="1506" t="s">
        <v>123</v>
      </c>
      <c r="K139" s="1506"/>
      <c r="L139" s="1506"/>
      <c r="M139" s="1479"/>
      <c r="N139" s="1503"/>
      <c r="O139" s="1503"/>
      <c r="P139" s="1503"/>
      <c r="Q139" s="1503"/>
      <c r="R139" s="1503"/>
      <c r="S139" s="1504"/>
      <c r="T139" s="1504"/>
      <c r="U139" s="483"/>
      <c r="V139" s="1505"/>
      <c r="W139" s="1516" t="s">
        <v>123</v>
      </c>
      <c r="X139" s="1506"/>
      <c r="Y139" s="1506"/>
      <c r="Z139" s="1481"/>
      <c r="AA139" s="499"/>
      <c r="AB139" s="499"/>
      <c r="AC139" s="499"/>
      <c r="AD139" s="499"/>
      <c r="AE139" s="499"/>
      <c r="AF139" s="499"/>
      <c r="AG139" s="499"/>
      <c r="AH139" s="499"/>
      <c r="AI139" s="1483"/>
      <c r="AJ139" s="1515"/>
      <c r="AK139" s="1515"/>
    </row>
    <row r="140">
      <c r="A140" s="499"/>
      <c r="B140" s="1501"/>
      <c r="C140" s="1502"/>
      <c r="D140" s="1503"/>
      <c r="E140" s="1503"/>
      <c r="F140" s="1504"/>
      <c r="G140" s="1504"/>
      <c r="H140" s="483"/>
      <c r="I140" s="1505"/>
      <c r="J140" s="1506" t="s">
        <v>123</v>
      </c>
      <c r="K140" s="1506"/>
      <c r="L140" s="1506"/>
      <c r="M140" s="1479"/>
      <c r="N140" s="1503"/>
      <c r="O140" s="1503"/>
      <c r="P140" s="1503"/>
      <c r="Q140" s="1503"/>
      <c r="R140" s="1503"/>
      <c r="S140" s="1504"/>
      <c r="T140" s="1504"/>
      <c r="U140" s="483"/>
      <c r="V140" s="1505"/>
      <c r="W140" s="1516" t="s">
        <v>123</v>
      </c>
      <c r="X140" s="1506"/>
      <c r="Y140" s="1506"/>
      <c r="Z140" s="1481"/>
      <c r="AA140" s="499"/>
      <c r="AB140" s="499"/>
      <c r="AC140" s="499"/>
      <c r="AD140" s="499"/>
      <c r="AE140" s="499"/>
      <c r="AF140" s="499"/>
      <c r="AG140" s="499"/>
      <c r="AH140" s="499"/>
      <c r="AI140" s="1483"/>
      <c r="AJ140" s="1515"/>
      <c r="AK140" s="1515"/>
    </row>
    <row r="141">
      <c r="A141" s="499"/>
      <c r="B141" s="1501"/>
      <c r="C141" s="1502"/>
      <c r="D141" s="1503"/>
      <c r="E141" s="1503"/>
      <c r="F141" s="1504"/>
      <c r="G141" s="1504"/>
      <c r="H141" s="483"/>
      <c r="I141" s="1505"/>
      <c r="J141" s="1506" t="s">
        <v>123</v>
      </c>
      <c r="K141" s="1506"/>
      <c r="L141" s="1506"/>
      <c r="M141" s="1479"/>
      <c r="N141" s="1503"/>
      <c r="O141" s="1503"/>
      <c r="P141" s="1503"/>
      <c r="Q141" s="1503"/>
      <c r="R141" s="1503"/>
      <c r="S141" s="1504"/>
      <c r="T141" s="1504"/>
      <c r="U141" s="483"/>
      <c r="V141" s="1505"/>
      <c r="W141" s="1516" t="s">
        <v>123</v>
      </c>
      <c r="X141" s="1506"/>
      <c r="Y141" s="1506"/>
      <c r="Z141" s="1481"/>
      <c r="AA141" s="499"/>
      <c r="AB141" s="499"/>
      <c r="AC141" s="499"/>
      <c r="AD141" s="499"/>
      <c r="AE141" s="499"/>
      <c r="AF141" s="499"/>
      <c r="AG141" s="499"/>
      <c r="AH141" s="499"/>
      <c r="AI141" s="1483"/>
      <c r="AJ141" s="1515"/>
      <c r="AK141" s="1515"/>
    </row>
    <row r="142">
      <c r="A142" s="499"/>
      <c r="B142" s="1501"/>
      <c r="C142" s="1502"/>
      <c r="D142" s="1503"/>
      <c r="E142" s="1503"/>
      <c r="F142" s="1504"/>
      <c r="G142" s="1504"/>
      <c r="H142" s="483"/>
      <c r="I142" s="1505"/>
      <c r="J142" s="1506" t="s">
        <v>123</v>
      </c>
      <c r="K142" s="1506"/>
      <c r="L142" s="1506"/>
      <c r="M142" s="1479"/>
      <c r="N142" s="1503"/>
      <c r="O142" s="1503"/>
      <c r="P142" s="1503"/>
      <c r="Q142" s="1503"/>
      <c r="R142" s="1503"/>
      <c r="S142" s="1504"/>
      <c r="T142" s="1504"/>
      <c r="U142" s="483"/>
      <c r="V142" s="1505"/>
      <c r="W142" s="1516" t="s">
        <v>123</v>
      </c>
      <c r="X142" s="1506"/>
      <c r="Y142" s="1506"/>
      <c r="Z142" s="1481"/>
      <c r="AA142" s="499"/>
      <c r="AB142" s="499"/>
      <c r="AC142" s="499"/>
      <c r="AD142" s="499"/>
      <c r="AE142" s="499"/>
      <c r="AF142" s="499"/>
      <c r="AG142" s="499"/>
      <c r="AH142" s="499"/>
      <c r="AI142" s="1483"/>
      <c r="AJ142" s="1515"/>
      <c r="AK142" s="1515"/>
    </row>
    <row r="143">
      <c r="A143" s="499"/>
      <c r="B143" s="1501"/>
      <c r="C143" s="1502"/>
      <c r="D143" s="1503"/>
      <c r="E143" s="1503"/>
      <c r="F143" s="1504"/>
      <c r="G143" s="1504"/>
      <c r="H143" s="483"/>
      <c r="I143" s="1505"/>
      <c r="J143" s="1506" t="s">
        <v>123</v>
      </c>
      <c r="K143" s="1506"/>
      <c r="L143" s="1506"/>
      <c r="M143" s="1479"/>
      <c r="N143" s="1503"/>
      <c r="O143" s="1503"/>
      <c r="P143" s="1503"/>
      <c r="Q143" s="1503"/>
      <c r="R143" s="1503"/>
      <c r="S143" s="1504"/>
      <c r="T143" s="1504"/>
      <c r="U143" s="483"/>
      <c r="V143" s="1505"/>
      <c r="W143" s="1516" t="s">
        <v>123</v>
      </c>
      <c r="X143" s="1506"/>
      <c r="Y143" s="1506"/>
      <c r="Z143" s="1481"/>
      <c r="AA143" s="499"/>
      <c r="AB143" s="499"/>
      <c r="AC143" s="499"/>
      <c r="AD143" s="499"/>
      <c r="AE143" s="499"/>
      <c r="AF143" s="499"/>
      <c r="AG143" s="499"/>
      <c r="AH143" s="499"/>
      <c r="AI143" s="1483"/>
      <c r="AJ143" s="1515"/>
      <c r="AK143" s="1515"/>
    </row>
    <row r="144">
      <c r="A144" s="499"/>
      <c r="B144" s="1501"/>
      <c r="C144" s="1502"/>
      <c r="D144" s="1503"/>
      <c r="E144" s="1503"/>
      <c r="F144" s="1504"/>
      <c r="G144" s="1504"/>
      <c r="H144" s="483"/>
      <c r="I144" s="1505"/>
      <c r="J144" s="1506" t="s">
        <v>123</v>
      </c>
      <c r="K144" s="1506"/>
      <c r="L144" s="1506"/>
      <c r="M144" s="1479"/>
      <c r="N144" s="1503"/>
      <c r="O144" s="1503"/>
      <c r="P144" s="1503"/>
      <c r="Q144" s="1503"/>
      <c r="R144" s="1503"/>
      <c r="S144" s="1504"/>
      <c r="T144" s="1504"/>
      <c r="U144" s="483"/>
      <c r="V144" s="1505"/>
      <c r="W144" s="1516" t="s">
        <v>123</v>
      </c>
      <c r="X144" s="1506"/>
      <c r="Y144" s="1506"/>
      <c r="Z144" s="1481"/>
      <c r="AA144" s="499"/>
      <c r="AB144" s="499"/>
      <c r="AC144" s="499"/>
      <c r="AD144" s="499"/>
      <c r="AE144" s="499"/>
      <c r="AF144" s="499"/>
      <c r="AG144" s="499"/>
      <c r="AH144" s="499"/>
      <c r="AI144" s="1483"/>
      <c r="AJ144" s="1515"/>
      <c r="AK144" s="1515"/>
    </row>
    <row r="145">
      <c r="A145" s="499"/>
      <c r="B145" s="1501"/>
      <c r="C145" s="1502"/>
      <c r="D145" s="1503"/>
      <c r="E145" s="1503"/>
      <c r="F145" s="1504"/>
      <c r="G145" s="1504"/>
      <c r="H145" s="483"/>
      <c r="I145" s="1505"/>
      <c r="J145" s="1506" t="s">
        <v>123</v>
      </c>
      <c r="K145" s="1506"/>
      <c r="L145" s="1506"/>
      <c r="M145" s="1479"/>
      <c r="N145" s="1503"/>
      <c r="O145" s="1503"/>
      <c r="P145" s="1503"/>
      <c r="Q145" s="1503"/>
      <c r="R145" s="1503"/>
      <c r="S145" s="1504"/>
      <c r="T145" s="1504"/>
      <c r="U145" s="483"/>
      <c r="V145" s="1505"/>
      <c r="W145" s="1516" t="s">
        <v>123</v>
      </c>
      <c r="X145" s="1506"/>
      <c r="Y145" s="1506"/>
      <c r="Z145" s="1481"/>
      <c r="AA145" s="499"/>
      <c r="AB145" s="499"/>
      <c r="AC145" s="499"/>
      <c r="AD145" s="499"/>
      <c r="AE145" s="499"/>
      <c r="AF145" s="499"/>
      <c r="AG145" s="499"/>
      <c r="AH145" s="499"/>
      <c r="AI145" s="1483"/>
      <c r="AJ145" s="1515"/>
      <c r="AK145" s="1515"/>
    </row>
    <row r="146">
      <c r="A146" s="499"/>
      <c r="B146" s="1501"/>
      <c r="C146" s="1502"/>
      <c r="D146" s="1503"/>
      <c r="E146" s="1503"/>
      <c r="F146" s="1504"/>
      <c r="G146" s="1504"/>
      <c r="H146" s="483"/>
      <c r="I146" s="1505"/>
      <c r="J146" s="1506" t="s">
        <v>123</v>
      </c>
      <c r="K146" s="1506"/>
      <c r="L146" s="1506"/>
      <c r="M146" s="1479"/>
      <c r="N146" s="1503"/>
      <c r="O146" s="1503"/>
      <c r="P146" s="1503"/>
      <c r="Q146" s="1503"/>
      <c r="R146" s="1503"/>
      <c r="S146" s="1504"/>
      <c r="T146" s="1504"/>
      <c r="U146" s="483"/>
      <c r="V146" s="1505"/>
      <c r="W146" s="1516" t="s">
        <v>123</v>
      </c>
      <c r="X146" s="1506"/>
      <c r="Y146" s="1506"/>
      <c r="Z146" s="1481"/>
      <c r="AA146" s="499"/>
      <c r="AB146" s="499"/>
      <c r="AC146" s="499"/>
      <c r="AD146" s="499"/>
      <c r="AE146" s="499"/>
      <c r="AF146" s="499"/>
      <c r="AG146" s="499"/>
      <c r="AH146" s="499"/>
      <c r="AI146" s="1483"/>
      <c r="AJ146" s="1515"/>
      <c r="AK146" s="1515"/>
    </row>
    <row r="147">
      <c r="A147" s="499"/>
      <c r="B147" s="1501"/>
      <c r="C147" s="1502"/>
      <c r="D147" s="1503"/>
      <c r="E147" s="1503"/>
      <c r="F147" s="1504"/>
      <c r="G147" s="1504"/>
      <c r="H147" s="483"/>
      <c r="I147" s="1505"/>
      <c r="J147" s="1506" t="s">
        <v>123</v>
      </c>
      <c r="K147" s="1506"/>
      <c r="L147" s="1506"/>
      <c r="M147" s="1479"/>
      <c r="N147" s="1503"/>
      <c r="O147" s="1503"/>
      <c r="P147" s="1503"/>
      <c r="Q147" s="1503"/>
      <c r="R147" s="1503"/>
      <c r="S147" s="1504"/>
      <c r="T147" s="1504"/>
      <c r="U147" s="483"/>
      <c r="V147" s="1505"/>
      <c r="W147" s="1516" t="s">
        <v>123</v>
      </c>
      <c r="X147" s="1506"/>
      <c r="Y147" s="1506"/>
      <c r="Z147" s="1481"/>
      <c r="AA147" s="499"/>
      <c r="AB147" s="499"/>
      <c r="AC147" s="499"/>
      <c r="AD147" s="499"/>
      <c r="AE147" s="499"/>
      <c r="AF147" s="499"/>
      <c r="AG147" s="499"/>
      <c r="AH147" s="499"/>
      <c r="AI147" s="1483"/>
      <c r="AJ147" s="1515"/>
      <c r="AK147" s="1515"/>
    </row>
    <row r="148">
      <c r="A148" s="499"/>
      <c r="B148" s="1501"/>
      <c r="C148" s="1502"/>
      <c r="D148" s="1503"/>
      <c r="E148" s="1503"/>
      <c r="F148" s="1504"/>
      <c r="G148" s="1504"/>
      <c r="H148" s="483"/>
      <c r="I148" s="1505"/>
      <c r="J148" s="1506" t="s">
        <v>123</v>
      </c>
      <c r="K148" s="1506"/>
      <c r="L148" s="1506"/>
      <c r="M148" s="1479"/>
      <c r="N148" s="1503"/>
      <c r="O148" s="1503"/>
      <c r="P148" s="1503"/>
      <c r="Q148" s="1503"/>
      <c r="R148" s="1503"/>
      <c r="S148" s="1504"/>
      <c r="T148" s="1504"/>
      <c r="U148" s="483"/>
      <c r="V148" s="1505"/>
      <c r="W148" s="1516" t="s">
        <v>123</v>
      </c>
      <c r="X148" s="1506"/>
      <c r="Y148" s="1506"/>
      <c r="Z148" s="1481"/>
      <c r="AA148" s="499"/>
      <c r="AB148" s="499"/>
      <c r="AC148" s="499"/>
      <c r="AD148" s="499"/>
      <c r="AE148" s="499"/>
      <c r="AF148" s="499"/>
      <c r="AG148" s="499"/>
      <c r="AH148" s="499"/>
      <c r="AI148" s="1483"/>
      <c r="AJ148" s="1515"/>
      <c r="AK148" s="1515"/>
    </row>
    <row r="149">
      <c r="A149" s="499"/>
      <c r="B149" s="1501"/>
      <c r="C149" s="1502"/>
      <c r="D149" s="1503"/>
      <c r="E149" s="1503"/>
      <c r="F149" s="1504"/>
      <c r="G149" s="1504"/>
      <c r="H149" s="483"/>
      <c r="I149" s="1505"/>
      <c r="J149" s="1506" t="s">
        <v>123</v>
      </c>
      <c r="K149" s="1506"/>
      <c r="L149" s="1506"/>
      <c r="M149" s="1479"/>
      <c r="N149" s="1503"/>
      <c r="O149" s="1503"/>
      <c r="P149" s="1503"/>
      <c r="Q149" s="1503"/>
      <c r="R149" s="1503"/>
      <c r="S149" s="1504"/>
      <c r="T149" s="1504"/>
      <c r="U149" s="483"/>
      <c r="V149" s="1505"/>
      <c r="W149" s="1516" t="s">
        <v>123</v>
      </c>
      <c r="X149" s="1506"/>
      <c r="Y149" s="1506"/>
      <c r="Z149" s="1481"/>
      <c r="AA149" s="499"/>
      <c r="AB149" s="499"/>
      <c r="AC149" s="499"/>
      <c r="AD149" s="499"/>
      <c r="AE149" s="499"/>
      <c r="AF149" s="499"/>
      <c r="AG149" s="499"/>
      <c r="AH149" s="499"/>
      <c r="AI149" s="1483"/>
      <c r="AJ149" s="1515"/>
      <c r="AK149" s="1515"/>
    </row>
    <row r="150">
      <c r="A150" s="499"/>
      <c r="B150" s="1501"/>
      <c r="C150" s="1502"/>
      <c r="D150" s="1503"/>
      <c r="E150" s="1503"/>
      <c r="F150" s="1504"/>
      <c r="G150" s="1504"/>
      <c r="H150" s="483"/>
      <c r="I150" s="1505"/>
      <c r="J150" s="1506" t="s">
        <v>123</v>
      </c>
      <c r="K150" s="1506"/>
      <c r="L150" s="1506"/>
      <c r="M150" s="1479"/>
      <c r="N150" s="1503"/>
      <c r="O150" s="1503"/>
      <c r="P150" s="1503"/>
      <c r="Q150" s="1503"/>
      <c r="R150" s="1503"/>
      <c r="S150" s="1504"/>
      <c r="T150" s="1504"/>
      <c r="U150" s="483"/>
      <c r="V150" s="1505"/>
      <c r="W150" s="1516" t="s">
        <v>123</v>
      </c>
      <c r="X150" s="1506"/>
      <c r="Y150" s="1506"/>
      <c r="Z150" s="1481"/>
      <c r="AA150" s="499"/>
      <c r="AB150" s="499"/>
      <c r="AC150" s="499"/>
      <c r="AD150" s="499"/>
      <c r="AE150" s="499"/>
      <c r="AF150" s="499"/>
      <c r="AG150" s="499"/>
      <c r="AH150" s="499"/>
      <c r="AI150" s="1483"/>
      <c r="AJ150" s="1515"/>
      <c r="AK150" s="1515"/>
    </row>
    <row r="151">
      <c r="A151" s="499"/>
      <c r="B151" s="1501"/>
      <c r="C151" s="1502"/>
      <c r="D151" s="1503"/>
      <c r="E151" s="1503"/>
      <c r="F151" s="1504"/>
      <c r="G151" s="1504"/>
      <c r="H151" s="483"/>
      <c r="I151" s="1505"/>
      <c r="J151" s="1506" t="s">
        <v>123</v>
      </c>
      <c r="K151" s="1506"/>
      <c r="L151" s="1506"/>
      <c r="M151" s="1479"/>
      <c r="N151" s="1503"/>
      <c r="O151" s="1503"/>
      <c r="P151" s="1503"/>
      <c r="Q151" s="1503"/>
      <c r="R151" s="1503"/>
      <c r="S151" s="1504"/>
      <c r="T151" s="1504"/>
      <c r="U151" s="483"/>
      <c r="V151" s="1505"/>
      <c r="W151" s="1516" t="s">
        <v>123</v>
      </c>
      <c r="X151" s="1506"/>
      <c r="Y151" s="1506"/>
      <c r="Z151" s="1481"/>
      <c r="AA151" s="499"/>
      <c r="AB151" s="499"/>
      <c r="AC151" s="499"/>
      <c r="AD151" s="499"/>
      <c r="AE151" s="499"/>
      <c r="AF151" s="499"/>
      <c r="AG151" s="499"/>
      <c r="AH151" s="499"/>
      <c r="AI151" s="1483"/>
      <c r="AJ151" s="1515"/>
      <c r="AK151" s="1515"/>
    </row>
    <row r="152">
      <c r="A152" s="499"/>
      <c r="B152" s="1501"/>
      <c r="C152" s="1502"/>
      <c r="D152" s="1503"/>
      <c r="E152" s="1503"/>
      <c r="F152" s="1504"/>
      <c r="G152" s="1504"/>
      <c r="H152" s="483"/>
      <c r="I152" s="1505"/>
      <c r="J152" s="1506" t="s">
        <v>123</v>
      </c>
      <c r="K152" s="1506"/>
      <c r="L152" s="1506"/>
      <c r="M152" s="1479"/>
      <c r="N152" s="1503"/>
      <c r="O152" s="1503"/>
      <c r="P152" s="1503"/>
      <c r="Q152" s="1503"/>
      <c r="R152" s="1503"/>
      <c r="S152" s="1504"/>
      <c r="T152" s="1504"/>
      <c r="U152" s="483"/>
      <c r="V152" s="1505"/>
      <c r="W152" s="1516" t="s">
        <v>123</v>
      </c>
      <c r="X152" s="1506"/>
      <c r="Y152" s="1506"/>
      <c r="Z152" s="1481"/>
      <c r="AA152" s="499"/>
      <c r="AB152" s="499"/>
      <c r="AC152" s="499"/>
      <c r="AD152" s="499"/>
      <c r="AE152" s="499"/>
      <c r="AF152" s="499"/>
      <c r="AG152" s="499"/>
      <c r="AH152" s="499"/>
      <c r="AI152" s="1483"/>
      <c r="AJ152" s="1515"/>
      <c r="AK152" s="1515"/>
    </row>
    <row r="153">
      <c r="A153" s="499"/>
      <c r="B153" s="1501"/>
      <c r="C153" s="1502"/>
      <c r="D153" s="1503"/>
      <c r="E153" s="1503"/>
      <c r="F153" s="1504"/>
      <c r="G153" s="1504"/>
      <c r="H153" s="483"/>
      <c r="I153" s="1505"/>
      <c r="J153" s="1506" t="s">
        <v>123</v>
      </c>
      <c r="K153" s="1506"/>
      <c r="L153" s="1506"/>
      <c r="M153" s="1479"/>
      <c r="N153" s="1503"/>
      <c r="O153" s="1503"/>
      <c r="P153" s="1503"/>
      <c r="Q153" s="1503"/>
      <c r="R153" s="1503"/>
      <c r="S153" s="1504"/>
      <c r="T153" s="1504"/>
      <c r="U153" s="483"/>
      <c r="V153" s="1505"/>
      <c r="W153" s="1516" t="s">
        <v>123</v>
      </c>
      <c r="X153" s="1506"/>
      <c r="Y153" s="1506"/>
      <c r="Z153" s="1481"/>
      <c r="AA153" s="499"/>
      <c r="AB153" s="499"/>
      <c r="AC153" s="499"/>
      <c r="AD153" s="499"/>
      <c r="AE153" s="499"/>
      <c r="AF153" s="499"/>
      <c r="AG153" s="499"/>
      <c r="AH153" s="499"/>
      <c r="AI153" s="1483"/>
      <c r="AJ153" s="1515"/>
      <c r="AK153" s="1515"/>
    </row>
    <row r="154">
      <c r="A154" s="499"/>
      <c r="B154" s="1501"/>
      <c r="C154" s="1502"/>
      <c r="D154" s="1503"/>
      <c r="E154" s="1503"/>
      <c r="F154" s="1504"/>
      <c r="G154" s="1504"/>
      <c r="H154" s="483"/>
      <c r="I154" s="1505"/>
      <c r="J154" s="1506" t="s">
        <v>123</v>
      </c>
      <c r="K154" s="1506"/>
      <c r="L154" s="1506"/>
      <c r="M154" s="1479"/>
      <c r="N154" s="1503"/>
      <c r="O154" s="1503"/>
      <c r="P154" s="1503"/>
      <c r="Q154" s="1503"/>
      <c r="R154" s="1503"/>
      <c r="S154" s="1504"/>
      <c r="T154" s="1504"/>
      <c r="U154" s="483"/>
      <c r="V154" s="1505"/>
      <c r="W154" s="1516" t="s">
        <v>123</v>
      </c>
      <c r="X154" s="1506"/>
      <c r="Y154" s="1506"/>
      <c r="Z154" s="1481"/>
      <c r="AA154" s="499"/>
      <c r="AB154" s="499"/>
      <c r="AC154" s="499"/>
      <c r="AD154" s="499"/>
      <c r="AE154" s="499"/>
      <c r="AF154" s="499"/>
      <c r="AG154" s="499"/>
      <c r="AH154" s="499"/>
      <c r="AI154" s="1483"/>
      <c r="AJ154" s="1515"/>
      <c r="AK154" s="1515"/>
    </row>
    <row r="155">
      <c r="A155" s="499"/>
      <c r="B155" s="1501"/>
      <c r="C155" s="1502"/>
      <c r="D155" s="1503"/>
      <c r="E155" s="1503"/>
      <c r="F155" s="1504"/>
      <c r="G155" s="1504"/>
      <c r="H155" s="483"/>
      <c r="I155" s="1505"/>
      <c r="J155" s="1506" t="s">
        <v>123</v>
      </c>
      <c r="K155" s="1506"/>
      <c r="L155" s="1506"/>
      <c r="M155" s="1479"/>
      <c r="N155" s="1503"/>
      <c r="O155" s="1503"/>
      <c r="P155" s="1503"/>
      <c r="Q155" s="1503"/>
      <c r="R155" s="1503"/>
      <c r="S155" s="1504"/>
      <c r="T155" s="1504"/>
      <c r="U155" s="483"/>
      <c r="V155" s="1505"/>
      <c r="W155" s="1516" t="s">
        <v>123</v>
      </c>
      <c r="X155" s="1506"/>
      <c r="Y155" s="1506"/>
      <c r="Z155" s="1481"/>
      <c r="AA155" s="499"/>
      <c r="AB155" s="499"/>
      <c r="AC155" s="499"/>
      <c r="AD155" s="499"/>
      <c r="AE155" s="499"/>
      <c r="AF155" s="499"/>
      <c r="AG155" s="499"/>
      <c r="AH155" s="499"/>
      <c r="AI155" s="1483"/>
      <c r="AJ155" s="1515"/>
      <c r="AK155" s="1515"/>
    </row>
    <row r="156">
      <c r="A156" s="499"/>
      <c r="B156" s="1501"/>
      <c r="C156" s="1502"/>
      <c r="D156" s="1503"/>
      <c r="E156" s="1503"/>
      <c r="F156" s="1504"/>
      <c r="G156" s="1504"/>
      <c r="H156" s="483"/>
      <c r="I156" s="1505"/>
      <c r="J156" s="1506" t="s">
        <v>123</v>
      </c>
      <c r="K156" s="1506"/>
      <c r="L156" s="1506"/>
      <c r="M156" s="1479"/>
      <c r="N156" s="1503"/>
      <c r="O156" s="1503"/>
      <c r="P156" s="1503"/>
      <c r="Q156" s="1503"/>
      <c r="R156" s="1503"/>
      <c r="S156" s="1504"/>
      <c r="T156" s="1504"/>
      <c r="U156" s="483"/>
      <c r="V156" s="1505"/>
      <c r="W156" s="1516" t="s">
        <v>123</v>
      </c>
      <c r="X156" s="1506"/>
      <c r="Y156" s="1506"/>
      <c r="Z156" s="1481"/>
      <c r="AA156" s="499"/>
      <c r="AB156" s="499"/>
      <c r="AC156" s="499"/>
      <c r="AD156" s="499"/>
      <c r="AE156" s="499"/>
      <c r="AF156" s="499"/>
      <c r="AG156" s="499"/>
      <c r="AH156" s="499"/>
      <c r="AI156" s="1483"/>
      <c r="AJ156" s="1515"/>
      <c r="AK156" s="1515"/>
    </row>
    <row r="157">
      <c r="A157" s="499"/>
      <c r="B157" s="1501"/>
      <c r="C157" s="1502"/>
      <c r="D157" s="1503"/>
      <c r="E157" s="1503"/>
      <c r="F157" s="1504"/>
      <c r="G157" s="1504"/>
      <c r="H157" s="483"/>
      <c r="I157" s="1505"/>
      <c r="J157" s="1506" t="s">
        <v>123</v>
      </c>
      <c r="K157" s="1506"/>
      <c r="L157" s="1506"/>
      <c r="M157" s="1479"/>
      <c r="N157" s="1503"/>
      <c r="O157" s="1503"/>
      <c r="P157" s="1503"/>
      <c r="Q157" s="1503"/>
      <c r="R157" s="1503"/>
      <c r="S157" s="1504"/>
      <c r="T157" s="1504"/>
      <c r="U157" s="483"/>
      <c r="V157" s="1505"/>
      <c r="W157" s="1516" t="s">
        <v>123</v>
      </c>
      <c r="X157" s="1506"/>
      <c r="Y157" s="1506"/>
      <c r="Z157" s="1481"/>
      <c r="AA157" s="499"/>
      <c r="AB157" s="499"/>
      <c r="AC157" s="499"/>
      <c r="AD157" s="499"/>
      <c r="AE157" s="499"/>
      <c r="AF157" s="499"/>
      <c r="AG157" s="499"/>
      <c r="AH157" s="499"/>
      <c r="AI157" s="1483"/>
      <c r="AJ157" s="1515"/>
      <c r="AK157" s="1515"/>
    </row>
    <row r="158">
      <c r="A158" s="499"/>
      <c r="B158" s="1501"/>
      <c r="C158" s="1502"/>
      <c r="D158" s="1503"/>
      <c r="E158" s="1503"/>
      <c r="F158" s="1504"/>
      <c r="G158" s="1504"/>
      <c r="H158" s="483"/>
      <c r="I158" s="1505"/>
      <c r="J158" s="1506" t="s">
        <v>123</v>
      </c>
      <c r="K158" s="1506"/>
      <c r="L158" s="1506"/>
      <c r="M158" s="1479"/>
      <c r="N158" s="1503"/>
      <c r="O158" s="1503"/>
      <c r="P158" s="1503"/>
      <c r="Q158" s="1503"/>
      <c r="R158" s="1503"/>
      <c r="S158" s="1504"/>
      <c r="T158" s="1504"/>
      <c r="U158" s="483"/>
      <c r="V158" s="1505"/>
      <c r="W158" s="1516" t="s">
        <v>123</v>
      </c>
      <c r="X158" s="1506"/>
      <c r="Y158" s="1506"/>
      <c r="Z158" s="1481"/>
      <c r="AA158" s="499"/>
      <c r="AB158" s="499"/>
      <c r="AC158" s="499"/>
      <c r="AD158" s="499"/>
      <c r="AE158" s="499"/>
      <c r="AF158" s="499"/>
      <c r="AG158" s="499"/>
      <c r="AH158" s="499"/>
      <c r="AI158" s="1483"/>
      <c r="AJ158" s="1515"/>
      <c r="AK158" s="1515"/>
    </row>
    <row r="159">
      <c r="A159" s="499"/>
      <c r="B159" s="1501"/>
      <c r="C159" s="1502"/>
      <c r="D159" s="1503"/>
      <c r="E159" s="1503"/>
      <c r="F159" s="1504"/>
      <c r="G159" s="1504"/>
      <c r="H159" s="483"/>
      <c r="I159" s="1505"/>
      <c r="J159" s="1506" t="s">
        <v>123</v>
      </c>
      <c r="K159" s="1506"/>
      <c r="L159" s="1506"/>
      <c r="M159" s="1479"/>
      <c r="N159" s="1503"/>
      <c r="O159" s="1503"/>
      <c r="P159" s="1503"/>
      <c r="Q159" s="1503"/>
      <c r="R159" s="1503"/>
      <c r="S159" s="1504"/>
      <c r="T159" s="1504"/>
      <c r="U159" s="483"/>
      <c r="V159" s="1505"/>
      <c r="W159" s="1516" t="s">
        <v>123</v>
      </c>
      <c r="X159" s="1506"/>
      <c r="Y159" s="1506"/>
      <c r="Z159" s="1481"/>
      <c r="AA159" s="499"/>
      <c r="AB159" s="499"/>
      <c r="AC159" s="499"/>
      <c r="AD159" s="499"/>
      <c r="AE159" s="499"/>
      <c r="AF159" s="499"/>
      <c r="AG159" s="499"/>
      <c r="AH159" s="499"/>
      <c r="AI159" s="1483"/>
      <c r="AJ159" s="1515"/>
      <c r="AK159" s="1515"/>
    </row>
    <row r="160">
      <c r="A160" s="499"/>
      <c r="B160" s="1501"/>
      <c r="C160" s="1502"/>
      <c r="D160" s="1503"/>
      <c r="E160" s="1503"/>
      <c r="F160" s="1504"/>
      <c r="G160" s="1504"/>
      <c r="H160" s="483"/>
      <c r="I160" s="1505"/>
      <c r="J160" s="1506" t="s">
        <v>123</v>
      </c>
      <c r="K160" s="1506"/>
      <c r="L160" s="1506"/>
      <c r="M160" s="1479"/>
      <c r="N160" s="1503"/>
      <c r="O160" s="1503"/>
      <c r="P160" s="1503"/>
      <c r="Q160" s="1503"/>
      <c r="R160" s="1503"/>
      <c r="S160" s="1504"/>
      <c r="T160" s="1504"/>
      <c r="U160" s="483"/>
      <c r="V160" s="1505"/>
      <c r="W160" s="1516" t="s">
        <v>123</v>
      </c>
      <c r="X160" s="1506"/>
      <c r="Y160" s="1506"/>
      <c r="Z160" s="1481"/>
      <c r="AA160" s="499"/>
      <c r="AB160" s="499"/>
      <c r="AC160" s="499"/>
      <c r="AD160" s="499"/>
      <c r="AE160" s="499"/>
      <c r="AF160" s="499"/>
      <c r="AG160" s="499"/>
      <c r="AH160" s="499"/>
      <c r="AI160" s="1483"/>
      <c r="AJ160" s="1515"/>
      <c r="AK160" s="1515"/>
    </row>
    <row r="161">
      <c r="A161" s="499"/>
      <c r="B161" s="1501"/>
      <c r="C161" s="1502"/>
      <c r="D161" s="1503"/>
      <c r="E161" s="1503"/>
      <c r="F161" s="1504"/>
      <c r="G161" s="1504"/>
      <c r="H161" s="483"/>
      <c r="I161" s="1505"/>
      <c r="J161" s="1506" t="s">
        <v>123</v>
      </c>
      <c r="K161" s="1506"/>
      <c r="L161" s="1506"/>
      <c r="M161" s="1479"/>
      <c r="N161" s="1503"/>
      <c r="O161" s="1503"/>
      <c r="P161" s="1503"/>
      <c r="Q161" s="1503"/>
      <c r="R161" s="1503"/>
      <c r="S161" s="1504"/>
      <c r="T161" s="1504"/>
      <c r="U161" s="483"/>
      <c r="V161" s="1505"/>
      <c r="W161" s="1516" t="s">
        <v>123</v>
      </c>
      <c r="X161" s="1506"/>
      <c r="Y161" s="1506"/>
      <c r="Z161" s="1481"/>
      <c r="AA161" s="499"/>
      <c r="AB161" s="499"/>
      <c r="AC161" s="499"/>
      <c r="AD161" s="499"/>
      <c r="AE161" s="499"/>
      <c r="AF161" s="499"/>
      <c r="AG161" s="499"/>
      <c r="AH161" s="499"/>
      <c r="AI161" s="1483"/>
      <c r="AJ161" s="1515"/>
      <c r="AK161" s="1515"/>
    </row>
    <row r="162">
      <c r="A162" s="499"/>
      <c r="B162" s="1501"/>
      <c r="C162" s="1502"/>
      <c r="D162" s="1503"/>
      <c r="E162" s="1503"/>
      <c r="F162" s="1504"/>
      <c r="G162" s="1504"/>
      <c r="H162" s="483"/>
      <c r="I162" s="1505"/>
      <c r="J162" s="1506" t="s">
        <v>123</v>
      </c>
      <c r="K162" s="1506"/>
      <c r="L162" s="1506"/>
      <c r="M162" s="1479"/>
      <c r="N162" s="1503"/>
      <c r="O162" s="1503"/>
      <c r="P162" s="1503"/>
      <c r="Q162" s="1503"/>
      <c r="R162" s="1503"/>
      <c r="S162" s="1504"/>
      <c r="T162" s="1504"/>
      <c r="U162" s="483"/>
      <c r="V162" s="1505"/>
      <c r="W162" s="1516" t="s">
        <v>123</v>
      </c>
      <c r="X162" s="1506"/>
      <c r="Y162" s="1506"/>
      <c r="Z162" s="1481"/>
      <c r="AA162" s="499"/>
      <c r="AB162" s="499"/>
      <c r="AC162" s="499"/>
      <c r="AD162" s="499"/>
      <c r="AE162" s="499"/>
      <c r="AF162" s="499"/>
      <c r="AG162" s="499"/>
      <c r="AH162" s="499"/>
      <c r="AI162" s="1483"/>
      <c r="AJ162" s="1515"/>
      <c r="AK162" s="1515"/>
    </row>
    <row r="163">
      <c r="A163" s="499"/>
      <c r="B163" s="1501"/>
      <c r="C163" s="1502"/>
      <c r="D163" s="1503"/>
      <c r="E163" s="1503"/>
      <c r="F163" s="1504"/>
      <c r="G163" s="1504"/>
      <c r="H163" s="483"/>
      <c r="I163" s="1505"/>
      <c r="J163" s="1506" t="s">
        <v>123</v>
      </c>
      <c r="K163" s="1506"/>
      <c r="L163" s="1506"/>
      <c r="M163" s="1479"/>
      <c r="N163" s="1503"/>
      <c r="O163" s="1503"/>
      <c r="P163" s="1503"/>
      <c r="Q163" s="1503"/>
      <c r="R163" s="1503"/>
      <c r="S163" s="1504"/>
      <c r="T163" s="1504"/>
      <c r="U163" s="483"/>
      <c r="V163" s="1505"/>
      <c r="W163" s="1516" t="s">
        <v>123</v>
      </c>
      <c r="X163" s="1506"/>
      <c r="Y163" s="1506"/>
      <c r="Z163" s="1481"/>
      <c r="AA163" s="499"/>
      <c r="AB163" s="499"/>
      <c r="AC163" s="499"/>
      <c r="AD163" s="499"/>
      <c r="AE163" s="499"/>
      <c r="AF163" s="499"/>
      <c r="AG163" s="499"/>
      <c r="AH163" s="499"/>
      <c r="AI163" s="1483"/>
      <c r="AJ163" s="1515"/>
      <c r="AK163" s="1515"/>
    </row>
    <row r="164">
      <c r="A164" s="499"/>
      <c r="B164" s="1501"/>
      <c r="C164" s="1502"/>
      <c r="D164" s="1503"/>
      <c r="E164" s="1503"/>
      <c r="F164" s="1504"/>
      <c r="G164" s="1504"/>
      <c r="H164" s="483"/>
      <c r="I164" s="1505"/>
      <c r="J164" s="1506" t="s">
        <v>123</v>
      </c>
      <c r="K164" s="1506"/>
      <c r="L164" s="1506"/>
      <c r="M164" s="1479"/>
      <c r="N164" s="1503"/>
      <c r="O164" s="1503"/>
      <c r="P164" s="1503"/>
      <c r="Q164" s="1503"/>
      <c r="R164" s="1503"/>
      <c r="S164" s="1504"/>
      <c r="T164" s="1504"/>
      <c r="U164" s="483"/>
      <c r="V164" s="1505"/>
      <c r="W164" s="1516" t="s">
        <v>123</v>
      </c>
      <c r="X164" s="1506"/>
      <c r="Y164" s="1506"/>
      <c r="Z164" s="1481"/>
      <c r="AA164" s="499"/>
      <c r="AB164" s="499"/>
      <c r="AC164" s="499"/>
      <c r="AD164" s="499"/>
      <c r="AE164" s="499"/>
      <c r="AF164" s="499"/>
      <c r="AG164" s="499"/>
      <c r="AH164" s="499"/>
      <c r="AI164" s="1483"/>
      <c r="AJ164" s="1515"/>
      <c r="AK164" s="1515"/>
    </row>
    <row r="165">
      <c r="A165" s="499"/>
      <c r="B165" s="1501"/>
      <c r="C165" s="1502"/>
      <c r="D165" s="1503"/>
      <c r="E165" s="1503"/>
      <c r="F165" s="1504"/>
      <c r="G165" s="1504"/>
      <c r="H165" s="483"/>
      <c r="I165" s="1505"/>
      <c r="J165" s="1506" t="s">
        <v>123</v>
      </c>
      <c r="K165" s="1506"/>
      <c r="L165" s="1506"/>
      <c r="M165" s="1479"/>
      <c r="N165" s="1503"/>
      <c r="O165" s="1503"/>
      <c r="P165" s="1503"/>
      <c r="Q165" s="1503"/>
      <c r="R165" s="1503"/>
      <c r="S165" s="1504"/>
      <c r="T165" s="1504"/>
      <c r="U165" s="483"/>
      <c r="V165" s="1505"/>
      <c r="W165" s="1516" t="s">
        <v>123</v>
      </c>
      <c r="X165" s="1506"/>
      <c r="Y165" s="1506"/>
      <c r="Z165" s="1481"/>
      <c r="AA165" s="499"/>
      <c r="AB165" s="499"/>
      <c r="AC165" s="499"/>
      <c r="AD165" s="499"/>
      <c r="AE165" s="499"/>
      <c r="AF165" s="499"/>
      <c r="AG165" s="499"/>
      <c r="AH165" s="499"/>
      <c r="AI165" s="1483"/>
      <c r="AJ165" s="1515"/>
      <c r="AK165" s="1515"/>
    </row>
    <row r="166">
      <c r="A166" s="499"/>
      <c r="B166" s="1501"/>
      <c r="C166" s="1502"/>
      <c r="D166" s="1503"/>
      <c r="E166" s="1503"/>
      <c r="F166" s="1504"/>
      <c r="G166" s="1504"/>
      <c r="H166" s="483"/>
      <c r="I166" s="1505"/>
      <c r="J166" s="1506" t="s">
        <v>123</v>
      </c>
      <c r="K166" s="1506"/>
      <c r="L166" s="1506"/>
      <c r="M166" s="1479"/>
      <c r="N166" s="1503"/>
      <c r="O166" s="1503"/>
      <c r="P166" s="1503"/>
      <c r="Q166" s="1503"/>
      <c r="R166" s="1503"/>
      <c r="S166" s="1504"/>
      <c r="T166" s="1504"/>
      <c r="U166" s="483"/>
      <c r="V166" s="1505"/>
      <c r="W166" s="1516" t="s">
        <v>123</v>
      </c>
      <c r="X166" s="1506"/>
      <c r="Y166" s="1506"/>
      <c r="Z166" s="1481"/>
      <c r="AA166" s="499"/>
      <c r="AB166" s="499"/>
      <c r="AC166" s="499"/>
      <c r="AD166" s="499"/>
      <c r="AE166" s="499"/>
      <c r="AF166" s="499"/>
      <c r="AG166" s="499"/>
      <c r="AH166" s="499"/>
      <c r="AI166" s="1483"/>
      <c r="AJ166" s="1515"/>
      <c r="AK166" s="1515"/>
    </row>
    <row r="167">
      <c r="A167" s="499"/>
      <c r="B167" s="1501"/>
      <c r="C167" s="1502"/>
      <c r="D167" s="1503"/>
      <c r="E167" s="1503"/>
      <c r="F167" s="1504"/>
      <c r="G167" s="1504"/>
      <c r="H167" s="483"/>
      <c r="I167" s="1505"/>
      <c r="J167" s="1506" t="s">
        <v>123</v>
      </c>
      <c r="K167" s="1506"/>
      <c r="L167" s="1506"/>
      <c r="M167" s="1479"/>
      <c r="N167" s="1503"/>
      <c r="O167" s="1503"/>
      <c r="P167" s="1503"/>
      <c r="Q167" s="1503"/>
      <c r="R167" s="1503"/>
      <c r="S167" s="1504"/>
      <c r="T167" s="1504"/>
      <c r="U167" s="483"/>
      <c r="V167" s="1505"/>
      <c r="W167" s="1516" t="s">
        <v>123</v>
      </c>
      <c r="X167" s="1506"/>
      <c r="Y167" s="1506"/>
      <c r="Z167" s="1481"/>
      <c r="AA167" s="499"/>
      <c r="AB167" s="499"/>
      <c r="AC167" s="499"/>
      <c r="AD167" s="499"/>
      <c r="AE167" s="499"/>
      <c r="AF167" s="499"/>
      <c r="AG167" s="499"/>
      <c r="AH167" s="499"/>
      <c r="AI167" s="1483"/>
      <c r="AJ167" s="1515"/>
      <c r="AK167" s="1515"/>
    </row>
    <row r="168">
      <c r="A168" s="499"/>
      <c r="B168" s="1501"/>
      <c r="C168" s="1502"/>
      <c r="D168" s="1503"/>
      <c r="E168" s="1503"/>
      <c r="F168" s="1504"/>
      <c r="G168" s="1504"/>
      <c r="H168" s="483"/>
      <c r="I168" s="1505"/>
      <c r="J168" s="1506" t="s">
        <v>123</v>
      </c>
      <c r="K168" s="1506"/>
      <c r="L168" s="1506"/>
      <c r="M168" s="1479"/>
      <c r="N168" s="1503"/>
      <c r="O168" s="1503"/>
      <c r="P168" s="1503"/>
      <c r="Q168" s="1503"/>
      <c r="R168" s="1503"/>
      <c r="S168" s="1504"/>
      <c r="T168" s="1504"/>
      <c r="U168" s="483"/>
      <c r="V168" s="1505"/>
      <c r="W168" s="1516" t="s">
        <v>123</v>
      </c>
      <c r="X168" s="1506"/>
      <c r="Y168" s="1506"/>
      <c r="Z168" s="1481"/>
      <c r="AA168" s="499"/>
      <c r="AB168" s="499"/>
      <c r="AC168" s="499"/>
      <c r="AD168" s="499"/>
      <c r="AE168" s="499"/>
      <c r="AF168" s="499"/>
      <c r="AG168" s="499"/>
      <c r="AH168" s="499"/>
      <c r="AI168" s="1483"/>
      <c r="AJ168" s="1515"/>
      <c r="AK168" s="1515"/>
    </row>
    <row r="169">
      <c r="A169" s="499"/>
      <c r="B169" s="1501"/>
      <c r="C169" s="1502"/>
      <c r="D169" s="1503"/>
      <c r="E169" s="1503"/>
      <c r="F169" s="1504"/>
      <c r="G169" s="1504"/>
      <c r="H169" s="483"/>
      <c r="I169" s="1505"/>
      <c r="J169" s="1506" t="s">
        <v>123</v>
      </c>
      <c r="K169" s="1506"/>
      <c r="L169" s="1506"/>
      <c r="M169" s="1479"/>
      <c r="N169" s="1503"/>
      <c r="O169" s="1503"/>
      <c r="P169" s="1503"/>
      <c r="Q169" s="1503"/>
      <c r="R169" s="1503"/>
      <c r="S169" s="1504"/>
      <c r="T169" s="1504"/>
      <c r="U169" s="483"/>
      <c r="V169" s="1505"/>
      <c r="W169" s="1516" t="s">
        <v>123</v>
      </c>
      <c r="X169" s="1506"/>
      <c r="Y169" s="1506"/>
      <c r="Z169" s="1481"/>
      <c r="AA169" s="499"/>
      <c r="AB169" s="499"/>
      <c r="AC169" s="499"/>
      <c r="AD169" s="499"/>
      <c r="AE169" s="499"/>
      <c r="AF169" s="499"/>
      <c r="AG169" s="499"/>
      <c r="AH169" s="499"/>
      <c r="AI169" s="1483"/>
      <c r="AJ169" s="1515"/>
      <c r="AK169" s="1515"/>
    </row>
    <row r="170">
      <c r="A170" s="499"/>
      <c r="B170" s="1501"/>
      <c r="C170" s="1502"/>
      <c r="D170" s="1503"/>
      <c r="E170" s="1503"/>
      <c r="F170" s="1504"/>
      <c r="G170" s="1504"/>
      <c r="H170" s="483"/>
      <c r="I170" s="1505"/>
      <c r="J170" s="1506" t="s">
        <v>123</v>
      </c>
      <c r="K170" s="1506"/>
      <c r="L170" s="1506"/>
      <c r="M170" s="1479"/>
      <c r="N170" s="1503"/>
      <c r="O170" s="1503"/>
      <c r="P170" s="1503"/>
      <c r="Q170" s="1503"/>
      <c r="R170" s="1503"/>
      <c r="S170" s="1504"/>
      <c r="T170" s="1504"/>
      <c r="U170" s="483"/>
      <c r="V170" s="1505"/>
      <c r="W170" s="1516" t="s">
        <v>123</v>
      </c>
      <c r="X170" s="1506"/>
      <c r="Y170" s="1506"/>
      <c r="Z170" s="1481"/>
      <c r="AA170" s="499"/>
      <c r="AB170" s="499"/>
      <c r="AC170" s="499"/>
      <c r="AD170" s="499"/>
      <c r="AE170" s="499"/>
      <c r="AF170" s="499"/>
      <c r="AG170" s="499"/>
      <c r="AH170" s="499"/>
      <c r="AI170" s="1483"/>
      <c r="AJ170" s="1515"/>
      <c r="AK170" s="1515"/>
    </row>
    <row r="171">
      <c r="A171" s="499"/>
      <c r="B171" s="1501"/>
      <c r="C171" s="1502"/>
      <c r="D171" s="1503"/>
      <c r="E171" s="1503"/>
      <c r="F171" s="1504"/>
      <c r="G171" s="1504"/>
      <c r="H171" s="483"/>
      <c r="I171" s="1505"/>
      <c r="J171" s="1506" t="s">
        <v>123</v>
      </c>
      <c r="K171" s="1506"/>
      <c r="L171" s="1506"/>
      <c r="M171" s="1479"/>
      <c r="N171" s="1503"/>
      <c r="O171" s="1503"/>
      <c r="P171" s="1503"/>
      <c r="Q171" s="1503"/>
      <c r="R171" s="1503"/>
      <c r="S171" s="1504"/>
      <c r="T171" s="1504"/>
      <c r="U171" s="483"/>
      <c r="V171" s="1505"/>
      <c r="W171" s="1516" t="s">
        <v>123</v>
      </c>
      <c r="X171" s="1506"/>
      <c r="Y171" s="1506"/>
      <c r="Z171" s="1481"/>
      <c r="AA171" s="499"/>
      <c r="AB171" s="499"/>
      <c r="AC171" s="499"/>
      <c r="AD171" s="499"/>
      <c r="AE171" s="499"/>
      <c r="AF171" s="499"/>
      <c r="AG171" s="499"/>
      <c r="AH171" s="499"/>
      <c r="AI171" s="1483"/>
      <c r="AJ171" s="1515"/>
      <c r="AK171" s="1515"/>
    </row>
    <row r="172">
      <c r="A172" s="499"/>
      <c r="B172" s="1501"/>
      <c r="C172" s="1502"/>
      <c r="D172" s="1503"/>
      <c r="E172" s="1503"/>
      <c r="F172" s="1504"/>
      <c r="G172" s="1504"/>
      <c r="H172" s="483"/>
      <c r="I172" s="1505"/>
      <c r="J172" s="1506" t="s">
        <v>123</v>
      </c>
      <c r="K172" s="1506"/>
      <c r="L172" s="1506"/>
      <c r="M172" s="1479"/>
      <c r="N172" s="1503"/>
      <c r="O172" s="1503"/>
      <c r="P172" s="1503"/>
      <c r="Q172" s="1503"/>
      <c r="R172" s="1503"/>
      <c r="S172" s="1504"/>
      <c r="T172" s="1504"/>
      <c r="U172" s="483"/>
      <c r="V172" s="1505"/>
      <c r="W172" s="1516" t="s">
        <v>123</v>
      </c>
      <c r="X172" s="1506"/>
      <c r="Y172" s="1506"/>
      <c r="Z172" s="1481"/>
      <c r="AA172" s="499"/>
      <c r="AB172" s="499"/>
      <c r="AC172" s="499"/>
      <c r="AD172" s="499"/>
      <c r="AE172" s="499"/>
      <c r="AF172" s="499"/>
      <c r="AG172" s="499"/>
      <c r="AH172" s="499"/>
      <c r="AI172" s="1483"/>
      <c r="AJ172" s="1515"/>
      <c r="AK172" s="1515"/>
    </row>
    <row r="173">
      <c r="A173" s="499"/>
      <c r="B173" s="1501"/>
      <c r="C173" s="1502"/>
      <c r="D173" s="1503"/>
      <c r="E173" s="1503"/>
      <c r="F173" s="1504"/>
      <c r="G173" s="1504"/>
      <c r="H173" s="483"/>
      <c r="I173" s="1505"/>
      <c r="J173" s="1506" t="s">
        <v>123</v>
      </c>
      <c r="K173" s="1506"/>
      <c r="L173" s="1506"/>
      <c r="M173" s="1479"/>
      <c r="N173" s="1503"/>
      <c r="O173" s="1503"/>
      <c r="P173" s="1503"/>
      <c r="Q173" s="1503"/>
      <c r="R173" s="1503"/>
      <c r="S173" s="1504"/>
      <c r="T173" s="1504"/>
      <c r="U173" s="483"/>
      <c r="V173" s="1505"/>
      <c r="W173" s="1516" t="s">
        <v>123</v>
      </c>
      <c r="X173" s="1506"/>
      <c r="Y173" s="1506"/>
      <c r="Z173" s="1481"/>
      <c r="AA173" s="499"/>
      <c r="AB173" s="499"/>
      <c r="AC173" s="499"/>
      <c r="AD173" s="499"/>
      <c r="AE173" s="499"/>
      <c r="AF173" s="499"/>
      <c r="AG173" s="499"/>
      <c r="AH173" s="499"/>
      <c r="AI173" s="1483"/>
      <c r="AJ173" s="1515"/>
      <c r="AK173" s="1515"/>
    </row>
    <row r="174">
      <c r="A174" s="499"/>
      <c r="B174" s="1501"/>
      <c r="C174" s="1502"/>
      <c r="D174" s="1503"/>
      <c r="E174" s="1503"/>
      <c r="F174" s="1504"/>
      <c r="G174" s="1504"/>
      <c r="H174" s="483"/>
      <c r="I174" s="1505"/>
      <c r="J174" s="1506" t="s">
        <v>123</v>
      </c>
      <c r="K174" s="1506"/>
      <c r="L174" s="1506"/>
      <c r="M174" s="1479"/>
      <c r="N174" s="1503"/>
      <c r="O174" s="1503"/>
      <c r="P174" s="1503"/>
      <c r="Q174" s="1503"/>
      <c r="R174" s="1503"/>
      <c r="S174" s="1504"/>
      <c r="T174" s="1504"/>
      <c r="U174" s="483"/>
      <c r="V174" s="1505"/>
      <c r="W174" s="1516" t="s">
        <v>123</v>
      </c>
      <c r="X174" s="1506"/>
      <c r="Y174" s="1506"/>
      <c r="Z174" s="1481"/>
      <c r="AA174" s="499"/>
      <c r="AB174" s="499"/>
      <c r="AC174" s="499"/>
      <c r="AD174" s="499"/>
      <c r="AE174" s="499"/>
      <c r="AF174" s="499"/>
      <c r="AG174" s="499"/>
      <c r="AH174" s="499"/>
      <c r="AI174" s="1483"/>
      <c r="AJ174" s="1515"/>
      <c r="AK174" s="1515"/>
    </row>
    <row r="175">
      <c r="A175" s="499"/>
      <c r="B175" s="1501"/>
      <c r="C175" s="1502"/>
      <c r="D175" s="1503"/>
      <c r="E175" s="1503"/>
      <c r="F175" s="1504"/>
      <c r="G175" s="1504"/>
      <c r="H175" s="483"/>
      <c r="I175" s="1505"/>
      <c r="J175" s="1506" t="s">
        <v>123</v>
      </c>
      <c r="K175" s="1506"/>
      <c r="L175" s="1506"/>
      <c r="M175" s="1479"/>
      <c r="N175" s="1503"/>
      <c r="O175" s="1503"/>
      <c r="P175" s="1503"/>
      <c r="Q175" s="1503"/>
      <c r="R175" s="1503"/>
      <c r="S175" s="1504"/>
      <c r="T175" s="1504"/>
      <c r="U175" s="483"/>
      <c r="V175" s="1505"/>
      <c r="W175" s="1516" t="s">
        <v>123</v>
      </c>
      <c r="X175" s="1506"/>
      <c r="Y175" s="1506"/>
      <c r="Z175" s="1481"/>
      <c r="AA175" s="499"/>
      <c r="AB175" s="499"/>
      <c r="AC175" s="499"/>
      <c r="AD175" s="499"/>
      <c r="AE175" s="499"/>
      <c r="AF175" s="499"/>
      <c r="AG175" s="499"/>
      <c r="AH175" s="499"/>
      <c r="AI175" s="1483"/>
      <c r="AJ175" s="1515"/>
      <c r="AK175" s="1515"/>
    </row>
    <row r="176">
      <c r="A176" s="499"/>
      <c r="B176" s="1501"/>
      <c r="C176" s="1502"/>
      <c r="D176" s="1503"/>
      <c r="E176" s="1503"/>
      <c r="F176" s="1504"/>
      <c r="G176" s="1504"/>
      <c r="H176" s="483"/>
      <c r="I176" s="1505"/>
      <c r="J176" s="1506" t="s">
        <v>123</v>
      </c>
      <c r="K176" s="1506"/>
      <c r="L176" s="1506"/>
      <c r="M176" s="1479"/>
      <c r="N176" s="1503"/>
      <c r="O176" s="1503"/>
      <c r="P176" s="1503"/>
      <c r="Q176" s="1503"/>
      <c r="R176" s="1503"/>
      <c r="S176" s="1504"/>
      <c r="T176" s="1504"/>
      <c r="U176" s="483"/>
      <c r="V176" s="1505"/>
      <c r="W176" s="1516" t="s">
        <v>123</v>
      </c>
      <c r="X176" s="1506"/>
      <c r="Y176" s="1506"/>
      <c r="Z176" s="1481"/>
      <c r="AA176" s="499"/>
      <c r="AB176" s="499"/>
      <c r="AC176" s="499"/>
      <c r="AD176" s="499"/>
      <c r="AE176" s="499"/>
      <c r="AF176" s="499"/>
      <c r="AG176" s="499"/>
      <c r="AH176" s="499"/>
      <c r="AI176" s="1483"/>
      <c r="AJ176" s="1515"/>
      <c r="AK176" s="1515"/>
    </row>
    <row r="177">
      <c r="A177" s="499"/>
      <c r="B177" s="1501"/>
      <c r="C177" s="1502"/>
      <c r="D177" s="1503"/>
      <c r="E177" s="1503"/>
      <c r="F177" s="1504"/>
      <c r="G177" s="1504"/>
      <c r="H177" s="483"/>
      <c r="I177" s="1505"/>
      <c r="J177" s="1506" t="s">
        <v>123</v>
      </c>
      <c r="K177" s="1506"/>
      <c r="L177" s="1506"/>
      <c r="M177" s="1479"/>
      <c r="N177" s="1503"/>
      <c r="O177" s="1503"/>
      <c r="P177" s="1503"/>
      <c r="Q177" s="1503"/>
      <c r="R177" s="1503"/>
      <c r="S177" s="1504"/>
      <c r="T177" s="1504"/>
      <c r="U177" s="483"/>
      <c r="V177" s="1505"/>
      <c r="W177" s="1516" t="s">
        <v>123</v>
      </c>
      <c r="X177" s="1506"/>
      <c r="Y177" s="1506"/>
      <c r="Z177" s="1481"/>
      <c r="AA177" s="499"/>
      <c r="AB177" s="499"/>
      <c r="AC177" s="499"/>
      <c r="AD177" s="499"/>
      <c r="AE177" s="499"/>
      <c r="AF177" s="499"/>
      <c r="AG177" s="499"/>
      <c r="AH177" s="499"/>
      <c r="AI177" s="1483"/>
      <c r="AJ177" s="1515"/>
      <c r="AK177" s="1515"/>
    </row>
    <row r="178">
      <c r="A178" s="499"/>
      <c r="B178" s="1501"/>
      <c r="C178" s="1502"/>
      <c r="D178" s="1503"/>
      <c r="E178" s="1503"/>
      <c r="F178" s="1504"/>
      <c r="G178" s="1504"/>
      <c r="H178" s="483"/>
      <c r="I178" s="1505"/>
      <c r="J178" s="1506" t="s">
        <v>123</v>
      </c>
      <c r="K178" s="1506"/>
      <c r="L178" s="1506"/>
      <c r="M178" s="1479"/>
      <c r="N178" s="1503"/>
      <c r="O178" s="1503"/>
      <c r="P178" s="1503"/>
      <c r="Q178" s="1503"/>
      <c r="R178" s="1503"/>
      <c r="S178" s="1504"/>
      <c r="T178" s="1504"/>
      <c r="U178" s="483"/>
      <c r="V178" s="1505"/>
      <c r="W178" s="1516" t="s">
        <v>123</v>
      </c>
      <c r="X178" s="1506"/>
      <c r="Y178" s="1506"/>
      <c r="Z178" s="1481"/>
      <c r="AA178" s="499"/>
      <c r="AB178" s="499"/>
      <c r="AC178" s="499"/>
      <c r="AD178" s="499"/>
      <c r="AE178" s="499"/>
      <c r="AF178" s="499"/>
      <c r="AG178" s="499"/>
      <c r="AH178" s="499"/>
      <c r="AI178" s="1483"/>
      <c r="AJ178" s="1515"/>
      <c r="AK178" s="1515"/>
    </row>
    <row r="179">
      <c r="A179" s="499"/>
      <c r="B179" s="1501"/>
      <c r="C179" s="1502"/>
      <c r="D179" s="1503"/>
      <c r="E179" s="1503"/>
      <c r="F179" s="1504"/>
      <c r="G179" s="1504"/>
      <c r="H179" s="483"/>
      <c r="I179" s="1505"/>
      <c r="J179" s="1506" t="s">
        <v>123</v>
      </c>
      <c r="K179" s="1506"/>
      <c r="L179" s="1506"/>
      <c r="M179" s="1479"/>
      <c r="N179" s="1503"/>
      <c r="O179" s="1503"/>
      <c r="P179" s="1503"/>
      <c r="Q179" s="1503"/>
      <c r="R179" s="1503"/>
      <c r="S179" s="1504"/>
      <c r="T179" s="1504"/>
      <c r="U179" s="483"/>
      <c r="V179" s="1505"/>
      <c r="W179" s="1516" t="s">
        <v>123</v>
      </c>
      <c r="X179" s="1506"/>
      <c r="Y179" s="1506"/>
      <c r="Z179" s="1481"/>
      <c r="AA179" s="499"/>
      <c r="AB179" s="499"/>
      <c r="AC179" s="499"/>
      <c r="AD179" s="499"/>
      <c r="AE179" s="499"/>
      <c r="AF179" s="499"/>
      <c r="AG179" s="499"/>
      <c r="AH179" s="499"/>
      <c r="AI179" s="1483"/>
      <c r="AJ179" s="1515"/>
      <c r="AK179" s="1515"/>
    </row>
    <row r="180">
      <c r="A180" s="499"/>
      <c r="B180" s="1501"/>
      <c r="C180" s="1502"/>
      <c r="D180" s="1503"/>
      <c r="E180" s="1503"/>
      <c r="F180" s="1504"/>
      <c r="G180" s="1504"/>
      <c r="H180" s="483"/>
      <c r="I180" s="1505"/>
      <c r="J180" s="1506" t="s">
        <v>123</v>
      </c>
      <c r="K180" s="1506"/>
      <c r="L180" s="1506"/>
      <c r="M180" s="1479"/>
      <c r="N180" s="1503"/>
      <c r="O180" s="1503"/>
      <c r="P180" s="1503"/>
      <c r="Q180" s="1503"/>
      <c r="R180" s="1503"/>
      <c r="S180" s="1504"/>
      <c r="T180" s="1504"/>
      <c r="U180" s="483"/>
      <c r="V180" s="1505"/>
      <c r="W180" s="1516" t="s">
        <v>123</v>
      </c>
      <c r="X180" s="1506"/>
      <c r="Y180" s="1506"/>
      <c r="Z180" s="1481"/>
      <c r="AA180" s="499"/>
      <c r="AB180" s="499"/>
      <c r="AC180" s="499"/>
      <c r="AD180" s="499"/>
      <c r="AE180" s="499"/>
      <c r="AF180" s="499"/>
      <c r="AG180" s="499"/>
      <c r="AH180" s="499"/>
      <c r="AI180" s="1483"/>
      <c r="AJ180" s="1515"/>
      <c r="AK180" s="1515"/>
    </row>
    <row r="181">
      <c r="A181" s="499"/>
      <c r="B181" s="1501"/>
      <c r="C181" s="1502"/>
      <c r="D181" s="1503"/>
      <c r="E181" s="1503"/>
      <c r="F181" s="1504"/>
      <c r="G181" s="1504"/>
      <c r="H181" s="483"/>
      <c r="I181" s="1505"/>
      <c r="J181" s="1506" t="s">
        <v>123</v>
      </c>
      <c r="K181" s="1506"/>
      <c r="L181" s="1506"/>
      <c r="M181" s="1479"/>
      <c r="N181" s="1503"/>
      <c r="O181" s="1503"/>
      <c r="P181" s="1503"/>
      <c r="Q181" s="1503"/>
      <c r="R181" s="1503"/>
      <c r="S181" s="1504"/>
      <c r="T181" s="1504"/>
      <c r="U181" s="483"/>
      <c r="V181" s="1505"/>
      <c r="W181" s="1516" t="s">
        <v>123</v>
      </c>
      <c r="X181" s="1506"/>
      <c r="Y181" s="1506"/>
      <c r="Z181" s="1481"/>
      <c r="AA181" s="499"/>
      <c r="AB181" s="499"/>
      <c r="AC181" s="499"/>
      <c r="AD181" s="499"/>
      <c r="AE181" s="499"/>
      <c r="AF181" s="499"/>
      <c r="AG181" s="499"/>
      <c r="AH181" s="499"/>
      <c r="AI181" s="1483"/>
      <c r="AJ181" s="1515"/>
      <c r="AK181" s="1515"/>
    </row>
    <row r="182">
      <c r="A182" s="499"/>
      <c r="B182" s="1501"/>
      <c r="C182" s="1502"/>
      <c r="D182" s="1503"/>
      <c r="E182" s="1503"/>
      <c r="F182" s="1504"/>
      <c r="G182" s="1504"/>
      <c r="H182" s="483"/>
      <c r="I182" s="1505"/>
      <c r="J182" s="1506" t="s">
        <v>123</v>
      </c>
      <c r="K182" s="1506"/>
      <c r="L182" s="1506"/>
      <c r="M182" s="1479"/>
      <c r="N182" s="1503"/>
      <c r="O182" s="1503"/>
      <c r="P182" s="1503"/>
      <c r="Q182" s="1503"/>
      <c r="R182" s="1503"/>
      <c r="S182" s="1504"/>
      <c r="T182" s="1504"/>
      <c r="U182" s="483"/>
      <c r="V182" s="1505"/>
      <c r="W182" s="1516" t="s">
        <v>123</v>
      </c>
      <c r="X182" s="1506"/>
      <c r="Y182" s="1506"/>
      <c r="Z182" s="1481"/>
      <c r="AA182" s="499"/>
      <c r="AB182" s="499"/>
      <c r="AC182" s="499"/>
      <c r="AD182" s="499"/>
      <c r="AE182" s="499"/>
      <c r="AF182" s="499"/>
      <c r="AG182" s="499"/>
      <c r="AH182" s="499"/>
      <c r="AI182" s="1483"/>
      <c r="AJ182" s="1515"/>
      <c r="AK182" s="1515"/>
    </row>
    <row r="183">
      <c r="A183" s="499"/>
      <c r="B183" s="1501"/>
      <c r="C183" s="1502"/>
      <c r="D183" s="1503"/>
      <c r="E183" s="1503"/>
      <c r="F183" s="1504"/>
      <c r="G183" s="1504"/>
      <c r="H183" s="483"/>
      <c r="I183" s="1505"/>
      <c r="J183" s="1506" t="s">
        <v>123</v>
      </c>
      <c r="K183" s="1506"/>
      <c r="L183" s="1506"/>
      <c r="M183" s="1479"/>
      <c r="N183" s="1503"/>
      <c r="O183" s="1503"/>
      <c r="P183" s="1503"/>
      <c r="Q183" s="1503"/>
      <c r="R183" s="1503"/>
      <c r="S183" s="1504"/>
      <c r="T183" s="1504"/>
      <c r="U183" s="483"/>
      <c r="V183" s="1505"/>
      <c r="W183" s="1516" t="s">
        <v>123</v>
      </c>
      <c r="X183" s="1506"/>
      <c r="Y183" s="1506"/>
      <c r="Z183" s="1481"/>
      <c r="AA183" s="499"/>
      <c r="AB183" s="499"/>
      <c r="AC183" s="499"/>
      <c r="AD183" s="499"/>
      <c r="AE183" s="499"/>
      <c r="AF183" s="499"/>
      <c r="AG183" s="499"/>
      <c r="AH183" s="499"/>
      <c r="AI183" s="1483"/>
      <c r="AJ183" s="1515"/>
      <c r="AK183" s="1515"/>
    </row>
    <row r="184">
      <c r="A184" s="499"/>
      <c r="B184" s="1501"/>
      <c r="C184" s="1502"/>
      <c r="D184" s="1503"/>
      <c r="E184" s="1503"/>
      <c r="F184" s="1504"/>
      <c r="G184" s="1504"/>
      <c r="H184" s="483"/>
      <c r="I184" s="1505"/>
      <c r="J184" s="1506" t="s">
        <v>123</v>
      </c>
      <c r="K184" s="1506"/>
      <c r="L184" s="1506"/>
      <c r="M184" s="1479"/>
      <c r="N184" s="1503"/>
      <c r="O184" s="1503"/>
      <c r="P184" s="1503"/>
      <c r="Q184" s="1503"/>
      <c r="R184" s="1503"/>
      <c r="S184" s="1504"/>
      <c r="T184" s="1504"/>
      <c r="U184" s="483"/>
      <c r="V184" s="1505"/>
      <c r="W184" s="1516" t="s">
        <v>123</v>
      </c>
      <c r="X184" s="1506"/>
      <c r="Y184" s="1506"/>
      <c r="Z184" s="1481"/>
      <c r="AA184" s="499"/>
      <c r="AB184" s="499"/>
      <c r="AC184" s="499"/>
      <c r="AD184" s="499"/>
      <c r="AE184" s="499"/>
      <c r="AF184" s="499"/>
      <c r="AG184" s="499"/>
      <c r="AH184" s="499"/>
      <c r="AI184" s="1483"/>
      <c r="AJ184" s="1515"/>
      <c r="AK184" s="1515"/>
    </row>
    <row r="185">
      <c r="A185" s="499"/>
      <c r="B185" s="1501"/>
      <c r="C185" s="1502"/>
      <c r="D185" s="1503"/>
      <c r="E185" s="1503"/>
      <c r="F185" s="1504"/>
      <c r="G185" s="1504"/>
      <c r="H185" s="483"/>
      <c r="I185" s="1505"/>
      <c r="J185" s="1506" t="s">
        <v>123</v>
      </c>
      <c r="K185" s="1506"/>
      <c r="L185" s="1506"/>
      <c r="M185" s="1479"/>
      <c r="N185" s="1503"/>
      <c r="O185" s="1503"/>
      <c r="P185" s="1503"/>
      <c r="Q185" s="1503"/>
      <c r="R185" s="1503"/>
      <c r="S185" s="1504"/>
      <c r="T185" s="1504"/>
      <c r="U185" s="483"/>
      <c r="V185" s="1505"/>
      <c r="W185" s="1516" t="s">
        <v>123</v>
      </c>
      <c r="X185" s="1506"/>
      <c r="Y185" s="1506"/>
      <c r="Z185" s="1481"/>
      <c r="AA185" s="499"/>
      <c r="AB185" s="499"/>
      <c r="AC185" s="499"/>
      <c r="AD185" s="499"/>
      <c r="AE185" s="499"/>
      <c r="AF185" s="499"/>
      <c r="AG185" s="499"/>
      <c r="AH185" s="499"/>
      <c r="AI185" s="1483"/>
      <c r="AJ185" s="1515"/>
      <c r="AK185" s="1515"/>
    </row>
    <row r="186">
      <c r="A186" s="499"/>
      <c r="B186" s="1501"/>
      <c r="C186" s="1502"/>
      <c r="D186" s="1503"/>
      <c r="E186" s="1503"/>
      <c r="F186" s="1504"/>
      <c r="G186" s="1504"/>
      <c r="H186" s="483"/>
      <c r="I186" s="1505"/>
      <c r="J186" s="1506" t="s">
        <v>123</v>
      </c>
      <c r="K186" s="1506"/>
      <c r="L186" s="1506"/>
      <c r="M186" s="1479"/>
      <c r="N186" s="1503"/>
      <c r="O186" s="1503"/>
      <c r="P186" s="1503"/>
      <c r="Q186" s="1503"/>
      <c r="R186" s="1503"/>
      <c r="S186" s="1504"/>
      <c r="T186" s="1504"/>
      <c r="U186" s="483"/>
      <c r="V186" s="1505"/>
      <c r="W186" s="1516" t="s">
        <v>123</v>
      </c>
      <c r="X186" s="1506"/>
      <c r="Y186" s="1506"/>
      <c r="Z186" s="1481"/>
      <c r="AA186" s="499"/>
      <c r="AB186" s="499"/>
      <c r="AC186" s="499"/>
      <c r="AD186" s="499"/>
      <c r="AE186" s="499"/>
      <c r="AF186" s="499"/>
      <c r="AG186" s="499"/>
      <c r="AH186" s="499"/>
      <c r="AI186" s="1483"/>
      <c r="AJ186" s="1515"/>
      <c r="AK186" s="1515"/>
    </row>
    <row r="187">
      <c r="A187" s="499"/>
      <c r="B187" s="1501"/>
      <c r="C187" s="1502"/>
      <c r="D187" s="1503"/>
      <c r="E187" s="1503"/>
      <c r="F187" s="1504"/>
      <c r="G187" s="1504"/>
      <c r="H187" s="483"/>
      <c r="I187" s="1505"/>
      <c r="J187" s="1506" t="s">
        <v>123</v>
      </c>
      <c r="K187" s="1506"/>
      <c r="L187" s="1506"/>
      <c r="M187" s="1479"/>
      <c r="N187" s="1503"/>
      <c r="O187" s="1503"/>
      <c r="P187" s="1503"/>
      <c r="Q187" s="1503"/>
      <c r="R187" s="1503"/>
      <c r="S187" s="1504"/>
      <c r="T187" s="1504"/>
      <c r="U187" s="483"/>
      <c r="V187" s="1505"/>
      <c r="W187" s="1516" t="s">
        <v>123</v>
      </c>
      <c r="X187" s="1506"/>
      <c r="Y187" s="1506"/>
      <c r="Z187" s="1481"/>
      <c r="AA187" s="499"/>
      <c r="AB187" s="499"/>
      <c r="AC187" s="499"/>
      <c r="AD187" s="499"/>
      <c r="AE187" s="499"/>
      <c r="AF187" s="499"/>
      <c r="AG187" s="499"/>
      <c r="AH187" s="499"/>
      <c r="AI187" s="1483"/>
      <c r="AJ187" s="1515"/>
      <c r="AK187" s="1515"/>
    </row>
    <row r="188">
      <c r="A188" s="499"/>
      <c r="B188" s="1501"/>
      <c r="C188" s="1502"/>
      <c r="D188" s="1503"/>
      <c r="E188" s="1503"/>
      <c r="F188" s="1504"/>
      <c r="G188" s="1504"/>
      <c r="H188" s="483"/>
      <c r="I188" s="1505"/>
      <c r="J188" s="1506" t="s">
        <v>123</v>
      </c>
      <c r="K188" s="1506"/>
      <c r="L188" s="1506"/>
      <c r="M188" s="1479"/>
      <c r="N188" s="1503"/>
      <c r="O188" s="1503"/>
      <c r="P188" s="1503"/>
      <c r="Q188" s="1503"/>
      <c r="R188" s="1503"/>
      <c r="S188" s="1504"/>
      <c r="T188" s="1504"/>
      <c r="U188" s="483"/>
      <c r="V188" s="1505"/>
      <c r="W188" s="1516" t="s">
        <v>123</v>
      </c>
      <c r="X188" s="1506"/>
      <c r="Y188" s="1506"/>
      <c r="Z188" s="1481"/>
      <c r="AA188" s="499"/>
      <c r="AB188" s="499"/>
      <c r="AC188" s="499"/>
      <c r="AD188" s="499"/>
      <c r="AE188" s="499"/>
      <c r="AF188" s="499"/>
      <c r="AG188" s="499"/>
      <c r="AH188" s="499"/>
      <c r="AI188" s="1483"/>
      <c r="AJ188" s="1515"/>
      <c r="AK188" s="1515"/>
    </row>
    <row r="189">
      <c r="A189" s="499"/>
      <c r="B189" s="1501"/>
      <c r="C189" s="1502"/>
      <c r="D189" s="1503"/>
      <c r="E189" s="1503"/>
      <c r="F189" s="1504"/>
      <c r="G189" s="1504"/>
      <c r="H189" s="483"/>
      <c r="I189" s="1505"/>
      <c r="J189" s="1506" t="s">
        <v>123</v>
      </c>
      <c r="K189" s="1506"/>
      <c r="L189" s="1506"/>
      <c r="M189" s="1479"/>
      <c r="N189" s="1503"/>
      <c r="O189" s="1503"/>
      <c r="P189" s="1503"/>
      <c r="Q189" s="1503"/>
      <c r="R189" s="1503"/>
      <c r="S189" s="1504"/>
      <c r="T189" s="1504"/>
      <c r="U189" s="483"/>
      <c r="V189" s="1505"/>
      <c r="W189" s="1516" t="s">
        <v>123</v>
      </c>
      <c r="X189" s="1506"/>
      <c r="Y189" s="1506"/>
      <c r="Z189" s="1481"/>
      <c r="AA189" s="499"/>
      <c r="AB189" s="499"/>
      <c r="AC189" s="499"/>
      <c r="AD189" s="499"/>
      <c r="AE189" s="499"/>
      <c r="AF189" s="499"/>
      <c r="AG189" s="499"/>
      <c r="AH189" s="499"/>
      <c r="AI189" s="1483"/>
      <c r="AJ189" s="1515"/>
      <c r="AK189" s="1515"/>
    </row>
    <row r="190">
      <c r="A190" s="499"/>
      <c r="B190" s="1501"/>
      <c r="C190" s="1502"/>
      <c r="D190" s="1503"/>
      <c r="E190" s="1503"/>
      <c r="F190" s="1504"/>
      <c r="G190" s="1504"/>
      <c r="H190" s="483"/>
      <c r="I190" s="1505"/>
      <c r="J190" s="1506" t="s">
        <v>123</v>
      </c>
      <c r="K190" s="1506"/>
      <c r="L190" s="1506"/>
      <c r="M190" s="1479"/>
      <c r="N190" s="1503"/>
      <c r="O190" s="1503"/>
      <c r="P190" s="1503"/>
      <c r="Q190" s="1503"/>
      <c r="R190" s="1503"/>
      <c r="S190" s="1504"/>
      <c r="T190" s="1504"/>
      <c r="U190" s="483"/>
      <c r="V190" s="1505"/>
      <c r="W190" s="1516" t="s">
        <v>123</v>
      </c>
      <c r="X190" s="1506"/>
      <c r="Y190" s="1506"/>
      <c r="Z190" s="1481"/>
      <c r="AA190" s="499"/>
      <c r="AB190" s="499"/>
      <c r="AC190" s="499"/>
      <c r="AD190" s="499"/>
      <c r="AE190" s="499"/>
      <c r="AF190" s="499"/>
      <c r="AG190" s="499"/>
      <c r="AH190" s="499"/>
      <c r="AI190" s="1483"/>
      <c r="AJ190" s="1515"/>
      <c r="AK190" s="1515"/>
    </row>
    <row r="191">
      <c r="A191" s="499"/>
      <c r="B191" s="1501"/>
      <c r="C191" s="1502"/>
      <c r="D191" s="1503"/>
      <c r="E191" s="1503"/>
      <c r="F191" s="1504"/>
      <c r="G191" s="1504"/>
      <c r="H191" s="483"/>
      <c r="I191" s="1505"/>
      <c r="J191" s="1506" t="s">
        <v>123</v>
      </c>
      <c r="K191" s="1506"/>
      <c r="L191" s="1506"/>
      <c r="M191" s="1479"/>
      <c r="N191" s="1503"/>
      <c r="O191" s="1503"/>
      <c r="P191" s="1503"/>
      <c r="Q191" s="1503"/>
      <c r="R191" s="1503"/>
      <c r="S191" s="1504"/>
      <c r="T191" s="1504"/>
      <c r="U191" s="483"/>
      <c r="V191" s="1505"/>
      <c r="W191" s="1516" t="s">
        <v>123</v>
      </c>
      <c r="X191" s="1506"/>
      <c r="Y191" s="1506"/>
      <c r="Z191" s="1481"/>
      <c r="AA191" s="499"/>
      <c r="AB191" s="499"/>
      <c r="AC191" s="499"/>
      <c r="AD191" s="499"/>
      <c r="AE191" s="499"/>
      <c r="AF191" s="499"/>
      <c r="AG191" s="499"/>
      <c r="AH191" s="499"/>
      <c r="AI191" s="1483"/>
      <c r="AJ191" s="1515"/>
      <c r="AK191" s="1515"/>
    </row>
    <row r="192">
      <c r="A192" s="499"/>
      <c r="B192" s="1501"/>
      <c r="C192" s="1502"/>
      <c r="D192" s="1503"/>
      <c r="E192" s="1503"/>
      <c r="F192" s="1504"/>
      <c r="G192" s="1504"/>
      <c r="H192" s="483"/>
      <c r="I192" s="1505"/>
      <c r="J192" s="1506" t="s">
        <v>123</v>
      </c>
      <c r="K192" s="1506"/>
      <c r="L192" s="1506"/>
      <c r="M192" s="1479"/>
      <c r="N192" s="1503"/>
      <c r="O192" s="1503"/>
      <c r="P192" s="1503"/>
      <c r="Q192" s="1503"/>
      <c r="R192" s="1503"/>
      <c r="S192" s="1504"/>
      <c r="T192" s="1504"/>
      <c r="U192" s="483"/>
      <c r="V192" s="1505"/>
      <c r="W192" s="1516" t="s">
        <v>123</v>
      </c>
      <c r="X192" s="1506"/>
      <c r="Y192" s="1506"/>
      <c r="Z192" s="1481"/>
      <c r="AA192" s="499"/>
      <c r="AB192" s="499"/>
      <c r="AC192" s="499"/>
      <c r="AD192" s="499"/>
      <c r="AE192" s="499"/>
      <c r="AF192" s="499"/>
      <c r="AG192" s="499"/>
      <c r="AH192" s="499"/>
      <c r="AI192" s="1483"/>
      <c r="AJ192" s="1515"/>
      <c r="AK192" s="1515"/>
    </row>
    <row r="193">
      <c r="A193" s="499"/>
      <c r="B193" s="1501"/>
      <c r="C193" s="1502"/>
      <c r="D193" s="1503"/>
      <c r="E193" s="1503"/>
      <c r="F193" s="1504"/>
      <c r="G193" s="1504"/>
      <c r="H193" s="483"/>
      <c r="I193" s="1505"/>
      <c r="J193" s="1506" t="s">
        <v>123</v>
      </c>
      <c r="K193" s="1506"/>
      <c r="L193" s="1506"/>
      <c r="M193" s="1479"/>
      <c r="N193" s="1503"/>
      <c r="O193" s="1503"/>
      <c r="P193" s="1503"/>
      <c r="Q193" s="1503"/>
      <c r="R193" s="1503"/>
      <c r="S193" s="1504"/>
      <c r="T193" s="1504"/>
      <c r="U193" s="483"/>
      <c r="V193" s="1505"/>
      <c r="W193" s="1516" t="s">
        <v>123</v>
      </c>
      <c r="X193" s="1506"/>
      <c r="Y193" s="1506"/>
      <c r="Z193" s="1481"/>
      <c r="AA193" s="499"/>
      <c r="AB193" s="499"/>
      <c r="AC193" s="499"/>
      <c r="AD193" s="499"/>
      <c r="AE193" s="499"/>
      <c r="AF193" s="499"/>
      <c r="AG193" s="499"/>
      <c r="AH193" s="499"/>
      <c r="AI193" s="1483"/>
      <c r="AJ193" s="1515"/>
      <c r="AK193" s="1515"/>
    </row>
    <row r="194">
      <c r="A194" s="499"/>
      <c r="B194" s="1501"/>
      <c r="C194" s="1502"/>
      <c r="D194" s="1503"/>
      <c r="E194" s="1503"/>
      <c r="F194" s="1504"/>
      <c r="G194" s="1504"/>
      <c r="H194" s="483"/>
      <c r="I194" s="1505"/>
      <c r="J194" s="1506" t="s">
        <v>123</v>
      </c>
      <c r="K194" s="1506"/>
      <c r="L194" s="1506"/>
      <c r="M194" s="1479"/>
      <c r="N194" s="1503"/>
      <c r="O194" s="1503"/>
      <c r="P194" s="1503"/>
      <c r="Q194" s="1503"/>
      <c r="R194" s="1503"/>
      <c r="S194" s="1504"/>
      <c r="T194" s="1504"/>
      <c r="U194" s="483"/>
      <c r="V194" s="1505"/>
      <c r="W194" s="1516" t="s">
        <v>123</v>
      </c>
      <c r="X194" s="1506"/>
      <c r="Y194" s="1506"/>
      <c r="Z194" s="1481"/>
      <c r="AA194" s="499"/>
      <c r="AB194" s="499"/>
      <c r="AC194" s="499"/>
      <c r="AD194" s="499"/>
      <c r="AE194" s="499"/>
      <c r="AF194" s="499"/>
      <c r="AG194" s="499"/>
      <c r="AH194" s="499"/>
      <c r="AI194" s="1483"/>
      <c r="AJ194" s="1515"/>
      <c r="AK194" s="1515"/>
    </row>
    <row r="195">
      <c r="A195" s="499"/>
      <c r="B195" s="1501"/>
      <c r="C195" s="1502"/>
      <c r="D195" s="1503"/>
      <c r="E195" s="1503"/>
      <c r="F195" s="1504"/>
      <c r="G195" s="1504"/>
      <c r="H195" s="483"/>
      <c r="I195" s="1505"/>
      <c r="J195" s="1506" t="s">
        <v>123</v>
      </c>
      <c r="K195" s="1506"/>
      <c r="L195" s="1506"/>
      <c r="M195" s="1479"/>
      <c r="N195" s="1503"/>
      <c r="O195" s="1503"/>
      <c r="P195" s="1503"/>
      <c r="Q195" s="1503"/>
      <c r="R195" s="1503"/>
      <c r="S195" s="1504"/>
      <c r="T195" s="1504"/>
      <c r="U195" s="483"/>
      <c r="V195" s="1505"/>
      <c r="W195" s="1516" t="s">
        <v>123</v>
      </c>
      <c r="X195" s="1506"/>
      <c r="Y195" s="1506"/>
      <c r="Z195" s="1481"/>
      <c r="AA195" s="499"/>
      <c r="AB195" s="499"/>
      <c r="AC195" s="499"/>
      <c r="AD195" s="499"/>
      <c r="AE195" s="499"/>
      <c r="AF195" s="499"/>
      <c r="AG195" s="499"/>
      <c r="AH195" s="499"/>
      <c r="AI195" s="1483"/>
      <c r="AJ195" s="1515"/>
      <c r="AK195" s="1515"/>
    </row>
    <row r="196">
      <c r="A196" s="499"/>
      <c r="B196" s="1501"/>
      <c r="C196" s="1502"/>
      <c r="D196" s="1503"/>
      <c r="E196" s="1503"/>
      <c r="F196" s="1504"/>
      <c r="G196" s="1504"/>
      <c r="H196" s="483"/>
      <c r="I196" s="1505"/>
      <c r="J196" s="1506" t="s">
        <v>123</v>
      </c>
      <c r="K196" s="1506"/>
      <c r="L196" s="1506"/>
      <c r="M196" s="1479"/>
      <c r="N196" s="1503"/>
      <c r="O196" s="1503"/>
      <c r="P196" s="1503"/>
      <c r="Q196" s="1503"/>
      <c r="R196" s="1503"/>
      <c r="S196" s="1504"/>
      <c r="T196" s="1504"/>
      <c r="U196" s="483"/>
      <c r="V196" s="1505"/>
      <c r="W196" s="1516" t="s">
        <v>123</v>
      </c>
      <c r="X196" s="1506"/>
      <c r="Y196" s="1506"/>
      <c r="Z196" s="1481"/>
      <c r="AA196" s="499"/>
      <c r="AB196" s="499"/>
      <c r="AC196" s="499"/>
      <c r="AD196" s="499"/>
      <c r="AE196" s="499"/>
      <c r="AF196" s="499"/>
      <c r="AG196" s="499"/>
      <c r="AH196" s="499"/>
      <c r="AI196" s="1483"/>
      <c r="AJ196" s="1515"/>
      <c r="AK196" s="1515"/>
    </row>
    <row r="197">
      <c r="A197" s="499"/>
      <c r="B197" s="1501"/>
      <c r="C197" s="1502"/>
      <c r="D197" s="1503"/>
      <c r="E197" s="1503"/>
      <c r="F197" s="1504"/>
      <c r="G197" s="1504"/>
      <c r="H197" s="483"/>
      <c r="I197" s="1505"/>
      <c r="J197" s="1506" t="s">
        <v>123</v>
      </c>
      <c r="K197" s="1506"/>
      <c r="L197" s="1506"/>
      <c r="M197" s="1479"/>
      <c r="N197" s="1503"/>
      <c r="O197" s="1503"/>
      <c r="P197" s="1503"/>
      <c r="Q197" s="1503"/>
      <c r="R197" s="1503"/>
      <c r="S197" s="1504"/>
      <c r="T197" s="1504"/>
      <c r="U197" s="483"/>
      <c r="V197" s="1505"/>
      <c r="W197" s="1516" t="s">
        <v>123</v>
      </c>
      <c r="X197" s="1506"/>
      <c r="Y197" s="1506"/>
      <c r="Z197" s="1481"/>
      <c r="AA197" s="499"/>
      <c r="AB197" s="499"/>
      <c r="AC197" s="499"/>
      <c r="AD197" s="499"/>
      <c r="AE197" s="499"/>
      <c r="AF197" s="499"/>
      <c r="AG197" s="499"/>
      <c r="AH197" s="499"/>
      <c r="AI197" s="1483"/>
      <c r="AJ197" s="1515"/>
      <c r="AK197" s="1515"/>
    </row>
    <row r="198">
      <c r="A198" s="499"/>
      <c r="B198" s="1501"/>
      <c r="C198" s="1502"/>
      <c r="D198" s="1503"/>
      <c r="E198" s="1503"/>
      <c r="F198" s="1504"/>
      <c r="G198" s="1504"/>
      <c r="H198" s="483"/>
      <c r="I198" s="1505"/>
      <c r="J198" s="1506" t="s">
        <v>123</v>
      </c>
      <c r="K198" s="1506"/>
      <c r="L198" s="1506"/>
      <c r="M198" s="1479"/>
      <c r="N198" s="1503"/>
      <c r="O198" s="1503"/>
      <c r="P198" s="1503"/>
      <c r="Q198" s="1503"/>
      <c r="R198" s="1503"/>
      <c r="S198" s="1504"/>
      <c r="T198" s="1504"/>
      <c r="U198" s="483"/>
      <c r="V198" s="1505"/>
      <c r="W198" s="1516" t="s">
        <v>123</v>
      </c>
      <c r="X198" s="1506"/>
      <c r="Y198" s="1506"/>
      <c r="Z198" s="1481"/>
      <c r="AA198" s="499"/>
      <c r="AB198" s="499"/>
      <c r="AC198" s="499"/>
      <c r="AD198" s="499"/>
      <c r="AE198" s="499"/>
      <c r="AF198" s="499"/>
      <c r="AG198" s="499"/>
      <c r="AH198" s="499"/>
      <c r="AI198" s="1483"/>
      <c r="AJ198" s="1515"/>
      <c r="AK198" s="1515"/>
    </row>
    <row r="199">
      <c r="A199" s="499"/>
      <c r="B199" s="1501"/>
      <c r="C199" s="1502"/>
      <c r="D199" s="1503"/>
      <c r="E199" s="1503"/>
      <c r="F199" s="1504"/>
      <c r="G199" s="1504"/>
      <c r="H199" s="483"/>
      <c r="I199" s="1505"/>
      <c r="J199" s="1506" t="s">
        <v>123</v>
      </c>
      <c r="K199" s="1506"/>
      <c r="L199" s="1506"/>
      <c r="M199" s="1479"/>
      <c r="N199" s="1503"/>
      <c r="O199" s="1503"/>
      <c r="P199" s="1503"/>
      <c r="Q199" s="1503"/>
      <c r="R199" s="1503"/>
      <c r="S199" s="1504"/>
      <c r="T199" s="1504"/>
      <c r="U199" s="483"/>
      <c r="V199" s="1505"/>
      <c r="W199" s="1516" t="s">
        <v>123</v>
      </c>
      <c r="X199" s="1506"/>
      <c r="Y199" s="1506"/>
      <c r="Z199" s="1481"/>
      <c r="AA199" s="499"/>
      <c r="AB199" s="499"/>
      <c r="AC199" s="499"/>
      <c r="AD199" s="499"/>
      <c r="AE199" s="499"/>
      <c r="AF199" s="499"/>
      <c r="AG199" s="499"/>
      <c r="AH199" s="499"/>
      <c r="AI199" s="1483"/>
      <c r="AJ199" s="1515"/>
      <c r="AK199" s="1515"/>
    </row>
    <row r="200">
      <c r="A200" s="499"/>
      <c r="B200" s="1501"/>
      <c r="C200" s="1502"/>
      <c r="D200" s="1503"/>
      <c r="E200" s="1503"/>
      <c r="F200" s="1504"/>
      <c r="G200" s="1504"/>
      <c r="H200" s="483"/>
      <c r="I200" s="1505"/>
      <c r="J200" s="1506" t="s">
        <v>123</v>
      </c>
      <c r="K200" s="1506"/>
      <c r="L200" s="1506"/>
      <c r="M200" s="1479"/>
      <c r="N200" s="1503"/>
      <c r="O200" s="1503"/>
      <c r="P200" s="1503"/>
      <c r="Q200" s="1503"/>
      <c r="R200" s="1503"/>
      <c r="S200" s="1504"/>
      <c r="T200" s="1504"/>
      <c r="U200" s="483"/>
      <c r="V200" s="1505"/>
      <c r="W200" s="1516" t="s">
        <v>123</v>
      </c>
      <c r="X200" s="1506"/>
      <c r="Y200" s="1506"/>
      <c r="Z200" s="1481"/>
      <c r="AA200" s="499"/>
      <c r="AB200" s="499"/>
      <c r="AC200" s="499"/>
      <c r="AD200" s="499"/>
      <c r="AE200" s="499"/>
      <c r="AF200" s="499"/>
      <c r="AG200" s="499"/>
      <c r="AH200" s="499"/>
      <c r="AI200" s="1483"/>
      <c r="AJ200" s="1515"/>
      <c r="AK200" s="1515"/>
    </row>
    <row r="201">
      <c r="A201" s="499"/>
      <c r="B201" s="1501"/>
      <c r="C201" s="1502"/>
      <c r="D201" s="1503"/>
      <c r="E201" s="1503"/>
      <c r="F201" s="1504"/>
      <c r="G201" s="1504"/>
      <c r="H201" s="483"/>
      <c r="I201" s="1505"/>
      <c r="J201" s="1506" t="s">
        <v>123</v>
      </c>
      <c r="K201" s="1506"/>
      <c r="L201" s="1506"/>
      <c r="M201" s="1479"/>
      <c r="N201" s="1503"/>
      <c r="O201" s="1503"/>
      <c r="P201" s="1503"/>
      <c r="Q201" s="1503"/>
      <c r="R201" s="1503"/>
      <c r="S201" s="1504"/>
      <c r="T201" s="1504"/>
      <c r="U201" s="483"/>
      <c r="V201" s="1505"/>
      <c r="W201" s="1516" t="s">
        <v>123</v>
      </c>
      <c r="X201" s="1506"/>
      <c r="Y201" s="1506"/>
      <c r="Z201" s="1481"/>
      <c r="AA201" s="499"/>
      <c r="AB201" s="499"/>
      <c r="AC201" s="499"/>
      <c r="AD201" s="499"/>
      <c r="AE201" s="499"/>
      <c r="AF201" s="499"/>
      <c r="AG201" s="499"/>
      <c r="AH201" s="499"/>
      <c r="AI201" s="1483"/>
      <c r="AJ201" s="1515"/>
      <c r="AK201" s="1515"/>
    </row>
    <row r="202">
      <c r="A202" s="499"/>
      <c r="B202" s="1501"/>
      <c r="C202" s="1502"/>
      <c r="D202" s="1503"/>
      <c r="E202" s="1503"/>
      <c r="F202" s="1504"/>
      <c r="G202" s="1504"/>
      <c r="H202" s="483"/>
      <c r="I202" s="1505"/>
      <c r="J202" s="1506" t="s">
        <v>123</v>
      </c>
      <c r="K202" s="1506"/>
      <c r="L202" s="1506"/>
      <c r="M202" s="1479"/>
      <c r="N202" s="1503"/>
      <c r="O202" s="1503"/>
      <c r="P202" s="1503"/>
      <c r="Q202" s="1503"/>
      <c r="R202" s="1503"/>
      <c r="S202" s="1504"/>
      <c r="T202" s="1504"/>
      <c r="U202" s="483"/>
      <c r="V202" s="1505"/>
      <c r="W202" s="1516" t="s">
        <v>123</v>
      </c>
      <c r="X202" s="1506"/>
      <c r="Y202" s="1506"/>
      <c r="Z202" s="1481"/>
      <c r="AA202" s="499"/>
      <c r="AB202" s="499"/>
      <c r="AC202" s="499"/>
      <c r="AD202" s="499"/>
      <c r="AE202" s="499"/>
      <c r="AF202" s="499"/>
      <c r="AG202" s="499"/>
      <c r="AH202" s="499"/>
      <c r="AI202" s="1483"/>
      <c r="AJ202" s="1515"/>
      <c r="AK202" s="1515"/>
    </row>
    <row r="203">
      <c r="A203" s="499"/>
      <c r="B203" s="1501"/>
      <c r="C203" s="1502"/>
      <c r="D203" s="1503"/>
      <c r="E203" s="1503"/>
      <c r="F203" s="1504"/>
      <c r="G203" s="1504"/>
      <c r="H203" s="483"/>
      <c r="I203" s="1505"/>
      <c r="J203" s="1506" t="s">
        <v>123</v>
      </c>
      <c r="K203" s="1506"/>
      <c r="L203" s="1506"/>
      <c r="M203" s="1479"/>
      <c r="N203" s="1503"/>
      <c r="O203" s="1503"/>
      <c r="P203" s="1503"/>
      <c r="Q203" s="1503"/>
      <c r="R203" s="1503"/>
      <c r="S203" s="1504"/>
      <c r="T203" s="1504"/>
      <c r="U203" s="483"/>
      <c r="V203" s="1505"/>
      <c r="W203" s="1516" t="s">
        <v>123</v>
      </c>
      <c r="X203" s="1506"/>
      <c r="Y203" s="1506"/>
      <c r="Z203" s="1481"/>
      <c r="AA203" s="499"/>
      <c r="AB203" s="499"/>
      <c r="AC203" s="499"/>
      <c r="AD203" s="499"/>
      <c r="AE203" s="499"/>
      <c r="AF203" s="499"/>
      <c r="AG203" s="499"/>
      <c r="AH203" s="499"/>
      <c r="AI203" s="1483"/>
      <c r="AJ203" s="1515"/>
      <c r="AK203" s="1515"/>
    </row>
    <row r="204">
      <c r="A204" s="499"/>
      <c r="B204" s="1501"/>
      <c r="C204" s="1502"/>
      <c r="D204" s="1503"/>
      <c r="E204" s="1503"/>
      <c r="F204" s="1504"/>
      <c r="G204" s="1504"/>
      <c r="H204" s="483"/>
      <c r="I204" s="1505"/>
      <c r="J204" s="1506" t="s">
        <v>123</v>
      </c>
      <c r="K204" s="1506"/>
      <c r="L204" s="1506"/>
      <c r="M204" s="1479"/>
      <c r="N204" s="1503"/>
      <c r="O204" s="1503"/>
      <c r="P204" s="1503"/>
      <c r="Q204" s="1503"/>
      <c r="R204" s="1503"/>
      <c r="S204" s="1504"/>
      <c r="T204" s="1504"/>
      <c r="U204" s="483"/>
      <c r="V204" s="1505"/>
      <c r="W204" s="1516" t="s">
        <v>123</v>
      </c>
      <c r="X204" s="1506"/>
      <c r="Y204" s="1506"/>
      <c r="Z204" s="1481"/>
      <c r="AA204" s="499"/>
      <c r="AB204" s="499"/>
      <c r="AC204" s="499"/>
      <c r="AD204" s="499"/>
      <c r="AE204" s="499"/>
      <c r="AF204" s="499"/>
      <c r="AG204" s="499"/>
      <c r="AH204" s="499"/>
      <c r="AI204" s="1483"/>
      <c r="AJ204" s="1515"/>
      <c r="AK204" s="1515"/>
    </row>
    <row r="205">
      <c r="A205" s="499"/>
      <c r="B205" s="1501"/>
      <c r="C205" s="1502"/>
      <c r="D205" s="1503"/>
      <c r="E205" s="1503"/>
      <c r="F205" s="1504"/>
      <c r="G205" s="1504"/>
      <c r="H205" s="483"/>
      <c r="I205" s="1505"/>
      <c r="J205" s="1506" t="s">
        <v>123</v>
      </c>
      <c r="K205" s="1506"/>
      <c r="L205" s="1506"/>
      <c r="M205" s="1479"/>
      <c r="N205" s="1503"/>
      <c r="O205" s="1503"/>
      <c r="P205" s="1503"/>
      <c r="Q205" s="1503"/>
      <c r="R205" s="1503"/>
      <c r="S205" s="1504"/>
      <c r="T205" s="1504"/>
      <c r="U205" s="483"/>
      <c r="V205" s="1505"/>
      <c r="W205" s="1516" t="s">
        <v>123</v>
      </c>
      <c r="X205" s="1506"/>
      <c r="Y205" s="1506"/>
      <c r="Z205" s="1481"/>
      <c r="AA205" s="499"/>
      <c r="AB205" s="499"/>
      <c r="AC205" s="499"/>
      <c r="AD205" s="499"/>
      <c r="AE205" s="499"/>
      <c r="AF205" s="499"/>
      <c r="AG205" s="499"/>
      <c r="AH205" s="499"/>
      <c r="AI205" s="1483"/>
      <c r="AJ205" s="1515"/>
      <c r="AK205" s="1515"/>
    </row>
    <row r="206">
      <c r="A206" s="499"/>
      <c r="B206" s="1501"/>
      <c r="C206" s="1502"/>
      <c r="D206" s="1503"/>
      <c r="E206" s="1503"/>
      <c r="F206" s="1504"/>
      <c r="G206" s="1504"/>
      <c r="H206" s="483"/>
      <c r="I206" s="1505"/>
      <c r="J206" s="1506" t="s">
        <v>123</v>
      </c>
      <c r="K206" s="1506"/>
      <c r="L206" s="1506"/>
      <c r="M206" s="1479"/>
      <c r="N206" s="1503"/>
      <c r="O206" s="1503"/>
      <c r="P206" s="1503"/>
      <c r="Q206" s="1503"/>
      <c r="R206" s="1503"/>
      <c r="S206" s="1504"/>
      <c r="T206" s="1504"/>
      <c r="U206" s="483"/>
      <c r="V206" s="1505"/>
      <c r="W206" s="1516" t="s">
        <v>123</v>
      </c>
      <c r="X206" s="1506"/>
      <c r="Y206" s="1506"/>
      <c r="Z206" s="1481"/>
      <c r="AA206" s="499"/>
      <c r="AB206" s="499"/>
      <c r="AC206" s="499"/>
      <c r="AD206" s="499"/>
      <c r="AE206" s="499"/>
      <c r="AF206" s="499"/>
      <c r="AG206" s="499"/>
      <c r="AH206" s="499"/>
      <c r="AI206" s="1483"/>
      <c r="AJ206" s="1515"/>
      <c r="AK206" s="1515"/>
    </row>
    <row r="207">
      <c r="A207" s="499"/>
      <c r="B207" s="1501"/>
      <c r="C207" s="1502"/>
      <c r="D207" s="1503"/>
      <c r="E207" s="1503"/>
      <c r="F207" s="1504"/>
      <c r="G207" s="1504"/>
      <c r="H207" s="483"/>
      <c r="I207" s="1505"/>
      <c r="J207" s="1506" t="s">
        <v>123</v>
      </c>
      <c r="K207" s="1506"/>
      <c r="L207" s="1506"/>
      <c r="M207" s="1479"/>
      <c r="N207" s="1503"/>
      <c r="O207" s="1503"/>
      <c r="P207" s="1503"/>
      <c r="Q207" s="1503"/>
      <c r="R207" s="1503"/>
      <c r="S207" s="1504"/>
      <c r="T207" s="1504"/>
      <c r="U207" s="483"/>
      <c r="V207" s="1505"/>
      <c r="W207" s="1516" t="s">
        <v>123</v>
      </c>
      <c r="X207" s="1506"/>
      <c r="Y207" s="1506"/>
      <c r="Z207" s="1481"/>
      <c r="AA207" s="499"/>
      <c r="AB207" s="499"/>
      <c r="AC207" s="499"/>
      <c r="AD207" s="499"/>
      <c r="AE207" s="499"/>
      <c r="AF207" s="499"/>
      <c r="AG207" s="499"/>
      <c r="AH207" s="499"/>
      <c r="AI207" s="1483"/>
      <c r="AJ207" s="1515"/>
      <c r="AK207" s="1515"/>
    </row>
    <row r="208">
      <c r="A208" s="499"/>
      <c r="B208" s="1501"/>
      <c r="C208" s="1502"/>
      <c r="D208" s="1503"/>
      <c r="E208" s="1503"/>
      <c r="F208" s="1504"/>
      <c r="G208" s="1504"/>
      <c r="H208" s="483"/>
      <c r="I208" s="1505"/>
      <c r="J208" s="1506" t="s">
        <v>123</v>
      </c>
      <c r="K208" s="1506"/>
      <c r="L208" s="1506"/>
      <c r="M208" s="1479"/>
      <c r="N208" s="1503"/>
      <c r="O208" s="1503"/>
      <c r="P208" s="1503"/>
      <c r="Q208" s="1503"/>
      <c r="R208" s="1503"/>
      <c r="S208" s="1504"/>
      <c r="T208" s="1504"/>
      <c r="U208" s="483"/>
      <c r="V208" s="1505"/>
      <c r="W208" s="1516" t="s">
        <v>123</v>
      </c>
      <c r="X208" s="1506"/>
      <c r="Y208" s="1506"/>
      <c r="Z208" s="1481"/>
      <c r="AA208" s="499"/>
      <c r="AB208" s="499"/>
      <c r="AC208" s="499"/>
      <c r="AD208" s="499"/>
      <c r="AE208" s="499"/>
      <c r="AF208" s="499"/>
      <c r="AG208" s="499"/>
      <c r="AH208" s="499"/>
      <c r="AI208" s="1483"/>
      <c r="AJ208" s="1515"/>
      <c r="AK208" s="1515"/>
    </row>
    <row r="209">
      <c r="A209" s="499"/>
      <c r="B209" s="1501"/>
      <c r="C209" s="1502"/>
      <c r="D209" s="1503"/>
      <c r="E209" s="1503"/>
      <c r="F209" s="1504"/>
      <c r="G209" s="1504"/>
      <c r="H209" s="483"/>
      <c r="I209" s="1505"/>
      <c r="J209" s="1506" t="s">
        <v>123</v>
      </c>
      <c r="K209" s="1506"/>
      <c r="L209" s="1506"/>
      <c r="M209" s="1479"/>
      <c r="N209" s="1503"/>
      <c r="O209" s="1503"/>
      <c r="P209" s="1503"/>
      <c r="Q209" s="1503"/>
      <c r="R209" s="1503"/>
      <c r="S209" s="1504"/>
      <c r="T209" s="1504"/>
      <c r="U209" s="483"/>
      <c r="V209" s="1505"/>
      <c r="W209" s="1516" t="s">
        <v>123</v>
      </c>
      <c r="X209" s="1506"/>
      <c r="Y209" s="1506"/>
      <c r="Z209" s="1481"/>
      <c r="AA209" s="499"/>
      <c r="AB209" s="499"/>
      <c r="AC209" s="499"/>
      <c r="AD209" s="499"/>
      <c r="AE209" s="499"/>
      <c r="AF209" s="499"/>
      <c r="AG209" s="499"/>
      <c r="AH209" s="499"/>
      <c r="AI209" s="1483"/>
      <c r="AJ209" s="1515"/>
      <c r="AK209" s="1515"/>
    </row>
    <row r="210">
      <c r="A210" s="499"/>
      <c r="B210" s="1501"/>
      <c r="C210" s="1502"/>
      <c r="D210" s="1503"/>
      <c r="E210" s="1503"/>
      <c r="F210" s="1504"/>
      <c r="G210" s="1504"/>
      <c r="H210" s="483"/>
      <c r="I210" s="1505"/>
      <c r="J210" s="1506" t="s">
        <v>123</v>
      </c>
      <c r="K210" s="1506"/>
      <c r="L210" s="1506"/>
      <c r="M210" s="1479"/>
      <c r="N210" s="1503"/>
      <c r="O210" s="1503"/>
      <c r="P210" s="1503"/>
      <c r="Q210" s="1503"/>
      <c r="R210" s="1503"/>
      <c r="S210" s="1504"/>
      <c r="T210" s="1504"/>
      <c r="U210" s="483"/>
      <c r="V210" s="1505"/>
      <c r="W210" s="1516" t="s">
        <v>123</v>
      </c>
      <c r="X210" s="1506"/>
      <c r="Y210" s="1506"/>
      <c r="Z210" s="1481"/>
      <c r="AA210" s="499"/>
      <c r="AB210" s="499"/>
      <c r="AC210" s="499"/>
      <c r="AD210" s="499"/>
      <c r="AE210" s="499"/>
      <c r="AF210" s="499"/>
      <c r="AG210" s="499"/>
      <c r="AH210" s="499"/>
      <c r="AI210" s="1483"/>
      <c r="AJ210" s="1515"/>
      <c r="AK210" s="1515"/>
    </row>
    <row r="211">
      <c r="A211" s="499"/>
      <c r="B211" s="1501"/>
      <c r="C211" s="1502"/>
      <c r="D211" s="1503"/>
      <c r="E211" s="1503"/>
      <c r="F211" s="1504"/>
      <c r="G211" s="1504"/>
      <c r="H211" s="483"/>
      <c r="I211" s="1505"/>
      <c r="J211" s="1506" t="s">
        <v>123</v>
      </c>
      <c r="K211" s="1506"/>
      <c r="L211" s="1506"/>
      <c r="M211" s="1479"/>
      <c r="N211" s="1503"/>
      <c r="O211" s="1503"/>
      <c r="P211" s="1503"/>
      <c r="Q211" s="1503"/>
      <c r="R211" s="1503"/>
      <c r="S211" s="1504"/>
      <c r="T211" s="1504"/>
      <c r="U211" s="483"/>
      <c r="V211" s="1505"/>
      <c r="W211" s="1516" t="s">
        <v>123</v>
      </c>
      <c r="X211" s="1506"/>
      <c r="Y211" s="1506"/>
      <c r="Z211" s="1481"/>
      <c r="AA211" s="499"/>
      <c r="AB211" s="499"/>
      <c r="AC211" s="499"/>
      <c r="AD211" s="499"/>
      <c r="AE211" s="499"/>
      <c r="AF211" s="499"/>
      <c r="AG211" s="499"/>
      <c r="AH211" s="499"/>
      <c r="AI211" s="1483"/>
      <c r="AJ211" s="1515"/>
      <c r="AK211" s="1515"/>
    </row>
    <row r="212">
      <c r="A212" s="499"/>
      <c r="B212" s="1501"/>
      <c r="C212" s="1502"/>
      <c r="D212" s="1503"/>
      <c r="E212" s="1503"/>
      <c r="F212" s="1504"/>
      <c r="G212" s="1504"/>
      <c r="H212" s="483"/>
      <c r="I212" s="1505"/>
      <c r="J212" s="1506" t="s">
        <v>123</v>
      </c>
      <c r="K212" s="1506"/>
      <c r="L212" s="1506"/>
      <c r="M212" s="1479"/>
      <c r="N212" s="1503"/>
      <c r="O212" s="1503"/>
      <c r="P212" s="1503"/>
      <c r="Q212" s="1503"/>
      <c r="R212" s="1503"/>
      <c r="S212" s="1504"/>
      <c r="T212" s="1504"/>
      <c r="U212" s="483"/>
      <c r="V212" s="1505"/>
      <c r="W212" s="1516" t="s">
        <v>123</v>
      </c>
      <c r="X212" s="1506"/>
      <c r="Y212" s="1506"/>
      <c r="Z212" s="1481"/>
      <c r="AA212" s="499"/>
      <c r="AB212" s="499"/>
      <c r="AC212" s="499"/>
      <c r="AD212" s="499"/>
      <c r="AE212" s="499"/>
      <c r="AF212" s="499"/>
      <c r="AG212" s="499"/>
      <c r="AH212" s="499"/>
      <c r="AI212" s="1483"/>
      <c r="AJ212" s="1515"/>
      <c r="AK212" s="1515"/>
    </row>
    <row r="213">
      <c r="A213" s="499"/>
      <c r="B213" s="1501"/>
      <c r="C213" s="1502"/>
      <c r="D213" s="1503"/>
      <c r="E213" s="1503"/>
      <c r="F213" s="1504"/>
      <c r="G213" s="1504"/>
      <c r="H213" s="483"/>
      <c r="I213" s="1505"/>
      <c r="J213" s="1506" t="s">
        <v>123</v>
      </c>
      <c r="K213" s="1506"/>
      <c r="L213" s="1506"/>
      <c r="M213" s="1479"/>
      <c r="N213" s="1503"/>
      <c r="O213" s="1503"/>
      <c r="P213" s="1503"/>
      <c r="Q213" s="1503"/>
      <c r="R213" s="1503"/>
      <c r="S213" s="1504"/>
      <c r="T213" s="1504"/>
      <c r="U213" s="483"/>
      <c r="V213" s="1505"/>
      <c r="W213" s="1516" t="s">
        <v>123</v>
      </c>
      <c r="X213" s="1506"/>
      <c r="Y213" s="1506"/>
      <c r="Z213" s="1481"/>
      <c r="AA213" s="499"/>
      <c r="AB213" s="499"/>
      <c r="AC213" s="499"/>
      <c r="AD213" s="499"/>
      <c r="AE213" s="499"/>
      <c r="AF213" s="499"/>
      <c r="AG213" s="499"/>
      <c r="AH213" s="499"/>
      <c r="AI213" s="1483"/>
      <c r="AJ213" s="1515"/>
      <c r="AK213" s="1515"/>
    </row>
    <row r="214">
      <c r="A214" s="499"/>
      <c r="B214" s="1501"/>
      <c r="C214" s="1502"/>
      <c r="D214" s="1503"/>
      <c r="E214" s="1503"/>
      <c r="F214" s="1504"/>
      <c r="G214" s="1504"/>
      <c r="H214" s="483"/>
      <c r="I214" s="1505"/>
      <c r="J214" s="1506" t="s">
        <v>123</v>
      </c>
      <c r="K214" s="1506"/>
      <c r="L214" s="1506"/>
      <c r="M214" s="1479"/>
      <c r="N214" s="1503"/>
      <c r="O214" s="1503"/>
      <c r="P214" s="1503"/>
      <c r="Q214" s="1503"/>
      <c r="R214" s="1503"/>
      <c r="S214" s="1504"/>
      <c r="T214" s="1504"/>
      <c r="U214" s="483"/>
      <c r="V214" s="1505"/>
      <c r="W214" s="1516" t="s">
        <v>123</v>
      </c>
      <c r="X214" s="1506"/>
      <c r="Y214" s="1506"/>
      <c r="Z214" s="1481"/>
      <c r="AA214" s="499"/>
      <c r="AB214" s="499"/>
      <c r="AC214" s="499"/>
      <c r="AD214" s="499"/>
      <c r="AE214" s="499"/>
      <c r="AF214" s="499"/>
      <c r="AG214" s="499"/>
      <c r="AH214" s="499"/>
      <c r="AI214" s="1483"/>
      <c r="AJ214" s="1515"/>
      <c r="AK214" s="1515"/>
    </row>
    <row r="215">
      <c r="A215" s="499"/>
      <c r="B215" s="1501"/>
      <c r="C215" s="1502"/>
      <c r="D215" s="1503"/>
      <c r="E215" s="1503"/>
      <c r="F215" s="1504"/>
      <c r="G215" s="1504"/>
      <c r="H215" s="483"/>
      <c r="I215" s="1505"/>
      <c r="J215" s="1506" t="s">
        <v>123</v>
      </c>
      <c r="K215" s="1506"/>
      <c r="L215" s="1506"/>
      <c r="M215" s="1479"/>
      <c r="N215" s="1503"/>
      <c r="O215" s="1503"/>
      <c r="P215" s="1503"/>
      <c r="Q215" s="1503"/>
      <c r="R215" s="1503"/>
      <c r="S215" s="1504"/>
      <c r="T215" s="1504"/>
      <c r="U215" s="483"/>
      <c r="V215" s="1505"/>
      <c r="W215" s="1516" t="s">
        <v>123</v>
      </c>
      <c r="X215" s="1506"/>
      <c r="Y215" s="1506"/>
      <c r="Z215" s="1481"/>
      <c r="AA215" s="499"/>
      <c r="AB215" s="499"/>
      <c r="AC215" s="499"/>
      <c r="AD215" s="499"/>
      <c r="AE215" s="499"/>
      <c r="AF215" s="499"/>
      <c r="AG215" s="499"/>
      <c r="AH215" s="499"/>
      <c r="AI215" s="1483"/>
      <c r="AJ215" s="1515"/>
      <c r="AK215" s="1515"/>
    </row>
    <row r="216">
      <c r="A216" s="499"/>
      <c r="B216" s="1501"/>
      <c r="C216" s="1502"/>
      <c r="D216" s="1503"/>
      <c r="E216" s="1503"/>
      <c r="F216" s="1504"/>
      <c r="G216" s="1504"/>
      <c r="H216" s="483"/>
      <c r="I216" s="1505"/>
      <c r="J216" s="1506" t="s">
        <v>123</v>
      </c>
      <c r="K216" s="1506"/>
      <c r="L216" s="1506"/>
      <c r="M216" s="1479"/>
      <c r="N216" s="1503"/>
      <c r="O216" s="1503"/>
      <c r="P216" s="1503"/>
      <c r="Q216" s="1503"/>
      <c r="R216" s="1503"/>
      <c r="S216" s="1504"/>
      <c r="T216" s="1504"/>
      <c r="U216" s="483"/>
      <c r="V216" s="1505"/>
      <c r="W216" s="1516" t="s">
        <v>123</v>
      </c>
      <c r="X216" s="1506"/>
      <c r="Y216" s="1506"/>
      <c r="Z216" s="1481"/>
      <c r="AA216" s="499"/>
      <c r="AB216" s="499"/>
      <c r="AC216" s="499"/>
      <c r="AD216" s="499"/>
      <c r="AE216" s="499"/>
      <c r="AF216" s="499"/>
      <c r="AG216" s="499"/>
      <c r="AH216" s="499"/>
      <c r="AI216" s="1483"/>
      <c r="AJ216" s="1515"/>
      <c r="AK216" s="1515"/>
    </row>
    <row r="217">
      <c r="A217" s="499"/>
      <c r="B217" s="1501"/>
      <c r="C217" s="1502"/>
      <c r="D217" s="1503"/>
      <c r="E217" s="1503"/>
      <c r="F217" s="1504"/>
      <c r="G217" s="1504"/>
      <c r="H217" s="483"/>
      <c r="I217" s="1505"/>
      <c r="J217" s="1506" t="s">
        <v>123</v>
      </c>
      <c r="K217" s="1506"/>
      <c r="L217" s="1506"/>
      <c r="M217" s="1479"/>
      <c r="N217" s="1503"/>
      <c r="O217" s="1503"/>
      <c r="P217" s="1503"/>
      <c r="Q217" s="1503"/>
      <c r="R217" s="1503"/>
      <c r="S217" s="1504"/>
      <c r="T217" s="1504"/>
      <c r="U217" s="483"/>
      <c r="V217" s="1505"/>
      <c r="W217" s="1516" t="s">
        <v>123</v>
      </c>
      <c r="X217" s="1506"/>
      <c r="Y217" s="1506"/>
      <c r="Z217" s="1481"/>
      <c r="AA217" s="499"/>
      <c r="AB217" s="499"/>
      <c r="AC217" s="499"/>
      <c r="AD217" s="499"/>
      <c r="AE217" s="499"/>
      <c r="AF217" s="499"/>
      <c r="AG217" s="499"/>
      <c r="AH217" s="499"/>
      <c r="AI217" s="1483"/>
      <c r="AJ217" s="1515"/>
      <c r="AK217" s="1515"/>
    </row>
    <row r="218">
      <c r="A218" s="499"/>
      <c r="B218" s="1501"/>
      <c r="C218" s="1502"/>
      <c r="D218" s="1503"/>
      <c r="E218" s="1503"/>
      <c r="F218" s="1504"/>
      <c r="G218" s="1504"/>
      <c r="H218" s="483"/>
      <c r="I218" s="1505"/>
      <c r="J218" s="1506" t="s">
        <v>123</v>
      </c>
      <c r="K218" s="1506"/>
      <c r="L218" s="1506"/>
      <c r="M218" s="1479"/>
      <c r="N218" s="1503"/>
      <c r="O218" s="1503"/>
      <c r="P218" s="1503"/>
      <c r="Q218" s="1503"/>
      <c r="R218" s="1503"/>
      <c r="S218" s="1504"/>
      <c r="T218" s="1504"/>
      <c r="U218" s="483"/>
      <c r="V218" s="1505"/>
      <c r="W218" s="1516" t="s">
        <v>123</v>
      </c>
      <c r="X218" s="1506"/>
      <c r="Y218" s="1506"/>
      <c r="Z218" s="1481"/>
      <c r="AA218" s="499"/>
      <c r="AB218" s="499"/>
      <c r="AC218" s="499"/>
      <c r="AD218" s="499"/>
      <c r="AE218" s="499"/>
      <c r="AF218" s="499"/>
      <c r="AG218" s="499"/>
      <c r="AH218" s="499"/>
      <c r="AI218" s="1483"/>
      <c r="AJ218" s="1515"/>
      <c r="AK218" s="1515"/>
    </row>
    <row r="219">
      <c r="A219" s="499"/>
      <c r="B219" s="1501"/>
      <c r="C219" s="1502"/>
      <c r="D219" s="1503"/>
      <c r="E219" s="1503"/>
      <c r="F219" s="1504"/>
      <c r="G219" s="1504"/>
      <c r="H219" s="483"/>
      <c r="I219" s="1505"/>
      <c r="J219" s="1506" t="s">
        <v>123</v>
      </c>
      <c r="K219" s="1506"/>
      <c r="L219" s="1506"/>
      <c r="M219" s="1479"/>
      <c r="N219" s="1503"/>
      <c r="O219" s="1503"/>
      <c r="P219" s="1503"/>
      <c r="Q219" s="1503"/>
      <c r="R219" s="1503"/>
      <c r="S219" s="1504"/>
      <c r="T219" s="1504"/>
      <c r="U219" s="483"/>
      <c r="V219" s="1505"/>
      <c r="W219" s="1516" t="s">
        <v>123</v>
      </c>
      <c r="X219" s="1506"/>
      <c r="Y219" s="1506"/>
      <c r="Z219" s="1481"/>
      <c r="AA219" s="499"/>
      <c r="AB219" s="499"/>
      <c r="AC219" s="499"/>
      <c r="AD219" s="499"/>
      <c r="AE219" s="499"/>
      <c r="AF219" s="499"/>
      <c r="AG219" s="499"/>
      <c r="AH219" s="499"/>
      <c r="AI219" s="1483"/>
      <c r="AJ219" s="1515"/>
      <c r="AK219" s="1515"/>
    </row>
    <row r="220">
      <c r="A220" s="499"/>
      <c r="B220" s="1501"/>
      <c r="C220" s="1502"/>
      <c r="D220" s="1503"/>
      <c r="E220" s="1503"/>
      <c r="F220" s="1504"/>
      <c r="G220" s="1504"/>
      <c r="H220" s="483"/>
      <c r="I220" s="1505"/>
      <c r="J220" s="1506" t="s">
        <v>123</v>
      </c>
      <c r="K220" s="1506"/>
      <c r="L220" s="1506"/>
      <c r="M220" s="1479"/>
      <c r="N220" s="1503"/>
      <c r="O220" s="1503"/>
      <c r="P220" s="1503"/>
      <c r="Q220" s="1503"/>
      <c r="R220" s="1503"/>
      <c r="S220" s="1504"/>
      <c r="T220" s="1504"/>
      <c r="U220" s="483"/>
      <c r="V220" s="1505"/>
      <c r="W220" s="1516" t="s">
        <v>123</v>
      </c>
      <c r="X220" s="1506"/>
      <c r="Y220" s="1506"/>
      <c r="Z220" s="1481"/>
      <c r="AA220" s="499"/>
      <c r="AB220" s="499"/>
      <c r="AC220" s="499"/>
      <c r="AD220" s="499"/>
      <c r="AE220" s="499"/>
      <c r="AF220" s="499"/>
      <c r="AG220" s="499"/>
      <c r="AH220" s="499"/>
      <c r="AI220" s="1483"/>
      <c r="AJ220" s="1515"/>
      <c r="AK220" s="1515"/>
    </row>
    <row r="221">
      <c r="A221" s="499"/>
      <c r="B221" s="1501"/>
      <c r="C221" s="1502"/>
      <c r="D221" s="1503"/>
      <c r="E221" s="1503"/>
      <c r="F221" s="1504"/>
      <c r="G221" s="1504"/>
      <c r="H221" s="483"/>
      <c r="I221" s="1505"/>
      <c r="J221" s="1506" t="s">
        <v>123</v>
      </c>
      <c r="K221" s="1506"/>
      <c r="L221" s="1506"/>
      <c r="M221" s="1479"/>
      <c r="N221" s="1503"/>
      <c r="O221" s="1503"/>
      <c r="P221" s="1503"/>
      <c r="Q221" s="1503"/>
      <c r="R221" s="1503"/>
      <c r="S221" s="1504"/>
      <c r="T221" s="1504"/>
      <c r="U221" s="483"/>
      <c r="V221" s="1505"/>
      <c r="W221" s="1516" t="s">
        <v>123</v>
      </c>
      <c r="X221" s="1506"/>
      <c r="Y221" s="1506"/>
      <c r="Z221" s="1481"/>
      <c r="AA221" s="499"/>
      <c r="AB221" s="499"/>
      <c r="AC221" s="499"/>
      <c r="AD221" s="499"/>
      <c r="AE221" s="499"/>
      <c r="AF221" s="499"/>
      <c r="AG221" s="499"/>
      <c r="AH221" s="499"/>
      <c r="AI221" s="1483"/>
      <c r="AJ221" s="1515"/>
      <c r="AK221" s="1515"/>
    </row>
    <row r="222">
      <c r="A222" s="499"/>
      <c r="B222" s="1501"/>
      <c r="C222" s="1502"/>
      <c r="D222" s="1503"/>
      <c r="E222" s="1503"/>
      <c r="F222" s="1504"/>
      <c r="G222" s="1504"/>
      <c r="H222" s="483"/>
      <c r="I222" s="1505"/>
      <c r="J222" s="1506" t="s">
        <v>123</v>
      </c>
      <c r="K222" s="1506"/>
      <c r="L222" s="1506"/>
      <c r="M222" s="1479"/>
      <c r="N222" s="1503"/>
      <c r="O222" s="1503"/>
      <c r="P222" s="1503"/>
      <c r="Q222" s="1503"/>
      <c r="R222" s="1503"/>
      <c r="S222" s="1504"/>
      <c r="T222" s="1504"/>
      <c r="U222" s="483"/>
      <c r="V222" s="1505"/>
      <c r="W222" s="1516" t="s">
        <v>123</v>
      </c>
      <c r="X222" s="1506"/>
      <c r="Y222" s="1506"/>
      <c r="Z222" s="1481"/>
      <c r="AA222" s="499"/>
      <c r="AB222" s="499"/>
      <c r="AC222" s="499"/>
      <c r="AD222" s="499"/>
      <c r="AE222" s="499"/>
      <c r="AF222" s="499"/>
      <c r="AG222" s="499"/>
      <c r="AH222" s="499"/>
      <c r="AI222" s="1483"/>
      <c r="AJ222" s="1515"/>
      <c r="AK222" s="1515"/>
    </row>
    <row r="223">
      <c r="A223" s="499"/>
      <c r="B223" s="1501"/>
      <c r="C223" s="1502"/>
      <c r="D223" s="1503"/>
      <c r="E223" s="1503"/>
      <c r="F223" s="1504"/>
      <c r="G223" s="1504"/>
      <c r="H223" s="483"/>
      <c r="I223" s="1505"/>
      <c r="J223" s="1506" t="s">
        <v>123</v>
      </c>
      <c r="K223" s="1506"/>
      <c r="L223" s="1506"/>
      <c r="M223" s="1479"/>
      <c r="N223" s="1503"/>
      <c r="O223" s="1503"/>
      <c r="P223" s="1503"/>
      <c r="Q223" s="1503"/>
      <c r="R223" s="1503"/>
      <c r="S223" s="1504"/>
      <c r="T223" s="1504"/>
      <c r="U223" s="483"/>
      <c r="V223" s="1505"/>
      <c r="W223" s="1516" t="s">
        <v>123</v>
      </c>
      <c r="X223" s="1506"/>
      <c r="Y223" s="1506"/>
      <c r="Z223" s="1481"/>
      <c r="AA223" s="499"/>
      <c r="AB223" s="499"/>
      <c r="AC223" s="499"/>
      <c r="AD223" s="499"/>
      <c r="AE223" s="499"/>
      <c r="AF223" s="499"/>
      <c r="AG223" s="499"/>
      <c r="AH223" s="499"/>
      <c r="AI223" s="1483"/>
      <c r="AJ223" s="1515"/>
      <c r="AK223" s="1515"/>
    </row>
    <row r="224">
      <c r="A224" s="499"/>
      <c r="B224" s="1501"/>
      <c r="C224" s="1502"/>
      <c r="D224" s="1503"/>
      <c r="E224" s="1503"/>
      <c r="F224" s="1504"/>
      <c r="G224" s="1504"/>
      <c r="H224" s="483"/>
      <c r="I224" s="1505"/>
      <c r="J224" s="1506" t="s">
        <v>123</v>
      </c>
      <c r="K224" s="1506"/>
      <c r="L224" s="1506"/>
      <c r="M224" s="1479"/>
      <c r="N224" s="1503"/>
      <c r="O224" s="1503"/>
      <c r="P224" s="1503"/>
      <c r="Q224" s="1503"/>
      <c r="R224" s="1503"/>
      <c r="S224" s="1504"/>
      <c r="T224" s="1504"/>
      <c r="U224" s="483"/>
      <c r="V224" s="1505"/>
      <c r="W224" s="1516" t="s">
        <v>123</v>
      </c>
      <c r="X224" s="1506"/>
      <c r="Y224" s="1506"/>
      <c r="Z224" s="1481"/>
      <c r="AA224" s="499"/>
      <c r="AB224" s="499"/>
      <c r="AC224" s="499"/>
      <c r="AD224" s="499"/>
      <c r="AE224" s="499"/>
      <c r="AF224" s="499"/>
      <c r="AG224" s="499"/>
      <c r="AH224" s="499"/>
      <c r="AI224" s="1483"/>
      <c r="AJ224" s="1515"/>
      <c r="AK224" s="1515"/>
    </row>
    <row r="225">
      <c r="A225" s="499"/>
      <c r="B225" s="1501"/>
      <c r="C225" s="1502"/>
      <c r="D225" s="1503"/>
      <c r="E225" s="1503"/>
      <c r="F225" s="1504"/>
      <c r="G225" s="1504"/>
      <c r="H225" s="483"/>
      <c r="I225" s="1505"/>
      <c r="J225" s="1506" t="s">
        <v>123</v>
      </c>
      <c r="K225" s="1506"/>
      <c r="L225" s="1506"/>
      <c r="M225" s="1479"/>
      <c r="N225" s="1503"/>
      <c r="O225" s="1503"/>
      <c r="P225" s="1503"/>
      <c r="Q225" s="1503"/>
      <c r="R225" s="1503"/>
      <c r="S225" s="1504"/>
      <c r="T225" s="1504"/>
      <c r="U225" s="483"/>
      <c r="V225" s="1505"/>
      <c r="W225" s="1516" t="s">
        <v>123</v>
      </c>
      <c r="X225" s="1506"/>
      <c r="Y225" s="1506"/>
      <c r="Z225" s="1481"/>
      <c r="AA225" s="499"/>
      <c r="AB225" s="499"/>
      <c r="AC225" s="499"/>
      <c r="AD225" s="499"/>
      <c r="AE225" s="499"/>
      <c r="AF225" s="499"/>
      <c r="AG225" s="499"/>
      <c r="AH225" s="499"/>
      <c r="AI225" s="1483"/>
      <c r="AJ225" s="1515"/>
      <c r="AK225" s="1515"/>
    </row>
    <row r="226">
      <c r="A226" s="499"/>
      <c r="B226" s="1501"/>
      <c r="C226" s="1502"/>
      <c r="D226" s="1503"/>
      <c r="E226" s="1503"/>
      <c r="F226" s="1504"/>
      <c r="G226" s="1504"/>
      <c r="H226" s="483"/>
      <c r="I226" s="1505"/>
      <c r="J226" s="1506" t="s">
        <v>123</v>
      </c>
      <c r="K226" s="1506"/>
      <c r="L226" s="1506"/>
      <c r="M226" s="1479"/>
      <c r="N226" s="1503"/>
      <c r="O226" s="1503"/>
      <c r="P226" s="1503"/>
      <c r="Q226" s="1503"/>
      <c r="R226" s="1503"/>
      <c r="S226" s="1504"/>
      <c r="T226" s="1504"/>
      <c r="U226" s="483"/>
      <c r="V226" s="1505"/>
      <c r="W226" s="1516" t="s">
        <v>123</v>
      </c>
      <c r="X226" s="1506"/>
      <c r="Y226" s="1506"/>
      <c r="Z226" s="1481"/>
      <c r="AA226" s="499"/>
      <c r="AB226" s="499"/>
      <c r="AC226" s="499"/>
      <c r="AD226" s="499"/>
      <c r="AE226" s="499"/>
      <c r="AF226" s="499"/>
      <c r="AG226" s="499"/>
      <c r="AH226" s="499"/>
      <c r="AI226" s="1483"/>
      <c r="AJ226" s="1515"/>
      <c r="AK226" s="1515"/>
    </row>
    <row r="227">
      <c r="A227" s="499"/>
      <c r="B227" s="1501"/>
      <c r="C227" s="1502"/>
      <c r="D227" s="1503"/>
      <c r="E227" s="1503"/>
      <c r="F227" s="1504"/>
      <c r="G227" s="1504"/>
      <c r="H227" s="483"/>
      <c r="I227" s="1505"/>
      <c r="J227" s="1506" t="s">
        <v>123</v>
      </c>
      <c r="K227" s="1506"/>
      <c r="L227" s="1506"/>
      <c r="M227" s="1479"/>
      <c r="N227" s="1503"/>
      <c r="O227" s="1503"/>
      <c r="P227" s="1503"/>
      <c r="Q227" s="1503"/>
      <c r="R227" s="1503"/>
      <c r="S227" s="1504"/>
      <c r="T227" s="1504"/>
      <c r="U227" s="483"/>
      <c r="V227" s="1505"/>
      <c r="W227" s="1516" t="s">
        <v>123</v>
      </c>
      <c r="X227" s="1506"/>
      <c r="Y227" s="1506"/>
      <c r="Z227" s="1481"/>
      <c r="AA227" s="499"/>
      <c r="AB227" s="499"/>
      <c r="AC227" s="499"/>
      <c r="AD227" s="499"/>
      <c r="AE227" s="499"/>
      <c r="AF227" s="499"/>
      <c r="AG227" s="499"/>
      <c r="AH227" s="499"/>
      <c r="AI227" s="1483"/>
      <c r="AJ227" s="1515"/>
      <c r="AK227" s="1515"/>
    </row>
    <row r="228">
      <c r="A228" s="499"/>
      <c r="B228" s="1501"/>
      <c r="C228" s="1502"/>
      <c r="D228" s="1503"/>
      <c r="E228" s="1503"/>
      <c r="F228" s="1504"/>
      <c r="G228" s="1504"/>
      <c r="H228" s="483"/>
      <c r="I228" s="1505"/>
      <c r="J228" s="1506" t="s">
        <v>123</v>
      </c>
      <c r="K228" s="1506"/>
      <c r="L228" s="1506"/>
      <c r="M228" s="1479"/>
      <c r="N228" s="1503"/>
      <c r="O228" s="1503"/>
      <c r="P228" s="1503"/>
      <c r="Q228" s="1503"/>
      <c r="R228" s="1503"/>
      <c r="S228" s="1504"/>
      <c r="T228" s="1504"/>
      <c r="U228" s="483"/>
      <c r="V228" s="1505"/>
      <c r="W228" s="1516" t="s">
        <v>123</v>
      </c>
      <c r="X228" s="1506"/>
      <c r="Y228" s="1506"/>
      <c r="Z228" s="1481"/>
      <c r="AA228" s="499"/>
      <c r="AB228" s="499"/>
      <c r="AC228" s="499"/>
      <c r="AD228" s="499"/>
      <c r="AE228" s="499"/>
      <c r="AF228" s="499"/>
      <c r="AG228" s="499"/>
      <c r="AH228" s="499"/>
      <c r="AI228" s="1483"/>
      <c r="AJ228" s="1515"/>
      <c r="AK228" s="1515"/>
    </row>
    <row r="229">
      <c r="A229" s="499"/>
      <c r="B229" s="1501"/>
      <c r="C229" s="1502"/>
      <c r="D229" s="1503"/>
      <c r="E229" s="1503"/>
      <c r="F229" s="1504"/>
      <c r="G229" s="1504"/>
      <c r="H229" s="483"/>
      <c r="I229" s="1505"/>
      <c r="J229" s="1506" t="s">
        <v>123</v>
      </c>
      <c r="K229" s="1506"/>
      <c r="L229" s="1506"/>
      <c r="M229" s="1479"/>
      <c r="N229" s="1503"/>
      <c r="O229" s="1503"/>
      <c r="P229" s="1503"/>
      <c r="Q229" s="1503"/>
      <c r="R229" s="1503"/>
      <c r="S229" s="1504"/>
      <c r="T229" s="1504"/>
      <c r="U229" s="483"/>
      <c r="V229" s="1505"/>
      <c r="W229" s="1516" t="s">
        <v>123</v>
      </c>
      <c r="X229" s="1506"/>
      <c r="Y229" s="1506"/>
      <c r="Z229" s="1481"/>
      <c r="AA229" s="499"/>
      <c r="AB229" s="499"/>
      <c r="AC229" s="499"/>
      <c r="AD229" s="499"/>
      <c r="AE229" s="499"/>
      <c r="AF229" s="499"/>
      <c r="AG229" s="499"/>
      <c r="AH229" s="499"/>
      <c r="AI229" s="1483"/>
      <c r="AJ229" s="1515"/>
      <c r="AK229" s="1515"/>
    </row>
    <row r="230">
      <c r="A230" s="499"/>
      <c r="B230" s="1501"/>
      <c r="C230" s="1502"/>
      <c r="D230" s="1503"/>
      <c r="E230" s="1503"/>
      <c r="F230" s="1504"/>
      <c r="G230" s="1504"/>
      <c r="H230" s="483"/>
      <c r="I230" s="1505"/>
      <c r="J230" s="1506" t="s">
        <v>123</v>
      </c>
      <c r="K230" s="1506"/>
      <c r="L230" s="1506"/>
      <c r="M230" s="1479"/>
      <c r="N230" s="1503"/>
      <c r="O230" s="1503"/>
      <c r="P230" s="1503"/>
      <c r="Q230" s="1503"/>
      <c r="R230" s="1503"/>
      <c r="S230" s="1504"/>
      <c r="T230" s="1504"/>
      <c r="U230" s="483"/>
      <c r="V230" s="1505"/>
      <c r="W230" s="1516" t="s">
        <v>123</v>
      </c>
      <c r="X230" s="1506"/>
      <c r="Y230" s="1506"/>
      <c r="Z230" s="1481"/>
      <c r="AA230" s="499"/>
      <c r="AB230" s="499"/>
      <c r="AC230" s="499"/>
      <c r="AD230" s="499"/>
      <c r="AE230" s="499"/>
      <c r="AF230" s="499"/>
      <c r="AG230" s="499"/>
      <c r="AH230" s="499"/>
      <c r="AI230" s="1483"/>
      <c r="AJ230" s="1515"/>
      <c r="AK230" s="1515"/>
    </row>
    <row r="231">
      <c r="A231" s="499"/>
      <c r="B231" s="1501"/>
      <c r="C231" s="1502"/>
      <c r="D231" s="1503"/>
      <c r="E231" s="1503"/>
      <c r="F231" s="1504"/>
      <c r="G231" s="1504"/>
      <c r="H231" s="483"/>
      <c r="I231" s="1505"/>
      <c r="J231" s="1506" t="s">
        <v>123</v>
      </c>
      <c r="K231" s="1506"/>
      <c r="L231" s="1506"/>
      <c r="M231" s="1479"/>
      <c r="N231" s="1503"/>
      <c r="O231" s="1503"/>
      <c r="P231" s="1503"/>
      <c r="Q231" s="1503"/>
      <c r="R231" s="1503"/>
      <c r="S231" s="1504"/>
      <c r="T231" s="1504"/>
      <c r="U231" s="483"/>
      <c r="V231" s="1505"/>
      <c r="W231" s="1516" t="s">
        <v>123</v>
      </c>
      <c r="X231" s="1506"/>
      <c r="Y231" s="1506"/>
      <c r="Z231" s="1481"/>
      <c r="AA231" s="499"/>
      <c r="AB231" s="499"/>
      <c r="AC231" s="499"/>
      <c r="AD231" s="499"/>
      <c r="AE231" s="499"/>
      <c r="AF231" s="499"/>
      <c r="AG231" s="499"/>
      <c r="AH231" s="499"/>
      <c r="AI231" s="1483"/>
      <c r="AJ231" s="1515"/>
      <c r="AK231" s="1515"/>
    </row>
    <row r="232">
      <c r="A232" s="499"/>
      <c r="B232" s="1501"/>
      <c r="C232" s="1502"/>
      <c r="D232" s="1503"/>
      <c r="E232" s="1503"/>
      <c r="F232" s="1504"/>
      <c r="G232" s="1504"/>
      <c r="H232" s="483"/>
      <c r="I232" s="1505"/>
      <c r="J232" s="1506" t="s">
        <v>123</v>
      </c>
      <c r="K232" s="1506"/>
      <c r="L232" s="1506"/>
      <c r="M232" s="1479"/>
      <c r="N232" s="1503"/>
      <c r="O232" s="1503"/>
      <c r="P232" s="1503"/>
      <c r="Q232" s="1503"/>
      <c r="R232" s="1503"/>
      <c r="S232" s="1504"/>
      <c r="T232" s="1504"/>
      <c r="U232" s="483"/>
      <c r="V232" s="1505"/>
      <c r="W232" s="1516" t="s">
        <v>123</v>
      </c>
      <c r="X232" s="1506"/>
      <c r="Y232" s="1506"/>
      <c r="Z232" s="1481"/>
      <c r="AA232" s="499"/>
      <c r="AB232" s="499"/>
      <c r="AC232" s="499"/>
      <c r="AD232" s="499"/>
      <c r="AE232" s="499"/>
      <c r="AF232" s="499"/>
      <c r="AG232" s="499"/>
      <c r="AH232" s="499"/>
      <c r="AI232" s="1483"/>
      <c r="AJ232" s="1515"/>
      <c r="AK232" s="1515"/>
    </row>
    <row r="233">
      <c r="A233" s="499"/>
      <c r="B233" s="1501"/>
      <c r="C233" s="1502"/>
      <c r="D233" s="1503"/>
      <c r="E233" s="1503"/>
      <c r="F233" s="1504"/>
      <c r="G233" s="1504"/>
      <c r="H233" s="483"/>
      <c r="I233" s="1505"/>
      <c r="J233" s="1506" t="s">
        <v>123</v>
      </c>
      <c r="K233" s="1506"/>
      <c r="L233" s="1506"/>
      <c r="M233" s="1479"/>
      <c r="N233" s="1503"/>
      <c r="O233" s="1503"/>
      <c r="P233" s="1503"/>
      <c r="Q233" s="1503"/>
      <c r="R233" s="1503"/>
      <c r="S233" s="1504"/>
      <c r="T233" s="1504"/>
      <c r="U233" s="483"/>
      <c r="V233" s="1505"/>
      <c r="W233" s="1516" t="s">
        <v>123</v>
      </c>
      <c r="X233" s="1506"/>
      <c r="Y233" s="1506"/>
      <c r="Z233" s="1481"/>
      <c r="AA233" s="499"/>
      <c r="AB233" s="499"/>
      <c r="AC233" s="499"/>
      <c r="AD233" s="499"/>
      <c r="AE233" s="499"/>
      <c r="AF233" s="499"/>
      <c r="AG233" s="499"/>
      <c r="AH233" s="499"/>
      <c r="AI233" s="1483"/>
      <c r="AJ233" s="1515"/>
      <c r="AK233" s="1515"/>
    </row>
    <row r="234">
      <c r="A234" s="499"/>
      <c r="B234" s="1501"/>
      <c r="C234" s="1502"/>
      <c r="D234" s="1503"/>
      <c r="E234" s="1503"/>
      <c r="F234" s="1504"/>
      <c r="G234" s="1504"/>
      <c r="H234" s="483"/>
      <c r="I234" s="1505"/>
      <c r="J234" s="1506" t="s">
        <v>123</v>
      </c>
      <c r="K234" s="1506"/>
      <c r="L234" s="1506"/>
      <c r="M234" s="1479"/>
      <c r="N234" s="1503"/>
      <c r="O234" s="1503"/>
      <c r="P234" s="1503"/>
      <c r="Q234" s="1503"/>
      <c r="R234" s="1503"/>
      <c r="S234" s="1504"/>
      <c r="T234" s="1504"/>
      <c r="U234" s="483"/>
      <c r="V234" s="1505"/>
      <c r="W234" s="1516" t="s">
        <v>123</v>
      </c>
      <c r="X234" s="1506"/>
      <c r="Y234" s="1506"/>
      <c r="Z234" s="1481"/>
      <c r="AA234" s="499"/>
      <c r="AB234" s="499"/>
      <c r="AC234" s="499"/>
      <c r="AD234" s="499"/>
      <c r="AE234" s="499"/>
      <c r="AF234" s="499"/>
      <c r="AG234" s="499"/>
      <c r="AH234" s="499"/>
      <c r="AI234" s="1483"/>
      <c r="AJ234" s="1515"/>
      <c r="AK234" s="1515"/>
    </row>
    <row r="235">
      <c r="A235" s="499"/>
      <c r="B235" s="1501"/>
      <c r="C235" s="1502"/>
      <c r="D235" s="1503"/>
      <c r="E235" s="1503"/>
      <c r="F235" s="1504"/>
      <c r="G235" s="1504"/>
      <c r="H235" s="483"/>
      <c r="I235" s="1505"/>
      <c r="J235" s="1506" t="s">
        <v>123</v>
      </c>
      <c r="K235" s="1506"/>
      <c r="L235" s="1506"/>
      <c r="M235" s="1479"/>
      <c r="N235" s="1503"/>
      <c r="O235" s="1503"/>
      <c r="P235" s="1503"/>
      <c r="Q235" s="1503"/>
      <c r="R235" s="1503"/>
      <c r="S235" s="1504"/>
      <c r="T235" s="1504"/>
      <c r="U235" s="483"/>
      <c r="V235" s="1505"/>
      <c r="W235" s="1516" t="s">
        <v>123</v>
      </c>
      <c r="X235" s="1506"/>
      <c r="Y235" s="1506"/>
      <c r="Z235" s="1481"/>
      <c r="AA235" s="499"/>
      <c r="AB235" s="499"/>
      <c r="AC235" s="499"/>
      <c r="AD235" s="499"/>
      <c r="AE235" s="499"/>
      <c r="AF235" s="499"/>
      <c r="AG235" s="499"/>
      <c r="AH235" s="499"/>
      <c r="AI235" s="1483"/>
      <c r="AJ235" s="1515"/>
      <c r="AK235" s="1515"/>
    </row>
    <row r="236">
      <c r="A236" s="499"/>
      <c r="B236" s="1501"/>
      <c r="C236" s="1502"/>
      <c r="D236" s="1503"/>
      <c r="E236" s="1503"/>
      <c r="F236" s="1504"/>
      <c r="G236" s="1504"/>
      <c r="H236" s="483"/>
      <c r="I236" s="1505"/>
      <c r="J236" s="1506" t="s">
        <v>123</v>
      </c>
      <c r="K236" s="1506"/>
      <c r="L236" s="1506"/>
      <c r="M236" s="1479"/>
      <c r="N236" s="1503"/>
      <c r="O236" s="1503"/>
      <c r="P236" s="1503"/>
      <c r="Q236" s="1503"/>
      <c r="R236" s="1503"/>
      <c r="S236" s="1504"/>
      <c r="T236" s="1504"/>
      <c r="U236" s="483"/>
      <c r="V236" s="1505"/>
      <c r="W236" s="1516" t="s">
        <v>123</v>
      </c>
      <c r="X236" s="1506"/>
      <c r="Y236" s="1506"/>
      <c r="Z236" s="1481"/>
      <c r="AA236" s="499"/>
      <c r="AB236" s="499"/>
      <c r="AC236" s="499"/>
      <c r="AD236" s="499"/>
      <c r="AE236" s="499"/>
      <c r="AF236" s="499"/>
      <c r="AG236" s="499"/>
      <c r="AH236" s="499"/>
      <c r="AI236" s="1483"/>
      <c r="AJ236" s="1515"/>
      <c r="AK236" s="1515"/>
    </row>
    <row r="237">
      <c r="A237" s="499"/>
      <c r="B237" s="1501"/>
      <c r="C237" s="1502"/>
      <c r="D237" s="1503"/>
      <c r="E237" s="1503"/>
      <c r="F237" s="1504"/>
      <c r="G237" s="1504"/>
      <c r="H237" s="483"/>
      <c r="I237" s="1505"/>
      <c r="J237" s="1506" t="s">
        <v>123</v>
      </c>
      <c r="K237" s="1506"/>
      <c r="L237" s="1506"/>
      <c r="M237" s="1479"/>
      <c r="N237" s="1503"/>
      <c r="O237" s="1503"/>
      <c r="P237" s="1503"/>
      <c r="Q237" s="1503"/>
      <c r="R237" s="1503"/>
      <c r="S237" s="1504"/>
      <c r="T237" s="1504"/>
      <c r="U237" s="483"/>
      <c r="V237" s="1505"/>
      <c r="W237" s="1516" t="s">
        <v>123</v>
      </c>
      <c r="X237" s="1506"/>
      <c r="Y237" s="1506"/>
      <c r="Z237" s="1481"/>
      <c r="AA237" s="499"/>
      <c r="AB237" s="499"/>
      <c r="AC237" s="499"/>
      <c r="AD237" s="499"/>
      <c r="AE237" s="499"/>
      <c r="AF237" s="499"/>
      <c r="AG237" s="499"/>
      <c r="AH237" s="499"/>
      <c r="AI237" s="1483"/>
      <c r="AJ237" s="1515"/>
      <c r="AK237" s="1515"/>
    </row>
    <row r="238">
      <c r="A238" s="499"/>
      <c r="B238" s="1501"/>
      <c r="C238" s="1502"/>
      <c r="D238" s="1503"/>
      <c r="E238" s="1503"/>
      <c r="F238" s="1504"/>
      <c r="G238" s="1504"/>
      <c r="H238" s="483"/>
      <c r="I238" s="1505"/>
      <c r="J238" s="1506" t="s">
        <v>123</v>
      </c>
      <c r="K238" s="1506"/>
      <c r="L238" s="1506"/>
      <c r="M238" s="1479"/>
      <c r="N238" s="1503"/>
      <c r="O238" s="1503"/>
      <c r="P238" s="1503"/>
      <c r="Q238" s="1503"/>
      <c r="R238" s="1503"/>
      <c r="S238" s="1504"/>
      <c r="T238" s="1504"/>
      <c r="U238" s="483"/>
      <c r="V238" s="1505"/>
      <c r="W238" s="1516" t="s">
        <v>123</v>
      </c>
      <c r="X238" s="1506"/>
      <c r="Y238" s="1506"/>
      <c r="Z238" s="1481"/>
      <c r="AA238" s="499"/>
      <c r="AB238" s="499"/>
      <c r="AC238" s="499"/>
      <c r="AD238" s="499"/>
      <c r="AE238" s="499"/>
      <c r="AF238" s="499"/>
      <c r="AG238" s="499"/>
      <c r="AH238" s="499"/>
      <c r="AI238" s="1483"/>
      <c r="AJ238" s="1515"/>
      <c r="AK238" s="1515"/>
    </row>
    <row r="239">
      <c r="A239" s="499"/>
      <c r="B239" s="1501"/>
      <c r="C239" s="1502"/>
      <c r="D239" s="1503"/>
      <c r="E239" s="1503"/>
      <c r="F239" s="1504"/>
      <c r="G239" s="1504"/>
      <c r="H239" s="483"/>
      <c r="I239" s="1505"/>
      <c r="J239" s="1506" t="s">
        <v>123</v>
      </c>
      <c r="K239" s="1506"/>
      <c r="L239" s="1506"/>
      <c r="M239" s="1479"/>
      <c r="N239" s="1503"/>
      <c r="O239" s="1503"/>
      <c r="P239" s="1503"/>
      <c r="Q239" s="1503"/>
      <c r="R239" s="1503"/>
      <c r="S239" s="1504"/>
      <c r="T239" s="1504"/>
      <c r="U239" s="483"/>
      <c r="V239" s="1505"/>
      <c r="W239" s="1516" t="s">
        <v>123</v>
      </c>
      <c r="X239" s="1506"/>
      <c r="Y239" s="1506"/>
      <c r="Z239" s="1481"/>
      <c r="AA239" s="499"/>
      <c r="AB239" s="499"/>
      <c r="AC239" s="499"/>
      <c r="AD239" s="499"/>
      <c r="AE239" s="499"/>
      <c r="AF239" s="499"/>
      <c r="AG239" s="499"/>
      <c r="AH239" s="499"/>
      <c r="AI239" s="1483"/>
      <c r="AJ239" s="1515"/>
      <c r="AK239" s="1515"/>
    </row>
    <row r="240">
      <c r="A240" s="499"/>
      <c r="B240" s="1501"/>
      <c r="C240" s="1502"/>
      <c r="D240" s="1503"/>
      <c r="E240" s="1503"/>
      <c r="F240" s="1504"/>
      <c r="G240" s="1504"/>
      <c r="H240" s="483"/>
      <c r="I240" s="1505"/>
      <c r="J240" s="1506" t="s">
        <v>123</v>
      </c>
      <c r="K240" s="1506"/>
      <c r="L240" s="1506"/>
      <c r="M240" s="1479"/>
      <c r="N240" s="1503"/>
      <c r="O240" s="1503"/>
      <c r="P240" s="1503"/>
      <c r="Q240" s="1503"/>
      <c r="R240" s="1503"/>
      <c r="S240" s="1504"/>
      <c r="T240" s="1504"/>
      <c r="U240" s="483"/>
      <c r="V240" s="1505"/>
      <c r="W240" s="1516" t="s">
        <v>123</v>
      </c>
      <c r="X240" s="1506"/>
      <c r="Y240" s="1506"/>
      <c r="Z240" s="1481"/>
      <c r="AA240" s="499"/>
      <c r="AB240" s="499"/>
      <c r="AC240" s="499"/>
      <c r="AD240" s="499"/>
      <c r="AE240" s="499"/>
      <c r="AF240" s="499"/>
      <c r="AG240" s="499"/>
      <c r="AH240" s="499"/>
      <c r="AI240" s="1483"/>
      <c r="AJ240" s="1515"/>
      <c r="AK240" s="1515"/>
    </row>
    <row r="241">
      <c r="A241" s="499"/>
      <c r="B241" s="1501"/>
      <c r="C241" s="1502"/>
      <c r="D241" s="1503"/>
      <c r="E241" s="1503"/>
      <c r="F241" s="1504"/>
      <c r="G241" s="1504"/>
      <c r="H241" s="483"/>
      <c r="I241" s="1505"/>
      <c r="J241" s="1506" t="s">
        <v>123</v>
      </c>
      <c r="K241" s="1506"/>
      <c r="L241" s="1506"/>
      <c r="M241" s="1479"/>
      <c r="N241" s="1503"/>
      <c r="O241" s="1503"/>
      <c r="P241" s="1503"/>
      <c r="Q241" s="1503"/>
      <c r="R241" s="1503"/>
      <c r="S241" s="1504"/>
      <c r="T241" s="1504"/>
      <c r="U241" s="483"/>
      <c r="V241" s="1505"/>
      <c r="W241" s="1516" t="s">
        <v>123</v>
      </c>
      <c r="X241" s="1506"/>
      <c r="Y241" s="1506"/>
      <c r="Z241" s="1481"/>
      <c r="AA241" s="499"/>
      <c r="AB241" s="499"/>
      <c r="AC241" s="499"/>
      <c r="AD241" s="499"/>
      <c r="AE241" s="499"/>
      <c r="AF241" s="499"/>
      <c r="AG241" s="499"/>
      <c r="AH241" s="499"/>
      <c r="AI241" s="1483"/>
      <c r="AJ241" s="1515"/>
      <c r="AK241" s="1515"/>
    </row>
    <row r="242">
      <c r="A242" s="499"/>
      <c r="B242" s="1501"/>
      <c r="C242" s="1502"/>
      <c r="D242" s="1503"/>
      <c r="E242" s="1503"/>
      <c r="F242" s="1504"/>
      <c r="G242" s="1504"/>
      <c r="H242" s="483"/>
      <c r="I242" s="1505"/>
      <c r="J242" s="1506" t="s">
        <v>123</v>
      </c>
      <c r="K242" s="1506"/>
      <c r="L242" s="1506"/>
      <c r="M242" s="1479"/>
      <c r="N242" s="1503"/>
      <c r="O242" s="1503"/>
      <c r="P242" s="1503"/>
      <c r="Q242" s="1503"/>
      <c r="R242" s="1503"/>
      <c r="S242" s="1504"/>
      <c r="T242" s="1504"/>
      <c r="U242" s="483"/>
      <c r="V242" s="1505"/>
      <c r="W242" s="1516" t="s">
        <v>123</v>
      </c>
      <c r="X242" s="1506"/>
      <c r="Y242" s="1506"/>
      <c r="Z242" s="1481"/>
      <c r="AA242" s="499"/>
      <c r="AB242" s="499"/>
      <c r="AC242" s="499"/>
      <c r="AD242" s="499"/>
      <c r="AE242" s="499"/>
      <c r="AF242" s="499"/>
      <c r="AG242" s="499"/>
      <c r="AH242" s="499"/>
      <c r="AI242" s="1483"/>
      <c r="AJ242" s="1515"/>
      <c r="AK242" s="1515"/>
    </row>
    <row r="243">
      <c r="A243" s="499"/>
      <c r="B243" s="1501"/>
      <c r="C243" s="1502"/>
      <c r="D243" s="1503"/>
      <c r="E243" s="1503"/>
      <c r="F243" s="1504"/>
      <c r="G243" s="1504"/>
      <c r="H243" s="483"/>
      <c r="I243" s="1505"/>
      <c r="J243" s="1516" t="s">
        <v>123</v>
      </c>
      <c r="K243" s="1506"/>
      <c r="L243" s="1506"/>
      <c r="M243" s="1479"/>
      <c r="N243" s="1503"/>
      <c r="O243" s="1503"/>
      <c r="P243" s="1503"/>
      <c r="Q243" s="1503"/>
      <c r="R243" s="1503"/>
      <c r="S243" s="1504"/>
      <c r="T243" s="1504"/>
      <c r="U243" s="483"/>
      <c r="V243" s="1505"/>
      <c r="W243" s="1516" t="s">
        <v>123</v>
      </c>
      <c r="X243" s="1506"/>
      <c r="Y243" s="1506"/>
      <c r="Z243" s="1481"/>
      <c r="AA243" s="499"/>
      <c r="AB243" s="499"/>
      <c r="AC243" s="499"/>
      <c r="AD243" s="499"/>
      <c r="AE243" s="499"/>
      <c r="AF243" s="499"/>
      <c r="AG243" s="499"/>
      <c r="AH243" s="499"/>
      <c r="AI243" s="1483"/>
      <c r="AJ243" s="1515"/>
      <c r="AK243" s="1515"/>
    </row>
    <row r="244">
      <c r="A244" s="499"/>
      <c r="B244" s="1501"/>
      <c r="C244" s="1502"/>
      <c r="D244" s="1503"/>
      <c r="E244" s="1503"/>
      <c r="F244" s="1504"/>
      <c r="G244" s="1504"/>
      <c r="H244" s="483"/>
      <c r="I244" s="1505"/>
      <c r="J244" s="1516" t="s">
        <v>123</v>
      </c>
      <c r="K244" s="1506"/>
      <c r="L244" s="1506"/>
      <c r="M244" s="1479"/>
      <c r="N244" s="1503"/>
      <c r="O244" s="1503"/>
      <c r="P244" s="1503"/>
      <c r="Q244" s="1503"/>
      <c r="R244" s="1503"/>
      <c r="S244" s="1504"/>
      <c r="T244" s="1504"/>
      <c r="U244" s="483"/>
      <c r="V244" s="1505"/>
      <c r="W244" s="1516" t="s">
        <v>123</v>
      </c>
      <c r="X244" s="1506"/>
      <c r="Y244" s="1506"/>
      <c r="Z244" s="1481"/>
      <c r="AA244" s="499"/>
      <c r="AB244" s="499"/>
      <c r="AC244" s="499"/>
      <c r="AD244" s="499"/>
      <c r="AE244" s="499"/>
      <c r="AF244" s="499"/>
      <c r="AG244" s="499"/>
      <c r="AH244" s="499"/>
      <c r="AI244" s="1483"/>
      <c r="AJ244" s="1515"/>
      <c r="AK244" s="1515"/>
    </row>
    <row r="245">
      <c r="A245" s="499"/>
      <c r="B245" s="1501"/>
      <c r="C245" s="1502"/>
      <c r="D245" s="1503"/>
      <c r="E245" s="1503"/>
      <c r="F245" s="1504"/>
      <c r="G245" s="1504"/>
      <c r="H245" s="483"/>
      <c r="I245" s="1505"/>
      <c r="J245" s="1516" t="s">
        <v>123</v>
      </c>
      <c r="K245" s="1506"/>
      <c r="L245" s="1506"/>
      <c r="M245" s="1479"/>
      <c r="N245" s="1503"/>
      <c r="O245" s="1503"/>
      <c r="P245" s="1503"/>
      <c r="Q245" s="1503"/>
      <c r="R245" s="1503"/>
      <c r="S245" s="1504"/>
      <c r="T245" s="1504"/>
      <c r="U245" s="483"/>
      <c r="V245" s="1505"/>
      <c r="W245" s="1516" t="s">
        <v>123</v>
      </c>
      <c r="X245" s="1506"/>
      <c r="Y245" s="1506"/>
      <c r="Z245" s="1481"/>
      <c r="AA245" s="499"/>
      <c r="AB245" s="499"/>
      <c r="AC245" s="499"/>
      <c r="AD245" s="499"/>
      <c r="AE245" s="499"/>
      <c r="AF245" s="499"/>
      <c r="AG245" s="499"/>
      <c r="AH245" s="499"/>
      <c r="AI245" s="1483"/>
      <c r="AJ245" s="1515"/>
      <c r="AK245" s="1515"/>
    </row>
    <row r="246">
      <c r="A246" s="499"/>
      <c r="B246" s="1501"/>
      <c r="C246" s="1502"/>
      <c r="D246" s="1503"/>
      <c r="E246" s="1503"/>
      <c r="F246" s="1504"/>
      <c r="G246" s="1504"/>
      <c r="H246" s="483"/>
      <c r="I246" s="1505"/>
      <c r="J246" s="1516" t="s">
        <v>123</v>
      </c>
      <c r="K246" s="1506"/>
      <c r="L246" s="1506"/>
      <c r="M246" s="1479"/>
      <c r="N246" s="1503"/>
      <c r="O246" s="1503"/>
      <c r="P246" s="1503"/>
      <c r="Q246" s="1503"/>
      <c r="R246" s="1503"/>
      <c r="S246" s="1504"/>
      <c r="T246" s="1504"/>
      <c r="U246" s="483"/>
      <c r="V246" s="1505"/>
      <c r="W246" s="1516" t="s">
        <v>123</v>
      </c>
      <c r="X246" s="1506"/>
      <c r="Y246" s="1506"/>
      <c r="Z246" s="1481"/>
      <c r="AA246" s="499"/>
      <c r="AB246" s="499"/>
      <c r="AC246" s="499"/>
      <c r="AD246" s="499"/>
      <c r="AE246" s="499"/>
      <c r="AF246" s="499"/>
      <c r="AG246" s="499"/>
      <c r="AH246" s="499"/>
      <c r="AI246" s="1483"/>
      <c r="AJ246" s="1515"/>
      <c r="AK246" s="1515"/>
    </row>
    <row r="247">
      <c r="A247" s="499"/>
      <c r="B247" s="1501"/>
      <c r="C247" s="1502"/>
      <c r="D247" s="1503"/>
      <c r="E247" s="1503"/>
      <c r="F247" s="1504"/>
      <c r="G247" s="1504"/>
      <c r="H247" s="483"/>
      <c r="I247" s="1505"/>
      <c r="J247" s="1516" t="s">
        <v>123</v>
      </c>
      <c r="K247" s="1506"/>
      <c r="L247" s="1506"/>
      <c r="M247" s="1479"/>
      <c r="N247" s="1503"/>
      <c r="O247" s="1503"/>
      <c r="P247" s="1503"/>
      <c r="Q247" s="1503"/>
      <c r="R247" s="1503"/>
      <c r="S247" s="1504"/>
      <c r="T247" s="1504"/>
      <c r="U247" s="483"/>
      <c r="V247" s="1505"/>
      <c r="W247" s="1516" t="s">
        <v>123</v>
      </c>
      <c r="X247" s="1506"/>
      <c r="Y247" s="1506"/>
      <c r="Z247" s="1481"/>
      <c r="AA247" s="499"/>
      <c r="AB247" s="499"/>
      <c r="AC247" s="499"/>
      <c r="AD247" s="499"/>
      <c r="AE247" s="499"/>
      <c r="AF247" s="499"/>
      <c r="AG247" s="499"/>
      <c r="AH247" s="499"/>
      <c r="AI247" s="1483"/>
      <c r="AJ247" s="1515"/>
      <c r="AK247" s="1515"/>
    </row>
    <row r="248">
      <c r="A248" s="499"/>
      <c r="B248" s="1501"/>
      <c r="C248" s="1502"/>
      <c r="D248" s="1503"/>
      <c r="E248" s="1503"/>
      <c r="F248" s="1504"/>
      <c r="G248" s="1504"/>
      <c r="H248" s="483"/>
      <c r="I248" s="1505"/>
      <c r="J248" s="1516" t="s">
        <v>123</v>
      </c>
      <c r="K248" s="1506"/>
      <c r="L248" s="1506"/>
      <c r="M248" s="1479"/>
      <c r="N248" s="1503"/>
      <c r="O248" s="1503"/>
      <c r="P248" s="1503"/>
      <c r="Q248" s="1503"/>
      <c r="R248" s="1503"/>
      <c r="S248" s="1504"/>
      <c r="T248" s="1504"/>
      <c r="U248" s="483"/>
      <c r="V248" s="1505"/>
      <c r="W248" s="1516" t="s">
        <v>123</v>
      </c>
      <c r="X248" s="1506"/>
      <c r="Y248" s="1506"/>
      <c r="Z248" s="1481"/>
      <c r="AA248" s="499"/>
      <c r="AB248" s="499"/>
      <c r="AC248" s="499"/>
      <c r="AD248" s="499"/>
      <c r="AE248" s="499"/>
      <c r="AF248" s="499"/>
      <c r="AG248" s="499"/>
      <c r="AH248" s="499"/>
      <c r="AI248" s="1483"/>
      <c r="AJ248" s="1515"/>
      <c r="AK248" s="1515"/>
    </row>
    <row r="249">
      <c r="A249" s="499"/>
      <c r="B249" s="1501"/>
      <c r="C249" s="1502"/>
      <c r="D249" s="1503"/>
      <c r="E249" s="1503"/>
      <c r="F249" s="1504"/>
      <c r="G249" s="1504"/>
      <c r="H249" s="483"/>
      <c r="I249" s="1505"/>
      <c r="J249" s="1516" t="s">
        <v>123</v>
      </c>
      <c r="K249" s="1506"/>
      <c r="L249" s="1506"/>
      <c r="M249" s="1479"/>
      <c r="N249" s="1503"/>
      <c r="O249" s="1503"/>
      <c r="P249" s="1503"/>
      <c r="Q249" s="1503"/>
      <c r="R249" s="1503"/>
      <c r="S249" s="1504"/>
      <c r="T249" s="1504"/>
      <c r="U249" s="483"/>
      <c r="V249" s="1505"/>
      <c r="W249" s="1516" t="s">
        <v>123</v>
      </c>
      <c r="X249" s="1506"/>
      <c r="Y249" s="1506"/>
      <c r="Z249" s="1481"/>
      <c r="AA249" s="499"/>
      <c r="AB249" s="499"/>
      <c r="AC249" s="499"/>
      <c r="AD249" s="499"/>
      <c r="AE249" s="499"/>
      <c r="AF249" s="499"/>
      <c r="AG249" s="499"/>
      <c r="AH249" s="499"/>
      <c r="AI249" s="1483"/>
      <c r="AJ249" s="1515"/>
      <c r="AK249" s="1515"/>
    </row>
    <row r="250">
      <c r="A250" s="499"/>
      <c r="B250" s="1501"/>
      <c r="C250" s="1502"/>
      <c r="D250" s="1503"/>
      <c r="E250" s="1503"/>
      <c r="F250" s="1504"/>
      <c r="G250" s="1504"/>
      <c r="H250" s="483"/>
      <c r="I250" s="1505"/>
      <c r="J250" s="1516" t="s">
        <v>123</v>
      </c>
      <c r="K250" s="1506"/>
      <c r="L250" s="1506"/>
      <c r="M250" s="1479"/>
      <c r="N250" s="1503"/>
      <c r="O250" s="1503"/>
      <c r="P250" s="1503"/>
      <c r="Q250" s="1503"/>
      <c r="R250" s="1503"/>
      <c r="S250" s="1504"/>
      <c r="T250" s="1504"/>
      <c r="U250" s="483"/>
      <c r="V250" s="1505"/>
      <c r="W250" s="1516" t="s">
        <v>123</v>
      </c>
      <c r="X250" s="1506"/>
      <c r="Y250" s="1506"/>
      <c r="Z250" s="1481"/>
      <c r="AA250" s="499"/>
      <c r="AB250" s="499"/>
      <c r="AC250" s="499"/>
      <c r="AD250" s="499"/>
      <c r="AE250" s="499"/>
      <c r="AF250" s="499"/>
      <c r="AG250" s="499"/>
      <c r="AH250" s="499"/>
      <c r="AI250" s="1483"/>
      <c r="AJ250" s="1515"/>
      <c r="AK250" s="1515"/>
    </row>
    <row r="251">
      <c r="A251" s="499"/>
      <c r="B251" s="1501"/>
      <c r="C251" s="1502"/>
      <c r="D251" s="1503"/>
      <c r="E251" s="1503"/>
      <c r="F251" s="1504"/>
      <c r="G251" s="1504"/>
      <c r="H251" s="483"/>
      <c r="I251" s="1505"/>
      <c r="J251" s="1516" t="s">
        <v>123</v>
      </c>
      <c r="K251" s="1506"/>
      <c r="L251" s="1506"/>
      <c r="M251" s="1479"/>
      <c r="N251" s="1503"/>
      <c r="O251" s="1503"/>
      <c r="P251" s="1503"/>
      <c r="Q251" s="1503"/>
      <c r="R251" s="1503"/>
      <c r="S251" s="1504"/>
      <c r="T251" s="1504"/>
      <c r="U251" s="483"/>
      <c r="V251" s="1505"/>
      <c r="W251" s="1516" t="s">
        <v>123</v>
      </c>
      <c r="X251" s="1506"/>
      <c r="Y251" s="1506"/>
      <c r="Z251" s="1481"/>
      <c r="AA251" s="499"/>
      <c r="AB251" s="499"/>
      <c r="AC251" s="499"/>
      <c r="AD251" s="499"/>
      <c r="AE251" s="499"/>
      <c r="AF251" s="499"/>
      <c r="AG251" s="499"/>
      <c r="AH251" s="499"/>
      <c r="AI251" s="1483"/>
      <c r="AJ251" s="1515"/>
      <c r="AK251" s="1515"/>
    </row>
    <row r="252">
      <c r="A252" s="499"/>
      <c r="B252" s="1501"/>
      <c r="C252" s="1502"/>
      <c r="D252" s="1503"/>
      <c r="E252" s="1503"/>
      <c r="F252" s="1504"/>
      <c r="G252" s="1504"/>
      <c r="H252" s="483"/>
      <c r="I252" s="1505"/>
      <c r="J252" s="1516" t="s">
        <v>123</v>
      </c>
      <c r="K252" s="1506"/>
      <c r="L252" s="1506"/>
      <c r="M252" s="1479"/>
      <c r="N252" s="1503"/>
      <c r="O252" s="1503"/>
      <c r="P252" s="1503"/>
      <c r="Q252" s="1503"/>
      <c r="R252" s="1503"/>
      <c r="S252" s="1504"/>
      <c r="T252" s="1504"/>
      <c r="U252" s="483"/>
      <c r="V252" s="1505"/>
      <c r="W252" s="1516" t="s">
        <v>123</v>
      </c>
      <c r="X252" s="1506"/>
      <c r="Y252" s="1506"/>
      <c r="Z252" s="1481"/>
      <c r="AA252" s="499"/>
      <c r="AB252" s="499"/>
      <c r="AC252" s="499"/>
      <c r="AD252" s="499"/>
      <c r="AE252" s="499"/>
      <c r="AF252" s="499"/>
      <c r="AG252" s="499"/>
      <c r="AH252" s="499"/>
      <c r="AI252" s="1483"/>
      <c r="AJ252" s="1515"/>
      <c r="AK252" s="1515"/>
    </row>
    <row r="253">
      <c r="A253" s="499"/>
      <c r="B253" s="1501"/>
      <c r="C253" s="1502"/>
      <c r="D253" s="1503"/>
      <c r="E253" s="1503"/>
      <c r="F253" s="1504"/>
      <c r="G253" s="1504"/>
      <c r="H253" s="483"/>
      <c r="I253" s="1505"/>
      <c r="J253" s="1516" t="s">
        <v>123</v>
      </c>
      <c r="K253" s="1506"/>
      <c r="L253" s="1506"/>
      <c r="M253" s="1479"/>
      <c r="N253" s="1503"/>
      <c r="O253" s="1503"/>
      <c r="P253" s="1503"/>
      <c r="Q253" s="1503"/>
      <c r="R253" s="1503"/>
      <c r="S253" s="1504"/>
      <c r="T253" s="1504"/>
      <c r="U253" s="483"/>
      <c r="V253" s="1505"/>
      <c r="W253" s="1516" t="s">
        <v>123</v>
      </c>
      <c r="X253" s="1506"/>
      <c r="Y253" s="1506"/>
      <c r="Z253" s="1481"/>
      <c r="AA253" s="499"/>
      <c r="AB253" s="499"/>
      <c r="AC253" s="499"/>
      <c r="AD253" s="499"/>
      <c r="AE253" s="499"/>
      <c r="AF253" s="499"/>
      <c r="AG253" s="499"/>
      <c r="AH253" s="499"/>
      <c r="AI253" s="1483"/>
      <c r="AJ253" s="1515"/>
      <c r="AK253" s="1515"/>
    </row>
    <row r="254">
      <c r="A254" s="499"/>
      <c r="B254" s="1501"/>
      <c r="C254" s="1502"/>
      <c r="D254" s="1503"/>
      <c r="E254" s="1503"/>
      <c r="F254" s="1504"/>
      <c r="G254" s="1504"/>
      <c r="H254" s="483"/>
      <c r="I254" s="1505"/>
      <c r="J254" s="1516" t="s">
        <v>123</v>
      </c>
      <c r="K254" s="1506"/>
      <c r="L254" s="1506"/>
      <c r="M254" s="1479"/>
      <c r="N254" s="1503"/>
      <c r="O254" s="1503"/>
      <c r="P254" s="1503"/>
      <c r="Q254" s="1503"/>
      <c r="R254" s="1503"/>
      <c r="S254" s="1504"/>
      <c r="T254" s="1504"/>
      <c r="U254" s="483"/>
      <c r="V254" s="1505"/>
      <c r="W254" s="1516" t="s">
        <v>123</v>
      </c>
      <c r="X254" s="1506"/>
      <c r="Y254" s="1506"/>
      <c r="Z254" s="1481"/>
      <c r="AA254" s="499"/>
      <c r="AB254" s="499"/>
      <c r="AC254" s="499"/>
      <c r="AD254" s="499"/>
      <c r="AE254" s="499"/>
      <c r="AF254" s="499"/>
      <c r="AG254" s="499"/>
      <c r="AH254" s="499"/>
      <c r="AI254" s="1483"/>
      <c r="AJ254" s="1515"/>
      <c r="AK254" s="1515"/>
    </row>
    <row r="255">
      <c r="A255" s="499"/>
      <c r="B255" s="1501"/>
      <c r="C255" s="1502"/>
      <c r="D255" s="1503"/>
      <c r="E255" s="1503"/>
      <c r="F255" s="1504"/>
      <c r="G255" s="1504"/>
      <c r="H255" s="483"/>
      <c r="I255" s="1505"/>
      <c r="J255" s="1516" t="s">
        <v>123</v>
      </c>
      <c r="K255" s="1506"/>
      <c r="L255" s="1506"/>
      <c r="M255" s="1479"/>
      <c r="N255" s="1503"/>
      <c r="O255" s="1503"/>
      <c r="P255" s="1503"/>
      <c r="Q255" s="1503"/>
      <c r="R255" s="1503"/>
      <c r="S255" s="1504"/>
      <c r="T255" s="1504"/>
      <c r="U255" s="483"/>
      <c r="V255" s="1505"/>
      <c r="W255" s="1516" t="s">
        <v>123</v>
      </c>
      <c r="X255" s="1506"/>
      <c r="Y255" s="1506"/>
      <c r="Z255" s="1481"/>
      <c r="AA255" s="499"/>
      <c r="AB255" s="499"/>
      <c r="AC255" s="499"/>
      <c r="AD255" s="499"/>
      <c r="AE255" s="499"/>
      <c r="AF255" s="499"/>
      <c r="AG255" s="499"/>
      <c r="AH255" s="499"/>
      <c r="AI255" s="1483"/>
      <c r="AJ255" s="1515"/>
      <c r="AK255" s="1515"/>
    </row>
    <row r="256">
      <c r="A256" s="499"/>
      <c r="B256" s="1501"/>
      <c r="C256" s="1502"/>
      <c r="D256" s="1503"/>
      <c r="E256" s="1503"/>
      <c r="F256" s="1504"/>
      <c r="G256" s="1504"/>
      <c r="H256" s="483"/>
      <c r="I256" s="1505"/>
      <c r="J256" s="1516" t="s">
        <v>123</v>
      </c>
      <c r="K256" s="1506"/>
      <c r="L256" s="1506"/>
      <c r="M256" s="1479"/>
      <c r="N256" s="1503"/>
      <c r="O256" s="1503"/>
      <c r="P256" s="1503"/>
      <c r="Q256" s="1503"/>
      <c r="R256" s="1503"/>
      <c r="S256" s="1504"/>
      <c r="T256" s="1504"/>
      <c r="U256" s="483"/>
      <c r="V256" s="1505"/>
      <c r="W256" s="1516" t="s">
        <v>123</v>
      </c>
      <c r="X256" s="1506"/>
      <c r="Y256" s="1506"/>
      <c r="Z256" s="1481"/>
      <c r="AA256" s="499"/>
      <c r="AB256" s="499"/>
      <c r="AC256" s="499"/>
      <c r="AD256" s="499"/>
      <c r="AE256" s="499"/>
      <c r="AF256" s="499"/>
      <c r="AG256" s="499"/>
      <c r="AH256" s="499"/>
      <c r="AI256" s="1483"/>
      <c r="AJ256" s="1515"/>
      <c r="AK256" s="1515"/>
    </row>
    <row r="257">
      <c r="A257" s="499"/>
      <c r="B257" s="1501"/>
      <c r="C257" s="1502"/>
      <c r="D257" s="1503"/>
      <c r="E257" s="1503"/>
      <c r="F257" s="1504"/>
      <c r="G257" s="1504"/>
      <c r="H257" s="483"/>
      <c r="I257" s="1505"/>
      <c r="J257" s="1516" t="s">
        <v>123</v>
      </c>
      <c r="K257" s="1506"/>
      <c r="L257" s="1506"/>
      <c r="M257" s="1479"/>
      <c r="N257" s="1503"/>
      <c r="O257" s="1503"/>
      <c r="P257" s="1503"/>
      <c r="Q257" s="1503"/>
      <c r="R257" s="1503"/>
      <c r="S257" s="1504"/>
      <c r="T257" s="1504"/>
      <c r="U257" s="483"/>
      <c r="V257" s="1505"/>
      <c r="W257" s="1516" t="s">
        <v>123</v>
      </c>
      <c r="X257" s="1506"/>
      <c r="Y257" s="1506"/>
      <c r="Z257" s="1481"/>
      <c r="AA257" s="499"/>
      <c r="AB257" s="499"/>
      <c r="AC257" s="499"/>
      <c r="AD257" s="499"/>
      <c r="AE257" s="499"/>
      <c r="AF257" s="499"/>
      <c r="AG257" s="499"/>
      <c r="AH257" s="499"/>
      <c r="AI257" s="1483"/>
      <c r="AJ257" s="1515"/>
      <c r="AK257" s="1515"/>
    </row>
    <row r="258">
      <c r="A258" s="499"/>
      <c r="B258" s="1501"/>
      <c r="C258" s="1502"/>
      <c r="D258" s="1503"/>
      <c r="E258" s="1503"/>
      <c r="F258" s="1504"/>
      <c r="G258" s="1504"/>
      <c r="H258" s="483"/>
      <c r="I258" s="1505"/>
      <c r="J258" s="1516" t="s">
        <v>123</v>
      </c>
      <c r="K258" s="1506"/>
      <c r="L258" s="1506"/>
      <c r="M258" s="1479"/>
      <c r="N258" s="1503"/>
      <c r="O258" s="1503"/>
      <c r="P258" s="1503"/>
      <c r="Q258" s="1503"/>
      <c r="R258" s="1503"/>
      <c r="S258" s="1504"/>
      <c r="T258" s="1504"/>
      <c r="U258" s="483"/>
      <c r="V258" s="1505"/>
      <c r="W258" s="1516" t="s">
        <v>123</v>
      </c>
      <c r="X258" s="1506"/>
      <c r="Y258" s="1506"/>
      <c r="Z258" s="1481"/>
      <c r="AA258" s="499"/>
      <c r="AB258" s="499"/>
      <c r="AC258" s="499"/>
      <c r="AD258" s="499"/>
      <c r="AE258" s="499"/>
      <c r="AF258" s="499"/>
      <c r="AG258" s="499"/>
      <c r="AH258" s="499"/>
      <c r="AI258" s="1483"/>
      <c r="AJ258" s="1515"/>
      <c r="AK258" s="1515"/>
    </row>
    <row r="259">
      <c r="A259" s="499"/>
      <c r="B259" s="1501"/>
      <c r="C259" s="1502"/>
      <c r="D259" s="1503"/>
      <c r="E259" s="1503"/>
      <c r="F259" s="1504"/>
      <c r="G259" s="1504"/>
      <c r="H259" s="483"/>
      <c r="I259" s="1505"/>
      <c r="J259" s="1516" t="s">
        <v>123</v>
      </c>
      <c r="K259" s="1506"/>
      <c r="L259" s="1506"/>
      <c r="M259" s="1479"/>
      <c r="N259" s="1503"/>
      <c r="O259" s="1503"/>
      <c r="P259" s="1503"/>
      <c r="Q259" s="1503"/>
      <c r="R259" s="1503"/>
      <c r="S259" s="1504"/>
      <c r="T259" s="1504"/>
      <c r="U259" s="483"/>
      <c r="V259" s="1505"/>
      <c r="W259" s="1516" t="s">
        <v>123</v>
      </c>
      <c r="X259" s="1506"/>
      <c r="Y259" s="1506"/>
      <c r="Z259" s="1481"/>
      <c r="AA259" s="499"/>
      <c r="AB259" s="499"/>
      <c r="AC259" s="499"/>
      <c r="AD259" s="499"/>
      <c r="AE259" s="499"/>
      <c r="AF259" s="499"/>
      <c r="AG259" s="499"/>
      <c r="AH259" s="499"/>
      <c r="AI259" s="1483"/>
      <c r="AJ259" s="1515"/>
      <c r="AK259" s="1515"/>
    </row>
    <row r="260">
      <c r="A260" s="499"/>
      <c r="B260" s="1501"/>
      <c r="C260" s="1502"/>
      <c r="D260" s="1503"/>
      <c r="E260" s="1503"/>
      <c r="F260" s="1504"/>
      <c r="G260" s="1504"/>
      <c r="H260" s="483"/>
      <c r="I260" s="1505"/>
      <c r="J260" s="1516" t="s">
        <v>123</v>
      </c>
      <c r="K260" s="1506"/>
      <c r="L260" s="1506"/>
      <c r="M260" s="1479"/>
      <c r="N260" s="1503"/>
      <c r="O260" s="1503"/>
      <c r="P260" s="1503"/>
      <c r="Q260" s="1503"/>
      <c r="R260" s="1503"/>
      <c r="S260" s="1504"/>
      <c r="T260" s="1504"/>
      <c r="U260" s="483"/>
      <c r="V260" s="1505"/>
      <c r="W260" s="1516" t="s">
        <v>123</v>
      </c>
      <c r="X260" s="1506"/>
      <c r="Y260" s="1506"/>
      <c r="Z260" s="1481"/>
      <c r="AA260" s="499"/>
      <c r="AB260" s="499"/>
      <c r="AC260" s="499"/>
      <c r="AD260" s="499"/>
      <c r="AE260" s="499"/>
      <c r="AF260" s="499"/>
      <c r="AG260" s="499"/>
      <c r="AH260" s="499"/>
      <c r="AI260" s="1483"/>
      <c r="AJ260" s="1515"/>
      <c r="AK260" s="1515"/>
    </row>
    <row r="261">
      <c r="A261" s="499"/>
      <c r="B261" s="1501"/>
      <c r="C261" s="1502"/>
      <c r="D261" s="1503"/>
      <c r="E261" s="1503"/>
      <c r="F261" s="1504"/>
      <c r="G261" s="1504"/>
      <c r="H261" s="483"/>
      <c r="I261" s="1505"/>
      <c r="J261" s="1516" t="s">
        <v>123</v>
      </c>
      <c r="K261" s="1506"/>
      <c r="L261" s="1506"/>
      <c r="M261" s="1479"/>
      <c r="N261" s="1503"/>
      <c r="O261" s="1503"/>
      <c r="P261" s="1503"/>
      <c r="Q261" s="1503"/>
      <c r="R261" s="1503"/>
      <c r="S261" s="1504"/>
      <c r="T261" s="1504"/>
      <c r="U261" s="483"/>
      <c r="V261" s="1505"/>
      <c r="W261" s="1516" t="s">
        <v>123</v>
      </c>
      <c r="X261" s="1506"/>
      <c r="Y261" s="1506"/>
      <c r="Z261" s="1481"/>
      <c r="AA261" s="499"/>
      <c r="AB261" s="499"/>
      <c r="AC261" s="499"/>
      <c r="AD261" s="499"/>
      <c r="AE261" s="499"/>
      <c r="AF261" s="499"/>
      <c r="AG261" s="499"/>
      <c r="AH261" s="499"/>
      <c r="AI261" s="1483"/>
      <c r="AJ261" s="1515"/>
      <c r="AK261" s="1515"/>
    </row>
    <row r="262">
      <c r="A262" s="499"/>
      <c r="B262" s="1501"/>
      <c r="C262" s="1502"/>
      <c r="D262" s="1503"/>
      <c r="E262" s="1503"/>
      <c r="F262" s="1504"/>
      <c r="G262" s="1504"/>
      <c r="H262" s="483"/>
      <c r="I262" s="1505"/>
      <c r="J262" s="1516" t="s">
        <v>123</v>
      </c>
      <c r="K262" s="1506"/>
      <c r="L262" s="1506"/>
      <c r="M262" s="1479"/>
      <c r="N262" s="1503"/>
      <c r="O262" s="1503"/>
      <c r="P262" s="1503"/>
      <c r="Q262" s="1503"/>
      <c r="R262" s="1503"/>
      <c r="S262" s="1504"/>
      <c r="T262" s="1504"/>
      <c r="U262" s="483"/>
      <c r="V262" s="1505"/>
      <c r="W262" s="1516" t="s">
        <v>123</v>
      </c>
      <c r="X262" s="1506"/>
      <c r="Y262" s="1506"/>
      <c r="Z262" s="1481"/>
      <c r="AA262" s="499"/>
      <c r="AB262" s="499"/>
      <c r="AC262" s="499"/>
      <c r="AD262" s="499"/>
      <c r="AE262" s="499"/>
      <c r="AF262" s="499"/>
      <c r="AG262" s="499"/>
      <c r="AH262" s="499"/>
      <c r="AI262" s="1483"/>
      <c r="AJ262" s="1515"/>
      <c r="AK262" s="1515"/>
    </row>
    <row r="263">
      <c r="A263" s="499"/>
      <c r="B263" s="1501"/>
      <c r="C263" s="1502"/>
      <c r="D263" s="1503"/>
      <c r="E263" s="1503"/>
      <c r="F263" s="1504"/>
      <c r="G263" s="1504"/>
      <c r="H263" s="483"/>
      <c r="I263" s="1505"/>
      <c r="J263" s="1516" t="s">
        <v>123</v>
      </c>
      <c r="K263" s="1506"/>
      <c r="L263" s="1506"/>
      <c r="M263" s="1479"/>
      <c r="N263" s="1503"/>
      <c r="O263" s="1503"/>
      <c r="P263" s="1503"/>
      <c r="Q263" s="1503"/>
      <c r="R263" s="1503"/>
      <c r="S263" s="1504"/>
      <c r="T263" s="1504"/>
      <c r="U263" s="483"/>
      <c r="V263" s="1505"/>
      <c r="W263" s="1516" t="s">
        <v>123</v>
      </c>
      <c r="X263" s="1506"/>
      <c r="Y263" s="1506"/>
      <c r="Z263" s="1481"/>
      <c r="AA263" s="499"/>
      <c r="AB263" s="499"/>
      <c r="AC263" s="499"/>
      <c r="AD263" s="499"/>
      <c r="AE263" s="499"/>
      <c r="AF263" s="499"/>
      <c r="AG263" s="499"/>
      <c r="AH263" s="499"/>
      <c r="AI263" s="1483"/>
      <c r="AJ263" s="1515"/>
      <c r="AK263" s="1515"/>
    </row>
    <row r="264">
      <c r="A264" s="499"/>
      <c r="B264" s="1501"/>
      <c r="C264" s="1502"/>
      <c r="D264" s="1503"/>
      <c r="E264" s="1503"/>
      <c r="F264" s="1504"/>
      <c r="G264" s="1504"/>
      <c r="H264" s="483"/>
      <c r="I264" s="1505"/>
      <c r="J264" s="1516" t="s">
        <v>123</v>
      </c>
      <c r="K264" s="1506"/>
      <c r="L264" s="1506"/>
      <c r="M264" s="1479"/>
      <c r="N264" s="1503"/>
      <c r="O264" s="1503"/>
      <c r="P264" s="1503"/>
      <c r="Q264" s="1503"/>
      <c r="R264" s="1503"/>
      <c r="S264" s="1504"/>
      <c r="T264" s="1504"/>
      <c r="U264" s="483"/>
      <c r="V264" s="1505"/>
      <c r="W264" s="1516" t="s">
        <v>123</v>
      </c>
      <c r="X264" s="1506"/>
      <c r="Y264" s="1506"/>
      <c r="Z264" s="1481"/>
      <c r="AA264" s="499"/>
      <c r="AB264" s="499"/>
      <c r="AC264" s="499"/>
      <c r="AD264" s="499"/>
      <c r="AE264" s="499"/>
      <c r="AF264" s="499"/>
      <c r="AG264" s="499"/>
      <c r="AH264" s="499"/>
      <c r="AI264" s="1483"/>
      <c r="AJ264" s="1515"/>
      <c r="AK264" s="1515"/>
    </row>
    <row r="265">
      <c r="A265" s="499"/>
      <c r="B265" s="1501"/>
      <c r="C265" s="1502"/>
      <c r="D265" s="1503"/>
      <c r="E265" s="1503"/>
      <c r="F265" s="1504"/>
      <c r="G265" s="1504"/>
      <c r="H265" s="483"/>
      <c r="I265" s="1505"/>
      <c r="J265" s="1516" t="s">
        <v>123</v>
      </c>
      <c r="K265" s="1506"/>
      <c r="L265" s="1506"/>
      <c r="M265" s="1479"/>
      <c r="N265" s="1503"/>
      <c r="O265" s="1503"/>
      <c r="P265" s="1503"/>
      <c r="Q265" s="1503"/>
      <c r="R265" s="1503"/>
      <c r="S265" s="1504"/>
      <c r="T265" s="1504"/>
      <c r="U265" s="483"/>
      <c r="V265" s="1505"/>
      <c r="W265" s="1516" t="s">
        <v>123</v>
      </c>
      <c r="X265" s="1506"/>
      <c r="Y265" s="1506"/>
      <c r="Z265" s="1481"/>
      <c r="AA265" s="499"/>
      <c r="AB265" s="499"/>
      <c r="AC265" s="499"/>
      <c r="AD265" s="499"/>
      <c r="AE265" s="499"/>
      <c r="AF265" s="499"/>
      <c r="AG265" s="499"/>
      <c r="AH265" s="499"/>
      <c r="AI265" s="1483"/>
      <c r="AJ265" s="1515"/>
      <c r="AK265" s="1515"/>
    </row>
    <row r="266">
      <c r="A266" s="499"/>
      <c r="B266" s="1501"/>
      <c r="C266" s="1502"/>
      <c r="D266" s="1503"/>
      <c r="E266" s="1503"/>
      <c r="F266" s="1504"/>
      <c r="G266" s="1504"/>
      <c r="H266" s="483"/>
      <c r="I266" s="1505"/>
      <c r="J266" s="1516" t="s">
        <v>123</v>
      </c>
      <c r="K266" s="1506"/>
      <c r="L266" s="1506"/>
      <c r="M266" s="1479"/>
      <c r="N266" s="1503"/>
      <c r="O266" s="1503"/>
      <c r="P266" s="1503"/>
      <c r="Q266" s="1503"/>
      <c r="R266" s="1503"/>
      <c r="S266" s="1504"/>
      <c r="T266" s="1504"/>
      <c r="U266" s="483"/>
      <c r="V266" s="1505"/>
      <c r="W266" s="1516" t="s">
        <v>123</v>
      </c>
      <c r="X266" s="1506"/>
      <c r="Y266" s="1506"/>
      <c r="Z266" s="1481"/>
      <c r="AA266" s="499"/>
      <c r="AB266" s="499"/>
      <c r="AC266" s="499"/>
      <c r="AD266" s="499"/>
      <c r="AE266" s="499"/>
      <c r="AF266" s="499"/>
      <c r="AG266" s="499"/>
      <c r="AH266" s="499"/>
      <c r="AI266" s="1483"/>
      <c r="AJ266" s="1515"/>
      <c r="AK266" s="1515"/>
    </row>
    <row r="267">
      <c r="A267" s="499"/>
      <c r="B267" s="1501"/>
      <c r="C267" s="1502"/>
      <c r="D267" s="1503"/>
      <c r="E267" s="1503"/>
      <c r="F267" s="1504"/>
      <c r="G267" s="1504"/>
      <c r="H267" s="483"/>
      <c r="I267" s="1505"/>
      <c r="J267" s="1516" t="s">
        <v>123</v>
      </c>
      <c r="K267" s="1506"/>
      <c r="L267" s="1506"/>
      <c r="M267" s="1479"/>
      <c r="N267" s="1503"/>
      <c r="O267" s="1503"/>
      <c r="P267" s="1503"/>
      <c r="Q267" s="1503"/>
      <c r="R267" s="1503"/>
      <c r="S267" s="1504"/>
      <c r="T267" s="1504"/>
      <c r="U267" s="483"/>
      <c r="V267" s="1505"/>
      <c r="W267" s="1516" t="s">
        <v>123</v>
      </c>
      <c r="X267" s="1506"/>
      <c r="Y267" s="1506"/>
      <c r="Z267" s="1481"/>
      <c r="AA267" s="499"/>
      <c r="AB267" s="499"/>
      <c r="AC267" s="499"/>
      <c r="AD267" s="499"/>
      <c r="AE267" s="499"/>
      <c r="AF267" s="499"/>
      <c r="AG267" s="499"/>
      <c r="AH267" s="499"/>
      <c r="AI267" s="1483"/>
      <c r="AJ267" s="1515"/>
      <c r="AK267" s="1515"/>
    </row>
    <row r="268">
      <c r="A268" s="499"/>
      <c r="B268" s="1501"/>
      <c r="C268" s="1502"/>
      <c r="D268" s="1503"/>
      <c r="E268" s="1503"/>
      <c r="F268" s="1504"/>
      <c r="G268" s="1504"/>
      <c r="H268" s="483"/>
      <c r="I268" s="1505"/>
      <c r="J268" s="1516" t="s">
        <v>123</v>
      </c>
      <c r="K268" s="1506"/>
      <c r="L268" s="1506"/>
      <c r="M268" s="1479"/>
      <c r="N268" s="1503"/>
      <c r="O268" s="1503"/>
      <c r="P268" s="1503"/>
      <c r="Q268" s="1503"/>
      <c r="R268" s="1503"/>
      <c r="S268" s="1504"/>
      <c r="T268" s="1504"/>
      <c r="U268" s="483"/>
      <c r="V268" s="1505"/>
      <c r="W268" s="1516" t="s">
        <v>123</v>
      </c>
      <c r="X268" s="1506"/>
      <c r="Y268" s="1506"/>
      <c r="Z268" s="1481"/>
      <c r="AA268" s="499"/>
      <c r="AB268" s="499"/>
      <c r="AC268" s="499"/>
      <c r="AD268" s="499"/>
      <c r="AE268" s="499"/>
      <c r="AF268" s="499"/>
      <c r="AG268" s="499"/>
      <c r="AH268" s="499"/>
      <c r="AI268" s="1483"/>
      <c r="AJ268" s="1515"/>
      <c r="AK268" s="1515"/>
    </row>
    <row r="269">
      <c r="A269" s="499"/>
      <c r="B269" s="1501"/>
      <c r="C269" s="1502"/>
      <c r="D269" s="1503"/>
      <c r="E269" s="1503"/>
      <c r="F269" s="1504"/>
      <c r="G269" s="1504"/>
      <c r="H269" s="483"/>
      <c r="I269" s="1505"/>
      <c r="J269" s="1516" t="s">
        <v>123</v>
      </c>
      <c r="K269" s="1506"/>
      <c r="L269" s="1506"/>
      <c r="M269" s="1479"/>
      <c r="N269" s="1503"/>
      <c r="O269" s="1503"/>
      <c r="P269" s="1503"/>
      <c r="Q269" s="1503"/>
      <c r="R269" s="1503"/>
      <c r="S269" s="1504"/>
      <c r="T269" s="1504"/>
      <c r="U269" s="483"/>
      <c r="V269" s="1505"/>
      <c r="W269" s="1516" t="s">
        <v>123</v>
      </c>
      <c r="X269" s="1506"/>
      <c r="Y269" s="1506"/>
      <c r="Z269" s="1481"/>
      <c r="AA269" s="499"/>
      <c r="AB269" s="499"/>
      <c r="AC269" s="499"/>
      <c r="AD269" s="499"/>
      <c r="AE269" s="499"/>
      <c r="AF269" s="499"/>
      <c r="AG269" s="499"/>
      <c r="AH269" s="499"/>
      <c r="AI269" s="1483"/>
      <c r="AJ269" s="1515"/>
      <c r="AK269" s="1515"/>
    </row>
    <row r="270">
      <c r="A270" s="499"/>
      <c r="B270" s="1501"/>
      <c r="C270" s="1502"/>
      <c r="D270" s="1503"/>
      <c r="E270" s="1503"/>
      <c r="F270" s="1504"/>
      <c r="G270" s="1504"/>
      <c r="H270" s="483"/>
      <c r="I270" s="1505"/>
      <c r="J270" s="1516" t="s">
        <v>123</v>
      </c>
      <c r="K270" s="1506"/>
      <c r="L270" s="1506"/>
      <c r="M270" s="1479"/>
      <c r="N270" s="1503"/>
      <c r="O270" s="1503"/>
      <c r="P270" s="1503"/>
      <c r="Q270" s="1503"/>
      <c r="R270" s="1503"/>
      <c r="S270" s="1504"/>
      <c r="T270" s="1504"/>
      <c r="U270" s="483"/>
      <c r="V270" s="1505"/>
      <c r="W270" s="1516" t="s">
        <v>123</v>
      </c>
      <c r="X270" s="1506"/>
      <c r="Y270" s="1506"/>
      <c r="Z270" s="1481"/>
      <c r="AA270" s="499"/>
      <c r="AB270" s="499"/>
      <c r="AC270" s="499"/>
      <c r="AD270" s="499"/>
      <c r="AE270" s="499"/>
      <c r="AF270" s="499"/>
      <c r="AG270" s="499"/>
      <c r="AH270" s="499"/>
      <c r="AI270" s="1483"/>
      <c r="AJ270" s="1515"/>
      <c r="AK270" s="1515"/>
    </row>
    <row r="271">
      <c r="A271" s="499"/>
      <c r="B271" s="1501"/>
      <c r="C271" s="1502"/>
      <c r="D271" s="1503"/>
      <c r="E271" s="1503"/>
      <c r="F271" s="1504"/>
      <c r="G271" s="1504"/>
      <c r="H271" s="483"/>
      <c r="I271" s="1505"/>
      <c r="J271" s="1516" t="s">
        <v>123</v>
      </c>
      <c r="K271" s="1506"/>
      <c r="L271" s="1506"/>
      <c r="M271" s="1479"/>
      <c r="N271" s="1503"/>
      <c r="O271" s="1503"/>
      <c r="P271" s="1503"/>
      <c r="Q271" s="1503"/>
      <c r="R271" s="1503"/>
      <c r="S271" s="1504"/>
      <c r="T271" s="1504"/>
      <c r="U271" s="483"/>
      <c r="V271" s="1505"/>
      <c r="W271" s="1516" t="s">
        <v>123</v>
      </c>
      <c r="X271" s="1506"/>
      <c r="Y271" s="1506"/>
      <c r="Z271" s="1481"/>
      <c r="AA271" s="499"/>
      <c r="AB271" s="499"/>
      <c r="AC271" s="499"/>
      <c r="AD271" s="499"/>
      <c r="AE271" s="499"/>
      <c r="AF271" s="499"/>
      <c r="AG271" s="499"/>
      <c r="AH271" s="499"/>
      <c r="AI271" s="1483"/>
      <c r="AJ271" s="1515"/>
      <c r="AK271" s="1515"/>
    </row>
    <row r="272">
      <c r="A272" s="499"/>
      <c r="B272" s="1501"/>
      <c r="C272" s="1502"/>
      <c r="D272" s="1503"/>
      <c r="E272" s="1503"/>
      <c r="F272" s="1504"/>
      <c r="G272" s="1504"/>
      <c r="H272" s="483"/>
      <c r="I272" s="1505"/>
      <c r="J272" s="1516" t="s">
        <v>123</v>
      </c>
      <c r="K272" s="1506"/>
      <c r="L272" s="1506"/>
      <c r="M272" s="1479"/>
      <c r="N272" s="1503"/>
      <c r="O272" s="1503"/>
      <c r="P272" s="1503"/>
      <c r="Q272" s="1503"/>
      <c r="R272" s="1503"/>
      <c r="S272" s="1504"/>
      <c r="T272" s="1504"/>
      <c r="U272" s="483"/>
      <c r="V272" s="1505"/>
      <c r="W272" s="1516" t="s">
        <v>123</v>
      </c>
      <c r="X272" s="1506"/>
      <c r="Y272" s="1506"/>
      <c r="Z272" s="1481"/>
      <c r="AA272" s="499"/>
      <c r="AB272" s="499"/>
      <c r="AC272" s="499"/>
      <c r="AD272" s="499"/>
      <c r="AE272" s="499"/>
      <c r="AF272" s="499"/>
      <c r="AG272" s="499"/>
      <c r="AH272" s="499"/>
      <c r="AI272" s="1483"/>
      <c r="AJ272" s="1515"/>
      <c r="AK272" s="1515"/>
    </row>
    <row r="273">
      <c r="A273" s="499"/>
      <c r="B273" s="1501"/>
      <c r="C273" s="1502"/>
      <c r="D273" s="1503"/>
      <c r="E273" s="1503"/>
      <c r="F273" s="1504"/>
      <c r="G273" s="1504"/>
      <c r="H273" s="483"/>
      <c r="I273" s="1505"/>
      <c r="J273" s="1516" t="s">
        <v>123</v>
      </c>
      <c r="K273" s="1506"/>
      <c r="L273" s="1506"/>
      <c r="M273" s="1479"/>
      <c r="N273" s="1503"/>
      <c r="O273" s="1503"/>
      <c r="P273" s="1503"/>
      <c r="Q273" s="1503"/>
      <c r="R273" s="1503"/>
      <c r="S273" s="1504"/>
      <c r="T273" s="1504"/>
      <c r="U273" s="483"/>
      <c r="V273" s="1505"/>
      <c r="W273" s="1516" t="s">
        <v>123</v>
      </c>
      <c r="X273" s="1506"/>
      <c r="Y273" s="1506"/>
      <c r="Z273" s="1481"/>
      <c r="AA273" s="499"/>
      <c r="AB273" s="499"/>
      <c r="AC273" s="499"/>
      <c r="AD273" s="499"/>
      <c r="AE273" s="499"/>
      <c r="AF273" s="499"/>
      <c r="AG273" s="499"/>
      <c r="AH273" s="499"/>
      <c r="AI273" s="1483"/>
      <c r="AJ273" s="1515"/>
      <c r="AK273" s="1515"/>
    </row>
    <row r="274">
      <c r="A274" s="499"/>
      <c r="B274" s="1501"/>
      <c r="C274" s="1502"/>
      <c r="D274" s="1503"/>
      <c r="E274" s="1503"/>
      <c r="F274" s="1504"/>
      <c r="G274" s="1504"/>
      <c r="H274" s="483"/>
      <c r="I274" s="1505"/>
      <c r="J274" s="1516" t="s">
        <v>123</v>
      </c>
      <c r="K274" s="1506"/>
      <c r="L274" s="1506"/>
      <c r="M274" s="1479"/>
      <c r="N274" s="1503"/>
      <c r="O274" s="1503"/>
      <c r="P274" s="1503"/>
      <c r="Q274" s="1503"/>
      <c r="R274" s="1503"/>
      <c r="S274" s="1504"/>
      <c r="T274" s="1504"/>
      <c r="U274" s="483"/>
      <c r="V274" s="1505"/>
      <c r="W274" s="1516" t="s">
        <v>123</v>
      </c>
      <c r="X274" s="1506"/>
      <c r="Y274" s="1506"/>
      <c r="Z274" s="1481"/>
      <c r="AA274" s="499"/>
      <c r="AB274" s="499"/>
      <c r="AC274" s="499"/>
      <c r="AD274" s="499"/>
      <c r="AE274" s="499"/>
      <c r="AF274" s="499"/>
      <c r="AG274" s="499"/>
      <c r="AH274" s="499"/>
      <c r="AI274" s="1483"/>
      <c r="AJ274" s="1515"/>
      <c r="AK274" s="1515"/>
    </row>
    <row r="275">
      <c r="A275" s="499"/>
      <c r="B275" s="1501"/>
      <c r="C275" s="1502"/>
      <c r="D275" s="1503"/>
      <c r="E275" s="1503"/>
      <c r="F275" s="1504"/>
      <c r="G275" s="1504"/>
      <c r="H275" s="483"/>
      <c r="I275" s="1505"/>
      <c r="J275" s="1516" t="s">
        <v>123</v>
      </c>
      <c r="K275" s="1506"/>
      <c r="L275" s="1506"/>
      <c r="M275" s="1479"/>
      <c r="N275" s="1503"/>
      <c r="O275" s="1503"/>
      <c r="P275" s="1503"/>
      <c r="Q275" s="1503"/>
      <c r="R275" s="1503"/>
      <c r="S275" s="1504"/>
      <c r="T275" s="1504"/>
      <c r="U275" s="483"/>
      <c r="V275" s="1505"/>
      <c r="W275" s="1516" t="s">
        <v>123</v>
      </c>
      <c r="X275" s="1506"/>
      <c r="Y275" s="1506"/>
      <c r="Z275" s="1481"/>
      <c r="AA275" s="499"/>
      <c r="AB275" s="499"/>
      <c r="AC275" s="499"/>
      <c r="AD275" s="499"/>
      <c r="AE275" s="499"/>
      <c r="AF275" s="499"/>
      <c r="AG275" s="499"/>
      <c r="AH275" s="499"/>
      <c r="AI275" s="1483"/>
      <c r="AJ275" s="1515"/>
      <c r="AK275" s="1515"/>
    </row>
    <row r="276">
      <c r="A276" s="499"/>
      <c r="B276" s="1501"/>
      <c r="C276" s="1502"/>
      <c r="D276" s="1503"/>
      <c r="E276" s="1503"/>
      <c r="F276" s="1504"/>
      <c r="G276" s="1504"/>
      <c r="H276" s="483"/>
      <c r="I276" s="1505"/>
      <c r="J276" s="1516" t="s">
        <v>123</v>
      </c>
      <c r="K276" s="1506"/>
      <c r="L276" s="1506"/>
      <c r="M276" s="1479"/>
      <c r="N276" s="1503"/>
      <c r="O276" s="1503"/>
      <c r="P276" s="1503"/>
      <c r="Q276" s="1503"/>
      <c r="R276" s="1503"/>
      <c r="S276" s="1504"/>
      <c r="T276" s="1504"/>
      <c r="U276" s="483"/>
      <c r="V276" s="1505"/>
      <c r="W276" s="1516" t="s">
        <v>123</v>
      </c>
      <c r="X276" s="1506"/>
      <c r="Y276" s="1506"/>
      <c r="Z276" s="1481"/>
      <c r="AA276" s="499"/>
      <c r="AB276" s="499"/>
      <c r="AC276" s="499"/>
      <c r="AD276" s="499"/>
      <c r="AE276" s="499"/>
      <c r="AF276" s="499"/>
      <c r="AG276" s="499"/>
      <c r="AH276" s="499"/>
      <c r="AI276" s="1483"/>
      <c r="AJ276" s="1515"/>
      <c r="AK276" s="1515"/>
    </row>
    <row r="277">
      <c r="A277" s="499"/>
      <c r="B277" s="1501"/>
      <c r="C277" s="1502"/>
      <c r="D277" s="1503"/>
      <c r="E277" s="1503"/>
      <c r="F277" s="1504"/>
      <c r="G277" s="1504"/>
      <c r="H277" s="483"/>
      <c r="I277" s="1505"/>
      <c r="J277" s="1516" t="s">
        <v>123</v>
      </c>
      <c r="K277" s="1506"/>
      <c r="L277" s="1506"/>
      <c r="M277" s="1479"/>
      <c r="N277" s="1503"/>
      <c r="O277" s="1503"/>
      <c r="P277" s="1503"/>
      <c r="Q277" s="1503"/>
      <c r="R277" s="1503"/>
      <c r="S277" s="1504"/>
      <c r="T277" s="1504"/>
      <c r="U277" s="483"/>
      <c r="V277" s="1505"/>
      <c r="W277" s="1516" t="s">
        <v>123</v>
      </c>
      <c r="X277" s="1506"/>
      <c r="Y277" s="1506"/>
      <c r="Z277" s="1481"/>
      <c r="AA277" s="499"/>
      <c r="AB277" s="499"/>
      <c r="AC277" s="499"/>
      <c r="AD277" s="499"/>
      <c r="AE277" s="499"/>
      <c r="AF277" s="499"/>
      <c r="AG277" s="499"/>
      <c r="AH277" s="499"/>
      <c r="AI277" s="1483"/>
      <c r="AJ277" s="1515"/>
      <c r="AK277" s="1515"/>
    </row>
    <row r="278">
      <c r="A278" s="499"/>
      <c r="B278" s="1501"/>
      <c r="C278" s="1502"/>
      <c r="D278" s="1503"/>
      <c r="E278" s="1503"/>
      <c r="F278" s="1504"/>
      <c r="G278" s="1504"/>
      <c r="H278" s="483"/>
      <c r="I278" s="1505"/>
      <c r="J278" s="1516" t="s">
        <v>123</v>
      </c>
      <c r="K278" s="1506"/>
      <c r="L278" s="1506"/>
      <c r="M278" s="1479"/>
      <c r="N278" s="1503"/>
      <c r="O278" s="1503"/>
      <c r="P278" s="1503"/>
      <c r="Q278" s="1503"/>
      <c r="R278" s="1503"/>
      <c r="S278" s="1504"/>
      <c r="T278" s="1504"/>
      <c r="U278" s="483"/>
      <c r="V278" s="1505"/>
      <c r="W278" s="1516" t="s">
        <v>123</v>
      </c>
      <c r="X278" s="1506"/>
      <c r="Y278" s="1506"/>
      <c r="Z278" s="1481"/>
      <c r="AA278" s="499"/>
      <c r="AB278" s="499"/>
      <c r="AC278" s="499"/>
      <c r="AD278" s="499"/>
      <c r="AE278" s="499"/>
      <c r="AF278" s="499"/>
      <c r="AG278" s="499"/>
      <c r="AH278" s="499"/>
      <c r="AI278" s="1483"/>
      <c r="AJ278" s="1515"/>
      <c r="AK278" s="1515"/>
    </row>
    <row r="279">
      <c r="A279" s="499"/>
      <c r="B279" s="1501"/>
      <c r="C279" s="1502"/>
      <c r="D279" s="1503"/>
      <c r="E279" s="1503"/>
      <c r="F279" s="1504"/>
      <c r="G279" s="1504"/>
      <c r="H279" s="483"/>
      <c r="I279" s="1505"/>
      <c r="J279" s="1516" t="s">
        <v>123</v>
      </c>
      <c r="K279" s="1506"/>
      <c r="L279" s="1506"/>
      <c r="M279" s="1479"/>
      <c r="N279" s="1503"/>
      <c r="O279" s="1503"/>
      <c r="P279" s="1503"/>
      <c r="Q279" s="1503"/>
      <c r="R279" s="1503"/>
      <c r="S279" s="1504"/>
      <c r="T279" s="1504"/>
      <c r="U279" s="483"/>
      <c r="V279" s="1505"/>
      <c r="W279" s="1516" t="s">
        <v>123</v>
      </c>
      <c r="X279" s="1506"/>
      <c r="Y279" s="1506"/>
      <c r="Z279" s="1481"/>
      <c r="AA279" s="499"/>
      <c r="AB279" s="499"/>
      <c r="AC279" s="499"/>
      <c r="AD279" s="499"/>
      <c r="AE279" s="499"/>
      <c r="AF279" s="499"/>
      <c r="AG279" s="499"/>
      <c r="AH279" s="499"/>
      <c r="AI279" s="1483"/>
      <c r="AJ279" s="1515"/>
      <c r="AK279" s="1515"/>
    </row>
    <row r="280">
      <c r="A280" s="499"/>
      <c r="B280" s="1501"/>
      <c r="C280" s="1502"/>
      <c r="D280" s="1503"/>
      <c r="E280" s="1503"/>
      <c r="F280" s="1504"/>
      <c r="G280" s="1504"/>
      <c r="H280" s="483"/>
      <c r="I280" s="1505"/>
      <c r="J280" s="1516" t="s">
        <v>123</v>
      </c>
      <c r="K280" s="1506"/>
      <c r="L280" s="1506"/>
      <c r="M280" s="1479"/>
      <c r="N280" s="1503"/>
      <c r="O280" s="1503"/>
      <c r="P280" s="1503"/>
      <c r="Q280" s="1503"/>
      <c r="R280" s="1503"/>
      <c r="S280" s="1504"/>
      <c r="T280" s="1504"/>
      <c r="U280" s="483"/>
      <c r="V280" s="1505"/>
      <c r="W280" s="1516" t="s">
        <v>123</v>
      </c>
      <c r="X280" s="1506"/>
      <c r="Y280" s="1506"/>
      <c r="Z280" s="1481"/>
      <c r="AA280" s="499"/>
      <c r="AB280" s="499"/>
      <c r="AC280" s="499"/>
      <c r="AD280" s="499"/>
      <c r="AE280" s="499"/>
      <c r="AF280" s="499"/>
      <c r="AG280" s="499"/>
      <c r="AH280" s="499"/>
      <c r="AI280" s="1483"/>
      <c r="AJ280" s="1515"/>
      <c r="AK280" s="1515"/>
    </row>
    <row r="281">
      <c r="A281" s="499"/>
      <c r="B281" s="1501"/>
      <c r="C281" s="1502"/>
      <c r="D281" s="1503"/>
      <c r="E281" s="1503"/>
      <c r="F281" s="1504"/>
      <c r="G281" s="1504"/>
      <c r="H281" s="483"/>
      <c r="I281" s="1505"/>
      <c r="J281" s="1516" t="s">
        <v>123</v>
      </c>
      <c r="K281" s="1506"/>
      <c r="L281" s="1506"/>
      <c r="M281" s="1479"/>
      <c r="N281" s="1503"/>
      <c r="O281" s="1503"/>
      <c r="P281" s="1503"/>
      <c r="Q281" s="1503"/>
      <c r="R281" s="1503"/>
      <c r="S281" s="1504"/>
      <c r="T281" s="1504"/>
      <c r="U281" s="483"/>
      <c r="V281" s="1505"/>
      <c r="W281" s="1516" t="s">
        <v>123</v>
      </c>
      <c r="X281" s="1506"/>
      <c r="Y281" s="1506"/>
      <c r="Z281" s="1481"/>
      <c r="AA281" s="499"/>
      <c r="AB281" s="499"/>
      <c r="AC281" s="499"/>
      <c r="AD281" s="499"/>
      <c r="AE281" s="499"/>
      <c r="AF281" s="499"/>
      <c r="AG281" s="499"/>
      <c r="AH281" s="499"/>
      <c r="AI281" s="1483"/>
      <c r="AJ281" s="1515"/>
      <c r="AK281" s="1515"/>
    </row>
    <row r="282">
      <c r="A282" s="499"/>
      <c r="B282" s="1501"/>
      <c r="C282" s="1502"/>
      <c r="D282" s="1503"/>
      <c r="E282" s="1503"/>
      <c r="F282" s="1504"/>
      <c r="G282" s="1504"/>
      <c r="H282" s="483"/>
      <c r="I282" s="1505"/>
      <c r="J282" s="1516" t="s">
        <v>123</v>
      </c>
      <c r="K282" s="1506"/>
      <c r="L282" s="1506"/>
      <c r="M282" s="1479"/>
      <c r="N282" s="1503"/>
      <c r="O282" s="1503"/>
      <c r="P282" s="1503"/>
      <c r="Q282" s="1503"/>
      <c r="R282" s="1503"/>
      <c r="S282" s="1504"/>
      <c r="T282" s="1504"/>
      <c r="U282" s="483"/>
      <c r="V282" s="1505"/>
      <c r="W282" s="1516" t="s">
        <v>123</v>
      </c>
      <c r="X282" s="1506"/>
      <c r="Y282" s="1506"/>
      <c r="Z282" s="1481"/>
      <c r="AA282" s="499"/>
      <c r="AB282" s="499"/>
      <c r="AC282" s="499"/>
      <c r="AD282" s="499"/>
      <c r="AE282" s="499"/>
      <c r="AF282" s="499"/>
      <c r="AG282" s="499"/>
      <c r="AH282" s="499"/>
      <c r="AI282" s="1483"/>
      <c r="AJ282" s="1515"/>
      <c r="AK282" s="1515"/>
    </row>
    <row r="283">
      <c r="A283" s="499"/>
      <c r="B283" s="1501"/>
      <c r="C283" s="1502"/>
      <c r="D283" s="1503"/>
      <c r="E283" s="1503"/>
      <c r="F283" s="1504"/>
      <c r="G283" s="1504"/>
      <c r="H283" s="483"/>
      <c r="I283" s="1505"/>
      <c r="J283" s="1516" t="s">
        <v>123</v>
      </c>
      <c r="K283" s="1506"/>
      <c r="L283" s="1506"/>
      <c r="M283" s="1479"/>
      <c r="N283" s="1503"/>
      <c r="O283" s="1503"/>
      <c r="P283" s="1503"/>
      <c r="Q283" s="1503"/>
      <c r="R283" s="1503"/>
      <c r="S283" s="1504"/>
      <c r="T283" s="1504"/>
      <c r="U283" s="483"/>
      <c r="V283" s="1505"/>
      <c r="W283" s="1516" t="s">
        <v>123</v>
      </c>
      <c r="X283" s="1506"/>
      <c r="Y283" s="1506"/>
      <c r="Z283" s="1481"/>
      <c r="AA283" s="499"/>
      <c r="AB283" s="499"/>
      <c r="AC283" s="499"/>
      <c r="AD283" s="499"/>
      <c r="AE283" s="499"/>
      <c r="AF283" s="499"/>
      <c r="AG283" s="499"/>
      <c r="AH283" s="499"/>
      <c r="AI283" s="1483"/>
      <c r="AJ283" s="1515"/>
      <c r="AK283" s="1515"/>
    </row>
    <row r="284">
      <c r="A284" s="499"/>
      <c r="B284" s="1501"/>
      <c r="C284" s="1502"/>
      <c r="D284" s="1503"/>
      <c r="E284" s="1503"/>
      <c r="F284" s="1504"/>
      <c r="G284" s="1504"/>
      <c r="H284" s="483"/>
      <c r="I284" s="1505"/>
      <c r="J284" s="1516" t="s">
        <v>123</v>
      </c>
      <c r="K284" s="1506"/>
      <c r="L284" s="1506"/>
      <c r="M284" s="1479"/>
      <c r="N284" s="1503"/>
      <c r="O284" s="1503"/>
      <c r="P284" s="1503"/>
      <c r="Q284" s="1503"/>
      <c r="R284" s="1503"/>
      <c r="S284" s="1504"/>
      <c r="T284" s="1504"/>
      <c r="U284" s="483"/>
      <c r="V284" s="1505"/>
      <c r="W284" s="1516" t="s">
        <v>123</v>
      </c>
      <c r="X284" s="1506"/>
      <c r="Y284" s="1506"/>
      <c r="Z284" s="1481"/>
      <c r="AA284" s="499"/>
      <c r="AB284" s="499"/>
      <c r="AC284" s="499"/>
      <c r="AD284" s="499"/>
      <c r="AE284" s="499"/>
      <c r="AF284" s="499"/>
      <c r="AG284" s="499"/>
      <c r="AH284" s="499"/>
      <c r="AI284" s="1483"/>
      <c r="AJ284" s="1515"/>
      <c r="AK284" s="1515"/>
    </row>
    <row r="285">
      <c r="A285" s="499"/>
      <c r="B285" s="1501"/>
      <c r="C285" s="1502"/>
      <c r="D285" s="1503"/>
      <c r="E285" s="1503"/>
      <c r="F285" s="1504"/>
      <c r="G285" s="1504"/>
      <c r="H285" s="483"/>
      <c r="I285" s="1505"/>
      <c r="J285" s="1516" t="s">
        <v>123</v>
      </c>
      <c r="K285" s="1506"/>
      <c r="L285" s="1506"/>
      <c r="M285" s="1479"/>
      <c r="N285" s="1503"/>
      <c r="O285" s="1503"/>
      <c r="P285" s="1503"/>
      <c r="Q285" s="1503"/>
      <c r="R285" s="1503"/>
      <c r="S285" s="1504"/>
      <c r="T285" s="1504"/>
      <c r="U285" s="483"/>
      <c r="V285" s="1505"/>
      <c r="W285" s="1516" t="s">
        <v>123</v>
      </c>
      <c r="X285" s="1506"/>
      <c r="Y285" s="1506"/>
      <c r="Z285" s="1481"/>
      <c r="AA285" s="499"/>
      <c r="AB285" s="499"/>
      <c r="AC285" s="499"/>
      <c r="AD285" s="499"/>
      <c r="AE285" s="499"/>
      <c r="AF285" s="499"/>
      <c r="AG285" s="499"/>
      <c r="AH285" s="499"/>
      <c r="AI285" s="1483"/>
      <c r="AJ285" s="1515"/>
      <c r="AK285" s="1515"/>
    </row>
    <row r="286">
      <c r="A286" s="499"/>
      <c r="B286" s="1501"/>
      <c r="C286" s="1502"/>
      <c r="D286" s="1503"/>
      <c r="E286" s="1503"/>
      <c r="F286" s="1504"/>
      <c r="G286" s="1504"/>
      <c r="H286" s="483"/>
      <c r="I286" s="1505"/>
      <c r="J286" s="1516" t="s">
        <v>123</v>
      </c>
      <c r="K286" s="1506"/>
      <c r="L286" s="1506"/>
      <c r="M286" s="1479"/>
      <c r="N286" s="1503"/>
      <c r="O286" s="1503"/>
      <c r="P286" s="1503"/>
      <c r="Q286" s="1503"/>
      <c r="R286" s="1503"/>
      <c r="S286" s="1504"/>
      <c r="T286" s="1504"/>
      <c r="U286" s="483"/>
      <c r="V286" s="1505"/>
      <c r="W286" s="1516" t="s">
        <v>123</v>
      </c>
      <c r="X286" s="1506"/>
      <c r="Y286" s="1506"/>
      <c r="Z286" s="1481"/>
      <c r="AA286" s="499"/>
      <c r="AB286" s="499"/>
      <c r="AC286" s="499"/>
      <c r="AD286" s="499"/>
      <c r="AE286" s="499"/>
      <c r="AF286" s="499"/>
      <c r="AG286" s="499"/>
      <c r="AH286" s="499"/>
      <c r="AI286" s="1483"/>
      <c r="AJ286" s="1515"/>
      <c r="AK286" s="1515"/>
    </row>
    <row r="287">
      <c r="A287" s="499"/>
      <c r="B287" s="1501"/>
      <c r="C287" s="1502"/>
      <c r="D287" s="1503"/>
      <c r="E287" s="1503"/>
      <c r="F287" s="1504"/>
      <c r="G287" s="1504"/>
      <c r="H287" s="483"/>
      <c r="I287" s="1505"/>
      <c r="J287" s="1516" t="s">
        <v>123</v>
      </c>
      <c r="K287" s="1506"/>
      <c r="L287" s="1506"/>
      <c r="M287" s="1479"/>
      <c r="N287" s="1503"/>
      <c r="O287" s="1503"/>
      <c r="P287" s="1503"/>
      <c r="Q287" s="1503"/>
      <c r="R287" s="1503"/>
      <c r="S287" s="1504"/>
      <c r="T287" s="1504"/>
      <c r="U287" s="483"/>
      <c r="V287" s="1505"/>
      <c r="W287" s="1516" t="s">
        <v>123</v>
      </c>
      <c r="X287" s="1506"/>
      <c r="Y287" s="1506"/>
      <c r="Z287" s="1481"/>
      <c r="AA287" s="499"/>
      <c r="AB287" s="499"/>
      <c r="AC287" s="499"/>
      <c r="AD287" s="499"/>
      <c r="AE287" s="499"/>
      <c r="AF287" s="499"/>
      <c r="AG287" s="499"/>
      <c r="AH287" s="499"/>
      <c r="AI287" s="1483"/>
      <c r="AJ287" s="1515"/>
      <c r="AK287" s="1515"/>
    </row>
    <row r="288">
      <c r="A288" s="499"/>
      <c r="B288" s="1501"/>
      <c r="C288" s="1502"/>
      <c r="D288" s="1503"/>
      <c r="E288" s="1503"/>
      <c r="F288" s="1504"/>
      <c r="G288" s="1504"/>
      <c r="H288" s="483"/>
      <c r="I288" s="1505"/>
      <c r="J288" s="1516" t="s">
        <v>123</v>
      </c>
      <c r="K288" s="1506"/>
      <c r="L288" s="1506"/>
      <c r="M288" s="1479"/>
      <c r="N288" s="1503"/>
      <c r="O288" s="1503"/>
      <c r="P288" s="1503"/>
      <c r="Q288" s="1503"/>
      <c r="R288" s="1503"/>
      <c r="S288" s="1504"/>
      <c r="T288" s="1504"/>
      <c r="U288" s="483"/>
      <c r="V288" s="1505"/>
      <c r="W288" s="1516" t="s">
        <v>123</v>
      </c>
      <c r="X288" s="1506"/>
      <c r="Y288" s="1506"/>
      <c r="Z288" s="1481"/>
      <c r="AA288" s="499"/>
      <c r="AB288" s="499"/>
      <c r="AC288" s="499"/>
      <c r="AD288" s="499"/>
      <c r="AE288" s="499"/>
      <c r="AF288" s="499"/>
      <c r="AG288" s="499"/>
      <c r="AH288" s="499"/>
      <c r="AI288" s="1483"/>
      <c r="AJ288" s="1515"/>
      <c r="AK288" s="1515"/>
    </row>
    <row r="289">
      <c r="A289" s="499"/>
      <c r="B289" s="1501"/>
      <c r="C289" s="1502"/>
      <c r="D289" s="1503"/>
      <c r="E289" s="1503"/>
      <c r="F289" s="1504"/>
      <c r="G289" s="1504"/>
      <c r="H289" s="483"/>
      <c r="I289" s="1505"/>
      <c r="J289" s="1516" t="s">
        <v>123</v>
      </c>
      <c r="K289" s="1506"/>
      <c r="L289" s="1506"/>
      <c r="M289" s="1479"/>
      <c r="N289" s="1503"/>
      <c r="O289" s="1503"/>
      <c r="P289" s="1503"/>
      <c r="Q289" s="1503"/>
      <c r="R289" s="1503"/>
      <c r="S289" s="1504"/>
      <c r="T289" s="1504"/>
      <c r="U289" s="483"/>
      <c r="V289" s="1505"/>
      <c r="W289" s="1516" t="s">
        <v>123</v>
      </c>
      <c r="X289" s="1506"/>
      <c r="Y289" s="1506"/>
      <c r="Z289" s="1481"/>
      <c r="AA289" s="499"/>
      <c r="AB289" s="499"/>
      <c r="AC289" s="499"/>
      <c r="AD289" s="499"/>
      <c r="AE289" s="499"/>
      <c r="AF289" s="499"/>
      <c r="AG289" s="499"/>
      <c r="AH289" s="499"/>
      <c r="AI289" s="1483"/>
      <c r="AJ289" s="1515"/>
      <c r="AK289" s="1515"/>
    </row>
    <row r="290">
      <c r="A290" s="499"/>
      <c r="B290" s="1501"/>
      <c r="C290" s="1502"/>
      <c r="D290" s="1503"/>
      <c r="E290" s="1503"/>
      <c r="F290" s="1504"/>
      <c r="G290" s="1504"/>
      <c r="H290" s="483"/>
      <c r="I290" s="1505"/>
      <c r="J290" s="1516" t="s">
        <v>123</v>
      </c>
      <c r="K290" s="1506"/>
      <c r="L290" s="1506"/>
      <c r="M290" s="1479"/>
      <c r="N290" s="1503"/>
      <c r="O290" s="1503"/>
      <c r="P290" s="1503"/>
      <c r="Q290" s="1503"/>
      <c r="R290" s="1503"/>
      <c r="S290" s="1504"/>
      <c r="T290" s="1504"/>
      <c r="U290" s="483"/>
      <c r="V290" s="1505"/>
      <c r="W290" s="1516" t="s">
        <v>123</v>
      </c>
      <c r="X290" s="1506"/>
      <c r="Y290" s="1506"/>
      <c r="Z290" s="1481"/>
      <c r="AA290" s="499"/>
      <c r="AB290" s="499"/>
      <c r="AC290" s="499"/>
      <c r="AD290" s="499"/>
      <c r="AE290" s="499"/>
      <c r="AF290" s="499"/>
      <c r="AG290" s="499"/>
      <c r="AH290" s="499"/>
      <c r="AI290" s="1483"/>
      <c r="AJ290" s="1515"/>
      <c r="AK290" s="1515"/>
    </row>
    <row r="291">
      <c r="A291" s="499"/>
      <c r="B291" s="1501"/>
      <c r="C291" s="1502"/>
      <c r="D291" s="1503"/>
      <c r="E291" s="1503"/>
      <c r="F291" s="1504"/>
      <c r="G291" s="1504"/>
      <c r="H291" s="483"/>
      <c r="I291" s="1505"/>
      <c r="J291" s="1516" t="s">
        <v>123</v>
      </c>
      <c r="K291" s="1506"/>
      <c r="L291" s="1506"/>
      <c r="M291" s="1479"/>
      <c r="N291" s="1503"/>
      <c r="O291" s="1503"/>
      <c r="P291" s="1503"/>
      <c r="Q291" s="1503"/>
      <c r="R291" s="1503"/>
      <c r="S291" s="1504"/>
      <c r="T291" s="1504"/>
      <c r="U291" s="483"/>
      <c r="V291" s="1505"/>
      <c r="W291" s="1516" t="s">
        <v>123</v>
      </c>
      <c r="X291" s="1506"/>
      <c r="Y291" s="1506"/>
      <c r="Z291" s="1481"/>
      <c r="AA291" s="499"/>
      <c r="AB291" s="499"/>
      <c r="AC291" s="499"/>
      <c r="AD291" s="499"/>
      <c r="AE291" s="499"/>
      <c r="AF291" s="499"/>
      <c r="AG291" s="499"/>
      <c r="AH291" s="499"/>
      <c r="AI291" s="1483"/>
      <c r="AJ291" s="1515"/>
      <c r="AK291" s="1515"/>
    </row>
    <row r="292">
      <c r="A292" s="499"/>
      <c r="B292" s="1501"/>
      <c r="C292" s="1502"/>
      <c r="D292" s="1503"/>
      <c r="E292" s="1503"/>
      <c r="F292" s="1504"/>
      <c r="G292" s="1504"/>
      <c r="H292" s="483"/>
      <c r="I292" s="1505"/>
      <c r="J292" s="1516" t="s">
        <v>123</v>
      </c>
      <c r="K292" s="1506"/>
      <c r="L292" s="1506"/>
      <c r="M292" s="1479"/>
      <c r="N292" s="1503"/>
      <c r="O292" s="1503"/>
      <c r="P292" s="1503"/>
      <c r="Q292" s="1503"/>
      <c r="R292" s="1503"/>
      <c r="S292" s="1504"/>
      <c r="T292" s="1504"/>
      <c r="U292" s="483"/>
      <c r="V292" s="1505"/>
      <c r="W292" s="1516" t="s">
        <v>123</v>
      </c>
      <c r="X292" s="1506"/>
      <c r="Y292" s="1506"/>
      <c r="Z292" s="1481"/>
      <c r="AA292" s="499"/>
      <c r="AB292" s="499"/>
      <c r="AC292" s="499"/>
      <c r="AD292" s="499"/>
      <c r="AE292" s="499"/>
      <c r="AF292" s="499"/>
      <c r="AG292" s="499"/>
      <c r="AH292" s="499"/>
      <c r="AI292" s="1483"/>
      <c r="AJ292" s="1515"/>
      <c r="AK292" s="1515"/>
    </row>
    <row r="293">
      <c r="A293" s="499"/>
      <c r="B293" s="1501"/>
      <c r="C293" s="1502"/>
      <c r="D293" s="1503"/>
      <c r="E293" s="1503"/>
      <c r="F293" s="1504"/>
      <c r="G293" s="1504"/>
      <c r="H293" s="483"/>
      <c r="I293" s="1505"/>
      <c r="J293" s="1516" t="s">
        <v>123</v>
      </c>
      <c r="K293" s="1506"/>
      <c r="L293" s="1506"/>
      <c r="M293" s="1479"/>
      <c r="N293" s="1503"/>
      <c r="O293" s="1503"/>
      <c r="P293" s="1503"/>
      <c r="Q293" s="1503"/>
      <c r="R293" s="1503"/>
      <c r="S293" s="1504"/>
      <c r="T293" s="1504"/>
      <c r="U293" s="483"/>
      <c r="V293" s="1505"/>
      <c r="W293" s="1516" t="s">
        <v>123</v>
      </c>
      <c r="X293" s="1506"/>
      <c r="Y293" s="1506"/>
      <c r="Z293" s="1481"/>
      <c r="AA293" s="499"/>
      <c r="AB293" s="499"/>
      <c r="AC293" s="499"/>
      <c r="AD293" s="499"/>
      <c r="AE293" s="499"/>
      <c r="AF293" s="499"/>
      <c r="AG293" s="499"/>
      <c r="AH293" s="499"/>
      <c r="AI293" s="1483"/>
      <c r="AJ293" s="1515"/>
      <c r="AK293" s="1515"/>
    </row>
    <row r="294">
      <c r="A294" s="499"/>
      <c r="B294" s="1501"/>
      <c r="C294" s="1502"/>
      <c r="D294" s="1503"/>
      <c r="E294" s="1503"/>
      <c r="F294" s="1504"/>
      <c r="G294" s="1504"/>
      <c r="H294" s="483"/>
      <c r="I294" s="1505"/>
      <c r="J294" s="1516" t="s">
        <v>123</v>
      </c>
      <c r="K294" s="1506"/>
      <c r="L294" s="1506"/>
      <c r="M294" s="1479"/>
      <c r="N294" s="1503"/>
      <c r="O294" s="1503"/>
      <c r="P294" s="1503"/>
      <c r="Q294" s="1503"/>
      <c r="R294" s="1503"/>
      <c r="S294" s="1504"/>
      <c r="T294" s="1504"/>
      <c r="U294" s="483"/>
      <c r="V294" s="1505"/>
      <c r="W294" s="1516" t="s">
        <v>123</v>
      </c>
      <c r="X294" s="1506"/>
      <c r="Y294" s="1506"/>
      <c r="Z294" s="1481"/>
      <c r="AA294" s="499"/>
      <c r="AB294" s="499"/>
      <c r="AC294" s="499"/>
      <c r="AD294" s="499"/>
      <c r="AE294" s="499"/>
      <c r="AF294" s="499"/>
      <c r="AG294" s="499"/>
      <c r="AH294" s="499"/>
      <c r="AI294" s="1483"/>
      <c r="AJ294" s="1515"/>
      <c r="AK294" s="1515"/>
    </row>
    <row r="295">
      <c r="A295" s="499"/>
      <c r="B295" s="1501"/>
      <c r="C295" s="1502"/>
      <c r="D295" s="1503"/>
      <c r="E295" s="1503"/>
      <c r="F295" s="1504"/>
      <c r="G295" s="1504"/>
      <c r="H295" s="483"/>
      <c r="I295" s="1505"/>
      <c r="J295" s="1516" t="s">
        <v>123</v>
      </c>
      <c r="K295" s="1506"/>
      <c r="L295" s="1506"/>
      <c r="M295" s="1479"/>
      <c r="N295" s="1503"/>
      <c r="O295" s="1503"/>
      <c r="P295" s="1503"/>
      <c r="Q295" s="1503"/>
      <c r="R295" s="1503"/>
      <c r="S295" s="1504"/>
      <c r="T295" s="1504"/>
      <c r="U295" s="483"/>
      <c r="V295" s="1505"/>
      <c r="W295" s="1516" t="s">
        <v>123</v>
      </c>
      <c r="X295" s="1506"/>
      <c r="Y295" s="1506"/>
      <c r="Z295" s="1481"/>
      <c r="AA295" s="499"/>
      <c r="AB295" s="499"/>
      <c r="AC295" s="499"/>
      <c r="AD295" s="499"/>
      <c r="AE295" s="499"/>
      <c r="AF295" s="499"/>
      <c r="AG295" s="499"/>
      <c r="AH295" s="499"/>
      <c r="AI295" s="1483"/>
      <c r="AJ295" s="1515"/>
      <c r="AK295" s="1515"/>
    </row>
    <row r="296">
      <c r="A296" s="499"/>
      <c r="B296" s="1501"/>
      <c r="C296" s="1502"/>
      <c r="D296" s="1503"/>
      <c r="E296" s="1503"/>
      <c r="F296" s="1504"/>
      <c r="G296" s="1504"/>
      <c r="H296" s="483"/>
      <c r="I296" s="1505"/>
      <c r="J296" s="1516" t="s">
        <v>123</v>
      </c>
      <c r="K296" s="1506"/>
      <c r="L296" s="1506"/>
      <c r="M296" s="1479"/>
      <c r="N296" s="1503"/>
      <c r="O296" s="1503"/>
      <c r="P296" s="1503"/>
      <c r="Q296" s="1503"/>
      <c r="R296" s="1503"/>
      <c r="S296" s="1504"/>
      <c r="T296" s="1504"/>
      <c r="U296" s="483"/>
      <c r="V296" s="1505"/>
      <c r="W296" s="1516" t="s">
        <v>123</v>
      </c>
      <c r="X296" s="1506"/>
      <c r="Y296" s="1506"/>
      <c r="Z296" s="1481"/>
      <c r="AA296" s="499"/>
      <c r="AB296" s="499"/>
      <c r="AC296" s="499"/>
      <c r="AD296" s="499"/>
      <c r="AE296" s="499"/>
      <c r="AF296" s="499"/>
      <c r="AG296" s="499"/>
      <c r="AH296" s="499"/>
      <c r="AI296" s="1483"/>
      <c r="AJ296" s="1515"/>
      <c r="AK296" s="1515"/>
    </row>
    <row r="297">
      <c r="A297" s="499"/>
      <c r="B297" s="1501"/>
      <c r="C297" s="1502"/>
      <c r="D297" s="1503"/>
      <c r="E297" s="1503"/>
      <c r="F297" s="1504"/>
      <c r="G297" s="1504"/>
      <c r="H297" s="483"/>
      <c r="I297" s="1505"/>
      <c r="J297" s="1516" t="s">
        <v>123</v>
      </c>
      <c r="K297" s="1506"/>
      <c r="L297" s="1506"/>
      <c r="M297" s="1479"/>
      <c r="N297" s="1503"/>
      <c r="O297" s="1503"/>
      <c r="P297" s="1503"/>
      <c r="Q297" s="1503"/>
      <c r="R297" s="1503"/>
      <c r="S297" s="1504"/>
      <c r="T297" s="1504"/>
      <c r="U297" s="483"/>
      <c r="V297" s="1505"/>
      <c r="W297" s="1516" t="s">
        <v>123</v>
      </c>
      <c r="X297" s="1506"/>
      <c r="Y297" s="1506"/>
      <c r="Z297" s="1481"/>
      <c r="AA297" s="499"/>
      <c r="AB297" s="499"/>
      <c r="AC297" s="499"/>
      <c r="AD297" s="499"/>
      <c r="AE297" s="499"/>
      <c r="AF297" s="499"/>
      <c r="AG297" s="499"/>
      <c r="AH297" s="499"/>
      <c r="AI297" s="1483"/>
      <c r="AJ297" s="1515"/>
      <c r="AK297" s="1515"/>
    </row>
    <row r="298">
      <c r="A298" s="499"/>
      <c r="B298" s="1501"/>
      <c r="C298" s="1502"/>
      <c r="D298" s="1503"/>
      <c r="E298" s="1503"/>
      <c r="F298" s="1504"/>
      <c r="G298" s="1504"/>
      <c r="H298" s="483"/>
      <c r="I298" s="1505"/>
      <c r="J298" s="1516" t="s">
        <v>123</v>
      </c>
      <c r="K298" s="1506"/>
      <c r="L298" s="1506"/>
      <c r="M298" s="1479"/>
      <c r="N298" s="1503"/>
      <c r="O298" s="1503"/>
      <c r="P298" s="1503"/>
      <c r="Q298" s="1503"/>
      <c r="R298" s="1503"/>
      <c r="S298" s="1504"/>
      <c r="T298" s="1504"/>
      <c r="U298" s="483"/>
      <c r="V298" s="1505"/>
      <c r="W298" s="1516" t="s">
        <v>123</v>
      </c>
      <c r="X298" s="1506"/>
      <c r="Y298" s="1506"/>
      <c r="Z298" s="1481"/>
      <c r="AA298" s="499"/>
      <c r="AB298" s="499"/>
      <c r="AC298" s="499"/>
      <c r="AD298" s="499"/>
      <c r="AE298" s="499"/>
      <c r="AF298" s="499"/>
      <c r="AG298" s="499"/>
      <c r="AH298" s="499"/>
      <c r="AI298" s="1483"/>
      <c r="AJ298" s="1515"/>
      <c r="AK298" s="1515"/>
    </row>
    <row r="299">
      <c r="A299" s="499"/>
      <c r="B299" s="1501"/>
      <c r="C299" s="1502"/>
      <c r="D299" s="1503"/>
      <c r="E299" s="1503"/>
      <c r="F299" s="1504"/>
      <c r="G299" s="1504"/>
      <c r="H299" s="483"/>
      <c r="I299" s="1505"/>
      <c r="J299" s="1516" t="s">
        <v>123</v>
      </c>
      <c r="K299" s="1506"/>
      <c r="L299" s="1506"/>
      <c r="M299" s="1479"/>
      <c r="N299" s="1503"/>
      <c r="O299" s="1503"/>
      <c r="P299" s="1503"/>
      <c r="Q299" s="1503"/>
      <c r="R299" s="1503"/>
      <c r="S299" s="1504"/>
      <c r="T299" s="1504"/>
      <c r="U299" s="483"/>
      <c r="V299" s="1505"/>
      <c r="W299" s="1516" t="s">
        <v>123</v>
      </c>
      <c r="X299" s="1506"/>
      <c r="Y299" s="1506"/>
      <c r="Z299" s="1481"/>
      <c r="AA299" s="499"/>
      <c r="AB299" s="499"/>
      <c r="AC299" s="499"/>
      <c r="AD299" s="499"/>
      <c r="AE299" s="499"/>
      <c r="AF299" s="499"/>
      <c r="AG299" s="499"/>
      <c r="AH299" s="499"/>
      <c r="AI299" s="1483"/>
      <c r="AJ299" s="1515"/>
      <c r="AK299" s="1515"/>
    </row>
    <row r="300">
      <c r="A300" s="499"/>
      <c r="B300" s="1501"/>
      <c r="C300" s="1502"/>
      <c r="D300" s="1503"/>
      <c r="E300" s="1503"/>
      <c r="F300" s="1504"/>
      <c r="G300" s="1504"/>
      <c r="H300" s="483"/>
      <c r="I300" s="1505"/>
      <c r="J300" s="1516" t="s">
        <v>123</v>
      </c>
      <c r="K300" s="1506"/>
      <c r="L300" s="1506"/>
      <c r="M300" s="1479"/>
      <c r="N300" s="1503"/>
      <c r="O300" s="1503"/>
      <c r="P300" s="1503"/>
      <c r="Q300" s="1503"/>
      <c r="R300" s="1503"/>
      <c r="S300" s="1504"/>
      <c r="T300" s="1504"/>
      <c r="U300" s="483"/>
      <c r="V300" s="1505"/>
      <c r="W300" s="1516" t="s">
        <v>123</v>
      </c>
      <c r="X300" s="1506"/>
      <c r="Y300" s="1506"/>
      <c r="Z300" s="1481"/>
      <c r="AA300" s="499"/>
      <c r="AB300" s="499"/>
      <c r="AC300" s="499"/>
      <c r="AD300" s="499"/>
      <c r="AE300" s="499"/>
      <c r="AF300" s="499"/>
      <c r="AG300" s="499"/>
      <c r="AH300" s="499"/>
      <c r="AI300" s="1483"/>
      <c r="AJ300" s="1515"/>
      <c r="AK300" s="1515"/>
    </row>
    <row r="301">
      <c r="A301" s="499"/>
      <c r="B301" s="1501"/>
      <c r="C301" s="1502"/>
      <c r="D301" s="1503"/>
      <c r="E301" s="1503"/>
      <c r="F301" s="1504"/>
      <c r="G301" s="1504"/>
      <c r="H301" s="483"/>
      <c r="I301" s="1505"/>
      <c r="J301" s="1516" t="s">
        <v>123</v>
      </c>
      <c r="K301" s="1506"/>
      <c r="L301" s="1506"/>
      <c r="M301" s="1479"/>
      <c r="N301" s="1503"/>
      <c r="O301" s="1503"/>
      <c r="P301" s="1503"/>
      <c r="Q301" s="1503"/>
      <c r="R301" s="1503"/>
      <c r="S301" s="1504"/>
      <c r="T301" s="1504"/>
      <c r="U301" s="483"/>
      <c r="V301" s="1505"/>
      <c r="W301" s="1516" t="s">
        <v>123</v>
      </c>
      <c r="X301" s="1506"/>
      <c r="Y301" s="1506"/>
      <c r="Z301" s="1481"/>
      <c r="AA301" s="499"/>
      <c r="AB301" s="499"/>
      <c r="AC301" s="499"/>
      <c r="AD301" s="499"/>
      <c r="AE301" s="499"/>
      <c r="AF301" s="499"/>
      <c r="AG301" s="499"/>
      <c r="AH301" s="499"/>
      <c r="AI301" s="1483"/>
      <c r="AJ301" s="1515"/>
      <c r="AK301" s="1515"/>
    </row>
    <row r="302">
      <c r="A302" s="499"/>
      <c r="B302" s="1501"/>
      <c r="C302" s="1502"/>
      <c r="D302" s="1503"/>
      <c r="E302" s="1503"/>
      <c r="F302" s="1504"/>
      <c r="G302" s="1504"/>
      <c r="H302" s="483"/>
      <c r="I302" s="1505"/>
      <c r="J302" s="1516" t="s">
        <v>123</v>
      </c>
      <c r="K302" s="1506"/>
      <c r="L302" s="1506"/>
      <c r="M302" s="1479"/>
      <c r="N302" s="1503"/>
      <c r="O302" s="1503"/>
      <c r="P302" s="1503"/>
      <c r="Q302" s="1503"/>
      <c r="R302" s="1503"/>
      <c r="S302" s="1504"/>
      <c r="T302" s="1504"/>
      <c r="U302" s="483"/>
      <c r="V302" s="1505"/>
      <c r="W302" s="1516" t="s">
        <v>123</v>
      </c>
      <c r="X302" s="1506"/>
      <c r="Y302" s="1506"/>
      <c r="Z302" s="1481"/>
      <c r="AA302" s="499"/>
      <c r="AB302" s="499"/>
      <c r="AC302" s="499"/>
      <c r="AD302" s="499"/>
      <c r="AE302" s="499"/>
      <c r="AF302" s="499"/>
      <c r="AG302" s="499"/>
      <c r="AH302" s="499"/>
      <c r="AI302" s="1483"/>
      <c r="AJ302" s="1515"/>
      <c r="AK302" s="1515"/>
    </row>
    <row r="303">
      <c r="A303" s="499"/>
      <c r="B303" s="1501"/>
      <c r="C303" s="1502"/>
      <c r="D303" s="1503"/>
      <c r="E303" s="1503"/>
      <c r="F303" s="1504"/>
      <c r="G303" s="1504"/>
      <c r="H303" s="483"/>
      <c r="I303" s="1505"/>
      <c r="J303" s="1516" t="s">
        <v>123</v>
      </c>
      <c r="K303" s="1506"/>
      <c r="L303" s="1506"/>
      <c r="M303" s="1479"/>
      <c r="N303" s="1503"/>
      <c r="O303" s="1503"/>
      <c r="P303" s="1503"/>
      <c r="Q303" s="1503"/>
      <c r="R303" s="1503"/>
      <c r="S303" s="1504"/>
      <c r="T303" s="1504"/>
      <c r="U303" s="483"/>
      <c r="V303" s="1505"/>
      <c r="W303" s="1516" t="s">
        <v>123</v>
      </c>
      <c r="X303" s="1506"/>
      <c r="Y303" s="1506"/>
      <c r="Z303" s="1481"/>
      <c r="AA303" s="499"/>
      <c r="AB303" s="499"/>
      <c r="AC303" s="499"/>
      <c r="AD303" s="499"/>
      <c r="AE303" s="499"/>
      <c r="AF303" s="499"/>
      <c r="AG303" s="499"/>
      <c r="AH303" s="499"/>
      <c r="AI303" s="1483"/>
      <c r="AJ303" s="1515"/>
      <c r="AK303" s="1515"/>
    </row>
    <row r="304">
      <c r="A304" s="499"/>
      <c r="B304" s="1501"/>
      <c r="C304" s="1502"/>
      <c r="D304" s="1503"/>
      <c r="E304" s="1503"/>
      <c r="F304" s="1504"/>
      <c r="G304" s="1504"/>
      <c r="H304" s="483"/>
      <c r="I304" s="1505"/>
      <c r="J304" s="1516" t="s">
        <v>123</v>
      </c>
      <c r="K304" s="1506"/>
      <c r="L304" s="1506"/>
      <c r="M304" s="1479"/>
      <c r="N304" s="1503"/>
      <c r="O304" s="1503"/>
      <c r="P304" s="1503"/>
      <c r="Q304" s="1503"/>
      <c r="R304" s="1503"/>
      <c r="S304" s="1504"/>
      <c r="T304" s="1504"/>
      <c r="U304" s="483"/>
      <c r="V304" s="1505"/>
      <c r="W304" s="1516" t="s">
        <v>123</v>
      </c>
      <c r="X304" s="1506"/>
      <c r="Y304" s="1506"/>
      <c r="Z304" s="1481"/>
      <c r="AA304" s="499"/>
      <c r="AB304" s="499"/>
      <c r="AC304" s="499"/>
      <c r="AD304" s="499"/>
      <c r="AE304" s="499"/>
      <c r="AF304" s="499"/>
      <c r="AG304" s="499"/>
      <c r="AH304" s="499"/>
      <c r="AI304" s="1483"/>
      <c r="AJ304" s="1515"/>
      <c r="AK304" s="1515"/>
    </row>
    <row r="305">
      <c r="A305" s="499"/>
      <c r="B305" s="1501"/>
      <c r="C305" s="1502"/>
      <c r="D305" s="1503"/>
      <c r="E305" s="1503"/>
      <c r="F305" s="1504"/>
      <c r="G305" s="1504"/>
      <c r="H305" s="483"/>
      <c r="I305" s="1505"/>
      <c r="J305" s="1516" t="s">
        <v>123</v>
      </c>
      <c r="K305" s="1506"/>
      <c r="L305" s="1506"/>
      <c r="M305" s="1479"/>
      <c r="N305" s="1503"/>
      <c r="O305" s="1503"/>
      <c r="P305" s="1503"/>
      <c r="Q305" s="1503"/>
      <c r="R305" s="1503"/>
      <c r="S305" s="1504"/>
      <c r="T305" s="1504"/>
      <c r="U305" s="483"/>
      <c r="V305" s="1505"/>
      <c r="W305" s="1516" t="s">
        <v>123</v>
      </c>
      <c r="X305" s="1506"/>
      <c r="Y305" s="1506"/>
      <c r="Z305" s="1481"/>
      <c r="AA305" s="499"/>
      <c r="AB305" s="499"/>
      <c r="AC305" s="499"/>
      <c r="AD305" s="499"/>
      <c r="AE305" s="499"/>
      <c r="AF305" s="499"/>
      <c r="AG305" s="499"/>
      <c r="AH305" s="499"/>
      <c r="AI305" s="1483"/>
      <c r="AJ305" s="1515"/>
      <c r="AK305" s="1515"/>
    </row>
    <row r="306">
      <c r="A306" s="499"/>
      <c r="B306" s="1501"/>
      <c r="C306" s="1502"/>
      <c r="D306" s="1503"/>
      <c r="E306" s="1503"/>
      <c r="F306" s="1504"/>
      <c r="G306" s="1504"/>
      <c r="H306" s="483"/>
      <c r="I306" s="1505"/>
      <c r="J306" s="1516" t="s">
        <v>123</v>
      </c>
      <c r="K306" s="1506"/>
      <c r="L306" s="1506"/>
      <c r="M306" s="1479"/>
      <c r="N306" s="1503"/>
      <c r="O306" s="1503"/>
      <c r="P306" s="1503"/>
      <c r="Q306" s="1503"/>
      <c r="R306" s="1503"/>
      <c r="S306" s="1504"/>
      <c r="T306" s="1504"/>
      <c r="U306" s="483"/>
      <c r="V306" s="1505"/>
      <c r="W306" s="1516" t="s">
        <v>123</v>
      </c>
      <c r="X306" s="1506"/>
      <c r="Y306" s="1506"/>
      <c r="Z306" s="1481"/>
      <c r="AA306" s="499"/>
      <c r="AB306" s="499"/>
      <c r="AC306" s="499"/>
      <c r="AD306" s="499"/>
      <c r="AE306" s="499"/>
      <c r="AF306" s="499"/>
      <c r="AG306" s="499"/>
      <c r="AH306" s="499"/>
      <c r="AI306" s="1483"/>
      <c r="AJ306" s="1515"/>
      <c r="AK306" s="1515"/>
    </row>
    <row r="307">
      <c r="A307" s="499"/>
      <c r="B307" s="1501"/>
      <c r="C307" s="1502"/>
      <c r="D307" s="1503"/>
      <c r="E307" s="1503"/>
      <c r="F307" s="1504"/>
      <c r="G307" s="1504"/>
      <c r="H307" s="483"/>
      <c r="I307" s="1505"/>
      <c r="J307" s="1516" t="s">
        <v>123</v>
      </c>
      <c r="K307" s="1506"/>
      <c r="L307" s="1506"/>
      <c r="M307" s="1479"/>
      <c r="N307" s="1503"/>
      <c r="O307" s="1503"/>
      <c r="P307" s="1503"/>
      <c r="Q307" s="1503"/>
      <c r="R307" s="1503"/>
      <c r="S307" s="1504"/>
      <c r="T307" s="1504"/>
      <c r="U307" s="483"/>
      <c r="V307" s="1505"/>
      <c r="W307" s="1516" t="s">
        <v>123</v>
      </c>
      <c r="X307" s="1506"/>
      <c r="Y307" s="1506"/>
      <c r="Z307" s="1481"/>
      <c r="AA307" s="499"/>
      <c r="AB307" s="499"/>
      <c r="AC307" s="499"/>
      <c r="AD307" s="499"/>
      <c r="AE307" s="499"/>
      <c r="AF307" s="499"/>
      <c r="AG307" s="499"/>
      <c r="AH307" s="499"/>
      <c r="AI307" s="1483"/>
      <c r="AJ307" s="1515"/>
      <c r="AK307" s="1515"/>
    </row>
    <row r="308">
      <c r="A308" s="499"/>
      <c r="B308" s="1501"/>
      <c r="C308" s="1502"/>
      <c r="D308" s="1503"/>
      <c r="E308" s="1503"/>
      <c r="F308" s="1504"/>
      <c r="G308" s="1504"/>
      <c r="H308" s="483"/>
      <c r="I308" s="1505"/>
      <c r="J308" s="1516" t="s">
        <v>123</v>
      </c>
      <c r="K308" s="1506"/>
      <c r="L308" s="1506"/>
      <c r="M308" s="1479"/>
      <c r="N308" s="1503"/>
      <c r="O308" s="1503"/>
      <c r="P308" s="1503"/>
      <c r="Q308" s="1503"/>
      <c r="R308" s="1503"/>
      <c r="S308" s="1504"/>
      <c r="T308" s="1504"/>
      <c r="U308" s="483"/>
      <c r="V308" s="1505"/>
      <c r="W308" s="1516" t="s">
        <v>123</v>
      </c>
      <c r="X308" s="1506"/>
      <c r="Y308" s="1506"/>
      <c r="Z308" s="1481"/>
      <c r="AA308" s="499"/>
      <c r="AB308" s="499"/>
      <c r="AC308" s="499"/>
      <c r="AD308" s="499"/>
      <c r="AE308" s="499"/>
      <c r="AF308" s="499"/>
      <c r="AG308" s="499"/>
      <c r="AH308" s="499"/>
      <c r="AI308" s="1483"/>
      <c r="AJ308" s="1515"/>
      <c r="AK308" s="1515"/>
    </row>
    <row r="309">
      <c r="A309" s="499"/>
      <c r="B309" s="1501"/>
      <c r="C309" s="1502"/>
      <c r="D309" s="1503"/>
      <c r="E309" s="1503"/>
      <c r="F309" s="1504"/>
      <c r="G309" s="1504"/>
      <c r="H309" s="483"/>
      <c r="I309" s="1505"/>
      <c r="J309" s="1516" t="s">
        <v>123</v>
      </c>
      <c r="K309" s="1506"/>
      <c r="L309" s="1506"/>
      <c r="M309" s="1479"/>
      <c r="N309" s="1503"/>
      <c r="O309" s="1503"/>
      <c r="P309" s="1503"/>
      <c r="Q309" s="1503"/>
      <c r="R309" s="1503"/>
      <c r="S309" s="1504"/>
      <c r="T309" s="1504"/>
      <c r="U309" s="483"/>
      <c r="V309" s="1505"/>
      <c r="W309" s="1516" t="s">
        <v>123</v>
      </c>
      <c r="X309" s="1506"/>
      <c r="Y309" s="1506"/>
      <c r="Z309" s="1481"/>
      <c r="AA309" s="499"/>
      <c r="AB309" s="499"/>
      <c r="AC309" s="499"/>
      <c r="AD309" s="499"/>
      <c r="AE309" s="499"/>
      <c r="AF309" s="499"/>
      <c r="AG309" s="499"/>
      <c r="AH309" s="499"/>
      <c r="AI309" s="1483"/>
      <c r="AJ309" s="1515"/>
      <c r="AK309" s="1515"/>
    </row>
    <row r="310">
      <c r="A310" s="499"/>
      <c r="B310" s="1501"/>
      <c r="C310" s="1502"/>
      <c r="D310" s="1503"/>
      <c r="E310" s="1503"/>
      <c r="F310" s="1504"/>
      <c r="G310" s="1504"/>
      <c r="H310" s="483"/>
      <c r="I310" s="1505"/>
      <c r="J310" s="1516" t="s">
        <v>123</v>
      </c>
      <c r="K310" s="1506"/>
      <c r="L310" s="1506"/>
      <c r="M310" s="1479"/>
      <c r="N310" s="1503"/>
      <c r="O310" s="1503"/>
      <c r="P310" s="1503"/>
      <c r="Q310" s="1503"/>
      <c r="R310" s="1503"/>
      <c r="S310" s="1504"/>
      <c r="T310" s="1504"/>
      <c r="U310" s="483"/>
      <c r="V310" s="1505"/>
      <c r="W310" s="1516" t="s">
        <v>123</v>
      </c>
      <c r="X310" s="1506"/>
      <c r="Y310" s="1506"/>
      <c r="Z310" s="1481"/>
      <c r="AA310" s="499"/>
      <c r="AB310" s="499"/>
      <c r="AC310" s="499"/>
      <c r="AD310" s="499"/>
      <c r="AE310" s="499"/>
      <c r="AF310" s="499"/>
      <c r="AG310" s="499"/>
      <c r="AH310" s="499"/>
      <c r="AI310" s="1483"/>
      <c r="AJ310" s="1515"/>
      <c r="AK310" s="1515"/>
    </row>
    <row r="311">
      <c r="A311" s="499"/>
      <c r="B311" s="1501"/>
      <c r="C311" s="1502"/>
      <c r="D311" s="1503"/>
      <c r="E311" s="1503"/>
      <c r="F311" s="1504"/>
      <c r="G311" s="1504"/>
      <c r="H311" s="483"/>
      <c r="I311" s="1505"/>
      <c r="J311" s="1516" t="s">
        <v>123</v>
      </c>
      <c r="K311" s="1506"/>
      <c r="L311" s="1506"/>
      <c r="M311" s="1479"/>
      <c r="N311" s="1503"/>
      <c r="O311" s="1503"/>
      <c r="P311" s="1503"/>
      <c r="Q311" s="1503"/>
      <c r="R311" s="1503"/>
      <c r="S311" s="1504"/>
      <c r="T311" s="1504"/>
      <c r="U311" s="483"/>
      <c r="V311" s="1505"/>
      <c r="W311" s="1516" t="s">
        <v>123</v>
      </c>
      <c r="X311" s="1506"/>
      <c r="Y311" s="1506"/>
      <c r="Z311" s="1481"/>
      <c r="AA311" s="499"/>
      <c r="AB311" s="499"/>
      <c r="AC311" s="499"/>
      <c r="AD311" s="499"/>
      <c r="AE311" s="499"/>
      <c r="AF311" s="499"/>
      <c r="AG311" s="499"/>
      <c r="AH311" s="499"/>
      <c r="AI311" s="1483"/>
      <c r="AJ311" s="1515"/>
      <c r="AK311" s="1515"/>
    </row>
    <row r="312">
      <c r="A312" s="499"/>
      <c r="B312" s="1501"/>
      <c r="C312" s="1502"/>
      <c r="D312" s="1503"/>
      <c r="E312" s="1503"/>
      <c r="F312" s="1504"/>
      <c r="G312" s="1504"/>
      <c r="H312" s="483"/>
      <c r="I312" s="1505"/>
      <c r="J312" s="1516" t="s">
        <v>123</v>
      </c>
      <c r="K312" s="1506"/>
      <c r="L312" s="1506"/>
      <c r="M312" s="1479"/>
      <c r="N312" s="1503"/>
      <c r="O312" s="1503"/>
      <c r="P312" s="1503"/>
      <c r="Q312" s="1503"/>
      <c r="R312" s="1503"/>
      <c r="S312" s="1504"/>
      <c r="T312" s="1504"/>
      <c r="U312" s="483"/>
      <c r="V312" s="1505"/>
      <c r="W312" s="1516" t="s">
        <v>123</v>
      </c>
      <c r="X312" s="1506"/>
      <c r="Y312" s="1506"/>
      <c r="Z312" s="1481"/>
      <c r="AA312" s="499"/>
      <c r="AB312" s="499"/>
      <c r="AC312" s="499"/>
      <c r="AD312" s="499"/>
      <c r="AE312" s="499"/>
      <c r="AF312" s="499"/>
      <c r="AG312" s="499"/>
      <c r="AH312" s="499"/>
      <c r="AI312" s="1483"/>
      <c r="AJ312" s="1515"/>
      <c r="AK312" s="1515"/>
    </row>
    <row r="313">
      <c r="A313" s="499"/>
      <c r="B313" s="1501"/>
      <c r="C313" s="1502"/>
      <c r="D313" s="1503"/>
      <c r="E313" s="1503"/>
      <c r="F313" s="1504"/>
      <c r="G313" s="1504"/>
      <c r="H313" s="483"/>
      <c r="I313" s="1505"/>
      <c r="J313" s="1516" t="s">
        <v>123</v>
      </c>
      <c r="K313" s="1506"/>
      <c r="L313" s="1506"/>
      <c r="M313" s="1479"/>
      <c r="N313" s="1503"/>
      <c r="O313" s="1503"/>
      <c r="P313" s="1503"/>
      <c r="Q313" s="1503"/>
      <c r="R313" s="1503"/>
      <c r="S313" s="1504"/>
      <c r="T313" s="1504"/>
      <c r="U313" s="483"/>
      <c r="V313" s="1505"/>
      <c r="W313" s="1516" t="s">
        <v>123</v>
      </c>
      <c r="X313" s="1506"/>
      <c r="Y313" s="1506"/>
      <c r="Z313" s="1481"/>
      <c r="AA313" s="499"/>
      <c r="AB313" s="499"/>
      <c r="AC313" s="499"/>
      <c r="AD313" s="499"/>
      <c r="AE313" s="499"/>
      <c r="AF313" s="499"/>
      <c r="AG313" s="499"/>
      <c r="AH313" s="499"/>
      <c r="AI313" s="1483"/>
      <c r="AJ313" s="1515"/>
      <c r="AK313" s="1515"/>
    </row>
    <row r="314">
      <c r="A314" s="499"/>
      <c r="B314" s="1501"/>
      <c r="C314" s="1502"/>
      <c r="D314" s="1503"/>
      <c r="E314" s="1503"/>
      <c r="F314" s="1504"/>
      <c r="G314" s="1504"/>
      <c r="H314" s="483"/>
      <c r="I314" s="1505"/>
      <c r="J314" s="1516" t="s">
        <v>123</v>
      </c>
      <c r="K314" s="1506"/>
      <c r="L314" s="1506"/>
      <c r="M314" s="1479"/>
      <c r="N314" s="1503"/>
      <c r="O314" s="1503"/>
      <c r="P314" s="1503"/>
      <c r="Q314" s="1503"/>
      <c r="R314" s="1503"/>
      <c r="S314" s="1504"/>
      <c r="T314" s="1504"/>
      <c r="U314" s="483"/>
      <c r="V314" s="1505"/>
      <c r="W314" s="1516" t="s">
        <v>123</v>
      </c>
      <c r="X314" s="1506"/>
      <c r="Y314" s="1506"/>
      <c r="Z314" s="1481"/>
      <c r="AA314" s="499"/>
      <c r="AB314" s="499"/>
      <c r="AC314" s="499"/>
      <c r="AD314" s="499"/>
      <c r="AE314" s="499"/>
      <c r="AF314" s="499"/>
      <c r="AG314" s="499"/>
      <c r="AH314" s="499"/>
      <c r="AI314" s="1483"/>
      <c r="AJ314" s="1515"/>
      <c r="AK314" s="1515"/>
    </row>
    <row r="315">
      <c r="A315" s="499"/>
      <c r="B315" s="1501"/>
      <c r="C315" s="1502"/>
      <c r="D315" s="1503"/>
      <c r="E315" s="1503"/>
      <c r="F315" s="1504"/>
      <c r="G315" s="1504"/>
      <c r="H315" s="483"/>
      <c r="I315" s="1505"/>
      <c r="J315" s="1516" t="s">
        <v>123</v>
      </c>
      <c r="K315" s="1506"/>
      <c r="L315" s="1506"/>
      <c r="M315" s="1479"/>
      <c r="N315" s="1503"/>
      <c r="O315" s="1503"/>
      <c r="P315" s="1503"/>
      <c r="Q315" s="1503"/>
      <c r="R315" s="1503"/>
      <c r="S315" s="1504"/>
      <c r="T315" s="1504"/>
      <c r="U315" s="483"/>
      <c r="V315" s="1505"/>
      <c r="W315" s="1516" t="s">
        <v>123</v>
      </c>
      <c r="X315" s="1506"/>
      <c r="Y315" s="1506"/>
      <c r="Z315" s="1481"/>
      <c r="AA315" s="499"/>
      <c r="AB315" s="499"/>
      <c r="AC315" s="499"/>
      <c r="AD315" s="499"/>
      <c r="AE315" s="499"/>
      <c r="AF315" s="499"/>
      <c r="AG315" s="499"/>
      <c r="AH315" s="499"/>
      <c r="AI315" s="1483"/>
      <c r="AJ315" s="1515"/>
      <c r="AK315" s="1515"/>
    </row>
    <row r="316">
      <c r="A316" s="499"/>
      <c r="B316" s="1501"/>
      <c r="C316" s="1502"/>
      <c r="D316" s="1503"/>
      <c r="E316" s="1503"/>
      <c r="F316" s="1504"/>
      <c r="G316" s="1504"/>
      <c r="H316" s="483"/>
      <c r="I316" s="1505"/>
      <c r="J316" s="1516" t="s">
        <v>123</v>
      </c>
      <c r="K316" s="1506"/>
      <c r="L316" s="1506"/>
      <c r="M316" s="1479"/>
      <c r="N316" s="1503"/>
      <c r="O316" s="1503"/>
      <c r="P316" s="1503"/>
      <c r="Q316" s="1503"/>
      <c r="R316" s="1503"/>
      <c r="S316" s="1504"/>
      <c r="T316" s="1504"/>
      <c r="U316" s="483"/>
      <c r="V316" s="1505"/>
      <c r="W316" s="1516" t="s">
        <v>123</v>
      </c>
      <c r="X316" s="1506"/>
      <c r="Y316" s="1506"/>
      <c r="Z316" s="1481"/>
      <c r="AA316" s="499"/>
      <c r="AB316" s="499"/>
      <c r="AC316" s="499"/>
      <c r="AD316" s="499"/>
      <c r="AE316" s="499"/>
      <c r="AF316" s="499"/>
      <c r="AG316" s="499"/>
      <c r="AH316" s="499"/>
      <c r="AI316" s="1483"/>
      <c r="AJ316" s="1515"/>
      <c r="AK316" s="1515"/>
    </row>
    <row r="317">
      <c r="A317" s="499"/>
      <c r="B317" s="1501"/>
      <c r="C317" s="1502"/>
      <c r="D317" s="1503"/>
      <c r="E317" s="1503"/>
      <c r="F317" s="1504"/>
      <c r="G317" s="1504"/>
      <c r="H317" s="483"/>
      <c r="I317" s="1505"/>
      <c r="J317" s="1516" t="s">
        <v>123</v>
      </c>
      <c r="K317" s="1506"/>
      <c r="L317" s="1506"/>
      <c r="M317" s="1479"/>
      <c r="N317" s="1503"/>
      <c r="O317" s="1503"/>
      <c r="P317" s="1503"/>
      <c r="Q317" s="1503"/>
      <c r="R317" s="1503"/>
      <c r="S317" s="1504"/>
      <c r="T317" s="1504"/>
      <c r="U317" s="483"/>
      <c r="V317" s="1505"/>
      <c r="W317" s="1516" t="s">
        <v>123</v>
      </c>
      <c r="X317" s="1506"/>
      <c r="Y317" s="1506"/>
      <c r="Z317" s="1481"/>
      <c r="AA317" s="499"/>
      <c r="AB317" s="499"/>
      <c r="AC317" s="499"/>
      <c r="AD317" s="499"/>
      <c r="AE317" s="499"/>
      <c r="AF317" s="499"/>
      <c r="AG317" s="499"/>
      <c r="AH317" s="499"/>
      <c r="AI317" s="1483"/>
      <c r="AJ317" s="1515"/>
      <c r="AK317" s="1515"/>
    </row>
    <row r="318">
      <c r="A318" s="499"/>
      <c r="B318" s="1501"/>
      <c r="C318" s="1502"/>
      <c r="D318" s="1503"/>
      <c r="E318" s="1503"/>
      <c r="F318" s="1504"/>
      <c r="G318" s="1504"/>
      <c r="H318" s="483"/>
      <c r="I318" s="1505"/>
      <c r="J318" s="1516" t="s">
        <v>123</v>
      </c>
      <c r="K318" s="1506"/>
      <c r="L318" s="1506"/>
      <c r="M318" s="1479"/>
      <c r="N318" s="1503"/>
      <c r="O318" s="1503"/>
      <c r="P318" s="1503"/>
      <c r="Q318" s="1503"/>
      <c r="R318" s="1503"/>
      <c r="S318" s="1504"/>
      <c r="T318" s="1504"/>
      <c r="U318" s="483"/>
      <c r="V318" s="1505"/>
      <c r="W318" s="1516" t="s">
        <v>123</v>
      </c>
      <c r="X318" s="1506"/>
      <c r="Y318" s="1506"/>
      <c r="Z318" s="1481"/>
      <c r="AA318" s="499"/>
      <c r="AB318" s="499"/>
      <c r="AC318" s="499"/>
      <c r="AD318" s="499"/>
      <c r="AE318" s="499"/>
      <c r="AF318" s="499"/>
      <c r="AG318" s="499"/>
      <c r="AH318" s="499"/>
      <c r="AI318" s="1483"/>
      <c r="AJ318" s="1515"/>
      <c r="AK318" s="1515"/>
    </row>
    <row r="319">
      <c r="A319" s="499"/>
      <c r="B319" s="1501"/>
      <c r="C319" s="1502"/>
      <c r="D319" s="1503"/>
      <c r="E319" s="1503"/>
      <c r="F319" s="1504"/>
      <c r="G319" s="1504"/>
      <c r="H319" s="483"/>
      <c r="I319" s="1505"/>
      <c r="J319" s="1516" t="s">
        <v>123</v>
      </c>
      <c r="K319" s="1506"/>
      <c r="L319" s="1506"/>
      <c r="M319" s="1479"/>
      <c r="N319" s="1503"/>
      <c r="O319" s="1503"/>
      <c r="P319" s="1503"/>
      <c r="Q319" s="1503"/>
      <c r="R319" s="1503"/>
      <c r="S319" s="1504"/>
      <c r="T319" s="1504"/>
      <c r="U319" s="483"/>
      <c r="V319" s="1505"/>
      <c r="W319" s="1516" t="s">
        <v>123</v>
      </c>
      <c r="X319" s="1506"/>
      <c r="Y319" s="1506"/>
      <c r="Z319" s="1481"/>
      <c r="AA319" s="499"/>
      <c r="AB319" s="499"/>
      <c r="AC319" s="499"/>
      <c r="AD319" s="499"/>
      <c r="AE319" s="499"/>
      <c r="AF319" s="499"/>
      <c r="AG319" s="499"/>
      <c r="AH319" s="499"/>
      <c r="AI319" s="1483"/>
      <c r="AJ319" s="1515"/>
      <c r="AK319" s="1515"/>
    </row>
    <row r="320">
      <c r="A320" s="499"/>
      <c r="B320" s="1501"/>
      <c r="C320" s="1502"/>
      <c r="D320" s="1503"/>
      <c r="E320" s="1503"/>
      <c r="F320" s="1504"/>
      <c r="G320" s="1504"/>
      <c r="H320" s="483"/>
      <c r="I320" s="1505"/>
      <c r="J320" s="1516" t="s">
        <v>123</v>
      </c>
      <c r="K320" s="1506"/>
      <c r="L320" s="1506"/>
      <c r="M320" s="1479"/>
      <c r="N320" s="1503"/>
      <c r="O320" s="1503"/>
      <c r="P320" s="1503"/>
      <c r="Q320" s="1503"/>
      <c r="R320" s="1503"/>
      <c r="S320" s="1504"/>
      <c r="T320" s="1504"/>
      <c r="U320" s="483"/>
      <c r="V320" s="1505"/>
      <c r="W320" s="1516" t="s">
        <v>123</v>
      </c>
      <c r="X320" s="1506"/>
      <c r="Y320" s="1506"/>
      <c r="Z320" s="1481"/>
      <c r="AA320" s="499"/>
      <c r="AB320" s="499"/>
      <c r="AC320" s="499"/>
      <c r="AD320" s="499"/>
      <c r="AE320" s="499"/>
      <c r="AF320" s="499"/>
      <c r="AG320" s="499"/>
      <c r="AH320" s="499"/>
      <c r="AI320" s="1483"/>
      <c r="AJ320" s="1515"/>
      <c r="AK320" s="1515"/>
    </row>
    <row r="321">
      <c r="A321" s="499"/>
      <c r="B321" s="1501"/>
      <c r="C321" s="1502"/>
      <c r="D321" s="1503"/>
      <c r="E321" s="1503"/>
      <c r="F321" s="1504"/>
      <c r="G321" s="1504"/>
      <c r="H321" s="483"/>
      <c r="I321" s="1505"/>
      <c r="J321" s="1516" t="s">
        <v>123</v>
      </c>
      <c r="K321" s="1506"/>
      <c r="L321" s="1506"/>
      <c r="M321" s="1479"/>
      <c r="N321" s="1503"/>
      <c r="O321" s="1503"/>
      <c r="P321" s="1503"/>
      <c r="Q321" s="1503"/>
      <c r="R321" s="1503"/>
      <c r="S321" s="1504"/>
      <c r="T321" s="1504"/>
      <c r="U321" s="483"/>
      <c r="V321" s="1505"/>
      <c r="W321" s="1516" t="s">
        <v>123</v>
      </c>
      <c r="X321" s="1506"/>
      <c r="Y321" s="1506"/>
      <c r="Z321" s="1481"/>
      <c r="AA321" s="499"/>
      <c r="AB321" s="499"/>
      <c r="AC321" s="499"/>
      <c r="AD321" s="499"/>
      <c r="AE321" s="499"/>
      <c r="AF321" s="499"/>
      <c r="AG321" s="499"/>
      <c r="AH321" s="499"/>
      <c r="AI321" s="1483"/>
      <c r="AJ321" s="1515"/>
      <c r="AK321" s="1515"/>
    </row>
    <row r="322">
      <c r="A322" s="499"/>
      <c r="B322" s="1501"/>
      <c r="C322" s="1502"/>
      <c r="D322" s="1503"/>
      <c r="E322" s="1503"/>
      <c r="F322" s="1504"/>
      <c r="G322" s="1504"/>
      <c r="H322" s="483"/>
      <c r="I322" s="1505"/>
      <c r="J322" s="1516" t="s">
        <v>123</v>
      </c>
      <c r="K322" s="1506"/>
      <c r="L322" s="1506"/>
      <c r="M322" s="1479"/>
      <c r="N322" s="1503"/>
      <c r="O322" s="1503"/>
      <c r="P322" s="1503"/>
      <c r="Q322" s="1503"/>
      <c r="R322" s="1503"/>
      <c r="S322" s="1504"/>
      <c r="T322" s="1504"/>
      <c r="U322" s="483"/>
      <c r="V322" s="1505"/>
      <c r="W322" s="1516" t="s">
        <v>123</v>
      </c>
      <c r="X322" s="1506"/>
      <c r="Y322" s="1506"/>
      <c r="Z322" s="1481"/>
      <c r="AA322" s="499"/>
      <c r="AB322" s="499"/>
      <c r="AC322" s="499"/>
      <c r="AD322" s="499"/>
      <c r="AE322" s="499"/>
      <c r="AF322" s="499"/>
      <c r="AG322" s="499"/>
      <c r="AH322" s="499"/>
      <c r="AI322" s="1483"/>
      <c r="AJ322" s="1515"/>
      <c r="AK322" s="1515"/>
    </row>
    <row r="323">
      <c r="A323" s="499"/>
      <c r="B323" s="1501"/>
      <c r="C323" s="1502"/>
      <c r="D323" s="1503"/>
      <c r="E323" s="1503"/>
      <c r="F323" s="1504"/>
      <c r="G323" s="1504"/>
      <c r="H323" s="483"/>
      <c r="I323" s="1505"/>
      <c r="J323" s="1516" t="s">
        <v>123</v>
      </c>
      <c r="K323" s="1506"/>
      <c r="L323" s="1506"/>
      <c r="M323" s="1479"/>
      <c r="N323" s="1503"/>
      <c r="O323" s="1503"/>
      <c r="P323" s="1503"/>
      <c r="Q323" s="1503"/>
      <c r="R323" s="1503"/>
      <c r="S323" s="1504"/>
      <c r="T323" s="1504"/>
      <c r="U323" s="483"/>
      <c r="V323" s="1505"/>
      <c r="W323" s="1516" t="s">
        <v>123</v>
      </c>
      <c r="X323" s="1506"/>
      <c r="Y323" s="1506"/>
      <c r="Z323" s="1481"/>
      <c r="AA323" s="499"/>
      <c r="AB323" s="499"/>
      <c r="AC323" s="499"/>
      <c r="AD323" s="499"/>
      <c r="AE323" s="499"/>
      <c r="AF323" s="499"/>
      <c r="AG323" s="499"/>
      <c r="AH323" s="499"/>
      <c r="AI323" s="1483"/>
      <c r="AJ323" s="1515"/>
      <c r="AK323" s="1515"/>
    </row>
    <row r="324">
      <c r="A324" s="499"/>
      <c r="B324" s="1501"/>
      <c r="C324" s="1502"/>
      <c r="D324" s="1503"/>
      <c r="E324" s="1503"/>
      <c r="F324" s="1504"/>
      <c r="G324" s="1504"/>
      <c r="H324" s="483"/>
      <c r="I324" s="1505"/>
      <c r="J324" s="1516" t="s">
        <v>123</v>
      </c>
      <c r="K324" s="1506"/>
      <c r="L324" s="1506"/>
      <c r="M324" s="1479"/>
      <c r="N324" s="1503"/>
      <c r="O324" s="1503"/>
      <c r="P324" s="1503"/>
      <c r="Q324" s="1503"/>
      <c r="R324" s="1503"/>
      <c r="S324" s="1504"/>
      <c r="T324" s="1504"/>
      <c r="U324" s="483"/>
      <c r="V324" s="1505"/>
      <c r="W324" s="1516" t="s">
        <v>123</v>
      </c>
      <c r="X324" s="1506"/>
      <c r="Y324" s="1506"/>
      <c r="Z324" s="1481"/>
      <c r="AA324" s="499"/>
      <c r="AB324" s="499"/>
      <c r="AC324" s="499"/>
      <c r="AD324" s="499"/>
      <c r="AE324" s="499"/>
      <c r="AF324" s="499"/>
      <c r="AG324" s="499"/>
      <c r="AH324" s="499"/>
      <c r="AI324" s="1483"/>
      <c r="AJ324" s="1515"/>
      <c r="AK324" s="1515"/>
    </row>
    <row r="325">
      <c r="A325" s="499"/>
      <c r="B325" s="1501"/>
      <c r="C325" s="1502"/>
      <c r="D325" s="1503"/>
      <c r="E325" s="1503"/>
      <c r="F325" s="1504"/>
      <c r="G325" s="1504"/>
      <c r="H325" s="483"/>
      <c r="I325" s="1505"/>
      <c r="J325" s="1516" t="s">
        <v>123</v>
      </c>
      <c r="K325" s="1506"/>
      <c r="L325" s="1506"/>
      <c r="M325" s="1479"/>
      <c r="N325" s="1503"/>
      <c r="O325" s="1503"/>
      <c r="P325" s="1503"/>
      <c r="Q325" s="1503"/>
      <c r="R325" s="1503"/>
      <c r="S325" s="1504"/>
      <c r="T325" s="1504"/>
      <c r="U325" s="483"/>
      <c r="V325" s="1505"/>
      <c r="W325" s="1516" t="s">
        <v>123</v>
      </c>
      <c r="X325" s="1506"/>
      <c r="Y325" s="1506"/>
      <c r="Z325" s="1481"/>
      <c r="AA325" s="499"/>
      <c r="AB325" s="499"/>
      <c r="AC325" s="499"/>
      <c r="AD325" s="499"/>
      <c r="AE325" s="499"/>
      <c r="AF325" s="499"/>
      <c r="AG325" s="499"/>
      <c r="AH325" s="499"/>
      <c r="AI325" s="1483"/>
      <c r="AJ325" s="1515"/>
      <c r="AK325" s="1515"/>
    </row>
    <row r="326">
      <c r="A326" s="499"/>
      <c r="B326" s="1501"/>
      <c r="C326" s="1502"/>
      <c r="D326" s="1503"/>
      <c r="E326" s="1503"/>
      <c r="F326" s="1504"/>
      <c r="G326" s="1504"/>
      <c r="H326" s="483"/>
      <c r="I326" s="1505"/>
      <c r="J326" s="1516" t="s">
        <v>123</v>
      </c>
      <c r="K326" s="1506"/>
      <c r="L326" s="1506"/>
      <c r="M326" s="1479"/>
      <c r="N326" s="1503"/>
      <c r="O326" s="1503"/>
      <c r="P326" s="1503"/>
      <c r="Q326" s="1503"/>
      <c r="R326" s="1503"/>
      <c r="S326" s="1504"/>
      <c r="T326" s="1504"/>
      <c r="U326" s="483"/>
      <c r="V326" s="1505"/>
      <c r="W326" s="1516" t="s">
        <v>123</v>
      </c>
      <c r="X326" s="1506"/>
      <c r="Y326" s="1506"/>
      <c r="Z326" s="1481"/>
      <c r="AA326" s="499"/>
      <c r="AB326" s="499"/>
      <c r="AC326" s="499"/>
      <c r="AD326" s="499"/>
      <c r="AE326" s="499"/>
      <c r="AF326" s="499"/>
      <c r="AG326" s="499"/>
      <c r="AH326" s="499"/>
      <c r="AI326" s="1483"/>
      <c r="AJ326" s="1515"/>
      <c r="AK326" s="1515"/>
    </row>
    <row r="327">
      <c r="A327" s="499"/>
      <c r="B327" s="1501"/>
      <c r="C327" s="1502"/>
      <c r="D327" s="1503"/>
      <c r="E327" s="1503"/>
      <c r="F327" s="1504"/>
      <c r="G327" s="1504"/>
      <c r="H327" s="483"/>
      <c r="I327" s="1505"/>
      <c r="J327" s="1516" t="s">
        <v>123</v>
      </c>
      <c r="K327" s="1506"/>
      <c r="L327" s="1506"/>
      <c r="M327" s="1479"/>
      <c r="N327" s="1503"/>
      <c r="O327" s="1503"/>
      <c r="P327" s="1503"/>
      <c r="Q327" s="1503"/>
      <c r="R327" s="1503"/>
      <c r="S327" s="1504"/>
      <c r="T327" s="1504"/>
      <c r="U327" s="483"/>
      <c r="V327" s="1505"/>
      <c r="W327" s="1516" t="s">
        <v>123</v>
      </c>
      <c r="X327" s="1506"/>
      <c r="Y327" s="1506"/>
      <c r="Z327" s="1481"/>
      <c r="AA327" s="499"/>
      <c r="AB327" s="499"/>
      <c r="AC327" s="499"/>
      <c r="AD327" s="499"/>
      <c r="AE327" s="499"/>
      <c r="AF327" s="499"/>
      <c r="AG327" s="499"/>
      <c r="AH327" s="499"/>
      <c r="AI327" s="1483"/>
      <c r="AJ327" s="1515"/>
      <c r="AK327" s="1515"/>
    </row>
    <row r="328">
      <c r="A328" s="499"/>
      <c r="B328" s="1501"/>
      <c r="C328" s="1502"/>
      <c r="D328" s="1503"/>
      <c r="E328" s="1503"/>
      <c r="F328" s="1504"/>
      <c r="G328" s="1504"/>
      <c r="H328" s="483"/>
      <c r="I328" s="1505"/>
      <c r="J328" s="1516" t="s">
        <v>123</v>
      </c>
      <c r="K328" s="1506"/>
      <c r="L328" s="1506"/>
      <c r="M328" s="1479"/>
      <c r="N328" s="1503"/>
      <c r="O328" s="1503"/>
      <c r="P328" s="1503"/>
      <c r="Q328" s="1503"/>
      <c r="R328" s="1503"/>
      <c r="S328" s="1504"/>
      <c r="T328" s="1504"/>
      <c r="U328" s="483"/>
      <c r="V328" s="1505"/>
      <c r="W328" s="1516" t="s">
        <v>123</v>
      </c>
      <c r="X328" s="1506"/>
      <c r="Y328" s="1506"/>
      <c r="Z328" s="1481"/>
      <c r="AA328" s="499"/>
      <c r="AB328" s="499"/>
      <c r="AC328" s="499"/>
      <c r="AD328" s="499"/>
      <c r="AE328" s="499"/>
      <c r="AF328" s="499"/>
      <c r="AG328" s="499"/>
      <c r="AH328" s="499"/>
      <c r="AI328" s="1483"/>
      <c r="AJ328" s="1515"/>
      <c r="AK328" s="1515"/>
    </row>
    <row r="329">
      <c r="A329" s="499"/>
      <c r="B329" s="1501"/>
      <c r="C329" s="1502"/>
      <c r="D329" s="1503"/>
      <c r="E329" s="1503"/>
      <c r="F329" s="1504"/>
      <c r="G329" s="1504"/>
      <c r="H329" s="483"/>
      <c r="I329" s="1505"/>
      <c r="J329" s="1516" t="s">
        <v>123</v>
      </c>
      <c r="K329" s="1506"/>
      <c r="L329" s="1506"/>
      <c r="M329" s="1479"/>
      <c r="N329" s="1503"/>
      <c r="O329" s="1503"/>
      <c r="P329" s="1503"/>
      <c r="Q329" s="1503"/>
      <c r="R329" s="1503"/>
      <c r="S329" s="1504"/>
      <c r="T329" s="1504"/>
      <c r="U329" s="483"/>
      <c r="V329" s="1505"/>
      <c r="W329" s="1516" t="s">
        <v>123</v>
      </c>
      <c r="X329" s="1506"/>
      <c r="Y329" s="1506"/>
      <c r="Z329" s="1481"/>
      <c r="AA329" s="499"/>
      <c r="AB329" s="499"/>
      <c r="AC329" s="499"/>
      <c r="AD329" s="499"/>
      <c r="AE329" s="499"/>
      <c r="AF329" s="499"/>
      <c r="AG329" s="499"/>
      <c r="AH329" s="499"/>
      <c r="AI329" s="1483"/>
      <c r="AJ329" s="1515"/>
      <c r="AK329" s="1515"/>
    </row>
    <row r="330">
      <c r="A330" s="499"/>
      <c r="B330" s="1501"/>
      <c r="C330" s="1502"/>
      <c r="D330" s="1503"/>
      <c r="E330" s="1503"/>
      <c r="F330" s="1504"/>
      <c r="G330" s="1504"/>
      <c r="H330" s="483"/>
      <c r="I330" s="1505"/>
      <c r="J330" s="1516" t="s">
        <v>123</v>
      </c>
      <c r="K330" s="1506"/>
      <c r="L330" s="1506"/>
      <c r="M330" s="1479"/>
      <c r="N330" s="1503"/>
      <c r="O330" s="1503"/>
      <c r="P330" s="1503"/>
      <c r="Q330" s="1503"/>
      <c r="R330" s="1503"/>
      <c r="S330" s="1504"/>
      <c r="T330" s="1504"/>
      <c r="U330" s="483"/>
      <c r="V330" s="1505"/>
      <c r="W330" s="1516" t="s">
        <v>123</v>
      </c>
      <c r="X330" s="1506"/>
      <c r="Y330" s="1506"/>
      <c r="Z330" s="1481"/>
      <c r="AA330" s="499"/>
      <c r="AB330" s="499"/>
      <c r="AC330" s="499"/>
      <c r="AD330" s="499"/>
      <c r="AE330" s="499"/>
      <c r="AF330" s="499"/>
      <c r="AG330" s="499"/>
      <c r="AH330" s="499"/>
      <c r="AI330" s="1483"/>
      <c r="AJ330" s="1515"/>
      <c r="AK330" s="1515"/>
    </row>
    <row r="331">
      <c r="A331" s="499"/>
      <c r="B331" s="1501"/>
      <c r="C331" s="1502"/>
      <c r="D331" s="1503"/>
      <c r="E331" s="1503"/>
      <c r="F331" s="1504"/>
      <c r="G331" s="1504"/>
      <c r="H331" s="483"/>
      <c r="I331" s="1505"/>
      <c r="J331" s="1516" t="s">
        <v>123</v>
      </c>
      <c r="K331" s="1506"/>
      <c r="L331" s="1506"/>
      <c r="M331" s="1479"/>
      <c r="N331" s="1503"/>
      <c r="O331" s="1503"/>
      <c r="P331" s="1503"/>
      <c r="Q331" s="1503"/>
      <c r="R331" s="1503"/>
      <c r="S331" s="1504"/>
      <c r="T331" s="1504"/>
      <c r="U331" s="483"/>
      <c r="V331" s="1505"/>
      <c r="W331" s="1516" t="s">
        <v>123</v>
      </c>
      <c r="X331" s="1506"/>
      <c r="Y331" s="1506"/>
      <c r="Z331" s="1481"/>
      <c r="AA331" s="499"/>
      <c r="AB331" s="499"/>
      <c r="AC331" s="499"/>
      <c r="AD331" s="499"/>
      <c r="AE331" s="499"/>
      <c r="AF331" s="499"/>
      <c r="AG331" s="499"/>
      <c r="AH331" s="499"/>
      <c r="AI331" s="1483"/>
      <c r="AJ331" s="1515"/>
      <c r="AK331" s="1515"/>
    </row>
    <row r="332">
      <c r="A332" s="499"/>
      <c r="B332" s="1501"/>
      <c r="C332" s="1502"/>
      <c r="D332" s="1503"/>
      <c r="E332" s="1503"/>
      <c r="F332" s="1504"/>
      <c r="G332" s="1504"/>
      <c r="H332" s="483"/>
      <c r="I332" s="1505"/>
      <c r="J332" s="1516" t="s">
        <v>123</v>
      </c>
      <c r="K332" s="1506"/>
      <c r="L332" s="1506"/>
      <c r="M332" s="1479"/>
      <c r="N332" s="1503"/>
      <c r="O332" s="1503"/>
      <c r="P332" s="1503"/>
      <c r="Q332" s="1503"/>
      <c r="R332" s="1503"/>
      <c r="S332" s="1504"/>
      <c r="T332" s="1504"/>
      <c r="U332" s="483"/>
      <c r="V332" s="1505"/>
      <c r="W332" s="1516" t="s">
        <v>123</v>
      </c>
      <c r="X332" s="1506"/>
      <c r="Y332" s="1506"/>
      <c r="Z332" s="1481"/>
      <c r="AA332" s="499"/>
      <c r="AB332" s="499"/>
      <c r="AC332" s="499"/>
      <c r="AD332" s="499"/>
      <c r="AE332" s="499"/>
      <c r="AF332" s="499"/>
      <c r="AG332" s="499"/>
      <c r="AH332" s="499"/>
      <c r="AI332" s="1483"/>
      <c r="AJ332" s="1515"/>
      <c r="AK332" s="1515"/>
    </row>
    <row r="333">
      <c r="A333" s="499"/>
      <c r="B333" s="1501"/>
      <c r="C333" s="1502"/>
      <c r="D333" s="1503"/>
      <c r="E333" s="1503"/>
      <c r="F333" s="1504"/>
      <c r="G333" s="1504"/>
      <c r="H333" s="483"/>
      <c r="I333" s="1505"/>
      <c r="J333" s="1516" t="s">
        <v>123</v>
      </c>
      <c r="K333" s="1506"/>
      <c r="L333" s="1506"/>
      <c r="M333" s="1479"/>
      <c r="N333" s="1503"/>
      <c r="O333" s="1503"/>
      <c r="P333" s="1503"/>
      <c r="Q333" s="1503"/>
      <c r="R333" s="1503"/>
      <c r="S333" s="1504"/>
      <c r="T333" s="1504"/>
      <c r="U333" s="483"/>
      <c r="V333" s="1505"/>
      <c r="W333" s="1516" t="s">
        <v>123</v>
      </c>
      <c r="X333" s="1506"/>
      <c r="Y333" s="1506"/>
      <c r="Z333" s="1481"/>
      <c r="AA333" s="499"/>
      <c r="AB333" s="499"/>
      <c r="AC333" s="499"/>
      <c r="AD333" s="499"/>
      <c r="AE333" s="499"/>
      <c r="AF333" s="499"/>
      <c r="AG333" s="499"/>
      <c r="AH333" s="499"/>
      <c r="AI333" s="1483"/>
      <c r="AJ333" s="1515"/>
      <c r="AK333" s="1515"/>
    </row>
    <row r="334">
      <c r="A334" s="499"/>
      <c r="B334" s="1501"/>
      <c r="C334" s="1502"/>
      <c r="D334" s="1503"/>
      <c r="E334" s="1503"/>
      <c r="F334" s="1504"/>
      <c r="G334" s="1504"/>
      <c r="H334" s="483"/>
      <c r="I334" s="1505"/>
      <c r="J334" s="1516" t="s">
        <v>123</v>
      </c>
      <c r="K334" s="1506"/>
      <c r="L334" s="1506"/>
      <c r="M334" s="1479"/>
      <c r="N334" s="1503"/>
      <c r="O334" s="1503"/>
      <c r="P334" s="1503"/>
      <c r="Q334" s="1503"/>
      <c r="R334" s="1503"/>
      <c r="S334" s="1504"/>
      <c r="T334" s="1504"/>
      <c r="U334" s="483"/>
      <c r="V334" s="1505"/>
      <c r="W334" s="1516" t="s">
        <v>123</v>
      </c>
      <c r="X334" s="1506"/>
      <c r="Y334" s="1506"/>
      <c r="Z334" s="1481"/>
      <c r="AA334" s="499"/>
      <c r="AB334" s="499"/>
      <c r="AC334" s="499"/>
      <c r="AD334" s="499"/>
      <c r="AE334" s="499"/>
      <c r="AF334" s="499"/>
      <c r="AG334" s="499"/>
      <c r="AH334" s="499"/>
      <c r="AI334" s="1483"/>
      <c r="AJ334" s="1515"/>
      <c r="AK334" s="1515"/>
    </row>
    <row r="335">
      <c r="A335" s="499"/>
      <c r="B335" s="1501"/>
      <c r="C335" s="1502"/>
      <c r="D335" s="1503"/>
      <c r="E335" s="1503"/>
      <c r="F335" s="1504"/>
      <c r="G335" s="1504"/>
      <c r="H335" s="483"/>
      <c r="I335" s="1505"/>
      <c r="J335" s="1516" t="s">
        <v>123</v>
      </c>
      <c r="K335" s="1506"/>
      <c r="L335" s="1506"/>
      <c r="M335" s="1479"/>
      <c r="N335" s="1503"/>
      <c r="O335" s="1503"/>
      <c r="P335" s="1503"/>
      <c r="Q335" s="1503"/>
      <c r="R335" s="1503"/>
      <c r="S335" s="1504"/>
      <c r="T335" s="1504"/>
      <c r="U335" s="483"/>
      <c r="V335" s="1505"/>
      <c r="W335" s="1516" t="s">
        <v>123</v>
      </c>
      <c r="X335" s="1506"/>
      <c r="Y335" s="1506"/>
      <c r="Z335" s="1481"/>
      <c r="AA335" s="499"/>
      <c r="AB335" s="499"/>
      <c r="AC335" s="499"/>
      <c r="AD335" s="499"/>
      <c r="AE335" s="499"/>
      <c r="AF335" s="499"/>
      <c r="AG335" s="499"/>
      <c r="AH335" s="499"/>
      <c r="AI335" s="1483"/>
      <c r="AJ335" s="1515"/>
      <c r="AK335" s="1515"/>
    </row>
    <row r="336">
      <c r="A336" s="499"/>
      <c r="B336" s="1501"/>
      <c r="C336" s="1502"/>
      <c r="D336" s="1503"/>
      <c r="E336" s="1503"/>
      <c r="F336" s="1504"/>
      <c r="G336" s="1504"/>
      <c r="H336" s="483"/>
      <c r="I336" s="1505"/>
      <c r="J336" s="1516" t="s">
        <v>123</v>
      </c>
      <c r="K336" s="1506"/>
      <c r="L336" s="1506"/>
      <c r="M336" s="1479"/>
      <c r="N336" s="1503"/>
      <c r="O336" s="1503"/>
      <c r="P336" s="1503"/>
      <c r="Q336" s="1503"/>
      <c r="R336" s="1503"/>
      <c r="S336" s="1504"/>
      <c r="T336" s="1504"/>
      <c r="U336" s="483"/>
      <c r="V336" s="1505"/>
      <c r="W336" s="1516" t="s">
        <v>123</v>
      </c>
      <c r="X336" s="1506"/>
      <c r="Y336" s="1506"/>
      <c r="Z336" s="1481"/>
      <c r="AA336" s="499"/>
      <c r="AB336" s="499"/>
      <c r="AC336" s="499"/>
      <c r="AD336" s="499"/>
      <c r="AE336" s="499"/>
      <c r="AF336" s="499"/>
      <c r="AG336" s="499"/>
      <c r="AH336" s="499"/>
      <c r="AI336" s="1483"/>
      <c r="AJ336" s="1515"/>
      <c r="AK336" s="1515"/>
    </row>
    <row r="337">
      <c r="A337" s="499"/>
      <c r="B337" s="1501"/>
      <c r="C337" s="1502"/>
      <c r="D337" s="1503"/>
      <c r="E337" s="1503"/>
      <c r="F337" s="1504"/>
      <c r="G337" s="1504"/>
      <c r="H337" s="483"/>
      <c r="I337" s="1505"/>
      <c r="J337" s="1516" t="s">
        <v>123</v>
      </c>
      <c r="K337" s="1506"/>
      <c r="L337" s="1506"/>
      <c r="M337" s="1479"/>
      <c r="N337" s="1503"/>
      <c r="O337" s="1503"/>
      <c r="P337" s="1503"/>
      <c r="Q337" s="1503"/>
      <c r="R337" s="1503"/>
      <c r="S337" s="1504"/>
      <c r="T337" s="1504"/>
      <c r="U337" s="483"/>
      <c r="V337" s="1505"/>
      <c r="W337" s="1516" t="s">
        <v>123</v>
      </c>
      <c r="X337" s="1506"/>
      <c r="Y337" s="1506"/>
      <c r="Z337" s="1481"/>
      <c r="AA337" s="499"/>
      <c r="AB337" s="499"/>
      <c r="AC337" s="499"/>
      <c r="AD337" s="499"/>
      <c r="AE337" s="499"/>
      <c r="AF337" s="499"/>
      <c r="AG337" s="499"/>
      <c r="AH337" s="499"/>
      <c r="AI337" s="1483"/>
      <c r="AJ337" s="1515"/>
      <c r="AK337" s="1515"/>
    </row>
    <row r="338">
      <c r="A338" s="499"/>
      <c r="B338" s="1501"/>
      <c r="C338" s="1502"/>
      <c r="D338" s="1503"/>
      <c r="E338" s="1503"/>
      <c r="F338" s="1504"/>
      <c r="G338" s="1504"/>
      <c r="H338" s="483"/>
      <c r="I338" s="1505"/>
      <c r="J338" s="1516" t="s">
        <v>123</v>
      </c>
      <c r="K338" s="1506"/>
      <c r="L338" s="1506"/>
      <c r="M338" s="1479"/>
      <c r="N338" s="1503"/>
      <c r="O338" s="1503"/>
      <c r="P338" s="1503"/>
      <c r="Q338" s="1503"/>
      <c r="R338" s="1503"/>
      <c r="S338" s="1504"/>
      <c r="T338" s="1504"/>
      <c r="U338" s="483"/>
      <c r="V338" s="1505"/>
      <c r="W338" s="1516" t="s">
        <v>123</v>
      </c>
      <c r="X338" s="1506"/>
      <c r="Y338" s="1506"/>
      <c r="Z338" s="1481"/>
      <c r="AA338" s="499"/>
      <c r="AB338" s="499"/>
      <c r="AC338" s="499"/>
      <c r="AD338" s="499"/>
      <c r="AE338" s="499"/>
      <c r="AF338" s="499"/>
      <c r="AG338" s="499"/>
      <c r="AH338" s="499"/>
      <c r="AI338" s="1483"/>
      <c r="AJ338" s="1515"/>
      <c r="AK338" s="1515"/>
    </row>
    <row r="339">
      <c r="A339" s="499"/>
      <c r="B339" s="1501"/>
      <c r="C339" s="1502"/>
      <c r="D339" s="1503"/>
      <c r="E339" s="1503"/>
      <c r="F339" s="1504"/>
      <c r="G339" s="1504"/>
      <c r="H339" s="483"/>
      <c r="I339" s="1505"/>
      <c r="J339" s="1516" t="s">
        <v>123</v>
      </c>
      <c r="K339" s="1506"/>
      <c r="L339" s="1506"/>
      <c r="M339" s="1479"/>
      <c r="N339" s="1503"/>
      <c r="O339" s="1503"/>
      <c r="P339" s="1503"/>
      <c r="Q339" s="1503"/>
      <c r="R339" s="1503"/>
      <c r="S339" s="1504"/>
      <c r="T339" s="1504"/>
      <c r="U339" s="483"/>
      <c r="V339" s="1505"/>
      <c r="W339" s="1516" t="s">
        <v>123</v>
      </c>
      <c r="X339" s="1506"/>
      <c r="Y339" s="1506"/>
      <c r="Z339" s="1481"/>
      <c r="AA339" s="499"/>
      <c r="AB339" s="499"/>
      <c r="AC339" s="499"/>
      <c r="AD339" s="499"/>
      <c r="AE339" s="499"/>
      <c r="AF339" s="499"/>
      <c r="AG339" s="499"/>
      <c r="AH339" s="499"/>
      <c r="AI339" s="1483"/>
      <c r="AJ339" s="1515"/>
      <c r="AK339" s="1515"/>
    </row>
    <row r="340">
      <c r="A340" s="499"/>
      <c r="B340" s="1501"/>
      <c r="C340" s="1502"/>
      <c r="D340" s="1503"/>
      <c r="E340" s="1503"/>
      <c r="F340" s="1504"/>
      <c r="G340" s="1504"/>
      <c r="H340" s="483"/>
      <c r="I340" s="1505"/>
      <c r="J340" s="1516" t="s">
        <v>123</v>
      </c>
      <c r="K340" s="1506"/>
      <c r="L340" s="1506"/>
      <c r="M340" s="1479"/>
      <c r="N340" s="1503"/>
      <c r="O340" s="1503"/>
      <c r="P340" s="1503"/>
      <c r="Q340" s="1503"/>
      <c r="R340" s="1503"/>
      <c r="S340" s="1504"/>
      <c r="T340" s="1504"/>
      <c r="U340" s="483"/>
      <c r="V340" s="1505"/>
      <c r="W340" s="1516" t="s">
        <v>123</v>
      </c>
      <c r="X340" s="1506"/>
      <c r="Y340" s="1506"/>
      <c r="Z340" s="1481"/>
      <c r="AA340" s="499"/>
      <c r="AB340" s="499"/>
      <c r="AC340" s="499"/>
      <c r="AD340" s="499"/>
      <c r="AE340" s="499"/>
      <c r="AF340" s="499"/>
      <c r="AG340" s="499"/>
      <c r="AH340" s="499"/>
      <c r="AI340" s="1483"/>
      <c r="AJ340" s="1515"/>
      <c r="AK340" s="1515"/>
    </row>
    <row r="341">
      <c r="A341" s="499"/>
      <c r="B341" s="1501"/>
      <c r="C341" s="1502"/>
      <c r="D341" s="1503"/>
      <c r="E341" s="1503"/>
      <c r="F341" s="1504"/>
      <c r="G341" s="1504"/>
      <c r="H341" s="483"/>
      <c r="I341" s="1505"/>
      <c r="J341" s="1516" t="s">
        <v>123</v>
      </c>
      <c r="K341" s="1506"/>
      <c r="L341" s="1506"/>
      <c r="M341" s="1479"/>
      <c r="N341" s="1503"/>
      <c r="O341" s="1503"/>
      <c r="P341" s="1503"/>
      <c r="Q341" s="1503"/>
      <c r="R341" s="1503"/>
      <c r="S341" s="1504"/>
      <c r="T341" s="1504"/>
      <c r="U341" s="483"/>
      <c r="V341" s="1505"/>
      <c r="W341" s="1516" t="s">
        <v>123</v>
      </c>
      <c r="X341" s="1506"/>
      <c r="Y341" s="1506"/>
      <c r="Z341" s="1481"/>
      <c r="AA341" s="499"/>
      <c r="AB341" s="499"/>
      <c r="AC341" s="499"/>
      <c r="AD341" s="499"/>
      <c r="AE341" s="499"/>
      <c r="AF341" s="499"/>
      <c r="AG341" s="499"/>
      <c r="AH341" s="499"/>
      <c r="AI341" s="1483"/>
      <c r="AJ341" s="1515"/>
      <c r="AK341" s="1515"/>
    </row>
    <row r="342">
      <c r="A342" s="499"/>
      <c r="B342" s="1501"/>
      <c r="C342" s="1502"/>
      <c r="D342" s="1503"/>
      <c r="E342" s="1503"/>
      <c r="F342" s="1504"/>
      <c r="G342" s="1504"/>
      <c r="H342" s="483"/>
      <c r="I342" s="1505"/>
      <c r="J342" s="1516" t="s">
        <v>123</v>
      </c>
      <c r="K342" s="1506"/>
      <c r="L342" s="1506"/>
      <c r="M342" s="1479"/>
      <c r="N342" s="1503"/>
      <c r="O342" s="1503"/>
      <c r="P342" s="1503"/>
      <c r="Q342" s="1503"/>
      <c r="R342" s="1503"/>
      <c r="S342" s="1504"/>
      <c r="T342" s="1504"/>
      <c r="U342" s="483"/>
      <c r="V342" s="1505"/>
      <c r="W342" s="1516" t="s">
        <v>123</v>
      </c>
      <c r="X342" s="1506"/>
      <c r="Y342" s="1506"/>
      <c r="Z342" s="1481"/>
      <c r="AA342" s="499"/>
      <c r="AB342" s="499"/>
      <c r="AC342" s="499"/>
      <c r="AD342" s="499"/>
      <c r="AE342" s="499"/>
      <c r="AF342" s="499"/>
      <c r="AG342" s="499"/>
      <c r="AH342" s="499"/>
      <c r="AI342" s="1483"/>
      <c r="AJ342" s="1515"/>
      <c r="AK342" s="1515"/>
    </row>
    <row r="343">
      <c r="A343" s="499"/>
      <c r="B343" s="1501"/>
      <c r="C343" s="1502"/>
      <c r="D343" s="1503"/>
      <c r="E343" s="1503"/>
      <c r="F343" s="1504"/>
      <c r="G343" s="1504"/>
      <c r="H343" s="483"/>
      <c r="I343" s="1505"/>
      <c r="J343" s="1516" t="s">
        <v>123</v>
      </c>
      <c r="K343" s="1506"/>
      <c r="L343" s="1506"/>
      <c r="M343" s="1479"/>
      <c r="N343" s="1503"/>
      <c r="O343" s="1503"/>
      <c r="P343" s="1503"/>
      <c r="Q343" s="1503"/>
      <c r="R343" s="1503"/>
      <c r="S343" s="1504"/>
      <c r="T343" s="1504"/>
      <c r="U343" s="483"/>
      <c r="V343" s="1505"/>
      <c r="W343" s="1516" t="s">
        <v>123</v>
      </c>
      <c r="X343" s="1506"/>
      <c r="Y343" s="1506"/>
      <c r="Z343" s="1481"/>
      <c r="AA343" s="499"/>
      <c r="AB343" s="499"/>
      <c r="AC343" s="499"/>
      <c r="AD343" s="499"/>
      <c r="AE343" s="499"/>
      <c r="AF343" s="499"/>
      <c r="AG343" s="499"/>
      <c r="AH343" s="499"/>
      <c r="AI343" s="1483"/>
      <c r="AJ343" s="1515"/>
      <c r="AK343" s="1515"/>
    </row>
    <row r="344">
      <c r="A344" s="499"/>
      <c r="B344" s="1501"/>
      <c r="C344" s="1502"/>
      <c r="D344" s="1503"/>
      <c r="E344" s="1503"/>
      <c r="F344" s="1504"/>
      <c r="G344" s="1504"/>
      <c r="H344" s="483"/>
      <c r="I344" s="1505"/>
      <c r="J344" s="1516" t="s">
        <v>123</v>
      </c>
      <c r="K344" s="1506"/>
      <c r="L344" s="1506"/>
      <c r="M344" s="1479"/>
      <c r="N344" s="1503"/>
      <c r="O344" s="1503"/>
      <c r="P344" s="1503"/>
      <c r="Q344" s="1503"/>
      <c r="R344" s="1503"/>
      <c r="S344" s="1504"/>
      <c r="T344" s="1504"/>
      <c r="U344" s="483"/>
      <c r="V344" s="1505"/>
      <c r="W344" s="1516" t="s">
        <v>123</v>
      </c>
      <c r="X344" s="1506"/>
      <c r="Y344" s="1506"/>
      <c r="Z344" s="1481"/>
      <c r="AA344" s="499"/>
      <c r="AB344" s="499"/>
      <c r="AC344" s="499"/>
      <c r="AD344" s="499"/>
      <c r="AE344" s="499"/>
      <c r="AF344" s="499"/>
      <c r="AG344" s="499"/>
      <c r="AH344" s="499"/>
      <c r="AI344" s="1483"/>
      <c r="AJ344" s="1515"/>
      <c r="AK344" s="1515"/>
    </row>
    <row r="345">
      <c r="A345" s="499"/>
      <c r="B345" s="1501"/>
      <c r="C345" s="1502"/>
      <c r="D345" s="1503"/>
      <c r="E345" s="1503"/>
      <c r="F345" s="1504"/>
      <c r="G345" s="1504"/>
      <c r="H345" s="483"/>
      <c r="I345" s="1505"/>
      <c r="J345" s="1516" t="s">
        <v>123</v>
      </c>
      <c r="K345" s="1506"/>
      <c r="L345" s="1506"/>
      <c r="M345" s="1479"/>
      <c r="N345" s="1503"/>
      <c r="O345" s="1503"/>
      <c r="P345" s="1503"/>
      <c r="Q345" s="1503"/>
      <c r="R345" s="1503"/>
      <c r="S345" s="1504"/>
      <c r="T345" s="1504"/>
      <c r="U345" s="483"/>
      <c r="V345" s="1505"/>
      <c r="W345" s="1516" t="s">
        <v>123</v>
      </c>
      <c r="X345" s="1506"/>
      <c r="Y345" s="1506"/>
      <c r="Z345" s="1481"/>
      <c r="AA345" s="499"/>
      <c r="AB345" s="499"/>
      <c r="AC345" s="499"/>
      <c r="AD345" s="499"/>
      <c r="AE345" s="499"/>
      <c r="AF345" s="499"/>
      <c r="AG345" s="499"/>
      <c r="AH345" s="499"/>
      <c r="AI345" s="1483"/>
      <c r="AJ345" s="1515"/>
      <c r="AK345" s="1515"/>
    </row>
    <row r="346">
      <c r="A346" s="499"/>
      <c r="B346" s="1501"/>
      <c r="C346" s="1502"/>
      <c r="D346" s="1503"/>
      <c r="E346" s="1503"/>
      <c r="F346" s="1504"/>
      <c r="G346" s="1504"/>
      <c r="H346" s="483"/>
      <c r="I346" s="1505"/>
      <c r="J346" s="1516" t="s">
        <v>123</v>
      </c>
      <c r="K346" s="1506"/>
      <c r="L346" s="1506"/>
      <c r="M346" s="1479"/>
      <c r="N346" s="1503"/>
      <c r="O346" s="1503"/>
      <c r="P346" s="1503"/>
      <c r="Q346" s="1503"/>
      <c r="R346" s="1503"/>
      <c r="S346" s="1504"/>
      <c r="T346" s="1504"/>
      <c r="U346" s="483"/>
      <c r="V346" s="1505"/>
      <c r="W346" s="1516" t="s">
        <v>123</v>
      </c>
      <c r="X346" s="1506"/>
      <c r="Y346" s="1506"/>
      <c r="Z346" s="1481"/>
      <c r="AA346" s="499"/>
      <c r="AB346" s="499"/>
      <c r="AC346" s="499"/>
      <c r="AD346" s="499"/>
      <c r="AE346" s="499"/>
      <c r="AF346" s="499"/>
      <c r="AG346" s="499"/>
      <c r="AH346" s="499"/>
      <c r="AI346" s="1483"/>
      <c r="AJ346" s="1515"/>
      <c r="AK346" s="1515"/>
    </row>
    <row r="347">
      <c r="A347" s="499"/>
      <c r="B347" s="1501"/>
      <c r="C347" s="1502"/>
      <c r="D347" s="1503"/>
      <c r="E347" s="1503"/>
      <c r="F347" s="1504"/>
      <c r="G347" s="1504"/>
      <c r="H347" s="483"/>
      <c r="I347" s="1505"/>
      <c r="J347" s="1516" t="s">
        <v>123</v>
      </c>
      <c r="K347" s="1506"/>
      <c r="L347" s="1506"/>
      <c r="M347" s="1479"/>
      <c r="N347" s="1503"/>
      <c r="O347" s="1503"/>
      <c r="P347" s="1503"/>
      <c r="Q347" s="1503"/>
      <c r="R347" s="1503"/>
      <c r="S347" s="1504"/>
      <c r="T347" s="1504"/>
      <c r="U347" s="483"/>
      <c r="V347" s="1505"/>
      <c r="W347" s="1516" t="s">
        <v>123</v>
      </c>
      <c r="X347" s="1506"/>
      <c r="Y347" s="1506"/>
      <c r="Z347" s="1481"/>
      <c r="AA347" s="499"/>
      <c r="AB347" s="499"/>
      <c r="AC347" s="499"/>
      <c r="AD347" s="499"/>
      <c r="AE347" s="499"/>
      <c r="AF347" s="499"/>
      <c r="AG347" s="499"/>
      <c r="AH347" s="499"/>
      <c r="AI347" s="1483"/>
      <c r="AJ347" s="1515"/>
      <c r="AK347" s="1515"/>
    </row>
    <row r="348">
      <c r="A348" s="499"/>
      <c r="B348" s="1501"/>
      <c r="C348" s="1502"/>
      <c r="D348" s="1503"/>
      <c r="E348" s="1503"/>
      <c r="F348" s="1504"/>
      <c r="G348" s="1504"/>
      <c r="H348" s="483"/>
      <c r="I348" s="1505"/>
      <c r="J348" s="1516" t="s">
        <v>123</v>
      </c>
      <c r="K348" s="1506"/>
      <c r="L348" s="1506"/>
      <c r="M348" s="1479"/>
      <c r="N348" s="1503"/>
      <c r="O348" s="1503"/>
      <c r="P348" s="1503"/>
      <c r="Q348" s="1503"/>
      <c r="R348" s="1503"/>
      <c r="S348" s="1504"/>
      <c r="T348" s="1504"/>
      <c r="U348" s="483"/>
      <c r="V348" s="1505"/>
      <c r="W348" s="1516" t="s">
        <v>123</v>
      </c>
      <c r="X348" s="1506"/>
      <c r="Y348" s="1506"/>
      <c r="Z348" s="1481"/>
      <c r="AA348" s="499"/>
      <c r="AB348" s="499"/>
      <c r="AC348" s="499"/>
      <c r="AD348" s="499"/>
      <c r="AE348" s="499"/>
      <c r="AF348" s="499"/>
      <c r="AG348" s="499"/>
      <c r="AH348" s="499"/>
      <c r="AI348" s="1483"/>
      <c r="AJ348" s="1515"/>
      <c r="AK348" s="1515"/>
    </row>
    <row r="349">
      <c r="A349" s="499"/>
      <c r="B349" s="1501"/>
      <c r="C349" s="1502"/>
      <c r="D349" s="1503"/>
      <c r="E349" s="1503"/>
      <c r="F349" s="1504"/>
      <c r="G349" s="1504"/>
      <c r="H349" s="483"/>
      <c r="I349" s="1505"/>
      <c r="J349" s="1516" t="s">
        <v>123</v>
      </c>
      <c r="K349" s="1506"/>
      <c r="L349" s="1506"/>
      <c r="M349" s="1479"/>
      <c r="N349" s="1503"/>
      <c r="O349" s="1503"/>
      <c r="P349" s="1503"/>
      <c r="Q349" s="1503"/>
      <c r="R349" s="1503"/>
      <c r="S349" s="1504"/>
      <c r="T349" s="1504"/>
      <c r="U349" s="483"/>
      <c r="V349" s="1505"/>
      <c r="W349" s="1516" t="s">
        <v>123</v>
      </c>
      <c r="X349" s="1506"/>
      <c r="Y349" s="1506"/>
      <c r="Z349" s="1481"/>
      <c r="AA349" s="499"/>
      <c r="AB349" s="499"/>
      <c r="AC349" s="499"/>
      <c r="AD349" s="499"/>
      <c r="AE349" s="499"/>
      <c r="AF349" s="499"/>
      <c r="AG349" s="499"/>
      <c r="AH349" s="499"/>
      <c r="AI349" s="1483"/>
      <c r="AJ349" s="1515"/>
      <c r="AK349" s="1515"/>
    </row>
    <row r="350">
      <c r="A350" s="499"/>
      <c r="B350" s="1501"/>
      <c r="C350" s="1502"/>
      <c r="D350" s="1503"/>
      <c r="E350" s="1503"/>
      <c r="F350" s="1504"/>
      <c r="G350" s="1504"/>
      <c r="H350" s="483"/>
      <c r="I350" s="1505"/>
      <c r="J350" s="1516" t="s">
        <v>123</v>
      </c>
      <c r="K350" s="1506"/>
      <c r="L350" s="1506"/>
      <c r="M350" s="1479"/>
      <c r="N350" s="1503"/>
      <c r="O350" s="1503"/>
      <c r="P350" s="1503"/>
      <c r="Q350" s="1503"/>
      <c r="R350" s="1503"/>
      <c r="S350" s="1504"/>
      <c r="T350" s="1504"/>
      <c r="U350" s="483"/>
      <c r="V350" s="1505"/>
      <c r="W350" s="1516" t="s">
        <v>123</v>
      </c>
      <c r="X350" s="1506"/>
      <c r="Y350" s="1506"/>
      <c r="Z350" s="1481"/>
      <c r="AA350" s="499"/>
      <c r="AB350" s="499"/>
      <c r="AC350" s="499"/>
      <c r="AD350" s="499"/>
      <c r="AE350" s="499"/>
      <c r="AF350" s="499"/>
      <c r="AG350" s="499"/>
      <c r="AH350" s="499"/>
      <c r="AI350" s="1483"/>
      <c r="AJ350" s="1515"/>
      <c r="AK350" s="1515"/>
    </row>
    <row r="351">
      <c r="A351" s="499"/>
      <c r="B351" s="1501"/>
      <c r="C351" s="1502"/>
      <c r="D351" s="1503"/>
      <c r="E351" s="1503"/>
      <c r="F351" s="1504"/>
      <c r="G351" s="1504"/>
      <c r="H351" s="483"/>
      <c r="I351" s="1505"/>
      <c r="J351" s="1516" t="s">
        <v>123</v>
      </c>
      <c r="K351" s="1506"/>
      <c r="L351" s="1506"/>
      <c r="M351" s="1479"/>
      <c r="N351" s="1503"/>
      <c r="O351" s="1503"/>
      <c r="P351" s="1503"/>
      <c r="Q351" s="1503"/>
      <c r="R351" s="1503"/>
      <c r="S351" s="1504"/>
      <c r="T351" s="1504"/>
      <c r="U351" s="483"/>
      <c r="V351" s="1505"/>
      <c r="W351" s="1516" t="s">
        <v>123</v>
      </c>
      <c r="X351" s="1506"/>
      <c r="Y351" s="1506"/>
      <c r="Z351" s="1481"/>
      <c r="AA351" s="499"/>
      <c r="AB351" s="499"/>
      <c r="AC351" s="499"/>
      <c r="AD351" s="499"/>
      <c r="AE351" s="499"/>
      <c r="AF351" s="499"/>
      <c r="AG351" s="499"/>
      <c r="AH351" s="499"/>
      <c r="AI351" s="1483"/>
      <c r="AJ351" s="1515"/>
      <c r="AK351" s="1515"/>
    </row>
    <row r="352">
      <c r="A352" s="499"/>
      <c r="B352" s="1501"/>
      <c r="C352" s="1502"/>
      <c r="D352" s="1503"/>
      <c r="E352" s="1503"/>
      <c r="F352" s="1504"/>
      <c r="G352" s="1504"/>
      <c r="H352" s="483"/>
      <c r="I352" s="1505"/>
      <c r="J352" s="1516" t="s">
        <v>123</v>
      </c>
      <c r="K352" s="1506"/>
      <c r="L352" s="1506"/>
      <c r="M352" s="1479"/>
      <c r="N352" s="1503"/>
      <c r="O352" s="1503"/>
      <c r="P352" s="1503"/>
      <c r="Q352" s="1503"/>
      <c r="R352" s="1503"/>
      <c r="S352" s="1504"/>
      <c r="T352" s="1504"/>
      <c r="U352" s="483"/>
      <c r="V352" s="1505"/>
      <c r="W352" s="1516" t="s">
        <v>123</v>
      </c>
      <c r="X352" s="1506"/>
      <c r="Y352" s="1506"/>
      <c r="Z352" s="1481"/>
      <c r="AA352" s="499"/>
      <c r="AB352" s="499"/>
      <c r="AC352" s="499"/>
      <c r="AD352" s="499"/>
      <c r="AE352" s="499"/>
      <c r="AF352" s="499"/>
      <c r="AG352" s="499"/>
      <c r="AH352" s="499"/>
      <c r="AI352" s="1483"/>
      <c r="AJ352" s="1515"/>
      <c r="AK352" s="1515"/>
    </row>
    <row r="353">
      <c r="A353" s="499"/>
      <c r="B353" s="1501"/>
      <c r="C353" s="1502"/>
      <c r="D353" s="1503"/>
      <c r="E353" s="1503"/>
      <c r="F353" s="1504"/>
      <c r="G353" s="1504"/>
      <c r="H353" s="483"/>
      <c r="I353" s="1505"/>
      <c r="J353" s="1516" t="s">
        <v>123</v>
      </c>
      <c r="K353" s="1506"/>
      <c r="L353" s="1506"/>
      <c r="M353" s="1479"/>
      <c r="N353" s="1503"/>
      <c r="O353" s="1503"/>
      <c r="P353" s="1503"/>
      <c r="Q353" s="1503"/>
      <c r="R353" s="1503"/>
      <c r="S353" s="1504"/>
      <c r="T353" s="1504"/>
      <c r="U353" s="483"/>
      <c r="V353" s="1505"/>
      <c r="W353" s="1516" t="s">
        <v>123</v>
      </c>
      <c r="X353" s="1506"/>
      <c r="Y353" s="1506"/>
      <c r="Z353" s="1481"/>
      <c r="AA353" s="499"/>
      <c r="AB353" s="499"/>
      <c r="AC353" s="499"/>
      <c r="AD353" s="499"/>
      <c r="AE353" s="499"/>
      <c r="AF353" s="499"/>
      <c r="AG353" s="499"/>
      <c r="AH353" s="499"/>
      <c r="AI353" s="1483"/>
      <c r="AJ353" s="1515"/>
      <c r="AK353" s="1515"/>
    </row>
    <row r="354">
      <c r="A354" s="499"/>
      <c r="B354" s="1501"/>
      <c r="C354" s="1502"/>
      <c r="D354" s="1503"/>
      <c r="E354" s="1503"/>
      <c r="F354" s="1504"/>
      <c r="G354" s="1504"/>
      <c r="H354" s="483"/>
      <c r="I354" s="1505"/>
      <c r="J354" s="1516" t="s">
        <v>123</v>
      </c>
      <c r="K354" s="1506"/>
      <c r="L354" s="1506"/>
      <c r="M354" s="1479"/>
      <c r="N354" s="1503"/>
      <c r="O354" s="1503"/>
      <c r="P354" s="1503"/>
      <c r="Q354" s="1503"/>
      <c r="R354" s="1503"/>
      <c r="S354" s="1504"/>
      <c r="T354" s="1504"/>
      <c r="U354" s="483"/>
      <c r="V354" s="1505"/>
      <c r="W354" s="1516" t="s">
        <v>123</v>
      </c>
      <c r="X354" s="1506"/>
      <c r="Y354" s="1506"/>
      <c r="Z354" s="1481"/>
      <c r="AA354" s="499"/>
      <c r="AB354" s="499"/>
      <c r="AC354" s="499"/>
      <c r="AD354" s="499"/>
      <c r="AE354" s="499"/>
      <c r="AF354" s="499"/>
      <c r="AG354" s="499"/>
      <c r="AH354" s="499"/>
      <c r="AI354" s="1483"/>
      <c r="AJ354" s="1515"/>
      <c r="AK354" s="1515"/>
    </row>
    <row r="355">
      <c r="A355" s="499"/>
      <c r="B355" s="1501"/>
      <c r="C355" s="1502"/>
      <c r="D355" s="1503"/>
      <c r="E355" s="1503"/>
      <c r="F355" s="1504"/>
      <c r="G355" s="1504"/>
      <c r="H355" s="483"/>
      <c r="I355" s="1505"/>
      <c r="J355" s="1516" t="s">
        <v>123</v>
      </c>
      <c r="K355" s="1506"/>
      <c r="L355" s="1506"/>
      <c r="M355" s="1479"/>
      <c r="N355" s="1503"/>
      <c r="O355" s="1503"/>
      <c r="P355" s="1503"/>
      <c r="Q355" s="1503"/>
      <c r="R355" s="1503"/>
      <c r="S355" s="1504"/>
      <c r="T355" s="1504"/>
      <c r="U355" s="483"/>
      <c r="V355" s="1505"/>
      <c r="W355" s="1516" t="s">
        <v>123</v>
      </c>
      <c r="X355" s="1506"/>
      <c r="Y355" s="1506"/>
      <c r="Z355" s="1481"/>
      <c r="AA355" s="499"/>
      <c r="AB355" s="499"/>
      <c r="AC355" s="499"/>
      <c r="AD355" s="499"/>
      <c r="AE355" s="499"/>
      <c r="AF355" s="499"/>
      <c r="AG355" s="499"/>
      <c r="AH355" s="499"/>
      <c r="AI355" s="1483"/>
      <c r="AJ355" s="1515"/>
      <c r="AK355" s="1515"/>
    </row>
    <row r="356">
      <c r="A356" s="499"/>
      <c r="B356" s="1501"/>
      <c r="C356" s="1502"/>
      <c r="D356" s="1503"/>
      <c r="E356" s="1503"/>
      <c r="F356" s="1504"/>
      <c r="G356" s="1504"/>
      <c r="H356" s="483"/>
      <c r="I356" s="1505"/>
      <c r="J356" s="1516" t="s">
        <v>123</v>
      </c>
      <c r="K356" s="1506"/>
      <c r="L356" s="1506"/>
      <c r="M356" s="1479"/>
      <c r="N356" s="1503"/>
      <c r="O356" s="1503"/>
      <c r="P356" s="1503"/>
      <c r="Q356" s="1503"/>
      <c r="R356" s="1503"/>
      <c r="S356" s="1504"/>
      <c r="T356" s="1504"/>
      <c r="U356" s="483"/>
      <c r="V356" s="1505"/>
      <c r="W356" s="1516" t="s">
        <v>123</v>
      </c>
      <c r="X356" s="1506"/>
      <c r="Y356" s="1506"/>
      <c r="Z356" s="1481"/>
      <c r="AA356" s="499"/>
      <c r="AB356" s="499"/>
      <c r="AC356" s="499"/>
      <c r="AD356" s="499"/>
      <c r="AE356" s="499"/>
      <c r="AF356" s="499"/>
      <c r="AG356" s="499"/>
      <c r="AH356" s="499"/>
      <c r="AI356" s="1483"/>
      <c r="AJ356" s="1515"/>
      <c r="AK356" s="1515"/>
    </row>
    <row r="357">
      <c r="A357" s="499"/>
      <c r="B357" s="1501"/>
      <c r="C357" s="1502"/>
      <c r="D357" s="1503"/>
      <c r="E357" s="1503"/>
      <c r="F357" s="1504"/>
      <c r="G357" s="1504"/>
      <c r="H357" s="483"/>
      <c r="I357" s="1505"/>
      <c r="J357" s="1516" t="s">
        <v>123</v>
      </c>
      <c r="K357" s="1506"/>
      <c r="L357" s="1506"/>
      <c r="M357" s="1479"/>
      <c r="N357" s="1503"/>
      <c r="O357" s="1503"/>
      <c r="P357" s="1503"/>
      <c r="Q357" s="1503"/>
      <c r="R357" s="1503"/>
      <c r="S357" s="1504"/>
      <c r="T357" s="1504"/>
      <c r="U357" s="483"/>
      <c r="V357" s="1505"/>
      <c r="W357" s="1516" t="s">
        <v>123</v>
      </c>
      <c r="X357" s="1506"/>
      <c r="Y357" s="1506"/>
      <c r="Z357" s="1481"/>
      <c r="AA357" s="499"/>
      <c r="AB357" s="499"/>
      <c r="AC357" s="499"/>
      <c r="AD357" s="499"/>
      <c r="AE357" s="499"/>
      <c r="AF357" s="499"/>
      <c r="AG357" s="499"/>
      <c r="AH357" s="499"/>
      <c r="AI357" s="1483"/>
      <c r="AJ357" s="1515"/>
      <c r="AK357" s="1515"/>
    </row>
    <row r="358">
      <c r="A358" s="499"/>
      <c r="B358" s="1501"/>
      <c r="C358" s="1502"/>
      <c r="D358" s="1503"/>
      <c r="E358" s="1503"/>
      <c r="F358" s="1504"/>
      <c r="G358" s="1504"/>
      <c r="H358" s="483"/>
      <c r="I358" s="1505"/>
      <c r="J358" s="1516" t="s">
        <v>123</v>
      </c>
      <c r="K358" s="1506"/>
      <c r="L358" s="1506"/>
      <c r="M358" s="1479"/>
      <c r="N358" s="1503"/>
      <c r="O358" s="1503"/>
      <c r="P358" s="1503"/>
      <c r="Q358" s="1503"/>
      <c r="R358" s="1503"/>
      <c r="S358" s="1504"/>
      <c r="T358" s="1504"/>
      <c r="U358" s="483"/>
      <c r="V358" s="1505"/>
      <c r="W358" s="1516" t="s">
        <v>123</v>
      </c>
      <c r="X358" s="1506"/>
      <c r="Y358" s="1506"/>
      <c r="Z358" s="1481"/>
      <c r="AA358" s="499"/>
      <c r="AB358" s="499"/>
      <c r="AC358" s="499"/>
      <c r="AD358" s="499"/>
      <c r="AE358" s="499"/>
      <c r="AF358" s="499"/>
      <c r="AG358" s="499"/>
      <c r="AH358" s="499"/>
      <c r="AI358" s="1483"/>
      <c r="AJ358" s="1515"/>
      <c r="AK358" s="1515"/>
    </row>
    <row r="359">
      <c r="A359" s="499"/>
      <c r="B359" s="1501"/>
      <c r="C359" s="1502"/>
      <c r="D359" s="1503"/>
      <c r="E359" s="1503"/>
      <c r="F359" s="1504"/>
      <c r="G359" s="1504"/>
      <c r="H359" s="483"/>
      <c r="I359" s="1505"/>
      <c r="J359" s="1516" t="s">
        <v>123</v>
      </c>
      <c r="K359" s="1506"/>
      <c r="L359" s="1506"/>
      <c r="M359" s="1479"/>
      <c r="N359" s="1503"/>
      <c r="O359" s="1503"/>
      <c r="P359" s="1503"/>
      <c r="Q359" s="1503"/>
      <c r="R359" s="1503"/>
      <c r="S359" s="1504"/>
      <c r="T359" s="1504"/>
      <c r="U359" s="483"/>
      <c r="V359" s="1505"/>
      <c r="W359" s="1516" t="s">
        <v>123</v>
      </c>
      <c r="X359" s="1506"/>
      <c r="Y359" s="1506"/>
      <c r="Z359" s="1481"/>
      <c r="AA359" s="499"/>
      <c r="AB359" s="499"/>
      <c r="AC359" s="499"/>
      <c r="AD359" s="499"/>
      <c r="AE359" s="499"/>
      <c r="AF359" s="499"/>
      <c r="AG359" s="499"/>
      <c r="AH359" s="499"/>
      <c r="AI359" s="1483"/>
      <c r="AJ359" s="1515"/>
      <c r="AK359" s="1515"/>
    </row>
    <row r="360">
      <c r="A360" s="499"/>
      <c r="B360" s="1501"/>
      <c r="C360" s="1502"/>
      <c r="D360" s="1503"/>
      <c r="E360" s="1503"/>
      <c r="F360" s="1504"/>
      <c r="G360" s="1504"/>
      <c r="H360" s="483"/>
      <c r="I360" s="1505"/>
      <c r="J360" s="1516" t="s">
        <v>123</v>
      </c>
      <c r="K360" s="1506"/>
      <c r="L360" s="1506"/>
      <c r="M360" s="1479"/>
      <c r="N360" s="1503"/>
      <c r="O360" s="1503"/>
      <c r="P360" s="1503"/>
      <c r="Q360" s="1503"/>
      <c r="R360" s="1503"/>
      <c r="S360" s="1504"/>
      <c r="T360" s="1504"/>
      <c r="U360" s="483"/>
      <c r="V360" s="1505"/>
      <c r="W360" s="1516" t="s">
        <v>123</v>
      </c>
      <c r="X360" s="1506"/>
      <c r="Y360" s="1506"/>
      <c r="Z360" s="1481"/>
      <c r="AA360" s="499"/>
      <c r="AB360" s="499"/>
      <c r="AC360" s="499"/>
      <c r="AD360" s="499"/>
      <c r="AE360" s="499"/>
      <c r="AF360" s="499"/>
      <c r="AG360" s="499"/>
      <c r="AH360" s="499"/>
      <c r="AI360" s="1483"/>
      <c r="AJ360" s="1515"/>
      <c r="AK360" s="1515"/>
    </row>
    <row r="361">
      <c r="A361" s="499"/>
      <c r="B361" s="1501"/>
      <c r="C361" s="1502"/>
      <c r="D361" s="1503"/>
      <c r="E361" s="1503"/>
      <c r="F361" s="1504"/>
      <c r="G361" s="1504"/>
      <c r="H361" s="483"/>
      <c r="I361" s="1505"/>
      <c r="J361" s="1516" t="s">
        <v>123</v>
      </c>
      <c r="K361" s="1506"/>
      <c r="L361" s="1506"/>
      <c r="M361" s="1479"/>
      <c r="N361" s="1503"/>
      <c r="O361" s="1503"/>
      <c r="P361" s="1503"/>
      <c r="Q361" s="1503"/>
      <c r="R361" s="1503"/>
      <c r="S361" s="1504"/>
      <c r="T361" s="1504"/>
      <c r="U361" s="483"/>
      <c r="V361" s="1505"/>
      <c r="W361" s="1516" t="s">
        <v>123</v>
      </c>
      <c r="X361" s="1506"/>
      <c r="Y361" s="1506"/>
      <c r="Z361" s="1481"/>
      <c r="AA361" s="499"/>
      <c r="AB361" s="499"/>
      <c r="AC361" s="499"/>
      <c r="AD361" s="499"/>
      <c r="AE361" s="499"/>
      <c r="AF361" s="499"/>
      <c r="AG361" s="499"/>
      <c r="AH361" s="499"/>
      <c r="AI361" s="1483"/>
      <c r="AJ361" s="1515"/>
      <c r="AK361" s="1515"/>
    </row>
    <row r="362">
      <c r="A362" s="499"/>
      <c r="B362" s="1501"/>
      <c r="C362" s="1502"/>
      <c r="D362" s="1503"/>
      <c r="E362" s="1503"/>
      <c r="F362" s="1504"/>
      <c r="G362" s="1504"/>
      <c r="H362" s="483"/>
      <c r="I362" s="1505"/>
      <c r="J362" s="1516" t="s">
        <v>123</v>
      </c>
      <c r="K362" s="1506"/>
      <c r="L362" s="1506"/>
      <c r="M362" s="1479"/>
      <c r="N362" s="1503"/>
      <c r="O362" s="1503"/>
      <c r="P362" s="1503"/>
      <c r="Q362" s="1503"/>
      <c r="R362" s="1503"/>
      <c r="S362" s="1504"/>
      <c r="T362" s="1504"/>
      <c r="U362" s="483"/>
      <c r="V362" s="1505"/>
      <c r="W362" s="1516" t="s">
        <v>123</v>
      </c>
      <c r="X362" s="1506"/>
      <c r="Y362" s="1506"/>
      <c r="Z362" s="1481"/>
      <c r="AA362" s="499"/>
      <c r="AB362" s="499"/>
      <c r="AC362" s="499"/>
      <c r="AD362" s="499"/>
      <c r="AE362" s="499"/>
      <c r="AF362" s="499"/>
      <c r="AG362" s="499"/>
      <c r="AH362" s="499"/>
      <c r="AI362" s="1483"/>
      <c r="AJ362" s="1515"/>
      <c r="AK362" s="1515"/>
    </row>
    <row r="363">
      <c r="A363" s="499"/>
      <c r="B363" s="1501"/>
      <c r="C363" s="1502"/>
      <c r="D363" s="1503"/>
      <c r="E363" s="1503"/>
      <c r="F363" s="1504"/>
      <c r="G363" s="1504"/>
      <c r="H363" s="483"/>
      <c r="I363" s="1505"/>
      <c r="J363" s="1516" t="s">
        <v>123</v>
      </c>
      <c r="K363" s="1506"/>
      <c r="L363" s="1506"/>
      <c r="M363" s="1479"/>
      <c r="N363" s="1503"/>
      <c r="O363" s="1503"/>
      <c r="P363" s="1503"/>
      <c r="Q363" s="1503"/>
      <c r="R363" s="1503"/>
      <c r="S363" s="1504"/>
      <c r="T363" s="1504"/>
      <c r="U363" s="483"/>
      <c r="V363" s="1505"/>
      <c r="W363" s="1516" t="s">
        <v>123</v>
      </c>
      <c r="X363" s="1506"/>
      <c r="Y363" s="1506"/>
      <c r="Z363" s="1481"/>
      <c r="AA363" s="499"/>
      <c r="AB363" s="499"/>
      <c r="AC363" s="499"/>
      <c r="AD363" s="499"/>
      <c r="AE363" s="499"/>
      <c r="AF363" s="499"/>
      <c r="AG363" s="499"/>
      <c r="AH363" s="499"/>
      <c r="AI363" s="1483"/>
      <c r="AJ363" s="1515"/>
      <c r="AK363" s="1515"/>
    </row>
    <row r="364">
      <c r="A364" s="499"/>
      <c r="B364" s="1501"/>
      <c r="C364" s="1502"/>
      <c r="D364" s="1503"/>
      <c r="E364" s="1503"/>
      <c r="F364" s="1504"/>
      <c r="G364" s="1504"/>
      <c r="H364" s="483"/>
      <c r="I364" s="1505"/>
      <c r="J364" s="1516" t="s">
        <v>123</v>
      </c>
      <c r="K364" s="1506"/>
      <c r="L364" s="1506"/>
      <c r="M364" s="1479"/>
      <c r="N364" s="1503"/>
      <c r="O364" s="1503"/>
      <c r="P364" s="1503"/>
      <c r="Q364" s="1503"/>
      <c r="R364" s="1503"/>
      <c r="S364" s="1504"/>
      <c r="T364" s="1504"/>
      <c r="U364" s="483"/>
      <c r="V364" s="1505"/>
      <c r="W364" s="1516" t="s">
        <v>123</v>
      </c>
      <c r="X364" s="1506"/>
      <c r="Y364" s="1506"/>
      <c r="Z364" s="1481"/>
      <c r="AA364" s="499"/>
      <c r="AB364" s="499"/>
      <c r="AC364" s="499"/>
      <c r="AD364" s="499"/>
      <c r="AE364" s="499"/>
      <c r="AF364" s="499"/>
      <c r="AG364" s="499"/>
      <c r="AH364" s="499"/>
      <c r="AI364" s="1483"/>
      <c r="AJ364" s="1515"/>
      <c r="AK364" s="1515"/>
    </row>
    <row r="365">
      <c r="A365" s="499"/>
      <c r="B365" s="1501"/>
      <c r="C365" s="1502"/>
      <c r="D365" s="1503"/>
      <c r="E365" s="1503"/>
      <c r="F365" s="1504"/>
      <c r="G365" s="1504"/>
      <c r="H365" s="483"/>
      <c r="I365" s="1505"/>
      <c r="J365" s="1516" t="s">
        <v>123</v>
      </c>
      <c r="K365" s="1506"/>
      <c r="L365" s="1506"/>
      <c r="M365" s="1479"/>
      <c r="N365" s="1503"/>
      <c r="O365" s="1503"/>
      <c r="P365" s="1503"/>
      <c r="Q365" s="1503"/>
      <c r="R365" s="1503"/>
      <c r="S365" s="1504"/>
      <c r="T365" s="1504"/>
      <c r="U365" s="483"/>
      <c r="V365" s="1505"/>
      <c r="W365" s="1516" t="s">
        <v>123</v>
      </c>
      <c r="X365" s="1506"/>
      <c r="Y365" s="1506"/>
      <c r="Z365" s="1481"/>
      <c r="AA365" s="499"/>
      <c r="AB365" s="499"/>
      <c r="AC365" s="499"/>
      <c r="AD365" s="499"/>
      <c r="AE365" s="499"/>
      <c r="AF365" s="499"/>
      <c r="AG365" s="499"/>
      <c r="AH365" s="499"/>
      <c r="AI365" s="1483"/>
      <c r="AJ365" s="1515"/>
      <c r="AK365" s="1515"/>
    </row>
    <row r="366">
      <c r="A366" s="499"/>
      <c r="B366" s="1501"/>
      <c r="C366" s="1502"/>
      <c r="D366" s="1503"/>
      <c r="E366" s="1503"/>
      <c r="F366" s="1504"/>
      <c r="G366" s="1504"/>
      <c r="H366" s="483"/>
      <c r="I366" s="1505"/>
      <c r="J366" s="1516" t="s">
        <v>123</v>
      </c>
      <c r="K366" s="1506"/>
      <c r="L366" s="1506"/>
      <c r="M366" s="1479"/>
      <c r="N366" s="1503"/>
      <c r="O366" s="1503"/>
      <c r="P366" s="1503"/>
      <c r="Q366" s="1503"/>
      <c r="R366" s="1503"/>
      <c r="S366" s="1504"/>
      <c r="T366" s="1504"/>
      <c r="U366" s="483"/>
      <c r="V366" s="1505"/>
      <c r="W366" s="1516" t="s">
        <v>123</v>
      </c>
      <c r="X366" s="1506"/>
      <c r="Y366" s="1506"/>
      <c r="Z366" s="1481"/>
      <c r="AA366" s="499"/>
      <c r="AB366" s="499"/>
      <c r="AC366" s="499"/>
      <c r="AD366" s="499"/>
      <c r="AE366" s="499"/>
      <c r="AF366" s="499"/>
      <c r="AG366" s="499"/>
      <c r="AH366" s="499"/>
      <c r="AI366" s="1483"/>
      <c r="AJ366" s="1515"/>
      <c r="AK366" s="1515"/>
    </row>
    <row r="367">
      <c r="A367" s="499"/>
      <c r="B367" s="1501"/>
      <c r="C367" s="1502"/>
      <c r="D367" s="1503"/>
      <c r="E367" s="1503"/>
      <c r="F367" s="1504"/>
      <c r="G367" s="1504"/>
      <c r="H367" s="483"/>
      <c r="I367" s="1505"/>
      <c r="J367" s="1516" t="s">
        <v>123</v>
      </c>
      <c r="K367" s="1506"/>
      <c r="L367" s="1506"/>
      <c r="M367" s="1479"/>
      <c r="N367" s="1503"/>
      <c r="O367" s="1503"/>
      <c r="P367" s="1503"/>
      <c r="Q367" s="1503"/>
      <c r="R367" s="1503"/>
      <c r="S367" s="1504"/>
      <c r="T367" s="1504"/>
      <c r="U367" s="483"/>
      <c r="V367" s="1505"/>
      <c r="W367" s="1516" t="s">
        <v>123</v>
      </c>
      <c r="X367" s="1506"/>
      <c r="Y367" s="1506"/>
      <c r="Z367" s="1481"/>
      <c r="AA367" s="499"/>
      <c r="AB367" s="499"/>
      <c r="AC367" s="499"/>
      <c r="AD367" s="499"/>
      <c r="AE367" s="499"/>
      <c r="AF367" s="499"/>
      <c r="AG367" s="499"/>
      <c r="AH367" s="499"/>
      <c r="AI367" s="1483"/>
      <c r="AJ367" s="1515"/>
      <c r="AK367" s="1515"/>
    </row>
    <row r="368">
      <c r="A368" s="499"/>
      <c r="B368" s="1501"/>
      <c r="C368" s="1502"/>
      <c r="D368" s="1503"/>
      <c r="E368" s="1503"/>
      <c r="F368" s="1504"/>
      <c r="G368" s="1504"/>
      <c r="H368" s="483"/>
      <c r="I368" s="1505"/>
      <c r="J368" s="1516" t="s">
        <v>123</v>
      </c>
      <c r="K368" s="1506"/>
      <c r="L368" s="1506"/>
      <c r="M368" s="1479"/>
      <c r="N368" s="1503"/>
      <c r="O368" s="1503"/>
      <c r="P368" s="1503"/>
      <c r="Q368" s="1503"/>
      <c r="R368" s="1503"/>
      <c r="S368" s="1504"/>
      <c r="T368" s="1504"/>
      <c r="U368" s="483"/>
      <c r="V368" s="1505"/>
      <c r="W368" s="1516" t="s">
        <v>123</v>
      </c>
      <c r="X368" s="1506"/>
      <c r="Y368" s="1506"/>
      <c r="Z368" s="1481"/>
      <c r="AA368" s="499"/>
      <c r="AB368" s="499"/>
      <c r="AC368" s="499"/>
      <c r="AD368" s="499"/>
      <c r="AE368" s="499"/>
      <c r="AF368" s="499"/>
      <c r="AG368" s="499"/>
      <c r="AH368" s="499"/>
      <c r="AI368" s="1483"/>
      <c r="AJ368" s="1515"/>
      <c r="AK368" s="1515"/>
    </row>
    <row r="369">
      <c r="A369" s="499"/>
      <c r="B369" s="1501"/>
      <c r="C369" s="1502"/>
      <c r="D369" s="1503"/>
      <c r="E369" s="1503"/>
      <c r="F369" s="1504"/>
      <c r="G369" s="1504"/>
      <c r="H369" s="483"/>
      <c r="I369" s="1505"/>
      <c r="J369" s="1516" t="s">
        <v>123</v>
      </c>
      <c r="K369" s="1506"/>
      <c r="L369" s="1506"/>
      <c r="M369" s="1479"/>
      <c r="N369" s="1503"/>
      <c r="O369" s="1503"/>
      <c r="P369" s="1503"/>
      <c r="Q369" s="1503"/>
      <c r="R369" s="1503"/>
      <c r="S369" s="1504"/>
      <c r="T369" s="1504"/>
      <c r="U369" s="483"/>
      <c r="V369" s="1505"/>
      <c r="W369" s="1516" t="s">
        <v>123</v>
      </c>
      <c r="X369" s="1506"/>
      <c r="Y369" s="1506"/>
      <c r="Z369" s="1481"/>
      <c r="AA369" s="499"/>
      <c r="AB369" s="499"/>
      <c r="AC369" s="499"/>
      <c r="AD369" s="499"/>
      <c r="AE369" s="499"/>
      <c r="AF369" s="499"/>
      <c r="AG369" s="499"/>
      <c r="AH369" s="499"/>
      <c r="AI369" s="1483"/>
      <c r="AJ369" s="1515"/>
      <c r="AK369" s="1515"/>
    </row>
    <row r="370">
      <c r="A370" s="499"/>
      <c r="B370" s="1501"/>
      <c r="C370" s="1502"/>
      <c r="D370" s="1503"/>
      <c r="E370" s="1503"/>
      <c r="F370" s="1504"/>
      <c r="G370" s="1504"/>
      <c r="H370" s="483"/>
      <c r="I370" s="1505"/>
      <c r="J370" s="1516" t="s">
        <v>123</v>
      </c>
      <c r="K370" s="1506"/>
      <c r="L370" s="1506"/>
      <c r="M370" s="1479"/>
      <c r="N370" s="1503"/>
      <c r="O370" s="1503"/>
      <c r="P370" s="1503"/>
      <c r="Q370" s="1503"/>
      <c r="R370" s="1503"/>
      <c r="S370" s="1504"/>
      <c r="T370" s="1504"/>
      <c r="U370" s="483"/>
      <c r="V370" s="1505"/>
      <c r="W370" s="1516" t="s">
        <v>123</v>
      </c>
      <c r="X370" s="1506"/>
      <c r="Y370" s="1506"/>
      <c r="Z370" s="1481"/>
      <c r="AA370" s="499"/>
      <c r="AB370" s="499"/>
      <c r="AC370" s="499"/>
      <c r="AD370" s="499"/>
      <c r="AE370" s="499"/>
      <c r="AF370" s="499"/>
      <c r="AG370" s="499"/>
      <c r="AH370" s="499"/>
      <c r="AI370" s="1483"/>
      <c r="AJ370" s="1515"/>
      <c r="AK370" s="1515"/>
    </row>
    <row r="371">
      <c r="A371" s="499"/>
      <c r="B371" s="1501"/>
      <c r="C371" s="1502"/>
      <c r="D371" s="1503"/>
      <c r="E371" s="1503"/>
      <c r="F371" s="1504"/>
      <c r="G371" s="1504"/>
      <c r="H371" s="483"/>
      <c r="I371" s="1505"/>
      <c r="J371" s="1516" t="s">
        <v>123</v>
      </c>
      <c r="K371" s="1506"/>
      <c r="L371" s="1506"/>
      <c r="M371" s="1479"/>
      <c r="N371" s="1503"/>
      <c r="O371" s="1503"/>
      <c r="P371" s="1503"/>
      <c r="Q371" s="1503"/>
      <c r="R371" s="1503"/>
      <c r="S371" s="1504"/>
      <c r="T371" s="1504"/>
      <c r="U371" s="483"/>
      <c r="V371" s="1505"/>
      <c r="W371" s="1516" t="s">
        <v>123</v>
      </c>
      <c r="X371" s="1506"/>
      <c r="Y371" s="1506"/>
      <c r="Z371" s="1481"/>
      <c r="AA371" s="499"/>
      <c r="AB371" s="499"/>
      <c r="AC371" s="499"/>
      <c r="AD371" s="499"/>
      <c r="AE371" s="499"/>
      <c r="AF371" s="499"/>
      <c r="AG371" s="499"/>
      <c r="AH371" s="499"/>
      <c r="AI371" s="1483"/>
      <c r="AJ371" s="1515"/>
      <c r="AK371" s="1515"/>
    </row>
    <row r="372">
      <c r="A372" s="499"/>
      <c r="B372" s="1501"/>
      <c r="C372" s="1502"/>
      <c r="D372" s="1503"/>
      <c r="E372" s="1503"/>
      <c r="F372" s="1504"/>
      <c r="G372" s="1504"/>
      <c r="H372" s="483"/>
      <c r="I372" s="1505"/>
      <c r="J372" s="1516" t="s">
        <v>123</v>
      </c>
      <c r="K372" s="1506"/>
      <c r="L372" s="1506"/>
      <c r="M372" s="1479"/>
      <c r="N372" s="1503"/>
      <c r="O372" s="1503"/>
      <c r="P372" s="1503"/>
      <c r="Q372" s="1503"/>
      <c r="R372" s="1503"/>
      <c r="S372" s="1504"/>
      <c r="T372" s="1504"/>
      <c r="U372" s="483"/>
      <c r="V372" s="1505"/>
      <c r="W372" s="1516" t="s">
        <v>123</v>
      </c>
      <c r="X372" s="1506"/>
      <c r="Y372" s="1506"/>
      <c r="Z372" s="1481"/>
      <c r="AA372" s="499"/>
      <c r="AB372" s="499"/>
      <c r="AC372" s="499"/>
      <c r="AD372" s="499"/>
      <c r="AE372" s="499"/>
      <c r="AF372" s="499"/>
      <c r="AG372" s="499"/>
      <c r="AH372" s="499"/>
      <c r="AI372" s="1483"/>
      <c r="AJ372" s="1515"/>
      <c r="AK372" s="1515"/>
    </row>
    <row r="373">
      <c r="A373" s="499"/>
      <c r="B373" s="1501"/>
      <c r="C373" s="1502"/>
      <c r="D373" s="1503"/>
      <c r="E373" s="1503"/>
      <c r="F373" s="1504"/>
      <c r="G373" s="1504"/>
      <c r="H373" s="483"/>
      <c r="I373" s="1505"/>
      <c r="J373" s="1516" t="s">
        <v>123</v>
      </c>
      <c r="K373" s="1506"/>
      <c r="L373" s="1506"/>
      <c r="M373" s="1479"/>
      <c r="N373" s="1503"/>
      <c r="O373" s="1503"/>
      <c r="P373" s="1503"/>
      <c r="Q373" s="1503"/>
      <c r="R373" s="1503"/>
      <c r="S373" s="1504"/>
      <c r="T373" s="1504"/>
      <c r="U373" s="483"/>
      <c r="V373" s="1505"/>
      <c r="W373" s="1516" t="s">
        <v>123</v>
      </c>
      <c r="X373" s="1506"/>
      <c r="Y373" s="1506"/>
      <c r="Z373" s="1481"/>
      <c r="AA373" s="499"/>
      <c r="AB373" s="499"/>
      <c r="AC373" s="499"/>
      <c r="AD373" s="499"/>
      <c r="AE373" s="499"/>
      <c r="AF373" s="499"/>
      <c r="AG373" s="499"/>
      <c r="AH373" s="499"/>
      <c r="AI373" s="1483"/>
      <c r="AJ373" s="1515"/>
      <c r="AK373" s="1515"/>
    </row>
    <row r="374">
      <c r="A374" s="499"/>
      <c r="B374" s="1501"/>
      <c r="C374" s="1502"/>
      <c r="D374" s="1503"/>
      <c r="E374" s="1503"/>
      <c r="F374" s="1504"/>
      <c r="G374" s="1504"/>
      <c r="H374" s="483"/>
      <c r="I374" s="1505"/>
      <c r="J374" s="1516" t="s">
        <v>123</v>
      </c>
      <c r="K374" s="1506"/>
      <c r="L374" s="1506"/>
      <c r="M374" s="1479"/>
      <c r="N374" s="1503"/>
      <c r="O374" s="1503"/>
      <c r="P374" s="1503"/>
      <c r="Q374" s="1503"/>
      <c r="R374" s="1503"/>
      <c r="S374" s="1504"/>
      <c r="T374" s="1504"/>
      <c r="U374" s="483"/>
      <c r="V374" s="1505"/>
      <c r="W374" s="1516" t="s">
        <v>123</v>
      </c>
      <c r="X374" s="1506"/>
      <c r="Y374" s="1506"/>
      <c r="Z374" s="1481"/>
      <c r="AA374" s="499"/>
      <c r="AB374" s="499"/>
      <c r="AC374" s="499"/>
      <c r="AD374" s="499"/>
      <c r="AE374" s="499"/>
      <c r="AF374" s="499"/>
      <c r="AG374" s="499"/>
      <c r="AH374" s="499"/>
      <c r="AI374" s="1483"/>
      <c r="AJ374" s="1515"/>
      <c r="AK374" s="1515"/>
    </row>
    <row r="375">
      <c r="A375" s="499"/>
      <c r="B375" s="1501"/>
      <c r="C375" s="1502"/>
      <c r="D375" s="1503"/>
      <c r="E375" s="1503"/>
      <c r="F375" s="1504"/>
      <c r="G375" s="1504"/>
      <c r="H375" s="483"/>
      <c r="I375" s="1505"/>
      <c r="J375" s="1516" t="s">
        <v>123</v>
      </c>
      <c r="K375" s="1506"/>
      <c r="L375" s="1506"/>
      <c r="M375" s="1479"/>
      <c r="N375" s="1503"/>
      <c r="O375" s="1503"/>
      <c r="P375" s="1503"/>
      <c r="Q375" s="1503"/>
      <c r="R375" s="1503"/>
      <c r="S375" s="1504"/>
      <c r="T375" s="1504"/>
      <c r="U375" s="483"/>
      <c r="V375" s="1505"/>
      <c r="W375" s="1516" t="s">
        <v>123</v>
      </c>
      <c r="X375" s="1506"/>
      <c r="Y375" s="1506"/>
      <c r="Z375" s="1481"/>
      <c r="AA375" s="499"/>
      <c r="AB375" s="499"/>
      <c r="AC375" s="499"/>
      <c r="AD375" s="499"/>
      <c r="AE375" s="499"/>
      <c r="AF375" s="499"/>
      <c r="AG375" s="499"/>
      <c r="AH375" s="499"/>
      <c r="AI375" s="1483"/>
      <c r="AJ375" s="1515"/>
      <c r="AK375" s="1515"/>
    </row>
    <row r="376">
      <c r="A376" s="499"/>
      <c r="B376" s="1501"/>
      <c r="C376" s="1502"/>
      <c r="D376" s="1503"/>
      <c r="E376" s="1503"/>
      <c r="F376" s="1504"/>
      <c r="G376" s="1504"/>
      <c r="H376" s="483"/>
      <c r="I376" s="1505"/>
      <c r="J376" s="1516" t="s">
        <v>123</v>
      </c>
      <c r="K376" s="1506"/>
      <c r="L376" s="1506"/>
      <c r="M376" s="1479"/>
      <c r="N376" s="1503"/>
      <c r="O376" s="1503"/>
      <c r="P376" s="1503"/>
      <c r="Q376" s="1503"/>
      <c r="R376" s="1503"/>
      <c r="S376" s="1504"/>
      <c r="T376" s="1504"/>
      <c r="U376" s="483"/>
      <c r="V376" s="1505"/>
      <c r="W376" s="1516" t="s">
        <v>123</v>
      </c>
      <c r="X376" s="1506"/>
      <c r="Y376" s="1506"/>
      <c r="Z376" s="1481"/>
      <c r="AA376" s="499"/>
      <c r="AB376" s="499"/>
      <c r="AC376" s="499"/>
      <c r="AD376" s="499"/>
      <c r="AE376" s="499"/>
      <c r="AF376" s="499"/>
      <c r="AG376" s="499"/>
      <c r="AH376" s="499"/>
      <c r="AI376" s="1483"/>
      <c r="AJ376" s="1515"/>
      <c r="AK376" s="1515"/>
    </row>
    <row r="377">
      <c r="A377" s="499"/>
      <c r="B377" s="1501"/>
      <c r="C377" s="1502"/>
      <c r="D377" s="1503"/>
      <c r="E377" s="1503"/>
      <c r="F377" s="1504"/>
      <c r="G377" s="1504"/>
      <c r="H377" s="483"/>
      <c r="I377" s="1505"/>
      <c r="J377" s="1516" t="s">
        <v>123</v>
      </c>
      <c r="K377" s="1506"/>
      <c r="L377" s="1506"/>
      <c r="M377" s="1479"/>
      <c r="N377" s="1503"/>
      <c r="O377" s="1503"/>
      <c r="P377" s="1503"/>
      <c r="Q377" s="1503"/>
      <c r="R377" s="1503"/>
      <c r="S377" s="1504"/>
      <c r="T377" s="1504"/>
      <c r="U377" s="483"/>
      <c r="V377" s="1505"/>
      <c r="W377" s="1516" t="s">
        <v>123</v>
      </c>
      <c r="X377" s="1506"/>
      <c r="Y377" s="1506"/>
      <c r="Z377" s="1481"/>
      <c r="AA377" s="499"/>
      <c r="AB377" s="499"/>
      <c r="AC377" s="499"/>
      <c r="AD377" s="499"/>
      <c r="AE377" s="499"/>
      <c r="AF377" s="499"/>
      <c r="AG377" s="499"/>
      <c r="AH377" s="499"/>
      <c r="AI377" s="1483"/>
      <c r="AJ377" s="1515"/>
      <c r="AK377" s="1515"/>
    </row>
    <row r="378">
      <c r="A378" s="499"/>
      <c r="B378" s="1501"/>
      <c r="C378" s="1502"/>
      <c r="D378" s="1503"/>
      <c r="E378" s="1503"/>
      <c r="F378" s="1504"/>
      <c r="G378" s="1504"/>
      <c r="H378" s="483"/>
      <c r="I378" s="1505"/>
      <c r="J378" s="1516" t="s">
        <v>123</v>
      </c>
      <c r="K378" s="1506"/>
      <c r="L378" s="1506"/>
      <c r="M378" s="1479"/>
      <c r="N378" s="1503"/>
      <c r="O378" s="1503"/>
      <c r="P378" s="1503"/>
      <c r="Q378" s="1503"/>
      <c r="R378" s="1503"/>
      <c r="S378" s="1504"/>
      <c r="T378" s="1504"/>
      <c r="U378" s="483"/>
      <c r="V378" s="1505"/>
      <c r="W378" s="1516" t="s">
        <v>123</v>
      </c>
      <c r="X378" s="1506"/>
      <c r="Y378" s="1506"/>
      <c r="Z378" s="1481"/>
      <c r="AA378" s="499"/>
      <c r="AB378" s="499"/>
      <c r="AC378" s="499"/>
      <c r="AD378" s="499"/>
      <c r="AE378" s="499"/>
      <c r="AF378" s="499"/>
      <c r="AG378" s="499"/>
      <c r="AH378" s="499"/>
      <c r="AI378" s="1483"/>
      <c r="AJ378" s="1515"/>
      <c r="AK378" s="1515"/>
    </row>
    <row r="379">
      <c r="A379" s="499"/>
      <c r="B379" s="1501"/>
      <c r="C379" s="1502"/>
      <c r="D379" s="1503"/>
      <c r="E379" s="1503"/>
      <c r="F379" s="1504"/>
      <c r="G379" s="1504"/>
      <c r="H379" s="483"/>
      <c r="I379" s="1505"/>
      <c r="J379" s="1516" t="s">
        <v>123</v>
      </c>
      <c r="K379" s="1506"/>
      <c r="L379" s="1506"/>
      <c r="M379" s="1479"/>
      <c r="N379" s="1503"/>
      <c r="O379" s="1503"/>
      <c r="P379" s="1503"/>
      <c r="Q379" s="1503"/>
      <c r="R379" s="1503"/>
      <c r="S379" s="1504"/>
      <c r="T379" s="1504"/>
      <c r="U379" s="483"/>
      <c r="V379" s="1505"/>
      <c r="W379" s="1516" t="s">
        <v>123</v>
      </c>
      <c r="X379" s="1506"/>
      <c r="Y379" s="1506"/>
      <c r="Z379" s="1481"/>
      <c r="AA379" s="499"/>
      <c r="AB379" s="499"/>
      <c r="AC379" s="499"/>
      <c r="AD379" s="499"/>
      <c r="AE379" s="499"/>
      <c r="AF379" s="499"/>
      <c r="AG379" s="499"/>
      <c r="AH379" s="499"/>
      <c r="AI379" s="1483"/>
      <c r="AJ379" s="1515"/>
      <c r="AK379" s="1515"/>
    </row>
    <row r="380">
      <c r="A380" s="499"/>
      <c r="B380" s="1501"/>
      <c r="C380" s="1502"/>
      <c r="D380" s="1503"/>
      <c r="E380" s="1503"/>
      <c r="F380" s="1504"/>
      <c r="G380" s="1504"/>
      <c r="H380" s="483"/>
      <c r="I380" s="1505"/>
      <c r="J380" s="1516" t="s">
        <v>123</v>
      </c>
      <c r="K380" s="1506"/>
      <c r="L380" s="1506"/>
      <c r="M380" s="1479"/>
      <c r="N380" s="1503"/>
      <c r="O380" s="1503"/>
      <c r="P380" s="1503"/>
      <c r="Q380" s="1503"/>
      <c r="R380" s="1503"/>
      <c r="S380" s="1504"/>
      <c r="T380" s="1504"/>
      <c r="U380" s="483"/>
      <c r="V380" s="1505"/>
      <c r="W380" s="1516" t="s">
        <v>123</v>
      </c>
      <c r="X380" s="1506"/>
      <c r="Y380" s="1506"/>
      <c r="Z380" s="1481"/>
      <c r="AA380" s="499"/>
      <c r="AB380" s="499"/>
      <c r="AC380" s="499"/>
      <c r="AD380" s="499"/>
      <c r="AE380" s="499"/>
      <c r="AF380" s="499"/>
      <c r="AG380" s="499"/>
      <c r="AH380" s="499"/>
      <c r="AI380" s="1483"/>
      <c r="AJ380" s="1515"/>
      <c r="AK380" s="1515"/>
    </row>
    <row r="381">
      <c r="A381" s="499"/>
      <c r="B381" s="1501"/>
      <c r="C381" s="1502"/>
      <c r="D381" s="1503"/>
      <c r="E381" s="1503"/>
      <c r="F381" s="1504"/>
      <c r="G381" s="1504"/>
      <c r="H381" s="483"/>
      <c r="I381" s="1505"/>
      <c r="J381" s="1516" t="s">
        <v>123</v>
      </c>
      <c r="K381" s="1506"/>
      <c r="L381" s="1506"/>
      <c r="M381" s="1479"/>
      <c r="N381" s="1503"/>
      <c r="O381" s="1503"/>
      <c r="P381" s="1503"/>
      <c r="Q381" s="1503"/>
      <c r="R381" s="1503"/>
      <c r="S381" s="1504"/>
      <c r="T381" s="1504"/>
      <c r="U381" s="483"/>
      <c r="V381" s="1505"/>
      <c r="W381" s="1516" t="s">
        <v>123</v>
      </c>
      <c r="X381" s="1506"/>
      <c r="Y381" s="1506"/>
      <c r="Z381" s="1481"/>
      <c r="AA381" s="499"/>
      <c r="AB381" s="499"/>
      <c r="AC381" s="499"/>
      <c r="AD381" s="499"/>
      <c r="AE381" s="499"/>
      <c r="AF381" s="499"/>
      <c r="AG381" s="499"/>
      <c r="AH381" s="499"/>
      <c r="AI381" s="1483"/>
      <c r="AJ381" s="1515"/>
      <c r="AK381" s="1515"/>
    </row>
    <row r="382">
      <c r="A382" s="499"/>
      <c r="B382" s="1501"/>
      <c r="C382" s="1502"/>
      <c r="D382" s="1503"/>
      <c r="E382" s="1503"/>
      <c r="F382" s="1504"/>
      <c r="G382" s="1504"/>
      <c r="H382" s="483"/>
      <c r="I382" s="1505"/>
      <c r="J382" s="1516" t="s">
        <v>123</v>
      </c>
      <c r="K382" s="1506"/>
      <c r="L382" s="1506"/>
      <c r="M382" s="1479"/>
      <c r="N382" s="1503"/>
      <c r="O382" s="1503"/>
      <c r="P382" s="1503"/>
      <c r="Q382" s="1503"/>
      <c r="R382" s="1503"/>
      <c r="S382" s="1504"/>
      <c r="T382" s="1504"/>
      <c r="U382" s="483"/>
      <c r="V382" s="1505"/>
      <c r="W382" s="1516" t="s">
        <v>123</v>
      </c>
      <c r="X382" s="1506"/>
      <c r="Y382" s="1506"/>
      <c r="Z382" s="1481"/>
      <c r="AA382" s="499"/>
      <c r="AB382" s="499"/>
      <c r="AC382" s="499"/>
      <c r="AD382" s="499"/>
      <c r="AE382" s="499"/>
      <c r="AF382" s="499"/>
      <c r="AG382" s="499"/>
      <c r="AH382" s="499"/>
      <c r="AI382" s="1483"/>
      <c r="AJ382" s="1515"/>
      <c r="AK382" s="1515"/>
    </row>
    <row r="383">
      <c r="A383" s="499"/>
      <c r="B383" s="1501"/>
      <c r="C383" s="1502"/>
      <c r="D383" s="1503"/>
      <c r="E383" s="1503"/>
      <c r="F383" s="1504"/>
      <c r="G383" s="1504"/>
      <c r="H383" s="483"/>
      <c r="I383" s="1505"/>
      <c r="J383" s="1516" t="s">
        <v>123</v>
      </c>
      <c r="K383" s="1506"/>
      <c r="L383" s="1506"/>
      <c r="M383" s="1479"/>
      <c r="N383" s="1503"/>
      <c r="O383" s="1503"/>
      <c r="P383" s="1503"/>
      <c r="Q383" s="1503"/>
      <c r="R383" s="1503"/>
      <c r="S383" s="1504"/>
      <c r="T383" s="1504"/>
      <c r="U383" s="483"/>
      <c r="V383" s="1505"/>
      <c r="W383" s="1516" t="s">
        <v>123</v>
      </c>
      <c r="X383" s="1506"/>
      <c r="Y383" s="1506"/>
      <c r="Z383" s="1481"/>
      <c r="AA383" s="499"/>
      <c r="AB383" s="499"/>
      <c r="AC383" s="499"/>
      <c r="AD383" s="499"/>
      <c r="AE383" s="499"/>
      <c r="AF383" s="499"/>
      <c r="AG383" s="499"/>
      <c r="AH383" s="499"/>
      <c r="AI383" s="1483"/>
      <c r="AJ383" s="1515"/>
      <c r="AK383" s="1515"/>
    </row>
    <row r="384">
      <c r="A384" s="499"/>
      <c r="B384" s="1501"/>
      <c r="C384" s="1502"/>
      <c r="D384" s="1503"/>
      <c r="E384" s="1503"/>
      <c r="F384" s="1504"/>
      <c r="G384" s="1504"/>
      <c r="H384" s="483"/>
      <c r="I384" s="1505"/>
      <c r="J384" s="1516" t="s">
        <v>123</v>
      </c>
      <c r="K384" s="1506"/>
      <c r="L384" s="1506"/>
      <c r="M384" s="1479"/>
      <c r="N384" s="1503"/>
      <c r="O384" s="1503"/>
      <c r="P384" s="1503"/>
      <c r="Q384" s="1503"/>
      <c r="R384" s="1503"/>
      <c r="S384" s="1504"/>
      <c r="T384" s="1504"/>
      <c r="U384" s="483"/>
      <c r="V384" s="1505"/>
      <c r="W384" s="1516" t="s">
        <v>123</v>
      </c>
      <c r="X384" s="1506"/>
      <c r="Y384" s="1506"/>
      <c r="Z384" s="1481"/>
      <c r="AA384" s="499"/>
      <c r="AB384" s="499"/>
      <c r="AC384" s="499"/>
      <c r="AD384" s="499"/>
      <c r="AE384" s="499"/>
      <c r="AF384" s="499"/>
      <c r="AG384" s="499"/>
      <c r="AH384" s="499"/>
      <c r="AI384" s="1483"/>
      <c r="AJ384" s="1515"/>
      <c r="AK384" s="1515"/>
    </row>
    <row r="385">
      <c r="A385" s="499"/>
      <c r="B385" s="1501"/>
      <c r="C385" s="1502"/>
      <c r="D385" s="1503"/>
      <c r="E385" s="1503"/>
      <c r="F385" s="1504"/>
      <c r="G385" s="1504"/>
      <c r="H385" s="483"/>
      <c r="I385" s="1505"/>
      <c r="J385" s="1516" t="s">
        <v>123</v>
      </c>
      <c r="K385" s="1506"/>
      <c r="L385" s="1506"/>
      <c r="M385" s="1479"/>
      <c r="N385" s="1503"/>
      <c r="O385" s="1503"/>
      <c r="P385" s="1503"/>
      <c r="Q385" s="1503"/>
      <c r="R385" s="1503"/>
      <c r="S385" s="1504"/>
      <c r="T385" s="1504"/>
      <c r="U385" s="483"/>
      <c r="V385" s="1505"/>
      <c r="W385" s="1516" t="s">
        <v>123</v>
      </c>
      <c r="X385" s="1506"/>
      <c r="Y385" s="1506"/>
      <c r="Z385" s="1481"/>
      <c r="AA385" s="499"/>
      <c r="AB385" s="499"/>
      <c r="AC385" s="499"/>
      <c r="AD385" s="499"/>
      <c r="AE385" s="499"/>
      <c r="AF385" s="499"/>
      <c r="AG385" s="499"/>
      <c r="AH385" s="499"/>
      <c r="AI385" s="1483"/>
      <c r="AJ385" s="1515"/>
      <c r="AK385" s="1515"/>
    </row>
    <row r="386">
      <c r="A386" s="499"/>
      <c r="B386" s="1501"/>
      <c r="C386" s="1502"/>
      <c r="D386" s="1503"/>
      <c r="E386" s="1503"/>
      <c r="F386" s="1504"/>
      <c r="G386" s="1504"/>
      <c r="H386" s="483"/>
      <c r="I386" s="1505"/>
      <c r="J386" s="1516" t="s">
        <v>123</v>
      </c>
      <c r="K386" s="1506"/>
      <c r="L386" s="1506"/>
      <c r="M386" s="1479"/>
      <c r="N386" s="1503"/>
      <c r="O386" s="1503"/>
      <c r="P386" s="1503"/>
      <c r="Q386" s="1503"/>
      <c r="R386" s="1503"/>
      <c r="S386" s="1504"/>
      <c r="T386" s="1504"/>
      <c r="U386" s="483"/>
      <c r="V386" s="1505"/>
      <c r="W386" s="1516" t="s">
        <v>123</v>
      </c>
      <c r="X386" s="1506"/>
      <c r="Y386" s="1506"/>
      <c r="Z386" s="1481"/>
      <c r="AA386" s="499"/>
      <c r="AB386" s="499"/>
      <c r="AC386" s="499"/>
      <c r="AD386" s="499"/>
      <c r="AE386" s="499"/>
      <c r="AF386" s="499"/>
      <c r="AG386" s="499"/>
      <c r="AH386" s="499"/>
      <c r="AI386" s="1483"/>
      <c r="AJ386" s="1515"/>
      <c r="AK386" s="1515"/>
    </row>
    <row r="387">
      <c r="A387" s="499"/>
      <c r="B387" s="1501"/>
      <c r="C387" s="1502"/>
      <c r="D387" s="1503"/>
      <c r="E387" s="1503"/>
      <c r="F387" s="1504"/>
      <c r="G387" s="1504"/>
      <c r="H387" s="483"/>
      <c r="I387" s="1505"/>
      <c r="J387" s="1516" t="s">
        <v>123</v>
      </c>
      <c r="K387" s="1506"/>
      <c r="L387" s="1506"/>
      <c r="M387" s="1479"/>
      <c r="N387" s="1503"/>
      <c r="O387" s="1503"/>
      <c r="P387" s="1503"/>
      <c r="Q387" s="1503"/>
      <c r="R387" s="1503"/>
      <c r="S387" s="1504"/>
      <c r="T387" s="1504"/>
      <c r="U387" s="483"/>
      <c r="V387" s="1505"/>
      <c r="W387" s="1516" t="s">
        <v>123</v>
      </c>
      <c r="X387" s="1506"/>
      <c r="Y387" s="1506"/>
      <c r="Z387" s="1481"/>
      <c r="AA387" s="499"/>
      <c r="AB387" s="499"/>
      <c r="AC387" s="499"/>
      <c r="AD387" s="499"/>
      <c r="AE387" s="499"/>
      <c r="AF387" s="499"/>
      <c r="AG387" s="499"/>
      <c r="AH387" s="499"/>
      <c r="AI387" s="1483"/>
      <c r="AJ387" s="1515"/>
      <c r="AK387" s="1515"/>
    </row>
    <row r="388">
      <c r="A388" s="499"/>
      <c r="B388" s="1501"/>
      <c r="C388" s="1502"/>
      <c r="D388" s="1503"/>
      <c r="E388" s="1503"/>
      <c r="F388" s="1504"/>
      <c r="G388" s="1504"/>
      <c r="H388" s="483"/>
      <c r="I388" s="1505"/>
      <c r="J388" s="1516" t="s">
        <v>123</v>
      </c>
      <c r="K388" s="1506"/>
      <c r="L388" s="1506"/>
      <c r="M388" s="1479"/>
      <c r="N388" s="1503"/>
      <c r="O388" s="1503"/>
      <c r="P388" s="1503"/>
      <c r="Q388" s="1503"/>
      <c r="R388" s="1503"/>
      <c r="S388" s="1504"/>
      <c r="T388" s="1504"/>
      <c r="U388" s="483"/>
      <c r="V388" s="1505"/>
      <c r="W388" s="1516" t="s">
        <v>123</v>
      </c>
      <c r="X388" s="1506"/>
      <c r="Y388" s="1506"/>
      <c r="Z388" s="1481"/>
      <c r="AA388" s="499"/>
      <c r="AB388" s="499"/>
      <c r="AC388" s="499"/>
      <c r="AD388" s="499"/>
      <c r="AE388" s="499"/>
      <c r="AF388" s="499"/>
      <c r="AG388" s="499"/>
      <c r="AH388" s="499"/>
      <c r="AI388" s="1483"/>
      <c r="AJ388" s="1515"/>
      <c r="AK388" s="1515"/>
    </row>
    <row r="389">
      <c r="A389" s="499"/>
      <c r="B389" s="1501"/>
      <c r="C389" s="1502"/>
      <c r="D389" s="1503"/>
      <c r="E389" s="1503"/>
      <c r="F389" s="1504"/>
      <c r="G389" s="1504"/>
      <c r="H389" s="483"/>
      <c r="I389" s="1505"/>
      <c r="J389" s="1516" t="s">
        <v>123</v>
      </c>
      <c r="K389" s="1506"/>
      <c r="L389" s="1506"/>
      <c r="M389" s="1479"/>
      <c r="N389" s="1503"/>
      <c r="O389" s="1503"/>
      <c r="P389" s="1503"/>
      <c r="Q389" s="1503"/>
      <c r="R389" s="1503"/>
      <c r="S389" s="1504"/>
      <c r="T389" s="1504"/>
      <c r="U389" s="483"/>
      <c r="V389" s="1505"/>
      <c r="W389" s="1516" t="s">
        <v>123</v>
      </c>
      <c r="X389" s="1506"/>
      <c r="Y389" s="1506"/>
      <c r="Z389" s="1481"/>
      <c r="AA389" s="499"/>
      <c r="AB389" s="499"/>
      <c r="AC389" s="499"/>
      <c r="AD389" s="499"/>
      <c r="AE389" s="499"/>
      <c r="AF389" s="499"/>
      <c r="AG389" s="499"/>
      <c r="AH389" s="499"/>
      <c r="AI389" s="1483"/>
      <c r="AJ389" s="1515"/>
      <c r="AK389" s="1515"/>
    </row>
    <row r="390">
      <c r="A390" s="499"/>
      <c r="B390" s="1501"/>
      <c r="C390" s="1502"/>
      <c r="D390" s="1503"/>
      <c r="E390" s="1503"/>
      <c r="F390" s="1504"/>
      <c r="G390" s="1504"/>
      <c r="H390" s="483"/>
      <c r="I390" s="1505"/>
      <c r="J390" s="1516" t="s">
        <v>123</v>
      </c>
      <c r="K390" s="1506"/>
      <c r="L390" s="1506"/>
      <c r="M390" s="1479"/>
      <c r="N390" s="1503"/>
      <c r="O390" s="1503"/>
      <c r="P390" s="1503"/>
      <c r="Q390" s="1503"/>
      <c r="R390" s="1503"/>
      <c r="S390" s="1504"/>
      <c r="T390" s="1504"/>
      <c r="U390" s="483"/>
      <c r="V390" s="1505"/>
      <c r="W390" s="1516" t="s">
        <v>123</v>
      </c>
      <c r="X390" s="1506"/>
      <c r="Y390" s="1506"/>
      <c r="Z390" s="1481"/>
      <c r="AA390" s="499"/>
      <c r="AB390" s="499"/>
      <c r="AC390" s="499"/>
      <c r="AD390" s="499"/>
      <c r="AE390" s="499"/>
      <c r="AF390" s="499"/>
      <c r="AG390" s="499"/>
      <c r="AH390" s="499"/>
      <c r="AI390" s="1483"/>
      <c r="AJ390" s="1515"/>
      <c r="AK390" s="1515"/>
    </row>
    <row r="391">
      <c r="A391" s="499"/>
      <c r="B391" s="1501"/>
      <c r="C391" s="1502"/>
      <c r="D391" s="1503"/>
      <c r="E391" s="1503"/>
      <c r="F391" s="1504"/>
      <c r="G391" s="1504"/>
      <c r="H391" s="483"/>
      <c r="I391" s="1505"/>
      <c r="J391" s="1516" t="s">
        <v>123</v>
      </c>
      <c r="K391" s="1506"/>
      <c r="L391" s="1506"/>
      <c r="M391" s="1479"/>
      <c r="N391" s="1503"/>
      <c r="O391" s="1503"/>
      <c r="P391" s="1503"/>
      <c r="Q391" s="1503"/>
      <c r="R391" s="1503"/>
      <c r="S391" s="1504"/>
      <c r="T391" s="1504"/>
      <c r="U391" s="483"/>
      <c r="V391" s="1505"/>
      <c r="W391" s="1516" t="s">
        <v>123</v>
      </c>
      <c r="X391" s="1506"/>
      <c r="Y391" s="1506"/>
      <c r="Z391" s="1481"/>
      <c r="AA391" s="499"/>
      <c r="AB391" s="499"/>
      <c r="AC391" s="499"/>
      <c r="AD391" s="499"/>
      <c r="AE391" s="499"/>
      <c r="AF391" s="499"/>
      <c r="AG391" s="499"/>
      <c r="AH391" s="499"/>
      <c r="AI391" s="1483"/>
      <c r="AJ391" s="1515"/>
      <c r="AK391" s="1515"/>
    </row>
    <row r="392">
      <c r="A392" s="499"/>
      <c r="B392" s="1501"/>
      <c r="C392" s="1502"/>
      <c r="D392" s="1503"/>
      <c r="E392" s="1503"/>
      <c r="F392" s="1504"/>
      <c r="G392" s="1504"/>
      <c r="H392" s="483"/>
      <c r="I392" s="1505"/>
      <c r="J392" s="1516" t="s">
        <v>123</v>
      </c>
      <c r="K392" s="1506"/>
      <c r="L392" s="1506"/>
      <c r="M392" s="1479"/>
      <c r="N392" s="1503"/>
      <c r="O392" s="1503"/>
      <c r="P392" s="1503"/>
      <c r="Q392" s="1503"/>
      <c r="R392" s="1503"/>
      <c r="S392" s="1504"/>
      <c r="T392" s="1504"/>
      <c r="U392" s="483"/>
      <c r="V392" s="1505"/>
      <c r="W392" s="1516" t="s">
        <v>123</v>
      </c>
      <c r="X392" s="1506"/>
      <c r="Y392" s="1506"/>
      <c r="Z392" s="1481"/>
      <c r="AA392" s="499"/>
      <c r="AB392" s="499"/>
      <c r="AC392" s="499"/>
      <c r="AD392" s="499"/>
      <c r="AE392" s="499"/>
      <c r="AF392" s="499"/>
      <c r="AG392" s="499"/>
      <c r="AH392" s="499"/>
      <c r="AI392" s="1483"/>
      <c r="AJ392" s="1515"/>
      <c r="AK392" s="1515"/>
    </row>
    <row r="393">
      <c r="A393" s="499"/>
      <c r="B393" s="1501"/>
      <c r="C393" s="1502"/>
      <c r="D393" s="1503"/>
      <c r="E393" s="1503"/>
      <c r="F393" s="1504"/>
      <c r="G393" s="1504"/>
      <c r="H393" s="483"/>
      <c r="I393" s="1505"/>
      <c r="J393" s="1516" t="s">
        <v>123</v>
      </c>
      <c r="K393" s="1506"/>
      <c r="L393" s="1506"/>
      <c r="M393" s="1479"/>
      <c r="N393" s="1503"/>
      <c r="O393" s="1503"/>
      <c r="P393" s="1503"/>
      <c r="Q393" s="1503"/>
      <c r="R393" s="1503"/>
      <c r="S393" s="1504"/>
      <c r="T393" s="1504"/>
      <c r="U393" s="483"/>
      <c r="V393" s="1505"/>
      <c r="W393" s="1516" t="s">
        <v>123</v>
      </c>
      <c r="X393" s="1506"/>
      <c r="Y393" s="1506"/>
      <c r="Z393" s="1481"/>
      <c r="AA393" s="499"/>
      <c r="AB393" s="499"/>
      <c r="AC393" s="499"/>
      <c r="AD393" s="499"/>
      <c r="AE393" s="499"/>
      <c r="AF393" s="499"/>
      <c r="AG393" s="499"/>
      <c r="AH393" s="499"/>
      <c r="AI393" s="1483"/>
      <c r="AJ393" s="1515"/>
      <c r="AK393" s="1515"/>
    </row>
    <row r="394">
      <c r="A394" s="499"/>
      <c r="B394" s="1501"/>
      <c r="C394" s="1502"/>
      <c r="D394" s="1503"/>
      <c r="E394" s="1503"/>
      <c r="F394" s="1504"/>
      <c r="G394" s="1504"/>
      <c r="H394" s="483"/>
      <c r="I394" s="1505"/>
      <c r="J394" s="1516" t="s">
        <v>123</v>
      </c>
      <c r="K394" s="1506"/>
      <c r="L394" s="1506"/>
      <c r="M394" s="1479"/>
      <c r="N394" s="1503"/>
      <c r="O394" s="1503"/>
      <c r="P394" s="1503"/>
      <c r="Q394" s="1503"/>
      <c r="R394" s="1503"/>
      <c r="S394" s="1504"/>
      <c r="T394" s="1504"/>
      <c r="U394" s="483"/>
      <c r="V394" s="1505"/>
      <c r="W394" s="1516" t="s">
        <v>123</v>
      </c>
      <c r="X394" s="1506"/>
      <c r="Y394" s="1506"/>
      <c r="Z394" s="1481"/>
      <c r="AA394" s="499"/>
      <c r="AB394" s="499"/>
      <c r="AC394" s="499"/>
      <c r="AD394" s="499"/>
      <c r="AE394" s="499"/>
      <c r="AF394" s="499"/>
      <c r="AG394" s="499"/>
      <c r="AH394" s="499"/>
      <c r="AI394" s="1483"/>
      <c r="AJ394" s="1515"/>
      <c r="AK394" s="1515"/>
    </row>
    <row r="395">
      <c r="A395" s="499"/>
      <c r="B395" s="1501"/>
      <c r="C395" s="1502"/>
      <c r="D395" s="1503"/>
      <c r="E395" s="1503"/>
      <c r="F395" s="1504"/>
      <c r="G395" s="1504"/>
      <c r="H395" s="483"/>
      <c r="I395" s="1505"/>
      <c r="J395" s="1516" t="s">
        <v>123</v>
      </c>
      <c r="K395" s="1506"/>
      <c r="L395" s="1506"/>
      <c r="M395" s="1479"/>
      <c r="N395" s="1503"/>
      <c r="O395" s="1503"/>
      <c r="P395" s="1503"/>
      <c r="Q395" s="1503"/>
      <c r="R395" s="1503"/>
      <c r="S395" s="1504"/>
      <c r="T395" s="1504"/>
      <c r="U395" s="483"/>
      <c r="V395" s="1505"/>
      <c r="W395" s="1516" t="s">
        <v>123</v>
      </c>
      <c r="X395" s="1506"/>
      <c r="Y395" s="1506"/>
      <c r="Z395" s="1481"/>
      <c r="AA395" s="499"/>
      <c r="AB395" s="499"/>
      <c r="AC395" s="499"/>
      <c r="AD395" s="499"/>
      <c r="AE395" s="499"/>
      <c r="AF395" s="499"/>
      <c r="AG395" s="499"/>
      <c r="AH395" s="499"/>
      <c r="AI395" s="1483"/>
      <c r="AJ395" s="1515"/>
      <c r="AK395" s="1515"/>
    </row>
    <row r="396">
      <c r="A396" s="499"/>
      <c r="B396" s="1501"/>
      <c r="C396" s="1502"/>
      <c r="D396" s="1503"/>
      <c r="E396" s="1503"/>
      <c r="F396" s="1504"/>
      <c r="G396" s="1504"/>
      <c r="H396" s="483"/>
      <c r="I396" s="1505"/>
      <c r="J396" s="1516" t="s">
        <v>123</v>
      </c>
      <c r="K396" s="1506"/>
      <c r="L396" s="1506"/>
      <c r="M396" s="1479"/>
      <c r="N396" s="1503"/>
      <c r="O396" s="1503"/>
      <c r="P396" s="1503"/>
      <c r="Q396" s="1503"/>
      <c r="R396" s="1503"/>
      <c r="S396" s="1504"/>
      <c r="T396" s="1504"/>
      <c r="U396" s="483"/>
      <c r="V396" s="1505"/>
      <c r="W396" s="1516" t="s">
        <v>123</v>
      </c>
      <c r="X396" s="1506"/>
      <c r="Y396" s="1506"/>
      <c r="Z396" s="1481"/>
      <c r="AA396" s="499"/>
      <c r="AB396" s="499"/>
      <c r="AC396" s="499"/>
      <c r="AD396" s="499"/>
      <c r="AE396" s="499"/>
      <c r="AF396" s="499"/>
      <c r="AG396" s="499"/>
      <c r="AH396" s="499"/>
      <c r="AI396" s="1483"/>
      <c r="AJ396" s="1515"/>
      <c r="AK396" s="1515"/>
    </row>
    <row r="397">
      <c r="A397" s="499"/>
      <c r="B397" s="1501"/>
      <c r="C397" s="1502"/>
      <c r="D397" s="1503"/>
      <c r="E397" s="1503"/>
      <c r="F397" s="1504"/>
      <c r="G397" s="1504"/>
      <c r="H397" s="483"/>
      <c r="I397" s="1505"/>
      <c r="J397" s="1516" t="s">
        <v>123</v>
      </c>
      <c r="K397" s="1506"/>
      <c r="L397" s="1506"/>
      <c r="M397" s="1479"/>
      <c r="N397" s="1503"/>
      <c r="O397" s="1503"/>
      <c r="P397" s="1503"/>
      <c r="Q397" s="1503"/>
      <c r="R397" s="1503"/>
      <c r="S397" s="1504"/>
      <c r="T397" s="1504"/>
      <c r="U397" s="483"/>
      <c r="V397" s="1505"/>
      <c r="W397" s="1516" t="s">
        <v>123</v>
      </c>
      <c r="X397" s="1506"/>
      <c r="Y397" s="1506"/>
      <c r="Z397" s="1481"/>
      <c r="AA397" s="499"/>
      <c r="AB397" s="499"/>
      <c r="AC397" s="499"/>
      <c r="AD397" s="499"/>
      <c r="AE397" s="499"/>
      <c r="AF397" s="499"/>
      <c r="AG397" s="499"/>
      <c r="AH397" s="499"/>
      <c r="AI397" s="1483"/>
      <c r="AJ397" s="1515"/>
      <c r="AK397" s="1515"/>
    </row>
    <row r="398">
      <c r="A398" s="499"/>
      <c r="B398" s="1501"/>
      <c r="C398" s="1502"/>
      <c r="D398" s="1503"/>
      <c r="E398" s="1503"/>
      <c r="F398" s="1504"/>
      <c r="G398" s="1504"/>
      <c r="H398" s="483"/>
      <c r="I398" s="1505"/>
      <c r="J398" s="1516" t="s">
        <v>123</v>
      </c>
      <c r="K398" s="1506"/>
      <c r="L398" s="1506"/>
      <c r="M398" s="1479"/>
      <c r="N398" s="1503"/>
      <c r="O398" s="1503"/>
      <c r="P398" s="1503"/>
      <c r="Q398" s="1503"/>
      <c r="R398" s="1503"/>
      <c r="S398" s="1504"/>
      <c r="T398" s="1504"/>
      <c r="U398" s="483"/>
      <c r="V398" s="1505"/>
      <c r="W398" s="1516" t="s">
        <v>123</v>
      </c>
      <c r="X398" s="1506"/>
      <c r="Y398" s="1506"/>
      <c r="Z398" s="1481"/>
      <c r="AA398" s="499"/>
      <c r="AB398" s="499"/>
      <c r="AC398" s="499"/>
      <c r="AD398" s="499"/>
      <c r="AE398" s="499"/>
      <c r="AF398" s="499"/>
      <c r="AG398" s="499"/>
      <c r="AH398" s="499"/>
      <c r="AI398" s="1483"/>
      <c r="AJ398" s="1515"/>
      <c r="AK398" s="1515"/>
    </row>
    <row r="399">
      <c r="A399" s="499"/>
      <c r="B399" s="1501"/>
      <c r="C399" s="1502"/>
      <c r="D399" s="1503"/>
      <c r="E399" s="1503"/>
      <c r="F399" s="1504"/>
      <c r="G399" s="1504"/>
      <c r="H399" s="483"/>
      <c r="I399" s="1505"/>
      <c r="J399" s="1516" t="s">
        <v>123</v>
      </c>
      <c r="K399" s="1506"/>
      <c r="L399" s="1506"/>
      <c r="M399" s="1479"/>
      <c r="N399" s="1503"/>
      <c r="O399" s="1503"/>
      <c r="P399" s="1503"/>
      <c r="Q399" s="1503"/>
      <c r="R399" s="1503"/>
      <c r="S399" s="1504"/>
      <c r="T399" s="1504"/>
      <c r="U399" s="483"/>
      <c r="V399" s="1505"/>
      <c r="W399" s="1516" t="s">
        <v>123</v>
      </c>
      <c r="X399" s="1506"/>
      <c r="Y399" s="1506"/>
      <c r="Z399" s="1481"/>
      <c r="AA399" s="499"/>
      <c r="AB399" s="499"/>
      <c r="AC399" s="499"/>
      <c r="AD399" s="499"/>
      <c r="AE399" s="499"/>
      <c r="AF399" s="499"/>
      <c r="AG399" s="499"/>
      <c r="AH399" s="499"/>
      <c r="AI399" s="1483"/>
      <c r="AJ399" s="1515"/>
      <c r="AK399" s="1515"/>
    </row>
    <row r="400">
      <c r="A400" s="499"/>
      <c r="B400" s="1501"/>
      <c r="C400" s="1502"/>
      <c r="D400" s="1503"/>
      <c r="E400" s="1503"/>
      <c r="F400" s="1504"/>
      <c r="G400" s="1504"/>
      <c r="H400" s="483"/>
      <c r="I400" s="1505"/>
      <c r="J400" s="1516" t="s">
        <v>123</v>
      </c>
      <c r="K400" s="1506"/>
      <c r="L400" s="1506"/>
      <c r="M400" s="1479"/>
      <c r="N400" s="1503"/>
      <c r="O400" s="1503"/>
      <c r="P400" s="1503"/>
      <c r="Q400" s="1503"/>
      <c r="R400" s="1503"/>
      <c r="S400" s="1504"/>
      <c r="T400" s="1504"/>
      <c r="U400" s="483"/>
      <c r="V400" s="1505"/>
      <c r="W400" s="1516" t="s">
        <v>123</v>
      </c>
      <c r="X400" s="1506"/>
      <c r="Y400" s="1506"/>
      <c r="Z400" s="1481"/>
      <c r="AA400" s="499"/>
      <c r="AB400" s="499"/>
      <c r="AC400" s="499"/>
      <c r="AD400" s="499"/>
      <c r="AE400" s="499"/>
      <c r="AF400" s="499"/>
      <c r="AG400" s="499"/>
      <c r="AH400" s="499"/>
      <c r="AI400" s="1483"/>
      <c r="AJ400" s="1515"/>
      <c r="AK400" s="1515"/>
    </row>
    <row r="401">
      <c r="A401" s="499"/>
      <c r="B401" s="1501"/>
      <c r="C401" s="1502"/>
      <c r="D401" s="1503"/>
      <c r="E401" s="1503"/>
      <c r="F401" s="1504"/>
      <c r="G401" s="1504"/>
      <c r="H401" s="483"/>
      <c r="I401" s="1505"/>
      <c r="J401" s="1516" t="s">
        <v>123</v>
      </c>
      <c r="K401" s="1506"/>
      <c r="L401" s="1506"/>
      <c r="M401" s="1479"/>
      <c r="N401" s="1503"/>
      <c r="O401" s="1503"/>
      <c r="P401" s="1503"/>
      <c r="Q401" s="1503"/>
      <c r="R401" s="1503"/>
      <c r="S401" s="1504"/>
      <c r="T401" s="1504"/>
      <c r="U401" s="483"/>
      <c r="V401" s="1505"/>
      <c r="W401" s="1516" t="s">
        <v>123</v>
      </c>
      <c r="X401" s="1506"/>
      <c r="Y401" s="1506"/>
      <c r="Z401" s="1481"/>
      <c r="AA401" s="499"/>
      <c r="AB401" s="499"/>
      <c r="AC401" s="499"/>
      <c r="AD401" s="499"/>
      <c r="AE401" s="499"/>
      <c r="AF401" s="499"/>
      <c r="AG401" s="499"/>
      <c r="AH401" s="499"/>
      <c r="AI401" s="1483"/>
      <c r="AJ401" s="1515"/>
      <c r="AK401" s="1515"/>
    </row>
    <row r="402">
      <c r="A402" s="499"/>
      <c r="B402" s="1501"/>
      <c r="C402" s="1502"/>
      <c r="D402" s="1503"/>
      <c r="E402" s="1503"/>
      <c r="F402" s="1504"/>
      <c r="G402" s="1504"/>
      <c r="H402" s="483"/>
      <c r="I402" s="1505"/>
      <c r="J402" s="1516" t="s">
        <v>123</v>
      </c>
      <c r="K402" s="1506"/>
      <c r="L402" s="1506"/>
      <c r="M402" s="1479"/>
      <c r="N402" s="1503"/>
      <c r="O402" s="1503"/>
      <c r="P402" s="1503"/>
      <c r="Q402" s="1503"/>
      <c r="R402" s="1503"/>
      <c r="S402" s="1504"/>
      <c r="T402" s="1504"/>
      <c r="U402" s="483"/>
      <c r="V402" s="1505"/>
      <c r="W402" s="1516" t="s">
        <v>123</v>
      </c>
      <c r="X402" s="1506"/>
      <c r="Y402" s="1506"/>
      <c r="Z402" s="1481"/>
      <c r="AA402" s="499"/>
      <c r="AB402" s="499"/>
      <c r="AC402" s="499"/>
      <c r="AD402" s="499"/>
      <c r="AE402" s="499"/>
      <c r="AF402" s="499"/>
      <c r="AG402" s="499"/>
      <c r="AH402" s="499"/>
      <c r="AI402" s="1483"/>
      <c r="AJ402" s="1515"/>
      <c r="AK402" s="1515"/>
    </row>
    <row r="403">
      <c r="A403" s="499"/>
      <c r="B403" s="1501"/>
      <c r="C403" s="1502"/>
      <c r="D403" s="1503"/>
      <c r="E403" s="1503"/>
      <c r="F403" s="1504"/>
      <c r="G403" s="1504"/>
      <c r="H403" s="483"/>
      <c r="I403" s="1505"/>
      <c r="J403" s="1516" t="s">
        <v>123</v>
      </c>
      <c r="K403" s="1506"/>
      <c r="L403" s="1506"/>
      <c r="M403" s="1479"/>
      <c r="N403" s="1503"/>
      <c r="O403" s="1503"/>
      <c r="P403" s="1503"/>
      <c r="Q403" s="1503"/>
      <c r="R403" s="1503"/>
      <c r="S403" s="1504"/>
      <c r="T403" s="1504"/>
      <c r="U403" s="483"/>
      <c r="V403" s="1505"/>
      <c r="W403" s="1516" t="s">
        <v>123</v>
      </c>
      <c r="X403" s="1506"/>
      <c r="Y403" s="1506"/>
      <c r="Z403" s="1481"/>
      <c r="AA403" s="499"/>
      <c r="AB403" s="499"/>
      <c r="AC403" s="499"/>
      <c r="AD403" s="499"/>
      <c r="AE403" s="499"/>
      <c r="AF403" s="499"/>
      <c r="AG403" s="499"/>
      <c r="AH403" s="499"/>
      <c r="AI403" s="1483"/>
      <c r="AJ403" s="1515"/>
      <c r="AK403" s="1515"/>
    </row>
    <row r="404">
      <c r="A404" s="499"/>
      <c r="B404" s="1501"/>
      <c r="C404" s="1502"/>
      <c r="D404" s="1503"/>
      <c r="E404" s="1503"/>
      <c r="F404" s="1504"/>
      <c r="G404" s="1504"/>
      <c r="H404" s="483"/>
      <c r="I404" s="1505"/>
      <c r="J404" s="1516" t="s">
        <v>123</v>
      </c>
      <c r="K404" s="1506"/>
      <c r="L404" s="1506"/>
      <c r="M404" s="1479"/>
      <c r="N404" s="1503"/>
      <c r="O404" s="1503"/>
      <c r="P404" s="1503"/>
      <c r="Q404" s="1503"/>
      <c r="R404" s="1503"/>
      <c r="S404" s="1504"/>
      <c r="T404" s="1504"/>
      <c r="U404" s="483"/>
      <c r="V404" s="1505"/>
      <c r="W404" s="1516" t="s">
        <v>123</v>
      </c>
      <c r="X404" s="1506"/>
      <c r="Y404" s="1506"/>
      <c r="Z404" s="1481"/>
      <c r="AA404" s="499"/>
      <c r="AB404" s="499"/>
      <c r="AC404" s="499"/>
      <c r="AD404" s="499"/>
      <c r="AE404" s="499"/>
      <c r="AF404" s="499"/>
      <c r="AG404" s="499"/>
      <c r="AH404" s="499"/>
      <c r="AI404" s="1483"/>
      <c r="AJ404" s="1515"/>
      <c r="AK404" s="1515"/>
    </row>
    <row r="405">
      <c r="A405" s="499"/>
      <c r="B405" s="1501"/>
      <c r="C405" s="1502"/>
      <c r="D405" s="1503"/>
      <c r="E405" s="1503"/>
      <c r="F405" s="1504"/>
      <c r="G405" s="1504"/>
      <c r="H405" s="483"/>
      <c r="I405" s="1505"/>
      <c r="J405" s="1516" t="s">
        <v>123</v>
      </c>
      <c r="K405" s="1506"/>
      <c r="L405" s="1506"/>
      <c r="M405" s="1479"/>
      <c r="N405" s="1503"/>
      <c r="O405" s="1503"/>
      <c r="P405" s="1503"/>
      <c r="Q405" s="1503"/>
      <c r="R405" s="1503"/>
      <c r="S405" s="1504"/>
      <c r="T405" s="1504"/>
      <c r="U405" s="483"/>
      <c r="V405" s="1505"/>
      <c r="W405" s="1516" t="s">
        <v>123</v>
      </c>
      <c r="X405" s="1506"/>
      <c r="Y405" s="1506"/>
      <c r="Z405" s="1481"/>
      <c r="AA405" s="499"/>
      <c r="AB405" s="499"/>
      <c r="AC405" s="499"/>
      <c r="AD405" s="499"/>
      <c r="AE405" s="499"/>
      <c r="AF405" s="499"/>
      <c r="AG405" s="499"/>
      <c r="AH405" s="499"/>
      <c r="AI405" s="1483"/>
      <c r="AJ405" s="1515"/>
      <c r="AK405" s="1515"/>
    </row>
    <row r="406">
      <c r="A406" s="499"/>
      <c r="B406" s="1501"/>
      <c r="C406" s="1502"/>
      <c r="D406" s="1503"/>
      <c r="E406" s="1503"/>
      <c r="F406" s="1504"/>
      <c r="G406" s="1504"/>
      <c r="H406" s="483"/>
      <c r="I406" s="1505"/>
      <c r="J406" s="1516" t="s">
        <v>123</v>
      </c>
      <c r="K406" s="1506"/>
      <c r="L406" s="1506"/>
      <c r="M406" s="1479"/>
      <c r="N406" s="1503"/>
      <c r="O406" s="1503"/>
      <c r="P406" s="1503"/>
      <c r="Q406" s="1503"/>
      <c r="R406" s="1503"/>
      <c r="S406" s="1504"/>
      <c r="T406" s="1504"/>
      <c r="U406" s="483"/>
      <c r="V406" s="1505"/>
      <c r="W406" s="1516" t="s">
        <v>123</v>
      </c>
      <c r="X406" s="1506"/>
      <c r="Y406" s="1506"/>
      <c r="Z406" s="1481"/>
      <c r="AA406" s="499"/>
      <c r="AB406" s="499"/>
      <c r="AC406" s="499"/>
      <c r="AD406" s="499"/>
      <c r="AE406" s="499"/>
      <c r="AF406" s="499"/>
      <c r="AG406" s="499"/>
      <c r="AH406" s="499"/>
      <c r="AI406" s="1483"/>
      <c r="AJ406" s="1515"/>
      <c r="AK406" s="1515"/>
    </row>
    <row r="407">
      <c r="A407" s="499"/>
      <c r="B407" s="1501"/>
      <c r="C407" s="1502"/>
      <c r="D407" s="1503"/>
      <c r="E407" s="1503"/>
      <c r="F407" s="1504"/>
      <c r="G407" s="1504"/>
      <c r="H407" s="483"/>
      <c r="I407" s="1505"/>
      <c r="J407" s="1516" t="s">
        <v>123</v>
      </c>
      <c r="K407" s="1506"/>
      <c r="L407" s="1506"/>
      <c r="M407" s="1479"/>
      <c r="N407" s="1503"/>
      <c r="O407" s="1503"/>
      <c r="P407" s="1503"/>
      <c r="Q407" s="1503"/>
      <c r="R407" s="1503"/>
      <c r="S407" s="1504"/>
      <c r="T407" s="1504"/>
      <c r="U407" s="483"/>
      <c r="V407" s="1505"/>
      <c r="W407" s="1516" t="s">
        <v>123</v>
      </c>
      <c r="X407" s="1506"/>
      <c r="Y407" s="1506"/>
      <c r="Z407" s="1481"/>
      <c r="AA407" s="499"/>
      <c r="AB407" s="499"/>
      <c r="AC407" s="499"/>
      <c r="AD407" s="499"/>
      <c r="AE407" s="499"/>
      <c r="AF407" s="499"/>
      <c r="AG407" s="499"/>
      <c r="AH407" s="499"/>
      <c r="AI407" s="1483"/>
      <c r="AJ407" s="1515"/>
      <c r="AK407" s="1515"/>
    </row>
    <row r="408">
      <c r="A408" s="499"/>
      <c r="B408" s="1501"/>
      <c r="C408" s="1502"/>
      <c r="D408" s="1503"/>
      <c r="E408" s="1503"/>
      <c r="F408" s="1504"/>
      <c r="G408" s="1504"/>
      <c r="H408" s="483"/>
      <c r="I408" s="1505"/>
      <c r="J408" s="1516" t="s">
        <v>123</v>
      </c>
      <c r="K408" s="1506"/>
      <c r="L408" s="1506"/>
      <c r="M408" s="1479"/>
      <c r="N408" s="1503"/>
      <c r="O408" s="1503"/>
      <c r="P408" s="1503"/>
      <c r="Q408" s="1503"/>
      <c r="R408" s="1503"/>
      <c r="S408" s="1504"/>
      <c r="T408" s="1504"/>
      <c r="U408" s="483"/>
      <c r="V408" s="1505"/>
      <c r="W408" s="1516" t="s">
        <v>123</v>
      </c>
      <c r="X408" s="1506"/>
      <c r="Y408" s="1506"/>
      <c r="Z408" s="1481"/>
      <c r="AA408" s="499"/>
      <c r="AB408" s="499"/>
      <c r="AC408" s="499"/>
      <c r="AD408" s="499"/>
      <c r="AE408" s="499"/>
      <c r="AF408" s="499"/>
      <c r="AG408" s="499"/>
      <c r="AH408" s="499"/>
      <c r="AI408" s="1483"/>
      <c r="AJ408" s="1515"/>
      <c r="AK408" s="1515"/>
    </row>
    <row r="409">
      <c r="A409" s="499"/>
      <c r="B409" s="1501"/>
      <c r="C409" s="1502"/>
      <c r="D409" s="1503"/>
      <c r="E409" s="1503"/>
      <c r="F409" s="1504"/>
      <c r="G409" s="1504"/>
      <c r="H409" s="483"/>
      <c r="I409" s="1505"/>
      <c r="J409" s="1516" t="s">
        <v>123</v>
      </c>
      <c r="K409" s="1506"/>
      <c r="L409" s="1506"/>
      <c r="M409" s="1479"/>
      <c r="N409" s="1503"/>
      <c r="O409" s="1503"/>
      <c r="P409" s="1503"/>
      <c r="Q409" s="1503"/>
      <c r="R409" s="1503"/>
      <c r="S409" s="1504"/>
      <c r="T409" s="1504"/>
      <c r="U409" s="483"/>
      <c r="V409" s="1505"/>
      <c r="W409" s="1516" t="s">
        <v>123</v>
      </c>
      <c r="X409" s="1506"/>
      <c r="Y409" s="1506"/>
      <c r="Z409" s="1481"/>
      <c r="AA409" s="499"/>
      <c r="AB409" s="499"/>
      <c r="AC409" s="499"/>
      <c r="AD409" s="499"/>
      <c r="AE409" s="499"/>
      <c r="AF409" s="499"/>
      <c r="AG409" s="499"/>
      <c r="AH409" s="499"/>
      <c r="AI409" s="1483"/>
      <c r="AJ409" s="1515"/>
      <c r="AK409" s="1515"/>
    </row>
    <row r="410">
      <c r="A410" s="499"/>
      <c r="B410" s="1501"/>
      <c r="C410" s="1502"/>
      <c r="D410" s="1503"/>
      <c r="E410" s="1503"/>
      <c r="F410" s="1504"/>
      <c r="G410" s="1504"/>
      <c r="H410" s="483"/>
      <c r="I410" s="1505"/>
      <c r="J410" s="1516" t="s">
        <v>123</v>
      </c>
      <c r="K410" s="1506"/>
      <c r="L410" s="1506"/>
      <c r="M410" s="1479"/>
      <c r="N410" s="1503"/>
      <c r="O410" s="1503"/>
      <c r="P410" s="1503"/>
      <c r="Q410" s="1503"/>
      <c r="R410" s="1503"/>
      <c r="S410" s="1504"/>
      <c r="T410" s="1504"/>
      <c r="U410" s="483"/>
      <c r="V410" s="1505"/>
      <c r="W410" s="1516" t="s">
        <v>123</v>
      </c>
      <c r="X410" s="1506"/>
      <c r="Y410" s="1506"/>
      <c r="Z410" s="1481"/>
      <c r="AA410" s="499"/>
      <c r="AB410" s="499"/>
      <c r="AC410" s="499"/>
      <c r="AD410" s="499"/>
      <c r="AE410" s="499"/>
      <c r="AF410" s="499"/>
      <c r="AG410" s="499"/>
      <c r="AH410" s="499"/>
      <c r="AI410" s="1483"/>
      <c r="AJ410" s="1515"/>
      <c r="AK410" s="1515"/>
    </row>
    <row r="411">
      <c r="A411" s="499"/>
      <c r="B411" s="1501"/>
      <c r="C411" s="1502"/>
      <c r="D411" s="1503"/>
      <c r="E411" s="1503"/>
      <c r="F411" s="1504"/>
      <c r="G411" s="1504"/>
      <c r="H411" s="483"/>
      <c r="I411" s="1505"/>
      <c r="J411" s="1516" t="s">
        <v>123</v>
      </c>
      <c r="K411" s="1506"/>
      <c r="L411" s="1506"/>
      <c r="M411" s="1479"/>
      <c r="N411" s="1503"/>
      <c r="O411" s="1503"/>
      <c r="P411" s="1503"/>
      <c r="Q411" s="1503"/>
      <c r="R411" s="1503"/>
      <c r="S411" s="1504"/>
      <c r="T411" s="1504"/>
      <c r="U411" s="483"/>
      <c r="V411" s="1505"/>
      <c r="W411" s="1516" t="s">
        <v>123</v>
      </c>
      <c r="X411" s="1506"/>
      <c r="Y411" s="1506"/>
      <c r="Z411" s="1481"/>
      <c r="AA411" s="499"/>
      <c r="AB411" s="499"/>
      <c r="AC411" s="499"/>
      <c r="AD411" s="499"/>
      <c r="AE411" s="499"/>
      <c r="AF411" s="499"/>
      <c r="AG411" s="499"/>
      <c r="AH411" s="499"/>
      <c r="AI411" s="1483"/>
      <c r="AJ411" s="1515"/>
      <c r="AK411" s="1515"/>
    </row>
    <row r="412">
      <c r="A412" s="499"/>
      <c r="B412" s="1501"/>
      <c r="C412" s="1502"/>
      <c r="D412" s="1503"/>
      <c r="E412" s="1503"/>
      <c r="F412" s="1504"/>
      <c r="G412" s="1504"/>
      <c r="H412" s="483"/>
      <c r="I412" s="1505"/>
      <c r="J412" s="1516" t="s">
        <v>123</v>
      </c>
      <c r="K412" s="1506"/>
      <c r="L412" s="1506"/>
      <c r="M412" s="1479"/>
      <c r="N412" s="1503"/>
      <c r="O412" s="1503"/>
      <c r="P412" s="1503"/>
      <c r="Q412" s="1503"/>
      <c r="R412" s="1503"/>
      <c r="S412" s="1504"/>
      <c r="T412" s="1504"/>
      <c r="U412" s="483"/>
      <c r="V412" s="1505"/>
      <c r="W412" s="1516" t="s">
        <v>123</v>
      </c>
      <c r="X412" s="1506"/>
      <c r="Y412" s="1506"/>
      <c r="Z412" s="1481"/>
      <c r="AA412" s="499"/>
      <c r="AB412" s="499"/>
      <c r="AC412" s="499"/>
      <c r="AD412" s="499"/>
      <c r="AE412" s="499"/>
      <c r="AF412" s="499"/>
      <c r="AG412" s="499"/>
      <c r="AH412" s="499"/>
      <c r="AI412" s="1483"/>
      <c r="AJ412" s="1515"/>
      <c r="AK412" s="1515"/>
    </row>
    <row r="413">
      <c r="A413" s="499"/>
      <c r="B413" s="1501"/>
      <c r="C413" s="1502"/>
      <c r="D413" s="1503"/>
      <c r="E413" s="1503"/>
      <c r="F413" s="1504"/>
      <c r="G413" s="1504"/>
      <c r="H413" s="483"/>
      <c r="I413" s="1505"/>
      <c r="J413" s="1516" t="s">
        <v>123</v>
      </c>
      <c r="K413" s="1506"/>
      <c r="L413" s="1506"/>
      <c r="M413" s="1479"/>
      <c r="N413" s="1503"/>
      <c r="O413" s="1503"/>
      <c r="P413" s="1503"/>
      <c r="Q413" s="1503"/>
      <c r="R413" s="1503"/>
      <c r="S413" s="1504"/>
      <c r="T413" s="1504"/>
      <c r="U413" s="483"/>
      <c r="V413" s="1505"/>
      <c r="W413" s="1516" t="s">
        <v>123</v>
      </c>
      <c r="X413" s="1506"/>
      <c r="Y413" s="1506"/>
      <c r="Z413" s="1481"/>
      <c r="AA413" s="499"/>
      <c r="AB413" s="499"/>
      <c r="AC413" s="499"/>
      <c r="AD413" s="499"/>
      <c r="AE413" s="499"/>
      <c r="AF413" s="499"/>
      <c r="AG413" s="499"/>
      <c r="AH413" s="499"/>
      <c r="AI413" s="1483"/>
      <c r="AJ413" s="1515"/>
      <c r="AK413" s="1515"/>
    </row>
    <row r="414">
      <c r="A414" s="499"/>
      <c r="B414" s="1501"/>
      <c r="C414" s="1502"/>
      <c r="D414" s="1503"/>
      <c r="E414" s="1503"/>
      <c r="F414" s="1504"/>
      <c r="G414" s="1504"/>
      <c r="H414" s="483"/>
      <c r="I414" s="1505"/>
      <c r="J414" s="1516" t="s">
        <v>123</v>
      </c>
      <c r="K414" s="1506"/>
      <c r="L414" s="1506"/>
      <c r="M414" s="1479"/>
      <c r="N414" s="1503"/>
      <c r="O414" s="1503"/>
      <c r="P414" s="1503"/>
      <c r="Q414" s="1503"/>
      <c r="R414" s="1503"/>
      <c r="S414" s="1504"/>
      <c r="T414" s="1504"/>
      <c r="U414" s="483"/>
      <c r="V414" s="1505"/>
      <c r="W414" s="1516" t="s">
        <v>123</v>
      </c>
      <c r="X414" s="1506"/>
      <c r="Y414" s="1506"/>
      <c r="Z414" s="1481"/>
      <c r="AA414" s="499"/>
      <c r="AB414" s="499"/>
      <c r="AC414" s="499"/>
      <c r="AD414" s="499"/>
      <c r="AE414" s="499"/>
      <c r="AF414" s="499"/>
      <c r="AG414" s="499"/>
      <c r="AH414" s="499"/>
      <c r="AI414" s="1483"/>
      <c r="AJ414" s="1515"/>
      <c r="AK414" s="1515"/>
    </row>
    <row r="415">
      <c r="A415" s="499"/>
      <c r="B415" s="1501"/>
      <c r="C415" s="1502"/>
      <c r="D415" s="1503"/>
      <c r="E415" s="1503"/>
      <c r="F415" s="1504"/>
      <c r="G415" s="1504"/>
      <c r="H415" s="483"/>
      <c r="I415" s="1505"/>
      <c r="J415" s="1516" t="s">
        <v>123</v>
      </c>
      <c r="K415" s="1506"/>
      <c r="L415" s="1506"/>
      <c r="M415" s="1479"/>
      <c r="N415" s="1503"/>
      <c r="O415" s="1503"/>
      <c r="P415" s="1503"/>
      <c r="Q415" s="1503"/>
      <c r="R415" s="1503"/>
      <c r="S415" s="1504"/>
      <c r="T415" s="1504"/>
      <c r="U415" s="483"/>
      <c r="V415" s="1505"/>
      <c r="W415" s="1516" t="s">
        <v>123</v>
      </c>
      <c r="X415" s="1506"/>
      <c r="Y415" s="1506"/>
      <c r="Z415" s="1481"/>
      <c r="AA415" s="499"/>
      <c r="AB415" s="499"/>
      <c r="AC415" s="499"/>
      <c r="AD415" s="499"/>
      <c r="AE415" s="499"/>
      <c r="AF415" s="499"/>
      <c r="AG415" s="499"/>
      <c r="AH415" s="499"/>
      <c r="AI415" s="1483"/>
      <c r="AJ415" s="1515"/>
      <c r="AK415" s="1515"/>
    </row>
    <row r="416">
      <c r="A416" s="499"/>
      <c r="B416" s="1501"/>
      <c r="C416" s="1502"/>
      <c r="D416" s="1503"/>
      <c r="E416" s="1503"/>
      <c r="F416" s="1504"/>
      <c r="G416" s="1504"/>
      <c r="H416" s="483"/>
      <c r="I416" s="1505"/>
      <c r="J416" s="1516" t="s">
        <v>123</v>
      </c>
      <c r="K416" s="1506"/>
      <c r="L416" s="1506"/>
      <c r="M416" s="1479"/>
      <c r="N416" s="1503"/>
      <c r="O416" s="1503"/>
      <c r="P416" s="1503"/>
      <c r="Q416" s="1503"/>
      <c r="R416" s="1503"/>
      <c r="S416" s="1504"/>
      <c r="T416" s="1504"/>
      <c r="U416" s="483"/>
      <c r="V416" s="1505"/>
      <c r="W416" s="1516" t="s">
        <v>123</v>
      </c>
      <c r="X416" s="1506"/>
      <c r="Y416" s="1506"/>
      <c r="Z416" s="1481"/>
      <c r="AA416" s="499"/>
      <c r="AB416" s="499"/>
      <c r="AC416" s="499"/>
      <c r="AD416" s="499"/>
      <c r="AE416" s="499"/>
      <c r="AF416" s="499"/>
      <c r="AG416" s="499"/>
      <c r="AH416" s="499"/>
      <c r="AI416" s="1483"/>
      <c r="AJ416" s="1515"/>
      <c r="AK416" s="1515"/>
    </row>
    <row r="417">
      <c r="A417" s="499"/>
      <c r="B417" s="1501"/>
      <c r="C417" s="1502"/>
      <c r="D417" s="1503"/>
      <c r="E417" s="1503"/>
      <c r="F417" s="1504"/>
      <c r="G417" s="1504"/>
      <c r="H417" s="483"/>
      <c r="I417" s="1505"/>
      <c r="J417" s="1516" t="s">
        <v>123</v>
      </c>
      <c r="K417" s="1506"/>
      <c r="L417" s="1506"/>
      <c r="M417" s="1479"/>
      <c r="N417" s="1503"/>
      <c r="O417" s="1503"/>
      <c r="P417" s="1503"/>
      <c r="Q417" s="1503"/>
      <c r="R417" s="1503"/>
      <c r="S417" s="1504"/>
      <c r="T417" s="1504"/>
      <c r="U417" s="483"/>
      <c r="V417" s="1505"/>
      <c r="W417" s="1516" t="s">
        <v>123</v>
      </c>
      <c r="X417" s="1506"/>
      <c r="Y417" s="1506"/>
      <c r="Z417" s="1481"/>
      <c r="AA417" s="499"/>
      <c r="AB417" s="499"/>
      <c r="AC417" s="499"/>
      <c r="AD417" s="499"/>
      <c r="AE417" s="499"/>
      <c r="AF417" s="499"/>
      <c r="AG417" s="499"/>
      <c r="AH417" s="499"/>
      <c r="AI417" s="1483"/>
      <c r="AJ417" s="1515"/>
      <c r="AK417" s="1515"/>
    </row>
    <row r="418">
      <c r="A418" s="499"/>
      <c r="B418" s="1501"/>
      <c r="C418" s="1502"/>
      <c r="D418" s="1503"/>
      <c r="E418" s="1503"/>
      <c r="F418" s="1504"/>
      <c r="G418" s="1504"/>
      <c r="H418" s="483"/>
      <c r="I418" s="1505"/>
      <c r="J418" s="1516" t="s">
        <v>123</v>
      </c>
      <c r="K418" s="1506"/>
      <c r="L418" s="1506"/>
      <c r="M418" s="1479"/>
      <c r="N418" s="1503"/>
      <c r="O418" s="1503"/>
      <c r="P418" s="1503"/>
      <c r="Q418" s="1503"/>
      <c r="R418" s="1503"/>
      <c r="S418" s="1504"/>
      <c r="T418" s="1504"/>
      <c r="U418" s="483"/>
      <c r="V418" s="1505"/>
      <c r="W418" s="1516" t="s">
        <v>123</v>
      </c>
      <c r="X418" s="1506"/>
      <c r="Y418" s="1506"/>
      <c r="Z418" s="1481"/>
      <c r="AA418" s="499"/>
      <c r="AB418" s="499"/>
      <c r="AC418" s="499"/>
      <c r="AD418" s="499"/>
      <c r="AE418" s="499"/>
      <c r="AF418" s="499"/>
      <c r="AG418" s="499"/>
      <c r="AH418" s="499"/>
      <c r="AI418" s="1483"/>
      <c r="AJ418" s="1515"/>
      <c r="AK418" s="1515"/>
    </row>
    <row r="419">
      <c r="A419" s="499"/>
      <c r="B419" s="1501"/>
      <c r="C419" s="1502"/>
      <c r="D419" s="1503"/>
      <c r="E419" s="1503"/>
      <c r="F419" s="1504"/>
      <c r="G419" s="1504"/>
      <c r="H419" s="483"/>
      <c r="I419" s="1505"/>
      <c r="J419" s="1516" t="s">
        <v>123</v>
      </c>
      <c r="K419" s="1506"/>
      <c r="L419" s="1506"/>
      <c r="M419" s="1479"/>
      <c r="N419" s="1503"/>
      <c r="O419" s="1503"/>
      <c r="P419" s="1503"/>
      <c r="Q419" s="1503"/>
      <c r="R419" s="1503"/>
      <c r="S419" s="1504"/>
      <c r="T419" s="1504"/>
      <c r="U419" s="483"/>
      <c r="V419" s="1505"/>
      <c r="W419" s="1516" t="s">
        <v>123</v>
      </c>
      <c r="X419" s="1506"/>
      <c r="Y419" s="1506"/>
      <c r="Z419" s="1481"/>
      <c r="AA419" s="499"/>
      <c r="AB419" s="499"/>
      <c r="AC419" s="499"/>
      <c r="AD419" s="499"/>
      <c r="AE419" s="499"/>
      <c r="AF419" s="499"/>
      <c r="AG419" s="499"/>
      <c r="AH419" s="499"/>
      <c r="AI419" s="1483"/>
      <c r="AJ419" s="1515"/>
      <c r="AK419" s="1515"/>
    </row>
    <row r="420">
      <c r="A420" s="499"/>
      <c r="B420" s="1501"/>
      <c r="C420" s="1502"/>
      <c r="D420" s="1503"/>
      <c r="E420" s="1503"/>
      <c r="F420" s="1504"/>
      <c r="G420" s="1504"/>
      <c r="H420" s="483"/>
      <c r="I420" s="1505"/>
      <c r="J420" s="1516" t="s">
        <v>123</v>
      </c>
      <c r="K420" s="1506"/>
      <c r="L420" s="1506"/>
      <c r="M420" s="1479"/>
      <c r="N420" s="1503"/>
      <c r="O420" s="1503"/>
      <c r="P420" s="1503"/>
      <c r="Q420" s="1503"/>
      <c r="R420" s="1503"/>
      <c r="S420" s="1504"/>
      <c r="T420" s="1504"/>
      <c r="U420" s="483"/>
      <c r="V420" s="1505"/>
      <c r="W420" s="1516" t="s">
        <v>123</v>
      </c>
      <c r="X420" s="1506"/>
      <c r="Y420" s="1506"/>
      <c r="Z420" s="1481"/>
      <c r="AA420" s="499"/>
      <c r="AB420" s="499"/>
      <c r="AC420" s="499"/>
      <c r="AD420" s="499"/>
      <c r="AE420" s="499"/>
      <c r="AF420" s="499"/>
      <c r="AG420" s="499"/>
      <c r="AH420" s="499"/>
      <c r="AI420" s="1483"/>
      <c r="AJ420" s="1515"/>
      <c r="AK420" s="1515"/>
    </row>
    <row r="421">
      <c r="A421" s="499"/>
      <c r="B421" s="1501"/>
      <c r="C421" s="1502"/>
      <c r="D421" s="1503"/>
      <c r="E421" s="1503"/>
      <c r="F421" s="1504"/>
      <c r="G421" s="1504"/>
      <c r="H421" s="483"/>
      <c r="I421" s="1505"/>
      <c r="J421" s="1516" t="s">
        <v>123</v>
      </c>
      <c r="K421" s="1506"/>
      <c r="L421" s="1506"/>
      <c r="M421" s="1479"/>
      <c r="N421" s="1503"/>
      <c r="O421" s="1503"/>
      <c r="P421" s="1503"/>
      <c r="Q421" s="1503"/>
      <c r="R421" s="1503"/>
      <c r="S421" s="1504"/>
      <c r="T421" s="1504"/>
      <c r="U421" s="483"/>
      <c r="V421" s="1505"/>
      <c r="W421" s="1516" t="s">
        <v>123</v>
      </c>
      <c r="X421" s="1506"/>
      <c r="Y421" s="1506"/>
      <c r="Z421" s="1481"/>
      <c r="AA421" s="499"/>
      <c r="AB421" s="499"/>
      <c r="AC421" s="499"/>
      <c r="AD421" s="499"/>
      <c r="AE421" s="499"/>
      <c r="AF421" s="499"/>
      <c r="AG421" s="499"/>
      <c r="AH421" s="499"/>
      <c r="AI421" s="1483"/>
      <c r="AJ421" s="1515"/>
      <c r="AK421" s="1515"/>
    </row>
    <row r="422">
      <c r="A422" s="499"/>
      <c r="B422" s="1501"/>
      <c r="C422" s="1502"/>
      <c r="D422" s="1503"/>
      <c r="E422" s="1503"/>
      <c r="F422" s="1504"/>
      <c r="G422" s="1504"/>
      <c r="H422" s="483"/>
      <c r="I422" s="1505"/>
      <c r="J422" s="1516" t="s">
        <v>123</v>
      </c>
      <c r="K422" s="1506"/>
      <c r="L422" s="1506"/>
      <c r="M422" s="1479"/>
      <c r="N422" s="1503"/>
      <c r="O422" s="1503"/>
      <c r="P422" s="1503"/>
      <c r="Q422" s="1503"/>
      <c r="R422" s="1503"/>
      <c r="S422" s="1504"/>
      <c r="T422" s="1504"/>
      <c r="U422" s="483"/>
      <c r="V422" s="1505"/>
      <c r="W422" s="1516" t="s">
        <v>123</v>
      </c>
      <c r="X422" s="1506"/>
      <c r="Y422" s="1506"/>
      <c r="Z422" s="1481"/>
      <c r="AA422" s="499"/>
      <c r="AB422" s="499"/>
      <c r="AC422" s="499"/>
      <c r="AD422" s="499"/>
      <c r="AE422" s="499"/>
      <c r="AF422" s="499"/>
      <c r="AG422" s="499"/>
      <c r="AH422" s="499"/>
      <c r="AI422" s="1483"/>
      <c r="AJ422" s="1515"/>
      <c r="AK422" s="1515"/>
    </row>
    <row r="423">
      <c r="A423" s="499"/>
      <c r="B423" s="1501"/>
      <c r="C423" s="1502"/>
      <c r="D423" s="1503"/>
      <c r="E423" s="1503"/>
      <c r="F423" s="1504"/>
      <c r="G423" s="1504"/>
      <c r="H423" s="483"/>
      <c r="I423" s="1505"/>
      <c r="J423" s="1516" t="s">
        <v>123</v>
      </c>
      <c r="K423" s="1506"/>
      <c r="L423" s="1506"/>
      <c r="M423" s="1479"/>
      <c r="N423" s="1503"/>
      <c r="O423" s="1503"/>
      <c r="P423" s="1503"/>
      <c r="Q423" s="1503"/>
      <c r="R423" s="1503"/>
      <c r="S423" s="1504"/>
      <c r="T423" s="1504"/>
      <c r="U423" s="483"/>
      <c r="V423" s="1505"/>
      <c r="W423" s="1516" t="s">
        <v>123</v>
      </c>
      <c r="X423" s="1506"/>
      <c r="Y423" s="1506"/>
      <c r="Z423" s="1481"/>
      <c r="AA423" s="499"/>
      <c r="AB423" s="499"/>
      <c r="AC423" s="499"/>
      <c r="AD423" s="499"/>
      <c r="AE423" s="499"/>
      <c r="AF423" s="499"/>
      <c r="AG423" s="499"/>
      <c r="AH423" s="499"/>
      <c r="AI423" s="1483"/>
      <c r="AJ423" s="1515"/>
      <c r="AK423" s="1515"/>
    </row>
    <row r="424">
      <c r="A424" s="499"/>
      <c r="B424" s="1501"/>
      <c r="C424" s="1502"/>
      <c r="D424" s="1503"/>
      <c r="E424" s="1503"/>
      <c r="F424" s="1504"/>
      <c r="G424" s="1504"/>
      <c r="H424" s="483"/>
      <c r="I424" s="1505"/>
      <c r="J424" s="1516" t="s">
        <v>123</v>
      </c>
      <c r="K424" s="1506"/>
      <c r="L424" s="1506"/>
      <c r="M424" s="1479"/>
      <c r="N424" s="1503"/>
      <c r="O424" s="1503"/>
      <c r="P424" s="1503"/>
      <c r="Q424" s="1503"/>
      <c r="R424" s="1503"/>
      <c r="S424" s="1504"/>
      <c r="T424" s="1504"/>
      <c r="U424" s="483"/>
      <c r="V424" s="1505"/>
      <c r="W424" s="1516" t="s">
        <v>123</v>
      </c>
      <c r="X424" s="1506"/>
      <c r="Y424" s="1506"/>
      <c r="Z424" s="1481"/>
      <c r="AA424" s="499"/>
      <c r="AB424" s="499"/>
      <c r="AC424" s="499"/>
      <c r="AD424" s="499"/>
      <c r="AE424" s="499"/>
      <c r="AF424" s="499"/>
      <c r="AG424" s="499"/>
      <c r="AH424" s="499"/>
      <c r="AI424" s="1483"/>
      <c r="AJ424" s="1515"/>
      <c r="AK424" s="1515"/>
    </row>
    <row r="425">
      <c r="A425" s="499"/>
      <c r="B425" s="1501"/>
      <c r="C425" s="1502"/>
      <c r="D425" s="1503"/>
      <c r="E425" s="1503"/>
      <c r="F425" s="1504"/>
      <c r="G425" s="1504"/>
      <c r="H425" s="483"/>
      <c r="I425" s="1505"/>
      <c r="J425" s="1516" t="s">
        <v>123</v>
      </c>
      <c r="K425" s="1506"/>
      <c r="L425" s="1506"/>
      <c r="M425" s="1479"/>
      <c r="N425" s="1503"/>
      <c r="O425" s="1503"/>
      <c r="P425" s="1503"/>
      <c r="Q425" s="1503"/>
      <c r="R425" s="1503"/>
      <c r="S425" s="1504"/>
      <c r="T425" s="1504"/>
      <c r="U425" s="483"/>
      <c r="V425" s="1505"/>
      <c r="W425" s="1516" t="s">
        <v>123</v>
      </c>
      <c r="X425" s="1506"/>
      <c r="Y425" s="1506"/>
      <c r="Z425" s="1481"/>
      <c r="AA425" s="499"/>
      <c r="AB425" s="499"/>
      <c r="AC425" s="499"/>
      <c r="AD425" s="499"/>
      <c r="AE425" s="499"/>
      <c r="AF425" s="499"/>
      <c r="AG425" s="499"/>
      <c r="AH425" s="499"/>
      <c r="AI425" s="1483"/>
      <c r="AJ425" s="1515"/>
      <c r="AK425" s="1515"/>
    </row>
    <row r="426">
      <c r="A426" s="499"/>
      <c r="B426" s="1501"/>
      <c r="C426" s="1502"/>
      <c r="D426" s="1503"/>
      <c r="E426" s="1503"/>
      <c r="F426" s="1504"/>
      <c r="G426" s="1504"/>
      <c r="H426" s="483"/>
      <c r="I426" s="1505"/>
      <c r="J426" s="1516" t="s">
        <v>123</v>
      </c>
      <c r="K426" s="1506"/>
      <c r="L426" s="1506"/>
      <c r="M426" s="1479"/>
      <c r="N426" s="1503"/>
      <c r="O426" s="1503"/>
      <c r="P426" s="1503"/>
      <c r="Q426" s="1503"/>
      <c r="R426" s="1503"/>
      <c r="S426" s="1504"/>
      <c r="T426" s="1504"/>
      <c r="U426" s="483"/>
      <c r="V426" s="1505"/>
      <c r="W426" s="1516" t="s">
        <v>123</v>
      </c>
      <c r="X426" s="1506"/>
      <c r="Y426" s="1506"/>
      <c r="Z426" s="1481"/>
      <c r="AA426" s="499"/>
      <c r="AB426" s="499"/>
      <c r="AC426" s="499"/>
      <c r="AD426" s="499"/>
      <c r="AE426" s="499"/>
      <c r="AF426" s="499"/>
      <c r="AG426" s="499"/>
      <c r="AH426" s="499"/>
      <c r="AI426" s="1483"/>
      <c r="AJ426" s="1515"/>
      <c r="AK426" s="1515"/>
    </row>
    <row r="427">
      <c r="A427" s="499"/>
      <c r="B427" s="1501"/>
      <c r="C427" s="1502"/>
      <c r="D427" s="1503"/>
      <c r="E427" s="1503"/>
      <c r="F427" s="1504"/>
      <c r="G427" s="1504"/>
      <c r="H427" s="483"/>
      <c r="I427" s="1505"/>
      <c r="J427" s="1516" t="s">
        <v>123</v>
      </c>
      <c r="K427" s="1506"/>
      <c r="L427" s="1506"/>
      <c r="M427" s="1479"/>
      <c r="N427" s="1503"/>
      <c r="O427" s="1503"/>
      <c r="P427" s="1503"/>
      <c r="Q427" s="1503"/>
      <c r="R427" s="1503"/>
      <c r="S427" s="1504"/>
      <c r="T427" s="1504"/>
      <c r="U427" s="483"/>
      <c r="V427" s="1505"/>
      <c r="W427" s="1516" t="s">
        <v>123</v>
      </c>
      <c r="X427" s="1506"/>
      <c r="Y427" s="1506"/>
      <c r="Z427" s="1481"/>
      <c r="AA427" s="499"/>
      <c r="AB427" s="499"/>
      <c r="AC427" s="499"/>
      <c r="AD427" s="499"/>
      <c r="AE427" s="499"/>
      <c r="AF427" s="499"/>
      <c r="AG427" s="499"/>
      <c r="AH427" s="499"/>
      <c r="AI427" s="1483"/>
      <c r="AJ427" s="1515"/>
      <c r="AK427" s="1515"/>
    </row>
    <row r="428">
      <c r="A428" s="499"/>
      <c r="B428" s="1501"/>
      <c r="C428" s="1502"/>
      <c r="D428" s="1503"/>
      <c r="E428" s="1503"/>
      <c r="F428" s="1504"/>
      <c r="G428" s="1504"/>
      <c r="H428" s="483"/>
      <c r="I428" s="1505"/>
      <c r="J428" s="1516" t="s">
        <v>123</v>
      </c>
      <c r="K428" s="1506"/>
      <c r="L428" s="1506"/>
      <c r="M428" s="1479"/>
      <c r="N428" s="1503"/>
      <c r="O428" s="1503"/>
      <c r="P428" s="1503"/>
      <c r="Q428" s="1503"/>
      <c r="R428" s="1503"/>
      <c r="S428" s="1504"/>
      <c r="T428" s="1504"/>
      <c r="U428" s="483"/>
      <c r="V428" s="1505"/>
      <c r="W428" s="1516" t="s">
        <v>123</v>
      </c>
      <c r="X428" s="1506"/>
      <c r="Y428" s="1506"/>
      <c r="Z428" s="1481"/>
      <c r="AA428" s="499"/>
      <c r="AB428" s="499"/>
      <c r="AC428" s="499"/>
      <c r="AD428" s="499"/>
      <c r="AE428" s="499"/>
      <c r="AF428" s="499"/>
      <c r="AG428" s="499"/>
      <c r="AH428" s="499"/>
      <c r="AI428" s="1483"/>
      <c r="AJ428" s="1515"/>
      <c r="AK428" s="1515"/>
    </row>
    <row r="429">
      <c r="A429" s="499"/>
      <c r="B429" s="1501"/>
      <c r="C429" s="1502"/>
      <c r="D429" s="1503"/>
      <c r="E429" s="1503"/>
      <c r="F429" s="1504"/>
      <c r="G429" s="1504"/>
      <c r="H429" s="483"/>
      <c r="I429" s="1505"/>
      <c r="J429" s="1516" t="s">
        <v>123</v>
      </c>
      <c r="K429" s="1506"/>
      <c r="L429" s="1506"/>
      <c r="M429" s="1479"/>
      <c r="N429" s="1503"/>
      <c r="O429" s="1503"/>
      <c r="P429" s="1503"/>
      <c r="Q429" s="1503"/>
      <c r="R429" s="1503"/>
      <c r="S429" s="1504"/>
      <c r="T429" s="1504"/>
      <c r="U429" s="483"/>
      <c r="V429" s="1505"/>
      <c r="W429" s="1516" t="s">
        <v>123</v>
      </c>
      <c r="X429" s="1506"/>
      <c r="Y429" s="1506"/>
      <c r="Z429" s="1481"/>
      <c r="AA429" s="499"/>
      <c r="AB429" s="499"/>
      <c r="AC429" s="499"/>
      <c r="AD429" s="499"/>
      <c r="AE429" s="499"/>
      <c r="AF429" s="499"/>
      <c r="AG429" s="499"/>
      <c r="AH429" s="499"/>
      <c r="AI429" s="1483"/>
      <c r="AJ429" s="1515"/>
      <c r="AK429" s="1515"/>
    </row>
    <row r="430">
      <c r="A430" s="499"/>
      <c r="B430" s="1501"/>
      <c r="C430" s="1502"/>
      <c r="D430" s="1503"/>
      <c r="E430" s="1503"/>
      <c r="F430" s="1504"/>
      <c r="G430" s="1504"/>
      <c r="H430" s="483"/>
      <c r="I430" s="1505"/>
      <c r="J430" s="1516" t="s">
        <v>123</v>
      </c>
      <c r="K430" s="1506"/>
      <c r="L430" s="1506"/>
      <c r="M430" s="1479"/>
      <c r="N430" s="1503"/>
      <c r="O430" s="1503"/>
      <c r="P430" s="1503"/>
      <c r="Q430" s="1503"/>
      <c r="R430" s="1503"/>
      <c r="S430" s="1504"/>
      <c r="T430" s="1504"/>
      <c r="U430" s="483"/>
      <c r="V430" s="1505"/>
      <c r="W430" s="1516" t="s">
        <v>123</v>
      </c>
      <c r="X430" s="1506"/>
      <c r="Y430" s="1506"/>
      <c r="Z430" s="1481"/>
      <c r="AA430" s="499"/>
      <c r="AB430" s="499"/>
      <c r="AC430" s="499"/>
      <c r="AD430" s="499"/>
      <c r="AE430" s="499"/>
      <c r="AF430" s="499"/>
      <c r="AG430" s="499"/>
      <c r="AH430" s="499"/>
      <c r="AI430" s="1483"/>
      <c r="AJ430" s="1515"/>
      <c r="AK430" s="1515"/>
    </row>
    <row r="431">
      <c r="A431" s="499"/>
      <c r="B431" s="1501"/>
      <c r="C431" s="1502"/>
      <c r="D431" s="1503"/>
      <c r="E431" s="1503"/>
      <c r="F431" s="1504"/>
      <c r="G431" s="1504"/>
      <c r="H431" s="483"/>
      <c r="I431" s="1505"/>
      <c r="J431" s="1516" t="s">
        <v>123</v>
      </c>
      <c r="K431" s="1506"/>
      <c r="L431" s="1506"/>
      <c r="M431" s="1479"/>
      <c r="N431" s="1503"/>
      <c r="O431" s="1503"/>
      <c r="P431" s="1503"/>
      <c r="Q431" s="1503"/>
      <c r="R431" s="1503"/>
      <c r="S431" s="1504"/>
      <c r="T431" s="1504"/>
      <c r="U431" s="483"/>
      <c r="V431" s="1505"/>
      <c r="W431" s="1516" t="s">
        <v>123</v>
      </c>
      <c r="X431" s="1506"/>
      <c r="Y431" s="1506"/>
      <c r="Z431" s="1481"/>
      <c r="AA431" s="499"/>
      <c r="AB431" s="499"/>
      <c r="AC431" s="499"/>
      <c r="AD431" s="499"/>
      <c r="AE431" s="499"/>
      <c r="AF431" s="499"/>
      <c r="AG431" s="499"/>
      <c r="AH431" s="499"/>
      <c r="AI431" s="1483"/>
      <c r="AJ431" s="1515"/>
      <c r="AK431" s="1515"/>
    </row>
    <row r="432">
      <c r="A432" s="499"/>
      <c r="B432" s="1501"/>
      <c r="C432" s="1502"/>
      <c r="D432" s="1503"/>
      <c r="E432" s="1503"/>
      <c r="F432" s="1504"/>
      <c r="G432" s="1504"/>
      <c r="H432" s="483"/>
      <c r="I432" s="1505"/>
      <c r="J432" s="1516" t="s">
        <v>123</v>
      </c>
      <c r="K432" s="1506"/>
      <c r="L432" s="1506"/>
      <c r="M432" s="1479"/>
      <c r="N432" s="1503"/>
      <c r="O432" s="1503"/>
      <c r="P432" s="1503"/>
      <c r="Q432" s="1503"/>
      <c r="R432" s="1503"/>
      <c r="S432" s="1504"/>
      <c r="T432" s="1504"/>
      <c r="U432" s="483"/>
      <c r="V432" s="1505"/>
      <c r="W432" s="1516" t="s">
        <v>123</v>
      </c>
      <c r="X432" s="1506"/>
      <c r="Y432" s="1506"/>
      <c r="Z432" s="1481"/>
      <c r="AA432" s="499"/>
      <c r="AB432" s="499"/>
      <c r="AC432" s="499"/>
      <c r="AD432" s="499"/>
      <c r="AE432" s="499"/>
      <c r="AF432" s="499"/>
      <c r="AG432" s="499"/>
      <c r="AH432" s="499"/>
      <c r="AI432" s="1483"/>
      <c r="AJ432" s="1515"/>
      <c r="AK432" s="1515"/>
    </row>
    <row r="433">
      <c r="A433" s="499"/>
      <c r="B433" s="1501"/>
      <c r="C433" s="1502"/>
      <c r="D433" s="1503"/>
      <c r="E433" s="1503"/>
      <c r="F433" s="1504"/>
      <c r="G433" s="1504"/>
      <c r="H433" s="483"/>
      <c r="I433" s="1505"/>
      <c r="J433" s="1516" t="s">
        <v>123</v>
      </c>
      <c r="K433" s="1506"/>
      <c r="L433" s="1506"/>
      <c r="M433" s="1479"/>
      <c r="N433" s="1503"/>
      <c r="O433" s="1503"/>
      <c r="P433" s="1503"/>
      <c r="Q433" s="1503"/>
      <c r="R433" s="1503"/>
      <c r="S433" s="1504"/>
      <c r="T433" s="1504"/>
      <c r="U433" s="483"/>
      <c r="V433" s="1505"/>
      <c r="W433" s="1516" t="s">
        <v>123</v>
      </c>
      <c r="X433" s="1506"/>
      <c r="Y433" s="1506"/>
      <c r="Z433" s="1481"/>
      <c r="AA433" s="499"/>
      <c r="AB433" s="499"/>
      <c r="AC433" s="499"/>
      <c r="AD433" s="499"/>
      <c r="AE433" s="499"/>
      <c r="AF433" s="499"/>
      <c r="AG433" s="499"/>
      <c r="AH433" s="499"/>
      <c r="AI433" s="1483"/>
      <c r="AJ433" s="1515"/>
      <c r="AK433" s="1515"/>
    </row>
    <row r="434">
      <c r="A434" s="499"/>
      <c r="B434" s="1501"/>
      <c r="C434" s="1502"/>
      <c r="D434" s="1503"/>
      <c r="E434" s="1503"/>
      <c r="F434" s="1504"/>
      <c r="G434" s="1504"/>
      <c r="H434" s="483"/>
      <c r="I434" s="1505"/>
      <c r="J434" s="1516" t="s">
        <v>123</v>
      </c>
      <c r="K434" s="1506"/>
      <c r="L434" s="1506"/>
      <c r="M434" s="1479"/>
      <c r="N434" s="1503"/>
      <c r="O434" s="1503"/>
      <c r="P434" s="1503"/>
      <c r="Q434" s="1503"/>
      <c r="R434" s="1503"/>
      <c r="S434" s="1504"/>
      <c r="T434" s="1504"/>
      <c r="U434" s="483"/>
      <c r="V434" s="1505"/>
      <c r="W434" s="1516" t="s">
        <v>123</v>
      </c>
      <c r="X434" s="1506"/>
      <c r="Y434" s="1506"/>
      <c r="Z434" s="1481"/>
      <c r="AA434" s="499"/>
      <c r="AB434" s="499"/>
      <c r="AC434" s="499"/>
      <c r="AD434" s="499"/>
      <c r="AE434" s="499"/>
      <c r="AF434" s="499"/>
      <c r="AG434" s="499"/>
      <c r="AH434" s="499"/>
      <c r="AI434" s="1483"/>
      <c r="AJ434" s="1515"/>
      <c r="AK434" s="1515"/>
    </row>
    <row r="435">
      <c r="A435" s="499"/>
      <c r="B435" s="1501"/>
      <c r="C435" s="1502"/>
      <c r="D435" s="1503"/>
      <c r="E435" s="1503"/>
      <c r="F435" s="1504"/>
      <c r="G435" s="1504"/>
      <c r="H435" s="483"/>
      <c r="I435" s="1505"/>
      <c r="J435" s="1516" t="s">
        <v>123</v>
      </c>
      <c r="K435" s="1506"/>
      <c r="L435" s="1506"/>
      <c r="M435" s="1479"/>
      <c r="N435" s="1503"/>
      <c r="O435" s="1503"/>
      <c r="P435" s="1503"/>
      <c r="Q435" s="1503"/>
      <c r="R435" s="1503"/>
      <c r="S435" s="1504"/>
      <c r="T435" s="1504"/>
      <c r="U435" s="483"/>
      <c r="V435" s="1505"/>
      <c r="W435" s="1516" t="s">
        <v>123</v>
      </c>
      <c r="X435" s="1506"/>
      <c r="Y435" s="1506"/>
      <c r="Z435" s="1481"/>
      <c r="AA435" s="499"/>
      <c r="AB435" s="499"/>
      <c r="AC435" s="499"/>
      <c r="AD435" s="499"/>
      <c r="AE435" s="499"/>
      <c r="AF435" s="499"/>
      <c r="AG435" s="499"/>
      <c r="AH435" s="499"/>
      <c r="AI435" s="1483"/>
      <c r="AJ435" s="1515"/>
      <c r="AK435" s="1515"/>
    </row>
    <row r="436">
      <c r="A436" s="499"/>
      <c r="B436" s="1501"/>
      <c r="C436" s="1502"/>
      <c r="D436" s="1503"/>
      <c r="E436" s="1503"/>
      <c r="F436" s="1504"/>
      <c r="G436" s="1504"/>
      <c r="H436" s="483"/>
      <c r="I436" s="1505"/>
      <c r="J436" s="1516" t="s">
        <v>123</v>
      </c>
      <c r="K436" s="1506"/>
      <c r="L436" s="1506"/>
      <c r="M436" s="1479"/>
      <c r="N436" s="1503"/>
      <c r="O436" s="1503"/>
      <c r="P436" s="1503"/>
      <c r="Q436" s="1503"/>
      <c r="R436" s="1503"/>
      <c r="S436" s="1504"/>
      <c r="T436" s="1504"/>
      <c r="U436" s="483"/>
      <c r="V436" s="1505"/>
      <c r="W436" s="1516" t="s">
        <v>123</v>
      </c>
      <c r="X436" s="1506"/>
      <c r="Y436" s="1506"/>
      <c r="Z436" s="1481"/>
      <c r="AA436" s="499"/>
      <c r="AB436" s="499"/>
      <c r="AC436" s="499"/>
      <c r="AD436" s="499"/>
      <c r="AE436" s="499"/>
      <c r="AF436" s="499"/>
      <c r="AG436" s="499"/>
      <c r="AH436" s="499"/>
      <c r="AI436" s="1483"/>
      <c r="AJ436" s="1515"/>
      <c r="AK436" s="1515"/>
    </row>
    <row r="437">
      <c r="A437" s="499"/>
      <c r="B437" s="1501"/>
      <c r="C437" s="1502"/>
      <c r="D437" s="1503"/>
      <c r="E437" s="1503"/>
      <c r="F437" s="1504"/>
      <c r="G437" s="1504"/>
      <c r="H437" s="483"/>
      <c r="I437" s="1505"/>
      <c r="J437" s="1516" t="s">
        <v>123</v>
      </c>
      <c r="K437" s="1506"/>
      <c r="L437" s="1506"/>
      <c r="M437" s="1479"/>
      <c r="N437" s="1503"/>
      <c r="O437" s="1503"/>
      <c r="P437" s="1503"/>
      <c r="Q437" s="1503"/>
      <c r="R437" s="1503"/>
      <c r="S437" s="1504"/>
      <c r="T437" s="1504"/>
      <c r="U437" s="483"/>
      <c r="V437" s="1505"/>
      <c r="W437" s="1516" t="s">
        <v>123</v>
      </c>
      <c r="X437" s="1506"/>
      <c r="Y437" s="1506"/>
      <c r="Z437" s="1481"/>
      <c r="AA437" s="499"/>
      <c r="AB437" s="499"/>
      <c r="AC437" s="499"/>
      <c r="AD437" s="499"/>
      <c r="AE437" s="499"/>
      <c r="AF437" s="499"/>
      <c r="AG437" s="499"/>
      <c r="AH437" s="499"/>
      <c r="AI437" s="1483"/>
      <c r="AJ437" s="1515"/>
      <c r="AK437" s="1515"/>
    </row>
    <row r="438">
      <c r="A438" s="499"/>
      <c r="B438" s="1501"/>
      <c r="C438" s="1502"/>
      <c r="D438" s="1503"/>
      <c r="E438" s="1503"/>
      <c r="F438" s="1504"/>
      <c r="G438" s="1504"/>
      <c r="H438" s="483"/>
      <c r="I438" s="1505"/>
      <c r="J438" s="1516" t="s">
        <v>123</v>
      </c>
      <c r="K438" s="1506"/>
      <c r="L438" s="1506"/>
      <c r="M438" s="1479"/>
      <c r="N438" s="1503"/>
      <c r="O438" s="1503"/>
      <c r="P438" s="1503"/>
      <c r="Q438" s="1503"/>
      <c r="R438" s="1503"/>
      <c r="S438" s="1504"/>
      <c r="T438" s="1504"/>
      <c r="U438" s="483"/>
      <c r="V438" s="1505"/>
      <c r="W438" s="1516" t="s">
        <v>123</v>
      </c>
      <c r="X438" s="1506"/>
      <c r="Y438" s="1506"/>
      <c r="Z438" s="1481"/>
      <c r="AA438" s="499"/>
      <c r="AB438" s="499"/>
      <c r="AC438" s="499"/>
      <c r="AD438" s="499"/>
      <c r="AE438" s="499"/>
      <c r="AF438" s="499"/>
      <c r="AG438" s="499"/>
      <c r="AH438" s="499"/>
      <c r="AI438" s="1483"/>
      <c r="AJ438" s="1515"/>
      <c r="AK438" s="1515"/>
    </row>
    <row r="439">
      <c r="A439" s="499"/>
      <c r="B439" s="1501"/>
      <c r="C439" s="1502"/>
      <c r="D439" s="1503"/>
      <c r="E439" s="1503"/>
      <c r="F439" s="1504"/>
      <c r="G439" s="1504"/>
      <c r="H439" s="483"/>
      <c r="I439" s="1505"/>
      <c r="J439" s="1516" t="s">
        <v>123</v>
      </c>
      <c r="K439" s="1506"/>
      <c r="L439" s="1506"/>
      <c r="M439" s="1479"/>
      <c r="N439" s="1503"/>
      <c r="O439" s="1503"/>
      <c r="P439" s="1503"/>
      <c r="Q439" s="1503"/>
      <c r="R439" s="1503"/>
      <c r="S439" s="1504"/>
      <c r="T439" s="1504"/>
      <c r="U439" s="483"/>
      <c r="V439" s="1505"/>
      <c r="W439" s="1516" t="s">
        <v>123</v>
      </c>
      <c r="X439" s="1506"/>
      <c r="Y439" s="1506"/>
      <c r="Z439" s="1481"/>
      <c r="AA439" s="499"/>
      <c r="AB439" s="499"/>
      <c r="AC439" s="499"/>
      <c r="AD439" s="499"/>
      <c r="AE439" s="499"/>
      <c r="AF439" s="499"/>
      <c r="AG439" s="499"/>
      <c r="AH439" s="499"/>
      <c r="AI439" s="1483"/>
      <c r="AJ439" s="1515"/>
      <c r="AK439" s="1515"/>
    </row>
    <row r="440">
      <c r="A440" s="499"/>
      <c r="B440" s="1501"/>
      <c r="C440" s="1502"/>
      <c r="D440" s="1503"/>
      <c r="E440" s="1503"/>
      <c r="F440" s="1504"/>
      <c r="G440" s="1504"/>
      <c r="H440" s="483"/>
      <c r="I440" s="1505"/>
      <c r="J440" s="1516" t="s">
        <v>123</v>
      </c>
      <c r="K440" s="1506"/>
      <c r="L440" s="1506"/>
      <c r="M440" s="1479"/>
      <c r="N440" s="1503"/>
      <c r="O440" s="1503"/>
      <c r="P440" s="1503"/>
      <c r="Q440" s="1503"/>
      <c r="R440" s="1503"/>
      <c r="S440" s="1504"/>
      <c r="T440" s="1504"/>
      <c r="U440" s="483"/>
      <c r="V440" s="1505"/>
      <c r="W440" s="1516" t="s">
        <v>123</v>
      </c>
      <c r="X440" s="1506"/>
      <c r="Y440" s="1506"/>
      <c r="Z440" s="1481"/>
      <c r="AA440" s="499"/>
      <c r="AB440" s="499"/>
      <c r="AC440" s="499"/>
      <c r="AD440" s="499"/>
      <c r="AE440" s="499"/>
      <c r="AF440" s="499"/>
      <c r="AG440" s="499"/>
      <c r="AH440" s="499"/>
      <c r="AI440" s="1483"/>
      <c r="AJ440" s="1515"/>
      <c r="AK440" s="1515"/>
    </row>
    <row r="441">
      <c r="A441" s="499"/>
      <c r="B441" s="1501"/>
      <c r="C441" s="1502"/>
      <c r="D441" s="1503"/>
      <c r="E441" s="1503"/>
      <c r="F441" s="1504"/>
      <c r="G441" s="1504"/>
      <c r="H441" s="483"/>
      <c r="I441" s="1505"/>
      <c r="J441" s="1516" t="s">
        <v>123</v>
      </c>
      <c r="K441" s="1506"/>
      <c r="L441" s="1506"/>
      <c r="M441" s="1479"/>
      <c r="N441" s="1503"/>
      <c r="O441" s="1503"/>
      <c r="P441" s="1503"/>
      <c r="Q441" s="1503"/>
      <c r="R441" s="1503"/>
      <c r="S441" s="1504"/>
      <c r="T441" s="1504"/>
      <c r="U441" s="483"/>
      <c r="V441" s="1505"/>
      <c r="W441" s="1516" t="s">
        <v>123</v>
      </c>
      <c r="X441" s="1506"/>
      <c r="Y441" s="1506"/>
      <c r="Z441" s="1481"/>
      <c r="AA441" s="499"/>
      <c r="AB441" s="499"/>
      <c r="AC441" s="499"/>
      <c r="AD441" s="499"/>
      <c r="AE441" s="499"/>
      <c r="AF441" s="499"/>
      <c r="AG441" s="499"/>
      <c r="AH441" s="499"/>
      <c r="AI441" s="1483"/>
      <c r="AJ441" s="1515"/>
      <c r="AK441" s="1515"/>
    </row>
    <row r="442">
      <c r="A442" s="499"/>
      <c r="B442" s="1501"/>
      <c r="C442" s="1502"/>
      <c r="D442" s="1503"/>
      <c r="E442" s="1503"/>
      <c r="F442" s="1504"/>
      <c r="G442" s="1504"/>
      <c r="H442" s="483"/>
      <c r="I442" s="1505"/>
      <c r="J442" s="1516" t="s">
        <v>123</v>
      </c>
      <c r="K442" s="1506"/>
      <c r="L442" s="1506"/>
      <c r="M442" s="1479"/>
      <c r="N442" s="1503"/>
      <c r="O442" s="1503"/>
      <c r="P442" s="1503"/>
      <c r="Q442" s="1503"/>
      <c r="R442" s="1503"/>
      <c r="S442" s="1504"/>
      <c r="T442" s="1504"/>
      <c r="U442" s="483"/>
      <c r="V442" s="1505"/>
      <c r="W442" s="1516" t="s">
        <v>123</v>
      </c>
      <c r="X442" s="1506"/>
      <c r="Y442" s="1506"/>
      <c r="Z442" s="1481"/>
      <c r="AA442" s="499"/>
      <c r="AB442" s="499"/>
      <c r="AC442" s="499"/>
      <c r="AD442" s="499"/>
      <c r="AE442" s="499"/>
      <c r="AF442" s="499"/>
      <c r="AG442" s="499"/>
      <c r="AH442" s="499"/>
      <c r="AI442" s="1483"/>
      <c r="AJ442" s="1515"/>
      <c r="AK442" s="1515"/>
    </row>
    <row r="443">
      <c r="A443" s="499"/>
      <c r="B443" s="1501"/>
      <c r="C443" s="1502"/>
      <c r="D443" s="1503"/>
      <c r="E443" s="1503"/>
      <c r="F443" s="1504"/>
      <c r="G443" s="1504"/>
      <c r="H443" s="483"/>
      <c r="I443" s="1505"/>
      <c r="J443" s="1516" t="s">
        <v>123</v>
      </c>
      <c r="K443" s="1506"/>
      <c r="L443" s="1506"/>
      <c r="M443" s="1479"/>
      <c r="N443" s="1503"/>
      <c r="O443" s="1503"/>
      <c r="P443" s="1503"/>
      <c r="Q443" s="1503"/>
      <c r="R443" s="1503"/>
      <c r="S443" s="1504"/>
      <c r="T443" s="1504"/>
      <c r="U443" s="483"/>
      <c r="V443" s="1505"/>
      <c r="W443" s="1516" t="s">
        <v>123</v>
      </c>
      <c r="X443" s="1506"/>
      <c r="Y443" s="1506"/>
      <c r="Z443" s="1481"/>
      <c r="AA443" s="499"/>
      <c r="AB443" s="499"/>
      <c r="AC443" s="499"/>
      <c r="AD443" s="499"/>
      <c r="AE443" s="499"/>
      <c r="AF443" s="499"/>
      <c r="AG443" s="499"/>
      <c r="AH443" s="499"/>
      <c r="AI443" s="1483"/>
      <c r="AJ443" s="1515"/>
      <c r="AK443" s="1515"/>
    </row>
    <row r="444">
      <c r="A444" s="499"/>
      <c r="B444" s="1501"/>
      <c r="C444" s="1502"/>
      <c r="D444" s="1503"/>
      <c r="E444" s="1503"/>
      <c r="F444" s="1504"/>
      <c r="G444" s="1504"/>
      <c r="H444" s="483"/>
      <c r="I444" s="1505"/>
      <c r="J444" s="1516" t="s">
        <v>123</v>
      </c>
      <c r="K444" s="1506"/>
      <c r="L444" s="1506"/>
      <c r="M444" s="1479"/>
      <c r="N444" s="1503"/>
      <c r="O444" s="1503"/>
      <c r="P444" s="1503"/>
      <c r="Q444" s="1503"/>
      <c r="R444" s="1503"/>
      <c r="S444" s="1504"/>
      <c r="T444" s="1504"/>
      <c r="U444" s="483"/>
      <c r="V444" s="1505"/>
      <c r="W444" s="1516" t="s">
        <v>123</v>
      </c>
      <c r="X444" s="1506"/>
      <c r="Y444" s="1506"/>
      <c r="Z444" s="1481"/>
      <c r="AA444" s="499"/>
      <c r="AB444" s="499"/>
      <c r="AC444" s="499"/>
      <c r="AD444" s="499"/>
      <c r="AE444" s="499"/>
      <c r="AF444" s="499"/>
      <c r="AG444" s="499"/>
      <c r="AH444" s="499"/>
      <c r="AI444" s="1483"/>
      <c r="AJ444" s="1515"/>
      <c r="AK444" s="1515"/>
    </row>
    <row r="445">
      <c r="A445" s="499"/>
      <c r="B445" s="1501"/>
      <c r="C445" s="1502"/>
      <c r="D445" s="1503"/>
      <c r="E445" s="1503"/>
      <c r="F445" s="1504"/>
      <c r="G445" s="1504"/>
      <c r="H445" s="483"/>
      <c r="I445" s="1505"/>
      <c r="J445" s="1516" t="s">
        <v>123</v>
      </c>
      <c r="K445" s="1506"/>
      <c r="L445" s="1506"/>
      <c r="M445" s="1479"/>
      <c r="N445" s="1503"/>
      <c r="O445" s="1503"/>
      <c r="P445" s="1503"/>
      <c r="Q445" s="1503"/>
      <c r="R445" s="1503"/>
      <c r="S445" s="1504"/>
      <c r="T445" s="1504"/>
      <c r="U445" s="483"/>
      <c r="V445" s="1505"/>
      <c r="W445" s="1516" t="s">
        <v>123</v>
      </c>
      <c r="X445" s="1506"/>
      <c r="Y445" s="1506"/>
      <c r="Z445" s="1481"/>
      <c r="AA445" s="499"/>
      <c r="AB445" s="499"/>
      <c r="AC445" s="499"/>
      <c r="AD445" s="499"/>
      <c r="AE445" s="499"/>
      <c r="AF445" s="499"/>
      <c r="AG445" s="499"/>
      <c r="AH445" s="499"/>
      <c r="AI445" s="1483"/>
      <c r="AJ445" s="1515"/>
      <c r="AK445" s="1515"/>
    </row>
    <row r="446">
      <c r="A446" s="499"/>
      <c r="B446" s="1501"/>
      <c r="C446" s="1502"/>
      <c r="D446" s="1503"/>
      <c r="E446" s="1503"/>
      <c r="F446" s="1504"/>
      <c r="G446" s="1504"/>
      <c r="H446" s="483"/>
      <c r="I446" s="1505"/>
      <c r="J446" s="1516" t="s">
        <v>123</v>
      </c>
      <c r="K446" s="1506"/>
      <c r="L446" s="1506"/>
      <c r="M446" s="1479"/>
      <c r="N446" s="1503"/>
      <c r="O446" s="1503"/>
      <c r="P446" s="1503"/>
      <c r="Q446" s="1503"/>
      <c r="R446" s="1503"/>
      <c r="S446" s="1504"/>
      <c r="T446" s="1504"/>
      <c r="U446" s="483"/>
      <c r="V446" s="1505"/>
      <c r="W446" s="1516" t="s">
        <v>123</v>
      </c>
      <c r="X446" s="1506"/>
      <c r="Y446" s="1506"/>
      <c r="Z446" s="1481"/>
      <c r="AA446" s="499"/>
      <c r="AB446" s="499"/>
      <c r="AC446" s="499"/>
      <c r="AD446" s="499"/>
      <c r="AE446" s="499"/>
      <c r="AF446" s="499"/>
      <c r="AG446" s="499"/>
      <c r="AH446" s="499"/>
      <c r="AI446" s="1483"/>
      <c r="AJ446" s="1515"/>
      <c r="AK446" s="1515"/>
    </row>
    <row r="447">
      <c r="A447" s="499"/>
      <c r="B447" s="1501"/>
      <c r="C447" s="1502"/>
      <c r="D447" s="1503"/>
      <c r="E447" s="1503"/>
      <c r="F447" s="1504"/>
      <c r="G447" s="1504"/>
      <c r="H447" s="483"/>
      <c r="I447" s="1505"/>
      <c r="J447" s="1516" t="s">
        <v>123</v>
      </c>
      <c r="K447" s="1506"/>
      <c r="L447" s="1506"/>
      <c r="M447" s="1479"/>
      <c r="N447" s="1503"/>
      <c r="O447" s="1503"/>
      <c r="P447" s="1503"/>
      <c r="Q447" s="1503"/>
      <c r="R447" s="1503"/>
      <c r="S447" s="1504"/>
      <c r="T447" s="1504"/>
      <c r="U447" s="483"/>
      <c r="V447" s="1505"/>
      <c r="W447" s="1516" t="s">
        <v>123</v>
      </c>
      <c r="X447" s="1506"/>
      <c r="Y447" s="1506"/>
      <c r="Z447" s="1481"/>
      <c r="AA447" s="499"/>
      <c r="AB447" s="499"/>
      <c r="AC447" s="499"/>
      <c r="AD447" s="499"/>
      <c r="AE447" s="499"/>
      <c r="AF447" s="499"/>
      <c r="AG447" s="499"/>
      <c r="AH447" s="499"/>
      <c r="AI447" s="1483"/>
      <c r="AJ447" s="1515"/>
      <c r="AK447" s="1515"/>
    </row>
    <row r="448">
      <c r="A448" s="499"/>
      <c r="B448" s="1501"/>
      <c r="C448" s="1502"/>
      <c r="D448" s="1503"/>
      <c r="E448" s="1503"/>
      <c r="F448" s="1504"/>
      <c r="G448" s="1504"/>
      <c r="H448" s="483"/>
      <c r="I448" s="1505"/>
      <c r="J448" s="1516" t="s">
        <v>123</v>
      </c>
      <c r="K448" s="1506"/>
      <c r="L448" s="1506"/>
      <c r="M448" s="1479"/>
      <c r="N448" s="1503"/>
      <c r="O448" s="1503"/>
      <c r="P448" s="1503"/>
      <c r="Q448" s="1503"/>
      <c r="R448" s="1503"/>
      <c r="S448" s="1504"/>
      <c r="T448" s="1504"/>
      <c r="U448" s="483"/>
      <c r="V448" s="1505"/>
      <c r="W448" s="1516" t="s">
        <v>123</v>
      </c>
      <c r="X448" s="1506"/>
      <c r="Y448" s="1506"/>
      <c r="Z448" s="1481"/>
      <c r="AA448" s="499"/>
      <c r="AB448" s="499"/>
      <c r="AC448" s="499"/>
      <c r="AD448" s="499"/>
      <c r="AE448" s="499"/>
      <c r="AF448" s="499"/>
      <c r="AG448" s="499"/>
      <c r="AH448" s="499"/>
      <c r="AI448" s="1483"/>
      <c r="AJ448" s="1515"/>
      <c r="AK448" s="1515"/>
    </row>
    <row r="449">
      <c r="A449" s="499"/>
      <c r="B449" s="1501"/>
      <c r="C449" s="1502"/>
      <c r="D449" s="1503"/>
      <c r="E449" s="1503"/>
      <c r="F449" s="1504"/>
      <c r="G449" s="1504"/>
      <c r="H449" s="483"/>
      <c r="I449" s="1505"/>
      <c r="J449" s="1516" t="s">
        <v>123</v>
      </c>
      <c r="K449" s="1506"/>
      <c r="L449" s="1506"/>
      <c r="M449" s="1479"/>
      <c r="N449" s="1503"/>
      <c r="O449" s="1503"/>
      <c r="P449" s="1503"/>
      <c r="Q449" s="1503"/>
      <c r="R449" s="1503"/>
      <c r="S449" s="1504"/>
      <c r="T449" s="1504"/>
      <c r="U449" s="483"/>
      <c r="V449" s="1505"/>
      <c r="W449" s="1516" t="s">
        <v>123</v>
      </c>
      <c r="X449" s="1506"/>
      <c r="Y449" s="1506"/>
      <c r="Z449" s="1481"/>
      <c r="AA449" s="499"/>
      <c r="AB449" s="499"/>
      <c r="AC449" s="499"/>
      <c r="AD449" s="499"/>
      <c r="AE449" s="499"/>
      <c r="AF449" s="499"/>
      <c r="AG449" s="499"/>
      <c r="AH449" s="499"/>
      <c r="AI449" s="1483"/>
      <c r="AJ449" s="1515"/>
      <c r="AK449" s="1515"/>
    </row>
    <row r="450">
      <c r="A450" s="499"/>
      <c r="B450" s="1501"/>
      <c r="C450" s="1502"/>
      <c r="D450" s="1503"/>
      <c r="E450" s="1503"/>
      <c r="F450" s="1504"/>
      <c r="G450" s="1504"/>
      <c r="H450" s="483"/>
      <c r="I450" s="1505"/>
      <c r="J450" s="1516" t="s">
        <v>123</v>
      </c>
      <c r="K450" s="1506"/>
      <c r="L450" s="1506"/>
      <c r="M450" s="1479"/>
      <c r="N450" s="1503"/>
      <c r="O450" s="1503"/>
      <c r="P450" s="1503"/>
      <c r="Q450" s="1503"/>
      <c r="R450" s="1503"/>
      <c r="S450" s="1504"/>
      <c r="T450" s="1504"/>
      <c r="U450" s="483"/>
      <c r="V450" s="1505"/>
      <c r="W450" s="1516" t="s">
        <v>123</v>
      </c>
      <c r="X450" s="1506"/>
      <c r="Y450" s="1506"/>
      <c r="Z450" s="1481"/>
      <c r="AA450" s="499"/>
      <c r="AB450" s="499"/>
      <c r="AC450" s="499"/>
      <c r="AD450" s="499"/>
      <c r="AE450" s="499"/>
      <c r="AF450" s="499"/>
      <c r="AG450" s="499"/>
      <c r="AH450" s="499"/>
      <c r="AI450" s="1483"/>
      <c r="AJ450" s="1515"/>
      <c r="AK450" s="1515"/>
    </row>
    <row r="451">
      <c r="A451" s="499"/>
      <c r="B451" s="1501"/>
      <c r="C451" s="1502"/>
      <c r="D451" s="1503"/>
      <c r="E451" s="1503"/>
      <c r="F451" s="1504"/>
      <c r="G451" s="1504"/>
      <c r="H451" s="483"/>
      <c r="I451" s="1505"/>
      <c r="J451" s="1516" t="s">
        <v>123</v>
      </c>
      <c r="K451" s="1506"/>
      <c r="L451" s="1506"/>
      <c r="M451" s="1479"/>
      <c r="N451" s="1503"/>
      <c r="O451" s="1503"/>
      <c r="P451" s="1503"/>
      <c r="Q451" s="1503"/>
      <c r="R451" s="1503"/>
      <c r="S451" s="1504"/>
      <c r="T451" s="1504"/>
      <c r="U451" s="483"/>
      <c r="V451" s="1505"/>
      <c r="W451" s="1516" t="s">
        <v>123</v>
      </c>
      <c r="X451" s="1506"/>
      <c r="Y451" s="1506"/>
      <c r="Z451" s="1481"/>
      <c r="AA451" s="499"/>
      <c r="AB451" s="499"/>
      <c r="AC451" s="499"/>
      <c r="AD451" s="499"/>
      <c r="AE451" s="499"/>
      <c r="AF451" s="499"/>
      <c r="AG451" s="499"/>
      <c r="AH451" s="499"/>
      <c r="AI451" s="1483"/>
      <c r="AJ451" s="1515"/>
      <c r="AK451" s="1515"/>
    </row>
    <row r="452">
      <c r="A452" s="499"/>
      <c r="B452" s="1501"/>
      <c r="C452" s="1502"/>
      <c r="D452" s="1503"/>
      <c r="E452" s="1503"/>
      <c r="F452" s="1504"/>
      <c r="G452" s="1504"/>
      <c r="H452" s="483"/>
      <c r="I452" s="1505"/>
      <c r="J452" s="1516" t="s">
        <v>123</v>
      </c>
      <c r="K452" s="1506"/>
      <c r="L452" s="1506"/>
      <c r="M452" s="1479"/>
      <c r="N452" s="1503"/>
      <c r="O452" s="1503"/>
      <c r="P452" s="1503"/>
      <c r="Q452" s="1503"/>
      <c r="R452" s="1503"/>
      <c r="S452" s="1504"/>
      <c r="T452" s="1504"/>
      <c r="U452" s="483"/>
      <c r="V452" s="1505"/>
      <c r="W452" s="1516" t="s">
        <v>123</v>
      </c>
      <c r="X452" s="1506"/>
      <c r="Y452" s="1506"/>
      <c r="Z452" s="1481"/>
      <c r="AA452" s="499"/>
      <c r="AB452" s="499"/>
      <c r="AC452" s="499"/>
      <c r="AD452" s="499"/>
      <c r="AE452" s="499"/>
      <c r="AF452" s="499"/>
      <c r="AG452" s="499"/>
      <c r="AH452" s="499"/>
      <c r="AI452" s="1483"/>
      <c r="AJ452" s="1515"/>
      <c r="AK452" s="1515"/>
    </row>
    <row r="453">
      <c r="A453" s="499"/>
      <c r="B453" s="1501"/>
      <c r="C453" s="1502"/>
      <c r="D453" s="1503"/>
      <c r="E453" s="1503"/>
      <c r="F453" s="1504"/>
      <c r="G453" s="1504"/>
      <c r="H453" s="483"/>
      <c r="I453" s="1505"/>
      <c r="J453" s="1516" t="s">
        <v>123</v>
      </c>
      <c r="K453" s="1506"/>
      <c r="L453" s="1506"/>
      <c r="M453" s="1479"/>
      <c r="N453" s="1503"/>
      <c r="O453" s="1503"/>
      <c r="P453" s="1503"/>
      <c r="Q453" s="1503"/>
      <c r="R453" s="1503"/>
      <c r="S453" s="1504"/>
      <c r="T453" s="1504"/>
      <c r="U453" s="483"/>
      <c r="V453" s="1505"/>
      <c r="W453" s="1516" t="s">
        <v>123</v>
      </c>
      <c r="X453" s="1506"/>
      <c r="Y453" s="1506"/>
      <c r="Z453" s="1481"/>
      <c r="AA453" s="499"/>
      <c r="AB453" s="499"/>
      <c r="AC453" s="499"/>
      <c r="AD453" s="499"/>
      <c r="AE453" s="499"/>
      <c r="AF453" s="499"/>
      <c r="AG453" s="499"/>
      <c r="AH453" s="499"/>
      <c r="AI453" s="1483"/>
      <c r="AJ453" s="1515"/>
      <c r="AK453" s="1515"/>
    </row>
    <row r="454">
      <c r="A454" s="499"/>
      <c r="B454" s="1501"/>
      <c r="C454" s="1502"/>
      <c r="D454" s="1503"/>
      <c r="E454" s="1503"/>
      <c r="F454" s="1504"/>
      <c r="G454" s="1504"/>
      <c r="H454" s="483"/>
      <c r="I454" s="1505"/>
      <c r="J454" s="1516" t="s">
        <v>123</v>
      </c>
      <c r="K454" s="1506"/>
      <c r="L454" s="1506"/>
      <c r="M454" s="1479"/>
      <c r="N454" s="1503"/>
      <c r="O454" s="1503"/>
      <c r="P454" s="1503"/>
      <c r="Q454" s="1503"/>
      <c r="R454" s="1503"/>
      <c r="S454" s="1504"/>
      <c r="T454" s="1504"/>
      <c r="U454" s="483"/>
      <c r="V454" s="1505"/>
      <c r="W454" s="1516" t="s">
        <v>123</v>
      </c>
      <c r="X454" s="1506"/>
      <c r="Y454" s="1506"/>
      <c r="Z454" s="1481"/>
      <c r="AA454" s="499"/>
      <c r="AB454" s="499"/>
      <c r="AC454" s="499"/>
      <c r="AD454" s="499"/>
      <c r="AE454" s="499"/>
      <c r="AF454" s="499"/>
      <c r="AG454" s="499"/>
      <c r="AH454" s="499"/>
      <c r="AI454" s="1483"/>
      <c r="AJ454" s="1515"/>
      <c r="AK454" s="1515"/>
    </row>
    <row r="455">
      <c r="A455" s="499"/>
      <c r="B455" s="1501"/>
      <c r="C455" s="1502"/>
      <c r="D455" s="1503"/>
      <c r="E455" s="1503"/>
      <c r="F455" s="1504"/>
      <c r="G455" s="1504"/>
      <c r="H455" s="483"/>
      <c r="I455" s="1505"/>
      <c r="J455" s="1516" t="s">
        <v>123</v>
      </c>
      <c r="K455" s="1506"/>
      <c r="L455" s="1506"/>
      <c r="M455" s="1479"/>
      <c r="N455" s="1503"/>
      <c r="O455" s="1503"/>
      <c r="P455" s="1503"/>
      <c r="Q455" s="1503"/>
      <c r="R455" s="1503"/>
      <c r="S455" s="1504"/>
      <c r="T455" s="1504"/>
      <c r="U455" s="483"/>
      <c r="V455" s="1505"/>
      <c r="W455" s="1516" t="s">
        <v>123</v>
      </c>
      <c r="X455" s="1506"/>
      <c r="Y455" s="1506"/>
      <c r="Z455" s="1481"/>
      <c r="AA455" s="499"/>
      <c r="AB455" s="499"/>
      <c r="AC455" s="499"/>
      <c r="AD455" s="499"/>
      <c r="AE455" s="499"/>
      <c r="AF455" s="499"/>
      <c r="AG455" s="499"/>
      <c r="AH455" s="499"/>
      <c r="AI455" s="1483"/>
      <c r="AJ455" s="1515"/>
      <c r="AK455" s="1515"/>
    </row>
    <row r="456">
      <c r="A456" s="499"/>
      <c r="B456" s="1501"/>
      <c r="C456" s="1502"/>
      <c r="D456" s="1503"/>
      <c r="E456" s="1503"/>
      <c r="F456" s="1504"/>
      <c r="G456" s="1504"/>
      <c r="H456" s="483"/>
      <c r="I456" s="1505"/>
      <c r="J456" s="1516" t="s">
        <v>123</v>
      </c>
      <c r="K456" s="1506"/>
      <c r="L456" s="1506"/>
      <c r="M456" s="1479"/>
      <c r="N456" s="1503"/>
      <c r="O456" s="1503"/>
      <c r="P456" s="1503"/>
      <c r="Q456" s="1503"/>
      <c r="R456" s="1503"/>
      <c r="S456" s="1504"/>
      <c r="T456" s="1504"/>
      <c r="U456" s="483"/>
      <c r="V456" s="1505"/>
      <c r="W456" s="1516" t="s">
        <v>123</v>
      </c>
      <c r="X456" s="1506"/>
      <c r="Y456" s="1506"/>
      <c r="Z456" s="1481"/>
      <c r="AA456" s="499"/>
      <c r="AB456" s="499"/>
      <c r="AC456" s="499"/>
      <c r="AD456" s="499"/>
      <c r="AE456" s="499"/>
      <c r="AF456" s="499"/>
      <c r="AG456" s="499"/>
      <c r="AH456" s="499"/>
      <c r="AI456" s="1483"/>
      <c r="AJ456" s="1515"/>
      <c r="AK456" s="1515"/>
    </row>
    <row r="457">
      <c r="A457" s="499"/>
      <c r="B457" s="1501"/>
      <c r="C457" s="1502"/>
      <c r="D457" s="1503"/>
      <c r="E457" s="1503"/>
      <c r="F457" s="1504"/>
      <c r="G457" s="1504"/>
      <c r="H457" s="483"/>
      <c r="I457" s="1505"/>
      <c r="J457" s="1516" t="s">
        <v>123</v>
      </c>
      <c r="K457" s="1506"/>
      <c r="L457" s="1506"/>
      <c r="M457" s="1479"/>
      <c r="N457" s="1503"/>
      <c r="O457" s="1503"/>
      <c r="P457" s="1503"/>
      <c r="Q457" s="1503"/>
      <c r="R457" s="1503"/>
      <c r="S457" s="1504"/>
      <c r="T457" s="1504"/>
      <c r="U457" s="483"/>
      <c r="V457" s="1505"/>
      <c r="W457" s="1516" t="s">
        <v>123</v>
      </c>
      <c r="X457" s="1506"/>
      <c r="Y457" s="1506"/>
      <c r="Z457" s="1481"/>
      <c r="AA457" s="499"/>
      <c r="AB457" s="499"/>
      <c r="AC457" s="499"/>
      <c r="AD457" s="499"/>
      <c r="AE457" s="499"/>
      <c r="AF457" s="499"/>
      <c r="AG457" s="499"/>
      <c r="AH457" s="499"/>
      <c r="AI457" s="1483"/>
      <c r="AJ457" s="1515"/>
      <c r="AK457" s="1515"/>
    </row>
    <row r="458">
      <c r="A458" s="499"/>
      <c r="B458" s="1501"/>
      <c r="C458" s="1502"/>
      <c r="D458" s="1503"/>
      <c r="E458" s="1503"/>
      <c r="F458" s="1504"/>
      <c r="G458" s="1504"/>
      <c r="H458" s="483"/>
      <c r="I458" s="1505"/>
      <c r="J458" s="1516" t="s">
        <v>123</v>
      </c>
      <c r="K458" s="1506"/>
      <c r="L458" s="1506"/>
      <c r="M458" s="1479"/>
      <c r="N458" s="1503"/>
      <c r="O458" s="1503"/>
      <c r="P458" s="1503"/>
      <c r="Q458" s="1503"/>
      <c r="R458" s="1503"/>
      <c r="S458" s="1504"/>
      <c r="T458" s="1504"/>
      <c r="U458" s="483"/>
      <c r="V458" s="1505"/>
      <c r="W458" s="1516" t="s">
        <v>123</v>
      </c>
      <c r="X458" s="1506"/>
      <c r="Y458" s="1506"/>
      <c r="Z458" s="1481"/>
      <c r="AA458" s="499"/>
      <c r="AB458" s="499"/>
      <c r="AC458" s="499"/>
      <c r="AD458" s="499"/>
      <c r="AE458" s="499"/>
      <c r="AF458" s="499"/>
      <c r="AG458" s="499"/>
      <c r="AH458" s="499"/>
      <c r="AI458" s="1483"/>
      <c r="AJ458" s="1515"/>
      <c r="AK458" s="1515"/>
    </row>
    <row r="459">
      <c r="A459" s="499"/>
      <c r="B459" s="1501"/>
      <c r="C459" s="1502"/>
      <c r="D459" s="1503"/>
      <c r="E459" s="1503"/>
      <c r="F459" s="1504"/>
      <c r="G459" s="1504"/>
      <c r="H459" s="483"/>
      <c r="I459" s="1505"/>
      <c r="J459" s="1516" t="s">
        <v>123</v>
      </c>
      <c r="K459" s="1506"/>
      <c r="L459" s="1506"/>
      <c r="M459" s="1479"/>
      <c r="N459" s="1503"/>
      <c r="O459" s="1503"/>
      <c r="P459" s="1503"/>
      <c r="Q459" s="1503"/>
      <c r="R459" s="1503"/>
      <c r="S459" s="1504"/>
      <c r="T459" s="1504"/>
      <c r="U459" s="483"/>
      <c r="V459" s="1505"/>
      <c r="W459" s="1516" t="s">
        <v>123</v>
      </c>
      <c r="X459" s="1506"/>
      <c r="Y459" s="1506"/>
      <c r="Z459" s="1481"/>
      <c r="AA459" s="499"/>
      <c r="AB459" s="499"/>
      <c r="AC459" s="499"/>
      <c r="AD459" s="499"/>
      <c r="AE459" s="499"/>
      <c r="AF459" s="499"/>
      <c r="AG459" s="499"/>
      <c r="AH459" s="499"/>
      <c r="AI459" s="1483"/>
      <c r="AJ459" s="1515"/>
      <c r="AK459" s="1515"/>
    </row>
    <row r="460">
      <c r="A460" s="499"/>
      <c r="B460" s="1501"/>
      <c r="C460" s="1502"/>
      <c r="D460" s="1503"/>
      <c r="E460" s="1503"/>
      <c r="F460" s="1504"/>
      <c r="G460" s="1504"/>
      <c r="H460" s="483"/>
      <c r="I460" s="1505"/>
      <c r="J460" s="1516" t="s">
        <v>123</v>
      </c>
      <c r="K460" s="1506"/>
      <c r="L460" s="1506"/>
      <c r="M460" s="1479"/>
      <c r="N460" s="1503"/>
      <c r="O460" s="1503"/>
      <c r="P460" s="1503"/>
      <c r="Q460" s="1503"/>
      <c r="R460" s="1503"/>
      <c r="S460" s="1504"/>
      <c r="T460" s="1504"/>
      <c r="U460" s="483"/>
      <c r="V460" s="1505"/>
      <c r="W460" s="1516" t="s">
        <v>123</v>
      </c>
      <c r="X460" s="1506"/>
      <c r="Y460" s="1506"/>
      <c r="Z460" s="1481"/>
      <c r="AA460" s="499"/>
      <c r="AB460" s="499"/>
      <c r="AC460" s="499"/>
      <c r="AD460" s="499"/>
      <c r="AE460" s="499"/>
      <c r="AF460" s="499"/>
      <c r="AG460" s="499"/>
      <c r="AH460" s="499"/>
      <c r="AI460" s="1483"/>
      <c r="AJ460" s="1515"/>
      <c r="AK460" s="1515"/>
    </row>
    <row r="461">
      <c r="A461" s="499"/>
      <c r="B461" s="1501"/>
      <c r="C461" s="1502"/>
      <c r="D461" s="1503"/>
      <c r="E461" s="1503"/>
      <c r="F461" s="1504"/>
      <c r="G461" s="1504"/>
      <c r="H461" s="483"/>
      <c r="I461" s="1505"/>
      <c r="J461" s="1516" t="s">
        <v>123</v>
      </c>
      <c r="K461" s="1506"/>
      <c r="L461" s="1506"/>
      <c r="M461" s="1479"/>
      <c r="N461" s="1503"/>
      <c r="O461" s="1503"/>
      <c r="P461" s="1503"/>
      <c r="Q461" s="1503"/>
      <c r="R461" s="1503"/>
      <c r="S461" s="1504"/>
      <c r="T461" s="1504"/>
      <c r="U461" s="483"/>
      <c r="V461" s="1505"/>
      <c r="W461" s="1516" t="s">
        <v>123</v>
      </c>
      <c r="X461" s="1506"/>
      <c r="Y461" s="1506"/>
      <c r="Z461" s="1481"/>
      <c r="AA461" s="499"/>
      <c r="AB461" s="499"/>
      <c r="AC461" s="499"/>
      <c r="AD461" s="499"/>
      <c r="AE461" s="499"/>
      <c r="AF461" s="499"/>
      <c r="AG461" s="499"/>
      <c r="AH461" s="499"/>
      <c r="AI461" s="1483"/>
      <c r="AJ461" s="1515"/>
      <c r="AK461" s="1515"/>
    </row>
    <row r="462">
      <c r="A462" s="499"/>
      <c r="B462" s="1501"/>
      <c r="C462" s="1502"/>
      <c r="D462" s="1503"/>
      <c r="E462" s="1503"/>
      <c r="F462" s="1504"/>
      <c r="G462" s="1504"/>
      <c r="H462" s="483"/>
      <c r="I462" s="1505"/>
      <c r="J462" s="1516" t="s">
        <v>123</v>
      </c>
      <c r="K462" s="1506"/>
      <c r="L462" s="1506"/>
      <c r="M462" s="1479"/>
      <c r="N462" s="1503"/>
      <c r="O462" s="1503"/>
      <c r="P462" s="1503"/>
      <c r="Q462" s="1503"/>
      <c r="R462" s="1503"/>
      <c r="S462" s="1504"/>
      <c r="T462" s="1504"/>
      <c r="U462" s="483"/>
      <c r="V462" s="1505"/>
      <c r="W462" s="1516" t="s">
        <v>123</v>
      </c>
      <c r="X462" s="1506"/>
      <c r="Y462" s="1506"/>
      <c r="Z462" s="1481"/>
      <c r="AA462" s="499"/>
      <c r="AB462" s="499"/>
      <c r="AC462" s="499"/>
      <c r="AD462" s="499"/>
      <c r="AE462" s="499"/>
      <c r="AF462" s="499"/>
      <c r="AG462" s="499"/>
      <c r="AH462" s="499"/>
      <c r="AI462" s="1483"/>
      <c r="AJ462" s="1515"/>
      <c r="AK462" s="1515"/>
    </row>
    <row r="463">
      <c r="A463" s="499"/>
      <c r="B463" s="1501"/>
      <c r="C463" s="1502"/>
      <c r="D463" s="1503"/>
      <c r="E463" s="1503"/>
      <c r="F463" s="1504"/>
      <c r="G463" s="1504"/>
      <c r="H463" s="483"/>
      <c r="I463" s="1505"/>
      <c r="J463" s="1516" t="s">
        <v>123</v>
      </c>
      <c r="K463" s="1506"/>
      <c r="L463" s="1506"/>
      <c r="M463" s="1479"/>
      <c r="N463" s="1503"/>
      <c r="O463" s="1503"/>
      <c r="P463" s="1503"/>
      <c r="Q463" s="1503"/>
      <c r="R463" s="1503"/>
      <c r="S463" s="1504"/>
      <c r="T463" s="1504"/>
      <c r="U463" s="483"/>
      <c r="V463" s="1505"/>
      <c r="W463" s="1516" t="s">
        <v>123</v>
      </c>
      <c r="X463" s="1506"/>
      <c r="Y463" s="1506"/>
      <c r="Z463" s="1481"/>
      <c r="AA463" s="499"/>
      <c r="AB463" s="499"/>
      <c r="AC463" s="499"/>
      <c r="AD463" s="499"/>
      <c r="AE463" s="499"/>
      <c r="AF463" s="499"/>
      <c r="AG463" s="499"/>
      <c r="AH463" s="499"/>
      <c r="AI463" s="1483"/>
      <c r="AJ463" s="1515"/>
      <c r="AK463" s="1515"/>
    </row>
    <row r="464">
      <c r="A464" s="499"/>
      <c r="B464" s="1501"/>
      <c r="C464" s="1502"/>
      <c r="D464" s="1503"/>
      <c r="E464" s="1503"/>
      <c r="F464" s="1504"/>
      <c r="G464" s="1504"/>
      <c r="H464" s="483"/>
      <c r="I464" s="1505"/>
      <c r="J464" s="1516" t="s">
        <v>123</v>
      </c>
      <c r="K464" s="1506"/>
      <c r="L464" s="1506"/>
      <c r="M464" s="1479"/>
      <c r="N464" s="1503"/>
      <c r="O464" s="1503"/>
      <c r="P464" s="1503"/>
      <c r="Q464" s="1503"/>
      <c r="R464" s="1503"/>
      <c r="S464" s="1504"/>
      <c r="T464" s="1504"/>
      <c r="U464" s="483"/>
      <c r="V464" s="1505"/>
      <c r="W464" s="1516" t="s">
        <v>123</v>
      </c>
      <c r="X464" s="1506"/>
      <c r="Y464" s="1506"/>
      <c r="Z464" s="1481"/>
      <c r="AA464" s="499"/>
      <c r="AB464" s="499"/>
      <c r="AC464" s="499"/>
      <c r="AD464" s="499"/>
      <c r="AE464" s="499"/>
      <c r="AF464" s="499"/>
      <c r="AG464" s="499"/>
      <c r="AH464" s="499"/>
      <c r="AI464" s="1483"/>
      <c r="AJ464" s="1515"/>
      <c r="AK464" s="1515"/>
    </row>
    <row r="465">
      <c r="A465" s="499"/>
      <c r="B465" s="1501"/>
      <c r="C465" s="1502"/>
      <c r="D465" s="1503"/>
      <c r="E465" s="1503"/>
      <c r="F465" s="1504"/>
      <c r="G465" s="1504"/>
      <c r="H465" s="483"/>
      <c r="I465" s="1505"/>
      <c r="J465" s="1516" t="s">
        <v>123</v>
      </c>
      <c r="K465" s="1506"/>
      <c r="L465" s="1506"/>
      <c r="M465" s="1479"/>
      <c r="N465" s="1503"/>
      <c r="O465" s="1503"/>
      <c r="P465" s="1503"/>
      <c r="Q465" s="1503"/>
      <c r="R465" s="1503"/>
      <c r="S465" s="1504"/>
      <c r="T465" s="1504"/>
      <c r="U465" s="483"/>
      <c r="V465" s="1505"/>
      <c r="W465" s="1516" t="s">
        <v>123</v>
      </c>
      <c r="X465" s="1506"/>
      <c r="Y465" s="1506"/>
      <c r="Z465" s="1481"/>
      <c r="AA465" s="499"/>
      <c r="AB465" s="499"/>
      <c r="AC465" s="499"/>
      <c r="AD465" s="499"/>
      <c r="AE465" s="499"/>
      <c r="AF465" s="499"/>
      <c r="AG465" s="499"/>
      <c r="AH465" s="499"/>
      <c r="AI465" s="1483"/>
      <c r="AJ465" s="1515"/>
      <c r="AK465" s="1515"/>
    </row>
    <row r="466">
      <c r="A466" s="499"/>
      <c r="B466" s="1501"/>
      <c r="C466" s="1502"/>
      <c r="D466" s="1503"/>
      <c r="E466" s="1503"/>
      <c r="F466" s="1504"/>
      <c r="G466" s="1504"/>
      <c r="H466" s="483"/>
      <c r="I466" s="1505"/>
      <c r="J466" s="1516" t="s">
        <v>123</v>
      </c>
      <c r="K466" s="1506"/>
      <c r="L466" s="1506"/>
      <c r="M466" s="1479"/>
      <c r="N466" s="1503"/>
      <c r="O466" s="1503"/>
      <c r="P466" s="1503"/>
      <c r="Q466" s="1503"/>
      <c r="R466" s="1503"/>
      <c r="S466" s="1504"/>
      <c r="T466" s="1504"/>
      <c r="U466" s="483"/>
      <c r="V466" s="1505"/>
      <c r="W466" s="1516" t="s">
        <v>123</v>
      </c>
      <c r="X466" s="1506"/>
      <c r="Y466" s="1506"/>
      <c r="Z466" s="1481"/>
      <c r="AA466" s="499"/>
      <c r="AB466" s="499"/>
      <c r="AC466" s="499"/>
      <c r="AD466" s="499"/>
      <c r="AE466" s="499"/>
      <c r="AF466" s="499"/>
      <c r="AG466" s="499"/>
      <c r="AH466" s="499"/>
      <c r="AI466" s="1483"/>
      <c r="AJ466" s="1515"/>
      <c r="AK466" s="1515"/>
    </row>
    <row r="467">
      <c r="A467" s="499"/>
      <c r="B467" s="1501"/>
      <c r="C467" s="1502"/>
      <c r="D467" s="1503"/>
      <c r="E467" s="1503"/>
      <c r="F467" s="1504"/>
      <c r="G467" s="1504"/>
      <c r="H467" s="483"/>
      <c r="I467" s="1505"/>
      <c r="J467" s="1516" t="s">
        <v>123</v>
      </c>
      <c r="K467" s="1506"/>
      <c r="L467" s="1506"/>
      <c r="M467" s="1479"/>
      <c r="N467" s="1503"/>
      <c r="O467" s="1503"/>
      <c r="P467" s="1503"/>
      <c r="Q467" s="1503"/>
      <c r="R467" s="1503"/>
      <c r="S467" s="1504"/>
      <c r="T467" s="1504"/>
      <c r="U467" s="483"/>
      <c r="V467" s="1505"/>
      <c r="W467" s="1516" t="s">
        <v>123</v>
      </c>
      <c r="X467" s="1506"/>
      <c r="Y467" s="1506"/>
      <c r="Z467" s="1481"/>
      <c r="AA467" s="499"/>
      <c r="AB467" s="499"/>
      <c r="AC467" s="499"/>
      <c r="AD467" s="499"/>
      <c r="AE467" s="499"/>
      <c r="AF467" s="499"/>
      <c r="AG467" s="499"/>
      <c r="AH467" s="499"/>
      <c r="AI467" s="1483"/>
      <c r="AJ467" s="1515"/>
      <c r="AK467" s="1515"/>
    </row>
    <row r="468">
      <c r="A468" s="499"/>
      <c r="B468" s="1501"/>
      <c r="C468" s="1502"/>
      <c r="D468" s="1503"/>
      <c r="E468" s="1503"/>
      <c r="F468" s="1504"/>
      <c r="G468" s="1504"/>
      <c r="H468" s="483"/>
      <c r="I468" s="1505"/>
      <c r="J468" s="1516" t="s">
        <v>123</v>
      </c>
      <c r="K468" s="1506"/>
      <c r="L468" s="1506"/>
      <c r="M468" s="1479"/>
      <c r="N468" s="1503"/>
      <c r="O468" s="1503"/>
      <c r="P468" s="1503"/>
      <c r="Q468" s="1503"/>
      <c r="R468" s="1503"/>
      <c r="S468" s="1504"/>
      <c r="T468" s="1504"/>
      <c r="U468" s="483"/>
      <c r="V468" s="1505"/>
      <c r="W468" s="1516" t="s">
        <v>123</v>
      </c>
      <c r="X468" s="1506"/>
      <c r="Y468" s="1506"/>
      <c r="Z468" s="1481"/>
      <c r="AA468" s="499"/>
      <c r="AB468" s="499"/>
      <c r="AC468" s="499"/>
      <c r="AD468" s="499"/>
      <c r="AE468" s="499"/>
      <c r="AF468" s="499"/>
      <c r="AG468" s="499"/>
      <c r="AH468" s="499"/>
      <c r="AI468" s="1483"/>
      <c r="AJ468" s="1515"/>
      <c r="AK468" s="1515"/>
    </row>
    <row r="469">
      <c r="A469" s="499"/>
      <c r="B469" s="1501"/>
      <c r="C469" s="1502"/>
      <c r="D469" s="1503"/>
      <c r="E469" s="1503"/>
      <c r="F469" s="1504"/>
      <c r="G469" s="1504"/>
      <c r="H469" s="483"/>
      <c r="I469" s="1505"/>
      <c r="J469" s="1516" t="s">
        <v>123</v>
      </c>
      <c r="K469" s="1506"/>
      <c r="L469" s="1506"/>
      <c r="M469" s="1479"/>
      <c r="N469" s="1503"/>
      <c r="O469" s="1503"/>
      <c r="P469" s="1503"/>
      <c r="Q469" s="1503"/>
      <c r="R469" s="1503"/>
      <c r="S469" s="1504"/>
      <c r="T469" s="1504"/>
      <c r="U469" s="483"/>
      <c r="V469" s="1505"/>
      <c r="W469" s="1516" t="s">
        <v>123</v>
      </c>
      <c r="X469" s="1506"/>
      <c r="Y469" s="1506"/>
      <c r="Z469" s="1481"/>
      <c r="AA469" s="499"/>
      <c r="AB469" s="499"/>
      <c r="AC469" s="499"/>
      <c r="AD469" s="499"/>
      <c r="AE469" s="499"/>
      <c r="AF469" s="499"/>
      <c r="AG469" s="499"/>
      <c r="AH469" s="499"/>
      <c r="AI469" s="1483"/>
      <c r="AJ469" s="1515"/>
      <c r="AK469" s="1515"/>
    </row>
    <row r="470">
      <c r="A470" s="499"/>
      <c r="B470" s="1501"/>
      <c r="C470" s="1502"/>
      <c r="D470" s="1503"/>
      <c r="E470" s="1503"/>
      <c r="F470" s="1504"/>
      <c r="G470" s="1504"/>
      <c r="H470" s="483"/>
      <c r="I470" s="1505"/>
      <c r="J470" s="1516" t="s">
        <v>123</v>
      </c>
      <c r="K470" s="1506"/>
      <c r="L470" s="1506"/>
      <c r="M470" s="1479"/>
      <c r="N470" s="1503"/>
      <c r="O470" s="1503"/>
      <c r="P470" s="1503"/>
      <c r="Q470" s="1503"/>
      <c r="R470" s="1503"/>
      <c r="S470" s="1504"/>
      <c r="T470" s="1504"/>
      <c r="U470" s="483"/>
      <c r="V470" s="1505"/>
      <c r="W470" s="1516" t="s">
        <v>123</v>
      </c>
      <c r="X470" s="1506"/>
      <c r="Y470" s="1506"/>
      <c r="Z470" s="1481"/>
      <c r="AA470" s="499"/>
      <c r="AB470" s="499"/>
      <c r="AC470" s="499"/>
      <c r="AD470" s="499"/>
      <c r="AE470" s="499"/>
      <c r="AF470" s="499"/>
      <c r="AG470" s="499"/>
      <c r="AH470" s="499"/>
      <c r="AI470" s="1483"/>
      <c r="AJ470" s="1515"/>
      <c r="AK470" s="1515"/>
    </row>
    <row r="471">
      <c r="A471" s="499"/>
      <c r="B471" s="1501"/>
      <c r="C471" s="1502"/>
      <c r="D471" s="1503"/>
      <c r="E471" s="1503"/>
      <c r="F471" s="1504"/>
      <c r="G471" s="1504"/>
      <c r="H471" s="483"/>
      <c r="I471" s="1505"/>
      <c r="J471" s="1516" t="s">
        <v>123</v>
      </c>
      <c r="K471" s="1506"/>
      <c r="L471" s="1506"/>
      <c r="M471" s="1479"/>
      <c r="N471" s="1503"/>
      <c r="O471" s="1503"/>
      <c r="P471" s="1503"/>
      <c r="Q471" s="1503"/>
      <c r="R471" s="1503"/>
      <c r="S471" s="1504"/>
      <c r="T471" s="1504"/>
      <c r="U471" s="483"/>
      <c r="V471" s="1505"/>
      <c r="W471" s="1516" t="s">
        <v>123</v>
      </c>
      <c r="X471" s="1506"/>
      <c r="Y471" s="1506"/>
      <c r="Z471" s="1481"/>
      <c r="AA471" s="499"/>
      <c r="AB471" s="499"/>
      <c r="AC471" s="499"/>
      <c r="AD471" s="499"/>
      <c r="AE471" s="499"/>
      <c r="AF471" s="499"/>
      <c r="AG471" s="499"/>
      <c r="AH471" s="499"/>
      <c r="AI471" s="1483"/>
      <c r="AJ471" s="1515"/>
      <c r="AK471" s="1515"/>
    </row>
    <row r="472">
      <c r="A472" s="499"/>
      <c r="B472" s="1501"/>
      <c r="C472" s="1502"/>
      <c r="D472" s="1503"/>
      <c r="E472" s="1503"/>
      <c r="F472" s="1504"/>
      <c r="G472" s="1504"/>
      <c r="H472" s="483"/>
      <c r="I472" s="1505"/>
      <c r="J472" s="1516" t="s">
        <v>123</v>
      </c>
      <c r="K472" s="1506"/>
      <c r="L472" s="1506"/>
      <c r="M472" s="1479"/>
      <c r="N472" s="1503"/>
      <c r="O472" s="1503"/>
      <c r="P472" s="1503"/>
      <c r="Q472" s="1503"/>
      <c r="R472" s="1503"/>
      <c r="S472" s="1504"/>
      <c r="T472" s="1504"/>
      <c r="U472" s="483"/>
      <c r="V472" s="1505"/>
      <c r="W472" s="1516" t="s">
        <v>123</v>
      </c>
      <c r="X472" s="1506"/>
      <c r="Y472" s="1506"/>
      <c r="Z472" s="1481"/>
      <c r="AA472" s="499"/>
      <c r="AB472" s="499"/>
      <c r="AC472" s="499"/>
      <c r="AD472" s="499"/>
      <c r="AE472" s="499"/>
      <c r="AF472" s="499"/>
      <c r="AG472" s="499"/>
      <c r="AH472" s="499"/>
      <c r="AI472" s="1483"/>
      <c r="AJ472" s="1515"/>
      <c r="AK472" s="1515"/>
    </row>
    <row r="473">
      <c r="A473" s="499"/>
      <c r="B473" s="1501"/>
      <c r="C473" s="1502"/>
      <c r="D473" s="1503"/>
      <c r="E473" s="1503"/>
      <c r="F473" s="1504"/>
      <c r="G473" s="1504"/>
      <c r="H473" s="483"/>
      <c r="I473" s="1505"/>
      <c r="J473" s="1516" t="s">
        <v>123</v>
      </c>
      <c r="K473" s="1506"/>
      <c r="L473" s="1506"/>
      <c r="M473" s="1479"/>
      <c r="N473" s="1503"/>
      <c r="O473" s="1503"/>
      <c r="P473" s="1503"/>
      <c r="Q473" s="1503"/>
      <c r="R473" s="1503"/>
      <c r="S473" s="1504"/>
      <c r="T473" s="1504"/>
      <c r="U473" s="483"/>
      <c r="V473" s="1505"/>
      <c r="W473" s="1516" t="s">
        <v>123</v>
      </c>
      <c r="X473" s="1506"/>
      <c r="Y473" s="1506"/>
      <c r="Z473" s="1481"/>
      <c r="AA473" s="499"/>
      <c r="AB473" s="499"/>
      <c r="AC473" s="499"/>
      <c r="AD473" s="499"/>
      <c r="AE473" s="499"/>
      <c r="AF473" s="499"/>
      <c r="AG473" s="499"/>
      <c r="AH473" s="499"/>
      <c r="AI473" s="1483"/>
      <c r="AJ473" s="1515"/>
      <c r="AK473" s="1515"/>
    </row>
    <row r="474">
      <c r="A474" s="499"/>
      <c r="B474" s="1501"/>
      <c r="C474" s="1502"/>
      <c r="D474" s="1503"/>
      <c r="E474" s="1503"/>
      <c r="F474" s="1504"/>
      <c r="G474" s="1504"/>
      <c r="H474" s="483"/>
      <c r="I474" s="1505"/>
      <c r="J474" s="1516" t="s">
        <v>123</v>
      </c>
      <c r="K474" s="1506"/>
      <c r="L474" s="1506"/>
      <c r="M474" s="1479"/>
      <c r="N474" s="1503"/>
      <c r="O474" s="1503"/>
      <c r="P474" s="1503"/>
      <c r="Q474" s="1503"/>
      <c r="R474" s="1503"/>
      <c r="S474" s="1504"/>
      <c r="T474" s="1504"/>
      <c r="U474" s="483"/>
      <c r="V474" s="1505"/>
      <c r="W474" s="1516" t="s">
        <v>123</v>
      </c>
      <c r="X474" s="1506"/>
      <c r="Y474" s="1506"/>
      <c r="Z474" s="1481"/>
      <c r="AA474" s="499"/>
      <c r="AB474" s="499"/>
      <c r="AC474" s="499"/>
      <c r="AD474" s="499"/>
      <c r="AE474" s="499"/>
      <c r="AF474" s="499"/>
      <c r="AG474" s="499"/>
      <c r="AH474" s="499"/>
      <c r="AI474" s="1483"/>
      <c r="AJ474" s="1515"/>
      <c r="AK474" s="1515"/>
    </row>
    <row r="475">
      <c r="A475" s="499"/>
      <c r="B475" s="1501"/>
      <c r="C475" s="1502"/>
      <c r="D475" s="1503"/>
      <c r="E475" s="1503"/>
      <c r="F475" s="1504"/>
      <c r="G475" s="1504"/>
      <c r="H475" s="483"/>
      <c r="I475" s="1505"/>
      <c r="J475" s="1516" t="s">
        <v>123</v>
      </c>
      <c r="K475" s="1506"/>
      <c r="L475" s="1506"/>
      <c r="M475" s="1479"/>
      <c r="N475" s="1503"/>
      <c r="O475" s="1503"/>
      <c r="P475" s="1503"/>
      <c r="Q475" s="1503"/>
      <c r="R475" s="1503"/>
      <c r="S475" s="1504"/>
      <c r="T475" s="1504"/>
      <c r="U475" s="483"/>
      <c r="V475" s="1505"/>
      <c r="W475" s="1516" t="s">
        <v>123</v>
      </c>
      <c r="X475" s="1506"/>
      <c r="Y475" s="1506"/>
      <c r="Z475" s="1481"/>
      <c r="AA475" s="499"/>
      <c r="AB475" s="499"/>
      <c r="AC475" s="499"/>
      <c r="AD475" s="499"/>
      <c r="AE475" s="499"/>
      <c r="AF475" s="499"/>
      <c r="AG475" s="499"/>
      <c r="AH475" s="499"/>
      <c r="AI475" s="1483"/>
      <c r="AJ475" s="1515"/>
      <c r="AK475" s="1515"/>
    </row>
    <row r="476">
      <c r="A476" s="499"/>
      <c r="B476" s="1501"/>
      <c r="C476" s="1502"/>
      <c r="D476" s="1503"/>
      <c r="E476" s="1503"/>
      <c r="F476" s="1504"/>
      <c r="G476" s="1504"/>
      <c r="H476" s="483"/>
      <c r="I476" s="1505"/>
      <c r="J476" s="1516" t="s">
        <v>123</v>
      </c>
      <c r="K476" s="1506"/>
      <c r="L476" s="1506"/>
      <c r="M476" s="1479"/>
      <c r="N476" s="1503"/>
      <c r="O476" s="1503"/>
      <c r="P476" s="1503"/>
      <c r="Q476" s="1503"/>
      <c r="R476" s="1503"/>
      <c r="S476" s="1504"/>
      <c r="T476" s="1504"/>
      <c r="U476" s="483"/>
      <c r="V476" s="1505"/>
      <c r="W476" s="1516" t="s">
        <v>123</v>
      </c>
      <c r="X476" s="1506"/>
      <c r="Y476" s="1506"/>
      <c r="Z476" s="1481"/>
      <c r="AA476" s="499"/>
      <c r="AB476" s="499"/>
      <c r="AC476" s="499"/>
      <c r="AD476" s="499"/>
      <c r="AE476" s="499"/>
      <c r="AF476" s="499"/>
      <c r="AG476" s="499"/>
      <c r="AH476" s="499"/>
      <c r="AI476" s="1483"/>
      <c r="AJ476" s="1515"/>
      <c r="AK476" s="1515"/>
    </row>
    <row r="477">
      <c r="A477" s="499"/>
      <c r="B477" s="1501"/>
      <c r="C477" s="1502"/>
      <c r="D477" s="1503"/>
      <c r="E477" s="1503"/>
      <c r="F477" s="1504"/>
      <c r="G477" s="1504"/>
      <c r="H477" s="483"/>
      <c r="I477" s="1505"/>
      <c r="J477" s="1516" t="s">
        <v>123</v>
      </c>
      <c r="K477" s="1506"/>
      <c r="L477" s="1506"/>
      <c r="M477" s="1479"/>
      <c r="N477" s="1503"/>
      <c r="O477" s="1503"/>
      <c r="P477" s="1503"/>
      <c r="Q477" s="1503"/>
      <c r="R477" s="1503"/>
      <c r="S477" s="1504"/>
      <c r="T477" s="1504"/>
      <c r="U477" s="483"/>
      <c r="V477" s="1505"/>
      <c r="W477" s="1516" t="s">
        <v>123</v>
      </c>
      <c r="X477" s="1506"/>
      <c r="Y477" s="1506"/>
      <c r="Z477" s="1481"/>
      <c r="AA477" s="499"/>
      <c r="AB477" s="499"/>
      <c r="AC477" s="499"/>
      <c r="AD477" s="499"/>
      <c r="AE477" s="499"/>
      <c r="AF477" s="499"/>
      <c r="AG477" s="499"/>
      <c r="AH477" s="499"/>
      <c r="AI477" s="1483"/>
      <c r="AJ477" s="1515"/>
      <c r="AK477" s="1515"/>
    </row>
    <row r="478">
      <c r="A478" s="499"/>
      <c r="B478" s="1501"/>
      <c r="C478" s="1502"/>
      <c r="D478" s="1503"/>
      <c r="E478" s="1503"/>
      <c r="F478" s="1504"/>
      <c r="G478" s="1504"/>
      <c r="H478" s="483"/>
      <c r="I478" s="1505"/>
      <c r="J478" s="1516" t="s">
        <v>123</v>
      </c>
      <c r="K478" s="1506"/>
      <c r="L478" s="1506"/>
      <c r="M478" s="1479"/>
      <c r="N478" s="1503"/>
      <c r="O478" s="1503"/>
      <c r="P478" s="1503"/>
      <c r="Q478" s="1503"/>
      <c r="R478" s="1503"/>
      <c r="S478" s="1504"/>
      <c r="T478" s="1504"/>
      <c r="U478" s="483"/>
      <c r="V478" s="1505"/>
      <c r="W478" s="1516" t="s">
        <v>123</v>
      </c>
      <c r="X478" s="1506"/>
      <c r="Y478" s="1506"/>
      <c r="Z478" s="1481"/>
      <c r="AA478" s="499"/>
      <c r="AB478" s="499"/>
      <c r="AC478" s="499"/>
      <c r="AD478" s="499"/>
      <c r="AE478" s="499"/>
      <c r="AF478" s="499"/>
      <c r="AG478" s="499"/>
      <c r="AH478" s="499"/>
      <c r="AI478" s="1483"/>
      <c r="AJ478" s="1515"/>
      <c r="AK478" s="1515"/>
    </row>
    <row r="479">
      <c r="A479" s="499"/>
      <c r="B479" s="1501"/>
      <c r="C479" s="1502"/>
      <c r="D479" s="1503"/>
      <c r="E479" s="1503"/>
      <c r="F479" s="1504"/>
      <c r="G479" s="1504"/>
      <c r="H479" s="483"/>
      <c r="I479" s="1505"/>
      <c r="J479" s="1516" t="s">
        <v>123</v>
      </c>
      <c r="K479" s="1506"/>
      <c r="L479" s="1506"/>
      <c r="M479" s="1479"/>
      <c r="N479" s="1503"/>
      <c r="O479" s="1503"/>
      <c r="P479" s="1503"/>
      <c r="Q479" s="1503"/>
      <c r="R479" s="1503"/>
      <c r="S479" s="1504"/>
      <c r="T479" s="1504"/>
      <c r="U479" s="483"/>
      <c r="V479" s="1505"/>
      <c r="W479" s="1516" t="s">
        <v>123</v>
      </c>
      <c r="X479" s="1506"/>
      <c r="Y479" s="1506"/>
      <c r="Z479" s="1481"/>
      <c r="AA479" s="499"/>
      <c r="AB479" s="499"/>
      <c r="AC479" s="499"/>
      <c r="AD479" s="499"/>
      <c r="AE479" s="499"/>
      <c r="AF479" s="499"/>
      <c r="AG479" s="499"/>
      <c r="AH479" s="499"/>
      <c r="AI479" s="1483"/>
      <c r="AJ479" s="1515"/>
      <c r="AK479" s="1515"/>
    </row>
    <row r="480">
      <c r="A480" s="499"/>
      <c r="B480" s="1501"/>
      <c r="C480" s="1502"/>
      <c r="D480" s="1503"/>
      <c r="E480" s="1503"/>
      <c r="F480" s="1504"/>
      <c r="G480" s="1504"/>
      <c r="H480" s="483"/>
      <c r="I480" s="1505"/>
      <c r="J480" s="1516" t="s">
        <v>123</v>
      </c>
      <c r="K480" s="1506"/>
      <c r="L480" s="1506"/>
      <c r="M480" s="1479"/>
      <c r="N480" s="1503"/>
      <c r="O480" s="1503"/>
      <c r="P480" s="1503"/>
      <c r="Q480" s="1503"/>
      <c r="R480" s="1503"/>
      <c r="S480" s="1504"/>
      <c r="T480" s="1504"/>
      <c r="U480" s="483"/>
      <c r="V480" s="1505"/>
      <c r="W480" s="1516" t="s">
        <v>123</v>
      </c>
      <c r="X480" s="1506"/>
      <c r="Y480" s="1506"/>
      <c r="Z480" s="1481"/>
      <c r="AA480" s="499"/>
      <c r="AB480" s="499"/>
      <c r="AC480" s="499"/>
      <c r="AD480" s="499"/>
      <c r="AE480" s="499"/>
      <c r="AF480" s="499"/>
      <c r="AG480" s="499"/>
      <c r="AH480" s="499"/>
      <c r="AI480" s="1483"/>
      <c r="AJ480" s="1515"/>
      <c r="AK480" s="1515"/>
    </row>
    <row r="481">
      <c r="A481" s="499"/>
      <c r="B481" s="1501"/>
      <c r="C481" s="1502"/>
      <c r="D481" s="1503"/>
      <c r="E481" s="1503"/>
      <c r="F481" s="1504"/>
      <c r="G481" s="1504"/>
      <c r="H481" s="483"/>
      <c r="I481" s="1505"/>
      <c r="J481" s="1516" t="s">
        <v>123</v>
      </c>
      <c r="K481" s="1506"/>
      <c r="L481" s="1506"/>
      <c r="M481" s="1479"/>
      <c r="N481" s="1503"/>
      <c r="O481" s="1503"/>
      <c r="P481" s="1503"/>
      <c r="Q481" s="1503"/>
      <c r="R481" s="1503"/>
      <c r="S481" s="1504"/>
      <c r="T481" s="1504"/>
      <c r="U481" s="483"/>
      <c r="V481" s="1505"/>
      <c r="W481" s="1516" t="s">
        <v>123</v>
      </c>
      <c r="X481" s="1506"/>
      <c r="Y481" s="1506"/>
      <c r="Z481" s="1481"/>
      <c r="AA481" s="499"/>
      <c r="AB481" s="499"/>
      <c r="AC481" s="499"/>
      <c r="AD481" s="499"/>
      <c r="AE481" s="499"/>
      <c r="AF481" s="499"/>
      <c r="AG481" s="499"/>
      <c r="AH481" s="499"/>
      <c r="AI481" s="1483"/>
      <c r="AJ481" s="1515"/>
      <c r="AK481" s="1515"/>
    </row>
    <row r="482">
      <c r="A482" s="499"/>
      <c r="B482" s="1501"/>
      <c r="C482" s="1502"/>
      <c r="D482" s="1503"/>
      <c r="E482" s="1503"/>
      <c r="F482" s="1504"/>
      <c r="G482" s="1504"/>
      <c r="H482" s="483"/>
      <c r="I482" s="1505"/>
      <c r="J482" s="1516" t="s">
        <v>123</v>
      </c>
      <c r="K482" s="1506"/>
      <c r="L482" s="1506"/>
      <c r="M482" s="1479"/>
      <c r="N482" s="1503"/>
      <c r="O482" s="1503"/>
      <c r="P482" s="1503"/>
      <c r="Q482" s="1503"/>
      <c r="R482" s="1503"/>
      <c r="S482" s="1504"/>
      <c r="T482" s="1504"/>
      <c r="U482" s="483"/>
      <c r="V482" s="1505"/>
      <c r="W482" s="1516" t="s">
        <v>123</v>
      </c>
      <c r="X482" s="1506"/>
      <c r="Y482" s="1506"/>
      <c r="Z482" s="1481"/>
      <c r="AA482" s="499"/>
      <c r="AB482" s="499"/>
      <c r="AC482" s="499"/>
      <c r="AD482" s="499"/>
      <c r="AE482" s="499"/>
      <c r="AF482" s="499"/>
      <c r="AG482" s="499"/>
      <c r="AH482" s="499"/>
      <c r="AI482" s="1483"/>
      <c r="AJ482" s="1515"/>
      <c r="AK482" s="1515"/>
    </row>
    <row r="483">
      <c r="A483" s="499"/>
      <c r="B483" s="1501"/>
      <c r="C483" s="1502"/>
      <c r="D483" s="1503"/>
      <c r="E483" s="1503"/>
      <c r="F483" s="1504"/>
      <c r="G483" s="1504"/>
      <c r="H483" s="483"/>
      <c r="I483" s="1505"/>
      <c r="J483" s="1516" t="s">
        <v>123</v>
      </c>
      <c r="K483" s="1506"/>
      <c r="L483" s="1506"/>
      <c r="M483" s="1479"/>
      <c r="N483" s="1503"/>
      <c r="O483" s="1503"/>
      <c r="P483" s="1503"/>
      <c r="Q483" s="1503"/>
      <c r="R483" s="1503"/>
      <c r="S483" s="1504"/>
      <c r="T483" s="1504"/>
      <c r="U483" s="483"/>
      <c r="V483" s="1505"/>
      <c r="W483" s="1516" t="s">
        <v>123</v>
      </c>
      <c r="X483" s="1506"/>
      <c r="Y483" s="1506"/>
      <c r="Z483" s="1481"/>
      <c r="AA483" s="499"/>
      <c r="AB483" s="499"/>
      <c r="AC483" s="499"/>
      <c r="AD483" s="499"/>
      <c r="AE483" s="499"/>
      <c r="AF483" s="499"/>
      <c r="AG483" s="499"/>
      <c r="AH483" s="499"/>
      <c r="AI483" s="1483"/>
      <c r="AJ483" s="1515"/>
      <c r="AK483" s="1515"/>
    </row>
    <row r="484">
      <c r="A484" s="499"/>
      <c r="B484" s="1501"/>
      <c r="C484" s="1502"/>
      <c r="D484" s="1503"/>
      <c r="E484" s="1503"/>
      <c r="F484" s="1504"/>
      <c r="G484" s="1504"/>
      <c r="H484" s="483"/>
      <c r="I484" s="1505"/>
      <c r="J484" s="1516" t="s">
        <v>123</v>
      </c>
      <c r="K484" s="1506"/>
      <c r="L484" s="1506"/>
      <c r="M484" s="1479"/>
      <c r="N484" s="1503"/>
      <c r="O484" s="1503"/>
      <c r="P484" s="1503"/>
      <c r="Q484" s="1503"/>
      <c r="R484" s="1503"/>
      <c r="S484" s="1504"/>
      <c r="T484" s="1504"/>
      <c r="U484" s="483"/>
      <c r="V484" s="1505"/>
      <c r="W484" s="1516" t="s">
        <v>123</v>
      </c>
      <c r="X484" s="1506"/>
      <c r="Y484" s="1506"/>
      <c r="Z484" s="1481"/>
      <c r="AA484" s="499"/>
      <c r="AB484" s="499"/>
      <c r="AC484" s="499"/>
      <c r="AD484" s="499"/>
      <c r="AE484" s="499"/>
      <c r="AF484" s="499"/>
      <c r="AG484" s="499"/>
      <c r="AH484" s="499"/>
      <c r="AI484" s="1483"/>
      <c r="AJ484" s="1515"/>
      <c r="AK484" s="1515"/>
    </row>
    <row r="485">
      <c r="A485" s="499"/>
      <c r="B485" s="1501"/>
      <c r="C485" s="1502"/>
      <c r="D485" s="1503"/>
      <c r="E485" s="1503"/>
      <c r="F485" s="1504"/>
      <c r="G485" s="1504"/>
      <c r="H485" s="483"/>
      <c r="I485" s="1505"/>
      <c r="J485" s="1516" t="s">
        <v>123</v>
      </c>
      <c r="K485" s="1506"/>
      <c r="L485" s="1506"/>
      <c r="M485" s="1479"/>
      <c r="N485" s="1503"/>
      <c r="O485" s="1503"/>
      <c r="P485" s="1503"/>
      <c r="Q485" s="1503"/>
      <c r="R485" s="1503"/>
      <c r="S485" s="1504"/>
      <c r="T485" s="1504"/>
      <c r="U485" s="483"/>
      <c r="V485" s="1505"/>
      <c r="W485" s="1516" t="s">
        <v>123</v>
      </c>
      <c r="X485" s="1506"/>
      <c r="Y485" s="1506"/>
      <c r="Z485" s="1481"/>
      <c r="AA485" s="499"/>
      <c r="AB485" s="499"/>
      <c r="AC485" s="499"/>
      <c r="AD485" s="499"/>
      <c r="AE485" s="499"/>
      <c r="AF485" s="499"/>
      <c r="AG485" s="499"/>
      <c r="AH485" s="499"/>
      <c r="AI485" s="1483"/>
      <c r="AJ485" s="1515"/>
      <c r="AK485" s="1515"/>
    </row>
    <row r="486">
      <c r="A486" s="499"/>
      <c r="B486" s="1501"/>
      <c r="C486" s="1502"/>
      <c r="D486" s="1503"/>
      <c r="E486" s="1503"/>
      <c r="F486" s="1504"/>
      <c r="G486" s="1504"/>
      <c r="H486" s="483"/>
      <c r="I486" s="1505"/>
      <c r="J486" s="1516" t="s">
        <v>123</v>
      </c>
      <c r="K486" s="1506"/>
      <c r="L486" s="1506"/>
      <c r="M486" s="1479"/>
      <c r="N486" s="1503"/>
      <c r="O486" s="1503"/>
      <c r="P486" s="1503"/>
      <c r="Q486" s="1503"/>
      <c r="R486" s="1503"/>
      <c r="S486" s="1504"/>
      <c r="T486" s="1504"/>
      <c r="U486" s="483"/>
      <c r="V486" s="1505"/>
      <c r="W486" s="1516" t="s">
        <v>123</v>
      </c>
      <c r="X486" s="1506"/>
      <c r="Y486" s="1506"/>
      <c r="Z486" s="1481"/>
      <c r="AA486" s="499"/>
      <c r="AB486" s="499"/>
      <c r="AC486" s="499"/>
      <c r="AD486" s="499"/>
      <c r="AE486" s="499"/>
      <c r="AF486" s="499"/>
      <c r="AG486" s="499"/>
      <c r="AH486" s="499"/>
      <c r="AI486" s="1483"/>
      <c r="AJ486" s="1515"/>
      <c r="AK486" s="1515"/>
    </row>
    <row r="487">
      <c r="A487" s="499"/>
      <c r="B487" s="1501"/>
      <c r="C487" s="1502"/>
      <c r="D487" s="1503"/>
      <c r="E487" s="1503"/>
      <c r="F487" s="1504"/>
      <c r="G487" s="1504"/>
      <c r="H487" s="483"/>
      <c r="I487" s="1505"/>
      <c r="J487" s="1516" t="s">
        <v>123</v>
      </c>
      <c r="K487" s="1506"/>
      <c r="L487" s="1506"/>
      <c r="M487" s="1479"/>
      <c r="N487" s="1503"/>
      <c r="O487" s="1503"/>
      <c r="P487" s="1503"/>
      <c r="Q487" s="1503"/>
      <c r="R487" s="1503"/>
      <c r="S487" s="1504"/>
      <c r="T487" s="1504"/>
      <c r="U487" s="483"/>
      <c r="V487" s="1505"/>
      <c r="W487" s="1516" t="s">
        <v>123</v>
      </c>
      <c r="X487" s="1506"/>
      <c r="Y487" s="1506"/>
      <c r="Z487" s="1481"/>
      <c r="AA487" s="499"/>
      <c r="AB487" s="499"/>
      <c r="AC487" s="499"/>
      <c r="AD487" s="499"/>
      <c r="AE487" s="499"/>
      <c r="AF487" s="499"/>
      <c r="AG487" s="499"/>
      <c r="AH487" s="499"/>
      <c r="AI487" s="1483"/>
      <c r="AJ487" s="1515"/>
      <c r="AK487" s="1515"/>
    </row>
    <row r="488">
      <c r="A488" s="499"/>
      <c r="B488" s="1501"/>
      <c r="C488" s="1502"/>
      <c r="D488" s="1503"/>
      <c r="E488" s="1503"/>
      <c r="F488" s="1504"/>
      <c r="G488" s="1504"/>
      <c r="H488" s="483"/>
      <c r="I488" s="1505"/>
      <c r="J488" s="1516" t="s">
        <v>123</v>
      </c>
      <c r="K488" s="1506"/>
      <c r="L488" s="1506"/>
      <c r="M488" s="1479"/>
      <c r="N488" s="1503"/>
      <c r="O488" s="1503"/>
      <c r="P488" s="1503"/>
      <c r="Q488" s="1503"/>
      <c r="R488" s="1503"/>
      <c r="S488" s="1504"/>
      <c r="T488" s="1504"/>
      <c r="U488" s="483"/>
      <c r="V488" s="1505"/>
      <c r="W488" s="1516" t="s">
        <v>123</v>
      </c>
      <c r="X488" s="1506"/>
      <c r="Y488" s="1506"/>
      <c r="Z488" s="1481"/>
      <c r="AA488" s="499"/>
      <c r="AB488" s="499"/>
      <c r="AC488" s="499"/>
      <c r="AD488" s="499"/>
      <c r="AE488" s="499"/>
      <c r="AF488" s="499"/>
      <c r="AG488" s="499"/>
      <c r="AH488" s="499"/>
      <c r="AI488" s="1483"/>
      <c r="AJ488" s="1515"/>
      <c r="AK488" s="1515"/>
    </row>
    <row r="489">
      <c r="A489" s="499"/>
      <c r="B489" s="1501"/>
      <c r="C489" s="1502"/>
      <c r="D489" s="1503"/>
      <c r="E489" s="1503"/>
      <c r="F489" s="1504"/>
      <c r="G489" s="1504"/>
      <c r="H489" s="483"/>
      <c r="I489" s="1505"/>
      <c r="J489" s="1516" t="s">
        <v>123</v>
      </c>
      <c r="K489" s="1506"/>
      <c r="L489" s="1506"/>
      <c r="M489" s="1479"/>
      <c r="N489" s="1503"/>
      <c r="O489" s="1503"/>
      <c r="P489" s="1503"/>
      <c r="Q489" s="1503"/>
      <c r="R489" s="1503"/>
      <c r="S489" s="1504"/>
      <c r="T489" s="1504"/>
      <c r="U489" s="483"/>
      <c r="V489" s="1505"/>
      <c r="W489" s="1516" t="s">
        <v>123</v>
      </c>
      <c r="X489" s="1506"/>
      <c r="Y489" s="1506"/>
      <c r="Z489" s="1481"/>
      <c r="AA489" s="499"/>
      <c r="AB489" s="499"/>
      <c r="AC489" s="499"/>
      <c r="AD489" s="499"/>
      <c r="AE489" s="499"/>
      <c r="AF489" s="499"/>
      <c r="AG489" s="499"/>
      <c r="AH489" s="499"/>
      <c r="AI489" s="1483"/>
      <c r="AJ489" s="1515"/>
      <c r="AK489" s="1515"/>
    </row>
    <row r="490">
      <c r="A490" s="499"/>
      <c r="B490" s="1501"/>
      <c r="C490" s="1502"/>
      <c r="D490" s="1503"/>
      <c r="E490" s="1503"/>
      <c r="F490" s="1504"/>
      <c r="G490" s="1504"/>
      <c r="H490" s="483"/>
      <c r="I490" s="1505"/>
      <c r="J490" s="1516" t="s">
        <v>123</v>
      </c>
      <c r="K490" s="1506"/>
      <c r="L490" s="1506"/>
      <c r="M490" s="1479"/>
      <c r="N490" s="1503"/>
      <c r="O490" s="1503"/>
      <c r="P490" s="1503"/>
      <c r="Q490" s="1503"/>
      <c r="R490" s="1503"/>
      <c r="S490" s="1504"/>
      <c r="T490" s="1504"/>
      <c r="U490" s="483"/>
      <c r="V490" s="1505"/>
      <c r="W490" s="1516" t="s">
        <v>123</v>
      </c>
      <c r="X490" s="1506"/>
      <c r="Y490" s="1506"/>
      <c r="Z490" s="1481"/>
      <c r="AA490" s="499"/>
      <c r="AB490" s="499"/>
      <c r="AC490" s="499"/>
      <c r="AD490" s="499"/>
      <c r="AE490" s="499"/>
      <c r="AF490" s="499"/>
      <c r="AG490" s="499"/>
      <c r="AH490" s="499"/>
      <c r="AI490" s="1483"/>
      <c r="AJ490" s="1515"/>
      <c r="AK490" s="1515"/>
    </row>
    <row r="491">
      <c r="A491" s="499"/>
      <c r="B491" s="1501"/>
      <c r="C491" s="1502"/>
      <c r="D491" s="1503"/>
      <c r="E491" s="1503"/>
      <c r="F491" s="1504"/>
      <c r="G491" s="1504"/>
      <c r="H491" s="483"/>
      <c r="I491" s="1505"/>
      <c r="J491" s="1516" t="s">
        <v>123</v>
      </c>
      <c r="K491" s="1506"/>
      <c r="L491" s="1506"/>
      <c r="M491" s="1479"/>
      <c r="N491" s="1503"/>
      <c r="O491" s="1503"/>
      <c r="P491" s="1503"/>
      <c r="Q491" s="1503"/>
      <c r="R491" s="1503"/>
      <c r="S491" s="1504"/>
      <c r="T491" s="1504"/>
      <c r="U491" s="483"/>
      <c r="V491" s="1505"/>
      <c r="W491" s="1516" t="s">
        <v>123</v>
      </c>
      <c r="X491" s="1506"/>
      <c r="Y491" s="1506"/>
      <c r="Z491" s="1481"/>
      <c r="AA491" s="499"/>
      <c r="AB491" s="499"/>
      <c r="AC491" s="499"/>
      <c r="AD491" s="499"/>
      <c r="AE491" s="499"/>
      <c r="AF491" s="499"/>
      <c r="AG491" s="499"/>
      <c r="AH491" s="499"/>
      <c r="AI491" s="1483"/>
      <c r="AJ491" s="1515"/>
      <c r="AK491" s="1515"/>
    </row>
    <row r="492">
      <c r="A492" s="499"/>
      <c r="B492" s="1501"/>
      <c r="C492" s="1502"/>
      <c r="D492" s="1503"/>
      <c r="E492" s="1503"/>
      <c r="F492" s="1504"/>
      <c r="G492" s="1504"/>
      <c r="H492" s="483"/>
      <c r="I492" s="1505"/>
      <c r="J492" s="1516" t="s">
        <v>123</v>
      </c>
      <c r="K492" s="1506"/>
      <c r="L492" s="1506"/>
      <c r="M492" s="1479"/>
      <c r="N492" s="1503"/>
      <c r="O492" s="1503"/>
      <c r="P492" s="1503"/>
      <c r="Q492" s="1503"/>
      <c r="R492" s="1503"/>
      <c r="S492" s="1504"/>
      <c r="T492" s="1504"/>
      <c r="U492" s="483"/>
      <c r="V492" s="1505"/>
      <c r="W492" s="1516" t="s">
        <v>123</v>
      </c>
      <c r="X492" s="1506"/>
      <c r="Y492" s="1506"/>
      <c r="Z492" s="1481"/>
      <c r="AA492" s="499"/>
      <c r="AB492" s="499"/>
      <c r="AC492" s="499"/>
      <c r="AD492" s="499"/>
      <c r="AE492" s="499"/>
      <c r="AF492" s="499"/>
      <c r="AG492" s="499"/>
      <c r="AH492" s="499"/>
      <c r="AI492" s="1483"/>
      <c r="AJ492" s="1515"/>
      <c r="AK492" s="1515"/>
    </row>
    <row r="493">
      <c r="A493" s="499"/>
      <c r="B493" s="1501"/>
      <c r="C493" s="1502"/>
      <c r="D493" s="1503"/>
      <c r="E493" s="1503"/>
      <c r="F493" s="1504"/>
      <c r="G493" s="1504"/>
      <c r="H493" s="483"/>
      <c r="I493" s="1505"/>
      <c r="J493" s="1516" t="s">
        <v>123</v>
      </c>
      <c r="K493" s="1506"/>
      <c r="L493" s="1506"/>
      <c r="M493" s="1479"/>
      <c r="N493" s="1503"/>
      <c r="O493" s="1503"/>
      <c r="P493" s="1503"/>
      <c r="Q493" s="1503"/>
      <c r="R493" s="1503"/>
      <c r="S493" s="1504"/>
      <c r="T493" s="1504"/>
      <c r="U493" s="483"/>
      <c r="V493" s="1505"/>
      <c r="W493" s="1516" t="s">
        <v>123</v>
      </c>
      <c r="X493" s="1506"/>
      <c r="Y493" s="1506"/>
      <c r="Z493" s="1481"/>
      <c r="AA493" s="499"/>
      <c r="AB493" s="499"/>
      <c r="AC493" s="499"/>
      <c r="AD493" s="499"/>
      <c r="AE493" s="499"/>
      <c r="AF493" s="499"/>
      <c r="AG493" s="499"/>
      <c r="AH493" s="499"/>
      <c r="AI493" s="1483"/>
      <c r="AJ493" s="1515"/>
      <c r="AK493" s="1515"/>
    </row>
    <row r="494">
      <c r="A494" s="499"/>
      <c r="B494" s="1501"/>
      <c r="C494" s="1502"/>
      <c r="D494" s="1503"/>
      <c r="E494" s="1503"/>
      <c r="F494" s="1504"/>
      <c r="G494" s="1504"/>
      <c r="H494" s="483"/>
      <c r="I494" s="1505"/>
      <c r="J494" s="1516" t="s">
        <v>123</v>
      </c>
      <c r="K494" s="1506"/>
      <c r="L494" s="1506"/>
      <c r="M494" s="1479"/>
      <c r="N494" s="1503"/>
      <c r="O494" s="1503"/>
      <c r="P494" s="1503"/>
      <c r="Q494" s="1503"/>
      <c r="R494" s="1503"/>
      <c r="S494" s="1504"/>
      <c r="T494" s="1504"/>
      <c r="U494" s="483"/>
      <c r="V494" s="1505"/>
      <c r="W494" s="1516" t="s">
        <v>123</v>
      </c>
      <c r="X494" s="1506"/>
      <c r="Y494" s="1506"/>
      <c r="Z494" s="1481"/>
      <c r="AA494" s="499"/>
      <c r="AB494" s="499"/>
      <c r="AC494" s="499"/>
      <c r="AD494" s="499"/>
      <c r="AE494" s="499"/>
      <c r="AF494" s="499"/>
      <c r="AG494" s="499"/>
      <c r="AH494" s="499"/>
      <c r="AI494" s="1483"/>
      <c r="AJ494" s="1515"/>
      <c r="AK494" s="1515"/>
    </row>
    <row r="495">
      <c r="A495" s="499"/>
      <c r="B495" s="1501"/>
      <c r="C495" s="1502"/>
      <c r="D495" s="1503"/>
      <c r="E495" s="1503"/>
      <c r="F495" s="1504"/>
      <c r="G495" s="1504"/>
      <c r="H495" s="483"/>
      <c r="I495" s="1505"/>
      <c r="J495" s="1516" t="s">
        <v>123</v>
      </c>
      <c r="K495" s="1506"/>
      <c r="L495" s="1506"/>
      <c r="M495" s="1479"/>
      <c r="N495" s="1503"/>
      <c r="O495" s="1503"/>
      <c r="P495" s="1503"/>
      <c r="Q495" s="1503"/>
      <c r="R495" s="1503"/>
      <c r="S495" s="1504"/>
      <c r="T495" s="1504"/>
      <c r="U495" s="483"/>
      <c r="V495" s="1505"/>
      <c r="W495" s="1516" t="s">
        <v>123</v>
      </c>
      <c r="X495" s="1506"/>
      <c r="Y495" s="1506"/>
      <c r="Z495" s="1481"/>
      <c r="AA495" s="499"/>
      <c r="AB495" s="499"/>
      <c r="AC495" s="499"/>
      <c r="AD495" s="499"/>
      <c r="AE495" s="499"/>
      <c r="AF495" s="499"/>
      <c r="AG495" s="499"/>
      <c r="AH495" s="499"/>
      <c r="AI495" s="1483"/>
      <c r="AJ495" s="1515"/>
      <c r="AK495" s="1515"/>
    </row>
    <row r="496">
      <c r="A496" s="499"/>
      <c r="B496" s="1501"/>
      <c r="C496" s="1502"/>
      <c r="D496" s="1503"/>
      <c r="E496" s="1503"/>
      <c r="F496" s="1504"/>
      <c r="G496" s="1504"/>
      <c r="H496" s="483"/>
      <c r="I496" s="1505"/>
      <c r="J496" s="1516" t="s">
        <v>123</v>
      </c>
      <c r="K496" s="1506"/>
      <c r="L496" s="1506"/>
      <c r="M496" s="1479"/>
      <c r="N496" s="1503"/>
      <c r="O496" s="1503"/>
      <c r="P496" s="1503"/>
      <c r="Q496" s="1503"/>
      <c r="R496" s="1503"/>
      <c r="S496" s="1504"/>
      <c r="T496" s="1504"/>
      <c r="U496" s="483"/>
      <c r="V496" s="1505"/>
      <c r="W496" s="1516" t="s">
        <v>123</v>
      </c>
      <c r="X496" s="1506"/>
      <c r="Y496" s="1506"/>
      <c r="Z496" s="1481"/>
      <c r="AA496" s="499"/>
      <c r="AB496" s="499"/>
      <c r="AC496" s="499"/>
      <c r="AD496" s="499"/>
      <c r="AE496" s="499"/>
      <c r="AF496" s="499"/>
      <c r="AG496" s="499"/>
      <c r="AH496" s="499"/>
      <c r="AI496" s="1483"/>
      <c r="AJ496" s="1515"/>
      <c r="AK496" s="1515"/>
    </row>
    <row r="497">
      <c r="A497" s="499"/>
      <c r="B497" s="1501"/>
      <c r="C497" s="1502"/>
      <c r="D497" s="1503"/>
      <c r="E497" s="1503"/>
      <c r="F497" s="1504"/>
      <c r="G497" s="1504"/>
      <c r="H497" s="483"/>
      <c r="I497" s="1505"/>
      <c r="J497" s="1516" t="s">
        <v>123</v>
      </c>
      <c r="K497" s="1506"/>
      <c r="L497" s="1506"/>
      <c r="M497" s="1479"/>
      <c r="N497" s="1503"/>
      <c r="O497" s="1503"/>
      <c r="P497" s="1503"/>
      <c r="Q497" s="1503"/>
      <c r="R497" s="1503"/>
      <c r="S497" s="1504"/>
      <c r="T497" s="1504"/>
      <c r="U497" s="483"/>
      <c r="V497" s="1505"/>
      <c r="W497" s="1516" t="s">
        <v>123</v>
      </c>
      <c r="X497" s="1506"/>
      <c r="Y497" s="1506"/>
      <c r="Z497" s="1481"/>
      <c r="AA497" s="499"/>
      <c r="AB497" s="499"/>
      <c r="AC497" s="499"/>
      <c r="AD497" s="499"/>
      <c r="AE497" s="499"/>
      <c r="AF497" s="499"/>
      <c r="AG497" s="499"/>
      <c r="AH497" s="499"/>
      <c r="AI497" s="1483"/>
      <c r="AJ497" s="1515"/>
      <c r="AK497" s="1515"/>
    </row>
    <row r="498">
      <c r="A498" s="499"/>
      <c r="B498" s="1501"/>
      <c r="C498" s="1502"/>
      <c r="D498" s="1503"/>
      <c r="E498" s="1503"/>
      <c r="F498" s="1504"/>
      <c r="G498" s="1504"/>
      <c r="H498" s="483"/>
      <c r="I498" s="1505"/>
      <c r="J498" s="1516" t="s">
        <v>123</v>
      </c>
      <c r="K498" s="1506"/>
      <c r="L498" s="1506"/>
      <c r="M498" s="1479"/>
      <c r="N498" s="1503"/>
      <c r="O498" s="1503"/>
      <c r="P498" s="1503"/>
      <c r="Q498" s="1503"/>
      <c r="R498" s="1503"/>
      <c r="S498" s="1504"/>
      <c r="T498" s="1504"/>
      <c r="U498" s="483"/>
      <c r="V498" s="1505"/>
      <c r="W498" s="1516" t="s">
        <v>123</v>
      </c>
      <c r="X498" s="1506"/>
      <c r="Y498" s="1506"/>
      <c r="Z498" s="1481"/>
      <c r="AA498" s="499"/>
      <c r="AB498" s="499"/>
      <c r="AC498" s="499"/>
      <c r="AD498" s="499"/>
      <c r="AE498" s="499"/>
      <c r="AF498" s="499"/>
      <c r="AG498" s="499"/>
      <c r="AH498" s="499"/>
      <c r="AI498" s="1483"/>
      <c r="AJ498" s="1515"/>
      <c r="AK498" s="1515"/>
    </row>
    <row r="499">
      <c r="A499" s="499"/>
      <c r="B499" s="1501"/>
      <c r="C499" s="1502"/>
      <c r="D499" s="1503"/>
      <c r="E499" s="1503"/>
      <c r="F499" s="1504"/>
      <c r="G499" s="1504"/>
      <c r="H499" s="483"/>
      <c r="I499" s="1505"/>
      <c r="J499" s="1516" t="s">
        <v>123</v>
      </c>
      <c r="K499" s="1506"/>
      <c r="L499" s="1506"/>
      <c r="M499" s="1479"/>
      <c r="N499" s="1503"/>
      <c r="O499" s="1503"/>
      <c r="P499" s="1503"/>
      <c r="Q499" s="1503"/>
      <c r="R499" s="1503"/>
      <c r="S499" s="1504"/>
      <c r="T499" s="1504"/>
      <c r="U499" s="483"/>
      <c r="V499" s="1505"/>
      <c r="W499" s="1516" t="s">
        <v>123</v>
      </c>
      <c r="X499" s="1506"/>
      <c r="Y499" s="1506"/>
      <c r="Z499" s="1481"/>
      <c r="AA499" s="499"/>
      <c r="AB499" s="499"/>
      <c r="AC499" s="499"/>
      <c r="AD499" s="499"/>
      <c r="AE499" s="499"/>
      <c r="AF499" s="499"/>
      <c r="AG499" s="499"/>
      <c r="AH499" s="499"/>
      <c r="AI499" s="1483"/>
      <c r="AJ499" s="1515"/>
      <c r="AK499" s="1515"/>
    </row>
    <row r="500">
      <c r="A500" s="499"/>
      <c r="B500" s="1501"/>
      <c r="C500" s="1502"/>
      <c r="D500" s="1503"/>
      <c r="E500" s="1503"/>
      <c r="F500" s="1504"/>
      <c r="G500" s="1504"/>
      <c r="H500" s="483"/>
      <c r="I500" s="1505"/>
      <c r="J500" s="1516" t="s">
        <v>123</v>
      </c>
      <c r="K500" s="1506"/>
      <c r="L500" s="1506"/>
      <c r="M500" s="1479"/>
      <c r="N500" s="1503"/>
      <c r="O500" s="1503"/>
      <c r="P500" s="1503"/>
      <c r="Q500" s="1503"/>
      <c r="R500" s="1503"/>
      <c r="S500" s="1504"/>
      <c r="T500" s="1504"/>
      <c r="U500" s="483"/>
      <c r="V500" s="1505"/>
      <c r="W500" s="1516" t="s">
        <v>123</v>
      </c>
      <c r="X500" s="1506"/>
      <c r="Y500" s="1506"/>
      <c r="Z500" s="1481"/>
      <c r="AA500" s="499"/>
      <c r="AB500" s="499"/>
      <c r="AC500" s="499"/>
      <c r="AD500" s="499"/>
      <c r="AE500" s="499"/>
      <c r="AF500" s="499"/>
      <c r="AG500" s="499"/>
      <c r="AH500" s="499"/>
      <c r="AI500" s="1483"/>
      <c r="AJ500" s="1515"/>
      <c r="AK500" s="1515"/>
    </row>
    <row r="501">
      <c r="A501" s="499"/>
      <c r="B501" s="1501"/>
      <c r="C501" s="1502"/>
      <c r="D501" s="1503"/>
      <c r="E501" s="1503"/>
      <c r="F501" s="1504"/>
      <c r="G501" s="1504"/>
      <c r="H501" s="483"/>
      <c r="I501" s="1505"/>
      <c r="J501" s="1516" t="s">
        <v>123</v>
      </c>
      <c r="K501" s="1506"/>
      <c r="L501" s="1506"/>
      <c r="M501" s="1479"/>
      <c r="N501" s="1503"/>
      <c r="O501" s="1503"/>
      <c r="P501" s="1503"/>
      <c r="Q501" s="1503"/>
      <c r="R501" s="1503"/>
      <c r="S501" s="1504"/>
      <c r="T501" s="1504"/>
      <c r="U501" s="483"/>
      <c r="V501" s="1505"/>
      <c r="W501" s="1516" t="s">
        <v>123</v>
      </c>
      <c r="X501" s="1506"/>
      <c r="Y501" s="1506"/>
      <c r="Z501" s="1481"/>
      <c r="AA501" s="499"/>
      <c r="AB501" s="499"/>
      <c r="AC501" s="499"/>
      <c r="AD501" s="499"/>
      <c r="AE501" s="499"/>
      <c r="AF501" s="499"/>
      <c r="AG501" s="499"/>
      <c r="AH501" s="499"/>
      <c r="AI501" s="1483"/>
      <c r="AJ501" s="1515"/>
      <c r="AK501" s="1515"/>
    </row>
    <row r="502">
      <c r="A502" s="499"/>
      <c r="B502" s="1501"/>
      <c r="C502" s="1502"/>
      <c r="D502" s="1503"/>
      <c r="E502" s="1503"/>
      <c r="F502" s="1504"/>
      <c r="G502" s="1504"/>
      <c r="H502" s="483"/>
      <c r="I502" s="1505"/>
      <c r="J502" s="1516" t="s">
        <v>123</v>
      </c>
      <c r="K502" s="1506"/>
      <c r="L502" s="1506"/>
      <c r="M502" s="1479"/>
      <c r="N502" s="1503"/>
      <c r="O502" s="1503"/>
      <c r="P502" s="1503"/>
      <c r="Q502" s="1503"/>
      <c r="R502" s="1503"/>
      <c r="S502" s="1504"/>
      <c r="T502" s="1504"/>
      <c r="U502" s="483"/>
      <c r="V502" s="1505"/>
      <c r="W502" s="1516" t="s">
        <v>123</v>
      </c>
      <c r="X502" s="1506"/>
      <c r="Y502" s="1506"/>
      <c r="Z502" s="1481"/>
      <c r="AA502" s="499"/>
      <c r="AB502" s="499"/>
      <c r="AC502" s="499"/>
      <c r="AD502" s="499"/>
      <c r="AE502" s="499"/>
      <c r="AF502" s="499"/>
      <c r="AG502" s="499"/>
      <c r="AH502" s="499"/>
      <c r="AI502" s="1483"/>
      <c r="AJ502" s="1515"/>
      <c r="AK502" s="1515"/>
    </row>
    <row r="503">
      <c r="A503" s="499"/>
      <c r="B503" s="1501"/>
      <c r="C503" s="1502"/>
      <c r="D503" s="1503"/>
      <c r="E503" s="1503"/>
      <c r="F503" s="1504"/>
      <c r="G503" s="1504"/>
      <c r="H503" s="483"/>
      <c r="I503" s="1505"/>
      <c r="J503" s="1516" t="s">
        <v>123</v>
      </c>
      <c r="K503" s="1506"/>
      <c r="L503" s="1506"/>
      <c r="M503" s="1479"/>
      <c r="N503" s="1503"/>
      <c r="O503" s="1503"/>
      <c r="P503" s="1503"/>
      <c r="Q503" s="1503"/>
      <c r="R503" s="1503"/>
      <c r="S503" s="1504"/>
      <c r="T503" s="1504"/>
      <c r="U503" s="483"/>
      <c r="V503" s="1505"/>
      <c r="W503" s="1516" t="s">
        <v>123</v>
      </c>
      <c r="X503" s="1506"/>
      <c r="Y503" s="1506"/>
      <c r="Z503" s="1481"/>
      <c r="AA503" s="499"/>
      <c r="AB503" s="499"/>
      <c r="AC503" s="499"/>
      <c r="AD503" s="499"/>
      <c r="AE503" s="499"/>
      <c r="AF503" s="499"/>
      <c r="AG503" s="499"/>
      <c r="AH503" s="499"/>
      <c r="AI503" s="1483"/>
      <c r="AJ503" s="1515"/>
      <c r="AK503" s="1515"/>
    </row>
    <row r="504">
      <c r="A504" s="499"/>
      <c r="B504" s="1501"/>
      <c r="C504" s="1502"/>
      <c r="D504" s="1503"/>
      <c r="E504" s="1503"/>
      <c r="F504" s="1504"/>
      <c r="G504" s="1504"/>
      <c r="H504" s="483"/>
      <c r="I504" s="1505"/>
      <c r="J504" s="1516" t="s">
        <v>123</v>
      </c>
      <c r="K504" s="1506"/>
      <c r="L504" s="1506"/>
      <c r="M504" s="1479"/>
      <c r="N504" s="1503"/>
      <c r="O504" s="1503"/>
      <c r="P504" s="1503"/>
      <c r="Q504" s="1503"/>
      <c r="R504" s="1503"/>
      <c r="S504" s="1504"/>
      <c r="T504" s="1504"/>
      <c r="U504" s="483"/>
      <c r="V504" s="1505"/>
      <c r="W504" s="1516" t="s">
        <v>123</v>
      </c>
      <c r="X504" s="1506"/>
      <c r="Y504" s="1506"/>
      <c r="Z504" s="1481"/>
      <c r="AA504" s="499"/>
      <c r="AB504" s="499"/>
      <c r="AC504" s="499"/>
      <c r="AD504" s="499"/>
      <c r="AE504" s="499"/>
      <c r="AF504" s="499"/>
      <c r="AG504" s="499"/>
      <c r="AH504" s="499"/>
      <c r="AI504" s="1483"/>
      <c r="AJ504" s="1515"/>
      <c r="AK504" s="1515"/>
    </row>
    <row r="505">
      <c r="A505" s="499"/>
      <c r="B505" s="1501"/>
      <c r="C505" s="1502"/>
      <c r="D505" s="1503"/>
      <c r="E505" s="1503"/>
      <c r="F505" s="1504"/>
      <c r="G505" s="1504"/>
      <c r="H505" s="483"/>
      <c r="I505" s="1505"/>
      <c r="J505" s="1516" t="s">
        <v>123</v>
      </c>
      <c r="K505" s="1506"/>
      <c r="L505" s="1506"/>
      <c r="M505" s="1479"/>
      <c r="N505" s="1503"/>
      <c r="O505" s="1503"/>
      <c r="P505" s="1503"/>
      <c r="Q505" s="1503"/>
      <c r="R505" s="1503"/>
      <c r="S505" s="1504"/>
      <c r="T505" s="1504"/>
      <c r="U505" s="483"/>
      <c r="V505" s="1505"/>
      <c r="W505" s="1516" t="s">
        <v>123</v>
      </c>
      <c r="X505" s="1506"/>
      <c r="Y505" s="1506"/>
      <c r="Z505" s="1481"/>
      <c r="AA505" s="499"/>
      <c r="AB505" s="499"/>
      <c r="AC505" s="499"/>
      <c r="AD505" s="499"/>
      <c r="AE505" s="499"/>
      <c r="AF505" s="499"/>
      <c r="AG505" s="499"/>
      <c r="AH505" s="499"/>
      <c r="AI505" s="1483"/>
      <c r="AJ505" s="1515"/>
      <c r="AK505" s="1515"/>
    </row>
    <row r="506">
      <c r="A506" s="499"/>
      <c r="B506" s="1501"/>
      <c r="C506" s="1502"/>
      <c r="D506" s="1503"/>
      <c r="E506" s="1503"/>
      <c r="F506" s="1504"/>
      <c r="G506" s="1504"/>
      <c r="H506" s="483"/>
      <c r="I506" s="1505"/>
      <c r="J506" s="1516" t="s">
        <v>123</v>
      </c>
      <c r="K506" s="1506"/>
      <c r="L506" s="1506"/>
      <c r="M506" s="1479"/>
      <c r="N506" s="1503"/>
      <c r="O506" s="1503"/>
      <c r="P506" s="1503"/>
      <c r="Q506" s="1503"/>
      <c r="R506" s="1503"/>
      <c r="S506" s="1504"/>
      <c r="T506" s="1504"/>
      <c r="U506" s="483"/>
      <c r="V506" s="1505"/>
      <c r="W506" s="1516" t="s">
        <v>123</v>
      </c>
      <c r="X506" s="1506"/>
      <c r="Y506" s="1506"/>
      <c r="Z506" s="1481"/>
      <c r="AA506" s="499"/>
      <c r="AB506" s="499"/>
      <c r="AC506" s="499"/>
      <c r="AD506" s="499"/>
      <c r="AE506" s="499"/>
      <c r="AF506" s="499"/>
      <c r="AG506" s="499"/>
      <c r="AH506" s="499"/>
      <c r="AI506" s="1483"/>
      <c r="AJ506" s="1515"/>
      <c r="AK506" s="1515"/>
    </row>
    <row r="507">
      <c r="A507" s="499"/>
      <c r="B507" s="1501"/>
      <c r="C507" s="1502"/>
      <c r="D507" s="1503"/>
      <c r="E507" s="1503"/>
      <c r="F507" s="1504"/>
      <c r="G507" s="1504"/>
      <c r="H507" s="483"/>
      <c r="I507" s="1505"/>
      <c r="J507" s="1516" t="s">
        <v>123</v>
      </c>
      <c r="K507" s="1506"/>
      <c r="L507" s="1506"/>
      <c r="M507" s="1479"/>
      <c r="N507" s="1503"/>
      <c r="O507" s="1503"/>
      <c r="P507" s="1503"/>
      <c r="Q507" s="1503"/>
      <c r="R507" s="1503"/>
      <c r="S507" s="1504"/>
      <c r="T507" s="1504"/>
      <c r="U507" s="483"/>
      <c r="V507" s="1505"/>
      <c r="W507" s="1516" t="s">
        <v>123</v>
      </c>
      <c r="X507" s="1506"/>
      <c r="Y507" s="1506"/>
      <c r="Z507" s="1481"/>
      <c r="AA507" s="499"/>
      <c r="AB507" s="499"/>
      <c r="AC507" s="499"/>
      <c r="AD507" s="499"/>
      <c r="AE507" s="499"/>
      <c r="AF507" s="499"/>
      <c r="AG507" s="499"/>
      <c r="AH507" s="499"/>
      <c r="AI507" s="1483"/>
      <c r="AJ507" s="1515"/>
      <c r="AK507" s="1515"/>
    </row>
    <row r="508">
      <c r="A508" s="499"/>
      <c r="B508" s="1501"/>
      <c r="C508" s="1502"/>
      <c r="D508" s="1503"/>
      <c r="E508" s="1503"/>
      <c r="F508" s="1504"/>
      <c r="G508" s="1504"/>
      <c r="H508" s="483"/>
      <c r="I508" s="1505"/>
      <c r="J508" s="1516" t="s">
        <v>123</v>
      </c>
      <c r="K508" s="1506"/>
      <c r="L508" s="1506"/>
      <c r="M508" s="1479"/>
      <c r="N508" s="1503"/>
      <c r="O508" s="1503"/>
      <c r="P508" s="1503"/>
      <c r="Q508" s="1503"/>
      <c r="R508" s="1503"/>
      <c r="S508" s="1504"/>
      <c r="T508" s="1504"/>
      <c r="U508" s="483"/>
      <c r="V508" s="1505"/>
      <c r="W508" s="1516" t="s">
        <v>123</v>
      </c>
      <c r="X508" s="1506"/>
      <c r="Y508" s="1506"/>
      <c r="Z508" s="1481"/>
      <c r="AA508" s="499"/>
      <c r="AB508" s="499"/>
      <c r="AC508" s="499"/>
      <c r="AD508" s="499"/>
      <c r="AE508" s="499"/>
      <c r="AF508" s="499"/>
      <c r="AG508" s="499"/>
      <c r="AH508" s="499"/>
      <c r="AI508" s="1483"/>
      <c r="AJ508" s="1515"/>
      <c r="AK508" s="1515"/>
    </row>
    <row r="509">
      <c r="A509" s="499"/>
      <c r="B509" s="1501"/>
      <c r="C509" s="1502"/>
      <c r="D509" s="1503"/>
      <c r="E509" s="1503"/>
      <c r="F509" s="1504"/>
      <c r="G509" s="1504"/>
      <c r="H509" s="483"/>
      <c r="I509" s="1505"/>
      <c r="J509" s="1516" t="s">
        <v>123</v>
      </c>
      <c r="K509" s="1506"/>
      <c r="L509" s="1506"/>
      <c r="M509" s="1479"/>
      <c r="N509" s="1503"/>
      <c r="O509" s="1503"/>
      <c r="P509" s="1503"/>
      <c r="Q509" s="1503"/>
      <c r="R509" s="1503"/>
      <c r="S509" s="1504"/>
      <c r="T509" s="1504"/>
      <c r="U509" s="483"/>
      <c r="V509" s="1505"/>
      <c r="W509" s="1516" t="s">
        <v>123</v>
      </c>
      <c r="X509" s="1506"/>
      <c r="Y509" s="1506"/>
      <c r="Z509" s="1481"/>
      <c r="AA509" s="499"/>
      <c r="AB509" s="499"/>
      <c r="AC509" s="499"/>
      <c r="AD509" s="499"/>
      <c r="AE509" s="499"/>
      <c r="AF509" s="499"/>
      <c r="AG509" s="499"/>
      <c r="AH509" s="499"/>
      <c r="AI509" s="1483"/>
      <c r="AJ509" s="1515"/>
      <c r="AK509" s="1515"/>
    </row>
    <row r="510">
      <c r="A510" s="499"/>
      <c r="B510" s="1501"/>
      <c r="C510" s="1502"/>
      <c r="D510" s="1503"/>
      <c r="E510" s="1503"/>
      <c r="F510" s="1504"/>
      <c r="G510" s="1504"/>
      <c r="H510" s="483"/>
      <c r="I510" s="1505"/>
      <c r="J510" s="1516" t="s">
        <v>123</v>
      </c>
      <c r="K510" s="1506"/>
      <c r="L510" s="1506"/>
      <c r="M510" s="1479"/>
      <c r="N510" s="1503"/>
      <c r="O510" s="1503"/>
      <c r="P510" s="1503"/>
      <c r="Q510" s="1503"/>
      <c r="R510" s="1503"/>
      <c r="S510" s="1504"/>
      <c r="T510" s="1504"/>
      <c r="U510" s="483"/>
      <c r="V510" s="1505"/>
      <c r="W510" s="1516" t="s">
        <v>123</v>
      </c>
      <c r="X510" s="1506"/>
      <c r="Y510" s="1506"/>
      <c r="Z510" s="1481"/>
      <c r="AA510" s="499"/>
      <c r="AB510" s="499"/>
      <c r="AC510" s="499"/>
      <c r="AD510" s="499"/>
      <c r="AE510" s="499"/>
      <c r="AF510" s="499"/>
      <c r="AG510" s="499"/>
      <c r="AH510" s="499"/>
      <c r="AI510" s="1483"/>
      <c r="AJ510" s="1515"/>
      <c r="AK510" s="1515"/>
    </row>
    <row r="511">
      <c r="A511" s="499"/>
      <c r="B511" s="1501"/>
      <c r="C511" s="1502"/>
      <c r="D511" s="1503"/>
      <c r="E511" s="1503"/>
      <c r="F511" s="1504"/>
      <c r="G511" s="1504"/>
      <c r="H511" s="483"/>
      <c r="I511" s="1505"/>
      <c r="J511" s="1516" t="s">
        <v>123</v>
      </c>
      <c r="K511" s="1506"/>
      <c r="L511" s="1506"/>
      <c r="M511" s="1479"/>
      <c r="N511" s="1503"/>
      <c r="O511" s="1503"/>
      <c r="P511" s="1503"/>
      <c r="Q511" s="1503"/>
      <c r="R511" s="1503"/>
      <c r="S511" s="1504"/>
      <c r="T511" s="1504"/>
      <c r="U511" s="483"/>
      <c r="V511" s="1505"/>
      <c r="W511" s="1516" t="s">
        <v>123</v>
      </c>
      <c r="X511" s="1506"/>
      <c r="Y511" s="1506"/>
      <c r="Z511" s="1481"/>
      <c r="AA511" s="499"/>
      <c r="AB511" s="499"/>
      <c r="AC511" s="499"/>
      <c r="AD511" s="499"/>
      <c r="AE511" s="499"/>
      <c r="AF511" s="499"/>
      <c r="AG511" s="499"/>
      <c r="AH511" s="499"/>
      <c r="AI511" s="1483"/>
      <c r="AJ511" s="1515"/>
      <c r="AK511" s="1515"/>
    </row>
    <row r="512">
      <c r="A512" s="499"/>
      <c r="B512" s="1501"/>
      <c r="C512" s="1502"/>
      <c r="D512" s="1503"/>
      <c r="E512" s="1503"/>
      <c r="F512" s="1504"/>
      <c r="G512" s="1504"/>
      <c r="H512" s="483"/>
      <c r="I512" s="1505"/>
      <c r="J512" s="1516" t="s">
        <v>123</v>
      </c>
      <c r="K512" s="1506"/>
      <c r="L512" s="1506"/>
      <c r="M512" s="1479"/>
      <c r="N512" s="1503"/>
      <c r="O512" s="1503"/>
      <c r="P512" s="1503"/>
      <c r="Q512" s="1503"/>
      <c r="R512" s="1503"/>
      <c r="S512" s="1504"/>
      <c r="T512" s="1504"/>
      <c r="U512" s="483"/>
      <c r="V512" s="1505"/>
      <c r="W512" s="1516" t="s">
        <v>123</v>
      </c>
      <c r="X512" s="1506"/>
      <c r="Y512" s="1506"/>
      <c r="Z512" s="1481"/>
      <c r="AA512" s="499"/>
      <c r="AB512" s="499"/>
      <c r="AC512" s="499"/>
      <c r="AD512" s="499"/>
      <c r="AE512" s="499"/>
      <c r="AF512" s="499"/>
      <c r="AG512" s="499"/>
      <c r="AH512" s="499"/>
      <c r="AI512" s="1483"/>
      <c r="AJ512" s="1515"/>
      <c r="AK512" s="1515"/>
    </row>
    <row r="513">
      <c r="A513" s="499"/>
      <c r="B513" s="1501"/>
      <c r="C513" s="1502"/>
      <c r="D513" s="1503"/>
      <c r="E513" s="1503"/>
      <c r="F513" s="1504"/>
      <c r="G513" s="1504"/>
      <c r="H513" s="483"/>
      <c r="I513" s="1505"/>
      <c r="J513" s="1516" t="s">
        <v>123</v>
      </c>
      <c r="K513" s="1506"/>
      <c r="L513" s="1506"/>
      <c r="M513" s="1479"/>
      <c r="N513" s="1503"/>
      <c r="O513" s="1503"/>
      <c r="P513" s="1503"/>
      <c r="Q513" s="1503"/>
      <c r="R513" s="1503"/>
      <c r="S513" s="1504"/>
      <c r="T513" s="1504"/>
      <c r="U513" s="483"/>
      <c r="V513" s="1505"/>
      <c r="W513" s="1516" t="s">
        <v>123</v>
      </c>
      <c r="X513" s="1506"/>
      <c r="Y513" s="1506"/>
      <c r="Z513" s="1481"/>
      <c r="AA513" s="499"/>
      <c r="AB513" s="499"/>
      <c r="AC513" s="499"/>
      <c r="AD513" s="499"/>
      <c r="AE513" s="499"/>
      <c r="AF513" s="499"/>
      <c r="AG513" s="499"/>
      <c r="AH513" s="499"/>
      <c r="AI513" s="1483"/>
      <c r="AJ513" s="1515"/>
      <c r="AK513" s="1515"/>
    </row>
    <row r="514">
      <c r="A514" s="499"/>
      <c r="B514" s="1501"/>
      <c r="C514" s="1502"/>
      <c r="D514" s="1503"/>
      <c r="E514" s="1503"/>
      <c r="F514" s="1504"/>
      <c r="G514" s="1504"/>
      <c r="H514" s="483"/>
      <c r="I514" s="1505"/>
      <c r="J514" s="1516" t="s">
        <v>123</v>
      </c>
      <c r="K514" s="1506"/>
      <c r="L514" s="1506"/>
      <c r="M514" s="1479"/>
      <c r="N514" s="1503"/>
      <c r="O514" s="1503"/>
      <c r="P514" s="1503"/>
      <c r="Q514" s="1503"/>
      <c r="R514" s="1503"/>
      <c r="S514" s="1504"/>
      <c r="T514" s="1504"/>
      <c r="U514" s="483"/>
      <c r="V514" s="1505"/>
      <c r="W514" s="1516" t="s">
        <v>123</v>
      </c>
      <c r="X514" s="1506"/>
      <c r="Y514" s="1506"/>
      <c r="Z514" s="1481"/>
      <c r="AA514" s="499"/>
      <c r="AB514" s="499"/>
      <c r="AC514" s="499"/>
      <c r="AD514" s="499"/>
      <c r="AE514" s="499"/>
      <c r="AF514" s="499"/>
      <c r="AG514" s="499"/>
      <c r="AH514" s="499"/>
      <c r="AI514" s="1483"/>
      <c r="AJ514" s="1515"/>
      <c r="AK514" s="1515"/>
    </row>
    <row r="515">
      <c r="A515" s="499"/>
      <c r="B515" s="1501"/>
      <c r="C515" s="1502"/>
      <c r="D515" s="1503"/>
      <c r="E515" s="1503"/>
      <c r="F515" s="1504"/>
      <c r="G515" s="1504"/>
      <c r="H515" s="483"/>
      <c r="I515" s="1505"/>
      <c r="J515" s="1516" t="s">
        <v>123</v>
      </c>
      <c r="K515" s="1506"/>
      <c r="L515" s="1506"/>
      <c r="M515" s="1479"/>
      <c r="N515" s="1503"/>
      <c r="O515" s="1503"/>
      <c r="P515" s="1503"/>
      <c r="Q515" s="1503"/>
      <c r="R515" s="1503"/>
      <c r="S515" s="1504"/>
      <c r="T515" s="1504"/>
      <c r="U515" s="483"/>
      <c r="V515" s="1505"/>
      <c r="W515" s="1516" t="s">
        <v>123</v>
      </c>
      <c r="X515" s="1506"/>
      <c r="Y515" s="1506"/>
      <c r="Z515" s="1481"/>
      <c r="AA515" s="499"/>
      <c r="AB515" s="499"/>
      <c r="AC515" s="499"/>
      <c r="AD515" s="499"/>
      <c r="AE515" s="499"/>
      <c r="AF515" s="499"/>
      <c r="AG515" s="499"/>
      <c r="AH515" s="499"/>
      <c r="AI515" s="1483"/>
      <c r="AJ515" s="1515"/>
      <c r="AK515" s="1515"/>
    </row>
    <row r="516">
      <c r="A516" s="499"/>
      <c r="B516" s="1501"/>
      <c r="C516" s="1502"/>
      <c r="D516" s="1503"/>
      <c r="E516" s="1503"/>
      <c r="F516" s="1504"/>
      <c r="G516" s="1504"/>
      <c r="H516" s="483"/>
      <c r="I516" s="1505"/>
      <c r="J516" s="1516" t="s">
        <v>123</v>
      </c>
      <c r="K516" s="1506"/>
      <c r="L516" s="1506"/>
      <c r="M516" s="1479"/>
      <c r="N516" s="1503"/>
      <c r="O516" s="1503"/>
      <c r="P516" s="1503"/>
      <c r="Q516" s="1503"/>
      <c r="R516" s="1503"/>
      <c r="S516" s="1504"/>
      <c r="T516" s="1504"/>
      <c r="U516" s="483"/>
      <c r="V516" s="1505"/>
      <c r="W516" s="1516" t="s">
        <v>123</v>
      </c>
      <c r="X516" s="1506"/>
      <c r="Y516" s="1506"/>
      <c r="Z516" s="1481"/>
      <c r="AA516" s="499"/>
      <c r="AB516" s="499"/>
      <c r="AC516" s="499"/>
      <c r="AD516" s="499"/>
      <c r="AE516" s="499"/>
      <c r="AF516" s="499"/>
      <c r="AG516" s="499"/>
      <c r="AH516" s="499"/>
      <c r="AI516" s="1483"/>
      <c r="AJ516" s="1515"/>
      <c r="AK516" s="1515"/>
    </row>
    <row r="517">
      <c r="A517" s="499"/>
      <c r="B517" s="1501"/>
      <c r="C517" s="1502"/>
      <c r="D517" s="1503"/>
      <c r="E517" s="1503"/>
      <c r="F517" s="1504"/>
      <c r="G517" s="1504"/>
      <c r="H517" s="483"/>
      <c r="I517" s="1505"/>
      <c r="J517" s="1516" t="s">
        <v>123</v>
      </c>
      <c r="K517" s="1506"/>
      <c r="L517" s="1506"/>
      <c r="M517" s="1479"/>
      <c r="N517" s="1503"/>
      <c r="O517" s="1503"/>
      <c r="P517" s="1503"/>
      <c r="Q517" s="1503"/>
      <c r="R517" s="1503"/>
      <c r="S517" s="1504"/>
      <c r="T517" s="1504"/>
      <c r="U517" s="483"/>
      <c r="V517" s="1505"/>
      <c r="W517" s="1516" t="s">
        <v>123</v>
      </c>
      <c r="X517" s="1506"/>
      <c r="Y517" s="1506"/>
      <c r="Z517" s="1481"/>
      <c r="AA517" s="499"/>
      <c r="AB517" s="499"/>
      <c r="AC517" s="499"/>
      <c r="AD517" s="499"/>
      <c r="AE517" s="499"/>
      <c r="AF517" s="499"/>
      <c r="AG517" s="499"/>
      <c r="AH517" s="499"/>
      <c r="AI517" s="1483"/>
      <c r="AJ517" s="1515"/>
      <c r="AK517" s="1515"/>
    </row>
    <row r="518">
      <c r="A518" s="499"/>
      <c r="B518" s="1501"/>
      <c r="C518" s="1502"/>
      <c r="D518" s="1503"/>
      <c r="E518" s="1503"/>
      <c r="F518" s="1504"/>
      <c r="G518" s="1504"/>
      <c r="H518" s="483"/>
      <c r="I518" s="1505"/>
      <c r="J518" s="1516" t="s">
        <v>123</v>
      </c>
      <c r="K518" s="1506"/>
      <c r="L518" s="1506"/>
      <c r="M518" s="1479"/>
      <c r="N518" s="1503"/>
      <c r="O518" s="1503"/>
      <c r="P518" s="1503"/>
      <c r="Q518" s="1503"/>
      <c r="R518" s="1503"/>
      <c r="S518" s="1504"/>
      <c r="T518" s="1504"/>
      <c r="U518" s="483"/>
      <c r="V518" s="1505"/>
      <c r="W518" s="1516" t="s">
        <v>123</v>
      </c>
      <c r="X518" s="1506"/>
      <c r="Y518" s="1506"/>
      <c r="Z518" s="1481"/>
      <c r="AA518" s="499"/>
      <c r="AB518" s="499"/>
      <c r="AC518" s="499"/>
      <c r="AD518" s="499"/>
      <c r="AE518" s="499"/>
      <c r="AF518" s="499"/>
      <c r="AG518" s="499"/>
      <c r="AH518" s="499"/>
      <c r="AI518" s="1483"/>
      <c r="AJ518" s="1515"/>
      <c r="AK518" s="1515"/>
    </row>
    <row r="519">
      <c r="A519" s="499"/>
      <c r="B519" s="1501"/>
      <c r="C519" s="1502"/>
      <c r="D519" s="1503"/>
      <c r="E519" s="1503"/>
      <c r="F519" s="1504"/>
      <c r="G519" s="1504"/>
      <c r="H519" s="483"/>
      <c r="I519" s="1505"/>
      <c r="J519" s="1516" t="s">
        <v>123</v>
      </c>
      <c r="K519" s="1506"/>
      <c r="L519" s="1506"/>
      <c r="M519" s="1479"/>
      <c r="N519" s="1503"/>
      <c r="O519" s="1503"/>
      <c r="P519" s="1503"/>
      <c r="Q519" s="1503"/>
      <c r="R519" s="1503"/>
      <c r="S519" s="1504"/>
      <c r="T519" s="1504"/>
      <c r="U519" s="483"/>
      <c r="V519" s="1505"/>
      <c r="W519" s="1516" t="s">
        <v>123</v>
      </c>
      <c r="X519" s="1506"/>
      <c r="Y519" s="1506"/>
      <c r="Z519" s="1481"/>
      <c r="AA519" s="499"/>
      <c r="AB519" s="499"/>
      <c r="AC519" s="499"/>
      <c r="AD519" s="499"/>
      <c r="AE519" s="499"/>
      <c r="AF519" s="499"/>
      <c r="AG519" s="499"/>
      <c r="AH519" s="499"/>
      <c r="AI519" s="1483"/>
      <c r="AJ519" s="1515"/>
      <c r="AK519" s="1515"/>
    </row>
    <row r="520">
      <c r="A520" s="499"/>
      <c r="B520" s="1501"/>
      <c r="C520" s="1502"/>
      <c r="D520" s="1503"/>
      <c r="E520" s="1503"/>
      <c r="F520" s="1504"/>
      <c r="G520" s="1504"/>
      <c r="H520" s="483"/>
      <c r="I520" s="1505"/>
      <c r="J520" s="1516" t="s">
        <v>123</v>
      </c>
      <c r="K520" s="1506"/>
      <c r="L520" s="1506"/>
      <c r="M520" s="1479"/>
      <c r="N520" s="1503"/>
      <c r="O520" s="1503"/>
      <c r="P520" s="1503"/>
      <c r="Q520" s="1503"/>
      <c r="R520" s="1503"/>
      <c r="S520" s="1504"/>
      <c r="T520" s="1504"/>
      <c r="U520" s="483"/>
      <c r="V520" s="1505"/>
      <c r="W520" s="1516" t="s">
        <v>123</v>
      </c>
      <c r="X520" s="1506"/>
      <c r="Y520" s="1506"/>
      <c r="Z520" s="1481"/>
      <c r="AA520" s="499"/>
      <c r="AB520" s="499"/>
      <c r="AC520" s="499"/>
      <c r="AD520" s="499"/>
      <c r="AE520" s="499"/>
      <c r="AF520" s="499"/>
      <c r="AG520" s="499"/>
      <c r="AH520" s="499"/>
      <c r="AI520" s="1483"/>
      <c r="AJ520" s="1515"/>
      <c r="AK520" s="1515"/>
    </row>
    <row r="521">
      <c r="A521" s="499"/>
      <c r="B521" s="1501"/>
      <c r="C521" s="1502"/>
      <c r="D521" s="1503"/>
      <c r="E521" s="1503"/>
      <c r="F521" s="1504"/>
      <c r="G521" s="1504"/>
      <c r="H521" s="483"/>
      <c r="I521" s="1505"/>
      <c r="J521" s="1516" t="s">
        <v>123</v>
      </c>
      <c r="K521" s="1506"/>
      <c r="L521" s="1506"/>
      <c r="M521" s="1479"/>
      <c r="N521" s="1503"/>
      <c r="O521" s="1503"/>
      <c r="P521" s="1503"/>
      <c r="Q521" s="1503"/>
      <c r="R521" s="1503"/>
      <c r="S521" s="1504"/>
      <c r="T521" s="1504"/>
      <c r="U521" s="483"/>
      <c r="V521" s="1505"/>
      <c r="W521" s="1516" t="s">
        <v>123</v>
      </c>
      <c r="X521" s="1506"/>
      <c r="Y521" s="1506"/>
      <c r="Z521" s="1481"/>
      <c r="AA521" s="499"/>
      <c r="AB521" s="499"/>
      <c r="AC521" s="499"/>
      <c r="AD521" s="499"/>
      <c r="AE521" s="499"/>
      <c r="AF521" s="499"/>
      <c r="AG521" s="499"/>
      <c r="AH521" s="499"/>
      <c r="AI521" s="1483"/>
      <c r="AJ521" s="1515"/>
      <c r="AK521" s="1515"/>
    </row>
    <row r="522">
      <c r="A522" s="499"/>
      <c r="B522" s="1501"/>
      <c r="C522" s="1502"/>
      <c r="D522" s="1503"/>
      <c r="E522" s="1503"/>
      <c r="F522" s="1504"/>
      <c r="G522" s="1504"/>
      <c r="H522" s="483"/>
      <c r="I522" s="1505"/>
      <c r="J522" s="1516" t="s">
        <v>123</v>
      </c>
      <c r="K522" s="1506"/>
      <c r="L522" s="1506"/>
      <c r="M522" s="1479"/>
      <c r="N522" s="1503"/>
      <c r="O522" s="1503"/>
      <c r="P522" s="1503"/>
      <c r="Q522" s="1503"/>
      <c r="R522" s="1503"/>
      <c r="S522" s="1504"/>
      <c r="T522" s="1504"/>
      <c r="U522" s="483"/>
      <c r="V522" s="1505"/>
      <c r="W522" s="1516" t="s">
        <v>123</v>
      </c>
      <c r="X522" s="1506"/>
      <c r="Y522" s="1506"/>
      <c r="Z522" s="1481"/>
      <c r="AA522" s="499"/>
      <c r="AB522" s="499"/>
      <c r="AC522" s="499"/>
      <c r="AD522" s="499"/>
      <c r="AE522" s="499"/>
      <c r="AF522" s="499"/>
      <c r="AG522" s="499"/>
      <c r="AH522" s="499"/>
      <c r="AI522" s="1483"/>
      <c r="AJ522" s="1515"/>
      <c r="AK522" s="1515"/>
    </row>
    <row r="523">
      <c r="A523" s="499"/>
      <c r="B523" s="1501"/>
      <c r="C523" s="1502"/>
      <c r="D523" s="1503"/>
      <c r="E523" s="1503"/>
      <c r="F523" s="1504"/>
      <c r="G523" s="1504"/>
      <c r="H523" s="483"/>
      <c r="I523" s="1505"/>
      <c r="J523" s="1516" t="s">
        <v>123</v>
      </c>
      <c r="K523" s="1506"/>
      <c r="L523" s="1506"/>
      <c r="M523" s="1479"/>
      <c r="N523" s="1503"/>
      <c r="O523" s="1503"/>
      <c r="P523" s="1503"/>
      <c r="Q523" s="1503"/>
      <c r="R523" s="1503"/>
      <c r="S523" s="1504"/>
      <c r="T523" s="1504"/>
      <c r="U523" s="483"/>
      <c r="V523" s="1505"/>
      <c r="W523" s="1516" t="s">
        <v>123</v>
      </c>
      <c r="X523" s="1506"/>
      <c r="Y523" s="1506"/>
      <c r="Z523" s="1481"/>
      <c r="AA523" s="499"/>
      <c r="AB523" s="499"/>
      <c r="AC523" s="499"/>
      <c r="AD523" s="499"/>
      <c r="AE523" s="499"/>
      <c r="AF523" s="499"/>
      <c r="AG523" s="499"/>
      <c r="AH523" s="499"/>
      <c r="AI523" s="1483"/>
      <c r="AJ523" s="1515"/>
      <c r="AK523" s="1515"/>
    </row>
    <row r="524">
      <c r="A524" s="499"/>
      <c r="B524" s="1501"/>
      <c r="C524" s="1502"/>
      <c r="D524" s="1503"/>
      <c r="E524" s="1503"/>
      <c r="F524" s="1504"/>
      <c r="G524" s="1504"/>
      <c r="H524" s="483"/>
      <c r="I524" s="1505"/>
      <c r="J524" s="1516" t="s">
        <v>123</v>
      </c>
      <c r="K524" s="1506"/>
      <c r="L524" s="1506"/>
      <c r="M524" s="1479"/>
      <c r="N524" s="1503"/>
      <c r="O524" s="1503"/>
      <c r="P524" s="1503"/>
      <c r="Q524" s="1503"/>
      <c r="R524" s="1503"/>
      <c r="S524" s="1504"/>
      <c r="T524" s="1504"/>
      <c r="U524" s="483"/>
      <c r="V524" s="1505"/>
      <c r="W524" s="1516" t="s">
        <v>123</v>
      </c>
      <c r="X524" s="1506"/>
      <c r="Y524" s="1506"/>
      <c r="Z524" s="1481"/>
      <c r="AA524" s="499"/>
      <c r="AB524" s="499"/>
      <c r="AC524" s="499"/>
      <c r="AD524" s="499"/>
      <c r="AE524" s="499"/>
      <c r="AF524" s="499"/>
      <c r="AG524" s="499"/>
      <c r="AH524" s="499"/>
      <c r="AI524" s="1483"/>
      <c r="AJ524" s="1515"/>
      <c r="AK524" s="1515"/>
    </row>
    <row r="525">
      <c r="A525" s="499"/>
      <c r="B525" s="1501"/>
      <c r="C525" s="1502"/>
      <c r="D525" s="1503"/>
      <c r="E525" s="1503"/>
      <c r="F525" s="1504"/>
      <c r="G525" s="1504"/>
      <c r="H525" s="483"/>
      <c r="I525" s="1505"/>
      <c r="J525" s="1516" t="s">
        <v>123</v>
      </c>
      <c r="K525" s="1506"/>
      <c r="L525" s="1506"/>
      <c r="M525" s="1479"/>
      <c r="N525" s="1503"/>
      <c r="O525" s="1503"/>
      <c r="P525" s="1503"/>
      <c r="Q525" s="1503"/>
      <c r="R525" s="1503"/>
      <c r="S525" s="1504"/>
      <c r="T525" s="1504"/>
      <c r="U525" s="483"/>
      <c r="V525" s="1505"/>
      <c r="W525" s="1516" t="s">
        <v>123</v>
      </c>
      <c r="X525" s="1506"/>
      <c r="Y525" s="1506"/>
      <c r="Z525" s="1481"/>
      <c r="AA525" s="499"/>
      <c r="AB525" s="499"/>
      <c r="AC525" s="499"/>
      <c r="AD525" s="499"/>
      <c r="AE525" s="499"/>
      <c r="AF525" s="499"/>
      <c r="AG525" s="499"/>
      <c r="AH525" s="499"/>
      <c r="AI525" s="1483"/>
      <c r="AJ525" s="1515"/>
      <c r="AK525" s="1515"/>
    </row>
    <row r="526">
      <c r="A526" s="499"/>
      <c r="B526" s="1501"/>
      <c r="C526" s="1502"/>
      <c r="D526" s="1503"/>
      <c r="E526" s="1503"/>
      <c r="F526" s="1504"/>
      <c r="G526" s="1504"/>
      <c r="H526" s="483"/>
      <c r="I526" s="1505"/>
      <c r="J526" s="1516" t="s">
        <v>123</v>
      </c>
      <c r="K526" s="1506"/>
      <c r="L526" s="1506"/>
      <c r="M526" s="1479"/>
      <c r="N526" s="1503"/>
      <c r="O526" s="1503"/>
      <c r="P526" s="1503"/>
      <c r="Q526" s="1503"/>
      <c r="R526" s="1503"/>
      <c r="S526" s="1504"/>
      <c r="T526" s="1504"/>
      <c r="U526" s="483"/>
      <c r="V526" s="1505"/>
      <c r="W526" s="1516" t="s">
        <v>123</v>
      </c>
      <c r="X526" s="1506"/>
      <c r="Y526" s="1506"/>
      <c r="Z526" s="1481"/>
      <c r="AA526" s="499"/>
      <c r="AB526" s="499"/>
      <c r="AC526" s="499"/>
      <c r="AD526" s="499"/>
      <c r="AE526" s="499"/>
      <c r="AF526" s="499"/>
      <c r="AG526" s="499"/>
      <c r="AH526" s="499"/>
      <c r="AI526" s="1483"/>
      <c r="AJ526" s="1515"/>
      <c r="AK526" s="1515"/>
    </row>
    <row r="527">
      <c r="A527" s="499"/>
      <c r="B527" s="1501"/>
      <c r="C527" s="1502"/>
      <c r="D527" s="1503"/>
      <c r="E527" s="1503"/>
      <c r="F527" s="1504"/>
      <c r="G527" s="1504"/>
      <c r="H527" s="483"/>
      <c r="I527" s="1505"/>
      <c r="J527" s="1516" t="s">
        <v>123</v>
      </c>
      <c r="K527" s="1506"/>
      <c r="L527" s="1506"/>
      <c r="M527" s="1479"/>
      <c r="N527" s="1503"/>
      <c r="O527" s="1503"/>
      <c r="P527" s="1503"/>
      <c r="Q527" s="1503"/>
      <c r="R527" s="1503"/>
      <c r="S527" s="1504"/>
      <c r="T527" s="1504"/>
      <c r="U527" s="483"/>
      <c r="V527" s="1505"/>
      <c r="W527" s="1516" t="s">
        <v>123</v>
      </c>
      <c r="X527" s="1506"/>
      <c r="Y527" s="1506"/>
      <c r="Z527" s="1481"/>
      <c r="AA527" s="499"/>
      <c r="AB527" s="499"/>
      <c r="AC527" s="499"/>
      <c r="AD527" s="499"/>
      <c r="AE527" s="499"/>
      <c r="AF527" s="499"/>
      <c r="AG527" s="499"/>
      <c r="AH527" s="499"/>
      <c r="AI527" s="1483"/>
      <c r="AJ527" s="1515"/>
      <c r="AK527" s="1515"/>
    </row>
    <row r="528">
      <c r="A528" s="499"/>
      <c r="B528" s="1501"/>
      <c r="C528" s="1502"/>
      <c r="D528" s="1503"/>
      <c r="E528" s="1503"/>
      <c r="F528" s="1504"/>
      <c r="G528" s="1504"/>
      <c r="H528" s="483"/>
      <c r="I528" s="1505"/>
      <c r="J528" s="1516" t="s">
        <v>123</v>
      </c>
      <c r="K528" s="1506"/>
      <c r="L528" s="1506"/>
      <c r="M528" s="1479"/>
      <c r="N528" s="1503"/>
      <c r="O528" s="1503"/>
      <c r="P528" s="1503"/>
      <c r="Q528" s="1503"/>
      <c r="R528" s="1503"/>
      <c r="S528" s="1504"/>
      <c r="T528" s="1504"/>
      <c r="U528" s="483"/>
      <c r="V528" s="1505"/>
      <c r="W528" s="1516" t="s">
        <v>123</v>
      </c>
      <c r="X528" s="1506"/>
      <c r="Y528" s="1506"/>
      <c r="Z528" s="1481"/>
      <c r="AA528" s="499"/>
      <c r="AB528" s="499"/>
      <c r="AC528" s="499"/>
      <c r="AD528" s="499"/>
      <c r="AE528" s="499"/>
      <c r="AF528" s="499"/>
      <c r="AG528" s="499"/>
      <c r="AH528" s="499"/>
      <c r="AI528" s="1483"/>
      <c r="AJ528" s="1515"/>
      <c r="AK528" s="1515"/>
    </row>
    <row r="529">
      <c r="A529" s="499"/>
      <c r="B529" s="1501"/>
      <c r="C529" s="1502"/>
      <c r="D529" s="1503"/>
      <c r="E529" s="1503"/>
      <c r="F529" s="1504"/>
      <c r="G529" s="1504"/>
      <c r="H529" s="483"/>
      <c r="I529" s="1505"/>
      <c r="J529" s="1516" t="s">
        <v>123</v>
      </c>
      <c r="K529" s="1506"/>
      <c r="L529" s="1506"/>
      <c r="M529" s="1479"/>
      <c r="N529" s="1503"/>
      <c r="O529" s="1503"/>
      <c r="P529" s="1503"/>
      <c r="Q529" s="1503"/>
      <c r="R529" s="1503"/>
      <c r="S529" s="1504"/>
      <c r="T529" s="1504"/>
      <c r="U529" s="483"/>
      <c r="V529" s="1505"/>
      <c r="W529" s="1516" t="s">
        <v>123</v>
      </c>
      <c r="X529" s="1506"/>
      <c r="Y529" s="1506"/>
      <c r="Z529" s="1481"/>
      <c r="AA529" s="499"/>
      <c r="AB529" s="499"/>
      <c r="AC529" s="499"/>
      <c r="AD529" s="499"/>
      <c r="AE529" s="499"/>
      <c r="AF529" s="499"/>
      <c r="AG529" s="499"/>
      <c r="AH529" s="499"/>
      <c r="AI529" s="1483"/>
      <c r="AJ529" s="1515"/>
      <c r="AK529" s="1515"/>
    </row>
    <row r="530">
      <c r="A530" s="499"/>
      <c r="B530" s="1501"/>
      <c r="C530" s="1502"/>
      <c r="D530" s="1503"/>
      <c r="E530" s="1503"/>
      <c r="F530" s="1504"/>
      <c r="G530" s="1504"/>
      <c r="H530" s="483"/>
      <c r="I530" s="1505"/>
      <c r="J530" s="1516" t="s">
        <v>123</v>
      </c>
      <c r="K530" s="1506"/>
      <c r="L530" s="1506"/>
      <c r="M530" s="1479"/>
      <c r="N530" s="1503"/>
      <c r="O530" s="1503"/>
      <c r="P530" s="1503"/>
      <c r="Q530" s="1503"/>
      <c r="R530" s="1503"/>
      <c r="S530" s="1504"/>
      <c r="T530" s="1504"/>
      <c r="U530" s="483"/>
      <c r="V530" s="1505"/>
      <c r="W530" s="1516" t="s">
        <v>123</v>
      </c>
      <c r="X530" s="1506"/>
      <c r="Y530" s="1506"/>
      <c r="Z530" s="1481"/>
      <c r="AA530" s="499"/>
      <c r="AB530" s="499"/>
      <c r="AC530" s="499"/>
      <c r="AD530" s="499"/>
      <c r="AE530" s="499"/>
      <c r="AF530" s="499"/>
      <c r="AG530" s="499"/>
      <c r="AH530" s="499"/>
      <c r="AI530" s="1483"/>
      <c r="AJ530" s="1515"/>
      <c r="AK530" s="1515"/>
    </row>
    <row r="531">
      <c r="A531" s="499"/>
      <c r="B531" s="1501"/>
      <c r="C531" s="1502"/>
      <c r="D531" s="1503"/>
      <c r="E531" s="1503"/>
      <c r="F531" s="1504"/>
      <c r="G531" s="1504"/>
      <c r="H531" s="483"/>
      <c r="I531" s="1505"/>
      <c r="J531" s="1516" t="s">
        <v>123</v>
      </c>
      <c r="K531" s="1506"/>
      <c r="L531" s="1506"/>
      <c r="M531" s="1479"/>
      <c r="N531" s="1503"/>
      <c r="O531" s="1503"/>
      <c r="P531" s="1503"/>
      <c r="Q531" s="1503"/>
      <c r="R531" s="1503"/>
      <c r="S531" s="1504"/>
      <c r="T531" s="1504"/>
      <c r="U531" s="483"/>
      <c r="V531" s="1505"/>
      <c r="W531" s="1516" t="s">
        <v>123</v>
      </c>
      <c r="X531" s="1506"/>
      <c r="Y531" s="1506"/>
      <c r="Z531" s="1481"/>
      <c r="AA531" s="499"/>
      <c r="AB531" s="499"/>
      <c r="AC531" s="499"/>
      <c r="AD531" s="499"/>
      <c r="AE531" s="499"/>
      <c r="AF531" s="499"/>
      <c r="AG531" s="499"/>
      <c r="AH531" s="499"/>
      <c r="AI531" s="1483"/>
      <c r="AJ531" s="1515"/>
      <c r="AK531" s="1515"/>
    </row>
    <row r="532">
      <c r="A532" s="499"/>
      <c r="B532" s="1501"/>
      <c r="C532" s="1502"/>
      <c r="D532" s="1503"/>
      <c r="E532" s="1503"/>
      <c r="F532" s="1504"/>
      <c r="G532" s="1504"/>
      <c r="H532" s="483"/>
      <c r="I532" s="1505"/>
      <c r="J532" s="1516" t="s">
        <v>123</v>
      </c>
      <c r="K532" s="1506"/>
      <c r="L532" s="1506"/>
      <c r="M532" s="1479"/>
      <c r="N532" s="1503"/>
      <c r="O532" s="1503"/>
      <c r="P532" s="1503"/>
      <c r="Q532" s="1503"/>
      <c r="R532" s="1503"/>
      <c r="S532" s="1504"/>
      <c r="T532" s="1504"/>
      <c r="U532" s="483"/>
      <c r="V532" s="1505"/>
      <c r="W532" s="1516" t="s">
        <v>123</v>
      </c>
      <c r="X532" s="1506"/>
      <c r="Y532" s="1506"/>
      <c r="Z532" s="1481"/>
      <c r="AA532" s="499"/>
      <c r="AB532" s="499"/>
      <c r="AC532" s="499"/>
      <c r="AD532" s="499"/>
      <c r="AE532" s="499"/>
      <c r="AF532" s="499"/>
      <c r="AG532" s="499"/>
      <c r="AH532" s="499"/>
      <c r="AI532" s="1483"/>
      <c r="AJ532" s="1515"/>
      <c r="AK532" s="1515"/>
    </row>
    <row r="533">
      <c r="A533" s="499"/>
      <c r="B533" s="1501"/>
      <c r="C533" s="1502"/>
      <c r="D533" s="1503"/>
      <c r="E533" s="1503"/>
      <c r="F533" s="1504"/>
      <c r="G533" s="1504"/>
      <c r="H533" s="483"/>
      <c r="I533" s="1505"/>
      <c r="J533" s="1516" t="s">
        <v>123</v>
      </c>
      <c r="K533" s="1506"/>
      <c r="L533" s="1506"/>
      <c r="M533" s="1479"/>
      <c r="N533" s="1503"/>
      <c r="O533" s="1503"/>
      <c r="P533" s="1503"/>
      <c r="Q533" s="1503"/>
      <c r="R533" s="1503"/>
      <c r="S533" s="1504"/>
      <c r="T533" s="1504"/>
      <c r="U533" s="483"/>
      <c r="V533" s="1505"/>
      <c r="W533" s="1516" t="s">
        <v>123</v>
      </c>
      <c r="X533" s="1506"/>
      <c r="Y533" s="1506"/>
      <c r="Z533" s="1481"/>
      <c r="AA533" s="499"/>
      <c r="AB533" s="499"/>
      <c r="AC533" s="499"/>
      <c r="AD533" s="499"/>
      <c r="AE533" s="499"/>
      <c r="AF533" s="499"/>
      <c r="AG533" s="499"/>
      <c r="AH533" s="499"/>
      <c r="AI533" s="1483"/>
      <c r="AJ533" s="1515"/>
      <c r="AK533" s="1515"/>
    </row>
    <row r="534">
      <c r="A534" s="499"/>
      <c r="B534" s="1501"/>
      <c r="C534" s="1502"/>
      <c r="D534" s="1503"/>
      <c r="E534" s="1503"/>
      <c r="F534" s="1504"/>
      <c r="G534" s="1504"/>
      <c r="H534" s="483"/>
      <c r="I534" s="1505"/>
      <c r="J534" s="1516" t="s">
        <v>123</v>
      </c>
      <c r="K534" s="1506"/>
      <c r="L534" s="1506"/>
      <c r="M534" s="1479"/>
      <c r="N534" s="1503"/>
      <c r="O534" s="1503"/>
      <c r="P534" s="1503"/>
      <c r="Q534" s="1503"/>
      <c r="R534" s="1503"/>
      <c r="S534" s="1504"/>
      <c r="T534" s="1504"/>
      <c r="U534" s="483"/>
      <c r="V534" s="1505"/>
      <c r="W534" s="1516" t="s">
        <v>123</v>
      </c>
      <c r="X534" s="1506"/>
      <c r="Y534" s="1506"/>
      <c r="Z534" s="1481"/>
      <c r="AA534" s="499"/>
      <c r="AB534" s="499"/>
      <c r="AC534" s="499"/>
      <c r="AD534" s="499"/>
      <c r="AE534" s="499"/>
      <c r="AF534" s="499"/>
      <c r="AG534" s="499"/>
      <c r="AH534" s="499"/>
      <c r="AI534" s="1483"/>
      <c r="AJ534" s="1515"/>
      <c r="AK534" s="1515"/>
    </row>
    <row r="535">
      <c r="A535" s="499"/>
      <c r="B535" s="1501"/>
      <c r="C535" s="1502"/>
      <c r="D535" s="1503"/>
      <c r="E535" s="1503"/>
      <c r="F535" s="1504"/>
      <c r="G535" s="1504"/>
      <c r="H535" s="483"/>
      <c r="I535" s="1505"/>
      <c r="J535" s="1516" t="s">
        <v>123</v>
      </c>
      <c r="K535" s="1506"/>
      <c r="L535" s="1506"/>
      <c r="M535" s="1479"/>
      <c r="N535" s="1503"/>
      <c r="O535" s="1503"/>
      <c r="P535" s="1503"/>
      <c r="Q535" s="1503"/>
      <c r="R535" s="1503"/>
      <c r="S535" s="1504"/>
      <c r="T535" s="1504"/>
      <c r="U535" s="483"/>
      <c r="V535" s="1505"/>
      <c r="W535" s="1516" t="s">
        <v>123</v>
      </c>
      <c r="X535" s="1506"/>
      <c r="Y535" s="1506"/>
      <c r="Z535" s="1481"/>
      <c r="AA535" s="499"/>
      <c r="AB535" s="499"/>
      <c r="AC535" s="499"/>
      <c r="AD535" s="499"/>
      <c r="AE535" s="499"/>
      <c r="AF535" s="499"/>
      <c r="AG535" s="499"/>
      <c r="AH535" s="499"/>
      <c r="AI535" s="1483"/>
      <c r="AJ535" s="1515"/>
      <c r="AK535" s="1515"/>
    </row>
    <row r="536">
      <c r="A536" s="499"/>
      <c r="B536" s="1501"/>
      <c r="C536" s="1502"/>
      <c r="D536" s="1503"/>
      <c r="E536" s="1503"/>
      <c r="F536" s="1504"/>
      <c r="G536" s="1504"/>
      <c r="H536" s="483"/>
      <c r="I536" s="1505"/>
      <c r="J536" s="1516" t="s">
        <v>123</v>
      </c>
      <c r="K536" s="1506"/>
      <c r="L536" s="1506"/>
      <c r="M536" s="1479"/>
      <c r="N536" s="1503"/>
      <c r="O536" s="1503"/>
      <c r="P536" s="1503"/>
      <c r="Q536" s="1503"/>
      <c r="R536" s="1503"/>
      <c r="S536" s="1504"/>
      <c r="T536" s="1504"/>
      <c r="U536" s="483"/>
      <c r="V536" s="1505"/>
      <c r="W536" s="1516" t="s">
        <v>123</v>
      </c>
      <c r="X536" s="1506"/>
      <c r="Y536" s="1506"/>
      <c r="Z536" s="1481"/>
      <c r="AA536" s="499"/>
      <c r="AB536" s="499"/>
      <c r="AC536" s="499"/>
      <c r="AD536" s="499"/>
      <c r="AE536" s="499"/>
      <c r="AF536" s="499"/>
      <c r="AG536" s="499"/>
      <c r="AH536" s="499"/>
      <c r="AI536" s="1483"/>
      <c r="AJ536" s="1515"/>
      <c r="AK536" s="1515"/>
    </row>
    <row r="537">
      <c r="A537" s="499"/>
      <c r="B537" s="1501"/>
      <c r="C537" s="1502"/>
      <c r="D537" s="1503"/>
      <c r="E537" s="1503"/>
      <c r="F537" s="1504"/>
      <c r="G537" s="1504"/>
      <c r="H537" s="483"/>
      <c r="I537" s="1505"/>
      <c r="J537" s="1516" t="s">
        <v>123</v>
      </c>
      <c r="K537" s="1506"/>
      <c r="L537" s="1506"/>
      <c r="M537" s="1479"/>
      <c r="N537" s="1503"/>
      <c r="O537" s="1503"/>
      <c r="P537" s="1503"/>
      <c r="Q537" s="1503"/>
      <c r="R537" s="1503"/>
      <c r="S537" s="1504"/>
      <c r="T537" s="1504"/>
      <c r="U537" s="483"/>
      <c r="V537" s="1505"/>
      <c r="W537" s="1516" t="s">
        <v>123</v>
      </c>
      <c r="X537" s="1506"/>
      <c r="Y537" s="1506"/>
      <c r="Z537" s="1481"/>
      <c r="AA537" s="499"/>
      <c r="AB537" s="499"/>
      <c r="AC537" s="499"/>
      <c r="AD537" s="499"/>
      <c r="AE537" s="499"/>
      <c r="AF537" s="499"/>
      <c r="AG537" s="499"/>
      <c r="AH537" s="499"/>
      <c r="AI537" s="1483"/>
      <c r="AJ537" s="1515"/>
      <c r="AK537" s="1515"/>
    </row>
    <row r="538">
      <c r="A538" s="499"/>
      <c r="B538" s="1501"/>
      <c r="C538" s="1502"/>
      <c r="D538" s="1503"/>
      <c r="E538" s="1503"/>
      <c r="F538" s="1504"/>
      <c r="G538" s="1504"/>
      <c r="H538" s="483"/>
      <c r="I538" s="1505"/>
      <c r="J538" s="1516" t="s">
        <v>123</v>
      </c>
      <c r="K538" s="1506"/>
      <c r="L538" s="1506"/>
      <c r="M538" s="1479"/>
      <c r="N538" s="1503"/>
      <c r="O538" s="1503"/>
      <c r="P538" s="1503"/>
      <c r="Q538" s="1503"/>
      <c r="R538" s="1503"/>
      <c r="S538" s="1504"/>
      <c r="T538" s="1504"/>
      <c r="U538" s="483"/>
      <c r="V538" s="1505"/>
      <c r="W538" s="1516" t="s">
        <v>123</v>
      </c>
      <c r="X538" s="1506"/>
      <c r="Y538" s="1506"/>
      <c r="Z538" s="1481"/>
      <c r="AA538" s="499"/>
      <c r="AB538" s="499"/>
      <c r="AC538" s="499"/>
      <c r="AD538" s="499"/>
      <c r="AE538" s="499"/>
      <c r="AF538" s="499"/>
      <c r="AG538" s="499"/>
      <c r="AH538" s="499"/>
      <c r="AI538" s="1483"/>
      <c r="AJ538" s="1515"/>
      <c r="AK538" s="1515"/>
    </row>
    <row r="539">
      <c r="A539" s="499"/>
      <c r="B539" s="1501"/>
      <c r="C539" s="1502"/>
      <c r="D539" s="1503"/>
      <c r="E539" s="1503"/>
      <c r="F539" s="1504"/>
      <c r="G539" s="1504"/>
      <c r="H539" s="483"/>
      <c r="I539" s="1505"/>
      <c r="J539" s="1516" t="s">
        <v>123</v>
      </c>
      <c r="K539" s="1506"/>
      <c r="L539" s="1506"/>
      <c r="M539" s="1479"/>
      <c r="N539" s="1503"/>
      <c r="O539" s="1503"/>
      <c r="P539" s="1503"/>
      <c r="Q539" s="1503"/>
      <c r="R539" s="1503"/>
      <c r="S539" s="1504"/>
      <c r="T539" s="1504"/>
      <c r="U539" s="483"/>
      <c r="V539" s="1505"/>
      <c r="W539" s="1516" t="s">
        <v>123</v>
      </c>
      <c r="X539" s="1506"/>
      <c r="Y539" s="1506"/>
      <c r="Z539" s="1481"/>
      <c r="AA539" s="499"/>
      <c r="AB539" s="499"/>
      <c r="AC539" s="499"/>
      <c r="AD539" s="499"/>
      <c r="AE539" s="499"/>
      <c r="AF539" s="499"/>
      <c r="AG539" s="499"/>
      <c r="AH539" s="499"/>
      <c r="AI539" s="1483"/>
      <c r="AJ539" s="1515"/>
      <c r="AK539" s="1515"/>
    </row>
    <row r="540">
      <c r="A540" s="499"/>
      <c r="B540" s="1501"/>
      <c r="C540" s="1502"/>
      <c r="D540" s="1503"/>
      <c r="E540" s="1503"/>
      <c r="F540" s="1504"/>
      <c r="G540" s="1504"/>
      <c r="H540" s="483"/>
      <c r="I540" s="1505"/>
      <c r="J540" s="1516" t="s">
        <v>123</v>
      </c>
      <c r="K540" s="1506"/>
      <c r="L540" s="1506"/>
      <c r="M540" s="1479"/>
      <c r="N540" s="1503"/>
      <c r="O540" s="1503"/>
      <c r="P540" s="1503"/>
      <c r="Q540" s="1503"/>
      <c r="R540" s="1503"/>
      <c r="S540" s="1504"/>
      <c r="T540" s="1504"/>
      <c r="U540" s="483"/>
      <c r="V540" s="1505"/>
      <c r="W540" s="1516" t="s">
        <v>123</v>
      </c>
      <c r="X540" s="1506"/>
      <c r="Y540" s="1506"/>
      <c r="Z540" s="1481"/>
      <c r="AA540" s="499"/>
      <c r="AB540" s="499"/>
      <c r="AC540" s="499"/>
      <c r="AD540" s="499"/>
      <c r="AE540" s="499"/>
      <c r="AF540" s="499"/>
      <c r="AG540" s="499"/>
      <c r="AH540" s="499"/>
      <c r="AI540" s="1483"/>
      <c r="AJ540" s="1515"/>
      <c r="AK540" s="1515"/>
    </row>
    <row r="541">
      <c r="A541" s="499"/>
      <c r="B541" s="1501"/>
      <c r="C541" s="1502"/>
      <c r="D541" s="1503"/>
      <c r="E541" s="1503"/>
      <c r="F541" s="1504"/>
      <c r="G541" s="1504"/>
      <c r="H541" s="483"/>
      <c r="I541" s="1505"/>
      <c r="J541" s="1516" t="s">
        <v>123</v>
      </c>
      <c r="K541" s="1506"/>
      <c r="L541" s="1506"/>
      <c r="M541" s="1479"/>
      <c r="N541" s="1503"/>
      <c r="O541" s="1503"/>
      <c r="P541" s="1503"/>
      <c r="Q541" s="1503"/>
      <c r="R541" s="1503"/>
      <c r="S541" s="1504"/>
      <c r="T541" s="1504"/>
      <c r="U541" s="483"/>
      <c r="V541" s="1505"/>
      <c r="W541" s="1516" t="s">
        <v>123</v>
      </c>
      <c r="X541" s="1506"/>
      <c r="Y541" s="1506"/>
      <c r="Z541" s="1481"/>
      <c r="AA541" s="499"/>
      <c r="AB541" s="499"/>
      <c r="AC541" s="499"/>
      <c r="AD541" s="499"/>
      <c r="AE541" s="499"/>
      <c r="AF541" s="499"/>
      <c r="AG541" s="499"/>
      <c r="AH541" s="499"/>
      <c r="AI541" s="1483"/>
      <c r="AJ541" s="1515"/>
      <c r="AK541" s="1515"/>
    </row>
    <row r="542">
      <c r="A542" s="499"/>
      <c r="B542" s="1501"/>
      <c r="C542" s="1502"/>
      <c r="D542" s="1503"/>
      <c r="E542" s="1503"/>
      <c r="F542" s="1504"/>
      <c r="G542" s="1504"/>
      <c r="H542" s="483"/>
      <c r="I542" s="1505"/>
      <c r="J542" s="1516" t="s">
        <v>123</v>
      </c>
      <c r="K542" s="1506"/>
      <c r="L542" s="1506"/>
      <c r="M542" s="1479"/>
      <c r="N542" s="1503"/>
      <c r="O542" s="1503"/>
      <c r="P542" s="1503"/>
      <c r="Q542" s="1503"/>
      <c r="R542" s="1503"/>
      <c r="S542" s="1504"/>
      <c r="T542" s="1504"/>
      <c r="U542" s="483"/>
      <c r="V542" s="1505"/>
      <c r="W542" s="1516" t="s">
        <v>123</v>
      </c>
      <c r="X542" s="1506"/>
      <c r="Y542" s="1506"/>
      <c r="Z542" s="1481"/>
      <c r="AA542" s="499"/>
      <c r="AB542" s="499"/>
      <c r="AC542" s="499"/>
      <c r="AD542" s="499"/>
      <c r="AE542" s="499"/>
      <c r="AF542" s="499"/>
      <c r="AG542" s="499"/>
      <c r="AH542" s="499"/>
      <c r="AI542" s="1483"/>
      <c r="AJ542" s="1515"/>
      <c r="AK542" s="1515"/>
    </row>
    <row r="543">
      <c r="A543" s="499"/>
      <c r="B543" s="1501"/>
      <c r="C543" s="1502"/>
      <c r="D543" s="1503"/>
      <c r="E543" s="1503"/>
      <c r="F543" s="1504"/>
      <c r="G543" s="1504"/>
      <c r="H543" s="483"/>
      <c r="I543" s="1505"/>
      <c r="J543" s="1516" t="s">
        <v>123</v>
      </c>
      <c r="K543" s="1506"/>
      <c r="L543" s="1506"/>
      <c r="M543" s="1479"/>
      <c r="N543" s="1503"/>
      <c r="O543" s="1503"/>
      <c r="P543" s="1503"/>
      <c r="Q543" s="1503"/>
      <c r="R543" s="1503"/>
      <c r="S543" s="1504"/>
      <c r="T543" s="1504"/>
      <c r="U543" s="483"/>
      <c r="V543" s="1505"/>
      <c r="W543" s="1516" t="s">
        <v>123</v>
      </c>
      <c r="X543" s="1506"/>
      <c r="Y543" s="1506"/>
      <c r="Z543" s="1481"/>
      <c r="AA543" s="499"/>
      <c r="AB543" s="499"/>
      <c r="AC543" s="499"/>
      <c r="AD543" s="499"/>
      <c r="AE543" s="499"/>
      <c r="AF543" s="499"/>
      <c r="AG543" s="499"/>
      <c r="AH543" s="499"/>
      <c r="AI543" s="1483"/>
      <c r="AJ543" s="1515"/>
      <c r="AK543" s="1515"/>
    </row>
    <row r="544">
      <c r="A544" s="499"/>
      <c r="B544" s="1501"/>
      <c r="C544" s="1502"/>
      <c r="D544" s="1503"/>
      <c r="E544" s="1503"/>
      <c r="F544" s="1504"/>
      <c r="G544" s="1504"/>
      <c r="H544" s="483"/>
      <c r="I544" s="1505"/>
      <c r="J544" s="1516" t="s">
        <v>123</v>
      </c>
      <c r="K544" s="1506"/>
      <c r="L544" s="1506"/>
      <c r="M544" s="1479"/>
      <c r="N544" s="1503"/>
      <c r="O544" s="1503"/>
      <c r="P544" s="1503"/>
      <c r="Q544" s="1503"/>
      <c r="R544" s="1503"/>
      <c r="S544" s="1504"/>
      <c r="T544" s="1504"/>
      <c r="U544" s="483"/>
      <c r="V544" s="1505"/>
      <c r="W544" s="1516" t="s">
        <v>123</v>
      </c>
      <c r="X544" s="1506"/>
      <c r="Y544" s="1506"/>
      <c r="Z544" s="1481"/>
      <c r="AA544" s="499"/>
      <c r="AB544" s="499"/>
      <c r="AC544" s="499"/>
      <c r="AD544" s="499"/>
      <c r="AE544" s="499"/>
      <c r="AF544" s="499"/>
      <c r="AG544" s="499"/>
      <c r="AH544" s="499"/>
      <c r="AI544" s="1483"/>
      <c r="AJ544" s="1515"/>
      <c r="AK544" s="1515"/>
    </row>
    <row r="545">
      <c r="A545" s="499"/>
      <c r="B545" s="1501"/>
      <c r="C545" s="1502"/>
      <c r="D545" s="1503"/>
      <c r="E545" s="1503"/>
      <c r="F545" s="1504"/>
      <c r="G545" s="1504"/>
      <c r="H545" s="483"/>
      <c r="I545" s="1505"/>
      <c r="J545" s="1516" t="s">
        <v>123</v>
      </c>
      <c r="K545" s="1506"/>
      <c r="L545" s="1506"/>
      <c r="M545" s="1479"/>
      <c r="N545" s="1503"/>
      <c r="O545" s="1503"/>
      <c r="P545" s="1503"/>
      <c r="Q545" s="1503"/>
      <c r="R545" s="1503"/>
      <c r="S545" s="1504"/>
      <c r="T545" s="1504"/>
      <c r="U545" s="483"/>
      <c r="V545" s="1505"/>
      <c r="W545" s="1516" t="s">
        <v>123</v>
      </c>
      <c r="X545" s="1506"/>
      <c r="Y545" s="1506"/>
      <c r="Z545" s="1481"/>
      <c r="AA545" s="499"/>
      <c r="AB545" s="499"/>
      <c r="AC545" s="499"/>
      <c r="AD545" s="499"/>
      <c r="AE545" s="499"/>
      <c r="AF545" s="499"/>
      <c r="AG545" s="499"/>
      <c r="AH545" s="499"/>
      <c r="AI545" s="1483"/>
      <c r="AJ545" s="1515"/>
      <c r="AK545" s="1515"/>
    </row>
    <row r="546">
      <c r="A546" s="499"/>
      <c r="B546" s="1501"/>
      <c r="C546" s="1502"/>
      <c r="D546" s="1503"/>
      <c r="E546" s="1503"/>
      <c r="F546" s="1504"/>
      <c r="G546" s="1504"/>
      <c r="H546" s="483"/>
      <c r="I546" s="1505"/>
      <c r="J546" s="1516" t="s">
        <v>123</v>
      </c>
      <c r="K546" s="1506"/>
      <c r="L546" s="1506"/>
      <c r="M546" s="1479"/>
      <c r="N546" s="1503"/>
      <c r="O546" s="1503"/>
      <c r="P546" s="1503"/>
      <c r="Q546" s="1503"/>
      <c r="R546" s="1503"/>
      <c r="S546" s="1504"/>
      <c r="T546" s="1504"/>
      <c r="U546" s="483"/>
      <c r="V546" s="1505"/>
      <c r="W546" s="1516" t="s">
        <v>123</v>
      </c>
      <c r="X546" s="1506"/>
      <c r="Y546" s="1506"/>
      <c r="Z546" s="1481"/>
      <c r="AA546" s="499"/>
      <c r="AB546" s="499"/>
      <c r="AC546" s="499"/>
      <c r="AD546" s="499"/>
      <c r="AE546" s="499"/>
      <c r="AF546" s="499"/>
      <c r="AG546" s="499"/>
      <c r="AH546" s="499"/>
      <c r="AI546" s="1483"/>
      <c r="AJ546" s="1515"/>
      <c r="AK546" s="1515"/>
    </row>
    <row r="547">
      <c r="A547" s="499"/>
      <c r="B547" s="1501"/>
      <c r="C547" s="1502"/>
      <c r="D547" s="1503"/>
      <c r="E547" s="1503"/>
      <c r="F547" s="1504"/>
      <c r="G547" s="1504"/>
      <c r="H547" s="483"/>
      <c r="I547" s="1505"/>
      <c r="J547" s="1516" t="s">
        <v>123</v>
      </c>
      <c r="K547" s="1506"/>
      <c r="L547" s="1506"/>
      <c r="M547" s="1479"/>
      <c r="N547" s="1503"/>
      <c r="O547" s="1503"/>
      <c r="P547" s="1503"/>
      <c r="Q547" s="1503"/>
      <c r="R547" s="1503"/>
      <c r="S547" s="1504"/>
      <c r="T547" s="1504"/>
      <c r="U547" s="483"/>
      <c r="V547" s="1505"/>
      <c r="W547" s="1516" t="s">
        <v>123</v>
      </c>
      <c r="X547" s="1506"/>
      <c r="Y547" s="1506"/>
      <c r="Z547" s="1481"/>
      <c r="AA547" s="499"/>
      <c r="AB547" s="499"/>
      <c r="AC547" s="499"/>
      <c r="AD547" s="499"/>
      <c r="AE547" s="499"/>
      <c r="AF547" s="499"/>
      <c r="AG547" s="499"/>
      <c r="AH547" s="499"/>
      <c r="AI547" s="1483"/>
      <c r="AJ547" s="1515"/>
      <c r="AK547" s="1515"/>
    </row>
    <row r="548">
      <c r="A548" s="499"/>
      <c r="B548" s="1501"/>
      <c r="C548" s="1502"/>
      <c r="D548" s="1503"/>
      <c r="E548" s="1503"/>
      <c r="F548" s="1504"/>
      <c r="G548" s="1504"/>
      <c r="H548" s="483"/>
      <c r="I548" s="1505"/>
      <c r="J548" s="1516" t="s">
        <v>123</v>
      </c>
      <c r="K548" s="1506"/>
      <c r="L548" s="1506"/>
      <c r="M548" s="1479"/>
      <c r="N548" s="1503"/>
      <c r="O548" s="1503"/>
      <c r="P548" s="1503"/>
      <c r="Q548" s="1503"/>
      <c r="R548" s="1503"/>
      <c r="S548" s="1504"/>
      <c r="T548" s="1504"/>
      <c r="U548" s="483"/>
      <c r="V548" s="1505"/>
      <c r="W548" s="1516" t="s">
        <v>123</v>
      </c>
      <c r="X548" s="1506"/>
      <c r="Y548" s="1506"/>
      <c r="Z548" s="1481"/>
      <c r="AA548" s="499"/>
      <c r="AB548" s="499"/>
      <c r="AC548" s="499"/>
      <c r="AD548" s="499"/>
      <c r="AE548" s="499"/>
      <c r="AF548" s="499"/>
      <c r="AG548" s="499"/>
      <c r="AH548" s="499"/>
      <c r="AI548" s="1483"/>
      <c r="AJ548" s="1515"/>
      <c r="AK548" s="1515"/>
    </row>
    <row r="549">
      <c r="A549" s="499"/>
      <c r="B549" s="1501"/>
      <c r="C549" s="1502"/>
      <c r="D549" s="1503"/>
      <c r="E549" s="1503"/>
      <c r="F549" s="1504"/>
      <c r="G549" s="1504"/>
      <c r="H549" s="483"/>
      <c r="I549" s="1505"/>
      <c r="J549" s="1516" t="s">
        <v>123</v>
      </c>
      <c r="K549" s="1506"/>
      <c r="L549" s="1506"/>
      <c r="M549" s="1479"/>
      <c r="N549" s="1503"/>
      <c r="O549" s="1503"/>
      <c r="P549" s="1503"/>
      <c r="Q549" s="1503"/>
      <c r="R549" s="1503"/>
      <c r="S549" s="1504"/>
      <c r="T549" s="1504"/>
      <c r="U549" s="483"/>
      <c r="V549" s="1505"/>
      <c r="W549" s="1516" t="s">
        <v>123</v>
      </c>
      <c r="X549" s="1506"/>
      <c r="Y549" s="1506"/>
      <c r="Z549" s="1481"/>
      <c r="AA549" s="499"/>
      <c r="AB549" s="499"/>
      <c r="AC549" s="499"/>
      <c r="AD549" s="499"/>
      <c r="AE549" s="499"/>
      <c r="AF549" s="499"/>
      <c r="AG549" s="499"/>
      <c r="AH549" s="499"/>
      <c r="AI549" s="1483"/>
      <c r="AJ549" s="1515"/>
      <c r="AK549" s="1515"/>
    </row>
    <row r="550">
      <c r="A550" s="499"/>
      <c r="B550" s="1501"/>
      <c r="C550" s="1502"/>
      <c r="D550" s="1503"/>
      <c r="E550" s="1503"/>
      <c r="F550" s="1504"/>
      <c r="G550" s="1504"/>
      <c r="H550" s="483"/>
      <c r="I550" s="1505"/>
      <c r="J550" s="1516" t="s">
        <v>123</v>
      </c>
      <c r="K550" s="1506"/>
      <c r="L550" s="1506"/>
      <c r="M550" s="1479"/>
      <c r="N550" s="1503"/>
      <c r="O550" s="1503"/>
      <c r="P550" s="1503"/>
      <c r="Q550" s="1503"/>
      <c r="R550" s="1503"/>
      <c r="S550" s="1504"/>
      <c r="T550" s="1504"/>
      <c r="U550" s="483"/>
      <c r="V550" s="1505"/>
      <c r="W550" s="1516" t="s">
        <v>123</v>
      </c>
      <c r="X550" s="1506"/>
      <c r="Y550" s="1506"/>
      <c r="Z550" s="1481"/>
      <c r="AA550" s="499"/>
      <c r="AB550" s="499"/>
      <c r="AC550" s="499"/>
      <c r="AD550" s="499"/>
      <c r="AE550" s="499"/>
      <c r="AF550" s="499"/>
      <c r="AG550" s="499"/>
      <c r="AH550" s="499"/>
      <c r="AI550" s="1483"/>
      <c r="AJ550" s="1515"/>
      <c r="AK550" s="1515"/>
    </row>
    <row r="551">
      <c r="A551" s="499"/>
      <c r="B551" s="1501"/>
      <c r="C551" s="1502"/>
      <c r="D551" s="1503"/>
      <c r="E551" s="1503"/>
      <c r="F551" s="1504"/>
      <c r="G551" s="1504"/>
      <c r="H551" s="483"/>
      <c r="I551" s="1505"/>
      <c r="J551" s="1516" t="s">
        <v>123</v>
      </c>
      <c r="K551" s="1506"/>
      <c r="L551" s="1506"/>
      <c r="M551" s="1479"/>
      <c r="N551" s="1503"/>
      <c r="O551" s="1503"/>
      <c r="P551" s="1503"/>
      <c r="Q551" s="1503"/>
      <c r="R551" s="1503"/>
      <c r="S551" s="1504"/>
      <c r="T551" s="1504"/>
      <c r="U551" s="483"/>
      <c r="V551" s="1505"/>
      <c r="W551" s="1516" t="s">
        <v>123</v>
      </c>
      <c r="X551" s="1506"/>
      <c r="Y551" s="1506"/>
      <c r="Z551" s="1481"/>
      <c r="AA551" s="499"/>
      <c r="AB551" s="499"/>
      <c r="AC551" s="499"/>
      <c r="AD551" s="499"/>
      <c r="AE551" s="499"/>
      <c r="AF551" s="499"/>
      <c r="AG551" s="499"/>
      <c r="AH551" s="499"/>
      <c r="AI551" s="1483"/>
      <c r="AJ551" s="1515"/>
      <c r="AK551" s="1515"/>
    </row>
    <row r="552">
      <c r="A552" s="499"/>
      <c r="B552" s="1501"/>
      <c r="C552" s="1502"/>
      <c r="D552" s="1503"/>
      <c r="E552" s="1503"/>
      <c r="F552" s="1504"/>
      <c r="G552" s="1504"/>
      <c r="H552" s="483"/>
      <c r="I552" s="1505"/>
      <c r="J552" s="1516" t="s">
        <v>123</v>
      </c>
      <c r="K552" s="1506"/>
      <c r="L552" s="1506"/>
      <c r="M552" s="1479"/>
      <c r="N552" s="1503"/>
      <c r="O552" s="1503"/>
      <c r="P552" s="1503"/>
      <c r="Q552" s="1503"/>
      <c r="R552" s="1503"/>
      <c r="S552" s="1504"/>
      <c r="T552" s="1504"/>
      <c r="U552" s="483"/>
      <c r="V552" s="1505"/>
      <c r="W552" s="1516" t="s">
        <v>123</v>
      </c>
      <c r="X552" s="1506"/>
      <c r="Y552" s="1506"/>
      <c r="Z552" s="1481"/>
      <c r="AA552" s="499"/>
      <c r="AB552" s="499"/>
      <c r="AC552" s="499"/>
      <c r="AD552" s="499"/>
      <c r="AE552" s="499"/>
      <c r="AF552" s="499"/>
      <c r="AG552" s="499"/>
      <c r="AH552" s="499"/>
      <c r="AI552" s="1483"/>
      <c r="AJ552" s="1515"/>
      <c r="AK552" s="1515"/>
    </row>
    <row r="553">
      <c r="A553" s="499"/>
      <c r="B553" s="1501"/>
      <c r="C553" s="1502"/>
      <c r="D553" s="1503"/>
      <c r="E553" s="1503"/>
      <c r="F553" s="1504"/>
      <c r="G553" s="1504"/>
      <c r="H553" s="483"/>
      <c r="I553" s="1505"/>
      <c r="J553" s="1516" t="s">
        <v>123</v>
      </c>
      <c r="K553" s="1506"/>
      <c r="L553" s="1506"/>
      <c r="M553" s="1479"/>
      <c r="N553" s="1503"/>
      <c r="O553" s="1503"/>
      <c r="P553" s="1503"/>
      <c r="Q553" s="1503"/>
      <c r="R553" s="1503"/>
      <c r="S553" s="1504"/>
      <c r="T553" s="1504"/>
      <c r="U553" s="483"/>
      <c r="V553" s="1505"/>
      <c r="W553" s="1516" t="s">
        <v>123</v>
      </c>
      <c r="X553" s="1506"/>
      <c r="Y553" s="1506"/>
      <c r="Z553" s="1481"/>
      <c r="AA553" s="499"/>
      <c r="AB553" s="499"/>
      <c r="AC553" s="499"/>
      <c r="AD553" s="499"/>
      <c r="AE553" s="499"/>
      <c r="AF553" s="499"/>
      <c r="AG553" s="499"/>
      <c r="AH553" s="499"/>
      <c r="AI553" s="1483"/>
      <c r="AJ553" s="1515"/>
      <c r="AK553" s="1515"/>
    </row>
    <row r="554">
      <c r="A554" s="499"/>
      <c r="B554" s="1501"/>
      <c r="C554" s="1502"/>
      <c r="D554" s="1503"/>
      <c r="E554" s="1503"/>
      <c r="F554" s="1504"/>
      <c r="G554" s="1504"/>
      <c r="H554" s="483"/>
      <c r="I554" s="1505"/>
      <c r="J554" s="1516" t="s">
        <v>123</v>
      </c>
      <c r="K554" s="1506"/>
      <c r="L554" s="1506"/>
      <c r="M554" s="1479"/>
      <c r="N554" s="1503"/>
      <c r="O554" s="1503"/>
      <c r="P554" s="1503"/>
      <c r="Q554" s="1503"/>
      <c r="R554" s="1503"/>
      <c r="S554" s="1504"/>
      <c r="T554" s="1504"/>
      <c r="U554" s="483"/>
      <c r="V554" s="1505"/>
      <c r="W554" s="1516" t="s">
        <v>123</v>
      </c>
      <c r="X554" s="1506"/>
      <c r="Y554" s="1506"/>
      <c r="Z554" s="1481"/>
      <c r="AA554" s="499"/>
      <c r="AB554" s="499"/>
      <c r="AC554" s="499"/>
      <c r="AD554" s="499"/>
      <c r="AE554" s="499"/>
      <c r="AF554" s="499"/>
      <c r="AG554" s="499"/>
      <c r="AH554" s="499"/>
      <c r="AI554" s="1483"/>
      <c r="AJ554" s="1515"/>
      <c r="AK554" s="1515"/>
    </row>
    <row r="555">
      <c r="A555" s="499"/>
      <c r="B555" s="1501"/>
      <c r="C555" s="1502"/>
      <c r="D555" s="1503"/>
      <c r="E555" s="1503"/>
      <c r="F555" s="1504"/>
      <c r="G555" s="1504"/>
      <c r="H555" s="483"/>
      <c r="I555" s="1505"/>
      <c r="J555" s="1516" t="s">
        <v>123</v>
      </c>
      <c r="K555" s="1506"/>
      <c r="L555" s="1506"/>
      <c r="M555" s="1479"/>
      <c r="N555" s="1503"/>
      <c r="O555" s="1503"/>
      <c r="P555" s="1503"/>
      <c r="Q555" s="1503"/>
      <c r="R555" s="1503"/>
      <c r="S555" s="1504"/>
      <c r="T555" s="1504"/>
      <c r="U555" s="483"/>
      <c r="V555" s="1505"/>
      <c r="W555" s="1516" t="s">
        <v>123</v>
      </c>
      <c r="X555" s="1506"/>
      <c r="Y555" s="1506"/>
      <c r="Z555" s="1481"/>
      <c r="AA555" s="499"/>
      <c r="AB555" s="499"/>
      <c r="AC555" s="499"/>
      <c r="AD555" s="499"/>
      <c r="AE555" s="499"/>
      <c r="AF555" s="499"/>
      <c r="AG555" s="499"/>
      <c r="AH555" s="499"/>
      <c r="AI555" s="1483"/>
      <c r="AJ555" s="1515"/>
      <c r="AK555" s="1515"/>
    </row>
    <row r="556">
      <c r="A556" s="499"/>
      <c r="B556" s="1501"/>
      <c r="C556" s="1502"/>
      <c r="D556" s="1503"/>
      <c r="E556" s="1503"/>
      <c r="F556" s="1504"/>
      <c r="G556" s="1504"/>
      <c r="H556" s="483"/>
      <c r="I556" s="1505"/>
      <c r="J556" s="1516" t="s">
        <v>123</v>
      </c>
      <c r="K556" s="1506"/>
      <c r="L556" s="1506"/>
      <c r="M556" s="1479"/>
      <c r="N556" s="1503"/>
      <c r="O556" s="1503"/>
      <c r="P556" s="1503"/>
      <c r="Q556" s="1503"/>
      <c r="R556" s="1503"/>
      <c r="S556" s="1504"/>
      <c r="T556" s="1504"/>
      <c r="U556" s="483"/>
      <c r="V556" s="1505"/>
      <c r="W556" s="1516" t="s">
        <v>123</v>
      </c>
      <c r="X556" s="1506"/>
      <c r="Y556" s="1506"/>
      <c r="Z556" s="1481"/>
      <c r="AA556" s="499"/>
      <c r="AB556" s="499"/>
      <c r="AC556" s="499"/>
      <c r="AD556" s="499"/>
      <c r="AE556" s="499"/>
      <c r="AF556" s="499"/>
      <c r="AG556" s="499"/>
      <c r="AH556" s="499"/>
      <c r="AI556" s="1483"/>
      <c r="AJ556" s="1515"/>
      <c r="AK556" s="1515"/>
    </row>
    <row r="557">
      <c r="A557" s="499"/>
      <c r="B557" s="1501"/>
      <c r="C557" s="1502"/>
      <c r="D557" s="1503"/>
      <c r="E557" s="1503"/>
      <c r="F557" s="1504"/>
      <c r="G557" s="1504"/>
      <c r="H557" s="483"/>
      <c r="I557" s="1505"/>
      <c r="J557" s="1516" t="s">
        <v>123</v>
      </c>
      <c r="K557" s="1506"/>
      <c r="L557" s="1506"/>
      <c r="M557" s="1479"/>
      <c r="N557" s="1503"/>
      <c r="O557" s="1503"/>
      <c r="P557" s="1503"/>
      <c r="Q557" s="1503"/>
      <c r="R557" s="1503"/>
      <c r="S557" s="1504"/>
      <c r="T557" s="1504"/>
      <c r="U557" s="483"/>
      <c r="V557" s="1505"/>
      <c r="W557" s="1516" t="s">
        <v>123</v>
      </c>
      <c r="X557" s="1506"/>
      <c r="Y557" s="1506"/>
      <c r="Z557" s="1481"/>
      <c r="AA557" s="499"/>
      <c r="AB557" s="499"/>
      <c r="AC557" s="499"/>
      <c r="AD557" s="499"/>
      <c r="AE557" s="499"/>
      <c r="AF557" s="499"/>
      <c r="AG557" s="499"/>
      <c r="AH557" s="499"/>
      <c r="AI557" s="1483"/>
      <c r="AJ557" s="1515"/>
      <c r="AK557" s="1515"/>
    </row>
    <row r="558">
      <c r="A558" s="499"/>
      <c r="B558" s="1501"/>
      <c r="C558" s="1502"/>
      <c r="D558" s="1503"/>
      <c r="E558" s="1503"/>
      <c r="F558" s="1504"/>
      <c r="G558" s="1504"/>
      <c r="H558" s="483"/>
      <c r="I558" s="1505"/>
      <c r="J558" s="1516" t="s">
        <v>123</v>
      </c>
      <c r="K558" s="1506"/>
      <c r="L558" s="1506"/>
      <c r="M558" s="1479"/>
      <c r="N558" s="1503"/>
      <c r="O558" s="1503"/>
      <c r="P558" s="1503"/>
      <c r="Q558" s="1503"/>
      <c r="R558" s="1503"/>
      <c r="S558" s="1504"/>
      <c r="T558" s="1504"/>
      <c r="U558" s="483"/>
      <c r="V558" s="1505"/>
      <c r="W558" s="1516" t="s">
        <v>123</v>
      </c>
      <c r="X558" s="1506"/>
      <c r="Y558" s="1506"/>
      <c r="Z558" s="1481"/>
      <c r="AA558" s="499"/>
      <c r="AB558" s="499"/>
      <c r="AC558" s="499"/>
      <c r="AD558" s="499"/>
      <c r="AE558" s="499"/>
      <c r="AF558" s="499"/>
      <c r="AG558" s="499"/>
      <c r="AH558" s="499"/>
      <c r="AI558" s="1483"/>
      <c r="AJ558" s="1515"/>
      <c r="AK558" s="1515"/>
    </row>
    <row r="559">
      <c r="A559" s="499"/>
      <c r="B559" s="1501"/>
      <c r="C559" s="1502"/>
      <c r="D559" s="1503"/>
      <c r="E559" s="1503"/>
      <c r="F559" s="1504"/>
      <c r="G559" s="1504"/>
      <c r="H559" s="483"/>
      <c r="I559" s="1505"/>
      <c r="J559" s="1516" t="s">
        <v>123</v>
      </c>
      <c r="K559" s="1506"/>
      <c r="L559" s="1506"/>
      <c r="M559" s="1479"/>
      <c r="N559" s="1503"/>
      <c r="O559" s="1503"/>
      <c r="P559" s="1503"/>
      <c r="Q559" s="1503"/>
      <c r="R559" s="1503"/>
      <c r="S559" s="1504"/>
      <c r="T559" s="1504"/>
      <c r="U559" s="483"/>
      <c r="V559" s="1505"/>
      <c r="W559" s="1516" t="s">
        <v>123</v>
      </c>
      <c r="X559" s="1506"/>
      <c r="Y559" s="1506"/>
      <c r="Z559" s="1481"/>
      <c r="AA559" s="499"/>
      <c r="AB559" s="499"/>
      <c r="AC559" s="499"/>
      <c r="AD559" s="499"/>
      <c r="AE559" s="499"/>
      <c r="AF559" s="499"/>
      <c r="AG559" s="499"/>
      <c r="AH559" s="499"/>
      <c r="AI559" s="1483"/>
      <c r="AJ559" s="1515"/>
      <c r="AK559" s="1515"/>
    </row>
    <row r="560">
      <c r="A560" s="499"/>
      <c r="B560" s="1501"/>
      <c r="C560" s="1502"/>
      <c r="D560" s="1503"/>
      <c r="E560" s="1503"/>
      <c r="F560" s="1504"/>
      <c r="G560" s="1504"/>
      <c r="H560" s="483"/>
      <c r="I560" s="1505"/>
      <c r="J560" s="1516" t="s">
        <v>123</v>
      </c>
      <c r="K560" s="1506"/>
      <c r="L560" s="1506"/>
      <c r="M560" s="1479"/>
      <c r="N560" s="1503"/>
      <c r="O560" s="1503"/>
      <c r="P560" s="1503"/>
      <c r="Q560" s="1503"/>
      <c r="R560" s="1503"/>
      <c r="S560" s="1504"/>
      <c r="T560" s="1504"/>
      <c r="U560" s="483"/>
      <c r="V560" s="1505"/>
      <c r="W560" s="1516" t="s">
        <v>123</v>
      </c>
      <c r="X560" s="1506"/>
      <c r="Y560" s="1506"/>
      <c r="Z560" s="1481"/>
      <c r="AA560" s="499"/>
      <c r="AB560" s="499"/>
      <c r="AC560" s="499"/>
      <c r="AD560" s="499"/>
      <c r="AE560" s="499"/>
      <c r="AF560" s="499"/>
      <c r="AG560" s="499"/>
      <c r="AH560" s="499"/>
      <c r="AI560" s="1483"/>
      <c r="AJ560" s="1515"/>
      <c r="AK560" s="1515"/>
    </row>
    <row r="561">
      <c r="A561" s="499"/>
      <c r="B561" s="1501"/>
      <c r="C561" s="1502"/>
      <c r="D561" s="1503"/>
      <c r="E561" s="1503"/>
      <c r="F561" s="1504"/>
      <c r="G561" s="1504"/>
      <c r="H561" s="483"/>
      <c r="I561" s="1505"/>
      <c r="J561" s="1516" t="s">
        <v>123</v>
      </c>
      <c r="K561" s="1506"/>
      <c r="L561" s="1506"/>
      <c r="M561" s="1479"/>
      <c r="N561" s="1503"/>
      <c r="O561" s="1503"/>
      <c r="P561" s="1503"/>
      <c r="Q561" s="1503"/>
      <c r="R561" s="1503"/>
      <c r="S561" s="1504"/>
      <c r="T561" s="1504"/>
      <c r="U561" s="483"/>
      <c r="V561" s="1505"/>
      <c r="W561" s="1516" t="s">
        <v>123</v>
      </c>
      <c r="X561" s="1506"/>
      <c r="Y561" s="1506"/>
      <c r="Z561" s="1481"/>
      <c r="AA561" s="499"/>
      <c r="AB561" s="499"/>
      <c r="AC561" s="499"/>
      <c r="AD561" s="499"/>
      <c r="AE561" s="499"/>
      <c r="AF561" s="499"/>
      <c r="AG561" s="499"/>
      <c r="AH561" s="499"/>
      <c r="AI561" s="1483"/>
      <c r="AJ561" s="1515"/>
      <c r="AK561" s="1515"/>
    </row>
    <row r="562">
      <c r="A562" s="499"/>
      <c r="B562" s="1501"/>
      <c r="C562" s="1502"/>
      <c r="D562" s="1503"/>
      <c r="E562" s="1503"/>
      <c r="F562" s="1504"/>
      <c r="G562" s="1504"/>
      <c r="H562" s="483"/>
      <c r="I562" s="1505"/>
      <c r="J562" s="1516" t="s">
        <v>123</v>
      </c>
      <c r="K562" s="1506"/>
      <c r="L562" s="1506"/>
      <c r="M562" s="1479"/>
      <c r="N562" s="1503"/>
      <c r="O562" s="1503"/>
      <c r="P562" s="1503"/>
      <c r="Q562" s="1503"/>
      <c r="R562" s="1503"/>
      <c r="S562" s="1504"/>
      <c r="T562" s="1504"/>
      <c r="U562" s="483"/>
      <c r="V562" s="1505"/>
      <c r="W562" s="1516" t="s">
        <v>123</v>
      </c>
      <c r="X562" s="1506"/>
      <c r="Y562" s="1506"/>
      <c r="Z562" s="1481"/>
      <c r="AA562" s="499"/>
      <c r="AB562" s="499"/>
      <c r="AC562" s="499"/>
      <c r="AD562" s="499"/>
      <c r="AE562" s="499"/>
      <c r="AF562" s="499"/>
      <c r="AG562" s="499"/>
      <c r="AH562" s="499"/>
      <c r="AI562" s="1483"/>
      <c r="AJ562" s="1515"/>
      <c r="AK562" s="1515"/>
    </row>
    <row r="563">
      <c r="A563" s="499"/>
      <c r="B563" s="1501"/>
      <c r="C563" s="1502"/>
      <c r="D563" s="1503"/>
      <c r="E563" s="1503"/>
      <c r="F563" s="1504"/>
      <c r="G563" s="1504"/>
      <c r="H563" s="483"/>
      <c r="I563" s="1505"/>
      <c r="J563" s="1516" t="s">
        <v>123</v>
      </c>
      <c r="K563" s="1506"/>
      <c r="L563" s="1506"/>
      <c r="M563" s="1479"/>
      <c r="N563" s="1503"/>
      <c r="O563" s="1503"/>
      <c r="P563" s="1503"/>
      <c r="Q563" s="1503"/>
      <c r="R563" s="1503"/>
      <c r="S563" s="1504"/>
      <c r="T563" s="1504"/>
      <c r="U563" s="483"/>
      <c r="V563" s="1505"/>
      <c r="W563" s="1516" t="s">
        <v>123</v>
      </c>
      <c r="X563" s="1506"/>
      <c r="Y563" s="1506"/>
      <c r="Z563" s="1481"/>
      <c r="AA563" s="499"/>
      <c r="AB563" s="499"/>
      <c r="AC563" s="499"/>
      <c r="AD563" s="499"/>
      <c r="AE563" s="499"/>
      <c r="AF563" s="499"/>
      <c r="AG563" s="499"/>
      <c r="AH563" s="499"/>
      <c r="AI563" s="1483"/>
      <c r="AJ563" s="1515"/>
      <c r="AK563" s="1515"/>
    </row>
    <row r="564">
      <c r="A564" s="499"/>
      <c r="B564" s="1501"/>
      <c r="C564" s="1502"/>
      <c r="D564" s="1503"/>
      <c r="E564" s="1503"/>
      <c r="F564" s="1504"/>
      <c r="G564" s="1504"/>
      <c r="H564" s="483"/>
      <c r="I564" s="1505"/>
      <c r="J564" s="1516" t="s">
        <v>123</v>
      </c>
      <c r="K564" s="1506"/>
      <c r="L564" s="1506"/>
      <c r="M564" s="1479"/>
      <c r="N564" s="1503"/>
      <c r="O564" s="1503"/>
      <c r="P564" s="1503"/>
      <c r="Q564" s="1503"/>
      <c r="R564" s="1503"/>
      <c r="S564" s="1504"/>
      <c r="T564" s="1504"/>
      <c r="U564" s="483"/>
      <c r="V564" s="1505"/>
      <c r="W564" s="1516" t="s">
        <v>123</v>
      </c>
      <c r="X564" s="1506"/>
      <c r="Y564" s="1506"/>
      <c r="Z564" s="1481"/>
      <c r="AA564" s="499"/>
      <c r="AB564" s="499"/>
      <c r="AC564" s="499"/>
      <c r="AD564" s="499"/>
      <c r="AE564" s="499"/>
      <c r="AF564" s="499"/>
      <c r="AG564" s="499"/>
      <c r="AH564" s="499"/>
      <c r="AI564" s="1483"/>
      <c r="AJ564" s="1515"/>
      <c r="AK564" s="1515"/>
    </row>
    <row r="565">
      <c r="A565" s="499"/>
      <c r="B565" s="1501"/>
      <c r="C565" s="1502"/>
      <c r="D565" s="1503"/>
      <c r="E565" s="1503"/>
      <c r="F565" s="1504"/>
      <c r="G565" s="1504"/>
      <c r="H565" s="483"/>
      <c r="I565" s="1505"/>
      <c r="J565" s="1516" t="s">
        <v>123</v>
      </c>
      <c r="K565" s="1506"/>
      <c r="L565" s="1506"/>
      <c r="M565" s="1479"/>
      <c r="N565" s="1503"/>
      <c r="O565" s="1503"/>
      <c r="P565" s="1503"/>
      <c r="Q565" s="1503"/>
      <c r="R565" s="1503"/>
      <c r="S565" s="1504"/>
      <c r="T565" s="1504"/>
      <c r="U565" s="483"/>
      <c r="V565" s="1505"/>
      <c r="W565" s="1516" t="s">
        <v>123</v>
      </c>
      <c r="X565" s="1506"/>
      <c r="Y565" s="1506"/>
      <c r="Z565" s="1481"/>
      <c r="AA565" s="499"/>
      <c r="AB565" s="499"/>
      <c r="AC565" s="499"/>
      <c r="AD565" s="499"/>
      <c r="AE565" s="499"/>
      <c r="AF565" s="499"/>
      <c r="AG565" s="499"/>
      <c r="AH565" s="499"/>
      <c r="AI565" s="1483"/>
      <c r="AJ565" s="1515"/>
      <c r="AK565" s="1515"/>
    </row>
    <row r="566">
      <c r="A566" s="499"/>
      <c r="B566" s="1501"/>
      <c r="C566" s="1502"/>
      <c r="D566" s="1503"/>
      <c r="E566" s="1503"/>
      <c r="F566" s="1504"/>
      <c r="G566" s="1504"/>
      <c r="H566" s="483"/>
      <c r="I566" s="1505"/>
      <c r="J566" s="1516" t="s">
        <v>123</v>
      </c>
      <c r="K566" s="1506"/>
      <c r="L566" s="1506"/>
      <c r="M566" s="1479"/>
      <c r="N566" s="1503"/>
      <c r="O566" s="1503"/>
      <c r="P566" s="1503"/>
      <c r="Q566" s="1503"/>
      <c r="R566" s="1503"/>
      <c r="S566" s="1504"/>
      <c r="T566" s="1504"/>
      <c r="U566" s="483"/>
      <c r="V566" s="1505"/>
      <c r="W566" s="1516" t="s">
        <v>123</v>
      </c>
      <c r="X566" s="1506"/>
      <c r="Y566" s="1506"/>
      <c r="Z566" s="1481"/>
      <c r="AA566" s="499"/>
      <c r="AB566" s="499"/>
      <c r="AC566" s="499"/>
      <c r="AD566" s="499"/>
      <c r="AE566" s="499"/>
      <c r="AF566" s="499"/>
      <c r="AG566" s="499"/>
      <c r="AH566" s="499"/>
      <c r="AI566" s="1483"/>
      <c r="AJ566" s="1515"/>
      <c r="AK566" s="1515"/>
    </row>
    <row r="567">
      <c r="A567" s="499"/>
      <c r="B567" s="1501"/>
      <c r="C567" s="1502"/>
      <c r="D567" s="1503"/>
      <c r="E567" s="1503"/>
      <c r="F567" s="1504"/>
      <c r="G567" s="1504"/>
      <c r="H567" s="483"/>
      <c r="I567" s="1505"/>
      <c r="J567" s="1516" t="s">
        <v>123</v>
      </c>
      <c r="K567" s="1506"/>
      <c r="L567" s="1506"/>
      <c r="M567" s="1479"/>
      <c r="N567" s="1503"/>
      <c r="O567" s="1503"/>
      <c r="P567" s="1503"/>
      <c r="Q567" s="1503"/>
      <c r="R567" s="1503"/>
      <c r="S567" s="1504"/>
      <c r="T567" s="1504"/>
      <c r="U567" s="483"/>
      <c r="V567" s="1505"/>
      <c r="W567" s="1516" t="s">
        <v>123</v>
      </c>
      <c r="X567" s="1506"/>
      <c r="Y567" s="1506"/>
      <c r="Z567" s="1481"/>
      <c r="AA567" s="499"/>
      <c r="AB567" s="499"/>
      <c r="AC567" s="499"/>
      <c r="AD567" s="499"/>
      <c r="AE567" s="499"/>
      <c r="AF567" s="499"/>
      <c r="AG567" s="499"/>
      <c r="AH567" s="499"/>
      <c r="AI567" s="1483"/>
      <c r="AJ567" s="1515"/>
      <c r="AK567" s="1515"/>
    </row>
    <row r="568">
      <c r="A568" s="499"/>
      <c r="B568" s="1501"/>
      <c r="C568" s="1502"/>
      <c r="D568" s="1503"/>
      <c r="E568" s="1503"/>
      <c r="F568" s="1504"/>
      <c r="G568" s="1504"/>
      <c r="H568" s="483"/>
      <c r="I568" s="1505"/>
      <c r="J568" s="1516" t="s">
        <v>123</v>
      </c>
      <c r="K568" s="1506"/>
      <c r="L568" s="1506"/>
      <c r="M568" s="1479"/>
      <c r="N568" s="1503"/>
      <c r="O568" s="1503"/>
      <c r="P568" s="1503"/>
      <c r="Q568" s="1503"/>
      <c r="R568" s="1503"/>
      <c r="S568" s="1504"/>
      <c r="T568" s="1504"/>
      <c r="U568" s="483"/>
      <c r="V568" s="1505"/>
      <c r="W568" s="1516" t="s">
        <v>123</v>
      </c>
      <c r="X568" s="1506"/>
      <c r="Y568" s="1506"/>
      <c r="Z568" s="1481"/>
      <c r="AA568" s="499"/>
      <c r="AB568" s="499"/>
      <c r="AC568" s="499"/>
      <c r="AD568" s="499"/>
      <c r="AE568" s="499"/>
      <c r="AF568" s="499"/>
      <c r="AG568" s="499"/>
      <c r="AH568" s="499"/>
      <c r="AI568" s="1483"/>
      <c r="AJ568" s="1515"/>
      <c r="AK568" s="1515"/>
    </row>
    <row r="569">
      <c r="A569" s="499"/>
      <c r="B569" s="1501"/>
      <c r="C569" s="1502"/>
      <c r="D569" s="1503"/>
      <c r="E569" s="1503"/>
      <c r="F569" s="1504"/>
      <c r="G569" s="1504"/>
      <c r="H569" s="483"/>
      <c r="I569" s="1505"/>
      <c r="J569" s="1516" t="s">
        <v>123</v>
      </c>
      <c r="K569" s="1506"/>
      <c r="L569" s="1506"/>
      <c r="M569" s="1479"/>
      <c r="N569" s="1503"/>
      <c r="O569" s="1503"/>
      <c r="P569" s="1503"/>
      <c r="Q569" s="1503"/>
      <c r="R569" s="1503"/>
      <c r="S569" s="1504"/>
      <c r="T569" s="1504"/>
      <c r="U569" s="483"/>
      <c r="V569" s="1505"/>
      <c r="W569" s="1516" t="s">
        <v>123</v>
      </c>
      <c r="X569" s="1506"/>
      <c r="Y569" s="1506"/>
      <c r="Z569" s="1481"/>
      <c r="AA569" s="499"/>
      <c r="AB569" s="499"/>
      <c r="AC569" s="499"/>
      <c r="AD569" s="499"/>
      <c r="AE569" s="499"/>
      <c r="AF569" s="499"/>
      <c r="AG569" s="499"/>
      <c r="AH569" s="499"/>
      <c r="AI569" s="1483"/>
      <c r="AJ569" s="1515"/>
      <c r="AK569" s="1515"/>
    </row>
    <row r="570">
      <c r="A570" s="499"/>
      <c r="B570" s="1501"/>
      <c r="C570" s="1502"/>
      <c r="D570" s="1503"/>
      <c r="E570" s="1503"/>
      <c r="F570" s="1504"/>
      <c r="G570" s="1504"/>
      <c r="H570" s="483"/>
      <c r="I570" s="1505"/>
      <c r="J570" s="1516" t="s">
        <v>123</v>
      </c>
      <c r="K570" s="1506"/>
      <c r="L570" s="1506"/>
      <c r="M570" s="1479"/>
      <c r="N570" s="1503"/>
      <c r="O570" s="1503"/>
      <c r="P570" s="1503"/>
      <c r="Q570" s="1503"/>
      <c r="R570" s="1503"/>
      <c r="S570" s="1504"/>
      <c r="T570" s="1504"/>
      <c r="U570" s="483"/>
      <c r="V570" s="1505"/>
      <c r="W570" s="1516" t="s">
        <v>123</v>
      </c>
      <c r="X570" s="1506"/>
      <c r="Y570" s="1506"/>
      <c r="Z570" s="1481"/>
      <c r="AA570" s="499"/>
      <c r="AB570" s="499"/>
      <c r="AC570" s="499"/>
      <c r="AD570" s="499"/>
      <c r="AE570" s="499"/>
      <c r="AF570" s="499"/>
      <c r="AG570" s="499"/>
      <c r="AH570" s="499"/>
      <c r="AI570" s="1483"/>
      <c r="AJ570" s="1515"/>
      <c r="AK570" s="1515"/>
    </row>
    <row r="571">
      <c r="A571" s="499"/>
      <c r="B571" s="1501"/>
      <c r="C571" s="1502"/>
      <c r="D571" s="1503"/>
      <c r="E571" s="1503"/>
      <c r="F571" s="1504"/>
      <c r="G571" s="1504"/>
      <c r="H571" s="483"/>
      <c r="I571" s="1505"/>
      <c r="J571" s="1516" t="s">
        <v>123</v>
      </c>
      <c r="K571" s="1506"/>
      <c r="L571" s="1506"/>
      <c r="M571" s="1479"/>
      <c r="N571" s="1503"/>
      <c r="O571" s="1503"/>
      <c r="P571" s="1503"/>
      <c r="Q571" s="1503"/>
      <c r="R571" s="1503"/>
      <c r="S571" s="1504"/>
      <c r="T571" s="1504"/>
      <c r="U571" s="483"/>
      <c r="V571" s="1505"/>
      <c r="W571" s="1516" t="s">
        <v>123</v>
      </c>
      <c r="X571" s="1506"/>
      <c r="Y571" s="1506"/>
      <c r="Z571" s="1481"/>
      <c r="AA571" s="499"/>
      <c r="AB571" s="499"/>
      <c r="AC571" s="499"/>
      <c r="AD571" s="499"/>
      <c r="AE571" s="499"/>
      <c r="AF571" s="499"/>
      <c r="AG571" s="499"/>
      <c r="AH571" s="499"/>
      <c r="AI571" s="1483"/>
      <c r="AJ571" s="1515"/>
      <c r="AK571" s="1515"/>
    </row>
    <row r="572">
      <c r="A572" s="499"/>
      <c r="B572" s="1501"/>
      <c r="C572" s="1502"/>
      <c r="D572" s="1503"/>
      <c r="E572" s="1503"/>
      <c r="F572" s="1504"/>
      <c r="G572" s="1504"/>
      <c r="H572" s="483"/>
      <c r="I572" s="1505"/>
      <c r="J572" s="1516" t="s">
        <v>123</v>
      </c>
      <c r="K572" s="1506"/>
      <c r="L572" s="1506"/>
      <c r="M572" s="1479"/>
      <c r="N572" s="1503"/>
      <c r="O572" s="1503"/>
      <c r="P572" s="1503"/>
      <c r="Q572" s="1503"/>
      <c r="R572" s="1503"/>
      <c r="S572" s="1504"/>
      <c r="T572" s="1504"/>
      <c r="U572" s="483"/>
      <c r="V572" s="1505"/>
      <c r="W572" s="1516" t="s">
        <v>123</v>
      </c>
      <c r="X572" s="1506"/>
      <c r="Y572" s="1506"/>
      <c r="Z572" s="1481"/>
      <c r="AA572" s="499"/>
      <c r="AB572" s="499"/>
      <c r="AC572" s="499"/>
      <c r="AD572" s="499"/>
      <c r="AE572" s="499"/>
      <c r="AF572" s="499"/>
      <c r="AG572" s="499"/>
      <c r="AH572" s="499"/>
      <c r="AI572" s="1483"/>
      <c r="AJ572" s="1515"/>
      <c r="AK572" s="1515"/>
    </row>
    <row r="573">
      <c r="A573" s="499"/>
      <c r="B573" s="1501"/>
      <c r="C573" s="1502"/>
      <c r="D573" s="1503"/>
      <c r="E573" s="1503"/>
      <c r="F573" s="1504"/>
      <c r="G573" s="1504"/>
      <c r="H573" s="483"/>
      <c r="I573" s="1505"/>
      <c r="J573" s="1516" t="s">
        <v>123</v>
      </c>
      <c r="K573" s="1506"/>
      <c r="L573" s="1506"/>
      <c r="M573" s="1479"/>
      <c r="N573" s="1503"/>
      <c r="O573" s="1503"/>
      <c r="P573" s="1503"/>
      <c r="Q573" s="1503"/>
      <c r="R573" s="1503"/>
      <c r="S573" s="1504"/>
      <c r="T573" s="1504"/>
      <c r="U573" s="483"/>
      <c r="V573" s="1505"/>
      <c r="W573" s="1516" t="s">
        <v>123</v>
      </c>
      <c r="X573" s="1506"/>
      <c r="Y573" s="1506"/>
      <c r="Z573" s="1481"/>
      <c r="AA573" s="499"/>
      <c r="AB573" s="499"/>
      <c r="AC573" s="499"/>
      <c r="AD573" s="499"/>
      <c r="AE573" s="499"/>
      <c r="AF573" s="499"/>
      <c r="AG573" s="499"/>
      <c r="AH573" s="499"/>
      <c r="AI573" s="1483"/>
      <c r="AJ573" s="1515"/>
      <c r="AK573" s="1515"/>
    </row>
    <row r="574">
      <c r="A574" s="499"/>
      <c r="B574" s="1501"/>
      <c r="C574" s="1502"/>
      <c r="D574" s="1503"/>
      <c r="E574" s="1503"/>
      <c r="F574" s="1504"/>
      <c r="G574" s="1504"/>
      <c r="H574" s="483"/>
      <c r="I574" s="1505"/>
      <c r="J574" s="1516" t="s">
        <v>123</v>
      </c>
      <c r="K574" s="1506"/>
      <c r="L574" s="1506"/>
      <c r="M574" s="1479"/>
      <c r="N574" s="1503"/>
      <c r="O574" s="1503"/>
      <c r="P574" s="1503"/>
      <c r="Q574" s="1503"/>
      <c r="R574" s="1503"/>
      <c r="S574" s="1504"/>
      <c r="T574" s="1504"/>
      <c r="U574" s="483"/>
      <c r="V574" s="1505"/>
      <c r="W574" s="1516" t="s">
        <v>123</v>
      </c>
      <c r="X574" s="1506"/>
      <c r="Y574" s="1506"/>
      <c r="Z574" s="1481"/>
      <c r="AA574" s="499"/>
      <c r="AB574" s="499"/>
      <c r="AC574" s="499"/>
      <c r="AD574" s="499"/>
      <c r="AE574" s="499"/>
      <c r="AF574" s="499"/>
      <c r="AG574" s="499"/>
      <c r="AH574" s="499"/>
      <c r="AI574" s="1483"/>
      <c r="AJ574" s="1515"/>
      <c r="AK574" s="1515"/>
    </row>
    <row r="575">
      <c r="A575" s="499"/>
      <c r="B575" s="1501"/>
      <c r="C575" s="1502"/>
      <c r="D575" s="1503"/>
      <c r="E575" s="1503"/>
      <c r="F575" s="1504"/>
      <c r="G575" s="1504"/>
      <c r="H575" s="483"/>
      <c r="I575" s="1505"/>
      <c r="J575" s="1516" t="s">
        <v>123</v>
      </c>
      <c r="K575" s="1506"/>
      <c r="L575" s="1506"/>
      <c r="M575" s="1479"/>
      <c r="N575" s="1503"/>
      <c r="O575" s="1503"/>
      <c r="P575" s="1503"/>
      <c r="Q575" s="1503"/>
      <c r="R575" s="1503"/>
      <c r="S575" s="1504"/>
      <c r="T575" s="1504"/>
      <c r="U575" s="483"/>
      <c r="V575" s="1505"/>
      <c r="W575" s="1516" t="s">
        <v>123</v>
      </c>
      <c r="X575" s="1506"/>
      <c r="Y575" s="1506"/>
      <c r="Z575" s="1481"/>
      <c r="AA575" s="499"/>
      <c r="AB575" s="499"/>
      <c r="AC575" s="499"/>
      <c r="AD575" s="499"/>
      <c r="AE575" s="499"/>
      <c r="AF575" s="499"/>
      <c r="AG575" s="499"/>
      <c r="AH575" s="499"/>
      <c r="AI575" s="1483"/>
      <c r="AJ575" s="1515"/>
      <c r="AK575" s="1515"/>
    </row>
    <row r="576">
      <c r="A576" s="499"/>
      <c r="B576" s="1501"/>
      <c r="C576" s="1502"/>
      <c r="D576" s="1503"/>
      <c r="E576" s="1503"/>
      <c r="F576" s="1504"/>
      <c r="G576" s="1504"/>
      <c r="H576" s="483"/>
      <c r="I576" s="1505"/>
      <c r="J576" s="1516" t="s">
        <v>123</v>
      </c>
      <c r="K576" s="1506"/>
      <c r="L576" s="1506"/>
      <c r="M576" s="1479"/>
      <c r="N576" s="1503"/>
      <c r="O576" s="1503"/>
      <c r="P576" s="1503"/>
      <c r="Q576" s="1503"/>
      <c r="R576" s="1503"/>
      <c r="S576" s="1504"/>
      <c r="T576" s="1504"/>
      <c r="U576" s="483"/>
      <c r="V576" s="1505"/>
      <c r="W576" s="1516" t="s">
        <v>123</v>
      </c>
      <c r="X576" s="1506"/>
      <c r="Y576" s="1506"/>
      <c r="Z576" s="1481"/>
      <c r="AA576" s="499"/>
      <c r="AB576" s="499"/>
      <c r="AC576" s="499"/>
      <c r="AD576" s="499"/>
      <c r="AE576" s="499"/>
      <c r="AF576" s="499"/>
      <c r="AG576" s="499"/>
      <c r="AH576" s="499"/>
      <c r="AI576" s="1483"/>
      <c r="AJ576" s="1515"/>
      <c r="AK576" s="1515"/>
    </row>
    <row r="577">
      <c r="A577" s="499"/>
      <c r="B577" s="1501"/>
      <c r="C577" s="1502"/>
      <c r="D577" s="1503"/>
      <c r="E577" s="1503"/>
      <c r="F577" s="1504"/>
      <c r="G577" s="1504"/>
      <c r="H577" s="483"/>
      <c r="I577" s="1505"/>
      <c r="J577" s="1516" t="s">
        <v>123</v>
      </c>
      <c r="K577" s="1506"/>
      <c r="L577" s="1506"/>
      <c r="M577" s="1479"/>
      <c r="N577" s="1503"/>
      <c r="O577" s="1503"/>
      <c r="P577" s="1503"/>
      <c r="Q577" s="1503"/>
      <c r="R577" s="1503"/>
      <c r="S577" s="1504"/>
      <c r="T577" s="1504"/>
      <c r="U577" s="483"/>
      <c r="V577" s="1505"/>
      <c r="W577" s="1516" t="s">
        <v>123</v>
      </c>
      <c r="X577" s="1506"/>
      <c r="Y577" s="1506"/>
      <c r="Z577" s="1481"/>
      <c r="AA577" s="499"/>
      <c r="AB577" s="499"/>
      <c r="AC577" s="499"/>
      <c r="AD577" s="499"/>
      <c r="AE577" s="499"/>
      <c r="AF577" s="499"/>
      <c r="AG577" s="499"/>
      <c r="AH577" s="499"/>
      <c r="AI577" s="1483"/>
      <c r="AJ577" s="1515"/>
      <c r="AK577" s="1515"/>
    </row>
    <row r="578">
      <c r="A578" s="499"/>
      <c r="B578" s="1501"/>
      <c r="C578" s="1502"/>
      <c r="D578" s="1503"/>
      <c r="E578" s="1503"/>
      <c r="F578" s="1504"/>
      <c r="G578" s="1504"/>
      <c r="H578" s="483"/>
      <c r="I578" s="1505"/>
      <c r="J578" s="1516" t="s">
        <v>123</v>
      </c>
      <c r="K578" s="1506"/>
      <c r="L578" s="1506"/>
      <c r="M578" s="1479"/>
      <c r="N578" s="1503"/>
      <c r="O578" s="1503"/>
      <c r="P578" s="1503"/>
      <c r="Q578" s="1503"/>
      <c r="R578" s="1503"/>
      <c r="S578" s="1504"/>
      <c r="T578" s="1504"/>
      <c r="U578" s="483"/>
      <c r="V578" s="1505"/>
      <c r="W578" s="1516" t="s">
        <v>123</v>
      </c>
      <c r="X578" s="1506"/>
      <c r="Y578" s="1506"/>
      <c r="Z578" s="1481"/>
      <c r="AA578" s="499"/>
      <c r="AB578" s="499"/>
      <c r="AC578" s="499"/>
      <c r="AD578" s="499"/>
      <c r="AE578" s="499"/>
      <c r="AF578" s="499"/>
      <c r="AG578" s="499"/>
      <c r="AH578" s="499"/>
      <c r="AI578" s="1483"/>
      <c r="AJ578" s="1515"/>
      <c r="AK578" s="1515"/>
    </row>
    <row r="579">
      <c r="A579" s="499"/>
      <c r="B579" s="1501"/>
      <c r="C579" s="1502"/>
      <c r="D579" s="1503"/>
      <c r="E579" s="1503"/>
      <c r="F579" s="1504"/>
      <c r="G579" s="1504"/>
      <c r="H579" s="483"/>
      <c r="I579" s="1505"/>
      <c r="J579" s="1516" t="s">
        <v>123</v>
      </c>
      <c r="K579" s="1506"/>
      <c r="L579" s="1506"/>
      <c r="M579" s="1479"/>
      <c r="N579" s="1503"/>
      <c r="O579" s="1503"/>
      <c r="P579" s="1503"/>
      <c r="Q579" s="1503"/>
      <c r="R579" s="1503"/>
      <c r="S579" s="1504"/>
      <c r="T579" s="1504"/>
      <c r="U579" s="483"/>
      <c r="V579" s="1505"/>
      <c r="W579" s="1516" t="s">
        <v>123</v>
      </c>
      <c r="X579" s="1506"/>
      <c r="Y579" s="1506"/>
      <c r="Z579" s="1481"/>
      <c r="AA579" s="499"/>
      <c r="AB579" s="499"/>
      <c r="AC579" s="499"/>
      <c r="AD579" s="499"/>
      <c r="AE579" s="499"/>
      <c r="AF579" s="499"/>
      <c r="AG579" s="499"/>
      <c r="AH579" s="499"/>
      <c r="AI579" s="1483"/>
      <c r="AJ579" s="1515"/>
      <c r="AK579" s="1515"/>
    </row>
    <row r="580">
      <c r="A580" s="499"/>
      <c r="B580" s="1501"/>
      <c r="C580" s="1502"/>
      <c r="D580" s="1503"/>
      <c r="E580" s="1503"/>
      <c r="F580" s="1504"/>
      <c r="G580" s="1504"/>
      <c r="H580" s="483"/>
      <c r="I580" s="1505"/>
      <c r="J580" s="1516" t="s">
        <v>123</v>
      </c>
      <c r="K580" s="1506"/>
      <c r="L580" s="1506"/>
      <c r="M580" s="1479"/>
      <c r="N580" s="1503"/>
      <c r="O580" s="1503"/>
      <c r="P580" s="1503"/>
      <c r="Q580" s="1503"/>
      <c r="R580" s="1503"/>
      <c r="S580" s="1504"/>
      <c r="T580" s="1504"/>
      <c r="U580" s="483"/>
      <c r="V580" s="1505"/>
      <c r="W580" s="1516" t="s">
        <v>123</v>
      </c>
      <c r="X580" s="1506"/>
      <c r="Y580" s="1506"/>
      <c r="Z580" s="1481"/>
      <c r="AA580" s="499"/>
      <c r="AB580" s="499"/>
      <c r="AC580" s="499"/>
      <c r="AD580" s="499"/>
      <c r="AE580" s="499"/>
      <c r="AF580" s="499"/>
      <c r="AG580" s="499"/>
      <c r="AH580" s="499"/>
      <c r="AI580" s="1483"/>
      <c r="AJ580" s="1515"/>
      <c r="AK580" s="1515"/>
    </row>
    <row r="581">
      <c r="A581" s="499"/>
      <c r="B581" s="1501"/>
      <c r="C581" s="1502"/>
      <c r="D581" s="1503"/>
      <c r="E581" s="1503"/>
      <c r="F581" s="1504"/>
      <c r="G581" s="1504"/>
      <c r="H581" s="483"/>
      <c r="I581" s="1505"/>
      <c r="J581" s="1516" t="s">
        <v>123</v>
      </c>
      <c r="K581" s="1506"/>
      <c r="L581" s="1506"/>
      <c r="M581" s="1479"/>
      <c r="N581" s="1503"/>
      <c r="O581" s="1503"/>
      <c r="P581" s="1503"/>
      <c r="Q581" s="1503"/>
      <c r="R581" s="1503"/>
      <c r="S581" s="1504"/>
      <c r="T581" s="1504"/>
      <c r="U581" s="483"/>
      <c r="V581" s="1505"/>
      <c r="W581" s="1516" t="s">
        <v>123</v>
      </c>
      <c r="X581" s="1506"/>
      <c r="Y581" s="1506"/>
      <c r="Z581" s="1481"/>
      <c r="AA581" s="499"/>
      <c r="AB581" s="499"/>
      <c r="AC581" s="499"/>
      <c r="AD581" s="499"/>
      <c r="AE581" s="499"/>
      <c r="AF581" s="499"/>
      <c r="AG581" s="499"/>
      <c r="AH581" s="499"/>
      <c r="AI581" s="1483"/>
      <c r="AJ581" s="1515"/>
      <c r="AK581" s="1515"/>
    </row>
    <row r="582">
      <c r="A582" s="499"/>
      <c r="B582" s="1501"/>
      <c r="C582" s="1502"/>
      <c r="D582" s="1503"/>
      <c r="E582" s="1503"/>
      <c r="F582" s="1504"/>
      <c r="G582" s="1504"/>
      <c r="H582" s="483"/>
      <c r="I582" s="1505"/>
      <c r="J582" s="1516" t="s">
        <v>123</v>
      </c>
      <c r="K582" s="1506"/>
      <c r="L582" s="1506"/>
      <c r="M582" s="1479"/>
      <c r="N582" s="1503"/>
      <c r="O582" s="1503"/>
      <c r="P582" s="1503"/>
      <c r="Q582" s="1503"/>
      <c r="R582" s="1503"/>
      <c r="S582" s="1504"/>
      <c r="T582" s="1504"/>
      <c r="U582" s="483"/>
      <c r="V582" s="1505"/>
      <c r="W582" s="1516" t="s">
        <v>123</v>
      </c>
      <c r="X582" s="1506"/>
      <c r="Y582" s="1506"/>
      <c r="Z582" s="1481"/>
      <c r="AA582" s="499"/>
      <c r="AB582" s="499"/>
      <c r="AC582" s="499"/>
      <c r="AD582" s="499"/>
      <c r="AE582" s="499"/>
      <c r="AF582" s="499"/>
      <c r="AG582" s="499"/>
      <c r="AH582" s="499"/>
      <c r="AI582" s="1483"/>
      <c r="AJ582" s="1515"/>
      <c r="AK582" s="1515"/>
    </row>
    <row r="583">
      <c r="A583" s="499"/>
      <c r="B583" s="1501"/>
      <c r="C583" s="1502"/>
      <c r="D583" s="1503"/>
      <c r="E583" s="1503"/>
      <c r="F583" s="1504"/>
      <c r="G583" s="1504"/>
      <c r="H583" s="483"/>
      <c r="I583" s="1505"/>
      <c r="J583" s="1516" t="s">
        <v>123</v>
      </c>
      <c r="K583" s="1506"/>
      <c r="L583" s="1506"/>
      <c r="M583" s="1479"/>
      <c r="N583" s="1503"/>
      <c r="O583" s="1503"/>
      <c r="P583" s="1503"/>
      <c r="Q583" s="1503"/>
      <c r="R583" s="1503"/>
      <c r="S583" s="1504"/>
      <c r="T583" s="1504"/>
      <c r="U583" s="483"/>
      <c r="V583" s="1505"/>
      <c r="W583" s="1516" t="s">
        <v>123</v>
      </c>
      <c r="X583" s="1506"/>
      <c r="Y583" s="1506"/>
      <c r="Z583" s="1481"/>
      <c r="AA583" s="499"/>
      <c r="AB583" s="499"/>
      <c r="AC583" s="499"/>
      <c r="AD583" s="499"/>
      <c r="AE583" s="499"/>
      <c r="AF583" s="499"/>
      <c r="AG583" s="499"/>
      <c r="AH583" s="499"/>
      <c r="AI583" s="1483"/>
      <c r="AJ583" s="1515"/>
      <c r="AK583" s="1515"/>
    </row>
    <row r="584">
      <c r="A584" s="499"/>
      <c r="B584" s="1501"/>
      <c r="C584" s="1502"/>
      <c r="D584" s="1503"/>
      <c r="E584" s="1503"/>
      <c r="F584" s="1504"/>
      <c r="G584" s="1504"/>
      <c r="H584" s="483"/>
      <c r="I584" s="1505"/>
      <c r="J584" s="1516" t="s">
        <v>123</v>
      </c>
      <c r="K584" s="1506"/>
      <c r="L584" s="1506"/>
      <c r="M584" s="1479"/>
      <c r="N584" s="1503"/>
      <c r="O584" s="1503"/>
      <c r="P584" s="1503"/>
      <c r="Q584" s="1503"/>
      <c r="R584" s="1503"/>
      <c r="S584" s="1504"/>
      <c r="T584" s="1504"/>
      <c r="U584" s="483"/>
      <c r="V584" s="1505"/>
      <c r="W584" s="1516" t="s">
        <v>123</v>
      </c>
      <c r="X584" s="1506"/>
      <c r="Y584" s="1506"/>
      <c r="Z584" s="1481"/>
      <c r="AA584" s="499"/>
      <c r="AB584" s="499"/>
      <c r="AC584" s="499"/>
      <c r="AD584" s="499"/>
      <c r="AE584" s="499"/>
      <c r="AF584" s="499"/>
      <c r="AG584" s="499"/>
      <c r="AH584" s="499"/>
      <c r="AI584" s="1483"/>
      <c r="AJ584" s="1515"/>
      <c r="AK584" s="1515"/>
    </row>
    <row r="585">
      <c r="A585" s="499"/>
      <c r="B585" s="1501"/>
      <c r="C585" s="1502"/>
      <c r="D585" s="1503"/>
      <c r="E585" s="1503"/>
      <c r="F585" s="1504"/>
      <c r="G585" s="1504"/>
      <c r="H585" s="483"/>
      <c r="I585" s="1505"/>
      <c r="J585" s="1516" t="s">
        <v>123</v>
      </c>
      <c r="K585" s="1506"/>
      <c r="L585" s="1506"/>
      <c r="M585" s="1479"/>
      <c r="N585" s="1503"/>
      <c r="O585" s="1503"/>
      <c r="P585" s="1503"/>
      <c r="Q585" s="1503"/>
      <c r="R585" s="1503"/>
      <c r="S585" s="1504"/>
      <c r="T585" s="1504"/>
      <c r="U585" s="483"/>
      <c r="V585" s="1505"/>
      <c r="W585" s="1516" t="s">
        <v>123</v>
      </c>
      <c r="X585" s="1506"/>
      <c r="Y585" s="1506"/>
      <c r="Z585" s="1481"/>
      <c r="AA585" s="499"/>
      <c r="AB585" s="499"/>
      <c r="AC585" s="499"/>
      <c r="AD585" s="499"/>
      <c r="AE585" s="499"/>
      <c r="AF585" s="499"/>
      <c r="AG585" s="499"/>
      <c r="AH585" s="499"/>
      <c r="AI585" s="1483"/>
      <c r="AJ585" s="1515"/>
      <c r="AK585" s="1515"/>
    </row>
    <row r="586">
      <c r="A586" s="499"/>
      <c r="B586" s="1501"/>
      <c r="C586" s="1502"/>
      <c r="D586" s="1503"/>
      <c r="E586" s="1503"/>
      <c r="F586" s="1504"/>
      <c r="G586" s="1504"/>
      <c r="H586" s="483"/>
      <c r="I586" s="1505"/>
      <c r="J586" s="1516" t="s">
        <v>123</v>
      </c>
      <c r="K586" s="1506"/>
      <c r="L586" s="1506"/>
      <c r="M586" s="1479"/>
      <c r="N586" s="1503"/>
      <c r="O586" s="1503"/>
      <c r="P586" s="1503"/>
      <c r="Q586" s="1503"/>
      <c r="R586" s="1503"/>
      <c r="S586" s="1504"/>
      <c r="T586" s="1504"/>
      <c r="U586" s="483"/>
      <c r="V586" s="1505"/>
      <c r="W586" s="1516" t="s">
        <v>123</v>
      </c>
      <c r="X586" s="1506"/>
      <c r="Y586" s="1506"/>
      <c r="Z586" s="1481"/>
      <c r="AA586" s="499"/>
      <c r="AB586" s="499"/>
      <c r="AC586" s="499"/>
      <c r="AD586" s="499"/>
      <c r="AE586" s="499"/>
      <c r="AF586" s="499"/>
      <c r="AG586" s="499"/>
      <c r="AH586" s="499"/>
      <c r="AI586" s="1483"/>
      <c r="AJ586" s="1515"/>
      <c r="AK586" s="1515"/>
    </row>
    <row r="587">
      <c r="A587" s="499"/>
      <c r="B587" s="1501"/>
      <c r="C587" s="1502"/>
      <c r="D587" s="1503"/>
      <c r="E587" s="1503"/>
      <c r="F587" s="1504"/>
      <c r="G587" s="1504"/>
      <c r="H587" s="483"/>
      <c r="I587" s="1505"/>
      <c r="J587" s="1516" t="s">
        <v>123</v>
      </c>
      <c r="K587" s="1506"/>
      <c r="L587" s="1506"/>
      <c r="M587" s="1479"/>
      <c r="N587" s="1503"/>
      <c r="O587" s="1503"/>
      <c r="P587" s="1503"/>
      <c r="Q587" s="1503"/>
      <c r="R587" s="1503"/>
      <c r="S587" s="1504"/>
      <c r="T587" s="1504"/>
      <c r="U587" s="483"/>
      <c r="V587" s="1505"/>
      <c r="W587" s="1516" t="s">
        <v>123</v>
      </c>
      <c r="X587" s="1506"/>
      <c r="Y587" s="1506"/>
      <c r="Z587" s="1481"/>
      <c r="AA587" s="499"/>
      <c r="AB587" s="499"/>
      <c r="AC587" s="499"/>
      <c r="AD587" s="499"/>
      <c r="AE587" s="499"/>
      <c r="AF587" s="499"/>
      <c r="AG587" s="499"/>
      <c r="AH587" s="499"/>
      <c r="AI587" s="1483"/>
      <c r="AJ587" s="1515"/>
      <c r="AK587" s="1515"/>
    </row>
    <row r="588">
      <c r="A588" s="499"/>
      <c r="B588" s="1501"/>
      <c r="C588" s="1502"/>
      <c r="D588" s="1503"/>
      <c r="E588" s="1503"/>
      <c r="F588" s="1504"/>
      <c r="G588" s="1504"/>
      <c r="H588" s="483"/>
      <c r="I588" s="1505"/>
      <c r="J588" s="1516" t="s">
        <v>123</v>
      </c>
      <c r="K588" s="1506"/>
      <c r="L588" s="1506"/>
      <c r="M588" s="1479"/>
      <c r="N588" s="1503"/>
      <c r="O588" s="1503"/>
      <c r="P588" s="1503"/>
      <c r="Q588" s="1503"/>
      <c r="R588" s="1503"/>
      <c r="S588" s="1504"/>
      <c r="T588" s="1504"/>
      <c r="U588" s="483"/>
      <c r="V588" s="1505"/>
      <c r="W588" s="1516" t="s">
        <v>123</v>
      </c>
      <c r="X588" s="1506"/>
      <c r="Y588" s="1506"/>
      <c r="Z588" s="1481"/>
      <c r="AA588" s="499"/>
      <c r="AB588" s="499"/>
      <c r="AC588" s="499"/>
      <c r="AD588" s="499"/>
      <c r="AE588" s="499"/>
      <c r="AF588" s="499"/>
      <c r="AG588" s="499"/>
      <c r="AH588" s="499"/>
      <c r="AI588" s="1483"/>
      <c r="AJ588" s="1515"/>
      <c r="AK588" s="1515"/>
    </row>
    <row r="589">
      <c r="A589" s="499"/>
      <c r="B589" s="1501"/>
      <c r="C589" s="1502"/>
      <c r="D589" s="1503"/>
      <c r="E589" s="1503"/>
      <c r="F589" s="1504"/>
      <c r="G589" s="1504"/>
      <c r="H589" s="483"/>
      <c r="I589" s="1505"/>
      <c r="J589" s="1516" t="s">
        <v>123</v>
      </c>
      <c r="K589" s="1506"/>
      <c r="L589" s="1506"/>
      <c r="M589" s="1479"/>
      <c r="N589" s="1503"/>
      <c r="O589" s="1503"/>
      <c r="P589" s="1503"/>
      <c r="Q589" s="1503"/>
      <c r="R589" s="1503"/>
      <c r="S589" s="1504"/>
      <c r="T589" s="1504"/>
      <c r="U589" s="483"/>
      <c r="V589" s="1505"/>
      <c r="W589" s="1516" t="s">
        <v>123</v>
      </c>
      <c r="X589" s="1506"/>
      <c r="Y589" s="1506"/>
      <c r="Z589" s="1481"/>
      <c r="AA589" s="499"/>
      <c r="AB589" s="499"/>
      <c r="AC589" s="499"/>
      <c r="AD589" s="499"/>
      <c r="AE589" s="499"/>
      <c r="AF589" s="499"/>
      <c r="AG589" s="499"/>
      <c r="AH589" s="499"/>
      <c r="AI589" s="1483"/>
      <c r="AJ589" s="1515"/>
      <c r="AK589" s="1515"/>
    </row>
    <row r="590">
      <c r="A590" s="499"/>
      <c r="B590" s="1501"/>
      <c r="C590" s="1502"/>
      <c r="D590" s="1503"/>
      <c r="E590" s="1503"/>
      <c r="F590" s="1504"/>
      <c r="G590" s="1504"/>
      <c r="H590" s="483"/>
      <c r="I590" s="1505"/>
      <c r="J590" s="1516" t="s">
        <v>123</v>
      </c>
      <c r="K590" s="1506"/>
      <c r="L590" s="1506"/>
      <c r="M590" s="1479"/>
      <c r="N590" s="1503"/>
      <c r="O590" s="1503"/>
      <c r="P590" s="1503"/>
      <c r="Q590" s="1503"/>
      <c r="R590" s="1503"/>
      <c r="S590" s="1504"/>
      <c r="T590" s="1504"/>
      <c r="U590" s="483"/>
      <c r="V590" s="1505"/>
      <c r="W590" s="1516" t="s">
        <v>123</v>
      </c>
      <c r="X590" s="1506"/>
      <c r="Y590" s="1506"/>
      <c r="Z590" s="1481"/>
      <c r="AA590" s="499"/>
      <c r="AB590" s="499"/>
      <c r="AC590" s="499"/>
      <c r="AD590" s="499"/>
      <c r="AE590" s="499"/>
      <c r="AF590" s="499"/>
      <c r="AG590" s="499"/>
      <c r="AH590" s="499"/>
      <c r="AI590" s="1483"/>
      <c r="AJ590" s="1515"/>
      <c r="AK590" s="1515"/>
    </row>
    <row r="591">
      <c r="A591" s="499"/>
      <c r="B591" s="1501"/>
      <c r="C591" s="1502"/>
      <c r="D591" s="1503"/>
      <c r="E591" s="1503"/>
      <c r="F591" s="1504"/>
      <c r="G591" s="1504"/>
      <c r="H591" s="483"/>
      <c r="I591" s="1505"/>
      <c r="J591" s="1516" t="s">
        <v>123</v>
      </c>
      <c r="K591" s="1506"/>
      <c r="L591" s="1506"/>
      <c r="M591" s="1479"/>
      <c r="N591" s="1503"/>
      <c r="O591" s="1503"/>
      <c r="P591" s="1503"/>
      <c r="Q591" s="1503"/>
      <c r="R591" s="1503"/>
      <c r="S591" s="1504"/>
      <c r="T591" s="1504"/>
      <c r="U591" s="483"/>
      <c r="V591" s="1505"/>
      <c r="W591" s="1516" t="s">
        <v>123</v>
      </c>
      <c r="X591" s="1506"/>
      <c r="Y591" s="1506"/>
      <c r="Z591" s="1481"/>
      <c r="AA591" s="499"/>
      <c r="AB591" s="499"/>
      <c r="AC591" s="499"/>
      <c r="AD591" s="499"/>
      <c r="AE591" s="499"/>
      <c r="AF591" s="499"/>
      <c r="AG591" s="499"/>
      <c r="AH591" s="499"/>
      <c r="AI591" s="1483"/>
      <c r="AJ591" s="1515"/>
      <c r="AK591" s="1515"/>
    </row>
    <row r="592">
      <c r="A592" s="499"/>
      <c r="B592" s="1501"/>
      <c r="C592" s="1502"/>
      <c r="D592" s="1503"/>
      <c r="E592" s="1503"/>
      <c r="F592" s="1504"/>
      <c r="G592" s="1504"/>
      <c r="H592" s="483"/>
      <c r="I592" s="1505"/>
      <c r="J592" s="1516" t="s">
        <v>123</v>
      </c>
      <c r="K592" s="1506"/>
      <c r="L592" s="1506"/>
      <c r="M592" s="1479"/>
      <c r="N592" s="1503"/>
      <c r="O592" s="1503"/>
      <c r="P592" s="1503"/>
      <c r="Q592" s="1503"/>
      <c r="R592" s="1503"/>
      <c r="S592" s="1504"/>
      <c r="T592" s="1504"/>
      <c r="U592" s="483"/>
      <c r="V592" s="1505"/>
      <c r="W592" s="1516" t="s">
        <v>123</v>
      </c>
      <c r="X592" s="1506"/>
      <c r="Y592" s="1506"/>
      <c r="Z592" s="1481"/>
      <c r="AA592" s="499"/>
      <c r="AB592" s="499"/>
      <c r="AC592" s="499"/>
      <c r="AD592" s="499"/>
      <c r="AE592" s="499"/>
      <c r="AF592" s="499"/>
      <c r="AG592" s="499"/>
      <c r="AH592" s="499"/>
      <c r="AI592" s="1483"/>
      <c r="AJ592" s="1515"/>
      <c r="AK592" s="1515"/>
    </row>
    <row r="593">
      <c r="A593" s="499"/>
      <c r="B593" s="1501"/>
      <c r="C593" s="1502"/>
      <c r="D593" s="1503"/>
      <c r="E593" s="1503"/>
      <c r="F593" s="1504"/>
      <c r="G593" s="1504"/>
      <c r="H593" s="483"/>
      <c r="I593" s="1505"/>
      <c r="J593" s="1516" t="s">
        <v>123</v>
      </c>
      <c r="K593" s="1506"/>
      <c r="L593" s="1506"/>
      <c r="M593" s="1479"/>
      <c r="N593" s="1503"/>
      <c r="O593" s="1503"/>
      <c r="P593" s="1503"/>
      <c r="Q593" s="1503"/>
      <c r="R593" s="1503"/>
      <c r="S593" s="1504"/>
      <c r="T593" s="1504"/>
      <c r="U593" s="483"/>
      <c r="V593" s="1505"/>
      <c r="W593" s="1516" t="s">
        <v>123</v>
      </c>
      <c r="X593" s="1506"/>
      <c r="Y593" s="1506"/>
      <c r="Z593" s="1481"/>
      <c r="AA593" s="499"/>
      <c r="AB593" s="499"/>
      <c r="AC593" s="499"/>
      <c r="AD593" s="499"/>
      <c r="AE593" s="499"/>
      <c r="AF593" s="499"/>
      <c r="AG593" s="499"/>
      <c r="AH593" s="499"/>
      <c r="AI593" s="1483"/>
      <c r="AJ593" s="1515"/>
      <c r="AK593" s="1515"/>
    </row>
    <row r="594">
      <c r="A594" s="499"/>
      <c r="B594" s="1501"/>
      <c r="C594" s="1502"/>
      <c r="D594" s="1503"/>
      <c r="E594" s="1503"/>
      <c r="F594" s="1504"/>
      <c r="G594" s="1504"/>
      <c r="H594" s="483"/>
      <c r="I594" s="1505"/>
      <c r="J594" s="1516" t="s">
        <v>123</v>
      </c>
      <c r="K594" s="1506"/>
      <c r="L594" s="1506"/>
      <c r="M594" s="1479"/>
      <c r="N594" s="1503"/>
      <c r="O594" s="1503"/>
      <c r="P594" s="1503"/>
      <c r="Q594" s="1503"/>
      <c r="R594" s="1503"/>
      <c r="S594" s="1504"/>
      <c r="T594" s="1504"/>
      <c r="U594" s="483"/>
      <c r="V594" s="1505"/>
      <c r="W594" s="1516" t="s">
        <v>123</v>
      </c>
      <c r="X594" s="1506"/>
      <c r="Y594" s="1506"/>
      <c r="Z594" s="1481"/>
      <c r="AA594" s="499"/>
      <c r="AB594" s="499"/>
      <c r="AC594" s="499"/>
      <c r="AD594" s="499"/>
      <c r="AE594" s="499"/>
      <c r="AF594" s="499"/>
      <c r="AG594" s="499"/>
      <c r="AH594" s="499"/>
      <c r="AI594" s="1483"/>
      <c r="AJ594" s="1515"/>
      <c r="AK594" s="1515"/>
    </row>
    <row r="595">
      <c r="A595" s="499"/>
      <c r="B595" s="1501"/>
      <c r="C595" s="1502"/>
      <c r="D595" s="1503"/>
      <c r="E595" s="1503"/>
      <c r="F595" s="1504"/>
      <c r="G595" s="1504"/>
      <c r="H595" s="483"/>
      <c r="I595" s="1505"/>
      <c r="J595" s="1516" t="s">
        <v>123</v>
      </c>
      <c r="K595" s="1506"/>
      <c r="L595" s="1506"/>
      <c r="M595" s="1479"/>
      <c r="N595" s="1503"/>
      <c r="O595" s="1503"/>
      <c r="P595" s="1503"/>
      <c r="Q595" s="1503"/>
      <c r="R595" s="1503"/>
      <c r="S595" s="1504"/>
      <c r="T595" s="1504"/>
      <c r="U595" s="483"/>
      <c r="V595" s="1505"/>
      <c r="W595" s="1516" t="s">
        <v>123</v>
      </c>
      <c r="X595" s="1506"/>
      <c r="Y595" s="1506"/>
      <c r="Z595" s="1481"/>
      <c r="AA595" s="499"/>
      <c r="AB595" s="499"/>
      <c r="AC595" s="499"/>
      <c r="AD595" s="499"/>
      <c r="AE595" s="499"/>
      <c r="AF595" s="499"/>
      <c r="AG595" s="499"/>
      <c r="AH595" s="499"/>
      <c r="AI595" s="1483"/>
      <c r="AJ595" s="1515"/>
      <c r="AK595" s="1515"/>
    </row>
    <row r="596">
      <c r="A596" s="499"/>
      <c r="B596" s="1501"/>
      <c r="C596" s="1502"/>
      <c r="D596" s="1503"/>
      <c r="E596" s="1503"/>
      <c r="F596" s="1504"/>
      <c r="G596" s="1504"/>
      <c r="H596" s="483"/>
      <c r="I596" s="1505"/>
      <c r="J596" s="1516" t="s">
        <v>123</v>
      </c>
      <c r="K596" s="1506"/>
      <c r="L596" s="1506"/>
      <c r="M596" s="1479"/>
      <c r="N596" s="1503"/>
      <c r="O596" s="1503"/>
      <c r="P596" s="1503"/>
      <c r="Q596" s="1503"/>
      <c r="R596" s="1503"/>
      <c r="S596" s="1504"/>
      <c r="T596" s="1504"/>
      <c r="U596" s="483"/>
      <c r="V596" s="1505"/>
      <c r="W596" s="1516" t="s">
        <v>123</v>
      </c>
      <c r="X596" s="1506"/>
      <c r="Y596" s="1506"/>
      <c r="Z596" s="1481"/>
      <c r="AA596" s="499"/>
      <c r="AB596" s="499"/>
      <c r="AC596" s="499"/>
      <c r="AD596" s="499"/>
      <c r="AE596" s="499"/>
      <c r="AF596" s="499"/>
      <c r="AG596" s="499"/>
      <c r="AH596" s="499"/>
      <c r="AI596" s="1483"/>
      <c r="AJ596" s="1515"/>
      <c r="AK596" s="1515"/>
    </row>
    <row r="597">
      <c r="A597" s="499"/>
      <c r="B597" s="1501"/>
      <c r="C597" s="1502"/>
      <c r="D597" s="1503"/>
      <c r="E597" s="1503"/>
      <c r="F597" s="1504"/>
      <c r="G597" s="1504"/>
      <c r="H597" s="483"/>
      <c r="I597" s="1505"/>
      <c r="J597" s="1516" t="s">
        <v>123</v>
      </c>
      <c r="K597" s="1506"/>
      <c r="L597" s="1506"/>
      <c r="M597" s="1479"/>
      <c r="N597" s="1503"/>
      <c r="O597" s="1503"/>
      <c r="P597" s="1503"/>
      <c r="Q597" s="1503"/>
      <c r="R597" s="1503"/>
      <c r="S597" s="1504"/>
      <c r="T597" s="1504"/>
      <c r="U597" s="483"/>
      <c r="V597" s="1505"/>
      <c r="W597" s="1516" t="s">
        <v>123</v>
      </c>
      <c r="X597" s="1506"/>
      <c r="Y597" s="1506"/>
      <c r="Z597" s="1481"/>
      <c r="AA597" s="499"/>
      <c r="AB597" s="499"/>
      <c r="AC597" s="499"/>
      <c r="AD597" s="499"/>
      <c r="AE597" s="499"/>
      <c r="AF597" s="499"/>
      <c r="AG597" s="499"/>
      <c r="AH597" s="499"/>
      <c r="AI597" s="1483"/>
      <c r="AJ597" s="1515"/>
      <c r="AK597" s="1515"/>
    </row>
    <row r="598">
      <c r="A598" s="499"/>
      <c r="B598" s="1501"/>
      <c r="C598" s="1502"/>
      <c r="D598" s="1503"/>
      <c r="E598" s="1503"/>
      <c r="F598" s="1504"/>
      <c r="G598" s="1504"/>
      <c r="H598" s="483"/>
      <c r="I598" s="1505"/>
      <c r="J598" s="1516" t="s">
        <v>123</v>
      </c>
      <c r="K598" s="1506"/>
      <c r="L598" s="1506"/>
      <c r="M598" s="1479"/>
      <c r="N598" s="1503"/>
      <c r="O598" s="1503"/>
      <c r="P598" s="1503"/>
      <c r="Q598" s="1503"/>
      <c r="R598" s="1503"/>
      <c r="S598" s="1504"/>
      <c r="T598" s="1504"/>
      <c r="U598" s="483"/>
      <c r="V598" s="1505"/>
      <c r="W598" s="1516" t="s">
        <v>123</v>
      </c>
      <c r="X598" s="1506"/>
      <c r="Y598" s="1506"/>
      <c r="Z598" s="1481"/>
      <c r="AA598" s="499"/>
      <c r="AB598" s="499"/>
      <c r="AC598" s="499"/>
      <c r="AD598" s="499"/>
      <c r="AE598" s="499"/>
      <c r="AF598" s="499"/>
      <c r="AG598" s="499"/>
      <c r="AH598" s="499"/>
      <c r="AI598" s="1483"/>
      <c r="AJ598" s="1515"/>
      <c r="AK598" s="1515"/>
    </row>
    <row r="599">
      <c r="A599" s="499"/>
      <c r="B599" s="1501"/>
      <c r="C599" s="1502"/>
      <c r="D599" s="1503"/>
      <c r="E599" s="1503"/>
      <c r="F599" s="1504"/>
      <c r="G599" s="1504"/>
      <c r="H599" s="483"/>
      <c r="I599" s="1505"/>
      <c r="J599" s="1516" t="s">
        <v>123</v>
      </c>
      <c r="K599" s="1506"/>
      <c r="L599" s="1506"/>
      <c r="M599" s="1479"/>
      <c r="N599" s="1503"/>
      <c r="O599" s="1503"/>
      <c r="P599" s="1503"/>
      <c r="Q599" s="1503"/>
      <c r="R599" s="1503"/>
      <c r="S599" s="1504"/>
      <c r="T599" s="1504"/>
      <c r="U599" s="483"/>
      <c r="V599" s="1505"/>
      <c r="W599" s="1516" t="s">
        <v>123</v>
      </c>
      <c r="X599" s="1506"/>
      <c r="Y599" s="1506"/>
      <c r="Z599" s="1481"/>
      <c r="AA599" s="499"/>
      <c r="AB599" s="499"/>
      <c r="AC599" s="499"/>
      <c r="AD599" s="499"/>
      <c r="AE599" s="499"/>
      <c r="AF599" s="499"/>
      <c r="AG599" s="499"/>
      <c r="AH599" s="499"/>
      <c r="AI599" s="1483"/>
      <c r="AJ599" s="1515"/>
      <c r="AK599" s="1515"/>
    </row>
    <row r="600">
      <c r="A600" s="499"/>
      <c r="B600" s="1501"/>
      <c r="C600" s="1502"/>
      <c r="D600" s="1503"/>
      <c r="E600" s="1503"/>
      <c r="F600" s="1504"/>
      <c r="G600" s="1504"/>
      <c r="H600" s="483"/>
      <c r="I600" s="1505"/>
      <c r="J600" s="1516" t="s">
        <v>123</v>
      </c>
      <c r="K600" s="1506"/>
      <c r="L600" s="1506"/>
      <c r="M600" s="1479"/>
      <c r="N600" s="1503"/>
      <c r="O600" s="1503"/>
      <c r="P600" s="1503"/>
      <c r="Q600" s="1503"/>
      <c r="R600" s="1503"/>
      <c r="S600" s="1504"/>
      <c r="T600" s="1504"/>
      <c r="U600" s="483"/>
      <c r="V600" s="1505"/>
      <c r="W600" s="1516" t="s">
        <v>123</v>
      </c>
      <c r="X600" s="1506"/>
      <c r="Y600" s="1506"/>
      <c r="Z600" s="1481"/>
      <c r="AA600" s="499"/>
      <c r="AB600" s="499"/>
      <c r="AC600" s="499"/>
      <c r="AD600" s="499"/>
      <c r="AE600" s="499"/>
      <c r="AF600" s="499"/>
      <c r="AG600" s="499"/>
      <c r="AH600" s="499"/>
      <c r="AI600" s="1483"/>
      <c r="AJ600" s="1515"/>
      <c r="AK600" s="1515"/>
    </row>
    <row r="601">
      <c r="A601" s="499"/>
      <c r="B601" s="1501"/>
      <c r="C601" s="1502"/>
      <c r="D601" s="1503"/>
      <c r="E601" s="1503"/>
      <c r="F601" s="1504"/>
      <c r="G601" s="1504"/>
      <c r="H601" s="483"/>
      <c r="I601" s="1505"/>
      <c r="J601" s="1516" t="s">
        <v>123</v>
      </c>
      <c r="K601" s="1506"/>
      <c r="L601" s="1506"/>
      <c r="M601" s="1479"/>
      <c r="N601" s="1503"/>
      <c r="O601" s="1503"/>
      <c r="P601" s="1503"/>
      <c r="Q601" s="1503"/>
      <c r="R601" s="1503"/>
      <c r="S601" s="1504"/>
      <c r="T601" s="1504"/>
      <c r="U601" s="483"/>
      <c r="V601" s="1505"/>
      <c r="W601" s="1516" t="s">
        <v>123</v>
      </c>
      <c r="X601" s="1506"/>
      <c r="Y601" s="1506"/>
      <c r="Z601" s="1481"/>
      <c r="AA601" s="499"/>
      <c r="AB601" s="499"/>
      <c r="AC601" s="499"/>
      <c r="AD601" s="499"/>
      <c r="AE601" s="499"/>
      <c r="AF601" s="499"/>
      <c r="AG601" s="499"/>
      <c r="AH601" s="499"/>
      <c r="AI601" s="1483"/>
      <c r="AJ601" s="1515"/>
      <c r="AK601" s="1515"/>
    </row>
    <row r="602">
      <c r="A602" s="499"/>
      <c r="B602" s="1501"/>
      <c r="C602" s="1502"/>
      <c r="D602" s="1503"/>
      <c r="E602" s="1503"/>
      <c r="F602" s="1504"/>
      <c r="G602" s="1504"/>
      <c r="H602" s="483"/>
      <c r="I602" s="1505"/>
      <c r="J602" s="1516" t="s">
        <v>123</v>
      </c>
      <c r="K602" s="1506"/>
      <c r="L602" s="1506"/>
      <c r="M602" s="1479"/>
      <c r="N602" s="1503"/>
      <c r="O602" s="1503"/>
      <c r="P602" s="1503"/>
      <c r="Q602" s="1503"/>
      <c r="R602" s="1503"/>
      <c r="S602" s="1504"/>
      <c r="T602" s="1504"/>
      <c r="U602" s="483"/>
      <c r="V602" s="1505"/>
      <c r="W602" s="1516" t="s">
        <v>123</v>
      </c>
      <c r="X602" s="1506"/>
      <c r="Y602" s="1506"/>
      <c r="Z602" s="1481"/>
      <c r="AA602" s="499"/>
      <c r="AB602" s="499"/>
      <c r="AC602" s="499"/>
      <c r="AD602" s="499"/>
      <c r="AE602" s="499"/>
      <c r="AF602" s="499"/>
      <c r="AG602" s="499"/>
      <c r="AH602" s="499"/>
      <c r="AI602" s="1483"/>
      <c r="AJ602" s="1515"/>
      <c r="AK602" s="1515"/>
    </row>
    <row r="603">
      <c r="A603" s="499"/>
      <c r="B603" s="1501"/>
      <c r="C603" s="1502"/>
      <c r="D603" s="1503"/>
      <c r="E603" s="1503"/>
      <c r="F603" s="1504"/>
      <c r="G603" s="1504"/>
      <c r="H603" s="483"/>
      <c r="I603" s="1505"/>
      <c r="J603" s="1516" t="s">
        <v>123</v>
      </c>
      <c r="K603" s="1506"/>
      <c r="L603" s="1506"/>
      <c r="M603" s="1479"/>
      <c r="N603" s="1503"/>
      <c r="O603" s="1503"/>
      <c r="P603" s="1503"/>
      <c r="Q603" s="1503"/>
      <c r="R603" s="1503"/>
      <c r="S603" s="1504"/>
      <c r="T603" s="1504"/>
      <c r="U603" s="483"/>
      <c r="V603" s="1505"/>
      <c r="W603" s="1516" t="s">
        <v>123</v>
      </c>
      <c r="X603" s="1506"/>
      <c r="Y603" s="1506"/>
      <c r="Z603" s="1481"/>
      <c r="AA603" s="499"/>
      <c r="AB603" s="499"/>
      <c r="AC603" s="499"/>
      <c r="AD603" s="499"/>
      <c r="AE603" s="499"/>
      <c r="AF603" s="499"/>
      <c r="AG603" s="499"/>
      <c r="AH603" s="499"/>
      <c r="AI603" s="1483"/>
      <c r="AJ603" s="1515"/>
      <c r="AK603" s="1515"/>
    </row>
    <row r="604">
      <c r="A604" s="499"/>
      <c r="B604" s="1501"/>
      <c r="C604" s="1502"/>
      <c r="D604" s="1503"/>
      <c r="E604" s="1503"/>
      <c r="F604" s="1504"/>
      <c r="G604" s="1504"/>
      <c r="H604" s="483"/>
      <c r="I604" s="1505"/>
      <c r="J604" s="1516" t="s">
        <v>123</v>
      </c>
      <c r="K604" s="1506"/>
      <c r="L604" s="1506"/>
      <c r="M604" s="1479"/>
      <c r="N604" s="1503"/>
      <c r="O604" s="1503"/>
      <c r="P604" s="1503"/>
      <c r="Q604" s="1503"/>
      <c r="R604" s="1503"/>
      <c r="S604" s="1504"/>
      <c r="T604" s="1504"/>
      <c r="U604" s="483"/>
      <c r="V604" s="1505"/>
      <c r="W604" s="1516" t="s">
        <v>123</v>
      </c>
      <c r="X604" s="1506"/>
      <c r="Y604" s="1506"/>
      <c r="Z604" s="1481"/>
      <c r="AA604" s="499"/>
      <c r="AB604" s="499"/>
      <c r="AC604" s="499"/>
      <c r="AD604" s="499"/>
      <c r="AE604" s="499"/>
      <c r="AF604" s="499"/>
      <c r="AG604" s="499"/>
      <c r="AH604" s="499"/>
      <c r="AI604" s="1483"/>
      <c r="AJ604" s="1515"/>
      <c r="AK604" s="1515"/>
    </row>
    <row r="605">
      <c r="A605" s="499"/>
      <c r="B605" s="1501"/>
      <c r="C605" s="1502"/>
      <c r="D605" s="1503"/>
      <c r="E605" s="1503"/>
      <c r="F605" s="1504"/>
      <c r="G605" s="1504"/>
      <c r="H605" s="483"/>
      <c r="I605" s="1505"/>
      <c r="J605" s="1516" t="s">
        <v>123</v>
      </c>
      <c r="K605" s="1506"/>
      <c r="L605" s="1506"/>
      <c r="M605" s="1479"/>
      <c r="N605" s="1503"/>
      <c r="O605" s="1503"/>
      <c r="P605" s="1503"/>
      <c r="Q605" s="1503"/>
      <c r="R605" s="1503"/>
      <c r="S605" s="1504"/>
      <c r="T605" s="1504"/>
      <c r="U605" s="483"/>
      <c r="V605" s="1505"/>
      <c r="W605" s="1516" t="s">
        <v>123</v>
      </c>
      <c r="X605" s="1506"/>
      <c r="Y605" s="1506"/>
      <c r="Z605" s="1481"/>
      <c r="AA605" s="499"/>
      <c r="AB605" s="499"/>
      <c r="AC605" s="499"/>
      <c r="AD605" s="499"/>
      <c r="AE605" s="499"/>
      <c r="AF605" s="499"/>
      <c r="AG605" s="499"/>
      <c r="AH605" s="499"/>
      <c r="AI605" s="1483"/>
      <c r="AJ605" s="1515"/>
      <c r="AK605" s="1515"/>
    </row>
    <row r="606">
      <c r="A606" s="499"/>
      <c r="B606" s="1501"/>
      <c r="C606" s="1502"/>
      <c r="D606" s="1503"/>
      <c r="E606" s="1503"/>
      <c r="F606" s="1504"/>
      <c r="G606" s="1504"/>
      <c r="H606" s="483"/>
      <c r="I606" s="1505"/>
      <c r="J606" s="1516" t="s">
        <v>123</v>
      </c>
      <c r="K606" s="1506"/>
      <c r="L606" s="1506"/>
      <c r="M606" s="1479"/>
      <c r="N606" s="1503"/>
      <c r="O606" s="1503"/>
      <c r="P606" s="1503"/>
      <c r="Q606" s="1503"/>
      <c r="R606" s="1503"/>
      <c r="S606" s="1504"/>
      <c r="T606" s="1504"/>
      <c r="U606" s="483"/>
      <c r="V606" s="1505"/>
      <c r="W606" s="1516" t="s">
        <v>123</v>
      </c>
      <c r="X606" s="1506"/>
      <c r="Y606" s="1506"/>
      <c r="Z606" s="1481"/>
      <c r="AA606" s="499"/>
      <c r="AB606" s="499"/>
      <c r="AC606" s="499"/>
      <c r="AD606" s="499"/>
      <c r="AE606" s="499"/>
      <c r="AF606" s="499"/>
      <c r="AG606" s="499"/>
      <c r="AH606" s="499"/>
      <c r="AI606" s="1483"/>
      <c r="AJ606" s="1515"/>
      <c r="AK606" s="1515"/>
    </row>
    <row r="607">
      <c r="A607" s="499"/>
      <c r="B607" s="1501"/>
      <c r="C607" s="1502"/>
      <c r="D607" s="1503"/>
      <c r="E607" s="1503"/>
      <c r="F607" s="1504"/>
      <c r="G607" s="1504"/>
      <c r="H607" s="483"/>
      <c r="I607" s="1505"/>
      <c r="J607" s="1516" t="s">
        <v>123</v>
      </c>
      <c r="K607" s="1506"/>
      <c r="L607" s="1506"/>
      <c r="M607" s="1479"/>
      <c r="N607" s="1503"/>
      <c r="O607" s="1503"/>
      <c r="P607" s="1503"/>
      <c r="Q607" s="1503"/>
      <c r="R607" s="1503"/>
      <c r="S607" s="1504"/>
      <c r="T607" s="1504"/>
      <c r="U607" s="483"/>
      <c r="V607" s="1505"/>
      <c r="W607" s="1516" t="s">
        <v>123</v>
      </c>
      <c r="X607" s="1506"/>
      <c r="Y607" s="1506"/>
      <c r="Z607" s="1481"/>
      <c r="AA607" s="499"/>
      <c r="AB607" s="499"/>
      <c r="AC607" s="499"/>
      <c r="AD607" s="499"/>
      <c r="AE607" s="499"/>
      <c r="AF607" s="499"/>
      <c r="AG607" s="499"/>
      <c r="AH607" s="499"/>
      <c r="AI607" s="1483"/>
      <c r="AJ607" s="1515"/>
      <c r="AK607" s="1515"/>
    </row>
    <row r="608">
      <c r="A608" s="499"/>
      <c r="B608" s="1501"/>
      <c r="C608" s="1502"/>
      <c r="D608" s="1503"/>
      <c r="E608" s="1503"/>
      <c r="F608" s="1504"/>
      <c r="G608" s="1504"/>
      <c r="H608" s="483"/>
      <c r="I608" s="1505"/>
      <c r="J608" s="1516" t="s">
        <v>123</v>
      </c>
      <c r="K608" s="1506"/>
      <c r="L608" s="1506"/>
      <c r="M608" s="1479"/>
      <c r="N608" s="1503"/>
      <c r="O608" s="1503"/>
      <c r="P608" s="1503"/>
      <c r="Q608" s="1503"/>
      <c r="R608" s="1503"/>
      <c r="S608" s="1504"/>
      <c r="T608" s="1504"/>
      <c r="U608" s="483"/>
      <c r="V608" s="1505"/>
      <c r="W608" s="1516" t="s">
        <v>123</v>
      </c>
      <c r="X608" s="1506"/>
      <c r="Y608" s="1506"/>
      <c r="Z608" s="1481"/>
      <c r="AA608" s="499"/>
      <c r="AB608" s="499"/>
      <c r="AC608" s="499"/>
      <c r="AD608" s="499"/>
      <c r="AE608" s="499"/>
      <c r="AF608" s="499"/>
      <c r="AG608" s="499"/>
      <c r="AH608" s="499"/>
      <c r="AI608" s="1483"/>
      <c r="AJ608" s="1515"/>
      <c r="AK608" s="1515"/>
    </row>
    <row r="609">
      <c r="A609" s="499"/>
      <c r="B609" s="1501"/>
      <c r="C609" s="1502"/>
      <c r="D609" s="1503"/>
      <c r="E609" s="1503"/>
      <c r="F609" s="1504"/>
      <c r="G609" s="1504"/>
      <c r="H609" s="483"/>
      <c r="I609" s="1505"/>
      <c r="J609" s="1516" t="s">
        <v>123</v>
      </c>
      <c r="K609" s="1506"/>
      <c r="L609" s="1506"/>
      <c r="M609" s="1479"/>
      <c r="N609" s="1503"/>
      <c r="O609" s="1503"/>
      <c r="P609" s="1503"/>
      <c r="Q609" s="1503"/>
      <c r="R609" s="1503"/>
      <c r="S609" s="1504"/>
      <c r="T609" s="1504"/>
      <c r="U609" s="483"/>
      <c r="V609" s="1505"/>
      <c r="W609" s="1516" t="s">
        <v>123</v>
      </c>
      <c r="X609" s="1506"/>
      <c r="Y609" s="1506"/>
      <c r="Z609" s="1481"/>
      <c r="AA609" s="499"/>
      <c r="AB609" s="499"/>
      <c r="AC609" s="499"/>
      <c r="AD609" s="499"/>
      <c r="AE609" s="499"/>
      <c r="AF609" s="499"/>
      <c r="AG609" s="499"/>
      <c r="AH609" s="499"/>
      <c r="AI609" s="1483"/>
      <c r="AJ609" s="1515"/>
      <c r="AK609" s="1515"/>
    </row>
    <row r="610">
      <c r="A610" s="499"/>
      <c r="B610" s="1501"/>
      <c r="C610" s="1502"/>
      <c r="D610" s="1503"/>
      <c r="E610" s="1503"/>
      <c r="F610" s="1504"/>
      <c r="G610" s="1504"/>
      <c r="H610" s="483"/>
      <c r="I610" s="1505"/>
      <c r="J610" s="1516" t="s">
        <v>123</v>
      </c>
      <c r="K610" s="1506"/>
      <c r="L610" s="1506"/>
      <c r="M610" s="1479"/>
      <c r="N610" s="1503"/>
      <c r="O610" s="1503"/>
      <c r="P610" s="1503"/>
      <c r="Q610" s="1503"/>
      <c r="R610" s="1503"/>
      <c r="S610" s="1504"/>
      <c r="T610" s="1504"/>
      <c r="U610" s="483"/>
      <c r="V610" s="1505"/>
      <c r="W610" s="1516" t="s">
        <v>123</v>
      </c>
      <c r="X610" s="1506"/>
      <c r="Y610" s="1506"/>
      <c r="Z610" s="1481"/>
      <c r="AA610" s="499"/>
      <c r="AB610" s="499"/>
      <c r="AC610" s="499"/>
      <c r="AD610" s="499"/>
      <c r="AE610" s="499"/>
      <c r="AF610" s="499"/>
      <c r="AG610" s="499"/>
      <c r="AH610" s="499"/>
      <c r="AI610" s="1483"/>
      <c r="AJ610" s="1515"/>
      <c r="AK610" s="1515"/>
    </row>
    <row r="611">
      <c r="A611" s="499"/>
      <c r="B611" s="1501"/>
      <c r="C611" s="1502"/>
      <c r="D611" s="1503"/>
      <c r="E611" s="1503"/>
      <c r="F611" s="1504"/>
      <c r="G611" s="1504"/>
      <c r="H611" s="483"/>
      <c r="I611" s="1505"/>
      <c r="J611" s="1516" t="s">
        <v>123</v>
      </c>
      <c r="K611" s="1506"/>
      <c r="L611" s="1506"/>
      <c r="M611" s="1479"/>
      <c r="N611" s="1503"/>
      <c r="O611" s="1503"/>
      <c r="P611" s="1503"/>
      <c r="Q611" s="1503"/>
      <c r="R611" s="1503"/>
      <c r="S611" s="1504"/>
      <c r="T611" s="1504"/>
      <c r="U611" s="483"/>
      <c r="V611" s="1505"/>
      <c r="W611" s="1516" t="s">
        <v>123</v>
      </c>
      <c r="X611" s="1506"/>
      <c r="Y611" s="1506"/>
      <c r="Z611" s="1481"/>
      <c r="AA611" s="499"/>
      <c r="AB611" s="499"/>
      <c r="AC611" s="499"/>
      <c r="AD611" s="499"/>
      <c r="AE611" s="499"/>
      <c r="AF611" s="499"/>
      <c r="AG611" s="499"/>
      <c r="AH611" s="499"/>
      <c r="AI611" s="1483"/>
      <c r="AJ611" s="1515"/>
      <c r="AK611" s="1515"/>
    </row>
    <row r="612">
      <c r="A612" s="499"/>
      <c r="B612" s="1501"/>
      <c r="C612" s="1502"/>
      <c r="D612" s="1503"/>
      <c r="E612" s="1503"/>
      <c r="F612" s="1504"/>
      <c r="G612" s="1504"/>
      <c r="H612" s="483"/>
      <c r="I612" s="1505"/>
      <c r="J612" s="1516" t="s">
        <v>123</v>
      </c>
      <c r="K612" s="1506"/>
      <c r="L612" s="1506"/>
      <c r="M612" s="1479"/>
      <c r="N612" s="1503"/>
      <c r="O612" s="1503"/>
      <c r="P612" s="1503"/>
      <c r="Q612" s="1503"/>
      <c r="R612" s="1503"/>
      <c r="S612" s="1504"/>
      <c r="T612" s="1504"/>
      <c r="U612" s="483"/>
      <c r="V612" s="1505"/>
      <c r="W612" s="1516" t="s">
        <v>123</v>
      </c>
      <c r="X612" s="1506"/>
      <c r="Y612" s="1506"/>
      <c r="Z612" s="1481"/>
      <c r="AA612" s="499"/>
      <c r="AB612" s="499"/>
      <c r="AC612" s="499"/>
      <c r="AD612" s="499"/>
      <c r="AE612" s="499"/>
      <c r="AF612" s="499"/>
      <c r="AG612" s="499"/>
      <c r="AH612" s="499"/>
      <c r="AI612" s="1483"/>
      <c r="AJ612" s="1515"/>
      <c r="AK612" s="1515"/>
    </row>
    <row r="613">
      <c r="A613" s="499"/>
      <c r="B613" s="1501"/>
      <c r="C613" s="1502"/>
      <c r="D613" s="1503"/>
      <c r="E613" s="1503"/>
      <c r="F613" s="1504"/>
      <c r="G613" s="1504"/>
      <c r="H613" s="483"/>
      <c r="I613" s="1505"/>
      <c r="J613" s="1516" t="s">
        <v>123</v>
      </c>
      <c r="K613" s="1506"/>
      <c r="L613" s="1506"/>
      <c r="M613" s="1479"/>
      <c r="N613" s="1503"/>
      <c r="O613" s="1503"/>
      <c r="P613" s="1503"/>
      <c r="Q613" s="1503"/>
      <c r="R613" s="1503"/>
      <c r="S613" s="1504"/>
      <c r="T613" s="1504"/>
      <c r="U613" s="483"/>
      <c r="V613" s="1505"/>
      <c r="W613" s="1516" t="s">
        <v>123</v>
      </c>
      <c r="X613" s="1506"/>
      <c r="Y613" s="1506"/>
      <c r="Z613" s="1481"/>
      <c r="AA613" s="499"/>
      <c r="AB613" s="499"/>
      <c r="AC613" s="499"/>
      <c r="AD613" s="499"/>
      <c r="AE613" s="499"/>
      <c r="AF613" s="499"/>
      <c r="AG613" s="499"/>
      <c r="AH613" s="499"/>
      <c r="AI613" s="1483"/>
      <c r="AJ613" s="1515"/>
      <c r="AK613" s="1515"/>
    </row>
    <row r="614">
      <c r="A614" s="499"/>
      <c r="B614" s="1501"/>
      <c r="C614" s="1502"/>
      <c r="D614" s="1503"/>
      <c r="E614" s="1503"/>
      <c r="F614" s="1504"/>
      <c r="G614" s="1504"/>
      <c r="H614" s="483"/>
      <c r="I614" s="1505"/>
      <c r="J614" s="1516" t="s">
        <v>123</v>
      </c>
      <c r="K614" s="1506"/>
      <c r="L614" s="1506"/>
      <c r="M614" s="1479"/>
      <c r="N614" s="1503"/>
      <c r="O614" s="1503"/>
      <c r="P614" s="1503"/>
      <c r="Q614" s="1503"/>
      <c r="R614" s="1503"/>
      <c r="S614" s="1504"/>
      <c r="T614" s="1504"/>
      <c r="U614" s="483"/>
      <c r="V614" s="1505"/>
      <c r="W614" s="1516" t="s">
        <v>123</v>
      </c>
      <c r="X614" s="1506"/>
      <c r="Y614" s="1506"/>
      <c r="Z614" s="1481"/>
      <c r="AA614" s="499"/>
      <c r="AB614" s="499"/>
      <c r="AC614" s="499"/>
      <c r="AD614" s="499"/>
      <c r="AE614" s="499"/>
      <c r="AF614" s="499"/>
      <c r="AG614" s="499"/>
      <c r="AH614" s="499"/>
      <c r="AI614" s="1483"/>
      <c r="AJ614" s="1515"/>
      <c r="AK614" s="1515"/>
    </row>
    <row r="615">
      <c r="A615" s="499"/>
      <c r="B615" s="1501"/>
      <c r="C615" s="1502"/>
      <c r="D615" s="1503"/>
      <c r="E615" s="1503"/>
      <c r="F615" s="1504"/>
      <c r="G615" s="1504"/>
      <c r="H615" s="483"/>
      <c r="I615" s="1505"/>
      <c r="J615" s="1516" t="s">
        <v>123</v>
      </c>
      <c r="K615" s="1506"/>
      <c r="L615" s="1506"/>
      <c r="M615" s="1479"/>
      <c r="N615" s="1503"/>
      <c r="O615" s="1503"/>
      <c r="P615" s="1503"/>
      <c r="Q615" s="1503"/>
      <c r="R615" s="1503"/>
      <c r="S615" s="1504"/>
      <c r="T615" s="1504"/>
      <c r="U615" s="483"/>
      <c r="V615" s="1505"/>
      <c r="W615" s="1516" t="s">
        <v>123</v>
      </c>
      <c r="X615" s="1506"/>
      <c r="Y615" s="1506"/>
      <c r="Z615" s="1481"/>
      <c r="AA615" s="499"/>
      <c r="AB615" s="499"/>
      <c r="AC615" s="499"/>
      <c r="AD615" s="499"/>
      <c r="AE615" s="499"/>
      <c r="AF615" s="499"/>
      <c r="AG615" s="499"/>
      <c r="AH615" s="499"/>
      <c r="AI615" s="1483"/>
      <c r="AJ615" s="1515"/>
      <c r="AK615" s="1515"/>
    </row>
    <row r="616">
      <c r="A616" s="499"/>
      <c r="B616" s="1501"/>
      <c r="C616" s="1502"/>
      <c r="D616" s="1503"/>
      <c r="E616" s="1503"/>
      <c r="F616" s="1504"/>
      <c r="G616" s="1504"/>
      <c r="H616" s="483"/>
      <c r="I616" s="1505"/>
      <c r="J616" s="1516" t="s">
        <v>123</v>
      </c>
      <c r="K616" s="1506"/>
      <c r="L616" s="1506"/>
      <c r="M616" s="1479"/>
      <c r="N616" s="1503"/>
      <c r="O616" s="1503"/>
      <c r="P616" s="1503"/>
      <c r="Q616" s="1503"/>
      <c r="R616" s="1503"/>
      <c r="S616" s="1504"/>
      <c r="T616" s="1504"/>
      <c r="U616" s="483"/>
      <c r="V616" s="1505"/>
      <c r="W616" s="1516" t="s">
        <v>123</v>
      </c>
      <c r="X616" s="1506"/>
      <c r="Y616" s="1506"/>
      <c r="Z616" s="1481"/>
      <c r="AA616" s="499"/>
      <c r="AB616" s="499"/>
      <c r="AC616" s="499"/>
      <c r="AD616" s="499"/>
      <c r="AE616" s="499"/>
      <c r="AF616" s="499"/>
      <c r="AG616" s="499"/>
      <c r="AH616" s="499"/>
      <c r="AI616" s="1483"/>
      <c r="AJ616" s="1515"/>
      <c r="AK616" s="1515"/>
    </row>
    <row r="617">
      <c r="A617" s="499"/>
      <c r="B617" s="1501"/>
      <c r="C617" s="1502"/>
      <c r="D617" s="1503"/>
      <c r="E617" s="1503"/>
      <c r="F617" s="1504"/>
      <c r="G617" s="1504"/>
      <c r="H617" s="483"/>
      <c r="I617" s="1505"/>
      <c r="J617" s="1516" t="s">
        <v>123</v>
      </c>
      <c r="K617" s="1506"/>
      <c r="L617" s="1506"/>
      <c r="M617" s="1479"/>
      <c r="N617" s="1503"/>
      <c r="O617" s="1503"/>
      <c r="P617" s="1503"/>
      <c r="Q617" s="1503"/>
      <c r="R617" s="1503"/>
      <c r="S617" s="1504"/>
      <c r="T617" s="1504"/>
      <c r="U617" s="483"/>
      <c r="V617" s="1505"/>
      <c r="W617" s="1516" t="s">
        <v>123</v>
      </c>
      <c r="X617" s="1506"/>
      <c r="Y617" s="1506"/>
      <c r="Z617" s="1481"/>
      <c r="AA617" s="499"/>
      <c r="AB617" s="499"/>
      <c r="AC617" s="499"/>
      <c r="AD617" s="499"/>
      <c r="AE617" s="499"/>
      <c r="AF617" s="499"/>
      <c r="AG617" s="499"/>
      <c r="AH617" s="499"/>
      <c r="AI617" s="1483"/>
      <c r="AJ617" s="1515"/>
      <c r="AK617" s="1515"/>
    </row>
    <row r="618">
      <c r="A618" s="499"/>
      <c r="B618" s="1501"/>
      <c r="C618" s="1502"/>
      <c r="D618" s="1503"/>
      <c r="E618" s="1503"/>
      <c r="F618" s="1504"/>
      <c r="G618" s="1504"/>
      <c r="H618" s="483"/>
      <c r="I618" s="1505"/>
      <c r="J618" s="1516" t="s">
        <v>123</v>
      </c>
      <c r="K618" s="1506"/>
      <c r="L618" s="1506"/>
      <c r="M618" s="1479"/>
      <c r="N618" s="1503"/>
      <c r="O618" s="1503"/>
      <c r="P618" s="1503"/>
      <c r="Q618" s="1503"/>
      <c r="R618" s="1503"/>
      <c r="S618" s="1504"/>
      <c r="T618" s="1504"/>
      <c r="U618" s="483"/>
      <c r="V618" s="1505"/>
      <c r="W618" s="1516" t="s">
        <v>123</v>
      </c>
      <c r="X618" s="1506"/>
      <c r="Y618" s="1506"/>
      <c r="Z618" s="1481"/>
      <c r="AA618" s="499"/>
      <c r="AB618" s="499"/>
      <c r="AC618" s="499"/>
      <c r="AD618" s="499"/>
      <c r="AE618" s="499"/>
      <c r="AF618" s="499"/>
      <c r="AG618" s="499"/>
      <c r="AH618" s="499"/>
      <c r="AI618" s="1483"/>
      <c r="AJ618" s="1515"/>
      <c r="AK618" s="1515"/>
    </row>
    <row r="619">
      <c r="A619" s="499"/>
      <c r="B619" s="1501"/>
      <c r="C619" s="1502"/>
      <c r="D619" s="1503"/>
      <c r="E619" s="1503"/>
      <c r="F619" s="1504"/>
      <c r="G619" s="1504"/>
      <c r="H619" s="483"/>
      <c r="I619" s="1505"/>
      <c r="J619" s="1516" t="s">
        <v>123</v>
      </c>
      <c r="K619" s="1506"/>
      <c r="L619" s="1506"/>
      <c r="M619" s="1479"/>
      <c r="N619" s="1503"/>
      <c r="O619" s="1503"/>
      <c r="P619" s="1503"/>
      <c r="Q619" s="1503"/>
      <c r="R619" s="1503"/>
      <c r="S619" s="1504"/>
      <c r="T619" s="1504"/>
      <c r="U619" s="483"/>
      <c r="V619" s="1505"/>
      <c r="W619" s="1516" t="s">
        <v>123</v>
      </c>
      <c r="X619" s="1506"/>
      <c r="Y619" s="1506"/>
      <c r="Z619" s="1481"/>
      <c r="AA619" s="499"/>
      <c r="AB619" s="499"/>
      <c r="AC619" s="499"/>
      <c r="AD619" s="499"/>
      <c r="AE619" s="499"/>
      <c r="AF619" s="499"/>
      <c r="AG619" s="499"/>
      <c r="AH619" s="499"/>
      <c r="AI619" s="1483"/>
      <c r="AJ619" s="1515"/>
      <c r="AK619" s="1515"/>
    </row>
    <row r="620">
      <c r="A620" s="499"/>
      <c r="B620" s="1501"/>
      <c r="C620" s="1502"/>
      <c r="D620" s="1503"/>
      <c r="E620" s="1503"/>
      <c r="F620" s="1504"/>
      <c r="G620" s="1504"/>
      <c r="H620" s="483"/>
      <c r="I620" s="1505"/>
      <c r="J620" s="1516" t="s">
        <v>123</v>
      </c>
      <c r="K620" s="1506"/>
      <c r="L620" s="1506"/>
      <c r="M620" s="1479"/>
      <c r="N620" s="1503"/>
      <c r="O620" s="1503"/>
      <c r="P620" s="1503"/>
      <c r="Q620" s="1503"/>
      <c r="R620" s="1503"/>
      <c r="S620" s="1504"/>
      <c r="T620" s="1504"/>
      <c r="U620" s="483"/>
      <c r="V620" s="1505"/>
      <c r="W620" s="1516" t="s">
        <v>123</v>
      </c>
      <c r="X620" s="1506"/>
      <c r="Y620" s="1506"/>
      <c r="Z620" s="1481"/>
      <c r="AA620" s="499"/>
      <c r="AB620" s="499"/>
      <c r="AC620" s="499"/>
      <c r="AD620" s="499"/>
      <c r="AE620" s="499"/>
      <c r="AF620" s="499"/>
      <c r="AG620" s="499"/>
      <c r="AH620" s="499"/>
      <c r="AI620" s="1483"/>
      <c r="AJ620" s="1515"/>
      <c r="AK620" s="1515"/>
    </row>
    <row r="621">
      <c r="A621" s="499"/>
      <c r="B621" s="1501"/>
      <c r="C621" s="1502"/>
      <c r="D621" s="1503"/>
      <c r="E621" s="1503"/>
      <c r="F621" s="1504"/>
      <c r="G621" s="1504"/>
      <c r="H621" s="483"/>
      <c r="I621" s="1505"/>
      <c r="J621" s="1516" t="s">
        <v>123</v>
      </c>
      <c r="K621" s="1506"/>
      <c r="L621" s="1506"/>
      <c r="M621" s="1479"/>
      <c r="N621" s="1503"/>
      <c r="O621" s="1503"/>
      <c r="P621" s="1503"/>
      <c r="Q621" s="1503"/>
      <c r="R621" s="1503"/>
      <c r="S621" s="1504"/>
      <c r="T621" s="1504"/>
      <c r="U621" s="483"/>
      <c r="V621" s="1505"/>
      <c r="W621" s="1516" t="s">
        <v>123</v>
      </c>
      <c r="X621" s="1506"/>
      <c r="Y621" s="1506"/>
      <c r="Z621" s="1481"/>
      <c r="AA621" s="499"/>
      <c r="AB621" s="499"/>
      <c r="AC621" s="499"/>
      <c r="AD621" s="499"/>
      <c r="AE621" s="499"/>
      <c r="AF621" s="499"/>
      <c r="AG621" s="499"/>
      <c r="AH621" s="499"/>
      <c r="AI621" s="1483"/>
      <c r="AJ621" s="1515"/>
      <c r="AK621" s="1515"/>
    </row>
    <row r="622">
      <c r="A622" s="499"/>
      <c r="B622" s="1501"/>
      <c r="C622" s="1502"/>
      <c r="D622" s="1503"/>
      <c r="E622" s="1503"/>
      <c r="F622" s="1504"/>
      <c r="G622" s="1504"/>
      <c r="H622" s="483"/>
      <c r="I622" s="1505"/>
      <c r="J622" s="1516" t="s">
        <v>123</v>
      </c>
      <c r="K622" s="1506"/>
      <c r="L622" s="1506"/>
      <c r="M622" s="1479"/>
      <c r="N622" s="1503"/>
      <c r="O622" s="1503"/>
      <c r="P622" s="1503"/>
      <c r="Q622" s="1503"/>
      <c r="R622" s="1503"/>
      <c r="S622" s="1504"/>
      <c r="T622" s="1504"/>
      <c r="U622" s="483"/>
      <c r="V622" s="1505"/>
      <c r="W622" s="1516" t="s">
        <v>123</v>
      </c>
      <c r="X622" s="1506"/>
      <c r="Y622" s="1506"/>
      <c r="Z622" s="1481"/>
      <c r="AA622" s="499"/>
      <c r="AB622" s="499"/>
      <c r="AC622" s="499"/>
      <c r="AD622" s="499"/>
      <c r="AE622" s="499"/>
      <c r="AF622" s="499"/>
      <c r="AG622" s="499"/>
      <c r="AH622" s="499"/>
      <c r="AI622" s="1483"/>
      <c r="AJ622" s="1515"/>
      <c r="AK622" s="1515"/>
    </row>
    <row r="623">
      <c r="A623" s="499"/>
      <c r="B623" s="1501"/>
      <c r="C623" s="1502"/>
      <c r="D623" s="1503"/>
      <c r="E623" s="1503"/>
      <c r="F623" s="1504"/>
      <c r="G623" s="1504"/>
      <c r="H623" s="483"/>
      <c r="I623" s="1505"/>
      <c r="J623" s="1516" t="s">
        <v>123</v>
      </c>
      <c r="K623" s="1506"/>
      <c r="L623" s="1506"/>
      <c r="M623" s="1479"/>
      <c r="N623" s="1503"/>
      <c r="O623" s="1503"/>
      <c r="P623" s="1503"/>
      <c r="Q623" s="1503"/>
      <c r="R623" s="1503"/>
      <c r="S623" s="1504"/>
      <c r="T623" s="1504"/>
      <c r="U623" s="483"/>
      <c r="V623" s="1505"/>
      <c r="W623" s="1516" t="s">
        <v>123</v>
      </c>
      <c r="X623" s="1506"/>
      <c r="Y623" s="1506"/>
      <c r="Z623" s="1481"/>
      <c r="AA623" s="499"/>
      <c r="AB623" s="499"/>
      <c r="AC623" s="499"/>
      <c r="AD623" s="499"/>
      <c r="AE623" s="499"/>
      <c r="AF623" s="499"/>
      <c r="AG623" s="499"/>
      <c r="AH623" s="499"/>
      <c r="AI623" s="1483"/>
      <c r="AJ623" s="1515"/>
      <c r="AK623" s="1515"/>
    </row>
    <row r="624">
      <c r="A624" s="499"/>
      <c r="B624" s="1501"/>
      <c r="C624" s="1502"/>
      <c r="D624" s="1503"/>
      <c r="E624" s="1503"/>
      <c r="F624" s="1504"/>
      <c r="G624" s="1504"/>
      <c r="H624" s="483"/>
      <c r="I624" s="1505"/>
      <c r="J624" s="1516" t="s">
        <v>123</v>
      </c>
      <c r="K624" s="1506"/>
      <c r="L624" s="1506"/>
      <c r="M624" s="1479"/>
      <c r="N624" s="1503"/>
      <c r="O624" s="1503"/>
      <c r="P624" s="1503"/>
      <c r="Q624" s="1503"/>
      <c r="R624" s="1503"/>
      <c r="S624" s="1504"/>
      <c r="T624" s="1504"/>
      <c r="U624" s="483"/>
      <c r="V624" s="1505"/>
      <c r="W624" s="1516" t="s">
        <v>123</v>
      </c>
      <c r="X624" s="1506"/>
      <c r="Y624" s="1506"/>
      <c r="Z624" s="1481"/>
      <c r="AA624" s="499"/>
      <c r="AB624" s="499"/>
      <c r="AC624" s="499"/>
      <c r="AD624" s="499"/>
      <c r="AE624" s="499"/>
      <c r="AF624" s="499"/>
      <c r="AG624" s="499"/>
      <c r="AH624" s="499"/>
      <c r="AI624" s="1483"/>
      <c r="AJ624" s="1515"/>
      <c r="AK624" s="1515"/>
    </row>
    <row r="625">
      <c r="A625" s="499"/>
      <c r="B625" s="1501"/>
      <c r="C625" s="1502"/>
      <c r="D625" s="1503"/>
      <c r="E625" s="1503"/>
      <c r="F625" s="1504"/>
      <c r="G625" s="1504"/>
      <c r="H625" s="483"/>
      <c r="I625" s="1505"/>
      <c r="J625" s="1516" t="s">
        <v>123</v>
      </c>
      <c r="K625" s="1506"/>
      <c r="L625" s="1506"/>
      <c r="M625" s="1479"/>
      <c r="N625" s="1503"/>
      <c r="O625" s="1503"/>
      <c r="P625" s="1503"/>
      <c r="Q625" s="1503"/>
      <c r="R625" s="1503"/>
      <c r="S625" s="1504"/>
      <c r="T625" s="1504"/>
      <c r="U625" s="483"/>
      <c r="V625" s="1505"/>
      <c r="W625" s="1516" t="s">
        <v>123</v>
      </c>
      <c r="X625" s="1506"/>
      <c r="Y625" s="1506"/>
      <c r="Z625" s="1481"/>
      <c r="AA625" s="499"/>
      <c r="AB625" s="499"/>
      <c r="AC625" s="499"/>
      <c r="AD625" s="499"/>
      <c r="AE625" s="499"/>
      <c r="AF625" s="499"/>
      <c r="AG625" s="499"/>
      <c r="AH625" s="499"/>
      <c r="AI625" s="1483"/>
      <c r="AJ625" s="1515"/>
      <c r="AK625" s="1515"/>
    </row>
    <row r="626">
      <c r="A626" s="499"/>
      <c r="B626" s="1501"/>
      <c r="C626" s="1502"/>
      <c r="D626" s="1503"/>
      <c r="E626" s="1503"/>
      <c r="F626" s="1504"/>
      <c r="G626" s="1504"/>
      <c r="H626" s="483"/>
      <c r="I626" s="1505"/>
      <c r="J626" s="1516" t="s">
        <v>123</v>
      </c>
      <c r="K626" s="1506"/>
      <c r="L626" s="1506"/>
      <c r="M626" s="1479"/>
      <c r="N626" s="1503"/>
      <c r="O626" s="1503"/>
      <c r="P626" s="1503"/>
      <c r="Q626" s="1503"/>
      <c r="R626" s="1503"/>
      <c r="S626" s="1504"/>
      <c r="T626" s="1504"/>
      <c r="U626" s="483"/>
      <c r="V626" s="1505"/>
      <c r="W626" s="1516" t="s">
        <v>123</v>
      </c>
      <c r="X626" s="1506"/>
      <c r="Y626" s="1506"/>
      <c r="Z626" s="1481"/>
      <c r="AA626" s="499"/>
      <c r="AB626" s="499"/>
      <c r="AC626" s="499"/>
      <c r="AD626" s="499"/>
      <c r="AE626" s="499"/>
      <c r="AF626" s="499"/>
      <c r="AG626" s="499"/>
      <c r="AH626" s="499"/>
      <c r="AI626" s="1483"/>
      <c r="AJ626" s="1515"/>
      <c r="AK626" s="1515"/>
    </row>
    <row r="627">
      <c r="A627" s="499"/>
      <c r="B627" s="1501"/>
      <c r="C627" s="1502"/>
      <c r="D627" s="1503"/>
      <c r="E627" s="1503"/>
      <c r="F627" s="1504"/>
      <c r="G627" s="1504"/>
      <c r="H627" s="483"/>
      <c r="I627" s="1505"/>
      <c r="J627" s="1516" t="s">
        <v>123</v>
      </c>
      <c r="K627" s="1506"/>
      <c r="L627" s="1506"/>
      <c r="M627" s="1479"/>
      <c r="N627" s="1503"/>
      <c r="O627" s="1503"/>
      <c r="P627" s="1503"/>
      <c r="Q627" s="1503"/>
      <c r="R627" s="1503"/>
      <c r="S627" s="1504"/>
      <c r="T627" s="1504"/>
      <c r="U627" s="483"/>
      <c r="V627" s="1505"/>
      <c r="W627" s="1516" t="s">
        <v>123</v>
      </c>
      <c r="X627" s="1506"/>
      <c r="Y627" s="1506"/>
      <c r="Z627" s="1481"/>
      <c r="AA627" s="499"/>
      <c r="AB627" s="499"/>
      <c r="AC627" s="499"/>
      <c r="AD627" s="499"/>
      <c r="AE627" s="499"/>
      <c r="AF627" s="499"/>
      <c r="AG627" s="499"/>
      <c r="AH627" s="499"/>
      <c r="AI627" s="1483"/>
      <c r="AJ627" s="1515"/>
      <c r="AK627" s="1515"/>
    </row>
    <row r="628">
      <c r="A628" s="499"/>
      <c r="B628" s="1501"/>
      <c r="C628" s="1502"/>
      <c r="D628" s="1503"/>
      <c r="E628" s="1503"/>
      <c r="F628" s="1504"/>
      <c r="G628" s="1504"/>
      <c r="H628" s="483"/>
      <c r="I628" s="1505"/>
      <c r="J628" s="1516" t="s">
        <v>123</v>
      </c>
      <c r="K628" s="1506"/>
      <c r="L628" s="1506"/>
      <c r="M628" s="1479"/>
      <c r="N628" s="1503"/>
      <c r="O628" s="1503"/>
      <c r="P628" s="1503"/>
      <c r="Q628" s="1503"/>
      <c r="R628" s="1503"/>
      <c r="S628" s="1504"/>
      <c r="T628" s="1504"/>
      <c r="U628" s="483"/>
      <c r="V628" s="1505"/>
      <c r="W628" s="1516" t="s">
        <v>123</v>
      </c>
      <c r="X628" s="1506"/>
      <c r="Y628" s="1506"/>
      <c r="Z628" s="1481"/>
      <c r="AA628" s="499"/>
      <c r="AB628" s="499"/>
      <c r="AC628" s="499"/>
      <c r="AD628" s="499"/>
      <c r="AE628" s="499"/>
      <c r="AF628" s="499"/>
      <c r="AG628" s="499"/>
      <c r="AH628" s="499"/>
      <c r="AI628" s="1483"/>
      <c r="AJ628" s="1515"/>
      <c r="AK628" s="1515"/>
    </row>
    <row r="629">
      <c r="A629" s="499"/>
      <c r="B629" s="1501"/>
      <c r="C629" s="1502"/>
      <c r="D629" s="1503"/>
      <c r="E629" s="1503"/>
      <c r="F629" s="1504"/>
      <c r="G629" s="1504"/>
      <c r="H629" s="483"/>
      <c r="I629" s="1505"/>
      <c r="J629" s="1516" t="s">
        <v>123</v>
      </c>
      <c r="K629" s="1506"/>
      <c r="L629" s="1506"/>
      <c r="M629" s="1479"/>
      <c r="N629" s="1503"/>
      <c r="O629" s="1503"/>
      <c r="P629" s="1503"/>
      <c r="Q629" s="1503"/>
      <c r="R629" s="1503"/>
      <c r="S629" s="1504"/>
      <c r="T629" s="1504"/>
      <c r="U629" s="483"/>
      <c r="V629" s="1505"/>
      <c r="W629" s="1516" t="s">
        <v>123</v>
      </c>
      <c r="X629" s="1506"/>
      <c r="Y629" s="1506"/>
      <c r="Z629" s="1481"/>
      <c r="AA629" s="499"/>
      <c r="AB629" s="499"/>
      <c r="AC629" s="499"/>
      <c r="AD629" s="499"/>
      <c r="AE629" s="499"/>
      <c r="AF629" s="499"/>
      <c r="AG629" s="499"/>
      <c r="AH629" s="499"/>
      <c r="AI629" s="1483"/>
      <c r="AJ629" s="1515"/>
      <c r="AK629" s="1515"/>
    </row>
    <row r="630">
      <c r="A630" s="499"/>
      <c r="B630" s="1501"/>
      <c r="C630" s="1502"/>
      <c r="D630" s="1503"/>
      <c r="E630" s="1503"/>
      <c r="F630" s="1504"/>
      <c r="G630" s="1504"/>
      <c r="H630" s="483"/>
      <c r="I630" s="1505"/>
      <c r="J630" s="1516" t="s">
        <v>123</v>
      </c>
      <c r="K630" s="1506"/>
      <c r="L630" s="1506"/>
      <c r="M630" s="1479"/>
      <c r="N630" s="1503"/>
      <c r="O630" s="1503"/>
      <c r="P630" s="1503"/>
      <c r="Q630" s="1503"/>
      <c r="R630" s="1503"/>
      <c r="S630" s="1504"/>
      <c r="T630" s="1504"/>
      <c r="U630" s="483"/>
      <c r="V630" s="1505"/>
      <c r="W630" s="1516" t="s">
        <v>123</v>
      </c>
      <c r="X630" s="1506"/>
      <c r="Y630" s="1506"/>
      <c r="Z630" s="1481"/>
      <c r="AA630" s="499"/>
      <c r="AB630" s="499"/>
      <c r="AC630" s="499"/>
      <c r="AD630" s="499"/>
      <c r="AE630" s="499"/>
      <c r="AF630" s="499"/>
      <c r="AG630" s="499"/>
      <c r="AH630" s="499"/>
      <c r="AI630" s="1483"/>
      <c r="AJ630" s="1515"/>
      <c r="AK630" s="1515"/>
    </row>
    <row r="631">
      <c r="A631" s="499"/>
      <c r="B631" s="1501"/>
      <c r="C631" s="1502"/>
      <c r="D631" s="1503"/>
      <c r="E631" s="1503"/>
      <c r="F631" s="1504"/>
      <c r="G631" s="1504"/>
      <c r="H631" s="483"/>
      <c r="I631" s="1505"/>
      <c r="J631" s="1516" t="s">
        <v>123</v>
      </c>
      <c r="K631" s="1506"/>
      <c r="L631" s="1506"/>
      <c r="M631" s="1479"/>
      <c r="N631" s="1503"/>
      <c r="O631" s="1503"/>
      <c r="P631" s="1503"/>
      <c r="Q631" s="1503"/>
      <c r="R631" s="1503"/>
      <c r="S631" s="1504"/>
      <c r="T631" s="1504"/>
      <c r="U631" s="483"/>
      <c r="V631" s="1505"/>
      <c r="W631" s="1516" t="s">
        <v>123</v>
      </c>
      <c r="X631" s="1506"/>
      <c r="Y631" s="1506"/>
      <c r="Z631" s="1481"/>
      <c r="AA631" s="499"/>
      <c r="AB631" s="499"/>
      <c r="AC631" s="499"/>
      <c r="AD631" s="499"/>
      <c r="AE631" s="499"/>
      <c r="AF631" s="499"/>
      <c r="AG631" s="499"/>
      <c r="AH631" s="499"/>
      <c r="AI631" s="1483"/>
      <c r="AJ631" s="1515"/>
      <c r="AK631" s="1515"/>
    </row>
    <row r="632">
      <c r="A632" s="499"/>
      <c r="B632" s="1501"/>
      <c r="C632" s="1502"/>
      <c r="D632" s="1503"/>
      <c r="E632" s="1503"/>
      <c r="F632" s="1504"/>
      <c r="G632" s="1504"/>
      <c r="H632" s="483"/>
      <c r="I632" s="1505"/>
      <c r="J632" s="1516" t="s">
        <v>123</v>
      </c>
      <c r="K632" s="1506"/>
      <c r="L632" s="1506"/>
      <c r="M632" s="1479"/>
      <c r="N632" s="1503"/>
      <c r="O632" s="1503"/>
      <c r="P632" s="1503"/>
      <c r="Q632" s="1503"/>
      <c r="R632" s="1503"/>
      <c r="S632" s="1504"/>
      <c r="T632" s="1504"/>
      <c r="U632" s="483"/>
      <c r="V632" s="1505"/>
      <c r="W632" s="1516" t="s">
        <v>123</v>
      </c>
      <c r="X632" s="1506"/>
      <c r="Y632" s="1506"/>
      <c r="Z632" s="1481"/>
      <c r="AA632" s="499"/>
      <c r="AB632" s="499"/>
      <c r="AC632" s="499"/>
      <c r="AD632" s="499"/>
      <c r="AE632" s="499"/>
      <c r="AF632" s="499"/>
      <c r="AG632" s="499"/>
      <c r="AH632" s="499"/>
      <c r="AI632" s="1483"/>
      <c r="AJ632" s="1515"/>
      <c r="AK632" s="1515"/>
    </row>
    <row r="633">
      <c r="A633" s="499"/>
      <c r="B633" s="1501"/>
      <c r="C633" s="1502"/>
      <c r="D633" s="1503"/>
      <c r="E633" s="1503"/>
      <c r="F633" s="1504"/>
      <c r="G633" s="1504"/>
      <c r="H633" s="483"/>
      <c r="I633" s="1505"/>
      <c r="J633" s="1516" t="s">
        <v>123</v>
      </c>
      <c r="K633" s="1506"/>
      <c r="L633" s="1506"/>
      <c r="M633" s="1479"/>
      <c r="N633" s="1503"/>
      <c r="O633" s="1503"/>
      <c r="P633" s="1503"/>
      <c r="Q633" s="1503"/>
      <c r="R633" s="1503"/>
      <c r="S633" s="1504"/>
      <c r="T633" s="1504"/>
      <c r="U633" s="483"/>
      <c r="V633" s="1505"/>
      <c r="W633" s="1516" t="s">
        <v>123</v>
      </c>
      <c r="X633" s="1506"/>
      <c r="Y633" s="1506"/>
      <c r="Z633" s="1481"/>
      <c r="AA633" s="499"/>
      <c r="AB633" s="499"/>
      <c r="AC633" s="499"/>
      <c r="AD633" s="499"/>
      <c r="AE633" s="499"/>
      <c r="AF633" s="499"/>
      <c r="AG633" s="499"/>
      <c r="AH633" s="499"/>
      <c r="AI633" s="1483"/>
      <c r="AJ633" s="1515"/>
      <c r="AK633" s="1515"/>
    </row>
    <row r="634">
      <c r="A634" s="499"/>
      <c r="B634" s="1501"/>
      <c r="C634" s="1502"/>
      <c r="D634" s="1503"/>
      <c r="E634" s="1503"/>
      <c r="F634" s="1504"/>
      <c r="G634" s="1504"/>
      <c r="H634" s="483"/>
      <c r="I634" s="1505"/>
      <c r="J634" s="1516" t="s">
        <v>123</v>
      </c>
      <c r="K634" s="1506"/>
      <c r="L634" s="1506"/>
      <c r="M634" s="1479"/>
      <c r="N634" s="1503"/>
      <c r="O634" s="1503"/>
      <c r="P634" s="1503"/>
      <c r="Q634" s="1503"/>
      <c r="R634" s="1503"/>
      <c r="S634" s="1504"/>
      <c r="T634" s="1504"/>
      <c r="U634" s="483"/>
      <c r="V634" s="1505"/>
      <c r="W634" s="1516" t="s">
        <v>123</v>
      </c>
      <c r="X634" s="1506"/>
      <c r="Y634" s="1506"/>
      <c r="Z634" s="1481"/>
      <c r="AA634" s="499"/>
      <c r="AB634" s="499"/>
      <c r="AC634" s="499"/>
      <c r="AD634" s="499"/>
      <c r="AE634" s="499"/>
      <c r="AF634" s="499"/>
      <c r="AG634" s="499"/>
      <c r="AH634" s="499"/>
      <c r="AI634" s="1483"/>
      <c r="AJ634" s="1515"/>
      <c r="AK634" s="1515"/>
    </row>
    <row r="635">
      <c r="A635" s="499"/>
      <c r="B635" s="1501"/>
      <c r="C635" s="1502"/>
      <c r="D635" s="1503"/>
      <c r="E635" s="1503"/>
      <c r="F635" s="1504"/>
      <c r="G635" s="1504"/>
      <c r="H635" s="483"/>
      <c r="I635" s="1505"/>
      <c r="J635" s="1516" t="s">
        <v>123</v>
      </c>
      <c r="K635" s="1506"/>
      <c r="L635" s="1506"/>
      <c r="M635" s="1479"/>
      <c r="N635" s="1503"/>
      <c r="O635" s="1503"/>
      <c r="P635" s="1503"/>
      <c r="Q635" s="1503"/>
      <c r="R635" s="1503"/>
      <c r="S635" s="1504"/>
      <c r="T635" s="1504"/>
      <c r="U635" s="483"/>
      <c r="V635" s="1505"/>
      <c r="W635" s="1516" t="s">
        <v>123</v>
      </c>
      <c r="X635" s="1506"/>
      <c r="Y635" s="1506"/>
      <c r="Z635" s="1481"/>
      <c r="AA635" s="499"/>
      <c r="AB635" s="499"/>
      <c r="AC635" s="499"/>
      <c r="AD635" s="499"/>
      <c r="AE635" s="499"/>
      <c r="AF635" s="499"/>
      <c r="AG635" s="499"/>
      <c r="AH635" s="499"/>
      <c r="AI635" s="1483"/>
      <c r="AJ635" s="1515"/>
      <c r="AK635" s="1515"/>
    </row>
    <row r="636">
      <c r="A636" s="499"/>
      <c r="B636" s="1501"/>
      <c r="C636" s="1502"/>
      <c r="D636" s="1503"/>
      <c r="E636" s="1503"/>
      <c r="F636" s="1504"/>
      <c r="G636" s="1504"/>
      <c r="H636" s="483"/>
      <c r="I636" s="1505"/>
      <c r="J636" s="1516" t="s">
        <v>123</v>
      </c>
      <c r="K636" s="1506"/>
      <c r="L636" s="1506"/>
      <c r="M636" s="1479"/>
      <c r="N636" s="1503"/>
      <c r="O636" s="1503"/>
      <c r="P636" s="1503"/>
      <c r="Q636" s="1503"/>
      <c r="R636" s="1503"/>
      <c r="S636" s="1504"/>
      <c r="T636" s="1504"/>
      <c r="U636" s="483"/>
      <c r="V636" s="1505"/>
      <c r="W636" s="1516" t="s">
        <v>123</v>
      </c>
      <c r="X636" s="1506"/>
      <c r="Y636" s="1506"/>
      <c r="Z636" s="1481"/>
      <c r="AA636" s="499"/>
      <c r="AB636" s="499"/>
      <c r="AC636" s="499"/>
      <c r="AD636" s="499"/>
      <c r="AE636" s="499"/>
      <c r="AF636" s="499"/>
      <c r="AG636" s="499"/>
      <c r="AH636" s="499"/>
      <c r="AI636" s="1483"/>
      <c r="AJ636" s="1515"/>
      <c r="AK636" s="1515"/>
    </row>
    <row r="637">
      <c r="A637" s="499"/>
      <c r="B637" s="1501"/>
      <c r="C637" s="1502"/>
      <c r="D637" s="1503"/>
      <c r="E637" s="1503"/>
      <c r="F637" s="1504"/>
      <c r="G637" s="1504"/>
      <c r="H637" s="483"/>
      <c r="I637" s="1505"/>
      <c r="J637" s="1516" t="s">
        <v>123</v>
      </c>
      <c r="K637" s="1506"/>
      <c r="L637" s="1506"/>
      <c r="M637" s="1479"/>
      <c r="N637" s="1503"/>
      <c r="O637" s="1503"/>
      <c r="P637" s="1503"/>
      <c r="Q637" s="1503"/>
      <c r="R637" s="1503"/>
      <c r="S637" s="1504"/>
      <c r="T637" s="1504"/>
      <c r="U637" s="483"/>
      <c r="V637" s="1505"/>
      <c r="W637" s="1516" t="s">
        <v>123</v>
      </c>
      <c r="X637" s="1506"/>
      <c r="Y637" s="1506"/>
      <c r="Z637" s="1481"/>
      <c r="AA637" s="499"/>
      <c r="AB637" s="499"/>
      <c r="AC637" s="499"/>
      <c r="AD637" s="499"/>
      <c r="AE637" s="499"/>
      <c r="AF637" s="499"/>
      <c r="AG637" s="499"/>
      <c r="AH637" s="499"/>
      <c r="AI637" s="1483"/>
      <c r="AJ637" s="1515"/>
      <c r="AK637" s="1515"/>
    </row>
    <row r="638">
      <c r="A638" s="499"/>
      <c r="B638" s="1501"/>
      <c r="C638" s="1502"/>
      <c r="D638" s="1503"/>
      <c r="E638" s="1503"/>
      <c r="F638" s="1504"/>
      <c r="G638" s="1504"/>
      <c r="H638" s="483"/>
      <c r="I638" s="1505"/>
      <c r="J638" s="1516" t="s">
        <v>123</v>
      </c>
      <c r="K638" s="1506"/>
      <c r="L638" s="1506"/>
      <c r="M638" s="1479"/>
      <c r="N638" s="1503"/>
      <c r="O638" s="1503"/>
      <c r="P638" s="1503"/>
      <c r="Q638" s="1503"/>
      <c r="R638" s="1503"/>
      <c r="S638" s="1504"/>
      <c r="T638" s="1504"/>
      <c r="U638" s="483"/>
      <c r="V638" s="1505"/>
      <c r="W638" s="1516" t="s">
        <v>123</v>
      </c>
      <c r="X638" s="1506"/>
      <c r="Y638" s="1506"/>
      <c r="Z638" s="1481"/>
      <c r="AA638" s="499"/>
      <c r="AB638" s="499"/>
      <c r="AC638" s="499"/>
      <c r="AD638" s="499"/>
      <c r="AE638" s="499"/>
      <c r="AF638" s="499"/>
      <c r="AG638" s="499"/>
      <c r="AH638" s="499"/>
      <c r="AI638" s="1483"/>
      <c r="AJ638" s="1515"/>
      <c r="AK638" s="1515"/>
    </row>
    <row r="639">
      <c r="A639" s="499"/>
      <c r="B639" s="1501"/>
      <c r="C639" s="1502"/>
      <c r="D639" s="1503"/>
      <c r="E639" s="1503"/>
      <c r="F639" s="1504"/>
      <c r="G639" s="1504"/>
      <c r="H639" s="483"/>
      <c r="I639" s="1505"/>
      <c r="J639" s="1516" t="s">
        <v>123</v>
      </c>
      <c r="K639" s="1506"/>
      <c r="L639" s="1506"/>
      <c r="M639" s="1479"/>
      <c r="N639" s="1503"/>
      <c r="O639" s="1503"/>
      <c r="P639" s="1503"/>
      <c r="Q639" s="1503"/>
      <c r="R639" s="1503"/>
      <c r="S639" s="1504"/>
      <c r="T639" s="1504"/>
      <c r="U639" s="483"/>
      <c r="V639" s="1505"/>
      <c r="W639" s="1516" t="s">
        <v>123</v>
      </c>
      <c r="X639" s="1506"/>
      <c r="Y639" s="1506"/>
      <c r="Z639" s="1481"/>
      <c r="AA639" s="499"/>
      <c r="AB639" s="499"/>
      <c r="AC639" s="499"/>
      <c r="AD639" s="499"/>
      <c r="AE639" s="499"/>
      <c r="AF639" s="499"/>
      <c r="AG639" s="499"/>
      <c r="AH639" s="499"/>
      <c r="AI639" s="1483"/>
      <c r="AJ639" s="1515"/>
      <c r="AK639" s="1515"/>
    </row>
    <row r="640">
      <c r="A640" s="499"/>
      <c r="B640" s="1501"/>
      <c r="C640" s="1502"/>
      <c r="D640" s="1503"/>
      <c r="E640" s="1503"/>
      <c r="F640" s="1504"/>
      <c r="G640" s="1504"/>
      <c r="H640" s="483"/>
      <c r="I640" s="1505"/>
      <c r="J640" s="1516" t="s">
        <v>123</v>
      </c>
      <c r="K640" s="1506"/>
      <c r="L640" s="1506"/>
      <c r="M640" s="1479"/>
      <c r="N640" s="1503"/>
      <c r="O640" s="1503"/>
      <c r="P640" s="1503"/>
      <c r="Q640" s="1503"/>
      <c r="R640" s="1503"/>
      <c r="S640" s="1504"/>
      <c r="T640" s="1504"/>
      <c r="U640" s="483"/>
      <c r="V640" s="1505"/>
      <c r="W640" s="1516" t="s">
        <v>123</v>
      </c>
      <c r="X640" s="1506"/>
      <c r="Y640" s="1506"/>
      <c r="Z640" s="1481"/>
      <c r="AA640" s="499"/>
      <c r="AB640" s="499"/>
      <c r="AC640" s="499"/>
      <c r="AD640" s="499"/>
      <c r="AE640" s="499"/>
      <c r="AF640" s="499"/>
      <c r="AG640" s="499"/>
      <c r="AH640" s="499"/>
      <c r="AI640" s="1483"/>
      <c r="AJ640" s="1515"/>
      <c r="AK640" s="1515"/>
    </row>
    <row r="641">
      <c r="A641" s="499"/>
      <c r="B641" s="1501"/>
      <c r="C641" s="1502"/>
      <c r="D641" s="1503"/>
      <c r="E641" s="1503"/>
      <c r="F641" s="1504"/>
      <c r="G641" s="1504"/>
      <c r="H641" s="483"/>
      <c r="I641" s="1505"/>
      <c r="J641" s="1516" t="s">
        <v>123</v>
      </c>
      <c r="K641" s="1506"/>
      <c r="L641" s="1506"/>
      <c r="M641" s="1479"/>
      <c r="N641" s="1503"/>
      <c r="O641" s="1503"/>
      <c r="P641" s="1503"/>
      <c r="Q641" s="1503"/>
      <c r="R641" s="1503"/>
      <c r="S641" s="1504"/>
      <c r="T641" s="1504"/>
      <c r="U641" s="483"/>
      <c r="V641" s="1505"/>
      <c r="W641" s="1516" t="s">
        <v>123</v>
      </c>
      <c r="X641" s="1506"/>
      <c r="Y641" s="1506"/>
      <c r="Z641" s="1481"/>
      <c r="AA641" s="499"/>
      <c r="AB641" s="499"/>
      <c r="AC641" s="499"/>
      <c r="AD641" s="499"/>
      <c r="AE641" s="499"/>
      <c r="AF641" s="499"/>
      <c r="AG641" s="499"/>
      <c r="AH641" s="499"/>
      <c r="AI641" s="1483"/>
      <c r="AJ641" s="1515"/>
      <c r="AK641" s="1515"/>
    </row>
    <row r="642">
      <c r="A642" s="499"/>
      <c r="B642" s="1501"/>
      <c r="C642" s="1502"/>
      <c r="D642" s="1503"/>
      <c r="E642" s="1503"/>
      <c r="F642" s="1504"/>
      <c r="G642" s="1504"/>
      <c r="H642" s="483"/>
      <c r="I642" s="1505"/>
      <c r="J642" s="1516" t="s">
        <v>123</v>
      </c>
      <c r="K642" s="1506"/>
      <c r="L642" s="1506"/>
      <c r="M642" s="1479"/>
      <c r="N642" s="1503"/>
      <c r="O642" s="1503"/>
      <c r="P642" s="1503"/>
      <c r="Q642" s="1503"/>
      <c r="R642" s="1503"/>
      <c r="S642" s="1504"/>
      <c r="T642" s="1504"/>
      <c r="U642" s="483"/>
      <c r="V642" s="1505"/>
      <c r="W642" s="1516" t="s">
        <v>123</v>
      </c>
      <c r="X642" s="1506"/>
      <c r="Y642" s="1506"/>
      <c r="Z642" s="1481"/>
      <c r="AA642" s="499"/>
      <c r="AB642" s="499"/>
      <c r="AC642" s="499"/>
      <c r="AD642" s="499"/>
      <c r="AE642" s="499"/>
      <c r="AF642" s="499"/>
      <c r="AG642" s="499"/>
      <c r="AH642" s="499"/>
      <c r="AI642" s="1483"/>
      <c r="AJ642" s="1515"/>
      <c r="AK642" s="1515"/>
    </row>
    <row r="643">
      <c r="A643" s="499"/>
      <c r="B643" s="1501"/>
      <c r="C643" s="1502"/>
      <c r="D643" s="1503"/>
      <c r="E643" s="1503"/>
      <c r="F643" s="1504"/>
      <c r="G643" s="1504"/>
      <c r="H643" s="483"/>
      <c r="I643" s="1505"/>
      <c r="J643" s="1516" t="s">
        <v>123</v>
      </c>
      <c r="K643" s="1506"/>
      <c r="L643" s="1506"/>
      <c r="M643" s="1479"/>
      <c r="N643" s="1503"/>
      <c r="O643" s="1503"/>
      <c r="P643" s="1503"/>
      <c r="Q643" s="1503"/>
      <c r="R643" s="1503"/>
      <c r="S643" s="1504"/>
      <c r="T643" s="1504"/>
      <c r="U643" s="483"/>
      <c r="V643" s="1505"/>
      <c r="W643" s="1516" t="s">
        <v>123</v>
      </c>
      <c r="X643" s="1506"/>
      <c r="Y643" s="1506"/>
      <c r="Z643" s="1481"/>
      <c r="AA643" s="499"/>
      <c r="AB643" s="499"/>
      <c r="AC643" s="499"/>
      <c r="AD643" s="499"/>
      <c r="AE643" s="499"/>
      <c r="AF643" s="499"/>
      <c r="AG643" s="499"/>
      <c r="AH643" s="499"/>
      <c r="AI643" s="1483"/>
      <c r="AJ643" s="1515"/>
      <c r="AK643" s="1515"/>
    </row>
    <row r="644">
      <c r="A644" s="499"/>
      <c r="B644" s="1501"/>
      <c r="C644" s="1502"/>
      <c r="D644" s="1503"/>
      <c r="E644" s="1503"/>
      <c r="F644" s="1504"/>
      <c r="G644" s="1504"/>
      <c r="H644" s="483"/>
      <c r="I644" s="1505"/>
      <c r="J644" s="1516" t="s">
        <v>123</v>
      </c>
      <c r="K644" s="1506"/>
      <c r="L644" s="1506"/>
      <c r="M644" s="1479"/>
      <c r="N644" s="1503"/>
      <c r="O644" s="1503"/>
      <c r="P644" s="1503"/>
      <c r="Q644" s="1503"/>
      <c r="R644" s="1503"/>
      <c r="S644" s="1504"/>
      <c r="T644" s="1504"/>
      <c r="U644" s="483"/>
      <c r="V644" s="1505"/>
      <c r="W644" s="1516" t="s">
        <v>123</v>
      </c>
      <c r="X644" s="1506"/>
      <c r="Y644" s="1506"/>
      <c r="Z644" s="1481"/>
      <c r="AA644" s="499"/>
      <c r="AB644" s="499"/>
      <c r="AC644" s="499"/>
      <c r="AD644" s="499"/>
      <c r="AE644" s="499"/>
      <c r="AF644" s="499"/>
      <c r="AG644" s="499"/>
      <c r="AH644" s="499"/>
      <c r="AI644" s="1483"/>
      <c r="AJ644" s="1515"/>
      <c r="AK644" s="1515"/>
    </row>
    <row r="645">
      <c r="A645" s="499"/>
      <c r="B645" s="1501"/>
      <c r="C645" s="1502"/>
      <c r="D645" s="1503"/>
      <c r="E645" s="1503"/>
      <c r="F645" s="1504"/>
      <c r="G645" s="1504"/>
      <c r="H645" s="483"/>
      <c r="I645" s="1505"/>
      <c r="J645" s="1516" t="s">
        <v>123</v>
      </c>
      <c r="K645" s="1506"/>
      <c r="L645" s="1506"/>
      <c r="M645" s="1479"/>
      <c r="N645" s="1503"/>
      <c r="O645" s="1503"/>
      <c r="P645" s="1503"/>
      <c r="Q645" s="1503"/>
      <c r="R645" s="1503"/>
      <c r="S645" s="1504"/>
      <c r="T645" s="1504"/>
      <c r="U645" s="483"/>
      <c r="V645" s="1505"/>
      <c r="W645" s="1516" t="s">
        <v>123</v>
      </c>
      <c r="X645" s="1506"/>
      <c r="Y645" s="1506"/>
      <c r="Z645" s="1481"/>
      <c r="AA645" s="499"/>
      <c r="AB645" s="499"/>
      <c r="AC645" s="499"/>
      <c r="AD645" s="499"/>
      <c r="AE645" s="499"/>
      <c r="AF645" s="499"/>
      <c r="AG645" s="499"/>
      <c r="AH645" s="499"/>
      <c r="AI645" s="1483"/>
      <c r="AJ645" s="1515"/>
      <c r="AK645" s="1515"/>
    </row>
    <row r="646">
      <c r="A646" s="499"/>
      <c r="B646" s="1501"/>
      <c r="C646" s="1502"/>
      <c r="D646" s="1503"/>
      <c r="E646" s="1503"/>
      <c r="F646" s="1504"/>
      <c r="G646" s="1504"/>
      <c r="H646" s="483"/>
      <c r="I646" s="1505"/>
      <c r="J646" s="1516" t="s">
        <v>123</v>
      </c>
      <c r="K646" s="1506"/>
      <c r="L646" s="1506"/>
      <c r="M646" s="1479"/>
      <c r="N646" s="1503"/>
      <c r="O646" s="1503"/>
      <c r="P646" s="1503"/>
      <c r="Q646" s="1503"/>
      <c r="R646" s="1503"/>
      <c r="S646" s="1504"/>
      <c r="T646" s="1504"/>
      <c r="U646" s="483"/>
      <c r="V646" s="1505"/>
      <c r="W646" s="1516" t="s">
        <v>123</v>
      </c>
      <c r="X646" s="1506"/>
      <c r="Y646" s="1506"/>
      <c r="Z646" s="1481"/>
      <c r="AA646" s="499"/>
      <c r="AB646" s="499"/>
      <c r="AC646" s="499"/>
      <c r="AD646" s="499"/>
      <c r="AE646" s="499"/>
      <c r="AF646" s="499"/>
      <c r="AG646" s="499"/>
      <c r="AH646" s="499"/>
      <c r="AI646" s="1483"/>
      <c r="AJ646" s="1515"/>
      <c r="AK646" s="1515"/>
    </row>
    <row r="647">
      <c r="A647" s="499"/>
      <c r="B647" s="1501"/>
      <c r="C647" s="1502"/>
      <c r="D647" s="1503"/>
      <c r="E647" s="1503"/>
      <c r="F647" s="1504"/>
      <c r="G647" s="1504"/>
      <c r="H647" s="483"/>
      <c r="I647" s="1505"/>
      <c r="J647" s="1516" t="s">
        <v>123</v>
      </c>
      <c r="K647" s="1506"/>
      <c r="L647" s="1506"/>
      <c r="M647" s="1479"/>
      <c r="N647" s="1503"/>
      <c r="O647" s="1503"/>
      <c r="P647" s="1503"/>
      <c r="Q647" s="1503"/>
      <c r="R647" s="1503"/>
      <c r="S647" s="1504"/>
      <c r="T647" s="1504"/>
      <c r="U647" s="483"/>
      <c r="V647" s="1505"/>
      <c r="W647" s="1516" t="s">
        <v>123</v>
      </c>
      <c r="X647" s="1506"/>
      <c r="Y647" s="1506"/>
      <c r="Z647" s="1481"/>
      <c r="AA647" s="499"/>
      <c r="AB647" s="499"/>
      <c r="AC647" s="499"/>
      <c r="AD647" s="499"/>
      <c r="AE647" s="499"/>
      <c r="AF647" s="499"/>
      <c r="AG647" s="499"/>
      <c r="AH647" s="499"/>
      <c r="AI647" s="1483"/>
      <c r="AJ647" s="1515"/>
      <c r="AK647" s="1515"/>
    </row>
    <row r="648">
      <c r="A648" s="499"/>
      <c r="B648" s="1501"/>
      <c r="C648" s="1502"/>
      <c r="D648" s="1503"/>
      <c r="E648" s="1503"/>
      <c r="F648" s="1504"/>
      <c r="G648" s="1504"/>
      <c r="H648" s="483"/>
      <c r="I648" s="1505"/>
      <c r="J648" s="1516" t="s">
        <v>123</v>
      </c>
      <c r="K648" s="1506"/>
      <c r="L648" s="1506"/>
      <c r="M648" s="1479"/>
      <c r="N648" s="1503"/>
      <c r="O648" s="1503"/>
      <c r="P648" s="1503"/>
      <c r="Q648" s="1503"/>
      <c r="R648" s="1503"/>
      <c r="S648" s="1504"/>
      <c r="T648" s="1504"/>
      <c r="U648" s="483"/>
      <c r="V648" s="1505"/>
      <c r="W648" s="1516" t="s">
        <v>123</v>
      </c>
      <c r="X648" s="1506"/>
      <c r="Y648" s="1506"/>
      <c r="Z648" s="1481"/>
      <c r="AA648" s="499"/>
      <c r="AB648" s="499"/>
      <c r="AC648" s="499"/>
      <c r="AD648" s="499"/>
      <c r="AE648" s="499"/>
      <c r="AF648" s="499"/>
      <c r="AG648" s="499"/>
      <c r="AH648" s="499"/>
      <c r="AI648" s="1483"/>
      <c r="AJ648" s="1515"/>
      <c r="AK648" s="1515"/>
    </row>
    <row r="649">
      <c r="A649" s="499"/>
      <c r="B649" s="1501"/>
      <c r="C649" s="1502"/>
      <c r="D649" s="1503"/>
      <c r="E649" s="1503"/>
      <c r="F649" s="1504"/>
      <c r="G649" s="1504"/>
      <c r="H649" s="483"/>
      <c r="I649" s="1505"/>
      <c r="J649" s="1516" t="s">
        <v>123</v>
      </c>
      <c r="K649" s="1506"/>
      <c r="L649" s="1506"/>
      <c r="M649" s="1479"/>
      <c r="N649" s="1503"/>
      <c r="O649" s="1503"/>
      <c r="P649" s="1503"/>
      <c r="Q649" s="1503"/>
      <c r="R649" s="1503"/>
      <c r="S649" s="1504"/>
      <c r="T649" s="1504"/>
      <c r="U649" s="483"/>
      <c r="V649" s="1505"/>
      <c r="W649" s="1516" t="s">
        <v>123</v>
      </c>
      <c r="X649" s="1506"/>
      <c r="Y649" s="1506"/>
      <c r="Z649" s="1481"/>
      <c r="AA649" s="499"/>
      <c r="AB649" s="499"/>
      <c r="AC649" s="499"/>
      <c r="AD649" s="499"/>
      <c r="AE649" s="499"/>
      <c r="AF649" s="499"/>
      <c r="AG649" s="499"/>
      <c r="AH649" s="499"/>
      <c r="AI649" s="1483"/>
      <c r="AJ649" s="1515"/>
      <c r="AK649" s="1515"/>
    </row>
    <row r="650">
      <c r="A650" s="499"/>
      <c r="B650" s="1501"/>
      <c r="C650" s="1502"/>
      <c r="D650" s="1503"/>
      <c r="E650" s="1503"/>
      <c r="F650" s="1504"/>
      <c r="G650" s="1504"/>
      <c r="H650" s="483"/>
      <c r="I650" s="1505"/>
      <c r="J650" s="1516" t="s">
        <v>123</v>
      </c>
      <c r="K650" s="1506"/>
      <c r="L650" s="1506"/>
      <c r="M650" s="1479"/>
      <c r="N650" s="1503"/>
      <c r="O650" s="1503"/>
      <c r="P650" s="1503"/>
      <c r="Q650" s="1503"/>
      <c r="R650" s="1503"/>
      <c r="S650" s="1504"/>
      <c r="T650" s="1504"/>
      <c r="U650" s="483"/>
      <c r="V650" s="1505"/>
      <c r="W650" s="1516" t="s">
        <v>123</v>
      </c>
      <c r="X650" s="1506"/>
      <c r="Y650" s="1506"/>
      <c r="Z650" s="1481"/>
      <c r="AA650" s="499"/>
      <c r="AB650" s="499"/>
      <c r="AC650" s="499"/>
      <c r="AD650" s="499"/>
      <c r="AE650" s="499"/>
      <c r="AF650" s="499"/>
      <c r="AG650" s="499"/>
      <c r="AH650" s="499"/>
      <c r="AI650" s="1483"/>
      <c r="AJ650" s="1515"/>
      <c r="AK650" s="1515"/>
    </row>
    <row r="651">
      <c r="A651" s="499"/>
      <c r="B651" s="1501"/>
      <c r="C651" s="1502"/>
      <c r="D651" s="1503"/>
      <c r="E651" s="1503"/>
      <c r="F651" s="1504"/>
      <c r="G651" s="1504"/>
      <c r="H651" s="483"/>
      <c r="I651" s="1505"/>
      <c r="J651" s="1516" t="s">
        <v>123</v>
      </c>
      <c r="K651" s="1506"/>
      <c r="L651" s="1506"/>
      <c r="M651" s="1479"/>
      <c r="N651" s="1503"/>
      <c r="O651" s="1503"/>
      <c r="P651" s="1503"/>
      <c r="Q651" s="1503"/>
      <c r="R651" s="1503"/>
      <c r="S651" s="1504"/>
      <c r="T651" s="1504"/>
      <c r="U651" s="483"/>
      <c r="V651" s="1505"/>
      <c r="W651" s="1516" t="s">
        <v>123</v>
      </c>
      <c r="X651" s="1506"/>
      <c r="Y651" s="1506"/>
      <c r="Z651" s="1481"/>
      <c r="AA651" s="499"/>
      <c r="AB651" s="499"/>
      <c r="AC651" s="499"/>
      <c r="AD651" s="499"/>
      <c r="AE651" s="499"/>
      <c r="AF651" s="499"/>
      <c r="AG651" s="499"/>
      <c r="AH651" s="499"/>
      <c r="AI651" s="1483"/>
      <c r="AJ651" s="1515"/>
      <c r="AK651" s="1515"/>
    </row>
    <row r="652">
      <c r="A652" s="499"/>
      <c r="B652" s="1501"/>
      <c r="C652" s="1502"/>
      <c r="D652" s="1503"/>
      <c r="E652" s="1503"/>
      <c r="F652" s="1504"/>
      <c r="G652" s="1504"/>
      <c r="H652" s="483"/>
      <c r="I652" s="1505"/>
      <c r="J652" s="1516" t="s">
        <v>123</v>
      </c>
      <c r="K652" s="1506"/>
      <c r="L652" s="1506"/>
      <c r="M652" s="1479"/>
      <c r="N652" s="1503"/>
      <c r="O652" s="1503"/>
      <c r="P652" s="1503"/>
      <c r="Q652" s="1503"/>
      <c r="R652" s="1503"/>
      <c r="S652" s="1504"/>
      <c r="T652" s="1504"/>
      <c r="U652" s="483"/>
      <c r="V652" s="1505"/>
      <c r="W652" s="1516" t="s">
        <v>123</v>
      </c>
      <c r="X652" s="1506"/>
      <c r="Y652" s="1506"/>
      <c r="Z652" s="1481"/>
      <c r="AA652" s="499"/>
      <c r="AB652" s="499"/>
      <c r="AC652" s="499"/>
      <c r="AD652" s="499"/>
      <c r="AE652" s="499"/>
      <c r="AF652" s="499"/>
      <c r="AG652" s="499"/>
      <c r="AH652" s="499"/>
      <c r="AI652" s="1483"/>
      <c r="AJ652" s="1515"/>
      <c r="AK652" s="1515"/>
    </row>
    <row r="653">
      <c r="A653" s="499"/>
      <c r="B653" s="1501"/>
      <c r="C653" s="1502"/>
      <c r="D653" s="1503"/>
      <c r="E653" s="1503"/>
      <c r="F653" s="1504"/>
      <c r="G653" s="1504"/>
      <c r="H653" s="483"/>
      <c r="I653" s="1505"/>
      <c r="J653" s="1516" t="s">
        <v>123</v>
      </c>
      <c r="K653" s="1506"/>
      <c r="L653" s="1506"/>
      <c r="M653" s="1479"/>
      <c r="N653" s="1503"/>
      <c r="O653" s="1503"/>
      <c r="P653" s="1503"/>
      <c r="Q653" s="1503"/>
      <c r="R653" s="1503"/>
      <c r="S653" s="1504"/>
      <c r="T653" s="1504"/>
      <c r="U653" s="483"/>
      <c r="V653" s="1505"/>
      <c r="W653" s="1516" t="s">
        <v>123</v>
      </c>
      <c r="X653" s="1506"/>
      <c r="Y653" s="1506"/>
      <c r="Z653" s="1481"/>
      <c r="AA653" s="499"/>
      <c r="AB653" s="499"/>
      <c r="AC653" s="499"/>
      <c r="AD653" s="499"/>
      <c r="AE653" s="499"/>
      <c r="AF653" s="499"/>
      <c r="AG653" s="499"/>
      <c r="AH653" s="499"/>
      <c r="AI653" s="1483"/>
      <c r="AJ653" s="1515"/>
      <c r="AK653" s="1515"/>
    </row>
    <row r="654">
      <c r="A654" s="499"/>
      <c r="B654" s="1501"/>
      <c r="C654" s="1502"/>
      <c r="D654" s="1503"/>
      <c r="E654" s="1503"/>
      <c r="F654" s="1504"/>
      <c r="G654" s="1504"/>
      <c r="H654" s="483"/>
      <c r="I654" s="1505"/>
      <c r="J654" s="1516" t="s">
        <v>123</v>
      </c>
      <c r="K654" s="1506"/>
      <c r="L654" s="1506"/>
      <c r="M654" s="1479"/>
      <c r="N654" s="1503"/>
      <c r="O654" s="1503"/>
      <c r="P654" s="1503"/>
      <c r="Q654" s="1503"/>
      <c r="R654" s="1503"/>
      <c r="S654" s="1504"/>
      <c r="T654" s="1504"/>
      <c r="U654" s="483"/>
      <c r="V654" s="1505"/>
      <c r="W654" s="1516" t="s">
        <v>123</v>
      </c>
      <c r="X654" s="1506"/>
      <c r="Y654" s="1506"/>
      <c r="Z654" s="1481"/>
      <c r="AA654" s="499"/>
      <c r="AB654" s="499"/>
      <c r="AC654" s="499"/>
      <c r="AD654" s="499"/>
      <c r="AE654" s="499"/>
      <c r="AF654" s="499"/>
      <c r="AG654" s="499"/>
      <c r="AH654" s="499"/>
      <c r="AI654" s="1483"/>
      <c r="AJ654" s="1515"/>
      <c r="AK654" s="1515"/>
    </row>
    <row r="655">
      <c r="A655" s="499"/>
      <c r="B655" s="1501"/>
      <c r="C655" s="1502"/>
      <c r="D655" s="1503"/>
      <c r="E655" s="1503"/>
      <c r="F655" s="1504"/>
      <c r="G655" s="1504"/>
      <c r="H655" s="483"/>
      <c r="I655" s="1505"/>
      <c r="J655" s="1516" t="s">
        <v>123</v>
      </c>
      <c r="K655" s="1506"/>
      <c r="L655" s="1506"/>
      <c r="M655" s="1479"/>
      <c r="N655" s="1503"/>
      <c r="O655" s="1503"/>
      <c r="P655" s="1503"/>
      <c r="Q655" s="1503"/>
      <c r="R655" s="1503"/>
      <c r="S655" s="1504"/>
      <c r="T655" s="1504"/>
      <c r="U655" s="483"/>
      <c r="V655" s="1505"/>
      <c r="W655" s="1516" t="s">
        <v>123</v>
      </c>
      <c r="X655" s="1506"/>
      <c r="Y655" s="1506"/>
      <c r="Z655" s="1481"/>
      <c r="AA655" s="499"/>
      <c r="AB655" s="499"/>
      <c r="AC655" s="499"/>
      <c r="AD655" s="499"/>
      <c r="AE655" s="499"/>
      <c r="AF655" s="499"/>
      <c r="AG655" s="499"/>
      <c r="AH655" s="499"/>
      <c r="AI655" s="1483"/>
      <c r="AJ655" s="1515"/>
      <c r="AK655" s="1515"/>
    </row>
    <row r="656">
      <c r="A656" s="499"/>
      <c r="B656" s="1501"/>
      <c r="C656" s="1502"/>
      <c r="D656" s="1503"/>
      <c r="E656" s="1503"/>
      <c r="F656" s="1504"/>
      <c r="G656" s="1504"/>
      <c r="H656" s="483"/>
      <c r="I656" s="1505"/>
      <c r="J656" s="1516" t="s">
        <v>123</v>
      </c>
      <c r="K656" s="1506"/>
      <c r="L656" s="1506"/>
      <c r="M656" s="1479"/>
      <c r="N656" s="1503"/>
      <c r="O656" s="1503"/>
      <c r="P656" s="1503"/>
      <c r="Q656" s="1503"/>
      <c r="R656" s="1503"/>
      <c r="S656" s="1504"/>
      <c r="T656" s="1504"/>
      <c r="U656" s="483"/>
      <c r="V656" s="1505"/>
      <c r="W656" s="1516" t="s">
        <v>123</v>
      </c>
      <c r="X656" s="1506"/>
      <c r="Y656" s="1506"/>
      <c r="Z656" s="1481"/>
      <c r="AA656" s="499"/>
      <c r="AB656" s="499"/>
      <c r="AC656" s="499"/>
      <c r="AD656" s="499"/>
      <c r="AE656" s="499"/>
      <c r="AF656" s="499"/>
      <c r="AG656" s="499"/>
      <c r="AH656" s="499"/>
      <c r="AI656" s="1483"/>
      <c r="AJ656" s="1515"/>
      <c r="AK656" s="1515"/>
    </row>
    <row r="657">
      <c r="A657" s="499"/>
      <c r="B657" s="1501"/>
      <c r="C657" s="1502"/>
      <c r="D657" s="1503"/>
      <c r="E657" s="1503"/>
      <c r="F657" s="1504"/>
      <c r="G657" s="1504"/>
      <c r="H657" s="483"/>
      <c r="I657" s="1505"/>
      <c r="J657" s="1516" t="s">
        <v>123</v>
      </c>
      <c r="K657" s="1506"/>
      <c r="L657" s="1506"/>
      <c r="M657" s="1479"/>
      <c r="N657" s="1503"/>
      <c r="O657" s="1503"/>
      <c r="P657" s="1503"/>
      <c r="Q657" s="1503"/>
      <c r="R657" s="1503"/>
      <c r="S657" s="1504"/>
      <c r="T657" s="1504"/>
      <c r="U657" s="483"/>
      <c r="V657" s="1505"/>
      <c r="W657" s="1516" t="s">
        <v>123</v>
      </c>
      <c r="X657" s="1506"/>
      <c r="Y657" s="1506"/>
      <c r="Z657" s="1481"/>
      <c r="AA657" s="499"/>
      <c r="AB657" s="499"/>
      <c r="AC657" s="499"/>
      <c r="AD657" s="499"/>
      <c r="AE657" s="499"/>
      <c r="AF657" s="499"/>
      <c r="AG657" s="499"/>
      <c r="AH657" s="499"/>
      <c r="AI657" s="1483"/>
      <c r="AJ657" s="1515"/>
      <c r="AK657" s="1515"/>
    </row>
    <row r="658">
      <c r="A658" s="499"/>
      <c r="B658" s="1501"/>
      <c r="C658" s="1502"/>
      <c r="D658" s="1503"/>
      <c r="E658" s="1503"/>
      <c r="F658" s="1504"/>
      <c r="G658" s="1504"/>
      <c r="H658" s="483"/>
      <c r="I658" s="1505"/>
      <c r="J658" s="1516" t="s">
        <v>123</v>
      </c>
      <c r="K658" s="1506"/>
      <c r="L658" s="1506"/>
      <c r="M658" s="1479"/>
      <c r="N658" s="1503"/>
      <c r="O658" s="1503"/>
      <c r="P658" s="1503"/>
      <c r="Q658" s="1503"/>
      <c r="R658" s="1503"/>
      <c r="S658" s="1504"/>
      <c r="T658" s="1504"/>
      <c r="U658" s="483"/>
      <c r="V658" s="1505"/>
      <c r="W658" s="1516" t="s">
        <v>123</v>
      </c>
      <c r="X658" s="1506"/>
      <c r="Y658" s="1506"/>
      <c r="Z658" s="1481"/>
      <c r="AA658" s="499"/>
      <c r="AB658" s="499"/>
      <c r="AC658" s="499"/>
      <c r="AD658" s="499"/>
      <c r="AE658" s="499"/>
      <c r="AF658" s="499"/>
      <c r="AG658" s="499"/>
      <c r="AH658" s="499"/>
      <c r="AI658" s="1483"/>
      <c r="AJ658" s="1515"/>
      <c r="AK658" s="1515"/>
    </row>
    <row r="659">
      <c r="A659" s="499"/>
      <c r="B659" s="1501"/>
      <c r="C659" s="1502"/>
      <c r="D659" s="1503"/>
      <c r="E659" s="1503"/>
      <c r="F659" s="1504"/>
      <c r="G659" s="1504"/>
      <c r="H659" s="483"/>
      <c r="I659" s="1505"/>
      <c r="J659" s="1516" t="s">
        <v>123</v>
      </c>
      <c r="K659" s="1506"/>
      <c r="L659" s="1506"/>
      <c r="M659" s="1479"/>
      <c r="N659" s="1503"/>
      <c r="O659" s="1503"/>
      <c r="P659" s="1503"/>
      <c r="Q659" s="1503"/>
      <c r="R659" s="1503"/>
      <c r="S659" s="1504"/>
      <c r="T659" s="1504"/>
      <c r="U659" s="483"/>
      <c r="V659" s="1505"/>
      <c r="W659" s="1516" t="s">
        <v>123</v>
      </c>
      <c r="X659" s="1506"/>
      <c r="Y659" s="1506"/>
      <c r="Z659" s="1481"/>
      <c r="AA659" s="499"/>
      <c r="AB659" s="499"/>
      <c r="AC659" s="499"/>
      <c r="AD659" s="499"/>
      <c r="AE659" s="499"/>
      <c r="AF659" s="499"/>
      <c r="AG659" s="499"/>
      <c r="AH659" s="499"/>
      <c r="AI659" s="1483"/>
      <c r="AJ659" s="1515"/>
      <c r="AK659" s="1515"/>
    </row>
    <row r="660">
      <c r="A660" s="499"/>
      <c r="B660" s="1501"/>
      <c r="C660" s="1502"/>
      <c r="D660" s="1503"/>
      <c r="E660" s="1503"/>
      <c r="F660" s="1504"/>
      <c r="G660" s="1504"/>
      <c r="H660" s="483"/>
      <c r="I660" s="1505"/>
      <c r="J660" s="1516" t="s">
        <v>123</v>
      </c>
      <c r="K660" s="1506"/>
      <c r="L660" s="1506"/>
      <c r="M660" s="1479"/>
      <c r="N660" s="1503"/>
      <c r="O660" s="1503"/>
      <c r="P660" s="1503"/>
      <c r="Q660" s="1503"/>
      <c r="R660" s="1503"/>
      <c r="S660" s="1504"/>
      <c r="T660" s="1504"/>
      <c r="U660" s="483"/>
      <c r="V660" s="1505"/>
      <c r="W660" s="1516" t="s">
        <v>123</v>
      </c>
      <c r="X660" s="1506"/>
      <c r="Y660" s="1506"/>
      <c r="Z660" s="1481"/>
      <c r="AA660" s="499"/>
      <c r="AB660" s="499"/>
      <c r="AC660" s="499"/>
      <c r="AD660" s="499"/>
      <c r="AE660" s="499"/>
      <c r="AF660" s="499"/>
      <c r="AG660" s="499"/>
      <c r="AH660" s="499"/>
      <c r="AI660" s="1483"/>
      <c r="AJ660" s="1515"/>
      <c r="AK660" s="1515"/>
    </row>
    <row r="661">
      <c r="A661" s="499"/>
      <c r="B661" s="1501"/>
      <c r="C661" s="1502"/>
      <c r="D661" s="1503"/>
      <c r="E661" s="1503"/>
      <c r="F661" s="1504"/>
      <c r="G661" s="1504"/>
      <c r="H661" s="483"/>
      <c r="I661" s="1505"/>
      <c r="J661" s="1516" t="s">
        <v>123</v>
      </c>
      <c r="K661" s="1506"/>
      <c r="L661" s="1506"/>
      <c r="M661" s="1479"/>
      <c r="N661" s="1503"/>
      <c r="O661" s="1503"/>
      <c r="P661" s="1503"/>
      <c r="Q661" s="1503"/>
      <c r="R661" s="1503"/>
      <c r="S661" s="1504"/>
      <c r="T661" s="1504"/>
      <c r="U661" s="483"/>
      <c r="V661" s="1505"/>
      <c r="W661" s="1516" t="s">
        <v>123</v>
      </c>
      <c r="X661" s="1506"/>
      <c r="Y661" s="1506"/>
      <c r="Z661" s="1481"/>
      <c r="AA661" s="499"/>
      <c r="AB661" s="499"/>
      <c r="AC661" s="499"/>
      <c r="AD661" s="499"/>
      <c r="AE661" s="499"/>
      <c r="AF661" s="499"/>
      <c r="AG661" s="499"/>
      <c r="AH661" s="499"/>
      <c r="AI661" s="1483"/>
      <c r="AJ661" s="1515"/>
      <c r="AK661" s="1515"/>
    </row>
    <row r="662">
      <c r="A662" s="499"/>
      <c r="B662" s="1501"/>
      <c r="C662" s="1502"/>
      <c r="D662" s="1503"/>
      <c r="E662" s="1503"/>
      <c r="F662" s="1504"/>
      <c r="G662" s="1504"/>
      <c r="H662" s="483"/>
      <c r="I662" s="1505"/>
      <c r="J662" s="1516" t="s">
        <v>123</v>
      </c>
      <c r="K662" s="1506"/>
      <c r="L662" s="1506"/>
      <c r="M662" s="1479"/>
      <c r="N662" s="1503"/>
      <c r="O662" s="1503"/>
      <c r="P662" s="1503"/>
      <c r="Q662" s="1503"/>
      <c r="R662" s="1503"/>
      <c r="S662" s="1504"/>
      <c r="T662" s="1504"/>
      <c r="U662" s="483"/>
      <c r="V662" s="1505"/>
      <c r="W662" s="1516" t="s">
        <v>123</v>
      </c>
      <c r="X662" s="1506"/>
      <c r="Y662" s="1506"/>
      <c r="Z662" s="1481"/>
      <c r="AA662" s="499"/>
      <c r="AB662" s="499"/>
      <c r="AC662" s="499"/>
      <c r="AD662" s="499"/>
      <c r="AE662" s="499"/>
      <c r="AF662" s="499"/>
      <c r="AG662" s="499"/>
      <c r="AH662" s="499"/>
      <c r="AI662" s="1483"/>
      <c r="AJ662" s="1515"/>
      <c r="AK662" s="1515"/>
    </row>
    <row r="663">
      <c r="A663" s="499"/>
      <c r="B663" s="1501"/>
      <c r="C663" s="1502"/>
      <c r="D663" s="1503"/>
      <c r="E663" s="1503"/>
      <c r="F663" s="1504"/>
      <c r="G663" s="1504"/>
      <c r="H663" s="483"/>
      <c r="I663" s="1505"/>
      <c r="J663" s="1516" t="s">
        <v>123</v>
      </c>
      <c r="K663" s="1506"/>
      <c r="L663" s="1506"/>
      <c r="M663" s="1479"/>
      <c r="N663" s="1503"/>
      <c r="O663" s="1503"/>
      <c r="P663" s="1503"/>
      <c r="Q663" s="1503"/>
      <c r="R663" s="1503"/>
      <c r="S663" s="1504"/>
      <c r="T663" s="1504"/>
      <c r="U663" s="483"/>
      <c r="V663" s="1505"/>
      <c r="W663" s="1516" t="s">
        <v>123</v>
      </c>
      <c r="X663" s="1506"/>
      <c r="Y663" s="1506"/>
      <c r="Z663" s="1481"/>
      <c r="AA663" s="499"/>
      <c r="AB663" s="499"/>
      <c r="AC663" s="499"/>
      <c r="AD663" s="499"/>
      <c r="AE663" s="499"/>
      <c r="AF663" s="499"/>
      <c r="AG663" s="499"/>
      <c r="AH663" s="499"/>
      <c r="AI663" s="1483"/>
      <c r="AJ663" s="1515"/>
      <c r="AK663" s="1515"/>
    </row>
    <row r="664">
      <c r="A664" s="499"/>
      <c r="B664" s="1501"/>
      <c r="C664" s="1502"/>
      <c r="D664" s="1503"/>
      <c r="E664" s="1503"/>
      <c r="F664" s="1504"/>
      <c r="G664" s="1504"/>
      <c r="H664" s="483"/>
      <c r="I664" s="1505"/>
      <c r="J664" s="1516" t="s">
        <v>123</v>
      </c>
      <c r="K664" s="1506"/>
      <c r="L664" s="1506"/>
      <c r="M664" s="1479"/>
      <c r="N664" s="1503"/>
      <c r="O664" s="1503"/>
      <c r="P664" s="1503"/>
      <c r="Q664" s="1503"/>
      <c r="R664" s="1503"/>
      <c r="S664" s="1504"/>
      <c r="T664" s="1504"/>
      <c r="U664" s="483"/>
      <c r="V664" s="1505"/>
      <c r="W664" s="1516" t="s">
        <v>123</v>
      </c>
      <c r="X664" s="1506"/>
      <c r="Y664" s="1506"/>
      <c r="Z664" s="1481"/>
      <c r="AA664" s="499"/>
      <c r="AB664" s="499"/>
      <c r="AC664" s="499"/>
      <c r="AD664" s="499"/>
      <c r="AE664" s="499"/>
      <c r="AF664" s="499"/>
      <c r="AG664" s="499"/>
      <c r="AH664" s="499"/>
      <c r="AI664" s="1483"/>
      <c r="AJ664" s="1515"/>
      <c r="AK664" s="1515"/>
    </row>
    <row r="665">
      <c r="A665" s="499"/>
      <c r="B665" s="1501"/>
      <c r="C665" s="1502"/>
      <c r="D665" s="1503"/>
      <c r="E665" s="1503"/>
      <c r="F665" s="1504"/>
      <c r="G665" s="1504"/>
      <c r="H665" s="483"/>
      <c r="I665" s="1505"/>
      <c r="J665" s="1516" t="s">
        <v>123</v>
      </c>
      <c r="K665" s="1506"/>
      <c r="L665" s="1506"/>
      <c r="M665" s="1479"/>
      <c r="N665" s="1503"/>
      <c r="O665" s="1503"/>
      <c r="P665" s="1503"/>
      <c r="Q665" s="1503"/>
      <c r="R665" s="1503"/>
      <c r="S665" s="1504"/>
      <c r="T665" s="1504"/>
      <c r="U665" s="483"/>
      <c r="V665" s="1505"/>
      <c r="W665" s="1516" t="s">
        <v>123</v>
      </c>
      <c r="X665" s="1506"/>
      <c r="Y665" s="1506"/>
      <c r="Z665" s="1481"/>
      <c r="AA665" s="499"/>
      <c r="AB665" s="499"/>
      <c r="AC665" s="499"/>
      <c r="AD665" s="499"/>
      <c r="AE665" s="499"/>
      <c r="AF665" s="499"/>
      <c r="AG665" s="499"/>
      <c r="AH665" s="499"/>
      <c r="AI665" s="1483"/>
      <c r="AJ665" s="1515"/>
      <c r="AK665" s="1515"/>
    </row>
    <row r="666">
      <c r="A666" s="499"/>
      <c r="B666" s="1501"/>
      <c r="C666" s="1502"/>
      <c r="D666" s="1503"/>
      <c r="E666" s="1503"/>
      <c r="F666" s="1504"/>
      <c r="G666" s="1504"/>
      <c r="H666" s="483"/>
      <c r="I666" s="1505"/>
      <c r="J666" s="1516" t="s">
        <v>123</v>
      </c>
      <c r="K666" s="1506"/>
      <c r="L666" s="1506"/>
      <c r="M666" s="1479"/>
      <c r="N666" s="1503"/>
      <c r="O666" s="1503"/>
      <c r="P666" s="1503"/>
      <c r="Q666" s="1503"/>
      <c r="R666" s="1503"/>
      <c r="S666" s="1504"/>
      <c r="T666" s="1504"/>
      <c r="U666" s="483"/>
      <c r="V666" s="1505"/>
      <c r="W666" s="1516" t="s">
        <v>123</v>
      </c>
      <c r="X666" s="1506"/>
      <c r="Y666" s="1506"/>
      <c r="Z666" s="1481"/>
      <c r="AA666" s="499"/>
      <c r="AB666" s="499"/>
      <c r="AC666" s="499"/>
      <c r="AD666" s="499"/>
      <c r="AE666" s="499"/>
      <c r="AF666" s="499"/>
      <c r="AG666" s="499"/>
      <c r="AH666" s="499"/>
      <c r="AI666" s="1483"/>
      <c r="AJ666" s="1515"/>
      <c r="AK666" s="1515"/>
    </row>
    <row r="667">
      <c r="A667" s="499"/>
      <c r="B667" s="1501"/>
      <c r="C667" s="1502"/>
      <c r="D667" s="1503"/>
      <c r="E667" s="1503"/>
      <c r="F667" s="1504"/>
      <c r="G667" s="1504"/>
      <c r="H667" s="483"/>
      <c r="I667" s="1505"/>
      <c r="J667" s="1516" t="s">
        <v>123</v>
      </c>
      <c r="K667" s="1506"/>
      <c r="L667" s="1506"/>
      <c r="M667" s="1479"/>
      <c r="N667" s="1503"/>
      <c r="O667" s="1503"/>
      <c r="P667" s="1503"/>
      <c r="Q667" s="1503"/>
      <c r="R667" s="1503"/>
      <c r="S667" s="1504"/>
      <c r="T667" s="1504"/>
      <c r="U667" s="483"/>
      <c r="V667" s="1505"/>
      <c r="W667" s="1516" t="s">
        <v>123</v>
      </c>
      <c r="X667" s="1506"/>
      <c r="Y667" s="1506"/>
      <c r="Z667" s="1481"/>
      <c r="AA667" s="499"/>
      <c r="AB667" s="499"/>
      <c r="AC667" s="499"/>
      <c r="AD667" s="499"/>
      <c r="AE667" s="499"/>
      <c r="AF667" s="499"/>
      <c r="AG667" s="499"/>
      <c r="AH667" s="499"/>
      <c r="AI667" s="1483"/>
      <c r="AJ667" s="1515"/>
      <c r="AK667" s="1515"/>
    </row>
    <row r="668">
      <c r="A668" s="499"/>
      <c r="B668" s="1501"/>
      <c r="C668" s="1502"/>
      <c r="D668" s="1503"/>
      <c r="E668" s="1503"/>
      <c r="F668" s="1504"/>
      <c r="G668" s="1504"/>
      <c r="H668" s="483"/>
      <c r="I668" s="1505"/>
      <c r="J668" s="1516" t="s">
        <v>123</v>
      </c>
      <c r="K668" s="1506"/>
      <c r="L668" s="1506"/>
      <c r="M668" s="1479"/>
      <c r="N668" s="1503"/>
      <c r="O668" s="1503"/>
      <c r="P668" s="1503"/>
      <c r="Q668" s="1503"/>
      <c r="R668" s="1503"/>
      <c r="S668" s="1504"/>
      <c r="T668" s="1504"/>
      <c r="U668" s="483"/>
      <c r="V668" s="1505"/>
      <c r="W668" s="1516" t="s">
        <v>123</v>
      </c>
      <c r="X668" s="1506"/>
      <c r="Y668" s="1506"/>
      <c r="Z668" s="1481"/>
      <c r="AA668" s="499"/>
      <c r="AB668" s="499"/>
      <c r="AC668" s="499"/>
      <c r="AD668" s="499"/>
      <c r="AE668" s="499"/>
      <c r="AF668" s="499"/>
      <c r="AG668" s="499"/>
      <c r="AH668" s="499"/>
      <c r="AI668" s="1483"/>
      <c r="AJ668" s="1515"/>
      <c r="AK668" s="1515"/>
    </row>
    <row r="669">
      <c r="A669" s="499"/>
      <c r="B669" s="1501"/>
      <c r="C669" s="1502"/>
      <c r="D669" s="1503"/>
      <c r="E669" s="1503"/>
      <c r="F669" s="1504"/>
      <c r="G669" s="1504"/>
      <c r="H669" s="483"/>
      <c r="I669" s="1505"/>
      <c r="J669" s="1516" t="s">
        <v>123</v>
      </c>
      <c r="K669" s="1506"/>
      <c r="L669" s="1506"/>
      <c r="M669" s="1479"/>
      <c r="N669" s="1503"/>
      <c r="O669" s="1503"/>
      <c r="P669" s="1503"/>
      <c r="Q669" s="1503"/>
      <c r="R669" s="1503"/>
      <c r="S669" s="1504"/>
      <c r="T669" s="1504"/>
      <c r="U669" s="483"/>
      <c r="V669" s="1505"/>
      <c r="W669" s="1516" t="s">
        <v>123</v>
      </c>
      <c r="X669" s="1506"/>
      <c r="Y669" s="1506"/>
      <c r="Z669" s="1481"/>
      <c r="AA669" s="499"/>
      <c r="AB669" s="499"/>
      <c r="AC669" s="499"/>
      <c r="AD669" s="499"/>
      <c r="AE669" s="499"/>
      <c r="AF669" s="499"/>
      <c r="AG669" s="499"/>
      <c r="AH669" s="499"/>
      <c r="AI669" s="1483"/>
      <c r="AJ669" s="1515"/>
      <c r="AK669" s="1515"/>
    </row>
    <row r="670">
      <c r="A670" s="499"/>
      <c r="B670" s="1501"/>
      <c r="C670" s="1502"/>
      <c r="D670" s="1503"/>
      <c r="E670" s="1503"/>
      <c r="F670" s="1504"/>
      <c r="G670" s="1504"/>
      <c r="H670" s="483"/>
      <c r="I670" s="1505"/>
      <c r="J670" s="1516" t="s">
        <v>123</v>
      </c>
      <c r="K670" s="1506"/>
      <c r="L670" s="1506"/>
      <c r="M670" s="1479"/>
      <c r="N670" s="1503"/>
      <c r="O670" s="1503"/>
      <c r="P670" s="1503"/>
      <c r="Q670" s="1503"/>
      <c r="R670" s="1503"/>
      <c r="S670" s="1504"/>
      <c r="T670" s="1504"/>
      <c r="U670" s="483"/>
      <c r="V670" s="1505"/>
      <c r="W670" s="1516" t="s">
        <v>123</v>
      </c>
      <c r="X670" s="1506"/>
      <c r="Y670" s="1506"/>
      <c r="Z670" s="1481"/>
      <c r="AA670" s="499"/>
      <c r="AB670" s="499"/>
      <c r="AC670" s="499"/>
      <c r="AD670" s="499"/>
      <c r="AE670" s="499"/>
      <c r="AF670" s="499"/>
      <c r="AG670" s="499"/>
      <c r="AH670" s="499"/>
      <c r="AI670" s="1483"/>
      <c r="AJ670" s="1515"/>
      <c r="AK670" s="1515"/>
    </row>
    <row r="671">
      <c r="A671" s="499"/>
      <c r="B671" s="1501"/>
      <c r="C671" s="1502"/>
      <c r="D671" s="1503"/>
      <c r="E671" s="1503"/>
      <c r="F671" s="1504"/>
      <c r="G671" s="1504"/>
      <c r="H671" s="483"/>
      <c r="I671" s="1505"/>
      <c r="J671" s="1516" t="s">
        <v>123</v>
      </c>
      <c r="K671" s="1506"/>
      <c r="L671" s="1506"/>
      <c r="M671" s="1479"/>
      <c r="N671" s="1503"/>
      <c r="O671" s="1503"/>
      <c r="P671" s="1503"/>
      <c r="Q671" s="1503"/>
      <c r="R671" s="1503"/>
      <c r="S671" s="1504"/>
      <c r="T671" s="1504"/>
      <c r="U671" s="483"/>
      <c r="V671" s="1505"/>
      <c r="W671" s="1516" t="s">
        <v>123</v>
      </c>
      <c r="X671" s="1506"/>
      <c r="Y671" s="1506"/>
      <c r="Z671" s="1481"/>
      <c r="AA671" s="499"/>
      <c r="AB671" s="499"/>
      <c r="AC671" s="499"/>
      <c r="AD671" s="499"/>
      <c r="AE671" s="499"/>
      <c r="AF671" s="499"/>
      <c r="AG671" s="499"/>
      <c r="AH671" s="499"/>
      <c r="AI671" s="1483"/>
      <c r="AJ671" s="1515"/>
      <c r="AK671" s="1515"/>
    </row>
    <row r="672">
      <c r="A672" s="499"/>
      <c r="B672" s="1501"/>
      <c r="C672" s="1502"/>
      <c r="D672" s="1503"/>
      <c r="E672" s="1503"/>
      <c r="F672" s="1504"/>
      <c r="G672" s="1504"/>
      <c r="H672" s="483"/>
      <c r="I672" s="1505"/>
      <c r="J672" s="1516" t="s">
        <v>123</v>
      </c>
      <c r="K672" s="1506"/>
      <c r="L672" s="1506"/>
      <c r="M672" s="1479"/>
      <c r="N672" s="1503"/>
      <c r="O672" s="1503"/>
      <c r="P672" s="1503"/>
      <c r="Q672" s="1503"/>
      <c r="R672" s="1503"/>
      <c r="S672" s="1504"/>
      <c r="T672" s="1504"/>
      <c r="U672" s="483"/>
      <c r="V672" s="1505"/>
      <c r="W672" s="1516" t="s">
        <v>123</v>
      </c>
      <c r="X672" s="1506"/>
      <c r="Y672" s="1506"/>
      <c r="Z672" s="1481"/>
      <c r="AA672" s="499"/>
      <c r="AB672" s="499"/>
      <c r="AC672" s="499"/>
      <c r="AD672" s="499"/>
      <c r="AE672" s="499"/>
      <c r="AF672" s="499"/>
      <c r="AG672" s="499"/>
      <c r="AH672" s="499"/>
      <c r="AI672" s="1483"/>
      <c r="AJ672" s="1515"/>
      <c r="AK672" s="1515"/>
    </row>
    <row r="673">
      <c r="A673" s="499"/>
      <c r="B673" s="1501"/>
      <c r="C673" s="1502"/>
      <c r="D673" s="1503"/>
      <c r="E673" s="1503"/>
      <c r="F673" s="1504"/>
      <c r="G673" s="1504"/>
      <c r="H673" s="483"/>
      <c r="I673" s="1505"/>
      <c r="J673" s="1516" t="s">
        <v>123</v>
      </c>
      <c r="K673" s="1506"/>
      <c r="L673" s="1506"/>
      <c r="M673" s="1479"/>
      <c r="N673" s="1503"/>
      <c r="O673" s="1503"/>
      <c r="P673" s="1503"/>
      <c r="Q673" s="1503"/>
      <c r="R673" s="1503"/>
      <c r="S673" s="1504"/>
      <c r="T673" s="1504"/>
      <c r="U673" s="483"/>
      <c r="V673" s="1505"/>
      <c r="W673" s="1516" t="s">
        <v>123</v>
      </c>
      <c r="X673" s="1506"/>
      <c r="Y673" s="1506"/>
      <c r="Z673" s="1481"/>
      <c r="AA673" s="499"/>
      <c r="AB673" s="499"/>
      <c r="AC673" s="499"/>
      <c r="AD673" s="499"/>
      <c r="AE673" s="499"/>
      <c r="AF673" s="499"/>
      <c r="AG673" s="499"/>
      <c r="AH673" s="499"/>
      <c r="AI673" s="1483"/>
      <c r="AJ673" s="1515"/>
      <c r="AK673" s="1515"/>
    </row>
    <row r="674">
      <c r="A674" s="499"/>
      <c r="B674" s="1501"/>
      <c r="C674" s="1502"/>
      <c r="D674" s="1503"/>
      <c r="E674" s="1503"/>
      <c r="F674" s="1504"/>
      <c r="G674" s="1504"/>
      <c r="H674" s="483"/>
      <c r="I674" s="1505"/>
      <c r="J674" s="1516" t="s">
        <v>123</v>
      </c>
      <c r="K674" s="1506"/>
      <c r="L674" s="1506"/>
      <c r="M674" s="1479"/>
      <c r="N674" s="1503"/>
      <c r="O674" s="1503"/>
      <c r="P674" s="1503"/>
      <c r="Q674" s="1503"/>
      <c r="R674" s="1503"/>
      <c r="S674" s="1504"/>
      <c r="T674" s="1504"/>
      <c r="U674" s="483"/>
      <c r="V674" s="1505"/>
      <c r="W674" s="1516" t="s">
        <v>123</v>
      </c>
      <c r="X674" s="1506"/>
      <c r="Y674" s="1506"/>
      <c r="Z674" s="1481"/>
      <c r="AA674" s="499"/>
      <c r="AB674" s="499"/>
      <c r="AC674" s="499"/>
      <c r="AD674" s="499"/>
      <c r="AE674" s="499"/>
      <c r="AF674" s="499"/>
      <c r="AG674" s="499"/>
      <c r="AH674" s="499"/>
      <c r="AI674" s="1483"/>
      <c r="AJ674" s="1515"/>
      <c r="AK674" s="1515"/>
    </row>
    <row r="675">
      <c r="A675" s="499"/>
      <c r="B675" s="1501"/>
      <c r="C675" s="1502"/>
      <c r="D675" s="1503"/>
      <c r="E675" s="1503"/>
      <c r="F675" s="1504"/>
      <c r="G675" s="1504"/>
      <c r="H675" s="483"/>
      <c r="I675" s="1505"/>
      <c r="J675" s="1516" t="s">
        <v>123</v>
      </c>
      <c r="K675" s="1506"/>
      <c r="L675" s="1506"/>
      <c r="M675" s="1479"/>
      <c r="N675" s="1503"/>
      <c r="O675" s="1503"/>
      <c r="P675" s="1503"/>
      <c r="Q675" s="1503"/>
      <c r="R675" s="1503"/>
      <c r="S675" s="1504"/>
      <c r="T675" s="1504"/>
      <c r="U675" s="483"/>
      <c r="V675" s="1505"/>
      <c r="W675" s="1516" t="s">
        <v>123</v>
      </c>
      <c r="X675" s="1506"/>
      <c r="Y675" s="1506"/>
      <c r="Z675" s="1481"/>
      <c r="AA675" s="499"/>
      <c r="AB675" s="499"/>
      <c r="AC675" s="499"/>
      <c r="AD675" s="499"/>
      <c r="AE675" s="499"/>
      <c r="AF675" s="499"/>
      <c r="AG675" s="499"/>
      <c r="AH675" s="499"/>
      <c r="AI675" s="1483"/>
      <c r="AJ675" s="1515"/>
      <c r="AK675" s="1515"/>
    </row>
    <row r="676">
      <c r="A676" s="499"/>
      <c r="B676" s="1501"/>
      <c r="C676" s="1502"/>
      <c r="D676" s="1503"/>
      <c r="E676" s="1503"/>
      <c r="F676" s="1504"/>
      <c r="G676" s="1504"/>
      <c r="H676" s="483"/>
      <c r="I676" s="1505"/>
      <c r="J676" s="1516" t="s">
        <v>123</v>
      </c>
      <c r="K676" s="1506"/>
      <c r="L676" s="1506"/>
      <c r="M676" s="1479"/>
      <c r="N676" s="1503"/>
      <c r="O676" s="1503"/>
      <c r="P676" s="1503"/>
      <c r="Q676" s="1503"/>
      <c r="R676" s="1503"/>
      <c r="S676" s="1504"/>
      <c r="T676" s="1504"/>
      <c r="U676" s="483"/>
      <c r="V676" s="1505"/>
      <c r="W676" s="1516" t="s">
        <v>123</v>
      </c>
      <c r="X676" s="1506"/>
      <c r="Y676" s="1506"/>
      <c r="Z676" s="1481"/>
      <c r="AA676" s="499"/>
      <c r="AB676" s="499"/>
      <c r="AC676" s="499"/>
      <c r="AD676" s="499"/>
      <c r="AE676" s="499"/>
      <c r="AF676" s="499"/>
      <c r="AG676" s="499"/>
      <c r="AH676" s="499"/>
      <c r="AI676" s="1483"/>
      <c r="AJ676" s="1515"/>
      <c r="AK676" s="1515"/>
    </row>
    <row r="677">
      <c r="A677" s="499"/>
      <c r="B677" s="1501"/>
      <c r="C677" s="1502"/>
      <c r="D677" s="1503"/>
      <c r="E677" s="1503"/>
      <c r="F677" s="1504"/>
      <c r="G677" s="1504"/>
      <c r="H677" s="483"/>
      <c r="I677" s="1505"/>
      <c r="J677" s="1516" t="s">
        <v>123</v>
      </c>
      <c r="K677" s="1506"/>
      <c r="L677" s="1506"/>
      <c r="M677" s="1479"/>
      <c r="N677" s="1503"/>
      <c r="O677" s="1503"/>
      <c r="P677" s="1503"/>
      <c r="Q677" s="1503"/>
      <c r="R677" s="1503"/>
      <c r="S677" s="1504"/>
      <c r="T677" s="1504"/>
      <c r="U677" s="483"/>
      <c r="V677" s="1505"/>
      <c r="W677" s="1516" t="s">
        <v>123</v>
      </c>
      <c r="X677" s="1506"/>
      <c r="Y677" s="1506"/>
      <c r="Z677" s="1481"/>
      <c r="AA677" s="499"/>
      <c r="AB677" s="499"/>
      <c r="AC677" s="499"/>
      <c r="AD677" s="499"/>
      <c r="AE677" s="499"/>
      <c r="AF677" s="499"/>
      <c r="AG677" s="499"/>
      <c r="AH677" s="499"/>
      <c r="AI677" s="1483"/>
      <c r="AJ677" s="1515"/>
      <c r="AK677" s="1515"/>
    </row>
    <row r="678">
      <c r="A678" s="499"/>
      <c r="B678" s="1501"/>
      <c r="C678" s="1502"/>
      <c r="D678" s="1503"/>
      <c r="E678" s="1503"/>
      <c r="F678" s="1504"/>
      <c r="G678" s="1504"/>
      <c r="H678" s="483"/>
      <c r="I678" s="1505"/>
      <c r="J678" s="1516" t="s">
        <v>123</v>
      </c>
      <c r="K678" s="1506"/>
      <c r="L678" s="1506"/>
      <c r="M678" s="1479"/>
      <c r="N678" s="1503"/>
      <c r="O678" s="1503"/>
      <c r="P678" s="1503"/>
      <c r="Q678" s="1503"/>
      <c r="R678" s="1503"/>
      <c r="S678" s="1504"/>
      <c r="T678" s="1504"/>
      <c r="U678" s="483"/>
      <c r="V678" s="1505"/>
      <c r="W678" s="1516" t="s">
        <v>123</v>
      </c>
      <c r="X678" s="1506"/>
      <c r="Y678" s="1506"/>
      <c r="Z678" s="1481"/>
      <c r="AA678" s="499"/>
      <c r="AB678" s="499"/>
      <c r="AC678" s="499"/>
      <c r="AD678" s="499"/>
      <c r="AE678" s="499"/>
      <c r="AF678" s="499"/>
      <c r="AG678" s="499"/>
      <c r="AH678" s="499"/>
      <c r="AI678" s="1483"/>
      <c r="AJ678" s="1515"/>
      <c r="AK678" s="1515"/>
    </row>
    <row r="679">
      <c r="A679" s="499"/>
      <c r="B679" s="1501"/>
      <c r="C679" s="1502"/>
      <c r="D679" s="1503"/>
      <c r="E679" s="1503"/>
      <c r="F679" s="1504"/>
      <c r="G679" s="1504"/>
      <c r="H679" s="483"/>
      <c r="I679" s="1505"/>
      <c r="J679" s="1516" t="s">
        <v>123</v>
      </c>
      <c r="K679" s="1506"/>
      <c r="L679" s="1506"/>
      <c r="M679" s="1479"/>
      <c r="N679" s="1503"/>
      <c r="O679" s="1503"/>
      <c r="P679" s="1503"/>
      <c r="Q679" s="1503"/>
      <c r="R679" s="1503"/>
      <c r="S679" s="1504"/>
      <c r="T679" s="1504"/>
      <c r="U679" s="483"/>
      <c r="V679" s="1505"/>
      <c r="W679" s="1516" t="s">
        <v>123</v>
      </c>
      <c r="X679" s="1506"/>
      <c r="Y679" s="1506"/>
      <c r="Z679" s="1481"/>
      <c r="AA679" s="499"/>
      <c r="AB679" s="499"/>
      <c r="AC679" s="499"/>
      <c r="AD679" s="499"/>
      <c r="AE679" s="499"/>
      <c r="AF679" s="499"/>
      <c r="AG679" s="499"/>
      <c r="AH679" s="499"/>
      <c r="AI679" s="1483"/>
      <c r="AJ679" s="1515"/>
      <c r="AK679" s="1515"/>
    </row>
    <row r="680">
      <c r="A680" s="499"/>
      <c r="B680" s="1501"/>
      <c r="C680" s="1502"/>
      <c r="D680" s="1503"/>
      <c r="E680" s="1503"/>
      <c r="F680" s="1504"/>
      <c r="G680" s="1504"/>
      <c r="H680" s="483"/>
      <c r="I680" s="1505"/>
      <c r="J680" s="1516" t="s">
        <v>123</v>
      </c>
      <c r="K680" s="1506"/>
      <c r="L680" s="1506"/>
      <c r="M680" s="1479"/>
      <c r="N680" s="1503"/>
      <c r="O680" s="1503"/>
      <c r="P680" s="1503"/>
      <c r="Q680" s="1503"/>
      <c r="R680" s="1503"/>
      <c r="S680" s="1504"/>
      <c r="T680" s="1504"/>
      <c r="U680" s="483"/>
      <c r="V680" s="1505"/>
      <c r="W680" s="1516" t="s">
        <v>123</v>
      </c>
      <c r="X680" s="1506"/>
      <c r="Y680" s="1506"/>
      <c r="Z680" s="1481"/>
      <c r="AA680" s="499"/>
      <c r="AB680" s="499"/>
      <c r="AC680" s="499"/>
      <c r="AD680" s="499"/>
      <c r="AE680" s="499"/>
      <c r="AF680" s="499"/>
      <c r="AG680" s="499"/>
      <c r="AH680" s="499"/>
      <c r="AI680" s="1483"/>
      <c r="AJ680" s="1515"/>
      <c r="AK680" s="1515"/>
    </row>
    <row r="681">
      <c r="A681" s="499"/>
      <c r="B681" s="1501"/>
      <c r="C681" s="1502"/>
      <c r="D681" s="1503"/>
      <c r="E681" s="1503"/>
      <c r="F681" s="1504"/>
      <c r="G681" s="1504"/>
      <c r="H681" s="483"/>
      <c r="I681" s="1505"/>
      <c r="J681" s="1516" t="s">
        <v>123</v>
      </c>
      <c r="K681" s="1506"/>
      <c r="L681" s="1506"/>
      <c r="M681" s="1479"/>
      <c r="N681" s="1503"/>
      <c r="O681" s="1503"/>
      <c r="P681" s="1503"/>
      <c r="Q681" s="1503"/>
      <c r="R681" s="1503"/>
      <c r="S681" s="1504"/>
      <c r="T681" s="1504"/>
      <c r="U681" s="483"/>
      <c r="V681" s="1505"/>
      <c r="W681" s="1516" t="s">
        <v>123</v>
      </c>
      <c r="X681" s="1506"/>
      <c r="Y681" s="1506"/>
      <c r="Z681" s="1481"/>
      <c r="AA681" s="499"/>
      <c r="AB681" s="499"/>
      <c r="AC681" s="499"/>
      <c r="AD681" s="499"/>
      <c r="AE681" s="499"/>
      <c r="AF681" s="499"/>
      <c r="AG681" s="499"/>
      <c r="AH681" s="499"/>
      <c r="AI681" s="1483"/>
      <c r="AJ681" s="1515"/>
      <c r="AK681" s="1515"/>
    </row>
    <row r="682">
      <c r="A682" s="499"/>
      <c r="B682" s="1501"/>
      <c r="C682" s="1502"/>
      <c r="D682" s="1503"/>
      <c r="E682" s="1503"/>
      <c r="F682" s="1504"/>
      <c r="G682" s="1504"/>
      <c r="H682" s="483"/>
      <c r="I682" s="1505"/>
      <c r="J682" s="1516" t="s">
        <v>123</v>
      </c>
      <c r="K682" s="1506"/>
      <c r="L682" s="1506"/>
      <c r="M682" s="1479"/>
      <c r="N682" s="1503"/>
      <c r="O682" s="1503"/>
      <c r="P682" s="1503"/>
      <c r="Q682" s="1503"/>
      <c r="R682" s="1503"/>
      <c r="S682" s="1504"/>
      <c r="T682" s="1504"/>
      <c r="U682" s="483"/>
      <c r="V682" s="1505"/>
      <c r="W682" s="1516" t="s">
        <v>123</v>
      </c>
      <c r="X682" s="1506"/>
      <c r="Y682" s="1506"/>
      <c r="Z682" s="1481"/>
      <c r="AA682" s="499"/>
      <c r="AB682" s="499"/>
      <c r="AC682" s="499"/>
      <c r="AD682" s="499"/>
      <c r="AE682" s="499"/>
      <c r="AF682" s="499"/>
      <c r="AG682" s="499"/>
      <c r="AH682" s="499"/>
      <c r="AI682" s="1483"/>
      <c r="AJ682" s="1515"/>
      <c r="AK682" s="1515"/>
    </row>
    <row r="683">
      <c r="A683" s="499"/>
      <c r="B683" s="1501"/>
      <c r="C683" s="1502"/>
      <c r="D683" s="1503"/>
      <c r="E683" s="1503"/>
      <c r="F683" s="1504"/>
      <c r="G683" s="1504"/>
      <c r="H683" s="483"/>
      <c r="I683" s="1505"/>
      <c r="J683" s="1516" t="s">
        <v>123</v>
      </c>
      <c r="K683" s="1506"/>
      <c r="L683" s="1506"/>
      <c r="M683" s="1479"/>
      <c r="N683" s="1503"/>
      <c r="O683" s="1503"/>
      <c r="P683" s="1503"/>
      <c r="Q683" s="1503"/>
      <c r="R683" s="1503"/>
      <c r="S683" s="1504"/>
      <c r="T683" s="1504"/>
      <c r="U683" s="483"/>
      <c r="V683" s="1505"/>
      <c r="W683" s="1516" t="s">
        <v>123</v>
      </c>
      <c r="X683" s="1506"/>
      <c r="Y683" s="1506"/>
      <c r="Z683" s="1481"/>
      <c r="AA683" s="499"/>
      <c r="AB683" s="499"/>
      <c r="AC683" s="499"/>
      <c r="AD683" s="499"/>
      <c r="AE683" s="499"/>
      <c r="AF683" s="499"/>
      <c r="AG683" s="499"/>
      <c r="AH683" s="499"/>
      <c r="AI683" s="1483"/>
      <c r="AJ683" s="1515"/>
      <c r="AK683" s="1515"/>
    </row>
    <row r="684">
      <c r="A684" s="499"/>
      <c r="B684" s="1501"/>
      <c r="C684" s="1502"/>
      <c r="D684" s="1503"/>
      <c r="E684" s="1503"/>
      <c r="F684" s="1504"/>
      <c r="G684" s="1504"/>
      <c r="H684" s="483"/>
      <c r="I684" s="1505"/>
      <c r="J684" s="1516" t="s">
        <v>123</v>
      </c>
      <c r="K684" s="1506"/>
      <c r="L684" s="1506"/>
      <c r="M684" s="1479"/>
      <c r="N684" s="1503"/>
      <c r="O684" s="1503"/>
      <c r="P684" s="1503"/>
      <c r="Q684" s="1503"/>
      <c r="R684" s="1503"/>
      <c r="S684" s="1504"/>
      <c r="T684" s="1504"/>
      <c r="U684" s="483"/>
      <c r="V684" s="1505"/>
      <c r="W684" s="1516" t="s">
        <v>123</v>
      </c>
      <c r="X684" s="1506"/>
      <c r="Y684" s="1506"/>
      <c r="Z684" s="1481"/>
      <c r="AA684" s="499"/>
      <c r="AB684" s="499"/>
      <c r="AC684" s="499"/>
      <c r="AD684" s="499"/>
      <c r="AE684" s="499"/>
      <c r="AF684" s="499"/>
      <c r="AG684" s="499"/>
      <c r="AH684" s="499"/>
      <c r="AI684" s="1483"/>
      <c r="AJ684" s="1515"/>
      <c r="AK684" s="1515"/>
    </row>
    <row r="685">
      <c r="A685" s="499"/>
      <c r="B685" s="1501"/>
      <c r="C685" s="1502"/>
      <c r="D685" s="1503"/>
      <c r="E685" s="1503"/>
      <c r="F685" s="1504"/>
      <c r="G685" s="1504"/>
      <c r="H685" s="483"/>
      <c r="I685" s="1505"/>
      <c r="J685" s="1516" t="s">
        <v>123</v>
      </c>
      <c r="K685" s="1506"/>
      <c r="L685" s="1506"/>
      <c r="M685" s="1479"/>
      <c r="N685" s="1503"/>
      <c r="O685" s="1503"/>
      <c r="P685" s="1503"/>
      <c r="Q685" s="1503"/>
      <c r="R685" s="1503"/>
      <c r="S685" s="1504"/>
      <c r="T685" s="1504"/>
      <c r="U685" s="483"/>
      <c r="V685" s="1505"/>
      <c r="W685" s="1516" t="s">
        <v>123</v>
      </c>
      <c r="X685" s="1506"/>
      <c r="Y685" s="1506"/>
      <c r="Z685" s="1481"/>
      <c r="AA685" s="499"/>
      <c r="AB685" s="499"/>
      <c r="AC685" s="499"/>
      <c r="AD685" s="499"/>
      <c r="AE685" s="499"/>
      <c r="AF685" s="499"/>
      <c r="AG685" s="499"/>
      <c r="AH685" s="499"/>
      <c r="AI685" s="1483"/>
      <c r="AJ685" s="1515"/>
      <c r="AK685" s="1515"/>
    </row>
    <row r="686">
      <c r="A686" s="499"/>
      <c r="B686" s="1501"/>
      <c r="C686" s="1502"/>
      <c r="D686" s="1503"/>
      <c r="E686" s="1503"/>
      <c r="F686" s="1504"/>
      <c r="G686" s="1504"/>
      <c r="H686" s="483"/>
      <c r="I686" s="1505"/>
      <c r="J686" s="1516" t="s">
        <v>123</v>
      </c>
      <c r="K686" s="1506"/>
      <c r="L686" s="1506"/>
      <c r="M686" s="1479"/>
      <c r="N686" s="1503"/>
      <c r="O686" s="1503"/>
      <c r="P686" s="1503"/>
      <c r="Q686" s="1503"/>
      <c r="R686" s="1503"/>
      <c r="S686" s="1504"/>
      <c r="T686" s="1504"/>
      <c r="U686" s="483"/>
      <c r="V686" s="1505"/>
      <c r="W686" s="1516" t="s">
        <v>123</v>
      </c>
      <c r="X686" s="1506"/>
      <c r="Y686" s="1506"/>
      <c r="Z686" s="1481"/>
      <c r="AA686" s="499"/>
      <c r="AB686" s="499"/>
      <c r="AC686" s="499"/>
      <c r="AD686" s="499"/>
      <c r="AE686" s="499"/>
      <c r="AF686" s="499"/>
      <c r="AG686" s="499"/>
      <c r="AH686" s="499"/>
      <c r="AI686" s="1483"/>
      <c r="AJ686" s="1515"/>
      <c r="AK686" s="1515"/>
    </row>
    <row r="687">
      <c r="A687" s="499"/>
      <c r="B687" s="1501"/>
      <c r="C687" s="1502"/>
      <c r="D687" s="1503"/>
      <c r="E687" s="1503"/>
      <c r="F687" s="1504"/>
      <c r="G687" s="1504"/>
      <c r="H687" s="483"/>
      <c r="I687" s="1505"/>
      <c r="J687" s="1516" t="s">
        <v>123</v>
      </c>
      <c r="K687" s="1506"/>
      <c r="L687" s="1506"/>
      <c r="M687" s="1479"/>
      <c r="N687" s="1503"/>
      <c r="O687" s="1503"/>
      <c r="P687" s="1503"/>
      <c r="Q687" s="1503"/>
      <c r="R687" s="1503"/>
      <c r="S687" s="1504"/>
      <c r="T687" s="1504"/>
      <c r="U687" s="483"/>
      <c r="V687" s="1505"/>
      <c r="W687" s="1516" t="s">
        <v>123</v>
      </c>
      <c r="X687" s="1506"/>
      <c r="Y687" s="1506"/>
      <c r="Z687" s="1481"/>
      <c r="AA687" s="499"/>
      <c r="AB687" s="499"/>
      <c r="AC687" s="499"/>
      <c r="AD687" s="499"/>
      <c r="AE687" s="499"/>
      <c r="AF687" s="499"/>
      <c r="AG687" s="499"/>
      <c r="AH687" s="499"/>
      <c r="AI687" s="1483"/>
      <c r="AJ687" s="1515"/>
      <c r="AK687" s="1515"/>
    </row>
    <row r="688">
      <c r="A688" s="499"/>
      <c r="B688" s="1501"/>
      <c r="C688" s="1502"/>
      <c r="D688" s="1503"/>
      <c r="E688" s="1503"/>
      <c r="F688" s="1504"/>
      <c r="G688" s="1504"/>
      <c r="H688" s="483"/>
      <c r="I688" s="1505"/>
      <c r="J688" s="1516" t="s">
        <v>123</v>
      </c>
      <c r="K688" s="1506"/>
      <c r="L688" s="1506"/>
      <c r="M688" s="1479"/>
      <c r="N688" s="1503"/>
      <c r="O688" s="1503"/>
      <c r="P688" s="1503"/>
      <c r="Q688" s="1503"/>
      <c r="R688" s="1503"/>
      <c r="S688" s="1504"/>
      <c r="T688" s="1504"/>
      <c r="U688" s="483"/>
      <c r="V688" s="1505"/>
      <c r="W688" s="1516" t="s">
        <v>123</v>
      </c>
      <c r="X688" s="1506"/>
      <c r="Y688" s="1506"/>
      <c r="Z688" s="1481"/>
      <c r="AA688" s="499"/>
      <c r="AB688" s="499"/>
      <c r="AC688" s="499"/>
      <c r="AD688" s="499"/>
      <c r="AE688" s="499"/>
      <c r="AF688" s="499"/>
      <c r="AG688" s="499"/>
      <c r="AH688" s="499"/>
      <c r="AI688" s="1483"/>
      <c r="AJ688" s="1515"/>
      <c r="AK688" s="1515"/>
    </row>
    <row r="689">
      <c r="A689" s="499"/>
      <c r="B689" s="1501"/>
      <c r="C689" s="1502"/>
      <c r="D689" s="1503"/>
      <c r="E689" s="1503"/>
      <c r="F689" s="1504"/>
      <c r="G689" s="1504"/>
      <c r="H689" s="483"/>
      <c r="I689" s="1505"/>
      <c r="J689" s="1516" t="s">
        <v>123</v>
      </c>
      <c r="K689" s="1506"/>
      <c r="L689" s="1506"/>
      <c r="M689" s="1479"/>
      <c r="N689" s="1503"/>
      <c r="O689" s="1503"/>
      <c r="P689" s="1503"/>
      <c r="Q689" s="1503"/>
      <c r="R689" s="1503"/>
      <c r="S689" s="1504"/>
      <c r="T689" s="1504"/>
      <c r="U689" s="483"/>
      <c r="V689" s="1505"/>
      <c r="W689" s="1516" t="s">
        <v>123</v>
      </c>
      <c r="X689" s="1506"/>
      <c r="Y689" s="1506"/>
      <c r="Z689" s="1481"/>
      <c r="AA689" s="499"/>
      <c r="AB689" s="499"/>
      <c r="AC689" s="499"/>
      <c r="AD689" s="499"/>
      <c r="AE689" s="499"/>
      <c r="AF689" s="499"/>
      <c r="AG689" s="499"/>
      <c r="AH689" s="499"/>
      <c r="AI689" s="1483"/>
      <c r="AJ689" s="1515"/>
      <c r="AK689" s="1515"/>
    </row>
    <row r="690">
      <c r="A690" s="499"/>
      <c r="B690" s="1501"/>
      <c r="C690" s="1502"/>
      <c r="D690" s="1503"/>
      <c r="E690" s="1503"/>
      <c r="F690" s="1504"/>
      <c r="G690" s="1504"/>
      <c r="H690" s="483"/>
      <c r="I690" s="1505"/>
      <c r="J690" s="1516" t="s">
        <v>123</v>
      </c>
      <c r="K690" s="1506"/>
      <c r="L690" s="1506"/>
      <c r="M690" s="1479"/>
      <c r="N690" s="1503"/>
      <c r="O690" s="1503"/>
      <c r="P690" s="1503"/>
      <c r="Q690" s="1503"/>
      <c r="R690" s="1503"/>
      <c r="S690" s="1504"/>
      <c r="T690" s="1504"/>
      <c r="U690" s="483"/>
      <c r="V690" s="1505"/>
      <c r="W690" s="1516" t="s">
        <v>123</v>
      </c>
      <c r="X690" s="1506"/>
      <c r="Y690" s="1506"/>
      <c r="Z690" s="1481"/>
      <c r="AA690" s="499"/>
      <c r="AB690" s="499"/>
      <c r="AC690" s="499"/>
      <c r="AD690" s="499"/>
      <c r="AE690" s="499"/>
      <c r="AF690" s="499"/>
      <c r="AG690" s="499"/>
      <c r="AH690" s="499"/>
      <c r="AI690" s="1483"/>
      <c r="AJ690" s="1515"/>
      <c r="AK690" s="1515"/>
    </row>
    <row r="691">
      <c r="A691" s="499"/>
      <c r="B691" s="1501"/>
      <c r="C691" s="1502"/>
      <c r="D691" s="1503"/>
      <c r="E691" s="1503"/>
      <c r="F691" s="1504"/>
      <c r="G691" s="1504"/>
      <c r="H691" s="483"/>
      <c r="I691" s="1505"/>
      <c r="J691" s="1516" t="s">
        <v>123</v>
      </c>
      <c r="K691" s="1506"/>
      <c r="L691" s="1506"/>
      <c r="M691" s="1479"/>
      <c r="N691" s="1503"/>
      <c r="O691" s="1503"/>
      <c r="P691" s="1503"/>
      <c r="Q691" s="1503"/>
      <c r="R691" s="1503"/>
      <c r="S691" s="1504"/>
      <c r="T691" s="1504"/>
      <c r="U691" s="483"/>
      <c r="V691" s="1505"/>
      <c r="W691" s="1516" t="s">
        <v>123</v>
      </c>
      <c r="X691" s="1506"/>
      <c r="Y691" s="1506"/>
      <c r="Z691" s="1481"/>
      <c r="AA691" s="499"/>
      <c r="AB691" s="499"/>
      <c r="AC691" s="499"/>
      <c r="AD691" s="499"/>
      <c r="AE691" s="499"/>
      <c r="AF691" s="499"/>
      <c r="AG691" s="499"/>
      <c r="AH691" s="499"/>
      <c r="AI691" s="1483"/>
      <c r="AJ691" s="1515"/>
      <c r="AK691" s="1515"/>
    </row>
    <row r="692">
      <c r="A692" s="499"/>
      <c r="B692" s="1501"/>
      <c r="C692" s="1502"/>
      <c r="D692" s="1503"/>
      <c r="E692" s="1503"/>
      <c r="F692" s="1504"/>
      <c r="G692" s="1504"/>
      <c r="H692" s="483"/>
      <c r="I692" s="1505"/>
      <c r="J692" s="1516" t="s">
        <v>123</v>
      </c>
      <c r="K692" s="1506"/>
      <c r="L692" s="1506"/>
      <c r="M692" s="1479"/>
      <c r="N692" s="1503"/>
      <c r="O692" s="1503"/>
      <c r="P692" s="1503"/>
      <c r="Q692" s="1503"/>
      <c r="R692" s="1503"/>
      <c r="S692" s="1504"/>
      <c r="T692" s="1504"/>
      <c r="U692" s="483"/>
      <c r="V692" s="1505"/>
      <c r="W692" s="1516" t="s">
        <v>123</v>
      </c>
      <c r="X692" s="1506"/>
      <c r="Y692" s="1506"/>
      <c r="Z692" s="1481"/>
      <c r="AA692" s="499"/>
      <c r="AB692" s="499"/>
      <c r="AC692" s="499"/>
      <c r="AD692" s="499"/>
      <c r="AE692" s="499"/>
      <c r="AF692" s="499"/>
      <c r="AG692" s="499"/>
      <c r="AH692" s="499"/>
      <c r="AI692" s="1483"/>
      <c r="AJ692" s="1515"/>
      <c r="AK692" s="1515"/>
    </row>
    <row r="693">
      <c r="A693" s="499"/>
      <c r="B693" s="1501"/>
      <c r="C693" s="1502"/>
      <c r="D693" s="1503"/>
      <c r="E693" s="1503"/>
      <c r="F693" s="1504"/>
      <c r="G693" s="1504"/>
      <c r="H693" s="483"/>
      <c r="I693" s="1505"/>
      <c r="J693" s="1516" t="s">
        <v>123</v>
      </c>
      <c r="K693" s="1506"/>
      <c r="L693" s="1506"/>
      <c r="M693" s="1479"/>
      <c r="N693" s="1503"/>
      <c r="O693" s="1503"/>
      <c r="P693" s="1503"/>
      <c r="Q693" s="1503"/>
      <c r="R693" s="1503"/>
      <c r="S693" s="1504"/>
      <c r="T693" s="1504"/>
      <c r="U693" s="483"/>
      <c r="V693" s="1505"/>
      <c r="W693" s="1516" t="s">
        <v>123</v>
      </c>
      <c r="X693" s="1506"/>
      <c r="Y693" s="1506"/>
      <c r="Z693" s="1481"/>
      <c r="AA693" s="499"/>
      <c r="AB693" s="499"/>
      <c r="AC693" s="499"/>
      <c r="AD693" s="499"/>
      <c r="AE693" s="499"/>
      <c r="AF693" s="499"/>
      <c r="AG693" s="499"/>
      <c r="AH693" s="499"/>
      <c r="AI693" s="1483"/>
      <c r="AJ693" s="1515"/>
      <c r="AK693" s="1515"/>
    </row>
    <row r="694">
      <c r="A694" s="499"/>
      <c r="B694" s="1501"/>
      <c r="C694" s="1502"/>
      <c r="D694" s="1503"/>
      <c r="E694" s="1503"/>
      <c r="F694" s="1504"/>
      <c r="G694" s="1504"/>
      <c r="H694" s="483"/>
      <c r="I694" s="1505"/>
      <c r="J694" s="1516" t="s">
        <v>123</v>
      </c>
      <c r="K694" s="1506"/>
      <c r="L694" s="1506"/>
      <c r="M694" s="1479"/>
      <c r="N694" s="1503"/>
      <c r="O694" s="1503"/>
      <c r="P694" s="1503"/>
      <c r="Q694" s="1503"/>
      <c r="R694" s="1503"/>
      <c r="S694" s="1504"/>
      <c r="T694" s="1504"/>
      <c r="U694" s="483"/>
      <c r="V694" s="1505"/>
      <c r="W694" s="1516" t="s">
        <v>123</v>
      </c>
      <c r="X694" s="1506"/>
      <c r="Y694" s="1506"/>
      <c r="Z694" s="1481"/>
      <c r="AA694" s="499"/>
      <c r="AB694" s="499"/>
      <c r="AC694" s="499"/>
      <c r="AD694" s="499"/>
      <c r="AE694" s="499"/>
      <c r="AF694" s="499"/>
      <c r="AG694" s="499"/>
      <c r="AH694" s="499"/>
      <c r="AI694" s="1483"/>
      <c r="AJ694" s="1515"/>
      <c r="AK694" s="1515"/>
    </row>
    <row r="695">
      <c r="A695" s="499"/>
      <c r="B695" s="1501"/>
      <c r="C695" s="1502"/>
      <c r="D695" s="1503"/>
      <c r="E695" s="1503"/>
      <c r="F695" s="1504"/>
      <c r="G695" s="1504"/>
      <c r="H695" s="483"/>
      <c r="I695" s="1505"/>
      <c r="J695" s="1516" t="s">
        <v>123</v>
      </c>
      <c r="K695" s="1506"/>
      <c r="L695" s="1506"/>
      <c r="M695" s="1479"/>
      <c r="N695" s="1503"/>
      <c r="O695" s="1503"/>
      <c r="P695" s="1503"/>
      <c r="Q695" s="1503"/>
      <c r="R695" s="1503"/>
      <c r="S695" s="1504"/>
      <c r="T695" s="1504"/>
      <c r="U695" s="483"/>
      <c r="V695" s="1505"/>
      <c r="W695" s="1516" t="s">
        <v>123</v>
      </c>
      <c r="X695" s="1506"/>
      <c r="Y695" s="1506"/>
      <c r="Z695" s="1481"/>
      <c r="AA695" s="499"/>
      <c r="AB695" s="499"/>
      <c r="AC695" s="499"/>
      <c r="AD695" s="499"/>
      <c r="AE695" s="499"/>
      <c r="AF695" s="499"/>
      <c r="AG695" s="499"/>
      <c r="AH695" s="499"/>
      <c r="AI695" s="1483"/>
      <c r="AJ695" s="1515"/>
      <c r="AK695" s="1515"/>
    </row>
    <row r="696">
      <c r="A696" s="499"/>
      <c r="B696" s="1501"/>
      <c r="C696" s="1502"/>
      <c r="D696" s="1503"/>
      <c r="E696" s="1503"/>
      <c r="F696" s="1504"/>
      <c r="G696" s="1504"/>
      <c r="H696" s="483"/>
      <c r="I696" s="1505"/>
      <c r="J696" s="1516" t="s">
        <v>123</v>
      </c>
      <c r="K696" s="1506"/>
      <c r="L696" s="1506"/>
      <c r="M696" s="1479"/>
      <c r="N696" s="1503"/>
      <c r="O696" s="1503"/>
      <c r="P696" s="1503"/>
      <c r="Q696" s="1503"/>
      <c r="R696" s="1503"/>
      <c r="S696" s="1504"/>
      <c r="T696" s="1504"/>
      <c r="U696" s="483"/>
      <c r="V696" s="1505"/>
      <c r="W696" s="1516" t="s">
        <v>123</v>
      </c>
      <c r="X696" s="1506"/>
      <c r="Y696" s="1506"/>
      <c r="Z696" s="1481"/>
      <c r="AA696" s="499"/>
      <c r="AB696" s="499"/>
      <c r="AC696" s="499"/>
      <c r="AD696" s="499"/>
      <c r="AE696" s="499"/>
      <c r="AF696" s="499"/>
      <c r="AG696" s="499"/>
      <c r="AH696" s="499"/>
      <c r="AI696" s="1483"/>
      <c r="AJ696" s="1515"/>
      <c r="AK696" s="1515"/>
    </row>
    <row r="697">
      <c r="A697" s="499"/>
      <c r="B697" s="1501"/>
      <c r="C697" s="1502"/>
      <c r="D697" s="1503"/>
      <c r="E697" s="1503"/>
      <c r="F697" s="1504"/>
      <c r="G697" s="1504"/>
      <c r="H697" s="483"/>
      <c r="I697" s="1505"/>
      <c r="J697" s="1516" t="s">
        <v>123</v>
      </c>
      <c r="K697" s="1506"/>
      <c r="L697" s="1506"/>
      <c r="M697" s="1479"/>
      <c r="N697" s="1503"/>
      <c r="O697" s="1503"/>
      <c r="P697" s="1503"/>
      <c r="Q697" s="1503"/>
      <c r="R697" s="1503"/>
      <c r="S697" s="1504"/>
      <c r="T697" s="1504"/>
      <c r="U697" s="483"/>
      <c r="V697" s="1505"/>
      <c r="W697" s="1516" t="s">
        <v>123</v>
      </c>
      <c r="X697" s="1506"/>
      <c r="Y697" s="1506"/>
      <c r="Z697" s="1481"/>
      <c r="AA697" s="499"/>
      <c r="AB697" s="499"/>
      <c r="AC697" s="499"/>
      <c r="AD697" s="499"/>
      <c r="AE697" s="499"/>
      <c r="AF697" s="499"/>
      <c r="AG697" s="499"/>
      <c r="AH697" s="499"/>
      <c r="AI697" s="1483"/>
      <c r="AJ697" s="1515"/>
      <c r="AK697" s="1515"/>
    </row>
    <row r="698">
      <c r="A698" s="499"/>
      <c r="B698" s="1501"/>
      <c r="C698" s="1502"/>
      <c r="D698" s="1503"/>
      <c r="E698" s="1503"/>
      <c r="F698" s="1504"/>
      <c r="G698" s="1504"/>
      <c r="H698" s="483"/>
      <c r="I698" s="1505"/>
      <c r="J698" s="1516" t="s">
        <v>123</v>
      </c>
      <c r="K698" s="1506"/>
      <c r="L698" s="1506"/>
      <c r="M698" s="1479"/>
      <c r="N698" s="1503"/>
      <c r="O698" s="1503"/>
      <c r="P698" s="1503"/>
      <c r="Q698" s="1503"/>
      <c r="R698" s="1503"/>
      <c r="S698" s="1504"/>
      <c r="T698" s="1504"/>
      <c r="U698" s="483"/>
      <c r="V698" s="1505"/>
      <c r="W698" s="1516" t="s">
        <v>123</v>
      </c>
      <c r="X698" s="1506"/>
      <c r="Y698" s="1506"/>
      <c r="Z698" s="1481"/>
      <c r="AA698" s="499"/>
      <c r="AB698" s="499"/>
      <c r="AC698" s="499"/>
      <c r="AD698" s="499"/>
      <c r="AE698" s="499"/>
      <c r="AF698" s="499"/>
      <c r="AG698" s="499"/>
      <c r="AH698" s="499"/>
      <c r="AI698" s="1483"/>
      <c r="AJ698" s="1515"/>
      <c r="AK698" s="1515"/>
    </row>
    <row r="699">
      <c r="A699" s="499"/>
      <c r="B699" s="1501"/>
      <c r="C699" s="1502"/>
      <c r="D699" s="1503"/>
      <c r="E699" s="1503"/>
      <c r="F699" s="1504"/>
      <c r="G699" s="1504"/>
      <c r="H699" s="483"/>
      <c r="I699" s="1505"/>
      <c r="J699" s="1516" t="s">
        <v>123</v>
      </c>
      <c r="K699" s="1506"/>
      <c r="L699" s="1506"/>
      <c r="M699" s="1479"/>
      <c r="N699" s="1503"/>
      <c r="O699" s="1503"/>
      <c r="P699" s="1503"/>
      <c r="Q699" s="1503"/>
      <c r="R699" s="1503"/>
      <c r="S699" s="1504"/>
      <c r="T699" s="1504"/>
      <c r="U699" s="483"/>
      <c r="V699" s="1505"/>
      <c r="W699" s="1516" t="s">
        <v>123</v>
      </c>
      <c r="X699" s="1506"/>
      <c r="Y699" s="1506"/>
      <c r="Z699" s="1481"/>
      <c r="AA699" s="499"/>
      <c r="AB699" s="499"/>
      <c r="AC699" s="499"/>
      <c r="AD699" s="499"/>
      <c r="AE699" s="499"/>
      <c r="AF699" s="499"/>
      <c r="AG699" s="499"/>
      <c r="AH699" s="499"/>
      <c r="AI699" s="1483"/>
      <c r="AJ699" s="1515"/>
      <c r="AK699" s="1515"/>
    </row>
    <row r="700">
      <c r="A700" s="499"/>
      <c r="B700" s="1501"/>
      <c r="C700" s="1502"/>
      <c r="D700" s="1503"/>
      <c r="E700" s="1503"/>
      <c r="F700" s="1504"/>
      <c r="G700" s="1504"/>
      <c r="H700" s="483"/>
      <c r="I700" s="1505"/>
      <c r="J700" s="1516" t="s">
        <v>123</v>
      </c>
      <c r="K700" s="1506"/>
      <c r="L700" s="1506"/>
      <c r="M700" s="1479"/>
      <c r="N700" s="1503"/>
      <c r="O700" s="1503"/>
      <c r="P700" s="1503"/>
      <c r="Q700" s="1503"/>
      <c r="R700" s="1503"/>
      <c r="S700" s="1504"/>
      <c r="T700" s="1504"/>
      <c r="U700" s="483"/>
      <c r="V700" s="1505"/>
      <c r="W700" s="1516" t="s">
        <v>123</v>
      </c>
      <c r="X700" s="1506"/>
      <c r="Y700" s="1506"/>
      <c r="Z700" s="1481"/>
      <c r="AA700" s="499"/>
      <c r="AB700" s="499"/>
      <c r="AC700" s="499"/>
      <c r="AD700" s="499"/>
      <c r="AE700" s="499"/>
      <c r="AF700" s="499"/>
      <c r="AG700" s="499"/>
      <c r="AH700" s="499"/>
      <c r="AI700" s="1483"/>
      <c r="AJ700" s="1515"/>
      <c r="AK700" s="1515"/>
    </row>
    <row r="701">
      <c r="A701" s="499"/>
      <c r="B701" s="1501"/>
      <c r="C701" s="1502"/>
      <c r="D701" s="1503"/>
      <c r="E701" s="1503"/>
      <c r="F701" s="1504"/>
      <c r="G701" s="1504"/>
      <c r="H701" s="483"/>
      <c r="I701" s="1505"/>
      <c r="J701" s="1516" t="s">
        <v>123</v>
      </c>
      <c r="K701" s="1506"/>
      <c r="L701" s="1506"/>
      <c r="M701" s="1479"/>
      <c r="N701" s="1503"/>
      <c r="O701" s="1503"/>
      <c r="P701" s="1503"/>
      <c r="Q701" s="1503"/>
      <c r="R701" s="1503"/>
      <c r="S701" s="1504"/>
      <c r="T701" s="1504"/>
      <c r="U701" s="483"/>
      <c r="V701" s="1505"/>
      <c r="W701" s="1516" t="s">
        <v>123</v>
      </c>
      <c r="X701" s="1506"/>
      <c r="Y701" s="1506"/>
      <c r="Z701" s="1481"/>
      <c r="AA701" s="499"/>
      <c r="AB701" s="499"/>
      <c r="AC701" s="499"/>
      <c r="AD701" s="499"/>
      <c r="AE701" s="499"/>
      <c r="AF701" s="499"/>
      <c r="AG701" s="499"/>
      <c r="AH701" s="499"/>
      <c r="AI701" s="1483"/>
      <c r="AJ701" s="1515"/>
      <c r="AK701" s="1515"/>
    </row>
    <row r="702">
      <c r="A702" s="499"/>
      <c r="B702" s="1501"/>
      <c r="C702" s="1502"/>
      <c r="D702" s="1503"/>
      <c r="E702" s="1503"/>
      <c r="F702" s="1504"/>
      <c r="G702" s="1504"/>
      <c r="H702" s="483"/>
      <c r="I702" s="1505"/>
      <c r="J702" s="1516" t="s">
        <v>123</v>
      </c>
      <c r="K702" s="1506"/>
      <c r="L702" s="1506"/>
      <c r="M702" s="1479"/>
      <c r="N702" s="1503"/>
      <c r="O702" s="1503"/>
      <c r="P702" s="1503"/>
      <c r="Q702" s="1503"/>
      <c r="R702" s="1503"/>
      <c r="S702" s="1504"/>
      <c r="T702" s="1504"/>
      <c r="U702" s="483"/>
      <c r="V702" s="1505"/>
      <c r="W702" s="1516" t="s">
        <v>123</v>
      </c>
      <c r="X702" s="1506"/>
      <c r="Y702" s="1506"/>
      <c r="Z702" s="1481"/>
      <c r="AA702" s="499"/>
      <c r="AB702" s="499"/>
      <c r="AC702" s="499"/>
      <c r="AD702" s="499"/>
      <c r="AE702" s="499"/>
      <c r="AF702" s="499"/>
      <c r="AG702" s="499"/>
      <c r="AH702" s="499"/>
      <c r="AI702" s="1483"/>
      <c r="AJ702" s="1515"/>
      <c r="AK702" s="1515"/>
    </row>
    <row r="703">
      <c r="A703" s="499"/>
      <c r="B703" s="1501"/>
      <c r="C703" s="1502"/>
      <c r="D703" s="1503"/>
      <c r="E703" s="1503"/>
      <c r="F703" s="1504"/>
      <c r="G703" s="1504"/>
      <c r="H703" s="483"/>
      <c r="I703" s="1505"/>
      <c r="J703" s="1516" t="s">
        <v>123</v>
      </c>
      <c r="K703" s="1506"/>
      <c r="L703" s="1506"/>
      <c r="M703" s="1479"/>
      <c r="N703" s="1503"/>
      <c r="O703" s="1503"/>
      <c r="P703" s="1503"/>
      <c r="Q703" s="1503"/>
      <c r="R703" s="1503"/>
      <c r="S703" s="1504"/>
      <c r="T703" s="1504"/>
      <c r="U703" s="483"/>
      <c r="V703" s="1505"/>
      <c r="W703" s="1516" t="s">
        <v>123</v>
      </c>
      <c r="X703" s="1506"/>
      <c r="Y703" s="1506"/>
      <c r="Z703" s="1481"/>
      <c r="AA703" s="499"/>
      <c r="AB703" s="499"/>
      <c r="AC703" s="499"/>
      <c r="AD703" s="499"/>
      <c r="AE703" s="499"/>
      <c r="AF703" s="499"/>
      <c r="AG703" s="499"/>
      <c r="AH703" s="499"/>
      <c r="AI703" s="1483"/>
      <c r="AJ703" s="1515"/>
      <c r="AK703" s="1515"/>
    </row>
    <row r="704">
      <c r="A704" s="499"/>
      <c r="B704" s="1501"/>
      <c r="C704" s="1502"/>
      <c r="D704" s="1503"/>
      <c r="E704" s="1503"/>
      <c r="F704" s="1504"/>
      <c r="G704" s="1504"/>
      <c r="H704" s="483"/>
      <c r="I704" s="1505"/>
      <c r="J704" s="1516" t="s">
        <v>123</v>
      </c>
      <c r="K704" s="1506"/>
      <c r="L704" s="1506"/>
      <c r="M704" s="1479"/>
      <c r="N704" s="1503"/>
      <c r="O704" s="1503"/>
      <c r="P704" s="1503"/>
      <c r="Q704" s="1503"/>
      <c r="R704" s="1503"/>
      <c r="S704" s="1504"/>
      <c r="T704" s="1504"/>
      <c r="U704" s="483"/>
      <c r="V704" s="1505"/>
      <c r="W704" s="1516" t="s">
        <v>123</v>
      </c>
      <c r="X704" s="1506"/>
      <c r="Y704" s="1506"/>
      <c r="Z704" s="1481"/>
      <c r="AA704" s="499"/>
      <c r="AB704" s="499"/>
      <c r="AC704" s="499"/>
      <c r="AD704" s="499"/>
      <c r="AE704" s="499"/>
      <c r="AF704" s="499"/>
      <c r="AG704" s="499"/>
      <c r="AH704" s="499"/>
      <c r="AI704" s="1483"/>
      <c r="AJ704" s="1515"/>
      <c r="AK704" s="1515"/>
    </row>
    <row r="705">
      <c r="A705" s="499"/>
      <c r="B705" s="1501"/>
      <c r="C705" s="1502"/>
      <c r="D705" s="1503"/>
      <c r="E705" s="1503"/>
      <c r="F705" s="1504"/>
      <c r="G705" s="1504"/>
      <c r="H705" s="483"/>
      <c r="I705" s="1505"/>
      <c r="J705" s="1516" t="s">
        <v>123</v>
      </c>
      <c r="K705" s="1506"/>
      <c r="L705" s="1506"/>
      <c r="M705" s="1479"/>
      <c r="N705" s="1503"/>
      <c r="O705" s="1503"/>
      <c r="P705" s="1503"/>
      <c r="Q705" s="1503"/>
      <c r="R705" s="1503"/>
      <c r="S705" s="1504"/>
      <c r="T705" s="1504"/>
      <c r="U705" s="483"/>
      <c r="V705" s="1505"/>
      <c r="W705" s="1516" t="s">
        <v>123</v>
      </c>
      <c r="X705" s="1506"/>
      <c r="Y705" s="1506"/>
      <c r="Z705" s="1481"/>
      <c r="AA705" s="499"/>
      <c r="AB705" s="499"/>
      <c r="AC705" s="499"/>
      <c r="AD705" s="499"/>
      <c r="AE705" s="499"/>
      <c r="AF705" s="499"/>
      <c r="AG705" s="499"/>
      <c r="AH705" s="499"/>
      <c r="AI705" s="1483"/>
      <c r="AJ705" s="1515"/>
      <c r="AK705" s="1515"/>
    </row>
    <row r="706">
      <c r="A706" s="499"/>
      <c r="B706" s="1501"/>
      <c r="C706" s="1502"/>
      <c r="D706" s="1503"/>
      <c r="E706" s="1503"/>
      <c r="F706" s="1504"/>
      <c r="G706" s="1504"/>
      <c r="H706" s="483"/>
      <c r="I706" s="1505"/>
      <c r="J706" s="1516" t="s">
        <v>123</v>
      </c>
      <c r="K706" s="1506"/>
      <c r="L706" s="1506"/>
      <c r="M706" s="1479"/>
      <c r="N706" s="1503"/>
      <c r="O706" s="1503"/>
      <c r="P706" s="1503"/>
      <c r="Q706" s="1503"/>
      <c r="R706" s="1503"/>
      <c r="S706" s="1504"/>
      <c r="T706" s="1504"/>
      <c r="U706" s="483"/>
      <c r="V706" s="1505"/>
      <c r="W706" s="1516" t="s">
        <v>123</v>
      </c>
      <c r="X706" s="1506"/>
      <c r="Y706" s="1506"/>
      <c r="Z706" s="1481"/>
      <c r="AA706" s="499"/>
      <c r="AB706" s="499"/>
      <c r="AC706" s="499"/>
      <c r="AD706" s="499"/>
      <c r="AE706" s="499"/>
      <c r="AF706" s="499"/>
      <c r="AG706" s="499"/>
      <c r="AH706" s="499"/>
      <c r="AI706" s="1483"/>
      <c r="AJ706" s="1515"/>
      <c r="AK706" s="1515"/>
    </row>
    <row r="707">
      <c r="A707" s="499"/>
      <c r="B707" s="1501"/>
      <c r="C707" s="1502"/>
      <c r="D707" s="1503"/>
      <c r="E707" s="1503"/>
      <c r="F707" s="1504"/>
      <c r="G707" s="1504"/>
      <c r="H707" s="483"/>
      <c r="I707" s="1505"/>
      <c r="J707" s="1516" t="s">
        <v>123</v>
      </c>
      <c r="K707" s="1506"/>
      <c r="L707" s="1506"/>
      <c r="M707" s="1479"/>
      <c r="N707" s="1503"/>
      <c r="O707" s="1503"/>
      <c r="P707" s="1503"/>
      <c r="Q707" s="1503"/>
      <c r="R707" s="1503"/>
      <c r="S707" s="1504"/>
      <c r="T707" s="1504"/>
      <c r="U707" s="483"/>
      <c r="V707" s="1505"/>
      <c r="W707" s="1516" t="s">
        <v>123</v>
      </c>
      <c r="X707" s="1506"/>
      <c r="Y707" s="1506"/>
      <c r="Z707" s="1481"/>
      <c r="AA707" s="499"/>
      <c r="AB707" s="499"/>
      <c r="AC707" s="499"/>
      <c r="AD707" s="499"/>
      <c r="AE707" s="499"/>
      <c r="AF707" s="499"/>
      <c r="AG707" s="499"/>
      <c r="AH707" s="499"/>
      <c r="AI707" s="1483"/>
      <c r="AJ707" s="1515"/>
      <c r="AK707" s="1515"/>
    </row>
    <row r="708">
      <c r="A708" s="499"/>
      <c r="B708" s="1501"/>
      <c r="C708" s="1502"/>
      <c r="D708" s="1503"/>
      <c r="E708" s="1503"/>
      <c r="F708" s="1504"/>
      <c r="G708" s="1504"/>
      <c r="H708" s="483"/>
      <c r="I708" s="1505"/>
      <c r="J708" s="1516" t="s">
        <v>123</v>
      </c>
      <c r="K708" s="1506"/>
      <c r="L708" s="1506"/>
      <c r="M708" s="1479"/>
      <c r="N708" s="1503"/>
      <c r="O708" s="1503"/>
      <c r="P708" s="1503"/>
      <c r="Q708" s="1503"/>
      <c r="R708" s="1503"/>
      <c r="S708" s="1504"/>
      <c r="T708" s="1504"/>
      <c r="U708" s="483"/>
      <c r="V708" s="1505"/>
      <c r="W708" s="1516" t="s">
        <v>123</v>
      </c>
      <c r="X708" s="1506"/>
      <c r="Y708" s="1506"/>
      <c r="Z708" s="1481"/>
      <c r="AA708" s="499"/>
      <c r="AB708" s="499"/>
      <c r="AC708" s="499"/>
      <c r="AD708" s="499"/>
      <c r="AE708" s="499"/>
      <c r="AF708" s="499"/>
      <c r="AG708" s="499"/>
      <c r="AH708" s="499"/>
      <c r="AI708" s="1483"/>
      <c r="AJ708" s="1515"/>
      <c r="AK708" s="1515"/>
    </row>
    <row r="709">
      <c r="A709" s="499"/>
      <c r="B709" s="1501"/>
      <c r="C709" s="1502"/>
      <c r="D709" s="1503"/>
      <c r="E709" s="1503"/>
      <c r="F709" s="1504"/>
      <c r="G709" s="1504"/>
      <c r="H709" s="483"/>
      <c r="I709" s="1505"/>
      <c r="J709" s="1516" t="s">
        <v>123</v>
      </c>
      <c r="K709" s="1506"/>
      <c r="L709" s="1506"/>
      <c r="M709" s="1479"/>
      <c r="N709" s="1503"/>
      <c r="O709" s="1503"/>
      <c r="P709" s="1503"/>
      <c r="Q709" s="1503"/>
      <c r="R709" s="1503"/>
      <c r="S709" s="1504"/>
      <c r="T709" s="1504"/>
      <c r="U709" s="483"/>
      <c r="V709" s="1505"/>
      <c r="W709" s="1516" t="s">
        <v>123</v>
      </c>
      <c r="X709" s="1506"/>
      <c r="Y709" s="1506"/>
      <c r="Z709" s="1481"/>
      <c r="AA709" s="499"/>
      <c r="AB709" s="499"/>
      <c r="AC709" s="499"/>
      <c r="AD709" s="499"/>
      <c r="AE709" s="499"/>
      <c r="AF709" s="499"/>
      <c r="AG709" s="499"/>
      <c r="AH709" s="499"/>
      <c r="AI709" s="1483"/>
      <c r="AJ709" s="1515"/>
      <c r="AK709" s="1515"/>
    </row>
    <row r="710">
      <c r="A710" s="499"/>
      <c r="B710" s="1501"/>
      <c r="C710" s="1502"/>
      <c r="D710" s="1503"/>
      <c r="E710" s="1503"/>
      <c r="F710" s="1504"/>
      <c r="G710" s="1504"/>
      <c r="H710" s="483"/>
      <c r="I710" s="1505"/>
      <c r="J710" s="1516" t="s">
        <v>123</v>
      </c>
      <c r="K710" s="1506"/>
      <c r="L710" s="1506"/>
      <c r="M710" s="1479"/>
      <c r="N710" s="1503"/>
      <c r="O710" s="1503"/>
      <c r="P710" s="1503"/>
      <c r="Q710" s="1503"/>
      <c r="R710" s="1503"/>
      <c r="S710" s="1504"/>
      <c r="T710" s="1504"/>
      <c r="U710" s="483"/>
      <c r="V710" s="1505"/>
      <c r="W710" s="1516" t="s">
        <v>123</v>
      </c>
      <c r="X710" s="1506"/>
      <c r="Y710" s="1506"/>
      <c r="Z710" s="1481"/>
      <c r="AA710" s="499"/>
      <c r="AB710" s="499"/>
      <c r="AC710" s="499"/>
      <c r="AD710" s="499"/>
      <c r="AE710" s="499"/>
      <c r="AF710" s="499"/>
      <c r="AG710" s="499"/>
      <c r="AH710" s="499"/>
      <c r="AI710" s="1483"/>
      <c r="AJ710" s="1515"/>
      <c r="AK710" s="1515"/>
    </row>
    <row r="711">
      <c r="A711" s="499"/>
      <c r="B711" s="1501"/>
      <c r="C711" s="1502"/>
      <c r="D711" s="1503"/>
      <c r="E711" s="1503"/>
      <c r="F711" s="1504"/>
      <c r="G711" s="1504"/>
      <c r="H711" s="483"/>
      <c r="I711" s="1505"/>
      <c r="J711" s="1516" t="s">
        <v>123</v>
      </c>
      <c r="K711" s="1506"/>
      <c r="L711" s="1506"/>
      <c r="M711" s="1479"/>
      <c r="N711" s="1503"/>
      <c r="O711" s="1503"/>
      <c r="P711" s="1503"/>
      <c r="Q711" s="1503"/>
      <c r="R711" s="1503"/>
      <c r="S711" s="1504"/>
      <c r="T711" s="1504"/>
      <c r="U711" s="483"/>
      <c r="V711" s="1505"/>
      <c r="W711" s="1516" t="s">
        <v>123</v>
      </c>
      <c r="X711" s="1506"/>
      <c r="Y711" s="1506"/>
      <c r="Z711" s="1481"/>
      <c r="AA711" s="499"/>
      <c r="AB711" s="499"/>
      <c r="AC711" s="499"/>
      <c r="AD711" s="499"/>
      <c r="AE711" s="499"/>
      <c r="AF711" s="499"/>
      <c r="AG711" s="499"/>
      <c r="AH711" s="499"/>
      <c r="AI711" s="1483"/>
      <c r="AJ711" s="1515"/>
      <c r="AK711" s="1515"/>
    </row>
    <row r="712">
      <c r="A712" s="499"/>
      <c r="B712" s="1501"/>
      <c r="C712" s="1502"/>
      <c r="D712" s="1503"/>
      <c r="E712" s="1503"/>
      <c r="F712" s="1504"/>
      <c r="G712" s="1504"/>
      <c r="H712" s="483"/>
      <c r="I712" s="1505"/>
      <c r="J712" s="1516" t="s">
        <v>123</v>
      </c>
      <c r="K712" s="1506"/>
      <c r="L712" s="1506"/>
      <c r="M712" s="1479"/>
      <c r="N712" s="1503"/>
      <c r="O712" s="1503"/>
      <c r="P712" s="1503"/>
      <c r="Q712" s="1503"/>
      <c r="R712" s="1503"/>
      <c r="S712" s="1504"/>
      <c r="T712" s="1504"/>
      <c r="U712" s="483"/>
      <c r="V712" s="1505"/>
      <c r="W712" s="1516" t="s">
        <v>123</v>
      </c>
      <c r="X712" s="1506"/>
      <c r="Y712" s="1506"/>
      <c r="Z712" s="1481"/>
      <c r="AA712" s="499"/>
      <c r="AB712" s="499"/>
      <c r="AC712" s="499"/>
      <c r="AD712" s="499"/>
      <c r="AE712" s="499"/>
      <c r="AF712" s="499"/>
      <c r="AG712" s="499"/>
      <c r="AH712" s="499"/>
      <c r="AI712" s="1483"/>
      <c r="AJ712" s="1515"/>
      <c r="AK712" s="1515"/>
    </row>
    <row r="713">
      <c r="A713" s="499"/>
      <c r="B713" s="1501"/>
      <c r="C713" s="1502"/>
      <c r="D713" s="1503"/>
      <c r="E713" s="1503"/>
      <c r="F713" s="1504"/>
      <c r="G713" s="1504"/>
      <c r="H713" s="483"/>
      <c r="I713" s="1505"/>
      <c r="J713" s="1516" t="s">
        <v>123</v>
      </c>
      <c r="K713" s="1506"/>
      <c r="L713" s="1506"/>
      <c r="M713" s="1479"/>
      <c r="N713" s="1503"/>
      <c r="O713" s="1503"/>
      <c r="P713" s="1503"/>
      <c r="Q713" s="1503"/>
      <c r="R713" s="1503"/>
      <c r="S713" s="1504"/>
      <c r="T713" s="1504"/>
      <c r="U713" s="483"/>
      <c r="V713" s="1505"/>
      <c r="W713" s="1516" t="s">
        <v>123</v>
      </c>
      <c r="X713" s="1506"/>
      <c r="Y713" s="1506"/>
      <c r="Z713" s="1481"/>
      <c r="AA713" s="499"/>
      <c r="AB713" s="499"/>
      <c r="AC713" s="499"/>
      <c r="AD713" s="499"/>
      <c r="AE713" s="499"/>
      <c r="AF713" s="499"/>
      <c r="AG713" s="499"/>
      <c r="AH713" s="499"/>
      <c r="AI713" s="1483"/>
      <c r="AJ713" s="1515"/>
      <c r="AK713" s="1515"/>
    </row>
    <row r="714">
      <c r="A714" s="499"/>
      <c r="B714" s="1501"/>
      <c r="C714" s="1502"/>
      <c r="D714" s="1503"/>
      <c r="E714" s="1503"/>
      <c r="F714" s="1504"/>
      <c r="G714" s="1504"/>
      <c r="H714" s="483"/>
      <c r="I714" s="1505"/>
      <c r="J714" s="1516" t="s">
        <v>123</v>
      </c>
      <c r="K714" s="1506"/>
      <c r="L714" s="1506"/>
      <c r="M714" s="1479"/>
      <c r="N714" s="1503"/>
      <c r="O714" s="1503"/>
      <c r="P714" s="1503"/>
      <c r="Q714" s="1503"/>
      <c r="R714" s="1503"/>
      <c r="S714" s="1504"/>
      <c r="T714" s="1504"/>
      <c r="U714" s="483"/>
      <c r="V714" s="1505"/>
      <c r="W714" s="1516" t="s">
        <v>123</v>
      </c>
      <c r="X714" s="1506"/>
      <c r="Y714" s="1506"/>
      <c r="Z714" s="1481"/>
      <c r="AA714" s="499"/>
      <c r="AB714" s="499"/>
      <c r="AC714" s="499"/>
      <c r="AD714" s="499"/>
      <c r="AE714" s="499"/>
      <c r="AF714" s="499"/>
      <c r="AG714" s="499"/>
      <c r="AH714" s="499"/>
      <c r="AI714" s="1483"/>
      <c r="AJ714" s="1515"/>
      <c r="AK714" s="1515"/>
    </row>
    <row r="715">
      <c r="A715" s="499"/>
      <c r="B715" s="1501"/>
      <c r="C715" s="1502"/>
      <c r="D715" s="1503"/>
      <c r="E715" s="1503"/>
      <c r="F715" s="1504"/>
      <c r="G715" s="1504"/>
      <c r="H715" s="483"/>
      <c r="I715" s="1505"/>
      <c r="J715" s="1516" t="s">
        <v>123</v>
      </c>
      <c r="K715" s="1506"/>
      <c r="L715" s="1506"/>
      <c r="M715" s="1479"/>
      <c r="N715" s="1503"/>
      <c r="O715" s="1503"/>
      <c r="P715" s="1503"/>
      <c r="Q715" s="1503"/>
      <c r="R715" s="1503"/>
      <c r="S715" s="1504"/>
      <c r="T715" s="1504"/>
      <c r="U715" s="483"/>
      <c r="V715" s="1505"/>
      <c r="W715" s="1516" t="s">
        <v>123</v>
      </c>
      <c r="X715" s="1506"/>
      <c r="Y715" s="1506"/>
      <c r="Z715" s="1481"/>
      <c r="AA715" s="499"/>
      <c r="AB715" s="499"/>
      <c r="AC715" s="499"/>
      <c r="AD715" s="499"/>
      <c r="AE715" s="499"/>
      <c r="AF715" s="499"/>
      <c r="AG715" s="499"/>
      <c r="AH715" s="499"/>
      <c r="AI715" s="1483"/>
      <c r="AJ715" s="1515"/>
      <c r="AK715" s="1515"/>
    </row>
    <row r="716">
      <c r="A716" s="499"/>
      <c r="B716" s="1501"/>
      <c r="C716" s="1502"/>
      <c r="D716" s="1503"/>
      <c r="E716" s="1503"/>
      <c r="F716" s="1504"/>
      <c r="G716" s="1504"/>
      <c r="H716" s="483"/>
      <c r="I716" s="1505"/>
      <c r="J716" s="1516" t="s">
        <v>123</v>
      </c>
      <c r="K716" s="1506"/>
      <c r="L716" s="1506"/>
      <c r="M716" s="1479"/>
      <c r="N716" s="1503"/>
      <c r="O716" s="1503"/>
      <c r="P716" s="1503"/>
      <c r="Q716" s="1503"/>
      <c r="R716" s="1503"/>
      <c r="S716" s="1504"/>
      <c r="T716" s="1504"/>
      <c r="U716" s="483"/>
      <c r="V716" s="1505"/>
      <c r="W716" s="1516" t="s">
        <v>123</v>
      </c>
      <c r="X716" s="1506"/>
      <c r="Y716" s="1506"/>
      <c r="Z716" s="1481"/>
      <c r="AA716" s="499"/>
      <c r="AB716" s="499"/>
      <c r="AC716" s="499"/>
      <c r="AD716" s="499"/>
      <c r="AE716" s="499"/>
      <c r="AF716" s="499"/>
      <c r="AG716" s="499"/>
      <c r="AH716" s="499"/>
      <c r="AI716" s="1483"/>
      <c r="AJ716" s="1515"/>
      <c r="AK716" s="1515"/>
    </row>
    <row r="717">
      <c r="A717" s="499"/>
      <c r="B717" s="1501"/>
      <c r="C717" s="1502"/>
      <c r="D717" s="1503"/>
      <c r="E717" s="1503"/>
      <c r="F717" s="1504"/>
      <c r="G717" s="1504"/>
      <c r="H717" s="483"/>
      <c r="I717" s="1505"/>
      <c r="J717" s="1516" t="s">
        <v>123</v>
      </c>
      <c r="K717" s="1506"/>
      <c r="L717" s="1506"/>
      <c r="M717" s="1479"/>
      <c r="N717" s="1503"/>
      <c r="O717" s="1503"/>
      <c r="P717" s="1503"/>
      <c r="Q717" s="1503"/>
      <c r="R717" s="1503"/>
      <c r="S717" s="1504"/>
      <c r="T717" s="1504"/>
      <c r="U717" s="483"/>
      <c r="V717" s="1505"/>
      <c r="W717" s="1516" t="s">
        <v>123</v>
      </c>
      <c r="X717" s="1506"/>
      <c r="Y717" s="1506"/>
      <c r="Z717" s="1481"/>
      <c r="AA717" s="499"/>
      <c r="AB717" s="499"/>
      <c r="AC717" s="499"/>
      <c r="AD717" s="499"/>
      <c r="AE717" s="499"/>
      <c r="AF717" s="499"/>
      <c r="AG717" s="499"/>
      <c r="AH717" s="499"/>
      <c r="AI717" s="1483"/>
      <c r="AJ717" s="1515"/>
      <c r="AK717" s="1515"/>
    </row>
    <row r="718">
      <c r="A718" s="499"/>
      <c r="B718" s="1501"/>
      <c r="C718" s="1502"/>
      <c r="D718" s="1503"/>
      <c r="E718" s="1503"/>
      <c r="F718" s="1504"/>
      <c r="G718" s="1504"/>
      <c r="H718" s="483"/>
      <c r="I718" s="1505"/>
      <c r="J718" s="1516" t="s">
        <v>123</v>
      </c>
      <c r="K718" s="1506"/>
      <c r="L718" s="1506"/>
      <c r="M718" s="1479"/>
      <c r="N718" s="1503"/>
      <c r="O718" s="1503"/>
      <c r="P718" s="1503"/>
      <c r="Q718" s="1503"/>
      <c r="R718" s="1503"/>
      <c r="S718" s="1504"/>
      <c r="T718" s="1504"/>
      <c r="U718" s="483"/>
      <c r="V718" s="1505"/>
      <c r="W718" s="1516" t="s">
        <v>123</v>
      </c>
      <c r="X718" s="1506"/>
      <c r="Y718" s="1506"/>
      <c r="Z718" s="1481"/>
      <c r="AA718" s="499"/>
      <c r="AB718" s="499"/>
      <c r="AC718" s="499"/>
      <c r="AD718" s="499"/>
      <c r="AE718" s="499"/>
      <c r="AF718" s="499"/>
      <c r="AG718" s="499"/>
      <c r="AH718" s="499"/>
      <c r="AI718" s="1483"/>
      <c r="AJ718" s="1515"/>
      <c r="AK718" s="1515"/>
    </row>
    <row r="719">
      <c r="A719" s="499"/>
      <c r="B719" s="1501"/>
      <c r="C719" s="1502"/>
      <c r="D719" s="1503"/>
      <c r="E719" s="1503"/>
      <c r="F719" s="1504"/>
      <c r="G719" s="1504"/>
      <c r="H719" s="483"/>
      <c r="I719" s="1505"/>
      <c r="J719" s="1516" t="s">
        <v>123</v>
      </c>
      <c r="K719" s="1506"/>
      <c r="L719" s="1506"/>
      <c r="M719" s="1479"/>
      <c r="N719" s="1503"/>
      <c r="O719" s="1503"/>
      <c r="P719" s="1503"/>
      <c r="Q719" s="1503"/>
      <c r="R719" s="1503"/>
      <c r="S719" s="1504"/>
      <c r="T719" s="1504"/>
      <c r="U719" s="483"/>
      <c r="V719" s="1505"/>
      <c r="W719" s="1516" t="s">
        <v>123</v>
      </c>
      <c r="X719" s="1506"/>
      <c r="Y719" s="1506"/>
      <c r="Z719" s="1481"/>
      <c r="AA719" s="499"/>
      <c r="AB719" s="499"/>
      <c r="AC719" s="499"/>
      <c r="AD719" s="499"/>
      <c r="AE719" s="499"/>
      <c r="AF719" s="499"/>
      <c r="AG719" s="499"/>
      <c r="AH719" s="499"/>
      <c r="AI719" s="1483"/>
      <c r="AJ719" s="1515"/>
      <c r="AK719" s="1515"/>
    </row>
    <row r="720">
      <c r="A720" s="499"/>
      <c r="B720" s="1501"/>
      <c r="C720" s="1502"/>
      <c r="D720" s="1503"/>
      <c r="E720" s="1503"/>
      <c r="F720" s="1504"/>
      <c r="G720" s="1504"/>
      <c r="H720" s="483"/>
      <c r="I720" s="1505"/>
      <c r="J720" s="1516" t="s">
        <v>123</v>
      </c>
      <c r="K720" s="1506"/>
      <c r="L720" s="1506"/>
      <c r="M720" s="1479"/>
      <c r="N720" s="1503"/>
      <c r="O720" s="1503"/>
      <c r="P720" s="1503"/>
      <c r="Q720" s="1503"/>
      <c r="R720" s="1503"/>
      <c r="S720" s="1504"/>
      <c r="T720" s="1504"/>
      <c r="U720" s="483"/>
      <c r="V720" s="1505"/>
      <c r="W720" s="1516" t="s">
        <v>123</v>
      </c>
      <c r="X720" s="1506"/>
      <c r="Y720" s="1506"/>
      <c r="Z720" s="1481"/>
      <c r="AA720" s="499"/>
      <c r="AB720" s="499"/>
      <c r="AC720" s="499"/>
      <c r="AD720" s="499"/>
      <c r="AE720" s="499"/>
      <c r="AF720" s="499"/>
      <c r="AG720" s="499"/>
      <c r="AH720" s="499"/>
      <c r="AI720" s="1483"/>
      <c r="AJ720" s="1515"/>
      <c r="AK720" s="1515"/>
    </row>
    <row r="721">
      <c r="A721" s="499"/>
      <c r="B721" s="1501"/>
      <c r="C721" s="1502"/>
      <c r="D721" s="1503"/>
      <c r="E721" s="1503"/>
      <c r="F721" s="1504"/>
      <c r="G721" s="1504"/>
      <c r="H721" s="483"/>
      <c r="I721" s="1505"/>
      <c r="J721" s="1516" t="s">
        <v>123</v>
      </c>
      <c r="K721" s="1506"/>
      <c r="L721" s="1506"/>
      <c r="M721" s="1479"/>
      <c r="N721" s="1503"/>
      <c r="O721" s="1503"/>
      <c r="P721" s="1503"/>
      <c r="Q721" s="1503"/>
      <c r="R721" s="1503"/>
      <c r="S721" s="1504"/>
      <c r="T721" s="1504"/>
      <c r="U721" s="483"/>
      <c r="V721" s="1505"/>
      <c r="W721" s="1516" t="s">
        <v>123</v>
      </c>
      <c r="X721" s="1506"/>
      <c r="Y721" s="1506"/>
      <c r="Z721" s="1481"/>
      <c r="AA721" s="499"/>
      <c r="AB721" s="499"/>
      <c r="AC721" s="499"/>
      <c r="AD721" s="499"/>
      <c r="AE721" s="499"/>
      <c r="AF721" s="499"/>
      <c r="AG721" s="499"/>
      <c r="AH721" s="499"/>
      <c r="AI721" s="1483"/>
      <c r="AJ721" s="1515"/>
      <c r="AK721" s="1515"/>
    </row>
    <row r="722">
      <c r="A722" s="499"/>
      <c r="B722" s="1501"/>
      <c r="C722" s="1502"/>
      <c r="D722" s="1503"/>
      <c r="E722" s="1503"/>
      <c r="F722" s="1504"/>
      <c r="G722" s="1504"/>
      <c r="H722" s="483"/>
      <c r="I722" s="1505"/>
      <c r="J722" s="1516" t="s">
        <v>123</v>
      </c>
      <c r="K722" s="1506"/>
      <c r="L722" s="1506"/>
      <c r="M722" s="1479"/>
      <c r="N722" s="1503"/>
      <c r="O722" s="1503"/>
      <c r="P722" s="1503"/>
      <c r="Q722" s="1503"/>
      <c r="R722" s="1503"/>
      <c r="S722" s="1504"/>
      <c r="T722" s="1504"/>
      <c r="U722" s="483"/>
      <c r="V722" s="1505"/>
      <c r="W722" s="1516" t="s">
        <v>123</v>
      </c>
      <c r="X722" s="1506"/>
      <c r="Y722" s="1506"/>
      <c r="Z722" s="1481"/>
      <c r="AA722" s="499"/>
      <c r="AB722" s="499"/>
      <c r="AC722" s="499"/>
      <c r="AD722" s="499"/>
      <c r="AE722" s="499"/>
      <c r="AF722" s="499"/>
      <c r="AG722" s="499"/>
      <c r="AH722" s="499"/>
      <c r="AI722" s="1483"/>
      <c r="AJ722" s="1515"/>
      <c r="AK722" s="1515"/>
    </row>
    <row r="723">
      <c r="A723" s="499"/>
      <c r="B723" s="1501"/>
      <c r="C723" s="1502"/>
      <c r="D723" s="1503"/>
      <c r="E723" s="1503"/>
      <c r="F723" s="1504"/>
      <c r="G723" s="1504"/>
      <c r="H723" s="483"/>
      <c r="I723" s="1505"/>
      <c r="J723" s="1516" t="s">
        <v>123</v>
      </c>
      <c r="K723" s="1506"/>
      <c r="L723" s="1506"/>
      <c r="M723" s="1479"/>
      <c r="N723" s="1503"/>
      <c r="O723" s="1503"/>
      <c r="P723" s="1503"/>
      <c r="Q723" s="1503"/>
      <c r="R723" s="1503"/>
      <c r="S723" s="1504"/>
      <c r="T723" s="1504"/>
      <c r="U723" s="483"/>
      <c r="V723" s="1505"/>
      <c r="W723" s="1516" t="s">
        <v>123</v>
      </c>
      <c r="X723" s="1506"/>
      <c r="Y723" s="1506"/>
      <c r="Z723" s="1481"/>
      <c r="AA723" s="499"/>
      <c r="AB723" s="499"/>
      <c r="AC723" s="499"/>
      <c r="AD723" s="499"/>
      <c r="AE723" s="499"/>
      <c r="AF723" s="499"/>
      <c r="AG723" s="499"/>
      <c r="AH723" s="499"/>
      <c r="AI723" s="1483"/>
      <c r="AJ723" s="1515"/>
      <c r="AK723" s="1515"/>
    </row>
    <row r="724">
      <c r="A724" s="499"/>
      <c r="B724" s="1501"/>
      <c r="C724" s="1502"/>
      <c r="D724" s="1503"/>
      <c r="E724" s="1503"/>
      <c r="F724" s="1504"/>
      <c r="G724" s="1504"/>
      <c r="H724" s="483"/>
      <c r="I724" s="1505"/>
      <c r="J724" s="1516" t="s">
        <v>123</v>
      </c>
      <c r="K724" s="1506"/>
      <c r="L724" s="1506"/>
      <c r="M724" s="1479"/>
      <c r="N724" s="1503"/>
      <c r="O724" s="1503"/>
      <c r="P724" s="1503"/>
      <c r="Q724" s="1503"/>
      <c r="R724" s="1503"/>
      <c r="S724" s="1504"/>
      <c r="T724" s="1504"/>
      <c r="U724" s="483"/>
      <c r="V724" s="1505"/>
      <c r="W724" s="1516" t="s">
        <v>123</v>
      </c>
      <c r="X724" s="1506"/>
      <c r="Y724" s="1506"/>
      <c r="Z724" s="1481"/>
      <c r="AA724" s="499"/>
      <c r="AB724" s="499"/>
      <c r="AC724" s="499"/>
      <c r="AD724" s="499"/>
      <c r="AE724" s="499"/>
      <c r="AF724" s="499"/>
      <c r="AG724" s="499"/>
      <c r="AH724" s="499"/>
      <c r="AI724" s="1483"/>
      <c r="AJ724" s="1515"/>
      <c r="AK724" s="1515"/>
    </row>
    <row r="725">
      <c r="A725" s="499"/>
      <c r="B725" s="1501"/>
      <c r="C725" s="1502"/>
      <c r="D725" s="1503"/>
      <c r="E725" s="1503"/>
      <c r="F725" s="1504"/>
      <c r="G725" s="1504"/>
      <c r="H725" s="483"/>
      <c r="I725" s="1505"/>
      <c r="J725" s="1516" t="s">
        <v>123</v>
      </c>
      <c r="K725" s="1506"/>
      <c r="L725" s="1506"/>
      <c r="M725" s="1479"/>
      <c r="N725" s="1503"/>
      <c r="O725" s="1503"/>
      <c r="P725" s="1503"/>
      <c r="Q725" s="1503"/>
      <c r="R725" s="1503"/>
      <c r="S725" s="1504"/>
      <c r="T725" s="1504"/>
      <c r="U725" s="483"/>
      <c r="V725" s="1505"/>
      <c r="W725" s="1516" t="s">
        <v>123</v>
      </c>
      <c r="X725" s="1506"/>
      <c r="Y725" s="1506"/>
      <c r="Z725" s="1481"/>
      <c r="AA725" s="499"/>
      <c r="AB725" s="499"/>
      <c r="AC725" s="499"/>
      <c r="AD725" s="499"/>
      <c r="AE725" s="499"/>
      <c r="AF725" s="499"/>
      <c r="AG725" s="499"/>
      <c r="AH725" s="499"/>
      <c r="AI725" s="1483"/>
      <c r="AJ725" s="1515"/>
      <c r="AK725" s="1515"/>
    </row>
    <row r="726">
      <c r="A726" s="499"/>
      <c r="B726" s="1501"/>
      <c r="C726" s="1502"/>
      <c r="D726" s="1503"/>
      <c r="E726" s="1503"/>
      <c r="F726" s="1504"/>
      <c r="G726" s="1504"/>
      <c r="H726" s="483"/>
      <c r="I726" s="1505"/>
      <c r="J726" s="1516" t="s">
        <v>123</v>
      </c>
      <c r="K726" s="1506"/>
      <c r="L726" s="1506"/>
      <c r="M726" s="1479"/>
      <c r="N726" s="1503"/>
      <c r="O726" s="1503"/>
      <c r="P726" s="1503"/>
      <c r="Q726" s="1503"/>
      <c r="R726" s="1503"/>
      <c r="S726" s="1504"/>
      <c r="T726" s="1504"/>
      <c r="U726" s="483"/>
      <c r="V726" s="1505"/>
      <c r="W726" s="1516" t="s">
        <v>123</v>
      </c>
      <c r="X726" s="1506"/>
      <c r="Y726" s="1506"/>
      <c r="Z726" s="1481"/>
      <c r="AA726" s="499"/>
      <c r="AB726" s="499"/>
      <c r="AC726" s="499"/>
      <c r="AD726" s="499"/>
      <c r="AE726" s="499"/>
      <c r="AF726" s="499"/>
      <c r="AG726" s="499"/>
      <c r="AH726" s="499"/>
      <c r="AI726" s="1483"/>
      <c r="AJ726" s="1515"/>
      <c r="AK726" s="1515"/>
    </row>
    <row r="727">
      <c r="A727" s="499"/>
      <c r="B727" s="1501"/>
      <c r="C727" s="1502"/>
      <c r="D727" s="1503"/>
      <c r="E727" s="1503"/>
      <c r="F727" s="1504"/>
      <c r="G727" s="1504"/>
      <c r="H727" s="483"/>
      <c r="I727" s="1505"/>
      <c r="J727" s="1516" t="s">
        <v>123</v>
      </c>
      <c r="K727" s="1506"/>
      <c r="L727" s="1506"/>
      <c r="M727" s="1479"/>
      <c r="N727" s="1503"/>
      <c r="O727" s="1503"/>
      <c r="P727" s="1503"/>
      <c r="Q727" s="1503"/>
      <c r="R727" s="1503"/>
      <c r="S727" s="1504"/>
      <c r="T727" s="1504"/>
      <c r="U727" s="483"/>
      <c r="V727" s="1505"/>
      <c r="W727" s="1516" t="s">
        <v>123</v>
      </c>
      <c r="X727" s="1506"/>
      <c r="Y727" s="1506"/>
      <c r="Z727" s="1481"/>
      <c r="AA727" s="499"/>
      <c r="AB727" s="499"/>
      <c r="AC727" s="499"/>
      <c r="AD727" s="499"/>
      <c r="AE727" s="499"/>
      <c r="AF727" s="499"/>
      <c r="AG727" s="499"/>
      <c r="AH727" s="499"/>
      <c r="AI727" s="1483"/>
      <c r="AJ727" s="1515"/>
      <c r="AK727" s="1515"/>
    </row>
    <row r="728">
      <c r="A728" s="499"/>
      <c r="B728" s="1501"/>
      <c r="C728" s="1502"/>
      <c r="D728" s="1503"/>
      <c r="E728" s="1503"/>
      <c r="F728" s="1504"/>
      <c r="G728" s="1504"/>
      <c r="H728" s="483"/>
      <c r="I728" s="1505"/>
      <c r="J728" s="1516" t="s">
        <v>123</v>
      </c>
      <c r="K728" s="1506"/>
      <c r="L728" s="1506"/>
      <c r="M728" s="1479"/>
      <c r="N728" s="1503"/>
      <c r="O728" s="1503"/>
      <c r="P728" s="1503"/>
      <c r="Q728" s="1503"/>
      <c r="R728" s="1503"/>
      <c r="S728" s="1504"/>
      <c r="T728" s="1504"/>
      <c r="U728" s="483"/>
      <c r="V728" s="1505"/>
      <c r="W728" s="1516" t="s">
        <v>123</v>
      </c>
      <c r="X728" s="1506"/>
      <c r="Y728" s="1506"/>
      <c r="Z728" s="1481"/>
      <c r="AA728" s="499"/>
      <c r="AB728" s="499"/>
      <c r="AC728" s="499"/>
      <c r="AD728" s="499"/>
      <c r="AE728" s="499"/>
      <c r="AF728" s="499"/>
      <c r="AG728" s="499"/>
      <c r="AH728" s="499"/>
      <c r="AI728" s="1483"/>
      <c r="AJ728" s="1515"/>
      <c r="AK728" s="1515"/>
    </row>
    <row r="729">
      <c r="A729" s="499"/>
      <c r="B729" s="1501"/>
      <c r="C729" s="1502"/>
      <c r="D729" s="1503"/>
      <c r="E729" s="1503"/>
      <c r="F729" s="1504"/>
      <c r="G729" s="1504"/>
      <c r="H729" s="483"/>
      <c r="I729" s="1505"/>
      <c r="J729" s="1516" t="s">
        <v>123</v>
      </c>
      <c r="K729" s="1506"/>
      <c r="L729" s="1506"/>
      <c r="M729" s="1479"/>
      <c r="N729" s="1503"/>
      <c r="O729" s="1503"/>
      <c r="P729" s="1503"/>
      <c r="Q729" s="1503"/>
      <c r="R729" s="1503"/>
      <c r="S729" s="1504"/>
      <c r="T729" s="1504"/>
      <c r="U729" s="483"/>
      <c r="V729" s="1505"/>
      <c r="W729" s="1516" t="s">
        <v>123</v>
      </c>
      <c r="X729" s="1506"/>
      <c r="Y729" s="1506"/>
      <c r="Z729" s="1481"/>
      <c r="AA729" s="499"/>
      <c r="AB729" s="499"/>
      <c r="AC729" s="499"/>
      <c r="AD729" s="499"/>
      <c r="AE729" s="499"/>
      <c r="AF729" s="499"/>
      <c r="AG729" s="499"/>
      <c r="AH729" s="499"/>
      <c r="AI729" s="1483"/>
      <c r="AJ729" s="1515"/>
      <c r="AK729" s="1515"/>
    </row>
    <row r="730">
      <c r="A730" s="499"/>
      <c r="B730" s="1501"/>
      <c r="C730" s="1502"/>
      <c r="D730" s="1503"/>
      <c r="E730" s="1503"/>
      <c r="F730" s="1504"/>
      <c r="G730" s="1504"/>
      <c r="H730" s="483"/>
      <c r="I730" s="1505"/>
      <c r="J730" s="1516" t="s">
        <v>123</v>
      </c>
      <c r="K730" s="1506"/>
      <c r="L730" s="1506"/>
      <c r="M730" s="1479"/>
      <c r="N730" s="1503"/>
      <c r="O730" s="1503"/>
      <c r="P730" s="1503"/>
      <c r="Q730" s="1503"/>
      <c r="R730" s="1503"/>
      <c r="S730" s="1504"/>
      <c r="T730" s="1504"/>
      <c r="U730" s="483"/>
      <c r="V730" s="1505"/>
      <c r="W730" s="1516" t="s">
        <v>123</v>
      </c>
      <c r="X730" s="1506"/>
      <c r="Y730" s="1506"/>
      <c r="Z730" s="1481"/>
      <c r="AA730" s="499"/>
      <c r="AB730" s="499"/>
      <c r="AC730" s="499"/>
      <c r="AD730" s="499"/>
      <c r="AE730" s="499"/>
      <c r="AF730" s="499"/>
      <c r="AG730" s="499"/>
      <c r="AH730" s="499"/>
      <c r="AI730" s="1483"/>
      <c r="AJ730" s="1515"/>
      <c r="AK730" s="1515"/>
    </row>
    <row r="731">
      <c r="A731" s="499"/>
      <c r="B731" s="1501"/>
      <c r="C731" s="1502"/>
      <c r="D731" s="1503"/>
      <c r="E731" s="1503"/>
      <c r="F731" s="1504"/>
      <c r="G731" s="1504"/>
      <c r="H731" s="483"/>
      <c r="I731" s="1505"/>
      <c r="J731" s="1516" t="s">
        <v>123</v>
      </c>
      <c r="K731" s="1506"/>
      <c r="L731" s="1506"/>
      <c r="M731" s="1479"/>
      <c r="N731" s="1503"/>
      <c r="O731" s="1503"/>
      <c r="P731" s="1503"/>
      <c r="Q731" s="1503"/>
      <c r="R731" s="1503"/>
      <c r="S731" s="1504"/>
      <c r="T731" s="1504"/>
      <c r="U731" s="483"/>
      <c r="V731" s="1505"/>
      <c r="W731" s="1516" t="s">
        <v>123</v>
      </c>
      <c r="X731" s="1506"/>
      <c r="Y731" s="1506"/>
      <c r="Z731" s="1481"/>
      <c r="AA731" s="499"/>
      <c r="AB731" s="499"/>
      <c r="AC731" s="499"/>
      <c r="AD731" s="499"/>
      <c r="AE731" s="499"/>
      <c r="AF731" s="499"/>
      <c r="AG731" s="499"/>
      <c r="AH731" s="499"/>
      <c r="AI731" s="1483"/>
      <c r="AJ731" s="1515"/>
      <c r="AK731" s="1515"/>
    </row>
    <row r="732">
      <c r="A732" s="499"/>
      <c r="B732" s="1501"/>
      <c r="C732" s="1502"/>
      <c r="D732" s="1503"/>
      <c r="E732" s="1503"/>
      <c r="F732" s="1504"/>
      <c r="G732" s="1504"/>
      <c r="H732" s="483"/>
      <c r="I732" s="1505"/>
      <c r="J732" s="1516" t="s">
        <v>123</v>
      </c>
      <c r="K732" s="1506"/>
      <c r="L732" s="1506"/>
      <c r="M732" s="1479"/>
      <c r="N732" s="1503"/>
      <c r="O732" s="1503"/>
      <c r="P732" s="1503"/>
      <c r="Q732" s="1503"/>
      <c r="R732" s="1503"/>
      <c r="S732" s="1504"/>
      <c r="T732" s="1504"/>
      <c r="U732" s="483"/>
      <c r="V732" s="1505"/>
      <c r="W732" s="1516" t="s">
        <v>123</v>
      </c>
      <c r="X732" s="1506"/>
      <c r="Y732" s="1506"/>
      <c r="Z732" s="1481"/>
      <c r="AA732" s="499"/>
      <c r="AB732" s="499"/>
      <c r="AC732" s="499"/>
      <c r="AD732" s="499"/>
      <c r="AE732" s="499"/>
      <c r="AF732" s="499"/>
      <c r="AG732" s="499"/>
      <c r="AH732" s="499"/>
      <c r="AI732" s="1483"/>
      <c r="AJ732" s="1515"/>
      <c r="AK732" s="1515"/>
    </row>
    <row r="733">
      <c r="A733" s="499"/>
      <c r="B733" s="1501"/>
      <c r="C733" s="1502"/>
      <c r="D733" s="1503"/>
      <c r="E733" s="1503"/>
      <c r="F733" s="1504"/>
      <c r="G733" s="1504"/>
      <c r="H733" s="483"/>
      <c r="I733" s="1505"/>
      <c r="J733" s="1516" t="s">
        <v>123</v>
      </c>
      <c r="K733" s="1506"/>
      <c r="L733" s="1506"/>
      <c r="M733" s="1479"/>
      <c r="N733" s="1503"/>
      <c r="O733" s="1503"/>
      <c r="P733" s="1503"/>
      <c r="Q733" s="1503"/>
      <c r="R733" s="1503"/>
      <c r="S733" s="1504"/>
      <c r="T733" s="1504"/>
      <c r="U733" s="483"/>
      <c r="V733" s="1505"/>
      <c r="W733" s="1516" t="s">
        <v>123</v>
      </c>
      <c r="X733" s="1506"/>
      <c r="Y733" s="1506"/>
      <c r="Z733" s="1481"/>
      <c r="AA733" s="499"/>
      <c r="AB733" s="499"/>
      <c r="AC733" s="499"/>
      <c r="AD733" s="499"/>
      <c r="AE733" s="499"/>
      <c r="AF733" s="499"/>
      <c r="AG733" s="499"/>
      <c r="AH733" s="499"/>
      <c r="AI733" s="1483"/>
      <c r="AJ733" s="1515"/>
      <c r="AK733" s="1515"/>
    </row>
    <row r="734">
      <c r="A734" s="499"/>
      <c r="B734" s="1501"/>
      <c r="C734" s="1502"/>
      <c r="D734" s="1503"/>
      <c r="E734" s="1503"/>
      <c r="F734" s="1504"/>
      <c r="G734" s="1504"/>
      <c r="H734" s="483"/>
      <c r="I734" s="1505"/>
      <c r="J734" s="1516" t="s">
        <v>123</v>
      </c>
      <c r="K734" s="1506"/>
      <c r="L734" s="1506"/>
      <c r="M734" s="1479"/>
      <c r="N734" s="1503"/>
      <c r="O734" s="1503"/>
      <c r="P734" s="1503"/>
      <c r="Q734" s="1503"/>
      <c r="R734" s="1503"/>
      <c r="S734" s="1504"/>
      <c r="T734" s="1504"/>
      <c r="U734" s="483"/>
      <c r="V734" s="1505"/>
      <c r="W734" s="1516" t="s">
        <v>123</v>
      </c>
      <c r="X734" s="1506"/>
      <c r="Y734" s="1506"/>
      <c r="Z734" s="1481"/>
      <c r="AA734" s="499"/>
      <c r="AB734" s="499"/>
      <c r="AC734" s="499"/>
      <c r="AD734" s="499"/>
      <c r="AE734" s="499"/>
      <c r="AF734" s="499"/>
      <c r="AG734" s="499"/>
      <c r="AH734" s="499"/>
      <c r="AI734" s="1483"/>
      <c r="AJ734" s="1515"/>
      <c r="AK734" s="1515"/>
    </row>
    <row r="735">
      <c r="A735" s="499"/>
      <c r="B735" s="1501"/>
      <c r="C735" s="1502"/>
      <c r="D735" s="1503"/>
      <c r="E735" s="1503"/>
      <c r="F735" s="1504"/>
      <c r="G735" s="1504"/>
      <c r="H735" s="483"/>
      <c r="I735" s="1505"/>
      <c r="J735" s="1516" t="s">
        <v>123</v>
      </c>
      <c r="K735" s="1506"/>
      <c r="L735" s="1506"/>
      <c r="M735" s="1479"/>
      <c r="N735" s="1503"/>
      <c r="O735" s="1503"/>
      <c r="P735" s="1503"/>
      <c r="Q735" s="1503"/>
      <c r="R735" s="1503"/>
      <c r="S735" s="1504"/>
      <c r="T735" s="1504"/>
      <c r="U735" s="483"/>
      <c r="V735" s="1505"/>
      <c r="W735" s="1516" t="s">
        <v>123</v>
      </c>
      <c r="X735" s="1506"/>
      <c r="Y735" s="1506"/>
      <c r="Z735" s="1481"/>
      <c r="AA735" s="499"/>
      <c r="AB735" s="499"/>
      <c r="AC735" s="499"/>
      <c r="AD735" s="499"/>
      <c r="AE735" s="499"/>
      <c r="AF735" s="499"/>
      <c r="AG735" s="499"/>
      <c r="AH735" s="499"/>
      <c r="AI735" s="1483"/>
      <c r="AJ735" s="1515"/>
      <c r="AK735" s="1515"/>
    </row>
    <row r="736">
      <c r="A736" s="499"/>
      <c r="B736" s="1501"/>
      <c r="C736" s="1502"/>
      <c r="D736" s="1503"/>
      <c r="E736" s="1503"/>
      <c r="F736" s="1504"/>
      <c r="G736" s="1504"/>
      <c r="H736" s="483"/>
      <c r="I736" s="1505"/>
      <c r="J736" s="1516" t="s">
        <v>123</v>
      </c>
      <c r="K736" s="1506"/>
      <c r="L736" s="1506"/>
      <c r="M736" s="1479"/>
      <c r="N736" s="1503"/>
      <c r="O736" s="1503"/>
      <c r="P736" s="1503"/>
      <c r="Q736" s="1503"/>
      <c r="R736" s="1503"/>
      <c r="S736" s="1504"/>
      <c r="T736" s="1504"/>
      <c r="U736" s="483"/>
      <c r="V736" s="1505"/>
      <c r="W736" s="1516" t="s">
        <v>123</v>
      </c>
      <c r="X736" s="1506"/>
      <c r="Y736" s="1506"/>
      <c r="Z736" s="1481"/>
      <c r="AA736" s="499"/>
      <c r="AB736" s="499"/>
      <c r="AC736" s="499"/>
      <c r="AD736" s="499"/>
      <c r="AE736" s="499"/>
      <c r="AF736" s="499"/>
      <c r="AG736" s="499"/>
      <c r="AH736" s="499"/>
      <c r="AI736" s="1483"/>
      <c r="AJ736" s="1515"/>
      <c r="AK736" s="1515"/>
    </row>
    <row r="737">
      <c r="A737" s="499"/>
      <c r="B737" s="1501"/>
      <c r="C737" s="1502"/>
      <c r="D737" s="1503"/>
      <c r="E737" s="1503"/>
      <c r="F737" s="1504"/>
      <c r="G737" s="1504"/>
      <c r="H737" s="483"/>
      <c r="I737" s="1505"/>
      <c r="J737" s="1516" t="s">
        <v>123</v>
      </c>
      <c r="K737" s="1506"/>
      <c r="L737" s="1506"/>
      <c r="M737" s="1479"/>
      <c r="N737" s="1503"/>
      <c r="O737" s="1503"/>
      <c r="P737" s="1503"/>
      <c r="Q737" s="1503"/>
      <c r="R737" s="1503"/>
      <c r="S737" s="1504"/>
      <c r="T737" s="1504"/>
      <c r="U737" s="483"/>
      <c r="V737" s="1505"/>
      <c r="W737" s="1516" t="s">
        <v>123</v>
      </c>
      <c r="X737" s="1506"/>
      <c r="Y737" s="1506"/>
      <c r="Z737" s="1481"/>
      <c r="AA737" s="499"/>
      <c r="AB737" s="499"/>
      <c r="AC737" s="499"/>
      <c r="AD737" s="499"/>
      <c r="AE737" s="499"/>
      <c r="AF737" s="499"/>
      <c r="AG737" s="499"/>
      <c r="AH737" s="499"/>
      <c r="AI737" s="1483"/>
      <c r="AJ737" s="1515"/>
      <c r="AK737" s="1515"/>
    </row>
    <row r="738">
      <c r="A738" s="499"/>
      <c r="B738" s="1501"/>
      <c r="C738" s="1502"/>
      <c r="D738" s="1503"/>
      <c r="E738" s="1503"/>
      <c r="F738" s="1504"/>
      <c r="G738" s="1504"/>
      <c r="H738" s="483"/>
      <c r="I738" s="1505"/>
      <c r="J738" s="1516" t="s">
        <v>123</v>
      </c>
      <c r="K738" s="1506"/>
      <c r="L738" s="1506"/>
      <c r="M738" s="1479"/>
      <c r="N738" s="1503"/>
      <c r="O738" s="1503"/>
      <c r="P738" s="1503"/>
      <c r="Q738" s="1503"/>
      <c r="R738" s="1503"/>
      <c r="S738" s="1504"/>
      <c r="T738" s="1504"/>
      <c r="U738" s="483"/>
      <c r="V738" s="1505"/>
      <c r="W738" s="1516" t="s">
        <v>123</v>
      </c>
      <c r="X738" s="1506"/>
      <c r="Y738" s="1506"/>
      <c r="Z738" s="1481"/>
      <c r="AA738" s="499"/>
      <c r="AB738" s="499"/>
      <c r="AC738" s="499"/>
      <c r="AD738" s="499"/>
      <c r="AE738" s="499"/>
      <c r="AF738" s="499"/>
      <c r="AG738" s="499"/>
      <c r="AH738" s="499"/>
      <c r="AI738" s="1483"/>
      <c r="AJ738" s="1515"/>
      <c r="AK738" s="1515"/>
    </row>
    <row r="739">
      <c r="A739" s="499"/>
      <c r="B739" s="1501"/>
      <c r="C739" s="1502"/>
      <c r="D739" s="1503"/>
      <c r="E739" s="1503"/>
      <c r="F739" s="1504"/>
      <c r="G739" s="1504"/>
      <c r="H739" s="483"/>
      <c r="I739" s="1505"/>
      <c r="J739" s="1516" t="s">
        <v>123</v>
      </c>
      <c r="K739" s="1506"/>
      <c r="L739" s="1506"/>
      <c r="M739" s="1479"/>
      <c r="N739" s="1503"/>
      <c r="O739" s="1503"/>
      <c r="P739" s="1503"/>
      <c r="Q739" s="1503"/>
      <c r="R739" s="1503"/>
      <c r="S739" s="1504"/>
      <c r="T739" s="1504"/>
      <c r="U739" s="483"/>
      <c r="V739" s="1505"/>
      <c r="W739" s="1516" t="s">
        <v>123</v>
      </c>
      <c r="X739" s="1506"/>
      <c r="Y739" s="1506"/>
      <c r="Z739" s="1481"/>
      <c r="AA739" s="499"/>
      <c r="AB739" s="499"/>
      <c r="AC739" s="499"/>
      <c r="AD739" s="499"/>
      <c r="AE739" s="499"/>
      <c r="AF739" s="499"/>
      <c r="AG739" s="499"/>
      <c r="AH739" s="499"/>
      <c r="AI739" s="1483"/>
      <c r="AJ739" s="1515"/>
      <c r="AK739" s="1515"/>
    </row>
    <row r="740">
      <c r="A740" s="499"/>
      <c r="B740" s="1501"/>
      <c r="C740" s="1502"/>
      <c r="D740" s="1503"/>
      <c r="E740" s="1503"/>
      <c r="F740" s="1504"/>
      <c r="G740" s="1504"/>
      <c r="H740" s="483"/>
      <c r="I740" s="1505"/>
      <c r="J740" s="1516" t="s">
        <v>123</v>
      </c>
      <c r="K740" s="1506"/>
      <c r="L740" s="1506"/>
      <c r="M740" s="1479"/>
      <c r="N740" s="1503"/>
      <c r="O740" s="1503"/>
      <c r="P740" s="1503"/>
      <c r="Q740" s="1503"/>
      <c r="R740" s="1503"/>
      <c r="S740" s="1504"/>
      <c r="T740" s="1504"/>
      <c r="U740" s="483"/>
      <c r="V740" s="1505"/>
      <c r="W740" s="1516" t="s">
        <v>123</v>
      </c>
      <c r="X740" s="1506"/>
      <c r="Y740" s="1506"/>
      <c r="Z740" s="1481"/>
      <c r="AA740" s="499"/>
      <c r="AB740" s="499"/>
      <c r="AC740" s="499"/>
      <c r="AD740" s="499"/>
      <c r="AE740" s="499"/>
      <c r="AF740" s="499"/>
      <c r="AG740" s="499"/>
      <c r="AH740" s="499"/>
      <c r="AI740" s="1483"/>
      <c r="AJ740" s="1515"/>
      <c r="AK740" s="1515"/>
    </row>
    <row r="741">
      <c r="A741" s="499"/>
      <c r="B741" s="1501"/>
      <c r="C741" s="1502"/>
      <c r="D741" s="1503"/>
      <c r="E741" s="1503"/>
      <c r="F741" s="1504"/>
      <c r="G741" s="1504"/>
      <c r="H741" s="483"/>
      <c r="I741" s="1505"/>
      <c r="J741" s="1516" t="s">
        <v>123</v>
      </c>
      <c r="K741" s="1506"/>
      <c r="L741" s="1506"/>
      <c r="M741" s="1479"/>
      <c r="N741" s="1503"/>
      <c r="O741" s="1503"/>
      <c r="P741" s="1503"/>
      <c r="Q741" s="1503"/>
      <c r="R741" s="1503"/>
      <c r="S741" s="1504"/>
      <c r="T741" s="1504"/>
      <c r="U741" s="483"/>
      <c r="V741" s="1505"/>
      <c r="W741" s="1516" t="s">
        <v>123</v>
      </c>
      <c r="X741" s="1506"/>
      <c r="Y741" s="1506"/>
      <c r="Z741" s="1481"/>
      <c r="AA741" s="499"/>
      <c r="AB741" s="499"/>
      <c r="AC741" s="499"/>
      <c r="AD741" s="499"/>
      <c r="AE741" s="499"/>
      <c r="AF741" s="499"/>
      <c r="AG741" s="499"/>
      <c r="AH741" s="499"/>
      <c r="AI741" s="1483"/>
      <c r="AJ741" s="1515"/>
      <c r="AK741" s="1515"/>
    </row>
    <row r="742">
      <c r="A742" s="499"/>
      <c r="B742" s="1501"/>
      <c r="C742" s="1502"/>
      <c r="D742" s="1503"/>
      <c r="E742" s="1503"/>
      <c r="F742" s="1504"/>
      <c r="G742" s="1504"/>
      <c r="H742" s="483"/>
      <c r="I742" s="1505"/>
      <c r="J742" s="1516" t="s">
        <v>123</v>
      </c>
      <c r="K742" s="1506"/>
      <c r="L742" s="1506"/>
      <c r="M742" s="1479"/>
      <c r="N742" s="1503"/>
      <c r="O742" s="1503"/>
      <c r="P742" s="1503"/>
      <c r="Q742" s="1503"/>
      <c r="R742" s="1503"/>
      <c r="S742" s="1504"/>
      <c r="T742" s="1504"/>
      <c r="U742" s="483"/>
      <c r="V742" s="1505"/>
      <c r="W742" s="1516" t="s">
        <v>123</v>
      </c>
      <c r="X742" s="1506"/>
      <c r="Y742" s="1506"/>
      <c r="Z742" s="1481"/>
      <c r="AA742" s="499"/>
      <c r="AB742" s="499"/>
      <c r="AC742" s="499"/>
      <c r="AD742" s="499"/>
      <c r="AE742" s="499"/>
      <c r="AF742" s="499"/>
      <c r="AG742" s="499"/>
      <c r="AH742" s="499"/>
      <c r="AI742" s="1483"/>
      <c r="AJ742" s="1515"/>
      <c r="AK742" s="1515"/>
    </row>
    <row r="743">
      <c r="A743" s="499"/>
      <c r="B743" s="1501"/>
      <c r="C743" s="1502"/>
      <c r="D743" s="1503"/>
      <c r="E743" s="1503"/>
      <c r="F743" s="1504"/>
      <c r="G743" s="1504"/>
      <c r="H743" s="483"/>
      <c r="I743" s="1505"/>
      <c r="J743" s="1516" t="s">
        <v>123</v>
      </c>
      <c r="K743" s="1506"/>
      <c r="L743" s="1506"/>
      <c r="M743" s="1479"/>
      <c r="N743" s="1503"/>
      <c r="O743" s="1503"/>
      <c r="P743" s="1503"/>
      <c r="Q743" s="1503"/>
      <c r="R743" s="1503"/>
      <c r="S743" s="1504"/>
      <c r="T743" s="1504"/>
      <c r="U743" s="483"/>
      <c r="V743" s="1505"/>
      <c r="W743" s="1516" t="s">
        <v>123</v>
      </c>
      <c r="X743" s="1506"/>
      <c r="Y743" s="1506"/>
      <c r="Z743" s="1481"/>
      <c r="AA743" s="499"/>
      <c r="AB743" s="499"/>
      <c r="AC743" s="499"/>
      <c r="AD743" s="499"/>
      <c r="AE743" s="499"/>
      <c r="AF743" s="499"/>
      <c r="AG743" s="499"/>
      <c r="AH743" s="499"/>
      <c r="AI743" s="1483"/>
      <c r="AJ743" s="1515"/>
      <c r="AK743" s="1515"/>
    </row>
    <row r="744">
      <c r="A744" s="499"/>
      <c r="B744" s="1501"/>
      <c r="C744" s="1502"/>
      <c r="D744" s="1503"/>
      <c r="E744" s="1503"/>
      <c r="F744" s="1504"/>
      <c r="G744" s="1504"/>
      <c r="H744" s="483"/>
      <c r="I744" s="1505"/>
      <c r="J744" s="1516" t="s">
        <v>123</v>
      </c>
      <c r="K744" s="1506"/>
      <c r="L744" s="1506"/>
      <c r="M744" s="1479"/>
      <c r="N744" s="1503"/>
      <c r="O744" s="1503"/>
      <c r="P744" s="1503"/>
      <c r="Q744" s="1503"/>
      <c r="R744" s="1503"/>
      <c r="S744" s="1504"/>
      <c r="T744" s="1504"/>
      <c r="U744" s="483"/>
      <c r="V744" s="1505"/>
      <c r="W744" s="1516" t="s">
        <v>123</v>
      </c>
      <c r="X744" s="1506"/>
      <c r="Y744" s="1506"/>
      <c r="Z744" s="1481"/>
      <c r="AA744" s="499"/>
      <c r="AB744" s="499"/>
      <c r="AC744" s="499"/>
      <c r="AD744" s="499"/>
      <c r="AE744" s="499"/>
      <c r="AF744" s="499"/>
      <c r="AG744" s="499"/>
      <c r="AH744" s="499"/>
      <c r="AI744" s="1483"/>
      <c r="AJ744" s="1515"/>
      <c r="AK744" s="1515"/>
    </row>
    <row r="745">
      <c r="A745" s="499"/>
      <c r="B745" s="1501"/>
      <c r="C745" s="1502"/>
      <c r="D745" s="1503"/>
      <c r="E745" s="1503"/>
      <c r="F745" s="1504"/>
      <c r="G745" s="1504"/>
      <c r="H745" s="483"/>
      <c r="I745" s="1505"/>
      <c r="J745" s="1516" t="s">
        <v>123</v>
      </c>
      <c r="K745" s="1506"/>
      <c r="L745" s="1506"/>
      <c r="M745" s="1479"/>
      <c r="N745" s="1503"/>
      <c r="O745" s="1503"/>
      <c r="P745" s="1503"/>
      <c r="Q745" s="1503"/>
      <c r="R745" s="1503"/>
      <c r="S745" s="1504"/>
      <c r="T745" s="1504"/>
      <c r="U745" s="483"/>
      <c r="V745" s="1505"/>
      <c r="W745" s="1516" t="s">
        <v>123</v>
      </c>
      <c r="X745" s="1506"/>
      <c r="Y745" s="1506"/>
      <c r="Z745" s="1481"/>
      <c r="AA745" s="499"/>
      <c r="AB745" s="499"/>
      <c r="AC745" s="499"/>
      <c r="AD745" s="499"/>
      <c r="AE745" s="499"/>
      <c r="AF745" s="499"/>
      <c r="AG745" s="499"/>
      <c r="AH745" s="499"/>
      <c r="AI745" s="1483"/>
      <c r="AJ745" s="1515"/>
      <c r="AK745" s="1515"/>
    </row>
    <row r="746">
      <c r="A746" s="499"/>
      <c r="B746" s="1501"/>
      <c r="C746" s="1502"/>
      <c r="D746" s="1503"/>
      <c r="E746" s="1503"/>
      <c r="F746" s="1504"/>
      <c r="G746" s="1504"/>
      <c r="H746" s="483"/>
      <c r="I746" s="1505"/>
      <c r="J746" s="1516" t="s">
        <v>123</v>
      </c>
      <c r="K746" s="1506"/>
      <c r="L746" s="1506"/>
      <c r="M746" s="1479"/>
      <c r="N746" s="1503"/>
      <c r="O746" s="1503"/>
      <c r="P746" s="1503"/>
      <c r="Q746" s="1503"/>
      <c r="R746" s="1503"/>
      <c r="S746" s="1504"/>
      <c r="T746" s="1504"/>
      <c r="U746" s="483"/>
      <c r="V746" s="1505"/>
      <c r="W746" s="1516" t="s">
        <v>123</v>
      </c>
      <c r="X746" s="1506"/>
      <c r="Y746" s="1506"/>
      <c r="Z746" s="1481"/>
      <c r="AA746" s="499"/>
      <c r="AB746" s="499"/>
      <c r="AC746" s="499"/>
      <c r="AD746" s="499"/>
      <c r="AE746" s="499"/>
      <c r="AF746" s="499"/>
      <c r="AG746" s="499"/>
      <c r="AH746" s="499"/>
      <c r="AI746" s="1483"/>
      <c r="AJ746" s="1515"/>
      <c r="AK746" s="1515"/>
    </row>
    <row r="747">
      <c r="A747" s="499"/>
      <c r="B747" s="1501"/>
      <c r="C747" s="1502"/>
      <c r="D747" s="1503"/>
      <c r="E747" s="1503"/>
      <c r="F747" s="1504"/>
      <c r="G747" s="1504"/>
      <c r="H747" s="483"/>
      <c r="I747" s="1505"/>
      <c r="J747" s="1516" t="s">
        <v>123</v>
      </c>
      <c r="K747" s="1506"/>
      <c r="L747" s="1506"/>
      <c r="M747" s="1479"/>
      <c r="N747" s="1503"/>
      <c r="O747" s="1503"/>
      <c r="P747" s="1503"/>
      <c r="Q747" s="1503"/>
      <c r="R747" s="1503"/>
      <c r="S747" s="1504"/>
      <c r="T747" s="1504"/>
      <c r="U747" s="483"/>
      <c r="V747" s="1505"/>
      <c r="W747" s="1516" t="s">
        <v>123</v>
      </c>
      <c r="X747" s="1506"/>
      <c r="Y747" s="1506"/>
      <c r="Z747" s="1481"/>
      <c r="AA747" s="499"/>
      <c r="AB747" s="499"/>
      <c r="AC747" s="499"/>
      <c r="AD747" s="499"/>
      <c r="AE747" s="499"/>
      <c r="AF747" s="499"/>
      <c r="AG747" s="499"/>
      <c r="AH747" s="499"/>
      <c r="AI747" s="1483"/>
      <c r="AJ747" s="1515"/>
      <c r="AK747" s="1515"/>
    </row>
    <row r="748">
      <c r="A748" s="499"/>
      <c r="B748" s="1501"/>
      <c r="C748" s="1502"/>
      <c r="D748" s="1503"/>
      <c r="E748" s="1503"/>
      <c r="F748" s="1504"/>
      <c r="G748" s="1504"/>
      <c r="H748" s="483"/>
      <c r="I748" s="1505"/>
      <c r="J748" s="1516" t="s">
        <v>123</v>
      </c>
      <c r="K748" s="1506"/>
      <c r="L748" s="1506"/>
      <c r="M748" s="1479"/>
      <c r="N748" s="1503"/>
      <c r="O748" s="1503"/>
      <c r="P748" s="1503"/>
      <c r="Q748" s="1503"/>
      <c r="R748" s="1503"/>
      <c r="S748" s="1504"/>
      <c r="T748" s="1504"/>
      <c r="U748" s="483"/>
      <c r="V748" s="1505"/>
      <c r="W748" s="1516" t="s">
        <v>123</v>
      </c>
      <c r="X748" s="1506"/>
      <c r="Y748" s="1506"/>
      <c r="Z748" s="1481"/>
      <c r="AA748" s="499"/>
      <c r="AB748" s="499"/>
      <c r="AC748" s="499"/>
      <c r="AD748" s="499"/>
      <c r="AE748" s="499"/>
      <c r="AF748" s="499"/>
      <c r="AG748" s="499"/>
      <c r="AH748" s="499"/>
      <c r="AI748" s="1483"/>
      <c r="AJ748" s="1515"/>
      <c r="AK748" s="1515"/>
    </row>
    <row r="749">
      <c r="A749" s="499"/>
      <c r="B749" s="1501"/>
      <c r="C749" s="1502"/>
      <c r="D749" s="1503"/>
      <c r="E749" s="1503"/>
      <c r="F749" s="1504"/>
      <c r="G749" s="1504"/>
      <c r="H749" s="483"/>
      <c r="I749" s="1505"/>
      <c r="J749" s="1516" t="s">
        <v>123</v>
      </c>
      <c r="K749" s="1506"/>
      <c r="L749" s="1506"/>
      <c r="M749" s="1479"/>
      <c r="N749" s="1503"/>
      <c r="O749" s="1503"/>
      <c r="P749" s="1503"/>
      <c r="Q749" s="1503"/>
      <c r="R749" s="1503"/>
      <c r="S749" s="1504"/>
      <c r="T749" s="1504"/>
      <c r="U749" s="483"/>
      <c r="V749" s="1505"/>
      <c r="W749" s="1516" t="s">
        <v>123</v>
      </c>
      <c r="X749" s="1506"/>
      <c r="Y749" s="1506"/>
      <c r="Z749" s="1481"/>
      <c r="AA749" s="499"/>
      <c r="AB749" s="499"/>
      <c r="AC749" s="499"/>
      <c r="AD749" s="499"/>
      <c r="AE749" s="499"/>
      <c r="AF749" s="499"/>
      <c r="AG749" s="499"/>
      <c r="AH749" s="499"/>
      <c r="AI749" s="1483"/>
      <c r="AJ749" s="1515"/>
      <c r="AK749" s="1515"/>
    </row>
    <row r="750">
      <c r="A750" s="499"/>
      <c r="B750" s="1501"/>
      <c r="C750" s="1502"/>
      <c r="D750" s="1503"/>
      <c r="E750" s="1503"/>
      <c r="F750" s="1504"/>
      <c r="G750" s="1504"/>
      <c r="H750" s="483"/>
      <c r="I750" s="1505"/>
      <c r="J750" s="1516" t="s">
        <v>123</v>
      </c>
      <c r="K750" s="1506"/>
      <c r="L750" s="1506"/>
      <c r="M750" s="1479"/>
      <c r="N750" s="1503"/>
      <c r="O750" s="1503"/>
      <c r="P750" s="1503"/>
      <c r="Q750" s="1503"/>
      <c r="R750" s="1503"/>
      <c r="S750" s="1504"/>
      <c r="T750" s="1504"/>
      <c r="U750" s="483"/>
      <c r="V750" s="1505"/>
      <c r="W750" s="1516" t="s">
        <v>123</v>
      </c>
      <c r="X750" s="1506"/>
      <c r="Y750" s="1506"/>
      <c r="Z750" s="1481"/>
      <c r="AA750" s="499"/>
      <c r="AB750" s="499"/>
      <c r="AC750" s="499"/>
      <c r="AD750" s="499"/>
      <c r="AE750" s="499"/>
      <c r="AF750" s="499"/>
      <c r="AG750" s="499"/>
      <c r="AH750" s="499"/>
      <c r="AI750" s="1483"/>
      <c r="AJ750" s="1515"/>
      <c r="AK750" s="1515"/>
    </row>
    <row r="751">
      <c r="A751" s="499"/>
      <c r="B751" s="1501"/>
      <c r="C751" s="1502"/>
      <c r="D751" s="1503"/>
      <c r="E751" s="1503"/>
      <c r="F751" s="1504"/>
      <c r="G751" s="1504"/>
      <c r="H751" s="483"/>
      <c r="I751" s="1505"/>
      <c r="J751" s="1516" t="s">
        <v>123</v>
      </c>
      <c r="K751" s="1506"/>
      <c r="L751" s="1506"/>
      <c r="M751" s="1479"/>
      <c r="N751" s="1503"/>
      <c r="O751" s="1503"/>
      <c r="P751" s="1503"/>
      <c r="Q751" s="1503"/>
      <c r="R751" s="1503"/>
      <c r="S751" s="1504"/>
      <c r="T751" s="1504"/>
      <c r="U751" s="483"/>
      <c r="V751" s="1505"/>
      <c r="W751" s="1516" t="s">
        <v>123</v>
      </c>
      <c r="X751" s="1506"/>
      <c r="Y751" s="1506"/>
      <c r="Z751" s="1481"/>
      <c r="AA751" s="499"/>
      <c r="AB751" s="499"/>
      <c r="AC751" s="499"/>
      <c r="AD751" s="499"/>
      <c r="AE751" s="499"/>
      <c r="AF751" s="499"/>
      <c r="AG751" s="499"/>
      <c r="AH751" s="499"/>
      <c r="AI751" s="1483"/>
      <c r="AJ751" s="1515"/>
      <c r="AK751" s="1515"/>
    </row>
    <row r="752">
      <c r="A752" s="499"/>
      <c r="B752" s="1501"/>
      <c r="C752" s="1502"/>
      <c r="D752" s="1503"/>
      <c r="E752" s="1503"/>
      <c r="F752" s="1504"/>
      <c r="G752" s="1504"/>
      <c r="H752" s="483"/>
      <c r="I752" s="1505"/>
      <c r="J752" s="1516" t="s">
        <v>123</v>
      </c>
      <c r="K752" s="1506"/>
      <c r="L752" s="1506"/>
      <c r="M752" s="1479"/>
      <c r="N752" s="1503"/>
      <c r="O752" s="1503"/>
      <c r="P752" s="1503"/>
      <c r="Q752" s="1503"/>
      <c r="R752" s="1503"/>
      <c r="S752" s="1504"/>
      <c r="T752" s="1504"/>
      <c r="U752" s="483"/>
      <c r="V752" s="1505"/>
      <c r="W752" s="1516" t="s">
        <v>123</v>
      </c>
      <c r="X752" s="1506"/>
      <c r="Y752" s="1506"/>
      <c r="Z752" s="1481"/>
      <c r="AA752" s="499"/>
      <c r="AB752" s="499"/>
      <c r="AC752" s="499"/>
      <c r="AD752" s="499"/>
      <c r="AE752" s="499"/>
      <c r="AF752" s="499"/>
      <c r="AG752" s="499"/>
      <c r="AH752" s="499"/>
      <c r="AI752" s="1483"/>
      <c r="AJ752" s="1515"/>
      <c r="AK752" s="1515"/>
    </row>
    <row r="753">
      <c r="A753" s="499"/>
      <c r="B753" s="1501"/>
      <c r="C753" s="1502"/>
      <c r="D753" s="1503"/>
      <c r="E753" s="1503"/>
      <c r="F753" s="1504"/>
      <c r="G753" s="1504"/>
      <c r="H753" s="483"/>
      <c r="I753" s="1505"/>
      <c r="J753" s="1516" t="s">
        <v>123</v>
      </c>
      <c r="K753" s="1506"/>
      <c r="L753" s="1506"/>
      <c r="M753" s="1479"/>
      <c r="N753" s="1503"/>
      <c r="O753" s="1503"/>
      <c r="P753" s="1503"/>
      <c r="Q753" s="1503"/>
      <c r="R753" s="1503"/>
      <c r="S753" s="1504"/>
      <c r="T753" s="1504"/>
      <c r="U753" s="483"/>
      <c r="V753" s="1505"/>
      <c r="W753" s="1516" t="s">
        <v>123</v>
      </c>
      <c r="X753" s="1506"/>
      <c r="Y753" s="1506"/>
      <c r="Z753" s="1481"/>
      <c r="AA753" s="499"/>
      <c r="AB753" s="499"/>
      <c r="AC753" s="499"/>
      <c r="AD753" s="499"/>
      <c r="AE753" s="499"/>
      <c r="AF753" s="499"/>
      <c r="AG753" s="499"/>
      <c r="AH753" s="499"/>
      <c r="AI753" s="1483"/>
      <c r="AJ753" s="1515"/>
      <c r="AK753" s="1515"/>
    </row>
    <row r="754">
      <c r="A754" s="499"/>
      <c r="B754" s="1501"/>
      <c r="C754" s="1502"/>
      <c r="D754" s="1503"/>
      <c r="E754" s="1503"/>
      <c r="F754" s="1504"/>
      <c r="G754" s="1504"/>
      <c r="H754" s="483"/>
      <c r="I754" s="1505"/>
      <c r="J754" s="1516" t="s">
        <v>123</v>
      </c>
      <c r="K754" s="1506"/>
      <c r="L754" s="1506"/>
      <c r="M754" s="1479"/>
      <c r="N754" s="1503"/>
      <c r="O754" s="1503"/>
      <c r="P754" s="1503"/>
      <c r="Q754" s="1503"/>
      <c r="R754" s="1503"/>
      <c r="S754" s="1504"/>
      <c r="T754" s="1504"/>
      <c r="U754" s="483"/>
      <c r="V754" s="1505"/>
      <c r="W754" s="1516" t="s">
        <v>123</v>
      </c>
      <c r="X754" s="1506"/>
      <c r="Y754" s="1506"/>
      <c r="Z754" s="1481"/>
      <c r="AA754" s="499"/>
      <c r="AB754" s="499"/>
      <c r="AC754" s="499"/>
      <c r="AD754" s="499"/>
      <c r="AE754" s="499"/>
      <c r="AF754" s="499"/>
      <c r="AG754" s="499"/>
      <c r="AH754" s="499"/>
      <c r="AI754" s="1483"/>
      <c r="AJ754" s="1515"/>
      <c r="AK754" s="1515"/>
    </row>
  </sheetData>
  <mergeCells count="6">
    <mergeCell ref="A1:L1"/>
    <mergeCell ref="N1:Y1"/>
    <mergeCell ref="AA1:AH1"/>
    <mergeCell ref="AJ1:AK1"/>
    <mergeCell ref="AA2:AC2"/>
    <mergeCell ref="AE2:AG2"/>
  </mergeCells>
  <drawing r:id="rId1"/>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5.13" defaultRowHeight="15.75"/>
  <cols>
    <col customWidth="1" min="1" max="1" width="10.63"/>
    <col customWidth="1" min="2" max="2" width="18.25"/>
    <col customWidth="1" min="3" max="9" width="8.75"/>
  </cols>
  <sheetData>
    <row r="1">
      <c r="A1" s="1517" t="s">
        <v>1073</v>
      </c>
      <c r="B1" s="1518" t="s">
        <v>118</v>
      </c>
      <c r="C1" s="1519" t="s">
        <v>160</v>
      </c>
      <c r="D1" s="1519" t="s">
        <v>161</v>
      </c>
      <c r="E1" s="1519" t="s">
        <v>185</v>
      </c>
      <c r="F1" s="1520" t="s">
        <v>445</v>
      </c>
      <c r="G1" s="1520" t="s">
        <v>187</v>
      </c>
      <c r="H1" s="1521" t="s">
        <v>265</v>
      </c>
      <c r="I1" s="1521" t="s">
        <v>266</v>
      </c>
    </row>
    <row r="2">
      <c r="A2" s="1522" t="b">
        <f t="array" ref="A2:A16">IFERROR(MATCH(B2:B16,CarteirasListaCriadas,0)&gt;0,FALSE)</f>
        <v>0</v>
      </c>
      <c r="B2" s="599" t="str">
        <f t="array" ref="B2:B16">IF(ConfigOn,CarteirasLista,"")</f>
        <v/>
      </c>
      <c r="C2" s="1523" t="str">
        <f>IF(OR($B2="",NOT('portfólio'!$AV$8),NOT($A$2)),"",SUMIFS(portfolio.!O4:O303,portfolio.!$V$4:$V303,"SIM"))</f>
        <v/>
      </c>
      <c r="D2" s="1523" t="str">
        <f>IF(OR($B2="",NOT('portfólio'!$AV$8),NOT($A$2)),"",SUMIFS(portfolio.!AN4:AN303,portfolio.!$V$4:$V303,"SIM"))</f>
        <v/>
      </c>
      <c r="E2" s="1523" t="str">
        <f>IF(OR($B2="",NOT('portfólio'!$AV$8),NOT($A$2)),"",SUMIFS(portfolio.!AO4:AO303,portfolio.!$V$4:$V303,"SIM"))</f>
        <v/>
      </c>
      <c r="F2" s="1524" t="str">
        <f>IF(OR($B2="",NOT('portfólio'!$AV$8),NOT(A2)),"",SUMIFS(proventos!Q5:Q16,proventos!T5:T16,"SIM"))</f>
        <v/>
      </c>
      <c r="G2" s="1524" t="str">
        <f>IF(OR($B2="",NOT('portfólio'!$AV$8),NOT(A2)),"",SUMIFS(op.normal!P5:P16,op.normal!AE5:AE16,"SIM"))</f>
        <v/>
      </c>
      <c r="H2" s="1525" t="str">
        <f>IF(OR($B2="",NOT('portfólio'!$AV$8),NOT(A2)),"",((1+I2)^(1/12))-1)</f>
        <v/>
      </c>
      <c r="I2" s="1526"/>
    </row>
    <row r="3">
      <c r="A3" s="599" t="b">
        <v>0</v>
      </c>
      <c r="B3" s="599"/>
      <c r="C3" s="1523" t="str">
        <f>IF(OR($B2="",NOT('portfólio'!$AV$8),NOT($A$2)),"",SUMIFS(portfolio.!O4:O303,portfolio.!$W$4:$W303,"SIM"))</f>
        <v/>
      </c>
      <c r="D3" s="1523" t="str">
        <f>IF(OR($B2="",NOT('portfólio'!$AV$8),NOT($A$2)),"",SUMIFS(portfolio.!AN4:AN303,portfolio.!$W$4:$W303,"SIM"))</f>
        <v/>
      </c>
      <c r="E3" s="1523" t="str">
        <f>IF(OR($B2="",NOT('portfólio'!$AV$8),NOT($A$2)),"",SUMIFS(portfolio.!AO4:AO303,portfolio.!$W$4:$W303,"SIM"))</f>
        <v/>
      </c>
      <c r="F3" s="1524" t="str">
        <f>IF(OR($B2="",NOT('portfólio'!$AV$8),NOT(A2)),"",SUMIFS(proventos!Q5:Q16,proventos!U5:U16,"SIM"))</f>
        <v/>
      </c>
      <c r="G3" s="1524" t="str">
        <f>IF(OR($B2="",NOT('portfólio'!$AV$8),NOT(A2)),"",SUMIFS(op.normal!P5:P16,op.normal!AF5:AF16,"SIM"))</f>
        <v/>
      </c>
      <c r="H3" s="1525" t="str">
        <f>IF(OR($B3="",NOT('portfólio'!$AV$8),NOT(A3)),"",((1+I3)^(1/12))-1)</f>
        <v/>
      </c>
      <c r="I3" s="1526"/>
    </row>
    <row r="4">
      <c r="A4" s="599" t="b">
        <v>0</v>
      </c>
      <c r="B4" s="598"/>
      <c r="C4" s="1523" t="str">
        <f>IF(OR($B2="",NOT('portfólio'!$AV$8),NOT($A$2)),"",SUMIFS(portfolio.!O4:O303,portfolio.!$X$4:$X303,"SIM"))</f>
        <v/>
      </c>
      <c r="D4" s="1523" t="str">
        <f>IF(OR($B2="",NOT('portfólio'!$AV$8),NOT($A$2)),"",SUMIFS(portfolio.!AN4:AN303,portfolio.!$X$4:$X303,"SIM"))</f>
        <v/>
      </c>
      <c r="E4" s="1523" t="str">
        <f>IF(OR($B2="",NOT('portfólio'!$AV$8),NOT($A$2)),"",SUMIFS(portfolio.!AO4:AO303,portfolio.!$X$4:$X303,"SIM"))</f>
        <v/>
      </c>
      <c r="F4" s="1524" t="str">
        <f>IF(OR($B2="",NOT('portfólio'!$AV$8),NOT(A2)),"",SUMIFS(proventos!Q5:Q16,proventos!V5:V16,"SIM"))</f>
        <v/>
      </c>
      <c r="G4" s="1524" t="str">
        <f>IF(OR($B2="",NOT('portfólio'!$AV$8),NOT(A2)),"",SUMIFS(op.normal!P5:P16,op.normal!AG5:AG16,"SIM"))</f>
        <v/>
      </c>
      <c r="H4" s="1525" t="str">
        <f>IF(OR($B4="",NOT('portfólio'!$AV$8),NOT(A4)),"",((1+I4)^(1/12))-1)</f>
        <v/>
      </c>
      <c r="I4" s="1526"/>
    </row>
    <row r="5">
      <c r="A5" s="599" t="b">
        <v>0</v>
      </c>
      <c r="B5" s="598"/>
      <c r="C5" s="1523" t="str">
        <f>IF(OR($B2="",NOT('portfólio'!$AV$8),NOT($A$2)),"",SUMIFS(portfolio.!O4:O303,portfolio.!$Y$4:$Y303,"SIM"))</f>
        <v/>
      </c>
      <c r="D5" s="1523" t="str">
        <f>IF(OR($B2="",NOT('portfólio'!$AV$8),NOT($A$2)),"",SUMIFS(portfolio.!AN4:AN303,portfolio.!$Y$4:$Y303,"SIM"))</f>
        <v/>
      </c>
      <c r="E5" s="1523" t="str">
        <f>IF(OR($B2="",NOT('portfólio'!$AV$8),NOT($A$2)),"",SUMIFS(portfolio.!AO4:AO303,portfolio.!$Y$4:$Y303,"SIM"))</f>
        <v/>
      </c>
      <c r="F5" s="1524" t="str">
        <f>IF(OR($B2="",NOT('portfólio'!$AV$8),NOT(A2)),"",SUMIFS(proventos!Q5:Q16,proventos!W5:W16,"SIM"))</f>
        <v/>
      </c>
      <c r="G5" s="1524" t="str">
        <f>IF(OR($B2="",NOT('portfólio'!$AV$8),NOT(A2)),"",SUMIFS(op.normal!P5:P16,op.normal!AH5:AH16,"SIM"))</f>
        <v/>
      </c>
      <c r="H5" s="1525" t="str">
        <f>IF(OR($B5="",NOT('portfólio'!$AV$8),NOT(A5)),"",((1+I5)^(1/12))-1)</f>
        <v/>
      </c>
      <c r="I5" s="1526"/>
    </row>
    <row r="6">
      <c r="A6" s="599" t="b">
        <v>0</v>
      </c>
      <c r="B6" s="598"/>
      <c r="C6" s="1523" t="str">
        <f>IF(OR($B2="",NOT('portfólio'!$AV$8),NOT($A$2)),"",SUMIFS(portfolio.!O4:O303,portfolio.!$Z$4:$Z303,"SIM"))</f>
        <v/>
      </c>
      <c r="D6" s="1523" t="str">
        <f>IF(OR($B2="",NOT('portfólio'!$AV$8),NOT($A$2)),"",SUMIFS(portfolio.!AN4:AN303,portfolio.!$Z$4:$Z303,"SIM"))</f>
        <v/>
      </c>
      <c r="E6" s="1523" t="str">
        <f>IF(OR($B2="",NOT('portfólio'!$AV$8),NOT($A$2)),"",SUMIFS(portfolio.!AO4:AO303,portfolio.!$Z$4:$Z303,"SIM"))</f>
        <v/>
      </c>
      <c r="F6" s="1524" t="str">
        <f>IF(OR($B2="",NOT('portfólio'!$AV$8),NOT(A2)),"",SUMIFS(proventos!Q5:Q16,proventos!X5:X16,"SIM"))</f>
        <v/>
      </c>
      <c r="G6" s="1524" t="str">
        <f>IF(OR($B2="",NOT('portfólio'!$AV$8),NOT(A2)),"",SUMIFS(op.normal!P5:P16,op.normal!AI5:AI16,"SIM"))</f>
        <v/>
      </c>
      <c r="H6" s="1525" t="str">
        <f>IF(OR($B6="",NOT('portfólio'!$AV$8),NOT(A6)),"",((1+I6)^(1/12))-1)</f>
        <v/>
      </c>
      <c r="I6" s="1526"/>
    </row>
    <row r="7">
      <c r="A7" s="599" t="b">
        <v>0</v>
      </c>
      <c r="B7" s="598"/>
      <c r="C7" s="1523" t="str">
        <f>IF(OR($B2="",NOT('portfólio'!$AV$8),NOT($A$2)),"",SUMIFS(portfolio.!O4:O303,portfolio.!$AA$4:$AA303,"SIM"))</f>
        <v/>
      </c>
      <c r="D7" s="1523" t="str">
        <f>IF(OR($B2="",NOT('portfólio'!$AV$8),NOT($A$2)),"",SUMIFS(portfolio.!AN4:AN303,portfolio.!$AA$4:$AA303,"SIM"))</f>
        <v/>
      </c>
      <c r="E7" s="1523" t="str">
        <f>IF(OR($B2="",NOT('portfólio'!$AV$8),NOT($A$2)),"",SUMIFS(portfolio.!AO4:AO303,portfolio.!$AA$4:$AA303,"SIM"))</f>
        <v/>
      </c>
      <c r="F7" s="1524" t="str">
        <f>IF(OR($B2="",NOT('portfólio'!$AV$8),NOT(A2)),"",SUMIFS(proventos!Q5:Q16,proventos!Y5:Y16,"SIM"))</f>
        <v/>
      </c>
      <c r="G7" s="1524" t="str">
        <f>IF(OR($B2="",NOT('portfólio'!$AV$8),NOT(A2)),"",SUMIFS(op.normal!P5:P16,op.normal!AJ5:AJ16,"SIM"))</f>
        <v/>
      </c>
      <c r="H7" s="1525" t="str">
        <f>IF(OR($B7="",NOT('portfólio'!$AV$8),NOT(A7)),"",((1+I7)^(1/12))-1)</f>
        <v/>
      </c>
      <c r="I7" s="1526"/>
    </row>
    <row r="8">
      <c r="A8" s="599" t="b">
        <v>0</v>
      </c>
      <c r="B8" s="598"/>
      <c r="C8" s="1523" t="str">
        <f>IF(OR($B2="",NOT('portfólio'!$AV$8),NOT($A$2)),"",SUMIFS(portfolio.!O4:O303,portfolio.!$AB$4:$AB303,"SIM"))</f>
        <v/>
      </c>
      <c r="D8" s="1523" t="str">
        <f>IF(OR($B2="",NOT('portfólio'!$AV$8),NOT($A$2)),"",SUMIFS(portfolio.!AN4:AN303,portfolio.!$AB$4:$AB303,"SIM"))</f>
        <v/>
      </c>
      <c r="E8" s="1523" t="str">
        <f>IF(OR($B2="",NOT('portfólio'!$AV$8),NOT($A$2)),"",SUMIFS(portfolio.!AO4:AO303,portfolio.!$AB$4:$AB303,"SIM"))</f>
        <v/>
      </c>
      <c r="F8" s="1524" t="str">
        <f>IF(OR($B2="",NOT('portfólio'!$AV$8),NOT(A2)),"",SUMIFS(proventos!Q5:Q16,proventos!Z5:Z16,"SIM"))</f>
        <v/>
      </c>
      <c r="G8" s="1524" t="str">
        <f>IF(OR($B2="",NOT('portfólio'!$AV$8),NOT(A2)),"",SUMIFS(op.normal!P5:P16,op.normal!AK5:AK16,"SIM"))</f>
        <v/>
      </c>
      <c r="H8" s="1525" t="str">
        <f>IF(OR($B8="",NOT('portfólio'!$AV$8),NOT(A8)),"",((1+I8)^(1/12))-1)</f>
        <v/>
      </c>
      <c r="I8" s="1526"/>
    </row>
    <row r="9">
      <c r="A9" s="599" t="b">
        <v>0</v>
      </c>
      <c r="B9" s="598"/>
      <c r="C9" s="1523" t="str">
        <f>IF(OR($B2="",NOT('portfólio'!$AV$8),NOT($A$2)),"",SUMIFS(portfolio.!O4:O303,portfolio.!$AC$4:$AC303,"SIM"))</f>
        <v/>
      </c>
      <c r="D9" s="1523" t="str">
        <f>IF(OR($B2="",NOT('portfólio'!$AV$8),NOT($A$2)),"",SUMIFS(portfolio.!AN4:AN303,portfolio.!$AC$4:$AC303,"SIM"))</f>
        <v/>
      </c>
      <c r="E9" s="1523" t="str">
        <f>IF(OR($B2="",NOT('portfólio'!$AV$8),NOT($A$2)),"",SUMIFS(portfolio.!AO4:AO303,portfolio.!$AC$4:$AC303,"SIM"))</f>
        <v/>
      </c>
      <c r="F9" s="1524" t="str">
        <f>IF(OR($B2="",NOT('portfólio'!$AV$8),NOT(A2)),"",SUMIFS(proventos!Q5:Q16,proventos!AA5:AA16,"SIM"))</f>
        <v/>
      </c>
      <c r="G9" s="1524" t="str">
        <f>IF(OR($B2="",NOT('portfólio'!$AV$8),NOT(A2)),"",SUMIFS(op.normal!P5:P16,op.normal!AL5:AL16,"SIM"))</f>
        <v/>
      </c>
      <c r="H9" s="1525" t="str">
        <f>IF(OR($B9="",NOT('portfólio'!$AV$8),NOT(A9)),"",((1+I9)^(1/12))-1)</f>
        <v/>
      </c>
      <c r="I9" s="1526"/>
    </row>
    <row r="10">
      <c r="A10" s="599" t="b">
        <v>0</v>
      </c>
      <c r="B10" s="598"/>
      <c r="C10" s="1523" t="str">
        <f>IF(OR($B2="",NOT('portfólio'!$AV$8),NOT($A$2)),"",SUMIFS(portfolio.!O4:O303,portfolio.!$AD$4:$AD303,"SIM"))</f>
        <v/>
      </c>
      <c r="D10" s="1523" t="str">
        <f>IF(OR($B2="",NOT('portfólio'!$AV$8),NOT($A$2)),"",SUMIFS(portfolio.!AN4:AN303,portfolio.!$AD$4:$AD303,"SIM"))</f>
        <v/>
      </c>
      <c r="E10" s="1523" t="str">
        <f>IF(OR($B2="",NOT('portfólio'!$AV$8),NOT($A$2)),"",SUMIFS(portfolio.!AO4:AO303,portfolio.!$AD$4:$AD303,"SIM"))</f>
        <v/>
      </c>
      <c r="F10" s="1524" t="str">
        <f>IF(OR($B2="",NOT('portfólio'!$AV$8),NOT(A2)),"",SUMIFS(proventos!Q5:Q16,proventos!AB5:AB16,"SIM"))</f>
        <v/>
      </c>
      <c r="G10" s="1524" t="str">
        <f>IF(OR($B2="",NOT('portfólio'!$AV$8),NOT(A2)),"",SUMIFS(op.normal!P5:P16,op.normal!AM5:AM16,"SIM"))</f>
        <v/>
      </c>
      <c r="H10" s="1525" t="str">
        <f>IF(OR($B10="",NOT('portfólio'!$AV$8),NOT(A10)),"",((1+I10)^(1/12))-1)</f>
        <v/>
      </c>
      <c r="I10" s="1526"/>
    </row>
    <row r="11">
      <c r="A11" s="599" t="b">
        <v>0</v>
      </c>
      <c r="B11" s="598"/>
      <c r="C11" s="1523" t="str">
        <f>IF(OR($B2="",NOT('portfólio'!$AV$8),NOT($A$2)),"",SUMIFS(portfolio.!O4:O303,portfolio.!$AE$4:$AE303,"SIM"))</f>
        <v/>
      </c>
      <c r="D11" s="1523" t="str">
        <f>IF(OR($B2="",NOT('portfólio'!$AV$8),NOT($A$2)),"",SUMIFS(portfolio.!AN4:AN303,portfolio.!$AE$4:$AE303,"SIM"))</f>
        <v/>
      </c>
      <c r="E11" s="1523" t="str">
        <f>IF(OR($B2="",NOT('portfólio'!$AV$8),NOT($A$2)),"",SUMIFS(portfolio.!AO4:AO303,portfolio.!$AE$4:$AE303,"SIM"))</f>
        <v/>
      </c>
      <c r="F11" s="1524" t="str">
        <f>IF(OR($B2="",NOT('portfólio'!$AV$8),NOT(A2)),"",SUMIFS(proventos!Q5:Q16,proventos!AC5:AC16,"SIM"))</f>
        <v/>
      </c>
      <c r="G11" s="1524" t="str">
        <f>IF(OR($B2="",NOT('portfólio'!$AV$8),NOT(A2)),"",SUMIFS(op.normal!P5:P16,op.normal!AN5:AN16,"SIM"))</f>
        <v/>
      </c>
      <c r="H11" s="1525" t="str">
        <f>IF(OR($B11="",NOT('portfólio'!$AV$8),NOT(A11)),"",((1+I11)^(1/12))-1)</f>
        <v/>
      </c>
      <c r="I11" s="1526"/>
    </row>
    <row r="12">
      <c r="A12" s="599" t="b">
        <v>0</v>
      </c>
      <c r="B12" s="598"/>
      <c r="C12" s="1523" t="str">
        <f>IF(OR($B2="",NOT('portfólio'!$AV$8),NOT($A$2)),"",SUMIFS(portfolio.!O4:O303,portfolio.!$AF$4:$AF303,"SIM"))</f>
        <v/>
      </c>
      <c r="D12" s="1523" t="str">
        <f>IF(OR($B2="",NOT('portfólio'!$AV$8),NOT($A$2)),"",SUMIFS(portfolio.!AN4:AN303,portfolio.!$AF$4:$AF303,"SIM"))</f>
        <v/>
      </c>
      <c r="E12" s="1523" t="str">
        <f>IF(OR($B2="",NOT('portfólio'!$AV$8),NOT($A$2)),"",SUMIFS(portfolio.!AO4:AO303,portfolio.!$AF$4:$AF303,"SIM"))</f>
        <v/>
      </c>
      <c r="F12" s="1524" t="str">
        <f>IF(OR($B2="",NOT('portfólio'!$AV$8),NOT(A2)),"",SUMIFS(proventos!Q5:Q16,proventos!AD5:AD16,"SIM"))</f>
        <v/>
      </c>
      <c r="G12" s="1524" t="str">
        <f>IF(OR($B2="",NOT('portfólio'!$AV$8),NOT(A2)),"",SUMIFS(op.normal!P5:P16,op.normal!AO5:AO16,"SIM"))</f>
        <v/>
      </c>
      <c r="H12" s="1525" t="str">
        <f>IF(OR($B12="",NOT('portfólio'!$AV$8),NOT(A12)),"",((1+I12)^(1/12))-1)</f>
        <v/>
      </c>
      <c r="I12" s="1526"/>
    </row>
    <row r="13">
      <c r="A13" s="599" t="b">
        <v>0</v>
      </c>
      <c r="B13" s="598"/>
      <c r="C13" s="1523" t="str">
        <f>IF(OR($B2="",NOT('portfólio'!$AV$8),NOT($A$2)),"",SUMIFS(portfolio.!O4:O303,portfolio.!$AG$4:$AG303,"SIM"))</f>
        <v/>
      </c>
      <c r="D13" s="1523" t="str">
        <f>IF(OR($B2="",NOT('portfólio'!$AV$8),NOT($A$2)),"",SUMIFS(portfolio.!AN4:AN303,portfolio.!$AG$4:$AG303,"SIM"))</f>
        <v/>
      </c>
      <c r="E13" s="1523" t="str">
        <f>IF(OR($B2="",NOT('portfólio'!$AV$8),NOT($A$2)),"",SUMIFS(portfolio.!AO4:AO303,portfolio.!$AG$4:$AG303,"SIM"))</f>
        <v/>
      </c>
      <c r="F13" s="1524" t="str">
        <f>IF(OR($B2="",NOT('portfólio'!$AV$8),NOT(A2)),"",SUMIFS(proventos!Q5:Q16,proventos!AE5:AE16,"SIM"))</f>
        <v/>
      </c>
      <c r="G13" s="1524" t="str">
        <f>IF(OR($B2="",NOT('portfólio'!$AV$8),NOT(A2)),"",SUMIFS(op.normal!P5:P16,op.normal!AP5:AP16,"SIM"))</f>
        <v/>
      </c>
      <c r="H13" s="1525" t="str">
        <f>IF(OR($B13="",NOT('portfólio'!$AV$8),NOT(A13)),"",((1+I13)^(1/12))-1)</f>
        <v/>
      </c>
      <c r="I13" s="1526"/>
    </row>
    <row r="14">
      <c r="A14" s="599" t="b">
        <v>0</v>
      </c>
      <c r="B14" s="598"/>
      <c r="C14" s="1523" t="str">
        <f>IF(OR($B2="",NOT('portfólio'!$AV$8),NOT($A$2)),"",SUMIFS(portfolio.!O4:O303,portfolio.!$AH$4:$AH303,"SIM"))</f>
        <v/>
      </c>
      <c r="D14" s="1523" t="str">
        <f>IF(OR($B2="",NOT('portfólio'!$AV$8),NOT($A$2)),"",SUMIFS(portfolio.!AN4:AN303,portfolio.!$AH$4:$AH303,"SIM"))</f>
        <v/>
      </c>
      <c r="E14" s="1523" t="str">
        <f>IF(OR($B2="",NOT('portfólio'!$AV$8),NOT($A$2)),"",SUMIFS(portfolio.!AO4:AO303,portfolio.!$AH$4:$AH303,"SIM"))</f>
        <v/>
      </c>
      <c r="F14" s="1524" t="str">
        <f>IF(OR($B2="",NOT('portfólio'!$AV$8),NOT(A2)),"",SUMIFS(proventos!Q5:Q16,proventos!AF5:AF16,"SIM"))</f>
        <v/>
      </c>
      <c r="G14" s="1524" t="str">
        <f>IF(OR($B2="",NOT('portfólio'!$AV$8),NOT(A2)),"",SUMIFS(op.normal!P5:P16,op.normal!AQ5:AQ16,"SIM"))</f>
        <v/>
      </c>
      <c r="H14" s="1525" t="str">
        <f>IF(OR($B14="",NOT('portfólio'!$AV$8),NOT(A14)),"",((1+I14)^(1/12))-1)</f>
        <v/>
      </c>
      <c r="I14" s="1526"/>
    </row>
    <row r="15">
      <c r="A15" s="599" t="b">
        <v>0</v>
      </c>
      <c r="B15" s="598"/>
      <c r="C15" s="1523" t="str">
        <f>IF(OR($B2="",NOT('portfólio'!$AV$8),NOT($A$2)),"",SUMIFS(portfolio.!O4:O303,portfolio.!$AI$4:$AI303,"SIM"))</f>
        <v/>
      </c>
      <c r="D15" s="1523" t="str">
        <f>IF(OR($B2="",NOT('portfólio'!$AV$8),NOT($A$2)),"",SUMIFS(portfolio.!AN4:AN303,portfolio.!$AI$4:$AI303,"SIM"))</f>
        <v/>
      </c>
      <c r="E15" s="1523" t="str">
        <f>IF(OR($B2="",NOT('portfólio'!$AV$8),NOT($A$2)),"",SUMIFS(portfolio.!AO4:AO303,portfolio.!$AI$4:$AI303,"SIM"))</f>
        <v/>
      </c>
      <c r="F15" s="1524" t="str">
        <f>IF(OR($B2="",NOT('portfólio'!$AV$8),NOT(A2)),"",SUMIFS(proventos!Q5:Q16,proventos!AG5:AG16,"SIM"))</f>
        <v/>
      </c>
      <c r="G15" s="1524" t="str">
        <f>IF(OR($B2="",NOT('portfólio'!$AV$8),NOT(A2)),"",SUMIFS(op.normal!P5:P16,op.normal!AR5:AR16,"SIM"))</f>
        <v/>
      </c>
      <c r="H15" s="1525" t="str">
        <f>IF(OR($B15="",NOT('portfólio'!$AV$8),NOT(A15)),"",((1+I15)^(1/12))-1)</f>
        <v/>
      </c>
      <c r="I15" s="1526"/>
    </row>
    <row r="16">
      <c r="A16" s="599" t="b">
        <v>0</v>
      </c>
      <c r="B16" s="598"/>
      <c r="C16" s="1523" t="str">
        <f>IF(OR($B2="",NOT('portfólio'!$AV$8),NOT($A$2)),"",SUMIFS(portfolio.!O4:O303,portfolio.!$AJ$4:$AJ303,"SIM"))</f>
        <v/>
      </c>
      <c r="D16" s="1523" t="str">
        <f>IF(OR($B2="",NOT('portfólio'!$AV$8),NOT($A$2)),"",SUMIFS(portfolio.!AN4:AN303,portfolio.!$AJ$4:$AJ303,"SIM"))</f>
        <v/>
      </c>
      <c r="E16" s="1523" t="str">
        <f>IF(OR($B2="",NOT('portfólio'!$AV$8),NOT($A$2)),"",SUMIFS(portfolio.!AO4:AO303,portfolio.!$AJ$4:$AJ303,"SIM"))</f>
        <v/>
      </c>
      <c r="F16" s="1524" t="str">
        <f>IF(OR($B2="",NOT('portfólio'!$AV$8),NOT(A2)),"",SUMIFS(proventos!Q5:Q16,proventos!AH5:AH16,"SIM"))</f>
        <v/>
      </c>
      <c r="G16" s="1524" t="str">
        <f>IF(OR($B2="",NOT('portfólio'!$AV$8),NOT(A2)),"",SUMIFS(op.normal!P5:P16,op.normal!AS5:AS16,"SIM"))</f>
        <v/>
      </c>
      <c r="H16" s="1525" t="str">
        <f>IF(OR($B16="",NOT('portfólio'!$AV$8),NOT(A16)),"",((1+I16)^(1/12))-1)</f>
        <v/>
      </c>
      <c r="I16" s="1526"/>
    </row>
  </sheetData>
  <drawing r:id="rId1"/>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5.13" defaultRowHeight="15.75"/>
  <cols>
    <col customWidth="1" min="1" max="16" width="10.5"/>
    <col customWidth="1" min="17" max="17" width="14.0"/>
    <col customWidth="1" min="18" max="21" width="10.5"/>
  </cols>
  <sheetData>
    <row r="1">
      <c r="A1" s="619"/>
      <c r="B1" s="619"/>
      <c r="C1" s="619"/>
      <c r="D1" s="619"/>
      <c r="E1" s="619"/>
      <c r="F1" s="619"/>
      <c r="G1" s="619"/>
      <c r="H1" s="619"/>
      <c r="I1" s="619"/>
      <c r="J1" s="619"/>
      <c r="K1" s="619"/>
      <c r="L1" s="619"/>
      <c r="M1" s="619"/>
      <c r="N1" s="619"/>
      <c r="O1" s="619"/>
      <c r="P1" s="619"/>
      <c r="Q1" s="1527">
        <v>44706.51736111111</v>
      </c>
      <c r="R1" s="619"/>
      <c r="S1" s="619"/>
      <c r="T1" s="619"/>
      <c r="U1" s="619"/>
    </row>
    <row r="2">
      <c r="A2" s="619" t="s">
        <v>1074</v>
      </c>
      <c r="B2" s="619" t="s">
        <v>558</v>
      </c>
      <c r="C2" s="619" t="s">
        <v>500</v>
      </c>
      <c r="D2" s="619" t="s">
        <v>559</v>
      </c>
      <c r="E2" s="619" t="s">
        <v>560</v>
      </c>
      <c r="F2" s="619" t="s">
        <v>561</v>
      </c>
      <c r="G2" s="619" t="s">
        <v>562</v>
      </c>
      <c r="H2" s="619" t="s">
        <v>563</v>
      </c>
      <c r="I2" s="619" t="s">
        <v>565</v>
      </c>
      <c r="J2" s="619" t="s">
        <v>566</v>
      </c>
      <c r="K2" s="619" t="s">
        <v>568</v>
      </c>
      <c r="L2" s="619" t="s">
        <v>569</v>
      </c>
      <c r="M2" s="619" t="s">
        <v>570</v>
      </c>
      <c r="N2" s="619" t="s">
        <v>571</v>
      </c>
      <c r="O2" s="619" t="s">
        <v>572</v>
      </c>
      <c r="P2" s="619" t="s">
        <v>573</v>
      </c>
      <c r="Q2" s="619" t="s">
        <v>575</v>
      </c>
      <c r="R2" s="619" t="s">
        <v>576</v>
      </c>
      <c r="S2" s="619" t="s">
        <v>578</v>
      </c>
      <c r="T2" s="619" t="s">
        <v>505</v>
      </c>
      <c r="U2" s="619" t="s">
        <v>579</v>
      </c>
    </row>
    <row r="3">
      <c r="A3" s="624"/>
      <c r="B3" s="624"/>
      <c r="C3" s="624"/>
      <c r="D3" s="624"/>
      <c r="E3" s="624"/>
      <c r="F3" s="624"/>
      <c r="G3" s="624"/>
      <c r="H3" s="624"/>
      <c r="I3" s="624"/>
      <c r="J3" s="624"/>
      <c r="K3" s="624"/>
      <c r="L3" s="624"/>
      <c r="M3" s="624"/>
      <c r="N3" s="624"/>
      <c r="O3" s="624"/>
      <c r="P3" s="624"/>
      <c r="Q3" s="624"/>
      <c r="R3" s="624"/>
      <c r="S3" s="624"/>
      <c r="T3" s="624"/>
      <c r="U3" s="624"/>
    </row>
    <row r="4">
      <c r="A4" s="624"/>
      <c r="B4" s="624"/>
      <c r="C4" s="624"/>
      <c r="D4" s="624"/>
      <c r="E4" s="624"/>
      <c r="F4" s="624"/>
      <c r="G4" s="624"/>
      <c r="H4" s="624"/>
      <c r="I4" s="624"/>
      <c r="J4" s="624"/>
      <c r="K4" s="624"/>
      <c r="L4" s="624"/>
      <c r="M4" s="624"/>
      <c r="N4" s="624"/>
      <c r="O4" s="624"/>
      <c r="P4" s="624"/>
      <c r="Q4" s="624"/>
      <c r="R4" s="624"/>
      <c r="S4" s="624"/>
      <c r="T4" s="624"/>
      <c r="U4" s="624"/>
    </row>
    <row r="5">
      <c r="A5" s="624"/>
      <c r="B5" s="624"/>
      <c r="C5" s="624"/>
      <c r="D5" s="624"/>
      <c r="E5" s="624"/>
      <c r="F5" s="624"/>
      <c r="G5" s="624"/>
      <c r="H5" s="624"/>
      <c r="I5" s="624"/>
      <c r="J5" s="624"/>
      <c r="K5" s="624"/>
      <c r="L5" s="624"/>
      <c r="M5" s="624"/>
      <c r="N5" s="624"/>
      <c r="O5" s="624"/>
      <c r="P5" s="624"/>
      <c r="Q5" s="624"/>
      <c r="R5" s="624"/>
      <c r="S5" s="624"/>
      <c r="T5" s="624"/>
      <c r="U5" s="624"/>
    </row>
    <row r="6">
      <c r="A6" s="624"/>
      <c r="B6" s="624"/>
      <c r="C6" s="624"/>
      <c r="D6" s="624"/>
      <c r="E6" s="624"/>
      <c r="F6" s="624"/>
      <c r="G6" s="624"/>
      <c r="H6" s="624"/>
      <c r="I6" s="624"/>
      <c r="J6" s="624"/>
      <c r="K6" s="624"/>
      <c r="L6" s="624"/>
      <c r="M6" s="624"/>
      <c r="N6" s="624"/>
      <c r="O6" s="624"/>
      <c r="P6" s="624"/>
      <c r="Q6" s="624"/>
      <c r="R6" s="624"/>
      <c r="S6" s="624"/>
      <c r="T6" s="624"/>
      <c r="U6" s="624"/>
    </row>
    <row r="7">
      <c r="A7" s="624"/>
      <c r="B7" s="624"/>
      <c r="C7" s="624"/>
      <c r="D7" s="624"/>
      <c r="E7" s="624"/>
      <c r="F7" s="624"/>
      <c r="G7" s="624"/>
      <c r="H7" s="624"/>
      <c r="I7" s="624"/>
      <c r="J7" s="624"/>
      <c r="K7" s="624"/>
      <c r="L7" s="624"/>
      <c r="M7" s="624"/>
      <c r="N7" s="624"/>
      <c r="O7" s="624"/>
      <c r="P7" s="624"/>
      <c r="Q7" s="624"/>
      <c r="R7" s="624"/>
      <c r="S7" s="624"/>
      <c r="T7" s="624"/>
      <c r="U7" s="624"/>
    </row>
    <row r="8">
      <c r="A8" s="624"/>
      <c r="B8" s="624"/>
      <c r="C8" s="624"/>
      <c r="D8" s="624"/>
      <c r="E8" s="624"/>
      <c r="F8" s="624"/>
      <c r="G8" s="624"/>
      <c r="H8" s="624"/>
      <c r="I8" s="624"/>
      <c r="J8" s="624"/>
      <c r="K8" s="624"/>
      <c r="L8" s="624"/>
      <c r="M8" s="624"/>
      <c r="N8" s="624"/>
      <c r="O8" s="624"/>
      <c r="P8" s="624"/>
      <c r="Q8" s="624"/>
      <c r="R8" s="624"/>
      <c r="S8" s="624"/>
      <c r="T8" s="624"/>
      <c r="U8" s="624"/>
    </row>
    <row r="9">
      <c r="A9" s="624"/>
      <c r="B9" s="624"/>
      <c r="C9" s="624"/>
      <c r="D9" s="624"/>
      <c r="E9" s="624"/>
      <c r="F9" s="624"/>
      <c r="G9" s="624"/>
      <c r="H9" s="624"/>
      <c r="I9" s="624"/>
      <c r="J9" s="624"/>
      <c r="K9" s="624"/>
      <c r="L9" s="624"/>
      <c r="M9" s="624"/>
      <c r="N9" s="624"/>
      <c r="O9" s="624"/>
      <c r="P9" s="624"/>
      <c r="Q9" s="624"/>
      <c r="R9" s="624"/>
      <c r="S9" s="624"/>
      <c r="T9" s="624"/>
      <c r="U9" s="624"/>
    </row>
    <row r="10">
      <c r="A10" s="624"/>
      <c r="B10" s="624"/>
      <c r="C10" s="624"/>
      <c r="D10" s="624"/>
      <c r="E10" s="624"/>
      <c r="F10" s="624"/>
      <c r="G10" s="624"/>
      <c r="H10" s="624"/>
      <c r="I10" s="624"/>
      <c r="J10" s="624"/>
      <c r="K10" s="624"/>
      <c r="L10" s="624"/>
      <c r="M10" s="624"/>
      <c r="N10" s="624"/>
      <c r="O10" s="624"/>
      <c r="P10" s="624"/>
      <c r="Q10" s="624"/>
      <c r="R10" s="624"/>
      <c r="S10" s="624"/>
      <c r="T10" s="624"/>
      <c r="U10" s="624"/>
    </row>
    <row r="11">
      <c r="A11" s="624"/>
      <c r="B11" s="624"/>
      <c r="C11" s="624"/>
      <c r="D11" s="624"/>
      <c r="E11" s="624"/>
      <c r="F11" s="624"/>
      <c r="G11" s="624"/>
      <c r="H11" s="624"/>
      <c r="I11" s="624"/>
      <c r="J11" s="624"/>
      <c r="K11" s="624"/>
      <c r="L11" s="624"/>
      <c r="M11" s="624"/>
      <c r="N11" s="624"/>
      <c r="O11" s="624"/>
      <c r="P11" s="624"/>
      <c r="Q11" s="624"/>
      <c r="R11" s="624"/>
      <c r="S11" s="624"/>
      <c r="T11" s="624"/>
      <c r="U11" s="624"/>
    </row>
    <row r="12">
      <c r="A12" s="624"/>
      <c r="B12" s="624"/>
      <c r="C12" s="624"/>
      <c r="D12" s="624"/>
      <c r="E12" s="624"/>
      <c r="F12" s="624"/>
      <c r="G12" s="624"/>
      <c r="H12" s="624"/>
      <c r="I12" s="624"/>
      <c r="J12" s="624"/>
      <c r="K12" s="624"/>
      <c r="L12" s="624"/>
      <c r="M12" s="624"/>
      <c r="N12" s="624"/>
      <c r="O12" s="624"/>
      <c r="P12" s="624"/>
      <c r="Q12" s="624"/>
      <c r="R12" s="624"/>
      <c r="S12" s="624"/>
      <c r="T12" s="624"/>
      <c r="U12" s="624"/>
    </row>
    <row r="13">
      <c r="A13" s="624"/>
      <c r="B13" s="624"/>
      <c r="C13" s="624"/>
      <c r="D13" s="624"/>
      <c r="E13" s="624"/>
      <c r="F13" s="624"/>
      <c r="G13" s="624"/>
      <c r="H13" s="624"/>
      <c r="I13" s="624"/>
      <c r="J13" s="624"/>
      <c r="K13" s="624"/>
      <c r="L13" s="624"/>
      <c r="M13" s="624"/>
      <c r="N13" s="624"/>
      <c r="O13" s="624"/>
      <c r="P13" s="624"/>
      <c r="Q13" s="624"/>
      <c r="R13" s="624"/>
      <c r="S13" s="624"/>
      <c r="T13" s="624"/>
      <c r="U13" s="624"/>
    </row>
    <row r="14">
      <c r="A14" s="624"/>
      <c r="B14" s="624"/>
      <c r="C14" s="624"/>
      <c r="D14" s="624"/>
      <c r="E14" s="624"/>
      <c r="F14" s="624"/>
      <c r="G14" s="624"/>
      <c r="H14" s="624"/>
      <c r="I14" s="624"/>
      <c r="J14" s="624"/>
      <c r="K14" s="624"/>
      <c r="L14" s="624"/>
      <c r="M14" s="624"/>
      <c r="N14" s="624"/>
      <c r="O14" s="624"/>
      <c r="P14" s="624"/>
      <c r="Q14" s="624"/>
      <c r="R14" s="624"/>
      <c r="S14" s="624"/>
      <c r="T14" s="624"/>
      <c r="U14" s="624"/>
    </row>
    <row r="15">
      <c r="A15" s="624"/>
      <c r="B15" s="624"/>
      <c r="C15" s="624"/>
      <c r="D15" s="624"/>
      <c r="E15" s="624"/>
      <c r="F15" s="624"/>
      <c r="G15" s="624"/>
      <c r="H15" s="624"/>
      <c r="I15" s="624"/>
      <c r="J15" s="624"/>
      <c r="K15" s="624"/>
      <c r="L15" s="624"/>
      <c r="M15" s="624"/>
      <c r="N15" s="624"/>
      <c r="O15" s="624"/>
      <c r="P15" s="624"/>
      <c r="Q15" s="624"/>
      <c r="R15" s="624"/>
      <c r="S15" s="624"/>
      <c r="T15" s="624"/>
      <c r="U15" s="624"/>
    </row>
    <row r="16">
      <c r="A16" s="624"/>
      <c r="B16" s="624"/>
      <c r="C16" s="624"/>
      <c r="D16" s="624"/>
      <c r="E16" s="624"/>
      <c r="F16" s="624"/>
      <c r="G16" s="624"/>
      <c r="H16" s="624"/>
      <c r="I16" s="624"/>
      <c r="J16" s="624"/>
      <c r="K16" s="624"/>
      <c r="L16" s="624"/>
      <c r="M16" s="624"/>
      <c r="N16" s="624"/>
      <c r="O16" s="624"/>
      <c r="P16" s="624"/>
      <c r="Q16" s="624"/>
      <c r="R16" s="624"/>
      <c r="S16" s="624"/>
      <c r="T16" s="624"/>
      <c r="U16" s="624"/>
    </row>
    <row r="17">
      <c r="A17" s="624"/>
      <c r="B17" s="624"/>
      <c r="C17" s="624"/>
      <c r="D17" s="624"/>
      <c r="E17" s="624"/>
      <c r="F17" s="624"/>
      <c r="G17" s="624"/>
      <c r="H17" s="624"/>
      <c r="I17" s="624"/>
      <c r="J17" s="624"/>
      <c r="K17" s="624"/>
      <c r="L17" s="624"/>
      <c r="M17" s="624"/>
      <c r="N17" s="624"/>
      <c r="O17" s="624"/>
      <c r="P17" s="624"/>
      <c r="Q17" s="624"/>
      <c r="R17" s="624"/>
      <c r="S17" s="624"/>
      <c r="T17" s="624"/>
      <c r="U17" s="624"/>
    </row>
    <row r="18">
      <c r="A18" s="624"/>
      <c r="B18" s="624"/>
      <c r="C18" s="624"/>
      <c r="D18" s="624"/>
      <c r="E18" s="624"/>
      <c r="F18" s="624"/>
      <c r="G18" s="624"/>
      <c r="H18" s="624"/>
      <c r="I18" s="624"/>
      <c r="J18" s="624"/>
      <c r="K18" s="624"/>
      <c r="L18" s="624"/>
      <c r="M18" s="624"/>
      <c r="N18" s="624"/>
      <c r="O18" s="624"/>
      <c r="P18" s="624"/>
      <c r="Q18" s="624"/>
      <c r="R18" s="624"/>
      <c r="S18" s="624"/>
      <c r="T18" s="624"/>
      <c r="U18" s="624"/>
    </row>
    <row r="19">
      <c r="A19" s="624"/>
      <c r="B19" s="624"/>
      <c r="C19" s="624"/>
      <c r="D19" s="624"/>
      <c r="E19" s="624"/>
      <c r="F19" s="624"/>
      <c r="G19" s="624"/>
      <c r="H19" s="624"/>
      <c r="I19" s="624"/>
      <c r="J19" s="624"/>
      <c r="K19" s="624"/>
      <c r="L19" s="624"/>
      <c r="M19" s="624"/>
      <c r="N19" s="624"/>
      <c r="O19" s="624"/>
      <c r="P19" s="624"/>
      <c r="Q19" s="624"/>
      <c r="R19" s="624"/>
      <c r="S19" s="624"/>
      <c r="T19" s="624"/>
      <c r="U19" s="624"/>
    </row>
    <row r="20">
      <c r="A20" s="624"/>
      <c r="B20" s="624"/>
      <c r="C20" s="624"/>
      <c r="D20" s="624"/>
      <c r="E20" s="624"/>
      <c r="F20" s="624"/>
      <c r="G20" s="624"/>
      <c r="H20" s="624"/>
      <c r="I20" s="624"/>
      <c r="J20" s="624"/>
      <c r="K20" s="624"/>
      <c r="L20" s="624"/>
      <c r="M20" s="624"/>
      <c r="N20" s="624"/>
      <c r="O20" s="624"/>
      <c r="P20" s="624"/>
      <c r="Q20" s="624"/>
      <c r="R20" s="624"/>
      <c r="S20" s="624"/>
      <c r="T20" s="624"/>
      <c r="U20" s="624"/>
    </row>
    <row r="21">
      <c r="A21" s="624"/>
      <c r="B21" s="624"/>
      <c r="C21" s="624"/>
      <c r="D21" s="624"/>
      <c r="E21" s="624"/>
      <c r="F21" s="624"/>
      <c r="G21" s="624"/>
      <c r="H21" s="624"/>
      <c r="I21" s="624"/>
      <c r="J21" s="624"/>
      <c r="K21" s="624"/>
      <c r="L21" s="624"/>
      <c r="M21" s="624"/>
      <c r="N21" s="624"/>
      <c r="O21" s="624"/>
      <c r="P21" s="624"/>
      <c r="Q21" s="624"/>
      <c r="R21" s="624"/>
      <c r="S21" s="624"/>
      <c r="T21" s="624"/>
      <c r="U21" s="624"/>
    </row>
    <row r="22">
      <c r="A22" s="624"/>
      <c r="B22" s="624"/>
      <c r="C22" s="624"/>
      <c r="D22" s="624"/>
      <c r="E22" s="624"/>
      <c r="F22" s="624"/>
      <c r="G22" s="624"/>
      <c r="H22" s="624"/>
      <c r="I22" s="624"/>
      <c r="J22" s="624"/>
      <c r="K22" s="624"/>
      <c r="L22" s="624"/>
      <c r="M22" s="624"/>
      <c r="N22" s="624"/>
      <c r="O22" s="624"/>
      <c r="P22" s="624"/>
      <c r="Q22" s="624"/>
      <c r="R22" s="624"/>
      <c r="S22" s="624"/>
      <c r="T22" s="624"/>
      <c r="U22" s="624"/>
    </row>
    <row r="23">
      <c r="A23" s="624"/>
      <c r="B23" s="624"/>
      <c r="C23" s="624"/>
      <c r="D23" s="624"/>
      <c r="E23" s="624"/>
      <c r="F23" s="624"/>
      <c r="G23" s="624"/>
      <c r="H23" s="624"/>
      <c r="I23" s="624"/>
      <c r="J23" s="624"/>
      <c r="K23" s="624"/>
      <c r="L23" s="624"/>
      <c r="M23" s="624"/>
      <c r="N23" s="624"/>
      <c r="O23" s="624"/>
      <c r="P23" s="624"/>
      <c r="Q23" s="624"/>
      <c r="R23" s="624"/>
      <c r="S23" s="624"/>
      <c r="T23" s="624"/>
      <c r="U23" s="624"/>
    </row>
    <row r="24">
      <c r="A24" s="624"/>
      <c r="B24" s="624"/>
      <c r="C24" s="624"/>
      <c r="D24" s="624"/>
      <c r="E24" s="624"/>
      <c r="F24" s="624"/>
      <c r="G24" s="624"/>
      <c r="H24" s="624"/>
      <c r="I24" s="624"/>
      <c r="J24" s="624"/>
      <c r="K24" s="624"/>
      <c r="L24" s="624"/>
      <c r="M24" s="624"/>
      <c r="N24" s="624"/>
      <c r="O24" s="624"/>
      <c r="P24" s="624"/>
      <c r="Q24" s="624"/>
      <c r="R24" s="624"/>
      <c r="S24" s="624"/>
      <c r="T24" s="624"/>
      <c r="U24" s="624"/>
    </row>
    <row r="25">
      <c r="A25" s="624"/>
      <c r="B25" s="624"/>
      <c r="C25" s="624"/>
      <c r="D25" s="624"/>
      <c r="E25" s="624"/>
      <c r="F25" s="624"/>
      <c r="G25" s="624"/>
      <c r="H25" s="624"/>
      <c r="I25" s="624"/>
      <c r="J25" s="624"/>
      <c r="K25" s="624"/>
      <c r="L25" s="624"/>
      <c r="M25" s="624"/>
      <c r="N25" s="624"/>
      <c r="O25" s="624"/>
      <c r="P25" s="624"/>
      <c r="Q25" s="624"/>
      <c r="R25" s="624"/>
      <c r="S25" s="624"/>
      <c r="T25" s="624"/>
      <c r="U25" s="624"/>
    </row>
    <row r="26">
      <c r="A26" s="624"/>
      <c r="B26" s="624"/>
      <c r="C26" s="624"/>
      <c r="D26" s="624"/>
      <c r="E26" s="624"/>
      <c r="F26" s="624"/>
      <c r="G26" s="624"/>
      <c r="H26" s="624"/>
      <c r="I26" s="624"/>
      <c r="J26" s="624"/>
      <c r="K26" s="624"/>
      <c r="L26" s="624"/>
      <c r="M26" s="624"/>
      <c r="N26" s="624"/>
      <c r="O26" s="624"/>
      <c r="P26" s="624"/>
      <c r="Q26" s="624"/>
      <c r="R26" s="624"/>
      <c r="S26" s="624"/>
      <c r="T26" s="624"/>
      <c r="U26" s="624"/>
    </row>
    <row r="27">
      <c r="A27" s="624"/>
      <c r="B27" s="624"/>
      <c r="C27" s="624"/>
      <c r="D27" s="624"/>
      <c r="E27" s="624"/>
      <c r="F27" s="624"/>
      <c r="G27" s="624"/>
      <c r="H27" s="624"/>
      <c r="I27" s="624"/>
      <c r="J27" s="624"/>
      <c r="K27" s="624"/>
      <c r="L27" s="624"/>
      <c r="M27" s="624"/>
      <c r="N27" s="624"/>
      <c r="O27" s="624"/>
      <c r="P27" s="624"/>
      <c r="Q27" s="624"/>
      <c r="R27" s="624"/>
      <c r="S27" s="624"/>
      <c r="T27" s="624"/>
      <c r="U27" s="624"/>
    </row>
    <row r="28">
      <c r="A28" s="624"/>
      <c r="B28" s="624"/>
      <c r="C28" s="624"/>
      <c r="D28" s="624"/>
      <c r="E28" s="624"/>
      <c r="F28" s="624"/>
      <c r="G28" s="624"/>
      <c r="H28" s="624"/>
      <c r="I28" s="624"/>
      <c r="J28" s="624"/>
      <c r="K28" s="624"/>
      <c r="L28" s="624"/>
      <c r="M28" s="624"/>
      <c r="N28" s="624"/>
      <c r="O28" s="624"/>
      <c r="P28" s="624"/>
      <c r="Q28" s="624"/>
      <c r="R28" s="624"/>
      <c r="S28" s="624"/>
      <c r="T28" s="624"/>
      <c r="U28" s="624"/>
    </row>
    <row r="29">
      <c r="A29" s="624"/>
      <c r="B29" s="624"/>
      <c r="C29" s="624"/>
      <c r="D29" s="624"/>
      <c r="E29" s="624"/>
      <c r="F29" s="624"/>
      <c r="G29" s="624"/>
      <c r="H29" s="624"/>
      <c r="I29" s="624"/>
      <c r="J29" s="624"/>
      <c r="K29" s="624"/>
      <c r="L29" s="624"/>
      <c r="M29" s="624"/>
      <c r="N29" s="624"/>
      <c r="O29" s="624"/>
      <c r="P29" s="624"/>
      <c r="Q29" s="624"/>
      <c r="R29" s="624"/>
      <c r="S29" s="624"/>
      <c r="T29" s="624"/>
      <c r="U29" s="624"/>
    </row>
    <row r="30">
      <c r="A30" s="624"/>
      <c r="B30" s="624"/>
      <c r="C30" s="624"/>
      <c r="D30" s="624"/>
      <c r="E30" s="624"/>
      <c r="F30" s="624"/>
      <c r="G30" s="624"/>
      <c r="H30" s="624"/>
      <c r="I30" s="624"/>
      <c r="J30" s="624"/>
      <c r="K30" s="624"/>
      <c r="L30" s="624"/>
      <c r="M30" s="624"/>
      <c r="N30" s="624"/>
      <c r="O30" s="624"/>
      <c r="P30" s="624"/>
      <c r="Q30" s="624"/>
      <c r="R30" s="624"/>
      <c r="S30" s="624"/>
      <c r="T30" s="624"/>
      <c r="U30" s="624"/>
    </row>
    <row r="31">
      <c r="A31" s="624"/>
      <c r="B31" s="624"/>
      <c r="C31" s="624"/>
      <c r="D31" s="624"/>
      <c r="E31" s="624"/>
      <c r="F31" s="624"/>
      <c r="G31" s="624"/>
      <c r="H31" s="624"/>
      <c r="I31" s="624"/>
      <c r="J31" s="624"/>
      <c r="K31" s="624"/>
      <c r="L31" s="624"/>
      <c r="M31" s="624"/>
      <c r="N31" s="624"/>
      <c r="O31" s="624"/>
      <c r="P31" s="624"/>
      <c r="Q31" s="624"/>
      <c r="R31" s="624"/>
      <c r="S31" s="624"/>
      <c r="T31" s="624"/>
      <c r="U31" s="624"/>
    </row>
    <row r="32">
      <c r="A32" s="624"/>
      <c r="B32" s="624"/>
      <c r="C32" s="624"/>
      <c r="D32" s="624"/>
      <c r="E32" s="624"/>
      <c r="F32" s="624"/>
      <c r="G32" s="624"/>
      <c r="H32" s="624"/>
      <c r="I32" s="624"/>
      <c r="J32" s="624"/>
      <c r="K32" s="624"/>
      <c r="L32" s="624"/>
      <c r="M32" s="624"/>
      <c r="N32" s="624"/>
      <c r="O32" s="624"/>
      <c r="P32" s="624"/>
      <c r="Q32" s="624"/>
      <c r="R32" s="624"/>
      <c r="S32" s="624"/>
      <c r="T32" s="624"/>
      <c r="U32" s="624"/>
    </row>
    <row r="33">
      <c r="A33" s="624"/>
      <c r="B33" s="624"/>
      <c r="C33" s="624"/>
      <c r="D33" s="624"/>
      <c r="E33" s="624"/>
      <c r="F33" s="624"/>
      <c r="G33" s="624"/>
      <c r="H33" s="624"/>
      <c r="I33" s="624"/>
      <c r="J33" s="624"/>
      <c r="K33" s="624"/>
      <c r="L33" s="624"/>
      <c r="M33" s="624"/>
      <c r="N33" s="624"/>
      <c r="O33" s="624"/>
      <c r="P33" s="624"/>
      <c r="Q33" s="624"/>
      <c r="R33" s="624"/>
      <c r="S33" s="624"/>
      <c r="T33" s="624"/>
      <c r="U33" s="624"/>
    </row>
    <row r="34">
      <c r="A34" s="624"/>
      <c r="B34" s="624"/>
      <c r="C34" s="624"/>
      <c r="D34" s="624"/>
      <c r="E34" s="624"/>
      <c r="F34" s="624"/>
      <c r="G34" s="624"/>
      <c r="H34" s="624"/>
      <c r="I34" s="624"/>
      <c r="J34" s="624"/>
      <c r="K34" s="624"/>
      <c r="L34" s="624"/>
      <c r="M34" s="624"/>
      <c r="N34" s="624"/>
      <c r="O34" s="624"/>
      <c r="P34" s="624"/>
      <c r="Q34" s="624"/>
      <c r="R34" s="624"/>
      <c r="S34" s="624"/>
      <c r="T34" s="624"/>
      <c r="U34" s="624"/>
    </row>
    <row r="35">
      <c r="A35" s="624"/>
      <c r="B35" s="624"/>
      <c r="C35" s="624"/>
      <c r="D35" s="624"/>
      <c r="E35" s="624"/>
      <c r="F35" s="624"/>
      <c r="G35" s="624"/>
      <c r="H35" s="624"/>
      <c r="I35" s="624"/>
      <c r="J35" s="624"/>
      <c r="K35" s="624"/>
      <c r="L35" s="624"/>
      <c r="M35" s="624"/>
      <c r="N35" s="624"/>
      <c r="O35" s="624"/>
      <c r="P35" s="624"/>
      <c r="Q35" s="624"/>
      <c r="R35" s="624"/>
      <c r="S35" s="624"/>
      <c r="T35" s="624"/>
      <c r="U35" s="624"/>
    </row>
    <row r="36">
      <c r="A36" s="624"/>
      <c r="B36" s="624"/>
      <c r="C36" s="624"/>
      <c r="D36" s="624"/>
      <c r="E36" s="624"/>
      <c r="F36" s="624"/>
      <c r="G36" s="624"/>
      <c r="H36" s="624"/>
      <c r="I36" s="624"/>
      <c r="J36" s="624"/>
      <c r="K36" s="624"/>
      <c r="L36" s="624"/>
      <c r="M36" s="624"/>
      <c r="N36" s="624"/>
      <c r="O36" s="624"/>
      <c r="P36" s="624"/>
      <c r="Q36" s="624"/>
      <c r="R36" s="624"/>
      <c r="S36" s="624"/>
      <c r="T36" s="624"/>
      <c r="U36" s="624"/>
    </row>
    <row r="37">
      <c r="A37" s="624"/>
      <c r="B37" s="624"/>
      <c r="C37" s="624"/>
      <c r="D37" s="624"/>
      <c r="E37" s="624"/>
      <c r="F37" s="624"/>
      <c r="G37" s="624"/>
      <c r="H37" s="624"/>
      <c r="I37" s="624"/>
      <c r="J37" s="624"/>
      <c r="K37" s="624"/>
      <c r="L37" s="624"/>
      <c r="M37" s="624"/>
      <c r="N37" s="624"/>
      <c r="O37" s="624"/>
      <c r="P37" s="624"/>
      <c r="Q37" s="624"/>
      <c r="R37" s="624"/>
      <c r="S37" s="624"/>
      <c r="T37" s="624"/>
      <c r="U37" s="624"/>
    </row>
    <row r="38">
      <c r="A38" s="624"/>
      <c r="B38" s="624"/>
      <c r="C38" s="624"/>
      <c r="D38" s="624"/>
      <c r="E38" s="624"/>
      <c r="F38" s="624"/>
      <c r="G38" s="624"/>
      <c r="H38" s="624"/>
      <c r="I38" s="624"/>
      <c r="J38" s="624"/>
      <c r="K38" s="624"/>
      <c r="L38" s="624"/>
      <c r="M38" s="624"/>
      <c r="N38" s="624"/>
      <c r="O38" s="624"/>
      <c r="P38" s="624"/>
      <c r="Q38" s="624"/>
      <c r="R38" s="624"/>
      <c r="S38" s="624"/>
      <c r="T38" s="624"/>
      <c r="U38" s="624"/>
    </row>
    <row r="39">
      <c r="A39" s="624"/>
      <c r="B39" s="624"/>
      <c r="C39" s="624"/>
      <c r="D39" s="624"/>
      <c r="E39" s="624"/>
      <c r="F39" s="624"/>
      <c r="G39" s="624"/>
      <c r="H39" s="624"/>
      <c r="I39" s="624"/>
      <c r="J39" s="624"/>
      <c r="K39" s="624"/>
      <c r="L39" s="624"/>
      <c r="M39" s="624"/>
      <c r="N39" s="624"/>
      <c r="O39" s="624"/>
      <c r="P39" s="624"/>
      <c r="Q39" s="624"/>
      <c r="R39" s="624"/>
      <c r="S39" s="624"/>
      <c r="T39" s="624"/>
      <c r="U39" s="624"/>
    </row>
    <row r="40">
      <c r="A40" s="624"/>
      <c r="B40" s="624"/>
      <c r="C40" s="624"/>
      <c r="D40" s="624"/>
      <c r="E40" s="624"/>
      <c r="F40" s="624"/>
      <c r="G40" s="624"/>
      <c r="H40" s="624"/>
      <c r="I40" s="624"/>
      <c r="J40" s="624"/>
      <c r="K40" s="624"/>
      <c r="L40" s="624"/>
      <c r="M40" s="624"/>
      <c r="N40" s="624"/>
      <c r="O40" s="624"/>
      <c r="P40" s="624"/>
      <c r="Q40" s="624"/>
      <c r="R40" s="624"/>
      <c r="S40" s="624"/>
      <c r="T40" s="624"/>
      <c r="U40" s="624"/>
    </row>
    <row r="41">
      <c r="A41" s="624"/>
      <c r="B41" s="624"/>
      <c r="C41" s="624"/>
      <c r="D41" s="624"/>
      <c r="E41" s="624"/>
      <c r="F41" s="624"/>
      <c r="G41" s="624"/>
      <c r="H41" s="624"/>
      <c r="I41" s="624"/>
      <c r="J41" s="624"/>
      <c r="K41" s="624"/>
      <c r="L41" s="624"/>
      <c r="M41" s="624"/>
      <c r="N41" s="624"/>
      <c r="O41" s="624"/>
      <c r="P41" s="624"/>
      <c r="Q41" s="624"/>
      <c r="R41" s="624"/>
      <c r="S41" s="624"/>
      <c r="T41" s="624"/>
      <c r="U41" s="624"/>
    </row>
    <row r="42">
      <c r="A42" s="624"/>
      <c r="B42" s="624"/>
      <c r="C42" s="624"/>
      <c r="D42" s="624"/>
      <c r="E42" s="624"/>
      <c r="F42" s="624"/>
      <c r="G42" s="624"/>
      <c r="H42" s="624"/>
      <c r="I42" s="624"/>
      <c r="J42" s="624"/>
      <c r="K42" s="624"/>
      <c r="L42" s="624"/>
      <c r="M42" s="624"/>
      <c r="N42" s="624"/>
      <c r="O42" s="624"/>
      <c r="P42" s="624"/>
      <c r="Q42" s="624"/>
      <c r="R42" s="624"/>
      <c r="S42" s="624"/>
      <c r="T42" s="624"/>
      <c r="U42" s="624"/>
    </row>
    <row r="43">
      <c r="A43" s="624"/>
      <c r="B43" s="624"/>
      <c r="C43" s="624"/>
      <c r="D43" s="624"/>
      <c r="E43" s="624"/>
      <c r="F43" s="624"/>
      <c r="G43" s="624"/>
      <c r="H43" s="624"/>
      <c r="I43" s="624"/>
      <c r="J43" s="624"/>
      <c r="K43" s="624"/>
      <c r="L43" s="624"/>
      <c r="M43" s="624"/>
      <c r="N43" s="624"/>
      <c r="O43" s="624"/>
      <c r="P43" s="624"/>
      <c r="Q43" s="624"/>
      <c r="R43" s="624"/>
      <c r="S43" s="624"/>
      <c r="T43" s="624"/>
      <c r="U43" s="624"/>
    </row>
    <row r="44">
      <c r="A44" s="624"/>
      <c r="B44" s="624"/>
      <c r="C44" s="624"/>
      <c r="D44" s="624"/>
      <c r="E44" s="624"/>
      <c r="F44" s="624"/>
      <c r="G44" s="624"/>
      <c r="H44" s="624"/>
      <c r="I44" s="624"/>
      <c r="J44" s="624"/>
      <c r="K44" s="624"/>
      <c r="L44" s="624"/>
      <c r="M44" s="624"/>
      <c r="N44" s="624"/>
      <c r="O44" s="624"/>
      <c r="P44" s="624"/>
      <c r="Q44" s="624"/>
      <c r="R44" s="624"/>
      <c r="S44" s="624"/>
      <c r="T44" s="624"/>
      <c r="U44" s="624"/>
    </row>
    <row r="45">
      <c r="A45" s="624"/>
      <c r="B45" s="624"/>
      <c r="C45" s="624"/>
      <c r="D45" s="624"/>
      <c r="E45" s="624"/>
      <c r="F45" s="624"/>
      <c r="G45" s="624"/>
      <c r="H45" s="624"/>
      <c r="I45" s="624"/>
      <c r="J45" s="624"/>
      <c r="K45" s="624"/>
      <c r="L45" s="624"/>
      <c r="M45" s="624"/>
      <c r="N45" s="624"/>
      <c r="O45" s="624"/>
      <c r="P45" s="624"/>
      <c r="Q45" s="624"/>
      <c r="R45" s="624"/>
      <c r="S45" s="624"/>
      <c r="T45" s="624"/>
      <c r="U45" s="624"/>
    </row>
    <row r="46">
      <c r="A46" s="624"/>
      <c r="B46" s="624"/>
      <c r="C46" s="624"/>
      <c r="D46" s="624"/>
      <c r="E46" s="624"/>
      <c r="F46" s="624"/>
      <c r="G46" s="624"/>
      <c r="H46" s="624"/>
      <c r="I46" s="624"/>
      <c r="J46" s="624"/>
      <c r="K46" s="624"/>
      <c r="L46" s="624"/>
      <c r="M46" s="624"/>
      <c r="N46" s="624"/>
      <c r="O46" s="624"/>
      <c r="P46" s="624"/>
      <c r="Q46" s="624"/>
      <c r="R46" s="624"/>
      <c r="S46" s="624"/>
      <c r="T46" s="624"/>
      <c r="U46" s="624"/>
    </row>
    <row r="47">
      <c r="A47" s="624"/>
      <c r="B47" s="624"/>
      <c r="C47" s="624"/>
      <c r="D47" s="624"/>
      <c r="E47" s="624"/>
      <c r="F47" s="624"/>
      <c r="G47" s="624"/>
      <c r="H47" s="624"/>
      <c r="I47" s="624"/>
      <c r="J47" s="624"/>
      <c r="K47" s="624"/>
      <c r="L47" s="624"/>
      <c r="M47" s="624"/>
      <c r="N47" s="624"/>
      <c r="O47" s="624"/>
      <c r="P47" s="624"/>
      <c r="Q47" s="624"/>
      <c r="R47" s="624"/>
      <c r="S47" s="624"/>
      <c r="T47" s="624"/>
      <c r="U47" s="624"/>
    </row>
    <row r="48">
      <c r="A48" s="624"/>
      <c r="B48" s="624"/>
      <c r="C48" s="624"/>
      <c r="D48" s="624"/>
      <c r="E48" s="624"/>
      <c r="F48" s="624"/>
      <c r="G48" s="624"/>
      <c r="H48" s="624"/>
      <c r="I48" s="624"/>
      <c r="J48" s="624"/>
      <c r="K48" s="624"/>
      <c r="L48" s="624"/>
      <c r="M48" s="624"/>
      <c r="N48" s="624"/>
      <c r="O48" s="624"/>
      <c r="P48" s="624"/>
      <c r="Q48" s="624"/>
      <c r="R48" s="624"/>
      <c r="S48" s="624"/>
      <c r="T48" s="624"/>
      <c r="U48" s="624"/>
    </row>
    <row r="49">
      <c r="A49" s="624"/>
      <c r="B49" s="624"/>
      <c r="C49" s="624"/>
      <c r="D49" s="624"/>
      <c r="E49" s="624"/>
      <c r="F49" s="624"/>
      <c r="G49" s="624"/>
      <c r="H49" s="624"/>
      <c r="I49" s="624"/>
      <c r="J49" s="624"/>
      <c r="K49" s="624"/>
      <c r="L49" s="624"/>
      <c r="M49" s="624"/>
      <c r="N49" s="624"/>
      <c r="O49" s="624"/>
      <c r="P49" s="624"/>
      <c r="Q49" s="624"/>
      <c r="R49" s="624"/>
      <c r="S49" s="624"/>
      <c r="T49" s="624"/>
      <c r="U49" s="624"/>
    </row>
    <row r="50">
      <c r="A50" s="624"/>
      <c r="B50" s="624"/>
      <c r="C50" s="624"/>
      <c r="D50" s="624"/>
      <c r="E50" s="624"/>
      <c r="F50" s="624"/>
      <c r="G50" s="624"/>
      <c r="H50" s="624"/>
      <c r="I50" s="624"/>
      <c r="J50" s="624"/>
      <c r="K50" s="624"/>
      <c r="L50" s="624"/>
      <c r="M50" s="624"/>
      <c r="N50" s="624"/>
      <c r="O50" s="624"/>
      <c r="P50" s="624"/>
      <c r="Q50" s="624"/>
      <c r="R50" s="624"/>
      <c r="S50" s="624"/>
      <c r="T50" s="624"/>
      <c r="U50" s="624"/>
    </row>
    <row r="51">
      <c r="A51" s="624"/>
      <c r="B51" s="624"/>
      <c r="C51" s="624"/>
      <c r="D51" s="624"/>
      <c r="E51" s="624"/>
      <c r="F51" s="624"/>
      <c r="G51" s="624"/>
      <c r="H51" s="624"/>
      <c r="I51" s="624"/>
      <c r="J51" s="624"/>
      <c r="K51" s="624"/>
      <c r="L51" s="624"/>
      <c r="M51" s="624"/>
      <c r="N51" s="624"/>
      <c r="O51" s="624"/>
      <c r="P51" s="624"/>
      <c r="Q51" s="624"/>
      <c r="R51" s="624"/>
      <c r="S51" s="624"/>
      <c r="T51" s="624"/>
      <c r="U51" s="624"/>
    </row>
    <row r="52">
      <c r="A52" s="624"/>
      <c r="B52" s="624"/>
      <c r="C52" s="624"/>
      <c r="D52" s="624"/>
      <c r="E52" s="624"/>
      <c r="F52" s="624"/>
      <c r="G52" s="624"/>
      <c r="H52" s="624"/>
      <c r="I52" s="624"/>
      <c r="J52" s="624"/>
      <c r="K52" s="624"/>
      <c r="L52" s="624"/>
      <c r="M52" s="624"/>
      <c r="N52" s="624"/>
      <c r="O52" s="624"/>
      <c r="P52" s="624"/>
      <c r="Q52" s="624"/>
      <c r="R52" s="624"/>
      <c r="S52" s="624"/>
      <c r="T52" s="624"/>
      <c r="U52" s="624"/>
    </row>
    <row r="53">
      <c r="A53" s="624"/>
      <c r="B53" s="624"/>
      <c r="C53" s="624"/>
      <c r="D53" s="624"/>
      <c r="E53" s="624"/>
      <c r="F53" s="624"/>
      <c r="G53" s="624"/>
      <c r="H53" s="624"/>
      <c r="I53" s="624"/>
      <c r="J53" s="624"/>
      <c r="K53" s="624"/>
      <c r="L53" s="624"/>
      <c r="M53" s="624"/>
      <c r="N53" s="624"/>
      <c r="O53" s="624"/>
      <c r="P53" s="624"/>
      <c r="Q53" s="624"/>
      <c r="R53" s="624"/>
      <c r="S53" s="624"/>
      <c r="T53" s="624"/>
      <c r="U53" s="624"/>
    </row>
    <row r="54">
      <c r="A54" s="624"/>
      <c r="B54" s="624"/>
      <c r="C54" s="624"/>
      <c r="D54" s="624"/>
      <c r="E54" s="624"/>
      <c r="F54" s="624"/>
      <c r="G54" s="624"/>
      <c r="H54" s="624"/>
      <c r="I54" s="624"/>
      <c r="J54" s="624"/>
      <c r="K54" s="624"/>
      <c r="L54" s="624"/>
      <c r="M54" s="624"/>
      <c r="N54" s="624"/>
      <c r="O54" s="624"/>
      <c r="P54" s="624"/>
      <c r="Q54" s="624"/>
      <c r="R54" s="624"/>
      <c r="S54" s="624"/>
      <c r="T54" s="624"/>
      <c r="U54" s="624"/>
    </row>
    <row r="55">
      <c r="A55" s="624"/>
      <c r="B55" s="624"/>
      <c r="C55" s="624"/>
      <c r="D55" s="624"/>
      <c r="E55" s="624"/>
      <c r="F55" s="624"/>
      <c r="G55" s="624"/>
      <c r="H55" s="624"/>
      <c r="I55" s="624"/>
      <c r="J55" s="624"/>
      <c r="K55" s="624"/>
      <c r="L55" s="624"/>
      <c r="M55" s="624"/>
      <c r="N55" s="624"/>
      <c r="O55" s="624"/>
      <c r="P55" s="624"/>
      <c r="Q55" s="624"/>
      <c r="R55" s="624"/>
      <c r="S55" s="624"/>
      <c r="T55" s="624"/>
      <c r="U55" s="624"/>
    </row>
    <row r="56">
      <c r="A56" s="624"/>
      <c r="B56" s="624"/>
      <c r="C56" s="624"/>
      <c r="D56" s="624"/>
      <c r="E56" s="624"/>
      <c r="F56" s="624"/>
      <c r="G56" s="624"/>
      <c r="H56" s="624"/>
      <c r="I56" s="624"/>
      <c r="J56" s="624"/>
      <c r="K56" s="624"/>
      <c r="L56" s="624"/>
      <c r="M56" s="624"/>
      <c r="N56" s="624"/>
      <c r="O56" s="624"/>
      <c r="P56" s="624"/>
      <c r="Q56" s="624"/>
      <c r="R56" s="624"/>
      <c r="S56" s="624"/>
      <c r="T56" s="624"/>
      <c r="U56" s="624"/>
    </row>
    <row r="57">
      <c r="A57" s="624"/>
      <c r="B57" s="624"/>
      <c r="C57" s="624"/>
      <c r="D57" s="624"/>
      <c r="E57" s="624"/>
      <c r="F57" s="624"/>
      <c r="G57" s="624"/>
      <c r="H57" s="624"/>
      <c r="I57" s="624"/>
      <c r="J57" s="624"/>
      <c r="K57" s="624"/>
      <c r="L57" s="624"/>
      <c r="M57" s="624"/>
      <c r="N57" s="624"/>
      <c r="O57" s="624"/>
      <c r="P57" s="624"/>
      <c r="Q57" s="624"/>
      <c r="R57" s="624"/>
      <c r="S57" s="624"/>
      <c r="T57" s="624"/>
      <c r="U57" s="624"/>
    </row>
    <row r="58">
      <c r="A58" s="624"/>
      <c r="B58" s="624"/>
      <c r="C58" s="624"/>
      <c r="D58" s="624"/>
      <c r="E58" s="624"/>
      <c r="F58" s="624"/>
      <c r="G58" s="624"/>
      <c r="H58" s="624"/>
      <c r="I58" s="624"/>
      <c r="J58" s="624"/>
      <c r="K58" s="624"/>
      <c r="L58" s="624"/>
      <c r="M58" s="624"/>
      <c r="N58" s="624"/>
      <c r="O58" s="624"/>
      <c r="P58" s="624"/>
      <c r="Q58" s="624"/>
      <c r="R58" s="624"/>
      <c r="S58" s="624"/>
      <c r="T58" s="624"/>
      <c r="U58" s="624"/>
    </row>
    <row r="59">
      <c r="A59" s="624"/>
      <c r="B59" s="624"/>
      <c r="C59" s="624"/>
      <c r="D59" s="624"/>
      <c r="E59" s="624"/>
      <c r="F59" s="624"/>
      <c r="G59" s="624"/>
      <c r="H59" s="624"/>
      <c r="I59" s="624"/>
      <c r="J59" s="624"/>
      <c r="K59" s="624"/>
      <c r="L59" s="624"/>
      <c r="M59" s="624"/>
      <c r="N59" s="624"/>
      <c r="O59" s="624"/>
      <c r="P59" s="624"/>
      <c r="Q59" s="624"/>
      <c r="R59" s="624"/>
      <c r="S59" s="624"/>
      <c r="T59" s="624"/>
      <c r="U59" s="624"/>
    </row>
    <row r="60">
      <c r="A60" s="624"/>
      <c r="B60" s="624"/>
      <c r="C60" s="624"/>
      <c r="D60" s="624"/>
      <c r="E60" s="624"/>
      <c r="F60" s="624"/>
      <c r="G60" s="624"/>
      <c r="H60" s="624"/>
      <c r="I60" s="624"/>
      <c r="J60" s="624"/>
      <c r="K60" s="624"/>
      <c r="L60" s="624"/>
      <c r="M60" s="624"/>
      <c r="N60" s="624"/>
      <c r="O60" s="624"/>
      <c r="P60" s="624"/>
      <c r="Q60" s="624"/>
      <c r="R60" s="624"/>
      <c r="S60" s="624"/>
      <c r="T60" s="624"/>
      <c r="U60" s="624"/>
    </row>
    <row r="61">
      <c r="A61" s="624"/>
      <c r="B61" s="624"/>
      <c r="C61" s="624"/>
      <c r="D61" s="624"/>
      <c r="E61" s="624"/>
      <c r="F61" s="624"/>
      <c r="G61" s="624"/>
      <c r="H61" s="624"/>
      <c r="I61" s="624"/>
      <c r="J61" s="624"/>
      <c r="K61" s="624"/>
      <c r="L61" s="624"/>
      <c r="M61" s="624"/>
      <c r="N61" s="624"/>
      <c r="O61" s="624"/>
      <c r="P61" s="624"/>
      <c r="Q61" s="624"/>
      <c r="R61" s="624"/>
      <c r="S61" s="624"/>
      <c r="T61" s="624"/>
      <c r="U61" s="624"/>
    </row>
    <row r="62">
      <c r="A62" s="624"/>
      <c r="B62" s="624"/>
      <c r="C62" s="624"/>
      <c r="D62" s="624"/>
      <c r="E62" s="624"/>
      <c r="F62" s="624"/>
      <c r="G62" s="624"/>
      <c r="H62" s="624"/>
      <c r="I62" s="624"/>
      <c r="J62" s="624"/>
      <c r="K62" s="624"/>
      <c r="L62" s="624"/>
      <c r="M62" s="624"/>
      <c r="N62" s="624"/>
      <c r="O62" s="624"/>
      <c r="P62" s="624"/>
      <c r="Q62" s="624"/>
      <c r="R62" s="624"/>
      <c r="S62" s="624"/>
      <c r="T62" s="624"/>
      <c r="U62" s="624"/>
    </row>
    <row r="63">
      <c r="A63" s="624"/>
      <c r="B63" s="624"/>
      <c r="C63" s="624"/>
      <c r="D63" s="624"/>
      <c r="E63" s="624"/>
      <c r="F63" s="624"/>
      <c r="G63" s="624"/>
      <c r="H63" s="624"/>
      <c r="I63" s="624"/>
      <c r="J63" s="624"/>
      <c r="K63" s="624"/>
      <c r="L63" s="624"/>
      <c r="M63" s="624"/>
      <c r="N63" s="624"/>
      <c r="O63" s="624"/>
      <c r="P63" s="624"/>
      <c r="Q63" s="624"/>
      <c r="R63" s="624"/>
      <c r="S63" s="624"/>
      <c r="T63" s="624"/>
      <c r="U63" s="624"/>
    </row>
    <row r="64">
      <c r="A64" s="624"/>
      <c r="B64" s="624"/>
      <c r="C64" s="624"/>
      <c r="D64" s="624"/>
      <c r="E64" s="624"/>
      <c r="F64" s="624"/>
      <c r="G64" s="624"/>
      <c r="H64" s="624"/>
      <c r="I64" s="624"/>
      <c r="J64" s="624"/>
      <c r="K64" s="624"/>
      <c r="L64" s="624"/>
      <c r="M64" s="624"/>
      <c r="N64" s="624"/>
      <c r="O64" s="624"/>
      <c r="P64" s="624"/>
      <c r="Q64" s="624"/>
      <c r="R64" s="624"/>
      <c r="S64" s="624"/>
      <c r="T64" s="624"/>
      <c r="U64" s="624"/>
    </row>
    <row r="65">
      <c r="A65" s="624"/>
      <c r="B65" s="624"/>
      <c r="C65" s="624"/>
      <c r="D65" s="624"/>
      <c r="E65" s="624"/>
      <c r="F65" s="624"/>
      <c r="G65" s="624"/>
      <c r="H65" s="624"/>
      <c r="I65" s="624"/>
      <c r="J65" s="624"/>
      <c r="K65" s="624"/>
      <c r="L65" s="624"/>
      <c r="M65" s="624"/>
      <c r="N65" s="624"/>
      <c r="O65" s="624"/>
      <c r="P65" s="624"/>
      <c r="Q65" s="624"/>
      <c r="R65" s="624"/>
      <c r="S65" s="624"/>
      <c r="T65" s="624"/>
      <c r="U65" s="624"/>
    </row>
    <row r="66">
      <c r="A66" s="624"/>
      <c r="B66" s="624"/>
      <c r="C66" s="624"/>
      <c r="D66" s="624"/>
      <c r="E66" s="624"/>
      <c r="F66" s="624"/>
      <c r="G66" s="624"/>
      <c r="H66" s="624"/>
      <c r="I66" s="624"/>
      <c r="J66" s="624"/>
      <c r="K66" s="624"/>
      <c r="L66" s="624"/>
      <c r="M66" s="624"/>
      <c r="N66" s="624"/>
      <c r="O66" s="624"/>
      <c r="P66" s="624"/>
      <c r="Q66" s="624"/>
      <c r="R66" s="624"/>
      <c r="S66" s="624"/>
      <c r="T66" s="624"/>
      <c r="U66" s="624"/>
    </row>
    <row r="67">
      <c r="A67" s="624"/>
      <c r="B67" s="624"/>
      <c r="C67" s="624"/>
      <c r="D67" s="624"/>
      <c r="E67" s="624"/>
      <c r="F67" s="624"/>
      <c r="G67" s="624"/>
      <c r="H67" s="624"/>
      <c r="I67" s="624"/>
      <c r="J67" s="624"/>
      <c r="K67" s="624"/>
      <c r="L67" s="624"/>
      <c r="M67" s="624"/>
      <c r="N67" s="624"/>
      <c r="O67" s="624"/>
      <c r="P67" s="624"/>
      <c r="Q67" s="624"/>
      <c r="R67" s="624"/>
      <c r="S67" s="624"/>
      <c r="T67" s="624"/>
      <c r="U67" s="624"/>
    </row>
    <row r="68">
      <c r="A68" s="624"/>
      <c r="B68" s="624"/>
      <c r="C68" s="624"/>
      <c r="D68" s="624"/>
      <c r="E68" s="624"/>
      <c r="F68" s="624"/>
      <c r="G68" s="624"/>
      <c r="H68" s="624"/>
      <c r="I68" s="624"/>
      <c r="J68" s="624"/>
      <c r="K68" s="624"/>
      <c r="L68" s="624"/>
      <c r="M68" s="624"/>
      <c r="N68" s="624"/>
      <c r="O68" s="624"/>
      <c r="P68" s="624"/>
      <c r="Q68" s="624"/>
      <c r="R68" s="624"/>
      <c r="S68" s="624"/>
      <c r="T68" s="624"/>
      <c r="U68" s="624"/>
    </row>
    <row r="69">
      <c r="A69" s="624"/>
      <c r="B69" s="624"/>
      <c r="C69" s="624"/>
      <c r="D69" s="624"/>
      <c r="E69" s="624"/>
      <c r="F69" s="624"/>
      <c r="G69" s="624"/>
      <c r="H69" s="624"/>
      <c r="I69" s="624"/>
      <c r="J69" s="624"/>
      <c r="K69" s="624"/>
      <c r="L69" s="624"/>
      <c r="M69" s="624"/>
      <c r="N69" s="624"/>
      <c r="O69" s="624"/>
      <c r="P69" s="624"/>
      <c r="Q69" s="624"/>
      <c r="R69" s="624"/>
      <c r="S69" s="624"/>
      <c r="T69" s="624"/>
      <c r="U69" s="624"/>
    </row>
    <row r="70">
      <c r="A70" s="624"/>
      <c r="B70" s="624"/>
      <c r="C70" s="624"/>
      <c r="D70" s="624"/>
      <c r="E70" s="624"/>
      <c r="F70" s="624"/>
      <c r="G70" s="624"/>
      <c r="H70" s="624"/>
      <c r="I70" s="624"/>
      <c r="J70" s="624"/>
      <c r="K70" s="624"/>
      <c r="L70" s="624"/>
      <c r="M70" s="624"/>
      <c r="N70" s="624"/>
      <c r="O70" s="624"/>
      <c r="P70" s="624"/>
      <c r="Q70" s="624"/>
      <c r="R70" s="624"/>
      <c r="S70" s="624"/>
      <c r="T70" s="624"/>
      <c r="U70" s="624"/>
    </row>
    <row r="71">
      <c r="A71" s="624"/>
      <c r="B71" s="624"/>
      <c r="C71" s="624"/>
      <c r="D71" s="624"/>
      <c r="E71" s="624"/>
      <c r="F71" s="624"/>
      <c r="G71" s="624"/>
      <c r="H71" s="624"/>
      <c r="I71" s="624"/>
      <c r="J71" s="624"/>
      <c r="K71" s="624"/>
      <c r="L71" s="624"/>
      <c r="M71" s="624"/>
      <c r="N71" s="624"/>
      <c r="O71" s="624"/>
      <c r="P71" s="624"/>
      <c r="Q71" s="624"/>
      <c r="R71" s="624"/>
      <c r="S71" s="624"/>
      <c r="T71" s="624"/>
      <c r="U71" s="624"/>
    </row>
    <row r="72">
      <c r="A72" s="624"/>
      <c r="B72" s="624"/>
      <c r="C72" s="624"/>
      <c r="D72" s="624"/>
      <c r="E72" s="624"/>
      <c r="F72" s="624"/>
      <c r="G72" s="624"/>
      <c r="H72" s="624"/>
      <c r="I72" s="624"/>
      <c r="J72" s="624"/>
      <c r="K72" s="624"/>
      <c r="L72" s="624"/>
      <c r="M72" s="624"/>
      <c r="N72" s="624"/>
      <c r="O72" s="624"/>
      <c r="P72" s="624"/>
      <c r="Q72" s="624"/>
      <c r="R72" s="624"/>
      <c r="S72" s="624"/>
      <c r="T72" s="624"/>
      <c r="U72" s="624"/>
    </row>
    <row r="73">
      <c r="A73" s="624"/>
      <c r="B73" s="624"/>
      <c r="C73" s="624"/>
      <c r="D73" s="624"/>
      <c r="E73" s="624"/>
      <c r="F73" s="624"/>
      <c r="G73" s="624"/>
      <c r="H73" s="624"/>
      <c r="I73" s="624"/>
      <c r="J73" s="624"/>
      <c r="K73" s="624"/>
      <c r="L73" s="624"/>
      <c r="M73" s="624"/>
      <c r="N73" s="624"/>
      <c r="O73" s="624"/>
      <c r="P73" s="624"/>
      <c r="Q73" s="624"/>
      <c r="R73" s="624"/>
      <c r="S73" s="624"/>
      <c r="T73" s="624"/>
      <c r="U73" s="624"/>
    </row>
    <row r="74">
      <c r="A74" s="624"/>
      <c r="B74" s="624"/>
      <c r="C74" s="624"/>
      <c r="D74" s="624"/>
      <c r="E74" s="624"/>
      <c r="F74" s="624"/>
      <c r="G74" s="624"/>
      <c r="H74" s="624"/>
      <c r="I74" s="624"/>
      <c r="J74" s="624"/>
      <c r="K74" s="624"/>
      <c r="L74" s="624"/>
      <c r="M74" s="624"/>
      <c r="N74" s="624"/>
      <c r="O74" s="624"/>
      <c r="P74" s="624"/>
      <c r="Q74" s="624"/>
      <c r="R74" s="624"/>
      <c r="S74" s="624"/>
      <c r="T74" s="624"/>
      <c r="U74" s="624"/>
    </row>
    <row r="75">
      <c r="A75" s="624"/>
      <c r="B75" s="624"/>
      <c r="C75" s="624"/>
      <c r="D75" s="624"/>
      <c r="E75" s="624"/>
      <c r="F75" s="624"/>
      <c r="G75" s="624"/>
      <c r="H75" s="624"/>
      <c r="I75" s="624"/>
      <c r="J75" s="624"/>
      <c r="K75" s="624"/>
      <c r="L75" s="624"/>
      <c r="M75" s="624"/>
      <c r="N75" s="624"/>
      <c r="O75" s="624"/>
      <c r="P75" s="624"/>
      <c r="Q75" s="624"/>
      <c r="R75" s="624"/>
      <c r="S75" s="624"/>
      <c r="T75" s="624"/>
      <c r="U75" s="624"/>
    </row>
    <row r="76">
      <c r="A76" s="624"/>
      <c r="B76" s="624"/>
      <c r="C76" s="624"/>
      <c r="D76" s="624"/>
      <c r="E76" s="624"/>
      <c r="F76" s="624"/>
      <c r="G76" s="624"/>
      <c r="H76" s="624"/>
      <c r="I76" s="624"/>
      <c r="J76" s="624"/>
      <c r="K76" s="624"/>
      <c r="L76" s="624"/>
      <c r="M76" s="624"/>
      <c r="N76" s="624"/>
      <c r="O76" s="624"/>
      <c r="P76" s="624"/>
      <c r="Q76" s="624"/>
      <c r="R76" s="624"/>
      <c r="S76" s="624"/>
      <c r="T76" s="624"/>
      <c r="U76" s="624"/>
    </row>
    <row r="77">
      <c r="A77" s="624"/>
      <c r="B77" s="624"/>
      <c r="C77" s="624"/>
      <c r="D77" s="624"/>
      <c r="E77" s="624"/>
      <c r="F77" s="624"/>
      <c r="G77" s="624"/>
      <c r="H77" s="624"/>
      <c r="I77" s="624"/>
      <c r="J77" s="624"/>
      <c r="K77" s="624"/>
      <c r="L77" s="624"/>
      <c r="M77" s="624"/>
      <c r="N77" s="624"/>
      <c r="O77" s="624"/>
      <c r="P77" s="624"/>
      <c r="Q77" s="624"/>
      <c r="R77" s="624"/>
      <c r="S77" s="624"/>
      <c r="T77" s="624"/>
      <c r="U77" s="624"/>
    </row>
    <row r="78">
      <c r="A78" s="624"/>
      <c r="B78" s="624"/>
      <c r="C78" s="624"/>
      <c r="D78" s="624"/>
      <c r="E78" s="624"/>
      <c r="F78" s="624"/>
      <c r="G78" s="624"/>
      <c r="H78" s="624"/>
      <c r="I78" s="624"/>
      <c r="J78" s="624"/>
      <c r="K78" s="624"/>
      <c r="L78" s="624"/>
      <c r="M78" s="624"/>
      <c r="N78" s="624"/>
      <c r="O78" s="624"/>
      <c r="P78" s="624"/>
      <c r="Q78" s="624"/>
      <c r="R78" s="624"/>
      <c r="S78" s="624"/>
      <c r="T78" s="624"/>
      <c r="U78" s="624"/>
    </row>
    <row r="79">
      <c r="A79" s="624"/>
      <c r="B79" s="624"/>
      <c r="C79" s="624"/>
      <c r="D79" s="624"/>
      <c r="E79" s="624"/>
      <c r="F79" s="624"/>
      <c r="G79" s="624"/>
      <c r="H79" s="624"/>
      <c r="I79" s="624"/>
      <c r="J79" s="624"/>
      <c r="K79" s="624"/>
      <c r="L79" s="624"/>
      <c r="M79" s="624"/>
      <c r="N79" s="624"/>
      <c r="O79" s="624"/>
      <c r="P79" s="624"/>
      <c r="Q79" s="624"/>
      <c r="R79" s="624"/>
      <c r="S79" s="624"/>
      <c r="T79" s="624"/>
      <c r="U79" s="624"/>
    </row>
    <row r="80">
      <c r="A80" s="624"/>
      <c r="B80" s="624"/>
      <c r="C80" s="624"/>
      <c r="D80" s="624"/>
      <c r="E80" s="624"/>
      <c r="F80" s="624"/>
      <c r="G80" s="624"/>
      <c r="H80" s="624"/>
      <c r="I80" s="624"/>
      <c r="J80" s="624"/>
      <c r="K80" s="624"/>
      <c r="L80" s="624"/>
      <c r="M80" s="624"/>
      <c r="N80" s="624"/>
      <c r="O80" s="624"/>
      <c r="P80" s="624"/>
      <c r="Q80" s="624"/>
      <c r="R80" s="624"/>
      <c r="S80" s="624"/>
      <c r="T80" s="624"/>
      <c r="U80" s="624"/>
    </row>
    <row r="81">
      <c r="A81" s="624"/>
      <c r="B81" s="624"/>
      <c r="C81" s="624"/>
      <c r="D81" s="624"/>
      <c r="E81" s="624"/>
      <c r="F81" s="624"/>
      <c r="G81" s="624"/>
      <c r="H81" s="624"/>
      <c r="I81" s="624"/>
      <c r="J81" s="624"/>
      <c r="K81" s="624"/>
      <c r="L81" s="624"/>
      <c r="M81" s="624"/>
      <c r="N81" s="624"/>
      <c r="O81" s="624"/>
      <c r="P81" s="624"/>
      <c r="Q81" s="624"/>
      <c r="R81" s="624"/>
      <c r="S81" s="624"/>
      <c r="T81" s="624"/>
      <c r="U81" s="624"/>
    </row>
    <row r="82">
      <c r="A82" s="624"/>
      <c r="B82" s="624"/>
      <c r="C82" s="624"/>
      <c r="D82" s="624"/>
      <c r="E82" s="624"/>
      <c r="F82" s="624"/>
      <c r="G82" s="624"/>
      <c r="H82" s="624"/>
      <c r="I82" s="624"/>
      <c r="J82" s="624"/>
      <c r="K82" s="624"/>
      <c r="L82" s="624"/>
      <c r="M82" s="624"/>
      <c r="N82" s="624"/>
      <c r="O82" s="624"/>
      <c r="P82" s="624"/>
      <c r="Q82" s="624"/>
      <c r="R82" s="624"/>
      <c r="S82" s="624"/>
      <c r="T82" s="624"/>
      <c r="U82" s="624"/>
    </row>
    <row r="83">
      <c r="A83" s="624"/>
      <c r="B83" s="624"/>
      <c r="C83" s="624"/>
      <c r="D83" s="624"/>
      <c r="E83" s="624"/>
      <c r="F83" s="624"/>
      <c r="G83" s="624"/>
      <c r="H83" s="624"/>
      <c r="I83" s="624"/>
      <c r="J83" s="624"/>
      <c r="K83" s="624"/>
      <c r="L83" s="624"/>
      <c r="M83" s="624"/>
      <c r="N83" s="624"/>
      <c r="O83" s="624"/>
      <c r="P83" s="624"/>
      <c r="Q83" s="624"/>
      <c r="R83" s="624"/>
      <c r="S83" s="624"/>
      <c r="T83" s="624"/>
      <c r="U83" s="624"/>
    </row>
    <row r="84">
      <c r="A84" s="624"/>
      <c r="B84" s="624"/>
      <c r="C84" s="624"/>
      <c r="D84" s="624"/>
      <c r="E84" s="624"/>
      <c r="F84" s="624"/>
      <c r="G84" s="624"/>
      <c r="H84" s="624"/>
      <c r="I84" s="624"/>
      <c r="J84" s="624"/>
      <c r="K84" s="624"/>
      <c r="L84" s="624"/>
      <c r="M84" s="624"/>
      <c r="N84" s="624"/>
      <c r="O84" s="624"/>
      <c r="P84" s="624"/>
      <c r="Q84" s="624"/>
      <c r="R84" s="624"/>
      <c r="S84" s="624"/>
      <c r="T84" s="624"/>
      <c r="U84" s="624"/>
    </row>
    <row r="85">
      <c r="A85" s="624"/>
      <c r="B85" s="624"/>
      <c r="C85" s="624"/>
      <c r="D85" s="624"/>
      <c r="E85" s="624"/>
      <c r="F85" s="624"/>
      <c r="G85" s="624"/>
      <c r="H85" s="624"/>
      <c r="I85" s="624"/>
      <c r="J85" s="624"/>
      <c r="K85" s="624"/>
      <c r="L85" s="624"/>
      <c r="M85" s="624"/>
      <c r="N85" s="624"/>
      <c r="O85" s="624"/>
      <c r="P85" s="624"/>
      <c r="Q85" s="624"/>
      <c r="R85" s="624"/>
      <c r="S85" s="624"/>
      <c r="T85" s="624"/>
      <c r="U85" s="624"/>
    </row>
    <row r="86">
      <c r="A86" s="624"/>
      <c r="B86" s="624"/>
      <c r="C86" s="624"/>
      <c r="D86" s="624"/>
      <c r="E86" s="624"/>
      <c r="F86" s="624"/>
      <c r="G86" s="624"/>
      <c r="H86" s="624"/>
      <c r="I86" s="624"/>
      <c r="J86" s="624"/>
      <c r="K86" s="624"/>
      <c r="L86" s="624"/>
      <c r="M86" s="624"/>
      <c r="N86" s="624"/>
      <c r="O86" s="624"/>
      <c r="P86" s="624"/>
      <c r="Q86" s="624"/>
      <c r="R86" s="624"/>
      <c r="S86" s="624"/>
      <c r="T86" s="624"/>
      <c r="U86" s="624"/>
    </row>
    <row r="87">
      <c r="A87" s="624"/>
      <c r="B87" s="624"/>
      <c r="C87" s="624"/>
      <c r="D87" s="624"/>
      <c r="E87" s="624"/>
      <c r="F87" s="624"/>
      <c r="G87" s="624"/>
      <c r="H87" s="624"/>
      <c r="I87" s="624"/>
      <c r="J87" s="624"/>
      <c r="K87" s="624"/>
      <c r="L87" s="624"/>
      <c r="M87" s="624"/>
      <c r="N87" s="624"/>
      <c r="O87" s="624"/>
      <c r="P87" s="624"/>
      <c r="Q87" s="624"/>
      <c r="R87" s="624"/>
      <c r="S87" s="624"/>
      <c r="T87" s="624"/>
      <c r="U87" s="624"/>
    </row>
    <row r="88">
      <c r="A88" s="624"/>
      <c r="B88" s="624"/>
      <c r="C88" s="624"/>
      <c r="D88" s="624"/>
      <c r="E88" s="624"/>
      <c r="F88" s="624"/>
      <c r="G88" s="624"/>
      <c r="H88" s="624"/>
      <c r="I88" s="624"/>
      <c r="J88" s="624"/>
      <c r="K88" s="624"/>
      <c r="L88" s="624"/>
      <c r="M88" s="624"/>
      <c r="N88" s="624"/>
      <c r="O88" s="624"/>
      <c r="P88" s="624"/>
      <c r="Q88" s="624"/>
      <c r="R88" s="624"/>
      <c r="S88" s="624"/>
      <c r="T88" s="624"/>
      <c r="U88" s="624"/>
    </row>
    <row r="89">
      <c r="A89" s="624"/>
      <c r="B89" s="624"/>
      <c r="C89" s="624"/>
      <c r="D89" s="624"/>
      <c r="E89" s="624"/>
      <c r="F89" s="624"/>
      <c r="G89" s="624"/>
      <c r="H89" s="624"/>
      <c r="I89" s="624"/>
      <c r="J89" s="624"/>
      <c r="K89" s="624"/>
      <c r="L89" s="624"/>
      <c r="M89" s="624"/>
      <c r="N89" s="624"/>
      <c r="O89" s="624"/>
      <c r="P89" s="624"/>
      <c r="Q89" s="624"/>
      <c r="R89" s="624"/>
      <c r="S89" s="624"/>
      <c r="T89" s="624"/>
      <c r="U89" s="624"/>
    </row>
    <row r="90">
      <c r="A90" s="624"/>
      <c r="B90" s="624"/>
      <c r="C90" s="624"/>
      <c r="D90" s="624"/>
      <c r="E90" s="624"/>
      <c r="F90" s="624"/>
      <c r="G90" s="624"/>
      <c r="H90" s="624"/>
      <c r="I90" s="624"/>
      <c r="J90" s="624"/>
      <c r="K90" s="624"/>
      <c r="L90" s="624"/>
      <c r="M90" s="624"/>
      <c r="N90" s="624"/>
      <c r="O90" s="624"/>
      <c r="P90" s="624"/>
      <c r="Q90" s="624"/>
      <c r="R90" s="624"/>
      <c r="S90" s="624"/>
      <c r="T90" s="624"/>
      <c r="U90" s="624"/>
    </row>
    <row r="91">
      <c r="A91" s="624"/>
      <c r="B91" s="624"/>
      <c r="C91" s="624"/>
      <c r="D91" s="624"/>
      <c r="E91" s="624"/>
      <c r="F91" s="624"/>
      <c r="G91" s="624"/>
      <c r="H91" s="624"/>
      <c r="I91" s="624"/>
      <c r="J91" s="624"/>
      <c r="K91" s="624"/>
      <c r="L91" s="624"/>
      <c r="M91" s="624"/>
      <c r="N91" s="624"/>
      <c r="O91" s="624"/>
      <c r="P91" s="624"/>
      <c r="Q91" s="624"/>
      <c r="R91" s="624"/>
      <c r="S91" s="624"/>
      <c r="T91" s="624"/>
      <c r="U91" s="624"/>
    </row>
    <row r="92">
      <c r="A92" s="624"/>
      <c r="B92" s="624"/>
      <c r="C92" s="624"/>
      <c r="D92" s="624"/>
      <c r="E92" s="624"/>
      <c r="F92" s="624"/>
      <c r="G92" s="624"/>
      <c r="H92" s="624"/>
      <c r="I92" s="624"/>
      <c r="J92" s="624"/>
      <c r="K92" s="624"/>
      <c r="L92" s="624"/>
      <c r="M92" s="624"/>
      <c r="N92" s="624"/>
      <c r="O92" s="624"/>
      <c r="P92" s="624"/>
      <c r="Q92" s="624"/>
      <c r="R92" s="624"/>
      <c r="S92" s="624"/>
      <c r="T92" s="624"/>
      <c r="U92" s="624"/>
    </row>
    <row r="93">
      <c r="A93" s="624"/>
      <c r="B93" s="624"/>
      <c r="C93" s="624"/>
      <c r="D93" s="624"/>
      <c r="E93" s="624"/>
      <c r="F93" s="624"/>
      <c r="G93" s="624"/>
      <c r="H93" s="624"/>
      <c r="I93" s="624"/>
      <c r="J93" s="624"/>
      <c r="K93" s="624"/>
      <c r="L93" s="624"/>
      <c r="M93" s="624"/>
      <c r="N93" s="624"/>
      <c r="O93" s="624"/>
      <c r="P93" s="624"/>
      <c r="Q93" s="624"/>
      <c r="R93" s="624"/>
      <c r="S93" s="624"/>
      <c r="T93" s="624"/>
      <c r="U93" s="624"/>
    </row>
    <row r="94">
      <c r="A94" s="624"/>
      <c r="B94" s="624"/>
      <c r="C94" s="624"/>
      <c r="D94" s="624"/>
      <c r="E94" s="624"/>
      <c r="F94" s="624"/>
      <c r="G94" s="624"/>
      <c r="H94" s="624"/>
      <c r="I94" s="624"/>
      <c r="J94" s="624"/>
      <c r="K94" s="624"/>
      <c r="L94" s="624"/>
      <c r="M94" s="624"/>
      <c r="N94" s="624"/>
      <c r="O94" s="624"/>
      <c r="P94" s="624"/>
      <c r="Q94" s="624"/>
      <c r="R94" s="624"/>
      <c r="S94" s="624"/>
      <c r="T94" s="624"/>
      <c r="U94" s="624"/>
    </row>
    <row r="95">
      <c r="A95" s="624"/>
      <c r="B95" s="624"/>
      <c r="C95" s="624"/>
      <c r="D95" s="624"/>
      <c r="E95" s="624"/>
      <c r="F95" s="624"/>
      <c r="G95" s="624"/>
      <c r="H95" s="624"/>
      <c r="I95" s="624"/>
      <c r="J95" s="624"/>
      <c r="K95" s="624"/>
      <c r="L95" s="624"/>
      <c r="M95" s="624"/>
      <c r="N95" s="624"/>
      <c r="O95" s="624"/>
      <c r="P95" s="624"/>
      <c r="Q95" s="624"/>
      <c r="R95" s="624"/>
      <c r="S95" s="624"/>
      <c r="T95" s="624"/>
      <c r="U95" s="624"/>
    </row>
    <row r="96">
      <c r="A96" s="624"/>
      <c r="B96" s="624"/>
      <c r="C96" s="624"/>
      <c r="D96" s="624"/>
      <c r="E96" s="624"/>
      <c r="F96" s="624"/>
      <c r="G96" s="624"/>
      <c r="H96" s="624"/>
      <c r="I96" s="624"/>
      <c r="J96" s="624"/>
      <c r="K96" s="624"/>
      <c r="L96" s="624"/>
      <c r="M96" s="624"/>
      <c r="N96" s="624"/>
      <c r="O96" s="624"/>
      <c r="P96" s="624"/>
      <c r="Q96" s="624"/>
      <c r="R96" s="624"/>
      <c r="S96" s="624"/>
      <c r="T96" s="624"/>
      <c r="U96" s="624"/>
    </row>
    <row r="97">
      <c r="A97" s="624"/>
      <c r="B97" s="624"/>
      <c r="C97" s="624"/>
      <c r="D97" s="624"/>
      <c r="E97" s="624"/>
      <c r="F97" s="624"/>
      <c r="G97" s="624"/>
      <c r="H97" s="624"/>
      <c r="I97" s="624"/>
      <c r="J97" s="624"/>
      <c r="K97" s="624"/>
      <c r="L97" s="624"/>
      <c r="M97" s="624"/>
      <c r="N97" s="624"/>
      <c r="O97" s="624"/>
      <c r="P97" s="624"/>
      <c r="Q97" s="624"/>
      <c r="R97" s="624"/>
      <c r="S97" s="624"/>
      <c r="T97" s="624"/>
      <c r="U97" s="624"/>
    </row>
    <row r="98">
      <c r="A98" s="624"/>
      <c r="B98" s="624"/>
      <c r="C98" s="624"/>
      <c r="D98" s="624"/>
      <c r="E98" s="624"/>
      <c r="F98" s="624"/>
      <c r="G98" s="624"/>
      <c r="H98" s="624"/>
      <c r="I98" s="624"/>
      <c r="J98" s="624"/>
      <c r="K98" s="624"/>
      <c r="L98" s="624"/>
      <c r="M98" s="624"/>
      <c r="N98" s="624"/>
      <c r="O98" s="624"/>
      <c r="P98" s="624"/>
      <c r="Q98" s="624"/>
      <c r="R98" s="624"/>
      <c r="S98" s="624"/>
      <c r="T98" s="624"/>
      <c r="U98" s="624"/>
    </row>
    <row r="99">
      <c r="A99" s="624"/>
      <c r="B99" s="624"/>
      <c r="C99" s="624"/>
      <c r="D99" s="624"/>
      <c r="E99" s="624"/>
      <c r="F99" s="624"/>
      <c r="G99" s="624"/>
      <c r="H99" s="624"/>
      <c r="I99" s="624"/>
      <c r="J99" s="624"/>
      <c r="K99" s="624"/>
      <c r="L99" s="624"/>
      <c r="M99" s="624"/>
      <c r="N99" s="624"/>
      <c r="O99" s="624"/>
      <c r="P99" s="624"/>
      <c r="Q99" s="624"/>
      <c r="R99" s="624"/>
      <c r="S99" s="624"/>
      <c r="T99" s="624"/>
      <c r="U99" s="624"/>
    </row>
    <row r="100">
      <c r="A100" s="624"/>
      <c r="B100" s="624"/>
      <c r="C100" s="624"/>
      <c r="D100" s="624"/>
      <c r="E100" s="624"/>
      <c r="F100" s="624"/>
      <c r="G100" s="624"/>
      <c r="H100" s="624"/>
      <c r="I100" s="624"/>
      <c r="J100" s="624"/>
      <c r="K100" s="624"/>
      <c r="L100" s="624"/>
      <c r="M100" s="624"/>
      <c r="N100" s="624"/>
      <c r="O100" s="624"/>
      <c r="P100" s="624"/>
      <c r="Q100" s="624"/>
      <c r="R100" s="624"/>
      <c r="S100" s="624"/>
      <c r="T100" s="624"/>
      <c r="U100" s="624"/>
    </row>
    <row r="101">
      <c r="A101" s="624"/>
      <c r="B101" s="624"/>
      <c r="C101" s="624"/>
      <c r="D101" s="624"/>
      <c r="E101" s="624"/>
      <c r="F101" s="624"/>
      <c r="G101" s="624"/>
      <c r="H101" s="624"/>
      <c r="I101" s="624"/>
      <c r="J101" s="624"/>
      <c r="K101" s="624"/>
      <c r="L101" s="624"/>
      <c r="M101" s="624"/>
      <c r="N101" s="624"/>
      <c r="O101" s="624"/>
      <c r="P101" s="624"/>
      <c r="Q101" s="624"/>
      <c r="R101" s="624"/>
      <c r="S101" s="624"/>
      <c r="T101" s="624"/>
      <c r="U101" s="624"/>
    </row>
    <row r="102">
      <c r="A102" s="624"/>
      <c r="B102" s="624"/>
      <c r="C102" s="624"/>
      <c r="D102" s="624"/>
      <c r="E102" s="624"/>
      <c r="F102" s="624"/>
      <c r="G102" s="624"/>
      <c r="H102" s="624"/>
      <c r="I102" s="624"/>
      <c r="J102" s="624"/>
      <c r="K102" s="624"/>
      <c r="L102" s="624"/>
      <c r="M102" s="624"/>
      <c r="N102" s="624"/>
      <c r="O102" s="624"/>
      <c r="P102" s="624"/>
      <c r="Q102" s="624"/>
      <c r="R102" s="624"/>
      <c r="S102" s="624"/>
      <c r="T102" s="624"/>
      <c r="U102" s="624"/>
    </row>
    <row r="103">
      <c r="A103" s="624"/>
      <c r="B103" s="624"/>
      <c r="C103" s="624"/>
      <c r="D103" s="624"/>
      <c r="E103" s="624"/>
      <c r="F103" s="624"/>
      <c r="G103" s="624"/>
      <c r="H103" s="624"/>
      <c r="I103" s="624"/>
      <c r="J103" s="624"/>
      <c r="K103" s="624"/>
      <c r="L103" s="624"/>
      <c r="M103" s="624"/>
      <c r="N103" s="624"/>
      <c r="O103" s="624"/>
      <c r="P103" s="624"/>
      <c r="Q103" s="624"/>
      <c r="R103" s="624"/>
      <c r="S103" s="624"/>
      <c r="T103" s="624"/>
      <c r="U103" s="624"/>
    </row>
    <row r="104">
      <c r="A104" s="624"/>
      <c r="B104" s="624"/>
      <c r="C104" s="624"/>
      <c r="D104" s="624"/>
      <c r="E104" s="624"/>
      <c r="F104" s="624"/>
      <c r="G104" s="624"/>
      <c r="H104" s="624"/>
      <c r="I104" s="624"/>
      <c r="J104" s="624"/>
      <c r="K104" s="624"/>
      <c r="L104" s="624"/>
      <c r="M104" s="624"/>
      <c r="N104" s="624"/>
      <c r="O104" s="624"/>
      <c r="P104" s="624"/>
      <c r="Q104" s="624"/>
      <c r="R104" s="624"/>
      <c r="S104" s="624"/>
      <c r="T104" s="624"/>
      <c r="U104" s="624"/>
    </row>
    <row r="105">
      <c r="A105" s="624"/>
      <c r="B105" s="624"/>
      <c r="C105" s="624"/>
      <c r="D105" s="624"/>
      <c r="E105" s="624"/>
      <c r="F105" s="624"/>
      <c r="G105" s="624"/>
      <c r="H105" s="624"/>
      <c r="I105" s="624"/>
      <c r="J105" s="624"/>
      <c r="K105" s="624"/>
      <c r="L105" s="624"/>
      <c r="M105" s="624"/>
      <c r="N105" s="624"/>
      <c r="O105" s="624"/>
      <c r="P105" s="624"/>
      <c r="Q105" s="624"/>
      <c r="R105" s="624"/>
      <c r="S105" s="624"/>
      <c r="T105" s="624"/>
      <c r="U105" s="624"/>
    </row>
    <row r="106">
      <c r="A106" s="624"/>
      <c r="B106" s="624"/>
      <c r="C106" s="624"/>
      <c r="D106" s="624"/>
      <c r="E106" s="624"/>
      <c r="F106" s="624"/>
      <c r="G106" s="624"/>
      <c r="H106" s="624"/>
      <c r="I106" s="624"/>
      <c r="J106" s="624"/>
      <c r="K106" s="624"/>
      <c r="L106" s="624"/>
      <c r="M106" s="624"/>
      <c r="N106" s="624"/>
      <c r="O106" s="624"/>
      <c r="P106" s="624"/>
      <c r="Q106" s="624"/>
      <c r="R106" s="624"/>
      <c r="S106" s="624"/>
      <c r="T106" s="624"/>
      <c r="U106" s="624"/>
    </row>
    <row r="107">
      <c r="A107" s="624"/>
      <c r="B107" s="624"/>
      <c r="C107" s="624"/>
      <c r="D107" s="624"/>
      <c r="E107" s="624"/>
      <c r="F107" s="624"/>
      <c r="G107" s="624"/>
      <c r="H107" s="624"/>
      <c r="I107" s="624"/>
      <c r="J107" s="624"/>
      <c r="K107" s="624"/>
      <c r="L107" s="624"/>
      <c r="M107" s="624"/>
      <c r="N107" s="624"/>
      <c r="O107" s="624"/>
      <c r="P107" s="624"/>
      <c r="Q107" s="624"/>
      <c r="R107" s="624"/>
      <c r="S107" s="624"/>
      <c r="T107" s="624"/>
      <c r="U107" s="624"/>
    </row>
    <row r="108">
      <c r="A108" s="624"/>
      <c r="B108" s="624"/>
      <c r="C108" s="624"/>
      <c r="D108" s="624"/>
      <c r="E108" s="624"/>
      <c r="F108" s="624"/>
      <c r="G108" s="624"/>
      <c r="H108" s="624"/>
      <c r="I108" s="624"/>
      <c r="J108" s="624"/>
      <c r="K108" s="624"/>
      <c r="L108" s="624"/>
      <c r="M108" s="624"/>
      <c r="N108" s="624"/>
      <c r="O108" s="624"/>
      <c r="P108" s="624"/>
      <c r="Q108" s="624"/>
      <c r="R108" s="624"/>
      <c r="S108" s="624"/>
      <c r="T108" s="624"/>
      <c r="U108" s="624"/>
    </row>
    <row r="109">
      <c r="A109" s="624"/>
      <c r="B109" s="624"/>
      <c r="C109" s="624"/>
      <c r="D109" s="624"/>
      <c r="E109" s="624"/>
      <c r="F109" s="624"/>
      <c r="G109" s="624"/>
      <c r="H109" s="624"/>
      <c r="I109" s="624"/>
      <c r="J109" s="624"/>
      <c r="K109" s="624"/>
      <c r="L109" s="624"/>
      <c r="M109" s="624"/>
      <c r="N109" s="624"/>
      <c r="O109" s="624"/>
      <c r="P109" s="624"/>
      <c r="Q109" s="624"/>
      <c r="R109" s="624"/>
      <c r="S109" s="624"/>
      <c r="T109" s="624"/>
      <c r="U109" s="624"/>
    </row>
    <row r="110">
      <c r="A110" s="624"/>
      <c r="B110" s="624"/>
      <c r="C110" s="624"/>
      <c r="D110" s="624"/>
      <c r="E110" s="624"/>
      <c r="F110" s="624"/>
      <c r="G110" s="624"/>
      <c r="H110" s="624"/>
      <c r="I110" s="624"/>
      <c r="J110" s="624"/>
      <c r="K110" s="624"/>
      <c r="L110" s="624"/>
      <c r="M110" s="624"/>
      <c r="N110" s="624"/>
      <c r="O110" s="624"/>
      <c r="P110" s="624"/>
      <c r="Q110" s="624"/>
      <c r="R110" s="624"/>
      <c r="S110" s="624"/>
      <c r="T110" s="624"/>
      <c r="U110" s="624"/>
    </row>
    <row r="111">
      <c r="A111" s="624"/>
      <c r="B111" s="624"/>
      <c r="C111" s="624"/>
      <c r="D111" s="624"/>
      <c r="E111" s="624"/>
      <c r="F111" s="624"/>
      <c r="G111" s="624"/>
      <c r="H111" s="624"/>
      <c r="I111" s="624"/>
      <c r="J111" s="624"/>
      <c r="K111" s="624"/>
      <c r="L111" s="624"/>
      <c r="M111" s="624"/>
      <c r="N111" s="624"/>
      <c r="O111" s="624"/>
      <c r="P111" s="624"/>
      <c r="Q111" s="624"/>
      <c r="R111" s="624"/>
      <c r="S111" s="624"/>
      <c r="T111" s="624"/>
      <c r="U111" s="624"/>
    </row>
    <row r="112">
      <c r="A112" s="624"/>
      <c r="B112" s="624"/>
      <c r="C112" s="624"/>
      <c r="D112" s="624"/>
      <c r="E112" s="624"/>
      <c r="F112" s="624"/>
      <c r="G112" s="624"/>
      <c r="H112" s="624"/>
      <c r="I112" s="624"/>
      <c r="J112" s="624"/>
      <c r="K112" s="624"/>
      <c r="L112" s="624"/>
      <c r="M112" s="624"/>
      <c r="N112" s="624"/>
      <c r="O112" s="624"/>
      <c r="P112" s="624"/>
      <c r="Q112" s="624"/>
      <c r="R112" s="624"/>
      <c r="S112" s="624"/>
      <c r="T112" s="624"/>
      <c r="U112" s="624"/>
    </row>
    <row r="113">
      <c r="A113" s="624"/>
      <c r="B113" s="624"/>
      <c r="C113" s="624"/>
      <c r="D113" s="624"/>
      <c r="E113" s="624"/>
      <c r="F113" s="624"/>
      <c r="G113" s="624"/>
      <c r="H113" s="624"/>
      <c r="I113" s="624"/>
      <c r="J113" s="624"/>
      <c r="K113" s="624"/>
      <c r="L113" s="624"/>
      <c r="M113" s="624"/>
      <c r="N113" s="624"/>
      <c r="O113" s="624"/>
      <c r="P113" s="624"/>
      <c r="Q113" s="624"/>
      <c r="R113" s="624"/>
      <c r="S113" s="624"/>
      <c r="T113" s="624"/>
      <c r="U113" s="624"/>
    </row>
    <row r="114">
      <c r="A114" s="624"/>
      <c r="B114" s="624"/>
      <c r="C114" s="624"/>
      <c r="D114" s="624"/>
      <c r="E114" s="624"/>
      <c r="F114" s="624"/>
      <c r="G114" s="624"/>
      <c r="H114" s="624"/>
      <c r="I114" s="624"/>
      <c r="J114" s="624"/>
      <c r="K114" s="624"/>
      <c r="L114" s="624"/>
      <c r="M114" s="624"/>
      <c r="N114" s="624"/>
      <c r="O114" s="624"/>
      <c r="P114" s="624"/>
      <c r="Q114" s="624"/>
      <c r="R114" s="624"/>
      <c r="S114" s="624"/>
      <c r="T114" s="624"/>
      <c r="U114" s="624"/>
    </row>
    <row r="115">
      <c r="A115" s="624"/>
      <c r="B115" s="624"/>
      <c r="C115" s="624"/>
      <c r="D115" s="624"/>
      <c r="E115" s="624"/>
      <c r="F115" s="624"/>
      <c r="G115" s="624"/>
      <c r="H115" s="624"/>
      <c r="I115" s="624"/>
      <c r="J115" s="624"/>
      <c r="K115" s="624"/>
      <c r="L115" s="624"/>
      <c r="M115" s="624"/>
      <c r="N115" s="624"/>
      <c r="O115" s="624"/>
      <c r="P115" s="624"/>
      <c r="Q115" s="624"/>
      <c r="R115" s="624"/>
      <c r="S115" s="624"/>
      <c r="T115" s="624"/>
      <c r="U115" s="624"/>
    </row>
    <row r="116">
      <c r="A116" s="624"/>
      <c r="B116" s="624"/>
      <c r="C116" s="624"/>
      <c r="D116" s="624"/>
      <c r="E116" s="624"/>
      <c r="F116" s="624"/>
      <c r="G116" s="624"/>
      <c r="H116" s="624"/>
      <c r="I116" s="624"/>
      <c r="J116" s="624"/>
      <c r="K116" s="624"/>
      <c r="L116" s="624"/>
      <c r="M116" s="624"/>
      <c r="N116" s="624"/>
      <c r="O116" s="624"/>
      <c r="P116" s="624"/>
      <c r="Q116" s="624"/>
      <c r="R116" s="624"/>
      <c r="S116" s="624"/>
      <c r="T116" s="624"/>
      <c r="U116" s="624"/>
    </row>
    <row r="117">
      <c r="A117" s="624"/>
      <c r="B117" s="624"/>
      <c r="C117" s="624"/>
      <c r="D117" s="624"/>
      <c r="E117" s="624"/>
      <c r="F117" s="624"/>
      <c r="G117" s="624"/>
      <c r="H117" s="624"/>
      <c r="I117" s="624"/>
      <c r="J117" s="624"/>
      <c r="K117" s="624"/>
      <c r="L117" s="624"/>
      <c r="M117" s="624"/>
      <c r="N117" s="624"/>
      <c r="O117" s="624"/>
      <c r="P117" s="624"/>
      <c r="Q117" s="624"/>
      <c r="R117" s="624"/>
      <c r="S117" s="624"/>
      <c r="T117" s="624"/>
      <c r="U117" s="624"/>
    </row>
    <row r="118">
      <c r="A118" s="624"/>
      <c r="B118" s="624"/>
      <c r="C118" s="624"/>
      <c r="D118" s="624"/>
      <c r="E118" s="624"/>
      <c r="F118" s="624"/>
      <c r="G118" s="624"/>
      <c r="H118" s="624"/>
      <c r="I118" s="624"/>
      <c r="J118" s="624"/>
      <c r="K118" s="624"/>
      <c r="L118" s="624"/>
      <c r="M118" s="624"/>
      <c r="N118" s="624"/>
      <c r="O118" s="624"/>
      <c r="P118" s="624"/>
      <c r="Q118" s="624"/>
      <c r="R118" s="624"/>
      <c r="S118" s="624"/>
      <c r="T118" s="624"/>
      <c r="U118" s="624"/>
    </row>
    <row r="119">
      <c r="A119" s="624"/>
      <c r="B119" s="624"/>
      <c r="C119" s="624"/>
      <c r="D119" s="624"/>
      <c r="E119" s="624"/>
      <c r="F119" s="624"/>
      <c r="G119" s="624"/>
      <c r="H119" s="624"/>
      <c r="I119" s="624"/>
      <c r="J119" s="624"/>
      <c r="K119" s="624"/>
      <c r="L119" s="624"/>
      <c r="M119" s="624"/>
      <c r="N119" s="624"/>
      <c r="O119" s="624"/>
      <c r="P119" s="624"/>
      <c r="Q119" s="624"/>
      <c r="R119" s="624"/>
      <c r="S119" s="624"/>
      <c r="T119" s="624"/>
      <c r="U119" s="624"/>
    </row>
    <row r="120">
      <c r="A120" s="624"/>
      <c r="B120" s="624"/>
      <c r="C120" s="624"/>
      <c r="D120" s="624"/>
      <c r="E120" s="624"/>
      <c r="F120" s="624"/>
      <c r="G120" s="624"/>
      <c r="H120" s="624"/>
      <c r="I120" s="624"/>
      <c r="J120" s="624"/>
      <c r="K120" s="624"/>
      <c r="L120" s="624"/>
      <c r="M120" s="624"/>
      <c r="N120" s="624"/>
      <c r="O120" s="624"/>
      <c r="P120" s="624"/>
      <c r="Q120" s="624"/>
      <c r="R120" s="624"/>
      <c r="S120" s="624"/>
      <c r="T120" s="624"/>
      <c r="U120" s="624"/>
    </row>
    <row r="121">
      <c r="A121" s="624"/>
      <c r="B121" s="624"/>
      <c r="C121" s="624"/>
      <c r="D121" s="624"/>
      <c r="E121" s="624"/>
      <c r="F121" s="624"/>
      <c r="G121" s="624"/>
      <c r="H121" s="624"/>
      <c r="I121" s="624"/>
      <c r="J121" s="624"/>
      <c r="K121" s="624"/>
      <c r="L121" s="624"/>
      <c r="M121" s="624"/>
      <c r="N121" s="624"/>
      <c r="O121" s="624"/>
      <c r="P121" s="624"/>
      <c r="Q121" s="624"/>
      <c r="R121" s="624"/>
      <c r="S121" s="624"/>
      <c r="T121" s="624"/>
      <c r="U121" s="624"/>
    </row>
    <row r="122">
      <c r="A122" s="624"/>
      <c r="B122" s="624"/>
      <c r="C122" s="624"/>
      <c r="D122" s="624"/>
      <c r="E122" s="624"/>
      <c r="F122" s="624"/>
      <c r="G122" s="624"/>
      <c r="H122" s="624"/>
      <c r="I122" s="624"/>
      <c r="J122" s="624"/>
      <c r="K122" s="624"/>
      <c r="L122" s="624"/>
      <c r="M122" s="624"/>
      <c r="N122" s="624"/>
      <c r="O122" s="624"/>
      <c r="P122" s="624"/>
      <c r="Q122" s="624"/>
      <c r="R122" s="624"/>
      <c r="S122" s="624"/>
      <c r="T122" s="624"/>
      <c r="U122" s="624"/>
    </row>
    <row r="123">
      <c r="A123" s="624"/>
      <c r="B123" s="624"/>
      <c r="C123" s="624"/>
      <c r="D123" s="624"/>
      <c r="E123" s="624"/>
      <c r="F123" s="624"/>
      <c r="G123" s="624"/>
      <c r="H123" s="624"/>
      <c r="I123" s="624"/>
      <c r="J123" s="624"/>
      <c r="K123" s="624"/>
      <c r="L123" s="624"/>
      <c r="M123" s="624"/>
      <c r="N123" s="624"/>
      <c r="O123" s="624"/>
      <c r="P123" s="624"/>
      <c r="Q123" s="624"/>
      <c r="R123" s="624"/>
      <c r="S123" s="624"/>
      <c r="T123" s="624"/>
      <c r="U123" s="624"/>
    </row>
    <row r="124">
      <c r="A124" s="624"/>
      <c r="B124" s="624"/>
      <c r="C124" s="624"/>
      <c r="D124" s="624"/>
      <c r="E124" s="624"/>
      <c r="F124" s="624"/>
      <c r="G124" s="624"/>
      <c r="H124" s="624"/>
      <c r="I124" s="624"/>
      <c r="J124" s="624"/>
      <c r="K124" s="624"/>
      <c r="L124" s="624"/>
      <c r="M124" s="624"/>
      <c r="N124" s="624"/>
      <c r="O124" s="624"/>
      <c r="P124" s="624"/>
      <c r="Q124" s="624"/>
      <c r="R124" s="624"/>
      <c r="S124" s="624"/>
      <c r="T124" s="624"/>
      <c r="U124" s="624"/>
    </row>
    <row r="125">
      <c r="A125" s="624"/>
      <c r="B125" s="624"/>
      <c r="C125" s="624"/>
      <c r="D125" s="624"/>
      <c r="E125" s="624"/>
      <c r="F125" s="624"/>
      <c r="G125" s="624"/>
      <c r="H125" s="624"/>
      <c r="I125" s="624"/>
      <c r="J125" s="624"/>
      <c r="K125" s="624"/>
      <c r="L125" s="624"/>
      <c r="M125" s="624"/>
      <c r="N125" s="624"/>
      <c r="O125" s="624"/>
      <c r="P125" s="624"/>
      <c r="Q125" s="624"/>
      <c r="R125" s="624"/>
      <c r="S125" s="624"/>
      <c r="T125" s="624"/>
      <c r="U125" s="624"/>
    </row>
    <row r="126">
      <c r="A126" s="624"/>
      <c r="B126" s="624"/>
      <c r="C126" s="624"/>
      <c r="D126" s="624"/>
      <c r="E126" s="624"/>
      <c r="F126" s="624"/>
      <c r="G126" s="624"/>
      <c r="H126" s="624"/>
      <c r="I126" s="624"/>
      <c r="J126" s="624"/>
      <c r="K126" s="624"/>
      <c r="L126" s="624"/>
      <c r="M126" s="624"/>
      <c r="N126" s="624"/>
      <c r="O126" s="624"/>
      <c r="P126" s="624"/>
      <c r="Q126" s="624"/>
      <c r="R126" s="624"/>
      <c r="S126" s="624"/>
      <c r="T126" s="624"/>
      <c r="U126" s="624"/>
    </row>
    <row r="127">
      <c r="A127" s="624"/>
      <c r="B127" s="624"/>
      <c r="C127" s="624"/>
      <c r="D127" s="624"/>
      <c r="E127" s="624"/>
      <c r="F127" s="624"/>
      <c r="G127" s="624"/>
      <c r="H127" s="624"/>
      <c r="I127" s="624"/>
      <c r="J127" s="624"/>
      <c r="K127" s="624"/>
      <c r="L127" s="624"/>
      <c r="M127" s="624"/>
      <c r="N127" s="624"/>
      <c r="O127" s="624"/>
      <c r="P127" s="624"/>
      <c r="Q127" s="624"/>
      <c r="R127" s="624"/>
      <c r="S127" s="624"/>
      <c r="T127" s="624"/>
      <c r="U127" s="624"/>
    </row>
    <row r="128">
      <c r="A128" s="624"/>
      <c r="B128" s="624"/>
      <c r="C128" s="624"/>
      <c r="D128" s="624"/>
      <c r="E128" s="624"/>
      <c r="F128" s="624"/>
      <c r="G128" s="624"/>
      <c r="H128" s="624"/>
      <c r="I128" s="624"/>
      <c r="J128" s="624"/>
      <c r="K128" s="624"/>
      <c r="L128" s="624"/>
      <c r="M128" s="624"/>
      <c r="N128" s="624"/>
      <c r="O128" s="624"/>
      <c r="P128" s="624"/>
      <c r="Q128" s="624"/>
      <c r="R128" s="624"/>
      <c r="S128" s="624"/>
      <c r="T128" s="624"/>
      <c r="U128" s="624"/>
    </row>
    <row r="129">
      <c r="A129" s="624"/>
      <c r="B129" s="624"/>
      <c r="C129" s="624"/>
      <c r="D129" s="624"/>
      <c r="E129" s="624"/>
      <c r="F129" s="624"/>
      <c r="G129" s="624"/>
      <c r="H129" s="624"/>
      <c r="I129" s="624"/>
      <c r="J129" s="624"/>
      <c r="K129" s="624"/>
      <c r="L129" s="624"/>
      <c r="M129" s="624"/>
      <c r="N129" s="624"/>
      <c r="O129" s="624"/>
      <c r="P129" s="624"/>
      <c r="Q129" s="624"/>
      <c r="R129" s="624"/>
      <c r="S129" s="624"/>
      <c r="T129" s="624"/>
      <c r="U129" s="624"/>
    </row>
    <row r="130">
      <c r="A130" s="624"/>
      <c r="B130" s="624"/>
      <c r="C130" s="624"/>
      <c r="D130" s="624"/>
      <c r="E130" s="624"/>
      <c r="F130" s="624"/>
      <c r="G130" s="624"/>
      <c r="H130" s="624"/>
      <c r="I130" s="624"/>
      <c r="J130" s="624"/>
      <c r="K130" s="624"/>
      <c r="L130" s="624"/>
      <c r="M130" s="624"/>
      <c r="N130" s="624"/>
      <c r="O130" s="624"/>
      <c r="P130" s="624"/>
      <c r="Q130" s="624"/>
      <c r="R130" s="624"/>
      <c r="S130" s="624"/>
      <c r="T130" s="624"/>
      <c r="U130" s="624"/>
    </row>
    <row r="131">
      <c r="A131" s="624"/>
      <c r="B131" s="624"/>
      <c r="C131" s="624"/>
      <c r="D131" s="624"/>
      <c r="E131" s="624"/>
      <c r="F131" s="624"/>
      <c r="G131" s="624"/>
      <c r="H131" s="624"/>
      <c r="I131" s="624"/>
      <c r="J131" s="624"/>
      <c r="K131" s="624"/>
      <c r="L131" s="624"/>
      <c r="M131" s="624"/>
      <c r="N131" s="624"/>
      <c r="O131" s="624"/>
      <c r="P131" s="624"/>
      <c r="Q131" s="624"/>
      <c r="R131" s="624"/>
      <c r="S131" s="624"/>
      <c r="T131" s="624"/>
      <c r="U131" s="624"/>
    </row>
    <row r="132">
      <c r="A132" s="624"/>
      <c r="B132" s="624"/>
      <c r="C132" s="624"/>
      <c r="D132" s="624"/>
      <c r="E132" s="624"/>
      <c r="F132" s="624"/>
      <c r="G132" s="624"/>
      <c r="H132" s="624"/>
      <c r="I132" s="624"/>
      <c r="J132" s="624"/>
      <c r="K132" s="624"/>
      <c r="L132" s="624"/>
      <c r="M132" s="624"/>
      <c r="N132" s="624"/>
      <c r="O132" s="624"/>
      <c r="P132" s="624"/>
      <c r="Q132" s="624"/>
      <c r="R132" s="624"/>
      <c r="S132" s="624"/>
      <c r="T132" s="624"/>
      <c r="U132" s="624"/>
    </row>
    <row r="133">
      <c r="A133" s="624"/>
      <c r="B133" s="624"/>
      <c r="C133" s="624"/>
      <c r="D133" s="624"/>
      <c r="E133" s="624"/>
      <c r="F133" s="624"/>
      <c r="G133" s="624"/>
      <c r="H133" s="624"/>
      <c r="I133" s="624"/>
      <c r="J133" s="624"/>
      <c r="K133" s="624"/>
      <c r="L133" s="624"/>
      <c r="M133" s="624"/>
      <c r="N133" s="624"/>
      <c r="O133" s="624"/>
      <c r="P133" s="624"/>
      <c r="Q133" s="624"/>
      <c r="R133" s="624"/>
      <c r="S133" s="624"/>
      <c r="T133" s="624"/>
      <c r="U133" s="624"/>
    </row>
    <row r="134">
      <c r="A134" s="624"/>
      <c r="B134" s="624"/>
      <c r="C134" s="624"/>
      <c r="D134" s="624"/>
      <c r="E134" s="624"/>
      <c r="F134" s="624"/>
      <c r="G134" s="624"/>
      <c r="H134" s="624"/>
      <c r="I134" s="624"/>
      <c r="J134" s="624"/>
      <c r="K134" s="624"/>
      <c r="L134" s="624"/>
      <c r="M134" s="624"/>
      <c r="N134" s="624"/>
      <c r="O134" s="624"/>
      <c r="P134" s="624"/>
      <c r="Q134" s="624"/>
      <c r="R134" s="624"/>
      <c r="S134" s="624"/>
      <c r="T134" s="624"/>
      <c r="U134" s="624"/>
    </row>
    <row r="135">
      <c r="A135" s="624"/>
      <c r="B135" s="624"/>
      <c r="C135" s="624"/>
      <c r="D135" s="624"/>
      <c r="E135" s="624"/>
      <c r="F135" s="624"/>
      <c r="G135" s="624"/>
      <c r="H135" s="624"/>
      <c r="I135" s="624"/>
      <c r="J135" s="624"/>
      <c r="K135" s="624"/>
      <c r="L135" s="624"/>
      <c r="M135" s="624"/>
      <c r="N135" s="624"/>
      <c r="O135" s="624"/>
      <c r="P135" s="624"/>
      <c r="Q135" s="624"/>
      <c r="R135" s="624"/>
      <c r="S135" s="624"/>
      <c r="T135" s="624"/>
      <c r="U135" s="624"/>
    </row>
    <row r="136">
      <c r="A136" s="624"/>
      <c r="B136" s="624"/>
      <c r="C136" s="624"/>
      <c r="D136" s="624"/>
      <c r="E136" s="624"/>
      <c r="F136" s="624"/>
      <c r="G136" s="624"/>
      <c r="H136" s="624"/>
      <c r="I136" s="624"/>
      <c r="J136" s="624"/>
      <c r="K136" s="624"/>
      <c r="L136" s="624"/>
      <c r="M136" s="624"/>
      <c r="N136" s="624"/>
      <c r="O136" s="624"/>
      <c r="P136" s="624"/>
      <c r="Q136" s="624"/>
      <c r="R136" s="624"/>
      <c r="S136" s="624"/>
      <c r="T136" s="624"/>
      <c r="U136" s="624"/>
    </row>
    <row r="137">
      <c r="A137" s="624"/>
      <c r="B137" s="624"/>
      <c r="C137" s="624"/>
      <c r="D137" s="624"/>
      <c r="E137" s="624"/>
      <c r="F137" s="624"/>
      <c r="G137" s="624"/>
      <c r="H137" s="624"/>
      <c r="I137" s="624"/>
      <c r="J137" s="624"/>
      <c r="K137" s="624"/>
      <c r="L137" s="624"/>
      <c r="M137" s="624"/>
      <c r="N137" s="624"/>
      <c r="O137" s="624"/>
      <c r="P137" s="624"/>
      <c r="Q137" s="624"/>
      <c r="R137" s="624"/>
      <c r="S137" s="624"/>
      <c r="T137" s="624"/>
      <c r="U137" s="624"/>
    </row>
  </sheetData>
  <drawing r:id="rId1"/>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5.13" defaultRowHeight="15.75"/>
  <sheetData>
    <row r="1">
      <c r="A1" s="1528"/>
      <c r="B1" s="1528"/>
      <c r="C1" s="1528"/>
      <c r="D1" s="1528"/>
      <c r="E1" s="1528"/>
      <c r="F1" s="1528"/>
      <c r="G1" s="1528"/>
      <c r="H1" s="1528"/>
      <c r="I1" s="1528"/>
      <c r="J1" s="1528"/>
      <c r="K1" s="1528"/>
      <c r="L1" s="1528"/>
      <c r="M1" s="1528"/>
      <c r="N1" s="1528"/>
      <c r="O1" s="1528"/>
      <c r="P1" s="1528"/>
      <c r="Q1" s="1529">
        <v>44706.51736111111</v>
      </c>
      <c r="R1" s="1528"/>
      <c r="S1" s="1528"/>
      <c r="T1" s="1528"/>
      <c r="U1" s="1528"/>
      <c r="V1" s="1528"/>
      <c r="W1" s="1528"/>
      <c r="X1" s="1528"/>
      <c r="Y1" s="1528"/>
      <c r="Z1" s="1528"/>
    </row>
    <row r="2">
      <c r="A2" s="619" t="s">
        <v>1075</v>
      </c>
      <c r="B2" s="619" t="s">
        <v>181</v>
      </c>
      <c r="C2" s="619" t="s">
        <v>580</v>
      </c>
      <c r="D2" s="619" t="s">
        <v>581</v>
      </c>
      <c r="E2" s="619" t="s">
        <v>582</v>
      </c>
      <c r="F2" s="619" t="s">
        <v>583</v>
      </c>
      <c r="G2" s="619" t="s">
        <v>584</v>
      </c>
      <c r="H2" s="619" t="s">
        <v>586</v>
      </c>
      <c r="I2" s="619" t="s">
        <v>588</v>
      </c>
      <c r="J2" s="619" t="s">
        <v>535</v>
      </c>
      <c r="K2" s="619" t="s">
        <v>536</v>
      </c>
      <c r="L2" s="619" t="s">
        <v>537</v>
      </c>
      <c r="M2" s="619" t="s">
        <v>590</v>
      </c>
      <c r="N2" s="619" t="s">
        <v>591</v>
      </c>
      <c r="O2" s="619" t="s">
        <v>592</v>
      </c>
      <c r="P2" s="619" t="s">
        <v>593</v>
      </c>
      <c r="Q2" s="619" t="s">
        <v>595</v>
      </c>
      <c r="R2" s="619" t="s">
        <v>597</v>
      </c>
      <c r="S2" s="619" t="s">
        <v>511</v>
      </c>
      <c r="T2" s="619" t="s">
        <v>598</v>
      </c>
      <c r="U2" s="619" t="s">
        <v>599</v>
      </c>
      <c r="V2" s="619" t="s">
        <v>601</v>
      </c>
      <c r="W2" s="619" t="s">
        <v>603</v>
      </c>
      <c r="X2" s="619" t="s">
        <v>538</v>
      </c>
      <c r="Y2" s="619" t="s">
        <v>604</v>
      </c>
      <c r="Z2" s="619" t="s">
        <v>605</v>
      </c>
    </row>
    <row r="3">
      <c r="A3" s="624"/>
      <c r="B3" s="624"/>
      <c r="C3" s="624"/>
      <c r="D3" s="624"/>
      <c r="E3" s="624"/>
      <c r="F3" s="624"/>
      <c r="G3" s="624"/>
      <c r="H3" s="624"/>
      <c r="I3" s="624"/>
      <c r="J3" s="624"/>
      <c r="K3" s="624"/>
      <c r="L3" s="624"/>
      <c r="M3" s="624"/>
      <c r="N3" s="624"/>
      <c r="O3" s="624"/>
      <c r="P3" s="624"/>
      <c r="Q3" s="624"/>
      <c r="R3" s="624"/>
      <c r="S3" s="624"/>
      <c r="T3" s="624"/>
      <c r="U3" s="624"/>
      <c r="V3" s="624"/>
      <c r="W3" s="624"/>
      <c r="X3" s="624"/>
      <c r="Y3" s="624"/>
      <c r="Z3" s="624"/>
    </row>
    <row r="4">
      <c r="A4" s="624"/>
      <c r="B4" s="624"/>
      <c r="C4" s="624"/>
      <c r="D4" s="624"/>
      <c r="E4" s="624"/>
      <c r="F4" s="624"/>
      <c r="G4" s="624"/>
      <c r="H4" s="624"/>
      <c r="I4" s="624"/>
      <c r="J4" s="624"/>
      <c r="K4" s="624"/>
      <c r="L4" s="624"/>
      <c r="M4" s="624"/>
      <c r="N4" s="624"/>
      <c r="O4" s="624"/>
      <c r="P4" s="624"/>
      <c r="Q4" s="624"/>
      <c r="R4" s="624"/>
      <c r="S4" s="624"/>
      <c r="T4" s="624"/>
      <c r="U4" s="624"/>
      <c r="V4" s="624"/>
      <c r="W4" s="624"/>
      <c r="X4" s="624"/>
      <c r="Y4" s="624"/>
      <c r="Z4" s="624"/>
    </row>
    <row r="5">
      <c r="A5" s="624"/>
      <c r="B5" s="624"/>
      <c r="C5" s="624"/>
      <c r="D5" s="624"/>
      <c r="E5" s="624"/>
      <c r="F5" s="624"/>
      <c r="G5" s="624"/>
      <c r="H5" s="624"/>
      <c r="I5" s="624"/>
      <c r="J5" s="624"/>
      <c r="K5" s="624"/>
      <c r="L5" s="624"/>
      <c r="M5" s="624"/>
      <c r="N5" s="624"/>
      <c r="O5" s="624"/>
      <c r="P5" s="624"/>
      <c r="Q5" s="624"/>
      <c r="R5" s="624"/>
      <c r="S5" s="624"/>
      <c r="T5" s="624"/>
      <c r="U5" s="624"/>
      <c r="V5" s="624"/>
      <c r="W5" s="624"/>
      <c r="X5" s="624"/>
      <c r="Y5" s="624"/>
      <c r="Z5" s="624"/>
    </row>
    <row r="6">
      <c r="A6" s="624"/>
      <c r="B6" s="624"/>
      <c r="C6" s="624"/>
      <c r="D6" s="624"/>
      <c r="E6" s="624"/>
      <c r="F6" s="624"/>
      <c r="G6" s="624"/>
      <c r="H6" s="624"/>
      <c r="I6" s="624"/>
      <c r="J6" s="624"/>
      <c r="K6" s="624"/>
      <c r="L6" s="624"/>
      <c r="M6" s="624"/>
      <c r="N6" s="624"/>
      <c r="O6" s="624"/>
      <c r="P6" s="624"/>
      <c r="Q6" s="624"/>
      <c r="R6" s="624"/>
      <c r="S6" s="624"/>
      <c r="T6" s="624"/>
      <c r="U6" s="624"/>
      <c r="V6" s="624"/>
      <c r="W6" s="624"/>
      <c r="X6" s="624"/>
      <c r="Y6" s="624"/>
      <c r="Z6" s="624"/>
    </row>
    <row r="7">
      <c r="A7" s="624"/>
      <c r="B7" s="624"/>
      <c r="C7" s="624"/>
      <c r="D7" s="624"/>
      <c r="E7" s="624"/>
      <c r="F7" s="624"/>
      <c r="G7" s="624"/>
      <c r="H7" s="624"/>
      <c r="I7" s="624"/>
      <c r="J7" s="624"/>
      <c r="K7" s="624"/>
      <c r="L7" s="624"/>
      <c r="M7" s="624"/>
      <c r="N7" s="624"/>
      <c r="O7" s="624"/>
      <c r="P7" s="624"/>
      <c r="Q7" s="624"/>
      <c r="R7" s="624"/>
      <c r="S7" s="624"/>
      <c r="T7" s="624"/>
      <c r="U7" s="624"/>
      <c r="V7" s="624"/>
      <c r="W7" s="624"/>
      <c r="X7" s="624"/>
      <c r="Y7" s="624"/>
      <c r="Z7" s="624"/>
    </row>
    <row r="8">
      <c r="A8" s="624"/>
      <c r="B8" s="624"/>
      <c r="C8" s="624"/>
      <c r="D8" s="624"/>
      <c r="E8" s="624"/>
      <c r="F8" s="624"/>
      <c r="G8" s="624"/>
      <c r="H8" s="624"/>
      <c r="I8" s="624"/>
      <c r="J8" s="624"/>
      <c r="K8" s="624"/>
      <c r="L8" s="624"/>
      <c r="M8" s="624"/>
      <c r="N8" s="624"/>
      <c r="O8" s="624"/>
      <c r="P8" s="624"/>
      <c r="Q8" s="624"/>
      <c r="R8" s="624"/>
      <c r="S8" s="624"/>
      <c r="T8" s="624"/>
      <c r="U8" s="624"/>
      <c r="V8" s="624"/>
      <c r="W8" s="624"/>
      <c r="X8" s="624"/>
      <c r="Y8" s="624"/>
      <c r="Z8" s="624"/>
    </row>
    <row r="9">
      <c r="A9" s="624"/>
      <c r="B9" s="624"/>
      <c r="C9" s="624"/>
      <c r="D9" s="624"/>
      <c r="E9" s="624"/>
      <c r="F9" s="624"/>
      <c r="G9" s="624"/>
      <c r="H9" s="624"/>
      <c r="I9" s="624"/>
      <c r="J9" s="624"/>
      <c r="K9" s="624"/>
      <c r="L9" s="624"/>
      <c r="M9" s="624"/>
      <c r="N9" s="624"/>
      <c r="O9" s="624"/>
      <c r="P9" s="624"/>
      <c r="Q9" s="624"/>
      <c r="R9" s="624"/>
      <c r="S9" s="624"/>
      <c r="T9" s="624"/>
      <c r="U9" s="624"/>
      <c r="V9" s="624"/>
      <c r="W9" s="624"/>
      <c r="X9" s="624"/>
      <c r="Y9" s="624"/>
      <c r="Z9" s="624"/>
    </row>
    <row r="10">
      <c r="A10" s="624"/>
      <c r="B10" s="624"/>
      <c r="C10" s="624"/>
      <c r="D10" s="624"/>
      <c r="E10" s="624"/>
      <c r="F10" s="624"/>
      <c r="G10" s="624"/>
      <c r="H10" s="624"/>
      <c r="I10" s="624"/>
      <c r="J10" s="624"/>
      <c r="K10" s="624"/>
      <c r="L10" s="624"/>
      <c r="M10" s="624"/>
      <c r="N10" s="624"/>
      <c r="O10" s="624"/>
      <c r="P10" s="624"/>
      <c r="Q10" s="624"/>
      <c r="R10" s="624"/>
      <c r="S10" s="624"/>
      <c r="T10" s="624"/>
      <c r="U10" s="624"/>
      <c r="V10" s="624"/>
      <c r="W10" s="624"/>
      <c r="X10" s="624"/>
      <c r="Y10" s="624"/>
      <c r="Z10" s="624"/>
    </row>
    <row r="11">
      <c r="A11" s="624"/>
      <c r="B11" s="624"/>
      <c r="C11" s="624"/>
      <c r="D11" s="624"/>
      <c r="E11" s="624"/>
      <c r="F11" s="624"/>
      <c r="G11" s="624"/>
      <c r="H11" s="624"/>
      <c r="I11" s="624"/>
      <c r="J11" s="624"/>
      <c r="K11" s="624"/>
      <c r="L11" s="624"/>
      <c r="M11" s="624"/>
      <c r="N11" s="624"/>
      <c r="O11" s="624"/>
      <c r="P11" s="624"/>
      <c r="Q11" s="624"/>
      <c r="R11" s="624"/>
      <c r="S11" s="624"/>
      <c r="T11" s="624"/>
      <c r="U11" s="624"/>
      <c r="V11" s="624"/>
      <c r="W11" s="624"/>
      <c r="X11" s="624"/>
      <c r="Y11" s="624"/>
      <c r="Z11" s="624"/>
    </row>
    <row r="12">
      <c r="A12" s="624"/>
      <c r="B12" s="624"/>
      <c r="C12" s="624"/>
      <c r="D12" s="624"/>
      <c r="E12" s="624"/>
      <c r="F12" s="624"/>
      <c r="G12" s="624"/>
      <c r="H12" s="624"/>
      <c r="I12" s="624"/>
      <c r="J12" s="624"/>
      <c r="K12" s="624"/>
      <c r="L12" s="624"/>
      <c r="M12" s="624"/>
      <c r="N12" s="624"/>
      <c r="O12" s="624"/>
      <c r="P12" s="624"/>
      <c r="Q12" s="624"/>
      <c r="R12" s="624"/>
      <c r="S12" s="624"/>
      <c r="T12" s="624"/>
      <c r="U12" s="624"/>
      <c r="V12" s="624"/>
      <c r="W12" s="624"/>
      <c r="X12" s="624"/>
      <c r="Y12" s="624"/>
      <c r="Z12" s="624"/>
    </row>
    <row r="13">
      <c r="A13" s="624"/>
      <c r="B13" s="624"/>
      <c r="C13" s="624"/>
      <c r="D13" s="624"/>
      <c r="E13" s="624"/>
      <c r="F13" s="624"/>
      <c r="G13" s="624"/>
      <c r="H13" s="624"/>
      <c r="I13" s="624"/>
      <c r="J13" s="624"/>
      <c r="K13" s="624"/>
      <c r="L13" s="624"/>
      <c r="M13" s="624"/>
      <c r="N13" s="624"/>
      <c r="O13" s="624"/>
      <c r="P13" s="624"/>
      <c r="Q13" s="624"/>
      <c r="R13" s="624"/>
      <c r="S13" s="624"/>
      <c r="T13" s="624"/>
      <c r="U13" s="624"/>
      <c r="V13" s="624"/>
      <c r="W13" s="624"/>
      <c r="X13" s="624"/>
      <c r="Y13" s="624"/>
      <c r="Z13" s="624"/>
    </row>
    <row r="14">
      <c r="A14" s="624"/>
      <c r="B14" s="624"/>
      <c r="C14" s="624"/>
      <c r="D14" s="624"/>
      <c r="E14" s="624"/>
      <c r="F14" s="624"/>
      <c r="G14" s="624"/>
      <c r="H14" s="624"/>
      <c r="I14" s="624"/>
      <c r="J14" s="624"/>
      <c r="K14" s="624"/>
      <c r="L14" s="624"/>
      <c r="M14" s="624"/>
      <c r="N14" s="624"/>
      <c r="O14" s="624"/>
      <c r="P14" s="624"/>
      <c r="Q14" s="624"/>
      <c r="R14" s="624"/>
      <c r="S14" s="624"/>
      <c r="T14" s="624"/>
      <c r="U14" s="624"/>
      <c r="V14" s="624"/>
      <c r="W14" s="624"/>
      <c r="X14" s="624"/>
      <c r="Y14" s="624"/>
      <c r="Z14" s="624"/>
    </row>
    <row r="15">
      <c r="A15" s="624"/>
      <c r="B15" s="624"/>
      <c r="C15" s="624"/>
      <c r="D15" s="624"/>
      <c r="E15" s="624"/>
      <c r="F15" s="624"/>
      <c r="G15" s="624"/>
      <c r="H15" s="624"/>
      <c r="I15" s="624"/>
      <c r="J15" s="624"/>
      <c r="K15" s="624"/>
      <c r="L15" s="624"/>
      <c r="M15" s="624"/>
      <c r="N15" s="624"/>
      <c r="O15" s="624"/>
      <c r="P15" s="624"/>
      <c r="Q15" s="624"/>
      <c r="R15" s="624"/>
      <c r="S15" s="624"/>
      <c r="T15" s="624"/>
      <c r="U15" s="624"/>
      <c r="V15" s="624"/>
      <c r="W15" s="624"/>
      <c r="X15" s="624"/>
      <c r="Y15" s="624"/>
      <c r="Z15" s="624"/>
    </row>
    <row r="16">
      <c r="A16" s="624"/>
      <c r="B16" s="624"/>
      <c r="C16" s="624"/>
      <c r="D16" s="624"/>
      <c r="E16" s="624"/>
      <c r="F16" s="624"/>
      <c r="G16" s="624"/>
      <c r="H16" s="624"/>
      <c r="I16" s="624"/>
      <c r="J16" s="624"/>
      <c r="K16" s="624"/>
      <c r="L16" s="624"/>
      <c r="M16" s="624"/>
      <c r="N16" s="624"/>
      <c r="O16" s="624"/>
      <c r="P16" s="624"/>
      <c r="Q16" s="624"/>
      <c r="R16" s="624"/>
      <c r="S16" s="624"/>
      <c r="T16" s="624"/>
      <c r="U16" s="624"/>
      <c r="V16" s="624"/>
      <c r="W16" s="624"/>
      <c r="X16" s="624"/>
      <c r="Y16" s="624"/>
      <c r="Z16" s="624"/>
    </row>
    <row r="17">
      <c r="A17" s="624"/>
      <c r="B17" s="624"/>
      <c r="C17" s="624"/>
      <c r="D17" s="624"/>
      <c r="E17" s="624"/>
      <c r="F17" s="624"/>
      <c r="G17" s="624"/>
      <c r="H17" s="624"/>
      <c r="I17" s="624"/>
      <c r="J17" s="624"/>
      <c r="K17" s="624"/>
      <c r="L17" s="624"/>
      <c r="M17" s="624"/>
      <c r="N17" s="624"/>
      <c r="O17" s="624"/>
      <c r="P17" s="624"/>
      <c r="Q17" s="624"/>
      <c r="R17" s="624"/>
      <c r="S17" s="624"/>
      <c r="T17" s="624"/>
      <c r="U17" s="624"/>
      <c r="V17" s="624"/>
      <c r="W17" s="624"/>
      <c r="X17" s="624"/>
      <c r="Y17" s="624"/>
      <c r="Z17" s="624"/>
    </row>
    <row r="18">
      <c r="A18" s="624"/>
      <c r="B18" s="624"/>
      <c r="C18" s="624"/>
      <c r="D18" s="624"/>
      <c r="E18" s="624"/>
      <c r="F18" s="624"/>
      <c r="G18" s="624"/>
      <c r="H18" s="624"/>
      <c r="I18" s="624"/>
      <c r="J18" s="624"/>
      <c r="K18" s="624"/>
      <c r="L18" s="624"/>
      <c r="M18" s="624"/>
      <c r="N18" s="624"/>
      <c r="O18" s="624"/>
      <c r="P18" s="624"/>
      <c r="Q18" s="624"/>
      <c r="R18" s="624"/>
      <c r="S18" s="624"/>
      <c r="T18" s="624"/>
      <c r="U18" s="624"/>
      <c r="V18" s="624"/>
      <c r="W18" s="624"/>
      <c r="X18" s="624"/>
      <c r="Y18" s="624"/>
      <c r="Z18" s="624"/>
    </row>
    <row r="19">
      <c r="A19" s="624"/>
      <c r="B19" s="624"/>
      <c r="C19" s="624"/>
      <c r="D19" s="624"/>
      <c r="E19" s="624"/>
      <c r="F19" s="624"/>
      <c r="G19" s="624"/>
      <c r="H19" s="624"/>
      <c r="I19" s="624"/>
      <c r="J19" s="624"/>
      <c r="K19" s="624"/>
      <c r="L19" s="624"/>
      <c r="M19" s="624"/>
      <c r="N19" s="624"/>
      <c r="O19" s="624"/>
      <c r="P19" s="624"/>
      <c r="Q19" s="624"/>
      <c r="R19" s="624"/>
      <c r="S19" s="624"/>
      <c r="T19" s="624"/>
      <c r="U19" s="624"/>
      <c r="V19" s="624"/>
      <c r="W19" s="624"/>
      <c r="X19" s="624"/>
      <c r="Y19" s="624"/>
      <c r="Z19" s="624"/>
    </row>
    <row r="20">
      <c r="A20" s="624"/>
      <c r="B20" s="624"/>
      <c r="C20" s="624"/>
      <c r="D20" s="624"/>
      <c r="E20" s="624"/>
      <c r="F20" s="624"/>
      <c r="G20" s="624"/>
      <c r="H20" s="624"/>
      <c r="I20" s="624"/>
      <c r="J20" s="624"/>
      <c r="K20" s="624"/>
      <c r="L20" s="624"/>
      <c r="M20" s="624"/>
      <c r="N20" s="624"/>
      <c r="O20" s="624"/>
      <c r="P20" s="624"/>
      <c r="Q20" s="624"/>
      <c r="R20" s="624"/>
      <c r="S20" s="624"/>
      <c r="T20" s="624"/>
      <c r="U20" s="624"/>
      <c r="V20" s="624"/>
      <c r="W20" s="624"/>
      <c r="X20" s="624"/>
      <c r="Y20" s="624"/>
      <c r="Z20" s="624"/>
    </row>
    <row r="21">
      <c r="A21" s="624"/>
      <c r="B21" s="624"/>
      <c r="C21" s="624"/>
      <c r="D21" s="624"/>
      <c r="E21" s="624"/>
      <c r="F21" s="624"/>
      <c r="G21" s="624"/>
      <c r="H21" s="624"/>
      <c r="I21" s="624"/>
      <c r="J21" s="624"/>
      <c r="K21" s="624"/>
      <c r="L21" s="624"/>
      <c r="M21" s="624"/>
      <c r="N21" s="624"/>
      <c r="O21" s="624"/>
      <c r="P21" s="624"/>
      <c r="Q21" s="624"/>
      <c r="R21" s="624"/>
      <c r="S21" s="624"/>
      <c r="T21" s="624"/>
      <c r="U21" s="624"/>
      <c r="V21" s="624"/>
      <c r="W21" s="624"/>
      <c r="X21" s="624"/>
      <c r="Y21" s="624"/>
      <c r="Z21" s="624"/>
    </row>
    <row r="22">
      <c r="A22" s="624"/>
      <c r="B22" s="624"/>
      <c r="C22" s="624"/>
      <c r="D22" s="624"/>
      <c r="E22" s="624"/>
      <c r="F22" s="624"/>
      <c r="G22" s="624"/>
      <c r="H22" s="624"/>
      <c r="I22" s="624"/>
      <c r="J22" s="624"/>
      <c r="K22" s="624"/>
      <c r="L22" s="624"/>
      <c r="M22" s="624"/>
      <c r="N22" s="624"/>
      <c r="O22" s="624"/>
      <c r="P22" s="624"/>
      <c r="Q22" s="624"/>
      <c r="R22" s="624"/>
      <c r="S22" s="624"/>
      <c r="T22" s="624"/>
      <c r="U22" s="624"/>
      <c r="V22" s="624"/>
      <c r="W22" s="624"/>
      <c r="X22" s="624"/>
      <c r="Y22" s="624"/>
      <c r="Z22" s="624"/>
    </row>
    <row r="23">
      <c r="A23" s="624"/>
      <c r="B23" s="624"/>
      <c r="C23" s="624"/>
      <c r="D23" s="624"/>
      <c r="E23" s="624"/>
      <c r="F23" s="624"/>
      <c r="G23" s="624"/>
      <c r="H23" s="624"/>
      <c r="I23" s="624"/>
      <c r="J23" s="624"/>
      <c r="K23" s="624"/>
      <c r="L23" s="624"/>
      <c r="M23" s="624"/>
      <c r="N23" s="624"/>
      <c r="O23" s="624"/>
      <c r="P23" s="624"/>
      <c r="Q23" s="624"/>
      <c r="R23" s="624"/>
      <c r="S23" s="624"/>
      <c r="T23" s="624"/>
      <c r="U23" s="624"/>
      <c r="V23" s="624"/>
      <c r="W23" s="624"/>
      <c r="X23" s="624"/>
      <c r="Y23" s="624"/>
      <c r="Z23" s="624"/>
    </row>
    <row r="24">
      <c r="A24" s="624"/>
      <c r="B24" s="624"/>
      <c r="C24" s="624"/>
      <c r="D24" s="624"/>
      <c r="E24" s="624"/>
      <c r="F24" s="624"/>
      <c r="G24" s="624"/>
      <c r="H24" s="624"/>
      <c r="I24" s="624"/>
      <c r="J24" s="624"/>
      <c r="K24" s="624"/>
      <c r="L24" s="624"/>
      <c r="M24" s="624"/>
      <c r="N24" s="624"/>
      <c r="O24" s="624"/>
      <c r="P24" s="624"/>
      <c r="Q24" s="624"/>
      <c r="R24" s="624"/>
      <c r="S24" s="624"/>
      <c r="T24" s="624"/>
      <c r="U24" s="624"/>
      <c r="V24" s="624"/>
      <c r="W24" s="624"/>
      <c r="X24" s="624"/>
      <c r="Y24" s="624"/>
      <c r="Z24" s="624"/>
    </row>
    <row r="25">
      <c r="A25" s="624"/>
      <c r="B25" s="624"/>
      <c r="C25" s="624"/>
      <c r="D25" s="624"/>
      <c r="E25" s="624"/>
      <c r="F25" s="624"/>
      <c r="G25" s="624"/>
      <c r="H25" s="624"/>
      <c r="I25" s="624"/>
      <c r="J25" s="624"/>
      <c r="K25" s="624"/>
      <c r="L25" s="624"/>
      <c r="M25" s="624"/>
      <c r="N25" s="624"/>
      <c r="O25" s="624"/>
      <c r="P25" s="624"/>
      <c r="Q25" s="624"/>
      <c r="R25" s="624"/>
      <c r="S25" s="624"/>
      <c r="T25" s="624"/>
      <c r="U25" s="624"/>
      <c r="V25" s="624"/>
      <c r="W25" s="624"/>
      <c r="X25" s="624"/>
      <c r="Y25" s="624"/>
      <c r="Z25" s="624"/>
    </row>
    <row r="26">
      <c r="A26" s="624"/>
      <c r="B26" s="624"/>
      <c r="C26" s="624"/>
      <c r="D26" s="624"/>
      <c r="E26" s="624"/>
      <c r="F26" s="624"/>
      <c r="G26" s="624"/>
      <c r="H26" s="624"/>
      <c r="I26" s="624"/>
      <c r="J26" s="624"/>
      <c r="K26" s="624"/>
      <c r="L26" s="624"/>
      <c r="M26" s="624"/>
      <c r="N26" s="624"/>
      <c r="O26" s="624"/>
      <c r="P26" s="624"/>
      <c r="Q26" s="624"/>
      <c r="R26" s="624"/>
      <c r="S26" s="624"/>
      <c r="T26" s="624"/>
      <c r="U26" s="624"/>
      <c r="V26" s="624"/>
      <c r="W26" s="624"/>
      <c r="X26" s="624"/>
      <c r="Y26" s="624"/>
      <c r="Z26" s="624"/>
    </row>
    <row r="27">
      <c r="A27" s="624"/>
      <c r="B27" s="624"/>
      <c r="C27" s="624"/>
      <c r="D27" s="624"/>
      <c r="E27" s="624"/>
      <c r="F27" s="624"/>
      <c r="G27" s="624"/>
      <c r="H27" s="624"/>
      <c r="I27" s="624"/>
      <c r="J27" s="624"/>
      <c r="K27" s="624"/>
      <c r="L27" s="624"/>
      <c r="M27" s="624"/>
      <c r="N27" s="624"/>
      <c r="O27" s="624"/>
      <c r="P27" s="624"/>
      <c r="Q27" s="624"/>
      <c r="R27" s="624"/>
      <c r="S27" s="624"/>
      <c r="T27" s="624"/>
      <c r="U27" s="624"/>
      <c r="V27" s="624"/>
      <c r="W27" s="624"/>
      <c r="X27" s="624"/>
      <c r="Y27" s="624"/>
      <c r="Z27" s="624"/>
    </row>
    <row r="28">
      <c r="A28" s="624"/>
      <c r="B28" s="624"/>
      <c r="C28" s="624"/>
      <c r="D28" s="624"/>
      <c r="E28" s="624"/>
      <c r="F28" s="624"/>
      <c r="G28" s="624"/>
      <c r="H28" s="624"/>
      <c r="I28" s="624"/>
      <c r="J28" s="624"/>
      <c r="K28" s="624"/>
      <c r="L28" s="624"/>
      <c r="M28" s="624"/>
      <c r="N28" s="624"/>
      <c r="O28" s="624"/>
      <c r="P28" s="624"/>
      <c r="Q28" s="624"/>
      <c r="R28" s="624"/>
      <c r="S28" s="624"/>
      <c r="T28" s="624"/>
      <c r="U28" s="624"/>
      <c r="V28" s="624"/>
      <c r="W28" s="624"/>
      <c r="X28" s="624"/>
      <c r="Y28" s="624"/>
      <c r="Z28" s="624"/>
    </row>
    <row r="29">
      <c r="A29" s="624"/>
      <c r="B29" s="624"/>
      <c r="C29" s="624"/>
      <c r="D29" s="624"/>
      <c r="E29" s="624"/>
      <c r="F29" s="624"/>
      <c r="G29" s="624"/>
      <c r="H29" s="624"/>
      <c r="I29" s="624"/>
      <c r="J29" s="624"/>
      <c r="K29" s="624"/>
      <c r="L29" s="624"/>
      <c r="M29" s="624"/>
      <c r="N29" s="624"/>
      <c r="O29" s="624"/>
      <c r="P29" s="624"/>
      <c r="Q29" s="624"/>
      <c r="R29" s="624"/>
      <c r="S29" s="624"/>
      <c r="T29" s="624"/>
      <c r="U29" s="624"/>
      <c r="V29" s="624"/>
      <c r="W29" s="624"/>
      <c r="X29" s="624"/>
      <c r="Y29" s="624"/>
      <c r="Z29" s="624"/>
    </row>
    <row r="30">
      <c r="A30" s="624"/>
      <c r="B30" s="624"/>
      <c r="C30" s="624"/>
      <c r="D30" s="624"/>
      <c r="E30" s="624"/>
      <c r="F30" s="624"/>
      <c r="G30" s="624"/>
      <c r="H30" s="624"/>
      <c r="I30" s="624"/>
      <c r="J30" s="624"/>
      <c r="K30" s="624"/>
      <c r="L30" s="624"/>
      <c r="M30" s="624"/>
      <c r="N30" s="624"/>
      <c r="O30" s="624"/>
      <c r="P30" s="624"/>
      <c r="Q30" s="624"/>
      <c r="R30" s="624"/>
      <c r="S30" s="624"/>
      <c r="T30" s="624"/>
      <c r="U30" s="624"/>
      <c r="V30" s="624"/>
      <c r="W30" s="624"/>
      <c r="X30" s="624"/>
      <c r="Y30" s="624"/>
      <c r="Z30" s="624"/>
    </row>
    <row r="31">
      <c r="A31" s="624"/>
      <c r="B31" s="624"/>
      <c r="C31" s="624"/>
      <c r="D31" s="624"/>
      <c r="E31" s="624"/>
      <c r="F31" s="624"/>
      <c r="G31" s="624"/>
      <c r="H31" s="624"/>
      <c r="I31" s="624"/>
      <c r="J31" s="624"/>
      <c r="K31" s="624"/>
      <c r="L31" s="624"/>
      <c r="M31" s="624"/>
      <c r="N31" s="624"/>
      <c r="O31" s="624"/>
      <c r="P31" s="624"/>
      <c r="Q31" s="624"/>
      <c r="R31" s="624"/>
      <c r="S31" s="624"/>
      <c r="T31" s="624"/>
      <c r="U31" s="624"/>
      <c r="V31" s="624"/>
      <c r="W31" s="624"/>
      <c r="X31" s="624"/>
      <c r="Y31" s="624"/>
      <c r="Z31" s="624"/>
    </row>
    <row r="32">
      <c r="A32" s="624"/>
      <c r="B32" s="624"/>
      <c r="C32" s="624"/>
      <c r="D32" s="624"/>
      <c r="E32" s="624"/>
      <c r="F32" s="624"/>
      <c r="G32" s="624"/>
      <c r="H32" s="624"/>
      <c r="I32" s="624"/>
      <c r="J32" s="624"/>
      <c r="K32" s="624"/>
      <c r="L32" s="624"/>
      <c r="M32" s="624"/>
      <c r="N32" s="624"/>
      <c r="O32" s="624"/>
      <c r="P32" s="624"/>
      <c r="Q32" s="624"/>
      <c r="R32" s="624"/>
      <c r="S32" s="624"/>
      <c r="T32" s="624"/>
      <c r="U32" s="624"/>
      <c r="V32" s="624"/>
      <c r="W32" s="624"/>
      <c r="X32" s="624"/>
      <c r="Y32" s="624"/>
      <c r="Z32" s="624"/>
    </row>
    <row r="33">
      <c r="A33" s="624"/>
      <c r="B33" s="624"/>
      <c r="C33" s="624"/>
      <c r="D33" s="624"/>
      <c r="E33" s="624"/>
      <c r="F33" s="624"/>
      <c r="G33" s="624"/>
      <c r="H33" s="624"/>
      <c r="I33" s="624"/>
      <c r="J33" s="624"/>
      <c r="K33" s="624"/>
      <c r="L33" s="624"/>
      <c r="M33" s="624"/>
      <c r="N33" s="624"/>
      <c r="O33" s="624"/>
      <c r="P33" s="624"/>
      <c r="Q33" s="624"/>
      <c r="R33" s="624"/>
      <c r="S33" s="624"/>
      <c r="T33" s="624"/>
      <c r="U33" s="624"/>
      <c r="V33" s="624"/>
      <c r="W33" s="624"/>
      <c r="X33" s="624"/>
      <c r="Y33" s="624"/>
      <c r="Z33" s="624"/>
    </row>
  </sheetData>
  <drawing r:id="rId1"/>
</worksheet>
</file>